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TEIRA" sheetId="1" state="visible" r:id="rId1"/>
    <sheet xmlns:r="http://schemas.openxmlformats.org/officeDocument/2006/relationships" name="FICHA" sheetId="2" state="visible" r:id="rId2"/>
    <sheet xmlns:r="http://schemas.openxmlformats.org/officeDocument/2006/relationships" name="FICHA AMALDIÇOADA" sheetId="3" state="visible" r:id="rId3"/>
    <sheet xmlns:r="http://schemas.openxmlformats.org/officeDocument/2006/relationships" name="INVOCAÇÕES" sheetId="4" state="visible" r:id="rId4"/>
    <sheet xmlns:r="http://schemas.openxmlformats.org/officeDocument/2006/relationships" name="FICHA PESSOAL" sheetId="5" state="visible" r:id="rId5"/>
    <sheet xmlns:r="http://schemas.openxmlformats.org/officeDocument/2006/relationships" name="DADOS" sheetId="6" state="hidden" r:id="rId6"/>
    <sheet xmlns:r="http://schemas.openxmlformats.org/officeDocument/2006/relationships" name="DADOS_AM" sheetId="7" state="hidden" r:id="rId7"/>
    <sheet xmlns:r="http://schemas.openxmlformats.org/officeDocument/2006/relationships" name="DADOS_INVOC" sheetId="8" state="hidden" r:id="rId8"/>
    <sheet xmlns:r="http://schemas.openxmlformats.org/officeDocument/2006/relationships" name="GLOSSÁRIO" sheetId="9" state="visible" r:id="rId9"/>
    <sheet xmlns:r="http://schemas.openxmlformats.org/officeDocument/2006/relationships" name="DADOS_CUSTOM" sheetId="10" state="hidden" r:id="rId10"/>
    <sheet xmlns:r="http://schemas.openxmlformats.org/officeDocument/2006/relationships" name="CONFIGURAÇÃO" sheetId="11" state="visible" r:id="rId11"/>
    <sheet xmlns:r="http://schemas.openxmlformats.org/officeDocument/2006/relationships" name="DADOS_CONFIG" sheetId="12" state="hidden" r:id="rId12"/>
    <sheet xmlns:r="http://schemas.openxmlformats.org/officeDocument/2006/relationships" name="DADOS_PROGRESSAO" sheetId="13" state="hidden" r:id="rId13"/>
    <sheet xmlns:r="http://schemas.openxmlformats.org/officeDocument/2006/relationships" name="DADOS_CRIACAO" sheetId="14" state="hidden" r:id="rId14"/>
    <sheet xmlns:r="http://schemas.openxmlformats.org/officeDocument/2006/relationships" name="DADOS_MELHORIAS" sheetId="15" state="hidden" r:id="rId15"/>
    <sheet xmlns:r="http://schemas.openxmlformats.org/officeDocument/2006/relationships" name="DADOS_RESTRICOES" sheetId="16" state="hidden" r:id="rId16"/>
    <sheet xmlns:r="http://schemas.openxmlformats.org/officeDocument/2006/relationships" name="DADOS_DANOS" sheetId="17" state="hidden" r:id="rId17"/>
    <sheet xmlns:r="http://schemas.openxmlformats.org/officeDocument/2006/relationships" name="DADOS_FORMAS" sheetId="18" state="hidden" r:id="rId18"/>
    <sheet xmlns:r="http://schemas.openxmlformats.org/officeDocument/2006/relationships" name="DADOS_APTIDOES" sheetId="19" state="hidden" r:id="rId19"/>
    <sheet xmlns:r="http://schemas.openxmlformats.org/officeDocument/2006/relationships" name="DADOS_TALENTOS" sheetId="20" state="hidden" r:id="rId20"/>
    <sheet xmlns:r="http://schemas.openxmlformats.org/officeDocument/2006/relationships" name="DADOS_ENTIDADES" sheetId="21" state="hidden" r:id="rId21"/>
    <sheet xmlns:r="http://schemas.openxmlformats.org/officeDocument/2006/relationships" name="ANALISE" sheetId="22" state="hidden" r:id="rId22"/>
  </sheets>
  <definedNames/>
  <calcPr calcId="124519" fullCalcOnLoad="1"/>
</workbook>
</file>

<file path=xl/styles.xml><?xml version="1.0" encoding="utf-8"?>
<styleSheet xmlns="http://schemas.openxmlformats.org/spreadsheetml/2006/main">
  <numFmts count="5">
    <numFmt numFmtId="164" formatCode="&quot;Classe &quot;0"/>
    <numFmt numFmtId="165" formatCode="0&quot; pt&quot;"/>
    <numFmt numFmtId="166" formatCode="&quot;B/D &quot;+0;&quot;B/D &quot;-0;&quot;B/D &quot;0"/>
    <numFmt numFmtId="167" formatCode="&quot;¥ &quot;#,##0"/>
    <numFmt numFmtId="168" formatCode="0.0&quot; m&quot;"/>
  </numFmts>
  <fonts count="55">
    <font>
      <name val="Roboto"/>
      <color rgb="00F4F1F7"/>
      <sz val="12"/>
    </font>
    <font>
      <name val="Roboto"/>
      <color rgb="FFF4F1F7"/>
      <sz val="11"/>
    </font>
    <font>
      <name val="Yuji Syuku"/>
      <color rgb="FF756588"/>
      <sz val="22"/>
    </font>
    <font>
      <name val="Oswald"/>
      <color rgb="FFE8DCD4"/>
      <sz val="13"/>
    </font>
    <font>
      <name val="Courier New"/>
      <color rgb="FF756588"/>
      <sz val="11"/>
    </font>
    <font>
      <name val="Roboto"/>
      <color rgb="FF998BA9"/>
      <sz val="9"/>
    </font>
    <font>
      <name val="Courier New"/>
      <color rgb="FF998BA9"/>
      <sz val="9"/>
    </font>
    <font>
      <name val="Oswald"/>
      <color rgb="FF998BA9"/>
      <sz val="9"/>
    </font>
    <font>
      <name val="Castoro"/>
      <color rgb="FFF4F1F7"/>
      <sz val="15"/>
    </font>
    <font>
      <name val="Oswald"/>
      <color rgb="FF998BA9"/>
      <sz val="8"/>
    </font>
    <font>
      <name val="Castoro"/>
      <color rgb="FFF4F1F7"/>
      <sz val="10"/>
    </font>
    <font>
      <name val="Roboto"/>
      <color rgb="FF493F54"/>
      <sz val="8"/>
    </font>
    <font>
      <name val="Courier New"/>
      <color rgb="FF493F54"/>
      <sz val="9"/>
    </font>
    <font>
      <name val="Roboto"/>
      <color rgb="FFF4F1F7"/>
      <sz val="12"/>
    </font>
    <font>
      <name val="Castoro"/>
      <color rgb="FFE8DCD4"/>
      <sz val="15"/>
    </font>
    <font>
      <name val="Oswald"/>
      <color rgb="FF493F54"/>
      <sz val="11"/>
    </font>
    <font>
      <name val="Oswald"/>
      <color rgb="FFE8DCD4"/>
      <sz val="22"/>
    </font>
    <font>
      <name val="Oswald"/>
      <color rgb="FFE8DCD4"/>
      <sz val="12"/>
    </font>
    <font>
      <name val="Roboto"/>
      <color rgb="FFE8DCD4"/>
      <sz val="11"/>
    </font>
    <font>
      <name val="Oswald"/>
      <color rgb="FFE8DCD4"/>
      <sz val="8"/>
    </font>
    <font>
      <name val="Oswald"/>
      <color rgb="FFE8DCD4"/>
      <sz val="20"/>
    </font>
    <font>
      <name val="Courier New"/>
      <color rgb="FFE8DCD4"/>
      <sz val="12"/>
    </font>
    <font>
      <name val="Oswald"/>
      <color rgb="FFE8DCD4"/>
      <sz val="10"/>
    </font>
    <font>
      <name val="Oswald"/>
      <color rgb="FFE8DCD4"/>
      <sz val="11"/>
    </font>
    <font>
      <name val="Oswald"/>
      <color rgb="FFE8DCD4"/>
      <sz val="24"/>
    </font>
    <font>
      <name val="Roboto"/>
      <color rgb="FFE8DCD4"/>
      <sz val="8"/>
    </font>
    <font>
      <name val="Roboto"/>
      <color rgb="FFE8DCD4"/>
      <sz val="13"/>
    </font>
    <font>
      <name val="Roboto"/>
      <color rgb="FF000000"/>
      <sz val="12"/>
    </font>
    <font>
      <name val="Courier New"/>
      <color rgb="FFE8DCD4"/>
      <sz val="11"/>
    </font>
    <font>
      <name val="Roboto"/>
      <color rgb="FFE8DCD4"/>
      <sz val="12"/>
    </font>
    <font>
      <name val="Roboto"/>
      <b val="1"/>
      <color rgb="FFE8DCD4"/>
      <sz val="9"/>
    </font>
    <font>
      <name val="Oswald"/>
      <color rgb="FFE8DCD4"/>
      <sz val="16"/>
    </font>
    <font>
      <name val="Roboto"/>
      <color rgb="FFF4F1F7"/>
    </font>
    <font>
      <name val="Castoro"/>
      <color rgb="FFE8DCD4"/>
      <sz val="6"/>
    </font>
    <font>
      <name val="Castoro"/>
      <color rgb="FFE8DCD4"/>
    </font>
    <font>
      <name val="Oswald"/>
      <color rgb="FFE8DCD4"/>
    </font>
    <font>
      <name val="Castoro"/>
      <color rgb="FFE8DCD4"/>
      <sz val="10"/>
    </font>
    <font>
      <name val="Oswald"/>
      <color rgb="FFE8DCD4"/>
      <sz val="9"/>
    </font>
    <font>
      <name val="Castoro"/>
      <color rgb="FFE8DCD4"/>
      <sz val="8"/>
    </font>
    <font>
      <name val="Castoro"/>
      <color rgb="FFE8DCD4"/>
      <sz val="11"/>
    </font>
    <font>
      <name val="Roboto"/>
      <color rgb="FFF4F1F7"/>
      <sz val="10"/>
    </font>
    <font>
      <name val="Roboto"/>
      <color rgb="FF998BA9"/>
      <sz val="8"/>
    </font>
    <font>
      <name val="Roboto"/>
      <color rgb="FFE8DCD4"/>
      <sz val="10"/>
    </font>
    <font>
      <name val="Roboto"/>
      <color rgb="FFE8DCD4"/>
      <sz val="9"/>
    </font>
    <font>
      <name val="Oswald"/>
      <color rgb="FFE8DCD4"/>
      <sz val="14"/>
    </font>
    <font>
      <name val="Roboto"/>
      <color rgb="FFF4F1F7"/>
      <sz val="9"/>
    </font>
    <font>
      <name val="Roboto"/>
      <b val="1"/>
      <color rgb="FFF4F1F7"/>
      <sz val="12"/>
    </font>
    <font>
      <name val="Courier New"/>
      <color rgb="FF998BA9"/>
      <sz val="8"/>
    </font>
    <font>
      <name val="Roboto"/>
      <color rgb="00000000"/>
      <sz val="10"/>
    </font>
    <font>
      <name val="Roboto"/>
      <color rgb="00FBE4EF"/>
      <sz val="10"/>
    </font>
    <font>
      <name val="Oswald"/>
      <color rgb="00F8C7DC"/>
      <sz val="18"/>
    </font>
    <font>
      <name val="Roboto"/>
      <color rgb="00F1BFD6"/>
      <sz val="10"/>
    </font>
    <font>
      <name val="Oswald"/>
      <color rgb="00FBE4EF"/>
      <sz val="12"/>
    </font>
    <font>
      <name val="Oswald"/>
      <color rgb="00FBE4EF"/>
      <sz val="10"/>
    </font>
    <font>
      <name val="Roboto"/>
      <color rgb="00000000"/>
      <sz val="12"/>
    </font>
  </fonts>
  <fills count="14">
    <fill>
      <patternFill/>
    </fill>
    <fill>
      <patternFill patternType="gray125"/>
    </fill>
    <fill>
      <patternFill patternType="solid">
        <fgColor rgb="FF17131F"/>
        <bgColor rgb="FF17131F"/>
      </patternFill>
    </fill>
    <fill>
      <patternFill patternType="solid">
        <fgColor rgb="FF0A0810"/>
        <bgColor rgb="FF0A0810"/>
      </patternFill>
    </fill>
    <fill>
      <patternFill patternType="solid">
        <fgColor rgb="FF3D2E78"/>
        <bgColor rgb="FF3D2E78"/>
      </patternFill>
    </fill>
    <fill>
      <patternFill patternType="solid">
        <fgColor rgb="FF1E1733"/>
        <bgColor rgb="FF1E1733"/>
      </patternFill>
    </fill>
    <fill>
      <patternFill patternType="solid">
        <fgColor rgb="FF120F1D"/>
        <bgColor rgb="FF120F1D"/>
      </patternFill>
    </fill>
    <fill>
      <patternFill patternType="solid">
        <fgColor rgb="FF211940"/>
        <bgColor rgb="FF211940"/>
      </patternFill>
    </fill>
    <fill>
      <patternFill patternType="solid">
        <fgColor rgb="FF3B3360"/>
        <bgColor rgb="FF3B3360"/>
      </patternFill>
    </fill>
    <fill>
      <patternFill patternType="solid">
        <fgColor rgb="00FFFFFF"/>
        <bgColor rgb="00FFFFFF"/>
      </patternFill>
    </fill>
    <fill>
      <patternFill patternType="solid">
        <fgColor rgb="001B111D"/>
        <bgColor rgb="001B111D"/>
      </patternFill>
    </fill>
    <fill>
      <patternFill patternType="solid">
        <fgColor rgb="00251727"/>
        <bgColor rgb="00251727"/>
      </patternFill>
    </fill>
    <fill>
      <patternFill patternType="solid">
        <fgColor rgb="00492D4D"/>
        <bgColor rgb="00492D4D"/>
      </patternFill>
    </fill>
    <fill>
      <patternFill patternType="solid">
        <fgColor rgb="00311E33"/>
        <bgColor rgb="00311E33"/>
      </patternFill>
    </fill>
  </fills>
  <borders count="36">
    <border>
      <left/>
      <right/>
      <top/>
      <bottom/>
      <diagonal/>
    </border>
    <border>
      <bottom style="medium">
        <color rgb="FF8A7EC4"/>
      </bottom>
    </border>
    <border>
      <top style="medium">
        <color rgb="FF8A7EC4"/>
      </top>
    </border>
    <border>
      <right style="medium">
        <color rgb="FF8A7EC4"/>
      </right>
      <top style="medium">
        <color rgb="FF8A7EC4"/>
      </top>
    </border>
    <border>
      <left style="medium">
        <color rgb="FF8A7EC4"/>
      </left>
    </border>
    <border>
      <right style="medium">
        <color rgb="FF8A7EC4"/>
      </right>
    </border>
    <border>
      <left style="medium">
        <color rgb="FF8A7EC4"/>
      </left>
      <right style="medium">
        <color rgb="FF8A7EC4"/>
      </right>
      <top style="medium">
        <color rgb="FF8A7EC4"/>
      </top>
      <bottom style="medium">
        <color rgb="FF8A7EC4"/>
      </bottom>
    </border>
    <border>
      <top style="medium">
        <color rgb="FF8A7EC4"/>
      </top>
      <bottom style="medium">
        <color rgb="FF8A7EC4"/>
      </bottom>
    </border>
    <border>
      <right style="medium">
        <color rgb="FF8A7EC4"/>
      </right>
      <top style="medium">
        <color rgb="FF8A7EC4"/>
      </top>
      <bottom style="medium">
        <color rgb="FF8A7EC4"/>
      </bottom>
    </border>
    <border>
      <left style="medium">
        <color rgb="FF8A7EC4"/>
      </left>
      <bottom style="medium">
        <color rgb="FF8A7EC4"/>
      </bottom>
    </border>
    <border>
      <right style="medium">
        <color rgb="FF8A7EC4"/>
      </right>
      <bottom style="medium">
        <color rgb="FF8A7EC4"/>
      </bottom>
    </border>
    <border>
      <left style="medium">
        <color rgb="FF8A7EC4"/>
      </left>
      <right style="medium">
        <color rgb="FF8A7EC4"/>
      </right>
      <top style="medium">
        <color rgb="FF8A7EC4"/>
      </top>
    </border>
    <border>
      <left style="medium">
        <color rgb="FF8A7EC4"/>
      </left>
      <right style="medium">
        <color rgb="FF8A7EC4"/>
      </right>
      <bottom style="medium">
        <color rgb="FF8A7EC4"/>
      </bottom>
    </border>
    <border>
      <left/>
      <right/>
      <top style="medium">
        <color rgb="FF8A7EC4"/>
      </top>
      <bottom/>
      <diagonal/>
    </border>
    <border>
      <left/>
      <right style="medium">
        <color rgb="FF8A7EC4"/>
      </right>
      <top style="medium">
        <color rgb="FF8A7EC4"/>
      </top>
      <bottom/>
      <diagonal/>
    </border>
    <border>
      <left/>
      <right/>
      <top style="medium">
        <color rgb="FF8A7EC4"/>
      </top>
      <bottom style="medium">
        <color rgb="FF8A7EC4"/>
      </bottom>
      <diagonal/>
    </border>
    <border>
      <left/>
      <right style="medium">
        <color rgb="FF8A7EC4"/>
      </right>
      <top style="medium">
        <color rgb="FF8A7EC4"/>
      </top>
      <bottom style="medium">
        <color rgb="FF8A7EC4"/>
      </bottom>
      <diagonal/>
    </border>
    <border>
      <left style="medium">
        <color rgb="FF8A7EC4"/>
      </left>
      <right/>
      <top/>
      <bottom/>
      <diagonal/>
    </border>
    <border>
      <left/>
      <right style="medium">
        <color rgb="FF8A7EC4"/>
      </right>
      <top/>
      <bottom/>
      <diagonal/>
    </border>
    <border>
      <left style="medium">
        <color rgb="FF8A7EC4"/>
      </left>
      <right/>
      <top/>
      <bottom style="medium">
        <color rgb="FF8A7EC4"/>
      </bottom>
      <diagonal/>
    </border>
    <border>
      <left/>
      <right/>
      <top/>
      <bottom style="medium">
        <color rgb="FF8A7EC4"/>
      </bottom>
      <diagonal/>
    </border>
    <border>
      <left/>
      <right style="medium">
        <color rgb="FF8A7EC4"/>
      </right>
      <top/>
      <bottom style="medium">
        <color rgb="FF8A7EC4"/>
      </bottom>
      <diagonal/>
    </border>
    <border>
      <left style="medium">
        <color rgb="FF8A7EC4"/>
      </left>
      <right style="medium">
        <color rgb="FF8A7EC4"/>
      </right>
    </border>
    <border>
      <left style="medium">
        <color rgb="FF8A7EC4"/>
      </left>
      <top style="medium">
        <color rgb="FF8A7EC4"/>
      </top>
      <bottom style="medium">
        <color rgb="FF8A7EC4"/>
      </bottom>
    </border>
    <border>
      <left style="medium">
        <color rgb="FF8A7EC4"/>
      </left>
      <right style="medium">
        <color rgb="FF8A7EC4"/>
      </right>
      <top/>
      <bottom/>
      <diagonal/>
    </border>
    <border>
      <left style="medium">
        <color rgb="FF8A7EC4"/>
      </left>
      <right style="medium">
        <color rgb="FF8A7EC4"/>
      </right>
      <top/>
      <bottom style="medium">
        <color rgb="FF8A7EC4"/>
      </bottom>
      <diagonal/>
    </border>
    <border>
      <left style="thin">
        <color rgb="00B377BB"/>
      </left>
      <right style="thin">
        <color rgb="00B377BB"/>
      </right>
      <top style="thin">
        <color rgb="00B377BB"/>
      </top>
      <bottom style="thin">
        <color rgb="00B377BB"/>
      </bottom>
    </border>
    <border>
      <left/>
      <right/>
      <top style="thin">
        <color rgb="00B377BB"/>
      </top>
      <bottom/>
      <diagonal/>
    </border>
    <border>
      <left/>
      <right style="thin">
        <color rgb="00B377BB"/>
      </right>
      <top style="thin">
        <color rgb="00B377BB"/>
      </top>
      <bottom/>
      <diagonal/>
    </border>
    <border>
      <left/>
      <right style="thin">
        <color rgb="00B377BB"/>
      </right>
      <top style="thin">
        <color rgb="00B377BB"/>
      </top>
      <bottom style="thin">
        <color rgb="00B377BB"/>
      </bottom>
      <diagonal/>
    </border>
    <border>
      <left/>
      <right/>
      <top style="thin">
        <color rgb="00B377BB"/>
      </top>
      <bottom style="thin">
        <color rgb="00B377BB"/>
      </bottom>
      <diagonal/>
    </border>
    <border>
      <left style="thin">
        <color rgb="00B377BB"/>
      </left>
      <right/>
      <top/>
      <bottom/>
      <diagonal/>
    </border>
    <border>
      <left/>
      <right style="thin">
        <color rgb="00B377BB"/>
      </right>
      <top/>
      <bottom/>
      <diagonal/>
    </border>
    <border>
      <left style="thin">
        <color rgb="00B377BB"/>
      </left>
      <right/>
      <top/>
      <bottom style="thin">
        <color rgb="00B377BB"/>
      </bottom>
      <diagonal/>
    </border>
    <border>
      <left/>
      <right/>
      <top/>
      <bottom style="thin">
        <color rgb="00B377BB"/>
      </bottom>
      <diagonal/>
    </border>
    <border>
      <left/>
      <right style="thin">
        <color rgb="00B377BB"/>
      </right>
      <top/>
      <bottom style="thin">
        <color rgb="00B377BB"/>
      </bottom>
      <diagonal/>
    </border>
  </borders>
  <cellStyleXfs count="1">
    <xf numFmtId="0" fontId="0" fillId="0" borderId="0"/>
  </cellStyleXfs>
  <cellXfs count="19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right" vertical="center"/>
    </xf>
    <xf numFmtId="0" fontId="5" fillId="2" borderId="0" applyAlignment="1" pivotButton="0" quotePrefix="0" xfId="0">
      <alignment horizontal="left" vertical="center"/>
    </xf>
    <xf numFmtId="0" fontId="6" fillId="2" borderId="0" applyAlignment="1" pivotButton="0" quotePrefix="0" xfId="0">
      <alignment horizontal="right" vertical="center"/>
    </xf>
    <xf numFmtId="0" fontId="1" fillId="2" borderId="1"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center" vertical="center"/>
    </xf>
    <xf numFmtId="0" fontId="1" fillId="3" borderId="2" applyAlignment="1" pivotButton="0" quotePrefix="0" xfId="0">
      <alignment horizontal="left" vertical="center"/>
    </xf>
    <xf numFmtId="0" fontId="1" fillId="3" borderId="3" applyAlignment="1" pivotButton="0" quotePrefix="0" xfId="0">
      <alignment horizontal="left" vertical="center"/>
    </xf>
    <xf numFmtId="0" fontId="1" fillId="3" borderId="4" applyAlignment="1" pivotButton="0" quotePrefix="0" xfId="0">
      <alignment horizontal="left" vertical="center"/>
    </xf>
    <xf numFmtId="0" fontId="2" fillId="3" borderId="0" applyAlignment="1" pivotButton="0" quotePrefix="0" xfId="0">
      <alignment horizontal="center" vertical="center" wrapText="1"/>
    </xf>
    <xf numFmtId="0" fontId="1" fillId="3" borderId="5" applyAlignment="1" pivotButton="0" quotePrefix="0" xfId="0">
      <alignment horizontal="left" vertical="center"/>
    </xf>
    <xf numFmtId="0" fontId="7" fillId="4" borderId="6" applyAlignment="1" pivotButton="0" quotePrefix="0" xfId="0">
      <alignment horizontal="center" vertical="center"/>
    </xf>
    <xf numFmtId="0" fontId="0" fillId="0" borderId="15" pivotButton="0" quotePrefix="0" xfId="0"/>
    <xf numFmtId="0" fontId="0" fillId="0" borderId="16" pivotButton="0" quotePrefix="0" xfId="0"/>
    <xf numFmtId="0" fontId="8" fillId="5" borderId="6" applyAlignment="1" pivotButton="0" quotePrefix="0" xfId="0">
      <alignment horizontal="center" vertical="center"/>
    </xf>
    <xf numFmtId="0" fontId="0" fillId="0" borderId="13" pivotButton="0" quotePrefix="0" xfId="0"/>
    <xf numFmtId="0" fontId="0" fillId="0" borderId="14"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9" fillId="4" borderId="6" applyAlignment="1" pivotButton="0" quotePrefix="0" xfId="0">
      <alignment horizontal="center" vertical="center"/>
    </xf>
    <xf numFmtId="0" fontId="9" fillId="4" borderId="8" applyAlignment="1" pivotButton="0" quotePrefix="0" xfId="0">
      <alignment horizontal="center" vertical="center"/>
    </xf>
    <xf numFmtId="0" fontId="8" fillId="5" borderId="11" applyAlignment="1" pivotButton="0" quotePrefix="0" xfId="0">
      <alignment horizontal="center" vertical="center"/>
    </xf>
    <xf numFmtId="0" fontId="8" fillId="5" borderId="3" applyAlignment="1" pivotButton="0" quotePrefix="0" xfId="0">
      <alignment horizontal="center" vertical="center"/>
    </xf>
    <xf numFmtId="0" fontId="10" fillId="5" borderId="11" applyAlignment="1" pivotButton="0" quotePrefix="0" xfId="0">
      <alignment horizontal="center" vertical="center"/>
    </xf>
    <xf numFmtId="0" fontId="1" fillId="3" borderId="1" applyAlignment="1" pivotButton="0" quotePrefix="0" xfId="0">
      <alignment horizontal="left" vertical="center"/>
    </xf>
    <xf numFmtId="0" fontId="9" fillId="4" borderId="12" applyAlignment="1" pivotButton="0" quotePrefix="0" xfId="0">
      <alignment horizontal="center" vertical="center"/>
    </xf>
    <xf numFmtId="0" fontId="9" fillId="4" borderId="10" applyAlignment="1" pivotButton="0" quotePrefix="0" xfId="0">
      <alignment horizontal="center" vertical="center"/>
    </xf>
    <xf numFmtId="0" fontId="1" fillId="3" borderId="9" applyAlignment="1" pivotButton="0" quotePrefix="0" xfId="0">
      <alignment horizontal="left" vertical="center"/>
    </xf>
    <xf numFmtId="0" fontId="1" fillId="5" borderId="8" applyAlignment="1" pivotButton="0" quotePrefix="0" xfId="0">
      <alignment horizontal="center" vertical="center"/>
    </xf>
    <xf numFmtId="0" fontId="1" fillId="5" borderId="6" applyAlignment="1" pivotButton="0" quotePrefix="0" xfId="0">
      <alignment horizontal="center" vertical="center"/>
    </xf>
    <xf numFmtId="0" fontId="11" fillId="3" borderId="0" applyAlignment="1" pivotButton="0" quotePrefix="0" xfId="0">
      <alignment horizontal="left" vertical="center"/>
    </xf>
    <xf numFmtId="0" fontId="9" fillId="3" borderId="0" applyAlignment="1" pivotButton="0" quotePrefix="0" xfId="0">
      <alignment horizontal="right" vertical="center"/>
    </xf>
    <xf numFmtId="0" fontId="5" fillId="3" borderId="0" applyAlignment="1" pivotButton="0" quotePrefix="0" xfId="0">
      <alignment horizontal="left" vertical="center"/>
    </xf>
    <xf numFmtId="0" fontId="12" fillId="3" borderId="0" applyAlignment="1" pivotButton="0" quotePrefix="0" xfId="0">
      <alignment horizontal="right" vertical="center"/>
    </xf>
    <xf numFmtId="0" fontId="1" fillId="6" borderId="0" applyAlignment="1" pivotButton="0" quotePrefix="0" xfId="0">
      <alignment horizontal="left" vertical="center"/>
    </xf>
    <xf numFmtId="0" fontId="13" fillId="3" borderId="0" applyAlignment="1" pivotButton="0" quotePrefix="0" xfId="0">
      <alignment horizontal="left" vertical="center"/>
    </xf>
    <xf numFmtId="0" fontId="2" fillId="3" borderId="0" applyAlignment="1" pivotButton="0" quotePrefix="0" xfId="0">
      <alignment horizontal="center" vertical="center"/>
    </xf>
    <xf numFmtId="0" fontId="3" fillId="3" borderId="0" applyAlignment="1" pivotButton="0" quotePrefix="0" xfId="0">
      <alignment horizontal="left" vertical="bottom"/>
    </xf>
    <xf numFmtId="0" fontId="14" fillId="3" borderId="0" applyAlignment="1" pivotButton="0" quotePrefix="0" xfId="0">
      <alignment horizontal="right" vertical="bottom"/>
    </xf>
    <xf numFmtId="0" fontId="5" fillId="3" borderId="0" applyAlignment="1" pivotButton="0" quotePrefix="0" xfId="0">
      <alignment horizontal="left" vertical="top"/>
    </xf>
    <xf numFmtId="0" fontId="5" fillId="3" borderId="0" applyAlignment="1" pivotButton="0" quotePrefix="0" xfId="0">
      <alignment horizontal="right" vertical="top"/>
    </xf>
    <xf numFmtId="0" fontId="15" fillId="3" borderId="5" applyAlignment="1" pivotButton="0" quotePrefix="0" xfId="0">
      <alignment horizontal="center" vertical="center" textRotation="90"/>
    </xf>
    <xf numFmtId="0" fontId="16" fillId="7" borderId="6" applyAlignment="1" pivotButton="0" quotePrefix="0" xfId="0">
      <alignment horizontal="center" vertical="center" wrapText="1"/>
    </xf>
    <xf numFmtId="0" fontId="17" fillId="4" borderId="11" applyAlignment="1" pivotButton="0" quotePrefix="0" xfId="0">
      <alignment horizontal="left" vertical="center"/>
    </xf>
    <xf numFmtId="0" fontId="18" fillId="6" borderId="0" applyAlignment="1" pivotButton="0" quotePrefix="0" xfId="0">
      <alignment horizontal="left" vertical="center"/>
    </xf>
    <xf numFmtId="0" fontId="18" fillId="6" borderId="2" applyAlignment="1" pivotButton="0" quotePrefix="0" xfId="0">
      <alignment horizontal="left" vertical="center"/>
    </xf>
    <xf numFmtId="0" fontId="18" fillId="6" borderId="7" applyAlignment="1" pivotButton="0" quotePrefix="0" xfId="0">
      <alignment horizontal="left" vertical="center"/>
    </xf>
    <xf numFmtId="0" fontId="18" fillId="6" borderId="1" applyAlignment="1" pivotButton="0" quotePrefix="0" xfId="0">
      <alignment horizontal="left" vertical="center"/>
    </xf>
    <xf numFmtId="0" fontId="44" fillId="7" borderId="6" applyAlignment="1" pivotButton="0" quotePrefix="0" xfId="0">
      <alignment horizontal="left" vertical="center"/>
    </xf>
    <xf numFmtId="0" fontId="19" fillId="4" borderId="6" applyAlignment="1" pivotButton="0" quotePrefix="0" xfId="0">
      <alignment horizontal="center" vertical="center"/>
    </xf>
    <xf numFmtId="0" fontId="18" fillId="6" borderId="22" applyAlignment="1" pivotButton="0" quotePrefix="0" xfId="0">
      <alignment horizontal="left" vertical="center"/>
    </xf>
    <xf numFmtId="0" fontId="19" fillId="4" borderId="12" applyAlignment="1" pivotButton="0" quotePrefix="0" xfId="0">
      <alignment horizontal="center" vertical="center"/>
    </xf>
    <xf numFmtId="0" fontId="18" fillId="6" borderId="5" applyAlignment="1" pivotButton="0" quotePrefix="0" xfId="0">
      <alignment horizontal="left" vertical="center"/>
    </xf>
    <xf numFmtId="0" fontId="19" fillId="4" borderId="10" applyAlignment="1" pivotButton="0" quotePrefix="0" xfId="0">
      <alignment horizontal="center" vertical="center"/>
    </xf>
    <xf numFmtId="0" fontId="40" fillId="2" borderId="6" applyAlignment="1" pivotButton="0" quotePrefix="0" xfId="0">
      <alignment horizontal="left" vertical="top" wrapText="1"/>
    </xf>
    <xf numFmtId="0" fontId="18" fillId="5" borderId="11" applyAlignment="1" pivotButton="0" quotePrefix="0" xfId="0">
      <alignment horizontal="center" vertical="center"/>
    </xf>
    <xf numFmtId="0" fontId="18" fillId="5" borderId="3" applyAlignment="1" pivotButton="0" quotePrefix="0" xfId="0">
      <alignment horizontal="center" vertical="center"/>
    </xf>
    <xf numFmtId="0" fontId="20" fillId="5" borderId="3" applyAlignment="1" pivotButton="0" quotePrefix="0" xfId="0">
      <alignment horizontal="center" vertical="center"/>
    </xf>
    <xf numFmtId="0" fontId="21" fillId="5" borderId="3" applyAlignment="1" pivotButton="0" quotePrefix="0" xfId="0">
      <alignment horizontal="center" vertical="center"/>
    </xf>
    <xf numFmtId="0" fontId="0" fillId="0" borderId="24" pivotButton="0" quotePrefix="0" xfId="0"/>
    <xf numFmtId="0" fontId="18" fillId="6" borderId="2" applyAlignment="1" pivotButton="0" quotePrefix="0" xfId="0">
      <alignment horizontal="center" vertical="center"/>
    </xf>
    <xf numFmtId="0" fontId="22" fillId="4" borderId="6" applyAlignment="1" pivotButton="0" quotePrefix="0" xfId="0">
      <alignment horizontal="center" vertical="center"/>
    </xf>
    <xf numFmtId="0" fontId="16" fillId="7" borderId="6" applyAlignment="1" pivotButton="0" quotePrefix="0" xfId="0">
      <alignment horizontal="center" vertical="center"/>
    </xf>
    <xf numFmtId="0" fontId="18" fillId="6" borderId="4" applyAlignment="1" pivotButton="0" quotePrefix="0" xfId="0">
      <alignment horizontal="left" vertical="center"/>
    </xf>
    <xf numFmtId="0" fontId="23" fillId="5" borderId="6" applyAlignment="1" pivotButton="0" quotePrefix="0" xfId="0">
      <alignment horizontal="center" vertical="center"/>
    </xf>
    <xf numFmtId="0" fontId="22" fillId="4" borderId="23" applyAlignment="1" pivotButton="0" quotePrefix="0" xfId="0">
      <alignment horizontal="center" vertical="center"/>
    </xf>
    <xf numFmtId="0" fontId="18" fillId="6" borderId="0" applyAlignment="1" pivotButton="0" quotePrefix="0" xfId="0">
      <alignment horizontal="center" vertical="center"/>
    </xf>
    <xf numFmtId="0" fontId="24" fillId="5" borderId="6" applyAlignment="1" pivotButton="0" quotePrefix="0" xfId="0">
      <alignment horizontal="center" vertical="center"/>
    </xf>
    <xf numFmtId="0" fontId="24" fillId="5" borderId="8" applyAlignment="1" pivotButton="0" quotePrefix="0" xfId="0">
      <alignment horizontal="center" vertical="center"/>
    </xf>
    <xf numFmtId="0" fontId="19" fillId="5" borderId="6" applyAlignment="1" pivotButton="0" quotePrefix="0" xfId="0">
      <alignment horizontal="center" vertical="center"/>
    </xf>
    <xf numFmtId="0" fontId="19" fillId="5" borderId="12" applyAlignment="1" pivotButton="0" quotePrefix="0" xfId="0">
      <alignment horizontal="center" vertical="center"/>
    </xf>
    <xf numFmtId="0" fontId="19" fillId="5" borderId="10" applyAlignment="1" pivotButton="0" quotePrefix="0" xfId="0">
      <alignment horizontal="center" vertical="center"/>
    </xf>
    <xf numFmtId="0" fontId="25" fillId="4" borderId="6" applyAlignment="1" pivotButton="0" quotePrefix="0" xfId="0">
      <alignment horizontal="center" vertical="center"/>
    </xf>
    <xf numFmtId="0" fontId="25" fillId="4" borderId="8" applyAlignment="1" pivotButton="0" quotePrefix="0" xfId="0">
      <alignment horizontal="center" vertical="center"/>
    </xf>
    <xf numFmtId="0" fontId="19" fillId="4" borderId="8" applyAlignment="1" pivotButton="0" quotePrefix="0" xfId="0">
      <alignment horizontal="center" vertical="center" wrapText="1"/>
    </xf>
    <xf numFmtId="0" fontId="16" fillId="5" borderId="6" applyAlignment="1" pivotButton="0" quotePrefix="0" xfId="0">
      <alignment horizontal="center" vertical="center"/>
    </xf>
    <xf numFmtId="0" fontId="26" fillId="5" borderId="6" applyAlignment="1" pivotButton="0" quotePrefix="0" xfId="0">
      <alignment horizontal="center" vertical="center"/>
    </xf>
    <xf numFmtId="0" fontId="23" fillId="5" borderId="6" applyAlignment="1" pivotButton="0" quotePrefix="0" xfId="0">
      <alignment horizontal="center" vertical="center" wrapText="1"/>
    </xf>
    <xf numFmtId="0" fontId="27" fillId="5" borderId="6" applyAlignment="1" pivotButton="0" quotePrefix="0" xfId="0">
      <alignment horizontal="left" vertical="center"/>
    </xf>
    <xf numFmtId="0" fontId="28" fillId="5" borderId="12" applyAlignment="1" pivotButton="0" quotePrefix="0" xfId="0">
      <alignment horizontal="center" vertical="center"/>
    </xf>
    <xf numFmtId="0" fontId="18" fillId="5" borderId="6" applyAlignment="1" pivotButton="0" quotePrefix="0" xfId="0">
      <alignment horizontal="center" vertical="center"/>
    </xf>
    <xf numFmtId="0" fontId="29" fillId="5" borderId="6" applyAlignment="1" pivotButton="0" quotePrefix="0" xfId="0">
      <alignment horizontal="left" vertical="center"/>
    </xf>
    <xf numFmtId="0" fontId="26" fillId="5" borderId="8" applyAlignment="1" pivotButton="0" quotePrefix="0" xfId="0">
      <alignment horizontal="center" vertical="center"/>
    </xf>
    <xf numFmtId="0" fontId="18" fillId="5" borderId="5" applyAlignment="1" pivotButton="0" quotePrefix="0" xfId="0">
      <alignment horizontal="center" vertical="center"/>
    </xf>
    <xf numFmtId="0" fontId="30" fillId="4" borderId="6" applyAlignment="1" pivotButton="0" quotePrefix="0" xfId="0">
      <alignment horizontal="center" vertical="center" wrapText="1"/>
    </xf>
    <xf numFmtId="0" fontId="37" fillId="7" borderId="6" applyAlignment="1" pivotButton="0" quotePrefix="0" xfId="0">
      <alignment horizontal="left" vertical="center"/>
    </xf>
    <xf numFmtId="0" fontId="17" fillId="5" borderId="6" applyAlignment="1" pivotButton="0" quotePrefix="0" xfId="0">
      <alignment horizontal="center" vertical="center"/>
    </xf>
    <xf numFmtId="0" fontId="41" fillId="2" borderId="6" applyAlignment="1" pivotButton="0" quotePrefix="0" xfId="0">
      <alignment horizontal="center" vertical="center" wrapText="1"/>
    </xf>
    <xf numFmtId="0" fontId="42" fillId="5" borderId="6" applyAlignment="1" pivotButton="0" quotePrefix="0" xfId="0">
      <alignment horizontal="center" vertical="center"/>
    </xf>
    <xf numFmtId="0" fontId="43" fillId="5" borderId="6" applyAlignment="1" pivotButton="0" quotePrefix="0" xfId="0">
      <alignment horizontal="left" vertical="center"/>
    </xf>
    <xf numFmtId="0" fontId="17" fillId="5" borderId="23" applyAlignment="1" pivotButton="0" quotePrefix="0" xfId="0">
      <alignment horizontal="center" vertical="center"/>
    </xf>
    <xf numFmtId="0" fontId="17" fillId="5" borderId="7" applyAlignment="1" pivotButton="0" quotePrefix="0" xfId="0">
      <alignment horizontal="center" vertical="center"/>
    </xf>
    <xf numFmtId="0" fontId="17" fillId="5" borderId="8" applyAlignment="1" pivotButton="0" quotePrefix="0" xfId="0">
      <alignment horizontal="center" vertical="center"/>
    </xf>
    <xf numFmtId="0" fontId="42" fillId="5" borderId="6" applyAlignment="1" pivotButton="0" quotePrefix="0" xfId="0">
      <alignment horizontal="left" vertical="top" wrapText="1"/>
    </xf>
    <xf numFmtId="0" fontId="17" fillId="4" borderId="6" applyAlignment="1" pivotButton="0" quotePrefix="0" xfId="0">
      <alignment horizontal="left" vertical="center"/>
    </xf>
    <xf numFmtId="0" fontId="22" fillId="5" borderId="6" applyAlignment="1" pivotButton="0" quotePrefix="0" xfId="0">
      <alignment horizontal="center" vertical="center" wrapText="1"/>
    </xf>
    <xf numFmtId="0" fontId="23" fillId="5" borderId="23" applyAlignment="1" pivotButton="0" quotePrefix="0" xfId="0">
      <alignment horizontal="center" vertical="center"/>
    </xf>
    <xf numFmtId="0" fontId="19" fillId="4" borderId="8" applyAlignment="1" pivotButton="0" quotePrefix="0" xfId="0">
      <alignment horizontal="center" vertical="center"/>
    </xf>
    <xf numFmtId="0" fontId="31" fillId="5" borderId="6" applyAlignment="1" pivotButton="0" quotePrefix="0" xfId="0">
      <alignment horizontal="center" vertical="center"/>
    </xf>
    <xf numFmtId="0" fontId="32" fillId="6" borderId="0" applyAlignment="1" pivotButton="0" quotePrefix="0" xfId="0">
      <alignment horizontal="left" vertical="center"/>
    </xf>
    <xf numFmtId="0" fontId="33" fillId="4" borderId="6" applyAlignment="1" pivotButton="0" quotePrefix="0" xfId="0">
      <alignment horizontal="center" vertical="center" wrapText="1"/>
    </xf>
    <xf numFmtId="0" fontId="18" fillId="8" borderId="6" applyAlignment="1" pivotButton="0" quotePrefix="0" xfId="0">
      <alignment horizontal="center" vertical="center"/>
    </xf>
    <xf numFmtId="0" fontId="34" fillId="5" borderId="6" applyAlignment="1" pivotButton="0" quotePrefix="0" xfId="0">
      <alignment horizontal="left" vertical="center"/>
    </xf>
    <xf numFmtId="0" fontId="35" fillId="5" borderId="6" applyAlignment="1" pivotButton="0" quotePrefix="0" xfId="0">
      <alignment horizontal="center" vertical="center"/>
    </xf>
    <xf numFmtId="0" fontId="36" fillId="5" borderId="8" applyAlignment="1" pivotButton="0" quotePrefix="0" xfId="0">
      <alignment horizontal="center" vertical="center" wrapText="1"/>
    </xf>
    <xf numFmtId="0" fontId="31" fillId="4" borderId="6" applyAlignment="1" pivotButton="0" quotePrefix="0" xfId="0">
      <alignment horizontal="center" vertical="center"/>
    </xf>
    <xf numFmtId="0" fontId="22" fillId="5" borderId="6" applyAlignment="1" pivotButton="0" quotePrefix="0" xfId="0">
      <alignment horizontal="center" vertical="center"/>
    </xf>
    <xf numFmtId="0" fontId="43" fillId="5" borderId="6" applyAlignment="1" pivotButton="0" quotePrefix="0" xfId="0">
      <alignment horizontal="left" vertical="center" wrapText="1"/>
    </xf>
    <xf numFmtId="0" fontId="42" fillId="4" borderId="6" applyAlignment="1" pivotButton="0" quotePrefix="0" xfId="0">
      <alignment horizontal="center" vertical="center" wrapText="1"/>
    </xf>
    <xf numFmtId="0" fontId="42" fillId="5" borderId="6" applyAlignment="1" pivotButton="0" quotePrefix="0" xfId="0">
      <alignment horizontal="center" vertical="center" wrapText="1"/>
    </xf>
    <xf numFmtId="0" fontId="36" fillId="5" borderId="6" applyAlignment="1" pivotButton="0" quotePrefix="0" xfId="0">
      <alignment horizontal="center" vertical="center" wrapText="1"/>
    </xf>
    <xf numFmtId="0" fontId="36" fillId="5" borderId="6" applyAlignment="1" pivotButton="0" quotePrefix="0" xfId="0">
      <alignment horizontal="left" vertical="center"/>
    </xf>
    <xf numFmtId="0" fontId="19" fillId="8" borderId="6" applyAlignment="1" pivotButton="0" quotePrefix="0" xfId="0">
      <alignment horizontal="left" vertical="center"/>
    </xf>
    <xf numFmtId="0" fontId="34" fillId="5" borderId="23" applyAlignment="1" pivotButton="0" quotePrefix="0" xfId="0">
      <alignment horizontal="center" vertical="center"/>
    </xf>
    <xf numFmtId="0" fontId="34" fillId="5" borderId="6" applyAlignment="1" pivotButton="0" quotePrefix="0" xfId="0">
      <alignment horizontal="center" vertical="center"/>
    </xf>
    <xf numFmtId="0" fontId="36" fillId="5" borderId="23" applyAlignment="1" pivotButton="0" quotePrefix="0" xfId="0">
      <alignment horizontal="left" vertical="center"/>
    </xf>
    <xf numFmtId="0" fontId="37" fillId="8" borderId="6" applyAlignment="1" pivotButton="0" quotePrefix="0" xfId="0">
      <alignment horizontal="left" vertical="center"/>
    </xf>
    <xf numFmtId="0" fontId="38" fillId="4" borderId="6" applyAlignment="1" pivotButton="0" quotePrefix="0" xfId="0">
      <alignment horizontal="center" vertical="center" wrapText="1"/>
    </xf>
    <xf numFmtId="0" fontId="38" fillId="4" borderId="8" applyAlignment="1" pivotButton="0" quotePrefix="0" xfId="0">
      <alignment horizontal="center" vertical="center" wrapText="1"/>
    </xf>
    <xf numFmtId="0" fontId="38" fillId="5" borderId="6" applyAlignment="1" pivotButton="0" quotePrefix="0" xfId="0">
      <alignment horizontal="center" vertical="center" wrapText="1"/>
    </xf>
    <xf numFmtId="0" fontId="38" fillId="5" borderId="8" applyAlignment="1" pivotButton="0" quotePrefix="0" xfId="0">
      <alignment horizontal="center" vertical="center" wrapText="1"/>
    </xf>
    <xf numFmtId="0" fontId="0" fillId="0" borderId="25" pivotButton="0" quotePrefix="0" xfId="0"/>
    <xf numFmtId="0" fontId="37" fillId="4" borderId="6" applyAlignment="1" pivotButton="0" quotePrefix="0" xfId="0">
      <alignment horizontal="left" vertical="center"/>
    </xf>
    <xf numFmtId="0" fontId="22" fillId="7" borderId="6" applyAlignment="1" pivotButton="0" quotePrefix="0" xfId="0">
      <alignment horizontal="center" vertical="center"/>
    </xf>
    <xf numFmtId="0" fontId="39" fillId="7" borderId="6" applyAlignment="1" pivotButton="0" quotePrefix="0" xfId="0">
      <alignment horizontal="left" vertical="center"/>
    </xf>
    <xf numFmtId="0" fontId="23" fillId="7" borderId="6" applyAlignment="1" pivotButton="0" quotePrefix="0" xfId="0">
      <alignment horizontal="center" vertical="center"/>
    </xf>
    <xf numFmtId="0" fontId="43" fillId="5" borderId="6" applyAlignment="1" pivotButton="0" quotePrefix="0" xfId="0">
      <alignment horizontal="center" vertical="center"/>
    </xf>
    <xf numFmtId="0" fontId="7" fillId="2" borderId="6" applyAlignment="1" pivotButton="0" quotePrefix="0" xfId="0">
      <alignment horizontal="left" vertical="center"/>
    </xf>
    <xf numFmtId="0" fontId="22" fillId="4" borderId="6" applyAlignment="1" pivotButton="0" quotePrefix="0" xfId="0">
      <alignment horizontal="center" vertical="center" wrapText="1"/>
    </xf>
    <xf numFmtId="0" fontId="42" fillId="5" borderId="6" applyAlignment="1" pivotButton="0" quotePrefix="0" xfId="0">
      <alignment horizontal="left" vertical="center" wrapText="1"/>
    </xf>
    <xf numFmtId="0" fontId="0" fillId="6" borderId="0" pivotButton="0" quotePrefix="0" xfId="0"/>
    <xf numFmtId="0" fontId="19" fillId="2" borderId="6" applyAlignment="1" pivotButton="0" quotePrefix="0" xfId="0">
      <alignment horizontal="center" vertical="center"/>
    </xf>
    <xf numFmtId="0" fontId="5" fillId="6" borderId="0" applyAlignment="1" pivotButton="0" quotePrefix="0" xfId="0">
      <alignment horizontal="left" vertical="center"/>
    </xf>
    <xf numFmtId="164" fontId="22" fillId="5" borderId="6" applyAlignment="1" pivotButton="0" quotePrefix="0" xfId="0">
      <alignment horizontal="center" vertical="center"/>
    </xf>
    <xf numFmtId="164" fontId="22" fillId="7" borderId="6" applyAlignment="1" pivotButton="0" quotePrefix="0" xfId="0">
      <alignment horizontal="center" vertical="center"/>
    </xf>
    <xf numFmtId="0" fontId="43" fillId="4" borderId="6" applyAlignment="1" pivotButton="0" quotePrefix="0" xfId="0">
      <alignment horizontal="center" vertical="center"/>
    </xf>
    <xf numFmtId="0" fontId="5" fillId="5" borderId="6" applyAlignment="1" pivotButton="0" quotePrefix="0" xfId="0">
      <alignment horizontal="center" vertical="center"/>
    </xf>
    <xf numFmtId="0" fontId="42" fillId="5" borderId="6" applyAlignment="1" pivotButton="0" quotePrefix="0" xfId="0">
      <alignment horizontal="left" vertical="center"/>
    </xf>
    <xf numFmtId="0" fontId="45" fillId="2" borderId="6" applyAlignment="1" pivotButton="0" quotePrefix="0" xfId="0">
      <alignment horizontal="left" vertical="center" wrapText="1"/>
    </xf>
    <xf numFmtId="0" fontId="37" fillId="2" borderId="6" applyAlignment="1" pivotButton="0" quotePrefix="0" xfId="0">
      <alignment horizontal="left" vertical="center"/>
    </xf>
    <xf numFmtId="0" fontId="42" fillId="7" borderId="6" applyAlignment="1" pivotButton="0" quotePrefix="0" xfId="0">
      <alignment horizontal="left" vertical="center"/>
    </xf>
    <xf numFmtId="0" fontId="5" fillId="5" borderId="6" applyAlignment="1" pivotButton="0" quotePrefix="0" xfId="0">
      <alignment horizontal="left" vertical="center" wrapText="1"/>
    </xf>
    <xf numFmtId="0" fontId="45" fillId="2" borderId="6" applyAlignment="1" pivotButton="0" quotePrefix="0" xfId="0">
      <alignment horizontal="left" vertical="top" wrapText="1"/>
    </xf>
    <xf numFmtId="0" fontId="5" fillId="5" borderId="6" applyAlignment="1" pivotButton="0" quotePrefix="0" xfId="0">
      <alignment horizontal="left" vertical="center"/>
    </xf>
    <xf numFmtId="0" fontId="37" fillId="7" borderId="0" applyAlignment="1" pivotButton="0" quotePrefix="0" xfId="0">
      <alignment horizontal="center" vertical="center"/>
    </xf>
    <xf numFmtId="0" fontId="44" fillId="7" borderId="6" applyAlignment="1" pivotButton="0" quotePrefix="0" xfId="0">
      <alignment horizontal="center" vertical="center"/>
    </xf>
    <xf numFmtId="0" fontId="37" fillId="3" borderId="0" applyAlignment="1" pivotButton="0" quotePrefix="0" xfId="0">
      <alignment horizontal="center" vertical="top" textRotation="90"/>
    </xf>
    <xf numFmtId="0" fontId="2" fillId="2" borderId="6" applyAlignment="1" pivotButton="0" quotePrefix="0" xfId="0">
      <alignment horizontal="center" vertical="center" wrapText="1"/>
    </xf>
    <xf numFmtId="165" fontId="42" fillId="5" borderId="6" applyAlignment="1" pivotButton="0" quotePrefix="0" xfId="0">
      <alignment horizontal="center" vertical="center"/>
    </xf>
    <xf numFmtId="166" fontId="5" fillId="5" borderId="6" applyAlignment="1" pivotButton="0" quotePrefix="0" xfId="0">
      <alignment horizontal="center" vertical="center"/>
    </xf>
    <xf numFmtId="0" fontId="9" fillId="2" borderId="6" applyAlignment="1" pivotButton="0" quotePrefix="0" xfId="0">
      <alignment horizontal="center" vertical="center" wrapText="1"/>
    </xf>
    <xf numFmtId="167" fontId="31" fillId="5" borderId="6" applyAlignment="1" pivotButton="0" quotePrefix="0" xfId="0">
      <alignment horizontal="center" vertical="center"/>
    </xf>
    <xf numFmtId="0" fontId="7" fillId="6" borderId="0" applyAlignment="1" pivotButton="0" quotePrefix="0" xfId="0">
      <alignment horizontal="left" vertical="center"/>
    </xf>
    <xf numFmtId="0" fontId="46" fillId="6" borderId="0" applyAlignment="1" pivotButton="0" quotePrefix="0" xfId="0">
      <alignment horizontal="left" vertical="center"/>
    </xf>
    <xf numFmtId="0" fontId="7" fillId="6" borderId="0" applyAlignment="1" pivotButton="0" quotePrefix="0" xfId="0">
      <alignment horizontal="center" vertical="center"/>
    </xf>
    <xf numFmtId="0" fontId="13" fillId="6" borderId="0" applyAlignment="1" pivotButton="0" quotePrefix="0" xfId="0">
      <alignment horizontal="left" vertical="center"/>
    </xf>
    <xf numFmtId="0" fontId="5" fillId="6" borderId="0" applyAlignment="1" pivotButton="0" quotePrefix="0" xfId="0">
      <alignment horizontal="center" vertical="center"/>
    </xf>
    <xf numFmtId="0" fontId="13" fillId="6" borderId="0" applyAlignment="1" pivotButton="0" quotePrefix="0" xfId="0">
      <alignment horizontal="center" vertical="center"/>
    </xf>
    <xf numFmtId="0" fontId="31" fillId="4" borderId="23" applyAlignment="1" pivotButton="0" quotePrefix="0" xfId="0">
      <alignment horizontal="left" vertical="center"/>
    </xf>
    <xf numFmtId="0" fontId="47" fillId="4" borderId="8" applyAlignment="1" pivotButton="0" quotePrefix="0" xfId="0">
      <alignment horizontal="right" vertical="center"/>
    </xf>
    <xf numFmtId="0" fontId="17" fillId="7" borderId="6" applyAlignment="1" pivotButton="0" quotePrefix="0" xfId="0">
      <alignment horizontal="left" vertical="center"/>
    </xf>
    <xf numFmtId="0" fontId="5" fillId="7" borderId="6" applyAlignment="1" pivotButton="0" quotePrefix="0" xfId="0">
      <alignment horizontal="left" vertical="center"/>
    </xf>
    <xf numFmtId="0" fontId="19" fillId="4" borderId="6" applyAlignment="1" pivotButton="0" quotePrefix="0" xfId="0">
      <alignment horizontal="left" vertical="center"/>
    </xf>
    <xf numFmtId="0" fontId="36" fillId="5" borderId="6" applyAlignment="1" pivotButton="0" quotePrefix="0" xfId="0">
      <alignment horizontal="left" vertical="center" wrapText="1"/>
    </xf>
    <xf numFmtId="0" fontId="45" fillId="5" borderId="6" applyAlignment="1" pivotButton="0" quotePrefix="0" xfId="0">
      <alignment horizontal="left" vertical="center" wrapText="1"/>
    </xf>
    <xf numFmtId="0" fontId="23" fillId="4" borderId="6" applyAlignment="1" pivotButton="0" quotePrefix="0" xfId="0">
      <alignment horizontal="center" vertical="center" wrapText="1"/>
    </xf>
    <xf numFmtId="0" fontId="36" fillId="4" borderId="6" applyAlignment="1" pivotButton="0" quotePrefix="0" xfId="0">
      <alignment horizontal="left" vertical="center" wrapText="1"/>
    </xf>
    <xf numFmtId="0" fontId="45" fillId="4" borderId="6" applyAlignment="1" pivotButton="0" quotePrefix="0" xfId="0">
      <alignment horizontal="left" vertical="center" wrapText="1"/>
    </xf>
    <xf numFmtId="0" fontId="48" fillId="9" borderId="0" pivotButton="0" quotePrefix="0" xfId="0"/>
    <xf numFmtId="0" fontId="49" fillId="10" borderId="0" applyAlignment="1" pivotButton="0" quotePrefix="0" xfId="0">
      <alignment horizontal="left" vertical="center"/>
    </xf>
    <xf numFmtId="0" fontId="49" fillId="10" borderId="0" applyAlignment="1" pivotButton="0" quotePrefix="0" xfId="0">
      <alignment horizontal="center" vertical="center" textRotation="90"/>
    </xf>
    <xf numFmtId="0" fontId="50" fillId="11" borderId="0" applyAlignment="1" pivotButton="0" quotePrefix="0" xfId="0">
      <alignment horizontal="left" vertical="center"/>
    </xf>
    <xf numFmtId="0" fontId="52" fillId="12" borderId="0" applyAlignment="1" pivotButton="0" quotePrefix="0" xfId="0">
      <alignment horizontal="left" vertical="center"/>
    </xf>
    <xf numFmtId="0" fontId="51" fillId="10" borderId="0" applyAlignment="1" pivotButton="0" quotePrefix="0" xfId="0">
      <alignment horizontal="left" vertical="center" wrapText="1"/>
    </xf>
    <xf numFmtId="0" fontId="53" fillId="12" borderId="26" applyAlignment="1" pivotButton="0" quotePrefix="0" xfId="0">
      <alignment horizontal="center" vertical="center" wrapText="1"/>
    </xf>
    <xf numFmtId="0" fontId="0" fillId="0" borderId="30" pivotButton="0" quotePrefix="0" xfId="0"/>
    <xf numFmtId="0" fontId="0" fillId="0" borderId="29" pivotButton="0" quotePrefix="0" xfId="0"/>
    <xf numFmtId="0" fontId="49" fillId="13" borderId="26" applyAlignment="1" pivotButton="0" quotePrefix="0" xfId="0">
      <alignment horizontal="center" vertical="center"/>
    </xf>
    <xf numFmtId="0" fontId="49" fillId="13" borderId="26" applyAlignment="1" pivotButton="0" quotePrefix="0" xfId="0">
      <alignment horizontal="left" vertical="center" wrapText="1"/>
    </xf>
    <xf numFmtId="0" fontId="49" fillId="13" borderId="26" applyAlignment="1" pivotButton="0" quotePrefix="0" xfId="0">
      <alignment horizontal="right" vertical="center"/>
    </xf>
    <xf numFmtId="0" fontId="0" fillId="0" borderId="27" pivotButton="0" quotePrefix="0" xfId="0"/>
    <xf numFmtId="0" fontId="0" fillId="0" borderId="28" pivotButton="0" quotePrefix="0" xfId="0"/>
    <xf numFmtId="0" fontId="0" fillId="0" borderId="33" pivotButton="0" quotePrefix="0" xfId="0"/>
    <xf numFmtId="0" fontId="0" fillId="0" borderId="34" pivotButton="0" quotePrefix="0" xfId="0"/>
    <xf numFmtId="0" fontId="0" fillId="0" borderId="35" pivotButton="0" quotePrefix="0" xfId="0"/>
    <xf numFmtId="0" fontId="49" fillId="13" borderId="26" applyAlignment="1" pivotButton="0" quotePrefix="0" xfId="0">
      <alignment horizontal="left" vertical="top" wrapText="1"/>
    </xf>
    <xf numFmtId="0" fontId="0" fillId="0" borderId="31" pivotButton="0" quotePrefix="0" xfId="0"/>
    <xf numFmtId="0" fontId="0" fillId="0" borderId="32" pivotButton="0" quotePrefix="0" xfId="0"/>
    <xf numFmtId="168" fontId="49" fillId="13" borderId="26" applyAlignment="1" pivotButton="0" quotePrefix="0" xfId="0">
      <alignment horizontal="right" vertical="center"/>
    </xf>
    <xf numFmtId="12" fontId="49" fillId="13" borderId="26" applyAlignment="1" pivotButton="0" quotePrefix="0" xfId="0">
      <alignment horizontal="right" vertical="center"/>
    </xf>
    <xf numFmtId="0" fontId="49" fillId="11" borderId="26" applyAlignment="1" pivotButton="0" quotePrefix="0" xfId="0">
      <alignment horizontal="left" vertical="center" wrapText="1"/>
    </xf>
    <xf numFmtId="0" fontId="54" fillId="9" borderId="0" pivotButton="0" quotePrefix="0" xfId="0"/>
  </cellXfs>
  <cellStyles count="1">
    <cellStyle name="Normal" xfId="0" builtinId="0" hidden="0"/>
  </cellStyles>
  <dxfs count="4">
    <dxf>
      <font>
        <color rgb="FFC2334D"/>
      </font>
    </dxf>
    <dxf>
      <font>
        <color rgb="FFD89B3A"/>
      </font>
    </dxf>
    <dxf>
      <font>
        <color rgb="00FFFFFF"/>
      </font>
      <fill>
        <patternFill>
          <bgColor rgb="00C2334D"/>
        </patternFill>
      </fill>
    </dxf>
    <dxf>
      <fill>
        <patternFill>
          <bgColor rgb="001B111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Projeto M</author>
  </authors>
  <commentList>
    <comment ref="C8" authorId="0" shapeId="0">
      <text>
        <t>Clique na caixa e use Inserir › Imagem › Inserir imagem na célula.</t>
      </text>
    </comment>
  </commentList>
</comments>
</file>

<file path=xl/comments/comment2.xml><?xml version="1.0" encoding="utf-8"?>
<comments xmlns="http://schemas.openxmlformats.org/spreadsheetml/2006/main">
  <authors>
    <author>Projeto M</author>
  </authors>
  <commentList>
    <comment ref="AW9" authorId="0" shapeId="0">
      <text>
        <t>O que está escrito no dossiê da FICHA PESSOAL: a marcante, as duas menores e os Legados de história. Para mudar, mexa lá. Abra e feche o painel pelo + em cima da coluna da margem.</t>
      </text>
    </comment>
    <comment ref="J50" authorId="0" shapeId="0">
      <text>
        <t>Sequelas além das três caixas. Somam no prazo de Morrendo e são removidas pelo descanso longo, junto das caixas.</t>
      </text>
    </comment>
  </commentList>
</comments>
</file>

<file path=xl/comments/comment3.xml><?xml version="1.0" encoding="utf-8"?>
<comments xmlns="http://schemas.openxmlformats.org/spreadsheetml/2006/main">
  <authors>
    <author>Projeto M</author>
  </authors>
  <commentList>
    <comment ref="D11" authorId="0" shapeId="0">
      <text>
        <t>Vem da CARTEIRA: o nome da técnica é escrito no campo TÉCNICA DECLARADA de lá. Escrever aqui não muda nada: a caixa volta a mostrar o da CARTEIRA.</t>
      </text>
    </comment>
    <comment ref="L11" authorId="0" shapeId="0">
      <text>
        <t>Escolhido na criação, e não muda. É o menu ATRIBUTO DE CONJURAÇÃO da FICHA: aqui ele aparece espelhado. Na Técnica Marcial de arma, é o atributo da arma usada na Kata: a linha da rota mostra o de cada grupo.</t>
      </text>
    </comment>
    <comment ref="P11" authorId="0" shapeId="0">
      <text>
        <t>d20 + o atributo da técnica + maestria. Vem da FICHA.</t>
      </text>
    </comment>
    <comment ref="R11" authorId="0" shapeId="0">
      <text>
        <t>8 + o atributo da técnica + maestria. Vem da FICHA.</t>
      </text>
    </comment>
    <comment ref="D15" authorId="0" shapeId="0">
      <text>
        <t>Vem da Origem escolhida na FICHA. O Fundamento é a rota das cinco primeiras Origens e da Restrição Celestial no ramo Restrição corporal; o Sem Técnica, a opção separada das cinco primeiras; a Técnica Marcial, a do Corpo Amaldiçoado (com energia) e a da Restrição Celestial no ramo Sem Energia.</t>
      </text>
    </comment>
    <comment ref="J15" authorId="0" shapeId="0">
      <text>
        <t>No Sem Técnica, a semente: a aptidão que vem aberta, sem os gates de nível e de refino, e é o assunto do Fundamento. Ela conta como uma aptidão a mais. Na Técnica Marcial, o equipamento: três grupos de arma, ou uma ferramenta, que declara se o golpe simples usa ela. No Fundamento, nada.</t>
      </text>
    </comment>
    <comment ref="D17" authorId="0" shapeId="0">
      <text>
        <t>Na rota de arma, três das treze categorias, diferentes entre si. A CD e a conjuração de cada Kata usam o atributo da arma dela. A Lâmina Longa acerta com Força ou Destreza, e a ficha usa o maior.</t>
      </text>
    </comment>
    <comment ref="D21" authorId="0" shapeId="0">
      <text>
        <t>Uma frase, verificável pela mesa, sem número. Todo feitiço tem de caber nela.</t>
      </text>
    </comment>
    <comment ref="L25" authorId="0" shapeId="0">
      <text>
        <t>O que você sempre faz para conjurar. Não custa nem devolve ponto. Na Técnica Marcial, o Selo é ter o equipamento em uso.</t>
      </text>
    </comment>
    <comment ref="L28" authorId="0" shapeId="0">
      <text>
        <t>A Expressão da técnica: de graça, sem ocupar espaço. Uma manifestação ligada à Descrição, que cuida da aparência do personagem. Não dá vantagem, não resolve teste e não revela informação.</t>
      </text>
    </comment>
    <comment ref="D32" authorId="0" shapeId="0">
      <text>
        <t>Só se a técnica impõe uma regra ao mundo. Uma frase, verificável, simétrica, sem dano direto e com limite por cena. Não conta nos cinco Talentos pagos.</t>
      </text>
    </comment>
    <comment ref="P32" authorId="0" shapeId="0">
      <text>
        <t>A Categoria de Efeito da Regra Própria. Na criação ela vem na 1, sem ocupar espaço. A 2 libera no nível 7 e ocupa 1 espaço; a 3 libera no nível 13 e ocupa 2 no total. Deixe em branco se a técnica não tem Regra Própria.</t>
      </text>
    </comment>
    <comment ref="D36" authorId="0" shapeId="0">
      <text>
        <t>Aumentar distância; mover você ou um alvo.</t>
      </text>
    </comment>
    <comment ref="E36" authorId="0" shapeId="0">
      <text>
        <t>Aumentar uma área; dividir um ataque; alcançar mais alvos.</t>
      </text>
    </comment>
    <comment ref="F36" authorId="0" shapeId="0">
      <text>
        <t>Melhorar o acerto; atravessar proteção.</t>
      </text>
    </comment>
    <comment ref="G36" authorId="0" shapeId="0">
      <text>
        <t>Aplicar condições; criar obstáculos; limitar movimento.</t>
      </text>
    </comment>
    <comment ref="J36" authorId="0" shapeId="0">
      <text>
        <t>Dar vantagens e bônus; prejudicar rolagens.</t>
      </text>
    </comment>
    <comment ref="K36" authorId="0" shapeId="0">
      <text>
        <t>Acrescentar dano em situações determinadas.</t>
      </text>
    </comment>
    <comment ref="L36" authorId="0" shapeId="0">
      <text>
        <t>Mudar a ação, o momento ou a duração.</t>
      </text>
    </comment>
    <comment ref="M36" authorId="0" shapeId="0">
      <text>
        <t>Preparar ataques; rastrear; recuperar recursos.</t>
      </text>
    </comment>
    <comment ref="P36" authorId="0" shapeId="0">
      <text>
        <t>Curar, proteger e remover condições.</t>
      </text>
    </comment>
    <comment ref="Q36" authorId="0" shapeId="0">
      <text>
        <t>O Fundamento tem 2 Famílias Livres e 3 Fechadas. As outras ficam Neutras.</t>
      </text>
    </comment>
    <comment ref="D54" authorId="0" shapeId="0">
      <text>
        <t>Sobe nos níveis 1, 5, 9, 13, 17, 21 e 26. Vem da FICHA.</t>
      </text>
    </comment>
    <comment ref="F54" authorId="0" shapeId="0">
      <text>
        <t>2 + metade do nível + um por marco alcançado.</t>
      </text>
    </comment>
    <comment ref="J54" authorId="0" shapeId="0">
      <text>
        <t>Cada escolha de Leque no marco dá um feitiço a mais e um Talento, sem pagar espaços por eles. A escolha é marcada na FICHA, em Marco Escolhido.</t>
      </text>
    </comment>
    <comment ref="L54" authorId="0" shapeId="0">
      <text>
        <t>Os feitiços com nome. Classe 0 e Liberação Máxima não ocupam espaço.</t>
      </text>
    </comment>
    <comment ref="P54" authorId="0" shapeId="0">
      <text>
        <t>Cada Talento pago ocupa tantos espaços quanto a Categoria de Efeito dele. A Regra Própria acima da Categoria 1 entra aqui. Talento e Domínio só gastam espaço: o feitiço do Leque não paga nenhum dos dois.</t>
      </text>
    </comment>
    <comment ref="Q54" authorId="0" shapeId="0">
      <text>
        <t>A Expansão de Domínio custa 2, 3 ou 5 espaços, conforme o degrau.</t>
      </text>
    </comment>
    <comment ref="R54" authorId="0" shapeId="0">
      <text>
        <t>Cada invocação da aba INVOCAÇÕES com nome e aquisição Espaço conhecido ocupa um espaço, mesmo recolhida. Domada, criada ou de lista de ritual não ocupa.</t>
      </text>
    </comment>
    <comment ref="S54" authorId="0" shapeId="0">
      <text>
        <t>Os espaços, mais os feitiços do Leque, menos o que já foi gasto.</t>
      </text>
    </comment>
    <comment ref="D58" authorId="0" shapeId="0">
      <text>
        <t>Escolha a Classe e a fileira mostra os números dela. Em branco, mostra os da sua maior Classe.</t>
      </text>
    </comment>
    <comment ref="P58" authorId="0" shapeId="0">
      <text>
        <t>Não muda com o menu: quantos feitiços de Classe 0 o nível dá, e os dados deles.</t>
      </text>
    </comment>
    <comment ref="D64" authorId="0" shapeId="0">
      <text>
        <t>A Classe do feitiço. Ela define os pontos (3 × Classe), o PE e quantas Melhorias cabem.</t>
      </text>
    </comment>
    <comment ref="E64" authorId="0" shapeId="0">
      <text>
        <t>Dê um nome ao feitiço: a ficha só calcula a carta e só conta o espaço de feitiço de quem tem nome.</t>
      </text>
    </comment>
    <comment ref="J64" authorId="0" shapeId="0">
      <text>
        <t>A Classe do feitiço. Ela define os pontos (3 × Classe), o PE e quantas Melhorias cabem.</t>
      </text>
    </comment>
    <comment ref="K64" authorId="0" shapeId="0">
      <text>
        <t>Dê um nome ao feitiço: a ficha só calcula a carta e só conta o espaço de feitiço de quem tem nome.</t>
      </text>
    </comment>
    <comment ref="P64" authorId="0" shapeId="0">
      <text>
        <t>A Classe do feitiço. Ela define os pontos (3 × Classe), o PE e quantas Melhorias cabem.</t>
      </text>
    </comment>
    <comment ref="Q64" authorId="0" shapeId="0">
      <text>
        <t>Dê um nome ao feitiço: a ficha só calcula a carta e só conta o espaço de feitiço de quem tem nome.</t>
      </text>
    </comment>
    <comment ref="D73" authorId="0" shapeId="0">
      <text>
        <t>As Classes 1 e 2 aceitam 2 Melhorias, a 3 e a 4 aceitam 3, e da 5 em diante 4. A Forma não conta no limite. Família Livre sai metade da Classe mais barata, e Família Fechada some do menu.</t>
      </text>
    </comment>
    <comment ref="J73" authorId="0" shapeId="0">
      <text>
        <t>As Classes 1 e 2 aceitam 2 Melhorias, a 3 e a 4 aceitam 3, e da 5 em diante 4. A Forma não conta no limite. Família Livre sai metade da Classe mais barata, e Família Fechada some do menu.</t>
      </text>
    </comment>
    <comment ref="P73" authorId="0" shapeId="0">
      <text>
        <t>As Classes 1 e 2 aceitam 2 Melhorias, a 3 e a 4 aceitam 3, e da 5 em diante 4. A Forma não conta no limite. Família Livre sai metade da Classe mais barata, e Família Fechada some do menu.</t>
      </text>
    </comment>
    <comment ref="D77" authorId="0" shapeId="0">
      <text>
        <t>Até duas. Restrição paga Melhorias, nunca a Forma: o que passar do gasto em Melhorias some.</t>
      </text>
    </comment>
    <comment ref="J77" authorId="0" shapeId="0">
      <text>
        <t>Até duas. Restrição paga Melhorias, nunca a Forma: o que passar do gasto em Melhorias some.</t>
      </text>
    </comment>
    <comment ref="P77" authorId="0" shapeId="0">
      <text>
        <t>Até duas. Restrição paga Melhorias, nunca a Forma: o que passar do gasto em Melhorias some.</t>
      </text>
    </comment>
    <comment ref="D80" authorId="0" shapeId="0">
      <text>
        <t>O mesmo feitiço lançado numa Classe maior, até a maior que o nível liberou. A conta inteira é refeita com os números da Classe nova.</t>
      </text>
    </comment>
    <comment ref="J80" authorId="0" shapeId="0">
      <text>
        <t>O mesmo feitiço lançado numa Classe maior, até a maior que o nível liberou. A conta inteira é refeita com os números da Classe nova.</t>
      </text>
    </comment>
    <comment ref="P80" authorId="0" shapeId="0">
      <text>
        <t>O mesmo feitiço lançado numa Classe maior, até a maior que o nível liberou. A conta inteira é refeita com os números da Classe nova.</t>
      </text>
    </comment>
    <comment ref="J322" authorId="0" shapeId="0">
      <text>
        <t>Cabe uma Melhoria Leve, e ela tira um dado.</t>
      </text>
    </comment>
    <comment ref="L322" authorId="0" shapeId="0">
      <text>
        <t>Cabe uma Restrição Leve: ela devolve o dado que a Melhoria tirou, sem criar pontos. Toque e Aura não dão a devolução de Corpo a Corpo na Classe 0.</t>
      </text>
    </comment>
    <comment ref="D332" authorId="0" shapeId="0">
      <text>
        <t>A Classe do feitiço. Ela define os pontos (3 × Classe), o PE e quantas Melhorias cabem.</t>
      </text>
    </comment>
    <comment ref="E332" authorId="0" shapeId="0">
      <text>
        <t>Dê um nome ao feitiço: a ficha só calcula a carta e só conta o espaço de feitiço de quem tem nome.</t>
      </text>
    </comment>
    <comment ref="J332" authorId="0" shapeId="0">
      <text>
        <t>A Classe do feitiço. Ela define os pontos (3 × Classe), o PE e quantas Melhorias cabem.</t>
      </text>
    </comment>
    <comment ref="K332" authorId="0" shapeId="0">
      <text>
        <t>Dê um nome ao feitiço: a ficha só calcula a carta e só conta o espaço de feitiço de quem tem nome.</t>
      </text>
    </comment>
    <comment ref="P332" authorId="0" shapeId="0">
      <text>
        <t>A Classe do feitiço. Ela define os pontos (3 × Classe), o PE e quantas Melhorias cabem.</t>
      </text>
    </comment>
    <comment ref="Q332" authorId="0" shapeId="0">
      <text>
        <t>Dê um nome ao feitiço: a ficha só calcula a carta e só conta o espaço de feitiço de quem tem nome.</t>
      </text>
    </comment>
    <comment ref="D341" authorId="0" shapeId="0">
      <text>
        <t>As Classes 1 e 2 aceitam 2 Melhorias, a 3 e a 4 aceitam 3, e da 5 em diante 4. A Forma não conta no limite. Família Livre sai metade da Classe mais barata, e Família Fechada some do menu.</t>
      </text>
    </comment>
    <comment ref="J341" authorId="0" shapeId="0">
      <text>
        <t>As Classes 1 e 2 aceitam 2 Melhorias, a 3 e a 4 aceitam 3, e da 5 em diante 4. A Forma não conta no limite. Família Livre sai metade da Classe mais barata, e Família Fechada some do menu.</t>
      </text>
    </comment>
    <comment ref="P341" authorId="0" shapeId="0">
      <text>
        <t>As Classes 1 e 2 aceitam 2 Melhorias, a 3 e a 4 aceitam 3, e da 5 em diante 4. A Forma não conta no limite. Família Livre sai metade da Classe mais barata, e Família Fechada some do menu.</t>
      </text>
    </comment>
    <comment ref="D345" authorId="0" shapeId="0">
      <text>
        <t>Até duas. Restrição paga Melhorias, nunca a Forma: o que passar do gasto em Melhorias some.</t>
      </text>
    </comment>
    <comment ref="J345" authorId="0" shapeId="0">
      <text>
        <t>Até duas. Restrição paga Melhorias, nunca a Forma: o que passar do gasto em Melhorias some.</t>
      </text>
    </comment>
    <comment ref="P345" authorId="0" shapeId="0">
      <text>
        <t>Até duas. Restrição paga Melhorias, nunca a Forma: o que passar do gasto em Melhorias some.</t>
      </text>
    </comment>
    <comment ref="D348" authorId="0" shapeId="0">
      <text>
        <t>O mesmo feitiço lançado numa Classe maior, até a maior que o nível liberou. A conta inteira é refeita com os números da Classe nova.</t>
      </text>
    </comment>
    <comment ref="J348" authorId="0" shapeId="0">
      <text>
        <t>O mesmo feitiço lançado numa Classe maior, até a maior que o nível liberou. A conta inteira é refeita com os números da Classe nova.</t>
      </text>
    </comment>
    <comment ref="P348" authorId="0" shapeId="0">
      <text>
        <t>O mesmo feitiço lançado numa Classe maior, até a maior que o nível liberou. A conta inteira é refeita com os números da Classe nova.</t>
      </text>
    </comment>
    <comment ref="L355" authorId="0" shapeId="0">
      <text>
        <t>Fixo pela faixa de nível. Nenhum ponto compra mais dados.</t>
      </text>
    </comment>
    <comment ref="P355" authorId="0" shapeId="0">
      <text>
        <t>5 × a sua maior Classe.</t>
      </text>
    </comment>
    <comment ref="R355" authorId="0" shapeId="0">
      <text>
        <t>Os pontos de montagem compram só a Forma e as Melhorias, nos preços da sua maior Classe. O que sobrar se perde.</t>
      </text>
    </comment>
    <comment ref="P369" authorId="0" shapeId="0">
      <text>
        <t>Vem da FICHA. Sobe nos marcos.</t>
      </text>
    </comment>
    <comment ref="R369" authorId="0" shapeId="0">
      <text>
        <t>Dois domínios sobrepostos: quem segura o domínio e toma dano testa Vigor. As falhas contam até metade da Essência.</t>
      </text>
    </comment>
    <comment ref="F373" authorId="0" shapeId="0">
      <text>
        <t>6 × a sua maior Classe. Sem barreira, 7 ×.</t>
      </text>
    </comment>
    <comment ref="G373" authorId="0" shapeId="0">
      <text>
        <t>Metade do refino, em rodadas. No mínimo uma.</t>
      </text>
    </comment>
    <comment ref="J373" authorId="0" shapeId="0">
      <text>
        <t>1,5 m × refino. A incompleta para em 7,5 m, e sem barreira são 199,5 m.</t>
      </text>
    </comment>
    <comment ref="K373" authorId="0" shapeId="0">
      <text>
        <t>O desconto de PE de cada feitiço seu dentro do domínio: um terço do refino na incompleta, metade na completa, e 2 × maestria sem barreira. Nenhum feitiço custa menos de 1 PE.</t>
      </text>
    </comment>
    <comment ref="L373" authorId="0" shapeId="0">
      <text>
        <t>A vida da barreira por fora: 50 × metade do refino. Por dentro ela não quebra.</t>
      </text>
    </comment>
    <comment ref="D378" authorId="0" shapeId="0">
      <text>
        <t>O que o domínio garante que acontece com quem está lá dentro. Uma frase, escrita com o mestre, cabendo na Regra. O Acerto de dano é montado como um feitiço, pela régua do Inescapável: 3 × a sua maior Classe em pontos, menos o preço Médio dele (com o desconto de Família Livre), e cada ponto que sobra vira 1d8. Ele é o feitiço inteiro, e não aceita outra peça.</t>
      </text>
    </comment>
    <comment ref="L378" authorId="0" shapeId="0">
      <text>
        <t>O que o domínio permite você fazer lá dentro que você não faria fora. Quase nunca é dano.</t>
      </text>
    </comment>
    <comment ref="G392" authorId="0" shapeId="0">
      <text>
        <t>O Talento pago ocupa tantos espaços de feitiço quanto a Categoria de Efeito dele. O do Leque não ocupa espaço, mas só existe com a escolha de Leque no marco.</t>
      </text>
    </comment>
    <comment ref="D397" authorId="0" shapeId="0">
      <text>
        <t>Para a entrada Própria do menu, escreva aqui o texto dela, fechado com o mestre. Nas outras, é espaço para anotação.</t>
      </text>
    </comment>
    <comment ref="G410" authorId="0" shapeId="0">
      <text>
        <t>O Talento pago ocupa tantos espaços de feitiço quanto a Categoria de Efeito dele. O do Leque não ocupa espaço, mas só existe com a escolha de Leque no marco.</t>
      </text>
    </comment>
    <comment ref="D436" authorId="0" shapeId="0">
      <text>
        <t>Começa em 1, e cada marco dá +1. Escolher Refino no marco dá mais +1. O teto é 10. Na Restrição Celestial sem energia é a Lapidação, nos mesmos degraus.</t>
      </text>
    </comment>
    <comment ref="F436" authorId="0" shapeId="0">
      <text>
        <t>Cada escolha de Refino, marcada na FICHA, compra uma aptidão; com o refino já em 10, duas. A semente do Sem Técnica dá uma a mais.</t>
      </text>
    </comment>
    <comment ref="J436" authorId="0" shapeId="0">
      <text>
        <t>De graça no refino 1. Sem Traje e sem Revestimento, a proteção é 1 + um terço do refino, para baixo. Na Restrição Celestial sem energia é a Defesa sem Armadura, com os mesmos números na Lapidação.</t>
      </text>
    </comment>
    <comment ref="L436" authorId="0" shapeId="0">
      <text>
        <t>De graça no refino 1. Dados a mais em cada ataque com arma ou desarmado: 1d4 no refino 1 e 2, 2d4 do 3 ao 5, 3d4 do 6 ao 8, 4d4 no 9 e 4d6 no 10. Na Restrição Celestial sem energia é o Estímulo Muscular, com o mesmo dano na arma, e só na arma.</t>
      </text>
    </comment>
    <comment ref="P436" authorId="0" shapeId="0">
      <text>
        <t>Como Reação e 2 PE, reduz o dano de um golpe em 1,5 × refino, para baixo. Você perde só a proteção passiva desta aptidão até o fim do seu próximo turno: Traje, Revestimento e escudo continuam dando a deles.</t>
      </text>
    </comment>
    <comment ref="D440" authorId="0" shapeId="0">
      <text>
        <t>A Bênção de graça da Restrição Celestial sem energia: escolha uma perícia e um Teste de Resistência na criação. Cada uso dá vantagem numa rolagem de um dos dois; 1 por cena, 2 com a Lapidação em 10.</t>
      </text>
    </comment>
    <comment ref="D460" authorId="0" shapeId="0">
      <text>
        <t>Para a entrada Própria do menu, escreva aqui o texto dela, fechado com o mestre. Nas outras, é espaço para anotação.</t>
      </text>
    </comment>
    <comment ref="D527" authorId="0" shapeId="0">
      <text>
        <t>Metade da Essência, para baixo. Ocupam vaga o pacto permanente e o de restrição; Promessa e temporário não. O temporário dá um ganho temporário, e a perda dele pode ser permanente: os dois prazos são combinados à parte. O de restrição pode existir sem vaga, com permissão do mestre: o aviso só aparece quando um permanente fica sem vaga.</t>
      </text>
    </comment>
    <comment ref="P531" authorId="0" shapeId="0">
      <text>
        <t>O que o pacto muda: como um feitiço, a energia, uma aptidão ou um Estilo funciona. É uma mecânica única, escrita com o mestre em O QUE EU RECEBO. Pacto não soma número nem dano.</t>
      </text>
    </comment>
    <comment ref="L536" authorId="0" shapeId="0">
      <text>
        <t>A régua do câmbio mede o ganho; o preço acompanha. Pequeno: muda uma conjuração, ou vale uma cena. Médio: muda de forma permanente como um feitiço ou uma ação sua funciona. Grande: muda de forma permanente como a sua energia ou um Estilo inteiro funciona. Enorme: quebra um limite do sistema, uma vez. A Promessa não tem tamanho. É referência para o mestre aprovar ou negar, e não uma tabela de conversão.</t>
      </text>
    </comment>
  </commentList>
</comments>
</file>

<file path=xl/comments/comment4.xml><?xml version="1.0" encoding="utf-8"?>
<comments xmlns="http://schemas.openxmlformats.org/spreadsheetml/2006/main">
  <authors>
    <author>Projeto M</author>
  </authors>
  <commentList>
    <comment ref="D12" authorId="0" shapeId="0">
      <text>
        <t>Vem da FICHA.</t>
      </text>
    </comment>
    <comment ref="E12" authorId="0" shapeId="0">
      <text>
        <t>Sempre a sua, mesmo numa domada de nível menor. Vem da FICHA.</t>
      </text>
    </comment>
    <comment ref="F12" authorId="0" shapeId="0">
      <text>
        <t>Vem da FICHA. Só as Trilhas do Evocador mudam esta aba.</t>
      </text>
    </comment>
    <comment ref="I12" authorId="0" shapeId="0">
      <text>
        <t>O nome da invocação. A ficha só calcula quem tem nome.</t>
      </text>
    </comment>
    <comment ref="O12" authorId="0" shapeId="0">
      <text>
        <t>O nível dela. Com espaço conhecido ou lista de ritual é o seu; a domada fica no nível em que foi domada; a criada acompanha o seu até o último nível da Classe em que foi criada. Nunca passa do seu.</t>
      </text>
    </comment>
    <comment ref="P12" authorId="0" shapeId="0">
      <text>
        <t>A maior Classe que o nível dela permite: sobe nos níveis 5, 9, 13, 17, 21 e 26.</t>
      </text>
    </comment>
    <comment ref="Q12" authorId="0" shapeId="0">
      <text>
        <t>Sempre a sua, mesmo numa domada de nível menor. Vem da FICHA.</t>
      </text>
    </comment>
    <comment ref="R12" authorId="0" shapeId="0">
      <text>
        <t>Manifestar custa a maior Classe dela em PE, e a sua Ação Bônus. Com o talismã carregado, metade, para cima. Recolher não custa PE.</t>
      </text>
    </comment>
    <comment ref="S12" authorId="0" shapeId="0">
      <text>
        <t>Trazer de volta quem caiu sem ser destruída: o dobro da entrada normal, ou 2 × a maior Classe dela em PE, e a sua Ação Bônus. A carga do talismã não abate este preço. Ela volta com metade da vida máxima, no mínimo 1.</t>
      </text>
    </comment>
    <comment ref="U12" authorId="0" shapeId="0">
      <text>
        <t>Nasce cheia, igual à máxima, e a acompanha até você escrever aqui ou usar a caixa de ±. Em branco, a vida conta como cheia. Curar não funciona a zero: use o retorno ou o descanso longo.</t>
      </text>
    </comment>
    <comment ref="V12" authorId="0" shapeId="0">
      <text>
        <t>5 + Constituição + (3 + Constituição) × (nível − 1). No corpo amaldiçoado de criação, 4 no lugar do 3.</t>
      </text>
    </comment>
    <comment ref="X12" authorId="0" shapeId="0">
      <text>
        <t>Escreva −9 ou +5 e aperte Enter: a ficha aplica na vida atual e limpa a caixa. A perda gasta a vida temporária primeiro, e a vida não passa da máxima.</t>
      </text>
    </comment>
    <comment ref="Y12" authorId="0" shapeId="0">
      <text>
        <t>Só a maldição domada com técnica própria: nível × (1 + um terço da Essência dela). Escreva quanto ainda resta. O descanso curto recupera um quarto.</t>
      </text>
    </comment>
    <comment ref="I15" authorId="0" shapeId="0">
      <text>
        <t>Clique na caixa e use Inserir › Imagem › Inserir imagem na célula.</t>
      </text>
    </comment>
    <comment ref="D16" authorId="0" shapeId="0">
      <text>
        <t>Escolhido ao obter a primeira entidade. Vale para a Defesa de todas e para o limite de corpos mantidos.</t>
      </text>
    </comment>
    <comment ref="E16" authorId="0" shapeId="0">
      <text>
        <t>Quantas entidades podem estar ativas ao mesmo tempo. O limite geral é de duas; a Trilha Múltiplas Invocações leva a quatro durante o combate.</t>
      </text>
    </comment>
    <comment ref="F16" authorId="0" shapeId="0">
      <text>
        <t>Quantos corpos amaldiçoados você mantém, ativos e inativos: o atributo da Defesa mais as entidades ativas.</t>
      </text>
    </comment>
    <comment ref="O16" authorId="0" shapeId="0">
      <text>
        <t>9 pontos, cada atributo entre 0 e 3, e mais 1 ponto nos níveis 6, 10, 14, 18, 22, 26 e 30. O teto é 6.</t>
      </text>
    </comment>
    <comment ref="O17" authorId="0" shapeId="0">
      <text>
        <t>O número grande é o total. Embaixo dele, os pontos que você distribuiu, e embaixo o Buff/Debuff.</t>
      </text>
    </comment>
    <comment ref="U17" authorId="0" shapeId="0">
      <text>
        <t>O corpo amaldiçoado não autônomo não tem alma: é imune ao dano de Alma e não tem Integridade. O autônomo, com alma, precisa constar da definição.</t>
      </text>
    </comment>
    <comment ref="V17" authorId="0" shapeId="0">
      <text>
        <t>Nasce cheia e acompanha a máxima até você escrever aqui. Cada ponto de dano de Alma tira 1 de vida e 1 de Integridade. A zero ela cai, como a zero de vida, e volta com pelo menos 1.</t>
      </text>
    </comment>
    <comment ref="W17" authorId="0" shapeId="0">
      <text>
        <t>Metade da vida máxima, para baixo, com mínimo 1: a regra das criaturas que não são personagens.</t>
      </text>
    </comment>
    <comment ref="X17" authorId="0" shapeId="0">
      <text>
        <t>Pelo que falta da Integridade: um quarto, desvantagem em perícias; metade, deslocamento pela metade e +1 PE por Classe nas especiais; três quartos, desvantagem em ataques e TRs e a Classe das especiais pela metade; toda, ela cai.</t>
      </text>
    </comment>
    <comment ref="D20" authorId="0" shapeId="0">
      <text>
        <t>Todas as fichas da aba, com o nível e a vida de cada uma. Clique numa linha e siga a ligação para ir até a ficha.</t>
      </text>
    </comment>
    <comment ref="O21" authorId="0" shapeId="0">
      <text>
        <t>Buff/Debuff: o que você digitar aqui soma, ou tira, do número de cima.</t>
      </text>
    </comment>
    <comment ref="O23" authorId="0" shapeId="0">
      <text>
        <t>Atributo de acerto + a sua maestria.</t>
      </text>
    </comment>
    <comment ref="P23" authorId="0" shapeId="0">
      <text>
        <t>8 + atributo de acerto + a sua maestria.</t>
      </text>
    </comment>
    <comment ref="Q23" authorId="0" shapeId="0">
      <text>
        <t>10 + Destreza dela + metade da sua Essência ou Inteligência, a que o conjunto escolheu. Com traje ou revestimento, a proteção entra no lugar dessa metade: acerte a diferença no Buff/Debuff.</t>
      </text>
    </comment>
    <comment ref="R23" authorId="0" shapeId="0">
      <text>
        <t>5 + Constituição + (3 + Constituição) × (nível − 1). No corpo amaldiçoado de criação, 4 no lugar do 3.</t>
      </text>
    </comment>
    <comment ref="S23" authorId="0" shapeId="0">
      <text>
        <t>O deslocamento terrestre-base é de 9 m. A ficha só conta o terrestre: se a entidade voa, escala ou nada, escreva o modo e a distância em CORPO, SENTIDOS E COMUNICAÇÃO.</t>
      </text>
    </comment>
    <comment ref="O28" authorId="0" shapeId="0">
      <text>
        <t>O atributo do teste, mais a sua maestria no treinado. O Físico usa Força ou Destreza, a que você escolher embaixo.</t>
      </text>
    </comment>
    <comment ref="U32" authorId="0" shapeId="0">
      <text>
        <t>O que ela empunha e veste, com o Volume de cada coisa ao lado. O limite é de 5 + Força, e vale para tudo o que ela veste, empunha ou leva. Acima do limite e até o dobro, metade do deslocamento e desvantagem em TR Físico; acima do dobro, ela não se desloca. Arma empunhada: ataque pelo atributo da arma, com desvantagem, e o dano da arma.</t>
      </text>
    </comment>
    <comment ref="O33" authorId="0" shapeId="0">
      <text>
        <t>Escolhido na montagem. Vale para o ataque e para a CD. Com arma empunhada, o ataque usa o atributo da arma e tem desvantagem, porque a entidade não tem treino em armas.</t>
      </text>
    </comment>
    <comment ref="U36" authorId="0" shapeId="0">
      <text>
        <t>A entidade só leva o que as mãos seguram e o que veste. Guardar itens ou levar passageiros pede uma característica própria, que ocupa um dos talentos dela; o que ela guarda conta no mesmo limite de Volume.</t>
      </text>
    </comment>
    <comment ref="O37" authorId="0" shapeId="0">
      <text>
        <t>4 + metade da Inteligência, para baixo. O número ao lado é o atributo da perícia mais a sua maestria.</t>
      </text>
    </comment>
    <comment ref="I42" authorId="0" shapeId="0">
      <text>
        <t>O tipo combina origem e corpo. O shikigami de técnica é a referência; o corpo de criação ganha 4 + Constituição de vida por nível; o shikigami de criação mora num talismã; a domada conserva o nível em que foi domada.</t>
      </text>
    </comment>
    <comment ref="L42" authorId="0" shapeId="0">
      <text>
        <t>Só a entidade de criação (o shikigami de talismã e o corpo de criação): o ofício escolhido na criação dela, que serve ao teste de criação, ao reparo e ao socorro. Entalhador, Forja, Alfaiate e Caligrafia são exemplos; a lista não é fechada, e dá para escrever outro. O reparo, num descanso curto, recupera metade da vida máxima; com o corpo uma Classe acima de quem repara, um terço (teste Difícil); duas ou mais acima, um quarto.</t>
      </text>
    </comment>
    <comment ref="U44" authorId="0" shapeId="0">
      <text>
        <t>Tamanho, membros, sentidos, como entende ordens e como avisa o que achou. O que ela não tem aqui, ela não faz.</t>
      </text>
    </comment>
    <comment ref="I46" authorId="0" shapeId="0">
      <text>
        <t>Como ela foi obtida. Espaço conhecido e lista de ritual acompanham o seu nível. A domada fica no nível em que foi domada. A criada acompanha o seu nível até o último nível da Classe em que foi criada; passar à Classe seguinte pede reconstruir (o mesmo teste, um degrau mais fácil). Escreva ao lado o nível em que ela foi obtida.</t>
      </text>
    </comment>
    <comment ref="K46" authorId="0" shapeId="0">
      <text>
        <t>Só para a domada e a criada: o nível em que ela foi domada, ou criada e reconstruída, até o seu. A domada fica nele; a criada sobe com você até o fim da Classe dele (criada no 6, Classe 2, vai até o 8). Em branco, a ficha usa o seu nível.</t>
      </text>
    </comment>
    <comment ref="L46" authorId="0" shapeId="0">
      <text>
        <t>Só o shikigami de criação: a carga deixada no talismã no descanso longo adianta parte da próxima entrada. O talismã ocupa 0,5 de Volume.</t>
      </text>
    </comment>
    <comment ref="O46"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46"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47"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4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5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5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5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5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5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65" authorId="0" shapeId="0">
      <text>
        <t>Uma ou duas frases: o que ela é e o que faz na equipe. Tudo o que a ficha concede precisa caber aqui.</t>
      </text>
    </comment>
    <comment ref="I71" authorId="0" shapeId="0">
      <text>
        <t>A Classe da especial. Ela define os pontos, o PE (3 × Classe) e quantas Melhorias cabem. A básica é sempre Classe 0 e não custa PE.</t>
      </text>
    </comment>
    <comment ref="J71" authorId="0" shapeId="0">
      <text>
        <t>Dê um nome à habilidade: a ficha só calcula a carta de quem tem nome.</t>
      </text>
    </comment>
    <comment ref="I77" authorId="0" shapeId="0">
      <text>
        <t>Cada ataque tem o seu tipo de dano. A aparência de energia pura usa Força.</t>
      </text>
    </comment>
    <comment ref="K77" authorId="0" shapeId="0">
      <text>
        <t>Trocar ataque por Teste de Resistência, ou o contrário, não custa pontos. Em branco, vale o que a Forma traz.</t>
      </text>
    </comment>
    <comment ref="I80" authorId="0" shapeId="0">
      <text>
        <t>As Classes 1 e 2 aceitam 2 Melhorias, a 3 e a 4 aceitam 3, e da 5 em diante 4. A Forma não conta. O menu só traz as Famílias abertas, e a da Família Livre sai mais barata. A básica aceita uma Melhoria Leve, que custa um dado.</t>
      </text>
    </comment>
    <comment ref="I84" authorId="0" shapeId="0">
      <text>
        <t>Até duas, contando o Corpo a Corpo que Toque e Aura já trazem. Restrição paga Melhorias, nunca a Forma: o que passar do gasto em Melhorias some. Na básica cabe uma Restrição Leve, que devolve o dado que a Melhoria tirou.</t>
      </text>
    </comment>
    <comment ref="I87" authorId="0" shapeId="0">
      <text>
        <t>A mesma especial usada numa Classe maior, até a maior que o nível dela liberou. A conta inteira é refeita.</t>
      </text>
    </comment>
    <comment ref="I92" authorId="0" shapeId="0">
      <text>
        <t>Um talento no nível 1 e outro nos níveis 6, 10, 14, 18, 22, 26 e 30. Os do nível 1 e 6 vão até a Categoria de Efeito 1, o do 10 até a 2, e os outros até a 3.</t>
      </text>
    </comment>
    <comment ref="I170" authorId="0" shapeId="0">
      <text>
        <t>Só o Evocador: as escolhas a mais da Invocação Principal (níveis 8, 16 e 24 da invocação) e do Repertório do Conjunto (nível 27). Cada escolha é uma básica (Classe 0), uma especial ou um talento de Categoria 1.</t>
      </text>
    </comment>
    <comment ref="I173" authorId="0" shapeId="0">
      <text>
        <t>A Classe da especial. Ela define os pontos, o PE (3 × Classe) e quantas Melhorias cabem. A básica é sempre Classe 0 e não custa PE.</t>
      </text>
    </comment>
    <comment ref="J173" authorId="0" shapeId="0">
      <text>
        <t>Dê um nome à habilidade: a ficha só calcula a carta de quem tem nome.</t>
      </text>
    </comment>
    <comment ref="I179" authorId="0" shapeId="0">
      <text>
        <t>Cada ataque tem o seu tipo de dano. A aparência de energia pura usa Força.</t>
      </text>
    </comment>
    <comment ref="K179" authorId="0" shapeId="0">
      <text>
        <t>Trocar ataque por Teste de Resistência, ou o contrário, não custa pontos. Em branco, vale o que a Forma traz.</t>
      </text>
    </comment>
    <comment ref="I182" authorId="0" shapeId="0">
      <text>
        <t>As Classes 1 e 2 aceitam 2 Melhorias, a 3 e a 4 aceitam 3, e da 5 em diante 4. A Forma não conta. O menu só traz as Famílias abertas, e a da Família Livre sai mais barata. A básica aceita uma Melhoria Leve, que custa um dado.</t>
      </text>
    </comment>
    <comment ref="I186" authorId="0" shapeId="0">
      <text>
        <t>Até duas, contando o Corpo a Corpo que Toque e Aura já trazem. Restrição paga Melhorias, nunca a Forma: o que passar do gasto em Melhorias some. Na básica cabe uma Restrição Leve, que devolve o dado que a Melhoria tirou.</t>
      </text>
    </comment>
    <comment ref="I189" authorId="0" shapeId="0">
      <text>
        <t>A mesma especial usada numa Classe maior, até a maior que o nível dela liberou. A conta inteira é refeita.</t>
      </text>
    </comment>
    <comment ref="I199" authorId="0" shapeId="0">
      <text>
        <t>O livro dá os três só à maldição domada com técnica própria. A ficha não confere isso.</t>
      </text>
    </comment>
    <comment ref="I201" authorId="0" shapeId="0">
      <text>
        <t>A domada conhece uma no nível 10, duas no 20 e três no 30. Classe 3 ou maior, e não ocupa espaço de especial. Custa 3 × Classe × 1,5 PE, para cima.</t>
      </text>
    </comment>
    <comment ref="I210" authorId="0" shapeId="0">
      <text>
        <t>A faixa usa o nível dela, que não sobe com o seu. Os pontos pagam Forma e Melhorias, sem comprar dados.</t>
      </text>
    </comment>
    <comment ref="O210" authorId="0" shapeId="0">
      <text>
        <t>O refino, a maestria e a especialização são os seus. Posição, vida e Teste de Resistência de Vigor são os dela. O Acerto de dano é montado como o do jogador: os pontos de especial da maior Classe dela, menos o preço Médio do Inescapável (com o desconto da Família Livre), 1d8 por ponto.</t>
      </text>
    </comment>
    <comment ref="O257"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257"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258"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26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26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26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26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26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26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468"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468"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469"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47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472"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472"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472"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472"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47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679"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679"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680"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68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683"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683"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683"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683"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68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89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890"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891"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893"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894"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894"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894"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894"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89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110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AH1101"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 Nove espaços físicos. Livres estão incluídas no total aberto.</t>
      </text>
    </comment>
    <comment ref="O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S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L1102"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O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H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1104"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I1105"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K1105"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O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P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Q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R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B1105"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D1105"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AH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I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J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 ref="AK1105" authorId="0" shapeId="0">
      <text>
        <t>Espaço adicional de Família. Continua sujeito ao limite de Famílias abertas da entidade. Nove caixas disponíveis não concedem nove escolhas. Livre conta no total aberto. A categoria de cada espaço aparece no rótulo acima; os limites vêm de CONFIGURAÇÃO.</t>
      </text>
    </comment>
  </commentList>
</comments>
</file>

<file path=xl/comments/comment5.xml><?xml version="1.0" encoding="utf-8"?>
<comments xmlns="http://schemas.openxmlformats.org/spreadsheetml/2006/main">
  <authors>
    <author>Projeto M</author>
  </authors>
  <commentList>
    <comment ref="BI8" authorId="0" shapeId="0">
      <text>
        <t>Mais duas tabelas de missão, para quando as duas primeiras encherem. O XP total soma as quatro. Elas ficam num grupo de colunas fechado, dentro do painel.</t>
      </text>
    </comment>
    <comment ref="D10" authorId="0" shapeId="0">
      <text>
        <t>Vem da CARTEIRA: insira a foto na caixa FOTO de lá (Inserir › Imagem › Inserir imagem na célula), e ela aparece aqui. Se não aparecer, insira a mesma foto nesta caixa.</t>
      </text>
    </comment>
    <comment ref="Q10" authorId="0" shapeId="0">
      <text>
        <t>Vem da CARTEIRA: o nome do portador é digitado lá.</t>
      </text>
    </comment>
    <comment ref="AB10" authorId="0" shapeId="0">
      <text>
        <t>A sua patente na instituição. Ela define o salário e libera o Revestimento 2 e 3. Não é o grau da ferramenta que você carrega.</t>
      </text>
    </comment>
    <comment ref="AW10" authorId="0" shapeId="0">
      <text>
        <t>A soma da coluna Total de todas as missões. A caixa XP da FICHA mostra este mesmo número, e o nível sobe por ele.</t>
      </text>
    </comment>
    <comment ref="BC10" authorId="0" shapeId="0">
      <text>
        <t>O XP acumulado que o próximo nível pede, menos o seu XP total. O nível é o da FICHA. Do 20 para o 21 o livro pede também um feito, e o 30 é o topo.</t>
      </text>
    </comment>
    <comment ref="AX14" authorId="0" shapeId="0">
      <text>
        <t>Escolha o tipo da missão. Curta 50, Padrão 100, Longa 200, Final de arco 300, Solo simples 75, Solo complexa 150.</t>
      </text>
    </comment>
    <comment ref="AY14" authorId="0" shapeId="0">
      <text>
        <t>O multiplicador da missão, quando a mesa dá: 1,25x, 1,50x, 2x. Em branco, a missão vale o XP do tipo.</t>
      </text>
    </comment>
    <comment ref="AZ14" authorId="0" shapeId="0">
      <text>
        <t>Para a missão que pagou menos. Na sua semana, as duas primeiras pagam cheio, a terceira 50%, a quarta 25%, a quinta 12,5%, a sexta 6,25%, e cada uma depois paga metade da anterior. Missão que falhou e o mestre deu metade é Falha; se ela também foi da terceira em diante, escolha a posição com falha (a terceira longa que falhou paga 200 × ½ × ½ = 50). Em branco, paga cheio.</t>
      </text>
    </comment>
    <comment ref="BA14" authorId="0" shapeId="0">
      <text>
        <t>O XP do tipo, vezes o Adicional, vezes o Desconto, arredondado para baixo só no fim. Quando a conta dá mais que zero e menos que 1, a missão paga 1.</t>
      </text>
    </comment>
    <comment ref="BD14" authorId="0" shapeId="0">
      <text>
        <t>Escolha o tipo da missão. Curta 50, Padrão 100, Longa 200, Final de arco 300, Solo simples 75, Solo complexa 150.</t>
      </text>
    </comment>
    <comment ref="BE14" authorId="0" shapeId="0">
      <text>
        <t>O multiplicador da missão, quando a mesa dá: 1,25x, 1,50x, 2x. Em branco, a missão vale o XP do tipo.</t>
      </text>
    </comment>
    <comment ref="BF14" authorId="0" shapeId="0">
      <text>
        <t>Para a missão que pagou menos. Na sua semana, as duas primeiras pagam cheio, a terceira 50%, a quarta 25%, a quinta 12,5%, a sexta 6,25%, e cada uma depois paga metade da anterior. Missão que falhou e o mestre deu metade é Falha; se ela também foi da terceira em diante, escolha a posição com falha (a terceira longa que falhou paga 200 × ½ × ½ = 50). Em branco, paga cheio.</t>
      </text>
    </comment>
    <comment ref="BG14" authorId="0" shapeId="0">
      <text>
        <t>O XP do tipo, vezes o Adicional, vezes o Desconto, arredondado para baixo só no fim. Quando a conta dá mais que zero e menos que 1, a missão paga 1.</t>
      </text>
    </comment>
    <comment ref="BJ14" authorId="0" shapeId="0">
      <text>
        <t>Escolha o tipo da missão. Curta 50, Padrão 100, Longa 200, Final de arco 300, Solo simples 75, Solo complexa 150.</t>
      </text>
    </comment>
    <comment ref="BK14" authorId="0" shapeId="0">
      <text>
        <t>O multiplicador da missão, quando a mesa dá: 1,25x, 1,50x, 2x. Em branco, a missão vale o XP do tipo.</t>
      </text>
    </comment>
    <comment ref="BL14" authorId="0" shapeId="0">
      <text>
        <t>Para a missão que pagou menos. Na sua semana, as duas primeiras pagam cheio, a terceira 50%, a quarta 25%, a quinta 12,5%, a sexta 6,25%, e cada uma depois paga metade da anterior. Missão que falhou e o mestre deu metade é Falha; se ela também foi da terceira em diante, escolha a posição com falha (a terceira longa que falhou paga 200 × ½ × ½ = 50). Em branco, paga cheio.</t>
      </text>
    </comment>
    <comment ref="BM14" authorId="0" shapeId="0">
      <text>
        <t>O XP do tipo, vezes o Adicional, vezes o Desconto, arredondado para baixo só no fim. Quando a conta dá mais que zero e menos que 1, a missão paga 1.</t>
      </text>
    </comment>
    <comment ref="BP14" authorId="0" shapeId="0">
      <text>
        <t>Escolha o tipo da missão. Curta 50, Padrão 100, Longa 200, Final de arco 300, Solo simples 75, Solo complexa 150.</t>
      </text>
    </comment>
    <comment ref="BQ14" authorId="0" shapeId="0">
      <text>
        <t>O multiplicador da missão, quando a mesa dá: 1,25x, 1,50x, 2x. Em branco, a missão vale o XP do tipo.</t>
      </text>
    </comment>
    <comment ref="BR14" authorId="0" shapeId="0">
      <text>
        <t>Para a missão que pagou menos. Na sua semana, as duas primeiras pagam cheio, a terceira 50%, a quarta 25%, a quinta 12,5%, a sexta 6,25%, e cada uma depois paga metade da anterior. Missão que falhou e o mestre deu metade é Falha; se ela também foi da terceira em diante, escolha a posição com falha (a terceira longa que falhou paga 200 × ½ × ½ = 50). Em branco, paga cheio.</t>
      </text>
    </comment>
    <comment ref="BS14" authorId="0" shapeId="0">
      <text>
        <t>O XP do tipo, vezes o Adicional, vezes o Desconto, arredondado para baixo só no fim. Quando a conta dá mais que zero e menos que 1, a missão paga 1.</t>
      </text>
    </comment>
    <comment ref="AI18" authorId="0" shapeId="0">
      <text>
        <t>Depois da segunda queda na mesma missão, registre com o mestre se ficou uma cicatriz e como ela é. Você escolhe se ela dá vantagem em Intimidação e desvantagem em Persuasão, ou nenhum dos dois: escreva a escolha aqui. A cura não a apaga.</t>
      </text>
    </comment>
    <comment ref="Q22" authorId="0" shapeId="0">
      <text>
        <t>Uma relação, uma lembrança, uma ambição ou um problema ainda aberto, numa frase. É uma das escolhas da Origem, e não dá bônus.</t>
      </text>
    </comment>
    <comment ref="D40" authorId="0" shapeId="0">
      <text>
        <t>Vem da FICHA: a Origem é escolhida no menu ORIGEM de lá. Ela dá a base de treinos (uma perícia da lista, uma livre, dois ofícios, um TR e o traço), uma capacidade marcante e duas menores. Sem Técnica não ocupa nenhuma delas.</t>
      </text>
    </comment>
    <comment ref="R40" authorId="0" shapeId="0">
      <text>
        <t>Escolha uma destas e marque o treino na FICHA. As outras escolhas da base (a perícia livre, os dois ofícios ou mais uma perícia livre, e um TR diferente do que o Caminho dá) também se marcam lá.</t>
      </text>
    </comment>
    <comment ref="AH40" authorId="0" shapeId="0">
      <text>
        <t>Como você cria as capacidades: Fundamento, Manejos (com Sem Técnica) ou Técnica Marcial. Vem da Origem.</t>
      </text>
    </comment>
    <comment ref="D43" authorId="0" shapeId="0">
      <text>
        <t>A capacidade central da Origem, ou a modalidade dela (o clã do Descendente, a Coexistência ou o Conflito do Receptáculo, o corpo da Restrição corporal). O menu mostra as da sua Origem. Para uma marcante criada com o mestre, escolha a primeira opção ou escreva o nome, e escreva o que ela faz na caixa de baixo.</t>
      </text>
    </comment>
    <comment ref="R43" authorId="0" shapeId="0">
      <text>
        <t>Duas menores diferentes do catálogo da sua Origem; as exclusivas de um clã ou de uma modalidade só aparecem com ela. Para uma menor criada com o mestre, escolha a primeira opção ou escreva o nome, e escreva o que ela faz na caixa de baixo: ação, custo, frequência e limites. A FICHA mostra o nome e a frequência embaixo das barras.</t>
      </text>
    </comment>
    <comment ref="AH43" authorId="0" shapeId="0">
      <text>
        <t>Duas menores diferentes do catálogo da sua Origem; as exclusivas de um clã ou de uma modalidade só aparecem com ela. Para uma menor criada com o mestre, escolha a primeira opção ou escreva o nome, e escreva o que ela faz na caixa de baixo: ação, custo, frequência e limites. A FICHA mostra o nome e a frequência embaixo das barras.</t>
      </text>
    </comment>
    <comment ref="D44" authorId="0" shapeId="0">
      <text>
        <t>R52: use uma marcante publicada da Origem ou da BASE DO LIVRO. Marcante própria somente para Restrição corporal ou Origem do zero (BASE DO LIVRO = Nenhuma). Cadastre no CONTEÚDO CUSTOM ou use a opção criada com o mestre quando disponível. Menores e Legados de história continuam personalizáveis.</t>
      </text>
    </comment>
    <comment ref="D53" authorId="0" shapeId="0">
      <text>
        <t>Pessoas, compromissos e acontecimentos da sua história: quem está envolvido, o que aconteceu e o que continua aberto. Não dão benefício na ficha e não gastam a marcante nem as menores.</t>
      </text>
    </comment>
    <comment ref="AH53" authorId="0" shapeId="0">
      <text>
        <t>Só no Corpo Amaldiçoado: o ofício que repara o seu corpo (Entalhador para madeira, pedra ou osso; Forja para metal; Alfaiate para pano). A lista não é fechada: escreva outro, se for o caso. O reparo, num descanso curto, recupera metade da vida máxima, um terço com o reparador uma Classe abaixo e um quarto com duas ou mais.</t>
      </text>
    </comment>
    <comment ref="D57" authorId="0" shapeId="0">
      <text>
        <t>Só na Restrição corporal: o Talento de Categoria de Efeito 4 ligado à técnica, recebido na criação, fora dos espaços conhecidos e dos cinco Talentos pagos. Escreva o que a exceção permite, os limites e as consequências, como combinado com o mestre.</t>
      </text>
    </comment>
    <comment ref="AH63" authorId="0" shapeId="0">
      <text>
        <t>O menu só lista o que o seu Grau libera. O que você veste aqui e o escudo da mão secundária vão sozinhos para o EQUIPAMENTO da FICHA.</t>
      </text>
    </comment>
    <comment ref="D64" authorId="0" shapeId="0">
      <text>
        <t>Para uma arma aparecer neste menu, escolha ela antes nos EQUIPÁVEIS GUARDADOS, mais abaixo nesta aba. O menu lista o Soco e o que estiver guardado lá. Com arma de duas mãos aqui, a mão secundária fica ocupada. A linha de baixo mostra o dado e as propriedades, e a nota dela diz o que cada uma faz.</t>
      </text>
    </comment>
    <comment ref="S64" authorId="0" shapeId="0">
      <text>
        <t>Para uma arma ou um escudo aparecer neste menu, escolha antes nos EQUIPÁVEIS GUARDADOS, mais abaixo nesta aba. O menu lista as armas de uma mão e os escudos guardados lá. Com arma Versátil na mão principal, aparece a opção de segurar a mesma arma nas duas mãos, e o dado sobe um passo.</t>
      </text>
    </comment>
    <comment ref="Z67" authorId="0" shapeId="0">
      <text>
        <t>O escudo ocupa a mão. Se o seu Selo é um gesto, com ele na mão a sua técnica não sai.</t>
      </text>
    </comment>
    <comment ref="D69" authorId="0" shapeId="0">
      <text>
        <t>Marque as armas em que você é treinado. A caixa no nome do grupo marca ou desmarca o grupo inteiro de uma vez. Bastião e Vanguarda já vêm com todas marcadas; os outros Caminhos, com Arma de Fogo e Balestra. Sem treino, o ataque com a arma sai com desvantagem.</t>
      </text>
    </comment>
    <comment ref="D85" authorId="0" shapeId="0">
      <text>
        <t>O limite é 5 + Força, em Volume, mais o Buff/Debuff ao lado. Cada item leve vale 0,1. Acima do limite e até o dobro, o deslocamento cai pela metade e os TR Físicos têm desvantagem; acima do dobro, você não se desloca. Arrastar, empurrar ou levantar vai até o dobro.</t>
      </text>
    </comment>
    <comment ref="L85" authorId="0" shapeId="0">
      <text>
        <t>Soma no limite de carga o que a conta do livro não cobre, como uma habilidade. Número negativo reduz.</t>
      </text>
    </comment>
    <comment ref="O85" authorId="0" shapeId="0">
      <text>
        <t>Digite quanto você tem. A ficha nova começa com a mensalidade do Grau 4, que é o fundo da criação.</t>
      </text>
    </comment>
    <comment ref="W85" authorId="0" shapeId="0">
      <text>
        <t>Sai do Grau, pela tabela Salário por patente do livro.</t>
      </text>
    </comment>
    <comment ref="AF85" authorId="0" shapeId="0">
      <text>
        <t>Olha a arma de cada mão, o escudo e o uniforme. Quando algo pede mais Força do que você tem, a nota da caixa de baixo diz o que falta e o que isso custa.</t>
      </text>
    </comment>
    <comment ref="AN85" authorId="0" shapeId="0">
      <text>
        <t>Todo Traje carrega uma situação, escolhida na criação, junto com um tipo de Teste de Resistência e tantas perícias quanto a sua maestria. Quando a cena estiver nessa condição, você tem vantagem só nesses. Vantagem não empilha: duas fontes valem uma. A ficha não guarda o tipo de TR nem as perícias do Traje: escreva quais você escolheu em LAÇOS E ANOTAÇÕES, no dossiê. Essas escolhas são suas, e valem para qualquer Traje que você vestir.</t>
      </text>
    </comment>
    <comment ref="D89" authorId="0" shapeId="0">
      <text>
        <t>As duas últimas linhas são livres: digite a linha inteira, para o que não está na lista.</t>
      </text>
    </comment>
    <comment ref="AW89" authorId="0" shapeId="0">
      <text>
        <t>A curva do livro, fixa. Para subir é o que custa sair daquele nível. Acumulado é o XP total em que você chega nele. A seta marca o seu nível.</t>
      </text>
    </comment>
    <comment ref="K91" authorId="0" shapeId="0">
      <text>
        <t>Em branco vale 1.</t>
      </text>
    </comment>
    <comment ref="AG91" authorId="0" shapeId="0">
      <text>
        <t>Quantidade vezes o Volume de um. O item leve vale 0,1. A carga soma esta coluna.</t>
      </text>
    </comment>
    <comment ref="AI91" authorId="0" shapeId="0">
      <text>
        <t>O grau da ferramenta amaldiçoada: a energia que a peça carrega. Arma comum fica em —. Não é a sua patente.</t>
      </text>
    </comment>
    <comment ref="AK91" authorId="0" shapeId="0">
      <text>
        <t>O Estigma da ferramenta amaldiçoada, se ela tiver um. É digitado, porque pode ser criado.</t>
      </text>
    </comment>
    <comment ref="AQ91" authorId="0" shapeId="0">
      <text>
        <t>Só para ferramenta com Desgaste. Anote quantas missões restam: cada missão em que você usar o Estigma gasta uma.</t>
      </text>
    </comment>
    <comment ref="D98" authorId="0" shapeId="0">
      <text>
        <t>Linha livre: digite o nome e as outras colunas à mão. Serve para o que não está no menu das linhas de cima. Na coluna Vol., digite o Volume da linha inteira.</t>
      </text>
    </comment>
    <comment ref="D99" authorId="0" shapeId="0">
      <text>
        <t>Linha livre: digite o nome e as outras colunas à mão. Serve para o que não está no menu das linhas de cima. Na coluna Vol., digite o Volume da linha inteira.</t>
      </text>
    </comment>
    <comment ref="T103" authorId="0" shapeId="0">
      <text>
        <t>Em branco vale 1.</t>
      </text>
    </comment>
    <comment ref="V103" authorId="0" shapeId="0">
      <text>
        <t>Quantidade vezes 0,1, que é o item leve. Se o mestre pesar o item de outro jeito, digite o Volume da linha por cima; apagar a caixa traz a conta de volta.</t>
      </text>
    </comment>
    <comment ref="AP103" authorId="0" shapeId="0">
      <text>
        <t>Em branco vale 1.</t>
      </text>
    </comment>
    <comment ref="AR103" authorId="0" shapeId="0">
      <text>
        <t>Quantidade vezes 0,1, que é o item leve. Se o mestre pesar o item de outro jeito, digite o Volume da linha por cima; apagar a caixa traz a conta de volta.</t>
      </text>
    </comment>
  </commentList>
</comments>
</file>

<file path=xl/comments/comment6.xml><?xml version="1.0" encoding="utf-8"?>
<comments xmlns="http://schemas.openxmlformats.org/spreadsheetml/2006/main">
  <authors>
    <author>Projeto M</author>
  </authors>
  <commentList>
    <comment ref="AK9" authorId="0" shapeId="0">
      <text>
        <t>Conteúdo custom da parte 3b. Aprovação ocorre pelo bot no chat.</t>
      </text>
    </comment>
    <comment ref="AS9" authorId="0" shapeId="0">
      <text>
        <t>Conteúdo custom da parte 3b. Aprovação ocorre pelo bot no chat.</t>
      </text>
    </comment>
    <comment ref="BB9" authorId="0" shapeId="0">
      <text>
        <t>Conteúdo custom da parte 3b. Aprovação ocorre pelo bot no chat.</t>
      </text>
    </comment>
    <comment ref="BJ9" authorId="0" shapeId="0">
      <text>
        <t>Conteúdo custom da parte 3b. Aprovação ocorre pelo bot no chat.</t>
      </text>
    </comment>
    <comment ref="BS9" authorId="0" shapeId="0">
      <text>
        <t>Conteúdo custom da parte 3b. Aprovação ocorre pelo bot no chat.</t>
      </text>
    </comment>
    <comment ref="CA9" authorId="0" shapeId="0">
      <text>
        <t>Conteúdo custom da parte 3b. Aprovação ocorre pelo bot no chat.</t>
      </text>
    </comment>
    <comment ref="C10" authorId="0" shapeId="0">
      <text>
        <t>Marque para aplicar. Desmarcado, o efeito fica guardado.</t>
      </text>
    </comment>
    <comment ref="D10" authorId="0" shapeId="0">
      <text>
        <t>Escolha a caixa afetada. A ficha aplica o resultado no lugar original.</t>
      </text>
    </comment>
    <comment ref="E10" authorId="0" shapeId="0">
      <text>
        <t>Somar acumula. Trocar por substitui o valor final e todos os bônus da caixa. Duas trocas ligadas na mesma caixa são conflito.</t>
      </text>
    </comment>
    <comment ref="F10" authorId="0" shapeId="0">
      <text>
        <t>Número, sem unidade. Negativo reduz; zero é válido. Para deslocamento, informe metros (ex.: 4,5).</t>
      </text>
    </comment>
    <comment ref="G10" authorId="0" shapeId="0">
      <text>
        <t>Tipo da coisa que concede a mudança.</t>
      </text>
    </comment>
    <comment ref="H10" authorId="0" shapeId="0">
      <text>
        <t>Nome da habilidade, pacto, item ou decisão que justifica a mudança. Obrigatório quando ligado; o mestre confere pelo bot.</t>
      </text>
    </comment>
    <comment ref="AO10" authorId="0" shapeId="0">
      <text>
        <t>Lembrete do jogador; o bot aprova no chat.</t>
      </text>
    </comment>
    <comment ref="AW10" authorId="0" shapeId="0">
      <text>
        <t>Lembrete do jogador; o bot aprova no chat.</t>
      </text>
    </comment>
    <comment ref="GY12" authorId="0" shapeId="0">
      <text>
        <t>Nome único. O menu da ficha reunirá o livro e os cadastros válidos.</t>
      </text>
    </comment>
    <comment ref="HG12" authorId="0" shapeId="0">
      <text>
        <t>Nome único. O menu da ficha reunirá o livro e os cadastros válidos.</t>
      </text>
    </comment>
    <comment ref="HP12" authorId="0" shapeId="0">
      <text>
        <t>Nome único. O menu da ficha reunirá o livro e os cadastros válidos.</t>
      </text>
    </comment>
    <comment ref="HX12" authorId="0" shapeId="0">
      <text>
        <t>Nome único. O menu da ficha reunirá o livro e os cadastros válidos.</t>
      </text>
    </comment>
    <comment ref="T13" authorId="0" shapeId="0">
      <text>
        <t>Troque o tipo e revise os valores que já estavam guardados.</t>
      </text>
    </comment>
    <comment ref="X13" authorId="0" shapeId="0">
      <text>
        <t>Lembrete do jogador; aprovação só pelo bot no chat.</t>
      </text>
    </comment>
    <comment ref="AB13" authorId="0" shapeId="0">
      <text>
        <t>Troque o tipo e revise os valores que já estavam guardados.</t>
      </text>
    </comment>
    <comment ref="AF13" authorId="0" shapeId="0">
      <text>
        <t>Lembrete do jogador; aprovação só pelo bot no chat.</t>
      </text>
    </comment>
    <comment ref="CN13" authorId="0" shapeId="0">
      <text>
        <t>Lembrete marcado pelo jogador. Aprovação ocorre pelo bot no chat.</t>
      </text>
    </comment>
    <comment ref="CV13" authorId="0" shapeId="0">
      <text>
        <t>Lembrete marcado pelo jogador. Aprovação ocorre pelo bot no chat.</t>
      </text>
    </comment>
    <comment ref="DA13" authorId="0" shapeId="0">
      <text>
        <t>Condição usa este mesmo cadastro e orçamento de Melhoria. Família em branco usa a base ou Controle sem base; EXIGE TR deve ficar vazio ou Sim. Peso e efeito seguem os campos deste cartão. Texto não executa regras.</t>
      </text>
    </comment>
    <comment ref="DE13" authorId="0" shapeId="0">
      <text>
        <t>Lembrete marcado pelo jogador. Aprovação ocorre pelo bot no chat.</t>
      </text>
    </comment>
    <comment ref="DI13" authorId="0" shapeId="0">
      <text>
        <t>Condição usa este mesmo cadastro e orçamento de Melhoria. Família em branco usa a base ou Controle sem base; EXIGE TR deve ficar vazio ou Sim. Peso e efeito seguem os campos deste cartão. Texto não executa regras.</t>
      </text>
    </comment>
    <comment ref="DM13" authorId="0" shapeId="0">
      <text>
        <t>Lembrete marcado pelo jogador. Aprovação ocorre pelo bot no chat.</t>
      </text>
    </comment>
    <comment ref="DV13" authorId="0" shapeId="0">
      <text>
        <t>Lembrete marcado pelo jogador. Aprovação ocorre pelo bot no chat.</t>
      </text>
    </comment>
    <comment ref="ED13" authorId="0" shapeId="0">
      <text>
        <t>Lembrete marcado pelo jogador. Aprovação ocorre pelo bot no chat.</t>
      </text>
    </comment>
    <comment ref="EI13" authorId="0" shapeId="0">
      <text>
        <t>Nome único. Livro e cadastros válidos aparecem juntos nos menus.</t>
      </text>
    </comment>
    <comment ref="EM13" authorId="0" shapeId="0">
      <text>
        <t>Lembrete; aprovação ocorre pelo bot no chat.</t>
      </text>
    </comment>
    <comment ref="EQ13" authorId="0" shapeId="0">
      <text>
        <t>Nome único. Livro e cadastros válidos aparecem juntos nos menus.</t>
      </text>
    </comment>
    <comment ref="EU13" authorId="0" shapeId="0">
      <text>
        <t>Lembrete; aprovação ocorre pelo bot no chat.</t>
      </text>
    </comment>
    <comment ref="GY13" authorId="0" shapeId="0">
      <text>
        <t>Nome próprio do conteúdo criado com o mestre.</t>
      </text>
    </comment>
    <comment ref="HC13" authorId="0" shapeId="0">
      <text>
        <t>Lembrete marcado pelo jogador; aprovação é feita pelo bot, no chat.</t>
      </text>
    </comment>
    <comment ref="HG13" authorId="0" shapeId="0">
      <text>
        <t>Nome próprio do conteúdo criado com o mestre.</t>
      </text>
    </comment>
    <comment ref="HK13" authorId="0" shapeId="0">
      <text>
        <t>Lembrete marcado pelo jogador; aprovação é feita pelo bot, no chat.</t>
      </text>
    </comment>
    <comment ref="HP13" authorId="0" shapeId="0">
      <text>
        <t>Nome próprio do conteúdo criado com o mestre.</t>
      </text>
    </comment>
    <comment ref="HT13" authorId="0" shapeId="0">
      <text>
        <t>Lembrete marcado pelo jogador; aprovação é feita pelo bot, no chat.</t>
      </text>
    </comment>
    <comment ref="HX13" authorId="0" shapeId="0">
      <text>
        <t>Nome próprio do conteúdo criado com o mestre.</t>
      </text>
    </comment>
    <comment ref="IB13" authorId="0" shapeId="0">
      <text>
        <t>Lembrete marcado pelo jogador; aprovação é feita pelo bot, no chat.</t>
      </text>
    </comment>
    <comment ref="FD14" authorId="0" shapeId="0">
      <text>
        <t>Lembrete. Aprovação pertence ao bot no chat.</t>
      </text>
    </comment>
    <comment ref="FL14" authorId="0" shapeId="0">
      <text>
        <t>Lembrete. Aprovação pertence ao bot no chat.</t>
      </text>
    </comment>
    <comment ref="FU14" authorId="0" shapeId="0">
      <text>
        <t>Lembrete. Aprovação pertence ao bot no chat.</t>
      </text>
    </comment>
    <comment ref="GC14" authorId="0" shapeId="0">
      <text>
        <t>Lembrete. Aprovação pertence ao bot no chat.</t>
      </text>
    </comment>
    <comment ref="GL14" authorId="0" shapeId="0">
      <text>
        <t>Lembrete. Aprovação pertence ao bot no chat.</t>
      </text>
    </comment>
    <comment ref="GT14" authorId="0" shapeId="0">
      <text>
        <t>Lembrete. Aprovação pertence ao bot no chat.</t>
      </text>
    </comment>
    <comment ref="T15" authorId="0" shapeId="0">
      <text>
        <t>Nome único. Capacidades apontam para o nome da Origem, do livro ou custom.</t>
      </text>
    </comment>
    <comment ref="AB15" authorId="0" shapeId="0">
      <text>
        <t>Nome único. Capacidades apontam para o nome da Origem, do livro ou custom.</t>
      </text>
    </comment>
    <comment ref="AV15" authorId="0" shapeId="0">
      <text>
        <t>Opcional: herda as automações da Trilha do livro. Nenhuma cria do zero. Texto próprio não é convertido em regra.</t>
      </text>
    </comment>
    <comment ref="HJ15" authorId="0" shapeId="0">
      <text>
        <t>Opcional. Em branco nos demais campos, uma base herda as automações do livro. Nenhuma permite conteúdo próprio. O texto não é interpretado como fórmula.</t>
      </text>
    </comment>
    <comment ref="IA15" authorId="0" shapeId="0">
      <text>
        <t>Opcional. Em branco nos demais campos, uma base herda as automações do livro. Nenhuma permite conteúdo próprio. O texto não é interpretado como fórmula.</t>
      </text>
    </comment>
    <comment ref="DL16" authorId="0" shapeId="0">
      <text>
        <t>Opcional. Nenhuma cria do zero. Com base, campos em branco e verificações específicas herdam o livro. Texto livre não cria automações.</t>
      </text>
    </comment>
    <comment ref="EC16" authorId="0" shapeId="0">
      <text>
        <t>Opcional. Nenhuma cria do zero. Com base, campos em branco e verificações específicas herdam o livro. Texto livre não cria automações.</t>
      </text>
    </comment>
    <comment ref="HB16" authorId="0" shapeId="0">
      <text>
        <t>Em branco herda a base; sem base usa a vida normal. Corpo de criação usa 4 + Constituição por nível após o primeiro.</t>
      </text>
    </comment>
    <comment ref="HJ16" authorId="0" shapeId="0">
      <text>
        <t>Em branco herda a base; sem base usa a vida normal. Corpo de criação usa 4 + Constituição por nível após o primeiro.</t>
      </text>
    </comment>
    <comment ref="HS16" authorId="0" shapeId="0">
      <text>
        <t>Em branco herda a base; sem base é obrigatória. Conferida com o teto de cada ganho; as escolhas da Trilha aceitam só a Categoria 1.</t>
      </text>
    </comment>
    <comment ref="IA16" authorId="0" shapeId="0">
      <text>
        <t>Em branco herda a base; sem base é obrigatória. Conferida com o teto de cada ganho; as escolhas da Trilha aceitam só a Categoria 1.</t>
      </text>
    </comment>
    <comment ref="V17"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17"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DD17" authorId="0" shapeId="0">
      <text>
        <t>Em branco herda a base; Nenhuma remove a Família. A técnica usa o estado cadastrado; entidades usam suas próprias Famílias abertas.</t>
      </text>
    </comment>
    <comment ref="DL17" authorId="0" shapeId="0">
      <text>
        <t>Em branco herda a base; Nenhuma remove a Família. A técnica usa o estado cadastrado; entidades usam suas próprias Famílias abertas.</t>
      </text>
    </comment>
    <comment ref="DU17" authorId="0" shapeId="0">
      <text>
        <t>Em branco herda a base. Sem base, escolha Leve ou Média. Restrição paga Melhorias, nunca a Forma, e conserva o teto e o limite de Restrições.</t>
      </text>
    </comment>
    <comment ref="EC17" authorId="0" shapeId="0">
      <text>
        <t>Em branco herda a base. Sem base, escolha Leve ou Média. Restrição paga Melhorias, nunca a Forma, e conserva o teto e o limite de Restrições.</t>
      </text>
    </comment>
    <comment ref="EI17" authorId="0" shapeId="0">
      <text>
        <t>Natureza do dano criada com o mestre. Não altera números automaticamente.</t>
      </text>
    </comment>
    <comment ref="EQ17" authorId="0" shapeId="0">
      <text>
        <t>Natureza do dano criada com o mestre. Não altera números automaticamente.</t>
      </text>
    </comment>
    <comment ref="HB17" authorId="0" shapeId="0">
      <text>
        <t>Em branco herda a base; sem base não usa. Usar habilita a carga do talismã na entrada da entidade.</t>
      </text>
    </comment>
    <comment ref="HJ17" authorId="0" shapeId="0">
      <text>
        <t>Em branco herda a base; sem base não usa. Usar habilita a carga do talismã na entrada da entidade.</t>
      </text>
    </comment>
    <comment ref="V18"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18"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CJ18" authorId="0" shapeId="0">
      <text>
        <t>Tema e descrição da Família criada com o mestre.</t>
      </text>
    </comment>
    <comment ref="CR18" authorId="0" shapeId="0">
      <text>
        <t>Tema e descrição da Família criada com o mestre.</t>
      </text>
    </comment>
    <comment ref="DD18" authorId="0" shapeId="0">
      <text>
        <t>Em branco herda a base. Sem base, escolha Leve, Média ou Pesada. Preços e desconto seguem a Classe da ficha.</t>
      </text>
    </comment>
    <comment ref="DL18" authorId="0" shapeId="0">
      <text>
        <t>Em branco herda a base. Sem base, escolha Leve, Média ou Pesada. Preços e desconto seguem a Classe da ficha.</t>
      </text>
    </comment>
    <comment ref="DU18" authorId="0" shapeId="0">
      <text>
        <t>Em branco herda a base. Sim identifica Restrição de frequência; duas de frequência continuam incompatíveis.</t>
      </text>
    </comment>
    <comment ref="EC18" authorId="0" shapeId="0">
      <text>
        <t>Em branco herda a base. Sim identifica Restrição de frequência; duas de frequência continuam incompatíveis.</t>
      </text>
    </comment>
    <comment ref="V19"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19"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DD19" authorId="0" shapeId="0">
      <text>
        <t>Em branco herda a base. Sim indica que o efeito exige TR, inclusive em Forma de ataque.</t>
      </text>
    </comment>
    <comment ref="DL19" authorId="0" shapeId="0">
      <text>
        <t>Em branco herda a base. Sim indica que o efeito exige TR, inclusive em Forma de ataque.</t>
      </text>
    </comment>
    <comment ref="HB19" authorId="0" shapeId="0">
      <text>
        <t>Em branco herda a base; sem base usa a reserva normal. A opção domada aplica o cálculo já publicado.</t>
      </text>
    </comment>
    <comment ref="HJ19" authorId="0" shapeId="0">
      <text>
        <t>Em branco herda a base; sem base usa a reserva normal. A opção domada aplica o cálculo já publicado.</t>
      </text>
    </comment>
    <comment ref="V20"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20"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BB20" authorId="0" shapeId="0">
      <text>
        <t>Conteúdo custom da parte 3b. Aprovação ocorre pelo bot no chat.</t>
      </text>
    </comment>
    <comment ref="BJ20" authorId="0" shapeId="0">
      <text>
        <t>Conteúdo custom da parte 3b. Aprovação ocorre pelo bot no chat.</t>
      </text>
    </comment>
    <comment ref="BS20" authorId="0" shapeId="0">
      <text>
        <t>Conteúdo custom da parte 3b. Aprovação ocorre pelo bot no chat.</t>
      </text>
    </comment>
    <comment ref="CA20" authorId="0" shapeId="0">
      <text>
        <t>Conteúdo custom da parte 3b. Aprovação ocorre pelo bot no chat.</t>
      </text>
    </comment>
    <comment ref="V21" authorId="0" shapeId="0">
      <text>
        <t>Campos por tipo: Origem: ROTA; Marcante: não usado; Menor: não usado; Arma: PROPRIEDADE 2; Escudo: não usado; Uniforme: não usado; Item comum: não usado; Ferramenta amaldiçoada: não usado.</t>
      </text>
    </comment>
    <comment ref="AD21" authorId="0" shapeId="0">
      <text>
        <t>Campos por tipo: Origem: ROTA; Marcante: não usado; Menor: não usado; Arma: PROPRIEDADE 2; Escudo: não usado; Uniforme: não usado; Item comum: não usado; Ferramenta amaldiçoada: não usado.</t>
      </text>
    </comment>
    <comment ref="DR21" authorId="0" shapeId="0">
      <text>
        <t>Exigência, momento de cumprir, duração e incompatibilidades. Texto livre não é executado como fórmula.</t>
      </text>
    </comment>
    <comment ref="DZ21" authorId="0" shapeId="0">
      <text>
        <t>Exigência, momento de cumprir, duração e incompatibilidades. Texto livre não é executado como fórmula.</t>
      </text>
    </comment>
    <comment ref="V22"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22"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DA22" authorId="0" shapeId="0">
      <text>
        <t>Descreva requisitos, incompatibilidades e limite de compras. Verificações da base continuam; texto livre é conferido pelo mestre e pelo bot.</t>
      </text>
    </comment>
    <comment ref="DI22" authorId="0" shapeId="0">
      <text>
        <t>Descreva requisitos, incompatibilidades e limite de compras. Verificações da base continuam; texto livre é conferido pelo mestre e pelo bot.</t>
      </text>
    </comment>
    <comment ref="GY22" authorId="0" shapeId="0">
      <text>
        <t>Corpo, natureza e características do tipo. Em branco herda a base; aparece na nota do seletor TIPO da invocação.</t>
      </text>
    </comment>
    <comment ref="HG22" authorId="0" shapeId="0">
      <text>
        <t>Corpo, natureza e características do tipo. Em branco herda a base; aparece na nota do seletor TIPO da invocação.</t>
      </text>
    </comment>
    <comment ref="HP22" authorId="0" shapeId="0">
      <text>
        <t>Exigências completas do Talento de entidade. Texto livre não cria automações.</t>
      </text>
    </comment>
    <comment ref="HX22" authorId="0" shapeId="0">
      <text>
        <t>Exigências completas do Talento de entidade. Texto livre não cria automações.</t>
      </text>
    </comment>
    <comment ref="V23" authorId="0" shapeId="0">
      <text>
        <t>Campos por tipo: Origem: OFÍCIO; Marcante: não usado; Menor: não usado; Arma: PROPRIEDADE 4; Escudo: não usado; Uniforme: não usado; Item comum: não usado; Ferramenta amaldiçoada: não usado.</t>
      </text>
    </comment>
    <comment ref="AD23" authorId="0" shapeId="0">
      <text>
        <t>Campos por tipo: Origem: OFÍCIO; Marcante: não usado; Menor: não usado; Arma: PROPRIEDADE 4; Escudo: não usado; Uniforme: não usado; Item comum: não usado; Ferramenta amaldiçoada: não usado.</t>
      </text>
    </comment>
    <comment ref="BB23" authorId="0" shapeId="0">
      <text>
        <t>Conteúdo custom da parte 3b. Aprovação ocorre pelo bot no chat.</t>
      </text>
    </comment>
    <comment ref="BJ23" authorId="0" shapeId="0">
      <text>
        <t>Conteúdo custom da parte 3b. Aprovação ocorre pelo bot no chat.</t>
      </text>
    </comment>
    <comment ref="BS23" authorId="0" shapeId="0">
      <text>
        <t>Conteúdo custom da parte 3b. Aprovação ocorre pelo bot no chat.</t>
      </text>
    </comment>
    <comment ref="CA23" authorId="0" shapeId="0">
      <text>
        <t>Conteúdo custom da parte 3b. Aprovação ocorre pelo bot no chat.</t>
      </text>
    </comment>
    <comment ref="GY23" authorId="0" shapeId="0">
      <text>
        <t>Corpo, natureza e características do tipo. Em branco herda a base; aparece na nota do seletor TIPO da invocação.</t>
      </text>
    </comment>
    <comment ref="HG23" authorId="0" shapeId="0">
      <text>
        <t>Corpo, natureza e características do tipo. Em branco herda a base; aparece na nota do seletor TIPO da invocação.</t>
      </text>
    </comment>
    <comment ref="HP23" authorId="0" shapeId="0">
      <text>
        <t>Exigências completas do Talento de entidade. Texto livre não cria automações.</t>
      </text>
    </comment>
    <comment ref="HX23" authorId="0" shapeId="0">
      <text>
        <t>Exigências completas do Talento de entidade. Texto livre não cria automações.</t>
      </text>
    </comment>
    <comment ref="V24" authorId="0" shapeId="0">
      <text>
        <t>Campos por tipo: Origem: TALENTO CE 4; Marcante: FREQUÊNCIA; Menor: FREQUÊNCIA; Arma: DADO; Escudo: PROTEÇÃO; Uniforme: PROTEÇÃO; Item comum: VOLUME; Ferramenta amaldiçoada: ESTIGMA.</t>
      </text>
    </comment>
    <comment ref="AD24" authorId="0" shapeId="0">
      <text>
        <t>Campos por tipo: Origem: TALENTO CE 4; Marcante: FREQUÊNCIA; Menor: FREQUÊNCIA; Arma: DADO; Escudo: PROTEÇÃO; Uniforme: PROTEÇÃO; Item comum: VOLUME; Ferramenta amaldiçoada: ESTIGMA.</t>
      </text>
    </comment>
    <comment ref="EI24" authorId="0" shapeId="0">
      <text>
        <t>Interações e requisitos. Resistência, vulnerabilidade e dano aplicado não são deduzidos deste texto.</t>
      </text>
    </comment>
    <comment ref="EQ24" authorId="0" shapeId="0">
      <text>
        <t>Interações e requisitos. Resistência, vulnerabilidade e dano aplicado não são deduzidos deste texto.</t>
      </text>
    </comment>
    <comment ref="V25" authorId="0" shapeId="0">
      <text>
        <t>Campos por tipo: Origem: não usado; Marcante: não usado; Menor: não usado; Arma: FORÇA; Escudo: TETO DE DESTREZA; Uniforme: TETO DE DESTREZA; Item comum: PREÇO; Ferramenta amaldiçoada: DESGASTE.</t>
      </text>
    </comment>
    <comment ref="AD25" authorId="0" shapeId="0">
      <text>
        <t>Campos por tipo: Origem: não usado; Marcante: não usado; Menor: não usado; Arma: FORÇA; Escudo: TETO DE DESTREZA; Uniforme: TETO DE DESTREZA; Item comum: PREÇO; Ferramenta amaldiçoada: DESGASTE.</t>
      </text>
    </comment>
    <comment ref="V26" authorId="0" shapeId="0">
      <text>
        <t>Campos por tipo: Origem: não usado; Marcante: não usado; Menor: não usado; Arma: VOLUME; Escudo: FORÇA; Uniforme: FORÇA; Item comum: não usado; Ferramenta amaldiçoada: VOLUME.</t>
      </text>
    </comment>
    <comment ref="AD26" authorId="0" shapeId="0">
      <text>
        <t>Campos por tipo: Origem: não usado; Marcante: não usado; Menor: não usado; Arma: VOLUME; Escudo: FORÇA; Uniforme: FORÇA; Item comum: não usado; Ferramenta amaldiçoada: VOLUME.</t>
      </text>
    </comment>
    <comment ref="V27" authorId="0" shapeId="0">
      <text>
        <t>Campos por tipo: Origem: não usado; Marcante: não usado; Menor: não usado; Arma: ALCANCE; Escudo: VOLUME; Uniforme: VOLUME; Item comum: não usado; Ferramenta amaldiçoada: PREÇO.</t>
      </text>
    </comment>
    <comment ref="AD27" authorId="0" shapeId="0">
      <text>
        <t>Campos por tipo: Origem: não usado; Marcante: não usado; Menor: não usado; Arma: ALCANCE; Escudo: VOLUME; Uniforme: VOLUME; Item comum: não usado; Ferramenta amaldiçoada: PREÇO.</t>
      </text>
    </comment>
    <comment ref="CN27" authorId="0" shapeId="0">
      <text>
        <t>Lembrete marcado pelo jogador. Aprovação ocorre pelo bot no chat.</t>
      </text>
    </comment>
    <comment ref="CV27" authorId="0" shapeId="0">
      <text>
        <t>Lembrete marcado pelo jogador. Aprovação ocorre pelo bot no chat.</t>
      </text>
    </comment>
    <comment ref="GY27" authorId="0" shapeId="0">
      <text>
        <t>Em branco herda a base. Aparece na nota do seletor TIPO; texto livre não cria automações. Revise a descrição ao sobrescrever campos mecânicos.</t>
      </text>
    </comment>
    <comment ref="HG27" authorId="0" shapeId="0">
      <text>
        <t>Em branco herda a base. Aparece na nota do seletor TIPO; texto livre não cria automações. Revise a descrição ao sobrescrever campos mecânicos.</t>
      </text>
    </comment>
    <comment ref="HP27" authorId="0" shapeId="0">
      <text>
        <t>Descrição completa, exibida na carta existente. Em branco com base, usa o texto do livro.</t>
      </text>
    </comment>
    <comment ref="HX27" authorId="0" shapeId="0">
      <text>
        <t>Descrição completa, exibida na carta existente. Em branco com base, usa o texto do livro.</t>
      </text>
    </comment>
    <comment ref="V28" authorId="0" shapeId="0">
      <text>
        <t>Campos por tipo: Origem: não usado; Marcante: não usado; Menor: não usado; Arma: RECARGA; Escudo: PREÇO; Uniforme: PREÇO; Item comum: não usado; Ferramenta amaldiçoada: não usado.</t>
      </text>
    </comment>
    <comment ref="AD28" authorId="0" shapeId="0">
      <text>
        <t>Campos por tipo: Origem: não usado; Marcante: não usado; Menor: não usado; Arma: RECARGA; Escudo: PREÇO; Uniforme: PREÇO; Item comum: não usado; Ferramenta amaldiçoada: não usado.</t>
      </text>
    </comment>
    <comment ref="DA28" authorId="0" shapeId="0">
      <text>
        <t>Efeito completo da Melhoria. Números do personagem sem campo próprio são registrados em BÔNUS E MUDANÇAS.</t>
      </text>
    </comment>
    <comment ref="DI28" authorId="0" shapeId="0">
      <text>
        <t>Efeito completo da Melhoria. Números do personagem sem campo próprio são registrados em BÔNUS E MUDANÇAS.</t>
      </text>
    </comment>
    <comment ref="GY28" authorId="0" shapeId="0">
      <text>
        <t>Em branco herda a base. Aparece na nota do seletor TIPO; texto livre não cria automações. Revise a descrição ao sobrescrever campos mecânicos.</t>
      </text>
    </comment>
    <comment ref="HG28" authorId="0" shapeId="0">
      <text>
        <t>Em branco herda a base. Aparece na nota do seletor TIPO; texto livre não cria automações. Revise a descrição ao sobrescrever campos mecânicos.</t>
      </text>
    </comment>
    <comment ref="HP28" authorId="0" shapeId="0">
      <text>
        <t>Descrição completa, exibida na carta existente. Em branco com base, usa o texto do livro.</t>
      </text>
    </comment>
    <comment ref="HX28" authorId="0" shapeId="0">
      <text>
        <t>Descrição completa, exibida na carta existente. Em branco com base, usa o texto do livro.</t>
      </text>
    </comment>
    <comment ref="V29" authorId="0" shapeId="0">
      <text>
        <t>Campos por tipo: Origem: não usado; Marcante: não usado; Menor: não usado; Arma: PREÇO; Escudo: não usado; Uniforme: não usado; Item comum: não usado; Ferramenta amaldiçoada: não usado.</t>
      </text>
    </comment>
    <comment ref="AD29" authorId="0" shapeId="0">
      <text>
        <t>Campos por tipo: Origem: não usado; Marcante: não usado; Menor: não usado; Arma: PREÇO; Escudo: não usado; Uniforme: não usado; Item comum: não usado; Ferramenta amaldiçoada: não usado.</t>
      </text>
    </comment>
    <comment ref="T30" authorId="0" shapeId="0">
      <text>
        <t>Texto integral. Descreve regras; não interpreta a prosa como cálculo.</t>
      </text>
    </comment>
    <comment ref="AB30" authorId="0" shapeId="0">
      <text>
        <t>Texto integral. Descreve regras; não interpreta a prosa como cálculo.</t>
      </text>
    </comment>
    <comment ref="CJ32" authorId="0" shapeId="0">
      <text>
        <t>Tema e descrição da Família criada com o mestre.</t>
      </text>
    </comment>
    <comment ref="CR32" authorId="0" shapeId="0">
      <text>
        <t>Tema e descrição da Família criada com o mestre.</t>
      </text>
    </comment>
    <comment ref="BB34" authorId="0" shapeId="0">
      <text>
        <t>Conteúdo custom da parte 3b. Aprovação ocorre pelo bot no chat.</t>
      </text>
    </comment>
    <comment ref="BJ34" authorId="0" shapeId="0">
      <text>
        <t>Conteúdo custom da parte 3b. Aprovação ocorre pelo bot no chat.</t>
      </text>
    </comment>
    <comment ref="BS34" authorId="0" shapeId="0">
      <text>
        <t>Conteúdo custom da parte 3b. Aprovação ocorre pelo bot no chat.</t>
      </text>
    </comment>
    <comment ref="CA34" authorId="0" shapeId="0">
      <text>
        <t>Conteúdo custom da parte 3b. Aprovação ocorre pelo bot no chat.</t>
      </text>
    </comment>
    <comment ref="GH34" authorId="0" shapeId="0">
      <text>
        <t>Avisos do cadastro. Inválidos permanecem exportados e saem dos menus.</t>
      </text>
    </comment>
    <comment ref="GP34" authorId="0" shapeId="0">
      <text>
        <t>Avisos do cadastro. Inválidos permanecem exportados e saem dos menus.</t>
      </text>
    </comment>
    <comment ref="DV35" authorId="0" shapeId="0">
      <text>
        <t>Lembrete marcado pelo jogador. Aprovação ocorre pelo bot no chat.</t>
      </text>
    </comment>
    <comment ref="ED35" authorId="0" shapeId="0">
      <text>
        <t>Lembrete marcado pelo jogador. Aprovação ocorre pelo bot no chat.</t>
      </text>
    </comment>
    <comment ref="FQ36" authorId="0" shapeId="0">
      <text>
        <t>Avisos do cadastro. Inválidos permanecem exportados e saem dos menus.</t>
      </text>
    </comment>
    <comment ref="FY36" authorId="0" shapeId="0">
      <text>
        <t>Avisos do cadastro. Inválidos permanecem exportados e saem dos menus.</t>
      </text>
    </comment>
    <comment ref="BB37" authorId="0" shapeId="0">
      <text>
        <t>Conteúdo custom da parte 3b. Aprovação ocorre pelo bot no chat.</t>
      </text>
    </comment>
    <comment ref="BJ37" authorId="0" shapeId="0">
      <text>
        <t>Conteúdo custom da parte 3b. Aprovação ocorre pelo bot no chat.</t>
      </text>
    </comment>
    <comment ref="BS37" authorId="0" shapeId="0">
      <text>
        <t>Conteúdo custom da parte 3b. Aprovação ocorre pelo bot no chat.</t>
      </text>
    </comment>
    <comment ref="CA37" authorId="0" shapeId="0">
      <text>
        <t>Conteúdo custom da parte 3b. Aprovação ocorre pelo bot no chat.</t>
      </text>
    </comment>
    <comment ref="GY37" authorId="0" shapeId="0">
      <text>
        <t>Problema do cadastro. Cadastros com problema ficam fora dos menus da ficha.</t>
      </text>
    </comment>
    <comment ref="HG37" authorId="0" shapeId="0">
      <text>
        <t>Problema do cadastro. Cadastros com problema ficam fora dos menus da ficha.</t>
      </text>
    </comment>
    <comment ref="HP37" authorId="0" shapeId="0">
      <text>
        <t>Problema do cadastro. Cadastros com problema ficam fora dos menus da ficha.</t>
      </text>
    </comment>
    <comment ref="HX37" authorId="0" shapeId="0">
      <text>
        <t>Problema do cadastro. Cadastros com problema ficam fora dos menus da ficha.</t>
      </text>
    </comment>
    <comment ref="EC38" authorId="0" shapeId="0">
      <text>
        <t>Opcional. Nenhuma cria do zero. Com base, campos em branco e verificações específicas herdam o livro. Texto livre não cria automações.</t>
      </text>
    </comment>
    <comment ref="DA39" authorId="0" shapeId="0">
      <text>
        <t>Condição usa este mesmo cadastro e orçamento de Melhoria. Família em branco usa a base ou Controle sem base; EXIGE TR deve ficar vazio ou Sim. Peso e efeito seguem os campos deste cartão. Texto não executa regras.</t>
      </text>
    </comment>
    <comment ref="DE39" authorId="0" shapeId="0">
      <text>
        <t>Lembrete marcado pelo jogador. Aprovação ocorre pelo bot no chat.</t>
      </text>
    </comment>
    <comment ref="DI39" authorId="0" shapeId="0">
      <text>
        <t>Condição usa este mesmo cadastro e orçamento de Melhoria. Família em branco usa a base ou Controle sem base; EXIGE TR deve ficar vazio ou Sim. Peso e efeito seguem os campos deste cartão. Texto não executa regras.</t>
      </text>
    </comment>
    <comment ref="DM39" authorId="0" shapeId="0">
      <text>
        <t>Lembrete marcado pelo jogador. Aprovação ocorre pelo bot no chat.</t>
      </text>
    </comment>
    <comment ref="DU39" authorId="0" shapeId="0">
      <text>
        <t>Em branco herda a base. Sem base, escolha Leve ou Média. Restrição paga Melhorias, nunca a Forma, e conserva o teto e o limite de Restrições.</t>
      </text>
    </comment>
    <comment ref="EC39" authorId="0" shapeId="0">
      <text>
        <t>Em branco herda a base. Sem base, escolha Leve ou Média. Restrição paga Melhorias, nunca a Forma, e conserva o teto e o limite de Restrições.</t>
      </text>
    </comment>
    <comment ref="GL39" authorId="0" shapeId="0">
      <text>
        <t>Lembrete. Aprovação pertence ao bot no chat.</t>
      </text>
    </comment>
    <comment ref="GT39" authorId="0" shapeId="0">
      <text>
        <t>Lembrete. Aprovação pertence ao bot no chat.</t>
      </text>
    </comment>
    <comment ref="DU40" authorId="0" shapeId="0">
      <text>
        <t>Em branco herda a base. Sim identifica Restrição de frequência; duas de frequência continuam incompatíveis.</t>
      </text>
    </comment>
    <comment ref="EC40" authorId="0" shapeId="0">
      <text>
        <t>Em branco herda a base. Sim identifica Restrição de frequência; duas de frequência continuam incompatíveis.</t>
      </text>
    </comment>
    <comment ref="GY40" authorId="0" shapeId="0">
      <text>
        <t>Nome único. O menu da ficha reunirá o livro e os cadastros válidos.</t>
      </text>
    </comment>
    <comment ref="HG40" authorId="0" shapeId="0">
      <text>
        <t>Nome único. O menu da ficha reunirá o livro e os cadastros válidos.</t>
      </text>
    </comment>
    <comment ref="HP40" authorId="0" shapeId="0">
      <text>
        <t>Nome único. O menu da ficha reunirá o livro e os cadastros válidos.</t>
      </text>
    </comment>
    <comment ref="HX40" authorId="0" shapeId="0">
      <text>
        <t>Nome único. O menu da ficha reunirá o livro e os cadastros válidos.</t>
      </text>
    </comment>
    <comment ref="CN41" authorId="0" shapeId="0">
      <text>
        <t>Lembrete marcado pelo jogador. Aprovação ocorre pelo bot no chat.</t>
      </text>
    </comment>
    <comment ref="CV41" authorId="0" shapeId="0">
      <text>
        <t>Lembrete marcado pelo jogador. Aprovação ocorre pelo bot no chat.</t>
      </text>
    </comment>
    <comment ref="EI41" authorId="0" shapeId="0">
      <text>
        <t>Nome único. Livro e cadastros válidos aparecem juntos nos menus.</t>
      </text>
    </comment>
    <comment ref="EM41" authorId="0" shapeId="0">
      <text>
        <t>Lembrete; aprovação ocorre pelo bot no chat.</t>
      </text>
    </comment>
    <comment ref="EQ41" authorId="0" shapeId="0">
      <text>
        <t>Nome único. Livro e cadastros válidos aparecem juntos nos menus.</t>
      </text>
    </comment>
    <comment ref="EU41" authorId="0" shapeId="0">
      <text>
        <t>Lembrete; aprovação ocorre pelo bot no chat.</t>
      </text>
    </comment>
    <comment ref="FU41" authorId="0" shapeId="0">
      <text>
        <t>Lembrete. Aprovação pertence ao bot no chat.</t>
      </text>
    </comment>
    <comment ref="GC41" authorId="0" shapeId="0">
      <text>
        <t>Lembrete. Aprovação pertence ao bot no chat.</t>
      </text>
    </comment>
    <comment ref="GY41" authorId="0" shapeId="0">
      <text>
        <t>Nome próprio do conteúdo criado com o mestre.</t>
      </text>
    </comment>
    <comment ref="HC41" authorId="0" shapeId="0">
      <text>
        <t>Lembrete marcado pelo jogador; aprovação é feita pelo bot, no chat.</t>
      </text>
    </comment>
    <comment ref="HG41" authorId="0" shapeId="0">
      <text>
        <t>Nome próprio do conteúdo criado com o mestre.</t>
      </text>
    </comment>
    <comment ref="HK41" authorId="0" shapeId="0">
      <text>
        <t>Lembrete marcado pelo jogador; aprovação é feita pelo bot, no chat.</t>
      </text>
    </comment>
    <comment ref="HP41" authorId="0" shapeId="0">
      <text>
        <t>Nome próprio do conteúdo criado com o mestre.</t>
      </text>
    </comment>
    <comment ref="HT41" authorId="0" shapeId="0">
      <text>
        <t>Lembrete marcado pelo jogador; aprovação é feita pelo bot, no chat.</t>
      </text>
    </comment>
    <comment ref="HX41" authorId="0" shapeId="0">
      <text>
        <t>Nome próprio do conteúdo criado com o mestre.</t>
      </text>
    </comment>
    <comment ref="IB41" authorId="0" shapeId="0">
      <text>
        <t>Lembrete marcado pelo jogador; aprovação é feita pelo bot, no chat.</t>
      </text>
    </comment>
    <comment ref="T42" authorId="0" shapeId="0">
      <text>
        <t>Troque o tipo e revise os valores que já estavam guardados.</t>
      </text>
    </comment>
    <comment ref="X42" authorId="0" shapeId="0">
      <text>
        <t>Lembrete do jogador; aprovação só pelo bot no chat.</t>
      </text>
    </comment>
    <comment ref="AB42" authorId="0" shapeId="0">
      <text>
        <t>Troque o tipo e revise os valores que já estavam guardados.</t>
      </text>
    </comment>
    <comment ref="AF42" authorId="0" shapeId="0">
      <text>
        <t>Lembrete do jogador; aprovação só pelo bot no chat.</t>
      </text>
    </comment>
    <comment ref="DL42" authorId="0" shapeId="0">
      <text>
        <t>Opcional. Nenhuma cria do zero. Com base, campos em branco e verificações específicas herdam o livro. Texto livre não cria automações.</t>
      </text>
    </comment>
    <comment ref="DD43" authorId="0" shapeId="0">
      <text>
        <t>Em branco herda a base; Nenhuma remove a Família. A técnica usa o estado cadastrado; entidades usam suas próprias Famílias abertas.</t>
      </text>
    </comment>
    <comment ref="DL43" authorId="0" shapeId="0">
      <text>
        <t>Em branco herda a base; Nenhuma remove a Família. A técnica usa o estado cadastrado; entidades usam suas próprias Famílias abertas.</t>
      </text>
    </comment>
    <comment ref="DR43" authorId="0" shapeId="0">
      <text>
        <t>Exigência, momento de cumprir, duração e incompatibilidades. Texto livre não é executado como fórmula.</t>
      </text>
    </comment>
    <comment ref="DZ43" authorId="0" shapeId="0">
      <text>
        <t>Exigência, momento de cumprir, duração e incompatibilidades. Texto livre não é executado como fórmula.</t>
      </text>
    </comment>
    <comment ref="HJ43" authorId="0" shapeId="0">
      <text>
        <t>Opcional. Em branco nos demais campos, uma base herda as automações do livro. Nenhuma permite conteúdo próprio. O texto não é interpretado como fórmula.</t>
      </text>
    </comment>
    <comment ref="IA43" authorId="0" shapeId="0">
      <text>
        <t>Opcional. Em branco nos demais campos, uma base herda as automações do livro. Nenhuma permite conteúdo próprio. O texto não é interpretado como fórmula.</t>
      </text>
    </comment>
    <comment ref="T44" authorId="0" shapeId="0">
      <text>
        <t>Nome único. Capacidades apontam para o nome da Origem, do livro ou custom.</t>
      </text>
    </comment>
    <comment ref="AB44" authorId="0" shapeId="0">
      <text>
        <t>Nome único. Capacidades apontam para o nome da Origem, do livro ou custom.</t>
      </text>
    </comment>
    <comment ref="DD44" authorId="0" shapeId="0">
      <text>
        <t>Em branco herda a base. Sem base, escolha Leve, Média ou Pesada. Preços e desconto seguem a Classe da ficha.</t>
      </text>
    </comment>
    <comment ref="DL44" authorId="0" shapeId="0">
      <text>
        <t>Em branco herda a base. Sem base, escolha Leve, Média ou Pesada. Preços e desconto seguem a Classe da ficha.</t>
      </text>
    </comment>
    <comment ref="HB44" authorId="0" shapeId="0">
      <text>
        <t>Em branco herda a base; sem base usa a vida normal. Corpo de criação usa 4 + Constituição por nível após o primeiro.</t>
      </text>
    </comment>
    <comment ref="HJ44" authorId="0" shapeId="0">
      <text>
        <t>Em branco herda a base; sem base usa a vida normal. Corpo de criação usa 4 + Constituição por nível após o primeiro.</t>
      </text>
    </comment>
    <comment ref="HS44" authorId="0" shapeId="0">
      <text>
        <t>Em branco herda a base; sem base é obrigatória. Conferida com o teto de cada ganho; as escolhas da Trilha aceitam só a Categoria 1.</t>
      </text>
    </comment>
    <comment ref="IA44" authorId="0" shapeId="0">
      <text>
        <t>Em branco herda a base; sem base é obrigatória. Conferida com o teto de cada ganho; as escolhas da Trilha aceitam só a Categoria 1.</t>
      </text>
    </comment>
    <comment ref="C45" authorId="0" shapeId="0">
      <text>
        <t>Regra ou nível.</t>
      </text>
    </comment>
    <comment ref="E45" authorId="0" shapeId="0">
      <text>
        <t>Valor padrão do livro R51.</t>
      </text>
    </comment>
    <comment ref="F45" authorId="0" shapeId="0">
      <text>
        <t>Em branco usa o livro. Zero é um valor informado.</t>
      </text>
    </comment>
    <comment ref="G45" authorId="0" shapeId="0">
      <text>
        <t>Valor efetivamente usado pela ficha.</t>
      </text>
    </comment>
    <comment ref="H45" authorId="0" shapeId="0">
      <text>
        <t>Justificativa da mudança.</t>
      </text>
    </comment>
    <comment ref="AK45" authorId="0" shapeId="0">
      <text>
        <t>Conteúdo custom da parte 3b. Aprovação ocorre pelo bot no chat.</t>
      </text>
    </comment>
    <comment ref="AS45" authorId="0" shapeId="0">
      <text>
        <t>Conteúdo custom da parte 3b. Aprovação ocorre pelo bot no chat.</t>
      </text>
    </comment>
    <comment ref="DD45" authorId="0" shapeId="0">
      <text>
        <t>Em branco herda a base. Sim indica que o efeito exige TR, inclusive em Forma de ataque.</t>
      </text>
    </comment>
    <comment ref="DL45" authorId="0" shapeId="0">
      <text>
        <t>Em branco herda a base. Sim indica que o efeito exige TR, inclusive em Forma de ataque.</t>
      </text>
    </comment>
    <comment ref="EI45" authorId="0" shapeId="0">
      <text>
        <t>Natureza do dano criada com o mestre. Não altera números automaticamente.</t>
      </text>
    </comment>
    <comment ref="EQ45" authorId="0" shapeId="0">
      <text>
        <t>Natureza do dano criada com o mestre. Não altera números automaticamente.</t>
      </text>
    </comment>
    <comment ref="HB45" authorId="0" shapeId="0">
      <text>
        <t>Em branco herda a base; sem base não usa. Usar habilita a carga do talismã na entrada da entidade.</t>
      </text>
    </comment>
    <comment ref="HJ45" authorId="0" shapeId="0">
      <text>
        <t>Em branco herda a base; sem base não usa. Usar habilita a carga do talismã na entrada da entidade.</t>
      </text>
    </comment>
    <comment ref="F46" authorId="0" shapeId="0">
      <text>
        <t>XP começa em zero neste nível. Para começar em 1, informe o custo 1→2 na tabela.</t>
      </text>
    </comment>
    <comment ref="V46"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46"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CJ46" authorId="0" shapeId="0">
      <text>
        <t>Tema e descrição da Família criada com o mestre.</t>
      </text>
    </comment>
    <comment ref="CR46" authorId="0" shapeId="0">
      <text>
        <t>Tema e descrição da Família criada com o mestre.</t>
      </text>
    </comment>
    <comment ref="F47" authorId="0" shapeId="0">
      <text>
        <t>Regra da campanha. Campo vazio usa o valor do R51.</t>
      </text>
    </comment>
    <comment ref="V47"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47"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HB47" authorId="0" shapeId="0">
      <text>
        <t>Em branco herda a base; sem base usa a reserva normal. A opção domada aplica o cálculo já publicado.</t>
      </text>
    </comment>
    <comment ref="HJ47" authorId="0" shapeId="0">
      <text>
        <t>Em branco herda a base; sem base usa a reserva normal. A opção domada aplica o cálculo já publicado.</t>
      </text>
    </comment>
    <comment ref="F48" authorId="0" shapeId="0">
      <text>
        <t>Regra da campanha. Campo vazio usa o valor do R51.</t>
      </text>
    </comment>
    <comment ref="V48"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48"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K48" authorId="0" shapeId="0">
      <text>
        <t>Conteúdo custom da parte 3b. Aprovação ocorre pelo bot no chat.</t>
      </text>
    </comment>
    <comment ref="AS48" authorId="0" shapeId="0">
      <text>
        <t>Conteúdo custom da parte 3b. Aprovação ocorre pelo bot no chat.</t>
      </text>
    </comment>
    <comment ref="BB48" authorId="0" shapeId="0">
      <text>
        <t>Conteúdo custom da parte 3b. Aprovação ocorre pelo bot no chat.</t>
      </text>
    </comment>
    <comment ref="BJ48" authorId="0" shapeId="0">
      <text>
        <t>Conteúdo custom da parte 3b. Aprovação ocorre pelo bot no chat.</t>
      </text>
    </comment>
    <comment ref="BS48" authorId="0" shapeId="0">
      <text>
        <t>Conteúdo custom da parte 3b. Aprovação ocorre pelo bot no chat.</t>
      </text>
    </comment>
    <comment ref="CA48" authorId="0" shapeId="0">
      <text>
        <t>Conteúdo custom da parte 3b. Aprovação ocorre pelo bot no chat.</t>
      </text>
    </comment>
    <comment ref="DA48" authorId="0" shapeId="0">
      <text>
        <t>Descreva requisitos, incompatibilidades e limite de compras. Verificações da base continuam; texto livre é conferido pelo mestre e pelo bot.</t>
      </text>
    </comment>
    <comment ref="DI48" authorId="0" shapeId="0">
      <text>
        <t>Descreva requisitos, incompatibilidades e limite de compras. Verificações da base continuam; texto livre é conferido pelo mestre e pelo bot.</t>
      </text>
    </comment>
    <comment ref="F49" authorId="0" shapeId="0">
      <text>
        <t>Regra da campanha. Campo vazio usa o valor do R51.</t>
      </text>
    </comment>
    <comment ref="V49"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49"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K49" authorId="0" shapeId="0">
      <text>
        <t>Conteúdo custom da parte 3b. Aprovação ocorre pelo bot no chat.</t>
      </text>
    </comment>
    <comment ref="AS49" authorId="0" shapeId="0">
      <text>
        <t>Conteúdo custom da parte 3b. Aprovação ocorre pelo bot no chat.</t>
      </text>
    </comment>
    <comment ref="F50" authorId="0" shapeId="0">
      <text>
        <t>Regra da campanha. Campo vazio usa o valor do R51.</t>
      </text>
    </comment>
    <comment ref="V50" authorId="0" shapeId="0">
      <text>
        <t>Campos por tipo: Origem: ROTA; Marcante: não usado; Menor: não usado; Arma: PROPRIEDADE 2; Escudo: não usado; Uniforme: não usado; Item comum: não usado; Ferramenta amaldiçoada: não usado.</t>
      </text>
    </comment>
    <comment ref="AD50" authorId="0" shapeId="0">
      <text>
        <t>Campos por tipo: Origem: ROTA; Marcante: não usado; Menor: não usado; Arma: PROPRIEDADE 2; Escudo: não usado; Uniforme: não usado; Item comum: não usado; Ferramenta amaldiçoada: não usado.</t>
      </text>
    </comment>
    <comment ref="GY50" authorId="0" shapeId="0">
      <text>
        <t>Corpo, natureza e características do tipo. Em branco herda a base; aparece na nota do seletor TIPO da invocação.</t>
      </text>
    </comment>
    <comment ref="HG50" authorId="0" shapeId="0">
      <text>
        <t>Corpo, natureza e características do tipo. Em branco herda a base; aparece na nota do seletor TIPO da invocação.</t>
      </text>
    </comment>
    <comment ref="HP50" authorId="0" shapeId="0">
      <text>
        <t>Exigências completas do Talento de entidade. Texto livre não cria automações.</t>
      </text>
    </comment>
    <comment ref="HX50" authorId="0" shapeId="0">
      <text>
        <t>Exigências completas do Talento de entidade. Texto livre não cria automações.</t>
      </text>
    </comment>
    <comment ref="F51" authorId="0" shapeId="0">
      <text>
        <t>Regra da campanha. Campo vazio usa o valor do R51.</t>
      </text>
    </comment>
    <comment ref="V51"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51"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K51" authorId="0" shapeId="0">
      <text>
        <t>Texto integral da habilidade. Campo vazio não concede habilidade; nenhum texto é interpretado como cálculo.</t>
      </text>
    </comment>
    <comment ref="AS51" authorId="0" shapeId="0">
      <text>
        <t>Texto integral da habilidade. Campo vazio não concede habilidade; nenhum texto é interpretado como cálculo.</t>
      </text>
    </comment>
    <comment ref="BB51" authorId="0" shapeId="0">
      <text>
        <t>Conteúdo custom da parte 3b. Aprovação ocorre pelo bot no chat.</t>
      </text>
    </comment>
    <comment ref="BJ51" authorId="0" shapeId="0">
      <text>
        <t>Conteúdo custom da parte 3b. Aprovação ocorre pelo bot no chat.</t>
      </text>
    </comment>
    <comment ref="BS51" authorId="0" shapeId="0">
      <text>
        <t>Conteúdo custom da parte 3b. Aprovação ocorre pelo bot no chat.</t>
      </text>
    </comment>
    <comment ref="CA51" authorId="0" shapeId="0">
      <text>
        <t>Conteúdo custom da parte 3b. Aprovação ocorre pelo bot no chat.</t>
      </text>
    </comment>
    <comment ref="GY51" authorId="0" shapeId="0">
      <text>
        <t>Corpo, natureza e características do tipo. Em branco herda a base; aparece na nota do seletor TIPO da invocação.</t>
      </text>
    </comment>
    <comment ref="HG51" authorId="0" shapeId="0">
      <text>
        <t>Corpo, natureza e características do tipo. Em branco herda a base; aparece na nota do seletor TIPO da invocação.</t>
      </text>
    </comment>
    <comment ref="HP51" authorId="0" shapeId="0">
      <text>
        <t>Exigências completas do Talento de entidade. Texto livre não cria automações.</t>
      </text>
    </comment>
    <comment ref="HX51" authorId="0" shapeId="0">
      <text>
        <t>Exigências completas do Talento de entidade. Texto livre não cria automações.</t>
      </text>
    </comment>
    <comment ref="F52" authorId="0" shapeId="0">
      <text>
        <t>Regra da campanha. Campo vazio usa o valor do R51.</t>
      </text>
    </comment>
    <comment ref="V52" authorId="0" shapeId="0">
      <text>
        <t>Campos por tipo: Origem: OFÍCIO; Marcante: não usado; Menor: não usado; Arma: PROPRIEDADE 4; Escudo: não usado; Uniforme: não usado; Item comum: não usado; Ferramenta amaldiçoada: não usado.</t>
      </text>
    </comment>
    <comment ref="AD52" authorId="0" shapeId="0">
      <text>
        <t>Campos por tipo: Origem: OFÍCIO; Marcante: não usado; Menor: não usado; Arma: PROPRIEDADE 4; Escudo: não usado; Uniforme: não usado; Item comum: não usado; Ferramenta amaldiçoada: não usado.</t>
      </text>
    </comment>
    <comment ref="EI52" authorId="0" shapeId="0">
      <text>
        <t>Interações e requisitos. Resistência, vulnerabilidade e dano aplicado não são deduzidos deste texto.</t>
      </text>
    </comment>
    <comment ref="EQ52" authorId="0" shapeId="0">
      <text>
        <t>Interações e requisitos. Resistência, vulnerabilidade e dano aplicado não são deduzidos deste texto.</t>
      </text>
    </comment>
    <comment ref="F53" authorId="0" shapeId="0">
      <text>
        <t>Regra da campanha. Campo vazio usa o valor do R51.</t>
      </text>
    </comment>
    <comment ref="V53" authorId="0" shapeId="0">
      <text>
        <t>Campos por tipo: Origem: TALENTO CE 4; Marcante: FREQUÊNCIA; Menor: FREQUÊNCIA; Arma: DADO; Escudo: PROTEÇÃO; Uniforme: PROTEÇÃO; Item comum: VOLUME; Ferramenta amaldiçoada: ESTIGMA.</t>
      </text>
    </comment>
    <comment ref="AD53" authorId="0" shapeId="0">
      <text>
        <t>Campos por tipo: Origem: TALENTO CE 4; Marcante: FREQUÊNCIA; Menor: FREQUÊNCIA; Arma: DADO; Escudo: PROTEÇÃO; Uniforme: PROTEÇÃO; Item comum: VOLUME; Ferramenta amaldiçoada: ESTIGMA.</t>
      </text>
    </comment>
    <comment ref="F54" authorId="0" shapeId="0">
      <text>
        <t>Regra da campanha. Campo vazio usa o valor do R51.</t>
      </text>
    </comment>
    <comment ref="V54" authorId="0" shapeId="0">
      <text>
        <t>Campos por tipo: Origem: não usado; Marcante: não usado; Menor: não usado; Arma: FORÇA; Escudo: TETO DE DESTREZA; Uniforme: TETO DE DESTREZA; Item comum: PREÇO; Ferramenta amaldiçoada: DESGASTE.</t>
      </text>
    </comment>
    <comment ref="AD54" authorId="0" shapeId="0">
      <text>
        <t>Campos por tipo: Origem: não usado; Marcante: não usado; Menor: não usado; Arma: FORÇA; Escudo: TETO DE DESTREZA; Uniforme: TETO DE DESTREZA; Item comum: PREÇO; Ferramenta amaldiçoada: DESGASTE.</t>
      </text>
    </comment>
    <comment ref="AK54" authorId="0" shapeId="0">
      <text>
        <t>Texto integral da habilidade. Campo vazio não concede habilidade; nenhum texto é interpretado como cálculo.</t>
      </text>
    </comment>
    <comment ref="AS54" authorId="0" shapeId="0">
      <text>
        <t>Texto integral da habilidade. Campo vazio não concede habilidade; nenhum texto é interpretado como cálculo.</t>
      </text>
    </comment>
    <comment ref="DA54" authorId="0" shapeId="0">
      <text>
        <t>Efeito completo da Melhoria. Números do personagem sem campo próprio são registrados em BÔNUS E MUDANÇAS.</t>
      </text>
    </comment>
    <comment ref="DI54" authorId="0" shapeId="0">
      <text>
        <t>Efeito completo da Melhoria. Números do personagem sem campo próprio são registrados em BÔNUS E MUDANÇAS.</t>
      </text>
    </comment>
    <comment ref="F55" authorId="0" shapeId="0">
      <text>
        <t>Regra da campanha. Campo vazio usa o valor do R51.</t>
      </text>
    </comment>
    <comment ref="V55" authorId="0" shapeId="0">
      <text>
        <t>Campos por tipo: Origem: não usado; Marcante: não usado; Menor: não usado; Arma: VOLUME; Escudo: FORÇA; Uniforme: FORÇA; Item comum: não usado; Ferramenta amaldiçoada: VOLUME.</t>
      </text>
    </comment>
    <comment ref="AD55" authorId="0" shapeId="0">
      <text>
        <t>Campos por tipo: Origem: não usado; Marcante: não usado; Menor: não usado; Arma: VOLUME; Escudo: FORÇA; Uniforme: FORÇA; Item comum: não usado; Ferramenta amaldiçoada: VOLUME.</t>
      </text>
    </comment>
    <comment ref="CN55" authorId="0" shapeId="0">
      <text>
        <t>Lembrete marcado pelo jogador. Aprovação ocorre pelo bot no chat.</t>
      </text>
    </comment>
    <comment ref="CV55" authorId="0" shapeId="0">
      <text>
        <t>Lembrete marcado pelo jogador. Aprovação ocorre pelo bot no chat.</t>
      </text>
    </comment>
    <comment ref="EZ55" authorId="0" shapeId="0">
      <text>
        <t>Avisos do cadastro. Inválidos permanecem exportados e saem dos menus.</t>
      </text>
    </comment>
    <comment ref="FH55" authorId="0" shapeId="0">
      <text>
        <t>Avisos do cadastro. Inválidos permanecem exportados e saem dos menus.</t>
      </text>
    </comment>
    <comment ref="GY55" authorId="0" shapeId="0">
      <text>
        <t>Em branco herda a base. Aparece na nota do seletor TIPO; texto livre não cria automações. Revise a descrição ao sobrescrever campos mecânicos.</t>
      </text>
    </comment>
    <comment ref="HG55" authorId="0" shapeId="0">
      <text>
        <t>Em branco herda a base. Aparece na nota do seletor TIPO; texto livre não cria automações. Revise a descrição ao sobrescrever campos mecânicos.</t>
      </text>
    </comment>
    <comment ref="HP55" authorId="0" shapeId="0">
      <text>
        <t>Descrição completa, exibida na carta existente. Em branco com base, usa o texto do livro.</t>
      </text>
    </comment>
    <comment ref="HX55" authorId="0" shapeId="0">
      <text>
        <t>Descrição completa, exibida na carta existente. Em branco com base, usa o texto do livro.</t>
      </text>
    </comment>
    <comment ref="F56" authorId="0" shapeId="0">
      <text>
        <t>Regra da campanha. Campo vazio usa o valor do R51.</t>
      </text>
    </comment>
    <comment ref="V56" authorId="0" shapeId="0">
      <text>
        <t>Campos por tipo: Origem: não usado; Marcante: não usado; Menor: não usado; Arma: ALCANCE; Escudo: VOLUME; Uniforme: VOLUME; Item comum: não usado; Ferramenta amaldiçoada: PREÇO.</t>
      </text>
    </comment>
    <comment ref="AD56" authorId="0" shapeId="0">
      <text>
        <t>Campos por tipo: Origem: não usado; Marcante: não usado; Menor: não usado; Arma: ALCANCE; Escudo: VOLUME; Uniforme: VOLUME; Item comum: não usado; Ferramenta amaldiçoada: PREÇO.</t>
      </text>
    </comment>
    <comment ref="GY56" authorId="0" shapeId="0">
      <text>
        <t>Em branco herda a base. Aparece na nota do seletor TIPO; texto livre não cria automações. Revise a descrição ao sobrescrever campos mecânicos.</t>
      </text>
    </comment>
    <comment ref="HG56" authorId="0" shapeId="0">
      <text>
        <t>Em branco herda a base. Aparece na nota do seletor TIPO; texto livre não cria automações. Revise a descrição ao sobrescrever campos mecânicos.</t>
      </text>
    </comment>
    <comment ref="HP56" authorId="0" shapeId="0">
      <text>
        <t>Descrição completa, exibida na carta existente. Em branco com base, usa o texto do livro.</t>
      </text>
    </comment>
    <comment ref="HX56" authorId="0" shapeId="0">
      <text>
        <t>Descrição completa, exibida na carta existente. Em branco com base, usa o texto do livro.</t>
      </text>
    </comment>
    <comment ref="F57" authorId="0" shapeId="0">
      <text>
        <t>Regra da campanha. Campo vazio usa o valor do R51.</t>
      </text>
    </comment>
    <comment ref="V57" authorId="0" shapeId="0">
      <text>
        <t>Campos por tipo: Origem: não usado; Marcante: não usado; Menor: não usado; Arma: RECARGA; Escudo: PREÇO; Uniforme: PREÇO; Item comum: não usado; Ferramenta amaldiçoada: não usado.</t>
      </text>
    </comment>
    <comment ref="AD57" authorId="0" shapeId="0">
      <text>
        <t>Campos por tipo: Origem: não usado; Marcante: não usado; Menor: não usado; Arma: RECARGA; Escudo: PREÇO; Uniforme: PREÇO; Item comum: não usado; Ferramenta amaldiçoada: não usado.</t>
      </text>
    </comment>
    <comment ref="AK57" authorId="0" shapeId="0">
      <text>
        <t>Texto integral da habilidade. Campo vazio não concede habilidade; nenhum texto é interpretado como cálculo.</t>
      </text>
    </comment>
    <comment ref="AS57" authorId="0" shapeId="0">
      <text>
        <t>Texto integral da habilidade. Campo vazio não concede habilidade; nenhum texto é interpretado como cálculo.</t>
      </text>
    </comment>
    <comment ref="DV57" authorId="0" shapeId="0">
      <text>
        <t>Lembrete marcado pelo jogador. Aprovação ocorre pelo bot no chat.</t>
      </text>
    </comment>
    <comment ref="ED57" authorId="0" shapeId="0">
      <text>
        <t>Lembrete marcado pelo jogador. Aprovação ocorre pelo bot no chat.</t>
      </text>
    </comment>
    <comment ref="F58" authorId="0" shapeId="0">
      <text>
        <t>Rodadas menos uma por Sequela. Inclui as Sequelas extras se preenchidas.</t>
      </text>
    </comment>
    <comment ref="V58" authorId="0" shapeId="0">
      <text>
        <t>Campos por tipo: Origem: não usado; Marcante: não usado; Menor: não usado; Arma: PREÇO; Escudo: não usado; Uniforme: não usado; Item comum: não usado; Ferramenta amaldiçoada: não usado.</t>
      </text>
    </comment>
    <comment ref="AD58" authorId="0" shapeId="0">
      <text>
        <t>Campos por tipo: Origem: não usado; Marcante: não usado; Menor: não usado; Arma: PREÇO; Escudo: não usado; Uniforme: não usado; Item comum: não usado; Ferramenta amaldiçoada: não usado.</t>
      </text>
    </comment>
    <comment ref="F59" authorId="0" shapeId="0">
      <text>
        <t>Vida inicial fixa do Caminho. Cada nível seguinte guarda o resultado do dado, sem Constituição, no registro abaixo.</t>
      </text>
    </comment>
    <comment ref="T59" authorId="0" shapeId="0">
      <text>
        <t>Texto integral. Descreve regras; não interpreta a prosa como cálculo.</t>
      </text>
    </comment>
    <comment ref="AB59" authorId="0" shapeId="0">
      <text>
        <t>Texto integral. Descreve regras; não interpreta a prosa como cálculo.</t>
      </text>
    </comment>
    <comment ref="GH59" authorId="0" shapeId="0">
      <text>
        <t>Avisos do cadastro. Inválidos permanecem exportados e saem dos menus.</t>
      </text>
    </comment>
    <comment ref="GP59" authorId="0" shapeId="0">
      <text>
        <t>Avisos do cadastro. Inválidos permanecem exportados e saem dos menus.</t>
      </text>
    </comment>
    <comment ref="AK60" authorId="0" shapeId="0">
      <text>
        <t>Texto integral da habilidade. Campo vazio não concede habilidade; nenhum texto é interpretado como cálculo.</t>
      </text>
    </comment>
    <comment ref="AS60" authorId="0" shapeId="0">
      <text>
        <t>Texto integral da habilidade. Campo vazio não concede habilidade; nenhum texto é interpretado como cálculo.</t>
      </text>
    </comment>
    <comment ref="CJ60" authorId="0" shapeId="0">
      <text>
        <t>Tema e descrição da Família criada com o mestre.</t>
      </text>
    </comment>
    <comment ref="CR60" authorId="0" shapeId="0">
      <text>
        <t>Tema e descrição da Família criada com o mestre.</t>
      </text>
    </comment>
    <comment ref="EC60" authorId="0" shapeId="0">
      <text>
        <t>Opcional. Nenhuma cria do zero. Com base, campos em branco e verificações específicas herdam o livro. Texto livre não cria automações.</t>
      </text>
    </comment>
    <comment ref="FD60" authorId="0" shapeId="0">
      <text>
        <t>Lembrete. Aprovação pertence ao bot no chat.</t>
      </text>
    </comment>
    <comment ref="FL60" authorId="0" shapeId="0">
      <text>
        <t>Lembrete. Aprovação pertence ao bot no chat.</t>
      </text>
    </comment>
    <comment ref="DU61" authorId="0" shapeId="0">
      <text>
        <t>Em branco herda a base. Sem base, escolha Leve ou Média. Restrição paga Melhorias, nunca a Forma, e conserva o teto e o limite de Restrições.</t>
      </text>
    </comment>
    <comment ref="EC61" authorId="0" shapeId="0">
      <text>
        <t>Em branco herda a base. Sem base, escolha Leve ou Média. Restrição paga Melhorias, nunca a Forma, e conserva o teto e o limite de Restrições.</t>
      </text>
    </comment>
    <comment ref="BB62" authorId="0" shapeId="0">
      <text>
        <t>Conteúdo custom da parte 3b. Aprovação ocorre pelo bot no chat.</t>
      </text>
    </comment>
    <comment ref="BJ62" authorId="0" shapeId="0">
      <text>
        <t>Conteúdo custom da parte 3b. Aprovação ocorre pelo bot no chat.</t>
      </text>
    </comment>
    <comment ref="BS62" authorId="0" shapeId="0">
      <text>
        <t>Conteúdo custom da parte 3b. Aprovação ocorre pelo bot no chat.</t>
      </text>
    </comment>
    <comment ref="CA62" authorId="0" shapeId="0">
      <text>
        <t>Conteúdo custom da parte 3b. Aprovação ocorre pelo bot no chat.</t>
      </text>
    </comment>
    <comment ref="DU62" authorId="0" shapeId="0">
      <text>
        <t>Em branco herda a base. Sim identifica Restrição de frequência; duas de frequência continuam incompatíveis.</t>
      </text>
    </comment>
    <comment ref="EC62" authorId="0" shapeId="0">
      <text>
        <t>Em branco herda a base. Sim identifica Restrição de frequência; duas de frequência continuam incompatíveis.</t>
      </text>
    </comment>
    <comment ref="AK63" authorId="0" shapeId="0">
      <text>
        <t>Texto integral da habilidade. Campo vazio não concede habilidade; nenhum texto é interpretado como cálculo.</t>
      </text>
    </comment>
    <comment ref="FQ63" authorId="0" shapeId="0">
      <text>
        <t>Avisos do cadastro. Inválidos permanecem exportados e saem dos menus.</t>
      </text>
    </comment>
    <comment ref="FY63" authorId="0" shapeId="0">
      <text>
        <t>Avisos do cadastro. Inválidos permanecem exportados e saem dos menus.</t>
      </text>
    </comment>
    <comment ref="C64" authorId="0" shapeId="0">
      <text>
        <t>Regra ou nível.</t>
      </text>
    </comment>
    <comment ref="E64" authorId="0" shapeId="0">
      <text>
        <t>Valor padrão do livro R51.</t>
      </text>
    </comment>
    <comment ref="F64" authorId="0" shapeId="0">
      <text>
        <t>Em branco usa o livro. Zero é um valor informado.</t>
      </text>
    </comment>
    <comment ref="G64" authorId="0" shapeId="0">
      <text>
        <t>Valor efetivamente usado pela ficha.</t>
      </text>
    </comment>
    <comment ref="H64" authorId="0" shapeId="0">
      <text>
        <t>Justificativa da mudança.</t>
      </text>
    </comment>
    <comment ref="GL64" authorId="0" shapeId="0">
      <text>
        <t>Lembrete. Aprovação pertence ao bot no chat.</t>
      </text>
    </comment>
    <comment ref="GT64" authorId="0" shapeId="0">
      <text>
        <t>Lembrete. Aprovação pertence ao bot no chat.</t>
      </text>
    </comment>
    <comment ref="F65" authorId="0" shapeId="0">
      <text>
        <t>Custo deste nível para o próximo; inteiro não negativo. O custo 1→2 precisa ser definido pela campanha, se usado.</t>
      </text>
    </comment>
    <comment ref="H65" authorId="0" shapeId="0">
      <text>
        <t>XP necessário para chegar a este nível desde o nível inicial da campanha.</t>
      </text>
    </comment>
    <comment ref="BB65" authorId="0" shapeId="0">
      <text>
        <t>Conteúdo custom da parte 3b. Aprovação ocorre pelo bot no chat.</t>
      </text>
    </comment>
    <comment ref="BJ65" authorId="0" shapeId="0">
      <text>
        <t>Conteúdo custom da parte 3b. Aprovação ocorre pelo bot no chat.</t>
      </text>
    </comment>
    <comment ref="BS65" authorId="0" shapeId="0">
      <text>
        <t>Conteúdo custom da parte 3b. Aprovação ocorre pelo bot no chat.</t>
      </text>
    </comment>
    <comment ref="CA65" authorId="0" shapeId="0">
      <text>
        <t>Conteúdo custom da parte 3b. Aprovação ocorre pelo bot no chat.</t>
      </text>
    </comment>
    <comment ref="DA65" authorId="0" shapeId="0">
      <text>
        <t>Condição usa este mesmo cadastro e orçamento de Melhoria. Família em branco usa a base ou Controle sem base; EXIGE TR deve ficar vazio ou Sim. Peso e efeito seguem os campos deste cartão. Texto não executa regras.</t>
      </text>
    </comment>
    <comment ref="DE65" authorId="0" shapeId="0">
      <text>
        <t>Lembrete marcado pelo jogador. Aprovação ocorre pelo bot no chat.</t>
      </text>
    </comment>
    <comment ref="DI65" authorId="0" shapeId="0">
      <text>
        <t>Condição usa este mesmo cadastro e orçamento de Melhoria. Família em branco usa a base ou Controle sem base; EXIGE TR deve ficar vazio ou Sim. Peso e efeito seguem os campos deste cartão. Texto não executa regras.</t>
      </text>
    </comment>
    <comment ref="DM65" authorId="0" shapeId="0">
      <text>
        <t>Lembrete marcado pelo jogador. Aprovação ocorre pelo bot no chat.</t>
      </text>
    </comment>
    <comment ref="DR65" authorId="0" shapeId="0">
      <text>
        <t>Exigência, momento de cumprir, duração e incompatibilidades. Texto livre não é executado como fórmula.</t>
      </text>
    </comment>
    <comment ref="DZ65" authorId="0" shapeId="0">
      <text>
        <t>Exigência, momento de cumprir, duração e incompatibilidades. Texto livre não é executado como fórmula.</t>
      </text>
    </comment>
    <comment ref="GY65" authorId="0" shapeId="0">
      <text>
        <t>Problema do cadastro. Cadastros com problema ficam fora dos menus da ficha.</t>
      </text>
    </comment>
    <comment ref="HG65" authorId="0" shapeId="0">
      <text>
        <t>Problema do cadastro. Cadastros com problema ficam fora dos menus da ficha.</t>
      </text>
    </comment>
    <comment ref="HP65" authorId="0" shapeId="0">
      <text>
        <t>Problema do cadastro. Cadastros com problema ficam fora dos menus da ficha.</t>
      </text>
    </comment>
    <comment ref="HX65" authorId="0" shapeId="0">
      <text>
        <t>Problema do cadastro. Cadastros com problema ficam fora dos menus da ficha.</t>
      </text>
    </comment>
    <comment ref="F66" authorId="0" shapeId="0">
      <text>
        <t>Custo deste nível para o próximo; inteiro não negativo. O custo 1→2 precisa ser definido pela campanha, se usado.</t>
      </text>
    </comment>
    <comment ref="H66" authorId="0" shapeId="0">
      <text>
        <t>XP necessário para chegar a este nível desde o nível inicial da campanha.</t>
      </text>
    </comment>
    <comment ref="F67" authorId="0" shapeId="0">
      <text>
        <t>Custo deste nível para o próximo; inteiro não negativo. O custo 1→2 precisa ser definido pela campanha, se usado.</t>
      </text>
    </comment>
    <comment ref="H67" authorId="0" shapeId="0">
      <text>
        <t>XP necessário para chegar a este nível desde o nível inicial da campanha.</t>
      </text>
    </comment>
    <comment ref="F68" authorId="0" shapeId="0">
      <text>
        <t>Custo deste nível para o próximo; inteiro não negativo. O custo 1→2 precisa ser definido pela campanha, se usado.</t>
      </text>
    </comment>
    <comment ref="H68" authorId="0" shapeId="0">
      <text>
        <t>XP necessário para chegar a este nível desde o nível inicial da campanha.</t>
      </text>
    </comment>
    <comment ref="DL68" authorId="0" shapeId="0">
      <text>
        <t>Opcional. Nenhuma cria do zero. Com base, campos em branco e verificações específicas herdam o livro. Texto livre não cria automações.</t>
      </text>
    </comment>
    <comment ref="FU68" authorId="0" shapeId="0">
      <text>
        <t>Lembrete. Aprovação pertence ao bot no chat.</t>
      </text>
    </comment>
    <comment ref="GC68" authorId="0" shapeId="0">
      <text>
        <t>Lembrete. Aprovação pertence ao bot no chat.</t>
      </text>
    </comment>
    <comment ref="GY68" authorId="0" shapeId="0">
      <text>
        <t>Nome único. O menu da ficha reunirá o livro e os cadastros válidos.</t>
      </text>
    </comment>
    <comment ref="HG68" authorId="0" shapeId="0">
      <text>
        <t>Nome único. O menu da ficha reunirá o livro e os cadastros válidos.</t>
      </text>
    </comment>
    <comment ref="HP68" authorId="0" shapeId="0">
      <text>
        <t>Nome único. O menu da ficha reunirá o livro e os cadastros válidos.</t>
      </text>
    </comment>
    <comment ref="HX68" authorId="0" shapeId="0">
      <text>
        <t>Nome único. O menu da ficha reunirá o livro e os cadastros válidos.</t>
      </text>
    </comment>
    <comment ref="F69" authorId="0" shapeId="0">
      <text>
        <t>Custo deste nível para o próximo; inteiro não negativo. O custo 1→2 precisa ser definido pela campanha, se usado.</t>
      </text>
    </comment>
    <comment ref="H69" authorId="0" shapeId="0">
      <text>
        <t>XP necessário para chegar a este nível desde o nível inicial da campanha.</t>
      </text>
    </comment>
    <comment ref="CN69" authorId="0" shapeId="0">
      <text>
        <t>Lembrete marcado pelo jogador. Aprovação ocorre pelo bot no chat.</t>
      </text>
    </comment>
    <comment ref="CV69" authorId="0" shapeId="0">
      <text>
        <t>Lembrete marcado pelo jogador. Aprovação ocorre pelo bot no chat.</t>
      </text>
    </comment>
    <comment ref="DD69" authorId="0" shapeId="0">
      <text>
        <t>Em branco herda a base; Nenhuma remove a Família. A técnica usa o estado cadastrado; entidades usam suas próprias Famílias abertas.</t>
      </text>
    </comment>
    <comment ref="DL69" authorId="0" shapeId="0">
      <text>
        <t>Em branco herda a base; Nenhuma remove a Família. A técnica usa o estado cadastrado; entidades usam suas próprias Famílias abertas.</t>
      </text>
    </comment>
    <comment ref="EI69" authorId="0" shapeId="0">
      <text>
        <t>Nome único. Livro e cadastros válidos aparecem juntos nos menus.</t>
      </text>
    </comment>
    <comment ref="EM69" authorId="0" shapeId="0">
      <text>
        <t>Lembrete; aprovação ocorre pelo bot no chat.</t>
      </text>
    </comment>
    <comment ref="EQ69" authorId="0" shapeId="0">
      <text>
        <t>Nome único. Livro e cadastros válidos aparecem juntos nos menus.</t>
      </text>
    </comment>
    <comment ref="EU69" authorId="0" shapeId="0">
      <text>
        <t>Lembrete; aprovação ocorre pelo bot no chat.</t>
      </text>
    </comment>
    <comment ref="GY69" authorId="0" shapeId="0">
      <text>
        <t>Nome próprio do conteúdo criado com o mestre.</t>
      </text>
    </comment>
    <comment ref="HC69" authorId="0" shapeId="0">
      <text>
        <t>Lembrete marcado pelo jogador; aprovação é feita pelo bot, no chat.</t>
      </text>
    </comment>
    <comment ref="HG69" authorId="0" shapeId="0">
      <text>
        <t>Nome próprio do conteúdo criado com o mestre.</t>
      </text>
    </comment>
    <comment ref="HK69" authorId="0" shapeId="0">
      <text>
        <t>Lembrete marcado pelo jogador; aprovação é feita pelo bot, no chat.</t>
      </text>
    </comment>
    <comment ref="HP69" authorId="0" shapeId="0">
      <text>
        <t>Nome próprio do conteúdo criado com o mestre.</t>
      </text>
    </comment>
    <comment ref="HT69" authorId="0" shapeId="0">
      <text>
        <t>Lembrete marcado pelo jogador; aprovação é feita pelo bot, no chat.</t>
      </text>
    </comment>
    <comment ref="HX69" authorId="0" shapeId="0">
      <text>
        <t>Nome próprio do conteúdo criado com o mestre.</t>
      </text>
    </comment>
    <comment ref="IB69" authorId="0" shapeId="0">
      <text>
        <t>Lembrete marcado pelo jogador; aprovação é feita pelo bot, no chat.</t>
      </text>
    </comment>
    <comment ref="F70" authorId="0" shapeId="0">
      <text>
        <t>Custo deste nível para o próximo; inteiro não negativo. O custo 1→2 precisa ser definido pela campanha, se usado.</t>
      </text>
    </comment>
    <comment ref="H70" authorId="0" shapeId="0">
      <text>
        <t>XP necessário para chegar a este nível desde o nível inicial da campanha.</t>
      </text>
    </comment>
    <comment ref="DD70" authorId="0" shapeId="0">
      <text>
        <t>Em branco herda a base. Sem base, escolha Leve, Média ou Pesada. Preços e desconto seguem a Classe da ficha.</t>
      </text>
    </comment>
    <comment ref="DL70" authorId="0" shapeId="0">
      <text>
        <t>Em branco herda a base. Sem base, escolha Leve, Média ou Pesada. Preços e desconto seguem a Classe da ficha.</t>
      </text>
    </comment>
    <comment ref="F71" authorId="0" shapeId="0">
      <text>
        <t>Custo deste nível para o próximo; inteiro não negativo. O custo 1→2 precisa ser definido pela campanha, se usado.</t>
      </text>
    </comment>
    <comment ref="H71" authorId="0" shapeId="0">
      <text>
        <t>XP necessário para chegar a este nível desde o nível inicial da campanha.</t>
      </text>
    </comment>
    <comment ref="T71" authorId="0" shapeId="0">
      <text>
        <t>Troque o tipo e revise os valores que já estavam guardados.</t>
      </text>
    </comment>
    <comment ref="X71" authorId="0" shapeId="0">
      <text>
        <t>Lembrete do jogador; aprovação só pelo bot no chat.</t>
      </text>
    </comment>
    <comment ref="AB71" authorId="0" shapeId="0">
      <text>
        <t>Troque o tipo e revise os valores que já estavam guardados.</t>
      </text>
    </comment>
    <comment ref="AF71" authorId="0" shapeId="0">
      <text>
        <t>Lembrete do jogador; aprovação só pelo bot no chat.</t>
      </text>
    </comment>
    <comment ref="DD71" authorId="0" shapeId="0">
      <text>
        <t>Em branco herda a base. Sim indica que o efeito exige TR, inclusive em Forma de ataque.</t>
      </text>
    </comment>
    <comment ref="DL71" authorId="0" shapeId="0">
      <text>
        <t>Em branco herda a base. Sim indica que o efeito exige TR, inclusive em Forma de ataque.</t>
      </text>
    </comment>
    <comment ref="HJ71" authorId="0" shapeId="0">
      <text>
        <t>Opcional. Em branco nos demais campos, uma base herda as automações do livro. Nenhuma permite conteúdo próprio. O texto não é interpretado como fórmula.</t>
      </text>
    </comment>
    <comment ref="IA71" authorId="0" shapeId="0">
      <text>
        <t>Opcional. Em branco nos demais campos, uma base herda as automações do livro. Nenhuma permite conteúdo próprio. O texto não é interpretado como fórmula.</t>
      </text>
    </comment>
    <comment ref="F72" authorId="0" shapeId="0">
      <text>
        <t>Custo deste nível para o próximo; inteiro não negativo. O custo 1→2 precisa ser definido pela campanha, se usado.</t>
      </text>
    </comment>
    <comment ref="H72" authorId="0" shapeId="0">
      <text>
        <t>XP necessário para chegar a este nível desde o nível inicial da campanha.</t>
      </text>
    </comment>
    <comment ref="HB72" authorId="0" shapeId="0">
      <text>
        <t>Em branco herda a base; sem base usa a vida normal. Corpo de criação usa 4 + Constituição por nível após o primeiro.</t>
      </text>
    </comment>
    <comment ref="HJ72" authorId="0" shapeId="0">
      <text>
        <t>Em branco herda a base; sem base usa a vida normal. Corpo de criação usa 4 + Constituição por nível após o primeiro.</t>
      </text>
    </comment>
    <comment ref="HS72" authorId="0" shapeId="0">
      <text>
        <t>Em branco herda a base; sem base é obrigatória. Conferida com o teto de cada ganho; as escolhas da Trilha aceitam só a Categoria 1.</t>
      </text>
    </comment>
    <comment ref="IA72" authorId="0" shapeId="0">
      <text>
        <t>Em branco herda a base; sem base é obrigatória. Conferida com o teto de cada ganho; as escolhas da Trilha aceitam só a Categoria 1.</t>
      </text>
    </comment>
    <comment ref="F73" authorId="0" shapeId="0">
      <text>
        <t>Custo deste nível para o próximo; inteiro não negativo. O custo 1→2 precisa ser definido pela campanha, se usado.</t>
      </text>
    </comment>
    <comment ref="H73" authorId="0" shapeId="0">
      <text>
        <t>XP necessário para chegar a este nível desde o nível inicial da campanha.</t>
      </text>
    </comment>
    <comment ref="T73" authorId="0" shapeId="0">
      <text>
        <t>Nome único. Capacidades apontam para o nome da Origem, do livro ou custom.</t>
      </text>
    </comment>
    <comment ref="AB73" authorId="0" shapeId="0">
      <text>
        <t>Nome único. Capacidades apontam para o nome da Origem, do livro ou custom.</t>
      </text>
    </comment>
    <comment ref="EI73" authorId="0" shapeId="0">
      <text>
        <t>Natureza do dano criada com o mestre. Não altera números automaticamente.</t>
      </text>
    </comment>
    <comment ref="EQ73" authorId="0" shapeId="0">
      <text>
        <t>Natureza do dano criada com o mestre. Não altera números automaticamente.</t>
      </text>
    </comment>
    <comment ref="HB73" authorId="0" shapeId="0">
      <text>
        <t>Em branco herda a base; sem base não usa. Usar habilita a carga do talismã na entrada da entidade.</t>
      </text>
    </comment>
    <comment ref="HJ73" authorId="0" shapeId="0">
      <text>
        <t>Em branco herda a base; sem base não usa. Usar habilita a carga do talismã na entrada da entidade.</t>
      </text>
    </comment>
    <comment ref="F74" authorId="0" shapeId="0">
      <text>
        <t>Custo deste nível para o próximo; inteiro não negativo. O custo 1→2 precisa ser definido pela campanha, se usado.</t>
      </text>
    </comment>
    <comment ref="H74" authorId="0" shapeId="0">
      <text>
        <t>XP necessário para chegar a este nível desde o nível inicial da campanha.</t>
      </text>
    </comment>
    <comment ref="CJ74" authorId="0" shapeId="0">
      <text>
        <t>Tema e descrição da Família criada com o mestre.</t>
      </text>
    </comment>
    <comment ref="CR74" authorId="0" shapeId="0">
      <text>
        <t>Tema e descrição da Família criada com o mestre.</t>
      </text>
    </comment>
    <comment ref="DA74" authorId="0" shapeId="0">
      <text>
        <t>Descreva requisitos, incompatibilidades e limite de compras. Verificações da base continuam; texto livre é conferido pelo mestre e pelo bot.</t>
      </text>
    </comment>
    <comment ref="DI74" authorId="0" shapeId="0">
      <text>
        <t>Descreva requisitos, incompatibilidades e limite de compras. Verificações da base continuam; texto livre é conferido pelo mestre e pelo bot.</t>
      </text>
    </comment>
    <comment ref="F75" authorId="0" shapeId="0">
      <text>
        <t>Custo deste nível para o próximo; inteiro não negativo. O custo 1→2 precisa ser definido pela campanha, se usado.</t>
      </text>
    </comment>
    <comment ref="H75" authorId="0" shapeId="0">
      <text>
        <t>XP necessário para chegar a este nível desde o nível inicial da campanha.</t>
      </text>
    </comment>
    <comment ref="V75"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75"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HB75" authorId="0" shapeId="0">
      <text>
        <t>Em branco herda a base; sem base usa a reserva normal. A opção domada aplica o cálculo já publicado.</t>
      </text>
    </comment>
    <comment ref="HJ75" authorId="0" shapeId="0">
      <text>
        <t>Em branco herda a base; sem base usa a reserva normal. A opção domada aplica o cálculo já publicado.</t>
      </text>
    </comment>
    <comment ref="F76" authorId="0" shapeId="0">
      <text>
        <t>Custo deste nível para o próximo; inteiro não negativo. O custo 1→2 precisa ser definido pela campanha, se usado.</t>
      </text>
    </comment>
    <comment ref="H76" authorId="0" shapeId="0">
      <text>
        <t>XP necessário para chegar a este nível desde o nível inicial da campanha.</t>
      </text>
    </comment>
    <comment ref="V76"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76"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BB76" authorId="0" shapeId="0">
      <text>
        <t>Conteúdo custom da parte 3b. Aprovação ocorre pelo bot no chat.</t>
      </text>
    </comment>
    <comment ref="BJ76" authorId="0" shapeId="0">
      <text>
        <t>Conteúdo custom da parte 3b. Aprovação ocorre pelo bot no chat.</t>
      </text>
    </comment>
    <comment ref="BS76" authorId="0" shapeId="0">
      <text>
        <t>Conteúdo custom da parte 3b. Aprovação ocorre pelo bot no chat.</t>
      </text>
    </comment>
    <comment ref="CA76" authorId="0" shapeId="0">
      <text>
        <t>Conteúdo custom da parte 3b. Aprovação ocorre pelo bot no chat.</t>
      </text>
    </comment>
    <comment ref="F77" authorId="0" shapeId="0">
      <text>
        <t>Custo deste nível para o próximo; inteiro não negativo. O custo 1→2 precisa ser definido pela campanha, se usado.</t>
      </text>
    </comment>
    <comment ref="H77" authorId="0" shapeId="0">
      <text>
        <t>XP necessário para chegar a este nível desde o nível inicial da campanha.</t>
      </text>
    </comment>
    <comment ref="V77"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77"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F78" authorId="0" shapeId="0">
      <text>
        <t>Custo deste nível para o próximo; inteiro não negativo. O custo 1→2 precisa ser definido pela campanha, se usado.</t>
      </text>
    </comment>
    <comment ref="H78" authorId="0" shapeId="0">
      <text>
        <t>XP necessário para chegar a este nível desde o nível inicial da campanha.</t>
      </text>
    </comment>
    <comment ref="V78"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78"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GY78" authorId="0" shapeId="0">
      <text>
        <t>Corpo, natureza e características do tipo. Em branco herda a base; aparece na nota do seletor TIPO da invocação.</t>
      </text>
    </comment>
    <comment ref="HG78" authorId="0" shapeId="0">
      <text>
        <t>Corpo, natureza e características do tipo. Em branco herda a base; aparece na nota do seletor TIPO da invocação.</t>
      </text>
    </comment>
    <comment ref="HP78" authorId="0" shapeId="0">
      <text>
        <t>Exigências completas do Talento de entidade. Texto livre não cria automações.</t>
      </text>
    </comment>
    <comment ref="HX78" authorId="0" shapeId="0">
      <text>
        <t>Exigências completas do Talento de entidade. Texto livre não cria automações.</t>
      </text>
    </comment>
    <comment ref="F79" authorId="0" shapeId="0">
      <text>
        <t>Custo deste nível para o próximo; inteiro não negativo. O custo 1→2 precisa ser definido pela campanha, se usado.</t>
      </text>
    </comment>
    <comment ref="H79" authorId="0" shapeId="0">
      <text>
        <t>XP necessário para chegar a este nível desde o nível inicial da campanha.</t>
      </text>
    </comment>
    <comment ref="V79" authorId="0" shapeId="0">
      <text>
        <t>Campos por tipo: Origem: ROTA; Marcante: não usado; Menor: não usado; Arma: PROPRIEDADE 2; Escudo: não usado; Uniforme: não usado; Item comum: não usado; Ferramenta amaldiçoada: não usado.</t>
      </text>
    </comment>
    <comment ref="AD79" authorId="0" shapeId="0">
      <text>
        <t>Campos por tipo: Origem: ROTA; Marcante: não usado; Menor: não usado; Arma: PROPRIEDADE 2; Escudo: não usado; Uniforme: não usado; Item comum: não usado; Ferramenta amaldiçoada: não usado.</t>
      </text>
    </comment>
    <comment ref="DV79" authorId="0" shapeId="0">
      <text>
        <t>Lembrete marcado pelo jogador. Aprovação ocorre pelo bot no chat.</t>
      </text>
    </comment>
    <comment ref="ED79" authorId="0" shapeId="0">
      <text>
        <t>Lembrete marcado pelo jogador. Aprovação ocorre pelo bot no chat.</t>
      </text>
    </comment>
    <comment ref="GY79" authorId="0" shapeId="0">
      <text>
        <t>Corpo, natureza e características do tipo. Em branco herda a base; aparece na nota do seletor TIPO da invocação.</t>
      </text>
    </comment>
    <comment ref="HG79" authorId="0" shapeId="0">
      <text>
        <t>Corpo, natureza e características do tipo. Em branco herda a base; aparece na nota do seletor TIPO da invocação.</t>
      </text>
    </comment>
    <comment ref="HP79" authorId="0" shapeId="0">
      <text>
        <t>Exigências completas do Talento de entidade. Texto livre não cria automações.</t>
      </text>
    </comment>
    <comment ref="HX79" authorId="0" shapeId="0">
      <text>
        <t>Exigências completas do Talento de entidade. Texto livre não cria automações.</t>
      </text>
    </comment>
    <comment ref="F80" authorId="0" shapeId="0">
      <text>
        <t>Custo deste nível para o próximo; inteiro não negativo. O custo 1→2 precisa ser definido pela campanha, se usado.</t>
      </text>
    </comment>
    <comment ref="H80" authorId="0" shapeId="0">
      <text>
        <t>XP necessário para chegar a este nível desde o nível inicial da campanha.</t>
      </text>
    </comment>
    <comment ref="V80"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80"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DA80" authorId="0" shapeId="0">
      <text>
        <t>Efeito completo da Melhoria. Números do personagem sem campo próprio são registrados em BÔNUS E MUDANÇAS.</t>
      </text>
    </comment>
    <comment ref="DI80" authorId="0" shapeId="0">
      <text>
        <t>Efeito completo da Melhoria. Números do personagem sem campo próprio são registrados em BÔNUS E MUDANÇAS.</t>
      </text>
    </comment>
    <comment ref="EI80" authorId="0" shapeId="0">
      <text>
        <t>Interações e requisitos. Resistência, vulnerabilidade e dano aplicado não são deduzidos deste texto.</t>
      </text>
    </comment>
    <comment ref="EQ80" authorId="0" shapeId="0">
      <text>
        <t>Interações e requisitos. Resistência, vulnerabilidade e dano aplicado não são deduzidos deste texto.</t>
      </text>
    </comment>
    <comment ref="F81" authorId="0" shapeId="0">
      <text>
        <t>Custo deste nível para o próximo; inteiro não negativo. O custo 1→2 precisa ser definido pela campanha, se usado.</t>
      </text>
    </comment>
    <comment ref="H81" authorId="0" shapeId="0">
      <text>
        <t>XP necessário para chegar a este nível desde o nível inicial da campanha.</t>
      </text>
    </comment>
    <comment ref="V81" authorId="0" shapeId="0">
      <text>
        <t>Campos por tipo: Origem: OFÍCIO; Marcante: não usado; Menor: não usado; Arma: PROPRIEDADE 4; Escudo: não usado; Uniforme: não usado; Item comum: não usado; Ferramenta amaldiçoada: não usado.</t>
      </text>
    </comment>
    <comment ref="AD81" authorId="0" shapeId="0">
      <text>
        <t>Campos por tipo: Origem: OFÍCIO; Marcante: não usado; Menor: não usado; Arma: PROPRIEDADE 4; Escudo: não usado; Uniforme: não usado; Item comum: não usado; Ferramenta amaldiçoada: não usado.</t>
      </text>
    </comment>
    <comment ref="F82" authorId="0" shapeId="0">
      <text>
        <t>Custo deste nível para o próximo; inteiro não negativo. O custo 1→2 precisa ser definido pela campanha, se usado.</t>
      </text>
    </comment>
    <comment ref="H82" authorId="0" shapeId="0">
      <text>
        <t>XP necessário para chegar a este nível desde o nível inicial da campanha.</t>
      </text>
    </comment>
    <comment ref="V82" authorId="0" shapeId="0">
      <text>
        <t>Campos por tipo: Origem: TALENTO CE 4; Marcante: FREQUÊNCIA; Menor: FREQUÊNCIA; Arma: DADO; Escudo: PROTEÇÃO; Uniforme: PROTEÇÃO; Item comum: VOLUME; Ferramenta amaldiçoada: ESTIGMA.</t>
      </text>
    </comment>
    <comment ref="AD82" authorId="0" shapeId="0">
      <text>
        <t>Campos por tipo: Origem: TALENTO CE 4; Marcante: FREQUÊNCIA; Menor: FREQUÊNCIA; Arma: DADO; Escudo: PROTEÇÃO; Uniforme: PROTEÇÃO; Item comum: VOLUME; Ferramenta amaldiçoada: ESTIGMA.</t>
      </text>
    </comment>
    <comment ref="EC82" authorId="0" shapeId="0">
      <text>
        <t>Opcional. Nenhuma cria do zero. Com base, campos em branco e verificações específicas herdam o livro. Texto livre não cria automações.</t>
      </text>
    </comment>
    <comment ref="F83" authorId="0" shapeId="0">
      <text>
        <t>Custo deste nível para o próximo; inteiro não negativo. O custo 1→2 precisa ser definido pela campanha, se usado.</t>
      </text>
    </comment>
    <comment ref="H83" authorId="0" shapeId="0">
      <text>
        <t>XP necessário para chegar a este nível desde o nível inicial da campanha.</t>
      </text>
    </comment>
    <comment ref="V83" authorId="0" shapeId="0">
      <text>
        <t>Campos por tipo: Origem: não usado; Marcante: não usado; Menor: não usado; Arma: FORÇA; Escudo: TETO DE DESTREZA; Uniforme: TETO DE DESTREZA; Item comum: PREÇO; Ferramenta amaldiçoada: DESGASTE.</t>
      </text>
    </comment>
    <comment ref="AD83" authorId="0" shapeId="0">
      <text>
        <t>Campos por tipo: Origem: não usado; Marcante: não usado; Menor: não usado; Arma: FORÇA; Escudo: TETO DE DESTREZA; Uniforme: TETO DE DESTREZA; Item comum: PREÇO; Ferramenta amaldiçoada: DESGASTE.</t>
      </text>
    </comment>
    <comment ref="DU83" authorId="0" shapeId="0">
      <text>
        <t>Em branco herda a base. Sem base, escolha Leve ou Média. Restrição paga Melhorias, nunca a Forma, e conserva o teto e o limite de Restrições.</t>
      </text>
    </comment>
    <comment ref="EC83" authorId="0" shapeId="0">
      <text>
        <t>Em branco herda a base. Sem base, escolha Leve ou Média. Restrição paga Melhorias, nunca a Forma, e conserva o teto e o limite de Restrições.</t>
      </text>
    </comment>
    <comment ref="GY83" authorId="0" shapeId="0">
      <text>
        <t>Em branco herda a base. Aparece na nota do seletor TIPO; texto livre não cria automações. Revise a descrição ao sobrescrever campos mecânicos.</t>
      </text>
    </comment>
    <comment ref="HG83" authorId="0" shapeId="0">
      <text>
        <t>Em branco herda a base. Aparece na nota do seletor TIPO; texto livre não cria automações. Revise a descrição ao sobrescrever campos mecânicos.</t>
      </text>
    </comment>
    <comment ref="HP83" authorId="0" shapeId="0">
      <text>
        <t>Descrição completa, exibida na carta existente. Em branco com base, usa o texto do livro.</t>
      </text>
    </comment>
    <comment ref="HX83" authorId="0" shapeId="0">
      <text>
        <t>Descrição completa, exibida na carta existente. Em branco com base, usa o texto do livro.</t>
      </text>
    </comment>
    <comment ref="F84" authorId="0" shapeId="0">
      <text>
        <t>Custo deste nível para o próximo; inteiro não negativo. O custo 1→2 precisa ser definido pela campanha, se usado.</t>
      </text>
    </comment>
    <comment ref="H84" authorId="0" shapeId="0">
      <text>
        <t>XP necessário para chegar a este nível desde o nível inicial da campanha.</t>
      </text>
    </comment>
    <comment ref="V84" authorId="0" shapeId="0">
      <text>
        <t>Campos por tipo: Origem: não usado; Marcante: não usado; Menor: não usado; Arma: VOLUME; Escudo: FORÇA; Uniforme: FORÇA; Item comum: não usado; Ferramenta amaldiçoada: VOLUME.</t>
      </text>
    </comment>
    <comment ref="AD84" authorId="0" shapeId="0">
      <text>
        <t>Campos por tipo: Origem: não usado; Marcante: não usado; Menor: não usado; Arma: VOLUME; Escudo: FORÇA; Uniforme: FORÇA; Item comum: não usado; Ferramenta amaldiçoada: VOLUME.</t>
      </text>
    </comment>
    <comment ref="DU84" authorId="0" shapeId="0">
      <text>
        <t>Em branco herda a base. Sim identifica Restrição de frequência; duas de frequência continuam incompatíveis.</t>
      </text>
    </comment>
    <comment ref="EC84" authorId="0" shapeId="0">
      <text>
        <t>Em branco herda a base. Sim identifica Restrição de frequência; duas de frequência continuam incompatíveis.</t>
      </text>
    </comment>
    <comment ref="GH84" authorId="0" shapeId="0">
      <text>
        <t>Avisos do cadastro. Inválidos permanecem exportados e saem dos menus.</t>
      </text>
    </comment>
    <comment ref="GP84" authorId="0" shapeId="0">
      <text>
        <t>Avisos do cadastro. Inválidos permanecem exportados e saem dos menus.</t>
      </text>
    </comment>
    <comment ref="GY84" authorId="0" shapeId="0">
      <text>
        <t>Em branco herda a base. Aparece na nota do seletor TIPO; texto livre não cria automações. Revise a descrição ao sobrescrever campos mecânicos.</t>
      </text>
    </comment>
    <comment ref="HG84" authorId="0" shapeId="0">
      <text>
        <t>Em branco herda a base. Aparece na nota do seletor TIPO; texto livre não cria automações. Revise a descrição ao sobrescrever campos mecânicos.</t>
      </text>
    </comment>
    <comment ref="HP84" authorId="0" shapeId="0">
      <text>
        <t>Descrição completa, exibida na carta existente. Em branco com base, usa o texto do livro.</t>
      </text>
    </comment>
    <comment ref="HX84" authorId="0" shapeId="0">
      <text>
        <t>Descrição completa, exibida na carta existente. Em branco com base, usa o texto do livro.</t>
      </text>
    </comment>
    <comment ref="F85" authorId="0" shapeId="0">
      <text>
        <t>Custo deste nível para o próximo; inteiro não negativo. O custo 1→2 precisa ser definido pela campanha, se usado.</t>
      </text>
    </comment>
    <comment ref="H85" authorId="0" shapeId="0">
      <text>
        <t>XP necessário para chegar a este nível desde o nível inicial da campanha.</t>
      </text>
    </comment>
    <comment ref="V85" authorId="0" shapeId="0">
      <text>
        <t>Campos por tipo: Origem: não usado; Marcante: não usado; Menor: não usado; Arma: ALCANCE; Escudo: VOLUME; Uniforme: VOLUME; Item comum: não usado; Ferramenta amaldiçoada: PREÇO.</t>
      </text>
    </comment>
    <comment ref="AD85" authorId="0" shapeId="0">
      <text>
        <t>Campos por tipo: Origem: não usado; Marcante: não usado; Menor: não usado; Arma: ALCANCE; Escudo: VOLUME; Uniforme: VOLUME; Item comum: não usado; Ferramenta amaldiçoada: PREÇO.</t>
      </text>
    </comment>
    <comment ref="F86" authorId="0" shapeId="0">
      <text>
        <t>Custo deste nível para o próximo; inteiro não negativo. O custo 1→2 precisa ser definido pela campanha, se usado.</t>
      </text>
    </comment>
    <comment ref="H86" authorId="0" shapeId="0">
      <text>
        <t>XP necessário para chegar a este nível desde o nível inicial da campanha.</t>
      </text>
    </comment>
    <comment ref="V86" authorId="0" shapeId="0">
      <text>
        <t>Campos por tipo: Origem: não usado; Marcante: não usado; Menor: não usado; Arma: RECARGA; Escudo: PREÇO; Uniforme: PREÇO; Item comum: não usado; Ferramenta amaldiçoada: não usado.</t>
      </text>
    </comment>
    <comment ref="AD86" authorId="0" shapeId="0">
      <text>
        <t>Campos por tipo: Origem: não usado; Marcante: não usado; Menor: não usado; Arma: RECARGA; Escudo: PREÇO; Uniforme: PREÇO; Item comum: não usado; Ferramenta amaldiçoada: não usado.</t>
      </text>
    </comment>
    <comment ref="F87" authorId="0" shapeId="0">
      <text>
        <t>Custo deste nível para o próximo; inteiro não negativo. O custo 1→2 precisa ser definido pela campanha, se usado.</t>
      </text>
    </comment>
    <comment ref="H87" authorId="0" shapeId="0">
      <text>
        <t>XP necessário para chegar a este nível desde o nível inicial da campanha.</t>
      </text>
    </comment>
    <comment ref="V87" authorId="0" shapeId="0">
      <text>
        <t>Campos por tipo: Origem: não usado; Marcante: não usado; Menor: não usado; Arma: PREÇO; Escudo: não usado; Uniforme: não usado; Item comum: não usado; Ferramenta amaldiçoada: não usado.</t>
      </text>
    </comment>
    <comment ref="AD87" authorId="0" shapeId="0">
      <text>
        <t>Campos por tipo: Origem: não usado; Marcante: não usado; Menor: não usado; Arma: PREÇO; Escudo: não usado; Uniforme: não usado; Item comum: não usado; Ferramenta amaldiçoada: não usado.</t>
      </text>
    </comment>
    <comment ref="DR87" authorId="0" shapeId="0">
      <text>
        <t>Exigência, momento de cumprir, duração e incompatibilidades. Texto livre não é executado como fórmula.</t>
      </text>
    </comment>
    <comment ref="DZ87" authorId="0" shapeId="0">
      <text>
        <t>Exigência, momento de cumprir, duração e incompatibilidades. Texto livre não é executado como fórmula.</t>
      </text>
    </comment>
    <comment ref="F88" authorId="0" shapeId="0">
      <text>
        <t>Custo deste nível para o próximo; inteiro não negativo. O custo 1→2 precisa ser definido pela campanha, se usado.</t>
      </text>
    </comment>
    <comment ref="H88" authorId="0" shapeId="0">
      <text>
        <t>XP necessário para chegar a este nível desde o nível inicial da campanha.</t>
      </text>
    </comment>
    <comment ref="T88" authorId="0" shapeId="0">
      <text>
        <t>Texto integral. Descreve regras; não interpreta a prosa como cálculo.</t>
      </text>
    </comment>
    <comment ref="AB88" authorId="0" shapeId="0">
      <text>
        <t>Texto integral. Descreve regras; não interpreta a prosa como cálculo.</t>
      </text>
    </comment>
    <comment ref="F89" authorId="0" shapeId="0">
      <text>
        <t>Custo deste nível para o próximo; inteiro não negativo. O custo 1→2 precisa ser definido pela campanha, se usado.</t>
      </text>
    </comment>
    <comment ref="H89" authorId="0" shapeId="0">
      <text>
        <t>XP necessário para chegar a este nível desde o nível inicial da campanha.</t>
      </text>
    </comment>
    <comment ref="GL89" authorId="0" shapeId="0">
      <text>
        <t>Lembrete. Aprovação pertence ao bot no chat.</t>
      </text>
    </comment>
    <comment ref="GT89" authorId="0" shapeId="0">
      <text>
        <t>Lembrete. Aprovação pertence ao bot no chat.</t>
      </text>
    </comment>
    <comment ref="F90" authorId="0" shapeId="0">
      <text>
        <t>Custo deste nível para o próximo; inteiro não negativo. O custo 1→2 precisa ser definido pela campanha, se usado.</t>
      </text>
    </comment>
    <comment ref="H90" authorId="0" shapeId="0">
      <text>
        <t>XP necessário para chegar a este nível desde o nível inicial da campanha.</t>
      </text>
    </comment>
    <comment ref="FQ90" authorId="0" shapeId="0">
      <text>
        <t>Avisos do cadastro. Inválidos permanecem exportados e saem dos menus.</t>
      </text>
    </comment>
    <comment ref="FY90" authorId="0" shapeId="0">
      <text>
        <t>Avisos do cadastro. Inválidos permanecem exportados e saem dos menus.</t>
      </text>
    </comment>
    <comment ref="F91" authorId="0" shapeId="0">
      <text>
        <t>Custo deste nível para o próximo; inteiro não negativo. O custo 1→2 precisa ser definido pela campanha, se usado.</t>
      </text>
    </comment>
    <comment ref="H91" authorId="0" shapeId="0">
      <text>
        <t>XP necessário para chegar a este nível desde o nível inicial da campanha.</t>
      </text>
    </comment>
    <comment ref="DA91" authorId="0" shapeId="0">
      <text>
        <t>Condição usa este mesmo cadastro e orçamento de Melhoria. Família em branco usa a base ou Controle sem base; EXIGE TR deve ficar vazio ou Sim. Peso e efeito seguem os campos deste cartão. Texto não executa regras.</t>
      </text>
    </comment>
    <comment ref="DE91" authorId="0" shapeId="0">
      <text>
        <t>Lembrete marcado pelo jogador. Aprovação ocorre pelo bot no chat.</t>
      </text>
    </comment>
    <comment ref="DI91" authorId="0" shapeId="0">
      <text>
        <t>Condição usa este mesmo cadastro e orçamento de Melhoria. Família em branco usa a base ou Controle sem base; EXIGE TR deve ficar vazio ou Sim. Peso e efeito seguem os campos deste cartão. Texto não executa regras.</t>
      </text>
    </comment>
    <comment ref="DM91" authorId="0" shapeId="0">
      <text>
        <t>Lembrete marcado pelo jogador. Aprovação ocorre pelo bot no chat.</t>
      </text>
    </comment>
    <comment ref="F92" authorId="0" shapeId="0">
      <text>
        <t>Custo deste nível para o próximo; inteiro não negativo. O custo 1→2 precisa ser definido pela campanha, se usado.</t>
      </text>
    </comment>
    <comment ref="H92" authorId="0" shapeId="0">
      <text>
        <t>XP necessário para chegar a este nível desde o nível inicial da campanha.</t>
      </text>
    </comment>
    <comment ref="F93" authorId="0" shapeId="0">
      <text>
        <t>Custo deste nível para o próximo; inteiro não negativo. O custo 1→2 precisa ser definido pela campanha, se usado.</t>
      </text>
    </comment>
    <comment ref="H93" authorId="0" shapeId="0">
      <text>
        <t>XP necessário para chegar a este nível desde o nível inicial da campanha.</t>
      </text>
    </comment>
    <comment ref="GY93" authorId="0" shapeId="0">
      <text>
        <t>Problema do cadastro. Cadastros com problema ficam fora dos menus da ficha.</t>
      </text>
    </comment>
    <comment ref="HG93" authorId="0" shapeId="0">
      <text>
        <t>Problema do cadastro. Cadastros com problema ficam fora dos menus da ficha.</t>
      </text>
    </comment>
    <comment ref="HP93" authorId="0" shapeId="0">
      <text>
        <t>Problema do cadastro. Cadastros com problema ficam fora dos menus da ficha.</t>
      </text>
    </comment>
    <comment ref="HX93" authorId="0" shapeId="0">
      <text>
        <t>Problema do cadastro. Cadastros com problema ficam fora dos menus da ficha.</t>
      </text>
    </comment>
    <comment ref="F94" authorId="0" shapeId="0">
      <text>
        <t>Custo deste nível para o próximo; inteiro não negativo. O custo 1→2 precisa ser definido pela campanha, se usado.</t>
      </text>
    </comment>
    <comment ref="H94" authorId="0" shapeId="0">
      <text>
        <t>XP necessário para chegar a este nível desde o nível inicial da campanha.</t>
      </text>
    </comment>
    <comment ref="DL94" authorId="0" shapeId="0">
      <text>
        <t>Opcional. Nenhuma cria do zero. Com base, campos em branco e verificações específicas herdam o livro. Texto livre não cria automações.</t>
      </text>
    </comment>
    <comment ref="DD95" authorId="0" shapeId="0">
      <text>
        <t>Em branco herda a base; Nenhuma remove a Família. A técnica usa o estado cadastrado; entidades usam suas próprias Famílias abertas.</t>
      </text>
    </comment>
    <comment ref="DL95" authorId="0" shapeId="0">
      <text>
        <t>Em branco herda a base; Nenhuma remove a Família. A técnica usa o estado cadastrado; entidades usam suas próprias Famílias abertas.</t>
      </text>
    </comment>
    <comment ref="FU95" authorId="0" shapeId="0">
      <text>
        <t>Lembrete. Aprovação pertence ao bot no chat.</t>
      </text>
    </comment>
    <comment ref="GC95" authorId="0" shapeId="0">
      <text>
        <t>Lembrete. Aprovação pertence ao bot no chat.</t>
      </text>
    </comment>
    <comment ref="DD96" authorId="0" shapeId="0">
      <text>
        <t>Em branco herda a base. Sem base, escolha Leve, Média ou Pesada. Preços e desconto seguem a Classe da ficha.</t>
      </text>
    </comment>
    <comment ref="DL96" authorId="0" shapeId="0">
      <text>
        <t>Em branco herda a base. Sem base, escolha Leve, Média ou Pesada. Preços e desconto seguem a Classe da ficha.</t>
      </text>
    </comment>
    <comment ref="GY96" authorId="0" shapeId="0">
      <text>
        <t>Nome único. O menu da ficha reunirá o livro e os cadastros válidos.</t>
      </text>
    </comment>
    <comment ref="HG96" authorId="0" shapeId="0">
      <text>
        <t>Nome único. O menu da ficha reunirá o livro e os cadastros válidos.</t>
      </text>
    </comment>
    <comment ref="HP96" authorId="0" shapeId="0">
      <text>
        <t>Nome único. O menu da ficha reunirá o livro e os cadastros válidos.</t>
      </text>
    </comment>
    <comment ref="HX96" authorId="0" shapeId="0">
      <text>
        <t>Nome único. O menu da ficha reunirá o livro e os cadastros válidos.</t>
      </text>
    </comment>
    <comment ref="DD97" authorId="0" shapeId="0">
      <text>
        <t>Em branco herda a base. Sim indica que o efeito exige TR, inclusive em Forma de ataque.</t>
      </text>
    </comment>
    <comment ref="DL97" authorId="0" shapeId="0">
      <text>
        <t>Em branco herda a base. Sim indica que o efeito exige TR, inclusive em Forma de ataque.</t>
      </text>
    </comment>
    <comment ref="EI97" authorId="0" shapeId="0">
      <text>
        <t>Nome único. Livro e cadastros válidos aparecem juntos nos menus.</t>
      </text>
    </comment>
    <comment ref="EM97" authorId="0" shapeId="0">
      <text>
        <t>Lembrete; aprovação ocorre pelo bot no chat.</t>
      </text>
    </comment>
    <comment ref="EQ97" authorId="0" shapeId="0">
      <text>
        <t>Nome único. Livro e cadastros válidos aparecem juntos nos menus.</t>
      </text>
    </comment>
    <comment ref="EU97" authorId="0" shapeId="0">
      <text>
        <t>Lembrete; aprovação ocorre pelo bot no chat.</t>
      </text>
    </comment>
    <comment ref="GY97" authorId="0" shapeId="0">
      <text>
        <t>Nome próprio do conteúdo criado com o mestre.</t>
      </text>
    </comment>
    <comment ref="HC97" authorId="0" shapeId="0">
      <text>
        <t>Lembrete marcado pelo jogador; aprovação é feita pelo bot, no chat.</t>
      </text>
    </comment>
    <comment ref="HG97" authorId="0" shapeId="0">
      <text>
        <t>Nome próprio do conteúdo criado com o mestre.</t>
      </text>
    </comment>
    <comment ref="HK97" authorId="0" shapeId="0">
      <text>
        <t>Lembrete marcado pelo jogador; aprovação é feita pelo bot, no chat.</t>
      </text>
    </comment>
    <comment ref="HP97" authorId="0" shapeId="0">
      <text>
        <t>Nome próprio do conteúdo criado com o mestre.</t>
      </text>
    </comment>
    <comment ref="HT97" authorId="0" shapeId="0">
      <text>
        <t>Lembrete marcado pelo jogador; aprovação é feita pelo bot, no chat.</t>
      </text>
    </comment>
    <comment ref="HX97" authorId="0" shapeId="0">
      <text>
        <t>Nome próprio do conteúdo criado com o mestre.</t>
      </text>
    </comment>
    <comment ref="IB97" authorId="0" shapeId="0">
      <text>
        <t>Lembrete marcado pelo jogador; aprovação é feita pelo bot, no chat.</t>
      </text>
    </comment>
    <comment ref="C99" authorId="0" shapeId="0">
      <text>
        <t>Regra ou nível.</t>
      </text>
    </comment>
    <comment ref="E99" authorId="0" shapeId="0">
      <text>
        <t>Valor padrão do livro R51.</t>
      </text>
    </comment>
    <comment ref="F99" authorId="0" shapeId="0">
      <text>
        <t>Em branco usa o livro. Zero é um valor informado.</t>
      </text>
    </comment>
    <comment ref="G99" authorId="0" shapeId="0">
      <text>
        <t>Valor efetivamente usado pela ficha.</t>
      </text>
    </comment>
    <comment ref="H99" authorId="0" shapeId="0">
      <text>
        <t>Justificativa da mudança.</t>
      </text>
    </comment>
    <comment ref="HJ99" authorId="0" shapeId="0">
      <text>
        <t>Opcional. Em branco nos demais campos, uma base herda as automações do livro. Nenhuma permite conteúdo próprio. O texto não é interpretado como fórmula.</t>
      </text>
    </comment>
    <comment ref="IA99" authorId="0" shapeId="0">
      <text>
        <t>Opcional. Em branco nos demais campos, uma base herda as automações do livro. Nenhuma permite conteúdo próprio. O texto não é interpretado como fórmula.</t>
      </text>
    </comment>
    <comment ref="F100" authorId="0" shapeId="0">
      <text>
        <t>Resultado guardado, sem Constituição. Não há sorteio automático.</t>
      </text>
    </comment>
    <comment ref="T100" authorId="0" shapeId="0">
      <text>
        <t>Troque o tipo e revise os valores que já estavam guardados.</t>
      </text>
    </comment>
    <comment ref="X100" authorId="0" shapeId="0">
      <text>
        <t>Lembrete do jogador; aprovação só pelo bot no chat.</t>
      </text>
    </comment>
    <comment ref="AB100" authorId="0" shapeId="0">
      <text>
        <t>Troque o tipo e revise os valores que já estavam guardados.</t>
      </text>
    </comment>
    <comment ref="AF100" authorId="0" shapeId="0">
      <text>
        <t>Lembrete do jogador; aprovação só pelo bot no chat.</t>
      </text>
    </comment>
    <comment ref="DA100" authorId="0" shapeId="0">
      <text>
        <t>Descreva requisitos, incompatibilidades e limite de compras. Verificações da base continuam; texto livre é conferido pelo mestre e pelo bot.</t>
      </text>
    </comment>
    <comment ref="DI100" authorId="0" shapeId="0">
      <text>
        <t>Descreva requisitos, incompatibilidades e limite de compras. Verificações da base continuam; texto livre é conferido pelo mestre e pelo bot.</t>
      </text>
    </comment>
    <comment ref="HB100" authorId="0" shapeId="0">
      <text>
        <t>Em branco herda a base; sem base usa a vida normal. Corpo de criação usa 4 + Constituição por nível após o primeiro.</t>
      </text>
    </comment>
    <comment ref="HJ100" authorId="0" shapeId="0">
      <text>
        <t>Em branco herda a base; sem base usa a vida normal. Corpo de criação usa 4 + Constituição por nível após o primeiro.</t>
      </text>
    </comment>
    <comment ref="HS100" authorId="0" shapeId="0">
      <text>
        <t>Em branco herda a base; sem base é obrigatória. Conferida com o teto de cada ganho; as escolhas da Trilha aceitam só a Categoria 1.</t>
      </text>
    </comment>
    <comment ref="IA100" authorId="0" shapeId="0">
      <text>
        <t>Em branco herda a base; sem base é obrigatória. Conferida com o teto de cada ganho; as escolhas da Trilha aceitam só a Categoria 1.</t>
      </text>
    </comment>
    <comment ref="F101" authorId="0" shapeId="0">
      <text>
        <t>Resultado guardado, sem Constituição. Não há sorteio automático.</t>
      </text>
    </comment>
    <comment ref="DV101" authorId="0" shapeId="0">
      <text>
        <t>Lembrete marcado pelo jogador. Aprovação ocorre pelo bot no chat.</t>
      </text>
    </comment>
    <comment ref="ED101" authorId="0" shapeId="0">
      <text>
        <t>Lembrete marcado pelo jogador. Aprovação ocorre pelo bot no chat.</t>
      </text>
    </comment>
    <comment ref="EI101" authorId="0" shapeId="0">
      <text>
        <t>Natureza do dano criada com o mestre. Não altera números automaticamente.</t>
      </text>
    </comment>
    <comment ref="EQ101" authorId="0" shapeId="0">
      <text>
        <t>Natureza do dano criada com o mestre. Não altera números automaticamente.</t>
      </text>
    </comment>
    <comment ref="EZ101" authorId="0" shapeId="0">
      <text>
        <t>Avisos do cadastro. Inválidos permanecem exportados e saem dos menus.</t>
      </text>
    </comment>
    <comment ref="FH101" authorId="0" shapeId="0">
      <text>
        <t>Avisos do cadastro. Inválidos permanecem exportados e saem dos menus.</t>
      </text>
    </comment>
    <comment ref="HB101" authorId="0" shapeId="0">
      <text>
        <t>Em branco herda a base; sem base não usa. Usar habilita a carga do talismã na entrada da entidade.</t>
      </text>
    </comment>
    <comment ref="HJ101" authorId="0" shapeId="0">
      <text>
        <t>Em branco herda a base; sem base não usa. Usar habilita a carga do talismã na entrada da entidade.</t>
      </text>
    </comment>
    <comment ref="F102" authorId="0" shapeId="0">
      <text>
        <t>Resultado guardado, sem Constituição. Não há sorteio automático.</t>
      </text>
    </comment>
    <comment ref="T102" authorId="0" shapeId="0">
      <text>
        <t>Nome único. Capacidades apontam para o nome da Origem, do livro ou custom.</t>
      </text>
    </comment>
    <comment ref="AB102" authorId="0" shapeId="0">
      <text>
        <t>Nome único. Capacidades apontam para o nome da Origem, do livro ou custom.</t>
      </text>
    </comment>
    <comment ref="F103" authorId="0" shapeId="0">
      <text>
        <t>Resultado guardado, sem Constituição. Não há sorteio automático.</t>
      </text>
    </comment>
    <comment ref="HB103" authorId="0" shapeId="0">
      <text>
        <t>Em branco herda a base; sem base usa a reserva normal. A opção domada aplica o cálculo já publicado.</t>
      </text>
    </comment>
    <comment ref="HJ103" authorId="0" shapeId="0">
      <text>
        <t>Em branco herda a base; sem base usa a reserva normal. A opção domada aplica o cálculo já publicado.</t>
      </text>
    </comment>
    <comment ref="F104" authorId="0" shapeId="0">
      <text>
        <t>Resultado guardado, sem Constituição. Não há sorteio automático.</t>
      </text>
    </comment>
    <comment ref="V104"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104"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EC104" authorId="0" shapeId="0">
      <text>
        <t>Opcional. Nenhuma cria do zero. Com base, campos em branco e verificações específicas herdam o livro. Texto livre não cria automações.</t>
      </text>
    </comment>
    <comment ref="F105" authorId="0" shapeId="0">
      <text>
        <t>Resultado guardado, sem Constituição. Não há sorteio automático.</t>
      </text>
    </comment>
    <comment ref="V105"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105"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U105" authorId="0" shapeId="0">
      <text>
        <t>Em branco herda a base. Sem base, escolha Leve ou Média. Restrição paga Melhorias, nunca a Forma, e conserva o teto e o limite de Restrições.</t>
      </text>
    </comment>
    <comment ref="EC105" authorId="0" shapeId="0">
      <text>
        <t>Em branco herda a base. Sem base, escolha Leve ou Média. Restrição paga Melhorias, nunca a Forma, e conserva o teto e o limite de Restrições.</t>
      </text>
    </comment>
    <comment ref="F106" authorId="0" shapeId="0">
      <text>
        <t>Resultado guardado, sem Constituição. Não há sorteio automático.</t>
      </text>
    </comment>
    <comment ref="V106"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106"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DA106" authorId="0" shapeId="0">
      <text>
        <t>Efeito completo da Melhoria. Números do personagem sem campo próprio são registrados em BÔNUS E MUDANÇAS.</t>
      </text>
    </comment>
    <comment ref="DI106" authorId="0" shapeId="0">
      <text>
        <t>Efeito completo da Melhoria. Números do personagem sem campo próprio são registrados em BÔNUS E MUDANÇAS.</t>
      </text>
    </comment>
    <comment ref="DU106" authorId="0" shapeId="0">
      <text>
        <t>Em branco herda a base. Sim identifica Restrição de frequência; duas de frequência continuam incompatíveis.</t>
      </text>
    </comment>
    <comment ref="EC106" authorId="0" shapeId="0">
      <text>
        <t>Em branco herda a base. Sim identifica Restrição de frequência; duas de frequência continuam incompatíveis.</t>
      </text>
    </comment>
    <comment ref="FD106" authorId="0" shapeId="0">
      <text>
        <t>Lembrete. Aprovação pertence ao bot no chat.</t>
      </text>
    </comment>
    <comment ref="FL106" authorId="0" shapeId="0">
      <text>
        <t>Lembrete. Aprovação pertence ao bot no chat.</t>
      </text>
    </comment>
    <comment ref="GY106" authorId="0" shapeId="0">
      <text>
        <t>Corpo, natureza e características do tipo. Em branco herda a base; aparece na nota do seletor TIPO da invocação.</t>
      </text>
    </comment>
    <comment ref="HG106" authorId="0" shapeId="0">
      <text>
        <t>Corpo, natureza e características do tipo. Em branco herda a base; aparece na nota do seletor TIPO da invocação.</t>
      </text>
    </comment>
    <comment ref="HP106" authorId="0" shapeId="0">
      <text>
        <t>Exigências completas do Talento de entidade. Texto livre não cria automações.</t>
      </text>
    </comment>
    <comment ref="HX106" authorId="0" shapeId="0">
      <text>
        <t>Exigências completas do Talento de entidade. Texto livre não cria automações.</t>
      </text>
    </comment>
    <comment ref="F107" authorId="0" shapeId="0">
      <text>
        <t>Resultado guardado, sem Constituição. Não há sorteio automático.</t>
      </text>
    </comment>
    <comment ref="V107"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107"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GY107" authorId="0" shapeId="0">
      <text>
        <t>Corpo, natureza e características do tipo. Em branco herda a base; aparece na nota do seletor TIPO da invocação.</t>
      </text>
    </comment>
    <comment ref="HG107" authorId="0" shapeId="0">
      <text>
        <t>Corpo, natureza e características do tipo. Em branco herda a base; aparece na nota do seletor TIPO da invocação.</t>
      </text>
    </comment>
    <comment ref="HP107" authorId="0" shapeId="0">
      <text>
        <t>Exigências completas do Talento de entidade. Texto livre não cria automações.</t>
      </text>
    </comment>
    <comment ref="HX107" authorId="0" shapeId="0">
      <text>
        <t>Exigências completas do Talento de entidade. Texto livre não cria automações.</t>
      </text>
    </comment>
    <comment ref="F108" authorId="0" shapeId="0">
      <text>
        <t>Resultado guardado, sem Constituição. Não há sorteio automático.</t>
      </text>
    </comment>
    <comment ref="V108" authorId="0" shapeId="0">
      <text>
        <t>Campos por tipo: Origem: ROTA; Marcante: não usado; Menor: não usado; Arma: PROPRIEDADE 2; Escudo: não usado; Uniforme: não usado; Item comum: não usado; Ferramenta amaldiçoada: não usado.</t>
      </text>
    </comment>
    <comment ref="AD108" authorId="0" shapeId="0">
      <text>
        <t>Campos por tipo: Origem: ROTA; Marcante: não usado; Menor: não usado; Arma: PROPRIEDADE 2; Escudo: não usado; Uniforme: não usado; Item comum: não usado; Ferramenta amaldiçoada: não usado.</t>
      </text>
    </comment>
    <comment ref="EI108" authorId="0" shapeId="0">
      <text>
        <t>Interações e requisitos. Resistência, vulnerabilidade e dano aplicado não são deduzidos deste texto.</t>
      </text>
    </comment>
    <comment ref="EQ108" authorId="0" shapeId="0">
      <text>
        <t>Interações e requisitos. Resistência, vulnerabilidade e dano aplicado não são deduzidos deste texto.</t>
      </text>
    </comment>
    <comment ref="F109" authorId="0" shapeId="0">
      <text>
        <t>Resultado guardado, sem Constituição. Não há sorteio automático.</t>
      </text>
    </comment>
    <comment ref="V109"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109"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DR109" authorId="0" shapeId="0">
      <text>
        <t>Exigência, momento de cumprir, duração e incompatibilidades. Texto livre não é executado como fórmula.</t>
      </text>
    </comment>
    <comment ref="DZ109" authorId="0" shapeId="0">
      <text>
        <t>Exigência, momento de cumprir, duração e incompatibilidades. Texto livre não é executado como fórmula.</t>
      </text>
    </comment>
    <comment ref="GH109" authorId="0" shapeId="0">
      <text>
        <t>Avisos do cadastro. Inválidos permanecem exportados e saem dos menus.</t>
      </text>
    </comment>
    <comment ref="GP109" authorId="0" shapeId="0">
      <text>
        <t>Avisos do cadastro. Inválidos permanecem exportados e saem dos menus.</t>
      </text>
    </comment>
    <comment ref="F110" authorId="0" shapeId="0">
      <text>
        <t>Resultado guardado, sem Constituição. Não há sorteio automático.</t>
      </text>
    </comment>
    <comment ref="V110" authorId="0" shapeId="0">
      <text>
        <t>Campos por tipo: Origem: OFÍCIO; Marcante: não usado; Menor: não usado; Arma: PROPRIEDADE 4; Escudo: não usado; Uniforme: não usado; Item comum: não usado; Ferramenta amaldiçoada: não usado.</t>
      </text>
    </comment>
    <comment ref="AD110" authorId="0" shapeId="0">
      <text>
        <t>Campos por tipo: Origem: OFÍCIO; Marcante: não usado; Menor: não usado; Arma: PROPRIEDADE 4; Escudo: não usado; Uniforme: não usado; Item comum: não usado; Ferramenta amaldiçoada: não usado.</t>
      </text>
    </comment>
    <comment ref="F111" authorId="0" shapeId="0">
      <text>
        <t>Resultado guardado, sem Constituição. Não há sorteio automático.</t>
      </text>
    </comment>
    <comment ref="V111" authorId="0" shapeId="0">
      <text>
        <t>Campos por tipo: Origem: TALENTO CE 4; Marcante: FREQUÊNCIA; Menor: FREQUÊNCIA; Arma: DADO; Escudo: PROTEÇÃO; Uniforme: PROTEÇÃO; Item comum: VOLUME; Ferramenta amaldiçoada: ESTIGMA.</t>
      </text>
    </comment>
    <comment ref="AD111" authorId="0" shapeId="0">
      <text>
        <t>Campos por tipo: Origem: TALENTO CE 4; Marcante: FREQUÊNCIA; Menor: FREQUÊNCIA; Arma: DADO; Escudo: PROTEÇÃO; Uniforme: PROTEÇÃO; Item comum: VOLUME; Ferramenta amaldiçoada: ESTIGMA.</t>
      </text>
    </comment>
    <comment ref="GY111" authorId="0" shapeId="0">
      <text>
        <t>Em branco herda a base. Aparece na nota do seletor TIPO; texto livre não cria automações. Revise a descrição ao sobrescrever campos mecânicos.</t>
      </text>
    </comment>
    <comment ref="HG111" authorId="0" shapeId="0">
      <text>
        <t>Em branco herda a base. Aparece na nota do seletor TIPO; texto livre não cria automações. Revise a descrição ao sobrescrever campos mecânicos.</t>
      </text>
    </comment>
    <comment ref="HP111" authorId="0" shapeId="0">
      <text>
        <t>Descrição completa, exibida na carta existente. Em branco com base, usa o texto do livro.</t>
      </text>
    </comment>
    <comment ref="HX111" authorId="0" shapeId="0">
      <text>
        <t>Descrição completa, exibida na carta existente. Em branco com base, usa o texto do livro.</t>
      </text>
    </comment>
    <comment ref="F112" authorId="0" shapeId="0">
      <text>
        <t>Resultado guardado, sem Constituição. Não há sorteio automático.</t>
      </text>
    </comment>
    <comment ref="V112" authorId="0" shapeId="0">
      <text>
        <t>Campos por tipo: Origem: não usado; Marcante: não usado; Menor: não usado; Arma: FORÇA; Escudo: TETO DE DESTREZA; Uniforme: TETO DE DESTREZA; Item comum: PREÇO; Ferramenta amaldiçoada: DESGASTE.</t>
      </text>
    </comment>
    <comment ref="AD112" authorId="0" shapeId="0">
      <text>
        <t>Campos por tipo: Origem: não usado; Marcante: não usado; Menor: não usado; Arma: FORÇA; Escudo: TETO DE DESTREZA; Uniforme: TETO DE DESTREZA; Item comum: PREÇO; Ferramenta amaldiçoada: DESGASTE.</t>
      </text>
    </comment>
    <comment ref="GY112" authorId="0" shapeId="0">
      <text>
        <t>Em branco herda a base. Aparece na nota do seletor TIPO; texto livre não cria automações. Revise a descrição ao sobrescrever campos mecânicos.</t>
      </text>
    </comment>
    <comment ref="HG112" authorId="0" shapeId="0">
      <text>
        <t>Em branco herda a base. Aparece na nota do seletor TIPO; texto livre não cria automações. Revise a descrição ao sobrescrever campos mecânicos.</t>
      </text>
    </comment>
    <comment ref="HP112" authorId="0" shapeId="0">
      <text>
        <t>Descrição completa, exibida na carta existente. Em branco com base, usa o texto do livro.</t>
      </text>
    </comment>
    <comment ref="HX112" authorId="0" shapeId="0">
      <text>
        <t>Descrição completa, exibida na carta existente. Em branco com base, usa o texto do livro.</t>
      </text>
    </comment>
    <comment ref="F113" authorId="0" shapeId="0">
      <text>
        <t>Resultado guardado, sem Constituição. Não há sorteio automático.</t>
      </text>
    </comment>
    <comment ref="V113" authorId="0" shapeId="0">
      <text>
        <t>Campos por tipo: Origem: não usado; Marcante: não usado; Menor: não usado; Arma: VOLUME; Escudo: FORÇA; Uniforme: FORÇA; Item comum: não usado; Ferramenta amaldiçoada: VOLUME.</t>
      </text>
    </comment>
    <comment ref="AD113" authorId="0" shapeId="0">
      <text>
        <t>Campos por tipo: Origem: não usado; Marcante: não usado; Menor: não usado; Arma: VOLUME; Escudo: FORÇA; Uniforme: FORÇA; Item comum: não usado; Ferramenta amaldiçoada: VOLUME.</t>
      </text>
    </comment>
    <comment ref="F114" authorId="0" shapeId="0">
      <text>
        <t>Resultado guardado, sem Constituição. Não há sorteio automático.</t>
      </text>
    </comment>
    <comment ref="V114" authorId="0" shapeId="0">
      <text>
        <t>Campos por tipo: Origem: não usado; Marcante: não usado; Menor: não usado; Arma: ALCANCE; Escudo: VOLUME; Uniforme: VOLUME; Item comum: não usado; Ferramenta amaldiçoada: PREÇO.</t>
      </text>
    </comment>
    <comment ref="AD114" authorId="0" shapeId="0">
      <text>
        <t>Campos por tipo: Origem: não usado; Marcante: não usado; Menor: não usado; Arma: ALCANCE; Escudo: VOLUME; Uniforme: VOLUME; Item comum: não usado; Ferramenta amaldiçoada: PREÇO.</t>
      </text>
    </comment>
    <comment ref="GL114" authorId="0" shapeId="0">
      <text>
        <t>Lembrete. Aprovação pertence ao bot no chat.</t>
      </text>
    </comment>
    <comment ref="GT114" authorId="0" shapeId="0">
      <text>
        <t>Lembrete. Aprovação pertence ao bot no chat.</t>
      </text>
    </comment>
    <comment ref="F115" authorId="0" shapeId="0">
      <text>
        <t>Resultado guardado, sem Constituição. Não há sorteio automático.</t>
      </text>
    </comment>
    <comment ref="V115" authorId="0" shapeId="0">
      <text>
        <t>Campos por tipo: Origem: não usado; Marcante: não usado; Menor: não usado; Arma: RECARGA; Escudo: PREÇO; Uniforme: PREÇO; Item comum: não usado; Ferramenta amaldiçoada: não usado.</t>
      </text>
    </comment>
    <comment ref="AD115" authorId="0" shapeId="0">
      <text>
        <t>Campos por tipo: Origem: não usado; Marcante: não usado; Menor: não usado; Arma: RECARGA; Escudo: PREÇO; Uniforme: PREÇO; Item comum: não usado; Ferramenta amaldiçoada: não usado.</t>
      </text>
    </comment>
    <comment ref="F116" authorId="0" shapeId="0">
      <text>
        <t>Resultado guardado, sem Constituição. Não há sorteio automático.</t>
      </text>
    </comment>
    <comment ref="V116" authorId="0" shapeId="0">
      <text>
        <t>Campos por tipo: Origem: não usado; Marcante: não usado; Menor: não usado; Arma: PREÇO; Escudo: não usado; Uniforme: não usado; Item comum: não usado; Ferramenta amaldiçoada: não usado.</t>
      </text>
    </comment>
    <comment ref="AD116" authorId="0" shapeId="0">
      <text>
        <t>Campos por tipo: Origem: não usado; Marcante: não usado; Menor: não usado; Arma: PREÇO; Escudo: não usado; Uniforme: não usado; Item comum: não usado; Ferramenta amaldiçoada: não usado.</t>
      </text>
    </comment>
    <comment ref="F117" authorId="0" shapeId="0">
      <text>
        <t>Resultado guardado, sem Constituição. Não há sorteio automático.</t>
      </text>
    </comment>
    <comment ref="T117" authorId="0" shapeId="0">
      <text>
        <t>Texto integral. Descreve regras; não interpreta a prosa como cálculo.</t>
      </text>
    </comment>
    <comment ref="AB117" authorId="0" shapeId="0">
      <text>
        <t>Texto integral. Descreve regras; não interpreta a prosa como cálculo.</t>
      </text>
    </comment>
    <comment ref="DA117" authorId="0" shapeId="0">
      <text>
        <t>Condição usa este mesmo cadastro e orçamento de Melhoria. Família em branco usa a base ou Controle sem base; EXIGE TR deve ficar vazio ou Sim. Peso e efeito seguem os campos deste cartão. Texto não executa regras.</t>
      </text>
    </comment>
    <comment ref="DE117" authorId="0" shapeId="0">
      <text>
        <t>Lembrete marcado pelo jogador. Aprovação ocorre pelo bot no chat.</t>
      </text>
    </comment>
    <comment ref="DI117" authorId="0" shapeId="0">
      <text>
        <t>Condição usa este mesmo cadastro e orçamento de Melhoria. Família em branco usa a base ou Controle sem base; EXIGE TR deve ficar vazio ou Sim. Peso e efeito seguem os campos deste cartão. Texto não executa regras.</t>
      </text>
    </comment>
    <comment ref="DM117" authorId="0" shapeId="0">
      <text>
        <t>Lembrete marcado pelo jogador. Aprovação ocorre pelo bot no chat.</t>
      </text>
    </comment>
    <comment ref="FQ117" authorId="0" shapeId="0">
      <text>
        <t>Avisos do cadastro. Inválidos permanecem exportados e saem dos menus.</t>
      </text>
    </comment>
    <comment ref="FY117" authorId="0" shapeId="0">
      <text>
        <t>Avisos do cadastro. Inválidos permanecem exportados e saem dos menus.</t>
      </text>
    </comment>
    <comment ref="F118" authorId="0" shapeId="0">
      <text>
        <t>Resultado guardado, sem Constituição. Não há sorteio automático.</t>
      </text>
    </comment>
    <comment ref="F119" authorId="0" shapeId="0">
      <text>
        <t>Resultado guardado, sem Constituição. Não há sorteio automático.</t>
      </text>
    </comment>
    <comment ref="F120" authorId="0" shapeId="0">
      <text>
        <t>Resultado guardado, sem Constituição. Não há sorteio automático.</t>
      </text>
    </comment>
    <comment ref="DL120" authorId="0" shapeId="0">
      <text>
        <t>Opcional. Nenhuma cria do zero. Com base, campos em branco e verificações específicas herdam o livro. Texto livre não cria automações.</t>
      </text>
    </comment>
    <comment ref="F121" authorId="0" shapeId="0">
      <text>
        <t>Resultado guardado, sem Constituição. Não há sorteio automático.</t>
      </text>
    </comment>
    <comment ref="DD121" authorId="0" shapeId="0">
      <text>
        <t>Em branco herda a base; Nenhuma remove a Família. A técnica usa o estado cadastrado; entidades usam suas próprias Famílias abertas.</t>
      </text>
    </comment>
    <comment ref="DL121" authorId="0" shapeId="0">
      <text>
        <t>Em branco herda a base; Nenhuma remove a Família. A técnica usa o estado cadastrado; entidades usam suas próprias Famílias abertas.</t>
      </text>
    </comment>
    <comment ref="GY121" authorId="0" shapeId="0">
      <text>
        <t>Problema do cadastro. Cadastros com problema ficam fora dos menus da ficha.</t>
      </text>
    </comment>
    <comment ref="HG121" authorId="0" shapeId="0">
      <text>
        <t>Problema do cadastro. Cadastros com problema ficam fora dos menus da ficha.</t>
      </text>
    </comment>
    <comment ref="HP121" authorId="0" shapeId="0">
      <text>
        <t>Problema do cadastro. Cadastros com problema ficam fora dos menus da ficha.</t>
      </text>
    </comment>
    <comment ref="HX121" authorId="0" shapeId="0">
      <text>
        <t>Problema do cadastro. Cadastros com problema ficam fora dos menus da ficha.</t>
      </text>
    </comment>
    <comment ref="F122" authorId="0" shapeId="0">
      <text>
        <t>Resultado guardado, sem Constituição. Não há sorteio automático.</t>
      </text>
    </comment>
    <comment ref="DD122" authorId="0" shapeId="0">
      <text>
        <t>Em branco herda a base. Sem base, escolha Leve, Média ou Pesada. Preços e desconto seguem a Classe da ficha.</t>
      </text>
    </comment>
    <comment ref="DL122" authorId="0" shapeId="0">
      <text>
        <t>Em branco herda a base. Sem base, escolha Leve, Média ou Pesada. Preços e desconto seguem a Classe da ficha.</t>
      </text>
    </comment>
    <comment ref="FU122" authorId="0" shapeId="0">
      <text>
        <t>Lembrete. Aprovação pertence ao bot no chat.</t>
      </text>
    </comment>
    <comment ref="GC122" authorId="0" shapeId="0">
      <text>
        <t>Lembrete. Aprovação pertence ao bot no chat.</t>
      </text>
    </comment>
    <comment ref="F123" authorId="0" shapeId="0">
      <text>
        <t>Resultado guardado, sem Constituição. Não há sorteio automático.</t>
      </text>
    </comment>
    <comment ref="DD123" authorId="0" shapeId="0">
      <text>
        <t>Em branco herda a base. Sim indica que o efeito exige TR, inclusive em Forma de ataque.</t>
      </text>
    </comment>
    <comment ref="DL123" authorId="0" shapeId="0">
      <text>
        <t>Em branco herda a base. Sim indica que o efeito exige TR, inclusive em Forma de ataque.</t>
      </text>
    </comment>
    <comment ref="DV123" authorId="0" shapeId="0">
      <text>
        <t>Lembrete marcado pelo jogador. Aprovação ocorre pelo bot no chat.</t>
      </text>
    </comment>
    <comment ref="ED123" authorId="0" shapeId="0">
      <text>
        <t>Lembrete marcado pelo jogador. Aprovação ocorre pelo bot no chat.</t>
      </text>
    </comment>
    <comment ref="F124" authorId="0" shapeId="0">
      <text>
        <t>Resultado guardado, sem Constituição. Não há sorteio automático.</t>
      </text>
    </comment>
    <comment ref="GY124" authorId="0" shapeId="0">
      <text>
        <t>Nome único. O menu da ficha reunirá o livro e os cadastros válidos.</t>
      </text>
    </comment>
    <comment ref="HG124" authorId="0" shapeId="0">
      <text>
        <t>Nome único. O menu da ficha reunirá o livro e os cadastros válidos.</t>
      </text>
    </comment>
    <comment ref="HP124" authorId="0" shapeId="0">
      <text>
        <t>Nome único. O menu da ficha reunirá o livro e os cadastros válidos.</t>
      </text>
    </comment>
    <comment ref="HX124" authorId="0" shapeId="0">
      <text>
        <t>Nome único. O menu da ficha reunirá o livro e os cadastros válidos.</t>
      </text>
    </comment>
    <comment ref="F125" authorId="0" shapeId="0">
      <text>
        <t>Resultado guardado, sem Constituição. Não há sorteio automático.</t>
      </text>
    </comment>
    <comment ref="EI125" authorId="0" shapeId="0">
      <text>
        <t>Nome único. Livro e cadastros válidos aparecem juntos nos menus.</t>
      </text>
    </comment>
    <comment ref="EM125" authorId="0" shapeId="0">
      <text>
        <t>Lembrete; aprovação ocorre pelo bot no chat.</t>
      </text>
    </comment>
    <comment ref="EQ125" authorId="0" shapeId="0">
      <text>
        <t>Nome único. Livro e cadastros válidos aparecem juntos nos menus.</t>
      </text>
    </comment>
    <comment ref="EU125" authorId="0" shapeId="0">
      <text>
        <t>Lembrete; aprovação ocorre pelo bot no chat.</t>
      </text>
    </comment>
    <comment ref="GY125" authorId="0" shapeId="0">
      <text>
        <t>Nome próprio do conteúdo criado com o mestre.</t>
      </text>
    </comment>
    <comment ref="HC125" authorId="0" shapeId="0">
      <text>
        <t>Lembrete marcado pelo jogador; aprovação é feita pelo bot, no chat.</t>
      </text>
    </comment>
    <comment ref="HG125" authorId="0" shapeId="0">
      <text>
        <t>Nome próprio do conteúdo criado com o mestre.</t>
      </text>
    </comment>
    <comment ref="HK125" authorId="0" shapeId="0">
      <text>
        <t>Lembrete marcado pelo jogador; aprovação é feita pelo bot, no chat.</t>
      </text>
    </comment>
    <comment ref="HP125" authorId="0" shapeId="0">
      <text>
        <t>Nome próprio do conteúdo criado com o mestre.</t>
      </text>
    </comment>
    <comment ref="HT125" authorId="0" shapeId="0">
      <text>
        <t>Lembrete marcado pelo jogador; aprovação é feita pelo bot, no chat.</t>
      </text>
    </comment>
    <comment ref="HX125" authorId="0" shapeId="0">
      <text>
        <t>Nome próprio do conteúdo criado com o mestre.</t>
      </text>
    </comment>
    <comment ref="IB125" authorId="0" shapeId="0">
      <text>
        <t>Lembrete marcado pelo jogador; aprovação é feita pelo bot, no chat.</t>
      </text>
    </comment>
    <comment ref="F126" authorId="0" shapeId="0">
      <text>
        <t>Resultado guardado, sem Constituição. Não há sorteio automático.</t>
      </text>
    </comment>
    <comment ref="DA126" authorId="0" shapeId="0">
      <text>
        <t>Descreva requisitos, incompatibilidades e limite de compras. Verificações da base continuam; texto livre é conferido pelo mestre e pelo bot.</t>
      </text>
    </comment>
    <comment ref="DI126" authorId="0" shapeId="0">
      <text>
        <t>Descreva requisitos, incompatibilidades e limite de compras. Verificações da base continuam; texto livre é conferido pelo mestre e pelo bot.</t>
      </text>
    </comment>
    <comment ref="EC126" authorId="0" shapeId="0">
      <text>
        <t>Opcional. Nenhuma cria do zero. Com base, campos em branco e verificações específicas herdam o livro. Texto livre não cria automações.</t>
      </text>
    </comment>
    <comment ref="F127" authorId="0" shapeId="0">
      <text>
        <t>Resultado guardado, sem Constituição. Não há sorteio automático.</t>
      </text>
    </comment>
    <comment ref="DU127" authorId="0" shapeId="0">
      <text>
        <t>Em branco herda a base. Sem base, escolha Leve ou Média. Restrição paga Melhorias, nunca a Forma, e conserva o teto e o limite de Restrições.</t>
      </text>
    </comment>
    <comment ref="EC127" authorId="0" shapeId="0">
      <text>
        <t>Em branco herda a base. Sem base, escolha Leve ou Média. Restrição paga Melhorias, nunca a Forma, e conserva o teto e o limite de Restrições.</t>
      </text>
    </comment>
    <comment ref="HJ127" authorId="0" shapeId="0">
      <text>
        <t>Opcional. Em branco nos demais campos, uma base herda as automações do livro. Nenhuma permite conteúdo próprio. O texto não é interpretado como fórmula.</t>
      </text>
    </comment>
    <comment ref="IA127" authorId="0" shapeId="0">
      <text>
        <t>Opcional. Em branco nos demais campos, uma base herda as automações do livro. Nenhuma permite conteúdo próprio. O texto não é interpretado como fórmula.</t>
      </text>
    </comment>
    <comment ref="F128" authorId="0" shapeId="0">
      <text>
        <t>Resultado guardado, sem Constituição. Não há sorteio automático.</t>
      </text>
    </comment>
    <comment ref="DU128" authorId="0" shapeId="0">
      <text>
        <t>Em branco herda a base. Sim identifica Restrição de frequência; duas de frequência continuam incompatíveis.</t>
      </text>
    </comment>
    <comment ref="EC128" authorId="0" shapeId="0">
      <text>
        <t>Em branco herda a base. Sim identifica Restrição de frequência; duas de frequência continuam incompatíveis.</t>
      </text>
    </comment>
    <comment ref="HB128" authorId="0" shapeId="0">
      <text>
        <t>Em branco herda a base; sem base usa a vida normal. Corpo de criação usa 4 + Constituição por nível após o primeiro.</t>
      </text>
    </comment>
    <comment ref="HJ128" authorId="0" shapeId="0">
      <text>
        <t>Em branco herda a base; sem base usa a vida normal. Corpo de criação usa 4 + Constituição por nível após o primeiro.</t>
      </text>
    </comment>
    <comment ref="HS128" authorId="0" shapeId="0">
      <text>
        <t>Em branco herda a base; sem base é obrigatória. Conferida com o teto de cada ganho; as escolhas da Trilha aceitam só a Categoria 1.</t>
      </text>
    </comment>
    <comment ref="IA128" authorId="0" shapeId="0">
      <text>
        <t>Em branco herda a base; sem base é obrigatória. Conferida com o teto de cada ganho; as escolhas da Trilha aceitam só a Categoria 1.</t>
      </text>
    </comment>
    <comment ref="F129" authorId="0" shapeId="0">
      <text>
        <t>Resultado guardado, sem Constituição. Não há sorteio automático.</t>
      </text>
    </comment>
    <comment ref="T129" authorId="0" shapeId="0">
      <text>
        <t>Troque o tipo e revise os valores que já estavam guardados.</t>
      </text>
    </comment>
    <comment ref="X129" authorId="0" shapeId="0">
      <text>
        <t>Lembrete do jogador; aprovação só pelo bot no chat.</t>
      </text>
    </comment>
    <comment ref="AB129" authorId="0" shapeId="0">
      <text>
        <t>Troque o tipo e revise os valores que já estavam guardados.</t>
      </text>
    </comment>
    <comment ref="AF129" authorId="0" shapeId="0">
      <text>
        <t>Lembrete do jogador; aprovação só pelo bot no chat.</t>
      </text>
    </comment>
    <comment ref="EI129" authorId="0" shapeId="0">
      <text>
        <t>Natureza do dano criada com o mestre. Não altera números automaticamente.</t>
      </text>
    </comment>
    <comment ref="EQ129" authorId="0" shapeId="0">
      <text>
        <t>Natureza do dano criada com o mestre. Não altera números automaticamente.</t>
      </text>
    </comment>
    <comment ref="HB129" authorId="0" shapeId="0">
      <text>
        <t>Em branco herda a base; sem base não usa. Usar habilita a carga do talismã na entrada da entidade.</t>
      </text>
    </comment>
    <comment ref="HJ129" authorId="0" shapeId="0">
      <text>
        <t>Em branco herda a base; sem base não usa. Usar habilita a carga do talismã na entrada da entidade.</t>
      </text>
    </comment>
    <comment ref="T131" authorId="0" shapeId="0">
      <text>
        <t>Nome único. Capacidades apontam para o nome da Origem, do livro ou custom.</t>
      </text>
    </comment>
    <comment ref="AB131" authorId="0" shapeId="0">
      <text>
        <t>Nome único. Capacidades apontam para o nome da Origem, do livro ou custom.</t>
      </text>
    </comment>
    <comment ref="DR131" authorId="0" shapeId="0">
      <text>
        <t>Exigência, momento de cumprir, duração e incompatibilidades. Texto livre não é executado como fórmula.</t>
      </text>
    </comment>
    <comment ref="DZ131" authorId="0" shapeId="0">
      <text>
        <t>Exigência, momento de cumprir, duração e incompatibilidades. Texto livre não é executado como fórmula.</t>
      </text>
    </comment>
    <comment ref="HB131" authorId="0" shapeId="0">
      <text>
        <t>Em branco herda a base; sem base usa a reserva normal. A opção domada aplica o cálculo já publicado.</t>
      </text>
    </comment>
    <comment ref="HJ131" authorId="0" shapeId="0">
      <text>
        <t>Em branco herda a base; sem base usa a reserva normal. A opção domada aplica o cálculo já publicado.</t>
      </text>
    </comment>
    <comment ref="DA132" authorId="0" shapeId="0">
      <text>
        <t>Efeito completo da Melhoria. Números do personagem sem campo próprio são registrados em BÔNUS E MUDANÇAS.</t>
      </text>
    </comment>
    <comment ref="DI132" authorId="0" shapeId="0">
      <text>
        <t>Efeito completo da Melhoria. Números do personagem sem campo próprio são registrados em BÔNUS E MUDANÇAS.</t>
      </text>
    </comment>
    <comment ref="C133"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33"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133"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V134"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134"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GH134" authorId="0" shapeId="0">
      <text>
        <t>Avisos do cadastro. Inválidos permanecem exportados e saem dos menus.</t>
      </text>
    </comment>
    <comment ref="GP134" authorId="0" shapeId="0">
      <text>
        <t>Avisos do cadastro. Inválidos permanecem exportados e saem dos menus.</t>
      </text>
    </comment>
    <comment ref="GY134" authorId="0" shapeId="0">
      <text>
        <t>Corpo, natureza e características do tipo. Em branco herda a base; aparece na nota do seletor TIPO da invocação.</t>
      </text>
    </comment>
    <comment ref="HG134" authorId="0" shapeId="0">
      <text>
        <t>Corpo, natureza e características do tipo. Em branco herda a base; aparece na nota do seletor TIPO da invocação.</t>
      </text>
    </comment>
    <comment ref="HP134" authorId="0" shapeId="0">
      <text>
        <t>Exigências completas do Talento de entidade. Texto livre não cria automações.</t>
      </text>
    </comment>
    <comment ref="HX134" authorId="0" shapeId="0">
      <text>
        <t>Exigências completas do Talento de entidade. Texto livre não cria automações.</t>
      </text>
    </comment>
    <comment ref="C135"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35"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135"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GY135" authorId="0" shapeId="0">
      <text>
        <t>Corpo, natureza e características do tipo. Em branco herda a base; aparece na nota do seletor TIPO da invocação.</t>
      </text>
    </comment>
    <comment ref="HG135" authorId="0" shapeId="0">
      <text>
        <t>Corpo, natureza e características do tipo. Em branco herda a base; aparece na nota do seletor TIPO da invocação.</t>
      </text>
    </comment>
    <comment ref="HP135" authorId="0" shapeId="0">
      <text>
        <t>Exigências completas do Talento de entidade. Texto livre não cria automações.</t>
      </text>
    </comment>
    <comment ref="HX135" authorId="0" shapeId="0">
      <text>
        <t>Exigências completas do Talento de entidade. Texto livre não cria automações.</t>
      </text>
    </comment>
    <comment ref="V136"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136"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EI136" authorId="0" shapeId="0">
      <text>
        <t>Interações e requisitos. Resistência, vulnerabilidade e dano aplicado não são deduzidos deste texto.</t>
      </text>
    </comment>
    <comment ref="EQ136" authorId="0" shapeId="0">
      <text>
        <t>Interações e requisitos. Resistência, vulnerabilidade e dano aplicado não são deduzidos deste texto.</t>
      </text>
    </comment>
    <comment ref="V137" authorId="0" shapeId="0">
      <text>
        <t>Campos por tipo: Origem: ROTA; Marcante: não usado; Menor: não usado; Arma: PROPRIEDADE 2; Escudo: não usado; Uniforme: não usado; Item comum: não usado; Ferramenta amaldiçoada: não usado.</t>
      </text>
    </comment>
    <comment ref="AD137" authorId="0" shapeId="0">
      <text>
        <t>Campos por tipo: Origem: ROTA; Marcante: não usado; Menor: não usado; Arma: PROPRIEDADE 2; Escudo: não usado; Uniforme: não usado; Item comum: não usado; Ferramenta amaldiçoada: não usado.</t>
      </text>
    </comment>
    <comment ref="H138"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38"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138"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G139"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39"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39" authorId="0" shapeId="0">
      <text>
        <t>Campos por tipo: Origem: OFÍCIO; Marcante: não usado; Menor: não usado; Arma: PROPRIEDADE 4; Escudo: não usado; Uniforme: não usado; Item comum: não usado; Ferramenta amaldiçoada: não usado.</t>
      </text>
    </comment>
    <comment ref="AD139" authorId="0" shapeId="0">
      <text>
        <t>Campos por tipo: Origem: OFÍCIO; Marcante: não usado; Menor: não usado; Arma: PROPRIEDADE 4; Escudo: não usado; Uniforme: não usado; Item comum: não usado; Ferramenta amaldiçoada: não usado.</t>
      </text>
    </comment>
    <comment ref="GY139" authorId="0" shapeId="0">
      <text>
        <t>Em branco herda a base. Aparece na nota do seletor TIPO; texto livre não cria automações. Revise a descrição ao sobrescrever campos mecânicos.</t>
      </text>
    </comment>
    <comment ref="HG139" authorId="0" shapeId="0">
      <text>
        <t>Em branco herda a base. Aparece na nota do seletor TIPO; texto livre não cria automações. Revise a descrição ao sobrescrever campos mecânicos.</t>
      </text>
    </comment>
    <comment ref="HP139" authorId="0" shapeId="0">
      <text>
        <t>Descrição completa, exibida na carta existente. Em branco com base, usa o texto do livro.</t>
      </text>
    </comment>
    <comment ref="HX139" authorId="0" shapeId="0">
      <text>
        <t>Descrição completa, exibida na carta existente. Em branco com base, usa o texto do livro.</t>
      </text>
    </comment>
    <comment ref="G140"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0"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0" authorId="0" shapeId="0">
      <text>
        <t>Campos por tipo: Origem: TALENTO CE 4; Marcante: FREQUÊNCIA; Menor: FREQUÊNCIA; Arma: DADO; Escudo: PROTEÇÃO; Uniforme: PROTEÇÃO; Item comum: VOLUME; Ferramenta amaldiçoada: ESTIGMA.</t>
      </text>
    </comment>
    <comment ref="AD140" authorId="0" shapeId="0">
      <text>
        <t>Campos por tipo: Origem: TALENTO CE 4; Marcante: FREQUÊNCIA; Menor: FREQUÊNCIA; Arma: DADO; Escudo: PROTEÇÃO; Uniforme: PROTEÇÃO; Item comum: VOLUME; Ferramenta amaldiçoada: ESTIGMA.</t>
      </text>
    </comment>
    <comment ref="GY140" authorId="0" shapeId="0">
      <text>
        <t>Em branco herda a base. Aparece na nota do seletor TIPO; texto livre não cria automações. Revise a descrição ao sobrescrever campos mecânicos.</t>
      </text>
    </comment>
    <comment ref="HG140" authorId="0" shapeId="0">
      <text>
        <t>Em branco herda a base. Aparece na nota do seletor TIPO; texto livre não cria automações. Revise a descrição ao sobrescrever campos mecânicos.</t>
      </text>
    </comment>
    <comment ref="HP140" authorId="0" shapeId="0">
      <text>
        <t>Descrição completa, exibida na carta existente. Em branco com base, usa o texto do livro.</t>
      </text>
    </comment>
    <comment ref="HX140" authorId="0" shapeId="0">
      <text>
        <t>Descrição completa, exibida na carta existente. Em branco com base, usa o texto do livro.</t>
      </text>
    </comment>
    <comment ref="G141"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1"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1" authorId="0" shapeId="0">
      <text>
        <t>Campos por tipo: Origem: não usado; Marcante: não usado; Menor: não usado; Arma: FORÇA; Escudo: TETO DE DESTREZA; Uniforme: TETO DE DESTREZA; Item comum: PREÇO; Ferramenta amaldiçoada: DESGASTE.</t>
      </text>
    </comment>
    <comment ref="AD141" authorId="0" shapeId="0">
      <text>
        <t>Campos por tipo: Origem: não usado; Marcante: não usado; Menor: não usado; Arma: FORÇA; Escudo: TETO DE DESTREZA; Uniforme: TETO DE DESTREZA; Item comum: PREÇO; Ferramenta amaldiçoada: DESGASTE.</t>
      </text>
    </comment>
    <comment ref="G142"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2"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2" authorId="0" shapeId="0">
      <text>
        <t>Campos por tipo: Origem: não usado; Marcante: não usado; Menor: não usado; Arma: VOLUME; Escudo: FORÇA; Uniforme: FORÇA; Item comum: não usado; Ferramenta amaldiçoada: VOLUME.</t>
      </text>
    </comment>
    <comment ref="AD142" authorId="0" shapeId="0">
      <text>
        <t>Campos por tipo: Origem: não usado; Marcante: não usado; Menor: não usado; Arma: VOLUME; Escudo: FORÇA; Uniforme: FORÇA; Item comum: não usado; Ferramenta amaldiçoada: VOLUME.</t>
      </text>
    </comment>
    <comment ref="G143"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3"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3" authorId="0" shapeId="0">
      <text>
        <t>Campos por tipo: Origem: não usado; Marcante: não usado; Menor: não usado; Arma: ALCANCE; Escudo: VOLUME; Uniforme: VOLUME; Item comum: não usado; Ferramenta amaldiçoada: PREÇO.</t>
      </text>
    </comment>
    <comment ref="AD143" authorId="0" shapeId="0">
      <text>
        <t>Campos por tipo: Origem: não usado; Marcante: não usado; Menor: não usado; Arma: ALCANCE; Escudo: VOLUME; Uniforme: VOLUME; Item comum: não usado; Ferramenta amaldiçoada: PREÇO.</t>
      </text>
    </comment>
    <comment ref="DA143" authorId="0" shapeId="0">
      <text>
        <t>Condição usa este mesmo cadastro e orçamento de Melhoria. Família em branco usa a base ou Controle sem base; EXIGE TR deve ficar vazio ou Sim. Peso e efeito seguem os campos deste cartão. Texto não executa regras.</t>
      </text>
    </comment>
    <comment ref="DE143" authorId="0" shapeId="0">
      <text>
        <t>Lembrete marcado pelo jogador. Aprovação ocorre pelo bot no chat.</t>
      </text>
    </comment>
    <comment ref="DI143" authorId="0" shapeId="0">
      <text>
        <t>Condição usa este mesmo cadastro e orçamento de Melhoria. Família em branco usa a base ou Controle sem base; EXIGE TR deve ficar vazio ou Sim. Peso e efeito seguem os campos deste cartão. Texto não executa regras.</t>
      </text>
    </comment>
    <comment ref="DM143" authorId="0" shapeId="0">
      <text>
        <t>Lembrete marcado pelo jogador. Aprovação ocorre pelo bot no chat.</t>
      </text>
    </comment>
    <comment ref="G144"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4"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4" authorId="0" shapeId="0">
      <text>
        <t>Campos por tipo: Origem: não usado; Marcante: não usado; Menor: não usado; Arma: RECARGA; Escudo: PREÇO; Uniforme: PREÇO; Item comum: não usado; Ferramenta amaldiçoada: não usado.</t>
      </text>
    </comment>
    <comment ref="AD144" authorId="0" shapeId="0">
      <text>
        <t>Campos por tipo: Origem: não usado; Marcante: não usado; Menor: não usado; Arma: RECARGA; Escudo: PREÇO; Uniforme: PREÇO; Item comum: não usado; Ferramenta amaldiçoada: não usado.</t>
      </text>
    </comment>
    <comment ref="FQ144" authorId="0" shapeId="0">
      <text>
        <t>Avisos do cadastro. Inválidos permanecem exportados e saem dos menus.</t>
      </text>
    </comment>
    <comment ref="FY144" authorId="0" shapeId="0">
      <text>
        <t>Avisos do cadastro. Inválidos permanecem exportados e saem dos menus.</t>
      </text>
    </comment>
    <comment ref="G145"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H145" authorId="0" shapeId="0">
      <text>
        <t>Livres fazem parte do total de Famílias abertas. Inteiro de 0 a 9. O ganho da Não autônoma soma ao total e às Livres. 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V145" authorId="0" shapeId="0">
      <text>
        <t>Campos por tipo: Origem: não usado; Marcante: não usado; Menor: não usado; Arma: PREÇO; Escudo: não usado; Uniforme: não usado; Item comum: não usado; Ferramenta amaldiçoada: não usado.</t>
      </text>
    </comment>
    <comment ref="AD145" authorId="0" shapeId="0">
      <text>
        <t>Campos por tipo: Origem: não usado; Marcante: não usado; Menor: não usado; Arma: PREÇO; Escudo: não usado; Uniforme: não usado; Item comum: não usado; Ferramenta amaldiçoada: não usado.</t>
      </text>
    </comment>
    <comment ref="DV145" authorId="0" shapeId="0">
      <text>
        <t>Lembrete marcado pelo jogador. Aprovação ocorre pelo bot no chat.</t>
      </text>
    </comment>
    <comment ref="ED145" authorId="0" shapeId="0">
      <text>
        <t>Lembrete marcado pelo jogador. Aprovação ocorre pelo bot no chat.</t>
      </text>
    </comment>
    <comment ref="T146" authorId="0" shapeId="0">
      <text>
        <t>Texto integral. Descreve regras; não interpreta a prosa como cálculo.</t>
      </text>
    </comment>
    <comment ref="AB146" authorId="0" shapeId="0">
      <text>
        <t>Texto integral. Descreve regras; não interpreta a prosa como cálculo.</t>
      </text>
    </comment>
    <comment ref="DL146" authorId="0" shapeId="0">
      <text>
        <t>Opcional. Nenhuma cria do zero. Com base, campos em branco e verificações específicas herdam o livro. Texto livre não cria automações.</t>
      </text>
    </comment>
    <comment ref="C147" authorId="0" shapeId="0">
      <text>
        <t>Regra do sistema prevista para o Guia de Criação; ainda não abordada no livro de regras atual. Autônoma é o padrão e mantém o funcionamento atual. Não autônoma recebe uma Família Livre adicional, que é uma nova Família aberta, e precisa de ordem prévia para qualquer ação, exceto a Reação. Os ganhos podem ser alterados em CONFIGURAÇÃO. A ficha calcula as Famílias; as ordens são controladas durante o jogo.</t>
      </text>
    </comment>
    <comment ref="DD147" authorId="0" shapeId="0">
      <text>
        <t>Em branco herda a base; Nenhuma remove a Família. A técnica usa o estado cadastrado; entidades usam suas próprias Famílias abertas.</t>
      </text>
    </comment>
    <comment ref="DL147" authorId="0" shapeId="0">
      <text>
        <t>Em branco herda a base; Nenhuma remove a Família. A técnica usa o estado cadastrado; entidades usam suas próprias Famílias abertas.</t>
      </text>
    </comment>
    <comment ref="EZ147" authorId="0" shapeId="0">
      <text>
        <t>Avisos do cadastro. Inválidos permanecem exportados e saem dos menus.</t>
      </text>
    </comment>
    <comment ref="FH147" authorId="0" shapeId="0">
      <text>
        <t>Avisos do cadastro. Inválidos permanecem exportados e saem dos menus.</t>
      </text>
    </comment>
    <comment ref="DD148" authorId="0" shapeId="0">
      <text>
        <t>Em branco herda a base. Sem base, escolha Leve, Média ou Pesada. Preços e desconto seguem a Classe da ficha.</t>
      </text>
    </comment>
    <comment ref="DL148" authorId="0" shapeId="0">
      <text>
        <t>Em branco herda a base. Sem base, escolha Leve, Média ou Pesada. Preços e desconto seguem a Classe da ficha.</t>
      </text>
    </comment>
    <comment ref="EC148" authorId="0" shapeId="0">
      <text>
        <t>Opcional. Nenhuma cria do zero. Com base, campos em branco e verificações específicas herdam o livro. Texto livre não cria automações.</t>
      </text>
    </comment>
    <comment ref="DD149" authorId="0" shapeId="0">
      <text>
        <t>Em branco herda a base. Sim indica que o efeito exige TR, inclusive em Forma de ataque.</t>
      </text>
    </comment>
    <comment ref="DL149" authorId="0" shapeId="0">
      <text>
        <t>Em branco herda a base. Sim indica que o efeito exige TR, inclusive em Forma de ataque.</t>
      </text>
    </comment>
    <comment ref="DU149" authorId="0" shapeId="0">
      <text>
        <t>Em branco herda a base. Sem base, escolha Leve ou Média. Restrição paga Melhorias, nunca a Forma, e conserva o teto e o limite de Restrições.</t>
      </text>
    </comment>
    <comment ref="EC149" authorId="0" shapeId="0">
      <text>
        <t>Em branco herda a base. Sem base, escolha Leve ou Média. Restrição paga Melhorias, nunca a Forma, e conserva o teto e o limite de Restrições.</t>
      </text>
    </comment>
    <comment ref="GY149" authorId="0" shapeId="0">
      <text>
        <t>Problema do cadastro. Cadastros com problema ficam fora dos menus da ficha.</t>
      </text>
    </comment>
    <comment ref="HG149" authorId="0" shapeId="0">
      <text>
        <t>Problema do cadastro. Cadastros com problema ficam fora dos menus da ficha.</t>
      </text>
    </comment>
    <comment ref="HP149" authorId="0" shapeId="0">
      <text>
        <t>Problema do cadastro. Cadastros com problema ficam fora dos menus da ficha.</t>
      </text>
    </comment>
    <comment ref="HX149" authorId="0" shapeId="0">
      <text>
        <t>Problema do cadastro. Cadastros com problema ficam fora dos menus da ficha.</t>
      </text>
    </comment>
    <comment ref="DU150" authorId="0" shapeId="0">
      <text>
        <t>Em branco herda a base. Sim identifica Restrição de frequência; duas de frequência continuam incompatíveis.</t>
      </text>
    </comment>
    <comment ref="EC150" authorId="0" shapeId="0">
      <text>
        <t>Em branco herda a base. Sim identifica Restrição de frequência; duas de frequência continuam incompatíveis.</t>
      </text>
    </comment>
    <comment ref="DA152" authorId="0" shapeId="0">
      <text>
        <t>Descreva requisitos, incompatibilidades e limite de compras. Verificações da base continuam; texto livre é conferido pelo mestre e pelo bot.</t>
      </text>
    </comment>
    <comment ref="DI152" authorId="0" shapeId="0">
      <text>
        <t>Descreva requisitos, incompatibilidades e limite de compras. Verificações da base continuam; texto livre é conferido pelo mestre e pelo bot.</t>
      </text>
    </comment>
    <comment ref="FD152" authorId="0" shapeId="0">
      <text>
        <t>Lembrete. Aprovação pertence ao bot no chat.</t>
      </text>
    </comment>
    <comment ref="FL152" authorId="0" shapeId="0">
      <text>
        <t>Lembrete. Aprovação pertence ao bot no chat.</t>
      </text>
    </comment>
    <comment ref="HP152" authorId="0" shapeId="0">
      <text>
        <t>Nome único. O menu da ficha reunirá o livro e os cadastros válidos.</t>
      </text>
    </comment>
    <comment ref="HX152" authorId="0" shapeId="0">
      <text>
        <t>Nome único. O menu da ficha reunirá o livro e os cadastros válidos.</t>
      </text>
    </comment>
    <comment ref="DR153" authorId="0" shapeId="0">
      <text>
        <t>Exigência, momento de cumprir, duração e incompatibilidades. Texto livre não é executado como fórmula.</t>
      </text>
    </comment>
    <comment ref="DZ153" authorId="0" shapeId="0">
      <text>
        <t>Exigência, momento de cumprir, duração e incompatibilidades. Texto livre não é executado como fórmula.</t>
      </text>
    </comment>
    <comment ref="HP153" authorId="0" shapeId="0">
      <text>
        <t>Nome próprio do conteúdo criado com o mestre.</t>
      </text>
    </comment>
    <comment ref="HT153" authorId="0" shapeId="0">
      <text>
        <t>Lembrete marcado pelo jogador; aprovação é feita pelo bot, no chat.</t>
      </text>
    </comment>
    <comment ref="HX153" authorId="0" shapeId="0">
      <text>
        <t>Nome próprio do conteúdo criado com o mestre.</t>
      </text>
    </comment>
    <comment ref="IB153" authorId="0" shapeId="0">
      <text>
        <t>Lembrete marcado pelo jogador; aprovação é feita pelo bot, no chat.</t>
      </text>
    </comment>
    <comment ref="IA155" authorId="0" shapeId="0">
      <text>
        <t>Opcional. Em branco nos demais campos, uma base herda as automações do livro. Nenhuma permite conteúdo próprio. O texto não é interpretado como fórmula.</t>
      </text>
    </comment>
    <comment ref="HS156" authorId="0" shapeId="0">
      <text>
        <t>Em branco herda a base; sem base é obrigatória. Conferida com o teto de cada ganho; as escolhas da Trilha aceitam só a Categoria 1.</t>
      </text>
    </comment>
    <comment ref="IA156" authorId="0" shapeId="0">
      <text>
        <t>Em branco herda a base; sem base é obrigatória. Conferida com o teto de cada ganho; as escolhas da Trilha aceitam só a Categoria 1.</t>
      </text>
    </comment>
    <comment ref="G157" authorId="0" shapeId="0">
      <text>
        <t>Quantidade da técnica do personagem. Não muda os limites das entidades. Campanha em branco usa o livro; Neutras é o total válido menos Livres e Fechadas.</t>
      </text>
    </comment>
    <comment ref="H157" authorId="0" shapeId="0">
      <text>
        <t>Quantidade da técnica do personagem. Não muda os limites das entidades. Campanha em branco usa o livro; Neutras é o total válido menos Livres e Fechadas.</t>
      </text>
    </comment>
    <comment ref="G158" authorId="0" shapeId="0">
      <text>
        <t>Quantidade da técnica do personagem. Não muda os limites das entidades. Campanha em branco usa o livro; Neutras é o total válido menos Livres e Fechadas.</t>
      </text>
    </comment>
    <comment ref="H158" authorId="0" shapeId="0">
      <text>
        <t>Quantidade da técnica do personagem. Não muda os limites das entidades. Campanha em branco usa o livro; Neutras é o total válido menos Livres e Fechadas.</t>
      </text>
    </comment>
    <comment ref="T158" authorId="0" shapeId="0">
      <text>
        <t>Troque o tipo e revise os valores que já estavam guardados.</t>
      </text>
    </comment>
    <comment ref="X158" authorId="0" shapeId="0">
      <text>
        <t>Lembrete do jogador; aprovação só pelo bot no chat.</t>
      </text>
    </comment>
    <comment ref="AB158" authorId="0" shapeId="0">
      <text>
        <t>Troque o tipo e revise os valores que já estavam guardados.</t>
      </text>
    </comment>
    <comment ref="AF158" authorId="0" shapeId="0">
      <text>
        <t>Lembrete do jogador; aprovação só pelo bot no chat.</t>
      </text>
    </comment>
    <comment ref="DA158" authorId="0" shapeId="0">
      <text>
        <t>Efeito completo da Melhoria. Números do personagem sem campo próprio são registrados em BÔNUS E MUDANÇAS.</t>
      </text>
    </comment>
    <comment ref="DI158" authorId="0" shapeId="0">
      <text>
        <t>Efeito completo da Melhoria. Números do personagem sem campo próprio são registrados em BÔNUS E MUDANÇAS.</t>
      </text>
    </comment>
    <comment ref="H159" authorId="0" shapeId="0">
      <text>
        <t>Quantidade da técnica do personagem. Não muda os limites das entidades. Campanha em branco usa o livro; Neutras é o total válido menos Livres e Fechadas.</t>
      </text>
    </comment>
    <comment ref="H160" authorId="0" shapeId="0">
      <text>
        <t>Quantidade da técnica do personagem. Não muda os limites das entidades. Campanha em branco usa o livro; Neutras é o total válido menos Livres e Fechadas.</t>
      </text>
    </comment>
    <comment ref="T160" authorId="0" shapeId="0">
      <text>
        <t>Nome único. Capacidades apontam para o nome da Origem, do livro ou custom.</t>
      </text>
    </comment>
    <comment ref="AB160" authorId="0" shapeId="0">
      <text>
        <t>Nome único. Capacidades apontam para o nome da Origem, do livro ou custom.</t>
      </text>
    </comment>
    <comment ref="C162" authorId="0" shapeId="0">
      <text>
        <t>Aviso de quantidades incompatíveis ou de entrada inválida. Não concede Famílias adicionais.</t>
      </text>
    </comment>
    <comment ref="V162"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162"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HP162" authorId="0" shapeId="0">
      <text>
        <t>Exigências completas do Talento de entidade. Texto livre não cria automações.</t>
      </text>
    </comment>
    <comment ref="HX162" authorId="0" shapeId="0">
      <text>
        <t>Exigências completas do Talento de entidade. Texto livre não cria automações.</t>
      </text>
    </comment>
    <comment ref="V163"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163"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HP163" authorId="0" shapeId="0">
      <text>
        <t>Exigências completas do Talento de entidade. Texto livre não cria automações.</t>
      </text>
    </comment>
    <comment ref="HX163" authorId="0" shapeId="0">
      <text>
        <t>Exigências completas do Talento de entidade. Texto livre não cria automações.</t>
      </text>
    </comment>
    <comment ref="V164"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164"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V165"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165"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V166" authorId="0" shapeId="0">
      <text>
        <t>Campos por tipo: Origem: ROTA; Marcante: não usado; Menor: não usado; Arma: PROPRIEDADE 2; Escudo: não usado; Uniforme: não usado; Item comum: não usado; Ferramenta amaldiçoada: não usado.</t>
      </text>
    </comment>
    <comment ref="AD166" authorId="0" shapeId="0">
      <text>
        <t>Campos por tipo: Origem: ROTA; Marcante: não usado; Menor: não usado; Arma: PROPRIEDADE 2; Escudo: não usado; Uniforme: não usado; Item comum: não usado; Ferramenta amaldiçoada: não usado.</t>
      </text>
    </comment>
    <comment ref="V167"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167"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DV167" authorId="0" shapeId="0">
      <text>
        <t>Lembrete marcado pelo jogador. Aprovação ocorre pelo bot no chat.</t>
      </text>
    </comment>
    <comment ref="ED167" authorId="0" shapeId="0">
      <text>
        <t>Lembrete marcado pelo jogador. Aprovação ocorre pelo bot no chat.</t>
      </text>
    </comment>
    <comment ref="HP167" authorId="0" shapeId="0">
      <text>
        <t>Descrição completa, exibida na carta existente. Em branco com base, usa o texto do livro.</t>
      </text>
    </comment>
    <comment ref="HX167" authorId="0" shapeId="0">
      <text>
        <t>Descrição completa, exibida na carta existente. Em branco com base, usa o texto do livro.</t>
      </text>
    </comment>
    <comment ref="V168" authorId="0" shapeId="0">
      <text>
        <t>Campos por tipo: Origem: OFÍCIO; Marcante: não usado; Menor: não usado; Arma: PROPRIEDADE 4; Escudo: não usado; Uniforme: não usado; Item comum: não usado; Ferramenta amaldiçoada: não usado.</t>
      </text>
    </comment>
    <comment ref="AD168" authorId="0" shapeId="0">
      <text>
        <t>Campos por tipo: Origem: OFÍCIO; Marcante: não usado; Menor: não usado; Arma: PROPRIEDADE 4; Escudo: não usado; Uniforme: não usado; Item comum: não usado; Ferramenta amaldiçoada: não usado.</t>
      </text>
    </comment>
    <comment ref="HP168" authorId="0" shapeId="0">
      <text>
        <t>Descrição completa, exibida na carta existente. Em branco com base, usa o texto do livro.</t>
      </text>
    </comment>
    <comment ref="HX168" authorId="0" shapeId="0">
      <text>
        <t>Descrição completa, exibida na carta existente. Em branco com base, usa o texto do livro.</t>
      </text>
    </comment>
    <comment ref="V169" authorId="0" shapeId="0">
      <text>
        <t>Campos por tipo: Origem: TALENTO CE 4; Marcante: FREQUÊNCIA; Menor: FREQUÊNCIA; Arma: DADO; Escudo: PROTEÇÃO; Uniforme: PROTEÇÃO; Item comum: VOLUME; Ferramenta amaldiçoada: ESTIGMA.</t>
      </text>
    </comment>
    <comment ref="AD169" authorId="0" shapeId="0">
      <text>
        <t>Campos por tipo: Origem: TALENTO CE 4; Marcante: FREQUÊNCIA; Menor: FREQUÊNCIA; Arma: DADO; Escudo: PROTEÇÃO; Uniforme: PROTEÇÃO; Item comum: VOLUME; Ferramenta amaldiçoada: ESTIGMA.</t>
      </text>
    </comment>
    <comment ref="DA169" authorId="0" shapeId="0">
      <text>
        <t>Condição usa este mesmo cadastro e orçamento de Melhoria. Família em branco usa a base ou Controle sem base; EXIGE TR deve ficar vazio ou Sim. Peso e efeito seguem os campos deste cartão. Texto não executa regras.</t>
      </text>
    </comment>
    <comment ref="DE169" authorId="0" shapeId="0">
      <text>
        <t>Lembrete marcado pelo jogador. Aprovação ocorre pelo bot no chat.</t>
      </text>
    </comment>
    <comment ref="DI169" authorId="0" shapeId="0">
      <text>
        <t>Condição usa este mesmo cadastro e orçamento de Melhoria. Família em branco usa a base ou Controle sem base; EXIGE TR deve ficar vazio ou Sim. Peso e efeito seguem os campos deste cartão. Texto não executa regras.</t>
      </text>
    </comment>
    <comment ref="DM169" authorId="0" shapeId="0">
      <text>
        <t>Lembrete marcado pelo jogador. Aprovação ocorre pelo bot no chat.</t>
      </text>
    </comment>
    <comment ref="V170" authorId="0" shapeId="0">
      <text>
        <t>Campos por tipo: Origem: não usado; Marcante: não usado; Menor: não usado; Arma: FORÇA; Escudo: TETO DE DESTREZA; Uniforme: TETO DE DESTREZA; Item comum: PREÇO; Ferramenta amaldiçoada: DESGASTE.</t>
      </text>
    </comment>
    <comment ref="AD170" authorId="0" shapeId="0">
      <text>
        <t>Campos por tipo: Origem: não usado; Marcante: não usado; Menor: não usado; Arma: FORÇA; Escudo: TETO DE DESTREZA; Uniforme: TETO DE DESTREZA; Item comum: PREÇO; Ferramenta amaldiçoada: DESGASTE.</t>
      </text>
    </comment>
    <comment ref="EC170" authorId="0" shapeId="0">
      <text>
        <t>Opcional. Nenhuma cria do zero. Com base, campos em branco e verificações específicas herdam o livro. Texto livre não cria automações.</t>
      </text>
    </comment>
    <comment ref="V171" authorId="0" shapeId="0">
      <text>
        <t>Campos por tipo: Origem: não usado; Marcante: não usado; Menor: não usado; Arma: VOLUME; Escudo: FORÇA; Uniforme: FORÇA; Item comum: não usado; Ferramenta amaldiçoada: VOLUME.</t>
      </text>
    </comment>
    <comment ref="AD171" authorId="0" shapeId="0">
      <text>
        <t>Campos por tipo: Origem: não usado; Marcante: não usado; Menor: não usado; Arma: VOLUME; Escudo: FORÇA; Uniforme: FORÇA; Item comum: não usado; Ferramenta amaldiçoada: VOLUME.</t>
      </text>
    </comment>
    <comment ref="DU171" authorId="0" shapeId="0">
      <text>
        <t>Em branco herda a base. Sem base, escolha Leve ou Média. Restrição paga Melhorias, nunca a Forma, e conserva o teto e o limite de Restrições.</t>
      </text>
    </comment>
    <comment ref="EC171" authorId="0" shapeId="0">
      <text>
        <t>Em branco herda a base. Sem base, escolha Leve ou Média. Restrição paga Melhorias, nunca a Forma, e conserva o teto e o limite de Restrições.</t>
      </text>
    </comment>
    <comment ref="V172" authorId="0" shapeId="0">
      <text>
        <t>Campos por tipo: Origem: não usado; Marcante: não usado; Menor: não usado; Arma: ALCANCE; Escudo: VOLUME; Uniforme: VOLUME; Item comum: não usado; Ferramenta amaldiçoada: PREÇO.</t>
      </text>
    </comment>
    <comment ref="AD172" authorId="0" shapeId="0">
      <text>
        <t>Campos por tipo: Origem: não usado; Marcante: não usado; Menor: não usado; Arma: ALCANCE; Escudo: VOLUME; Uniforme: VOLUME; Item comum: não usado; Ferramenta amaldiçoada: PREÇO.</t>
      </text>
    </comment>
    <comment ref="DL172" authorId="0" shapeId="0">
      <text>
        <t>Opcional. Nenhuma cria do zero. Com base, campos em branco e verificações específicas herdam o livro. Texto livre não cria automações.</t>
      </text>
    </comment>
    <comment ref="DU172" authorId="0" shapeId="0">
      <text>
        <t>Em branco herda a base. Sim identifica Restrição de frequência; duas de frequência continuam incompatíveis.</t>
      </text>
    </comment>
    <comment ref="EC172" authorId="0" shapeId="0">
      <text>
        <t>Em branco herda a base. Sim identifica Restrição de frequência; duas de frequência continuam incompatíveis.</t>
      </text>
    </comment>
    <comment ref="V173" authorId="0" shapeId="0">
      <text>
        <t>Campos por tipo: Origem: não usado; Marcante: não usado; Menor: não usado; Arma: RECARGA; Escudo: PREÇO; Uniforme: PREÇO; Item comum: não usado; Ferramenta amaldiçoada: não usado.</t>
      </text>
    </comment>
    <comment ref="AD173" authorId="0" shapeId="0">
      <text>
        <t>Campos por tipo: Origem: não usado; Marcante: não usado; Menor: não usado; Arma: RECARGA; Escudo: PREÇO; Uniforme: PREÇO; Item comum: não usado; Ferramenta amaldiçoada: não usado.</t>
      </text>
    </comment>
    <comment ref="DD173" authorId="0" shapeId="0">
      <text>
        <t>Em branco herda a base; Nenhuma remove a Família. A técnica usa o estado cadastrado; entidades usam suas próprias Famílias abertas.</t>
      </text>
    </comment>
    <comment ref="DL173" authorId="0" shapeId="0">
      <text>
        <t>Em branco herda a base; Nenhuma remove a Família. A técnica usa o estado cadastrado; entidades usam suas próprias Famílias abertas.</t>
      </text>
    </comment>
    <comment ref="V174" authorId="0" shapeId="0">
      <text>
        <t>Campos por tipo: Origem: não usado; Marcante: não usado; Menor: não usado; Arma: PREÇO; Escudo: não usado; Uniforme: não usado; Item comum: não usado; Ferramenta amaldiçoada: não usado.</t>
      </text>
    </comment>
    <comment ref="AD174" authorId="0" shapeId="0">
      <text>
        <t>Campos por tipo: Origem: não usado; Marcante: não usado; Menor: não usado; Arma: PREÇO; Escudo: não usado; Uniforme: não usado; Item comum: não usado; Ferramenta amaldiçoada: não usado.</t>
      </text>
    </comment>
    <comment ref="DD174" authorId="0" shapeId="0">
      <text>
        <t>Em branco herda a base. Sem base, escolha Leve, Média ou Pesada. Preços e desconto seguem a Classe da ficha.</t>
      </text>
    </comment>
    <comment ref="DL174" authorId="0" shapeId="0">
      <text>
        <t>Em branco herda a base. Sem base, escolha Leve, Média ou Pesada. Preços e desconto seguem a Classe da ficha.</t>
      </text>
    </comment>
    <comment ref="T175" authorId="0" shapeId="0">
      <text>
        <t>Texto integral. Descreve regras; não interpreta a prosa como cálculo.</t>
      </text>
    </comment>
    <comment ref="AB175" authorId="0" shapeId="0">
      <text>
        <t>Texto integral. Descreve regras; não interpreta a prosa como cálculo.</t>
      </text>
    </comment>
    <comment ref="DD175" authorId="0" shapeId="0">
      <text>
        <t>Em branco herda a base. Sim indica que o efeito exige TR, inclusive em Forma de ataque.</t>
      </text>
    </comment>
    <comment ref="DL175" authorId="0" shapeId="0">
      <text>
        <t>Em branco herda a base. Sim indica que o efeito exige TR, inclusive em Forma de ataque.</t>
      </text>
    </comment>
    <comment ref="DR175" authorId="0" shapeId="0">
      <text>
        <t>Exigência, momento de cumprir, duração e incompatibilidades. Texto livre não é executado como fórmula.</t>
      </text>
    </comment>
    <comment ref="DZ175" authorId="0" shapeId="0">
      <text>
        <t>Exigência, momento de cumprir, duração e incompatibilidades. Texto livre não é executado como fórmula.</t>
      </text>
    </comment>
    <comment ref="HP177" authorId="0" shapeId="0">
      <text>
        <t>Problema do cadastro. Cadastros com problema ficam fora dos menus da ficha.</t>
      </text>
    </comment>
    <comment ref="HX177" authorId="0" shapeId="0">
      <text>
        <t>Problema do cadastro. Cadastros com problema ficam fora dos menus da ficha.</t>
      </text>
    </comment>
    <comment ref="DA178" authorId="0" shapeId="0">
      <text>
        <t>Descreva requisitos, incompatibilidades e limite de compras. Verificações da base continuam; texto livre é conferido pelo mestre e pelo bot.</t>
      </text>
    </comment>
    <comment ref="DI178" authorId="0" shapeId="0">
      <text>
        <t>Descreva requisitos, incompatibilidades e limite de compras. Verificações da base continuam; texto livre é conferido pelo mestre e pelo bot.</t>
      </text>
    </comment>
    <comment ref="HP180" authorId="0" shapeId="0">
      <text>
        <t>Nome único. O menu da ficha reunirá o livro e os cadastros válidos.</t>
      </text>
    </comment>
    <comment ref="HX180" authorId="0" shapeId="0">
      <text>
        <t>Nome único. O menu da ficha reunirá o livro e os cadastros válidos.</t>
      </text>
    </comment>
    <comment ref="HP181" authorId="0" shapeId="0">
      <text>
        <t>Nome próprio do conteúdo criado com o mestre.</t>
      </text>
    </comment>
    <comment ref="HT181" authorId="0" shapeId="0">
      <text>
        <t>Lembrete marcado pelo jogador; aprovação é feita pelo bot, no chat.</t>
      </text>
    </comment>
    <comment ref="HX181" authorId="0" shapeId="0">
      <text>
        <t>Nome próprio do conteúdo criado com o mestre.</t>
      </text>
    </comment>
    <comment ref="IB181" authorId="0" shapeId="0">
      <text>
        <t>Lembrete marcado pelo jogador; aprovação é feita pelo bot, no chat.</t>
      </text>
    </comment>
    <comment ref="IA183" authorId="0" shapeId="0">
      <text>
        <t>Opcional. Em branco nos demais campos, uma base herda as automações do livro. Nenhuma permite conteúdo próprio. O texto não é interpretado como fórmula.</t>
      </text>
    </comment>
    <comment ref="DA184" authorId="0" shapeId="0">
      <text>
        <t>Efeito completo da Melhoria. Números do personagem sem campo próprio são registrados em BÔNUS E MUDANÇAS.</t>
      </text>
    </comment>
    <comment ref="DI184" authorId="0" shapeId="0">
      <text>
        <t>Efeito completo da Melhoria. Números do personagem sem campo próprio são registrados em BÔNUS E MUDANÇAS.</t>
      </text>
    </comment>
    <comment ref="HS184" authorId="0" shapeId="0">
      <text>
        <t>Em branco herda a base; sem base é obrigatória. Conferida com o teto de cada ganho; as escolhas da Trilha aceitam só a Categoria 1.</t>
      </text>
    </comment>
    <comment ref="IA184" authorId="0" shapeId="0">
      <text>
        <t>Em branco herda a base; sem base é obrigatória. Conferida com o teto de cada ganho; as escolhas da Trilha aceitam só a Categoria 1.</t>
      </text>
    </comment>
    <comment ref="T187" authorId="0" shapeId="0">
      <text>
        <t>Troque o tipo e revise os valores que já estavam guardados.</t>
      </text>
    </comment>
    <comment ref="X187" authorId="0" shapeId="0">
      <text>
        <t>Lembrete do jogador; aprovação só pelo bot no chat.</t>
      </text>
    </comment>
    <comment ref="AB187" authorId="0" shapeId="0">
      <text>
        <t>Troque o tipo e revise os valores que já estavam guardados.</t>
      </text>
    </comment>
    <comment ref="AF187" authorId="0" shapeId="0">
      <text>
        <t>Lembrete do jogador; aprovação só pelo bot no chat.</t>
      </text>
    </comment>
    <comment ref="T189" authorId="0" shapeId="0">
      <text>
        <t>Nome único. Capacidades apontam para o nome da Origem, do livro ou custom.</t>
      </text>
    </comment>
    <comment ref="AB189" authorId="0" shapeId="0">
      <text>
        <t>Nome único. Capacidades apontam para o nome da Origem, do livro ou custom.</t>
      </text>
    </comment>
    <comment ref="DV189" authorId="0" shapeId="0">
      <text>
        <t>Lembrete marcado pelo jogador. Aprovação ocorre pelo bot no chat.</t>
      </text>
    </comment>
    <comment ref="ED189" authorId="0" shapeId="0">
      <text>
        <t>Lembrete marcado pelo jogador. Aprovação ocorre pelo bot no chat.</t>
      </text>
    </comment>
    <comment ref="HP190" authorId="0" shapeId="0">
      <text>
        <t>Exigências completas do Talento de entidade. Texto livre não cria automações.</t>
      </text>
    </comment>
    <comment ref="HX190" authorId="0" shapeId="0">
      <text>
        <t>Exigências completas do Talento de entidade. Texto livre não cria automações.</t>
      </text>
    </comment>
    <comment ref="V191"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191"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HP191" authorId="0" shapeId="0">
      <text>
        <t>Exigências completas do Talento de entidade. Texto livre não cria automações.</t>
      </text>
    </comment>
    <comment ref="HX191" authorId="0" shapeId="0">
      <text>
        <t>Exigências completas do Talento de entidade. Texto livre não cria automações.</t>
      </text>
    </comment>
    <comment ref="V192"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192"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EC192" authorId="0" shapeId="0">
      <text>
        <t>Opcional. Nenhuma cria do zero. Com base, campos em branco e verificações específicas herdam o livro. Texto livre não cria automações.</t>
      </text>
    </comment>
    <comment ref="V193"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193"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DU193" authorId="0" shapeId="0">
      <text>
        <t>Em branco herda a base. Sem base, escolha Leve ou Média. Restrição paga Melhorias, nunca a Forma, e conserva o teto e o limite de Restrições.</t>
      </text>
    </comment>
    <comment ref="EC193" authorId="0" shapeId="0">
      <text>
        <t>Em branco herda a base. Sem base, escolha Leve ou Média. Restrição paga Melhorias, nunca a Forma, e conserva o teto e o limite de Restrições.</t>
      </text>
    </comment>
    <comment ref="EZ193" authorId="0" shapeId="0">
      <text>
        <t>Avisos do cadastro. Inválidos permanecem exportados e saem dos menus.</t>
      </text>
    </comment>
    <comment ref="FH193" authorId="0" shapeId="0">
      <text>
        <t>Avisos do cadastro. Inválidos permanecem exportados e saem dos menus.</t>
      </text>
    </comment>
    <comment ref="V194"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194"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DU194" authorId="0" shapeId="0">
      <text>
        <t>Em branco herda a base. Sim identifica Restrição de frequência; duas de frequência continuam incompatíveis.</t>
      </text>
    </comment>
    <comment ref="EC194" authorId="0" shapeId="0">
      <text>
        <t>Em branco herda a base. Sim identifica Restrição de frequência; duas de frequência continuam incompatíveis.</t>
      </text>
    </comment>
    <comment ref="V195" authorId="0" shapeId="0">
      <text>
        <t>Campos por tipo: Origem: ROTA; Marcante: não usado; Menor: não usado; Arma: PROPRIEDADE 2; Escudo: não usado; Uniforme: não usado; Item comum: não usado; Ferramenta amaldiçoada: não usado.</t>
      </text>
    </comment>
    <comment ref="AD195" authorId="0" shapeId="0">
      <text>
        <t>Campos por tipo: Origem: ROTA; Marcante: não usado; Menor: não usado; Arma: PROPRIEDADE 2; Escudo: não usado; Uniforme: não usado; Item comum: não usado; Ferramenta amaldiçoada: não usado.</t>
      </text>
    </comment>
    <comment ref="DA195" authorId="0" shapeId="0">
      <text>
        <t>Condição usa este mesmo cadastro e orçamento de Melhoria. Família em branco usa a base ou Controle sem base; EXIGE TR deve ficar vazio ou Sim. Peso e efeito seguem os campos deste cartão. Texto não executa regras.</t>
      </text>
    </comment>
    <comment ref="DE195" authorId="0" shapeId="0">
      <text>
        <t>Lembrete marcado pelo jogador. Aprovação ocorre pelo bot no chat.</t>
      </text>
    </comment>
    <comment ref="DI195" authorId="0" shapeId="0">
      <text>
        <t>Condição usa este mesmo cadastro e orçamento de Melhoria. Família em branco usa a base ou Controle sem base; EXIGE TR deve ficar vazio ou Sim. Peso e efeito seguem os campos deste cartão. Texto não executa regras.</t>
      </text>
    </comment>
    <comment ref="DM195" authorId="0" shapeId="0">
      <text>
        <t>Lembrete marcado pelo jogador. Aprovação ocorre pelo bot no chat.</t>
      </text>
    </comment>
    <comment ref="HP195" authorId="0" shapeId="0">
      <text>
        <t>Descrição completa, exibida na carta existente. Em branco com base, usa o texto do livro.</t>
      </text>
    </comment>
    <comment ref="HX195" authorId="0" shapeId="0">
      <text>
        <t>Descrição completa, exibida na carta existente. Em branco com base, usa o texto do livro.</t>
      </text>
    </comment>
    <comment ref="V196"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196"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HP196" authorId="0" shapeId="0">
      <text>
        <t>Descrição completa, exibida na carta existente. Em branco com base, usa o texto do livro.</t>
      </text>
    </comment>
    <comment ref="HX196" authorId="0" shapeId="0">
      <text>
        <t>Descrição completa, exibida na carta existente. Em branco com base, usa o texto do livro.</t>
      </text>
    </comment>
    <comment ref="V197" authorId="0" shapeId="0">
      <text>
        <t>Campos por tipo: Origem: OFÍCIO; Marcante: não usado; Menor: não usado; Arma: PROPRIEDADE 4; Escudo: não usado; Uniforme: não usado; Item comum: não usado; Ferramenta amaldiçoada: não usado.</t>
      </text>
    </comment>
    <comment ref="AD197" authorId="0" shapeId="0">
      <text>
        <t>Campos por tipo: Origem: OFÍCIO; Marcante: não usado; Menor: não usado; Arma: PROPRIEDADE 4; Escudo: não usado; Uniforme: não usado; Item comum: não usado; Ferramenta amaldiçoada: não usado.</t>
      </text>
    </comment>
    <comment ref="DR197" authorId="0" shapeId="0">
      <text>
        <t>Exigência, momento de cumprir, duração e incompatibilidades. Texto livre não é executado como fórmula.</t>
      </text>
    </comment>
    <comment ref="DZ197" authorId="0" shapeId="0">
      <text>
        <t>Exigência, momento de cumprir, duração e incompatibilidades. Texto livre não é executado como fórmula.</t>
      </text>
    </comment>
    <comment ref="V198" authorId="0" shapeId="0">
      <text>
        <t>Campos por tipo: Origem: TALENTO CE 4; Marcante: FREQUÊNCIA; Menor: FREQUÊNCIA; Arma: DADO; Escudo: PROTEÇÃO; Uniforme: PROTEÇÃO; Item comum: VOLUME; Ferramenta amaldiçoada: ESTIGMA.</t>
      </text>
    </comment>
    <comment ref="AD198" authorId="0" shapeId="0">
      <text>
        <t>Campos por tipo: Origem: TALENTO CE 4; Marcante: FREQUÊNCIA; Menor: FREQUÊNCIA; Arma: DADO; Escudo: PROTEÇÃO; Uniforme: PROTEÇÃO; Item comum: VOLUME; Ferramenta amaldiçoada: ESTIGMA.</t>
      </text>
    </comment>
    <comment ref="DL198" authorId="0" shapeId="0">
      <text>
        <t>Opcional. Nenhuma cria do zero. Com base, campos em branco e verificações específicas herdam o livro. Texto livre não cria automações.</t>
      </text>
    </comment>
    <comment ref="FD198" authorId="0" shapeId="0">
      <text>
        <t>Lembrete. Aprovação pertence ao bot no chat.</t>
      </text>
    </comment>
    <comment ref="FL198" authorId="0" shapeId="0">
      <text>
        <t>Lembrete. Aprovação pertence ao bot no chat.</t>
      </text>
    </comment>
    <comment ref="V199" authorId="0" shapeId="0">
      <text>
        <t>Campos por tipo: Origem: não usado; Marcante: não usado; Menor: não usado; Arma: FORÇA; Escudo: TETO DE DESTREZA; Uniforme: TETO DE DESTREZA; Item comum: PREÇO; Ferramenta amaldiçoada: DESGASTE.</t>
      </text>
    </comment>
    <comment ref="AD199" authorId="0" shapeId="0">
      <text>
        <t>Campos por tipo: Origem: não usado; Marcante: não usado; Menor: não usado; Arma: FORÇA; Escudo: TETO DE DESTREZA; Uniforme: TETO DE DESTREZA; Item comum: PREÇO; Ferramenta amaldiçoada: DESGASTE.</t>
      </text>
    </comment>
    <comment ref="DD199" authorId="0" shapeId="0">
      <text>
        <t>Em branco herda a base; Nenhuma remove a Família. A técnica usa o estado cadastrado; entidades usam suas próprias Famílias abertas.</t>
      </text>
    </comment>
    <comment ref="DL199" authorId="0" shapeId="0">
      <text>
        <t>Em branco herda a base; Nenhuma remove a Família. A técnica usa o estado cadastrado; entidades usam suas próprias Famílias abertas.</t>
      </text>
    </comment>
    <comment ref="V200" authorId="0" shapeId="0">
      <text>
        <t>Campos por tipo: Origem: não usado; Marcante: não usado; Menor: não usado; Arma: VOLUME; Escudo: FORÇA; Uniforme: FORÇA; Item comum: não usado; Ferramenta amaldiçoada: VOLUME.</t>
      </text>
    </comment>
    <comment ref="AD200" authorId="0" shapeId="0">
      <text>
        <t>Campos por tipo: Origem: não usado; Marcante: não usado; Menor: não usado; Arma: VOLUME; Escudo: FORÇA; Uniforme: FORÇA; Item comum: não usado; Ferramenta amaldiçoada: VOLUME.</t>
      </text>
    </comment>
    <comment ref="DD200" authorId="0" shapeId="0">
      <text>
        <t>Em branco herda a base. Sem base, escolha Leve, Média ou Pesada. Preços e desconto seguem a Classe da ficha.</t>
      </text>
    </comment>
    <comment ref="DL200" authorId="0" shapeId="0">
      <text>
        <t>Em branco herda a base. Sem base, escolha Leve, Média ou Pesada. Preços e desconto seguem a Classe da ficha.</t>
      </text>
    </comment>
    <comment ref="V201" authorId="0" shapeId="0">
      <text>
        <t>Campos por tipo: Origem: não usado; Marcante: não usado; Menor: não usado; Arma: ALCANCE; Escudo: VOLUME; Uniforme: VOLUME; Item comum: não usado; Ferramenta amaldiçoada: PREÇO.</t>
      </text>
    </comment>
    <comment ref="AD201" authorId="0" shapeId="0">
      <text>
        <t>Campos por tipo: Origem: não usado; Marcante: não usado; Menor: não usado; Arma: ALCANCE; Escudo: VOLUME; Uniforme: VOLUME; Item comum: não usado; Ferramenta amaldiçoada: PREÇO.</t>
      </text>
    </comment>
    <comment ref="DD201" authorId="0" shapeId="0">
      <text>
        <t>Em branco herda a base. Sim indica que o efeito exige TR, inclusive em Forma de ataque.</t>
      </text>
    </comment>
    <comment ref="DL201" authorId="0" shapeId="0">
      <text>
        <t>Em branco herda a base. Sim indica que o efeito exige TR, inclusive em Forma de ataque.</t>
      </text>
    </comment>
    <comment ref="V202" authorId="0" shapeId="0">
      <text>
        <t>Campos por tipo: Origem: não usado; Marcante: não usado; Menor: não usado; Arma: RECARGA; Escudo: PREÇO; Uniforme: PREÇO; Item comum: não usado; Ferramenta amaldiçoada: não usado.</t>
      </text>
    </comment>
    <comment ref="AD202" authorId="0" shapeId="0">
      <text>
        <t>Campos por tipo: Origem: não usado; Marcante: não usado; Menor: não usado; Arma: RECARGA; Escudo: PREÇO; Uniforme: PREÇO; Item comum: não usado; Ferramenta amaldiçoada: não usado.</t>
      </text>
    </comment>
    <comment ref="V203" authorId="0" shapeId="0">
      <text>
        <t>Campos por tipo: Origem: não usado; Marcante: não usado; Menor: não usado; Arma: PREÇO; Escudo: não usado; Uniforme: não usado; Item comum: não usado; Ferramenta amaldiçoada: não usado.</t>
      </text>
    </comment>
    <comment ref="AD203" authorId="0" shapeId="0">
      <text>
        <t>Campos por tipo: Origem: não usado; Marcante: não usado; Menor: não usado; Arma: PREÇO; Escudo: não usado; Uniforme: não usado; Item comum: não usado; Ferramenta amaldiçoada: não usado.</t>
      </text>
    </comment>
    <comment ref="T204" authorId="0" shapeId="0">
      <text>
        <t>Texto integral. Descreve regras; não interpreta a prosa como cálculo.</t>
      </text>
    </comment>
    <comment ref="AB204" authorId="0" shapeId="0">
      <text>
        <t>Texto integral. Descreve regras; não interpreta a prosa como cálculo.</t>
      </text>
    </comment>
    <comment ref="DA204" authorId="0" shapeId="0">
      <text>
        <t>Descreva requisitos, incompatibilidades e limite de compras. Verificações da base continuam; texto livre é conferido pelo mestre e pelo bot.</t>
      </text>
    </comment>
    <comment ref="DI204" authorId="0" shapeId="0">
      <text>
        <t>Descreva requisitos, incompatibilidades e limite de compras. Verificações da base continuam; texto livre é conferido pelo mestre e pelo bot.</t>
      </text>
    </comment>
    <comment ref="HP205" authorId="0" shapeId="0">
      <text>
        <t>Problema do cadastro. Cadastros com problema ficam fora dos menus da ficha.</t>
      </text>
    </comment>
    <comment ref="HX205" authorId="0" shapeId="0">
      <text>
        <t>Problema do cadastro. Cadastros com problema ficam fora dos menus da ficha.</t>
      </text>
    </comment>
    <comment ref="HP208" authorId="0" shapeId="0">
      <text>
        <t>Nome único. O menu da ficha reunirá o livro e os cadastros válidos.</t>
      </text>
    </comment>
    <comment ref="HX208" authorId="0" shapeId="0">
      <text>
        <t>Nome único. O menu da ficha reunirá o livro e os cadastros válidos.</t>
      </text>
    </comment>
    <comment ref="HP209" authorId="0" shapeId="0">
      <text>
        <t>Nome próprio do conteúdo criado com o mestre.</t>
      </text>
    </comment>
    <comment ref="HT209" authorId="0" shapeId="0">
      <text>
        <t>Lembrete marcado pelo jogador; aprovação é feita pelo bot, no chat.</t>
      </text>
    </comment>
    <comment ref="HX209" authorId="0" shapeId="0">
      <text>
        <t>Nome próprio do conteúdo criado com o mestre.</t>
      </text>
    </comment>
    <comment ref="IB209" authorId="0" shapeId="0">
      <text>
        <t>Lembrete marcado pelo jogador; aprovação é feita pelo bot, no chat.</t>
      </text>
    </comment>
    <comment ref="DA210" authorId="0" shapeId="0">
      <text>
        <t>Efeito completo da Melhoria. Números do personagem sem campo próprio são registrados em BÔNUS E MUDANÇAS.</t>
      </text>
    </comment>
    <comment ref="DI210" authorId="0" shapeId="0">
      <text>
        <t>Efeito completo da Melhoria. Números do personagem sem campo próprio são registrados em BÔNUS E MUDANÇAS.</t>
      </text>
    </comment>
    <comment ref="DV211" authorId="0" shapeId="0">
      <text>
        <t>Lembrete marcado pelo jogador. Aprovação ocorre pelo bot no chat.</t>
      </text>
    </comment>
    <comment ref="ED211" authorId="0" shapeId="0">
      <text>
        <t>Lembrete marcado pelo jogador. Aprovação ocorre pelo bot no chat.</t>
      </text>
    </comment>
    <comment ref="IA211" authorId="0" shapeId="0">
      <text>
        <t>Opcional. Em branco nos demais campos, uma base herda as automações do livro. Nenhuma permite conteúdo próprio. O texto não é interpretado como fórmula.</t>
      </text>
    </comment>
    <comment ref="HS212" authorId="0" shapeId="0">
      <text>
        <t>Em branco herda a base; sem base é obrigatória. Conferida com o teto de cada ganho; as escolhas da Trilha aceitam só a Categoria 1.</t>
      </text>
    </comment>
    <comment ref="IA212" authorId="0" shapeId="0">
      <text>
        <t>Em branco herda a base; sem base é obrigatória. Conferida com o teto de cada ganho; as escolhas da Trilha aceitam só a Categoria 1.</t>
      </text>
    </comment>
    <comment ref="EC214" authorId="0" shapeId="0">
      <text>
        <t>Opcional. Nenhuma cria do zero. Com base, campos em branco e verificações específicas herdam o livro. Texto livre não cria automações.</t>
      </text>
    </comment>
    <comment ref="DU215" authorId="0" shapeId="0">
      <text>
        <t>Em branco herda a base. Sem base, escolha Leve ou Média. Restrição paga Melhorias, nunca a Forma, e conserva o teto e o limite de Restrições.</t>
      </text>
    </comment>
    <comment ref="EC215" authorId="0" shapeId="0">
      <text>
        <t>Em branco herda a base. Sem base, escolha Leve ou Média. Restrição paga Melhorias, nunca a Forma, e conserva o teto e o limite de Restrições.</t>
      </text>
    </comment>
    <comment ref="T216" authorId="0" shapeId="0">
      <text>
        <t>Troque o tipo e revise os valores que já estavam guardados.</t>
      </text>
    </comment>
    <comment ref="X216" authorId="0" shapeId="0">
      <text>
        <t>Lembrete do jogador; aprovação só pelo bot no chat.</t>
      </text>
    </comment>
    <comment ref="AB216" authorId="0" shapeId="0">
      <text>
        <t>Troque o tipo e revise os valores que já estavam guardados.</t>
      </text>
    </comment>
    <comment ref="AF216" authorId="0" shapeId="0">
      <text>
        <t>Lembrete do jogador; aprovação só pelo bot no chat.</t>
      </text>
    </comment>
    <comment ref="DU216" authorId="0" shapeId="0">
      <text>
        <t>Em branco herda a base. Sim identifica Restrição de frequência; duas de frequência continuam incompatíveis.</t>
      </text>
    </comment>
    <comment ref="EC216" authorId="0" shapeId="0">
      <text>
        <t>Em branco herda a base. Sim identifica Restrição de frequência; duas de frequência continuam incompatíveis.</t>
      </text>
    </comment>
    <comment ref="T218" authorId="0" shapeId="0">
      <text>
        <t>Nome único. Capacidades apontam para o nome da Origem, do livro ou custom.</t>
      </text>
    </comment>
    <comment ref="AB218" authorId="0" shapeId="0">
      <text>
        <t>Nome único. Capacidades apontam para o nome da Origem, do livro ou custom.</t>
      </text>
    </comment>
    <comment ref="HP218" authorId="0" shapeId="0">
      <text>
        <t>Exigências completas do Talento de entidade. Texto livre não cria automações.</t>
      </text>
    </comment>
    <comment ref="HX218" authorId="0" shapeId="0">
      <text>
        <t>Exigências completas do Talento de entidade. Texto livre não cria automações.</t>
      </text>
    </comment>
    <comment ref="DR219" authorId="0" shapeId="0">
      <text>
        <t>Exigência, momento de cumprir, duração e incompatibilidades. Texto livre não é executado como fórmula.</t>
      </text>
    </comment>
    <comment ref="DZ219" authorId="0" shapeId="0">
      <text>
        <t>Exigência, momento de cumprir, duração e incompatibilidades. Texto livre não é executado como fórmula.</t>
      </text>
    </comment>
    <comment ref="HP219" authorId="0" shapeId="0">
      <text>
        <t>Exigências completas do Talento de entidade. Texto livre não cria automações.</t>
      </text>
    </comment>
    <comment ref="HX219" authorId="0" shapeId="0">
      <text>
        <t>Exigências completas do Talento de entidade. Texto livre não cria automações.</t>
      </text>
    </comment>
    <comment ref="V220"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220"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V221"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221"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A221" authorId="0" shapeId="0">
      <text>
        <t>Condição usa este mesmo cadastro e orçamento de Melhoria. Família em branco usa a base ou Controle sem base; EXIGE TR deve ficar vazio ou Sim. Peso e efeito seguem os campos deste cartão. Texto não executa regras.</t>
      </text>
    </comment>
    <comment ref="DE221" authorId="0" shapeId="0">
      <text>
        <t>Lembrete marcado pelo jogador. Aprovação ocorre pelo bot no chat.</t>
      </text>
    </comment>
    <comment ref="DI221" authorId="0" shapeId="0">
      <text>
        <t>Condição usa este mesmo cadastro e orçamento de Melhoria. Família em branco usa a base ou Controle sem base; EXIGE TR deve ficar vazio ou Sim. Peso e efeito seguem os campos deste cartão. Texto não executa regras.</t>
      </text>
    </comment>
    <comment ref="DM221" authorId="0" shapeId="0">
      <text>
        <t>Lembrete marcado pelo jogador. Aprovação ocorre pelo bot no chat.</t>
      </text>
    </comment>
    <comment ref="V222"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222"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V223"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223"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HP223" authorId="0" shapeId="0">
      <text>
        <t>Descrição completa, exibida na carta existente. Em branco com base, usa o texto do livro.</t>
      </text>
    </comment>
    <comment ref="HX223" authorId="0" shapeId="0">
      <text>
        <t>Descrição completa, exibida na carta existente. Em branco com base, usa o texto do livro.</t>
      </text>
    </comment>
    <comment ref="V224" authorId="0" shapeId="0">
      <text>
        <t>Campos por tipo: Origem: ROTA; Marcante: não usado; Menor: não usado; Arma: PROPRIEDADE 2; Escudo: não usado; Uniforme: não usado; Item comum: não usado; Ferramenta amaldiçoada: não usado.</t>
      </text>
    </comment>
    <comment ref="AD224" authorId="0" shapeId="0">
      <text>
        <t>Campos por tipo: Origem: ROTA; Marcante: não usado; Menor: não usado; Arma: PROPRIEDADE 2; Escudo: não usado; Uniforme: não usado; Item comum: não usado; Ferramenta amaldiçoada: não usado.</t>
      </text>
    </comment>
    <comment ref="DL224" authorId="0" shapeId="0">
      <text>
        <t>Opcional. Nenhuma cria do zero. Com base, campos em branco e verificações específicas herdam o livro. Texto livre não cria automações.</t>
      </text>
    </comment>
    <comment ref="HP224" authorId="0" shapeId="0">
      <text>
        <t>Descrição completa, exibida na carta existente. Em branco com base, usa o texto do livro.</t>
      </text>
    </comment>
    <comment ref="HX224" authorId="0" shapeId="0">
      <text>
        <t>Descrição completa, exibida na carta existente. Em branco com base, usa o texto do livro.</t>
      </text>
    </comment>
    <comment ref="V225"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225"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DD225" authorId="0" shapeId="0">
      <text>
        <t>Em branco herda a base; Nenhuma remove a Família. A técnica usa o estado cadastrado; entidades usam suas próprias Famílias abertas.</t>
      </text>
    </comment>
    <comment ref="DL225" authorId="0" shapeId="0">
      <text>
        <t>Em branco herda a base; Nenhuma remove a Família. A técnica usa o estado cadastrado; entidades usam suas próprias Famílias abertas.</t>
      </text>
    </comment>
    <comment ref="V226" authorId="0" shapeId="0">
      <text>
        <t>Campos por tipo: Origem: OFÍCIO; Marcante: não usado; Menor: não usado; Arma: PROPRIEDADE 4; Escudo: não usado; Uniforme: não usado; Item comum: não usado; Ferramenta amaldiçoada: não usado.</t>
      </text>
    </comment>
    <comment ref="AD226" authorId="0" shapeId="0">
      <text>
        <t>Campos por tipo: Origem: OFÍCIO; Marcante: não usado; Menor: não usado; Arma: PROPRIEDADE 4; Escudo: não usado; Uniforme: não usado; Item comum: não usado; Ferramenta amaldiçoada: não usado.</t>
      </text>
    </comment>
    <comment ref="DD226" authorId="0" shapeId="0">
      <text>
        <t>Em branco herda a base. Sem base, escolha Leve, Média ou Pesada. Preços e desconto seguem a Classe da ficha.</t>
      </text>
    </comment>
    <comment ref="DL226" authorId="0" shapeId="0">
      <text>
        <t>Em branco herda a base. Sem base, escolha Leve, Média ou Pesada. Preços e desconto seguem a Classe da ficha.</t>
      </text>
    </comment>
    <comment ref="V227" authorId="0" shapeId="0">
      <text>
        <t>Campos por tipo: Origem: TALENTO CE 4; Marcante: FREQUÊNCIA; Menor: FREQUÊNCIA; Arma: DADO; Escudo: PROTEÇÃO; Uniforme: PROTEÇÃO; Item comum: VOLUME; Ferramenta amaldiçoada: ESTIGMA.</t>
      </text>
    </comment>
    <comment ref="AD227" authorId="0" shapeId="0">
      <text>
        <t>Campos por tipo: Origem: TALENTO CE 4; Marcante: FREQUÊNCIA; Menor: FREQUÊNCIA; Arma: DADO; Escudo: PROTEÇÃO; Uniforme: PROTEÇÃO; Item comum: VOLUME; Ferramenta amaldiçoada: ESTIGMA.</t>
      </text>
    </comment>
    <comment ref="DD227" authorId="0" shapeId="0">
      <text>
        <t>Em branco herda a base. Sim indica que o efeito exige TR, inclusive em Forma de ataque.</t>
      </text>
    </comment>
    <comment ref="DL227" authorId="0" shapeId="0">
      <text>
        <t>Em branco herda a base. Sim indica que o efeito exige TR, inclusive em Forma de ataque.</t>
      </text>
    </comment>
    <comment ref="V228" authorId="0" shapeId="0">
      <text>
        <t>Campos por tipo: Origem: não usado; Marcante: não usado; Menor: não usado; Arma: FORÇA; Escudo: TETO DE DESTREZA; Uniforme: TETO DE DESTREZA; Item comum: PREÇO; Ferramenta amaldiçoada: DESGASTE.</t>
      </text>
    </comment>
    <comment ref="AD228" authorId="0" shapeId="0">
      <text>
        <t>Campos por tipo: Origem: não usado; Marcante: não usado; Menor: não usado; Arma: FORÇA; Escudo: TETO DE DESTREZA; Uniforme: TETO DE DESTREZA; Item comum: PREÇO; Ferramenta amaldiçoada: DESGASTE.</t>
      </text>
    </comment>
    <comment ref="V229" authorId="0" shapeId="0">
      <text>
        <t>Campos por tipo: Origem: não usado; Marcante: não usado; Menor: não usado; Arma: VOLUME; Escudo: FORÇA; Uniforme: FORÇA; Item comum: não usado; Ferramenta amaldiçoada: VOLUME.</t>
      </text>
    </comment>
    <comment ref="AD229" authorId="0" shapeId="0">
      <text>
        <t>Campos por tipo: Origem: não usado; Marcante: não usado; Menor: não usado; Arma: VOLUME; Escudo: FORÇA; Uniforme: FORÇA; Item comum: não usado; Ferramenta amaldiçoada: VOLUME.</t>
      </text>
    </comment>
    <comment ref="V230" authorId="0" shapeId="0">
      <text>
        <t>Campos por tipo: Origem: não usado; Marcante: não usado; Menor: não usado; Arma: ALCANCE; Escudo: VOLUME; Uniforme: VOLUME; Item comum: não usado; Ferramenta amaldiçoada: PREÇO.</t>
      </text>
    </comment>
    <comment ref="AD230" authorId="0" shapeId="0">
      <text>
        <t>Campos por tipo: Origem: não usado; Marcante: não usado; Menor: não usado; Arma: ALCANCE; Escudo: VOLUME; Uniforme: VOLUME; Item comum: não usado; Ferramenta amaldiçoada: PREÇO.</t>
      </text>
    </comment>
    <comment ref="DA230" authorId="0" shapeId="0">
      <text>
        <t>Descreva requisitos, incompatibilidades e limite de compras. Verificações da base continuam; texto livre é conferido pelo mestre e pelo bot.</t>
      </text>
    </comment>
    <comment ref="DI230" authorId="0" shapeId="0">
      <text>
        <t>Descreva requisitos, incompatibilidades e limite de compras. Verificações da base continuam; texto livre é conferido pelo mestre e pelo bot.</t>
      </text>
    </comment>
    <comment ref="V231" authorId="0" shapeId="0">
      <text>
        <t>Campos por tipo: Origem: não usado; Marcante: não usado; Menor: não usado; Arma: RECARGA; Escudo: PREÇO; Uniforme: PREÇO; Item comum: não usado; Ferramenta amaldiçoada: não usado.</t>
      </text>
    </comment>
    <comment ref="AD231" authorId="0" shapeId="0">
      <text>
        <t>Campos por tipo: Origem: não usado; Marcante: não usado; Menor: não usado; Arma: RECARGA; Escudo: PREÇO; Uniforme: PREÇO; Item comum: não usado; Ferramenta amaldiçoada: não usado.</t>
      </text>
    </comment>
    <comment ref="V232" authorId="0" shapeId="0">
      <text>
        <t>Campos por tipo: Origem: não usado; Marcante: não usado; Menor: não usado; Arma: PREÇO; Escudo: não usado; Uniforme: não usado; Item comum: não usado; Ferramenta amaldiçoada: não usado.</t>
      </text>
    </comment>
    <comment ref="AD232" authorId="0" shapeId="0">
      <text>
        <t>Campos por tipo: Origem: não usado; Marcante: não usado; Menor: não usado; Arma: PREÇO; Escudo: não usado; Uniforme: não usado; Item comum: não usado; Ferramenta amaldiçoada: não usado.</t>
      </text>
    </comment>
    <comment ref="T233" authorId="0" shapeId="0">
      <text>
        <t>Texto integral. Descreve regras; não interpreta a prosa como cálculo.</t>
      </text>
    </comment>
    <comment ref="AB233" authorId="0" shapeId="0">
      <text>
        <t>Texto integral. Descreve regras; não interpreta a prosa como cálculo.</t>
      </text>
    </comment>
    <comment ref="DV233" authorId="0" shapeId="0">
      <text>
        <t>Lembrete marcado pelo jogador. Aprovação ocorre pelo bot no chat.</t>
      </text>
    </comment>
    <comment ref="ED233" authorId="0" shapeId="0">
      <text>
        <t>Lembrete marcado pelo jogador. Aprovação ocorre pelo bot no chat.</t>
      </text>
    </comment>
    <comment ref="HP233" authorId="0" shapeId="0">
      <text>
        <t>Problema do cadastro. Cadastros com problema ficam fora dos menus da ficha.</t>
      </text>
    </comment>
    <comment ref="HX233" authorId="0" shapeId="0">
      <text>
        <t>Problema do cadastro. Cadastros com problema ficam fora dos menus da ficha.</t>
      </text>
    </comment>
    <comment ref="DA236" authorId="0" shapeId="0">
      <text>
        <t>Efeito completo da Melhoria. Números do personagem sem campo próprio são registrados em BÔNUS E MUDANÇAS.</t>
      </text>
    </comment>
    <comment ref="DI236" authorId="0" shapeId="0">
      <text>
        <t>Efeito completo da Melhoria. Números do personagem sem campo próprio são registrados em BÔNUS E MUDANÇAS.</t>
      </text>
    </comment>
    <comment ref="EC236" authorId="0" shapeId="0">
      <text>
        <t>Opcional. Nenhuma cria do zero. Com base, campos em branco e verificações específicas herdam o livro. Texto livre não cria automações.</t>
      </text>
    </comment>
    <comment ref="HP236" authorId="0" shapeId="0">
      <text>
        <t>Nome único. O menu da ficha reunirá o livro e os cadastros válidos.</t>
      </text>
    </comment>
    <comment ref="HX236" authorId="0" shapeId="0">
      <text>
        <t>Nome único. O menu da ficha reunirá o livro e os cadastros válidos.</t>
      </text>
    </comment>
    <comment ref="DU237" authorId="0" shapeId="0">
      <text>
        <t>Em branco herda a base. Sem base, escolha Leve ou Média. Restrição paga Melhorias, nunca a Forma, e conserva o teto e o limite de Restrições.</t>
      </text>
    </comment>
    <comment ref="EC237" authorId="0" shapeId="0">
      <text>
        <t>Em branco herda a base. Sem base, escolha Leve ou Média. Restrição paga Melhorias, nunca a Forma, e conserva o teto e o limite de Restrições.</t>
      </text>
    </comment>
    <comment ref="HP237" authorId="0" shapeId="0">
      <text>
        <t>Nome próprio do conteúdo criado com o mestre.</t>
      </text>
    </comment>
    <comment ref="HT237" authorId="0" shapeId="0">
      <text>
        <t>Lembrete marcado pelo jogador; aprovação é feita pelo bot, no chat.</t>
      </text>
    </comment>
    <comment ref="HX237" authorId="0" shapeId="0">
      <text>
        <t>Nome próprio do conteúdo criado com o mestre.</t>
      </text>
    </comment>
    <comment ref="IB237" authorId="0" shapeId="0">
      <text>
        <t>Lembrete marcado pelo jogador; aprovação é feita pelo bot, no chat.</t>
      </text>
    </comment>
    <comment ref="DU238" authorId="0" shapeId="0">
      <text>
        <t>Em branco herda a base. Sim identifica Restrição de frequência; duas de frequência continuam incompatíveis.</t>
      </text>
    </comment>
    <comment ref="EC238" authorId="0" shapeId="0">
      <text>
        <t>Em branco herda a base. Sim identifica Restrição de frequência; duas de frequência continuam incompatíveis.</t>
      </text>
    </comment>
    <comment ref="EZ239" authorId="0" shapeId="0">
      <text>
        <t>Avisos do cadastro. Inválidos permanecem exportados e saem dos menus.</t>
      </text>
    </comment>
    <comment ref="FH239" authorId="0" shapeId="0">
      <text>
        <t>Avisos do cadastro. Inválidos permanecem exportados e saem dos menus.</t>
      </text>
    </comment>
    <comment ref="IA239" authorId="0" shapeId="0">
      <text>
        <t>Opcional. Em branco nos demais campos, uma base herda as automações do livro. Nenhuma permite conteúdo próprio. O texto não é interpretado como fórmula.</t>
      </text>
    </comment>
    <comment ref="HS240" authorId="0" shapeId="0">
      <text>
        <t>Em branco herda a base; sem base é obrigatória. Conferida com o teto de cada ganho; as escolhas da Trilha aceitam só a Categoria 1.</t>
      </text>
    </comment>
    <comment ref="IA240" authorId="0" shapeId="0">
      <text>
        <t>Em branco herda a base; sem base é obrigatória. Conferida com o teto de cada ganho; as escolhas da Trilha aceitam só a Categoria 1.</t>
      </text>
    </comment>
    <comment ref="DR241" authorId="0" shapeId="0">
      <text>
        <t>Exigência, momento de cumprir, duração e incompatibilidades. Texto livre não é executado como fórmula.</t>
      </text>
    </comment>
    <comment ref="DZ241" authorId="0" shapeId="0">
      <text>
        <t>Exigência, momento de cumprir, duração e incompatibilidades. Texto livre não é executado como fórmula.</t>
      </text>
    </comment>
    <comment ref="T245" authorId="0" shapeId="0">
      <text>
        <t>Troque o tipo e revise os valores que já estavam guardados.</t>
      </text>
    </comment>
    <comment ref="X245" authorId="0" shapeId="0">
      <text>
        <t>Lembrete do jogador; aprovação só pelo bot no chat.</t>
      </text>
    </comment>
    <comment ref="AB245" authorId="0" shapeId="0">
      <text>
        <t>Troque o tipo e revise os valores que já estavam guardados.</t>
      </text>
    </comment>
    <comment ref="AF245" authorId="0" shapeId="0">
      <text>
        <t>Lembrete do jogador; aprovação só pelo bot no chat.</t>
      </text>
    </comment>
    <comment ref="HP246" authorId="0" shapeId="0">
      <text>
        <t>Exigências completas do Talento de entidade. Texto livre não cria automações.</t>
      </text>
    </comment>
    <comment ref="HX246" authorId="0" shapeId="0">
      <text>
        <t>Exigências completas do Talento de entidade. Texto livre não cria automações.</t>
      </text>
    </comment>
    <comment ref="T247" authorId="0" shapeId="0">
      <text>
        <t>Nome único. Capacidades apontam para o nome da Origem, do livro ou custom.</t>
      </text>
    </comment>
    <comment ref="AB247" authorId="0" shapeId="0">
      <text>
        <t>Nome único. Capacidades apontam para o nome da Origem, do livro ou custom.</t>
      </text>
    </comment>
    <comment ref="DA247" authorId="0" shapeId="0">
      <text>
        <t>Condição usa este mesmo cadastro e orçamento de Melhoria. Família em branco usa a base ou Controle sem base; EXIGE TR deve ficar vazio ou Sim. Peso e efeito seguem os campos deste cartão. Texto não executa regras.</t>
      </text>
    </comment>
    <comment ref="DE247" authorId="0" shapeId="0">
      <text>
        <t>Lembrete marcado pelo jogador. Aprovação ocorre pelo bot no chat.</t>
      </text>
    </comment>
    <comment ref="DI247" authorId="0" shapeId="0">
      <text>
        <t>Condição usa este mesmo cadastro e orçamento de Melhoria. Família em branco usa a base ou Controle sem base; EXIGE TR deve ficar vazio ou Sim. Peso e efeito seguem os campos deste cartão. Texto não executa regras.</t>
      </text>
    </comment>
    <comment ref="DM247" authorId="0" shapeId="0">
      <text>
        <t>Lembrete marcado pelo jogador. Aprovação ocorre pelo bot no chat.</t>
      </text>
    </comment>
    <comment ref="HP247" authorId="0" shapeId="0">
      <text>
        <t>Exigências completas do Talento de entidade. Texto livre não cria automações.</t>
      </text>
    </comment>
    <comment ref="HX247" authorId="0" shapeId="0">
      <text>
        <t>Exigências completas do Talento de entidade. Texto livre não cria automações.</t>
      </text>
    </comment>
    <comment ref="V249"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249"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V250"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250"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L250" authorId="0" shapeId="0">
      <text>
        <t>Opcional. Nenhuma cria do zero. Com base, campos em branco e verificações específicas herdam o livro. Texto livre não cria automações.</t>
      </text>
    </comment>
    <comment ref="V251"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251"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DD251" authorId="0" shapeId="0">
      <text>
        <t>Em branco herda a base; Nenhuma remove a Família. A técnica usa o estado cadastrado; entidades usam suas próprias Famílias abertas.</t>
      </text>
    </comment>
    <comment ref="DL251" authorId="0" shapeId="0">
      <text>
        <t>Em branco herda a base; Nenhuma remove a Família. A técnica usa o estado cadastrado; entidades usam suas próprias Famílias abertas.</t>
      </text>
    </comment>
    <comment ref="HP251" authorId="0" shapeId="0">
      <text>
        <t>Descrição completa, exibida na carta existente. Em branco com base, usa o texto do livro.</t>
      </text>
    </comment>
    <comment ref="HX251" authorId="0" shapeId="0">
      <text>
        <t>Descrição completa, exibida na carta existente. Em branco com base, usa o texto do livro.</t>
      </text>
    </comment>
    <comment ref="V252"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252"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DD252" authorId="0" shapeId="0">
      <text>
        <t>Em branco herda a base. Sem base, escolha Leve, Média ou Pesada. Preços e desconto seguem a Classe da ficha.</t>
      </text>
    </comment>
    <comment ref="DL252" authorId="0" shapeId="0">
      <text>
        <t>Em branco herda a base. Sem base, escolha Leve, Média ou Pesada. Preços e desconto seguem a Classe da ficha.</t>
      </text>
    </comment>
    <comment ref="HP252" authorId="0" shapeId="0">
      <text>
        <t>Descrição completa, exibida na carta existente. Em branco com base, usa o texto do livro.</t>
      </text>
    </comment>
    <comment ref="HX252" authorId="0" shapeId="0">
      <text>
        <t>Descrição completa, exibida na carta existente. Em branco com base, usa o texto do livro.</t>
      </text>
    </comment>
    <comment ref="V253" authorId="0" shapeId="0">
      <text>
        <t>Campos por tipo: Origem: ROTA; Marcante: não usado; Menor: não usado; Arma: PROPRIEDADE 2; Escudo: não usado; Uniforme: não usado; Item comum: não usado; Ferramenta amaldiçoada: não usado.</t>
      </text>
    </comment>
    <comment ref="AD253" authorId="0" shapeId="0">
      <text>
        <t>Campos por tipo: Origem: ROTA; Marcante: não usado; Menor: não usado; Arma: PROPRIEDADE 2; Escudo: não usado; Uniforme: não usado; Item comum: não usado; Ferramenta amaldiçoada: não usado.</t>
      </text>
    </comment>
    <comment ref="DD253" authorId="0" shapeId="0">
      <text>
        <t>Em branco herda a base. Sim indica que o efeito exige TR, inclusive em Forma de ataque.</t>
      </text>
    </comment>
    <comment ref="DL253" authorId="0" shapeId="0">
      <text>
        <t>Em branco herda a base. Sim indica que o efeito exige TR, inclusive em Forma de ataque.</t>
      </text>
    </comment>
    <comment ref="V254"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254"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V255" authorId="0" shapeId="0">
      <text>
        <t>Campos por tipo: Origem: OFÍCIO; Marcante: não usado; Menor: não usado; Arma: PROPRIEDADE 4; Escudo: não usado; Uniforme: não usado; Item comum: não usado; Ferramenta amaldiçoada: não usado.</t>
      </text>
    </comment>
    <comment ref="AD255" authorId="0" shapeId="0">
      <text>
        <t>Campos por tipo: Origem: OFÍCIO; Marcante: não usado; Menor: não usado; Arma: PROPRIEDADE 4; Escudo: não usado; Uniforme: não usado; Item comum: não usado; Ferramenta amaldiçoada: não usado.</t>
      </text>
    </comment>
    <comment ref="DV255" authorId="0" shapeId="0">
      <text>
        <t>Lembrete marcado pelo jogador. Aprovação ocorre pelo bot no chat.</t>
      </text>
    </comment>
    <comment ref="ED255" authorId="0" shapeId="0">
      <text>
        <t>Lembrete marcado pelo jogador. Aprovação ocorre pelo bot no chat.</t>
      </text>
    </comment>
    <comment ref="V256" authorId="0" shapeId="0">
      <text>
        <t>Campos por tipo: Origem: TALENTO CE 4; Marcante: FREQUÊNCIA; Menor: FREQUÊNCIA; Arma: DADO; Escudo: PROTEÇÃO; Uniforme: PROTEÇÃO; Item comum: VOLUME; Ferramenta amaldiçoada: ESTIGMA.</t>
      </text>
    </comment>
    <comment ref="AD256" authorId="0" shapeId="0">
      <text>
        <t>Campos por tipo: Origem: TALENTO CE 4; Marcante: FREQUÊNCIA; Menor: FREQUÊNCIA; Arma: DADO; Escudo: PROTEÇÃO; Uniforme: PROTEÇÃO; Item comum: VOLUME; Ferramenta amaldiçoada: ESTIGMA.</t>
      </text>
    </comment>
    <comment ref="DA256" authorId="0" shapeId="0">
      <text>
        <t>Descreva requisitos, incompatibilidades e limite de compras. Verificações da base continuam; texto livre é conferido pelo mestre e pelo bot.</t>
      </text>
    </comment>
    <comment ref="DI256" authorId="0" shapeId="0">
      <text>
        <t>Descreva requisitos, incompatibilidades e limite de compras. Verificações da base continuam; texto livre é conferido pelo mestre e pelo bot.</t>
      </text>
    </comment>
    <comment ref="V257" authorId="0" shapeId="0">
      <text>
        <t>Campos por tipo: Origem: não usado; Marcante: não usado; Menor: não usado; Arma: FORÇA; Escudo: TETO DE DESTREZA; Uniforme: TETO DE DESTREZA; Item comum: PREÇO; Ferramenta amaldiçoada: DESGASTE.</t>
      </text>
    </comment>
    <comment ref="AD257" authorId="0" shapeId="0">
      <text>
        <t>Campos por tipo: Origem: não usado; Marcante: não usado; Menor: não usado; Arma: FORÇA; Escudo: TETO DE DESTREZA; Uniforme: TETO DE DESTREZA; Item comum: PREÇO; Ferramenta amaldiçoada: DESGASTE.</t>
      </text>
    </comment>
    <comment ref="V258" authorId="0" shapeId="0">
      <text>
        <t>Campos por tipo: Origem: não usado; Marcante: não usado; Menor: não usado; Arma: VOLUME; Escudo: FORÇA; Uniforme: FORÇA; Item comum: não usado; Ferramenta amaldiçoada: VOLUME.</t>
      </text>
    </comment>
    <comment ref="AD258" authorId="0" shapeId="0">
      <text>
        <t>Campos por tipo: Origem: não usado; Marcante: não usado; Menor: não usado; Arma: VOLUME; Escudo: FORÇA; Uniforme: FORÇA; Item comum: não usado; Ferramenta amaldiçoada: VOLUME.</t>
      </text>
    </comment>
    <comment ref="EC258" authorId="0" shapeId="0">
      <text>
        <t>Opcional. Nenhuma cria do zero. Com base, campos em branco e verificações específicas herdam o livro. Texto livre não cria automações.</t>
      </text>
    </comment>
    <comment ref="V259" authorId="0" shapeId="0">
      <text>
        <t>Campos por tipo: Origem: não usado; Marcante: não usado; Menor: não usado; Arma: ALCANCE; Escudo: VOLUME; Uniforme: VOLUME; Item comum: não usado; Ferramenta amaldiçoada: PREÇO.</t>
      </text>
    </comment>
    <comment ref="AD259" authorId="0" shapeId="0">
      <text>
        <t>Campos por tipo: Origem: não usado; Marcante: não usado; Menor: não usado; Arma: ALCANCE; Escudo: VOLUME; Uniforme: VOLUME; Item comum: não usado; Ferramenta amaldiçoada: PREÇO.</t>
      </text>
    </comment>
    <comment ref="DU259" authorId="0" shapeId="0">
      <text>
        <t>Em branco herda a base. Sem base, escolha Leve ou Média. Restrição paga Melhorias, nunca a Forma, e conserva o teto e o limite de Restrições.</t>
      </text>
    </comment>
    <comment ref="EC259" authorId="0" shapeId="0">
      <text>
        <t>Em branco herda a base. Sem base, escolha Leve ou Média. Restrição paga Melhorias, nunca a Forma, e conserva o teto e o limite de Restrições.</t>
      </text>
    </comment>
    <comment ref="V260" authorId="0" shapeId="0">
      <text>
        <t>Campos por tipo: Origem: não usado; Marcante: não usado; Menor: não usado; Arma: RECARGA; Escudo: PREÇO; Uniforme: PREÇO; Item comum: não usado; Ferramenta amaldiçoada: não usado.</t>
      </text>
    </comment>
    <comment ref="AD260" authorId="0" shapeId="0">
      <text>
        <t>Campos por tipo: Origem: não usado; Marcante: não usado; Menor: não usado; Arma: RECARGA; Escudo: PREÇO; Uniforme: PREÇO; Item comum: não usado; Ferramenta amaldiçoada: não usado.</t>
      </text>
    </comment>
    <comment ref="DU260" authorId="0" shapeId="0">
      <text>
        <t>Em branco herda a base. Sim identifica Restrição de frequência; duas de frequência continuam incompatíveis.</t>
      </text>
    </comment>
    <comment ref="EC260" authorId="0" shapeId="0">
      <text>
        <t>Em branco herda a base. Sim identifica Restrição de frequência; duas de frequência continuam incompatíveis.</t>
      </text>
    </comment>
    <comment ref="V261" authorId="0" shapeId="0">
      <text>
        <t>Campos por tipo: Origem: não usado; Marcante: não usado; Menor: não usado; Arma: PREÇO; Escudo: não usado; Uniforme: não usado; Item comum: não usado; Ferramenta amaldiçoada: não usado.</t>
      </text>
    </comment>
    <comment ref="AD261" authorId="0" shapeId="0">
      <text>
        <t>Campos por tipo: Origem: não usado; Marcante: não usado; Menor: não usado; Arma: PREÇO; Escudo: não usado; Uniforme: não usado; Item comum: não usado; Ferramenta amaldiçoada: não usado.</t>
      </text>
    </comment>
    <comment ref="HP261" authorId="0" shapeId="0">
      <text>
        <t>Problema do cadastro. Cadastros com problema ficam fora dos menus da ficha.</t>
      </text>
    </comment>
    <comment ref="HX261" authorId="0" shapeId="0">
      <text>
        <t>Problema do cadastro. Cadastros com problema ficam fora dos menus da ficha.</t>
      </text>
    </comment>
    <comment ref="T262" authorId="0" shapeId="0">
      <text>
        <t>Texto integral. Descreve regras; não interpreta a prosa como cálculo.</t>
      </text>
    </comment>
    <comment ref="AB262" authorId="0" shapeId="0">
      <text>
        <t>Texto integral. Descreve regras; não interpreta a prosa como cálculo.</t>
      </text>
    </comment>
    <comment ref="DA262" authorId="0" shapeId="0">
      <text>
        <t>Efeito completo da Melhoria. Números do personagem sem campo próprio são registrados em BÔNUS E MUDANÇAS.</t>
      </text>
    </comment>
    <comment ref="DI262" authorId="0" shapeId="0">
      <text>
        <t>Efeito completo da Melhoria. Números do personagem sem campo próprio são registrados em BÔNUS E MUDANÇAS.</t>
      </text>
    </comment>
    <comment ref="DR263" authorId="0" shapeId="0">
      <text>
        <t>Exigência, momento de cumprir, duração e incompatibilidades. Texto livre não é executado como fórmula.</t>
      </text>
    </comment>
    <comment ref="DZ263" authorId="0" shapeId="0">
      <text>
        <t>Exigência, momento de cumprir, duração e incompatibilidades. Texto livre não é executado como fórmula.</t>
      </text>
    </comment>
    <comment ref="HP264" authorId="0" shapeId="0">
      <text>
        <t>Nome único. O menu da ficha reunirá o livro e os cadastros válidos.</t>
      </text>
    </comment>
    <comment ref="HX264" authorId="0" shapeId="0">
      <text>
        <t>Nome único. O menu da ficha reunirá o livro e os cadastros válidos.</t>
      </text>
    </comment>
    <comment ref="HP265" authorId="0" shapeId="0">
      <text>
        <t>Nome próprio do conteúdo criado com o mestre.</t>
      </text>
    </comment>
    <comment ref="HT265" authorId="0" shapeId="0">
      <text>
        <t>Lembrete marcado pelo jogador; aprovação é feita pelo bot, no chat.</t>
      </text>
    </comment>
    <comment ref="HX265" authorId="0" shapeId="0">
      <text>
        <t>Nome próprio do conteúdo criado com o mestre.</t>
      </text>
    </comment>
    <comment ref="IB265" authorId="0" shapeId="0">
      <text>
        <t>Lembrete marcado pelo jogador; aprovação é feita pelo bot, no chat.</t>
      </text>
    </comment>
    <comment ref="IA267" authorId="0" shapeId="0">
      <text>
        <t>Opcional. Em branco nos demais campos, uma base herda as automações do livro. Nenhuma permite conteúdo próprio. O texto não é interpretado como fórmula.</t>
      </text>
    </comment>
    <comment ref="HS268" authorId="0" shapeId="0">
      <text>
        <t>Em branco herda a base; sem base é obrigatória. Conferida com o teto de cada ganho; as escolhas da Trilha aceitam só a Categoria 1.</t>
      </text>
    </comment>
    <comment ref="IA268" authorId="0" shapeId="0">
      <text>
        <t>Em branco herda a base; sem base é obrigatória. Conferida com o teto de cada ganho; as escolhas da Trilha aceitam só a Categoria 1.</t>
      </text>
    </comment>
    <comment ref="DA273" authorId="0" shapeId="0">
      <text>
        <t>Condição usa este mesmo cadastro e orçamento de Melhoria. Família em branco usa a base ou Controle sem base; EXIGE TR deve ficar vazio ou Sim. Peso e efeito seguem os campos deste cartão. Texto não executa regras.</t>
      </text>
    </comment>
    <comment ref="DE273" authorId="0" shapeId="0">
      <text>
        <t>Lembrete marcado pelo jogador. Aprovação ocorre pelo bot no chat.</t>
      </text>
    </comment>
    <comment ref="DI273" authorId="0" shapeId="0">
      <text>
        <t>Condição usa este mesmo cadastro e orçamento de Melhoria. Família em branco usa a base ou Controle sem base; EXIGE TR deve ficar vazio ou Sim. Peso e efeito seguem os campos deste cartão. Texto não executa regras.</t>
      </text>
    </comment>
    <comment ref="DM273" authorId="0" shapeId="0">
      <text>
        <t>Lembrete marcado pelo jogador. Aprovação ocorre pelo bot no chat.</t>
      </text>
    </comment>
    <comment ref="T274" authorId="0" shapeId="0">
      <text>
        <t>Troque o tipo e revise os valores que já estavam guardados.</t>
      </text>
    </comment>
    <comment ref="X274" authorId="0" shapeId="0">
      <text>
        <t>Lembrete do jogador; aprovação só pelo bot no chat.</t>
      </text>
    </comment>
    <comment ref="AB274" authorId="0" shapeId="0">
      <text>
        <t>Troque o tipo e revise os valores que já estavam guardados.</t>
      </text>
    </comment>
    <comment ref="AF274" authorId="0" shapeId="0">
      <text>
        <t>Lembrete do jogador; aprovação só pelo bot no chat.</t>
      </text>
    </comment>
    <comment ref="HP274" authorId="0" shapeId="0">
      <text>
        <t>Exigências completas do Talento de entidade. Texto livre não cria automações.</t>
      </text>
    </comment>
    <comment ref="HX274" authorId="0" shapeId="0">
      <text>
        <t>Exigências completas do Talento de entidade. Texto livre não cria automações.</t>
      </text>
    </comment>
    <comment ref="HP275" authorId="0" shapeId="0">
      <text>
        <t>Exigências completas do Talento de entidade. Texto livre não cria automações.</t>
      </text>
    </comment>
    <comment ref="HX275" authorId="0" shapeId="0">
      <text>
        <t>Exigências completas do Talento de entidade. Texto livre não cria automações.</t>
      </text>
    </comment>
    <comment ref="T276" authorId="0" shapeId="0">
      <text>
        <t>Nome único. Capacidades apontam para o nome da Origem, do livro ou custom.</t>
      </text>
    </comment>
    <comment ref="AB276" authorId="0" shapeId="0">
      <text>
        <t>Nome único. Capacidades apontam para o nome da Origem, do livro ou custom.</t>
      </text>
    </comment>
    <comment ref="DL276" authorId="0" shapeId="0">
      <text>
        <t>Opcional. Nenhuma cria do zero. Com base, campos em branco e verificações específicas herdam o livro. Texto livre não cria automações.</t>
      </text>
    </comment>
    <comment ref="DD277" authorId="0" shapeId="0">
      <text>
        <t>Em branco herda a base; Nenhuma remove a Família. A técnica usa o estado cadastrado; entidades usam suas próprias Famílias abertas.</t>
      </text>
    </comment>
    <comment ref="DL277" authorId="0" shapeId="0">
      <text>
        <t>Em branco herda a base; Nenhuma remove a Família. A técnica usa o estado cadastrado; entidades usam suas próprias Famílias abertas.</t>
      </text>
    </comment>
    <comment ref="DV277" authorId="0" shapeId="0">
      <text>
        <t>Lembrete marcado pelo jogador. Aprovação ocorre pelo bot no chat.</t>
      </text>
    </comment>
    <comment ref="ED277" authorId="0" shapeId="0">
      <text>
        <t>Lembrete marcado pelo jogador. Aprovação ocorre pelo bot no chat.</t>
      </text>
    </comment>
    <comment ref="V278"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278"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DD278" authorId="0" shapeId="0">
      <text>
        <t>Em branco herda a base. Sem base, escolha Leve, Média ou Pesada. Preços e desconto seguem a Classe da ficha.</t>
      </text>
    </comment>
    <comment ref="DL278" authorId="0" shapeId="0">
      <text>
        <t>Em branco herda a base. Sem base, escolha Leve, Média ou Pesada. Preços e desconto seguem a Classe da ficha.</t>
      </text>
    </comment>
    <comment ref="V279"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279"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D279" authorId="0" shapeId="0">
      <text>
        <t>Em branco herda a base. Sim indica que o efeito exige TR, inclusive em Forma de ataque.</t>
      </text>
    </comment>
    <comment ref="DL279" authorId="0" shapeId="0">
      <text>
        <t>Em branco herda a base. Sim indica que o efeito exige TR, inclusive em Forma de ataque.</t>
      </text>
    </comment>
    <comment ref="HP279" authorId="0" shapeId="0">
      <text>
        <t>Descrição completa, exibida na carta existente. Em branco com base, usa o texto do livro.</t>
      </text>
    </comment>
    <comment ref="HX279" authorId="0" shapeId="0">
      <text>
        <t>Descrição completa, exibida na carta existente. Em branco com base, usa o texto do livro.</t>
      </text>
    </comment>
    <comment ref="V280"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280"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EC280" authorId="0" shapeId="0">
      <text>
        <t>Opcional. Nenhuma cria do zero. Com base, campos em branco e verificações específicas herdam o livro. Texto livre não cria automações.</t>
      </text>
    </comment>
    <comment ref="HP280" authorId="0" shapeId="0">
      <text>
        <t>Descrição completa, exibida na carta existente. Em branco com base, usa o texto do livro.</t>
      </text>
    </comment>
    <comment ref="HX280" authorId="0" shapeId="0">
      <text>
        <t>Descrição completa, exibida na carta existente. Em branco com base, usa o texto do livro.</t>
      </text>
    </comment>
    <comment ref="V281"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281"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DU281" authorId="0" shapeId="0">
      <text>
        <t>Em branco herda a base. Sem base, escolha Leve ou Média. Restrição paga Melhorias, nunca a Forma, e conserva o teto e o limite de Restrições.</t>
      </text>
    </comment>
    <comment ref="EC281" authorId="0" shapeId="0">
      <text>
        <t>Em branco herda a base. Sem base, escolha Leve ou Média. Restrição paga Melhorias, nunca a Forma, e conserva o teto e o limite de Restrições.</t>
      </text>
    </comment>
    <comment ref="V282" authorId="0" shapeId="0">
      <text>
        <t>Campos por tipo: Origem: ROTA; Marcante: não usado; Menor: não usado; Arma: PROPRIEDADE 2; Escudo: não usado; Uniforme: não usado; Item comum: não usado; Ferramenta amaldiçoada: não usado.</t>
      </text>
    </comment>
    <comment ref="AD282" authorId="0" shapeId="0">
      <text>
        <t>Campos por tipo: Origem: ROTA; Marcante: não usado; Menor: não usado; Arma: PROPRIEDADE 2; Escudo: não usado; Uniforme: não usado; Item comum: não usado; Ferramenta amaldiçoada: não usado.</t>
      </text>
    </comment>
    <comment ref="DA282" authorId="0" shapeId="0">
      <text>
        <t>Descreva requisitos, incompatibilidades e limite de compras. Verificações da base continuam; texto livre é conferido pelo mestre e pelo bot.</t>
      </text>
    </comment>
    <comment ref="DI282" authorId="0" shapeId="0">
      <text>
        <t>Descreva requisitos, incompatibilidades e limite de compras. Verificações da base continuam; texto livre é conferido pelo mestre e pelo bot.</t>
      </text>
    </comment>
    <comment ref="DU282" authorId="0" shapeId="0">
      <text>
        <t>Em branco herda a base. Sim identifica Restrição de frequência; duas de frequência continuam incompatíveis.</t>
      </text>
    </comment>
    <comment ref="EC282" authorId="0" shapeId="0">
      <text>
        <t>Em branco herda a base. Sim identifica Restrição de frequência; duas de frequência continuam incompatíveis.</t>
      </text>
    </comment>
    <comment ref="V283"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283"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V284" authorId="0" shapeId="0">
      <text>
        <t>Campos por tipo: Origem: OFÍCIO; Marcante: não usado; Menor: não usado; Arma: PROPRIEDADE 4; Escudo: não usado; Uniforme: não usado; Item comum: não usado; Ferramenta amaldiçoada: não usado.</t>
      </text>
    </comment>
    <comment ref="AD284" authorId="0" shapeId="0">
      <text>
        <t>Campos por tipo: Origem: OFÍCIO; Marcante: não usado; Menor: não usado; Arma: PROPRIEDADE 4; Escudo: não usado; Uniforme: não usado; Item comum: não usado; Ferramenta amaldiçoada: não usado.</t>
      </text>
    </comment>
    <comment ref="V285" authorId="0" shapeId="0">
      <text>
        <t>Campos por tipo: Origem: TALENTO CE 4; Marcante: FREQUÊNCIA; Menor: FREQUÊNCIA; Arma: DADO; Escudo: PROTEÇÃO; Uniforme: PROTEÇÃO; Item comum: VOLUME; Ferramenta amaldiçoada: ESTIGMA.</t>
      </text>
    </comment>
    <comment ref="AD285" authorId="0" shapeId="0">
      <text>
        <t>Campos por tipo: Origem: TALENTO CE 4; Marcante: FREQUÊNCIA; Menor: FREQUÊNCIA; Arma: DADO; Escudo: PROTEÇÃO; Uniforme: PROTEÇÃO; Item comum: VOLUME; Ferramenta amaldiçoada: ESTIGMA.</t>
      </text>
    </comment>
    <comment ref="DR285" authorId="0" shapeId="0">
      <text>
        <t>Exigência, momento de cumprir, duração e incompatibilidades. Texto livre não é executado como fórmula.</t>
      </text>
    </comment>
    <comment ref="DZ285" authorId="0" shapeId="0">
      <text>
        <t>Exigência, momento de cumprir, duração e incompatibilidades. Texto livre não é executado como fórmula.</t>
      </text>
    </comment>
    <comment ref="V286" authorId="0" shapeId="0">
      <text>
        <t>Campos por tipo: Origem: não usado; Marcante: não usado; Menor: não usado; Arma: FORÇA; Escudo: TETO DE DESTREZA; Uniforme: TETO DE DESTREZA; Item comum: PREÇO; Ferramenta amaldiçoada: DESGASTE.</t>
      </text>
    </comment>
    <comment ref="AD286" authorId="0" shapeId="0">
      <text>
        <t>Campos por tipo: Origem: não usado; Marcante: não usado; Menor: não usado; Arma: FORÇA; Escudo: TETO DE DESTREZA; Uniforme: TETO DE DESTREZA; Item comum: PREÇO; Ferramenta amaldiçoada: DESGASTE.</t>
      </text>
    </comment>
    <comment ref="V287" authorId="0" shapeId="0">
      <text>
        <t>Campos por tipo: Origem: não usado; Marcante: não usado; Menor: não usado; Arma: VOLUME; Escudo: FORÇA; Uniforme: FORÇA; Item comum: não usado; Ferramenta amaldiçoada: VOLUME.</t>
      </text>
    </comment>
    <comment ref="AD287" authorId="0" shapeId="0">
      <text>
        <t>Campos por tipo: Origem: não usado; Marcante: não usado; Menor: não usado; Arma: VOLUME; Escudo: FORÇA; Uniforme: FORÇA; Item comum: não usado; Ferramenta amaldiçoada: VOLUME.</t>
      </text>
    </comment>
    <comment ref="V288" authorId="0" shapeId="0">
      <text>
        <t>Campos por tipo: Origem: não usado; Marcante: não usado; Menor: não usado; Arma: ALCANCE; Escudo: VOLUME; Uniforme: VOLUME; Item comum: não usado; Ferramenta amaldiçoada: PREÇO.</t>
      </text>
    </comment>
    <comment ref="AD288" authorId="0" shapeId="0">
      <text>
        <t>Campos por tipo: Origem: não usado; Marcante: não usado; Menor: não usado; Arma: ALCANCE; Escudo: VOLUME; Uniforme: VOLUME; Item comum: não usado; Ferramenta amaldiçoada: PREÇO.</t>
      </text>
    </comment>
    <comment ref="DA288" authorId="0" shapeId="0">
      <text>
        <t>Efeito completo da Melhoria. Números do personagem sem campo próprio são registrados em BÔNUS E MUDANÇAS.</t>
      </text>
    </comment>
    <comment ref="DI288" authorId="0" shapeId="0">
      <text>
        <t>Efeito completo da Melhoria. Números do personagem sem campo próprio são registrados em BÔNUS E MUDANÇAS.</t>
      </text>
    </comment>
    <comment ref="V289" authorId="0" shapeId="0">
      <text>
        <t>Campos por tipo: Origem: não usado; Marcante: não usado; Menor: não usado; Arma: RECARGA; Escudo: PREÇO; Uniforme: PREÇO; Item comum: não usado; Ferramenta amaldiçoada: não usado.</t>
      </text>
    </comment>
    <comment ref="AD289" authorId="0" shapeId="0">
      <text>
        <t>Campos por tipo: Origem: não usado; Marcante: não usado; Menor: não usado; Arma: RECARGA; Escudo: PREÇO; Uniforme: PREÇO; Item comum: não usado; Ferramenta amaldiçoada: não usado.</t>
      </text>
    </comment>
    <comment ref="HP289" authorId="0" shapeId="0">
      <text>
        <t>Problema do cadastro. Cadastros com problema ficam fora dos menus da ficha.</t>
      </text>
    </comment>
    <comment ref="HX289" authorId="0" shapeId="0">
      <text>
        <t>Problema do cadastro. Cadastros com problema ficam fora dos menus da ficha.</t>
      </text>
    </comment>
    <comment ref="V290" authorId="0" shapeId="0">
      <text>
        <t>Campos por tipo: Origem: não usado; Marcante: não usado; Menor: não usado; Arma: PREÇO; Escudo: não usado; Uniforme: não usado; Item comum: não usado; Ferramenta amaldiçoada: não usado.</t>
      </text>
    </comment>
    <comment ref="AD290" authorId="0" shapeId="0">
      <text>
        <t>Campos por tipo: Origem: não usado; Marcante: não usado; Menor: não usado; Arma: PREÇO; Escudo: não usado; Uniforme: não usado; Item comum: não usado; Ferramenta amaldiçoada: não usado.</t>
      </text>
    </comment>
    <comment ref="T291" authorId="0" shapeId="0">
      <text>
        <t>Texto integral. Descreve regras; não interpreta a prosa como cálculo.</t>
      </text>
    </comment>
    <comment ref="AB291" authorId="0" shapeId="0">
      <text>
        <t>Texto integral. Descreve regras; não interpreta a prosa como cálculo.</t>
      </text>
    </comment>
    <comment ref="DA299" authorId="0" shapeId="0">
      <text>
        <t>Condição usa este mesmo cadastro e orçamento de Melhoria. Família em branco usa a base ou Controle sem base; EXIGE TR deve ficar vazio ou Sim. Peso e efeito seguem os campos deste cartão. Texto não executa regras.</t>
      </text>
    </comment>
    <comment ref="DE299" authorId="0" shapeId="0">
      <text>
        <t>Lembrete marcado pelo jogador. Aprovação ocorre pelo bot no chat.</t>
      </text>
    </comment>
    <comment ref="DI299" authorId="0" shapeId="0">
      <text>
        <t>Condição usa este mesmo cadastro e orçamento de Melhoria. Família em branco usa a base ou Controle sem base; EXIGE TR deve ficar vazio ou Sim. Peso e efeito seguem os campos deste cartão. Texto não executa regras.</t>
      </text>
    </comment>
    <comment ref="DM299" authorId="0" shapeId="0">
      <text>
        <t>Lembrete marcado pelo jogador. Aprovação ocorre pelo bot no chat.</t>
      </text>
    </comment>
    <comment ref="DV299" authorId="0" shapeId="0">
      <text>
        <t>Lembrete marcado pelo jogador. Aprovação ocorre pelo bot no chat.</t>
      </text>
    </comment>
    <comment ref="ED299" authorId="0" shapeId="0">
      <text>
        <t>Lembrete marcado pelo jogador. Aprovação ocorre pelo bot no chat.</t>
      </text>
    </comment>
    <comment ref="DL302" authorId="0" shapeId="0">
      <text>
        <t>Opcional. Nenhuma cria do zero. Com base, campos em branco e verificações específicas herdam o livro. Texto livre não cria automações.</t>
      </text>
    </comment>
    <comment ref="EC302" authorId="0" shapeId="0">
      <text>
        <t>Opcional. Nenhuma cria do zero. Com base, campos em branco e verificações específicas herdam o livro. Texto livre não cria automações.</t>
      </text>
    </comment>
    <comment ref="T303" authorId="0" shapeId="0">
      <text>
        <t>Troque o tipo e revise os valores que já estavam guardados.</t>
      </text>
    </comment>
    <comment ref="X303" authorId="0" shapeId="0">
      <text>
        <t>Lembrete do jogador; aprovação só pelo bot no chat.</t>
      </text>
    </comment>
    <comment ref="AB303" authorId="0" shapeId="0">
      <text>
        <t>Troque o tipo e revise os valores que já estavam guardados.</t>
      </text>
    </comment>
    <comment ref="AF303" authorId="0" shapeId="0">
      <text>
        <t>Lembrete do jogador; aprovação só pelo bot no chat.</t>
      </text>
    </comment>
    <comment ref="DD303" authorId="0" shapeId="0">
      <text>
        <t>Em branco herda a base; Nenhuma remove a Família. A técnica usa o estado cadastrado; entidades usam suas próprias Famílias abertas.</t>
      </text>
    </comment>
    <comment ref="DL303" authorId="0" shapeId="0">
      <text>
        <t>Em branco herda a base; Nenhuma remove a Família. A técnica usa o estado cadastrado; entidades usam suas próprias Famílias abertas.</t>
      </text>
    </comment>
    <comment ref="DU303" authorId="0" shapeId="0">
      <text>
        <t>Em branco herda a base. Sem base, escolha Leve ou Média. Restrição paga Melhorias, nunca a Forma, e conserva o teto e o limite de Restrições.</t>
      </text>
    </comment>
    <comment ref="EC303" authorId="0" shapeId="0">
      <text>
        <t>Em branco herda a base. Sem base, escolha Leve ou Média. Restrição paga Melhorias, nunca a Forma, e conserva o teto e o limite de Restrições.</t>
      </text>
    </comment>
    <comment ref="DD304" authorId="0" shapeId="0">
      <text>
        <t>Em branco herda a base. Sem base, escolha Leve, Média ou Pesada. Preços e desconto seguem a Classe da ficha.</t>
      </text>
    </comment>
    <comment ref="DL304" authorId="0" shapeId="0">
      <text>
        <t>Em branco herda a base. Sem base, escolha Leve, Média ou Pesada. Preços e desconto seguem a Classe da ficha.</t>
      </text>
    </comment>
    <comment ref="DU304" authorId="0" shapeId="0">
      <text>
        <t>Em branco herda a base. Sim identifica Restrição de frequência; duas de frequência continuam incompatíveis.</t>
      </text>
    </comment>
    <comment ref="EC304" authorId="0" shapeId="0">
      <text>
        <t>Em branco herda a base. Sim identifica Restrição de frequência; duas de frequência continuam incompatíveis.</t>
      </text>
    </comment>
    <comment ref="T305" authorId="0" shapeId="0">
      <text>
        <t>Nome único. Capacidades apontam para o nome da Origem, do livro ou custom.</t>
      </text>
    </comment>
    <comment ref="AB305" authorId="0" shapeId="0">
      <text>
        <t>Nome único. Capacidades apontam para o nome da Origem, do livro ou custom.</t>
      </text>
    </comment>
    <comment ref="DD305" authorId="0" shapeId="0">
      <text>
        <t>Em branco herda a base. Sim indica que o efeito exige TR, inclusive em Forma de ataque.</t>
      </text>
    </comment>
    <comment ref="DL305" authorId="0" shapeId="0">
      <text>
        <t>Em branco herda a base. Sim indica que o efeito exige TR, inclusive em Forma de ataque.</t>
      </text>
    </comment>
    <comment ref="V307"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307"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DR307" authorId="0" shapeId="0">
      <text>
        <t>Exigência, momento de cumprir, duração e incompatibilidades. Texto livre não é executado como fórmula.</t>
      </text>
    </comment>
    <comment ref="DZ307" authorId="0" shapeId="0">
      <text>
        <t>Exigência, momento de cumprir, duração e incompatibilidades. Texto livre não é executado como fórmula.</t>
      </text>
    </comment>
    <comment ref="V308"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308"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A308" authorId="0" shapeId="0">
      <text>
        <t>Descreva requisitos, incompatibilidades e limite de compras. Verificações da base continuam; texto livre é conferido pelo mestre e pelo bot.</t>
      </text>
    </comment>
    <comment ref="DI308" authorId="0" shapeId="0">
      <text>
        <t>Descreva requisitos, incompatibilidades e limite de compras. Verificações da base continuam; texto livre é conferido pelo mestre e pelo bot.</t>
      </text>
    </comment>
    <comment ref="V309"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309"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V310"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310"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V311" authorId="0" shapeId="0">
      <text>
        <t>Campos por tipo: Origem: ROTA; Marcante: não usado; Menor: não usado; Arma: PROPRIEDADE 2; Escudo: não usado; Uniforme: não usado; Item comum: não usado; Ferramenta amaldiçoada: não usado.</t>
      </text>
    </comment>
    <comment ref="AD311" authorId="0" shapeId="0">
      <text>
        <t>Campos por tipo: Origem: ROTA; Marcante: não usado; Menor: não usado; Arma: PROPRIEDADE 2; Escudo: não usado; Uniforme: não usado; Item comum: não usado; Ferramenta amaldiçoada: não usado.</t>
      </text>
    </comment>
    <comment ref="V312"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312"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V313" authorId="0" shapeId="0">
      <text>
        <t>Campos por tipo: Origem: OFÍCIO; Marcante: não usado; Menor: não usado; Arma: PROPRIEDADE 4; Escudo: não usado; Uniforme: não usado; Item comum: não usado; Ferramenta amaldiçoada: não usado.</t>
      </text>
    </comment>
    <comment ref="AD313" authorId="0" shapeId="0">
      <text>
        <t>Campos por tipo: Origem: OFÍCIO; Marcante: não usado; Menor: não usado; Arma: PROPRIEDADE 4; Escudo: não usado; Uniforme: não usado; Item comum: não usado; Ferramenta amaldiçoada: não usado.</t>
      </text>
    </comment>
    <comment ref="V314" authorId="0" shapeId="0">
      <text>
        <t>Campos por tipo: Origem: TALENTO CE 4; Marcante: FREQUÊNCIA; Menor: FREQUÊNCIA; Arma: DADO; Escudo: PROTEÇÃO; Uniforme: PROTEÇÃO; Item comum: VOLUME; Ferramenta amaldiçoada: ESTIGMA.</t>
      </text>
    </comment>
    <comment ref="AD314" authorId="0" shapeId="0">
      <text>
        <t>Campos por tipo: Origem: TALENTO CE 4; Marcante: FREQUÊNCIA; Menor: FREQUÊNCIA; Arma: DADO; Escudo: PROTEÇÃO; Uniforme: PROTEÇÃO; Item comum: VOLUME; Ferramenta amaldiçoada: ESTIGMA.</t>
      </text>
    </comment>
    <comment ref="DA314" authorId="0" shapeId="0">
      <text>
        <t>Efeito completo da Melhoria. Números do personagem sem campo próprio são registrados em BÔNUS E MUDANÇAS.</t>
      </text>
    </comment>
    <comment ref="DI314" authorId="0" shapeId="0">
      <text>
        <t>Efeito completo da Melhoria. Números do personagem sem campo próprio são registrados em BÔNUS E MUDANÇAS.</t>
      </text>
    </comment>
    <comment ref="V315" authorId="0" shapeId="0">
      <text>
        <t>Campos por tipo: Origem: não usado; Marcante: não usado; Menor: não usado; Arma: FORÇA; Escudo: TETO DE DESTREZA; Uniforme: TETO DE DESTREZA; Item comum: PREÇO; Ferramenta amaldiçoada: DESGASTE.</t>
      </text>
    </comment>
    <comment ref="AD315" authorId="0" shapeId="0">
      <text>
        <t>Campos por tipo: Origem: não usado; Marcante: não usado; Menor: não usado; Arma: FORÇA; Escudo: TETO DE DESTREZA; Uniforme: TETO DE DESTREZA; Item comum: PREÇO; Ferramenta amaldiçoada: DESGASTE.</t>
      </text>
    </comment>
    <comment ref="V316" authorId="0" shapeId="0">
      <text>
        <t>Campos por tipo: Origem: não usado; Marcante: não usado; Menor: não usado; Arma: VOLUME; Escudo: FORÇA; Uniforme: FORÇA; Item comum: não usado; Ferramenta amaldiçoada: VOLUME.</t>
      </text>
    </comment>
    <comment ref="AD316" authorId="0" shapeId="0">
      <text>
        <t>Campos por tipo: Origem: não usado; Marcante: não usado; Menor: não usado; Arma: VOLUME; Escudo: FORÇA; Uniforme: FORÇA; Item comum: não usado; Ferramenta amaldiçoada: VOLUME.</t>
      </text>
    </comment>
    <comment ref="V317" authorId="0" shapeId="0">
      <text>
        <t>Campos por tipo: Origem: não usado; Marcante: não usado; Menor: não usado; Arma: ALCANCE; Escudo: VOLUME; Uniforme: VOLUME; Item comum: não usado; Ferramenta amaldiçoada: PREÇO.</t>
      </text>
    </comment>
    <comment ref="AD317" authorId="0" shapeId="0">
      <text>
        <t>Campos por tipo: Origem: não usado; Marcante: não usado; Menor: não usado; Arma: ALCANCE; Escudo: VOLUME; Uniforme: VOLUME; Item comum: não usado; Ferramenta amaldiçoada: PREÇO.</t>
      </text>
    </comment>
    <comment ref="V318" authorId="0" shapeId="0">
      <text>
        <t>Campos por tipo: Origem: não usado; Marcante: não usado; Menor: não usado; Arma: RECARGA; Escudo: PREÇO; Uniforme: PREÇO; Item comum: não usado; Ferramenta amaldiçoada: não usado.</t>
      </text>
    </comment>
    <comment ref="AD318" authorId="0" shapeId="0">
      <text>
        <t>Campos por tipo: Origem: não usado; Marcante: não usado; Menor: não usado; Arma: RECARGA; Escudo: PREÇO; Uniforme: PREÇO; Item comum: não usado; Ferramenta amaldiçoada: não usado.</t>
      </text>
    </comment>
    <comment ref="V319" authorId="0" shapeId="0">
      <text>
        <t>Campos por tipo: Origem: não usado; Marcante: não usado; Menor: não usado; Arma: PREÇO; Escudo: não usado; Uniforme: não usado; Item comum: não usado; Ferramenta amaldiçoada: não usado.</t>
      </text>
    </comment>
    <comment ref="AD319" authorId="0" shapeId="0">
      <text>
        <t>Campos por tipo: Origem: não usado; Marcante: não usado; Menor: não usado; Arma: PREÇO; Escudo: não usado; Uniforme: não usado; Item comum: não usado; Ferramenta amaldiçoada: não usado.</t>
      </text>
    </comment>
    <comment ref="T320" authorId="0" shapeId="0">
      <text>
        <t>Texto integral. Descreve regras; não interpreta a prosa como cálculo.</t>
      </text>
    </comment>
    <comment ref="AB320" authorId="0" shapeId="0">
      <text>
        <t>Texto integral. Descreve regras; não interpreta a prosa como cálculo.</t>
      </text>
    </comment>
    <comment ref="DV321" authorId="0" shapeId="0">
      <text>
        <t>Lembrete marcado pelo jogador. Aprovação ocorre pelo bot no chat.</t>
      </text>
    </comment>
    <comment ref="ED321" authorId="0" shapeId="0">
      <text>
        <t>Lembrete marcado pelo jogador. Aprovação ocorre pelo bot no chat.</t>
      </text>
    </comment>
    <comment ref="EC324" authorId="0" shapeId="0">
      <text>
        <t>Opcional. Nenhuma cria do zero. Com base, campos em branco e verificações específicas herdam o livro. Texto livre não cria automações.</t>
      </text>
    </comment>
    <comment ref="DA325" authorId="0" shapeId="0">
      <text>
        <t>Condição usa este mesmo cadastro e orçamento de Melhoria. Família em branco usa a base ou Controle sem base; EXIGE TR deve ficar vazio ou Sim. Peso e efeito seguem os campos deste cartão. Texto não executa regras.</t>
      </text>
    </comment>
    <comment ref="DE325" authorId="0" shapeId="0">
      <text>
        <t>Lembrete marcado pelo jogador. Aprovação ocorre pelo bot no chat.</t>
      </text>
    </comment>
    <comment ref="DI325" authorId="0" shapeId="0">
      <text>
        <t>Condição usa este mesmo cadastro e orçamento de Melhoria. Família em branco usa a base ou Controle sem base; EXIGE TR deve ficar vazio ou Sim. Peso e efeito seguem os campos deste cartão. Texto não executa regras.</t>
      </text>
    </comment>
    <comment ref="DM325" authorId="0" shapeId="0">
      <text>
        <t>Lembrete marcado pelo jogador. Aprovação ocorre pelo bot no chat.</t>
      </text>
    </comment>
    <comment ref="DU325" authorId="0" shapeId="0">
      <text>
        <t>Em branco herda a base. Sem base, escolha Leve ou Média. Restrição paga Melhorias, nunca a Forma, e conserva o teto e o limite de Restrições.</t>
      </text>
    </comment>
    <comment ref="EC325" authorId="0" shapeId="0">
      <text>
        <t>Em branco herda a base. Sem base, escolha Leve ou Média. Restrição paga Melhorias, nunca a Forma, e conserva o teto e o limite de Restrições.</t>
      </text>
    </comment>
    <comment ref="DU326" authorId="0" shapeId="0">
      <text>
        <t>Em branco herda a base. Sim identifica Restrição de frequência; duas de frequência continuam incompatíveis.</t>
      </text>
    </comment>
    <comment ref="EC326" authorId="0" shapeId="0">
      <text>
        <t>Em branco herda a base. Sim identifica Restrição de frequência; duas de frequência continuam incompatíveis.</t>
      </text>
    </comment>
    <comment ref="DL328" authorId="0" shapeId="0">
      <text>
        <t>Opcional. Nenhuma cria do zero. Com base, campos em branco e verificações específicas herdam o livro. Texto livre não cria automações.</t>
      </text>
    </comment>
    <comment ref="DD329" authorId="0" shapeId="0">
      <text>
        <t>Em branco herda a base; Nenhuma remove a Família. A técnica usa o estado cadastrado; entidades usam suas próprias Famílias abertas.</t>
      </text>
    </comment>
    <comment ref="DL329" authorId="0" shapeId="0">
      <text>
        <t>Em branco herda a base; Nenhuma remove a Família. A técnica usa o estado cadastrado; entidades usam suas próprias Famílias abertas.</t>
      </text>
    </comment>
    <comment ref="DR329" authorId="0" shapeId="0">
      <text>
        <t>Exigência, momento de cumprir, duração e incompatibilidades. Texto livre não é executado como fórmula.</t>
      </text>
    </comment>
    <comment ref="DZ329" authorId="0" shapeId="0">
      <text>
        <t>Exigência, momento de cumprir, duração e incompatibilidades. Texto livre não é executado como fórmula.</t>
      </text>
    </comment>
    <comment ref="DD330" authorId="0" shapeId="0">
      <text>
        <t>Em branco herda a base. Sem base, escolha Leve, Média ou Pesada. Preços e desconto seguem a Classe da ficha.</t>
      </text>
    </comment>
    <comment ref="DL330" authorId="0" shapeId="0">
      <text>
        <t>Em branco herda a base. Sem base, escolha Leve, Média ou Pesada. Preços e desconto seguem a Classe da ficha.</t>
      </text>
    </comment>
    <comment ref="DD331" authorId="0" shapeId="0">
      <text>
        <t>Em branco herda a base. Sim indica que o efeito exige TR, inclusive em Forma de ataque.</t>
      </text>
    </comment>
    <comment ref="DL331" authorId="0" shapeId="0">
      <text>
        <t>Em branco herda a base. Sim indica que o efeito exige TR, inclusive em Forma de ataque.</t>
      </text>
    </comment>
    <comment ref="T332" authorId="0" shapeId="0">
      <text>
        <t>Troque o tipo e revise os valores que já estavam guardados.</t>
      </text>
    </comment>
    <comment ref="X332" authorId="0" shapeId="0">
      <text>
        <t>Lembrete do jogador; aprovação só pelo bot no chat.</t>
      </text>
    </comment>
    <comment ref="AB332" authorId="0" shapeId="0">
      <text>
        <t>Troque o tipo e revise os valores que já estavam guardados.</t>
      </text>
    </comment>
    <comment ref="AF332" authorId="0" shapeId="0">
      <text>
        <t>Lembrete do jogador; aprovação só pelo bot no chat.</t>
      </text>
    </comment>
    <comment ref="T334" authorId="0" shapeId="0">
      <text>
        <t>Nome único. Capacidades apontam para o nome da Origem, do livro ou custom.</t>
      </text>
    </comment>
    <comment ref="AB334" authorId="0" shapeId="0">
      <text>
        <t>Nome único. Capacidades apontam para o nome da Origem, do livro ou custom.</t>
      </text>
    </comment>
    <comment ref="DA334" authorId="0" shapeId="0">
      <text>
        <t>Descreva requisitos, incompatibilidades e limite de compras. Verificações da base continuam; texto livre é conferido pelo mestre e pelo bot.</t>
      </text>
    </comment>
    <comment ref="DI334" authorId="0" shapeId="0">
      <text>
        <t>Descreva requisitos, incompatibilidades e limite de compras. Verificações da base continuam; texto livre é conferido pelo mestre e pelo bot.</t>
      </text>
    </comment>
    <comment ref="V336"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AD336"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V337"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AD337"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V338"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AD338"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V339"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AD339"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V340" authorId="0" shapeId="0">
      <text>
        <t>Campos por tipo: Origem: ROTA; Marcante: não usado; Menor: não usado; Arma: PROPRIEDADE 2; Escudo: não usado; Uniforme: não usado; Item comum: não usado; Ferramenta amaldiçoada: não usado.</t>
      </text>
    </comment>
    <comment ref="AD340" authorId="0" shapeId="0">
      <text>
        <t>Campos por tipo: Origem: ROTA; Marcante: não usado; Menor: não usado; Arma: PROPRIEDADE 2; Escudo: não usado; Uniforme: não usado; Item comum: não usado; Ferramenta amaldiçoada: não usado.</t>
      </text>
    </comment>
    <comment ref="DA340" authorId="0" shapeId="0">
      <text>
        <t>Efeito completo da Melhoria. Números do personagem sem campo próprio são registrados em BÔNUS E MUDANÇAS.</t>
      </text>
    </comment>
    <comment ref="DI340" authorId="0" shapeId="0">
      <text>
        <t>Efeito completo da Melhoria. Números do personagem sem campo próprio são registrados em BÔNUS E MUDANÇAS.</t>
      </text>
    </comment>
    <comment ref="V341"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AD341"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V342" authorId="0" shapeId="0">
      <text>
        <t>Campos por tipo: Origem: OFÍCIO; Marcante: não usado; Menor: não usado; Arma: PROPRIEDADE 4; Escudo: não usado; Uniforme: não usado; Item comum: não usado; Ferramenta amaldiçoada: não usado.</t>
      </text>
    </comment>
    <comment ref="AD342" authorId="0" shapeId="0">
      <text>
        <t>Campos por tipo: Origem: OFÍCIO; Marcante: não usado; Menor: não usado; Arma: PROPRIEDADE 4; Escudo: não usado; Uniforme: não usado; Item comum: não usado; Ferramenta amaldiçoada: não usado.</t>
      </text>
    </comment>
    <comment ref="V343" authorId="0" shapeId="0">
      <text>
        <t>Campos por tipo: Origem: TALENTO CE 4; Marcante: FREQUÊNCIA; Menor: FREQUÊNCIA; Arma: DADO; Escudo: PROTEÇÃO; Uniforme: PROTEÇÃO; Item comum: VOLUME; Ferramenta amaldiçoada: ESTIGMA.</t>
      </text>
    </comment>
    <comment ref="AD343" authorId="0" shapeId="0">
      <text>
        <t>Campos por tipo: Origem: TALENTO CE 4; Marcante: FREQUÊNCIA; Menor: FREQUÊNCIA; Arma: DADO; Escudo: PROTEÇÃO; Uniforme: PROTEÇÃO; Item comum: VOLUME; Ferramenta amaldiçoada: ESTIGMA.</t>
      </text>
    </comment>
    <comment ref="V344" authorId="0" shapeId="0">
      <text>
        <t>Campos por tipo: Origem: não usado; Marcante: não usado; Menor: não usado; Arma: FORÇA; Escudo: TETO DE DESTREZA; Uniforme: TETO DE DESTREZA; Item comum: PREÇO; Ferramenta amaldiçoada: DESGASTE.</t>
      </text>
    </comment>
    <comment ref="AD344" authorId="0" shapeId="0">
      <text>
        <t>Campos por tipo: Origem: não usado; Marcante: não usado; Menor: não usado; Arma: FORÇA; Escudo: TETO DE DESTREZA; Uniforme: TETO DE DESTREZA; Item comum: PREÇO; Ferramenta amaldiçoada: DESGASTE.</t>
      </text>
    </comment>
    <comment ref="V345" authorId="0" shapeId="0">
      <text>
        <t>Campos por tipo: Origem: não usado; Marcante: não usado; Menor: não usado; Arma: VOLUME; Escudo: FORÇA; Uniforme: FORÇA; Item comum: não usado; Ferramenta amaldiçoada: VOLUME.</t>
      </text>
    </comment>
    <comment ref="AD345" authorId="0" shapeId="0">
      <text>
        <t>Campos por tipo: Origem: não usado; Marcante: não usado; Menor: não usado; Arma: VOLUME; Escudo: FORÇA; Uniforme: FORÇA; Item comum: não usado; Ferramenta amaldiçoada: VOLUME.</t>
      </text>
    </comment>
    <comment ref="V346" authorId="0" shapeId="0">
      <text>
        <t>Campos por tipo: Origem: não usado; Marcante: não usado; Menor: não usado; Arma: ALCANCE; Escudo: VOLUME; Uniforme: VOLUME; Item comum: não usado; Ferramenta amaldiçoada: PREÇO.</t>
      </text>
    </comment>
    <comment ref="AD346" authorId="0" shapeId="0">
      <text>
        <t>Campos por tipo: Origem: não usado; Marcante: não usado; Menor: não usado; Arma: ALCANCE; Escudo: VOLUME; Uniforme: VOLUME; Item comum: não usado; Ferramenta amaldiçoada: PREÇO.</t>
      </text>
    </comment>
    <comment ref="V347" authorId="0" shapeId="0">
      <text>
        <t>Campos por tipo: Origem: não usado; Marcante: não usado; Menor: não usado; Arma: RECARGA; Escudo: PREÇO; Uniforme: PREÇO; Item comum: não usado; Ferramenta amaldiçoada: não usado.</t>
      </text>
    </comment>
    <comment ref="AD347" authorId="0" shapeId="0">
      <text>
        <t>Campos por tipo: Origem: não usado; Marcante: não usado; Menor: não usado; Arma: RECARGA; Escudo: PREÇO; Uniforme: PREÇO; Item comum: não usado; Ferramenta amaldiçoada: não usado.</t>
      </text>
    </comment>
    <comment ref="V348" authorId="0" shapeId="0">
      <text>
        <t>Campos por tipo: Origem: não usado; Marcante: não usado; Menor: não usado; Arma: PREÇO; Escudo: não usado; Uniforme: não usado; Item comum: não usado; Ferramenta amaldiçoada: não usado.</t>
      </text>
    </comment>
    <comment ref="AD348" authorId="0" shapeId="0">
      <text>
        <t>Campos por tipo: Origem: não usado; Marcante: não usado; Menor: não usado; Arma: PREÇO; Escudo: não usado; Uniforme: não usado; Item comum: não usado; Ferramenta amaldiçoada: não usado.</t>
      </text>
    </comment>
    <comment ref="T349" authorId="0" shapeId="0">
      <text>
        <t>Texto integral. Descreve regras; não interpreta a prosa como cálculo.</t>
      </text>
    </comment>
    <comment ref="AB349" authorId="0" shapeId="0">
      <text>
        <t>Texto integral. Descreve regras; não interpreta a prosa como cálculo.</t>
      </text>
    </comment>
    <comment ref="DA351" authorId="0" shapeId="0">
      <text>
        <t>Condição usa este mesmo cadastro e orçamento de Melhoria. Família em branco usa a base ou Controle sem base; EXIGE TR deve ficar vazio ou Sim. Peso e efeito seguem os campos deste cartão. Texto não executa regras.</t>
      </text>
    </comment>
    <comment ref="DE351" authorId="0" shapeId="0">
      <text>
        <t>Lembrete marcado pelo jogador. Aprovação ocorre pelo bot no chat.</t>
      </text>
    </comment>
    <comment ref="DI351" authorId="0" shapeId="0">
      <text>
        <t>Condição usa este mesmo cadastro e orçamento de Melhoria. Família em branco usa a base ou Controle sem base; EXIGE TR deve ficar vazio ou Sim. Peso e efeito seguem os campos deste cartão. Texto não executa regras.</t>
      </text>
    </comment>
    <comment ref="DM351" authorId="0" shapeId="0">
      <text>
        <t>Lembrete marcado pelo jogador. Aprovação ocorre pelo bot no chat.</t>
      </text>
    </comment>
    <comment ref="DL354" authorId="0" shapeId="0">
      <text>
        <t>Opcional. Nenhuma cria do zero. Com base, campos em branco e verificações específicas herdam o livro. Texto livre não cria automações.</t>
      </text>
    </comment>
    <comment ref="DD355" authorId="0" shapeId="0">
      <text>
        <t>Em branco herda a base; Nenhuma remove a Família. A técnica usa o estado cadastrado; entidades usam suas próprias Famílias abertas.</t>
      </text>
    </comment>
    <comment ref="DL355" authorId="0" shapeId="0">
      <text>
        <t>Em branco herda a base; Nenhuma remove a Família. A técnica usa o estado cadastrado; entidades usam suas próprias Famílias abertas.</t>
      </text>
    </comment>
    <comment ref="DD356" authorId="0" shapeId="0">
      <text>
        <t>Em branco herda a base. Sem base, escolha Leve, Média ou Pesada. Preços e desconto seguem a Classe da ficha.</t>
      </text>
    </comment>
    <comment ref="DL356" authorId="0" shapeId="0">
      <text>
        <t>Em branco herda a base. Sem base, escolha Leve, Média ou Pesada. Preços e desconto seguem a Classe da ficha.</t>
      </text>
    </comment>
    <comment ref="DD357" authorId="0" shapeId="0">
      <text>
        <t>Em branco herda a base. Sim indica que o efeito exige TR, inclusive em Forma de ataque.</t>
      </text>
    </comment>
    <comment ref="DL357" authorId="0" shapeId="0">
      <text>
        <t>Em branco herda a base. Sim indica que o efeito exige TR, inclusive em Forma de ataque.</t>
      </text>
    </comment>
    <comment ref="DA360" authorId="0" shapeId="0">
      <text>
        <t>Descreva requisitos, incompatibilidades e limite de compras. Verificações da base continuam; texto livre é conferido pelo mestre e pelo bot.</t>
      </text>
    </comment>
    <comment ref="DI360" authorId="0" shapeId="0">
      <text>
        <t>Descreva requisitos, incompatibilidades e limite de compras. Verificações da base continuam; texto livre é conferido pelo mestre e pelo bot.</t>
      </text>
    </comment>
    <comment ref="T361" authorId="0" shapeId="0">
      <text>
        <t>Troque o tipo e revise os valores que já estavam guardados.</t>
      </text>
    </comment>
    <comment ref="X361" authorId="0" shapeId="0">
      <text>
        <t>Lembrete do jogador; aprovação só pelo bot no chat.</t>
      </text>
    </comment>
    <comment ref="T363" authorId="0" shapeId="0">
      <text>
        <t>Nome único. Capacidades apontam para o nome da Origem, do livro ou custom.</t>
      </text>
    </comment>
    <comment ref="V365" authorId="0" shapeId="0">
      <text>
        <t>Campos por tipo: Origem: PERÍCIA 1; Marcante: ORIGEM; Menor: ORIGEM; Arma: CATEGORIA; Escudo: não usado; Uniforme: GRAU MÍNIMO; Item comum: não usado; Ferramenta amaldiçoada: BASE. Origem: quatro opções distintas, escolha uma ao criar o personagem. Marcante própria: só Restrição corporal ou Origem criada do zero; base do livro mantém opções publicadas (R52).</t>
      </text>
    </comment>
    <comment ref="V366" authorId="0" shapeId="0">
      <text>
        <t>Campos por tipo: Origem: PERÍCIA 2; Marcante: não usado; Menor: EXIGE MARCANTE; Arma: MÃO; Escudo: não usado; Uniforme: não usado; Item comum: não usado; Ferramenta amaldiçoada: GRAU. Origem: quatro opções distintas, escolha uma ao criar o personagem.</t>
      </text>
    </comment>
    <comment ref="DA366" authorId="0" shapeId="0">
      <text>
        <t>Efeito completo da Melhoria. Números do personagem sem campo próprio são registrados em BÔNUS E MUDANÇAS.</t>
      </text>
    </comment>
    <comment ref="DI366" authorId="0" shapeId="0">
      <text>
        <t>Efeito completo da Melhoria. Números do personagem sem campo próprio são registrados em BÔNUS E MUDANÇAS.</t>
      </text>
    </comment>
    <comment ref="V367" authorId="0" shapeId="0">
      <text>
        <t>Campos por tipo: Origem: PERÍCIA 3; Marcante: não usado; Menor: não usado; Arma: TIPO DE DANO; Escudo: não usado; Uniforme: não usado; Item comum: não usado; Ferramenta amaldiçoada: não usado. Origem: quatro opções distintas, escolha uma ao criar o personagem.</t>
      </text>
    </comment>
    <comment ref="V368" authorId="0" shapeId="0">
      <text>
        <t>Campos por tipo: Origem: PERÍCIA 4; Marcante: não usado; Menor: não usado; Arma: PROPRIEDADE 1; Escudo: não usado; Uniforme: não usado; Item comum: não usado; Ferramenta amaldiçoada: não usado. Origem: quatro opções distintas, escolha uma ao criar o personagem.</t>
      </text>
    </comment>
    <comment ref="V369" authorId="0" shapeId="0">
      <text>
        <t>Campos por tipo: Origem: ROTA; Marcante: não usado; Menor: não usado; Arma: PROPRIEDADE 2; Escudo: não usado; Uniforme: não usado; Item comum: não usado; Ferramenta amaldiçoada: não usado.</t>
      </text>
    </comment>
    <comment ref="V370" authorId="0" shapeId="0">
      <text>
        <t>Campos por tipo: Origem: BASE DO LIVRO; Marcante: não usado; Menor: não usado; Arma: PROPRIEDADE 3; Escudo: não usado; Uniforme: não usado; Item comum: não usado; Ferramenta amaldiçoada: não usado. BASE DO LIVRO = Nenhuma permite criar do zero; rota própria, sem herdar benefícios exclusivos.</t>
      </text>
    </comment>
    <comment ref="V371" authorId="0" shapeId="0">
      <text>
        <t>Campos por tipo: Origem: OFÍCIO; Marcante: não usado; Menor: não usado; Arma: PROPRIEDADE 4; Escudo: não usado; Uniforme: não usado; Item comum: não usado; Ferramenta amaldiçoada: não usado.</t>
      </text>
    </comment>
    <comment ref="V372" authorId="0" shapeId="0">
      <text>
        <t>Campos por tipo: Origem: TALENTO CE 4; Marcante: FREQUÊNCIA; Menor: FREQUÊNCIA; Arma: DADO; Escudo: PROTEÇÃO; Uniforme: PROTEÇÃO; Item comum: VOLUME; Ferramenta amaldiçoada: ESTIGMA.</t>
      </text>
    </comment>
    <comment ref="V373" authorId="0" shapeId="0">
      <text>
        <t>Campos por tipo: Origem: não usado; Marcante: não usado; Menor: não usado; Arma: FORÇA; Escudo: TETO DE DESTREZA; Uniforme: TETO DE DESTREZA; Item comum: PREÇO; Ferramenta amaldiçoada: DESGASTE.</t>
      </text>
    </comment>
    <comment ref="V374" authorId="0" shapeId="0">
      <text>
        <t>Campos por tipo: Origem: não usado; Marcante: não usado; Menor: não usado; Arma: VOLUME; Escudo: FORÇA; Uniforme: FORÇA; Item comum: não usado; Ferramenta amaldiçoada: VOLUME.</t>
      </text>
    </comment>
    <comment ref="V375" authorId="0" shapeId="0">
      <text>
        <t>Campos por tipo: Origem: não usado; Marcante: não usado; Menor: não usado; Arma: ALCANCE; Escudo: VOLUME; Uniforme: VOLUME; Item comum: não usado; Ferramenta amaldiçoada: PREÇO.</t>
      </text>
    </comment>
    <comment ref="V376" authorId="0" shapeId="0">
      <text>
        <t>Campos por tipo: Origem: não usado; Marcante: não usado; Menor: não usado; Arma: RECARGA; Escudo: PREÇO; Uniforme: PREÇO; Item comum: não usado; Ferramenta amaldiçoada: não usado.</t>
      </text>
    </comment>
    <comment ref="V377" authorId="0" shapeId="0">
      <text>
        <t>Campos por tipo: Origem: não usado; Marcante: não usado; Menor: não usado; Arma: PREÇO; Escudo: não usado; Uniforme: não usado; Item comum: não usado; Ferramenta amaldiçoada: não usado.</t>
      </text>
    </comment>
    <comment ref="DA377" authorId="0" shapeId="0">
      <text>
        <t>Condição usa este mesmo cadastro e orçamento de Melhoria. Família em branco usa a base ou Controle sem base; EXIGE TR deve ficar vazio ou Sim. Peso e efeito seguem os campos deste cartão. Texto não executa regras.</t>
      </text>
    </comment>
    <comment ref="DE377" authorId="0" shapeId="0">
      <text>
        <t>Lembrete marcado pelo jogador. Aprovação ocorre pelo bot no chat.</t>
      </text>
    </comment>
    <comment ref="DI377" authorId="0" shapeId="0">
      <text>
        <t>Condição usa este mesmo cadastro e orçamento de Melhoria. Família em branco usa a base ou Controle sem base; EXIGE TR deve ficar vazio ou Sim. Peso e efeito seguem os campos deste cartão. Texto não executa regras.</t>
      </text>
    </comment>
    <comment ref="DM377" authorId="0" shapeId="0">
      <text>
        <t>Lembrete marcado pelo jogador. Aprovação ocorre pelo bot no chat.</t>
      </text>
    </comment>
    <comment ref="T378" authorId="0" shapeId="0">
      <text>
        <t>Texto integral. Descreve regras; não interpreta a prosa como cálculo.</t>
      </text>
    </comment>
    <comment ref="DL380" authorId="0" shapeId="0">
      <text>
        <t>Opcional. Nenhuma cria do zero. Com base, campos em branco e verificações específicas herdam o livro. Texto livre não cria automações.</t>
      </text>
    </comment>
    <comment ref="DD381" authorId="0" shapeId="0">
      <text>
        <t>Em branco herda a base; Nenhuma remove a Família. A técnica usa o estado cadastrado; entidades usam suas próprias Famílias abertas.</t>
      </text>
    </comment>
    <comment ref="DL381" authorId="0" shapeId="0">
      <text>
        <t>Em branco herda a base; Nenhuma remove a Família. A técnica usa o estado cadastrado; entidades usam suas próprias Famílias abertas.</t>
      </text>
    </comment>
    <comment ref="DD382" authorId="0" shapeId="0">
      <text>
        <t>Em branco herda a base. Sem base, escolha Leve, Média ou Pesada. Preços e desconto seguem a Classe da ficha.</t>
      </text>
    </comment>
    <comment ref="DL382" authorId="0" shapeId="0">
      <text>
        <t>Em branco herda a base. Sem base, escolha Leve, Média ou Pesada. Preços e desconto seguem a Classe da ficha.</t>
      </text>
    </comment>
    <comment ref="DD383" authorId="0" shapeId="0">
      <text>
        <t>Em branco herda a base. Sim indica que o efeito exige TR, inclusive em Forma de ataque.</t>
      </text>
    </comment>
    <comment ref="DL383" authorId="0" shapeId="0">
      <text>
        <t>Em branco herda a base. Sim indica que o efeito exige TR, inclusive em Forma de ataque.</t>
      </text>
    </comment>
    <comment ref="DA386" authorId="0" shapeId="0">
      <text>
        <t>Descreva requisitos, incompatibilidades e limite de compras. Verificações da base continuam; texto livre é conferido pelo mestre e pelo bot.</t>
      </text>
    </comment>
    <comment ref="DI386" authorId="0" shapeId="0">
      <text>
        <t>Descreva requisitos, incompatibilidades e limite de compras. Verificações da base continuam; texto livre é conferido pelo mestre e pelo bot.</t>
      </text>
    </comment>
    <comment ref="DA392" authorId="0" shapeId="0">
      <text>
        <t>Efeito completo da Melhoria. Números do personagem sem campo próprio são registrados em BÔNUS E MUDANÇAS.</t>
      </text>
    </comment>
    <comment ref="DI392" authorId="0" shapeId="0">
      <text>
        <t>Efeito completo da Melhoria. Números do personagem sem campo próprio são registrados em BÔNUS E MUDANÇAS.</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_rels/drawing2.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s>
</file>

<file path=xl/drawings/_rels/drawing5.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oneCellAnchor>
    <from>
      <col>0</col>
      <colOff>0</colOff>
      <row>4</row>
      <rowOff>0</rowOff>
    </from>
    <ext cx="11811000" cy="133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14</col>
      <colOff>0</colOff>
      <row>14</row>
      <rowOff>0</rowOff>
    </from>
    <ext cx="5334000" cy="104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37</col>
      <colOff>0</colOff>
      <row>25</row>
      <rowOff>0</rowOff>
    </from>
    <ext cx="1000125" cy="10001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6</row>
      <rowOff>0</rowOff>
    </from>
    <ext cx="266700" cy="2000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21</row>
      <rowOff>0</rowOff>
    </from>
    <ext cx="266700" cy="257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5</row>
      <rowOff>0</rowOff>
    </from>
    <ext cx="11239500" cy="114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42</col>
      <colOff>0</colOff>
      <row>129</row>
      <rowOff>0</rowOff>
    </from>
    <ext cx="800100" cy="657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2</col>
      <colOff>0</colOff>
      <row>5</row>
      <rowOff>0</rowOff>
    </from>
    <ext cx="13868400" cy="114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col>
      <colOff>0</colOff>
      <row>5</row>
      <rowOff>0</rowOff>
    </from>
    <ext cx="31975425" cy="114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2</col>
      <colOff>0</colOff>
      <row>5</row>
      <rowOff>0</rowOff>
    </from>
    <ext cx="11239500" cy="114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U50"/>
  <sheetViews>
    <sheetView showGridLines="0" workbookViewId="0">
      <selection activeCell="A1" sqref="A1"/>
    </sheetView>
  </sheetViews>
  <sheetFormatPr baseColWidth="8" defaultRowHeight="15.75" customHeight="1"/>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row>
    <row r="2" ht="27" customHeight="1">
      <c r="A2" s="1" t="n"/>
      <c r="B2" s="1" t="n"/>
      <c r="C2" s="2" t="inlineStr">
        <is>
          <t>呪術廻戦</t>
        </is>
      </c>
      <c r="K2" s="1" t="n"/>
      <c r="L2" s="3">
        <f>UPPER(DADOS!$F$1)</f>
        <v/>
      </c>
      <c r="AE2" s="1" t="n"/>
      <c r="AF2" s="1" t="n"/>
      <c r="AG2" s="1" t="n"/>
      <c r="AH2" s="4">
        <f>"Nº M-"&amp;DADOS!$B$1&amp;"-"&amp;IF(FICHA!$AB$2="","····",UPPER(LEFT(FICHA!$AB$2,4)))</f>
        <v/>
      </c>
      <c r="AU2" s="1" t="n"/>
    </row>
    <row r="3">
      <c r="A3" s="1" t="n"/>
      <c r="B3" s="1" t="n"/>
      <c r="K3" s="1" t="n"/>
      <c r="L3" s="5" t="inlineStr">
        <is>
          <t>Carteira de registro · Documento oficial</t>
        </is>
      </c>
      <c r="AE3" s="1" t="n"/>
      <c r="AF3" s="1" t="n"/>
      <c r="AG3" s="1" t="n"/>
      <c r="AH3" s="6">
        <f>"Emitida "&amp;TEXT(TODAY(),"dd.mm.yyyy")</f>
        <v/>
      </c>
      <c r="AU3" s="1"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row>
    <row r="5">
      <c r="A5" s="8" t="n"/>
      <c r="AS5" s="8" t="n"/>
      <c r="AT5" s="8" t="n"/>
      <c r="AU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9" t="n"/>
      <c r="AB6" s="8" t="n"/>
      <c r="AC6" s="8" t="n"/>
      <c r="AD6" s="8" t="n"/>
      <c r="AE6" s="8" t="n"/>
      <c r="AF6" s="8" t="n"/>
      <c r="AG6" s="8" t="n"/>
      <c r="AH6" s="8" t="n"/>
      <c r="AI6" s="8" t="n"/>
      <c r="AJ6" s="8" t="n"/>
      <c r="AK6" s="8" t="n"/>
      <c r="AL6" s="8" t="n"/>
      <c r="AM6" s="8" t="n"/>
      <c r="AN6" s="8" t="n"/>
      <c r="AO6" s="8" t="n"/>
      <c r="AP6" s="8" t="n"/>
      <c r="AQ6" s="8" t="n"/>
      <c r="AR6" s="8" t="n"/>
      <c r="AS6" s="8" t="n"/>
      <c r="AT6" s="8" t="n"/>
      <c r="AU6" s="8" t="n"/>
    </row>
    <row r="7">
      <c r="A7" s="8" t="n"/>
      <c r="B7" s="8" t="n"/>
      <c r="C7" s="10" t="n"/>
      <c r="D7" s="10" t="n"/>
      <c r="E7" s="10" t="n"/>
      <c r="F7" s="10" t="n"/>
      <c r="G7" s="10" t="n"/>
      <c r="H7" s="10" t="n"/>
      <c r="I7" s="10" t="n"/>
      <c r="J7" s="10" t="n"/>
      <c r="K7" s="10" t="n"/>
      <c r="L7" s="11" t="n"/>
      <c r="M7" s="8" t="n"/>
      <c r="N7" s="8" t="n"/>
      <c r="O7" s="8" t="n"/>
      <c r="P7" s="8" t="n"/>
      <c r="Q7" s="8" t="n"/>
      <c r="R7" s="8" t="n"/>
      <c r="S7" s="8" t="n"/>
      <c r="T7" s="8" t="n"/>
      <c r="U7" s="8" t="n"/>
      <c r="V7" s="8" t="n"/>
      <c r="W7" s="8" t="n"/>
      <c r="X7" s="8" t="n"/>
      <c r="Y7" s="8" t="n"/>
      <c r="Z7" s="8" t="n"/>
      <c r="AA7" s="8" t="n"/>
      <c r="AB7" s="8" t="n"/>
      <c r="AC7" s="8" t="n"/>
      <c r="AD7" s="8" t="n"/>
      <c r="AE7" s="8" t="n"/>
      <c r="AF7" s="8" t="n"/>
      <c r="AG7" s="8" t="n"/>
      <c r="AH7" s="8" t="n"/>
      <c r="AI7" s="8" t="n"/>
      <c r="AJ7" s="8" t="n"/>
      <c r="AK7" s="8" t="n"/>
      <c r="AL7" s="8" t="n"/>
      <c r="AM7" s="8" t="n"/>
      <c r="AN7" s="8" t="n"/>
      <c r="AO7" s="8" t="n"/>
      <c r="AP7" s="8" t="n"/>
      <c r="AQ7" s="8" t="n"/>
      <c r="AR7" s="8" t="n"/>
      <c r="AS7" s="8" t="n"/>
      <c r="AT7" s="8" t="n"/>
      <c r="AU7" s="8" t="n"/>
    </row>
    <row r="8">
      <c r="A8" s="8" t="n"/>
      <c r="B8" s="12" t="n"/>
      <c r="C8" s="13" t="inlineStr">
        <is>
          <t>FOTO
顔</t>
        </is>
      </c>
      <c r="L8" s="14" t="n"/>
      <c r="M8" s="8" t="n"/>
      <c r="N8" s="8" t="n"/>
      <c r="O8" s="15" t="inlineStr">
        <is>
          <t>PORTADOR</t>
        </is>
      </c>
      <c r="P8" s="16" t="n"/>
      <c r="Q8" s="16" t="n"/>
      <c r="R8" s="16" t="n"/>
      <c r="S8" s="16" t="n"/>
      <c r="T8" s="16" t="n"/>
      <c r="U8" s="16" t="n"/>
      <c r="V8" s="16" t="n"/>
      <c r="W8" s="16" t="n"/>
      <c r="X8" s="16" t="n"/>
      <c r="Y8" s="17" t="n"/>
      <c r="Z8" s="8" t="n"/>
      <c r="AA8" s="8" t="n"/>
      <c r="AB8" s="8" t="n"/>
      <c r="AC8" s="8" t="n"/>
      <c r="AD8" s="8" t="n"/>
      <c r="AE8" s="8" t="n"/>
      <c r="AF8" s="8" t="n"/>
      <c r="AG8" s="8" t="n"/>
      <c r="AH8" s="8" t="n"/>
      <c r="AI8" s="8" t="n"/>
      <c r="AJ8" s="8" t="n"/>
      <c r="AK8" s="8" t="n"/>
      <c r="AL8" s="8" t="n"/>
      <c r="AM8" s="8" t="n"/>
      <c r="AN8" s="8" t="n"/>
      <c r="AO8" s="8" t="n"/>
      <c r="AP8" s="8" t="n"/>
      <c r="AQ8" s="8" t="n"/>
      <c r="AR8" s="8" t="n"/>
      <c r="AS8" s="8" t="n"/>
      <c r="AT8" s="8" t="n"/>
      <c r="AU8" s="8" t="n"/>
    </row>
    <row r="9">
      <c r="A9" s="8" t="n"/>
      <c r="B9" s="12" t="n"/>
      <c r="L9" s="14" t="n"/>
      <c r="M9" s="8" t="n"/>
      <c r="N9" s="8" t="n"/>
      <c r="O9" s="18" t="inlineStr">
        <is>
          <t>Coloque o nome do personagem aqui</t>
        </is>
      </c>
      <c r="P9" s="19" t="n"/>
      <c r="Q9" s="19" t="n"/>
      <c r="R9" s="19" t="n"/>
      <c r="S9" s="19" t="n"/>
      <c r="T9" s="19" t="n"/>
      <c r="U9" s="19" t="n"/>
      <c r="V9" s="19" t="n"/>
      <c r="W9" s="19" t="n"/>
      <c r="X9" s="19" t="n"/>
      <c r="Y9" s="19" t="n"/>
      <c r="Z9" s="19" t="n"/>
      <c r="AA9" s="19" t="n"/>
      <c r="AB9" s="19" t="n"/>
      <c r="AC9" s="19" t="n"/>
      <c r="AD9" s="19" t="n"/>
      <c r="AE9" s="19" t="n"/>
      <c r="AF9" s="19" t="n"/>
      <c r="AG9" s="19" t="n"/>
      <c r="AH9" s="20" t="n"/>
      <c r="AI9" s="8" t="n"/>
      <c r="AJ9" s="8" t="n"/>
      <c r="AK9" s="8" t="n"/>
      <c r="AL9" s="8" t="n"/>
      <c r="AM9" s="8" t="n"/>
      <c r="AN9" s="8" t="n"/>
      <c r="AO9" s="8" t="n"/>
      <c r="AP9" s="8" t="n"/>
      <c r="AQ9" s="8" t="n"/>
      <c r="AR9" s="8" t="n"/>
      <c r="AS9" s="8" t="n"/>
      <c r="AT9" s="8" t="n"/>
      <c r="AU9" s="8" t="n"/>
    </row>
    <row r="10">
      <c r="A10" s="8" t="n"/>
      <c r="B10" s="12" t="n"/>
      <c r="L10" s="14" t="n"/>
      <c r="M10" s="8" t="n"/>
      <c r="N10" s="8" t="n"/>
      <c r="O10" s="21" t="n"/>
      <c r="AH10" s="22" t="n"/>
      <c r="AI10" s="8" t="n"/>
      <c r="AJ10" s="8" t="n"/>
      <c r="AK10" s="8" t="n"/>
      <c r="AL10" s="8" t="n"/>
      <c r="AM10" s="8" t="n"/>
      <c r="AN10" s="8" t="n"/>
      <c r="AO10" s="8" t="n"/>
      <c r="AP10" s="8" t="n"/>
      <c r="AQ10" s="8" t="n"/>
      <c r="AR10" s="8" t="n"/>
      <c r="AS10" s="8" t="n"/>
      <c r="AT10" s="8" t="n"/>
      <c r="AU10" s="8" t="n"/>
    </row>
    <row r="11">
      <c r="A11" s="8" t="n"/>
      <c r="B11" s="12" t="n"/>
      <c r="L11" s="14" t="n"/>
      <c r="M11" s="8" t="n"/>
      <c r="N11" s="8" t="n"/>
      <c r="O11" s="21" t="n"/>
      <c r="AH11" s="22" t="n"/>
      <c r="AI11" s="8" t="n"/>
      <c r="AJ11" s="8" t="n"/>
      <c r="AK11" s="8" t="n"/>
      <c r="AL11" s="8" t="n"/>
      <c r="AM11" s="8" t="n"/>
      <c r="AN11" s="8" t="n"/>
      <c r="AO11" s="8" t="n"/>
      <c r="AP11" s="8" t="n"/>
      <c r="AQ11" s="8" t="n"/>
      <c r="AR11" s="8" t="n"/>
      <c r="AS11" s="8" t="n"/>
      <c r="AT11" s="8" t="n"/>
      <c r="AU11" s="8" t="n"/>
    </row>
    <row r="12">
      <c r="A12" s="8" t="n"/>
      <c r="B12" s="12" t="n"/>
      <c r="L12" s="14" t="n"/>
      <c r="M12" s="8" t="n"/>
      <c r="N12" s="8" t="n"/>
      <c r="O12" s="23" t="n"/>
      <c r="P12" s="24" t="n"/>
      <c r="Q12" s="24" t="n"/>
      <c r="R12" s="24" t="n"/>
      <c r="S12" s="24" t="n"/>
      <c r="T12" s="24" t="n"/>
      <c r="U12" s="24" t="n"/>
      <c r="V12" s="24" t="n"/>
      <c r="W12" s="24" t="n"/>
      <c r="X12" s="24" t="n"/>
      <c r="Y12" s="24" t="n"/>
      <c r="Z12" s="24" t="n"/>
      <c r="AA12" s="24" t="n"/>
      <c r="AB12" s="24" t="n"/>
      <c r="AC12" s="24" t="n"/>
      <c r="AD12" s="24" t="n"/>
      <c r="AE12" s="24" t="n"/>
      <c r="AF12" s="24" t="n"/>
      <c r="AG12" s="24" t="n"/>
      <c r="AH12" s="25" t="n"/>
      <c r="AI12" s="8" t="n"/>
      <c r="AJ12" s="8" t="n"/>
      <c r="AK12" s="8" t="n"/>
      <c r="AL12" s="8" t="n"/>
      <c r="AM12" s="8" t="n"/>
      <c r="AN12" s="8" t="n"/>
      <c r="AO12" s="8" t="n"/>
      <c r="AP12" s="8" t="n"/>
      <c r="AQ12" s="8" t="n"/>
      <c r="AR12" s="8" t="n"/>
      <c r="AS12" s="8" t="n"/>
      <c r="AT12" s="8" t="n"/>
      <c r="AU12" s="8" t="n"/>
    </row>
    <row r="13">
      <c r="A13" s="8" t="n"/>
      <c r="B13" s="12" t="n"/>
      <c r="L13" s="14" t="n"/>
      <c r="M13" s="8" t="n"/>
      <c r="N13" s="8" t="n"/>
      <c r="O13" s="8" t="n"/>
      <c r="Z13" s="8" t="n"/>
      <c r="AA13" s="8" t="n"/>
      <c r="AB13" s="8" t="n"/>
      <c r="AC13" s="8" t="n"/>
      <c r="AD13" s="8" t="n"/>
      <c r="AE13" s="8" t="n"/>
      <c r="AF13" s="8" t="n"/>
      <c r="AG13" s="8" t="n"/>
      <c r="AH13" s="8" t="n"/>
      <c r="AI13" s="8" t="n"/>
      <c r="AJ13" s="8" t="n"/>
      <c r="AK13" s="8" t="n"/>
      <c r="AL13" s="8" t="n"/>
      <c r="AM13" s="8" t="n"/>
      <c r="AN13" s="8" t="n"/>
      <c r="AO13" s="8" t="n"/>
      <c r="AP13" s="8" t="n"/>
      <c r="AQ13" s="8" t="n"/>
      <c r="AR13" s="8" t="n"/>
      <c r="AS13" s="8" t="n"/>
      <c r="AT13" s="8" t="n"/>
      <c r="AU13" s="8" t="n"/>
    </row>
    <row r="14">
      <c r="A14" s="8" t="n"/>
      <c r="B14" s="12" t="n"/>
      <c r="L14" s="14"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c r="AI14" s="8" t="n"/>
      <c r="AJ14" s="8" t="n"/>
      <c r="AK14" s="8" t="n"/>
      <c r="AL14" s="8" t="n"/>
      <c r="AM14" s="8" t="n"/>
      <c r="AN14" s="8" t="n"/>
      <c r="AO14" s="8" t="n"/>
      <c r="AP14" s="8" t="n"/>
      <c r="AQ14" s="8" t="n"/>
      <c r="AR14" s="8" t="n"/>
      <c r="AS14" s="8" t="n"/>
      <c r="AT14" s="8" t="n"/>
      <c r="AU14" s="8" t="n"/>
    </row>
    <row r="15">
      <c r="A15" s="8" t="n"/>
      <c r="B15" s="12" t="n"/>
      <c r="L15" s="14" t="n"/>
      <c r="M15" s="8" t="n"/>
      <c r="N15" s="8" t="n"/>
      <c r="O15" s="8" t="n"/>
      <c r="AI15" s="8" t="n"/>
      <c r="AJ15" s="8" t="n"/>
      <c r="AK15" s="8" t="n"/>
      <c r="AL15" s="8" t="n"/>
      <c r="AM15" s="8" t="n"/>
      <c r="AN15" s="8" t="n"/>
      <c r="AO15" s="8" t="n"/>
      <c r="AP15" s="8" t="n"/>
      <c r="AQ15" s="8" t="n"/>
      <c r="AR15" s="8" t="n"/>
      <c r="AS15" s="8" t="n"/>
      <c r="AT15" s="8" t="n"/>
      <c r="AU15" s="8" t="n"/>
    </row>
    <row r="16">
      <c r="A16" s="8" t="n"/>
      <c r="B16" s="12" t="n"/>
      <c r="L16" s="14"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row>
    <row r="17">
      <c r="A17" s="8" t="n"/>
      <c r="B17" s="12" t="n"/>
      <c r="L17" s="14" t="n"/>
      <c r="M17" s="8" t="n"/>
      <c r="N17" s="8" t="n"/>
      <c r="O17" s="26" t="inlineStr">
        <is>
          <t>CAMINHO</t>
        </is>
      </c>
      <c r="P17" s="16" t="n"/>
      <c r="Q17" s="16" t="n"/>
      <c r="R17" s="16" t="n"/>
      <c r="S17" s="16" t="n"/>
      <c r="T17" s="16" t="n"/>
      <c r="U17" s="16" t="n"/>
      <c r="V17" s="16" t="n"/>
      <c r="W17" s="16" t="n"/>
      <c r="X17" s="17" t="n"/>
      <c r="Y17" s="14" t="n"/>
      <c r="Z17" s="27" t="inlineStr">
        <is>
          <t>TRILHA</t>
        </is>
      </c>
      <c r="AA17" s="16" t="n"/>
      <c r="AB17" s="16" t="n"/>
      <c r="AC17" s="16" t="n"/>
      <c r="AD17" s="16" t="n"/>
      <c r="AE17" s="16" t="n"/>
      <c r="AF17" s="16" t="n"/>
      <c r="AG17" s="16" t="n"/>
      <c r="AH17" s="16" t="n"/>
      <c r="AI17" s="17" t="n"/>
      <c r="AJ17" s="8" t="n"/>
      <c r="AK17" s="26" t="inlineStr">
        <is>
          <t>ORIGEM</t>
        </is>
      </c>
      <c r="AL17" s="16" t="n"/>
      <c r="AM17" s="16" t="n"/>
      <c r="AN17" s="16" t="n"/>
      <c r="AO17" s="16" t="n"/>
      <c r="AP17" s="16" t="n"/>
      <c r="AQ17" s="16" t="n"/>
      <c r="AR17" s="16" t="n"/>
      <c r="AS17" s="16" t="n"/>
      <c r="AT17" s="17" t="n"/>
      <c r="AU17" s="8" t="n"/>
    </row>
    <row r="18" ht="20.25" customHeight="1">
      <c r="A18" s="8" t="n"/>
      <c r="B18" s="12" t="n"/>
      <c r="L18" s="14" t="n"/>
      <c r="M18" s="8" t="n"/>
      <c r="N18" s="8" t="n"/>
      <c r="O18" s="28">
        <f>IF(OR(FICHA!D11="",FICHA!D11="Escolha seu Caminho"),"—",FICHA!D11)</f>
        <v/>
      </c>
      <c r="P18" s="19" t="n"/>
      <c r="Q18" s="19" t="n"/>
      <c r="R18" s="19" t="n"/>
      <c r="S18" s="19" t="n"/>
      <c r="T18" s="19" t="n"/>
      <c r="U18" s="19" t="n"/>
      <c r="V18" s="19" t="n"/>
      <c r="W18" s="19" t="n"/>
      <c r="X18" s="20" t="n"/>
      <c r="Y18" s="14" t="n"/>
      <c r="Z18" s="29">
        <f>IF(OR(FICHA!N11="",FICHA!N11="Escolha sua Trilha"),"—",FICHA!N11)</f>
        <v/>
      </c>
      <c r="AA18" s="19" t="n"/>
      <c r="AB18" s="19" t="n"/>
      <c r="AC18" s="19" t="n"/>
      <c r="AD18" s="19" t="n"/>
      <c r="AE18" s="19" t="n"/>
      <c r="AF18" s="19" t="n"/>
      <c r="AG18" s="19" t="n"/>
      <c r="AH18" s="19" t="n"/>
      <c r="AI18" s="20" t="n"/>
      <c r="AJ18" s="8" t="n"/>
      <c r="AK18" s="30">
        <f>IF(FICHA!X11="","—",FICHA!X11)</f>
        <v/>
      </c>
      <c r="AL18" s="19" t="n"/>
      <c r="AM18" s="19" t="n"/>
      <c r="AN18" s="19" t="n"/>
      <c r="AO18" s="19" t="n"/>
      <c r="AP18" s="19" t="n"/>
      <c r="AQ18" s="19" t="n"/>
      <c r="AR18" s="19" t="n"/>
      <c r="AS18" s="19" t="n"/>
      <c r="AT18" s="20" t="n"/>
      <c r="AU18" s="8" t="n"/>
    </row>
    <row r="19">
      <c r="A19" s="8" t="n"/>
      <c r="B19" s="12" t="n"/>
      <c r="L19" s="14" t="n"/>
      <c r="M19" s="8" t="n"/>
      <c r="N19" s="8" t="n"/>
      <c r="O19" s="10" t="n"/>
      <c r="P19" s="10" t="n"/>
      <c r="Q19" s="10" t="n"/>
      <c r="R19" s="10" t="n"/>
      <c r="S19" s="10" t="n"/>
      <c r="T19" s="10" t="n"/>
      <c r="U19" s="10" t="n"/>
      <c r="V19" s="10" t="n"/>
      <c r="W19" s="10" t="n"/>
      <c r="X19" s="10" t="n"/>
      <c r="Y19" s="8" t="n"/>
      <c r="Z19" s="10" t="n"/>
      <c r="AA19" s="10" t="n"/>
      <c r="AB19" s="10" t="n"/>
      <c r="AC19" s="10" t="n"/>
      <c r="AD19" s="10" t="n"/>
      <c r="AE19" s="10" t="n"/>
      <c r="AF19" s="10" t="n"/>
      <c r="AG19" s="10" t="n"/>
      <c r="AH19" s="10" t="n"/>
      <c r="AI19" s="10" t="n"/>
      <c r="AJ19" s="8" t="n"/>
      <c r="AK19" s="10" t="n"/>
      <c r="AL19" s="10" t="n"/>
      <c r="AM19" s="10" t="n"/>
      <c r="AN19" s="10" t="n"/>
      <c r="AO19" s="10" t="n"/>
      <c r="AP19" s="10" t="n"/>
      <c r="AQ19" s="10" t="n"/>
      <c r="AR19" s="10" t="n"/>
      <c r="AS19" s="10" t="n"/>
      <c r="AT19" s="10" t="n"/>
      <c r="AU19" s="8" t="n"/>
    </row>
    <row r="20">
      <c r="A20" s="8" t="n"/>
      <c r="B20" s="12" t="n"/>
      <c r="L20" s="14" t="n"/>
      <c r="M20" s="8" t="n"/>
      <c r="N20" s="8" t="n"/>
      <c r="O20" s="31" t="n"/>
      <c r="P20" s="31" t="n"/>
      <c r="Q20" s="31" t="n"/>
      <c r="R20" s="31" t="n"/>
      <c r="S20" s="31" t="n"/>
      <c r="T20" s="31" t="n"/>
      <c r="U20" s="31" t="n"/>
      <c r="V20" s="31" t="n"/>
      <c r="W20" s="31" t="n"/>
      <c r="X20" s="31" t="n"/>
      <c r="Y20" s="8" t="n"/>
      <c r="Z20" s="31" t="n"/>
      <c r="AA20" s="31" t="n"/>
      <c r="AB20" s="31" t="n"/>
      <c r="AC20" s="31" t="n"/>
      <c r="AD20" s="31" t="n"/>
      <c r="AE20" s="31" t="n"/>
      <c r="AF20" s="31" t="n"/>
      <c r="AG20" s="31" t="n"/>
      <c r="AH20" s="31" t="n"/>
      <c r="AI20" s="31" t="n"/>
      <c r="AJ20" s="8" t="n"/>
      <c r="AK20" s="31" t="n"/>
      <c r="AL20" s="31" t="n"/>
      <c r="AM20" s="31" t="n"/>
      <c r="AN20" s="31" t="n"/>
      <c r="AO20" s="31" t="n"/>
      <c r="AP20" s="31" t="n"/>
      <c r="AQ20" s="31" t="n"/>
      <c r="AR20" s="31" t="n"/>
      <c r="AS20" s="31" t="n"/>
      <c r="AT20" s="31" t="n"/>
      <c r="AU20" s="8" t="n"/>
    </row>
    <row r="21">
      <c r="A21" s="8" t="n"/>
      <c r="B21" s="12" t="n"/>
      <c r="L21" s="14" t="n"/>
      <c r="M21" s="8" t="n"/>
      <c r="N21" s="8" t="n"/>
      <c r="O21" s="32" t="inlineStr">
        <is>
          <t>NÍVEL</t>
        </is>
      </c>
      <c r="P21" s="24" t="n"/>
      <c r="Q21" s="24" t="n"/>
      <c r="R21" s="24" t="n"/>
      <c r="S21" s="24" t="n"/>
      <c r="T21" s="24" t="n"/>
      <c r="U21" s="24" t="n"/>
      <c r="V21" s="24" t="n"/>
      <c r="W21" s="24" t="n"/>
      <c r="X21" s="25" t="n"/>
      <c r="Y21" s="14" t="n"/>
      <c r="Z21" s="33" t="inlineStr">
        <is>
          <t>SERVIDOR USADO</t>
        </is>
      </c>
      <c r="AA21" s="24" t="n"/>
      <c r="AB21" s="24" t="n"/>
      <c r="AC21" s="24" t="n"/>
      <c r="AD21" s="24" t="n"/>
      <c r="AE21" s="24" t="n"/>
      <c r="AF21" s="24" t="n"/>
      <c r="AG21" s="24" t="n"/>
      <c r="AH21" s="24" t="n"/>
      <c r="AI21" s="25" t="n"/>
      <c r="AJ21" s="8" t="n"/>
      <c r="AK21" s="32" t="inlineStr">
        <is>
          <t>REGISTRADO POR</t>
        </is>
      </c>
      <c r="AL21" s="24" t="n"/>
      <c r="AM21" s="24" t="n"/>
      <c r="AN21" s="24" t="n"/>
      <c r="AO21" s="24" t="n"/>
      <c r="AP21" s="24" t="n"/>
      <c r="AQ21" s="24" t="n"/>
      <c r="AR21" s="24" t="n"/>
      <c r="AS21" s="24" t="n"/>
      <c r="AT21" s="25" t="n"/>
      <c r="AU21" s="8" t="n"/>
    </row>
    <row r="22" ht="20.25" customHeight="1">
      <c r="A22" s="8" t="n"/>
      <c r="B22" s="34" t="n"/>
      <c r="C22" s="31" t="n"/>
      <c r="D22" s="31" t="n"/>
      <c r="E22" s="31" t="n"/>
      <c r="F22" s="31" t="n"/>
      <c r="G22" s="31" t="n"/>
      <c r="H22" s="31" t="n"/>
      <c r="I22" s="31" t="n"/>
      <c r="J22" s="31" t="n"/>
      <c r="K22" s="31" t="n"/>
      <c r="L22" s="8" t="n"/>
      <c r="M22" s="8" t="n"/>
      <c r="N22" s="8" t="n"/>
      <c r="O22" s="18">
        <f>IF(FICHA!AH11="","—",FICHA!AH11)</f>
        <v/>
      </c>
      <c r="P22" s="16" t="n"/>
      <c r="Q22" s="16" t="n"/>
      <c r="R22" s="16" t="n"/>
      <c r="S22" s="16" t="n"/>
      <c r="T22" s="16" t="n"/>
      <c r="U22" s="16" t="n"/>
      <c r="V22" s="16" t="n"/>
      <c r="W22" s="16" t="n"/>
      <c r="X22" s="17" t="n"/>
      <c r="Y22" s="14" t="n"/>
      <c r="Z22" s="35" t="n"/>
      <c r="AA22" s="16" t="n"/>
      <c r="AB22" s="16" t="n"/>
      <c r="AC22" s="16" t="n"/>
      <c r="AD22" s="16" t="n"/>
      <c r="AE22" s="16" t="n"/>
      <c r="AF22" s="16" t="n"/>
      <c r="AG22" s="16" t="n"/>
      <c r="AH22" s="16" t="n"/>
      <c r="AI22" s="17" t="n"/>
      <c r="AJ22" s="8" t="n"/>
      <c r="AK22" s="36" t="inlineStr">
        <is>
          <t>Nick do jogador</t>
        </is>
      </c>
      <c r="AL22" s="16" t="n"/>
      <c r="AM22" s="16" t="n"/>
      <c r="AN22" s="16" t="n"/>
      <c r="AO22" s="16" t="n"/>
      <c r="AP22" s="16" t="n"/>
      <c r="AQ22" s="16" t="n"/>
      <c r="AR22" s="16" t="n"/>
      <c r="AS22" s="16" t="n"/>
      <c r="AT22" s="17" t="n"/>
      <c r="AU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c r="AI23" s="8" t="n"/>
      <c r="AJ23" s="8" t="n"/>
      <c r="AK23" s="8" t="n"/>
      <c r="AL23" s="8" t="n"/>
      <c r="AM23" s="8" t="n"/>
      <c r="AN23" s="8" t="n"/>
      <c r="AO23" s="8" t="n"/>
      <c r="AP23" s="8" t="n"/>
      <c r="AQ23" s="8" t="n"/>
      <c r="AR23" s="8" t="n"/>
      <c r="AS23" s="8" t="n"/>
      <c r="AT23" s="8" t="n"/>
      <c r="AU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c r="AI24" s="8" t="n"/>
      <c r="AJ24" s="8" t="n"/>
      <c r="AK24" s="8" t="n"/>
      <c r="AL24" s="8" t="n"/>
      <c r="AM24" s="8" t="n"/>
      <c r="AN24" s="8" t="n"/>
      <c r="AO24" s="8" t="n"/>
      <c r="AP24" s="8" t="n"/>
      <c r="AQ24" s="8" t="n"/>
      <c r="AR24" s="8" t="n"/>
      <c r="AS24" s="8" t="n"/>
      <c r="AT24" s="8" t="n"/>
      <c r="AU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c r="AI25" s="8" t="n"/>
      <c r="AJ25" s="8" t="n"/>
      <c r="AK25" s="8" t="n"/>
      <c r="AL25" s="8" t="n"/>
      <c r="AM25" s="8" t="n"/>
      <c r="AN25" s="8" t="n"/>
      <c r="AO25" s="8" t="n"/>
      <c r="AP25" s="8" t="n"/>
      <c r="AQ25" s="8" t="n"/>
      <c r="AR25" s="8" t="n"/>
      <c r="AS25" s="8" t="n"/>
      <c r="AT25" s="8" t="n"/>
      <c r="AU25" s="8" t="n"/>
    </row>
    <row r="26">
      <c r="A26" s="8" t="n"/>
      <c r="B26" s="8" t="n"/>
      <c r="C26" s="8" t="n"/>
      <c r="D26" s="8" t="n"/>
      <c r="E26" s="8" t="n"/>
      <c r="F26" s="8" t="n"/>
      <c r="G26" s="8" t="n"/>
      <c r="H26" s="8" t="n"/>
      <c r="I26" s="8" t="n"/>
      <c r="J26" s="8" t="n"/>
      <c r="K26" s="8" t="n"/>
      <c r="L26" s="8" t="n"/>
      <c r="M26" s="8" t="n"/>
      <c r="N26" s="8" t="n"/>
      <c r="O26" s="15">
        <f>IF(DADOS!$AK$32=1,"TÉCNICA MARCIAL DECLARADA",IF(DADOS!$AK$31=1,"ESTILO DECLARADO","TÉCNICA AMALDIÇOADA DECLARADA"))</f>
        <v/>
      </c>
      <c r="P26" s="16" t="n"/>
      <c r="Q26" s="16" t="n"/>
      <c r="R26" s="16" t="n"/>
      <c r="S26" s="16" t="n"/>
      <c r="T26" s="16" t="n"/>
      <c r="U26" s="16" t="n"/>
      <c r="V26" s="16" t="n"/>
      <c r="W26" s="16" t="n"/>
      <c r="X26" s="16" t="n"/>
      <c r="Y26" s="16" t="n"/>
      <c r="Z26" s="16" t="n"/>
      <c r="AA26" s="16" t="n"/>
      <c r="AB26" s="16" t="n"/>
      <c r="AC26" s="16" t="n"/>
      <c r="AD26" s="16" t="n"/>
      <c r="AE26" s="16" t="n"/>
      <c r="AF26" s="17" t="n"/>
      <c r="AG26" s="12" t="n"/>
      <c r="AH26" s="31" t="n"/>
      <c r="AI26" s="8" t="n"/>
      <c r="AJ26" s="8" t="n"/>
      <c r="AK26" s="8" t="n"/>
      <c r="AL26" s="8" t="n"/>
      <c r="AP26" s="8" t="n"/>
      <c r="AQ26" s="8" t="n"/>
      <c r="AR26" s="8" t="n"/>
      <c r="AS26" s="8" t="n"/>
      <c r="AT26" s="8" t="n"/>
      <c r="AU26" s="8" t="n"/>
    </row>
    <row r="27">
      <c r="A27" s="8" t="n"/>
      <c r="B27" s="8" t="n"/>
      <c r="C27" s="8" t="n"/>
      <c r="D27" s="8" t="n"/>
      <c r="E27" s="8" t="n"/>
      <c r="F27" s="8" t="n"/>
      <c r="G27" s="8" t="n"/>
      <c r="H27" s="8" t="n"/>
      <c r="I27" s="8" t="n"/>
      <c r="J27" s="8" t="n"/>
      <c r="K27" s="8" t="n"/>
      <c r="L27" s="8" t="n"/>
      <c r="M27" s="8" t="n"/>
      <c r="N27" s="8" t="n"/>
      <c r="O27" s="36" t="n"/>
      <c r="P27" s="19" t="n"/>
      <c r="Q27" s="19" t="n"/>
      <c r="R27" s="19" t="n"/>
      <c r="S27" s="19" t="n"/>
      <c r="T27" s="19" t="n"/>
      <c r="U27" s="19" t="n"/>
      <c r="V27" s="19" t="n"/>
      <c r="W27" s="19" t="n"/>
      <c r="X27" s="19" t="n"/>
      <c r="Y27" s="19" t="n"/>
      <c r="Z27" s="19" t="n"/>
      <c r="AA27" s="19" t="n"/>
      <c r="AB27" s="19" t="n"/>
      <c r="AC27" s="19" t="n"/>
      <c r="AD27" s="19" t="n"/>
      <c r="AE27" s="19" t="n"/>
      <c r="AF27" s="19" t="n"/>
      <c r="AG27" s="19" t="n"/>
      <c r="AH27" s="20" t="n"/>
      <c r="AI27" s="8" t="n"/>
      <c r="AJ27" s="8" t="n"/>
      <c r="AK27" s="8" t="n"/>
      <c r="AP27" s="8" t="n"/>
      <c r="AQ27" s="8" t="n"/>
      <c r="AR27" s="8" t="n"/>
      <c r="AS27" s="8" t="n"/>
      <c r="AT27" s="8" t="n"/>
      <c r="AU27" s="8" t="n"/>
    </row>
    <row r="28">
      <c r="A28" s="8" t="n"/>
      <c r="B28" s="8" t="n"/>
      <c r="C28" s="8" t="n"/>
      <c r="D28" s="8" t="n"/>
      <c r="E28" s="8" t="n"/>
      <c r="F28" s="8" t="n"/>
      <c r="G28" s="8" t="n"/>
      <c r="H28" s="8" t="n"/>
      <c r="I28" s="8" t="n"/>
      <c r="J28" s="8" t="n"/>
      <c r="K28" s="8" t="n"/>
      <c r="L28" s="8" t="n"/>
      <c r="M28" s="8" t="n"/>
      <c r="N28" s="8" t="n"/>
      <c r="O28" s="23" t="n"/>
      <c r="P28" s="24" t="n"/>
      <c r="Q28" s="24" t="n"/>
      <c r="R28" s="24" t="n"/>
      <c r="S28" s="24" t="n"/>
      <c r="T28" s="24" t="n"/>
      <c r="U28" s="24" t="n"/>
      <c r="V28" s="24" t="n"/>
      <c r="W28" s="24" t="n"/>
      <c r="X28" s="24" t="n"/>
      <c r="Y28" s="24" t="n"/>
      <c r="Z28" s="24" t="n"/>
      <c r="AA28" s="24" t="n"/>
      <c r="AB28" s="24" t="n"/>
      <c r="AC28" s="24" t="n"/>
      <c r="AD28" s="24" t="n"/>
      <c r="AE28" s="24" t="n"/>
      <c r="AF28" s="24" t="n"/>
      <c r="AG28" s="24" t="n"/>
      <c r="AH28" s="25" t="n"/>
      <c r="AI28" s="8" t="n"/>
      <c r="AJ28" s="8" t="n"/>
      <c r="AK28" s="8" t="n"/>
      <c r="AP28" s="8" t="n"/>
      <c r="AQ28" s="8" t="n"/>
      <c r="AR28" s="8" t="n"/>
      <c r="AS28" s="8" t="n"/>
      <c r="AT28" s="8" t="n"/>
      <c r="AU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P29" s="8" t="n"/>
      <c r="AQ29" s="8" t="n"/>
      <c r="AR29" s="8" t="n"/>
      <c r="AS29" s="8" t="n"/>
      <c r="AT29" s="8" t="n"/>
      <c r="AU29" s="8" t="n"/>
    </row>
    <row r="30">
      <c r="A30" s="8" t="n"/>
      <c r="B30" s="8" t="n"/>
      <c r="C30" s="8" t="n"/>
      <c r="D30" s="8" t="n"/>
      <c r="E30" s="8" t="n"/>
      <c r="F30" s="8" t="n"/>
      <c r="G30" s="8" t="n"/>
      <c r="H30" s="8" t="n"/>
      <c r="I30" s="8" t="n"/>
      <c r="J30" s="8" t="n"/>
      <c r="K30" s="8" t="n"/>
      <c r="L30" s="8" t="n"/>
      <c r="M30" s="8" t="n"/>
      <c r="N30" s="8" t="n"/>
      <c r="O30" s="8" t="n"/>
      <c r="AI30" s="8" t="n"/>
      <c r="AJ30" s="8" t="n"/>
      <c r="AK30" s="8" t="n"/>
      <c r="AP30" s="8" t="n"/>
      <c r="AQ30" s="8" t="n"/>
      <c r="AR30" s="8" t="n"/>
      <c r="AS30" s="8" t="n"/>
      <c r="AT30" s="8" t="n"/>
      <c r="AU30" s="8" t="n"/>
    </row>
    <row r="31">
      <c r="A31" s="8" t="n"/>
      <c r="B31" s="8" t="n"/>
      <c r="C31" s="8" t="n"/>
      <c r="D31" s="8" t="n"/>
      <c r="E31" s="8" t="n"/>
      <c r="F31" s="8" t="n"/>
      <c r="G31" s="8" t="n"/>
      <c r="H31" s="8" t="n"/>
      <c r="I31" s="8" t="n"/>
      <c r="J31" s="8" t="n"/>
      <c r="K31" s="8" t="n"/>
      <c r="L31" s="8" t="n"/>
      <c r="M31" s="8" t="n"/>
      <c r="N31" s="8" t="n"/>
      <c r="AI31" s="8" t="n"/>
      <c r="AJ31" s="8" t="n"/>
      <c r="AK31" s="8" t="n"/>
      <c r="AL31" s="8" t="n"/>
      <c r="AM31" s="8" t="n"/>
      <c r="AN31" s="8" t="n"/>
      <c r="AO31" s="8" t="n"/>
      <c r="AP31" s="8" t="n"/>
      <c r="AQ31" s="8" t="n"/>
      <c r="AR31" s="8" t="n"/>
      <c r="AS31" s="8" t="n"/>
      <c r="AT31" s="8" t="n"/>
      <c r="AU31" s="8" t="n"/>
    </row>
    <row r="32">
      <c r="A32" s="8" t="n"/>
      <c r="B32" s="8" t="n"/>
      <c r="C32" s="8" t="n"/>
      <c r="D32" s="8" t="n"/>
      <c r="E32" s="8" t="n"/>
      <c r="F32" s="8" t="n"/>
      <c r="G32" s="8" t="n"/>
      <c r="H32" s="8" t="n"/>
      <c r="I32" s="8" t="n"/>
      <c r="J32" s="8" t="n"/>
      <c r="K32" s="8" t="n"/>
      <c r="L32" s="8" t="n"/>
      <c r="M32" s="8" t="n"/>
      <c r="N32" s="8" t="n"/>
      <c r="O32" s="37" t="n"/>
      <c r="AI32" s="8" t="n"/>
      <c r="AJ32" s="8" t="n"/>
      <c r="AK32" s="8" t="n"/>
      <c r="AL32" s="8" t="n"/>
      <c r="AM32" s="8" t="n"/>
      <c r="AN32" s="8" t="n"/>
      <c r="AO32" s="8" t="n"/>
      <c r="AP32" s="8" t="n"/>
      <c r="AQ32" s="8" t="n"/>
      <c r="AR32" s="8" t="n"/>
      <c r="AS32" s="8" t="n"/>
      <c r="AT32" s="8" t="n"/>
      <c r="AU32" s="8" t="n"/>
    </row>
    <row r="33">
      <c r="A33" s="8" t="n"/>
      <c r="B33" s="8" t="n"/>
      <c r="C33" s="8" t="n"/>
      <c r="D33" s="37"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c r="AH34" s="8" t="n"/>
      <c r="AI34" s="8" t="n"/>
      <c r="AJ34" s="8" t="n"/>
      <c r="AK34" s="38" t="inlineStr">
        <is>
          <t>SELO REGISTRADO</t>
        </is>
      </c>
      <c r="AU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c r="AH35" s="8" t="n"/>
      <c r="AI35" s="8" t="n"/>
      <c r="AJ35" s="8" t="n"/>
      <c r="AK35" s="8" t="n"/>
      <c r="AL35" s="8" t="n"/>
      <c r="AM35" s="8" t="n"/>
      <c r="AN35" s="8" t="n"/>
      <c r="AO35" s="8" t="n"/>
      <c r="AP35" s="8" t="n"/>
      <c r="AQ35" s="8" t="n"/>
      <c r="AR35" s="8" t="n"/>
      <c r="AS35" s="8" t="n"/>
      <c r="AT35" s="8" t="n"/>
      <c r="AU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c r="AH36" s="8" t="n"/>
      <c r="AI36" s="8" t="n"/>
      <c r="AJ36" s="8" t="n"/>
      <c r="AK36" s="8" t="n"/>
      <c r="AL36" s="8" t="n"/>
      <c r="AM36" s="8" t="n"/>
      <c r="AN36" s="8" t="n"/>
      <c r="AO36" s="8" t="n"/>
      <c r="AP36" s="8" t="n"/>
      <c r="AQ36" s="8" t="n"/>
      <c r="AR36" s="8" t="n"/>
      <c r="AS36" s="8" t="n"/>
      <c r="AT36" s="8" t="n"/>
      <c r="AU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c r="AH37" s="8" t="n"/>
      <c r="AI37" s="8" t="n"/>
      <c r="AJ37" s="8" t="n"/>
      <c r="AK37" s="8" t="n"/>
      <c r="AL37" s="8" t="n"/>
      <c r="AM37" s="8" t="n"/>
      <c r="AN37" s="8" t="n"/>
      <c r="AO37" s="8" t="n"/>
      <c r="AP37" s="8" t="n"/>
      <c r="AQ37" s="8" t="n"/>
      <c r="AR37" s="8" t="n"/>
      <c r="AS37" s="8" t="n"/>
      <c r="AT37" s="8" t="n"/>
      <c r="AU37" s="8" t="n"/>
    </row>
    <row r="38">
      <c r="A38" s="8" t="n"/>
      <c r="B38" s="8" t="n"/>
      <c r="C38" s="39" t="n"/>
      <c r="AE38" s="8" t="n"/>
      <c r="AF38" s="8" t="n"/>
      <c r="AG38" s="8" t="n"/>
      <c r="AH38" s="40">
        <f>IF(OR(FICHA!D11="",FICHA!D11="Escolha seu Caminho"),"—",UPPER(LEFT(FICHA!D11,3))&amp;"-"&amp;TEXT(FICHA!AH11,"00"))</f>
        <v/>
      </c>
      <c r="AU38" s="8" t="n"/>
    </row>
    <row r="39">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c r="AH39" s="8" t="n"/>
      <c r="AI39" s="8" t="n"/>
      <c r="AJ39" s="8" t="n"/>
      <c r="AK39" s="8" t="n"/>
      <c r="AL39" s="8" t="n"/>
      <c r="AM39" s="8" t="n"/>
      <c r="AN39" s="8" t="n"/>
      <c r="AO39" s="8" t="n"/>
      <c r="AP39" s="8" t="n"/>
      <c r="AQ39" s="8" t="n"/>
      <c r="AR39" s="8" t="n"/>
      <c r="AS39" s="8" t="n"/>
      <c r="AT39" s="8" t="n"/>
      <c r="AU39" s="8" t="n"/>
    </row>
    <row r="40">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row>
    <row r="4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c r="AH41" s="8" t="n"/>
      <c r="AI41" s="8" t="n"/>
      <c r="AJ41" s="8" t="n"/>
      <c r="AK41" s="8" t="n"/>
      <c r="AL41" s="8" t="n"/>
      <c r="AM41" s="8" t="n"/>
      <c r="AN41" s="8" t="n"/>
      <c r="AO41" s="8" t="n"/>
      <c r="AP41" s="8" t="n"/>
      <c r="AQ41" s="8" t="n"/>
      <c r="AR41" s="8" t="n"/>
      <c r="AS41" s="8" t="n"/>
      <c r="AT41" s="8" t="n"/>
      <c r="AU41" s="8" t="n"/>
    </row>
    <row r="42">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c r="AH42" s="8" t="n"/>
      <c r="AI42" s="8" t="n"/>
      <c r="AJ42" s="8" t="n"/>
      <c r="AK42" s="8" t="n"/>
      <c r="AL42" s="8" t="n"/>
      <c r="AM42" s="8" t="n"/>
      <c r="AN42" s="8" t="n"/>
      <c r="AO42" s="8" t="n"/>
      <c r="AP42" s="8" t="n"/>
      <c r="AQ42" s="8" t="n"/>
      <c r="AR42" s="8" t="n"/>
      <c r="AS42" s="8" t="n"/>
      <c r="AT42" s="8" t="n"/>
      <c r="AU42" s="8" t="n"/>
    </row>
    <row r="43">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c r="AH43" s="8" t="n"/>
      <c r="AI43" s="8" t="n"/>
      <c r="AJ43" s="8" t="n"/>
      <c r="AK43" s="8" t="n"/>
      <c r="AL43" s="8" t="n"/>
      <c r="AM43" s="8" t="n"/>
      <c r="AN43" s="8" t="n"/>
      <c r="AO43" s="8" t="n"/>
      <c r="AP43" s="8" t="n"/>
      <c r="AQ43" s="8" t="n"/>
      <c r="AR43" s="8" t="n"/>
      <c r="AS43" s="8" t="n"/>
      <c r="AT43" s="8" t="n"/>
      <c r="AU43" s="8" t="n"/>
    </row>
    <row r="44">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row>
    <row r="45">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c r="AE45" s="41" t="n"/>
      <c r="AF45" s="41" t="n"/>
      <c r="AG45" s="41" t="n"/>
      <c r="AH45" s="41" t="n"/>
      <c r="AI45" s="41" t="n"/>
      <c r="AJ45" s="41" t="n"/>
      <c r="AK45" s="41" t="n"/>
      <c r="AL45" s="41" t="n"/>
      <c r="AM45" s="41" t="n"/>
      <c r="AN45" s="41" t="n"/>
      <c r="AO45" s="41" t="n"/>
      <c r="AP45" s="41" t="n"/>
      <c r="AQ45" s="41" t="n"/>
      <c r="AR45" s="41" t="n"/>
      <c r="AS45" s="41" t="n"/>
      <c r="AT45" s="41" t="n"/>
      <c r="AU45" s="41" t="n"/>
    </row>
    <row r="46">
      <c r="A46" s="41" t="n"/>
      <c r="B46" s="41" t="n"/>
      <c r="C46" s="41" t="n"/>
      <c r="D46" s="41" t="n"/>
      <c r="E46" s="41" t="n"/>
      <c r="F46" s="41" t="n"/>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41" t="n"/>
      <c r="AC46" s="41" t="n"/>
      <c r="AD46" s="41" t="n"/>
      <c r="AE46" s="41" t="n"/>
      <c r="AF46" s="41" t="n"/>
      <c r="AG46" s="41" t="n"/>
      <c r="AH46" s="41" t="n"/>
      <c r="AI46" s="41" t="n"/>
      <c r="AJ46" s="41" t="n"/>
      <c r="AK46" s="41" t="n"/>
      <c r="AL46" s="41" t="n"/>
      <c r="AM46" s="41" t="n"/>
      <c r="AN46" s="41" t="n"/>
      <c r="AO46" s="41" t="n"/>
      <c r="AP46" s="41" t="n"/>
      <c r="AQ46" s="41" t="n"/>
      <c r="AR46" s="41" t="n"/>
      <c r="AS46" s="41" t="n"/>
      <c r="AT46" s="41" t="n"/>
      <c r="AU46" s="41" t="n"/>
    </row>
    <row r="47">
      <c r="A47" s="42" t="n"/>
      <c r="B47" s="42" t="n"/>
      <c r="C47" s="42" t="n"/>
      <c r="D47" s="42" t="n"/>
      <c r="E47" s="42" t="n"/>
      <c r="F47" s="42" t="n"/>
      <c r="G47" s="42" t="n"/>
      <c r="H47" s="42" t="n"/>
      <c r="I47" s="42" t="n"/>
      <c r="J47" s="42" t="n"/>
      <c r="K47" s="42" t="n"/>
      <c r="L47" s="42" t="n"/>
      <c r="M47" s="42" t="n"/>
      <c r="N47" s="42" t="n"/>
      <c r="O47" s="42" t="n"/>
      <c r="P47" s="42" t="n"/>
      <c r="Q47" s="42" t="n"/>
      <c r="R47" s="42" t="n"/>
      <c r="S47" s="42" t="n"/>
      <c r="T47" s="42" t="n"/>
      <c r="U47" s="42" t="n"/>
      <c r="V47" s="42" t="n"/>
      <c r="W47" s="42" t="n"/>
      <c r="X47" s="42" t="n"/>
      <c r="Y47" s="42" t="n"/>
      <c r="Z47" s="42" t="n"/>
      <c r="AA47" s="42" t="n"/>
      <c r="AB47" s="42" t="n"/>
      <c r="AC47" s="42" t="n"/>
      <c r="AD47" s="42" t="n"/>
      <c r="AE47" s="42" t="n"/>
      <c r="AF47" s="42" t="n"/>
      <c r="AG47" s="42" t="n"/>
      <c r="AH47" s="42" t="n"/>
      <c r="AI47" s="42" t="n"/>
      <c r="AJ47" s="42" t="n"/>
      <c r="AK47" s="42" t="n"/>
      <c r="AL47" s="42" t="n"/>
      <c r="AM47" s="42" t="n"/>
      <c r="AN47" s="42" t="n"/>
      <c r="AO47" s="42" t="n"/>
      <c r="AP47" s="42" t="n"/>
      <c r="AQ47" s="42" t="n"/>
      <c r="AR47" s="42" t="n"/>
      <c r="AS47" s="42" t="n"/>
      <c r="AT47" s="42" t="n"/>
      <c r="AU47" s="42" t="n"/>
    </row>
    <row r="48">
      <c r="A48" s="42" t="n"/>
      <c r="B48" s="42" t="n"/>
      <c r="C48" s="42" t="n"/>
      <c r="D48" s="42" t="n"/>
      <c r="E48" s="42" t="n"/>
      <c r="F48" s="42" t="n"/>
      <c r="G48" s="42" t="n"/>
      <c r="H48" s="42" t="n"/>
      <c r="I48" s="42" t="n"/>
      <c r="J48" s="42" t="n"/>
      <c r="K48" s="42" t="n"/>
      <c r="L48" s="42" t="n"/>
      <c r="M48" s="42" t="n"/>
      <c r="N48" s="42" t="n"/>
      <c r="O48" s="42" t="n"/>
      <c r="P48" s="42" t="n"/>
      <c r="Q48" s="42" t="n"/>
      <c r="R48" s="42" t="n"/>
      <c r="S48" s="42" t="n"/>
      <c r="T48" s="42" t="n"/>
      <c r="U48" s="42" t="n"/>
      <c r="V48" s="42" t="n"/>
      <c r="W48" s="42" t="n"/>
      <c r="X48" s="42" t="n"/>
      <c r="Y48" s="42" t="n"/>
      <c r="Z48" s="42" t="n"/>
      <c r="AA48" s="42" t="n"/>
      <c r="AB48" s="42" t="n"/>
      <c r="AC48" s="42" t="n"/>
      <c r="AD48" s="42" t="n"/>
      <c r="AE48" s="42" t="n"/>
      <c r="AF48" s="42" t="n"/>
      <c r="AG48" s="42" t="n"/>
      <c r="AH48" s="42" t="n"/>
      <c r="AI48" s="42" t="n"/>
      <c r="AJ48" s="42" t="n"/>
      <c r="AK48" s="42" t="n"/>
      <c r="AL48" s="42" t="n"/>
      <c r="AM48" s="42" t="n"/>
      <c r="AN48" s="42" t="n"/>
      <c r="AO48" s="42" t="n"/>
      <c r="AP48" s="42" t="n"/>
      <c r="AQ48" s="42" t="n"/>
      <c r="AR48" s="42" t="n"/>
      <c r="AS48" s="42" t="n"/>
      <c r="AT48" s="42" t="n"/>
      <c r="AU48" s="42" t="n"/>
    </row>
    <row r="49">
      <c r="A49" s="42" t="n"/>
      <c r="B49" s="42" t="n"/>
      <c r="C49" s="42" t="n"/>
      <c r="D49" s="42" t="n"/>
      <c r="E49" s="42" t="n"/>
      <c r="F49" s="42" t="n"/>
      <c r="G49" s="42" t="n"/>
      <c r="H49" s="42" t="n"/>
      <c r="I49" s="42" t="n"/>
      <c r="J49" s="42" t="n"/>
      <c r="K49" s="42" t="n"/>
      <c r="L49" s="42" t="n"/>
      <c r="M49" s="42" t="n"/>
      <c r="N49" s="42" t="n"/>
      <c r="O49" s="42" t="n"/>
      <c r="P49" s="42" t="n"/>
      <c r="Q49" s="42" t="n"/>
      <c r="R49" s="42" t="n"/>
      <c r="S49" s="42" t="n"/>
      <c r="T49" s="42" t="n"/>
      <c r="U49" s="42" t="n"/>
      <c r="V49" s="42" t="n"/>
      <c r="W49" s="42" t="n"/>
      <c r="X49" s="42" t="n"/>
      <c r="Y49" s="42" t="n"/>
      <c r="Z49" s="42" t="n"/>
      <c r="AA49" s="42" t="n"/>
      <c r="AB49" s="42" t="n"/>
      <c r="AC49" s="42" t="n"/>
      <c r="AD49" s="42" t="n"/>
      <c r="AE49" s="42" t="n"/>
      <c r="AF49" s="42" t="n"/>
      <c r="AG49" s="42" t="n"/>
      <c r="AH49" s="42" t="n"/>
      <c r="AI49" s="42" t="n"/>
      <c r="AJ49" s="42" t="n"/>
      <c r="AK49" s="42" t="n"/>
      <c r="AL49" s="42" t="n"/>
      <c r="AM49" s="42" t="n"/>
      <c r="AN49" s="42" t="n"/>
      <c r="AO49" s="42" t="n"/>
      <c r="AP49" s="42" t="n"/>
      <c r="AQ49" s="42" t="n"/>
      <c r="AR49" s="42" t="n"/>
      <c r="AS49" s="42" t="n"/>
      <c r="AT49" s="42" t="n"/>
      <c r="AU49" s="42" t="n"/>
    </row>
    <row r="50">
      <c r="A50" s="42" t="n"/>
      <c r="B50" s="42" t="n"/>
      <c r="C50" s="42" t="n"/>
      <c r="D50" s="42" t="n"/>
      <c r="E50" s="42" t="n"/>
      <c r="F50" s="42" t="n"/>
      <c r="G50" s="42" t="n"/>
      <c r="H50" s="42" t="n"/>
      <c r="I50" s="42" t="n"/>
      <c r="J50" s="42" t="n"/>
      <c r="K50" s="42" t="n"/>
      <c r="L50" s="42" t="n"/>
      <c r="M50" s="42" t="n"/>
      <c r="N50" s="42" t="n"/>
      <c r="O50" s="42" t="n"/>
      <c r="P50" s="42" t="n"/>
      <c r="Q50" s="42" t="n"/>
      <c r="R50" s="42" t="n"/>
      <c r="S50" s="42" t="n"/>
      <c r="T50" s="42" t="n"/>
      <c r="U50" s="42" t="n"/>
      <c r="V50" s="42" t="n"/>
      <c r="W50" s="42" t="n"/>
      <c r="X50" s="42" t="n"/>
      <c r="Y50" s="42" t="n"/>
      <c r="Z50" s="42" t="n"/>
      <c r="AA50" s="42" t="n"/>
      <c r="AB50" s="42" t="n"/>
      <c r="AC50" s="42" t="n"/>
      <c r="AD50" s="42" t="n"/>
      <c r="AE50" s="42" t="n"/>
      <c r="AF50" s="42" t="n"/>
      <c r="AG50" s="42" t="n"/>
      <c r="AH50" s="42" t="n"/>
      <c r="AI50" s="42" t="n"/>
      <c r="AJ50" s="42" t="n"/>
      <c r="AK50" s="42" t="n"/>
      <c r="AL50" s="42" t="n"/>
      <c r="AM50" s="42" t="n"/>
      <c r="AN50" s="42" t="n"/>
      <c r="AO50" s="42" t="n"/>
      <c r="AP50" s="42" t="n"/>
      <c r="AQ50" s="42" t="n"/>
      <c r="AR50" s="42" t="n"/>
      <c r="AS50" s="42" t="n"/>
      <c r="AT50" s="42" t="n"/>
      <c r="AU50" s="42" t="n"/>
    </row>
  </sheetData>
  <mergeCells count="32">
    <mergeCell ref="AK34:AT34"/>
    <mergeCell ref="O13:Y13"/>
    <mergeCell ref="AK22:AT22"/>
    <mergeCell ref="C2:J3"/>
    <mergeCell ref="O17:X17"/>
    <mergeCell ref="O26:AF26"/>
    <mergeCell ref="AH2:AT2"/>
    <mergeCell ref="O15:AH15"/>
    <mergeCell ref="D33:M33"/>
    <mergeCell ref="C38:AD38"/>
    <mergeCell ref="AK17:AT17"/>
    <mergeCell ref="O27:AH28"/>
    <mergeCell ref="AH3:AT3"/>
    <mergeCell ref="L2:AD2"/>
    <mergeCell ref="C8:K21"/>
    <mergeCell ref="O32:AH32"/>
    <mergeCell ref="O18:X18"/>
    <mergeCell ref="AK18:AT18"/>
    <mergeCell ref="L3:AD3"/>
    <mergeCell ref="AH38:AT38"/>
    <mergeCell ref="Z22:AI22"/>
    <mergeCell ref="O9:AH12"/>
    <mergeCell ref="O22:X22"/>
    <mergeCell ref="AL26:AO30"/>
    <mergeCell ref="O8:Y8"/>
    <mergeCell ref="Z18:AI18"/>
    <mergeCell ref="A5:AR5"/>
    <mergeCell ref="Z21:AI21"/>
    <mergeCell ref="AK21:AT21"/>
    <mergeCell ref="Z17:AI17"/>
    <mergeCell ref="O21:X21"/>
    <mergeCell ref="O30:AH31"/>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X462"/>
  <sheetViews>
    <sheetView showGridLines="0" workbookViewId="0">
      <selection activeCell="A1" sqref="A1"/>
    </sheetView>
  </sheetViews>
  <sheetFormatPr baseColWidth="8" defaultRowHeight="15.75" customHeight="1"/>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hidden="1" outlineLevel="1" width="1.875" customWidth="1" min="48" max="48"/>
    <col hidden="1" outlineLevel="1" width="90.125" customWidth="1" min="49" max="49"/>
    <col hidden="1" outlineLevel="1" width="1.875" customWidth="1" min="50" max="50"/>
  </cols>
  <sheetData>
    <row r="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8" t="n"/>
      <c r="AP1" s="8" t="n"/>
      <c r="AQ1" s="8" t="n"/>
      <c r="AR1" s="8" t="n"/>
      <c r="AS1" s="8" t="n"/>
      <c r="AT1" s="8" t="n"/>
      <c r="AU1" s="8" t="n"/>
      <c r="AV1" s="8" t="n"/>
      <c r="AW1" s="8" t="n"/>
      <c r="AX1" s="8" t="n"/>
    </row>
    <row r="2">
      <c r="A2" s="8" t="n"/>
      <c r="B2" s="8" t="n"/>
      <c r="C2" s="8" t="n"/>
      <c r="D2" s="43" t="inlineStr">
        <is>
          <t>呪術</t>
        </is>
      </c>
      <c r="H2" s="44" t="inlineStr">
        <is>
          <t>FICHA DE REGISTRO</t>
        </is>
      </c>
      <c r="AA2" s="8" t="n"/>
      <c r="AB2" s="45">
        <f>IF(OR(CARTEIRA!$O$9="",CARTEIRA!$O$9="Coloque o nome do personagem aqui"),"",CARTEIRA!$O$9)</f>
        <v/>
      </c>
      <c r="AU2" s="8" t="n"/>
      <c r="AV2" s="8" t="n"/>
      <c r="AW2" s="8" t="n"/>
      <c r="AX2" s="8" t="n"/>
    </row>
    <row r="3">
      <c r="A3" s="8" t="n"/>
      <c r="B3" s="8" t="n"/>
      <c r="C3" s="8" t="n"/>
      <c r="AA3" s="8" t="n"/>
      <c r="AU3" s="8" t="n"/>
      <c r="AV3" s="8" t="n"/>
      <c r="AW3" s="8" t="n"/>
      <c r="AX3" s="8" t="n"/>
    </row>
    <row r="4">
      <c r="A4" s="8" t="n"/>
      <c r="B4" s="8" t="n"/>
      <c r="C4" s="8" t="n"/>
      <c r="H4" s="46">
        <f>DADOS!$F$1&amp;" · "&amp;IF(DADOS!$B$1=DADOS!$D$1,"v"&amp;DADOS!$B$1&amp;" · em dia","⚠ v"&amp;DADOS!$B$1&amp;" · a atual é a v"&amp;DADOS!$D$1)</f>
        <v/>
      </c>
      <c r="AA4" s="8" t="n"/>
      <c r="AB4" s="47">
        <f>IF(OR($D$11="",$D$11="Escolha seu Caminho"),"",$D$11&amp;IF(OR($N$11="",$N$11="Escolha sua Trilha"),""," · "&amp;$N$11)&amp;" · nível "&amp;$AH$11)</f>
        <v/>
      </c>
      <c r="AU4" s="8" t="n"/>
      <c r="AV4" s="8" t="n"/>
      <c r="AW4" s="8" t="n"/>
      <c r="AX4" s="8" t="n"/>
    </row>
    <row r="5">
      <c r="A5" s="8" t="n"/>
      <c r="B5" s="8"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row>
    <row r="6">
      <c r="A6" s="8" t="n"/>
      <c r="B6" s="14" t="n"/>
      <c r="C6" s="41" t="n"/>
      <c r="AS6" s="41" t="n"/>
      <c r="AT6" s="41" t="n"/>
      <c r="AU6" s="41" t="n"/>
    </row>
    <row r="7">
      <c r="A7" s="8" t="n"/>
      <c r="B7" s="14"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41" t="n"/>
      <c r="AH7" s="41" t="n"/>
      <c r="AI7" s="41" t="n"/>
      <c r="AJ7" s="41" t="n"/>
      <c r="AK7" s="41" t="n"/>
      <c r="AL7" s="41" t="n"/>
      <c r="AM7" s="41" t="n"/>
      <c r="AN7" s="41" t="n"/>
      <c r="AO7" s="41" t="n"/>
      <c r="AP7" s="41" t="n"/>
      <c r="AQ7" s="41" t="n"/>
      <c r="AR7" s="41" t="n"/>
      <c r="AS7" s="41" t="n"/>
      <c r="AT7" s="41" t="n"/>
    </row>
    <row r="8" ht="27" customHeight="1">
      <c r="A8" s="48" t="inlineStr">
        <is>
          <t>CICLO MALDITO</t>
        </is>
      </c>
      <c r="B8" s="22" t="n"/>
      <c r="C8" s="41" t="n"/>
      <c r="D8" s="49" t="n">
        <v>1</v>
      </c>
      <c r="E8" s="19" t="n"/>
      <c r="F8" s="20" t="n"/>
      <c r="G8" s="50" t="inlineStr">
        <is>
          <t>PERFIL AMALDIÇOADO</t>
        </is>
      </c>
      <c r="H8" s="19" t="n"/>
      <c r="I8" s="19" t="n"/>
      <c r="J8" s="19" t="n"/>
      <c r="K8" s="19" t="n"/>
      <c r="L8" s="19" t="n"/>
      <c r="M8" s="19" t="n"/>
      <c r="N8" s="19" t="n"/>
      <c r="O8" s="19" t="n"/>
      <c r="P8" s="19" t="n"/>
      <c r="Q8" s="19" t="n"/>
      <c r="R8" s="19" t="n"/>
      <c r="S8" s="19" t="n"/>
      <c r="T8" s="19" t="n"/>
      <c r="U8" s="19" t="n"/>
      <c r="V8" s="19" t="n"/>
      <c r="W8" s="19" t="n"/>
      <c r="X8" s="20" t="n"/>
      <c r="Y8" s="51" t="n"/>
      <c r="Z8" s="51" t="n"/>
      <c r="AA8" s="51" t="n"/>
      <c r="AB8" s="51" t="n"/>
      <c r="AC8" s="51" t="n"/>
      <c r="AD8" s="51" t="n"/>
      <c r="AE8" s="51" t="n"/>
      <c r="AF8" s="51" t="n"/>
      <c r="AG8" s="51" t="n"/>
      <c r="AH8" s="51" t="n"/>
      <c r="AI8" s="51" t="n"/>
      <c r="AJ8" s="51" t="n"/>
      <c r="AK8" s="51" t="n"/>
      <c r="AL8" s="51" t="n"/>
      <c r="AM8" s="51" t="n"/>
      <c r="AN8" s="51" t="n"/>
      <c r="AO8" s="51" t="n"/>
      <c r="AP8" s="51" t="n"/>
      <c r="AQ8" s="51" t="n"/>
      <c r="AR8" s="51" t="n"/>
      <c r="AS8" s="51" t="n"/>
      <c r="AT8" s="51" t="n"/>
    </row>
    <row r="9">
      <c r="B9" s="22" t="n"/>
      <c r="C9" s="41" t="n"/>
      <c r="D9" s="23" t="n"/>
      <c r="E9" s="24" t="n"/>
      <c r="F9" s="25" t="n"/>
      <c r="G9" s="52" t="n"/>
      <c r="H9" s="52" t="n"/>
      <c r="I9" s="52" t="n"/>
      <c r="J9" s="52" t="n"/>
      <c r="K9" s="52" t="n"/>
      <c r="L9" s="52" t="n"/>
      <c r="M9" s="52" t="n"/>
      <c r="N9" s="53" t="n"/>
      <c r="O9" s="53" t="n"/>
      <c r="P9" s="53" t="n"/>
      <c r="Q9" s="53" t="n"/>
      <c r="R9" s="53" t="n"/>
      <c r="S9" s="53" t="n"/>
      <c r="T9" s="53" t="n"/>
      <c r="U9" s="53" t="n"/>
      <c r="V9" s="53" t="n"/>
      <c r="W9" s="52" t="n"/>
      <c r="X9" s="53" t="n"/>
      <c r="Y9" s="51" t="n"/>
      <c r="Z9" s="51" t="n"/>
      <c r="AA9" s="51" t="n"/>
      <c r="AB9" s="51" t="n"/>
      <c r="AC9" s="51" t="n"/>
      <c r="AD9" s="51" t="n"/>
      <c r="AE9" s="51" t="n"/>
      <c r="AF9" s="51" t="n"/>
      <c r="AG9" s="51" t="n"/>
      <c r="AH9" s="54" t="n"/>
      <c r="AI9" s="54" t="n"/>
      <c r="AJ9" s="54" t="n"/>
      <c r="AK9" s="54" t="n"/>
      <c r="AL9" s="54" t="n"/>
      <c r="AM9" s="51" t="n"/>
      <c r="AN9" s="54" t="n"/>
      <c r="AO9" s="54" t="n"/>
      <c r="AP9" s="54" t="n"/>
      <c r="AQ9" s="54" t="n"/>
      <c r="AR9" s="54" t="n"/>
      <c r="AS9" s="54" t="n"/>
      <c r="AT9" s="54" t="n"/>
      <c r="AW9" s="55" t="inlineStr">
        <is>
          <t>SUA ORIGEM · O QUE VOCÊ ESCOLHEU</t>
        </is>
      </c>
    </row>
    <row r="10">
      <c r="B10" s="22" t="n"/>
      <c r="C10" s="41" t="n"/>
      <c r="D10" s="56" t="inlineStr">
        <is>
          <t>CAMINHO</t>
        </is>
      </c>
      <c r="E10" s="16" t="n"/>
      <c r="F10" s="16" t="n"/>
      <c r="G10" s="16" t="n"/>
      <c r="H10" s="16" t="n"/>
      <c r="I10" s="16" t="n"/>
      <c r="J10" s="16" t="n"/>
      <c r="K10" s="16" t="n"/>
      <c r="L10" s="17" t="n"/>
      <c r="M10" s="57" t="n"/>
      <c r="N10" s="58" t="inlineStr">
        <is>
          <t>TRILHA</t>
        </is>
      </c>
      <c r="O10" s="24" t="n"/>
      <c r="P10" s="24" t="n"/>
      <c r="Q10" s="24" t="n"/>
      <c r="R10" s="24" t="n"/>
      <c r="S10" s="24" t="n"/>
      <c r="T10" s="24" t="n"/>
      <c r="U10" s="24" t="n"/>
      <c r="V10" s="25" t="n"/>
      <c r="W10" s="57" t="n"/>
      <c r="X10" s="56" t="inlineStr">
        <is>
          <t>ORIGEM</t>
        </is>
      </c>
      <c r="Y10" s="16" t="n"/>
      <c r="Z10" s="16" t="n"/>
      <c r="AA10" s="16" t="n"/>
      <c r="AB10" s="16" t="n"/>
      <c r="AC10" s="16" t="n"/>
      <c r="AD10" s="16" t="n"/>
      <c r="AE10" s="16" t="n"/>
      <c r="AF10" s="17" t="n"/>
      <c r="AG10" s="57" t="n"/>
      <c r="AH10" s="58" t="inlineStr">
        <is>
          <t>NÍVEL</t>
        </is>
      </c>
      <c r="AI10" s="24" t="n"/>
      <c r="AJ10" s="24" t="n"/>
      <c r="AK10" s="24" t="n"/>
      <c r="AL10" s="25" t="n"/>
      <c r="AM10" s="59" t="n"/>
      <c r="AN10" s="60" t="inlineStr">
        <is>
          <t>XP</t>
        </is>
      </c>
      <c r="AO10" s="24" t="n"/>
      <c r="AP10" s="24" t="n"/>
      <c r="AQ10" s="24" t="n"/>
      <c r="AR10" s="24" t="n"/>
      <c r="AS10" s="24" t="n"/>
      <c r="AT10" s="25" t="n"/>
      <c r="AW10" s="61">
        <f>"MARCANTE · "&amp;$D$52&amp;IF($D$53="",""," · "&amp;$D$53)&amp;CHAR(10)&amp;IF('FICHA PESSOAL'!$D$45="","(o texto é escrito na FICHA PESSOAL)",'FICHA PESSOAL'!$D$45)&amp;IF('FICHA PESSOAL'!$D$58="","",CHAR(10)&amp;CHAR(10)&amp;"Talento de Categoria de Efeito 4: "&amp;'FICHA PESSOAL'!$D$58)&amp;CHAR(10)&amp;CHAR(10)&amp;"MENOR 1 · "&amp;$S$52&amp;IF($S$53="",""," · "&amp;$S$53)&amp;CHAR(10)&amp;IF('FICHA PESSOAL'!$R$45="","(o texto é escrito na FICHA PESSOAL)",'FICHA PESSOAL'!$R$45)&amp;CHAR(10)&amp;CHAR(10)&amp;"MENOR 2 · "&amp;$AG$52&amp;IF($AG$53="",""," · "&amp;$AG$53)&amp;CHAR(10)&amp;IF('FICHA PESSOAL'!$AH$45="","(o texto é escrito na FICHA PESSOAL)",'FICHA PESSOAL'!$AH$45)&amp;CHAR(10)&amp;CHAR(10)&amp;"LEGADOS DE HISTÓRIA"&amp;CHAR(10)&amp;IF('FICHA PESSOAL'!$D$54="","(nenhum escrito)",'FICHA PESSOAL'!$D$54)</f>
        <v/>
      </c>
    </row>
    <row r="11" ht="24.75" customHeight="1">
      <c r="B11" s="22" t="n"/>
      <c r="C11" s="41" t="n"/>
      <c r="D11" s="62" t="inlineStr">
        <is>
          <t>Escolha seu Caminho</t>
        </is>
      </c>
      <c r="E11" s="19" t="n"/>
      <c r="F11" s="19" t="n"/>
      <c r="G11" s="19" t="n"/>
      <c r="H11" s="19" t="n"/>
      <c r="I11" s="19" t="n"/>
      <c r="J11" s="19" t="n"/>
      <c r="K11" s="19" t="n"/>
      <c r="L11" s="20" t="n"/>
      <c r="M11" s="59" t="n"/>
      <c r="N11" s="63" t="inlineStr">
        <is>
          <t>Escolha sua Trilha</t>
        </is>
      </c>
      <c r="O11" s="19" t="n"/>
      <c r="P11" s="19" t="n"/>
      <c r="Q11" s="19" t="n"/>
      <c r="R11" s="19" t="n"/>
      <c r="S11" s="19" t="n"/>
      <c r="T11" s="19" t="n"/>
      <c r="U11" s="19" t="n"/>
      <c r="V11" s="20" t="n"/>
      <c r="W11" s="59" t="n"/>
      <c r="X11" s="63" t="inlineStr">
        <is>
          <t>Latente</t>
        </is>
      </c>
      <c r="Y11" s="19" t="n"/>
      <c r="Z11" s="19" t="n"/>
      <c r="AA11" s="19" t="n"/>
      <c r="AB11" s="19" t="n"/>
      <c r="AC11" s="19" t="n"/>
      <c r="AD11" s="19" t="n"/>
      <c r="AE11" s="19" t="n"/>
      <c r="AF11" s="20" t="n"/>
      <c r="AG11" s="59" t="n"/>
      <c r="AH11" s="64">
        <f>DADOS_CONFIG!$S$2</f>
        <v/>
      </c>
      <c r="AI11" s="19" t="n"/>
      <c r="AJ11" s="19" t="n"/>
      <c r="AK11" s="19" t="n"/>
      <c r="AL11" s="20" t="n"/>
      <c r="AM11" s="59" t="n"/>
      <c r="AN11" s="65">
        <f>DADOS!$CZ$47</f>
        <v/>
      </c>
      <c r="AO11" s="19" t="n"/>
      <c r="AP11" s="19" t="n"/>
      <c r="AQ11" s="19" t="n"/>
      <c r="AR11" s="19" t="n"/>
      <c r="AS11" s="19" t="n"/>
      <c r="AT11" s="20" t="n"/>
      <c r="AW11" s="66" t="n"/>
    </row>
    <row r="12">
      <c r="B12" s="22" t="n"/>
      <c r="C12" s="41" t="n"/>
      <c r="D12" s="52" t="n"/>
      <c r="E12" s="52" t="n"/>
      <c r="F12" s="52" t="n"/>
      <c r="G12" s="52" t="n"/>
      <c r="H12" s="52" t="n"/>
      <c r="I12" s="52" t="n"/>
      <c r="J12" s="52" t="n"/>
      <c r="K12" s="52" t="n"/>
      <c r="L12" s="52" t="n"/>
      <c r="M12" s="51" t="n"/>
      <c r="N12" s="52" t="n"/>
      <c r="O12" s="52" t="n"/>
      <c r="P12" s="52" t="n"/>
      <c r="Q12" s="52" t="n"/>
      <c r="R12" s="67" t="n"/>
      <c r="S12" s="52" t="n"/>
      <c r="T12" s="52" t="n"/>
      <c r="U12" s="52" t="n"/>
      <c r="V12" s="52" t="n"/>
      <c r="W12" s="51" t="n"/>
      <c r="X12" s="52" t="n"/>
      <c r="Y12" s="52" t="n"/>
      <c r="Z12" s="52" t="n"/>
      <c r="AA12" s="52" t="n"/>
      <c r="AB12" s="52" t="n"/>
      <c r="AC12" s="52" t="n"/>
      <c r="AD12" s="52" t="n"/>
      <c r="AE12" s="52" t="n"/>
      <c r="AF12" s="52" t="n"/>
      <c r="AG12" s="51" t="n"/>
      <c r="AH12" s="52" t="n"/>
      <c r="AI12" s="52" t="n"/>
      <c r="AJ12" s="52" t="n"/>
      <c r="AK12" s="52" t="n"/>
      <c r="AL12" s="52" t="n"/>
      <c r="AM12" s="51" t="n"/>
      <c r="AN12" s="52" t="n"/>
      <c r="AO12" s="52" t="n"/>
      <c r="AP12" s="52" t="n"/>
      <c r="AQ12" s="52" t="n"/>
      <c r="AR12" s="52" t="n"/>
      <c r="AS12" s="52" t="n"/>
      <c r="AT12" s="52" t="n"/>
      <c r="AW12" s="66" t="n"/>
    </row>
    <row r="13">
      <c r="B13" s="22" t="n"/>
      <c r="C13" s="41" t="n"/>
      <c r="D13" s="51" t="n"/>
      <c r="E13" s="51" t="n"/>
      <c r="F13" s="51"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W13" s="66" t="n"/>
    </row>
    <row r="14">
      <c r="B14" s="22" t="n"/>
      <c r="C14" s="41" t="n"/>
      <c r="D14" s="51" t="n"/>
      <c r="E14" s="51" t="n"/>
      <c r="F14" s="51" t="n"/>
      <c r="G14" s="51" t="n"/>
      <c r="H14" s="51" t="n"/>
      <c r="I14" s="51" t="n"/>
      <c r="J14" s="51" t="n"/>
      <c r="K14" s="51" t="n"/>
      <c r="L14" s="51" t="n"/>
      <c r="M14" s="51" t="n"/>
      <c r="N14" s="51" t="n"/>
      <c r="O14" s="51" t="n"/>
      <c r="P14" s="51" t="n"/>
      <c r="Q14" s="51" t="n"/>
      <c r="R14" s="51" t="n"/>
      <c r="S14" s="51" t="n"/>
      <c r="T14" s="51" t="n"/>
      <c r="U14" s="51" t="n"/>
      <c r="V14" s="51" t="n"/>
      <c r="W14" s="51" t="n"/>
      <c r="X14" s="51" t="n"/>
      <c r="Y14" s="51" t="n"/>
      <c r="Z14" s="68" t="inlineStr">
        <is>
          <t>Pontos Disponíveis</t>
        </is>
      </c>
      <c r="AA14" s="16" t="n"/>
      <c r="AB14" s="16" t="n"/>
      <c r="AC14" s="16" t="n"/>
      <c r="AD14" s="16" t="n"/>
      <c r="AE14" s="16" t="n"/>
      <c r="AF14" s="16" t="n"/>
      <c r="AG14" s="16" t="n"/>
      <c r="AH14" s="16" t="n"/>
      <c r="AI14" s="17" t="n"/>
      <c r="AJ14" s="51" t="n"/>
      <c r="AK14" s="68">
        <f>"Pontos de Marco de Corpo Disponíveis - "&amp;IF(DADOS!$AK$11&gt;DADOS!$AK$10,DADOS!$AK$11-DADOS!$AK$10&amp;" a mais",DADOS!$AK$10-DADOS!$AK$11&amp;" de "&amp;DADOS!$AK$10)</f>
        <v/>
      </c>
      <c r="AL14" s="16" t="n"/>
      <c r="AM14" s="16" t="n"/>
      <c r="AN14" s="16" t="n"/>
      <c r="AO14" s="16" t="n"/>
      <c r="AP14" s="16" t="n"/>
      <c r="AQ14" s="16" t="n"/>
      <c r="AR14" s="16" t="n"/>
      <c r="AS14" s="16" t="n"/>
      <c r="AT14" s="17" t="n"/>
      <c r="AW14" s="66" t="n"/>
    </row>
    <row r="15" ht="27" customHeight="1">
      <c r="B15" s="22" t="n"/>
      <c r="C15" s="41" t="n"/>
      <c r="D15" s="69" t="n">
        <v>2</v>
      </c>
      <c r="E15" s="19" t="n"/>
      <c r="F15" s="20" t="n"/>
      <c r="G15" s="50" t="inlineStr">
        <is>
          <t>VALORES</t>
        </is>
      </c>
      <c r="H15" s="19" t="n"/>
      <c r="I15" s="19" t="n"/>
      <c r="J15" s="19" t="n"/>
      <c r="K15" s="19" t="n"/>
      <c r="L15" s="19" t="n"/>
      <c r="M15" s="19" t="n"/>
      <c r="N15" s="19" t="n"/>
      <c r="O15" s="19" t="n"/>
      <c r="P15" s="19" t="n"/>
      <c r="Q15" s="19" t="n"/>
      <c r="R15" s="19" t="n"/>
      <c r="S15" s="19" t="n"/>
      <c r="T15" s="19" t="n"/>
      <c r="U15" s="19" t="n"/>
      <c r="V15" s="19" t="n"/>
      <c r="W15" s="19" t="n"/>
      <c r="X15" s="20" t="n"/>
      <c r="Y15" s="70" t="n"/>
      <c r="Z15" s="71">
        <f>IF(DADOS!$AK$7&gt;DADOS!$AK$6,DADOS!$AK$7-DADOS!$AK$6&amp;" a mais",IF(DADOS!$AK$8&gt;DADOS_CONFIG!$S$5,"Um atributo passou de "&amp;DADOS_CONFIG!$S$5,IF(AND(DADOS!$AK$5=0,DADOS!$AK$9&gt;DADOS_CONFIG!$S$4),"Na criação, nenhum acima de "&amp;DADOS_CONFIG!$S$4,DADOS!$AK$6-DADOS!$AK$7&amp;" de "&amp;DADOS!$AK$6)))</f>
        <v/>
      </c>
      <c r="AA15" s="16" t="n"/>
      <c r="AB15" s="16" t="n"/>
      <c r="AC15" s="16" t="n"/>
      <c r="AD15" s="16" t="n"/>
      <c r="AE15" s="16" t="n"/>
      <c r="AF15" s="16" t="n"/>
      <c r="AG15" s="16" t="n"/>
      <c r="AH15" s="16" t="n"/>
      <c r="AI15" s="17" t="n"/>
      <c r="AJ15" s="51" t="n"/>
      <c r="AK15" s="71" t="n">
        <v>0</v>
      </c>
      <c r="AL15" s="17" t="n"/>
      <c r="AM15" s="71" t="n">
        <v>0</v>
      </c>
      <c r="AN15" s="17" t="n"/>
      <c r="AO15" s="71" t="n">
        <v>0</v>
      </c>
      <c r="AP15" s="17" t="n"/>
      <c r="AQ15" s="71" t="n">
        <v>0</v>
      </c>
      <c r="AR15" s="17" t="n"/>
      <c r="AS15" s="71" t="n">
        <v>0</v>
      </c>
      <c r="AT15" s="17" t="n"/>
      <c r="AW15" s="66" t="n"/>
    </row>
    <row r="16">
      <c r="B16" s="22" t="n"/>
      <c r="C16" s="41" t="n"/>
      <c r="D16" s="21" t="n"/>
      <c r="F16" s="22" t="n"/>
      <c r="G16" s="52" t="n"/>
      <c r="H16" s="52" t="n"/>
      <c r="I16" s="52" t="n"/>
      <c r="J16" s="52" t="n"/>
      <c r="K16" s="52" t="n"/>
      <c r="L16" s="52" t="n"/>
      <c r="M16" s="52" t="n"/>
      <c r="N16" s="52" t="n"/>
      <c r="O16" s="52" t="n"/>
      <c r="P16" s="52" t="n"/>
      <c r="Q16" s="52" t="n"/>
      <c r="R16" s="52" t="n"/>
      <c r="S16" s="52" t="n"/>
      <c r="T16" s="52" t="n"/>
      <c r="U16" s="52" t="n"/>
      <c r="V16" s="52" t="n"/>
      <c r="W16" s="52" t="n"/>
      <c r="X16" s="52" t="n"/>
      <c r="Y16" s="51" t="n"/>
      <c r="Z16" s="51" t="n"/>
      <c r="AA16" s="51" t="n"/>
      <c r="AB16" s="51" t="n"/>
      <c r="AC16" s="51" t="n"/>
      <c r="AD16" s="51" t="n"/>
      <c r="AE16" s="51" t="n"/>
      <c r="AF16" s="51" t="n"/>
      <c r="AG16" s="51" t="n"/>
      <c r="AH16" s="51" t="n"/>
      <c r="AI16" s="51" t="n"/>
      <c r="AJ16" s="51" t="n"/>
      <c r="AK16" s="72" t="inlineStr">
        <is>
          <t>FOR</t>
        </is>
      </c>
      <c r="AL16" s="16" t="n"/>
      <c r="AM16" s="72" t="inlineStr">
        <is>
          <t>DEX</t>
        </is>
      </c>
      <c r="AN16" s="16" t="n"/>
      <c r="AO16" s="72" t="inlineStr">
        <is>
          <t>CON</t>
        </is>
      </c>
      <c r="AP16" s="16" t="n"/>
      <c r="AQ16" s="72" t="inlineStr">
        <is>
          <t>INT</t>
        </is>
      </c>
      <c r="AR16" s="16" t="n"/>
      <c r="AS16" s="68" t="inlineStr">
        <is>
          <t>ESS</t>
        </is>
      </c>
      <c r="AT16" s="17" t="n"/>
      <c r="AW16" s="66" t="n"/>
    </row>
    <row r="17">
      <c r="B17" s="22" t="n"/>
      <c r="C17" s="41" t="n"/>
      <c r="D17" s="23" t="n"/>
      <c r="E17" s="24" t="n"/>
      <c r="F17" s="25" t="n"/>
      <c r="G17" s="51" t="n"/>
      <c r="H17" s="51" t="n"/>
      <c r="I17" s="51" t="n"/>
      <c r="J17" s="51" t="n"/>
      <c r="K17" s="51" t="n"/>
      <c r="L17" s="54" t="n"/>
      <c r="M17" s="54" t="n"/>
      <c r="N17" s="54" t="n"/>
      <c r="O17" s="54" t="n"/>
      <c r="P17" s="54" t="n"/>
      <c r="Q17" s="54" t="n"/>
      <c r="R17" s="54" t="n"/>
      <c r="S17" s="51" t="n"/>
      <c r="T17" s="54" t="n"/>
      <c r="U17" s="54" t="n"/>
      <c r="V17" s="54" t="n"/>
      <c r="W17" s="54" t="n"/>
      <c r="X17" s="54" t="n"/>
      <c r="Y17" s="54" t="n"/>
      <c r="Z17" s="54" t="n"/>
      <c r="AA17" s="51" t="n"/>
      <c r="AB17" s="54" t="n"/>
      <c r="AC17" s="54" t="n"/>
      <c r="AD17" s="54" t="n"/>
      <c r="AE17" s="54" t="n"/>
      <c r="AF17" s="54" t="n"/>
      <c r="AG17" s="54" t="n"/>
      <c r="AH17" s="54" t="n"/>
      <c r="AI17" s="51" t="n"/>
      <c r="AJ17" s="54" t="n"/>
      <c r="AK17" s="54" t="n"/>
      <c r="AL17" s="54" t="n"/>
      <c r="AM17" s="54" t="n"/>
      <c r="AN17" s="54" t="n"/>
      <c r="AO17" s="54" t="n"/>
      <c r="AP17" s="54" t="n"/>
      <c r="AQ17" s="51" t="n"/>
      <c r="AR17" s="51" t="n"/>
      <c r="AS17" s="51" t="n"/>
      <c r="AT17" s="51" t="n"/>
      <c r="AW17" s="66" t="n"/>
    </row>
    <row r="18">
      <c r="B18" s="22" t="n"/>
      <c r="C18" s="41" t="n"/>
      <c r="D18" s="56" t="inlineStr">
        <is>
          <t>FOR</t>
        </is>
      </c>
      <c r="E18" s="16" t="n"/>
      <c r="F18" s="16" t="n"/>
      <c r="G18" s="16" t="n"/>
      <c r="H18" s="16" t="n"/>
      <c r="I18" s="16" t="n"/>
      <c r="J18" s="17" t="n"/>
      <c r="K18" s="57" t="n"/>
      <c r="L18" s="58" t="inlineStr">
        <is>
          <t>DES</t>
        </is>
      </c>
      <c r="M18" s="24" t="n"/>
      <c r="N18" s="24" t="n"/>
      <c r="O18" s="24" t="n"/>
      <c r="P18" s="24" t="n"/>
      <c r="Q18" s="24" t="n"/>
      <c r="R18" s="25" t="n"/>
      <c r="S18" s="59" t="n"/>
      <c r="T18" s="60" t="inlineStr">
        <is>
          <t>CON</t>
        </is>
      </c>
      <c r="U18" s="24" t="n"/>
      <c r="V18" s="24" t="n"/>
      <c r="W18" s="24" t="n"/>
      <c r="X18" s="24" t="n"/>
      <c r="Y18" s="24" t="n"/>
      <c r="Z18" s="25" t="n"/>
      <c r="AA18" s="59" t="n"/>
      <c r="AB18" s="60" t="inlineStr">
        <is>
          <t>INT</t>
        </is>
      </c>
      <c r="AC18" s="24" t="n"/>
      <c r="AD18" s="24" t="n"/>
      <c r="AE18" s="24" t="n"/>
      <c r="AF18" s="24" t="n"/>
      <c r="AG18" s="24" t="n"/>
      <c r="AH18" s="25" t="n"/>
      <c r="AI18" s="59" t="n"/>
      <c r="AJ18" s="60" t="inlineStr">
        <is>
          <t>ESS</t>
        </is>
      </c>
      <c r="AK18" s="24" t="n"/>
      <c r="AL18" s="24" t="n"/>
      <c r="AM18" s="24" t="n"/>
      <c r="AN18" s="24" t="n"/>
      <c r="AO18" s="24" t="n"/>
      <c r="AP18" s="25" t="n"/>
      <c r="AQ18" s="51" t="n"/>
      <c r="AR18" s="73" t="n"/>
      <c r="AS18" s="51" t="n"/>
      <c r="AT18" s="51" t="n"/>
      <c r="AW18" s="66" t="n"/>
    </row>
    <row r="19">
      <c r="B19" s="22" t="n"/>
      <c r="C19" s="41" t="n"/>
      <c r="D19" s="74">
        <f>IFERROR(VALUE($D$21&amp;""),0)+IFERROR(VALUE($AK$15&amp;""),0)</f>
        <v/>
      </c>
      <c r="E19" s="19" t="n"/>
      <c r="F19" s="19" t="n"/>
      <c r="G19" s="19" t="n"/>
      <c r="H19" s="19" t="n"/>
      <c r="I19" s="19" t="n"/>
      <c r="J19" s="20" t="n"/>
      <c r="K19" s="59" t="n"/>
      <c r="L19" s="75">
        <f>IFERROR(VALUE($L$21&amp;""),0)+IFERROR(VALUE($AM$15&amp;""),0)</f>
        <v/>
      </c>
      <c r="M19" s="19" t="n"/>
      <c r="N19" s="19" t="n"/>
      <c r="O19" s="19" t="n"/>
      <c r="P19" s="19" t="n"/>
      <c r="Q19" s="19" t="n"/>
      <c r="R19" s="20" t="n"/>
      <c r="S19" s="59" t="n"/>
      <c r="T19" s="75">
        <f>IFERROR(VALUE($T$21&amp;""),0)+IFERROR(VALUE($AO$15&amp;""),0)</f>
        <v/>
      </c>
      <c r="U19" s="19" t="n"/>
      <c r="V19" s="19" t="n"/>
      <c r="W19" s="19" t="n"/>
      <c r="X19" s="19" t="n"/>
      <c r="Y19" s="19" t="n"/>
      <c r="Z19" s="20" t="n"/>
      <c r="AA19" s="59" t="n"/>
      <c r="AB19" s="75">
        <f>IFERROR(VALUE($AB$21&amp;""),0)+IFERROR(VALUE($AQ$15&amp;""),0)</f>
        <v/>
      </c>
      <c r="AC19" s="19" t="n"/>
      <c r="AD19" s="19" t="n"/>
      <c r="AE19" s="19" t="n"/>
      <c r="AF19" s="19" t="n"/>
      <c r="AG19" s="19" t="n"/>
      <c r="AH19" s="20" t="n"/>
      <c r="AI19" s="59" t="n"/>
      <c r="AJ19" s="75">
        <f>IFERROR(VALUE($AJ$21&amp;""),0)+IFERROR(VALUE($AS$15&amp;""),0)</f>
        <v/>
      </c>
      <c r="AK19" s="19" t="n"/>
      <c r="AL19" s="19" t="n"/>
      <c r="AM19" s="19" t="n"/>
      <c r="AN19" s="19" t="n"/>
      <c r="AO19" s="19" t="n"/>
      <c r="AP19" s="20" t="n"/>
      <c r="AQ19" s="51" t="n"/>
      <c r="AR19" s="73" t="n"/>
      <c r="AS19" s="51" t="n"/>
      <c r="AT19" s="51" t="n"/>
      <c r="AW19" s="66" t="n"/>
    </row>
    <row r="20" ht="29.25" customHeight="1">
      <c r="B20" s="22" t="n"/>
      <c r="C20" s="41" t="n"/>
      <c r="D20" s="23" t="n"/>
      <c r="E20" s="24" t="n"/>
      <c r="F20" s="24" t="n"/>
      <c r="G20" s="24" t="n"/>
      <c r="H20" s="24" t="n"/>
      <c r="I20" s="24" t="n"/>
      <c r="J20" s="25" t="n"/>
      <c r="K20" s="59" t="n"/>
      <c r="L20" s="24" t="n"/>
      <c r="M20" s="24" t="n"/>
      <c r="N20" s="24" t="n"/>
      <c r="O20" s="24" t="n"/>
      <c r="P20" s="24" t="n"/>
      <c r="Q20" s="24" t="n"/>
      <c r="R20" s="25" t="n"/>
      <c r="S20" s="59" t="n"/>
      <c r="T20" s="24" t="n"/>
      <c r="U20" s="24" t="n"/>
      <c r="V20" s="24" t="n"/>
      <c r="W20" s="24" t="n"/>
      <c r="X20" s="24" t="n"/>
      <c r="Y20" s="24" t="n"/>
      <c r="Z20" s="25" t="n"/>
      <c r="AA20" s="59" t="n"/>
      <c r="AB20" s="24" t="n"/>
      <c r="AC20" s="24" t="n"/>
      <c r="AD20" s="24" t="n"/>
      <c r="AE20" s="24" t="n"/>
      <c r="AF20" s="24" t="n"/>
      <c r="AG20" s="24" t="n"/>
      <c r="AH20" s="25" t="n"/>
      <c r="AI20" s="59" t="n"/>
      <c r="AJ20" s="24" t="n"/>
      <c r="AK20" s="24" t="n"/>
      <c r="AL20" s="24" t="n"/>
      <c r="AM20" s="24" t="n"/>
      <c r="AN20" s="24" t="n"/>
      <c r="AO20" s="24" t="n"/>
      <c r="AP20" s="25" t="n"/>
      <c r="AQ20" s="51" t="n"/>
      <c r="AR20" s="51" t="n"/>
      <c r="AS20" s="51" t="n"/>
      <c r="AT20" s="51" t="n"/>
      <c r="AW20" s="66" t="n"/>
    </row>
    <row r="21" ht="21.75" customHeight="1">
      <c r="B21" s="22" t="n"/>
      <c r="C21" s="41" t="n"/>
      <c r="D21" s="76" t="n">
        <v>0</v>
      </c>
      <c r="E21" s="16" t="n"/>
      <c r="F21" s="16" t="n"/>
      <c r="G21" s="16" t="n"/>
      <c r="H21" s="16" t="n"/>
      <c r="I21" s="16" t="n"/>
      <c r="J21" s="17" t="n"/>
      <c r="K21" s="57" t="n"/>
      <c r="L21" s="77" t="n">
        <v>0</v>
      </c>
      <c r="M21" s="24" t="n"/>
      <c r="N21" s="24" t="n"/>
      <c r="O21" s="24" t="n"/>
      <c r="P21" s="24" t="n"/>
      <c r="Q21" s="24" t="n"/>
      <c r="R21" s="25" t="n"/>
      <c r="S21" s="59" t="n"/>
      <c r="T21" s="78" t="n">
        <v>0</v>
      </c>
      <c r="U21" s="24" t="n"/>
      <c r="V21" s="24" t="n"/>
      <c r="W21" s="24" t="n"/>
      <c r="X21" s="24" t="n"/>
      <c r="Y21" s="24" t="n"/>
      <c r="Z21" s="25" t="n"/>
      <c r="AA21" s="59" t="n"/>
      <c r="AB21" s="78" t="n">
        <v>0</v>
      </c>
      <c r="AC21" s="24" t="n"/>
      <c r="AD21" s="24" t="n"/>
      <c r="AE21" s="24" t="n"/>
      <c r="AF21" s="24" t="n"/>
      <c r="AG21" s="24" t="n"/>
      <c r="AH21" s="25" t="n"/>
      <c r="AI21" s="59" t="n"/>
      <c r="AJ21" s="78" t="n">
        <v>0</v>
      </c>
      <c r="AK21" s="24" t="n"/>
      <c r="AL21" s="24" t="n"/>
      <c r="AM21" s="24" t="n"/>
      <c r="AN21" s="24" t="n"/>
      <c r="AO21" s="24" t="n"/>
      <c r="AP21" s="25" t="n"/>
      <c r="AQ21" s="51" t="n"/>
      <c r="AR21" s="51" t="n"/>
      <c r="AS21" s="51" t="n"/>
      <c r="AT21" s="51" t="n"/>
      <c r="AW21" s="66" t="n"/>
    </row>
    <row r="22">
      <c r="B22" s="22" t="n"/>
      <c r="C22" s="41" t="n"/>
      <c r="D22" s="79" t="inlineStr">
        <is>
          <t>Força</t>
        </is>
      </c>
      <c r="E22" s="16" t="n"/>
      <c r="F22" s="16" t="n"/>
      <c r="G22" s="16" t="n"/>
      <c r="H22" s="16" t="n"/>
      <c r="I22" s="16" t="n"/>
      <c r="J22" s="17" t="n"/>
      <c r="K22" s="59" t="n"/>
      <c r="L22" s="80" t="inlineStr">
        <is>
          <t>Destreza</t>
        </is>
      </c>
      <c r="M22" s="16" t="n"/>
      <c r="N22" s="16" t="n"/>
      <c r="O22" s="16" t="n"/>
      <c r="P22" s="16" t="n"/>
      <c r="Q22" s="16" t="n"/>
      <c r="R22" s="17" t="n"/>
      <c r="S22" s="59" t="n"/>
      <c r="T22" s="80" t="inlineStr">
        <is>
          <t>Constituição</t>
        </is>
      </c>
      <c r="U22" s="16" t="n"/>
      <c r="V22" s="16" t="n"/>
      <c r="W22" s="16" t="n"/>
      <c r="X22" s="16" t="n"/>
      <c r="Y22" s="16" t="n"/>
      <c r="Z22" s="17" t="n"/>
      <c r="AA22" s="59" t="n"/>
      <c r="AB22" s="80" t="inlineStr">
        <is>
          <t>Inteligência</t>
        </is>
      </c>
      <c r="AC22" s="16" t="n"/>
      <c r="AD22" s="16" t="n"/>
      <c r="AE22" s="16" t="n"/>
      <c r="AF22" s="16" t="n"/>
      <c r="AG22" s="16" t="n"/>
      <c r="AH22" s="17" t="n"/>
      <c r="AI22" s="59" t="n"/>
      <c r="AJ22" s="80" t="inlineStr">
        <is>
          <t>Essência</t>
        </is>
      </c>
      <c r="AK22" s="16" t="n"/>
      <c r="AL22" s="16" t="n"/>
      <c r="AM22" s="16" t="n"/>
      <c r="AN22" s="16" t="n"/>
      <c r="AO22" s="16" t="n"/>
      <c r="AP22" s="17" t="n"/>
      <c r="AQ22" s="51" t="n"/>
      <c r="AR22" s="51" t="n"/>
      <c r="AS22" s="51" t="n"/>
      <c r="AT22" s="51" t="n"/>
      <c r="AW22" s="66" t="n"/>
    </row>
    <row r="23">
      <c r="B23" s="22" t="n"/>
      <c r="C23" s="41" t="n"/>
      <c r="D23" s="51" t="n"/>
      <c r="E23" s="51" t="n"/>
      <c r="F23" s="52" t="n"/>
      <c r="G23" s="51" t="n"/>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W23" s="66" t="n"/>
    </row>
    <row r="24">
      <c r="B24" s="22" t="n"/>
      <c r="C24" s="41" t="n"/>
      <c r="D24" s="51" t="n"/>
      <c r="E24" s="51" t="n"/>
      <c r="F24" s="51" t="n"/>
      <c r="G24" s="51" t="n"/>
      <c r="H24" s="51" t="n"/>
      <c r="I24" s="51" t="n"/>
      <c r="J24" s="51" t="n"/>
      <c r="K24" s="51" t="n"/>
      <c r="L24" s="51" t="n"/>
      <c r="M24" s="51" t="n"/>
      <c r="N24" s="51" t="n"/>
      <c r="O24" s="51" t="n"/>
      <c r="P24" s="51" t="n"/>
      <c r="Q24" s="51" t="n"/>
      <c r="R24" s="51" t="n"/>
      <c r="S24" s="51" t="n"/>
      <c r="T24" s="51" t="n"/>
      <c r="U24" s="51" t="n"/>
      <c r="V24" s="51" t="n"/>
      <c r="W24" s="51" t="n"/>
      <c r="X24" s="51" t="n"/>
      <c r="Y24" s="51" t="n"/>
      <c r="Z24" s="51" t="n"/>
      <c r="AA24" s="51" t="n"/>
      <c r="AB24" s="51" t="n"/>
      <c r="AC24" s="51" t="n"/>
      <c r="AD24" s="51" t="n"/>
      <c r="AE24" s="51" t="n"/>
      <c r="AF24" s="51" t="n"/>
      <c r="AG24" s="51" t="n"/>
      <c r="AH24" s="51" t="n"/>
      <c r="AI24" s="51" t="n"/>
      <c r="AJ24" s="51" t="n"/>
      <c r="AK24" s="51" t="n"/>
      <c r="AL24" s="51" t="n"/>
      <c r="AM24" s="51" t="n"/>
      <c r="AN24" s="51" t="n"/>
      <c r="AO24" s="51" t="n"/>
      <c r="AP24" s="51" t="n"/>
      <c r="AQ24" s="51" t="n"/>
      <c r="AR24" s="51" t="n"/>
      <c r="AS24" s="51" t="n"/>
      <c r="AT24" s="51" t="n"/>
      <c r="AW24" s="66" t="n"/>
    </row>
    <row r="25">
      <c r="B25" s="22" t="n"/>
      <c r="C25" s="41" t="n"/>
      <c r="D25" s="56" t="inlineStr">
        <is>
          <t>VIDA - Atual/Máxima</t>
        </is>
      </c>
      <c r="E25" s="16" t="n"/>
      <c r="F25" s="16" t="n"/>
      <c r="G25" s="16" t="n"/>
      <c r="H25" s="16" t="n"/>
      <c r="I25" s="16" t="n"/>
      <c r="J25" s="16" t="n"/>
      <c r="K25" s="16" t="n"/>
      <c r="L25" s="16" t="n"/>
      <c r="M25" s="16" t="n"/>
      <c r="N25" s="17" t="n"/>
      <c r="O25" s="51" t="n"/>
      <c r="P25" s="56" t="inlineStr">
        <is>
          <t>Buff/Debuff</t>
        </is>
      </c>
      <c r="Q25" s="17" t="n"/>
      <c r="R25" s="51" t="n"/>
      <c r="S25" s="51" t="n"/>
      <c r="T25" s="51" t="n"/>
      <c r="U25" s="51" t="n"/>
      <c r="V25" s="51" t="n"/>
      <c r="W25" s="51" t="n"/>
      <c r="X25" s="51" t="n"/>
      <c r="Y25" s="51" t="n"/>
      <c r="Z25" s="51" t="n"/>
      <c r="AA25" s="51" t="n"/>
      <c r="AB25" s="51" t="n"/>
      <c r="AC25" s="51" t="n"/>
      <c r="AD25" s="51" t="n"/>
      <c r="AE25" s="51" t="n"/>
      <c r="AF25" s="56" t="inlineStr">
        <is>
          <t>TEMPORÁRIO</t>
        </is>
      </c>
      <c r="AG25" s="16" t="n"/>
      <c r="AH25" s="16" t="n"/>
      <c r="AI25" s="16" t="n"/>
      <c r="AJ25" s="16" t="n"/>
      <c r="AK25" s="17" t="n"/>
      <c r="AL25" s="59" t="n"/>
      <c r="AM25" s="81" t="inlineStr">
        <is>
          <t>± PERDA &amp;/ou GANHO</t>
        </is>
      </c>
      <c r="AN25" s="16" t="n"/>
      <c r="AO25" s="16" t="n"/>
      <c r="AP25" s="16" t="n"/>
      <c r="AQ25" s="16" t="n"/>
      <c r="AR25" s="17" t="n"/>
      <c r="AS25" s="51" t="n"/>
      <c r="AT25" s="51" t="n"/>
      <c r="AW25" s="66" t="n"/>
    </row>
    <row r="26" ht="27" customHeight="1">
      <c r="B26" s="22" t="n"/>
      <c r="C26" s="41" t="n"/>
      <c r="D26" s="82">
        <f>J26</f>
        <v/>
      </c>
      <c r="E26" s="19" t="n"/>
      <c r="F26" s="19" t="n"/>
      <c r="G26" s="19" t="n"/>
      <c r="H26" s="20" t="n"/>
      <c r="I26" s="51" t="n"/>
      <c r="J26" s="83">
        <f>IF(DADOS_CONFIG!$E$2&lt;&gt;"",NA(),IF(DADOS_CONFIG!$C$2=1,DADOS_CONFIG!$D$2,IF(DADOS_CONFIG!$B$2=0,IF(DADOS_CONFIG!$S$15="Não",IFERROR((IFERROR(IF($D$11="","",(VLOOKUP($D$11,'DADOS_PROGRESSAO'!$M$2:$T$8,3,FALSE)+$T$19)+(VLOOKUP($D$11,'DADOS_PROGRESSAO'!$M$2:$T$8,4,FALSE)+$T$19)*($AH$11-1)),""))+IFERROR(VALUE($P$26&amp;""),0),""),IF(DADOS_CONFIG!$AF$32&lt;&gt;"",NA(),SUM(DADOS_CONFIG!$AF$2:$AF$31)+IFERROR(VALUE('FICHA'!$P$26&amp;""),0))),IF((IF(DADOS_CONFIG!$S$15="Não",IFERROR((IFERROR(IF($D$11="","",(VLOOKUP($D$11,'DADOS_PROGRESSAO'!$M$2:$T$8,3,FALSE)+$T$19)+(VLOOKUP($D$11,'DADOS_PROGRESSAO'!$M$2:$T$8,4,FALSE)+$T$19)*($AH$11-1)),""))+IFERROR(VALUE($P$26&amp;""),0),""),IF(DADOS_CONFIG!$AF$32&lt;&gt;"",NA(),SUM(DADOS_CONFIG!$AF$2:$AF$31)+IFERROR(VALUE('FICHA'!$P$26&amp;""),0))))="","",(IF(DADOS_CONFIG!$S$15="Não",IFERROR((IFERROR(IF($D$11="","",(VLOOKUP($D$11,'DADOS_PROGRESSAO'!$M$2:$T$8,3,FALSE)+$T$19)+(VLOOKUP($D$11,'DADOS_PROGRESSAO'!$M$2:$T$8,4,FALSE)+$T$19)*($AH$11-1)),""))+IFERROR(VALUE($P$26&amp;""),0),""),IF(DADOS_CONFIG!$AF$32&lt;&gt;"",NA(),SUM(DADOS_CONFIG!$AF$2:$AF$31)+IFERROR(VALUE('FICHA'!$P$26&amp;""),0))))+DADOS_CONFIG!$B$2))))</f>
        <v/>
      </c>
      <c r="K26" s="19" t="n"/>
      <c r="L26" s="19" t="n"/>
      <c r="M26" s="19" t="n"/>
      <c r="N26" s="20" t="n"/>
      <c r="O26" s="51" t="n"/>
      <c r="P26" s="84" t="n">
        <v>0</v>
      </c>
      <c r="Q26" s="20" t="n"/>
      <c r="R26" s="51" t="n"/>
      <c r="S26" s="85">
        <f>IFERROR(__xludf.DUMMYFUNCTION("IFERROR(SPARKLINE($D$26,{""charttype"",""bar"";""max"",$J$26;""color1"",IF(N($J$26)=0,DADOS!$CZ$51,IF($D$26/$J$26&lt;=0.25,""#C2334D"",IF($D$26/$J$26&lt;=0.5,""#D89B3A"",DADOS!$CZ$51)))}),"""")"),"")</f>
        <v/>
      </c>
      <c r="T26" s="19" t="n"/>
      <c r="U26" s="19" t="n"/>
      <c r="V26" s="19" t="n"/>
      <c r="W26" s="19" t="n"/>
      <c r="X26" s="19" t="n"/>
      <c r="Y26" s="19" t="n"/>
      <c r="Z26" s="19" t="n"/>
      <c r="AA26" s="19" t="n"/>
      <c r="AB26" s="19" t="n"/>
      <c r="AC26" s="19" t="n"/>
      <c r="AD26" s="20" t="n"/>
      <c r="AE26" s="51" t="n"/>
      <c r="AF26" s="86" t="n">
        <v>0</v>
      </c>
      <c r="AG26" s="24" t="n"/>
      <c r="AH26" s="24" t="n"/>
      <c r="AI26" s="24" t="n"/>
      <c r="AJ26" s="24" t="n"/>
      <c r="AK26" s="25" t="n"/>
      <c r="AL26" s="51" t="n"/>
      <c r="AM26" s="87" t="n"/>
      <c r="AN26" s="16" t="n"/>
      <c r="AO26" s="16" t="n"/>
      <c r="AP26" s="16" t="n"/>
      <c r="AQ26" s="16" t="n"/>
      <c r="AR26" s="17" t="n"/>
      <c r="AS26" s="51" t="n"/>
      <c r="AT26" s="51" t="n"/>
      <c r="AW26" s="66" t="n"/>
    </row>
    <row r="27">
      <c r="B27" s="22" t="n"/>
      <c r="C27" s="41" t="n"/>
      <c r="D27" s="23" t="n"/>
      <c r="E27" s="24" t="n"/>
      <c r="F27" s="24" t="n"/>
      <c r="G27" s="24" t="n"/>
      <c r="H27" s="25" t="n"/>
      <c r="I27" s="51" t="n"/>
      <c r="J27" s="23" t="n"/>
      <c r="K27" s="24" t="n"/>
      <c r="L27" s="24" t="n"/>
      <c r="M27" s="24" t="n"/>
      <c r="N27" s="25" t="n"/>
      <c r="O27" s="51" t="n"/>
      <c r="P27" s="23" t="n"/>
      <c r="Q27" s="25" t="n"/>
      <c r="R27" s="51" t="n"/>
      <c r="S27" s="23" t="n"/>
      <c r="T27" s="24" t="n"/>
      <c r="U27" s="24" t="n"/>
      <c r="V27" s="24" t="n"/>
      <c r="W27" s="24" t="n"/>
      <c r="X27" s="24" t="n"/>
      <c r="Y27" s="24" t="n"/>
      <c r="Z27" s="24" t="n"/>
      <c r="AA27" s="24" t="n"/>
      <c r="AB27" s="24" t="n"/>
      <c r="AC27" s="24" t="n"/>
      <c r="AD27" s="25" t="n"/>
      <c r="AE27" s="51" t="n"/>
      <c r="AF27" s="51" t="n"/>
      <c r="AG27" s="51" t="n"/>
      <c r="AH27" s="51" t="n"/>
      <c r="AI27" s="51" t="n"/>
      <c r="AJ27" s="51" t="n"/>
      <c r="AK27" s="51" t="n"/>
      <c r="AL27" s="51" t="n"/>
      <c r="AM27" s="51" t="n"/>
      <c r="AN27" s="51" t="n"/>
      <c r="AO27" s="51" t="n"/>
      <c r="AP27" s="51" t="n"/>
      <c r="AQ27" s="51" t="n"/>
      <c r="AR27" s="52" t="n"/>
      <c r="AS27" s="51" t="n"/>
      <c r="AT27" s="51" t="n"/>
      <c r="AW27" s="66" t="n"/>
    </row>
    <row r="28">
      <c r="B28" s="22" t="n"/>
      <c r="C28" s="41" t="n"/>
      <c r="D28" s="54" t="n"/>
      <c r="E28" s="54" t="n"/>
      <c r="F28" s="54" t="n"/>
      <c r="G28" s="54" t="n"/>
      <c r="H28" s="54" t="n"/>
      <c r="I28" s="54" t="n"/>
      <c r="J28" s="54" t="n"/>
      <c r="K28" s="54" t="n"/>
      <c r="L28" s="54" t="n"/>
      <c r="M28" s="54" t="n"/>
      <c r="N28" s="54" t="n"/>
      <c r="O28" s="51" t="n"/>
      <c r="P28" s="51" t="n"/>
      <c r="Q28" s="51" t="n"/>
      <c r="R28" s="51" t="n"/>
      <c r="S28" s="51" t="n"/>
      <c r="T28" s="51" t="n"/>
      <c r="U28" s="51" t="n"/>
      <c r="V28" s="51" t="n"/>
      <c r="W28" s="51" t="n"/>
      <c r="X28" s="51" t="n"/>
      <c r="Y28" s="51" t="n"/>
      <c r="Z28" s="51" t="n"/>
      <c r="AA28" s="51" t="n"/>
      <c r="AB28" s="51" t="n"/>
      <c r="AC28" s="51" t="n"/>
      <c r="AD28" s="51" t="n"/>
      <c r="AE28" s="51" t="n"/>
      <c r="AF28" s="51" t="n"/>
      <c r="AG28" s="51" t="n"/>
      <c r="AH28" s="51" t="n"/>
      <c r="AI28" s="51" t="n"/>
      <c r="AJ28" s="51" t="n"/>
      <c r="AK28" s="51" t="n"/>
      <c r="AL28" s="51" t="n"/>
      <c r="AM28" s="51" t="n"/>
      <c r="AN28" s="51" t="n"/>
      <c r="AO28" s="51" t="n"/>
      <c r="AP28" s="51" t="n"/>
      <c r="AQ28" s="51" t="n"/>
      <c r="AR28" s="54" t="n"/>
      <c r="AS28" s="51" t="n"/>
      <c r="AT28" s="51" t="n"/>
      <c r="AW28" s="66" t="n"/>
    </row>
    <row r="29">
      <c r="B29" s="22" t="n"/>
      <c r="C29" s="41" t="n"/>
      <c r="D29" s="58" t="inlineStr">
        <is>
          <t>ENERGIA - Atual/Máxima</t>
        </is>
      </c>
      <c r="E29" s="24" t="n"/>
      <c r="F29" s="24" t="n"/>
      <c r="G29" s="24" t="n"/>
      <c r="H29" s="24" t="n"/>
      <c r="I29" s="24" t="n"/>
      <c r="J29" s="24" t="n"/>
      <c r="K29" s="24" t="n"/>
      <c r="L29" s="24" t="n"/>
      <c r="M29" s="24" t="n"/>
      <c r="N29" s="25" t="n"/>
      <c r="O29" s="51" t="n"/>
      <c r="P29" s="56" t="inlineStr">
        <is>
          <t>Buff/Debuff</t>
        </is>
      </c>
      <c r="Q29" s="17" t="n"/>
      <c r="R29" s="51" t="n"/>
      <c r="S29" s="51" t="n"/>
      <c r="T29" s="51" t="n"/>
      <c r="U29" s="51" t="n"/>
      <c r="V29" s="51" t="n"/>
      <c r="W29" s="51" t="n"/>
      <c r="X29" s="51" t="n"/>
      <c r="Y29" s="51" t="n"/>
      <c r="Z29" s="51" t="n"/>
      <c r="AA29" s="51" t="n"/>
      <c r="AB29" s="51" t="n"/>
      <c r="AC29" s="51" t="n"/>
      <c r="AD29" s="51" t="n"/>
      <c r="AE29" s="51" t="n"/>
      <c r="AF29" s="56" t="inlineStr">
        <is>
          <t>TEMPORÁRIO</t>
        </is>
      </c>
      <c r="AG29" s="16" t="n"/>
      <c r="AH29" s="16" t="n"/>
      <c r="AI29" s="16" t="n"/>
      <c r="AJ29" s="16" t="n"/>
      <c r="AK29" s="17" t="n"/>
      <c r="AL29" s="59" t="n"/>
      <c r="AM29" s="81" t="inlineStr">
        <is>
          <t>± PERDA &amp;/ou GANHO</t>
        </is>
      </c>
      <c r="AN29" s="16" t="n"/>
      <c r="AO29" s="16" t="n"/>
      <c r="AP29" s="16" t="n"/>
      <c r="AQ29" s="16" t="n"/>
      <c r="AR29" s="17" t="n"/>
      <c r="AS29" s="51" t="n"/>
      <c r="AT29" s="51" t="n"/>
      <c r="AW29" s="66" t="n"/>
    </row>
    <row r="30" ht="27" customHeight="1">
      <c r="A30" s="8" t="n"/>
      <c r="B30" s="14" t="n"/>
      <c r="C30" s="41" t="n"/>
      <c r="D30" s="82">
        <f>J30</f>
        <v/>
      </c>
      <c r="E30" s="19" t="n"/>
      <c r="F30" s="19" t="n"/>
      <c r="G30" s="19" t="n"/>
      <c r="H30" s="20" t="n"/>
      <c r="I30" s="51" t="n"/>
      <c r="J30" s="83">
        <f>IF(DADOS_CONFIG!$E$3&lt;&gt;"",NA(),IF(DADOS_CONFIG!$C$3=1,DADOS_CONFIG!$D$3,IF(DADOS_CONFIG!$B$3=0,IFERROR((IFERROR(IF($D$11="","",VLOOKUP($D$11,'DADOS_PROGRESSAO'!$M$2:$T$8,5,FALSE)*$AH$11),""))+IFERROR(VALUE($P$30&amp;""),0),""),IF((IFERROR((IFERROR(IF($D$11="","",VLOOKUP($D$11,'DADOS_PROGRESSAO'!$M$2:$T$8,5,FALSE)*$AH$11),""))+IFERROR(VALUE($P$30&amp;""),0),""))="","",(IFERROR((IFERROR(IF($D$11="","",VLOOKUP($D$11,'DADOS_PROGRESSAO'!$M$2:$T$8,5,FALSE)*$AH$11),""))+IFERROR(VALUE($P$30&amp;""),0),""))+DADOS_CONFIG!$B$3))))</f>
        <v/>
      </c>
      <c r="K30" s="19" t="n"/>
      <c r="L30" s="19" t="n"/>
      <c r="M30" s="19" t="n"/>
      <c r="N30" s="20" t="n"/>
      <c r="O30" s="51" t="n"/>
      <c r="P30" s="84" t="n">
        <v>0</v>
      </c>
      <c r="Q30" s="20" t="n"/>
      <c r="R30" s="51" t="n"/>
      <c r="S30" s="88">
        <f>IFERROR(__xludf.DUMMYFUNCTION("IFERROR(SPARKLINE($D$30,{""charttype"",""bar"";""max"",$J$30;""color1"",IF(N($J$30)=0,DADOS!$CZ$51,IF($D$30/$J$30&lt;=0.25,""#C2334D"",IF($D$30/$J$30&lt;=0.5,""#D89B3A"",DADOS!$CZ$51)))}),"""")"),"")</f>
        <v/>
      </c>
      <c r="T30" s="19" t="n"/>
      <c r="U30" s="19" t="n"/>
      <c r="V30" s="19" t="n"/>
      <c r="W30" s="19" t="n"/>
      <c r="X30" s="19" t="n"/>
      <c r="Y30" s="19" t="n"/>
      <c r="Z30" s="19" t="n"/>
      <c r="AA30" s="19" t="n"/>
      <c r="AB30" s="19" t="n"/>
      <c r="AC30" s="19" t="n"/>
      <c r="AD30" s="20" t="n"/>
      <c r="AE30" s="51" t="n"/>
      <c r="AF30" s="86" t="n">
        <v>0</v>
      </c>
      <c r="AG30" s="24" t="n"/>
      <c r="AH30" s="24" t="n"/>
      <c r="AI30" s="24" t="n"/>
      <c r="AJ30" s="24" t="n"/>
      <c r="AK30" s="25" t="n"/>
      <c r="AL30" s="51" t="n"/>
      <c r="AM30" s="87" t="n"/>
      <c r="AN30" s="16" t="n"/>
      <c r="AO30" s="16" t="n"/>
      <c r="AP30" s="16" t="n"/>
      <c r="AQ30" s="16" t="n"/>
      <c r="AR30" s="17" t="n"/>
      <c r="AS30" s="51" t="n"/>
      <c r="AT30" s="51" t="n"/>
      <c r="AW30" s="66" t="n"/>
    </row>
    <row r="31">
      <c r="A31" s="8" t="n"/>
      <c r="B31" s="14" t="n"/>
      <c r="C31" s="41" t="n"/>
      <c r="D31" s="23" t="n"/>
      <c r="E31" s="24" t="n"/>
      <c r="F31" s="24" t="n"/>
      <c r="G31" s="24" t="n"/>
      <c r="H31" s="25" t="n"/>
      <c r="I31" s="51" t="n"/>
      <c r="J31" s="23" t="n"/>
      <c r="K31" s="24" t="n"/>
      <c r="L31" s="24" t="n"/>
      <c r="M31" s="24" t="n"/>
      <c r="N31" s="25" t="n"/>
      <c r="O31" s="51" t="n"/>
      <c r="P31" s="23" t="n"/>
      <c r="Q31" s="25" t="n"/>
      <c r="R31" s="51" t="n"/>
      <c r="S31" s="23" t="n"/>
      <c r="T31" s="24" t="n"/>
      <c r="U31" s="24" t="n"/>
      <c r="V31" s="24" t="n"/>
      <c r="W31" s="24" t="n"/>
      <c r="X31" s="24" t="n"/>
      <c r="Y31" s="24" t="n"/>
      <c r="Z31" s="24" t="n"/>
      <c r="AA31" s="24" t="n"/>
      <c r="AB31" s="24" t="n"/>
      <c r="AC31" s="24" t="n"/>
      <c r="AD31" s="25" t="n"/>
      <c r="AE31" s="51" t="n"/>
      <c r="AF31" s="51" t="n"/>
      <c r="AG31" s="51" t="n"/>
      <c r="AH31" s="51" t="n"/>
      <c r="AI31" s="51" t="n"/>
      <c r="AJ31" s="51" t="n"/>
      <c r="AK31" s="51" t="n"/>
      <c r="AL31" s="51" t="n"/>
      <c r="AM31" s="51" t="n"/>
      <c r="AN31" s="51" t="n"/>
      <c r="AO31" s="51" t="n"/>
      <c r="AP31" s="51" t="n"/>
      <c r="AQ31" s="51" t="n"/>
      <c r="AR31" s="52" t="n"/>
      <c r="AS31" s="51" t="n"/>
      <c r="AT31" s="51" t="n"/>
      <c r="AW31" s="66" t="n"/>
    </row>
    <row r="32">
      <c r="A32" s="8" t="n"/>
      <c r="B32" s="14" t="n"/>
      <c r="C32" s="41" t="n"/>
      <c r="D32" s="54" t="n"/>
      <c r="E32" s="54" t="n"/>
      <c r="F32" s="54" t="n"/>
      <c r="G32" s="54" t="n"/>
      <c r="H32" s="54" t="n"/>
      <c r="I32" s="54" t="n"/>
      <c r="J32" s="54" t="n"/>
      <c r="K32" s="54" t="n"/>
      <c r="L32" s="54" t="n"/>
      <c r="M32" s="54" t="n"/>
      <c r="N32" s="54" t="n"/>
      <c r="O32" s="51" t="n"/>
      <c r="P32" s="51" t="n"/>
      <c r="Q32" s="51" t="n"/>
      <c r="R32" s="51" t="n"/>
      <c r="S32" s="51" t="n"/>
      <c r="T32" s="51" t="n"/>
      <c r="U32" s="51" t="n"/>
      <c r="V32" s="51" t="n"/>
      <c r="W32" s="51" t="n"/>
      <c r="X32" s="51" t="n"/>
      <c r="Y32" s="51" t="n"/>
      <c r="Z32" s="51" t="n"/>
      <c r="AA32" s="51" t="n"/>
      <c r="AB32" s="51" t="n"/>
      <c r="AC32" s="51" t="n"/>
      <c r="AD32" s="51" t="n"/>
      <c r="AE32" s="51" t="n"/>
      <c r="AF32" s="51" t="n"/>
      <c r="AG32" s="51" t="n"/>
      <c r="AH32" s="51" t="n"/>
      <c r="AI32" s="51" t="n"/>
      <c r="AJ32" s="51" t="n"/>
      <c r="AK32" s="51" t="n"/>
      <c r="AL32" s="51" t="n"/>
      <c r="AM32" s="51" t="n"/>
      <c r="AN32" s="51" t="n"/>
      <c r="AO32" s="51" t="n"/>
      <c r="AP32" s="51" t="n"/>
      <c r="AQ32" s="51" t="n"/>
      <c r="AR32" s="54" t="n"/>
      <c r="AS32" s="51" t="n"/>
      <c r="AT32" s="51" t="n"/>
      <c r="AW32" s="66" t="n"/>
    </row>
    <row r="33">
      <c r="A33" s="48" t="inlineStr">
        <is>
          <t>FICHA DE REGISTRO</t>
        </is>
      </c>
      <c r="B33" s="22" t="n"/>
      <c r="C33" s="41" t="n"/>
      <c r="D33" s="58" t="inlineStr">
        <is>
          <t>INTEGRIDADE - Atual/Máxima</t>
        </is>
      </c>
      <c r="E33" s="24" t="n"/>
      <c r="F33" s="24" t="n"/>
      <c r="G33" s="24" t="n"/>
      <c r="H33" s="24" t="n"/>
      <c r="I33" s="24" t="n"/>
      <c r="J33" s="24" t="n"/>
      <c r="K33" s="24" t="n"/>
      <c r="L33" s="24" t="n"/>
      <c r="M33" s="24" t="n"/>
      <c r="N33" s="25" t="n"/>
      <c r="O33" s="51" t="n"/>
      <c r="P33" s="56" t="inlineStr">
        <is>
          <t>Buff/Debuff</t>
        </is>
      </c>
      <c r="Q33" s="17" t="n"/>
      <c r="R33" s="51" t="n"/>
      <c r="S33" s="51" t="n"/>
      <c r="T33" s="51" t="n"/>
      <c r="U33" s="51" t="n"/>
      <c r="V33" s="51" t="n"/>
      <c r="W33" s="51" t="n"/>
      <c r="X33" s="51" t="n"/>
      <c r="Y33" s="51" t="n"/>
      <c r="Z33" s="51" t="n"/>
      <c r="AA33" s="51" t="n"/>
      <c r="AB33" s="51" t="n"/>
      <c r="AC33" s="51" t="n"/>
      <c r="AD33" s="51" t="n"/>
      <c r="AE33" s="51" t="n"/>
      <c r="AF33" s="56" t="inlineStr">
        <is>
          <t>TEMPORÁRIO</t>
        </is>
      </c>
      <c r="AG33" s="16" t="n"/>
      <c r="AH33" s="16" t="n"/>
      <c r="AI33" s="16" t="n"/>
      <c r="AJ33" s="16" t="n"/>
      <c r="AK33" s="17" t="n"/>
      <c r="AL33" s="59" t="n"/>
      <c r="AM33" s="81" t="inlineStr">
        <is>
          <t>± PERDA &amp;/ou GANHO</t>
        </is>
      </c>
      <c r="AN33" s="16" t="n"/>
      <c r="AO33" s="16" t="n"/>
      <c r="AP33" s="16" t="n"/>
      <c r="AQ33" s="16" t="n"/>
      <c r="AR33" s="17" t="n"/>
      <c r="AS33" s="51" t="n"/>
      <c r="AT33" s="51" t="n"/>
      <c r="AW33" s="66" t="n"/>
    </row>
    <row r="34" ht="27" customHeight="1">
      <c r="B34" s="22" t="n"/>
      <c r="C34" s="41" t="n"/>
      <c r="D34" s="82">
        <f>J34</f>
        <v/>
      </c>
      <c r="E34" s="19" t="n"/>
      <c r="F34" s="19" t="n"/>
      <c r="G34" s="19" t="n"/>
      <c r="H34" s="20" t="n"/>
      <c r="I34" s="57" t="n"/>
      <c r="J34" s="89">
        <f>IF(DADOS_CONFIG!$E$4&lt;&gt;"",NA(),IF(DADOS_CONFIG!$C$4=1,DADOS_CONFIG!$D$4,IF(DADOS_CONFIG!$B$4=0,IFERROR((20+(AJ19+5)*($AH$11-1))+IFERROR(VALUE($P$34&amp;""),0),""),IF((IFERROR((20+(AJ19+5)*($AH$11-1))+IFERROR(VALUE($P$34&amp;""),0),""))="","",(IFERROR((20+(AJ19+5)*($AH$11-1))+IFERROR(VALUE($P$34&amp;""),0),""))+DADOS_CONFIG!$B$4))))</f>
        <v/>
      </c>
      <c r="K34" s="19" t="n"/>
      <c r="L34" s="19" t="n"/>
      <c r="M34" s="19" t="n"/>
      <c r="N34" s="20" t="n"/>
      <c r="O34" s="51" t="n"/>
      <c r="P34" s="84" t="n">
        <v>0</v>
      </c>
      <c r="Q34" s="20" t="n"/>
      <c r="R34" s="51" t="n"/>
      <c r="S34" s="88">
        <f>IFERROR(__xludf.DUMMYFUNCTION("IFERROR(SPARKLINE($D$34,{""charttype"",""bar"";""max"",$J$34;""color1"",IF(N($J$34)=0,DADOS!$CZ$51,IF($D$34/$J$34&lt;=0.25,""#C2334D"",IF($D$34/$J$34&lt;=0.5,""#D89B3A"",DADOS!$CZ$51)))}),"""")"),"")</f>
        <v/>
      </c>
      <c r="T34" s="19" t="n"/>
      <c r="U34" s="19" t="n"/>
      <c r="V34" s="19" t="n"/>
      <c r="W34" s="19" t="n"/>
      <c r="X34" s="19" t="n"/>
      <c r="Y34" s="19" t="n"/>
      <c r="Z34" s="19" t="n"/>
      <c r="AA34" s="19" t="n"/>
      <c r="AB34" s="19" t="n"/>
      <c r="AC34" s="19" t="n"/>
      <c r="AD34" s="20" t="n"/>
      <c r="AE34" s="59" t="n"/>
      <c r="AF34" s="86" t="n">
        <v>0</v>
      </c>
      <c r="AG34" s="24" t="n"/>
      <c r="AH34" s="24" t="n"/>
      <c r="AI34" s="24" t="n"/>
      <c r="AJ34" s="24" t="n"/>
      <c r="AK34" s="25" t="n"/>
      <c r="AL34" s="57" t="n"/>
      <c r="AM34" s="90" t="n"/>
      <c r="AR34" s="22" t="n"/>
      <c r="AS34" s="51" t="n"/>
      <c r="AT34" s="51" t="n"/>
      <c r="AW34" s="66" t="n"/>
    </row>
    <row r="35">
      <c r="B35" s="22" t="n"/>
      <c r="C35" s="41" t="n"/>
      <c r="D35" s="23" t="n"/>
      <c r="E35" s="24" t="n"/>
      <c r="F35" s="24" t="n"/>
      <c r="G35" s="24" t="n"/>
      <c r="H35" s="25" t="n"/>
      <c r="I35" s="57" t="n"/>
      <c r="J35" s="24" t="n"/>
      <c r="K35" s="24" t="n"/>
      <c r="L35" s="24" t="n"/>
      <c r="M35" s="24" t="n"/>
      <c r="N35" s="25" t="n"/>
      <c r="O35" s="51" t="n"/>
      <c r="P35" s="23" t="n"/>
      <c r="Q35" s="25" t="n"/>
      <c r="R35" s="51" t="n"/>
      <c r="S35" s="23" t="n"/>
      <c r="T35" s="24" t="n"/>
      <c r="U35" s="24" t="n"/>
      <c r="V35" s="24" t="n"/>
      <c r="W35" s="24" t="n"/>
      <c r="X35" s="24" t="n"/>
      <c r="Y35" s="24" t="n"/>
      <c r="Z35" s="24" t="n"/>
      <c r="AA35" s="24" t="n"/>
      <c r="AB35" s="24" t="n"/>
      <c r="AC35" s="24" t="n"/>
      <c r="AD35" s="25" t="n"/>
      <c r="AE35" s="51" t="n"/>
      <c r="AF35" s="52" t="n"/>
      <c r="AG35" s="52" t="n"/>
      <c r="AH35" s="52" t="n"/>
      <c r="AI35" s="52" t="n"/>
      <c r="AJ35" s="52" t="n"/>
      <c r="AK35" s="52" t="n"/>
      <c r="AL35" s="51" t="n"/>
      <c r="AM35" s="52" t="n"/>
      <c r="AN35" s="52" t="n"/>
      <c r="AO35" s="52" t="n"/>
      <c r="AP35" s="52" t="n"/>
      <c r="AQ35" s="52" t="n"/>
      <c r="AR35" s="52" t="n"/>
      <c r="AS35" s="51" t="n"/>
      <c r="AT35" s="51" t="n"/>
      <c r="AW35" s="66" t="n"/>
    </row>
    <row r="36">
      <c r="B36" s="22" t="n"/>
      <c r="C36" s="41" t="n"/>
      <c r="D36" s="51" t="n"/>
      <c r="E36" s="51" t="n"/>
      <c r="F36" s="51" t="n"/>
      <c r="G36" s="51" t="n"/>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c r="AH36" s="51" t="n"/>
      <c r="AI36" s="51" t="n"/>
      <c r="AJ36" s="51" t="n"/>
      <c r="AK36" s="51" t="n"/>
      <c r="AL36" s="51" t="n"/>
      <c r="AM36" s="51" t="n"/>
      <c r="AN36" s="51" t="n"/>
      <c r="AO36" s="51" t="n"/>
      <c r="AP36" s="51" t="n"/>
      <c r="AQ36" s="51" t="n"/>
      <c r="AR36" s="51" t="n"/>
      <c r="AS36" s="51" t="n"/>
      <c r="AT36" s="51" t="n"/>
      <c r="AW36" s="66" t="n"/>
    </row>
    <row r="37">
      <c r="B37" s="22" t="n"/>
      <c r="C37" s="41" t="n"/>
      <c r="D37" s="91">
        <f>IF($D$34=""," ",IF($D$34&lt;=0,"Estágio 4 · Você não é mais você mesmo",IF($D$34&lt;=$J$34/4,"Estágio 3 · Desvantagem em ataques e TRs",IF($D$34&lt;=$J$34/2,"Estágio 2 · Metade do deslocamento, +1 PE por Classe",IF($D$34&lt;=$J$34*3/4,"Estágio 1 · Desvantagem em perícias","Alma Inteira")))))</f>
        <v/>
      </c>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6" t="n"/>
      <c r="AO37" s="16" t="n"/>
      <c r="AP37" s="16" t="n"/>
      <c r="AQ37" s="16" t="n"/>
      <c r="AR37" s="16" t="n"/>
      <c r="AS37" s="16" t="n"/>
      <c r="AT37" s="17" t="n"/>
      <c r="AW37" s="66" t="n"/>
    </row>
    <row r="38">
      <c r="B38" s="22" t="n"/>
      <c r="C38" s="41" t="n"/>
      <c r="D38" s="51" t="n"/>
      <c r="E38" s="51" t="n"/>
      <c r="F38" s="51" t="n"/>
      <c r="G38" s="51" t="n"/>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c r="AH38" s="51" t="n"/>
      <c r="AI38" s="51" t="n"/>
      <c r="AJ38" s="51" t="n"/>
      <c r="AK38" s="51" t="n"/>
      <c r="AL38" s="51" t="n"/>
      <c r="AM38" s="51" t="n"/>
      <c r="AN38" s="51" t="n"/>
      <c r="AO38" s="51" t="n"/>
      <c r="AP38" s="51" t="n"/>
      <c r="AQ38" s="51" t="n"/>
      <c r="AR38" s="51" t="n"/>
      <c r="AS38" s="51" t="n"/>
      <c r="AT38" s="51" t="n"/>
      <c r="AW38" s="66" t="n"/>
    </row>
    <row r="39">
      <c r="B39" s="22" t="n"/>
      <c r="C39" s="41" t="n"/>
      <c r="D39" s="92" t="inlineStr">
        <is>
          <t>SE A VIDA CHEGAR A 0 · MORRENDO · a cura que você precisa receber para levantar, e o prazo para recebê-la</t>
        </is>
      </c>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7" t="n"/>
      <c r="AW39" s="66" t="n"/>
    </row>
    <row r="40">
      <c r="B40" s="22" t="n"/>
      <c r="C40" s="41" t="n"/>
      <c r="D40" s="56" t="inlineStr">
        <is>
          <t>AGUENTAR · FICA INCONSCIENTE</t>
        </is>
      </c>
      <c r="E40" s="16" t="n"/>
      <c r="F40" s="16" t="n"/>
      <c r="G40" s="16" t="n"/>
      <c r="H40" s="16" t="n"/>
      <c r="I40" s="16" t="n"/>
      <c r="J40" s="16" t="n"/>
      <c r="K40" s="16" t="n"/>
      <c r="L40" s="16" t="n"/>
      <c r="M40" s="17" t="n"/>
      <c r="N40" s="51" t="n"/>
      <c r="O40" s="56" t="inlineStr">
        <is>
          <t>INSISTIR · 1ª VEZ NA CENA</t>
        </is>
      </c>
      <c r="P40" s="16" t="n"/>
      <c r="Q40" s="16" t="n"/>
      <c r="R40" s="16" t="n"/>
      <c r="S40" s="16" t="n"/>
      <c r="T40" s="16" t="n"/>
      <c r="U40" s="16" t="n"/>
      <c r="V40" s="16" t="n"/>
      <c r="W40" s="16" t="n"/>
      <c r="X40" s="17" t="n"/>
      <c r="Y40" s="51" t="n"/>
      <c r="Z40" s="56" t="inlineStr">
        <is>
          <t>INSISTIR · 2ª VEZ EM DIANTE</t>
        </is>
      </c>
      <c r="AA40" s="16" t="n"/>
      <c r="AB40" s="16" t="n"/>
      <c r="AC40" s="16" t="n"/>
      <c r="AD40" s="16" t="n"/>
      <c r="AE40" s="16" t="n"/>
      <c r="AF40" s="16" t="n"/>
      <c r="AG40" s="16" t="n"/>
      <c r="AH40" s="16" t="n"/>
      <c r="AI40" s="17" t="n"/>
      <c r="AJ40" s="51" t="n"/>
      <c r="AK40" s="56" t="inlineStr">
        <is>
          <t>PRAZO ATÉ SER DERROTADO</t>
        </is>
      </c>
      <c r="AL40" s="16" t="n"/>
      <c r="AM40" s="16" t="n"/>
      <c r="AN40" s="16" t="n"/>
      <c r="AO40" s="16" t="n"/>
      <c r="AP40" s="16" t="n"/>
      <c r="AQ40" s="16" t="n"/>
      <c r="AR40" s="16" t="n"/>
      <c r="AS40" s="16" t="n"/>
      <c r="AT40" s="17" t="n"/>
      <c r="AW40" s="66" t="n"/>
    </row>
    <row r="41">
      <c r="B41" s="22" t="n"/>
      <c r="C41" s="41" t="n"/>
      <c r="D41" s="93">
        <f>ROUNDUP(ROUND(N('FICHA'!$J$26)*DADOS_CONFIG!$S$10,10),0)</f>
        <v/>
      </c>
      <c r="E41" s="16" t="n"/>
      <c r="F41" s="16" t="n"/>
      <c r="G41" s="16" t="n"/>
      <c r="H41" s="16" t="n"/>
      <c r="I41" s="16" t="n"/>
      <c r="J41" s="16" t="n"/>
      <c r="K41" s="16" t="n"/>
      <c r="L41" s="16" t="n"/>
      <c r="M41" s="17" t="n"/>
      <c r="N41" s="51" t="n"/>
      <c r="O41" s="93">
        <f>MIN(ROUNDUP(ROUND(N('FICHA'!$J$26)*DADOS_CONFIG!$S$11,10),0),DADOS_CONFIG!$S$13*N('FICHA'!$Z$73))</f>
        <v/>
      </c>
      <c r="P41" s="16" t="n"/>
      <c r="Q41" s="16" t="n"/>
      <c r="R41" s="16" t="n"/>
      <c r="S41" s="16" t="n"/>
      <c r="T41" s="16" t="n"/>
      <c r="U41" s="16" t="n"/>
      <c r="V41" s="16" t="n"/>
      <c r="W41" s="16" t="n"/>
      <c r="X41" s="17" t="n"/>
      <c r="Y41" s="51" t="n"/>
      <c r="Z41" s="93">
        <f>MIN(ROUNDUP(ROUND(N('FICHA'!$J$26)*DADOS_CONFIG!$S$12,10),0),DADOS_CONFIG!$S$13*N('FICHA'!$Z$73))</f>
        <v/>
      </c>
      <c r="AA41" s="16" t="n"/>
      <c r="AB41" s="16" t="n"/>
      <c r="AC41" s="16" t="n"/>
      <c r="AD41" s="16" t="n"/>
      <c r="AE41" s="16" t="n"/>
      <c r="AF41" s="16" t="n"/>
      <c r="AG41" s="16" t="n"/>
      <c r="AH41" s="16" t="n"/>
      <c r="AI41" s="17" t="n"/>
      <c r="AJ41" s="51" t="n"/>
      <c r="AK41" s="93">
        <f>IF(MAX(0,DADOS_CONFIG!$S$14-(N('FICHA'!$F$48)+N('FICHA'!$H$48)+N('FICHA'!$J$48)+IF(ISBLANK('FICHA'!$J$50),0,IF(IFERROR(AND(ISNUMBER('FICHA'!$J$50),'FICHA'!$J$50&gt;=0,INT('FICHA'!$J$50)='FICHA'!$J$50),FALSE),'FICHA'!$J$50,NA()))))=0,"Derrotado na hora",MAX(0,DADOS_CONFIG!$S$14-(N('FICHA'!$F$48)+N('FICHA'!$H$48)+N('FICHA'!$J$48)+IF(ISBLANK('FICHA'!$J$50),0,IF(IFERROR(AND(ISNUMBER('FICHA'!$J$50),'FICHA'!$J$50&gt;=0,INT('FICHA'!$J$50)='FICHA'!$J$50),FALSE),'FICHA'!$J$50,NA()))))&amp;IF(MAX(0,DADOS_CONFIG!$S$14-(N('FICHA'!$F$48)+N('FICHA'!$H$48)+N('FICHA'!$J$48)+IF(ISBLANK('FICHA'!$J$50),0,IF(IFERROR(AND(ISNUMBER('FICHA'!$J$50),'FICHA'!$J$50&gt;=0,INT('FICHA'!$J$50)='FICHA'!$J$50),FALSE),'FICHA'!$J$50,NA()))))=1," rodada"," rodadas"))</f>
        <v/>
      </c>
      <c r="AL41" s="16" t="n"/>
      <c r="AM41" s="16" t="n"/>
      <c r="AN41" s="16" t="n"/>
      <c r="AO41" s="16" t="n"/>
      <c r="AP41" s="16" t="n"/>
      <c r="AQ41" s="16" t="n"/>
      <c r="AR41" s="16" t="n"/>
      <c r="AS41" s="16" t="n"/>
      <c r="AT41" s="17" t="n"/>
      <c r="AW41" s="66" t="n"/>
    </row>
    <row r="42">
      <c r="B42" s="22" t="n"/>
      <c r="C42" s="41" t="n"/>
      <c r="D42" s="94">
        <f>IF(ISBLANK('CONFIGURAÇÃO'!$F$54),"¼ da vida máxima, para cima",TEXT(DADOS_CONFIG!$S$10,"# ?/?")&amp;" da vida máxima, para cima")</f>
        <v/>
      </c>
      <c r="E42" s="16" t="n"/>
      <c r="F42" s="16" t="n"/>
      <c r="G42" s="16" t="n"/>
      <c r="H42" s="16" t="n"/>
      <c r="I42" s="16" t="n"/>
      <c r="J42" s="16" t="n"/>
      <c r="K42" s="16" t="n"/>
      <c r="L42" s="16" t="n"/>
      <c r="M42" s="17" t="n"/>
      <c r="N42" s="51" t="n"/>
      <c r="O42" s="94">
        <f>IF(AND(ISBLANK('CONFIGURAÇÃO'!$F$55),ISBLANK('CONFIGURAÇÃO'!$F$57)),IF(ROUNDUP(N(FICHA!$J$26)/3,0)&gt;15*N(FICHA!$Z$73),"⅓ da vida máxima, no teto de 15 × Classe","⅓ da vida máxima, para cima"),TEXT(DADOS_CONFIG!$S$11,"# ?/?")&amp;" da vida máxima, para cima"&amp;" · teto "&amp;DADOS_CONFIG!$S$13&amp;" × Classe")</f>
        <v/>
      </c>
      <c r="P42" s="16" t="n"/>
      <c r="Q42" s="16" t="n"/>
      <c r="R42" s="16" t="n"/>
      <c r="S42" s="16" t="n"/>
      <c r="T42" s="16" t="n"/>
      <c r="U42" s="16" t="n"/>
      <c r="V42" s="16" t="n"/>
      <c r="W42" s="16" t="n"/>
      <c r="X42" s="17" t="n"/>
      <c r="Y42" s="51" t="n"/>
      <c r="Z42" s="94">
        <f>IF(AND(ISBLANK('CONFIGURAÇÃO'!$F$56),ISBLANK('CONFIGURAÇÃO'!$F$57)),IF(ROUNDUP(N(FICHA!$J$26)/2,0)&gt;15*N(FICHA!$Z$73),"½ da vida máxima, no teto de 15 × Classe","½ da vida máxima, para cima"),TEXT(DADOS_CONFIG!$S$12,"# ?/?")&amp;" da vida máxima, para cima"&amp;" · teto "&amp;DADOS_CONFIG!$S$13&amp;" × Classe")</f>
        <v/>
      </c>
      <c r="AA42" s="16" t="n"/>
      <c r="AB42" s="16" t="n"/>
      <c r="AC42" s="16" t="n"/>
      <c r="AD42" s="16" t="n"/>
      <c r="AE42" s="16" t="n"/>
      <c r="AF42" s="16" t="n"/>
      <c r="AG42" s="16" t="n"/>
      <c r="AH42" s="16" t="n"/>
      <c r="AI42" s="17" t="n"/>
      <c r="AJ42" s="51" t="n"/>
      <c r="AK42" s="94">
        <f>DADOS_CONFIG!$S$14&amp;" rodadas, menos 1 por Sequela marcada"</f>
        <v/>
      </c>
      <c r="AL42" s="16" t="n"/>
      <c r="AM42" s="16" t="n"/>
      <c r="AN42" s="16" t="n"/>
      <c r="AO42" s="16" t="n"/>
      <c r="AP42" s="16" t="n"/>
      <c r="AQ42" s="16" t="n"/>
      <c r="AR42" s="16" t="n"/>
      <c r="AS42" s="16" t="n"/>
      <c r="AT42" s="17" t="n"/>
      <c r="AW42" s="66" t="n"/>
    </row>
    <row r="43">
      <c r="B43" s="22" t="n"/>
      <c r="C43" s="4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c r="AH43" s="51" t="n"/>
      <c r="AI43" s="51" t="n"/>
      <c r="AJ43" s="51" t="n"/>
      <c r="AK43" s="51" t="n"/>
      <c r="AL43" s="51" t="n"/>
      <c r="AM43" s="51" t="n"/>
      <c r="AN43" s="51" t="n"/>
      <c r="AO43" s="51" t="n"/>
      <c r="AP43" s="51" t="n"/>
      <c r="AQ43" s="51" t="n"/>
      <c r="AR43" s="51" t="n"/>
      <c r="AS43" s="51" t="n"/>
      <c r="AT43" s="51" t="n"/>
      <c r="AW43" s="66" t="n"/>
    </row>
    <row r="44">
      <c r="B44" s="22" t="n"/>
      <c r="C44" s="41" t="n"/>
      <c r="D44" s="56" t="inlineStr">
        <is>
          <t>DESCANSO</t>
        </is>
      </c>
      <c r="E44" s="16" t="n"/>
      <c r="F44" s="16" t="n"/>
      <c r="G44" s="16" t="n"/>
      <c r="H44" s="16" t="n"/>
      <c r="I44" s="16" t="n"/>
      <c r="J44" s="16" t="n"/>
      <c r="K44" s="16" t="n"/>
      <c r="L44" s="16" t="n"/>
      <c r="M44" s="17" t="n"/>
      <c r="N44" s="51" t="n"/>
      <c r="O44" s="56" t="inlineStr">
        <is>
          <t>O ÚLTIMO DESCANSO</t>
        </is>
      </c>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7" t="n"/>
      <c r="AW44" s="66" t="n"/>
    </row>
    <row r="45">
      <c r="B45" s="22" t="n"/>
      <c r="C45" s="41" t="n"/>
      <c r="D45" s="95" t="inlineStr">
        <is>
          <t>Escolha o descanso</t>
        </is>
      </c>
      <c r="E45" s="16" t="n"/>
      <c r="F45" s="16" t="n"/>
      <c r="G45" s="16" t="n"/>
      <c r="H45" s="16" t="n"/>
      <c r="I45" s="16" t="n"/>
      <c r="J45" s="16" t="n"/>
      <c r="K45" s="16" t="n"/>
      <c r="L45" s="16" t="n"/>
      <c r="M45" s="17" t="n"/>
      <c r="N45" s="51" t="n"/>
      <c r="O45" s="9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7" t="n"/>
      <c r="AW45" s="66" t="n"/>
    </row>
    <row r="46">
      <c r="B46" s="22" t="n"/>
      <c r="C46" s="41" t="n"/>
      <c r="D46" s="51" t="n"/>
      <c r="E46" s="51" t="n"/>
      <c r="F46" s="51" t="n"/>
      <c r="G46" s="51" t="n"/>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c r="AH46" s="51" t="n"/>
      <c r="AI46" s="51" t="n"/>
      <c r="AJ46" s="51" t="n"/>
      <c r="AK46" s="51" t="n"/>
      <c r="AL46" s="51" t="n"/>
      <c r="AM46" s="51" t="n"/>
      <c r="AN46" s="51" t="n"/>
      <c r="AO46" s="51" t="n"/>
      <c r="AP46" s="51" t="n"/>
      <c r="AQ46" s="51" t="n"/>
      <c r="AR46" s="51" t="n"/>
      <c r="AS46" s="51" t="n"/>
      <c r="AT46" s="51" t="n"/>
      <c r="AW46" s="66" t="n"/>
    </row>
    <row r="47">
      <c r="B47" s="22" t="n"/>
      <c r="C47" s="41" t="n"/>
      <c r="D47" s="56" t="inlineStr">
        <is>
          <t>SEQUELAS</t>
        </is>
      </c>
      <c r="E47" s="16" t="n"/>
      <c r="F47" s="16" t="n"/>
      <c r="G47" s="16" t="n"/>
      <c r="H47" s="16" t="n"/>
      <c r="I47" s="16" t="n"/>
      <c r="J47" s="16" t="n"/>
      <c r="K47" s="16" t="n"/>
      <c r="L47" s="16" t="n"/>
      <c r="M47" s="17" t="n"/>
      <c r="N47" s="51" t="n"/>
      <c r="O47" s="56" t="inlineStr">
        <is>
          <t>EXAUSTÃO</t>
        </is>
      </c>
      <c r="P47" s="16" t="n"/>
      <c r="Q47" s="16" t="n"/>
      <c r="R47" s="16" t="n"/>
      <c r="S47" s="16" t="n"/>
      <c r="T47" s="16" t="n"/>
      <c r="U47" s="16" t="n"/>
      <c r="V47" s="16" t="n"/>
      <c r="W47" s="16" t="n"/>
      <c r="X47" s="17" t="n"/>
      <c r="Y47" s="51" t="n"/>
      <c r="Z47" s="56" t="inlineStr">
        <is>
          <t>RESISTÊNCIAS</t>
        </is>
      </c>
      <c r="AA47" s="16" t="n"/>
      <c r="AB47" s="16" t="n"/>
      <c r="AC47" s="16" t="n"/>
      <c r="AD47" s="16" t="n"/>
      <c r="AE47" s="16" t="n"/>
      <c r="AF47" s="16" t="n"/>
      <c r="AG47" s="16" t="n"/>
      <c r="AH47" s="16" t="n"/>
      <c r="AI47" s="17" t="n"/>
      <c r="AJ47" s="51" t="n"/>
      <c r="AK47" s="56" t="inlineStr">
        <is>
          <t>IMUNIDADES</t>
        </is>
      </c>
      <c r="AL47" s="16" t="n"/>
      <c r="AM47" s="16" t="n"/>
      <c r="AN47" s="16" t="n"/>
      <c r="AO47" s="16" t="n"/>
      <c r="AP47" s="16" t="n"/>
      <c r="AQ47" s="16" t="n"/>
      <c r="AR47" s="16" t="n"/>
      <c r="AS47" s="16" t="n"/>
      <c r="AT47" s="17" t="n"/>
      <c r="AW47" s="66" t="n"/>
    </row>
    <row r="48">
      <c r="B48" s="22" t="n"/>
      <c r="C48" s="41" t="n"/>
      <c r="D48" s="97" t="n"/>
      <c r="E48" s="98" t="n"/>
      <c r="F48" s="98" t="n">
        <v>0</v>
      </c>
      <c r="G48" s="98" t="n"/>
      <c r="H48" s="98" t="n">
        <v>0</v>
      </c>
      <c r="I48" s="98" t="n"/>
      <c r="J48" s="98" t="n">
        <v>0</v>
      </c>
      <c r="K48" s="98" t="n"/>
      <c r="L48" s="98" t="n"/>
      <c r="M48" s="99" t="n"/>
      <c r="N48" s="51" t="n"/>
      <c r="O48" s="93" t="n">
        <v>0</v>
      </c>
      <c r="P48" s="16" t="n"/>
      <c r="Q48" s="16" t="n"/>
      <c r="R48" s="16" t="n"/>
      <c r="S48" s="16" t="n"/>
      <c r="T48" s="16" t="n"/>
      <c r="U48" s="16" t="n"/>
      <c r="V48" s="16" t="n"/>
      <c r="W48" s="16" t="n"/>
      <c r="X48" s="17" t="n"/>
      <c r="Y48" s="51" t="n"/>
      <c r="Z48" s="100" t="n"/>
      <c r="AA48" s="19" t="n"/>
      <c r="AB48" s="19" t="n"/>
      <c r="AC48" s="19" t="n"/>
      <c r="AD48" s="19" t="n"/>
      <c r="AE48" s="19" t="n"/>
      <c r="AF48" s="19" t="n"/>
      <c r="AG48" s="19" t="n"/>
      <c r="AH48" s="19" t="n"/>
      <c r="AI48" s="20" t="n"/>
      <c r="AJ48" s="51" t="n"/>
      <c r="AK48" s="100" t="n"/>
      <c r="AL48" s="19" t="n"/>
      <c r="AM48" s="19" t="n"/>
      <c r="AN48" s="19" t="n"/>
      <c r="AO48" s="19" t="n"/>
      <c r="AP48" s="19" t="n"/>
      <c r="AQ48" s="19" t="n"/>
      <c r="AR48" s="19" t="n"/>
      <c r="AS48" s="19" t="n"/>
      <c r="AT48" s="20" t="n"/>
      <c r="AW48" s="66" t="n"/>
    </row>
    <row r="49">
      <c r="B49" s="22" t="n"/>
      <c r="C49" s="41" t="n"/>
      <c r="D49" s="94">
        <f>"Próxima queda: "&amp;IF(MAX(0,DADOS_CONFIG!$S$14-(N('FICHA'!$F$48)+N('FICHA'!$H$48)+N('FICHA'!$J$48)+IF(ISBLANK('FICHA'!$J$50),0,IF(IFERROR(AND(ISNUMBER('FICHA'!$J$50),'FICHA'!$J$50&gt;=0,INT('FICHA'!$J$50)='FICHA'!$J$50),FALSE),'FICHA'!$J$50,NA()))))=0,"Derrotado na hora",MAX(0,DADOS_CONFIG!$S$14-(N('FICHA'!$F$48)+N('FICHA'!$H$48)+N('FICHA'!$J$48)+IF(ISBLANK('FICHA'!$J$50),0,IF(IFERROR(AND(ISNUMBER('FICHA'!$J$50),'FICHA'!$J$50&gt;=0,INT('FICHA'!$J$50)='FICHA'!$J$50),FALSE),'FICHA'!$J$50,NA()))))&amp;IF(MAX(0,DADOS_CONFIG!$S$14-(N('FICHA'!$F$48)+N('FICHA'!$H$48)+N('FICHA'!$J$48)+IF(ISBLANK('FICHA'!$J$50),0,IF(IFERROR(AND(ISNUMBER('FICHA'!$J$50),'FICHA'!$J$50&gt;=0,INT('FICHA'!$J$50)='FICHA'!$J$50),FALSE),'FICHA'!$J$50,NA()))))=1," rodada de janela"," rodadas de janela"))</f>
        <v/>
      </c>
      <c r="E49" s="16" t="n"/>
      <c r="F49" s="16" t="n"/>
      <c r="G49" s="16" t="n"/>
      <c r="H49" s="16" t="n"/>
      <c r="I49" s="16" t="n"/>
      <c r="J49" s="16" t="n"/>
      <c r="K49" s="16" t="n"/>
      <c r="L49" s="16" t="n"/>
      <c r="M49" s="17" t="n"/>
      <c r="N49" s="51" t="n"/>
      <c r="O49" s="94">
        <f>IF(N($O$48)&lt;=0,"Sem penalidade",IF(N($O$48)=1,"Desvantagem em perícias e ofícios",IF(N($O$48)=2,"Desv. em perícias e ofícios · até 4,5 m","Desv. em perícias, ofícios, ataques e TRs · até 4,5 m")))</f>
        <v/>
      </c>
      <c r="P49" s="16" t="n"/>
      <c r="Q49" s="16" t="n"/>
      <c r="R49" s="16" t="n"/>
      <c r="S49" s="16" t="n"/>
      <c r="T49" s="16" t="n"/>
      <c r="U49" s="16" t="n"/>
      <c r="V49" s="16" t="n"/>
      <c r="W49" s="16" t="n"/>
      <c r="X49" s="17" t="n"/>
      <c r="Y49" s="51" t="n"/>
      <c r="Z49" s="23" t="n"/>
      <c r="AA49" s="24" t="n"/>
      <c r="AB49" s="24" t="n"/>
      <c r="AC49" s="24" t="n"/>
      <c r="AD49" s="24" t="n"/>
      <c r="AE49" s="24" t="n"/>
      <c r="AF49" s="24" t="n"/>
      <c r="AG49" s="24" t="n"/>
      <c r="AH49" s="24" t="n"/>
      <c r="AI49" s="25" t="n"/>
      <c r="AJ49" s="51" t="n"/>
      <c r="AK49" s="23" t="n"/>
      <c r="AL49" s="24" t="n"/>
      <c r="AM49" s="24" t="n"/>
      <c r="AN49" s="24" t="n"/>
      <c r="AO49" s="24" t="n"/>
      <c r="AP49" s="24" t="n"/>
      <c r="AQ49" s="24" t="n"/>
      <c r="AR49" s="24" t="n"/>
      <c r="AS49" s="24" t="n"/>
      <c r="AT49" s="25" t="n"/>
      <c r="AW49" s="66" t="n"/>
    </row>
    <row r="50">
      <c r="B50" s="22" t="n"/>
      <c r="C50" s="41" t="n"/>
      <c r="D50" s="56" t="inlineStr">
        <is>
          <t>SEQUELAS EXTRAS</t>
        </is>
      </c>
      <c r="E50" s="16" t="n"/>
      <c r="F50" s="16" t="n"/>
      <c r="G50" s="16" t="n"/>
      <c r="H50" s="16" t="n"/>
      <c r="I50" s="17" t="n"/>
      <c r="J50" s="93" t="n">
        <v>0</v>
      </c>
      <c r="K50" s="16" t="n"/>
      <c r="L50" s="16" t="n"/>
      <c r="M50" s="17"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c r="AH50" s="51" t="n"/>
      <c r="AI50" s="51" t="n"/>
      <c r="AJ50" s="51" t="n"/>
      <c r="AK50" s="51" t="n"/>
      <c r="AL50" s="51" t="n"/>
      <c r="AM50" s="51" t="n"/>
      <c r="AN50" s="51" t="n"/>
      <c r="AO50" s="51" t="n"/>
      <c r="AP50" s="51" t="n"/>
      <c r="AQ50" s="51" t="n"/>
      <c r="AR50" s="51" t="n"/>
      <c r="AS50" s="51" t="n"/>
      <c r="AT50" s="51" t="n"/>
      <c r="AW50" s="66" t="n"/>
    </row>
    <row r="51">
      <c r="B51" s="22" t="n"/>
      <c r="C51" s="41" t="n"/>
      <c r="D51" s="56" t="inlineStr">
        <is>
          <t>MARCANTE</t>
        </is>
      </c>
      <c r="E51" s="16" t="n"/>
      <c r="F51" s="16" t="n"/>
      <c r="G51" s="16" t="n"/>
      <c r="H51" s="16" t="n"/>
      <c r="I51" s="16" t="n"/>
      <c r="J51" s="16" t="n"/>
      <c r="K51" s="16" t="n"/>
      <c r="L51" s="16" t="n"/>
      <c r="M51" s="16" t="n"/>
      <c r="N51" s="16" t="n"/>
      <c r="O51" s="16" t="n"/>
      <c r="P51" s="16" t="n"/>
      <c r="Q51" s="17" t="n"/>
      <c r="R51" s="51" t="n"/>
      <c r="S51" s="56" t="inlineStr">
        <is>
          <t>MENOR 1</t>
        </is>
      </c>
      <c r="T51" s="16" t="n"/>
      <c r="U51" s="16" t="n"/>
      <c r="V51" s="16" t="n"/>
      <c r="W51" s="16" t="n"/>
      <c r="X51" s="16" t="n"/>
      <c r="Y51" s="16" t="n"/>
      <c r="Z51" s="16" t="n"/>
      <c r="AA51" s="16" t="n"/>
      <c r="AB51" s="16" t="n"/>
      <c r="AC51" s="16" t="n"/>
      <c r="AD51" s="16" t="n"/>
      <c r="AE51" s="17" t="n"/>
      <c r="AF51" s="51" t="n"/>
      <c r="AG51" s="56" t="inlineStr">
        <is>
          <t>MENOR 2</t>
        </is>
      </c>
      <c r="AH51" s="16" t="n"/>
      <c r="AI51" s="16" t="n"/>
      <c r="AJ51" s="16" t="n"/>
      <c r="AK51" s="16" t="n"/>
      <c r="AL51" s="16" t="n"/>
      <c r="AM51" s="16" t="n"/>
      <c r="AN51" s="16" t="n"/>
      <c r="AO51" s="16" t="n"/>
      <c r="AP51" s="16" t="n"/>
      <c r="AQ51" s="16" t="n"/>
      <c r="AR51" s="16" t="n"/>
      <c r="AS51" s="16" t="n"/>
      <c r="AT51" s="17" t="n"/>
      <c r="AW51" s="66" t="n"/>
    </row>
    <row r="52">
      <c r="B52" s="22" t="n"/>
      <c r="C52" s="41" t="n"/>
      <c r="D52" s="96">
        <f>IF('FICHA PESSOAL'!$D$44="","—",IF('FICHA PESSOAL'!$D$44="✎ Criada com o mestre","Criada com o mestre",'FICHA PESSOAL'!$D$44))</f>
        <v/>
      </c>
      <c r="E52" s="16" t="n"/>
      <c r="F52" s="16" t="n"/>
      <c r="G52" s="16" t="n"/>
      <c r="H52" s="16" t="n"/>
      <c r="I52" s="16" t="n"/>
      <c r="J52" s="16" t="n"/>
      <c r="K52" s="16" t="n"/>
      <c r="L52" s="16" t="n"/>
      <c r="M52" s="16" t="n"/>
      <c r="N52" s="16" t="n"/>
      <c r="O52" s="16" t="n"/>
      <c r="P52" s="16" t="n"/>
      <c r="Q52" s="17" t="n"/>
      <c r="R52" s="51" t="n"/>
      <c r="S52" s="96">
        <f>IF('FICHA PESSOAL'!$R$44="","—",IF('FICHA PESSOAL'!$R$44="✎ Criada com o mestre","Criada com o mestre",'FICHA PESSOAL'!$R$44))</f>
        <v/>
      </c>
      <c r="T52" s="16" t="n"/>
      <c r="U52" s="16" t="n"/>
      <c r="V52" s="16" t="n"/>
      <c r="W52" s="16" t="n"/>
      <c r="X52" s="16" t="n"/>
      <c r="Y52" s="16" t="n"/>
      <c r="Z52" s="16" t="n"/>
      <c r="AA52" s="16" t="n"/>
      <c r="AB52" s="16" t="n"/>
      <c r="AC52" s="16" t="n"/>
      <c r="AD52" s="16" t="n"/>
      <c r="AE52" s="17" t="n"/>
      <c r="AF52" s="51" t="n"/>
      <c r="AG52" s="96">
        <f>IF('FICHA PESSOAL'!$AH$44="","—",IF('FICHA PESSOAL'!$AH$44="✎ Criada com o mestre","Criada com o mestre",'FICHA PESSOAL'!$AH$44))</f>
        <v/>
      </c>
      <c r="AH52" s="16" t="n"/>
      <c r="AI52" s="16" t="n"/>
      <c r="AJ52" s="16" t="n"/>
      <c r="AK52" s="16" t="n"/>
      <c r="AL52" s="16" t="n"/>
      <c r="AM52" s="16" t="n"/>
      <c r="AN52" s="16" t="n"/>
      <c r="AO52" s="16" t="n"/>
      <c r="AP52" s="16" t="n"/>
      <c r="AQ52" s="16" t="n"/>
      <c r="AR52" s="16" t="n"/>
      <c r="AS52" s="16" t="n"/>
      <c r="AT52" s="17" t="n"/>
      <c r="AW52" s="66" t="n"/>
    </row>
    <row r="53">
      <c r="B53" s="22" t="n"/>
      <c r="C53" s="41" t="n"/>
      <c r="D53" s="94">
        <f>IF('FICHA PESSOAL'!$D$44="","escolha na FICHA PESSOAL",IFERROR(VLOOKUP('FICHA PESSOAL'!$D$44,'DADOS_CUSTOM'!$AZ$2:$BE$107,5,FALSE),"criada com o mestre"))</f>
        <v/>
      </c>
      <c r="E53" s="16" t="n"/>
      <c r="F53" s="16" t="n"/>
      <c r="G53" s="16" t="n"/>
      <c r="H53" s="16" t="n"/>
      <c r="I53" s="16" t="n"/>
      <c r="J53" s="16" t="n"/>
      <c r="K53" s="16" t="n"/>
      <c r="L53" s="16" t="n"/>
      <c r="M53" s="16" t="n"/>
      <c r="N53" s="16" t="n"/>
      <c r="O53" s="16" t="n"/>
      <c r="P53" s="16" t="n"/>
      <c r="Q53" s="17" t="n"/>
      <c r="R53" s="51" t="n"/>
      <c r="S53" s="94">
        <f>IF('FICHA PESSOAL'!$R$44="","escolha na FICHA PESSOAL",IFERROR(VLOOKUP('FICHA PESSOAL'!$R$44,'DADOS_CUSTOM'!$AZ$2:$BE$107,5,FALSE),"criada com o mestre"))</f>
        <v/>
      </c>
      <c r="T53" s="16" t="n"/>
      <c r="U53" s="16" t="n"/>
      <c r="V53" s="16" t="n"/>
      <c r="W53" s="16" t="n"/>
      <c r="X53" s="16" t="n"/>
      <c r="Y53" s="16" t="n"/>
      <c r="Z53" s="16" t="n"/>
      <c r="AA53" s="16" t="n"/>
      <c r="AB53" s="16" t="n"/>
      <c r="AC53" s="16" t="n"/>
      <c r="AD53" s="16" t="n"/>
      <c r="AE53" s="17" t="n"/>
      <c r="AF53" s="51" t="n"/>
      <c r="AG53" s="94">
        <f>IF('FICHA PESSOAL'!$AH$44="","escolha na FICHA PESSOAL",IFERROR(VLOOKUP('FICHA PESSOAL'!$AH$44,'DADOS_CUSTOM'!$AZ$2:$BE$107,5,FALSE),"criada com o mestre"))</f>
        <v/>
      </c>
      <c r="AH53" s="16" t="n"/>
      <c r="AI53" s="16" t="n"/>
      <c r="AJ53" s="16" t="n"/>
      <c r="AK53" s="16" t="n"/>
      <c r="AL53" s="16" t="n"/>
      <c r="AM53" s="16" t="n"/>
      <c r="AN53" s="16" t="n"/>
      <c r="AO53" s="16" t="n"/>
      <c r="AP53" s="16" t="n"/>
      <c r="AQ53" s="16" t="n"/>
      <c r="AR53" s="16" t="n"/>
      <c r="AS53" s="16" t="n"/>
      <c r="AT53" s="17" t="n"/>
      <c r="AW53" s="66" t="n"/>
    </row>
    <row r="54">
      <c r="B54" s="22" t="n"/>
      <c r="C54" s="41" t="n"/>
      <c r="D54" s="51" t="n"/>
      <c r="E54" s="51" t="n"/>
      <c r="F54" s="51" t="n"/>
      <c r="G54" s="51" t="n"/>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c r="AH54" s="51" t="n"/>
      <c r="AI54" s="51" t="n"/>
      <c r="AJ54" s="51" t="n"/>
      <c r="AK54" s="51" t="n"/>
      <c r="AL54" s="51" t="n"/>
      <c r="AM54" s="51" t="n"/>
      <c r="AN54" s="51" t="n"/>
      <c r="AO54" s="51" t="n"/>
      <c r="AP54" s="51" t="n"/>
      <c r="AQ54" s="51" t="n"/>
      <c r="AR54" s="51" t="n"/>
      <c r="AS54" s="51" t="n"/>
      <c r="AT54" s="51" t="n"/>
      <c r="AW54" s="66" t="n"/>
    </row>
    <row r="55">
      <c r="B55" s="22" t="n"/>
      <c r="C55" s="41" t="n"/>
      <c r="D55" s="51" t="n"/>
      <c r="E55" s="51" t="n"/>
      <c r="F55" s="51" t="n"/>
      <c r="G55" s="51" t="n"/>
      <c r="H55" s="51" t="n"/>
      <c r="I55" s="51" t="n"/>
      <c r="J55" s="51" t="n"/>
      <c r="K55" s="51" t="n"/>
      <c r="L55" s="51" t="n"/>
      <c r="M55" s="51" t="n"/>
      <c r="N55" s="51" t="n"/>
      <c r="O55" s="51" t="n"/>
      <c r="P55" s="51" t="n"/>
      <c r="Q55" s="51" t="n"/>
      <c r="R55" s="51" t="n"/>
      <c r="S55" s="51" t="n"/>
      <c r="T55" s="51" t="n"/>
      <c r="U55" s="51" t="n"/>
      <c r="V55" s="51" t="n"/>
      <c r="W55" s="51" t="n"/>
      <c r="X55" s="51" t="n"/>
      <c r="Y55" s="51" t="n"/>
      <c r="Z55" s="56" t="inlineStr">
        <is>
          <t>BLOQUEAR</t>
        </is>
      </c>
      <c r="AA55" s="16" t="n"/>
      <c r="AB55" s="16" t="n"/>
      <c r="AC55" s="16" t="n"/>
      <c r="AD55" s="16" t="n"/>
      <c r="AE55" s="16" t="n"/>
      <c r="AF55" s="16" t="n"/>
      <c r="AG55" s="16" t="n"/>
      <c r="AH55" s="16" t="n"/>
      <c r="AI55" s="17" t="n"/>
      <c r="AJ55" s="51" t="n"/>
      <c r="AK55" s="72" t="inlineStr">
        <is>
          <t>Marco Escolhido</t>
        </is>
      </c>
      <c r="AL55" s="16" t="n"/>
      <c r="AM55" s="16" t="n"/>
      <c r="AN55" s="16" t="n"/>
      <c r="AO55" s="72" t="inlineStr">
        <is>
          <t>Refino</t>
        </is>
      </c>
      <c r="AP55" s="16" t="n"/>
      <c r="AQ55" s="72" t="inlineStr">
        <is>
          <t>Corpo</t>
        </is>
      </c>
      <c r="AR55" s="16" t="n"/>
      <c r="AS55" s="68" t="inlineStr">
        <is>
          <t>Leque</t>
        </is>
      </c>
      <c r="AT55" s="17" t="n"/>
      <c r="AW55" s="66" t="n"/>
    </row>
    <row r="56" ht="27" customHeight="1">
      <c r="B56" s="22" t="n"/>
      <c r="C56" s="41" t="n"/>
      <c r="D56" s="69" t="n">
        <v>3</v>
      </c>
      <c r="E56" s="19" t="n"/>
      <c r="F56" s="20" t="n"/>
      <c r="G56" s="101" t="inlineStr">
        <is>
          <t>REGISTRO</t>
        </is>
      </c>
      <c r="H56" s="16" t="n"/>
      <c r="I56" s="16" t="n"/>
      <c r="J56" s="16" t="n"/>
      <c r="K56" s="16" t="n"/>
      <c r="L56" s="16" t="n"/>
      <c r="M56" s="16" t="n"/>
      <c r="N56" s="16" t="n"/>
      <c r="O56" s="16" t="n"/>
      <c r="P56" s="16" t="n"/>
      <c r="Q56" s="16" t="n"/>
      <c r="R56" s="16" t="n"/>
      <c r="S56" s="16" t="n"/>
      <c r="T56" s="16" t="n"/>
      <c r="U56" s="16" t="n"/>
      <c r="V56" s="16" t="n"/>
      <c r="W56" s="16" t="n"/>
      <c r="X56" s="17" t="n"/>
      <c r="Y56" s="51" t="n"/>
      <c r="Z56" s="87">
        <f>"2d10 + " &amp; D59-11</f>
        <v/>
      </c>
      <c r="AA56" s="16" t="n"/>
      <c r="AB56" s="16" t="n"/>
      <c r="AC56" s="16" t="n"/>
      <c r="AD56" s="16" t="n"/>
      <c r="AE56" s="16" t="n"/>
      <c r="AF56" s="16" t="n"/>
      <c r="AG56" s="16" t="n"/>
      <c r="AH56" s="16" t="n"/>
      <c r="AI56" s="17" t="n"/>
      <c r="AJ56" s="73" t="n"/>
      <c r="AK56" s="102">
        <f>IF(DADOS!$AK$12&gt;DADOS!$AK$5,DADOS!$AK$12-DADOS!$AK$5&amp;" a mais",IF(DADOS!$AK$5=0,"Escolha 1 a cada 4 Nv",DADOS!$AK$5-DADOS!$AK$12&amp;" de "&amp;DADOS!$AK$5&amp;" para escolher"))</f>
        <v/>
      </c>
      <c r="AL56" s="16" t="n"/>
      <c r="AM56" s="16" t="n"/>
      <c r="AN56" s="17" t="n"/>
      <c r="AO56" s="103" t="n">
        <v>0</v>
      </c>
      <c r="AP56" s="16" t="n"/>
      <c r="AQ56" s="103" t="n">
        <v>0</v>
      </c>
      <c r="AR56" s="16" t="n"/>
      <c r="AS56" s="71" t="n">
        <v>0</v>
      </c>
      <c r="AT56" s="17" t="n"/>
      <c r="AW56" s="66" t="n"/>
    </row>
    <row r="57">
      <c r="B57" s="22" t="n"/>
      <c r="C57" s="41" t="n"/>
      <c r="D57" s="23" t="n"/>
      <c r="E57" s="24" t="n"/>
      <c r="F57" s="25" t="n"/>
      <c r="G57" s="51" t="n"/>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c r="AH57" s="51" t="n"/>
      <c r="AI57" s="51" t="n"/>
      <c r="AJ57" s="51" t="n"/>
      <c r="AK57" s="51" t="n"/>
      <c r="AL57" s="51" t="n"/>
      <c r="AM57" s="51" t="n"/>
      <c r="AN57" s="51" t="n"/>
      <c r="AO57" s="51" t="n"/>
      <c r="AP57" s="51" t="n"/>
      <c r="AQ57" s="51" t="n"/>
      <c r="AR57" s="51" t="n"/>
      <c r="AS57" s="51" t="n"/>
      <c r="AT57" s="51" t="n"/>
      <c r="AW57" s="66" t="n"/>
    </row>
    <row r="58">
      <c r="B58" s="22" t="n"/>
      <c r="C58" s="41" t="n"/>
      <c r="D58" s="56" t="inlineStr">
        <is>
          <t>DEFESA</t>
        </is>
      </c>
      <c r="E58" s="16" t="n"/>
      <c r="F58" s="16" t="n"/>
      <c r="G58" s="16" t="n"/>
      <c r="H58" s="16" t="n"/>
      <c r="I58" s="16" t="n"/>
      <c r="J58" s="16" t="n"/>
      <c r="K58" s="17" t="n"/>
      <c r="L58" s="104" t="inlineStr">
        <is>
          <t>Buff/Debuff</t>
        </is>
      </c>
      <c r="M58" s="17" t="n"/>
      <c r="N58" s="51" t="n"/>
      <c r="O58" s="56" t="inlineStr">
        <is>
          <t>PROTEÇÃO</t>
        </is>
      </c>
      <c r="P58" s="16" t="n"/>
      <c r="Q58" s="16" t="n"/>
      <c r="R58" s="16" t="n"/>
      <c r="S58" s="16" t="n"/>
      <c r="T58" s="16" t="n"/>
      <c r="U58" s="16" t="n"/>
      <c r="V58" s="17" t="n"/>
      <c r="W58" s="104" t="inlineStr">
        <is>
          <t>Buff/Debuff</t>
        </is>
      </c>
      <c r="X58" s="17" t="n"/>
      <c r="Y58" s="51" t="n"/>
      <c r="Z58" s="56" t="inlineStr">
        <is>
          <t>EQUIPAMENTO</t>
        </is>
      </c>
      <c r="AA58" s="16" t="n"/>
      <c r="AB58" s="16" t="n"/>
      <c r="AC58" s="16" t="n"/>
      <c r="AD58" s="16" t="n"/>
      <c r="AE58" s="16" t="n"/>
      <c r="AF58" s="16" t="n"/>
      <c r="AG58" s="16" t="n"/>
      <c r="AH58" s="16" t="n"/>
      <c r="AI58" s="17" t="n"/>
      <c r="AJ58" s="51" t="n"/>
      <c r="AK58" s="56" t="inlineStr">
        <is>
          <t>INICIATIVA</t>
        </is>
      </c>
      <c r="AL58" s="16" t="n"/>
      <c r="AM58" s="16" t="n"/>
      <c r="AN58" s="16" t="n"/>
      <c r="AO58" s="16" t="n"/>
      <c r="AP58" s="16" t="n"/>
      <c r="AQ58" s="16" t="n"/>
      <c r="AR58" s="17" t="n"/>
      <c r="AS58" s="104" t="inlineStr">
        <is>
          <t>Buff/Debuff</t>
        </is>
      </c>
      <c r="AT58" s="17" t="n"/>
      <c r="AW58" s="66" t="n"/>
    </row>
    <row r="59" ht="21" customHeight="1">
      <c r="B59" s="22" t="n"/>
      <c r="C59" s="41" t="n"/>
      <c r="D59" s="105">
        <f>IF(DADOS_CONFIG!$E$5&lt;&gt;"",NA(),IF(DADOS_CONFIG!$C$5=1,DADOS_CONFIG!$D$5,IF(DADOS_CONFIG!$B$5=0,IF(OR(COUNTIF('DADOS_CUSTOM'!$C$2:$C$26,'FICHA PESSOAL'!$AH$64)&gt;0,AND(DADOS!$CZ$19=1,COUNTIF('DADOS_CUSTOM'!$C$2:$C$26,'FICHA PESSOAL'!$S$64)&gt;0)),10+MIN('FICHA'!$L$19,MIN(IFERROR(VALUE(DADOS!$CZ$29&amp;""),9999),IF(DADOS!$CZ$19=1,IFERROR(VALUE(VLOOKUP('FICHA PESSOAL'!$S$64,'DADOS_CUSTOM'!$BM$2:$BU$125,4,FALSE)&amp;""),9999),9999)))+'FICHA'!$O$59+IFERROR(VALUE('FICHA'!$L$59&amp;""),0),10+IF($Z$59="",$L$19,MIN($L$19,IFERROR(VALUE(VLOOKUP($Z$59,DADOS!$AE$5:$AH$31,3,FALSE)&amp;""),$L$19)))+$O$59+IFERROR(VALUE($L$59&amp;""),0)),IF((IF(OR(COUNTIF('DADOS_CUSTOM'!$C$2:$C$26,'FICHA PESSOAL'!$AH$64)&gt;0,AND(DADOS!$CZ$19=1,COUNTIF('DADOS_CUSTOM'!$C$2:$C$26,'FICHA PESSOAL'!$S$64)&gt;0)),10+MIN('FICHA'!$L$19,MIN(IFERROR(VALUE(DADOS!$CZ$29&amp;""),9999),IF(DADOS!$CZ$19=1,IFERROR(VALUE(VLOOKUP('FICHA PESSOAL'!$S$64,'DADOS_CUSTOM'!$BM$2:$BU$125,4,FALSE)&amp;""),9999),9999)))+'FICHA'!$O$59+IFERROR(VALUE('FICHA'!$L$59&amp;""),0),10+IF($Z$59="",$L$19,MIN($L$19,IFERROR(VALUE(VLOOKUP($Z$59,DADOS!$AE$5:$AH$31,3,FALSE)&amp;""),$L$19)))+$O$59+IFERROR(VALUE($L$59&amp;""),0)))="","",(IF(OR(COUNTIF('DADOS_CUSTOM'!$C$2:$C$26,'FICHA PESSOAL'!$AH$64)&gt;0,AND(DADOS!$CZ$19=1,COUNTIF('DADOS_CUSTOM'!$C$2:$C$26,'FICHA PESSOAL'!$S$64)&gt;0)),10+MIN('FICHA'!$L$19,MIN(IFERROR(VALUE(DADOS!$CZ$29&amp;""),9999),IF(DADOS!$CZ$19=1,IFERROR(VALUE(VLOOKUP('FICHA PESSOAL'!$S$64,'DADOS_CUSTOM'!$BM$2:$BU$125,4,FALSE)&amp;""),9999),9999)))+'FICHA'!$O$59+IFERROR(VALUE('FICHA'!$L$59&amp;""),0),10+IF($Z$59="",$L$19,MIN($L$19,IFERROR(VALUE(VLOOKUP($Z$59,DADOS!$AE$5:$AH$31,3,FALSE)&amp;""),$L$19)))+$O$59+IFERROR(VALUE($L$59&amp;""),0)))+DADOS_CONFIG!$B$5))))</f>
        <v/>
      </c>
      <c r="E59" s="16" t="n"/>
      <c r="F59" s="16" t="n"/>
      <c r="G59" s="16" t="n"/>
      <c r="H59" s="16" t="n"/>
      <c r="I59" s="16" t="n"/>
      <c r="J59" s="16" t="n"/>
      <c r="K59" s="17" t="n"/>
      <c r="L59" s="84" t="n">
        <v>0</v>
      </c>
      <c r="M59" s="17" t="n"/>
      <c r="N59" s="51" t="n"/>
      <c r="O59" s="105">
        <f>IF(DADOS_CONFIG!$E$6&lt;&gt;"",NA(),IF(DADOS_CONFIG!$C$6=1,DADOS_CONFIG!$D$6,IF(DADOS_CONFIG!$B$6=0,IF(OR(COUNTIF('DADOS_CUSTOM'!$C$2:$C$26,'FICHA PESSOAL'!$AH$64)&gt;0,AND(DADOS!$CZ$19=1,COUNTIF('DADOS_CUSTOM'!$C$2:$C$26,'FICHA PESSOAL'!$S$64)&gt;0)),IF(DADOS!$CZ$27=1,DADOS!$CZ$28,FLOOR(MIN(10,$O$73+MIN($O$73-1,IFERROR(VALUE($AO$56&amp;""),0)))/3,1)+1)+IF(DADOS!$CZ$19=1,IFERROR(VLOOKUP('FICHA PESSOAL'!$S$64,'DADOS_CUSTOM'!$BM$2:$BU$125,3,FALSE),0),0)+IFERROR(VALUE($W$59&amp;""),0),IF($Z$59="",FLOOR(MIN(10,$O$73+MIN($O$73-1,IFERROR(VALUE($AO$56&amp;""),0)))/3,1)+1,IF(VLOOKUP($Z$59,DADOS!$AE$5:$AH$31,4,FALSE)="sim",0,FLOOR(MIN(10,$O$73+MIN($O$73-1,IFERROR(VALUE($AO$56&amp;""),0)))/3,1)+1)+VLOOKUP($Z$59,DADOS!$AE$5:$AH$31,2,FALSE))+IFERROR(VALUE($W$59&amp;""),0)),IF((IF(OR(COUNTIF('DADOS_CUSTOM'!$C$2:$C$26,'FICHA PESSOAL'!$AH$64)&gt;0,AND(DADOS!$CZ$19=1,COUNTIF('DADOS_CUSTOM'!$C$2:$C$26,'FICHA PESSOAL'!$S$64)&gt;0)),IF(DADOS!$CZ$27=1,DADOS!$CZ$28,FLOOR(MIN(10,$O$73+MIN($O$73-1,IFERROR(VALUE($AO$56&amp;""),0)))/3,1)+1)+IF(DADOS!$CZ$19=1,IFERROR(VLOOKUP('FICHA PESSOAL'!$S$64,'DADOS_CUSTOM'!$BM$2:$BU$125,3,FALSE),0),0)+IFERROR(VALUE($W$59&amp;""),0),IF($Z$59="",FLOOR(MIN(10,$O$73+MIN($O$73-1,IFERROR(VALUE($AO$56&amp;""),0)))/3,1)+1,IF(VLOOKUP($Z$59,DADOS!$AE$5:$AH$31,4,FALSE)="sim",0,FLOOR(MIN(10,$O$73+MIN($O$73-1,IFERROR(VALUE($AO$56&amp;""),0)))/3,1)+1)+VLOOKUP($Z$59,DADOS!$AE$5:$AH$31,2,FALSE))+IFERROR(VALUE($W$59&amp;""),0)))="","",(IF(OR(COUNTIF('DADOS_CUSTOM'!$C$2:$C$26,'FICHA PESSOAL'!$AH$64)&gt;0,AND(DADOS!$CZ$19=1,COUNTIF('DADOS_CUSTOM'!$C$2:$C$26,'FICHA PESSOAL'!$S$64)&gt;0)),IF(DADOS!$CZ$27=1,DADOS!$CZ$28,FLOOR(MIN(10,$O$73+MIN($O$73-1,IFERROR(VALUE($AO$56&amp;""),0)))/3,1)+1)+IF(DADOS!$CZ$19=1,IFERROR(VLOOKUP('FICHA PESSOAL'!$S$64,'DADOS_CUSTOM'!$BM$2:$BU$125,3,FALSE),0),0)+IFERROR(VALUE($W$59&amp;""),0),IF($Z$59="",FLOOR(MIN(10,$O$73+MIN($O$73-1,IFERROR(VALUE($AO$56&amp;""),0)))/3,1)+1,IF(VLOOKUP($Z$59,DADOS!$AE$5:$AH$31,4,FALSE)="sim",0,FLOOR(MIN(10,$O$73+MIN($O$73-1,IFERROR(VALUE($AO$56&amp;""),0)))/3,1)+1)+VLOOKUP($Z$59,DADOS!$AE$5:$AH$31,2,FALSE))+IFERROR(VALUE($W$59&amp;""),0)))+DADOS_CONFIG!$B$6))))</f>
        <v/>
      </c>
      <c r="P59" s="16" t="n"/>
      <c r="Q59" s="16" t="n"/>
      <c r="R59" s="16" t="n"/>
      <c r="S59" s="16" t="n"/>
      <c r="T59" s="16" t="n"/>
      <c r="U59" s="16" t="n"/>
      <c r="V59" s="17" t="n"/>
      <c r="W59" s="84" t="n">
        <v>0</v>
      </c>
      <c r="X59" s="17" t="n"/>
      <c r="Y59" s="51" t="n"/>
      <c r="Z59" s="87">
        <f>IF(DADOS!$CZ$27=1,'FICHA PESSOAL'!$AH$64&amp;IF(DADOS!$CZ$19=1," + "&amp;'FICHA PESSOAL'!$S$64,""),IF(DADOS!$CZ$19=1,'FICHA PESSOAL'!$S$64,""))</f>
        <v/>
      </c>
      <c r="AA59" s="16" t="n"/>
      <c r="AB59" s="16" t="n"/>
      <c r="AC59" s="16" t="n"/>
      <c r="AD59" s="16" t="n"/>
      <c r="AE59" s="16" t="n"/>
      <c r="AF59" s="16" t="n"/>
      <c r="AG59" s="16" t="n"/>
      <c r="AH59" s="16" t="n"/>
      <c r="AI59" s="17" t="n"/>
      <c r="AJ59" s="51" t="n"/>
      <c r="AK59" s="105">
        <f>IF(DADOS_CONFIG!$E$7&lt;&gt;"",NA(),IF(DADOS_CONFIG!$C$7=1,"d20 + "&amp;(DADOS_CONFIG!$D$7),IF(DADOS_CONFIG!$B$7=0,"d20 + "&amp;($L$19+IFERROR(VALUE($AS$59&amp;""),0)),"d20 + "&amp;(IF((($L$19+IFERROR(VALUE($AS$59&amp;""),0)))="","",(($L$19+IFERROR(VALUE($AS$59&amp;""),0)))+DADOS_CONFIG!$B$7)))))</f>
        <v/>
      </c>
      <c r="AL59" s="16" t="n"/>
      <c r="AM59" s="16" t="n"/>
      <c r="AN59" s="16" t="n"/>
      <c r="AO59" s="16" t="n"/>
      <c r="AP59" s="16" t="n"/>
      <c r="AQ59" s="16" t="n"/>
      <c r="AR59" s="17" t="n"/>
      <c r="AS59" s="84" t="n">
        <v>0</v>
      </c>
      <c r="AT59" s="17" t="n"/>
      <c r="AW59" s="66" t="n"/>
    </row>
    <row r="60">
      <c r="B60" s="22" t="n"/>
      <c r="C60" s="4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c r="AH60" s="51" t="n"/>
      <c r="AI60" s="51" t="n"/>
      <c r="AJ60" s="51" t="n"/>
      <c r="AK60" s="51" t="n"/>
      <c r="AL60" s="51" t="n"/>
      <c r="AM60" s="51" t="n"/>
      <c r="AN60" s="51" t="n"/>
      <c r="AO60" s="51" t="n"/>
      <c r="AP60" s="51" t="n"/>
      <c r="AQ60" s="51" t="n"/>
      <c r="AR60" s="51" t="n"/>
      <c r="AS60" s="51" t="n"/>
      <c r="AT60" s="51" t="n"/>
      <c r="AW60" s="66" t="n"/>
    </row>
    <row r="61">
      <c r="B61" s="22" t="n"/>
      <c r="C61" s="41" t="n"/>
      <c r="D61" s="51" t="n"/>
      <c r="E61" s="51" t="n"/>
      <c r="F61" s="51" t="n"/>
      <c r="G61" s="51" t="n"/>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c r="AH61" s="51" t="n"/>
      <c r="AI61" s="51" t="n"/>
      <c r="AJ61" s="51" t="n"/>
      <c r="AK61" s="51" t="n"/>
      <c r="AL61" s="51" t="n"/>
      <c r="AM61" s="51" t="n"/>
      <c r="AN61" s="51" t="n"/>
      <c r="AO61" s="51" t="n"/>
      <c r="AP61" s="51" t="n"/>
      <c r="AQ61" s="51" t="n"/>
      <c r="AR61" s="51" t="n"/>
      <c r="AS61" s="51" t="n"/>
      <c r="AT61" s="51" t="n"/>
      <c r="AW61" s="66" t="n"/>
    </row>
    <row r="62">
      <c r="B62" s="22" t="n"/>
      <c r="C62" s="41" t="n"/>
      <c r="D62" s="56" t="inlineStr">
        <is>
          <t>CD DE FEITIÇO</t>
        </is>
      </c>
      <c r="E62" s="16" t="n"/>
      <c r="F62" s="16" t="n"/>
      <c r="G62" s="16" t="n"/>
      <c r="H62" s="16" t="n"/>
      <c r="I62" s="16" t="n"/>
      <c r="J62" s="16" t="n"/>
      <c r="K62" s="17" t="n"/>
      <c r="L62" s="104" t="inlineStr">
        <is>
          <t>Buff/Debuff</t>
        </is>
      </c>
      <c r="M62" s="17" t="n"/>
      <c r="N62" s="51" t="n"/>
      <c r="O62" s="56" t="inlineStr">
        <is>
          <t>CONJURAÇÃO</t>
        </is>
      </c>
      <c r="P62" s="16" t="n"/>
      <c r="Q62" s="16" t="n"/>
      <c r="R62" s="16" t="n"/>
      <c r="S62" s="16" t="n"/>
      <c r="T62" s="16" t="n"/>
      <c r="U62" s="16" t="n"/>
      <c r="V62" s="17" t="n"/>
      <c r="W62" s="104" t="inlineStr">
        <is>
          <t>Buff/Debuff</t>
        </is>
      </c>
      <c r="X62" s="17" t="n"/>
      <c r="Y62" s="51" t="n"/>
      <c r="Z62" s="56" t="inlineStr">
        <is>
          <t>CORPO A CORPO</t>
        </is>
      </c>
      <c r="AA62" s="16" t="n"/>
      <c r="AB62" s="16" t="n"/>
      <c r="AC62" s="16" t="n"/>
      <c r="AD62" s="16" t="n"/>
      <c r="AE62" s="16" t="n"/>
      <c r="AF62" s="16" t="n"/>
      <c r="AG62" s="17" t="n"/>
      <c r="AH62" s="104" t="inlineStr">
        <is>
          <t>Buff/Debuff</t>
        </is>
      </c>
      <c r="AI62" s="17" t="n"/>
      <c r="AJ62" s="51" t="n"/>
      <c r="AK62" s="56" t="inlineStr">
        <is>
          <t>À DISTÂNCIA</t>
        </is>
      </c>
      <c r="AL62" s="16" t="n"/>
      <c r="AM62" s="16" t="n"/>
      <c r="AN62" s="16" t="n"/>
      <c r="AO62" s="16" t="n"/>
      <c r="AP62" s="16" t="n"/>
      <c r="AQ62" s="16" t="n"/>
      <c r="AR62" s="17" t="n"/>
      <c r="AS62" s="104" t="inlineStr">
        <is>
          <t>Buff/Debuff</t>
        </is>
      </c>
      <c r="AT62" s="17" t="n"/>
      <c r="AW62" s="66" t="n"/>
    </row>
    <row r="63" ht="21" customHeight="1">
      <c r="B63" s="22" t="n"/>
      <c r="C63" s="41" t="n"/>
      <c r="D63" s="105">
        <f>IF(DADOS_CONFIG!$E$8&lt;&gt;"",NA(),IF(DADOS_CONFIG!$C$8=1,DADOS_CONFIG!$D$8,IF(DADOS_CONFIG!$B$8=0,8+D67+IFS(Z67="FORÇA",$D$19, Z67="DESTREZA",$L$19, Z67="CONSTITUIÇÃO",$T$19, Z67="INTELIGÊNCIA",$AB$19, Z67="ESSÊNCIA",$AJ$19)+IFERROR(VALUE($L$63&amp;""),0),IF((8+D67+IFS(Z67="FORÇA",$D$19, Z67="DESTREZA",$L$19, Z67="CONSTITUIÇÃO",$T$19, Z67="INTELIGÊNCIA",$AB$19, Z67="ESSÊNCIA",$AJ$19)+IFERROR(VALUE($L$63&amp;""),0))="","",(8+D67+IFS(Z67="FORÇA",$D$19, Z67="DESTREZA",$L$19, Z67="CONSTITUIÇÃO",$T$19, Z67="INTELIGÊNCIA",$AB$19, Z67="ESSÊNCIA",$AJ$19)+IFERROR(VALUE($L$63&amp;""),0))+DADOS_CONFIG!$B$8))))</f>
        <v/>
      </c>
      <c r="E63" s="16" t="n"/>
      <c r="F63" s="16" t="n"/>
      <c r="G63" s="16" t="n"/>
      <c r="H63" s="16" t="n"/>
      <c r="I63" s="16" t="n"/>
      <c r="J63" s="16" t="n"/>
      <c r="K63" s="17" t="n"/>
      <c r="L63" s="84" t="n">
        <v>0</v>
      </c>
      <c r="M63" s="17" t="n"/>
      <c r="N63" s="51" t="n"/>
      <c r="O63" s="105">
        <f>IF(DADOS_CONFIG!$E$9&lt;&gt;"",NA(),IF(DADOS_CONFIG!$C$9=1,"d20 + "&amp;(DADOS_CONFIG!$D$9),IF(DADOS_CONFIG!$B$9=0,"d20 + "&amp;(D67+IFS(Z67="FORÇA",$D$19, Z67="DESTREZA",$L$19, Z67="CONSTITUIÇÃO",$T$19, Z67="INTELIGÊNCIA",$AB$19, Z67="ESSÊNCIA",$AJ$19)+IFERROR(VALUE($W$63&amp;""),0)),"d20 + "&amp;(IF(((D67+IFS(Z67="FORÇA",$D$19, Z67="DESTREZA",$L$19, Z67="CONSTITUIÇÃO",$T$19, Z67="INTELIGÊNCIA",$AB$19, Z67="ESSÊNCIA",$AJ$19)+IFERROR(VALUE($W$63&amp;""),0)))="","",((D67+IFS(Z67="FORÇA",$D$19, Z67="DESTREZA",$L$19, Z67="CONSTITUIÇÃO",$T$19, Z67="INTELIGÊNCIA",$AB$19, Z67="ESSÊNCIA",$AJ$19)+IFERROR(VALUE($W$63&amp;""),0)))+DADOS_CONFIG!$B$9)))))</f>
        <v/>
      </c>
      <c r="P63" s="16" t="n"/>
      <c r="Q63" s="16" t="n"/>
      <c r="R63" s="16" t="n"/>
      <c r="S63" s="16" t="n"/>
      <c r="T63" s="16" t="n"/>
      <c r="U63" s="16" t="n"/>
      <c r="V63" s="17" t="n"/>
      <c r="W63" s="84" t="n">
        <v>0</v>
      </c>
      <c r="X63" s="17" t="n"/>
      <c r="Y63" s="51" t="n"/>
      <c r="Z63" s="105">
        <f>IF(DADOS_CONFIG!$E$10&lt;&gt;"",NA(),IF(DADOS_CONFIG!$C$10=1,"d20 + "&amp;(DADOS_CONFIG!$D$10),IF(DADOS_CONFIG!$B$10=0,"d20 + "&amp;(D67+IFS(AK67="FORÇA",$D$19, AK67="DESTREZA",$L$19, AK67="CONSTITUIÇÃO",$T$19, AK67="INTELIGÊNCIA",$AB$19, AK67="ESSÊNCIA",$AJ$19)+IFERROR(VALUE($AH$63&amp;""),0)),"d20 + "&amp;(IF(((D67+IFS(AK67="FORÇA",$D$19, AK67="DESTREZA",$L$19, AK67="CONSTITUIÇÃO",$T$19, AK67="INTELIGÊNCIA",$AB$19, AK67="ESSÊNCIA",$AJ$19)+IFERROR(VALUE($AH$63&amp;""),0)))="","",((D67+IFS(AK67="FORÇA",$D$19, AK67="DESTREZA",$L$19, AK67="CONSTITUIÇÃO",$T$19, AK67="INTELIGÊNCIA",$AB$19, AK67="ESSÊNCIA",$AJ$19)+IFERROR(VALUE($AH$63&amp;""),0)))+DADOS_CONFIG!$B$10)))))</f>
        <v/>
      </c>
      <c r="AA63" s="16" t="n"/>
      <c r="AB63" s="16" t="n"/>
      <c r="AC63" s="16" t="n"/>
      <c r="AD63" s="16" t="n"/>
      <c r="AE63" s="16" t="n"/>
      <c r="AF63" s="16" t="n"/>
      <c r="AG63" s="17" t="n"/>
      <c r="AH63" s="84" t="n">
        <v>0</v>
      </c>
      <c r="AI63" s="17" t="n"/>
      <c r="AJ63" s="51" t="n"/>
      <c r="AK63" s="105">
        <f>IF(DADOS_CONFIG!$E$11&lt;&gt;"",NA(),IF(DADOS_CONFIG!$C$11=1,"d20 + "&amp;(DADOS_CONFIG!$D$11),IF(DADOS_CONFIG!$B$11=0,"d20 + "&amp;(D67+IFS(AE70="FORÇA",$D$19, AE70="DESTREZA",$L$19, AE70="CONSTITUIÇÃO",$T$19, AE70="INTELIGÊNCIA",$AB$19, AE70="ESSÊNCIA",$AJ$19)+IFERROR(VALUE($AS$63&amp;""),0)),"d20 + "&amp;(IF(((D67+IFS(AE70="FORÇA",$D$19, AE70="DESTREZA",$L$19, AE70="CONSTITUIÇÃO",$T$19, AE70="INTELIGÊNCIA",$AB$19, AE70="ESSÊNCIA",$AJ$19)+IFERROR(VALUE($AS$63&amp;""),0)))="","",((D67+IFS(AE70="FORÇA",$D$19, AE70="DESTREZA",$L$19, AE70="CONSTITUIÇÃO",$T$19, AE70="INTELIGÊNCIA",$AB$19, AE70="ESSÊNCIA",$AJ$19)+IFERROR(VALUE($AS$63&amp;""),0)))+DADOS_CONFIG!$B$11)))))</f>
        <v/>
      </c>
      <c r="AL63" s="16" t="n"/>
      <c r="AM63" s="16" t="n"/>
      <c r="AN63" s="16" t="n"/>
      <c r="AO63" s="16" t="n"/>
      <c r="AP63" s="16" t="n"/>
      <c r="AQ63" s="16" t="n"/>
      <c r="AR63" s="17" t="n"/>
      <c r="AS63" s="84" t="n">
        <v>0</v>
      </c>
      <c r="AT63" s="17" t="n"/>
      <c r="AW63" s="66" t="n"/>
    </row>
    <row r="64">
      <c r="B64" s="22" t="n"/>
      <c r="C64" s="4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c r="AH64" s="51" t="n"/>
      <c r="AI64" s="51" t="n"/>
      <c r="AJ64" s="51" t="n"/>
      <c r="AK64" s="51" t="n"/>
      <c r="AL64" s="51" t="n"/>
      <c r="AM64" s="51" t="n"/>
      <c r="AN64" s="51" t="n"/>
      <c r="AO64" s="51" t="n"/>
      <c r="AP64" s="51" t="n"/>
      <c r="AQ64" s="51" t="n"/>
      <c r="AR64" s="51" t="n"/>
      <c r="AS64" s="51" t="n"/>
      <c r="AT64" s="51" t="n"/>
      <c r="AW64" s="66" t="n"/>
    </row>
    <row r="65">
      <c r="B65" s="22" t="n"/>
      <c r="C65" s="41" t="n"/>
      <c r="D65" s="51" t="n"/>
      <c r="E65" s="51" t="n"/>
      <c r="F65" s="51" t="n"/>
      <c r="G65" s="51" t="n"/>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c r="AH65" s="51" t="n"/>
      <c r="AI65" s="51" t="n"/>
      <c r="AJ65" s="51" t="n"/>
      <c r="AK65" s="51" t="n"/>
      <c r="AL65" s="51" t="n"/>
      <c r="AM65" s="51" t="n"/>
      <c r="AN65" s="51" t="n"/>
      <c r="AO65" s="51" t="n"/>
      <c r="AP65" s="51" t="n"/>
      <c r="AQ65" s="51" t="n"/>
      <c r="AR65" s="51" t="n"/>
      <c r="AS65" s="51" t="n"/>
      <c r="AT65" s="51" t="n"/>
      <c r="AW65" s="66" t="n"/>
    </row>
    <row r="66">
      <c r="B66" s="22" t="n"/>
      <c r="C66" s="41" t="n"/>
      <c r="D66" s="56" t="inlineStr">
        <is>
          <t>MAESTRIA</t>
        </is>
      </c>
      <c r="E66" s="16" t="n"/>
      <c r="F66" s="16" t="n"/>
      <c r="G66" s="16" t="n"/>
      <c r="H66" s="16" t="n"/>
      <c r="I66" s="16" t="n"/>
      <c r="J66" s="16" t="n"/>
      <c r="K66" s="16" t="n"/>
      <c r="L66" s="16" t="n"/>
      <c r="M66" s="17" t="n"/>
      <c r="N66" s="51" t="n"/>
      <c r="O66" s="56" t="inlineStr">
        <is>
          <t>DESLOCAMENTO</t>
        </is>
      </c>
      <c r="P66" s="16" t="n"/>
      <c r="Q66" s="16" t="n"/>
      <c r="R66" s="16" t="n"/>
      <c r="S66" s="16" t="n"/>
      <c r="T66" s="16" t="n"/>
      <c r="U66" s="16" t="n"/>
      <c r="V66" s="17" t="n"/>
      <c r="W66" s="104" t="inlineStr">
        <is>
          <t>Buff/Debuff</t>
        </is>
      </c>
      <c r="X66" s="17" t="n"/>
      <c r="Y66" s="51" t="n"/>
      <c r="Z66" s="56" t="inlineStr">
        <is>
          <t xml:space="preserve">ATRIBUTO DE CONJURAÇÃO </t>
        </is>
      </c>
      <c r="AA66" s="16" t="n"/>
      <c r="AB66" s="16" t="n"/>
      <c r="AC66" s="16" t="n"/>
      <c r="AD66" s="16" t="n"/>
      <c r="AE66" s="16" t="n"/>
      <c r="AF66" s="16" t="n"/>
      <c r="AG66" s="16" t="n"/>
      <c r="AH66" s="16" t="n"/>
      <c r="AI66" s="17" t="n"/>
      <c r="AJ66" s="51" t="n"/>
      <c r="AK66" s="56" t="inlineStr">
        <is>
          <t>ATRIBUTO DE ATAQUE - CORPO A CORPO</t>
        </is>
      </c>
      <c r="AL66" s="16" t="n"/>
      <c r="AM66" s="16" t="n"/>
      <c r="AN66" s="16" t="n"/>
      <c r="AO66" s="16" t="n"/>
      <c r="AP66" s="16" t="n"/>
      <c r="AQ66" s="16" t="n"/>
      <c r="AR66" s="16" t="n"/>
      <c r="AS66" s="16" t="n"/>
      <c r="AT66" s="17" t="n"/>
      <c r="AW66" s="66" t="n"/>
    </row>
    <row r="67" ht="21" customHeight="1">
      <c r="B67" s="22" t="n"/>
      <c r="C67" s="41" t="n"/>
      <c r="D67" s="105">
        <f>(1+COUNTIF(DADOS!$X$5:$X$7,"&lt;="&amp;$AH$11))</f>
        <v/>
      </c>
      <c r="E67" s="16" t="n"/>
      <c r="F67" s="16" t="n"/>
      <c r="G67" s="16" t="n"/>
      <c r="H67" s="16" t="n"/>
      <c r="I67" s="16" t="n"/>
      <c r="J67" s="16" t="n"/>
      <c r="K67" s="16" t="n"/>
      <c r="L67" s="16" t="n"/>
      <c r="M67" s="17" t="n"/>
      <c r="N67" s="51" t="n"/>
      <c r="O67" s="105">
        <f>IF(DADOS_CONFIG!$E$12&lt;&gt;"",NA(),IF(DADOS_CONFIG!$C$12=1,(DADOS_CONFIG!$D$12)&amp;" m",IF(DADOS_CONFIG!$B$12=0,IF(DADOS!$CZ$46=1,0,MIN(IF(N($O$48)&gt;=2,4.5,9999),(DADOS_CONFIG!$S$9+IFERROR(VALUE($W$67&amp;""),0))/IF(DADOS!$CZ$45=1,2,1)))&amp;" m",(IF((IF(DADOS!$CZ$46=1,0,MIN(IF(N($O$48)&gt;=2,4.5,9999),(DADOS_CONFIG!$S$9+IFERROR(VALUE($W$67&amp;""),0))/IF(DADOS!$CZ$45=1,2,1))))="","",(IF(DADOS!$CZ$46=1,0,MIN(IF(N($O$48)&gt;=2,4.5,9999),(DADOS_CONFIG!$S$9+IFERROR(VALUE($W$67&amp;""),0))/IF(DADOS!$CZ$45=1,2,1))))+DADOS_CONFIG!$B$12))&amp;" m")))</f>
        <v/>
      </c>
      <c r="P67" s="16" t="n"/>
      <c r="Q67" s="16" t="n"/>
      <c r="R67" s="16" t="n"/>
      <c r="S67" s="16" t="n"/>
      <c r="T67" s="16" t="n"/>
      <c r="U67" s="16" t="n"/>
      <c r="V67" s="17" t="n"/>
      <c r="W67" s="84" t="n">
        <v>0</v>
      </c>
      <c r="X67" s="17" t="n"/>
      <c r="Y67" s="41" t="n"/>
      <c r="Z67" s="105" t="inlineStr">
        <is>
          <t>ESSÊNCIA</t>
        </is>
      </c>
      <c r="AA67" s="16" t="n"/>
      <c r="AB67" s="16" t="n"/>
      <c r="AC67" s="16" t="n"/>
      <c r="AD67" s="16" t="n"/>
      <c r="AE67" s="16" t="n"/>
      <c r="AF67" s="16" t="n"/>
      <c r="AG67" s="16" t="n"/>
      <c r="AH67" s="16" t="n"/>
      <c r="AI67" s="17" t="n"/>
      <c r="AJ67" s="51" t="n"/>
      <c r="AK67" s="105" t="inlineStr">
        <is>
          <t>FORÇA</t>
        </is>
      </c>
      <c r="AL67" s="16" t="n"/>
      <c r="AM67" s="16" t="n"/>
      <c r="AN67" s="16" t="n"/>
      <c r="AO67" s="16" t="n"/>
      <c r="AP67" s="16" t="n"/>
      <c r="AQ67" s="16" t="n"/>
      <c r="AR67" s="16" t="n"/>
      <c r="AS67" s="16" t="n"/>
      <c r="AT67" s="17" t="n"/>
      <c r="AW67" s="66" t="n"/>
    </row>
    <row r="68">
      <c r="A68" s="8" t="n"/>
      <c r="B68" s="14" t="n"/>
      <c r="C68" s="4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41" t="n"/>
      <c r="Z68" s="51" t="n"/>
      <c r="AA68" s="51" t="n"/>
      <c r="AB68" s="51" t="n"/>
      <c r="AC68" s="51" t="n"/>
      <c r="AD68" s="51" t="n"/>
      <c r="AE68" s="51" t="n"/>
      <c r="AF68" s="51" t="n"/>
      <c r="AG68" s="51" t="n"/>
      <c r="AH68" s="51" t="n"/>
      <c r="AI68" s="51" t="n"/>
      <c r="AJ68" s="51" t="n"/>
      <c r="AK68" s="51" t="n"/>
      <c r="AL68" s="51" t="n"/>
      <c r="AM68" s="51" t="n"/>
      <c r="AN68" s="51" t="n"/>
      <c r="AO68" s="51" t="n"/>
      <c r="AP68" s="51" t="n"/>
      <c r="AQ68" s="51" t="n"/>
      <c r="AR68" s="51" t="n"/>
      <c r="AS68" s="51" t="n"/>
      <c r="AT68" s="51" t="n"/>
      <c r="AW68" s="66" t="n"/>
    </row>
    <row r="69">
      <c r="A69" s="8" t="n"/>
      <c r="B69" s="14" t="n"/>
      <c r="C69" s="41" t="n"/>
      <c r="D69" s="51" t="n"/>
      <c r="E69" s="51" t="n"/>
      <c r="F69" s="51" t="n"/>
      <c r="G69" s="51" t="n"/>
      <c r="H69" s="51" t="n"/>
      <c r="I69" s="51" t="n"/>
      <c r="J69" s="51" t="n"/>
      <c r="K69" s="51" t="n"/>
      <c r="L69" s="51" t="n"/>
      <c r="M69" s="51" t="n"/>
      <c r="N69" s="51" t="n"/>
      <c r="O69" s="51" t="n"/>
      <c r="P69" s="51" t="n"/>
      <c r="Q69" s="51" t="n"/>
      <c r="R69" s="51" t="n"/>
      <c r="S69" s="51" t="n"/>
      <c r="T69" s="51" t="n"/>
      <c r="U69" s="51" t="n"/>
      <c r="V69" s="51" t="n"/>
      <c r="W69" s="51" t="n"/>
      <c r="X69" s="51" t="n"/>
      <c r="Y69" s="41" t="n"/>
      <c r="Z69" s="51" t="n"/>
      <c r="AA69" s="51" t="n"/>
      <c r="AB69" s="51" t="n"/>
      <c r="AC69" s="51" t="n"/>
      <c r="AD69" s="51" t="n"/>
      <c r="AE69" s="56" t="inlineStr">
        <is>
          <t xml:space="preserve">ATRIBUTO DE ATAQUE - À DISTÂNCIA </t>
        </is>
      </c>
      <c r="AF69" s="16" t="n"/>
      <c r="AG69" s="16" t="n"/>
      <c r="AH69" s="16" t="n"/>
      <c r="AI69" s="16" t="n"/>
      <c r="AJ69" s="16" t="n"/>
      <c r="AK69" s="16" t="n"/>
      <c r="AL69" s="16" t="n"/>
      <c r="AM69" s="16" t="n"/>
      <c r="AN69" s="16" t="n"/>
      <c r="AO69" s="17" t="n"/>
      <c r="AP69" s="51" t="n"/>
      <c r="AQ69" s="51" t="n"/>
      <c r="AR69" s="51" t="n"/>
      <c r="AS69" s="51" t="n"/>
      <c r="AT69" s="51" t="n"/>
      <c r="AW69" s="66" t="n"/>
    </row>
    <row r="70" ht="27" customHeight="1">
      <c r="A70" s="8" t="n"/>
      <c r="B70" s="14" t="n"/>
      <c r="C70" s="41" t="n"/>
      <c r="D70" s="69" t="n">
        <v>4</v>
      </c>
      <c r="E70" s="19" t="n"/>
      <c r="F70" s="20" t="n"/>
      <c r="G70" s="101" t="inlineStr">
        <is>
          <t>PROGRESSÃO</t>
        </is>
      </c>
      <c r="H70" s="16" t="n"/>
      <c r="I70" s="16" t="n"/>
      <c r="J70" s="16" t="n"/>
      <c r="K70" s="16" t="n"/>
      <c r="L70" s="16" t="n"/>
      <c r="M70" s="16" t="n"/>
      <c r="N70" s="16" t="n"/>
      <c r="O70" s="16" t="n"/>
      <c r="P70" s="16" t="n"/>
      <c r="Q70" s="16" t="n"/>
      <c r="R70" s="16" t="n"/>
      <c r="S70" s="16" t="n"/>
      <c r="T70" s="16" t="n"/>
      <c r="U70" s="16" t="n"/>
      <c r="V70" s="16" t="n"/>
      <c r="W70" s="16" t="n"/>
      <c r="X70" s="17" t="n"/>
      <c r="Y70" s="41" t="n"/>
      <c r="Z70" s="51" t="n"/>
      <c r="AA70" s="51" t="n"/>
      <c r="AB70" s="51" t="n"/>
      <c r="AC70" s="51" t="n"/>
      <c r="AD70" s="51" t="n"/>
      <c r="AE70" s="105" t="inlineStr">
        <is>
          <t>DESTREZA</t>
        </is>
      </c>
      <c r="AF70" s="16" t="n"/>
      <c r="AG70" s="16" t="n"/>
      <c r="AH70" s="16" t="n"/>
      <c r="AI70" s="16" t="n"/>
      <c r="AJ70" s="16" t="n"/>
      <c r="AK70" s="16" t="n"/>
      <c r="AL70" s="16" t="n"/>
      <c r="AM70" s="16" t="n"/>
      <c r="AN70" s="16" t="n"/>
      <c r="AO70" s="17" t="n"/>
      <c r="AP70" s="51" t="n"/>
      <c r="AQ70" s="51" t="n"/>
      <c r="AR70" s="51" t="n"/>
      <c r="AS70" s="51" t="n"/>
      <c r="AT70" s="51" t="n"/>
      <c r="AW70" s="66" t="n"/>
    </row>
    <row r="71">
      <c r="A71" s="8" t="n"/>
      <c r="B71" s="14" t="n"/>
      <c r="C71" s="41" t="n"/>
      <c r="D71" s="23" t="n"/>
      <c r="E71" s="24" t="n"/>
      <c r="F71" s="25" t="n"/>
      <c r="G71" s="51" t="n"/>
      <c r="H71" s="51" t="n"/>
      <c r="I71" s="51" t="n"/>
      <c r="J71" s="51" t="n"/>
      <c r="K71" s="51" t="n"/>
      <c r="L71" s="51" t="n"/>
      <c r="M71" s="51" t="n"/>
      <c r="N71" s="51" t="n"/>
      <c r="O71" s="51" t="n"/>
      <c r="P71" s="51" t="n"/>
      <c r="Q71" s="51" t="n"/>
      <c r="R71" s="51" t="n"/>
      <c r="S71" s="51" t="n"/>
      <c r="T71" s="51" t="n"/>
      <c r="U71" s="51" t="n"/>
      <c r="V71" s="51" t="n"/>
      <c r="W71" s="51" t="n"/>
      <c r="X71" s="51" t="n"/>
      <c r="Y71" s="41" t="n"/>
      <c r="Z71" s="51" t="n"/>
      <c r="AA71" s="51" t="n"/>
      <c r="AB71" s="51" t="n"/>
      <c r="AC71" s="51" t="n"/>
      <c r="AD71" s="51" t="n"/>
      <c r="AE71" s="51" t="n"/>
      <c r="AF71" s="51" t="n"/>
      <c r="AG71" s="51" t="n"/>
      <c r="AH71" s="51" t="n"/>
      <c r="AI71" s="51" t="n"/>
      <c r="AJ71" s="51" t="n"/>
      <c r="AK71" s="51" t="n"/>
      <c r="AL71" s="51" t="n"/>
      <c r="AM71" s="51" t="n"/>
      <c r="AN71" s="51" t="n"/>
      <c r="AO71" s="51" t="n"/>
      <c r="AP71" s="51" t="n"/>
      <c r="AQ71" s="51" t="n"/>
      <c r="AR71" s="51" t="n"/>
      <c r="AS71" s="51" t="n"/>
      <c r="AT71" s="51" t="n"/>
      <c r="AW71" s="66" t="n"/>
    </row>
    <row r="72">
      <c r="A72" s="8" t="n"/>
      <c r="B72" s="14" t="n"/>
      <c r="C72" s="41" t="n"/>
      <c r="D72" s="56" t="inlineStr">
        <is>
          <t>ESPAÇOS DE FEITIÇO</t>
        </is>
      </c>
      <c r="E72" s="16" t="n"/>
      <c r="F72" s="16" t="n"/>
      <c r="G72" s="16" t="n"/>
      <c r="H72" s="16" t="n"/>
      <c r="I72" s="16" t="n"/>
      <c r="J72" s="16" t="n"/>
      <c r="K72" s="16" t="n"/>
      <c r="L72" s="16" t="n"/>
      <c r="M72" s="17" t="n"/>
      <c r="N72" s="51" t="n"/>
      <c r="O72" s="56" t="inlineStr">
        <is>
          <t>REFINO DE GRAÇA</t>
        </is>
      </c>
      <c r="P72" s="16" t="n"/>
      <c r="Q72" s="16" t="n"/>
      <c r="R72" s="16" t="n"/>
      <c r="S72" s="16" t="n"/>
      <c r="T72" s="16" t="n"/>
      <c r="U72" s="16" t="n"/>
      <c r="V72" s="16" t="n"/>
      <c r="W72" s="16" t="n"/>
      <c r="X72" s="17" t="n"/>
      <c r="Y72" s="41" t="n"/>
      <c r="Z72" s="56" t="inlineStr">
        <is>
          <t>CLASSE MÁXIMA</t>
        </is>
      </c>
      <c r="AA72" s="16" t="n"/>
      <c r="AB72" s="16" t="n"/>
      <c r="AC72" s="16" t="n"/>
      <c r="AD72" s="16" t="n"/>
      <c r="AE72" s="16" t="n"/>
      <c r="AF72" s="16" t="n"/>
      <c r="AG72" s="16" t="n"/>
      <c r="AH72" s="16" t="n"/>
      <c r="AI72" s="17" t="n"/>
      <c r="AJ72" s="51" t="n"/>
      <c r="AK72" s="56" t="inlineStr">
        <is>
          <t xml:space="preserve">CLASSE 0 </t>
        </is>
      </c>
      <c r="AL72" s="16" t="n"/>
      <c r="AM72" s="16" t="n"/>
      <c r="AN72" s="16" t="n"/>
      <c r="AO72" s="16" t="n"/>
      <c r="AP72" s="16" t="n"/>
      <c r="AQ72" s="16" t="n"/>
      <c r="AR72" s="16" t="n"/>
      <c r="AS72" s="16" t="n"/>
      <c r="AT72" s="17" t="n"/>
      <c r="AW72" s="66" t="n"/>
    </row>
    <row r="73" ht="21" customHeight="1">
      <c r="A73" s="8" t="n"/>
      <c r="B73" s="14" t="n"/>
      <c r="C73" s="41" t="n"/>
      <c r="D73" s="105">
        <f>2+INT($AH$11/2)+COUNTIF(DADOS!$W$5:$W$11,"&lt;="&amp;$AH$11)+IFERROR(VALUE($AS$56&amp;""),0)</f>
        <v/>
      </c>
      <c r="E73" s="16" t="n"/>
      <c r="F73" s="16" t="n"/>
      <c r="G73" s="16" t="n"/>
      <c r="H73" s="16" t="n"/>
      <c r="I73" s="16" t="n"/>
      <c r="J73" s="16" t="n"/>
      <c r="K73" s="16" t="n"/>
      <c r="L73" s="16" t="n"/>
      <c r="M73" s="17" t="n"/>
      <c r="N73" s="41" t="n"/>
      <c r="O73" s="105">
        <f>(1+COUNTIF(DADOS!$W$5:$W$11,"&lt;="&amp;$AH$11))</f>
        <v/>
      </c>
      <c r="P73" s="16" t="n"/>
      <c r="Q73" s="16" t="n"/>
      <c r="R73" s="16" t="n"/>
      <c r="S73" s="16" t="n"/>
      <c r="T73" s="16" t="n"/>
      <c r="U73" s="16" t="n"/>
      <c r="V73" s="16" t="n"/>
      <c r="W73" s="16" t="n"/>
      <c r="X73" s="17" t="n"/>
      <c r="Y73" s="41" t="n"/>
      <c r="Z73" s="105">
        <f>COUNTIF(DADOS!$Y$5:$Y$11,"&lt;="&amp;$AH$11)</f>
        <v/>
      </c>
      <c r="AA73" s="16" t="n"/>
      <c r="AB73" s="16" t="n"/>
      <c r="AC73" s="16" t="n"/>
      <c r="AD73" s="16" t="n"/>
      <c r="AE73" s="16" t="n"/>
      <c r="AF73" s="16" t="n"/>
      <c r="AG73" s="16" t="n"/>
      <c r="AH73" s="16" t="n"/>
      <c r="AI73" s="17" t="n"/>
      <c r="AJ73" s="51" t="n"/>
      <c r="AK73" s="105">
        <f>2+COUNTIF(DADOS!$Z$5:$Z$7,"&lt;="&amp;$AH$11)</f>
        <v/>
      </c>
      <c r="AL73" s="16" t="n"/>
      <c r="AM73" s="16" t="n"/>
      <c r="AN73" s="16" t="n"/>
      <c r="AO73" s="16" t="n"/>
      <c r="AP73" s="16" t="n"/>
      <c r="AQ73" s="16" t="n"/>
      <c r="AR73" s="16" t="n"/>
      <c r="AS73" s="16" t="n"/>
      <c r="AT73" s="17" t="n"/>
      <c r="AW73" s="66" t="n"/>
    </row>
    <row r="74">
      <c r="A74" s="8" t="n"/>
      <c r="B74" s="14"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51" t="n"/>
      <c r="AA74" s="51" t="n"/>
      <c r="AB74" s="51" t="n"/>
      <c r="AC74" s="51" t="n"/>
      <c r="AD74" s="51" t="n"/>
      <c r="AE74" s="51" t="n"/>
      <c r="AF74" s="51" t="n"/>
      <c r="AG74" s="51" t="n"/>
      <c r="AH74" s="51" t="n"/>
      <c r="AI74" s="51" t="n"/>
      <c r="AJ74" s="51" t="n"/>
      <c r="AK74" s="51" t="n"/>
      <c r="AL74" s="51" t="n"/>
      <c r="AM74" s="51" t="n"/>
      <c r="AN74" s="51" t="n"/>
      <c r="AO74" s="51" t="n"/>
      <c r="AP74" s="51" t="n"/>
      <c r="AQ74" s="51" t="n"/>
      <c r="AR74" s="51" t="n"/>
      <c r="AS74" s="51" t="n"/>
      <c r="AT74" s="51" t="n"/>
      <c r="AW74" s="66" t="n"/>
    </row>
    <row r="75">
      <c r="A75" s="8" t="n"/>
      <c r="B75" s="14"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c r="AE75" s="41" t="n"/>
      <c r="AF75" s="41" t="n"/>
      <c r="AG75" s="41" t="n"/>
      <c r="AH75" s="41" t="n"/>
      <c r="AI75" s="41" t="n"/>
      <c r="AJ75" s="41" t="n"/>
      <c r="AK75" s="41" t="n"/>
      <c r="AL75" s="41" t="n"/>
      <c r="AM75" s="41" t="n"/>
      <c r="AN75" s="41" t="n"/>
      <c r="AO75" s="41" t="n"/>
      <c r="AP75" s="41" t="n"/>
      <c r="AQ75" s="41" t="n"/>
      <c r="AR75" s="41" t="n"/>
      <c r="AS75" s="41" t="n"/>
      <c r="AT75" s="41" t="n"/>
      <c r="AW75" s="66" t="n"/>
    </row>
    <row r="76" ht="27" customHeight="1">
      <c r="A76" s="8" t="n"/>
      <c r="B76" s="14" t="n"/>
      <c r="C76" s="41" t="n"/>
      <c r="D76" s="69" t="n">
        <v>5</v>
      </c>
      <c r="E76" s="19" t="n"/>
      <c r="F76" s="20" t="n"/>
      <c r="G76" s="101" t="inlineStr">
        <is>
          <t>PERÍCIAS</t>
        </is>
      </c>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7" t="n"/>
      <c r="AE76" s="51" t="n"/>
      <c r="AF76" s="51" t="n"/>
      <c r="AG76" s="51" t="n"/>
      <c r="AH76" s="51" t="n"/>
      <c r="AI76" s="51" t="n"/>
      <c r="AJ76" s="51" t="n"/>
      <c r="AK76" s="51" t="n"/>
      <c r="AL76" s="51" t="n"/>
      <c r="AM76" s="51" t="n"/>
      <c r="AN76" s="51" t="n"/>
      <c r="AO76" s="51" t="n"/>
      <c r="AP76" s="51" t="n"/>
      <c r="AQ76" s="51" t="n"/>
      <c r="AR76" s="51" t="n"/>
      <c r="AS76" s="51" t="n"/>
      <c r="AT76" s="51" t="n"/>
      <c r="AW76" s="66" t="n"/>
    </row>
    <row r="77">
      <c r="A77" s="8" t="n"/>
      <c r="B77" s="14" t="n"/>
      <c r="C77" s="41" t="n"/>
      <c r="D77" s="21" t="n"/>
      <c r="F77" s="22" t="n"/>
      <c r="G77" s="51" t="n"/>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51" t="n"/>
      <c r="AE77" s="51" t="n"/>
      <c r="AF77" s="106" t="n"/>
      <c r="AG77" s="51" t="n"/>
      <c r="AH77" s="51" t="n"/>
      <c r="AI77" s="51" t="n"/>
      <c r="AJ77" s="51" t="n"/>
      <c r="AK77" s="51" t="n"/>
      <c r="AL77" s="51" t="n"/>
      <c r="AM77" s="51" t="n"/>
      <c r="AN77" s="51" t="n"/>
      <c r="AO77" s="51" t="n"/>
      <c r="AP77" s="51" t="n"/>
      <c r="AQ77" s="51" t="n"/>
      <c r="AR77" s="51" t="n"/>
      <c r="AS77" s="51" t="n"/>
      <c r="AT77" s="51" t="n"/>
      <c r="AW77" s="66" t="n"/>
    </row>
    <row r="78">
      <c r="A78" s="8" t="n"/>
      <c r="B78" s="14" t="n"/>
      <c r="C78" s="41" t="n"/>
      <c r="D78" s="23" t="n"/>
      <c r="E78" s="24" t="n"/>
      <c r="F78" s="25" t="n"/>
      <c r="G78" s="51" t="n"/>
      <c r="H78" s="51" t="n"/>
      <c r="I78" s="51" t="n"/>
      <c r="J78" s="51" t="n"/>
      <c r="K78" s="51" t="n"/>
      <c r="L78" s="51" t="n"/>
      <c r="M78" s="51" t="n"/>
      <c r="N78" s="51" t="n"/>
      <c r="O78" s="51" t="n"/>
      <c r="P78" s="51" t="n"/>
      <c r="Q78" s="51" t="n"/>
      <c r="R78" s="51" t="n"/>
      <c r="S78" s="51" t="n"/>
      <c r="T78" s="107" t="inlineStr">
        <is>
          <t>Trein</t>
        </is>
      </c>
      <c r="U78" s="107" t="inlineStr">
        <is>
          <t>Espec</t>
        </is>
      </c>
      <c r="V78" s="51" t="n"/>
      <c r="W78" s="51" t="n"/>
      <c r="X78" s="51" t="n"/>
      <c r="Y78" s="51" t="n"/>
      <c r="Z78" s="51" t="n"/>
      <c r="AA78" s="51" t="n"/>
      <c r="AB78" s="51" t="n"/>
      <c r="AC78" s="51" t="n"/>
      <c r="AD78" s="51" t="n"/>
      <c r="AE78" s="51" t="n"/>
      <c r="AF78" s="106" t="n"/>
      <c r="AG78" s="51" t="n"/>
      <c r="AH78" s="107" t="inlineStr">
        <is>
          <t>Extra</t>
        </is>
      </c>
      <c r="AI78" s="51" t="n"/>
      <c r="AJ78" s="51" t="n"/>
      <c r="AK78" s="56" t="inlineStr">
        <is>
          <t>TREINAMENTO EM ARMAS</t>
        </is>
      </c>
      <c r="AL78" s="16" t="n"/>
      <c r="AM78" s="16" t="n"/>
      <c r="AN78" s="16" t="n"/>
      <c r="AO78" s="16" t="n"/>
      <c r="AP78" s="16" t="n"/>
      <c r="AQ78" s="16" t="n"/>
      <c r="AR78" s="16" t="n"/>
      <c r="AS78" s="16" t="n"/>
      <c r="AT78" s="17" t="n"/>
      <c r="AW78" s="66" t="n"/>
    </row>
    <row r="79">
      <c r="A79" s="8" t="n"/>
      <c r="B79" s="14" t="n"/>
      <c r="C79" s="41" t="n"/>
      <c r="D79" s="107" t="inlineStr">
        <is>
          <t>Trein</t>
        </is>
      </c>
      <c r="E79" s="107" t="inlineStr">
        <is>
          <t>Espec</t>
        </is>
      </c>
      <c r="F79" s="51" t="n"/>
      <c r="G79" s="51" t="n"/>
      <c r="H79" s="51" t="n"/>
      <c r="I79" s="51" t="n"/>
      <c r="J79" s="51" t="n"/>
      <c r="K79" s="51" t="n"/>
      <c r="L79" s="51" t="n"/>
      <c r="M79" s="51" t="n"/>
      <c r="N79" s="51" t="n"/>
      <c r="O79" s="51" t="n"/>
      <c r="P79" s="51" t="n"/>
      <c r="Q79" s="51" t="n"/>
      <c r="R79" s="107" t="inlineStr">
        <is>
          <t>Extra</t>
        </is>
      </c>
      <c r="S79" s="51" t="n"/>
      <c r="T79" s="108" t="n">
        <v>0</v>
      </c>
      <c r="U79" s="108" t="n">
        <v>0</v>
      </c>
      <c r="V79" s="109" t="inlineStr">
        <is>
          <t>Sobrevivência</t>
        </is>
      </c>
      <c r="W79" s="16" t="n"/>
      <c r="X79" s="16" t="n"/>
      <c r="Y79" s="16" t="n"/>
      <c r="Z79" s="16" t="n"/>
      <c r="AA79" s="16" t="n"/>
      <c r="AB79" s="16" t="n"/>
      <c r="AC79" s="17" t="n"/>
      <c r="AD79" s="76" t="inlineStr">
        <is>
          <t>Int</t>
        </is>
      </c>
      <c r="AE79" s="17" t="n"/>
      <c r="AF79" s="110">
        <f>IF(DADOS_CONFIG!$E$26&lt;&gt;"",NA(),IF(DADOS_CONFIG!$C$26=1,DADOS_CONFIG!$D$26,IF(DADOS_CONFIG!$B$26=0,$AB$19 + IF(U79, $D$67 + INT($D$67 / 2), IF(T79, $D$67, 0)) + AH79,IF(($AB$19 + IF(U79, $D$67 + INT($D$67 / 2), IF(T79, $D$67, 0)) + AH79)="","",($AB$19 + IF(U79, $D$67 + INT($D$67 / 2), IF(T79, $D$67, 0)) + AH79)+DADOS_CONFIG!$B$26))))</f>
        <v/>
      </c>
      <c r="AG79" s="17" t="n"/>
      <c r="AH79" s="111" t="n"/>
      <c r="AI79" s="51" t="n"/>
      <c r="AJ79" s="51" t="n"/>
      <c r="AK79" s="105">
        <f>IF('DADOS_PROGRESSAO'!$K$7=1,IF('DADOS_PROGRESSAO'!$K$6="Todas","Treinado em Todas as Armas","Treinado em "&amp;TEXTJOIN(", ",TRUE,'CONFIGURAÇÃO'!$AN$24:$AN$36)),IF(FICHA!$D$11="Escolha seu Caminho","—",IF(OR(FICHA!$D$11="Bastião",FICHA!$D$11="Vanguarda",FICHA!$D$11="Incursor"),"Treinado em Todas as Armas","Treinado em Arma de Fogo e Balestra")))</f>
        <v/>
      </c>
      <c r="AL79" s="19" t="n"/>
      <c r="AM79" s="19" t="n"/>
      <c r="AN79" s="19" t="n"/>
      <c r="AO79" s="19" t="n"/>
      <c r="AP79" s="19" t="n"/>
      <c r="AQ79" s="19" t="n"/>
      <c r="AR79" s="19" t="n"/>
      <c r="AS79" s="19" t="n"/>
      <c r="AT79" s="20" t="n"/>
      <c r="AW79" s="66" t="n"/>
    </row>
    <row r="80">
      <c r="A80" s="8" t="n"/>
      <c r="B80" s="14" t="n"/>
      <c r="C80" s="41" t="n"/>
      <c r="D80" s="108" t="n">
        <v>0</v>
      </c>
      <c r="E80" s="108" t="n">
        <v>0</v>
      </c>
      <c r="F80" s="109" t="inlineStr">
        <is>
          <t>Atletismo</t>
        </is>
      </c>
      <c r="G80" s="16" t="n"/>
      <c r="H80" s="16" t="n"/>
      <c r="I80" s="16" t="n"/>
      <c r="J80" s="16" t="n"/>
      <c r="K80" s="16" t="n"/>
      <c r="L80" s="16" t="n"/>
      <c r="M80" s="17" t="n"/>
      <c r="N80" s="76" t="inlineStr">
        <is>
          <t>For</t>
        </is>
      </c>
      <c r="O80" s="17" t="n"/>
      <c r="P80" s="110">
        <f>IF(DADOS_CONFIG!$E$14&lt;&gt;"",NA(),IF(DADOS_CONFIG!$C$14=1,DADOS_CONFIG!$D$14,IF(DADOS_CONFIG!$B$14=0,$D$19 + IF(E80, $D$67 + INT($D$67 / 2), IF(D80, $D$67, 0)) + R80,IF(($D$19 + IF(E80, $D$67 + INT($D$67 / 2), IF(D80, $D$67, 0)) + R80)="","",($D$19 + IF(E80, $D$67 + INT($D$67 / 2), IF(D80, $D$67, 0)) + R80)+DADOS_CONFIG!$B$14))))</f>
        <v/>
      </c>
      <c r="Q80" s="17" t="n"/>
      <c r="R80" s="111" t="n"/>
      <c r="S80" s="51" t="n"/>
      <c r="T80" s="108" t="n">
        <v>0</v>
      </c>
      <c r="U80" s="108" t="n">
        <v>0</v>
      </c>
      <c r="V80" s="109" t="inlineStr">
        <is>
          <t>Natureza</t>
        </is>
      </c>
      <c r="W80" s="16" t="n"/>
      <c r="X80" s="16" t="n"/>
      <c r="Y80" s="16" t="n"/>
      <c r="Z80" s="16" t="n"/>
      <c r="AA80" s="16" t="n"/>
      <c r="AB80" s="16" t="n"/>
      <c r="AC80" s="17" t="n"/>
      <c r="AD80" s="76" t="inlineStr">
        <is>
          <t>Int</t>
        </is>
      </c>
      <c r="AE80" s="17" t="n"/>
      <c r="AF80" s="110">
        <f>IF(DADOS_CONFIG!$E$27&lt;&gt;"",NA(),IF(DADOS_CONFIG!$C$27=1,DADOS_CONFIG!$D$27,IF(DADOS_CONFIG!$B$27=0,$AB$19 + IF(U80, $D$67 + INT($D$67 / 2), IF(T80, $D$67, 0)) + AH80,IF(($AB$19 + IF(U80, $D$67 + INT($D$67 / 2), IF(T80, $D$67, 0)) + AH80)="","",($AB$19 + IF(U80, $D$67 + INT($D$67 / 2), IF(T80, $D$67, 0)) + AH80)+DADOS_CONFIG!$B$27))))</f>
        <v/>
      </c>
      <c r="AG80" s="17" t="n"/>
      <c r="AH80" s="111" t="n"/>
      <c r="AI80" s="51" t="n"/>
      <c r="AJ80" s="51" t="n"/>
      <c r="AK80" s="23" t="n"/>
      <c r="AL80" s="24" t="n"/>
      <c r="AM80" s="24" t="n"/>
      <c r="AN80" s="24" t="n"/>
      <c r="AO80" s="24" t="n"/>
      <c r="AP80" s="24" t="n"/>
      <c r="AQ80" s="24" t="n"/>
      <c r="AR80" s="24" t="n"/>
      <c r="AS80" s="24" t="n"/>
      <c r="AT80" s="25" t="n"/>
      <c r="AW80" s="66" t="n"/>
    </row>
    <row r="81">
      <c r="A81" s="8" t="n"/>
      <c r="B81" s="14" t="n"/>
      <c r="C81" s="41" t="n"/>
      <c r="D81" s="108" t="n">
        <v>0</v>
      </c>
      <c r="E81" s="108" t="n">
        <v>0</v>
      </c>
      <c r="F81" s="109" t="inlineStr">
        <is>
          <t>Acrobacia</t>
        </is>
      </c>
      <c r="G81" s="16" t="n"/>
      <c r="H81" s="16" t="n"/>
      <c r="I81" s="16" t="n"/>
      <c r="J81" s="16" t="n"/>
      <c r="K81" s="16" t="n"/>
      <c r="L81" s="16" t="n"/>
      <c r="M81" s="17" t="n"/>
      <c r="N81" s="76" t="inlineStr">
        <is>
          <t>Des</t>
        </is>
      </c>
      <c r="O81" s="17" t="n"/>
      <c r="P81" s="110">
        <f>IF(DADOS_CONFIG!$E$15&lt;&gt;"",NA(),IF(DADOS_CONFIG!$C$15=1,DADOS_CONFIG!$D$15,IF(DADOS_CONFIG!$B$15=0,$L$19 + IF(E81, $D$67 + INT($D$67 / 2), IF(D81, $D$67, 0)) + R81,IF(($L$19 + IF(E81, $D$67 + INT($D$67 / 2), IF(D81, $D$67, 0)) + R81)="","",($L$19 + IF(E81, $D$67 + INT($D$67 / 2), IF(D81, $D$67, 0)) + R81)+DADOS_CONFIG!$B$15))))</f>
        <v/>
      </c>
      <c r="Q81" s="17" t="n"/>
      <c r="R81" s="111" t="n"/>
      <c r="S81" s="51" t="n"/>
      <c r="T81" s="108" t="n">
        <v>0</v>
      </c>
      <c r="U81" s="108" t="n">
        <v>0</v>
      </c>
      <c r="V81" s="109" t="inlineStr">
        <is>
          <t>Lidar com Animais</t>
        </is>
      </c>
      <c r="W81" s="16" t="n"/>
      <c r="X81" s="16" t="n"/>
      <c r="Y81" s="16" t="n"/>
      <c r="Z81" s="16" t="n"/>
      <c r="AA81" s="16" t="n"/>
      <c r="AB81" s="16" t="n"/>
      <c r="AC81" s="17" t="n"/>
      <c r="AD81" s="76" t="inlineStr">
        <is>
          <t>Int</t>
        </is>
      </c>
      <c r="AE81" s="17" t="n"/>
      <c r="AF81" s="110">
        <f>IF(DADOS_CONFIG!$E$28&lt;&gt;"",NA(),IF(DADOS_CONFIG!$C$28=1,DADOS_CONFIG!$D$28,IF(DADOS_CONFIG!$B$28=0,$AB$19 + IF(U81, $D$67 + INT($D$67 / 2), IF(T81, $D$67, 0)) + AH81,IF(($AB$19 + IF(U81, $D$67 + INT($D$67 / 2), IF(T81, $D$67, 0)) + AH81)="","",($AB$19 + IF(U81, $D$67 + INT($D$67 / 2), IF(T81, $D$67, 0)) + AH81)+DADOS_CONFIG!$B$28))))</f>
        <v/>
      </c>
      <c r="AG81" s="17" t="n"/>
      <c r="AH81" s="111" t="n"/>
      <c r="AI81" s="51" t="n"/>
      <c r="AJ81" s="51" t="n"/>
      <c r="AK81" s="112" t="inlineStr">
        <is>
          <t>Não trocou</t>
        </is>
      </c>
      <c r="AL81" s="19" t="n"/>
      <c r="AM81" s="19" t="n"/>
      <c r="AN81" s="19" t="n"/>
      <c r="AO81" s="19" t="n"/>
      <c r="AP81" s="19" t="n"/>
      <c r="AQ81" s="19" t="n"/>
      <c r="AR81" s="19" t="n"/>
      <c r="AS81" s="19" t="n"/>
      <c r="AT81" s="20" t="n"/>
      <c r="AW81" s="66" t="n"/>
    </row>
    <row r="82">
      <c r="A82" s="8" t="n"/>
      <c r="B82" s="14" t="n"/>
      <c r="C82" s="41" t="n"/>
      <c r="D82" s="108" t="n">
        <v>0</v>
      </c>
      <c r="E82" s="108" t="n">
        <v>0</v>
      </c>
      <c r="F82" s="109" t="inlineStr">
        <is>
          <t>Furtividade</t>
        </is>
      </c>
      <c r="G82" s="16" t="n"/>
      <c r="H82" s="16" t="n"/>
      <c r="I82" s="16" t="n"/>
      <c r="J82" s="16" t="n"/>
      <c r="K82" s="16" t="n"/>
      <c r="L82" s="16" t="n"/>
      <c r="M82" s="17" t="n"/>
      <c r="N82" s="76" t="inlineStr">
        <is>
          <t>Des</t>
        </is>
      </c>
      <c r="O82" s="17" t="n"/>
      <c r="P82" s="110">
        <f>IF(DADOS_CONFIG!$E$16&lt;&gt;"",NA(),IF(DADOS_CONFIG!$C$16=1,DADOS_CONFIG!$D$16,IF(DADOS_CONFIG!$B$16=0,$L$19 + IF(E82, $D$67 + INT($D$67 / 2), IF(D82, $D$67, 0)) + R82,IF(($L$19 + IF(E82, $D$67 + INT($D$67 / 2), IF(D82, $D$67, 0)) + R82)="","",($L$19 + IF(E82, $D$67 + INT($D$67 / 2), IF(D82, $D$67, 0)) + R82)+DADOS_CONFIG!$B$16))))</f>
        <v/>
      </c>
      <c r="Q82" s="17" t="n"/>
      <c r="R82" s="111" t="n"/>
      <c r="S82" s="51" t="n"/>
      <c r="T82" s="108" t="n">
        <v>0</v>
      </c>
      <c r="U82" s="108" t="n">
        <v>0</v>
      </c>
      <c r="V82" s="109" t="inlineStr">
        <is>
          <t>Tecnologia</t>
        </is>
      </c>
      <c r="W82" s="16" t="n"/>
      <c r="X82" s="16" t="n"/>
      <c r="Y82" s="16" t="n"/>
      <c r="Z82" s="16" t="n"/>
      <c r="AA82" s="16" t="n"/>
      <c r="AB82" s="16" t="n"/>
      <c r="AC82" s="17" t="n"/>
      <c r="AD82" s="76" t="inlineStr">
        <is>
          <t>Int</t>
        </is>
      </c>
      <c r="AE82" s="17" t="n"/>
      <c r="AF82" s="110">
        <f>IF(DADOS_CONFIG!$E$29&lt;&gt;"",NA(),IF(DADOS_CONFIG!$C$29=1,DADOS_CONFIG!$D$29,IF(DADOS_CONFIG!$B$29=0,$AB$19 + IF(U82, $D$67 + INT($D$67 / 2), IF(T82, $D$67, 0)) + AH82,IF(($AB$19 + IF(U82, $D$67 + INT($D$67 / 2), IF(T82, $D$67, 0)) + AH82)="","",($AB$19 + IF(U82, $D$67 + INT($D$67 / 2), IF(T82, $D$67, 0)) + AH82)+DADOS_CONFIG!$B$29))))</f>
        <v/>
      </c>
      <c r="AG82" s="17" t="n"/>
      <c r="AH82" s="111" t="n"/>
      <c r="AI82" s="51" t="n"/>
      <c r="AJ82" s="51" t="n"/>
      <c r="AK82" s="23" t="n"/>
      <c r="AL82" s="24" t="n"/>
      <c r="AM82" s="24" t="n"/>
      <c r="AN82" s="24" t="n"/>
      <c r="AO82" s="24" t="n"/>
      <c r="AP82" s="24" t="n"/>
      <c r="AQ82" s="24" t="n"/>
      <c r="AR82" s="24" t="n"/>
      <c r="AS82" s="24" t="n"/>
      <c r="AT82" s="25" t="n"/>
      <c r="AW82" s="66" t="n"/>
    </row>
    <row r="83">
      <c r="A83" s="8" t="n"/>
      <c r="B83" s="14" t="n"/>
      <c r="C83" s="41" t="n"/>
      <c r="D83" s="108" t="n">
        <v>0</v>
      </c>
      <c r="E83" s="108" t="n">
        <v>0</v>
      </c>
      <c r="F83" s="109" t="inlineStr">
        <is>
          <t>Pontaria</t>
        </is>
      </c>
      <c r="G83" s="16" t="n"/>
      <c r="H83" s="16" t="n"/>
      <c r="I83" s="16" t="n"/>
      <c r="J83" s="16" t="n"/>
      <c r="K83" s="16" t="n"/>
      <c r="L83" s="16" t="n"/>
      <c r="M83" s="17" t="n"/>
      <c r="N83" s="76" t="inlineStr">
        <is>
          <t>Des</t>
        </is>
      </c>
      <c r="O83" s="17" t="n"/>
      <c r="P83" s="110">
        <f>IF(DADOS_CONFIG!$E$17&lt;&gt;"",NA(),IF(DADOS_CONFIG!$C$17=1,DADOS_CONFIG!$D$17,IF(DADOS_CONFIG!$B$17=0,$L$19 + IF(E83, $D$67 + INT($D$67 / 2), IF(D83, $D$67, 0)) + R83,IF(($L$19 + IF(E83, $D$67 + INT($D$67 / 2), IF(D83, $D$67, 0)) + R83)="","",($L$19 + IF(E83, $D$67 + INT($D$67 / 2), IF(D83, $D$67, 0)) + R83)+DADOS_CONFIG!$B$17))))</f>
        <v/>
      </c>
      <c r="Q83" s="17" t="n"/>
      <c r="R83" s="111" t="n"/>
      <c r="S83" s="51" t="n"/>
      <c r="T83" s="108" t="n">
        <v>0</v>
      </c>
      <c r="U83" s="108" t="n">
        <v>0</v>
      </c>
      <c r="V83" s="109" t="inlineStr">
        <is>
          <t>Medicina</t>
        </is>
      </c>
      <c r="W83" s="16" t="n"/>
      <c r="X83" s="16" t="n"/>
      <c r="Y83" s="16" t="n"/>
      <c r="Z83" s="16" t="n"/>
      <c r="AA83" s="16" t="n"/>
      <c r="AB83" s="16" t="n"/>
      <c r="AC83" s="17" t="n"/>
      <c r="AD83" s="76" t="inlineStr">
        <is>
          <t>Int</t>
        </is>
      </c>
      <c r="AE83" s="17" t="n"/>
      <c r="AF83" s="110">
        <f>IF(DADOS_CONFIG!$E$25&lt;&gt;"",NA(),IF(DADOS_CONFIG!$C$25=1,DADOS_CONFIG!$D$25,IF(DADOS_CONFIG!$B$25=0,$AB$19 + IF(U83, $D$67 + INT($D$67 / 2), IF(T83, $D$67, 0)) + AH83,IF(($AB$19 + IF(U83, $D$67 + INT($D$67 / 2), IF(T83, $D$67, 0)) + AH83)="","",($AB$19 + IF(U83, $D$67 + INT($D$67 / 2), IF(T83, $D$67, 0)) + AH83)+DADOS_CONFIG!$B$25))))</f>
        <v/>
      </c>
      <c r="AG83" s="17" t="n"/>
      <c r="AH83" s="111" t="n"/>
      <c r="AI83" s="51" t="n"/>
      <c r="AJ83" s="51" t="n"/>
      <c r="AK83" s="112">
        <f>IF(AK81="Não trocou","Anotações e Equipamentos","Treinamentos Extras")</f>
        <v/>
      </c>
      <c r="AL83" s="19" t="n"/>
      <c r="AM83" s="19" t="n"/>
      <c r="AN83" s="19" t="n"/>
      <c r="AO83" s="19" t="n"/>
      <c r="AP83" s="19" t="n"/>
      <c r="AQ83" s="19" t="n"/>
      <c r="AR83" s="19" t="n"/>
      <c r="AS83" s="19" t="n"/>
      <c r="AT83" s="20" t="n"/>
      <c r="AW83" s="66" t="n"/>
    </row>
    <row r="84">
      <c r="A84" s="8" t="n"/>
      <c r="B84" s="14" t="n"/>
      <c r="C84" s="41" t="n"/>
      <c r="D84" s="108" t="n">
        <v>0</v>
      </c>
      <c r="E84" s="108" t="n">
        <v>0</v>
      </c>
      <c r="F84" s="109" t="inlineStr">
        <is>
          <t>Prestidigitação</t>
        </is>
      </c>
      <c r="G84" s="16" t="n"/>
      <c r="H84" s="16" t="n"/>
      <c r="I84" s="16" t="n"/>
      <c r="J84" s="16" t="n"/>
      <c r="K84" s="16" t="n"/>
      <c r="L84" s="16" t="n"/>
      <c r="M84" s="17" t="n"/>
      <c r="N84" s="76" t="inlineStr">
        <is>
          <t>Des</t>
        </is>
      </c>
      <c r="O84" s="17" t="n"/>
      <c r="P84" s="110">
        <f>IF(DADOS_CONFIG!$E$18&lt;&gt;"",NA(),IF(DADOS_CONFIG!$C$18=1,DADOS_CONFIG!$D$18,IF(DADOS_CONFIG!$B$18=0,$L$19 + IF(E84, $D$67 + INT($D$67 / 2), IF(D84, $D$67, 0)) + R84,IF(($L$19 + IF(E84, $D$67 + INT($D$67 / 2), IF(D84, $D$67, 0)) + R84)="","",($L$19 + IF(E84, $D$67 + INT($D$67 / 2), IF(D84, $D$67, 0)) + R84)+DADOS_CONFIG!$B$18))))</f>
        <v/>
      </c>
      <c r="Q84" s="17" t="n"/>
      <c r="R84" s="111" t="n"/>
      <c r="S84" s="51" t="n"/>
      <c r="T84" s="108" t="n">
        <v>0</v>
      </c>
      <c r="U84" s="108" t="n">
        <v>0</v>
      </c>
      <c r="V84" s="109" t="inlineStr">
        <is>
          <t>Sentir Energia</t>
        </is>
      </c>
      <c r="W84" s="16" t="n"/>
      <c r="X84" s="16" t="n"/>
      <c r="Y84" s="16" t="n"/>
      <c r="Z84" s="16" t="n"/>
      <c r="AA84" s="16" t="n"/>
      <c r="AB84" s="16" t="n"/>
      <c r="AC84" s="17" t="n"/>
      <c r="AD84" s="76" t="inlineStr">
        <is>
          <t>Ess</t>
        </is>
      </c>
      <c r="AE84" s="17" t="n"/>
      <c r="AF84" s="110">
        <f>IF(DADOS_CONFIG!$E$30&lt;&gt;"",NA(),IF(DADOS_CONFIG!$C$30=1,DADOS_CONFIG!$D$30,IF(DADOS_CONFIG!$B$30=0,$AJ$19 + IF(U84, $D$67 + INT($D$67 / 2), IF(T84, $D$67, 0)) + AH84,IF(($AJ$19 + IF(U84, $D$67 + INT($D$67 / 2), IF(T84, $D$67, 0)) + AH84)="","",($AJ$19 + IF(U84, $D$67 + INT($D$67 / 2), IF(T84, $D$67, 0)) + AH84)+DADOS_CONFIG!$B$30))))</f>
        <v/>
      </c>
      <c r="AG84" s="17" t="n"/>
      <c r="AH84" s="111" t="n"/>
      <c r="AI84" s="51" t="n"/>
      <c r="AJ84" s="51" t="n"/>
      <c r="AK84" s="23" t="n"/>
      <c r="AL84" s="24" t="n"/>
      <c r="AM84" s="24" t="n"/>
      <c r="AN84" s="24" t="n"/>
      <c r="AO84" s="24" t="n"/>
      <c r="AP84" s="24" t="n"/>
      <c r="AQ84" s="24" t="n"/>
      <c r="AR84" s="24" t="n"/>
      <c r="AS84" s="24" t="n"/>
      <c r="AT84" s="25" t="n"/>
      <c r="AW84" s="66" t="n"/>
    </row>
    <row r="85">
      <c r="A85" s="8" t="n"/>
      <c r="B85" s="14" t="n"/>
      <c r="C85" s="41" t="n"/>
      <c r="D85" s="108" t="n">
        <v>0</v>
      </c>
      <c r="E85" s="108" t="n">
        <v>0</v>
      </c>
      <c r="F85" s="109" t="inlineStr">
        <is>
          <t>Investigação</t>
        </is>
      </c>
      <c r="G85" s="16" t="n"/>
      <c r="H85" s="16" t="n"/>
      <c r="I85" s="16" t="n"/>
      <c r="J85" s="16" t="n"/>
      <c r="K85" s="16" t="n"/>
      <c r="L85" s="16" t="n"/>
      <c r="M85" s="17" t="n"/>
      <c r="N85" s="76" t="inlineStr">
        <is>
          <t>Int</t>
        </is>
      </c>
      <c r="O85" s="17" t="n"/>
      <c r="P85" s="110">
        <f>IF(DADOS_CONFIG!$E$19&lt;&gt;"",NA(),IF(DADOS_CONFIG!$C$19=1,DADOS_CONFIG!$D$19,IF(DADOS_CONFIG!$B$19=0,$AB$19 + IF(E85, $D$67 + INT($D$67 / 2), IF(D85, $D$67, 0)) + R85,IF(($AB$19 + IF(E85, $D$67 + INT($D$67 / 2), IF(D85, $D$67, 0)) + R85)="","",($AB$19 + IF(E85, $D$67 + INT($D$67 / 2), IF(D85, $D$67, 0)) + R85)+DADOS_CONFIG!$B$19))))</f>
        <v/>
      </c>
      <c r="Q85" s="17" t="n"/>
      <c r="R85" s="111" t="n"/>
      <c r="S85" s="51" t="n"/>
      <c r="T85" s="108" t="n">
        <v>0</v>
      </c>
      <c r="U85" s="108" t="n">
        <v>0</v>
      </c>
      <c r="V85" s="109" t="inlineStr">
        <is>
          <t>Percepção</t>
        </is>
      </c>
      <c r="W85" s="16" t="n"/>
      <c r="X85" s="16" t="n"/>
      <c r="Y85" s="16" t="n"/>
      <c r="Z85" s="16" t="n"/>
      <c r="AA85" s="16" t="n"/>
      <c r="AB85" s="16" t="n"/>
      <c r="AC85" s="17" t="n"/>
      <c r="AD85" s="76" t="inlineStr">
        <is>
          <t>Ess</t>
        </is>
      </c>
      <c r="AE85" s="17" t="n"/>
      <c r="AF85" s="110">
        <f>IF(DADOS_CONFIG!$E$31&lt;&gt;"",NA(),IF(DADOS_CONFIG!$C$31=1,DADOS_CONFIG!$D$31,IF(DADOS_CONFIG!$B$31=0,$AJ$19 + IF(U85, $D$67 + INT($D$67 / 2), IF(T85, $D$67, 0)) + AH85,IF(($AJ$19 + IF(U85, $D$67 + INT($D$67 / 2), IF(T85, $D$67, 0)) + AH85)="","",($AJ$19 + IF(U85, $D$67 + INT($D$67 / 2), IF(T85, $D$67, 0)) + AH85)+DADOS_CONFIG!$B$31))))</f>
        <v/>
      </c>
      <c r="AG85" s="17" t="n"/>
      <c r="AH85" s="111" t="n"/>
      <c r="AI85" s="51" t="n"/>
      <c r="AJ85" s="51" t="n"/>
      <c r="AK85" s="113" t="n"/>
      <c r="AL85" s="19" t="n"/>
      <c r="AM85" s="19" t="n"/>
      <c r="AN85" s="19" t="n"/>
      <c r="AO85" s="19" t="n"/>
      <c r="AP85" s="19" t="n"/>
      <c r="AQ85" s="19" t="n"/>
      <c r="AR85" s="19" t="n"/>
      <c r="AS85" s="19" t="n"/>
      <c r="AT85" s="20" t="n"/>
      <c r="AW85" s="66" t="n"/>
    </row>
    <row r="86">
      <c r="A86" s="8" t="n"/>
      <c r="B86" s="14" t="n"/>
      <c r="C86" s="41" t="n"/>
      <c r="D86" s="108" t="n">
        <v>0</v>
      </c>
      <c r="E86" s="108" t="n">
        <v>0</v>
      </c>
      <c r="F86" s="109" t="inlineStr">
        <is>
          <t>Intuição</t>
        </is>
      </c>
      <c r="G86" s="16" t="n"/>
      <c r="H86" s="16" t="n"/>
      <c r="I86" s="16" t="n"/>
      <c r="J86" s="16" t="n"/>
      <c r="K86" s="16" t="n"/>
      <c r="L86" s="16" t="n"/>
      <c r="M86" s="17" t="n"/>
      <c r="N86" s="76" t="inlineStr">
        <is>
          <t>Int</t>
        </is>
      </c>
      <c r="O86" s="17" t="n"/>
      <c r="P86" s="110">
        <f>IF(DADOS_CONFIG!$E$20&lt;&gt;"",NA(),IF(DADOS_CONFIG!$C$20=1,DADOS_CONFIG!$D$20,IF(DADOS_CONFIG!$B$20=0,$AB$19 + IF(E86, $D$67 + INT($D$67 / 2), IF(D86, $D$67, 0)) + R86,IF(($AB$19 + IF(E86, $D$67 + INT($D$67 / 2), IF(D86, $D$67, 0)) + R86)="","",($AB$19 + IF(E86, $D$67 + INT($D$67 / 2), IF(D86, $D$67, 0)) + R86)+DADOS_CONFIG!$B$20))))</f>
        <v/>
      </c>
      <c r="Q86" s="17" t="n"/>
      <c r="R86" s="111" t="n"/>
      <c r="S86" s="51" t="n"/>
      <c r="T86" s="108" t="n">
        <v>0</v>
      </c>
      <c r="U86" s="108" t="n">
        <v>0</v>
      </c>
      <c r="V86" s="109" t="inlineStr">
        <is>
          <t>Persuasão</t>
        </is>
      </c>
      <c r="W86" s="16" t="n"/>
      <c r="X86" s="16" t="n"/>
      <c r="Y86" s="16" t="n"/>
      <c r="Z86" s="16" t="n"/>
      <c r="AA86" s="16" t="n"/>
      <c r="AB86" s="16" t="n"/>
      <c r="AC86" s="17" t="n"/>
      <c r="AD86" s="76" t="inlineStr">
        <is>
          <t>Ess</t>
        </is>
      </c>
      <c r="AE86" s="17" t="n"/>
      <c r="AF86" s="110">
        <f>IF(DADOS_CONFIG!$E$32&lt;&gt;"",NA(),IF(DADOS_CONFIG!$C$32=1,DADOS_CONFIG!$D$32,IF(DADOS_CONFIG!$B$32=0,$AJ$19 + IF(U86, $D$67 + INT($D$67 / 2), IF(T86, $D$67, 0)) + AH86,IF(($AJ$19 + IF(U86, $D$67 + INT($D$67 / 2), IF(T86, $D$67, 0)) + AH86)="","",($AJ$19 + IF(U86, $D$67 + INT($D$67 / 2), IF(T86, $D$67, 0)) + AH86)+DADOS_CONFIG!$B$32))))</f>
        <v/>
      </c>
      <c r="AG86" s="17" t="n"/>
      <c r="AH86" s="111" t="n"/>
      <c r="AI86" s="51" t="n"/>
      <c r="AJ86" s="51" t="n"/>
      <c r="AK86" s="23" t="n"/>
      <c r="AL86" s="24" t="n"/>
      <c r="AM86" s="24" t="n"/>
      <c r="AN86" s="24" t="n"/>
      <c r="AO86" s="24" t="n"/>
      <c r="AP86" s="24" t="n"/>
      <c r="AQ86" s="24" t="n"/>
      <c r="AR86" s="24" t="n"/>
      <c r="AS86" s="24" t="n"/>
      <c r="AT86" s="25" t="n"/>
      <c r="AW86" s="66" t="n"/>
    </row>
    <row r="87">
      <c r="A87" s="8" t="n"/>
      <c r="B87" s="14" t="n"/>
      <c r="C87" s="41" t="n"/>
      <c r="D87" s="108" t="n">
        <v>0</v>
      </c>
      <c r="E87" s="108" t="n">
        <v>0</v>
      </c>
      <c r="F87" s="109" t="inlineStr">
        <is>
          <t>Ocultismo</t>
        </is>
      </c>
      <c r="G87" s="16" t="n"/>
      <c r="H87" s="16" t="n"/>
      <c r="I87" s="16" t="n"/>
      <c r="J87" s="16" t="n"/>
      <c r="K87" s="16" t="n"/>
      <c r="L87" s="16" t="n"/>
      <c r="M87" s="17" t="n"/>
      <c r="N87" s="76" t="inlineStr">
        <is>
          <t>Int</t>
        </is>
      </c>
      <c r="O87" s="17" t="n"/>
      <c r="P87" s="110">
        <f>IF(DADOS_CONFIG!$E$21&lt;&gt;"",NA(),IF(DADOS_CONFIG!$C$21=1,DADOS_CONFIG!$D$21,IF(DADOS_CONFIG!$B$21=0,$AB$19 + IF(E87, $D$67 + INT($D$67 / 2), IF(D87, $D$67, 0)) + R87,IF(($AB$19 + IF(E87, $D$67 + INT($D$67 / 2), IF(D87, $D$67, 0)) + R87)="","",($AB$19 + IF(E87, $D$67 + INT($D$67 / 2), IF(D87, $D$67, 0)) + R87)+DADOS_CONFIG!$B$21))))</f>
        <v/>
      </c>
      <c r="Q87" s="17" t="n"/>
      <c r="R87" s="111" t="n"/>
      <c r="S87" s="51" t="n"/>
      <c r="T87" s="108" t="n">
        <v>0</v>
      </c>
      <c r="U87" s="108" t="n">
        <v>0</v>
      </c>
      <c r="V87" s="109" t="inlineStr">
        <is>
          <t>Enganação</t>
        </is>
      </c>
      <c r="W87" s="16" t="n"/>
      <c r="X87" s="16" t="n"/>
      <c r="Y87" s="16" t="n"/>
      <c r="Z87" s="16" t="n"/>
      <c r="AA87" s="16" t="n"/>
      <c r="AB87" s="16" t="n"/>
      <c r="AC87" s="17" t="n"/>
      <c r="AD87" s="76" t="inlineStr">
        <is>
          <t>Ess</t>
        </is>
      </c>
      <c r="AE87" s="17" t="n"/>
      <c r="AF87" s="110">
        <f>IF(DADOS_CONFIG!$E$33&lt;&gt;"",NA(),IF(DADOS_CONFIG!$C$33=1,DADOS_CONFIG!$D$33,IF(DADOS_CONFIG!$B$33=0,$AJ$19 + IF(U87, $D$67 + INT($D$67 / 2), IF(T87, $D$67, 0)) + AH87,IF(($AJ$19 + IF(U87, $D$67 + INT($D$67 / 2), IF(T87, $D$67, 0)) + AH87)="","",($AJ$19 + IF(U87, $D$67 + INT($D$67 / 2), IF(T87, $D$67, 0)) + AH87)+DADOS_CONFIG!$B$33))))</f>
        <v/>
      </c>
      <c r="AG87" s="17" t="n"/>
      <c r="AH87" s="111" t="n"/>
      <c r="AI87" s="51" t="n"/>
      <c r="AJ87" s="51" t="n"/>
      <c r="AK87" s="51" t="n"/>
      <c r="AL87" s="51" t="n"/>
      <c r="AM87" s="51" t="n"/>
      <c r="AW87" s="66" t="n"/>
    </row>
    <row r="88">
      <c r="A88" s="8" t="n"/>
      <c r="B88" s="14" t="n"/>
      <c r="C88" s="41" t="n"/>
      <c r="D88" s="108" t="n">
        <v>0</v>
      </c>
      <c r="E88" s="108" t="n">
        <v>0</v>
      </c>
      <c r="F88" s="109" t="inlineStr">
        <is>
          <t>Religião</t>
        </is>
      </c>
      <c r="G88" s="16" t="n"/>
      <c r="H88" s="16" t="n"/>
      <c r="I88" s="16" t="n"/>
      <c r="J88" s="16" t="n"/>
      <c r="K88" s="16" t="n"/>
      <c r="L88" s="16" t="n"/>
      <c r="M88" s="17" t="n"/>
      <c r="N88" s="76" t="inlineStr">
        <is>
          <t>Int</t>
        </is>
      </c>
      <c r="O88" s="17" t="n"/>
      <c r="P88" s="110">
        <f>IF(DADOS_CONFIG!$E$22&lt;&gt;"",NA(),IF(DADOS_CONFIG!$C$22=1,DADOS_CONFIG!$D$22,IF(DADOS_CONFIG!$B$22=0,$AB$19 + IF(E88, $D$67 + INT($D$67 / 2), IF(D88, $D$67, 0)) + R88,IF(($AB$19 + IF(E88, $D$67 + INT($D$67 / 2), IF(D88, $D$67, 0)) + R88)="","",($AB$19 + IF(E88, $D$67 + INT($D$67 / 2), IF(D88, $D$67, 0)) + R88)+DADOS_CONFIG!$B$22))))</f>
        <v/>
      </c>
      <c r="Q88" s="17" t="n"/>
      <c r="R88" s="111" t="n"/>
      <c r="S88" s="51" t="n"/>
      <c r="T88" s="108" t="n">
        <v>0</v>
      </c>
      <c r="U88" s="108" t="n">
        <v>0</v>
      </c>
      <c r="V88" s="109" t="inlineStr">
        <is>
          <t>Intimidação</t>
        </is>
      </c>
      <c r="W88" s="16" t="n"/>
      <c r="X88" s="16" t="n"/>
      <c r="Y88" s="16" t="n"/>
      <c r="Z88" s="16" t="n"/>
      <c r="AA88" s="16" t="n"/>
      <c r="AB88" s="16" t="n"/>
      <c r="AC88" s="17" t="n"/>
      <c r="AD88" s="76" t="inlineStr">
        <is>
          <t>Ess</t>
        </is>
      </c>
      <c r="AE88" s="17" t="n"/>
      <c r="AF88" s="110">
        <f>IF(DADOS_CONFIG!$E$34&lt;&gt;"",NA(),IF(DADOS_CONFIG!$C$34=1,DADOS_CONFIG!$D$34,IF(DADOS_CONFIG!$B$34=0,$AJ$19 + IF(U88, $D$67 + INT($D$67 / 2), IF(T88, $D$67, 0)) + AH88,IF(($AJ$19 + IF(U88, $D$67 + INT($D$67 / 2), IF(T88, $D$67, 0)) + AH88)="","",($AJ$19 + IF(U88, $D$67 + INT($D$67 / 2), IF(T88, $D$67, 0)) + AH88)+DADOS_CONFIG!$B$34))))</f>
        <v/>
      </c>
      <c r="AG88" s="17" t="n"/>
      <c r="AH88" s="111" t="n"/>
      <c r="AI88" s="51" t="n"/>
      <c r="AJ88" s="51" t="n"/>
      <c r="AK88" s="56" t="inlineStr">
        <is>
          <t>Perícias Disponíveis</t>
        </is>
      </c>
      <c r="AL88" s="16" t="n"/>
      <c r="AM88" s="16" t="n"/>
      <c r="AN88" s="16" t="n"/>
      <c r="AO88" s="16" t="n"/>
      <c r="AP88" s="16" t="n"/>
      <c r="AQ88" s="16" t="n"/>
      <c r="AR88" s="16" t="n"/>
      <c r="AS88" s="16" t="n"/>
      <c r="AT88" s="17" t="n"/>
      <c r="AW88" s="66" t="n"/>
    </row>
    <row r="89">
      <c r="A89" s="8" t="n"/>
      <c r="B89" s="14" t="n"/>
      <c r="C89" s="41" t="n"/>
      <c r="D89" s="108" t="n">
        <v>0</v>
      </c>
      <c r="E89" s="108" t="n">
        <v>0</v>
      </c>
      <c r="F89" s="109" t="inlineStr">
        <is>
          <t>História</t>
        </is>
      </c>
      <c r="G89" s="16" t="n"/>
      <c r="H89" s="16" t="n"/>
      <c r="I89" s="16" t="n"/>
      <c r="J89" s="16" t="n"/>
      <c r="K89" s="16" t="n"/>
      <c r="L89" s="16" t="n"/>
      <c r="M89" s="17" t="n"/>
      <c r="N89" s="76" t="inlineStr">
        <is>
          <t>Int</t>
        </is>
      </c>
      <c r="O89" s="17" t="n"/>
      <c r="P89" s="110">
        <f>IF(DADOS_CONFIG!$E$23&lt;&gt;"",NA(),IF(DADOS_CONFIG!$C$23=1,DADOS_CONFIG!$D$23,IF(DADOS_CONFIG!$B$23=0,$AB$19 + IF(E89, $D$67 + INT($D$67 / 2), IF(D89, $D$67, 0)) + R89,IF(($AB$19 + IF(E89, $D$67 + INT($D$67 / 2), IF(D89, $D$67, 0)) + R89)="","",($AB$19 + IF(E89, $D$67 + INT($D$67 / 2), IF(D89, $D$67, 0)) + R89)+DADOS_CONFIG!$B$23))))</f>
        <v/>
      </c>
      <c r="Q89" s="17" t="n"/>
      <c r="R89" s="111" t="n"/>
      <c r="S89" s="51" t="n"/>
      <c r="T89" s="108" t="n">
        <v>0</v>
      </c>
      <c r="U89" s="108" t="n">
        <v>0</v>
      </c>
      <c r="V89" s="109" t="inlineStr">
        <is>
          <t>Atuação</t>
        </is>
      </c>
      <c r="W89" s="16" t="n"/>
      <c r="X89" s="16" t="n"/>
      <c r="Y89" s="16" t="n"/>
      <c r="Z89" s="16" t="n"/>
      <c r="AA89" s="16" t="n"/>
      <c r="AB89" s="16" t="n"/>
      <c r="AC89" s="17" t="n"/>
      <c r="AD89" s="76" t="inlineStr">
        <is>
          <t>Ess</t>
        </is>
      </c>
      <c r="AE89" s="17" t="n"/>
      <c r="AF89" s="110">
        <f>IF(DADOS_CONFIG!$E$35&lt;&gt;"",NA(),IF(DADOS_CONFIG!$C$35=1,DADOS_CONFIG!$D$35,IF(DADOS_CONFIG!$B$35=0,$AJ$19 + IF(U89, $D$67 + INT($D$67 / 2), IF(T89, $D$67, 0)) + AH89,IF(($AJ$19 + IF(U89, $D$67 + INT($D$67 / 2), IF(T89, $D$67, 0)) + AH89)="","",($AJ$19 + IF(U89, $D$67 + INT($D$67 / 2), IF(T89, $D$67, 0)) + AH89)+DADOS_CONFIG!$B$35))))</f>
        <v/>
      </c>
      <c r="AG89" s="17" t="n"/>
      <c r="AH89" s="111" t="n"/>
      <c r="AI89" s="51" t="n"/>
      <c r="AJ89" s="51" t="n"/>
      <c r="AK89" s="105">
        <f>IF(AND(DADOS!$AK$15&gt;0,$AH$11&lt;10),"Especialização só no nível 10",IF(DADOS!$AK$24&gt;0,DADOS!$AK$24&amp;" a mais",DADOS!$AK$19+DADOS!$AK$21-DADOS!$AK$13&amp;" de "&amp;(DADOS!$AK$19+DADOS!$AK$21)))</f>
        <v/>
      </c>
      <c r="AL89" s="19" t="n"/>
      <c r="AM89" s="19" t="n"/>
      <c r="AN89" s="19" t="n"/>
      <c r="AO89" s="19" t="n"/>
      <c r="AP89" s="19" t="n"/>
      <c r="AQ89" s="19" t="n"/>
      <c r="AR89" s="19" t="n"/>
      <c r="AS89" s="19" t="n"/>
      <c r="AT89" s="20" t="n"/>
      <c r="AW89" s="66" t="n"/>
    </row>
    <row r="90">
      <c r="A90" s="8" t="n"/>
      <c r="B90" s="14" t="n"/>
      <c r="C90" s="41" t="n"/>
      <c r="D90" s="108" t="n">
        <v>0</v>
      </c>
      <c r="E90" s="108" t="n">
        <v>0</v>
      </c>
      <c r="F90" s="109" t="inlineStr">
        <is>
          <t>Hierarquia</t>
        </is>
      </c>
      <c r="G90" s="16" t="n"/>
      <c r="H90" s="16" t="n"/>
      <c r="I90" s="16" t="n"/>
      <c r="J90" s="16" t="n"/>
      <c r="K90" s="16" t="n"/>
      <c r="L90" s="16" t="n"/>
      <c r="M90" s="17" t="n"/>
      <c r="N90" s="76" t="inlineStr">
        <is>
          <t>Int</t>
        </is>
      </c>
      <c r="O90" s="17" t="n"/>
      <c r="P90" s="110">
        <f>IF(DADOS_CONFIG!$E$24&lt;&gt;"",NA(),IF(DADOS_CONFIG!$C$24=1,DADOS_CONFIG!$D$24,IF(DADOS_CONFIG!$B$24=0,$AB$19 + IF(E90, $D$67 + INT($D$67 / 2), IF(D90, $D$67, 0)) + R90,IF(($AB$19 + IF(E90, $D$67 + INT($D$67 / 2), IF(D90, $D$67, 0)) + R90)="","",($AB$19 + IF(E90, $D$67 + INT($D$67 / 2), IF(D90, $D$67, 0)) + R90)+DADOS_CONFIG!$B$24))))</f>
        <v/>
      </c>
      <c r="Q90" s="17" t="n"/>
      <c r="R90" s="111" t="n"/>
      <c r="S90" s="106" t="n"/>
      <c r="T90" s="108" t="n">
        <v>0</v>
      </c>
      <c r="U90" s="108" t="n">
        <v>0</v>
      </c>
      <c r="V90" s="109" t="inlineStr">
        <is>
          <t>Provocar</t>
        </is>
      </c>
      <c r="W90" s="16" t="n"/>
      <c r="X90" s="16" t="n"/>
      <c r="Y90" s="16" t="n"/>
      <c r="Z90" s="16" t="n"/>
      <c r="AA90" s="16" t="n"/>
      <c r="AB90" s="16" t="n"/>
      <c r="AC90" s="17" t="n"/>
      <c r="AD90" s="76" t="inlineStr">
        <is>
          <t>Ess</t>
        </is>
      </c>
      <c r="AE90" s="17" t="n"/>
      <c r="AF90" s="110">
        <f>IF(DADOS_CONFIG!$E$36&lt;&gt;"",NA(),IF(DADOS_CONFIG!$C$36=1,DADOS_CONFIG!$D$36,IF(DADOS_CONFIG!$B$36=0,$AJ$19 + IF(U90, $D$67 + INT($D$67 / 2), IF(T90, $D$67, 0)) + AH90,IF(($AJ$19 + IF(U90, $D$67 + INT($D$67 / 2), IF(T90, $D$67, 0)) + AH90)="","",($AJ$19 + IF(U90, $D$67 + INT($D$67 / 2), IF(T90, $D$67, 0)) + AH90)+DADOS_CONFIG!$B$36))))</f>
        <v/>
      </c>
      <c r="AG90" s="17" t="n"/>
      <c r="AH90" s="111" t="n"/>
      <c r="AI90" s="51" t="n"/>
      <c r="AJ90" s="51" t="n"/>
      <c r="AK90" s="23" t="n"/>
      <c r="AL90" s="24" t="n"/>
      <c r="AM90" s="24" t="n"/>
      <c r="AN90" s="24" t="n"/>
      <c r="AO90" s="24" t="n"/>
      <c r="AP90" s="24" t="n"/>
      <c r="AQ90" s="24" t="n"/>
      <c r="AR90" s="24" t="n"/>
      <c r="AS90" s="24" t="n"/>
      <c r="AT90" s="25" t="n"/>
      <c r="AW90" s="66" t="n"/>
    </row>
    <row r="91" ht="18.75" customHeight="1">
      <c r="A91" s="8" t="n"/>
      <c r="B91" s="14" t="n"/>
      <c r="C91" s="41" t="n"/>
      <c r="D91" s="101" t="inlineStr">
        <is>
          <t>PERÍCIAS CUSTOM · CONFIGURAÇÃO</t>
        </is>
      </c>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c r="AE91" s="16" t="n"/>
      <c r="AF91" s="16" t="n"/>
      <c r="AG91" s="16" t="n"/>
      <c r="AH91" s="16" t="n"/>
      <c r="AI91" s="16" t="n"/>
      <c r="AJ91" s="16" t="n"/>
      <c r="AK91" s="16" t="n"/>
      <c r="AL91" s="16" t="n"/>
      <c r="AM91" s="16" t="n"/>
      <c r="AN91" s="16" t="n"/>
      <c r="AO91" s="16" t="n"/>
      <c r="AP91" s="16" t="n"/>
      <c r="AQ91" s="16" t="n"/>
      <c r="AR91" s="16" t="n"/>
      <c r="AS91" s="16" t="n"/>
      <c r="AT91" s="17" t="n"/>
      <c r="AW91" s="66" t="n"/>
    </row>
    <row r="92" hidden="1" outlineLevel="1" ht="31.5" customHeight="1">
      <c r="D92" s="114">
        <f>IF(COUNTIF('DADOS_PROGRESSAO'!$AV$2:$AV$11,"?*")=0,"","T = treino; E = especialização. Usam os mesmos limites do livro. Edite o cadastro em CONFIGURAÇÃO.")</f>
        <v/>
      </c>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c r="AE92" s="16" t="n"/>
      <c r="AF92" s="16" t="n"/>
      <c r="AG92" s="16" t="n"/>
      <c r="AH92" s="16" t="n"/>
      <c r="AI92" s="16" t="n"/>
      <c r="AJ92" s="16" t="n"/>
      <c r="AK92" s="16" t="n"/>
      <c r="AL92" s="16" t="n"/>
      <c r="AM92" s="16" t="n"/>
      <c r="AN92" s="16" t="n"/>
      <c r="AO92" s="16" t="n"/>
      <c r="AP92" s="16" t="n"/>
      <c r="AQ92" s="16" t="n"/>
      <c r="AR92" s="16" t="n"/>
      <c r="AS92" s="16" t="n"/>
      <c r="AT92" s="17" t="n"/>
      <c r="AW92" s="66" t="n"/>
    </row>
    <row r="93" hidden="1" outlineLevel="1" ht="18.75" customHeight="1">
      <c r="D93" s="115">
        <f>IF(COUNTIF('DADOS_PROGRESSAO'!$AV$2:$AV$11,"?*")=0,"","T")</f>
        <v/>
      </c>
      <c r="E93" s="115">
        <f>IF(COUNTIF('DADOS_PROGRESSAO'!$AV$2:$AV$11,"?*")=0,"","E")</f>
        <v/>
      </c>
      <c r="F93" s="115">
        <f>IF(COUNTIF('DADOS_PROGRESSAO'!$AV$2:$AV$11,"?*")=0,"","NOME")</f>
        <v/>
      </c>
      <c r="G93" s="16" t="n"/>
      <c r="H93" s="16" t="n"/>
      <c r="I93" s="16" t="n"/>
      <c r="J93" s="16" t="n"/>
      <c r="K93" s="16" t="n"/>
      <c r="L93" s="16" t="n"/>
      <c r="M93" s="16" t="n"/>
      <c r="N93" s="16" t="n"/>
      <c r="O93" s="16" t="n"/>
      <c r="P93" s="16" t="n"/>
      <c r="Q93" s="16" t="n"/>
      <c r="R93" s="16" t="n"/>
      <c r="S93" s="16" t="n"/>
      <c r="T93" s="16" t="n"/>
      <c r="U93" s="16" t="n"/>
      <c r="V93" s="17" t="n"/>
      <c r="W93" s="115">
        <f>IF(COUNTIF('DADOS_PROGRESSAO'!$AV$2:$AV$11,"?*")=0,"","ATRIBUTO")</f>
        <v/>
      </c>
      <c r="X93" s="16" t="n"/>
      <c r="Y93" s="16" t="n"/>
      <c r="Z93" s="16" t="n"/>
      <c r="AA93" s="16" t="n"/>
      <c r="AB93" s="16" t="n"/>
      <c r="AC93" s="17" t="n"/>
      <c r="AD93" s="115">
        <f>IF(COUNTIF('DADOS_PROGRESSAO'!$AV$2:$AV$11,"?*")=0,"","TOTAL")</f>
        <v/>
      </c>
      <c r="AE93" s="16" t="n"/>
      <c r="AF93" s="16" t="n"/>
      <c r="AG93" s="16" t="n"/>
      <c r="AH93" s="16" t="n"/>
      <c r="AI93" s="16" t="n"/>
      <c r="AJ93" s="16" t="n"/>
      <c r="AK93" s="17" t="n"/>
      <c r="AL93" s="115">
        <f>IF(COUNTIF('DADOS_PROGRESSAO'!$AV$2:$AV$11,"?*")=0,"","BÔNUS")</f>
        <v/>
      </c>
      <c r="AM93" s="16" t="n"/>
      <c r="AN93" s="16" t="n"/>
      <c r="AO93" s="16" t="n"/>
      <c r="AP93" s="16" t="n"/>
      <c r="AQ93" s="16" t="n"/>
      <c r="AR93" s="16" t="n"/>
      <c r="AS93" s="16" t="n"/>
      <c r="AT93" s="17" t="n"/>
      <c r="AW93" s="66" t="n"/>
    </row>
    <row r="94" hidden="1" outlineLevel="1" ht="18.75" customHeight="1">
      <c r="D94" s="108" t="b">
        <v>0</v>
      </c>
      <c r="E94" s="108" t="b">
        <v>0</v>
      </c>
      <c r="F94" s="116">
        <f>'DADOS_PROGRESSAO'!$AV$2</f>
        <v/>
      </c>
      <c r="G94" s="16" t="n"/>
      <c r="H94" s="16" t="n"/>
      <c r="I94" s="16" t="n"/>
      <c r="J94" s="16" t="n"/>
      <c r="K94" s="16" t="n"/>
      <c r="L94" s="16" t="n"/>
      <c r="M94" s="16" t="n"/>
      <c r="N94" s="16" t="n"/>
      <c r="O94" s="16" t="n"/>
      <c r="P94" s="16" t="n"/>
      <c r="Q94" s="16" t="n"/>
      <c r="R94" s="16" t="n"/>
      <c r="S94" s="16" t="n"/>
      <c r="T94" s="16" t="n"/>
      <c r="U94" s="16" t="n"/>
      <c r="V94" s="17" t="n"/>
      <c r="W94" s="116">
        <f>N439</f>
        <v/>
      </c>
      <c r="X94" s="16" t="n"/>
      <c r="Y94" s="16" t="n"/>
      <c r="Z94" s="16" t="n"/>
      <c r="AA94" s="16" t="n"/>
      <c r="AB94" s="16" t="n"/>
      <c r="AC94" s="17" t="n"/>
      <c r="AD94" s="116">
        <f>R439</f>
        <v/>
      </c>
      <c r="AE94" s="16" t="n"/>
      <c r="AF94" s="16" t="n"/>
      <c r="AG94" s="16" t="n"/>
      <c r="AH94" s="16" t="n"/>
      <c r="AI94" s="16" t="n"/>
      <c r="AJ94" s="16" t="n"/>
      <c r="AK94" s="17" t="n"/>
      <c r="AL94" s="116" t="n"/>
      <c r="AM94" s="16" t="n"/>
      <c r="AN94" s="16" t="n"/>
      <c r="AO94" s="16" t="n"/>
      <c r="AP94" s="16" t="n"/>
      <c r="AQ94" s="16" t="n"/>
      <c r="AR94" s="16" t="n"/>
      <c r="AS94" s="16" t="n"/>
      <c r="AT94" s="17" t="n"/>
      <c r="AW94" s="66" t="n"/>
    </row>
    <row r="95" hidden="1" outlineLevel="1" ht="18.75" customHeight="1">
      <c r="D95" s="108" t="b">
        <v>0</v>
      </c>
      <c r="E95" s="108" t="b">
        <v>0</v>
      </c>
      <c r="F95" s="116">
        <f>'DADOS_PROGRESSAO'!$AV$3</f>
        <v/>
      </c>
      <c r="G95" s="16" t="n"/>
      <c r="H95" s="16" t="n"/>
      <c r="I95" s="16" t="n"/>
      <c r="J95" s="16" t="n"/>
      <c r="K95" s="16" t="n"/>
      <c r="L95" s="16" t="n"/>
      <c r="M95" s="16" t="n"/>
      <c r="N95" s="16" t="n"/>
      <c r="O95" s="16" t="n"/>
      <c r="P95" s="16" t="n"/>
      <c r="Q95" s="16" t="n"/>
      <c r="R95" s="16" t="n"/>
      <c r="S95" s="16" t="n"/>
      <c r="T95" s="16" t="n"/>
      <c r="U95" s="16" t="n"/>
      <c r="V95" s="17" t="n"/>
      <c r="W95" s="116">
        <f>N440</f>
        <v/>
      </c>
      <c r="X95" s="16" t="n"/>
      <c r="Y95" s="16" t="n"/>
      <c r="Z95" s="16" t="n"/>
      <c r="AA95" s="16" t="n"/>
      <c r="AB95" s="16" t="n"/>
      <c r="AC95" s="17" t="n"/>
      <c r="AD95" s="116">
        <f>R440</f>
        <v/>
      </c>
      <c r="AE95" s="16" t="n"/>
      <c r="AF95" s="16" t="n"/>
      <c r="AG95" s="16" t="n"/>
      <c r="AH95" s="16" t="n"/>
      <c r="AI95" s="16" t="n"/>
      <c r="AJ95" s="16" t="n"/>
      <c r="AK95" s="17" t="n"/>
      <c r="AL95" s="116" t="n"/>
      <c r="AM95" s="16" t="n"/>
      <c r="AN95" s="16" t="n"/>
      <c r="AO95" s="16" t="n"/>
      <c r="AP95" s="16" t="n"/>
      <c r="AQ95" s="16" t="n"/>
      <c r="AR95" s="16" t="n"/>
      <c r="AS95" s="16" t="n"/>
      <c r="AT95" s="17" t="n"/>
      <c r="AW95" s="66" t="n"/>
    </row>
    <row r="96" hidden="1" outlineLevel="1" ht="18.75" customHeight="1">
      <c r="D96" s="108" t="b">
        <v>0</v>
      </c>
      <c r="E96" s="108" t="b">
        <v>0</v>
      </c>
      <c r="F96" s="116">
        <f>'DADOS_PROGRESSAO'!$AV$4</f>
        <v/>
      </c>
      <c r="G96" s="16" t="n"/>
      <c r="H96" s="16" t="n"/>
      <c r="I96" s="16" t="n"/>
      <c r="J96" s="16" t="n"/>
      <c r="K96" s="16" t="n"/>
      <c r="L96" s="16" t="n"/>
      <c r="M96" s="16" t="n"/>
      <c r="N96" s="16" t="n"/>
      <c r="O96" s="16" t="n"/>
      <c r="P96" s="16" t="n"/>
      <c r="Q96" s="16" t="n"/>
      <c r="R96" s="16" t="n"/>
      <c r="S96" s="16" t="n"/>
      <c r="T96" s="16" t="n"/>
      <c r="U96" s="16" t="n"/>
      <c r="V96" s="17" t="n"/>
      <c r="W96" s="116">
        <f>N441</f>
        <v/>
      </c>
      <c r="X96" s="16" t="n"/>
      <c r="Y96" s="16" t="n"/>
      <c r="Z96" s="16" t="n"/>
      <c r="AA96" s="16" t="n"/>
      <c r="AB96" s="16" t="n"/>
      <c r="AC96" s="17" t="n"/>
      <c r="AD96" s="116">
        <f>R441</f>
        <v/>
      </c>
      <c r="AE96" s="16" t="n"/>
      <c r="AF96" s="16" t="n"/>
      <c r="AG96" s="16" t="n"/>
      <c r="AH96" s="16" t="n"/>
      <c r="AI96" s="16" t="n"/>
      <c r="AJ96" s="16" t="n"/>
      <c r="AK96" s="17" t="n"/>
      <c r="AL96" s="116" t="n"/>
      <c r="AM96" s="16" t="n"/>
      <c r="AN96" s="16" t="n"/>
      <c r="AO96" s="16" t="n"/>
      <c r="AP96" s="16" t="n"/>
      <c r="AQ96" s="16" t="n"/>
      <c r="AR96" s="16" t="n"/>
      <c r="AS96" s="16" t="n"/>
      <c r="AT96" s="17" t="n"/>
      <c r="AW96" s="66" t="n"/>
    </row>
    <row r="97" hidden="1" outlineLevel="1" ht="18.75" customHeight="1">
      <c r="D97" s="108" t="b">
        <v>0</v>
      </c>
      <c r="E97" s="108" t="b">
        <v>0</v>
      </c>
      <c r="F97" s="116">
        <f>'DADOS_PROGRESSAO'!$AV$5</f>
        <v/>
      </c>
      <c r="G97" s="16" t="n"/>
      <c r="H97" s="16" t="n"/>
      <c r="I97" s="16" t="n"/>
      <c r="J97" s="16" t="n"/>
      <c r="K97" s="16" t="n"/>
      <c r="L97" s="16" t="n"/>
      <c r="M97" s="16" t="n"/>
      <c r="N97" s="16" t="n"/>
      <c r="O97" s="16" t="n"/>
      <c r="P97" s="16" t="n"/>
      <c r="Q97" s="16" t="n"/>
      <c r="R97" s="16" t="n"/>
      <c r="S97" s="16" t="n"/>
      <c r="T97" s="16" t="n"/>
      <c r="U97" s="16" t="n"/>
      <c r="V97" s="17" t="n"/>
      <c r="W97" s="116">
        <f>N442</f>
        <v/>
      </c>
      <c r="X97" s="16" t="n"/>
      <c r="Y97" s="16" t="n"/>
      <c r="Z97" s="16" t="n"/>
      <c r="AA97" s="16" t="n"/>
      <c r="AB97" s="16" t="n"/>
      <c r="AC97" s="17" t="n"/>
      <c r="AD97" s="116">
        <f>R442</f>
        <v/>
      </c>
      <c r="AE97" s="16" t="n"/>
      <c r="AF97" s="16" t="n"/>
      <c r="AG97" s="16" t="n"/>
      <c r="AH97" s="16" t="n"/>
      <c r="AI97" s="16" t="n"/>
      <c r="AJ97" s="16" t="n"/>
      <c r="AK97" s="17" t="n"/>
      <c r="AL97" s="116" t="n"/>
      <c r="AM97" s="16" t="n"/>
      <c r="AN97" s="16" t="n"/>
      <c r="AO97" s="16" t="n"/>
      <c r="AP97" s="16" t="n"/>
      <c r="AQ97" s="16" t="n"/>
      <c r="AR97" s="16" t="n"/>
      <c r="AS97" s="16" t="n"/>
      <c r="AT97" s="17" t="n"/>
      <c r="AW97" s="66" t="n"/>
    </row>
    <row r="98" hidden="1" outlineLevel="1" ht="18.75" customHeight="1">
      <c r="D98" s="108" t="b">
        <v>0</v>
      </c>
      <c r="E98" s="108" t="b">
        <v>0</v>
      </c>
      <c r="F98" s="116">
        <f>'DADOS_PROGRESSAO'!$AV$6</f>
        <v/>
      </c>
      <c r="G98" s="16" t="n"/>
      <c r="H98" s="16" t="n"/>
      <c r="I98" s="16" t="n"/>
      <c r="J98" s="16" t="n"/>
      <c r="K98" s="16" t="n"/>
      <c r="L98" s="16" t="n"/>
      <c r="M98" s="16" t="n"/>
      <c r="N98" s="16" t="n"/>
      <c r="O98" s="16" t="n"/>
      <c r="P98" s="16" t="n"/>
      <c r="Q98" s="16" t="n"/>
      <c r="R98" s="16" t="n"/>
      <c r="S98" s="16" t="n"/>
      <c r="T98" s="16" t="n"/>
      <c r="U98" s="16" t="n"/>
      <c r="V98" s="17" t="n"/>
      <c r="W98" s="116">
        <f>N443</f>
        <v/>
      </c>
      <c r="X98" s="16" t="n"/>
      <c r="Y98" s="16" t="n"/>
      <c r="Z98" s="16" t="n"/>
      <c r="AA98" s="16" t="n"/>
      <c r="AB98" s="16" t="n"/>
      <c r="AC98" s="17" t="n"/>
      <c r="AD98" s="116">
        <f>R443</f>
        <v/>
      </c>
      <c r="AE98" s="16" t="n"/>
      <c r="AF98" s="16" t="n"/>
      <c r="AG98" s="16" t="n"/>
      <c r="AH98" s="16" t="n"/>
      <c r="AI98" s="16" t="n"/>
      <c r="AJ98" s="16" t="n"/>
      <c r="AK98" s="17" t="n"/>
      <c r="AL98" s="116" t="n"/>
      <c r="AM98" s="16" t="n"/>
      <c r="AN98" s="16" t="n"/>
      <c r="AO98" s="16" t="n"/>
      <c r="AP98" s="16" t="n"/>
      <c r="AQ98" s="16" t="n"/>
      <c r="AR98" s="16" t="n"/>
      <c r="AS98" s="16" t="n"/>
      <c r="AT98" s="17" t="n"/>
      <c r="AW98" s="66" t="n"/>
    </row>
    <row r="99" hidden="1" outlineLevel="1" ht="18.75" customHeight="1">
      <c r="D99" s="108" t="b">
        <v>0</v>
      </c>
      <c r="E99" s="108" t="b">
        <v>0</v>
      </c>
      <c r="F99" s="116">
        <f>'DADOS_PROGRESSAO'!$AV$7</f>
        <v/>
      </c>
      <c r="G99" s="16" t="n"/>
      <c r="H99" s="16" t="n"/>
      <c r="I99" s="16" t="n"/>
      <c r="J99" s="16" t="n"/>
      <c r="K99" s="16" t="n"/>
      <c r="L99" s="16" t="n"/>
      <c r="M99" s="16" t="n"/>
      <c r="N99" s="16" t="n"/>
      <c r="O99" s="16" t="n"/>
      <c r="P99" s="16" t="n"/>
      <c r="Q99" s="16" t="n"/>
      <c r="R99" s="16" t="n"/>
      <c r="S99" s="16" t="n"/>
      <c r="T99" s="16" t="n"/>
      <c r="U99" s="16" t="n"/>
      <c r="V99" s="17" t="n"/>
      <c r="W99" s="116">
        <f>N444</f>
        <v/>
      </c>
      <c r="X99" s="16" t="n"/>
      <c r="Y99" s="16" t="n"/>
      <c r="Z99" s="16" t="n"/>
      <c r="AA99" s="16" t="n"/>
      <c r="AB99" s="16" t="n"/>
      <c r="AC99" s="17" t="n"/>
      <c r="AD99" s="116">
        <f>R444</f>
        <v/>
      </c>
      <c r="AE99" s="16" t="n"/>
      <c r="AF99" s="16" t="n"/>
      <c r="AG99" s="16" t="n"/>
      <c r="AH99" s="16" t="n"/>
      <c r="AI99" s="16" t="n"/>
      <c r="AJ99" s="16" t="n"/>
      <c r="AK99" s="17" t="n"/>
      <c r="AL99" s="116" t="n"/>
      <c r="AM99" s="16" t="n"/>
      <c r="AN99" s="16" t="n"/>
      <c r="AO99" s="16" t="n"/>
      <c r="AP99" s="16" t="n"/>
      <c r="AQ99" s="16" t="n"/>
      <c r="AR99" s="16" t="n"/>
      <c r="AS99" s="16" t="n"/>
      <c r="AT99" s="17" t="n"/>
      <c r="AW99" s="66" t="n"/>
    </row>
    <row r="100" hidden="1" outlineLevel="1" ht="18.75" customHeight="1">
      <c r="D100" s="108" t="b">
        <v>0</v>
      </c>
      <c r="E100" s="108" t="b">
        <v>0</v>
      </c>
      <c r="F100" s="116">
        <f>'DADOS_PROGRESSAO'!$AV$8</f>
        <v/>
      </c>
      <c r="G100" s="16" t="n"/>
      <c r="H100" s="16" t="n"/>
      <c r="I100" s="16" t="n"/>
      <c r="J100" s="16" t="n"/>
      <c r="K100" s="16" t="n"/>
      <c r="L100" s="16" t="n"/>
      <c r="M100" s="16" t="n"/>
      <c r="N100" s="16" t="n"/>
      <c r="O100" s="16" t="n"/>
      <c r="P100" s="16" t="n"/>
      <c r="Q100" s="16" t="n"/>
      <c r="R100" s="16" t="n"/>
      <c r="S100" s="16" t="n"/>
      <c r="T100" s="16" t="n"/>
      <c r="U100" s="16" t="n"/>
      <c r="V100" s="17" t="n"/>
      <c r="W100" s="116">
        <f>N445</f>
        <v/>
      </c>
      <c r="X100" s="16" t="n"/>
      <c r="Y100" s="16" t="n"/>
      <c r="Z100" s="16" t="n"/>
      <c r="AA100" s="16" t="n"/>
      <c r="AB100" s="16" t="n"/>
      <c r="AC100" s="17" t="n"/>
      <c r="AD100" s="116">
        <f>R445</f>
        <v/>
      </c>
      <c r="AE100" s="16" t="n"/>
      <c r="AF100" s="16" t="n"/>
      <c r="AG100" s="16" t="n"/>
      <c r="AH100" s="16" t="n"/>
      <c r="AI100" s="16" t="n"/>
      <c r="AJ100" s="16" t="n"/>
      <c r="AK100" s="17" t="n"/>
      <c r="AL100" s="116" t="n"/>
      <c r="AM100" s="16" t="n"/>
      <c r="AN100" s="16" t="n"/>
      <c r="AO100" s="16" t="n"/>
      <c r="AP100" s="16" t="n"/>
      <c r="AQ100" s="16" t="n"/>
      <c r="AR100" s="16" t="n"/>
      <c r="AS100" s="16" t="n"/>
      <c r="AT100" s="17" t="n"/>
      <c r="AW100" s="66" t="n"/>
    </row>
    <row r="101" hidden="1" outlineLevel="1" ht="18.75" customHeight="1">
      <c r="D101" s="108" t="b">
        <v>0</v>
      </c>
      <c r="E101" s="108" t="b">
        <v>0</v>
      </c>
      <c r="F101" s="116">
        <f>'DADOS_PROGRESSAO'!$AV$9</f>
        <v/>
      </c>
      <c r="G101" s="16" t="n"/>
      <c r="H101" s="16" t="n"/>
      <c r="I101" s="16" t="n"/>
      <c r="J101" s="16" t="n"/>
      <c r="K101" s="16" t="n"/>
      <c r="L101" s="16" t="n"/>
      <c r="M101" s="16" t="n"/>
      <c r="N101" s="16" t="n"/>
      <c r="O101" s="16" t="n"/>
      <c r="P101" s="16" t="n"/>
      <c r="Q101" s="16" t="n"/>
      <c r="R101" s="16" t="n"/>
      <c r="S101" s="16" t="n"/>
      <c r="T101" s="16" t="n"/>
      <c r="U101" s="16" t="n"/>
      <c r="V101" s="17" t="n"/>
      <c r="W101" s="116">
        <f>N446</f>
        <v/>
      </c>
      <c r="X101" s="16" t="n"/>
      <c r="Y101" s="16" t="n"/>
      <c r="Z101" s="16" t="n"/>
      <c r="AA101" s="16" t="n"/>
      <c r="AB101" s="16" t="n"/>
      <c r="AC101" s="17" t="n"/>
      <c r="AD101" s="116">
        <f>R446</f>
        <v/>
      </c>
      <c r="AE101" s="16" t="n"/>
      <c r="AF101" s="16" t="n"/>
      <c r="AG101" s="16" t="n"/>
      <c r="AH101" s="16" t="n"/>
      <c r="AI101" s="16" t="n"/>
      <c r="AJ101" s="16" t="n"/>
      <c r="AK101" s="17" t="n"/>
      <c r="AL101" s="116" t="n"/>
      <c r="AM101" s="16" t="n"/>
      <c r="AN101" s="16" t="n"/>
      <c r="AO101" s="16" t="n"/>
      <c r="AP101" s="16" t="n"/>
      <c r="AQ101" s="16" t="n"/>
      <c r="AR101" s="16" t="n"/>
      <c r="AS101" s="16" t="n"/>
      <c r="AT101" s="17" t="n"/>
      <c r="AW101" s="66" t="n"/>
    </row>
    <row r="102" hidden="1" outlineLevel="1" ht="18.75" customHeight="1">
      <c r="D102" s="108" t="b">
        <v>0</v>
      </c>
      <c r="E102" s="108" t="b">
        <v>0</v>
      </c>
      <c r="F102" s="116">
        <f>'DADOS_PROGRESSAO'!$AV$10</f>
        <v/>
      </c>
      <c r="G102" s="16" t="n"/>
      <c r="H102" s="16" t="n"/>
      <c r="I102" s="16" t="n"/>
      <c r="J102" s="16" t="n"/>
      <c r="K102" s="16" t="n"/>
      <c r="L102" s="16" t="n"/>
      <c r="M102" s="16" t="n"/>
      <c r="N102" s="16" t="n"/>
      <c r="O102" s="16" t="n"/>
      <c r="P102" s="16" t="n"/>
      <c r="Q102" s="16" t="n"/>
      <c r="R102" s="16" t="n"/>
      <c r="S102" s="16" t="n"/>
      <c r="T102" s="16" t="n"/>
      <c r="U102" s="16" t="n"/>
      <c r="V102" s="17" t="n"/>
      <c r="W102" s="116">
        <f>N447</f>
        <v/>
      </c>
      <c r="X102" s="16" t="n"/>
      <c r="Y102" s="16" t="n"/>
      <c r="Z102" s="16" t="n"/>
      <c r="AA102" s="16" t="n"/>
      <c r="AB102" s="16" t="n"/>
      <c r="AC102" s="17" t="n"/>
      <c r="AD102" s="116">
        <f>R447</f>
        <v/>
      </c>
      <c r="AE102" s="16" t="n"/>
      <c r="AF102" s="16" t="n"/>
      <c r="AG102" s="16" t="n"/>
      <c r="AH102" s="16" t="n"/>
      <c r="AI102" s="16" t="n"/>
      <c r="AJ102" s="16" t="n"/>
      <c r="AK102" s="17" t="n"/>
      <c r="AL102" s="116" t="n"/>
      <c r="AM102" s="16" t="n"/>
      <c r="AN102" s="16" t="n"/>
      <c r="AO102" s="16" t="n"/>
      <c r="AP102" s="16" t="n"/>
      <c r="AQ102" s="16" t="n"/>
      <c r="AR102" s="16" t="n"/>
      <c r="AS102" s="16" t="n"/>
      <c r="AT102" s="17" t="n"/>
      <c r="AW102" s="66" t="n"/>
    </row>
    <row r="103" hidden="1" outlineLevel="1" ht="18.75" customHeight="1">
      <c r="D103" s="108" t="b">
        <v>0</v>
      </c>
      <c r="E103" s="108" t="b">
        <v>0</v>
      </c>
      <c r="F103" s="116">
        <f>'DADOS_PROGRESSAO'!$AV$11</f>
        <v/>
      </c>
      <c r="G103" s="16" t="n"/>
      <c r="H103" s="16" t="n"/>
      <c r="I103" s="16" t="n"/>
      <c r="J103" s="16" t="n"/>
      <c r="K103" s="16" t="n"/>
      <c r="L103" s="16" t="n"/>
      <c r="M103" s="16" t="n"/>
      <c r="N103" s="16" t="n"/>
      <c r="O103" s="16" t="n"/>
      <c r="P103" s="16" t="n"/>
      <c r="Q103" s="16" t="n"/>
      <c r="R103" s="16" t="n"/>
      <c r="S103" s="16" t="n"/>
      <c r="T103" s="16" t="n"/>
      <c r="U103" s="16" t="n"/>
      <c r="V103" s="17" t="n"/>
      <c r="W103" s="116">
        <f>N448</f>
        <v/>
      </c>
      <c r="X103" s="16" t="n"/>
      <c r="Y103" s="16" t="n"/>
      <c r="Z103" s="16" t="n"/>
      <c r="AA103" s="16" t="n"/>
      <c r="AB103" s="16" t="n"/>
      <c r="AC103" s="17" t="n"/>
      <c r="AD103" s="116">
        <f>R448</f>
        <v/>
      </c>
      <c r="AE103" s="16" t="n"/>
      <c r="AF103" s="16" t="n"/>
      <c r="AG103" s="16" t="n"/>
      <c r="AH103" s="16" t="n"/>
      <c r="AI103" s="16" t="n"/>
      <c r="AJ103" s="16" t="n"/>
      <c r="AK103" s="17" t="n"/>
      <c r="AL103" s="116" t="n"/>
      <c r="AM103" s="16" t="n"/>
      <c r="AN103" s="16" t="n"/>
      <c r="AO103" s="16" t="n"/>
      <c r="AP103" s="16" t="n"/>
      <c r="AQ103" s="16" t="n"/>
      <c r="AR103" s="16" t="n"/>
      <c r="AS103" s="16" t="n"/>
      <c r="AT103" s="17" t="n"/>
      <c r="AW103" s="66" t="n"/>
    </row>
    <row r="104" hidden="1" outlineLevel="1" ht="18.75" customHeight="1">
      <c r="AW104" s="66" t="n"/>
    </row>
    <row r="105" ht="27" customHeight="1">
      <c r="A105" s="8" t="n"/>
      <c r="B105" s="14" t="n"/>
      <c r="C105" s="41" t="n"/>
      <c r="D105" s="69" t="n">
        <v>6</v>
      </c>
      <c r="E105" s="19" t="n"/>
      <c r="F105" s="20" t="n"/>
      <c r="G105" s="101" t="inlineStr">
        <is>
          <t>OFÍCIOS E TESTES DE RESISTÊNCIA</t>
        </is>
      </c>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c r="AE105" s="16" t="n"/>
      <c r="AF105" s="16" t="n"/>
      <c r="AG105" s="16" t="n"/>
      <c r="AH105" s="17" t="n"/>
      <c r="AI105" s="51" t="n"/>
      <c r="AJ105" s="51" t="n"/>
      <c r="AK105" s="117">
        <f>IF(AND(DADOS!$AK$15&gt;0,$AH$11&lt;10),"Especialização só no nível 10: tire a marcação",IF(DADOS!$AK$24&gt;0,"Marcou "&amp;DADOS!$AK$24&amp;" a mais: tire uma perícia, um ofício ou uma especialização",IF(DADOS!$AK$25+DADOS!$AK$26+DADOS!$AK$23=0,"Tudo escolhido","Falta: "&amp;IF(DADOS!$AK$25&gt;0,DADOS!$AK$25&amp;IF(DADOS!$AK$25=1," perícia"," perícias"),"")&amp;IF(AND(DADOS!$AK$26&gt;0,OR(DADOS!$AK$25&gt;0)),IF(OR(DADOS!$AK$23&gt;0),", "," e "),"")&amp;IF(DADOS!$AK$26&gt;0,DADOS!$AK$26&amp;IF(DADOS!$AK$26=1," ofício"," ofícios"),"")&amp;IF(AND(DADOS!$AK$23&gt;0,OR(DADOS!$AK$25&gt;0,DADOS!$AK$26&gt;0))," e ","")&amp;IF(DADOS!$AK$23&gt;0,DADOS!$AK$23&amp;IF(DADOS!$AK$23=1," escolha de Corpo"," escolhas de Corpo"),"")&amp;IF(AND(DADOS!$AK$23&gt;0,DADOS!$AK$25+DADOS!$AK$26=0)," (+1 perícia, +1 ofício"&amp;IF($AH$11&gt;=10," ou uma especialização","")&amp;")","")&amp;IF(AND(DADOS!$AK$17=1,DADOS!$AK$14&lt;=0),", ou "&amp;IF(DADOS!$AK$27&gt;0,DADOS!$AK$27&amp;IF(DADOS!$AK$27=1," perícia"," perícias"),"")&amp;IF(AND(DADOS!$AK$28&gt;0,OR(DADOS!$AK$27&gt;0))," e ","")&amp;IF(DADOS!$AK$28&gt;0,DADOS!$AK$28&amp;IF(DADOS!$AK$28=1," escolha de Corpo"," escolhas de Corpo"),"")&amp;" sem ofício",""))))</f>
        <v/>
      </c>
      <c r="AL105" s="16" t="n"/>
      <c r="AM105" s="16" t="n"/>
      <c r="AN105" s="16" t="n"/>
      <c r="AO105" s="16" t="n"/>
      <c r="AP105" s="16" t="n"/>
      <c r="AQ105" s="16" t="n"/>
      <c r="AR105" s="16" t="n"/>
      <c r="AS105" s="16" t="n"/>
      <c r="AT105" s="17" t="n"/>
      <c r="AW105" s="66" t="n"/>
    </row>
    <row r="106">
      <c r="A106" s="8" t="n"/>
      <c r="B106" s="14" t="n"/>
      <c r="C106" s="41" t="n"/>
      <c r="D106" s="23" t="n"/>
      <c r="E106" s="24" t="n"/>
      <c r="F106" s="25" t="n"/>
      <c r="G106" s="51" t="n"/>
      <c r="H106" s="51" t="n"/>
      <c r="I106" s="51" t="n"/>
      <c r="J106" s="51" t="n"/>
      <c r="K106" s="51" t="n"/>
      <c r="L106" s="51" t="n"/>
      <c r="M106" s="51" t="n"/>
      <c r="N106" s="51" t="n"/>
      <c r="O106" s="51" t="n"/>
      <c r="P106" s="51" t="n"/>
      <c r="Q106" s="51" t="n"/>
      <c r="R106" s="51" t="n"/>
      <c r="S106" s="51" t="n"/>
      <c r="T106" s="51" t="n"/>
      <c r="U106" s="51" t="n"/>
      <c r="V106" s="51" t="n"/>
      <c r="W106" s="51" t="n"/>
      <c r="X106" s="51" t="n"/>
      <c r="Y106" s="51" t="n"/>
      <c r="Z106" s="51" t="n"/>
      <c r="AA106" s="51" t="n"/>
      <c r="AB106" s="51" t="n"/>
      <c r="AC106" s="51" t="n"/>
      <c r="AD106" s="51" t="n"/>
      <c r="AE106" s="51" t="n"/>
      <c r="AF106" s="51" t="n"/>
      <c r="AG106" s="51" t="n"/>
      <c r="AH106" s="51" t="n"/>
      <c r="AI106" s="51" t="n"/>
      <c r="AJ106" s="51" t="n"/>
      <c r="AK106" s="51" t="n"/>
      <c r="AL106" s="51" t="n"/>
      <c r="AM106" s="51" t="n"/>
      <c r="AN106" s="51" t="n"/>
      <c r="AO106" s="51" t="n"/>
      <c r="AP106" s="51" t="n"/>
      <c r="AQ106" s="51" t="n"/>
      <c r="AR106" s="51" t="n"/>
      <c r="AS106" s="51" t="n"/>
      <c r="AT106" s="51" t="n"/>
      <c r="AW106" s="66" t="n"/>
    </row>
    <row r="107">
      <c r="A107" s="8" t="n"/>
      <c r="B107" s="14" t="n"/>
      <c r="C107" s="41" t="n"/>
      <c r="D107" s="107" t="inlineStr">
        <is>
          <t>Trein</t>
        </is>
      </c>
      <c r="E107" s="107" t="inlineStr">
        <is>
          <t>Espec</t>
        </is>
      </c>
      <c r="F107" s="51" t="n"/>
      <c r="G107" s="51" t="n"/>
      <c r="H107" s="51" t="n"/>
      <c r="I107" s="51" t="n"/>
      <c r="J107" s="51" t="n"/>
      <c r="K107" s="51" t="n"/>
      <c r="L107" s="51" t="n"/>
      <c r="M107" s="51" t="n"/>
      <c r="N107" s="51" t="n"/>
      <c r="O107" s="107" t="inlineStr">
        <is>
          <t>Extra</t>
        </is>
      </c>
      <c r="P107" s="51" t="n"/>
      <c r="Q107" s="107" t="inlineStr">
        <is>
          <t>Trein</t>
        </is>
      </c>
      <c r="R107" s="107" t="inlineStr">
        <is>
          <t>Espec</t>
        </is>
      </c>
      <c r="S107" s="51" t="n"/>
      <c r="T107" s="51" t="n"/>
      <c r="U107" s="51" t="n"/>
      <c r="V107" s="51" t="n"/>
      <c r="W107" s="51" t="n"/>
      <c r="X107" s="51" t="n"/>
      <c r="Y107" s="51" t="n"/>
      <c r="Z107" s="51" t="n"/>
      <c r="AA107" s="51" t="n"/>
      <c r="AB107" s="107" t="inlineStr">
        <is>
          <t>Extra</t>
        </is>
      </c>
      <c r="AC107" s="51" t="n"/>
      <c r="AD107" s="51" t="n"/>
      <c r="AE107" s="106" t="n"/>
      <c r="AF107" s="107" t="inlineStr">
        <is>
          <t>Trein</t>
        </is>
      </c>
      <c r="AG107" s="51" t="n"/>
      <c r="AH107" s="51" t="n"/>
      <c r="AI107" s="51" t="n"/>
      <c r="AJ107" s="107" t="inlineStr">
        <is>
          <t>Extra</t>
        </is>
      </c>
      <c r="AK107" s="51" t="n"/>
      <c r="AL107" s="51" t="n"/>
      <c r="AM107" s="51" t="n"/>
      <c r="AN107" s="51" t="n"/>
      <c r="AO107" s="51" t="n"/>
      <c r="AP107" s="51" t="n"/>
      <c r="AQ107" s="51" t="n"/>
      <c r="AR107" s="51" t="n"/>
      <c r="AS107" s="51" t="n"/>
      <c r="AT107" s="51" t="n"/>
      <c r="AW107" s="66" t="n"/>
    </row>
    <row r="108">
      <c r="A108" s="8" t="n"/>
      <c r="B108" s="14" t="n"/>
      <c r="C108" s="41" t="n"/>
      <c r="D108" s="108" t="n">
        <v>0</v>
      </c>
      <c r="E108" s="108" t="n">
        <v>0</v>
      </c>
      <c r="F108" s="118" t="inlineStr">
        <is>
          <t>Condução</t>
        </is>
      </c>
      <c r="G108" s="16" t="n"/>
      <c r="H108" s="16" t="n"/>
      <c r="I108" s="16" t="n"/>
      <c r="J108" s="17" t="n"/>
      <c r="K108" s="119" t="inlineStr">
        <is>
          <t>INTELIGÊNCIA</t>
        </is>
      </c>
      <c r="L108" s="16" t="n"/>
      <c r="M108" s="17" t="n"/>
      <c r="N108" s="120">
        <f>IF(DADOS_CONFIG!$E$37&lt;&gt;"",NA(),IF(DADOS_CONFIG!$C$37=1,DADOS_CONFIG!$D$37,IF(DADOS_CONFIG!$B$37=0,+IFS(K108="FORÇA",$D$19, K108="DESTREZA",$L$19, K108="CONSTITUIÇÃO",$T$19, K108="INTELIGÊNCIA",$AB$19, K108="ESSÊNCIA",$AJ$19) + IF(E108, $D$67 + INT($D$67 / 2), IF(D108, $D$67, 0)) + O108,IF((+IFS(K108="FORÇA",$D$19, K108="DESTREZA",$L$19, K108="CONSTITUIÇÃO",$T$19, K108="INTELIGÊNCIA",$AB$19, K108="ESSÊNCIA",$AJ$19) + IF(E108, $D$67 + INT($D$67 / 2), IF(D108, $D$67, 0)) + O108)="","",(+IFS(K108="FORÇA",$D$19, K108="DESTREZA",$L$19, K108="CONSTITUIÇÃO",$T$19, K108="INTELIGÊNCIA",$AB$19, K108="ESSÊNCIA",$AJ$19) + IF(E108, $D$67 + INT($D$67 / 2), IF(D108, $D$67, 0)) + O108)+DADOS_CONFIG!$B$37))))</f>
        <v/>
      </c>
      <c r="O108" s="117" t="n"/>
      <c r="P108" s="51" t="n"/>
      <c r="Q108" s="108" t="n">
        <v>0</v>
      </c>
      <c r="R108" s="108" t="n">
        <v>0</v>
      </c>
      <c r="S108" s="118" t="inlineStr">
        <is>
          <t>Entalhador</t>
        </is>
      </c>
      <c r="T108" s="16" t="n"/>
      <c r="U108" s="16" t="n"/>
      <c r="V108" s="16" t="n"/>
      <c r="W108" s="17" t="n"/>
      <c r="X108" s="119" t="inlineStr">
        <is>
          <t>INTELIGÊNCIA</t>
        </is>
      </c>
      <c r="Y108" s="16" t="n"/>
      <c r="Z108" s="17" t="n"/>
      <c r="AA108" s="121">
        <f>IF(DADOS_CONFIG!$E$43&lt;&gt;"",NA(),IF(DADOS_CONFIG!$C$43=1,DADOS_CONFIG!$D$43,IF(DADOS_CONFIG!$B$43=0,+IFS(X108="FORÇA",$D$19, X108="DESTREZA",$L$19, X108="CONSTITUIÇÃO",$T$19, X108="INTELIGÊNCIA",$AB$19, X108="ESSÊNCIA",$AJ$19) + IF(R108, $D$67 + INT($D$67 / 2), IF(Q108, $D$67, 0)) + AB108,IF((+IFS(X108="FORÇA",$D$19, X108="DESTREZA",$L$19, X108="CONSTITUIÇÃO",$T$19, X108="INTELIGÊNCIA",$AB$19, X108="ESSÊNCIA",$AJ$19) + IF(R108, $D$67 + INT($D$67 / 2), IF(Q108, $D$67, 0)) + AB108)="","",(+IFS(X108="FORÇA",$D$19, X108="DESTREZA",$L$19, X108="CONSTITUIÇÃO",$T$19, X108="INTELIGÊNCIA",$AB$19, X108="ESSÊNCIA",$AJ$19) + IF(R108, $D$67 + INT($D$67 / 2), IF(Q108, $D$67, 0)) + AB108)+DADOS_CONFIG!$B$43))))</f>
        <v/>
      </c>
      <c r="AB108" s="111" t="n"/>
      <c r="AC108" s="51" t="n"/>
      <c r="AD108" s="51" t="n"/>
      <c r="AE108" s="106" t="n"/>
      <c r="AF108" s="108" t="n">
        <v>0</v>
      </c>
      <c r="AG108" s="122" t="inlineStr">
        <is>
          <t>Físico</t>
        </is>
      </c>
      <c r="AH108" s="16" t="n"/>
      <c r="AI108" s="16" t="n"/>
      <c r="AJ108" s="117" t="n"/>
      <c r="AK108" s="123" t="inlineStr">
        <is>
          <t>FORÇA</t>
        </is>
      </c>
      <c r="AL108" s="16" t="n"/>
      <c r="AM108" s="16" t="n"/>
      <c r="AN108" s="16" t="n"/>
      <c r="AO108" s="17" t="n"/>
      <c r="AP108" s="113">
        <f>IF(DADOS_CONFIG!$E$48&lt;&gt;"",NA(),IF(DADOS_CONFIG!$C$48=1,DADOS_CONFIG!$D$48,IF(DADOS_CONFIG!$B$48=0,+IFS(AK108="FORÇA",$D$19, AK108="DESTREZA",$L$19)+IF($AF$108=TRUE,$D$67,0)+AJ108,IF((+IFS(AK108="FORÇA",$D$19, AK108="DESTREZA",$L$19)+IF($AF$108=TRUE,$D$67,0)+AJ108)="","",(+IFS(AK108="FORÇA",$D$19, AK108="DESTREZA",$L$19)+IF($AF$108=TRUE,$D$67,0)+AJ108)+DADOS_CONFIG!$B$48))))</f>
        <v/>
      </c>
      <c r="AQ108" s="16" t="n"/>
      <c r="AR108" s="16" t="n"/>
      <c r="AS108" s="16" t="n"/>
      <c r="AT108" s="17" t="n"/>
      <c r="AW108" s="66" t="n"/>
    </row>
    <row r="109">
      <c r="A109" s="8" t="n"/>
      <c r="B109" s="14" t="n"/>
      <c r="C109" s="41" t="n"/>
      <c r="D109" s="108" t="n">
        <v>0</v>
      </c>
      <c r="E109" s="108" t="n">
        <v>0</v>
      </c>
      <c r="F109" s="118" t="inlineStr">
        <is>
          <t>Arrombamento</t>
        </is>
      </c>
      <c r="G109" s="16" t="n"/>
      <c r="H109" s="16" t="n"/>
      <c r="I109" s="16" t="n"/>
      <c r="J109" s="17" t="n"/>
      <c r="K109" s="119" t="inlineStr">
        <is>
          <t>INTELIGÊNCIA</t>
        </is>
      </c>
      <c r="L109" s="16" t="n"/>
      <c r="M109" s="17" t="n"/>
      <c r="N109" s="121">
        <f>IF(DADOS_CONFIG!$E$38&lt;&gt;"",NA(),IF(DADOS_CONFIG!$C$38=1,DADOS_CONFIG!$D$38,IF(DADOS_CONFIG!$B$38=0,+IFS(K109="FORÇA",$D$19, K109="DESTREZA",$L$19, K109="CONSTITUIÇÃO",$T$19, K109="INTELIGÊNCIA",$AB$19, K109="ESSÊNCIA",$AJ$19) + IF(E109, $D$67 + INT($D$67 / 2), IF(D109, $D$67, 0)) + O109,IF((+IFS(K109="FORÇA",$D$19, K109="DESTREZA",$L$19, K109="CONSTITUIÇÃO",$T$19, K109="INTELIGÊNCIA",$AB$19, K109="ESSÊNCIA",$AJ$19) + IF(E109, $D$67 + INT($D$67 / 2), IF(D109, $D$67, 0)) + O109)="","",(+IFS(K109="FORÇA",$D$19, K109="DESTREZA",$L$19, K109="CONSTITUIÇÃO",$T$19, K109="INTELIGÊNCIA",$AB$19, K109="ESSÊNCIA",$AJ$19) + IF(E109, $D$67 + INT($D$67 / 2), IF(D109, $D$67, 0)) + O109)+DADOS_CONFIG!$B$38))))</f>
        <v/>
      </c>
      <c r="O109" s="111" t="n"/>
      <c r="P109" s="51" t="n"/>
      <c r="Q109" s="108" t="n">
        <v>0</v>
      </c>
      <c r="R109" s="108" t="n">
        <v>0</v>
      </c>
      <c r="S109" s="118" t="inlineStr">
        <is>
          <t xml:space="preserve">Alfaiate </t>
        </is>
      </c>
      <c r="T109" s="16" t="n"/>
      <c r="U109" s="16" t="n"/>
      <c r="V109" s="16" t="n"/>
      <c r="W109" s="17" t="n"/>
      <c r="X109" s="119" t="inlineStr">
        <is>
          <t>INTELIGÊNCIA</t>
        </is>
      </c>
      <c r="Y109" s="16" t="n"/>
      <c r="Z109" s="17" t="n"/>
      <c r="AA109" s="121">
        <f>IF(DADOS_CONFIG!$E$44&lt;&gt;"",NA(),IF(DADOS_CONFIG!$C$44=1,DADOS_CONFIG!$D$44,IF(DADOS_CONFIG!$B$44=0,+IFS(X109="FORÇA",$D$19, X109="DESTREZA",$L$19, X109="CONSTITUIÇÃO",$T$19, X109="INTELIGÊNCIA",$AB$19, X109="ESSÊNCIA",$AJ$19) + IF(R109, $D$67 + INT($D$67 / 2), IF(Q109, $D$67, 0)) + AB109,IF((+IFS(X109="FORÇA",$D$19, X109="DESTREZA",$L$19, X109="CONSTITUIÇÃO",$T$19, X109="INTELIGÊNCIA",$AB$19, X109="ESSÊNCIA",$AJ$19) + IF(R109, $D$67 + INT($D$67 / 2), IF(Q109, $D$67, 0)) + AB109)="","",(+IFS(X109="FORÇA",$D$19, X109="DESTREZA",$L$19, X109="CONSTITUIÇÃO",$T$19, X109="INTELIGÊNCIA",$AB$19, X109="ESSÊNCIA",$AJ$19) + IF(R109, $D$67 + INT($D$67 / 2), IF(Q109, $D$67, 0)) + AB109)+DADOS_CONFIG!$B$44))))</f>
        <v/>
      </c>
      <c r="AB109" s="111" t="n"/>
      <c r="AC109" s="51" t="n"/>
      <c r="AD109" s="51" t="n"/>
      <c r="AE109" s="106" t="n"/>
      <c r="AF109" s="108" t="n">
        <v>0</v>
      </c>
      <c r="AG109" s="122" t="inlineStr">
        <is>
          <t>Vigor</t>
        </is>
      </c>
      <c r="AH109" s="16" t="n"/>
      <c r="AI109" s="16" t="n"/>
      <c r="AJ109" s="117" t="n"/>
      <c r="AK109" s="119" t="inlineStr">
        <is>
          <t xml:space="preserve">CONSTITUIÇÃO </t>
        </is>
      </c>
      <c r="AL109" s="16" t="n"/>
      <c r="AM109" s="16" t="n"/>
      <c r="AN109" s="16" t="n"/>
      <c r="AO109" s="17" t="n"/>
      <c r="AP109" s="113">
        <f>IF(DADOS_CONFIG!$E$49&lt;&gt;"",NA(),IF(DADOS_CONFIG!$C$49=1,DADOS_CONFIG!$D$49,IF(DADOS_CONFIG!$B$49=0,$T$19+IF($AF$109=TRUE,$D$67,0)+AJ109,IF(($T$19+IF($AF$109=TRUE,$D$67,0)+AJ109)="","",($T$19+IF($AF$109=TRUE,$D$67,0)+AJ109)+DADOS_CONFIG!$B$49))))</f>
        <v/>
      </c>
      <c r="AQ109" s="16" t="n"/>
      <c r="AR109" s="16" t="n"/>
      <c r="AS109" s="16" t="n"/>
      <c r="AT109" s="17" t="n"/>
      <c r="AW109" s="66" t="n"/>
    </row>
    <row r="110">
      <c r="A110" s="8" t="n"/>
      <c r="B110" s="14" t="n"/>
      <c r="C110" s="41" t="n"/>
      <c r="D110" s="108" t="n">
        <v>0</v>
      </c>
      <c r="E110" s="108" t="n">
        <v>0</v>
      </c>
      <c r="F110" s="118" t="inlineStr">
        <is>
          <t>Herbalismo</t>
        </is>
      </c>
      <c r="G110" s="16" t="n"/>
      <c r="H110" s="16" t="n"/>
      <c r="I110" s="16" t="n"/>
      <c r="J110" s="17" t="n"/>
      <c r="K110" s="119" t="inlineStr">
        <is>
          <t>INTELIGÊNCIA</t>
        </is>
      </c>
      <c r="L110" s="16" t="n"/>
      <c r="M110" s="17" t="n"/>
      <c r="N110" s="121">
        <f>IF(DADOS_CONFIG!$E$39&lt;&gt;"",NA(),IF(DADOS_CONFIG!$C$39=1,DADOS_CONFIG!$D$39,IF(DADOS_CONFIG!$B$39=0,+IFS(K110="FORÇA",$D$19, K110="DESTREZA",$L$19, K110="CONSTITUIÇÃO",$T$19, K110="INTELIGÊNCIA",$AB$19, K110="ESSÊNCIA",$AJ$19) + IF(E110, $D$67 + INT($D$67 / 2), IF(D110, $D$67, 0)) + O110,IF((+IFS(K110="FORÇA",$D$19, K110="DESTREZA",$L$19, K110="CONSTITUIÇÃO",$T$19, K110="INTELIGÊNCIA",$AB$19, K110="ESSÊNCIA",$AJ$19) + IF(E110, $D$67 + INT($D$67 / 2), IF(D110, $D$67, 0)) + O110)="","",(+IFS(K110="FORÇA",$D$19, K110="DESTREZA",$L$19, K110="CONSTITUIÇÃO",$T$19, K110="INTELIGÊNCIA",$AB$19, K110="ESSÊNCIA",$AJ$19) + IF(E110, $D$67 + INT($D$67 / 2), IF(D110, $D$67, 0)) + O110)+DADOS_CONFIG!$B$39))))</f>
        <v/>
      </c>
      <c r="O110" s="111" t="n"/>
      <c r="P110" s="51" t="n"/>
      <c r="Q110" s="108" t="n">
        <v>0</v>
      </c>
      <c r="R110" s="108" t="n">
        <v>0</v>
      </c>
      <c r="S110" s="109" t="inlineStr">
        <is>
          <t>Culinária</t>
        </is>
      </c>
      <c r="T110" s="16" t="n"/>
      <c r="U110" s="16" t="n"/>
      <c r="V110" s="16" t="n"/>
      <c r="W110" s="17" t="n"/>
      <c r="X110" s="119" t="inlineStr">
        <is>
          <t>INTELIGÊNCIA</t>
        </is>
      </c>
      <c r="Y110" s="16" t="n"/>
      <c r="Z110" s="17" t="n"/>
      <c r="AA110" s="121">
        <f>IF(DADOS_CONFIG!$E$45&lt;&gt;"",NA(),IF(DADOS_CONFIG!$C$45=1,DADOS_CONFIG!$D$45,IF(DADOS_CONFIG!$B$45=0,+IFS(X110="FORÇA",$D$19, X110="DESTREZA",$L$19, X110="CONSTITUIÇÃO",$T$19, X110="INTELIGÊNCIA",$AB$19, X110="ESSÊNCIA",$AJ$19) + IF(R110, $D$67 + INT($D$67 / 2), IF(Q110, $D$67, 0)) + AB110,IF((+IFS(X110="FORÇA",$D$19, X110="DESTREZA",$L$19, X110="CONSTITUIÇÃO",$T$19, X110="INTELIGÊNCIA",$AB$19, X110="ESSÊNCIA",$AJ$19) + IF(R110, $D$67 + INT($D$67 / 2), IF(Q110, $D$67, 0)) + AB110)="","",(+IFS(X110="FORÇA",$D$19, X110="DESTREZA",$L$19, X110="CONSTITUIÇÃO",$T$19, X110="INTELIGÊNCIA",$AB$19, X110="ESSÊNCIA",$AJ$19) + IF(R110, $D$67 + INT($D$67 / 2), IF(Q110, $D$67, 0)) + AB110)+DADOS_CONFIG!$B$45))))</f>
        <v/>
      </c>
      <c r="AB110" s="111" t="n"/>
      <c r="AC110" s="51" t="n"/>
      <c r="AD110" s="51" t="n"/>
      <c r="AE110" s="106" t="n"/>
      <c r="AF110" s="108" t="n">
        <v>0</v>
      </c>
      <c r="AG110" s="122" t="inlineStr">
        <is>
          <t>Intelecto</t>
        </is>
      </c>
      <c r="AH110" s="16" t="n"/>
      <c r="AI110" s="16" t="n"/>
      <c r="AJ110" s="117" t="n"/>
      <c r="AK110" s="119" t="inlineStr">
        <is>
          <t>INTELIGÊNCIA</t>
        </is>
      </c>
      <c r="AL110" s="16" t="n"/>
      <c r="AM110" s="16" t="n"/>
      <c r="AN110" s="16" t="n"/>
      <c r="AO110" s="17" t="n"/>
      <c r="AP110" s="113">
        <f>IF(DADOS_CONFIG!$E$50&lt;&gt;"",NA(),IF(DADOS_CONFIG!$C$50=1,DADOS_CONFIG!$D$50,IF(DADOS_CONFIG!$B$50=0,$AB$19+IF($AF$110=TRUE,$D$67,0)+AJ110,IF(($AB$19+IF($AF$110=TRUE,$D$67,0)+AJ110)="","",($AB$19+IF($AF$110=TRUE,$D$67,0)+AJ110)+DADOS_CONFIG!$B$50))))</f>
        <v/>
      </c>
      <c r="AQ110" s="16" t="n"/>
      <c r="AR110" s="16" t="n"/>
      <c r="AS110" s="16" t="n"/>
      <c r="AT110" s="17" t="n"/>
      <c r="AW110" s="66" t="n"/>
    </row>
    <row r="111">
      <c r="A111" s="8" t="n"/>
      <c r="B111" s="14" t="n"/>
      <c r="C111" s="41" t="n"/>
      <c r="D111" s="108" t="n">
        <v>0</v>
      </c>
      <c r="E111" s="108" t="n">
        <v>0</v>
      </c>
      <c r="F111" s="118" t="inlineStr">
        <is>
          <t>Forja</t>
        </is>
      </c>
      <c r="G111" s="16" t="n"/>
      <c r="H111" s="16" t="n"/>
      <c r="I111" s="16" t="n"/>
      <c r="J111" s="17" t="n"/>
      <c r="K111" s="119" t="inlineStr">
        <is>
          <t>INTELIGÊNCIA</t>
        </is>
      </c>
      <c r="L111" s="16" t="n"/>
      <c r="M111" s="17" t="n"/>
      <c r="N111" s="121">
        <f>IF(DADOS_CONFIG!$E$40&lt;&gt;"",NA(),IF(DADOS_CONFIG!$C$40=1,DADOS_CONFIG!$D$40,IF(DADOS_CONFIG!$B$40=0,+IFS(K111="FORÇA",$D$19, K111="DESTREZA",$L$19, K111="CONSTITUIÇÃO",$T$19, K111="INTELIGÊNCIA",$AB$19, K111="ESSÊNCIA",$AJ$19) + IF(E111, $D$67 + INT($D$67 / 2), IF(D111, $D$67, 0)) + O111,IF((+IFS(K111="FORÇA",$D$19, K111="DESTREZA",$L$19, K111="CONSTITUIÇÃO",$T$19, K111="INTELIGÊNCIA",$AB$19, K111="ESSÊNCIA",$AJ$19) + IF(E111, $D$67 + INT($D$67 / 2), IF(D111, $D$67, 0)) + O111)="","",(+IFS(K111="FORÇA",$D$19, K111="DESTREZA",$L$19, K111="CONSTITUIÇÃO",$T$19, K111="INTELIGÊNCIA",$AB$19, K111="ESSÊNCIA",$AJ$19) + IF(E111, $D$67 + INT($D$67 / 2), IF(D111, $D$67, 0)) + O111)+DADOS_CONFIG!$B$40))))</f>
        <v/>
      </c>
      <c r="O111" s="111" t="n"/>
      <c r="P111" s="51" t="n"/>
      <c r="Q111" s="108" t="n">
        <v>0</v>
      </c>
      <c r="R111" s="108" t="n">
        <v>0</v>
      </c>
      <c r="S111" s="118" t="inlineStr">
        <is>
          <t>Jogatina</t>
        </is>
      </c>
      <c r="T111" s="16" t="n"/>
      <c r="U111" s="16" t="n"/>
      <c r="V111" s="16" t="n"/>
      <c r="W111" s="17" t="n"/>
      <c r="X111" s="119" t="inlineStr">
        <is>
          <t>INTELIGÊNCIA</t>
        </is>
      </c>
      <c r="Y111" s="16" t="n"/>
      <c r="Z111" s="17" t="n"/>
      <c r="AA111" s="121">
        <f>IF(DADOS_CONFIG!$E$47&lt;&gt;"",NA(),IF(DADOS_CONFIG!$C$47=1,DADOS_CONFIG!$D$47,IF(DADOS_CONFIG!$B$47=0,+IFS(X111="FORÇA",$D$19, X111="DESTREZA",$L$19, X111="CONSTITUIÇÃO",$T$19, X111="INTELIGÊNCIA",$AB$19, X111="ESSÊNCIA",$AJ$19) + IF(R111, $D$67 + INT($D$67 / 2), IF(Q111, $D$67, 0)) + AB111,IF((+IFS(X111="FORÇA",$D$19, X111="DESTREZA",$L$19, X111="CONSTITUIÇÃO",$T$19, X111="INTELIGÊNCIA",$AB$19, X111="ESSÊNCIA",$AJ$19) + IF(R111, $D$67 + INT($D$67 / 2), IF(Q111, $D$67, 0)) + AB111)="","",(+IFS(X111="FORÇA",$D$19, X111="DESTREZA",$L$19, X111="CONSTITUIÇÃO",$T$19, X111="INTELIGÊNCIA",$AB$19, X111="ESSÊNCIA",$AJ$19) + IF(R111, $D$67 + INT($D$67 / 2), IF(Q111, $D$67, 0)) + AB111)+DADOS_CONFIG!$B$47))))</f>
        <v/>
      </c>
      <c r="AB111" s="111" t="n"/>
      <c r="AC111" s="51" t="n"/>
      <c r="AD111" s="51" t="n"/>
      <c r="AE111" s="51" t="n"/>
      <c r="AF111" s="108" t="n">
        <v>0</v>
      </c>
      <c r="AG111" s="122" t="inlineStr">
        <is>
          <t>Espírito</t>
        </is>
      </c>
      <c r="AH111" s="16" t="n"/>
      <c r="AI111" s="16" t="n"/>
      <c r="AJ111" s="117" t="n"/>
      <c r="AK111" s="119" t="inlineStr">
        <is>
          <t>ESSÊNCIA</t>
        </is>
      </c>
      <c r="AL111" s="16" t="n"/>
      <c r="AM111" s="16" t="n"/>
      <c r="AN111" s="16" t="n"/>
      <c r="AO111" s="17" t="n"/>
      <c r="AP111" s="113">
        <f>IF(DADOS_CONFIG!$E$51&lt;&gt;"",NA(),IF(DADOS_CONFIG!$C$51=1,DADOS_CONFIG!$D$51,IF(DADOS_CONFIG!$B$51=0,$AJ$19+IF($AF$111=TRUE,$D$67,0)+AJ111,IF(($AJ$19+IF($AF$111=TRUE,$D$67,0)+AJ111)="","",($AJ$19+IF($AF$111=TRUE,$D$67,0)+AJ111)+DADOS_CONFIG!$B$51))))</f>
        <v/>
      </c>
      <c r="AQ111" s="16" t="n"/>
      <c r="AR111" s="16" t="n"/>
      <c r="AS111" s="16" t="n"/>
      <c r="AT111" s="17" t="n"/>
      <c r="AW111" s="66" t="n"/>
    </row>
    <row r="112">
      <c r="A112" s="8" t="n"/>
      <c r="B112" s="14" t="n"/>
      <c r="C112" s="41" t="n"/>
      <c r="D112" s="108" t="n">
        <v>0</v>
      </c>
      <c r="E112" s="108" t="n">
        <v>0</v>
      </c>
      <c r="F112" s="118" t="inlineStr">
        <is>
          <t>Caligrafia</t>
        </is>
      </c>
      <c r="G112" s="16" t="n"/>
      <c r="H112" s="16" t="n"/>
      <c r="I112" s="16" t="n"/>
      <c r="J112" s="17" t="n"/>
      <c r="K112" s="119" t="inlineStr">
        <is>
          <t>INTELIGÊNCIA</t>
        </is>
      </c>
      <c r="L112" s="16" t="n"/>
      <c r="M112" s="17" t="n"/>
      <c r="N112" s="121">
        <f>IF(DADOS_CONFIG!$E$41&lt;&gt;"",NA(),IF(DADOS_CONFIG!$C$41=1,DADOS_CONFIG!$D$41,IF(DADOS_CONFIG!$B$41=0,+IFS(K112="FORÇA",$D$19, K112="DESTREZA",$L$19, K112="CONSTITUIÇÃO",$T$19, K112="INTELIGÊNCIA",$AB$19, K112="ESSÊNCIA",$AJ$19) + IF(E112, $D$67 + INT($D$67 / 2), IF(D112, $D$67, 0)) + O112,IF((+IFS(K112="FORÇA",$D$19, K112="DESTREZA",$L$19, K112="CONSTITUIÇÃO",$T$19, K112="INTELIGÊNCIA",$AB$19, K112="ESSÊNCIA",$AJ$19) + IF(E112, $D$67 + INT($D$67 / 2), IF(D112, $D$67, 0)) + O112)="","",(+IFS(K112="FORÇA",$D$19, K112="DESTREZA",$L$19, K112="CONSTITUIÇÃO",$T$19, K112="INTELIGÊNCIA",$AB$19, K112="ESSÊNCIA",$AJ$19) + IF(E112, $D$67 + INT($D$67 / 2), IF(D112, $D$67, 0)) + O112)+DADOS_CONFIG!$B$41))))</f>
        <v/>
      </c>
      <c r="O112" s="111" t="n"/>
      <c r="P112" s="51" t="n"/>
      <c r="Q112" s="108" t="n">
        <v>0</v>
      </c>
      <c r="R112" s="108" t="n">
        <v>0</v>
      </c>
      <c r="S112" s="118" t="inlineStr">
        <is>
          <t>Instrumento</t>
        </is>
      </c>
      <c r="T112" s="16" t="n"/>
      <c r="U112" s="16" t="n"/>
      <c r="V112" s="16" t="n"/>
      <c r="W112" s="17" t="n"/>
      <c r="X112" s="119" t="inlineStr">
        <is>
          <t>INTELIGÊNCIA</t>
        </is>
      </c>
      <c r="Y112" s="16" t="n"/>
      <c r="Z112" s="17" t="n"/>
      <c r="AA112" s="121">
        <f>IF(DADOS_CONFIG!$E$46&lt;&gt;"",NA(),IF(DADOS_CONFIG!$C$46=1,DADOS_CONFIG!$D$46,IF(DADOS_CONFIG!$B$46=0,+IFS(X112="FORÇA",$D$19, X112="DESTREZA",$L$19, X112="CONSTITUIÇÃO",$T$19, X112="INTELIGÊNCIA",$AB$19, X112="ESSÊNCIA",$AJ$19) + IF(R112, $D$67 + INT($D$67 / 2), IF(Q112, $D$67, 0)) + AB112,IF((+IFS(X112="FORÇA",$D$19, X112="DESTREZA",$L$19, X112="CONSTITUIÇÃO",$T$19, X112="INTELIGÊNCIA",$AB$19, X112="ESSÊNCIA",$AJ$19) + IF(R112, $D$67 + INT($D$67 / 2), IF(Q112, $D$67, 0)) + AB112)="","",(+IFS(X112="FORÇA",$D$19, X112="DESTREZA",$L$19, X112="CONSTITUIÇÃO",$T$19, X112="INTELIGÊNCIA",$AB$19, X112="ESSÊNCIA",$AJ$19) + IF(R112, $D$67 + INT($D$67 / 2), IF(Q112, $D$67, 0)) + AB112)+DADOS_CONFIG!$B$46))))</f>
        <v/>
      </c>
      <c r="AB112" s="111" t="n"/>
      <c r="AC112" s="51" t="n"/>
      <c r="AD112" s="51" t="n"/>
      <c r="AE112" s="51" t="n"/>
      <c r="AF112" s="51" t="n"/>
      <c r="AG112" s="51" t="n"/>
      <c r="AH112" s="51" t="n"/>
      <c r="AI112" s="51" t="n"/>
      <c r="AJ112" s="51" t="n"/>
      <c r="AK112" s="51" t="n"/>
      <c r="AL112" s="51" t="n"/>
      <c r="AM112" s="51" t="n"/>
      <c r="AN112" s="51" t="n"/>
      <c r="AO112" s="51" t="n"/>
      <c r="AP112" s="51" t="n"/>
      <c r="AQ112" s="51" t="n"/>
      <c r="AR112" s="51" t="n"/>
      <c r="AS112" s="51" t="n"/>
      <c r="AT112" s="51" t="n"/>
      <c r="AW112" s="66" t="n"/>
    </row>
    <row r="113">
      <c r="A113" s="8" t="n"/>
      <c r="B113" s="14" t="n"/>
      <c r="C113" s="41" t="n"/>
      <c r="D113" s="108" t="n">
        <v>0</v>
      </c>
      <c r="E113" s="108" t="n">
        <v>0</v>
      </c>
      <c r="F113" s="118" t="inlineStr">
        <is>
          <t>Burocracia</t>
        </is>
      </c>
      <c r="G113" s="16" t="n"/>
      <c r="H113" s="16" t="n"/>
      <c r="I113" s="16" t="n"/>
      <c r="J113" s="17" t="n"/>
      <c r="K113" s="119" t="inlineStr">
        <is>
          <t>INTELIGÊNCIA</t>
        </is>
      </c>
      <c r="L113" s="16" t="n"/>
      <c r="M113" s="17" t="n"/>
      <c r="N113" s="121">
        <f>IF(DADOS_CONFIG!$E$42&lt;&gt;"",NA(),IF(DADOS_CONFIG!$C$42=1,DADOS_CONFIG!$D$42,IF(DADOS_CONFIG!$B$42=0,+IFS(K113="FORÇA",$D$19, K113="DESTREZA",$L$19, K113="CONSTITUIÇÃO",$T$19, K113="INTELIGÊNCIA",$AB$19, K113="ESSÊNCIA",$AJ$19) + IF(E113, $D$67 + INT($D$67 / 2), IF(D113, $D$67, 0)) + O113,IF((+IFS(K113="FORÇA",$D$19, K113="DESTREZA",$L$19, K113="CONSTITUIÇÃO",$T$19, K113="INTELIGÊNCIA",$AB$19, K113="ESSÊNCIA",$AJ$19) + IF(E113, $D$67 + INT($D$67 / 2), IF(D113, $D$67, 0)) + O113)="","",(+IFS(K113="FORÇA",$D$19, K113="DESTREZA",$L$19, K113="CONSTITUIÇÃO",$T$19, K113="INTELIGÊNCIA",$AB$19, K113="ESSÊNCIA",$AJ$19) + IF(E113, $D$67 + INT($D$67 / 2), IF(D113, $D$67, 0)) + O113)+DADOS_CONFIG!$B$42))))</f>
        <v/>
      </c>
      <c r="O113" s="111" t="n"/>
      <c r="P113" s="51" t="n"/>
      <c r="Q113" s="51" t="n"/>
      <c r="R113" s="51" t="n"/>
      <c r="S113" s="51" t="n"/>
      <c r="T113" s="51" t="n"/>
      <c r="U113" s="51" t="n"/>
      <c r="V113" s="51" t="n"/>
      <c r="W113" s="51" t="n"/>
      <c r="X113" s="51" t="n"/>
      <c r="Y113" s="51" t="n"/>
      <c r="Z113" s="51" t="n"/>
      <c r="AA113" s="51" t="n"/>
      <c r="AB113" s="51" t="n"/>
      <c r="AC113" s="51" t="n"/>
      <c r="AD113" s="51" t="n"/>
      <c r="AE113" s="51" t="n"/>
      <c r="AF113" s="124" t="inlineStr">
        <is>
          <t>Ofícios Disponíveis</t>
        </is>
      </c>
      <c r="AG113" s="16" t="n"/>
      <c r="AH113" s="16" t="n"/>
      <c r="AI113" s="16" t="n"/>
      <c r="AJ113" s="16" t="n"/>
      <c r="AK113" s="16" t="n"/>
      <c r="AL113" s="16" t="n"/>
      <c r="AM113" s="17" t="n"/>
      <c r="AN113" s="125" t="inlineStr">
        <is>
          <t>Testes de Resistência Disponíveis</t>
        </is>
      </c>
      <c r="AO113" s="16" t="n"/>
      <c r="AP113" s="16" t="n"/>
      <c r="AQ113" s="16" t="n"/>
      <c r="AR113" s="16" t="n"/>
      <c r="AS113" s="16" t="n"/>
      <c r="AT113" s="17" t="n"/>
      <c r="AW113" s="66" t="n"/>
    </row>
    <row r="114">
      <c r="A114" s="8" t="n"/>
      <c r="B114" s="14" t="n"/>
      <c r="C114" s="41" t="n"/>
      <c r="D114" s="51" t="n"/>
      <c r="E114" s="51" t="n"/>
      <c r="F114" s="51" t="n"/>
      <c r="G114" s="51" t="n"/>
      <c r="H114" s="51" t="n"/>
      <c r="I114" s="51" t="n"/>
      <c r="J114" s="51" t="n"/>
      <c r="K114" s="51" t="n"/>
      <c r="L114" s="51" t="n"/>
      <c r="M114" s="51" t="n"/>
      <c r="N114" s="51" t="n"/>
      <c r="O114" s="51" t="n"/>
      <c r="P114" s="51" t="n"/>
      <c r="Q114" s="51" t="n"/>
      <c r="R114" s="51" t="n"/>
      <c r="S114" s="51" t="n"/>
      <c r="T114" s="51" t="n"/>
      <c r="U114" s="51" t="n"/>
      <c r="V114" s="51" t="n"/>
      <c r="W114" s="51" t="n"/>
      <c r="X114" s="51" t="n"/>
      <c r="Y114" s="51" t="n"/>
      <c r="Z114" s="51" t="n"/>
      <c r="AA114" s="51" t="n"/>
      <c r="AB114" s="51" t="n"/>
      <c r="AC114" s="51" t="n"/>
      <c r="AD114" s="51" t="n"/>
      <c r="AE114" s="51" t="n"/>
      <c r="AF114" s="126">
        <f>IF(AND(DADOS!$AK$15&gt;0,$AH$11&lt;10),"Especialização só no nível 10",IF(DADOS!$AK$24&gt;0,DADOS!$AK$24&amp;" a mais",DADOS!$AK$20+DADOS!$AK$22-DADOS!$AK$14&amp;" de "&amp;(DADOS!$AK$20+DADOS!$AK$22)))</f>
        <v/>
      </c>
      <c r="AG114" s="16" t="n"/>
      <c r="AH114" s="16" t="n"/>
      <c r="AI114" s="16" t="n"/>
      <c r="AJ114" s="16" t="n"/>
      <c r="AK114" s="16" t="n"/>
      <c r="AL114" s="16" t="n"/>
      <c r="AM114" s="17" t="n"/>
      <c r="AN114" s="127">
        <f>IF(DADOS!$AK$29&gt;2,DADOS!$AK$29-2&amp;" a mais",2-DADOS!$AK$29&amp;" de "&amp;2)</f>
        <v/>
      </c>
      <c r="AO114" s="16" t="n"/>
      <c r="AP114" s="16" t="n"/>
      <c r="AQ114" s="16" t="n"/>
      <c r="AR114" s="16" t="n"/>
      <c r="AS114" s="16" t="n"/>
      <c r="AT114" s="17" t="n"/>
      <c r="AW114" s="66" t="n"/>
    </row>
    <row r="115" ht="18.75" customHeight="1">
      <c r="A115" s="8" t="n"/>
      <c r="B115" s="14" t="n"/>
      <c r="C115" s="41" t="n"/>
      <c r="D115" s="101" t="inlineStr">
        <is>
          <t>OFÍCIOS CUSTOM · CONFIGURAÇÃO</t>
        </is>
      </c>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c r="AE115" s="16" t="n"/>
      <c r="AF115" s="16" t="n"/>
      <c r="AG115" s="16" t="n"/>
      <c r="AH115" s="16" t="n"/>
      <c r="AI115" s="16" t="n"/>
      <c r="AJ115" s="16" t="n"/>
      <c r="AK115" s="16" t="n"/>
      <c r="AL115" s="16" t="n"/>
      <c r="AM115" s="16" t="n"/>
      <c r="AN115" s="16" t="n"/>
      <c r="AO115" s="16" t="n"/>
      <c r="AP115" s="16" t="n"/>
      <c r="AQ115" s="16" t="n"/>
      <c r="AR115" s="16" t="n"/>
      <c r="AS115" s="16" t="n"/>
      <c r="AT115" s="17" t="n"/>
      <c r="AW115" s="66" t="n"/>
    </row>
    <row r="116" hidden="1" outlineLevel="1" ht="31.5" customHeight="1">
      <c r="D116" s="114">
        <f>IF(COUNTIF('DADOS_PROGRESSAO'!$AW$2:$AW$11,"?*")=0,"","T = treino; E = especialização. Usam os mesmos limites do livro. Edite o cadastro em CONFIGURAÇÃO.")</f>
        <v/>
      </c>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c r="AE116" s="16" t="n"/>
      <c r="AF116" s="16" t="n"/>
      <c r="AG116" s="16" t="n"/>
      <c r="AH116" s="16" t="n"/>
      <c r="AI116" s="16" t="n"/>
      <c r="AJ116" s="16" t="n"/>
      <c r="AK116" s="16" t="n"/>
      <c r="AL116" s="16" t="n"/>
      <c r="AM116" s="16" t="n"/>
      <c r="AN116" s="16" t="n"/>
      <c r="AO116" s="16" t="n"/>
      <c r="AP116" s="16" t="n"/>
      <c r="AQ116" s="16" t="n"/>
      <c r="AR116" s="16" t="n"/>
      <c r="AS116" s="16" t="n"/>
      <c r="AT116" s="17" t="n"/>
      <c r="AW116" s="66" t="n"/>
    </row>
    <row r="117" hidden="1" outlineLevel="1" ht="18.75" customHeight="1">
      <c r="D117" s="115">
        <f>IF(COUNTIF('DADOS_PROGRESSAO'!$AW$2:$AW$11,"?*")=0,"","T")</f>
        <v/>
      </c>
      <c r="E117" s="115">
        <f>IF(COUNTIF('DADOS_PROGRESSAO'!$AW$2:$AW$11,"?*")=0,"","E")</f>
        <v/>
      </c>
      <c r="F117" s="115">
        <f>IF(COUNTIF('DADOS_PROGRESSAO'!$AW$2:$AW$11,"?*")=0,"","NOME")</f>
        <v/>
      </c>
      <c r="G117" s="16" t="n"/>
      <c r="H117" s="16" t="n"/>
      <c r="I117" s="16" t="n"/>
      <c r="J117" s="16" t="n"/>
      <c r="K117" s="16" t="n"/>
      <c r="L117" s="16" t="n"/>
      <c r="M117" s="16" t="n"/>
      <c r="N117" s="16" t="n"/>
      <c r="O117" s="16" t="n"/>
      <c r="P117" s="16" t="n"/>
      <c r="Q117" s="16" t="n"/>
      <c r="R117" s="16" t="n"/>
      <c r="S117" s="16" t="n"/>
      <c r="T117" s="16" t="n"/>
      <c r="U117" s="16" t="n"/>
      <c r="V117" s="17" t="n"/>
      <c r="W117" s="115">
        <f>IF(COUNTIF('DADOS_PROGRESSAO'!$AW$2:$AW$11,"?*")=0,"","ATRIBUTO")</f>
        <v/>
      </c>
      <c r="X117" s="16" t="n"/>
      <c r="Y117" s="16" t="n"/>
      <c r="Z117" s="16" t="n"/>
      <c r="AA117" s="16" t="n"/>
      <c r="AB117" s="16" t="n"/>
      <c r="AC117" s="17" t="n"/>
      <c r="AD117" s="115">
        <f>IF(COUNTIF('DADOS_PROGRESSAO'!$AW$2:$AW$11,"?*")=0,"","TOTAL")</f>
        <v/>
      </c>
      <c r="AE117" s="16" t="n"/>
      <c r="AF117" s="16" t="n"/>
      <c r="AG117" s="16" t="n"/>
      <c r="AH117" s="16" t="n"/>
      <c r="AI117" s="16" t="n"/>
      <c r="AJ117" s="16" t="n"/>
      <c r="AK117" s="17" t="n"/>
      <c r="AL117" s="115">
        <f>IF(COUNTIF('DADOS_PROGRESSAO'!$AW$2:$AW$11,"?*")=0,"","BÔNUS")</f>
        <v/>
      </c>
      <c r="AM117" s="16" t="n"/>
      <c r="AN117" s="16" t="n"/>
      <c r="AO117" s="16" t="n"/>
      <c r="AP117" s="16" t="n"/>
      <c r="AQ117" s="16" t="n"/>
      <c r="AR117" s="16" t="n"/>
      <c r="AS117" s="16" t="n"/>
      <c r="AT117" s="17" t="n"/>
      <c r="AW117" s="66" t="n"/>
    </row>
    <row r="118" hidden="1" outlineLevel="1" ht="18.75" customHeight="1">
      <c r="D118" s="108" t="b">
        <v>0</v>
      </c>
      <c r="E118" s="108" t="b">
        <v>0</v>
      </c>
      <c r="F118" s="116">
        <f>'DADOS_PROGRESSAO'!$AW$2</f>
        <v/>
      </c>
      <c r="G118" s="16" t="n"/>
      <c r="H118" s="16" t="n"/>
      <c r="I118" s="16" t="n"/>
      <c r="J118" s="16" t="n"/>
      <c r="K118" s="16" t="n"/>
      <c r="L118" s="16" t="n"/>
      <c r="M118" s="16" t="n"/>
      <c r="N118" s="16" t="n"/>
      <c r="O118" s="16" t="n"/>
      <c r="P118" s="16" t="n"/>
      <c r="Q118" s="16" t="n"/>
      <c r="R118" s="16" t="n"/>
      <c r="S118" s="16" t="n"/>
      <c r="T118" s="16" t="n"/>
      <c r="U118" s="16" t="n"/>
      <c r="V118" s="17" t="n"/>
      <c r="W118" s="116">
        <f>IFERROR(VLOOKUP(SUBSTITUTE(SUBSTITUTE(SUBSTITUTE(F118,"~","~~"),"*","~*"),"?","~?"),'DADOS_PROGRESSAO'!$AJ$2:$AK$22,2,FALSE),"")</f>
        <v/>
      </c>
      <c r="X118" s="16" t="n"/>
      <c r="Y118" s="16" t="n"/>
      <c r="Z118" s="16" t="n"/>
      <c r="AA118" s="16" t="n"/>
      <c r="AB118" s="16" t="n"/>
      <c r="AC118" s="17" t="n"/>
      <c r="AD118" s="116">
        <f>R455</f>
        <v/>
      </c>
      <c r="AE118" s="16" t="n"/>
      <c r="AF118" s="16" t="n"/>
      <c r="AG118" s="16" t="n"/>
      <c r="AH118" s="16" t="n"/>
      <c r="AI118" s="16" t="n"/>
      <c r="AJ118" s="16" t="n"/>
      <c r="AK118" s="17" t="n"/>
      <c r="AL118" s="116" t="n"/>
      <c r="AM118" s="16" t="n"/>
      <c r="AN118" s="16" t="n"/>
      <c r="AO118" s="16" t="n"/>
      <c r="AP118" s="16" t="n"/>
      <c r="AQ118" s="16" t="n"/>
      <c r="AR118" s="16" t="n"/>
      <c r="AS118" s="16" t="n"/>
      <c r="AT118" s="17" t="n"/>
      <c r="AW118" s="66" t="n"/>
    </row>
    <row r="119" hidden="1" outlineLevel="1" ht="18.75" customHeight="1">
      <c r="D119" s="108" t="b">
        <v>0</v>
      </c>
      <c r="E119" s="108" t="b">
        <v>0</v>
      </c>
      <c r="F119" s="116">
        <f>'DADOS_PROGRESSAO'!$AW$3</f>
        <v/>
      </c>
      <c r="G119" s="16" t="n"/>
      <c r="H119" s="16" t="n"/>
      <c r="I119" s="16" t="n"/>
      <c r="J119" s="16" t="n"/>
      <c r="K119" s="16" t="n"/>
      <c r="L119" s="16" t="n"/>
      <c r="M119" s="16" t="n"/>
      <c r="N119" s="16" t="n"/>
      <c r="O119" s="16" t="n"/>
      <c r="P119" s="16" t="n"/>
      <c r="Q119" s="16" t="n"/>
      <c r="R119" s="16" t="n"/>
      <c r="S119" s="16" t="n"/>
      <c r="T119" s="16" t="n"/>
      <c r="U119" s="16" t="n"/>
      <c r="V119" s="17" t="n"/>
      <c r="W119" s="116">
        <f>IFERROR(VLOOKUP(SUBSTITUTE(SUBSTITUTE(SUBSTITUTE(F119,"~","~~"),"*","~*"),"?","~?"),'DADOS_PROGRESSAO'!$AJ$2:$AK$22,2,FALSE),"")</f>
        <v/>
      </c>
      <c r="X119" s="16" t="n"/>
      <c r="Y119" s="16" t="n"/>
      <c r="Z119" s="16" t="n"/>
      <c r="AA119" s="16" t="n"/>
      <c r="AB119" s="16" t="n"/>
      <c r="AC119" s="17" t="n"/>
      <c r="AD119" s="116">
        <f>R456</f>
        <v/>
      </c>
      <c r="AE119" s="16" t="n"/>
      <c r="AF119" s="16" t="n"/>
      <c r="AG119" s="16" t="n"/>
      <c r="AH119" s="16" t="n"/>
      <c r="AI119" s="16" t="n"/>
      <c r="AJ119" s="16" t="n"/>
      <c r="AK119" s="17" t="n"/>
      <c r="AL119" s="116" t="n"/>
      <c r="AM119" s="16" t="n"/>
      <c r="AN119" s="16" t="n"/>
      <c r="AO119" s="16" t="n"/>
      <c r="AP119" s="16" t="n"/>
      <c r="AQ119" s="16" t="n"/>
      <c r="AR119" s="16" t="n"/>
      <c r="AS119" s="16" t="n"/>
      <c r="AT119" s="17" t="n"/>
      <c r="AW119" s="66" t="n"/>
    </row>
    <row r="120" hidden="1" outlineLevel="1" ht="18.75" customHeight="1">
      <c r="D120" s="108" t="b">
        <v>0</v>
      </c>
      <c r="E120" s="108" t="b">
        <v>0</v>
      </c>
      <c r="F120" s="116">
        <f>'DADOS_PROGRESSAO'!$AW$4</f>
        <v/>
      </c>
      <c r="G120" s="16" t="n"/>
      <c r="H120" s="16" t="n"/>
      <c r="I120" s="16" t="n"/>
      <c r="J120" s="16" t="n"/>
      <c r="K120" s="16" t="n"/>
      <c r="L120" s="16" t="n"/>
      <c r="M120" s="16" t="n"/>
      <c r="N120" s="16" t="n"/>
      <c r="O120" s="16" t="n"/>
      <c r="P120" s="16" t="n"/>
      <c r="Q120" s="16" t="n"/>
      <c r="R120" s="16" t="n"/>
      <c r="S120" s="16" t="n"/>
      <c r="T120" s="16" t="n"/>
      <c r="U120" s="16" t="n"/>
      <c r="V120" s="17" t="n"/>
      <c r="W120" s="116">
        <f>IFERROR(VLOOKUP(SUBSTITUTE(SUBSTITUTE(SUBSTITUTE(F120,"~","~~"),"*","~*"),"?","~?"),'DADOS_PROGRESSAO'!$AJ$2:$AK$22,2,FALSE),"")</f>
        <v/>
      </c>
      <c r="X120" s="16" t="n"/>
      <c r="Y120" s="16" t="n"/>
      <c r="Z120" s="16" t="n"/>
      <c r="AA120" s="16" t="n"/>
      <c r="AB120" s="16" t="n"/>
      <c r="AC120" s="17" t="n"/>
      <c r="AD120" s="116">
        <f>R457</f>
        <v/>
      </c>
      <c r="AE120" s="16" t="n"/>
      <c r="AF120" s="16" t="n"/>
      <c r="AG120" s="16" t="n"/>
      <c r="AH120" s="16" t="n"/>
      <c r="AI120" s="16" t="n"/>
      <c r="AJ120" s="16" t="n"/>
      <c r="AK120" s="17" t="n"/>
      <c r="AL120" s="116" t="n"/>
      <c r="AM120" s="16" t="n"/>
      <c r="AN120" s="16" t="n"/>
      <c r="AO120" s="16" t="n"/>
      <c r="AP120" s="16" t="n"/>
      <c r="AQ120" s="16" t="n"/>
      <c r="AR120" s="16" t="n"/>
      <c r="AS120" s="16" t="n"/>
      <c r="AT120" s="17" t="n"/>
      <c r="AW120" s="66" t="n"/>
    </row>
    <row r="121" hidden="1" outlineLevel="1" ht="18.75" customHeight="1">
      <c r="D121" s="108" t="b">
        <v>0</v>
      </c>
      <c r="E121" s="108" t="b">
        <v>0</v>
      </c>
      <c r="F121" s="116">
        <f>'DADOS_PROGRESSAO'!$AW$5</f>
        <v/>
      </c>
      <c r="G121" s="16" t="n"/>
      <c r="H121" s="16" t="n"/>
      <c r="I121" s="16" t="n"/>
      <c r="J121" s="16" t="n"/>
      <c r="K121" s="16" t="n"/>
      <c r="L121" s="16" t="n"/>
      <c r="M121" s="16" t="n"/>
      <c r="N121" s="16" t="n"/>
      <c r="O121" s="16" t="n"/>
      <c r="P121" s="16" t="n"/>
      <c r="Q121" s="16" t="n"/>
      <c r="R121" s="16" t="n"/>
      <c r="S121" s="16" t="n"/>
      <c r="T121" s="16" t="n"/>
      <c r="U121" s="16" t="n"/>
      <c r="V121" s="17" t="n"/>
      <c r="W121" s="116">
        <f>IFERROR(VLOOKUP(SUBSTITUTE(SUBSTITUTE(SUBSTITUTE(F121,"~","~~"),"*","~*"),"?","~?"),'DADOS_PROGRESSAO'!$AJ$2:$AK$22,2,FALSE),"")</f>
        <v/>
      </c>
      <c r="X121" s="16" t="n"/>
      <c r="Y121" s="16" t="n"/>
      <c r="Z121" s="16" t="n"/>
      <c r="AA121" s="16" t="n"/>
      <c r="AB121" s="16" t="n"/>
      <c r="AC121" s="17" t="n"/>
      <c r="AD121" s="116">
        <f>R458</f>
        <v/>
      </c>
      <c r="AE121" s="16" t="n"/>
      <c r="AF121" s="16" t="n"/>
      <c r="AG121" s="16" t="n"/>
      <c r="AH121" s="16" t="n"/>
      <c r="AI121" s="16" t="n"/>
      <c r="AJ121" s="16" t="n"/>
      <c r="AK121" s="17" t="n"/>
      <c r="AL121" s="116" t="n"/>
      <c r="AM121" s="16" t="n"/>
      <c r="AN121" s="16" t="n"/>
      <c r="AO121" s="16" t="n"/>
      <c r="AP121" s="16" t="n"/>
      <c r="AQ121" s="16" t="n"/>
      <c r="AR121" s="16" t="n"/>
      <c r="AS121" s="16" t="n"/>
      <c r="AT121" s="17" t="n"/>
      <c r="AW121" s="66" t="n"/>
    </row>
    <row r="122" hidden="1" outlineLevel="1" ht="18.75" customHeight="1">
      <c r="D122" s="108" t="b">
        <v>0</v>
      </c>
      <c r="E122" s="108" t="b">
        <v>0</v>
      </c>
      <c r="F122" s="116">
        <f>'DADOS_PROGRESSAO'!$AW$6</f>
        <v/>
      </c>
      <c r="G122" s="16" t="n"/>
      <c r="H122" s="16" t="n"/>
      <c r="I122" s="16" t="n"/>
      <c r="J122" s="16" t="n"/>
      <c r="K122" s="16" t="n"/>
      <c r="L122" s="16" t="n"/>
      <c r="M122" s="16" t="n"/>
      <c r="N122" s="16" t="n"/>
      <c r="O122" s="16" t="n"/>
      <c r="P122" s="16" t="n"/>
      <c r="Q122" s="16" t="n"/>
      <c r="R122" s="16" t="n"/>
      <c r="S122" s="16" t="n"/>
      <c r="T122" s="16" t="n"/>
      <c r="U122" s="16" t="n"/>
      <c r="V122" s="17" t="n"/>
      <c r="W122" s="116">
        <f>IFERROR(VLOOKUP(SUBSTITUTE(SUBSTITUTE(SUBSTITUTE(F122,"~","~~"),"*","~*"),"?","~?"),'DADOS_PROGRESSAO'!$AJ$2:$AK$22,2,FALSE),"")</f>
        <v/>
      </c>
      <c r="X122" s="16" t="n"/>
      <c r="Y122" s="16" t="n"/>
      <c r="Z122" s="16" t="n"/>
      <c r="AA122" s="16" t="n"/>
      <c r="AB122" s="16" t="n"/>
      <c r="AC122" s="17" t="n"/>
      <c r="AD122" s="116">
        <f>R459</f>
        <v/>
      </c>
      <c r="AE122" s="16" t="n"/>
      <c r="AF122" s="16" t="n"/>
      <c r="AG122" s="16" t="n"/>
      <c r="AH122" s="16" t="n"/>
      <c r="AI122" s="16" t="n"/>
      <c r="AJ122" s="16" t="n"/>
      <c r="AK122" s="17" t="n"/>
      <c r="AL122" s="116" t="n"/>
      <c r="AM122" s="16" t="n"/>
      <c r="AN122" s="16" t="n"/>
      <c r="AO122" s="16" t="n"/>
      <c r="AP122" s="16" t="n"/>
      <c r="AQ122" s="16" t="n"/>
      <c r="AR122" s="16" t="n"/>
      <c r="AS122" s="16" t="n"/>
      <c r="AT122" s="17" t="n"/>
      <c r="AW122" s="66" t="n"/>
    </row>
    <row r="123" hidden="1" outlineLevel="1" ht="18.75" customHeight="1">
      <c r="D123" s="108" t="b">
        <v>0</v>
      </c>
      <c r="E123" s="108" t="b">
        <v>0</v>
      </c>
      <c r="F123" s="116">
        <f>'DADOS_PROGRESSAO'!$AW$7</f>
        <v/>
      </c>
      <c r="G123" s="16" t="n"/>
      <c r="H123" s="16" t="n"/>
      <c r="I123" s="16" t="n"/>
      <c r="J123" s="16" t="n"/>
      <c r="K123" s="16" t="n"/>
      <c r="L123" s="16" t="n"/>
      <c r="M123" s="16" t="n"/>
      <c r="N123" s="16" t="n"/>
      <c r="O123" s="16" t="n"/>
      <c r="P123" s="16" t="n"/>
      <c r="Q123" s="16" t="n"/>
      <c r="R123" s="16" t="n"/>
      <c r="S123" s="16" t="n"/>
      <c r="T123" s="16" t="n"/>
      <c r="U123" s="16" t="n"/>
      <c r="V123" s="17" t="n"/>
      <c r="W123" s="116">
        <f>IFERROR(VLOOKUP(SUBSTITUTE(SUBSTITUTE(SUBSTITUTE(F123,"~","~~"),"*","~*"),"?","~?"),'DADOS_PROGRESSAO'!$AJ$2:$AK$22,2,FALSE),"")</f>
        <v/>
      </c>
      <c r="X123" s="16" t="n"/>
      <c r="Y123" s="16" t="n"/>
      <c r="Z123" s="16" t="n"/>
      <c r="AA123" s="16" t="n"/>
      <c r="AB123" s="16" t="n"/>
      <c r="AC123" s="17" t="n"/>
      <c r="AD123" s="116">
        <f>R460</f>
        <v/>
      </c>
      <c r="AE123" s="16" t="n"/>
      <c r="AF123" s="16" t="n"/>
      <c r="AG123" s="16" t="n"/>
      <c r="AH123" s="16" t="n"/>
      <c r="AI123" s="16" t="n"/>
      <c r="AJ123" s="16" t="n"/>
      <c r="AK123" s="17" t="n"/>
      <c r="AL123" s="116" t="n"/>
      <c r="AM123" s="16" t="n"/>
      <c r="AN123" s="16" t="n"/>
      <c r="AO123" s="16" t="n"/>
      <c r="AP123" s="16" t="n"/>
      <c r="AQ123" s="16" t="n"/>
      <c r="AR123" s="16" t="n"/>
      <c r="AS123" s="16" t="n"/>
      <c r="AT123" s="17" t="n"/>
      <c r="AW123" s="66" t="n"/>
    </row>
    <row r="124" hidden="1" outlineLevel="1" ht="18.75" customHeight="1">
      <c r="D124" s="108" t="b">
        <v>0</v>
      </c>
      <c r="E124" s="108" t="b">
        <v>0</v>
      </c>
      <c r="F124" s="116">
        <f>'DADOS_PROGRESSAO'!$AW$8</f>
        <v/>
      </c>
      <c r="G124" s="16" t="n"/>
      <c r="H124" s="16" t="n"/>
      <c r="I124" s="16" t="n"/>
      <c r="J124" s="16" t="n"/>
      <c r="K124" s="16" t="n"/>
      <c r="L124" s="16" t="n"/>
      <c r="M124" s="16" t="n"/>
      <c r="N124" s="16" t="n"/>
      <c r="O124" s="16" t="n"/>
      <c r="P124" s="16" t="n"/>
      <c r="Q124" s="16" t="n"/>
      <c r="R124" s="16" t="n"/>
      <c r="S124" s="16" t="n"/>
      <c r="T124" s="16" t="n"/>
      <c r="U124" s="16" t="n"/>
      <c r="V124" s="17" t="n"/>
      <c r="W124" s="116">
        <f>IFERROR(VLOOKUP(SUBSTITUTE(SUBSTITUTE(SUBSTITUTE(F124,"~","~~"),"*","~*"),"?","~?"),'DADOS_PROGRESSAO'!$AJ$2:$AK$22,2,FALSE),"")</f>
        <v/>
      </c>
      <c r="X124" s="16" t="n"/>
      <c r="Y124" s="16" t="n"/>
      <c r="Z124" s="16" t="n"/>
      <c r="AA124" s="16" t="n"/>
      <c r="AB124" s="16" t="n"/>
      <c r="AC124" s="17" t="n"/>
      <c r="AD124" s="116">
        <f>AL455</f>
        <v/>
      </c>
      <c r="AE124" s="16" t="n"/>
      <c r="AF124" s="16" t="n"/>
      <c r="AG124" s="16" t="n"/>
      <c r="AH124" s="16" t="n"/>
      <c r="AI124" s="16" t="n"/>
      <c r="AJ124" s="16" t="n"/>
      <c r="AK124" s="17" t="n"/>
      <c r="AL124" s="116" t="n"/>
      <c r="AM124" s="16" t="n"/>
      <c r="AN124" s="16" t="n"/>
      <c r="AO124" s="16" t="n"/>
      <c r="AP124" s="16" t="n"/>
      <c r="AQ124" s="16" t="n"/>
      <c r="AR124" s="16" t="n"/>
      <c r="AS124" s="16" t="n"/>
      <c r="AT124" s="17" t="n"/>
      <c r="AW124" s="66" t="n"/>
    </row>
    <row r="125" hidden="1" outlineLevel="1" ht="18.75" customHeight="1">
      <c r="D125" s="108" t="b">
        <v>0</v>
      </c>
      <c r="E125" s="108" t="b">
        <v>0</v>
      </c>
      <c r="F125" s="116">
        <f>'DADOS_PROGRESSAO'!$AW$9</f>
        <v/>
      </c>
      <c r="G125" s="16" t="n"/>
      <c r="H125" s="16" t="n"/>
      <c r="I125" s="16" t="n"/>
      <c r="J125" s="16" t="n"/>
      <c r="K125" s="16" t="n"/>
      <c r="L125" s="16" t="n"/>
      <c r="M125" s="16" t="n"/>
      <c r="N125" s="16" t="n"/>
      <c r="O125" s="16" t="n"/>
      <c r="P125" s="16" t="n"/>
      <c r="Q125" s="16" t="n"/>
      <c r="R125" s="16" t="n"/>
      <c r="S125" s="16" t="n"/>
      <c r="T125" s="16" t="n"/>
      <c r="U125" s="16" t="n"/>
      <c r="V125" s="17" t="n"/>
      <c r="W125" s="116">
        <f>IFERROR(VLOOKUP(SUBSTITUTE(SUBSTITUTE(SUBSTITUTE(F125,"~","~~"),"*","~*"),"?","~?"),'DADOS_PROGRESSAO'!$AJ$2:$AK$22,2,FALSE),"")</f>
        <v/>
      </c>
      <c r="X125" s="16" t="n"/>
      <c r="Y125" s="16" t="n"/>
      <c r="Z125" s="16" t="n"/>
      <c r="AA125" s="16" t="n"/>
      <c r="AB125" s="16" t="n"/>
      <c r="AC125" s="17" t="n"/>
      <c r="AD125" s="116">
        <f>AL456</f>
        <v/>
      </c>
      <c r="AE125" s="16" t="n"/>
      <c r="AF125" s="16" t="n"/>
      <c r="AG125" s="16" t="n"/>
      <c r="AH125" s="16" t="n"/>
      <c r="AI125" s="16" t="n"/>
      <c r="AJ125" s="16" t="n"/>
      <c r="AK125" s="17" t="n"/>
      <c r="AL125" s="116" t="n"/>
      <c r="AM125" s="16" t="n"/>
      <c r="AN125" s="16" t="n"/>
      <c r="AO125" s="16" t="n"/>
      <c r="AP125" s="16" t="n"/>
      <c r="AQ125" s="16" t="n"/>
      <c r="AR125" s="16" t="n"/>
      <c r="AS125" s="16" t="n"/>
      <c r="AT125" s="17" t="n"/>
      <c r="AW125" s="66" t="n"/>
    </row>
    <row r="126" hidden="1" outlineLevel="1" ht="18.75" customHeight="1">
      <c r="D126" s="108" t="b">
        <v>0</v>
      </c>
      <c r="E126" s="108" t="b">
        <v>0</v>
      </c>
      <c r="F126" s="116">
        <f>'DADOS_PROGRESSAO'!$AW$10</f>
        <v/>
      </c>
      <c r="G126" s="16" t="n"/>
      <c r="H126" s="16" t="n"/>
      <c r="I126" s="16" t="n"/>
      <c r="J126" s="16" t="n"/>
      <c r="K126" s="16" t="n"/>
      <c r="L126" s="16" t="n"/>
      <c r="M126" s="16" t="n"/>
      <c r="N126" s="16" t="n"/>
      <c r="O126" s="16" t="n"/>
      <c r="P126" s="16" t="n"/>
      <c r="Q126" s="16" t="n"/>
      <c r="R126" s="16" t="n"/>
      <c r="S126" s="16" t="n"/>
      <c r="T126" s="16" t="n"/>
      <c r="U126" s="16" t="n"/>
      <c r="V126" s="17" t="n"/>
      <c r="W126" s="116">
        <f>IFERROR(VLOOKUP(SUBSTITUTE(SUBSTITUTE(SUBSTITUTE(F126,"~","~~"),"*","~*"),"?","~?"),'DADOS_PROGRESSAO'!$AJ$2:$AK$22,2,FALSE),"")</f>
        <v/>
      </c>
      <c r="X126" s="16" t="n"/>
      <c r="Y126" s="16" t="n"/>
      <c r="Z126" s="16" t="n"/>
      <c r="AA126" s="16" t="n"/>
      <c r="AB126" s="16" t="n"/>
      <c r="AC126" s="17" t="n"/>
      <c r="AD126" s="116">
        <f>AL457</f>
        <v/>
      </c>
      <c r="AE126" s="16" t="n"/>
      <c r="AF126" s="16" t="n"/>
      <c r="AG126" s="16" t="n"/>
      <c r="AH126" s="16" t="n"/>
      <c r="AI126" s="16" t="n"/>
      <c r="AJ126" s="16" t="n"/>
      <c r="AK126" s="17" t="n"/>
      <c r="AL126" s="116" t="n"/>
      <c r="AM126" s="16" t="n"/>
      <c r="AN126" s="16" t="n"/>
      <c r="AO126" s="16" t="n"/>
      <c r="AP126" s="16" t="n"/>
      <c r="AQ126" s="16" t="n"/>
      <c r="AR126" s="16" t="n"/>
      <c r="AS126" s="16" t="n"/>
      <c r="AT126" s="17" t="n"/>
      <c r="AW126" s="66" t="n"/>
    </row>
    <row r="127" hidden="1" outlineLevel="1" ht="18.75" customHeight="1">
      <c r="D127" s="108" t="b">
        <v>0</v>
      </c>
      <c r="E127" s="108" t="b">
        <v>0</v>
      </c>
      <c r="F127" s="116">
        <f>'DADOS_PROGRESSAO'!$AW$11</f>
        <v/>
      </c>
      <c r="G127" s="16" t="n"/>
      <c r="H127" s="16" t="n"/>
      <c r="I127" s="16" t="n"/>
      <c r="J127" s="16" t="n"/>
      <c r="K127" s="16" t="n"/>
      <c r="L127" s="16" t="n"/>
      <c r="M127" s="16" t="n"/>
      <c r="N127" s="16" t="n"/>
      <c r="O127" s="16" t="n"/>
      <c r="P127" s="16" t="n"/>
      <c r="Q127" s="16" t="n"/>
      <c r="R127" s="16" t="n"/>
      <c r="S127" s="16" t="n"/>
      <c r="T127" s="16" t="n"/>
      <c r="U127" s="16" t="n"/>
      <c r="V127" s="17" t="n"/>
      <c r="W127" s="116">
        <f>IFERROR(VLOOKUP(SUBSTITUTE(SUBSTITUTE(SUBSTITUTE(F127,"~","~~"),"*","~*"),"?","~?"),'DADOS_PROGRESSAO'!$AJ$2:$AK$22,2,FALSE),"")</f>
        <v/>
      </c>
      <c r="X127" s="16" t="n"/>
      <c r="Y127" s="16" t="n"/>
      <c r="Z127" s="16" t="n"/>
      <c r="AA127" s="16" t="n"/>
      <c r="AB127" s="16" t="n"/>
      <c r="AC127" s="17" t="n"/>
      <c r="AD127" s="116">
        <f>AL458</f>
        <v/>
      </c>
      <c r="AE127" s="16" t="n"/>
      <c r="AF127" s="16" t="n"/>
      <c r="AG127" s="16" t="n"/>
      <c r="AH127" s="16" t="n"/>
      <c r="AI127" s="16" t="n"/>
      <c r="AJ127" s="16" t="n"/>
      <c r="AK127" s="17" t="n"/>
      <c r="AL127" s="116" t="n"/>
      <c r="AM127" s="16" t="n"/>
      <c r="AN127" s="16" t="n"/>
      <c r="AO127" s="16" t="n"/>
      <c r="AP127" s="16" t="n"/>
      <c r="AQ127" s="16" t="n"/>
      <c r="AR127" s="16" t="n"/>
      <c r="AS127" s="16" t="n"/>
      <c r="AT127" s="17" t="n"/>
      <c r="AW127" s="66" t="n"/>
    </row>
    <row r="128" hidden="1" outlineLevel="1" ht="18.75" customHeight="1">
      <c r="AW128" s="66" t="n"/>
    </row>
    <row r="129">
      <c r="A129" s="8" t="n"/>
      <c r="B129" s="14" t="n"/>
      <c r="C129" s="41" t="n"/>
      <c r="D129" s="51" t="n"/>
      <c r="E129" s="51" t="n"/>
      <c r="F129" s="51" t="n"/>
      <c r="G129" s="51" t="n"/>
      <c r="H129" s="51" t="n"/>
      <c r="I129" s="51" t="n"/>
      <c r="J129" s="51" t="n"/>
      <c r="K129" s="51" t="n"/>
      <c r="L129" s="51" t="n"/>
      <c r="M129" s="51" t="n"/>
      <c r="N129" s="51" t="n"/>
      <c r="O129" s="51" t="n"/>
      <c r="P129" s="51" t="n"/>
      <c r="Q129" s="51" t="n"/>
      <c r="R129" s="51" t="n"/>
      <c r="S129" s="51" t="n"/>
      <c r="T129" s="51" t="n"/>
      <c r="U129" s="51" t="n"/>
      <c r="V129" s="51" t="n"/>
      <c r="W129" s="51" t="n"/>
      <c r="X129" s="51" t="n"/>
      <c r="Y129" s="51" t="n"/>
      <c r="Z129" s="51" t="n"/>
      <c r="AA129" s="51" t="n"/>
      <c r="AB129" s="51" t="n"/>
      <c r="AC129" s="51" t="n"/>
      <c r="AD129" s="51" t="n"/>
      <c r="AE129" s="51" t="n"/>
      <c r="AF129" s="51" t="n"/>
      <c r="AG129" s="51" t="n"/>
      <c r="AH129" s="51" t="n"/>
      <c r="AI129" s="51" t="n"/>
      <c r="AJ129" s="51" t="n"/>
      <c r="AK129" s="51" t="n"/>
      <c r="AL129" s="51" t="n"/>
      <c r="AM129" s="51" t="n"/>
      <c r="AN129" s="51" t="n"/>
      <c r="AO129" s="51" t="n"/>
      <c r="AP129" s="51" t="n"/>
      <c r="AQ129" s="51" t="n"/>
      <c r="AR129" s="51" t="n"/>
      <c r="AS129" s="51" t="n"/>
      <c r="AT129" s="51" t="n"/>
      <c r="AW129" s="66" t="n"/>
    </row>
    <row r="130" ht="27" customHeight="1">
      <c r="A130" s="8" t="n"/>
      <c r="B130" s="14" t="n"/>
      <c r="C130" s="41" t="n"/>
      <c r="D130" s="69" t="n">
        <v>7</v>
      </c>
      <c r="E130" s="19" t="n"/>
      <c r="F130" s="20" t="n"/>
      <c r="G130" s="101" t="inlineStr">
        <is>
          <t>HABILIDADES</t>
        </is>
      </c>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c r="AE130" s="16" t="n"/>
      <c r="AF130" s="16" t="n"/>
      <c r="AG130" s="16" t="n"/>
      <c r="AH130" s="17" t="n"/>
      <c r="AI130" s="41" t="n"/>
      <c r="AJ130" s="41" t="n"/>
      <c r="AK130" s="41" t="n"/>
      <c r="AL130" s="41" t="n"/>
      <c r="AM130" s="41" t="n"/>
      <c r="AN130" s="41" t="n"/>
      <c r="AO130" s="41" t="n"/>
      <c r="AP130" s="41" t="n"/>
      <c r="AQ130" s="41" t="n"/>
      <c r="AR130" s="41" t="n"/>
      <c r="AS130" s="41" t="n"/>
      <c r="AT130" s="41" t="n"/>
      <c r="AW130" s="66" t="n"/>
    </row>
    <row r="131">
      <c r="A131" s="8" t="n"/>
      <c r="B131" s="14" t="n"/>
      <c r="C131" s="41" t="n"/>
      <c r="D131" s="23" t="n"/>
      <c r="E131" s="24" t="n"/>
      <c r="F131" s="25"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1" t="n"/>
      <c r="AM131" s="41" t="n"/>
      <c r="AN131" s="41" t="n"/>
      <c r="AO131" s="41" t="n"/>
      <c r="AP131" s="41" t="n"/>
      <c r="AQ131" s="41" t="n"/>
      <c r="AR131" s="41" t="n"/>
      <c r="AS131" s="41" t="n"/>
      <c r="AT131" s="41" t="n"/>
      <c r="AW131" s="128" t="n"/>
    </row>
    <row r="132">
      <c r="A132" s="8" t="n"/>
      <c r="B132" s="14"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c r="AA132" s="41" t="n"/>
      <c r="AB132" s="41" t="n"/>
      <c r="AC132" s="41" t="n"/>
      <c r="AD132" s="41" t="n"/>
      <c r="AE132" s="41" t="n"/>
      <c r="AF132" s="41" t="n"/>
      <c r="AG132" s="41" t="n"/>
      <c r="AH132" s="41" t="n"/>
      <c r="AI132" s="41" t="n"/>
      <c r="AJ132" s="41" t="n"/>
      <c r="AK132" s="41" t="n"/>
      <c r="AL132" s="41" t="n"/>
      <c r="AM132" s="41" t="n"/>
      <c r="AN132" s="41" t="n"/>
      <c r="AO132" s="41" t="n"/>
      <c r="AP132" s="41" t="n"/>
      <c r="AQ132" s="41" t="n"/>
      <c r="AR132" s="41" t="n"/>
      <c r="AS132" s="41" t="n"/>
      <c r="AT132" s="41" t="n"/>
    </row>
    <row r="133" outlineLevel="1">
      <c r="A133" s="8" t="n"/>
      <c r="B133" s="14" t="n"/>
      <c r="C133" s="41" t="n"/>
      <c r="D133" s="129">
        <f>DADOS_AM!$JF$2</f>
        <v/>
      </c>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c r="AE133" s="16" t="n"/>
      <c r="AF133" s="16" t="n"/>
      <c r="AG133" s="16" t="n"/>
      <c r="AH133" s="16" t="n"/>
      <c r="AI133" s="16" t="n"/>
      <c r="AJ133" s="16" t="n"/>
      <c r="AK133" s="16" t="n"/>
      <c r="AL133" s="16" t="n"/>
      <c r="AM133" s="16" t="n"/>
      <c r="AN133" s="16" t="n"/>
      <c r="AO133" s="16" t="n"/>
      <c r="AP133" s="16" t="n"/>
      <c r="AQ133" s="16" t="n"/>
      <c r="AR133" s="16" t="n"/>
      <c r="AS133" s="16" t="n"/>
      <c r="AT133" s="17" t="n"/>
    </row>
    <row r="134" outlineLevel="2">
      <c r="A134" s="8" t="n"/>
      <c r="B134" s="14" t="n"/>
      <c r="C134" s="41" t="n"/>
      <c r="D134" s="130">
        <f>DADOS_AM!$IX$2</f>
        <v/>
      </c>
      <c r="E134" s="16" t="n"/>
      <c r="F134" s="17" t="n"/>
      <c r="G134" s="131"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c r="AE134" s="16" t="n"/>
      <c r="AF134" s="16" t="n"/>
      <c r="AG134" s="16" t="n"/>
      <c r="AH134" s="16" t="n"/>
      <c r="AI134" s="16" t="n"/>
      <c r="AJ134" s="16" t="n"/>
      <c r="AK134" s="16" t="n"/>
      <c r="AL134" s="16" t="n"/>
      <c r="AM134" s="16" t="n"/>
      <c r="AN134" s="16" t="n"/>
      <c r="AO134" s="16" t="n"/>
      <c r="AP134" s="16" t="n"/>
      <c r="AQ134" s="16" t="n"/>
      <c r="AR134" s="16" t="n"/>
      <c r="AS134" s="16" t="n"/>
      <c r="AT134" s="17" t="n"/>
    </row>
    <row r="135" outlineLevel="3">
      <c r="A135" s="8" t="n"/>
      <c r="B135" s="14" t="n"/>
      <c r="C135" s="41" t="n"/>
      <c r="D135" s="61"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20" t="n"/>
    </row>
    <row r="136" outlineLevel="3">
      <c r="A136" s="8" t="n"/>
      <c r="B136" s="14" t="n"/>
      <c r="C136" s="41" t="n"/>
      <c r="D136" s="21" t="n"/>
      <c r="AT136" s="22" t="n"/>
    </row>
    <row r="137" outlineLevel="3">
      <c r="A137" s="8" t="n"/>
      <c r="B137" s="14" t="n"/>
      <c r="C137" s="41" t="n"/>
      <c r="D137" s="21" t="n"/>
      <c r="AT137" s="22" t="n"/>
    </row>
    <row r="138" outlineLevel="3">
      <c r="A138" s="8" t="n"/>
      <c r="B138" s="14" t="n"/>
      <c r="C138" s="41" t="n"/>
      <c r="D138" s="23" t="n"/>
      <c r="E138" s="24" t="n"/>
      <c r="F138" s="24" t="n"/>
      <c r="G138" s="24" t="n"/>
      <c r="H138" s="24" t="n"/>
      <c r="I138" s="24" t="n"/>
      <c r="J138" s="24" t="n"/>
      <c r="K138" s="24" t="n"/>
      <c r="L138" s="24" t="n"/>
      <c r="M138" s="24" t="n"/>
      <c r="N138" s="24" t="n"/>
      <c r="O138" s="24" t="n"/>
      <c r="P138" s="24" t="n"/>
      <c r="Q138" s="24" t="n"/>
      <c r="R138" s="24" t="n"/>
      <c r="S138" s="24" t="n"/>
      <c r="T138" s="24" t="n"/>
      <c r="U138" s="24" t="n"/>
      <c r="V138" s="24" t="n"/>
      <c r="W138" s="24" t="n"/>
      <c r="X138" s="24" t="n"/>
      <c r="Y138" s="24" t="n"/>
      <c r="Z138" s="24" t="n"/>
      <c r="AA138" s="24" t="n"/>
      <c r="AB138" s="24" t="n"/>
      <c r="AC138" s="24" t="n"/>
      <c r="AD138" s="24" t="n"/>
      <c r="AE138" s="24" t="n"/>
      <c r="AF138" s="24" t="n"/>
      <c r="AG138" s="24" t="n"/>
      <c r="AH138" s="24" t="n"/>
      <c r="AI138" s="24" t="n"/>
      <c r="AJ138" s="24" t="n"/>
      <c r="AK138" s="24" t="n"/>
      <c r="AL138" s="24" t="n"/>
      <c r="AM138" s="24" t="n"/>
      <c r="AN138" s="24" t="n"/>
      <c r="AO138" s="24" t="n"/>
      <c r="AP138" s="24" t="n"/>
      <c r="AQ138" s="24" t="n"/>
      <c r="AR138" s="24" t="n"/>
      <c r="AS138" s="24" t="n"/>
      <c r="AT138" s="25" t="n"/>
    </row>
    <row r="139" outlineLevel="2">
      <c r="A139" s="8" t="n"/>
      <c r="B139" s="14"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1" t="n"/>
      <c r="AD139" s="41" t="n"/>
      <c r="AE139" s="41" t="n"/>
      <c r="AF139" s="41" t="n"/>
      <c r="AG139" s="41" t="n"/>
      <c r="AH139" s="41" t="n"/>
      <c r="AI139" s="41" t="n"/>
      <c r="AJ139" s="41" t="n"/>
      <c r="AK139" s="41" t="n"/>
      <c r="AL139" s="41" t="n"/>
      <c r="AM139" s="41" t="n"/>
      <c r="AN139" s="41" t="n"/>
      <c r="AO139" s="41" t="n"/>
      <c r="AP139" s="41" t="n"/>
      <c r="AQ139" s="41" t="n"/>
      <c r="AR139" s="41" t="n"/>
      <c r="AS139" s="41" t="n"/>
      <c r="AT139" s="41" t="n"/>
    </row>
    <row r="140" outlineLevel="2">
      <c r="A140" s="8" t="n"/>
      <c r="B140" s="14" t="n"/>
      <c r="C140" s="41" t="n"/>
      <c r="D140" s="130">
        <f>DADOS_AM!$IX$3</f>
        <v/>
      </c>
      <c r="E140" s="16" t="n"/>
      <c r="F140" s="17" t="n"/>
      <c r="G140" s="131"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c r="AE140" s="16" t="n"/>
      <c r="AF140" s="16" t="n"/>
      <c r="AG140" s="16" t="n"/>
      <c r="AH140" s="16" t="n"/>
      <c r="AI140" s="16" t="n"/>
      <c r="AJ140" s="16" t="n"/>
      <c r="AK140" s="16" t="n"/>
      <c r="AL140" s="16" t="n"/>
      <c r="AM140" s="16" t="n"/>
      <c r="AN140" s="16" t="n"/>
      <c r="AO140" s="16" t="n"/>
      <c r="AP140" s="16" t="n"/>
      <c r="AQ140" s="16" t="n"/>
      <c r="AR140" s="16" t="n"/>
      <c r="AS140" s="16" t="n"/>
      <c r="AT140" s="17" t="n"/>
    </row>
    <row r="141" outlineLevel="3">
      <c r="A141" s="8" t="n"/>
      <c r="B141" s="14" t="n"/>
      <c r="C141" s="41" t="n"/>
      <c r="D141" s="61"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20" t="n"/>
    </row>
    <row r="142" outlineLevel="3">
      <c r="A142" s="8" t="n"/>
      <c r="B142" s="14" t="n"/>
      <c r="C142" s="41" t="n"/>
      <c r="D142" s="21" t="n"/>
      <c r="AT142" s="22" t="n"/>
    </row>
    <row r="143" outlineLevel="3">
      <c r="A143" s="8" t="n"/>
      <c r="B143" s="14" t="n"/>
      <c r="C143" s="41" t="n"/>
      <c r="D143" s="21" t="n"/>
      <c r="AT143" s="22" t="n"/>
    </row>
    <row r="144" outlineLevel="3">
      <c r="A144" s="8" t="n"/>
      <c r="B144" s="14" t="n"/>
      <c r="C144" s="41" t="n"/>
      <c r="D144" s="23" t="n"/>
      <c r="E144" s="24" t="n"/>
      <c r="F144" s="24" t="n"/>
      <c r="G144" s="24" t="n"/>
      <c r="H144" s="24" t="n"/>
      <c r="I144" s="24" t="n"/>
      <c r="J144" s="24" t="n"/>
      <c r="K144" s="24" t="n"/>
      <c r="L144" s="24" t="n"/>
      <c r="M144" s="24" t="n"/>
      <c r="N144" s="24" t="n"/>
      <c r="O144" s="24" t="n"/>
      <c r="P144" s="24" t="n"/>
      <c r="Q144" s="24" t="n"/>
      <c r="R144" s="24" t="n"/>
      <c r="S144" s="24" t="n"/>
      <c r="T144" s="24" t="n"/>
      <c r="U144" s="24" t="n"/>
      <c r="V144" s="24" t="n"/>
      <c r="W144" s="24" t="n"/>
      <c r="X144" s="24" t="n"/>
      <c r="Y144" s="24" t="n"/>
      <c r="Z144" s="24" t="n"/>
      <c r="AA144" s="24" t="n"/>
      <c r="AB144" s="24" t="n"/>
      <c r="AC144" s="24" t="n"/>
      <c r="AD144" s="24" t="n"/>
      <c r="AE144" s="24" t="n"/>
      <c r="AF144" s="24" t="n"/>
      <c r="AG144" s="24" t="n"/>
      <c r="AH144" s="24" t="n"/>
      <c r="AI144" s="24" t="n"/>
      <c r="AJ144" s="24" t="n"/>
      <c r="AK144" s="24" t="n"/>
      <c r="AL144" s="24" t="n"/>
      <c r="AM144" s="24" t="n"/>
      <c r="AN144" s="24" t="n"/>
      <c r="AO144" s="24" t="n"/>
      <c r="AP144" s="24" t="n"/>
      <c r="AQ144" s="24" t="n"/>
      <c r="AR144" s="24" t="n"/>
      <c r="AS144" s="24" t="n"/>
      <c r="AT144" s="25" t="n"/>
    </row>
    <row r="145" outlineLevel="2">
      <c r="A145" s="8" t="n"/>
      <c r="B145" s="14"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1" t="n"/>
      <c r="AD145" s="41" t="n"/>
      <c r="AE145" s="41" t="n"/>
      <c r="AF145" s="41" t="n"/>
      <c r="AG145" s="41" t="n"/>
      <c r="AH145" s="41" t="n"/>
      <c r="AI145" s="41" t="n"/>
      <c r="AJ145" s="41" t="n"/>
      <c r="AK145" s="41" t="n"/>
      <c r="AL145" s="41" t="n"/>
      <c r="AM145" s="41" t="n"/>
      <c r="AN145" s="41" t="n"/>
      <c r="AO145" s="41" t="n"/>
      <c r="AP145" s="41" t="n"/>
      <c r="AQ145" s="41" t="n"/>
      <c r="AR145" s="41" t="n"/>
      <c r="AS145" s="41" t="n"/>
      <c r="AT145" s="41" t="n"/>
    </row>
    <row r="146" outlineLevel="2">
      <c r="A146" s="8" t="n"/>
      <c r="B146" s="14" t="n"/>
      <c r="C146" s="41" t="n"/>
      <c r="D146" s="130">
        <f>DADOS_AM!$IX$4</f>
        <v/>
      </c>
      <c r="E146" s="16" t="n"/>
      <c r="F146" s="17" t="n"/>
      <c r="G146" s="131"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c r="AE146" s="16" t="n"/>
      <c r="AF146" s="16" t="n"/>
      <c r="AG146" s="16" t="n"/>
      <c r="AH146" s="16" t="n"/>
      <c r="AI146" s="16" t="n"/>
      <c r="AJ146" s="16" t="n"/>
      <c r="AK146" s="16" t="n"/>
      <c r="AL146" s="16" t="n"/>
      <c r="AM146" s="16" t="n"/>
      <c r="AN146" s="16" t="n"/>
      <c r="AO146" s="16" t="n"/>
      <c r="AP146" s="16" t="n"/>
      <c r="AQ146" s="16" t="n"/>
      <c r="AR146" s="16" t="n"/>
      <c r="AS146" s="16" t="n"/>
      <c r="AT146" s="17" t="n"/>
    </row>
    <row r="147" outlineLevel="3">
      <c r="A147" s="8" t="n"/>
      <c r="B147" s="14" t="n"/>
      <c r="C147" s="41" t="n"/>
      <c r="D147" s="61"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20" t="n"/>
    </row>
    <row r="148" outlineLevel="3">
      <c r="A148" s="8" t="n"/>
      <c r="B148" s="14" t="n"/>
      <c r="C148" s="41" t="n"/>
      <c r="D148" s="21" t="n"/>
      <c r="AT148" s="22" t="n"/>
    </row>
    <row r="149" outlineLevel="3">
      <c r="A149" s="8" t="n"/>
      <c r="B149" s="14" t="n"/>
      <c r="C149" s="41" t="n"/>
      <c r="D149" s="21" t="n"/>
      <c r="AT149" s="22" t="n"/>
    </row>
    <row r="150" outlineLevel="3">
      <c r="A150" s="8" t="n"/>
      <c r="B150" s="14" t="n"/>
      <c r="C150" s="41" t="n"/>
      <c r="D150" s="23" t="n"/>
      <c r="E150" s="24" t="n"/>
      <c r="F150" s="24" t="n"/>
      <c r="G150" s="24" t="n"/>
      <c r="H150" s="24" t="n"/>
      <c r="I150" s="24" t="n"/>
      <c r="J150" s="24" t="n"/>
      <c r="K150" s="24" t="n"/>
      <c r="L150" s="24" t="n"/>
      <c r="M150" s="24" t="n"/>
      <c r="N150" s="24" t="n"/>
      <c r="O150" s="24" t="n"/>
      <c r="P150" s="24" t="n"/>
      <c r="Q150" s="24" t="n"/>
      <c r="R150" s="24" t="n"/>
      <c r="S150" s="24" t="n"/>
      <c r="T150" s="24" t="n"/>
      <c r="U150" s="24" t="n"/>
      <c r="V150" s="24" t="n"/>
      <c r="W150" s="24" t="n"/>
      <c r="X150" s="24" t="n"/>
      <c r="Y150" s="24" t="n"/>
      <c r="Z150" s="24" t="n"/>
      <c r="AA150" s="24" t="n"/>
      <c r="AB150" s="24" t="n"/>
      <c r="AC150" s="24" t="n"/>
      <c r="AD150" s="24" t="n"/>
      <c r="AE150" s="24" t="n"/>
      <c r="AF150" s="24" t="n"/>
      <c r="AG150" s="24" t="n"/>
      <c r="AH150" s="24" t="n"/>
      <c r="AI150" s="24" t="n"/>
      <c r="AJ150" s="24" t="n"/>
      <c r="AK150" s="24" t="n"/>
      <c r="AL150" s="24" t="n"/>
      <c r="AM150" s="24" t="n"/>
      <c r="AN150" s="24" t="n"/>
      <c r="AO150" s="24" t="n"/>
      <c r="AP150" s="24" t="n"/>
      <c r="AQ150" s="24" t="n"/>
      <c r="AR150" s="24" t="n"/>
      <c r="AS150" s="24" t="n"/>
      <c r="AT150" s="25" t="n"/>
    </row>
    <row r="151" outlineLevel="2">
      <c r="A151" s="8" t="n"/>
      <c r="B151" s="14"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1" t="n"/>
      <c r="AD151" s="41" t="n"/>
      <c r="AE151" s="41" t="n"/>
      <c r="AF151" s="41" t="n"/>
      <c r="AG151" s="41" t="n"/>
      <c r="AH151" s="41" t="n"/>
      <c r="AI151" s="41" t="n"/>
      <c r="AJ151" s="41" t="n"/>
      <c r="AK151" s="41" t="n"/>
      <c r="AL151" s="41" t="n"/>
      <c r="AM151" s="41" t="n"/>
      <c r="AN151" s="41" t="n"/>
      <c r="AO151" s="41" t="n"/>
      <c r="AP151" s="41" t="n"/>
      <c r="AQ151" s="41" t="n"/>
      <c r="AR151" s="41" t="n"/>
      <c r="AS151" s="41" t="n"/>
      <c r="AT151" s="41" t="n"/>
    </row>
    <row r="152" outlineLevel="2">
      <c r="A152" s="8" t="n"/>
      <c r="B152" s="14" t="n"/>
      <c r="C152" s="41" t="n"/>
      <c r="D152" s="130">
        <f>DADOS_AM!$IX$5</f>
        <v/>
      </c>
      <c r="E152" s="16" t="n"/>
      <c r="F152" s="17" t="n"/>
      <c r="G152" s="131"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c r="AE152" s="16" t="n"/>
      <c r="AF152" s="16" t="n"/>
      <c r="AG152" s="16" t="n"/>
      <c r="AH152" s="16" t="n"/>
      <c r="AI152" s="16" t="n"/>
      <c r="AJ152" s="16" t="n"/>
      <c r="AK152" s="16" t="n"/>
      <c r="AL152" s="16" t="n"/>
      <c r="AM152" s="16" t="n"/>
      <c r="AN152" s="16" t="n"/>
      <c r="AO152" s="16" t="n"/>
      <c r="AP152" s="16" t="n"/>
      <c r="AQ152" s="16" t="n"/>
      <c r="AR152" s="16" t="n"/>
      <c r="AS152" s="16" t="n"/>
      <c r="AT152" s="17" t="n"/>
    </row>
    <row r="153" outlineLevel="3">
      <c r="A153" s="8" t="n"/>
      <c r="B153" s="14" t="n"/>
      <c r="C153" s="41" t="n"/>
      <c r="D153" s="61"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20" t="n"/>
    </row>
    <row r="154" outlineLevel="3">
      <c r="A154" s="8" t="n"/>
      <c r="B154" s="14" t="n"/>
      <c r="C154" s="41" t="n"/>
      <c r="D154" s="21" t="n"/>
      <c r="AT154" s="22" t="n"/>
    </row>
    <row r="155" outlineLevel="3">
      <c r="A155" s="8" t="n"/>
      <c r="B155" s="14" t="n"/>
      <c r="C155" s="41" t="n"/>
      <c r="D155" s="21" t="n"/>
      <c r="AT155" s="22" t="n"/>
    </row>
    <row r="156" outlineLevel="3">
      <c r="A156" s="8" t="n"/>
      <c r="B156" s="14" t="n"/>
      <c r="C156" s="41" t="n"/>
      <c r="D156" s="23" t="n"/>
      <c r="E156" s="24" t="n"/>
      <c r="F156" s="24" t="n"/>
      <c r="G156" s="24" t="n"/>
      <c r="H156" s="24" t="n"/>
      <c r="I156" s="24" t="n"/>
      <c r="J156" s="24" t="n"/>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c r="AE156" s="24" t="n"/>
      <c r="AF156" s="24" t="n"/>
      <c r="AG156" s="24" t="n"/>
      <c r="AH156" s="24" t="n"/>
      <c r="AI156" s="24" t="n"/>
      <c r="AJ156" s="24" t="n"/>
      <c r="AK156" s="24" t="n"/>
      <c r="AL156" s="24" t="n"/>
      <c r="AM156" s="24" t="n"/>
      <c r="AN156" s="24" t="n"/>
      <c r="AO156" s="24" t="n"/>
      <c r="AP156" s="24" t="n"/>
      <c r="AQ156" s="24" t="n"/>
      <c r="AR156" s="24" t="n"/>
      <c r="AS156" s="24" t="n"/>
      <c r="AT156" s="25" t="n"/>
    </row>
    <row r="157" outlineLevel="2">
      <c r="A157" s="8" t="n"/>
      <c r="B157" s="14"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1" t="n"/>
      <c r="AD157" s="41" t="n"/>
      <c r="AE157" s="41" t="n"/>
      <c r="AF157" s="41" t="n"/>
      <c r="AG157" s="41" t="n"/>
      <c r="AH157" s="41" t="n"/>
      <c r="AI157" s="41" t="n"/>
      <c r="AJ157" s="41" t="n"/>
      <c r="AK157" s="41" t="n"/>
      <c r="AL157" s="41" t="n"/>
      <c r="AM157" s="41" t="n"/>
      <c r="AN157" s="41" t="n"/>
      <c r="AO157" s="41" t="n"/>
      <c r="AP157" s="41" t="n"/>
      <c r="AQ157" s="41" t="n"/>
      <c r="AR157" s="41" t="n"/>
      <c r="AS157" s="41" t="n"/>
      <c r="AT157" s="41" t="n"/>
    </row>
    <row r="158" outlineLevel="2">
      <c r="A158" s="8" t="n"/>
      <c r="B158" s="14" t="n"/>
      <c r="C158" s="41" t="n"/>
      <c r="D158" s="130">
        <f>DADOS_AM!$IX$6</f>
        <v/>
      </c>
      <c r="E158" s="16" t="n"/>
      <c r="F158" s="17" t="n"/>
      <c r="G158" s="131"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c r="AE158" s="16" t="n"/>
      <c r="AF158" s="16" t="n"/>
      <c r="AG158" s="16" t="n"/>
      <c r="AH158" s="16" t="n"/>
      <c r="AI158" s="16" t="n"/>
      <c r="AJ158" s="16" t="n"/>
      <c r="AK158" s="16" t="n"/>
      <c r="AL158" s="16" t="n"/>
      <c r="AM158" s="16" t="n"/>
      <c r="AN158" s="16" t="n"/>
      <c r="AO158" s="16" t="n"/>
      <c r="AP158" s="16" t="n"/>
      <c r="AQ158" s="16" t="n"/>
      <c r="AR158" s="16" t="n"/>
      <c r="AS158" s="16" t="n"/>
      <c r="AT158" s="17" t="n"/>
    </row>
    <row r="159" outlineLevel="3">
      <c r="A159" s="8" t="n"/>
      <c r="B159" s="14" t="n"/>
      <c r="C159" s="41" t="n"/>
      <c r="D159" s="61"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20" t="n"/>
    </row>
    <row r="160" outlineLevel="3">
      <c r="A160" s="8" t="n"/>
      <c r="B160" s="14" t="n"/>
      <c r="C160" s="41" t="n"/>
      <c r="D160" s="21" t="n"/>
      <c r="AT160" s="22" t="n"/>
    </row>
    <row r="161" outlineLevel="3">
      <c r="A161" s="8" t="n"/>
      <c r="B161" s="14" t="n"/>
      <c r="C161" s="41" t="n"/>
      <c r="D161" s="21" t="n"/>
      <c r="AT161" s="22" t="n"/>
    </row>
    <row r="162" outlineLevel="3">
      <c r="A162" s="8" t="n"/>
      <c r="B162" s="14" t="n"/>
      <c r="C162" s="41" t="n"/>
      <c r="D162" s="23" t="n"/>
      <c r="E162" s="24" t="n"/>
      <c r="F162" s="24" t="n"/>
      <c r="G162" s="24" t="n"/>
      <c r="H162" s="24" t="n"/>
      <c r="I162" s="24" t="n"/>
      <c r="J162" s="24" t="n"/>
      <c r="K162" s="24" t="n"/>
      <c r="L162" s="24" t="n"/>
      <c r="M162" s="24" t="n"/>
      <c r="N162" s="24" t="n"/>
      <c r="O162" s="24" t="n"/>
      <c r="P162" s="24" t="n"/>
      <c r="Q162" s="24" t="n"/>
      <c r="R162" s="24" t="n"/>
      <c r="S162" s="24" t="n"/>
      <c r="T162" s="24" t="n"/>
      <c r="U162" s="24" t="n"/>
      <c r="V162" s="24" t="n"/>
      <c r="W162" s="24" t="n"/>
      <c r="X162" s="24" t="n"/>
      <c r="Y162" s="24" t="n"/>
      <c r="Z162" s="24" t="n"/>
      <c r="AA162" s="24" t="n"/>
      <c r="AB162" s="24" t="n"/>
      <c r="AC162" s="24" t="n"/>
      <c r="AD162" s="24" t="n"/>
      <c r="AE162" s="24" t="n"/>
      <c r="AF162" s="24" t="n"/>
      <c r="AG162" s="24" t="n"/>
      <c r="AH162" s="24" t="n"/>
      <c r="AI162" s="24" t="n"/>
      <c r="AJ162" s="24" t="n"/>
      <c r="AK162" s="24" t="n"/>
      <c r="AL162" s="24" t="n"/>
      <c r="AM162" s="24" t="n"/>
      <c r="AN162" s="24" t="n"/>
      <c r="AO162" s="24" t="n"/>
      <c r="AP162" s="24" t="n"/>
      <c r="AQ162" s="24" t="n"/>
      <c r="AR162" s="24" t="n"/>
      <c r="AS162" s="24" t="n"/>
      <c r="AT162" s="25" t="n"/>
    </row>
    <row r="163" outlineLevel="2">
      <c r="A163" s="8" t="n"/>
      <c r="B163" s="14"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1" t="n"/>
      <c r="AD163" s="41" t="n"/>
      <c r="AE163" s="41" t="n"/>
      <c r="AF163" s="41" t="n"/>
      <c r="AG163" s="41" t="n"/>
      <c r="AH163" s="41" t="n"/>
      <c r="AI163" s="41" t="n"/>
      <c r="AJ163" s="41" t="n"/>
      <c r="AK163" s="41" t="n"/>
      <c r="AL163" s="41" t="n"/>
      <c r="AM163" s="41" t="n"/>
      <c r="AN163" s="41" t="n"/>
      <c r="AO163" s="41" t="n"/>
      <c r="AP163" s="41" t="n"/>
      <c r="AQ163" s="41" t="n"/>
      <c r="AR163" s="41" t="n"/>
      <c r="AS163" s="41" t="n"/>
      <c r="AT163" s="41" t="n"/>
    </row>
    <row r="164" outlineLevel="2">
      <c r="A164" s="8" t="n"/>
      <c r="B164" s="14" t="n"/>
      <c r="C164" s="41" t="n"/>
      <c r="D164" s="129" t="inlineStr">
        <is>
          <t>Anotações</t>
        </is>
      </c>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c r="AE164" s="16" t="n"/>
      <c r="AF164" s="16" t="n"/>
      <c r="AG164" s="16" t="n"/>
      <c r="AH164" s="16" t="n"/>
      <c r="AI164" s="16" t="n"/>
      <c r="AJ164" s="16" t="n"/>
      <c r="AK164" s="16" t="n"/>
      <c r="AL164" s="16" t="n"/>
      <c r="AM164" s="16" t="n"/>
      <c r="AN164" s="16" t="n"/>
      <c r="AO164" s="16" t="n"/>
      <c r="AP164" s="16" t="n"/>
      <c r="AQ164" s="16" t="n"/>
      <c r="AR164" s="16" t="n"/>
      <c r="AS164" s="16" t="n"/>
      <c r="AT164" s="17" t="n"/>
    </row>
    <row r="165" outlineLevel="3">
      <c r="A165" s="8" t="n"/>
      <c r="B165" s="14" t="n"/>
      <c r="C165" s="41" t="n"/>
      <c r="D165" s="61"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20" t="n"/>
    </row>
    <row r="166" outlineLevel="3">
      <c r="A166" s="8" t="n"/>
      <c r="B166" s="14" t="n"/>
      <c r="C166" s="41" t="n"/>
      <c r="D166" s="21" t="n"/>
      <c r="AT166" s="22" t="n"/>
    </row>
    <row r="167" outlineLevel="3">
      <c r="A167" s="8" t="n"/>
      <c r="B167" s="14" t="n"/>
      <c r="C167" s="41" t="n"/>
      <c r="D167" s="21" t="n"/>
      <c r="AT167" s="22" t="n"/>
    </row>
    <row r="168" outlineLevel="3">
      <c r="A168" s="8" t="n"/>
      <c r="B168" s="14" t="n"/>
      <c r="C168" s="41" t="n"/>
      <c r="D168" s="23" t="n"/>
      <c r="E168" s="24" t="n"/>
      <c r="F168" s="24" t="n"/>
      <c r="G168" s="24" t="n"/>
      <c r="H168" s="24" t="n"/>
      <c r="I168" s="24" t="n"/>
      <c r="J168" s="24" t="n"/>
      <c r="K168" s="24" t="n"/>
      <c r="L168" s="24" t="n"/>
      <c r="M168" s="24" t="n"/>
      <c r="N168" s="24" t="n"/>
      <c r="O168" s="24" t="n"/>
      <c r="P168" s="24" t="n"/>
      <c r="Q168" s="24" t="n"/>
      <c r="R168" s="24" t="n"/>
      <c r="S168" s="24" t="n"/>
      <c r="T168" s="24" t="n"/>
      <c r="U168" s="24" t="n"/>
      <c r="V168" s="24" t="n"/>
      <c r="W168" s="24" t="n"/>
      <c r="X168" s="24" t="n"/>
      <c r="Y168" s="24" t="n"/>
      <c r="Z168" s="24" t="n"/>
      <c r="AA168" s="24" t="n"/>
      <c r="AB168" s="24" t="n"/>
      <c r="AC168" s="24" t="n"/>
      <c r="AD168" s="24" t="n"/>
      <c r="AE168" s="24" t="n"/>
      <c r="AF168" s="24" t="n"/>
      <c r="AG168" s="24" t="n"/>
      <c r="AH168" s="24" t="n"/>
      <c r="AI168" s="24" t="n"/>
      <c r="AJ168" s="24" t="n"/>
      <c r="AK168" s="24" t="n"/>
      <c r="AL168" s="24" t="n"/>
      <c r="AM168" s="24" t="n"/>
      <c r="AN168" s="24" t="n"/>
      <c r="AO168" s="24" t="n"/>
      <c r="AP168" s="24" t="n"/>
      <c r="AQ168" s="24" t="n"/>
      <c r="AR168" s="24" t="n"/>
      <c r="AS168" s="24" t="n"/>
      <c r="AT168" s="25" t="n"/>
    </row>
    <row r="169" outlineLevel="2">
      <c r="A169" s="8" t="n"/>
      <c r="B169" s="14"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1" t="n"/>
      <c r="AD169" s="41" t="n"/>
      <c r="AE169" s="41" t="n"/>
      <c r="AF169" s="41" t="n"/>
      <c r="AG169" s="41" t="n"/>
      <c r="AH169" s="41" t="n"/>
      <c r="AI169" s="41" t="n"/>
      <c r="AJ169" s="41" t="n"/>
      <c r="AK169" s="41" t="n"/>
      <c r="AL169" s="41" t="n"/>
      <c r="AM169" s="41" t="n"/>
      <c r="AN169" s="41" t="n"/>
      <c r="AO169" s="41" t="n"/>
      <c r="AP169" s="41" t="n"/>
      <c r="AQ169" s="41" t="n"/>
      <c r="AR169" s="41" t="n"/>
      <c r="AS169" s="41" t="n"/>
      <c r="AT169" s="41" t="n"/>
    </row>
    <row r="170" outlineLevel="1">
      <c r="A170" s="8" t="n"/>
      <c r="B170" s="14" t="n"/>
      <c r="C170" s="41" t="n"/>
      <c r="D170" s="129">
        <f>DADOS_AM!$JF$3</f>
        <v/>
      </c>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c r="AE170" s="16" t="n"/>
      <c r="AF170" s="16" t="n"/>
      <c r="AG170" s="16" t="n"/>
      <c r="AH170" s="16" t="n"/>
      <c r="AI170" s="16" t="n"/>
      <c r="AJ170" s="16" t="n"/>
      <c r="AK170" s="16" t="n"/>
      <c r="AL170" s="16" t="n"/>
      <c r="AM170" s="16" t="n"/>
      <c r="AN170" s="16" t="n"/>
      <c r="AO170" s="16" t="n"/>
      <c r="AP170" s="16" t="n"/>
      <c r="AQ170" s="16" t="n"/>
      <c r="AR170" s="16" t="n"/>
      <c r="AS170" s="16" t="n"/>
      <c r="AT170" s="17" t="n"/>
    </row>
    <row r="171" outlineLevel="2">
      <c r="A171" s="8" t="n"/>
      <c r="B171" s="14" t="n"/>
      <c r="C171" s="41" t="n"/>
      <c r="D171" s="130">
        <f>DADOS_AM!$IX$7</f>
        <v/>
      </c>
      <c r="E171" s="16" t="n"/>
      <c r="F171" s="17" t="n"/>
      <c r="G171" s="131"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c r="AE171" s="16" t="n"/>
      <c r="AF171" s="16" t="n"/>
      <c r="AG171" s="16" t="n"/>
      <c r="AH171" s="16" t="n"/>
      <c r="AI171" s="16" t="n"/>
      <c r="AJ171" s="16" t="n"/>
      <c r="AK171" s="16" t="n"/>
      <c r="AL171" s="16" t="n"/>
      <c r="AM171" s="16" t="n"/>
      <c r="AN171" s="16" t="n"/>
      <c r="AO171" s="16" t="n"/>
      <c r="AP171" s="16" t="n"/>
      <c r="AQ171" s="16" t="n"/>
      <c r="AR171" s="16" t="n"/>
      <c r="AS171" s="16" t="n"/>
      <c r="AT171" s="17" t="n"/>
    </row>
    <row r="172" outlineLevel="3">
      <c r="A172" s="8" t="n"/>
      <c r="B172" s="14" t="n"/>
      <c r="C172" s="41" t="n"/>
      <c r="D172" s="61"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20" t="n"/>
    </row>
    <row r="173" outlineLevel="3">
      <c r="A173" s="8" t="n"/>
      <c r="B173" s="14" t="n"/>
      <c r="C173" s="41" t="n"/>
      <c r="D173" s="21" t="n"/>
      <c r="AT173" s="22" t="n"/>
    </row>
    <row r="174" outlineLevel="3">
      <c r="A174" s="8" t="n"/>
      <c r="B174" s="14" t="n"/>
      <c r="C174" s="41" t="n"/>
      <c r="D174" s="21" t="n"/>
      <c r="AT174" s="22" t="n"/>
    </row>
    <row r="175" outlineLevel="3">
      <c r="A175" s="8" t="n"/>
      <c r="B175" s="14" t="n"/>
      <c r="C175" s="41" t="n"/>
      <c r="D175" s="23" t="n"/>
      <c r="E175" s="24" t="n"/>
      <c r="F175" s="24" t="n"/>
      <c r="G175" s="24" t="n"/>
      <c r="H175" s="24" t="n"/>
      <c r="I175" s="24" t="n"/>
      <c r="J175" s="24" t="n"/>
      <c r="K175" s="24" t="n"/>
      <c r="L175" s="24" t="n"/>
      <c r="M175" s="24" t="n"/>
      <c r="N175" s="24" t="n"/>
      <c r="O175" s="24" t="n"/>
      <c r="P175" s="24" t="n"/>
      <c r="Q175" s="24" t="n"/>
      <c r="R175" s="24" t="n"/>
      <c r="S175" s="24" t="n"/>
      <c r="T175" s="24" t="n"/>
      <c r="U175" s="24" t="n"/>
      <c r="V175" s="24" t="n"/>
      <c r="W175" s="24" t="n"/>
      <c r="X175" s="24" t="n"/>
      <c r="Y175" s="24" t="n"/>
      <c r="Z175" s="24" t="n"/>
      <c r="AA175" s="24" t="n"/>
      <c r="AB175" s="24" t="n"/>
      <c r="AC175" s="24" t="n"/>
      <c r="AD175" s="24" t="n"/>
      <c r="AE175" s="24" t="n"/>
      <c r="AF175" s="24" t="n"/>
      <c r="AG175" s="24" t="n"/>
      <c r="AH175" s="24" t="n"/>
      <c r="AI175" s="24" t="n"/>
      <c r="AJ175" s="24" t="n"/>
      <c r="AK175" s="24" t="n"/>
      <c r="AL175" s="24" t="n"/>
      <c r="AM175" s="24" t="n"/>
      <c r="AN175" s="24" t="n"/>
      <c r="AO175" s="24" t="n"/>
      <c r="AP175" s="24" t="n"/>
      <c r="AQ175" s="24" t="n"/>
      <c r="AR175" s="24" t="n"/>
      <c r="AS175" s="24" t="n"/>
      <c r="AT175" s="25" t="n"/>
    </row>
    <row r="176" outlineLevel="2">
      <c r="A176" s="8" t="n"/>
      <c r="B176" s="14"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c r="AA176" s="41" t="n"/>
      <c r="AB176" s="41" t="n"/>
      <c r="AC176" s="41" t="n"/>
      <c r="AD176" s="41" t="n"/>
      <c r="AE176" s="41" t="n"/>
      <c r="AF176" s="41" t="n"/>
      <c r="AG176" s="41" t="n"/>
      <c r="AH176" s="41" t="n"/>
      <c r="AI176" s="41" t="n"/>
      <c r="AJ176" s="41" t="n"/>
      <c r="AK176" s="41" t="n"/>
      <c r="AL176" s="41" t="n"/>
      <c r="AM176" s="41" t="n"/>
      <c r="AN176" s="41" t="n"/>
      <c r="AO176" s="41" t="n"/>
      <c r="AP176" s="41" t="n"/>
      <c r="AQ176" s="41" t="n"/>
      <c r="AR176" s="41" t="n"/>
      <c r="AS176" s="41" t="n"/>
      <c r="AT176" s="41" t="n"/>
    </row>
    <row r="177" outlineLevel="2">
      <c r="A177" s="8" t="n"/>
      <c r="B177" s="14" t="n"/>
      <c r="C177" s="41" t="n"/>
      <c r="D177" s="130">
        <f>DADOS_AM!$IX$8</f>
        <v/>
      </c>
      <c r="E177" s="16" t="n"/>
      <c r="F177" s="17" t="n"/>
      <c r="G177" s="131"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c r="AE177" s="16" t="n"/>
      <c r="AF177" s="16" t="n"/>
      <c r="AG177" s="16" t="n"/>
      <c r="AH177" s="16" t="n"/>
      <c r="AI177" s="16" t="n"/>
      <c r="AJ177" s="16" t="n"/>
      <c r="AK177" s="16" t="n"/>
      <c r="AL177" s="16" t="n"/>
      <c r="AM177" s="16" t="n"/>
      <c r="AN177" s="16" t="n"/>
      <c r="AO177" s="16" t="n"/>
      <c r="AP177" s="16" t="n"/>
      <c r="AQ177" s="16" t="n"/>
      <c r="AR177" s="16" t="n"/>
      <c r="AS177" s="16" t="n"/>
      <c r="AT177" s="17" t="n"/>
    </row>
    <row r="178" outlineLevel="3">
      <c r="A178" s="8" t="n"/>
      <c r="B178" s="14" t="n"/>
      <c r="C178" s="41" t="n"/>
      <c r="D178" s="61"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20" t="n"/>
    </row>
    <row r="179" outlineLevel="3">
      <c r="A179" s="8" t="n"/>
      <c r="B179" s="14" t="n"/>
      <c r="C179" s="41" t="n"/>
      <c r="D179" s="21" t="n"/>
      <c r="AT179" s="22" t="n"/>
    </row>
    <row r="180" outlineLevel="3">
      <c r="A180" s="8" t="n"/>
      <c r="B180" s="14" t="n"/>
      <c r="C180" s="41" t="n"/>
      <c r="D180" s="21" t="n"/>
      <c r="AT180" s="22" t="n"/>
    </row>
    <row r="181" outlineLevel="3">
      <c r="A181" s="8" t="n"/>
      <c r="B181" s="14" t="n"/>
      <c r="C181" s="41" t="n"/>
      <c r="D181" s="23" t="n"/>
      <c r="E181" s="24" t="n"/>
      <c r="F181" s="24" t="n"/>
      <c r="G181" s="24" t="n"/>
      <c r="H181" s="24" t="n"/>
      <c r="I181" s="24" t="n"/>
      <c r="J181" s="24" t="n"/>
      <c r="K181" s="24" t="n"/>
      <c r="L181" s="24" t="n"/>
      <c r="M181" s="24" t="n"/>
      <c r="N181" s="24" t="n"/>
      <c r="O181" s="24" t="n"/>
      <c r="P181" s="24" t="n"/>
      <c r="Q181" s="24" t="n"/>
      <c r="R181" s="24" t="n"/>
      <c r="S181" s="24" t="n"/>
      <c r="T181" s="24" t="n"/>
      <c r="U181" s="24" t="n"/>
      <c r="V181" s="24" t="n"/>
      <c r="W181" s="24" t="n"/>
      <c r="X181" s="24" t="n"/>
      <c r="Y181" s="24" t="n"/>
      <c r="Z181" s="24" t="n"/>
      <c r="AA181" s="24" t="n"/>
      <c r="AB181" s="24" t="n"/>
      <c r="AC181" s="24" t="n"/>
      <c r="AD181" s="24" t="n"/>
      <c r="AE181" s="24" t="n"/>
      <c r="AF181" s="24" t="n"/>
      <c r="AG181" s="24" t="n"/>
      <c r="AH181" s="24" t="n"/>
      <c r="AI181" s="24" t="n"/>
      <c r="AJ181" s="24" t="n"/>
      <c r="AK181" s="24" t="n"/>
      <c r="AL181" s="24" t="n"/>
      <c r="AM181" s="24" t="n"/>
      <c r="AN181" s="24" t="n"/>
      <c r="AO181" s="24" t="n"/>
      <c r="AP181" s="24" t="n"/>
      <c r="AQ181" s="24" t="n"/>
      <c r="AR181" s="24" t="n"/>
      <c r="AS181" s="24" t="n"/>
      <c r="AT181" s="25" t="n"/>
    </row>
    <row r="182" outlineLevel="2">
      <c r="A182" s="8" t="n"/>
      <c r="B182" s="14"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c r="AA182" s="41" t="n"/>
      <c r="AB182" s="41" t="n"/>
      <c r="AC182" s="41" t="n"/>
      <c r="AD182" s="41" t="n"/>
      <c r="AE182" s="41" t="n"/>
      <c r="AF182" s="41" t="n"/>
      <c r="AG182" s="41" t="n"/>
      <c r="AH182" s="41" t="n"/>
      <c r="AI182" s="41" t="n"/>
      <c r="AJ182" s="41" t="n"/>
      <c r="AK182" s="41" t="n"/>
      <c r="AL182" s="41" t="n"/>
      <c r="AM182" s="41" t="n"/>
      <c r="AN182" s="41" t="n"/>
      <c r="AO182" s="41" t="n"/>
      <c r="AP182" s="41" t="n"/>
      <c r="AQ182" s="41" t="n"/>
      <c r="AR182" s="41" t="n"/>
      <c r="AS182" s="41" t="n"/>
      <c r="AT182" s="41" t="n"/>
    </row>
    <row r="183" outlineLevel="2">
      <c r="A183" s="8" t="n"/>
      <c r="B183" s="14" t="n"/>
      <c r="C183" s="41" t="n"/>
      <c r="D183" s="130">
        <f>DADOS_AM!$IX$9</f>
        <v/>
      </c>
      <c r="E183" s="16" t="n"/>
      <c r="F183" s="17" t="n"/>
      <c r="G183" s="131"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c r="AE183" s="16" t="n"/>
      <c r="AF183" s="16" t="n"/>
      <c r="AG183" s="16" t="n"/>
      <c r="AH183" s="16" t="n"/>
      <c r="AI183" s="16" t="n"/>
      <c r="AJ183" s="16" t="n"/>
      <c r="AK183" s="16" t="n"/>
      <c r="AL183" s="16" t="n"/>
      <c r="AM183" s="16" t="n"/>
      <c r="AN183" s="16" t="n"/>
      <c r="AO183" s="16" t="n"/>
      <c r="AP183" s="16" t="n"/>
      <c r="AQ183" s="16" t="n"/>
      <c r="AR183" s="16" t="n"/>
      <c r="AS183" s="16" t="n"/>
      <c r="AT183" s="17" t="n"/>
    </row>
    <row r="184" outlineLevel="3">
      <c r="A184" s="8" t="n"/>
      <c r="B184" s="14" t="n"/>
      <c r="C184" s="41" t="n"/>
      <c r="D184" s="61"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20" t="n"/>
    </row>
    <row r="185" outlineLevel="3">
      <c r="A185" s="8" t="n"/>
      <c r="B185" s="14" t="n"/>
      <c r="C185" s="41" t="n"/>
      <c r="D185" s="21" t="n"/>
      <c r="AT185" s="22" t="n"/>
    </row>
    <row r="186" outlineLevel="3">
      <c r="A186" s="8" t="n"/>
      <c r="B186" s="14" t="n"/>
      <c r="C186" s="41" t="n"/>
      <c r="D186" s="21" t="n"/>
      <c r="AT186" s="22" t="n"/>
    </row>
    <row r="187" outlineLevel="3">
      <c r="A187" s="8" t="n"/>
      <c r="B187" s="14" t="n"/>
      <c r="C187" s="41" t="n"/>
      <c r="D187" s="23" t="n"/>
      <c r="E187" s="24" t="n"/>
      <c r="F187" s="24" t="n"/>
      <c r="G187" s="24" t="n"/>
      <c r="H187" s="24" t="n"/>
      <c r="I187" s="24" t="n"/>
      <c r="J187" s="24" t="n"/>
      <c r="K187" s="24" t="n"/>
      <c r="L187" s="24" t="n"/>
      <c r="M187" s="24" t="n"/>
      <c r="N187" s="24" t="n"/>
      <c r="O187" s="24" t="n"/>
      <c r="P187" s="24" t="n"/>
      <c r="Q187" s="24" t="n"/>
      <c r="R187" s="24" t="n"/>
      <c r="S187" s="24" t="n"/>
      <c r="T187" s="24" t="n"/>
      <c r="U187" s="24" t="n"/>
      <c r="V187" s="24" t="n"/>
      <c r="W187" s="24" t="n"/>
      <c r="X187" s="24" t="n"/>
      <c r="Y187" s="24" t="n"/>
      <c r="Z187" s="24" t="n"/>
      <c r="AA187" s="24" t="n"/>
      <c r="AB187" s="24" t="n"/>
      <c r="AC187" s="24" t="n"/>
      <c r="AD187" s="24" t="n"/>
      <c r="AE187" s="24" t="n"/>
      <c r="AF187" s="24" t="n"/>
      <c r="AG187" s="24" t="n"/>
      <c r="AH187" s="24" t="n"/>
      <c r="AI187" s="24" t="n"/>
      <c r="AJ187" s="24" t="n"/>
      <c r="AK187" s="24" t="n"/>
      <c r="AL187" s="24" t="n"/>
      <c r="AM187" s="24" t="n"/>
      <c r="AN187" s="24" t="n"/>
      <c r="AO187" s="24" t="n"/>
      <c r="AP187" s="24" t="n"/>
      <c r="AQ187" s="24" t="n"/>
      <c r="AR187" s="24" t="n"/>
      <c r="AS187" s="24" t="n"/>
      <c r="AT187" s="25" t="n"/>
    </row>
    <row r="188" outlineLevel="2">
      <c r="A188" s="8" t="n"/>
      <c r="B188" s="14"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c r="AA188" s="41" t="n"/>
      <c r="AB188" s="41" t="n"/>
      <c r="AC188" s="41" t="n"/>
      <c r="AD188" s="41" t="n"/>
      <c r="AE188" s="41" t="n"/>
      <c r="AF188" s="41" t="n"/>
      <c r="AG188" s="41" t="n"/>
      <c r="AH188" s="41" t="n"/>
      <c r="AI188" s="41" t="n"/>
      <c r="AJ188" s="41" t="n"/>
      <c r="AK188" s="41" t="n"/>
      <c r="AL188" s="41" t="n"/>
      <c r="AM188" s="41" t="n"/>
      <c r="AN188" s="41" t="n"/>
      <c r="AO188" s="41" t="n"/>
      <c r="AP188" s="41" t="n"/>
      <c r="AQ188" s="41" t="n"/>
      <c r="AR188" s="41" t="n"/>
      <c r="AS188" s="41" t="n"/>
      <c r="AT188" s="41" t="n"/>
    </row>
    <row r="189" outlineLevel="2">
      <c r="A189" s="8" t="n"/>
      <c r="B189" s="14" t="n"/>
      <c r="C189" s="41" t="n"/>
      <c r="D189" s="130">
        <f>DADOS_AM!$IX$10</f>
        <v/>
      </c>
      <c r="E189" s="16" t="n"/>
      <c r="F189" s="17" t="n"/>
      <c r="G189" s="131"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c r="AE189" s="16" t="n"/>
      <c r="AF189" s="16" t="n"/>
      <c r="AG189" s="16" t="n"/>
      <c r="AH189" s="16" t="n"/>
      <c r="AI189" s="16" t="n"/>
      <c r="AJ189" s="16" t="n"/>
      <c r="AK189" s="16" t="n"/>
      <c r="AL189" s="16" t="n"/>
      <c r="AM189" s="16" t="n"/>
      <c r="AN189" s="16" t="n"/>
      <c r="AO189" s="16" t="n"/>
      <c r="AP189" s="16" t="n"/>
      <c r="AQ189" s="16" t="n"/>
      <c r="AR189" s="16" t="n"/>
      <c r="AS189" s="16" t="n"/>
      <c r="AT189" s="17" t="n"/>
    </row>
    <row r="190" outlineLevel="3">
      <c r="A190" s="8" t="n"/>
      <c r="B190" s="14" t="n"/>
      <c r="C190" s="41" t="n"/>
      <c r="D190" s="61"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20" t="n"/>
    </row>
    <row r="191" outlineLevel="3">
      <c r="A191" s="8" t="n"/>
      <c r="B191" s="14" t="n"/>
      <c r="C191" s="41" t="n"/>
      <c r="D191" s="21" t="n"/>
      <c r="AT191" s="22" t="n"/>
    </row>
    <row r="192" outlineLevel="3">
      <c r="A192" s="8" t="n"/>
      <c r="B192" s="14" t="n"/>
      <c r="C192" s="41" t="n"/>
      <c r="D192" s="21" t="n"/>
      <c r="AT192" s="22" t="n"/>
    </row>
    <row r="193" outlineLevel="3">
      <c r="A193" s="8" t="n"/>
      <c r="B193" s="14" t="n"/>
      <c r="C193" s="41" t="n"/>
      <c r="D193" s="23"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24" t="n"/>
      <c r="AJ193" s="24" t="n"/>
      <c r="AK193" s="24" t="n"/>
      <c r="AL193" s="24" t="n"/>
      <c r="AM193" s="24" t="n"/>
      <c r="AN193" s="24" t="n"/>
      <c r="AO193" s="24" t="n"/>
      <c r="AP193" s="24" t="n"/>
      <c r="AQ193" s="24" t="n"/>
      <c r="AR193" s="24" t="n"/>
      <c r="AS193" s="24" t="n"/>
      <c r="AT193" s="25" t="n"/>
    </row>
    <row r="194" outlineLevel="2">
      <c r="A194" s="8" t="n"/>
      <c r="B194" s="14"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c r="AA194" s="41" t="n"/>
      <c r="AB194" s="41" t="n"/>
      <c r="AC194" s="41" t="n"/>
      <c r="AD194" s="41" t="n"/>
      <c r="AE194" s="41" t="n"/>
      <c r="AF194" s="41" t="n"/>
      <c r="AG194" s="41" t="n"/>
      <c r="AH194" s="41" t="n"/>
      <c r="AI194" s="41" t="n"/>
      <c r="AJ194" s="41" t="n"/>
      <c r="AK194" s="41" t="n"/>
      <c r="AL194" s="41" t="n"/>
      <c r="AM194" s="41" t="n"/>
      <c r="AN194" s="41" t="n"/>
      <c r="AO194" s="41" t="n"/>
      <c r="AP194" s="41" t="n"/>
      <c r="AQ194" s="41" t="n"/>
      <c r="AR194" s="41" t="n"/>
      <c r="AS194" s="41" t="n"/>
      <c r="AT194" s="41" t="n"/>
    </row>
    <row r="195" outlineLevel="2">
      <c r="A195" s="8" t="n"/>
      <c r="B195" s="14" t="n"/>
      <c r="C195" s="41" t="n"/>
      <c r="D195" s="129" t="inlineStr">
        <is>
          <t>Escolhas da Trilha</t>
        </is>
      </c>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c r="AE195" s="16" t="n"/>
      <c r="AF195" s="16" t="n"/>
      <c r="AG195" s="16" t="n"/>
      <c r="AH195" s="16" t="n"/>
      <c r="AI195" s="16" t="n"/>
      <c r="AJ195" s="16" t="n"/>
      <c r="AK195" s="16" t="n"/>
      <c r="AL195" s="16" t="n"/>
      <c r="AM195" s="16" t="n"/>
      <c r="AN195" s="16" t="n"/>
      <c r="AO195" s="16" t="n"/>
      <c r="AP195" s="16" t="n"/>
      <c r="AQ195" s="16" t="n"/>
      <c r="AR195" s="16" t="n"/>
      <c r="AS195" s="16" t="n"/>
      <c r="AT195" s="17" t="n"/>
    </row>
    <row r="196" outlineLevel="3">
      <c r="A196" s="8" t="n"/>
      <c r="B196" s="14" t="n"/>
      <c r="C196" s="41" t="n"/>
      <c r="D196" s="61"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20" t="n"/>
    </row>
    <row r="197" outlineLevel="3">
      <c r="A197" s="8" t="n"/>
      <c r="B197" s="14" t="n"/>
      <c r="C197" s="41" t="n"/>
      <c r="D197" s="21" t="n"/>
      <c r="AT197" s="22" t="n"/>
    </row>
    <row r="198" outlineLevel="3">
      <c r="A198" s="8" t="n"/>
      <c r="B198" s="14" t="n"/>
      <c r="C198" s="41" t="n"/>
      <c r="D198" s="21" t="n"/>
      <c r="AT198" s="22" t="n"/>
    </row>
    <row r="199" outlineLevel="3">
      <c r="A199" s="8" t="n"/>
      <c r="B199" s="14" t="n"/>
      <c r="C199" s="41" t="n"/>
      <c r="D199" s="23" t="n"/>
      <c r="E199" s="24" t="n"/>
      <c r="F199" s="24" t="n"/>
      <c r="G199" s="24" t="n"/>
      <c r="H199" s="24" t="n"/>
      <c r="I199" s="24" t="n"/>
      <c r="J199" s="24" t="n"/>
      <c r="K199" s="24" t="n"/>
      <c r="L199" s="24" t="n"/>
      <c r="M199" s="24" t="n"/>
      <c r="N199" s="24" t="n"/>
      <c r="O199" s="24" t="n"/>
      <c r="P199" s="24" t="n"/>
      <c r="Q199" s="24" t="n"/>
      <c r="R199" s="24" t="n"/>
      <c r="S199" s="24" t="n"/>
      <c r="T199" s="24" t="n"/>
      <c r="U199" s="24" t="n"/>
      <c r="V199" s="24" t="n"/>
      <c r="W199" s="24" t="n"/>
      <c r="X199" s="24" t="n"/>
      <c r="Y199" s="24" t="n"/>
      <c r="Z199" s="24" t="n"/>
      <c r="AA199" s="24" t="n"/>
      <c r="AB199" s="24" t="n"/>
      <c r="AC199" s="24" t="n"/>
      <c r="AD199" s="24" t="n"/>
      <c r="AE199" s="24" t="n"/>
      <c r="AF199" s="24" t="n"/>
      <c r="AG199" s="24" t="n"/>
      <c r="AH199" s="24" t="n"/>
      <c r="AI199" s="24" t="n"/>
      <c r="AJ199" s="24" t="n"/>
      <c r="AK199" s="24" t="n"/>
      <c r="AL199" s="24" t="n"/>
      <c r="AM199" s="24" t="n"/>
      <c r="AN199" s="24" t="n"/>
      <c r="AO199" s="24" t="n"/>
      <c r="AP199" s="24" t="n"/>
      <c r="AQ199" s="24" t="n"/>
      <c r="AR199" s="24" t="n"/>
      <c r="AS199" s="24" t="n"/>
      <c r="AT199" s="25" t="n"/>
    </row>
    <row r="200" outlineLevel="2">
      <c r="A200" s="8" t="n"/>
      <c r="B200" s="14"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c r="AA200" s="41" t="n"/>
      <c r="AB200" s="41" t="n"/>
      <c r="AC200" s="41" t="n"/>
      <c r="AD200" s="41" t="n"/>
      <c r="AE200" s="41" t="n"/>
      <c r="AF200" s="41" t="n"/>
      <c r="AG200" s="41" t="n"/>
      <c r="AH200" s="41" t="n"/>
      <c r="AI200" s="41" t="n"/>
      <c r="AJ200" s="41" t="n"/>
      <c r="AK200" s="41" t="n"/>
      <c r="AL200" s="41" t="n"/>
      <c r="AM200" s="41" t="n"/>
      <c r="AN200" s="41" t="n"/>
      <c r="AO200" s="41" t="n"/>
      <c r="AP200" s="41" t="n"/>
      <c r="AQ200" s="41" t="n"/>
      <c r="AR200" s="41" t="n"/>
      <c r="AS200" s="41" t="n"/>
      <c r="AT200" s="41" t="n"/>
    </row>
    <row r="201" outlineLevel="2">
      <c r="A201" s="8" t="n"/>
      <c r="B201" s="14" t="n"/>
      <c r="C201" s="41" t="n"/>
      <c r="D201" s="129" t="inlineStr">
        <is>
          <t>Anotações</t>
        </is>
      </c>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c r="AE201" s="16" t="n"/>
      <c r="AF201" s="16" t="n"/>
      <c r="AG201" s="16" t="n"/>
      <c r="AH201" s="16" t="n"/>
      <c r="AI201" s="16" t="n"/>
      <c r="AJ201" s="16" t="n"/>
      <c r="AK201" s="16" t="n"/>
      <c r="AL201" s="16" t="n"/>
      <c r="AM201" s="16" t="n"/>
      <c r="AN201" s="16" t="n"/>
      <c r="AO201" s="16" t="n"/>
      <c r="AP201" s="16" t="n"/>
      <c r="AQ201" s="16" t="n"/>
      <c r="AR201" s="16" t="n"/>
      <c r="AS201" s="16" t="n"/>
      <c r="AT201" s="17" t="n"/>
    </row>
    <row r="202" outlineLevel="3">
      <c r="A202" s="8" t="n"/>
      <c r="B202" s="14" t="n"/>
      <c r="C202" s="41" t="n"/>
      <c r="D202" s="61"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20" t="n"/>
    </row>
    <row r="203" outlineLevel="3">
      <c r="A203" s="8" t="n"/>
      <c r="B203" s="14" t="n"/>
      <c r="C203" s="41" t="n"/>
      <c r="D203" s="21" t="n"/>
      <c r="AT203" s="22" t="n"/>
    </row>
    <row r="204" outlineLevel="3">
      <c r="A204" s="8" t="n"/>
      <c r="B204" s="14" t="n"/>
      <c r="C204" s="41" t="n"/>
      <c r="D204" s="21" t="n"/>
      <c r="AT204" s="22" t="n"/>
    </row>
    <row r="205" outlineLevel="3">
      <c r="A205" s="8" t="n"/>
      <c r="B205" s="14" t="n"/>
      <c r="C205" s="41" t="n"/>
      <c r="D205" s="23"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4" t="n"/>
      <c r="AK205" s="24" t="n"/>
      <c r="AL205" s="24" t="n"/>
      <c r="AM205" s="24" t="n"/>
      <c r="AN205" s="24" t="n"/>
      <c r="AO205" s="24" t="n"/>
      <c r="AP205" s="24" t="n"/>
      <c r="AQ205" s="24" t="n"/>
      <c r="AR205" s="24" t="n"/>
      <c r="AS205" s="24" t="n"/>
      <c r="AT205" s="25" t="n"/>
    </row>
    <row r="206" outlineLevel="2">
      <c r="A206" s="8" t="n"/>
      <c r="B206" s="14" t="n"/>
      <c r="C206" s="41" t="n"/>
      <c r="D206" s="41" t="n"/>
      <c r="E206" s="41" t="n"/>
      <c r="F206" s="41" t="n"/>
      <c r="G206" s="41" t="n"/>
      <c r="H206" s="41" t="n"/>
      <c r="I206" s="41" t="n"/>
      <c r="J206" s="41" t="n"/>
      <c r="K206" s="41" t="n"/>
      <c r="L206" s="41" t="n"/>
      <c r="M206" s="41" t="n"/>
      <c r="N206" s="41" t="n"/>
      <c r="O206" s="41" t="n"/>
      <c r="P206" s="41" t="n"/>
      <c r="Q206" s="41" t="n"/>
      <c r="R206" s="41" t="n"/>
      <c r="S206" s="41" t="n"/>
      <c r="T206" s="41" t="n"/>
      <c r="U206" s="41" t="n"/>
      <c r="V206" s="41" t="n"/>
      <c r="W206" s="41" t="n"/>
      <c r="X206" s="41" t="n"/>
      <c r="Y206" s="41" t="n"/>
      <c r="Z206" s="41" t="n"/>
      <c r="AA206" s="41" t="n"/>
      <c r="AB206" s="41" t="n"/>
      <c r="AC206" s="41" t="n"/>
      <c r="AD206" s="41" t="n"/>
      <c r="AE206" s="41" t="n"/>
      <c r="AF206" s="41" t="n"/>
      <c r="AG206" s="41" t="n"/>
      <c r="AH206" s="41" t="n"/>
      <c r="AI206" s="41" t="n"/>
      <c r="AJ206" s="41" t="n"/>
      <c r="AK206" s="41" t="n"/>
      <c r="AL206" s="41" t="n"/>
      <c r="AM206" s="41" t="n"/>
      <c r="AN206" s="41" t="n"/>
      <c r="AO206" s="41" t="n"/>
      <c r="AP206" s="41" t="n"/>
      <c r="AQ206" s="41" t="n"/>
      <c r="AR206" s="41" t="n"/>
      <c r="AS206" s="41" t="n"/>
      <c r="AT206" s="41" t="n"/>
    </row>
    <row r="207" ht="27" customHeight="1">
      <c r="A207" s="8" t="n"/>
      <c r="B207" s="14" t="n"/>
      <c r="C207" s="41" t="n"/>
      <c r="D207" s="69" t="n">
        <v>8</v>
      </c>
      <c r="E207" s="19" t="n"/>
      <c r="F207" s="20" t="n"/>
      <c r="G207" s="101">
        <f>DADOS_AM!$KS$2</f>
        <v/>
      </c>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c r="AE207" s="16" t="n"/>
      <c r="AF207" s="16" t="n"/>
      <c r="AG207" s="16" t="n"/>
      <c r="AH207" s="17" t="n"/>
      <c r="AI207" s="41" t="n"/>
      <c r="AJ207" s="41" t="n"/>
      <c r="AK207" s="41" t="n"/>
      <c r="AL207" s="41" t="n"/>
      <c r="AM207" s="41" t="n"/>
      <c r="AN207" s="41" t="n"/>
      <c r="AO207" s="41" t="n"/>
      <c r="AP207" s="41" t="n"/>
      <c r="AQ207" s="41" t="n"/>
      <c r="AR207" s="41" t="n"/>
      <c r="AS207" s="41" t="n"/>
      <c r="AT207" s="41" t="n"/>
    </row>
    <row r="208">
      <c r="A208" s="8" t="n"/>
      <c r="B208" s="14" t="n"/>
      <c r="C208" s="41" t="n"/>
      <c r="D208" s="23" t="n"/>
      <c r="E208" s="24" t="n"/>
      <c r="F208" s="25" t="n"/>
      <c r="G208" s="41" t="n"/>
      <c r="H208" s="41" t="n"/>
      <c r="I208" s="41" t="n"/>
      <c r="J208" s="41" t="n"/>
      <c r="K208" s="41" t="n"/>
      <c r="L208" s="41" t="n"/>
      <c r="M208" s="41" t="n"/>
      <c r="N208" s="41" t="n"/>
      <c r="O208" s="41" t="n"/>
      <c r="P208" s="41" t="n"/>
      <c r="Q208" s="41" t="n"/>
      <c r="R208" s="41" t="n"/>
      <c r="S208" s="41" t="n"/>
      <c r="T208" s="41" t="n"/>
      <c r="U208" s="41" t="n"/>
      <c r="V208" s="41" t="n"/>
      <c r="W208" s="41" t="n"/>
      <c r="X208" s="41" t="n"/>
      <c r="Y208" s="41" t="n"/>
      <c r="Z208" s="41" t="n"/>
      <c r="AA208" s="41" t="n"/>
      <c r="AB208" s="41" t="n"/>
      <c r="AC208" s="41" t="n"/>
      <c r="AD208" s="41" t="n"/>
      <c r="AE208" s="41" t="n"/>
      <c r="AF208" s="41" t="n"/>
      <c r="AG208" s="41" t="n"/>
      <c r="AH208" s="41" t="n"/>
      <c r="AI208" s="41" t="n"/>
      <c r="AJ208" s="41" t="n"/>
      <c r="AK208" s="41" t="n"/>
      <c r="AL208" s="41" t="n"/>
      <c r="AM208" s="41" t="n"/>
      <c r="AN208" s="41" t="n"/>
      <c r="AO208" s="41" t="n"/>
      <c r="AP208" s="41" t="n"/>
      <c r="AQ208" s="41" t="n"/>
      <c r="AR208" s="41" t="n"/>
      <c r="AS208" s="41" t="n"/>
      <c r="AT208" s="41" t="n"/>
    </row>
    <row r="209">
      <c r="A209" s="8" t="n"/>
      <c r="B209" s="14"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1" t="n"/>
      <c r="AD209" s="41" t="n"/>
      <c r="AE209" s="41" t="n"/>
      <c r="AF209" s="41" t="n"/>
      <c r="AG209" s="41" t="n"/>
      <c r="AH209" s="41" t="n"/>
      <c r="AI209" s="41" t="n"/>
      <c r="AJ209" s="41" t="n"/>
      <c r="AK209" s="41" t="n"/>
      <c r="AL209" s="41" t="n"/>
      <c r="AM209" s="41" t="n"/>
      <c r="AN209" s="41" t="n"/>
      <c r="AO209" s="41" t="n"/>
      <c r="AP209" s="41" t="n"/>
      <c r="AQ209" s="41" t="n"/>
      <c r="AR209" s="41" t="n"/>
      <c r="AS209" s="41" t="n"/>
      <c r="AT209" s="41" t="n"/>
    </row>
    <row r="210" outlineLevel="1">
      <c r="A210" s="8" t="n"/>
      <c r="B210" s="14" t="n"/>
      <c r="C210" s="41" t="n"/>
      <c r="D210" s="129">
        <f>DADOS_AM!$KS$3</f>
        <v/>
      </c>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c r="AE210" s="16" t="n"/>
      <c r="AF210" s="16" t="n"/>
      <c r="AG210" s="16" t="n"/>
      <c r="AH210" s="16" t="n"/>
      <c r="AI210" s="16" t="n"/>
      <c r="AJ210" s="16" t="n"/>
      <c r="AK210" s="16" t="n"/>
      <c r="AL210" s="16" t="n"/>
      <c r="AM210" s="16" t="n"/>
      <c r="AN210" s="16" t="n"/>
      <c r="AO210" s="16" t="n"/>
      <c r="AP210" s="16" t="n"/>
      <c r="AQ210" s="16" t="n"/>
      <c r="AR210" s="16" t="n"/>
      <c r="AS210" s="16" t="n"/>
      <c r="AT210" s="17" t="n"/>
    </row>
    <row r="211" outlineLevel="3">
      <c r="A211" s="8" t="n"/>
      <c r="B211" s="14" t="n"/>
      <c r="C211" s="41" t="n"/>
      <c r="D211" s="132">
        <f>DADOS_AM!$JJ$2</f>
        <v/>
      </c>
      <c r="E211" s="17" t="n"/>
      <c r="F211" s="131">
        <f>DADOS_AM!$JK$2</f>
        <v/>
      </c>
      <c r="G211" s="16" t="n"/>
      <c r="H211" s="16" t="n"/>
      <c r="I211" s="16" t="n"/>
      <c r="J211" s="16" t="n"/>
      <c r="K211" s="16" t="n"/>
      <c r="L211" s="16" t="n"/>
      <c r="M211" s="16" t="n"/>
      <c r="N211" s="16" t="n"/>
      <c r="O211" s="16" t="n"/>
      <c r="P211" s="17" t="n"/>
      <c r="Q211" s="41" t="n"/>
      <c r="R211" s="41" t="n"/>
      <c r="S211" s="132">
        <f>DADOS_AM!$JJ$3</f>
        <v/>
      </c>
      <c r="T211" s="17" t="n"/>
      <c r="U211" s="131">
        <f>DADOS_AM!$JK$3</f>
        <v/>
      </c>
      <c r="V211" s="16" t="n"/>
      <c r="W211" s="16" t="n"/>
      <c r="X211" s="16" t="n"/>
      <c r="Y211" s="16" t="n"/>
      <c r="Z211" s="16" t="n"/>
      <c r="AA211" s="16" t="n"/>
      <c r="AB211" s="16" t="n"/>
      <c r="AC211" s="16" t="n"/>
      <c r="AD211" s="16" t="n"/>
      <c r="AE211" s="17" t="n"/>
      <c r="AF211" s="41" t="n"/>
      <c r="AG211" s="41" t="n"/>
      <c r="AH211" s="132">
        <f>DADOS_AM!$JJ$4</f>
        <v/>
      </c>
      <c r="AI211" s="17" t="n"/>
      <c r="AJ211" s="131">
        <f>DADOS_AM!$JK$4</f>
        <v/>
      </c>
      <c r="AK211" s="16" t="n"/>
      <c r="AL211" s="16" t="n"/>
      <c r="AM211" s="16" t="n"/>
      <c r="AN211" s="16" t="n"/>
      <c r="AO211" s="16" t="n"/>
      <c r="AP211" s="16" t="n"/>
      <c r="AQ211" s="16" t="n"/>
      <c r="AR211" s="16" t="n"/>
      <c r="AS211" s="16" t="n"/>
      <c r="AT211" s="17" t="n"/>
    </row>
    <row r="212" outlineLevel="3">
      <c r="A212" s="8" t="n"/>
      <c r="B212" s="14" t="n"/>
      <c r="C212" s="41" t="n"/>
      <c r="D212" s="133">
        <f>DADOS_AM!$JL$2</f>
        <v/>
      </c>
      <c r="E212" s="16" t="n"/>
      <c r="F212" s="17" t="n"/>
      <c r="G212" s="133">
        <f>DADOS_AM!$JM$2</f>
        <v/>
      </c>
      <c r="H212" s="16" t="n"/>
      <c r="I212" s="16" t="n"/>
      <c r="J212" s="17" t="n"/>
      <c r="K212" s="133">
        <f>DADOS_AM!$JN$2</f>
        <v/>
      </c>
      <c r="L212" s="16" t="n"/>
      <c r="M212" s="16" t="n"/>
      <c r="N212" s="16" t="n"/>
      <c r="O212" s="16" t="n"/>
      <c r="P212" s="17" t="n"/>
      <c r="Q212" s="41" t="n"/>
      <c r="R212" s="41" t="n"/>
      <c r="S212" s="133">
        <f>DADOS_AM!$JL$3</f>
        <v/>
      </c>
      <c r="T212" s="16" t="n"/>
      <c r="U212" s="17" t="n"/>
      <c r="V212" s="133">
        <f>DADOS_AM!$JM$3</f>
        <v/>
      </c>
      <c r="W212" s="16" t="n"/>
      <c r="X212" s="16" t="n"/>
      <c r="Y212" s="17" t="n"/>
      <c r="Z212" s="133">
        <f>DADOS_AM!$JN$3</f>
        <v/>
      </c>
      <c r="AA212" s="16" t="n"/>
      <c r="AB212" s="16" t="n"/>
      <c r="AC212" s="16" t="n"/>
      <c r="AD212" s="16" t="n"/>
      <c r="AE212" s="17" t="n"/>
      <c r="AF212" s="41" t="n"/>
      <c r="AG212" s="41" t="n"/>
      <c r="AH212" s="133">
        <f>DADOS_AM!$JL$4</f>
        <v/>
      </c>
      <c r="AI212" s="16" t="n"/>
      <c r="AJ212" s="17" t="n"/>
      <c r="AK212" s="133">
        <f>DADOS_AM!$JM$4</f>
        <v/>
      </c>
      <c r="AL212" s="16" t="n"/>
      <c r="AM212" s="16" t="n"/>
      <c r="AN212" s="17" t="n"/>
      <c r="AO212" s="133">
        <f>DADOS_AM!$JN$4</f>
        <v/>
      </c>
      <c r="AP212" s="16" t="n"/>
      <c r="AQ212" s="16" t="n"/>
      <c r="AR212" s="16" t="n"/>
      <c r="AS212" s="16" t="n"/>
      <c r="AT212" s="17" t="n"/>
    </row>
    <row r="213" outlineLevel="4">
      <c r="A213" s="8" t="n"/>
      <c r="B213" s="14" t="n"/>
      <c r="C213" s="41" t="n"/>
      <c r="D213" s="61">
        <f>DADOS_AM!$JO$2</f>
        <v/>
      </c>
      <c r="E213" s="19" t="n"/>
      <c r="F213" s="19" t="n"/>
      <c r="G213" s="19" t="n"/>
      <c r="H213" s="19" t="n"/>
      <c r="I213" s="19" t="n"/>
      <c r="J213" s="19" t="n"/>
      <c r="K213" s="19" t="n"/>
      <c r="L213" s="19" t="n"/>
      <c r="M213" s="19" t="n"/>
      <c r="N213" s="19" t="n"/>
      <c r="O213" s="19" t="n"/>
      <c r="P213" s="20" t="n"/>
      <c r="Q213" s="41" t="n"/>
      <c r="R213" s="41" t="n"/>
      <c r="S213" s="61">
        <f>DADOS_AM!$JO$3</f>
        <v/>
      </c>
      <c r="T213" s="19" t="n"/>
      <c r="U213" s="19" t="n"/>
      <c r="V213" s="19" t="n"/>
      <c r="W213" s="19" t="n"/>
      <c r="X213" s="19" t="n"/>
      <c r="Y213" s="19" t="n"/>
      <c r="Z213" s="19" t="n"/>
      <c r="AA213" s="19" t="n"/>
      <c r="AB213" s="19" t="n"/>
      <c r="AC213" s="19" t="n"/>
      <c r="AD213" s="19" t="n"/>
      <c r="AE213" s="20" t="n"/>
      <c r="AF213" s="41" t="n"/>
      <c r="AG213" s="41" t="n"/>
      <c r="AH213" s="61">
        <f>DADOS_AM!$JO$4</f>
        <v/>
      </c>
      <c r="AI213" s="19" t="n"/>
      <c r="AJ213" s="19" t="n"/>
      <c r="AK213" s="19" t="n"/>
      <c r="AL213" s="19" t="n"/>
      <c r="AM213" s="19" t="n"/>
      <c r="AN213" s="19" t="n"/>
      <c r="AO213" s="19" t="n"/>
      <c r="AP213" s="19" t="n"/>
      <c r="AQ213" s="19" t="n"/>
      <c r="AR213" s="19" t="n"/>
      <c r="AS213" s="19" t="n"/>
      <c r="AT213" s="20" t="n"/>
    </row>
    <row r="214" outlineLevel="4">
      <c r="A214" s="8" t="n"/>
      <c r="B214" s="14" t="n"/>
      <c r="C214" s="41" t="n"/>
      <c r="D214" s="21" t="n"/>
      <c r="P214" s="22" t="n"/>
      <c r="Q214" s="41" t="n"/>
      <c r="R214" s="41" t="n"/>
      <c r="S214" s="21" t="n"/>
      <c r="AE214" s="22" t="n"/>
      <c r="AF214" s="41" t="n"/>
      <c r="AG214" s="41" t="n"/>
      <c r="AH214" s="21" t="n"/>
      <c r="AT214" s="22" t="n"/>
    </row>
    <row r="215" outlineLevel="4">
      <c r="A215" s="8" t="n"/>
      <c r="B215" s="14" t="n"/>
      <c r="C215" s="41" t="n"/>
      <c r="D215" s="21" t="n"/>
      <c r="P215" s="22" t="n"/>
      <c r="Q215" s="41" t="n"/>
      <c r="R215" s="41" t="n"/>
      <c r="S215" s="21" t="n"/>
      <c r="AE215" s="22" t="n"/>
      <c r="AF215" s="41" t="n"/>
      <c r="AG215" s="41" t="n"/>
      <c r="AH215" s="21" t="n"/>
      <c r="AT215" s="22" t="n"/>
    </row>
    <row r="216" outlineLevel="4">
      <c r="A216" s="8" t="n"/>
      <c r="B216" s="14" t="n"/>
      <c r="C216" s="41" t="n"/>
      <c r="D216" s="21" t="n"/>
      <c r="P216" s="22" t="n"/>
      <c r="Q216" s="41" t="n"/>
      <c r="R216" s="41" t="n"/>
      <c r="S216" s="21" t="n"/>
      <c r="AE216" s="22" t="n"/>
      <c r="AF216" s="41" t="n"/>
      <c r="AG216" s="41" t="n"/>
      <c r="AH216" s="21" t="n"/>
      <c r="AT216" s="22" t="n"/>
    </row>
    <row r="217" outlineLevel="4">
      <c r="A217" s="8" t="n"/>
      <c r="B217" s="14" t="n"/>
      <c r="C217" s="41" t="n"/>
      <c r="D217" s="21" t="n"/>
      <c r="P217" s="22" t="n"/>
      <c r="Q217" s="41" t="n"/>
      <c r="R217" s="41" t="n"/>
      <c r="S217" s="21" t="n"/>
      <c r="AE217" s="22" t="n"/>
      <c r="AF217" s="41" t="n"/>
      <c r="AG217" s="41" t="n"/>
      <c r="AH217" s="21" t="n"/>
      <c r="AT217" s="22" t="n"/>
    </row>
    <row r="218" outlineLevel="4">
      <c r="A218" s="8" t="n"/>
      <c r="B218" s="14" t="n"/>
      <c r="C218" s="41" t="n"/>
      <c r="D218" s="21" t="n"/>
      <c r="P218" s="22" t="n"/>
      <c r="Q218" s="41" t="n"/>
      <c r="R218" s="41" t="n"/>
      <c r="S218" s="21" t="n"/>
      <c r="AE218" s="22" t="n"/>
      <c r="AF218" s="41" t="n"/>
      <c r="AG218" s="41" t="n"/>
      <c r="AH218" s="21" t="n"/>
      <c r="AT218" s="22" t="n"/>
    </row>
    <row r="219" outlineLevel="4">
      <c r="A219" s="8" t="n"/>
      <c r="B219" s="14" t="n"/>
      <c r="C219" s="41" t="n"/>
      <c r="D219" s="23" t="n"/>
      <c r="E219" s="24" t="n"/>
      <c r="F219" s="24" t="n"/>
      <c r="G219" s="24" t="n"/>
      <c r="H219" s="24" t="n"/>
      <c r="I219" s="24" t="n"/>
      <c r="J219" s="24" t="n"/>
      <c r="K219" s="24" t="n"/>
      <c r="L219" s="24" t="n"/>
      <c r="M219" s="24" t="n"/>
      <c r="N219" s="24" t="n"/>
      <c r="O219" s="24" t="n"/>
      <c r="P219" s="25" t="n"/>
      <c r="Q219" s="41" t="n"/>
      <c r="R219" s="41" t="n"/>
      <c r="S219" s="23" t="n"/>
      <c r="T219" s="24" t="n"/>
      <c r="U219" s="24" t="n"/>
      <c r="V219" s="24" t="n"/>
      <c r="W219" s="24" t="n"/>
      <c r="X219" s="24" t="n"/>
      <c r="Y219" s="24" t="n"/>
      <c r="Z219" s="24" t="n"/>
      <c r="AA219" s="24" t="n"/>
      <c r="AB219" s="24" t="n"/>
      <c r="AC219" s="24" t="n"/>
      <c r="AD219" s="24" t="n"/>
      <c r="AE219" s="25" t="n"/>
      <c r="AF219" s="41" t="n"/>
      <c r="AG219" s="41" t="n"/>
      <c r="AH219" s="23" t="n"/>
      <c r="AI219" s="24" t="n"/>
      <c r="AJ219" s="24" t="n"/>
      <c r="AK219" s="24" t="n"/>
      <c r="AL219" s="24" t="n"/>
      <c r="AM219" s="24" t="n"/>
      <c r="AN219" s="24" t="n"/>
      <c r="AO219" s="24" t="n"/>
      <c r="AP219" s="24" t="n"/>
      <c r="AQ219" s="24" t="n"/>
      <c r="AR219" s="24" t="n"/>
      <c r="AS219" s="24" t="n"/>
      <c r="AT219" s="25" t="n"/>
    </row>
    <row r="220" outlineLevel="3">
      <c r="A220" s="8" t="n"/>
      <c r="B220" s="14" t="n"/>
      <c r="C220" s="41" t="n"/>
      <c r="D220" s="41" t="n"/>
      <c r="E220" s="41" t="n"/>
      <c r="F220" s="41" t="n"/>
      <c r="G220" s="41" t="n"/>
      <c r="H220" s="41" t="n"/>
      <c r="I220" s="41" t="n"/>
      <c r="J220" s="41" t="n"/>
      <c r="K220" s="41" t="n"/>
      <c r="L220" s="41" t="n"/>
      <c r="M220" s="41" t="n"/>
      <c r="N220" s="41" t="n"/>
      <c r="O220" s="41" t="n"/>
      <c r="P220" s="41" t="n"/>
      <c r="Q220" s="41" t="n"/>
      <c r="R220" s="41" t="n"/>
      <c r="S220" s="41" t="n"/>
      <c r="T220" s="41" t="n"/>
      <c r="U220" s="41" t="n"/>
      <c r="V220" s="41" t="n"/>
      <c r="W220" s="41" t="n"/>
      <c r="X220" s="41" t="n"/>
      <c r="Y220" s="41" t="n"/>
      <c r="Z220" s="41" t="n"/>
      <c r="AA220" s="41" t="n"/>
      <c r="AB220" s="41" t="n"/>
      <c r="AC220" s="41" t="n"/>
      <c r="AD220" s="41" t="n"/>
      <c r="AE220" s="41" t="n"/>
      <c r="AF220" s="41" t="n"/>
      <c r="AG220" s="41" t="n"/>
      <c r="AH220" s="41" t="n"/>
      <c r="AI220" s="41" t="n"/>
      <c r="AJ220" s="41" t="n"/>
      <c r="AK220" s="41" t="n"/>
      <c r="AL220" s="41" t="n"/>
      <c r="AM220" s="41" t="n"/>
      <c r="AN220" s="41" t="n"/>
      <c r="AO220" s="41" t="n"/>
      <c r="AP220" s="41" t="n"/>
      <c r="AQ220" s="41" t="n"/>
      <c r="AR220" s="41" t="n"/>
      <c r="AS220" s="41" t="n"/>
      <c r="AT220" s="41" t="n"/>
    </row>
    <row r="221" outlineLevel="3">
      <c r="A221" s="8" t="n"/>
      <c r="B221" s="14" t="n"/>
      <c r="C221" s="41" t="n"/>
      <c r="D221" s="132">
        <f>DADOS_AM!$JJ$5</f>
        <v/>
      </c>
      <c r="E221" s="17" t="n"/>
      <c r="F221" s="131">
        <f>DADOS_AM!$JK$5</f>
        <v/>
      </c>
      <c r="G221" s="16" t="n"/>
      <c r="H221" s="16" t="n"/>
      <c r="I221" s="16" t="n"/>
      <c r="J221" s="16" t="n"/>
      <c r="K221" s="16" t="n"/>
      <c r="L221" s="16" t="n"/>
      <c r="M221" s="16" t="n"/>
      <c r="N221" s="16" t="n"/>
      <c r="O221" s="16" t="n"/>
      <c r="P221" s="17" t="n"/>
      <c r="Q221" s="41" t="n"/>
      <c r="R221" s="41" t="n"/>
      <c r="S221" s="132">
        <f>DADOS_AM!$JJ$6</f>
        <v/>
      </c>
      <c r="T221" s="17" t="n"/>
      <c r="U221" s="131">
        <f>DADOS_AM!$JK$6</f>
        <v/>
      </c>
      <c r="V221" s="16" t="n"/>
      <c r="W221" s="16" t="n"/>
      <c r="X221" s="16" t="n"/>
      <c r="Y221" s="16" t="n"/>
      <c r="Z221" s="16" t="n"/>
      <c r="AA221" s="16" t="n"/>
      <c r="AB221" s="16" t="n"/>
      <c r="AC221" s="16" t="n"/>
      <c r="AD221" s="16" t="n"/>
      <c r="AE221" s="17" t="n"/>
      <c r="AF221" s="41" t="n"/>
      <c r="AG221" s="41" t="n"/>
      <c r="AH221" s="132">
        <f>DADOS_AM!$JJ$7</f>
        <v/>
      </c>
      <c r="AI221" s="17" t="n"/>
      <c r="AJ221" s="131">
        <f>DADOS_AM!$JK$7</f>
        <v/>
      </c>
      <c r="AK221" s="16" t="n"/>
      <c r="AL221" s="16" t="n"/>
      <c r="AM221" s="16" t="n"/>
      <c r="AN221" s="16" t="n"/>
      <c r="AO221" s="16" t="n"/>
      <c r="AP221" s="16" t="n"/>
      <c r="AQ221" s="16" t="n"/>
      <c r="AR221" s="16" t="n"/>
      <c r="AS221" s="16" t="n"/>
      <c r="AT221" s="17" t="n"/>
    </row>
    <row r="222" outlineLevel="3">
      <c r="A222" s="8" t="n"/>
      <c r="B222" s="14" t="n"/>
      <c r="C222" s="41" t="n"/>
      <c r="D222" s="133">
        <f>DADOS_AM!$JL$5</f>
        <v/>
      </c>
      <c r="E222" s="16" t="n"/>
      <c r="F222" s="17" t="n"/>
      <c r="G222" s="133">
        <f>DADOS_AM!$JM$5</f>
        <v/>
      </c>
      <c r="H222" s="16" t="n"/>
      <c r="I222" s="16" t="n"/>
      <c r="J222" s="17" t="n"/>
      <c r="K222" s="133">
        <f>DADOS_AM!$JN$5</f>
        <v/>
      </c>
      <c r="L222" s="16" t="n"/>
      <c r="M222" s="16" t="n"/>
      <c r="N222" s="16" t="n"/>
      <c r="O222" s="16" t="n"/>
      <c r="P222" s="17" t="n"/>
      <c r="Q222" s="41" t="n"/>
      <c r="R222" s="41" t="n"/>
      <c r="S222" s="133">
        <f>DADOS_AM!$JL$6</f>
        <v/>
      </c>
      <c r="T222" s="16" t="n"/>
      <c r="U222" s="17" t="n"/>
      <c r="V222" s="133">
        <f>DADOS_AM!$JM$6</f>
        <v/>
      </c>
      <c r="W222" s="16" t="n"/>
      <c r="X222" s="16" t="n"/>
      <c r="Y222" s="17" t="n"/>
      <c r="Z222" s="133">
        <f>DADOS_AM!$JN$6</f>
        <v/>
      </c>
      <c r="AA222" s="16" t="n"/>
      <c r="AB222" s="16" t="n"/>
      <c r="AC222" s="16" t="n"/>
      <c r="AD222" s="16" t="n"/>
      <c r="AE222" s="17" t="n"/>
      <c r="AF222" s="41" t="n"/>
      <c r="AG222" s="41" t="n"/>
      <c r="AH222" s="133">
        <f>DADOS_AM!$JL$7</f>
        <v/>
      </c>
      <c r="AI222" s="16" t="n"/>
      <c r="AJ222" s="17" t="n"/>
      <c r="AK222" s="133">
        <f>DADOS_AM!$JM$7</f>
        <v/>
      </c>
      <c r="AL222" s="16" t="n"/>
      <c r="AM222" s="16" t="n"/>
      <c r="AN222" s="17" t="n"/>
      <c r="AO222" s="133">
        <f>DADOS_AM!$JN$7</f>
        <v/>
      </c>
      <c r="AP222" s="16" t="n"/>
      <c r="AQ222" s="16" t="n"/>
      <c r="AR222" s="16" t="n"/>
      <c r="AS222" s="16" t="n"/>
      <c r="AT222" s="17" t="n"/>
    </row>
    <row r="223" hidden="1" outlineLevel="4">
      <c r="A223" s="8" t="n"/>
      <c r="B223" s="14" t="n"/>
      <c r="C223" s="41" t="n"/>
      <c r="D223" s="61">
        <f>DADOS_AM!$JO$5</f>
        <v/>
      </c>
      <c r="E223" s="19" t="n"/>
      <c r="F223" s="19" t="n"/>
      <c r="G223" s="19" t="n"/>
      <c r="H223" s="19" t="n"/>
      <c r="I223" s="19" t="n"/>
      <c r="J223" s="19" t="n"/>
      <c r="K223" s="19" t="n"/>
      <c r="L223" s="19" t="n"/>
      <c r="M223" s="19" t="n"/>
      <c r="N223" s="19" t="n"/>
      <c r="O223" s="19" t="n"/>
      <c r="P223" s="20" t="n"/>
      <c r="Q223" s="41" t="n"/>
      <c r="R223" s="41" t="n"/>
      <c r="S223" s="61">
        <f>DADOS_AM!$JO$6</f>
        <v/>
      </c>
      <c r="T223" s="19" t="n"/>
      <c r="U223" s="19" t="n"/>
      <c r="V223" s="19" t="n"/>
      <c r="W223" s="19" t="n"/>
      <c r="X223" s="19" t="n"/>
      <c r="Y223" s="19" t="n"/>
      <c r="Z223" s="19" t="n"/>
      <c r="AA223" s="19" t="n"/>
      <c r="AB223" s="19" t="n"/>
      <c r="AC223" s="19" t="n"/>
      <c r="AD223" s="19" t="n"/>
      <c r="AE223" s="20" t="n"/>
      <c r="AF223" s="41" t="n"/>
      <c r="AG223" s="41" t="n"/>
      <c r="AH223" s="61">
        <f>DADOS_AM!$JO$7</f>
        <v/>
      </c>
      <c r="AI223" s="19" t="n"/>
      <c r="AJ223" s="19" t="n"/>
      <c r="AK223" s="19" t="n"/>
      <c r="AL223" s="19" t="n"/>
      <c r="AM223" s="19" t="n"/>
      <c r="AN223" s="19" t="n"/>
      <c r="AO223" s="19" t="n"/>
      <c r="AP223" s="19" t="n"/>
      <c r="AQ223" s="19" t="n"/>
      <c r="AR223" s="19" t="n"/>
      <c r="AS223" s="19" t="n"/>
      <c r="AT223" s="20" t="n"/>
    </row>
    <row r="224" hidden="1" outlineLevel="4">
      <c r="A224" s="8" t="n"/>
      <c r="B224" s="14" t="n"/>
      <c r="C224" s="41" t="n"/>
      <c r="D224" s="21" t="n"/>
      <c r="P224" s="22" t="n"/>
      <c r="Q224" s="41" t="n"/>
      <c r="R224" s="41" t="n"/>
      <c r="S224" s="21" t="n"/>
      <c r="AE224" s="22" t="n"/>
      <c r="AF224" s="41" t="n"/>
      <c r="AG224" s="41" t="n"/>
      <c r="AH224" s="21" t="n"/>
      <c r="AT224" s="22" t="n"/>
    </row>
    <row r="225" hidden="1" outlineLevel="4">
      <c r="A225" s="8" t="n"/>
      <c r="B225" s="14" t="n"/>
      <c r="C225" s="41" t="n"/>
      <c r="D225" s="21" t="n"/>
      <c r="P225" s="22" t="n"/>
      <c r="Q225" s="41" t="n"/>
      <c r="R225" s="41" t="n"/>
      <c r="S225" s="21" t="n"/>
      <c r="AE225" s="22" t="n"/>
      <c r="AF225" s="41" t="n"/>
      <c r="AG225" s="41" t="n"/>
      <c r="AH225" s="21" t="n"/>
      <c r="AT225" s="22" t="n"/>
    </row>
    <row r="226" hidden="1" outlineLevel="4">
      <c r="A226" s="8" t="n"/>
      <c r="B226" s="14" t="n"/>
      <c r="C226" s="41" t="n"/>
      <c r="D226" s="21" t="n"/>
      <c r="P226" s="22" t="n"/>
      <c r="Q226" s="41" t="n"/>
      <c r="R226" s="41" t="n"/>
      <c r="S226" s="21" t="n"/>
      <c r="AE226" s="22" t="n"/>
      <c r="AF226" s="41" t="n"/>
      <c r="AG226" s="41" t="n"/>
      <c r="AH226" s="21" t="n"/>
      <c r="AT226" s="22" t="n"/>
    </row>
    <row r="227" hidden="1" outlineLevel="4">
      <c r="A227" s="8" t="n"/>
      <c r="B227" s="14" t="n"/>
      <c r="C227" s="41" t="n"/>
      <c r="D227" s="21" t="n"/>
      <c r="P227" s="22" t="n"/>
      <c r="Q227" s="41" t="n"/>
      <c r="R227" s="41" t="n"/>
      <c r="S227" s="21" t="n"/>
      <c r="AE227" s="22" t="n"/>
      <c r="AF227" s="41" t="n"/>
      <c r="AG227" s="41" t="n"/>
      <c r="AH227" s="21" t="n"/>
      <c r="AT227" s="22" t="n"/>
    </row>
    <row r="228" hidden="1" outlineLevel="4">
      <c r="A228" s="8" t="n"/>
      <c r="B228" s="14" t="n"/>
      <c r="C228" s="41" t="n"/>
      <c r="D228" s="21" t="n"/>
      <c r="P228" s="22" t="n"/>
      <c r="Q228" s="41" t="n"/>
      <c r="R228" s="41" t="n"/>
      <c r="S228" s="21" t="n"/>
      <c r="AE228" s="22" t="n"/>
      <c r="AF228" s="41" t="n"/>
      <c r="AG228" s="41" t="n"/>
      <c r="AH228" s="21" t="n"/>
      <c r="AT228" s="22" t="n"/>
    </row>
    <row r="229" hidden="1" outlineLevel="4">
      <c r="A229" s="8" t="n"/>
      <c r="B229" s="14" t="n"/>
      <c r="C229" s="41" t="n"/>
      <c r="D229" s="23" t="n"/>
      <c r="E229" s="24" t="n"/>
      <c r="F229" s="24" t="n"/>
      <c r="G229" s="24" t="n"/>
      <c r="H229" s="24" t="n"/>
      <c r="I229" s="24" t="n"/>
      <c r="J229" s="24" t="n"/>
      <c r="K229" s="24" t="n"/>
      <c r="L229" s="24" t="n"/>
      <c r="M229" s="24" t="n"/>
      <c r="N229" s="24" t="n"/>
      <c r="O229" s="24" t="n"/>
      <c r="P229" s="25" t="n"/>
      <c r="Q229" s="41" t="n"/>
      <c r="R229" s="41" t="n"/>
      <c r="S229" s="23" t="n"/>
      <c r="T229" s="24" t="n"/>
      <c r="U229" s="24" t="n"/>
      <c r="V229" s="24" t="n"/>
      <c r="W229" s="24" t="n"/>
      <c r="X229" s="24" t="n"/>
      <c r="Y229" s="24" t="n"/>
      <c r="Z229" s="24" t="n"/>
      <c r="AA229" s="24" t="n"/>
      <c r="AB229" s="24" t="n"/>
      <c r="AC229" s="24" t="n"/>
      <c r="AD229" s="24" t="n"/>
      <c r="AE229" s="25" t="n"/>
      <c r="AF229" s="41" t="n"/>
      <c r="AG229" s="41" t="n"/>
      <c r="AH229" s="23" t="n"/>
      <c r="AI229" s="24" t="n"/>
      <c r="AJ229" s="24" t="n"/>
      <c r="AK229" s="24" t="n"/>
      <c r="AL229" s="24" t="n"/>
      <c r="AM229" s="24" t="n"/>
      <c r="AN229" s="24" t="n"/>
      <c r="AO229" s="24" t="n"/>
      <c r="AP229" s="24" t="n"/>
      <c r="AQ229" s="24" t="n"/>
      <c r="AR229" s="24" t="n"/>
      <c r="AS229" s="24" t="n"/>
      <c r="AT229" s="25" t="n"/>
    </row>
    <row r="230" outlineLevel="2">
      <c r="A230" s="8" t="n"/>
      <c r="B230" s="14" t="n"/>
      <c r="C230" s="41" t="n"/>
      <c r="D230" s="134">
        <f>DADOS_AM!$KS$10</f>
        <v/>
      </c>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c r="AI230" s="16" t="n"/>
      <c r="AJ230" s="16" t="n"/>
      <c r="AK230" s="16" t="n"/>
      <c r="AL230" s="16" t="n"/>
      <c r="AM230" s="16" t="n"/>
      <c r="AN230" s="16" t="n"/>
      <c r="AO230" s="16" t="n"/>
      <c r="AP230" s="16" t="n"/>
      <c r="AQ230" s="16" t="n"/>
      <c r="AR230" s="16" t="n"/>
      <c r="AS230" s="16" t="n"/>
      <c r="AT230" s="17" t="n"/>
    </row>
    <row r="231" hidden="1" outlineLevel="3">
      <c r="A231" s="8" t="n"/>
      <c r="B231" s="14" t="n"/>
      <c r="C231" s="41" t="n"/>
      <c r="D231" s="132">
        <f>DADOS_AM!$JJ$8</f>
        <v/>
      </c>
      <c r="E231" s="17" t="n"/>
      <c r="F231" s="131">
        <f>DADOS_AM!$JK$8</f>
        <v/>
      </c>
      <c r="G231" s="16" t="n"/>
      <c r="H231" s="16" t="n"/>
      <c r="I231" s="16" t="n"/>
      <c r="J231" s="16" t="n"/>
      <c r="K231" s="16" t="n"/>
      <c r="L231" s="16" t="n"/>
      <c r="M231" s="16" t="n"/>
      <c r="N231" s="16" t="n"/>
      <c r="O231" s="16" t="n"/>
      <c r="P231" s="17" t="n"/>
      <c r="Q231" s="41" t="n"/>
      <c r="R231" s="41" t="n"/>
      <c r="S231" s="132">
        <f>DADOS_AM!$JJ$9</f>
        <v/>
      </c>
      <c r="T231" s="17" t="n"/>
      <c r="U231" s="131">
        <f>DADOS_AM!$JK$9</f>
        <v/>
      </c>
      <c r="V231" s="16" t="n"/>
      <c r="W231" s="16" t="n"/>
      <c r="X231" s="16" t="n"/>
      <c r="Y231" s="16" t="n"/>
      <c r="Z231" s="16" t="n"/>
      <c r="AA231" s="16" t="n"/>
      <c r="AB231" s="16" t="n"/>
      <c r="AC231" s="16" t="n"/>
      <c r="AD231" s="16" t="n"/>
      <c r="AE231" s="17" t="n"/>
      <c r="AF231" s="41" t="n"/>
      <c r="AG231" s="41" t="n"/>
      <c r="AH231" s="132">
        <f>DADOS_AM!$JJ$10</f>
        <v/>
      </c>
      <c r="AI231" s="17" t="n"/>
      <c r="AJ231" s="131">
        <f>DADOS_AM!$JK$10</f>
        <v/>
      </c>
      <c r="AK231" s="16" t="n"/>
      <c r="AL231" s="16" t="n"/>
      <c r="AM231" s="16" t="n"/>
      <c r="AN231" s="16" t="n"/>
      <c r="AO231" s="16" t="n"/>
      <c r="AP231" s="16" t="n"/>
      <c r="AQ231" s="16" t="n"/>
      <c r="AR231" s="16" t="n"/>
      <c r="AS231" s="16" t="n"/>
      <c r="AT231" s="17" t="n"/>
    </row>
    <row r="232" hidden="1" outlineLevel="3">
      <c r="A232" s="8" t="n"/>
      <c r="B232" s="14" t="n"/>
      <c r="C232" s="41" t="n"/>
      <c r="D232" s="133">
        <f>DADOS_AM!$JL$8</f>
        <v/>
      </c>
      <c r="E232" s="16" t="n"/>
      <c r="F232" s="17" t="n"/>
      <c r="G232" s="133">
        <f>DADOS_AM!$JM$8</f>
        <v/>
      </c>
      <c r="H232" s="16" t="n"/>
      <c r="I232" s="16" t="n"/>
      <c r="J232" s="17" t="n"/>
      <c r="K232" s="133">
        <f>DADOS_AM!$JN$8</f>
        <v/>
      </c>
      <c r="L232" s="16" t="n"/>
      <c r="M232" s="16" t="n"/>
      <c r="N232" s="16" t="n"/>
      <c r="O232" s="16" t="n"/>
      <c r="P232" s="17" t="n"/>
      <c r="Q232" s="41" t="n"/>
      <c r="R232" s="41" t="n"/>
      <c r="S232" s="133">
        <f>DADOS_AM!$JL$9</f>
        <v/>
      </c>
      <c r="T232" s="16" t="n"/>
      <c r="U232" s="17" t="n"/>
      <c r="V232" s="133">
        <f>DADOS_AM!$JM$9</f>
        <v/>
      </c>
      <c r="W232" s="16" t="n"/>
      <c r="X232" s="16" t="n"/>
      <c r="Y232" s="17" t="n"/>
      <c r="Z232" s="133">
        <f>DADOS_AM!$JN$9</f>
        <v/>
      </c>
      <c r="AA232" s="16" t="n"/>
      <c r="AB232" s="16" t="n"/>
      <c r="AC232" s="16" t="n"/>
      <c r="AD232" s="16" t="n"/>
      <c r="AE232" s="17" t="n"/>
      <c r="AF232" s="41" t="n"/>
      <c r="AG232" s="41" t="n"/>
      <c r="AH232" s="133">
        <f>DADOS_AM!$JL$10</f>
        <v/>
      </c>
      <c r="AI232" s="16" t="n"/>
      <c r="AJ232" s="17" t="n"/>
      <c r="AK232" s="133">
        <f>DADOS_AM!$JM$10</f>
        <v/>
      </c>
      <c r="AL232" s="16" t="n"/>
      <c r="AM232" s="16" t="n"/>
      <c r="AN232" s="17" t="n"/>
      <c r="AO232" s="133">
        <f>DADOS_AM!$JN$10</f>
        <v/>
      </c>
      <c r="AP232" s="16" t="n"/>
      <c r="AQ232" s="16" t="n"/>
      <c r="AR232" s="16" t="n"/>
      <c r="AS232" s="16" t="n"/>
      <c r="AT232" s="17" t="n"/>
    </row>
    <row r="233" hidden="1" outlineLevel="4">
      <c r="A233" s="8" t="n"/>
      <c r="B233" s="14" t="n"/>
      <c r="C233" s="41" t="n"/>
      <c r="D233" s="61">
        <f>DADOS_AM!$JO$8</f>
        <v/>
      </c>
      <c r="E233" s="19" t="n"/>
      <c r="F233" s="19" t="n"/>
      <c r="G233" s="19" t="n"/>
      <c r="H233" s="19" t="n"/>
      <c r="I233" s="19" t="n"/>
      <c r="J233" s="19" t="n"/>
      <c r="K233" s="19" t="n"/>
      <c r="L233" s="19" t="n"/>
      <c r="M233" s="19" t="n"/>
      <c r="N233" s="19" t="n"/>
      <c r="O233" s="19" t="n"/>
      <c r="P233" s="20" t="n"/>
      <c r="Q233" s="41" t="n"/>
      <c r="R233" s="41" t="n"/>
      <c r="S233" s="61">
        <f>DADOS_AM!$JO$9</f>
        <v/>
      </c>
      <c r="T233" s="19" t="n"/>
      <c r="U233" s="19" t="n"/>
      <c r="V233" s="19" t="n"/>
      <c r="W233" s="19" t="n"/>
      <c r="X233" s="19" t="n"/>
      <c r="Y233" s="19" t="n"/>
      <c r="Z233" s="19" t="n"/>
      <c r="AA233" s="19" t="n"/>
      <c r="AB233" s="19" t="n"/>
      <c r="AC233" s="19" t="n"/>
      <c r="AD233" s="19" t="n"/>
      <c r="AE233" s="20" t="n"/>
      <c r="AF233" s="41" t="n"/>
      <c r="AG233" s="41" t="n"/>
      <c r="AH233" s="61">
        <f>DADOS_AM!$JO$10</f>
        <v/>
      </c>
      <c r="AI233" s="19" t="n"/>
      <c r="AJ233" s="19" t="n"/>
      <c r="AK233" s="19" t="n"/>
      <c r="AL233" s="19" t="n"/>
      <c r="AM233" s="19" t="n"/>
      <c r="AN233" s="19" t="n"/>
      <c r="AO233" s="19" t="n"/>
      <c r="AP233" s="19" t="n"/>
      <c r="AQ233" s="19" t="n"/>
      <c r="AR233" s="19" t="n"/>
      <c r="AS233" s="19" t="n"/>
      <c r="AT233" s="20" t="n"/>
    </row>
    <row r="234" hidden="1" outlineLevel="4">
      <c r="A234" s="8" t="n"/>
      <c r="B234" s="14" t="n"/>
      <c r="C234" s="41" t="n"/>
      <c r="D234" s="21" t="n"/>
      <c r="P234" s="22" t="n"/>
      <c r="Q234" s="41" t="n"/>
      <c r="R234" s="41" t="n"/>
      <c r="S234" s="21" t="n"/>
      <c r="AE234" s="22" t="n"/>
      <c r="AF234" s="41" t="n"/>
      <c r="AG234" s="41" t="n"/>
      <c r="AH234" s="21" t="n"/>
      <c r="AT234" s="22" t="n"/>
    </row>
    <row r="235" hidden="1" outlineLevel="4">
      <c r="A235" s="8" t="n"/>
      <c r="B235" s="14" t="n"/>
      <c r="C235" s="41" t="n"/>
      <c r="D235" s="21" t="n"/>
      <c r="P235" s="22" t="n"/>
      <c r="Q235" s="41" t="n"/>
      <c r="R235" s="41" t="n"/>
      <c r="S235" s="21" t="n"/>
      <c r="AE235" s="22" t="n"/>
      <c r="AF235" s="41" t="n"/>
      <c r="AG235" s="41" t="n"/>
      <c r="AH235" s="21" t="n"/>
      <c r="AT235" s="22" t="n"/>
    </row>
    <row r="236" hidden="1" outlineLevel="4">
      <c r="A236" s="8" t="n"/>
      <c r="B236" s="14" t="n"/>
      <c r="C236" s="41" t="n"/>
      <c r="D236" s="21" t="n"/>
      <c r="P236" s="22" t="n"/>
      <c r="Q236" s="41" t="n"/>
      <c r="R236" s="41" t="n"/>
      <c r="S236" s="21" t="n"/>
      <c r="AE236" s="22" t="n"/>
      <c r="AF236" s="41" t="n"/>
      <c r="AG236" s="41" t="n"/>
      <c r="AH236" s="21" t="n"/>
      <c r="AT236" s="22" t="n"/>
    </row>
    <row r="237" hidden="1" outlineLevel="4">
      <c r="A237" s="8" t="n"/>
      <c r="B237" s="14" t="n"/>
      <c r="C237" s="41" t="n"/>
      <c r="D237" s="21" t="n"/>
      <c r="P237" s="22" t="n"/>
      <c r="Q237" s="41" t="n"/>
      <c r="R237" s="41" t="n"/>
      <c r="S237" s="21" t="n"/>
      <c r="AE237" s="22" t="n"/>
      <c r="AF237" s="41" t="n"/>
      <c r="AG237" s="41" t="n"/>
      <c r="AH237" s="21" t="n"/>
      <c r="AT237" s="22" t="n"/>
    </row>
    <row r="238" hidden="1" outlineLevel="4">
      <c r="A238" s="8" t="n"/>
      <c r="B238" s="14" t="n"/>
      <c r="C238" s="41" t="n"/>
      <c r="D238" s="21" t="n"/>
      <c r="P238" s="22" t="n"/>
      <c r="Q238" s="41" t="n"/>
      <c r="R238" s="41" t="n"/>
      <c r="S238" s="21" t="n"/>
      <c r="AE238" s="22" t="n"/>
      <c r="AF238" s="41" t="n"/>
      <c r="AG238" s="41" t="n"/>
      <c r="AH238" s="21" t="n"/>
      <c r="AT238" s="22" t="n"/>
    </row>
    <row r="239" hidden="1" outlineLevel="4">
      <c r="A239" s="8" t="n"/>
      <c r="B239" s="14" t="n"/>
      <c r="C239" s="41" t="n"/>
      <c r="D239" s="23" t="n"/>
      <c r="E239" s="24" t="n"/>
      <c r="F239" s="24" t="n"/>
      <c r="G239" s="24" t="n"/>
      <c r="H239" s="24" t="n"/>
      <c r="I239" s="24" t="n"/>
      <c r="J239" s="24" t="n"/>
      <c r="K239" s="24" t="n"/>
      <c r="L239" s="24" t="n"/>
      <c r="M239" s="24" t="n"/>
      <c r="N239" s="24" t="n"/>
      <c r="O239" s="24" t="n"/>
      <c r="P239" s="25" t="n"/>
      <c r="Q239" s="41" t="n"/>
      <c r="R239" s="41" t="n"/>
      <c r="S239" s="23" t="n"/>
      <c r="T239" s="24" t="n"/>
      <c r="U239" s="24" t="n"/>
      <c r="V239" s="24" t="n"/>
      <c r="W239" s="24" t="n"/>
      <c r="X239" s="24" t="n"/>
      <c r="Y239" s="24" t="n"/>
      <c r="Z239" s="24" t="n"/>
      <c r="AA239" s="24" t="n"/>
      <c r="AB239" s="24" t="n"/>
      <c r="AC239" s="24" t="n"/>
      <c r="AD239" s="24" t="n"/>
      <c r="AE239" s="25" t="n"/>
      <c r="AF239" s="41" t="n"/>
      <c r="AG239" s="41" t="n"/>
      <c r="AH239" s="23" t="n"/>
      <c r="AI239" s="24" t="n"/>
      <c r="AJ239" s="24" t="n"/>
      <c r="AK239" s="24" t="n"/>
      <c r="AL239" s="24" t="n"/>
      <c r="AM239" s="24" t="n"/>
      <c r="AN239" s="24" t="n"/>
      <c r="AO239" s="24" t="n"/>
      <c r="AP239" s="24" t="n"/>
      <c r="AQ239" s="24" t="n"/>
      <c r="AR239" s="24" t="n"/>
      <c r="AS239" s="24" t="n"/>
      <c r="AT239" s="25" t="n"/>
    </row>
    <row r="240" hidden="1" outlineLevel="3">
      <c r="A240" s="8" t="n"/>
      <c r="B240" s="14"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1" t="n"/>
      <c r="AD240" s="41" t="n"/>
      <c r="AE240" s="41" t="n"/>
      <c r="AF240" s="41" t="n"/>
      <c r="AG240" s="41" t="n"/>
      <c r="AH240" s="41" t="n"/>
      <c r="AI240" s="41" t="n"/>
      <c r="AJ240" s="41" t="n"/>
      <c r="AK240" s="41" t="n"/>
      <c r="AL240" s="41" t="n"/>
      <c r="AM240" s="41" t="n"/>
      <c r="AN240" s="41" t="n"/>
      <c r="AO240" s="41" t="n"/>
      <c r="AP240" s="41" t="n"/>
      <c r="AQ240" s="41" t="n"/>
      <c r="AR240" s="41" t="n"/>
      <c r="AS240" s="41" t="n"/>
      <c r="AT240" s="41" t="n"/>
    </row>
    <row r="241" hidden="1" outlineLevel="3">
      <c r="A241" s="8" t="n"/>
      <c r="B241" s="14" t="n"/>
      <c r="C241" s="41" t="n"/>
      <c r="D241" s="132">
        <f>DADOS_AM!$JJ$11</f>
        <v/>
      </c>
      <c r="E241" s="17" t="n"/>
      <c r="F241" s="131">
        <f>DADOS_AM!$JK$11</f>
        <v/>
      </c>
      <c r="G241" s="16" t="n"/>
      <c r="H241" s="16" t="n"/>
      <c r="I241" s="16" t="n"/>
      <c r="J241" s="16" t="n"/>
      <c r="K241" s="16" t="n"/>
      <c r="L241" s="16" t="n"/>
      <c r="M241" s="16" t="n"/>
      <c r="N241" s="16" t="n"/>
      <c r="O241" s="16" t="n"/>
      <c r="P241" s="17" t="n"/>
      <c r="Q241" s="41" t="n"/>
      <c r="R241" s="41" t="n"/>
      <c r="S241" s="132">
        <f>DADOS_AM!$JJ$12</f>
        <v/>
      </c>
      <c r="T241" s="17" t="n"/>
      <c r="U241" s="131">
        <f>DADOS_AM!$JK$12</f>
        <v/>
      </c>
      <c r="V241" s="16" t="n"/>
      <c r="W241" s="16" t="n"/>
      <c r="X241" s="16" t="n"/>
      <c r="Y241" s="16" t="n"/>
      <c r="Z241" s="16" t="n"/>
      <c r="AA241" s="16" t="n"/>
      <c r="AB241" s="16" t="n"/>
      <c r="AC241" s="16" t="n"/>
      <c r="AD241" s="16" t="n"/>
      <c r="AE241" s="17" t="n"/>
      <c r="AF241" s="41" t="n"/>
      <c r="AG241" s="41" t="n"/>
      <c r="AH241" s="132">
        <f>DADOS_AM!$JJ$13</f>
        <v/>
      </c>
      <c r="AI241" s="17" t="n"/>
      <c r="AJ241" s="131">
        <f>DADOS_AM!$JK$13</f>
        <v/>
      </c>
      <c r="AK241" s="16" t="n"/>
      <c r="AL241" s="16" t="n"/>
      <c r="AM241" s="16" t="n"/>
      <c r="AN241" s="16" t="n"/>
      <c r="AO241" s="16" t="n"/>
      <c r="AP241" s="16" t="n"/>
      <c r="AQ241" s="16" t="n"/>
      <c r="AR241" s="16" t="n"/>
      <c r="AS241" s="16" t="n"/>
      <c r="AT241" s="17" t="n"/>
    </row>
    <row r="242" hidden="1" outlineLevel="3">
      <c r="A242" s="8" t="n"/>
      <c r="B242" s="14" t="n"/>
      <c r="C242" s="41" t="n"/>
      <c r="D242" s="133">
        <f>DADOS_AM!$JL$11</f>
        <v/>
      </c>
      <c r="E242" s="16" t="n"/>
      <c r="F242" s="17" t="n"/>
      <c r="G242" s="133">
        <f>DADOS_AM!$JM$11</f>
        <v/>
      </c>
      <c r="H242" s="16" t="n"/>
      <c r="I242" s="16" t="n"/>
      <c r="J242" s="17" t="n"/>
      <c r="K242" s="133">
        <f>DADOS_AM!$JN$11</f>
        <v/>
      </c>
      <c r="L242" s="16" t="n"/>
      <c r="M242" s="16" t="n"/>
      <c r="N242" s="16" t="n"/>
      <c r="O242" s="16" t="n"/>
      <c r="P242" s="17" t="n"/>
      <c r="Q242" s="41" t="n"/>
      <c r="R242" s="41" t="n"/>
      <c r="S242" s="133">
        <f>DADOS_AM!$JL$12</f>
        <v/>
      </c>
      <c r="T242" s="16" t="n"/>
      <c r="U242" s="17" t="n"/>
      <c r="V242" s="133">
        <f>DADOS_AM!$JM$12</f>
        <v/>
      </c>
      <c r="W242" s="16" t="n"/>
      <c r="X242" s="16" t="n"/>
      <c r="Y242" s="17" t="n"/>
      <c r="Z242" s="133">
        <f>DADOS_AM!$JN$12</f>
        <v/>
      </c>
      <c r="AA242" s="16" t="n"/>
      <c r="AB242" s="16" t="n"/>
      <c r="AC242" s="16" t="n"/>
      <c r="AD242" s="16" t="n"/>
      <c r="AE242" s="17" t="n"/>
      <c r="AF242" s="41" t="n"/>
      <c r="AG242" s="41" t="n"/>
      <c r="AH242" s="133">
        <f>DADOS_AM!$JL$13</f>
        <v/>
      </c>
      <c r="AI242" s="16" t="n"/>
      <c r="AJ242" s="17" t="n"/>
      <c r="AK242" s="133">
        <f>DADOS_AM!$JM$13</f>
        <v/>
      </c>
      <c r="AL242" s="16" t="n"/>
      <c r="AM242" s="16" t="n"/>
      <c r="AN242" s="17" t="n"/>
      <c r="AO242" s="133">
        <f>DADOS_AM!$JN$13</f>
        <v/>
      </c>
      <c r="AP242" s="16" t="n"/>
      <c r="AQ242" s="16" t="n"/>
      <c r="AR242" s="16" t="n"/>
      <c r="AS242" s="16" t="n"/>
      <c r="AT242" s="17" t="n"/>
    </row>
    <row r="243" hidden="1" outlineLevel="4">
      <c r="A243" s="8" t="n"/>
      <c r="B243" s="14" t="n"/>
      <c r="C243" s="41" t="n"/>
      <c r="D243" s="61">
        <f>DADOS_AM!$JO$11</f>
        <v/>
      </c>
      <c r="E243" s="19" t="n"/>
      <c r="F243" s="19" t="n"/>
      <c r="G243" s="19" t="n"/>
      <c r="H243" s="19" t="n"/>
      <c r="I243" s="19" t="n"/>
      <c r="J243" s="19" t="n"/>
      <c r="K243" s="19" t="n"/>
      <c r="L243" s="19" t="n"/>
      <c r="M243" s="19" t="n"/>
      <c r="N243" s="19" t="n"/>
      <c r="O243" s="19" t="n"/>
      <c r="P243" s="20" t="n"/>
      <c r="Q243" s="41" t="n"/>
      <c r="R243" s="41" t="n"/>
      <c r="S243" s="61">
        <f>DADOS_AM!$JO$12</f>
        <v/>
      </c>
      <c r="T243" s="19" t="n"/>
      <c r="U243" s="19" t="n"/>
      <c r="V243" s="19" t="n"/>
      <c r="W243" s="19" t="n"/>
      <c r="X243" s="19" t="n"/>
      <c r="Y243" s="19" t="n"/>
      <c r="Z243" s="19" t="n"/>
      <c r="AA243" s="19" t="n"/>
      <c r="AB243" s="19" t="n"/>
      <c r="AC243" s="19" t="n"/>
      <c r="AD243" s="19" t="n"/>
      <c r="AE243" s="20" t="n"/>
      <c r="AF243" s="41" t="n"/>
      <c r="AG243" s="41" t="n"/>
      <c r="AH243" s="61">
        <f>DADOS_AM!$JO$13</f>
        <v/>
      </c>
      <c r="AI243" s="19" t="n"/>
      <c r="AJ243" s="19" t="n"/>
      <c r="AK243" s="19" t="n"/>
      <c r="AL243" s="19" t="n"/>
      <c r="AM243" s="19" t="n"/>
      <c r="AN243" s="19" t="n"/>
      <c r="AO243" s="19" t="n"/>
      <c r="AP243" s="19" t="n"/>
      <c r="AQ243" s="19" t="n"/>
      <c r="AR243" s="19" t="n"/>
      <c r="AS243" s="19" t="n"/>
      <c r="AT243" s="20" t="n"/>
    </row>
    <row r="244" hidden="1" outlineLevel="4">
      <c r="A244" s="8" t="n"/>
      <c r="B244" s="14" t="n"/>
      <c r="C244" s="41" t="n"/>
      <c r="D244" s="21" t="n"/>
      <c r="P244" s="22" t="n"/>
      <c r="Q244" s="41" t="n"/>
      <c r="R244" s="41" t="n"/>
      <c r="S244" s="21" t="n"/>
      <c r="AE244" s="22" t="n"/>
      <c r="AF244" s="41" t="n"/>
      <c r="AG244" s="41" t="n"/>
      <c r="AH244" s="21" t="n"/>
      <c r="AT244" s="22" t="n"/>
    </row>
    <row r="245" hidden="1" outlineLevel="4">
      <c r="A245" s="8" t="n"/>
      <c r="B245" s="14" t="n"/>
      <c r="C245" s="41" t="n"/>
      <c r="D245" s="21" t="n"/>
      <c r="P245" s="22" t="n"/>
      <c r="Q245" s="41" t="n"/>
      <c r="R245" s="41" t="n"/>
      <c r="S245" s="21" t="n"/>
      <c r="AE245" s="22" t="n"/>
      <c r="AF245" s="41" t="n"/>
      <c r="AG245" s="41" t="n"/>
      <c r="AH245" s="21" t="n"/>
      <c r="AT245" s="22" t="n"/>
    </row>
    <row r="246" hidden="1" outlineLevel="4">
      <c r="A246" s="8" t="n"/>
      <c r="B246" s="14" t="n"/>
      <c r="C246" s="41" t="n"/>
      <c r="D246" s="21" t="n"/>
      <c r="P246" s="22" t="n"/>
      <c r="Q246" s="41" t="n"/>
      <c r="R246" s="41" t="n"/>
      <c r="S246" s="21" t="n"/>
      <c r="AE246" s="22" t="n"/>
      <c r="AF246" s="41" t="n"/>
      <c r="AG246" s="41" t="n"/>
      <c r="AH246" s="21" t="n"/>
      <c r="AT246" s="22" t="n"/>
    </row>
    <row r="247" hidden="1" outlineLevel="4">
      <c r="A247" s="8" t="n"/>
      <c r="B247" s="14" t="n"/>
      <c r="C247" s="41" t="n"/>
      <c r="D247" s="21" t="n"/>
      <c r="P247" s="22" t="n"/>
      <c r="Q247" s="41" t="n"/>
      <c r="R247" s="41" t="n"/>
      <c r="S247" s="21" t="n"/>
      <c r="AE247" s="22" t="n"/>
      <c r="AF247" s="41" t="n"/>
      <c r="AG247" s="41" t="n"/>
      <c r="AH247" s="21" t="n"/>
      <c r="AT247" s="22" t="n"/>
    </row>
    <row r="248" hidden="1" outlineLevel="4">
      <c r="A248" s="8" t="n"/>
      <c r="B248" s="14" t="n"/>
      <c r="C248" s="41" t="n"/>
      <c r="D248" s="21" t="n"/>
      <c r="P248" s="22" t="n"/>
      <c r="Q248" s="41" t="n"/>
      <c r="R248" s="41" t="n"/>
      <c r="S248" s="21" t="n"/>
      <c r="AE248" s="22" t="n"/>
      <c r="AF248" s="41" t="n"/>
      <c r="AG248" s="41" t="n"/>
      <c r="AH248" s="21" t="n"/>
      <c r="AT248" s="22" t="n"/>
    </row>
    <row r="249" hidden="1" outlineLevel="4">
      <c r="A249" s="8" t="n"/>
      <c r="B249" s="14" t="n"/>
      <c r="C249" s="41" t="n"/>
      <c r="D249" s="23" t="n"/>
      <c r="E249" s="24" t="n"/>
      <c r="F249" s="24" t="n"/>
      <c r="G249" s="24" t="n"/>
      <c r="H249" s="24" t="n"/>
      <c r="I249" s="24" t="n"/>
      <c r="J249" s="24" t="n"/>
      <c r="K249" s="24" t="n"/>
      <c r="L249" s="24" t="n"/>
      <c r="M249" s="24" t="n"/>
      <c r="N249" s="24" t="n"/>
      <c r="O249" s="24" t="n"/>
      <c r="P249" s="25" t="n"/>
      <c r="Q249" s="41" t="n"/>
      <c r="R249" s="41" t="n"/>
      <c r="S249" s="23" t="n"/>
      <c r="T249" s="24" t="n"/>
      <c r="U249" s="24" t="n"/>
      <c r="V249" s="24" t="n"/>
      <c r="W249" s="24" t="n"/>
      <c r="X249" s="24" t="n"/>
      <c r="Y249" s="24" t="n"/>
      <c r="Z249" s="24" t="n"/>
      <c r="AA249" s="24" t="n"/>
      <c r="AB249" s="24" t="n"/>
      <c r="AC249" s="24" t="n"/>
      <c r="AD249" s="24" t="n"/>
      <c r="AE249" s="25" t="n"/>
      <c r="AF249" s="41" t="n"/>
      <c r="AG249" s="41" t="n"/>
      <c r="AH249" s="23" t="n"/>
      <c r="AI249" s="24" t="n"/>
      <c r="AJ249" s="24" t="n"/>
      <c r="AK249" s="24" t="n"/>
      <c r="AL249" s="24" t="n"/>
      <c r="AM249" s="24" t="n"/>
      <c r="AN249" s="24" t="n"/>
      <c r="AO249" s="24" t="n"/>
      <c r="AP249" s="24" t="n"/>
      <c r="AQ249" s="24" t="n"/>
      <c r="AR249" s="24" t="n"/>
      <c r="AS249" s="24" t="n"/>
      <c r="AT249" s="25" t="n"/>
    </row>
    <row r="250" outlineLevel="2">
      <c r="A250" s="8" t="n"/>
      <c r="B250" s="14" t="n"/>
      <c r="C250" s="41" t="n"/>
      <c r="D250" s="134">
        <f>DADOS_AM!$KS$11</f>
        <v/>
      </c>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c r="AI250" s="16" t="n"/>
      <c r="AJ250" s="16" t="n"/>
      <c r="AK250" s="16" t="n"/>
      <c r="AL250" s="16" t="n"/>
      <c r="AM250" s="16" t="n"/>
      <c r="AN250" s="16" t="n"/>
      <c r="AO250" s="16" t="n"/>
      <c r="AP250" s="16" t="n"/>
      <c r="AQ250" s="16" t="n"/>
      <c r="AR250" s="16" t="n"/>
      <c r="AS250" s="16" t="n"/>
      <c r="AT250" s="17" t="n"/>
    </row>
    <row r="251" hidden="1" outlineLevel="3">
      <c r="A251" s="8" t="n"/>
      <c r="B251" s="14" t="n"/>
      <c r="C251" s="41" t="n"/>
      <c r="D251" s="132">
        <f>DADOS_AM!$JJ$14</f>
        <v/>
      </c>
      <c r="E251" s="17" t="n"/>
      <c r="F251" s="131">
        <f>DADOS_AM!$JK$14</f>
        <v/>
      </c>
      <c r="G251" s="16" t="n"/>
      <c r="H251" s="16" t="n"/>
      <c r="I251" s="16" t="n"/>
      <c r="J251" s="16" t="n"/>
      <c r="K251" s="16" t="n"/>
      <c r="L251" s="16" t="n"/>
      <c r="M251" s="16" t="n"/>
      <c r="N251" s="16" t="n"/>
      <c r="O251" s="16" t="n"/>
      <c r="P251" s="17" t="n"/>
      <c r="Q251" s="41" t="n"/>
      <c r="R251" s="41" t="n"/>
      <c r="S251" s="132">
        <f>DADOS_AM!$JJ$15</f>
        <v/>
      </c>
      <c r="T251" s="17" t="n"/>
      <c r="U251" s="131">
        <f>DADOS_AM!$JK$15</f>
        <v/>
      </c>
      <c r="V251" s="16" t="n"/>
      <c r="W251" s="16" t="n"/>
      <c r="X251" s="16" t="n"/>
      <c r="Y251" s="16" t="n"/>
      <c r="Z251" s="16" t="n"/>
      <c r="AA251" s="16" t="n"/>
      <c r="AB251" s="16" t="n"/>
      <c r="AC251" s="16" t="n"/>
      <c r="AD251" s="16" t="n"/>
      <c r="AE251" s="17" t="n"/>
      <c r="AF251" s="41" t="n"/>
      <c r="AG251" s="41" t="n"/>
      <c r="AH251" s="132">
        <f>DADOS_AM!$JJ$16</f>
        <v/>
      </c>
      <c r="AI251" s="17" t="n"/>
      <c r="AJ251" s="131">
        <f>DADOS_AM!$JK$16</f>
        <v/>
      </c>
      <c r="AK251" s="16" t="n"/>
      <c r="AL251" s="16" t="n"/>
      <c r="AM251" s="16" t="n"/>
      <c r="AN251" s="16" t="n"/>
      <c r="AO251" s="16" t="n"/>
      <c r="AP251" s="16" t="n"/>
      <c r="AQ251" s="16" t="n"/>
      <c r="AR251" s="16" t="n"/>
      <c r="AS251" s="16" t="n"/>
      <c r="AT251" s="17" t="n"/>
    </row>
    <row r="252" hidden="1" outlineLevel="3">
      <c r="A252" s="8" t="n"/>
      <c r="B252" s="14" t="n"/>
      <c r="C252" s="41" t="n"/>
      <c r="D252" s="133">
        <f>DADOS_AM!$JL$14</f>
        <v/>
      </c>
      <c r="E252" s="16" t="n"/>
      <c r="F252" s="17" t="n"/>
      <c r="G252" s="133">
        <f>DADOS_AM!$JM$14</f>
        <v/>
      </c>
      <c r="H252" s="16" t="n"/>
      <c r="I252" s="16" t="n"/>
      <c r="J252" s="17" t="n"/>
      <c r="K252" s="133">
        <f>DADOS_AM!$JN$14</f>
        <v/>
      </c>
      <c r="L252" s="16" t="n"/>
      <c r="M252" s="16" t="n"/>
      <c r="N252" s="16" t="n"/>
      <c r="O252" s="16" t="n"/>
      <c r="P252" s="17" t="n"/>
      <c r="Q252" s="41" t="n"/>
      <c r="R252" s="41" t="n"/>
      <c r="S252" s="133">
        <f>DADOS_AM!$JL$15</f>
        <v/>
      </c>
      <c r="T252" s="16" t="n"/>
      <c r="U252" s="17" t="n"/>
      <c r="V252" s="133">
        <f>DADOS_AM!$JM$15</f>
        <v/>
      </c>
      <c r="W252" s="16" t="n"/>
      <c r="X252" s="16" t="n"/>
      <c r="Y252" s="17" t="n"/>
      <c r="Z252" s="133">
        <f>DADOS_AM!$JN$15</f>
        <v/>
      </c>
      <c r="AA252" s="16" t="n"/>
      <c r="AB252" s="16" t="n"/>
      <c r="AC252" s="16" t="n"/>
      <c r="AD252" s="16" t="n"/>
      <c r="AE252" s="17" t="n"/>
      <c r="AF252" s="41" t="n"/>
      <c r="AG252" s="41" t="n"/>
      <c r="AH252" s="133">
        <f>DADOS_AM!$JL$16</f>
        <v/>
      </c>
      <c r="AI252" s="16" t="n"/>
      <c r="AJ252" s="17" t="n"/>
      <c r="AK252" s="133">
        <f>DADOS_AM!$JM$16</f>
        <v/>
      </c>
      <c r="AL252" s="16" t="n"/>
      <c r="AM252" s="16" t="n"/>
      <c r="AN252" s="17" t="n"/>
      <c r="AO252" s="133">
        <f>DADOS_AM!$JN$16</f>
        <v/>
      </c>
      <c r="AP252" s="16" t="n"/>
      <c r="AQ252" s="16" t="n"/>
      <c r="AR252" s="16" t="n"/>
      <c r="AS252" s="16" t="n"/>
      <c r="AT252" s="17" t="n"/>
    </row>
    <row r="253" hidden="1" outlineLevel="4">
      <c r="A253" s="8" t="n"/>
      <c r="B253" s="14" t="n"/>
      <c r="C253" s="41" t="n"/>
      <c r="D253" s="61">
        <f>DADOS_AM!$JO$14</f>
        <v/>
      </c>
      <c r="E253" s="19" t="n"/>
      <c r="F253" s="19" t="n"/>
      <c r="G253" s="19" t="n"/>
      <c r="H253" s="19" t="n"/>
      <c r="I253" s="19" t="n"/>
      <c r="J253" s="19" t="n"/>
      <c r="K253" s="19" t="n"/>
      <c r="L253" s="19" t="n"/>
      <c r="M253" s="19" t="n"/>
      <c r="N253" s="19" t="n"/>
      <c r="O253" s="19" t="n"/>
      <c r="P253" s="20" t="n"/>
      <c r="Q253" s="41" t="n"/>
      <c r="R253" s="41" t="n"/>
      <c r="S253" s="61">
        <f>DADOS_AM!$JO$15</f>
        <v/>
      </c>
      <c r="T253" s="19" t="n"/>
      <c r="U253" s="19" t="n"/>
      <c r="V253" s="19" t="n"/>
      <c r="W253" s="19" t="n"/>
      <c r="X253" s="19" t="n"/>
      <c r="Y253" s="19" t="n"/>
      <c r="Z253" s="19" t="n"/>
      <c r="AA253" s="19" t="n"/>
      <c r="AB253" s="19" t="n"/>
      <c r="AC253" s="19" t="n"/>
      <c r="AD253" s="19" t="n"/>
      <c r="AE253" s="20" t="n"/>
      <c r="AF253" s="41" t="n"/>
      <c r="AG253" s="41" t="n"/>
      <c r="AH253" s="61">
        <f>DADOS_AM!$JO$16</f>
        <v/>
      </c>
      <c r="AI253" s="19" t="n"/>
      <c r="AJ253" s="19" t="n"/>
      <c r="AK253" s="19" t="n"/>
      <c r="AL253" s="19" t="n"/>
      <c r="AM253" s="19" t="n"/>
      <c r="AN253" s="19" t="n"/>
      <c r="AO253" s="19" t="n"/>
      <c r="AP253" s="19" t="n"/>
      <c r="AQ253" s="19" t="n"/>
      <c r="AR253" s="19" t="n"/>
      <c r="AS253" s="19" t="n"/>
      <c r="AT253" s="20" t="n"/>
    </row>
    <row r="254" hidden="1" outlineLevel="4">
      <c r="A254" s="8" t="n"/>
      <c r="B254" s="14" t="n"/>
      <c r="C254" s="41" t="n"/>
      <c r="D254" s="21" t="n"/>
      <c r="P254" s="22" t="n"/>
      <c r="Q254" s="41" t="n"/>
      <c r="R254" s="41" t="n"/>
      <c r="S254" s="21" t="n"/>
      <c r="AE254" s="22" t="n"/>
      <c r="AF254" s="41" t="n"/>
      <c r="AG254" s="41" t="n"/>
      <c r="AH254" s="21" t="n"/>
      <c r="AT254" s="22" t="n"/>
    </row>
    <row r="255" hidden="1" outlineLevel="4">
      <c r="A255" s="8" t="n"/>
      <c r="B255" s="14" t="n"/>
      <c r="C255" s="41" t="n"/>
      <c r="D255" s="21" t="n"/>
      <c r="P255" s="22" t="n"/>
      <c r="Q255" s="41" t="n"/>
      <c r="R255" s="41" t="n"/>
      <c r="S255" s="21" t="n"/>
      <c r="AE255" s="22" t="n"/>
      <c r="AF255" s="41" t="n"/>
      <c r="AG255" s="41" t="n"/>
      <c r="AH255" s="21" t="n"/>
      <c r="AT255" s="22" t="n"/>
    </row>
    <row r="256" hidden="1" outlineLevel="4">
      <c r="A256" s="8" t="n"/>
      <c r="B256" s="14" t="n"/>
      <c r="C256" s="41" t="n"/>
      <c r="D256" s="21" t="n"/>
      <c r="P256" s="22" t="n"/>
      <c r="Q256" s="41" t="n"/>
      <c r="R256" s="41" t="n"/>
      <c r="S256" s="21" t="n"/>
      <c r="AE256" s="22" t="n"/>
      <c r="AF256" s="41" t="n"/>
      <c r="AG256" s="41" t="n"/>
      <c r="AH256" s="21" t="n"/>
      <c r="AT256" s="22" t="n"/>
    </row>
    <row r="257" hidden="1" outlineLevel="4">
      <c r="A257" s="8" t="n"/>
      <c r="B257" s="14" t="n"/>
      <c r="C257" s="41" t="n"/>
      <c r="D257" s="21" t="n"/>
      <c r="P257" s="22" t="n"/>
      <c r="Q257" s="41" t="n"/>
      <c r="R257" s="41" t="n"/>
      <c r="S257" s="21" t="n"/>
      <c r="AE257" s="22" t="n"/>
      <c r="AF257" s="41" t="n"/>
      <c r="AG257" s="41" t="n"/>
      <c r="AH257" s="21" t="n"/>
      <c r="AT257" s="22" t="n"/>
    </row>
    <row r="258" hidden="1" outlineLevel="4">
      <c r="A258" s="8" t="n"/>
      <c r="B258" s="14" t="n"/>
      <c r="C258" s="41" t="n"/>
      <c r="D258" s="21" t="n"/>
      <c r="P258" s="22" t="n"/>
      <c r="Q258" s="41" t="n"/>
      <c r="R258" s="41" t="n"/>
      <c r="S258" s="21" t="n"/>
      <c r="AE258" s="22" t="n"/>
      <c r="AF258" s="41" t="n"/>
      <c r="AG258" s="41" t="n"/>
      <c r="AH258" s="21" t="n"/>
      <c r="AT258" s="22" t="n"/>
    </row>
    <row r="259" hidden="1" outlineLevel="4">
      <c r="A259" s="8" t="n"/>
      <c r="B259" s="14" t="n"/>
      <c r="C259" s="41" t="n"/>
      <c r="D259" s="23" t="n"/>
      <c r="E259" s="24" t="n"/>
      <c r="F259" s="24" t="n"/>
      <c r="G259" s="24" t="n"/>
      <c r="H259" s="24" t="n"/>
      <c r="I259" s="24" t="n"/>
      <c r="J259" s="24" t="n"/>
      <c r="K259" s="24" t="n"/>
      <c r="L259" s="24" t="n"/>
      <c r="M259" s="24" t="n"/>
      <c r="N259" s="24" t="n"/>
      <c r="O259" s="24" t="n"/>
      <c r="P259" s="25" t="n"/>
      <c r="Q259" s="41" t="n"/>
      <c r="R259" s="41" t="n"/>
      <c r="S259" s="23" t="n"/>
      <c r="T259" s="24" t="n"/>
      <c r="U259" s="24" t="n"/>
      <c r="V259" s="24" t="n"/>
      <c r="W259" s="24" t="n"/>
      <c r="X259" s="24" t="n"/>
      <c r="Y259" s="24" t="n"/>
      <c r="Z259" s="24" t="n"/>
      <c r="AA259" s="24" t="n"/>
      <c r="AB259" s="24" t="n"/>
      <c r="AC259" s="24" t="n"/>
      <c r="AD259" s="24" t="n"/>
      <c r="AE259" s="25" t="n"/>
      <c r="AF259" s="41" t="n"/>
      <c r="AG259" s="41" t="n"/>
      <c r="AH259" s="23" t="n"/>
      <c r="AI259" s="24" t="n"/>
      <c r="AJ259" s="24" t="n"/>
      <c r="AK259" s="24" t="n"/>
      <c r="AL259" s="24" t="n"/>
      <c r="AM259" s="24" t="n"/>
      <c r="AN259" s="24" t="n"/>
      <c r="AO259" s="24" t="n"/>
      <c r="AP259" s="24" t="n"/>
      <c r="AQ259" s="24" t="n"/>
      <c r="AR259" s="24" t="n"/>
      <c r="AS259" s="24" t="n"/>
      <c r="AT259" s="25" t="n"/>
    </row>
    <row r="260" hidden="1" outlineLevel="3">
      <c r="A260" s="8" t="n"/>
      <c r="B260" s="14"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1" t="n"/>
      <c r="AD260" s="41" t="n"/>
      <c r="AE260" s="41" t="n"/>
      <c r="AF260" s="41" t="n"/>
      <c r="AG260" s="41" t="n"/>
      <c r="AH260" s="41" t="n"/>
      <c r="AI260" s="41" t="n"/>
      <c r="AJ260" s="41" t="n"/>
      <c r="AK260" s="41" t="n"/>
      <c r="AL260" s="41" t="n"/>
      <c r="AM260" s="41" t="n"/>
      <c r="AN260" s="41" t="n"/>
      <c r="AO260" s="41" t="n"/>
      <c r="AP260" s="41" t="n"/>
      <c r="AQ260" s="41" t="n"/>
      <c r="AR260" s="41" t="n"/>
      <c r="AS260" s="41" t="n"/>
      <c r="AT260" s="41" t="n"/>
    </row>
    <row r="261" hidden="1" outlineLevel="3">
      <c r="A261" s="8" t="n"/>
      <c r="B261" s="14" t="n"/>
      <c r="C261" s="41" t="n"/>
      <c r="D261" s="132">
        <f>DADOS_AM!$JJ$17</f>
        <v/>
      </c>
      <c r="E261" s="17" t="n"/>
      <c r="F261" s="131">
        <f>DADOS_AM!$JK$17</f>
        <v/>
      </c>
      <c r="G261" s="16" t="n"/>
      <c r="H261" s="16" t="n"/>
      <c r="I261" s="16" t="n"/>
      <c r="J261" s="16" t="n"/>
      <c r="K261" s="16" t="n"/>
      <c r="L261" s="16" t="n"/>
      <c r="M261" s="16" t="n"/>
      <c r="N261" s="16" t="n"/>
      <c r="O261" s="16" t="n"/>
      <c r="P261" s="17" t="n"/>
      <c r="Q261" s="41" t="n"/>
      <c r="R261" s="41" t="n"/>
      <c r="S261" s="132">
        <f>DADOS_AM!$JJ$18</f>
        <v/>
      </c>
      <c r="T261" s="17" t="n"/>
      <c r="U261" s="131">
        <f>DADOS_AM!$JK$18</f>
        <v/>
      </c>
      <c r="V261" s="16" t="n"/>
      <c r="W261" s="16" t="n"/>
      <c r="X261" s="16" t="n"/>
      <c r="Y261" s="16" t="n"/>
      <c r="Z261" s="16" t="n"/>
      <c r="AA261" s="16" t="n"/>
      <c r="AB261" s="16" t="n"/>
      <c r="AC261" s="16" t="n"/>
      <c r="AD261" s="16" t="n"/>
      <c r="AE261" s="17" t="n"/>
      <c r="AF261" s="41" t="n"/>
      <c r="AG261" s="41" t="n"/>
      <c r="AH261" s="132">
        <f>DADOS_AM!$JJ$19</f>
        <v/>
      </c>
      <c r="AI261" s="17" t="n"/>
      <c r="AJ261" s="131">
        <f>DADOS_AM!$JK$19</f>
        <v/>
      </c>
      <c r="AK261" s="16" t="n"/>
      <c r="AL261" s="16" t="n"/>
      <c r="AM261" s="16" t="n"/>
      <c r="AN261" s="16" t="n"/>
      <c r="AO261" s="16" t="n"/>
      <c r="AP261" s="16" t="n"/>
      <c r="AQ261" s="16" t="n"/>
      <c r="AR261" s="16" t="n"/>
      <c r="AS261" s="16" t="n"/>
      <c r="AT261" s="17" t="n"/>
    </row>
    <row r="262" hidden="1" outlineLevel="3">
      <c r="A262" s="8" t="n"/>
      <c r="B262" s="14" t="n"/>
      <c r="C262" s="41" t="n"/>
      <c r="D262" s="133">
        <f>DADOS_AM!$JL$17</f>
        <v/>
      </c>
      <c r="E262" s="16" t="n"/>
      <c r="F262" s="17" t="n"/>
      <c r="G262" s="133">
        <f>DADOS_AM!$JM$17</f>
        <v/>
      </c>
      <c r="H262" s="16" t="n"/>
      <c r="I262" s="16" t="n"/>
      <c r="J262" s="17" t="n"/>
      <c r="K262" s="133">
        <f>DADOS_AM!$JN$17</f>
        <v/>
      </c>
      <c r="L262" s="16" t="n"/>
      <c r="M262" s="16" t="n"/>
      <c r="N262" s="16" t="n"/>
      <c r="O262" s="16" t="n"/>
      <c r="P262" s="17" t="n"/>
      <c r="Q262" s="41" t="n"/>
      <c r="R262" s="41" t="n"/>
      <c r="S262" s="133">
        <f>DADOS_AM!$JL$18</f>
        <v/>
      </c>
      <c r="T262" s="16" t="n"/>
      <c r="U262" s="17" t="n"/>
      <c r="V262" s="133">
        <f>DADOS_AM!$JM$18</f>
        <v/>
      </c>
      <c r="W262" s="16" t="n"/>
      <c r="X262" s="16" t="n"/>
      <c r="Y262" s="17" t="n"/>
      <c r="Z262" s="133">
        <f>DADOS_AM!$JN$18</f>
        <v/>
      </c>
      <c r="AA262" s="16" t="n"/>
      <c r="AB262" s="16" t="n"/>
      <c r="AC262" s="16" t="n"/>
      <c r="AD262" s="16" t="n"/>
      <c r="AE262" s="17" t="n"/>
      <c r="AF262" s="41" t="n"/>
      <c r="AG262" s="41" t="n"/>
      <c r="AH262" s="133">
        <f>DADOS_AM!$JL$19</f>
        <v/>
      </c>
      <c r="AI262" s="16" t="n"/>
      <c r="AJ262" s="17" t="n"/>
      <c r="AK262" s="133">
        <f>DADOS_AM!$JM$19</f>
        <v/>
      </c>
      <c r="AL262" s="16" t="n"/>
      <c r="AM262" s="16" t="n"/>
      <c r="AN262" s="17" t="n"/>
      <c r="AO262" s="133">
        <f>DADOS_AM!$JN$19</f>
        <v/>
      </c>
      <c r="AP262" s="16" t="n"/>
      <c r="AQ262" s="16" t="n"/>
      <c r="AR262" s="16" t="n"/>
      <c r="AS262" s="16" t="n"/>
      <c r="AT262" s="17" t="n"/>
    </row>
    <row r="263" hidden="1" outlineLevel="4">
      <c r="A263" s="8" t="n"/>
      <c r="B263" s="14" t="n"/>
      <c r="C263" s="41" t="n"/>
      <c r="D263" s="61">
        <f>DADOS_AM!$JO$17</f>
        <v/>
      </c>
      <c r="E263" s="19" t="n"/>
      <c r="F263" s="19" t="n"/>
      <c r="G263" s="19" t="n"/>
      <c r="H263" s="19" t="n"/>
      <c r="I263" s="19" t="n"/>
      <c r="J263" s="19" t="n"/>
      <c r="K263" s="19" t="n"/>
      <c r="L263" s="19" t="n"/>
      <c r="M263" s="19" t="n"/>
      <c r="N263" s="19" t="n"/>
      <c r="O263" s="19" t="n"/>
      <c r="P263" s="20" t="n"/>
      <c r="Q263" s="41" t="n"/>
      <c r="R263" s="41" t="n"/>
      <c r="S263" s="61">
        <f>DADOS_AM!$JO$18</f>
        <v/>
      </c>
      <c r="T263" s="19" t="n"/>
      <c r="U263" s="19" t="n"/>
      <c r="V263" s="19" t="n"/>
      <c r="W263" s="19" t="n"/>
      <c r="X263" s="19" t="n"/>
      <c r="Y263" s="19" t="n"/>
      <c r="Z263" s="19" t="n"/>
      <c r="AA263" s="19" t="n"/>
      <c r="AB263" s="19" t="n"/>
      <c r="AC263" s="19" t="n"/>
      <c r="AD263" s="19" t="n"/>
      <c r="AE263" s="20" t="n"/>
      <c r="AF263" s="41" t="n"/>
      <c r="AG263" s="41" t="n"/>
      <c r="AH263" s="61">
        <f>DADOS_AM!$JO$19</f>
        <v/>
      </c>
      <c r="AI263" s="19" t="n"/>
      <c r="AJ263" s="19" t="n"/>
      <c r="AK263" s="19" t="n"/>
      <c r="AL263" s="19" t="n"/>
      <c r="AM263" s="19" t="n"/>
      <c r="AN263" s="19" t="n"/>
      <c r="AO263" s="19" t="n"/>
      <c r="AP263" s="19" t="n"/>
      <c r="AQ263" s="19" t="n"/>
      <c r="AR263" s="19" t="n"/>
      <c r="AS263" s="19" t="n"/>
      <c r="AT263" s="20" t="n"/>
    </row>
    <row r="264" hidden="1" outlineLevel="4">
      <c r="A264" s="8" t="n"/>
      <c r="B264" s="14" t="n"/>
      <c r="C264" s="41" t="n"/>
      <c r="D264" s="21" t="n"/>
      <c r="P264" s="22" t="n"/>
      <c r="Q264" s="41" t="n"/>
      <c r="R264" s="41" t="n"/>
      <c r="S264" s="21" t="n"/>
      <c r="AE264" s="22" t="n"/>
      <c r="AF264" s="41" t="n"/>
      <c r="AG264" s="41" t="n"/>
      <c r="AH264" s="21" t="n"/>
      <c r="AT264" s="22" t="n"/>
    </row>
    <row r="265" hidden="1" outlineLevel="4">
      <c r="A265" s="8" t="n"/>
      <c r="B265" s="14" t="n"/>
      <c r="C265" s="41" t="n"/>
      <c r="D265" s="21" t="n"/>
      <c r="P265" s="22" t="n"/>
      <c r="Q265" s="41" t="n"/>
      <c r="R265" s="41" t="n"/>
      <c r="S265" s="21" t="n"/>
      <c r="AE265" s="22" t="n"/>
      <c r="AF265" s="41" t="n"/>
      <c r="AG265" s="41" t="n"/>
      <c r="AH265" s="21" t="n"/>
      <c r="AT265" s="22" t="n"/>
    </row>
    <row r="266" hidden="1" outlineLevel="4">
      <c r="A266" s="8" t="n"/>
      <c r="B266" s="14" t="n"/>
      <c r="C266" s="41" t="n"/>
      <c r="D266" s="21" t="n"/>
      <c r="P266" s="22" t="n"/>
      <c r="Q266" s="41" t="n"/>
      <c r="R266" s="41" t="n"/>
      <c r="S266" s="21" t="n"/>
      <c r="AE266" s="22" t="n"/>
      <c r="AF266" s="41" t="n"/>
      <c r="AG266" s="41" t="n"/>
      <c r="AH266" s="21" t="n"/>
      <c r="AT266" s="22" t="n"/>
    </row>
    <row r="267" hidden="1" outlineLevel="4">
      <c r="A267" s="8" t="n"/>
      <c r="B267" s="14" t="n"/>
      <c r="C267" s="41" t="n"/>
      <c r="D267" s="21" t="n"/>
      <c r="P267" s="22" t="n"/>
      <c r="Q267" s="41" t="n"/>
      <c r="R267" s="41" t="n"/>
      <c r="S267" s="21" t="n"/>
      <c r="AE267" s="22" t="n"/>
      <c r="AF267" s="41" t="n"/>
      <c r="AG267" s="41" t="n"/>
      <c r="AH267" s="21" t="n"/>
      <c r="AT267" s="22" t="n"/>
    </row>
    <row r="268" hidden="1" outlineLevel="4">
      <c r="A268" s="8" t="n"/>
      <c r="B268" s="14" t="n"/>
      <c r="C268" s="41" t="n"/>
      <c r="D268" s="21" t="n"/>
      <c r="P268" s="22" t="n"/>
      <c r="Q268" s="41" t="n"/>
      <c r="R268" s="41" t="n"/>
      <c r="S268" s="21" t="n"/>
      <c r="AE268" s="22" t="n"/>
      <c r="AF268" s="41" t="n"/>
      <c r="AG268" s="41" t="n"/>
      <c r="AH268" s="21" t="n"/>
      <c r="AT268" s="22" t="n"/>
    </row>
    <row r="269" hidden="1" outlineLevel="4">
      <c r="A269" s="8" t="n"/>
      <c r="B269" s="14" t="n"/>
      <c r="C269" s="41" t="n"/>
      <c r="D269" s="23" t="n"/>
      <c r="E269" s="24" t="n"/>
      <c r="F269" s="24" t="n"/>
      <c r="G269" s="24" t="n"/>
      <c r="H269" s="24" t="n"/>
      <c r="I269" s="24" t="n"/>
      <c r="J269" s="24" t="n"/>
      <c r="K269" s="24" t="n"/>
      <c r="L269" s="24" t="n"/>
      <c r="M269" s="24" t="n"/>
      <c r="N269" s="24" t="n"/>
      <c r="O269" s="24" t="n"/>
      <c r="P269" s="25" t="n"/>
      <c r="Q269" s="41" t="n"/>
      <c r="R269" s="41" t="n"/>
      <c r="S269" s="23" t="n"/>
      <c r="T269" s="24" t="n"/>
      <c r="U269" s="24" t="n"/>
      <c r="V269" s="24" t="n"/>
      <c r="W269" s="24" t="n"/>
      <c r="X269" s="24" t="n"/>
      <c r="Y269" s="24" t="n"/>
      <c r="Z269" s="24" t="n"/>
      <c r="AA269" s="24" t="n"/>
      <c r="AB269" s="24" t="n"/>
      <c r="AC269" s="24" t="n"/>
      <c r="AD269" s="24" t="n"/>
      <c r="AE269" s="25" t="n"/>
      <c r="AF269" s="41" t="n"/>
      <c r="AG269" s="41" t="n"/>
      <c r="AH269" s="23" t="n"/>
      <c r="AI269" s="24" t="n"/>
      <c r="AJ269" s="24" t="n"/>
      <c r="AK269" s="24" t="n"/>
      <c r="AL269" s="24" t="n"/>
      <c r="AM269" s="24" t="n"/>
      <c r="AN269" s="24" t="n"/>
      <c r="AO269" s="24" t="n"/>
      <c r="AP269" s="24" t="n"/>
      <c r="AQ269" s="24" t="n"/>
      <c r="AR269" s="24" t="n"/>
      <c r="AS269" s="24" t="n"/>
      <c r="AT269" s="25" t="n"/>
    </row>
    <row r="270" outlineLevel="2">
      <c r="A270" s="8" t="n"/>
      <c r="B270" s="14" t="n"/>
      <c r="C270" s="41" t="n"/>
      <c r="D270" s="134">
        <f>DADOS_AM!$KS$12</f>
        <v/>
      </c>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c r="AI270" s="16" t="n"/>
      <c r="AJ270" s="16" t="n"/>
      <c r="AK270" s="16" t="n"/>
      <c r="AL270" s="16" t="n"/>
      <c r="AM270" s="16" t="n"/>
      <c r="AN270" s="16" t="n"/>
      <c r="AO270" s="16" t="n"/>
      <c r="AP270" s="16" t="n"/>
      <c r="AQ270" s="16" t="n"/>
      <c r="AR270" s="16" t="n"/>
      <c r="AS270" s="16" t="n"/>
      <c r="AT270" s="17" t="n"/>
    </row>
    <row r="271" hidden="1" outlineLevel="3">
      <c r="A271" s="8" t="n"/>
      <c r="B271" s="14" t="n"/>
      <c r="C271" s="41" t="n"/>
      <c r="D271" s="132">
        <f>DADOS_AM!$JJ$20</f>
        <v/>
      </c>
      <c r="E271" s="17" t="n"/>
      <c r="F271" s="131">
        <f>DADOS_AM!$JK$20</f>
        <v/>
      </c>
      <c r="G271" s="16" t="n"/>
      <c r="H271" s="16" t="n"/>
      <c r="I271" s="16" t="n"/>
      <c r="J271" s="16" t="n"/>
      <c r="K271" s="16" t="n"/>
      <c r="L271" s="16" t="n"/>
      <c r="M271" s="16" t="n"/>
      <c r="N271" s="16" t="n"/>
      <c r="O271" s="16" t="n"/>
      <c r="P271" s="17" t="n"/>
      <c r="Q271" s="41" t="n"/>
      <c r="R271" s="41" t="n"/>
      <c r="S271" s="132">
        <f>DADOS_AM!$JJ$21</f>
        <v/>
      </c>
      <c r="T271" s="17" t="n"/>
      <c r="U271" s="131">
        <f>DADOS_AM!$JK$21</f>
        <v/>
      </c>
      <c r="V271" s="16" t="n"/>
      <c r="W271" s="16" t="n"/>
      <c r="X271" s="16" t="n"/>
      <c r="Y271" s="16" t="n"/>
      <c r="Z271" s="16" t="n"/>
      <c r="AA271" s="16" t="n"/>
      <c r="AB271" s="16" t="n"/>
      <c r="AC271" s="16" t="n"/>
      <c r="AD271" s="16" t="n"/>
      <c r="AE271" s="17" t="n"/>
      <c r="AF271" s="41" t="n"/>
      <c r="AG271" s="41" t="n"/>
      <c r="AH271" s="132">
        <f>DADOS_AM!$JJ$22</f>
        <v/>
      </c>
      <c r="AI271" s="17" t="n"/>
      <c r="AJ271" s="131">
        <f>DADOS_AM!$JK$22</f>
        <v/>
      </c>
      <c r="AK271" s="16" t="n"/>
      <c r="AL271" s="16" t="n"/>
      <c r="AM271" s="16" t="n"/>
      <c r="AN271" s="16" t="n"/>
      <c r="AO271" s="16" t="n"/>
      <c r="AP271" s="16" t="n"/>
      <c r="AQ271" s="16" t="n"/>
      <c r="AR271" s="16" t="n"/>
      <c r="AS271" s="16" t="n"/>
      <c r="AT271" s="17" t="n"/>
    </row>
    <row r="272" hidden="1" outlineLevel="3">
      <c r="A272" s="8" t="n"/>
      <c r="B272" s="14" t="n"/>
      <c r="C272" s="41" t="n"/>
      <c r="D272" s="133">
        <f>DADOS_AM!$JL$20</f>
        <v/>
      </c>
      <c r="E272" s="16" t="n"/>
      <c r="F272" s="17" t="n"/>
      <c r="G272" s="133">
        <f>DADOS_AM!$JM$20</f>
        <v/>
      </c>
      <c r="H272" s="16" t="n"/>
      <c r="I272" s="16" t="n"/>
      <c r="J272" s="17" t="n"/>
      <c r="K272" s="133">
        <f>DADOS_AM!$JN$20</f>
        <v/>
      </c>
      <c r="L272" s="16" t="n"/>
      <c r="M272" s="16" t="n"/>
      <c r="N272" s="16" t="n"/>
      <c r="O272" s="16" t="n"/>
      <c r="P272" s="17" t="n"/>
      <c r="Q272" s="41" t="n"/>
      <c r="R272" s="41" t="n"/>
      <c r="S272" s="133">
        <f>DADOS_AM!$JL$21</f>
        <v/>
      </c>
      <c r="T272" s="16" t="n"/>
      <c r="U272" s="17" t="n"/>
      <c r="V272" s="133">
        <f>DADOS_AM!$JM$21</f>
        <v/>
      </c>
      <c r="W272" s="16" t="n"/>
      <c r="X272" s="16" t="n"/>
      <c r="Y272" s="17" t="n"/>
      <c r="Z272" s="133">
        <f>DADOS_AM!$JN$21</f>
        <v/>
      </c>
      <c r="AA272" s="16" t="n"/>
      <c r="AB272" s="16" t="n"/>
      <c r="AC272" s="16" t="n"/>
      <c r="AD272" s="16" t="n"/>
      <c r="AE272" s="17" t="n"/>
      <c r="AF272" s="41" t="n"/>
      <c r="AG272" s="41" t="n"/>
      <c r="AH272" s="133">
        <f>DADOS_AM!$JL$22</f>
        <v/>
      </c>
      <c r="AI272" s="16" t="n"/>
      <c r="AJ272" s="17" t="n"/>
      <c r="AK272" s="133">
        <f>DADOS_AM!$JM$22</f>
        <v/>
      </c>
      <c r="AL272" s="16" t="n"/>
      <c r="AM272" s="16" t="n"/>
      <c r="AN272" s="17" t="n"/>
      <c r="AO272" s="133">
        <f>DADOS_AM!$JN$22</f>
        <v/>
      </c>
      <c r="AP272" s="16" t="n"/>
      <c r="AQ272" s="16" t="n"/>
      <c r="AR272" s="16" t="n"/>
      <c r="AS272" s="16" t="n"/>
      <c r="AT272" s="17" t="n"/>
    </row>
    <row r="273" hidden="1" outlineLevel="4">
      <c r="A273" s="8" t="n"/>
      <c r="B273" s="14" t="n"/>
      <c r="C273" s="41" t="n"/>
      <c r="D273" s="61">
        <f>DADOS_AM!$JO$20</f>
        <v/>
      </c>
      <c r="E273" s="19" t="n"/>
      <c r="F273" s="19" t="n"/>
      <c r="G273" s="19" t="n"/>
      <c r="H273" s="19" t="n"/>
      <c r="I273" s="19" t="n"/>
      <c r="J273" s="19" t="n"/>
      <c r="K273" s="19" t="n"/>
      <c r="L273" s="19" t="n"/>
      <c r="M273" s="19" t="n"/>
      <c r="N273" s="19" t="n"/>
      <c r="O273" s="19" t="n"/>
      <c r="P273" s="20" t="n"/>
      <c r="Q273" s="41" t="n"/>
      <c r="R273" s="41" t="n"/>
      <c r="S273" s="61">
        <f>DADOS_AM!$JO$21</f>
        <v/>
      </c>
      <c r="T273" s="19" t="n"/>
      <c r="U273" s="19" t="n"/>
      <c r="V273" s="19" t="n"/>
      <c r="W273" s="19" t="n"/>
      <c r="X273" s="19" t="n"/>
      <c r="Y273" s="19" t="n"/>
      <c r="Z273" s="19" t="n"/>
      <c r="AA273" s="19" t="n"/>
      <c r="AB273" s="19" t="n"/>
      <c r="AC273" s="19" t="n"/>
      <c r="AD273" s="19" t="n"/>
      <c r="AE273" s="20" t="n"/>
      <c r="AF273" s="41" t="n"/>
      <c r="AG273" s="41" t="n"/>
      <c r="AH273" s="61">
        <f>DADOS_AM!$JO$22</f>
        <v/>
      </c>
      <c r="AI273" s="19" t="n"/>
      <c r="AJ273" s="19" t="n"/>
      <c r="AK273" s="19" t="n"/>
      <c r="AL273" s="19" t="n"/>
      <c r="AM273" s="19" t="n"/>
      <c r="AN273" s="19" t="n"/>
      <c r="AO273" s="19" t="n"/>
      <c r="AP273" s="19" t="n"/>
      <c r="AQ273" s="19" t="n"/>
      <c r="AR273" s="19" t="n"/>
      <c r="AS273" s="19" t="n"/>
      <c r="AT273" s="20" t="n"/>
    </row>
    <row r="274" hidden="1" outlineLevel="4">
      <c r="A274" s="8" t="n"/>
      <c r="B274" s="14" t="n"/>
      <c r="C274" s="41" t="n"/>
      <c r="D274" s="21" t="n"/>
      <c r="P274" s="22" t="n"/>
      <c r="Q274" s="41" t="n"/>
      <c r="R274" s="41" t="n"/>
      <c r="S274" s="21" t="n"/>
      <c r="AE274" s="22" t="n"/>
      <c r="AF274" s="41" t="n"/>
      <c r="AG274" s="41" t="n"/>
      <c r="AH274" s="21" t="n"/>
      <c r="AT274" s="22" t="n"/>
    </row>
    <row r="275" hidden="1" outlineLevel="4">
      <c r="A275" s="8" t="n"/>
      <c r="B275" s="14" t="n"/>
      <c r="C275" s="41" t="n"/>
      <c r="D275" s="21" t="n"/>
      <c r="P275" s="22" t="n"/>
      <c r="Q275" s="41" t="n"/>
      <c r="R275" s="41" t="n"/>
      <c r="S275" s="21" t="n"/>
      <c r="AE275" s="22" t="n"/>
      <c r="AF275" s="41" t="n"/>
      <c r="AG275" s="41" t="n"/>
      <c r="AH275" s="21" t="n"/>
      <c r="AT275" s="22" t="n"/>
    </row>
    <row r="276" hidden="1" outlineLevel="4">
      <c r="A276" s="8" t="n"/>
      <c r="B276" s="14" t="n"/>
      <c r="C276" s="41" t="n"/>
      <c r="D276" s="21" t="n"/>
      <c r="P276" s="22" t="n"/>
      <c r="Q276" s="41" t="n"/>
      <c r="R276" s="41" t="n"/>
      <c r="S276" s="21" t="n"/>
      <c r="AE276" s="22" t="n"/>
      <c r="AF276" s="41" t="n"/>
      <c r="AG276" s="41" t="n"/>
      <c r="AH276" s="21" t="n"/>
      <c r="AT276" s="22" t="n"/>
    </row>
    <row r="277" hidden="1" outlineLevel="4">
      <c r="A277" s="8" t="n"/>
      <c r="B277" s="14" t="n"/>
      <c r="C277" s="41" t="n"/>
      <c r="D277" s="21" t="n"/>
      <c r="P277" s="22" t="n"/>
      <c r="Q277" s="41" t="n"/>
      <c r="R277" s="41" t="n"/>
      <c r="S277" s="21" t="n"/>
      <c r="AE277" s="22" t="n"/>
      <c r="AF277" s="41" t="n"/>
      <c r="AG277" s="41" t="n"/>
      <c r="AH277" s="21" t="n"/>
      <c r="AT277" s="22" t="n"/>
    </row>
    <row r="278" hidden="1" outlineLevel="4">
      <c r="A278" s="8" t="n"/>
      <c r="B278" s="14" t="n"/>
      <c r="C278" s="41" t="n"/>
      <c r="D278" s="21" t="n"/>
      <c r="P278" s="22" t="n"/>
      <c r="Q278" s="41" t="n"/>
      <c r="R278" s="41" t="n"/>
      <c r="S278" s="21" t="n"/>
      <c r="AE278" s="22" t="n"/>
      <c r="AF278" s="41" t="n"/>
      <c r="AG278" s="41" t="n"/>
      <c r="AH278" s="21" t="n"/>
      <c r="AT278" s="22" t="n"/>
    </row>
    <row r="279" hidden="1" outlineLevel="4">
      <c r="A279" s="8" t="n"/>
      <c r="B279" s="14" t="n"/>
      <c r="C279" s="41" t="n"/>
      <c r="D279" s="23" t="n"/>
      <c r="E279" s="24" t="n"/>
      <c r="F279" s="24" t="n"/>
      <c r="G279" s="24" t="n"/>
      <c r="H279" s="24" t="n"/>
      <c r="I279" s="24" t="n"/>
      <c r="J279" s="24" t="n"/>
      <c r="K279" s="24" t="n"/>
      <c r="L279" s="24" t="n"/>
      <c r="M279" s="24" t="n"/>
      <c r="N279" s="24" t="n"/>
      <c r="O279" s="24" t="n"/>
      <c r="P279" s="25" t="n"/>
      <c r="Q279" s="41" t="n"/>
      <c r="R279" s="41" t="n"/>
      <c r="S279" s="23" t="n"/>
      <c r="T279" s="24" t="n"/>
      <c r="U279" s="24" t="n"/>
      <c r="V279" s="24" t="n"/>
      <c r="W279" s="24" t="n"/>
      <c r="X279" s="24" t="n"/>
      <c r="Y279" s="24" t="n"/>
      <c r="Z279" s="24" t="n"/>
      <c r="AA279" s="24" t="n"/>
      <c r="AB279" s="24" t="n"/>
      <c r="AC279" s="24" t="n"/>
      <c r="AD279" s="24" t="n"/>
      <c r="AE279" s="25" t="n"/>
      <c r="AF279" s="41" t="n"/>
      <c r="AG279" s="41" t="n"/>
      <c r="AH279" s="23" t="n"/>
      <c r="AI279" s="24" t="n"/>
      <c r="AJ279" s="24" t="n"/>
      <c r="AK279" s="24" t="n"/>
      <c r="AL279" s="24" t="n"/>
      <c r="AM279" s="24" t="n"/>
      <c r="AN279" s="24" t="n"/>
      <c r="AO279" s="24" t="n"/>
      <c r="AP279" s="24" t="n"/>
      <c r="AQ279" s="24" t="n"/>
      <c r="AR279" s="24" t="n"/>
      <c r="AS279" s="24" t="n"/>
      <c r="AT279" s="25" t="n"/>
    </row>
    <row r="280" hidden="1" outlineLevel="3">
      <c r="A280" s="8" t="n"/>
      <c r="B280" s="14"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1" t="n"/>
      <c r="AD280" s="41" t="n"/>
      <c r="AE280" s="41" t="n"/>
      <c r="AF280" s="41" t="n"/>
      <c r="AG280" s="41" t="n"/>
      <c r="AH280" s="41" t="n"/>
      <c r="AI280" s="41" t="n"/>
      <c r="AJ280" s="41" t="n"/>
      <c r="AK280" s="41" t="n"/>
      <c r="AL280" s="41" t="n"/>
      <c r="AM280" s="41" t="n"/>
      <c r="AN280" s="41" t="n"/>
      <c r="AO280" s="41" t="n"/>
      <c r="AP280" s="41" t="n"/>
      <c r="AQ280" s="41" t="n"/>
      <c r="AR280" s="41" t="n"/>
      <c r="AS280" s="41" t="n"/>
      <c r="AT280" s="41" t="n"/>
    </row>
    <row r="281" hidden="1" outlineLevel="3">
      <c r="A281" s="8" t="n"/>
      <c r="B281" s="14" t="n"/>
      <c r="C281" s="41" t="n"/>
      <c r="D281" s="132">
        <f>DADOS_AM!$JJ$23</f>
        <v/>
      </c>
      <c r="E281" s="17" t="n"/>
      <c r="F281" s="131">
        <f>DADOS_AM!$JK$23</f>
        <v/>
      </c>
      <c r="G281" s="16" t="n"/>
      <c r="H281" s="16" t="n"/>
      <c r="I281" s="16" t="n"/>
      <c r="J281" s="16" t="n"/>
      <c r="K281" s="16" t="n"/>
      <c r="L281" s="16" t="n"/>
      <c r="M281" s="16" t="n"/>
      <c r="N281" s="16" t="n"/>
      <c r="O281" s="16" t="n"/>
      <c r="P281" s="17" t="n"/>
      <c r="Q281" s="41" t="n"/>
      <c r="R281" s="41" t="n"/>
      <c r="S281" s="132">
        <f>DADOS_AM!$JJ$24</f>
        <v/>
      </c>
      <c r="T281" s="17" t="n"/>
      <c r="U281" s="131">
        <f>DADOS_AM!$JK$24</f>
        <v/>
      </c>
      <c r="V281" s="16" t="n"/>
      <c r="W281" s="16" t="n"/>
      <c r="X281" s="16" t="n"/>
      <c r="Y281" s="16" t="n"/>
      <c r="Z281" s="16" t="n"/>
      <c r="AA281" s="16" t="n"/>
      <c r="AB281" s="16" t="n"/>
      <c r="AC281" s="16" t="n"/>
      <c r="AD281" s="16" t="n"/>
      <c r="AE281" s="17" t="n"/>
      <c r="AF281" s="41" t="n"/>
      <c r="AG281" s="41" t="n"/>
      <c r="AH281" s="132">
        <f>DADOS_AM!$JJ$25</f>
        <v/>
      </c>
      <c r="AI281" s="17" t="n"/>
      <c r="AJ281" s="131">
        <f>DADOS_AM!$JK$25</f>
        <v/>
      </c>
      <c r="AK281" s="16" t="n"/>
      <c r="AL281" s="16" t="n"/>
      <c r="AM281" s="16" t="n"/>
      <c r="AN281" s="16" t="n"/>
      <c r="AO281" s="16" t="n"/>
      <c r="AP281" s="16" t="n"/>
      <c r="AQ281" s="16" t="n"/>
      <c r="AR281" s="16" t="n"/>
      <c r="AS281" s="16" t="n"/>
      <c r="AT281" s="17" t="n"/>
    </row>
    <row r="282" hidden="1" outlineLevel="3">
      <c r="A282" s="8" t="n"/>
      <c r="B282" s="14" t="n"/>
      <c r="C282" s="41" t="n"/>
      <c r="D282" s="133">
        <f>DADOS_AM!$JL$23</f>
        <v/>
      </c>
      <c r="E282" s="16" t="n"/>
      <c r="F282" s="17" t="n"/>
      <c r="G282" s="133">
        <f>DADOS_AM!$JM$23</f>
        <v/>
      </c>
      <c r="H282" s="16" t="n"/>
      <c r="I282" s="16" t="n"/>
      <c r="J282" s="17" t="n"/>
      <c r="K282" s="133">
        <f>DADOS_AM!$JN$23</f>
        <v/>
      </c>
      <c r="L282" s="16" t="n"/>
      <c r="M282" s="16" t="n"/>
      <c r="N282" s="16" t="n"/>
      <c r="O282" s="16" t="n"/>
      <c r="P282" s="17" t="n"/>
      <c r="Q282" s="41" t="n"/>
      <c r="R282" s="41" t="n"/>
      <c r="S282" s="133">
        <f>DADOS_AM!$JL$24</f>
        <v/>
      </c>
      <c r="T282" s="16" t="n"/>
      <c r="U282" s="17" t="n"/>
      <c r="V282" s="133">
        <f>DADOS_AM!$JM$24</f>
        <v/>
      </c>
      <c r="W282" s="16" t="n"/>
      <c r="X282" s="16" t="n"/>
      <c r="Y282" s="17" t="n"/>
      <c r="Z282" s="133">
        <f>DADOS_AM!$JN$24</f>
        <v/>
      </c>
      <c r="AA282" s="16" t="n"/>
      <c r="AB282" s="16" t="n"/>
      <c r="AC282" s="16" t="n"/>
      <c r="AD282" s="16" t="n"/>
      <c r="AE282" s="17" t="n"/>
      <c r="AF282" s="41" t="n"/>
      <c r="AG282" s="41" t="n"/>
      <c r="AH282" s="133">
        <f>DADOS_AM!$JL$25</f>
        <v/>
      </c>
      <c r="AI282" s="16" t="n"/>
      <c r="AJ282" s="17" t="n"/>
      <c r="AK282" s="133">
        <f>DADOS_AM!$JM$25</f>
        <v/>
      </c>
      <c r="AL282" s="16" t="n"/>
      <c r="AM282" s="16" t="n"/>
      <c r="AN282" s="17" t="n"/>
      <c r="AO282" s="133">
        <f>DADOS_AM!$JN$25</f>
        <v/>
      </c>
      <c r="AP282" s="16" t="n"/>
      <c r="AQ282" s="16" t="n"/>
      <c r="AR282" s="16" t="n"/>
      <c r="AS282" s="16" t="n"/>
      <c r="AT282" s="17" t="n"/>
    </row>
    <row r="283" hidden="1" outlineLevel="4">
      <c r="A283" s="8" t="n"/>
      <c r="B283" s="14" t="n"/>
      <c r="C283" s="41" t="n"/>
      <c r="D283" s="61">
        <f>DADOS_AM!$JO$23</f>
        <v/>
      </c>
      <c r="E283" s="19" t="n"/>
      <c r="F283" s="19" t="n"/>
      <c r="G283" s="19" t="n"/>
      <c r="H283" s="19" t="n"/>
      <c r="I283" s="19" t="n"/>
      <c r="J283" s="19" t="n"/>
      <c r="K283" s="19" t="n"/>
      <c r="L283" s="19" t="n"/>
      <c r="M283" s="19" t="n"/>
      <c r="N283" s="19" t="n"/>
      <c r="O283" s="19" t="n"/>
      <c r="P283" s="20" t="n"/>
      <c r="Q283" s="41" t="n"/>
      <c r="R283" s="41" t="n"/>
      <c r="S283" s="61">
        <f>DADOS_AM!$JO$24</f>
        <v/>
      </c>
      <c r="T283" s="19" t="n"/>
      <c r="U283" s="19" t="n"/>
      <c r="V283" s="19" t="n"/>
      <c r="W283" s="19" t="n"/>
      <c r="X283" s="19" t="n"/>
      <c r="Y283" s="19" t="n"/>
      <c r="Z283" s="19" t="n"/>
      <c r="AA283" s="19" t="n"/>
      <c r="AB283" s="19" t="n"/>
      <c r="AC283" s="19" t="n"/>
      <c r="AD283" s="19" t="n"/>
      <c r="AE283" s="20" t="n"/>
      <c r="AF283" s="41" t="n"/>
      <c r="AG283" s="41" t="n"/>
      <c r="AH283" s="61">
        <f>DADOS_AM!$JO$25</f>
        <v/>
      </c>
      <c r="AI283" s="19" t="n"/>
      <c r="AJ283" s="19" t="n"/>
      <c r="AK283" s="19" t="n"/>
      <c r="AL283" s="19" t="n"/>
      <c r="AM283" s="19" t="n"/>
      <c r="AN283" s="19" t="n"/>
      <c r="AO283" s="19" t="n"/>
      <c r="AP283" s="19" t="n"/>
      <c r="AQ283" s="19" t="n"/>
      <c r="AR283" s="19" t="n"/>
      <c r="AS283" s="19" t="n"/>
      <c r="AT283" s="20" t="n"/>
    </row>
    <row r="284" hidden="1" outlineLevel="4">
      <c r="A284" s="8" t="n"/>
      <c r="B284" s="14" t="n"/>
      <c r="C284" s="41" t="n"/>
      <c r="D284" s="21" t="n"/>
      <c r="P284" s="22" t="n"/>
      <c r="Q284" s="41" t="n"/>
      <c r="R284" s="41" t="n"/>
      <c r="S284" s="21" t="n"/>
      <c r="AE284" s="22" t="n"/>
      <c r="AF284" s="41" t="n"/>
      <c r="AG284" s="41" t="n"/>
      <c r="AH284" s="21" t="n"/>
      <c r="AT284" s="22" t="n"/>
    </row>
    <row r="285" hidden="1" outlineLevel="4">
      <c r="A285" s="8" t="n"/>
      <c r="B285" s="14" t="n"/>
      <c r="C285" s="41" t="n"/>
      <c r="D285" s="21" t="n"/>
      <c r="P285" s="22" t="n"/>
      <c r="Q285" s="41" t="n"/>
      <c r="R285" s="41" t="n"/>
      <c r="S285" s="21" t="n"/>
      <c r="AE285" s="22" t="n"/>
      <c r="AF285" s="41" t="n"/>
      <c r="AG285" s="41" t="n"/>
      <c r="AH285" s="21" t="n"/>
      <c r="AT285" s="22" t="n"/>
    </row>
    <row r="286" hidden="1" outlineLevel="4">
      <c r="A286" s="8" t="n"/>
      <c r="B286" s="14" t="n"/>
      <c r="C286" s="41" t="n"/>
      <c r="D286" s="21" t="n"/>
      <c r="P286" s="22" t="n"/>
      <c r="Q286" s="41" t="n"/>
      <c r="R286" s="41" t="n"/>
      <c r="S286" s="21" t="n"/>
      <c r="AE286" s="22" t="n"/>
      <c r="AF286" s="41" t="n"/>
      <c r="AG286" s="41" t="n"/>
      <c r="AH286" s="21" t="n"/>
      <c r="AT286" s="22" t="n"/>
    </row>
    <row r="287" hidden="1" outlineLevel="4">
      <c r="A287" s="8" t="n"/>
      <c r="B287" s="14" t="n"/>
      <c r="C287" s="41" t="n"/>
      <c r="D287" s="21" t="n"/>
      <c r="P287" s="22" t="n"/>
      <c r="Q287" s="41" t="n"/>
      <c r="R287" s="41" t="n"/>
      <c r="S287" s="21" t="n"/>
      <c r="AE287" s="22" t="n"/>
      <c r="AF287" s="41" t="n"/>
      <c r="AG287" s="41" t="n"/>
      <c r="AH287" s="21" t="n"/>
      <c r="AT287" s="22" t="n"/>
    </row>
    <row r="288" hidden="1" outlineLevel="4">
      <c r="A288" s="8" t="n"/>
      <c r="B288" s="14" t="n"/>
      <c r="C288" s="41" t="n"/>
      <c r="D288" s="21" t="n"/>
      <c r="P288" s="22" t="n"/>
      <c r="Q288" s="41" t="n"/>
      <c r="R288" s="41" t="n"/>
      <c r="S288" s="21" t="n"/>
      <c r="AE288" s="22" t="n"/>
      <c r="AF288" s="41" t="n"/>
      <c r="AG288" s="41" t="n"/>
      <c r="AH288" s="21" t="n"/>
      <c r="AT288" s="22" t="n"/>
    </row>
    <row r="289" hidden="1" outlineLevel="4">
      <c r="A289" s="8" t="n"/>
      <c r="B289" s="14" t="n"/>
      <c r="C289" s="41" t="n"/>
      <c r="D289" s="23" t="n"/>
      <c r="E289" s="24" t="n"/>
      <c r="F289" s="24" t="n"/>
      <c r="G289" s="24" t="n"/>
      <c r="H289" s="24" t="n"/>
      <c r="I289" s="24" t="n"/>
      <c r="J289" s="24" t="n"/>
      <c r="K289" s="24" t="n"/>
      <c r="L289" s="24" t="n"/>
      <c r="M289" s="24" t="n"/>
      <c r="N289" s="24" t="n"/>
      <c r="O289" s="24" t="n"/>
      <c r="P289" s="25" t="n"/>
      <c r="Q289" s="41" t="n"/>
      <c r="R289" s="41" t="n"/>
      <c r="S289" s="23" t="n"/>
      <c r="T289" s="24" t="n"/>
      <c r="U289" s="24" t="n"/>
      <c r="V289" s="24" t="n"/>
      <c r="W289" s="24" t="n"/>
      <c r="X289" s="24" t="n"/>
      <c r="Y289" s="24" t="n"/>
      <c r="Z289" s="24" t="n"/>
      <c r="AA289" s="24" t="n"/>
      <c r="AB289" s="24" t="n"/>
      <c r="AC289" s="24" t="n"/>
      <c r="AD289" s="24" t="n"/>
      <c r="AE289" s="25" t="n"/>
      <c r="AF289" s="41" t="n"/>
      <c r="AG289" s="41" t="n"/>
      <c r="AH289" s="23" t="n"/>
      <c r="AI289" s="24" t="n"/>
      <c r="AJ289" s="24" t="n"/>
      <c r="AK289" s="24" t="n"/>
      <c r="AL289" s="24" t="n"/>
      <c r="AM289" s="24" t="n"/>
      <c r="AN289" s="24" t="n"/>
      <c r="AO289" s="24" t="n"/>
      <c r="AP289" s="24" t="n"/>
      <c r="AQ289" s="24" t="n"/>
      <c r="AR289" s="24" t="n"/>
      <c r="AS289" s="24" t="n"/>
      <c r="AT289" s="25" t="n"/>
    </row>
    <row r="290" outlineLevel="2">
      <c r="A290" s="8" t="n"/>
      <c r="B290" s="14" t="n"/>
      <c r="C290" s="41" t="n"/>
      <c r="D290" s="134">
        <f>DADOS_AM!$KS$13</f>
        <v/>
      </c>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c r="AI290" s="16" t="n"/>
      <c r="AJ290" s="16" t="n"/>
      <c r="AK290" s="16" t="n"/>
      <c r="AL290" s="16" t="n"/>
      <c r="AM290" s="16" t="n"/>
      <c r="AN290" s="16" t="n"/>
      <c r="AO290" s="16" t="n"/>
      <c r="AP290" s="16" t="n"/>
      <c r="AQ290" s="16" t="n"/>
      <c r="AR290" s="16" t="n"/>
      <c r="AS290" s="16" t="n"/>
      <c r="AT290" s="17" t="n"/>
    </row>
    <row r="291" hidden="1" outlineLevel="3">
      <c r="A291" s="8" t="n"/>
      <c r="B291" s="14" t="n"/>
      <c r="C291" s="41" t="n"/>
      <c r="D291" s="132">
        <f>DADOS_AM!$JJ$26</f>
        <v/>
      </c>
      <c r="E291" s="17" t="n"/>
      <c r="F291" s="131">
        <f>DADOS_AM!$JK$26</f>
        <v/>
      </c>
      <c r="G291" s="16" t="n"/>
      <c r="H291" s="16" t="n"/>
      <c r="I291" s="16" t="n"/>
      <c r="J291" s="16" t="n"/>
      <c r="K291" s="16" t="n"/>
      <c r="L291" s="16" t="n"/>
      <c r="M291" s="16" t="n"/>
      <c r="N291" s="16" t="n"/>
      <c r="O291" s="16" t="n"/>
      <c r="P291" s="17" t="n"/>
      <c r="Q291" s="41" t="n"/>
      <c r="R291" s="41" t="n"/>
      <c r="S291" s="132">
        <f>DADOS_AM!$JJ$27</f>
        <v/>
      </c>
      <c r="T291" s="17" t="n"/>
      <c r="U291" s="131">
        <f>DADOS_AM!$JK$27</f>
        <v/>
      </c>
      <c r="V291" s="16" t="n"/>
      <c r="W291" s="16" t="n"/>
      <c r="X291" s="16" t="n"/>
      <c r="Y291" s="16" t="n"/>
      <c r="Z291" s="16" t="n"/>
      <c r="AA291" s="16" t="n"/>
      <c r="AB291" s="16" t="n"/>
      <c r="AC291" s="16" t="n"/>
      <c r="AD291" s="16" t="n"/>
      <c r="AE291" s="17" t="n"/>
      <c r="AF291" s="41" t="n"/>
      <c r="AG291" s="41" t="n"/>
      <c r="AH291" s="132">
        <f>DADOS_AM!$JJ$28</f>
        <v/>
      </c>
      <c r="AI291" s="17" t="n"/>
      <c r="AJ291" s="131">
        <f>DADOS_AM!$JK$28</f>
        <v/>
      </c>
      <c r="AK291" s="16" t="n"/>
      <c r="AL291" s="16" t="n"/>
      <c r="AM291" s="16" t="n"/>
      <c r="AN291" s="16" t="n"/>
      <c r="AO291" s="16" t="n"/>
      <c r="AP291" s="16" t="n"/>
      <c r="AQ291" s="16" t="n"/>
      <c r="AR291" s="16" t="n"/>
      <c r="AS291" s="16" t="n"/>
      <c r="AT291" s="17" t="n"/>
    </row>
    <row r="292" hidden="1" outlineLevel="3">
      <c r="A292" s="8" t="n"/>
      <c r="B292" s="14" t="n"/>
      <c r="C292" s="41" t="n"/>
      <c r="D292" s="133">
        <f>DADOS_AM!$JL$26</f>
        <v/>
      </c>
      <c r="E292" s="16" t="n"/>
      <c r="F292" s="17" t="n"/>
      <c r="G292" s="133">
        <f>DADOS_AM!$JM$26</f>
        <v/>
      </c>
      <c r="H292" s="16" t="n"/>
      <c r="I292" s="16" t="n"/>
      <c r="J292" s="17" t="n"/>
      <c r="K292" s="133">
        <f>DADOS_AM!$JN$26</f>
        <v/>
      </c>
      <c r="L292" s="16" t="n"/>
      <c r="M292" s="16" t="n"/>
      <c r="N292" s="16" t="n"/>
      <c r="O292" s="16" t="n"/>
      <c r="P292" s="17" t="n"/>
      <c r="Q292" s="41" t="n"/>
      <c r="R292" s="41" t="n"/>
      <c r="S292" s="133">
        <f>DADOS_AM!$JL$27</f>
        <v/>
      </c>
      <c r="T292" s="16" t="n"/>
      <c r="U292" s="17" t="n"/>
      <c r="V292" s="133">
        <f>DADOS_AM!$JM$27</f>
        <v/>
      </c>
      <c r="W292" s="16" t="n"/>
      <c r="X292" s="16" t="n"/>
      <c r="Y292" s="17" t="n"/>
      <c r="Z292" s="133">
        <f>DADOS_AM!$JN$27</f>
        <v/>
      </c>
      <c r="AA292" s="16" t="n"/>
      <c r="AB292" s="16" t="n"/>
      <c r="AC292" s="16" t="n"/>
      <c r="AD292" s="16" t="n"/>
      <c r="AE292" s="17" t="n"/>
      <c r="AF292" s="41" t="n"/>
      <c r="AG292" s="41" t="n"/>
      <c r="AH292" s="133">
        <f>DADOS_AM!$JL$28</f>
        <v/>
      </c>
      <c r="AI292" s="16" t="n"/>
      <c r="AJ292" s="17" t="n"/>
      <c r="AK292" s="133">
        <f>DADOS_AM!$JM$28</f>
        <v/>
      </c>
      <c r="AL292" s="16" t="n"/>
      <c r="AM292" s="16" t="n"/>
      <c r="AN292" s="17" t="n"/>
      <c r="AO292" s="133">
        <f>DADOS_AM!$JN$28</f>
        <v/>
      </c>
      <c r="AP292" s="16" t="n"/>
      <c r="AQ292" s="16" t="n"/>
      <c r="AR292" s="16" t="n"/>
      <c r="AS292" s="16" t="n"/>
      <c r="AT292" s="17" t="n"/>
    </row>
    <row r="293" hidden="1" outlineLevel="4">
      <c r="A293" s="8" t="n"/>
      <c r="B293" s="14" t="n"/>
      <c r="C293" s="41" t="n"/>
      <c r="D293" s="61">
        <f>DADOS_AM!$JO$26</f>
        <v/>
      </c>
      <c r="E293" s="19" t="n"/>
      <c r="F293" s="19" t="n"/>
      <c r="G293" s="19" t="n"/>
      <c r="H293" s="19" t="n"/>
      <c r="I293" s="19" t="n"/>
      <c r="J293" s="19" t="n"/>
      <c r="K293" s="19" t="n"/>
      <c r="L293" s="19" t="n"/>
      <c r="M293" s="19" t="n"/>
      <c r="N293" s="19" t="n"/>
      <c r="O293" s="19" t="n"/>
      <c r="P293" s="20" t="n"/>
      <c r="Q293" s="41" t="n"/>
      <c r="R293" s="41" t="n"/>
      <c r="S293" s="61">
        <f>DADOS_AM!$JO$27</f>
        <v/>
      </c>
      <c r="T293" s="19" t="n"/>
      <c r="U293" s="19" t="n"/>
      <c r="V293" s="19" t="n"/>
      <c r="W293" s="19" t="n"/>
      <c r="X293" s="19" t="n"/>
      <c r="Y293" s="19" t="n"/>
      <c r="Z293" s="19" t="n"/>
      <c r="AA293" s="19" t="n"/>
      <c r="AB293" s="19" t="n"/>
      <c r="AC293" s="19" t="n"/>
      <c r="AD293" s="19" t="n"/>
      <c r="AE293" s="20" t="n"/>
      <c r="AF293" s="41" t="n"/>
      <c r="AG293" s="41" t="n"/>
      <c r="AH293" s="61">
        <f>DADOS_AM!$JO$28</f>
        <v/>
      </c>
      <c r="AI293" s="19" t="n"/>
      <c r="AJ293" s="19" t="n"/>
      <c r="AK293" s="19" t="n"/>
      <c r="AL293" s="19" t="n"/>
      <c r="AM293" s="19" t="n"/>
      <c r="AN293" s="19" t="n"/>
      <c r="AO293" s="19" t="n"/>
      <c r="AP293" s="19" t="n"/>
      <c r="AQ293" s="19" t="n"/>
      <c r="AR293" s="19" t="n"/>
      <c r="AS293" s="19" t="n"/>
      <c r="AT293" s="20" t="n"/>
    </row>
    <row r="294" hidden="1" outlineLevel="4">
      <c r="A294" s="8" t="n"/>
      <c r="B294" s="14" t="n"/>
      <c r="C294" s="41" t="n"/>
      <c r="D294" s="21" t="n"/>
      <c r="P294" s="22" t="n"/>
      <c r="Q294" s="41" t="n"/>
      <c r="R294" s="41" t="n"/>
      <c r="S294" s="21" t="n"/>
      <c r="AE294" s="22" t="n"/>
      <c r="AF294" s="41" t="n"/>
      <c r="AG294" s="41" t="n"/>
      <c r="AH294" s="21" t="n"/>
      <c r="AT294" s="22" t="n"/>
    </row>
    <row r="295" hidden="1" outlineLevel="4">
      <c r="A295" s="8" t="n"/>
      <c r="B295" s="14" t="n"/>
      <c r="C295" s="41" t="n"/>
      <c r="D295" s="21" t="n"/>
      <c r="P295" s="22" t="n"/>
      <c r="Q295" s="41" t="n"/>
      <c r="R295" s="41" t="n"/>
      <c r="S295" s="21" t="n"/>
      <c r="AE295" s="22" t="n"/>
      <c r="AF295" s="41" t="n"/>
      <c r="AG295" s="41" t="n"/>
      <c r="AH295" s="21" t="n"/>
      <c r="AT295" s="22" t="n"/>
    </row>
    <row r="296" hidden="1" outlineLevel="4">
      <c r="A296" s="8" t="n"/>
      <c r="B296" s="14" t="n"/>
      <c r="C296" s="41" t="n"/>
      <c r="D296" s="21" t="n"/>
      <c r="P296" s="22" t="n"/>
      <c r="Q296" s="41" t="n"/>
      <c r="R296" s="41" t="n"/>
      <c r="S296" s="21" t="n"/>
      <c r="AE296" s="22" t="n"/>
      <c r="AF296" s="41" t="n"/>
      <c r="AG296" s="41" t="n"/>
      <c r="AH296" s="21" t="n"/>
      <c r="AT296" s="22" t="n"/>
    </row>
    <row r="297" hidden="1" outlineLevel="4">
      <c r="A297" s="8" t="n"/>
      <c r="B297" s="14" t="n"/>
      <c r="C297" s="41" t="n"/>
      <c r="D297" s="21" t="n"/>
      <c r="P297" s="22" t="n"/>
      <c r="Q297" s="41" t="n"/>
      <c r="R297" s="41" t="n"/>
      <c r="S297" s="21" t="n"/>
      <c r="AE297" s="22" t="n"/>
      <c r="AF297" s="41" t="n"/>
      <c r="AG297" s="41" t="n"/>
      <c r="AH297" s="21" t="n"/>
      <c r="AT297" s="22" t="n"/>
    </row>
    <row r="298" hidden="1" outlineLevel="4">
      <c r="A298" s="8" t="n"/>
      <c r="B298" s="14" t="n"/>
      <c r="C298" s="41" t="n"/>
      <c r="D298" s="21" t="n"/>
      <c r="P298" s="22" t="n"/>
      <c r="Q298" s="41" t="n"/>
      <c r="R298" s="41" t="n"/>
      <c r="S298" s="21" t="n"/>
      <c r="AE298" s="22" t="n"/>
      <c r="AF298" s="41" t="n"/>
      <c r="AG298" s="41" t="n"/>
      <c r="AH298" s="21" t="n"/>
      <c r="AT298" s="22" t="n"/>
    </row>
    <row r="299" hidden="1" outlineLevel="4">
      <c r="A299" s="8" t="n"/>
      <c r="B299" s="14" t="n"/>
      <c r="C299" s="41" t="n"/>
      <c r="D299" s="23" t="n"/>
      <c r="E299" s="24" t="n"/>
      <c r="F299" s="24" t="n"/>
      <c r="G299" s="24" t="n"/>
      <c r="H299" s="24" t="n"/>
      <c r="I299" s="24" t="n"/>
      <c r="J299" s="24" t="n"/>
      <c r="K299" s="24" t="n"/>
      <c r="L299" s="24" t="n"/>
      <c r="M299" s="24" t="n"/>
      <c r="N299" s="24" t="n"/>
      <c r="O299" s="24" t="n"/>
      <c r="P299" s="25" t="n"/>
      <c r="Q299" s="41" t="n"/>
      <c r="R299" s="41" t="n"/>
      <c r="S299" s="23" t="n"/>
      <c r="T299" s="24" t="n"/>
      <c r="U299" s="24" t="n"/>
      <c r="V299" s="24" t="n"/>
      <c r="W299" s="24" t="n"/>
      <c r="X299" s="24" t="n"/>
      <c r="Y299" s="24" t="n"/>
      <c r="Z299" s="24" t="n"/>
      <c r="AA299" s="24" t="n"/>
      <c r="AB299" s="24" t="n"/>
      <c r="AC299" s="24" t="n"/>
      <c r="AD299" s="24" t="n"/>
      <c r="AE299" s="25" t="n"/>
      <c r="AF299" s="41" t="n"/>
      <c r="AG299" s="41" t="n"/>
      <c r="AH299" s="23" t="n"/>
      <c r="AI299" s="24" t="n"/>
      <c r="AJ299" s="24" t="n"/>
      <c r="AK299" s="24" t="n"/>
      <c r="AL299" s="24" t="n"/>
      <c r="AM299" s="24" t="n"/>
      <c r="AN299" s="24" t="n"/>
      <c r="AO299" s="24" t="n"/>
      <c r="AP299" s="24" t="n"/>
      <c r="AQ299" s="24" t="n"/>
      <c r="AR299" s="24" t="n"/>
      <c r="AS299" s="24" t="n"/>
      <c r="AT299" s="25" t="n"/>
    </row>
    <row r="300" hidden="1" outlineLevel="3">
      <c r="A300" s="8" t="n"/>
      <c r="B300" s="14"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1" t="n"/>
      <c r="AD300" s="41" t="n"/>
      <c r="AE300" s="41" t="n"/>
      <c r="AF300" s="41" t="n"/>
      <c r="AG300" s="41" t="n"/>
      <c r="AH300" s="41" t="n"/>
      <c r="AI300" s="41" t="n"/>
      <c r="AJ300" s="41" t="n"/>
      <c r="AK300" s="41" t="n"/>
      <c r="AL300" s="41" t="n"/>
      <c r="AM300" s="41" t="n"/>
      <c r="AN300" s="41" t="n"/>
      <c r="AO300" s="41" t="n"/>
      <c r="AP300" s="41" t="n"/>
      <c r="AQ300" s="41" t="n"/>
      <c r="AR300" s="41" t="n"/>
      <c r="AS300" s="41" t="n"/>
      <c r="AT300" s="41" t="n"/>
    </row>
    <row r="301" hidden="1" outlineLevel="3">
      <c r="A301" s="8" t="n"/>
      <c r="B301" s="14" t="n"/>
      <c r="C301" s="41" t="n"/>
      <c r="D301" s="132">
        <f>DADOS_AM!$JJ$29</f>
        <v/>
      </c>
      <c r="E301" s="17" t="n"/>
      <c r="F301" s="131">
        <f>DADOS_AM!$JK$29</f>
        <v/>
      </c>
      <c r="G301" s="16" t="n"/>
      <c r="H301" s="16" t="n"/>
      <c r="I301" s="16" t="n"/>
      <c r="J301" s="16" t="n"/>
      <c r="K301" s="16" t="n"/>
      <c r="L301" s="16" t="n"/>
      <c r="M301" s="16" t="n"/>
      <c r="N301" s="16" t="n"/>
      <c r="O301" s="16" t="n"/>
      <c r="P301" s="17" t="n"/>
      <c r="Q301" s="41" t="n"/>
      <c r="R301" s="41" t="n"/>
      <c r="S301" s="132">
        <f>DADOS_AM!$JJ$30</f>
        <v/>
      </c>
      <c r="T301" s="17" t="n"/>
      <c r="U301" s="131">
        <f>DADOS_AM!$JK$30</f>
        <v/>
      </c>
      <c r="V301" s="16" t="n"/>
      <c r="W301" s="16" t="n"/>
      <c r="X301" s="16" t="n"/>
      <c r="Y301" s="16" t="n"/>
      <c r="Z301" s="16" t="n"/>
      <c r="AA301" s="16" t="n"/>
      <c r="AB301" s="16" t="n"/>
      <c r="AC301" s="16" t="n"/>
      <c r="AD301" s="16" t="n"/>
      <c r="AE301" s="17" t="n"/>
      <c r="AF301" s="41" t="n"/>
      <c r="AG301" s="41" t="n"/>
      <c r="AH301" s="132">
        <f>DADOS_AM!$JJ$31</f>
        <v/>
      </c>
      <c r="AI301" s="17" t="n"/>
      <c r="AJ301" s="131">
        <f>DADOS_AM!$JK$31</f>
        <v/>
      </c>
      <c r="AK301" s="16" t="n"/>
      <c r="AL301" s="16" t="n"/>
      <c r="AM301" s="16" t="n"/>
      <c r="AN301" s="16" t="n"/>
      <c r="AO301" s="16" t="n"/>
      <c r="AP301" s="16" t="n"/>
      <c r="AQ301" s="16" t="n"/>
      <c r="AR301" s="16" t="n"/>
      <c r="AS301" s="16" t="n"/>
      <c r="AT301" s="17" t="n"/>
    </row>
    <row r="302" hidden="1" outlineLevel="3">
      <c r="A302" s="8" t="n"/>
      <c r="B302" s="14" t="n"/>
      <c r="C302" s="41" t="n"/>
      <c r="D302" s="133">
        <f>DADOS_AM!$JL$29</f>
        <v/>
      </c>
      <c r="E302" s="16" t="n"/>
      <c r="F302" s="17" t="n"/>
      <c r="G302" s="133">
        <f>DADOS_AM!$JM$29</f>
        <v/>
      </c>
      <c r="H302" s="16" t="n"/>
      <c r="I302" s="16" t="n"/>
      <c r="J302" s="17" t="n"/>
      <c r="K302" s="133">
        <f>DADOS_AM!$JN$29</f>
        <v/>
      </c>
      <c r="L302" s="16" t="n"/>
      <c r="M302" s="16" t="n"/>
      <c r="N302" s="16" t="n"/>
      <c r="O302" s="16" t="n"/>
      <c r="P302" s="17" t="n"/>
      <c r="Q302" s="41" t="n"/>
      <c r="R302" s="41" t="n"/>
      <c r="S302" s="133">
        <f>DADOS_AM!$JL$30</f>
        <v/>
      </c>
      <c r="T302" s="16" t="n"/>
      <c r="U302" s="17" t="n"/>
      <c r="V302" s="133">
        <f>DADOS_AM!$JM$30</f>
        <v/>
      </c>
      <c r="W302" s="16" t="n"/>
      <c r="X302" s="16" t="n"/>
      <c r="Y302" s="17" t="n"/>
      <c r="Z302" s="133">
        <f>DADOS_AM!$JN$30</f>
        <v/>
      </c>
      <c r="AA302" s="16" t="n"/>
      <c r="AB302" s="16" t="n"/>
      <c r="AC302" s="16" t="n"/>
      <c r="AD302" s="16" t="n"/>
      <c r="AE302" s="17" t="n"/>
      <c r="AF302" s="41" t="n"/>
      <c r="AG302" s="41" t="n"/>
      <c r="AH302" s="133">
        <f>DADOS_AM!$JL$31</f>
        <v/>
      </c>
      <c r="AI302" s="16" t="n"/>
      <c r="AJ302" s="17" t="n"/>
      <c r="AK302" s="133">
        <f>DADOS_AM!$JM$31</f>
        <v/>
      </c>
      <c r="AL302" s="16" t="n"/>
      <c r="AM302" s="16" t="n"/>
      <c r="AN302" s="17" t="n"/>
      <c r="AO302" s="133">
        <f>DADOS_AM!$JN$31</f>
        <v/>
      </c>
      <c r="AP302" s="16" t="n"/>
      <c r="AQ302" s="16" t="n"/>
      <c r="AR302" s="16" t="n"/>
      <c r="AS302" s="16" t="n"/>
      <c r="AT302" s="17" t="n"/>
    </row>
    <row r="303" hidden="1" outlineLevel="4">
      <c r="A303" s="8" t="n"/>
      <c r="B303" s="14" t="n"/>
      <c r="C303" s="41" t="n"/>
      <c r="D303" s="61">
        <f>DADOS_AM!$JO$29</f>
        <v/>
      </c>
      <c r="E303" s="19" t="n"/>
      <c r="F303" s="19" t="n"/>
      <c r="G303" s="19" t="n"/>
      <c r="H303" s="19" t="n"/>
      <c r="I303" s="19" t="n"/>
      <c r="J303" s="19" t="n"/>
      <c r="K303" s="19" t="n"/>
      <c r="L303" s="19" t="n"/>
      <c r="M303" s="19" t="n"/>
      <c r="N303" s="19" t="n"/>
      <c r="O303" s="19" t="n"/>
      <c r="P303" s="20" t="n"/>
      <c r="Q303" s="41" t="n"/>
      <c r="R303" s="41" t="n"/>
      <c r="S303" s="61">
        <f>DADOS_AM!$JO$30</f>
        <v/>
      </c>
      <c r="T303" s="19" t="n"/>
      <c r="U303" s="19" t="n"/>
      <c r="V303" s="19" t="n"/>
      <c r="W303" s="19" t="n"/>
      <c r="X303" s="19" t="n"/>
      <c r="Y303" s="19" t="n"/>
      <c r="Z303" s="19" t="n"/>
      <c r="AA303" s="19" t="n"/>
      <c r="AB303" s="19" t="n"/>
      <c r="AC303" s="19" t="n"/>
      <c r="AD303" s="19" t="n"/>
      <c r="AE303" s="20" t="n"/>
      <c r="AF303" s="41" t="n"/>
      <c r="AG303" s="41" t="n"/>
      <c r="AH303" s="61">
        <f>DADOS_AM!$JO$31</f>
        <v/>
      </c>
      <c r="AI303" s="19" t="n"/>
      <c r="AJ303" s="19" t="n"/>
      <c r="AK303" s="19" t="n"/>
      <c r="AL303" s="19" t="n"/>
      <c r="AM303" s="19" t="n"/>
      <c r="AN303" s="19" t="n"/>
      <c r="AO303" s="19" t="n"/>
      <c r="AP303" s="19" t="n"/>
      <c r="AQ303" s="19" t="n"/>
      <c r="AR303" s="19" t="n"/>
      <c r="AS303" s="19" t="n"/>
      <c r="AT303" s="20" t="n"/>
    </row>
    <row r="304" hidden="1" outlineLevel="4">
      <c r="A304" s="8" t="n"/>
      <c r="B304" s="14" t="n"/>
      <c r="C304" s="41" t="n"/>
      <c r="D304" s="21" t="n"/>
      <c r="P304" s="22" t="n"/>
      <c r="Q304" s="41" t="n"/>
      <c r="R304" s="41" t="n"/>
      <c r="S304" s="21" t="n"/>
      <c r="AE304" s="22" t="n"/>
      <c r="AF304" s="41" t="n"/>
      <c r="AG304" s="41" t="n"/>
      <c r="AH304" s="21" t="n"/>
      <c r="AT304" s="22" t="n"/>
    </row>
    <row r="305" hidden="1" outlineLevel="4">
      <c r="A305" s="8" t="n"/>
      <c r="B305" s="14" t="n"/>
      <c r="C305" s="41" t="n"/>
      <c r="D305" s="21" t="n"/>
      <c r="P305" s="22" t="n"/>
      <c r="Q305" s="41" t="n"/>
      <c r="R305" s="41" t="n"/>
      <c r="S305" s="21" t="n"/>
      <c r="AE305" s="22" t="n"/>
      <c r="AF305" s="41" t="n"/>
      <c r="AG305" s="41" t="n"/>
      <c r="AH305" s="21" t="n"/>
      <c r="AT305" s="22" t="n"/>
    </row>
    <row r="306" hidden="1" outlineLevel="4">
      <c r="A306" s="8" t="n"/>
      <c r="B306" s="14" t="n"/>
      <c r="C306" s="41" t="n"/>
      <c r="D306" s="21" t="n"/>
      <c r="P306" s="22" t="n"/>
      <c r="Q306" s="41" t="n"/>
      <c r="R306" s="41" t="n"/>
      <c r="S306" s="21" t="n"/>
      <c r="AE306" s="22" t="n"/>
      <c r="AF306" s="41" t="n"/>
      <c r="AG306" s="41" t="n"/>
      <c r="AH306" s="21" t="n"/>
      <c r="AT306" s="22" t="n"/>
    </row>
    <row r="307" hidden="1" outlineLevel="4">
      <c r="A307" s="8" t="n"/>
      <c r="B307" s="14" t="n"/>
      <c r="C307" s="41" t="n"/>
      <c r="D307" s="21" t="n"/>
      <c r="P307" s="22" t="n"/>
      <c r="Q307" s="41" t="n"/>
      <c r="R307" s="41" t="n"/>
      <c r="S307" s="21" t="n"/>
      <c r="AE307" s="22" t="n"/>
      <c r="AF307" s="41" t="n"/>
      <c r="AG307" s="41" t="n"/>
      <c r="AH307" s="21" t="n"/>
      <c r="AT307" s="22" t="n"/>
    </row>
    <row r="308" hidden="1" outlineLevel="4">
      <c r="A308" s="8" t="n"/>
      <c r="B308" s="14" t="n"/>
      <c r="C308" s="41" t="n"/>
      <c r="D308" s="21" t="n"/>
      <c r="P308" s="22" t="n"/>
      <c r="Q308" s="41" t="n"/>
      <c r="R308" s="41" t="n"/>
      <c r="S308" s="21" t="n"/>
      <c r="AE308" s="22" t="n"/>
      <c r="AF308" s="41" t="n"/>
      <c r="AG308" s="41" t="n"/>
      <c r="AH308" s="21" t="n"/>
      <c r="AT308" s="22" t="n"/>
    </row>
    <row r="309" hidden="1" outlineLevel="4">
      <c r="A309" s="8" t="n"/>
      <c r="B309" s="14" t="n"/>
      <c r="C309" s="41" t="n"/>
      <c r="D309" s="23" t="n"/>
      <c r="E309" s="24" t="n"/>
      <c r="F309" s="24" t="n"/>
      <c r="G309" s="24" t="n"/>
      <c r="H309" s="24" t="n"/>
      <c r="I309" s="24" t="n"/>
      <c r="J309" s="24" t="n"/>
      <c r="K309" s="24" t="n"/>
      <c r="L309" s="24" t="n"/>
      <c r="M309" s="24" t="n"/>
      <c r="N309" s="24" t="n"/>
      <c r="O309" s="24" t="n"/>
      <c r="P309" s="25" t="n"/>
      <c r="Q309" s="41" t="n"/>
      <c r="R309" s="41" t="n"/>
      <c r="S309" s="23" t="n"/>
      <c r="T309" s="24" t="n"/>
      <c r="U309" s="24" t="n"/>
      <c r="V309" s="24" t="n"/>
      <c r="W309" s="24" t="n"/>
      <c r="X309" s="24" t="n"/>
      <c r="Y309" s="24" t="n"/>
      <c r="Z309" s="24" t="n"/>
      <c r="AA309" s="24" t="n"/>
      <c r="AB309" s="24" t="n"/>
      <c r="AC309" s="24" t="n"/>
      <c r="AD309" s="24" t="n"/>
      <c r="AE309" s="25" t="n"/>
      <c r="AF309" s="41" t="n"/>
      <c r="AG309" s="41" t="n"/>
      <c r="AH309" s="23" t="n"/>
      <c r="AI309" s="24" t="n"/>
      <c r="AJ309" s="24" t="n"/>
      <c r="AK309" s="24" t="n"/>
      <c r="AL309" s="24" t="n"/>
      <c r="AM309" s="24" t="n"/>
      <c r="AN309" s="24" t="n"/>
      <c r="AO309" s="24" t="n"/>
      <c r="AP309" s="24" t="n"/>
      <c r="AQ309" s="24" t="n"/>
      <c r="AR309" s="24" t="n"/>
      <c r="AS309" s="24" t="n"/>
      <c r="AT309" s="25" t="n"/>
    </row>
    <row r="310" outlineLevel="2">
      <c r="A310" s="8" t="n"/>
      <c r="B310" s="14" t="n"/>
      <c r="C310" s="41" t="n"/>
      <c r="D310" s="134">
        <f>DADOS_AM!$KS$14</f>
        <v/>
      </c>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c r="AI310" s="16" t="n"/>
      <c r="AJ310" s="16" t="n"/>
      <c r="AK310" s="16" t="n"/>
      <c r="AL310" s="16" t="n"/>
      <c r="AM310" s="16" t="n"/>
      <c r="AN310" s="16" t="n"/>
      <c r="AO310" s="16" t="n"/>
      <c r="AP310" s="16" t="n"/>
      <c r="AQ310" s="16" t="n"/>
      <c r="AR310" s="16" t="n"/>
      <c r="AS310" s="16" t="n"/>
      <c r="AT310" s="17" t="n"/>
    </row>
    <row r="311" hidden="1" outlineLevel="3">
      <c r="A311" s="8" t="n"/>
      <c r="B311" s="14" t="n"/>
      <c r="C311" s="41" t="n"/>
      <c r="D311" s="132">
        <f>DADOS_AM!$JJ$32</f>
        <v/>
      </c>
      <c r="E311" s="17" t="n"/>
      <c r="F311" s="131">
        <f>DADOS_AM!$JK$32</f>
        <v/>
      </c>
      <c r="G311" s="16" t="n"/>
      <c r="H311" s="16" t="n"/>
      <c r="I311" s="16" t="n"/>
      <c r="J311" s="16" t="n"/>
      <c r="K311" s="16" t="n"/>
      <c r="L311" s="16" t="n"/>
      <c r="M311" s="16" t="n"/>
      <c r="N311" s="16" t="n"/>
      <c r="O311" s="16" t="n"/>
      <c r="P311" s="17" t="n"/>
      <c r="Q311" s="41" t="n"/>
      <c r="R311" s="41" t="n"/>
      <c r="S311" s="132">
        <f>DADOS_AM!$JJ$33</f>
        <v/>
      </c>
      <c r="T311" s="17" t="n"/>
      <c r="U311" s="131">
        <f>DADOS_AM!$JK$33</f>
        <v/>
      </c>
      <c r="V311" s="16" t="n"/>
      <c r="W311" s="16" t="n"/>
      <c r="X311" s="16" t="n"/>
      <c r="Y311" s="16" t="n"/>
      <c r="Z311" s="16" t="n"/>
      <c r="AA311" s="16" t="n"/>
      <c r="AB311" s="16" t="n"/>
      <c r="AC311" s="16" t="n"/>
      <c r="AD311" s="16" t="n"/>
      <c r="AE311" s="17" t="n"/>
      <c r="AF311" s="41" t="n"/>
      <c r="AG311" s="41" t="n"/>
      <c r="AH311" s="132">
        <f>DADOS_AM!$JJ$34</f>
        <v/>
      </c>
      <c r="AI311" s="17" t="n"/>
      <c r="AJ311" s="131">
        <f>DADOS_AM!$JK$34</f>
        <v/>
      </c>
      <c r="AK311" s="16" t="n"/>
      <c r="AL311" s="16" t="n"/>
      <c r="AM311" s="16" t="n"/>
      <c r="AN311" s="16" t="n"/>
      <c r="AO311" s="16" t="n"/>
      <c r="AP311" s="16" t="n"/>
      <c r="AQ311" s="16" t="n"/>
      <c r="AR311" s="16" t="n"/>
      <c r="AS311" s="16" t="n"/>
      <c r="AT311" s="17" t="n"/>
    </row>
    <row r="312" hidden="1" outlineLevel="3">
      <c r="A312" s="8" t="n"/>
      <c r="B312" s="14" t="n"/>
      <c r="C312" s="41" t="n"/>
      <c r="D312" s="133">
        <f>DADOS_AM!$JL$32</f>
        <v/>
      </c>
      <c r="E312" s="16" t="n"/>
      <c r="F312" s="17" t="n"/>
      <c r="G312" s="133">
        <f>DADOS_AM!$JM$32</f>
        <v/>
      </c>
      <c r="H312" s="16" t="n"/>
      <c r="I312" s="16" t="n"/>
      <c r="J312" s="17" t="n"/>
      <c r="K312" s="133">
        <f>DADOS_AM!$JN$32</f>
        <v/>
      </c>
      <c r="L312" s="16" t="n"/>
      <c r="M312" s="16" t="n"/>
      <c r="N312" s="16" t="n"/>
      <c r="O312" s="16" t="n"/>
      <c r="P312" s="17" t="n"/>
      <c r="Q312" s="41" t="n"/>
      <c r="R312" s="41" t="n"/>
      <c r="S312" s="133">
        <f>DADOS_AM!$JL$33</f>
        <v/>
      </c>
      <c r="T312" s="16" t="n"/>
      <c r="U312" s="17" t="n"/>
      <c r="V312" s="133">
        <f>DADOS_AM!$JM$33</f>
        <v/>
      </c>
      <c r="W312" s="16" t="n"/>
      <c r="X312" s="16" t="n"/>
      <c r="Y312" s="17" t="n"/>
      <c r="Z312" s="133">
        <f>DADOS_AM!$JN$33</f>
        <v/>
      </c>
      <c r="AA312" s="16" t="n"/>
      <c r="AB312" s="16" t="n"/>
      <c r="AC312" s="16" t="n"/>
      <c r="AD312" s="16" t="n"/>
      <c r="AE312" s="17" t="n"/>
      <c r="AF312" s="41" t="n"/>
      <c r="AG312" s="41" t="n"/>
      <c r="AH312" s="133">
        <f>DADOS_AM!$JL$34</f>
        <v/>
      </c>
      <c r="AI312" s="16" t="n"/>
      <c r="AJ312" s="17" t="n"/>
      <c r="AK312" s="133">
        <f>DADOS_AM!$JM$34</f>
        <v/>
      </c>
      <c r="AL312" s="16" t="n"/>
      <c r="AM312" s="16" t="n"/>
      <c r="AN312" s="17" t="n"/>
      <c r="AO312" s="133">
        <f>DADOS_AM!$JN$34</f>
        <v/>
      </c>
      <c r="AP312" s="16" t="n"/>
      <c r="AQ312" s="16" t="n"/>
      <c r="AR312" s="16" t="n"/>
      <c r="AS312" s="16" t="n"/>
      <c r="AT312" s="17" t="n"/>
    </row>
    <row r="313" hidden="1" outlineLevel="4">
      <c r="A313" s="8" t="n"/>
      <c r="B313" s="14" t="n"/>
      <c r="C313" s="41" t="n"/>
      <c r="D313" s="61">
        <f>DADOS_AM!$JO$32</f>
        <v/>
      </c>
      <c r="E313" s="19" t="n"/>
      <c r="F313" s="19" t="n"/>
      <c r="G313" s="19" t="n"/>
      <c r="H313" s="19" t="n"/>
      <c r="I313" s="19" t="n"/>
      <c r="J313" s="19" t="n"/>
      <c r="K313" s="19" t="n"/>
      <c r="L313" s="19" t="n"/>
      <c r="M313" s="19" t="n"/>
      <c r="N313" s="19" t="n"/>
      <c r="O313" s="19" t="n"/>
      <c r="P313" s="20" t="n"/>
      <c r="Q313" s="41" t="n"/>
      <c r="R313" s="41" t="n"/>
      <c r="S313" s="61">
        <f>DADOS_AM!$JO$33</f>
        <v/>
      </c>
      <c r="T313" s="19" t="n"/>
      <c r="U313" s="19" t="n"/>
      <c r="V313" s="19" t="n"/>
      <c r="W313" s="19" t="n"/>
      <c r="X313" s="19" t="n"/>
      <c r="Y313" s="19" t="n"/>
      <c r="Z313" s="19" t="n"/>
      <c r="AA313" s="19" t="n"/>
      <c r="AB313" s="19" t="n"/>
      <c r="AC313" s="19" t="n"/>
      <c r="AD313" s="19" t="n"/>
      <c r="AE313" s="20" t="n"/>
      <c r="AF313" s="41" t="n"/>
      <c r="AG313" s="41" t="n"/>
      <c r="AH313" s="61">
        <f>DADOS_AM!$JO$34</f>
        <v/>
      </c>
      <c r="AI313" s="19" t="n"/>
      <c r="AJ313" s="19" t="n"/>
      <c r="AK313" s="19" t="n"/>
      <c r="AL313" s="19" t="n"/>
      <c r="AM313" s="19" t="n"/>
      <c r="AN313" s="19" t="n"/>
      <c r="AO313" s="19" t="n"/>
      <c r="AP313" s="19" t="n"/>
      <c r="AQ313" s="19" t="n"/>
      <c r="AR313" s="19" t="n"/>
      <c r="AS313" s="19" t="n"/>
      <c r="AT313" s="20" t="n"/>
    </row>
    <row r="314" hidden="1" outlineLevel="4">
      <c r="A314" s="8" t="n"/>
      <c r="B314" s="14" t="n"/>
      <c r="C314" s="41" t="n"/>
      <c r="D314" s="21" t="n"/>
      <c r="P314" s="22" t="n"/>
      <c r="Q314" s="41" t="n"/>
      <c r="R314" s="41" t="n"/>
      <c r="S314" s="21" t="n"/>
      <c r="AE314" s="22" t="n"/>
      <c r="AF314" s="41" t="n"/>
      <c r="AG314" s="41" t="n"/>
      <c r="AH314" s="21" t="n"/>
      <c r="AT314" s="22" t="n"/>
    </row>
    <row r="315" hidden="1" outlineLevel="4">
      <c r="A315" s="8" t="n"/>
      <c r="B315" s="14" t="n"/>
      <c r="C315" s="41" t="n"/>
      <c r="D315" s="21" t="n"/>
      <c r="P315" s="22" t="n"/>
      <c r="Q315" s="41" t="n"/>
      <c r="R315" s="41" t="n"/>
      <c r="S315" s="21" t="n"/>
      <c r="AE315" s="22" t="n"/>
      <c r="AF315" s="41" t="n"/>
      <c r="AG315" s="41" t="n"/>
      <c r="AH315" s="21" t="n"/>
      <c r="AT315" s="22" t="n"/>
    </row>
    <row r="316" hidden="1" outlineLevel="4">
      <c r="A316" s="8" t="n"/>
      <c r="B316" s="14" t="n"/>
      <c r="C316" s="41" t="n"/>
      <c r="D316" s="21" t="n"/>
      <c r="P316" s="22" t="n"/>
      <c r="Q316" s="41" t="n"/>
      <c r="R316" s="41" t="n"/>
      <c r="S316" s="21" t="n"/>
      <c r="AE316" s="22" t="n"/>
      <c r="AF316" s="41" t="n"/>
      <c r="AG316" s="41" t="n"/>
      <c r="AH316" s="21" t="n"/>
      <c r="AT316" s="22" t="n"/>
    </row>
    <row r="317" hidden="1" outlineLevel="4">
      <c r="A317" s="8" t="n"/>
      <c r="B317" s="14" t="n"/>
      <c r="C317" s="41" t="n"/>
      <c r="D317" s="21" t="n"/>
      <c r="P317" s="22" t="n"/>
      <c r="Q317" s="41" t="n"/>
      <c r="R317" s="41" t="n"/>
      <c r="S317" s="21" t="n"/>
      <c r="AE317" s="22" t="n"/>
      <c r="AF317" s="41" t="n"/>
      <c r="AG317" s="41" t="n"/>
      <c r="AH317" s="21" t="n"/>
      <c r="AT317" s="22" t="n"/>
    </row>
    <row r="318" hidden="1" outlineLevel="4">
      <c r="A318" s="8" t="n"/>
      <c r="B318" s="14" t="n"/>
      <c r="C318" s="41" t="n"/>
      <c r="D318" s="21" t="n"/>
      <c r="P318" s="22" t="n"/>
      <c r="Q318" s="41" t="n"/>
      <c r="R318" s="41" t="n"/>
      <c r="S318" s="21" t="n"/>
      <c r="AE318" s="22" t="n"/>
      <c r="AF318" s="41" t="n"/>
      <c r="AG318" s="41" t="n"/>
      <c r="AH318" s="21" t="n"/>
      <c r="AT318" s="22" t="n"/>
    </row>
    <row r="319" hidden="1" outlineLevel="4">
      <c r="A319" s="8" t="n"/>
      <c r="B319" s="14" t="n"/>
      <c r="C319" s="41" t="n"/>
      <c r="D319" s="23" t="n"/>
      <c r="E319" s="24" t="n"/>
      <c r="F319" s="24" t="n"/>
      <c r="G319" s="24" t="n"/>
      <c r="H319" s="24" t="n"/>
      <c r="I319" s="24" t="n"/>
      <c r="J319" s="24" t="n"/>
      <c r="K319" s="24" t="n"/>
      <c r="L319" s="24" t="n"/>
      <c r="M319" s="24" t="n"/>
      <c r="N319" s="24" t="n"/>
      <c r="O319" s="24" t="n"/>
      <c r="P319" s="25" t="n"/>
      <c r="Q319" s="41" t="n"/>
      <c r="R319" s="41" t="n"/>
      <c r="S319" s="23" t="n"/>
      <c r="T319" s="24" t="n"/>
      <c r="U319" s="24" t="n"/>
      <c r="V319" s="24" t="n"/>
      <c r="W319" s="24" t="n"/>
      <c r="X319" s="24" t="n"/>
      <c r="Y319" s="24" t="n"/>
      <c r="Z319" s="24" t="n"/>
      <c r="AA319" s="24" t="n"/>
      <c r="AB319" s="24" t="n"/>
      <c r="AC319" s="24" t="n"/>
      <c r="AD319" s="24" t="n"/>
      <c r="AE319" s="25" t="n"/>
      <c r="AF319" s="41" t="n"/>
      <c r="AG319" s="41" t="n"/>
      <c r="AH319" s="23" t="n"/>
      <c r="AI319" s="24" t="n"/>
      <c r="AJ319" s="24" t="n"/>
      <c r="AK319" s="24" t="n"/>
      <c r="AL319" s="24" t="n"/>
      <c r="AM319" s="24" t="n"/>
      <c r="AN319" s="24" t="n"/>
      <c r="AO319" s="24" t="n"/>
      <c r="AP319" s="24" t="n"/>
      <c r="AQ319" s="24" t="n"/>
      <c r="AR319" s="24" t="n"/>
      <c r="AS319" s="24" t="n"/>
      <c r="AT319" s="25" t="n"/>
    </row>
    <row r="320" hidden="1" outlineLevel="3">
      <c r="A320" s="8" t="n"/>
      <c r="B320" s="14"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1" t="n"/>
      <c r="AD320" s="41" t="n"/>
      <c r="AE320" s="41" t="n"/>
      <c r="AF320" s="41" t="n"/>
      <c r="AG320" s="41" t="n"/>
      <c r="AH320" s="41" t="n"/>
      <c r="AI320" s="41" t="n"/>
      <c r="AJ320" s="41" t="n"/>
      <c r="AK320" s="41" t="n"/>
      <c r="AL320" s="41" t="n"/>
      <c r="AM320" s="41" t="n"/>
      <c r="AN320" s="41" t="n"/>
      <c r="AO320" s="41" t="n"/>
      <c r="AP320" s="41" t="n"/>
      <c r="AQ320" s="41" t="n"/>
      <c r="AR320" s="41" t="n"/>
      <c r="AS320" s="41" t="n"/>
      <c r="AT320" s="41" t="n"/>
    </row>
    <row r="321" hidden="1" outlineLevel="3">
      <c r="A321" s="8" t="n"/>
      <c r="B321" s="14" t="n"/>
      <c r="C321" s="41" t="n"/>
      <c r="D321" s="132">
        <f>DADOS_AM!$JJ$35</f>
        <v/>
      </c>
      <c r="E321" s="17" t="n"/>
      <c r="F321" s="131">
        <f>DADOS_AM!$JK$35</f>
        <v/>
      </c>
      <c r="G321" s="16" t="n"/>
      <c r="H321" s="16" t="n"/>
      <c r="I321" s="16" t="n"/>
      <c r="J321" s="16" t="n"/>
      <c r="K321" s="16" t="n"/>
      <c r="L321" s="16" t="n"/>
      <c r="M321" s="16" t="n"/>
      <c r="N321" s="16" t="n"/>
      <c r="O321" s="16" t="n"/>
      <c r="P321" s="17" t="n"/>
      <c r="Q321" s="41" t="n"/>
      <c r="R321" s="41" t="n"/>
      <c r="S321" s="132">
        <f>DADOS_AM!$JJ$36</f>
        <v/>
      </c>
      <c r="T321" s="17" t="n"/>
      <c r="U321" s="131">
        <f>DADOS_AM!$JK$36</f>
        <v/>
      </c>
      <c r="V321" s="16" t="n"/>
      <c r="W321" s="16" t="n"/>
      <c r="X321" s="16" t="n"/>
      <c r="Y321" s="16" t="n"/>
      <c r="Z321" s="16" t="n"/>
      <c r="AA321" s="16" t="n"/>
      <c r="AB321" s="16" t="n"/>
      <c r="AC321" s="16" t="n"/>
      <c r="AD321" s="16" t="n"/>
      <c r="AE321" s="17" t="n"/>
      <c r="AF321" s="41" t="n"/>
      <c r="AG321" s="41" t="n"/>
      <c r="AH321" s="132">
        <f>DADOS_AM!$JJ$37</f>
        <v/>
      </c>
      <c r="AI321" s="17" t="n"/>
      <c r="AJ321" s="131">
        <f>DADOS_AM!$JK$37</f>
        <v/>
      </c>
      <c r="AK321" s="16" t="n"/>
      <c r="AL321" s="16" t="n"/>
      <c r="AM321" s="16" t="n"/>
      <c r="AN321" s="16" t="n"/>
      <c r="AO321" s="16" t="n"/>
      <c r="AP321" s="16" t="n"/>
      <c r="AQ321" s="16" t="n"/>
      <c r="AR321" s="16" t="n"/>
      <c r="AS321" s="16" t="n"/>
      <c r="AT321" s="17" t="n"/>
    </row>
    <row r="322" hidden="1" outlineLevel="3">
      <c r="A322" s="8" t="n"/>
      <c r="B322" s="14" t="n"/>
      <c r="C322" s="41" t="n"/>
      <c r="D322" s="133">
        <f>DADOS_AM!$JL$35</f>
        <v/>
      </c>
      <c r="E322" s="16" t="n"/>
      <c r="F322" s="17" t="n"/>
      <c r="G322" s="133">
        <f>DADOS_AM!$JM$35</f>
        <v/>
      </c>
      <c r="H322" s="16" t="n"/>
      <c r="I322" s="16" t="n"/>
      <c r="J322" s="17" t="n"/>
      <c r="K322" s="133">
        <f>DADOS_AM!$JN$35</f>
        <v/>
      </c>
      <c r="L322" s="16" t="n"/>
      <c r="M322" s="16" t="n"/>
      <c r="N322" s="16" t="n"/>
      <c r="O322" s="16" t="n"/>
      <c r="P322" s="17" t="n"/>
      <c r="Q322" s="41" t="n"/>
      <c r="R322" s="41" t="n"/>
      <c r="S322" s="133">
        <f>DADOS_AM!$JL$36</f>
        <v/>
      </c>
      <c r="T322" s="16" t="n"/>
      <c r="U322" s="17" t="n"/>
      <c r="V322" s="133">
        <f>DADOS_AM!$JM$36</f>
        <v/>
      </c>
      <c r="W322" s="16" t="n"/>
      <c r="X322" s="16" t="n"/>
      <c r="Y322" s="17" t="n"/>
      <c r="Z322" s="133">
        <f>DADOS_AM!$JN$36</f>
        <v/>
      </c>
      <c r="AA322" s="16" t="n"/>
      <c r="AB322" s="16" t="n"/>
      <c r="AC322" s="16" t="n"/>
      <c r="AD322" s="16" t="n"/>
      <c r="AE322" s="17" t="n"/>
      <c r="AF322" s="41" t="n"/>
      <c r="AG322" s="41" t="n"/>
      <c r="AH322" s="133">
        <f>DADOS_AM!$JL$37</f>
        <v/>
      </c>
      <c r="AI322" s="16" t="n"/>
      <c r="AJ322" s="17" t="n"/>
      <c r="AK322" s="133">
        <f>DADOS_AM!$JM$37</f>
        <v/>
      </c>
      <c r="AL322" s="16" t="n"/>
      <c r="AM322" s="16" t="n"/>
      <c r="AN322" s="17" t="n"/>
      <c r="AO322" s="133">
        <f>DADOS_AM!$JN$37</f>
        <v/>
      </c>
      <c r="AP322" s="16" t="n"/>
      <c r="AQ322" s="16" t="n"/>
      <c r="AR322" s="16" t="n"/>
      <c r="AS322" s="16" t="n"/>
      <c r="AT322" s="17" t="n"/>
    </row>
    <row r="323" hidden="1" outlineLevel="4">
      <c r="A323" s="8" t="n"/>
      <c r="B323" s="14" t="n"/>
      <c r="C323" s="41" t="n"/>
      <c r="D323" s="61">
        <f>DADOS_AM!$JO$35</f>
        <v/>
      </c>
      <c r="E323" s="19" t="n"/>
      <c r="F323" s="19" t="n"/>
      <c r="G323" s="19" t="n"/>
      <c r="H323" s="19" t="n"/>
      <c r="I323" s="19" t="n"/>
      <c r="J323" s="19" t="n"/>
      <c r="K323" s="19" t="n"/>
      <c r="L323" s="19" t="n"/>
      <c r="M323" s="19" t="n"/>
      <c r="N323" s="19" t="n"/>
      <c r="O323" s="19" t="n"/>
      <c r="P323" s="20" t="n"/>
      <c r="Q323" s="41" t="n"/>
      <c r="R323" s="41" t="n"/>
      <c r="S323" s="61">
        <f>DADOS_AM!$JO$36</f>
        <v/>
      </c>
      <c r="T323" s="19" t="n"/>
      <c r="U323" s="19" t="n"/>
      <c r="V323" s="19" t="n"/>
      <c r="W323" s="19" t="n"/>
      <c r="X323" s="19" t="n"/>
      <c r="Y323" s="19" t="n"/>
      <c r="Z323" s="19" t="n"/>
      <c r="AA323" s="19" t="n"/>
      <c r="AB323" s="19" t="n"/>
      <c r="AC323" s="19" t="n"/>
      <c r="AD323" s="19" t="n"/>
      <c r="AE323" s="20" t="n"/>
      <c r="AF323" s="41" t="n"/>
      <c r="AG323" s="41" t="n"/>
      <c r="AH323" s="61">
        <f>DADOS_AM!$JO$37</f>
        <v/>
      </c>
      <c r="AI323" s="19" t="n"/>
      <c r="AJ323" s="19" t="n"/>
      <c r="AK323" s="19" t="n"/>
      <c r="AL323" s="19" t="n"/>
      <c r="AM323" s="19" t="n"/>
      <c r="AN323" s="19" t="n"/>
      <c r="AO323" s="19" t="n"/>
      <c r="AP323" s="19" t="n"/>
      <c r="AQ323" s="19" t="n"/>
      <c r="AR323" s="19" t="n"/>
      <c r="AS323" s="19" t="n"/>
      <c r="AT323" s="20" t="n"/>
    </row>
    <row r="324" hidden="1" outlineLevel="4">
      <c r="A324" s="8" t="n"/>
      <c r="B324" s="14" t="n"/>
      <c r="C324" s="41" t="n"/>
      <c r="D324" s="21" t="n"/>
      <c r="P324" s="22" t="n"/>
      <c r="Q324" s="41" t="n"/>
      <c r="R324" s="41" t="n"/>
      <c r="S324" s="21" t="n"/>
      <c r="AE324" s="22" t="n"/>
      <c r="AF324" s="41" t="n"/>
      <c r="AG324" s="41" t="n"/>
      <c r="AH324" s="21" t="n"/>
      <c r="AT324" s="22" t="n"/>
    </row>
    <row r="325" hidden="1" outlineLevel="4">
      <c r="A325" s="8" t="n"/>
      <c r="B325" s="14" t="n"/>
      <c r="C325" s="41" t="n"/>
      <c r="D325" s="21" t="n"/>
      <c r="P325" s="22" t="n"/>
      <c r="Q325" s="41" t="n"/>
      <c r="R325" s="41" t="n"/>
      <c r="S325" s="21" t="n"/>
      <c r="AE325" s="22" t="n"/>
      <c r="AF325" s="41" t="n"/>
      <c r="AG325" s="41" t="n"/>
      <c r="AH325" s="21" t="n"/>
      <c r="AT325" s="22" t="n"/>
    </row>
    <row r="326" hidden="1" outlineLevel="4">
      <c r="A326" s="8" t="n"/>
      <c r="B326" s="14" t="n"/>
      <c r="C326" s="41" t="n"/>
      <c r="D326" s="21" t="n"/>
      <c r="P326" s="22" t="n"/>
      <c r="Q326" s="41" t="n"/>
      <c r="R326" s="41" t="n"/>
      <c r="S326" s="21" t="n"/>
      <c r="AE326" s="22" t="n"/>
      <c r="AF326" s="41" t="n"/>
      <c r="AG326" s="41" t="n"/>
      <c r="AH326" s="21" t="n"/>
      <c r="AT326" s="22" t="n"/>
    </row>
    <row r="327" hidden="1" outlineLevel="4">
      <c r="A327" s="8" t="n"/>
      <c r="B327" s="14" t="n"/>
      <c r="C327" s="41" t="n"/>
      <c r="D327" s="21" t="n"/>
      <c r="P327" s="22" t="n"/>
      <c r="Q327" s="41" t="n"/>
      <c r="R327" s="41" t="n"/>
      <c r="S327" s="21" t="n"/>
      <c r="AE327" s="22" t="n"/>
      <c r="AF327" s="41" t="n"/>
      <c r="AG327" s="41" t="n"/>
      <c r="AH327" s="21" t="n"/>
      <c r="AT327" s="22" t="n"/>
    </row>
    <row r="328" hidden="1" outlineLevel="4">
      <c r="A328" s="8" t="n"/>
      <c r="B328" s="14" t="n"/>
      <c r="C328" s="41" t="n"/>
      <c r="D328" s="21" t="n"/>
      <c r="P328" s="22" t="n"/>
      <c r="Q328" s="41" t="n"/>
      <c r="R328" s="41" t="n"/>
      <c r="S328" s="21" t="n"/>
      <c r="AE328" s="22" t="n"/>
      <c r="AF328" s="41" t="n"/>
      <c r="AG328" s="41" t="n"/>
      <c r="AH328" s="21" t="n"/>
      <c r="AT328" s="22" t="n"/>
    </row>
    <row r="329" hidden="1" outlineLevel="4">
      <c r="A329" s="8" t="n"/>
      <c r="B329" s="14" t="n"/>
      <c r="C329" s="41" t="n"/>
      <c r="D329" s="23" t="n"/>
      <c r="E329" s="24" t="n"/>
      <c r="F329" s="24" t="n"/>
      <c r="G329" s="24" t="n"/>
      <c r="H329" s="24" t="n"/>
      <c r="I329" s="24" t="n"/>
      <c r="J329" s="24" t="n"/>
      <c r="K329" s="24" t="n"/>
      <c r="L329" s="24" t="n"/>
      <c r="M329" s="24" t="n"/>
      <c r="N329" s="24" t="n"/>
      <c r="O329" s="24" t="n"/>
      <c r="P329" s="25" t="n"/>
      <c r="Q329" s="41" t="n"/>
      <c r="R329" s="41" t="n"/>
      <c r="S329" s="23" t="n"/>
      <c r="T329" s="24" t="n"/>
      <c r="U329" s="24" t="n"/>
      <c r="V329" s="24" t="n"/>
      <c r="W329" s="24" t="n"/>
      <c r="X329" s="24" t="n"/>
      <c r="Y329" s="24" t="n"/>
      <c r="Z329" s="24" t="n"/>
      <c r="AA329" s="24" t="n"/>
      <c r="AB329" s="24" t="n"/>
      <c r="AC329" s="24" t="n"/>
      <c r="AD329" s="24" t="n"/>
      <c r="AE329" s="25" t="n"/>
      <c r="AF329" s="41" t="n"/>
      <c r="AG329" s="41" t="n"/>
      <c r="AH329" s="23" t="n"/>
      <c r="AI329" s="24" t="n"/>
      <c r="AJ329" s="24" t="n"/>
      <c r="AK329" s="24" t="n"/>
      <c r="AL329" s="24" t="n"/>
      <c r="AM329" s="24" t="n"/>
      <c r="AN329" s="24" t="n"/>
      <c r="AO329" s="24" t="n"/>
      <c r="AP329" s="24" t="n"/>
      <c r="AQ329" s="24" t="n"/>
      <c r="AR329" s="24" t="n"/>
      <c r="AS329" s="24" t="n"/>
      <c r="AT329" s="25" t="n"/>
    </row>
    <row r="330" outlineLevel="2">
      <c r="A330" s="8" t="n"/>
      <c r="B330" s="14"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1" t="n"/>
      <c r="AD330" s="41" t="n"/>
      <c r="AE330" s="41" t="n"/>
      <c r="AF330" s="41" t="n"/>
      <c r="AG330" s="41" t="n"/>
      <c r="AH330" s="41" t="n"/>
      <c r="AI330" s="41" t="n"/>
      <c r="AJ330" s="41" t="n"/>
      <c r="AK330" s="41" t="n"/>
      <c r="AL330" s="41" t="n"/>
      <c r="AM330" s="41" t="n"/>
      <c r="AN330" s="41" t="n"/>
      <c r="AO330" s="41" t="n"/>
      <c r="AP330" s="41" t="n"/>
      <c r="AQ330" s="41" t="n"/>
      <c r="AR330" s="41" t="n"/>
      <c r="AS330" s="41" t="n"/>
      <c r="AT330" s="41" t="n"/>
    </row>
    <row r="331" outlineLevel="1">
      <c r="A331" s="8" t="n"/>
      <c r="B331" s="14" t="n"/>
      <c r="C331" s="41" t="n"/>
      <c r="D331" s="129">
        <f>DADOS_AM!$KS$4</f>
        <v/>
      </c>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c r="AI331" s="16" t="n"/>
      <c r="AJ331" s="16" t="n"/>
      <c r="AK331" s="16" t="n"/>
      <c r="AL331" s="16" t="n"/>
      <c r="AM331" s="16" t="n"/>
      <c r="AN331" s="16" t="n"/>
      <c r="AO331" s="16" t="n"/>
      <c r="AP331" s="16" t="n"/>
      <c r="AQ331" s="16" t="n"/>
      <c r="AR331" s="16" t="n"/>
      <c r="AS331" s="16" t="n"/>
      <c r="AT331" s="17" t="n"/>
    </row>
    <row r="332" outlineLevel="2">
      <c r="A332" s="8" t="n"/>
      <c r="B332" s="14" t="n"/>
      <c r="C332" s="41" t="n"/>
      <c r="D332" s="132">
        <f>DADOS_AM!$KS$7</f>
        <v/>
      </c>
      <c r="E332" s="17" t="n"/>
      <c r="F332" s="131">
        <f>DADOS_AM!$JS$2</f>
        <v/>
      </c>
      <c r="G332" s="16" t="n"/>
      <c r="H332" s="16" t="n"/>
      <c r="I332" s="16" t="n"/>
      <c r="J332" s="16" t="n"/>
      <c r="K332" s="16" t="n"/>
      <c r="L332" s="16" t="n"/>
      <c r="M332" s="16" t="n"/>
      <c r="N332" s="16" t="n"/>
      <c r="O332" s="16" t="n"/>
      <c r="P332" s="17" t="n"/>
      <c r="Q332" s="41" t="n"/>
      <c r="R332" s="41" t="n"/>
      <c r="S332" s="132">
        <f>DADOS_AM!$KS$7</f>
        <v/>
      </c>
      <c r="T332" s="17" t="n"/>
      <c r="U332" s="131">
        <f>DADOS_AM!$JS$3</f>
        <v/>
      </c>
      <c r="V332" s="16" t="n"/>
      <c r="W332" s="16" t="n"/>
      <c r="X332" s="16" t="n"/>
      <c r="Y332" s="16" t="n"/>
      <c r="Z332" s="16" t="n"/>
      <c r="AA332" s="16" t="n"/>
      <c r="AB332" s="16" t="n"/>
      <c r="AC332" s="16" t="n"/>
      <c r="AD332" s="16" t="n"/>
      <c r="AE332" s="17" t="n"/>
      <c r="AF332" s="41" t="n"/>
      <c r="AG332" s="41" t="n"/>
      <c r="AH332" s="132">
        <f>DADOS_AM!$KS$7</f>
        <v/>
      </c>
      <c r="AI332" s="17" t="n"/>
      <c r="AJ332" s="131">
        <f>DADOS_AM!$JS$4</f>
        <v/>
      </c>
      <c r="AK332" s="16" t="n"/>
      <c r="AL332" s="16" t="n"/>
      <c r="AM332" s="16" t="n"/>
      <c r="AN332" s="16" t="n"/>
      <c r="AO332" s="16" t="n"/>
      <c r="AP332" s="16" t="n"/>
      <c r="AQ332" s="16" t="n"/>
      <c r="AR332" s="16" t="n"/>
      <c r="AS332" s="16" t="n"/>
      <c r="AT332" s="17" t="n"/>
    </row>
    <row r="333" outlineLevel="2">
      <c r="A333" s="8" t="n"/>
      <c r="B333" s="14" t="n"/>
      <c r="C333" s="41" t="n"/>
      <c r="D333" s="133">
        <f>DADOS_AM!$JT$2</f>
        <v/>
      </c>
      <c r="E333" s="16" t="n"/>
      <c r="F333" s="17" t="n"/>
      <c r="G333" s="133">
        <f>DADOS_AM!$JU$2</f>
        <v/>
      </c>
      <c r="H333" s="16" t="n"/>
      <c r="I333" s="16" t="n"/>
      <c r="J333" s="17" t="n"/>
      <c r="K333" s="133">
        <f>DADOS_AM!$JV$2</f>
        <v/>
      </c>
      <c r="L333" s="16" t="n"/>
      <c r="M333" s="16" t="n"/>
      <c r="N333" s="16" t="n"/>
      <c r="O333" s="16" t="n"/>
      <c r="P333" s="17" t="n"/>
      <c r="Q333" s="41" t="n"/>
      <c r="R333" s="41" t="n"/>
      <c r="S333" s="133">
        <f>DADOS_AM!$JT$3</f>
        <v/>
      </c>
      <c r="T333" s="16" t="n"/>
      <c r="U333" s="17" t="n"/>
      <c r="V333" s="133">
        <f>DADOS_AM!$JU$3</f>
        <v/>
      </c>
      <c r="W333" s="16" t="n"/>
      <c r="X333" s="16" t="n"/>
      <c r="Y333" s="17" t="n"/>
      <c r="Z333" s="133">
        <f>DADOS_AM!$JV$3</f>
        <v/>
      </c>
      <c r="AA333" s="16" t="n"/>
      <c r="AB333" s="16" t="n"/>
      <c r="AC333" s="16" t="n"/>
      <c r="AD333" s="16" t="n"/>
      <c r="AE333" s="17" t="n"/>
      <c r="AF333" s="41" t="n"/>
      <c r="AG333" s="41" t="n"/>
      <c r="AH333" s="133">
        <f>DADOS_AM!$JT$4</f>
        <v/>
      </c>
      <c r="AI333" s="16" t="n"/>
      <c r="AJ333" s="17" t="n"/>
      <c r="AK333" s="133">
        <f>DADOS_AM!$JU$4</f>
        <v/>
      </c>
      <c r="AL333" s="16" t="n"/>
      <c r="AM333" s="16" t="n"/>
      <c r="AN333" s="17" t="n"/>
      <c r="AO333" s="133">
        <f>DADOS_AM!$JV$4</f>
        <v/>
      </c>
      <c r="AP333" s="16" t="n"/>
      <c r="AQ333" s="16" t="n"/>
      <c r="AR333" s="16" t="n"/>
      <c r="AS333" s="16" t="n"/>
      <c r="AT333" s="17" t="n"/>
    </row>
    <row r="334" outlineLevel="3">
      <c r="A334" s="8" t="n"/>
      <c r="B334" s="14" t="n"/>
      <c r="C334" s="41" t="n"/>
      <c r="D334" s="61">
        <f>DADOS_AM!$JW$2</f>
        <v/>
      </c>
      <c r="E334" s="19" t="n"/>
      <c r="F334" s="19" t="n"/>
      <c r="G334" s="19" t="n"/>
      <c r="H334" s="19" t="n"/>
      <c r="I334" s="19" t="n"/>
      <c r="J334" s="19" t="n"/>
      <c r="K334" s="19" t="n"/>
      <c r="L334" s="19" t="n"/>
      <c r="M334" s="19" t="n"/>
      <c r="N334" s="19" t="n"/>
      <c r="O334" s="19" t="n"/>
      <c r="P334" s="20" t="n"/>
      <c r="Q334" s="41" t="n"/>
      <c r="R334" s="41" t="n"/>
      <c r="S334" s="61">
        <f>DADOS_AM!$JW$3</f>
        <v/>
      </c>
      <c r="T334" s="19" t="n"/>
      <c r="U334" s="19" t="n"/>
      <c r="V334" s="19" t="n"/>
      <c r="W334" s="19" t="n"/>
      <c r="X334" s="19" t="n"/>
      <c r="Y334" s="19" t="n"/>
      <c r="Z334" s="19" t="n"/>
      <c r="AA334" s="19" t="n"/>
      <c r="AB334" s="19" t="n"/>
      <c r="AC334" s="19" t="n"/>
      <c r="AD334" s="19" t="n"/>
      <c r="AE334" s="20" t="n"/>
      <c r="AF334" s="41" t="n"/>
      <c r="AG334" s="41" t="n"/>
      <c r="AH334" s="61">
        <f>DADOS_AM!$JW$4</f>
        <v/>
      </c>
      <c r="AI334" s="19" t="n"/>
      <c r="AJ334" s="19" t="n"/>
      <c r="AK334" s="19" t="n"/>
      <c r="AL334" s="19" t="n"/>
      <c r="AM334" s="19" t="n"/>
      <c r="AN334" s="19" t="n"/>
      <c r="AO334" s="19" t="n"/>
      <c r="AP334" s="19" t="n"/>
      <c r="AQ334" s="19" t="n"/>
      <c r="AR334" s="19" t="n"/>
      <c r="AS334" s="19" t="n"/>
      <c r="AT334" s="20" t="n"/>
    </row>
    <row r="335" outlineLevel="3">
      <c r="A335" s="8" t="n"/>
      <c r="B335" s="14" t="n"/>
      <c r="C335" s="41" t="n"/>
      <c r="D335" s="21" t="n"/>
      <c r="P335" s="22" t="n"/>
      <c r="Q335" s="41" t="n"/>
      <c r="R335" s="41" t="n"/>
      <c r="S335" s="21" t="n"/>
      <c r="AE335" s="22" t="n"/>
      <c r="AF335" s="41" t="n"/>
      <c r="AG335" s="41" t="n"/>
      <c r="AH335" s="21" t="n"/>
      <c r="AT335" s="22" t="n"/>
    </row>
    <row r="336" outlineLevel="3">
      <c r="A336" s="8" t="n"/>
      <c r="B336" s="14" t="n"/>
      <c r="C336" s="41" t="n"/>
      <c r="D336" s="21" t="n"/>
      <c r="P336" s="22" t="n"/>
      <c r="Q336" s="41" t="n"/>
      <c r="R336" s="41" t="n"/>
      <c r="S336" s="21" t="n"/>
      <c r="AE336" s="22" t="n"/>
      <c r="AF336" s="41" t="n"/>
      <c r="AG336" s="41" t="n"/>
      <c r="AH336" s="21" t="n"/>
      <c r="AT336" s="22" t="n"/>
    </row>
    <row r="337" outlineLevel="3">
      <c r="A337" s="8" t="n"/>
      <c r="B337" s="14" t="n"/>
      <c r="C337" s="41" t="n"/>
      <c r="D337" s="21" t="n"/>
      <c r="P337" s="22" t="n"/>
      <c r="Q337" s="41" t="n"/>
      <c r="R337" s="41" t="n"/>
      <c r="S337" s="21" t="n"/>
      <c r="AE337" s="22" t="n"/>
      <c r="AF337" s="41" t="n"/>
      <c r="AG337" s="41" t="n"/>
      <c r="AH337" s="21" t="n"/>
      <c r="AT337" s="22" t="n"/>
    </row>
    <row r="338" outlineLevel="3">
      <c r="A338" s="8" t="n"/>
      <c r="B338" s="14" t="n"/>
      <c r="C338" s="41" t="n"/>
      <c r="D338" s="21" t="n"/>
      <c r="P338" s="22" t="n"/>
      <c r="Q338" s="41" t="n"/>
      <c r="R338" s="41" t="n"/>
      <c r="S338" s="21" t="n"/>
      <c r="AE338" s="22" t="n"/>
      <c r="AF338" s="41" t="n"/>
      <c r="AG338" s="41" t="n"/>
      <c r="AH338" s="21" t="n"/>
      <c r="AT338" s="22" t="n"/>
    </row>
    <row r="339" outlineLevel="3">
      <c r="A339" s="8" t="n"/>
      <c r="B339" s="14" t="n"/>
      <c r="C339" s="41" t="n"/>
      <c r="D339" s="21" t="n"/>
      <c r="P339" s="22" t="n"/>
      <c r="Q339" s="41" t="n"/>
      <c r="R339" s="41" t="n"/>
      <c r="S339" s="21" t="n"/>
      <c r="AE339" s="22" t="n"/>
      <c r="AF339" s="41" t="n"/>
      <c r="AG339" s="41" t="n"/>
      <c r="AH339" s="21" t="n"/>
      <c r="AT339" s="22" t="n"/>
    </row>
    <row r="340" outlineLevel="3">
      <c r="A340" s="8" t="n"/>
      <c r="B340" s="14" t="n"/>
      <c r="C340" s="41" t="n"/>
      <c r="D340" s="23" t="n"/>
      <c r="E340" s="24" t="n"/>
      <c r="F340" s="24" t="n"/>
      <c r="G340" s="24" t="n"/>
      <c r="H340" s="24" t="n"/>
      <c r="I340" s="24" t="n"/>
      <c r="J340" s="24" t="n"/>
      <c r="K340" s="24" t="n"/>
      <c r="L340" s="24" t="n"/>
      <c r="M340" s="24" t="n"/>
      <c r="N340" s="24" t="n"/>
      <c r="O340" s="24" t="n"/>
      <c r="P340" s="25" t="n"/>
      <c r="Q340" s="41" t="n"/>
      <c r="R340" s="41" t="n"/>
      <c r="S340" s="23" t="n"/>
      <c r="T340" s="24" t="n"/>
      <c r="U340" s="24" t="n"/>
      <c r="V340" s="24" t="n"/>
      <c r="W340" s="24" t="n"/>
      <c r="X340" s="24" t="n"/>
      <c r="Y340" s="24" t="n"/>
      <c r="Z340" s="24" t="n"/>
      <c r="AA340" s="24" t="n"/>
      <c r="AB340" s="24" t="n"/>
      <c r="AC340" s="24" t="n"/>
      <c r="AD340" s="24" t="n"/>
      <c r="AE340" s="25" t="n"/>
      <c r="AF340" s="41" t="n"/>
      <c r="AG340" s="41" t="n"/>
      <c r="AH340" s="23" t="n"/>
      <c r="AI340" s="24" t="n"/>
      <c r="AJ340" s="24" t="n"/>
      <c r="AK340" s="24" t="n"/>
      <c r="AL340" s="24" t="n"/>
      <c r="AM340" s="24" t="n"/>
      <c r="AN340" s="24" t="n"/>
      <c r="AO340" s="24" t="n"/>
      <c r="AP340" s="24" t="n"/>
      <c r="AQ340" s="24" t="n"/>
      <c r="AR340" s="24" t="n"/>
      <c r="AS340" s="24" t="n"/>
      <c r="AT340" s="25" t="n"/>
    </row>
    <row r="341" outlineLevel="2">
      <c r="A341" s="8" t="n"/>
      <c r="B341" s="14"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c r="AE341" s="41" t="n"/>
      <c r="AF341" s="41" t="n"/>
      <c r="AG341" s="41" t="n"/>
      <c r="AH341" s="41" t="n"/>
      <c r="AI341" s="41" t="n"/>
      <c r="AJ341" s="41" t="n"/>
      <c r="AK341" s="41" t="n"/>
      <c r="AL341" s="41" t="n"/>
      <c r="AM341" s="41" t="n"/>
      <c r="AN341" s="41" t="n"/>
      <c r="AO341" s="41" t="n"/>
      <c r="AP341" s="41" t="n"/>
      <c r="AQ341" s="41" t="n"/>
      <c r="AR341" s="41" t="n"/>
      <c r="AS341" s="41" t="n"/>
      <c r="AT341" s="41" t="n"/>
    </row>
    <row r="342" outlineLevel="2">
      <c r="A342" s="8" t="n"/>
      <c r="B342" s="14" t="n"/>
      <c r="C342" s="41" t="n"/>
      <c r="D342" s="132">
        <f>DADOS_AM!$KS$8</f>
        <v/>
      </c>
      <c r="E342" s="17" t="n"/>
      <c r="F342" s="131">
        <f>DADOS_AM!$JZ$2</f>
        <v/>
      </c>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7" t="n"/>
      <c r="AB342" s="133">
        <f>DADOS_AM!$KA$2</f>
        <v/>
      </c>
      <c r="AC342" s="16" t="n"/>
      <c r="AD342" s="16" t="n"/>
      <c r="AE342" s="17" t="n"/>
      <c r="AF342" s="133">
        <f>DADOS_AM!$KB$2</f>
        <v/>
      </c>
      <c r="AG342" s="16" t="n"/>
      <c r="AH342" s="16" t="n"/>
      <c r="AI342" s="16" t="n"/>
      <c r="AJ342" s="16" t="n"/>
      <c r="AK342" s="17" t="n"/>
      <c r="AL342" s="133">
        <f>DADOS_AM!$KC$2</f>
        <v/>
      </c>
      <c r="AM342" s="16" t="n"/>
      <c r="AN342" s="16" t="n"/>
      <c r="AO342" s="16" t="n"/>
      <c r="AP342" s="16" t="n"/>
      <c r="AQ342" s="16" t="n"/>
      <c r="AR342" s="16" t="n"/>
      <c r="AS342" s="16" t="n"/>
      <c r="AT342" s="17" t="n"/>
    </row>
    <row r="343" hidden="1" outlineLevel="3">
      <c r="A343" s="8" t="n"/>
      <c r="B343" s="14" t="n"/>
      <c r="C343" s="41" t="n"/>
      <c r="D343" s="61">
        <f>DADOS_AM!$KD$2</f>
        <v/>
      </c>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20" t="n"/>
    </row>
    <row r="344" hidden="1" outlineLevel="3">
      <c r="A344" s="8" t="n"/>
      <c r="B344" s="14" t="n"/>
      <c r="C344" s="41" t="n"/>
      <c r="D344" s="21" t="n"/>
      <c r="AT344" s="22" t="n"/>
    </row>
    <row r="345" hidden="1" outlineLevel="3">
      <c r="A345" s="8" t="n"/>
      <c r="B345" s="14" t="n"/>
      <c r="C345" s="41" t="n"/>
      <c r="D345" s="21" t="n"/>
      <c r="AT345" s="22" t="n"/>
    </row>
    <row r="346" hidden="1" outlineLevel="3">
      <c r="A346" s="8" t="n"/>
      <c r="B346" s="14" t="n"/>
      <c r="C346" s="41" t="n"/>
      <c r="D346" s="21" t="n"/>
      <c r="AT346" s="22" t="n"/>
    </row>
    <row r="347" hidden="1" outlineLevel="3">
      <c r="A347" s="8" t="n"/>
      <c r="B347" s="14" t="n"/>
      <c r="C347" s="41" t="n"/>
      <c r="D347" s="23"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4" t="n"/>
      <c r="AK347" s="24" t="n"/>
      <c r="AL347" s="24" t="n"/>
      <c r="AM347" s="24" t="n"/>
      <c r="AN347" s="24" t="n"/>
      <c r="AO347" s="24" t="n"/>
      <c r="AP347" s="24" t="n"/>
      <c r="AQ347" s="24" t="n"/>
      <c r="AR347" s="24" t="n"/>
      <c r="AS347" s="24" t="n"/>
      <c r="AT347" s="25" t="n"/>
    </row>
    <row r="348" outlineLevel="2">
      <c r="A348" s="8" t="n"/>
      <c r="B348" s="14"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1" t="n"/>
      <c r="AD348" s="41" t="n"/>
      <c r="AE348" s="41" t="n"/>
      <c r="AF348" s="41" t="n"/>
      <c r="AG348" s="41" t="n"/>
      <c r="AH348" s="41" t="n"/>
      <c r="AI348" s="41" t="n"/>
      <c r="AJ348" s="41" t="n"/>
      <c r="AK348" s="41" t="n"/>
      <c r="AL348" s="41" t="n"/>
      <c r="AM348" s="41" t="n"/>
      <c r="AN348" s="41" t="n"/>
      <c r="AO348" s="41" t="n"/>
      <c r="AP348" s="41" t="n"/>
      <c r="AQ348" s="41" t="n"/>
      <c r="AR348" s="41" t="n"/>
      <c r="AS348" s="41" t="n"/>
      <c r="AT348" s="41" t="n"/>
    </row>
    <row r="349" outlineLevel="2">
      <c r="A349" s="8" t="n"/>
      <c r="B349" s="14" t="n"/>
      <c r="C349" s="41" t="n"/>
      <c r="D349" s="132">
        <f>DADOS_AM!$KS$9</f>
        <v/>
      </c>
      <c r="E349" s="17" t="n"/>
      <c r="F349" s="131">
        <f>DADOS_AM!$JZ$3</f>
        <v/>
      </c>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7" t="n"/>
      <c r="AB349" s="133">
        <f>DADOS_AM!$KA$3</f>
        <v/>
      </c>
      <c r="AC349" s="16" t="n"/>
      <c r="AD349" s="16" t="n"/>
      <c r="AE349" s="17" t="n"/>
      <c r="AF349" s="133">
        <f>DADOS_AM!$KB$3</f>
        <v/>
      </c>
      <c r="AG349" s="16" t="n"/>
      <c r="AH349" s="16" t="n"/>
      <c r="AI349" s="16" t="n"/>
      <c r="AJ349" s="16" t="n"/>
      <c r="AK349" s="17" t="n"/>
      <c r="AL349" s="133">
        <f>DADOS_AM!$KC$3</f>
        <v/>
      </c>
      <c r="AM349" s="16" t="n"/>
      <c r="AN349" s="16" t="n"/>
      <c r="AO349" s="16" t="n"/>
      <c r="AP349" s="16" t="n"/>
      <c r="AQ349" s="16" t="n"/>
      <c r="AR349" s="16" t="n"/>
      <c r="AS349" s="16" t="n"/>
      <c r="AT349" s="17" t="n"/>
    </row>
    <row r="350" hidden="1" outlineLevel="3">
      <c r="A350" s="8" t="n"/>
      <c r="B350" s="14" t="n"/>
      <c r="C350" s="41" t="n"/>
      <c r="D350" s="61">
        <f>DADOS_AM!$KD$3</f>
        <v/>
      </c>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20" t="n"/>
    </row>
    <row r="351" hidden="1" outlineLevel="3">
      <c r="A351" s="8" t="n"/>
      <c r="B351" s="14" t="n"/>
      <c r="C351" s="41" t="n"/>
      <c r="D351" s="21" t="n"/>
      <c r="AT351" s="22" t="n"/>
    </row>
    <row r="352" hidden="1" outlineLevel="3">
      <c r="A352" s="8" t="n"/>
      <c r="B352" s="14" t="n"/>
      <c r="C352" s="41" t="n"/>
      <c r="D352" s="21" t="n"/>
      <c r="AT352" s="22" t="n"/>
    </row>
    <row r="353" hidden="1" outlineLevel="3">
      <c r="A353" s="8" t="n"/>
      <c r="B353" s="14" t="n"/>
      <c r="C353" s="41" t="n"/>
      <c r="D353" s="21" t="n"/>
      <c r="AT353" s="22" t="n"/>
    </row>
    <row r="354" hidden="1" outlineLevel="3">
      <c r="A354" s="8" t="n"/>
      <c r="B354" s="14" t="n"/>
      <c r="C354" s="41" t="n"/>
      <c r="D354" s="23"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4" t="n"/>
      <c r="AK354" s="24" t="n"/>
      <c r="AL354" s="24" t="n"/>
      <c r="AM354" s="24" t="n"/>
      <c r="AN354" s="24" t="n"/>
      <c r="AO354" s="24" t="n"/>
      <c r="AP354" s="24" t="n"/>
      <c r="AQ354" s="24" t="n"/>
      <c r="AR354" s="24" t="n"/>
      <c r="AS354" s="24" t="n"/>
      <c r="AT354" s="25" t="n"/>
    </row>
    <row r="355" outlineLevel="2">
      <c r="A355" s="8" t="n"/>
      <c r="B355" s="14"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c r="AE355" s="41" t="n"/>
      <c r="AF355" s="41" t="n"/>
      <c r="AG355" s="41" t="n"/>
      <c r="AH355" s="41" t="n"/>
      <c r="AI355" s="41" t="n"/>
      <c r="AJ355" s="41" t="n"/>
      <c r="AK355" s="41" t="n"/>
      <c r="AL355" s="41" t="n"/>
      <c r="AM355" s="41" t="n"/>
      <c r="AN355" s="41" t="n"/>
      <c r="AO355" s="41" t="n"/>
      <c r="AP355" s="41" t="n"/>
      <c r="AQ355" s="41" t="n"/>
      <c r="AR355" s="41" t="n"/>
      <c r="AS355" s="41" t="n"/>
      <c r="AT355" s="41" t="n"/>
    </row>
    <row r="356" outlineLevel="1">
      <c r="A356" s="8" t="n"/>
      <c r="B356" s="14" t="n"/>
      <c r="C356" s="41" t="n"/>
      <c r="D356" s="129">
        <f>DADOS_AM!$KS$5</f>
        <v/>
      </c>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c r="AI356" s="16" t="n"/>
      <c r="AJ356" s="16" t="n"/>
      <c r="AK356" s="16" t="n"/>
      <c r="AL356" s="16" t="n"/>
      <c r="AM356" s="16" t="n"/>
      <c r="AN356" s="16" t="n"/>
      <c r="AO356" s="16" t="n"/>
      <c r="AP356" s="16" t="n"/>
      <c r="AQ356" s="16" t="n"/>
      <c r="AR356" s="16" t="n"/>
      <c r="AS356" s="16" t="n"/>
      <c r="AT356" s="17" t="n"/>
    </row>
    <row r="357" outlineLevel="3">
      <c r="A357" s="8" t="n"/>
      <c r="B357" s="14" t="n"/>
      <c r="C357" s="41" t="n"/>
      <c r="D357" s="132">
        <f>DADOS_AM!$KH$2</f>
        <v/>
      </c>
      <c r="E357" s="17" t="n"/>
      <c r="F357" s="131">
        <f>DADOS_AM!$KI$2</f>
        <v/>
      </c>
      <c r="G357" s="16" t="n"/>
      <c r="H357" s="16" t="n"/>
      <c r="I357" s="16" t="n"/>
      <c r="J357" s="16" t="n"/>
      <c r="K357" s="16" t="n"/>
      <c r="L357" s="16" t="n"/>
      <c r="M357" s="16" t="n"/>
      <c r="N357" s="16" t="n"/>
      <c r="O357" s="16" t="n"/>
      <c r="P357" s="17" t="n"/>
      <c r="Q357" s="41" t="n"/>
      <c r="R357" s="41" t="n"/>
      <c r="S357" s="132">
        <f>DADOS_AM!$KH$3</f>
        <v/>
      </c>
      <c r="T357" s="17" t="n"/>
      <c r="U357" s="131">
        <f>DADOS_AM!$KI$3</f>
        <v/>
      </c>
      <c r="V357" s="16" t="n"/>
      <c r="W357" s="16" t="n"/>
      <c r="X357" s="16" t="n"/>
      <c r="Y357" s="16" t="n"/>
      <c r="Z357" s="16" t="n"/>
      <c r="AA357" s="16" t="n"/>
      <c r="AB357" s="16" t="n"/>
      <c r="AC357" s="16" t="n"/>
      <c r="AD357" s="16" t="n"/>
      <c r="AE357" s="17" t="n"/>
      <c r="AF357" s="41" t="n"/>
      <c r="AG357" s="41" t="n"/>
      <c r="AH357" s="132">
        <f>DADOS_AM!$KH$4</f>
        <v/>
      </c>
      <c r="AI357" s="17" t="n"/>
      <c r="AJ357" s="131">
        <f>DADOS_AM!$KI$4</f>
        <v/>
      </c>
      <c r="AK357" s="16" t="n"/>
      <c r="AL357" s="16" t="n"/>
      <c r="AM357" s="16" t="n"/>
      <c r="AN357" s="16" t="n"/>
      <c r="AO357" s="16" t="n"/>
      <c r="AP357" s="16" t="n"/>
      <c r="AQ357" s="16" t="n"/>
      <c r="AR357" s="16" t="n"/>
      <c r="AS357" s="16" t="n"/>
      <c r="AT357" s="17" t="n"/>
    </row>
    <row r="358" outlineLevel="4">
      <c r="A358" s="8" t="n"/>
      <c r="B358" s="14" t="n"/>
      <c r="C358" s="41" t="n"/>
      <c r="D358" s="61">
        <f>DADOS_AM!$KJ$2</f>
        <v/>
      </c>
      <c r="E358" s="19" t="n"/>
      <c r="F358" s="19" t="n"/>
      <c r="G358" s="19" t="n"/>
      <c r="H358" s="19" t="n"/>
      <c r="I358" s="19" t="n"/>
      <c r="J358" s="19" t="n"/>
      <c r="K358" s="19" t="n"/>
      <c r="L358" s="19" t="n"/>
      <c r="M358" s="19" t="n"/>
      <c r="N358" s="19" t="n"/>
      <c r="O358" s="19" t="n"/>
      <c r="P358" s="20" t="n"/>
      <c r="Q358" s="41" t="n"/>
      <c r="R358" s="41" t="n"/>
      <c r="S358" s="61">
        <f>DADOS_AM!$KJ$3</f>
        <v/>
      </c>
      <c r="T358" s="19" t="n"/>
      <c r="U358" s="19" t="n"/>
      <c r="V358" s="19" t="n"/>
      <c r="W358" s="19" t="n"/>
      <c r="X358" s="19" t="n"/>
      <c r="Y358" s="19" t="n"/>
      <c r="Z358" s="19" t="n"/>
      <c r="AA358" s="19" t="n"/>
      <c r="AB358" s="19" t="n"/>
      <c r="AC358" s="19" t="n"/>
      <c r="AD358" s="19" t="n"/>
      <c r="AE358" s="20" t="n"/>
      <c r="AF358" s="41" t="n"/>
      <c r="AG358" s="41" t="n"/>
      <c r="AH358" s="61">
        <f>DADOS_AM!$KJ$4</f>
        <v/>
      </c>
      <c r="AI358" s="19" t="n"/>
      <c r="AJ358" s="19" t="n"/>
      <c r="AK358" s="19" t="n"/>
      <c r="AL358" s="19" t="n"/>
      <c r="AM358" s="19" t="n"/>
      <c r="AN358" s="19" t="n"/>
      <c r="AO358" s="19" t="n"/>
      <c r="AP358" s="19" t="n"/>
      <c r="AQ358" s="19" t="n"/>
      <c r="AR358" s="19" t="n"/>
      <c r="AS358" s="19" t="n"/>
      <c r="AT358" s="20" t="n"/>
    </row>
    <row r="359" outlineLevel="4">
      <c r="A359" s="8" t="n"/>
      <c r="B359" s="14" t="n"/>
      <c r="C359" s="41" t="n"/>
      <c r="D359" s="21" t="n"/>
      <c r="P359" s="22" t="n"/>
      <c r="Q359" s="41" t="n"/>
      <c r="R359" s="41" t="n"/>
      <c r="S359" s="21" t="n"/>
      <c r="AE359" s="22" t="n"/>
      <c r="AF359" s="41" t="n"/>
      <c r="AG359" s="41" t="n"/>
      <c r="AH359" s="21" t="n"/>
      <c r="AT359" s="22" t="n"/>
    </row>
    <row r="360" outlineLevel="4">
      <c r="A360" s="8" t="n"/>
      <c r="B360" s="14" t="n"/>
      <c r="C360" s="41" t="n"/>
      <c r="D360" s="21" t="n"/>
      <c r="P360" s="22" t="n"/>
      <c r="Q360" s="41" t="n"/>
      <c r="R360" s="41" t="n"/>
      <c r="S360" s="21" t="n"/>
      <c r="AE360" s="22" t="n"/>
      <c r="AF360" s="41" t="n"/>
      <c r="AG360" s="41" t="n"/>
      <c r="AH360" s="21" t="n"/>
      <c r="AT360" s="22" t="n"/>
    </row>
    <row r="361" outlineLevel="4">
      <c r="A361" s="8" t="n"/>
      <c r="B361" s="14" t="n"/>
      <c r="C361" s="41" t="n"/>
      <c r="D361" s="21" t="n"/>
      <c r="P361" s="22" t="n"/>
      <c r="Q361" s="41" t="n"/>
      <c r="R361" s="41" t="n"/>
      <c r="S361" s="21" t="n"/>
      <c r="AE361" s="22" t="n"/>
      <c r="AF361" s="41" t="n"/>
      <c r="AG361" s="41" t="n"/>
      <c r="AH361" s="21" t="n"/>
      <c r="AT361" s="22" t="n"/>
    </row>
    <row r="362" outlineLevel="4">
      <c r="A362" s="8" t="n"/>
      <c r="B362" s="14" t="n"/>
      <c r="C362" s="41" t="n"/>
      <c r="D362" s="23" t="n"/>
      <c r="E362" s="24" t="n"/>
      <c r="F362" s="24" t="n"/>
      <c r="G362" s="24" t="n"/>
      <c r="H362" s="24" t="n"/>
      <c r="I362" s="24" t="n"/>
      <c r="J362" s="24" t="n"/>
      <c r="K362" s="24" t="n"/>
      <c r="L362" s="24" t="n"/>
      <c r="M362" s="24" t="n"/>
      <c r="N362" s="24" t="n"/>
      <c r="O362" s="24" t="n"/>
      <c r="P362" s="25" t="n"/>
      <c r="Q362" s="41" t="n"/>
      <c r="R362" s="41" t="n"/>
      <c r="S362" s="23" t="n"/>
      <c r="T362" s="24" t="n"/>
      <c r="U362" s="24" t="n"/>
      <c r="V362" s="24" t="n"/>
      <c r="W362" s="24" t="n"/>
      <c r="X362" s="24" t="n"/>
      <c r="Y362" s="24" t="n"/>
      <c r="Z362" s="24" t="n"/>
      <c r="AA362" s="24" t="n"/>
      <c r="AB362" s="24" t="n"/>
      <c r="AC362" s="24" t="n"/>
      <c r="AD362" s="24" t="n"/>
      <c r="AE362" s="25" t="n"/>
      <c r="AF362" s="41" t="n"/>
      <c r="AG362" s="41" t="n"/>
      <c r="AH362" s="23" t="n"/>
      <c r="AI362" s="24" t="n"/>
      <c r="AJ362" s="24" t="n"/>
      <c r="AK362" s="24" t="n"/>
      <c r="AL362" s="24" t="n"/>
      <c r="AM362" s="24" t="n"/>
      <c r="AN362" s="24" t="n"/>
      <c r="AO362" s="24" t="n"/>
      <c r="AP362" s="24" t="n"/>
      <c r="AQ362" s="24" t="n"/>
      <c r="AR362" s="24" t="n"/>
      <c r="AS362" s="24" t="n"/>
      <c r="AT362" s="25" t="n"/>
    </row>
    <row r="363" outlineLevel="3">
      <c r="A363" s="8" t="n"/>
      <c r="B363" s="14"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c r="AE363" s="41" t="n"/>
      <c r="AF363" s="41" t="n"/>
      <c r="AG363" s="41" t="n"/>
      <c r="AH363" s="41" t="n"/>
      <c r="AI363" s="41" t="n"/>
      <c r="AJ363" s="41" t="n"/>
      <c r="AK363" s="41" t="n"/>
      <c r="AL363" s="41" t="n"/>
      <c r="AM363" s="41" t="n"/>
      <c r="AN363" s="41" t="n"/>
      <c r="AO363" s="41" t="n"/>
      <c r="AP363" s="41" t="n"/>
      <c r="AQ363" s="41" t="n"/>
      <c r="AR363" s="41" t="n"/>
      <c r="AS363" s="41" t="n"/>
      <c r="AT363" s="41" t="n"/>
    </row>
    <row r="364" outlineLevel="3">
      <c r="A364" s="8" t="n"/>
      <c r="B364" s="14" t="n"/>
      <c r="C364" s="41" t="n"/>
      <c r="D364" s="132">
        <f>DADOS_AM!$KH$5</f>
        <v/>
      </c>
      <c r="E364" s="17" t="n"/>
      <c r="F364" s="131">
        <f>DADOS_AM!$KI$5</f>
        <v/>
      </c>
      <c r="G364" s="16" t="n"/>
      <c r="H364" s="16" t="n"/>
      <c r="I364" s="16" t="n"/>
      <c r="J364" s="16" t="n"/>
      <c r="K364" s="16" t="n"/>
      <c r="L364" s="16" t="n"/>
      <c r="M364" s="16" t="n"/>
      <c r="N364" s="16" t="n"/>
      <c r="O364" s="16" t="n"/>
      <c r="P364" s="17" t="n"/>
      <c r="Q364" s="41" t="n"/>
      <c r="R364" s="41" t="n"/>
      <c r="S364" s="132">
        <f>DADOS_AM!$KH$6</f>
        <v/>
      </c>
      <c r="T364" s="17" t="n"/>
      <c r="U364" s="131">
        <f>DADOS_AM!$KI$6</f>
        <v/>
      </c>
      <c r="V364" s="16" t="n"/>
      <c r="W364" s="16" t="n"/>
      <c r="X364" s="16" t="n"/>
      <c r="Y364" s="16" t="n"/>
      <c r="Z364" s="16" t="n"/>
      <c r="AA364" s="16" t="n"/>
      <c r="AB364" s="16" t="n"/>
      <c r="AC364" s="16" t="n"/>
      <c r="AD364" s="16" t="n"/>
      <c r="AE364" s="17" t="n"/>
      <c r="AF364" s="41" t="n"/>
      <c r="AG364" s="41" t="n"/>
      <c r="AH364" s="132">
        <f>DADOS_AM!$KH$7</f>
        <v/>
      </c>
      <c r="AI364" s="17" t="n"/>
      <c r="AJ364" s="131">
        <f>DADOS_AM!$KI$7</f>
        <v/>
      </c>
      <c r="AK364" s="16" t="n"/>
      <c r="AL364" s="16" t="n"/>
      <c r="AM364" s="16" t="n"/>
      <c r="AN364" s="16" t="n"/>
      <c r="AO364" s="16" t="n"/>
      <c r="AP364" s="16" t="n"/>
      <c r="AQ364" s="16" t="n"/>
      <c r="AR364" s="16" t="n"/>
      <c r="AS364" s="16" t="n"/>
      <c r="AT364" s="17" t="n"/>
    </row>
    <row r="365" hidden="1" outlineLevel="4">
      <c r="A365" s="8" t="n"/>
      <c r="B365" s="14" t="n"/>
      <c r="C365" s="41" t="n"/>
      <c r="D365" s="61">
        <f>DADOS_AM!$KJ$5</f>
        <v/>
      </c>
      <c r="E365" s="19" t="n"/>
      <c r="F365" s="19" t="n"/>
      <c r="G365" s="19" t="n"/>
      <c r="H365" s="19" t="n"/>
      <c r="I365" s="19" t="n"/>
      <c r="J365" s="19" t="n"/>
      <c r="K365" s="19" t="n"/>
      <c r="L365" s="19" t="n"/>
      <c r="M365" s="19" t="n"/>
      <c r="N365" s="19" t="n"/>
      <c r="O365" s="19" t="n"/>
      <c r="P365" s="20" t="n"/>
      <c r="Q365" s="41" t="n"/>
      <c r="R365" s="41" t="n"/>
      <c r="S365" s="61">
        <f>DADOS_AM!$KJ$6</f>
        <v/>
      </c>
      <c r="T365" s="19" t="n"/>
      <c r="U365" s="19" t="n"/>
      <c r="V365" s="19" t="n"/>
      <c r="W365" s="19" t="n"/>
      <c r="X365" s="19" t="n"/>
      <c r="Y365" s="19" t="n"/>
      <c r="Z365" s="19" t="n"/>
      <c r="AA365" s="19" t="n"/>
      <c r="AB365" s="19" t="n"/>
      <c r="AC365" s="19" t="n"/>
      <c r="AD365" s="19" t="n"/>
      <c r="AE365" s="20" t="n"/>
      <c r="AF365" s="41" t="n"/>
      <c r="AG365" s="41" t="n"/>
      <c r="AH365" s="61">
        <f>DADOS_AM!$KJ$7</f>
        <v/>
      </c>
      <c r="AI365" s="19" t="n"/>
      <c r="AJ365" s="19" t="n"/>
      <c r="AK365" s="19" t="n"/>
      <c r="AL365" s="19" t="n"/>
      <c r="AM365" s="19" t="n"/>
      <c r="AN365" s="19" t="n"/>
      <c r="AO365" s="19" t="n"/>
      <c r="AP365" s="19" t="n"/>
      <c r="AQ365" s="19" t="n"/>
      <c r="AR365" s="19" t="n"/>
      <c r="AS365" s="19" t="n"/>
      <c r="AT365" s="20" t="n"/>
    </row>
    <row r="366" hidden="1" outlineLevel="4">
      <c r="A366" s="8" t="n"/>
      <c r="B366" s="14" t="n"/>
      <c r="C366" s="41" t="n"/>
      <c r="D366" s="21" t="n"/>
      <c r="P366" s="22" t="n"/>
      <c r="Q366" s="41" t="n"/>
      <c r="R366" s="41" t="n"/>
      <c r="S366" s="21" t="n"/>
      <c r="AE366" s="22" t="n"/>
      <c r="AF366" s="41" t="n"/>
      <c r="AG366" s="41" t="n"/>
      <c r="AH366" s="21" t="n"/>
      <c r="AT366" s="22" t="n"/>
    </row>
    <row r="367" hidden="1" outlineLevel="4">
      <c r="A367" s="8" t="n"/>
      <c r="B367" s="14" t="n"/>
      <c r="C367" s="41" t="n"/>
      <c r="D367" s="21" t="n"/>
      <c r="P367" s="22" t="n"/>
      <c r="Q367" s="41" t="n"/>
      <c r="R367" s="41" t="n"/>
      <c r="S367" s="21" t="n"/>
      <c r="AE367" s="22" t="n"/>
      <c r="AF367" s="41" t="n"/>
      <c r="AG367" s="41" t="n"/>
      <c r="AH367" s="21" t="n"/>
      <c r="AT367" s="22" t="n"/>
    </row>
    <row r="368" hidden="1" outlineLevel="4">
      <c r="A368" s="8" t="n"/>
      <c r="B368" s="14" t="n"/>
      <c r="C368" s="41" t="n"/>
      <c r="D368" s="21" t="n"/>
      <c r="P368" s="22" t="n"/>
      <c r="Q368" s="41" t="n"/>
      <c r="R368" s="41" t="n"/>
      <c r="S368" s="21" t="n"/>
      <c r="AE368" s="22" t="n"/>
      <c r="AF368" s="41" t="n"/>
      <c r="AG368" s="41" t="n"/>
      <c r="AH368" s="21" t="n"/>
      <c r="AT368" s="22" t="n"/>
    </row>
    <row r="369" hidden="1" outlineLevel="4">
      <c r="A369" s="8" t="n"/>
      <c r="B369" s="14" t="n"/>
      <c r="C369" s="41" t="n"/>
      <c r="D369" s="23" t="n"/>
      <c r="E369" s="24" t="n"/>
      <c r="F369" s="24" t="n"/>
      <c r="G369" s="24" t="n"/>
      <c r="H369" s="24" t="n"/>
      <c r="I369" s="24" t="n"/>
      <c r="J369" s="24" t="n"/>
      <c r="K369" s="24" t="n"/>
      <c r="L369" s="24" t="n"/>
      <c r="M369" s="24" t="n"/>
      <c r="N369" s="24" t="n"/>
      <c r="O369" s="24" t="n"/>
      <c r="P369" s="25" t="n"/>
      <c r="Q369" s="41" t="n"/>
      <c r="R369" s="41" t="n"/>
      <c r="S369" s="23" t="n"/>
      <c r="T369" s="24" t="n"/>
      <c r="U369" s="24" t="n"/>
      <c r="V369" s="24" t="n"/>
      <c r="W369" s="24" t="n"/>
      <c r="X369" s="24" t="n"/>
      <c r="Y369" s="24" t="n"/>
      <c r="Z369" s="24" t="n"/>
      <c r="AA369" s="24" t="n"/>
      <c r="AB369" s="24" t="n"/>
      <c r="AC369" s="24" t="n"/>
      <c r="AD369" s="24" t="n"/>
      <c r="AE369" s="25" t="n"/>
      <c r="AF369" s="41" t="n"/>
      <c r="AG369" s="41" t="n"/>
      <c r="AH369" s="23" t="n"/>
      <c r="AI369" s="24" t="n"/>
      <c r="AJ369" s="24" t="n"/>
      <c r="AK369" s="24" t="n"/>
      <c r="AL369" s="24" t="n"/>
      <c r="AM369" s="24" t="n"/>
      <c r="AN369" s="24" t="n"/>
      <c r="AO369" s="24" t="n"/>
      <c r="AP369" s="24" t="n"/>
      <c r="AQ369" s="24" t="n"/>
      <c r="AR369" s="24" t="n"/>
      <c r="AS369" s="24" t="n"/>
      <c r="AT369" s="25" t="n"/>
    </row>
    <row r="370" outlineLevel="2">
      <c r="A370" s="8" t="n"/>
      <c r="B370" s="14" t="n"/>
      <c r="C370" s="41" t="n"/>
      <c r="D370" s="134">
        <f>DADOS_AM!$KS$15</f>
        <v/>
      </c>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c r="AI370" s="16" t="n"/>
      <c r="AJ370" s="16" t="n"/>
      <c r="AK370" s="16" t="n"/>
      <c r="AL370" s="16" t="n"/>
      <c r="AM370" s="16" t="n"/>
      <c r="AN370" s="16" t="n"/>
      <c r="AO370" s="16" t="n"/>
      <c r="AP370" s="16" t="n"/>
      <c r="AQ370" s="16" t="n"/>
      <c r="AR370" s="16" t="n"/>
      <c r="AS370" s="16" t="n"/>
      <c r="AT370" s="17" t="n"/>
    </row>
    <row r="371" hidden="1" outlineLevel="3">
      <c r="A371" s="8" t="n"/>
      <c r="B371" s="14" t="n"/>
      <c r="C371" s="41" t="n"/>
      <c r="D371" s="132">
        <f>DADOS_AM!$KH$8</f>
        <v/>
      </c>
      <c r="E371" s="17" t="n"/>
      <c r="F371" s="131">
        <f>DADOS_AM!$KI$8</f>
        <v/>
      </c>
      <c r="G371" s="16" t="n"/>
      <c r="H371" s="16" t="n"/>
      <c r="I371" s="16" t="n"/>
      <c r="J371" s="16" t="n"/>
      <c r="K371" s="16" t="n"/>
      <c r="L371" s="16" t="n"/>
      <c r="M371" s="16" t="n"/>
      <c r="N371" s="16" t="n"/>
      <c r="O371" s="16" t="n"/>
      <c r="P371" s="17" t="n"/>
      <c r="Q371" s="41" t="n"/>
      <c r="R371" s="41" t="n"/>
      <c r="S371" s="132">
        <f>DADOS_AM!$KH$9</f>
        <v/>
      </c>
      <c r="T371" s="17" t="n"/>
      <c r="U371" s="131">
        <f>DADOS_AM!$KI$9</f>
        <v/>
      </c>
      <c r="V371" s="16" t="n"/>
      <c r="W371" s="16" t="n"/>
      <c r="X371" s="16" t="n"/>
      <c r="Y371" s="16" t="n"/>
      <c r="Z371" s="16" t="n"/>
      <c r="AA371" s="16" t="n"/>
      <c r="AB371" s="16" t="n"/>
      <c r="AC371" s="16" t="n"/>
      <c r="AD371" s="16" t="n"/>
      <c r="AE371" s="17" t="n"/>
      <c r="AF371" s="41" t="n"/>
      <c r="AG371" s="41" t="n"/>
      <c r="AH371" s="132">
        <f>DADOS_AM!$KH$10</f>
        <v/>
      </c>
      <c r="AI371" s="17" t="n"/>
      <c r="AJ371" s="131">
        <f>DADOS_AM!$KI$10</f>
        <v/>
      </c>
      <c r="AK371" s="16" t="n"/>
      <c r="AL371" s="16" t="n"/>
      <c r="AM371" s="16" t="n"/>
      <c r="AN371" s="16" t="n"/>
      <c r="AO371" s="16" t="n"/>
      <c r="AP371" s="16" t="n"/>
      <c r="AQ371" s="16" t="n"/>
      <c r="AR371" s="16" t="n"/>
      <c r="AS371" s="16" t="n"/>
      <c r="AT371" s="17" t="n"/>
    </row>
    <row r="372" hidden="1" outlineLevel="4">
      <c r="A372" s="8" t="n"/>
      <c r="B372" s="14" t="n"/>
      <c r="C372" s="41" t="n"/>
      <c r="D372" s="61">
        <f>DADOS_AM!$KJ$8</f>
        <v/>
      </c>
      <c r="E372" s="19" t="n"/>
      <c r="F372" s="19" t="n"/>
      <c r="G372" s="19" t="n"/>
      <c r="H372" s="19" t="n"/>
      <c r="I372" s="19" t="n"/>
      <c r="J372" s="19" t="n"/>
      <c r="K372" s="19" t="n"/>
      <c r="L372" s="19" t="n"/>
      <c r="M372" s="19" t="n"/>
      <c r="N372" s="19" t="n"/>
      <c r="O372" s="19" t="n"/>
      <c r="P372" s="20" t="n"/>
      <c r="Q372" s="41" t="n"/>
      <c r="R372" s="41" t="n"/>
      <c r="S372" s="61">
        <f>DADOS_AM!$KJ$9</f>
        <v/>
      </c>
      <c r="T372" s="19" t="n"/>
      <c r="U372" s="19" t="n"/>
      <c r="V372" s="19" t="n"/>
      <c r="W372" s="19" t="n"/>
      <c r="X372" s="19" t="n"/>
      <c r="Y372" s="19" t="n"/>
      <c r="Z372" s="19" t="n"/>
      <c r="AA372" s="19" t="n"/>
      <c r="AB372" s="19" t="n"/>
      <c r="AC372" s="19" t="n"/>
      <c r="AD372" s="19" t="n"/>
      <c r="AE372" s="20" t="n"/>
      <c r="AF372" s="41" t="n"/>
      <c r="AG372" s="41" t="n"/>
      <c r="AH372" s="61">
        <f>DADOS_AM!$KJ$10</f>
        <v/>
      </c>
      <c r="AI372" s="19" t="n"/>
      <c r="AJ372" s="19" t="n"/>
      <c r="AK372" s="19" t="n"/>
      <c r="AL372" s="19" t="n"/>
      <c r="AM372" s="19" t="n"/>
      <c r="AN372" s="19" t="n"/>
      <c r="AO372" s="19" t="n"/>
      <c r="AP372" s="19" t="n"/>
      <c r="AQ372" s="19" t="n"/>
      <c r="AR372" s="19" t="n"/>
      <c r="AS372" s="19" t="n"/>
      <c r="AT372" s="20" t="n"/>
    </row>
    <row r="373" hidden="1" outlineLevel="4">
      <c r="A373" s="8" t="n"/>
      <c r="B373" s="14" t="n"/>
      <c r="C373" s="41" t="n"/>
      <c r="D373" s="21" t="n"/>
      <c r="P373" s="22" t="n"/>
      <c r="Q373" s="41" t="n"/>
      <c r="R373" s="41" t="n"/>
      <c r="S373" s="21" t="n"/>
      <c r="AE373" s="22" t="n"/>
      <c r="AF373" s="41" t="n"/>
      <c r="AG373" s="41" t="n"/>
      <c r="AH373" s="21" t="n"/>
      <c r="AT373" s="22" t="n"/>
    </row>
    <row r="374" hidden="1" outlineLevel="4">
      <c r="A374" s="8" t="n"/>
      <c r="B374" s="14" t="n"/>
      <c r="C374" s="41" t="n"/>
      <c r="D374" s="21" t="n"/>
      <c r="P374" s="22" t="n"/>
      <c r="Q374" s="41" t="n"/>
      <c r="R374" s="41" t="n"/>
      <c r="S374" s="21" t="n"/>
      <c r="AE374" s="22" t="n"/>
      <c r="AF374" s="41" t="n"/>
      <c r="AG374" s="41" t="n"/>
      <c r="AH374" s="21" t="n"/>
      <c r="AT374" s="22" t="n"/>
    </row>
    <row r="375" hidden="1" outlineLevel="4">
      <c r="A375" s="8" t="n"/>
      <c r="B375" s="14" t="n"/>
      <c r="C375" s="41" t="n"/>
      <c r="D375" s="21" t="n"/>
      <c r="P375" s="22" t="n"/>
      <c r="Q375" s="41" t="n"/>
      <c r="R375" s="41" t="n"/>
      <c r="S375" s="21" t="n"/>
      <c r="AE375" s="22" t="n"/>
      <c r="AF375" s="41" t="n"/>
      <c r="AG375" s="41" t="n"/>
      <c r="AH375" s="21" t="n"/>
      <c r="AT375" s="22" t="n"/>
    </row>
    <row r="376" hidden="1" outlineLevel="4">
      <c r="A376" s="8" t="n"/>
      <c r="B376" s="14" t="n"/>
      <c r="C376" s="41" t="n"/>
      <c r="D376" s="23" t="n"/>
      <c r="E376" s="24" t="n"/>
      <c r="F376" s="24" t="n"/>
      <c r="G376" s="24" t="n"/>
      <c r="H376" s="24" t="n"/>
      <c r="I376" s="24" t="n"/>
      <c r="J376" s="24" t="n"/>
      <c r="K376" s="24" t="n"/>
      <c r="L376" s="24" t="n"/>
      <c r="M376" s="24" t="n"/>
      <c r="N376" s="24" t="n"/>
      <c r="O376" s="24" t="n"/>
      <c r="P376" s="25" t="n"/>
      <c r="Q376" s="41" t="n"/>
      <c r="R376" s="41" t="n"/>
      <c r="S376" s="23" t="n"/>
      <c r="T376" s="24" t="n"/>
      <c r="U376" s="24" t="n"/>
      <c r="V376" s="24" t="n"/>
      <c r="W376" s="24" t="n"/>
      <c r="X376" s="24" t="n"/>
      <c r="Y376" s="24" t="n"/>
      <c r="Z376" s="24" t="n"/>
      <c r="AA376" s="24" t="n"/>
      <c r="AB376" s="24" t="n"/>
      <c r="AC376" s="24" t="n"/>
      <c r="AD376" s="24" t="n"/>
      <c r="AE376" s="25" t="n"/>
      <c r="AF376" s="41" t="n"/>
      <c r="AG376" s="41" t="n"/>
      <c r="AH376" s="23" t="n"/>
      <c r="AI376" s="24" t="n"/>
      <c r="AJ376" s="24" t="n"/>
      <c r="AK376" s="24" t="n"/>
      <c r="AL376" s="24" t="n"/>
      <c r="AM376" s="24" t="n"/>
      <c r="AN376" s="24" t="n"/>
      <c r="AO376" s="24" t="n"/>
      <c r="AP376" s="24" t="n"/>
      <c r="AQ376" s="24" t="n"/>
      <c r="AR376" s="24" t="n"/>
      <c r="AS376" s="24" t="n"/>
      <c r="AT376" s="25" t="n"/>
    </row>
    <row r="377" hidden="1" outlineLevel="3">
      <c r="A377" s="8" t="n"/>
      <c r="B377" s="14"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c r="AE377" s="41" t="n"/>
      <c r="AF377" s="41" t="n"/>
      <c r="AG377" s="41" t="n"/>
      <c r="AH377" s="41" t="n"/>
      <c r="AI377" s="41" t="n"/>
      <c r="AJ377" s="41" t="n"/>
      <c r="AK377" s="41" t="n"/>
      <c r="AL377" s="41" t="n"/>
      <c r="AM377" s="41" t="n"/>
      <c r="AN377" s="41" t="n"/>
      <c r="AO377" s="41" t="n"/>
      <c r="AP377" s="41" t="n"/>
      <c r="AQ377" s="41" t="n"/>
      <c r="AR377" s="41" t="n"/>
      <c r="AS377" s="41" t="n"/>
      <c r="AT377" s="41" t="n"/>
    </row>
    <row r="378" hidden="1" outlineLevel="3">
      <c r="A378" s="8" t="n"/>
      <c r="B378" s="14" t="n"/>
      <c r="C378" s="41" t="n"/>
      <c r="D378" s="132">
        <f>DADOS_AM!$KH$11</f>
        <v/>
      </c>
      <c r="E378" s="17" t="n"/>
      <c r="F378" s="131">
        <f>DADOS_AM!$KI$11</f>
        <v/>
      </c>
      <c r="G378" s="16" t="n"/>
      <c r="H378" s="16" t="n"/>
      <c r="I378" s="16" t="n"/>
      <c r="J378" s="16" t="n"/>
      <c r="K378" s="16" t="n"/>
      <c r="L378" s="16" t="n"/>
      <c r="M378" s="16" t="n"/>
      <c r="N378" s="16" t="n"/>
      <c r="O378" s="16" t="n"/>
      <c r="P378" s="17" t="n"/>
      <c r="Q378" s="41" t="n"/>
      <c r="R378" s="41" t="n"/>
      <c r="S378" s="132">
        <f>DADOS_AM!$KH$12</f>
        <v/>
      </c>
      <c r="T378" s="17" t="n"/>
      <c r="U378" s="131">
        <f>DADOS_AM!$KI$12</f>
        <v/>
      </c>
      <c r="V378" s="16" t="n"/>
      <c r="W378" s="16" t="n"/>
      <c r="X378" s="16" t="n"/>
      <c r="Y378" s="16" t="n"/>
      <c r="Z378" s="16" t="n"/>
      <c r="AA378" s="16" t="n"/>
      <c r="AB378" s="16" t="n"/>
      <c r="AC378" s="16" t="n"/>
      <c r="AD378" s="16" t="n"/>
      <c r="AE378" s="17" t="n"/>
      <c r="AF378" s="41" t="n"/>
      <c r="AG378" s="41" t="n"/>
      <c r="AH378" s="132">
        <f>DADOS_AM!$KH$13</f>
        <v/>
      </c>
      <c r="AI378" s="17" t="n"/>
      <c r="AJ378" s="131">
        <f>DADOS_AM!$KI$13</f>
        <v/>
      </c>
      <c r="AK378" s="16" t="n"/>
      <c r="AL378" s="16" t="n"/>
      <c r="AM378" s="16" t="n"/>
      <c r="AN378" s="16" t="n"/>
      <c r="AO378" s="16" t="n"/>
      <c r="AP378" s="16" t="n"/>
      <c r="AQ378" s="16" t="n"/>
      <c r="AR378" s="16" t="n"/>
      <c r="AS378" s="16" t="n"/>
      <c r="AT378" s="17" t="n"/>
    </row>
    <row r="379" hidden="1" outlineLevel="4">
      <c r="A379" s="8" t="n"/>
      <c r="B379" s="14" t="n"/>
      <c r="C379" s="41" t="n"/>
      <c r="D379" s="61">
        <f>DADOS_AM!$KJ$11</f>
        <v/>
      </c>
      <c r="E379" s="19" t="n"/>
      <c r="F379" s="19" t="n"/>
      <c r="G379" s="19" t="n"/>
      <c r="H379" s="19" t="n"/>
      <c r="I379" s="19" t="n"/>
      <c r="J379" s="19" t="n"/>
      <c r="K379" s="19" t="n"/>
      <c r="L379" s="19" t="n"/>
      <c r="M379" s="19" t="n"/>
      <c r="N379" s="19" t="n"/>
      <c r="O379" s="19" t="n"/>
      <c r="P379" s="20" t="n"/>
      <c r="Q379" s="41" t="n"/>
      <c r="R379" s="41" t="n"/>
      <c r="S379" s="61">
        <f>DADOS_AM!$KJ$12</f>
        <v/>
      </c>
      <c r="T379" s="19" t="n"/>
      <c r="U379" s="19" t="n"/>
      <c r="V379" s="19" t="n"/>
      <c r="W379" s="19" t="n"/>
      <c r="X379" s="19" t="n"/>
      <c r="Y379" s="19" t="n"/>
      <c r="Z379" s="19" t="n"/>
      <c r="AA379" s="19" t="n"/>
      <c r="AB379" s="19" t="n"/>
      <c r="AC379" s="19" t="n"/>
      <c r="AD379" s="19" t="n"/>
      <c r="AE379" s="20" t="n"/>
      <c r="AF379" s="41" t="n"/>
      <c r="AG379" s="41" t="n"/>
      <c r="AH379" s="61">
        <f>DADOS_AM!$KJ$13</f>
        <v/>
      </c>
      <c r="AI379" s="19" t="n"/>
      <c r="AJ379" s="19" t="n"/>
      <c r="AK379" s="19" t="n"/>
      <c r="AL379" s="19" t="n"/>
      <c r="AM379" s="19" t="n"/>
      <c r="AN379" s="19" t="n"/>
      <c r="AO379" s="19" t="n"/>
      <c r="AP379" s="19" t="n"/>
      <c r="AQ379" s="19" t="n"/>
      <c r="AR379" s="19" t="n"/>
      <c r="AS379" s="19" t="n"/>
      <c r="AT379" s="20" t="n"/>
    </row>
    <row r="380" hidden="1" outlineLevel="4">
      <c r="A380" s="8" t="n"/>
      <c r="B380" s="14" t="n"/>
      <c r="C380" s="41" t="n"/>
      <c r="D380" s="21" t="n"/>
      <c r="P380" s="22" t="n"/>
      <c r="Q380" s="41" t="n"/>
      <c r="R380" s="41" t="n"/>
      <c r="S380" s="21" t="n"/>
      <c r="AE380" s="22" t="n"/>
      <c r="AF380" s="41" t="n"/>
      <c r="AG380" s="41" t="n"/>
      <c r="AH380" s="21" t="n"/>
      <c r="AT380" s="22" t="n"/>
    </row>
    <row r="381" hidden="1" outlineLevel="4">
      <c r="A381" s="8" t="n"/>
      <c r="B381" s="14" t="n"/>
      <c r="C381" s="41" t="n"/>
      <c r="D381" s="21" t="n"/>
      <c r="P381" s="22" t="n"/>
      <c r="Q381" s="41" t="n"/>
      <c r="R381" s="41" t="n"/>
      <c r="S381" s="21" t="n"/>
      <c r="AE381" s="22" t="n"/>
      <c r="AF381" s="41" t="n"/>
      <c r="AG381" s="41" t="n"/>
      <c r="AH381" s="21" t="n"/>
      <c r="AT381" s="22" t="n"/>
    </row>
    <row r="382" hidden="1" outlineLevel="4">
      <c r="A382" s="8" t="n"/>
      <c r="B382" s="14" t="n"/>
      <c r="C382" s="41" t="n"/>
      <c r="D382" s="21" t="n"/>
      <c r="P382" s="22" t="n"/>
      <c r="Q382" s="41" t="n"/>
      <c r="R382" s="41" t="n"/>
      <c r="S382" s="21" t="n"/>
      <c r="AE382" s="22" t="n"/>
      <c r="AF382" s="41" t="n"/>
      <c r="AG382" s="41" t="n"/>
      <c r="AH382" s="21" t="n"/>
      <c r="AT382" s="22" t="n"/>
    </row>
    <row r="383" hidden="1" outlineLevel="4">
      <c r="A383" s="8" t="n"/>
      <c r="B383" s="14" t="n"/>
      <c r="C383" s="41" t="n"/>
      <c r="D383" s="23" t="n"/>
      <c r="E383" s="24" t="n"/>
      <c r="F383" s="24" t="n"/>
      <c r="G383" s="24" t="n"/>
      <c r="H383" s="24" t="n"/>
      <c r="I383" s="24" t="n"/>
      <c r="J383" s="24" t="n"/>
      <c r="K383" s="24" t="n"/>
      <c r="L383" s="24" t="n"/>
      <c r="M383" s="24" t="n"/>
      <c r="N383" s="24" t="n"/>
      <c r="O383" s="24" t="n"/>
      <c r="P383" s="25" t="n"/>
      <c r="Q383" s="41" t="n"/>
      <c r="R383" s="41" t="n"/>
      <c r="S383" s="23" t="n"/>
      <c r="T383" s="24" t="n"/>
      <c r="U383" s="24" t="n"/>
      <c r="V383" s="24" t="n"/>
      <c r="W383" s="24" t="n"/>
      <c r="X383" s="24" t="n"/>
      <c r="Y383" s="24" t="n"/>
      <c r="Z383" s="24" t="n"/>
      <c r="AA383" s="24" t="n"/>
      <c r="AB383" s="24" t="n"/>
      <c r="AC383" s="24" t="n"/>
      <c r="AD383" s="24" t="n"/>
      <c r="AE383" s="25" t="n"/>
      <c r="AF383" s="41" t="n"/>
      <c r="AG383" s="41" t="n"/>
      <c r="AH383" s="23" t="n"/>
      <c r="AI383" s="24" t="n"/>
      <c r="AJ383" s="24" t="n"/>
      <c r="AK383" s="24" t="n"/>
      <c r="AL383" s="24" t="n"/>
      <c r="AM383" s="24" t="n"/>
      <c r="AN383" s="24" t="n"/>
      <c r="AO383" s="24" t="n"/>
      <c r="AP383" s="24" t="n"/>
      <c r="AQ383" s="24" t="n"/>
      <c r="AR383" s="24" t="n"/>
      <c r="AS383" s="24" t="n"/>
      <c r="AT383" s="25" t="n"/>
    </row>
    <row r="384" outlineLevel="2">
      <c r="A384" s="8" t="n"/>
      <c r="B384" s="14" t="n"/>
      <c r="C384" s="41" t="n"/>
      <c r="D384" s="134">
        <f>DADOS_AM!$KS$16</f>
        <v/>
      </c>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c r="AI384" s="16" t="n"/>
      <c r="AJ384" s="16" t="n"/>
      <c r="AK384" s="16" t="n"/>
      <c r="AL384" s="16" t="n"/>
      <c r="AM384" s="16" t="n"/>
      <c r="AN384" s="16" t="n"/>
      <c r="AO384" s="16" t="n"/>
      <c r="AP384" s="16" t="n"/>
      <c r="AQ384" s="16" t="n"/>
      <c r="AR384" s="16" t="n"/>
      <c r="AS384" s="16" t="n"/>
      <c r="AT384" s="17" t="n"/>
    </row>
    <row r="385" hidden="1" outlineLevel="3">
      <c r="A385" s="8" t="n"/>
      <c r="B385" s="14" t="n"/>
      <c r="C385" s="41" t="n"/>
      <c r="D385" s="132">
        <f>DADOS_AM!$KH$14</f>
        <v/>
      </c>
      <c r="E385" s="17" t="n"/>
      <c r="F385" s="131">
        <f>DADOS_AM!$KI$14</f>
        <v/>
      </c>
      <c r="G385" s="16" t="n"/>
      <c r="H385" s="16" t="n"/>
      <c r="I385" s="16" t="n"/>
      <c r="J385" s="16" t="n"/>
      <c r="K385" s="16" t="n"/>
      <c r="L385" s="16" t="n"/>
      <c r="M385" s="16" t="n"/>
      <c r="N385" s="16" t="n"/>
      <c r="O385" s="16" t="n"/>
      <c r="P385" s="17" t="n"/>
      <c r="Q385" s="41" t="n"/>
      <c r="R385" s="41" t="n"/>
      <c r="S385" s="132">
        <f>DADOS_AM!$KH$15</f>
        <v/>
      </c>
      <c r="T385" s="17" t="n"/>
      <c r="U385" s="131">
        <f>DADOS_AM!$KI$15</f>
        <v/>
      </c>
      <c r="V385" s="16" t="n"/>
      <c r="W385" s="16" t="n"/>
      <c r="X385" s="16" t="n"/>
      <c r="Y385" s="16" t="n"/>
      <c r="Z385" s="16" t="n"/>
      <c r="AA385" s="16" t="n"/>
      <c r="AB385" s="16" t="n"/>
      <c r="AC385" s="16" t="n"/>
      <c r="AD385" s="16" t="n"/>
      <c r="AE385" s="17" t="n"/>
      <c r="AF385" s="41" t="n"/>
      <c r="AG385" s="41" t="n"/>
      <c r="AH385" s="41" t="n"/>
      <c r="AI385" s="41" t="n"/>
      <c r="AJ385" s="41" t="n"/>
      <c r="AK385" s="41" t="n"/>
      <c r="AL385" s="41" t="n"/>
      <c r="AM385" s="41" t="n"/>
      <c r="AN385" s="41" t="n"/>
      <c r="AO385" s="41" t="n"/>
      <c r="AP385" s="41" t="n"/>
      <c r="AQ385" s="41" t="n"/>
      <c r="AR385" s="41" t="n"/>
      <c r="AS385" s="41" t="n"/>
      <c r="AT385" s="41" t="n"/>
    </row>
    <row r="386" hidden="1" outlineLevel="4">
      <c r="A386" s="8" t="n"/>
      <c r="B386" s="14" t="n"/>
      <c r="C386" s="41" t="n"/>
      <c r="D386" s="61">
        <f>DADOS_AM!$KJ$14</f>
        <v/>
      </c>
      <c r="E386" s="19" t="n"/>
      <c r="F386" s="19" t="n"/>
      <c r="G386" s="19" t="n"/>
      <c r="H386" s="19" t="n"/>
      <c r="I386" s="19" t="n"/>
      <c r="J386" s="19" t="n"/>
      <c r="K386" s="19" t="n"/>
      <c r="L386" s="19" t="n"/>
      <c r="M386" s="19" t="n"/>
      <c r="N386" s="19" t="n"/>
      <c r="O386" s="19" t="n"/>
      <c r="P386" s="20" t="n"/>
      <c r="Q386" s="41" t="n"/>
      <c r="R386" s="41" t="n"/>
      <c r="S386" s="61">
        <f>DADOS_AM!$KJ$15</f>
        <v/>
      </c>
      <c r="T386" s="19" t="n"/>
      <c r="U386" s="19" t="n"/>
      <c r="V386" s="19" t="n"/>
      <c r="W386" s="19" t="n"/>
      <c r="X386" s="19" t="n"/>
      <c r="Y386" s="19" t="n"/>
      <c r="Z386" s="19" t="n"/>
      <c r="AA386" s="19" t="n"/>
      <c r="AB386" s="19" t="n"/>
      <c r="AC386" s="19" t="n"/>
      <c r="AD386" s="19" t="n"/>
      <c r="AE386" s="20" t="n"/>
      <c r="AF386" s="41" t="n"/>
      <c r="AG386" s="41" t="n"/>
      <c r="AH386" s="41" t="n"/>
      <c r="AI386" s="41" t="n"/>
      <c r="AJ386" s="41" t="n"/>
      <c r="AK386" s="41" t="n"/>
      <c r="AL386" s="41" t="n"/>
      <c r="AM386" s="41" t="n"/>
      <c r="AN386" s="41" t="n"/>
      <c r="AO386" s="41" t="n"/>
      <c r="AP386" s="41" t="n"/>
      <c r="AQ386" s="41" t="n"/>
      <c r="AR386" s="41" t="n"/>
      <c r="AS386" s="41" t="n"/>
      <c r="AT386" s="41" t="n"/>
    </row>
    <row r="387" hidden="1" outlineLevel="4">
      <c r="A387" s="8" t="n"/>
      <c r="B387" s="14" t="n"/>
      <c r="C387" s="41" t="n"/>
      <c r="D387" s="21" t="n"/>
      <c r="P387" s="22" t="n"/>
      <c r="Q387" s="41" t="n"/>
      <c r="R387" s="41" t="n"/>
      <c r="S387" s="21" t="n"/>
      <c r="AE387" s="22" t="n"/>
      <c r="AF387" s="41" t="n"/>
      <c r="AG387" s="41" t="n"/>
      <c r="AH387" s="41" t="n"/>
      <c r="AI387" s="41" t="n"/>
      <c r="AJ387" s="41" t="n"/>
      <c r="AK387" s="41" t="n"/>
      <c r="AL387" s="41" t="n"/>
      <c r="AM387" s="41" t="n"/>
      <c r="AN387" s="41" t="n"/>
      <c r="AO387" s="41" t="n"/>
      <c r="AP387" s="41" t="n"/>
      <c r="AQ387" s="41" t="n"/>
      <c r="AR387" s="41" t="n"/>
      <c r="AS387" s="41" t="n"/>
      <c r="AT387" s="41" t="n"/>
    </row>
    <row r="388" hidden="1" outlineLevel="4">
      <c r="A388" s="8" t="n"/>
      <c r="B388" s="14" t="n"/>
      <c r="C388" s="41" t="n"/>
      <c r="D388" s="21" t="n"/>
      <c r="P388" s="22" t="n"/>
      <c r="Q388" s="41" t="n"/>
      <c r="R388" s="41" t="n"/>
      <c r="S388" s="21" t="n"/>
      <c r="AE388" s="22" t="n"/>
      <c r="AF388" s="41" t="n"/>
      <c r="AG388" s="41" t="n"/>
      <c r="AH388" s="41" t="n"/>
      <c r="AI388" s="41" t="n"/>
      <c r="AJ388" s="41" t="n"/>
      <c r="AK388" s="41" t="n"/>
      <c r="AL388" s="41" t="n"/>
      <c r="AM388" s="41" t="n"/>
      <c r="AN388" s="41" t="n"/>
      <c r="AO388" s="41" t="n"/>
      <c r="AP388" s="41" t="n"/>
      <c r="AQ388" s="41" t="n"/>
      <c r="AR388" s="41" t="n"/>
      <c r="AS388" s="41" t="n"/>
      <c r="AT388" s="41" t="n"/>
    </row>
    <row r="389" hidden="1" outlineLevel="4">
      <c r="A389" s="8" t="n"/>
      <c r="B389" s="14" t="n"/>
      <c r="C389" s="41" t="n"/>
      <c r="D389" s="21" t="n"/>
      <c r="P389" s="22" t="n"/>
      <c r="Q389" s="41" t="n"/>
      <c r="R389" s="41" t="n"/>
      <c r="S389" s="21" t="n"/>
      <c r="AE389" s="22" t="n"/>
      <c r="AF389" s="41" t="n"/>
      <c r="AG389" s="41" t="n"/>
      <c r="AH389" s="41" t="n"/>
      <c r="AI389" s="41" t="n"/>
      <c r="AJ389" s="41" t="n"/>
      <c r="AK389" s="41" t="n"/>
      <c r="AL389" s="41" t="n"/>
      <c r="AM389" s="41" t="n"/>
      <c r="AN389" s="41" t="n"/>
      <c r="AO389" s="41" t="n"/>
      <c r="AP389" s="41" t="n"/>
      <c r="AQ389" s="41" t="n"/>
      <c r="AR389" s="41" t="n"/>
      <c r="AS389" s="41" t="n"/>
      <c r="AT389" s="41" t="n"/>
    </row>
    <row r="390" hidden="1" outlineLevel="4">
      <c r="A390" s="8" t="n"/>
      <c r="B390" s="14" t="n"/>
      <c r="C390" s="41" t="n"/>
      <c r="D390" s="23" t="n"/>
      <c r="E390" s="24" t="n"/>
      <c r="F390" s="24" t="n"/>
      <c r="G390" s="24" t="n"/>
      <c r="H390" s="24" t="n"/>
      <c r="I390" s="24" t="n"/>
      <c r="J390" s="24" t="n"/>
      <c r="K390" s="24" t="n"/>
      <c r="L390" s="24" t="n"/>
      <c r="M390" s="24" t="n"/>
      <c r="N390" s="24" t="n"/>
      <c r="O390" s="24" t="n"/>
      <c r="P390" s="25" t="n"/>
      <c r="Q390" s="41" t="n"/>
      <c r="R390" s="41" t="n"/>
      <c r="S390" s="23" t="n"/>
      <c r="T390" s="24" t="n"/>
      <c r="U390" s="24" t="n"/>
      <c r="V390" s="24" t="n"/>
      <c r="W390" s="24" t="n"/>
      <c r="X390" s="24" t="n"/>
      <c r="Y390" s="24" t="n"/>
      <c r="Z390" s="24" t="n"/>
      <c r="AA390" s="24" t="n"/>
      <c r="AB390" s="24" t="n"/>
      <c r="AC390" s="24" t="n"/>
      <c r="AD390" s="24" t="n"/>
      <c r="AE390" s="25" t="n"/>
      <c r="AF390" s="41" t="n"/>
      <c r="AG390" s="41" t="n"/>
      <c r="AH390" s="41" t="n"/>
      <c r="AI390" s="41" t="n"/>
      <c r="AJ390" s="41" t="n"/>
      <c r="AK390" s="41" t="n"/>
      <c r="AL390" s="41" t="n"/>
      <c r="AM390" s="41" t="n"/>
      <c r="AN390" s="41" t="n"/>
      <c r="AO390" s="41" t="n"/>
      <c r="AP390" s="41" t="n"/>
      <c r="AQ390" s="41" t="n"/>
      <c r="AR390" s="41" t="n"/>
      <c r="AS390" s="41" t="n"/>
      <c r="AT390" s="41" t="n"/>
    </row>
    <row r="391" outlineLevel="2">
      <c r="A391" s="8" t="n"/>
      <c r="B391" s="14"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c r="AE391" s="41" t="n"/>
      <c r="AF391" s="41" t="n"/>
      <c r="AG391" s="41" t="n"/>
      <c r="AH391" s="41" t="n"/>
      <c r="AI391" s="41" t="n"/>
      <c r="AJ391" s="41" t="n"/>
      <c r="AK391" s="41" t="n"/>
      <c r="AL391" s="41" t="n"/>
      <c r="AM391" s="41" t="n"/>
      <c r="AN391" s="41" t="n"/>
      <c r="AO391" s="41" t="n"/>
      <c r="AP391" s="41" t="n"/>
      <c r="AQ391" s="41" t="n"/>
      <c r="AR391" s="41" t="n"/>
      <c r="AS391" s="41" t="n"/>
      <c r="AT391" s="41" t="n"/>
    </row>
    <row r="392" outlineLevel="1">
      <c r="A392" s="8" t="n"/>
      <c r="B392" s="14" t="n"/>
      <c r="C392" s="41" t="n"/>
      <c r="D392" s="129">
        <f>DADOS_AM!$KS$6</f>
        <v/>
      </c>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c r="AI392" s="16" t="n"/>
      <c r="AJ392" s="16" t="n"/>
      <c r="AK392" s="16" t="n"/>
      <c r="AL392" s="16" t="n"/>
      <c r="AM392" s="16" t="n"/>
      <c r="AN392" s="16" t="n"/>
      <c r="AO392" s="16" t="n"/>
      <c r="AP392" s="16" t="n"/>
      <c r="AQ392" s="16" t="n"/>
      <c r="AR392" s="16" t="n"/>
      <c r="AS392" s="16" t="n"/>
      <c r="AT392" s="17" t="n"/>
    </row>
    <row r="393" outlineLevel="3">
      <c r="A393" s="8" t="n"/>
      <c r="B393" s="14" t="n"/>
      <c r="C393" s="41" t="n"/>
      <c r="D393" s="132">
        <f>DADOS_AM!$KN$2</f>
        <v/>
      </c>
      <c r="E393" s="17" t="n"/>
      <c r="F393" s="131">
        <f>DADOS_AM!$KO$2</f>
        <v/>
      </c>
      <c r="G393" s="16" t="n"/>
      <c r="H393" s="16" t="n"/>
      <c r="I393" s="16" t="n"/>
      <c r="J393" s="16" t="n"/>
      <c r="K393" s="16" t="n"/>
      <c r="L393" s="16" t="n"/>
      <c r="M393" s="16" t="n"/>
      <c r="N393" s="16" t="n"/>
      <c r="O393" s="16" t="n"/>
      <c r="P393" s="17" t="n"/>
      <c r="Q393" s="41" t="n"/>
      <c r="R393" s="41" t="n"/>
      <c r="S393" s="132">
        <f>DADOS_AM!$KN$3</f>
        <v/>
      </c>
      <c r="T393" s="17" t="n"/>
      <c r="U393" s="131">
        <f>DADOS_AM!$KO$3</f>
        <v/>
      </c>
      <c r="V393" s="16" t="n"/>
      <c r="W393" s="16" t="n"/>
      <c r="X393" s="16" t="n"/>
      <c r="Y393" s="16" t="n"/>
      <c r="Z393" s="16" t="n"/>
      <c r="AA393" s="16" t="n"/>
      <c r="AB393" s="16" t="n"/>
      <c r="AC393" s="16" t="n"/>
      <c r="AD393" s="16" t="n"/>
      <c r="AE393" s="17" t="n"/>
      <c r="AF393" s="41" t="n"/>
      <c r="AG393" s="41" t="n"/>
      <c r="AH393" s="132">
        <f>DADOS_AM!$KN$4</f>
        <v/>
      </c>
      <c r="AI393" s="17" t="n"/>
      <c r="AJ393" s="131">
        <f>DADOS_AM!$KO$4</f>
        <v/>
      </c>
      <c r="AK393" s="16" t="n"/>
      <c r="AL393" s="16" t="n"/>
      <c r="AM393" s="16" t="n"/>
      <c r="AN393" s="16" t="n"/>
      <c r="AO393" s="16" t="n"/>
      <c r="AP393" s="16" t="n"/>
      <c r="AQ393" s="16" t="n"/>
      <c r="AR393" s="16" t="n"/>
      <c r="AS393" s="16" t="n"/>
      <c r="AT393" s="17" t="n"/>
    </row>
    <row r="394" outlineLevel="4">
      <c r="A394" s="8" t="n"/>
      <c r="B394" s="14" t="n"/>
      <c r="C394" s="41" t="n"/>
      <c r="D394" s="61">
        <f>DADOS_AM!$KP$2</f>
        <v/>
      </c>
      <c r="E394" s="19" t="n"/>
      <c r="F394" s="19" t="n"/>
      <c r="G394" s="19" t="n"/>
      <c r="H394" s="19" t="n"/>
      <c r="I394" s="19" t="n"/>
      <c r="J394" s="19" t="n"/>
      <c r="K394" s="19" t="n"/>
      <c r="L394" s="19" t="n"/>
      <c r="M394" s="19" t="n"/>
      <c r="N394" s="19" t="n"/>
      <c r="O394" s="19" t="n"/>
      <c r="P394" s="20" t="n"/>
      <c r="Q394" s="41" t="n"/>
      <c r="R394" s="41" t="n"/>
      <c r="S394" s="61">
        <f>DADOS_AM!$KP$3</f>
        <v/>
      </c>
      <c r="T394" s="19" t="n"/>
      <c r="U394" s="19" t="n"/>
      <c r="V394" s="19" t="n"/>
      <c r="W394" s="19" t="n"/>
      <c r="X394" s="19" t="n"/>
      <c r="Y394" s="19" t="n"/>
      <c r="Z394" s="19" t="n"/>
      <c r="AA394" s="19" t="n"/>
      <c r="AB394" s="19" t="n"/>
      <c r="AC394" s="19" t="n"/>
      <c r="AD394" s="19" t="n"/>
      <c r="AE394" s="20" t="n"/>
      <c r="AF394" s="41" t="n"/>
      <c r="AG394" s="41" t="n"/>
      <c r="AH394" s="61">
        <f>DADOS_AM!$KP$4</f>
        <v/>
      </c>
      <c r="AI394" s="19" t="n"/>
      <c r="AJ394" s="19" t="n"/>
      <c r="AK394" s="19" t="n"/>
      <c r="AL394" s="19" t="n"/>
      <c r="AM394" s="19" t="n"/>
      <c r="AN394" s="19" t="n"/>
      <c r="AO394" s="19" t="n"/>
      <c r="AP394" s="19" t="n"/>
      <c r="AQ394" s="19" t="n"/>
      <c r="AR394" s="19" t="n"/>
      <c r="AS394" s="19" t="n"/>
      <c r="AT394" s="20" t="n"/>
    </row>
    <row r="395" outlineLevel="4">
      <c r="A395" s="8" t="n"/>
      <c r="B395" s="14" t="n"/>
      <c r="C395" s="41" t="n"/>
      <c r="D395" s="21" t="n"/>
      <c r="P395" s="22" t="n"/>
      <c r="Q395" s="41" t="n"/>
      <c r="R395" s="41" t="n"/>
      <c r="S395" s="21" t="n"/>
      <c r="AE395" s="22" t="n"/>
      <c r="AF395" s="41" t="n"/>
      <c r="AG395" s="41" t="n"/>
      <c r="AH395" s="21" t="n"/>
      <c r="AT395" s="22" t="n"/>
    </row>
    <row r="396" outlineLevel="4">
      <c r="A396" s="8" t="n"/>
      <c r="B396" s="14" t="n"/>
      <c r="C396" s="41" t="n"/>
      <c r="D396" s="21" t="n"/>
      <c r="P396" s="22" t="n"/>
      <c r="Q396" s="41" t="n"/>
      <c r="R396" s="41" t="n"/>
      <c r="S396" s="21" t="n"/>
      <c r="AE396" s="22" t="n"/>
      <c r="AF396" s="41" t="n"/>
      <c r="AG396" s="41" t="n"/>
      <c r="AH396" s="21" t="n"/>
      <c r="AT396" s="22" t="n"/>
    </row>
    <row r="397" outlineLevel="4">
      <c r="A397" s="8" t="n"/>
      <c r="B397" s="14" t="n"/>
      <c r="C397" s="41" t="n"/>
      <c r="D397" s="21" t="n"/>
      <c r="P397" s="22" t="n"/>
      <c r="Q397" s="41" t="n"/>
      <c r="R397" s="41" t="n"/>
      <c r="S397" s="21" t="n"/>
      <c r="AE397" s="22" t="n"/>
      <c r="AF397" s="41" t="n"/>
      <c r="AG397" s="41" t="n"/>
      <c r="AH397" s="21" t="n"/>
      <c r="AT397" s="22" t="n"/>
    </row>
    <row r="398" outlineLevel="4">
      <c r="A398" s="8" t="n"/>
      <c r="B398" s="14" t="n"/>
      <c r="C398" s="41" t="n"/>
      <c r="D398" s="21" t="n"/>
      <c r="P398" s="22" t="n"/>
      <c r="Q398" s="41" t="n"/>
      <c r="R398" s="41" t="n"/>
      <c r="S398" s="21" t="n"/>
      <c r="AE398" s="22" t="n"/>
      <c r="AF398" s="41" t="n"/>
      <c r="AG398" s="41" t="n"/>
      <c r="AH398" s="21" t="n"/>
      <c r="AT398" s="22" t="n"/>
    </row>
    <row r="399" outlineLevel="4">
      <c r="A399" s="8" t="n"/>
      <c r="B399" s="14" t="n"/>
      <c r="C399" s="41" t="n"/>
      <c r="D399" s="23" t="n"/>
      <c r="E399" s="24" t="n"/>
      <c r="F399" s="24" t="n"/>
      <c r="G399" s="24" t="n"/>
      <c r="H399" s="24" t="n"/>
      <c r="I399" s="24" t="n"/>
      <c r="J399" s="24" t="n"/>
      <c r="K399" s="24" t="n"/>
      <c r="L399" s="24" t="n"/>
      <c r="M399" s="24" t="n"/>
      <c r="N399" s="24" t="n"/>
      <c r="O399" s="24" t="n"/>
      <c r="P399" s="25" t="n"/>
      <c r="Q399" s="41" t="n"/>
      <c r="R399" s="41" t="n"/>
      <c r="S399" s="23" t="n"/>
      <c r="T399" s="24" t="n"/>
      <c r="U399" s="24" t="n"/>
      <c r="V399" s="24" t="n"/>
      <c r="W399" s="24" t="n"/>
      <c r="X399" s="24" t="n"/>
      <c r="Y399" s="24" t="n"/>
      <c r="Z399" s="24" t="n"/>
      <c r="AA399" s="24" t="n"/>
      <c r="AB399" s="24" t="n"/>
      <c r="AC399" s="24" t="n"/>
      <c r="AD399" s="24" t="n"/>
      <c r="AE399" s="25" t="n"/>
      <c r="AF399" s="41" t="n"/>
      <c r="AG399" s="41" t="n"/>
      <c r="AH399" s="23" t="n"/>
      <c r="AI399" s="24" t="n"/>
      <c r="AJ399" s="24" t="n"/>
      <c r="AK399" s="24" t="n"/>
      <c r="AL399" s="24" t="n"/>
      <c r="AM399" s="24" t="n"/>
      <c r="AN399" s="24" t="n"/>
      <c r="AO399" s="24" t="n"/>
      <c r="AP399" s="24" t="n"/>
      <c r="AQ399" s="24" t="n"/>
      <c r="AR399" s="24" t="n"/>
      <c r="AS399" s="24" t="n"/>
      <c r="AT399" s="25" t="n"/>
    </row>
    <row r="400" outlineLevel="3">
      <c r="A400" s="8" t="n"/>
      <c r="B400" s="14"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1" t="n"/>
      <c r="AD400" s="41" t="n"/>
      <c r="AE400" s="41" t="n"/>
      <c r="AF400" s="41" t="n"/>
      <c r="AG400" s="41" t="n"/>
      <c r="AH400" s="41" t="n"/>
      <c r="AI400" s="41" t="n"/>
      <c r="AJ400" s="41" t="n"/>
      <c r="AK400" s="41" t="n"/>
      <c r="AL400" s="41" t="n"/>
      <c r="AM400" s="41" t="n"/>
      <c r="AN400" s="41" t="n"/>
      <c r="AO400" s="41" t="n"/>
      <c r="AP400" s="41" t="n"/>
      <c r="AQ400" s="41" t="n"/>
      <c r="AR400" s="41" t="n"/>
      <c r="AS400" s="41" t="n"/>
      <c r="AT400" s="41" t="n"/>
    </row>
    <row r="401" outlineLevel="3">
      <c r="A401" s="8" t="n"/>
      <c r="B401" s="14" t="n"/>
      <c r="C401" s="41" t="n"/>
      <c r="D401" s="132">
        <f>DADOS_AM!$KN$5</f>
        <v/>
      </c>
      <c r="E401" s="17" t="n"/>
      <c r="F401" s="131">
        <f>DADOS_AM!$KO$5</f>
        <v/>
      </c>
      <c r="G401" s="16" t="n"/>
      <c r="H401" s="16" t="n"/>
      <c r="I401" s="16" t="n"/>
      <c r="J401" s="16" t="n"/>
      <c r="K401" s="16" t="n"/>
      <c r="L401" s="16" t="n"/>
      <c r="M401" s="16" t="n"/>
      <c r="N401" s="16" t="n"/>
      <c r="O401" s="16" t="n"/>
      <c r="P401" s="17" t="n"/>
      <c r="Q401" s="41" t="n"/>
      <c r="R401" s="41" t="n"/>
      <c r="S401" s="132">
        <f>DADOS_AM!$KN$6</f>
        <v/>
      </c>
      <c r="T401" s="17" t="n"/>
      <c r="U401" s="131">
        <f>DADOS_AM!$KO$6</f>
        <v/>
      </c>
      <c r="V401" s="16" t="n"/>
      <c r="W401" s="16" t="n"/>
      <c r="X401" s="16" t="n"/>
      <c r="Y401" s="16" t="n"/>
      <c r="Z401" s="16" t="n"/>
      <c r="AA401" s="16" t="n"/>
      <c r="AB401" s="16" t="n"/>
      <c r="AC401" s="16" t="n"/>
      <c r="AD401" s="16" t="n"/>
      <c r="AE401" s="17" t="n"/>
      <c r="AF401" s="41" t="n"/>
      <c r="AG401" s="41" t="n"/>
      <c r="AH401" s="132">
        <f>DADOS_AM!$KN$7</f>
        <v/>
      </c>
      <c r="AI401" s="17" t="n"/>
      <c r="AJ401" s="131">
        <f>DADOS_AM!$KO$7</f>
        <v/>
      </c>
      <c r="AK401" s="16" t="n"/>
      <c r="AL401" s="16" t="n"/>
      <c r="AM401" s="16" t="n"/>
      <c r="AN401" s="16" t="n"/>
      <c r="AO401" s="16" t="n"/>
      <c r="AP401" s="16" t="n"/>
      <c r="AQ401" s="16" t="n"/>
      <c r="AR401" s="16" t="n"/>
      <c r="AS401" s="16" t="n"/>
      <c r="AT401" s="17" t="n"/>
    </row>
    <row r="402" hidden="1" outlineLevel="4">
      <c r="A402" s="8" t="n"/>
      <c r="B402" s="14" t="n"/>
      <c r="C402" s="41" t="n"/>
      <c r="D402" s="61">
        <f>DADOS_AM!$KP$5</f>
        <v/>
      </c>
      <c r="E402" s="19" t="n"/>
      <c r="F402" s="19" t="n"/>
      <c r="G402" s="19" t="n"/>
      <c r="H402" s="19" t="n"/>
      <c r="I402" s="19" t="n"/>
      <c r="J402" s="19" t="n"/>
      <c r="K402" s="19" t="n"/>
      <c r="L402" s="19" t="n"/>
      <c r="M402" s="19" t="n"/>
      <c r="N402" s="19" t="n"/>
      <c r="O402" s="19" t="n"/>
      <c r="P402" s="20" t="n"/>
      <c r="Q402" s="41" t="n"/>
      <c r="R402" s="41" t="n"/>
      <c r="S402" s="61">
        <f>DADOS_AM!$KP$6</f>
        <v/>
      </c>
      <c r="T402" s="19" t="n"/>
      <c r="U402" s="19" t="n"/>
      <c r="V402" s="19" t="n"/>
      <c r="W402" s="19" t="n"/>
      <c r="X402" s="19" t="n"/>
      <c r="Y402" s="19" t="n"/>
      <c r="Z402" s="19" t="n"/>
      <c r="AA402" s="19" t="n"/>
      <c r="AB402" s="19" t="n"/>
      <c r="AC402" s="19" t="n"/>
      <c r="AD402" s="19" t="n"/>
      <c r="AE402" s="20" t="n"/>
      <c r="AF402" s="41" t="n"/>
      <c r="AG402" s="41" t="n"/>
      <c r="AH402" s="61">
        <f>DADOS_AM!$KP$7</f>
        <v/>
      </c>
      <c r="AI402" s="19" t="n"/>
      <c r="AJ402" s="19" t="n"/>
      <c r="AK402" s="19" t="n"/>
      <c r="AL402" s="19" t="n"/>
      <c r="AM402" s="19" t="n"/>
      <c r="AN402" s="19" t="n"/>
      <c r="AO402" s="19" t="n"/>
      <c r="AP402" s="19" t="n"/>
      <c r="AQ402" s="19" t="n"/>
      <c r="AR402" s="19" t="n"/>
      <c r="AS402" s="19" t="n"/>
      <c r="AT402" s="20" t="n"/>
    </row>
    <row r="403" hidden="1" outlineLevel="4">
      <c r="A403" s="8" t="n"/>
      <c r="B403" s="14" t="n"/>
      <c r="C403" s="41" t="n"/>
      <c r="D403" s="21" t="n"/>
      <c r="P403" s="22" t="n"/>
      <c r="Q403" s="41" t="n"/>
      <c r="R403" s="41" t="n"/>
      <c r="S403" s="21" t="n"/>
      <c r="AE403" s="22" t="n"/>
      <c r="AF403" s="41" t="n"/>
      <c r="AG403" s="41" t="n"/>
      <c r="AH403" s="21" t="n"/>
      <c r="AT403" s="22" t="n"/>
    </row>
    <row r="404" hidden="1" outlineLevel="4">
      <c r="A404" s="8" t="n"/>
      <c r="B404" s="14" t="n"/>
      <c r="C404" s="41" t="n"/>
      <c r="D404" s="21" t="n"/>
      <c r="P404" s="22" t="n"/>
      <c r="Q404" s="41" t="n"/>
      <c r="R404" s="41" t="n"/>
      <c r="S404" s="21" t="n"/>
      <c r="AE404" s="22" t="n"/>
      <c r="AF404" s="41" t="n"/>
      <c r="AG404" s="41" t="n"/>
      <c r="AH404" s="21" t="n"/>
      <c r="AT404" s="22" t="n"/>
    </row>
    <row r="405" hidden="1" outlineLevel="4">
      <c r="A405" s="8" t="n"/>
      <c r="B405" s="14" t="n"/>
      <c r="C405" s="41" t="n"/>
      <c r="D405" s="21" t="n"/>
      <c r="P405" s="22" t="n"/>
      <c r="Q405" s="41" t="n"/>
      <c r="R405" s="41" t="n"/>
      <c r="S405" s="21" t="n"/>
      <c r="AE405" s="22" t="n"/>
      <c r="AF405" s="41" t="n"/>
      <c r="AG405" s="41" t="n"/>
      <c r="AH405" s="21" t="n"/>
      <c r="AT405" s="22" t="n"/>
    </row>
    <row r="406" hidden="1" outlineLevel="4">
      <c r="A406" s="8" t="n"/>
      <c r="B406" s="14" t="n"/>
      <c r="C406" s="41" t="n"/>
      <c r="D406" s="21" t="n"/>
      <c r="P406" s="22" t="n"/>
      <c r="Q406" s="41" t="n"/>
      <c r="R406" s="41" t="n"/>
      <c r="S406" s="21" t="n"/>
      <c r="AE406" s="22" t="n"/>
      <c r="AF406" s="41" t="n"/>
      <c r="AG406" s="41" t="n"/>
      <c r="AH406" s="21" t="n"/>
      <c r="AT406" s="22" t="n"/>
    </row>
    <row r="407" hidden="1" outlineLevel="4">
      <c r="A407" s="8" t="n"/>
      <c r="B407" s="14" t="n"/>
      <c r="C407" s="41" t="n"/>
      <c r="D407" s="23" t="n"/>
      <c r="E407" s="24" t="n"/>
      <c r="F407" s="24" t="n"/>
      <c r="G407" s="24" t="n"/>
      <c r="H407" s="24" t="n"/>
      <c r="I407" s="24" t="n"/>
      <c r="J407" s="24" t="n"/>
      <c r="K407" s="24" t="n"/>
      <c r="L407" s="24" t="n"/>
      <c r="M407" s="24" t="n"/>
      <c r="N407" s="24" t="n"/>
      <c r="O407" s="24" t="n"/>
      <c r="P407" s="25" t="n"/>
      <c r="Q407" s="41" t="n"/>
      <c r="R407" s="41" t="n"/>
      <c r="S407" s="23" t="n"/>
      <c r="T407" s="24" t="n"/>
      <c r="U407" s="24" t="n"/>
      <c r="V407" s="24" t="n"/>
      <c r="W407" s="24" t="n"/>
      <c r="X407" s="24" t="n"/>
      <c r="Y407" s="24" t="n"/>
      <c r="Z407" s="24" t="n"/>
      <c r="AA407" s="24" t="n"/>
      <c r="AB407" s="24" t="n"/>
      <c r="AC407" s="24" t="n"/>
      <c r="AD407" s="24" t="n"/>
      <c r="AE407" s="25" t="n"/>
      <c r="AF407" s="41" t="n"/>
      <c r="AG407" s="41" t="n"/>
      <c r="AH407" s="23" t="n"/>
      <c r="AI407" s="24" t="n"/>
      <c r="AJ407" s="24" t="n"/>
      <c r="AK407" s="24" t="n"/>
      <c r="AL407" s="24" t="n"/>
      <c r="AM407" s="24" t="n"/>
      <c r="AN407" s="24" t="n"/>
      <c r="AO407" s="24" t="n"/>
      <c r="AP407" s="24" t="n"/>
      <c r="AQ407" s="24" t="n"/>
      <c r="AR407" s="24" t="n"/>
      <c r="AS407" s="24" t="n"/>
      <c r="AT407" s="25" t="n"/>
    </row>
    <row r="408" outlineLevel="2">
      <c r="A408" s="8" t="n"/>
      <c r="B408" s="14" t="n"/>
      <c r="C408" s="41" t="n"/>
      <c r="D408" s="134">
        <f>DADOS_AM!$KS$17</f>
        <v/>
      </c>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c r="AI408" s="16" t="n"/>
      <c r="AJ408" s="16" t="n"/>
      <c r="AK408" s="16" t="n"/>
      <c r="AL408" s="16" t="n"/>
      <c r="AM408" s="16" t="n"/>
      <c r="AN408" s="16" t="n"/>
      <c r="AO408" s="16" t="n"/>
      <c r="AP408" s="16" t="n"/>
      <c r="AQ408" s="16" t="n"/>
      <c r="AR408" s="16" t="n"/>
      <c r="AS408" s="16" t="n"/>
      <c r="AT408" s="17" t="n"/>
    </row>
    <row r="409" hidden="1" outlineLevel="3">
      <c r="A409" s="8" t="n"/>
      <c r="B409" s="14" t="n"/>
      <c r="C409" s="41" t="n"/>
      <c r="D409" s="132">
        <f>DADOS_AM!$KN$8</f>
        <v/>
      </c>
      <c r="E409" s="17" t="n"/>
      <c r="F409" s="131">
        <f>DADOS_AM!$KO$8</f>
        <v/>
      </c>
      <c r="G409" s="16" t="n"/>
      <c r="H409" s="16" t="n"/>
      <c r="I409" s="16" t="n"/>
      <c r="J409" s="16" t="n"/>
      <c r="K409" s="16" t="n"/>
      <c r="L409" s="16" t="n"/>
      <c r="M409" s="16" t="n"/>
      <c r="N409" s="16" t="n"/>
      <c r="O409" s="16" t="n"/>
      <c r="P409" s="17" t="n"/>
      <c r="Q409" s="41" t="n"/>
      <c r="R409" s="41" t="n"/>
      <c r="S409" s="132">
        <f>DADOS_AM!$KN$9</f>
        <v/>
      </c>
      <c r="T409" s="17" t="n"/>
      <c r="U409" s="131">
        <f>DADOS_AM!$KO$9</f>
        <v/>
      </c>
      <c r="V409" s="16" t="n"/>
      <c r="W409" s="16" t="n"/>
      <c r="X409" s="16" t="n"/>
      <c r="Y409" s="16" t="n"/>
      <c r="Z409" s="16" t="n"/>
      <c r="AA409" s="16" t="n"/>
      <c r="AB409" s="16" t="n"/>
      <c r="AC409" s="16" t="n"/>
      <c r="AD409" s="16" t="n"/>
      <c r="AE409" s="17" t="n"/>
      <c r="AF409" s="41" t="n"/>
      <c r="AG409" s="41" t="n"/>
      <c r="AH409" s="132">
        <f>DADOS_AM!$KN$10</f>
        <v/>
      </c>
      <c r="AI409" s="17" t="n"/>
      <c r="AJ409" s="131">
        <f>DADOS_AM!$KO$10</f>
        <v/>
      </c>
      <c r="AK409" s="16" t="n"/>
      <c r="AL409" s="16" t="n"/>
      <c r="AM409" s="16" t="n"/>
      <c r="AN409" s="16" t="n"/>
      <c r="AO409" s="16" t="n"/>
      <c r="AP409" s="16" t="n"/>
      <c r="AQ409" s="16" t="n"/>
      <c r="AR409" s="16" t="n"/>
      <c r="AS409" s="16" t="n"/>
      <c r="AT409" s="17" t="n"/>
    </row>
    <row r="410" hidden="1" outlineLevel="4">
      <c r="A410" s="8" t="n"/>
      <c r="B410" s="14" t="n"/>
      <c r="C410" s="41" t="n"/>
      <c r="D410" s="61">
        <f>DADOS_AM!$KP$8</f>
        <v/>
      </c>
      <c r="E410" s="19" t="n"/>
      <c r="F410" s="19" t="n"/>
      <c r="G410" s="19" t="n"/>
      <c r="H410" s="19" t="n"/>
      <c r="I410" s="19" t="n"/>
      <c r="J410" s="19" t="n"/>
      <c r="K410" s="19" t="n"/>
      <c r="L410" s="19" t="n"/>
      <c r="M410" s="19" t="n"/>
      <c r="N410" s="19" t="n"/>
      <c r="O410" s="19" t="n"/>
      <c r="P410" s="20" t="n"/>
      <c r="Q410" s="41" t="n"/>
      <c r="R410" s="41" t="n"/>
      <c r="S410" s="61">
        <f>DADOS_AM!$KP$9</f>
        <v/>
      </c>
      <c r="T410" s="19" t="n"/>
      <c r="U410" s="19" t="n"/>
      <c r="V410" s="19" t="n"/>
      <c r="W410" s="19" t="n"/>
      <c r="X410" s="19" t="n"/>
      <c r="Y410" s="19" t="n"/>
      <c r="Z410" s="19" t="n"/>
      <c r="AA410" s="19" t="n"/>
      <c r="AB410" s="19" t="n"/>
      <c r="AC410" s="19" t="n"/>
      <c r="AD410" s="19" t="n"/>
      <c r="AE410" s="20" t="n"/>
      <c r="AF410" s="41" t="n"/>
      <c r="AG410" s="41" t="n"/>
      <c r="AH410" s="61">
        <f>DADOS_AM!$KP$10</f>
        <v/>
      </c>
      <c r="AI410" s="19" t="n"/>
      <c r="AJ410" s="19" t="n"/>
      <c r="AK410" s="19" t="n"/>
      <c r="AL410" s="19" t="n"/>
      <c r="AM410" s="19" t="n"/>
      <c r="AN410" s="19" t="n"/>
      <c r="AO410" s="19" t="n"/>
      <c r="AP410" s="19" t="n"/>
      <c r="AQ410" s="19" t="n"/>
      <c r="AR410" s="19" t="n"/>
      <c r="AS410" s="19" t="n"/>
      <c r="AT410" s="20" t="n"/>
    </row>
    <row r="411" hidden="1" outlineLevel="4">
      <c r="A411" s="8" t="n"/>
      <c r="B411" s="14" t="n"/>
      <c r="C411" s="41" t="n"/>
      <c r="D411" s="21" t="n"/>
      <c r="P411" s="22" t="n"/>
      <c r="Q411" s="41" t="n"/>
      <c r="R411" s="41" t="n"/>
      <c r="S411" s="21" t="n"/>
      <c r="AE411" s="22" t="n"/>
      <c r="AF411" s="41" t="n"/>
      <c r="AG411" s="41" t="n"/>
      <c r="AH411" s="21" t="n"/>
      <c r="AT411" s="22" t="n"/>
    </row>
    <row r="412" hidden="1" outlineLevel="4">
      <c r="A412" s="8" t="n"/>
      <c r="B412" s="14" t="n"/>
      <c r="C412" s="41" t="n"/>
      <c r="D412" s="21" t="n"/>
      <c r="P412" s="22" t="n"/>
      <c r="Q412" s="41" t="n"/>
      <c r="R412" s="41" t="n"/>
      <c r="S412" s="21" t="n"/>
      <c r="AE412" s="22" t="n"/>
      <c r="AF412" s="41" t="n"/>
      <c r="AG412" s="41" t="n"/>
      <c r="AH412" s="21" t="n"/>
      <c r="AT412" s="22" t="n"/>
    </row>
    <row r="413" hidden="1" outlineLevel="4">
      <c r="A413" s="8" t="n"/>
      <c r="B413" s="14" t="n"/>
      <c r="C413" s="41" t="n"/>
      <c r="D413" s="21" t="n"/>
      <c r="P413" s="22" t="n"/>
      <c r="Q413" s="41" t="n"/>
      <c r="R413" s="41" t="n"/>
      <c r="S413" s="21" t="n"/>
      <c r="AE413" s="22" t="n"/>
      <c r="AF413" s="41" t="n"/>
      <c r="AG413" s="41" t="n"/>
      <c r="AH413" s="21" t="n"/>
      <c r="AT413" s="22" t="n"/>
    </row>
    <row r="414" hidden="1" outlineLevel="4">
      <c r="A414" s="8" t="n"/>
      <c r="B414" s="14" t="n"/>
      <c r="C414" s="41" t="n"/>
      <c r="D414" s="21" t="n"/>
      <c r="P414" s="22" t="n"/>
      <c r="Q414" s="41" t="n"/>
      <c r="R414" s="41" t="n"/>
      <c r="S414" s="21" t="n"/>
      <c r="AE414" s="22" t="n"/>
      <c r="AF414" s="41" t="n"/>
      <c r="AG414" s="41" t="n"/>
      <c r="AH414" s="21" t="n"/>
      <c r="AT414" s="22" t="n"/>
    </row>
    <row r="415" hidden="1" outlineLevel="4">
      <c r="A415" s="8" t="n"/>
      <c r="B415" s="14" t="n"/>
      <c r="C415" s="41" t="n"/>
      <c r="D415" s="23" t="n"/>
      <c r="E415" s="24" t="n"/>
      <c r="F415" s="24" t="n"/>
      <c r="G415" s="24" t="n"/>
      <c r="H415" s="24" t="n"/>
      <c r="I415" s="24" t="n"/>
      <c r="J415" s="24" t="n"/>
      <c r="K415" s="24" t="n"/>
      <c r="L415" s="24" t="n"/>
      <c r="M415" s="24" t="n"/>
      <c r="N415" s="24" t="n"/>
      <c r="O415" s="24" t="n"/>
      <c r="P415" s="25" t="n"/>
      <c r="Q415" s="41" t="n"/>
      <c r="R415" s="41" t="n"/>
      <c r="S415" s="23" t="n"/>
      <c r="T415" s="24" t="n"/>
      <c r="U415" s="24" t="n"/>
      <c r="V415" s="24" t="n"/>
      <c r="W415" s="24" t="n"/>
      <c r="X415" s="24" t="n"/>
      <c r="Y415" s="24" t="n"/>
      <c r="Z415" s="24" t="n"/>
      <c r="AA415" s="24" t="n"/>
      <c r="AB415" s="24" t="n"/>
      <c r="AC415" s="24" t="n"/>
      <c r="AD415" s="24" t="n"/>
      <c r="AE415" s="25" t="n"/>
      <c r="AF415" s="41" t="n"/>
      <c r="AG415" s="41" t="n"/>
      <c r="AH415" s="23" t="n"/>
      <c r="AI415" s="24" t="n"/>
      <c r="AJ415" s="24" t="n"/>
      <c r="AK415" s="24" t="n"/>
      <c r="AL415" s="24" t="n"/>
      <c r="AM415" s="24" t="n"/>
      <c r="AN415" s="24" t="n"/>
      <c r="AO415" s="24" t="n"/>
      <c r="AP415" s="24" t="n"/>
      <c r="AQ415" s="24" t="n"/>
      <c r="AR415" s="24" t="n"/>
      <c r="AS415" s="24" t="n"/>
      <c r="AT415" s="25" t="n"/>
    </row>
    <row r="416" hidden="1" outlineLevel="3">
      <c r="A416" s="8" t="n"/>
      <c r="B416" s="14"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1" t="n"/>
      <c r="AD416" s="41" t="n"/>
      <c r="AE416" s="41" t="n"/>
      <c r="AF416" s="41" t="n"/>
      <c r="AG416" s="41" t="n"/>
      <c r="AH416" s="41" t="n"/>
      <c r="AI416" s="41" t="n"/>
      <c r="AJ416" s="41" t="n"/>
      <c r="AK416" s="41" t="n"/>
      <c r="AL416" s="41" t="n"/>
      <c r="AM416" s="41" t="n"/>
      <c r="AN416" s="41" t="n"/>
      <c r="AO416" s="41" t="n"/>
      <c r="AP416" s="41" t="n"/>
      <c r="AQ416" s="41" t="n"/>
      <c r="AR416" s="41" t="n"/>
      <c r="AS416" s="41" t="n"/>
      <c r="AT416" s="41" t="n"/>
    </row>
    <row r="417" hidden="1" outlineLevel="3">
      <c r="A417" s="8" t="n"/>
      <c r="B417" s="14" t="n"/>
      <c r="C417" s="41" t="n"/>
      <c r="D417" s="132">
        <f>DADOS_AM!$KN$11</f>
        <v/>
      </c>
      <c r="E417" s="17" t="n"/>
      <c r="F417" s="131">
        <f>DADOS_AM!$KO$11</f>
        <v/>
      </c>
      <c r="G417" s="16" t="n"/>
      <c r="H417" s="16" t="n"/>
      <c r="I417" s="16" t="n"/>
      <c r="J417" s="16" t="n"/>
      <c r="K417" s="16" t="n"/>
      <c r="L417" s="16" t="n"/>
      <c r="M417" s="16" t="n"/>
      <c r="N417" s="16" t="n"/>
      <c r="O417" s="16" t="n"/>
      <c r="P417" s="17" t="n"/>
      <c r="Q417" s="41" t="n"/>
      <c r="R417" s="41" t="n"/>
      <c r="S417" s="132">
        <f>DADOS_AM!$KN$12</f>
        <v/>
      </c>
      <c r="T417" s="17" t="n"/>
      <c r="U417" s="131">
        <f>DADOS_AM!$KO$12</f>
        <v/>
      </c>
      <c r="V417" s="16" t="n"/>
      <c r="W417" s="16" t="n"/>
      <c r="X417" s="16" t="n"/>
      <c r="Y417" s="16" t="n"/>
      <c r="Z417" s="16" t="n"/>
      <c r="AA417" s="16" t="n"/>
      <c r="AB417" s="16" t="n"/>
      <c r="AC417" s="16" t="n"/>
      <c r="AD417" s="16" t="n"/>
      <c r="AE417" s="17" t="n"/>
      <c r="AF417" s="41" t="n"/>
      <c r="AG417" s="41" t="n"/>
      <c r="AH417" s="132">
        <f>DADOS_AM!$KN$13</f>
        <v/>
      </c>
      <c r="AI417" s="17" t="n"/>
      <c r="AJ417" s="131">
        <f>DADOS_AM!$KO$13</f>
        <v/>
      </c>
      <c r="AK417" s="16" t="n"/>
      <c r="AL417" s="16" t="n"/>
      <c r="AM417" s="16" t="n"/>
      <c r="AN417" s="16" t="n"/>
      <c r="AO417" s="16" t="n"/>
      <c r="AP417" s="16" t="n"/>
      <c r="AQ417" s="16" t="n"/>
      <c r="AR417" s="16" t="n"/>
      <c r="AS417" s="16" t="n"/>
      <c r="AT417" s="17" t="n"/>
    </row>
    <row r="418" hidden="1" outlineLevel="4">
      <c r="A418" s="8" t="n"/>
      <c r="B418" s="14" t="n"/>
      <c r="C418" s="41" t="n"/>
      <c r="D418" s="61">
        <f>DADOS_AM!$KP$11</f>
        <v/>
      </c>
      <c r="E418" s="19" t="n"/>
      <c r="F418" s="19" t="n"/>
      <c r="G418" s="19" t="n"/>
      <c r="H418" s="19" t="n"/>
      <c r="I418" s="19" t="n"/>
      <c r="J418" s="19" t="n"/>
      <c r="K418" s="19" t="n"/>
      <c r="L418" s="19" t="n"/>
      <c r="M418" s="19" t="n"/>
      <c r="N418" s="19" t="n"/>
      <c r="O418" s="19" t="n"/>
      <c r="P418" s="20" t="n"/>
      <c r="Q418" s="41" t="n"/>
      <c r="R418" s="41" t="n"/>
      <c r="S418" s="61">
        <f>DADOS_AM!$KP$12</f>
        <v/>
      </c>
      <c r="T418" s="19" t="n"/>
      <c r="U418" s="19" t="n"/>
      <c r="V418" s="19" t="n"/>
      <c r="W418" s="19" t="n"/>
      <c r="X418" s="19" t="n"/>
      <c r="Y418" s="19" t="n"/>
      <c r="Z418" s="19" t="n"/>
      <c r="AA418" s="19" t="n"/>
      <c r="AB418" s="19" t="n"/>
      <c r="AC418" s="19" t="n"/>
      <c r="AD418" s="19" t="n"/>
      <c r="AE418" s="20" t="n"/>
      <c r="AF418" s="41" t="n"/>
      <c r="AG418" s="41" t="n"/>
      <c r="AH418" s="61">
        <f>DADOS_AM!$KP$13</f>
        <v/>
      </c>
      <c r="AI418" s="19" t="n"/>
      <c r="AJ418" s="19" t="n"/>
      <c r="AK418" s="19" t="n"/>
      <c r="AL418" s="19" t="n"/>
      <c r="AM418" s="19" t="n"/>
      <c r="AN418" s="19" t="n"/>
      <c r="AO418" s="19" t="n"/>
      <c r="AP418" s="19" t="n"/>
      <c r="AQ418" s="19" t="n"/>
      <c r="AR418" s="19" t="n"/>
      <c r="AS418" s="19" t="n"/>
      <c r="AT418" s="20" t="n"/>
    </row>
    <row r="419" hidden="1" outlineLevel="4">
      <c r="A419" s="8" t="n"/>
      <c r="B419" s="14" t="n"/>
      <c r="C419" s="41" t="n"/>
      <c r="D419" s="21" t="n"/>
      <c r="P419" s="22" t="n"/>
      <c r="Q419" s="41" t="n"/>
      <c r="R419" s="41" t="n"/>
      <c r="S419" s="21" t="n"/>
      <c r="AE419" s="22" t="n"/>
      <c r="AF419" s="41" t="n"/>
      <c r="AG419" s="41" t="n"/>
      <c r="AH419" s="21" t="n"/>
      <c r="AT419" s="22" t="n"/>
    </row>
    <row r="420" hidden="1" outlineLevel="4">
      <c r="A420" s="8" t="n"/>
      <c r="B420" s="14" t="n"/>
      <c r="C420" s="41" t="n"/>
      <c r="D420" s="21" t="n"/>
      <c r="P420" s="22" t="n"/>
      <c r="Q420" s="41" t="n"/>
      <c r="R420" s="41" t="n"/>
      <c r="S420" s="21" t="n"/>
      <c r="AE420" s="22" t="n"/>
      <c r="AF420" s="41" t="n"/>
      <c r="AG420" s="41" t="n"/>
      <c r="AH420" s="21" t="n"/>
      <c r="AT420" s="22" t="n"/>
    </row>
    <row r="421" hidden="1" outlineLevel="4">
      <c r="A421" s="8" t="n"/>
      <c r="B421" s="14" t="n"/>
      <c r="C421" s="41" t="n"/>
      <c r="D421" s="21" t="n"/>
      <c r="P421" s="22" t="n"/>
      <c r="Q421" s="41" t="n"/>
      <c r="R421" s="41" t="n"/>
      <c r="S421" s="21" t="n"/>
      <c r="AE421" s="22" t="n"/>
      <c r="AF421" s="41" t="n"/>
      <c r="AG421" s="41" t="n"/>
      <c r="AH421" s="21" t="n"/>
      <c r="AT421" s="22" t="n"/>
    </row>
    <row r="422" hidden="1" outlineLevel="4">
      <c r="A422" s="8" t="n"/>
      <c r="B422" s="14" t="n"/>
      <c r="C422" s="41" t="n"/>
      <c r="D422" s="21" t="n"/>
      <c r="P422" s="22" t="n"/>
      <c r="Q422" s="41" t="n"/>
      <c r="R422" s="41" t="n"/>
      <c r="S422" s="21" t="n"/>
      <c r="AE422" s="22" t="n"/>
      <c r="AF422" s="41" t="n"/>
      <c r="AG422" s="41" t="n"/>
      <c r="AH422" s="21" t="n"/>
      <c r="AT422" s="22" t="n"/>
    </row>
    <row r="423" hidden="1" outlineLevel="4">
      <c r="A423" s="8" t="n"/>
      <c r="B423" s="14" t="n"/>
      <c r="C423" s="41" t="n"/>
      <c r="D423" s="23" t="n"/>
      <c r="E423" s="24" t="n"/>
      <c r="F423" s="24" t="n"/>
      <c r="G423" s="24" t="n"/>
      <c r="H423" s="24" t="n"/>
      <c r="I423" s="24" t="n"/>
      <c r="J423" s="24" t="n"/>
      <c r="K423" s="24" t="n"/>
      <c r="L423" s="24" t="n"/>
      <c r="M423" s="24" t="n"/>
      <c r="N423" s="24" t="n"/>
      <c r="O423" s="24" t="n"/>
      <c r="P423" s="25" t="n"/>
      <c r="Q423" s="41" t="n"/>
      <c r="R423" s="41" t="n"/>
      <c r="S423" s="23" t="n"/>
      <c r="T423" s="24" t="n"/>
      <c r="U423" s="24" t="n"/>
      <c r="V423" s="24" t="n"/>
      <c r="W423" s="24" t="n"/>
      <c r="X423" s="24" t="n"/>
      <c r="Y423" s="24" t="n"/>
      <c r="Z423" s="24" t="n"/>
      <c r="AA423" s="24" t="n"/>
      <c r="AB423" s="24" t="n"/>
      <c r="AC423" s="24" t="n"/>
      <c r="AD423" s="24" t="n"/>
      <c r="AE423" s="25" t="n"/>
      <c r="AF423" s="41" t="n"/>
      <c r="AG423" s="41" t="n"/>
      <c r="AH423" s="23" t="n"/>
      <c r="AI423" s="24" t="n"/>
      <c r="AJ423" s="24" t="n"/>
      <c r="AK423" s="24" t="n"/>
      <c r="AL423" s="24" t="n"/>
      <c r="AM423" s="24" t="n"/>
      <c r="AN423" s="24" t="n"/>
      <c r="AO423" s="24" t="n"/>
      <c r="AP423" s="24" t="n"/>
      <c r="AQ423" s="24" t="n"/>
      <c r="AR423" s="24" t="n"/>
      <c r="AS423" s="24" t="n"/>
      <c r="AT423" s="25" t="n"/>
    </row>
    <row r="424" outlineLevel="2">
      <c r="A424" s="8" t="n"/>
      <c r="B424" s="14" t="n"/>
      <c r="C424" s="41" t="n"/>
      <c r="D424" s="134">
        <f>DADOS_AM!$KS$18</f>
        <v/>
      </c>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c r="AI424" s="16" t="n"/>
      <c r="AJ424" s="16" t="n"/>
      <c r="AK424" s="16" t="n"/>
      <c r="AL424" s="16" t="n"/>
      <c r="AM424" s="16" t="n"/>
      <c r="AN424" s="16" t="n"/>
      <c r="AO424" s="16" t="n"/>
      <c r="AP424" s="16" t="n"/>
      <c r="AQ424" s="16" t="n"/>
      <c r="AR424" s="16" t="n"/>
      <c r="AS424" s="16" t="n"/>
      <c r="AT424" s="17" t="n"/>
    </row>
    <row r="425" hidden="1" outlineLevel="3">
      <c r="A425" s="8" t="n"/>
      <c r="B425" s="14" t="n"/>
      <c r="C425" s="41" t="n"/>
      <c r="D425" s="132">
        <f>DADOS_AM!$KN$14</f>
        <v/>
      </c>
      <c r="E425" s="17" t="n"/>
      <c r="F425" s="131">
        <f>DADOS_AM!$KO$14</f>
        <v/>
      </c>
      <c r="G425" s="16" t="n"/>
      <c r="H425" s="16" t="n"/>
      <c r="I425" s="16" t="n"/>
      <c r="J425" s="16" t="n"/>
      <c r="K425" s="16" t="n"/>
      <c r="L425" s="16" t="n"/>
      <c r="M425" s="16" t="n"/>
      <c r="N425" s="16" t="n"/>
      <c r="O425" s="16" t="n"/>
      <c r="P425" s="17" t="n"/>
      <c r="Q425" s="41" t="n"/>
      <c r="R425" s="41" t="n"/>
      <c r="S425" s="132">
        <f>DADOS_AM!$KN$15</f>
        <v/>
      </c>
      <c r="T425" s="17" t="n"/>
      <c r="U425" s="131">
        <f>DADOS_AM!$KO$15</f>
        <v/>
      </c>
      <c r="V425" s="16" t="n"/>
      <c r="W425" s="16" t="n"/>
      <c r="X425" s="16" t="n"/>
      <c r="Y425" s="16" t="n"/>
      <c r="Z425" s="16" t="n"/>
      <c r="AA425" s="16" t="n"/>
      <c r="AB425" s="16" t="n"/>
      <c r="AC425" s="16" t="n"/>
      <c r="AD425" s="16" t="n"/>
      <c r="AE425" s="17" t="n"/>
      <c r="AF425" s="41" t="n"/>
      <c r="AG425" s="41" t="n"/>
      <c r="AH425" s="41" t="n"/>
      <c r="AI425" s="41" t="n"/>
      <c r="AJ425" s="41" t="n"/>
      <c r="AK425" s="41" t="n"/>
      <c r="AL425" s="41" t="n"/>
      <c r="AM425" s="41" t="n"/>
      <c r="AN425" s="41" t="n"/>
      <c r="AO425" s="41" t="n"/>
      <c r="AP425" s="41" t="n"/>
      <c r="AQ425" s="41" t="n"/>
      <c r="AR425" s="41" t="n"/>
      <c r="AS425" s="41" t="n"/>
      <c r="AT425" s="41" t="n"/>
    </row>
    <row r="426" hidden="1" outlineLevel="4">
      <c r="A426" s="8" t="n"/>
      <c r="B426" s="14" t="n"/>
      <c r="C426" s="41" t="n"/>
      <c r="D426" s="61">
        <f>DADOS_AM!$KP$14</f>
        <v/>
      </c>
      <c r="E426" s="19" t="n"/>
      <c r="F426" s="19" t="n"/>
      <c r="G426" s="19" t="n"/>
      <c r="H426" s="19" t="n"/>
      <c r="I426" s="19" t="n"/>
      <c r="J426" s="19" t="n"/>
      <c r="K426" s="19" t="n"/>
      <c r="L426" s="19" t="n"/>
      <c r="M426" s="19" t="n"/>
      <c r="N426" s="19" t="n"/>
      <c r="O426" s="19" t="n"/>
      <c r="P426" s="20" t="n"/>
      <c r="Q426" s="41" t="n"/>
      <c r="R426" s="41" t="n"/>
      <c r="S426" s="61">
        <f>DADOS_AM!$KP$15</f>
        <v/>
      </c>
      <c r="T426" s="19" t="n"/>
      <c r="U426" s="19" t="n"/>
      <c r="V426" s="19" t="n"/>
      <c r="W426" s="19" t="n"/>
      <c r="X426" s="19" t="n"/>
      <c r="Y426" s="19" t="n"/>
      <c r="Z426" s="19" t="n"/>
      <c r="AA426" s="19" t="n"/>
      <c r="AB426" s="19" t="n"/>
      <c r="AC426" s="19" t="n"/>
      <c r="AD426" s="19" t="n"/>
      <c r="AE426" s="20" t="n"/>
      <c r="AF426" s="41" t="n"/>
      <c r="AG426" s="41" t="n"/>
      <c r="AH426" s="41" t="n"/>
      <c r="AI426" s="41" t="n"/>
      <c r="AJ426" s="41" t="n"/>
      <c r="AK426" s="41" t="n"/>
      <c r="AL426" s="41" t="n"/>
      <c r="AM426" s="41" t="n"/>
      <c r="AN426" s="41" t="n"/>
      <c r="AO426" s="41" t="n"/>
      <c r="AP426" s="41" t="n"/>
      <c r="AQ426" s="41" t="n"/>
      <c r="AR426" s="41" t="n"/>
      <c r="AS426" s="41" t="n"/>
      <c r="AT426" s="41" t="n"/>
    </row>
    <row r="427" hidden="1" outlineLevel="4">
      <c r="A427" s="8" t="n"/>
      <c r="B427" s="14" t="n"/>
      <c r="C427" s="41" t="n"/>
      <c r="D427" s="21" t="n"/>
      <c r="P427" s="22" t="n"/>
      <c r="Q427" s="41" t="n"/>
      <c r="R427" s="41" t="n"/>
      <c r="S427" s="21" t="n"/>
      <c r="AE427" s="22" t="n"/>
      <c r="AF427" s="41" t="n"/>
      <c r="AG427" s="41" t="n"/>
      <c r="AH427" s="41" t="n"/>
      <c r="AI427" s="41" t="n"/>
      <c r="AJ427" s="41" t="n"/>
      <c r="AK427" s="41" t="n"/>
      <c r="AL427" s="41" t="n"/>
      <c r="AM427" s="41" t="n"/>
      <c r="AN427" s="41" t="n"/>
      <c r="AO427" s="41" t="n"/>
      <c r="AP427" s="41" t="n"/>
      <c r="AQ427" s="41" t="n"/>
      <c r="AR427" s="41" t="n"/>
      <c r="AS427" s="41" t="n"/>
      <c r="AT427" s="41" t="n"/>
    </row>
    <row r="428" hidden="1" outlineLevel="4">
      <c r="A428" s="8" t="n"/>
      <c r="B428" s="14" t="n"/>
      <c r="C428" s="41" t="n"/>
      <c r="D428" s="21" t="n"/>
      <c r="P428" s="22" t="n"/>
      <c r="Q428" s="41" t="n"/>
      <c r="R428" s="41" t="n"/>
      <c r="S428" s="21" t="n"/>
      <c r="AE428" s="22" t="n"/>
      <c r="AF428" s="41" t="n"/>
      <c r="AG428" s="41" t="n"/>
      <c r="AH428" s="41" t="n"/>
      <c r="AI428" s="41" t="n"/>
      <c r="AJ428" s="41" t="n"/>
      <c r="AK428" s="41" t="n"/>
      <c r="AL428" s="41" t="n"/>
      <c r="AM428" s="41" t="n"/>
      <c r="AN428" s="41" t="n"/>
      <c r="AO428" s="41" t="n"/>
      <c r="AP428" s="41" t="n"/>
      <c r="AQ428" s="41" t="n"/>
      <c r="AR428" s="41" t="n"/>
      <c r="AS428" s="41" t="n"/>
      <c r="AT428" s="41" t="n"/>
    </row>
    <row r="429" hidden="1" outlineLevel="4">
      <c r="A429" s="8" t="n"/>
      <c r="B429" s="14" t="n"/>
      <c r="C429" s="41" t="n"/>
      <c r="D429" s="21" t="n"/>
      <c r="P429" s="22" t="n"/>
      <c r="Q429" s="41" t="n"/>
      <c r="R429" s="41" t="n"/>
      <c r="S429" s="21" t="n"/>
      <c r="AE429" s="22" t="n"/>
      <c r="AF429" s="41" t="n"/>
      <c r="AG429" s="41" t="n"/>
      <c r="AH429" s="41" t="n"/>
      <c r="AI429" s="41" t="n"/>
      <c r="AJ429" s="41" t="n"/>
      <c r="AK429" s="41" t="n"/>
      <c r="AL429" s="41" t="n"/>
      <c r="AM429" s="41" t="n"/>
      <c r="AN429" s="41" t="n"/>
      <c r="AO429" s="41" t="n"/>
      <c r="AP429" s="41" t="n"/>
      <c r="AQ429" s="41" t="n"/>
      <c r="AR429" s="41" t="n"/>
      <c r="AS429" s="41" t="n"/>
      <c r="AT429" s="41" t="n"/>
    </row>
    <row r="430" hidden="1" outlineLevel="4">
      <c r="A430" s="8" t="n"/>
      <c r="B430" s="14" t="n"/>
      <c r="C430" s="41" t="n"/>
      <c r="D430" s="21" t="n"/>
      <c r="P430" s="22" t="n"/>
      <c r="Q430" s="41" t="n"/>
      <c r="R430" s="41" t="n"/>
      <c r="S430" s="21" t="n"/>
      <c r="AE430" s="22" t="n"/>
      <c r="AF430" s="41" t="n"/>
      <c r="AG430" s="41" t="n"/>
      <c r="AH430" s="41" t="n"/>
      <c r="AI430" s="41" t="n"/>
      <c r="AJ430" s="41" t="n"/>
      <c r="AK430" s="41" t="n"/>
      <c r="AL430" s="41" t="n"/>
      <c r="AM430" s="41" t="n"/>
      <c r="AN430" s="41" t="n"/>
      <c r="AO430" s="41" t="n"/>
      <c r="AP430" s="41" t="n"/>
      <c r="AQ430" s="41" t="n"/>
      <c r="AR430" s="41" t="n"/>
      <c r="AS430" s="41" t="n"/>
      <c r="AT430" s="41" t="n"/>
    </row>
    <row r="431" hidden="1" outlineLevel="4">
      <c r="A431" s="8" t="n"/>
      <c r="B431" s="14" t="n"/>
      <c r="C431" s="41" t="n"/>
      <c r="D431" s="23" t="n"/>
      <c r="E431" s="24" t="n"/>
      <c r="F431" s="24" t="n"/>
      <c r="G431" s="24" t="n"/>
      <c r="H431" s="24" t="n"/>
      <c r="I431" s="24" t="n"/>
      <c r="J431" s="24" t="n"/>
      <c r="K431" s="24" t="n"/>
      <c r="L431" s="24" t="n"/>
      <c r="M431" s="24" t="n"/>
      <c r="N431" s="24" t="n"/>
      <c r="O431" s="24" t="n"/>
      <c r="P431" s="25" t="n"/>
      <c r="Q431" s="41" t="n"/>
      <c r="R431" s="41" t="n"/>
      <c r="S431" s="23" t="n"/>
      <c r="T431" s="24" t="n"/>
      <c r="U431" s="24" t="n"/>
      <c r="V431" s="24" t="n"/>
      <c r="W431" s="24" t="n"/>
      <c r="X431" s="24" t="n"/>
      <c r="Y431" s="24" t="n"/>
      <c r="Z431" s="24" t="n"/>
      <c r="AA431" s="24" t="n"/>
      <c r="AB431" s="24" t="n"/>
      <c r="AC431" s="24" t="n"/>
      <c r="AD431" s="24" t="n"/>
      <c r="AE431" s="25" t="n"/>
      <c r="AF431" s="41" t="n"/>
      <c r="AG431" s="41" t="n"/>
      <c r="AH431" s="41" t="n"/>
      <c r="AI431" s="41" t="n"/>
      <c r="AJ431" s="41" t="n"/>
      <c r="AK431" s="41" t="n"/>
      <c r="AL431" s="41" t="n"/>
      <c r="AM431" s="41" t="n"/>
      <c r="AN431" s="41" t="n"/>
      <c r="AO431" s="41" t="n"/>
      <c r="AP431" s="41" t="n"/>
      <c r="AQ431" s="41" t="n"/>
      <c r="AR431" s="41" t="n"/>
      <c r="AS431" s="41" t="n"/>
      <c r="AT431" s="41" t="n"/>
    </row>
    <row r="432" outlineLevel="2">
      <c r="A432" s="8" t="n"/>
      <c r="B432" s="14"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1" t="n"/>
      <c r="AD432" s="41" t="n"/>
      <c r="AE432" s="41" t="n"/>
      <c r="AF432" s="41" t="n"/>
      <c r="AG432" s="41" t="n"/>
      <c r="AH432" s="41" t="n"/>
      <c r="AI432" s="41" t="n"/>
      <c r="AJ432" s="41" t="n"/>
      <c r="AK432" s="41" t="n"/>
      <c r="AL432" s="41" t="n"/>
      <c r="AM432" s="41" t="n"/>
      <c r="AN432" s="41" t="n"/>
      <c r="AO432" s="41" t="n"/>
      <c r="AP432" s="41" t="n"/>
      <c r="AQ432" s="41" t="n"/>
      <c r="AR432" s="41" t="n"/>
      <c r="AS432" s="41" t="n"/>
      <c r="AT432" s="41" t="n"/>
    </row>
    <row r="433">
      <c r="A433" s="8" t="n"/>
      <c r="B433" s="14"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c r="AE433" s="41" t="n"/>
      <c r="AF433" s="41" t="n"/>
      <c r="AG433" s="41" t="n"/>
      <c r="AH433" s="41" t="n"/>
      <c r="AI433" s="41" t="n"/>
      <c r="AJ433" s="41" t="n"/>
      <c r="AK433" s="41" t="n"/>
      <c r="AL433" s="41" t="n"/>
      <c r="AM433" s="41" t="n"/>
      <c r="AN433" s="41" t="n"/>
      <c r="AO433" s="41" t="n"/>
      <c r="AP433" s="41" t="n"/>
      <c r="AQ433" s="41" t="n"/>
      <c r="AR433" s="41" t="n"/>
      <c r="AS433" s="41" t="n"/>
      <c r="AT433" s="41" t="n"/>
    </row>
    <row r="434">
      <c r="A434" s="8" t="n"/>
      <c r="B434" s="14" t="n"/>
    </row>
    <row r="435">
      <c r="A435" s="8" t="n"/>
      <c r="B435" s="14" t="n"/>
    </row>
    <row r="436">
      <c r="A436" s="8" t="n"/>
      <c r="B436" s="14" t="n"/>
    </row>
    <row r="437" hidden="1" ht="18.75" customHeight="1">
      <c r="A437" s="8" t="n"/>
      <c r="B437" s="14" t="n"/>
      <c r="D437" s="101" t="inlineStr">
        <is>
          <t>PERÍCIA CUSTOM · 1–12</t>
        </is>
      </c>
      <c r="E437" s="16" t="n"/>
      <c r="F437" s="16" t="n"/>
      <c r="G437" s="16" t="n"/>
      <c r="H437" s="16" t="n"/>
      <c r="I437" s="16" t="n"/>
      <c r="J437" s="16" t="n"/>
      <c r="K437" s="16" t="n"/>
      <c r="L437" s="16" t="n"/>
      <c r="M437" s="16" t="n"/>
      <c r="N437" s="16" t="n"/>
      <c r="O437" s="16" t="n"/>
      <c r="P437" s="16" t="n"/>
      <c r="Q437" s="16" t="n"/>
      <c r="R437" s="16" t="n"/>
      <c r="S437" s="16" t="n"/>
      <c r="T437" s="16" t="n"/>
      <c r="U437" s="17" t="n"/>
      <c r="X437" s="101" t="inlineStr">
        <is>
          <t>PERÍCIA CUSTOM · 13–23</t>
        </is>
      </c>
      <c r="Y437" s="16" t="n"/>
      <c r="Z437" s="16" t="n"/>
      <c r="AA437" s="16" t="n"/>
      <c r="AB437" s="16" t="n"/>
      <c r="AC437" s="16" t="n"/>
      <c r="AD437" s="16" t="n"/>
      <c r="AE437" s="16" t="n"/>
      <c r="AF437" s="16" t="n"/>
      <c r="AG437" s="16" t="n"/>
      <c r="AH437" s="16" t="n"/>
      <c r="AI437" s="16" t="n"/>
      <c r="AJ437" s="16" t="n"/>
      <c r="AK437" s="16" t="n"/>
      <c r="AL437" s="16" t="n"/>
      <c r="AM437" s="16" t="n"/>
      <c r="AN437" s="16" t="n"/>
      <c r="AO437" s="17" t="n"/>
    </row>
    <row r="438" hidden="1" ht="18.75" customHeight="1">
      <c r="A438" s="8" t="n"/>
      <c r="B438" s="14" t="n"/>
      <c r="D438" s="135" t="inlineStr">
        <is>
          <t>T</t>
        </is>
      </c>
      <c r="E438" s="135" t="inlineStr">
        <is>
          <t>E</t>
        </is>
      </c>
      <c r="F438" s="135" t="inlineStr">
        <is>
          <t>NOME</t>
        </is>
      </c>
      <c r="G438" s="16" t="n"/>
      <c r="H438" s="16" t="n"/>
      <c r="I438" s="16" t="n"/>
      <c r="J438" s="16" t="n"/>
      <c r="K438" s="16" t="n"/>
      <c r="L438" s="16" t="n"/>
      <c r="M438" s="17" t="n"/>
      <c r="N438" s="135" t="inlineStr">
        <is>
          <t>ATRIBUTO</t>
        </is>
      </c>
      <c r="O438" s="16" t="n"/>
      <c r="P438" s="16" t="n"/>
      <c r="Q438" s="17" t="n"/>
      <c r="R438" s="135" t="inlineStr">
        <is>
          <t>TOTAL</t>
        </is>
      </c>
      <c r="S438" s="17" t="n"/>
      <c r="T438" s="135" t="inlineStr">
        <is>
          <t>BÔNUS</t>
        </is>
      </c>
      <c r="U438" s="17" t="n"/>
      <c r="X438" s="135" t="inlineStr">
        <is>
          <t>T</t>
        </is>
      </c>
      <c r="Y438" s="135" t="inlineStr">
        <is>
          <t>E</t>
        </is>
      </c>
      <c r="Z438" s="135" t="inlineStr">
        <is>
          <t>NOME</t>
        </is>
      </c>
      <c r="AA438" s="16" t="n"/>
      <c r="AB438" s="16" t="n"/>
      <c r="AC438" s="16" t="n"/>
      <c r="AD438" s="16" t="n"/>
      <c r="AE438" s="16" t="n"/>
      <c r="AF438" s="16" t="n"/>
      <c r="AG438" s="17" t="n"/>
      <c r="AH438" s="135" t="inlineStr">
        <is>
          <t>ATRIBUTO</t>
        </is>
      </c>
      <c r="AI438" s="16" t="n"/>
      <c r="AJ438" s="16" t="n"/>
      <c r="AK438" s="17" t="n"/>
      <c r="AL438" s="135" t="inlineStr">
        <is>
          <t>TOTAL</t>
        </is>
      </c>
      <c r="AM438" s="17" t="n"/>
      <c r="AN438" s="135" t="inlineStr">
        <is>
          <t>BÔNUS</t>
        </is>
      </c>
      <c r="AO438" s="17" t="n"/>
    </row>
    <row r="439" hidden="1" ht="18.75" customHeight="1">
      <c r="A439" s="8" t="n"/>
      <c r="B439" s="14" t="n"/>
      <c r="D439" s="108">
        <f>IF(F94="",FALSE,D94)</f>
        <v/>
      </c>
      <c r="E439" s="108">
        <f>IF(F94="",FALSE,E94)</f>
        <v/>
      </c>
      <c r="F439" s="136">
        <f>'DADOS_PROGRESSAO'!$AV$2</f>
        <v/>
      </c>
      <c r="G439" s="16" t="n"/>
      <c r="H439" s="16" t="n"/>
      <c r="I439" s="16" t="n"/>
      <c r="J439" s="16" t="n"/>
      <c r="K439" s="16" t="n"/>
      <c r="L439" s="16" t="n"/>
      <c r="M439" s="17" t="n"/>
      <c r="N439" s="136">
        <f>IFERROR(VLOOKUP(SUBSTITUTE(SUBSTITUTE(SUBSTITUTE(F439,"~","~~"),"*","~*"),"?","~?"),'DADOS_PROGRESSAO'!$AG$2:$AH$34,2,FALSE),"")</f>
        <v/>
      </c>
      <c r="O439" s="16" t="n"/>
      <c r="P439" s="16" t="n"/>
      <c r="Q439" s="17" t="n"/>
      <c r="R439" s="136">
        <f>IF('FICHA'!$F$439="","",IF(DADOS_CONFIG!$E$54&lt;&gt;"",NA(),IF(DADOS_CONFIG!$C$54=1,DADOS_CONFIG!$D$54,IF(DADOS_CONFIG!$B$54=0,IF(F439="","",IF(AND('FICHA'!$F$439&lt;&gt;"",COUNTIF('DADOS_PROGRESSAO'!$AV$2:$AV$11,SUBSTITUTE(SUBSTITUTE(SUBSTITUTE('FICHA'!$F$439,"~","~~"),"*","~*"),"?","~?"))=1,(COUNTIF('FICHA'!$F$439:$F$450,SUBSTITUTE(SUBSTITUTE(SUBSTITUTE('FICHA'!$F$439,"~","~~"),"*","~*"),"?","~?"))+COUNTIF('FICHA'!$Z$439:$Z$449,SUBSTITUTE(SUBSTITUTE(SUBSTITUTE('FICHA'!$F$439,"~","~~"),"*","~*"),"?","~?")))=1),SWITCH(N439,"Força",'FICHA'!$D$19,"Destreza",'FICHA'!$L$19,"Constituição",'FICHA'!$T$19,"Inteligência",'FICHA'!$AB$19,"Essência",'FICHA'!$AJ$19,NA())+IF(E439,'FICHA'!$D$67+INT('FICHA'!$D$67/2),IF(D439,'FICHA'!$D$67,0))+IFERROR(VALUE(T439&amp;""),0),NA())),IF((IF(F439="","",IF(AND('FICHA'!$F$439&lt;&gt;"",COUNTIF('DADOS_PROGRESSAO'!$AV$2:$AV$11,SUBSTITUTE(SUBSTITUTE(SUBSTITUTE('FICHA'!$F$439,"~","~~"),"*","~*"),"?","~?"))=1,(COUNTIF('FICHA'!$F$439:$F$450,SUBSTITUTE(SUBSTITUTE(SUBSTITUTE('FICHA'!$F$439,"~","~~"),"*","~*"),"?","~?"))+COUNTIF('FICHA'!$Z$439:$Z$449,SUBSTITUTE(SUBSTITUTE(SUBSTITUTE('FICHA'!$F$439,"~","~~"),"*","~*"),"?","~?")))=1),SWITCH(N439,"Força",'FICHA'!$D$19,"Destreza",'FICHA'!$L$19,"Constituição",'FICHA'!$T$19,"Inteligência",'FICHA'!$AB$19,"Essência",'FICHA'!$AJ$19,NA())+IF(E439,'FICHA'!$D$67+INT('FICHA'!$D$67/2),IF(D439,'FICHA'!$D$67,0))+IFERROR(VALUE(T439&amp;""),0),NA())))="","",(IF(F439="","",IF(AND('FICHA'!$F$439&lt;&gt;"",COUNTIF('DADOS_PROGRESSAO'!$AV$2:$AV$11,SUBSTITUTE(SUBSTITUTE(SUBSTITUTE('FICHA'!$F$439,"~","~~"),"*","~*"),"?","~?"))=1,(COUNTIF('FICHA'!$F$439:$F$450,SUBSTITUTE(SUBSTITUTE(SUBSTITUTE('FICHA'!$F$439,"~","~~"),"*","~*"),"?","~?"))+COUNTIF('FICHA'!$Z$439:$Z$449,SUBSTITUTE(SUBSTITUTE(SUBSTITUTE('FICHA'!$F$439,"~","~~"),"*","~*"),"?","~?")))=1),SWITCH(N439,"Força",'FICHA'!$D$19,"Destreza",'FICHA'!$L$19,"Constituição",'FICHA'!$T$19,"Inteligência",'FICHA'!$AB$19,"Essência",'FICHA'!$AJ$19,NA())+IF(E439,'FICHA'!$D$67+INT('FICHA'!$D$67/2),IF(D439,'FICHA'!$D$67,0))+IFERROR(VALUE(T439&amp;""),0),NA())))+DADOS_CONFIG!$B$54)))))</f>
        <v/>
      </c>
      <c r="S439" s="17" t="n"/>
      <c r="T439" s="136">
        <f>IF(F94="","",AL94)</f>
        <v/>
      </c>
      <c r="U439" s="17" t="n"/>
      <c r="X439" s="108" t="n">
        <v>0</v>
      </c>
      <c r="Y439" s="108" t="n">
        <v>0</v>
      </c>
      <c r="Z439" s="136" t="n"/>
      <c r="AA439" s="16" t="n"/>
      <c r="AB439" s="16" t="n"/>
      <c r="AC439" s="16" t="n"/>
      <c r="AD439" s="16" t="n"/>
      <c r="AE439" s="16" t="n"/>
      <c r="AF439" s="16" t="n"/>
      <c r="AG439" s="17" t="n"/>
      <c r="AH439" s="136">
        <f>IFERROR(VLOOKUP(SUBSTITUTE(SUBSTITUTE(SUBSTITUTE(Z439,"~","~~"),"*","~*"),"?","~?"),'DADOS_PROGRESSAO'!$AG$2:$AH$34,2,FALSE),"")</f>
        <v/>
      </c>
      <c r="AI439" s="16" t="n"/>
      <c r="AJ439" s="16" t="n"/>
      <c r="AK439" s="17" t="n"/>
      <c r="AL439" s="136">
        <f>IF('FICHA'!$Z$439="","",IF(DADOS_CONFIG!$E$66&lt;&gt;"",NA(),IF(DADOS_CONFIG!$C$66=1,DADOS_CONFIG!$D$66,IF(DADOS_CONFIG!$B$66=0,IF(Z439="","",IF(AND('FICHA'!$Z$439&lt;&gt;"",COUNTIF('DADOS_PROGRESSAO'!$AV$2:$AV$11,SUBSTITUTE(SUBSTITUTE(SUBSTITUTE('FICHA'!$Z$439,"~","~~"),"*","~*"),"?","~?"))=1,(COUNTIF('FICHA'!$F$439:$F$450,SUBSTITUTE(SUBSTITUTE(SUBSTITUTE('FICHA'!$Z$439,"~","~~"),"*","~*"),"?","~?"))+COUNTIF('FICHA'!$Z$439:$Z$449,SUBSTITUTE(SUBSTITUTE(SUBSTITUTE('FICHA'!$Z$439,"~","~~"),"*","~*"),"?","~?")))=1),SWITCH(AH439,"Força",'FICHA'!$D$19,"Destreza",'FICHA'!$L$19,"Constituição",'FICHA'!$T$19,"Inteligência",'FICHA'!$AB$19,"Essência",'FICHA'!$AJ$19,NA())+IF(Y439,'FICHA'!$D$67+INT('FICHA'!$D$67/2),IF(X439,'FICHA'!$D$67,0))+IFERROR(VALUE(AN439&amp;""),0),NA())),IF((IF(Z439="","",IF(AND('FICHA'!$Z$439&lt;&gt;"",COUNTIF('DADOS_PROGRESSAO'!$AV$2:$AV$11,SUBSTITUTE(SUBSTITUTE(SUBSTITUTE('FICHA'!$Z$439,"~","~~"),"*","~*"),"?","~?"))=1,(COUNTIF('FICHA'!$F$439:$F$450,SUBSTITUTE(SUBSTITUTE(SUBSTITUTE('FICHA'!$Z$439,"~","~~"),"*","~*"),"?","~?"))+COUNTIF('FICHA'!$Z$439:$Z$449,SUBSTITUTE(SUBSTITUTE(SUBSTITUTE('FICHA'!$Z$439,"~","~~"),"*","~*"),"?","~?")))=1),SWITCH(AH439,"Força",'FICHA'!$D$19,"Destreza",'FICHA'!$L$19,"Constituição",'FICHA'!$T$19,"Inteligência",'FICHA'!$AB$19,"Essência",'FICHA'!$AJ$19,NA())+IF(Y439,'FICHA'!$D$67+INT('FICHA'!$D$67/2),IF(X439,'FICHA'!$D$67,0))+IFERROR(VALUE(AN439&amp;""),0),NA())))="","",(IF(Z439="","",IF(AND('FICHA'!$Z$439&lt;&gt;"",COUNTIF('DADOS_PROGRESSAO'!$AV$2:$AV$11,SUBSTITUTE(SUBSTITUTE(SUBSTITUTE('FICHA'!$Z$439,"~","~~"),"*","~*"),"?","~?"))=1,(COUNTIF('FICHA'!$F$439:$F$450,SUBSTITUTE(SUBSTITUTE(SUBSTITUTE('FICHA'!$Z$439,"~","~~"),"*","~*"),"?","~?"))+COUNTIF('FICHA'!$Z$439:$Z$449,SUBSTITUTE(SUBSTITUTE(SUBSTITUTE('FICHA'!$Z$439,"~","~~"),"*","~*"),"?","~?")))=1),SWITCH(AH439,"Força",'FICHA'!$D$19,"Destreza",'FICHA'!$L$19,"Constituição",'FICHA'!$T$19,"Inteligência",'FICHA'!$AB$19,"Essência",'FICHA'!$AJ$19,NA())+IF(Y439,'FICHA'!$D$67+INT('FICHA'!$D$67/2),IF(X439,'FICHA'!$D$67,0))+IFERROR(VALUE(AN439&amp;""),0),NA())))+DADOS_CONFIG!$B$66)))))</f>
        <v/>
      </c>
      <c r="AM439" s="17" t="n"/>
      <c r="AN439" s="136" t="n"/>
      <c r="AO439" s="17" t="n"/>
    </row>
    <row r="440" hidden="1" ht="18.75" customHeight="1">
      <c r="A440" s="8" t="n"/>
      <c r="B440" s="14" t="n"/>
      <c r="D440" s="108">
        <f>IF(F95="",FALSE,D95)</f>
        <v/>
      </c>
      <c r="E440" s="108">
        <f>IF(F95="",FALSE,E95)</f>
        <v/>
      </c>
      <c r="F440" s="136">
        <f>'DADOS_PROGRESSAO'!$AV$3</f>
        <v/>
      </c>
      <c r="G440" s="16" t="n"/>
      <c r="H440" s="16" t="n"/>
      <c r="I440" s="16" t="n"/>
      <c r="J440" s="16" t="n"/>
      <c r="K440" s="16" t="n"/>
      <c r="L440" s="16" t="n"/>
      <c r="M440" s="17" t="n"/>
      <c r="N440" s="136">
        <f>IFERROR(VLOOKUP(SUBSTITUTE(SUBSTITUTE(SUBSTITUTE(F440,"~","~~"),"*","~*"),"?","~?"),'DADOS_PROGRESSAO'!$AG$2:$AH$34,2,FALSE),"")</f>
        <v/>
      </c>
      <c r="O440" s="16" t="n"/>
      <c r="P440" s="16" t="n"/>
      <c r="Q440" s="17" t="n"/>
      <c r="R440" s="136">
        <f>IF('FICHA'!$F$440="","",IF(DADOS_CONFIG!$E$55&lt;&gt;"",NA(),IF(DADOS_CONFIG!$C$55=1,DADOS_CONFIG!$D$55,IF(DADOS_CONFIG!$B$55=0,IF(F440="","",IF(AND('FICHA'!$F$440&lt;&gt;"",COUNTIF('DADOS_PROGRESSAO'!$AV$2:$AV$11,SUBSTITUTE(SUBSTITUTE(SUBSTITUTE('FICHA'!$F$440,"~","~~"),"*","~*"),"?","~?"))=1,(COUNTIF('FICHA'!$F$439:$F$450,SUBSTITUTE(SUBSTITUTE(SUBSTITUTE('FICHA'!$F$440,"~","~~"),"*","~*"),"?","~?"))+COUNTIF('FICHA'!$Z$439:$Z$449,SUBSTITUTE(SUBSTITUTE(SUBSTITUTE('FICHA'!$F$440,"~","~~"),"*","~*"),"?","~?")))=1),SWITCH(N440,"Força",'FICHA'!$D$19,"Destreza",'FICHA'!$L$19,"Constituição",'FICHA'!$T$19,"Inteligência",'FICHA'!$AB$19,"Essência",'FICHA'!$AJ$19,NA())+IF(E440,'FICHA'!$D$67+INT('FICHA'!$D$67/2),IF(D440,'FICHA'!$D$67,0))+IFERROR(VALUE(T440&amp;""),0),NA())),IF((IF(F440="","",IF(AND('FICHA'!$F$440&lt;&gt;"",COUNTIF('DADOS_PROGRESSAO'!$AV$2:$AV$11,SUBSTITUTE(SUBSTITUTE(SUBSTITUTE('FICHA'!$F$440,"~","~~"),"*","~*"),"?","~?"))=1,(COUNTIF('FICHA'!$F$439:$F$450,SUBSTITUTE(SUBSTITUTE(SUBSTITUTE('FICHA'!$F$440,"~","~~"),"*","~*"),"?","~?"))+COUNTIF('FICHA'!$Z$439:$Z$449,SUBSTITUTE(SUBSTITUTE(SUBSTITUTE('FICHA'!$F$440,"~","~~"),"*","~*"),"?","~?")))=1),SWITCH(N440,"Força",'FICHA'!$D$19,"Destreza",'FICHA'!$L$19,"Constituição",'FICHA'!$T$19,"Inteligência",'FICHA'!$AB$19,"Essência",'FICHA'!$AJ$19,NA())+IF(E440,'FICHA'!$D$67+INT('FICHA'!$D$67/2),IF(D440,'FICHA'!$D$67,0))+IFERROR(VALUE(T440&amp;""),0),NA())))="","",(IF(F440="","",IF(AND('FICHA'!$F$440&lt;&gt;"",COUNTIF('DADOS_PROGRESSAO'!$AV$2:$AV$11,SUBSTITUTE(SUBSTITUTE(SUBSTITUTE('FICHA'!$F$440,"~","~~"),"*","~*"),"?","~?"))=1,(COUNTIF('FICHA'!$F$439:$F$450,SUBSTITUTE(SUBSTITUTE(SUBSTITUTE('FICHA'!$F$440,"~","~~"),"*","~*"),"?","~?"))+COUNTIF('FICHA'!$Z$439:$Z$449,SUBSTITUTE(SUBSTITUTE(SUBSTITUTE('FICHA'!$F$440,"~","~~"),"*","~*"),"?","~?")))=1),SWITCH(N440,"Força",'FICHA'!$D$19,"Destreza",'FICHA'!$L$19,"Constituição",'FICHA'!$T$19,"Inteligência",'FICHA'!$AB$19,"Essência",'FICHA'!$AJ$19,NA())+IF(E440,'FICHA'!$D$67+INT('FICHA'!$D$67/2),IF(D440,'FICHA'!$D$67,0))+IFERROR(VALUE(T440&amp;""),0),NA())))+DADOS_CONFIG!$B$55)))))</f>
        <v/>
      </c>
      <c r="S440" s="17" t="n"/>
      <c r="T440" s="136">
        <f>IF(F95="","",AL95)</f>
        <v/>
      </c>
      <c r="U440" s="17" t="n"/>
      <c r="X440" s="108" t="n">
        <v>0</v>
      </c>
      <c r="Y440" s="108" t="n">
        <v>0</v>
      </c>
      <c r="Z440" s="136" t="n"/>
      <c r="AA440" s="16" t="n"/>
      <c r="AB440" s="16" t="n"/>
      <c r="AC440" s="16" t="n"/>
      <c r="AD440" s="16" t="n"/>
      <c r="AE440" s="16" t="n"/>
      <c r="AF440" s="16" t="n"/>
      <c r="AG440" s="17" t="n"/>
      <c r="AH440" s="136">
        <f>IFERROR(VLOOKUP(SUBSTITUTE(SUBSTITUTE(SUBSTITUTE(Z440,"~","~~"),"*","~*"),"?","~?"),'DADOS_PROGRESSAO'!$AG$2:$AH$34,2,FALSE),"")</f>
        <v/>
      </c>
      <c r="AI440" s="16" t="n"/>
      <c r="AJ440" s="16" t="n"/>
      <c r="AK440" s="17" t="n"/>
      <c r="AL440" s="136">
        <f>IF('FICHA'!$Z$440="","",IF(DADOS_CONFIG!$E$67&lt;&gt;"",NA(),IF(DADOS_CONFIG!$C$67=1,DADOS_CONFIG!$D$67,IF(DADOS_CONFIG!$B$67=0,IF(Z440="","",IF(AND('FICHA'!$Z$440&lt;&gt;"",COUNTIF('DADOS_PROGRESSAO'!$AV$2:$AV$11,SUBSTITUTE(SUBSTITUTE(SUBSTITUTE('FICHA'!$Z$440,"~","~~"),"*","~*"),"?","~?"))=1,(COUNTIF('FICHA'!$F$439:$F$450,SUBSTITUTE(SUBSTITUTE(SUBSTITUTE('FICHA'!$Z$440,"~","~~"),"*","~*"),"?","~?"))+COUNTIF('FICHA'!$Z$439:$Z$449,SUBSTITUTE(SUBSTITUTE(SUBSTITUTE('FICHA'!$Z$440,"~","~~"),"*","~*"),"?","~?")))=1),SWITCH(AH440,"Força",'FICHA'!$D$19,"Destreza",'FICHA'!$L$19,"Constituição",'FICHA'!$T$19,"Inteligência",'FICHA'!$AB$19,"Essência",'FICHA'!$AJ$19,NA())+IF(Y440,'FICHA'!$D$67+INT('FICHA'!$D$67/2),IF(X440,'FICHA'!$D$67,0))+IFERROR(VALUE(AN440&amp;""),0),NA())),IF((IF(Z440="","",IF(AND('FICHA'!$Z$440&lt;&gt;"",COUNTIF('DADOS_PROGRESSAO'!$AV$2:$AV$11,SUBSTITUTE(SUBSTITUTE(SUBSTITUTE('FICHA'!$Z$440,"~","~~"),"*","~*"),"?","~?"))=1,(COUNTIF('FICHA'!$F$439:$F$450,SUBSTITUTE(SUBSTITUTE(SUBSTITUTE('FICHA'!$Z$440,"~","~~"),"*","~*"),"?","~?"))+COUNTIF('FICHA'!$Z$439:$Z$449,SUBSTITUTE(SUBSTITUTE(SUBSTITUTE('FICHA'!$Z$440,"~","~~"),"*","~*"),"?","~?")))=1),SWITCH(AH440,"Força",'FICHA'!$D$19,"Destreza",'FICHA'!$L$19,"Constituição",'FICHA'!$T$19,"Inteligência",'FICHA'!$AB$19,"Essência",'FICHA'!$AJ$19,NA())+IF(Y440,'FICHA'!$D$67+INT('FICHA'!$D$67/2),IF(X440,'FICHA'!$D$67,0))+IFERROR(VALUE(AN440&amp;""),0),NA())))="","",(IF(Z440="","",IF(AND('FICHA'!$Z$440&lt;&gt;"",COUNTIF('DADOS_PROGRESSAO'!$AV$2:$AV$11,SUBSTITUTE(SUBSTITUTE(SUBSTITUTE('FICHA'!$Z$440,"~","~~"),"*","~*"),"?","~?"))=1,(COUNTIF('FICHA'!$F$439:$F$450,SUBSTITUTE(SUBSTITUTE(SUBSTITUTE('FICHA'!$Z$440,"~","~~"),"*","~*"),"?","~?"))+COUNTIF('FICHA'!$Z$439:$Z$449,SUBSTITUTE(SUBSTITUTE(SUBSTITUTE('FICHA'!$Z$440,"~","~~"),"*","~*"),"?","~?")))=1),SWITCH(AH440,"Força",'FICHA'!$D$19,"Destreza",'FICHA'!$L$19,"Constituição",'FICHA'!$T$19,"Inteligência",'FICHA'!$AB$19,"Essência",'FICHA'!$AJ$19,NA())+IF(Y440,'FICHA'!$D$67+INT('FICHA'!$D$67/2),IF(X440,'FICHA'!$D$67,0))+IFERROR(VALUE(AN440&amp;""),0),NA())))+DADOS_CONFIG!$B$67)))))</f>
        <v/>
      </c>
      <c r="AM440" s="17" t="n"/>
      <c r="AN440" s="136" t="n"/>
      <c r="AO440" s="17" t="n"/>
    </row>
    <row r="441" hidden="1" ht="18.75" customHeight="1">
      <c r="A441" s="8" t="n"/>
      <c r="B441" s="14" t="n"/>
      <c r="D441" s="108">
        <f>IF(F96="",FALSE,D96)</f>
        <v/>
      </c>
      <c r="E441" s="108">
        <f>IF(F96="",FALSE,E96)</f>
        <v/>
      </c>
      <c r="F441" s="136">
        <f>'DADOS_PROGRESSAO'!$AV$4</f>
        <v/>
      </c>
      <c r="G441" s="16" t="n"/>
      <c r="H441" s="16" t="n"/>
      <c r="I441" s="16" t="n"/>
      <c r="J441" s="16" t="n"/>
      <c r="K441" s="16" t="n"/>
      <c r="L441" s="16" t="n"/>
      <c r="M441" s="17" t="n"/>
      <c r="N441" s="136">
        <f>IFERROR(VLOOKUP(SUBSTITUTE(SUBSTITUTE(SUBSTITUTE(F441,"~","~~"),"*","~*"),"?","~?"),'DADOS_PROGRESSAO'!$AG$2:$AH$34,2,FALSE),"")</f>
        <v/>
      </c>
      <c r="O441" s="16" t="n"/>
      <c r="P441" s="16" t="n"/>
      <c r="Q441" s="17" t="n"/>
      <c r="R441" s="136">
        <f>IF('FICHA'!$F$441="","",IF(DADOS_CONFIG!$E$56&lt;&gt;"",NA(),IF(DADOS_CONFIG!$C$56=1,DADOS_CONFIG!$D$56,IF(DADOS_CONFIG!$B$56=0,IF(F441="","",IF(AND('FICHA'!$F$441&lt;&gt;"",COUNTIF('DADOS_PROGRESSAO'!$AV$2:$AV$11,SUBSTITUTE(SUBSTITUTE(SUBSTITUTE('FICHA'!$F$441,"~","~~"),"*","~*"),"?","~?"))=1,(COUNTIF('FICHA'!$F$439:$F$450,SUBSTITUTE(SUBSTITUTE(SUBSTITUTE('FICHA'!$F$441,"~","~~"),"*","~*"),"?","~?"))+COUNTIF('FICHA'!$Z$439:$Z$449,SUBSTITUTE(SUBSTITUTE(SUBSTITUTE('FICHA'!$F$441,"~","~~"),"*","~*"),"?","~?")))=1),SWITCH(N441,"Força",'FICHA'!$D$19,"Destreza",'FICHA'!$L$19,"Constituição",'FICHA'!$T$19,"Inteligência",'FICHA'!$AB$19,"Essência",'FICHA'!$AJ$19,NA())+IF(E441,'FICHA'!$D$67+INT('FICHA'!$D$67/2),IF(D441,'FICHA'!$D$67,0))+IFERROR(VALUE(T441&amp;""),0),NA())),IF((IF(F441="","",IF(AND('FICHA'!$F$441&lt;&gt;"",COUNTIF('DADOS_PROGRESSAO'!$AV$2:$AV$11,SUBSTITUTE(SUBSTITUTE(SUBSTITUTE('FICHA'!$F$441,"~","~~"),"*","~*"),"?","~?"))=1,(COUNTIF('FICHA'!$F$439:$F$450,SUBSTITUTE(SUBSTITUTE(SUBSTITUTE('FICHA'!$F$441,"~","~~"),"*","~*"),"?","~?"))+COUNTIF('FICHA'!$Z$439:$Z$449,SUBSTITUTE(SUBSTITUTE(SUBSTITUTE('FICHA'!$F$441,"~","~~"),"*","~*"),"?","~?")))=1),SWITCH(N441,"Força",'FICHA'!$D$19,"Destreza",'FICHA'!$L$19,"Constituição",'FICHA'!$T$19,"Inteligência",'FICHA'!$AB$19,"Essência",'FICHA'!$AJ$19,NA())+IF(E441,'FICHA'!$D$67+INT('FICHA'!$D$67/2),IF(D441,'FICHA'!$D$67,0))+IFERROR(VALUE(T441&amp;""),0),NA())))="","",(IF(F441="","",IF(AND('FICHA'!$F$441&lt;&gt;"",COUNTIF('DADOS_PROGRESSAO'!$AV$2:$AV$11,SUBSTITUTE(SUBSTITUTE(SUBSTITUTE('FICHA'!$F$441,"~","~~"),"*","~*"),"?","~?"))=1,(COUNTIF('FICHA'!$F$439:$F$450,SUBSTITUTE(SUBSTITUTE(SUBSTITUTE('FICHA'!$F$441,"~","~~"),"*","~*"),"?","~?"))+COUNTIF('FICHA'!$Z$439:$Z$449,SUBSTITUTE(SUBSTITUTE(SUBSTITUTE('FICHA'!$F$441,"~","~~"),"*","~*"),"?","~?")))=1),SWITCH(N441,"Força",'FICHA'!$D$19,"Destreza",'FICHA'!$L$19,"Constituição",'FICHA'!$T$19,"Inteligência",'FICHA'!$AB$19,"Essência",'FICHA'!$AJ$19,NA())+IF(E441,'FICHA'!$D$67+INT('FICHA'!$D$67/2),IF(D441,'FICHA'!$D$67,0))+IFERROR(VALUE(T441&amp;""),0),NA())))+DADOS_CONFIG!$B$56)))))</f>
        <v/>
      </c>
      <c r="S441" s="17" t="n"/>
      <c r="T441" s="136">
        <f>IF(F96="","",AL96)</f>
        <v/>
      </c>
      <c r="U441" s="17" t="n"/>
      <c r="X441" s="108" t="n">
        <v>0</v>
      </c>
      <c r="Y441" s="108" t="n">
        <v>0</v>
      </c>
      <c r="Z441" s="136" t="n"/>
      <c r="AA441" s="16" t="n"/>
      <c r="AB441" s="16" t="n"/>
      <c r="AC441" s="16" t="n"/>
      <c r="AD441" s="16" t="n"/>
      <c r="AE441" s="16" t="n"/>
      <c r="AF441" s="16" t="n"/>
      <c r="AG441" s="17" t="n"/>
      <c r="AH441" s="136">
        <f>IFERROR(VLOOKUP(SUBSTITUTE(SUBSTITUTE(SUBSTITUTE(Z441,"~","~~"),"*","~*"),"?","~?"),'DADOS_PROGRESSAO'!$AG$2:$AH$34,2,FALSE),"")</f>
        <v/>
      </c>
      <c r="AI441" s="16" t="n"/>
      <c r="AJ441" s="16" t="n"/>
      <c r="AK441" s="17" t="n"/>
      <c r="AL441" s="136">
        <f>IF('FICHA'!$Z$441="","",IF(DADOS_CONFIG!$E$68&lt;&gt;"",NA(),IF(DADOS_CONFIG!$C$68=1,DADOS_CONFIG!$D$68,IF(DADOS_CONFIG!$B$68=0,IF(Z441="","",IF(AND('FICHA'!$Z$441&lt;&gt;"",COUNTIF('DADOS_PROGRESSAO'!$AV$2:$AV$11,SUBSTITUTE(SUBSTITUTE(SUBSTITUTE('FICHA'!$Z$441,"~","~~"),"*","~*"),"?","~?"))=1,(COUNTIF('FICHA'!$F$439:$F$450,SUBSTITUTE(SUBSTITUTE(SUBSTITUTE('FICHA'!$Z$441,"~","~~"),"*","~*"),"?","~?"))+COUNTIF('FICHA'!$Z$439:$Z$449,SUBSTITUTE(SUBSTITUTE(SUBSTITUTE('FICHA'!$Z$441,"~","~~"),"*","~*"),"?","~?")))=1),SWITCH(AH441,"Força",'FICHA'!$D$19,"Destreza",'FICHA'!$L$19,"Constituição",'FICHA'!$T$19,"Inteligência",'FICHA'!$AB$19,"Essência",'FICHA'!$AJ$19,NA())+IF(Y441,'FICHA'!$D$67+INT('FICHA'!$D$67/2),IF(X441,'FICHA'!$D$67,0))+IFERROR(VALUE(AN441&amp;""),0),NA())),IF((IF(Z441="","",IF(AND('FICHA'!$Z$441&lt;&gt;"",COUNTIF('DADOS_PROGRESSAO'!$AV$2:$AV$11,SUBSTITUTE(SUBSTITUTE(SUBSTITUTE('FICHA'!$Z$441,"~","~~"),"*","~*"),"?","~?"))=1,(COUNTIF('FICHA'!$F$439:$F$450,SUBSTITUTE(SUBSTITUTE(SUBSTITUTE('FICHA'!$Z$441,"~","~~"),"*","~*"),"?","~?"))+COUNTIF('FICHA'!$Z$439:$Z$449,SUBSTITUTE(SUBSTITUTE(SUBSTITUTE('FICHA'!$Z$441,"~","~~"),"*","~*"),"?","~?")))=1),SWITCH(AH441,"Força",'FICHA'!$D$19,"Destreza",'FICHA'!$L$19,"Constituição",'FICHA'!$T$19,"Inteligência",'FICHA'!$AB$19,"Essência",'FICHA'!$AJ$19,NA())+IF(Y441,'FICHA'!$D$67+INT('FICHA'!$D$67/2),IF(X441,'FICHA'!$D$67,0))+IFERROR(VALUE(AN441&amp;""),0),NA())))="","",(IF(Z441="","",IF(AND('FICHA'!$Z$441&lt;&gt;"",COUNTIF('DADOS_PROGRESSAO'!$AV$2:$AV$11,SUBSTITUTE(SUBSTITUTE(SUBSTITUTE('FICHA'!$Z$441,"~","~~"),"*","~*"),"?","~?"))=1,(COUNTIF('FICHA'!$F$439:$F$450,SUBSTITUTE(SUBSTITUTE(SUBSTITUTE('FICHA'!$Z$441,"~","~~"),"*","~*"),"?","~?"))+COUNTIF('FICHA'!$Z$439:$Z$449,SUBSTITUTE(SUBSTITUTE(SUBSTITUTE('FICHA'!$Z$441,"~","~~"),"*","~*"),"?","~?")))=1),SWITCH(AH441,"Força",'FICHA'!$D$19,"Destreza",'FICHA'!$L$19,"Constituição",'FICHA'!$T$19,"Inteligência",'FICHA'!$AB$19,"Essência",'FICHA'!$AJ$19,NA())+IF(Y441,'FICHA'!$D$67+INT('FICHA'!$D$67/2),IF(X441,'FICHA'!$D$67,0))+IFERROR(VALUE(AN441&amp;""),0),NA())))+DADOS_CONFIG!$B$68)))))</f>
        <v/>
      </c>
      <c r="AM441" s="17" t="n"/>
      <c r="AN441" s="136" t="n"/>
      <c r="AO441" s="17" t="n"/>
    </row>
    <row r="442" hidden="1" ht="18.75" customHeight="1">
      <c r="A442" s="8" t="n"/>
      <c r="B442" s="14" t="n"/>
      <c r="D442" s="108">
        <f>IF(F97="",FALSE,D97)</f>
        <v/>
      </c>
      <c r="E442" s="108">
        <f>IF(F97="",FALSE,E97)</f>
        <v/>
      </c>
      <c r="F442" s="136">
        <f>'DADOS_PROGRESSAO'!$AV$5</f>
        <v/>
      </c>
      <c r="G442" s="16" t="n"/>
      <c r="H442" s="16" t="n"/>
      <c r="I442" s="16" t="n"/>
      <c r="J442" s="16" t="n"/>
      <c r="K442" s="16" t="n"/>
      <c r="L442" s="16" t="n"/>
      <c r="M442" s="17" t="n"/>
      <c r="N442" s="136">
        <f>IFERROR(VLOOKUP(SUBSTITUTE(SUBSTITUTE(SUBSTITUTE(F442,"~","~~"),"*","~*"),"?","~?"),'DADOS_PROGRESSAO'!$AG$2:$AH$34,2,FALSE),"")</f>
        <v/>
      </c>
      <c r="O442" s="16" t="n"/>
      <c r="P442" s="16" t="n"/>
      <c r="Q442" s="17" t="n"/>
      <c r="R442" s="136">
        <f>IF('FICHA'!$F$442="","",IF(DADOS_CONFIG!$E$57&lt;&gt;"",NA(),IF(DADOS_CONFIG!$C$57=1,DADOS_CONFIG!$D$57,IF(DADOS_CONFIG!$B$57=0,IF(F442="","",IF(AND('FICHA'!$F$442&lt;&gt;"",COUNTIF('DADOS_PROGRESSAO'!$AV$2:$AV$11,SUBSTITUTE(SUBSTITUTE(SUBSTITUTE('FICHA'!$F$442,"~","~~"),"*","~*"),"?","~?"))=1,(COUNTIF('FICHA'!$F$439:$F$450,SUBSTITUTE(SUBSTITUTE(SUBSTITUTE('FICHA'!$F$442,"~","~~"),"*","~*"),"?","~?"))+COUNTIF('FICHA'!$Z$439:$Z$449,SUBSTITUTE(SUBSTITUTE(SUBSTITUTE('FICHA'!$F$442,"~","~~"),"*","~*"),"?","~?")))=1),SWITCH(N442,"Força",'FICHA'!$D$19,"Destreza",'FICHA'!$L$19,"Constituição",'FICHA'!$T$19,"Inteligência",'FICHA'!$AB$19,"Essência",'FICHA'!$AJ$19,NA())+IF(E442,'FICHA'!$D$67+INT('FICHA'!$D$67/2),IF(D442,'FICHA'!$D$67,0))+IFERROR(VALUE(T442&amp;""),0),NA())),IF((IF(F442="","",IF(AND('FICHA'!$F$442&lt;&gt;"",COUNTIF('DADOS_PROGRESSAO'!$AV$2:$AV$11,SUBSTITUTE(SUBSTITUTE(SUBSTITUTE('FICHA'!$F$442,"~","~~"),"*","~*"),"?","~?"))=1,(COUNTIF('FICHA'!$F$439:$F$450,SUBSTITUTE(SUBSTITUTE(SUBSTITUTE('FICHA'!$F$442,"~","~~"),"*","~*"),"?","~?"))+COUNTIF('FICHA'!$Z$439:$Z$449,SUBSTITUTE(SUBSTITUTE(SUBSTITUTE('FICHA'!$F$442,"~","~~"),"*","~*"),"?","~?")))=1),SWITCH(N442,"Força",'FICHA'!$D$19,"Destreza",'FICHA'!$L$19,"Constituição",'FICHA'!$T$19,"Inteligência",'FICHA'!$AB$19,"Essência",'FICHA'!$AJ$19,NA())+IF(E442,'FICHA'!$D$67+INT('FICHA'!$D$67/2),IF(D442,'FICHA'!$D$67,0))+IFERROR(VALUE(T442&amp;""),0),NA())))="","",(IF(F442="","",IF(AND('FICHA'!$F$442&lt;&gt;"",COUNTIF('DADOS_PROGRESSAO'!$AV$2:$AV$11,SUBSTITUTE(SUBSTITUTE(SUBSTITUTE('FICHA'!$F$442,"~","~~"),"*","~*"),"?","~?"))=1,(COUNTIF('FICHA'!$F$439:$F$450,SUBSTITUTE(SUBSTITUTE(SUBSTITUTE('FICHA'!$F$442,"~","~~"),"*","~*"),"?","~?"))+COUNTIF('FICHA'!$Z$439:$Z$449,SUBSTITUTE(SUBSTITUTE(SUBSTITUTE('FICHA'!$F$442,"~","~~"),"*","~*"),"?","~?")))=1),SWITCH(N442,"Força",'FICHA'!$D$19,"Destreza",'FICHA'!$L$19,"Constituição",'FICHA'!$T$19,"Inteligência",'FICHA'!$AB$19,"Essência",'FICHA'!$AJ$19,NA())+IF(E442,'FICHA'!$D$67+INT('FICHA'!$D$67/2),IF(D442,'FICHA'!$D$67,0))+IFERROR(VALUE(T442&amp;""),0),NA())))+DADOS_CONFIG!$B$57)))))</f>
        <v/>
      </c>
      <c r="S442" s="17" t="n"/>
      <c r="T442" s="136">
        <f>IF(F97="","",AL97)</f>
        <v/>
      </c>
      <c r="U442" s="17" t="n"/>
      <c r="X442" s="108" t="n">
        <v>0</v>
      </c>
      <c r="Y442" s="108" t="n">
        <v>0</v>
      </c>
      <c r="Z442" s="136" t="n"/>
      <c r="AA442" s="16" t="n"/>
      <c r="AB442" s="16" t="n"/>
      <c r="AC442" s="16" t="n"/>
      <c r="AD442" s="16" t="n"/>
      <c r="AE442" s="16" t="n"/>
      <c r="AF442" s="16" t="n"/>
      <c r="AG442" s="17" t="n"/>
      <c r="AH442" s="136">
        <f>IFERROR(VLOOKUP(SUBSTITUTE(SUBSTITUTE(SUBSTITUTE(Z442,"~","~~"),"*","~*"),"?","~?"),'DADOS_PROGRESSAO'!$AG$2:$AH$34,2,FALSE),"")</f>
        <v/>
      </c>
      <c r="AI442" s="16" t="n"/>
      <c r="AJ442" s="16" t="n"/>
      <c r="AK442" s="17" t="n"/>
      <c r="AL442" s="136">
        <f>IF('FICHA'!$Z$442="","",IF(DADOS_CONFIG!$E$69&lt;&gt;"",NA(),IF(DADOS_CONFIG!$C$69=1,DADOS_CONFIG!$D$69,IF(DADOS_CONFIG!$B$69=0,IF(Z442="","",IF(AND('FICHA'!$Z$442&lt;&gt;"",COUNTIF('DADOS_PROGRESSAO'!$AV$2:$AV$11,SUBSTITUTE(SUBSTITUTE(SUBSTITUTE('FICHA'!$Z$442,"~","~~"),"*","~*"),"?","~?"))=1,(COUNTIF('FICHA'!$F$439:$F$450,SUBSTITUTE(SUBSTITUTE(SUBSTITUTE('FICHA'!$Z$442,"~","~~"),"*","~*"),"?","~?"))+COUNTIF('FICHA'!$Z$439:$Z$449,SUBSTITUTE(SUBSTITUTE(SUBSTITUTE('FICHA'!$Z$442,"~","~~"),"*","~*"),"?","~?")))=1),SWITCH(AH442,"Força",'FICHA'!$D$19,"Destreza",'FICHA'!$L$19,"Constituição",'FICHA'!$T$19,"Inteligência",'FICHA'!$AB$19,"Essência",'FICHA'!$AJ$19,NA())+IF(Y442,'FICHA'!$D$67+INT('FICHA'!$D$67/2),IF(X442,'FICHA'!$D$67,0))+IFERROR(VALUE(AN442&amp;""),0),NA())),IF((IF(Z442="","",IF(AND('FICHA'!$Z$442&lt;&gt;"",COUNTIF('DADOS_PROGRESSAO'!$AV$2:$AV$11,SUBSTITUTE(SUBSTITUTE(SUBSTITUTE('FICHA'!$Z$442,"~","~~"),"*","~*"),"?","~?"))=1,(COUNTIF('FICHA'!$F$439:$F$450,SUBSTITUTE(SUBSTITUTE(SUBSTITUTE('FICHA'!$Z$442,"~","~~"),"*","~*"),"?","~?"))+COUNTIF('FICHA'!$Z$439:$Z$449,SUBSTITUTE(SUBSTITUTE(SUBSTITUTE('FICHA'!$Z$442,"~","~~"),"*","~*"),"?","~?")))=1),SWITCH(AH442,"Força",'FICHA'!$D$19,"Destreza",'FICHA'!$L$19,"Constituição",'FICHA'!$T$19,"Inteligência",'FICHA'!$AB$19,"Essência",'FICHA'!$AJ$19,NA())+IF(Y442,'FICHA'!$D$67+INT('FICHA'!$D$67/2),IF(X442,'FICHA'!$D$67,0))+IFERROR(VALUE(AN442&amp;""),0),NA())))="","",(IF(Z442="","",IF(AND('FICHA'!$Z$442&lt;&gt;"",COUNTIF('DADOS_PROGRESSAO'!$AV$2:$AV$11,SUBSTITUTE(SUBSTITUTE(SUBSTITUTE('FICHA'!$Z$442,"~","~~"),"*","~*"),"?","~?"))=1,(COUNTIF('FICHA'!$F$439:$F$450,SUBSTITUTE(SUBSTITUTE(SUBSTITUTE('FICHA'!$Z$442,"~","~~"),"*","~*"),"?","~?"))+COUNTIF('FICHA'!$Z$439:$Z$449,SUBSTITUTE(SUBSTITUTE(SUBSTITUTE('FICHA'!$Z$442,"~","~~"),"*","~*"),"?","~?")))=1),SWITCH(AH442,"Força",'FICHA'!$D$19,"Destreza",'FICHA'!$L$19,"Constituição",'FICHA'!$T$19,"Inteligência",'FICHA'!$AB$19,"Essência",'FICHA'!$AJ$19,NA())+IF(Y442,'FICHA'!$D$67+INT('FICHA'!$D$67/2),IF(X442,'FICHA'!$D$67,0))+IFERROR(VALUE(AN442&amp;""),0),NA())))+DADOS_CONFIG!$B$69)))))</f>
        <v/>
      </c>
      <c r="AM442" s="17" t="n"/>
      <c r="AN442" s="136" t="n"/>
      <c r="AO442" s="17" t="n"/>
    </row>
    <row r="443" hidden="1" ht="18.75" customHeight="1">
      <c r="A443" s="8" t="n"/>
      <c r="B443" s="14" t="n"/>
      <c r="D443" s="108">
        <f>IF(F98="",FALSE,D98)</f>
        <v/>
      </c>
      <c r="E443" s="108">
        <f>IF(F98="",FALSE,E98)</f>
        <v/>
      </c>
      <c r="F443" s="136">
        <f>'DADOS_PROGRESSAO'!$AV$6</f>
        <v/>
      </c>
      <c r="G443" s="16" t="n"/>
      <c r="H443" s="16" t="n"/>
      <c r="I443" s="16" t="n"/>
      <c r="J443" s="16" t="n"/>
      <c r="K443" s="16" t="n"/>
      <c r="L443" s="16" t="n"/>
      <c r="M443" s="17" t="n"/>
      <c r="N443" s="136">
        <f>IFERROR(VLOOKUP(SUBSTITUTE(SUBSTITUTE(SUBSTITUTE(F443,"~","~~"),"*","~*"),"?","~?"),'DADOS_PROGRESSAO'!$AG$2:$AH$34,2,FALSE),"")</f>
        <v/>
      </c>
      <c r="O443" s="16" t="n"/>
      <c r="P443" s="16" t="n"/>
      <c r="Q443" s="17" t="n"/>
      <c r="R443" s="136">
        <f>IF('FICHA'!$F$443="","",IF(DADOS_CONFIG!$E$58&lt;&gt;"",NA(),IF(DADOS_CONFIG!$C$58=1,DADOS_CONFIG!$D$58,IF(DADOS_CONFIG!$B$58=0,IF(F443="","",IF(AND('FICHA'!$F$443&lt;&gt;"",COUNTIF('DADOS_PROGRESSAO'!$AV$2:$AV$11,SUBSTITUTE(SUBSTITUTE(SUBSTITUTE('FICHA'!$F$443,"~","~~"),"*","~*"),"?","~?"))=1,(COUNTIF('FICHA'!$F$439:$F$450,SUBSTITUTE(SUBSTITUTE(SUBSTITUTE('FICHA'!$F$443,"~","~~"),"*","~*"),"?","~?"))+COUNTIF('FICHA'!$Z$439:$Z$449,SUBSTITUTE(SUBSTITUTE(SUBSTITUTE('FICHA'!$F$443,"~","~~"),"*","~*"),"?","~?")))=1),SWITCH(N443,"Força",'FICHA'!$D$19,"Destreza",'FICHA'!$L$19,"Constituição",'FICHA'!$T$19,"Inteligência",'FICHA'!$AB$19,"Essência",'FICHA'!$AJ$19,NA())+IF(E443,'FICHA'!$D$67+INT('FICHA'!$D$67/2),IF(D443,'FICHA'!$D$67,0))+IFERROR(VALUE(T443&amp;""),0),NA())),IF((IF(F443="","",IF(AND('FICHA'!$F$443&lt;&gt;"",COUNTIF('DADOS_PROGRESSAO'!$AV$2:$AV$11,SUBSTITUTE(SUBSTITUTE(SUBSTITUTE('FICHA'!$F$443,"~","~~"),"*","~*"),"?","~?"))=1,(COUNTIF('FICHA'!$F$439:$F$450,SUBSTITUTE(SUBSTITUTE(SUBSTITUTE('FICHA'!$F$443,"~","~~"),"*","~*"),"?","~?"))+COUNTIF('FICHA'!$Z$439:$Z$449,SUBSTITUTE(SUBSTITUTE(SUBSTITUTE('FICHA'!$F$443,"~","~~"),"*","~*"),"?","~?")))=1),SWITCH(N443,"Força",'FICHA'!$D$19,"Destreza",'FICHA'!$L$19,"Constituição",'FICHA'!$T$19,"Inteligência",'FICHA'!$AB$19,"Essência",'FICHA'!$AJ$19,NA())+IF(E443,'FICHA'!$D$67+INT('FICHA'!$D$67/2),IF(D443,'FICHA'!$D$67,0))+IFERROR(VALUE(T443&amp;""),0),NA())))="","",(IF(F443="","",IF(AND('FICHA'!$F$443&lt;&gt;"",COUNTIF('DADOS_PROGRESSAO'!$AV$2:$AV$11,SUBSTITUTE(SUBSTITUTE(SUBSTITUTE('FICHA'!$F$443,"~","~~"),"*","~*"),"?","~?"))=1,(COUNTIF('FICHA'!$F$439:$F$450,SUBSTITUTE(SUBSTITUTE(SUBSTITUTE('FICHA'!$F$443,"~","~~"),"*","~*"),"?","~?"))+COUNTIF('FICHA'!$Z$439:$Z$449,SUBSTITUTE(SUBSTITUTE(SUBSTITUTE('FICHA'!$F$443,"~","~~"),"*","~*"),"?","~?")))=1),SWITCH(N443,"Força",'FICHA'!$D$19,"Destreza",'FICHA'!$L$19,"Constituição",'FICHA'!$T$19,"Inteligência",'FICHA'!$AB$19,"Essência",'FICHA'!$AJ$19,NA())+IF(E443,'FICHA'!$D$67+INT('FICHA'!$D$67/2),IF(D443,'FICHA'!$D$67,0))+IFERROR(VALUE(T443&amp;""),0),NA())))+DADOS_CONFIG!$B$58)))))</f>
        <v/>
      </c>
      <c r="S443" s="17" t="n"/>
      <c r="T443" s="136">
        <f>IF(F98="","",AL98)</f>
        <v/>
      </c>
      <c r="U443" s="17" t="n"/>
      <c r="X443" s="108" t="n">
        <v>0</v>
      </c>
      <c r="Y443" s="108" t="n">
        <v>0</v>
      </c>
      <c r="Z443" s="136" t="n"/>
      <c r="AA443" s="16" t="n"/>
      <c r="AB443" s="16" t="n"/>
      <c r="AC443" s="16" t="n"/>
      <c r="AD443" s="16" t="n"/>
      <c r="AE443" s="16" t="n"/>
      <c r="AF443" s="16" t="n"/>
      <c r="AG443" s="17" t="n"/>
      <c r="AH443" s="136">
        <f>IFERROR(VLOOKUP(SUBSTITUTE(SUBSTITUTE(SUBSTITUTE(Z443,"~","~~"),"*","~*"),"?","~?"),'DADOS_PROGRESSAO'!$AG$2:$AH$34,2,FALSE),"")</f>
        <v/>
      </c>
      <c r="AI443" s="16" t="n"/>
      <c r="AJ443" s="16" t="n"/>
      <c r="AK443" s="17" t="n"/>
      <c r="AL443" s="136">
        <f>IF('FICHA'!$Z$443="","",IF(DADOS_CONFIG!$E$70&lt;&gt;"",NA(),IF(DADOS_CONFIG!$C$70=1,DADOS_CONFIG!$D$70,IF(DADOS_CONFIG!$B$70=0,IF(Z443="","",IF(AND('FICHA'!$Z$443&lt;&gt;"",COUNTIF('DADOS_PROGRESSAO'!$AV$2:$AV$11,SUBSTITUTE(SUBSTITUTE(SUBSTITUTE('FICHA'!$Z$443,"~","~~"),"*","~*"),"?","~?"))=1,(COUNTIF('FICHA'!$F$439:$F$450,SUBSTITUTE(SUBSTITUTE(SUBSTITUTE('FICHA'!$Z$443,"~","~~"),"*","~*"),"?","~?"))+COUNTIF('FICHA'!$Z$439:$Z$449,SUBSTITUTE(SUBSTITUTE(SUBSTITUTE('FICHA'!$Z$443,"~","~~"),"*","~*"),"?","~?")))=1),SWITCH(AH443,"Força",'FICHA'!$D$19,"Destreza",'FICHA'!$L$19,"Constituição",'FICHA'!$T$19,"Inteligência",'FICHA'!$AB$19,"Essência",'FICHA'!$AJ$19,NA())+IF(Y443,'FICHA'!$D$67+INT('FICHA'!$D$67/2),IF(X443,'FICHA'!$D$67,0))+IFERROR(VALUE(AN443&amp;""),0),NA())),IF((IF(Z443="","",IF(AND('FICHA'!$Z$443&lt;&gt;"",COUNTIF('DADOS_PROGRESSAO'!$AV$2:$AV$11,SUBSTITUTE(SUBSTITUTE(SUBSTITUTE('FICHA'!$Z$443,"~","~~"),"*","~*"),"?","~?"))=1,(COUNTIF('FICHA'!$F$439:$F$450,SUBSTITUTE(SUBSTITUTE(SUBSTITUTE('FICHA'!$Z$443,"~","~~"),"*","~*"),"?","~?"))+COUNTIF('FICHA'!$Z$439:$Z$449,SUBSTITUTE(SUBSTITUTE(SUBSTITUTE('FICHA'!$Z$443,"~","~~"),"*","~*"),"?","~?")))=1),SWITCH(AH443,"Força",'FICHA'!$D$19,"Destreza",'FICHA'!$L$19,"Constituição",'FICHA'!$T$19,"Inteligência",'FICHA'!$AB$19,"Essência",'FICHA'!$AJ$19,NA())+IF(Y443,'FICHA'!$D$67+INT('FICHA'!$D$67/2),IF(X443,'FICHA'!$D$67,0))+IFERROR(VALUE(AN443&amp;""),0),NA())))="","",(IF(Z443="","",IF(AND('FICHA'!$Z$443&lt;&gt;"",COUNTIF('DADOS_PROGRESSAO'!$AV$2:$AV$11,SUBSTITUTE(SUBSTITUTE(SUBSTITUTE('FICHA'!$Z$443,"~","~~"),"*","~*"),"?","~?"))=1,(COUNTIF('FICHA'!$F$439:$F$450,SUBSTITUTE(SUBSTITUTE(SUBSTITUTE('FICHA'!$Z$443,"~","~~"),"*","~*"),"?","~?"))+COUNTIF('FICHA'!$Z$439:$Z$449,SUBSTITUTE(SUBSTITUTE(SUBSTITUTE('FICHA'!$Z$443,"~","~~"),"*","~*"),"?","~?")))=1),SWITCH(AH443,"Força",'FICHA'!$D$19,"Destreza",'FICHA'!$L$19,"Constituição",'FICHA'!$T$19,"Inteligência",'FICHA'!$AB$19,"Essência",'FICHA'!$AJ$19,NA())+IF(Y443,'FICHA'!$D$67+INT('FICHA'!$D$67/2),IF(X443,'FICHA'!$D$67,0))+IFERROR(VALUE(AN443&amp;""),0),NA())))+DADOS_CONFIG!$B$70)))))</f>
        <v/>
      </c>
      <c r="AM443" s="17" t="n"/>
      <c r="AN443" s="136" t="n"/>
      <c r="AO443" s="17" t="n"/>
    </row>
    <row r="444" hidden="1" ht="18.75" customHeight="1">
      <c r="A444" s="8" t="n"/>
      <c r="B444" s="14" t="n"/>
      <c r="D444" s="108">
        <f>IF(F99="",FALSE,D99)</f>
        <v/>
      </c>
      <c r="E444" s="108">
        <f>IF(F99="",FALSE,E99)</f>
        <v/>
      </c>
      <c r="F444" s="136">
        <f>'DADOS_PROGRESSAO'!$AV$7</f>
        <v/>
      </c>
      <c r="G444" s="16" t="n"/>
      <c r="H444" s="16" t="n"/>
      <c r="I444" s="16" t="n"/>
      <c r="J444" s="16" t="n"/>
      <c r="K444" s="16" t="n"/>
      <c r="L444" s="16" t="n"/>
      <c r="M444" s="17" t="n"/>
      <c r="N444" s="136">
        <f>IFERROR(VLOOKUP(SUBSTITUTE(SUBSTITUTE(SUBSTITUTE(F444,"~","~~"),"*","~*"),"?","~?"),'DADOS_PROGRESSAO'!$AG$2:$AH$34,2,FALSE),"")</f>
        <v/>
      </c>
      <c r="O444" s="16" t="n"/>
      <c r="P444" s="16" t="n"/>
      <c r="Q444" s="17" t="n"/>
      <c r="R444" s="136">
        <f>IF('FICHA'!$F$444="","",IF(DADOS_CONFIG!$E$59&lt;&gt;"",NA(),IF(DADOS_CONFIG!$C$59=1,DADOS_CONFIG!$D$59,IF(DADOS_CONFIG!$B$59=0,IF(F444="","",IF(AND('FICHA'!$F$444&lt;&gt;"",COUNTIF('DADOS_PROGRESSAO'!$AV$2:$AV$11,SUBSTITUTE(SUBSTITUTE(SUBSTITUTE('FICHA'!$F$444,"~","~~"),"*","~*"),"?","~?"))=1,(COUNTIF('FICHA'!$F$439:$F$450,SUBSTITUTE(SUBSTITUTE(SUBSTITUTE('FICHA'!$F$444,"~","~~"),"*","~*"),"?","~?"))+COUNTIF('FICHA'!$Z$439:$Z$449,SUBSTITUTE(SUBSTITUTE(SUBSTITUTE('FICHA'!$F$444,"~","~~"),"*","~*"),"?","~?")))=1),SWITCH(N444,"Força",'FICHA'!$D$19,"Destreza",'FICHA'!$L$19,"Constituição",'FICHA'!$T$19,"Inteligência",'FICHA'!$AB$19,"Essência",'FICHA'!$AJ$19,NA())+IF(E444,'FICHA'!$D$67+INT('FICHA'!$D$67/2),IF(D444,'FICHA'!$D$67,0))+IFERROR(VALUE(T444&amp;""),0),NA())),IF((IF(F444="","",IF(AND('FICHA'!$F$444&lt;&gt;"",COUNTIF('DADOS_PROGRESSAO'!$AV$2:$AV$11,SUBSTITUTE(SUBSTITUTE(SUBSTITUTE('FICHA'!$F$444,"~","~~"),"*","~*"),"?","~?"))=1,(COUNTIF('FICHA'!$F$439:$F$450,SUBSTITUTE(SUBSTITUTE(SUBSTITUTE('FICHA'!$F$444,"~","~~"),"*","~*"),"?","~?"))+COUNTIF('FICHA'!$Z$439:$Z$449,SUBSTITUTE(SUBSTITUTE(SUBSTITUTE('FICHA'!$F$444,"~","~~"),"*","~*"),"?","~?")))=1),SWITCH(N444,"Força",'FICHA'!$D$19,"Destreza",'FICHA'!$L$19,"Constituição",'FICHA'!$T$19,"Inteligência",'FICHA'!$AB$19,"Essência",'FICHA'!$AJ$19,NA())+IF(E444,'FICHA'!$D$67+INT('FICHA'!$D$67/2),IF(D444,'FICHA'!$D$67,0))+IFERROR(VALUE(T444&amp;""),0),NA())))="","",(IF(F444="","",IF(AND('FICHA'!$F$444&lt;&gt;"",COUNTIF('DADOS_PROGRESSAO'!$AV$2:$AV$11,SUBSTITUTE(SUBSTITUTE(SUBSTITUTE('FICHA'!$F$444,"~","~~"),"*","~*"),"?","~?"))=1,(COUNTIF('FICHA'!$F$439:$F$450,SUBSTITUTE(SUBSTITUTE(SUBSTITUTE('FICHA'!$F$444,"~","~~"),"*","~*"),"?","~?"))+COUNTIF('FICHA'!$Z$439:$Z$449,SUBSTITUTE(SUBSTITUTE(SUBSTITUTE('FICHA'!$F$444,"~","~~"),"*","~*"),"?","~?")))=1),SWITCH(N444,"Força",'FICHA'!$D$19,"Destreza",'FICHA'!$L$19,"Constituição",'FICHA'!$T$19,"Inteligência",'FICHA'!$AB$19,"Essência",'FICHA'!$AJ$19,NA())+IF(E444,'FICHA'!$D$67+INT('FICHA'!$D$67/2),IF(D444,'FICHA'!$D$67,0))+IFERROR(VALUE(T444&amp;""),0),NA())))+DADOS_CONFIG!$B$59)))))</f>
        <v/>
      </c>
      <c r="S444" s="17" t="n"/>
      <c r="T444" s="136">
        <f>IF(F99="","",AL99)</f>
        <v/>
      </c>
      <c r="U444" s="17" t="n"/>
      <c r="X444" s="108" t="n">
        <v>0</v>
      </c>
      <c r="Y444" s="108" t="n">
        <v>0</v>
      </c>
      <c r="Z444" s="136" t="n"/>
      <c r="AA444" s="16" t="n"/>
      <c r="AB444" s="16" t="n"/>
      <c r="AC444" s="16" t="n"/>
      <c r="AD444" s="16" t="n"/>
      <c r="AE444" s="16" t="n"/>
      <c r="AF444" s="16" t="n"/>
      <c r="AG444" s="17" t="n"/>
      <c r="AH444" s="136">
        <f>IFERROR(VLOOKUP(SUBSTITUTE(SUBSTITUTE(SUBSTITUTE(Z444,"~","~~"),"*","~*"),"?","~?"),'DADOS_PROGRESSAO'!$AG$2:$AH$34,2,FALSE),"")</f>
        <v/>
      </c>
      <c r="AI444" s="16" t="n"/>
      <c r="AJ444" s="16" t="n"/>
      <c r="AK444" s="17" t="n"/>
      <c r="AL444" s="136">
        <f>IF('FICHA'!$Z$444="","",IF(DADOS_CONFIG!$E$71&lt;&gt;"",NA(),IF(DADOS_CONFIG!$C$71=1,DADOS_CONFIG!$D$71,IF(DADOS_CONFIG!$B$71=0,IF(Z444="","",IF(AND('FICHA'!$Z$444&lt;&gt;"",COUNTIF('DADOS_PROGRESSAO'!$AV$2:$AV$11,SUBSTITUTE(SUBSTITUTE(SUBSTITUTE('FICHA'!$Z$444,"~","~~"),"*","~*"),"?","~?"))=1,(COUNTIF('FICHA'!$F$439:$F$450,SUBSTITUTE(SUBSTITUTE(SUBSTITUTE('FICHA'!$Z$444,"~","~~"),"*","~*"),"?","~?"))+COUNTIF('FICHA'!$Z$439:$Z$449,SUBSTITUTE(SUBSTITUTE(SUBSTITUTE('FICHA'!$Z$444,"~","~~"),"*","~*"),"?","~?")))=1),SWITCH(AH444,"Força",'FICHA'!$D$19,"Destreza",'FICHA'!$L$19,"Constituição",'FICHA'!$T$19,"Inteligência",'FICHA'!$AB$19,"Essência",'FICHA'!$AJ$19,NA())+IF(Y444,'FICHA'!$D$67+INT('FICHA'!$D$67/2),IF(X444,'FICHA'!$D$67,0))+IFERROR(VALUE(AN444&amp;""),0),NA())),IF((IF(Z444="","",IF(AND('FICHA'!$Z$444&lt;&gt;"",COUNTIF('DADOS_PROGRESSAO'!$AV$2:$AV$11,SUBSTITUTE(SUBSTITUTE(SUBSTITUTE('FICHA'!$Z$444,"~","~~"),"*","~*"),"?","~?"))=1,(COUNTIF('FICHA'!$F$439:$F$450,SUBSTITUTE(SUBSTITUTE(SUBSTITUTE('FICHA'!$Z$444,"~","~~"),"*","~*"),"?","~?"))+COUNTIF('FICHA'!$Z$439:$Z$449,SUBSTITUTE(SUBSTITUTE(SUBSTITUTE('FICHA'!$Z$444,"~","~~"),"*","~*"),"?","~?")))=1),SWITCH(AH444,"Força",'FICHA'!$D$19,"Destreza",'FICHA'!$L$19,"Constituição",'FICHA'!$T$19,"Inteligência",'FICHA'!$AB$19,"Essência",'FICHA'!$AJ$19,NA())+IF(Y444,'FICHA'!$D$67+INT('FICHA'!$D$67/2),IF(X444,'FICHA'!$D$67,0))+IFERROR(VALUE(AN444&amp;""),0),NA())))="","",(IF(Z444="","",IF(AND('FICHA'!$Z$444&lt;&gt;"",COUNTIF('DADOS_PROGRESSAO'!$AV$2:$AV$11,SUBSTITUTE(SUBSTITUTE(SUBSTITUTE('FICHA'!$Z$444,"~","~~"),"*","~*"),"?","~?"))=1,(COUNTIF('FICHA'!$F$439:$F$450,SUBSTITUTE(SUBSTITUTE(SUBSTITUTE('FICHA'!$Z$444,"~","~~"),"*","~*"),"?","~?"))+COUNTIF('FICHA'!$Z$439:$Z$449,SUBSTITUTE(SUBSTITUTE(SUBSTITUTE('FICHA'!$Z$444,"~","~~"),"*","~*"),"?","~?")))=1),SWITCH(AH444,"Força",'FICHA'!$D$19,"Destreza",'FICHA'!$L$19,"Constituição",'FICHA'!$T$19,"Inteligência",'FICHA'!$AB$19,"Essência",'FICHA'!$AJ$19,NA())+IF(Y444,'FICHA'!$D$67+INT('FICHA'!$D$67/2),IF(X444,'FICHA'!$D$67,0))+IFERROR(VALUE(AN444&amp;""),0),NA())))+DADOS_CONFIG!$B$71)))))</f>
        <v/>
      </c>
      <c r="AM444" s="17" t="n"/>
      <c r="AN444" s="136" t="n"/>
      <c r="AO444" s="17" t="n"/>
    </row>
    <row r="445" hidden="1" ht="18.75" customHeight="1">
      <c r="A445" s="8" t="n"/>
      <c r="B445" s="14" t="n"/>
      <c r="D445" s="108">
        <f>IF(F100="",FALSE,D100)</f>
        <v/>
      </c>
      <c r="E445" s="108">
        <f>IF(F100="",FALSE,E100)</f>
        <v/>
      </c>
      <c r="F445" s="136">
        <f>'DADOS_PROGRESSAO'!$AV$8</f>
        <v/>
      </c>
      <c r="G445" s="16" t="n"/>
      <c r="H445" s="16" t="n"/>
      <c r="I445" s="16" t="n"/>
      <c r="J445" s="16" t="n"/>
      <c r="K445" s="16" t="n"/>
      <c r="L445" s="16" t="n"/>
      <c r="M445" s="17" t="n"/>
      <c r="N445" s="136">
        <f>IFERROR(VLOOKUP(SUBSTITUTE(SUBSTITUTE(SUBSTITUTE(F445,"~","~~"),"*","~*"),"?","~?"),'DADOS_PROGRESSAO'!$AG$2:$AH$34,2,FALSE),"")</f>
        <v/>
      </c>
      <c r="O445" s="16" t="n"/>
      <c r="P445" s="16" t="n"/>
      <c r="Q445" s="17" t="n"/>
      <c r="R445" s="136">
        <f>IF('FICHA'!$F$445="","",IF(DADOS_CONFIG!$E$60&lt;&gt;"",NA(),IF(DADOS_CONFIG!$C$60=1,DADOS_CONFIG!$D$60,IF(DADOS_CONFIG!$B$60=0,IF(F445="","",IF(AND('FICHA'!$F$445&lt;&gt;"",COUNTIF('DADOS_PROGRESSAO'!$AV$2:$AV$11,SUBSTITUTE(SUBSTITUTE(SUBSTITUTE('FICHA'!$F$445,"~","~~"),"*","~*"),"?","~?"))=1,(COUNTIF('FICHA'!$F$439:$F$450,SUBSTITUTE(SUBSTITUTE(SUBSTITUTE('FICHA'!$F$445,"~","~~"),"*","~*"),"?","~?"))+COUNTIF('FICHA'!$Z$439:$Z$449,SUBSTITUTE(SUBSTITUTE(SUBSTITUTE('FICHA'!$F$445,"~","~~"),"*","~*"),"?","~?")))=1),SWITCH(N445,"Força",'FICHA'!$D$19,"Destreza",'FICHA'!$L$19,"Constituição",'FICHA'!$T$19,"Inteligência",'FICHA'!$AB$19,"Essência",'FICHA'!$AJ$19,NA())+IF(E445,'FICHA'!$D$67+INT('FICHA'!$D$67/2),IF(D445,'FICHA'!$D$67,0))+IFERROR(VALUE(T445&amp;""),0),NA())),IF((IF(F445="","",IF(AND('FICHA'!$F$445&lt;&gt;"",COUNTIF('DADOS_PROGRESSAO'!$AV$2:$AV$11,SUBSTITUTE(SUBSTITUTE(SUBSTITUTE('FICHA'!$F$445,"~","~~"),"*","~*"),"?","~?"))=1,(COUNTIF('FICHA'!$F$439:$F$450,SUBSTITUTE(SUBSTITUTE(SUBSTITUTE('FICHA'!$F$445,"~","~~"),"*","~*"),"?","~?"))+COUNTIF('FICHA'!$Z$439:$Z$449,SUBSTITUTE(SUBSTITUTE(SUBSTITUTE('FICHA'!$F$445,"~","~~"),"*","~*"),"?","~?")))=1),SWITCH(N445,"Força",'FICHA'!$D$19,"Destreza",'FICHA'!$L$19,"Constituição",'FICHA'!$T$19,"Inteligência",'FICHA'!$AB$19,"Essência",'FICHA'!$AJ$19,NA())+IF(E445,'FICHA'!$D$67+INT('FICHA'!$D$67/2),IF(D445,'FICHA'!$D$67,0))+IFERROR(VALUE(T445&amp;""),0),NA())))="","",(IF(F445="","",IF(AND('FICHA'!$F$445&lt;&gt;"",COUNTIF('DADOS_PROGRESSAO'!$AV$2:$AV$11,SUBSTITUTE(SUBSTITUTE(SUBSTITUTE('FICHA'!$F$445,"~","~~"),"*","~*"),"?","~?"))=1,(COUNTIF('FICHA'!$F$439:$F$450,SUBSTITUTE(SUBSTITUTE(SUBSTITUTE('FICHA'!$F$445,"~","~~"),"*","~*"),"?","~?"))+COUNTIF('FICHA'!$Z$439:$Z$449,SUBSTITUTE(SUBSTITUTE(SUBSTITUTE('FICHA'!$F$445,"~","~~"),"*","~*"),"?","~?")))=1),SWITCH(N445,"Força",'FICHA'!$D$19,"Destreza",'FICHA'!$L$19,"Constituição",'FICHA'!$T$19,"Inteligência",'FICHA'!$AB$19,"Essência",'FICHA'!$AJ$19,NA())+IF(E445,'FICHA'!$D$67+INT('FICHA'!$D$67/2),IF(D445,'FICHA'!$D$67,0))+IFERROR(VALUE(T445&amp;""),0),NA())))+DADOS_CONFIG!$B$60)))))</f>
        <v/>
      </c>
      <c r="S445" s="17" t="n"/>
      <c r="T445" s="136">
        <f>IF(F100="","",AL100)</f>
        <v/>
      </c>
      <c r="U445" s="17" t="n"/>
      <c r="X445" s="108" t="n">
        <v>0</v>
      </c>
      <c r="Y445" s="108" t="n">
        <v>0</v>
      </c>
      <c r="Z445" s="136" t="n"/>
      <c r="AA445" s="16" t="n"/>
      <c r="AB445" s="16" t="n"/>
      <c r="AC445" s="16" t="n"/>
      <c r="AD445" s="16" t="n"/>
      <c r="AE445" s="16" t="n"/>
      <c r="AF445" s="16" t="n"/>
      <c r="AG445" s="17" t="n"/>
      <c r="AH445" s="136">
        <f>IFERROR(VLOOKUP(SUBSTITUTE(SUBSTITUTE(SUBSTITUTE(Z445,"~","~~"),"*","~*"),"?","~?"),'DADOS_PROGRESSAO'!$AG$2:$AH$34,2,FALSE),"")</f>
        <v/>
      </c>
      <c r="AI445" s="16" t="n"/>
      <c r="AJ445" s="16" t="n"/>
      <c r="AK445" s="17" t="n"/>
      <c r="AL445" s="136">
        <f>IF('FICHA'!$Z$445="","",IF(DADOS_CONFIG!$E$72&lt;&gt;"",NA(),IF(DADOS_CONFIG!$C$72=1,DADOS_CONFIG!$D$72,IF(DADOS_CONFIG!$B$72=0,IF(Z445="","",IF(AND('FICHA'!$Z$445&lt;&gt;"",COUNTIF('DADOS_PROGRESSAO'!$AV$2:$AV$11,SUBSTITUTE(SUBSTITUTE(SUBSTITUTE('FICHA'!$Z$445,"~","~~"),"*","~*"),"?","~?"))=1,(COUNTIF('FICHA'!$F$439:$F$450,SUBSTITUTE(SUBSTITUTE(SUBSTITUTE('FICHA'!$Z$445,"~","~~"),"*","~*"),"?","~?"))+COUNTIF('FICHA'!$Z$439:$Z$449,SUBSTITUTE(SUBSTITUTE(SUBSTITUTE('FICHA'!$Z$445,"~","~~"),"*","~*"),"?","~?")))=1),SWITCH(AH445,"Força",'FICHA'!$D$19,"Destreza",'FICHA'!$L$19,"Constituição",'FICHA'!$T$19,"Inteligência",'FICHA'!$AB$19,"Essência",'FICHA'!$AJ$19,NA())+IF(Y445,'FICHA'!$D$67+INT('FICHA'!$D$67/2),IF(X445,'FICHA'!$D$67,0))+IFERROR(VALUE(AN445&amp;""),0),NA())),IF((IF(Z445="","",IF(AND('FICHA'!$Z$445&lt;&gt;"",COUNTIF('DADOS_PROGRESSAO'!$AV$2:$AV$11,SUBSTITUTE(SUBSTITUTE(SUBSTITUTE('FICHA'!$Z$445,"~","~~"),"*","~*"),"?","~?"))=1,(COUNTIF('FICHA'!$F$439:$F$450,SUBSTITUTE(SUBSTITUTE(SUBSTITUTE('FICHA'!$Z$445,"~","~~"),"*","~*"),"?","~?"))+COUNTIF('FICHA'!$Z$439:$Z$449,SUBSTITUTE(SUBSTITUTE(SUBSTITUTE('FICHA'!$Z$445,"~","~~"),"*","~*"),"?","~?")))=1),SWITCH(AH445,"Força",'FICHA'!$D$19,"Destreza",'FICHA'!$L$19,"Constituição",'FICHA'!$T$19,"Inteligência",'FICHA'!$AB$19,"Essência",'FICHA'!$AJ$19,NA())+IF(Y445,'FICHA'!$D$67+INT('FICHA'!$D$67/2),IF(X445,'FICHA'!$D$67,0))+IFERROR(VALUE(AN445&amp;""),0),NA())))="","",(IF(Z445="","",IF(AND('FICHA'!$Z$445&lt;&gt;"",COUNTIF('DADOS_PROGRESSAO'!$AV$2:$AV$11,SUBSTITUTE(SUBSTITUTE(SUBSTITUTE('FICHA'!$Z$445,"~","~~"),"*","~*"),"?","~?"))=1,(COUNTIF('FICHA'!$F$439:$F$450,SUBSTITUTE(SUBSTITUTE(SUBSTITUTE('FICHA'!$Z$445,"~","~~"),"*","~*"),"?","~?"))+COUNTIF('FICHA'!$Z$439:$Z$449,SUBSTITUTE(SUBSTITUTE(SUBSTITUTE('FICHA'!$Z$445,"~","~~"),"*","~*"),"?","~?")))=1),SWITCH(AH445,"Força",'FICHA'!$D$19,"Destreza",'FICHA'!$L$19,"Constituição",'FICHA'!$T$19,"Inteligência",'FICHA'!$AB$19,"Essência",'FICHA'!$AJ$19,NA())+IF(Y445,'FICHA'!$D$67+INT('FICHA'!$D$67/2),IF(X445,'FICHA'!$D$67,0))+IFERROR(VALUE(AN445&amp;""),0),NA())))+DADOS_CONFIG!$B$72)))))</f>
        <v/>
      </c>
      <c r="AM445" s="17" t="n"/>
      <c r="AN445" s="136" t="n"/>
      <c r="AO445" s="17" t="n"/>
    </row>
    <row r="446" hidden="1" ht="18.75" customHeight="1">
      <c r="A446" s="8" t="n"/>
      <c r="B446" s="14" t="n"/>
      <c r="D446" s="108">
        <f>IF(F101="",FALSE,D101)</f>
        <v/>
      </c>
      <c r="E446" s="108">
        <f>IF(F101="",FALSE,E101)</f>
        <v/>
      </c>
      <c r="F446" s="136">
        <f>'DADOS_PROGRESSAO'!$AV$9</f>
        <v/>
      </c>
      <c r="G446" s="16" t="n"/>
      <c r="H446" s="16" t="n"/>
      <c r="I446" s="16" t="n"/>
      <c r="J446" s="16" t="n"/>
      <c r="K446" s="16" t="n"/>
      <c r="L446" s="16" t="n"/>
      <c r="M446" s="17" t="n"/>
      <c r="N446" s="136">
        <f>IFERROR(VLOOKUP(SUBSTITUTE(SUBSTITUTE(SUBSTITUTE(F446,"~","~~"),"*","~*"),"?","~?"),'DADOS_PROGRESSAO'!$AG$2:$AH$34,2,FALSE),"")</f>
        <v/>
      </c>
      <c r="O446" s="16" t="n"/>
      <c r="P446" s="16" t="n"/>
      <c r="Q446" s="17" t="n"/>
      <c r="R446" s="136">
        <f>IF('FICHA'!$F$446="","",IF(DADOS_CONFIG!$E$61&lt;&gt;"",NA(),IF(DADOS_CONFIG!$C$61=1,DADOS_CONFIG!$D$61,IF(DADOS_CONFIG!$B$61=0,IF(F446="","",IF(AND('FICHA'!$F$446&lt;&gt;"",COUNTIF('DADOS_PROGRESSAO'!$AV$2:$AV$11,SUBSTITUTE(SUBSTITUTE(SUBSTITUTE('FICHA'!$F$446,"~","~~"),"*","~*"),"?","~?"))=1,(COUNTIF('FICHA'!$F$439:$F$450,SUBSTITUTE(SUBSTITUTE(SUBSTITUTE('FICHA'!$F$446,"~","~~"),"*","~*"),"?","~?"))+COUNTIF('FICHA'!$Z$439:$Z$449,SUBSTITUTE(SUBSTITUTE(SUBSTITUTE('FICHA'!$F$446,"~","~~"),"*","~*"),"?","~?")))=1),SWITCH(N446,"Força",'FICHA'!$D$19,"Destreza",'FICHA'!$L$19,"Constituição",'FICHA'!$T$19,"Inteligência",'FICHA'!$AB$19,"Essência",'FICHA'!$AJ$19,NA())+IF(E446,'FICHA'!$D$67+INT('FICHA'!$D$67/2),IF(D446,'FICHA'!$D$67,0))+IFERROR(VALUE(T446&amp;""),0),NA())),IF((IF(F446="","",IF(AND('FICHA'!$F$446&lt;&gt;"",COUNTIF('DADOS_PROGRESSAO'!$AV$2:$AV$11,SUBSTITUTE(SUBSTITUTE(SUBSTITUTE('FICHA'!$F$446,"~","~~"),"*","~*"),"?","~?"))=1,(COUNTIF('FICHA'!$F$439:$F$450,SUBSTITUTE(SUBSTITUTE(SUBSTITUTE('FICHA'!$F$446,"~","~~"),"*","~*"),"?","~?"))+COUNTIF('FICHA'!$Z$439:$Z$449,SUBSTITUTE(SUBSTITUTE(SUBSTITUTE('FICHA'!$F$446,"~","~~"),"*","~*"),"?","~?")))=1),SWITCH(N446,"Força",'FICHA'!$D$19,"Destreza",'FICHA'!$L$19,"Constituição",'FICHA'!$T$19,"Inteligência",'FICHA'!$AB$19,"Essência",'FICHA'!$AJ$19,NA())+IF(E446,'FICHA'!$D$67+INT('FICHA'!$D$67/2),IF(D446,'FICHA'!$D$67,0))+IFERROR(VALUE(T446&amp;""),0),NA())))="","",(IF(F446="","",IF(AND('FICHA'!$F$446&lt;&gt;"",COUNTIF('DADOS_PROGRESSAO'!$AV$2:$AV$11,SUBSTITUTE(SUBSTITUTE(SUBSTITUTE('FICHA'!$F$446,"~","~~"),"*","~*"),"?","~?"))=1,(COUNTIF('FICHA'!$F$439:$F$450,SUBSTITUTE(SUBSTITUTE(SUBSTITUTE('FICHA'!$F$446,"~","~~"),"*","~*"),"?","~?"))+COUNTIF('FICHA'!$Z$439:$Z$449,SUBSTITUTE(SUBSTITUTE(SUBSTITUTE('FICHA'!$F$446,"~","~~"),"*","~*"),"?","~?")))=1),SWITCH(N446,"Força",'FICHA'!$D$19,"Destreza",'FICHA'!$L$19,"Constituição",'FICHA'!$T$19,"Inteligência",'FICHA'!$AB$19,"Essência",'FICHA'!$AJ$19,NA())+IF(E446,'FICHA'!$D$67+INT('FICHA'!$D$67/2),IF(D446,'FICHA'!$D$67,0))+IFERROR(VALUE(T446&amp;""),0),NA())))+DADOS_CONFIG!$B$61)))))</f>
        <v/>
      </c>
      <c r="S446" s="17" t="n"/>
      <c r="T446" s="136">
        <f>IF(F101="","",AL101)</f>
        <v/>
      </c>
      <c r="U446" s="17" t="n"/>
      <c r="X446" s="108" t="n">
        <v>0</v>
      </c>
      <c r="Y446" s="108" t="n">
        <v>0</v>
      </c>
      <c r="Z446" s="136" t="n"/>
      <c r="AA446" s="16" t="n"/>
      <c r="AB446" s="16" t="n"/>
      <c r="AC446" s="16" t="n"/>
      <c r="AD446" s="16" t="n"/>
      <c r="AE446" s="16" t="n"/>
      <c r="AF446" s="16" t="n"/>
      <c r="AG446" s="17" t="n"/>
      <c r="AH446" s="136">
        <f>IFERROR(VLOOKUP(SUBSTITUTE(SUBSTITUTE(SUBSTITUTE(Z446,"~","~~"),"*","~*"),"?","~?"),'DADOS_PROGRESSAO'!$AG$2:$AH$34,2,FALSE),"")</f>
        <v/>
      </c>
      <c r="AI446" s="16" t="n"/>
      <c r="AJ446" s="16" t="n"/>
      <c r="AK446" s="17" t="n"/>
      <c r="AL446" s="136">
        <f>IF('FICHA'!$Z$446="","",IF(DADOS_CONFIG!$E$73&lt;&gt;"",NA(),IF(DADOS_CONFIG!$C$73=1,DADOS_CONFIG!$D$73,IF(DADOS_CONFIG!$B$73=0,IF(Z446="","",IF(AND('FICHA'!$Z$446&lt;&gt;"",COUNTIF('DADOS_PROGRESSAO'!$AV$2:$AV$11,SUBSTITUTE(SUBSTITUTE(SUBSTITUTE('FICHA'!$Z$446,"~","~~"),"*","~*"),"?","~?"))=1,(COUNTIF('FICHA'!$F$439:$F$450,SUBSTITUTE(SUBSTITUTE(SUBSTITUTE('FICHA'!$Z$446,"~","~~"),"*","~*"),"?","~?"))+COUNTIF('FICHA'!$Z$439:$Z$449,SUBSTITUTE(SUBSTITUTE(SUBSTITUTE('FICHA'!$Z$446,"~","~~"),"*","~*"),"?","~?")))=1),SWITCH(AH446,"Força",'FICHA'!$D$19,"Destreza",'FICHA'!$L$19,"Constituição",'FICHA'!$T$19,"Inteligência",'FICHA'!$AB$19,"Essência",'FICHA'!$AJ$19,NA())+IF(Y446,'FICHA'!$D$67+INT('FICHA'!$D$67/2),IF(X446,'FICHA'!$D$67,0))+IFERROR(VALUE(AN446&amp;""),0),NA())),IF((IF(Z446="","",IF(AND('FICHA'!$Z$446&lt;&gt;"",COUNTIF('DADOS_PROGRESSAO'!$AV$2:$AV$11,SUBSTITUTE(SUBSTITUTE(SUBSTITUTE('FICHA'!$Z$446,"~","~~"),"*","~*"),"?","~?"))=1,(COUNTIF('FICHA'!$F$439:$F$450,SUBSTITUTE(SUBSTITUTE(SUBSTITUTE('FICHA'!$Z$446,"~","~~"),"*","~*"),"?","~?"))+COUNTIF('FICHA'!$Z$439:$Z$449,SUBSTITUTE(SUBSTITUTE(SUBSTITUTE('FICHA'!$Z$446,"~","~~"),"*","~*"),"?","~?")))=1),SWITCH(AH446,"Força",'FICHA'!$D$19,"Destreza",'FICHA'!$L$19,"Constituição",'FICHA'!$T$19,"Inteligência",'FICHA'!$AB$19,"Essência",'FICHA'!$AJ$19,NA())+IF(Y446,'FICHA'!$D$67+INT('FICHA'!$D$67/2),IF(X446,'FICHA'!$D$67,0))+IFERROR(VALUE(AN446&amp;""),0),NA())))="","",(IF(Z446="","",IF(AND('FICHA'!$Z$446&lt;&gt;"",COUNTIF('DADOS_PROGRESSAO'!$AV$2:$AV$11,SUBSTITUTE(SUBSTITUTE(SUBSTITUTE('FICHA'!$Z$446,"~","~~"),"*","~*"),"?","~?"))=1,(COUNTIF('FICHA'!$F$439:$F$450,SUBSTITUTE(SUBSTITUTE(SUBSTITUTE('FICHA'!$Z$446,"~","~~"),"*","~*"),"?","~?"))+COUNTIF('FICHA'!$Z$439:$Z$449,SUBSTITUTE(SUBSTITUTE(SUBSTITUTE('FICHA'!$Z$446,"~","~~"),"*","~*"),"?","~?")))=1),SWITCH(AH446,"Força",'FICHA'!$D$19,"Destreza",'FICHA'!$L$19,"Constituição",'FICHA'!$T$19,"Inteligência",'FICHA'!$AB$19,"Essência",'FICHA'!$AJ$19,NA())+IF(Y446,'FICHA'!$D$67+INT('FICHA'!$D$67/2),IF(X446,'FICHA'!$D$67,0))+IFERROR(VALUE(AN446&amp;""),0),NA())))+DADOS_CONFIG!$B$73)))))</f>
        <v/>
      </c>
      <c r="AM446" s="17" t="n"/>
      <c r="AN446" s="136" t="n"/>
      <c r="AO446" s="17" t="n"/>
    </row>
    <row r="447" hidden="1" ht="18.75" customHeight="1">
      <c r="A447" s="8" t="n"/>
      <c r="B447" s="14" t="n"/>
      <c r="D447" s="108">
        <f>IF(F102="",FALSE,D102)</f>
        <v/>
      </c>
      <c r="E447" s="108">
        <f>IF(F102="",FALSE,E102)</f>
        <v/>
      </c>
      <c r="F447" s="136">
        <f>'DADOS_PROGRESSAO'!$AV$10</f>
        <v/>
      </c>
      <c r="G447" s="16" t="n"/>
      <c r="H447" s="16" t="n"/>
      <c r="I447" s="16" t="n"/>
      <c r="J447" s="16" t="n"/>
      <c r="K447" s="16" t="n"/>
      <c r="L447" s="16" t="n"/>
      <c r="M447" s="17" t="n"/>
      <c r="N447" s="136">
        <f>IFERROR(VLOOKUP(SUBSTITUTE(SUBSTITUTE(SUBSTITUTE(F447,"~","~~"),"*","~*"),"?","~?"),'DADOS_PROGRESSAO'!$AG$2:$AH$34,2,FALSE),"")</f>
        <v/>
      </c>
      <c r="O447" s="16" t="n"/>
      <c r="P447" s="16" t="n"/>
      <c r="Q447" s="17" t="n"/>
      <c r="R447" s="136">
        <f>IF('FICHA'!$F$447="","",IF(DADOS_CONFIG!$E$62&lt;&gt;"",NA(),IF(DADOS_CONFIG!$C$62=1,DADOS_CONFIG!$D$62,IF(DADOS_CONFIG!$B$62=0,IF(F447="","",IF(AND('FICHA'!$F$447&lt;&gt;"",COUNTIF('DADOS_PROGRESSAO'!$AV$2:$AV$11,SUBSTITUTE(SUBSTITUTE(SUBSTITUTE('FICHA'!$F$447,"~","~~"),"*","~*"),"?","~?"))=1,(COUNTIF('FICHA'!$F$439:$F$450,SUBSTITUTE(SUBSTITUTE(SUBSTITUTE('FICHA'!$F$447,"~","~~"),"*","~*"),"?","~?"))+COUNTIF('FICHA'!$Z$439:$Z$449,SUBSTITUTE(SUBSTITUTE(SUBSTITUTE('FICHA'!$F$447,"~","~~"),"*","~*"),"?","~?")))=1),SWITCH(N447,"Força",'FICHA'!$D$19,"Destreza",'FICHA'!$L$19,"Constituição",'FICHA'!$T$19,"Inteligência",'FICHA'!$AB$19,"Essência",'FICHA'!$AJ$19,NA())+IF(E447,'FICHA'!$D$67+INT('FICHA'!$D$67/2),IF(D447,'FICHA'!$D$67,0))+IFERROR(VALUE(T447&amp;""),0),NA())),IF((IF(F447="","",IF(AND('FICHA'!$F$447&lt;&gt;"",COUNTIF('DADOS_PROGRESSAO'!$AV$2:$AV$11,SUBSTITUTE(SUBSTITUTE(SUBSTITUTE('FICHA'!$F$447,"~","~~"),"*","~*"),"?","~?"))=1,(COUNTIF('FICHA'!$F$439:$F$450,SUBSTITUTE(SUBSTITUTE(SUBSTITUTE('FICHA'!$F$447,"~","~~"),"*","~*"),"?","~?"))+COUNTIF('FICHA'!$Z$439:$Z$449,SUBSTITUTE(SUBSTITUTE(SUBSTITUTE('FICHA'!$F$447,"~","~~"),"*","~*"),"?","~?")))=1),SWITCH(N447,"Força",'FICHA'!$D$19,"Destreza",'FICHA'!$L$19,"Constituição",'FICHA'!$T$19,"Inteligência",'FICHA'!$AB$19,"Essência",'FICHA'!$AJ$19,NA())+IF(E447,'FICHA'!$D$67+INT('FICHA'!$D$67/2),IF(D447,'FICHA'!$D$67,0))+IFERROR(VALUE(T447&amp;""),0),NA())))="","",(IF(F447="","",IF(AND('FICHA'!$F$447&lt;&gt;"",COUNTIF('DADOS_PROGRESSAO'!$AV$2:$AV$11,SUBSTITUTE(SUBSTITUTE(SUBSTITUTE('FICHA'!$F$447,"~","~~"),"*","~*"),"?","~?"))=1,(COUNTIF('FICHA'!$F$439:$F$450,SUBSTITUTE(SUBSTITUTE(SUBSTITUTE('FICHA'!$F$447,"~","~~"),"*","~*"),"?","~?"))+COUNTIF('FICHA'!$Z$439:$Z$449,SUBSTITUTE(SUBSTITUTE(SUBSTITUTE('FICHA'!$F$447,"~","~~"),"*","~*"),"?","~?")))=1),SWITCH(N447,"Força",'FICHA'!$D$19,"Destreza",'FICHA'!$L$19,"Constituição",'FICHA'!$T$19,"Inteligência",'FICHA'!$AB$19,"Essência",'FICHA'!$AJ$19,NA())+IF(E447,'FICHA'!$D$67+INT('FICHA'!$D$67/2),IF(D447,'FICHA'!$D$67,0))+IFERROR(VALUE(T447&amp;""),0),NA())))+DADOS_CONFIG!$B$62)))))</f>
        <v/>
      </c>
      <c r="S447" s="17" t="n"/>
      <c r="T447" s="136">
        <f>IF(F102="","",AL102)</f>
        <v/>
      </c>
      <c r="U447" s="17" t="n"/>
      <c r="X447" s="108" t="n">
        <v>0</v>
      </c>
      <c r="Y447" s="108" t="n">
        <v>0</v>
      </c>
      <c r="Z447" s="136" t="n"/>
      <c r="AA447" s="16" t="n"/>
      <c r="AB447" s="16" t="n"/>
      <c r="AC447" s="16" t="n"/>
      <c r="AD447" s="16" t="n"/>
      <c r="AE447" s="16" t="n"/>
      <c r="AF447" s="16" t="n"/>
      <c r="AG447" s="17" t="n"/>
      <c r="AH447" s="136">
        <f>IFERROR(VLOOKUP(SUBSTITUTE(SUBSTITUTE(SUBSTITUTE(Z447,"~","~~"),"*","~*"),"?","~?"),'DADOS_PROGRESSAO'!$AG$2:$AH$34,2,FALSE),"")</f>
        <v/>
      </c>
      <c r="AI447" s="16" t="n"/>
      <c r="AJ447" s="16" t="n"/>
      <c r="AK447" s="17" t="n"/>
      <c r="AL447" s="136">
        <f>IF('FICHA'!$Z$447="","",IF(DADOS_CONFIG!$E$74&lt;&gt;"",NA(),IF(DADOS_CONFIG!$C$74=1,DADOS_CONFIG!$D$74,IF(DADOS_CONFIG!$B$74=0,IF(Z447="","",IF(AND('FICHA'!$Z$447&lt;&gt;"",COUNTIF('DADOS_PROGRESSAO'!$AV$2:$AV$11,SUBSTITUTE(SUBSTITUTE(SUBSTITUTE('FICHA'!$Z$447,"~","~~"),"*","~*"),"?","~?"))=1,(COUNTIF('FICHA'!$F$439:$F$450,SUBSTITUTE(SUBSTITUTE(SUBSTITUTE('FICHA'!$Z$447,"~","~~"),"*","~*"),"?","~?"))+COUNTIF('FICHA'!$Z$439:$Z$449,SUBSTITUTE(SUBSTITUTE(SUBSTITUTE('FICHA'!$Z$447,"~","~~"),"*","~*"),"?","~?")))=1),SWITCH(AH447,"Força",'FICHA'!$D$19,"Destreza",'FICHA'!$L$19,"Constituição",'FICHA'!$T$19,"Inteligência",'FICHA'!$AB$19,"Essência",'FICHA'!$AJ$19,NA())+IF(Y447,'FICHA'!$D$67+INT('FICHA'!$D$67/2),IF(X447,'FICHA'!$D$67,0))+IFERROR(VALUE(AN447&amp;""),0),NA())),IF((IF(Z447="","",IF(AND('FICHA'!$Z$447&lt;&gt;"",COUNTIF('DADOS_PROGRESSAO'!$AV$2:$AV$11,SUBSTITUTE(SUBSTITUTE(SUBSTITUTE('FICHA'!$Z$447,"~","~~"),"*","~*"),"?","~?"))=1,(COUNTIF('FICHA'!$F$439:$F$450,SUBSTITUTE(SUBSTITUTE(SUBSTITUTE('FICHA'!$Z$447,"~","~~"),"*","~*"),"?","~?"))+COUNTIF('FICHA'!$Z$439:$Z$449,SUBSTITUTE(SUBSTITUTE(SUBSTITUTE('FICHA'!$Z$447,"~","~~"),"*","~*"),"?","~?")))=1),SWITCH(AH447,"Força",'FICHA'!$D$19,"Destreza",'FICHA'!$L$19,"Constituição",'FICHA'!$T$19,"Inteligência",'FICHA'!$AB$19,"Essência",'FICHA'!$AJ$19,NA())+IF(Y447,'FICHA'!$D$67+INT('FICHA'!$D$67/2),IF(X447,'FICHA'!$D$67,0))+IFERROR(VALUE(AN447&amp;""),0),NA())))="","",(IF(Z447="","",IF(AND('FICHA'!$Z$447&lt;&gt;"",COUNTIF('DADOS_PROGRESSAO'!$AV$2:$AV$11,SUBSTITUTE(SUBSTITUTE(SUBSTITUTE('FICHA'!$Z$447,"~","~~"),"*","~*"),"?","~?"))=1,(COUNTIF('FICHA'!$F$439:$F$450,SUBSTITUTE(SUBSTITUTE(SUBSTITUTE('FICHA'!$Z$447,"~","~~"),"*","~*"),"?","~?"))+COUNTIF('FICHA'!$Z$439:$Z$449,SUBSTITUTE(SUBSTITUTE(SUBSTITUTE('FICHA'!$Z$447,"~","~~"),"*","~*"),"?","~?")))=1),SWITCH(AH447,"Força",'FICHA'!$D$19,"Destreza",'FICHA'!$L$19,"Constituição",'FICHA'!$T$19,"Inteligência",'FICHA'!$AB$19,"Essência",'FICHA'!$AJ$19,NA())+IF(Y447,'FICHA'!$D$67+INT('FICHA'!$D$67/2),IF(X447,'FICHA'!$D$67,0))+IFERROR(VALUE(AN447&amp;""),0),NA())))+DADOS_CONFIG!$B$74)))))</f>
        <v/>
      </c>
      <c r="AM447" s="17" t="n"/>
      <c r="AN447" s="136" t="n"/>
      <c r="AO447" s="17" t="n"/>
    </row>
    <row r="448" hidden="1" ht="18.75" customHeight="1">
      <c r="A448" s="8" t="n"/>
      <c r="B448" s="14" t="n"/>
      <c r="D448" s="108">
        <f>IF(F103="",FALSE,D103)</f>
        <v/>
      </c>
      <c r="E448" s="108">
        <f>IF(F103="",FALSE,E103)</f>
        <v/>
      </c>
      <c r="F448" s="136">
        <f>'DADOS_PROGRESSAO'!$AV$11</f>
        <v/>
      </c>
      <c r="G448" s="16" t="n"/>
      <c r="H448" s="16" t="n"/>
      <c r="I448" s="16" t="n"/>
      <c r="J448" s="16" t="n"/>
      <c r="K448" s="16" t="n"/>
      <c r="L448" s="16" t="n"/>
      <c r="M448" s="17" t="n"/>
      <c r="N448" s="136">
        <f>IFERROR(VLOOKUP(SUBSTITUTE(SUBSTITUTE(SUBSTITUTE(F448,"~","~~"),"*","~*"),"?","~?"),'DADOS_PROGRESSAO'!$AG$2:$AH$34,2,FALSE),"")</f>
        <v/>
      </c>
      <c r="O448" s="16" t="n"/>
      <c r="P448" s="16" t="n"/>
      <c r="Q448" s="17" t="n"/>
      <c r="R448" s="136">
        <f>IF('FICHA'!$F$448="","",IF(DADOS_CONFIG!$E$63&lt;&gt;"",NA(),IF(DADOS_CONFIG!$C$63=1,DADOS_CONFIG!$D$63,IF(DADOS_CONFIG!$B$63=0,IF(F448="","",IF(AND('FICHA'!$F$448&lt;&gt;"",COUNTIF('DADOS_PROGRESSAO'!$AV$2:$AV$11,SUBSTITUTE(SUBSTITUTE(SUBSTITUTE('FICHA'!$F$448,"~","~~"),"*","~*"),"?","~?"))=1,(COUNTIF('FICHA'!$F$439:$F$450,SUBSTITUTE(SUBSTITUTE(SUBSTITUTE('FICHA'!$F$448,"~","~~"),"*","~*"),"?","~?"))+COUNTIF('FICHA'!$Z$439:$Z$449,SUBSTITUTE(SUBSTITUTE(SUBSTITUTE('FICHA'!$F$448,"~","~~"),"*","~*"),"?","~?")))=1),SWITCH(N448,"Força",'FICHA'!$D$19,"Destreza",'FICHA'!$L$19,"Constituição",'FICHA'!$T$19,"Inteligência",'FICHA'!$AB$19,"Essência",'FICHA'!$AJ$19,NA())+IF(E448,'FICHA'!$D$67+INT('FICHA'!$D$67/2),IF(D448,'FICHA'!$D$67,0))+IFERROR(VALUE(T448&amp;""),0),NA())),IF((IF(F448="","",IF(AND('FICHA'!$F$448&lt;&gt;"",COUNTIF('DADOS_PROGRESSAO'!$AV$2:$AV$11,SUBSTITUTE(SUBSTITUTE(SUBSTITUTE('FICHA'!$F$448,"~","~~"),"*","~*"),"?","~?"))=1,(COUNTIF('FICHA'!$F$439:$F$450,SUBSTITUTE(SUBSTITUTE(SUBSTITUTE('FICHA'!$F$448,"~","~~"),"*","~*"),"?","~?"))+COUNTIF('FICHA'!$Z$439:$Z$449,SUBSTITUTE(SUBSTITUTE(SUBSTITUTE('FICHA'!$F$448,"~","~~"),"*","~*"),"?","~?")))=1),SWITCH(N448,"Força",'FICHA'!$D$19,"Destreza",'FICHA'!$L$19,"Constituição",'FICHA'!$T$19,"Inteligência",'FICHA'!$AB$19,"Essência",'FICHA'!$AJ$19,NA())+IF(E448,'FICHA'!$D$67+INT('FICHA'!$D$67/2),IF(D448,'FICHA'!$D$67,0))+IFERROR(VALUE(T448&amp;""),0),NA())))="","",(IF(F448="","",IF(AND('FICHA'!$F$448&lt;&gt;"",COUNTIF('DADOS_PROGRESSAO'!$AV$2:$AV$11,SUBSTITUTE(SUBSTITUTE(SUBSTITUTE('FICHA'!$F$448,"~","~~"),"*","~*"),"?","~?"))=1,(COUNTIF('FICHA'!$F$439:$F$450,SUBSTITUTE(SUBSTITUTE(SUBSTITUTE('FICHA'!$F$448,"~","~~"),"*","~*"),"?","~?"))+COUNTIF('FICHA'!$Z$439:$Z$449,SUBSTITUTE(SUBSTITUTE(SUBSTITUTE('FICHA'!$F$448,"~","~~"),"*","~*"),"?","~?")))=1),SWITCH(N448,"Força",'FICHA'!$D$19,"Destreza",'FICHA'!$L$19,"Constituição",'FICHA'!$T$19,"Inteligência",'FICHA'!$AB$19,"Essência",'FICHA'!$AJ$19,NA())+IF(E448,'FICHA'!$D$67+INT('FICHA'!$D$67/2),IF(D448,'FICHA'!$D$67,0))+IFERROR(VALUE(T448&amp;""),0),NA())))+DADOS_CONFIG!$B$63)))))</f>
        <v/>
      </c>
      <c r="S448" s="17" t="n"/>
      <c r="T448" s="136">
        <f>IF(F103="","",AL103)</f>
        <v/>
      </c>
      <c r="U448" s="17" t="n"/>
      <c r="X448" s="108" t="n">
        <v>0</v>
      </c>
      <c r="Y448" s="108" t="n">
        <v>0</v>
      </c>
      <c r="Z448" s="136" t="n"/>
      <c r="AA448" s="16" t="n"/>
      <c r="AB448" s="16" t="n"/>
      <c r="AC448" s="16" t="n"/>
      <c r="AD448" s="16" t="n"/>
      <c r="AE448" s="16" t="n"/>
      <c r="AF448" s="16" t="n"/>
      <c r="AG448" s="17" t="n"/>
      <c r="AH448" s="136">
        <f>IFERROR(VLOOKUP(SUBSTITUTE(SUBSTITUTE(SUBSTITUTE(Z448,"~","~~"),"*","~*"),"?","~?"),'DADOS_PROGRESSAO'!$AG$2:$AH$34,2,FALSE),"")</f>
        <v/>
      </c>
      <c r="AI448" s="16" t="n"/>
      <c r="AJ448" s="16" t="n"/>
      <c r="AK448" s="17" t="n"/>
      <c r="AL448" s="136">
        <f>IF('FICHA'!$Z$448="","",IF(DADOS_CONFIG!$E$75&lt;&gt;"",NA(),IF(DADOS_CONFIG!$C$75=1,DADOS_CONFIG!$D$75,IF(DADOS_CONFIG!$B$75=0,IF(Z448="","",IF(AND('FICHA'!$Z$448&lt;&gt;"",COUNTIF('DADOS_PROGRESSAO'!$AV$2:$AV$11,SUBSTITUTE(SUBSTITUTE(SUBSTITUTE('FICHA'!$Z$448,"~","~~"),"*","~*"),"?","~?"))=1,(COUNTIF('FICHA'!$F$439:$F$450,SUBSTITUTE(SUBSTITUTE(SUBSTITUTE('FICHA'!$Z$448,"~","~~"),"*","~*"),"?","~?"))+COUNTIF('FICHA'!$Z$439:$Z$449,SUBSTITUTE(SUBSTITUTE(SUBSTITUTE('FICHA'!$Z$448,"~","~~"),"*","~*"),"?","~?")))=1),SWITCH(AH448,"Força",'FICHA'!$D$19,"Destreza",'FICHA'!$L$19,"Constituição",'FICHA'!$T$19,"Inteligência",'FICHA'!$AB$19,"Essência",'FICHA'!$AJ$19,NA())+IF(Y448,'FICHA'!$D$67+INT('FICHA'!$D$67/2),IF(X448,'FICHA'!$D$67,0))+IFERROR(VALUE(AN448&amp;""),0),NA())),IF((IF(Z448="","",IF(AND('FICHA'!$Z$448&lt;&gt;"",COUNTIF('DADOS_PROGRESSAO'!$AV$2:$AV$11,SUBSTITUTE(SUBSTITUTE(SUBSTITUTE('FICHA'!$Z$448,"~","~~"),"*","~*"),"?","~?"))=1,(COUNTIF('FICHA'!$F$439:$F$450,SUBSTITUTE(SUBSTITUTE(SUBSTITUTE('FICHA'!$Z$448,"~","~~"),"*","~*"),"?","~?"))+COUNTIF('FICHA'!$Z$439:$Z$449,SUBSTITUTE(SUBSTITUTE(SUBSTITUTE('FICHA'!$Z$448,"~","~~"),"*","~*"),"?","~?")))=1),SWITCH(AH448,"Força",'FICHA'!$D$19,"Destreza",'FICHA'!$L$19,"Constituição",'FICHA'!$T$19,"Inteligência",'FICHA'!$AB$19,"Essência",'FICHA'!$AJ$19,NA())+IF(Y448,'FICHA'!$D$67+INT('FICHA'!$D$67/2),IF(X448,'FICHA'!$D$67,0))+IFERROR(VALUE(AN448&amp;""),0),NA())))="","",(IF(Z448="","",IF(AND('FICHA'!$Z$448&lt;&gt;"",COUNTIF('DADOS_PROGRESSAO'!$AV$2:$AV$11,SUBSTITUTE(SUBSTITUTE(SUBSTITUTE('FICHA'!$Z$448,"~","~~"),"*","~*"),"?","~?"))=1,(COUNTIF('FICHA'!$F$439:$F$450,SUBSTITUTE(SUBSTITUTE(SUBSTITUTE('FICHA'!$Z$448,"~","~~"),"*","~*"),"?","~?"))+COUNTIF('FICHA'!$Z$439:$Z$449,SUBSTITUTE(SUBSTITUTE(SUBSTITUTE('FICHA'!$Z$448,"~","~~"),"*","~*"),"?","~?")))=1),SWITCH(AH448,"Força",'FICHA'!$D$19,"Destreza",'FICHA'!$L$19,"Constituição",'FICHA'!$T$19,"Inteligência",'FICHA'!$AB$19,"Essência",'FICHA'!$AJ$19,NA())+IF(Y448,'FICHA'!$D$67+INT('FICHA'!$D$67/2),IF(X448,'FICHA'!$D$67,0))+IFERROR(VALUE(AN448&amp;""),0),NA())))+DADOS_CONFIG!$B$75)))))</f>
        <v/>
      </c>
      <c r="AM448" s="17" t="n"/>
      <c r="AN448" s="136" t="n"/>
      <c r="AO448" s="17" t="n"/>
    </row>
    <row r="449" hidden="1" ht="18.75" customHeight="1">
      <c r="A449" s="8" t="n"/>
      <c r="B449" s="14" t="n"/>
      <c r="D449" s="108" t="n">
        <v>0</v>
      </c>
      <c r="E449" s="108" t="n">
        <v>0</v>
      </c>
      <c r="F449" s="136" t="n"/>
      <c r="G449" s="16" t="n"/>
      <c r="H449" s="16" t="n"/>
      <c r="I449" s="16" t="n"/>
      <c r="J449" s="16" t="n"/>
      <c r="K449" s="16" t="n"/>
      <c r="L449" s="16" t="n"/>
      <c r="M449" s="17" t="n"/>
      <c r="N449" s="136">
        <f>IFERROR(VLOOKUP(SUBSTITUTE(SUBSTITUTE(SUBSTITUTE(F449,"~","~~"),"*","~*"),"?","~?"),'DADOS_PROGRESSAO'!$AG$2:$AH$34,2,FALSE),"")</f>
        <v/>
      </c>
      <c r="O449" s="16" t="n"/>
      <c r="P449" s="16" t="n"/>
      <c r="Q449" s="17" t="n"/>
      <c r="R449" s="136">
        <f>IF('FICHA'!$F$449="","",IF(DADOS_CONFIG!$E$64&lt;&gt;"",NA(),IF(DADOS_CONFIG!$C$64=1,DADOS_CONFIG!$D$64,IF(DADOS_CONFIG!$B$64=0,IF(F449="","",IF(AND('FICHA'!$F$449&lt;&gt;"",COUNTIF('DADOS_PROGRESSAO'!$AV$2:$AV$11,SUBSTITUTE(SUBSTITUTE(SUBSTITUTE('FICHA'!$F$449,"~","~~"),"*","~*"),"?","~?"))=1,(COUNTIF('FICHA'!$F$439:$F$450,SUBSTITUTE(SUBSTITUTE(SUBSTITUTE('FICHA'!$F$449,"~","~~"),"*","~*"),"?","~?"))+COUNTIF('FICHA'!$Z$439:$Z$449,SUBSTITUTE(SUBSTITUTE(SUBSTITUTE('FICHA'!$F$449,"~","~~"),"*","~*"),"?","~?")))=1),SWITCH(N449,"Força",'FICHA'!$D$19,"Destreza",'FICHA'!$L$19,"Constituição",'FICHA'!$T$19,"Inteligência",'FICHA'!$AB$19,"Essência",'FICHA'!$AJ$19,NA())+IF(E449,'FICHA'!$D$67+INT('FICHA'!$D$67/2),IF(D449,'FICHA'!$D$67,0))+IFERROR(VALUE(T449&amp;""),0),NA())),IF((IF(F449="","",IF(AND('FICHA'!$F$449&lt;&gt;"",COUNTIF('DADOS_PROGRESSAO'!$AV$2:$AV$11,SUBSTITUTE(SUBSTITUTE(SUBSTITUTE('FICHA'!$F$449,"~","~~"),"*","~*"),"?","~?"))=1,(COUNTIF('FICHA'!$F$439:$F$450,SUBSTITUTE(SUBSTITUTE(SUBSTITUTE('FICHA'!$F$449,"~","~~"),"*","~*"),"?","~?"))+COUNTIF('FICHA'!$Z$439:$Z$449,SUBSTITUTE(SUBSTITUTE(SUBSTITUTE('FICHA'!$F$449,"~","~~"),"*","~*"),"?","~?")))=1),SWITCH(N449,"Força",'FICHA'!$D$19,"Destreza",'FICHA'!$L$19,"Constituição",'FICHA'!$T$19,"Inteligência",'FICHA'!$AB$19,"Essência",'FICHA'!$AJ$19,NA())+IF(E449,'FICHA'!$D$67+INT('FICHA'!$D$67/2),IF(D449,'FICHA'!$D$67,0))+IFERROR(VALUE(T449&amp;""),0),NA())))="","",(IF(F449="","",IF(AND('FICHA'!$F$449&lt;&gt;"",COUNTIF('DADOS_PROGRESSAO'!$AV$2:$AV$11,SUBSTITUTE(SUBSTITUTE(SUBSTITUTE('FICHA'!$F$449,"~","~~"),"*","~*"),"?","~?"))=1,(COUNTIF('FICHA'!$F$439:$F$450,SUBSTITUTE(SUBSTITUTE(SUBSTITUTE('FICHA'!$F$449,"~","~~"),"*","~*"),"?","~?"))+COUNTIF('FICHA'!$Z$439:$Z$449,SUBSTITUTE(SUBSTITUTE(SUBSTITUTE('FICHA'!$F$449,"~","~~"),"*","~*"),"?","~?")))=1),SWITCH(N449,"Força",'FICHA'!$D$19,"Destreza",'FICHA'!$L$19,"Constituição",'FICHA'!$T$19,"Inteligência",'FICHA'!$AB$19,"Essência",'FICHA'!$AJ$19,NA())+IF(E449,'FICHA'!$D$67+INT('FICHA'!$D$67/2),IF(D449,'FICHA'!$D$67,0))+IFERROR(VALUE(T449&amp;""),0),NA())))+DADOS_CONFIG!$B$64)))))</f>
        <v/>
      </c>
      <c r="S449" s="17" t="n"/>
      <c r="T449" s="136" t="n"/>
      <c r="U449" s="17" t="n"/>
      <c r="X449" s="108" t="n">
        <v>0</v>
      </c>
      <c r="Y449" s="108" t="n">
        <v>0</v>
      </c>
      <c r="Z449" s="136" t="n"/>
      <c r="AA449" s="16" t="n"/>
      <c r="AB449" s="16" t="n"/>
      <c r="AC449" s="16" t="n"/>
      <c r="AD449" s="16" t="n"/>
      <c r="AE449" s="16" t="n"/>
      <c r="AF449" s="16" t="n"/>
      <c r="AG449" s="17" t="n"/>
      <c r="AH449" s="136">
        <f>IFERROR(VLOOKUP(SUBSTITUTE(SUBSTITUTE(SUBSTITUTE(Z449,"~","~~"),"*","~*"),"?","~?"),'DADOS_PROGRESSAO'!$AG$2:$AH$34,2,FALSE),"")</f>
        <v/>
      </c>
      <c r="AI449" s="16" t="n"/>
      <c r="AJ449" s="16" t="n"/>
      <c r="AK449" s="17" t="n"/>
      <c r="AL449" s="136">
        <f>IF('FICHA'!$Z$449="","",IF(DADOS_CONFIG!$E$76&lt;&gt;"",NA(),IF(DADOS_CONFIG!$C$76=1,DADOS_CONFIG!$D$76,IF(DADOS_CONFIG!$B$76=0,IF(Z449="","",IF(AND('FICHA'!$Z$449&lt;&gt;"",COUNTIF('DADOS_PROGRESSAO'!$AV$2:$AV$11,SUBSTITUTE(SUBSTITUTE(SUBSTITUTE('FICHA'!$Z$449,"~","~~"),"*","~*"),"?","~?"))=1,(COUNTIF('FICHA'!$F$439:$F$450,SUBSTITUTE(SUBSTITUTE(SUBSTITUTE('FICHA'!$Z$449,"~","~~"),"*","~*"),"?","~?"))+COUNTIF('FICHA'!$Z$439:$Z$449,SUBSTITUTE(SUBSTITUTE(SUBSTITUTE('FICHA'!$Z$449,"~","~~"),"*","~*"),"?","~?")))=1),SWITCH(AH449,"Força",'FICHA'!$D$19,"Destreza",'FICHA'!$L$19,"Constituição",'FICHA'!$T$19,"Inteligência",'FICHA'!$AB$19,"Essência",'FICHA'!$AJ$19,NA())+IF(Y449,'FICHA'!$D$67+INT('FICHA'!$D$67/2),IF(X449,'FICHA'!$D$67,0))+IFERROR(VALUE(AN449&amp;""),0),NA())),IF((IF(Z449="","",IF(AND('FICHA'!$Z$449&lt;&gt;"",COUNTIF('DADOS_PROGRESSAO'!$AV$2:$AV$11,SUBSTITUTE(SUBSTITUTE(SUBSTITUTE('FICHA'!$Z$449,"~","~~"),"*","~*"),"?","~?"))=1,(COUNTIF('FICHA'!$F$439:$F$450,SUBSTITUTE(SUBSTITUTE(SUBSTITUTE('FICHA'!$Z$449,"~","~~"),"*","~*"),"?","~?"))+COUNTIF('FICHA'!$Z$439:$Z$449,SUBSTITUTE(SUBSTITUTE(SUBSTITUTE('FICHA'!$Z$449,"~","~~"),"*","~*"),"?","~?")))=1),SWITCH(AH449,"Força",'FICHA'!$D$19,"Destreza",'FICHA'!$L$19,"Constituição",'FICHA'!$T$19,"Inteligência",'FICHA'!$AB$19,"Essência",'FICHA'!$AJ$19,NA())+IF(Y449,'FICHA'!$D$67+INT('FICHA'!$D$67/2),IF(X449,'FICHA'!$D$67,0))+IFERROR(VALUE(AN449&amp;""),0),NA())))="","",(IF(Z449="","",IF(AND('FICHA'!$Z$449&lt;&gt;"",COUNTIF('DADOS_PROGRESSAO'!$AV$2:$AV$11,SUBSTITUTE(SUBSTITUTE(SUBSTITUTE('FICHA'!$Z$449,"~","~~"),"*","~*"),"?","~?"))=1,(COUNTIF('FICHA'!$F$439:$F$450,SUBSTITUTE(SUBSTITUTE(SUBSTITUTE('FICHA'!$Z$449,"~","~~"),"*","~*"),"?","~?"))+COUNTIF('FICHA'!$Z$439:$Z$449,SUBSTITUTE(SUBSTITUTE(SUBSTITUTE('FICHA'!$Z$449,"~","~~"),"*","~*"),"?","~?")))=1),SWITCH(AH449,"Força",'FICHA'!$D$19,"Destreza",'FICHA'!$L$19,"Constituição",'FICHA'!$T$19,"Inteligência",'FICHA'!$AB$19,"Essência",'FICHA'!$AJ$19,NA())+IF(Y449,'FICHA'!$D$67+INT('FICHA'!$D$67/2),IF(X449,'FICHA'!$D$67,0))+IFERROR(VALUE(AN449&amp;""),0),NA())))+DADOS_CONFIG!$B$76)))))</f>
        <v/>
      </c>
      <c r="AM449" s="17" t="n"/>
      <c r="AN449" s="136" t="n"/>
      <c r="AO449" s="17" t="n"/>
    </row>
    <row r="450" hidden="1" ht="18.75" customHeight="1">
      <c r="A450" s="8" t="n"/>
      <c r="B450" s="14" t="n"/>
      <c r="D450" s="108" t="n">
        <v>0</v>
      </c>
      <c r="E450" s="108" t="n">
        <v>0</v>
      </c>
      <c r="F450" s="136" t="n"/>
      <c r="G450" s="16" t="n"/>
      <c r="H450" s="16" t="n"/>
      <c r="I450" s="16" t="n"/>
      <c r="J450" s="16" t="n"/>
      <c r="K450" s="16" t="n"/>
      <c r="L450" s="16" t="n"/>
      <c r="M450" s="17" t="n"/>
      <c r="N450" s="136">
        <f>IFERROR(VLOOKUP(SUBSTITUTE(SUBSTITUTE(SUBSTITUTE(F450,"~","~~"),"*","~*"),"?","~?"),'DADOS_PROGRESSAO'!$AG$2:$AH$34,2,FALSE),"")</f>
        <v/>
      </c>
      <c r="O450" s="16" t="n"/>
      <c r="P450" s="16" t="n"/>
      <c r="Q450" s="17" t="n"/>
      <c r="R450" s="136">
        <f>IF('FICHA'!$F$450="","",IF(DADOS_CONFIG!$E$65&lt;&gt;"",NA(),IF(DADOS_CONFIG!$C$65=1,DADOS_CONFIG!$D$65,IF(DADOS_CONFIG!$B$65=0,IF(F450="","",IF(AND('FICHA'!$F$450&lt;&gt;"",COUNTIF('DADOS_PROGRESSAO'!$AV$2:$AV$11,SUBSTITUTE(SUBSTITUTE(SUBSTITUTE('FICHA'!$F$450,"~","~~"),"*","~*"),"?","~?"))=1,(COUNTIF('FICHA'!$F$439:$F$450,SUBSTITUTE(SUBSTITUTE(SUBSTITUTE('FICHA'!$F$450,"~","~~"),"*","~*"),"?","~?"))+COUNTIF('FICHA'!$Z$439:$Z$449,SUBSTITUTE(SUBSTITUTE(SUBSTITUTE('FICHA'!$F$450,"~","~~"),"*","~*"),"?","~?")))=1),SWITCH(N450,"Força",'FICHA'!$D$19,"Destreza",'FICHA'!$L$19,"Constituição",'FICHA'!$T$19,"Inteligência",'FICHA'!$AB$19,"Essência",'FICHA'!$AJ$19,NA())+IF(E450,'FICHA'!$D$67+INT('FICHA'!$D$67/2),IF(D450,'FICHA'!$D$67,0))+IFERROR(VALUE(T450&amp;""),0),NA())),IF((IF(F450="","",IF(AND('FICHA'!$F$450&lt;&gt;"",COUNTIF('DADOS_PROGRESSAO'!$AV$2:$AV$11,SUBSTITUTE(SUBSTITUTE(SUBSTITUTE('FICHA'!$F$450,"~","~~"),"*","~*"),"?","~?"))=1,(COUNTIF('FICHA'!$F$439:$F$450,SUBSTITUTE(SUBSTITUTE(SUBSTITUTE('FICHA'!$F$450,"~","~~"),"*","~*"),"?","~?"))+COUNTIF('FICHA'!$Z$439:$Z$449,SUBSTITUTE(SUBSTITUTE(SUBSTITUTE('FICHA'!$F$450,"~","~~"),"*","~*"),"?","~?")))=1),SWITCH(N450,"Força",'FICHA'!$D$19,"Destreza",'FICHA'!$L$19,"Constituição",'FICHA'!$T$19,"Inteligência",'FICHA'!$AB$19,"Essência",'FICHA'!$AJ$19,NA())+IF(E450,'FICHA'!$D$67+INT('FICHA'!$D$67/2),IF(D450,'FICHA'!$D$67,0))+IFERROR(VALUE(T450&amp;""),0),NA())))="","",(IF(F450="","",IF(AND('FICHA'!$F$450&lt;&gt;"",COUNTIF('DADOS_PROGRESSAO'!$AV$2:$AV$11,SUBSTITUTE(SUBSTITUTE(SUBSTITUTE('FICHA'!$F$450,"~","~~"),"*","~*"),"?","~?"))=1,(COUNTIF('FICHA'!$F$439:$F$450,SUBSTITUTE(SUBSTITUTE(SUBSTITUTE('FICHA'!$F$450,"~","~~"),"*","~*"),"?","~?"))+COUNTIF('FICHA'!$Z$439:$Z$449,SUBSTITUTE(SUBSTITUTE(SUBSTITUTE('FICHA'!$F$450,"~","~~"),"*","~*"),"?","~?")))=1),SWITCH(N450,"Força",'FICHA'!$D$19,"Destreza",'FICHA'!$L$19,"Constituição",'FICHA'!$T$19,"Inteligência",'FICHA'!$AB$19,"Essência",'FICHA'!$AJ$19,NA())+IF(E450,'FICHA'!$D$67+INT('FICHA'!$D$67/2),IF(D450,'FICHA'!$D$67,0))+IFERROR(VALUE(T450&amp;""),0),NA())))+DADOS_CONFIG!$B$65)))))</f>
        <v/>
      </c>
      <c r="S450" s="17" t="n"/>
      <c r="T450" s="136" t="n"/>
      <c r="U450" s="17" t="n"/>
    </row>
    <row r="451" hidden="1" ht="18.75" customHeight="1">
      <c r="A451" s="8" t="n"/>
      <c r="B451" s="14" t="n"/>
    </row>
    <row r="452" hidden="1" ht="18.75" customHeight="1">
      <c r="A452" s="8" t="n"/>
      <c r="B452" s="14" t="n"/>
    </row>
    <row r="453" hidden="1" ht="18.75" customHeight="1">
      <c r="A453" s="8" t="n"/>
      <c r="B453" s="14" t="n"/>
      <c r="D453" s="101" t="inlineStr">
        <is>
          <t>OFÍCIO CUSTOM · 1–6</t>
        </is>
      </c>
      <c r="E453" s="16" t="n"/>
      <c r="F453" s="16" t="n"/>
      <c r="G453" s="16" t="n"/>
      <c r="H453" s="16" t="n"/>
      <c r="I453" s="16" t="n"/>
      <c r="J453" s="16" t="n"/>
      <c r="K453" s="16" t="n"/>
      <c r="L453" s="16" t="n"/>
      <c r="M453" s="16" t="n"/>
      <c r="N453" s="16" t="n"/>
      <c r="O453" s="16" t="n"/>
      <c r="P453" s="16" t="n"/>
      <c r="Q453" s="16" t="n"/>
      <c r="R453" s="16" t="n"/>
      <c r="S453" s="16" t="n"/>
      <c r="T453" s="16" t="n"/>
      <c r="U453" s="17" t="n"/>
      <c r="X453" s="101" t="inlineStr">
        <is>
          <t>OFÍCIO CUSTOM · 7–11</t>
        </is>
      </c>
      <c r="Y453" s="16" t="n"/>
      <c r="Z453" s="16" t="n"/>
      <c r="AA453" s="16" t="n"/>
      <c r="AB453" s="16" t="n"/>
      <c r="AC453" s="16" t="n"/>
      <c r="AD453" s="16" t="n"/>
      <c r="AE453" s="16" t="n"/>
      <c r="AF453" s="16" t="n"/>
      <c r="AG453" s="16" t="n"/>
      <c r="AH453" s="16" t="n"/>
      <c r="AI453" s="16" t="n"/>
      <c r="AJ453" s="16" t="n"/>
      <c r="AK453" s="16" t="n"/>
      <c r="AL453" s="16" t="n"/>
      <c r="AM453" s="16" t="n"/>
      <c r="AN453" s="16" t="n"/>
      <c r="AO453" s="17" t="n"/>
    </row>
    <row r="454" hidden="1" ht="18.75" customHeight="1">
      <c r="A454" s="8" t="n"/>
      <c r="B454" s="14" t="n"/>
      <c r="D454" s="135" t="inlineStr">
        <is>
          <t>T</t>
        </is>
      </c>
      <c r="E454" s="135" t="inlineStr">
        <is>
          <t>E</t>
        </is>
      </c>
      <c r="F454" s="135" t="inlineStr">
        <is>
          <t>NOME</t>
        </is>
      </c>
      <c r="G454" s="16" t="n"/>
      <c r="H454" s="16" t="n"/>
      <c r="I454" s="16" t="n"/>
      <c r="J454" s="16" t="n"/>
      <c r="K454" s="16" t="n"/>
      <c r="L454" s="16" t="n"/>
      <c r="M454" s="17" t="n"/>
      <c r="N454" s="135" t="inlineStr">
        <is>
          <t>ATRIBUTO</t>
        </is>
      </c>
      <c r="O454" s="16" t="n"/>
      <c r="P454" s="16" t="n"/>
      <c r="Q454" s="17" t="n"/>
      <c r="R454" s="135" t="inlineStr">
        <is>
          <t>TOTAL</t>
        </is>
      </c>
      <c r="S454" s="17" t="n"/>
      <c r="T454" s="135" t="inlineStr">
        <is>
          <t>BÔNUS</t>
        </is>
      </c>
      <c r="U454" s="17" t="n"/>
      <c r="X454" s="135" t="inlineStr">
        <is>
          <t>T</t>
        </is>
      </c>
      <c r="Y454" s="135" t="inlineStr">
        <is>
          <t>E</t>
        </is>
      </c>
      <c r="Z454" s="135" t="inlineStr">
        <is>
          <t>NOME</t>
        </is>
      </c>
      <c r="AA454" s="16" t="n"/>
      <c r="AB454" s="16" t="n"/>
      <c r="AC454" s="16" t="n"/>
      <c r="AD454" s="16" t="n"/>
      <c r="AE454" s="16" t="n"/>
      <c r="AF454" s="16" t="n"/>
      <c r="AG454" s="17" t="n"/>
      <c r="AH454" s="135" t="inlineStr">
        <is>
          <t>ATRIBUTO</t>
        </is>
      </c>
      <c r="AI454" s="16" t="n"/>
      <c r="AJ454" s="16" t="n"/>
      <c r="AK454" s="17" t="n"/>
      <c r="AL454" s="135" t="inlineStr">
        <is>
          <t>TOTAL</t>
        </is>
      </c>
      <c r="AM454" s="17" t="n"/>
      <c r="AN454" s="135" t="inlineStr">
        <is>
          <t>BÔNUS</t>
        </is>
      </c>
      <c r="AO454" s="17" t="n"/>
    </row>
    <row r="455" hidden="1" ht="18.75" customHeight="1">
      <c r="A455" s="8" t="n"/>
      <c r="B455" s="14" t="n"/>
      <c r="D455" s="108">
        <f>IF(F118="",FALSE,D118)</f>
        <v/>
      </c>
      <c r="E455" s="108">
        <f>IF(F118="",FALSE,E118)</f>
        <v/>
      </c>
      <c r="F455" s="136">
        <f>'DADOS_PROGRESSAO'!$AW$2</f>
        <v/>
      </c>
      <c r="G455" s="16" t="n"/>
      <c r="H455" s="16" t="n"/>
      <c r="I455" s="16" t="n"/>
      <c r="J455" s="16" t="n"/>
      <c r="K455" s="16" t="n"/>
      <c r="L455" s="16" t="n"/>
      <c r="M455" s="17" t="n"/>
      <c r="N455" s="136">
        <f>IF(F118="","",W118)</f>
        <v/>
      </c>
      <c r="O455" s="16" t="n"/>
      <c r="P455" s="16" t="n"/>
      <c r="Q455" s="17" t="n"/>
      <c r="R455" s="136">
        <f>IF('FICHA'!$F$455="","",IF(DADOS_CONFIG!$E$77&lt;&gt;"",NA(),IF(DADOS_CONFIG!$C$77=1,DADOS_CONFIG!$D$77,IF(DADOS_CONFIG!$B$77=0,IF(F455="","",IF(AND('FICHA'!$F$455&lt;&gt;"",COUNTIF('DADOS_PROGRESSAO'!$AW$2:$AW$11,SUBSTITUTE(SUBSTITUTE(SUBSTITUTE('FICHA'!$F$455,"~","~~"),"*","~*"),"?","~?"))=1,(COUNTIF('FICHA'!$F$455:$F$460,SUBSTITUTE(SUBSTITUTE(SUBSTITUTE('FICHA'!$F$455,"~","~~"),"*","~*"),"?","~?"))+COUNTIF('FICHA'!$Z$455:$Z$459,SUBSTITUTE(SUBSTITUTE(SUBSTITUTE('FICHA'!$F$455,"~","~~"),"*","~*"),"?","~?")))=1),SWITCH(N455,"Força",'FICHA'!$D$19,"Destreza",'FICHA'!$L$19,"Constituição",'FICHA'!$T$19,"Inteligência",'FICHA'!$AB$19,"Essência",'FICHA'!$AJ$19,NA())+IF(E455,'FICHA'!$D$67+INT('FICHA'!$D$67/2),IF(D455,'FICHA'!$D$67,0))+IFERROR(VALUE(T455&amp;""),0),NA())),IF((IF(F455="","",IF(AND('FICHA'!$F$455&lt;&gt;"",COUNTIF('DADOS_PROGRESSAO'!$AW$2:$AW$11,SUBSTITUTE(SUBSTITUTE(SUBSTITUTE('FICHA'!$F$455,"~","~~"),"*","~*"),"?","~?"))=1,(COUNTIF('FICHA'!$F$455:$F$460,SUBSTITUTE(SUBSTITUTE(SUBSTITUTE('FICHA'!$F$455,"~","~~"),"*","~*"),"?","~?"))+COUNTIF('FICHA'!$Z$455:$Z$459,SUBSTITUTE(SUBSTITUTE(SUBSTITUTE('FICHA'!$F$455,"~","~~"),"*","~*"),"?","~?")))=1),SWITCH(N455,"Força",'FICHA'!$D$19,"Destreza",'FICHA'!$L$19,"Constituição",'FICHA'!$T$19,"Inteligência",'FICHA'!$AB$19,"Essência",'FICHA'!$AJ$19,NA())+IF(E455,'FICHA'!$D$67+INT('FICHA'!$D$67/2),IF(D455,'FICHA'!$D$67,0))+IFERROR(VALUE(T455&amp;""),0),NA())))="","",(IF(F455="","",IF(AND('FICHA'!$F$455&lt;&gt;"",COUNTIF('DADOS_PROGRESSAO'!$AW$2:$AW$11,SUBSTITUTE(SUBSTITUTE(SUBSTITUTE('FICHA'!$F$455,"~","~~"),"*","~*"),"?","~?"))=1,(COUNTIF('FICHA'!$F$455:$F$460,SUBSTITUTE(SUBSTITUTE(SUBSTITUTE('FICHA'!$F$455,"~","~~"),"*","~*"),"?","~?"))+COUNTIF('FICHA'!$Z$455:$Z$459,SUBSTITUTE(SUBSTITUTE(SUBSTITUTE('FICHA'!$F$455,"~","~~"),"*","~*"),"?","~?")))=1),SWITCH(N455,"Força",'FICHA'!$D$19,"Destreza",'FICHA'!$L$19,"Constituição",'FICHA'!$T$19,"Inteligência",'FICHA'!$AB$19,"Essência",'FICHA'!$AJ$19,NA())+IF(E455,'FICHA'!$D$67+INT('FICHA'!$D$67/2),IF(D455,'FICHA'!$D$67,0))+IFERROR(VALUE(T455&amp;""),0),NA())))+DADOS_CONFIG!$B$77)))))</f>
        <v/>
      </c>
      <c r="S455" s="17" t="n"/>
      <c r="T455" s="136">
        <f>IF(F118="","",AL118)</f>
        <v/>
      </c>
      <c r="U455" s="17" t="n"/>
      <c r="X455" s="108">
        <f>IF(F124="",FALSE,D124)</f>
        <v/>
      </c>
      <c r="Y455" s="108">
        <f>IF(F124="",FALSE,E124)</f>
        <v/>
      </c>
      <c r="Z455" s="136">
        <f>'DADOS_PROGRESSAO'!$AW$8</f>
        <v/>
      </c>
      <c r="AA455" s="16" t="n"/>
      <c r="AB455" s="16" t="n"/>
      <c r="AC455" s="16" t="n"/>
      <c r="AD455" s="16" t="n"/>
      <c r="AE455" s="16" t="n"/>
      <c r="AF455" s="16" t="n"/>
      <c r="AG455" s="17" t="n"/>
      <c r="AH455" s="136">
        <f>IF(F124="","",W124)</f>
        <v/>
      </c>
      <c r="AI455" s="16" t="n"/>
      <c r="AJ455" s="16" t="n"/>
      <c r="AK455" s="17" t="n"/>
      <c r="AL455" s="136">
        <f>IF('FICHA'!$Z$455="","",IF(DADOS_CONFIG!$E$83&lt;&gt;"",NA(),IF(DADOS_CONFIG!$C$83=1,DADOS_CONFIG!$D$83,IF(DADOS_CONFIG!$B$83=0,IF(Z455="","",IF(AND('FICHA'!$Z$455&lt;&gt;"",COUNTIF('DADOS_PROGRESSAO'!$AW$2:$AW$11,SUBSTITUTE(SUBSTITUTE(SUBSTITUTE('FICHA'!$Z$455,"~","~~"),"*","~*"),"?","~?"))=1,(COUNTIF('FICHA'!$F$455:$F$460,SUBSTITUTE(SUBSTITUTE(SUBSTITUTE('FICHA'!$Z$455,"~","~~"),"*","~*"),"?","~?"))+COUNTIF('FICHA'!$Z$455:$Z$459,SUBSTITUTE(SUBSTITUTE(SUBSTITUTE('FICHA'!$Z$455,"~","~~"),"*","~*"),"?","~?")))=1),SWITCH(AH455,"Força",'FICHA'!$D$19,"Destreza",'FICHA'!$L$19,"Constituição",'FICHA'!$T$19,"Inteligência",'FICHA'!$AB$19,"Essência",'FICHA'!$AJ$19,NA())+IF(Y455,'FICHA'!$D$67+INT('FICHA'!$D$67/2),IF(X455,'FICHA'!$D$67,0))+IFERROR(VALUE(AN455&amp;""),0),NA())),IF((IF(Z455="","",IF(AND('FICHA'!$Z$455&lt;&gt;"",COUNTIF('DADOS_PROGRESSAO'!$AW$2:$AW$11,SUBSTITUTE(SUBSTITUTE(SUBSTITUTE('FICHA'!$Z$455,"~","~~"),"*","~*"),"?","~?"))=1,(COUNTIF('FICHA'!$F$455:$F$460,SUBSTITUTE(SUBSTITUTE(SUBSTITUTE('FICHA'!$Z$455,"~","~~"),"*","~*"),"?","~?"))+COUNTIF('FICHA'!$Z$455:$Z$459,SUBSTITUTE(SUBSTITUTE(SUBSTITUTE('FICHA'!$Z$455,"~","~~"),"*","~*"),"?","~?")))=1),SWITCH(AH455,"Força",'FICHA'!$D$19,"Destreza",'FICHA'!$L$19,"Constituição",'FICHA'!$T$19,"Inteligência",'FICHA'!$AB$19,"Essência",'FICHA'!$AJ$19,NA())+IF(Y455,'FICHA'!$D$67+INT('FICHA'!$D$67/2),IF(X455,'FICHA'!$D$67,0))+IFERROR(VALUE(AN455&amp;""),0),NA())))="","",(IF(Z455="","",IF(AND('FICHA'!$Z$455&lt;&gt;"",COUNTIF('DADOS_PROGRESSAO'!$AW$2:$AW$11,SUBSTITUTE(SUBSTITUTE(SUBSTITUTE('FICHA'!$Z$455,"~","~~"),"*","~*"),"?","~?"))=1,(COUNTIF('FICHA'!$F$455:$F$460,SUBSTITUTE(SUBSTITUTE(SUBSTITUTE('FICHA'!$Z$455,"~","~~"),"*","~*"),"?","~?"))+COUNTIF('FICHA'!$Z$455:$Z$459,SUBSTITUTE(SUBSTITUTE(SUBSTITUTE('FICHA'!$Z$455,"~","~~"),"*","~*"),"?","~?")))=1),SWITCH(AH455,"Força",'FICHA'!$D$19,"Destreza",'FICHA'!$L$19,"Constituição",'FICHA'!$T$19,"Inteligência",'FICHA'!$AB$19,"Essência",'FICHA'!$AJ$19,NA())+IF(Y455,'FICHA'!$D$67+INT('FICHA'!$D$67/2),IF(X455,'FICHA'!$D$67,0))+IFERROR(VALUE(AN455&amp;""),0),NA())))+DADOS_CONFIG!$B$83)))))</f>
        <v/>
      </c>
      <c r="AM455" s="17" t="n"/>
      <c r="AN455" s="136">
        <f>IF(F124="","",AL124)</f>
        <v/>
      </c>
      <c r="AO455" s="17" t="n"/>
    </row>
    <row r="456" hidden="1" ht="18.75" customHeight="1">
      <c r="A456" s="8" t="n"/>
      <c r="B456" s="14" t="n"/>
      <c r="D456" s="108">
        <f>IF(F119="",FALSE,D119)</f>
        <v/>
      </c>
      <c r="E456" s="108">
        <f>IF(F119="",FALSE,E119)</f>
        <v/>
      </c>
      <c r="F456" s="136">
        <f>'DADOS_PROGRESSAO'!$AW$3</f>
        <v/>
      </c>
      <c r="G456" s="16" t="n"/>
      <c r="H456" s="16" t="n"/>
      <c r="I456" s="16" t="n"/>
      <c r="J456" s="16" t="n"/>
      <c r="K456" s="16" t="n"/>
      <c r="L456" s="16" t="n"/>
      <c r="M456" s="17" t="n"/>
      <c r="N456" s="136">
        <f>IF(F119="","",W119)</f>
        <v/>
      </c>
      <c r="O456" s="16" t="n"/>
      <c r="P456" s="16" t="n"/>
      <c r="Q456" s="17" t="n"/>
      <c r="R456" s="136">
        <f>IF('FICHA'!$F$456="","",IF(DADOS_CONFIG!$E$78&lt;&gt;"",NA(),IF(DADOS_CONFIG!$C$78=1,DADOS_CONFIG!$D$78,IF(DADOS_CONFIG!$B$78=0,IF(F456="","",IF(AND('FICHA'!$F$456&lt;&gt;"",COUNTIF('DADOS_PROGRESSAO'!$AW$2:$AW$11,SUBSTITUTE(SUBSTITUTE(SUBSTITUTE('FICHA'!$F$456,"~","~~"),"*","~*"),"?","~?"))=1,(COUNTIF('FICHA'!$F$455:$F$460,SUBSTITUTE(SUBSTITUTE(SUBSTITUTE('FICHA'!$F$456,"~","~~"),"*","~*"),"?","~?"))+COUNTIF('FICHA'!$Z$455:$Z$459,SUBSTITUTE(SUBSTITUTE(SUBSTITUTE('FICHA'!$F$456,"~","~~"),"*","~*"),"?","~?")))=1),SWITCH(N456,"Força",'FICHA'!$D$19,"Destreza",'FICHA'!$L$19,"Constituição",'FICHA'!$T$19,"Inteligência",'FICHA'!$AB$19,"Essência",'FICHA'!$AJ$19,NA())+IF(E456,'FICHA'!$D$67+INT('FICHA'!$D$67/2),IF(D456,'FICHA'!$D$67,0))+IFERROR(VALUE(T456&amp;""),0),NA())),IF((IF(F456="","",IF(AND('FICHA'!$F$456&lt;&gt;"",COUNTIF('DADOS_PROGRESSAO'!$AW$2:$AW$11,SUBSTITUTE(SUBSTITUTE(SUBSTITUTE('FICHA'!$F$456,"~","~~"),"*","~*"),"?","~?"))=1,(COUNTIF('FICHA'!$F$455:$F$460,SUBSTITUTE(SUBSTITUTE(SUBSTITUTE('FICHA'!$F$456,"~","~~"),"*","~*"),"?","~?"))+COUNTIF('FICHA'!$Z$455:$Z$459,SUBSTITUTE(SUBSTITUTE(SUBSTITUTE('FICHA'!$F$456,"~","~~"),"*","~*"),"?","~?")))=1),SWITCH(N456,"Força",'FICHA'!$D$19,"Destreza",'FICHA'!$L$19,"Constituição",'FICHA'!$T$19,"Inteligência",'FICHA'!$AB$19,"Essência",'FICHA'!$AJ$19,NA())+IF(E456,'FICHA'!$D$67+INT('FICHA'!$D$67/2),IF(D456,'FICHA'!$D$67,0))+IFERROR(VALUE(T456&amp;""),0),NA())))="","",(IF(F456="","",IF(AND('FICHA'!$F$456&lt;&gt;"",COUNTIF('DADOS_PROGRESSAO'!$AW$2:$AW$11,SUBSTITUTE(SUBSTITUTE(SUBSTITUTE('FICHA'!$F$456,"~","~~"),"*","~*"),"?","~?"))=1,(COUNTIF('FICHA'!$F$455:$F$460,SUBSTITUTE(SUBSTITUTE(SUBSTITUTE('FICHA'!$F$456,"~","~~"),"*","~*"),"?","~?"))+COUNTIF('FICHA'!$Z$455:$Z$459,SUBSTITUTE(SUBSTITUTE(SUBSTITUTE('FICHA'!$F$456,"~","~~"),"*","~*"),"?","~?")))=1),SWITCH(N456,"Força",'FICHA'!$D$19,"Destreza",'FICHA'!$L$19,"Constituição",'FICHA'!$T$19,"Inteligência",'FICHA'!$AB$19,"Essência",'FICHA'!$AJ$19,NA())+IF(E456,'FICHA'!$D$67+INT('FICHA'!$D$67/2),IF(D456,'FICHA'!$D$67,0))+IFERROR(VALUE(T456&amp;""),0),NA())))+DADOS_CONFIG!$B$78)))))</f>
        <v/>
      </c>
      <c r="S456" s="17" t="n"/>
      <c r="T456" s="136">
        <f>IF(F119="","",AL119)</f>
        <v/>
      </c>
      <c r="U456" s="17" t="n"/>
      <c r="X456" s="108">
        <f>IF(F125="",FALSE,D125)</f>
        <v/>
      </c>
      <c r="Y456" s="108">
        <f>IF(F125="",FALSE,E125)</f>
        <v/>
      </c>
      <c r="Z456" s="136">
        <f>'DADOS_PROGRESSAO'!$AW$9</f>
        <v/>
      </c>
      <c r="AA456" s="16" t="n"/>
      <c r="AB456" s="16" t="n"/>
      <c r="AC456" s="16" t="n"/>
      <c r="AD456" s="16" t="n"/>
      <c r="AE456" s="16" t="n"/>
      <c r="AF456" s="16" t="n"/>
      <c r="AG456" s="17" t="n"/>
      <c r="AH456" s="136">
        <f>IF(F125="","",W125)</f>
        <v/>
      </c>
      <c r="AI456" s="16" t="n"/>
      <c r="AJ456" s="16" t="n"/>
      <c r="AK456" s="17" t="n"/>
      <c r="AL456" s="136">
        <f>IF('FICHA'!$Z$456="","",IF(DADOS_CONFIG!$E$84&lt;&gt;"",NA(),IF(DADOS_CONFIG!$C$84=1,DADOS_CONFIG!$D$84,IF(DADOS_CONFIG!$B$84=0,IF(Z456="","",IF(AND('FICHA'!$Z$456&lt;&gt;"",COUNTIF('DADOS_PROGRESSAO'!$AW$2:$AW$11,SUBSTITUTE(SUBSTITUTE(SUBSTITUTE('FICHA'!$Z$456,"~","~~"),"*","~*"),"?","~?"))=1,(COUNTIF('FICHA'!$F$455:$F$460,SUBSTITUTE(SUBSTITUTE(SUBSTITUTE('FICHA'!$Z$456,"~","~~"),"*","~*"),"?","~?"))+COUNTIF('FICHA'!$Z$455:$Z$459,SUBSTITUTE(SUBSTITUTE(SUBSTITUTE('FICHA'!$Z$456,"~","~~"),"*","~*"),"?","~?")))=1),SWITCH(AH456,"Força",'FICHA'!$D$19,"Destreza",'FICHA'!$L$19,"Constituição",'FICHA'!$T$19,"Inteligência",'FICHA'!$AB$19,"Essência",'FICHA'!$AJ$19,NA())+IF(Y456,'FICHA'!$D$67+INT('FICHA'!$D$67/2),IF(X456,'FICHA'!$D$67,0))+IFERROR(VALUE(AN456&amp;""),0),NA())),IF((IF(Z456="","",IF(AND('FICHA'!$Z$456&lt;&gt;"",COUNTIF('DADOS_PROGRESSAO'!$AW$2:$AW$11,SUBSTITUTE(SUBSTITUTE(SUBSTITUTE('FICHA'!$Z$456,"~","~~"),"*","~*"),"?","~?"))=1,(COUNTIF('FICHA'!$F$455:$F$460,SUBSTITUTE(SUBSTITUTE(SUBSTITUTE('FICHA'!$Z$456,"~","~~"),"*","~*"),"?","~?"))+COUNTIF('FICHA'!$Z$455:$Z$459,SUBSTITUTE(SUBSTITUTE(SUBSTITUTE('FICHA'!$Z$456,"~","~~"),"*","~*"),"?","~?")))=1),SWITCH(AH456,"Força",'FICHA'!$D$19,"Destreza",'FICHA'!$L$19,"Constituição",'FICHA'!$T$19,"Inteligência",'FICHA'!$AB$19,"Essência",'FICHA'!$AJ$19,NA())+IF(Y456,'FICHA'!$D$67+INT('FICHA'!$D$67/2),IF(X456,'FICHA'!$D$67,0))+IFERROR(VALUE(AN456&amp;""),0),NA())))="","",(IF(Z456="","",IF(AND('FICHA'!$Z$456&lt;&gt;"",COUNTIF('DADOS_PROGRESSAO'!$AW$2:$AW$11,SUBSTITUTE(SUBSTITUTE(SUBSTITUTE('FICHA'!$Z$456,"~","~~"),"*","~*"),"?","~?"))=1,(COUNTIF('FICHA'!$F$455:$F$460,SUBSTITUTE(SUBSTITUTE(SUBSTITUTE('FICHA'!$Z$456,"~","~~"),"*","~*"),"?","~?"))+COUNTIF('FICHA'!$Z$455:$Z$459,SUBSTITUTE(SUBSTITUTE(SUBSTITUTE('FICHA'!$Z$456,"~","~~"),"*","~*"),"?","~?")))=1),SWITCH(AH456,"Força",'FICHA'!$D$19,"Destreza",'FICHA'!$L$19,"Constituição",'FICHA'!$T$19,"Inteligência",'FICHA'!$AB$19,"Essência",'FICHA'!$AJ$19,NA())+IF(Y456,'FICHA'!$D$67+INT('FICHA'!$D$67/2),IF(X456,'FICHA'!$D$67,0))+IFERROR(VALUE(AN456&amp;""),0),NA())))+DADOS_CONFIG!$B$84)))))</f>
        <v/>
      </c>
      <c r="AM456" s="17" t="n"/>
      <c r="AN456" s="136">
        <f>IF(F125="","",AL125)</f>
        <v/>
      </c>
      <c r="AO456" s="17" t="n"/>
    </row>
    <row r="457" hidden="1" ht="18.75" customHeight="1">
      <c r="A457" s="8" t="n"/>
      <c r="B457" s="14" t="n"/>
      <c r="D457" s="108">
        <f>IF(F120="",FALSE,D120)</f>
        <v/>
      </c>
      <c r="E457" s="108">
        <f>IF(F120="",FALSE,E120)</f>
        <v/>
      </c>
      <c r="F457" s="136">
        <f>'DADOS_PROGRESSAO'!$AW$4</f>
        <v/>
      </c>
      <c r="G457" s="16" t="n"/>
      <c r="H457" s="16" t="n"/>
      <c r="I457" s="16" t="n"/>
      <c r="J457" s="16" t="n"/>
      <c r="K457" s="16" t="n"/>
      <c r="L457" s="16" t="n"/>
      <c r="M457" s="17" t="n"/>
      <c r="N457" s="136">
        <f>IF(F120="","",W120)</f>
        <v/>
      </c>
      <c r="O457" s="16" t="n"/>
      <c r="P457" s="16" t="n"/>
      <c r="Q457" s="17" t="n"/>
      <c r="R457" s="136">
        <f>IF('FICHA'!$F$457="","",IF(DADOS_CONFIG!$E$79&lt;&gt;"",NA(),IF(DADOS_CONFIG!$C$79=1,DADOS_CONFIG!$D$79,IF(DADOS_CONFIG!$B$79=0,IF(F457="","",IF(AND('FICHA'!$F$457&lt;&gt;"",COUNTIF('DADOS_PROGRESSAO'!$AW$2:$AW$11,SUBSTITUTE(SUBSTITUTE(SUBSTITUTE('FICHA'!$F$457,"~","~~"),"*","~*"),"?","~?"))=1,(COUNTIF('FICHA'!$F$455:$F$460,SUBSTITUTE(SUBSTITUTE(SUBSTITUTE('FICHA'!$F$457,"~","~~"),"*","~*"),"?","~?"))+COUNTIF('FICHA'!$Z$455:$Z$459,SUBSTITUTE(SUBSTITUTE(SUBSTITUTE('FICHA'!$F$457,"~","~~"),"*","~*"),"?","~?")))=1),SWITCH(N457,"Força",'FICHA'!$D$19,"Destreza",'FICHA'!$L$19,"Constituição",'FICHA'!$T$19,"Inteligência",'FICHA'!$AB$19,"Essência",'FICHA'!$AJ$19,NA())+IF(E457,'FICHA'!$D$67+INT('FICHA'!$D$67/2),IF(D457,'FICHA'!$D$67,0))+IFERROR(VALUE(T457&amp;""),0),NA())),IF((IF(F457="","",IF(AND('FICHA'!$F$457&lt;&gt;"",COUNTIF('DADOS_PROGRESSAO'!$AW$2:$AW$11,SUBSTITUTE(SUBSTITUTE(SUBSTITUTE('FICHA'!$F$457,"~","~~"),"*","~*"),"?","~?"))=1,(COUNTIF('FICHA'!$F$455:$F$460,SUBSTITUTE(SUBSTITUTE(SUBSTITUTE('FICHA'!$F$457,"~","~~"),"*","~*"),"?","~?"))+COUNTIF('FICHA'!$Z$455:$Z$459,SUBSTITUTE(SUBSTITUTE(SUBSTITUTE('FICHA'!$F$457,"~","~~"),"*","~*"),"?","~?")))=1),SWITCH(N457,"Força",'FICHA'!$D$19,"Destreza",'FICHA'!$L$19,"Constituição",'FICHA'!$T$19,"Inteligência",'FICHA'!$AB$19,"Essência",'FICHA'!$AJ$19,NA())+IF(E457,'FICHA'!$D$67+INT('FICHA'!$D$67/2),IF(D457,'FICHA'!$D$67,0))+IFERROR(VALUE(T457&amp;""),0),NA())))="","",(IF(F457="","",IF(AND('FICHA'!$F$457&lt;&gt;"",COUNTIF('DADOS_PROGRESSAO'!$AW$2:$AW$11,SUBSTITUTE(SUBSTITUTE(SUBSTITUTE('FICHA'!$F$457,"~","~~"),"*","~*"),"?","~?"))=1,(COUNTIF('FICHA'!$F$455:$F$460,SUBSTITUTE(SUBSTITUTE(SUBSTITUTE('FICHA'!$F$457,"~","~~"),"*","~*"),"?","~?"))+COUNTIF('FICHA'!$Z$455:$Z$459,SUBSTITUTE(SUBSTITUTE(SUBSTITUTE('FICHA'!$F$457,"~","~~"),"*","~*"),"?","~?")))=1),SWITCH(N457,"Força",'FICHA'!$D$19,"Destreza",'FICHA'!$L$19,"Constituição",'FICHA'!$T$19,"Inteligência",'FICHA'!$AB$19,"Essência",'FICHA'!$AJ$19,NA())+IF(E457,'FICHA'!$D$67+INT('FICHA'!$D$67/2),IF(D457,'FICHA'!$D$67,0))+IFERROR(VALUE(T457&amp;""),0),NA())))+DADOS_CONFIG!$B$79)))))</f>
        <v/>
      </c>
      <c r="S457" s="17" t="n"/>
      <c r="T457" s="136">
        <f>IF(F120="","",AL120)</f>
        <v/>
      </c>
      <c r="U457" s="17" t="n"/>
      <c r="X457" s="108">
        <f>IF(F126="",FALSE,D126)</f>
        <v/>
      </c>
      <c r="Y457" s="108">
        <f>IF(F126="",FALSE,E126)</f>
        <v/>
      </c>
      <c r="Z457" s="136">
        <f>'DADOS_PROGRESSAO'!$AW$10</f>
        <v/>
      </c>
      <c r="AA457" s="16" t="n"/>
      <c r="AB457" s="16" t="n"/>
      <c r="AC457" s="16" t="n"/>
      <c r="AD457" s="16" t="n"/>
      <c r="AE457" s="16" t="n"/>
      <c r="AF457" s="16" t="n"/>
      <c r="AG457" s="17" t="n"/>
      <c r="AH457" s="136">
        <f>IF(F126="","",W126)</f>
        <v/>
      </c>
      <c r="AI457" s="16" t="n"/>
      <c r="AJ457" s="16" t="n"/>
      <c r="AK457" s="17" t="n"/>
      <c r="AL457" s="136">
        <f>IF('FICHA'!$Z$457="","",IF(DADOS_CONFIG!$E$85&lt;&gt;"",NA(),IF(DADOS_CONFIG!$C$85=1,DADOS_CONFIG!$D$85,IF(DADOS_CONFIG!$B$85=0,IF(Z457="","",IF(AND('FICHA'!$Z$457&lt;&gt;"",COUNTIF('DADOS_PROGRESSAO'!$AW$2:$AW$11,SUBSTITUTE(SUBSTITUTE(SUBSTITUTE('FICHA'!$Z$457,"~","~~"),"*","~*"),"?","~?"))=1,(COUNTIF('FICHA'!$F$455:$F$460,SUBSTITUTE(SUBSTITUTE(SUBSTITUTE('FICHA'!$Z$457,"~","~~"),"*","~*"),"?","~?"))+COUNTIF('FICHA'!$Z$455:$Z$459,SUBSTITUTE(SUBSTITUTE(SUBSTITUTE('FICHA'!$Z$457,"~","~~"),"*","~*"),"?","~?")))=1),SWITCH(AH457,"Força",'FICHA'!$D$19,"Destreza",'FICHA'!$L$19,"Constituição",'FICHA'!$T$19,"Inteligência",'FICHA'!$AB$19,"Essência",'FICHA'!$AJ$19,NA())+IF(Y457,'FICHA'!$D$67+INT('FICHA'!$D$67/2),IF(X457,'FICHA'!$D$67,0))+IFERROR(VALUE(AN457&amp;""),0),NA())),IF((IF(Z457="","",IF(AND('FICHA'!$Z$457&lt;&gt;"",COUNTIF('DADOS_PROGRESSAO'!$AW$2:$AW$11,SUBSTITUTE(SUBSTITUTE(SUBSTITUTE('FICHA'!$Z$457,"~","~~"),"*","~*"),"?","~?"))=1,(COUNTIF('FICHA'!$F$455:$F$460,SUBSTITUTE(SUBSTITUTE(SUBSTITUTE('FICHA'!$Z$457,"~","~~"),"*","~*"),"?","~?"))+COUNTIF('FICHA'!$Z$455:$Z$459,SUBSTITUTE(SUBSTITUTE(SUBSTITUTE('FICHA'!$Z$457,"~","~~"),"*","~*"),"?","~?")))=1),SWITCH(AH457,"Força",'FICHA'!$D$19,"Destreza",'FICHA'!$L$19,"Constituição",'FICHA'!$T$19,"Inteligência",'FICHA'!$AB$19,"Essência",'FICHA'!$AJ$19,NA())+IF(Y457,'FICHA'!$D$67+INT('FICHA'!$D$67/2),IF(X457,'FICHA'!$D$67,0))+IFERROR(VALUE(AN457&amp;""),0),NA())))="","",(IF(Z457="","",IF(AND('FICHA'!$Z$457&lt;&gt;"",COUNTIF('DADOS_PROGRESSAO'!$AW$2:$AW$11,SUBSTITUTE(SUBSTITUTE(SUBSTITUTE('FICHA'!$Z$457,"~","~~"),"*","~*"),"?","~?"))=1,(COUNTIF('FICHA'!$F$455:$F$460,SUBSTITUTE(SUBSTITUTE(SUBSTITUTE('FICHA'!$Z$457,"~","~~"),"*","~*"),"?","~?"))+COUNTIF('FICHA'!$Z$455:$Z$459,SUBSTITUTE(SUBSTITUTE(SUBSTITUTE('FICHA'!$Z$457,"~","~~"),"*","~*"),"?","~?")))=1),SWITCH(AH457,"Força",'FICHA'!$D$19,"Destreza",'FICHA'!$L$19,"Constituição",'FICHA'!$T$19,"Inteligência",'FICHA'!$AB$19,"Essência",'FICHA'!$AJ$19,NA())+IF(Y457,'FICHA'!$D$67+INT('FICHA'!$D$67/2),IF(X457,'FICHA'!$D$67,0))+IFERROR(VALUE(AN457&amp;""),0),NA())))+DADOS_CONFIG!$B$85)))))</f>
        <v/>
      </c>
      <c r="AM457" s="17" t="n"/>
      <c r="AN457" s="136">
        <f>IF(F126="","",AL126)</f>
        <v/>
      </c>
      <c r="AO457" s="17" t="n"/>
    </row>
    <row r="458" hidden="1" ht="18.75" customHeight="1">
      <c r="A458" s="8" t="n"/>
      <c r="B458" s="14" t="n"/>
      <c r="D458" s="108">
        <f>IF(F121="",FALSE,D121)</f>
        <v/>
      </c>
      <c r="E458" s="108">
        <f>IF(F121="",FALSE,E121)</f>
        <v/>
      </c>
      <c r="F458" s="136">
        <f>'DADOS_PROGRESSAO'!$AW$5</f>
        <v/>
      </c>
      <c r="G458" s="16" t="n"/>
      <c r="H458" s="16" t="n"/>
      <c r="I458" s="16" t="n"/>
      <c r="J458" s="16" t="n"/>
      <c r="K458" s="16" t="n"/>
      <c r="L458" s="16" t="n"/>
      <c r="M458" s="17" t="n"/>
      <c r="N458" s="136">
        <f>IF(F121="","",W121)</f>
        <v/>
      </c>
      <c r="O458" s="16" t="n"/>
      <c r="P458" s="16" t="n"/>
      <c r="Q458" s="17" t="n"/>
      <c r="R458" s="136">
        <f>IF('FICHA'!$F$458="","",IF(DADOS_CONFIG!$E$80&lt;&gt;"",NA(),IF(DADOS_CONFIG!$C$80=1,DADOS_CONFIG!$D$80,IF(DADOS_CONFIG!$B$80=0,IF(F458="","",IF(AND('FICHA'!$F$458&lt;&gt;"",COUNTIF('DADOS_PROGRESSAO'!$AW$2:$AW$11,SUBSTITUTE(SUBSTITUTE(SUBSTITUTE('FICHA'!$F$458,"~","~~"),"*","~*"),"?","~?"))=1,(COUNTIF('FICHA'!$F$455:$F$460,SUBSTITUTE(SUBSTITUTE(SUBSTITUTE('FICHA'!$F$458,"~","~~"),"*","~*"),"?","~?"))+COUNTIF('FICHA'!$Z$455:$Z$459,SUBSTITUTE(SUBSTITUTE(SUBSTITUTE('FICHA'!$F$458,"~","~~"),"*","~*"),"?","~?")))=1),SWITCH(N458,"Força",'FICHA'!$D$19,"Destreza",'FICHA'!$L$19,"Constituição",'FICHA'!$T$19,"Inteligência",'FICHA'!$AB$19,"Essência",'FICHA'!$AJ$19,NA())+IF(E458,'FICHA'!$D$67+INT('FICHA'!$D$67/2),IF(D458,'FICHA'!$D$67,0))+IFERROR(VALUE(T458&amp;""),0),NA())),IF((IF(F458="","",IF(AND('FICHA'!$F$458&lt;&gt;"",COUNTIF('DADOS_PROGRESSAO'!$AW$2:$AW$11,SUBSTITUTE(SUBSTITUTE(SUBSTITUTE('FICHA'!$F$458,"~","~~"),"*","~*"),"?","~?"))=1,(COUNTIF('FICHA'!$F$455:$F$460,SUBSTITUTE(SUBSTITUTE(SUBSTITUTE('FICHA'!$F$458,"~","~~"),"*","~*"),"?","~?"))+COUNTIF('FICHA'!$Z$455:$Z$459,SUBSTITUTE(SUBSTITUTE(SUBSTITUTE('FICHA'!$F$458,"~","~~"),"*","~*"),"?","~?")))=1),SWITCH(N458,"Força",'FICHA'!$D$19,"Destreza",'FICHA'!$L$19,"Constituição",'FICHA'!$T$19,"Inteligência",'FICHA'!$AB$19,"Essência",'FICHA'!$AJ$19,NA())+IF(E458,'FICHA'!$D$67+INT('FICHA'!$D$67/2),IF(D458,'FICHA'!$D$67,0))+IFERROR(VALUE(T458&amp;""),0),NA())))="","",(IF(F458="","",IF(AND('FICHA'!$F$458&lt;&gt;"",COUNTIF('DADOS_PROGRESSAO'!$AW$2:$AW$11,SUBSTITUTE(SUBSTITUTE(SUBSTITUTE('FICHA'!$F$458,"~","~~"),"*","~*"),"?","~?"))=1,(COUNTIF('FICHA'!$F$455:$F$460,SUBSTITUTE(SUBSTITUTE(SUBSTITUTE('FICHA'!$F$458,"~","~~"),"*","~*"),"?","~?"))+COUNTIF('FICHA'!$Z$455:$Z$459,SUBSTITUTE(SUBSTITUTE(SUBSTITUTE('FICHA'!$F$458,"~","~~"),"*","~*"),"?","~?")))=1),SWITCH(N458,"Força",'FICHA'!$D$19,"Destreza",'FICHA'!$L$19,"Constituição",'FICHA'!$T$19,"Inteligência",'FICHA'!$AB$19,"Essência",'FICHA'!$AJ$19,NA())+IF(E458,'FICHA'!$D$67+INT('FICHA'!$D$67/2),IF(D458,'FICHA'!$D$67,0))+IFERROR(VALUE(T458&amp;""),0),NA())))+DADOS_CONFIG!$B$80)))))</f>
        <v/>
      </c>
      <c r="S458" s="17" t="n"/>
      <c r="T458" s="136">
        <f>IF(F121="","",AL121)</f>
        <v/>
      </c>
      <c r="U458" s="17" t="n"/>
      <c r="X458" s="108">
        <f>IF(F127="",FALSE,D127)</f>
        <v/>
      </c>
      <c r="Y458" s="108">
        <f>IF(F127="",FALSE,E127)</f>
        <v/>
      </c>
      <c r="Z458" s="136">
        <f>'DADOS_PROGRESSAO'!$AW$11</f>
        <v/>
      </c>
      <c r="AA458" s="16" t="n"/>
      <c r="AB458" s="16" t="n"/>
      <c r="AC458" s="16" t="n"/>
      <c r="AD458" s="16" t="n"/>
      <c r="AE458" s="16" t="n"/>
      <c r="AF458" s="16" t="n"/>
      <c r="AG458" s="17" t="n"/>
      <c r="AH458" s="136">
        <f>IF(F127="","",W127)</f>
        <v/>
      </c>
      <c r="AI458" s="16" t="n"/>
      <c r="AJ458" s="16" t="n"/>
      <c r="AK458" s="17" t="n"/>
      <c r="AL458" s="136">
        <f>IF('FICHA'!$Z$458="","",IF(DADOS_CONFIG!$E$86&lt;&gt;"",NA(),IF(DADOS_CONFIG!$C$86=1,DADOS_CONFIG!$D$86,IF(DADOS_CONFIG!$B$86=0,IF(Z458="","",IF(AND('FICHA'!$Z$458&lt;&gt;"",COUNTIF('DADOS_PROGRESSAO'!$AW$2:$AW$11,SUBSTITUTE(SUBSTITUTE(SUBSTITUTE('FICHA'!$Z$458,"~","~~"),"*","~*"),"?","~?"))=1,(COUNTIF('FICHA'!$F$455:$F$460,SUBSTITUTE(SUBSTITUTE(SUBSTITUTE('FICHA'!$Z$458,"~","~~"),"*","~*"),"?","~?"))+COUNTIF('FICHA'!$Z$455:$Z$459,SUBSTITUTE(SUBSTITUTE(SUBSTITUTE('FICHA'!$Z$458,"~","~~"),"*","~*"),"?","~?")))=1),SWITCH(AH458,"Força",'FICHA'!$D$19,"Destreza",'FICHA'!$L$19,"Constituição",'FICHA'!$T$19,"Inteligência",'FICHA'!$AB$19,"Essência",'FICHA'!$AJ$19,NA())+IF(Y458,'FICHA'!$D$67+INT('FICHA'!$D$67/2),IF(X458,'FICHA'!$D$67,0))+IFERROR(VALUE(AN458&amp;""),0),NA())),IF((IF(Z458="","",IF(AND('FICHA'!$Z$458&lt;&gt;"",COUNTIF('DADOS_PROGRESSAO'!$AW$2:$AW$11,SUBSTITUTE(SUBSTITUTE(SUBSTITUTE('FICHA'!$Z$458,"~","~~"),"*","~*"),"?","~?"))=1,(COUNTIF('FICHA'!$F$455:$F$460,SUBSTITUTE(SUBSTITUTE(SUBSTITUTE('FICHA'!$Z$458,"~","~~"),"*","~*"),"?","~?"))+COUNTIF('FICHA'!$Z$455:$Z$459,SUBSTITUTE(SUBSTITUTE(SUBSTITUTE('FICHA'!$Z$458,"~","~~"),"*","~*"),"?","~?")))=1),SWITCH(AH458,"Força",'FICHA'!$D$19,"Destreza",'FICHA'!$L$19,"Constituição",'FICHA'!$T$19,"Inteligência",'FICHA'!$AB$19,"Essência",'FICHA'!$AJ$19,NA())+IF(Y458,'FICHA'!$D$67+INT('FICHA'!$D$67/2),IF(X458,'FICHA'!$D$67,0))+IFERROR(VALUE(AN458&amp;""),0),NA())))="","",(IF(Z458="","",IF(AND('FICHA'!$Z$458&lt;&gt;"",COUNTIF('DADOS_PROGRESSAO'!$AW$2:$AW$11,SUBSTITUTE(SUBSTITUTE(SUBSTITUTE('FICHA'!$Z$458,"~","~~"),"*","~*"),"?","~?"))=1,(COUNTIF('FICHA'!$F$455:$F$460,SUBSTITUTE(SUBSTITUTE(SUBSTITUTE('FICHA'!$Z$458,"~","~~"),"*","~*"),"?","~?"))+COUNTIF('FICHA'!$Z$455:$Z$459,SUBSTITUTE(SUBSTITUTE(SUBSTITUTE('FICHA'!$Z$458,"~","~~"),"*","~*"),"?","~?")))=1),SWITCH(AH458,"Força",'FICHA'!$D$19,"Destreza",'FICHA'!$L$19,"Constituição",'FICHA'!$T$19,"Inteligência",'FICHA'!$AB$19,"Essência",'FICHA'!$AJ$19,NA())+IF(Y458,'FICHA'!$D$67+INT('FICHA'!$D$67/2),IF(X458,'FICHA'!$D$67,0))+IFERROR(VALUE(AN458&amp;""),0),NA())))+DADOS_CONFIG!$B$86)))))</f>
        <v/>
      </c>
      <c r="AM458" s="17" t="n"/>
      <c r="AN458" s="136">
        <f>IF(F127="","",AL127)</f>
        <v/>
      </c>
      <c r="AO458" s="17" t="n"/>
    </row>
    <row r="459" hidden="1" ht="18.75" customHeight="1">
      <c r="A459" s="8" t="n"/>
      <c r="B459" s="14" t="n"/>
      <c r="D459" s="108">
        <f>IF(F122="",FALSE,D122)</f>
        <v/>
      </c>
      <c r="E459" s="108">
        <f>IF(F122="",FALSE,E122)</f>
        <v/>
      </c>
      <c r="F459" s="136">
        <f>'DADOS_PROGRESSAO'!$AW$6</f>
        <v/>
      </c>
      <c r="G459" s="16" t="n"/>
      <c r="H459" s="16" t="n"/>
      <c r="I459" s="16" t="n"/>
      <c r="J459" s="16" t="n"/>
      <c r="K459" s="16" t="n"/>
      <c r="L459" s="16" t="n"/>
      <c r="M459" s="17" t="n"/>
      <c r="N459" s="136">
        <f>IF(F122="","",W122)</f>
        <v/>
      </c>
      <c r="O459" s="16" t="n"/>
      <c r="P459" s="16" t="n"/>
      <c r="Q459" s="17" t="n"/>
      <c r="R459" s="136">
        <f>IF('FICHA'!$F$459="","",IF(DADOS_CONFIG!$E$81&lt;&gt;"",NA(),IF(DADOS_CONFIG!$C$81=1,DADOS_CONFIG!$D$81,IF(DADOS_CONFIG!$B$81=0,IF(F459="","",IF(AND('FICHA'!$F$459&lt;&gt;"",COUNTIF('DADOS_PROGRESSAO'!$AW$2:$AW$11,SUBSTITUTE(SUBSTITUTE(SUBSTITUTE('FICHA'!$F$459,"~","~~"),"*","~*"),"?","~?"))=1,(COUNTIF('FICHA'!$F$455:$F$460,SUBSTITUTE(SUBSTITUTE(SUBSTITUTE('FICHA'!$F$459,"~","~~"),"*","~*"),"?","~?"))+COUNTIF('FICHA'!$Z$455:$Z$459,SUBSTITUTE(SUBSTITUTE(SUBSTITUTE('FICHA'!$F$459,"~","~~"),"*","~*"),"?","~?")))=1),SWITCH(N459,"Força",'FICHA'!$D$19,"Destreza",'FICHA'!$L$19,"Constituição",'FICHA'!$T$19,"Inteligência",'FICHA'!$AB$19,"Essência",'FICHA'!$AJ$19,NA())+IF(E459,'FICHA'!$D$67+INT('FICHA'!$D$67/2),IF(D459,'FICHA'!$D$67,0))+IFERROR(VALUE(T459&amp;""),0),NA())),IF((IF(F459="","",IF(AND('FICHA'!$F$459&lt;&gt;"",COUNTIF('DADOS_PROGRESSAO'!$AW$2:$AW$11,SUBSTITUTE(SUBSTITUTE(SUBSTITUTE('FICHA'!$F$459,"~","~~"),"*","~*"),"?","~?"))=1,(COUNTIF('FICHA'!$F$455:$F$460,SUBSTITUTE(SUBSTITUTE(SUBSTITUTE('FICHA'!$F$459,"~","~~"),"*","~*"),"?","~?"))+COUNTIF('FICHA'!$Z$455:$Z$459,SUBSTITUTE(SUBSTITUTE(SUBSTITUTE('FICHA'!$F$459,"~","~~"),"*","~*"),"?","~?")))=1),SWITCH(N459,"Força",'FICHA'!$D$19,"Destreza",'FICHA'!$L$19,"Constituição",'FICHA'!$T$19,"Inteligência",'FICHA'!$AB$19,"Essência",'FICHA'!$AJ$19,NA())+IF(E459,'FICHA'!$D$67+INT('FICHA'!$D$67/2),IF(D459,'FICHA'!$D$67,0))+IFERROR(VALUE(T459&amp;""),0),NA())))="","",(IF(F459="","",IF(AND('FICHA'!$F$459&lt;&gt;"",COUNTIF('DADOS_PROGRESSAO'!$AW$2:$AW$11,SUBSTITUTE(SUBSTITUTE(SUBSTITUTE('FICHA'!$F$459,"~","~~"),"*","~*"),"?","~?"))=1,(COUNTIF('FICHA'!$F$455:$F$460,SUBSTITUTE(SUBSTITUTE(SUBSTITUTE('FICHA'!$F$459,"~","~~"),"*","~*"),"?","~?"))+COUNTIF('FICHA'!$Z$455:$Z$459,SUBSTITUTE(SUBSTITUTE(SUBSTITUTE('FICHA'!$F$459,"~","~~"),"*","~*"),"?","~?")))=1),SWITCH(N459,"Força",'FICHA'!$D$19,"Destreza",'FICHA'!$L$19,"Constituição",'FICHA'!$T$19,"Inteligência",'FICHA'!$AB$19,"Essência",'FICHA'!$AJ$19,NA())+IF(E459,'FICHA'!$D$67+INT('FICHA'!$D$67/2),IF(D459,'FICHA'!$D$67,0))+IFERROR(VALUE(T459&amp;""),0),NA())))+DADOS_CONFIG!$B$81)))))</f>
        <v/>
      </c>
      <c r="S459" s="17" t="n"/>
      <c r="T459" s="136">
        <f>IF(F122="","",AL122)</f>
        <v/>
      </c>
      <c r="U459" s="17" t="n"/>
      <c r="X459" s="108" t="n">
        <v>0</v>
      </c>
      <c r="Y459" s="108" t="n">
        <v>0</v>
      </c>
      <c r="Z459" s="136" t="n"/>
      <c r="AA459" s="16" t="n"/>
      <c r="AB459" s="16" t="n"/>
      <c r="AC459" s="16" t="n"/>
      <c r="AD459" s="16" t="n"/>
      <c r="AE459" s="16" t="n"/>
      <c r="AF459" s="16" t="n"/>
      <c r="AG459" s="17" t="n"/>
      <c r="AH459" s="136">
        <f>IFERROR(VLOOKUP(SUBSTITUTE(SUBSTITUTE(SUBSTITUTE(Z459,"~","~~"),"*","~*"),"?","~?"),'DADOS_PROGRESSAO'!$AJ$2:$AK$22,2,FALSE),"")</f>
        <v/>
      </c>
      <c r="AI459" s="16" t="n"/>
      <c r="AJ459" s="16" t="n"/>
      <c r="AK459" s="17" t="n"/>
      <c r="AL459" s="136">
        <f>IF('FICHA'!$Z$459="","",IF(DADOS_CONFIG!$E$87&lt;&gt;"",NA(),IF(DADOS_CONFIG!$C$87=1,DADOS_CONFIG!$D$87,IF(DADOS_CONFIG!$B$87=0,IF(Z459="","",IF(AND('FICHA'!$Z$459&lt;&gt;"",COUNTIF('DADOS_PROGRESSAO'!$AW$2:$AW$11,SUBSTITUTE(SUBSTITUTE(SUBSTITUTE('FICHA'!$Z$459,"~","~~"),"*","~*"),"?","~?"))=1,(COUNTIF('FICHA'!$F$455:$F$460,SUBSTITUTE(SUBSTITUTE(SUBSTITUTE('FICHA'!$Z$459,"~","~~"),"*","~*"),"?","~?"))+COUNTIF('FICHA'!$Z$455:$Z$459,SUBSTITUTE(SUBSTITUTE(SUBSTITUTE('FICHA'!$Z$459,"~","~~"),"*","~*"),"?","~?")))=1),SWITCH(AH459,"Força",'FICHA'!$D$19,"Destreza",'FICHA'!$L$19,"Constituição",'FICHA'!$T$19,"Inteligência",'FICHA'!$AB$19,"Essência",'FICHA'!$AJ$19,NA())+IF(Y459,'FICHA'!$D$67+INT('FICHA'!$D$67/2),IF(X459,'FICHA'!$D$67,0))+IFERROR(VALUE(AN459&amp;""),0),NA())),IF((IF(Z459="","",IF(AND('FICHA'!$Z$459&lt;&gt;"",COUNTIF('DADOS_PROGRESSAO'!$AW$2:$AW$11,SUBSTITUTE(SUBSTITUTE(SUBSTITUTE('FICHA'!$Z$459,"~","~~"),"*","~*"),"?","~?"))=1,(COUNTIF('FICHA'!$F$455:$F$460,SUBSTITUTE(SUBSTITUTE(SUBSTITUTE('FICHA'!$Z$459,"~","~~"),"*","~*"),"?","~?"))+COUNTIF('FICHA'!$Z$455:$Z$459,SUBSTITUTE(SUBSTITUTE(SUBSTITUTE('FICHA'!$Z$459,"~","~~"),"*","~*"),"?","~?")))=1),SWITCH(AH459,"Força",'FICHA'!$D$19,"Destreza",'FICHA'!$L$19,"Constituição",'FICHA'!$T$19,"Inteligência",'FICHA'!$AB$19,"Essência",'FICHA'!$AJ$19,NA())+IF(Y459,'FICHA'!$D$67+INT('FICHA'!$D$67/2),IF(X459,'FICHA'!$D$67,0))+IFERROR(VALUE(AN459&amp;""),0),NA())))="","",(IF(Z459="","",IF(AND('FICHA'!$Z$459&lt;&gt;"",COUNTIF('DADOS_PROGRESSAO'!$AW$2:$AW$11,SUBSTITUTE(SUBSTITUTE(SUBSTITUTE('FICHA'!$Z$459,"~","~~"),"*","~*"),"?","~?"))=1,(COUNTIF('FICHA'!$F$455:$F$460,SUBSTITUTE(SUBSTITUTE(SUBSTITUTE('FICHA'!$Z$459,"~","~~"),"*","~*"),"?","~?"))+COUNTIF('FICHA'!$Z$455:$Z$459,SUBSTITUTE(SUBSTITUTE(SUBSTITUTE('FICHA'!$Z$459,"~","~~"),"*","~*"),"?","~?")))=1),SWITCH(AH459,"Força",'FICHA'!$D$19,"Destreza",'FICHA'!$L$19,"Constituição",'FICHA'!$T$19,"Inteligência",'FICHA'!$AB$19,"Essência",'FICHA'!$AJ$19,NA())+IF(Y459,'FICHA'!$D$67+INT('FICHA'!$D$67/2),IF(X459,'FICHA'!$D$67,0))+IFERROR(VALUE(AN459&amp;""),0),NA())))+DADOS_CONFIG!$B$87)))))</f>
        <v/>
      </c>
      <c r="AM459" s="17" t="n"/>
      <c r="AN459" s="136" t="n"/>
      <c r="AO459" s="17" t="n"/>
    </row>
    <row r="460" hidden="1" ht="18.75" customHeight="1">
      <c r="A460" s="8" t="n"/>
      <c r="B460" s="14" t="n"/>
      <c r="D460" s="108">
        <f>IF(F123="",FALSE,D123)</f>
        <v/>
      </c>
      <c r="E460" s="108">
        <f>IF(F123="",FALSE,E123)</f>
        <v/>
      </c>
      <c r="F460" s="136">
        <f>'DADOS_PROGRESSAO'!$AW$7</f>
        <v/>
      </c>
      <c r="G460" s="16" t="n"/>
      <c r="H460" s="16" t="n"/>
      <c r="I460" s="16" t="n"/>
      <c r="J460" s="16" t="n"/>
      <c r="K460" s="16" t="n"/>
      <c r="L460" s="16" t="n"/>
      <c r="M460" s="17" t="n"/>
      <c r="N460" s="136">
        <f>IF(F123="","",W123)</f>
        <v/>
      </c>
      <c r="O460" s="16" t="n"/>
      <c r="P460" s="16" t="n"/>
      <c r="Q460" s="17" t="n"/>
      <c r="R460" s="136">
        <f>IF('FICHA'!$F$460="","",IF(DADOS_CONFIG!$E$82&lt;&gt;"",NA(),IF(DADOS_CONFIG!$C$82=1,DADOS_CONFIG!$D$82,IF(DADOS_CONFIG!$B$82=0,IF(F460="","",IF(AND('FICHA'!$F$460&lt;&gt;"",COUNTIF('DADOS_PROGRESSAO'!$AW$2:$AW$11,SUBSTITUTE(SUBSTITUTE(SUBSTITUTE('FICHA'!$F$460,"~","~~"),"*","~*"),"?","~?"))=1,(COUNTIF('FICHA'!$F$455:$F$460,SUBSTITUTE(SUBSTITUTE(SUBSTITUTE('FICHA'!$F$460,"~","~~"),"*","~*"),"?","~?"))+COUNTIF('FICHA'!$Z$455:$Z$459,SUBSTITUTE(SUBSTITUTE(SUBSTITUTE('FICHA'!$F$460,"~","~~"),"*","~*"),"?","~?")))=1),SWITCH(N460,"Força",'FICHA'!$D$19,"Destreza",'FICHA'!$L$19,"Constituição",'FICHA'!$T$19,"Inteligência",'FICHA'!$AB$19,"Essência",'FICHA'!$AJ$19,NA())+IF(E460,'FICHA'!$D$67+INT('FICHA'!$D$67/2),IF(D460,'FICHA'!$D$67,0))+IFERROR(VALUE(T460&amp;""),0),NA())),IF((IF(F460="","",IF(AND('FICHA'!$F$460&lt;&gt;"",COUNTIF('DADOS_PROGRESSAO'!$AW$2:$AW$11,SUBSTITUTE(SUBSTITUTE(SUBSTITUTE('FICHA'!$F$460,"~","~~"),"*","~*"),"?","~?"))=1,(COUNTIF('FICHA'!$F$455:$F$460,SUBSTITUTE(SUBSTITUTE(SUBSTITUTE('FICHA'!$F$460,"~","~~"),"*","~*"),"?","~?"))+COUNTIF('FICHA'!$Z$455:$Z$459,SUBSTITUTE(SUBSTITUTE(SUBSTITUTE('FICHA'!$F$460,"~","~~"),"*","~*"),"?","~?")))=1),SWITCH(N460,"Força",'FICHA'!$D$19,"Destreza",'FICHA'!$L$19,"Constituição",'FICHA'!$T$19,"Inteligência",'FICHA'!$AB$19,"Essência",'FICHA'!$AJ$19,NA())+IF(E460,'FICHA'!$D$67+INT('FICHA'!$D$67/2),IF(D460,'FICHA'!$D$67,0))+IFERROR(VALUE(T460&amp;""),0),NA())))="","",(IF(F460="","",IF(AND('FICHA'!$F$460&lt;&gt;"",COUNTIF('DADOS_PROGRESSAO'!$AW$2:$AW$11,SUBSTITUTE(SUBSTITUTE(SUBSTITUTE('FICHA'!$F$460,"~","~~"),"*","~*"),"?","~?"))=1,(COUNTIF('FICHA'!$F$455:$F$460,SUBSTITUTE(SUBSTITUTE(SUBSTITUTE('FICHA'!$F$460,"~","~~"),"*","~*"),"?","~?"))+COUNTIF('FICHA'!$Z$455:$Z$459,SUBSTITUTE(SUBSTITUTE(SUBSTITUTE('FICHA'!$F$460,"~","~~"),"*","~*"),"?","~?")))=1),SWITCH(N460,"Força",'FICHA'!$D$19,"Destreza",'FICHA'!$L$19,"Constituição",'FICHA'!$T$19,"Inteligência",'FICHA'!$AB$19,"Essência",'FICHA'!$AJ$19,NA())+IF(E460,'FICHA'!$D$67+INT('FICHA'!$D$67/2),IF(D460,'FICHA'!$D$67,0))+IFERROR(VALUE(T460&amp;""),0),NA())))+DADOS_CONFIG!$B$82)))))</f>
        <v/>
      </c>
      <c r="S460" s="17" t="n"/>
      <c r="T460" s="136">
        <f>IF(F123="","",AL123)</f>
        <v/>
      </c>
      <c r="U460" s="17" t="n"/>
    </row>
    <row r="461" hidden="1" ht="18.75" customHeight="1">
      <c r="A461" s="8" t="n"/>
      <c r="B461" s="14" t="n"/>
    </row>
    <row r="462" hidden="1" ht="18.75" customHeight="1">
      <c r="A462" s="8" t="n"/>
      <c r="B462" s="14" t="n"/>
    </row>
  </sheetData>
  <mergeCells count="939">
    <mergeCell ref="AG108:AI108"/>
    <mergeCell ref="D189:F189"/>
    <mergeCell ref="AQ55:AR55"/>
    <mergeCell ref="AS55:AT55"/>
    <mergeCell ref="S312:U312"/>
    <mergeCell ref="Z292:AE292"/>
    <mergeCell ref="U251:AE251"/>
    <mergeCell ref="F442:M442"/>
    <mergeCell ref="AL101:AT101"/>
    <mergeCell ref="AH357:AI357"/>
    <mergeCell ref="S291:T291"/>
    <mergeCell ref="S241:T241"/>
    <mergeCell ref="D281:E281"/>
    <mergeCell ref="U241:AE241"/>
    <mergeCell ref="R438:S438"/>
    <mergeCell ref="AK312:AN312"/>
    <mergeCell ref="AH438:AK438"/>
    <mergeCell ref="V87:AC87"/>
    <mergeCell ref="AL440:AM440"/>
    <mergeCell ref="W63:X63"/>
    <mergeCell ref="AO15:AP15"/>
    <mergeCell ref="Z55:AI55"/>
    <mergeCell ref="AL439:AM439"/>
    <mergeCell ref="Z62:AG62"/>
    <mergeCell ref="AN439:AO439"/>
    <mergeCell ref="N454:Q454"/>
    <mergeCell ref="AK292:AN292"/>
    <mergeCell ref="S402:AE407"/>
    <mergeCell ref="V89:AC89"/>
    <mergeCell ref="D358:P362"/>
    <mergeCell ref="AH440:AK440"/>
    <mergeCell ref="W118:AC118"/>
    <mergeCell ref="W124:AC124"/>
    <mergeCell ref="Z456:AG456"/>
    <mergeCell ref="AH439:AK439"/>
    <mergeCell ref="AN441:AO441"/>
    <mergeCell ref="O59:V59"/>
    <mergeCell ref="D357:E357"/>
    <mergeCell ref="AD120:AK120"/>
    <mergeCell ref="AF79:AG79"/>
    <mergeCell ref="D332:E332"/>
    <mergeCell ref="N87:O87"/>
    <mergeCell ref="F357:P357"/>
    <mergeCell ref="P87:Q87"/>
    <mergeCell ref="AH393:AI393"/>
    <mergeCell ref="S426:AE431"/>
    <mergeCell ref="S233:AE239"/>
    <mergeCell ref="AF113:AM113"/>
    <mergeCell ref="AL99:AT99"/>
    <mergeCell ref="AD81:AE81"/>
    <mergeCell ref="AD100:AK100"/>
    <mergeCell ref="AF81:AG81"/>
    <mergeCell ref="Z58:AI58"/>
    <mergeCell ref="AH281:AI281"/>
    <mergeCell ref="N89:O89"/>
    <mergeCell ref="AH272:AJ272"/>
    <mergeCell ref="D183:F183"/>
    <mergeCell ref="P89:Q89"/>
    <mergeCell ref="D384:AT384"/>
    <mergeCell ref="F117:V117"/>
    <mergeCell ref="G222:J222"/>
    <mergeCell ref="G70:X70"/>
    <mergeCell ref="G146:AT146"/>
    <mergeCell ref="W121:AC121"/>
    <mergeCell ref="K333:P333"/>
    <mergeCell ref="D59:K59"/>
    <mergeCell ref="D8:F9"/>
    <mergeCell ref="Z73:AI73"/>
    <mergeCell ref="S262:U262"/>
    <mergeCell ref="P88:Q88"/>
    <mergeCell ref="K252:P252"/>
    <mergeCell ref="AD102:AK102"/>
    <mergeCell ref="Z438:AG438"/>
    <mergeCell ref="D11:L11"/>
    <mergeCell ref="F119:V119"/>
    <mergeCell ref="AH332:AI332"/>
    <mergeCell ref="S385:T385"/>
    <mergeCell ref="V82:AC82"/>
    <mergeCell ref="AJ261:AT261"/>
    <mergeCell ref="Z282:AE282"/>
    <mergeCell ref="S293:AE299"/>
    <mergeCell ref="AJ332:AT332"/>
    <mergeCell ref="U385:AE385"/>
    <mergeCell ref="AL459:AM459"/>
    <mergeCell ref="A8:B29"/>
    <mergeCell ref="Z440:AG440"/>
    <mergeCell ref="F127:V127"/>
    <mergeCell ref="AJ22:AP22"/>
    <mergeCell ref="F349:AA349"/>
    <mergeCell ref="F113:J113"/>
    <mergeCell ref="AH379:AT383"/>
    <mergeCell ref="AH63:AI63"/>
    <mergeCell ref="F251:P251"/>
    <mergeCell ref="F458:M458"/>
    <mergeCell ref="AL454:AM454"/>
    <mergeCell ref="AH221:AI221"/>
    <mergeCell ref="V322:Y322"/>
    <mergeCell ref="Z444:AG444"/>
    <mergeCell ref="AN454:AO454"/>
    <mergeCell ref="D365:P369"/>
    <mergeCell ref="G312:J312"/>
    <mergeCell ref="AL94:AT94"/>
    <mergeCell ref="D62:K62"/>
    <mergeCell ref="S302:U302"/>
    <mergeCell ref="R439:S439"/>
    <mergeCell ref="W58:X58"/>
    <mergeCell ref="G292:J292"/>
    <mergeCell ref="S252:U252"/>
    <mergeCell ref="F409:P409"/>
    <mergeCell ref="AO262:AT262"/>
    <mergeCell ref="S108:W108"/>
    <mergeCell ref="K113:M113"/>
    <mergeCell ref="AJ281:AT281"/>
    <mergeCell ref="D310:AT310"/>
    <mergeCell ref="D233:P239"/>
    <mergeCell ref="R441:S441"/>
    <mergeCell ref="AO56:AP56"/>
    <mergeCell ref="Z212:AE212"/>
    <mergeCell ref="S223:AE229"/>
    <mergeCell ref="AL95:AT95"/>
    <mergeCell ref="N455:Q455"/>
    <mergeCell ref="U231:AE231"/>
    <mergeCell ref="D378:E378"/>
    <mergeCell ref="AH441:AK441"/>
    <mergeCell ref="O67:V67"/>
    <mergeCell ref="F82:M82"/>
    <mergeCell ref="AK302:AN302"/>
    <mergeCell ref="AK252:AN252"/>
    <mergeCell ref="N457:Q457"/>
    <mergeCell ref="L19:R20"/>
    <mergeCell ref="S243:AE249"/>
    <mergeCell ref="F371:P371"/>
    <mergeCell ref="AF25:AK25"/>
    <mergeCell ref="AL120:AT120"/>
    <mergeCell ref="AD121:AK121"/>
    <mergeCell ref="D272:F272"/>
    <mergeCell ref="S333:U333"/>
    <mergeCell ref="AH394:AT399"/>
    <mergeCell ref="D392:AT392"/>
    <mergeCell ref="D73:M73"/>
    <mergeCell ref="AF30:AK30"/>
    <mergeCell ref="AD123:AK123"/>
    <mergeCell ref="X108:Z108"/>
    <mergeCell ref="Z457:AG457"/>
    <mergeCell ref="F438:M438"/>
    <mergeCell ref="P90:Q90"/>
    <mergeCell ref="D253:P259"/>
    <mergeCell ref="AN442:AO442"/>
    <mergeCell ref="G15:X15"/>
    <mergeCell ref="AH444:AK444"/>
    <mergeCell ref="D92:AT92"/>
    <mergeCell ref="V272:Y272"/>
    <mergeCell ref="G183:AT183"/>
    <mergeCell ref="AD103:AK103"/>
    <mergeCell ref="AJ371:AT371"/>
    <mergeCell ref="Z439:AG439"/>
    <mergeCell ref="AH459:AK459"/>
    <mergeCell ref="AO333:AT333"/>
    <mergeCell ref="AL126:AT126"/>
    <mergeCell ref="AH211:AI211"/>
    <mergeCell ref="U321:AE321"/>
    <mergeCell ref="V83:AC83"/>
    <mergeCell ref="D26:H27"/>
    <mergeCell ref="AO252:AT252"/>
    <mergeCell ref="R456:S456"/>
    <mergeCell ref="W99:AC99"/>
    <mergeCell ref="AD118:AK118"/>
    <mergeCell ref="AH212:AJ212"/>
    <mergeCell ref="L58:M58"/>
    <mergeCell ref="T439:U439"/>
    <mergeCell ref="AH456:AK456"/>
    <mergeCell ref="G76:AD76"/>
    <mergeCell ref="D105:F106"/>
    <mergeCell ref="D379:P383"/>
    <mergeCell ref="D21:J21"/>
    <mergeCell ref="Z441:AG441"/>
    <mergeCell ref="F122:V122"/>
    <mergeCell ref="S52:AE52"/>
    <mergeCell ref="R454:S454"/>
    <mergeCell ref="T454:U454"/>
    <mergeCell ref="AH418:AT423"/>
    <mergeCell ref="D343:AT347"/>
    <mergeCell ref="AH454:AK454"/>
    <mergeCell ref="AG109:AI109"/>
    <mergeCell ref="T447:U447"/>
    <mergeCell ref="F261:P261"/>
    <mergeCell ref="AN455:AO455"/>
    <mergeCell ref="AK108:AO108"/>
    <mergeCell ref="D140:F140"/>
    <mergeCell ref="AK88:AT88"/>
    <mergeCell ref="D170:AT170"/>
    <mergeCell ref="AS62:AT62"/>
    <mergeCell ref="D29:N29"/>
    <mergeCell ref="D202:AT205"/>
    <mergeCell ref="D417:E417"/>
    <mergeCell ref="T449:U449"/>
    <mergeCell ref="AN457:AO457"/>
    <mergeCell ref="K262:P262"/>
    <mergeCell ref="AD96:AK96"/>
    <mergeCell ref="F88:M88"/>
    <mergeCell ref="F281:P281"/>
    <mergeCell ref="D18:J18"/>
    <mergeCell ref="AH301:AI301"/>
    <mergeCell ref="AL103:AT103"/>
    <mergeCell ref="G177:AT177"/>
    <mergeCell ref="AK56:AN56"/>
    <mergeCell ref="AG51:AT51"/>
    <mergeCell ref="G302:J302"/>
    <mergeCell ref="N438:Q438"/>
    <mergeCell ref="AL97:AT97"/>
    <mergeCell ref="J26:N27"/>
    <mergeCell ref="O73:X73"/>
    <mergeCell ref="AD98:AK98"/>
    <mergeCell ref="AL96:AT96"/>
    <mergeCell ref="AH232:AJ232"/>
    <mergeCell ref="S313:AE319"/>
    <mergeCell ref="S111:W111"/>
    <mergeCell ref="R444:S444"/>
    <mergeCell ref="AL98:AT98"/>
    <mergeCell ref="V262:Y262"/>
    <mergeCell ref="T444:U444"/>
    <mergeCell ref="Z454:AG454"/>
    <mergeCell ref="X10:AF10"/>
    <mergeCell ref="D322:F322"/>
    <mergeCell ref="AB19:AH20"/>
    <mergeCell ref="S112:W112"/>
    <mergeCell ref="D301:E301"/>
    <mergeCell ref="AD124:AK124"/>
    <mergeCell ref="AM87:AT87"/>
    <mergeCell ref="AK47:AT47"/>
    <mergeCell ref="G262:J262"/>
    <mergeCell ref="F439:M439"/>
    <mergeCell ref="AN113:AT113"/>
    <mergeCell ref="D211:E211"/>
    <mergeCell ref="AH402:AT407"/>
    <mergeCell ref="AK242:AN242"/>
    <mergeCell ref="N11:V11"/>
    <mergeCell ref="F211:P211"/>
    <mergeCell ref="R460:S460"/>
    <mergeCell ref="X111:Z111"/>
    <mergeCell ref="AD126:AK126"/>
    <mergeCell ref="F425:P425"/>
    <mergeCell ref="F441:M441"/>
    <mergeCell ref="D165:AT168"/>
    <mergeCell ref="AM15:AN15"/>
    <mergeCell ref="D394:P399"/>
    <mergeCell ref="D331:AT331"/>
    <mergeCell ref="AJ301:AT301"/>
    <mergeCell ref="S53:AE53"/>
    <mergeCell ref="S109:W109"/>
    <mergeCell ref="R455:S455"/>
    <mergeCell ref="AD83:AE83"/>
    <mergeCell ref="G152:AT152"/>
    <mergeCell ref="AL441:AM441"/>
    <mergeCell ref="T455:U455"/>
    <mergeCell ref="D283:P289"/>
    <mergeCell ref="V252:Y252"/>
    <mergeCell ref="L21:R21"/>
    <mergeCell ref="AJ291:AT291"/>
    <mergeCell ref="Z449:AG449"/>
    <mergeCell ref="R457:S457"/>
    <mergeCell ref="T457:U457"/>
    <mergeCell ref="D212:F212"/>
    <mergeCell ref="G242:J242"/>
    <mergeCell ref="Z322:AE322"/>
    <mergeCell ref="AH222:AJ222"/>
    <mergeCell ref="AH457:AK457"/>
    <mergeCell ref="F301:P301"/>
    <mergeCell ref="AL118:AT118"/>
    <mergeCell ref="AN458:AO458"/>
    <mergeCell ref="K312:P312"/>
    <mergeCell ref="AH401:AI401"/>
    <mergeCell ref="AH10:AL10"/>
    <mergeCell ref="F393:P393"/>
    <mergeCell ref="N440:Q440"/>
    <mergeCell ref="AL117:AT117"/>
    <mergeCell ref="D232:F232"/>
    <mergeCell ref="X109:Z109"/>
    <mergeCell ref="AH311:AI311"/>
    <mergeCell ref="S222:U222"/>
    <mergeCell ref="D250:AT250"/>
    <mergeCell ref="P30:Q31"/>
    <mergeCell ref="S334:AE340"/>
    <mergeCell ref="D408:AT408"/>
    <mergeCell ref="N439:Q439"/>
    <mergeCell ref="D115:AT115"/>
    <mergeCell ref="D303:P309"/>
    <mergeCell ref="S357:T357"/>
    <mergeCell ref="AL119:AT119"/>
    <mergeCell ref="D147:AT150"/>
    <mergeCell ref="F454:M454"/>
    <mergeCell ref="D222:F222"/>
    <mergeCell ref="W95:AC95"/>
    <mergeCell ref="AF114:AM114"/>
    <mergeCell ref="Z72:AI72"/>
    <mergeCell ref="U357:AE357"/>
    <mergeCell ref="AH283:AT289"/>
    <mergeCell ref="N441:Q441"/>
    <mergeCell ref="D437:U437"/>
    <mergeCell ref="N444:Q444"/>
    <mergeCell ref="D49:M49"/>
    <mergeCell ref="D10:L10"/>
    <mergeCell ref="AF34:AK34"/>
    <mergeCell ref="S323:AE329"/>
    <mergeCell ref="F93:V93"/>
    <mergeCell ref="T19:Z20"/>
    <mergeCell ref="S273:AE279"/>
    <mergeCell ref="W97:AC97"/>
    <mergeCell ref="S418:AE423"/>
    <mergeCell ref="AH312:AJ312"/>
    <mergeCell ref="W96:AC96"/>
    <mergeCell ref="S271:T271"/>
    <mergeCell ref="Z42:AI42"/>
    <mergeCell ref="D311:E311"/>
    <mergeCell ref="D418:P423"/>
    <mergeCell ref="D261:E261"/>
    <mergeCell ref="AK40:AT40"/>
    <mergeCell ref="T445:U445"/>
    <mergeCell ref="AH251:AI251"/>
    <mergeCell ref="X112:Z112"/>
    <mergeCell ref="F84:M84"/>
    <mergeCell ref="AJ251:AT251"/>
    <mergeCell ref="Z272:AE272"/>
    <mergeCell ref="AD94:AK94"/>
    <mergeCell ref="U291:AE291"/>
    <mergeCell ref="H2:Z3"/>
    <mergeCell ref="F86:M86"/>
    <mergeCell ref="F80:M80"/>
    <mergeCell ref="F444:M444"/>
    <mergeCell ref="AD84:AE84"/>
    <mergeCell ref="AK58:AR58"/>
    <mergeCell ref="D34:H35"/>
    <mergeCell ref="AD86:AE86"/>
    <mergeCell ref="F81:M81"/>
    <mergeCell ref="O44:AT44"/>
    <mergeCell ref="U332:AE332"/>
    <mergeCell ref="AH233:AT239"/>
    <mergeCell ref="S364:T364"/>
    <mergeCell ref="D401:E401"/>
    <mergeCell ref="D50:I50"/>
    <mergeCell ref="AN444:AO444"/>
    <mergeCell ref="T458:U458"/>
    <mergeCell ref="F401:P401"/>
    <mergeCell ref="O49:X49"/>
    <mergeCell ref="L18:R18"/>
    <mergeCell ref="AK111:AO111"/>
    <mergeCell ref="AH273:AT279"/>
    <mergeCell ref="S292:U292"/>
    <mergeCell ref="D184:AT187"/>
    <mergeCell ref="F460:M460"/>
    <mergeCell ref="Z47:AI47"/>
    <mergeCell ref="F332:P332"/>
    <mergeCell ref="V232:Y232"/>
    <mergeCell ref="D282:F282"/>
    <mergeCell ref="AO312:AT312"/>
    <mergeCell ref="D195:AT195"/>
    <mergeCell ref="AJ393:AT393"/>
    <mergeCell ref="S221:T221"/>
    <mergeCell ref="G322:J322"/>
    <mergeCell ref="D116:AT116"/>
    <mergeCell ref="U221:AE221"/>
    <mergeCell ref="G171:AT171"/>
    <mergeCell ref="K302:P302"/>
    <mergeCell ref="F455:M455"/>
    <mergeCell ref="O42:X42"/>
    <mergeCell ref="N447:Q447"/>
    <mergeCell ref="V85:AC85"/>
    <mergeCell ref="F457:M457"/>
    <mergeCell ref="D42:M42"/>
    <mergeCell ref="AD79:AE79"/>
    <mergeCell ref="F99:V99"/>
    <mergeCell ref="W98:AC98"/>
    <mergeCell ref="AJ241:AT241"/>
    <mergeCell ref="Z262:AE262"/>
    <mergeCell ref="D410:P415"/>
    <mergeCell ref="AJ19:AP20"/>
    <mergeCell ref="U281:AE281"/>
    <mergeCell ref="AK67:AT67"/>
    <mergeCell ref="N10:V10"/>
    <mergeCell ref="S51:AE51"/>
    <mergeCell ref="D44:M44"/>
    <mergeCell ref="S365:AE369"/>
    <mergeCell ref="AS59:AT59"/>
    <mergeCell ref="AK79:AT80"/>
    <mergeCell ref="AL457:AM457"/>
    <mergeCell ref="D177:F177"/>
    <mergeCell ref="F94:V94"/>
    <mergeCell ref="AM25:AR25"/>
    <mergeCell ref="K222:P222"/>
    <mergeCell ref="N82:O82"/>
    <mergeCell ref="F291:P291"/>
    <mergeCell ref="P82:Q82"/>
    <mergeCell ref="AK81:AT82"/>
    <mergeCell ref="AH261:AI261"/>
    <mergeCell ref="D45:M45"/>
    <mergeCell ref="AO302:AT302"/>
    <mergeCell ref="AM33:AR33"/>
    <mergeCell ref="Z66:AI66"/>
    <mergeCell ref="D333:F333"/>
    <mergeCell ref="R440:S440"/>
    <mergeCell ref="N460:Q460"/>
    <mergeCell ref="AD95:AK95"/>
    <mergeCell ref="AH223:AT229"/>
    <mergeCell ref="D2:G4"/>
    <mergeCell ref="F125:V125"/>
    <mergeCell ref="S242:U242"/>
    <mergeCell ref="S378:T378"/>
    <mergeCell ref="F385:P385"/>
    <mergeCell ref="AH417:AI417"/>
    <mergeCell ref="U378:AE378"/>
    <mergeCell ref="D130:F131"/>
    <mergeCell ref="S213:AE219"/>
    <mergeCell ref="S282:U282"/>
    <mergeCell ref="AD97:AK97"/>
    <mergeCell ref="AJ417:AT417"/>
    <mergeCell ref="AK55:AN55"/>
    <mergeCell ref="W126:AC126"/>
    <mergeCell ref="T21:Z21"/>
    <mergeCell ref="D251:E251"/>
    <mergeCell ref="AU6:AU184"/>
    <mergeCell ref="U371:AE371"/>
    <mergeCell ref="V222:Y222"/>
    <mergeCell ref="F120:V120"/>
    <mergeCell ref="S30:AD31"/>
    <mergeCell ref="F342:AA342"/>
    <mergeCell ref="Z252:AE252"/>
    <mergeCell ref="AH333:AJ333"/>
    <mergeCell ref="O40:X40"/>
    <mergeCell ref="W117:AC117"/>
    <mergeCell ref="AL447:AM447"/>
    <mergeCell ref="AG111:AI111"/>
    <mergeCell ref="AN447:AO447"/>
    <mergeCell ref="AO16:AP16"/>
    <mergeCell ref="F108:J108"/>
    <mergeCell ref="AL458:AM458"/>
    <mergeCell ref="D409:E409"/>
    <mergeCell ref="AL449:AM449"/>
    <mergeCell ref="V88:AC88"/>
    <mergeCell ref="AQ56:AR56"/>
    <mergeCell ref="AS56:AT56"/>
    <mergeCell ref="Z40:AI40"/>
    <mergeCell ref="T18:Z18"/>
    <mergeCell ref="AN10:AT10"/>
    <mergeCell ref="AP110:AT110"/>
    <mergeCell ref="AF87:AG87"/>
    <mergeCell ref="AM30:AR30"/>
    <mergeCell ref="S231:T231"/>
    <mergeCell ref="D15:F17"/>
    <mergeCell ref="D424:AT424"/>
    <mergeCell ref="AJ409:AT409"/>
    <mergeCell ref="N449:Q449"/>
    <mergeCell ref="AD89:AE89"/>
    <mergeCell ref="W66:X66"/>
    <mergeCell ref="AO242:AT242"/>
    <mergeCell ref="AF89:AG89"/>
    <mergeCell ref="D290:AT290"/>
    <mergeCell ref="V312:Y312"/>
    <mergeCell ref="D371:E371"/>
    <mergeCell ref="P26:Q27"/>
    <mergeCell ref="AB2:AT3"/>
    <mergeCell ref="Z41:AI41"/>
    <mergeCell ref="Z48:AI49"/>
    <mergeCell ref="AJ211:AT211"/>
    <mergeCell ref="S386:AE390"/>
    <mergeCell ref="W59:X59"/>
    <mergeCell ref="F100:V100"/>
    <mergeCell ref="U301:AE301"/>
    <mergeCell ref="L63:M63"/>
    <mergeCell ref="N88:O88"/>
    <mergeCell ref="N450:Q450"/>
    <mergeCell ref="D56:F57"/>
    <mergeCell ref="O62:V62"/>
    <mergeCell ref="S379:AE383"/>
    <mergeCell ref="S232:U232"/>
    <mergeCell ref="F102:V102"/>
    <mergeCell ref="D356:AT356"/>
    <mergeCell ref="N90:O90"/>
    <mergeCell ref="D66:M66"/>
    <mergeCell ref="AJ231:AT231"/>
    <mergeCell ref="D47:M47"/>
    <mergeCell ref="N83:O83"/>
    <mergeCell ref="T456:U456"/>
    <mergeCell ref="S321:T321"/>
    <mergeCell ref="P83:Q83"/>
    <mergeCell ref="G8:X8"/>
    <mergeCell ref="D242:F242"/>
    <mergeCell ref="AH323:AT329"/>
    <mergeCell ref="AK72:AT72"/>
    <mergeCell ref="D210:AT210"/>
    <mergeCell ref="AM34:AR34"/>
    <mergeCell ref="Z67:AI67"/>
    <mergeCell ref="AE70:AO70"/>
    <mergeCell ref="O47:X47"/>
    <mergeCell ref="F417:P417"/>
    <mergeCell ref="N456:Q456"/>
    <mergeCell ref="N85:O85"/>
    <mergeCell ref="P85:Q85"/>
    <mergeCell ref="F221:P221"/>
    <mergeCell ref="V292:Y292"/>
    <mergeCell ref="S425:T425"/>
    <mergeCell ref="D76:F78"/>
    <mergeCell ref="P84:Q84"/>
    <mergeCell ref="V242:Y242"/>
    <mergeCell ref="A33:B67"/>
    <mergeCell ref="V302:Y302"/>
    <mergeCell ref="D372:P376"/>
    <mergeCell ref="G282:J282"/>
    <mergeCell ref="R447:S447"/>
    <mergeCell ref="AQ16:AR16"/>
    <mergeCell ref="W119:AC119"/>
    <mergeCell ref="AK272:AN272"/>
    <mergeCell ref="AL455:AM455"/>
    <mergeCell ref="O45:AT45"/>
    <mergeCell ref="AH447:AK447"/>
    <mergeCell ref="AN449:AO449"/>
    <mergeCell ref="P80:Q80"/>
    <mergeCell ref="AH243:AT249"/>
    <mergeCell ref="AH449:AK449"/>
    <mergeCell ref="F109:J109"/>
    <mergeCell ref="D53:Q53"/>
    <mergeCell ref="W127:AC127"/>
    <mergeCell ref="T442:U442"/>
    <mergeCell ref="D262:F262"/>
    <mergeCell ref="K242:P242"/>
    <mergeCell ref="F111:J111"/>
    <mergeCell ref="Z232:AE232"/>
    <mergeCell ref="AF88:AG88"/>
    <mergeCell ref="K108:M108"/>
    <mergeCell ref="F456:M456"/>
    <mergeCell ref="D41:M41"/>
    <mergeCell ref="K322:P322"/>
    <mergeCell ref="AM29:AR29"/>
    <mergeCell ref="S34:AD35"/>
    <mergeCell ref="Z56:AI56"/>
    <mergeCell ref="AK14:AT14"/>
    <mergeCell ref="AJ18:AP18"/>
    <mergeCell ref="W67:X67"/>
    <mergeCell ref="K232:P232"/>
    <mergeCell ref="AH321:AI321"/>
    <mergeCell ref="AF90:AG90"/>
    <mergeCell ref="P33:Q33"/>
    <mergeCell ref="D349:E349"/>
    <mergeCell ref="N458:Q458"/>
    <mergeCell ref="AD93:AK93"/>
    <mergeCell ref="S311:T311"/>
    <mergeCell ref="AN11:AT11"/>
    <mergeCell ref="K109:M109"/>
    <mergeCell ref="W122:AC122"/>
    <mergeCell ref="AN456:AO456"/>
    <mergeCell ref="Z447:AG447"/>
    <mergeCell ref="AO322:AT322"/>
    <mergeCell ref="U425:AE425"/>
    <mergeCell ref="F103:V103"/>
    <mergeCell ref="K111:M111"/>
    <mergeCell ref="O48:X48"/>
    <mergeCell ref="Z458:AG458"/>
    <mergeCell ref="S283:AE289"/>
    <mergeCell ref="O72:X72"/>
    <mergeCell ref="AL443:AM443"/>
    <mergeCell ref="D67:M67"/>
    <mergeCell ref="D323:P329"/>
    <mergeCell ref="AN443:AO443"/>
    <mergeCell ref="F118:V118"/>
    <mergeCell ref="D425:E425"/>
    <mergeCell ref="D146:F146"/>
    <mergeCell ref="AK15:AL15"/>
    <mergeCell ref="AL445:AM445"/>
    <mergeCell ref="AN445:AO445"/>
    <mergeCell ref="O63:V63"/>
    <mergeCell ref="AF26:AK26"/>
    <mergeCell ref="V84:AC84"/>
    <mergeCell ref="AD119:AK119"/>
    <mergeCell ref="AG52:AT52"/>
    <mergeCell ref="P86:Q86"/>
    <mergeCell ref="AN438:AO438"/>
    <mergeCell ref="R449:S449"/>
    <mergeCell ref="V333:Y333"/>
    <mergeCell ref="AH365:AT369"/>
    <mergeCell ref="AH455:AK455"/>
    <mergeCell ref="AB4:AT4"/>
    <mergeCell ref="AL122:AT122"/>
    <mergeCell ref="AN440:AO440"/>
    <mergeCell ref="F121:V121"/>
    <mergeCell ref="D58:K58"/>
    <mergeCell ref="D243:P249"/>
    <mergeCell ref="P34:Q35"/>
    <mergeCell ref="O41:X41"/>
    <mergeCell ref="Z222:AE222"/>
    <mergeCell ref="AK322:AN322"/>
    <mergeCell ref="AH372:AT376"/>
    <mergeCell ref="L59:M59"/>
    <mergeCell ref="AH271:AI271"/>
    <mergeCell ref="Z442:AG442"/>
    <mergeCell ref="D19:J20"/>
    <mergeCell ref="AK232:AN232"/>
    <mergeCell ref="S394:AE399"/>
    <mergeCell ref="R450:S450"/>
    <mergeCell ref="AJ271:AT271"/>
    <mergeCell ref="T450:U450"/>
    <mergeCell ref="AO55:AP55"/>
    <mergeCell ref="S303:AE309"/>
    <mergeCell ref="D393:E393"/>
    <mergeCell ref="AH302:AJ302"/>
    <mergeCell ref="AH378:AI378"/>
    <mergeCell ref="G189:AT189"/>
    <mergeCell ref="AW10:AW131"/>
    <mergeCell ref="AH458:AK458"/>
    <mergeCell ref="AH410:AT415"/>
    <mergeCell ref="D312:F312"/>
    <mergeCell ref="AS58:AT58"/>
    <mergeCell ref="K292:P292"/>
    <mergeCell ref="F112:J112"/>
    <mergeCell ref="D364:E364"/>
    <mergeCell ref="AH62:AI62"/>
    <mergeCell ref="AD117:AK117"/>
    <mergeCell ref="D37:AT37"/>
    <mergeCell ref="U311:AE311"/>
    <mergeCell ref="D230:AT230"/>
    <mergeCell ref="F364:P364"/>
    <mergeCell ref="D292:F292"/>
    <mergeCell ref="F447:M447"/>
    <mergeCell ref="Z455:AG455"/>
    <mergeCell ref="AL93:AT93"/>
    <mergeCell ref="G232:J232"/>
    <mergeCell ref="Z312:AE312"/>
    <mergeCell ref="U393:AE393"/>
    <mergeCell ref="D273:P279"/>
    <mergeCell ref="F449:M449"/>
    <mergeCell ref="AK212:AN212"/>
    <mergeCell ref="AB349:AE349"/>
    <mergeCell ref="D402:P407"/>
    <mergeCell ref="AH334:AT340"/>
    <mergeCell ref="G158:AT158"/>
    <mergeCell ref="AJ364:AT364"/>
    <mergeCell ref="F126:V126"/>
    <mergeCell ref="K112:M112"/>
    <mergeCell ref="D135:AT138"/>
    <mergeCell ref="AH292:AJ292"/>
    <mergeCell ref="AG53:AT53"/>
    <mergeCell ref="AK109:AO109"/>
    <mergeCell ref="AJ357:AT357"/>
    <mergeCell ref="X110:Z110"/>
    <mergeCell ref="AH263:AT269"/>
    <mergeCell ref="O58:V58"/>
    <mergeCell ref="T438:U438"/>
    <mergeCell ref="AN446:AO446"/>
    <mergeCell ref="S393:T393"/>
    <mergeCell ref="D426:P431"/>
    <mergeCell ref="AD125:AK125"/>
    <mergeCell ref="AQ15:AR15"/>
    <mergeCell ref="AF84:AG84"/>
    <mergeCell ref="AK48:AT49"/>
    <mergeCell ref="AS15:AT15"/>
    <mergeCell ref="V90:AC90"/>
    <mergeCell ref="AK222:AN222"/>
    <mergeCell ref="S272:U272"/>
    <mergeCell ref="T440:U440"/>
    <mergeCell ref="AH446:AK446"/>
    <mergeCell ref="D72:M72"/>
    <mergeCell ref="AN448:AO448"/>
    <mergeCell ref="O66:V66"/>
    <mergeCell ref="AD122:AK122"/>
    <mergeCell ref="AD127:AK127"/>
    <mergeCell ref="Z14:AI14"/>
    <mergeCell ref="AH409:AI409"/>
    <mergeCell ref="AF86:AG86"/>
    <mergeCell ref="P29:Q29"/>
    <mergeCell ref="D207:F208"/>
    <mergeCell ref="S261:T261"/>
    <mergeCell ref="S332:T332"/>
    <mergeCell ref="D91:AT91"/>
    <mergeCell ref="AB342:AE342"/>
    <mergeCell ref="F271:P271"/>
    <mergeCell ref="D153:AT156"/>
    <mergeCell ref="Z302:AE302"/>
    <mergeCell ref="U261:AE261"/>
    <mergeCell ref="K282:P282"/>
    <mergeCell ref="D293:P299"/>
    <mergeCell ref="R458:S458"/>
    <mergeCell ref="AL125:AT125"/>
    <mergeCell ref="AO272:AT272"/>
    <mergeCell ref="Z443:AG443"/>
    <mergeCell ref="F124:V124"/>
    <mergeCell ref="Z15:AI15"/>
    <mergeCell ref="AL102:AT102"/>
    <mergeCell ref="L62:M62"/>
    <mergeCell ref="S410:AE415"/>
    <mergeCell ref="Z445:AG445"/>
    <mergeCell ref="AJ401:AT401"/>
    <mergeCell ref="AH293:AT299"/>
    <mergeCell ref="D22:J22"/>
    <mergeCell ref="S401:T401"/>
    <mergeCell ref="AN459:AO459"/>
    <mergeCell ref="AP108:AT108"/>
    <mergeCell ref="AH282:AJ282"/>
    <mergeCell ref="AH11:AL11"/>
    <mergeCell ref="AG110:AI110"/>
    <mergeCell ref="AH291:AI291"/>
    <mergeCell ref="AK63:AR63"/>
    <mergeCell ref="D302:F302"/>
    <mergeCell ref="D141:AT144"/>
    <mergeCell ref="U401:AE401"/>
    <mergeCell ref="AH241:AI241"/>
    <mergeCell ref="AE69:AO69"/>
    <mergeCell ref="S281:T281"/>
    <mergeCell ref="AH242:AJ242"/>
    <mergeCell ref="D231:E231"/>
    <mergeCell ref="F450:M450"/>
    <mergeCell ref="AB21:AH21"/>
    <mergeCell ref="AH213:AT219"/>
    <mergeCell ref="V80:AC80"/>
    <mergeCell ref="AJ221:AT221"/>
    <mergeCell ref="J30:N31"/>
    <mergeCell ref="Z242:AE242"/>
    <mergeCell ref="S253:AE259"/>
    <mergeCell ref="D263:P269"/>
    <mergeCell ref="S358:AE362"/>
    <mergeCell ref="R446:S446"/>
    <mergeCell ref="AK41:AT41"/>
    <mergeCell ref="T446:U446"/>
    <mergeCell ref="W93:AC93"/>
    <mergeCell ref="AL100:AT100"/>
    <mergeCell ref="U211:AE211"/>
    <mergeCell ref="D386:P390"/>
    <mergeCell ref="F87:M87"/>
    <mergeCell ref="S110:W110"/>
    <mergeCell ref="AK282:AN282"/>
    <mergeCell ref="AK105:AT105"/>
    <mergeCell ref="R448:S448"/>
    <mergeCell ref="X437:AO437"/>
    <mergeCell ref="T448:U448"/>
    <mergeCell ref="D385:E385"/>
    <mergeCell ref="D159:AT162"/>
    <mergeCell ref="AH448:AK448"/>
    <mergeCell ref="F89:M89"/>
    <mergeCell ref="W101:AC101"/>
    <mergeCell ref="Z59:AI59"/>
    <mergeCell ref="T441:U441"/>
    <mergeCell ref="AB18:AH18"/>
    <mergeCell ref="AK89:AT90"/>
    <mergeCell ref="D201:AT201"/>
    <mergeCell ref="D164:AT164"/>
    <mergeCell ref="S371:T371"/>
    <mergeCell ref="AL127:AT127"/>
    <mergeCell ref="G134:AT134"/>
    <mergeCell ref="F110:J110"/>
    <mergeCell ref="F378:P378"/>
    <mergeCell ref="D152:F152"/>
    <mergeCell ref="D321:E321"/>
    <mergeCell ref="F443:M443"/>
    <mergeCell ref="Z333:AE333"/>
    <mergeCell ref="S211:T211"/>
    <mergeCell ref="AH262:AJ262"/>
    <mergeCell ref="F321:P321"/>
    <mergeCell ref="F101:V101"/>
    <mergeCell ref="G130:AH130"/>
    <mergeCell ref="S212:U212"/>
    <mergeCell ref="AL349:AT349"/>
    <mergeCell ref="AN114:AT114"/>
    <mergeCell ref="D453:U453"/>
    <mergeCell ref="AS16:AT16"/>
    <mergeCell ref="F445:M445"/>
    <mergeCell ref="D252:F252"/>
    <mergeCell ref="AK16:AL16"/>
    <mergeCell ref="AO282:AT282"/>
    <mergeCell ref="D270:AT270"/>
    <mergeCell ref="AK59:AR59"/>
    <mergeCell ref="AM26:AR26"/>
    <mergeCell ref="AO232:AT232"/>
    <mergeCell ref="AJ378:AT378"/>
    <mergeCell ref="Z446:AG446"/>
    <mergeCell ref="R459:S459"/>
    <mergeCell ref="AD87:AE87"/>
    <mergeCell ref="T459:U459"/>
    <mergeCell ref="D33:N33"/>
    <mergeCell ref="K110:M110"/>
    <mergeCell ref="AK333:AN333"/>
    <mergeCell ref="F440:M440"/>
    <mergeCell ref="AL442:AM442"/>
    <mergeCell ref="K272:P272"/>
    <mergeCell ref="D241:E241"/>
    <mergeCell ref="F241:P241"/>
    <mergeCell ref="D350:AT354"/>
    <mergeCell ref="T22:Z22"/>
    <mergeCell ref="V86:AC86"/>
    <mergeCell ref="N442:Q442"/>
    <mergeCell ref="L22:R22"/>
    <mergeCell ref="AL446:AM446"/>
    <mergeCell ref="AD82:AE82"/>
    <mergeCell ref="AF82:AG82"/>
    <mergeCell ref="P25:Q25"/>
    <mergeCell ref="D213:P219"/>
    <mergeCell ref="U417:AE417"/>
    <mergeCell ref="AL342:AT342"/>
    <mergeCell ref="AP111:AT111"/>
    <mergeCell ref="S409:T409"/>
    <mergeCell ref="D171:F171"/>
    <mergeCell ref="AH252:AJ252"/>
    <mergeCell ref="U409:AE409"/>
    <mergeCell ref="AL121:AT121"/>
    <mergeCell ref="AH371:AI371"/>
    <mergeCell ref="AH231:AI231"/>
    <mergeCell ref="N443:Q443"/>
    <mergeCell ref="V81:AC81"/>
    <mergeCell ref="AO212:AT212"/>
    <mergeCell ref="D52:Q52"/>
    <mergeCell ref="D313:P319"/>
    <mergeCell ref="AF349:AK349"/>
    <mergeCell ref="F95:V95"/>
    <mergeCell ref="AL123:AT123"/>
    <mergeCell ref="AJ21:AP21"/>
    <mergeCell ref="G105:AH105"/>
    <mergeCell ref="N445:Q445"/>
    <mergeCell ref="G272:J272"/>
    <mergeCell ref="F97:V97"/>
    <mergeCell ref="D40:M40"/>
    <mergeCell ref="Z459:AG459"/>
    <mergeCell ref="D221:E221"/>
    <mergeCell ref="H4:Z4"/>
    <mergeCell ref="F90:M90"/>
    <mergeCell ref="X453:AO453"/>
    <mergeCell ref="N84:O84"/>
    <mergeCell ref="AO222:AT222"/>
    <mergeCell ref="W94:AC94"/>
    <mergeCell ref="J34:N35"/>
    <mergeCell ref="AM16:AN16"/>
    <mergeCell ref="AF33:AK33"/>
    <mergeCell ref="D158:F158"/>
    <mergeCell ref="Z63:AG63"/>
    <mergeCell ref="N80:O80"/>
    <mergeCell ref="C6:AR6"/>
    <mergeCell ref="W125:AC125"/>
    <mergeCell ref="AF342:AK342"/>
    <mergeCell ref="AH364:AI364"/>
    <mergeCell ref="AJ321:AT321"/>
    <mergeCell ref="F446:M446"/>
    <mergeCell ref="F123:V123"/>
    <mergeCell ref="G207:AH207"/>
    <mergeCell ref="G333:J333"/>
    <mergeCell ref="G252:J252"/>
    <mergeCell ref="F448:M448"/>
    <mergeCell ref="S26:AD27"/>
    <mergeCell ref="D172:AT175"/>
    <mergeCell ref="AH442:AK442"/>
    <mergeCell ref="W120:AC120"/>
    <mergeCell ref="S372:AE376"/>
    <mergeCell ref="AD88:AE88"/>
    <mergeCell ref="F83:M83"/>
    <mergeCell ref="AK62:AR62"/>
    <mergeCell ref="V282:Y282"/>
    <mergeCell ref="T460:U460"/>
    <mergeCell ref="D39:AT39"/>
    <mergeCell ref="U271:AE271"/>
    <mergeCell ref="AP109:AT109"/>
    <mergeCell ref="D133:AT133"/>
    <mergeCell ref="AD90:AE90"/>
    <mergeCell ref="F85:M85"/>
    <mergeCell ref="D190:AT193"/>
    <mergeCell ref="AL448:AM448"/>
    <mergeCell ref="AK42:AT42"/>
    <mergeCell ref="S417:T417"/>
    <mergeCell ref="AK85:AT86"/>
    <mergeCell ref="AK110:AO110"/>
    <mergeCell ref="D342:E342"/>
    <mergeCell ref="AF83:AG83"/>
    <mergeCell ref="AL456:AM456"/>
    <mergeCell ref="K212:P212"/>
    <mergeCell ref="D223:P229"/>
    <mergeCell ref="F231:P231"/>
    <mergeCell ref="AD85:AE85"/>
    <mergeCell ref="F311:P311"/>
    <mergeCell ref="AF85:AG85"/>
    <mergeCell ref="G56:X56"/>
    <mergeCell ref="AK73:AT73"/>
    <mergeCell ref="D25:N25"/>
    <mergeCell ref="AH322:AJ322"/>
    <mergeCell ref="F96:V96"/>
    <mergeCell ref="AL124:AT124"/>
    <mergeCell ref="AH313:AT319"/>
    <mergeCell ref="F459:M459"/>
    <mergeCell ref="W100:AC100"/>
    <mergeCell ref="N446:Q446"/>
    <mergeCell ref="AK262:AN262"/>
    <mergeCell ref="F98:V98"/>
    <mergeCell ref="V212:Y212"/>
    <mergeCell ref="AO292:AT292"/>
    <mergeCell ref="D271:E271"/>
    <mergeCell ref="W102:AC102"/>
    <mergeCell ref="N86:O86"/>
    <mergeCell ref="AJ311:AT311"/>
    <mergeCell ref="S322:U322"/>
    <mergeCell ref="U364:AE364"/>
    <mergeCell ref="N448:Q448"/>
    <mergeCell ref="AL438:AM438"/>
    <mergeCell ref="D63:K63"/>
    <mergeCell ref="S301:T301"/>
    <mergeCell ref="J50:M50"/>
    <mergeCell ref="AS63:AT63"/>
    <mergeCell ref="S251:T251"/>
    <mergeCell ref="AK83:AT84"/>
    <mergeCell ref="G212:J212"/>
    <mergeCell ref="S263:AE269"/>
    <mergeCell ref="D291:E291"/>
    <mergeCell ref="V79:AC79"/>
    <mergeCell ref="R442:S442"/>
    <mergeCell ref="D134:F134"/>
    <mergeCell ref="AH358:AT362"/>
    <mergeCell ref="Z448:AG448"/>
    <mergeCell ref="W103:AC103"/>
    <mergeCell ref="D178:AT181"/>
    <mergeCell ref="N81:O81"/>
    <mergeCell ref="P81:Q81"/>
    <mergeCell ref="AK66:AT66"/>
    <mergeCell ref="AL444:AM444"/>
    <mergeCell ref="AD80:AE80"/>
    <mergeCell ref="D334:P340"/>
    <mergeCell ref="D70:F71"/>
    <mergeCell ref="AF80:AG80"/>
    <mergeCell ref="AD99:AK99"/>
    <mergeCell ref="D30:H31"/>
    <mergeCell ref="R443:S443"/>
    <mergeCell ref="G140:AT140"/>
    <mergeCell ref="T443:U443"/>
    <mergeCell ref="W62:X62"/>
    <mergeCell ref="D370:AT370"/>
    <mergeCell ref="AH443:AK443"/>
    <mergeCell ref="AD101:AK101"/>
    <mergeCell ref="AK78:AT78"/>
    <mergeCell ref="R445:S445"/>
    <mergeCell ref="N459:Q459"/>
    <mergeCell ref="AH445:AK445"/>
    <mergeCell ref="AB22:AH22"/>
    <mergeCell ref="W123:AC123"/>
    <mergeCell ref="X11:AF11"/>
    <mergeCell ref="D196:AT199"/>
    <mergeCell ref="AH303:AT309"/>
    <mergeCell ref="D51:Q51"/>
    <mergeCell ref="AH253:AT259"/>
    <mergeCell ref="AF29:AK29"/>
  </mergeCells>
  <conditionalFormatting sqref="D26">
    <cfRule type="expression" priority="1" dxfId="0">
      <formula>AND(N(J26)&gt;0,D26/J26&lt;=0.25)</formula>
    </cfRule>
    <cfRule type="expression" priority="2" dxfId="1">
      <formula>AND(N(J26)&gt;0,D26/J26&lt;=0.5)</formula>
    </cfRule>
  </conditionalFormatting>
  <conditionalFormatting sqref="D30">
    <cfRule type="expression" priority="3" dxfId="0">
      <formula>AND(N(J30)&gt;0,D30/J30&lt;=0.25)</formula>
    </cfRule>
    <cfRule type="expression" priority="4" dxfId="1">
      <formula>AND(N(J30)&gt;0,D30/J30&lt;=0.5)</formula>
    </cfRule>
  </conditionalFormatting>
  <conditionalFormatting sqref="D34">
    <cfRule type="expression" priority="5" dxfId="0">
      <formula>AND(N(J34)&gt;0,D34/J34&lt;=0.25)</formula>
    </cfRule>
    <cfRule type="expression" priority="6" dxfId="1">
      <formula>AND(N(J34)&gt;0,D34/J34&lt;=0.5)</formula>
    </cfRule>
  </conditionalFormatting>
  <conditionalFormatting sqref="V164 Z15 AF114 AF179 AK14 AK56 AK89 AK105 AN114">
    <cfRule type="containsText" priority="7" dxfId="0">
      <formula>NOT(ISERROR(SEARCH((" a mais"),(AK14))))</formula>
    </cfRule>
    <cfRule type="containsText" priority="8" dxfId="0">
      <formula>NOT(ISERROR(SEARCH(("passou de"),(AK14))))</formula>
    </cfRule>
    <cfRule type="containsText" priority="9" dxfId="0">
      <formula>NOT(ISERROR(SEARCH(("só no nível"),(AK14))))</formula>
    </cfRule>
    <cfRule type="containsText" priority="10" dxfId="0">
      <formula>NOT(ISERROR(SEARCH(("nenhum acima"),(AK14))))</formula>
    </cfRule>
  </conditionalFormatting>
  <dataValidations count="19">
    <dataValidation sqref="AK108" showDropDown="0" showInputMessage="0" showErrorMessage="0" allowBlank="1" type="list" errorStyle="stop">
      <formula1>"FORÇA,DESTREZA"</formula1>
    </dataValidation>
    <dataValidation sqref="K108:K113 X108:X112 Z67 AE70 AK67" showDropDown="0" showInputMessage="0" showErrorMessage="0" allowBlank="1" type="list" errorStyle="stop">
      <formula1>"FORÇA,DESTREZA,CONSTITUIÇÃO,INTELIGÊNCIA,ESSÊNCIA"</formula1>
    </dataValidation>
    <dataValidation sqref="N11" showDropDown="0" showInputMessage="0" showErrorMessage="0" allowBlank="1" type="list" errorStyle="stop">
      <formula1>'DADOS_PROGRESSAO'!$AT$2:$AT$24</formula1>
    </dataValidation>
    <dataValidation sqref="AK15 AM15 AO15 AO56 AQ15 AQ56 AS15 AS56" showDropDown="0" showInputMessage="0" showErrorMessage="0" allowBlank="1" type="list" errorStyle="stop">
      <formula1>"0,1,2,3,4,5,6,7"</formula1>
    </dataValidation>
    <dataValidation sqref="D11" showDropDown="0" showInputMessage="0" showErrorMessage="0" allowBlank="1" type="list" errorStyle="stop">
      <formula1>'DADOS_PROGRESSAO'!$AS$2:$AS$8</formula1>
    </dataValidation>
    <dataValidation sqref="X11" showDropDown="0" showInputMessage="0" showErrorMessage="0" allowBlank="1" type="list" errorStyle="stop">
      <formula1>'DADOS_CUSTOM'!$CS$2:$CS$39</formula1>
    </dataValidation>
    <dataValidation sqref="O48" showDropDown="0" showInputMessage="0" showErrorMessage="0" allowBlank="1" type="list" errorStyle="stop">
      <formula1>"0,1,2,3"</formula1>
    </dataValidation>
    <dataValidation sqref="D45" showDropDown="0" showInputMessage="0" showErrorMessage="0" allowBlank="1" type="list" errorStyle="stop">
      <formula1>"Escolha o descanso,Curto · lugar propício,Curto · fora,Longo · lugar propício,Longo · fora"</formula1>
    </dataValidation>
    <dataValidation sqref="AK81" showDropDown="0" showInputMessage="0" showErrorMessage="0" allowBlank="1" type="list" errorStyle="stop">
      <formula1>"Não trocou,1 arma (-2 pericias),2 armas (-4 pericias)"</formula1>
    </dataValidation>
    <dataValidation sqref="W118" showDropDown="0" showInputMessage="0" showErrorMessage="1" allowBlank="1" type="list" errorStyle="stop">
      <formula1>'DADOS_PROGRESSAO'!$AN$2:$AN$6</formula1>
    </dataValidation>
    <dataValidation sqref="W119" showDropDown="0" showInputMessage="0" showErrorMessage="1" allowBlank="1" type="list" errorStyle="stop">
      <formula1>'DADOS_PROGRESSAO'!$AN$2:$AN$6</formula1>
    </dataValidation>
    <dataValidation sqref="W120" showDropDown="0" showInputMessage="0" showErrorMessage="1" allowBlank="1" type="list" errorStyle="stop">
      <formula1>'DADOS_PROGRESSAO'!$AN$2:$AN$6</formula1>
    </dataValidation>
    <dataValidation sqref="W121" showDropDown="0" showInputMessage="0" showErrorMessage="1" allowBlank="1" type="list" errorStyle="stop">
      <formula1>'DADOS_PROGRESSAO'!$AN$2:$AN$6</formula1>
    </dataValidation>
    <dataValidation sqref="W122" showDropDown="0" showInputMessage="0" showErrorMessage="1" allowBlank="1" type="list" errorStyle="stop">
      <formula1>'DADOS_PROGRESSAO'!$AN$2:$AN$6</formula1>
    </dataValidation>
    <dataValidation sqref="W123" showDropDown="0" showInputMessage="0" showErrorMessage="1" allowBlank="1" type="list" errorStyle="stop">
      <formula1>'DADOS_PROGRESSAO'!$AN$2:$AN$6</formula1>
    </dataValidation>
    <dataValidation sqref="W124" showDropDown="0" showInputMessage="0" showErrorMessage="1" allowBlank="1" type="list" errorStyle="stop">
      <formula1>'DADOS_PROGRESSAO'!$AN$2:$AN$6</formula1>
    </dataValidation>
    <dataValidation sqref="W125" showDropDown="0" showInputMessage="0" showErrorMessage="1" allowBlank="1" type="list" errorStyle="stop">
      <formula1>'DADOS_PROGRESSAO'!$AN$2:$AN$6</formula1>
    </dataValidation>
    <dataValidation sqref="W126" showDropDown="0" showInputMessage="0" showErrorMessage="1" allowBlank="1" type="list" errorStyle="stop">
      <formula1>'DADOS_PROGRESSAO'!$AN$2:$AN$6</formula1>
    </dataValidation>
    <dataValidation sqref="W127" showDropDown="0" showInputMessage="0" showErrorMessage="1" allowBlank="1" type="list" errorStyle="stop">
      <formula1>'DADOS_PROGRESSAO'!$AN$2:$AN$6</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U561"/>
  <sheetViews>
    <sheetView showGridLines="0" workbookViewId="0">
      <selection activeCell="A1" sqref="A1"/>
    </sheetView>
  </sheetViews>
  <sheetFormatPr baseColWidth="8" defaultRowHeight="15.75" customHeight="1"/>
  <cols>
    <col width="4" customWidth="1" min="1" max="1"/>
    <col width="4" customWidth="1" min="2" max="2"/>
    <col width="4" customWidth="1" min="3" max="3"/>
    <col width="14.125" customWidth="1" min="4" max="4"/>
    <col width="17.625" customWidth="1" min="5" max="5"/>
    <col width="14.125" customWidth="1" min="6" max="6"/>
    <col width="7.125" customWidth="1" min="7" max="7"/>
    <col width="7.125" customWidth="1" min="8" max="8"/>
    <col width="4" customWidth="1" min="9" max="9"/>
    <col width="14.125" customWidth="1" min="10" max="10"/>
    <col width="17.625" customWidth="1" min="11" max="11"/>
    <col width="14.125" customWidth="1" min="12" max="12"/>
    <col width="7.125" customWidth="1" min="13" max="13"/>
    <col width="7.125" customWidth="1" min="14" max="14"/>
    <col width="4" customWidth="1" min="15" max="15"/>
    <col width="14.125" customWidth="1" min="16" max="16"/>
    <col width="17.625" customWidth="1" min="17" max="17"/>
    <col width="14.125" customWidth="1" min="18" max="18"/>
    <col width="7.125" customWidth="1" min="19" max="19"/>
    <col width="7.125" customWidth="1" min="20" max="20"/>
    <col width="4" customWidth="1" min="21" max="21"/>
  </cols>
  <sheetData>
    <row r="1">
      <c r="A1" s="8" t="n"/>
      <c r="B1" s="8" t="n"/>
      <c r="C1" s="8" t="n"/>
      <c r="D1" s="8" t="n"/>
      <c r="E1" s="8" t="n"/>
      <c r="F1" s="8" t="n"/>
      <c r="G1" s="8" t="n"/>
      <c r="H1" s="8" t="n"/>
      <c r="I1" s="8" t="n"/>
      <c r="J1" s="8" t="n"/>
      <c r="K1" s="8" t="n"/>
      <c r="L1" s="8" t="n"/>
      <c r="M1" s="8" t="n"/>
      <c r="N1" s="8" t="n"/>
      <c r="O1" s="8" t="n"/>
      <c r="P1" s="8" t="n"/>
      <c r="Q1" s="8" t="n"/>
      <c r="R1" s="8" t="n"/>
      <c r="S1" s="8" t="n"/>
      <c r="T1" s="8" t="n"/>
      <c r="U1" s="8" t="n"/>
    </row>
    <row r="2">
      <c r="A2" s="8" t="n"/>
      <c r="B2" s="8" t="n"/>
      <c r="C2" s="8" t="n"/>
      <c r="D2" s="43" t="inlineStr">
        <is>
          <t>呪術</t>
        </is>
      </c>
      <c r="E2" s="44" t="inlineStr">
        <is>
          <t>FICHA AMALDIÇOADA</t>
        </is>
      </c>
      <c r="I2" s="8" t="n"/>
      <c r="J2" s="45">
        <f>FICHA!AB2</f>
        <v/>
      </c>
      <c r="U2" s="8" t="n"/>
    </row>
    <row r="3">
      <c r="A3" s="8" t="n"/>
      <c r="B3" s="8" t="n"/>
      <c r="C3" s="8" t="n"/>
      <c r="I3" s="8" t="n"/>
      <c r="U3" s="8" t="n"/>
    </row>
    <row r="4">
      <c r="A4" s="8" t="n"/>
      <c r="B4" s="8" t="n"/>
      <c r="C4" s="8" t="n"/>
      <c r="E4" s="46">
        <f>DADOS!$F$1&amp;" · técnica, feitiços e aptidões"</f>
        <v/>
      </c>
      <c r="I4" s="8" t="n"/>
      <c r="J4" s="47">
        <f>FICHA!AB4</f>
        <v/>
      </c>
      <c r="U4" s="8" t="n"/>
    </row>
    <row r="5">
      <c r="A5" s="8" t="n"/>
      <c r="B5" s="8" t="n"/>
      <c r="C5" s="31" t="n"/>
      <c r="D5" s="31" t="n"/>
      <c r="E5" s="31" t="n"/>
      <c r="F5" s="31" t="n"/>
      <c r="G5" s="31" t="n"/>
      <c r="H5" s="31" t="n"/>
      <c r="I5" s="31" t="n"/>
      <c r="J5" s="31" t="n"/>
      <c r="K5" s="31" t="n"/>
      <c r="L5" s="31" t="n"/>
      <c r="M5" s="31" t="n"/>
      <c r="N5" s="31" t="n"/>
      <c r="O5" s="31" t="n"/>
      <c r="P5" s="31" t="n"/>
      <c r="Q5" s="31" t="n"/>
      <c r="R5" s="31" t="n"/>
      <c r="S5" s="31" t="n"/>
      <c r="T5" s="31" t="n"/>
      <c r="U5" s="31" t="n"/>
    </row>
    <row r="6">
      <c r="A6" s="8" t="n"/>
      <c r="B6" s="14" t="n"/>
      <c r="C6" s="137" t="n"/>
      <c r="T6" s="137" t="n"/>
      <c r="U6" s="137" t="n"/>
    </row>
    <row r="7">
      <c r="A7" s="8" t="n"/>
      <c r="B7" s="14" t="n"/>
      <c r="C7" s="137" t="n"/>
      <c r="D7" s="138" t="inlineStr">
        <is>
          <t>Técnica</t>
        </is>
      </c>
      <c r="E7" s="138" t="inlineStr">
        <is>
          <t>Orçamento</t>
        </is>
      </c>
      <c r="F7" s="138" t="inlineStr">
        <is>
          <t>Feitiços</t>
        </is>
      </c>
      <c r="G7" s="138" t="inlineStr">
        <is>
          <t>Classe 0</t>
        </is>
      </c>
      <c r="H7" s="17" t="n"/>
      <c r="I7" s="137" t="n"/>
      <c r="J7" s="138" t="inlineStr">
        <is>
          <t>Liberação</t>
        </is>
      </c>
      <c r="K7" s="138" t="inlineStr">
        <is>
          <t>T. Máxima</t>
        </is>
      </c>
      <c r="L7" s="138" t="inlineStr">
        <is>
          <t>Domínio</t>
        </is>
      </c>
      <c r="M7" s="138" t="inlineStr">
        <is>
          <t>Talentos</t>
        </is>
      </c>
      <c r="N7" s="17" t="n"/>
      <c r="O7" s="137" t="n"/>
      <c r="P7" s="138" t="inlineStr">
        <is>
          <t>Aptidões</t>
        </is>
      </c>
      <c r="Q7" s="138" t="inlineStr">
        <is>
          <t>Pactos</t>
        </is>
      </c>
      <c r="R7" s="139" t="inlineStr">
        <is>
          <t>← Clique num nome para ir à seção</t>
        </is>
      </c>
      <c r="U7" s="137" t="n"/>
    </row>
    <row r="8">
      <c r="A8" s="48" t="inlineStr">
        <is>
          <t>CICLO MALDITO</t>
        </is>
      </c>
      <c r="B8" s="22" t="n"/>
      <c r="C8" s="137" t="n"/>
      <c r="D8" s="137" t="n"/>
      <c r="E8" s="137" t="n"/>
      <c r="F8" s="137" t="n"/>
      <c r="G8" s="137" t="n"/>
      <c r="H8" s="137" t="n"/>
      <c r="I8" s="137" t="n"/>
      <c r="J8" s="137" t="n"/>
      <c r="K8" s="137" t="n"/>
      <c r="L8" s="137" t="n"/>
      <c r="M8" s="137" t="n"/>
      <c r="N8" s="137" t="n"/>
      <c r="O8" s="137" t="n"/>
      <c r="P8" s="137" t="n"/>
      <c r="Q8" s="137" t="n"/>
      <c r="R8" s="137" t="n"/>
      <c r="S8" s="137" t="n"/>
      <c r="T8" s="137" t="n"/>
      <c r="U8" s="137" t="n"/>
    </row>
    <row r="9">
      <c r="B9" s="22" t="n"/>
      <c r="C9" s="137" t="n"/>
      <c r="D9" s="55" t="inlineStr">
        <is>
          <t>TÉCNICA</t>
        </is>
      </c>
      <c r="E9" s="19" t="n"/>
      <c r="F9" s="19" t="n"/>
      <c r="G9" s="19" t="n"/>
      <c r="H9" s="19" t="n"/>
      <c r="I9" s="19" t="n"/>
      <c r="J9" s="19" t="n"/>
      <c r="K9" s="19" t="n"/>
      <c r="L9" s="19" t="n"/>
      <c r="M9" s="19" t="n"/>
      <c r="N9" s="19" t="n"/>
      <c r="O9" s="19" t="n"/>
      <c r="P9" s="19" t="n"/>
      <c r="Q9" s="19" t="n"/>
      <c r="R9" s="19" t="n"/>
      <c r="S9" s="19" t="n"/>
      <c r="T9" s="20" t="n"/>
      <c r="U9" s="137" t="n"/>
    </row>
    <row r="10">
      <c r="B10" s="22" t="n"/>
      <c r="C10" s="137" t="n"/>
      <c r="D10" s="23" t="n"/>
      <c r="E10" s="24" t="n"/>
      <c r="F10" s="24" t="n"/>
      <c r="G10" s="24" t="n"/>
      <c r="H10" s="24" t="n"/>
      <c r="I10" s="24" t="n"/>
      <c r="J10" s="24" t="n"/>
      <c r="K10" s="24" t="n"/>
      <c r="L10" s="24" t="n"/>
      <c r="M10" s="24" t="n"/>
      <c r="N10" s="24" t="n"/>
      <c r="O10" s="24" t="n"/>
      <c r="P10" s="24" t="n"/>
      <c r="Q10" s="24" t="n"/>
      <c r="R10" s="24" t="n"/>
      <c r="S10" s="24" t="n"/>
      <c r="T10" s="25" t="n"/>
      <c r="U10" s="137" t="n"/>
    </row>
    <row r="11" outlineLevel="1">
      <c r="B11" s="22" t="n"/>
      <c r="C11" s="137" t="n"/>
      <c r="D11" s="56" t="inlineStr">
        <is>
          <t>NOME DA TÉCNICA</t>
        </is>
      </c>
      <c r="E11" s="16" t="n"/>
      <c r="F11" s="16" t="n"/>
      <c r="G11" s="16" t="n"/>
      <c r="H11" s="17" t="n"/>
      <c r="I11" s="137" t="n"/>
      <c r="J11" s="56" t="inlineStr">
        <is>
          <t>TIPO DE DANO</t>
        </is>
      </c>
      <c r="K11" s="17" t="n"/>
      <c r="L11" s="56" t="inlineStr">
        <is>
          <t>ATRIBUTO DA TÉCNICA</t>
        </is>
      </c>
      <c r="M11" s="16" t="n"/>
      <c r="N11" s="17" t="n"/>
      <c r="O11" s="137" t="n"/>
      <c r="P11" s="56" t="inlineStr">
        <is>
          <t>CONJURAÇÃO</t>
        </is>
      </c>
      <c r="Q11" s="17" t="n"/>
      <c r="R11" s="56" t="inlineStr">
        <is>
          <t>CD</t>
        </is>
      </c>
      <c r="S11" s="16" t="n"/>
      <c r="T11" s="17" t="n"/>
      <c r="U11" s="137" t="n"/>
    </row>
    <row r="12" outlineLevel="1">
      <c r="B12" s="22" t="n"/>
      <c r="C12" s="137" t="n"/>
      <c r="D12" s="87">
        <f>DADOS_AM!$KV$2</f>
        <v/>
      </c>
      <c r="E12" s="19" t="n"/>
      <c r="F12" s="19" t="n"/>
      <c r="G12" s="19" t="n"/>
      <c r="H12" s="20" t="n"/>
      <c r="I12" s="137" t="n"/>
      <c r="J12" s="87" t="n"/>
      <c r="K12" s="20" t="n"/>
      <c r="L12" s="87">
        <f>DADOS_AM!$KV$3</f>
        <v/>
      </c>
      <c r="M12" s="19" t="n"/>
      <c r="N12" s="20" t="n"/>
      <c r="O12" s="137" t="n"/>
      <c r="P12" s="105">
        <f>DADOS_AM!$KV$4</f>
        <v/>
      </c>
      <c r="Q12" s="20" t="n"/>
      <c r="R12" s="105">
        <f>DADOS_AM!$KV$5</f>
        <v/>
      </c>
      <c r="S12" s="19" t="n"/>
      <c r="T12" s="20" t="n"/>
      <c r="U12" s="137" t="n"/>
    </row>
    <row r="13" outlineLevel="1">
      <c r="B13" s="22" t="n"/>
      <c r="C13" s="137" t="n"/>
      <c r="D13" s="23" t="n"/>
      <c r="E13" s="24" t="n"/>
      <c r="F13" s="24" t="n"/>
      <c r="G13" s="24" t="n"/>
      <c r="H13" s="25" t="n"/>
      <c r="I13" s="137" t="n"/>
      <c r="J13" s="23" t="n"/>
      <c r="K13" s="25" t="n"/>
      <c r="L13" s="23" t="n"/>
      <c r="M13" s="24" t="n"/>
      <c r="N13" s="25" t="n"/>
      <c r="O13" s="137" t="n"/>
      <c r="P13" s="23" t="n"/>
      <c r="Q13" s="25" t="n"/>
      <c r="R13" s="23" t="n"/>
      <c r="S13" s="24" t="n"/>
      <c r="T13" s="25" t="n"/>
      <c r="U13" s="137" t="n"/>
    </row>
    <row r="14" outlineLevel="1">
      <c r="B14" s="22" t="n"/>
      <c r="C14" s="137" t="n"/>
      <c r="D14" s="137" t="n"/>
      <c r="E14" s="137" t="n"/>
      <c r="F14" s="137" t="n"/>
      <c r="G14" s="137" t="n"/>
      <c r="H14" s="137" t="n"/>
      <c r="I14" s="137" t="n"/>
      <c r="J14" s="137" t="n"/>
      <c r="K14" s="137" t="n"/>
      <c r="L14" s="137" t="n"/>
      <c r="M14" s="137" t="n"/>
      <c r="N14" s="137" t="n"/>
      <c r="O14" s="137" t="n"/>
      <c r="P14" s="137" t="n"/>
      <c r="Q14" s="137" t="n"/>
      <c r="R14" s="137" t="n"/>
      <c r="S14" s="137" t="n"/>
      <c r="T14" s="137" t="n"/>
      <c r="U14" s="137" t="n"/>
    </row>
    <row r="15" outlineLevel="1">
      <c r="B15" s="22" t="n"/>
      <c r="C15" s="137" t="n"/>
      <c r="D15" s="56" t="inlineStr">
        <is>
          <t>ROTA</t>
        </is>
      </c>
      <c r="E15" s="16" t="n"/>
      <c r="F15" s="16" t="n"/>
      <c r="G15" s="16" t="n"/>
      <c r="H15" s="17" t="n"/>
      <c r="I15" s="137" t="n"/>
      <c r="J15" s="56">
        <f>DADOS_AM!$KV$6</f>
        <v/>
      </c>
      <c r="K15" s="16" t="n"/>
      <c r="L15" s="16" t="n"/>
      <c r="M15" s="16" t="n"/>
      <c r="N15" s="17" t="n"/>
      <c r="O15" s="137" t="n"/>
      <c r="P15" s="56">
        <f>DADOS_AM!$KV$7</f>
        <v/>
      </c>
      <c r="Q15" s="16" t="n"/>
      <c r="R15" s="16" t="n"/>
      <c r="S15" s="16" t="n"/>
      <c r="T15" s="17" t="n"/>
      <c r="U15" s="137" t="n"/>
    </row>
    <row r="16" outlineLevel="1">
      <c r="B16" s="22" t="n"/>
      <c r="C16" s="137" t="n"/>
      <c r="D16" s="95">
        <f>DADOS_AM!$KV$8</f>
        <v/>
      </c>
      <c r="E16" s="16" t="n"/>
      <c r="F16" s="16" t="n"/>
      <c r="G16" s="16" t="n"/>
      <c r="H16" s="17" t="n"/>
      <c r="I16" s="137" t="n"/>
      <c r="J16" s="95" t="n"/>
      <c r="K16" s="16" t="n"/>
      <c r="L16" s="16" t="n"/>
      <c r="M16" s="16" t="n"/>
      <c r="N16" s="17" t="n"/>
      <c r="O16" s="137" t="n"/>
      <c r="P16" s="95">
        <f>DADOS_AM!$KV$9</f>
        <v/>
      </c>
      <c r="Q16" s="16" t="n"/>
      <c r="R16" s="16" t="n"/>
      <c r="S16" s="16" t="n"/>
      <c r="T16" s="17" t="n"/>
      <c r="U16" s="137" t="n"/>
    </row>
    <row r="17" outlineLevel="1">
      <c r="B17" s="22" t="n"/>
      <c r="C17" s="137" t="n"/>
      <c r="D17" s="56">
        <f>DADOS_AM!$KV$10</f>
        <v/>
      </c>
      <c r="E17" s="16" t="n"/>
      <c r="F17" s="16" t="n"/>
      <c r="G17" s="16" t="n"/>
      <c r="H17" s="17" t="n"/>
      <c r="I17" s="137" t="n"/>
      <c r="J17" s="56">
        <f>DADOS_AM!$KV$12</f>
        <v/>
      </c>
      <c r="K17" s="16" t="n"/>
      <c r="L17" s="16" t="n"/>
      <c r="M17" s="16" t="n"/>
      <c r="N17" s="17" t="n"/>
      <c r="O17" s="137" t="n"/>
      <c r="P17" s="56">
        <f>DADOS_AM!$KV$14</f>
        <v/>
      </c>
      <c r="Q17" s="16" t="n"/>
      <c r="R17" s="16" t="n"/>
      <c r="S17" s="16" t="n"/>
      <c r="T17" s="17" t="n"/>
      <c r="U17" s="137" t="n"/>
    </row>
    <row r="18" outlineLevel="1">
      <c r="B18" s="22" t="n"/>
      <c r="C18" s="137" t="n"/>
      <c r="D18" s="95" t="n"/>
      <c r="E18" s="16" t="n"/>
      <c r="F18" s="16" t="n"/>
      <c r="G18" s="16" t="n"/>
      <c r="H18" s="17" t="n"/>
      <c r="I18" s="137" t="n"/>
      <c r="J18" s="95" t="n"/>
      <c r="K18" s="16" t="n"/>
      <c r="L18" s="16" t="n"/>
      <c r="M18" s="16" t="n"/>
      <c r="N18" s="17" t="n"/>
      <c r="O18" s="137" t="n"/>
      <c r="P18" s="95" t="n"/>
      <c r="Q18" s="16" t="n"/>
      <c r="R18" s="16" t="n"/>
      <c r="S18" s="16" t="n"/>
      <c r="T18" s="17" t="n"/>
      <c r="U18" s="137" t="n"/>
    </row>
    <row r="19" outlineLevel="1">
      <c r="B19" s="22" t="n"/>
      <c r="C19" s="137" t="n"/>
      <c r="D19" s="95">
        <f>DADOS_AM!$KV$11</f>
        <v/>
      </c>
      <c r="E19" s="16" t="n"/>
      <c r="F19" s="16" t="n"/>
      <c r="G19" s="16" t="n"/>
      <c r="H19" s="17" t="n"/>
      <c r="I19" s="137" t="n"/>
      <c r="J19" s="95">
        <f>DADOS_AM!$KV$13</f>
        <v/>
      </c>
      <c r="K19" s="16" t="n"/>
      <c r="L19" s="16" t="n"/>
      <c r="M19" s="16" t="n"/>
      <c r="N19" s="17" t="n"/>
      <c r="O19" s="137" t="n"/>
      <c r="P19" s="95">
        <f>DADOS_AM!$KV$15</f>
        <v/>
      </c>
      <c r="Q19" s="16" t="n"/>
      <c r="R19" s="16" t="n"/>
      <c r="S19" s="16" t="n"/>
      <c r="T19" s="17" t="n"/>
      <c r="U19" s="137" t="n"/>
    </row>
    <row r="20" outlineLevel="1">
      <c r="B20" s="22" t="n"/>
      <c r="C20" s="137" t="n"/>
      <c r="D20" s="137" t="n"/>
      <c r="E20" s="137" t="n"/>
      <c r="F20" s="137" t="n"/>
      <c r="G20" s="137" t="n"/>
      <c r="H20" s="137" t="n"/>
      <c r="I20" s="137" t="n"/>
      <c r="J20" s="137" t="n"/>
      <c r="K20" s="137" t="n"/>
      <c r="L20" s="137" t="n"/>
      <c r="M20" s="137" t="n"/>
      <c r="N20" s="137" t="n"/>
      <c r="O20" s="137" t="n"/>
      <c r="P20" s="137" t="n"/>
      <c r="Q20" s="137" t="n"/>
      <c r="R20" s="137" t="n"/>
      <c r="S20" s="137" t="n"/>
      <c r="T20" s="137" t="n"/>
      <c r="U20" s="137" t="n"/>
    </row>
    <row r="21" outlineLevel="1">
      <c r="B21" s="22" t="n"/>
      <c r="C21" s="137" t="n"/>
      <c r="D21" s="56" t="inlineStr">
        <is>
          <t>REGRA</t>
        </is>
      </c>
      <c r="E21" s="16" t="n"/>
      <c r="F21" s="16" t="n"/>
      <c r="G21" s="16" t="n"/>
      <c r="H21" s="16" t="n"/>
      <c r="I21" s="16" t="n"/>
      <c r="J21" s="16" t="n"/>
      <c r="K21" s="16" t="n"/>
      <c r="L21" s="16" t="n"/>
      <c r="M21" s="16" t="n"/>
      <c r="N21" s="16" t="n"/>
      <c r="O21" s="16" t="n"/>
      <c r="P21" s="16" t="n"/>
      <c r="Q21" s="16" t="n"/>
      <c r="R21" s="16" t="n"/>
      <c r="S21" s="16" t="n"/>
      <c r="T21" s="17" t="n"/>
      <c r="U21" s="137" t="n"/>
    </row>
    <row r="22" outlineLevel="1">
      <c r="B22" s="22" t="n"/>
      <c r="C22" s="137" t="n"/>
      <c r="D22" s="61" t="n"/>
      <c r="E22" s="19" t="n"/>
      <c r="F22" s="19" t="n"/>
      <c r="G22" s="19" t="n"/>
      <c r="H22" s="19" t="n"/>
      <c r="I22" s="19" t="n"/>
      <c r="J22" s="19" t="n"/>
      <c r="K22" s="19" t="n"/>
      <c r="L22" s="19" t="n"/>
      <c r="M22" s="19" t="n"/>
      <c r="N22" s="19" t="n"/>
      <c r="O22" s="19" t="n"/>
      <c r="P22" s="19" t="n"/>
      <c r="Q22" s="19" t="n"/>
      <c r="R22" s="19" t="n"/>
      <c r="S22" s="19" t="n"/>
      <c r="T22" s="20" t="n"/>
      <c r="U22" s="137" t="n"/>
    </row>
    <row r="23" outlineLevel="1">
      <c r="B23" s="22" t="n"/>
      <c r="C23" s="137" t="n"/>
      <c r="D23" s="23" t="n"/>
      <c r="E23" s="24" t="n"/>
      <c r="F23" s="24" t="n"/>
      <c r="G23" s="24" t="n"/>
      <c r="H23" s="24" t="n"/>
      <c r="I23" s="24" t="n"/>
      <c r="J23" s="24" t="n"/>
      <c r="K23" s="24" t="n"/>
      <c r="L23" s="24" t="n"/>
      <c r="M23" s="24" t="n"/>
      <c r="N23" s="24" t="n"/>
      <c r="O23" s="24" t="n"/>
      <c r="P23" s="24" t="n"/>
      <c r="Q23" s="24" t="n"/>
      <c r="R23" s="24" t="n"/>
      <c r="S23" s="24" t="n"/>
      <c r="T23" s="25" t="n"/>
      <c r="U23" s="137" t="n"/>
    </row>
    <row r="24" outlineLevel="1">
      <c r="B24" s="22" t="n"/>
      <c r="C24" s="137" t="n"/>
      <c r="D24" s="137" t="n"/>
      <c r="E24" s="137" t="n"/>
      <c r="F24" s="137" t="n"/>
      <c r="G24" s="137" t="n"/>
      <c r="H24" s="137" t="n"/>
      <c r="I24" s="137" t="n"/>
      <c r="J24" s="137" t="n"/>
      <c r="K24" s="137" t="n"/>
      <c r="L24" s="137" t="n"/>
      <c r="M24" s="137" t="n"/>
      <c r="N24" s="137" t="n"/>
      <c r="O24" s="137" t="n"/>
      <c r="P24" s="137" t="n"/>
      <c r="Q24" s="137" t="n"/>
      <c r="R24" s="137" t="n"/>
      <c r="S24" s="137" t="n"/>
      <c r="T24" s="137" t="n"/>
      <c r="U24" s="137" t="n"/>
    </row>
    <row r="25" outlineLevel="1">
      <c r="B25" s="22" t="n"/>
      <c r="C25" s="137" t="n"/>
      <c r="D25" s="56" t="inlineStr">
        <is>
          <t>DESCRIÇÃO</t>
        </is>
      </c>
      <c r="E25" s="16" t="n"/>
      <c r="F25" s="16" t="n"/>
      <c r="G25" s="16" t="n"/>
      <c r="H25" s="16" t="n"/>
      <c r="I25" s="16" t="n"/>
      <c r="J25" s="16" t="n"/>
      <c r="K25" s="17" t="n"/>
      <c r="L25" s="56">
        <f>DADOS_AM!$KV$16</f>
        <v/>
      </c>
      <c r="M25" s="16" t="n"/>
      <c r="N25" s="16" t="n"/>
      <c r="O25" s="16" t="n"/>
      <c r="P25" s="16" t="n"/>
      <c r="Q25" s="16" t="n"/>
      <c r="R25" s="16" t="n"/>
      <c r="S25" s="16" t="n"/>
      <c r="T25" s="17" t="n"/>
      <c r="U25" s="137" t="n"/>
    </row>
    <row r="26" outlineLevel="1">
      <c r="B26" s="22" t="n"/>
      <c r="C26" s="137" t="n"/>
      <c r="D26" s="61" t="n"/>
      <c r="E26" s="19" t="n"/>
      <c r="F26" s="19" t="n"/>
      <c r="G26" s="19" t="n"/>
      <c r="H26" s="19" t="n"/>
      <c r="I26" s="19" t="n"/>
      <c r="J26" s="19" t="n"/>
      <c r="K26" s="20" t="n"/>
      <c r="L26" s="61" t="n"/>
      <c r="M26" s="19" t="n"/>
      <c r="N26" s="19" t="n"/>
      <c r="O26" s="19" t="n"/>
      <c r="P26" s="19" t="n"/>
      <c r="Q26" s="19" t="n"/>
      <c r="R26" s="19" t="n"/>
      <c r="S26" s="19" t="n"/>
      <c r="T26" s="20" t="n"/>
      <c r="U26" s="137" t="n"/>
    </row>
    <row r="27" outlineLevel="1">
      <c r="B27" s="22" t="n"/>
      <c r="C27" s="137" t="n"/>
      <c r="D27" s="21" t="n"/>
      <c r="K27" s="22" t="n"/>
      <c r="L27" s="23" t="n"/>
      <c r="M27" s="24" t="n"/>
      <c r="N27" s="24" t="n"/>
      <c r="O27" s="24" t="n"/>
      <c r="P27" s="24" t="n"/>
      <c r="Q27" s="24" t="n"/>
      <c r="R27" s="24" t="n"/>
      <c r="S27" s="24" t="n"/>
      <c r="T27" s="25" t="n"/>
      <c r="U27" s="137" t="n"/>
    </row>
    <row r="28" outlineLevel="1">
      <c r="B28" s="22" t="n"/>
      <c r="C28" s="137" t="n"/>
      <c r="D28" s="21" t="n"/>
      <c r="K28" s="22" t="n"/>
      <c r="L28" s="56" t="inlineStr">
        <is>
          <t>EXPRESSÃO DA TÉCNICA</t>
        </is>
      </c>
      <c r="M28" s="16" t="n"/>
      <c r="N28" s="16" t="n"/>
      <c r="O28" s="16" t="n"/>
      <c r="P28" s="16" t="n"/>
      <c r="Q28" s="16" t="n"/>
      <c r="R28" s="16" t="n"/>
      <c r="S28" s="16" t="n"/>
      <c r="T28" s="17" t="n"/>
      <c r="U28" s="137" t="n"/>
    </row>
    <row r="29" outlineLevel="1">
      <c r="B29" s="22" t="n"/>
      <c r="C29" s="137" t="n"/>
      <c r="D29" s="21" t="n"/>
      <c r="K29" s="22" t="n"/>
      <c r="L29" s="61" t="n"/>
      <c r="M29" s="19" t="n"/>
      <c r="N29" s="19" t="n"/>
      <c r="O29" s="19" t="n"/>
      <c r="P29" s="19" t="n"/>
      <c r="Q29" s="19" t="n"/>
      <c r="R29" s="19" t="n"/>
      <c r="S29" s="19" t="n"/>
      <c r="T29" s="20" t="n"/>
      <c r="U29" s="137" t="n"/>
    </row>
    <row r="30" outlineLevel="1">
      <c r="A30" s="8" t="n"/>
      <c r="B30" s="14" t="n"/>
      <c r="C30" s="137" t="n"/>
      <c r="D30" s="23" t="n"/>
      <c r="E30" s="24" t="n"/>
      <c r="F30" s="24" t="n"/>
      <c r="G30" s="24" t="n"/>
      <c r="H30" s="24" t="n"/>
      <c r="I30" s="24" t="n"/>
      <c r="J30" s="24" t="n"/>
      <c r="K30" s="25" t="n"/>
      <c r="L30" s="23" t="n"/>
      <c r="M30" s="24" t="n"/>
      <c r="N30" s="24" t="n"/>
      <c r="O30" s="24" t="n"/>
      <c r="P30" s="24" t="n"/>
      <c r="Q30" s="24" t="n"/>
      <c r="R30" s="24" t="n"/>
      <c r="S30" s="24" t="n"/>
      <c r="T30" s="25" t="n"/>
      <c r="U30" s="137" t="n"/>
    </row>
    <row r="31" outlineLevel="1">
      <c r="A31" s="8" t="n"/>
      <c r="B31" s="14" t="n"/>
      <c r="C31" s="137" t="n"/>
      <c r="D31" s="137" t="n"/>
      <c r="E31" s="137" t="n"/>
      <c r="F31" s="137" t="n"/>
      <c r="G31" s="137" t="n"/>
      <c r="H31" s="137" t="n"/>
      <c r="I31" s="137" t="n"/>
      <c r="J31" s="137" t="n"/>
      <c r="K31" s="137" t="n"/>
      <c r="L31" s="137" t="n"/>
      <c r="M31" s="137" t="n"/>
      <c r="N31" s="137" t="n"/>
      <c r="O31" s="137" t="n"/>
      <c r="P31" s="137" t="n"/>
      <c r="Q31" s="137" t="n"/>
      <c r="R31" s="137" t="n"/>
      <c r="S31" s="137" t="n"/>
      <c r="T31" s="137" t="n"/>
      <c r="U31" s="137" t="n"/>
    </row>
    <row r="32" outlineLevel="1">
      <c r="A32" s="8" t="n"/>
      <c r="B32" s="14" t="n"/>
      <c r="C32" s="137" t="n"/>
      <c r="D32" s="56" t="inlineStr">
        <is>
          <t>REGRA PRÓPRIA</t>
        </is>
      </c>
      <c r="E32" s="16" t="n"/>
      <c r="F32" s="16" t="n"/>
      <c r="G32" s="16" t="n"/>
      <c r="H32" s="16" t="n"/>
      <c r="I32" s="16" t="n"/>
      <c r="J32" s="16" t="n"/>
      <c r="K32" s="16" t="n"/>
      <c r="L32" s="16" t="n"/>
      <c r="M32" s="16" t="n"/>
      <c r="N32" s="17" t="n"/>
      <c r="O32" s="137" t="n"/>
      <c r="P32" s="56" t="inlineStr">
        <is>
          <t>CATEGORIA</t>
        </is>
      </c>
      <c r="Q32" s="17" t="n"/>
      <c r="R32" s="56" t="inlineStr">
        <is>
          <t>ESPAÇOS</t>
        </is>
      </c>
      <c r="S32" s="16" t="n"/>
      <c r="T32" s="17" t="n"/>
      <c r="U32" s="137" t="n"/>
    </row>
    <row r="33" outlineLevel="1">
      <c r="A33" s="48" t="inlineStr">
        <is>
          <t>FICHA AMALDIÇOADA</t>
        </is>
      </c>
      <c r="B33" s="22" t="n"/>
      <c r="C33" s="137" t="n"/>
      <c r="D33" s="61" t="n"/>
      <c r="E33" s="19" t="n"/>
      <c r="F33" s="19" t="n"/>
      <c r="G33" s="19" t="n"/>
      <c r="H33" s="19" t="n"/>
      <c r="I33" s="19" t="n"/>
      <c r="J33" s="19" t="n"/>
      <c r="K33" s="19" t="n"/>
      <c r="L33" s="19" t="n"/>
      <c r="M33" s="19" t="n"/>
      <c r="N33" s="20" t="n"/>
      <c r="O33" s="137" t="n"/>
      <c r="P33" s="95" t="n"/>
      <c r="Q33" s="20" t="n"/>
      <c r="R33" s="95">
        <f>DADOS_AM!$KV$17</f>
        <v/>
      </c>
      <c r="S33" s="19" t="n"/>
      <c r="T33" s="20" t="n"/>
      <c r="U33" s="137" t="n"/>
    </row>
    <row r="34" outlineLevel="1">
      <c r="B34" s="22" t="n"/>
      <c r="C34" s="137" t="n"/>
      <c r="D34" s="23" t="n"/>
      <c r="E34" s="24" t="n"/>
      <c r="F34" s="24" t="n"/>
      <c r="G34" s="24" t="n"/>
      <c r="H34" s="24" t="n"/>
      <c r="I34" s="24" t="n"/>
      <c r="J34" s="24" t="n"/>
      <c r="K34" s="24" t="n"/>
      <c r="L34" s="24" t="n"/>
      <c r="M34" s="24" t="n"/>
      <c r="N34" s="25" t="n"/>
      <c r="O34" s="137" t="n"/>
      <c r="P34" s="23" t="n"/>
      <c r="Q34" s="25" t="n"/>
      <c r="R34" s="23" t="n"/>
      <c r="S34" s="24" t="n"/>
      <c r="T34" s="25" t="n"/>
      <c r="U34" s="137" t="n"/>
    </row>
    <row r="35" outlineLevel="1">
      <c r="B35" s="22" t="n"/>
      <c r="C35" s="137" t="n"/>
      <c r="D35" s="137" t="n"/>
      <c r="E35" s="137" t="n"/>
      <c r="F35" s="137" t="n"/>
      <c r="G35" s="137" t="n"/>
      <c r="H35" s="137" t="n"/>
      <c r="I35" s="137" t="n"/>
      <c r="J35" s="137" t="n"/>
      <c r="K35" s="137" t="n"/>
      <c r="L35" s="137" t="n"/>
      <c r="M35" s="137" t="n"/>
      <c r="N35" s="137" t="n"/>
      <c r="O35" s="137" t="n"/>
      <c r="P35" s="137" t="n"/>
      <c r="Q35" s="137" t="n"/>
      <c r="R35" s="137" t="n"/>
      <c r="S35" s="137" t="n"/>
      <c r="T35" s="137" t="n"/>
      <c r="U35" s="137" t="n"/>
    </row>
    <row r="36" outlineLevel="1">
      <c r="B36" s="22" t="n"/>
      <c r="C36" s="137" t="n"/>
      <c r="D36" s="56" t="inlineStr">
        <is>
          <t>ALCANCE</t>
        </is>
      </c>
      <c r="E36" s="56" t="inlineStr">
        <is>
          <t>ÁREA</t>
        </is>
      </c>
      <c r="F36" s="56" t="inlineStr">
        <is>
          <t>MIRA</t>
        </is>
      </c>
      <c r="G36" s="56" t="inlineStr">
        <is>
          <t>CONTROLE</t>
        </is>
      </c>
      <c r="H36" s="17" t="n"/>
      <c r="I36" s="137" t="n"/>
      <c r="J36" s="56" t="inlineStr">
        <is>
          <t>AUXILIARES</t>
        </is>
      </c>
      <c r="K36" s="56" t="inlineStr">
        <is>
          <t>CASTIGO</t>
        </is>
      </c>
      <c r="L36" s="56" t="inlineStr">
        <is>
          <t>TEMPO</t>
        </is>
      </c>
      <c r="M36" s="56" t="inlineStr">
        <is>
          <t>MARCA</t>
        </is>
      </c>
      <c r="N36" s="17" t="n"/>
      <c r="O36" s="137" t="n"/>
      <c r="P36" s="56" t="inlineStr">
        <is>
          <t>AMPARO</t>
        </is>
      </c>
      <c r="Q36" s="56" t="inlineStr">
        <is>
          <t>LIVRES · FECHADAS</t>
        </is>
      </c>
      <c r="R36" s="16" t="n"/>
      <c r="S36" s="16" t="n"/>
      <c r="T36" s="17" t="n"/>
      <c r="U36" s="137" t="n"/>
    </row>
    <row r="37" outlineLevel="1">
      <c r="B37" s="22" t="n"/>
      <c r="C37" s="137" t="n"/>
      <c r="D37" s="95" t="inlineStr">
        <is>
          <t>Neutra</t>
        </is>
      </c>
      <c r="E37" s="95" t="inlineStr">
        <is>
          <t>Neutra</t>
        </is>
      </c>
      <c r="F37" s="95" t="inlineStr">
        <is>
          <t>Neutra</t>
        </is>
      </c>
      <c r="G37" s="95" t="inlineStr">
        <is>
          <t>Neutra</t>
        </is>
      </c>
      <c r="H37" s="17" t="n"/>
      <c r="I37" s="137" t="n"/>
      <c r="J37" s="95" t="inlineStr">
        <is>
          <t>Neutra</t>
        </is>
      </c>
      <c r="K37" s="95" t="inlineStr">
        <is>
          <t>Neutra</t>
        </is>
      </c>
      <c r="L37" s="95" t="inlineStr">
        <is>
          <t>Neutra</t>
        </is>
      </c>
      <c r="M37" s="95" t="inlineStr">
        <is>
          <t>Neutra</t>
        </is>
      </c>
      <c r="N37" s="17" t="n"/>
      <c r="O37" s="137" t="n"/>
      <c r="P37" s="95" t="inlineStr">
        <is>
          <t>Neutra</t>
        </is>
      </c>
      <c r="Q37" s="95">
        <f>DADOS_AM!$KV$18</f>
        <v/>
      </c>
      <c r="R37" s="16" t="n"/>
      <c r="S37" s="16" t="n"/>
      <c r="T37" s="17" t="n"/>
      <c r="U37" s="137" t="n"/>
    </row>
    <row r="38" outlineLevel="1" ht="18.75" customHeight="1">
      <c r="B38" s="22" t="n"/>
      <c r="C38" s="137" t="n"/>
      <c r="D38" s="101" t="inlineStr">
        <is>
          <t>FAMÍLIAS CUSTOM · CONFIGURAÇÃO</t>
        </is>
      </c>
      <c r="E38" s="16" t="n"/>
      <c r="F38" s="16" t="n"/>
      <c r="G38" s="16" t="n"/>
      <c r="H38" s="16" t="n"/>
      <c r="I38" s="16" t="n"/>
      <c r="J38" s="16" t="n"/>
      <c r="K38" s="16" t="n"/>
      <c r="L38" s="16" t="n"/>
      <c r="M38" s="16" t="n"/>
      <c r="N38" s="16" t="n"/>
      <c r="O38" s="16" t="n"/>
      <c r="P38" s="16" t="n"/>
      <c r="Q38" s="16" t="n"/>
      <c r="R38" s="16" t="n"/>
      <c r="S38" s="16" t="n"/>
      <c r="T38" s="17" t="n"/>
      <c r="U38" s="137" t="n"/>
    </row>
    <row r="39" hidden="1" outlineLevel="2" ht="31.5" customHeight="1">
      <c r="B39" s="22" t="n"/>
      <c r="D39" s="114">
        <f>IF(COUNTIF('DADOS_CRIACAO'!$H$11:$H$20,"?*")=0,"","Escolha Livre, Neutra ou Fechada. Usa os mesmos limites e custos das Famílias do livro.")</f>
        <v/>
      </c>
      <c r="E39" s="16" t="n"/>
      <c r="F39" s="16" t="n"/>
      <c r="G39" s="16" t="n"/>
      <c r="H39" s="16" t="n"/>
      <c r="I39" s="16" t="n"/>
      <c r="J39" s="16" t="n"/>
      <c r="K39" s="16" t="n"/>
      <c r="L39" s="16" t="n"/>
      <c r="M39" s="16" t="n"/>
      <c r="N39" s="16" t="n"/>
      <c r="O39" s="16" t="n"/>
      <c r="P39" s="16" t="n"/>
      <c r="Q39" s="16" t="n"/>
      <c r="R39" s="16" t="n"/>
      <c r="S39" s="16" t="n"/>
      <c r="T39" s="17" t="n"/>
    </row>
    <row r="40" hidden="1" outlineLevel="2" ht="18.75" customHeight="1">
      <c r="B40" s="22" t="n"/>
      <c r="D40" s="115">
        <f>IF(COUNTIF('DADOS_CRIACAO'!$H$11:$H$20,"?*")=0,"","FAMÍLIA")</f>
        <v/>
      </c>
      <c r="E40" s="16" t="n"/>
      <c r="F40" s="16" t="n"/>
      <c r="G40" s="16" t="n"/>
      <c r="H40" s="16" t="n"/>
      <c r="I40" s="16" t="n"/>
      <c r="J40" s="16" t="n"/>
      <c r="K40" s="16" t="n"/>
      <c r="L40" s="16" t="n"/>
      <c r="M40" s="16" t="n"/>
      <c r="N40" s="17" t="n"/>
      <c r="O40" s="115">
        <f>IF(COUNTIF('DADOS_CRIACAO'!$H$11:$H$20,"?*")=0,"","ESTADO")</f>
        <v/>
      </c>
      <c r="P40" s="16" t="n"/>
      <c r="Q40" s="16" t="n"/>
      <c r="R40" s="16" t="n"/>
      <c r="S40" s="16" t="n"/>
      <c r="T40" s="17" t="n"/>
    </row>
    <row r="41" hidden="1" outlineLevel="2" ht="18.75" customHeight="1">
      <c r="B41" s="22" t="n"/>
      <c r="D41" s="116">
        <f>'DADOS_CRIACAO'!$H$11</f>
        <v/>
      </c>
      <c r="E41" s="16" t="n"/>
      <c r="F41" s="16" t="n"/>
      <c r="G41" s="16" t="n"/>
      <c r="H41" s="16" t="n"/>
      <c r="I41" s="16" t="n"/>
      <c r="J41" s="16" t="n"/>
      <c r="K41" s="16" t="n"/>
      <c r="L41" s="16" t="n"/>
      <c r="M41" s="16" t="n"/>
      <c r="N41" s="17" t="n"/>
      <c r="O41" s="116">
        <f>IF(AND(ISTEXT('DADOS_CRIACAO'!$B$2),'DADOS_CRIACAO'!$B$2&lt;&gt;"",TRIM('DADOS_CRIACAO'!$B$2)='DADOS_CRIACAO'!$B$2,COUNTIF('DADOS_CRIACAO'!$B$2:$B$11,SUBSTITUTE(SUBSTITUTE(SUBSTITUTE('DADOS_CRIACAO'!$B$2,"~","~~"),"*","~*"),"?","~?"))=1,COUNTIF('DADOS_CRIACAO'!$H$2:$H$10,SUBSTITUTE(SUBSTITUTE(SUBSTITUTE('DADOS_CRIACAO'!$B$2,"~","~~"),"*","~*"),"?","~?"))=0),"Neutra","")</f>
        <v/>
      </c>
      <c r="P41" s="16" t="n"/>
      <c r="Q41" s="16" t="n"/>
      <c r="R41" s="16" t="n"/>
      <c r="S41" s="16" t="n"/>
      <c r="T41" s="17" t="n"/>
    </row>
    <row r="42" hidden="1" outlineLevel="2" ht="18.75" customHeight="1">
      <c r="B42" s="22" t="n"/>
      <c r="D42" s="116">
        <f>'DADOS_CRIACAO'!$H$12</f>
        <v/>
      </c>
      <c r="E42" s="16" t="n"/>
      <c r="F42" s="16" t="n"/>
      <c r="G42" s="16" t="n"/>
      <c r="H42" s="16" t="n"/>
      <c r="I42" s="16" t="n"/>
      <c r="J42" s="16" t="n"/>
      <c r="K42" s="16" t="n"/>
      <c r="L42" s="16" t="n"/>
      <c r="M42" s="16" t="n"/>
      <c r="N42" s="17" t="n"/>
      <c r="O42" s="116">
        <f>IF(AND(ISTEXT('DADOS_CRIACAO'!$B$3),'DADOS_CRIACAO'!$B$3&lt;&gt;"",TRIM('DADOS_CRIACAO'!$B$3)='DADOS_CRIACAO'!$B$3,COUNTIF('DADOS_CRIACAO'!$B$2:$B$11,SUBSTITUTE(SUBSTITUTE(SUBSTITUTE('DADOS_CRIACAO'!$B$3,"~","~~"),"*","~*"),"?","~?"))=1,COUNTIF('DADOS_CRIACAO'!$H$2:$H$10,SUBSTITUTE(SUBSTITUTE(SUBSTITUTE('DADOS_CRIACAO'!$B$3,"~","~~"),"*","~*"),"?","~?"))=0),"Neutra","")</f>
        <v/>
      </c>
      <c r="P42" s="16" t="n"/>
      <c r="Q42" s="16" t="n"/>
      <c r="R42" s="16" t="n"/>
      <c r="S42" s="16" t="n"/>
      <c r="T42" s="17" t="n"/>
    </row>
    <row r="43" hidden="1" outlineLevel="2" ht="18.75" customHeight="1">
      <c r="B43" s="22" t="n"/>
      <c r="D43" s="116">
        <f>'DADOS_CRIACAO'!$H$13</f>
        <v/>
      </c>
      <c r="E43" s="16" t="n"/>
      <c r="F43" s="16" t="n"/>
      <c r="G43" s="16" t="n"/>
      <c r="H43" s="16" t="n"/>
      <c r="I43" s="16" t="n"/>
      <c r="J43" s="16" t="n"/>
      <c r="K43" s="16" t="n"/>
      <c r="L43" s="16" t="n"/>
      <c r="M43" s="16" t="n"/>
      <c r="N43" s="17" t="n"/>
      <c r="O43" s="116">
        <f>IF(AND(ISTEXT('DADOS_CRIACAO'!$B$4),'DADOS_CRIACAO'!$B$4&lt;&gt;"",TRIM('DADOS_CRIACAO'!$B$4)='DADOS_CRIACAO'!$B$4,COUNTIF('DADOS_CRIACAO'!$B$2:$B$11,SUBSTITUTE(SUBSTITUTE(SUBSTITUTE('DADOS_CRIACAO'!$B$4,"~","~~"),"*","~*"),"?","~?"))=1,COUNTIF('DADOS_CRIACAO'!$H$2:$H$10,SUBSTITUTE(SUBSTITUTE(SUBSTITUTE('DADOS_CRIACAO'!$B$4,"~","~~"),"*","~*"),"?","~?"))=0),"Neutra","")</f>
        <v/>
      </c>
      <c r="P43" s="16" t="n"/>
      <c r="Q43" s="16" t="n"/>
      <c r="R43" s="16" t="n"/>
      <c r="S43" s="16" t="n"/>
      <c r="T43" s="17" t="n"/>
    </row>
    <row r="44" hidden="1" outlineLevel="2" ht="18.75" customHeight="1">
      <c r="B44" s="22" t="n"/>
      <c r="D44" s="116">
        <f>'DADOS_CRIACAO'!$H$14</f>
        <v/>
      </c>
      <c r="E44" s="16" t="n"/>
      <c r="F44" s="16" t="n"/>
      <c r="G44" s="16" t="n"/>
      <c r="H44" s="16" t="n"/>
      <c r="I44" s="16" t="n"/>
      <c r="J44" s="16" t="n"/>
      <c r="K44" s="16" t="n"/>
      <c r="L44" s="16" t="n"/>
      <c r="M44" s="16" t="n"/>
      <c r="N44" s="17" t="n"/>
      <c r="O44" s="116">
        <f>IF(AND(ISTEXT('DADOS_CRIACAO'!$B$5),'DADOS_CRIACAO'!$B$5&lt;&gt;"",TRIM('DADOS_CRIACAO'!$B$5)='DADOS_CRIACAO'!$B$5,COUNTIF('DADOS_CRIACAO'!$B$2:$B$11,SUBSTITUTE(SUBSTITUTE(SUBSTITUTE('DADOS_CRIACAO'!$B$5,"~","~~"),"*","~*"),"?","~?"))=1,COUNTIF('DADOS_CRIACAO'!$H$2:$H$10,SUBSTITUTE(SUBSTITUTE(SUBSTITUTE('DADOS_CRIACAO'!$B$5,"~","~~"),"*","~*"),"?","~?"))=0),"Neutra","")</f>
        <v/>
      </c>
      <c r="P44" s="16" t="n"/>
      <c r="Q44" s="16" t="n"/>
      <c r="R44" s="16" t="n"/>
      <c r="S44" s="16" t="n"/>
      <c r="T44" s="17" t="n"/>
    </row>
    <row r="45" hidden="1" outlineLevel="2" ht="18.75" customHeight="1">
      <c r="B45" s="22" t="n"/>
      <c r="D45" s="116">
        <f>'DADOS_CRIACAO'!$H$15</f>
        <v/>
      </c>
      <c r="E45" s="16" t="n"/>
      <c r="F45" s="16" t="n"/>
      <c r="G45" s="16" t="n"/>
      <c r="H45" s="16" t="n"/>
      <c r="I45" s="16" t="n"/>
      <c r="J45" s="16" t="n"/>
      <c r="K45" s="16" t="n"/>
      <c r="L45" s="16" t="n"/>
      <c r="M45" s="16" t="n"/>
      <c r="N45" s="17" t="n"/>
      <c r="O45" s="116">
        <f>IF(AND(ISTEXT('DADOS_CRIACAO'!$B$6),'DADOS_CRIACAO'!$B$6&lt;&gt;"",TRIM('DADOS_CRIACAO'!$B$6)='DADOS_CRIACAO'!$B$6,COUNTIF('DADOS_CRIACAO'!$B$2:$B$11,SUBSTITUTE(SUBSTITUTE(SUBSTITUTE('DADOS_CRIACAO'!$B$6,"~","~~"),"*","~*"),"?","~?"))=1,COUNTIF('DADOS_CRIACAO'!$H$2:$H$10,SUBSTITUTE(SUBSTITUTE(SUBSTITUTE('DADOS_CRIACAO'!$B$6,"~","~~"),"*","~*"),"?","~?"))=0),"Neutra","")</f>
        <v/>
      </c>
      <c r="P45" s="16" t="n"/>
      <c r="Q45" s="16" t="n"/>
      <c r="R45" s="16" t="n"/>
      <c r="S45" s="16" t="n"/>
      <c r="T45" s="17" t="n"/>
    </row>
    <row r="46" hidden="1" outlineLevel="2" ht="18.75" customHeight="1">
      <c r="B46" s="22" t="n"/>
      <c r="D46" s="116">
        <f>'DADOS_CRIACAO'!$H$16</f>
        <v/>
      </c>
      <c r="E46" s="16" t="n"/>
      <c r="F46" s="16" t="n"/>
      <c r="G46" s="16" t="n"/>
      <c r="H46" s="16" t="n"/>
      <c r="I46" s="16" t="n"/>
      <c r="J46" s="16" t="n"/>
      <c r="K46" s="16" t="n"/>
      <c r="L46" s="16" t="n"/>
      <c r="M46" s="16" t="n"/>
      <c r="N46" s="17" t="n"/>
      <c r="O46" s="116">
        <f>IF(AND(ISTEXT('DADOS_CRIACAO'!$B$7),'DADOS_CRIACAO'!$B$7&lt;&gt;"",TRIM('DADOS_CRIACAO'!$B$7)='DADOS_CRIACAO'!$B$7,COUNTIF('DADOS_CRIACAO'!$B$2:$B$11,SUBSTITUTE(SUBSTITUTE(SUBSTITUTE('DADOS_CRIACAO'!$B$7,"~","~~"),"*","~*"),"?","~?"))=1,COUNTIF('DADOS_CRIACAO'!$H$2:$H$10,SUBSTITUTE(SUBSTITUTE(SUBSTITUTE('DADOS_CRIACAO'!$B$7,"~","~~"),"*","~*"),"?","~?"))=0),"Neutra","")</f>
        <v/>
      </c>
      <c r="P46" s="16" t="n"/>
      <c r="Q46" s="16" t="n"/>
      <c r="R46" s="16" t="n"/>
      <c r="S46" s="16" t="n"/>
      <c r="T46" s="17" t="n"/>
    </row>
    <row r="47" hidden="1" outlineLevel="2" ht="18.75" customHeight="1">
      <c r="B47" s="22" t="n"/>
      <c r="D47" s="116">
        <f>'DADOS_CRIACAO'!$H$17</f>
        <v/>
      </c>
      <c r="E47" s="16" t="n"/>
      <c r="F47" s="16" t="n"/>
      <c r="G47" s="16" t="n"/>
      <c r="H47" s="16" t="n"/>
      <c r="I47" s="16" t="n"/>
      <c r="J47" s="16" t="n"/>
      <c r="K47" s="16" t="n"/>
      <c r="L47" s="16" t="n"/>
      <c r="M47" s="16" t="n"/>
      <c r="N47" s="17" t="n"/>
      <c r="O47" s="116">
        <f>IF(AND(ISTEXT('DADOS_CRIACAO'!$B$8),'DADOS_CRIACAO'!$B$8&lt;&gt;"",TRIM('DADOS_CRIACAO'!$B$8)='DADOS_CRIACAO'!$B$8,COUNTIF('DADOS_CRIACAO'!$B$2:$B$11,SUBSTITUTE(SUBSTITUTE(SUBSTITUTE('DADOS_CRIACAO'!$B$8,"~","~~"),"*","~*"),"?","~?"))=1,COUNTIF('DADOS_CRIACAO'!$H$2:$H$10,SUBSTITUTE(SUBSTITUTE(SUBSTITUTE('DADOS_CRIACAO'!$B$8,"~","~~"),"*","~*"),"?","~?"))=0),"Neutra","")</f>
        <v/>
      </c>
      <c r="P47" s="16" t="n"/>
      <c r="Q47" s="16" t="n"/>
      <c r="R47" s="16" t="n"/>
      <c r="S47" s="16" t="n"/>
      <c r="T47" s="17" t="n"/>
    </row>
    <row r="48" hidden="1" outlineLevel="2" ht="18.75" customHeight="1">
      <c r="B48" s="22" t="n"/>
      <c r="D48" s="116">
        <f>'DADOS_CRIACAO'!$H$18</f>
        <v/>
      </c>
      <c r="E48" s="16" t="n"/>
      <c r="F48" s="16" t="n"/>
      <c r="G48" s="16" t="n"/>
      <c r="H48" s="16" t="n"/>
      <c r="I48" s="16" t="n"/>
      <c r="J48" s="16" t="n"/>
      <c r="K48" s="16" t="n"/>
      <c r="L48" s="16" t="n"/>
      <c r="M48" s="16" t="n"/>
      <c r="N48" s="17" t="n"/>
      <c r="O48" s="116">
        <f>IF(AND(ISTEXT('DADOS_CRIACAO'!$B$9),'DADOS_CRIACAO'!$B$9&lt;&gt;"",TRIM('DADOS_CRIACAO'!$B$9)='DADOS_CRIACAO'!$B$9,COUNTIF('DADOS_CRIACAO'!$B$2:$B$11,SUBSTITUTE(SUBSTITUTE(SUBSTITUTE('DADOS_CRIACAO'!$B$9,"~","~~"),"*","~*"),"?","~?"))=1,COUNTIF('DADOS_CRIACAO'!$H$2:$H$10,SUBSTITUTE(SUBSTITUTE(SUBSTITUTE('DADOS_CRIACAO'!$B$9,"~","~~"),"*","~*"),"?","~?"))=0),"Neutra","")</f>
        <v/>
      </c>
      <c r="P48" s="16" t="n"/>
      <c r="Q48" s="16" t="n"/>
      <c r="R48" s="16" t="n"/>
      <c r="S48" s="16" t="n"/>
      <c r="T48" s="17" t="n"/>
    </row>
    <row r="49" hidden="1" outlineLevel="2" ht="18.75" customHeight="1">
      <c r="B49" s="22" t="n"/>
      <c r="D49" s="116">
        <f>'DADOS_CRIACAO'!$H$19</f>
        <v/>
      </c>
      <c r="E49" s="16" t="n"/>
      <c r="F49" s="16" t="n"/>
      <c r="G49" s="16" t="n"/>
      <c r="H49" s="16" t="n"/>
      <c r="I49" s="16" t="n"/>
      <c r="J49" s="16" t="n"/>
      <c r="K49" s="16" t="n"/>
      <c r="L49" s="16" t="n"/>
      <c r="M49" s="16" t="n"/>
      <c r="N49" s="17" t="n"/>
      <c r="O49" s="116">
        <f>IF(AND(ISTEXT('DADOS_CRIACAO'!$B$10),'DADOS_CRIACAO'!$B$10&lt;&gt;"",TRIM('DADOS_CRIACAO'!$B$10)='DADOS_CRIACAO'!$B$10,COUNTIF('DADOS_CRIACAO'!$B$2:$B$11,SUBSTITUTE(SUBSTITUTE(SUBSTITUTE('DADOS_CRIACAO'!$B$10,"~","~~"),"*","~*"),"?","~?"))=1,COUNTIF('DADOS_CRIACAO'!$H$2:$H$10,SUBSTITUTE(SUBSTITUTE(SUBSTITUTE('DADOS_CRIACAO'!$B$10,"~","~~"),"*","~*"),"?","~?"))=0),"Neutra","")</f>
        <v/>
      </c>
      <c r="P49" s="16" t="n"/>
      <c r="Q49" s="16" t="n"/>
      <c r="R49" s="16" t="n"/>
      <c r="S49" s="16" t="n"/>
      <c r="T49" s="17" t="n"/>
    </row>
    <row r="50" hidden="1" outlineLevel="2" ht="18.75" customHeight="1">
      <c r="B50" s="22" t="n"/>
      <c r="D50" s="116">
        <f>'DADOS_CRIACAO'!$H$20</f>
        <v/>
      </c>
      <c r="E50" s="16" t="n"/>
      <c r="F50" s="16" t="n"/>
      <c r="G50" s="16" t="n"/>
      <c r="H50" s="16" t="n"/>
      <c r="I50" s="16" t="n"/>
      <c r="J50" s="16" t="n"/>
      <c r="K50" s="16" t="n"/>
      <c r="L50" s="16" t="n"/>
      <c r="M50" s="16" t="n"/>
      <c r="N50" s="17" t="n"/>
      <c r="O50" s="116">
        <f>IF(AND(ISTEXT('DADOS_CRIACAO'!$B$11),'DADOS_CRIACAO'!$B$11&lt;&gt;"",TRIM('DADOS_CRIACAO'!$B$11)='DADOS_CRIACAO'!$B$11,COUNTIF('DADOS_CRIACAO'!$B$2:$B$11,SUBSTITUTE(SUBSTITUTE(SUBSTITUTE('DADOS_CRIACAO'!$B$11,"~","~~"),"*","~*"),"?","~?"))=1,COUNTIF('DADOS_CRIACAO'!$H$2:$H$10,SUBSTITUTE(SUBSTITUTE(SUBSTITUTE('DADOS_CRIACAO'!$B$11,"~","~~"),"*","~*"),"?","~?"))=0),"Neutra","")</f>
        <v/>
      </c>
      <c r="P50" s="16" t="n"/>
      <c r="Q50" s="16" t="n"/>
      <c r="R50" s="16" t="n"/>
      <c r="S50" s="16" t="n"/>
      <c r="T50" s="17" t="n"/>
    </row>
    <row r="51" hidden="1" outlineLevel="2" ht="18.75" customHeight="1">
      <c r="B51" s="22" t="n"/>
    </row>
    <row r="52">
      <c r="B52" s="22" t="n"/>
      <c r="C52" s="137" t="n"/>
      <c r="D52" s="55" t="inlineStr">
        <is>
          <t>ORÇAMENTO</t>
        </is>
      </c>
      <c r="E52" s="19" t="n"/>
      <c r="F52" s="19" t="n"/>
      <c r="G52" s="19" t="n"/>
      <c r="H52" s="19" t="n"/>
      <c r="I52" s="19" t="n"/>
      <c r="J52" s="19" t="n"/>
      <c r="K52" s="19" t="n"/>
      <c r="L52" s="19" t="n"/>
      <c r="M52" s="19" t="n"/>
      <c r="N52" s="19" t="n"/>
      <c r="O52" s="19" t="n"/>
      <c r="P52" s="19" t="n"/>
      <c r="Q52" s="19" t="n"/>
      <c r="R52" s="19" t="n"/>
      <c r="S52" s="19" t="n"/>
      <c r="T52" s="20" t="n"/>
      <c r="U52" s="137" t="n"/>
    </row>
    <row r="53">
      <c r="B53" s="22" t="n"/>
      <c r="C53" s="137" t="n"/>
      <c r="D53" s="23" t="n"/>
      <c r="E53" s="24" t="n"/>
      <c r="F53" s="24" t="n"/>
      <c r="G53" s="24" t="n"/>
      <c r="H53" s="24" t="n"/>
      <c r="I53" s="24" t="n"/>
      <c r="J53" s="24" t="n"/>
      <c r="K53" s="24" t="n"/>
      <c r="L53" s="24" t="n"/>
      <c r="M53" s="24" t="n"/>
      <c r="N53" s="24" t="n"/>
      <c r="O53" s="24" t="n"/>
      <c r="P53" s="24" t="n"/>
      <c r="Q53" s="24" t="n"/>
      <c r="R53" s="24" t="n"/>
      <c r="S53" s="24" t="n"/>
      <c r="T53" s="25" t="n"/>
      <c r="U53" s="137" t="n"/>
    </row>
    <row r="54" outlineLevel="1">
      <c r="B54" s="22" t="n"/>
      <c r="C54" s="137" t="n"/>
      <c r="D54" s="56" t="inlineStr">
        <is>
          <t>MAIOR CLASSE</t>
        </is>
      </c>
      <c r="E54" s="17" t="n"/>
      <c r="F54" s="56" t="inlineStr">
        <is>
          <t>ESPAÇOS</t>
        </is>
      </c>
      <c r="G54" s="16" t="n"/>
      <c r="H54" s="17" t="n"/>
      <c r="I54" s="137" t="n"/>
      <c r="J54" s="56" t="inlineStr">
        <is>
          <t>DO LEQUE</t>
        </is>
      </c>
      <c r="K54" s="17" t="n"/>
      <c r="L54" s="56">
        <f>DADOS_AM!$KV$20</f>
        <v/>
      </c>
      <c r="M54" s="16" t="n"/>
      <c r="N54" s="17" t="n"/>
      <c r="O54" s="137" t="n"/>
      <c r="P54" s="56" t="inlineStr">
        <is>
          <t>EM TALENTOS</t>
        </is>
      </c>
      <c r="Q54" s="56" t="inlineStr">
        <is>
          <t>NO DOMÍNIO</t>
        </is>
      </c>
      <c r="R54" s="56" t="inlineStr">
        <is>
          <t>EM INVOCAÇÕES</t>
        </is>
      </c>
      <c r="S54" s="56" t="inlineStr">
        <is>
          <t>LIVRES</t>
        </is>
      </c>
      <c r="T54" s="17" t="n"/>
      <c r="U54" s="137" t="n"/>
    </row>
    <row r="55" outlineLevel="1">
      <c r="B55" s="22" t="n"/>
      <c r="C55" s="137" t="n"/>
      <c r="D55" s="105">
        <f>DADOS_AM!$HM$4</f>
        <v/>
      </c>
      <c r="E55" s="20" t="n"/>
      <c r="F55" s="105">
        <f>DADOS_AM!$HM$13</f>
        <v/>
      </c>
      <c r="G55" s="19" t="n"/>
      <c r="H55" s="20" t="n"/>
      <c r="I55" s="137" t="n"/>
      <c r="J55" s="105">
        <f>DADOS_AM!$KV$19</f>
        <v/>
      </c>
      <c r="K55" s="20" t="n"/>
      <c r="L55" s="105">
        <f>DADOS_AM!$HM$14</f>
        <v/>
      </c>
      <c r="M55" s="19" t="n"/>
      <c r="N55" s="20" t="n"/>
      <c r="O55" s="137" t="n"/>
      <c r="P55" s="105">
        <f>DADOS_AM!$KV$21</f>
        <v/>
      </c>
      <c r="Q55" s="105">
        <f>DADOS_AM!$KV$22</f>
        <v/>
      </c>
      <c r="R55" s="105">
        <f>DADOS_AM!$KV$23</f>
        <v/>
      </c>
      <c r="S55" s="105">
        <f>DADOS_AM!$KV$24</f>
        <v/>
      </c>
      <c r="T55" s="20" t="n"/>
      <c r="U55" s="137" t="n"/>
    </row>
    <row r="56" outlineLevel="1">
      <c r="B56" s="22" t="n"/>
      <c r="C56" s="137" t="n"/>
      <c r="D56" s="23" t="n"/>
      <c r="E56" s="25" t="n"/>
      <c r="F56" s="23" t="n"/>
      <c r="G56" s="24" t="n"/>
      <c r="H56" s="25" t="n"/>
      <c r="I56" s="137" t="n"/>
      <c r="J56" s="23" t="n"/>
      <c r="K56" s="25" t="n"/>
      <c r="L56" s="23" t="n"/>
      <c r="M56" s="24" t="n"/>
      <c r="N56" s="25" t="n"/>
      <c r="O56" s="137" t="n"/>
      <c r="P56" s="128" t="n"/>
      <c r="Q56" s="128" t="n"/>
      <c r="R56" s="128" t="n"/>
      <c r="S56" s="23" t="n"/>
      <c r="T56" s="25" t="n"/>
      <c r="U56" s="137" t="n"/>
    </row>
    <row r="57" outlineLevel="1">
      <c r="B57" s="22" t="n"/>
      <c r="C57" s="137" t="n"/>
      <c r="D57" s="137" t="n"/>
      <c r="E57" s="137" t="n"/>
      <c r="F57" s="137" t="n"/>
      <c r="G57" s="137" t="n"/>
      <c r="H57" s="137" t="n"/>
      <c r="I57" s="137" t="n"/>
      <c r="J57" s="137" t="n"/>
      <c r="K57" s="137" t="n"/>
      <c r="L57" s="137" t="n"/>
      <c r="M57" s="137" t="n"/>
      <c r="N57" s="137" t="n"/>
      <c r="O57" s="137" t="n"/>
      <c r="P57" s="137" t="n"/>
      <c r="Q57" s="137" t="n"/>
      <c r="R57" s="137" t="n"/>
      <c r="S57" s="137" t="n"/>
      <c r="T57" s="137" t="n"/>
      <c r="U57" s="137" t="n"/>
    </row>
    <row r="58" outlineLevel="1">
      <c r="B58" s="22" t="n"/>
      <c r="C58" s="137" t="n"/>
      <c r="D58" s="56" t="inlineStr">
        <is>
          <t>PREÇOS DA</t>
        </is>
      </c>
      <c r="E58" s="56" t="inlineStr">
        <is>
          <t>PONTOS E PE</t>
        </is>
      </c>
      <c r="F58" s="56" t="inlineStr">
        <is>
          <t>LEVE</t>
        </is>
      </c>
      <c r="G58" s="56" t="inlineStr">
        <is>
          <t>MÉDIA</t>
        </is>
      </c>
      <c r="H58" s="17" t="n"/>
      <c r="I58" s="137" t="n"/>
      <c r="J58" s="56" t="inlineStr">
        <is>
          <t>PESADA</t>
        </is>
      </c>
      <c r="K58" s="56" t="inlineStr">
        <is>
          <t>DEVOLUÇÃO MÁX.</t>
        </is>
      </c>
      <c r="L58" s="56" t="inlineStr">
        <is>
          <t>TETO DE DADOS</t>
        </is>
      </c>
      <c r="M58" s="56" t="inlineStr">
        <is>
          <t>MELHORIAS</t>
        </is>
      </c>
      <c r="N58" s="17" t="n"/>
      <c r="O58" s="137" t="n"/>
      <c r="P58" s="56" t="inlineStr">
        <is>
          <t>CLASSE 0</t>
        </is>
      </c>
      <c r="Q58" s="16" t="n"/>
      <c r="R58" s="16" t="n"/>
      <c r="S58" s="16" t="n"/>
      <c r="T58" s="17" t="n"/>
      <c r="U58" s="137" t="n"/>
    </row>
    <row r="59" outlineLevel="1">
      <c r="B59" s="22" t="n"/>
      <c r="C59" s="137" t="n"/>
      <c r="D59" s="140" t="n">
        <v>1</v>
      </c>
      <c r="E59" s="95">
        <f>DADOS_AM!$KV$25</f>
        <v/>
      </c>
      <c r="F59" s="95">
        <f>DADOS_AM!$KV$26</f>
        <v/>
      </c>
      <c r="G59" s="95">
        <f>DADOS_AM!$KV$27</f>
        <v/>
      </c>
      <c r="H59" s="17" t="n"/>
      <c r="I59" s="137" t="n"/>
      <c r="J59" s="95">
        <f>DADOS_AM!$KV$28</f>
        <v/>
      </c>
      <c r="K59" s="95">
        <f>DADOS_AM!$KV$29</f>
        <v/>
      </c>
      <c r="L59" s="95">
        <f>DADOS_AM!$KV$30</f>
        <v/>
      </c>
      <c r="M59" s="95">
        <f>DADOS_AM!$KV$31</f>
        <v/>
      </c>
      <c r="N59" s="17" t="n"/>
      <c r="O59" s="137" t="n"/>
      <c r="P59" s="95">
        <f>DADOS_AM!$KV$32</f>
        <v/>
      </c>
      <c r="Q59" s="16" t="n"/>
      <c r="R59" s="16" t="n"/>
      <c r="S59" s="16" t="n"/>
      <c r="T59" s="17" t="n"/>
      <c r="U59" s="137" t="n"/>
    </row>
    <row r="60">
      <c r="B60" s="22" t="n"/>
      <c r="C60" s="137" t="n"/>
      <c r="D60" s="137" t="n"/>
      <c r="E60" s="137" t="n"/>
      <c r="F60" s="137" t="n"/>
      <c r="G60" s="137" t="n"/>
      <c r="H60" s="137" t="n"/>
      <c r="I60" s="137" t="n"/>
      <c r="J60" s="137" t="n"/>
      <c r="K60" s="137" t="n"/>
      <c r="L60" s="137" t="n"/>
      <c r="M60" s="137" t="n"/>
      <c r="N60" s="137" t="n"/>
      <c r="O60" s="137" t="n"/>
      <c r="P60" s="137" t="n"/>
      <c r="Q60" s="137" t="n"/>
      <c r="R60" s="137" t="n"/>
      <c r="S60" s="137" t="n"/>
      <c r="T60" s="137" t="n"/>
      <c r="U60" s="137" t="n"/>
    </row>
    <row r="61">
      <c r="B61" s="22" t="n"/>
      <c r="C61" s="137" t="n"/>
      <c r="D61" s="55">
        <f>DADOS_AM!$KV$33</f>
        <v/>
      </c>
      <c r="E61" s="19" t="n"/>
      <c r="F61" s="19" t="n"/>
      <c r="G61" s="19" t="n"/>
      <c r="H61" s="19" t="n"/>
      <c r="I61" s="19" t="n"/>
      <c r="J61" s="19" t="n"/>
      <c r="K61" s="19" t="n"/>
      <c r="L61" s="19" t="n"/>
      <c r="M61" s="19" t="n"/>
      <c r="N61" s="19" t="n"/>
      <c r="O61" s="19" t="n"/>
      <c r="P61" s="19" t="n"/>
      <c r="Q61" s="19" t="n"/>
      <c r="R61" s="19" t="n"/>
      <c r="S61" s="19" t="n"/>
      <c r="T61" s="20" t="n"/>
      <c r="U61" s="137" t="n"/>
    </row>
    <row r="62">
      <c r="B62" s="22" t="n"/>
      <c r="C62" s="137" t="n"/>
      <c r="D62" s="23" t="n"/>
      <c r="E62" s="24" t="n"/>
      <c r="F62" s="24" t="n"/>
      <c r="G62" s="24" t="n"/>
      <c r="H62" s="24" t="n"/>
      <c r="I62" s="24" t="n"/>
      <c r="J62" s="24" t="n"/>
      <c r="K62" s="24" t="n"/>
      <c r="L62" s="24" t="n"/>
      <c r="M62" s="24" t="n"/>
      <c r="N62" s="24" t="n"/>
      <c r="O62" s="24" t="n"/>
      <c r="P62" s="24" t="n"/>
      <c r="Q62" s="24" t="n"/>
      <c r="R62" s="24" t="n"/>
      <c r="S62" s="24" t="n"/>
      <c r="T62" s="25" t="n"/>
      <c r="U62" s="137" t="n"/>
    </row>
    <row r="63" outlineLevel="1">
      <c r="B63" s="22" t="n"/>
      <c r="C63" s="137" t="n"/>
      <c r="D63" s="137" t="n"/>
      <c r="E63" s="137" t="n"/>
      <c r="F63" s="137" t="n"/>
      <c r="G63" s="137" t="n"/>
      <c r="H63" s="137" t="n"/>
      <c r="I63" s="137" t="n"/>
      <c r="J63" s="137" t="n"/>
      <c r="K63" s="137" t="n"/>
      <c r="L63" s="137" t="n"/>
      <c r="M63" s="137" t="n"/>
      <c r="N63" s="137" t="n"/>
      <c r="O63" s="137" t="n"/>
      <c r="P63" s="137" t="n"/>
      <c r="Q63" s="137" t="n"/>
      <c r="R63" s="137" t="n"/>
      <c r="S63" s="137" t="n"/>
      <c r="T63" s="137" t="n"/>
      <c r="U63" s="137" t="n"/>
    </row>
    <row r="64" outlineLevel="1">
      <c r="B64" s="22" t="n"/>
      <c r="C64" s="137" t="n"/>
      <c r="D64" s="141" t="n">
        <v>1</v>
      </c>
      <c r="E64" s="131" t="n"/>
      <c r="F64" s="17" t="n"/>
      <c r="G64" s="142">
        <f>DADOS_AM!$GP$2</f>
        <v/>
      </c>
      <c r="H64" s="17" t="n"/>
      <c r="I64" s="137" t="n"/>
      <c r="J64" s="141" t="n">
        <v>1</v>
      </c>
      <c r="K64" s="131" t="n"/>
      <c r="L64" s="17" t="n"/>
      <c r="M64" s="142">
        <f>DADOS_AM!$GP$3</f>
        <v/>
      </c>
      <c r="N64" s="17" t="n"/>
      <c r="O64" s="137" t="n"/>
      <c r="P64" s="141" t="n">
        <v>1</v>
      </c>
      <c r="Q64" s="131" t="n"/>
      <c r="R64" s="17" t="n"/>
      <c r="S64" s="142">
        <f>DADOS_AM!$GP$4</f>
        <v/>
      </c>
      <c r="T64" s="17" t="n"/>
      <c r="U64" s="137" t="n"/>
    </row>
    <row r="65" outlineLevel="2">
      <c r="B65" s="22" t="n"/>
      <c r="C65" s="137" t="n"/>
      <c r="D65" s="56" t="inlineStr">
        <is>
          <t>COMO É</t>
        </is>
      </c>
      <c r="E65" s="16" t="n"/>
      <c r="F65" s="16" t="n"/>
      <c r="G65" s="16" t="n"/>
      <c r="H65" s="17" t="n"/>
      <c r="I65" s="137" t="n"/>
      <c r="J65" s="56" t="inlineStr">
        <is>
          <t>COMO É</t>
        </is>
      </c>
      <c r="K65" s="16" t="n"/>
      <c r="L65" s="16" t="n"/>
      <c r="M65" s="16" t="n"/>
      <c r="N65" s="17" t="n"/>
      <c r="O65" s="137" t="n"/>
      <c r="P65" s="56" t="inlineStr">
        <is>
          <t>COMO É</t>
        </is>
      </c>
      <c r="Q65" s="16" t="n"/>
      <c r="R65" s="16" t="n"/>
      <c r="S65" s="16" t="n"/>
      <c r="T65" s="17" t="n"/>
      <c r="U65" s="137" t="n"/>
    </row>
    <row r="66" outlineLevel="2">
      <c r="B66" s="22" t="n"/>
      <c r="C66" s="137" t="n"/>
      <c r="D66" s="61" t="n"/>
      <c r="E66" s="19" t="n"/>
      <c r="F66" s="19" t="n"/>
      <c r="G66" s="19" t="n"/>
      <c r="H66" s="20" t="n"/>
      <c r="I66" s="137" t="n"/>
      <c r="J66" s="61" t="n"/>
      <c r="K66" s="19" t="n"/>
      <c r="L66" s="19" t="n"/>
      <c r="M66" s="19" t="n"/>
      <c r="N66" s="20" t="n"/>
      <c r="O66" s="137" t="n"/>
      <c r="P66" s="61" t="n"/>
      <c r="Q66" s="19" t="n"/>
      <c r="R66" s="19" t="n"/>
      <c r="S66" s="19" t="n"/>
      <c r="T66" s="20" t="n"/>
      <c r="U66" s="137" t="n"/>
    </row>
    <row r="67" outlineLevel="2">
      <c r="B67" s="22" t="n"/>
      <c r="C67" s="137" t="n"/>
      <c r="D67" s="21" t="n"/>
      <c r="H67" s="22" t="n"/>
      <c r="I67" s="137" t="n"/>
      <c r="J67" s="21" t="n"/>
      <c r="N67" s="22" t="n"/>
      <c r="O67" s="137" t="n"/>
      <c r="P67" s="21" t="n"/>
      <c r="T67" s="22" t="n"/>
      <c r="U67" s="137" t="n"/>
    </row>
    <row r="68" outlineLevel="2">
      <c r="B68" s="22" t="n"/>
      <c r="C68" s="137" t="n"/>
      <c r="D68" s="21" t="n"/>
      <c r="H68" s="22" t="n"/>
      <c r="I68" s="137" t="n"/>
      <c r="J68" s="21" t="n"/>
      <c r="N68" s="22" t="n"/>
      <c r="O68" s="137" t="n"/>
      <c r="P68" s="21" t="n"/>
      <c r="T68" s="22" t="n"/>
      <c r="U68" s="137" t="n"/>
    </row>
    <row r="69" outlineLevel="2">
      <c r="B69" s="22" t="n"/>
      <c r="C69" s="137" t="n"/>
      <c r="D69" s="21" t="n"/>
      <c r="H69" s="22" t="n"/>
      <c r="I69" s="137" t="n"/>
      <c r="J69" s="21" t="n"/>
      <c r="N69" s="22" t="n"/>
      <c r="O69" s="137" t="n"/>
      <c r="P69" s="21" t="n"/>
      <c r="T69" s="22" t="n"/>
      <c r="U69" s="137" t="n"/>
    </row>
    <row r="70" outlineLevel="2">
      <c r="B70" s="22" t="n"/>
      <c r="C70" s="137" t="n"/>
      <c r="D70" s="23" t="n"/>
      <c r="E70" s="24" t="n"/>
      <c r="F70" s="24" t="n"/>
      <c r="G70" s="24" t="n"/>
      <c r="H70" s="25" t="n"/>
      <c r="I70" s="137" t="n"/>
      <c r="J70" s="23" t="n"/>
      <c r="K70" s="24" t="n"/>
      <c r="L70" s="24" t="n"/>
      <c r="M70" s="24" t="n"/>
      <c r="N70" s="25" t="n"/>
      <c r="O70" s="137" t="n"/>
      <c r="P70" s="23" t="n"/>
      <c r="Q70" s="24" t="n"/>
      <c r="R70" s="24" t="n"/>
      <c r="S70" s="24" t="n"/>
      <c r="T70" s="25" t="n"/>
      <c r="U70" s="137" t="n"/>
    </row>
    <row r="71" outlineLevel="1">
      <c r="B71" s="22" t="n"/>
      <c r="C71" s="137" t="n"/>
      <c r="D71" s="95" t="inlineStr">
        <is>
          <t>Projétil</t>
        </is>
      </c>
      <c r="E71" s="71">
        <f>DADOS_AM!$GU$2</f>
        <v/>
      </c>
      <c r="F71" s="71">
        <f>DADOS_AM!$GR$2</f>
        <v/>
      </c>
      <c r="G71" s="95">
        <f>DADOS_AM!$GT$2</f>
        <v/>
      </c>
      <c r="H71" s="17" t="n"/>
      <c r="I71" s="137" t="n"/>
      <c r="J71" s="95" t="inlineStr">
        <is>
          <t>Projétil</t>
        </is>
      </c>
      <c r="K71" s="71">
        <f>DADOS_AM!$GU$3</f>
        <v/>
      </c>
      <c r="L71" s="71">
        <f>DADOS_AM!$GR$3</f>
        <v/>
      </c>
      <c r="M71" s="95">
        <f>DADOS_AM!$GT$3</f>
        <v/>
      </c>
      <c r="N71" s="17" t="n"/>
      <c r="O71" s="137" t="n"/>
      <c r="P71" s="95" t="inlineStr">
        <is>
          <t>Projétil</t>
        </is>
      </c>
      <c r="Q71" s="71">
        <f>DADOS_AM!$GU$4</f>
        <v/>
      </c>
      <c r="R71" s="71">
        <f>DADOS_AM!$GR$4</f>
        <v/>
      </c>
      <c r="S71" s="95">
        <f>DADOS_AM!$GT$4</f>
        <v/>
      </c>
      <c r="T71" s="17" t="n"/>
      <c r="U71" s="137" t="n"/>
    </row>
    <row r="72" outlineLevel="1">
      <c r="B72" s="22" t="n"/>
      <c r="C72" s="137" t="n"/>
      <c r="D72" s="95">
        <f>DADOS_AM!$GS$2</f>
        <v/>
      </c>
      <c r="E72" s="143">
        <f>DADOS_AM!$GZ$2</f>
        <v/>
      </c>
      <c r="F72" s="16" t="n"/>
      <c r="G72" s="16" t="n"/>
      <c r="H72" s="17" t="n"/>
      <c r="I72" s="137" t="n"/>
      <c r="J72" s="95">
        <f>DADOS_AM!$GS$3</f>
        <v/>
      </c>
      <c r="K72" s="143">
        <f>DADOS_AM!$GZ$3</f>
        <v/>
      </c>
      <c r="L72" s="16" t="n"/>
      <c r="M72" s="16" t="n"/>
      <c r="N72" s="17" t="n"/>
      <c r="O72" s="137" t="n"/>
      <c r="P72" s="95">
        <f>DADOS_AM!$GS$4</f>
        <v/>
      </c>
      <c r="Q72" s="143">
        <f>DADOS_AM!$GZ$4</f>
        <v/>
      </c>
      <c r="R72" s="16" t="n"/>
      <c r="S72" s="16" t="n"/>
      <c r="T72" s="17" t="n"/>
      <c r="U72" s="137" t="n"/>
    </row>
    <row r="73" outlineLevel="2">
      <c r="B73" s="22" t="n"/>
      <c r="C73" s="137" t="n"/>
      <c r="D73" s="56" t="inlineStr">
        <is>
          <t>MELHORIAS</t>
        </is>
      </c>
      <c r="E73" s="144" t="n"/>
      <c r="F73" s="17" t="n"/>
      <c r="G73" s="143">
        <f>DADOS_AM!$HC$2</f>
        <v/>
      </c>
      <c r="H73" s="17" t="n"/>
      <c r="I73" s="137" t="n"/>
      <c r="J73" s="56" t="inlineStr">
        <is>
          <t>MELHORIAS</t>
        </is>
      </c>
      <c r="K73" s="144" t="n"/>
      <c r="L73" s="17" t="n"/>
      <c r="M73" s="143">
        <f>DADOS_AM!$HC$3</f>
        <v/>
      </c>
      <c r="N73" s="17" t="n"/>
      <c r="O73" s="137" t="n"/>
      <c r="P73" s="56" t="inlineStr">
        <is>
          <t>MELHORIAS</t>
        </is>
      </c>
      <c r="Q73" s="144" t="n"/>
      <c r="R73" s="17" t="n"/>
      <c r="S73" s="143">
        <f>DADOS_AM!$HC$4</f>
        <v/>
      </c>
      <c r="T73" s="17" t="n"/>
      <c r="U73" s="137" t="n"/>
    </row>
    <row r="74" outlineLevel="2">
      <c r="B74" s="22" t="n"/>
      <c r="C74" s="137" t="n"/>
      <c r="D74" s="66" t="n"/>
      <c r="E74" s="144" t="n"/>
      <c r="F74" s="17" t="n"/>
      <c r="G74" s="143">
        <f>DADOS_AM!$HD$2</f>
        <v/>
      </c>
      <c r="H74" s="17" t="n"/>
      <c r="I74" s="137" t="n"/>
      <c r="J74" s="66" t="n"/>
      <c r="K74" s="144" t="n"/>
      <c r="L74" s="17" t="n"/>
      <c r="M74" s="143">
        <f>DADOS_AM!$HD$3</f>
        <v/>
      </c>
      <c r="N74" s="17" t="n"/>
      <c r="O74" s="137" t="n"/>
      <c r="P74" s="66" t="n"/>
      <c r="Q74" s="144" t="n"/>
      <c r="R74" s="17" t="n"/>
      <c r="S74" s="143">
        <f>DADOS_AM!$HD$4</f>
        <v/>
      </c>
      <c r="T74" s="17" t="n"/>
      <c r="U74" s="137" t="n"/>
    </row>
    <row r="75" outlineLevel="2">
      <c r="B75" s="22" t="n"/>
      <c r="C75" s="137" t="n"/>
      <c r="D75" s="66" t="n"/>
      <c r="E75" s="144" t="n"/>
      <c r="F75" s="17" t="n"/>
      <c r="G75" s="143">
        <f>DADOS_AM!$HE$2</f>
        <v/>
      </c>
      <c r="H75" s="17" t="n"/>
      <c r="I75" s="137" t="n"/>
      <c r="J75" s="66" t="n"/>
      <c r="K75" s="144" t="n"/>
      <c r="L75" s="17" t="n"/>
      <c r="M75" s="143">
        <f>DADOS_AM!$HE$3</f>
        <v/>
      </c>
      <c r="N75" s="17" t="n"/>
      <c r="O75" s="137" t="n"/>
      <c r="P75" s="66" t="n"/>
      <c r="Q75" s="144" t="n"/>
      <c r="R75" s="17" t="n"/>
      <c r="S75" s="143">
        <f>DADOS_AM!$HE$4</f>
        <v/>
      </c>
      <c r="T75" s="17" t="n"/>
      <c r="U75" s="137" t="n"/>
    </row>
    <row r="76" outlineLevel="2">
      <c r="B76" s="22" t="n"/>
      <c r="C76" s="137" t="n"/>
      <c r="D76" s="128" t="n"/>
      <c r="E76" s="144" t="n"/>
      <c r="F76" s="17" t="n"/>
      <c r="G76" s="143">
        <f>DADOS_AM!$HF$2</f>
        <v/>
      </c>
      <c r="H76" s="17" t="n"/>
      <c r="I76" s="137" t="n"/>
      <c r="J76" s="128" t="n"/>
      <c r="K76" s="144" t="n"/>
      <c r="L76" s="17" t="n"/>
      <c r="M76" s="143">
        <f>DADOS_AM!$HF$3</f>
        <v/>
      </c>
      <c r="N76" s="17" t="n"/>
      <c r="O76" s="137" t="n"/>
      <c r="P76" s="128" t="n"/>
      <c r="Q76" s="144" t="n"/>
      <c r="R76" s="17" t="n"/>
      <c r="S76" s="143">
        <f>DADOS_AM!$HF$4</f>
        <v/>
      </c>
      <c r="T76" s="17" t="n"/>
      <c r="U76" s="137" t="n"/>
    </row>
    <row r="77" outlineLevel="2">
      <c r="B77" s="22" t="n"/>
      <c r="C77" s="137" t="n"/>
      <c r="D77" s="56" t="inlineStr">
        <is>
          <t>RESTRIÇÕES</t>
        </is>
      </c>
      <c r="E77" s="144" t="n"/>
      <c r="F77" s="17" t="n"/>
      <c r="G77" s="143">
        <f>DADOS_AM!$HG$2</f>
        <v/>
      </c>
      <c r="H77" s="17" t="n"/>
      <c r="I77" s="137" t="n"/>
      <c r="J77" s="56" t="inlineStr">
        <is>
          <t>RESTRIÇÕES</t>
        </is>
      </c>
      <c r="K77" s="144" t="n"/>
      <c r="L77" s="17" t="n"/>
      <c r="M77" s="143">
        <f>DADOS_AM!$HG$3</f>
        <v/>
      </c>
      <c r="N77" s="17" t="n"/>
      <c r="O77" s="137" t="n"/>
      <c r="P77" s="56" t="inlineStr">
        <is>
          <t>RESTRIÇÕES</t>
        </is>
      </c>
      <c r="Q77" s="144" t="n"/>
      <c r="R77" s="17" t="n"/>
      <c r="S77" s="143">
        <f>DADOS_AM!$HG$4</f>
        <v/>
      </c>
      <c r="T77" s="17" t="n"/>
      <c r="U77" s="137" t="n"/>
    </row>
    <row r="78" outlineLevel="2">
      <c r="B78" s="22" t="n"/>
      <c r="C78" s="137" t="n"/>
      <c r="D78" s="128" t="n"/>
      <c r="E78" s="144" t="n"/>
      <c r="F78" s="17" t="n"/>
      <c r="G78" s="143">
        <f>DADOS_AM!$HH$2</f>
        <v/>
      </c>
      <c r="H78" s="17" t="n"/>
      <c r="I78" s="137" t="n"/>
      <c r="J78" s="128" t="n"/>
      <c r="K78" s="144" t="n"/>
      <c r="L78" s="17" t="n"/>
      <c r="M78" s="143">
        <f>DADOS_AM!$HH$3</f>
        <v/>
      </c>
      <c r="N78" s="17" t="n"/>
      <c r="O78" s="137" t="n"/>
      <c r="P78" s="128" t="n"/>
      <c r="Q78" s="144" t="n"/>
      <c r="R78" s="17" t="n"/>
      <c r="S78" s="143">
        <f>DADOS_AM!$HH$4</f>
        <v/>
      </c>
      <c r="T78" s="17" t="n"/>
      <c r="U78" s="137" t="n"/>
    </row>
    <row r="79" outlineLevel="2">
      <c r="B79" s="22" t="n"/>
      <c r="C79" s="137" t="n"/>
      <c r="D79" s="56" t="inlineStr">
        <is>
          <t>CONTA</t>
        </is>
      </c>
      <c r="E79" s="145">
        <f>DADOS_AM!$HA$2</f>
        <v/>
      </c>
      <c r="F79" s="16" t="n"/>
      <c r="G79" s="16" t="n"/>
      <c r="H79" s="17" t="n"/>
      <c r="I79" s="137" t="n"/>
      <c r="J79" s="56" t="inlineStr">
        <is>
          <t>CONTA</t>
        </is>
      </c>
      <c r="K79" s="145">
        <f>DADOS_AM!$HA$3</f>
        <v/>
      </c>
      <c r="L79" s="16" t="n"/>
      <c r="M79" s="16" t="n"/>
      <c r="N79" s="17" t="n"/>
      <c r="O79" s="137" t="n"/>
      <c r="P79" s="56" t="inlineStr">
        <is>
          <t>CONTA</t>
        </is>
      </c>
      <c r="Q79" s="145">
        <f>DADOS_AM!$HA$4</f>
        <v/>
      </c>
      <c r="R79" s="16" t="n"/>
      <c r="S79" s="16" t="n"/>
      <c r="T79" s="17" t="n"/>
      <c r="U79" s="137" t="n"/>
    </row>
    <row r="80" outlineLevel="2">
      <c r="B80" s="22" t="n"/>
      <c r="C80" s="137" t="n"/>
      <c r="D80" s="56" t="inlineStr">
        <is>
          <t>AMPLIAR</t>
        </is>
      </c>
      <c r="E80" s="145">
        <f>DADOS_AM!$HB$2</f>
        <v/>
      </c>
      <c r="F80" s="19" t="n"/>
      <c r="G80" s="19" t="n"/>
      <c r="H80" s="20" t="n"/>
      <c r="I80" s="137" t="n"/>
      <c r="J80" s="56" t="inlineStr">
        <is>
          <t>AMPLIAR</t>
        </is>
      </c>
      <c r="K80" s="145">
        <f>DADOS_AM!$HB$3</f>
        <v/>
      </c>
      <c r="L80" s="19" t="n"/>
      <c r="M80" s="19" t="n"/>
      <c r="N80" s="20" t="n"/>
      <c r="O80" s="137" t="n"/>
      <c r="P80" s="56" t="inlineStr">
        <is>
          <t>AMPLIAR</t>
        </is>
      </c>
      <c r="Q80" s="145">
        <f>DADOS_AM!$HB$4</f>
        <v/>
      </c>
      <c r="R80" s="19" t="n"/>
      <c r="S80" s="19" t="n"/>
      <c r="T80" s="20" t="n"/>
      <c r="U80" s="137" t="n"/>
    </row>
    <row r="81" outlineLevel="2">
      <c r="A81" s="8" t="n"/>
      <c r="B81" s="14" t="n"/>
      <c r="C81" s="137" t="n"/>
      <c r="D81" s="128" t="n"/>
      <c r="E81" s="23" t="n"/>
      <c r="F81" s="24" t="n"/>
      <c r="G81" s="24" t="n"/>
      <c r="H81" s="25" t="n"/>
      <c r="I81" s="137" t="n"/>
      <c r="J81" s="128" t="n"/>
      <c r="K81" s="23" t="n"/>
      <c r="L81" s="24" t="n"/>
      <c r="M81" s="24" t="n"/>
      <c r="N81" s="25" t="n"/>
      <c r="O81" s="137" t="n"/>
      <c r="P81" s="128" t="n"/>
      <c r="Q81" s="23" t="n"/>
      <c r="R81" s="24" t="n"/>
      <c r="S81" s="24" t="n"/>
      <c r="T81" s="25" t="n"/>
      <c r="U81" s="137" t="n"/>
    </row>
    <row r="82" outlineLevel="2">
      <c r="A82" s="8" t="n"/>
      <c r="B82" s="14" t="n"/>
      <c r="C82" s="137" t="n"/>
      <c r="D82" s="56" t="inlineStr">
        <is>
          <t>AVISOS</t>
        </is>
      </c>
      <c r="E82" s="145">
        <f>DADOS_AM!$GQ$2</f>
        <v/>
      </c>
      <c r="F82" s="19" t="n"/>
      <c r="G82" s="19" t="n"/>
      <c r="H82" s="20" t="n"/>
      <c r="I82" s="137" t="n"/>
      <c r="J82" s="56" t="inlineStr">
        <is>
          <t>AVISOS</t>
        </is>
      </c>
      <c r="K82" s="145">
        <f>DADOS_AM!$GQ$3</f>
        <v/>
      </c>
      <c r="L82" s="19" t="n"/>
      <c r="M82" s="19" t="n"/>
      <c r="N82" s="20" t="n"/>
      <c r="O82" s="137" t="n"/>
      <c r="P82" s="56" t="inlineStr">
        <is>
          <t>AVISOS</t>
        </is>
      </c>
      <c r="Q82" s="145">
        <f>DADOS_AM!$GQ$4</f>
        <v/>
      </c>
      <c r="R82" s="19" t="n"/>
      <c r="S82" s="19" t="n"/>
      <c r="T82" s="20" t="n"/>
      <c r="U82" s="137" t="n"/>
    </row>
    <row r="83" outlineLevel="2">
      <c r="A83" s="8" t="n"/>
      <c r="B83" s="14" t="n"/>
      <c r="C83" s="137" t="n"/>
      <c r="D83" s="128" t="n"/>
      <c r="E83" s="23" t="n"/>
      <c r="F83" s="24" t="n"/>
      <c r="G83" s="24" t="n"/>
      <c r="H83" s="25" t="n"/>
      <c r="I83" s="137" t="n"/>
      <c r="J83" s="128" t="n"/>
      <c r="K83" s="23" t="n"/>
      <c r="L83" s="24" t="n"/>
      <c r="M83" s="24" t="n"/>
      <c r="N83" s="25" t="n"/>
      <c r="O83" s="137" t="n"/>
      <c r="P83" s="128" t="n"/>
      <c r="Q83" s="23" t="n"/>
      <c r="R83" s="24" t="n"/>
      <c r="S83" s="24" t="n"/>
      <c r="T83" s="25" t="n"/>
      <c r="U83" s="137" t="n"/>
    </row>
    <row r="84" outlineLevel="1">
      <c r="A84" s="8" t="n"/>
      <c r="B84" s="14" t="n"/>
      <c r="C84" s="137" t="n"/>
      <c r="D84" s="137" t="n"/>
      <c r="E84" s="137" t="n"/>
      <c r="F84" s="137" t="n"/>
      <c r="G84" s="137" t="n"/>
      <c r="H84" s="137" t="n"/>
      <c r="I84" s="137" t="n"/>
      <c r="J84" s="137" t="n"/>
      <c r="K84" s="137" t="n"/>
      <c r="L84" s="137" t="n"/>
      <c r="M84" s="137" t="n"/>
      <c r="N84" s="137" t="n"/>
      <c r="O84" s="137" t="n"/>
      <c r="P84" s="137" t="n"/>
      <c r="Q84" s="137" t="n"/>
      <c r="R84" s="137" t="n"/>
      <c r="S84" s="137" t="n"/>
      <c r="T84" s="137" t="n"/>
      <c r="U84" s="137" t="n"/>
    </row>
    <row r="85" outlineLevel="1">
      <c r="A85" s="8" t="n"/>
      <c r="B85" s="14" t="n"/>
      <c r="C85" s="137" t="n"/>
      <c r="D85" s="141" t="n">
        <v>1</v>
      </c>
      <c r="E85" s="131" t="n"/>
      <c r="F85" s="17" t="n"/>
      <c r="G85" s="142">
        <f>DADOS_AM!$GP$5</f>
        <v/>
      </c>
      <c r="H85" s="17" t="n"/>
      <c r="I85" s="137" t="n"/>
      <c r="J85" s="141" t="n">
        <v>1</v>
      </c>
      <c r="K85" s="131" t="n"/>
      <c r="L85" s="17" t="n"/>
      <c r="M85" s="142">
        <f>DADOS_AM!$GP$6</f>
        <v/>
      </c>
      <c r="N85" s="17" t="n"/>
      <c r="O85" s="137" t="n"/>
      <c r="P85" s="141" t="n">
        <v>1</v>
      </c>
      <c r="Q85" s="131" t="n"/>
      <c r="R85" s="17" t="n"/>
      <c r="S85" s="142">
        <f>DADOS_AM!$GP$7</f>
        <v/>
      </c>
      <c r="T85" s="17" t="n"/>
      <c r="U85" s="137" t="n"/>
    </row>
    <row r="86" hidden="1" outlineLevel="2">
      <c r="A86" s="8" t="n"/>
      <c r="B86" s="14" t="n"/>
      <c r="C86" s="137" t="n"/>
      <c r="D86" s="56" t="inlineStr">
        <is>
          <t>COMO É</t>
        </is>
      </c>
      <c r="E86" s="16" t="n"/>
      <c r="F86" s="16" t="n"/>
      <c r="G86" s="16" t="n"/>
      <c r="H86" s="17" t="n"/>
      <c r="I86" s="137" t="n"/>
      <c r="J86" s="56" t="inlineStr">
        <is>
          <t>COMO É</t>
        </is>
      </c>
      <c r="K86" s="16" t="n"/>
      <c r="L86" s="16" t="n"/>
      <c r="M86" s="16" t="n"/>
      <c r="N86" s="17" t="n"/>
      <c r="O86" s="137" t="n"/>
      <c r="P86" s="56" t="inlineStr">
        <is>
          <t>COMO É</t>
        </is>
      </c>
      <c r="Q86" s="16" t="n"/>
      <c r="R86" s="16" t="n"/>
      <c r="S86" s="16" t="n"/>
      <c r="T86" s="17" t="n"/>
      <c r="U86" s="137" t="n"/>
    </row>
    <row r="87" hidden="1" outlineLevel="2">
      <c r="A87" s="8" t="n"/>
      <c r="B87" s="14" t="n"/>
      <c r="C87" s="137" t="n"/>
      <c r="D87" s="61" t="n"/>
      <c r="E87" s="19" t="n"/>
      <c r="F87" s="19" t="n"/>
      <c r="G87" s="19" t="n"/>
      <c r="H87" s="20" t="n"/>
      <c r="I87" s="137" t="n"/>
      <c r="J87" s="61" t="n"/>
      <c r="K87" s="19" t="n"/>
      <c r="L87" s="19" t="n"/>
      <c r="M87" s="19" t="n"/>
      <c r="N87" s="20" t="n"/>
      <c r="O87" s="137" t="n"/>
      <c r="P87" s="61" t="n"/>
      <c r="Q87" s="19" t="n"/>
      <c r="R87" s="19" t="n"/>
      <c r="S87" s="19" t="n"/>
      <c r="T87" s="20" t="n"/>
      <c r="U87" s="137" t="n"/>
    </row>
    <row r="88" hidden="1" outlineLevel="2">
      <c r="A88" s="8" t="n"/>
      <c r="B88" s="14" t="n"/>
      <c r="C88" s="137" t="n"/>
      <c r="D88" s="21" t="n"/>
      <c r="H88" s="22" t="n"/>
      <c r="I88" s="137" t="n"/>
      <c r="J88" s="21" t="n"/>
      <c r="N88" s="22" t="n"/>
      <c r="O88" s="137" t="n"/>
      <c r="P88" s="21" t="n"/>
      <c r="T88" s="22" t="n"/>
      <c r="U88" s="137" t="n"/>
    </row>
    <row r="89" hidden="1" outlineLevel="2">
      <c r="A89" s="8" t="n"/>
      <c r="B89" s="14" t="n"/>
      <c r="C89" s="137" t="n"/>
      <c r="D89" s="21" t="n"/>
      <c r="H89" s="22" t="n"/>
      <c r="I89" s="137" t="n"/>
      <c r="J89" s="21" t="n"/>
      <c r="N89" s="22" t="n"/>
      <c r="O89" s="137" t="n"/>
      <c r="P89" s="21" t="n"/>
      <c r="T89" s="22" t="n"/>
      <c r="U89" s="137" t="n"/>
    </row>
    <row r="90" hidden="1" outlineLevel="2">
      <c r="A90" s="8" t="n"/>
      <c r="B90" s="14" t="n"/>
      <c r="C90" s="137" t="n"/>
      <c r="D90" s="21" t="n"/>
      <c r="H90" s="22" t="n"/>
      <c r="I90" s="137" t="n"/>
      <c r="J90" s="21" t="n"/>
      <c r="N90" s="22" t="n"/>
      <c r="O90" s="137" t="n"/>
      <c r="P90" s="21" t="n"/>
      <c r="T90" s="22" t="n"/>
      <c r="U90" s="137" t="n"/>
    </row>
    <row r="91" hidden="1" outlineLevel="2">
      <c r="A91" s="8" t="n"/>
      <c r="B91" s="14" t="n"/>
      <c r="C91" s="137" t="n"/>
      <c r="D91" s="23" t="n"/>
      <c r="E91" s="24" t="n"/>
      <c r="F91" s="24" t="n"/>
      <c r="G91" s="24" t="n"/>
      <c r="H91" s="25" t="n"/>
      <c r="I91" s="137" t="n"/>
      <c r="J91" s="23" t="n"/>
      <c r="K91" s="24" t="n"/>
      <c r="L91" s="24" t="n"/>
      <c r="M91" s="24" t="n"/>
      <c r="N91" s="25" t="n"/>
      <c r="O91" s="137" t="n"/>
      <c r="P91" s="23" t="n"/>
      <c r="Q91" s="24" t="n"/>
      <c r="R91" s="24" t="n"/>
      <c r="S91" s="24" t="n"/>
      <c r="T91" s="25" t="n"/>
      <c r="U91" s="137" t="n"/>
    </row>
    <row r="92" outlineLevel="1">
      <c r="A92" s="8" t="n"/>
      <c r="B92" s="14" t="n"/>
      <c r="C92" s="137" t="n"/>
      <c r="D92" s="95" t="inlineStr">
        <is>
          <t>Projétil</t>
        </is>
      </c>
      <c r="E92" s="71">
        <f>DADOS_AM!$GU$5</f>
        <v/>
      </c>
      <c r="F92" s="71">
        <f>DADOS_AM!$GR$5</f>
        <v/>
      </c>
      <c r="G92" s="95">
        <f>DADOS_AM!$GT$5</f>
        <v/>
      </c>
      <c r="H92" s="17" t="n"/>
      <c r="I92" s="137" t="n"/>
      <c r="J92" s="95" t="inlineStr">
        <is>
          <t>Projétil</t>
        </is>
      </c>
      <c r="K92" s="71">
        <f>DADOS_AM!$GU$6</f>
        <v/>
      </c>
      <c r="L92" s="71">
        <f>DADOS_AM!$GR$6</f>
        <v/>
      </c>
      <c r="M92" s="95">
        <f>DADOS_AM!$GT$6</f>
        <v/>
      </c>
      <c r="N92" s="17" t="n"/>
      <c r="O92" s="137" t="n"/>
      <c r="P92" s="95" t="inlineStr">
        <is>
          <t>Projétil</t>
        </is>
      </c>
      <c r="Q92" s="71">
        <f>DADOS_AM!$GU$7</f>
        <v/>
      </c>
      <c r="R92" s="71">
        <f>DADOS_AM!$GR$7</f>
        <v/>
      </c>
      <c r="S92" s="95">
        <f>DADOS_AM!$GT$7</f>
        <v/>
      </c>
      <c r="T92" s="17" t="n"/>
      <c r="U92" s="137" t="n"/>
    </row>
    <row r="93" outlineLevel="1">
      <c r="A93" s="8" t="n"/>
      <c r="B93" s="14" t="n"/>
      <c r="C93" s="137" t="n"/>
      <c r="D93" s="95">
        <f>DADOS_AM!$GS$5</f>
        <v/>
      </c>
      <c r="E93" s="143">
        <f>DADOS_AM!$GZ$5</f>
        <v/>
      </c>
      <c r="F93" s="16" t="n"/>
      <c r="G93" s="16" t="n"/>
      <c r="H93" s="17" t="n"/>
      <c r="I93" s="137" t="n"/>
      <c r="J93" s="95">
        <f>DADOS_AM!$GS$6</f>
        <v/>
      </c>
      <c r="K93" s="143">
        <f>DADOS_AM!$GZ$6</f>
        <v/>
      </c>
      <c r="L93" s="16" t="n"/>
      <c r="M93" s="16" t="n"/>
      <c r="N93" s="17" t="n"/>
      <c r="O93" s="137" t="n"/>
      <c r="P93" s="95">
        <f>DADOS_AM!$GS$7</f>
        <v/>
      </c>
      <c r="Q93" s="143">
        <f>DADOS_AM!$GZ$7</f>
        <v/>
      </c>
      <c r="R93" s="16" t="n"/>
      <c r="S93" s="16" t="n"/>
      <c r="T93" s="17" t="n"/>
      <c r="U93" s="137" t="n"/>
    </row>
    <row r="94" hidden="1" outlineLevel="2">
      <c r="A94" s="8" t="n"/>
      <c r="B94" s="14" t="n"/>
      <c r="C94" s="137" t="n"/>
      <c r="D94" s="56" t="inlineStr">
        <is>
          <t>MELHORIAS</t>
        </is>
      </c>
      <c r="E94" s="144" t="n"/>
      <c r="F94" s="17" t="n"/>
      <c r="G94" s="143">
        <f>DADOS_AM!$HC$5</f>
        <v/>
      </c>
      <c r="H94" s="17" t="n"/>
      <c r="I94" s="137" t="n"/>
      <c r="J94" s="56" t="inlineStr">
        <is>
          <t>MELHORIAS</t>
        </is>
      </c>
      <c r="K94" s="144" t="n"/>
      <c r="L94" s="17" t="n"/>
      <c r="M94" s="143">
        <f>DADOS_AM!$HC$6</f>
        <v/>
      </c>
      <c r="N94" s="17" t="n"/>
      <c r="O94" s="137" t="n"/>
      <c r="P94" s="56" t="inlineStr">
        <is>
          <t>MELHORIAS</t>
        </is>
      </c>
      <c r="Q94" s="144" t="n"/>
      <c r="R94" s="17" t="n"/>
      <c r="S94" s="143">
        <f>DADOS_AM!$HC$7</f>
        <v/>
      </c>
      <c r="T94" s="17" t="n"/>
      <c r="U94" s="137" t="n"/>
    </row>
    <row r="95" hidden="1" outlineLevel="2">
      <c r="A95" s="8" t="n"/>
      <c r="B95" s="14" t="n"/>
      <c r="C95" s="137" t="n"/>
      <c r="D95" s="66" t="n"/>
      <c r="E95" s="144" t="n"/>
      <c r="F95" s="17" t="n"/>
      <c r="G95" s="143">
        <f>DADOS_AM!$HD$5</f>
        <v/>
      </c>
      <c r="H95" s="17" t="n"/>
      <c r="I95" s="137" t="n"/>
      <c r="J95" s="66" t="n"/>
      <c r="K95" s="144" t="n"/>
      <c r="L95" s="17" t="n"/>
      <c r="M95" s="143">
        <f>DADOS_AM!$HD$6</f>
        <v/>
      </c>
      <c r="N95" s="17" t="n"/>
      <c r="O95" s="137" t="n"/>
      <c r="P95" s="66" t="n"/>
      <c r="Q95" s="144" t="n"/>
      <c r="R95" s="17" t="n"/>
      <c r="S95" s="143">
        <f>DADOS_AM!$HD$7</f>
        <v/>
      </c>
      <c r="T95" s="17" t="n"/>
      <c r="U95" s="137" t="n"/>
    </row>
    <row r="96" hidden="1" outlineLevel="2">
      <c r="A96" s="8" t="n"/>
      <c r="B96" s="14" t="n"/>
      <c r="C96" s="137" t="n"/>
      <c r="D96" s="66" t="n"/>
      <c r="E96" s="144" t="n"/>
      <c r="F96" s="17" t="n"/>
      <c r="G96" s="143">
        <f>DADOS_AM!$HE$5</f>
        <v/>
      </c>
      <c r="H96" s="17" t="n"/>
      <c r="I96" s="137" t="n"/>
      <c r="J96" s="66" t="n"/>
      <c r="K96" s="144" t="n"/>
      <c r="L96" s="17" t="n"/>
      <c r="M96" s="143">
        <f>DADOS_AM!$HE$6</f>
        <v/>
      </c>
      <c r="N96" s="17" t="n"/>
      <c r="O96" s="137" t="n"/>
      <c r="P96" s="66" t="n"/>
      <c r="Q96" s="144" t="n"/>
      <c r="R96" s="17" t="n"/>
      <c r="S96" s="143">
        <f>DADOS_AM!$HE$7</f>
        <v/>
      </c>
      <c r="T96" s="17" t="n"/>
      <c r="U96" s="137" t="n"/>
    </row>
    <row r="97" hidden="1" outlineLevel="2">
      <c r="A97" s="8" t="n"/>
      <c r="B97" s="14" t="n"/>
      <c r="C97" s="137" t="n"/>
      <c r="D97" s="128" t="n"/>
      <c r="E97" s="144" t="n"/>
      <c r="F97" s="17" t="n"/>
      <c r="G97" s="143">
        <f>DADOS_AM!$HF$5</f>
        <v/>
      </c>
      <c r="H97" s="17" t="n"/>
      <c r="I97" s="137" t="n"/>
      <c r="J97" s="128" t="n"/>
      <c r="K97" s="144" t="n"/>
      <c r="L97" s="17" t="n"/>
      <c r="M97" s="143">
        <f>DADOS_AM!$HF$6</f>
        <v/>
      </c>
      <c r="N97" s="17" t="n"/>
      <c r="O97" s="137" t="n"/>
      <c r="P97" s="128" t="n"/>
      <c r="Q97" s="144" t="n"/>
      <c r="R97" s="17" t="n"/>
      <c r="S97" s="143">
        <f>DADOS_AM!$HF$7</f>
        <v/>
      </c>
      <c r="T97" s="17" t="n"/>
      <c r="U97" s="137" t="n"/>
    </row>
    <row r="98" hidden="1" outlineLevel="2">
      <c r="A98" s="8" t="n"/>
      <c r="B98" s="14" t="n"/>
      <c r="C98" s="137" t="n"/>
      <c r="D98" s="56" t="inlineStr">
        <is>
          <t>RESTRIÇÕES</t>
        </is>
      </c>
      <c r="E98" s="144" t="n"/>
      <c r="F98" s="17" t="n"/>
      <c r="G98" s="143">
        <f>DADOS_AM!$HG$5</f>
        <v/>
      </c>
      <c r="H98" s="17" t="n"/>
      <c r="I98" s="137" t="n"/>
      <c r="J98" s="56" t="inlineStr">
        <is>
          <t>RESTRIÇÕES</t>
        </is>
      </c>
      <c r="K98" s="144" t="n"/>
      <c r="L98" s="17" t="n"/>
      <c r="M98" s="143">
        <f>DADOS_AM!$HG$6</f>
        <v/>
      </c>
      <c r="N98" s="17" t="n"/>
      <c r="O98" s="137" t="n"/>
      <c r="P98" s="56" t="inlineStr">
        <is>
          <t>RESTRIÇÕES</t>
        </is>
      </c>
      <c r="Q98" s="144" t="n"/>
      <c r="R98" s="17" t="n"/>
      <c r="S98" s="143">
        <f>DADOS_AM!$HG$7</f>
        <v/>
      </c>
      <c r="T98" s="17" t="n"/>
      <c r="U98" s="137" t="n"/>
    </row>
    <row r="99" hidden="1" outlineLevel="2">
      <c r="A99" s="8" t="n"/>
      <c r="B99" s="14" t="n"/>
      <c r="C99" s="137" t="n"/>
      <c r="D99" s="128" t="n"/>
      <c r="E99" s="144" t="n"/>
      <c r="F99" s="17" t="n"/>
      <c r="G99" s="143">
        <f>DADOS_AM!$HH$5</f>
        <v/>
      </c>
      <c r="H99" s="17" t="n"/>
      <c r="I99" s="137" t="n"/>
      <c r="J99" s="128" t="n"/>
      <c r="K99" s="144" t="n"/>
      <c r="L99" s="17" t="n"/>
      <c r="M99" s="143">
        <f>DADOS_AM!$HH$6</f>
        <v/>
      </c>
      <c r="N99" s="17" t="n"/>
      <c r="O99" s="137" t="n"/>
      <c r="P99" s="128" t="n"/>
      <c r="Q99" s="144" t="n"/>
      <c r="R99" s="17" t="n"/>
      <c r="S99" s="143">
        <f>DADOS_AM!$HH$7</f>
        <v/>
      </c>
      <c r="T99" s="17" t="n"/>
      <c r="U99" s="137" t="n"/>
    </row>
    <row r="100" hidden="1" outlineLevel="2">
      <c r="A100" s="8" t="n"/>
      <c r="B100" s="14" t="n"/>
      <c r="C100" s="137" t="n"/>
      <c r="D100" s="56" t="inlineStr">
        <is>
          <t>CONTA</t>
        </is>
      </c>
      <c r="E100" s="145">
        <f>DADOS_AM!$HA$5</f>
        <v/>
      </c>
      <c r="F100" s="16" t="n"/>
      <c r="G100" s="16" t="n"/>
      <c r="H100" s="17" t="n"/>
      <c r="I100" s="137" t="n"/>
      <c r="J100" s="56" t="inlineStr">
        <is>
          <t>CONTA</t>
        </is>
      </c>
      <c r="K100" s="145">
        <f>DADOS_AM!$HA$6</f>
        <v/>
      </c>
      <c r="L100" s="16" t="n"/>
      <c r="M100" s="16" t="n"/>
      <c r="N100" s="17" t="n"/>
      <c r="O100" s="137" t="n"/>
      <c r="P100" s="56" t="inlineStr">
        <is>
          <t>CONTA</t>
        </is>
      </c>
      <c r="Q100" s="145">
        <f>DADOS_AM!$HA$7</f>
        <v/>
      </c>
      <c r="R100" s="16" t="n"/>
      <c r="S100" s="16" t="n"/>
      <c r="T100" s="17" t="n"/>
      <c r="U100" s="137" t="n"/>
    </row>
    <row r="101" hidden="1" outlineLevel="2">
      <c r="A101" s="8" t="n"/>
      <c r="B101" s="14" t="n"/>
      <c r="C101" s="137" t="n"/>
      <c r="D101" s="56" t="inlineStr">
        <is>
          <t>AMPLIAR</t>
        </is>
      </c>
      <c r="E101" s="145">
        <f>DADOS_AM!$HB$5</f>
        <v/>
      </c>
      <c r="F101" s="19" t="n"/>
      <c r="G101" s="19" t="n"/>
      <c r="H101" s="20" t="n"/>
      <c r="I101" s="137" t="n"/>
      <c r="J101" s="56" t="inlineStr">
        <is>
          <t>AMPLIAR</t>
        </is>
      </c>
      <c r="K101" s="145">
        <f>DADOS_AM!$HB$6</f>
        <v/>
      </c>
      <c r="L101" s="19" t="n"/>
      <c r="M101" s="19" t="n"/>
      <c r="N101" s="20" t="n"/>
      <c r="O101" s="137" t="n"/>
      <c r="P101" s="56" t="inlineStr">
        <is>
          <t>AMPLIAR</t>
        </is>
      </c>
      <c r="Q101" s="145">
        <f>DADOS_AM!$HB$7</f>
        <v/>
      </c>
      <c r="R101" s="19" t="n"/>
      <c r="S101" s="19" t="n"/>
      <c r="T101" s="20" t="n"/>
      <c r="U101" s="137" t="n"/>
    </row>
    <row r="102" hidden="1" outlineLevel="2">
      <c r="A102" s="8" t="n"/>
      <c r="B102" s="14" t="n"/>
      <c r="C102" s="137" t="n"/>
      <c r="D102" s="128" t="n"/>
      <c r="E102" s="23" t="n"/>
      <c r="F102" s="24" t="n"/>
      <c r="G102" s="24" t="n"/>
      <c r="H102" s="25" t="n"/>
      <c r="I102" s="137" t="n"/>
      <c r="J102" s="128" t="n"/>
      <c r="K102" s="23" t="n"/>
      <c r="L102" s="24" t="n"/>
      <c r="M102" s="24" t="n"/>
      <c r="N102" s="25" t="n"/>
      <c r="O102" s="137" t="n"/>
      <c r="P102" s="128" t="n"/>
      <c r="Q102" s="23" t="n"/>
      <c r="R102" s="24" t="n"/>
      <c r="S102" s="24" t="n"/>
      <c r="T102" s="25" t="n"/>
      <c r="U102" s="137" t="n"/>
    </row>
    <row r="103" hidden="1" outlineLevel="2">
      <c r="A103" s="8" t="n"/>
      <c r="B103" s="14" t="n"/>
      <c r="C103" s="137" t="n"/>
      <c r="D103" s="56" t="inlineStr">
        <is>
          <t>AVISOS</t>
        </is>
      </c>
      <c r="E103" s="145">
        <f>DADOS_AM!$GQ$5</f>
        <v/>
      </c>
      <c r="F103" s="19" t="n"/>
      <c r="G103" s="19" t="n"/>
      <c r="H103" s="20" t="n"/>
      <c r="I103" s="137" t="n"/>
      <c r="J103" s="56" t="inlineStr">
        <is>
          <t>AVISOS</t>
        </is>
      </c>
      <c r="K103" s="145">
        <f>DADOS_AM!$GQ$6</f>
        <v/>
      </c>
      <c r="L103" s="19" t="n"/>
      <c r="M103" s="19" t="n"/>
      <c r="N103" s="20" t="n"/>
      <c r="O103" s="137" t="n"/>
      <c r="P103" s="56" t="inlineStr">
        <is>
          <t>AVISOS</t>
        </is>
      </c>
      <c r="Q103" s="145">
        <f>DADOS_AM!$GQ$7</f>
        <v/>
      </c>
      <c r="R103" s="19" t="n"/>
      <c r="S103" s="19" t="n"/>
      <c r="T103" s="20" t="n"/>
      <c r="U103" s="137" t="n"/>
    </row>
    <row r="104" hidden="1" outlineLevel="2">
      <c r="A104" s="8" t="n"/>
      <c r="B104" s="14" t="n"/>
      <c r="C104" s="137" t="n"/>
      <c r="D104" s="128" t="n"/>
      <c r="E104" s="23" t="n"/>
      <c r="F104" s="24" t="n"/>
      <c r="G104" s="24" t="n"/>
      <c r="H104" s="25" t="n"/>
      <c r="I104" s="137" t="n"/>
      <c r="J104" s="128" t="n"/>
      <c r="K104" s="23" t="n"/>
      <c r="L104" s="24" t="n"/>
      <c r="M104" s="24" t="n"/>
      <c r="N104" s="25" t="n"/>
      <c r="O104" s="137" t="n"/>
      <c r="P104" s="128" t="n"/>
      <c r="Q104" s="23" t="n"/>
      <c r="R104" s="24" t="n"/>
      <c r="S104" s="24" t="n"/>
      <c r="T104" s="25" t="n"/>
      <c r="U104" s="137" t="n"/>
    </row>
    <row r="105" outlineLevel="1">
      <c r="A105" s="8" t="n"/>
      <c r="B105" s="14" t="n"/>
      <c r="C105" s="137" t="n"/>
      <c r="D105" s="137" t="n"/>
      <c r="E105" s="137" t="n"/>
      <c r="F105" s="137" t="n"/>
      <c r="G105" s="137" t="n"/>
      <c r="H105" s="137" t="n"/>
      <c r="I105" s="137" t="n"/>
      <c r="J105" s="137" t="n"/>
      <c r="K105" s="137" t="n"/>
      <c r="L105" s="137" t="n"/>
      <c r="M105" s="137" t="n"/>
      <c r="N105" s="137" t="n"/>
      <c r="O105" s="137" t="n"/>
      <c r="P105" s="137" t="n"/>
      <c r="Q105" s="137" t="n"/>
      <c r="R105" s="137" t="n"/>
      <c r="S105" s="137" t="n"/>
      <c r="T105" s="137" t="n"/>
      <c r="U105" s="137" t="n"/>
    </row>
    <row r="106" outlineLevel="1">
      <c r="A106" s="8" t="n"/>
      <c r="B106" s="14" t="n"/>
      <c r="C106" s="137" t="n"/>
      <c r="D106" s="141" t="n">
        <v>1</v>
      </c>
      <c r="E106" s="131" t="n"/>
      <c r="F106" s="17" t="n"/>
      <c r="G106" s="142">
        <f>DADOS_AM!$GP$8</f>
        <v/>
      </c>
      <c r="H106" s="17" t="n"/>
      <c r="I106" s="137" t="n"/>
      <c r="J106" s="141" t="n">
        <v>1</v>
      </c>
      <c r="K106" s="131" t="n"/>
      <c r="L106" s="17" t="n"/>
      <c r="M106" s="142">
        <f>DADOS_AM!$GP$9</f>
        <v/>
      </c>
      <c r="N106" s="17" t="n"/>
      <c r="O106" s="137" t="n"/>
      <c r="P106" s="141" t="n">
        <v>1</v>
      </c>
      <c r="Q106" s="131" t="n"/>
      <c r="R106" s="17" t="n"/>
      <c r="S106" s="142">
        <f>DADOS_AM!$GP$10</f>
        <v/>
      </c>
      <c r="T106" s="17" t="n"/>
      <c r="U106" s="137" t="n"/>
    </row>
    <row r="107" hidden="1" outlineLevel="2">
      <c r="A107" s="8" t="n"/>
      <c r="B107" s="14" t="n"/>
      <c r="C107" s="137" t="n"/>
      <c r="D107" s="56" t="inlineStr">
        <is>
          <t>COMO É</t>
        </is>
      </c>
      <c r="E107" s="16" t="n"/>
      <c r="F107" s="16" t="n"/>
      <c r="G107" s="16" t="n"/>
      <c r="H107" s="17" t="n"/>
      <c r="I107" s="137" t="n"/>
      <c r="J107" s="56" t="inlineStr">
        <is>
          <t>COMO É</t>
        </is>
      </c>
      <c r="K107" s="16" t="n"/>
      <c r="L107" s="16" t="n"/>
      <c r="M107" s="16" t="n"/>
      <c r="N107" s="17" t="n"/>
      <c r="O107" s="137" t="n"/>
      <c r="P107" s="56" t="inlineStr">
        <is>
          <t>COMO É</t>
        </is>
      </c>
      <c r="Q107" s="16" t="n"/>
      <c r="R107" s="16" t="n"/>
      <c r="S107" s="16" t="n"/>
      <c r="T107" s="17" t="n"/>
      <c r="U107" s="137" t="n"/>
    </row>
    <row r="108" hidden="1" outlineLevel="2">
      <c r="A108" s="8" t="n"/>
      <c r="B108" s="14" t="n"/>
      <c r="C108" s="137" t="n"/>
      <c r="D108" s="61" t="n"/>
      <c r="E108" s="19" t="n"/>
      <c r="F108" s="19" t="n"/>
      <c r="G108" s="19" t="n"/>
      <c r="H108" s="20" t="n"/>
      <c r="I108" s="137" t="n"/>
      <c r="J108" s="61" t="n"/>
      <c r="K108" s="19" t="n"/>
      <c r="L108" s="19" t="n"/>
      <c r="M108" s="19" t="n"/>
      <c r="N108" s="20" t="n"/>
      <c r="O108" s="137" t="n"/>
      <c r="P108" s="61" t="n"/>
      <c r="Q108" s="19" t="n"/>
      <c r="R108" s="19" t="n"/>
      <c r="S108" s="19" t="n"/>
      <c r="T108" s="20" t="n"/>
      <c r="U108" s="137" t="n"/>
    </row>
    <row r="109" hidden="1" outlineLevel="2">
      <c r="A109" s="8" t="n"/>
      <c r="B109" s="14" t="n"/>
      <c r="C109" s="137" t="n"/>
      <c r="D109" s="21" t="n"/>
      <c r="H109" s="22" t="n"/>
      <c r="I109" s="137" t="n"/>
      <c r="J109" s="21" t="n"/>
      <c r="N109" s="22" t="n"/>
      <c r="O109" s="137" t="n"/>
      <c r="P109" s="21" t="n"/>
      <c r="T109" s="22" t="n"/>
      <c r="U109" s="137" t="n"/>
    </row>
    <row r="110" hidden="1" outlineLevel="2">
      <c r="A110" s="8" t="n"/>
      <c r="B110" s="14" t="n"/>
      <c r="C110" s="137" t="n"/>
      <c r="D110" s="21" t="n"/>
      <c r="H110" s="22" t="n"/>
      <c r="I110" s="137" t="n"/>
      <c r="J110" s="21" t="n"/>
      <c r="N110" s="22" t="n"/>
      <c r="O110" s="137" t="n"/>
      <c r="P110" s="21" t="n"/>
      <c r="T110" s="22" t="n"/>
      <c r="U110" s="137" t="n"/>
    </row>
    <row r="111" hidden="1" outlineLevel="2">
      <c r="A111" s="8" t="n"/>
      <c r="B111" s="14" t="n"/>
      <c r="C111" s="137" t="n"/>
      <c r="D111" s="21" t="n"/>
      <c r="H111" s="22" t="n"/>
      <c r="I111" s="137" t="n"/>
      <c r="J111" s="21" t="n"/>
      <c r="N111" s="22" t="n"/>
      <c r="O111" s="137" t="n"/>
      <c r="P111" s="21" t="n"/>
      <c r="T111" s="22" t="n"/>
      <c r="U111" s="137" t="n"/>
    </row>
    <row r="112" hidden="1" outlineLevel="2">
      <c r="A112" s="8" t="n"/>
      <c r="B112" s="14" t="n"/>
      <c r="C112" s="137" t="n"/>
      <c r="D112" s="23" t="n"/>
      <c r="E112" s="24" t="n"/>
      <c r="F112" s="24" t="n"/>
      <c r="G112" s="24" t="n"/>
      <c r="H112" s="25" t="n"/>
      <c r="I112" s="137" t="n"/>
      <c r="J112" s="23" t="n"/>
      <c r="K112" s="24" t="n"/>
      <c r="L112" s="24" t="n"/>
      <c r="M112" s="24" t="n"/>
      <c r="N112" s="25" t="n"/>
      <c r="O112" s="137" t="n"/>
      <c r="P112" s="23" t="n"/>
      <c r="Q112" s="24" t="n"/>
      <c r="R112" s="24" t="n"/>
      <c r="S112" s="24" t="n"/>
      <c r="T112" s="25" t="n"/>
      <c r="U112" s="137" t="n"/>
    </row>
    <row r="113" outlineLevel="1">
      <c r="A113" s="8" t="n"/>
      <c r="B113" s="14" t="n"/>
      <c r="C113" s="137" t="n"/>
      <c r="D113" s="95" t="inlineStr">
        <is>
          <t>Projétil</t>
        </is>
      </c>
      <c r="E113" s="71">
        <f>DADOS_AM!$GU$8</f>
        <v/>
      </c>
      <c r="F113" s="71">
        <f>DADOS_AM!$GR$8</f>
        <v/>
      </c>
      <c r="G113" s="95">
        <f>DADOS_AM!$GT$8</f>
        <v/>
      </c>
      <c r="H113" s="17" t="n"/>
      <c r="I113" s="137" t="n"/>
      <c r="J113" s="95" t="inlineStr">
        <is>
          <t>Projétil</t>
        </is>
      </c>
      <c r="K113" s="71">
        <f>DADOS_AM!$GU$9</f>
        <v/>
      </c>
      <c r="L113" s="71">
        <f>DADOS_AM!$GR$9</f>
        <v/>
      </c>
      <c r="M113" s="95">
        <f>DADOS_AM!$GT$9</f>
        <v/>
      </c>
      <c r="N113" s="17" t="n"/>
      <c r="O113" s="137" t="n"/>
      <c r="P113" s="95" t="inlineStr">
        <is>
          <t>Projétil</t>
        </is>
      </c>
      <c r="Q113" s="71">
        <f>DADOS_AM!$GU$10</f>
        <v/>
      </c>
      <c r="R113" s="71">
        <f>DADOS_AM!$GR$10</f>
        <v/>
      </c>
      <c r="S113" s="95">
        <f>DADOS_AM!$GT$10</f>
        <v/>
      </c>
      <c r="T113" s="17" t="n"/>
      <c r="U113" s="137" t="n"/>
    </row>
    <row r="114" outlineLevel="1">
      <c r="A114" s="8" t="n"/>
      <c r="B114" s="14" t="n"/>
      <c r="C114" s="137" t="n"/>
      <c r="D114" s="95">
        <f>DADOS_AM!$GS$8</f>
        <v/>
      </c>
      <c r="E114" s="143">
        <f>DADOS_AM!$GZ$8</f>
        <v/>
      </c>
      <c r="F114" s="16" t="n"/>
      <c r="G114" s="16" t="n"/>
      <c r="H114" s="17" t="n"/>
      <c r="I114" s="137" t="n"/>
      <c r="J114" s="95">
        <f>DADOS_AM!$GS$9</f>
        <v/>
      </c>
      <c r="K114" s="143">
        <f>DADOS_AM!$GZ$9</f>
        <v/>
      </c>
      <c r="L114" s="16" t="n"/>
      <c r="M114" s="16" t="n"/>
      <c r="N114" s="17" t="n"/>
      <c r="O114" s="137" t="n"/>
      <c r="P114" s="95">
        <f>DADOS_AM!$GS$10</f>
        <v/>
      </c>
      <c r="Q114" s="143">
        <f>DADOS_AM!$GZ$10</f>
        <v/>
      </c>
      <c r="R114" s="16" t="n"/>
      <c r="S114" s="16" t="n"/>
      <c r="T114" s="17" t="n"/>
      <c r="U114" s="137" t="n"/>
    </row>
    <row r="115" hidden="1" outlineLevel="2">
      <c r="A115" s="8" t="n"/>
      <c r="B115" s="14" t="n"/>
      <c r="C115" s="137" t="n"/>
      <c r="D115" s="56" t="inlineStr">
        <is>
          <t>MELHORIAS</t>
        </is>
      </c>
      <c r="E115" s="144" t="n"/>
      <c r="F115" s="17" t="n"/>
      <c r="G115" s="143">
        <f>DADOS_AM!$HC$8</f>
        <v/>
      </c>
      <c r="H115" s="17" t="n"/>
      <c r="I115" s="137" t="n"/>
      <c r="J115" s="56" t="inlineStr">
        <is>
          <t>MELHORIAS</t>
        </is>
      </c>
      <c r="K115" s="144" t="n"/>
      <c r="L115" s="17" t="n"/>
      <c r="M115" s="143">
        <f>DADOS_AM!$HC$9</f>
        <v/>
      </c>
      <c r="N115" s="17" t="n"/>
      <c r="O115" s="137" t="n"/>
      <c r="P115" s="56" t="inlineStr">
        <is>
          <t>MELHORIAS</t>
        </is>
      </c>
      <c r="Q115" s="144" t="n"/>
      <c r="R115" s="17" t="n"/>
      <c r="S115" s="143">
        <f>DADOS_AM!$HC$10</f>
        <v/>
      </c>
      <c r="T115" s="17" t="n"/>
      <c r="U115" s="137" t="n"/>
    </row>
    <row r="116" hidden="1" outlineLevel="2">
      <c r="A116" s="8" t="n"/>
      <c r="B116" s="14" t="n"/>
      <c r="C116" s="137" t="n"/>
      <c r="D116" s="66" t="n"/>
      <c r="E116" s="144" t="n"/>
      <c r="F116" s="17" t="n"/>
      <c r="G116" s="143">
        <f>DADOS_AM!$HD$8</f>
        <v/>
      </c>
      <c r="H116" s="17" t="n"/>
      <c r="I116" s="137" t="n"/>
      <c r="J116" s="66" t="n"/>
      <c r="K116" s="144" t="n"/>
      <c r="L116" s="17" t="n"/>
      <c r="M116" s="143">
        <f>DADOS_AM!$HD$9</f>
        <v/>
      </c>
      <c r="N116" s="17" t="n"/>
      <c r="O116" s="137" t="n"/>
      <c r="P116" s="66" t="n"/>
      <c r="Q116" s="144" t="n"/>
      <c r="R116" s="17" t="n"/>
      <c r="S116" s="143">
        <f>DADOS_AM!$HD$10</f>
        <v/>
      </c>
      <c r="T116" s="17" t="n"/>
      <c r="U116" s="137" t="n"/>
    </row>
    <row r="117" hidden="1" outlineLevel="2">
      <c r="A117" s="8" t="n"/>
      <c r="B117" s="14" t="n"/>
      <c r="C117" s="137" t="n"/>
      <c r="D117" s="66" t="n"/>
      <c r="E117" s="144" t="n"/>
      <c r="F117" s="17" t="n"/>
      <c r="G117" s="143">
        <f>DADOS_AM!$HE$8</f>
        <v/>
      </c>
      <c r="H117" s="17" t="n"/>
      <c r="I117" s="137" t="n"/>
      <c r="J117" s="66" t="n"/>
      <c r="K117" s="144" t="n"/>
      <c r="L117" s="17" t="n"/>
      <c r="M117" s="143">
        <f>DADOS_AM!$HE$9</f>
        <v/>
      </c>
      <c r="N117" s="17" t="n"/>
      <c r="O117" s="137" t="n"/>
      <c r="P117" s="66" t="n"/>
      <c r="Q117" s="144" t="n"/>
      <c r="R117" s="17" t="n"/>
      <c r="S117" s="143">
        <f>DADOS_AM!$HE$10</f>
        <v/>
      </c>
      <c r="T117" s="17" t="n"/>
      <c r="U117" s="137" t="n"/>
    </row>
    <row r="118" hidden="1" outlineLevel="2">
      <c r="A118" s="8" t="n"/>
      <c r="B118" s="14" t="n"/>
      <c r="C118" s="137" t="n"/>
      <c r="D118" s="128" t="n"/>
      <c r="E118" s="144" t="n"/>
      <c r="F118" s="17" t="n"/>
      <c r="G118" s="143">
        <f>DADOS_AM!$HF$8</f>
        <v/>
      </c>
      <c r="H118" s="17" t="n"/>
      <c r="I118" s="137" t="n"/>
      <c r="J118" s="128" t="n"/>
      <c r="K118" s="144" t="n"/>
      <c r="L118" s="17" t="n"/>
      <c r="M118" s="143">
        <f>DADOS_AM!$HF$9</f>
        <v/>
      </c>
      <c r="N118" s="17" t="n"/>
      <c r="O118" s="137" t="n"/>
      <c r="P118" s="128" t="n"/>
      <c r="Q118" s="144" t="n"/>
      <c r="R118" s="17" t="n"/>
      <c r="S118" s="143">
        <f>DADOS_AM!$HF$10</f>
        <v/>
      </c>
      <c r="T118" s="17" t="n"/>
      <c r="U118" s="137" t="n"/>
    </row>
    <row r="119" hidden="1" outlineLevel="2">
      <c r="A119" s="8" t="n"/>
      <c r="B119" s="14" t="n"/>
      <c r="C119" s="137" t="n"/>
      <c r="D119" s="56" t="inlineStr">
        <is>
          <t>RESTRIÇÕES</t>
        </is>
      </c>
      <c r="E119" s="144" t="n"/>
      <c r="F119" s="17" t="n"/>
      <c r="G119" s="143">
        <f>DADOS_AM!$HG$8</f>
        <v/>
      </c>
      <c r="H119" s="17" t="n"/>
      <c r="I119" s="137" t="n"/>
      <c r="J119" s="56" t="inlineStr">
        <is>
          <t>RESTRIÇÕES</t>
        </is>
      </c>
      <c r="K119" s="144" t="n"/>
      <c r="L119" s="17" t="n"/>
      <c r="M119" s="143">
        <f>DADOS_AM!$HG$9</f>
        <v/>
      </c>
      <c r="N119" s="17" t="n"/>
      <c r="O119" s="137" t="n"/>
      <c r="P119" s="56" t="inlineStr">
        <is>
          <t>RESTRIÇÕES</t>
        </is>
      </c>
      <c r="Q119" s="144" t="n"/>
      <c r="R119" s="17" t="n"/>
      <c r="S119" s="143">
        <f>DADOS_AM!$HG$10</f>
        <v/>
      </c>
      <c r="T119" s="17" t="n"/>
      <c r="U119" s="137" t="n"/>
    </row>
    <row r="120" hidden="1" outlineLevel="2">
      <c r="A120" s="8" t="n"/>
      <c r="B120" s="14" t="n"/>
      <c r="C120" s="137" t="n"/>
      <c r="D120" s="128" t="n"/>
      <c r="E120" s="144" t="n"/>
      <c r="F120" s="17" t="n"/>
      <c r="G120" s="143">
        <f>DADOS_AM!$HH$8</f>
        <v/>
      </c>
      <c r="H120" s="17" t="n"/>
      <c r="I120" s="137" t="n"/>
      <c r="J120" s="128" t="n"/>
      <c r="K120" s="144" t="n"/>
      <c r="L120" s="17" t="n"/>
      <c r="M120" s="143">
        <f>DADOS_AM!$HH$9</f>
        <v/>
      </c>
      <c r="N120" s="17" t="n"/>
      <c r="O120" s="137" t="n"/>
      <c r="P120" s="128" t="n"/>
      <c r="Q120" s="144" t="n"/>
      <c r="R120" s="17" t="n"/>
      <c r="S120" s="143">
        <f>DADOS_AM!$HH$10</f>
        <v/>
      </c>
      <c r="T120" s="17" t="n"/>
      <c r="U120" s="137" t="n"/>
    </row>
    <row r="121" hidden="1" outlineLevel="2">
      <c r="A121" s="8" t="n"/>
      <c r="B121" s="14" t="n"/>
      <c r="C121" s="137" t="n"/>
      <c r="D121" s="56" t="inlineStr">
        <is>
          <t>CONTA</t>
        </is>
      </c>
      <c r="E121" s="145">
        <f>DADOS_AM!$HA$8</f>
        <v/>
      </c>
      <c r="F121" s="16" t="n"/>
      <c r="G121" s="16" t="n"/>
      <c r="H121" s="17" t="n"/>
      <c r="I121" s="137" t="n"/>
      <c r="J121" s="56" t="inlineStr">
        <is>
          <t>CONTA</t>
        </is>
      </c>
      <c r="K121" s="145">
        <f>DADOS_AM!$HA$9</f>
        <v/>
      </c>
      <c r="L121" s="16" t="n"/>
      <c r="M121" s="16" t="n"/>
      <c r="N121" s="17" t="n"/>
      <c r="O121" s="137" t="n"/>
      <c r="P121" s="56" t="inlineStr">
        <is>
          <t>CONTA</t>
        </is>
      </c>
      <c r="Q121" s="145">
        <f>DADOS_AM!$HA$10</f>
        <v/>
      </c>
      <c r="R121" s="16" t="n"/>
      <c r="S121" s="16" t="n"/>
      <c r="T121" s="17" t="n"/>
      <c r="U121" s="137" t="n"/>
    </row>
    <row r="122" hidden="1" outlineLevel="2">
      <c r="A122" s="8" t="n"/>
      <c r="B122" s="14" t="n"/>
      <c r="C122" s="137" t="n"/>
      <c r="D122" s="56" t="inlineStr">
        <is>
          <t>AMPLIAR</t>
        </is>
      </c>
      <c r="E122" s="145">
        <f>DADOS_AM!$HB$8</f>
        <v/>
      </c>
      <c r="F122" s="19" t="n"/>
      <c r="G122" s="19" t="n"/>
      <c r="H122" s="20" t="n"/>
      <c r="I122" s="137" t="n"/>
      <c r="J122" s="56" t="inlineStr">
        <is>
          <t>AMPLIAR</t>
        </is>
      </c>
      <c r="K122" s="145">
        <f>DADOS_AM!$HB$9</f>
        <v/>
      </c>
      <c r="L122" s="19" t="n"/>
      <c r="M122" s="19" t="n"/>
      <c r="N122" s="20" t="n"/>
      <c r="O122" s="137" t="n"/>
      <c r="P122" s="56" t="inlineStr">
        <is>
          <t>AMPLIAR</t>
        </is>
      </c>
      <c r="Q122" s="145">
        <f>DADOS_AM!$HB$10</f>
        <v/>
      </c>
      <c r="R122" s="19" t="n"/>
      <c r="S122" s="19" t="n"/>
      <c r="T122" s="20" t="n"/>
      <c r="U122" s="137" t="n"/>
    </row>
    <row r="123" hidden="1" outlineLevel="2">
      <c r="A123" s="8" t="n"/>
      <c r="B123" s="14" t="n"/>
      <c r="C123" s="137" t="n"/>
      <c r="D123" s="128" t="n"/>
      <c r="E123" s="23" t="n"/>
      <c r="F123" s="24" t="n"/>
      <c r="G123" s="24" t="n"/>
      <c r="H123" s="25" t="n"/>
      <c r="I123" s="137" t="n"/>
      <c r="J123" s="128" t="n"/>
      <c r="K123" s="23" t="n"/>
      <c r="L123" s="24" t="n"/>
      <c r="M123" s="24" t="n"/>
      <c r="N123" s="25" t="n"/>
      <c r="O123" s="137" t="n"/>
      <c r="P123" s="128" t="n"/>
      <c r="Q123" s="23" t="n"/>
      <c r="R123" s="24" t="n"/>
      <c r="S123" s="24" t="n"/>
      <c r="T123" s="25" t="n"/>
      <c r="U123" s="137" t="n"/>
    </row>
    <row r="124" hidden="1" outlineLevel="2">
      <c r="A124" s="8" t="n"/>
      <c r="B124" s="14" t="n"/>
      <c r="C124" s="137" t="n"/>
      <c r="D124" s="56" t="inlineStr">
        <is>
          <t>AVISOS</t>
        </is>
      </c>
      <c r="E124" s="145">
        <f>DADOS_AM!$GQ$8</f>
        <v/>
      </c>
      <c r="F124" s="19" t="n"/>
      <c r="G124" s="19" t="n"/>
      <c r="H124" s="20" t="n"/>
      <c r="I124" s="137" t="n"/>
      <c r="J124" s="56" t="inlineStr">
        <is>
          <t>AVISOS</t>
        </is>
      </c>
      <c r="K124" s="145">
        <f>DADOS_AM!$GQ$9</f>
        <v/>
      </c>
      <c r="L124" s="19" t="n"/>
      <c r="M124" s="19" t="n"/>
      <c r="N124" s="20" t="n"/>
      <c r="O124" s="137" t="n"/>
      <c r="P124" s="56" t="inlineStr">
        <is>
          <t>AVISOS</t>
        </is>
      </c>
      <c r="Q124" s="145">
        <f>DADOS_AM!$GQ$10</f>
        <v/>
      </c>
      <c r="R124" s="19" t="n"/>
      <c r="S124" s="19" t="n"/>
      <c r="T124" s="20" t="n"/>
      <c r="U124" s="137" t="n"/>
    </row>
    <row r="125" hidden="1" outlineLevel="2">
      <c r="A125" s="8" t="n"/>
      <c r="B125" s="14" t="n"/>
      <c r="C125" s="137" t="n"/>
      <c r="D125" s="128" t="n"/>
      <c r="E125" s="23" t="n"/>
      <c r="F125" s="24" t="n"/>
      <c r="G125" s="24" t="n"/>
      <c r="H125" s="25" t="n"/>
      <c r="I125" s="137" t="n"/>
      <c r="J125" s="128" t="n"/>
      <c r="K125" s="23" t="n"/>
      <c r="L125" s="24" t="n"/>
      <c r="M125" s="24" t="n"/>
      <c r="N125" s="25" t="n"/>
      <c r="O125" s="137" t="n"/>
      <c r="P125" s="128" t="n"/>
      <c r="Q125" s="23" t="n"/>
      <c r="R125" s="24" t="n"/>
      <c r="S125" s="24" t="n"/>
      <c r="T125" s="25" t="n"/>
      <c r="U125" s="137" t="n"/>
    </row>
    <row r="126" outlineLevel="1">
      <c r="A126" s="8" t="n"/>
      <c r="B126" s="14" t="n"/>
      <c r="C126" s="137" t="n"/>
      <c r="D126" s="137" t="n"/>
      <c r="E126" s="137" t="n"/>
      <c r="F126" s="137" t="n"/>
      <c r="G126" s="137" t="n"/>
      <c r="H126" s="137" t="n"/>
      <c r="I126" s="137" t="n"/>
      <c r="J126" s="137" t="n"/>
      <c r="K126" s="137" t="n"/>
      <c r="L126" s="137" t="n"/>
      <c r="M126" s="137" t="n"/>
      <c r="N126" s="137" t="n"/>
      <c r="O126" s="137" t="n"/>
      <c r="P126" s="137" t="n"/>
      <c r="Q126" s="137" t="n"/>
      <c r="R126" s="137" t="n"/>
      <c r="S126" s="137" t="n"/>
      <c r="T126" s="137" t="n"/>
      <c r="U126" s="137" t="n"/>
    </row>
    <row r="127" outlineLevel="1">
      <c r="A127" s="8" t="n"/>
      <c r="B127" s="14" t="n"/>
      <c r="C127" s="137" t="n"/>
      <c r="D127" s="141" t="n">
        <v>1</v>
      </c>
      <c r="E127" s="131" t="n"/>
      <c r="F127" s="17" t="n"/>
      <c r="G127" s="142">
        <f>DADOS_AM!$GP$11</f>
        <v/>
      </c>
      <c r="H127" s="17" t="n"/>
      <c r="I127" s="137" t="n"/>
      <c r="J127" s="141" t="n">
        <v>1</v>
      </c>
      <c r="K127" s="131" t="n"/>
      <c r="L127" s="17" t="n"/>
      <c r="M127" s="142">
        <f>DADOS_AM!$GP$12</f>
        <v/>
      </c>
      <c r="N127" s="17" t="n"/>
      <c r="O127" s="137" t="n"/>
      <c r="P127" s="141" t="n">
        <v>1</v>
      </c>
      <c r="Q127" s="131" t="n"/>
      <c r="R127" s="17" t="n"/>
      <c r="S127" s="142">
        <f>DADOS_AM!$GP$13</f>
        <v/>
      </c>
      <c r="T127" s="17" t="n"/>
      <c r="U127" s="137" t="n"/>
    </row>
    <row r="128" hidden="1" outlineLevel="2">
      <c r="A128" s="8" t="n"/>
      <c r="B128" s="14" t="n"/>
      <c r="C128" s="137" t="n"/>
      <c r="D128" s="56" t="inlineStr">
        <is>
          <t>COMO É</t>
        </is>
      </c>
      <c r="E128" s="16" t="n"/>
      <c r="F128" s="16" t="n"/>
      <c r="G128" s="16" t="n"/>
      <c r="H128" s="17" t="n"/>
      <c r="I128" s="137" t="n"/>
      <c r="J128" s="56" t="inlineStr">
        <is>
          <t>COMO É</t>
        </is>
      </c>
      <c r="K128" s="16" t="n"/>
      <c r="L128" s="16" t="n"/>
      <c r="M128" s="16" t="n"/>
      <c r="N128" s="17" t="n"/>
      <c r="O128" s="137" t="n"/>
      <c r="P128" s="56" t="inlineStr">
        <is>
          <t>COMO É</t>
        </is>
      </c>
      <c r="Q128" s="16" t="n"/>
      <c r="R128" s="16" t="n"/>
      <c r="S128" s="16" t="n"/>
      <c r="T128" s="17" t="n"/>
      <c r="U128" s="137" t="n"/>
    </row>
    <row r="129" hidden="1" outlineLevel="2">
      <c r="A129" s="8" t="n"/>
      <c r="B129" s="14" t="n"/>
      <c r="C129" s="137" t="n"/>
      <c r="D129" s="61" t="n"/>
      <c r="E129" s="19" t="n"/>
      <c r="F129" s="19" t="n"/>
      <c r="G129" s="19" t="n"/>
      <c r="H129" s="20" t="n"/>
      <c r="I129" s="137" t="n"/>
      <c r="J129" s="61" t="n"/>
      <c r="K129" s="19" t="n"/>
      <c r="L129" s="19" t="n"/>
      <c r="M129" s="19" t="n"/>
      <c r="N129" s="20" t="n"/>
      <c r="O129" s="137" t="n"/>
      <c r="P129" s="61" t="n"/>
      <c r="Q129" s="19" t="n"/>
      <c r="R129" s="19" t="n"/>
      <c r="S129" s="19" t="n"/>
      <c r="T129" s="20" t="n"/>
      <c r="U129" s="137" t="n"/>
    </row>
    <row r="130" hidden="1" outlineLevel="2">
      <c r="A130" s="8" t="n"/>
      <c r="B130" s="14" t="n"/>
      <c r="C130" s="137" t="n"/>
      <c r="D130" s="21" t="n"/>
      <c r="H130" s="22" t="n"/>
      <c r="I130" s="137" t="n"/>
      <c r="J130" s="21" t="n"/>
      <c r="N130" s="22" t="n"/>
      <c r="O130" s="137" t="n"/>
      <c r="P130" s="21" t="n"/>
      <c r="T130" s="22" t="n"/>
      <c r="U130" s="137" t="n"/>
    </row>
    <row r="131" hidden="1" outlineLevel="2">
      <c r="A131" s="8" t="n"/>
      <c r="B131" s="14" t="n"/>
      <c r="C131" s="137" t="n"/>
      <c r="D131" s="21" t="n"/>
      <c r="H131" s="22" t="n"/>
      <c r="I131" s="137" t="n"/>
      <c r="J131" s="21" t="n"/>
      <c r="N131" s="22" t="n"/>
      <c r="O131" s="137" t="n"/>
      <c r="P131" s="21" t="n"/>
      <c r="T131" s="22" t="n"/>
      <c r="U131" s="137" t="n"/>
    </row>
    <row r="132" hidden="1" outlineLevel="2">
      <c r="A132" s="8" t="n"/>
      <c r="B132" s="14" t="n"/>
      <c r="C132" s="137" t="n"/>
      <c r="D132" s="21" t="n"/>
      <c r="H132" s="22" t="n"/>
      <c r="I132" s="137" t="n"/>
      <c r="J132" s="21" t="n"/>
      <c r="N132" s="22" t="n"/>
      <c r="O132" s="137" t="n"/>
      <c r="P132" s="21" t="n"/>
      <c r="T132" s="22" t="n"/>
      <c r="U132" s="137" t="n"/>
    </row>
    <row r="133" hidden="1" outlineLevel="2">
      <c r="A133" s="8" t="n"/>
      <c r="B133" s="14" t="n"/>
      <c r="C133" s="137" t="n"/>
      <c r="D133" s="23" t="n"/>
      <c r="E133" s="24" t="n"/>
      <c r="F133" s="24" t="n"/>
      <c r="G133" s="24" t="n"/>
      <c r="H133" s="25" t="n"/>
      <c r="I133" s="137" t="n"/>
      <c r="J133" s="23" t="n"/>
      <c r="K133" s="24" t="n"/>
      <c r="L133" s="24" t="n"/>
      <c r="M133" s="24" t="n"/>
      <c r="N133" s="25" t="n"/>
      <c r="O133" s="137" t="n"/>
      <c r="P133" s="23" t="n"/>
      <c r="Q133" s="24" t="n"/>
      <c r="R133" s="24" t="n"/>
      <c r="S133" s="24" t="n"/>
      <c r="T133" s="25" t="n"/>
      <c r="U133" s="137" t="n"/>
    </row>
    <row r="134" outlineLevel="1">
      <c r="A134" s="8" t="n"/>
      <c r="B134" s="14" t="n"/>
      <c r="C134" s="137" t="n"/>
      <c r="D134" s="95" t="inlineStr">
        <is>
          <t>Projétil</t>
        </is>
      </c>
      <c r="E134" s="71">
        <f>DADOS_AM!$GU$11</f>
        <v/>
      </c>
      <c r="F134" s="71">
        <f>DADOS_AM!$GR$11</f>
        <v/>
      </c>
      <c r="G134" s="95">
        <f>DADOS_AM!$GT$11</f>
        <v/>
      </c>
      <c r="H134" s="17" t="n"/>
      <c r="I134" s="137" t="n"/>
      <c r="J134" s="95" t="inlineStr">
        <is>
          <t>Projétil</t>
        </is>
      </c>
      <c r="K134" s="71">
        <f>DADOS_AM!$GU$12</f>
        <v/>
      </c>
      <c r="L134" s="71">
        <f>DADOS_AM!$GR$12</f>
        <v/>
      </c>
      <c r="M134" s="95">
        <f>DADOS_AM!$GT$12</f>
        <v/>
      </c>
      <c r="N134" s="17" t="n"/>
      <c r="O134" s="137" t="n"/>
      <c r="P134" s="95" t="inlineStr">
        <is>
          <t>Projétil</t>
        </is>
      </c>
      <c r="Q134" s="71">
        <f>DADOS_AM!$GU$13</f>
        <v/>
      </c>
      <c r="R134" s="71">
        <f>DADOS_AM!$GR$13</f>
        <v/>
      </c>
      <c r="S134" s="95">
        <f>DADOS_AM!$GT$13</f>
        <v/>
      </c>
      <c r="T134" s="17" t="n"/>
      <c r="U134" s="137" t="n"/>
    </row>
    <row r="135" outlineLevel="1">
      <c r="A135" s="8" t="n"/>
      <c r="B135" s="14" t="n"/>
      <c r="C135" s="137" t="n"/>
      <c r="D135" s="95">
        <f>DADOS_AM!$GS$11</f>
        <v/>
      </c>
      <c r="E135" s="143">
        <f>DADOS_AM!$GZ$11</f>
        <v/>
      </c>
      <c r="F135" s="16" t="n"/>
      <c r="G135" s="16" t="n"/>
      <c r="H135" s="17" t="n"/>
      <c r="I135" s="137" t="n"/>
      <c r="J135" s="95">
        <f>DADOS_AM!$GS$12</f>
        <v/>
      </c>
      <c r="K135" s="143">
        <f>DADOS_AM!$GZ$12</f>
        <v/>
      </c>
      <c r="L135" s="16" t="n"/>
      <c r="M135" s="16" t="n"/>
      <c r="N135" s="17" t="n"/>
      <c r="O135" s="137" t="n"/>
      <c r="P135" s="95">
        <f>DADOS_AM!$GS$13</f>
        <v/>
      </c>
      <c r="Q135" s="143">
        <f>DADOS_AM!$GZ$13</f>
        <v/>
      </c>
      <c r="R135" s="16" t="n"/>
      <c r="S135" s="16" t="n"/>
      <c r="T135" s="17" t="n"/>
      <c r="U135" s="137" t="n"/>
    </row>
    <row r="136" hidden="1" outlineLevel="2">
      <c r="A136" s="8" t="n"/>
      <c r="B136" s="14" t="n"/>
      <c r="C136" s="137" t="n"/>
      <c r="D136" s="56" t="inlineStr">
        <is>
          <t>MELHORIAS</t>
        </is>
      </c>
      <c r="E136" s="144" t="n"/>
      <c r="F136" s="17" t="n"/>
      <c r="G136" s="143">
        <f>DADOS_AM!$HC$11</f>
        <v/>
      </c>
      <c r="H136" s="17" t="n"/>
      <c r="I136" s="137" t="n"/>
      <c r="J136" s="56" t="inlineStr">
        <is>
          <t>MELHORIAS</t>
        </is>
      </c>
      <c r="K136" s="144" t="n"/>
      <c r="L136" s="17" t="n"/>
      <c r="M136" s="143">
        <f>DADOS_AM!$HC$12</f>
        <v/>
      </c>
      <c r="N136" s="17" t="n"/>
      <c r="O136" s="137" t="n"/>
      <c r="P136" s="56" t="inlineStr">
        <is>
          <t>MELHORIAS</t>
        </is>
      </c>
      <c r="Q136" s="144" t="n"/>
      <c r="R136" s="17" t="n"/>
      <c r="S136" s="143">
        <f>DADOS_AM!$HC$13</f>
        <v/>
      </c>
      <c r="T136" s="17" t="n"/>
      <c r="U136" s="137" t="n"/>
    </row>
    <row r="137" hidden="1" outlineLevel="2">
      <c r="A137" s="8" t="n"/>
      <c r="B137" s="14" t="n"/>
      <c r="C137" s="137" t="n"/>
      <c r="D137" s="66" t="n"/>
      <c r="E137" s="144" t="n"/>
      <c r="F137" s="17" t="n"/>
      <c r="G137" s="143">
        <f>DADOS_AM!$HD$11</f>
        <v/>
      </c>
      <c r="H137" s="17" t="n"/>
      <c r="I137" s="137" t="n"/>
      <c r="J137" s="66" t="n"/>
      <c r="K137" s="144" t="n"/>
      <c r="L137" s="17" t="n"/>
      <c r="M137" s="143">
        <f>DADOS_AM!$HD$12</f>
        <v/>
      </c>
      <c r="N137" s="17" t="n"/>
      <c r="O137" s="137" t="n"/>
      <c r="P137" s="66" t="n"/>
      <c r="Q137" s="144" t="n"/>
      <c r="R137" s="17" t="n"/>
      <c r="S137" s="143">
        <f>DADOS_AM!$HD$13</f>
        <v/>
      </c>
      <c r="T137" s="17" t="n"/>
      <c r="U137" s="137" t="n"/>
    </row>
    <row r="138" hidden="1" outlineLevel="2">
      <c r="A138" s="8" t="n"/>
      <c r="B138" s="14" t="n"/>
      <c r="C138" s="137" t="n"/>
      <c r="D138" s="66" t="n"/>
      <c r="E138" s="144" t="n"/>
      <c r="F138" s="17" t="n"/>
      <c r="G138" s="143">
        <f>DADOS_AM!$HE$11</f>
        <v/>
      </c>
      <c r="H138" s="17" t="n"/>
      <c r="I138" s="137" t="n"/>
      <c r="J138" s="66" t="n"/>
      <c r="K138" s="144" t="n"/>
      <c r="L138" s="17" t="n"/>
      <c r="M138" s="143">
        <f>DADOS_AM!$HE$12</f>
        <v/>
      </c>
      <c r="N138" s="17" t="n"/>
      <c r="O138" s="137" t="n"/>
      <c r="P138" s="66" t="n"/>
      <c r="Q138" s="144" t="n"/>
      <c r="R138" s="17" t="n"/>
      <c r="S138" s="143">
        <f>DADOS_AM!$HE$13</f>
        <v/>
      </c>
      <c r="T138" s="17" t="n"/>
      <c r="U138" s="137" t="n"/>
    </row>
    <row r="139" hidden="1" outlineLevel="2">
      <c r="A139" s="8" t="n"/>
      <c r="B139" s="14" t="n"/>
      <c r="C139" s="137" t="n"/>
      <c r="D139" s="128" t="n"/>
      <c r="E139" s="144" t="n"/>
      <c r="F139" s="17" t="n"/>
      <c r="G139" s="143">
        <f>DADOS_AM!$HF$11</f>
        <v/>
      </c>
      <c r="H139" s="17" t="n"/>
      <c r="I139" s="137" t="n"/>
      <c r="J139" s="128" t="n"/>
      <c r="K139" s="144" t="n"/>
      <c r="L139" s="17" t="n"/>
      <c r="M139" s="143">
        <f>DADOS_AM!$HF$12</f>
        <v/>
      </c>
      <c r="N139" s="17" t="n"/>
      <c r="O139" s="137" t="n"/>
      <c r="P139" s="128" t="n"/>
      <c r="Q139" s="144" t="n"/>
      <c r="R139" s="17" t="n"/>
      <c r="S139" s="143">
        <f>DADOS_AM!$HF$13</f>
        <v/>
      </c>
      <c r="T139" s="17" t="n"/>
      <c r="U139" s="137" t="n"/>
    </row>
    <row r="140" hidden="1" outlineLevel="2">
      <c r="A140" s="8" t="n"/>
      <c r="B140" s="14" t="n"/>
      <c r="C140" s="137" t="n"/>
      <c r="D140" s="56" t="inlineStr">
        <is>
          <t>RESTRIÇÕES</t>
        </is>
      </c>
      <c r="E140" s="144" t="n"/>
      <c r="F140" s="17" t="n"/>
      <c r="G140" s="143">
        <f>DADOS_AM!$HG$11</f>
        <v/>
      </c>
      <c r="H140" s="17" t="n"/>
      <c r="I140" s="137" t="n"/>
      <c r="J140" s="56" t="inlineStr">
        <is>
          <t>RESTRIÇÕES</t>
        </is>
      </c>
      <c r="K140" s="144" t="n"/>
      <c r="L140" s="17" t="n"/>
      <c r="M140" s="143">
        <f>DADOS_AM!$HG$12</f>
        <v/>
      </c>
      <c r="N140" s="17" t="n"/>
      <c r="O140" s="137" t="n"/>
      <c r="P140" s="56" t="inlineStr">
        <is>
          <t>RESTRIÇÕES</t>
        </is>
      </c>
      <c r="Q140" s="144" t="n"/>
      <c r="R140" s="17" t="n"/>
      <c r="S140" s="143">
        <f>DADOS_AM!$HG$13</f>
        <v/>
      </c>
      <c r="T140" s="17" t="n"/>
      <c r="U140" s="137" t="n"/>
    </row>
    <row r="141" hidden="1" outlineLevel="2">
      <c r="A141" s="8" t="n"/>
      <c r="B141" s="14" t="n"/>
      <c r="C141" s="137" t="n"/>
      <c r="D141" s="128" t="n"/>
      <c r="E141" s="144" t="n"/>
      <c r="F141" s="17" t="n"/>
      <c r="G141" s="143">
        <f>DADOS_AM!$HH$11</f>
        <v/>
      </c>
      <c r="H141" s="17" t="n"/>
      <c r="I141" s="137" t="n"/>
      <c r="J141" s="128" t="n"/>
      <c r="K141" s="144" t="n"/>
      <c r="L141" s="17" t="n"/>
      <c r="M141" s="143">
        <f>DADOS_AM!$HH$12</f>
        <v/>
      </c>
      <c r="N141" s="17" t="n"/>
      <c r="O141" s="137" t="n"/>
      <c r="P141" s="128" t="n"/>
      <c r="Q141" s="144" t="n"/>
      <c r="R141" s="17" t="n"/>
      <c r="S141" s="143">
        <f>DADOS_AM!$HH$13</f>
        <v/>
      </c>
      <c r="T141" s="17" t="n"/>
      <c r="U141" s="137" t="n"/>
    </row>
    <row r="142" hidden="1" outlineLevel="2">
      <c r="A142" s="8" t="n"/>
      <c r="B142" s="14" t="n"/>
      <c r="C142" s="137" t="n"/>
      <c r="D142" s="56" t="inlineStr">
        <is>
          <t>CONTA</t>
        </is>
      </c>
      <c r="E142" s="145">
        <f>DADOS_AM!$HA$11</f>
        <v/>
      </c>
      <c r="F142" s="16" t="n"/>
      <c r="G142" s="16" t="n"/>
      <c r="H142" s="17" t="n"/>
      <c r="I142" s="137" t="n"/>
      <c r="J142" s="56" t="inlineStr">
        <is>
          <t>CONTA</t>
        </is>
      </c>
      <c r="K142" s="145">
        <f>DADOS_AM!$HA$12</f>
        <v/>
      </c>
      <c r="L142" s="16" t="n"/>
      <c r="M142" s="16" t="n"/>
      <c r="N142" s="17" t="n"/>
      <c r="O142" s="137" t="n"/>
      <c r="P142" s="56" t="inlineStr">
        <is>
          <t>CONTA</t>
        </is>
      </c>
      <c r="Q142" s="145">
        <f>DADOS_AM!$HA$13</f>
        <v/>
      </c>
      <c r="R142" s="16" t="n"/>
      <c r="S142" s="16" t="n"/>
      <c r="T142" s="17" t="n"/>
      <c r="U142" s="137" t="n"/>
    </row>
    <row r="143" hidden="1" outlineLevel="2">
      <c r="A143" s="8" t="n"/>
      <c r="B143" s="14" t="n"/>
      <c r="C143" s="137" t="n"/>
      <c r="D143" s="56" t="inlineStr">
        <is>
          <t>AMPLIAR</t>
        </is>
      </c>
      <c r="E143" s="145">
        <f>DADOS_AM!$HB$11</f>
        <v/>
      </c>
      <c r="F143" s="19" t="n"/>
      <c r="G143" s="19" t="n"/>
      <c r="H143" s="20" t="n"/>
      <c r="I143" s="137" t="n"/>
      <c r="J143" s="56" t="inlineStr">
        <is>
          <t>AMPLIAR</t>
        </is>
      </c>
      <c r="K143" s="145">
        <f>DADOS_AM!$HB$12</f>
        <v/>
      </c>
      <c r="L143" s="19" t="n"/>
      <c r="M143" s="19" t="n"/>
      <c r="N143" s="20" t="n"/>
      <c r="O143" s="137" t="n"/>
      <c r="P143" s="56" t="inlineStr">
        <is>
          <t>AMPLIAR</t>
        </is>
      </c>
      <c r="Q143" s="145">
        <f>DADOS_AM!$HB$13</f>
        <v/>
      </c>
      <c r="R143" s="19" t="n"/>
      <c r="S143" s="19" t="n"/>
      <c r="T143" s="20" t="n"/>
      <c r="U143" s="137" t="n"/>
    </row>
    <row r="144" hidden="1" outlineLevel="2">
      <c r="A144" s="8" t="n"/>
      <c r="B144" s="14" t="n"/>
      <c r="C144" s="137" t="n"/>
      <c r="D144" s="128" t="n"/>
      <c r="E144" s="23" t="n"/>
      <c r="F144" s="24" t="n"/>
      <c r="G144" s="24" t="n"/>
      <c r="H144" s="25" t="n"/>
      <c r="I144" s="137" t="n"/>
      <c r="J144" s="128" t="n"/>
      <c r="K144" s="23" t="n"/>
      <c r="L144" s="24" t="n"/>
      <c r="M144" s="24" t="n"/>
      <c r="N144" s="25" t="n"/>
      <c r="O144" s="137" t="n"/>
      <c r="P144" s="128" t="n"/>
      <c r="Q144" s="23" t="n"/>
      <c r="R144" s="24" t="n"/>
      <c r="S144" s="24" t="n"/>
      <c r="T144" s="25" t="n"/>
      <c r="U144" s="137" t="n"/>
    </row>
    <row r="145" hidden="1" outlineLevel="2">
      <c r="A145" s="8" t="n"/>
      <c r="B145" s="14" t="n"/>
      <c r="C145" s="137" t="n"/>
      <c r="D145" s="56" t="inlineStr">
        <is>
          <t>AVISOS</t>
        </is>
      </c>
      <c r="E145" s="145">
        <f>DADOS_AM!$GQ$11</f>
        <v/>
      </c>
      <c r="F145" s="19" t="n"/>
      <c r="G145" s="19" t="n"/>
      <c r="H145" s="20" t="n"/>
      <c r="I145" s="137" t="n"/>
      <c r="J145" s="56" t="inlineStr">
        <is>
          <t>AVISOS</t>
        </is>
      </c>
      <c r="K145" s="145">
        <f>DADOS_AM!$GQ$12</f>
        <v/>
      </c>
      <c r="L145" s="19" t="n"/>
      <c r="M145" s="19" t="n"/>
      <c r="N145" s="20" t="n"/>
      <c r="O145" s="137" t="n"/>
      <c r="P145" s="56" t="inlineStr">
        <is>
          <t>AVISOS</t>
        </is>
      </c>
      <c r="Q145" s="145">
        <f>DADOS_AM!$GQ$13</f>
        <v/>
      </c>
      <c r="R145" s="19" t="n"/>
      <c r="S145" s="19" t="n"/>
      <c r="T145" s="20" t="n"/>
      <c r="U145" s="137" t="n"/>
    </row>
    <row r="146" hidden="1" outlineLevel="2">
      <c r="A146" s="8" t="n"/>
      <c r="B146" s="14" t="n"/>
      <c r="C146" s="137" t="n"/>
      <c r="D146" s="128" t="n"/>
      <c r="E146" s="23" t="n"/>
      <c r="F146" s="24" t="n"/>
      <c r="G146" s="24" t="n"/>
      <c r="H146" s="25" t="n"/>
      <c r="I146" s="137" t="n"/>
      <c r="J146" s="128" t="n"/>
      <c r="K146" s="23" t="n"/>
      <c r="L146" s="24" t="n"/>
      <c r="M146" s="24" t="n"/>
      <c r="N146" s="25" t="n"/>
      <c r="O146" s="137" t="n"/>
      <c r="P146" s="128" t="n"/>
      <c r="Q146" s="23" t="n"/>
      <c r="R146" s="24" t="n"/>
      <c r="S146" s="24" t="n"/>
      <c r="T146" s="25" t="n"/>
      <c r="U146" s="137" t="n"/>
    </row>
    <row r="147" outlineLevel="1">
      <c r="A147" s="8" t="n"/>
      <c r="B147" s="14" t="n"/>
      <c r="C147" s="137" t="n"/>
      <c r="D147" s="137" t="n"/>
      <c r="E147" s="137" t="n"/>
      <c r="F147" s="137" t="n"/>
      <c r="G147" s="137" t="n"/>
      <c r="H147" s="137" t="n"/>
      <c r="I147" s="137" t="n"/>
      <c r="J147" s="137" t="n"/>
      <c r="K147" s="137" t="n"/>
      <c r="L147" s="137" t="n"/>
      <c r="M147" s="137" t="n"/>
      <c r="N147" s="137" t="n"/>
      <c r="O147" s="137" t="n"/>
      <c r="P147" s="137" t="n"/>
      <c r="Q147" s="137" t="n"/>
      <c r="R147" s="137" t="n"/>
      <c r="S147" s="137" t="n"/>
      <c r="T147" s="137" t="n"/>
      <c r="U147" s="137" t="n"/>
    </row>
    <row r="148" outlineLevel="1">
      <c r="A148" s="8" t="n"/>
      <c r="B148" s="14" t="n"/>
      <c r="C148" s="137" t="n"/>
      <c r="D148" s="146">
        <f>DADOS_AM!$KV$34</f>
        <v/>
      </c>
      <c r="E148" s="16" t="n"/>
      <c r="F148" s="16" t="n"/>
      <c r="G148" s="16" t="n"/>
      <c r="H148" s="16" t="n"/>
      <c r="I148" s="16" t="n"/>
      <c r="J148" s="16" t="n"/>
      <c r="K148" s="16" t="n"/>
      <c r="L148" s="16" t="n"/>
      <c r="M148" s="16" t="n"/>
      <c r="N148" s="16" t="n"/>
      <c r="O148" s="16" t="n"/>
      <c r="P148" s="16" t="n"/>
      <c r="Q148" s="16" t="n"/>
      <c r="R148" s="16" t="n"/>
      <c r="S148" s="16" t="n"/>
      <c r="T148" s="17" t="n"/>
      <c r="U148" s="137" t="n"/>
    </row>
    <row r="149" hidden="1" outlineLevel="2">
      <c r="A149" s="8" t="n"/>
      <c r="B149" s="14" t="n"/>
      <c r="C149" s="137" t="n"/>
      <c r="D149" s="137" t="n"/>
      <c r="E149" s="137" t="n"/>
      <c r="F149" s="137" t="n"/>
      <c r="G149" s="137" t="n"/>
      <c r="H149" s="137" t="n"/>
      <c r="I149" s="137" t="n"/>
      <c r="J149" s="137" t="n"/>
      <c r="K149" s="137" t="n"/>
      <c r="L149" s="137" t="n"/>
      <c r="M149" s="137" t="n"/>
      <c r="N149" s="137" t="n"/>
      <c r="O149" s="137" t="n"/>
      <c r="P149" s="137" t="n"/>
      <c r="Q149" s="137" t="n"/>
      <c r="R149" s="137" t="n"/>
      <c r="S149" s="137" t="n"/>
      <c r="T149" s="137" t="n"/>
      <c r="U149" s="137" t="n"/>
    </row>
    <row r="150" hidden="1" outlineLevel="2">
      <c r="A150" s="8" t="n"/>
      <c r="B150" s="14" t="n"/>
      <c r="C150" s="137" t="n"/>
      <c r="D150" s="141" t="n">
        <v>1</v>
      </c>
      <c r="E150" s="131" t="n"/>
      <c r="F150" s="17" t="n"/>
      <c r="G150" s="142">
        <f>DADOS_AM!$GP$14</f>
        <v/>
      </c>
      <c r="H150" s="17" t="n"/>
      <c r="I150" s="137" t="n"/>
      <c r="J150" s="141" t="n">
        <v>1</v>
      </c>
      <c r="K150" s="131" t="n"/>
      <c r="L150" s="17" t="n"/>
      <c r="M150" s="142">
        <f>DADOS_AM!$GP$15</f>
        <v/>
      </c>
      <c r="N150" s="17" t="n"/>
      <c r="O150" s="137" t="n"/>
      <c r="P150" s="141" t="n">
        <v>1</v>
      </c>
      <c r="Q150" s="131" t="n"/>
      <c r="R150" s="17" t="n"/>
      <c r="S150" s="142">
        <f>DADOS_AM!$GP$16</f>
        <v/>
      </c>
      <c r="T150" s="17" t="n"/>
      <c r="U150" s="137" t="n"/>
    </row>
    <row r="151" hidden="1" outlineLevel="3">
      <c r="A151" s="8" t="n"/>
      <c r="B151" s="14" t="n"/>
      <c r="C151" s="137" t="n"/>
      <c r="D151" s="56" t="inlineStr">
        <is>
          <t>COMO É</t>
        </is>
      </c>
      <c r="E151" s="16" t="n"/>
      <c r="F151" s="16" t="n"/>
      <c r="G151" s="16" t="n"/>
      <c r="H151" s="17" t="n"/>
      <c r="I151" s="137" t="n"/>
      <c r="J151" s="56" t="inlineStr">
        <is>
          <t>COMO É</t>
        </is>
      </c>
      <c r="K151" s="16" t="n"/>
      <c r="L151" s="16" t="n"/>
      <c r="M151" s="16" t="n"/>
      <c r="N151" s="17" t="n"/>
      <c r="O151" s="137" t="n"/>
      <c r="P151" s="56" t="inlineStr">
        <is>
          <t>COMO É</t>
        </is>
      </c>
      <c r="Q151" s="16" t="n"/>
      <c r="R151" s="16" t="n"/>
      <c r="S151" s="16" t="n"/>
      <c r="T151" s="17" t="n"/>
      <c r="U151" s="137" t="n"/>
    </row>
    <row r="152" hidden="1" outlineLevel="3">
      <c r="A152" s="8" t="n"/>
      <c r="B152" s="14" t="n"/>
      <c r="C152" s="137" t="n"/>
      <c r="D152" s="61" t="n"/>
      <c r="E152" s="19" t="n"/>
      <c r="F152" s="19" t="n"/>
      <c r="G152" s="19" t="n"/>
      <c r="H152" s="20" t="n"/>
      <c r="I152" s="137" t="n"/>
      <c r="J152" s="61" t="n"/>
      <c r="K152" s="19" t="n"/>
      <c r="L152" s="19" t="n"/>
      <c r="M152" s="19" t="n"/>
      <c r="N152" s="20" t="n"/>
      <c r="O152" s="137" t="n"/>
      <c r="P152" s="61" t="n"/>
      <c r="Q152" s="19" t="n"/>
      <c r="R152" s="19" t="n"/>
      <c r="S152" s="19" t="n"/>
      <c r="T152" s="20" t="n"/>
      <c r="U152" s="137" t="n"/>
    </row>
    <row r="153" hidden="1" outlineLevel="3">
      <c r="A153" s="8" t="n"/>
      <c r="B153" s="14" t="n"/>
      <c r="C153" s="137" t="n"/>
      <c r="D153" s="21" t="n"/>
      <c r="H153" s="22" t="n"/>
      <c r="I153" s="137" t="n"/>
      <c r="J153" s="21" t="n"/>
      <c r="N153" s="22" t="n"/>
      <c r="O153" s="137" t="n"/>
      <c r="P153" s="21" t="n"/>
      <c r="T153" s="22" t="n"/>
      <c r="U153" s="137" t="n"/>
    </row>
    <row r="154" hidden="1" outlineLevel="3">
      <c r="A154" s="8" t="n"/>
      <c r="B154" s="14" t="n"/>
      <c r="C154" s="137" t="n"/>
      <c r="D154" s="21" t="n"/>
      <c r="H154" s="22" t="n"/>
      <c r="I154" s="137" t="n"/>
      <c r="J154" s="21" t="n"/>
      <c r="N154" s="22" t="n"/>
      <c r="O154" s="137" t="n"/>
      <c r="P154" s="21" t="n"/>
      <c r="T154" s="22" t="n"/>
      <c r="U154" s="137" t="n"/>
    </row>
    <row r="155" hidden="1" outlineLevel="3">
      <c r="A155" s="8" t="n"/>
      <c r="B155" s="14" t="n"/>
      <c r="C155" s="137" t="n"/>
      <c r="D155" s="21" t="n"/>
      <c r="H155" s="22" t="n"/>
      <c r="I155" s="137" t="n"/>
      <c r="J155" s="21" t="n"/>
      <c r="N155" s="22" t="n"/>
      <c r="O155" s="137" t="n"/>
      <c r="P155" s="21" t="n"/>
      <c r="T155" s="22" t="n"/>
      <c r="U155" s="137" t="n"/>
    </row>
    <row r="156" hidden="1" outlineLevel="3">
      <c r="A156" s="8" t="n"/>
      <c r="B156" s="14" t="n"/>
      <c r="C156" s="137" t="n"/>
      <c r="D156" s="23" t="n"/>
      <c r="E156" s="24" t="n"/>
      <c r="F156" s="24" t="n"/>
      <c r="G156" s="24" t="n"/>
      <c r="H156" s="25" t="n"/>
      <c r="I156" s="137" t="n"/>
      <c r="J156" s="23" t="n"/>
      <c r="K156" s="24" t="n"/>
      <c r="L156" s="24" t="n"/>
      <c r="M156" s="24" t="n"/>
      <c r="N156" s="25" t="n"/>
      <c r="O156" s="137" t="n"/>
      <c r="P156" s="23" t="n"/>
      <c r="Q156" s="24" t="n"/>
      <c r="R156" s="24" t="n"/>
      <c r="S156" s="24" t="n"/>
      <c r="T156" s="25" t="n"/>
      <c r="U156" s="137" t="n"/>
    </row>
    <row r="157" hidden="1" outlineLevel="2">
      <c r="A157" s="8" t="n"/>
      <c r="B157" s="14" t="n"/>
      <c r="C157" s="137" t="n"/>
      <c r="D157" s="95" t="inlineStr">
        <is>
          <t>Projétil</t>
        </is>
      </c>
      <c r="E157" s="71">
        <f>DADOS_AM!$GU$14</f>
        <v/>
      </c>
      <c r="F157" s="71">
        <f>DADOS_AM!$GR$14</f>
        <v/>
      </c>
      <c r="G157" s="95">
        <f>DADOS_AM!$GT$14</f>
        <v/>
      </c>
      <c r="H157" s="17" t="n"/>
      <c r="I157" s="137" t="n"/>
      <c r="J157" s="95" t="inlineStr">
        <is>
          <t>Projétil</t>
        </is>
      </c>
      <c r="K157" s="71">
        <f>DADOS_AM!$GU$15</f>
        <v/>
      </c>
      <c r="L157" s="71">
        <f>DADOS_AM!$GR$15</f>
        <v/>
      </c>
      <c r="M157" s="95">
        <f>DADOS_AM!$GT$15</f>
        <v/>
      </c>
      <c r="N157" s="17" t="n"/>
      <c r="O157" s="137" t="n"/>
      <c r="P157" s="95" t="inlineStr">
        <is>
          <t>Projétil</t>
        </is>
      </c>
      <c r="Q157" s="71">
        <f>DADOS_AM!$GU$16</f>
        <v/>
      </c>
      <c r="R157" s="71">
        <f>DADOS_AM!$GR$16</f>
        <v/>
      </c>
      <c r="S157" s="95">
        <f>DADOS_AM!$GT$16</f>
        <v/>
      </c>
      <c r="T157" s="17" t="n"/>
      <c r="U157" s="137" t="n"/>
    </row>
    <row r="158" hidden="1" outlineLevel="2">
      <c r="A158" s="8" t="n"/>
      <c r="B158" s="14" t="n"/>
      <c r="C158" s="137" t="n"/>
      <c r="D158" s="95">
        <f>DADOS_AM!$GS$14</f>
        <v/>
      </c>
      <c r="E158" s="143">
        <f>DADOS_AM!$GZ$14</f>
        <v/>
      </c>
      <c r="F158" s="16" t="n"/>
      <c r="G158" s="16" t="n"/>
      <c r="H158" s="17" t="n"/>
      <c r="I158" s="137" t="n"/>
      <c r="J158" s="95">
        <f>DADOS_AM!$GS$15</f>
        <v/>
      </c>
      <c r="K158" s="143">
        <f>DADOS_AM!$GZ$15</f>
        <v/>
      </c>
      <c r="L158" s="16" t="n"/>
      <c r="M158" s="16" t="n"/>
      <c r="N158" s="17" t="n"/>
      <c r="O158" s="137" t="n"/>
      <c r="P158" s="95">
        <f>DADOS_AM!$GS$16</f>
        <v/>
      </c>
      <c r="Q158" s="143">
        <f>DADOS_AM!$GZ$16</f>
        <v/>
      </c>
      <c r="R158" s="16" t="n"/>
      <c r="S158" s="16" t="n"/>
      <c r="T158" s="17" t="n"/>
      <c r="U158" s="137" t="n"/>
    </row>
    <row r="159" hidden="1" outlineLevel="3">
      <c r="A159" s="8" t="n"/>
      <c r="B159" s="14" t="n"/>
      <c r="C159" s="137" t="n"/>
      <c r="D159" s="56" t="inlineStr">
        <is>
          <t>MELHORIAS</t>
        </is>
      </c>
      <c r="E159" s="144" t="n"/>
      <c r="F159" s="17" t="n"/>
      <c r="G159" s="143">
        <f>DADOS_AM!$HC$14</f>
        <v/>
      </c>
      <c r="H159" s="17" t="n"/>
      <c r="I159" s="137" t="n"/>
      <c r="J159" s="56" t="inlineStr">
        <is>
          <t>MELHORIAS</t>
        </is>
      </c>
      <c r="K159" s="144" t="n"/>
      <c r="L159" s="17" t="n"/>
      <c r="M159" s="143">
        <f>DADOS_AM!$HC$15</f>
        <v/>
      </c>
      <c r="N159" s="17" t="n"/>
      <c r="O159" s="137" t="n"/>
      <c r="P159" s="56" t="inlineStr">
        <is>
          <t>MELHORIAS</t>
        </is>
      </c>
      <c r="Q159" s="144" t="n"/>
      <c r="R159" s="17" t="n"/>
      <c r="S159" s="143">
        <f>DADOS_AM!$HC$16</f>
        <v/>
      </c>
      <c r="T159" s="17" t="n"/>
      <c r="U159" s="137" t="n"/>
    </row>
    <row r="160" hidden="1" outlineLevel="3">
      <c r="A160" s="8" t="n"/>
      <c r="B160" s="14" t="n"/>
      <c r="C160" s="137" t="n"/>
      <c r="D160" s="66" t="n"/>
      <c r="E160" s="144" t="n"/>
      <c r="F160" s="17" t="n"/>
      <c r="G160" s="143">
        <f>DADOS_AM!$HD$14</f>
        <v/>
      </c>
      <c r="H160" s="17" t="n"/>
      <c r="I160" s="137" t="n"/>
      <c r="J160" s="66" t="n"/>
      <c r="K160" s="144" t="n"/>
      <c r="L160" s="17" t="n"/>
      <c r="M160" s="143">
        <f>DADOS_AM!$HD$15</f>
        <v/>
      </c>
      <c r="N160" s="17" t="n"/>
      <c r="O160" s="137" t="n"/>
      <c r="P160" s="66" t="n"/>
      <c r="Q160" s="144" t="n"/>
      <c r="R160" s="17" t="n"/>
      <c r="S160" s="143">
        <f>DADOS_AM!$HD$16</f>
        <v/>
      </c>
      <c r="T160" s="17" t="n"/>
      <c r="U160" s="137" t="n"/>
    </row>
    <row r="161" hidden="1" outlineLevel="3">
      <c r="A161" s="8" t="n"/>
      <c r="B161" s="14" t="n"/>
      <c r="C161" s="137" t="n"/>
      <c r="D161" s="66" t="n"/>
      <c r="E161" s="144" t="n"/>
      <c r="F161" s="17" t="n"/>
      <c r="G161" s="143">
        <f>DADOS_AM!$HE$14</f>
        <v/>
      </c>
      <c r="H161" s="17" t="n"/>
      <c r="I161" s="137" t="n"/>
      <c r="J161" s="66" t="n"/>
      <c r="K161" s="144" t="n"/>
      <c r="L161" s="17" t="n"/>
      <c r="M161" s="143">
        <f>DADOS_AM!$HE$15</f>
        <v/>
      </c>
      <c r="N161" s="17" t="n"/>
      <c r="O161" s="137" t="n"/>
      <c r="P161" s="66" t="n"/>
      <c r="Q161" s="144" t="n"/>
      <c r="R161" s="17" t="n"/>
      <c r="S161" s="143">
        <f>DADOS_AM!$HE$16</f>
        <v/>
      </c>
      <c r="T161" s="17" t="n"/>
      <c r="U161" s="137" t="n"/>
    </row>
    <row r="162" hidden="1" outlineLevel="3">
      <c r="A162" s="8" t="n"/>
      <c r="B162" s="14" t="n"/>
      <c r="C162" s="137" t="n"/>
      <c r="D162" s="128" t="n"/>
      <c r="E162" s="144" t="n"/>
      <c r="F162" s="17" t="n"/>
      <c r="G162" s="143">
        <f>DADOS_AM!$HF$14</f>
        <v/>
      </c>
      <c r="H162" s="17" t="n"/>
      <c r="I162" s="137" t="n"/>
      <c r="J162" s="128" t="n"/>
      <c r="K162" s="144" t="n"/>
      <c r="L162" s="17" t="n"/>
      <c r="M162" s="143">
        <f>DADOS_AM!$HF$15</f>
        <v/>
      </c>
      <c r="N162" s="17" t="n"/>
      <c r="O162" s="137" t="n"/>
      <c r="P162" s="128" t="n"/>
      <c r="Q162" s="144" t="n"/>
      <c r="R162" s="17" t="n"/>
      <c r="S162" s="143">
        <f>DADOS_AM!$HF$16</f>
        <v/>
      </c>
      <c r="T162" s="17" t="n"/>
      <c r="U162" s="137" t="n"/>
    </row>
    <row r="163" hidden="1" outlineLevel="3">
      <c r="A163" s="8" t="n"/>
      <c r="B163" s="14" t="n"/>
      <c r="C163" s="137" t="n"/>
      <c r="D163" s="56" t="inlineStr">
        <is>
          <t>RESTRIÇÕES</t>
        </is>
      </c>
      <c r="E163" s="144" t="n"/>
      <c r="F163" s="17" t="n"/>
      <c r="G163" s="143">
        <f>DADOS_AM!$HG$14</f>
        <v/>
      </c>
      <c r="H163" s="17" t="n"/>
      <c r="I163" s="137" t="n"/>
      <c r="J163" s="56" t="inlineStr">
        <is>
          <t>RESTRIÇÕES</t>
        </is>
      </c>
      <c r="K163" s="144" t="n"/>
      <c r="L163" s="17" t="n"/>
      <c r="M163" s="143">
        <f>DADOS_AM!$HG$15</f>
        <v/>
      </c>
      <c r="N163" s="17" t="n"/>
      <c r="O163" s="137" t="n"/>
      <c r="P163" s="56" t="inlineStr">
        <is>
          <t>RESTRIÇÕES</t>
        </is>
      </c>
      <c r="Q163" s="144" t="n"/>
      <c r="R163" s="17" t="n"/>
      <c r="S163" s="143">
        <f>DADOS_AM!$HG$16</f>
        <v/>
      </c>
      <c r="T163" s="17" t="n"/>
      <c r="U163" s="137" t="n"/>
    </row>
    <row r="164" hidden="1" outlineLevel="3">
      <c r="A164" s="8" t="n"/>
      <c r="B164" s="14" t="n"/>
      <c r="C164" s="137" t="n"/>
      <c r="D164" s="128" t="n"/>
      <c r="E164" s="144" t="n"/>
      <c r="F164" s="17" t="n"/>
      <c r="G164" s="143">
        <f>DADOS_AM!$HH$14</f>
        <v/>
      </c>
      <c r="H164" s="17" t="n"/>
      <c r="I164" s="137" t="n"/>
      <c r="J164" s="128" t="n"/>
      <c r="K164" s="144" t="n"/>
      <c r="L164" s="17" t="n"/>
      <c r="M164" s="143">
        <f>DADOS_AM!$HH$15</f>
        <v/>
      </c>
      <c r="N164" s="17" t="n"/>
      <c r="O164" s="137" t="n"/>
      <c r="P164" s="128" t="n"/>
      <c r="Q164" s="144" t="n"/>
      <c r="R164" s="17" t="n"/>
      <c r="S164" s="143">
        <f>DADOS_AM!$HH$16</f>
        <v/>
      </c>
      <c r="T164" s="17" t="n"/>
      <c r="U164" s="137" t="n"/>
    </row>
    <row r="165" hidden="1" outlineLevel="3">
      <c r="A165" s="8" t="n"/>
      <c r="B165" s="14" t="n"/>
      <c r="C165" s="137" t="n"/>
      <c r="D165" s="56" t="inlineStr">
        <is>
          <t>CONTA</t>
        </is>
      </c>
      <c r="E165" s="145">
        <f>DADOS_AM!$HA$14</f>
        <v/>
      </c>
      <c r="F165" s="16" t="n"/>
      <c r="G165" s="16" t="n"/>
      <c r="H165" s="17" t="n"/>
      <c r="I165" s="137" t="n"/>
      <c r="J165" s="56" t="inlineStr">
        <is>
          <t>CONTA</t>
        </is>
      </c>
      <c r="K165" s="145">
        <f>DADOS_AM!$HA$15</f>
        <v/>
      </c>
      <c r="L165" s="16" t="n"/>
      <c r="M165" s="16" t="n"/>
      <c r="N165" s="17" t="n"/>
      <c r="O165" s="137" t="n"/>
      <c r="P165" s="56" t="inlineStr">
        <is>
          <t>CONTA</t>
        </is>
      </c>
      <c r="Q165" s="145">
        <f>DADOS_AM!$HA$16</f>
        <v/>
      </c>
      <c r="R165" s="16" t="n"/>
      <c r="S165" s="16" t="n"/>
      <c r="T165" s="17" t="n"/>
      <c r="U165" s="137" t="n"/>
    </row>
    <row r="166" hidden="1" outlineLevel="3">
      <c r="A166" s="8" t="n"/>
      <c r="B166" s="14" t="n"/>
      <c r="C166" s="137" t="n"/>
      <c r="D166" s="56" t="inlineStr">
        <is>
          <t>AMPLIAR</t>
        </is>
      </c>
      <c r="E166" s="145">
        <f>DADOS_AM!$HB$14</f>
        <v/>
      </c>
      <c r="F166" s="19" t="n"/>
      <c r="G166" s="19" t="n"/>
      <c r="H166" s="20" t="n"/>
      <c r="I166" s="137" t="n"/>
      <c r="J166" s="56" t="inlineStr">
        <is>
          <t>AMPLIAR</t>
        </is>
      </c>
      <c r="K166" s="145">
        <f>DADOS_AM!$HB$15</f>
        <v/>
      </c>
      <c r="L166" s="19" t="n"/>
      <c r="M166" s="19" t="n"/>
      <c r="N166" s="20" t="n"/>
      <c r="O166" s="137" t="n"/>
      <c r="P166" s="56" t="inlineStr">
        <is>
          <t>AMPLIAR</t>
        </is>
      </c>
      <c r="Q166" s="145">
        <f>DADOS_AM!$HB$16</f>
        <v/>
      </c>
      <c r="R166" s="19" t="n"/>
      <c r="S166" s="19" t="n"/>
      <c r="T166" s="20" t="n"/>
      <c r="U166" s="137" t="n"/>
    </row>
    <row r="167" hidden="1" outlineLevel="3">
      <c r="A167" s="8" t="n"/>
      <c r="B167" s="14" t="n"/>
      <c r="C167" s="137" t="n"/>
      <c r="D167" s="128" t="n"/>
      <c r="E167" s="23" t="n"/>
      <c r="F167" s="24" t="n"/>
      <c r="G167" s="24" t="n"/>
      <c r="H167" s="25" t="n"/>
      <c r="I167" s="137" t="n"/>
      <c r="J167" s="128" t="n"/>
      <c r="K167" s="23" t="n"/>
      <c r="L167" s="24" t="n"/>
      <c r="M167" s="24" t="n"/>
      <c r="N167" s="25" t="n"/>
      <c r="O167" s="137" t="n"/>
      <c r="P167" s="128" t="n"/>
      <c r="Q167" s="23" t="n"/>
      <c r="R167" s="24" t="n"/>
      <c r="S167" s="24" t="n"/>
      <c r="T167" s="25" t="n"/>
      <c r="U167" s="137" t="n"/>
    </row>
    <row r="168" hidden="1" outlineLevel="3">
      <c r="A168" s="8" t="n"/>
      <c r="B168" s="14" t="n"/>
      <c r="C168" s="137" t="n"/>
      <c r="D168" s="56" t="inlineStr">
        <is>
          <t>AVISOS</t>
        </is>
      </c>
      <c r="E168" s="145">
        <f>DADOS_AM!$GQ$14</f>
        <v/>
      </c>
      <c r="F168" s="19" t="n"/>
      <c r="G168" s="19" t="n"/>
      <c r="H168" s="20" t="n"/>
      <c r="I168" s="137" t="n"/>
      <c r="J168" s="56" t="inlineStr">
        <is>
          <t>AVISOS</t>
        </is>
      </c>
      <c r="K168" s="145">
        <f>DADOS_AM!$GQ$15</f>
        <v/>
      </c>
      <c r="L168" s="19" t="n"/>
      <c r="M168" s="19" t="n"/>
      <c r="N168" s="20" t="n"/>
      <c r="O168" s="137" t="n"/>
      <c r="P168" s="56" t="inlineStr">
        <is>
          <t>AVISOS</t>
        </is>
      </c>
      <c r="Q168" s="145">
        <f>DADOS_AM!$GQ$16</f>
        <v/>
      </c>
      <c r="R168" s="19" t="n"/>
      <c r="S168" s="19" t="n"/>
      <c r="T168" s="20" t="n"/>
      <c r="U168" s="137" t="n"/>
    </row>
    <row r="169" hidden="1" outlineLevel="3">
      <c r="A169" s="8" t="n"/>
      <c r="B169" s="14" t="n"/>
      <c r="C169" s="137" t="n"/>
      <c r="D169" s="128" t="n"/>
      <c r="E169" s="23" t="n"/>
      <c r="F169" s="24" t="n"/>
      <c r="G169" s="24" t="n"/>
      <c r="H169" s="25" t="n"/>
      <c r="I169" s="137" t="n"/>
      <c r="J169" s="128" t="n"/>
      <c r="K169" s="23" t="n"/>
      <c r="L169" s="24" t="n"/>
      <c r="M169" s="24" t="n"/>
      <c r="N169" s="25" t="n"/>
      <c r="O169" s="137" t="n"/>
      <c r="P169" s="128" t="n"/>
      <c r="Q169" s="23" t="n"/>
      <c r="R169" s="24" t="n"/>
      <c r="S169" s="24" t="n"/>
      <c r="T169" s="25" t="n"/>
      <c r="U169" s="137" t="n"/>
    </row>
    <row r="170" hidden="1" outlineLevel="2">
      <c r="A170" s="8" t="n"/>
      <c r="B170" s="14" t="n"/>
      <c r="C170" s="137" t="n"/>
      <c r="D170" s="137" t="n"/>
      <c r="E170" s="137" t="n"/>
      <c r="F170" s="137" t="n"/>
      <c r="G170" s="137" t="n"/>
      <c r="H170" s="137" t="n"/>
      <c r="I170" s="137" t="n"/>
      <c r="J170" s="137" t="n"/>
      <c r="K170" s="137" t="n"/>
      <c r="L170" s="137" t="n"/>
      <c r="M170" s="137" t="n"/>
      <c r="N170" s="137" t="n"/>
      <c r="O170" s="137" t="n"/>
      <c r="P170" s="137" t="n"/>
      <c r="Q170" s="137" t="n"/>
      <c r="R170" s="137" t="n"/>
      <c r="S170" s="137" t="n"/>
      <c r="T170" s="137" t="n"/>
      <c r="U170" s="137" t="n"/>
    </row>
    <row r="171" hidden="1" outlineLevel="2">
      <c r="A171" s="8" t="n"/>
      <c r="B171" s="14" t="n"/>
      <c r="C171" s="137" t="n"/>
      <c r="D171" s="141" t="n">
        <v>1</v>
      </c>
      <c r="E171" s="131" t="n"/>
      <c r="F171" s="17" t="n"/>
      <c r="G171" s="142">
        <f>DADOS_AM!$GP$17</f>
        <v/>
      </c>
      <c r="H171" s="17" t="n"/>
      <c r="I171" s="137" t="n"/>
      <c r="J171" s="141" t="n">
        <v>1</v>
      </c>
      <c r="K171" s="131" t="n"/>
      <c r="L171" s="17" t="n"/>
      <c r="M171" s="142">
        <f>DADOS_AM!$GP$18</f>
        <v/>
      </c>
      <c r="N171" s="17" t="n"/>
      <c r="O171" s="137" t="n"/>
      <c r="P171" s="141" t="n">
        <v>1</v>
      </c>
      <c r="Q171" s="131" t="n"/>
      <c r="R171" s="17" t="n"/>
      <c r="S171" s="142">
        <f>DADOS_AM!$GP$19</f>
        <v/>
      </c>
      <c r="T171" s="17" t="n"/>
      <c r="U171" s="137" t="n"/>
    </row>
    <row r="172" hidden="1" outlineLevel="3">
      <c r="A172" s="8" t="n"/>
      <c r="B172" s="14" t="n"/>
      <c r="C172" s="137" t="n"/>
      <c r="D172" s="56" t="inlineStr">
        <is>
          <t>COMO É</t>
        </is>
      </c>
      <c r="E172" s="16" t="n"/>
      <c r="F172" s="16" t="n"/>
      <c r="G172" s="16" t="n"/>
      <c r="H172" s="17" t="n"/>
      <c r="I172" s="137" t="n"/>
      <c r="J172" s="56" t="inlineStr">
        <is>
          <t>COMO É</t>
        </is>
      </c>
      <c r="K172" s="16" t="n"/>
      <c r="L172" s="16" t="n"/>
      <c r="M172" s="16" t="n"/>
      <c r="N172" s="17" t="n"/>
      <c r="O172" s="137" t="n"/>
      <c r="P172" s="56" t="inlineStr">
        <is>
          <t>COMO É</t>
        </is>
      </c>
      <c r="Q172" s="16" t="n"/>
      <c r="R172" s="16" t="n"/>
      <c r="S172" s="16" t="n"/>
      <c r="T172" s="17" t="n"/>
      <c r="U172" s="137" t="n"/>
    </row>
    <row r="173" hidden="1" outlineLevel="3">
      <c r="A173" s="8" t="n"/>
      <c r="B173" s="14" t="n"/>
      <c r="C173" s="137" t="n"/>
      <c r="D173" s="61" t="n"/>
      <c r="E173" s="19" t="n"/>
      <c r="F173" s="19" t="n"/>
      <c r="G173" s="19" t="n"/>
      <c r="H173" s="20" t="n"/>
      <c r="I173" s="137" t="n"/>
      <c r="J173" s="61" t="n"/>
      <c r="K173" s="19" t="n"/>
      <c r="L173" s="19" t="n"/>
      <c r="M173" s="19" t="n"/>
      <c r="N173" s="20" t="n"/>
      <c r="O173" s="137" t="n"/>
      <c r="P173" s="61" t="n"/>
      <c r="Q173" s="19" t="n"/>
      <c r="R173" s="19" t="n"/>
      <c r="S173" s="19" t="n"/>
      <c r="T173" s="20" t="n"/>
      <c r="U173" s="137" t="n"/>
    </row>
    <row r="174" hidden="1" outlineLevel="3">
      <c r="A174" s="8" t="n"/>
      <c r="B174" s="14" t="n"/>
      <c r="C174" s="137" t="n"/>
      <c r="D174" s="21" t="n"/>
      <c r="H174" s="22" t="n"/>
      <c r="I174" s="137" t="n"/>
      <c r="J174" s="21" t="n"/>
      <c r="N174" s="22" t="n"/>
      <c r="O174" s="137" t="n"/>
      <c r="P174" s="21" t="n"/>
      <c r="T174" s="22" t="n"/>
      <c r="U174" s="137" t="n"/>
    </row>
    <row r="175" hidden="1" outlineLevel="3">
      <c r="A175" s="8" t="n"/>
      <c r="B175" s="14" t="n"/>
      <c r="C175" s="137" t="n"/>
      <c r="D175" s="21" t="n"/>
      <c r="H175" s="22" t="n"/>
      <c r="I175" s="137" t="n"/>
      <c r="J175" s="21" t="n"/>
      <c r="N175" s="22" t="n"/>
      <c r="O175" s="137" t="n"/>
      <c r="P175" s="21" t="n"/>
      <c r="T175" s="22" t="n"/>
      <c r="U175" s="137" t="n"/>
    </row>
    <row r="176" hidden="1" outlineLevel="3">
      <c r="A176" s="8" t="n"/>
      <c r="B176" s="14" t="n"/>
      <c r="C176" s="137" t="n"/>
      <c r="D176" s="21" t="n"/>
      <c r="H176" s="22" t="n"/>
      <c r="I176" s="137" t="n"/>
      <c r="J176" s="21" t="n"/>
      <c r="N176" s="22" t="n"/>
      <c r="O176" s="137" t="n"/>
      <c r="P176" s="21" t="n"/>
      <c r="T176" s="22" t="n"/>
      <c r="U176" s="137" t="n"/>
    </row>
    <row r="177" hidden="1" outlineLevel="3">
      <c r="A177" s="8" t="n"/>
      <c r="B177" s="14" t="n"/>
      <c r="C177" s="137" t="n"/>
      <c r="D177" s="23" t="n"/>
      <c r="E177" s="24" t="n"/>
      <c r="F177" s="24" t="n"/>
      <c r="G177" s="24" t="n"/>
      <c r="H177" s="25" t="n"/>
      <c r="I177" s="137" t="n"/>
      <c r="J177" s="23" t="n"/>
      <c r="K177" s="24" t="n"/>
      <c r="L177" s="24" t="n"/>
      <c r="M177" s="24" t="n"/>
      <c r="N177" s="25" t="n"/>
      <c r="O177" s="137" t="n"/>
      <c r="P177" s="23" t="n"/>
      <c r="Q177" s="24" t="n"/>
      <c r="R177" s="24" t="n"/>
      <c r="S177" s="24" t="n"/>
      <c r="T177" s="25" t="n"/>
      <c r="U177" s="137" t="n"/>
    </row>
    <row r="178" hidden="1" outlineLevel="2">
      <c r="A178" s="8" t="n"/>
      <c r="B178" s="14" t="n"/>
      <c r="C178" s="137" t="n"/>
      <c r="D178" s="95" t="inlineStr">
        <is>
          <t>Projétil</t>
        </is>
      </c>
      <c r="E178" s="71">
        <f>DADOS_AM!$GU$17</f>
        <v/>
      </c>
      <c r="F178" s="71">
        <f>DADOS_AM!$GR$17</f>
        <v/>
      </c>
      <c r="G178" s="95">
        <f>DADOS_AM!$GT$17</f>
        <v/>
      </c>
      <c r="H178" s="17" t="n"/>
      <c r="I178" s="137" t="n"/>
      <c r="J178" s="95" t="inlineStr">
        <is>
          <t>Projétil</t>
        </is>
      </c>
      <c r="K178" s="71">
        <f>DADOS_AM!$GU$18</f>
        <v/>
      </c>
      <c r="L178" s="71">
        <f>DADOS_AM!$GR$18</f>
        <v/>
      </c>
      <c r="M178" s="95">
        <f>DADOS_AM!$GT$18</f>
        <v/>
      </c>
      <c r="N178" s="17" t="n"/>
      <c r="O178" s="137" t="n"/>
      <c r="P178" s="95" t="inlineStr">
        <is>
          <t>Projétil</t>
        </is>
      </c>
      <c r="Q178" s="71">
        <f>DADOS_AM!$GU$19</f>
        <v/>
      </c>
      <c r="R178" s="71">
        <f>DADOS_AM!$GR$19</f>
        <v/>
      </c>
      <c r="S178" s="95">
        <f>DADOS_AM!$GT$19</f>
        <v/>
      </c>
      <c r="T178" s="17" t="n"/>
      <c r="U178" s="137" t="n"/>
    </row>
    <row r="179" hidden="1" outlineLevel="2">
      <c r="A179" s="8" t="n"/>
      <c r="B179" s="14" t="n"/>
      <c r="C179" s="137" t="n"/>
      <c r="D179" s="95">
        <f>DADOS_AM!$GS$17</f>
        <v/>
      </c>
      <c r="E179" s="143">
        <f>DADOS_AM!$GZ$17</f>
        <v/>
      </c>
      <c r="F179" s="16" t="n"/>
      <c r="G179" s="16" t="n"/>
      <c r="H179" s="17" t="n"/>
      <c r="I179" s="137" t="n"/>
      <c r="J179" s="95">
        <f>DADOS_AM!$GS$18</f>
        <v/>
      </c>
      <c r="K179" s="143">
        <f>DADOS_AM!$GZ$18</f>
        <v/>
      </c>
      <c r="L179" s="16" t="n"/>
      <c r="M179" s="16" t="n"/>
      <c r="N179" s="17" t="n"/>
      <c r="O179" s="137" t="n"/>
      <c r="P179" s="95">
        <f>DADOS_AM!$GS$19</f>
        <v/>
      </c>
      <c r="Q179" s="143">
        <f>DADOS_AM!$GZ$19</f>
        <v/>
      </c>
      <c r="R179" s="16" t="n"/>
      <c r="S179" s="16" t="n"/>
      <c r="T179" s="17" t="n"/>
      <c r="U179" s="137" t="n"/>
    </row>
    <row r="180" hidden="1" outlineLevel="3">
      <c r="A180" s="8" t="n"/>
      <c r="B180" s="14" t="n"/>
      <c r="C180" s="137" t="n"/>
      <c r="D180" s="56" t="inlineStr">
        <is>
          <t>MELHORIAS</t>
        </is>
      </c>
      <c r="E180" s="144" t="n"/>
      <c r="F180" s="17" t="n"/>
      <c r="G180" s="143">
        <f>DADOS_AM!$HC$17</f>
        <v/>
      </c>
      <c r="H180" s="17" t="n"/>
      <c r="I180" s="137" t="n"/>
      <c r="J180" s="56" t="inlineStr">
        <is>
          <t>MELHORIAS</t>
        </is>
      </c>
      <c r="K180" s="144" t="n"/>
      <c r="L180" s="17" t="n"/>
      <c r="M180" s="143">
        <f>DADOS_AM!$HC$18</f>
        <v/>
      </c>
      <c r="N180" s="17" t="n"/>
      <c r="O180" s="137" t="n"/>
      <c r="P180" s="56" t="inlineStr">
        <is>
          <t>MELHORIAS</t>
        </is>
      </c>
      <c r="Q180" s="144" t="n"/>
      <c r="R180" s="17" t="n"/>
      <c r="S180" s="143">
        <f>DADOS_AM!$HC$19</f>
        <v/>
      </c>
      <c r="T180" s="17" t="n"/>
      <c r="U180" s="137" t="n"/>
    </row>
    <row r="181" hidden="1" outlineLevel="3">
      <c r="A181" s="8" t="n"/>
      <c r="B181" s="14" t="n"/>
      <c r="C181" s="137" t="n"/>
      <c r="D181" s="66" t="n"/>
      <c r="E181" s="144" t="n"/>
      <c r="F181" s="17" t="n"/>
      <c r="G181" s="143">
        <f>DADOS_AM!$HD$17</f>
        <v/>
      </c>
      <c r="H181" s="17" t="n"/>
      <c r="I181" s="137" t="n"/>
      <c r="J181" s="66" t="n"/>
      <c r="K181" s="144" t="n"/>
      <c r="L181" s="17" t="n"/>
      <c r="M181" s="143">
        <f>DADOS_AM!$HD$18</f>
        <v/>
      </c>
      <c r="N181" s="17" t="n"/>
      <c r="O181" s="137" t="n"/>
      <c r="P181" s="66" t="n"/>
      <c r="Q181" s="144" t="n"/>
      <c r="R181" s="17" t="n"/>
      <c r="S181" s="143">
        <f>DADOS_AM!$HD$19</f>
        <v/>
      </c>
      <c r="T181" s="17" t="n"/>
      <c r="U181" s="137" t="n"/>
    </row>
    <row r="182" hidden="1" outlineLevel="3">
      <c r="A182" s="8" t="n"/>
      <c r="B182" s="14" t="n"/>
      <c r="C182" s="137" t="n"/>
      <c r="D182" s="66" t="n"/>
      <c r="E182" s="144" t="n"/>
      <c r="F182" s="17" t="n"/>
      <c r="G182" s="143">
        <f>DADOS_AM!$HE$17</f>
        <v/>
      </c>
      <c r="H182" s="17" t="n"/>
      <c r="I182" s="137" t="n"/>
      <c r="J182" s="66" t="n"/>
      <c r="K182" s="144" t="n"/>
      <c r="L182" s="17" t="n"/>
      <c r="M182" s="143">
        <f>DADOS_AM!$HE$18</f>
        <v/>
      </c>
      <c r="N182" s="17" t="n"/>
      <c r="O182" s="137" t="n"/>
      <c r="P182" s="66" t="n"/>
      <c r="Q182" s="144" t="n"/>
      <c r="R182" s="17" t="n"/>
      <c r="S182" s="143">
        <f>DADOS_AM!$HE$19</f>
        <v/>
      </c>
      <c r="T182" s="17" t="n"/>
      <c r="U182" s="137" t="n"/>
    </row>
    <row r="183" hidden="1" outlineLevel="3">
      <c r="A183" s="8" t="n"/>
      <c r="B183" s="14" t="n"/>
      <c r="C183" s="137" t="n"/>
      <c r="D183" s="128" t="n"/>
      <c r="E183" s="144" t="n"/>
      <c r="F183" s="17" t="n"/>
      <c r="G183" s="143">
        <f>DADOS_AM!$HF$17</f>
        <v/>
      </c>
      <c r="H183" s="17" t="n"/>
      <c r="I183" s="137" t="n"/>
      <c r="J183" s="128" t="n"/>
      <c r="K183" s="144" t="n"/>
      <c r="L183" s="17" t="n"/>
      <c r="M183" s="143">
        <f>DADOS_AM!$HF$18</f>
        <v/>
      </c>
      <c r="N183" s="17" t="n"/>
      <c r="O183" s="137" t="n"/>
      <c r="P183" s="128" t="n"/>
      <c r="Q183" s="144" t="n"/>
      <c r="R183" s="17" t="n"/>
      <c r="S183" s="143">
        <f>DADOS_AM!$HF$19</f>
        <v/>
      </c>
      <c r="T183" s="17" t="n"/>
      <c r="U183" s="137" t="n"/>
    </row>
    <row r="184" hidden="1" outlineLevel="3">
      <c r="A184" s="8" t="n"/>
      <c r="B184" s="14" t="n"/>
      <c r="C184" s="137" t="n"/>
      <c r="D184" s="56" t="inlineStr">
        <is>
          <t>RESTRIÇÕES</t>
        </is>
      </c>
      <c r="E184" s="144" t="n"/>
      <c r="F184" s="17" t="n"/>
      <c r="G184" s="143">
        <f>DADOS_AM!$HG$17</f>
        <v/>
      </c>
      <c r="H184" s="17" t="n"/>
      <c r="I184" s="137" t="n"/>
      <c r="J184" s="56" t="inlineStr">
        <is>
          <t>RESTRIÇÕES</t>
        </is>
      </c>
      <c r="K184" s="144" t="n"/>
      <c r="L184" s="17" t="n"/>
      <c r="M184" s="143">
        <f>DADOS_AM!$HG$18</f>
        <v/>
      </c>
      <c r="N184" s="17" t="n"/>
      <c r="O184" s="137" t="n"/>
      <c r="P184" s="56" t="inlineStr">
        <is>
          <t>RESTRIÇÕES</t>
        </is>
      </c>
      <c r="Q184" s="144" t="n"/>
      <c r="R184" s="17" t="n"/>
      <c r="S184" s="143">
        <f>DADOS_AM!$HG$19</f>
        <v/>
      </c>
      <c r="T184" s="17" t="n"/>
      <c r="U184" s="137" t="n"/>
    </row>
    <row r="185" hidden="1" outlineLevel="3">
      <c r="A185" s="8" t="n"/>
      <c r="B185" s="14" t="n"/>
      <c r="C185" s="137" t="n"/>
      <c r="D185" s="128" t="n"/>
      <c r="E185" s="144" t="n"/>
      <c r="F185" s="17" t="n"/>
      <c r="G185" s="143">
        <f>DADOS_AM!$HH$17</f>
        <v/>
      </c>
      <c r="H185" s="17" t="n"/>
      <c r="I185" s="137" t="n"/>
      <c r="J185" s="128" t="n"/>
      <c r="K185" s="144" t="n"/>
      <c r="L185" s="17" t="n"/>
      <c r="M185" s="143">
        <f>DADOS_AM!$HH$18</f>
        <v/>
      </c>
      <c r="N185" s="17" t="n"/>
      <c r="O185" s="137" t="n"/>
      <c r="P185" s="128" t="n"/>
      <c r="Q185" s="144" t="n"/>
      <c r="R185" s="17" t="n"/>
      <c r="S185" s="143">
        <f>DADOS_AM!$HH$19</f>
        <v/>
      </c>
      <c r="T185" s="17" t="n"/>
      <c r="U185" s="137" t="n"/>
    </row>
    <row r="186" hidden="1" outlineLevel="3">
      <c r="A186" s="8" t="n"/>
      <c r="B186" s="14" t="n"/>
      <c r="C186" s="137" t="n"/>
      <c r="D186" s="56" t="inlineStr">
        <is>
          <t>CONTA</t>
        </is>
      </c>
      <c r="E186" s="145">
        <f>DADOS_AM!$HA$17</f>
        <v/>
      </c>
      <c r="F186" s="16" t="n"/>
      <c r="G186" s="16" t="n"/>
      <c r="H186" s="17" t="n"/>
      <c r="I186" s="137" t="n"/>
      <c r="J186" s="56" t="inlineStr">
        <is>
          <t>CONTA</t>
        </is>
      </c>
      <c r="K186" s="145">
        <f>DADOS_AM!$HA$18</f>
        <v/>
      </c>
      <c r="L186" s="16" t="n"/>
      <c r="M186" s="16" t="n"/>
      <c r="N186" s="17" t="n"/>
      <c r="O186" s="137" t="n"/>
      <c r="P186" s="56" t="inlineStr">
        <is>
          <t>CONTA</t>
        </is>
      </c>
      <c r="Q186" s="145">
        <f>DADOS_AM!$HA$19</f>
        <v/>
      </c>
      <c r="R186" s="16" t="n"/>
      <c r="S186" s="16" t="n"/>
      <c r="T186" s="17" t="n"/>
      <c r="U186" s="137" t="n"/>
    </row>
    <row r="187" hidden="1" outlineLevel="3">
      <c r="A187" s="8" t="n"/>
      <c r="B187" s="14" t="n"/>
      <c r="C187" s="137" t="n"/>
      <c r="D187" s="56" t="inlineStr">
        <is>
          <t>AMPLIAR</t>
        </is>
      </c>
      <c r="E187" s="145">
        <f>DADOS_AM!$HB$17</f>
        <v/>
      </c>
      <c r="F187" s="19" t="n"/>
      <c r="G187" s="19" t="n"/>
      <c r="H187" s="20" t="n"/>
      <c r="I187" s="137" t="n"/>
      <c r="J187" s="56" t="inlineStr">
        <is>
          <t>AMPLIAR</t>
        </is>
      </c>
      <c r="K187" s="145">
        <f>DADOS_AM!$HB$18</f>
        <v/>
      </c>
      <c r="L187" s="19" t="n"/>
      <c r="M187" s="19" t="n"/>
      <c r="N187" s="20" t="n"/>
      <c r="O187" s="137" t="n"/>
      <c r="P187" s="56" t="inlineStr">
        <is>
          <t>AMPLIAR</t>
        </is>
      </c>
      <c r="Q187" s="145">
        <f>DADOS_AM!$HB$19</f>
        <v/>
      </c>
      <c r="R187" s="19" t="n"/>
      <c r="S187" s="19" t="n"/>
      <c r="T187" s="20" t="n"/>
      <c r="U187" s="137" t="n"/>
    </row>
    <row r="188" hidden="1" outlineLevel="3">
      <c r="A188" s="8" t="n"/>
      <c r="B188" s="14" t="n"/>
      <c r="C188" s="137" t="n"/>
      <c r="D188" s="128" t="n"/>
      <c r="E188" s="23" t="n"/>
      <c r="F188" s="24" t="n"/>
      <c r="G188" s="24" t="n"/>
      <c r="H188" s="25" t="n"/>
      <c r="I188" s="137" t="n"/>
      <c r="J188" s="128" t="n"/>
      <c r="K188" s="23" t="n"/>
      <c r="L188" s="24" t="n"/>
      <c r="M188" s="24" t="n"/>
      <c r="N188" s="25" t="n"/>
      <c r="O188" s="137" t="n"/>
      <c r="P188" s="128" t="n"/>
      <c r="Q188" s="23" t="n"/>
      <c r="R188" s="24" t="n"/>
      <c r="S188" s="24" t="n"/>
      <c r="T188" s="25" t="n"/>
      <c r="U188" s="137" t="n"/>
    </row>
    <row r="189" hidden="1" outlineLevel="3">
      <c r="A189" s="8" t="n"/>
      <c r="B189" s="14" t="n"/>
      <c r="C189" s="137" t="n"/>
      <c r="D189" s="56" t="inlineStr">
        <is>
          <t>AVISOS</t>
        </is>
      </c>
      <c r="E189" s="145">
        <f>DADOS_AM!$GQ$17</f>
        <v/>
      </c>
      <c r="F189" s="19" t="n"/>
      <c r="G189" s="19" t="n"/>
      <c r="H189" s="20" t="n"/>
      <c r="I189" s="137" t="n"/>
      <c r="J189" s="56" t="inlineStr">
        <is>
          <t>AVISOS</t>
        </is>
      </c>
      <c r="K189" s="145">
        <f>DADOS_AM!$GQ$18</f>
        <v/>
      </c>
      <c r="L189" s="19" t="n"/>
      <c r="M189" s="19" t="n"/>
      <c r="N189" s="20" t="n"/>
      <c r="O189" s="137" t="n"/>
      <c r="P189" s="56" t="inlineStr">
        <is>
          <t>AVISOS</t>
        </is>
      </c>
      <c r="Q189" s="145">
        <f>DADOS_AM!$GQ$19</f>
        <v/>
      </c>
      <c r="R189" s="19" t="n"/>
      <c r="S189" s="19" t="n"/>
      <c r="T189" s="20" t="n"/>
      <c r="U189" s="137" t="n"/>
    </row>
    <row r="190" hidden="1" outlineLevel="3">
      <c r="A190" s="8" t="n"/>
      <c r="B190" s="14" t="n"/>
      <c r="C190" s="137" t="n"/>
      <c r="D190" s="128" t="n"/>
      <c r="E190" s="23" t="n"/>
      <c r="F190" s="24" t="n"/>
      <c r="G190" s="24" t="n"/>
      <c r="H190" s="25" t="n"/>
      <c r="I190" s="137" t="n"/>
      <c r="J190" s="128" t="n"/>
      <c r="K190" s="23" t="n"/>
      <c r="L190" s="24" t="n"/>
      <c r="M190" s="24" t="n"/>
      <c r="N190" s="25" t="n"/>
      <c r="O190" s="137" t="n"/>
      <c r="P190" s="128" t="n"/>
      <c r="Q190" s="23" t="n"/>
      <c r="R190" s="24" t="n"/>
      <c r="S190" s="24" t="n"/>
      <c r="T190" s="25" t="n"/>
      <c r="U190" s="137" t="n"/>
    </row>
    <row r="191" hidden="1" outlineLevel="2">
      <c r="A191" s="8" t="n"/>
      <c r="B191" s="14" t="n"/>
      <c r="C191" s="137" t="n"/>
      <c r="D191" s="137" t="n"/>
      <c r="E191" s="137" t="n"/>
      <c r="F191" s="137" t="n"/>
      <c r="G191" s="137" t="n"/>
      <c r="H191" s="137" t="n"/>
      <c r="I191" s="137" t="n"/>
      <c r="J191" s="137" t="n"/>
      <c r="K191" s="137" t="n"/>
      <c r="L191" s="137" t="n"/>
      <c r="M191" s="137" t="n"/>
      <c r="N191" s="137" t="n"/>
      <c r="O191" s="137" t="n"/>
      <c r="P191" s="137" t="n"/>
      <c r="Q191" s="137" t="n"/>
      <c r="R191" s="137" t="n"/>
      <c r="S191" s="137" t="n"/>
      <c r="T191" s="137" t="n"/>
      <c r="U191" s="137" t="n"/>
    </row>
    <row r="192" hidden="1" outlineLevel="2">
      <c r="A192" s="8" t="n"/>
      <c r="B192" s="14" t="n"/>
      <c r="C192" s="137" t="n"/>
      <c r="D192" s="141" t="n">
        <v>1</v>
      </c>
      <c r="E192" s="131" t="n"/>
      <c r="F192" s="17" t="n"/>
      <c r="G192" s="142">
        <f>DADOS_AM!$GP$20</f>
        <v/>
      </c>
      <c r="H192" s="17" t="n"/>
      <c r="I192" s="137" t="n"/>
      <c r="J192" s="141" t="n">
        <v>1</v>
      </c>
      <c r="K192" s="131" t="n"/>
      <c r="L192" s="17" t="n"/>
      <c r="M192" s="142">
        <f>DADOS_AM!$GP$21</f>
        <v/>
      </c>
      <c r="N192" s="17" t="n"/>
      <c r="O192" s="137" t="n"/>
      <c r="P192" s="141" t="n">
        <v>1</v>
      </c>
      <c r="Q192" s="131" t="n"/>
      <c r="R192" s="17" t="n"/>
      <c r="S192" s="142">
        <f>DADOS_AM!$GP$22</f>
        <v/>
      </c>
      <c r="T192" s="17" t="n"/>
      <c r="U192" s="137" t="n"/>
    </row>
    <row r="193" hidden="1" outlineLevel="3">
      <c r="A193" s="8" t="n"/>
      <c r="B193" s="14" t="n"/>
      <c r="C193" s="137" t="n"/>
      <c r="D193" s="56" t="inlineStr">
        <is>
          <t>COMO É</t>
        </is>
      </c>
      <c r="E193" s="16" t="n"/>
      <c r="F193" s="16" t="n"/>
      <c r="G193" s="16" t="n"/>
      <c r="H193" s="17" t="n"/>
      <c r="I193" s="137" t="n"/>
      <c r="J193" s="56" t="inlineStr">
        <is>
          <t>COMO É</t>
        </is>
      </c>
      <c r="K193" s="16" t="n"/>
      <c r="L193" s="16" t="n"/>
      <c r="M193" s="16" t="n"/>
      <c r="N193" s="17" t="n"/>
      <c r="O193" s="137" t="n"/>
      <c r="P193" s="56" t="inlineStr">
        <is>
          <t>COMO É</t>
        </is>
      </c>
      <c r="Q193" s="16" t="n"/>
      <c r="R193" s="16" t="n"/>
      <c r="S193" s="16" t="n"/>
      <c r="T193" s="17" t="n"/>
      <c r="U193" s="137" t="n"/>
    </row>
    <row r="194" hidden="1" outlineLevel="3">
      <c r="A194" s="8" t="n"/>
      <c r="B194" s="14" t="n"/>
      <c r="C194" s="137" t="n"/>
      <c r="D194" s="61" t="n"/>
      <c r="E194" s="19" t="n"/>
      <c r="F194" s="19" t="n"/>
      <c r="G194" s="19" t="n"/>
      <c r="H194" s="20" t="n"/>
      <c r="I194" s="137" t="n"/>
      <c r="J194" s="61" t="n"/>
      <c r="K194" s="19" t="n"/>
      <c r="L194" s="19" t="n"/>
      <c r="M194" s="19" t="n"/>
      <c r="N194" s="20" t="n"/>
      <c r="O194" s="137" t="n"/>
      <c r="P194" s="61" t="n"/>
      <c r="Q194" s="19" t="n"/>
      <c r="R194" s="19" t="n"/>
      <c r="S194" s="19" t="n"/>
      <c r="T194" s="20" t="n"/>
      <c r="U194" s="137" t="n"/>
    </row>
    <row r="195" hidden="1" outlineLevel="3">
      <c r="A195" s="8" t="n"/>
      <c r="B195" s="14" t="n"/>
      <c r="C195" s="137" t="n"/>
      <c r="D195" s="21" t="n"/>
      <c r="H195" s="22" t="n"/>
      <c r="I195" s="137" t="n"/>
      <c r="J195" s="21" t="n"/>
      <c r="N195" s="22" t="n"/>
      <c r="O195" s="137" t="n"/>
      <c r="P195" s="21" t="n"/>
      <c r="T195" s="22" t="n"/>
      <c r="U195" s="137" t="n"/>
    </row>
    <row r="196" hidden="1" outlineLevel="3">
      <c r="A196" s="8" t="n"/>
      <c r="B196" s="14" t="n"/>
      <c r="C196" s="137" t="n"/>
      <c r="D196" s="21" t="n"/>
      <c r="H196" s="22" t="n"/>
      <c r="I196" s="137" t="n"/>
      <c r="J196" s="21" t="n"/>
      <c r="N196" s="22" t="n"/>
      <c r="O196" s="137" t="n"/>
      <c r="P196" s="21" t="n"/>
      <c r="T196" s="22" t="n"/>
      <c r="U196" s="137" t="n"/>
    </row>
    <row r="197" hidden="1" outlineLevel="3">
      <c r="A197" s="8" t="n"/>
      <c r="B197" s="14" t="n"/>
      <c r="C197" s="137" t="n"/>
      <c r="D197" s="21" t="n"/>
      <c r="H197" s="22" t="n"/>
      <c r="I197" s="137" t="n"/>
      <c r="J197" s="21" t="n"/>
      <c r="N197" s="22" t="n"/>
      <c r="O197" s="137" t="n"/>
      <c r="P197" s="21" t="n"/>
      <c r="T197" s="22" t="n"/>
      <c r="U197" s="137" t="n"/>
    </row>
    <row r="198" hidden="1" outlineLevel="3">
      <c r="A198" s="8" t="n"/>
      <c r="B198" s="14" t="n"/>
      <c r="C198" s="137" t="n"/>
      <c r="D198" s="23" t="n"/>
      <c r="E198" s="24" t="n"/>
      <c r="F198" s="24" t="n"/>
      <c r="G198" s="24" t="n"/>
      <c r="H198" s="25" t="n"/>
      <c r="I198" s="137" t="n"/>
      <c r="J198" s="23" t="n"/>
      <c r="K198" s="24" t="n"/>
      <c r="L198" s="24" t="n"/>
      <c r="M198" s="24" t="n"/>
      <c r="N198" s="25" t="n"/>
      <c r="O198" s="137" t="n"/>
      <c r="P198" s="23" t="n"/>
      <c r="Q198" s="24" t="n"/>
      <c r="R198" s="24" t="n"/>
      <c r="S198" s="24" t="n"/>
      <c r="T198" s="25" t="n"/>
      <c r="U198" s="137" t="n"/>
    </row>
    <row r="199" hidden="1" outlineLevel="2">
      <c r="A199" s="8" t="n"/>
      <c r="B199" s="14" t="n"/>
      <c r="C199" s="137" t="n"/>
      <c r="D199" s="95" t="inlineStr">
        <is>
          <t>Projétil</t>
        </is>
      </c>
      <c r="E199" s="71">
        <f>DADOS_AM!$GU$20</f>
        <v/>
      </c>
      <c r="F199" s="71">
        <f>DADOS_AM!$GR$20</f>
        <v/>
      </c>
      <c r="G199" s="95">
        <f>DADOS_AM!$GT$20</f>
        <v/>
      </c>
      <c r="H199" s="17" t="n"/>
      <c r="I199" s="137" t="n"/>
      <c r="J199" s="95" t="inlineStr">
        <is>
          <t>Projétil</t>
        </is>
      </c>
      <c r="K199" s="71">
        <f>DADOS_AM!$GU$21</f>
        <v/>
      </c>
      <c r="L199" s="71">
        <f>DADOS_AM!$GR$21</f>
        <v/>
      </c>
      <c r="M199" s="95">
        <f>DADOS_AM!$GT$21</f>
        <v/>
      </c>
      <c r="N199" s="17" t="n"/>
      <c r="O199" s="137" t="n"/>
      <c r="P199" s="95" t="inlineStr">
        <is>
          <t>Projétil</t>
        </is>
      </c>
      <c r="Q199" s="71">
        <f>DADOS_AM!$GU$22</f>
        <v/>
      </c>
      <c r="R199" s="71">
        <f>DADOS_AM!$GR$22</f>
        <v/>
      </c>
      <c r="S199" s="95">
        <f>DADOS_AM!$GT$22</f>
        <v/>
      </c>
      <c r="T199" s="17" t="n"/>
      <c r="U199" s="137" t="n"/>
    </row>
    <row r="200" hidden="1" outlineLevel="2">
      <c r="A200" s="8" t="n"/>
      <c r="B200" s="14" t="n"/>
      <c r="C200" s="137" t="n"/>
      <c r="D200" s="95">
        <f>DADOS_AM!$GS$20</f>
        <v/>
      </c>
      <c r="E200" s="143">
        <f>DADOS_AM!$GZ$20</f>
        <v/>
      </c>
      <c r="F200" s="16" t="n"/>
      <c r="G200" s="16" t="n"/>
      <c r="H200" s="17" t="n"/>
      <c r="I200" s="137" t="n"/>
      <c r="J200" s="95">
        <f>DADOS_AM!$GS$21</f>
        <v/>
      </c>
      <c r="K200" s="143">
        <f>DADOS_AM!$GZ$21</f>
        <v/>
      </c>
      <c r="L200" s="16" t="n"/>
      <c r="M200" s="16" t="n"/>
      <c r="N200" s="17" t="n"/>
      <c r="O200" s="137" t="n"/>
      <c r="P200" s="95">
        <f>DADOS_AM!$GS$22</f>
        <v/>
      </c>
      <c r="Q200" s="143">
        <f>DADOS_AM!$GZ$22</f>
        <v/>
      </c>
      <c r="R200" s="16" t="n"/>
      <c r="S200" s="16" t="n"/>
      <c r="T200" s="17" t="n"/>
      <c r="U200" s="137" t="n"/>
    </row>
    <row r="201" hidden="1" outlineLevel="3">
      <c r="A201" s="8" t="n"/>
      <c r="B201" s="14" t="n"/>
      <c r="C201" s="137" t="n"/>
      <c r="D201" s="56" t="inlineStr">
        <is>
          <t>MELHORIAS</t>
        </is>
      </c>
      <c r="E201" s="144" t="n"/>
      <c r="F201" s="17" t="n"/>
      <c r="G201" s="143">
        <f>DADOS_AM!$HC$20</f>
        <v/>
      </c>
      <c r="H201" s="17" t="n"/>
      <c r="I201" s="137" t="n"/>
      <c r="J201" s="56" t="inlineStr">
        <is>
          <t>MELHORIAS</t>
        </is>
      </c>
      <c r="K201" s="144" t="n"/>
      <c r="L201" s="17" t="n"/>
      <c r="M201" s="143">
        <f>DADOS_AM!$HC$21</f>
        <v/>
      </c>
      <c r="N201" s="17" t="n"/>
      <c r="O201" s="137" t="n"/>
      <c r="P201" s="56" t="inlineStr">
        <is>
          <t>MELHORIAS</t>
        </is>
      </c>
      <c r="Q201" s="144" t="n"/>
      <c r="R201" s="17" t="n"/>
      <c r="S201" s="143">
        <f>DADOS_AM!$HC$22</f>
        <v/>
      </c>
      <c r="T201" s="17" t="n"/>
      <c r="U201" s="137" t="n"/>
    </row>
    <row r="202" hidden="1" outlineLevel="3">
      <c r="A202" s="8" t="n"/>
      <c r="B202" s="14" t="n"/>
      <c r="C202" s="137" t="n"/>
      <c r="D202" s="66" t="n"/>
      <c r="E202" s="144" t="n"/>
      <c r="F202" s="17" t="n"/>
      <c r="G202" s="143">
        <f>DADOS_AM!$HD$20</f>
        <v/>
      </c>
      <c r="H202" s="17" t="n"/>
      <c r="I202" s="137" t="n"/>
      <c r="J202" s="66" t="n"/>
      <c r="K202" s="144" t="n"/>
      <c r="L202" s="17" t="n"/>
      <c r="M202" s="143">
        <f>DADOS_AM!$HD$21</f>
        <v/>
      </c>
      <c r="N202" s="17" t="n"/>
      <c r="O202" s="137" t="n"/>
      <c r="P202" s="66" t="n"/>
      <c r="Q202" s="144" t="n"/>
      <c r="R202" s="17" t="n"/>
      <c r="S202" s="143">
        <f>DADOS_AM!$HD$22</f>
        <v/>
      </c>
      <c r="T202" s="17" t="n"/>
      <c r="U202" s="137" t="n"/>
    </row>
    <row r="203" hidden="1" outlineLevel="3">
      <c r="A203" s="8" t="n"/>
      <c r="B203" s="14" t="n"/>
      <c r="C203" s="137" t="n"/>
      <c r="D203" s="66" t="n"/>
      <c r="E203" s="144" t="n"/>
      <c r="F203" s="17" t="n"/>
      <c r="G203" s="143">
        <f>DADOS_AM!$HE$20</f>
        <v/>
      </c>
      <c r="H203" s="17" t="n"/>
      <c r="I203" s="137" t="n"/>
      <c r="J203" s="66" t="n"/>
      <c r="K203" s="144" t="n"/>
      <c r="L203" s="17" t="n"/>
      <c r="M203" s="143">
        <f>DADOS_AM!$HE$21</f>
        <v/>
      </c>
      <c r="N203" s="17" t="n"/>
      <c r="O203" s="137" t="n"/>
      <c r="P203" s="66" t="n"/>
      <c r="Q203" s="144" t="n"/>
      <c r="R203" s="17" t="n"/>
      <c r="S203" s="143">
        <f>DADOS_AM!$HE$22</f>
        <v/>
      </c>
      <c r="T203" s="17" t="n"/>
      <c r="U203" s="137" t="n"/>
    </row>
    <row r="204" hidden="1" outlineLevel="3">
      <c r="A204" s="8" t="n"/>
      <c r="B204" s="14" t="n"/>
      <c r="C204" s="137" t="n"/>
      <c r="D204" s="128" t="n"/>
      <c r="E204" s="144" t="n"/>
      <c r="F204" s="17" t="n"/>
      <c r="G204" s="143">
        <f>DADOS_AM!$HF$20</f>
        <v/>
      </c>
      <c r="H204" s="17" t="n"/>
      <c r="I204" s="137" t="n"/>
      <c r="J204" s="128" t="n"/>
      <c r="K204" s="144" t="n"/>
      <c r="L204" s="17" t="n"/>
      <c r="M204" s="143">
        <f>DADOS_AM!$HF$21</f>
        <v/>
      </c>
      <c r="N204" s="17" t="n"/>
      <c r="O204" s="137" t="n"/>
      <c r="P204" s="128" t="n"/>
      <c r="Q204" s="144" t="n"/>
      <c r="R204" s="17" t="n"/>
      <c r="S204" s="143">
        <f>DADOS_AM!$HF$22</f>
        <v/>
      </c>
      <c r="T204" s="17" t="n"/>
      <c r="U204" s="137" t="n"/>
    </row>
    <row r="205" hidden="1" outlineLevel="3">
      <c r="A205" s="8" t="n"/>
      <c r="B205" s="14" t="n"/>
      <c r="C205" s="137" t="n"/>
      <c r="D205" s="56" t="inlineStr">
        <is>
          <t>RESTRIÇÕES</t>
        </is>
      </c>
      <c r="E205" s="144" t="n"/>
      <c r="F205" s="17" t="n"/>
      <c r="G205" s="143">
        <f>DADOS_AM!$HG$20</f>
        <v/>
      </c>
      <c r="H205" s="17" t="n"/>
      <c r="I205" s="137" t="n"/>
      <c r="J205" s="56" t="inlineStr">
        <is>
          <t>RESTRIÇÕES</t>
        </is>
      </c>
      <c r="K205" s="144" t="n"/>
      <c r="L205" s="17" t="n"/>
      <c r="M205" s="143">
        <f>DADOS_AM!$HG$21</f>
        <v/>
      </c>
      <c r="N205" s="17" t="n"/>
      <c r="O205" s="137" t="n"/>
      <c r="P205" s="56" t="inlineStr">
        <is>
          <t>RESTRIÇÕES</t>
        </is>
      </c>
      <c r="Q205" s="144" t="n"/>
      <c r="R205" s="17" t="n"/>
      <c r="S205" s="143">
        <f>DADOS_AM!$HG$22</f>
        <v/>
      </c>
      <c r="T205" s="17" t="n"/>
      <c r="U205" s="137" t="n"/>
    </row>
    <row r="206" hidden="1" outlineLevel="3">
      <c r="A206" s="8" t="n"/>
      <c r="B206" s="14" t="n"/>
      <c r="C206" s="137" t="n"/>
      <c r="D206" s="128" t="n"/>
      <c r="E206" s="144" t="n"/>
      <c r="F206" s="17" t="n"/>
      <c r="G206" s="143">
        <f>DADOS_AM!$HH$20</f>
        <v/>
      </c>
      <c r="H206" s="17" t="n"/>
      <c r="I206" s="137" t="n"/>
      <c r="J206" s="128" t="n"/>
      <c r="K206" s="144" t="n"/>
      <c r="L206" s="17" t="n"/>
      <c r="M206" s="143">
        <f>DADOS_AM!$HH$21</f>
        <v/>
      </c>
      <c r="N206" s="17" t="n"/>
      <c r="O206" s="137" t="n"/>
      <c r="P206" s="128" t="n"/>
      <c r="Q206" s="144" t="n"/>
      <c r="R206" s="17" t="n"/>
      <c r="S206" s="143">
        <f>DADOS_AM!$HH$22</f>
        <v/>
      </c>
      <c r="T206" s="17" t="n"/>
      <c r="U206" s="137" t="n"/>
    </row>
    <row r="207" hidden="1" outlineLevel="3">
      <c r="A207" s="8" t="n"/>
      <c r="B207" s="14" t="n"/>
      <c r="C207" s="137" t="n"/>
      <c r="D207" s="56" t="inlineStr">
        <is>
          <t>CONTA</t>
        </is>
      </c>
      <c r="E207" s="145">
        <f>DADOS_AM!$HA$20</f>
        <v/>
      </c>
      <c r="F207" s="16" t="n"/>
      <c r="G207" s="16" t="n"/>
      <c r="H207" s="17" t="n"/>
      <c r="I207" s="137" t="n"/>
      <c r="J207" s="56" t="inlineStr">
        <is>
          <t>CONTA</t>
        </is>
      </c>
      <c r="K207" s="145">
        <f>DADOS_AM!$HA$21</f>
        <v/>
      </c>
      <c r="L207" s="16" t="n"/>
      <c r="M207" s="16" t="n"/>
      <c r="N207" s="17" t="n"/>
      <c r="O207" s="137" t="n"/>
      <c r="P207" s="56" t="inlineStr">
        <is>
          <t>CONTA</t>
        </is>
      </c>
      <c r="Q207" s="145">
        <f>DADOS_AM!$HA$22</f>
        <v/>
      </c>
      <c r="R207" s="16" t="n"/>
      <c r="S207" s="16" t="n"/>
      <c r="T207" s="17" t="n"/>
      <c r="U207" s="137" t="n"/>
    </row>
    <row r="208" hidden="1" outlineLevel="3">
      <c r="A208" s="8" t="n"/>
      <c r="B208" s="14" t="n"/>
      <c r="C208" s="137" t="n"/>
      <c r="D208" s="56" t="inlineStr">
        <is>
          <t>AMPLIAR</t>
        </is>
      </c>
      <c r="E208" s="145">
        <f>DADOS_AM!$HB$20</f>
        <v/>
      </c>
      <c r="F208" s="19" t="n"/>
      <c r="G208" s="19" t="n"/>
      <c r="H208" s="20" t="n"/>
      <c r="I208" s="137" t="n"/>
      <c r="J208" s="56" t="inlineStr">
        <is>
          <t>AMPLIAR</t>
        </is>
      </c>
      <c r="K208" s="145">
        <f>DADOS_AM!$HB$21</f>
        <v/>
      </c>
      <c r="L208" s="19" t="n"/>
      <c r="M208" s="19" t="n"/>
      <c r="N208" s="20" t="n"/>
      <c r="O208" s="137" t="n"/>
      <c r="P208" s="56" t="inlineStr">
        <is>
          <t>AMPLIAR</t>
        </is>
      </c>
      <c r="Q208" s="145">
        <f>DADOS_AM!$HB$22</f>
        <v/>
      </c>
      <c r="R208" s="19" t="n"/>
      <c r="S208" s="19" t="n"/>
      <c r="T208" s="20" t="n"/>
      <c r="U208" s="137" t="n"/>
    </row>
    <row r="209" hidden="1" outlineLevel="3">
      <c r="A209" s="8" t="n"/>
      <c r="B209" s="14" t="n"/>
      <c r="C209" s="137" t="n"/>
      <c r="D209" s="128" t="n"/>
      <c r="E209" s="23" t="n"/>
      <c r="F209" s="24" t="n"/>
      <c r="G209" s="24" t="n"/>
      <c r="H209" s="25" t="n"/>
      <c r="I209" s="137" t="n"/>
      <c r="J209" s="128" t="n"/>
      <c r="K209" s="23" t="n"/>
      <c r="L209" s="24" t="n"/>
      <c r="M209" s="24" t="n"/>
      <c r="N209" s="25" t="n"/>
      <c r="O209" s="137" t="n"/>
      <c r="P209" s="128" t="n"/>
      <c r="Q209" s="23" t="n"/>
      <c r="R209" s="24" t="n"/>
      <c r="S209" s="24" t="n"/>
      <c r="T209" s="25" t="n"/>
      <c r="U209" s="137" t="n"/>
    </row>
    <row r="210" hidden="1" outlineLevel="3">
      <c r="A210" s="8" t="n"/>
      <c r="B210" s="14" t="n"/>
      <c r="C210" s="137" t="n"/>
      <c r="D210" s="56" t="inlineStr">
        <is>
          <t>AVISOS</t>
        </is>
      </c>
      <c r="E210" s="145">
        <f>DADOS_AM!$GQ$20</f>
        <v/>
      </c>
      <c r="F210" s="19" t="n"/>
      <c r="G210" s="19" t="n"/>
      <c r="H210" s="20" t="n"/>
      <c r="I210" s="137" t="n"/>
      <c r="J210" s="56" t="inlineStr">
        <is>
          <t>AVISOS</t>
        </is>
      </c>
      <c r="K210" s="145">
        <f>DADOS_AM!$GQ$21</f>
        <v/>
      </c>
      <c r="L210" s="19" t="n"/>
      <c r="M210" s="19" t="n"/>
      <c r="N210" s="20" t="n"/>
      <c r="O210" s="137" t="n"/>
      <c r="P210" s="56" t="inlineStr">
        <is>
          <t>AVISOS</t>
        </is>
      </c>
      <c r="Q210" s="145">
        <f>DADOS_AM!$GQ$22</f>
        <v/>
      </c>
      <c r="R210" s="19" t="n"/>
      <c r="S210" s="19" t="n"/>
      <c r="T210" s="20" t="n"/>
      <c r="U210" s="137" t="n"/>
    </row>
    <row r="211" hidden="1" outlineLevel="3">
      <c r="A211" s="8" t="n"/>
      <c r="B211" s="14" t="n"/>
      <c r="C211" s="137" t="n"/>
      <c r="D211" s="128" t="n"/>
      <c r="E211" s="23" t="n"/>
      <c r="F211" s="24" t="n"/>
      <c r="G211" s="24" t="n"/>
      <c r="H211" s="25" t="n"/>
      <c r="I211" s="137" t="n"/>
      <c r="J211" s="128" t="n"/>
      <c r="K211" s="23" t="n"/>
      <c r="L211" s="24" t="n"/>
      <c r="M211" s="24" t="n"/>
      <c r="N211" s="25" t="n"/>
      <c r="O211" s="137" t="n"/>
      <c r="P211" s="128" t="n"/>
      <c r="Q211" s="23" t="n"/>
      <c r="R211" s="24" t="n"/>
      <c r="S211" s="24" t="n"/>
      <c r="T211" s="25" t="n"/>
      <c r="U211" s="137" t="n"/>
    </row>
    <row r="212" hidden="1" outlineLevel="2">
      <c r="A212" s="8" t="n"/>
      <c r="B212" s="14" t="n"/>
      <c r="C212" s="137" t="n"/>
      <c r="D212" s="137" t="n"/>
      <c r="E212" s="137" t="n"/>
      <c r="F212" s="137" t="n"/>
      <c r="G212" s="137" t="n"/>
      <c r="H212" s="137" t="n"/>
      <c r="I212" s="137" t="n"/>
      <c r="J212" s="137" t="n"/>
      <c r="K212" s="137" t="n"/>
      <c r="L212" s="137" t="n"/>
      <c r="M212" s="137" t="n"/>
      <c r="N212" s="137" t="n"/>
      <c r="O212" s="137" t="n"/>
      <c r="P212" s="137" t="n"/>
      <c r="Q212" s="137" t="n"/>
      <c r="R212" s="137" t="n"/>
      <c r="S212" s="137" t="n"/>
      <c r="T212" s="137" t="n"/>
      <c r="U212" s="137" t="n"/>
    </row>
    <row r="213" hidden="1" outlineLevel="2">
      <c r="A213" s="8" t="n"/>
      <c r="B213" s="14" t="n"/>
      <c r="C213" s="137" t="n"/>
      <c r="D213" s="141" t="n">
        <v>1</v>
      </c>
      <c r="E213" s="131" t="n"/>
      <c r="F213" s="17" t="n"/>
      <c r="G213" s="142">
        <f>DADOS_AM!$GP$23</f>
        <v/>
      </c>
      <c r="H213" s="17" t="n"/>
      <c r="I213" s="137" t="n"/>
      <c r="J213" s="141" t="n">
        <v>1</v>
      </c>
      <c r="K213" s="131" t="n"/>
      <c r="L213" s="17" t="n"/>
      <c r="M213" s="142">
        <f>DADOS_AM!$GP$24</f>
        <v/>
      </c>
      <c r="N213" s="17" t="n"/>
      <c r="O213" s="137" t="n"/>
      <c r="P213" s="141" t="n">
        <v>1</v>
      </c>
      <c r="Q213" s="131" t="n"/>
      <c r="R213" s="17" t="n"/>
      <c r="S213" s="142">
        <f>DADOS_AM!$GP$25</f>
        <v/>
      </c>
      <c r="T213" s="17" t="n"/>
      <c r="U213" s="137" t="n"/>
    </row>
    <row r="214" hidden="1" outlineLevel="3">
      <c r="A214" s="8" t="n"/>
      <c r="B214" s="14" t="n"/>
      <c r="C214" s="137" t="n"/>
      <c r="D214" s="56" t="inlineStr">
        <is>
          <t>COMO É</t>
        </is>
      </c>
      <c r="E214" s="16" t="n"/>
      <c r="F214" s="16" t="n"/>
      <c r="G214" s="16" t="n"/>
      <c r="H214" s="17" t="n"/>
      <c r="I214" s="137" t="n"/>
      <c r="J214" s="56" t="inlineStr">
        <is>
          <t>COMO É</t>
        </is>
      </c>
      <c r="K214" s="16" t="n"/>
      <c r="L214" s="16" t="n"/>
      <c r="M214" s="16" t="n"/>
      <c r="N214" s="17" t="n"/>
      <c r="O214" s="137" t="n"/>
      <c r="P214" s="56" t="inlineStr">
        <is>
          <t>COMO É</t>
        </is>
      </c>
      <c r="Q214" s="16" t="n"/>
      <c r="R214" s="16" t="n"/>
      <c r="S214" s="16" t="n"/>
      <c r="T214" s="17" t="n"/>
      <c r="U214" s="137" t="n"/>
    </row>
    <row r="215" hidden="1" outlineLevel="3">
      <c r="A215" s="8" t="n"/>
      <c r="B215" s="14" t="n"/>
      <c r="C215" s="137" t="n"/>
      <c r="D215" s="61" t="n"/>
      <c r="E215" s="19" t="n"/>
      <c r="F215" s="19" t="n"/>
      <c r="G215" s="19" t="n"/>
      <c r="H215" s="20" t="n"/>
      <c r="I215" s="137" t="n"/>
      <c r="J215" s="61" t="n"/>
      <c r="K215" s="19" t="n"/>
      <c r="L215" s="19" t="n"/>
      <c r="M215" s="19" t="n"/>
      <c r="N215" s="20" t="n"/>
      <c r="O215" s="137" t="n"/>
      <c r="P215" s="61" t="n"/>
      <c r="Q215" s="19" t="n"/>
      <c r="R215" s="19" t="n"/>
      <c r="S215" s="19" t="n"/>
      <c r="T215" s="20" t="n"/>
      <c r="U215" s="137" t="n"/>
    </row>
    <row r="216" hidden="1" outlineLevel="3">
      <c r="A216" s="8" t="n"/>
      <c r="B216" s="14" t="n"/>
      <c r="C216" s="137" t="n"/>
      <c r="D216" s="21" t="n"/>
      <c r="H216" s="22" t="n"/>
      <c r="I216" s="137" t="n"/>
      <c r="J216" s="21" t="n"/>
      <c r="N216" s="22" t="n"/>
      <c r="O216" s="137" t="n"/>
      <c r="P216" s="21" t="n"/>
      <c r="T216" s="22" t="n"/>
      <c r="U216" s="137" t="n"/>
    </row>
    <row r="217" hidden="1" outlineLevel="3">
      <c r="A217" s="8" t="n"/>
      <c r="B217" s="14" t="n"/>
      <c r="C217" s="137" t="n"/>
      <c r="D217" s="21" t="n"/>
      <c r="H217" s="22" t="n"/>
      <c r="I217" s="137" t="n"/>
      <c r="J217" s="21" t="n"/>
      <c r="N217" s="22" t="n"/>
      <c r="O217" s="137" t="n"/>
      <c r="P217" s="21" t="n"/>
      <c r="T217" s="22" t="n"/>
      <c r="U217" s="137" t="n"/>
    </row>
    <row r="218" hidden="1" outlineLevel="3">
      <c r="A218" s="8" t="n"/>
      <c r="B218" s="14" t="n"/>
      <c r="C218" s="137" t="n"/>
      <c r="D218" s="21" t="n"/>
      <c r="H218" s="22" t="n"/>
      <c r="I218" s="137" t="n"/>
      <c r="J218" s="21" t="n"/>
      <c r="N218" s="22" t="n"/>
      <c r="O218" s="137" t="n"/>
      <c r="P218" s="21" t="n"/>
      <c r="T218" s="22" t="n"/>
      <c r="U218" s="137" t="n"/>
    </row>
    <row r="219" hidden="1" outlineLevel="3">
      <c r="A219" s="8" t="n"/>
      <c r="B219" s="14" t="n"/>
      <c r="C219" s="137" t="n"/>
      <c r="D219" s="23" t="n"/>
      <c r="E219" s="24" t="n"/>
      <c r="F219" s="24" t="n"/>
      <c r="G219" s="24" t="n"/>
      <c r="H219" s="25" t="n"/>
      <c r="I219" s="137" t="n"/>
      <c r="J219" s="23" t="n"/>
      <c r="K219" s="24" t="n"/>
      <c r="L219" s="24" t="n"/>
      <c r="M219" s="24" t="n"/>
      <c r="N219" s="25" t="n"/>
      <c r="O219" s="137" t="n"/>
      <c r="P219" s="23" t="n"/>
      <c r="Q219" s="24" t="n"/>
      <c r="R219" s="24" t="n"/>
      <c r="S219" s="24" t="n"/>
      <c r="T219" s="25" t="n"/>
      <c r="U219" s="137" t="n"/>
    </row>
    <row r="220" hidden="1" outlineLevel="2">
      <c r="A220" s="8" t="n"/>
      <c r="B220" s="14" t="n"/>
      <c r="C220" s="137" t="n"/>
      <c r="D220" s="95" t="inlineStr">
        <is>
          <t>Projétil</t>
        </is>
      </c>
      <c r="E220" s="71">
        <f>DADOS_AM!$GU$23</f>
        <v/>
      </c>
      <c r="F220" s="71">
        <f>DADOS_AM!$GR$23</f>
        <v/>
      </c>
      <c r="G220" s="95">
        <f>DADOS_AM!$GT$23</f>
        <v/>
      </c>
      <c r="H220" s="17" t="n"/>
      <c r="I220" s="137" t="n"/>
      <c r="J220" s="95" t="inlineStr">
        <is>
          <t>Projétil</t>
        </is>
      </c>
      <c r="K220" s="71">
        <f>DADOS_AM!$GU$24</f>
        <v/>
      </c>
      <c r="L220" s="71">
        <f>DADOS_AM!$GR$24</f>
        <v/>
      </c>
      <c r="M220" s="95">
        <f>DADOS_AM!$GT$24</f>
        <v/>
      </c>
      <c r="N220" s="17" t="n"/>
      <c r="O220" s="137" t="n"/>
      <c r="P220" s="95" t="inlineStr">
        <is>
          <t>Projétil</t>
        </is>
      </c>
      <c r="Q220" s="71">
        <f>DADOS_AM!$GU$25</f>
        <v/>
      </c>
      <c r="R220" s="71">
        <f>DADOS_AM!$GR$25</f>
        <v/>
      </c>
      <c r="S220" s="95">
        <f>DADOS_AM!$GT$25</f>
        <v/>
      </c>
      <c r="T220" s="17" t="n"/>
      <c r="U220" s="137" t="n"/>
    </row>
    <row r="221" hidden="1" outlineLevel="2">
      <c r="A221" s="8" t="n"/>
      <c r="B221" s="14" t="n"/>
      <c r="C221" s="137" t="n"/>
      <c r="D221" s="95">
        <f>DADOS_AM!$GS$23</f>
        <v/>
      </c>
      <c r="E221" s="143">
        <f>DADOS_AM!$GZ$23</f>
        <v/>
      </c>
      <c r="F221" s="16" t="n"/>
      <c r="G221" s="16" t="n"/>
      <c r="H221" s="17" t="n"/>
      <c r="I221" s="137" t="n"/>
      <c r="J221" s="95">
        <f>DADOS_AM!$GS$24</f>
        <v/>
      </c>
      <c r="K221" s="143">
        <f>DADOS_AM!$GZ$24</f>
        <v/>
      </c>
      <c r="L221" s="16" t="n"/>
      <c r="M221" s="16" t="n"/>
      <c r="N221" s="17" t="n"/>
      <c r="O221" s="137" t="n"/>
      <c r="P221" s="95">
        <f>DADOS_AM!$GS$25</f>
        <v/>
      </c>
      <c r="Q221" s="143">
        <f>DADOS_AM!$GZ$25</f>
        <v/>
      </c>
      <c r="R221" s="16" t="n"/>
      <c r="S221" s="16" t="n"/>
      <c r="T221" s="17" t="n"/>
      <c r="U221" s="137" t="n"/>
    </row>
    <row r="222" hidden="1" outlineLevel="3">
      <c r="A222" s="8" t="n"/>
      <c r="B222" s="14" t="n"/>
      <c r="C222" s="137" t="n"/>
      <c r="D222" s="56" t="inlineStr">
        <is>
          <t>MELHORIAS</t>
        </is>
      </c>
      <c r="E222" s="144" t="n"/>
      <c r="F222" s="17" t="n"/>
      <c r="G222" s="143">
        <f>DADOS_AM!$HC$23</f>
        <v/>
      </c>
      <c r="H222" s="17" t="n"/>
      <c r="I222" s="137" t="n"/>
      <c r="J222" s="56" t="inlineStr">
        <is>
          <t>MELHORIAS</t>
        </is>
      </c>
      <c r="K222" s="144" t="n"/>
      <c r="L222" s="17" t="n"/>
      <c r="M222" s="143">
        <f>DADOS_AM!$HC$24</f>
        <v/>
      </c>
      <c r="N222" s="17" t="n"/>
      <c r="O222" s="137" t="n"/>
      <c r="P222" s="56" t="inlineStr">
        <is>
          <t>MELHORIAS</t>
        </is>
      </c>
      <c r="Q222" s="144" t="n"/>
      <c r="R222" s="17" t="n"/>
      <c r="S222" s="143">
        <f>DADOS_AM!$HC$25</f>
        <v/>
      </c>
      <c r="T222" s="17" t="n"/>
      <c r="U222" s="137" t="n"/>
    </row>
    <row r="223" hidden="1" outlineLevel="3">
      <c r="A223" s="8" t="n"/>
      <c r="B223" s="14" t="n"/>
      <c r="C223" s="137" t="n"/>
      <c r="D223" s="66" t="n"/>
      <c r="E223" s="144" t="n"/>
      <c r="F223" s="17" t="n"/>
      <c r="G223" s="143">
        <f>DADOS_AM!$HD$23</f>
        <v/>
      </c>
      <c r="H223" s="17" t="n"/>
      <c r="I223" s="137" t="n"/>
      <c r="J223" s="66" t="n"/>
      <c r="K223" s="144" t="n"/>
      <c r="L223" s="17" t="n"/>
      <c r="M223" s="143">
        <f>DADOS_AM!$HD$24</f>
        <v/>
      </c>
      <c r="N223" s="17" t="n"/>
      <c r="O223" s="137" t="n"/>
      <c r="P223" s="66" t="n"/>
      <c r="Q223" s="144" t="n"/>
      <c r="R223" s="17" t="n"/>
      <c r="S223" s="143">
        <f>DADOS_AM!$HD$25</f>
        <v/>
      </c>
      <c r="T223" s="17" t="n"/>
      <c r="U223" s="137" t="n"/>
    </row>
    <row r="224" hidden="1" outlineLevel="3">
      <c r="A224" s="8" t="n"/>
      <c r="B224" s="14" t="n"/>
      <c r="C224" s="137" t="n"/>
      <c r="D224" s="66" t="n"/>
      <c r="E224" s="144" t="n"/>
      <c r="F224" s="17" t="n"/>
      <c r="G224" s="143">
        <f>DADOS_AM!$HE$23</f>
        <v/>
      </c>
      <c r="H224" s="17" t="n"/>
      <c r="I224" s="137" t="n"/>
      <c r="J224" s="66" t="n"/>
      <c r="K224" s="144" t="n"/>
      <c r="L224" s="17" t="n"/>
      <c r="M224" s="143">
        <f>DADOS_AM!$HE$24</f>
        <v/>
      </c>
      <c r="N224" s="17" t="n"/>
      <c r="O224" s="137" t="n"/>
      <c r="P224" s="66" t="n"/>
      <c r="Q224" s="144" t="n"/>
      <c r="R224" s="17" t="n"/>
      <c r="S224" s="143">
        <f>DADOS_AM!$HE$25</f>
        <v/>
      </c>
      <c r="T224" s="17" t="n"/>
      <c r="U224" s="137" t="n"/>
    </row>
    <row r="225" hidden="1" outlineLevel="3">
      <c r="A225" s="8" t="n"/>
      <c r="B225" s="14" t="n"/>
      <c r="C225" s="137" t="n"/>
      <c r="D225" s="128" t="n"/>
      <c r="E225" s="144" t="n"/>
      <c r="F225" s="17" t="n"/>
      <c r="G225" s="143">
        <f>DADOS_AM!$HF$23</f>
        <v/>
      </c>
      <c r="H225" s="17" t="n"/>
      <c r="I225" s="137" t="n"/>
      <c r="J225" s="128" t="n"/>
      <c r="K225" s="144" t="n"/>
      <c r="L225" s="17" t="n"/>
      <c r="M225" s="143">
        <f>DADOS_AM!$HF$24</f>
        <v/>
      </c>
      <c r="N225" s="17" t="n"/>
      <c r="O225" s="137" t="n"/>
      <c r="P225" s="128" t="n"/>
      <c r="Q225" s="144" t="n"/>
      <c r="R225" s="17" t="n"/>
      <c r="S225" s="143">
        <f>DADOS_AM!$HF$25</f>
        <v/>
      </c>
      <c r="T225" s="17" t="n"/>
      <c r="U225" s="137" t="n"/>
    </row>
    <row r="226" hidden="1" outlineLevel="3">
      <c r="A226" s="8" t="n"/>
      <c r="B226" s="14" t="n"/>
      <c r="C226" s="137" t="n"/>
      <c r="D226" s="56" t="inlineStr">
        <is>
          <t>RESTRIÇÕES</t>
        </is>
      </c>
      <c r="E226" s="144" t="n"/>
      <c r="F226" s="17" t="n"/>
      <c r="G226" s="143">
        <f>DADOS_AM!$HG$23</f>
        <v/>
      </c>
      <c r="H226" s="17" t="n"/>
      <c r="I226" s="137" t="n"/>
      <c r="J226" s="56" t="inlineStr">
        <is>
          <t>RESTRIÇÕES</t>
        </is>
      </c>
      <c r="K226" s="144" t="n"/>
      <c r="L226" s="17" t="n"/>
      <c r="M226" s="143">
        <f>DADOS_AM!$HG$24</f>
        <v/>
      </c>
      <c r="N226" s="17" t="n"/>
      <c r="O226" s="137" t="n"/>
      <c r="P226" s="56" t="inlineStr">
        <is>
          <t>RESTRIÇÕES</t>
        </is>
      </c>
      <c r="Q226" s="144" t="n"/>
      <c r="R226" s="17" t="n"/>
      <c r="S226" s="143">
        <f>DADOS_AM!$HG$25</f>
        <v/>
      </c>
      <c r="T226" s="17" t="n"/>
      <c r="U226" s="137" t="n"/>
    </row>
    <row r="227" hidden="1" outlineLevel="3">
      <c r="A227" s="8" t="n"/>
      <c r="B227" s="14" t="n"/>
      <c r="C227" s="137" t="n"/>
      <c r="D227" s="128" t="n"/>
      <c r="E227" s="144" t="n"/>
      <c r="F227" s="17" t="n"/>
      <c r="G227" s="143">
        <f>DADOS_AM!$HH$23</f>
        <v/>
      </c>
      <c r="H227" s="17" t="n"/>
      <c r="I227" s="137" t="n"/>
      <c r="J227" s="128" t="n"/>
      <c r="K227" s="144" t="n"/>
      <c r="L227" s="17" t="n"/>
      <c r="M227" s="143">
        <f>DADOS_AM!$HH$24</f>
        <v/>
      </c>
      <c r="N227" s="17" t="n"/>
      <c r="O227" s="137" t="n"/>
      <c r="P227" s="128" t="n"/>
      <c r="Q227" s="144" t="n"/>
      <c r="R227" s="17" t="n"/>
      <c r="S227" s="143">
        <f>DADOS_AM!$HH$25</f>
        <v/>
      </c>
      <c r="T227" s="17" t="n"/>
      <c r="U227" s="137" t="n"/>
    </row>
    <row r="228" hidden="1" outlineLevel="3">
      <c r="A228" s="8" t="n"/>
      <c r="B228" s="14" t="n"/>
      <c r="C228" s="137" t="n"/>
      <c r="D228" s="56" t="inlineStr">
        <is>
          <t>CONTA</t>
        </is>
      </c>
      <c r="E228" s="145">
        <f>DADOS_AM!$HA$23</f>
        <v/>
      </c>
      <c r="F228" s="16" t="n"/>
      <c r="G228" s="16" t="n"/>
      <c r="H228" s="17" t="n"/>
      <c r="I228" s="137" t="n"/>
      <c r="J228" s="56" t="inlineStr">
        <is>
          <t>CONTA</t>
        </is>
      </c>
      <c r="K228" s="145">
        <f>DADOS_AM!$HA$24</f>
        <v/>
      </c>
      <c r="L228" s="16" t="n"/>
      <c r="M228" s="16" t="n"/>
      <c r="N228" s="17" t="n"/>
      <c r="O228" s="137" t="n"/>
      <c r="P228" s="56" t="inlineStr">
        <is>
          <t>CONTA</t>
        </is>
      </c>
      <c r="Q228" s="145">
        <f>DADOS_AM!$HA$25</f>
        <v/>
      </c>
      <c r="R228" s="16" t="n"/>
      <c r="S228" s="16" t="n"/>
      <c r="T228" s="17" t="n"/>
      <c r="U228" s="137" t="n"/>
    </row>
    <row r="229" hidden="1" outlineLevel="3">
      <c r="A229" s="8" t="n"/>
      <c r="B229" s="14" t="n"/>
      <c r="C229" s="137" t="n"/>
      <c r="D229" s="56" t="inlineStr">
        <is>
          <t>AMPLIAR</t>
        </is>
      </c>
      <c r="E229" s="145">
        <f>DADOS_AM!$HB$23</f>
        <v/>
      </c>
      <c r="F229" s="19" t="n"/>
      <c r="G229" s="19" t="n"/>
      <c r="H229" s="20" t="n"/>
      <c r="I229" s="137" t="n"/>
      <c r="J229" s="56" t="inlineStr">
        <is>
          <t>AMPLIAR</t>
        </is>
      </c>
      <c r="K229" s="145">
        <f>DADOS_AM!$HB$24</f>
        <v/>
      </c>
      <c r="L229" s="19" t="n"/>
      <c r="M229" s="19" t="n"/>
      <c r="N229" s="20" t="n"/>
      <c r="O229" s="137" t="n"/>
      <c r="P229" s="56" t="inlineStr">
        <is>
          <t>AMPLIAR</t>
        </is>
      </c>
      <c r="Q229" s="145">
        <f>DADOS_AM!$HB$25</f>
        <v/>
      </c>
      <c r="R229" s="19" t="n"/>
      <c r="S229" s="19" t="n"/>
      <c r="T229" s="20" t="n"/>
      <c r="U229" s="137" t="n"/>
    </row>
    <row r="230" hidden="1" outlineLevel="3">
      <c r="A230" s="8" t="n"/>
      <c r="B230" s="14" t="n"/>
      <c r="C230" s="137" t="n"/>
      <c r="D230" s="128" t="n"/>
      <c r="E230" s="23" t="n"/>
      <c r="F230" s="24" t="n"/>
      <c r="G230" s="24" t="n"/>
      <c r="H230" s="25" t="n"/>
      <c r="I230" s="137" t="n"/>
      <c r="J230" s="128" t="n"/>
      <c r="K230" s="23" t="n"/>
      <c r="L230" s="24" t="n"/>
      <c r="M230" s="24" t="n"/>
      <c r="N230" s="25" t="n"/>
      <c r="O230" s="137" t="n"/>
      <c r="P230" s="128" t="n"/>
      <c r="Q230" s="23" t="n"/>
      <c r="R230" s="24" t="n"/>
      <c r="S230" s="24" t="n"/>
      <c r="T230" s="25" t="n"/>
      <c r="U230" s="137" t="n"/>
    </row>
    <row r="231" hidden="1" outlineLevel="3">
      <c r="A231" s="8" t="n"/>
      <c r="B231" s="14" t="n"/>
      <c r="C231" s="137" t="n"/>
      <c r="D231" s="56" t="inlineStr">
        <is>
          <t>AVISOS</t>
        </is>
      </c>
      <c r="E231" s="145">
        <f>DADOS_AM!$GQ$23</f>
        <v/>
      </c>
      <c r="F231" s="19" t="n"/>
      <c r="G231" s="19" t="n"/>
      <c r="H231" s="20" t="n"/>
      <c r="I231" s="137" t="n"/>
      <c r="J231" s="56" t="inlineStr">
        <is>
          <t>AVISOS</t>
        </is>
      </c>
      <c r="K231" s="145">
        <f>DADOS_AM!$GQ$24</f>
        <v/>
      </c>
      <c r="L231" s="19" t="n"/>
      <c r="M231" s="19" t="n"/>
      <c r="N231" s="20" t="n"/>
      <c r="O231" s="137" t="n"/>
      <c r="P231" s="56" t="inlineStr">
        <is>
          <t>AVISOS</t>
        </is>
      </c>
      <c r="Q231" s="145">
        <f>DADOS_AM!$GQ$25</f>
        <v/>
      </c>
      <c r="R231" s="19" t="n"/>
      <c r="S231" s="19" t="n"/>
      <c r="T231" s="20" t="n"/>
      <c r="U231" s="137" t="n"/>
    </row>
    <row r="232" hidden="1" outlineLevel="3">
      <c r="A232" s="8" t="n"/>
      <c r="B232" s="14" t="n"/>
      <c r="C232" s="137" t="n"/>
      <c r="D232" s="128" t="n"/>
      <c r="E232" s="23" t="n"/>
      <c r="F232" s="24" t="n"/>
      <c r="G232" s="24" t="n"/>
      <c r="H232" s="25" t="n"/>
      <c r="I232" s="137" t="n"/>
      <c r="J232" s="128" t="n"/>
      <c r="K232" s="23" t="n"/>
      <c r="L232" s="24" t="n"/>
      <c r="M232" s="24" t="n"/>
      <c r="N232" s="25" t="n"/>
      <c r="O232" s="137" t="n"/>
      <c r="P232" s="128" t="n"/>
      <c r="Q232" s="23" t="n"/>
      <c r="R232" s="24" t="n"/>
      <c r="S232" s="24" t="n"/>
      <c r="T232" s="25" t="n"/>
      <c r="U232" s="137" t="n"/>
    </row>
    <row r="233" outlineLevel="1">
      <c r="A233" s="8" t="n"/>
      <c r="B233" s="14" t="n"/>
      <c r="C233" s="137" t="n"/>
      <c r="D233" s="137" t="n"/>
      <c r="E233" s="137" t="n"/>
      <c r="F233" s="137" t="n"/>
      <c r="G233" s="137" t="n"/>
      <c r="H233" s="137" t="n"/>
      <c r="I233" s="137" t="n"/>
      <c r="J233" s="137" t="n"/>
      <c r="K233" s="137" t="n"/>
      <c r="L233" s="137" t="n"/>
      <c r="M233" s="137" t="n"/>
      <c r="N233" s="137" t="n"/>
      <c r="O233" s="137" t="n"/>
      <c r="P233" s="137" t="n"/>
      <c r="Q233" s="137" t="n"/>
      <c r="R233" s="137" t="n"/>
      <c r="S233" s="137" t="n"/>
      <c r="T233" s="137" t="n"/>
      <c r="U233" s="137" t="n"/>
    </row>
    <row r="234" outlineLevel="1">
      <c r="A234" s="8" t="n"/>
      <c r="B234" s="14" t="n"/>
      <c r="C234" s="137" t="n"/>
      <c r="D234" s="146">
        <f>DADOS_AM!$KV$35</f>
        <v/>
      </c>
      <c r="E234" s="16" t="n"/>
      <c r="F234" s="16" t="n"/>
      <c r="G234" s="16" t="n"/>
      <c r="H234" s="16" t="n"/>
      <c r="I234" s="16" t="n"/>
      <c r="J234" s="16" t="n"/>
      <c r="K234" s="16" t="n"/>
      <c r="L234" s="16" t="n"/>
      <c r="M234" s="16" t="n"/>
      <c r="N234" s="16" t="n"/>
      <c r="O234" s="16" t="n"/>
      <c r="P234" s="16" t="n"/>
      <c r="Q234" s="16" t="n"/>
      <c r="R234" s="16" t="n"/>
      <c r="S234" s="16" t="n"/>
      <c r="T234" s="17" t="n"/>
      <c r="U234" s="137" t="n"/>
    </row>
    <row r="235" hidden="1" outlineLevel="2">
      <c r="A235" s="8" t="n"/>
      <c r="B235" s="14" t="n"/>
      <c r="C235" s="137" t="n"/>
      <c r="D235" s="137" t="n"/>
      <c r="E235" s="137" t="n"/>
      <c r="F235" s="137" t="n"/>
      <c r="G235" s="137" t="n"/>
      <c r="H235" s="137" t="n"/>
      <c r="I235" s="137" t="n"/>
      <c r="J235" s="137" t="n"/>
      <c r="K235" s="137" t="n"/>
      <c r="L235" s="137" t="n"/>
      <c r="M235" s="137" t="n"/>
      <c r="N235" s="137" t="n"/>
      <c r="O235" s="137" t="n"/>
      <c r="P235" s="137" t="n"/>
      <c r="Q235" s="137" t="n"/>
      <c r="R235" s="137" t="n"/>
      <c r="S235" s="137" t="n"/>
      <c r="T235" s="137" t="n"/>
      <c r="U235" s="137" t="n"/>
    </row>
    <row r="236" hidden="1" outlineLevel="2">
      <c r="A236" s="8" t="n"/>
      <c r="B236" s="14" t="n"/>
      <c r="C236" s="137" t="n"/>
      <c r="D236" s="141" t="n">
        <v>1</v>
      </c>
      <c r="E236" s="131" t="n"/>
      <c r="F236" s="17" t="n"/>
      <c r="G236" s="142">
        <f>DADOS_AM!$GP$26</f>
        <v/>
      </c>
      <c r="H236" s="17" t="n"/>
      <c r="I236" s="137" t="n"/>
      <c r="J236" s="141" t="n">
        <v>1</v>
      </c>
      <c r="K236" s="131" t="n"/>
      <c r="L236" s="17" t="n"/>
      <c r="M236" s="142">
        <f>DADOS_AM!$GP$27</f>
        <v/>
      </c>
      <c r="N236" s="17" t="n"/>
      <c r="O236" s="137" t="n"/>
      <c r="P236" s="141" t="n">
        <v>1</v>
      </c>
      <c r="Q236" s="131" t="n"/>
      <c r="R236" s="17" t="n"/>
      <c r="S236" s="142">
        <f>DADOS_AM!$GP$28</f>
        <v/>
      </c>
      <c r="T236" s="17" t="n"/>
      <c r="U236" s="137" t="n"/>
    </row>
    <row r="237" hidden="1" outlineLevel="3">
      <c r="A237" s="8" t="n"/>
      <c r="B237" s="14" t="n"/>
      <c r="C237" s="137" t="n"/>
      <c r="D237" s="56" t="inlineStr">
        <is>
          <t>COMO É</t>
        </is>
      </c>
      <c r="E237" s="16" t="n"/>
      <c r="F237" s="16" t="n"/>
      <c r="G237" s="16" t="n"/>
      <c r="H237" s="17" t="n"/>
      <c r="I237" s="137" t="n"/>
      <c r="J237" s="56" t="inlineStr">
        <is>
          <t>COMO É</t>
        </is>
      </c>
      <c r="K237" s="16" t="n"/>
      <c r="L237" s="16" t="n"/>
      <c r="M237" s="16" t="n"/>
      <c r="N237" s="17" t="n"/>
      <c r="O237" s="137" t="n"/>
      <c r="P237" s="56" t="inlineStr">
        <is>
          <t>COMO É</t>
        </is>
      </c>
      <c r="Q237" s="16" t="n"/>
      <c r="R237" s="16" t="n"/>
      <c r="S237" s="16" t="n"/>
      <c r="T237" s="17" t="n"/>
      <c r="U237" s="137" t="n"/>
    </row>
    <row r="238" hidden="1" outlineLevel="3">
      <c r="A238" s="8" t="n"/>
      <c r="B238" s="14" t="n"/>
      <c r="C238" s="137" t="n"/>
      <c r="D238" s="61" t="n"/>
      <c r="E238" s="19" t="n"/>
      <c r="F238" s="19" t="n"/>
      <c r="G238" s="19" t="n"/>
      <c r="H238" s="20" t="n"/>
      <c r="I238" s="137" t="n"/>
      <c r="J238" s="61" t="n"/>
      <c r="K238" s="19" t="n"/>
      <c r="L238" s="19" t="n"/>
      <c r="M238" s="19" t="n"/>
      <c r="N238" s="20" t="n"/>
      <c r="O238" s="137" t="n"/>
      <c r="P238" s="61" t="n"/>
      <c r="Q238" s="19" t="n"/>
      <c r="R238" s="19" t="n"/>
      <c r="S238" s="19" t="n"/>
      <c r="T238" s="20" t="n"/>
      <c r="U238" s="137" t="n"/>
    </row>
    <row r="239" hidden="1" outlineLevel="3">
      <c r="A239" s="8" t="n"/>
      <c r="B239" s="14" t="n"/>
      <c r="C239" s="137" t="n"/>
      <c r="D239" s="21" t="n"/>
      <c r="H239" s="22" t="n"/>
      <c r="I239" s="137" t="n"/>
      <c r="J239" s="21" t="n"/>
      <c r="N239" s="22" t="n"/>
      <c r="O239" s="137" t="n"/>
      <c r="P239" s="21" t="n"/>
      <c r="T239" s="22" t="n"/>
      <c r="U239" s="137" t="n"/>
    </row>
    <row r="240" hidden="1" outlineLevel="3">
      <c r="A240" s="8" t="n"/>
      <c r="B240" s="14" t="n"/>
      <c r="C240" s="137" t="n"/>
      <c r="D240" s="21" t="n"/>
      <c r="H240" s="22" t="n"/>
      <c r="I240" s="137" t="n"/>
      <c r="J240" s="21" t="n"/>
      <c r="N240" s="22" t="n"/>
      <c r="O240" s="137" t="n"/>
      <c r="P240" s="21" t="n"/>
      <c r="T240" s="22" t="n"/>
      <c r="U240" s="137" t="n"/>
    </row>
    <row r="241" hidden="1" outlineLevel="3">
      <c r="A241" s="8" t="n"/>
      <c r="B241" s="14" t="n"/>
      <c r="C241" s="137" t="n"/>
      <c r="D241" s="21" t="n"/>
      <c r="H241" s="22" t="n"/>
      <c r="I241" s="137" t="n"/>
      <c r="J241" s="21" t="n"/>
      <c r="N241" s="22" t="n"/>
      <c r="O241" s="137" t="n"/>
      <c r="P241" s="21" t="n"/>
      <c r="T241" s="22" t="n"/>
      <c r="U241" s="137" t="n"/>
    </row>
    <row r="242" hidden="1" outlineLevel="3">
      <c r="A242" s="8" t="n"/>
      <c r="B242" s="14" t="n"/>
      <c r="C242" s="137" t="n"/>
      <c r="D242" s="23" t="n"/>
      <c r="E242" s="24" t="n"/>
      <c r="F242" s="24" t="n"/>
      <c r="G242" s="24" t="n"/>
      <c r="H242" s="25" t="n"/>
      <c r="I242" s="137" t="n"/>
      <c r="J242" s="23" t="n"/>
      <c r="K242" s="24" t="n"/>
      <c r="L242" s="24" t="n"/>
      <c r="M242" s="24" t="n"/>
      <c r="N242" s="25" t="n"/>
      <c r="O242" s="137" t="n"/>
      <c r="P242" s="23" t="n"/>
      <c r="Q242" s="24" t="n"/>
      <c r="R242" s="24" t="n"/>
      <c r="S242" s="24" t="n"/>
      <c r="T242" s="25" t="n"/>
      <c r="U242" s="137" t="n"/>
    </row>
    <row r="243" hidden="1" outlineLevel="2">
      <c r="A243" s="8" t="n"/>
      <c r="B243" s="14" t="n"/>
      <c r="C243" s="137" t="n"/>
      <c r="D243" s="95" t="inlineStr">
        <is>
          <t>Projétil</t>
        </is>
      </c>
      <c r="E243" s="71">
        <f>DADOS_AM!$GU$26</f>
        <v/>
      </c>
      <c r="F243" s="71">
        <f>DADOS_AM!$GR$26</f>
        <v/>
      </c>
      <c r="G243" s="95">
        <f>DADOS_AM!$GT$26</f>
        <v/>
      </c>
      <c r="H243" s="17" t="n"/>
      <c r="I243" s="137" t="n"/>
      <c r="J243" s="95" t="inlineStr">
        <is>
          <t>Projétil</t>
        </is>
      </c>
      <c r="K243" s="71">
        <f>DADOS_AM!$GU$27</f>
        <v/>
      </c>
      <c r="L243" s="71">
        <f>DADOS_AM!$GR$27</f>
        <v/>
      </c>
      <c r="M243" s="95">
        <f>DADOS_AM!$GT$27</f>
        <v/>
      </c>
      <c r="N243" s="17" t="n"/>
      <c r="O243" s="137" t="n"/>
      <c r="P243" s="95" t="inlineStr">
        <is>
          <t>Projétil</t>
        </is>
      </c>
      <c r="Q243" s="71">
        <f>DADOS_AM!$GU$28</f>
        <v/>
      </c>
      <c r="R243" s="71">
        <f>DADOS_AM!$GR$28</f>
        <v/>
      </c>
      <c r="S243" s="95">
        <f>DADOS_AM!$GT$28</f>
        <v/>
      </c>
      <c r="T243" s="17" t="n"/>
      <c r="U243" s="137" t="n"/>
    </row>
    <row r="244" hidden="1" outlineLevel="2">
      <c r="A244" s="8" t="n"/>
      <c r="B244" s="14" t="n"/>
      <c r="C244" s="137" t="n"/>
      <c r="D244" s="95">
        <f>DADOS_AM!$GS$26</f>
        <v/>
      </c>
      <c r="E244" s="143">
        <f>DADOS_AM!$GZ$26</f>
        <v/>
      </c>
      <c r="F244" s="16" t="n"/>
      <c r="G244" s="16" t="n"/>
      <c r="H244" s="17" t="n"/>
      <c r="I244" s="137" t="n"/>
      <c r="J244" s="95">
        <f>DADOS_AM!$GS$27</f>
        <v/>
      </c>
      <c r="K244" s="143">
        <f>DADOS_AM!$GZ$27</f>
        <v/>
      </c>
      <c r="L244" s="16" t="n"/>
      <c r="M244" s="16" t="n"/>
      <c r="N244" s="17" t="n"/>
      <c r="O244" s="137" t="n"/>
      <c r="P244" s="95">
        <f>DADOS_AM!$GS$28</f>
        <v/>
      </c>
      <c r="Q244" s="143">
        <f>DADOS_AM!$GZ$28</f>
        <v/>
      </c>
      <c r="R244" s="16" t="n"/>
      <c r="S244" s="16" t="n"/>
      <c r="T244" s="17" t="n"/>
      <c r="U244" s="137" t="n"/>
    </row>
    <row r="245" hidden="1" outlineLevel="3">
      <c r="A245" s="8" t="n"/>
      <c r="B245" s="14" t="n"/>
      <c r="C245" s="137" t="n"/>
      <c r="D245" s="56" t="inlineStr">
        <is>
          <t>MELHORIAS</t>
        </is>
      </c>
      <c r="E245" s="144" t="n"/>
      <c r="F245" s="17" t="n"/>
      <c r="G245" s="143">
        <f>DADOS_AM!$HC$26</f>
        <v/>
      </c>
      <c r="H245" s="17" t="n"/>
      <c r="I245" s="137" t="n"/>
      <c r="J245" s="56" t="inlineStr">
        <is>
          <t>MELHORIAS</t>
        </is>
      </c>
      <c r="K245" s="144" t="n"/>
      <c r="L245" s="17" t="n"/>
      <c r="M245" s="143">
        <f>DADOS_AM!$HC$27</f>
        <v/>
      </c>
      <c r="N245" s="17" t="n"/>
      <c r="O245" s="137" t="n"/>
      <c r="P245" s="56" t="inlineStr">
        <is>
          <t>MELHORIAS</t>
        </is>
      </c>
      <c r="Q245" s="144" t="n"/>
      <c r="R245" s="17" t="n"/>
      <c r="S245" s="143">
        <f>DADOS_AM!$HC$28</f>
        <v/>
      </c>
      <c r="T245" s="17" t="n"/>
      <c r="U245" s="137" t="n"/>
    </row>
    <row r="246" hidden="1" outlineLevel="3">
      <c r="A246" s="8" t="n"/>
      <c r="B246" s="14" t="n"/>
      <c r="C246" s="137" t="n"/>
      <c r="D246" s="66" t="n"/>
      <c r="E246" s="144" t="n"/>
      <c r="F246" s="17" t="n"/>
      <c r="G246" s="143">
        <f>DADOS_AM!$HD$26</f>
        <v/>
      </c>
      <c r="H246" s="17" t="n"/>
      <c r="I246" s="137" t="n"/>
      <c r="J246" s="66" t="n"/>
      <c r="K246" s="144" t="n"/>
      <c r="L246" s="17" t="n"/>
      <c r="M246" s="143">
        <f>DADOS_AM!$HD$27</f>
        <v/>
      </c>
      <c r="N246" s="17" t="n"/>
      <c r="O246" s="137" t="n"/>
      <c r="P246" s="66" t="n"/>
      <c r="Q246" s="144" t="n"/>
      <c r="R246" s="17" t="n"/>
      <c r="S246" s="143">
        <f>DADOS_AM!$HD$28</f>
        <v/>
      </c>
      <c r="T246" s="17" t="n"/>
      <c r="U246" s="137" t="n"/>
    </row>
    <row r="247" hidden="1" outlineLevel="3">
      <c r="A247" s="8" t="n"/>
      <c r="B247" s="14" t="n"/>
      <c r="C247" s="137" t="n"/>
      <c r="D247" s="66" t="n"/>
      <c r="E247" s="144" t="n"/>
      <c r="F247" s="17" t="n"/>
      <c r="G247" s="143">
        <f>DADOS_AM!$HE$26</f>
        <v/>
      </c>
      <c r="H247" s="17" t="n"/>
      <c r="I247" s="137" t="n"/>
      <c r="J247" s="66" t="n"/>
      <c r="K247" s="144" t="n"/>
      <c r="L247" s="17" t="n"/>
      <c r="M247" s="143">
        <f>DADOS_AM!$HE$27</f>
        <v/>
      </c>
      <c r="N247" s="17" t="n"/>
      <c r="O247" s="137" t="n"/>
      <c r="P247" s="66" t="n"/>
      <c r="Q247" s="144" t="n"/>
      <c r="R247" s="17" t="n"/>
      <c r="S247" s="143">
        <f>DADOS_AM!$HE$28</f>
        <v/>
      </c>
      <c r="T247" s="17" t="n"/>
      <c r="U247" s="137" t="n"/>
    </row>
    <row r="248" hidden="1" outlineLevel="3">
      <c r="A248" s="8" t="n"/>
      <c r="B248" s="14" t="n"/>
      <c r="C248" s="137" t="n"/>
      <c r="D248" s="128" t="n"/>
      <c r="E248" s="144" t="n"/>
      <c r="F248" s="17" t="n"/>
      <c r="G248" s="143">
        <f>DADOS_AM!$HF$26</f>
        <v/>
      </c>
      <c r="H248" s="17" t="n"/>
      <c r="I248" s="137" t="n"/>
      <c r="J248" s="128" t="n"/>
      <c r="K248" s="144" t="n"/>
      <c r="L248" s="17" t="n"/>
      <c r="M248" s="143">
        <f>DADOS_AM!$HF$27</f>
        <v/>
      </c>
      <c r="N248" s="17" t="n"/>
      <c r="O248" s="137" t="n"/>
      <c r="P248" s="128" t="n"/>
      <c r="Q248" s="144" t="n"/>
      <c r="R248" s="17" t="n"/>
      <c r="S248" s="143">
        <f>DADOS_AM!$HF$28</f>
        <v/>
      </c>
      <c r="T248" s="17" t="n"/>
      <c r="U248" s="137" t="n"/>
    </row>
    <row r="249" hidden="1" outlineLevel="3">
      <c r="A249" s="8" t="n"/>
      <c r="B249" s="14" t="n"/>
      <c r="C249" s="137" t="n"/>
      <c r="D249" s="56" t="inlineStr">
        <is>
          <t>RESTRIÇÕES</t>
        </is>
      </c>
      <c r="E249" s="144" t="n"/>
      <c r="F249" s="17" t="n"/>
      <c r="G249" s="143">
        <f>DADOS_AM!$HG$26</f>
        <v/>
      </c>
      <c r="H249" s="17" t="n"/>
      <c r="I249" s="137" t="n"/>
      <c r="J249" s="56" t="inlineStr">
        <is>
          <t>RESTRIÇÕES</t>
        </is>
      </c>
      <c r="K249" s="144" t="n"/>
      <c r="L249" s="17" t="n"/>
      <c r="M249" s="143">
        <f>DADOS_AM!$HG$27</f>
        <v/>
      </c>
      <c r="N249" s="17" t="n"/>
      <c r="O249" s="137" t="n"/>
      <c r="P249" s="56" t="inlineStr">
        <is>
          <t>RESTRIÇÕES</t>
        </is>
      </c>
      <c r="Q249" s="144" t="n"/>
      <c r="R249" s="17" t="n"/>
      <c r="S249" s="143">
        <f>DADOS_AM!$HG$28</f>
        <v/>
      </c>
      <c r="T249" s="17" t="n"/>
      <c r="U249" s="137" t="n"/>
    </row>
    <row r="250" hidden="1" outlineLevel="3">
      <c r="A250" s="8" t="n"/>
      <c r="B250" s="14" t="n"/>
      <c r="C250" s="137" t="n"/>
      <c r="D250" s="128" t="n"/>
      <c r="E250" s="144" t="n"/>
      <c r="F250" s="17" t="n"/>
      <c r="G250" s="143">
        <f>DADOS_AM!$HH$26</f>
        <v/>
      </c>
      <c r="H250" s="17" t="n"/>
      <c r="I250" s="137" t="n"/>
      <c r="J250" s="128" t="n"/>
      <c r="K250" s="144" t="n"/>
      <c r="L250" s="17" t="n"/>
      <c r="M250" s="143">
        <f>DADOS_AM!$HH$27</f>
        <v/>
      </c>
      <c r="N250" s="17" t="n"/>
      <c r="O250" s="137" t="n"/>
      <c r="P250" s="128" t="n"/>
      <c r="Q250" s="144" t="n"/>
      <c r="R250" s="17" t="n"/>
      <c r="S250" s="143">
        <f>DADOS_AM!$HH$28</f>
        <v/>
      </c>
      <c r="T250" s="17" t="n"/>
      <c r="U250" s="137" t="n"/>
    </row>
    <row r="251" hidden="1" outlineLevel="3">
      <c r="A251" s="8" t="n"/>
      <c r="B251" s="14" t="n"/>
      <c r="C251" s="137" t="n"/>
      <c r="D251" s="56" t="inlineStr">
        <is>
          <t>CONTA</t>
        </is>
      </c>
      <c r="E251" s="145">
        <f>DADOS_AM!$HA$26</f>
        <v/>
      </c>
      <c r="F251" s="16" t="n"/>
      <c r="G251" s="16" t="n"/>
      <c r="H251" s="17" t="n"/>
      <c r="I251" s="137" t="n"/>
      <c r="J251" s="56" t="inlineStr">
        <is>
          <t>CONTA</t>
        </is>
      </c>
      <c r="K251" s="145">
        <f>DADOS_AM!$HA$27</f>
        <v/>
      </c>
      <c r="L251" s="16" t="n"/>
      <c r="M251" s="16" t="n"/>
      <c r="N251" s="17" t="n"/>
      <c r="O251" s="137" t="n"/>
      <c r="P251" s="56" t="inlineStr">
        <is>
          <t>CONTA</t>
        </is>
      </c>
      <c r="Q251" s="145">
        <f>DADOS_AM!$HA$28</f>
        <v/>
      </c>
      <c r="R251" s="16" t="n"/>
      <c r="S251" s="16" t="n"/>
      <c r="T251" s="17" t="n"/>
      <c r="U251" s="137" t="n"/>
    </row>
    <row r="252" hidden="1" outlineLevel="3">
      <c r="A252" s="8" t="n"/>
      <c r="B252" s="14" t="n"/>
      <c r="C252" s="137" t="n"/>
      <c r="D252" s="56" t="inlineStr">
        <is>
          <t>AMPLIAR</t>
        </is>
      </c>
      <c r="E252" s="145">
        <f>DADOS_AM!$HB$26</f>
        <v/>
      </c>
      <c r="F252" s="19" t="n"/>
      <c r="G252" s="19" t="n"/>
      <c r="H252" s="20" t="n"/>
      <c r="I252" s="137" t="n"/>
      <c r="J252" s="56" t="inlineStr">
        <is>
          <t>AMPLIAR</t>
        </is>
      </c>
      <c r="K252" s="145">
        <f>DADOS_AM!$HB$27</f>
        <v/>
      </c>
      <c r="L252" s="19" t="n"/>
      <c r="M252" s="19" t="n"/>
      <c r="N252" s="20" t="n"/>
      <c r="O252" s="137" t="n"/>
      <c r="P252" s="56" t="inlineStr">
        <is>
          <t>AMPLIAR</t>
        </is>
      </c>
      <c r="Q252" s="145">
        <f>DADOS_AM!$HB$28</f>
        <v/>
      </c>
      <c r="R252" s="19" t="n"/>
      <c r="S252" s="19" t="n"/>
      <c r="T252" s="20" t="n"/>
      <c r="U252" s="137" t="n"/>
    </row>
    <row r="253" hidden="1" outlineLevel="3">
      <c r="A253" s="8" t="n"/>
      <c r="B253" s="14" t="n"/>
      <c r="C253" s="137" t="n"/>
      <c r="D253" s="128" t="n"/>
      <c r="E253" s="23" t="n"/>
      <c r="F253" s="24" t="n"/>
      <c r="G253" s="24" t="n"/>
      <c r="H253" s="25" t="n"/>
      <c r="I253" s="137" t="n"/>
      <c r="J253" s="128" t="n"/>
      <c r="K253" s="23" t="n"/>
      <c r="L253" s="24" t="n"/>
      <c r="M253" s="24" t="n"/>
      <c r="N253" s="25" t="n"/>
      <c r="O253" s="137" t="n"/>
      <c r="P253" s="128" t="n"/>
      <c r="Q253" s="23" t="n"/>
      <c r="R253" s="24" t="n"/>
      <c r="S253" s="24" t="n"/>
      <c r="T253" s="25" t="n"/>
      <c r="U253" s="137" t="n"/>
    </row>
    <row r="254" hidden="1" outlineLevel="3">
      <c r="A254" s="8" t="n"/>
      <c r="B254" s="14" t="n"/>
      <c r="C254" s="137" t="n"/>
      <c r="D254" s="56" t="inlineStr">
        <is>
          <t>AVISOS</t>
        </is>
      </c>
      <c r="E254" s="145">
        <f>DADOS_AM!$GQ$26</f>
        <v/>
      </c>
      <c r="F254" s="19" t="n"/>
      <c r="G254" s="19" t="n"/>
      <c r="H254" s="20" t="n"/>
      <c r="I254" s="137" t="n"/>
      <c r="J254" s="56" t="inlineStr">
        <is>
          <t>AVISOS</t>
        </is>
      </c>
      <c r="K254" s="145">
        <f>DADOS_AM!$GQ$27</f>
        <v/>
      </c>
      <c r="L254" s="19" t="n"/>
      <c r="M254" s="19" t="n"/>
      <c r="N254" s="20" t="n"/>
      <c r="O254" s="137" t="n"/>
      <c r="P254" s="56" t="inlineStr">
        <is>
          <t>AVISOS</t>
        </is>
      </c>
      <c r="Q254" s="145">
        <f>DADOS_AM!$GQ$28</f>
        <v/>
      </c>
      <c r="R254" s="19" t="n"/>
      <c r="S254" s="19" t="n"/>
      <c r="T254" s="20" t="n"/>
      <c r="U254" s="137" t="n"/>
    </row>
    <row r="255" hidden="1" outlineLevel="3">
      <c r="A255" s="8" t="n"/>
      <c r="B255" s="14" t="n"/>
      <c r="C255" s="137" t="n"/>
      <c r="D255" s="128" t="n"/>
      <c r="E255" s="23" t="n"/>
      <c r="F255" s="24" t="n"/>
      <c r="G255" s="24" t="n"/>
      <c r="H255" s="25" t="n"/>
      <c r="I255" s="137" t="n"/>
      <c r="J255" s="128" t="n"/>
      <c r="K255" s="23" t="n"/>
      <c r="L255" s="24" t="n"/>
      <c r="M255" s="24" t="n"/>
      <c r="N255" s="25" t="n"/>
      <c r="O255" s="137" t="n"/>
      <c r="P255" s="128" t="n"/>
      <c r="Q255" s="23" t="n"/>
      <c r="R255" s="24" t="n"/>
      <c r="S255" s="24" t="n"/>
      <c r="T255" s="25" t="n"/>
      <c r="U255" s="137" t="n"/>
    </row>
    <row r="256" hidden="1" outlineLevel="2">
      <c r="A256" s="8" t="n"/>
      <c r="B256" s="14" t="n"/>
      <c r="C256" s="137" t="n"/>
      <c r="D256" s="137" t="n"/>
      <c r="E256" s="137" t="n"/>
      <c r="F256" s="137" t="n"/>
      <c r="G256" s="137" t="n"/>
      <c r="H256" s="137" t="n"/>
      <c r="I256" s="137" t="n"/>
      <c r="J256" s="137" t="n"/>
      <c r="K256" s="137" t="n"/>
      <c r="L256" s="137" t="n"/>
      <c r="M256" s="137" t="n"/>
      <c r="N256" s="137" t="n"/>
      <c r="O256" s="137" t="n"/>
      <c r="P256" s="137" t="n"/>
      <c r="Q256" s="137" t="n"/>
      <c r="R256" s="137" t="n"/>
      <c r="S256" s="137" t="n"/>
      <c r="T256" s="137" t="n"/>
      <c r="U256" s="137" t="n"/>
    </row>
    <row r="257" hidden="1" outlineLevel="2">
      <c r="A257" s="8" t="n"/>
      <c r="B257" s="14" t="n"/>
      <c r="C257" s="137" t="n"/>
      <c r="D257" s="141" t="n">
        <v>1</v>
      </c>
      <c r="E257" s="131" t="n"/>
      <c r="F257" s="17" t="n"/>
      <c r="G257" s="142">
        <f>DADOS_AM!$GP$29</f>
        <v/>
      </c>
      <c r="H257" s="17" t="n"/>
      <c r="I257" s="137" t="n"/>
      <c r="J257" s="141" t="n">
        <v>1</v>
      </c>
      <c r="K257" s="131" t="n"/>
      <c r="L257" s="17" t="n"/>
      <c r="M257" s="142">
        <f>DADOS_AM!$GP$30</f>
        <v/>
      </c>
      <c r="N257" s="17" t="n"/>
      <c r="O257" s="137" t="n"/>
      <c r="P257" s="141" t="n">
        <v>1</v>
      </c>
      <c r="Q257" s="131" t="n"/>
      <c r="R257" s="17" t="n"/>
      <c r="S257" s="142">
        <f>DADOS_AM!$GP$31</f>
        <v/>
      </c>
      <c r="T257" s="17" t="n"/>
      <c r="U257" s="137" t="n"/>
    </row>
    <row r="258" hidden="1" outlineLevel="3">
      <c r="A258" s="8" t="n"/>
      <c r="B258" s="14" t="n"/>
      <c r="C258" s="137" t="n"/>
      <c r="D258" s="56" t="inlineStr">
        <is>
          <t>COMO É</t>
        </is>
      </c>
      <c r="E258" s="16" t="n"/>
      <c r="F258" s="16" t="n"/>
      <c r="G258" s="16" t="n"/>
      <c r="H258" s="17" t="n"/>
      <c r="I258" s="137" t="n"/>
      <c r="J258" s="56" t="inlineStr">
        <is>
          <t>COMO É</t>
        </is>
      </c>
      <c r="K258" s="16" t="n"/>
      <c r="L258" s="16" t="n"/>
      <c r="M258" s="16" t="n"/>
      <c r="N258" s="17" t="n"/>
      <c r="O258" s="137" t="n"/>
      <c r="P258" s="56" t="inlineStr">
        <is>
          <t>COMO É</t>
        </is>
      </c>
      <c r="Q258" s="16" t="n"/>
      <c r="R258" s="16" t="n"/>
      <c r="S258" s="16" t="n"/>
      <c r="T258" s="17" t="n"/>
      <c r="U258" s="137" t="n"/>
    </row>
    <row r="259" hidden="1" outlineLevel="3">
      <c r="A259" s="8" t="n"/>
      <c r="B259" s="14" t="n"/>
      <c r="C259" s="137" t="n"/>
      <c r="D259" s="61" t="n"/>
      <c r="E259" s="19" t="n"/>
      <c r="F259" s="19" t="n"/>
      <c r="G259" s="19" t="n"/>
      <c r="H259" s="20" t="n"/>
      <c r="I259" s="137" t="n"/>
      <c r="J259" s="61" t="n"/>
      <c r="K259" s="19" t="n"/>
      <c r="L259" s="19" t="n"/>
      <c r="M259" s="19" t="n"/>
      <c r="N259" s="20" t="n"/>
      <c r="O259" s="137" t="n"/>
      <c r="P259" s="61" t="n"/>
      <c r="Q259" s="19" t="n"/>
      <c r="R259" s="19" t="n"/>
      <c r="S259" s="19" t="n"/>
      <c r="T259" s="20" t="n"/>
      <c r="U259" s="137" t="n"/>
    </row>
    <row r="260" hidden="1" outlineLevel="3">
      <c r="A260" s="8" t="n"/>
      <c r="B260" s="14" t="n"/>
      <c r="C260" s="137" t="n"/>
      <c r="D260" s="21" t="n"/>
      <c r="H260" s="22" t="n"/>
      <c r="I260" s="137" t="n"/>
      <c r="J260" s="21" t="n"/>
      <c r="N260" s="22" t="n"/>
      <c r="O260" s="137" t="n"/>
      <c r="P260" s="21" t="n"/>
      <c r="T260" s="22" t="n"/>
      <c r="U260" s="137" t="n"/>
    </row>
    <row r="261" hidden="1" outlineLevel="3">
      <c r="A261" s="8" t="n"/>
      <c r="B261" s="14" t="n"/>
      <c r="C261" s="137" t="n"/>
      <c r="D261" s="21" t="n"/>
      <c r="H261" s="22" t="n"/>
      <c r="I261" s="137" t="n"/>
      <c r="J261" s="21" t="n"/>
      <c r="N261" s="22" t="n"/>
      <c r="O261" s="137" t="n"/>
      <c r="P261" s="21" t="n"/>
      <c r="T261" s="22" t="n"/>
      <c r="U261" s="137" t="n"/>
    </row>
    <row r="262" hidden="1" outlineLevel="3">
      <c r="A262" s="8" t="n"/>
      <c r="B262" s="14" t="n"/>
      <c r="C262" s="137" t="n"/>
      <c r="D262" s="21" t="n"/>
      <c r="H262" s="22" t="n"/>
      <c r="I262" s="137" t="n"/>
      <c r="J262" s="21" t="n"/>
      <c r="N262" s="22" t="n"/>
      <c r="O262" s="137" t="n"/>
      <c r="P262" s="21" t="n"/>
      <c r="T262" s="22" t="n"/>
      <c r="U262" s="137" t="n"/>
    </row>
    <row r="263" hidden="1" outlineLevel="3">
      <c r="A263" s="8" t="n"/>
      <c r="B263" s="14" t="n"/>
      <c r="C263" s="137" t="n"/>
      <c r="D263" s="23" t="n"/>
      <c r="E263" s="24" t="n"/>
      <c r="F263" s="24" t="n"/>
      <c r="G263" s="24" t="n"/>
      <c r="H263" s="25" t="n"/>
      <c r="I263" s="137" t="n"/>
      <c r="J263" s="23" t="n"/>
      <c r="K263" s="24" t="n"/>
      <c r="L263" s="24" t="n"/>
      <c r="M263" s="24" t="n"/>
      <c r="N263" s="25" t="n"/>
      <c r="O263" s="137" t="n"/>
      <c r="P263" s="23" t="n"/>
      <c r="Q263" s="24" t="n"/>
      <c r="R263" s="24" t="n"/>
      <c r="S263" s="24" t="n"/>
      <c r="T263" s="25" t="n"/>
      <c r="U263" s="137" t="n"/>
    </row>
    <row r="264" hidden="1" outlineLevel="2">
      <c r="A264" s="8" t="n"/>
      <c r="B264" s="14" t="n"/>
      <c r="C264" s="137" t="n"/>
      <c r="D264" s="95" t="inlineStr">
        <is>
          <t>Projétil</t>
        </is>
      </c>
      <c r="E264" s="71">
        <f>DADOS_AM!$GU$29</f>
        <v/>
      </c>
      <c r="F264" s="71">
        <f>DADOS_AM!$GR$29</f>
        <v/>
      </c>
      <c r="G264" s="95">
        <f>DADOS_AM!$GT$29</f>
        <v/>
      </c>
      <c r="H264" s="17" t="n"/>
      <c r="I264" s="137" t="n"/>
      <c r="J264" s="95" t="inlineStr">
        <is>
          <t>Projétil</t>
        </is>
      </c>
      <c r="K264" s="71">
        <f>DADOS_AM!$GU$30</f>
        <v/>
      </c>
      <c r="L264" s="71">
        <f>DADOS_AM!$GR$30</f>
        <v/>
      </c>
      <c r="M264" s="95">
        <f>DADOS_AM!$GT$30</f>
        <v/>
      </c>
      <c r="N264" s="17" t="n"/>
      <c r="O264" s="137" t="n"/>
      <c r="P264" s="95" t="inlineStr">
        <is>
          <t>Projétil</t>
        </is>
      </c>
      <c r="Q264" s="71">
        <f>DADOS_AM!$GU$31</f>
        <v/>
      </c>
      <c r="R264" s="71">
        <f>DADOS_AM!$GR$31</f>
        <v/>
      </c>
      <c r="S264" s="95">
        <f>DADOS_AM!$GT$31</f>
        <v/>
      </c>
      <c r="T264" s="17" t="n"/>
      <c r="U264" s="137" t="n"/>
    </row>
    <row r="265" hidden="1" outlineLevel="2">
      <c r="A265" s="8" t="n"/>
      <c r="B265" s="14" t="n"/>
      <c r="C265" s="137" t="n"/>
      <c r="D265" s="95">
        <f>DADOS_AM!$GS$29</f>
        <v/>
      </c>
      <c r="E265" s="143">
        <f>DADOS_AM!$GZ$29</f>
        <v/>
      </c>
      <c r="F265" s="16" t="n"/>
      <c r="G265" s="16" t="n"/>
      <c r="H265" s="17" t="n"/>
      <c r="I265" s="137" t="n"/>
      <c r="J265" s="95">
        <f>DADOS_AM!$GS$30</f>
        <v/>
      </c>
      <c r="K265" s="143">
        <f>DADOS_AM!$GZ$30</f>
        <v/>
      </c>
      <c r="L265" s="16" t="n"/>
      <c r="M265" s="16" t="n"/>
      <c r="N265" s="17" t="n"/>
      <c r="O265" s="137" t="n"/>
      <c r="P265" s="95">
        <f>DADOS_AM!$GS$31</f>
        <v/>
      </c>
      <c r="Q265" s="143">
        <f>DADOS_AM!$GZ$31</f>
        <v/>
      </c>
      <c r="R265" s="16" t="n"/>
      <c r="S265" s="16" t="n"/>
      <c r="T265" s="17" t="n"/>
      <c r="U265" s="137" t="n"/>
    </row>
    <row r="266" hidden="1" outlineLevel="3">
      <c r="A266" s="8" t="n"/>
      <c r="B266" s="14" t="n"/>
      <c r="C266" s="137" t="n"/>
      <c r="D266" s="56" t="inlineStr">
        <is>
          <t>MELHORIAS</t>
        </is>
      </c>
      <c r="E266" s="144" t="n"/>
      <c r="F266" s="17" t="n"/>
      <c r="G266" s="143">
        <f>DADOS_AM!$HC$29</f>
        <v/>
      </c>
      <c r="H266" s="17" t="n"/>
      <c r="I266" s="137" t="n"/>
      <c r="J266" s="56" t="inlineStr">
        <is>
          <t>MELHORIAS</t>
        </is>
      </c>
      <c r="K266" s="144" t="n"/>
      <c r="L266" s="17" t="n"/>
      <c r="M266" s="143">
        <f>DADOS_AM!$HC$30</f>
        <v/>
      </c>
      <c r="N266" s="17" t="n"/>
      <c r="O266" s="137" t="n"/>
      <c r="P266" s="56" t="inlineStr">
        <is>
          <t>MELHORIAS</t>
        </is>
      </c>
      <c r="Q266" s="144" t="n"/>
      <c r="R266" s="17" t="n"/>
      <c r="S266" s="143">
        <f>DADOS_AM!$HC$31</f>
        <v/>
      </c>
      <c r="T266" s="17" t="n"/>
      <c r="U266" s="137" t="n"/>
    </row>
    <row r="267" hidden="1" outlineLevel="3">
      <c r="A267" s="8" t="n"/>
      <c r="B267" s="14" t="n"/>
      <c r="C267" s="137" t="n"/>
      <c r="D267" s="66" t="n"/>
      <c r="E267" s="144" t="n"/>
      <c r="F267" s="17" t="n"/>
      <c r="G267" s="143">
        <f>DADOS_AM!$HD$29</f>
        <v/>
      </c>
      <c r="H267" s="17" t="n"/>
      <c r="I267" s="137" t="n"/>
      <c r="J267" s="66" t="n"/>
      <c r="K267" s="144" t="n"/>
      <c r="L267" s="17" t="n"/>
      <c r="M267" s="143">
        <f>DADOS_AM!$HD$30</f>
        <v/>
      </c>
      <c r="N267" s="17" t="n"/>
      <c r="O267" s="137" t="n"/>
      <c r="P267" s="66" t="n"/>
      <c r="Q267" s="144" t="n"/>
      <c r="R267" s="17" t="n"/>
      <c r="S267" s="143">
        <f>DADOS_AM!$HD$31</f>
        <v/>
      </c>
      <c r="T267" s="17" t="n"/>
      <c r="U267" s="137" t="n"/>
    </row>
    <row r="268" hidden="1" outlineLevel="3">
      <c r="A268" s="8" t="n"/>
      <c r="B268" s="14" t="n"/>
      <c r="C268" s="137" t="n"/>
      <c r="D268" s="66" t="n"/>
      <c r="E268" s="144" t="n"/>
      <c r="F268" s="17" t="n"/>
      <c r="G268" s="143">
        <f>DADOS_AM!$HE$29</f>
        <v/>
      </c>
      <c r="H268" s="17" t="n"/>
      <c r="I268" s="137" t="n"/>
      <c r="J268" s="66" t="n"/>
      <c r="K268" s="144" t="n"/>
      <c r="L268" s="17" t="n"/>
      <c r="M268" s="143">
        <f>DADOS_AM!$HE$30</f>
        <v/>
      </c>
      <c r="N268" s="17" t="n"/>
      <c r="O268" s="137" t="n"/>
      <c r="P268" s="66" t="n"/>
      <c r="Q268" s="144" t="n"/>
      <c r="R268" s="17" t="n"/>
      <c r="S268" s="143">
        <f>DADOS_AM!$HE$31</f>
        <v/>
      </c>
      <c r="T268" s="17" t="n"/>
      <c r="U268" s="137" t="n"/>
    </row>
    <row r="269" hidden="1" outlineLevel="3">
      <c r="A269" s="8" t="n"/>
      <c r="B269" s="14" t="n"/>
      <c r="C269" s="137" t="n"/>
      <c r="D269" s="128" t="n"/>
      <c r="E269" s="144" t="n"/>
      <c r="F269" s="17" t="n"/>
      <c r="G269" s="143">
        <f>DADOS_AM!$HF$29</f>
        <v/>
      </c>
      <c r="H269" s="17" t="n"/>
      <c r="I269" s="137" t="n"/>
      <c r="J269" s="128" t="n"/>
      <c r="K269" s="144" t="n"/>
      <c r="L269" s="17" t="n"/>
      <c r="M269" s="143">
        <f>DADOS_AM!$HF$30</f>
        <v/>
      </c>
      <c r="N269" s="17" t="n"/>
      <c r="O269" s="137" t="n"/>
      <c r="P269" s="128" t="n"/>
      <c r="Q269" s="144" t="n"/>
      <c r="R269" s="17" t="n"/>
      <c r="S269" s="143">
        <f>DADOS_AM!$HF$31</f>
        <v/>
      </c>
      <c r="T269" s="17" t="n"/>
      <c r="U269" s="137" t="n"/>
    </row>
    <row r="270" hidden="1" outlineLevel="3">
      <c r="A270" s="8" t="n"/>
      <c r="B270" s="14" t="n"/>
      <c r="C270" s="137" t="n"/>
      <c r="D270" s="56" t="inlineStr">
        <is>
          <t>RESTRIÇÕES</t>
        </is>
      </c>
      <c r="E270" s="144" t="n"/>
      <c r="F270" s="17" t="n"/>
      <c r="G270" s="143">
        <f>DADOS_AM!$HG$29</f>
        <v/>
      </c>
      <c r="H270" s="17" t="n"/>
      <c r="I270" s="137" t="n"/>
      <c r="J270" s="56" t="inlineStr">
        <is>
          <t>RESTRIÇÕES</t>
        </is>
      </c>
      <c r="K270" s="144" t="n"/>
      <c r="L270" s="17" t="n"/>
      <c r="M270" s="143">
        <f>DADOS_AM!$HG$30</f>
        <v/>
      </c>
      <c r="N270" s="17" t="n"/>
      <c r="O270" s="137" t="n"/>
      <c r="P270" s="56" t="inlineStr">
        <is>
          <t>RESTRIÇÕES</t>
        </is>
      </c>
      <c r="Q270" s="144" t="n"/>
      <c r="R270" s="17" t="n"/>
      <c r="S270" s="143">
        <f>DADOS_AM!$HG$31</f>
        <v/>
      </c>
      <c r="T270" s="17" t="n"/>
      <c r="U270" s="137" t="n"/>
    </row>
    <row r="271" hidden="1" outlineLevel="3">
      <c r="A271" s="8" t="n"/>
      <c r="B271" s="14" t="n"/>
      <c r="C271" s="137" t="n"/>
      <c r="D271" s="128" t="n"/>
      <c r="E271" s="144" t="n"/>
      <c r="F271" s="17" t="n"/>
      <c r="G271" s="143">
        <f>DADOS_AM!$HH$29</f>
        <v/>
      </c>
      <c r="H271" s="17" t="n"/>
      <c r="I271" s="137" t="n"/>
      <c r="J271" s="128" t="n"/>
      <c r="K271" s="144" t="n"/>
      <c r="L271" s="17" t="n"/>
      <c r="M271" s="143">
        <f>DADOS_AM!$HH$30</f>
        <v/>
      </c>
      <c r="N271" s="17" t="n"/>
      <c r="O271" s="137" t="n"/>
      <c r="P271" s="128" t="n"/>
      <c r="Q271" s="144" t="n"/>
      <c r="R271" s="17" t="n"/>
      <c r="S271" s="143">
        <f>DADOS_AM!$HH$31</f>
        <v/>
      </c>
      <c r="T271" s="17" t="n"/>
      <c r="U271" s="137" t="n"/>
    </row>
    <row r="272" hidden="1" outlineLevel="3">
      <c r="A272" s="8" t="n"/>
      <c r="B272" s="14" t="n"/>
      <c r="C272" s="137" t="n"/>
      <c r="D272" s="56" t="inlineStr">
        <is>
          <t>CONTA</t>
        </is>
      </c>
      <c r="E272" s="145">
        <f>DADOS_AM!$HA$29</f>
        <v/>
      </c>
      <c r="F272" s="16" t="n"/>
      <c r="G272" s="16" t="n"/>
      <c r="H272" s="17" t="n"/>
      <c r="I272" s="137" t="n"/>
      <c r="J272" s="56" t="inlineStr">
        <is>
          <t>CONTA</t>
        </is>
      </c>
      <c r="K272" s="145">
        <f>DADOS_AM!$HA$30</f>
        <v/>
      </c>
      <c r="L272" s="16" t="n"/>
      <c r="M272" s="16" t="n"/>
      <c r="N272" s="17" t="n"/>
      <c r="O272" s="137" t="n"/>
      <c r="P272" s="56" t="inlineStr">
        <is>
          <t>CONTA</t>
        </is>
      </c>
      <c r="Q272" s="145">
        <f>DADOS_AM!$HA$31</f>
        <v/>
      </c>
      <c r="R272" s="16" t="n"/>
      <c r="S272" s="16" t="n"/>
      <c r="T272" s="17" t="n"/>
      <c r="U272" s="137" t="n"/>
    </row>
    <row r="273" hidden="1" outlineLevel="3">
      <c r="A273" s="8" t="n"/>
      <c r="B273" s="14" t="n"/>
      <c r="C273" s="137" t="n"/>
      <c r="D273" s="56" t="inlineStr">
        <is>
          <t>AMPLIAR</t>
        </is>
      </c>
      <c r="E273" s="145">
        <f>DADOS_AM!$HB$29</f>
        <v/>
      </c>
      <c r="F273" s="19" t="n"/>
      <c r="G273" s="19" t="n"/>
      <c r="H273" s="20" t="n"/>
      <c r="I273" s="137" t="n"/>
      <c r="J273" s="56" t="inlineStr">
        <is>
          <t>AMPLIAR</t>
        </is>
      </c>
      <c r="K273" s="145">
        <f>DADOS_AM!$HB$30</f>
        <v/>
      </c>
      <c r="L273" s="19" t="n"/>
      <c r="M273" s="19" t="n"/>
      <c r="N273" s="20" t="n"/>
      <c r="O273" s="137" t="n"/>
      <c r="P273" s="56" t="inlineStr">
        <is>
          <t>AMPLIAR</t>
        </is>
      </c>
      <c r="Q273" s="145">
        <f>DADOS_AM!$HB$31</f>
        <v/>
      </c>
      <c r="R273" s="19" t="n"/>
      <c r="S273" s="19" t="n"/>
      <c r="T273" s="20" t="n"/>
      <c r="U273" s="137" t="n"/>
    </row>
    <row r="274" hidden="1" outlineLevel="3">
      <c r="A274" s="8" t="n"/>
      <c r="B274" s="14" t="n"/>
      <c r="C274" s="137" t="n"/>
      <c r="D274" s="128" t="n"/>
      <c r="E274" s="23" t="n"/>
      <c r="F274" s="24" t="n"/>
      <c r="G274" s="24" t="n"/>
      <c r="H274" s="25" t="n"/>
      <c r="I274" s="137" t="n"/>
      <c r="J274" s="128" t="n"/>
      <c r="K274" s="23" t="n"/>
      <c r="L274" s="24" t="n"/>
      <c r="M274" s="24" t="n"/>
      <c r="N274" s="25" t="n"/>
      <c r="O274" s="137" t="n"/>
      <c r="P274" s="128" t="n"/>
      <c r="Q274" s="23" t="n"/>
      <c r="R274" s="24" t="n"/>
      <c r="S274" s="24" t="n"/>
      <c r="T274" s="25" t="n"/>
      <c r="U274" s="137" t="n"/>
    </row>
    <row r="275" hidden="1" outlineLevel="3">
      <c r="A275" s="8" t="n"/>
      <c r="B275" s="14" t="n"/>
      <c r="C275" s="137" t="n"/>
      <c r="D275" s="56" t="inlineStr">
        <is>
          <t>AVISOS</t>
        </is>
      </c>
      <c r="E275" s="145">
        <f>DADOS_AM!$GQ$29</f>
        <v/>
      </c>
      <c r="F275" s="19" t="n"/>
      <c r="G275" s="19" t="n"/>
      <c r="H275" s="20" t="n"/>
      <c r="I275" s="137" t="n"/>
      <c r="J275" s="56" t="inlineStr">
        <is>
          <t>AVISOS</t>
        </is>
      </c>
      <c r="K275" s="145">
        <f>DADOS_AM!$GQ$30</f>
        <v/>
      </c>
      <c r="L275" s="19" t="n"/>
      <c r="M275" s="19" t="n"/>
      <c r="N275" s="20" t="n"/>
      <c r="O275" s="137" t="n"/>
      <c r="P275" s="56" t="inlineStr">
        <is>
          <t>AVISOS</t>
        </is>
      </c>
      <c r="Q275" s="145">
        <f>DADOS_AM!$GQ$31</f>
        <v/>
      </c>
      <c r="R275" s="19" t="n"/>
      <c r="S275" s="19" t="n"/>
      <c r="T275" s="20" t="n"/>
      <c r="U275" s="137" t="n"/>
    </row>
    <row r="276" hidden="1" outlineLevel="3">
      <c r="A276" s="8" t="n"/>
      <c r="B276" s="14" t="n"/>
      <c r="C276" s="137" t="n"/>
      <c r="D276" s="128" t="n"/>
      <c r="E276" s="23" t="n"/>
      <c r="F276" s="24" t="n"/>
      <c r="G276" s="24" t="n"/>
      <c r="H276" s="25" t="n"/>
      <c r="I276" s="137" t="n"/>
      <c r="J276" s="128" t="n"/>
      <c r="K276" s="23" t="n"/>
      <c r="L276" s="24" t="n"/>
      <c r="M276" s="24" t="n"/>
      <c r="N276" s="25" t="n"/>
      <c r="O276" s="137" t="n"/>
      <c r="P276" s="128" t="n"/>
      <c r="Q276" s="23" t="n"/>
      <c r="R276" s="24" t="n"/>
      <c r="S276" s="24" t="n"/>
      <c r="T276" s="25" t="n"/>
      <c r="U276" s="137" t="n"/>
    </row>
    <row r="277" hidden="1" outlineLevel="2">
      <c r="A277" s="8" t="n"/>
      <c r="B277" s="14" t="n"/>
      <c r="C277" s="137" t="n"/>
      <c r="D277" s="137" t="n"/>
      <c r="E277" s="137" t="n"/>
      <c r="F277" s="137" t="n"/>
      <c r="G277" s="137" t="n"/>
      <c r="H277" s="137" t="n"/>
      <c r="I277" s="137" t="n"/>
      <c r="J277" s="137" t="n"/>
      <c r="K277" s="137" t="n"/>
      <c r="L277" s="137" t="n"/>
      <c r="M277" s="137" t="n"/>
      <c r="N277" s="137" t="n"/>
      <c r="O277" s="137" t="n"/>
      <c r="P277" s="137" t="n"/>
      <c r="Q277" s="137" t="n"/>
      <c r="R277" s="137" t="n"/>
      <c r="S277" s="137" t="n"/>
      <c r="T277" s="137" t="n"/>
      <c r="U277" s="137" t="n"/>
    </row>
    <row r="278" hidden="1" outlineLevel="2">
      <c r="A278" s="8" t="n"/>
      <c r="B278" s="14" t="n"/>
      <c r="C278" s="137" t="n"/>
      <c r="D278" s="141" t="n">
        <v>1</v>
      </c>
      <c r="E278" s="131" t="n"/>
      <c r="F278" s="17" t="n"/>
      <c r="G278" s="142">
        <f>DADOS_AM!$GP$32</f>
        <v/>
      </c>
      <c r="H278" s="17" t="n"/>
      <c r="I278" s="137" t="n"/>
      <c r="J278" s="141" t="n">
        <v>1</v>
      </c>
      <c r="K278" s="131" t="n"/>
      <c r="L278" s="17" t="n"/>
      <c r="M278" s="142">
        <f>DADOS_AM!$GP$33</f>
        <v/>
      </c>
      <c r="N278" s="17" t="n"/>
      <c r="O278" s="137" t="n"/>
      <c r="P278" s="141" t="n">
        <v>1</v>
      </c>
      <c r="Q278" s="131" t="n"/>
      <c r="R278" s="17" t="n"/>
      <c r="S278" s="142">
        <f>DADOS_AM!$GP$34</f>
        <v/>
      </c>
      <c r="T278" s="17" t="n"/>
      <c r="U278" s="137" t="n"/>
    </row>
    <row r="279" hidden="1" outlineLevel="3">
      <c r="A279" s="8" t="n"/>
      <c r="B279" s="14" t="n"/>
      <c r="C279" s="137" t="n"/>
      <c r="D279" s="56" t="inlineStr">
        <is>
          <t>COMO É</t>
        </is>
      </c>
      <c r="E279" s="16" t="n"/>
      <c r="F279" s="16" t="n"/>
      <c r="G279" s="16" t="n"/>
      <c r="H279" s="17" t="n"/>
      <c r="I279" s="137" t="n"/>
      <c r="J279" s="56" t="inlineStr">
        <is>
          <t>COMO É</t>
        </is>
      </c>
      <c r="K279" s="16" t="n"/>
      <c r="L279" s="16" t="n"/>
      <c r="M279" s="16" t="n"/>
      <c r="N279" s="17" t="n"/>
      <c r="O279" s="137" t="n"/>
      <c r="P279" s="56" t="inlineStr">
        <is>
          <t>COMO É</t>
        </is>
      </c>
      <c r="Q279" s="16" t="n"/>
      <c r="R279" s="16" t="n"/>
      <c r="S279" s="16" t="n"/>
      <c r="T279" s="17" t="n"/>
      <c r="U279" s="137" t="n"/>
    </row>
    <row r="280" hidden="1" outlineLevel="3">
      <c r="A280" s="8" t="n"/>
      <c r="B280" s="14" t="n"/>
      <c r="C280" s="137" t="n"/>
      <c r="D280" s="61" t="n"/>
      <c r="E280" s="19" t="n"/>
      <c r="F280" s="19" t="n"/>
      <c r="G280" s="19" t="n"/>
      <c r="H280" s="20" t="n"/>
      <c r="I280" s="137" t="n"/>
      <c r="J280" s="61" t="n"/>
      <c r="K280" s="19" t="n"/>
      <c r="L280" s="19" t="n"/>
      <c r="M280" s="19" t="n"/>
      <c r="N280" s="20" t="n"/>
      <c r="O280" s="137" t="n"/>
      <c r="P280" s="61" t="n"/>
      <c r="Q280" s="19" t="n"/>
      <c r="R280" s="19" t="n"/>
      <c r="S280" s="19" t="n"/>
      <c r="T280" s="20" t="n"/>
      <c r="U280" s="137" t="n"/>
    </row>
    <row r="281" hidden="1" outlineLevel="3">
      <c r="A281" s="8" t="n"/>
      <c r="B281" s="14" t="n"/>
      <c r="C281" s="137" t="n"/>
      <c r="D281" s="21" t="n"/>
      <c r="H281" s="22" t="n"/>
      <c r="I281" s="137" t="n"/>
      <c r="J281" s="21" t="n"/>
      <c r="N281" s="22" t="n"/>
      <c r="O281" s="137" t="n"/>
      <c r="P281" s="21" t="n"/>
      <c r="T281" s="22" t="n"/>
      <c r="U281" s="137" t="n"/>
    </row>
    <row r="282" hidden="1" outlineLevel="3">
      <c r="A282" s="8" t="n"/>
      <c r="B282" s="14" t="n"/>
      <c r="C282" s="137" t="n"/>
      <c r="D282" s="21" t="n"/>
      <c r="H282" s="22" t="n"/>
      <c r="I282" s="137" t="n"/>
      <c r="J282" s="21" t="n"/>
      <c r="N282" s="22" t="n"/>
      <c r="O282" s="137" t="n"/>
      <c r="P282" s="21" t="n"/>
      <c r="T282" s="22" t="n"/>
      <c r="U282" s="137" t="n"/>
    </row>
    <row r="283" hidden="1" outlineLevel="3">
      <c r="A283" s="8" t="n"/>
      <c r="B283" s="14" t="n"/>
      <c r="C283" s="137" t="n"/>
      <c r="D283" s="21" t="n"/>
      <c r="H283" s="22" t="n"/>
      <c r="I283" s="137" t="n"/>
      <c r="J283" s="21" t="n"/>
      <c r="N283" s="22" t="n"/>
      <c r="O283" s="137" t="n"/>
      <c r="P283" s="21" t="n"/>
      <c r="T283" s="22" t="n"/>
      <c r="U283" s="137" t="n"/>
    </row>
    <row r="284" hidden="1" outlineLevel="3">
      <c r="A284" s="8" t="n"/>
      <c r="B284" s="14" t="n"/>
      <c r="C284" s="137" t="n"/>
      <c r="D284" s="23" t="n"/>
      <c r="E284" s="24" t="n"/>
      <c r="F284" s="24" t="n"/>
      <c r="G284" s="24" t="n"/>
      <c r="H284" s="25" t="n"/>
      <c r="I284" s="137" t="n"/>
      <c r="J284" s="23" t="n"/>
      <c r="K284" s="24" t="n"/>
      <c r="L284" s="24" t="n"/>
      <c r="M284" s="24" t="n"/>
      <c r="N284" s="25" t="n"/>
      <c r="O284" s="137" t="n"/>
      <c r="P284" s="23" t="n"/>
      <c r="Q284" s="24" t="n"/>
      <c r="R284" s="24" t="n"/>
      <c r="S284" s="24" t="n"/>
      <c r="T284" s="25" t="n"/>
      <c r="U284" s="137" t="n"/>
    </row>
    <row r="285" hidden="1" outlineLevel="2">
      <c r="A285" s="8" t="n"/>
      <c r="B285" s="14" t="n"/>
      <c r="C285" s="137" t="n"/>
      <c r="D285" s="95" t="inlineStr">
        <is>
          <t>Projétil</t>
        </is>
      </c>
      <c r="E285" s="71">
        <f>DADOS_AM!$GU$32</f>
        <v/>
      </c>
      <c r="F285" s="71">
        <f>DADOS_AM!$GR$32</f>
        <v/>
      </c>
      <c r="G285" s="95">
        <f>DADOS_AM!$GT$32</f>
        <v/>
      </c>
      <c r="H285" s="17" t="n"/>
      <c r="I285" s="137" t="n"/>
      <c r="J285" s="95" t="inlineStr">
        <is>
          <t>Projétil</t>
        </is>
      </c>
      <c r="K285" s="71">
        <f>DADOS_AM!$GU$33</f>
        <v/>
      </c>
      <c r="L285" s="71">
        <f>DADOS_AM!$GR$33</f>
        <v/>
      </c>
      <c r="M285" s="95">
        <f>DADOS_AM!$GT$33</f>
        <v/>
      </c>
      <c r="N285" s="17" t="n"/>
      <c r="O285" s="137" t="n"/>
      <c r="P285" s="95" t="inlineStr">
        <is>
          <t>Projétil</t>
        </is>
      </c>
      <c r="Q285" s="71">
        <f>DADOS_AM!$GU$34</f>
        <v/>
      </c>
      <c r="R285" s="71">
        <f>DADOS_AM!$GR$34</f>
        <v/>
      </c>
      <c r="S285" s="95">
        <f>DADOS_AM!$GT$34</f>
        <v/>
      </c>
      <c r="T285" s="17" t="n"/>
      <c r="U285" s="137" t="n"/>
    </row>
    <row r="286" hidden="1" outlineLevel="2">
      <c r="A286" s="8" t="n"/>
      <c r="B286" s="14" t="n"/>
      <c r="C286" s="137" t="n"/>
      <c r="D286" s="95">
        <f>DADOS_AM!$GS$32</f>
        <v/>
      </c>
      <c r="E286" s="143">
        <f>DADOS_AM!$GZ$32</f>
        <v/>
      </c>
      <c r="F286" s="16" t="n"/>
      <c r="G286" s="16" t="n"/>
      <c r="H286" s="17" t="n"/>
      <c r="I286" s="137" t="n"/>
      <c r="J286" s="95">
        <f>DADOS_AM!$GS$33</f>
        <v/>
      </c>
      <c r="K286" s="143">
        <f>DADOS_AM!$GZ$33</f>
        <v/>
      </c>
      <c r="L286" s="16" t="n"/>
      <c r="M286" s="16" t="n"/>
      <c r="N286" s="17" t="n"/>
      <c r="O286" s="137" t="n"/>
      <c r="P286" s="95">
        <f>DADOS_AM!$GS$34</f>
        <v/>
      </c>
      <c r="Q286" s="143">
        <f>DADOS_AM!$GZ$34</f>
        <v/>
      </c>
      <c r="R286" s="16" t="n"/>
      <c r="S286" s="16" t="n"/>
      <c r="T286" s="17" t="n"/>
      <c r="U286" s="137" t="n"/>
    </row>
    <row r="287" hidden="1" outlineLevel="3">
      <c r="A287" s="8" t="n"/>
      <c r="B287" s="14" t="n"/>
      <c r="C287" s="137" t="n"/>
      <c r="D287" s="56" t="inlineStr">
        <is>
          <t>MELHORIAS</t>
        </is>
      </c>
      <c r="E287" s="144" t="n"/>
      <c r="F287" s="17" t="n"/>
      <c r="G287" s="143">
        <f>DADOS_AM!$HC$32</f>
        <v/>
      </c>
      <c r="H287" s="17" t="n"/>
      <c r="I287" s="137" t="n"/>
      <c r="J287" s="56" t="inlineStr">
        <is>
          <t>MELHORIAS</t>
        </is>
      </c>
      <c r="K287" s="144" t="n"/>
      <c r="L287" s="17" t="n"/>
      <c r="M287" s="143">
        <f>DADOS_AM!$HC$33</f>
        <v/>
      </c>
      <c r="N287" s="17" t="n"/>
      <c r="O287" s="137" t="n"/>
      <c r="P287" s="56" t="inlineStr">
        <is>
          <t>MELHORIAS</t>
        </is>
      </c>
      <c r="Q287" s="144" t="n"/>
      <c r="R287" s="17" t="n"/>
      <c r="S287" s="143">
        <f>DADOS_AM!$HC$34</f>
        <v/>
      </c>
      <c r="T287" s="17" t="n"/>
      <c r="U287" s="137" t="n"/>
    </row>
    <row r="288" hidden="1" outlineLevel="3">
      <c r="A288" s="8" t="n"/>
      <c r="B288" s="14" t="n"/>
      <c r="C288" s="137" t="n"/>
      <c r="D288" s="66" t="n"/>
      <c r="E288" s="144" t="n"/>
      <c r="F288" s="17" t="n"/>
      <c r="G288" s="143">
        <f>DADOS_AM!$HD$32</f>
        <v/>
      </c>
      <c r="H288" s="17" t="n"/>
      <c r="I288" s="137" t="n"/>
      <c r="J288" s="66" t="n"/>
      <c r="K288" s="144" t="n"/>
      <c r="L288" s="17" t="n"/>
      <c r="M288" s="143">
        <f>DADOS_AM!$HD$33</f>
        <v/>
      </c>
      <c r="N288" s="17" t="n"/>
      <c r="O288" s="137" t="n"/>
      <c r="P288" s="66" t="n"/>
      <c r="Q288" s="144" t="n"/>
      <c r="R288" s="17" t="n"/>
      <c r="S288" s="143">
        <f>DADOS_AM!$HD$34</f>
        <v/>
      </c>
      <c r="T288" s="17" t="n"/>
      <c r="U288" s="137" t="n"/>
    </row>
    <row r="289" hidden="1" outlineLevel="3">
      <c r="A289" s="8" t="n"/>
      <c r="B289" s="14" t="n"/>
      <c r="C289" s="137" t="n"/>
      <c r="D289" s="66" t="n"/>
      <c r="E289" s="144" t="n"/>
      <c r="F289" s="17" t="n"/>
      <c r="G289" s="143">
        <f>DADOS_AM!$HE$32</f>
        <v/>
      </c>
      <c r="H289" s="17" t="n"/>
      <c r="I289" s="137" t="n"/>
      <c r="J289" s="66" t="n"/>
      <c r="K289" s="144" t="n"/>
      <c r="L289" s="17" t="n"/>
      <c r="M289" s="143">
        <f>DADOS_AM!$HE$33</f>
        <v/>
      </c>
      <c r="N289" s="17" t="n"/>
      <c r="O289" s="137" t="n"/>
      <c r="P289" s="66" t="n"/>
      <c r="Q289" s="144" t="n"/>
      <c r="R289" s="17" t="n"/>
      <c r="S289" s="143">
        <f>DADOS_AM!$HE$34</f>
        <v/>
      </c>
      <c r="T289" s="17" t="n"/>
      <c r="U289" s="137" t="n"/>
    </row>
    <row r="290" hidden="1" outlineLevel="3">
      <c r="A290" s="8" t="n"/>
      <c r="B290" s="14" t="n"/>
      <c r="C290" s="137" t="n"/>
      <c r="D290" s="128" t="n"/>
      <c r="E290" s="144" t="n"/>
      <c r="F290" s="17" t="n"/>
      <c r="G290" s="143">
        <f>DADOS_AM!$HF$32</f>
        <v/>
      </c>
      <c r="H290" s="17" t="n"/>
      <c r="I290" s="137" t="n"/>
      <c r="J290" s="128" t="n"/>
      <c r="K290" s="144" t="n"/>
      <c r="L290" s="17" t="n"/>
      <c r="M290" s="143">
        <f>DADOS_AM!$HF$33</f>
        <v/>
      </c>
      <c r="N290" s="17" t="n"/>
      <c r="O290" s="137" t="n"/>
      <c r="P290" s="128" t="n"/>
      <c r="Q290" s="144" t="n"/>
      <c r="R290" s="17" t="n"/>
      <c r="S290" s="143">
        <f>DADOS_AM!$HF$34</f>
        <v/>
      </c>
      <c r="T290" s="17" t="n"/>
      <c r="U290" s="137" t="n"/>
    </row>
    <row r="291" hidden="1" outlineLevel="3">
      <c r="A291" s="8" t="n"/>
      <c r="B291" s="14" t="n"/>
      <c r="C291" s="137" t="n"/>
      <c r="D291" s="56" t="inlineStr">
        <is>
          <t>RESTRIÇÕES</t>
        </is>
      </c>
      <c r="E291" s="144" t="n"/>
      <c r="F291" s="17" t="n"/>
      <c r="G291" s="143">
        <f>DADOS_AM!$HG$32</f>
        <v/>
      </c>
      <c r="H291" s="17" t="n"/>
      <c r="I291" s="137" t="n"/>
      <c r="J291" s="56" t="inlineStr">
        <is>
          <t>RESTRIÇÕES</t>
        </is>
      </c>
      <c r="K291" s="144" t="n"/>
      <c r="L291" s="17" t="n"/>
      <c r="M291" s="143">
        <f>DADOS_AM!$HG$33</f>
        <v/>
      </c>
      <c r="N291" s="17" t="n"/>
      <c r="O291" s="137" t="n"/>
      <c r="P291" s="56" t="inlineStr">
        <is>
          <t>RESTRIÇÕES</t>
        </is>
      </c>
      <c r="Q291" s="144" t="n"/>
      <c r="R291" s="17" t="n"/>
      <c r="S291" s="143">
        <f>DADOS_AM!$HG$34</f>
        <v/>
      </c>
      <c r="T291" s="17" t="n"/>
      <c r="U291" s="137" t="n"/>
    </row>
    <row r="292" hidden="1" outlineLevel="3">
      <c r="A292" s="8" t="n"/>
      <c r="B292" s="14" t="n"/>
      <c r="C292" s="137" t="n"/>
      <c r="D292" s="128" t="n"/>
      <c r="E292" s="144" t="n"/>
      <c r="F292" s="17" t="n"/>
      <c r="G292" s="143">
        <f>DADOS_AM!$HH$32</f>
        <v/>
      </c>
      <c r="H292" s="17" t="n"/>
      <c r="I292" s="137" t="n"/>
      <c r="J292" s="128" t="n"/>
      <c r="K292" s="144" t="n"/>
      <c r="L292" s="17" t="n"/>
      <c r="M292" s="143">
        <f>DADOS_AM!$HH$33</f>
        <v/>
      </c>
      <c r="N292" s="17" t="n"/>
      <c r="O292" s="137" t="n"/>
      <c r="P292" s="128" t="n"/>
      <c r="Q292" s="144" t="n"/>
      <c r="R292" s="17" t="n"/>
      <c r="S292" s="143">
        <f>DADOS_AM!$HH$34</f>
        <v/>
      </c>
      <c r="T292" s="17" t="n"/>
      <c r="U292" s="137" t="n"/>
    </row>
    <row r="293" hidden="1" outlineLevel="3">
      <c r="A293" s="8" t="n"/>
      <c r="B293" s="14" t="n"/>
      <c r="C293" s="137" t="n"/>
      <c r="D293" s="56" t="inlineStr">
        <is>
          <t>CONTA</t>
        </is>
      </c>
      <c r="E293" s="145">
        <f>DADOS_AM!$HA$32</f>
        <v/>
      </c>
      <c r="F293" s="16" t="n"/>
      <c r="G293" s="16" t="n"/>
      <c r="H293" s="17" t="n"/>
      <c r="I293" s="137" t="n"/>
      <c r="J293" s="56" t="inlineStr">
        <is>
          <t>CONTA</t>
        </is>
      </c>
      <c r="K293" s="145">
        <f>DADOS_AM!$HA$33</f>
        <v/>
      </c>
      <c r="L293" s="16" t="n"/>
      <c r="M293" s="16" t="n"/>
      <c r="N293" s="17" t="n"/>
      <c r="O293" s="137" t="n"/>
      <c r="P293" s="56" t="inlineStr">
        <is>
          <t>CONTA</t>
        </is>
      </c>
      <c r="Q293" s="145">
        <f>DADOS_AM!$HA$34</f>
        <v/>
      </c>
      <c r="R293" s="16" t="n"/>
      <c r="S293" s="16" t="n"/>
      <c r="T293" s="17" t="n"/>
      <c r="U293" s="137" t="n"/>
    </row>
    <row r="294" hidden="1" outlineLevel="3">
      <c r="A294" s="8" t="n"/>
      <c r="B294" s="14" t="n"/>
      <c r="C294" s="137" t="n"/>
      <c r="D294" s="56" t="inlineStr">
        <is>
          <t>AMPLIAR</t>
        </is>
      </c>
      <c r="E294" s="145">
        <f>DADOS_AM!$HB$32</f>
        <v/>
      </c>
      <c r="F294" s="19" t="n"/>
      <c r="G294" s="19" t="n"/>
      <c r="H294" s="20" t="n"/>
      <c r="I294" s="137" t="n"/>
      <c r="J294" s="56" t="inlineStr">
        <is>
          <t>AMPLIAR</t>
        </is>
      </c>
      <c r="K294" s="145">
        <f>DADOS_AM!$HB$33</f>
        <v/>
      </c>
      <c r="L294" s="19" t="n"/>
      <c r="M294" s="19" t="n"/>
      <c r="N294" s="20" t="n"/>
      <c r="O294" s="137" t="n"/>
      <c r="P294" s="56" t="inlineStr">
        <is>
          <t>AMPLIAR</t>
        </is>
      </c>
      <c r="Q294" s="145">
        <f>DADOS_AM!$HB$34</f>
        <v/>
      </c>
      <c r="R294" s="19" t="n"/>
      <c r="S294" s="19" t="n"/>
      <c r="T294" s="20" t="n"/>
      <c r="U294" s="137" t="n"/>
    </row>
    <row r="295" hidden="1" outlineLevel="3">
      <c r="A295" s="8" t="n"/>
      <c r="B295" s="14" t="n"/>
      <c r="C295" s="137" t="n"/>
      <c r="D295" s="128" t="n"/>
      <c r="E295" s="23" t="n"/>
      <c r="F295" s="24" t="n"/>
      <c r="G295" s="24" t="n"/>
      <c r="H295" s="25" t="n"/>
      <c r="I295" s="137" t="n"/>
      <c r="J295" s="128" t="n"/>
      <c r="K295" s="23" t="n"/>
      <c r="L295" s="24" t="n"/>
      <c r="M295" s="24" t="n"/>
      <c r="N295" s="25" t="n"/>
      <c r="O295" s="137" t="n"/>
      <c r="P295" s="128" t="n"/>
      <c r="Q295" s="23" t="n"/>
      <c r="R295" s="24" t="n"/>
      <c r="S295" s="24" t="n"/>
      <c r="T295" s="25" t="n"/>
      <c r="U295" s="137" t="n"/>
    </row>
    <row r="296" hidden="1" outlineLevel="3">
      <c r="A296" s="8" t="n"/>
      <c r="B296" s="14" t="n"/>
      <c r="C296" s="137" t="n"/>
      <c r="D296" s="56" t="inlineStr">
        <is>
          <t>AVISOS</t>
        </is>
      </c>
      <c r="E296" s="145">
        <f>DADOS_AM!$GQ$32</f>
        <v/>
      </c>
      <c r="F296" s="19" t="n"/>
      <c r="G296" s="19" t="n"/>
      <c r="H296" s="20" t="n"/>
      <c r="I296" s="137" t="n"/>
      <c r="J296" s="56" t="inlineStr">
        <is>
          <t>AVISOS</t>
        </is>
      </c>
      <c r="K296" s="145">
        <f>DADOS_AM!$GQ$33</f>
        <v/>
      </c>
      <c r="L296" s="19" t="n"/>
      <c r="M296" s="19" t="n"/>
      <c r="N296" s="20" t="n"/>
      <c r="O296" s="137" t="n"/>
      <c r="P296" s="56" t="inlineStr">
        <is>
          <t>AVISOS</t>
        </is>
      </c>
      <c r="Q296" s="145">
        <f>DADOS_AM!$GQ$34</f>
        <v/>
      </c>
      <c r="R296" s="19" t="n"/>
      <c r="S296" s="19" t="n"/>
      <c r="T296" s="20" t="n"/>
      <c r="U296" s="137" t="n"/>
    </row>
    <row r="297" hidden="1" outlineLevel="3">
      <c r="A297" s="8" t="n"/>
      <c r="B297" s="14" t="n"/>
      <c r="C297" s="137" t="n"/>
      <c r="D297" s="128" t="n"/>
      <c r="E297" s="23" t="n"/>
      <c r="F297" s="24" t="n"/>
      <c r="G297" s="24" t="n"/>
      <c r="H297" s="25" t="n"/>
      <c r="I297" s="137" t="n"/>
      <c r="J297" s="128" t="n"/>
      <c r="K297" s="23" t="n"/>
      <c r="L297" s="24" t="n"/>
      <c r="M297" s="24" t="n"/>
      <c r="N297" s="25" t="n"/>
      <c r="O297" s="137" t="n"/>
      <c r="P297" s="128" t="n"/>
      <c r="Q297" s="23" t="n"/>
      <c r="R297" s="24" t="n"/>
      <c r="S297" s="24" t="n"/>
      <c r="T297" s="25" t="n"/>
      <c r="U297" s="137" t="n"/>
    </row>
    <row r="298" hidden="1" outlineLevel="2">
      <c r="A298" s="8" t="n"/>
      <c r="B298" s="14" t="n"/>
      <c r="C298" s="137" t="n"/>
      <c r="D298" s="137" t="n"/>
      <c r="E298" s="137" t="n"/>
      <c r="F298" s="137" t="n"/>
      <c r="G298" s="137" t="n"/>
      <c r="H298" s="137" t="n"/>
      <c r="I298" s="137" t="n"/>
      <c r="J298" s="137" t="n"/>
      <c r="K298" s="137" t="n"/>
      <c r="L298" s="137" t="n"/>
      <c r="M298" s="137" t="n"/>
      <c r="N298" s="137" t="n"/>
      <c r="O298" s="137" t="n"/>
      <c r="P298" s="137" t="n"/>
      <c r="Q298" s="137" t="n"/>
      <c r="R298" s="137" t="n"/>
      <c r="S298" s="137" t="n"/>
      <c r="T298" s="137" t="n"/>
      <c r="U298" s="137" t="n"/>
    </row>
    <row r="299" hidden="1" outlineLevel="2">
      <c r="A299" s="8" t="n"/>
      <c r="B299" s="14" t="n"/>
      <c r="C299" s="137" t="n"/>
      <c r="D299" s="141" t="n">
        <v>1</v>
      </c>
      <c r="E299" s="131" t="n"/>
      <c r="F299" s="17" t="n"/>
      <c r="G299" s="142">
        <f>DADOS_AM!$GP$35</f>
        <v/>
      </c>
      <c r="H299" s="17" t="n"/>
      <c r="I299" s="137" t="n"/>
      <c r="J299" s="141" t="n">
        <v>1</v>
      </c>
      <c r="K299" s="131" t="n"/>
      <c r="L299" s="17" t="n"/>
      <c r="M299" s="142">
        <f>DADOS_AM!$GP$36</f>
        <v/>
      </c>
      <c r="N299" s="17" t="n"/>
      <c r="O299" s="137" t="n"/>
      <c r="P299" s="141" t="n">
        <v>1</v>
      </c>
      <c r="Q299" s="131" t="n"/>
      <c r="R299" s="17" t="n"/>
      <c r="S299" s="142">
        <f>DADOS_AM!$GP$37</f>
        <v/>
      </c>
      <c r="T299" s="17" t="n"/>
      <c r="U299" s="137" t="n"/>
    </row>
    <row r="300" hidden="1" outlineLevel="3">
      <c r="A300" s="8" t="n"/>
      <c r="B300" s="14" t="n"/>
      <c r="C300" s="137" t="n"/>
      <c r="D300" s="56" t="inlineStr">
        <is>
          <t>COMO É</t>
        </is>
      </c>
      <c r="E300" s="16" t="n"/>
      <c r="F300" s="16" t="n"/>
      <c r="G300" s="16" t="n"/>
      <c r="H300" s="17" t="n"/>
      <c r="I300" s="137" t="n"/>
      <c r="J300" s="56" t="inlineStr">
        <is>
          <t>COMO É</t>
        </is>
      </c>
      <c r="K300" s="16" t="n"/>
      <c r="L300" s="16" t="n"/>
      <c r="M300" s="16" t="n"/>
      <c r="N300" s="17" t="n"/>
      <c r="O300" s="137" t="n"/>
      <c r="P300" s="56" t="inlineStr">
        <is>
          <t>COMO É</t>
        </is>
      </c>
      <c r="Q300" s="16" t="n"/>
      <c r="R300" s="16" t="n"/>
      <c r="S300" s="16" t="n"/>
      <c r="T300" s="17" t="n"/>
      <c r="U300" s="137" t="n"/>
    </row>
    <row r="301" hidden="1" outlineLevel="3">
      <c r="A301" s="8" t="n"/>
      <c r="B301" s="14" t="n"/>
      <c r="C301" s="137" t="n"/>
      <c r="D301" s="61" t="n"/>
      <c r="E301" s="19" t="n"/>
      <c r="F301" s="19" t="n"/>
      <c r="G301" s="19" t="n"/>
      <c r="H301" s="20" t="n"/>
      <c r="I301" s="137" t="n"/>
      <c r="J301" s="61" t="n"/>
      <c r="K301" s="19" t="n"/>
      <c r="L301" s="19" t="n"/>
      <c r="M301" s="19" t="n"/>
      <c r="N301" s="20" t="n"/>
      <c r="O301" s="137" t="n"/>
      <c r="P301" s="61" t="n"/>
      <c r="Q301" s="19" t="n"/>
      <c r="R301" s="19" t="n"/>
      <c r="S301" s="19" t="n"/>
      <c r="T301" s="20" t="n"/>
      <c r="U301" s="137" t="n"/>
    </row>
    <row r="302" hidden="1" outlineLevel="3">
      <c r="A302" s="8" t="n"/>
      <c r="B302" s="14" t="n"/>
      <c r="C302" s="137" t="n"/>
      <c r="D302" s="21" t="n"/>
      <c r="H302" s="22" t="n"/>
      <c r="I302" s="137" t="n"/>
      <c r="J302" s="21" t="n"/>
      <c r="N302" s="22" t="n"/>
      <c r="O302" s="137" t="n"/>
      <c r="P302" s="21" t="n"/>
      <c r="T302" s="22" t="n"/>
      <c r="U302" s="137" t="n"/>
    </row>
    <row r="303" hidden="1" outlineLevel="3">
      <c r="A303" s="8" t="n"/>
      <c r="B303" s="14" t="n"/>
      <c r="C303" s="137" t="n"/>
      <c r="D303" s="21" t="n"/>
      <c r="H303" s="22" t="n"/>
      <c r="I303" s="137" t="n"/>
      <c r="J303" s="21" t="n"/>
      <c r="N303" s="22" t="n"/>
      <c r="O303" s="137" t="n"/>
      <c r="P303" s="21" t="n"/>
      <c r="T303" s="22" t="n"/>
      <c r="U303" s="137" t="n"/>
    </row>
    <row r="304" hidden="1" outlineLevel="3">
      <c r="A304" s="8" t="n"/>
      <c r="B304" s="14" t="n"/>
      <c r="C304" s="137" t="n"/>
      <c r="D304" s="21" t="n"/>
      <c r="H304" s="22" t="n"/>
      <c r="I304" s="137" t="n"/>
      <c r="J304" s="21" t="n"/>
      <c r="N304" s="22" t="n"/>
      <c r="O304" s="137" t="n"/>
      <c r="P304" s="21" t="n"/>
      <c r="T304" s="22" t="n"/>
      <c r="U304" s="137" t="n"/>
    </row>
    <row r="305" hidden="1" outlineLevel="3">
      <c r="A305" s="8" t="n"/>
      <c r="B305" s="14" t="n"/>
      <c r="C305" s="137" t="n"/>
      <c r="D305" s="23" t="n"/>
      <c r="E305" s="24" t="n"/>
      <c r="F305" s="24" t="n"/>
      <c r="G305" s="24" t="n"/>
      <c r="H305" s="25" t="n"/>
      <c r="I305" s="137" t="n"/>
      <c r="J305" s="23" t="n"/>
      <c r="K305" s="24" t="n"/>
      <c r="L305" s="24" t="n"/>
      <c r="M305" s="24" t="n"/>
      <c r="N305" s="25" t="n"/>
      <c r="O305" s="137" t="n"/>
      <c r="P305" s="23" t="n"/>
      <c r="Q305" s="24" t="n"/>
      <c r="R305" s="24" t="n"/>
      <c r="S305" s="24" t="n"/>
      <c r="T305" s="25" t="n"/>
      <c r="U305" s="137" t="n"/>
    </row>
    <row r="306" hidden="1" outlineLevel="2">
      <c r="A306" s="8" t="n"/>
      <c r="B306" s="14" t="n"/>
      <c r="C306" s="137" t="n"/>
      <c r="D306" s="95" t="inlineStr">
        <is>
          <t>Projétil</t>
        </is>
      </c>
      <c r="E306" s="71">
        <f>DADOS_AM!$GU$35</f>
        <v/>
      </c>
      <c r="F306" s="71">
        <f>DADOS_AM!$GR$35</f>
        <v/>
      </c>
      <c r="G306" s="95">
        <f>DADOS_AM!$GT$35</f>
        <v/>
      </c>
      <c r="H306" s="17" t="n"/>
      <c r="I306" s="137" t="n"/>
      <c r="J306" s="95" t="inlineStr">
        <is>
          <t>Projétil</t>
        </is>
      </c>
      <c r="K306" s="71">
        <f>DADOS_AM!$GU$36</f>
        <v/>
      </c>
      <c r="L306" s="71">
        <f>DADOS_AM!$GR$36</f>
        <v/>
      </c>
      <c r="M306" s="95">
        <f>DADOS_AM!$GT$36</f>
        <v/>
      </c>
      <c r="N306" s="17" t="n"/>
      <c r="O306" s="137" t="n"/>
      <c r="P306" s="95" t="inlineStr">
        <is>
          <t>Projétil</t>
        </is>
      </c>
      <c r="Q306" s="71">
        <f>DADOS_AM!$GU$37</f>
        <v/>
      </c>
      <c r="R306" s="71">
        <f>DADOS_AM!$GR$37</f>
        <v/>
      </c>
      <c r="S306" s="95">
        <f>DADOS_AM!$GT$37</f>
        <v/>
      </c>
      <c r="T306" s="17" t="n"/>
      <c r="U306" s="137" t="n"/>
    </row>
    <row r="307" hidden="1" outlineLevel="2">
      <c r="A307" s="8" t="n"/>
      <c r="B307" s="14" t="n"/>
      <c r="C307" s="137" t="n"/>
      <c r="D307" s="95">
        <f>DADOS_AM!$GS$35</f>
        <v/>
      </c>
      <c r="E307" s="143">
        <f>DADOS_AM!$GZ$35</f>
        <v/>
      </c>
      <c r="F307" s="16" t="n"/>
      <c r="G307" s="16" t="n"/>
      <c r="H307" s="17" t="n"/>
      <c r="I307" s="137" t="n"/>
      <c r="J307" s="95">
        <f>DADOS_AM!$GS$36</f>
        <v/>
      </c>
      <c r="K307" s="143">
        <f>DADOS_AM!$GZ$36</f>
        <v/>
      </c>
      <c r="L307" s="16" t="n"/>
      <c r="M307" s="16" t="n"/>
      <c r="N307" s="17" t="n"/>
      <c r="O307" s="137" t="n"/>
      <c r="P307" s="95">
        <f>DADOS_AM!$GS$37</f>
        <v/>
      </c>
      <c r="Q307" s="143">
        <f>DADOS_AM!$GZ$37</f>
        <v/>
      </c>
      <c r="R307" s="16" t="n"/>
      <c r="S307" s="16" t="n"/>
      <c r="T307" s="17" t="n"/>
      <c r="U307" s="137" t="n"/>
    </row>
    <row r="308" hidden="1" outlineLevel="3">
      <c r="A308" s="8" t="n"/>
      <c r="B308" s="14" t="n"/>
      <c r="C308" s="137" t="n"/>
      <c r="D308" s="56" t="inlineStr">
        <is>
          <t>MELHORIAS</t>
        </is>
      </c>
      <c r="E308" s="144" t="n"/>
      <c r="F308" s="17" t="n"/>
      <c r="G308" s="143">
        <f>DADOS_AM!$HC$35</f>
        <v/>
      </c>
      <c r="H308" s="17" t="n"/>
      <c r="I308" s="137" t="n"/>
      <c r="J308" s="56" t="inlineStr">
        <is>
          <t>MELHORIAS</t>
        </is>
      </c>
      <c r="K308" s="144" t="n"/>
      <c r="L308" s="17" t="n"/>
      <c r="M308" s="143">
        <f>DADOS_AM!$HC$36</f>
        <v/>
      </c>
      <c r="N308" s="17" t="n"/>
      <c r="O308" s="137" t="n"/>
      <c r="P308" s="56" t="inlineStr">
        <is>
          <t>MELHORIAS</t>
        </is>
      </c>
      <c r="Q308" s="144" t="n"/>
      <c r="R308" s="17" t="n"/>
      <c r="S308" s="143">
        <f>DADOS_AM!$HC$37</f>
        <v/>
      </c>
      <c r="T308" s="17" t="n"/>
      <c r="U308" s="137" t="n"/>
    </row>
    <row r="309" hidden="1" outlineLevel="3">
      <c r="A309" s="8" t="n"/>
      <c r="B309" s="14" t="n"/>
      <c r="C309" s="137" t="n"/>
      <c r="D309" s="66" t="n"/>
      <c r="E309" s="144" t="n"/>
      <c r="F309" s="17" t="n"/>
      <c r="G309" s="143">
        <f>DADOS_AM!$HD$35</f>
        <v/>
      </c>
      <c r="H309" s="17" t="n"/>
      <c r="I309" s="137" t="n"/>
      <c r="J309" s="66" t="n"/>
      <c r="K309" s="144" t="n"/>
      <c r="L309" s="17" t="n"/>
      <c r="M309" s="143">
        <f>DADOS_AM!$HD$36</f>
        <v/>
      </c>
      <c r="N309" s="17" t="n"/>
      <c r="O309" s="137" t="n"/>
      <c r="P309" s="66" t="n"/>
      <c r="Q309" s="144" t="n"/>
      <c r="R309" s="17" t="n"/>
      <c r="S309" s="143">
        <f>DADOS_AM!$HD$37</f>
        <v/>
      </c>
      <c r="T309" s="17" t="n"/>
      <c r="U309" s="137" t="n"/>
    </row>
    <row r="310" hidden="1" outlineLevel="3">
      <c r="A310" s="8" t="n"/>
      <c r="B310" s="14" t="n"/>
      <c r="C310" s="137" t="n"/>
      <c r="D310" s="66" t="n"/>
      <c r="E310" s="144" t="n"/>
      <c r="F310" s="17" t="n"/>
      <c r="G310" s="143">
        <f>DADOS_AM!$HE$35</f>
        <v/>
      </c>
      <c r="H310" s="17" t="n"/>
      <c r="I310" s="137" t="n"/>
      <c r="J310" s="66" t="n"/>
      <c r="K310" s="144" t="n"/>
      <c r="L310" s="17" t="n"/>
      <c r="M310" s="143">
        <f>DADOS_AM!$HE$36</f>
        <v/>
      </c>
      <c r="N310" s="17" t="n"/>
      <c r="O310" s="137" t="n"/>
      <c r="P310" s="66" t="n"/>
      <c r="Q310" s="144" t="n"/>
      <c r="R310" s="17" t="n"/>
      <c r="S310" s="143">
        <f>DADOS_AM!$HE$37</f>
        <v/>
      </c>
      <c r="T310" s="17" t="n"/>
      <c r="U310" s="137" t="n"/>
    </row>
    <row r="311" hidden="1" outlineLevel="3">
      <c r="A311" s="8" t="n"/>
      <c r="B311" s="14" t="n"/>
      <c r="C311" s="137" t="n"/>
      <c r="D311" s="128" t="n"/>
      <c r="E311" s="144" t="n"/>
      <c r="F311" s="17" t="n"/>
      <c r="G311" s="143">
        <f>DADOS_AM!$HF$35</f>
        <v/>
      </c>
      <c r="H311" s="17" t="n"/>
      <c r="I311" s="137" t="n"/>
      <c r="J311" s="128" t="n"/>
      <c r="K311" s="144" t="n"/>
      <c r="L311" s="17" t="n"/>
      <c r="M311" s="143">
        <f>DADOS_AM!$HF$36</f>
        <v/>
      </c>
      <c r="N311" s="17" t="n"/>
      <c r="O311" s="137" t="n"/>
      <c r="P311" s="128" t="n"/>
      <c r="Q311" s="144" t="n"/>
      <c r="R311" s="17" t="n"/>
      <c r="S311" s="143">
        <f>DADOS_AM!$HF$37</f>
        <v/>
      </c>
      <c r="T311" s="17" t="n"/>
      <c r="U311" s="137" t="n"/>
    </row>
    <row r="312" hidden="1" outlineLevel="3">
      <c r="A312" s="8" t="n"/>
      <c r="B312" s="14" t="n"/>
      <c r="C312" s="137" t="n"/>
      <c r="D312" s="56" t="inlineStr">
        <is>
          <t>RESTRIÇÕES</t>
        </is>
      </c>
      <c r="E312" s="144" t="n"/>
      <c r="F312" s="17" t="n"/>
      <c r="G312" s="143">
        <f>DADOS_AM!$HG$35</f>
        <v/>
      </c>
      <c r="H312" s="17" t="n"/>
      <c r="I312" s="137" t="n"/>
      <c r="J312" s="56" t="inlineStr">
        <is>
          <t>RESTRIÇÕES</t>
        </is>
      </c>
      <c r="K312" s="144" t="n"/>
      <c r="L312" s="17" t="n"/>
      <c r="M312" s="143">
        <f>DADOS_AM!$HG$36</f>
        <v/>
      </c>
      <c r="N312" s="17" t="n"/>
      <c r="O312" s="137" t="n"/>
      <c r="P312" s="56" t="inlineStr">
        <is>
          <t>RESTRIÇÕES</t>
        </is>
      </c>
      <c r="Q312" s="144" t="n"/>
      <c r="R312" s="17" t="n"/>
      <c r="S312" s="143">
        <f>DADOS_AM!$HG$37</f>
        <v/>
      </c>
      <c r="T312" s="17" t="n"/>
      <c r="U312" s="137" t="n"/>
    </row>
    <row r="313" hidden="1" outlineLevel="3">
      <c r="A313" s="8" t="n"/>
      <c r="B313" s="14" t="n"/>
      <c r="C313" s="137" t="n"/>
      <c r="D313" s="128" t="n"/>
      <c r="E313" s="144" t="n"/>
      <c r="F313" s="17" t="n"/>
      <c r="G313" s="143">
        <f>DADOS_AM!$HH$35</f>
        <v/>
      </c>
      <c r="H313" s="17" t="n"/>
      <c r="I313" s="137" t="n"/>
      <c r="J313" s="128" t="n"/>
      <c r="K313" s="144" t="n"/>
      <c r="L313" s="17" t="n"/>
      <c r="M313" s="143">
        <f>DADOS_AM!$HH$36</f>
        <v/>
      </c>
      <c r="N313" s="17" t="n"/>
      <c r="O313" s="137" t="n"/>
      <c r="P313" s="128" t="n"/>
      <c r="Q313" s="144" t="n"/>
      <c r="R313" s="17" t="n"/>
      <c r="S313" s="143">
        <f>DADOS_AM!$HH$37</f>
        <v/>
      </c>
      <c r="T313" s="17" t="n"/>
      <c r="U313" s="137" t="n"/>
    </row>
    <row r="314" hidden="1" outlineLevel="3">
      <c r="A314" s="8" t="n"/>
      <c r="B314" s="14" t="n"/>
      <c r="C314" s="137" t="n"/>
      <c r="D314" s="56" t="inlineStr">
        <is>
          <t>CONTA</t>
        </is>
      </c>
      <c r="E314" s="145">
        <f>DADOS_AM!$HA$35</f>
        <v/>
      </c>
      <c r="F314" s="16" t="n"/>
      <c r="G314" s="16" t="n"/>
      <c r="H314" s="17" t="n"/>
      <c r="I314" s="137" t="n"/>
      <c r="J314" s="56" t="inlineStr">
        <is>
          <t>CONTA</t>
        </is>
      </c>
      <c r="K314" s="145">
        <f>DADOS_AM!$HA$36</f>
        <v/>
      </c>
      <c r="L314" s="16" t="n"/>
      <c r="M314" s="16" t="n"/>
      <c r="N314" s="17" t="n"/>
      <c r="O314" s="137" t="n"/>
      <c r="P314" s="56" t="inlineStr">
        <is>
          <t>CONTA</t>
        </is>
      </c>
      <c r="Q314" s="145">
        <f>DADOS_AM!$HA$37</f>
        <v/>
      </c>
      <c r="R314" s="16" t="n"/>
      <c r="S314" s="16" t="n"/>
      <c r="T314" s="17" t="n"/>
      <c r="U314" s="137" t="n"/>
    </row>
    <row r="315" hidden="1" outlineLevel="3">
      <c r="A315" s="8" t="n"/>
      <c r="B315" s="14" t="n"/>
      <c r="C315" s="137" t="n"/>
      <c r="D315" s="56" t="inlineStr">
        <is>
          <t>AMPLIAR</t>
        </is>
      </c>
      <c r="E315" s="145">
        <f>DADOS_AM!$HB$35</f>
        <v/>
      </c>
      <c r="F315" s="19" t="n"/>
      <c r="G315" s="19" t="n"/>
      <c r="H315" s="20" t="n"/>
      <c r="I315" s="137" t="n"/>
      <c r="J315" s="56" t="inlineStr">
        <is>
          <t>AMPLIAR</t>
        </is>
      </c>
      <c r="K315" s="145">
        <f>DADOS_AM!$HB$36</f>
        <v/>
      </c>
      <c r="L315" s="19" t="n"/>
      <c r="M315" s="19" t="n"/>
      <c r="N315" s="20" t="n"/>
      <c r="O315" s="137" t="n"/>
      <c r="P315" s="56" t="inlineStr">
        <is>
          <t>AMPLIAR</t>
        </is>
      </c>
      <c r="Q315" s="145">
        <f>DADOS_AM!$HB$37</f>
        <v/>
      </c>
      <c r="R315" s="19" t="n"/>
      <c r="S315" s="19" t="n"/>
      <c r="T315" s="20" t="n"/>
      <c r="U315" s="137" t="n"/>
    </row>
    <row r="316" hidden="1" outlineLevel="3">
      <c r="A316" s="8" t="n"/>
      <c r="B316" s="14" t="n"/>
      <c r="C316" s="137" t="n"/>
      <c r="D316" s="128" t="n"/>
      <c r="E316" s="23" t="n"/>
      <c r="F316" s="24" t="n"/>
      <c r="G316" s="24" t="n"/>
      <c r="H316" s="25" t="n"/>
      <c r="I316" s="137" t="n"/>
      <c r="J316" s="128" t="n"/>
      <c r="K316" s="23" t="n"/>
      <c r="L316" s="24" t="n"/>
      <c r="M316" s="24" t="n"/>
      <c r="N316" s="25" t="n"/>
      <c r="O316" s="137" t="n"/>
      <c r="P316" s="128" t="n"/>
      <c r="Q316" s="23" t="n"/>
      <c r="R316" s="24" t="n"/>
      <c r="S316" s="24" t="n"/>
      <c r="T316" s="25" t="n"/>
      <c r="U316" s="137" t="n"/>
    </row>
    <row r="317" hidden="1" outlineLevel="3">
      <c r="A317" s="8" t="n"/>
      <c r="B317" s="14" t="n"/>
      <c r="C317" s="137" t="n"/>
      <c r="D317" s="56" t="inlineStr">
        <is>
          <t>AVISOS</t>
        </is>
      </c>
      <c r="E317" s="145">
        <f>DADOS_AM!$GQ$35</f>
        <v/>
      </c>
      <c r="F317" s="19" t="n"/>
      <c r="G317" s="19" t="n"/>
      <c r="H317" s="20" t="n"/>
      <c r="I317" s="137" t="n"/>
      <c r="J317" s="56" t="inlineStr">
        <is>
          <t>AVISOS</t>
        </is>
      </c>
      <c r="K317" s="145">
        <f>DADOS_AM!$GQ$36</f>
        <v/>
      </c>
      <c r="L317" s="19" t="n"/>
      <c r="M317" s="19" t="n"/>
      <c r="N317" s="20" t="n"/>
      <c r="O317" s="137" t="n"/>
      <c r="P317" s="56" t="inlineStr">
        <is>
          <t>AVISOS</t>
        </is>
      </c>
      <c r="Q317" s="145">
        <f>DADOS_AM!$GQ$37</f>
        <v/>
      </c>
      <c r="R317" s="19" t="n"/>
      <c r="S317" s="19" t="n"/>
      <c r="T317" s="20" t="n"/>
      <c r="U317" s="137" t="n"/>
    </row>
    <row r="318" hidden="1" outlineLevel="3">
      <c r="A318" s="8" t="n"/>
      <c r="B318" s="14" t="n"/>
      <c r="C318" s="137" t="n"/>
      <c r="D318" s="128" t="n"/>
      <c r="E318" s="23" t="n"/>
      <c r="F318" s="24" t="n"/>
      <c r="G318" s="24" t="n"/>
      <c r="H318" s="25" t="n"/>
      <c r="I318" s="137" t="n"/>
      <c r="J318" s="128" t="n"/>
      <c r="K318" s="23" t="n"/>
      <c r="L318" s="24" t="n"/>
      <c r="M318" s="24" t="n"/>
      <c r="N318" s="25" t="n"/>
      <c r="O318" s="137" t="n"/>
      <c r="P318" s="128" t="n"/>
      <c r="Q318" s="23" t="n"/>
      <c r="R318" s="24" t="n"/>
      <c r="S318" s="24" t="n"/>
      <c r="T318" s="25" t="n"/>
      <c r="U318" s="137" t="n"/>
    </row>
    <row r="319">
      <c r="A319" s="8" t="n"/>
      <c r="B319" s="14" t="n"/>
      <c r="C319" s="137" t="n"/>
      <c r="D319" s="137" t="n"/>
      <c r="E319" s="137" t="n"/>
      <c r="F319" s="137" t="n"/>
      <c r="G319" s="137" t="n"/>
      <c r="H319" s="137" t="n"/>
      <c r="I319" s="137" t="n"/>
      <c r="J319" s="137" t="n"/>
      <c r="K319" s="137" t="n"/>
      <c r="L319" s="137" t="n"/>
      <c r="M319" s="137" t="n"/>
      <c r="N319" s="137" t="n"/>
      <c r="O319" s="137" t="n"/>
      <c r="P319" s="137" t="n"/>
      <c r="Q319" s="137" t="n"/>
      <c r="R319" s="137" t="n"/>
      <c r="S319" s="137" t="n"/>
      <c r="T319" s="137" t="n"/>
      <c r="U319" s="137" t="n"/>
    </row>
    <row r="320">
      <c r="A320" s="8" t="n"/>
      <c r="B320" s="14" t="n"/>
      <c r="C320" s="137" t="n"/>
      <c r="D320" s="55" t="inlineStr">
        <is>
          <t>CLASSE 0</t>
        </is>
      </c>
      <c r="E320" s="19" t="n"/>
      <c r="F320" s="19" t="n"/>
      <c r="G320" s="19" t="n"/>
      <c r="H320" s="19" t="n"/>
      <c r="I320" s="19" t="n"/>
      <c r="J320" s="19" t="n"/>
      <c r="K320" s="19" t="n"/>
      <c r="L320" s="19" t="n"/>
      <c r="M320" s="19" t="n"/>
      <c r="N320" s="19" t="n"/>
      <c r="O320" s="19" t="n"/>
      <c r="P320" s="19" t="n"/>
      <c r="Q320" s="19" t="n"/>
      <c r="R320" s="19" t="n"/>
      <c r="S320" s="19" t="n"/>
      <c r="T320" s="20" t="n"/>
      <c r="U320" s="137" t="n"/>
    </row>
    <row r="321">
      <c r="A321" s="8" t="n"/>
      <c r="B321" s="14" t="n"/>
      <c r="C321" s="137" t="n"/>
      <c r="D321" s="23" t="n"/>
      <c r="E321" s="24" t="n"/>
      <c r="F321" s="24" t="n"/>
      <c r="G321" s="24" t="n"/>
      <c r="H321" s="24" t="n"/>
      <c r="I321" s="24" t="n"/>
      <c r="J321" s="24" t="n"/>
      <c r="K321" s="24" t="n"/>
      <c r="L321" s="24" t="n"/>
      <c r="M321" s="24" t="n"/>
      <c r="N321" s="24" t="n"/>
      <c r="O321" s="24" t="n"/>
      <c r="P321" s="24" t="n"/>
      <c r="Q321" s="24" t="n"/>
      <c r="R321" s="24" t="n"/>
      <c r="S321" s="24" t="n"/>
      <c r="T321" s="25" t="n"/>
      <c r="U321" s="137" t="n"/>
    </row>
    <row r="322" outlineLevel="1">
      <c r="A322" s="8" t="n"/>
      <c r="B322" s="14" t="n"/>
      <c r="C322" s="137" t="n"/>
      <c r="D322" s="56" t="inlineStr">
        <is>
          <t>NOME</t>
        </is>
      </c>
      <c r="E322" s="17" t="n"/>
      <c r="F322" s="56" t="inlineStr">
        <is>
          <t>FORMA</t>
        </is>
      </c>
      <c r="G322" s="16" t="n"/>
      <c r="H322" s="17" t="n"/>
      <c r="I322" s="137" t="n"/>
      <c r="J322" s="56" t="inlineStr">
        <is>
          <t>MELHORIA LEVE</t>
        </is>
      </c>
      <c r="K322" s="17" t="n"/>
      <c r="L322" s="56" t="inlineStr">
        <is>
          <t>RESTRIÇÃO LEVE</t>
        </is>
      </c>
      <c r="M322" s="16" t="n"/>
      <c r="N322" s="17" t="n"/>
      <c r="O322" s="137" t="n"/>
      <c r="P322" s="56" t="inlineStr">
        <is>
          <t>DANO</t>
        </is>
      </c>
      <c r="Q322" s="17" t="n"/>
      <c r="R322" s="56" t="inlineStr">
        <is>
          <t>ALCANCE</t>
        </is>
      </c>
      <c r="S322" s="16" t="n"/>
      <c r="T322" s="17" t="n"/>
      <c r="U322" s="137" t="n"/>
    </row>
    <row r="323" outlineLevel="1">
      <c r="A323" s="8" t="n"/>
      <c r="B323" s="14" t="n"/>
      <c r="C323" s="137" t="n"/>
      <c r="D323" s="144" t="n"/>
      <c r="E323" s="17" t="n"/>
      <c r="F323" s="95" t="inlineStr">
        <is>
          <t>Projétil</t>
        </is>
      </c>
      <c r="G323" s="16" t="n"/>
      <c r="H323" s="17" t="n"/>
      <c r="I323" s="137" t="n"/>
      <c r="J323" s="144" t="n"/>
      <c r="K323" s="17" t="n"/>
      <c r="L323" s="144" t="n"/>
      <c r="M323" s="16" t="n"/>
      <c r="N323" s="17" t="n"/>
      <c r="O323" s="137" t="n"/>
      <c r="P323" s="71">
        <f>DADOS_AM!$IN$2</f>
        <v/>
      </c>
      <c r="Q323" s="17" t="n"/>
      <c r="R323" s="143">
        <f>DADOS_AM!$IO$2</f>
        <v/>
      </c>
      <c r="S323" s="16" t="n"/>
      <c r="T323" s="17" t="n"/>
      <c r="U323" s="137" t="n"/>
    </row>
    <row r="324" outlineLevel="1">
      <c r="A324" s="8" t="n"/>
      <c r="B324" s="14" t="n"/>
      <c r="C324" s="137" t="n"/>
      <c r="D324" s="144" t="n"/>
      <c r="E324" s="17" t="n"/>
      <c r="F324" s="95" t="inlineStr">
        <is>
          <t>Projétil</t>
        </is>
      </c>
      <c r="G324" s="16" t="n"/>
      <c r="H324" s="17" t="n"/>
      <c r="I324" s="137" t="n"/>
      <c r="J324" s="144" t="n"/>
      <c r="K324" s="17" t="n"/>
      <c r="L324" s="144" t="n"/>
      <c r="M324" s="16" t="n"/>
      <c r="N324" s="17" t="n"/>
      <c r="O324" s="137" t="n"/>
      <c r="P324" s="71">
        <f>DADOS_AM!$IN$3</f>
        <v/>
      </c>
      <c r="Q324" s="17" t="n"/>
      <c r="R324" s="143">
        <f>DADOS_AM!$IO$3</f>
        <v/>
      </c>
      <c r="S324" s="16" t="n"/>
      <c r="T324" s="17" t="n"/>
      <c r="U324" s="137" t="n"/>
    </row>
    <row r="325" outlineLevel="1">
      <c r="A325" s="8" t="n"/>
      <c r="B325" s="14" t="n"/>
      <c r="C325" s="137" t="n"/>
      <c r="D325" s="144" t="n"/>
      <c r="E325" s="17" t="n"/>
      <c r="F325" s="95" t="inlineStr">
        <is>
          <t>Projétil</t>
        </is>
      </c>
      <c r="G325" s="16" t="n"/>
      <c r="H325" s="17" t="n"/>
      <c r="I325" s="137" t="n"/>
      <c r="J325" s="144" t="n"/>
      <c r="K325" s="17" t="n"/>
      <c r="L325" s="144" t="n"/>
      <c r="M325" s="16" t="n"/>
      <c r="N325" s="17" t="n"/>
      <c r="O325" s="137" t="n"/>
      <c r="P325" s="71">
        <f>DADOS_AM!$IN$4</f>
        <v/>
      </c>
      <c r="Q325" s="17" t="n"/>
      <c r="R325" s="143">
        <f>DADOS_AM!$IO$4</f>
        <v/>
      </c>
      <c r="S325" s="16" t="n"/>
      <c r="T325" s="17" t="n"/>
      <c r="U325" s="137" t="n"/>
    </row>
    <row r="326" outlineLevel="1">
      <c r="A326" s="8" t="n"/>
      <c r="B326" s="14" t="n"/>
      <c r="C326" s="137" t="n"/>
      <c r="D326" s="144" t="n"/>
      <c r="E326" s="17" t="n"/>
      <c r="F326" s="95" t="inlineStr">
        <is>
          <t>Projétil</t>
        </is>
      </c>
      <c r="G326" s="16" t="n"/>
      <c r="H326" s="17" t="n"/>
      <c r="I326" s="137" t="n"/>
      <c r="J326" s="144" t="n"/>
      <c r="K326" s="17" t="n"/>
      <c r="L326" s="144" t="n"/>
      <c r="M326" s="16" t="n"/>
      <c r="N326" s="17" t="n"/>
      <c r="O326" s="137" t="n"/>
      <c r="P326" s="71">
        <f>DADOS_AM!$IN$5</f>
        <v/>
      </c>
      <c r="Q326" s="17" t="n"/>
      <c r="R326" s="143">
        <f>DADOS_AM!$IO$5</f>
        <v/>
      </c>
      <c r="S326" s="16" t="n"/>
      <c r="T326" s="17" t="n"/>
      <c r="U326" s="137" t="n"/>
    </row>
    <row r="327" outlineLevel="1">
      <c r="A327" s="8" t="n"/>
      <c r="B327" s="14" t="n"/>
      <c r="C327" s="137" t="n"/>
      <c r="D327" s="144" t="n"/>
      <c r="E327" s="17" t="n"/>
      <c r="F327" s="95" t="inlineStr">
        <is>
          <t>Projétil</t>
        </is>
      </c>
      <c r="G327" s="16" t="n"/>
      <c r="H327" s="17" t="n"/>
      <c r="I327" s="137" t="n"/>
      <c r="J327" s="144" t="n"/>
      <c r="K327" s="17" t="n"/>
      <c r="L327" s="144" t="n"/>
      <c r="M327" s="16" t="n"/>
      <c r="N327" s="17" t="n"/>
      <c r="O327" s="137" t="n"/>
      <c r="P327" s="71">
        <f>DADOS_AM!$IN$6</f>
        <v/>
      </c>
      <c r="Q327" s="17" t="n"/>
      <c r="R327" s="143">
        <f>DADOS_AM!$IO$6</f>
        <v/>
      </c>
      <c r="S327" s="16" t="n"/>
      <c r="T327" s="17" t="n"/>
      <c r="U327" s="137" t="n"/>
    </row>
    <row r="328">
      <c r="A328" s="8" t="n"/>
      <c r="B328" s="14" t="n"/>
      <c r="C328" s="137" t="n"/>
      <c r="D328" s="137" t="n"/>
      <c r="E328" s="137" t="n"/>
      <c r="F328" s="137" t="n"/>
      <c r="G328" s="137" t="n"/>
      <c r="H328" s="137" t="n"/>
      <c r="I328" s="137" t="n"/>
      <c r="J328" s="137" t="n"/>
      <c r="K328" s="137" t="n"/>
      <c r="L328" s="137" t="n"/>
      <c r="M328" s="137" t="n"/>
      <c r="N328" s="137" t="n"/>
      <c r="O328" s="137" t="n"/>
      <c r="P328" s="137" t="n"/>
      <c r="Q328" s="137" t="n"/>
      <c r="R328" s="137" t="n"/>
      <c r="S328" s="137" t="n"/>
      <c r="T328" s="137" t="n"/>
      <c r="U328" s="137" t="n"/>
    </row>
    <row r="329">
      <c r="A329" s="8" t="n"/>
      <c r="B329" s="14" t="n"/>
      <c r="C329" s="137" t="n"/>
      <c r="D329" s="55">
        <f>DADOS_AM!$KV$36</f>
        <v/>
      </c>
      <c r="E329" s="19" t="n"/>
      <c r="F329" s="19" t="n"/>
      <c r="G329" s="19" t="n"/>
      <c r="H329" s="19" t="n"/>
      <c r="I329" s="19" t="n"/>
      <c r="J329" s="19" t="n"/>
      <c r="K329" s="19" t="n"/>
      <c r="L329" s="19" t="n"/>
      <c r="M329" s="19" t="n"/>
      <c r="N329" s="19" t="n"/>
      <c r="O329" s="19" t="n"/>
      <c r="P329" s="19" t="n"/>
      <c r="Q329" s="19" t="n"/>
      <c r="R329" s="19" t="n"/>
      <c r="S329" s="19" t="n"/>
      <c r="T329" s="20" t="n"/>
      <c r="U329" s="137" t="n"/>
    </row>
    <row r="330">
      <c r="A330" s="8" t="n"/>
      <c r="B330" s="14" t="n"/>
      <c r="C330" s="137" t="n"/>
      <c r="D330" s="23" t="n"/>
      <c r="E330" s="24" t="n"/>
      <c r="F330" s="24" t="n"/>
      <c r="G330" s="24" t="n"/>
      <c r="H330" s="24" t="n"/>
      <c r="I330" s="24" t="n"/>
      <c r="J330" s="24" t="n"/>
      <c r="K330" s="24" t="n"/>
      <c r="L330" s="24" t="n"/>
      <c r="M330" s="24" t="n"/>
      <c r="N330" s="24" t="n"/>
      <c r="O330" s="24" t="n"/>
      <c r="P330" s="24" t="n"/>
      <c r="Q330" s="24" t="n"/>
      <c r="R330" s="24" t="n"/>
      <c r="S330" s="24" t="n"/>
      <c r="T330" s="25" t="n"/>
      <c r="U330" s="137" t="n"/>
    </row>
    <row r="331" hidden="1" outlineLevel="1">
      <c r="A331" s="8" t="n"/>
      <c r="B331" s="14" t="n"/>
      <c r="C331" s="137" t="n"/>
      <c r="D331" s="137" t="n"/>
      <c r="E331" s="137" t="n"/>
      <c r="F331" s="137" t="n"/>
      <c r="G331" s="137" t="n"/>
      <c r="H331" s="137" t="n"/>
      <c r="I331" s="137" t="n"/>
      <c r="J331" s="137" t="n"/>
      <c r="K331" s="137" t="n"/>
      <c r="L331" s="137" t="n"/>
      <c r="M331" s="137" t="n"/>
      <c r="N331" s="137" t="n"/>
      <c r="O331" s="137" t="n"/>
      <c r="P331" s="137" t="n"/>
      <c r="Q331" s="137" t="n"/>
      <c r="R331" s="137" t="n"/>
      <c r="S331" s="137" t="n"/>
      <c r="T331" s="137" t="n"/>
      <c r="U331" s="137" t="n"/>
    </row>
    <row r="332" hidden="1" outlineLevel="1">
      <c r="A332" s="8" t="n"/>
      <c r="B332" s="14" t="n"/>
      <c r="C332" s="137" t="n"/>
      <c r="D332" s="141" t="n">
        <v>3</v>
      </c>
      <c r="E332" s="131" t="n"/>
      <c r="F332" s="17" t="n"/>
      <c r="G332" s="142">
        <f>DADOS_AM!$GP$38</f>
        <v/>
      </c>
      <c r="H332" s="17" t="n"/>
      <c r="I332" s="137" t="n"/>
      <c r="J332" s="141" t="n">
        <v>3</v>
      </c>
      <c r="K332" s="131" t="n"/>
      <c r="L332" s="17" t="n"/>
      <c r="M332" s="142">
        <f>DADOS_AM!$GP$39</f>
        <v/>
      </c>
      <c r="N332" s="17" t="n"/>
      <c r="O332" s="137" t="n"/>
      <c r="P332" s="141" t="n">
        <v>3</v>
      </c>
      <c r="Q332" s="131" t="n"/>
      <c r="R332" s="17" t="n"/>
      <c r="S332" s="142">
        <f>DADOS_AM!$GP$40</f>
        <v/>
      </c>
      <c r="T332" s="17" t="n"/>
      <c r="U332" s="137" t="n"/>
    </row>
    <row r="333" hidden="1" outlineLevel="2">
      <c r="A333" s="8" t="n"/>
      <c r="B333" s="14" t="n"/>
      <c r="C333" s="137" t="n"/>
      <c r="D333" s="56" t="inlineStr">
        <is>
          <t>COMO É</t>
        </is>
      </c>
      <c r="E333" s="16" t="n"/>
      <c r="F333" s="16" t="n"/>
      <c r="G333" s="16" t="n"/>
      <c r="H333" s="17" t="n"/>
      <c r="I333" s="137" t="n"/>
      <c r="J333" s="56" t="inlineStr">
        <is>
          <t>COMO É</t>
        </is>
      </c>
      <c r="K333" s="16" t="n"/>
      <c r="L333" s="16" t="n"/>
      <c r="M333" s="16" t="n"/>
      <c r="N333" s="17" t="n"/>
      <c r="O333" s="137" t="n"/>
      <c r="P333" s="56" t="inlineStr">
        <is>
          <t>COMO É</t>
        </is>
      </c>
      <c r="Q333" s="16" t="n"/>
      <c r="R333" s="16" t="n"/>
      <c r="S333" s="16" t="n"/>
      <c r="T333" s="17" t="n"/>
      <c r="U333" s="137" t="n"/>
    </row>
    <row r="334" hidden="1" outlineLevel="2">
      <c r="A334" s="8" t="n"/>
      <c r="B334" s="14" t="n"/>
      <c r="C334" s="137" t="n"/>
      <c r="D334" s="61" t="n"/>
      <c r="E334" s="19" t="n"/>
      <c r="F334" s="19" t="n"/>
      <c r="G334" s="19" t="n"/>
      <c r="H334" s="20" t="n"/>
      <c r="I334" s="137" t="n"/>
      <c r="J334" s="61" t="n"/>
      <c r="K334" s="19" t="n"/>
      <c r="L334" s="19" t="n"/>
      <c r="M334" s="19" t="n"/>
      <c r="N334" s="20" t="n"/>
      <c r="O334" s="137" t="n"/>
      <c r="P334" s="61" t="n"/>
      <c r="Q334" s="19" t="n"/>
      <c r="R334" s="19" t="n"/>
      <c r="S334" s="19" t="n"/>
      <c r="T334" s="20" t="n"/>
      <c r="U334" s="137" t="n"/>
    </row>
    <row r="335" hidden="1" outlineLevel="2">
      <c r="A335" s="8" t="n"/>
      <c r="B335" s="14" t="n"/>
      <c r="C335" s="137" t="n"/>
      <c r="D335" s="21" t="n"/>
      <c r="H335" s="22" t="n"/>
      <c r="I335" s="137" t="n"/>
      <c r="J335" s="21" t="n"/>
      <c r="N335" s="22" t="n"/>
      <c r="O335" s="137" t="n"/>
      <c r="P335" s="21" t="n"/>
      <c r="T335" s="22" t="n"/>
      <c r="U335" s="137" t="n"/>
    </row>
    <row r="336" hidden="1" outlineLevel="2">
      <c r="A336" s="8" t="n"/>
      <c r="B336" s="14" t="n"/>
      <c r="C336" s="137" t="n"/>
      <c r="D336" s="21" t="n"/>
      <c r="H336" s="22" t="n"/>
      <c r="I336" s="137" t="n"/>
      <c r="J336" s="21" t="n"/>
      <c r="N336" s="22" t="n"/>
      <c r="O336" s="137" t="n"/>
      <c r="P336" s="21" t="n"/>
      <c r="T336" s="22" t="n"/>
      <c r="U336" s="137" t="n"/>
    </row>
    <row r="337" hidden="1" outlineLevel="2">
      <c r="A337" s="8" t="n"/>
      <c r="B337" s="14" t="n"/>
      <c r="C337" s="137" t="n"/>
      <c r="D337" s="21" t="n"/>
      <c r="H337" s="22" t="n"/>
      <c r="I337" s="137" t="n"/>
      <c r="J337" s="21" t="n"/>
      <c r="N337" s="22" t="n"/>
      <c r="O337" s="137" t="n"/>
      <c r="P337" s="21" t="n"/>
      <c r="T337" s="22" t="n"/>
      <c r="U337" s="137" t="n"/>
    </row>
    <row r="338" hidden="1" outlineLevel="2">
      <c r="A338" s="8" t="n"/>
      <c r="B338" s="14" t="n"/>
      <c r="C338" s="137" t="n"/>
      <c r="D338" s="23" t="n"/>
      <c r="E338" s="24" t="n"/>
      <c r="F338" s="24" t="n"/>
      <c r="G338" s="24" t="n"/>
      <c r="H338" s="25" t="n"/>
      <c r="I338" s="137" t="n"/>
      <c r="J338" s="23" t="n"/>
      <c r="K338" s="24" t="n"/>
      <c r="L338" s="24" t="n"/>
      <c r="M338" s="24" t="n"/>
      <c r="N338" s="25" t="n"/>
      <c r="O338" s="137" t="n"/>
      <c r="P338" s="23" t="n"/>
      <c r="Q338" s="24" t="n"/>
      <c r="R338" s="24" t="n"/>
      <c r="S338" s="24" t="n"/>
      <c r="T338" s="25" t="n"/>
      <c r="U338" s="137" t="n"/>
    </row>
    <row r="339" hidden="1" outlineLevel="1">
      <c r="A339" s="8" t="n"/>
      <c r="B339" s="14" t="n"/>
      <c r="C339" s="137" t="n"/>
      <c r="D339" s="95" t="inlineStr">
        <is>
          <t>Projétil</t>
        </is>
      </c>
      <c r="E339" s="71">
        <f>DADOS_AM!$GU$38</f>
        <v/>
      </c>
      <c r="F339" s="71">
        <f>DADOS_AM!$GR$38</f>
        <v/>
      </c>
      <c r="G339" s="95">
        <f>DADOS_AM!$GT$38</f>
        <v/>
      </c>
      <c r="H339" s="17" t="n"/>
      <c r="I339" s="137" t="n"/>
      <c r="J339" s="95" t="inlineStr">
        <is>
          <t>Projétil</t>
        </is>
      </c>
      <c r="K339" s="71">
        <f>DADOS_AM!$GU$39</f>
        <v/>
      </c>
      <c r="L339" s="71">
        <f>DADOS_AM!$GR$39</f>
        <v/>
      </c>
      <c r="M339" s="95">
        <f>DADOS_AM!$GT$39</f>
        <v/>
      </c>
      <c r="N339" s="17" t="n"/>
      <c r="O339" s="137" t="n"/>
      <c r="P339" s="95" t="inlineStr">
        <is>
          <t>Projétil</t>
        </is>
      </c>
      <c r="Q339" s="71">
        <f>DADOS_AM!$GU$40</f>
        <v/>
      </c>
      <c r="R339" s="71">
        <f>DADOS_AM!$GR$40</f>
        <v/>
      </c>
      <c r="S339" s="95">
        <f>DADOS_AM!$GT$40</f>
        <v/>
      </c>
      <c r="T339" s="17" t="n"/>
      <c r="U339" s="137" t="n"/>
    </row>
    <row r="340" hidden="1" outlineLevel="1">
      <c r="A340" s="8" t="n"/>
      <c r="B340" s="14" t="n"/>
      <c r="C340" s="137" t="n"/>
      <c r="D340" s="95">
        <f>DADOS_AM!$GS$38</f>
        <v/>
      </c>
      <c r="E340" s="143">
        <f>DADOS_AM!$GZ$38</f>
        <v/>
      </c>
      <c r="F340" s="16" t="n"/>
      <c r="G340" s="16" t="n"/>
      <c r="H340" s="17" t="n"/>
      <c r="I340" s="137" t="n"/>
      <c r="J340" s="95">
        <f>DADOS_AM!$GS$39</f>
        <v/>
      </c>
      <c r="K340" s="143">
        <f>DADOS_AM!$GZ$39</f>
        <v/>
      </c>
      <c r="L340" s="16" t="n"/>
      <c r="M340" s="16" t="n"/>
      <c r="N340" s="17" t="n"/>
      <c r="O340" s="137" t="n"/>
      <c r="P340" s="95">
        <f>DADOS_AM!$GS$40</f>
        <v/>
      </c>
      <c r="Q340" s="143">
        <f>DADOS_AM!$GZ$40</f>
        <v/>
      </c>
      <c r="R340" s="16" t="n"/>
      <c r="S340" s="16" t="n"/>
      <c r="T340" s="17" t="n"/>
      <c r="U340" s="137" t="n"/>
    </row>
    <row r="341" hidden="1" outlineLevel="2">
      <c r="A341" s="8" t="n"/>
      <c r="B341" s="14" t="n"/>
      <c r="C341" s="137" t="n"/>
      <c r="D341" s="56" t="inlineStr">
        <is>
          <t>MELHORIAS</t>
        </is>
      </c>
      <c r="E341" s="144" t="n"/>
      <c r="F341" s="17" t="n"/>
      <c r="G341" s="143">
        <f>DADOS_AM!$HC$38</f>
        <v/>
      </c>
      <c r="H341" s="17" t="n"/>
      <c r="I341" s="137" t="n"/>
      <c r="J341" s="56" t="inlineStr">
        <is>
          <t>MELHORIAS</t>
        </is>
      </c>
      <c r="K341" s="144" t="n"/>
      <c r="L341" s="17" t="n"/>
      <c r="M341" s="143">
        <f>DADOS_AM!$HC$39</f>
        <v/>
      </c>
      <c r="N341" s="17" t="n"/>
      <c r="O341" s="137" t="n"/>
      <c r="P341" s="56" t="inlineStr">
        <is>
          <t>MELHORIAS</t>
        </is>
      </c>
      <c r="Q341" s="144" t="n"/>
      <c r="R341" s="17" t="n"/>
      <c r="S341" s="143">
        <f>DADOS_AM!$HC$40</f>
        <v/>
      </c>
      <c r="T341" s="17" t="n"/>
      <c r="U341" s="137" t="n"/>
    </row>
    <row r="342" hidden="1" outlineLevel="2">
      <c r="A342" s="8" t="n"/>
      <c r="B342" s="14" t="n"/>
      <c r="C342" s="137" t="n"/>
      <c r="D342" s="66" t="n"/>
      <c r="E342" s="144" t="n"/>
      <c r="F342" s="17" t="n"/>
      <c r="G342" s="143">
        <f>DADOS_AM!$HD$38</f>
        <v/>
      </c>
      <c r="H342" s="17" t="n"/>
      <c r="I342" s="137" t="n"/>
      <c r="J342" s="66" t="n"/>
      <c r="K342" s="144" t="n"/>
      <c r="L342" s="17" t="n"/>
      <c r="M342" s="143">
        <f>DADOS_AM!$HD$39</f>
        <v/>
      </c>
      <c r="N342" s="17" t="n"/>
      <c r="O342" s="137" t="n"/>
      <c r="P342" s="66" t="n"/>
      <c r="Q342" s="144" t="n"/>
      <c r="R342" s="17" t="n"/>
      <c r="S342" s="143">
        <f>DADOS_AM!$HD$40</f>
        <v/>
      </c>
      <c r="T342" s="17" t="n"/>
      <c r="U342" s="137" t="n"/>
    </row>
    <row r="343" hidden="1" outlineLevel="2">
      <c r="A343" s="8" t="n"/>
      <c r="B343" s="14" t="n"/>
      <c r="C343" s="137" t="n"/>
      <c r="D343" s="66" t="n"/>
      <c r="E343" s="144" t="n"/>
      <c r="F343" s="17" t="n"/>
      <c r="G343" s="143">
        <f>DADOS_AM!$HE$38</f>
        <v/>
      </c>
      <c r="H343" s="17" t="n"/>
      <c r="I343" s="137" t="n"/>
      <c r="J343" s="66" t="n"/>
      <c r="K343" s="144" t="n"/>
      <c r="L343" s="17" t="n"/>
      <c r="M343" s="143">
        <f>DADOS_AM!$HE$39</f>
        <v/>
      </c>
      <c r="N343" s="17" t="n"/>
      <c r="O343" s="137" t="n"/>
      <c r="P343" s="66" t="n"/>
      <c r="Q343" s="144" t="n"/>
      <c r="R343" s="17" t="n"/>
      <c r="S343" s="143">
        <f>DADOS_AM!$HE$40</f>
        <v/>
      </c>
      <c r="T343" s="17" t="n"/>
      <c r="U343" s="137" t="n"/>
    </row>
    <row r="344" hidden="1" outlineLevel="2">
      <c r="A344" s="8" t="n"/>
      <c r="B344" s="14" t="n"/>
      <c r="C344" s="137" t="n"/>
      <c r="D344" s="128" t="n"/>
      <c r="E344" s="144" t="n"/>
      <c r="F344" s="17" t="n"/>
      <c r="G344" s="143">
        <f>DADOS_AM!$HF$38</f>
        <v/>
      </c>
      <c r="H344" s="17" t="n"/>
      <c r="I344" s="137" t="n"/>
      <c r="J344" s="128" t="n"/>
      <c r="K344" s="144" t="n"/>
      <c r="L344" s="17" t="n"/>
      <c r="M344" s="143">
        <f>DADOS_AM!$HF$39</f>
        <v/>
      </c>
      <c r="N344" s="17" t="n"/>
      <c r="O344" s="137" t="n"/>
      <c r="P344" s="128" t="n"/>
      <c r="Q344" s="144" t="n"/>
      <c r="R344" s="17" t="n"/>
      <c r="S344" s="143">
        <f>DADOS_AM!$HF$40</f>
        <v/>
      </c>
      <c r="T344" s="17" t="n"/>
      <c r="U344" s="137" t="n"/>
    </row>
    <row r="345" hidden="1" outlineLevel="2">
      <c r="A345" s="8" t="n"/>
      <c r="B345" s="14" t="n"/>
      <c r="C345" s="137" t="n"/>
      <c r="D345" s="56" t="inlineStr">
        <is>
          <t>RESTRIÇÕES</t>
        </is>
      </c>
      <c r="E345" s="144" t="n"/>
      <c r="F345" s="17" t="n"/>
      <c r="G345" s="143">
        <f>DADOS_AM!$HG$38</f>
        <v/>
      </c>
      <c r="H345" s="17" t="n"/>
      <c r="I345" s="137" t="n"/>
      <c r="J345" s="56" t="inlineStr">
        <is>
          <t>RESTRIÇÕES</t>
        </is>
      </c>
      <c r="K345" s="144" t="n"/>
      <c r="L345" s="17" t="n"/>
      <c r="M345" s="143">
        <f>DADOS_AM!$HG$39</f>
        <v/>
      </c>
      <c r="N345" s="17" t="n"/>
      <c r="O345" s="137" t="n"/>
      <c r="P345" s="56" t="inlineStr">
        <is>
          <t>RESTRIÇÕES</t>
        </is>
      </c>
      <c r="Q345" s="144" t="n"/>
      <c r="R345" s="17" t="n"/>
      <c r="S345" s="143">
        <f>DADOS_AM!$HG$40</f>
        <v/>
      </c>
      <c r="T345" s="17" t="n"/>
      <c r="U345" s="137" t="n"/>
    </row>
    <row r="346" hidden="1" outlineLevel="2">
      <c r="A346" s="8" t="n"/>
      <c r="B346" s="14" t="n"/>
      <c r="C346" s="137" t="n"/>
      <c r="D346" s="128" t="n"/>
      <c r="E346" s="144" t="n"/>
      <c r="F346" s="17" t="n"/>
      <c r="G346" s="143">
        <f>DADOS_AM!$HH$38</f>
        <v/>
      </c>
      <c r="H346" s="17" t="n"/>
      <c r="I346" s="137" t="n"/>
      <c r="J346" s="128" t="n"/>
      <c r="K346" s="144" t="n"/>
      <c r="L346" s="17" t="n"/>
      <c r="M346" s="143">
        <f>DADOS_AM!$HH$39</f>
        <v/>
      </c>
      <c r="N346" s="17" t="n"/>
      <c r="O346" s="137" t="n"/>
      <c r="P346" s="128" t="n"/>
      <c r="Q346" s="144" t="n"/>
      <c r="R346" s="17" t="n"/>
      <c r="S346" s="143">
        <f>DADOS_AM!$HH$40</f>
        <v/>
      </c>
      <c r="T346" s="17" t="n"/>
      <c r="U346" s="137" t="n"/>
    </row>
    <row r="347" hidden="1" outlineLevel="2">
      <c r="A347" s="8" t="n"/>
      <c r="B347" s="14" t="n"/>
      <c r="C347" s="137" t="n"/>
      <c r="D347" s="56" t="inlineStr">
        <is>
          <t>CONTA</t>
        </is>
      </c>
      <c r="E347" s="145">
        <f>DADOS_AM!$HA$38</f>
        <v/>
      </c>
      <c r="F347" s="16" t="n"/>
      <c r="G347" s="16" t="n"/>
      <c r="H347" s="17" t="n"/>
      <c r="I347" s="137" t="n"/>
      <c r="J347" s="56" t="inlineStr">
        <is>
          <t>CONTA</t>
        </is>
      </c>
      <c r="K347" s="145">
        <f>DADOS_AM!$HA$39</f>
        <v/>
      </c>
      <c r="L347" s="16" t="n"/>
      <c r="M347" s="16" t="n"/>
      <c r="N347" s="17" t="n"/>
      <c r="O347" s="137" t="n"/>
      <c r="P347" s="56" t="inlineStr">
        <is>
          <t>CONTA</t>
        </is>
      </c>
      <c r="Q347" s="145">
        <f>DADOS_AM!$HA$40</f>
        <v/>
      </c>
      <c r="R347" s="16" t="n"/>
      <c r="S347" s="16" t="n"/>
      <c r="T347" s="17" t="n"/>
      <c r="U347" s="137" t="n"/>
    </row>
    <row r="348" hidden="1" outlineLevel="2">
      <c r="A348" s="8" t="n"/>
      <c r="B348" s="14" t="n"/>
      <c r="C348" s="137" t="n"/>
      <c r="D348" s="56" t="inlineStr">
        <is>
          <t>AMPLIAR</t>
        </is>
      </c>
      <c r="E348" s="145">
        <f>DADOS_AM!$HB$38</f>
        <v/>
      </c>
      <c r="F348" s="19" t="n"/>
      <c r="G348" s="19" t="n"/>
      <c r="H348" s="20" t="n"/>
      <c r="I348" s="137" t="n"/>
      <c r="J348" s="56" t="inlineStr">
        <is>
          <t>AMPLIAR</t>
        </is>
      </c>
      <c r="K348" s="145">
        <f>DADOS_AM!$HB$39</f>
        <v/>
      </c>
      <c r="L348" s="19" t="n"/>
      <c r="M348" s="19" t="n"/>
      <c r="N348" s="20" t="n"/>
      <c r="O348" s="137" t="n"/>
      <c r="P348" s="56" t="inlineStr">
        <is>
          <t>AMPLIAR</t>
        </is>
      </c>
      <c r="Q348" s="145">
        <f>DADOS_AM!$HB$40</f>
        <v/>
      </c>
      <c r="R348" s="19" t="n"/>
      <c r="S348" s="19" t="n"/>
      <c r="T348" s="20" t="n"/>
      <c r="U348" s="137" t="n"/>
    </row>
    <row r="349" hidden="1" outlineLevel="2">
      <c r="A349" s="8" t="n"/>
      <c r="B349" s="14" t="n"/>
      <c r="C349" s="137" t="n"/>
      <c r="D349" s="128" t="n"/>
      <c r="E349" s="23" t="n"/>
      <c r="F349" s="24" t="n"/>
      <c r="G349" s="24" t="n"/>
      <c r="H349" s="25" t="n"/>
      <c r="I349" s="137" t="n"/>
      <c r="J349" s="128" t="n"/>
      <c r="K349" s="23" t="n"/>
      <c r="L349" s="24" t="n"/>
      <c r="M349" s="24" t="n"/>
      <c r="N349" s="25" t="n"/>
      <c r="O349" s="137" t="n"/>
      <c r="P349" s="128" t="n"/>
      <c r="Q349" s="23" t="n"/>
      <c r="R349" s="24" t="n"/>
      <c r="S349" s="24" t="n"/>
      <c r="T349" s="25" t="n"/>
      <c r="U349" s="137" t="n"/>
    </row>
    <row r="350" hidden="1" outlineLevel="2">
      <c r="A350" s="8" t="n"/>
      <c r="B350" s="14" t="n"/>
      <c r="C350" s="137" t="n"/>
      <c r="D350" s="56" t="inlineStr">
        <is>
          <t>AVISOS</t>
        </is>
      </c>
      <c r="E350" s="145">
        <f>DADOS_AM!$GQ$38</f>
        <v/>
      </c>
      <c r="F350" s="19" t="n"/>
      <c r="G350" s="19" t="n"/>
      <c r="H350" s="20" t="n"/>
      <c r="I350" s="137" t="n"/>
      <c r="J350" s="56" t="inlineStr">
        <is>
          <t>AVISOS</t>
        </is>
      </c>
      <c r="K350" s="145">
        <f>DADOS_AM!$GQ$39</f>
        <v/>
      </c>
      <c r="L350" s="19" t="n"/>
      <c r="M350" s="19" t="n"/>
      <c r="N350" s="20" t="n"/>
      <c r="O350" s="137" t="n"/>
      <c r="P350" s="56" t="inlineStr">
        <is>
          <t>AVISOS</t>
        </is>
      </c>
      <c r="Q350" s="145">
        <f>DADOS_AM!$GQ$40</f>
        <v/>
      </c>
      <c r="R350" s="19" t="n"/>
      <c r="S350" s="19" t="n"/>
      <c r="T350" s="20" t="n"/>
      <c r="U350" s="137" t="n"/>
    </row>
    <row r="351" hidden="1" outlineLevel="2">
      <c r="A351" s="8" t="n"/>
      <c r="B351" s="14" t="n"/>
      <c r="C351" s="137" t="n"/>
      <c r="D351" s="128" t="n"/>
      <c r="E351" s="23" t="n"/>
      <c r="F351" s="24" t="n"/>
      <c r="G351" s="24" t="n"/>
      <c r="H351" s="25" t="n"/>
      <c r="I351" s="137" t="n"/>
      <c r="J351" s="128" t="n"/>
      <c r="K351" s="23" t="n"/>
      <c r="L351" s="24" t="n"/>
      <c r="M351" s="24" t="n"/>
      <c r="N351" s="25" t="n"/>
      <c r="O351" s="137" t="n"/>
      <c r="P351" s="128" t="n"/>
      <c r="Q351" s="23" t="n"/>
      <c r="R351" s="24" t="n"/>
      <c r="S351" s="24" t="n"/>
      <c r="T351" s="25" t="n"/>
      <c r="U351" s="137" t="n"/>
    </row>
    <row r="352">
      <c r="A352" s="8" t="n"/>
      <c r="B352" s="14" t="n"/>
      <c r="C352" s="137" t="n"/>
      <c r="D352" s="137" t="n"/>
      <c r="E352" s="137" t="n"/>
      <c r="F352" s="137" t="n"/>
      <c r="G352" s="137" t="n"/>
      <c r="H352" s="137" t="n"/>
      <c r="I352" s="137" t="n"/>
      <c r="J352" s="137" t="n"/>
      <c r="K352" s="137" t="n"/>
      <c r="L352" s="137" t="n"/>
      <c r="M352" s="137" t="n"/>
      <c r="N352" s="137" t="n"/>
      <c r="O352" s="137" t="n"/>
      <c r="P352" s="137" t="n"/>
      <c r="Q352" s="137" t="n"/>
      <c r="R352" s="137" t="n"/>
      <c r="S352" s="137" t="n"/>
      <c r="T352" s="137" t="n"/>
      <c r="U352" s="137" t="n"/>
    </row>
    <row r="353">
      <c r="A353" s="8" t="n"/>
      <c r="B353" s="14" t="n"/>
      <c r="C353" s="137" t="n"/>
      <c r="D353" s="55">
        <f>DADOS_AM!$KV$37</f>
        <v/>
      </c>
      <c r="E353" s="19" t="n"/>
      <c r="F353" s="19" t="n"/>
      <c r="G353" s="19" t="n"/>
      <c r="H353" s="19" t="n"/>
      <c r="I353" s="19" t="n"/>
      <c r="J353" s="19" t="n"/>
      <c r="K353" s="19" t="n"/>
      <c r="L353" s="19" t="n"/>
      <c r="M353" s="19" t="n"/>
      <c r="N353" s="19" t="n"/>
      <c r="O353" s="19" t="n"/>
      <c r="P353" s="19" t="n"/>
      <c r="Q353" s="19" t="n"/>
      <c r="R353" s="19" t="n"/>
      <c r="S353" s="19" t="n"/>
      <c r="T353" s="20" t="n"/>
      <c r="U353" s="137" t="n"/>
    </row>
    <row r="354">
      <c r="A354" s="8" t="n"/>
      <c r="B354" s="14" t="n"/>
      <c r="C354" s="137" t="n"/>
      <c r="D354" s="23" t="n"/>
      <c r="E354" s="24" t="n"/>
      <c r="F354" s="24" t="n"/>
      <c r="G354" s="24" t="n"/>
      <c r="H354" s="24" t="n"/>
      <c r="I354" s="24" t="n"/>
      <c r="J354" s="24" t="n"/>
      <c r="K354" s="24" t="n"/>
      <c r="L354" s="24" t="n"/>
      <c r="M354" s="24" t="n"/>
      <c r="N354" s="24" t="n"/>
      <c r="O354" s="24" t="n"/>
      <c r="P354" s="24" t="n"/>
      <c r="Q354" s="24" t="n"/>
      <c r="R354" s="24" t="n"/>
      <c r="S354" s="24" t="n"/>
      <c r="T354" s="25" t="n"/>
      <c r="U354" s="137" t="n"/>
    </row>
    <row r="355" hidden="1" outlineLevel="1">
      <c r="A355" s="8" t="n"/>
      <c r="B355" s="14" t="n"/>
      <c r="C355" s="137" t="n"/>
      <c r="D355" s="56" t="inlineStr">
        <is>
          <t>NOME</t>
        </is>
      </c>
      <c r="E355" s="16" t="n"/>
      <c r="F355" s="16" t="n"/>
      <c r="G355" s="16" t="n"/>
      <c r="H355" s="17" t="n"/>
      <c r="I355" s="137" t="n"/>
      <c r="J355" s="56" t="inlineStr">
        <is>
          <t>FORMA</t>
        </is>
      </c>
      <c r="K355" s="17" t="n"/>
      <c r="L355" s="56" t="inlineStr">
        <is>
          <t>DANO</t>
        </is>
      </c>
      <c r="M355" s="16" t="n"/>
      <c r="N355" s="17" t="n"/>
      <c r="O355" s="137" t="n"/>
      <c r="P355" s="56" t="inlineStr">
        <is>
          <t>PE</t>
        </is>
      </c>
      <c r="Q355" s="17" t="n"/>
      <c r="R355" s="56" t="inlineStr">
        <is>
          <t>MONTAGEM</t>
        </is>
      </c>
      <c r="S355" s="16" t="n"/>
      <c r="T355" s="17" t="n"/>
      <c r="U355" s="137" t="n"/>
    </row>
    <row r="356" hidden="1" outlineLevel="1">
      <c r="A356" s="8" t="n"/>
      <c r="B356" s="14" t="n"/>
      <c r="C356" s="137" t="n"/>
      <c r="D356" s="87" t="n"/>
      <c r="E356" s="19" t="n"/>
      <c r="F356" s="19" t="n"/>
      <c r="G356" s="19" t="n"/>
      <c r="H356" s="20" t="n"/>
      <c r="I356" s="137" t="n"/>
      <c r="J356" s="95" t="inlineStr">
        <is>
          <t>Projétil</t>
        </is>
      </c>
      <c r="K356" s="20" t="n"/>
      <c r="L356" s="105">
        <f>DADOS_AM!$KV$38</f>
        <v/>
      </c>
      <c r="M356" s="19" t="n"/>
      <c r="N356" s="20" t="n"/>
      <c r="O356" s="137" t="n"/>
      <c r="P356" s="105">
        <f>DADOS_AM!$KV$39</f>
        <v/>
      </c>
      <c r="Q356" s="20" t="n"/>
      <c r="R356" s="105">
        <f>DADOS_AM!$KV$40</f>
        <v/>
      </c>
      <c r="S356" s="19" t="n"/>
      <c r="T356" s="20" t="n"/>
      <c r="U356" s="137" t="n"/>
    </row>
    <row r="357" hidden="1" outlineLevel="1">
      <c r="A357" s="8" t="n"/>
      <c r="B357" s="14" t="n"/>
      <c r="C357" s="137" t="n"/>
      <c r="D357" s="23" t="n"/>
      <c r="E357" s="24" t="n"/>
      <c r="F357" s="24" t="n"/>
      <c r="G357" s="24" t="n"/>
      <c r="H357" s="25" t="n"/>
      <c r="I357" s="137" t="n"/>
      <c r="J357" s="23" t="n"/>
      <c r="K357" s="25" t="n"/>
      <c r="L357" s="23" t="n"/>
      <c r="M357" s="24" t="n"/>
      <c r="N357" s="25" t="n"/>
      <c r="O357" s="137" t="n"/>
      <c r="P357" s="23" t="n"/>
      <c r="Q357" s="25" t="n"/>
      <c r="R357" s="23" t="n"/>
      <c r="S357" s="24" t="n"/>
      <c r="T357" s="25" t="n"/>
      <c r="U357" s="137" t="n"/>
    </row>
    <row r="358" hidden="1" outlineLevel="1">
      <c r="A358" s="8" t="n"/>
      <c r="B358" s="14" t="n"/>
      <c r="C358" s="137" t="n"/>
      <c r="D358" s="137" t="n"/>
      <c r="E358" s="137" t="n"/>
      <c r="F358" s="137" t="n"/>
      <c r="G358" s="137" t="n"/>
      <c r="H358" s="137" t="n"/>
      <c r="I358" s="137" t="n"/>
      <c r="J358" s="137" t="n"/>
      <c r="K358" s="137" t="n"/>
      <c r="L358" s="137" t="n"/>
      <c r="M358" s="137" t="n"/>
      <c r="N358" s="137" t="n"/>
      <c r="O358" s="137" t="n"/>
      <c r="P358" s="137" t="n"/>
      <c r="Q358" s="137" t="n"/>
      <c r="R358" s="137" t="n"/>
      <c r="S358" s="137" t="n"/>
      <c r="T358" s="137" t="n"/>
      <c r="U358" s="137" t="n"/>
    </row>
    <row r="359" hidden="1" outlineLevel="1">
      <c r="A359" s="8" t="n"/>
      <c r="B359" s="14" t="n"/>
      <c r="C359" s="137" t="n"/>
      <c r="D359" s="56" t="inlineStr">
        <is>
          <t>MELHORIAS · NOS PREÇOS DA MAIOR CLASSE</t>
        </is>
      </c>
      <c r="E359" s="16" t="n"/>
      <c r="F359" s="16" t="n"/>
      <c r="G359" s="16" t="n"/>
      <c r="H359" s="17" t="n"/>
      <c r="I359" s="137" t="n"/>
      <c r="J359" s="144" t="n"/>
      <c r="K359" s="17" t="n"/>
      <c r="L359" s="144" t="n"/>
      <c r="M359" s="16" t="n"/>
      <c r="N359" s="17" t="n"/>
      <c r="O359" s="137" t="n"/>
      <c r="P359" s="144" t="n"/>
      <c r="Q359" s="17" t="n"/>
      <c r="R359" s="144" t="n"/>
      <c r="S359" s="16" t="n"/>
      <c r="T359" s="17" t="n"/>
      <c r="U359" s="137" t="n"/>
    </row>
    <row r="360" hidden="1" outlineLevel="1">
      <c r="A360" s="8" t="n"/>
      <c r="B360" s="14" t="n"/>
      <c r="C360" s="137" t="n"/>
      <c r="D360" s="137" t="n"/>
      <c r="E360" s="137" t="n"/>
      <c r="F360" s="137" t="n"/>
      <c r="G360" s="137" t="n"/>
      <c r="H360" s="137" t="n"/>
      <c r="I360" s="137" t="n"/>
      <c r="J360" s="137" t="n"/>
      <c r="K360" s="137" t="n"/>
      <c r="L360" s="137" t="n"/>
      <c r="M360" s="137" t="n"/>
      <c r="N360" s="137" t="n"/>
      <c r="O360" s="137" t="n"/>
      <c r="P360" s="137" t="n"/>
      <c r="Q360" s="137" t="n"/>
      <c r="R360" s="137" t="n"/>
      <c r="S360" s="137" t="n"/>
      <c r="T360" s="137" t="n"/>
      <c r="U360" s="137" t="n"/>
    </row>
    <row r="361" hidden="1" outlineLevel="1">
      <c r="A361" s="8" t="n"/>
      <c r="B361" s="14" t="n"/>
      <c r="C361" s="137" t="n"/>
      <c r="D361" s="56" t="inlineStr">
        <is>
          <t>COMO É</t>
        </is>
      </c>
      <c r="E361" s="16" t="n"/>
      <c r="F361" s="16" t="n"/>
      <c r="G361" s="16" t="n"/>
      <c r="H361" s="16" t="n"/>
      <c r="I361" s="16" t="n"/>
      <c r="J361" s="16" t="n"/>
      <c r="K361" s="16" t="n"/>
      <c r="L361" s="16" t="n"/>
      <c r="M361" s="16" t="n"/>
      <c r="N361" s="16" t="n"/>
      <c r="O361" s="16" t="n"/>
      <c r="P361" s="16" t="n"/>
      <c r="Q361" s="16" t="n"/>
      <c r="R361" s="16" t="n"/>
      <c r="S361" s="16" t="n"/>
      <c r="T361" s="17" t="n"/>
      <c r="U361" s="137" t="n"/>
    </row>
    <row r="362" hidden="1" outlineLevel="1">
      <c r="A362" s="8" t="n"/>
      <c r="B362" s="14" t="n"/>
      <c r="C362" s="137" t="n"/>
      <c r="D362" s="61" t="n"/>
      <c r="E362" s="19" t="n"/>
      <c r="F362" s="19" t="n"/>
      <c r="G362" s="19" t="n"/>
      <c r="H362" s="19" t="n"/>
      <c r="I362" s="19" t="n"/>
      <c r="J362" s="19" t="n"/>
      <c r="K362" s="19" t="n"/>
      <c r="L362" s="19" t="n"/>
      <c r="M362" s="19" t="n"/>
      <c r="N362" s="19" t="n"/>
      <c r="O362" s="19" t="n"/>
      <c r="P362" s="19" t="n"/>
      <c r="Q362" s="19" t="n"/>
      <c r="R362" s="19" t="n"/>
      <c r="S362" s="19" t="n"/>
      <c r="T362" s="20" t="n"/>
      <c r="U362" s="137" t="n"/>
    </row>
    <row r="363" hidden="1" outlineLevel="1">
      <c r="A363" s="8" t="n"/>
      <c r="B363" s="14" t="n"/>
      <c r="C363" s="137" t="n"/>
      <c r="D363" s="21" t="n"/>
      <c r="T363" s="22" t="n"/>
      <c r="U363" s="137" t="n"/>
    </row>
    <row r="364" hidden="1" outlineLevel="1">
      <c r="A364" s="8" t="n"/>
      <c r="B364" s="14" t="n"/>
      <c r="C364" s="137" t="n"/>
      <c r="D364" s="21" t="n"/>
      <c r="T364" s="22" t="n"/>
      <c r="U364" s="137" t="n"/>
    </row>
    <row r="365" hidden="1" outlineLevel="1">
      <c r="A365" s="8" t="n"/>
      <c r="B365" s="14" t="n"/>
      <c r="C365" s="137" t="n"/>
      <c r="D365" s="23" t="n"/>
      <c r="E365" s="24" t="n"/>
      <c r="F365" s="24" t="n"/>
      <c r="G365" s="24" t="n"/>
      <c r="H365" s="24" t="n"/>
      <c r="I365" s="24" t="n"/>
      <c r="J365" s="24" t="n"/>
      <c r="K365" s="24" t="n"/>
      <c r="L365" s="24" t="n"/>
      <c r="M365" s="24" t="n"/>
      <c r="N365" s="24" t="n"/>
      <c r="O365" s="24" t="n"/>
      <c r="P365" s="24" t="n"/>
      <c r="Q365" s="24" t="n"/>
      <c r="R365" s="24" t="n"/>
      <c r="S365" s="24" t="n"/>
      <c r="T365" s="25" t="n"/>
      <c r="U365" s="137" t="n"/>
    </row>
    <row r="366">
      <c r="A366" s="8" t="n"/>
      <c r="B366" s="14" t="n"/>
      <c r="C366" s="137" t="n"/>
      <c r="D366" s="137" t="n"/>
      <c r="E366" s="137" t="n"/>
      <c r="F366" s="137" t="n"/>
      <c r="G366" s="137" t="n"/>
      <c r="H366" s="137" t="n"/>
      <c r="I366" s="137" t="n"/>
      <c r="J366" s="137" t="n"/>
      <c r="K366" s="137" t="n"/>
      <c r="L366" s="137" t="n"/>
      <c r="M366" s="137" t="n"/>
      <c r="N366" s="137" t="n"/>
      <c r="O366" s="137" t="n"/>
      <c r="P366" s="137" t="n"/>
      <c r="Q366" s="137" t="n"/>
      <c r="R366" s="137" t="n"/>
      <c r="S366" s="137" t="n"/>
      <c r="T366" s="137" t="n"/>
      <c r="U366" s="137" t="n"/>
    </row>
    <row r="367">
      <c r="A367" s="8" t="n"/>
      <c r="B367" s="14" t="n"/>
      <c r="C367" s="137" t="n"/>
      <c r="D367" s="55">
        <f>DADOS_AM!$KV$41</f>
        <v/>
      </c>
      <c r="E367" s="19" t="n"/>
      <c r="F367" s="19" t="n"/>
      <c r="G367" s="19" t="n"/>
      <c r="H367" s="19" t="n"/>
      <c r="I367" s="19" t="n"/>
      <c r="J367" s="19" t="n"/>
      <c r="K367" s="19" t="n"/>
      <c r="L367" s="19" t="n"/>
      <c r="M367" s="19" t="n"/>
      <c r="N367" s="19" t="n"/>
      <c r="O367" s="19" t="n"/>
      <c r="P367" s="19" t="n"/>
      <c r="Q367" s="19" t="n"/>
      <c r="R367" s="19" t="n"/>
      <c r="S367" s="19" t="n"/>
      <c r="T367" s="20" t="n"/>
      <c r="U367" s="137" t="n"/>
    </row>
    <row r="368">
      <c r="A368" s="8" t="n"/>
      <c r="B368" s="14" t="n"/>
      <c r="C368" s="137" t="n"/>
      <c r="D368" s="23" t="n"/>
      <c r="E368" s="24" t="n"/>
      <c r="F368" s="24" t="n"/>
      <c r="G368" s="24" t="n"/>
      <c r="H368" s="24" t="n"/>
      <c r="I368" s="24" t="n"/>
      <c r="J368" s="24" t="n"/>
      <c r="K368" s="24" t="n"/>
      <c r="L368" s="24" t="n"/>
      <c r="M368" s="24" t="n"/>
      <c r="N368" s="24" t="n"/>
      <c r="O368" s="24" t="n"/>
      <c r="P368" s="24" t="n"/>
      <c r="Q368" s="24" t="n"/>
      <c r="R368" s="24" t="n"/>
      <c r="S368" s="24" t="n"/>
      <c r="T368" s="25" t="n"/>
      <c r="U368" s="137" t="n"/>
    </row>
    <row r="369" hidden="1" outlineLevel="1">
      <c r="A369" s="8" t="n"/>
      <c r="B369" s="14" t="n"/>
      <c r="C369" s="137" t="n"/>
      <c r="D369" s="56" t="inlineStr">
        <is>
          <t>DEGRAU</t>
        </is>
      </c>
      <c r="E369" s="17" t="n"/>
      <c r="F369" s="56" t="inlineStr">
        <is>
          <t>CUSTA</t>
        </is>
      </c>
      <c r="G369" s="16" t="n"/>
      <c r="H369" s="17" t="n"/>
      <c r="I369" s="137" t="n"/>
      <c r="J369" s="56" t="inlineStr">
        <is>
          <t>REQUISITO</t>
        </is>
      </c>
      <c r="K369" s="16" t="n"/>
      <c r="L369" s="16" t="n"/>
      <c r="M369" s="16" t="n"/>
      <c r="N369" s="17" t="n"/>
      <c r="O369" s="137" t="n"/>
      <c r="P369" s="56" t="inlineStr">
        <is>
          <t>REFINO</t>
        </is>
      </c>
      <c r="Q369" s="17" t="n"/>
      <c r="R369" s="56" t="inlineStr">
        <is>
          <t>NA CORRIDA</t>
        </is>
      </c>
      <c r="S369" s="16" t="n"/>
      <c r="T369" s="17" t="n"/>
      <c r="U369" s="137" t="n"/>
    </row>
    <row r="370" hidden="1" outlineLevel="1">
      <c r="A370" s="8" t="n"/>
      <c r="B370" s="14" t="n"/>
      <c r="C370" s="137" t="n"/>
      <c r="D370" s="95" t="n"/>
      <c r="E370" s="20" t="n"/>
      <c r="F370" s="95">
        <f>DADOS_AM!$KV$42</f>
        <v/>
      </c>
      <c r="G370" s="19" t="n"/>
      <c r="H370" s="20" t="n"/>
      <c r="I370" s="137" t="n"/>
      <c r="J370" s="95">
        <f>DADOS_AM!$KV$43</f>
        <v/>
      </c>
      <c r="K370" s="19" t="n"/>
      <c r="L370" s="19" t="n"/>
      <c r="M370" s="19" t="n"/>
      <c r="N370" s="20" t="n"/>
      <c r="O370" s="137" t="n"/>
      <c r="P370" s="105">
        <f>DADOS_AM!$KV$44</f>
        <v/>
      </c>
      <c r="Q370" s="20" t="n"/>
      <c r="R370" s="95">
        <f>DADOS_AM!$KV$45</f>
        <v/>
      </c>
      <c r="S370" s="19" t="n"/>
      <c r="T370" s="20" t="n"/>
      <c r="U370" s="137" t="n"/>
    </row>
    <row r="371" hidden="1" outlineLevel="1">
      <c r="A371" s="8" t="n"/>
      <c r="B371" s="14" t="n"/>
      <c r="C371" s="137" t="n"/>
      <c r="D371" s="23" t="n"/>
      <c r="E371" s="25" t="n"/>
      <c r="F371" s="23" t="n"/>
      <c r="G371" s="24" t="n"/>
      <c r="H371" s="25" t="n"/>
      <c r="I371" s="137" t="n"/>
      <c r="J371" s="23" t="n"/>
      <c r="K371" s="24" t="n"/>
      <c r="L371" s="24" t="n"/>
      <c r="M371" s="24" t="n"/>
      <c r="N371" s="25" t="n"/>
      <c r="O371" s="137" t="n"/>
      <c r="P371" s="23" t="n"/>
      <c r="Q371" s="25" t="n"/>
      <c r="R371" s="23" t="n"/>
      <c r="S371" s="24" t="n"/>
      <c r="T371" s="25" t="n"/>
      <c r="U371" s="137" t="n"/>
    </row>
    <row r="372" hidden="1" outlineLevel="1">
      <c r="A372" s="8" t="n"/>
      <c r="B372" s="14" t="n"/>
      <c r="C372" s="137" t="n"/>
      <c r="D372" s="137" t="n"/>
      <c r="E372" s="137" t="n"/>
      <c r="F372" s="137" t="n"/>
      <c r="G372" s="137" t="n"/>
      <c r="H372" s="137" t="n"/>
      <c r="I372" s="137" t="n"/>
      <c r="J372" s="137" t="n"/>
      <c r="K372" s="137" t="n"/>
      <c r="L372" s="137" t="n"/>
      <c r="M372" s="137" t="n"/>
      <c r="N372" s="137" t="n"/>
      <c r="O372" s="137" t="n"/>
      <c r="P372" s="137" t="n"/>
      <c r="Q372" s="137" t="n"/>
      <c r="R372" s="137" t="n"/>
      <c r="S372" s="137" t="n"/>
      <c r="T372" s="137" t="n"/>
      <c r="U372" s="137" t="n"/>
    </row>
    <row r="373" hidden="1" outlineLevel="1">
      <c r="A373" s="8" t="n"/>
      <c r="B373" s="14" t="n"/>
      <c r="C373" s="137" t="n"/>
      <c r="D373" s="56" t="inlineStr">
        <is>
          <t>AO ABRIR</t>
        </is>
      </c>
      <c r="E373" s="17" t="n"/>
      <c r="F373" s="56" t="inlineStr">
        <is>
          <t>PE</t>
        </is>
      </c>
      <c r="G373" s="56" t="inlineStr">
        <is>
          <t>DURA</t>
        </is>
      </c>
      <c r="H373" s="17" t="n"/>
      <c r="I373" s="137" t="n"/>
      <c r="J373" s="56" t="inlineStr">
        <is>
          <t>RAIO</t>
        </is>
      </c>
      <c r="K373" s="56" t="inlineStr">
        <is>
          <t>FEITIÇO LÁ DENTRO</t>
        </is>
      </c>
      <c r="L373" s="56" t="inlineStr">
        <is>
          <t>BARREIRA</t>
        </is>
      </c>
      <c r="M373" s="56" t="inlineStr">
        <is>
          <t>O ACERTO</t>
        </is>
      </c>
      <c r="N373" s="17" t="n"/>
      <c r="O373" s="137" t="n"/>
      <c r="P373" s="56" t="inlineStr">
        <is>
          <t>NOME DO DOMÍNIO</t>
        </is>
      </c>
      <c r="Q373" s="16" t="n"/>
      <c r="R373" s="16" t="n"/>
      <c r="S373" s="16" t="n"/>
      <c r="T373" s="17" t="n"/>
      <c r="U373" s="137" t="n"/>
    </row>
    <row r="374" hidden="1" outlineLevel="1">
      <c r="A374" s="8" t="n"/>
      <c r="B374" s="14" t="n"/>
      <c r="C374" s="137" t="n"/>
      <c r="D374" s="144">
        <f>DADOS_AM!$KV$46</f>
        <v/>
      </c>
      <c r="E374" s="17" t="n"/>
      <c r="F374" s="95">
        <f>DADOS_AM!$KV$47</f>
        <v/>
      </c>
      <c r="G374" s="95">
        <f>DADOS_AM!$KV$48</f>
        <v/>
      </c>
      <c r="H374" s="17" t="n"/>
      <c r="I374" s="137" t="n"/>
      <c r="J374" s="95">
        <f>DADOS_AM!$KV$49</f>
        <v/>
      </c>
      <c r="K374" s="95">
        <f>DADOS_AM!$KV$50</f>
        <v/>
      </c>
      <c r="L374" s="95" t="inlineStr">
        <is>
          <t>Não fecha</t>
        </is>
      </c>
      <c r="M374" s="95" t="inlineStr">
        <is>
          <t>Rola</t>
        </is>
      </c>
      <c r="N374" s="17" t="n"/>
      <c r="O374" s="137" t="n"/>
      <c r="P374" s="87" t="n"/>
      <c r="Q374" s="19" t="n"/>
      <c r="R374" s="19" t="n"/>
      <c r="S374" s="19" t="n"/>
      <c r="T374" s="20" t="n"/>
      <c r="U374" s="137" t="n"/>
    </row>
    <row r="375" hidden="1" outlineLevel="1">
      <c r="A375" s="8" t="n"/>
      <c r="B375" s="14" t="n"/>
      <c r="C375" s="137" t="n"/>
      <c r="D375" s="144">
        <f>DADOS_AM!$KV$51</f>
        <v/>
      </c>
      <c r="E375" s="17" t="n"/>
      <c r="F375" s="95">
        <f>DADOS_AM!$KV$52</f>
        <v/>
      </c>
      <c r="G375" s="95">
        <f>DADOS_AM!$KV$53</f>
        <v/>
      </c>
      <c r="H375" s="17" t="n"/>
      <c r="I375" s="137" t="n"/>
      <c r="J375" s="95">
        <f>DADOS_AM!$KV$54</f>
        <v/>
      </c>
      <c r="K375" s="95">
        <f>DADOS_AM!$KV$55</f>
        <v/>
      </c>
      <c r="L375" s="95">
        <f>DADOS_AM!$KV$56</f>
        <v/>
      </c>
      <c r="M375" s="95" t="inlineStr">
        <is>
          <t>Acontece</t>
        </is>
      </c>
      <c r="N375" s="17" t="n"/>
      <c r="O375" s="137" t="n"/>
      <c r="P375" s="21" t="n"/>
      <c r="T375" s="22" t="n"/>
      <c r="U375" s="137" t="n"/>
    </row>
    <row r="376" hidden="1" outlineLevel="1">
      <c r="A376" s="8" t="n"/>
      <c r="B376" s="14" t="n"/>
      <c r="C376" s="137" t="n"/>
      <c r="D376" s="144">
        <f>DADOS_AM!$KV$57</f>
        <v/>
      </c>
      <c r="E376" s="17" t="n"/>
      <c r="F376" s="95">
        <f>DADOS_AM!$KV$58</f>
        <v/>
      </c>
      <c r="G376" s="95">
        <f>DADOS_AM!$KV$59</f>
        <v/>
      </c>
      <c r="H376" s="17" t="n"/>
      <c r="I376" s="137" t="n"/>
      <c r="J376" s="95" t="inlineStr">
        <is>
          <t>199,5 m</t>
        </is>
      </c>
      <c r="K376" s="95">
        <f>DADOS_AM!$KV$60</f>
        <v/>
      </c>
      <c r="L376" s="95" t="inlineStr">
        <is>
          <t>Não tem</t>
        </is>
      </c>
      <c r="M376" s="95" t="inlineStr">
        <is>
          <t>Acontece</t>
        </is>
      </c>
      <c r="N376" s="17" t="n"/>
      <c r="O376" s="137" t="n"/>
      <c r="P376" s="23" t="n"/>
      <c r="Q376" s="24" t="n"/>
      <c r="R376" s="24" t="n"/>
      <c r="S376" s="24" t="n"/>
      <c r="T376" s="25" t="n"/>
      <c r="U376" s="137" t="n"/>
    </row>
    <row r="377" hidden="1" outlineLevel="1">
      <c r="A377" s="8" t="n"/>
      <c r="B377" s="14" t="n"/>
      <c r="C377" s="137" t="n"/>
      <c r="D377" s="137" t="n"/>
      <c r="E377" s="137" t="n"/>
      <c r="F377" s="137" t="n"/>
      <c r="G377" s="137" t="n"/>
      <c r="H377" s="137" t="n"/>
      <c r="I377" s="137" t="n"/>
      <c r="J377" s="137" t="n"/>
      <c r="K377" s="137" t="n"/>
      <c r="L377" s="137" t="n"/>
      <c r="M377" s="137" t="n"/>
      <c r="N377" s="137" t="n"/>
      <c r="O377" s="137" t="n"/>
      <c r="P377" s="137" t="n"/>
      <c r="Q377" s="137" t="n"/>
      <c r="R377" s="137" t="n"/>
      <c r="S377" s="137" t="n"/>
      <c r="T377" s="137" t="n"/>
      <c r="U377" s="137" t="n"/>
    </row>
    <row r="378" hidden="1" outlineLevel="1">
      <c r="A378" s="8" t="n"/>
      <c r="B378" s="14" t="n"/>
      <c r="C378" s="137" t="n"/>
      <c r="D378" s="56" t="inlineStr">
        <is>
          <t>ACERTO</t>
        </is>
      </c>
      <c r="E378" s="16" t="n"/>
      <c r="F378" s="16" t="n"/>
      <c r="G378" s="16" t="n"/>
      <c r="H378" s="16" t="n"/>
      <c r="I378" s="16" t="n"/>
      <c r="J378" s="16" t="n"/>
      <c r="K378" s="17" t="n"/>
      <c r="L378" s="56" t="inlineStr">
        <is>
          <t>EFEITO</t>
        </is>
      </c>
      <c r="M378" s="16" t="n"/>
      <c r="N378" s="16" t="n"/>
      <c r="O378" s="16" t="n"/>
      <c r="P378" s="16" t="n"/>
      <c r="Q378" s="16" t="n"/>
      <c r="R378" s="16" t="n"/>
      <c r="S378" s="16" t="n"/>
      <c r="T378" s="17" t="n"/>
      <c r="U378" s="137" t="n"/>
    </row>
    <row r="379" hidden="1" outlineLevel="1">
      <c r="A379" s="8" t="n"/>
      <c r="B379" s="14" t="n"/>
      <c r="C379" s="137" t="n"/>
      <c r="D379" s="61" t="n"/>
      <c r="E379" s="19" t="n"/>
      <c r="F379" s="19" t="n"/>
      <c r="G379" s="19" t="n"/>
      <c r="H379" s="19" t="n"/>
      <c r="I379" s="19" t="n"/>
      <c r="J379" s="19" t="n"/>
      <c r="K379" s="20" t="n"/>
      <c r="L379" s="61" t="n"/>
      <c r="M379" s="19" t="n"/>
      <c r="N379" s="19" t="n"/>
      <c r="O379" s="19" t="n"/>
      <c r="P379" s="19" t="n"/>
      <c r="Q379" s="19" t="n"/>
      <c r="R379" s="19" t="n"/>
      <c r="S379" s="19" t="n"/>
      <c r="T379" s="20" t="n"/>
      <c r="U379" s="137" t="n"/>
    </row>
    <row r="380" hidden="1" outlineLevel="1">
      <c r="A380" s="8" t="n"/>
      <c r="B380" s="14" t="n"/>
      <c r="C380" s="137" t="n"/>
      <c r="D380" s="21" t="n"/>
      <c r="K380" s="22" t="n"/>
      <c r="L380" s="21" t="n"/>
      <c r="T380" s="22" t="n"/>
      <c r="U380" s="137" t="n"/>
    </row>
    <row r="381" hidden="1" outlineLevel="1">
      <c r="A381" s="8" t="n"/>
      <c r="B381" s="14" t="n"/>
      <c r="C381" s="137" t="n"/>
      <c r="D381" s="23" t="n"/>
      <c r="E381" s="24" t="n"/>
      <c r="F381" s="24" t="n"/>
      <c r="G381" s="24" t="n"/>
      <c r="H381" s="24" t="n"/>
      <c r="I381" s="24" t="n"/>
      <c r="J381" s="24" t="n"/>
      <c r="K381" s="25" t="n"/>
      <c r="L381" s="23" t="n"/>
      <c r="M381" s="24" t="n"/>
      <c r="N381" s="24" t="n"/>
      <c r="O381" s="24" t="n"/>
      <c r="P381" s="24" t="n"/>
      <c r="Q381" s="24" t="n"/>
      <c r="R381" s="24" t="n"/>
      <c r="S381" s="24" t="n"/>
      <c r="T381" s="25" t="n"/>
      <c r="U381" s="137" t="n"/>
    </row>
    <row r="382" hidden="1" outlineLevel="1">
      <c r="A382" s="8" t="n"/>
      <c r="B382" s="14" t="n"/>
      <c r="C382" s="137" t="n"/>
      <c r="D382" s="137" t="n"/>
      <c r="E382" s="137" t="n"/>
      <c r="F382" s="137" t="n"/>
      <c r="G382" s="137" t="n"/>
      <c r="H382" s="137" t="n"/>
      <c r="I382" s="137" t="n"/>
      <c r="J382" s="137" t="n"/>
      <c r="K382" s="137" t="n"/>
      <c r="L382" s="137" t="n"/>
      <c r="M382" s="137" t="n"/>
      <c r="N382" s="137" t="n"/>
      <c r="O382" s="137" t="n"/>
      <c r="P382" s="137" t="n"/>
      <c r="Q382" s="137" t="n"/>
      <c r="R382" s="137" t="n"/>
      <c r="S382" s="137" t="n"/>
      <c r="T382" s="137" t="n"/>
      <c r="U382" s="137" t="n"/>
    </row>
    <row r="383" hidden="1" outlineLevel="1">
      <c r="A383" s="8" t="n"/>
      <c r="B383" s="14" t="n"/>
      <c r="C383" s="137" t="n"/>
      <c r="D383" s="56" t="inlineStr">
        <is>
          <t>COMO É POR DENTRO</t>
        </is>
      </c>
      <c r="E383" s="16" t="n"/>
      <c r="F383" s="16" t="n"/>
      <c r="G383" s="16" t="n"/>
      <c r="H383" s="16" t="n"/>
      <c r="I383" s="16" t="n"/>
      <c r="J383" s="16" t="n"/>
      <c r="K383" s="16" t="n"/>
      <c r="L383" s="16" t="n"/>
      <c r="M383" s="16" t="n"/>
      <c r="N383" s="16" t="n"/>
      <c r="O383" s="16" t="n"/>
      <c r="P383" s="16" t="n"/>
      <c r="Q383" s="16" t="n"/>
      <c r="R383" s="16" t="n"/>
      <c r="S383" s="16" t="n"/>
      <c r="T383" s="17" t="n"/>
      <c r="U383" s="137" t="n"/>
    </row>
    <row r="384" hidden="1" outlineLevel="1">
      <c r="A384" s="8" t="n"/>
      <c r="B384" s="14" t="n"/>
      <c r="C384" s="137" t="n"/>
      <c r="D384" s="61" t="n"/>
      <c r="E384" s="19" t="n"/>
      <c r="F384" s="19" t="n"/>
      <c r="G384" s="19" t="n"/>
      <c r="H384" s="19" t="n"/>
      <c r="I384" s="19" t="n"/>
      <c r="J384" s="19" t="n"/>
      <c r="K384" s="19" t="n"/>
      <c r="L384" s="19" t="n"/>
      <c r="M384" s="19" t="n"/>
      <c r="N384" s="19" t="n"/>
      <c r="O384" s="19" t="n"/>
      <c r="P384" s="19" t="n"/>
      <c r="Q384" s="19" t="n"/>
      <c r="R384" s="19" t="n"/>
      <c r="S384" s="19" t="n"/>
      <c r="T384" s="20" t="n"/>
      <c r="U384" s="137" t="n"/>
    </row>
    <row r="385" hidden="1" outlineLevel="1">
      <c r="A385" s="8" t="n"/>
      <c r="B385" s="14" t="n"/>
      <c r="C385" s="137" t="n"/>
      <c r="D385" s="21" t="n"/>
      <c r="T385" s="22" t="n"/>
      <c r="U385" s="137" t="n"/>
    </row>
    <row r="386" hidden="1" outlineLevel="1">
      <c r="A386" s="8" t="n"/>
      <c r="B386" s="14" t="n"/>
      <c r="C386" s="137" t="n"/>
      <c r="D386" s="21" t="n"/>
      <c r="T386" s="22" t="n"/>
      <c r="U386" s="137" t="n"/>
    </row>
    <row r="387" hidden="1" outlineLevel="1">
      <c r="A387" s="8" t="n"/>
      <c r="B387" s="14" t="n"/>
      <c r="C387" s="137" t="n"/>
      <c r="D387" s="23" t="n"/>
      <c r="E387" s="24" t="n"/>
      <c r="F387" s="24" t="n"/>
      <c r="G387" s="24" t="n"/>
      <c r="H387" s="24" t="n"/>
      <c r="I387" s="24" t="n"/>
      <c r="J387" s="24" t="n"/>
      <c r="K387" s="24" t="n"/>
      <c r="L387" s="24" t="n"/>
      <c r="M387" s="24" t="n"/>
      <c r="N387" s="24" t="n"/>
      <c r="O387" s="24" t="n"/>
      <c r="P387" s="24" t="n"/>
      <c r="Q387" s="24" t="n"/>
      <c r="R387" s="24" t="n"/>
      <c r="S387" s="24" t="n"/>
      <c r="T387" s="25" t="n"/>
      <c r="U387" s="137" t="n"/>
    </row>
    <row r="388">
      <c r="A388" s="8" t="n"/>
      <c r="B388" s="14" t="n"/>
      <c r="C388" s="137" t="n"/>
      <c r="D388" s="137" t="n"/>
      <c r="E388" s="137" t="n"/>
      <c r="F388" s="137" t="n"/>
      <c r="G388" s="137" t="n"/>
      <c r="H388" s="137" t="n"/>
      <c r="I388" s="137" t="n"/>
      <c r="J388" s="137" t="n"/>
      <c r="K388" s="137" t="n"/>
      <c r="L388" s="137" t="n"/>
      <c r="M388" s="137" t="n"/>
      <c r="N388" s="137" t="n"/>
      <c r="O388" s="137" t="n"/>
      <c r="P388" s="137" t="n"/>
      <c r="Q388" s="137" t="n"/>
      <c r="R388" s="137" t="n"/>
      <c r="S388" s="137" t="n"/>
      <c r="T388" s="137" t="n"/>
      <c r="U388" s="137" t="n"/>
    </row>
    <row r="389">
      <c r="A389" s="8" t="n"/>
      <c r="B389" s="14" t="n"/>
      <c r="C389" s="137" t="n"/>
      <c r="D389" s="55" t="inlineStr">
        <is>
          <t>TALENTOS</t>
        </is>
      </c>
      <c r="E389" s="19" t="n"/>
      <c r="F389" s="19" t="n"/>
      <c r="G389" s="19" t="n"/>
      <c r="H389" s="19" t="n"/>
      <c r="I389" s="19" t="n"/>
      <c r="J389" s="19" t="n"/>
      <c r="K389" s="19" t="n"/>
      <c r="L389" s="19" t="n"/>
      <c r="M389" s="19" t="n"/>
      <c r="N389" s="19" t="n"/>
      <c r="O389" s="19" t="n"/>
      <c r="P389" s="19" t="n"/>
      <c r="Q389" s="19" t="n"/>
      <c r="R389" s="19" t="n"/>
      <c r="S389" s="19" t="n"/>
      <c r="T389" s="20" t="n"/>
      <c r="U389" s="137" t="n"/>
    </row>
    <row r="390">
      <c r="A390" s="8" t="n"/>
      <c r="B390" s="14" t="n"/>
      <c r="C390" s="137" t="n"/>
      <c r="D390" s="23" t="n"/>
      <c r="E390" s="24" t="n"/>
      <c r="F390" s="24" t="n"/>
      <c r="G390" s="24" t="n"/>
      <c r="H390" s="24" t="n"/>
      <c r="I390" s="24" t="n"/>
      <c r="J390" s="24" t="n"/>
      <c r="K390" s="24" t="n"/>
      <c r="L390" s="24" t="n"/>
      <c r="M390" s="24" t="n"/>
      <c r="N390" s="24" t="n"/>
      <c r="O390" s="24" t="n"/>
      <c r="P390" s="24" t="n"/>
      <c r="Q390" s="24" t="n"/>
      <c r="R390" s="24" t="n"/>
      <c r="S390" s="24" t="n"/>
      <c r="T390" s="25" t="n"/>
      <c r="U390" s="137" t="n"/>
    </row>
    <row r="391" outlineLevel="1">
      <c r="A391" s="8" t="n"/>
      <c r="B391" s="14" t="n"/>
      <c r="C391" s="137" t="n"/>
      <c r="D391" s="137" t="n"/>
      <c r="E391" s="137" t="n"/>
      <c r="F391" s="137" t="n"/>
      <c r="G391" s="137" t="n"/>
      <c r="H391" s="137" t="n"/>
      <c r="I391" s="137" t="n"/>
      <c r="J391" s="137" t="n"/>
      <c r="K391" s="137" t="n"/>
      <c r="L391" s="137" t="n"/>
      <c r="M391" s="137" t="n"/>
      <c r="N391" s="137" t="n"/>
      <c r="O391" s="137" t="n"/>
      <c r="P391" s="137" t="n"/>
      <c r="Q391" s="137" t="n"/>
      <c r="R391" s="137" t="n"/>
      <c r="S391" s="137" t="n"/>
      <c r="T391" s="137" t="n"/>
      <c r="U391" s="137" t="n"/>
    </row>
    <row r="392" outlineLevel="1">
      <c r="A392" s="8" t="n"/>
      <c r="B392" s="14" t="n"/>
      <c r="C392" s="137" t="n"/>
      <c r="D392" s="147" t="n"/>
      <c r="E392" s="17" t="n"/>
      <c r="F392" s="143">
        <f>DADOS_AM!$HT$2</f>
        <v/>
      </c>
      <c r="G392" s="143">
        <f>DADOS_AM!$HU$2</f>
        <v/>
      </c>
      <c r="H392" s="17" t="n"/>
      <c r="I392" s="137" t="n"/>
      <c r="J392" s="147" t="n"/>
      <c r="K392" s="17" t="n"/>
      <c r="L392" s="143">
        <f>DADOS_AM!$HT$3</f>
        <v/>
      </c>
      <c r="M392" s="143">
        <f>DADOS_AM!$HU$3</f>
        <v/>
      </c>
      <c r="N392" s="17" t="n"/>
      <c r="O392" s="137" t="n"/>
      <c r="P392" s="147" t="n"/>
      <c r="Q392" s="17" t="n"/>
      <c r="R392" s="143">
        <f>DADOS_AM!$HT$4</f>
        <v/>
      </c>
      <c r="S392" s="143">
        <f>DADOS_AM!$HU$4</f>
        <v/>
      </c>
      <c r="T392" s="17" t="n"/>
      <c r="U392" s="137" t="n"/>
    </row>
    <row r="393" outlineLevel="2">
      <c r="A393" s="8" t="n"/>
      <c r="B393" s="14" t="n"/>
      <c r="C393" s="137" t="n"/>
      <c r="D393" s="56" t="inlineStr">
        <is>
          <t>O QUE FAZ</t>
        </is>
      </c>
      <c r="E393" s="16" t="n"/>
      <c r="F393" s="16" t="n"/>
      <c r="G393" s="16" t="n"/>
      <c r="H393" s="17" t="n"/>
      <c r="I393" s="137" t="n"/>
      <c r="J393" s="56" t="inlineStr">
        <is>
          <t>O QUE FAZ</t>
        </is>
      </c>
      <c r="K393" s="16" t="n"/>
      <c r="L393" s="16" t="n"/>
      <c r="M393" s="16" t="n"/>
      <c r="N393" s="17" t="n"/>
      <c r="O393" s="137" t="n"/>
      <c r="P393" s="56" t="inlineStr">
        <is>
          <t>O QUE FAZ</t>
        </is>
      </c>
      <c r="Q393" s="16" t="n"/>
      <c r="R393" s="16" t="n"/>
      <c r="S393" s="16" t="n"/>
      <c r="T393" s="17" t="n"/>
      <c r="U393" s="137" t="n"/>
    </row>
    <row r="394" outlineLevel="2">
      <c r="A394" s="8" t="n"/>
      <c r="B394" s="14" t="n"/>
      <c r="C394" s="137" t="n"/>
      <c r="D394" s="61">
        <f>DADOS_AM!$HS$2</f>
        <v/>
      </c>
      <c r="E394" s="19" t="n"/>
      <c r="F394" s="19" t="n"/>
      <c r="G394" s="19" t="n"/>
      <c r="H394" s="20" t="n"/>
      <c r="I394" s="137" t="n"/>
      <c r="J394" s="61">
        <f>DADOS_AM!$HS$3</f>
        <v/>
      </c>
      <c r="K394" s="19" t="n"/>
      <c r="L394" s="19" t="n"/>
      <c r="M394" s="19" t="n"/>
      <c r="N394" s="20" t="n"/>
      <c r="O394" s="137" t="n"/>
      <c r="P394" s="61">
        <f>DADOS_AM!$HS$4</f>
        <v/>
      </c>
      <c r="Q394" s="19" t="n"/>
      <c r="R394" s="19" t="n"/>
      <c r="S394" s="19" t="n"/>
      <c r="T394" s="20" t="n"/>
      <c r="U394" s="137" t="n"/>
    </row>
    <row r="395" outlineLevel="2">
      <c r="A395" s="8" t="n"/>
      <c r="B395" s="14" t="n"/>
      <c r="C395" s="137" t="n"/>
      <c r="D395" s="21" t="n"/>
      <c r="H395" s="22" t="n"/>
      <c r="I395" s="137" t="n"/>
      <c r="J395" s="21" t="n"/>
      <c r="N395" s="22" t="n"/>
      <c r="O395" s="137" t="n"/>
      <c r="P395" s="21" t="n"/>
      <c r="T395" s="22" t="n"/>
      <c r="U395" s="137" t="n"/>
    </row>
    <row r="396" outlineLevel="2">
      <c r="A396" s="8" t="n"/>
      <c r="B396" s="14" t="n"/>
      <c r="C396" s="137" t="n"/>
      <c r="D396" s="23" t="n"/>
      <c r="E396" s="24" t="n"/>
      <c r="F396" s="24" t="n"/>
      <c r="G396" s="24" t="n"/>
      <c r="H396" s="25" t="n"/>
      <c r="I396" s="137" t="n"/>
      <c r="J396" s="23" t="n"/>
      <c r="K396" s="24" t="n"/>
      <c r="L396" s="24" t="n"/>
      <c r="M396" s="24" t="n"/>
      <c r="N396" s="25" t="n"/>
      <c r="O396" s="137" t="n"/>
      <c r="P396" s="23" t="n"/>
      <c r="Q396" s="24" t="n"/>
      <c r="R396" s="24" t="n"/>
      <c r="S396" s="24" t="n"/>
      <c r="T396" s="25" t="n"/>
      <c r="U396" s="137" t="n"/>
    </row>
    <row r="397" outlineLevel="2">
      <c r="A397" s="8" t="n"/>
      <c r="B397" s="14" t="n"/>
      <c r="C397" s="137" t="n"/>
      <c r="D397" s="56" t="inlineStr">
        <is>
          <t>SEU TEXTO</t>
        </is>
      </c>
      <c r="E397" s="61" t="n"/>
      <c r="F397" s="19" t="n"/>
      <c r="G397" s="19" t="n"/>
      <c r="H397" s="20" t="n"/>
      <c r="I397" s="137" t="n"/>
      <c r="J397" s="56" t="inlineStr">
        <is>
          <t>SEU TEXTO</t>
        </is>
      </c>
      <c r="K397" s="61" t="n"/>
      <c r="L397" s="19" t="n"/>
      <c r="M397" s="19" t="n"/>
      <c r="N397" s="20" t="n"/>
      <c r="O397" s="137" t="n"/>
      <c r="P397" s="56" t="inlineStr">
        <is>
          <t>SEU TEXTO</t>
        </is>
      </c>
      <c r="Q397" s="61" t="n"/>
      <c r="R397" s="19" t="n"/>
      <c r="S397" s="19" t="n"/>
      <c r="T397" s="20" t="n"/>
      <c r="U397" s="137" t="n"/>
    </row>
    <row r="398" outlineLevel="2">
      <c r="A398" s="8" t="n"/>
      <c r="B398" s="14" t="n"/>
      <c r="C398" s="137" t="n"/>
      <c r="D398" s="128" t="n"/>
      <c r="E398" s="23" t="n"/>
      <c r="F398" s="24" t="n"/>
      <c r="G398" s="24" t="n"/>
      <c r="H398" s="25" t="n"/>
      <c r="I398" s="137" t="n"/>
      <c r="J398" s="128" t="n"/>
      <c r="K398" s="23" t="n"/>
      <c r="L398" s="24" t="n"/>
      <c r="M398" s="24" t="n"/>
      <c r="N398" s="25" t="n"/>
      <c r="O398" s="137" t="n"/>
      <c r="P398" s="128" t="n"/>
      <c r="Q398" s="23" t="n"/>
      <c r="R398" s="24" t="n"/>
      <c r="S398" s="24" t="n"/>
      <c r="T398" s="25" t="n"/>
      <c r="U398" s="137" t="n"/>
    </row>
    <row r="399" outlineLevel="1">
      <c r="A399" s="8" t="n"/>
      <c r="B399" s="14" t="n"/>
      <c r="C399" s="137" t="n"/>
      <c r="D399" s="137" t="n"/>
      <c r="E399" s="137" t="n"/>
      <c r="F399" s="137" t="n"/>
      <c r="G399" s="137" t="n"/>
      <c r="H399" s="137" t="n"/>
      <c r="I399" s="137" t="n"/>
      <c r="J399" s="137" t="n"/>
      <c r="K399" s="137" t="n"/>
      <c r="L399" s="137" t="n"/>
      <c r="M399" s="137" t="n"/>
      <c r="N399" s="137" t="n"/>
      <c r="O399" s="137" t="n"/>
      <c r="P399" s="137" t="n"/>
      <c r="Q399" s="137" t="n"/>
      <c r="R399" s="137" t="n"/>
      <c r="S399" s="137" t="n"/>
      <c r="T399" s="137" t="n"/>
      <c r="U399" s="137" t="n"/>
    </row>
    <row r="400" outlineLevel="1">
      <c r="A400" s="8" t="n"/>
      <c r="B400" s="14" t="n"/>
      <c r="C400" s="137" t="n"/>
      <c r="D400" s="147" t="n"/>
      <c r="E400" s="17" t="n"/>
      <c r="F400" s="143">
        <f>DADOS_AM!$HT$5</f>
        <v/>
      </c>
      <c r="G400" s="143">
        <f>DADOS_AM!$HU$5</f>
        <v/>
      </c>
      <c r="H400" s="17" t="n"/>
      <c r="I400" s="137" t="n"/>
      <c r="J400" s="147" t="n"/>
      <c r="K400" s="17" t="n"/>
      <c r="L400" s="143">
        <f>DADOS_AM!$HT$6</f>
        <v/>
      </c>
      <c r="M400" s="143">
        <f>DADOS_AM!$HU$6</f>
        <v/>
      </c>
      <c r="N400" s="17" t="n"/>
      <c r="O400" s="137" t="n"/>
      <c r="P400" s="137" t="n"/>
      <c r="Q400" s="137" t="n"/>
      <c r="R400" s="137" t="n"/>
      <c r="S400" s="137" t="n"/>
      <c r="T400" s="137" t="n"/>
      <c r="U400" s="137" t="n"/>
    </row>
    <row r="401" hidden="1" outlineLevel="2">
      <c r="A401" s="8" t="n"/>
      <c r="B401" s="14" t="n"/>
      <c r="C401" s="137" t="n"/>
      <c r="D401" s="56" t="inlineStr">
        <is>
          <t>O QUE FAZ</t>
        </is>
      </c>
      <c r="E401" s="16" t="n"/>
      <c r="F401" s="16" t="n"/>
      <c r="G401" s="16" t="n"/>
      <c r="H401" s="17" t="n"/>
      <c r="I401" s="137" t="n"/>
      <c r="J401" s="56" t="inlineStr">
        <is>
          <t>O QUE FAZ</t>
        </is>
      </c>
      <c r="K401" s="16" t="n"/>
      <c r="L401" s="16" t="n"/>
      <c r="M401" s="16" t="n"/>
      <c r="N401" s="17" t="n"/>
      <c r="O401" s="137" t="n"/>
      <c r="P401" s="137" t="n"/>
      <c r="Q401" s="137" t="n"/>
      <c r="R401" s="137" t="n"/>
      <c r="S401" s="137" t="n"/>
      <c r="T401" s="137" t="n"/>
      <c r="U401" s="137" t="n"/>
    </row>
    <row r="402" hidden="1" outlineLevel="2">
      <c r="A402" s="8" t="n"/>
      <c r="B402" s="14" t="n"/>
      <c r="C402" s="137" t="n"/>
      <c r="D402" s="61">
        <f>DADOS_AM!$HS$5</f>
        <v/>
      </c>
      <c r="E402" s="19" t="n"/>
      <c r="F402" s="19" t="n"/>
      <c r="G402" s="19" t="n"/>
      <c r="H402" s="20" t="n"/>
      <c r="I402" s="137" t="n"/>
      <c r="J402" s="61">
        <f>DADOS_AM!$HS$6</f>
        <v/>
      </c>
      <c r="K402" s="19" t="n"/>
      <c r="L402" s="19" t="n"/>
      <c r="M402" s="19" t="n"/>
      <c r="N402" s="20" t="n"/>
      <c r="O402" s="137" t="n"/>
      <c r="P402" s="137" t="n"/>
      <c r="Q402" s="137" t="n"/>
      <c r="R402" s="137" t="n"/>
      <c r="S402" s="137" t="n"/>
      <c r="T402" s="137" t="n"/>
      <c r="U402" s="137" t="n"/>
    </row>
    <row r="403" hidden="1" outlineLevel="2">
      <c r="A403" s="8" t="n"/>
      <c r="B403" s="14" t="n"/>
      <c r="C403" s="137" t="n"/>
      <c r="D403" s="21" t="n"/>
      <c r="H403" s="22" t="n"/>
      <c r="I403" s="137" t="n"/>
      <c r="J403" s="21" t="n"/>
      <c r="N403" s="22" t="n"/>
      <c r="O403" s="137" t="n"/>
      <c r="P403" s="137" t="n"/>
      <c r="Q403" s="137" t="n"/>
      <c r="R403" s="137" t="n"/>
      <c r="S403" s="137" t="n"/>
      <c r="T403" s="137" t="n"/>
      <c r="U403" s="137" t="n"/>
    </row>
    <row r="404" hidden="1" outlineLevel="2">
      <c r="A404" s="8" t="n"/>
      <c r="B404" s="14" t="n"/>
      <c r="C404" s="137" t="n"/>
      <c r="D404" s="23" t="n"/>
      <c r="E404" s="24" t="n"/>
      <c r="F404" s="24" t="n"/>
      <c r="G404" s="24" t="n"/>
      <c r="H404" s="25" t="n"/>
      <c r="I404" s="137" t="n"/>
      <c r="J404" s="23" t="n"/>
      <c r="K404" s="24" t="n"/>
      <c r="L404" s="24" t="n"/>
      <c r="M404" s="24" t="n"/>
      <c r="N404" s="25" t="n"/>
      <c r="O404" s="137" t="n"/>
      <c r="P404" s="137" t="n"/>
      <c r="Q404" s="137" t="n"/>
      <c r="R404" s="137" t="n"/>
      <c r="S404" s="137" t="n"/>
      <c r="T404" s="137" t="n"/>
      <c r="U404" s="137" t="n"/>
    </row>
    <row r="405" hidden="1" outlineLevel="2">
      <c r="A405" s="8" t="n"/>
      <c r="B405" s="14" t="n"/>
      <c r="C405" s="137" t="n"/>
      <c r="D405" s="56" t="inlineStr">
        <is>
          <t>SEU TEXTO</t>
        </is>
      </c>
      <c r="E405" s="61" t="n"/>
      <c r="F405" s="19" t="n"/>
      <c r="G405" s="19" t="n"/>
      <c r="H405" s="20" t="n"/>
      <c r="I405" s="137" t="n"/>
      <c r="J405" s="56" t="inlineStr">
        <is>
          <t>SEU TEXTO</t>
        </is>
      </c>
      <c r="K405" s="61" t="n"/>
      <c r="L405" s="19" t="n"/>
      <c r="M405" s="19" t="n"/>
      <c r="N405" s="20" t="n"/>
      <c r="O405" s="137" t="n"/>
      <c r="P405" s="137" t="n"/>
      <c r="Q405" s="137" t="n"/>
      <c r="R405" s="137" t="n"/>
      <c r="S405" s="137" t="n"/>
      <c r="T405" s="137" t="n"/>
      <c r="U405" s="137" t="n"/>
    </row>
    <row r="406" hidden="1" outlineLevel="2">
      <c r="A406" s="8" t="n"/>
      <c r="B406" s="14" t="n"/>
      <c r="C406" s="137" t="n"/>
      <c r="D406" s="128" t="n"/>
      <c r="E406" s="23" t="n"/>
      <c r="F406" s="24" t="n"/>
      <c r="G406" s="24" t="n"/>
      <c r="H406" s="25" t="n"/>
      <c r="I406" s="137" t="n"/>
      <c r="J406" s="128" t="n"/>
      <c r="K406" s="23" t="n"/>
      <c r="L406" s="24" t="n"/>
      <c r="M406" s="24" t="n"/>
      <c r="N406" s="25" t="n"/>
      <c r="O406" s="137" t="n"/>
      <c r="P406" s="137" t="n"/>
      <c r="Q406" s="137" t="n"/>
      <c r="R406" s="137" t="n"/>
      <c r="S406" s="137" t="n"/>
      <c r="T406" s="137" t="n"/>
      <c r="U406" s="137" t="n"/>
    </row>
    <row r="407" outlineLevel="1">
      <c r="A407" s="8" t="n"/>
      <c r="B407" s="14" t="n"/>
      <c r="C407" s="137" t="n"/>
      <c r="D407" s="137" t="n"/>
      <c r="E407" s="137" t="n"/>
      <c r="F407" s="137" t="n"/>
      <c r="G407" s="137" t="n"/>
      <c r="H407" s="137" t="n"/>
      <c r="I407" s="137" t="n"/>
      <c r="J407" s="137" t="n"/>
      <c r="K407" s="137" t="n"/>
      <c r="L407" s="137" t="n"/>
      <c r="M407" s="137" t="n"/>
      <c r="N407" s="137" t="n"/>
      <c r="O407" s="137" t="n"/>
      <c r="P407" s="137" t="n"/>
      <c r="Q407" s="137" t="n"/>
      <c r="R407" s="137" t="n"/>
      <c r="S407" s="137" t="n"/>
      <c r="T407" s="137" t="n"/>
      <c r="U407" s="137" t="n"/>
    </row>
    <row r="408" outlineLevel="1">
      <c r="A408" s="8" t="n"/>
      <c r="B408" s="14" t="n"/>
      <c r="C408" s="137" t="n"/>
      <c r="D408" s="146" t="inlineStr">
        <is>
          <t>TALENTOS DO LEQUE · um por escolha de Leque, sem ocupar espaço</t>
        </is>
      </c>
      <c r="E408" s="16" t="n"/>
      <c r="F408" s="16" t="n"/>
      <c r="G408" s="16" t="n"/>
      <c r="H408" s="16" t="n"/>
      <c r="I408" s="16" t="n"/>
      <c r="J408" s="16" t="n"/>
      <c r="K408" s="16" t="n"/>
      <c r="L408" s="16" t="n"/>
      <c r="M408" s="16" t="n"/>
      <c r="N408" s="16" t="n"/>
      <c r="O408" s="16" t="n"/>
      <c r="P408" s="16" t="n"/>
      <c r="Q408" s="16" t="n"/>
      <c r="R408" s="16" t="n"/>
      <c r="S408" s="16" t="n"/>
      <c r="T408" s="17" t="n"/>
      <c r="U408" s="137" t="n"/>
    </row>
    <row r="409" hidden="1" outlineLevel="2">
      <c r="A409" s="8" t="n"/>
      <c r="B409" s="14" t="n"/>
      <c r="C409" s="137" t="n"/>
      <c r="D409" s="137" t="n"/>
      <c r="E409" s="137" t="n"/>
      <c r="F409" s="137" t="n"/>
      <c r="G409" s="137" t="n"/>
      <c r="H409" s="137" t="n"/>
      <c r="I409" s="137" t="n"/>
      <c r="J409" s="137" t="n"/>
      <c r="K409" s="137" t="n"/>
      <c r="L409" s="137" t="n"/>
      <c r="M409" s="137" t="n"/>
      <c r="N409" s="137" t="n"/>
      <c r="O409" s="137" t="n"/>
      <c r="P409" s="137" t="n"/>
      <c r="Q409" s="137" t="n"/>
      <c r="R409" s="137" t="n"/>
      <c r="S409" s="137" t="n"/>
      <c r="T409" s="137" t="n"/>
      <c r="U409" s="137" t="n"/>
    </row>
    <row r="410" hidden="1" outlineLevel="2">
      <c r="A410" s="8" t="n"/>
      <c r="B410" s="14" t="n"/>
      <c r="C410" s="137" t="n"/>
      <c r="D410" s="147" t="n"/>
      <c r="E410" s="17" t="n"/>
      <c r="F410" s="143">
        <f>DADOS_AM!$HT$7</f>
        <v/>
      </c>
      <c r="G410" s="143">
        <f>DADOS_AM!$HU$7</f>
        <v/>
      </c>
      <c r="H410" s="17" t="n"/>
      <c r="I410" s="137" t="n"/>
      <c r="J410" s="147" t="n"/>
      <c r="K410" s="17" t="n"/>
      <c r="L410" s="143">
        <f>DADOS_AM!$HT$8</f>
        <v/>
      </c>
      <c r="M410" s="143">
        <f>DADOS_AM!$HU$8</f>
        <v/>
      </c>
      <c r="N410" s="17" t="n"/>
      <c r="O410" s="137" t="n"/>
      <c r="P410" s="147" t="n"/>
      <c r="Q410" s="17" t="n"/>
      <c r="R410" s="143">
        <f>DADOS_AM!$HT$9</f>
        <v/>
      </c>
      <c r="S410" s="143">
        <f>DADOS_AM!$HU$9</f>
        <v/>
      </c>
      <c r="T410" s="17" t="n"/>
      <c r="U410" s="137" t="n"/>
    </row>
    <row r="411" hidden="1" outlineLevel="3">
      <c r="A411" s="8" t="n"/>
      <c r="B411" s="14" t="n"/>
      <c r="C411" s="137" t="n"/>
      <c r="D411" s="56" t="inlineStr">
        <is>
          <t>O QUE FAZ</t>
        </is>
      </c>
      <c r="E411" s="16" t="n"/>
      <c r="F411" s="16" t="n"/>
      <c r="G411" s="16" t="n"/>
      <c r="H411" s="17" t="n"/>
      <c r="I411" s="137" t="n"/>
      <c r="J411" s="56" t="inlineStr">
        <is>
          <t>O QUE FAZ</t>
        </is>
      </c>
      <c r="K411" s="16" t="n"/>
      <c r="L411" s="16" t="n"/>
      <c r="M411" s="16" t="n"/>
      <c r="N411" s="17" t="n"/>
      <c r="O411" s="137" t="n"/>
      <c r="P411" s="56" t="inlineStr">
        <is>
          <t>O QUE FAZ</t>
        </is>
      </c>
      <c r="Q411" s="16" t="n"/>
      <c r="R411" s="16" t="n"/>
      <c r="S411" s="16" t="n"/>
      <c r="T411" s="17" t="n"/>
      <c r="U411" s="137" t="n"/>
    </row>
    <row r="412" hidden="1" outlineLevel="3">
      <c r="A412" s="8" t="n"/>
      <c r="B412" s="14" t="n"/>
      <c r="C412" s="137" t="n"/>
      <c r="D412" s="61">
        <f>DADOS_AM!$HS$7</f>
        <v/>
      </c>
      <c r="E412" s="19" t="n"/>
      <c r="F412" s="19" t="n"/>
      <c r="G412" s="19" t="n"/>
      <c r="H412" s="20" t="n"/>
      <c r="I412" s="137" t="n"/>
      <c r="J412" s="61">
        <f>DADOS_AM!$HS$8</f>
        <v/>
      </c>
      <c r="K412" s="19" t="n"/>
      <c r="L412" s="19" t="n"/>
      <c r="M412" s="19" t="n"/>
      <c r="N412" s="20" t="n"/>
      <c r="O412" s="137" t="n"/>
      <c r="P412" s="61">
        <f>DADOS_AM!$HS$9</f>
        <v/>
      </c>
      <c r="Q412" s="19" t="n"/>
      <c r="R412" s="19" t="n"/>
      <c r="S412" s="19" t="n"/>
      <c r="T412" s="20" t="n"/>
      <c r="U412" s="137" t="n"/>
    </row>
    <row r="413" hidden="1" outlineLevel="3">
      <c r="A413" s="8" t="n"/>
      <c r="B413" s="14" t="n"/>
      <c r="C413" s="137" t="n"/>
      <c r="D413" s="21" t="n"/>
      <c r="H413" s="22" t="n"/>
      <c r="I413" s="137" t="n"/>
      <c r="J413" s="21" t="n"/>
      <c r="N413" s="22" t="n"/>
      <c r="O413" s="137" t="n"/>
      <c r="P413" s="21" t="n"/>
      <c r="T413" s="22" t="n"/>
      <c r="U413" s="137" t="n"/>
    </row>
    <row r="414" hidden="1" outlineLevel="3">
      <c r="A414" s="8" t="n"/>
      <c r="B414" s="14" t="n"/>
      <c r="C414" s="137" t="n"/>
      <c r="D414" s="23" t="n"/>
      <c r="E414" s="24" t="n"/>
      <c r="F414" s="24" t="n"/>
      <c r="G414" s="24" t="n"/>
      <c r="H414" s="25" t="n"/>
      <c r="I414" s="137" t="n"/>
      <c r="J414" s="23" t="n"/>
      <c r="K414" s="24" t="n"/>
      <c r="L414" s="24" t="n"/>
      <c r="M414" s="24" t="n"/>
      <c r="N414" s="25" t="n"/>
      <c r="O414" s="137" t="n"/>
      <c r="P414" s="23" t="n"/>
      <c r="Q414" s="24" t="n"/>
      <c r="R414" s="24" t="n"/>
      <c r="S414" s="24" t="n"/>
      <c r="T414" s="25" t="n"/>
      <c r="U414" s="137" t="n"/>
    </row>
    <row r="415" hidden="1" outlineLevel="3">
      <c r="A415" s="8" t="n"/>
      <c r="B415" s="14" t="n"/>
      <c r="C415" s="137" t="n"/>
      <c r="D415" s="56" t="inlineStr">
        <is>
          <t>SEU TEXTO</t>
        </is>
      </c>
      <c r="E415" s="61" t="n"/>
      <c r="F415" s="19" t="n"/>
      <c r="G415" s="19" t="n"/>
      <c r="H415" s="20" t="n"/>
      <c r="I415" s="137" t="n"/>
      <c r="J415" s="56" t="inlineStr">
        <is>
          <t>SEU TEXTO</t>
        </is>
      </c>
      <c r="K415" s="61" t="n"/>
      <c r="L415" s="19" t="n"/>
      <c r="M415" s="19" t="n"/>
      <c r="N415" s="20" t="n"/>
      <c r="O415" s="137" t="n"/>
      <c r="P415" s="56" t="inlineStr">
        <is>
          <t>SEU TEXTO</t>
        </is>
      </c>
      <c r="Q415" s="61" t="n"/>
      <c r="R415" s="19" t="n"/>
      <c r="S415" s="19" t="n"/>
      <c r="T415" s="20" t="n"/>
      <c r="U415" s="137" t="n"/>
    </row>
    <row r="416" hidden="1" outlineLevel="3">
      <c r="A416" s="8" t="n"/>
      <c r="B416" s="14" t="n"/>
      <c r="C416" s="137" t="n"/>
      <c r="D416" s="128" t="n"/>
      <c r="E416" s="23" t="n"/>
      <c r="F416" s="24" t="n"/>
      <c r="G416" s="24" t="n"/>
      <c r="H416" s="25" t="n"/>
      <c r="I416" s="137" t="n"/>
      <c r="J416" s="128" t="n"/>
      <c r="K416" s="23" t="n"/>
      <c r="L416" s="24" t="n"/>
      <c r="M416" s="24" t="n"/>
      <c r="N416" s="25" t="n"/>
      <c r="O416" s="137" t="n"/>
      <c r="P416" s="128" t="n"/>
      <c r="Q416" s="23" t="n"/>
      <c r="R416" s="24" t="n"/>
      <c r="S416" s="24" t="n"/>
      <c r="T416" s="25" t="n"/>
      <c r="U416" s="137" t="n"/>
    </row>
    <row r="417" hidden="1" outlineLevel="2">
      <c r="A417" s="8" t="n"/>
      <c r="B417" s="14" t="n"/>
      <c r="C417" s="137" t="n"/>
      <c r="D417" s="137" t="n"/>
      <c r="E417" s="137" t="n"/>
      <c r="F417" s="137" t="n"/>
      <c r="G417" s="137" t="n"/>
      <c r="H417" s="137" t="n"/>
      <c r="I417" s="137" t="n"/>
      <c r="J417" s="137" t="n"/>
      <c r="K417" s="137" t="n"/>
      <c r="L417" s="137" t="n"/>
      <c r="M417" s="137" t="n"/>
      <c r="N417" s="137" t="n"/>
      <c r="O417" s="137" t="n"/>
      <c r="P417" s="137" t="n"/>
      <c r="Q417" s="137" t="n"/>
      <c r="R417" s="137" t="n"/>
      <c r="S417" s="137" t="n"/>
      <c r="T417" s="137" t="n"/>
      <c r="U417" s="137" t="n"/>
    </row>
    <row r="418" hidden="1" outlineLevel="2">
      <c r="A418" s="8" t="n"/>
      <c r="B418" s="14" t="n"/>
      <c r="C418" s="137" t="n"/>
      <c r="D418" s="147" t="n"/>
      <c r="E418" s="17" t="n"/>
      <c r="F418" s="143">
        <f>DADOS_AM!$HT$10</f>
        <v/>
      </c>
      <c r="G418" s="143">
        <f>DADOS_AM!$HU$10</f>
        <v/>
      </c>
      <c r="H418" s="17" t="n"/>
      <c r="I418" s="137" t="n"/>
      <c r="J418" s="147" t="n"/>
      <c r="K418" s="17" t="n"/>
      <c r="L418" s="143">
        <f>DADOS_AM!$HT$11</f>
        <v/>
      </c>
      <c r="M418" s="143">
        <f>DADOS_AM!$HU$11</f>
        <v/>
      </c>
      <c r="N418" s="17" t="n"/>
      <c r="O418" s="137" t="n"/>
      <c r="P418" s="147" t="n"/>
      <c r="Q418" s="17" t="n"/>
      <c r="R418" s="143">
        <f>DADOS_AM!$HT$12</f>
        <v/>
      </c>
      <c r="S418" s="143">
        <f>DADOS_AM!$HU$12</f>
        <v/>
      </c>
      <c r="T418" s="17" t="n"/>
      <c r="U418" s="137" t="n"/>
    </row>
    <row r="419" hidden="1" outlineLevel="3">
      <c r="A419" s="8" t="n"/>
      <c r="B419" s="14" t="n"/>
      <c r="C419" s="137" t="n"/>
      <c r="D419" s="56" t="inlineStr">
        <is>
          <t>O QUE FAZ</t>
        </is>
      </c>
      <c r="E419" s="16" t="n"/>
      <c r="F419" s="16" t="n"/>
      <c r="G419" s="16" t="n"/>
      <c r="H419" s="17" t="n"/>
      <c r="I419" s="137" t="n"/>
      <c r="J419" s="56" t="inlineStr">
        <is>
          <t>O QUE FAZ</t>
        </is>
      </c>
      <c r="K419" s="16" t="n"/>
      <c r="L419" s="16" t="n"/>
      <c r="M419" s="16" t="n"/>
      <c r="N419" s="17" t="n"/>
      <c r="O419" s="137" t="n"/>
      <c r="P419" s="56" t="inlineStr">
        <is>
          <t>O QUE FAZ</t>
        </is>
      </c>
      <c r="Q419" s="16" t="n"/>
      <c r="R419" s="16" t="n"/>
      <c r="S419" s="16" t="n"/>
      <c r="T419" s="17" t="n"/>
      <c r="U419" s="137" t="n"/>
    </row>
    <row r="420" hidden="1" outlineLevel="3">
      <c r="A420" s="8" t="n"/>
      <c r="B420" s="14" t="n"/>
      <c r="C420" s="137" t="n"/>
      <c r="D420" s="61">
        <f>DADOS_AM!$HS$10</f>
        <v/>
      </c>
      <c r="E420" s="19" t="n"/>
      <c r="F420" s="19" t="n"/>
      <c r="G420" s="19" t="n"/>
      <c r="H420" s="20" t="n"/>
      <c r="I420" s="137" t="n"/>
      <c r="J420" s="61">
        <f>DADOS_AM!$HS$11</f>
        <v/>
      </c>
      <c r="K420" s="19" t="n"/>
      <c r="L420" s="19" t="n"/>
      <c r="M420" s="19" t="n"/>
      <c r="N420" s="20" t="n"/>
      <c r="O420" s="137" t="n"/>
      <c r="P420" s="61">
        <f>DADOS_AM!$HS$12</f>
        <v/>
      </c>
      <c r="Q420" s="19" t="n"/>
      <c r="R420" s="19" t="n"/>
      <c r="S420" s="19" t="n"/>
      <c r="T420" s="20" t="n"/>
      <c r="U420" s="137" t="n"/>
    </row>
    <row r="421" hidden="1" outlineLevel="3">
      <c r="A421" s="8" t="n"/>
      <c r="B421" s="14" t="n"/>
      <c r="C421" s="137" t="n"/>
      <c r="D421" s="21" t="n"/>
      <c r="H421" s="22" t="n"/>
      <c r="I421" s="137" t="n"/>
      <c r="J421" s="21" t="n"/>
      <c r="N421" s="22" t="n"/>
      <c r="O421" s="137" t="n"/>
      <c r="P421" s="21" t="n"/>
      <c r="T421" s="22" t="n"/>
      <c r="U421" s="137" t="n"/>
    </row>
    <row r="422" hidden="1" outlineLevel="3">
      <c r="A422" s="8" t="n"/>
      <c r="B422" s="14" t="n"/>
      <c r="C422" s="137" t="n"/>
      <c r="D422" s="23" t="n"/>
      <c r="E422" s="24" t="n"/>
      <c r="F422" s="24" t="n"/>
      <c r="G422" s="24" t="n"/>
      <c r="H422" s="25" t="n"/>
      <c r="I422" s="137" t="n"/>
      <c r="J422" s="23" t="n"/>
      <c r="K422" s="24" t="n"/>
      <c r="L422" s="24" t="n"/>
      <c r="M422" s="24" t="n"/>
      <c r="N422" s="25" t="n"/>
      <c r="O422" s="137" t="n"/>
      <c r="P422" s="23" t="n"/>
      <c r="Q422" s="24" t="n"/>
      <c r="R422" s="24" t="n"/>
      <c r="S422" s="24" t="n"/>
      <c r="T422" s="25" t="n"/>
      <c r="U422" s="137" t="n"/>
    </row>
    <row r="423" hidden="1" outlineLevel="3">
      <c r="A423" s="8" t="n"/>
      <c r="B423" s="14" t="n"/>
      <c r="C423" s="137" t="n"/>
      <c r="D423" s="56" t="inlineStr">
        <is>
          <t>SEU TEXTO</t>
        </is>
      </c>
      <c r="E423" s="61" t="n"/>
      <c r="F423" s="19" t="n"/>
      <c r="G423" s="19" t="n"/>
      <c r="H423" s="20" t="n"/>
      <c r="I423" s="137" t="n"/>
      <c r="J423" s="56" t="inlineStr">
        <is>
          <t>SEU TEXTO</t>
        </is>
      </c>
      <c r="K423" s="61" t="n"/>
      <c r="L423" s="19" t="n"/>
      <c r="M423" s="19" t="n"/>
      <c r="N423" s="20" t="n"/>
      <c r="O423" s="137" t="n"/>
      <c r="P423" s="56" t="inlineStr">
        <is>
          <t>SEU TEXTO</t>
        </is>
      </c>
      <c r="Q423" s="61" t="n"/>
      <c r="R423" s="19" t="n"/>
      <c r="S423" s="19" t="n"/>
      <c r="T423" s="20" t="n"/>
      <c r="U423" s="137" t="n"/>
    </row>
    <row r="424" hidden="1" outlineLevel="3">
      <c r="A424" s="8" t="n"/>
      <c r="B424" s="14" t="n"/>
      <c r="C424" s="137" t="n"/>
      <c r="D424" s="128" t="n"/>
      <c r="E424" s="23" t="n"/>
      <c r="F424" s="24" t="n"/>
      <c r="G424" s="24" t="n"/>
      <c r="H424" s="25" t="n"/>
      <c r="I424" s="137" t="n"/>
      <c r="J424" s="128" t="n"/>
      <c r="K424" s="23" t="n"/>
      <c r="L424" s="24" t="n"/>
      <c r="M424" s="24" t="n"/>
      <c r="N424" s="25" t="n"/>
      <c r="O424" s="137" t="n"/>
      <c r="P424" s="128" t="n"/>
      <c r="Q424" s="23" t="n"/>
      <c r="R424" s="24" t="n"/>
      <c r="S424" s="24" t="n"/>
      <c r="T424" s="25" t="n"/>
      <c r="U424" s="137" t="n"/>
    </row>
    <row r="425" hidden="1" outlineLevel="2">
      <c r="A425" s="8" t="n"/>
      <c r="B425" s="14" t="n"/>
      <c r="C425" s="137" t="n"/>
      <c r="D425" s="137" t="n"/>
      <c r="E425" s="137" t="n"/>
      <c r="F425" s="137" t="n"/>
      <c r="G425" s="137" t="n"/>
      <c r="H425" s="137" t="n"/>
      <c r="I425" s="137" t="n"/>
      <c r="J425" s="137" t="n"/>
      <c r="K425" s="137" t="n"/>
      <c r="L425" s="137" t="n"/>
      <c r="M425" s="137" t="n"/>
      <c r="N425" s="137" t="n"/>
      <c r="O425" s="137" t="n"/>
      <c r="P425" s="137" t="n"/>
      <c r="Q425" s="137" t="n"/>
      <c r="R425" s="137" t="n"/>
      <c r="S425" s="137" t="n"/>
      <c r="T425" s="137" t="n"/>
      <c r="U425" s="137" t="n"/>
    </row>
    <row r="426" hidden="1" outlineLevel="2">
      <c r="A426" s="8" t="n"/>
      <c r="B426" s="14" t="n"/>
      <c r="C426" s="137" t="n"/>
      <c r="D426" s="147" t="n"/>
      <c r="E426" s="17" t="n"/>
      <c r="F426" s="143">
        <f>DADOS_AM!$HT$13</f>
        <v/>
      </c>
      <c r="G426" s="143">
        <f>DADOS_AM!$HU$13</f>
        <v/>
      </c>
      <c r="H426" s="17" t="n"/>
      <c r="I426" s="137" t="n"/>
      <c r="J426" s="137" t="n"/>
      <c r="K426" s="137" t="n"/>
      <c r="L426" s="137" t="n"/>
      <c r="M426" s="137" t="n"/>
      <c r="N426" s="137" t="n"/>
      <c r="O426" s="137" t="n"/>
      <c r="P426" s="137" t="n"/>
      <c r="Q426" s="137" t="n"/>
      <c r="R426" s="137" t="n"/>
      <c r="S426" s="137" t="n"/>
      <c r="T426" s="137" t="n"/>
      <c r="U426" s="137" t="n"/>
    </row>
    <row r="427" hidden="1" outlineLevel="3">
      <c r="A427" s="8" t="n"/>
      <c r="B427" s="14" t="n"/>
      <c r="C427" s="137" t="n"/>
      <c r="D427" s="56" t="inlineStr">
        <is>
          <t>O QUE FAZ</t>
        </is>
      </c>
      <c r="E427" s="16" t="n"/>
      <c r="F427" s="16" t="n"/>
      <c r="G427" s="16" t="n"/>
      <c r="H427" s="17" t="n"/>
      <c r="I427" s="137" t="n"/>
      <c r="J427" s="137" t="n"/>
      <c r="K427" s="137" t="n"/>
      <c r="L427" s="137" t="n"/>
      <c r="M427" s="137" t="n"/>
      <c r="N427" s="137" t="n"/>
      <c r="O427" s="137" t="n"/>
      <c r="P427" s="137" t="n"/>
      <c r="Q427" s="137" t="n"/>
      <c r="R427" s="137" t="n"/>
      <c r="S427" s="137" t="n"/>
      <c r="T427" s="137" t="n"/>
      <c r="U427" s="137" t="n"/>
    </row>
    <row r="428" hidden="1" outlineLevel="3">
      <c r="A428" s="8" t="n"/>
      <c r="B428" s="14" t="n"/>
      <c r="C428" s="137" t="n"/>
      <c r="D428" s="61">
        <f>DADOS_AM!$HS$13</f>
        <v/>
      </c>
      <c r="E428" s="19" t="n"/>
      <c r="F428" s="19" t="n"/>
      <c r="G428" s="19" t="n"/>
      <c r="H428" s="20" t="n"/>
      <c r="I428" s="137" t="n"/>
      <c r="J428" s="137" t="n"/>
      <c r="K428" s="137" t="n"/>
      <c r="L428" s="137" t="n"/>
      <c r="M428" s="137" t="n"/>
      <c r="N428" s="137" t="n"/>
      <c r="O428" s="137" t="n"/>
      <c r="P428" s="137" t="n"/>
      <c r="Q428" s="137" t="n"/>
      <c r="R428" s="137" t="n"/>
      <c r="S428" s="137" t="n"/>
      <c r="T428" s="137" t="n"/>
      <c r="U428" s="137" t="n"/>
    </row>
    <row r="429" hidden="1" outlineLevel="3">
      <c r="A429" s="8" t="n"/>
      <c r="B429" s="14" t="n"/>
      <c r="C429" s="137" t="n"/>
      <c r="D429" s="21" t="n"/>
      <c r="H429" s="22" t="n"/>
      <c r="I429" s="137" t="n"/>
      <c r="J429" s="137" t="n"/>
      <c r="K429" s="137" t="n"/>
      <c r="L429" s="137" t="n"/>
      <c r="M429" s="137" t="n"/>
      <c r="N429" s="137" t="n"/>
      <c r="O429" s="137" t="n"/>
      <c r="P429" s="137" t="n"/>
      <c r="Q429" s="137" t="n"/>
      <c r="R429" s="137" t="n"/>
      <c r="S429" s="137" t="n"/>
      <c r="T429" s="137" t="n"/>
      <c r="U429" s="137" t="n"/>
    </row>
    <row r="430" hidden="1" outlineLevel="3">
      <c r="A430" s="8" t="n"/>
      <c r="B430" s="14" t="n"/>
      <c r="C430" s="137" t="n"/>
      <c r="D430" s="23" t="n"/>
      <c r="E430" s="24" t="n"/>
      <c r="F430" s="24" t="n"/>
      <c r="G430" s="24" t="n"/>
      <c r="H430" s="25" t="n"/>
      <c r="I430" s="137" t="n"/>
      <c r="J430" s="137" t="n"/>
      <c r="K430" s="137" t="n"/>
      <c r="L430" s="137" t="n"/>
      <c r="M430" s="137" t="n"/>
      <c r="N430" s="137" t="n"/>
      <c r="O430" s="137" t="n"/>
      <c r="P430" s="137" t="n"/>
      <c r="Q430" s="137" t="n"/>
      <c r="R430" s="137" t="n"/>
      <c r="S430" s="137" t="n"/>
      <c r="T430" s="137" t="n"/>
      <c r="U430" s="137" t="n"/>
    </row>
    <row r="431" hidden="1" outlineLevel="3">
      <c r="A431" s="8" t="n"/>
      <c r="B431" s="14" t="n"/>
      <c r="C431" s="137" t="n"/>
      <c r="D431" s="56" t="inlineStr">
        <is>
          <t>SEU TEXTO</t>
        </is>
      </c>
      <c r="E431" s="61" t="n"/>
      <c r="F431" s="19" t="n"/>
      <c r="G431" s="19" t="n"/>
      <c r="H431" s="20" t="n"/>
      <c r="I431" s="137" t="n"/>
      <c r="J431" s="137" t="n"/>
      <c r="K431" s="137" t="n"/>
      <c r="L431" s="137" t="n"/>
      <c r="M431" s="137" t="n"/>
      <c r="N431" s="137" t="n"/>
      <c r="O431" s="137" t="n"/>
      <c r="P431" s="137" t="n"/>
      <c r="Q431" s="137" t="n"/>
      <c r="R431" s="137" t="n"/>
      <c r="S431" s="137" t="n"/>
      <c r="T431" s="137" t="n"/>
      <c r="U431" s="137" t="n"/>
    </row>
    <row r="432" hidden="1" outlineLevel="3">
      <c r="A432" s="8" t="n"/>
      <c r="B432" s="14" t="n"/>
      <c r="C432" s="137" t="n"/>
      <c r="D432" s="128" t="n"/>
      <c r="E432" s="23" t="n"/>
      <c r="F432" s="24" t="n"/>
      <c r="G432" s="24" t="n"/>
      <c r="H432" s="25" t="n"/>
      <c r="I432" s="137" t="n"/>
      <c r="J432" s="137" t="n"/>
      <c r="K432" s="137" t="n"/>
      <c r="L432" s="137" t="n"/>
      <c r="M432" s="137" t="n"/>
      <c r="N432" s="137" t="n"/>
      <c r="O432" s="137" t="n"/>
      <c r="P432" s="137" t="n"/>
      <c r="Q432" s="137" t="n"/>
      <c r="R432" s="137" t="n"/>
      <c r="S432" s="137" t="n"/>
      <c r="T432" s="137" t="n"/>
      <c r="U432" s="137" t="n"/>
    </row>
    <row r="433">
      <c r="A433" s="8" t="n"/>
      <c r="B433" s="14" t="n"/>
      <c r="C433" s="137" t="n"/>
      <c r="D433" s="137" t="n"/>
      <c r="E433" s="137" t="n"/>
      <c r="F433" s="137" t="n"/>
      <c r="G433" s="137" t="n"/>
      <c r="H433" s="137" t="n"/>
      <c r="I433" s="137" t="n"/>
      <c r="J433" s="137" t="n"/>
      <c r="K433" s="137" t="n"/>
      <c r="L433" s="137" t="n"/>
      <c r="M433" s="137" t="n"/>
      <c r="N433" s="137" t="n"/>
      <c r="O433" s="137" t="n"/>
      <c r="P433" s="137" t="n"/>
      <c r="Q433" s="137" t="n"/>
      <c r="R433" s="137" t="n"/>
      <c r="S433" s="137" t="n"/>
      <c r="T433" s="137" t="n"/>
      <c r="U433" s="137" t="n"/>
    </row>
    <row r="434">
      <c r="A434" s="8" t="n"/>
      <c r="B434" s="14" t="n"/>
      <c r="C434" s="137" t="n"/>
      <c r="D434" s="55">
        <f>DADOS_AM!$KV$61</f>
        <v/>
      </c>
      <c r="E434" s="19" t="n"/>
      <c r="F434" s="19" t="n"/>
      <c r="G434" s="19" t="n"/>
      <c r="H434" s="19" t="n"/>
      <c r="I434" s="19" t="n"/>
      <c r="J434" s="19" t="n"/>
      <c r="K434" s="19" t="n"/>
      <c r="L434" s="19" t="n"/>
      <c r="M434" s="19" t="n"/>
      <c r="N434" s="19" t="n"/>
      <c r="O434" s="19" t="n"/>
      <c r="P434" s="19" t="n"/>
      <c r="Q434" s="19" t="n"/>
      <c r="R434" s="19" t="n"/>
      <c r="S434" s="19" t="n"/>
      <c r="T434" s="20" t="n"/>
      <c r="U434" s="137" t="n"/>
    </row>
    <row r="435">
      <c r="A435" s="8" t="n"/>
      <c r="B435" s="14" t="n"/>
      <c r="C435" s="137" t="n"/>
      <c r="D435" s="23" t="n"/>
      <c r="E435" s="24" t="n"/>
      <c r="F435" s="24" t="n"/>
      <c r="G435" s="24" t="n"/>
      <c r="H435" s="24" t="n"/>
      <c r="I435" s="24" t="n"/>
      <c r="J435" s="24" t="n"/>
      <c r="K435" s="24" t="n"/>
      <c r="L435" s="24" t="n"/>
      <c r="M435" s="24" t="n"/>
      <c r="N435" s="24" t="n"/>
      <c r="O435" s="24" t="n"/>
      <c r="P435" s="24" t="n"/>
      <c r="Q435" s="24" t="n"/>
      <c r="R435" s="24" t="n"/>
      <c r="S435" s="24" t="n"/>
      <c r="T435" s="25" t="n"/>
      <c r="U435" s="137" t="n"/>
    </row>
    <row r="436" outlineLevel="1">
      <c r="A436" s="8" t="n"/>
      <c r="B436" s="14" t="n"/>
      <c r="C436" s="137" t="n"/>
      <c r="D436" s="56">
        <f>DADOS_AM!$KV$62</f>
        <v/>
      </c>
      <c r="E436" s="17" t="n"/>
      <c r="F436" s="56" t="inlineStr">
        <is>
          <t>COMPRADAS</t>
        </is>
      </c>
      <c r="G436" s="16" t="n"/>
      <c r="H436" s="17" t="n"/>
      <c r="I436" s="137" t="n"/>
      <c r="J436" s="56">
        <f>DADOS_AM!$KV$64</f>
        <v/>
      </c>
      <c r="K436" s="17" t="n"/>
      <c r="L436" s="56">
        <f>DADOS_AM!$KV$66</f>
        <v/>
      </c>
      <c r="M436" s="16" t="n"/>
      <c r="N436" s="17" t="n"/>
      <c r="O436" s="137" t="n"/>
      <c r="P436" s="56">
        <f>DADOS_AM!$KV$68</f>
        <v/>
      </c>
      <c r="Q436" s="16" t="n"/>
      <c r="R436" s="16" t="n"/>
      <c r="S436" s="16" t="n"/>
      <c r="T436" s="17" t="n"/>
      <c r="U436" s="137" t="n"/>
    </row>
    <row r="437" outlineLevel="1">
      <c r="A437" s="8" t="n"/>
      <c r="B437" s="14" t="n"/>
      <c r="C437" s="137" t="n"/>
      <c r="D437" s="105">
        <f>DADOS_AM!$HM$6</f>
        <v/>
      </c>
      <c r="E437" s="20" t="n"/>
      <c r="F437" s="105">
        <f>DADOS_AM!$KV$63</f>
        <v/>
      </c>
      <c r="G437" s="19" t="n"/>
      <c r="H437" s="20" t="n"/>
      <c r="I437" s="137" t="n"/>
      <c r="J437" s="87">
        <f>DADOS_AM!$KV$65</f>
        <v/>
      </c>
      <c r="K437" s="20" t="n"/>
      <c r="L437" s="87">
        <f>DADOS_AM!$KV$67</f>
        <v/>
      </c>
      <c r="M437" s="19" t="n"/>
      <c r="N437" s="20" t="n"/>
      <c r="O437" s="137" t="n"/>
      <c r="P437" s="87">
        <f>DADOS_AM!$KV$69</f>
        <v/>
      </c>
      <c r="Q437" s="19" t="n"/>
      <c r="R437" s="19" t="n"/>
      <c r="S437" s="19" t="n"/>
      <c r="T437" s="20" t="n"/>
      <c r="U437" s="137" t="n"/>
    </row>
    <row r="438" outlineLevel="1">
      <c r="A438" s="8" t="n"/>
      <c r="B438" s="14" t="n"/>
      <c r="C438" s="137" t="n"/>
      <c r="D438" s="23" t="n"/>
      <c r="E438" s="25" t="n"/>
      <c r="F438" s="23" t="n"/>
      <c r="G438" s="24" t="n"/>
      <c r="H438" s="25" t="n"/>
      <c r="I438" s="137" t="n"/>
      <c r="J438" s="23" t="n"/>
      <c r="K438" s="25" t="n"/>
      <c r="L438" s="23" t="n"/>
      <c r="M438" s="24" t="n"/>
      <c r="N438" s="25" t="n"/>
      <c r="O438" s="137" t="n"/>
      <c r="P438" s="23" t="n"/>
      <c r="Q438" s="24" t="n"/>
      <c r="R438" s="24" t="n"/>
      <c r="S438" s="24" t="n"/>
      <c r="T438" s="25" t="n"/>
      <c r="U438" s="137" t="n"/>
    </row>
    <row r="439" outlineLevel="1">
      <c r="A439" s="8" t="n"/>
      <c r="B439" s="14" t="n"/>
      <c r="C439" s="137" t="n"/>
      <c r="D439" s="137" t="n"/>
      <c r="E439" s="137" t="n"/>
      <c r="F439" s="137" t="n"/>
      <c r="G439" s="137" t="n"/>
      <c r="H439" s="137" t="n"/>
      <c r="I439" s="137" t="n"/>
      <c r="J439" s="137" t="n"/>
      <c r="K439" s="137" t="n"/>
      <c r="L439" s="137" t="n"/>
      <c r="M439" s="137" t="n"/>
      <c r="N439" s="137" t="n"/>
      <c r="O439" s="137" t="n"/>
      <c r="P439" s="137" t="n"/>
      <c r="Q439" s="137" t="n"/>
      <c r="R439" s="137" t="n"/>
      <c r="S439" s="137" t="n"/>
      <c r="T439" s="137" t="n"/>
      <c r="U439" s="137" t="n"/>
    </row>
    <row r="440" outlineLevel="1">
      <c r="A440" s="8" t="n"/>
      <c r="B440" s="14" t="n"/>
      <c r="C440" s="137" t="n"/>
      <c r="D440" s="56">
        <f>DADOS_AM!$KV$70</f>
        <v/>
      </c>
      <c r="E440" s="16" t="n"/>
      <c r="F440" s="16" t="n"/>
      <c r="G440" s="16" t="n"/>
      <c r="H440" s="17" t="n"/>
      <c r="I440" s="137" t="n"/>
      <c r="J440" s="56">
        <f>DADOS_AM!$KV$71</f>
        <v/>
      </c>
      <c r="K440" s="16" t="n"/>
      <c r="L440" s="16" t="n"/>
      <c r="M440" s="16" t="n"/>
      <c r="N440" s="17" t="n"/>
      <c r="O440" s="137" t="n"/>
      <c r="P440" s="56">
        <f>DADOS_AM!$KV$72</f>
        <v/>
      </c>
      <c r="Q440" s="16" t="n"/>
      <c r="R440" s="16" t="n"/>
      <c r="S440" s="16" t="n"/>
      <c r="T440" s="17" t="n"/>
      <c r="U440" s="137" t="n"/>
    </row>
    <row r="441" outlineLevel="1">
      <c r="A441" s="8" t="n"/>
      <c r="B441" s="14" t="n"/>
      <c r="C441" s="137" t="n"/>
      <c r="D441" s="95" t="n"/>
      <c r="E441" s="16" t="n"/>
      <c r="F441" s="16" t="n"/>
      <c r="G441" s="16" t="n"/>
      <c r="H441" s="17" t="n"/>
      <c r="I441" s="137" t="n"/>
      <c r="J441" s="95" t="n"/>
      <c r="K441" s="16" t="n"/>
      <c r="L441" s="16" t="n"/>
      <c r="M441" s="16" t="n"/>
      <c r="N441" s="17" t="n"/>
      <c r="O441" s="137" t="n"/>
      <c r="P441" s="95">
        <f>DADOS_AM!$KV$73</f>
        <v/>
      </c>
      <c r="Q441" s="16" t="n"/>
      <c r="R441" s="16" t="n"/>
      <c r="S441" s="16" t="n"/>
      <c r="T441" s="17" t="n"/>
      <c r="U441" s="137" t="n"/>
    </row>
    <row r="442" outlineLevel="1">
      <c r="A442" s="8" t="n"/>
      <c r="B442" s="14" t="n"/>
      <c r="C442" s="137" t="n"/>
      <c r="D442" s="137" t="n"/>
      <c r="E442" s="137" t="n"/>
      <c r="F442" s="137" t="n"/>
      <c r="G442" s="137" t="n"/>
      <c r="H442" s="137" t="n"/>
      <c r="I442" s="137" t="n"/>
      <c r="J442" s="137" t="n"/>
      <c r="K442" s="137" t="n"/>
      <c r="L442" s="137" t="n"/>
      <c r="M442" s="137" t="n"/>
      <c r="N442" s="137" t="n"/>
      <c r="O442" s="137" t="n"/>
      <c r="P442" s="137" t="n"/>
      <c r="Q442" s="137" t="n"/>
      <c r="R442" s="137" t="n"/>
      <c r="S442" s="137" t="n"/>
      <c r="T442" s="137" t="n"/>
      <c r="U442" s="137" t="n"/>
    </row>
    <row r="443" outlineLevel="1">
      <c r="A443" s="8" t="n"/>
      <c r="B443" s="14" t="n"/>
      <c r="C443" s="137" t="n"/>
      <c r="D443" s="147" t="n"/>
      <c r="E443" s="16" t="n"/>
      <c r="F443" s="17" t="n"/>
      <c r="G443" s="143">
        <f>DADOS_AM!$IB$2</f>
        <v/>
      </c>
      <c r="H443" s="17" t="n"/>
      <c r="I443" s="137" t="n"/>
      <c r="J443" s="147" t="n"/>
      <c r="K443" s="16" t="n"/>
      <c r="L443" s="17" t="n"/>
      <c r="M443" s="143">
        <f>DADOS_AM!$IB$3</f>
        <v/>
      </c>
      <c r="N443" s="17" t="n"/>
      <c r="O443" s="137" t="n"/>
      <c r="P443" s="147" t="n"/>
      <c r="Q443" s="16" t="n"/>
      <c r="R443" s="17" t="n"/>
      <c r="S443" s="143">
        <f>DADOS_AM!$IB$4</f>
        <v/>
      </c>
      <c r="T443" s="17" t="n"/>
      <c r="U443" s="137" t="n"/>
    </row>
    <row r="444" outlineLevel="1">
      <c r="A444" s="8" t="n"/>
      <c r="B444" s="14" t="n"/>
      <c r="C444" s="137" t="n"/>
      <c r="D444" s="148">
        <f>DADOS_AM!$IA$2</f>
        <v/>
      </c>
      <c r="E444" s="19" t="n"/>
      <c r="F444" s="19" t="n"/>
      <c r="G444" s="19" t="n"/>
      <c r="H444" s="20" t="n"/>
      <c r="I444" s="137" t="n"/>
      <c r="J444" s="148">
        <f>DADOS_AM!$IA$3</f>
        <v/>
      </c>
      <c r="K444" s="19" t="n"/>
      <c r="L444" s="19" t="n"/>
      <c r="M444" s="19" t="n"/>
      <c r="N444" s="20" t="n"/>
      <c r="O444" s="137" t="n"/>
      <c r="P444" s="148">
        <f>DADOS_AM!$IA$4</f>
        <v/>
      </c>
      <c r="Q444" s="19" t="n"/>
      <c r="R444" s="19" t="n"/>
      <c r="S444" s="19" t="n"/>
      <c r="T444" s="20" t="n"/>
      <c r="U444" s="137" t="n"/>
    </row>
    <row r="445" outlineLevel="1">
      <c r="A445" s="8" t="n"/>
      <c r="B445" s="14" t="n"/>
      <c r="C445" s="137" t="n"/>
      <c r="D445" s="23" t="n"/>
      <c r="E445" s="24" t="n"/>
      <c r="F445" s="24" t="n"/>
      <c r="G445" s="24" t="n"/>
      <c r="H445" s="25" t="n"/>
      <c r="I445" s="137" t="n"/>
      <c r="J445" s="23" t="n"/>
      <c r="K445" s="24" t="n"/>
      <c r="L445" s="24" t="n"/>
      <c r="M445" s="24" t="n"/>
      <c r="N445" s="25" t="n"/>
      <c r="O445" s="137" t="n"/>
      <c r="P445" s="23" t="n"/>
      <c r="Q445" s="24" t="n"/>
      <c r="R445" s="24" t="n"/>
      <c r="S445" s="24" t="n"/>
      <c r="T445" s="25" t="n"/>
      <c r="U445" s="137" t="n"/>
    </row>
    <row r="446" outlineLevel="2">
      <c r="A446" s="8" t="n"/>
      <c r="B446" s="14" t="n"/>
      <c r="C446" s="137" t="n"/>
      <c r="D446" s="56" t="inlineStr">
        <is>
          <t>O QUE FAZ</t>
        </is>
      </c>
      <c r="E446" s="16" t="n"/>
      <c r="F446" s="16" t="n"/>
      <c r="G446" s="16" t="n"/>
      <c r="H446" s="17" t="n"/>
      <c r="I446" s="137" t="n"/>
      <c r="J446" s="56" t="inlineStr">
        <is>
          <t>O QUE FAZ</t>
        </is>
      </c>
      <c r="K446" s="16" t="n"/>
      <c r="L446" s="16" t="n"/>
      <c r="M446" s="16" t="n"/>
      <c r="N446" s="17" t="n"/>
      <c r="O446" s="137" t="n"/>
      <c r="P446" s="56" t="inlineStr">
        <is>
          <t>O QUE FAZ</t>
        </is>
      </c>
      <c r="Q446" s="16" t="n"/>
      <c r="R446" s="16" t="n"/>
      <c r="S446" s="16" t="n"/>
      <c r="T446" s="17" t="n"/>
      <c r="U446" s="137" t="n"/>
    </row>
    <row r="447" outlineLevel="2">
      <c r="A447" s="8" t="n"/>
      <c r="B447" s="14" t="n"/>
      <c r="C447" s="137" t="n"/>
      <c r="D447" s="149">
        <f>DADOS_AM!$ID$2</f>
        <v/>
      </c>
      <c r="E447" s="19" t="n"/>
      <c r="F447" s="19" t="n"/>
      <c r="G447" s="19" t="n"/>
      <c r="H447" s="20" t="n"/>
      <c r="I447" s="137" t="n"/>
      <c r="J447" s="149">
        <f>DADOS_AM!$ID$3</f>
        <v/>
      </c>
      <c r="K447" s="19" t="n"/>
      <c r="L447" s="19" t="n"/>
      <c r="M447" s="19" t="n"/>
      <c r="N447" s="20" t="n"/>
      <c r="O447" s="137" t="n"/>
      <c r="P447" s="149">
        <f>DADOS_AM!$ID$4</f>
        <v/>
      </c>
      <c r="Q447" s="19" t="n"/>
      <c r="R447" s="19" t="n"/>
      <c r="S447" s="19" t="n"/>
      <c r="T447" s="20" t="n"/>
      <c r="U447" s="137" t="n"/>
    </row>
    <row r="448" outlineLevel="2">
      <c r="A448" s="8" t="n"/>
      <c r="B448" s="14" t="n"/>
      <c r="C448" s="137" t="n"/>
      <c r="D448" s="21" t="n"/>
      <c r="H448" s="22" t="n"/>
      <c r="I448" s="137" t="n"/>
      <c r="J448" s="21" t="n"/>
      <c r="N448" s="22" t="n"/>
      <c r="O448" s="137" t="n"/>
      <c r="P448" s="21" t="n"/>
      <c r="T448" s="22" t="n"/>
      <c r="U448" s="137" t="n"/>
    </row>
    <row r="449" outlineLevel="2">
      <c r="A449" s="8" t="n"/>
      <c r="B449" s="14" t="n"/>
      <c r="C449" s="137" t="n"/>
      <c r="D449" s="21" t="n"/>
      <c r="H449" s="22" t="n"/>
      <c r="I449" s="137" t="n"/>
      <c r="J449" s="21" t="n"/>
      <c r="N449" s="22" t="n"/>
      <c r="O449" s="137" t="n"/>
      <c r="P449" s="21" t="n"/>
      <c r="T449" s="22" t="n"/>
      <c r="U449" s="137" t="n"/>
    </row>
    <row r="450" outlineLevel="2">
      <c r="A450" s="8" t="n"/>
      <c r="B450" s="14" t="n"/>
      <c r="C450" s="137" t="n"/>
      <c r="D450" s="21" t="n"/>
      <c r="H450" s="22" t="n"/>
      <c r="I450" s="137" t="n"/>
      <c r="J450" s="21" t="n"/>
      <c r="N450" s="22" t="n"/>
      <c r="O450" s="137" t="n"/>
      <c r="P450" s="21" t="n"/>
      <c r="T450" s="22" t="n"/>
      <c r="U450" s="137" t="n"/>
    </row>
    <row r="451" outlineLevel="2">
      <c r="A451" s="8" t="n"/>
      <c r="B451" s="14" t="n"/>
      <c r="C451" s="137" t="n"/>
      <c r="D451" s="21" t="n"/>
      <c r="H451" s="22" t="n"/>
      <c r="I451" s="137" t="n"/>
      <c r="J451" s="21" t="n"/>
      <c r="N451" s="22" t="n"/>
      <c r="O451" s="137" t="n"/>
      <c r="P451" s="21" t="n"/>
      <c r="T451" s="22" t="n"/>
      <c r="U451" s="137" t="n"/>
    </row>
    <row r="452" outlineLevel="2">
      <c r="A452" s="8" t="n"/>
      <c r="B452" s="14" t="n"/>
      <c r="C452" s="137" t="n"/>
      <c r="D452" s="21" t="n"/>
      <c r="H452" s="22" t="n"/>
      <c r="I452" s="137" t="n"/>
      <c r="J452" s="21" t="n"/>
      <c r="N452" s="22" t="n"/>
      <c r="O452" s="137" t="n"/>
      <c r="P452" s="21" t="n"/>
      <c r="T452" s="22" t="n"/>
      <c r="U452" s="137" t="n"/>
    </row>
    <row r="453" outlineLevel="2">
      <c r="A453" s="8" t="n"/>
      <c r="B453" s="14" t="n"/>
      <c r="C453" s="137" t="n"/>
      <c r="D453" s="21" t="n"/>
      <c r="H453" s="22" t="n"/>
      <c r="I453" s="137" t="n"/>
      <c r="J453" s="21" t="n"/>
      <c r="N453" s="22" t="n"/>
      <c r="O453" s="137" t="n"/>
      <c r="P453" s="21" t="n"/>
      <c r="T453" s="22" t="n"/>
      <c r="U453" s="137" t="n"/>
    </row>
    <row r="454" outlineLevel="2">
      <c r="A454" s="8" t="n"/>
      <c r="B454" s="14" t="n"/>
      <c r="C454" s="137" t="n"/>
      <c r="D454" s="21" t="n"/>
      <c r="H454" s="22" t="n"/>
      <c r="I454" s="137" t="n"/>
      <c r="J454" s="21" t="n"/>
      <c r="N454" s="22" t="n"/>
      <c r="O454" s="137" t="n"/>
      <c r="P454" s="21" t="n"/>
      <c r="T454" s="22" t="n"/>
      <c r="U454" s="137" t="n"/>
    </row>
    <row r="455" outlineLevel="2">
      <c r="A455" s="8" t="n"/>
      <c r="B455" s="14" t="n"/>
      <c r="C455" s="137" t="n"/>
      <c r="D455" s="21" t="n"/>
      <c r="H455" s="22" t="n"/>
      <c r="I455" s="137" t="n"/>
      <c r="J455" s="21" t="n"/>
      <c r="N455" s="22" t="n"/>
      <c r="O455" s="137" t="n"/>
      <c r="P455" s="21" t="n"/>
      <c r="T455" s="22" t="n"/>
      <c r="U455" s="137" t="n"/>
    </row>
    <row r="456" outlineLevel="2">
      <c r="A456" s="8" t="n"/>
      <c r="B456" s="14" t="n"/>
      <c r="C456" s="137" t="n"/>
      <c r="D456" s="21" t="n"/>
      <c r="H456" s="22" t="n"/>
      <c r="I456" s="137" t="n"/>
      <c r="J456" s="21" t="n"/>
      <c r="N456" s="22" t="n"/>
      <c r="O456" s="137" t="n"/>
      <c r="P456" s="21" t="n"/>
      <c r="T456" s="22" t="n"/>
      <c r="U456" s="137" t="n"/>
    </row>
    <row r="457" outlineLevel="2">
      <c r="A457" s="8" t="n"/>
      <c r="B457" s="14" t="n"/>
      <c r="C457" s="137" t="n"/>
      <c r="D457" s="21" t="n"/>
      <c r="H457" s="22" t="n"/>
      <c r="I457" s="137" t="n"/>
      <c r="J457" s="21" t="n"/>
      <c r="N457" s="22" t="n"/>
      <c r="O457" s="137" t="n"/>
      <c r="P457" s="21" t="n"/>
      <c r="T457" s="22" t="n"/>
      <c r="U457" s="137" t="n"/>
    </row>
    <row r="458" outlineLevel="2">
      <c r="A458" s="8" t="n"/>
      <c r="B458" s="14" t="n"/>
      <c r="C458" s="137" t="n"/>
      <c r="D458" s="23" t="n"/>
      <c r="E458" s="24" t="n"/>
      <c r="F458" s="24" t="n"/>
      <c r="G458" s="24" t="n"/>
      <c r="H458" s="25" t="n"/>
      <c r="I458" s="137" t="n"/>
      <c r="J458" s="23" t="n"/>
      <c r="K458" s="24" t="n"/>
      <c r="L458" s="24" t="n"/>
      <c r="M458" s="24" t="n"/>
      <c r="N458" s="25" t="n"/>
      <c r="O458" s="137" t="n"/>
      <c r="P458" s="23" t="n"/>
      <c r="Q458" s="24" t="n"/>
      <c r="R458" s="24" t="n"/>
      <c r="S458" s="24" t="n"/>
      <c r="T458" s="25" t="n"/>
      <c r="U458" s="137" t="n"/>
    </row>
    <row r="459" outlineLevel="2">
      <c r="A459" s="8" t="n"/>
      <c r="B459" s="14" t="n"/>
      <c r="C459" s="137" t="n"/>
      <c r="D459" s="56">
        <f>DADOS_AM!$KV$74</f>
        <v/>
      </c>
      <c r="E459" s="150">
        <f>DADOS_AM!$IC$2</f>
        <v/>
      </c>
      <c r="F459" s="16" t="n"/>
      <c r="G459" s="16" t="n"/>
      <c r="H459" s="17" t="n"/>
      <c r="I459" s="137" t="n"/>
      <c r="J459" s="56">
        <f>DADOS_AM!$KV$75</f>
        <v/>
      </c>
      <c r="K459" s="150">
        <f>DADOS_AM!$IC$3</f>
        <v/>
      </c>
      <c r="L459" s="16" t="n"/>
      <c r="M459" s="16" t="n"/>
      <c r="N459" s="17" t="n"/>
      <c r="O459" s="137" t="n"/>
      <c r="P459" s="56">
        <f>DADOS_AM!$KV$76</f>
        <v/>
      </c>
      <c r="Q459" s="150">
        <f>DADOS_AM!$IC$4</f>
        <v/>
      </c>
      <c r="R459" s="16" t="n"/>
      <c r="S459" s="16" t="n"/>
      <c r="T459" s="17" t="n"/>
      <c r="U459" s="137" t="n"/>
    </row>
    <row r="460" outlineLevel="2">
      <c r="A460" s="8" t="n"/>
      <c r="B460" s="14" t="n"/>
      <c r="C460" s="137" t="n"/>
      <c r="D460" s="56" t="inlineStr">
        <is>
          <t>SEU TEXTO</t>
        </is>
      </c>
      <c r="E460" s="61" t="n"/>
      <c r="F460" s="19" t="n"/>
      <c r="G460" s="19" t="n"/>
      <c r="H460" s="20" t="n"/>
      <c r="I460" s="137" t="n"/>
      <c r="J460" s="56" t="inlineStr">
        <is>
          <t>SEU TEXTO</t>
        </is>
      </c>
      <c r="K460" s="61" t="n"/>
      <c r="L460" s="19" t="n"/>
      <c r="M460" s="19" t="n"/>
      <c r="N460" s="20" t="n"/>
      <c r="O460" s="137" t="n"/>
      <c r="P460" s="56" t="inlineStr">
        <is>
          <t>SEU TEXTO</t>
        </is>
      </c>
      <c r="Q460" s="61" t="n"/>
      <c r="R460" s="19" t="n"/>
      <c r="S460" s="19" t="n"/>
      <c r="T460" s="20" t="n"/>
      <c r="U460" s="137" t="n"/>
    </row>
    <row r="461" outlineLevel="2">
      <c r="A461" s="8" t="n"/>
      <c r="B461" s="14" t="n"/>
      <c r="C461" s="137" t="n"/>
      <c r="D461" s="128" t="n"/>
      <c r="E461" s="23" t="n"/>
      <c r="F461" s="24" t="n"/>
      <c r="G461" s="24" t="n"/>
      <c r="H461" s="25" t="n"/>
      <c r="I461" s="137" t="n"/>
      <c r="J461" s="128" t="n"/>
      <c r="K461" s="23" t="n"/>
      <c r="L461" s="24" t="n"/>
      <c r="M461" s="24" t="n"/>
      <c r="N461" s="25" t="n"/>
      <c r="O461" s="137" t="n"/>
      <c r="P461" s="128" t="n"/>
      <c r="Q461" s="23" t="n"/>
      <c r="R461" s="24" t="n"/>
      <c r="S461" s="24" t="n"/>
      <c r="T461" s="25" t="n"/>
      <c r="U461" s="137" t="n"/>
    </row>
    <row r="462" outlineLevel="1">
      <c r="A462" s="8" t="n"/>
      <c r="B462" s="14" t="n"/>
      <c r="C462" s="137" t="n"/>
      <c r="D462" s="137" t="n"/>
      <c r="E462" s="137" t="n"/>
      <c r="F462" s="137" t="n"/>
      <c r="G462" s="137" t="n"/>
      <c r="H462" s="137" t="n"/>
      <c r="I462" s="137" t="n"/>
      <c r="J462" s="137" t="n"/>
      <c r="K462" s="137" t="n"/>
      <c r="L462" s="137" t="n"/>
      <c r="M462" s="137" t="n"/>
      <c r="N462" s="137" t="n"/>
      <c r="O462" s="137" t="n"/>
      <c r="P462" s="137" t="n"/>
      <c r="Q462" s="137" t="n"/>
      <c r="R462" s="137" t="n"/>
      <c r="S462" s="137" t="n"/>
      <c r="T462" s="137" t="n"/>
      <c r="U462" s="137" t="n"/>
    </row>
    <row r="463" outlineLevel="1">
      <c r="A463" s="8" t="n"/>
      <c r="B463" s="14" t="n"/>
      <c r="C463" s="137" t="n"/>
      <c r="D463" s="147" t="n"/>
      <c r="E463" s="16" t="n"/>
      <c r="F463" s="17" t="n"/>
      <c r="G463" s="143">
        <f>DADOS_AM!$IB$5</f>
        <v/>
      </c>
      <c r="H463" s="17" t="n"/>
      <c r="I463" s="137" t="n"/>
      <c r="J463" s="147" t="n"/>
      <c r="K463" s="16" t="n"/>
      <c r="L463" s="17" t="n"/>
      <c r="M463" s="143">
        <f>DADOS_AM!$IB$6</f>
        <v/>
      </c>
      <c r="N463" s="17" t="n"/>
      <c r="O463" s="137" t="n"/>
      <c r="P463" s="147" t="n"/>
      <c r="Q463" s="16" t="n"/>
      <c r="R463" s="17" t="n"/>
      <c r="S463" s="143">
        <f>DADOS_AM!$IB$7</f>
        <v/>
      </c>
      <c r="T463" s="17" t="n"/>
      <c r="U463" s="137" t="n"/>
    </row>
    <row r="464" outlineLevel="1">
      <c r="A464" s="8" t="n"/>
      <c r="B464" s="14" t="n"/>
      <c r="C464" s="137" t="n"/>
      <c r="D464" s="148">
        <f>DADOS_AM!$IA$5</f>
        <v/>
      </c>
      <c r="E464" s="19" t="n"/>
      <c r="F464" s="19" t="n"/>
      <c r="G464" s="19" t="n"/>
      <c r="H464" s="20" t="n"/>
      <c r="I464" s="137" t="n"/>
      <c r="J464" s="148">
        <f>DADOS_AM!$IA$6</f>
        <v/>
      </c>
      <c r="K464" s="19" t="n"/>
      <c r="L464" s="19" t="n"/>
      <c r="M464" s="19" t="n"/>
      <c r="N464" s="20" t="n"/>
      <c r="O464" s="137" t="n"/>
      <c r="P464" s="148">
        <f>DADOS_AM!$IA$7</f>
        <v/>
      </c>
      <c r="Q464" s="19" t="n"/>
      <c r="R464" s="19" t="n"/>
      <c r="S464" s="19" t="n"/>
      <c r="T464" s="20" t="n"/>
      <c r="U464" s="137" t="n"/>
    </row>
    <row r="465" outlineLevel="1">
      <c r="A465" s="8" t="n"/>
      <c r="B465" s="14" t="n"/>
      <c r="C465" s="137" t="n"/>
      <c r="D465" s="23" t="n"/>
      <c r="E465" s="24" t="n"/>
      <c r="F465" s="24" t="n"/>
      <c r="G465" s="24" t="n"/>
      <c r="H465" s="25" t="n"/>
      <c r="I465" s="137" t="n"/>
      <c r="J465" s="23" t="n"/>
      <c r="K465" s="24" t="n"/>
      <c r="L465" s="24" t="n"/>
      <c r="M465" s="24" t="n"/>
      <c r="N465" s="25" t="n"/>
      <c r="O465" s="137" t="n"/>
      <c r="P465" s="23" t="n"/>
      <c r="Q465" s="24" t="n"/>
      <c r="R465" s="24" t="n"/>
      <c r="S465" s="24" t="n"/>
      <c r="T465" s="25" t="n"/>
      <c r="U465" s="137" t="n"/>
    </row>
    <row r="466" hidden="1" outlineLevel="2">
      <c r="A466" s="8" t="n"/>
      <c r="B466" s="14" t="n"/>
      <c r="C466" s="137" t="n"/>
      <c r="D466" s="56" t="inlineStr">
        <is>
          <t>O QUE FAZ</t>
        </is>
      </c>
      <c r="E466" s="16" t="n"/>
      <c r="F466" s="16" t="n"/>
      <c r="G466" s="16" t="n"/>
      <c r="H466" s="17" t="n"/>
      <c r="I466" s="137" t="n"/>
      <c r="J466" s="56" t="inlineStr">
        <is>
          <t>O QUE FAZ</t>
        </is>
      </c>
      <c r="K466" s="16" t="n"/>
      <c r="L466" s="16" t="n"/>
      <c r="M466" s="16" t="n"/>
      <c r="N466" s="17" t="n"/>
      <c r="O466" s="137" t="n"/>
      <c r="P466" s="56" t="inlineStr">
        <is>
          <t>O QUE FAZ</t>
        </is>
      </c>
      <c r="Q466" s="16" t="n"/>
      <c r="R466" s="16" t="n"/>
      <c r="S466" s="16" t="n"/>
      <c r="T466" s="17" t="n"/>
      <c r="U466" s="137" t="n"/>
    </row>
    <row r="467" hidden="1" outlineLevel="2">
      <c r="A467" s="8" t="n"/>
      <c r="B467" s="14" t="n"/>
      <c r="C467" s="137" t="n"/>
      <c r="D467" s="149">
        <f>DADOS_AM!$ID$5</f>
        <v/>
      </c>
      <c r="E467" s="19" t="n"/>
      <c r="F467" s="19" t="n"/>
      <c r="G467" s="19" t="n"/>
      <c r="H467" s="20" t="n"/>
      <c r="I467" s="137" t="n"/>
      <c r="J467" s="149">
        <f>DADOS_AM!$ID$6</f>
        <v/>
      </c>
      <c r="K467" s="19" t="n"/>
      <c r="L467" s="19" t="n"/>
      <c r="M467" s="19" t="n"/>
      <c r="N467" s="20" t="n"/>
      <c r="O467" s="137" t="n"/>
      <c r="P467" s="149">
        <f>DADOS_AM!$ID$7</f>
        <v/>
      </c>
      <c r="Q467" s="19" t="n"/>
      <c r="R467" s="19" t="n"/>
      <c r="S467" s="19" t="n"/>
      <c r="T467" s="20" t="n"/>
      <c r="U467" s="137" t="n"/>
    </row>
    <row r="468" hidden="1" outlineLevel="2">
      <c r="A468" s="8" t="n"/>
      <c r="B468" s="14" t="n"/>
      <c r="C468" s="137" t="n"/>
      <c r="D468" s="21" t="n"/>
      <c r="H468" s="22" t="n"/>
      <c r="I468" s="137" t="n"/>
      <c r="J468" s="21" t="n"/>
      <c r="N468" s="22" t="n"/>
      <c r="O468" s="137" t="n"/>
      <c r="P468" s="21" t="n"/>
      <c r="T468" s="22" t="n"/>
      <c r="U468" s="137" t="n"/>
    </row>
    <row r="469" hidden="1" outlineLevel="2">
      <c r="A469" s="8" t="n"/>
      <c r="B469" s="14" t="n"/>
      <c r="C469" s="137" t="n"/>
      <c r="D469" s="21" t="n"/>
      <c r="H469" s="22" t="n"/>
      <c r="I469" s="137" t="n"/>
      <c r="J469" s="21" t="n"/>
      <c r="N469" s="22" t="n"/>
      <c r="O469" s="137" t="n"/>
      <c r="P469" s="21" t="n"/>
      <c r="T469" s="22" t="n"/>
      <c r="U469" s="137" t="n"/>
    </row>
    <row r="470" hidden="1" outlineLevel="2">
      <c r="A470" s="8" t="n"/>
      <c r="B470" s="14" t="n"/>
      <c r="C470" s="137" t="n"/>
      <c r="D470" s="21" t="n"/>
      <c r="H470" s="22" t="n"/>
      <c r="I470" s="137" t="n"/>
      <c r="J470" s="21" t="n"/>
      <c r="N470" s="22" t="n"/>
      <c r="O470" s="137" t="n"/>
      <c r="P470" s="21" t="n"/>
      <c r="T470" s="22" t="n"/>
      <c r="U470" s="137" t="n"/>
    </row>
    <row r="471" hidden="1" outlineLevel="2">
      <c r="A471" s="8" t="n"/>
      <c r="B471" s="14" t="n"/>
      <c r="C471" s="137" t="n"/>
      <c r="D471" s="21" t="n"/>
      <c r="H471" s="22" t="n"/>
      <c r="I471" s="137" t="n"/>
      <c r="J471" s="21" t="n"/>
      <c r="N471" s="22" t="n"/>
      <c r="O471" s="137" t="n"/>
      <c r="P471" s="21" t="n"/>
      <c r="T471" s="22" t="n"/>
      <c r="U471" s="137" t="n"/>
    </row>
    <row r="472" hidden="1" outlineLevel="2">
      <c r="A472" s="8" t="n"/>
      <c r="B472" s="14" t="n"/>
      <c r="C472" s="137" t="n"/>
      <c r="D472" s="21" t="n"/>
      <c r="H472" s="22" t="n"/>
      <c r="I472" s="137" t="n"/>
      <c r="J472" s="21" t="n"/>
      <c r="N472" s="22" t="n"/>
      <c r="O472" s="137" t="n"/>
      <c r="P472" s="21" t="n"/>
      <c r="T472" s="22" t="n"/>
      <c r="U472" s="137" t="n"/>
    </row>
    <row r="473" hidden="1" outlineLevel="2">
      <c r="A473" s="8" t="n"/>
      <c r="B473" s="14" t="n"/>
      <c r="C473" s="137" t="n"/>
      <c r="D473" s="21" t="n"/>
      <c r="H473" s="22" t="n"/>
      <c r="I473" s="137" t="n"/>
      <c r="J473" s="21" t="n"/>
      <c r="N473" s="22" t="n"/>
      <c r="O473" s="137" t="n"/>
      <c r="P473" s="21" t="n"/>
      <c r="T473" s="22" t="n"/>
      <c r="U473" s="137" t="n"/>
    </row>
    <row r="474" hidden="1" outlineLevel="2">
      <c r="A474" s="8" t="n"/>
      <c r="B474" s="14" t="n"/>
      <c r="C474" s="137" t="n"/>
      <c r="D474" s="21" t="n"/>
      <c r="H474" s="22" t="n"/>
      <c r="I474" s="137" t="n"/>
      <c r="J474" s="21" t="n"/>
      <c r="N474" s="22" t="n"/>
      <c r="O474" s="137" t="n"/>
      <c r="P474" s="21" t="n"/>
      <c r="T474" s="22" t="n"/>
      <c r="U474" s="137" t="n"/>
    </row>
    <row r="475" hidden="1" outlineLevel="2">
      <c r="A475" s="8" t="n"/>
      <c r="B475" s="14" t="n"/>
      <c r="C475" s="137" t="n"/>
      <c r="D475" s="21" t="n"/>
      <c r="H475" s="22" t="n"/>
      <c r="I475" s="137" t="n"/>
      <c r="J475" s="21" t="n"/>
      <c r="N475" s="22" t="n"/>
      <c r="O475" s="137" t="n"/>
      <c r="P475" s="21" t="n"/>
      <c r="T475" s="22" t="n"/>
      <c r="U475" s="137" t="n"/>
    </row>
    <row r="476" hidden="1" outlineLevel="2">
      <c r="A476" s="8" t="n"/>
      <c r="B476" s="14" t="n"/>
      <c r="C476" s="137" t="n"/>
      <c r="D476" s="21" t="n"/>
      <c r="H476" s="22" t="n"/>
      <c r="I476" s="137" t="n"/>
      <c r="J476" s="21" t="n"/>
      <c r="N476" s="22" t="n"/>
      <c r="O476" s="137" t="n"/>
      <c r="P476" s="21" t="n"/>
      <c r="T476" s="22" t="n"/>
      <c r="U476" s="137" t="n"/>
    </row>
    <row r="477" hidden="1" outlineLevel="2">
      <c r="A477" s="8" t="n"/>
      <c r="B477" s="14" t="n"/>
      <c r="C477" s="137" t="n"/>
      <c r="D477" s="21" t="n"/>
      <c r="H477" s="22" t="n"/>
      <c r="I477" s="137" t="n"/>
      <c r="J477" s="21" t="n"/>
      <c r="N477" s="22" t="n"/>
      <c r="O477" s="137" t="n"/>
      <c r="P477" s="21" t="n"/>
      <c r="T477" s="22" t="n"/>
      <c r="U477" s="137" t="n"/>
    </row>
    <row r="478" hidden="1" outlineLevel="2">
      <c r="A478" s="8" t="n"/>
      <c r="B478" s="14" t="n"/>
      <c r="C478" s="137" t="n"/>
      <c r="D478" s="23" t="n"/>
      <c r="E478" s="24" t="n"/>
      <c r="F478" s="24" t="n"/>
      <c r="G478" s="24" t="n"/>
      <c r="H478" s="25" t="n"/>
      <c r="I478" s="137" t="n"/>
      <c r="J478" s="23" t="n"/>
      <c r="K478" s="24" t="n"/>
      <c r="L478" s="24" t="n"/>
      <c r="M478" s="24" t="n"/>
      <c r="N478" s="25" t="n"/>
      <c r="O478" s="137" t="n"/>
      <c r="P478" s="23" t="n"/>
      <c r="Q478" s="24" t="n"/>
      <c r="R478" s="24" t="n"/>
      <c r="S478" s="24" t="n"/>
      <c r="T478" s="25" t="n"/>
      <c r="U478" s="137" t="n"/>
    </row>
    <row r="479" hidden="1" outlineLevel="2">
      <c r="A479" s="8" t="n"/>
      <c r="B479" s="14" t="n"/>
      <c r="C479" s="137" t="n"/>
      <c r="D479" s="56">
        <f>DADOS_AM!$KV$77</f>
        <v/>
      </c>
      <c r="E479" s="150">
        <f>DADOS_AM!$IC$5</f>
        <v/>
      </c>
      <c r="F479" s="16" t="n"/>
      <c r="G479" s="16" t="n"/>
      <c r="H479" s="17" t="n"/>
      <c r="I479" s="137" t="n"/>
      <c r="J479" s="56">
        <f>DADOS_AM!$KV$78</f>
        <v/>
      </c>
      <c r="K479" s="150">
        <f>DADOS_AM!$IC$6</f>
        <v/>
      </c>
      <c r="L479" s="16" t="n"/>
      <c r="M479" s="16" t="n"/>
      <c r="N479" s="17" t="n"/>
      <c r="O479" s="137" t="n"/>
      <c r="P479" s="56">
        <f>DADOS_AM!$KV$79</f>
        <v/>
      </c>
      <c r="Q479" s="150">
        <f>DADOS_AM!$IC$7</f>
        <v/>
      </c>
      <c r="R479" s="16" t="n"/>
      <c r="S479" s="16" t="n"/>
      <c r="T479" s="17" t="n"/>
      <c r="U479" s="137" t="n"/>
    </row>
    <row r="480" hidden="1" outlineLevel="2">
      <c r="A480" s="8" t="n"/>
      <c r="B480" s="14" t="n"/>
      <c r="C480" s="137" t="n"/>
      <c r="D480" s="56" t="inlineStr">
        <is>
          <t>SEU TEXTO</t>
        </is>
      </c>
      <c r="E480" s="61" t="n"/>
      <c r="F480" s="19" t="n"/>
      <c r="G480" s="19" t="n"/>
      <c r="H480" s="20" t="n"/>
      <c r="I480" s="137" t="n"/>
      <c r="J480" s="56" t="inlineStr">
        <is>
          <t>SEU TEXTO</t>
        </is>
      </c>
      <c r="K480" s="61" t="n"/>
      <c r="L480" s="19" t="n"/>
      <c r="M480" s="19" t="n"/>
      <c r="N480" s="20" t="n"/>
      <c r="O480" s="137" t="n"/>
      <c r="P480" s="56" t="inlineStr">
        <is>
          <t>SEU TEXTO</t>
        </is>
      </c>
      <c r="Q480" s="61" t="n"/>
      <c r="R480" s="19" t="n"/>
      <c r="S480" s="19" t="n"/>
      <c r="T480" s="20" t="n"/>
      <c r="U480" s="137" t="n"/>
    </row>
    <row r="481" hidden="1" outlineLevel="2">
      <c r="A481" s="8" t="n"/>
      <c r="B481" s="14" t="n"/>
      <c r="C481" s="137" t="n"/>
      <c r="D481" s="128" t="n"/>
      <c r="E481" s="23" t="n"/>
      <c r="F481" s="24" t="n"/>
      <c r="G481" s="24" t="n"/>
      <c r="H481" s="25" t="n"/>
      <c r="I481" s="137" t="n"/>
      <c r="J481" s="128" t="n"/>
      <c r="K481" s="23" t="n"/>
      <c r="L481" s="24" t="n"/>
      <c r="M481" s="24" t="n"/>
      <c r="N481" s="25" t="n"/>
      <c r="O481" s="137" t="n"/>
      <c r="P481" s="128" t="n"/>
      <c r="Q481" s="23" t="n"/>
      <c r="R481" s="24" t="n"/>
      <c r="S481" s="24" t="n"/>
      <c r="T481" s="25" t="n"/>
      <c r="U481" s="137" t="n"/>
    </row>
    <row r="482" outlineLevel="1">
      <c r="A482" s="8" t="n"/>
      <c r="B482" s="14" t="n"/>
      <c r="C482" s="137" t="n"/>
      <c r="D482" s="137" t="n"/>
      <c r="E482" s="137" t="n"/>
      <c r="F482" s="137" t="n"/>
      <c r="G482" s="137" t="n"/>
      <c r="H482" s="137" t="n"/>
      <c r="I482" s="137" t="n"/>
      <c r="J482" s="137" t="n"/>
      <c r="K482" s="137" t="n"/>
      <c r="L482" s="137" t="n"/>
      <c r="M482" s="137" t="n"/>
      <c r="N482" s="137" t="n"/>
      <c r="O482" s="137" t="n"/>
      <c r="P482" s="137" t="n"/>
      <c r="Q482" s="137" t="n"/>
      <c r="R482" s="137" t="n"/>
      <c r="S482" s="137" t="n"/>
      <c r="T482" s="137" t="n"/>
      <c r="U482" s="137" t="n"/>
    </row>
    <row r="483" outlineLevel="1">
      <c r="A483" s="8" t="n"/>
      <c r="B483" s="14" t="n"/>
      <c r="C483" s="137" t="n"/>
      <c r="D483" s="146">
        <f>DADOS_AM!$KV$86</f>
        <v/>
      </c>
      <c r="E483" s="16" t="n"/>
      <c r="F483" s="16" t="n"/>
      <c r="G483" s="16" t="n"/>
      <c r="H483" s="16" t="n"/>
      <c r="I483" s="16" t="n"/>
      <c r="J483" s="16" t="n"/>
      <c r="K483" s="16" t="n"/>
      <c r="L483" s="16" t="n"/>
      <c r="M483" s="16" t="n"/>
      <c r="N483" s="16" t="n"/>
      <c r="O483" s="16" t="n"/>
      <c r="P483" s="16" t="n"/>
      <c r="Q483" s="16" t="n"/>
      <c r="R483" s="16" t="n"/>
      <c r="S483" s="16" t="n"/>
      <c r="T483" s="17" t="n"/>
      <c r="U483" s="137" t="n"/>
    </row>
    <row r="484" hidden="1" outlineLevel="2">
      <c r="A484" s="8" t="n"/>
      <c r="B484" s="14" t="n"/>
      <c r="C484" s="137" t="n"/>
      <c r="D484" s="137" t="n"/>
      <c r="E484" s="137" t="n"/>
      <c r="F484" s="137" t="n"/>
      <c r="G484" s="137" t="n"/>
      <c r="H484" s="137" t="n"/>
      <c r="I484" s="137" t="n"/>
      <c r="J484" s="137" t="n"/>
      <c r="K484" s="137" t="n"/>
      <c r="L484" s="137" t="n"/>
      <c r="M484" s="137" t="n"/>
      <c r="N484" s="137" t="n"/>
      <c r="O484" s="137" t="n"/>
      <c r="P484" s="137" t="n"/>
      <c r="Q484" s="137" t="n"/>
      <c r="R484" s="137" t="n"/>
      <c r="S484" s="137" t="n"/>
      <c r="T484" s="137" t="n"/>
      <c r="U484" s="137" t="n"/>
    </row>
    <row r="485" hidden="1" outlineLevel="2">
      <c r="A485" s="8" t="n"/>
      <c r="B485" s="14" t="n"/>
      <c r="C485" s="137" t="n"/>
      <c r="D485" s="147" t="n"/>
      <c r="E485" s="16" t="n"/>
      <c r="F485" s="17" t="n"/>
      <c r="G485" s="143">
        <f>DADOS_AM!$IB$8</f>
        <v/>
      </c>
      <c r="H485" s="17" t="n"/>
      <c r="I485" s="137" t="n"/>
      <c r="J485" s="147" t="n"/>
      <c r="K485" s="16" t="n"/>
      <c r="L485" s="17" t="n"/>
      <c r="M485" s="143">
        <f>DADOS_AM!$IB$9</f>
        <v/>
      </c>
      <c r="N485" s="17" t="n"/>
      <c r="O485" s="137" t="n"/>
      <c r="P485" s="147" t="n"/>
      <c r="Q485" s="16" t="n"/>
      <c r="R485" s="17" t="n"/>
      <c r="S485" s="143">
        <f>DADOS_AM!$IB$10</f>
        <v/>
      </c>
      <c r="T485" s="17" t="n"/>
      <c r="U485" s="137" t="n"/>
    </row>
    <row r="486" hidden="1" outlineLevel="2">
      <c r="A486" s="8" t="n"/>
      <c r="B486" s="14" t="n"/>
      <c r="C486" s="137" t="n"/>
      <c r="D486" s="148">
        <f>DADOS_AM!$IA$8</f>
        <v/>
      </c>
      <c r="E486" s="19" t="n"/>
      <c r="F486" s="19" t="n"/>
      <c r="G486" s="19" t="n"/>
      <c r="H486" s="20" t="n"/>
      <c r="I486" s="137" t="n"/>
      <c r="J486" s="148">
        <f>DADOS_AM!$IA$9</f>
        <v/>
      </c>
      <c r="K486" s="19" t="n"/>
      <c r="L486" s="19" t="n"/>
      <c r="M486" s="19" t="n"/>
      <c r="N486" s="20" t="n"/>
      <c r="O486" s="137" t="n"/>
      <c r="P486" s="148">
        <f>DADOS_AM!$IA$10</f>
        <v/>
      </c>
      <c r="Q486" s="19" t="n"/>
      <c r="R486" s="19" t="n"/>
      <c r="S486" s="19" t="n"/>
      <c r="T486" s="20" t="n"/>
      <c r="U486" s="137" t="n"/>
    </row>
    <row r="487" hidden="1" outlineLevel="2">
      <c r="A487" s="8" t="n"/>
      <c r="B487" s="14" t="n"/>
      <c r="C487" s="137" t="n"/>
      <c r="D487" s="23" t="n"/>
      <c r="E487" s="24" t="n"/>
      <c r="F487" s="24" t="n"/>
      <c r="G487" s="24" t="n"/>
      <c r="H487" s="25" t="n"/>
      <c r="I487" s="137" t="n"/>
      <c r="J487" s="23" t="n"/>
      <c r="K487" s="24" t="n"/>
      <c r="L487" s="24" t="n"/>
      <c r="M487" s="24" t="n"/>
      <c r="N487" s="25" t="n"/>
      <c r="O487" s="137" t="n"/>
      <c r="P487" s="23" t="n"/>
      <c r="Q487" s="24" t="n"/>
      <c r="R487" s="24" t="n"/>
      <c r="S487" s="24" t="n"/>
      <c r="T487" s="25" t="n"/>
      <c r="U487" s="137" t="n"/>
    </row>
    <row r="488" hidden="1" outlineLevel="3">
      <c r="A488" s="8" t="n"/>
      <c r="B488" s="14" t="n"/>
      <c r="C488" s="137" t="n"/>
      <c r="D488" s="56" t="inlineStr">
        <is>
          <t>O QUE FAZ</t>
        </is>
      </c>
      <c r="E488" s="16" t="n"/>
      <c r="F488" s="16" t="n"/>
      <c r="G488" s="16" t="n"/>
      <c r="H488" s="17" t="n"/>
      <c r="I488" s="137" t="n"/>
      <c r="J488" s="56" t="inlineStr">
        <is>
          <t>O QUE FAZ</t>
        </is>
      </c>
      <c r="K488" s="16" t="n"/>
      <c r="L488" s="16" t="n"/>
      <c r="M488" s="16" t="n"/>
      <c r="N488" s="17" t="n"/>
      <c r="O488" s="137" t="n"/>
      <c r="P488" s="56" t="inlineStr">
        <is>
          <t>O QUE FAZ</t>
        </is>
      </c>
      <c r="Q488" s="16" t="n"/>
      <c r="R488" s="16" t="n"/>
      <c r="S488" s="16" t="n"/>
      <c r="T488" s="17" t="n"/>
      <c r="U488" s="137" t="n"/>
    </row>
    <row r="489" hidden="1" outlineLevel="3">
      <c r="A489" s="8" t="n"/>
      <c r="B489" s="14" t="n"/>
      <c r="C489" s="137" t="n"/>
      <c r="D489" s="149">
        <f>DADOS_AM!$ID$8</f>
        <v/>
      </c>
      <c r="E489" s="19" t="n"/>
      <c r="F489" s="19" t="n"/>
      <c r="G489" s="19" t="n"/>
      <c r="H489" s="20" t="n"/>
      <c r="I489" s="137" t="n"/>
      <c r="J489" s="149">
        <f>DADOS_AM!$ID$9</f>
        <v/>
      </c>
      <c r="K489" s="19" t="n"/>
      <c r="L489" s="19" t="n"/>
      <c r="M489" s="19" t="n"/>
      <c r="N489" s="20" t="n"/>
      <c r="O489" s="137" t="n"/>
      <c r="P489" s="149">
        <f>DADOS_AM!$ID$10</f>
        <v/>
      </c>
      <c r="Q489" s="19" t="n"/>
      <c r="R489" s="19" t="n"/>
      <c r="S489" s="19" t="n"/>
      <c r="T489" s="20" t="n"/>
      <c r="U489" s="137" t="n"/>
    </row>
    <row r="490" hidden="1" outlineLevel="3">
      <c r="A490" s="8" t="n"/>
      <c r="B490" s="14" t="n"/>
      <c r="C490" s="137" t="n"/>
      <c r="D490" s="21" t="n"/>
      <c r="H490" s="22" t="n"/>
      <c r="I490" s="137" t="n"/>
      <c r="J490" s="21" t="n"/>
      <c r="N490" s="22" t="n"/>
      <c r="O490" s="137" t="n"/>
      <c r="P490" s="21" t="n"/>
      <c r="T490" s="22" t="n"/>
      <c r="U490" s="137" t="n"/>
    </row>
    <row r="491" hidden="1" outlineLevel="3">
      <c r="A491" s="8" t="n"/>
      <c r="B491" s="14" t="n"/>
      <c r="C491" s="137" t="n"/>
      <c r="D491" s="21" t="n"/>
      <c r="H491" s="22" t="n"/>
      <c r="I491" s="137" t="n"/>
      <c r="J491" s="21" t="n"/>
      <c r="N491" s="22" t="n"/>
      <c r="O491" s="137" t="n"/>
      <c r="P491" s="21" t="n"/>
      <c r="T491" s="22" t="n"/>
      <c r="U491" s="137" t="n"/>
    </row>
    <row r="492" hidden="1" outlineLevel="3">
      <c r="A492" s="8" t="n"/>
      <c r="B492" s="14" t="n"/>
      <c r="C492" s="137" t="n"/>
      <c r="D492" s="21" t="n"/>
      <c r="H492" s="22" t="n"/>
      <c r="I492" s="137" t="n"/>
      <c r="J492" s="21" t="n"/>
      <c r="N492" s="22" t="n"/>
      <c r="O492" s="137" t="n"/>
      <c r="P492" s="21" t="n"/>
      <c r="T492" s="22" t="n"/>
      <c r="U492" s="137" t="n"/>
    </row>
    <row r="493" hidden="1" outlineLevel="3">
      <c r="A493" s="8" t="n"/>
      <c r="B493" s="14" t="n"/>
      <c r="C493" s="137" t="n"/>
      <c r="D493" s="21" t="n"/>
      <c r="H493" s="22" t="n"/>
      <c r="I493" s="137" t="n"/>
      <c r="J493" s="21" t="n"/>
      <c r="N493" s="22" t="n"/>
      <c r="O493" s="137" t="n"/>
      <c r="P493" s="21" t="n"/>
      <c r="T493" s="22" t="n"/>
      <c r="U493" s="137" t="n"/>
    </row>
    <row r="494" hidden="1" outlineLevel="3">
      <c r="A494" s="8" t="n"/>
      <c r="B494" s="14" t="n"/>
      <c r="C494" s="137" t="n"/>
      <c r="D494" s="21" t="n"/>
      <c r="H494" s="22" t="n"/>
      <c r="I494" s="137" t="n"/>
      <c r="J494" s="21" t="n"/>
      <c r="N494" s="22" t="n"/>
      <c r="O494" s="137" t="n"/>
      <c r="P494" s="21" t="n"/>
      <c r="T494" s="22" t="n"/>
      <c r="U494" s="137" t="n"/>
    </row>
    <row r="495" hidden="1" outlineLevel="3">
      <c r="A495" s="8" t="n"/>
      <c r="B495" s="14" t="n"/>
      <c r="C495" s="137" t="n"/>
      <c r="D495" s="21" t="n"/>
      <c r="H495" s="22" t="n"/>
      <c r="I495" s="137" t="n"/>
      <c r="J495" s="21" t="n"/>
      <c r="N495" s="22" t="n"/>
      <c r="O495" s="137" t="n"/>
      <c r="P495" s="21" t="n"/>
      <c r="T495" s="22" t="n"/>
      <c r="U495" s="137" t="n"/>
    </row>
    <row r="496" hidden="1" outlineLevel="3">
      <c r="A496" s="8" t="n"/>
      <c r="B496" s="14" t="n"/>
      <c r="C496" s="137" t="n"/>
      <c r="D496" s="21" t="n"/>
      <c r="H496" s="22" t="n"/>
      <c r="I496" s="137" t="n"/>
      <c r="J496" s="21" t="n"/>
      <c r="N496" s="22" t="n"/>
      <c r="O496" s="137" t="n"/>
      <c r="P496" s="21" t="n"/>
      <c r="T496" s="22" t="n"/>
      <c r="U496" s="137" t="n"/>
    </row>
    <row r="497" hidden="1" outlineLevel="3">
      <c r="A497" s="8" t="n"/>
      <c r="B497" s="14" t="n"/>
      <c r="C497" s="137" t="n"/>
      <c r="D497" s="21" t="n"/>
      <c r="H497" s="22" t="n"/>
      <c r="I497" s="137" t="n"/>
      <c r="J497" s="21" t="n"/>
      <c r="N497" s="22" t="n"/>
      <c r="O497" s="137" t="n"/>
      <c r="P497" s="21" t="n"/>
      <c r="T497" s="22" t="n"/>
      <c r="U497" s="137" t="n"/>
    </row>
    <row r="498" hidden="1" outlineLevel="3">
      <c r="A498" s="8" t="n"/>
      <c r="B498" s="14" t="n"/>
      <c r="C498" s="137" t="n"/>
      <c r="D498" s="21" t="n"/>
      <c r="H498" s="22" t="n"/>
      <c r="I498" s="137" t="n"/>
      <c r="J498" s="21" t="n"/>
      <c r="N498" s="22" t="n"/>
      <c r="O498" s="137" t="n"/>
      <c r="P498" s="21" t="n"/>
      <c r="T498" s="22" t="n"/>
      <c r="U498" s="137" t="n"/>
    </row>
    <row r="499" hidden="1" outlineLevel="3">
      <c r="A499" s="8" t="n"/>
      <c r="B499" s="14" t="n"/>
      <c r="C499" s="137" t="n"/>
      <c r="D499" s="21" t="n"/>
      <c r="H499" s="22" t="n"/>
      <c r="I499" s="137" t="n"/>
      <c r="J499" s="21" t="n"/>
      <c r="N499" s="22" t="n"/>
      <c r="O499" s="137" t="n"/>
      <c r="P499" s="21" t="n"/>
      <c r="T499" s="22" t="n"/>
      <c r="U499" s="137" t="n"/>
    </row>
    <row r="500" hidden="1" outlineLevel="3">
      <c r="A500" s="8" t="n"/>
      <c r="B500" s="14" t="n"/>
      <c r="C500" s="137" t="n"/>
      <c r="D500" s="23" t="n"/>
      <c r="E500" s="24" t="n"/>
      <c r="F500" s="24" t="n"/>
      <c r="G500" s="24" t="n"/>
      <c r="H500" s="25" t="n"/>
      <c r="I500" s="137" t="n"/>
      <c r="J500" s="23" t="n"/>
      <c r="K500" s="24" t="n"/>
      <c r="L500" s="24" t="n"/>
      <c r="M500" s="24" t="n"/>
      <c r="N500" s="25" t="n"/>
      <c r="O500" s="137" t="n"/>
      <c r="P500" s="23" t="n"/>
      <c r="Q500" s="24" t="n"/>
      <c r="R500" s="24" t="n"/>
      <c r="S500" s="24" t="n"/>
      <c r="T500" s="25" t="n"/>
      <c r="U500" s="137" t="n"/>
    </row>
    <row r="501" hidden="1" outlineLevel="3">
      <c r="A501" s="8" t="n"/>
      <c r="B501" s="14" t="n"/>
      <c r="C501" s="137" t="n"/>
      <c r="D501" s="56">
        <f>DADOS_AM!$KV$80</f>
        <v/>
      </c>
      <c r="E501" s="150">
        <f>DADOS_AM!$IC$8</f>
        <v/>
      </c>
      <c r="F501" s="16" t="n"/>
      <c r="G501" s="16" t="n"/>
      <c r="H501" s="17" t="n"/>
      <c r="I501" s="137" t="n"/>
      <c r="J501" s="56">
        <f>DADOS_AM!$KV$81</f>
        <v/>
      </c>
      <c r="K501" s="150">
        <f>DADOS_AM!$IC$9</f>
        <v/>
      </c>
      <c r="L501" s="16" t="n"/>
      <c r="M501" s="16" t="n"/>
      <c r="N501" s="17" t="n"/>
      <c r="O501" s="137" t="n"/>
      <c r="P501" s="56">
        <f>DADOS_AM!$KV$82</f>
        <v/>
      </c>
      <c r="Q501" s="150">
        <f>DADOS_AM!$IC$10</f>
        <v/>
      </c>
      <c r="R501" s="16" t="n"/>
      <c r="S501" s="16" t="n"/>
      <c r="T501" s="17" t="n"/>
      <c r="U501" s="137" t="n"/>
    </row>
    <row r="502" hidden="1" outlineLevel="3">
      <c r="A502" s="8" t="n"/>
      <c r="B502" s="14" t="n"/>
      <c r="C502" s="137" t="n"/>
      <c r="D502" s="56" t="inlineStr">
        <is>
          <t>SEU TEXTO</t>
        </is>
      </c>
      <c r="E502" s="61" t="n"/>
      <c r="F502" s="19" t="n"/>
      <c r="G502" s="19" t="n"/>
      <c r="H502" s="20" t="n"/>
      <c r="I502" s="137" t="n"/>
      <c r="J502" s="56" t="inlineStr">
        <is>
          <t>SEU TEXTO</t>
        </is>
      </c>
      <c r="K502" s="61" t="n"/>
      <c r="L502" s="19" t="n"/>
      <c r="M502" s="19" t="n"/>
      <c r="N502" s="20" t="n"/>
      <c r="O502" s="137" t="n"/>
      <c r="P502" s="56" t="inlineStr">
        <is>
          <t>SEU TEXTO</t>
        </is>
      </c>
      <c r="Q502" s="61" t="n"/>
      <c r="R502" s="19" t="n"/>
      <c r="S502" s="19" t="n"/>
      <c r="T502" s="20" t="n"/>
      <c r="U502" s="137" t="n"/>
    </row>
    <row r="503" hidden="1" outlineLevel="3">
      <c r="A503" s="8" t="n"/>
      <c r="B503" s="14" t="n"/>
      <c r="C503" s="137" t="n"/>
      <c r="D503" s="128" t="n"/>
      <c r="E503" s="23" t="n"/>
      <c r="F503" s="24" t="n"/>
      <c r="G503" s="24" t="n"/>
      <c r="H503" s="25" t="n"/>
      <c r="I503" s="137" t="n"/>
      <c r="J503" s="128" t="n"/>
      <c r="K503" s="23" t="n"/>
      <c r="L503" s="24" t="n"/>
      <c r="M503" s="24" t="n"/>
      <c r="N503" s="25" t="n"/>
      <c r="O503" s="137" t="n"/>
      <c r="P503" s="128" t="n"/>
      <c r="Q503" s="23" t="n"/>
      <c r="R503" s="24" t="n"/>
      <c r="S503" s="24" t="n"/>
      <c r="T503" s="25" t="n"/>
      <c r="U503" s="137" t="n"/>
    </row>
    <row r="504" hidden="1" outlineLevel="2">
      <c r="A504" s="8" t="n"/>
      <c r="B504" s="14" t="n"/>
      <c r="C504" s="137" t="n"/>
      <c r="D504" s="137" t="n"/>
      <c r="E504" s="137" t="n"/>
      <c r="F504" s="137" t="n"/>
      <c r="G504" s="137" t="n"/>
      <c r="H504" s="137" t="n"/>
      <c r="I504" s="137" t="n"/>
      <c r="J504" s="137" t="n"/>
      <c r="K504" s="137" t="n"/>
      <c r="L504" s="137" t="n"/>
      <c r="M504" s="137" t="n"/>
      <c r="N504" s="137" t="n"/>
      <c r="O504" s="137" t="n"/>
      <c r="P504" s="137" t="n"/>
      <c r="Q504" s="137" t="n"/>
      <c r="R504" s="137" t="n"/>
      <c r="S504" s="137" t="n"/>
      <c r="T504" s="137" t="n"/>
      <c r="U504" s="137" t="n"/>
    </row>
    <row r="505" hidden="1" outlineLevel="2">
      <c r="A505" s="8" t="n"/>
      <c r="B505" s="14" t="n"/>
      <c r="C505" s="137" t="n"/>
      <c r="D505" s="147" t="n"/>
      <c r="E505" s="16" t="n"/>
      <c r="F505" s="17" t="n"/>
      <c r="G505" s="143">
        <f>DADOS_AM!$IB$11</f>
        <v/>
      </c>
      <c r="H505" s="17" t="n"/>
      <c r="I505" s="137" t="n"/>
      <c r="J505" s="147" t="n"/>
      <c r="K505" s="16" t="n"/>
      <c r="L505" s="17" t="n"/>
      <c r="M505" s="143">
        <f>DADOS_AM!$IB$12</f>
        <v/>
      </c>
      <c r="N505" s="17" t="n"/>
      <c r="O505" s="137" t="n"/>
      <c r="P505" s="147" t="n"/>
      <c r="Q505" s="16" t="n"/>
      <c r="R505" s="17" t="n"/>
      <c r="S505" s="143">
        <f>DADOS_AM!$IB$13</f>
        <v/>
      </c>
      <c r="T505" s="17" t="n"/>
      <c r="U505" s="137" t="n"/>
    </row>
    <row r="506" hidden="1" outlineLevel="2">
      <c r="A506" s="8" t="n"/>
      <c r="B506" s="14" t="n"/>
      <c r="C506" s="137" t="n"/>
      <c r="D506" s="148">
        <f>DADOS_AM!$IA$11</f>
        <v/>
      </c>
      <c r="E506" s="19" t="n"/>
      <c r="F506" s="19" t="n"/>
      <c r="G506" s="19" t="n"/>
      <c r="H506" s="20" t="n"/>
      <c r="I506" s="137" t="n"/>
      <c r="J506" s="148">
        <f>DADOS_AM!$IA$12</f>
        <v/>
      </c>
      <c r="K506" s="19" t="n"/>
      <c r="L506" s="19" t="n"/>
      <c r="M506" s="19" t="n"/>
      <c r="N506" s="20" t="n"/>
      <c r="O506" s="137" t="n"/>
      <c r="P506" s="148">
        <f>DADOS_AM!$IA$13</f>
        <v/>
      </c>
      <c r="Q506" s="19" t="n"/>
      <c r="R506" s="19" t="n"/>
      <c r="S506" s="19" t="n"/>
      <c r="T506" s="20" t="n"/>
      <c r="U506" s="137" t="n"/>
    </row>
    <row r="507" hidden="1" outlineLevel="2">
      <c r="A507" s="8" t="n"/>
      <c r="B507" s="14" t="n"/>
      <c r="C507" s="137" t="n"/>
      <c r="D507" s="23" t="n"/>
      <c r="E507" s="24" t="n"/>
      <c r="F507" s="24" t="n"/>
      <c r="G507" s="24" t="n"/>
      <c r="H507" s="25" t="n"/>
      <c r="I507" s="137" t="n"/>
      <c r="J507" s="23" t="n"/>
      <c r="K507" s="24" t="n"/>
      <c r="L507" s="24" t="n"/>
      <c r="M507" s="24" t="n"/>
      <c r="N507" s="25" t="n"/>
      <c r="O507" s="137" t="n"/>
      <c r="P507" s="23" t="n"/>
      <c r="Q507" s="24" t="n"/>
      <c r="R507" s="24" t="n"/>
      <c r="S507" s="24" t="n"/>
      <c r="T507" s="25" t="n"/>
      <c r="U507" s="137" t="n"/>
    </row>
    <row r="508" hidden="1" outlineLevel="3">
      <c r="A508" s="8" t="n"/>
      <c r="B508" s="14" t="n"/>
      <c r="C508" s="137" t="n"/>
      <c r="D508" s="56" t="inlineStr">
        <is>
          <t>O QUE FAZ</t>
        </is>
      </c>
      <c r="E508" s="16" t="n"/>
      <c r="F508" s="16" t="n"/>
      <c r="G508" s="16" t="n"/>
      <c r="H508" s="17" t="n"/>
      <c r="I508" s="137" t="n"/>
      <c r="J508" s="56" t="inlineStr">
        <is>
          <t>O QUE FAZ</t>
        </is>
      </c>
      <c r="K508" s="16" t="n"/>
      <c r="L508" s="16" t="n"/>
      <c r="M508" s="16" t="n"/>
      <c r="N508" s="17" t="n"/>
      <c r="O508" s="137" t="n"/>
      <c r="P508" s="56" t="inlineStr">
        <is>
          <t>O QUE FAZ</t>
        </is>
      </c>
      <c r="Q508" s="16" t="n"/>
      <c r="R508" s="16" t="n"/>
      <c r="S508" s="16" t="n"/>
      <c r="T508" s="17" t="n"/>
      <c r="U508" s="137" t="n"/>
    </row>
    <row r="509" hidden="1" outlineLevel="3">
      <c r="A509" s="8" t="n"/>
      <c r="B509" s="14" t="n"/>
      <c r="C509" s="137" t="n"/>
      <c r="D509" s="149">
        <f>DADOS_AM!$ID$11</f>
        <v/>
      </c>
      <c r="E509" s="19" t="n"/>
      <c r="F509" s="19" t="n"/>
      <c r="G509" s="19" t="n"/>
      <c r="H509" s="20" t="n"/>
      <c r="I509" s="137" t="n"/>
      <c r="J509" s="149">
        <f>DADOS_AM!$ID$12</f>
        <v/>
      </c>
      <c r="K509" s="19" t="n"/>
      <c r="L509" s="19" t="n"/>
      <c r="M509" s="19" t="n"/>
      <c r="N509" s="20" t="n"/>
      <c r="O509" s="137" t="n"/>
      <c r="P509" s="149">
        <f>DADOS_AM!$ID$13</f>
        <v/>
      </c>
      <c r="Q509" s="19" t="n"/>
      <c r="R509" s="19" t="n"/>
      <c r="S509" s="19" t="n"/>
      <c r="T509" s="20" t="n"/>
      <c r="U509" s="137" t="n"/>
    </row>
    <row r="510" hidden="1" outlineLevel="3">
      <c r="A510" s="8" t="n"/>
      <c r="B510" s="14" t="n"/>
      <c r="C510" s="137" t="n"/>
      <c r="D510" s="21" t="n"/>
      <c r="H510" s="22" t="n"/>
      <c r="I510" s="137" t="n"/>
      <c r="J510" s="21" t="n"/>
      <c r="N510" s="22" t="n"/>
      <c r="O510" s="137" t="n"/>
      <c r="P510" s="21" t="n"/>
      <c r="T510" s="22" t="n"/>
      <c r="U510" s="137" t="n"/>
    </row>
    <row r="511" hidden="1" outlineLevel="3">
      <c r="A511" s="8" t="n"/>
      <c r="B511" s="14" t="n"/>
      <c r="C511" s="137" t="n"/>
      <c r="D511" s="21" t="n"/>
      <c r="H511" s="22" t="n"/>
      <c r="I511" s="137" t="n"/>
      <c r="J511" s="21" t="n"/>
      <c r="N511" s="22" t="n"/>
      <c r="O511" s="137" t="n"/>
      <c r="P511" s="21" t="n"/>
      <c r="T511" s="22" t="n"/>
      <c r="U511" s="137" t="n"/>
    </row>
    <row r="512" hidden="1" outlineLevel="3">
      <c r="A512" s="8" t="n"/>
      <c r="B512" s="14" t="n"/>
      <c r="C512" s="137" t="n"/>
      <c r="D512" s="21" t="n"/>
      <c r="H512" s="22" t="n"/>
      <c r="I512" s="137" t="n"/>
      <c r="J512" s="21" t="n"/>
      <c r="N512" s="22" t="n"/>
      <c r="O512" s="137" t="n"/>
      <c r="P512" s="21" t="n"/>
      <c r="T512" s="22" t="n"/>
      <c r="U512" s="137" t="n"/>
    </row>
    <row r="513" hidden="1" outlineLevel="3">
      <c r="A513" s="8" t="n"/>
      <c r="B513" s="14" t="n"/>
      <c r="C513" s="137" t="n"/>
      <c r="D513" s="21" t="n"/>
      <c r="H513" s="22" t="n"/>
      <c r="I513" s="137" t="n"/>
      <c r="J513" s="21" t="n"/>
      <c r="N513" s="22" t="n"/>
      <c r="O513" s="137" t="n"/>
      <c r="P513" s="21" t="n"/>
      <c r="T513" s="22" t="n"/>
      <c r="U513" s="137" t="n"/>
    </row>
    <row r="514" hidden="1" outlineLevel="3">
      <c r="A514" s="8" t="n"/>
      <c r="B514" s="14" t="n"/>
      <c r="C514" s="137" t="n"/>
      <c r="D514" s="21" t="n"/>
      <c r="H514" s="22" t="n"/>
      <c r="I514" s="137" t="n"/>
      <c r="J514" s="21" t="n"/>
      <c r="N514" s="22" t="n"/>
      <c r="O514" s="137" t="n"/>
      <c r="P514" s="21" t="n"/>
      <c r="T514" s="22" t="n"/>
      <c r="U514" s="137" t="n"/>
    </row>
    <row r="515" hidden="1" outlineLevel="3">
      <c r="A515" s="8" t="n"/>
      <c r="B515" s="14" t="n"/>
      <c r="C515" s="137" t="n"/>
      <c r="D515" s="21" t="n"/>
      <c r="H515" s="22" t="n"/>
      <c r="I515" s="137" t="n"/>
      <c r="J515" s="21" t="n"/>
      <c r="N515" s="22" t="n"/>
      <c r="O515" s="137" t="n"/>
      <c r="P515" s="21" t="n"/>
      <c r="T515" s="22" t="n"/>
      <c r="U515" s="137" t="n"/>
    </row>
    <row r="516" hidden="1" outlineLevel="3">
      <c r="A516" s="8" t="n"/>
      <c r="B516" s="14" t="n"/>
      <c r="C516" s="137" t="n"/>
      <c r="D516" s="21" t="n"/>
      <c r="H516" s="22" t="n"/>
      <c r="I516" s="137" t="n"/>
      <c r="J516" s="21" t="n"/>
      <c r="N516" s="22" t="n"/>
      <c r="O516" s="137" t="n"/>
      <c r="P516" s="21" t="n"/>
      <c r="T516" s="22" t="n"/>
      <c r="U516" s="137" t="n"/>
    </row>
    <row r="517" hidden="1" outlineLevel="3">
      <c r="A517" s="8" t="n"/>
      <c r="B517" s="14" t="n"/>
      <c r="C517" s="137" t="n"/>
      <c r="D517" s="21" t="n"/>
      <c r="H517" s="22" t="n"/>
      <c r="I517" s="137" t="n"/>
      <c r="J517" s="21" t="n"/>
      <c r="N517" s="22" t="n"/>
      <c r="O517" s="137" t="n"/>
      <c r="P517" s="21" t="n"/>
      <c r="T517" s="22" t="n"/>
      <c r="U517" s="137" t="n"/>
    </row>
    <row r="518" hidden="1" outlineLevel="3">
      <c r="A518" s="8" t="n"/>
      <c r="B518" s="14" t="n"/>
      <c r="C518" s="137" t="n"/>
      <c r="D518" s="21" t="n"/>
      <c r="H518" s="22" t="n"/>
      <c r="I518" s="137" t="n"/>
      <c r="J518" s="21" t="n"/>
      <c r="N518" s="22" t="n"/>
      <c r="O518" s="137" t="n"/>
      <c r="P518" s="21" t="n"/>
      <c r="T518" s="22" t="n"/>
      <c r="U518" s="137" t="n"/>
    </row>
    <row r="519" hidden="1" outlineLevel="3">
      <c r="A519" s="8" t="n"/>
      <c r="B519" s="14" t="n"/>
      <c r="C519" s="137" t="n"/>
      <c r="D519" s="21" t="n"/>
      <c r="H519" s="22" t="n"/>
      <c r="I519" s="137" t="n"/>
      <c r="J519" s="21" t="n"/>
      <c r="N519" s="22" t="n"/>
      <c r="O519" s="137" t="n"/>
      <c r="P519" s="21" t="n"/>
      <c r="T519" s="22" t="n"/>
      <c r="U519" s="137" t="n"/>
    </row>
    <row r="520" hidden="1" outlineLevel="3">
      <c r="A520" s="8" t="n"/>
      <c r="B520" s="14" t="n"/>
      <c r="C520" s="137" t="n"/>
      <c r="D520" s="23" t="n"/>
      <c r="E520" s="24" t="n"/>
      <c r="F520" s="24" t="n"/>
      <c r="G520" s="24" t="n"/>
      <c r="H520" s="25" t="n"/>
      <c r="I520" s="137" t="n"/>
      <c r="J520" s="23" t="n"/>
      <c r="K520" s="24" t="n"/>
      <c r="L520" s="24" t="n"/>
      <c r="M520" s="24" t="n"/>
      <c r="N520" s="25" t="n"/>
      <c r="O520" s="137" t="n"/>
      <c r="P520" s="23" t="n"/>
      <c r="Q520" s="24" t="n"/>
      <c r="R520" s="24" t="n"/>
      <c r="S520" s="24" t="n"/>
      <c r="T520" s="25" t="n"/>
      <c r="U520" s="137" t="n"/>
    </row>
    <row r="521" hidden="1" outlineLevel="3">
      <c r="A521" s="8" t="n"/>
      <c r="B521" s="14" t="n"/>
      <c r="C521" s="137" t="n"/>
      <c r="D521" s="56">
        <f>DADOS_AM!$KV$83</f>
        <v/>
      </c>
      <c r="E521" s="150">
        <f>DADOS_AM!$IC$11</f>
        <v/>
      </c>
      <c r="F521" s="16" t="n"/>
      <c r="G521" s="16" t="n"/>
      <c r="H521" s="17" t="n"/>
      <c r="I521" s="137" t="n"/>
      <c r="J521" s="56">
        <f>DADOS_AM!$KV$84</f>
        <v/>
      </c>
      <c r="K521" s="150">
        <f>DADOS_AM!$IC$12</f>
        <v/>
      </c>
      <c r="L521" s="16" t="n"/>
      <c r="M521" s="16" t="n"/>
      <c r="N521" s="17" t="n"/>
      <c r="O521" s="137" t="n"/>
      <c r="P521" s="56">
        <f>DADOS_AM!$KV$85</f>
        <v/>
      </c>
      <c r="Q521" s="150">
        <f>DADOS_AM!$IC$13</f>
        <v/>
      </c>
      <c r="R521" s="16" t="n"/>
      <c r="S521" s="16" t="n"/>
      <c r="T521" s="17" t="n"/>
      <c r="U521" s="137" t="n"/>
    </row>
    <row r="522" hidden="1" outlineLevel="3">
      <c r="A522" s="8" t="n"/>
      <c r="B522" s="14" t="n"/>
      <c r="C522" s="137" t="n"/>
      <c r="D522" s="56" t="inlineStr">
        <is>
          <t>SEU TEXTO</t>
        </is>
      </c>
      <c r="E522" s="61" t="n"/>
      <c r="F522" s="19" t="n"/>
      <c r="G522" s="19" t="n"/>
      <c r="H522" s="20" t="n"/>
      <c r="I522" s="137" t="n"/>
      <c r="J522" s="56" t="inlineStr">
        <is>
          <t>SEU TEXTO</t>
        </is>
      </c>
      <c r="K522" s="61" t="n"/>
      <c r="L522" s="19" t="n"/>
      <c r="M522" s="19" t="n"/>
      <c r="N522" s="20" t="n"/>
      <c r="O522" s="137" t="n"/>
      <c r="P522" s="56" t="inlineStr">
        <is>
          <t>SEU TEXTO</t>
        </is>
      </c>
      <c r="Q522" s="61" t="n"/>
      <c r="R522" s="19" t="n"/>
      <c r="S522" s="19" t="n"/>
      <c r="T522" s="20" t="n"/>
      <c r="U522" s="137" t="n"/>
    </row>
    <row r="523" hidden="1" outlineLevel="3">
      <c r="A523" s="8" t="n"/>
      <c r="B523" s="14" t="n"/>
      <c r="C523" s="137" t="n"/>
      <c r="D523" s="128" t="n"/>
      <c r="E523" s="23" t="n"/>
      <c r="F523" s="24" t="n"/>
      <c r="G523" s="24" t="n"/>
      <c r="H523" s="25" t="n"/>
      <c r="I523" s="137" t="n"/>
      <c r="J523" s="128" t="n"/>
      <c r="K523" s="23" t="n"/>
      <c r="L523" s="24" t="n"/>
      <c r="M523" s="24" t="n"/>
      <c r="N523" s="25" t="n"/>
      <c r="O523" s="137" t="n"/>
      <c r="P523" s="128" t="n"/>
      <c r="Q523" s="23" t="n"/>
      <c r="R523" s="24" t="n"/>
      <c r="S523" s="24" t="n"/>
      <c r="T523" s="25" t="n"/>
      <c r="U523" s="137" t="n"/>
    </row>
    <row r="524">
      <c r="A524" s="8" t="n"/>
      <c r="B524" s="14" t="n"/>
      <c r="C524" s="137" t="n"/>
      <c r="D524" s="137" t="n"/>
      <c r="E524" s="137" t="n"/>
      <c r="F524" s="137" t="n"/>
      <c r="G524" s="137" t="n"/>
      <c r="H524" s="137" t="n"/>
      <c r="I524" s="137" t="n"/>
      <c r="J524" s="137" t="n"/>
      <c r="K524" s="137" t="n"/>
      <c r="L524" s="137" t="n"/>
      <c r="M524" s="137" t="n"/>
      <c r="N524" s="137" t="n"/>
      <c r="O524" s="137" t="n"/>
      <c r="P524" s="137" t="n"/>
      <c r="Q524" s="137" t="n"/>
      <c r="R524" s="137" t="n"/>
      <c r="S524" s="137" t="n"/>
      <c r="T524" s="137" t="n"/>
      <c r="U524" s="137" t="n"/>
    </row>
    <row r="525">
      <c r="A525" s="8" t="n"/>
      <c r="B525" s="14" t="n"/>
      <c r="C525" s="137" t="n"/>
      <c r="D525" s="55" t="inlineStr">
        <is>
          <t>PACTOS</t>
        </is>
      </c>
      <c r="E525" s="19" t="n"/>
      <c r="F525" s="19" t="n"/>
      <c r="G525" s="19" t="n"/>
      <c r="H525" s="19" t="n"/>
      <c r="I525" s="19" t="n"/>
      <c r="J525" s="19" t="n"/>
      <c r="K525" s="19" t="n"/>
      <c r="L525" s="19" t="n"/>
      <c r="M525" s="19" t="n"/>
      <c r="N525" s="19" t="n"/>
      <c r="O525" s="19" t="n"/>
      <c r="P525" s="19" t="n"/>
      <c r="Q525" s="19" t="n"/>
      <c r="R525" s="19" t="n"/>
      <c r="S525" s="19" t="n"/>
      <c r="T525" s="20" t="n"/>
      <c r="U525" s="137" t="n"/>
    </row>
    <row r="526">
      <c r="A526" s="8" t="n"/>
      <c r="B526" s="14" t="n"/>
      <c r="C526" s="137" t="n"/>
      <c r="D526" s="23" t="n"/>
      <c r="E526" s="24" t="n"/>
      <c r="F526" s="24" t="n"/>
      <c r="G526" s="24" t="n"/>
      <c r="H526" s="24" t="n"/>
      <c r="I526" s="24" t="n"/>
      <c r="J526" s="24" t="n"/>
      <c r="K526" s="24" t="n"/>
      <c r="L526" s="24" t="n"/>
      <c r="M526" s="24" t="n"/>
      <c r="N526" s="24" t="n"/>
      <c r="O526" s="24" t="n"/>
      <c r="P526" s="24" t="n"/>
      <c r="Q526" s="24" t="n"/>
      <c r="R526" s="24" t="n"/>
      <c r="S526" s="24" t="n"/>
      <c r="T526" s="25" t="n"/>
      <c r="U526" s="137" t="n"/>
    </row>
    <row r="527" outlineLevel="1">
      <c r="A527" s="8" t="n"/>
      <c r="B527" s="14" t="n"/>
      <c r="C527" s="137" t="n"/>
      <c r="D527" s="56" t="inlineStr">
        <is>
          <t>VAGAS</t>
        </is>
      </c>
      <c r="E527" s="17" t="n"/>
      <c r="F527" s="56" t="inlineStr">
        <is>
          <t>COMO O PACTO SE FECHA</t>
        </is>
      </c>
      <c r="G527" s="16" t="n"/>
      <c r="H527" s="16" t="n"/>
      <c r="I527" s="16" t="n"/>
      <c r="J527" s="16" t="n"/>
      <c r="K527" s="16" t="n"/>
      <c r="L527" s="16" t="n"/>
      <c r="M527" s="16" t="n"/>
      <c r="N527" s="16" t="n"/>
      <c r="O527" s="16" t="n"/>
      <c r="P527" s="16" t="n"/>
      <c r="Q527" s="16" t="n"/>
      <c r="R527" s="16" t="n"/>
      <c r="S527" s="16" t="n"/>
      <c r="T527" s="17" t="n"/>
      <c r="U527" s="137" t="n"/>
    </row>
    <row r="528" outlineLevel="1">
      <c r="A528" s="8" t="n"/>
      <c r="B528" s="14" t="n"/>
      <c r="C528" s="137" t="n"/>
      <c r="D528" s="105">
        <f>DADOS_AM!$KV$87</f>
        <v/>
      </c>
      <c r="E528" s="20" t="n"/>
      <c r="F528" s="145" t="inlineStr">
        <is>
          <t>Permanente: Fora de cena, com registro aprovado. Temporário: No seu turno, com Ação Bônus; fora dele, com Reação a um gatilho percebido. Promessa: Quando duas partes capazes de decidir aceitam os termos. Pacto de restrição: Na criação, com a Origem ou técnica.</t>
        </is>
      </c>
      <c r="G528" s="19" t="n"/>
      <c r="H528" s="19" t="n"/>
      <c r="I528" s="19" t="n"/>
      <c r="J528" s="19" t="n"/>
      <c r="K528" s="19" t="n"/>
      <c r="L528" s="19" t="n"/>
      <c r="M528" s="19" t="n"/>
      <c r="N528" s="19" t="n"/>
      <c r="O528" s="19" t="n"/>
      <c r="P528" s="19" t="n"/>
      <c r="Q528" s="19" t="n"/>
      <c r="R528" s="19" t="n"/>
      <c r="S528" s="19" t="n"/>
      <c r="T528" s="20" t="n"/>
      <c r="U528" s="137" t="n"/>
    </row>
    <row r="529" outlineLevel="1">
      <c r="A529" s="8" t="n"/>
      <c r="B529" s="14" t="n"/>
      <c r="C529" s="137" t="n"/>
      <c r="D529" s="23" t="n"/>
      <c r="E529" s="25" t="n"/>
      <c r="F529" s="23" t="n"/>
      <c r="G529" s="24" t="n"/>
      <c r="H529" s="24" t="n"/>
      <c r="I529" s="24" t="n"/>
      <c r="J529" s="24" t="n"/>
      <c r="K529" s="24" t="n"/>
      <c r="L529" s="24" t="n"/>
      <c r="M529" s="24" t="n"/>
      <c r="N529" s="24" t="n"/>
      <c r="O529" s="24" t="n"/>
      <c r="P529" s="24" t="n"/>
      <c r="Q529" s="24" t="n"/>
      <c r="R529" s="24" t="n"/>
      <c r="S529" s="24" t="n"/>
      <c r="T529" s="25" t="n"/>
      <c r="U529" s="137" t="n"/>
    </row>
    <row r="530" outlineLevel="1">
      <c r="A530" s="8" t="n"/>
      <c r="B530" s="14" t="n"/>
      <c r="C530" s="137" t="n"/>
      <c r="D530" s="137" t="n"/>
      <c r="E530" s="137" t="n"/>
      <c r="F530" s="137" t="n"/>
      <c r="G530" s="137" t="n"/>
      <c r="H530" s="137" t="n"/>
      <c r="I530" s="137" t="n"/>
      <c r="J530" s="137" t="n"/>
      <c r="K530" s="137" t="n"/>
      <c r="L530" s="137" t="n"/>
      <c r="M530" s="137" t="n"/>
      <c r="N530" s="137" t="n"/>
      <c r="O530" s="137" t="n"/>
      <c r="P530" s="137" t="n"/>
      <c r="Q530" s="137" t="n"/>
      <c r="R530" s="137" t="n"/>
      <c r="S530" s="137" t="n"/>
      <c r="T530" s="137" t="n"/>
      <c r="U530" s="137" t="n"/>
    </row>
    <row r="531" outlineLevel="1">
      <c r="A531" s="8" t="n"/>
      <c r="B531" s="14" t="n"/>
      <c r="C531" s="137" t="n"/>
      <c r="D531" s="56" t="inlineStr">
        <is>
          <t>PACTO 1</t>
        </is>
      </c>
      <c r="E531" s="131" t="n"/>
      <c r="F531" s="16" t="n"/>
      <c r="G531" s="16" t="n"/>
      <c r="H531" s="16" t="n"/>
      <c r="I531" s="16" t="n"/>
      <c r="J531" s="16" t="n"/>
      <c r="K531" s="17" t="n"/>
      <c r="L531" s="95" t="n"/>
      <c r="M531" s="16" t="n"/>
      <c r="N531" s="17" t="n"/>
      <c r="O531" s="137" t="n"/>
      <c r="P531" s="95" t="n"/>
      <c r="Q531" s="16" t="n"/>
      <c r="R531" s="16" t="n"/>
      <c r="S531" s="16" t="n"/>
      <c r="T531" s="17" t="n"/>
      <c r="U531" s="137" t="n"/>
    </row>
    <row r="532" outlineLevel="2">
      <c r="A532" s="8" t="n"/>
      <c r="B532" s="14" t="n"/>
      <c r="C532" s="137" t="n"/>
      <c r="D532" s="56" t="inlineStr">
        <is>
          <t>O QUE EU DOU</t>
        </is>
      </c>
      <c r="E532" s="16" t="n"/>
      <c r="F532" s="16" t="n"/>
      <c r="G532" s="16" t="n"/>
      <c r="H532" s="16" t="n"/>
      <c r="I532" s="16" t="n"/>
      <c r="J532" s="16" t="n"/>
      <c r="K532" s="17" t="n"/>
      <c r="L532" s="56" t="inlineStr">
        <is>
          <t>O QUE EU RECEBO</t>
        </is>
      </c>
      <c r="M532" s="16" t="n"/>
      <c r="N532" s="16" t="n"/>
      <c r="O532" s="16" t="n"/>
      <c r="P532" s="16" t="n"/>
      <c r="Q532" s="16" t="n"/>
      <c r="R532" s="16" t="n"/>
      <c r="S532" s="16" t="n"/>
      <c r="T532" s="17" t="n"/>
      <c r="U532" s="137" t="n"/>
    </row>
    <row r="533" outlineLevel="2">
      <c r="A533" s="8" t="n"/>
      <c r="B533" s="14" t="n"/>
      <c r="C533" s="137" t="n"/>
      <c r="D533" s="61" t="n"/>
      <c r="E533" s="19" t="n"/>
      <c r="F533" s="19" t="n"/>
      <c r="G533" s="19" t="n"/>
      <c r="H533" s="19" t="n"/>
      <c r="I533" s="19" t="n"/>
      <c r="J533" s="19" t="n"/>
      <c r="K533" s="20" t="n"/>
      <c r="L533" s="61" t="n"/>
      <c r="M533" s="19" t="n"/>
      <c r="N533" s="19" t="n"/>
      <c r="O533" s="19" t="n"/>
      <c r="P533" s="19" t="n"/>
      <c r="Q533" s="19" t="n"/>
      <c r="R533" s="19" t="n"/>
      <c r="S533" s="19" t="n"/>
      <c r="T533" s="20" t="n"/>
      <c r="U533" s="137" t="n"/>
    </row>
    <row r="534" outlineLevel="2">
      <c r="A534" s="8" t="n"/>
      <c r="B534" s="14" t="n"/>
      <c r="C534" s="137" t="n"/>
      <c r="D534" s="21" t="n"/>
      <c r="K534" s="22" t="n"/>
      <c r="L534" s="21" t="n"/>
      <c r="T534" s="22" t="n"/>
      <c r="U534" s="137" t="n"/>
    </row>
    <row r="535" outlineLevel="2">
      <c r="A535" s="8" t="n"/>
      <c r="B535" s="14" t="n"/>
      <c r="C535" s="137" t="n"/>
      <c r="D535" s="21" t="n"/>
      <c r="K535" s="22" t="n"/>
      <c r="L535" s="23" t="n"/>
      <c r="M535" s="24" t="n"/>
      <c r="N535" s="24" t="n"/>
      <c r="O535" s="24" t="n"/>
      <c r="P535" s="24" t="n"/>
      <c r="Q535" s="24" t="n"/>
      <c r="R535" s="24" t="n"/>
      <c r="S535" s="24" t="n"/>
      <c r="T535" s="25" t="n"/>
      <c r="U535" s="137" t="n"/>
    </row>
    <row r="536" outlineLevel="2">
      <c r="A536" s="8" t="n"/>
      <c r="B536" s="14" t="n"/>
      <c r="C536" s="137" t="n"/>
      <c r="D536" s="23" t="n"/>
      <c r="E536" s="24" t="n"/>
      <c r="F536" s="24" t="n"/>
      <c r="G536" s="24" t="n"/>
      <c r="H536" s="24" t="n"/>
      <c r="I536" s="24" t="n"/>
      <c r="J536" s="24" t="n"/>
      <c r="K536" s="25" t="n"/>
      <c r="L536" s="56" t="inlineStr">
        <is>
          <t>TAMANHO DO GANHO</t>
        </is>
      </c>
      <c r="M536" s="16" t="n"/>
      <c r="N536" s="16" t="n"/>
      <c r="O536" s="17" t="n"/>
      <c r="P536" s="95" t="n"/>
      <c r="Q536" s="16" t="n"/>
      <c r="R536" s="16" t="n"/>
      <c r="S536" s="16" t="n"/>
      <c r="T536" s="17" t="n"/>
      <c r="U536" s="137" t="n"/>
    </row>
    <row r="537" outlineLevel="2">
      <c r="A537" s="8" t="n"/>
      <c r="B537" s="14" t="n"/>
      <c r="C537" s="137" t="n"/>
      <c r="D537" s="56" t="inlineStr">
        <is>
          <t>CLÁUSULA, COM QUEM FOI FECHADO E O QUE ACONTECE SE QUEBRAR</t>
        </is>
      </c>
      <c r="E537" s="16" t="n"/>
      <c r="F537" s="16" t="n"/>
      <c r="G537" s="16" t="n"/>
      <c r="H537" s="16" t="n"/>
      <c r="I537" s="16" t="n"/>
      <c r="J537" s="16" t="n"/>
      <c r="K537" s="16" t="n"/>
      <c r="L537" s="16" t="n"/>
      <c r="M537" s="16" t="n"/>
      <c r="N537" s="16" t="n"/>
      <c r="O537" s="16" t="n"/>
      <c r="P537" s="16" t="n"/>
      <c r="Q537" s="16" t="n"/>
      <c r="R537" s="16" t="n"/>
      <c r="S537" s="16" t="n"/>
      <c r="T537" s="17" t="n"/>
      <c r="U537" s="137" t="n"/>
    </row>
    <row r="538" outlineLevel="2">
      <c r="A538" s="8" t="n"/>
      <c r="B538" s="14" t="n"/>
      <c r="C538" s="137" t="n"/>
      <c r="D538" s="61" t="n"/>
      <c r="E538" s="19" t="n"/>
      <c r="F538" s="19" t="n"/>
      <c r="G538" s="19" t="n"/>
      <c r="H538" s="19" t="n"/>
      <c r="I538" s="19" t="n"/>
      <c r="J538" s="19" t="n"/>
      <c r="K538" s="19" t="n"/>
      <c r="L538" s="19" t="n"/>
      <c r="M538" s="19" t="n"/>
      <c r="N538" s="19" t="n"/>
      <c r="O538" s="19" t="n"/>
      <c r="P538" s="19" t="n"/>
      <c r="Q538" s="19" t="n"/>
      <c r="R538" s="19" t="n"/>
      <c r="S538" s="19" t="n"/>
      <c r="T538" s="20" t="n"/>
      <c r="U538" s="137" t="n"/>
    </row>
    <row r="539" outlineLevel="2">
      <c r="A539" s="8" t="n"/>
      <c r="B539" s="14" t="n"/>
      <c r="C539" s="137" t="n"/>
      <c r="D539" s="23" t="n"/>
      <c r="E539" s="24" t="n"/>
      <c r="F539" s="24" t="n"/>
      <c r="G539" s="24" t="n"/>
      <c r="H539" s="24" t="n"/>
      <c r="I539" s="24" t="n"/>
      <c r="J539" s="24" t="n"/>
      <c r="K539" s="24" t="n"/>
      <c r="L539" s="24" t="n"/>
      <c r="M539" s="24" t="n"/>
      <c r="N539" s="24" t="n"/>
      <c r="O539" s="24" t="n"/>
      <c r="P539" s="24" t="n"/>
      <c r="Q539" s="24" t="n"/>
      <c r="R539" s="24" t="n"/>
      <c r="S539" s="24" t="n"/>
      <c r="T539" s="25" t="n"/>
      <c r="U539" s="137" t="n"/>
    </row>
    <row r="540" outlineLevel="1">
      <c r="A540" s="8" t="n"/>
      <c r="B540" s="14" t="n"/>
      <c r="C540" s="137" t="n"/>
      <c r="D540" s="137" t="n"/>
      <c r="E540" s="137" t="n"/>
      <c r="F540" s="137" t="n"/>
      <c r="G540" s="137" t="n"/>
      <c r="H540" s="137" t="n"/>
      <c r="I540" s="137" t="n"/>
      <c r="J540" s="137" t="n"/>
      <c r="K540" s="137" t="n"/>
      <c r="L540" s="137" t="n"/>
      <c r="M540" s="137" t="n"/>
      <c r="N540" s="137" t="n"/>
      <c r="O540" s="137" t="n"/>
      <c r="P540" s="137" t="n"/>
      <c r="Q540" s="137" t="n"/>
      <c r="R540" s="137" t="n"/>
      <c r="S540" s="137" t="n"/>
      <c r="T540" s="137" t="n"/>
      <c r="U540" s="137" t="n"/>
    </row>
    <row r="541" outlineLevel="1">
      <c r="A541" s="8" t="n"/>
      <c r="B541" s="14" t="n"/>
      <c r="C541" s="137" t="n"/>
      <c r="D541" s="56" t="inlineStr">
        <is>
          <t>PACTO 2</t>
        </is>
      </c>
      <c r="E541" s="131" t="n"/>
      <c r="F541" s="16" t="n"/>
      <c r="G541" s="16" t="n"/>
      <c r="H541" s="16" t="n"/>
      <c r="I541" s="16" t="n"/>
      <c r="J541" s="16" t="n"/>
      <c r="K541" s="17" t="n"/>
      <c r="L541" s="95" t="n"/>
      <c r="M541" s="16" t="n"/>
      <c r="N541" s="17" t="n"/>
      <c r="O541" s="137" t="n"/>
      <c r="P541" s="95" t="n"/>
      <c r="Q541" s="16" t="n"/>
      <c r="R541" s="16" t="n"/>
      <c r="S541" s="16" t="n"/>
      <c r="T541" s="17" t="n"/>
      <c r="U541" s="137" t="n"/>
    </row>
    <row r="542" hidden="1" outlineLevel="2">
      <c r="A542" s="8" t="n"/>
      <c r="B542" s="14" t="n"/>
      <c r="C542" s="137" t="n"/>
      <c r="D542" s="56" t="inlineStr">
        <is>
          <t>O QUE EU DOU</t>
        </is>
      </c>
      <c r="E542" s="16" t="n"/>
      <c r="F542" s="16" t="n"/>
      <c r="G542" s="16" t="n"/>
      <c r="H542" s="16" t="n"/>
      <c r="I542" s="16" t="n"/>
      <c r="J542" s="16" t="n"/>
      <c r="K542" s="17" t="n"/>
      <c r="L542" s="56" t="inlineStr">
        <is>
          <t>O QUE EU RECEBO</t>
        </is>
      </c>
      <c r="M542" s="16" t="n"/>
      <c r="N542" s="16" t="n"/>
      <c r="O542" s="16" t="n"/>
      <c r="P542" s="16" t="n"/>
      <c r="Q542" s="16" t="n"/>
      <c r="R542" s="16" t="n"/>
      <c r="S542" s="16" t="n"/>
      <c r="T542" s="17" t="n"/>
      <c r="U542" s="137" t="n"/>
    </row>
    <row r="543" hidden="1" outlineLevel="2">
      <c r="A543" s="8" t="n"/>
      <c r="B543" s="14" t="n"/>
      <c r="C543" s="137" t="n"/>
      <c r="D543" s="61" t="n"/>
      <c r="E543" s="19" t="n"/>
      <c r="F543" s="19" t="n"/>
      <c r="G543" s="19" t="n"/>
      <c r="H543" s="19" t="n"/>
      <c r="I543" s="19" t="n"/>
      <c r="J543" s="19" t="n"/>
      <c r="K543" s="20" t="n"/>
      <c r="L543" s="61" t="n"/>
      <c r="M543" s="19" t="n"/>
      <c r="N543" s="19" t="n"/>
      <c r="O543" s="19" t="n"/>
      <c r="P543" s="19" t="n"/>
      <c r="Q543" s="19" t="n"/>
      <c r="R543" s="19" t="n"/>
      <c r="S543" s="19" t="n"/>
      <c r="T543" s="20" t="n"/>
      <c r="U543" s="137" t="n"/>
    </row>
    <row r="544" hidden="1" outlineLevel="2">
      <c r="A544" s="8" t="n"/>
      <c r="B544" s="14" t="n"/>
      <c r="C544" s="137" t="n"/>
      <c r="D544" s="21" t="n"/>
      <c r="K544" s="22" t="n"/>
      <c r="L544" s="21" t="n"/>
      <c r="T544" s="22" t="n"/>
      <c r="U544" s="137" t="n"/>
    </row>
    <row r="545" hidden="1" outlineLevel="2">
      <c r="A545" s="8" t="n"/>
      <c r="B545" s="14" t="n"/>
      <c r="C545" s="137" t="n"/>
      <c r="D545" s="21" t="n"/>
      <c r="K545" s="22" t="n"/>
      <c r="L545" s="23" t="n"/>
      <c r="M545" s="24" t="n"/>
      <c r="N545" s="24" t="n"/>
      <c r="O545" s="24" t="n"/>
      <c r="P545" s="24" t="n"/>
      <c r="Q545" s="24" t="n"/>
      <c r="R545" s="24" t="n"/>
      <c r="S545" s="24" t="n"/>
      <c r="T545" s="25" t="n"/>
      <c r="U545" s="137" t="n"/>
    </row>
    <row r="546" hidden="1" outlineLevel="2">
      <c r="A546" s="8" t="n"/>
      <c r="B546" s="14" t="n"/>
      <c r="C546" s="137" t="n"/>
      <c r="D546" s="23" t="n"/>
      <c r="E546" s="24" t="n"/>
      <c r="F546" s="24" t="n"/>
      <c r="G546" s="24" t="n"/>
      <c r="H546" s="24" t="n"/>
      <c r="I546" s="24" t="n"/>
      <c r="J546" s="24" t="n"/>
      <c r="K546" s="25" t="n"/>
      <c r="L546" s="56" t="inlineStr">
        <is>
          <t>TAMANHO DO GANHO</t>
        </is>
      </c>
      <c r="M546" s="16" t="n"/>
      <c r="N546" s="16" t="n"/>
      <c r="O546" s="17" t="n"/>
      <c r="P546" s="95" t="n"/>
      <c r="Q546" s="16" t="n"/>
      <c r="R546" s="16" t="n"/>
      <c r="S546" s="16" t="n"/>
      <c r="T546" s="17" t="n"/>
      <c r="U546" s="137" t="n"/>
    </row>
    <row r="547" hidden="1" outlineLevel="2">
      <c r="A547" s="8" t="n"/>
      <c r="B547" s="14" t="n"/>
      <c r="C547" s="137" t="n"/>
      <c r="D547" s="56" t="inlineStr">
        <is>
          <t>CLÁUSULA, COM QUEM FOI FECHADO E O QUE ACONTECE SE QUEBRAR</t>
        </is>
      </c>
      <c r="E547" s="16" t="n"/>
      <c r="F547" s="16" t="n"/>
      <c r="G547" s="16" t="n"/>
      <c r="H547" s="16" t="n"/>
      <c r="I547" s="16" t="n"/>
      <c r="J547" s="16" t="n"/>
      <c r="K547" s="16" t="n"/>
      <c r="L547" s="16" t="n"/>
      <c r="M547" s="16" t="n"/>
      <c r="N547" s="16" t="n"/>
      <c r="O547" s="16" t="n"/>
      <c r="P547" s="16" t="n"/>
      <c r="Q547" s="16" t="n"/>
      <c r="R547" s="16" t="n"/>
      <c r="S547" s="16" t="n"/>
      <c r="T547" s="17" t="n"/>
      <c r="U547" s="137" t="n"/>
    </row>
    <row r="548" hidden="1" outlineLevel="2">
      <c r="A548" s="8" t="n"/>
      <c r="B548" s="14" t="n"/>
      <c r="C548" s="137" t="n"/>
      <c r="D548" s="61" t="n"/>
      <c r="E548" s="19" t="n"/>
      <c r="F548" s="19" t="n"/>
      <c r="G548" s="19" t="n"/>
      <c r="H548" s="19" t="n"/>
      <c r="I548" s="19" t="n"/>
      <c r="J548" s="19" t="n"/>
      <c r="K548" s="19" t="n"/>
      <c r="L548" s="19" t="n"/>
      <c r="M548" s="19" t="n"/>
      <c r="N548" s="19" t="n"/>
      <c r="O548" s="19" t="n"/>
      <c r="P548" s="19" t="n"/>
      <c r="Q548" s="19" t="n"/>
      <c r="R548" s="19" t="n"/>
      <c r="S548" s="19" t="n"/>
      <c r="T548" s="20" t="n"/>
      <c r="U548" s="137" t="n"/>
    </row>
    <row r="549" hidden="1" outlineLevel="2">
      <c r="A549" s="8" t="n"/>
      <c r="B549" s="14" t="n"/>
      <c r="C549" s="137" t="n"/>
      <c r="D549" s="23" t="n"/>
      <c r="E549" s="24" t="n"/>
      <c r="F549" s="24" t="n"/>
      <c r="G549" s="24" t="n"/>
      <c r="H549" s="24" t="n"/>
      <c r="I549" s="24" t="n"/>
      <c r="J549" s="24" t="n"/>
      <c r="K549" s="24" t="n"/>
      <c r="L549" s="24" t="n"/>
      <c r="M549" s="24" t="n"/>
      <c r="N549" s="24" t="n"/>
      <c r="O549" s="24" t="n"/>
      <c r="P549" s="24" t="n"/>
      <c r="Q549" s="24" t="n"/>
      <c r="R549" s="24" t="n"/>
      <c r="S549" s="24" t="n"/>
      <c r="T549" s="25" t="n"/>
      <c r="U549" s="137" t="n"/>
    </row>
    <row r="550" outlineLevel="1">
      <c r="A550" s="8" t="n"/>
      <c r="B550" s="14" t="n"/>
      <c r="C550" s="137" t="n"/>
      <c r="D550" s="137" t="n"/>
      <c r="E550" s="137" t="n"/>
      <c r="F550" s="137" t="n"/>
      <c r="G550" s="137" t="n"/>
      <c r="H550" s="137" t="n"/>
      <c r="I550" s="137" t="n"/>
      <c r="J550" s="137" t="n"/>
      <c r="K550" s="137" t="n"/>
      <c r="L550" s="137" t="n"/>
      <c r="M550" s="137" t="n"/>
      <c r="N550" s="137" t="n"/>
      <c r="O550" s="137" t="n"/>
      <c r="P550" s="137" t="n"/>
      <c r="Q550" s="137" t="n"/>
      <c r="R550" s="137" t="n"/>
      <c r="S550" s="137" t="n"/>
      <c r="T550" s="137" t="n"/>
      <c r="U550" s="137" t="n"/>
    </row>
    <row r="551" outlineLevel="1">
      <c r="A551" s="8" t="n"/>
      <c r="B551" s="14" t="n"/>
      <c r="C551" s="137" t="n"/>
      <c r="D551" s="56" t="inlineStr">
        <is>
          <t>PACTO 3</t>
        </is>
      </c>
      <c r="E551" s="131" t="n"/>
      <c r="F551" s="16" t="n"/>
      <c r="G551" s="16" t="n"/>
      <c r="H551" s="16" t="n"/>
      <c r="I551" s="16" t="n"/>
      <c r="J551" s="16" t="n"/>
      <c r="K551" s="17" t="n"/>
      <c r="L551" s="95" t="n"/>
      <c r="M551" s="16" t="n"/>
      <c r="N551" s="17" t="n"/>
      <c r="O551" s="137" t="n"/>
      <c r="P551" s="95" t="n"/>
      <c r="Q551" s="16" t="n"/>
      <c r="R551" s="16" t="n"/>
      <c r="S551" s="16" t="n"/>
      <c r="T551" s="17" t="n"/>
      <c r="U551" s="137" t="n"/>
    </row>
    <row r="552" hidden="1" outlineLevel="2">
      <c r="A552" s="8" t="n"/>
      <c r="B552" s="14" t="n"/>
      <c r="C552" s="137" t="n"/>
      <c r="D552" s="56" t="inlineStr">
        <is>
          <t>O QUE EU DOU</t>
        </is>
      </c>
      <c r="E552" s="16" t="n"/>
      <c r="F552" s="16" t="n"/>
      <c r="G552" s="16" t="n"/>
      <c r="H552" s="16" t="n"/>
      <c r="I552" s="16" t="n"/>
      <c r="J552" s="16" t="n"/>
      <c r="K552" s="17" t="n"/>
      <c r="L552" s="56" t="inlineStr">
        <is>
          <t>O QUE EU RECEBO</t>
        </is>
      </c>
      <c r="M552" s="16" t="n"/>
      <c r="N552" s="16" t="n"/>
      <c r="O552" s="16" t="n"/>
      <c r="P552" s="16" t="n"/>
      <c r="Q552" s="16" t="n"/>
      <c r="R552" s="16" t="n"/>
      <c r="S552" s="16" t="n"/>
      <c r="T552" s="17" t="n"/>
      <c r="U552" s="137" t="n"/>
    </row>
    <row r="553" hidden="1" outlineLevel="2">
      <c r="A553" s="8" t="n"/>
      <c r="B553" s="14" t="n"/>
      <c r="C553" s="137" t="n"/>
      <c r="D553" s="61" t="n"/>
      <c r="E553" s="19" t="n"/>
      <c r="F553" s="19" t="n"/>
      <c r="G553" s="19" t="n"/>
      <c r="H553" s="19" t="n"/>
      <c r="I553" s="19" t="n"/>
      <c r="J553" s="19" t="n"/>
      <c r="K553" s="20" t="n"/>
      <c r="L553" s="61" t="n"/>
      <c r="M553" s="19" t="n"/>
      <c r="N553" s="19" t="n"/>
      <c r="O553" s="19" t="n"/>
      <c r="P553" s="19" t="n"/>
      <c r="Q553" s="19" t="n"/>
      <c r="R553" s="19" t="n"/>
      <c r="S553" s="19" t="n"/>
      <c r="T553" s="20" t="n"/>
      <c r="U553" s="137" t="n"/>
    </row>
    <row r="554" hidden="1" outlineLevel="2">
      <c r="A554" s="8" t="n"/>
      <c r="B554" s="14" t="n"/>
      <c r="C554" s="137" t="n"/>
      <c r="D554" s="21" t="n"/>
      <c r="K554" s="22" t="n"/>
      <c r="L554" s="21" t="n"/>
      <c r="T554" s="22" t="n"/>
      <c r="U554" s="137" t="n"/>
    </row>
    <row r="555" hidden="1" outlineLevel="2">
      <c r="A555" s="8" t="n"/>
      <c r="B555" s="14" t="n"/>
      <c r="C555" s="137" t="n"/>
      <c r="D555" s="21" t="n"/>
      <c r="K555" s="22" t="n"/>
      <c r="L555" s="23" t="n"/>
      <c r="M555" s="24" t="n"/>
      <c r="N555" s="24" t="n"/>
      <c r="O555" s="24" t="n"/>
      <c r="P555" s="24" t="n"/>
      <c r="Q555" s="24" t="n"/>
      <c r="R555" s="24" t="n"/>
      <c r="S555" s="24" t="n"/>
      <c r="T555" s="25" t="n"/>
      <c r="U555" s="137" t="n"/>
    </row>
    <row r="556" hidden="1" outlineLevel="2">
      <c r="A556" s="8" t="n"/>
      <c r="B556" s="14" t="n"/>
      <c r="C556" s="137" t="n"/>
      <c r="D556" s="23" t="n"/>
      <c r="E556" s="24" t="n"/>
      <c r="F556" s="24" t="n"/>
      <c r="G556" s="24" t="n"/>
      <c r="H556" s="24" t="n"/>
      <c r="I556" s="24" t="n"/>
      <c r="J556" s="24" t="n"/>
      <c r="K556" s="25" t="n"/>
      <c r="L556" s="56" t="inlineStr">
        <is>
          <t>TAMANHO DO GANHO</t>
        </is>
      </c>
      <c r="M556" s="16" t="n"/>
      <c r="N556" s="16" t="n"/>
      <c r="O556" s="17" t="n"/>
      <c r="P556" s="95" t="n"/>
      <c r="Q556" s="16" t="n"/>
      <c r="R556" s="16" t="n"/>
      <c r="S556" s="16" t="n"/>
      <c r="T556" s="17" t="n"/>
      <c r="U556" s="137" t="n"/>
    </row>
    <row r="557" hidden="1" outlineLevel="2">
      <c r="A557" s="8" t="n"/>
      <c r="B557" s="14" t="n"/>
      <c r="C557" s="137" t="n"/>
      <c r="D557" s="56" t="inlineStr">
        <is>
          <t>CLÁUSULA, COM QUEM FOI FECHADO E O QUE ACONTECE SE QUEBRAR</t>
        </is>
      </c>
      <c r="E557" s="16" t="n"/>
      <c r="F557" s="16" t="n"/>
      <c r="G557" s="16" t="n"/>
      <c r="H557" s="16" t="n"/>
      <c r="I557" s="16" t="n"/>
      <c r="J557" s="16" t="n"/>
      <c r="K557" s="16" t="n"/>
      <c r="L557" s="16" t="n"/>
      <c r="M557" s="16" t="n"/>
      <c r="N557" s="16" t="n"/>
      <c r="O557" s="16" t="n"/>
      <c r="P557" s="16" t="n"/>
      <c r="Q557" s="16" t="n"/>
      <c r="R557" s="16" t="n"/>
      <c r="S557" s="16" t="n"/>
      <c r="T557" s="17" t="n"/>
      <c r="U557" s="137" t="n"/>
    </row>
    <row r="558" hidden="1" outlineLevel="2">
      <c r="A558" s="8" t="n"/>
      <c r="B558" s="14" t="n"/>
      <c r="C558" s="137" t="n"/>
      <c r="D558" s="61" t="n"/>
      <c r="E558" s="19" t="n"/>
      <c r="F558" s="19" t="n"/>
      <c r="G558" s="19" t="n"/>
      <c r="H558" s="19" t="n"/>
      <c r="I558" s="19" t="n"/>
      <c r="J558" s="19" t="n"/>
      <c r="K558" s="19" t="n"/>
      <c r="L558" s="19" t="n"/>
      <c r="M558" s="19" t="n"/>
      <c r="N558" s="19" t="n"/>
      <c r="O558" s="19" t="n"/>
      <c r="P558" s="19" t="n"/>
      <c r="Q558" s="19" t="n"/>
      <c r="R558" s="19" t="n"/>
      <c r="S558" s="19" t="n"/>
      <c r="T558" s="20" t="n"/>
      <c r="U558" s="137" t="n"/>
    </row>
    <row r="559" hidden="1" outlineLevel="2">
      <c r="A559" s="8" t="n"/>
      <c r="B559" s="14" t="n"/>
      <c r="C559" s="137" t="n"/>
      <c r="D559" s="23" t="n"/>
      <c r="E559" s="24" t="n"/>
      <c r="F559" s="24" t="n"/>
      <c r="G559" s="24" t="n"/>
      <c r="H559" s="24" t="n"/>
      <c r="I559" s="24" t="n"/>
      <c r="J559" s="24" t="n"/>
      <c r="K559" s="24" t="n"/>
      <c r="L559" s="24" t="n"/>
      <c r="M559" s="24" t="n"/>
      <c r="N559" s="24" t="n"/>
      <c r="O559" s="24" t="n"/>
      <c r="P559" s="24" t="n"/>
      <c r="Q559" s="24" t="n"/>
      <c r="R559" s="24" t="n"/>
      <c r="S559" s="24" t="n"/>
      <c r="T559" s="25" t="n"/>
      <c r="U559" s="137" t="n"/>
    </row>
    <row r="560">
      <c r="A560" s="8" t="n"/>
      <c r="B560" s="14" t="n"/>
      <c r="C560" s="137" t="n"/>
      <c r="D560" s="137" t="n"/>
      <c r="E560" s="137" t="n"/>
      <c r="F560" s="137" t="n"/>
      <c r="G560" s="137" t="n"/>
      <c r="H560" s="137" t="n"/>
      <c r="I560" s="137" t="n"/>
      <c r="J560" s="137" t="n"/>
      <c r="K560" s="137" t="n"/>
      <c r="L560" s="137" t="n"/>
      <c r="M560" s="137" t="n"/>
      <c r="N560" s="137" t="n"/>
      <c r="O560" s="137" t="n"/>
      <c r="P560" s="137" t="n"/>
      <c r="Q560" s="137" t="n"/>
      <c r="R560" s="137" t="n"/>
      <c r="S560" s="137" t="n"/>
      <c r="T560" s="137" t="n"/>
      <c r="U560" s="137" t="n"/>
    </row>
    <row r="561">
      <c r="A561" s="8" t="n"/>
      <c r="B561" s="14" t="n"/>
      <c r="C561" s="137" t="n"/>
      <c r="D561" s="137" t="n"/>
      <c r="E561" s="137" t="n"/>
      <c r="F561" s="137" t="n"/>
      <c r="G561" s="137" t="n"/>
      <c r="H561" s="137" t="n"/>
      <c r="I561" s="137" t="n"/>
      <c r="J561" s="137" t="n"/>
      <c r="K561" s="137" t="n"/>
      <c r="L561" s="137" t="n"/>
      <c r="M561" s="137" t="n"/>
      <c r="N561" s="137" t="n"/>
      <c r="O561" s="137" t="n"/>
      <c r="P561" s="137" t="n"/>
      <c r="Q561" s="137" t="n"/>
      <c r="R561" s="137" t="n"/>
      <c r="S561" s="137" t="n"/>
      <c r="T561" s="137" t="n"/>
      <c r="U561" s="137" t="n"/>
    </row>
  </sheetData>
  <mergeCells count="1392">
    <mergeCell ref="F322:H322"/>
    <mergeCell ref="Q145:T146"/>
    <mergeCell ref="Q164:R164"/>
    <mergeCell ref="S226:T226"/>
    <mergeCell ref="D410:E410"/>
    <mergeCell ref="L546:O546"/>
    <mergeCell ref="D254:D255"/>
    <mergeCell ref="D229:D230"/>
    <mergeCell ref="E73:F73"/>
    <mergeCell ref="D45:N45"/>
    <mergeCell ref="D11:H11"/>
    <mergeCell ref="G137:H137"/>
    <mergeCell ref="P447:T458"/>
    <mergeCell ref="Q180:R180"/>
    <mergeCell ref="F55:H56"/>
    <mergeCell ref="D426:E426"/>
    <mergeCell ref="D66:H70"/>
    <mergeCell ref="G139:H139"/>
    <mergeCell ref="D389:T390"/>
    <mergeCell ref="P348:P349"/>
    <mergeCell ref="M392:N392"/>
    <mergeCell ref="Q348:T349"/>
    <mergeCell ref="P252:P253"/>
    <mergeCell ref="G59:H59"/>
    <mergeCell ref="E117:F117"/>
    <mergeCell ref="Q36:T36"/>
    <mergeCell ref="D464:H465"/>
    <mergeCell ref="J77:J78"/>
    <mergeCell ref="D65:H65"/>
    <mergeCell ref="D355:H355"/>
    <mergeCell ref="S185:T185"/>
    <mergeCell ref="S267:T267"/>
    <mergeCell ref="J522:J523"/>
    <mergeCell ref="K341:L341"/>
    <mergeCell ref="G201:H201"/>
    <mergeCell ref="Q265:T265"/>
    <mergeCell ref="S269:T269"/>
    <mergeCell ref="Q138:R138"/>
    <mergeCell ref="G203:H203"/>
    <mergeCell ref="O45:T45"/>
    <mergeCell ref="Q140:R140"/>
    <mergeCell ref="K183:L183"/>
    <mergeCell ref="Q106:R106"/>
    <mergeCell ref="D80:D81"/>
    <mergeCell ref="P94:P97"/>
    <mergeCell ref="D506:H507"/>
    <mergeCell ref="P291:P292"/>
    <mergeCell ref="K93:N93"/>
    <mergeCell ref="K271:L271"/>
    <mergeCell ref="Q100:T100"/>
    <mergeCell ref="Q143:T144"/>
    <mergeCell ref="S199:T199"/>
    <mergeCell ref="Q286:T286"/>
    <mergeCell ref="J423:J424"/>
    <mergeCell ref="J124:J125"/>
    <mergeCell ref="E77:F77"/>
    <mergeCell ref="E350:H351"/>
    <mergeCell ref="D329:T330"/>
    <mergeCell ref="K268:L268"/>
    <mergeCell ref="D528:E529"/>
    <mergeCell ref="G164:H164"/>
    <mergeCell ref="J18:N18"/>
    <mergeCell ref="M171:N171"/>
    <mergeCell ref="J17:N17"/>
    <mergeCell ref="F369:H369"/>
    <mergeCell ref="S341:T341"/>
    <mergeCell ref="J19:N19"/>
    <mergeCell ref="Q460:T461"/>
    <mergeCell ref="D151:H151"/>
    <mergeCell ref="J356:K357"/>
    <mergeCell ref="P301:T305"/>
    <mergeCell ref="S270:T270"/>
    <mergeCell ref="S392:T392"/>
    <mergeCell ref="Q480:T481"/>
    <mergeCell ref="K312:L312"/>
    <mergeCell ref="F54:H54"/>
    <mergeCell ref="L26:T27"/>
    <mergeCell ref="F527:T527"/>
    <mergeCell ref="M96:N96"/>
    <mergeCell ref="D508:H508"/>
    <mergeCell ref="E139:F139"/>
    <mergeCell ref="M98:N98"/>
    <mergeCell ref="K315:N316"/>
    <mergeCell ref="Q225:R225"/>
    <mergeCell ref="D163:D164"/>
    <mergeCell ref="D375:E375"/>
    <mergeCell ref="P258:T258"/>
    <mergeCell ref="D369:E369"/>
    <mergeCell ref="P556:T556"/>
    <mergeCell ref="K181:L181"/>
    <mergeCell ref="J208:J209"/>
    <mergeCell ref="D348:D349"/>
    <mergeCell ref="R12:T13"/>
    <mergeCell ref="Q80:T81"/>
    <mergeCell ref="M116:N116"/>
    <mergeCell ref="J419:N419"/>
    <mergeCell ref="F436:H436"/>
    <mergeCell ref="R356:T357"/>
    <mergeCell ref="E183:F183"/>
    <mergeCell ref="Q271:R271"/>
    <mergeCell ref="Q246:R246"/>
    <mergeCell ref="K78:L78"/>
    <mergeCell ref="G247:H247"/>
    <mergeCell ref="G257:H257"/>
    <mergeCell ref="L322:N322"/>
    <mergeCell ref="Q254:T255"/>
    <mergeCell ref="Q248:R248"/>
    <mergeCell ref="P124:P125"/>
    <mergeCell ref="L324:N324"/>
    <mergeCell ref="J15:N15"/>
    <mergeCell ref="M137:N137"/>
    <mergeCell ref="S339:T339"/>
    <mergeCell ref="D353:T354"/>
    <mergeCell ref="K229:N230"/>
    <mergeCell ref="D557:T557"/>
    <mergeCell ref="M164:N164"/>
    <mergeCell ref="K135:N135"/>
    <mergeCell ref="M139:N139"/>
    <mergeCell ref="Q299:R299"/>
    <mergeCell ref="G269:H269"/>
    <mergeCell ref="Q142:T142"/>
    <mergeCell ref="K222:L222"/>
    <mergeCell ref="S236:T236"/>
    <mergeCell ref="K310:L310"/>
    <mergeCell ref="P356:Q357"/>
    <mergeCell ref="C6:S6"/>
    <mergeCell ref="E141:F141"/>
    <mergeCell ref="D291:D292"/>
    <mergeCell ref="J275:J276"/>
    <mergeCell ref="E224:F224"/>
    <mergeCell ref="D415:D416"/>
    <mergeCell ref="G199:H199"/>
    <mergeCell ref="K150:L150"/>
    <mergeCell ref="Q312:R312"/>
    <mergeCell ref="G288:H288"/>
    <mergeCell ref="J152:N156"/>
    <mergeCell ref="S78:T78"/>
    <mergeCell ref="J108:N112"/>
    <mergeCell ref="D463:F463"/>
    <mergeCell ref="G341:H341"/>
    <mergeCell ref="S463:T463"/>
    <mergeCell ref="J489:N500"/>
    <mergeCell ref="K200:N200"/>
    <mergeCell ref="E278:F278"/>
    <mergeCell ref="G36:H36"/>
    <mergeCell ref="E460:H461"/>
    <mergeCell ref="M236:N236"/>
    <mergeCell ref="K163:L163"/>
    <mergeCell ref="P522:P523"/>
    <mergeCell ref="J441:N441"/>
    <mergeCell ref="D379:K381"/>
    <mergeCell ref="E307:H307"/>
    <mergeCell ref="Q252:T253"/>
    <mergeCell ref="M140:N140"/>
    <mergeCell ref="K77:L77"/>
    <mergeCell ref="K350:N351"/>
    <mergeCell ref="G271:H271"/>
    <mergeCell ref="D39:T39"/>
    <mergeCell ref="S178:T178"/>
    <mergeCell ref="S150:T150"/>
    <mergeCell ref="D483:T483"/>
    <mergeCell ref="K95:L95"/>
    <mergeCell ref="P273:P274"/>
    <mergeCell ref="Q273:T274"/>
    <mergeCell ref="G268:H268"/>
    <mergeCell ref="D258:H258"/>
    <mergeCell ref="J98:J99"/>
    <mergeCell ref="P12:Q13"/>
    <mergeCell ref="M311:N311"/>
    <mergeCell ref="E531:K531"/>
    <mergeCell ref="J151:N151"/>
    <mergeCell ref="D48:N48"/>
    <mergeCell ref="P166:P167"/>
    <mergeCell ref="Q308:R308"/>
    <mergeCell ref="E79:H79"/>
    <mergeCell ref="E222:F222"/>
    <mergeCell ref="K115:L115"/>
    <mergeCell ref="E80:H81"/>
    <mergeCell ref="Q99:R99"/>
    <mergeCell ref="D194:H198"/>
    <mergeCell ref="L359:N359"/>
    <mergeCell ref="P168:P169"/>
    <mergeCell ref="S74:T74"/>
    <mergeCell ref="Q310:R310"/>
    <mergeCell ref="D502:D503"/>
    <mergeCell ref="S163:T163"/>
    <mergeCell ref="K141:L141"/>
    <mergeCell ref="K116:L116"/>
    <mergeCell ref="S76:T76"/>
    <mergeCell ref="E246:F246"/>
    <mergeCell ref="G410:H410"/>
    <mergeCell ref="E415:H416"/>
    <mergeCell ref="K124:N125"/>
    <mergeCell ref="K118:L118"/>
    <mergeCell ref="J508:N508"/>
    <mergeCell ref="E551:K551"/>
    <mergeCell ref="D383:T383"/>
    <mergeCell ref="E248:F248"/>
    <mergeCell ref="P393:T393"/>
    <mergeCell ref="D548:T549"/>
    <mergeCell ref="E247:F247"/>
    <mergeCell ref="M505:N505"/>
    <mergeCell ref="D431:D432"/>
    <mergeCell ref="P334:T338"/>
    <mergeCell ref="G312:H312"/>
    <mergeCell ref="D300:H300"/>
    <mergeCell ref="G7:H7"/>
    <mergeCell ref="E397:H398"/>
    <mergeCell ref="D214:H214"/>
    <mergeCell ref="S245:T245"/>
    <mergeCell ref="S97:T97"/>
    <mergeCell ref="D362:T365"/>
    <mergeCell ref="P392:Q392"/>
    <mergeCell ref="J115:J118"/>
    <mergeCell ref="J312:J313"/>
    <mergeCell ref="P205:P206"/>
    <mergeCell ref="F370:H371"/>
    <mergeCell ref="K348:N349"/>
    <mergeCell ref="G236:H236"/>
    <mergeCell ref="M264:N264"/>
    <mergeCell ref="M220:N220"/>
    <mergeCell ref="S113:T113"/>
    <mergeCell ref="D145:D146"/>
    <mergeCell ref="P159:P162"/>
    <mergeCell ref="D505:F505"/>
    <mergeCell ref="S115:T115"/>
    <mergeCell ref="P173:T177"/>
    <mergeCell ref="D26:K30"/>
    <mergeCell ref="K182:L182"/>
    <mergeCell ref="J370:N371"/>
    <mergeCell ref="M246:N246"/>
    <mergeCell ref="G78:H78"/>
    <mergeCell ref="G376:H376"/>
    <mergeCell ref="D308:D311"/>
    <mergeCell ref="Q135:T135"/>
    <mergeCell ref="M248:N248"/>
    <mergeCell ref="G73:H73"/>
    <mergeCell ref="Q95:R95"/>
    <mergeCell ref="E158:H158"/>
    <mergeCell ref="S159:T159"/>
    <mergeCell ref="Q96:R96"/>
    <mergeCell ref="J122:J123"/>
    <mergeCell ref="P333:T333"/>
    <mergeCell ref="M299:N299"/>
    <mergeCell ref="K226:L226"/>
    <mergeCell ref="K201:L201"/>
    <mergeCell ref="S161:T161"/>
    <mergeCell ref="E72:H72"/>
    <mergeCell ref="D522:D523"/>
    <mergeCell ref="K122:N123"/>
    <mergeCell ref="P59:T59"/>
    <mergeCell ref="G308:H308"/>
    <mergeCell ref="D184:D185"/>
    <mergeCell ref="P488:T488"/>
    <mergeCell ref="Q150:R150"/>
    <mergeCell ref="D427:H427"/>
    <mergeCell ref="L531:N531"/>
    <mergeCell ref="E245:F245"/>
    <mergeCell ref="K82:N83"/>
    <mergeCell ref="G310:H310"/>
    <mergeCell ref="G92:H92"/>
    <mergeCell ref="S485:T485"/>
    <mergeCell ref="K286:N286"/>
    <mergeCell ref="M346:N346"/>
    <mergeCell ref="L536:O536"/>
    <mergeCell ref="G150:H150"/>
    <mergeCell ref="M312:N312"/>
    <mergeCell ref="K127:L127"/>
    <mergeCell ref="Q207:T207"/>
    <mergeCell ref="D19:H19"/>
    <mergeCell ref="R325:T325"/>
    <mergeCell ref="G181:H181"/>
    <mergeCell ref="K314:N314"/>
    <mergeCell ref="J333:N333"/>
    <mergeCell ref="R327:T327"/>
    <mergeCell ref="D547:T547"/>
    <mergeCell ref="M374:N374"/>
    <mergeCell ref="P107:T107"/>
    <mergeCell ref="K267:L267"/>
    <mergeCell ref="D234:T234"/>
    <mergeCell ref="E99:F99"/>
    <mergeCell ref="Q347:T347"/>
    <mergeCell ref="K269:L269"/>
    <mergeCell ref="G163:H163"/>
    <mergeCell ref="D466:H466"/>
    <mergeCell ref="S141:T141"/>
    <mergeCell ref="K479:N479"/>
    <mergeCell ref="E136:F136"/>
    <mergeCell ref="K460:N461"/>
    <mergeCell ref="J173:N177"/>
    <mergeCell ref="Q251:T251"/>
    <mergeCell ref="P394:T396"/>
    <mergeCell ref="G77:H77"/>
    <mergeCell ref="E294:H295"/>
    <mergeCell ref="G375:H375"/>
    <mergeCell ref="E127:F127"/>
    <mergeCell ref="M418:N418"/>
    <mergeCell ref="P128:T128"/>
    <mergeCell ref="J308:J311"/>
    <mergeCell ref="Q103:T104"/>
    <mergeCell ref="J258:N258"/>
    <mergeCell ref="Q97:R97"/>
    <mergeCell ref="D552:K552"/>
    <mergeCell ref="P509:T520"/>
    <mergeCell ref="Q236:R236"/>
    <mergeCell ref="K79:N79"/>
    <mergeCell ref="D392:E392"/>
    <mergeCell ref="D480:D481"/>
    <mergeCell ref="D542:K542"/>
    <mergeCell ref="Q124:T125"/>
    <mergeCell ref="K502:N503"/>
    <mergeCell ref="D159:D162"/>
    <mergeCell ref="G115:H115"/>
    <mergeCell ref="D173:H177"/>
    <mergeCell ref="D467:H478"/>
    <mergeCell ref="J488:N488"/>
    <mergeCell ref="D208:D209"/>
    <mergeCell ref="F324:H324"/>
    <mergeCell ref="J444:N445"/>
    <mergeCell ref="D210:D211"/>
    <mergeCell ref="G141:H141"/>
    <mergeCell ref="G116:H116"/>
    <mergeCell ref="M339:N339"/>
    <mergeCell ref="D49:N49"/>
    <mergeCell ref="Q159:R159"/>
    <mergeCell ref="Q290:R290"/>
    <mergeCell ref="E229:H230"/>
    <mergeCell ref="G118:H118"/>
    <mergeCell ref="E135:H135"/>
    <mergeCell ref="P317:P318"/>
    <mergeCell ref="Q161:R161"/>
    <mergeCell ref="P506:T507"/>
    <mergeCell ref="K101:N102"/>
    <mergeCell ref="E226:F226"/>
    <mergeCell ref="P143:P144"/>
    <mergeCell ref="S225:T225"/>
    <mergeCell ref="Q192:R192"/>
    <mergeCell ref="S227:T227"/>
    <mergeCell ref="G134:H134"/>
    <mergeCell ref="P231:P232"/>
    <mergeCell ref="Q314:T314"/>
    <mergeCell ref="E96:F96"/>
    <mergeCell ref="M373:N373"/>
    <mergeCell ref="M58:N58"/>
    <mergeCell ref="E98:F98"/>
    <mergeCell ref="J505:L505"/>
    <mergeCell ref="D275:D276"/>
    <mergeCell ref="P345:P346"/>
    <mergeCell ref="Q309:R309"/>
    <mergeCell ref="G485:H485"/>
    <mergeCell ref="Q205:R205"/>
    <mergeCell ref="G180:H180"/>
    <mergeCell ref="Q244:T244"/>
    <mergeCell ref="D238:H242"/>
    <mergeCell ref="P238:T242"/>
    <mergeCell ref="K165:N165"/>
    <mergeCell ref="G182:H182"/>
    <mergeCell ref="S306:T306"/>
    <mergeCell ref="O49:T49"/>
    <mergeCell ref="J231:J232"/>
    <mergeCell ref="S291:T291"/>
    <mergeCell ref="O50:T50"/>
    <mergeCell ref="E171:F171"/>
    <mergeCell ref="Q122:T123"/>
    <mergeCell ref="E137:F137"/>
    <mergeCell ref="M99:N99"/>
    <mergeCell ref="J103:J104"/>
    <mergeCell ref="E347:H347"/>
    <mergeCell ref="K180:L180"/>
    <mergeCell ref="M310:N310"/>
    <mergeCell ref="J4:T4"/>
    <mergeCell ref="J300:N300"/>
    <mergeCell ref="D376:E376"/>
    <mergeCell ref="P172:T172"/>
    <mergeCell ref="M150:N150"/>
    <mergeCell ref="D394:H396"/>
    <mergeCell ref="K236:L236"/>
    <mergeCell ref="D361:T361"/>
    <mergeCell ref="D128:H128"/>
    <mergeCell ref="D77:D78"/>
    <mergeCell ref="K273:N274"/>
    <mergeCell ref="Q166:T167"/>
    <mergeCell ref="Q185:R185"/>
    <mergeCell ref="P280:T284"/>
    <mergeCell ref="J143:J144"/>
    <mergeCell ref="K106:L106"/>
    <mergeCell ref="P287:P290"/>
    <mergeCell ref="G127:H127"/>
    <mergeCell ref="S249:T249"/>
    <mergeCell ref="Q459:T459"/>
    <mergeCell ref="G285:H285"/>
    <mergeCell ref="P485:R485"/>
    <mergeCell ref="J11:K11"/>
    <mergeCell ref="M292:N292"/>
    <mergeCell ref="J16:N16"/>
    <mergeCell ref="M163:N163"/>
    <mergeCell ref="M76:N76"/>
    <mergeCell ref="D87:H91"/>
    <mergeCell ref="K294:N295"/>
    <mergeCell ref="Q204:R204"/>
    <mergeCell ref="D443:F443"/>
    <mergeCell ref="P374:T376"/>
    <mergeCell ref="P237:T237"/>
    <mergeCell ref="D33:N34"/>
    <mergeCell ref="J187:J188"/>
    <mergeCell ref="J369:N369"/>
    <mergeCell ref="J189:J190"/>
    <mergeCell ref="M95:N95"/>
    <mergeCell ref="J392:K392"/>
    <mergeCell ref="E162:F162"/>
    <mergeCell ref="M97:N97"/>
    <mergeCell ref="P245:P248"/>
    <mergeCell ref="Q346:R346"/>
    <mergeCell ref="E145:H146"/>
    <mergeCell ref="E164:F164"/>
    <mergeCell ref="G226:H226"/>
    <mergeCell ref="K171:L171"/>
    <mergeCell ref="S106:T106"/>
    <mergeCell ref="J159:J162"/>
    <mergeCell ref="D345:D346"/>
    <mergeCell ref="M113:N113"/>
    <mergeCell ref="E309:F309"/>
    <mergeCell ref="D527:E527"/>
    <mergeCell ref="D447:H458"/>
    <mergeCell ref="E180:F180"/>
    <mergeCell ref="K208:N209"/>
    <mergeCell ref="E182:F182"/>
    <mergeCell ref="K75:L75"/>
    <mergeCell ref="D460:D461"/>
    <mergeCell ref="K114:N114"/>
    <mergeCell ref="G248:H248"/>
    <mergeCell ref="Q121:T121"/>
    <mergeCell ref="K210:N211"/>
    <mergeCell ref="D52:T53"/>
    <mergeCell ref="M159:N159"/>
    <mergeCell ref="M134:N134"/>
    <mergeCell ref="D38:T38"/>
    <mergeCell ref="P423:P424"/>
    <mergeCell ref="K80:N81"/>
    <mergeCell ref="M161:N161"/>
    <mergeCell ref="J194:N198"/>
    <mergeCell ref="J254:J255"/>
    <mergeCell ref="E203:F203"/>
    <mergeCell ref="P486:T487"/>
    <mergeCell ref="G292:H292"/>
    <mergeCell ref="G267:H267"/>
    <mergeCell ref="J87:N91"/>
    <mergeCell ref="M485:N485"/>
    <mergeCell ref="K272:N272"/>
    <mergeCell ref="Q165:T165"/>
    <mergeCell ref="D279:H279"/>
    <mergeCell ref="K397:N398"/>
    <mergeCell ref="D42:N42"/>
    <mergeCell ref="K186:N186"/>
    <mergeCell ref="S75:T75"/>
    <mergeCell ref="M205:N205"/>
    <mergeCell ref="D50:N50"/>
    <mergeCell ref="D44:N44"/>
    <mergeCell ref="P187:P188"/>
    <mergeCell ref="P411:T411"/>
    <mergeCell ref="E100:H100"/>
    <mergeCell ref="E82:H83"/>
    <mergeCell ref="E143:H144"/>
    <mergeCell ref="P189:P190"/>
    <mergeCell ref="S410:T410"/>
    <mergeCell ref="D280:H284"/>
    <mergeCell ref="A33:B80"/>
    <mergeCell ref="Q231:T232"/>
    <mergeCell ref="J107:N107"/>
    <mergeCell ref="G162:H162"/>
    <mergeCell ref="K145:N146"/>
    <mergeCell ref="P300:T300"/>
    <mergeCell ref="E4:H4"/>
    <mergeCell ref="P249:P250"/>
    <mergeCell ref="S157:T157"/>
    <mergeCell ref="P418:Q418"/>
    <mergeCell ref="J394:N396"/>
    <mergeCell ref="K74:L74"/>
    <mergeCell ref="D558:T559"/>
    <mergeCell ref="R326:T326"/>
    <mergeCell ref="J436:K436"/>
    <mergeCell ref="D237:H237"/>
    <mergeCell ref="J348:J349"/>
    <mergeCell ref="M290:N290"/>
    <mergeCell ref="R355:T355"/>
    <mergeCell ref="K213:L213"/>
    <mergeCell ref="G392:H392"/>
    <mergeCell ref="Q85:R85"/>
    <mergeCell ref="E288:F288"/>
    <mergeCell ref="J509:N520"/>
    <mergeCell ref="S299:T299"/>
    <mergeCell ref="E480:H481"/>
    <mergeCell ref="Q78:R78"/>
    <mergeCell ref="J412:N414"/>
    <mergeCell ref="P16:T16"/>
    <mergeCell ref="E346:F346"/>
    <mergeCell ref="P18:T18"/>
    <mergeCell ref="K522:N523"/>
    <mergeCell ref="K103:N104"/>
    <mergeCell ref="G106:H106"/>
    <mergeCell ref="P163:P164"/>
    <mergeCell ref="E341:F341"/>
    <mergeCell ref="E228:H228"/>
    <mergeCell ref="P129:T133"/>
    <mergeCell ref="D46:N46"/>
    <mergeCell ref="D40:N40"/>
    <mergeCell ref="L541:N541"/>
    <mergeCell ref="J296:J297"/>
    <mergeCell ref="K140:L140"/>
    <mergeCell ref="D41:N41"/>
    <mergeCell ref="L379:T381"/>
    <mergeCell ref="M204:N204"/>
    <mergeCell ref="J94:J97"/>
    <mergeCell ref="D43:N43"/>
    <mergeCell ref="J291:J292"/>
    <mergeCell ref="E271:F271"/>
    <mergeCell ref="K423:N424"/>
    <mergeCell ref="K143:N144"/>
    <mergeCell ref="E254:H255"/>
    <mergeCell ref="D423:D424"/>
    <mergeCell ref="D124:D125"/>
    <mergeCell ref="S119:T119"/>
    <mergeCell ref="P152:T156"/>
    <mergeCell ref="K309:L309"/>
    <mergeCell ref="J12:K13"/>
    <mergeCell ref="G171:H171"/>
    <mergeCell ref="E142:H142"/>
    <mergeCell ref="Q206:R206"/>
    <mergeCell ref="K340:N340"/>
    <mergeCell ref="M227:N227"/>
    <mergeCell ref="P446:T446"/>
    <mergeCell ref="P440:T440"/>
    <mergeCell ref="P489:T500"/>
    <mergeCell ref="G58:H58"/>
    <mergeCell ref="Q74:R74"/>
    <mergeCell ref="M400:N400"/>
    <mergeCell ref="Q76:R76"/>
    <mergeCell ref="S138:T138"/>
    <mergeCell ref="P441:T441"/>
    <mergeCell ref="K187:N188"/>
    <mergeCell ref="J301:N305"/>
    <mergeCell ref="G75:H75"/>
    <mergeCell ref="S140:T140"/>
    <mergeCell ref="K189:N190"/>
    <mergeCell ref="D374:E374"/>
    <mergeCell ref="O41:T41"/>
    <mergeCell ref="Q55:Q56"/>
    <mergeCell ref="Q136:R136"/>
    <mergeCell ref="E312:F312"/>
    <mergeCell ref="O43:T43"/>
    <mergeCell ref="P420:T422"/>
    <mergeCell ref="J2:T3"/>
    <mergeCell ref="J119:J120"/>
    <mergeCell ref="S160:T160"/>
    <mergeCell ref="J222:J225"/>
    <mergeCell ref="Q272:T272"/>
    <mergeCell ref="E315:H316"/>
    <mergeCell ref="J172:N172"/>
    <mergeCell ref="P326:Q326"/>
    <mergeCell ref="G246:H246"/>
    <mergeCell ref="Q120:R120"/>
    <mergeCell ref="G463:H463"/>
    <mergeCell ref="Q278:R278"/>
    <mergeCell ref="D418:E418"/>
    <mergeCell ref="Q186:T186"/>
    <mergeCell ref="D252:D253"/>
    <mergeCell ref="E348:H349"/>
    <mergeCell ref="S184:T184"/>
    <mergeCell ref="Q115:R115"/>
    <mergeCell ref="P541:T541"/>
    <mergeCell ref="S213:T213"/>
    <mergeCell ref="L356:N357"/>
    <mergeCell ref="P136:P139"/>
    <mergeCell ref="D9:T10"/>
    <mergeCell ref="E78:F78"/>
    <mergeCell ref="D16:H16"/>
    <mergeCell ref="K254:N255"/>
    <mergeCell ref="E265:H265"/>
    <mergeCell ref="Q291:R291"/>
    <mergeCell ref="D18:H18"/>
    <mergeCell ref="L551:N551"/>
    <mergeCell ref="S266:T266"/>
    <mergeCell ref="P55:P56"/>
    <mergeCell ref="S268:T268"/>
    <mergeCell ref="Q345:R345"/>
    <mergeCell ref="E106:F106"/>
    <mergeCell ref="J287:J290"/>
    <mergeCell ref="Q340:T340"/>
    <mergeCell ref="P551:T551"/>
    <mergeCell ref="D166:D167"/>
    <mergeCell ref="P194:T198"/>
    <mergeCell ref="G74:H74"/>
    <mergeCell ref="E310:F310"/>
    <mergeCell ref="J86:N86"/>
    <mergeCell ref="D373:E373"/>
    <mergeCell ref="K346:L346"/>
    <mergeCell ref="J415:J416"/>
    <mergeCell ref="Q522:T523"/>
    <mergeCell ref="D393:H393"/>
    <mergeCell ref="L28:T28"/>
    <mergeCell ref="D152:H156"/>
    <mergeCell ref="F437:H438"/>
    <mergeCell ref="E179:H179"/>
    <mergeCell ref="K207:N207"/>
    <mergeCell ref="E181:F181"/>
    <mergeCell ref="Q117:R117"/>
    <mergeCell ref="P214:T214"/>
    <mergeCell ref="K76:L76"/>
    <mergeCell ref="M138:N138"/>
    <mergeCell ref="G245:H245"/>
    <mergeCell ref="P296:P297"/>
    <mergeCell ref="L12:N13"/>
    <mergeCell ref="M463:N463"/>
    <mergeCell ref="P122:P123"/>
    <mergeCell ref="S204:T204"/>
    <mergeCell ref="K278:L278"/>
    <mergeCell ref="M36:N36"/>
    <mergeCell ref="E163:F163"/>
    <mergeCell ref="S206:T206"/>
    <mergeCell ref="G113:H113"/>
    <mergeCell ref="Q423:T424"/>
    <mergeCell ref="D441:H441"/>
    <mergeCell ref="Q287:R287"/>
    <mergeCell ref="J437:K438"/>
    <mergeCell ref="Q289:R289"/>
    <mergeCell ref="S345:T345"/>
    <mergeCell ref="P140:P141"/>
    <mergeCell ref="Q160:R160"/>
    <mergeCell ref="J270:J271"/>
    <mergeCell ref="D367:T368"/>
    <mergeCell ref="S257:T257"/>
    <mergeCell ref="D420:H422"/>
    <mergeCell ref="M64:N64"/>
    <mergeCell ref="S55:T56"/>
    <mergeCell ref="S346:T346"/>
    <mergeCell ref="M178:N178"/>
    <mergeCell ref="Q313:R313"/>
    <mergeCell ref="D537:T537"/>
    <mergeCell ref="J325:K325"/>
    <mergeCell ref="K291:L291"/>
    <mergeCell ref="Q184:R184"/>
    <mergeCell ref="K142:N142"/>
    <mergeCell ref="J273:J274"/>
    <mergeCell ref="J327:K327"/>
    <mergeCell ref="G309:H309"/>
    <mergeCell ref="E120:F120"/>
    <mergeCell ref="S250:T250"/>
    <mergeCell ref="P370:Q371"/>
    <mergeCell ref="M206:N206"/>
    <mergeCell ref="Q189:T190"/>
    <mergeCell ref="J411:N411"/>
    <mergeCell ref="D408:T408"/>
    <mergeCell ref="D488:H488"/>
    <mergeCell ref="E150:F150"/>
    <mergeCell ref="J502:J503"/>
    <mergeCell ref="K501:N501"/>
    <mergeCell ref="S117:T117"/>
    <mergeCell ref="M78:N78"/>
    <mergeCell ref="D108:H112"/>
    <mergeCell ref="G339:H339"/>
    <mergeCell ref="K159:L159"/>
    <mergeCell ref="E118:F118"/>
    <mergeCell ref="J393:N393"/>
    <mergeCell ref="K161:L161"/>
    <mergeCell ref="J447:N458"/>
    <mergeCell ref="J334:N338"/>
    <mergeCell ref="M136:N136"/>
    <mergeCell ref="S418:T418"/>
    <mergeCell ref="M225:N225"/>
    <mergeCell ref="Q208:T209"/>
    <mergeCell ref="D434:T435"/>
    <mergeCell ref="E292:F292"/>
    <mergeCell ref="Q114:T114"/>
    <mergeCell ref="J418:K418"/>
    <mergeCell ref="S443:T443"/>
    <mergeCell ref="D532:K532"/>
    <mergeCell ref="O44:T44"/>
    <mergeCell ref="K252:N253"/>
    <mergeCell ref="K85:L85"/>
    <mergeCell ref="P266:P269"/>
    <mergeCell ref="M278:N278"/>
    <mergeCell ref="G264:H264"/>
    <mergeCell ref="M271:N271"/>
    <mergeCell ref="S344:T344"/>
    <mergeCell ref="Q311:R311"/>
    <mergeCell ref="K244:N244"/>
    <mergeCell ref="P460:P461"/>
    <mergeCell ref="P373:T373"/>
    <mergeCell ref="P58:T58"/>
    <mergeCell ref="Q183:R183"/>
    <mergeCell ref="K227:L227"/>
    <mergeCell ref="D543:K546"/>
    <mergeCell ref="J129:N133"/>
    <mergeCell ref="M291:N291"/>
    <mergeCell ref="J166:J167"/>
    <mergeCell ref="E236:F236"/>
    <mergeCell ref="S243:T243"/>
    <mergeCell ref="D296:D297"/>
    <mergeCell ref="K99:L99"/>
    <mergeCell ref="J168:J169"/>
    <mergeCell ref="M74:N74"/>
    <mergeCell ref="P86:T86"/>
    <mergeCell ref="Q201:R201"/>
    <mergeCell ref="G206:H206"/>
    <mergeCell ref="E124:H125"/>
    <mergeCell ref="D259:H263"/>
    <mergeCell ref="J184:J185"/>
    <mergeCell ref="S85:T85"/>
    <mergeCell ref="E289:F289"/>
    <mergeCell ref="P531:T531"/>
    <mergeCell ref="L437:N438"/>
    <mergeCell ref="M92:N92"/>
    <mergeCell ref="D140:D141"/>
    <mergeCell ref="E286:H286"/>
    <mergeCell ref="K179:N179"/>
    <mergeCell ref="A8:B29"/>
    <mergeCell ref="E290:F290"/>
    <mergeCell ref="G346:H346"/>
    <mergeCell ref="Q343:R343"/>
    <mergeCell ref="O40:T40"/>
    <mergeCell ref="E161:F161"/>
    <mergeCell ref="D21:T21"/>
    <mergeCell ref="K185:L185"/>
    <mergeCell ref="P101:P102"/>
    <mergeCell ref="D143:D144"/>
    <mergeCell ref="Q249:R249"/>
    <mergeCell ref="J446:N446"/>
    <mergeCell ref="J237:N237"/>
    <mergeCell ref="M243:N243"/>
    <mergeCell ref="S313:T313"/>
    <mergeCell ref="M120:N120"/>
    <mergeCell ref="D168:D169"/>
    <mergeCell ref="E314:H314"/>
    <mergeCell ref="G250:H250"/>
    <mergeCell ref="R11:T11"/>
    <mergeCell ref="J341:J344"/>
    <mergeCell ref="G76:H76"/>
    <mergeCell ref="D301:H305"/>
    <mergeCell ref="G374:H374"/>
    <mergeCell ref="M115:N115"/>
    <mergeCell ref="E205:F205"/>
    <mergeCell ref="M287:N287"/>
    <mergeCell ref="P325:Q325"/>
    <mergeCell ref="K251:N251"/>
    <mergeCell ref="P327:Q327"/>
    <mergeCell ref="G95:H95"/>
    <mergeCell ref="G418:H418"/>
    <mergeCell ref="L532:T532"/>
    <mergeCell ref="K97:L97"/>
    <mergeCell ref="G306:H306"/>
    <mergeCell ref="E208:H209"/>
    <mergeCell ref="M313:N313"/>
    <mergeCell ref="E114:H114"/>
    <mergeCell ref="S54:T54"/>
    <mergeCell ref="E210:H211"/>
    <mergeCell ref="M184:N184"/>
    <mergeCell ref="M342:N342"/>
    <mergeCell ref="E122:H123"/>
    <mergeCell ref="M308:N308"/>
    <mergeCell ref="M344:N344"/>
    <mergeCell ref="Q293:T293"/>
    <mergeCell ref="P502:P503"/>
    <mergeCell ref="J136:J139"/>
    <mergeCell ref="R323:T323"/>
    <mergeCell ref="S224:T224"/>
    <mergeCell ref="P184:P185"/>
    <mergeCell ref="J467:N478"/>
    <mergeCell ref="K270:L270"/>
    <mergeCell ref="S136:T136"/>
    <mergeCell ref="D444:H445"/>
    <mergeCell ref="Q221:T221"/>
    <mergeCell ref="K299:L299"/>
    <mergeCell ref="Q317:T318"/>
    <mergeCell ref="S94:T94"/>
    <mergeCell ref="E97:F97"/>
    <mergeCell ref="G159:H159"/>
    <mergeCell ref="Q521:T521"/>
    <mergeCell ref="R7:T7"/>
    <mergeCell ref="J317:J318"/>
    <mergeCell ref="D333:H333"/>
    <mergeCell ref="G161:H161"/>
    <mergeCell ref="K192:L192"/>
    <mergeCell ref="J180:J183"/>
    <mergeCell ref="Q64:R64"/>
    <mergeCell ref="S120:T120"/>
    <mergeCell ref="S278:T278"/>
    <mergeCell ref="G373:H373"/>
    <mergeCell ref="E275:H276"/>
    <mergeCell ref="L11:N11"/>
    <mergeCell ref="E479:H479"/>
    <mergeCell ref="J345:J346"/>
    <mergeCell ref="E116:F116"/>
    <mergeCell ref="D2:D4"/>
    <mergeCell ref="P323:Q323"/>
    <mergeCell ref="G85:H85"/>
    <mergeCell ref="M289:N289"/>
    <mergeCell ref="J401:N401"/>
    <mergeCell ref="Q75:R75"/>
    <mergeCell ref="E207:H207"/>
    <mergeCell ref="K205:L205"/>
    <mergeCell ref="F325:H325"/>
    <mergeCell ref="E343:F343"/>
    <mergeCell ref="F327:H327"/>
    <mergeCell ref="J215:N219"/>
    <mergeCell ref="K119:L119"/>
    <mergeCell ref="R55:R56"/>
    <mergeCell ref="O42:T42"/>
    <mergeCell ref="P11:Q11"/>
    <mergeCell ref="D107:H107"/>
    <mergeCell ref="Q162:R162"/>
    <mergeCell ref="M183:N183"/>
    <mergeCell ref="S222:T222"/>
    <mergeCell ref="G99:H99"/>
    <mergeCell ref="P315:P316"/>
    <mergeCell ref="P369:Q369"/>
    <mergeCell ref="D249:D250"/>
    <mergeCell ref="S223:T223"/>
    <mergeCell ref="K290:L290"/>
    <mergeCell ref="G157:H157"/>
    <mergeCell ref="E121:H121"/>
    <mergeCell ref="D325:E325"/>
    <mergeCell ref="P419:T419"/>
    <mergeCell ref="D273:D274"/>
    <mergeCell ref="D327:E327"/>
    <mergeCell ref="S205:T205"/>
    <mergeCell ref="M37:N37"/>
    <mergeCell ref="K308:L308"/>
    <mergeCell ref="K166:N167"/>
    <mergeCell ref="K160:L160"/>
    <mergeCell ref="J280:N284"/>
    <mergeCell ref="Q203:R203"/>
    <mergeCell ref="K168:N169"/>
    <mergeCell ref="D384:T387"/>
    <mergeCell ref="D94:D97"/>
    <mergeCell ref="K459:N459"/>
    <mergeCell ref="D486:H487"/>
    <mergeCell ref="S292:T292"/>
    <mergeCell ref="E501:H501"/>
    <mergeCell ref="D55:E56"/>
    <mergeCell ref="E138:F138"/>
    <mergeCell ref="S287:T287"/>
    <mergeCell ref="O47:T47"/>
    <mergeCell ref="M94:N94"/>
    <mergeCell ref="F323:H323"/>
    <mergeCell ref="E165:H165"/>
    <mergeCell ref="S289:T289"/>
    <mergeCell ref="D317:D318"/>
    <mergeCell ref="J402:N404"/>
    <mergeCell ref="J355:K355"/>
    <mergeCell ref="K204:L204"/>
    <mergeCell ref="J443:L443"/>
    <mergeCell ref="D401:H401"/>
    <mergeCell ref="L552:T552"/>
    <mergeCell ref="E221:H221"/>
    <mergeCell ref="G225:H225"/>
    <mergeCell ref="Q247:R247"/>
    <mergeCell ref="P397:P398"/>
    <mergeCell ref="M306:N306"/>
    <mergeCell ref="E317:H318"/>
    <mergeCell ref="Q257:R257"/>
    <mergeCell ref="G227:H227"/>
    <mergeCell ref="D231:D232"/>
    <mergeCell ref="E521:H521"/>
    <mergeCell ref="D187:D188"/>
    <mergeCell ref="P201:P204"/>
    <mergeCell ref="P215:T219"/>
    <mergeCell ref="D189:D190"/>
    <mergeCell ref="J82:J83"/>
    <mergeCell ref="P412:T414"/>
    <mergeCell ref="S192:T192"/>
    <mergeCell ref="K266:L266"/>
    <mergeCell ref="E231:H232"/>
    <mergeCell ref="G97:H97"/>
    <mergeCell ref="E64:F64"/>
    <mergeCell ref="G426:H426"/>
    <mergeCell ref="E244:H244"/>
    <mergeCell ref="Q270:R270"/>
    <mergeCell ref="K228:N228"/>
    <mergeCell ref="L55:N56"/>
    <mergeCell ref="K250:L250"/>
    <mergeCell ref="J66:N70"/>
    <mergeCell ref="E75:F75"/>
    <mergeCell ref="L543:T545"/>
    <mergeCell ref="Q288:R288"/>
    <mergeCell ref="G299:H299"/>
    <mergeCell ref="P350:P351"/>
    <mergeCell ref="Q37:T37"/>
    <mergeCell ref="J65:N65"/>
    <mergeCell ref="Q202:R202"/>
    <mergeCell ref="K332:L332"/>
    <mergeCell ref="Q501:T501"/>
    <mergeCell ref="G192:H192"/>
    <mergeCell ref="J326:K326"/>
    <mergeCell ref="Q341:R341"/>
    <mergeCell ref="D315:D316"/>
    <mergeCell ref="P279:T279"/>
    <mergeCell ref="J55:K56"/>
    <mergeCell ref="G223:H223"/>
    <mergeCell ref="Q342:R342"/>
    <mergeCell ref="Q213:R213"/>
    <mergeCell ref="Q344:R344"/>
    <mergeCell ref="K343:L343"/>
    <mergeCell ref="P193:T193"/>
    <mergeCell ref="P98:P99"/>
    <mergeCell ref="L25:T25"/>
    <mergeCell ref="K345:L345"/>
    <mergeCell ref="M75:N75"/>
    <mergeCell ref="G249:H249"/>
    <mergeCell ref="G205:H205"/>
    <mergeCell ref="K257:L257"/>
    <mergeCell ref="J410:K410"/>
    <mergeCell ref="Q266:R266"/>
    <mergeCell ref="M106:N106"/>
    <mergeCell ref="K73:L73"/>
    <mergeCell ref="Q268:R268"/>
    <mergeCell ref="M162:N162"/>
    <mergeCell ref="P119:P120"/>
    <mergeCell ref="Q139:R139"/>
    <mergeCell ref="J249:J250"/>
    <mergeCell ref="P259:T263"/>
    <mergeCell ref="S332:T332"/>
    <mergeCell ref="P222:P225"/>
    <mergeCell ref="E204:F204"/>
    <mergeCell ref="L378:T378"/>
    <mergeCell ref="M157:N157"/>
    <mergeCell ref="E206:F206"/>
    <mergeCell ref="K121:N121"/>
    <mergeCell ref="D440:H440"/>
    <mergeCell ref="D489:H500"/>
    <mergeCell ref="E74:F74"/>
    <mergeCell ref="J252:J253"/>
    <mergeCell ref="D436:E436"/>
    <mergeCell ref="K117:L117"/>
    <mergeCell ref="G290:H290"/>
    <mergeCell ref="L355:N355"/>
    <mergeCell ref="S343:T343"/>
    <mergeCell ref="D245:D248"/>
    <mergeCell ref="K275:N276"/>
    <mergeCell ref="D201:D204"/>
    <mergeCell ref="M185:N185"/>
    <mergeCell ref="D61:T62"/>
    <mergeCell ref="J322:K322"/>
    <mergeCell ref="J73:J76"/>
    <mergeCell ref="Q168:T169"/>
    <mergeCell ref="D412:H414"/>
    <mergeCell ref="J486:N487"/>
    <mergeCell ref="K293:N293"/>
    <mergeCell ref="S96:T96"/>
    <mergeCell ref="S71:T71"/>
    <mergeCell ref="K265:N265"/>
    <mergeCell ref="M201:N201"/>
    <mergeCell ref="J259:N263"/>
    <mergeCell ref="G160:H160"/>
    <mergeCell ref="K138:L138"/>
    <mergeCell ref="E103:H104"/>
    <mergeCell ref="S73:T73"/>
    <mergeCell ref="S98:T98"/>
    <mergeCell ref="E272:H272"/>
    <mergeCell ref="Q315:T316"/>
    <mergeCell ref="M203:N203"/>
    <mergeCell ref="Q179:T179"/>
    <mergeCell ref="E270:F270"/>
    <mergeCell ref="P355:Q355"/>
    <mergeCell ref="Q187:T188"/>
    <mergeCell ref="J506:N507"/>
    <mergeCell ref="K317:N318"/>
    <mergeCell ref="Q93:T93"/>
    <mergeCell ref="D25:K25"/>
    <mergeCell ref="E115:F115"/>
    <mergeCell ref="M343:N343"/>
    <mergeCell ref="K231:N232"/>
    <mergeCell ref="M247:N247"/>
    <mergeCell ref="E423:H424"/>
    <mergeCell ref="P341:P344"/>
    <mergeCell ref="K64:L64"/>
    <mergeCell ref="M257:N257"/>
    <mergeCell ref="Q224:R224"/>
    <mergeCell ref="R322:T322"/>
    <mergeCell ref="Q82:T83"/>
    <mergeCell ref="P410:Q410"/>
    <mergeCell ref="P415:P416"/>
    <mergeCell ref="E202:F202"/>
    <mergeCell ref="J205:J206"/>
    <mergeCell ref="P229:P230"/>
    <mergeCell ref="E291:F291"/>
    <mergeCell ref="P17:T17"/>
    <mergeCell ref="G266:H266"/>
    <mergeCell ref="S137:T137"/>
    <mergeCell ref="P19:T19"/>
    <mergeCell ref="Q250:R250"/>
    <mergeCell ref="P66:T70"/>
    <mergeCell ref="S139:T139"/>
    <mergeCell ref="L326:N326"/>
    <mergeCell ref="E184:F184"/>
    <mergeCell ref="K206:L206"/>
    <mergeCell ref="E342:F342"/>
    <mergeCell ref="E340:H340"/>
    <mergeCell ref="D334:H338"/>
    <mergeCell ref="M181:N181"/>
    <mergeCell ref="E213:F213"/>
    <mergeCell ref="M270:N270"/>
    <mergeCell ref="E344:F344"/>
    <mergeCell ref="G400:H400"/>
    <mergeCell ref="D553:K556"/>
    <mergeCell ref="P464:T465"/>
    <mergeCell ref="L54:N54"/>
    <mergeCell ref="Q94:R94"/>
    <mergeCell ref="P65:T65"/>
    <mergeCell ref="K224:L224"/>
    <mergeCell ref="P33:Q34"/>
    <mergeCell ref="M199:N199"/>
    <mergeCell ref="L556:O556"/>
    <mergeCell ref="M288:N288"/>
    <mergeCell ref="K136:L136"/>
    <mergeCell ref="E522:H523"/>
    <mergeCell ref="K225:L225"/>
    <mergeCell ref="J163:J164"/>
    <mergeCell ref="S64:T64"/>
    <mergeCell ref="J294:J295"/>
    <mergeCell ref="E268:F268"/>
    <mergeCell ref="M71:N71"/>
    <mergeCell ref="D119:D120"/>
    <mergeCell ref="M202:N202"/>
    <mergeCell ref="G332:H332"/>
    <mergeCell ref="D222:D225"/>
    <mergeCell ref="F326:H326"/>
    <mergeCell ref="D172:H172"/>
    <mergeCell ref="E140:F140"/>
    <mergeCell ref="Q210:T211"/>
    <mergeCell ref="E252:H253"/>
    <mergeCell ref="L436:N436"/>
    <mergeCell ref="P80:P81"/>
    <mergeCell ref="D122:D123"/>
    <mergeCell ref="D525:T526"/>
    <mergeCell ref="J266:J269"/>
    <mergeCell ref="J359:K359"/>
    <mergeCell ref="J54:K54"/>
    <mergeCell ref="E293:H293"/>
    <mergeCell ref="M213:N213"/>
    <mergeCell ref="E287:F287"/>
    <mergeCell ref="G343:H343"/>
    <mergeCell ref="R324:T324"/>
    <mergeCell ref="G345:H345"/>
    <mergeCell ref="P15:T15"/>
    <mergeCell ref="P226:P227"/>
    <mergeCell ref="D356:H357"/>
    <mergeCell ref="D378:K378"/>
    <mergeCell ref="Q229:T230"/>
    <mergeCell ref="S164:T164"/>
    <mergeCell ref="G71:H71"/>
    <mergeCell ref="E313:F313"/>
    <mergeCell ref="D129:H133"/>
    <mergeCell ref="J229:J230"/>
    <mergeCell ref="M266:N266"/>
    <mergeCell ref="D359:H359"/>
    <mergeCell ref="J440:N440"/>
    <mergeCell ref="E308:F308"/>
    <mergeCell ref="M268:N268"/>
    <mergeCell ref="D370:E371"/>
    <mergeCell ref="E187:H188"/>
    <mergeCell ref="P275:P276"/>
    <mergeCell ref="Q119:R119"/>
    <mergeCell ref="D22:T23"/>
    <mergeCell ref="E189:H190"/>
    <mergeCell ref="G213:H213"/>
    <mergeCell ref="D320:T321"/>
    <mergeCell ref="G270:H270"/>
    <mergeCell ref="R370:T371"/>
    <mergeCell ref="P322:Q322"/>
    <mergeCell ref="S183:T183"/>
    <mergeCell ref="P73:P76"/>
    <mergeCell ref="P270:P271"/>
    <mergeCell ref="K223:L223"/>
    <mergeCell ref="Q116:R116"/>
    <mergeCell ref="P324:Q324"/>
    <mergeCell ref="G117:H117"/>
    <mergeCell ref="D533:K536"/>
    <mergeCell ref="P108:T112"/>
    <mergeCell ref="J420:N422"/>
    <mergeCell ref="K415:N416"/>
    <mergeCell ref="D341:D344"/>
    <mergeCell ref="S180:T180"/>
    <mergeCell ref="K248:L248"/>
    <mergeCell ref="J463:L463"/>
    <mergeCell ref="K247:L247"/>
    <mergeCell ref="J397:J398"/>
    <mergeCell ref="S203:T203"/>
    <mergeCell ref="D17:H17"/>
    <mergeCell ref="J405:J406"/>
    <mergeCell ref="K249:L249"/>
    <mergeCell ref="M7:N7"/>
    <mergeCell ref="J101:J102"/>
    <mergeCell ref="D446:H446"/>
    <mergeCell ref="D47:N47"/>
    <mergeCell ref="M341:N341"/>
    <mergeCell ref="K120:L120"/>
    <mergeCell ref="Q200:T200"/>
    <mergeCell ref="E250:F250"/>
    <mergeCell ref="G443:H443"/>
    <mergeCell ref="Q296:T297"/>
    <mergeCell ref="J214:N214"/>
    <mergeCell ref="E76:F76"/>
    <mergeCell ref="G138:H138"/>
    <mergeCell ref="K307:N307"/>
    <mergeCell ref="G140:H140"/>
    <mergeCell ref="D12:H13"/>
    <mergeCell ref="Q77:R77"/>
    <mergeCell ref="D266:D269"/>
    <mergeCell ref="S264:T264"/>
    <mergeCell ref="S247:T247"/>
    <mergeCell ref="J324:K324"/>
    <mergeCell ref="D509:H520"/>
    <mergeCell ref="D437:E438"/>
    <mergeCell ref="E94:F94"/>
    <mergeCell ref="E311:F311"/>
    <mergeCell ref="E95:F95"/>
    <mergeCell ref="D326:E326"/>
    <mergeCell ref="G64:H64"/>
    <mergeCell ref="E186:H186"/>
    <mergeCell ref="K184:L184"/>
    <mergeCell ref="K342:L342"/>
    <mergeCell ref="K344:L344"/>
    <mergeCell ref="M250:N250"/>
    <mergeCell ref="O46:T46"/>
    <mergeCell ref="D136:D139"/>
    <mergeCell ref="D86:H86"/>
    <mergeCell ref="Q141:R141"/>
    <mergeCell ref="M410:N410"/>
    <mergeCell ref="P82:P83"/>
    <mergeCell ref="O48:T48"/>
    <mergeCell ref="E2:H3"/>
    <mergeCell ref="D411:H411"/>
    <mergeCell ref="P508:T508"/>
    <mergeCell ref="F528:T529"/>
    <mergeCell ref="S288:T288"/>
    <mergeCell ref="S171:T171"/>
    <mergeCell ref="K245:L245"/>
    <mergeCell ref="P466:T466"/>
    <mergeCell ref="S505:T505"/>
    <mergeCell ref="D15:H15"/>
    <mergeCell ref="D226:D227"/>
    <mergeCell ref="P294:P295"/>
    <mergeCell ref="M309:N309"/>
    <mergeCell ref="E159:F159"/>
    <mergeCell ref="S202:T202"/>
    <mergeCell ref="P463:R463"/>
    <mergeCell ref="M332:N332"/>
    <mergeCell ref="D397:D398"/>
    <mergeCell ref="G136:H136"/>
    <mergeCell ref="Q127:R127"/>
    <mergeCell ref="D400:E400"/>
    <mergeCell ref="D101:D102"/>
    <mergeCell ref="P115:P118"/>
    <mergeCell ref="P312:P313"/>
    <mergeCell ref="P546:T546"/>
    <mergeCell ref="K292:L292"/>
    <mergeCell ref="P359:Q359"/>
    <mergeCell ref="S220:T220"/>
    <mergeCell ref="S342:T342"/>
    <mergeCell ref="Q307:T307"/>
    <mergeCell ref="J145:J146"/>
    <mergeCell ref="K287:L287"/>
    <mergeCell ref="E119:F119"/>
    <mergeCell ref="E85:F85"/>
    <mergeCell ref="J323:K323"/>
    <mergeCell ref="K289:L289"/>
    <mergeCell ref="Q182:R182"/>
    <mergeCell ref="D322:E322"/>
    <mergeCell ref="M345:N345"/>
    <mergeCell ref="G183:H183"/>
    <mergeCell ref="D73:D76"/>
    <mergeCell ref="J140:J141"/>
    <mergeCell ref="L553:T555"/>
    <mergeCell ref="D270:D271"/>
    <mergeCell ref="S271:T271"/>
    <mergeCell ref="S246:T246"/>
    <mergeCell ref="D324:E324"/>
    <mergeCell ref="G185:H185"/>
    <mergeCell ref="M376:N376"/>
    <mergeCell ref="P467:T478"/>
    <mergeCell ref="G178:H178"/>
    <mergeCell ref="K313:L313"/>
    <mergeCell ref="S248:T248"/>
    <mergeCell ref="J485:L485"/>
    <mergeCell ref="M73:N73"/>
    <mergeCell ref="K158:N158"/>
    <mergeCell ref="E200:H200"/>
    <mergeCell ref="G204:H204"/>
    <mergeCell ref="Q226:R226"/>
    <mergeCell ref="E296:H297"/>
    <mergeCell ref="K72:N72"/>
    <mergeCell ref="Q79:T79"/>
    <mergeCell ref="P180:P183"/>
    <mergeCell ref="Q222:R222"/>
    <mergeCell ref="Q223:R223"/>
    <mergeCell ref="M117:N117"/>
    <mergeCell ref="E160:F160"/>
    <mergeCell ref="Q415:T416"/>
    <mergeCell ref="M119:N119"/>
    <mergeCell ref="G224:H224"/>
    <mergeCell ref="D485:F485"/>
    <mergeCell ref="S312:T312"/>
    <mergeCell ref="P444:T445"/>
    <mergeCell ref="P437:T438"/>
    <mergeCell ref="L325:N325"/>
    <mergeCell ref="Q397:T398"/>
    <mergeCell ref="M443:N443"/>
    <mergeCell ref="Q101:T102"/>
    <mergeCell ref="L327:N327"/>
    <mergeCell ref="J400:K400"/>
    <mergeCell ref="Q292:R292"/>
    <mergeCell ref="Q267:R267"/>
    <mergeCell ref="G120:H120"/>
    <mergeCell ref="G278:H278"/>
    <mergeCell ref="Q269:R269"/>
    <mergeCell ref="Q479:T479"/>
    <mergeCell ref="P145:P146"/>
    <mergeCell ref="P505:R505"/>
    <mergeCell ref="K94:L94"/>
    <mergeCell ref="Q181:R181"/>
    <mergeCell ref="J464:N465"/>
    <mergeCell ref="K311:L311"/>
    <mergeCell ref="M77:N77"/>
    <mergeCell ref="M375:N375"/>
    <mergeCell ref="D402:H404"/>
    <mergeCell ref="G505:H505"/>
    <mergeCell ref="E225:F225"/>
    <mergeCell ref="M160:N160"/>
    <mergeCell ref="D294:D295"/>
    <mergeCell ref="P308:P311"/>
    <mergeCell ref="E227:F227"/>
    <mergeCell ref="Q163:R163"/>
    <mergeCell ref="G202:H202"/>
    <mergeCell ref="G291:H291"/>
    <mergeCell ref="M59:N59"/>
    <mergeCell ref="P77:P78"/>
    <mergeCell ref="D115:D118"/>
    <mergeCell ref="J480:J481"/>
    <mergeCell ref="D312:D313"/>
    <mergeCell ref="G184:H184"/>
    <mergeCell ref="G220:H220"/>
    <mergeCell ref="G342:H342"/>
    <mergeCell ref="Q502:T503"/>
    <mergeCell ref="S308:T308"/>
    <mergeCell ref="G222:H222"/>
    <mergeCell ref="G344:H344"/>
    <mergeCell ref="S99:T99"/>
    <mergeCell ref="P103:P104"/>
    <mergeCell ref="M85:N85"/>
    <mergeCell ref="S310:T310"/>
    <mergeCell ref="S92:T92"/>
    <mergeCell ref="S309:T309"/>
    <mergeCell ref="M141:N141"/>
    <mergeCell ref="L323:N323"/>
    <mergeCell ref="M224:N224"/>
    <mergeCell ref="S311:T311"/>
    <mergeCell ref="M118:N118"/>
    <mergeCell ref="R33:T34"/>
    <mergeCell ref="P443:R443"/>
    <mergeCell ref="E185:F185"/>
    <mergeCell ref="K221:N221"/>
    <mergeCell ref="E299:F299"/>
    <mergeCell ref="D419:H419"/>
    <mergeCell ref="D287:D290"/>
    <mergeCell ref="G243:H243"/>
    <mergeCell ref="K521:N521"/>
    <mergeCell ref="S181:T181"/>
    <mergeCell ref="K96:L96"/>
    <mergeCell ref="E201:F201"/>
    <mergeCell ref="K98:L98"/>
    <mergeCell ref="D180:D183"/>
    <mergeCell ref="E541:K541"/>
    <mergeCell ref="E223:F223"/>
    <mergeCell ref="L533:T535"/>
    <mergeCell ref="G287:H287"/>
    <mergeCell ref="M180:N180"/>
    <mergeCell ref="J238:N242"/>
    <mergeCell ref="S77:T77"/>
    <mergeCell ref="Q294:T295"/>
    <mergeCell ref="E251:H251"/>
    <mergeCell ref="G289:H289"/>
    <mergeCell ref="M182:N182"/>
    <mergeCell ref="Q158:T158"/>
    <mergeCell ref="D405:D406"/>
    <mergeCell ref="E249:F249"/>
    <mergeCell ref="E257:F257"/>
    <mergeCell ref="G313:H313"/>
    <mergeCell ref="D193:H193"/>
    <mergeCell ref="K296:N297"/>
    <mergeCell ref="E101:H102"/>
    <mergeCell ref="E405:H406"/>
    <mergeCell ref="Q72:T72"/>
    <mergeCell ref="D215:H219"/>
    <mergeCell ref="S95:T95"/>
    <mergeCell ref="D538:T539"/>
    <mergeCell ref="P480:P481"/>
    <mergeCell ref="K162:L162"/>
    <mergeCell ref="K137:L137"/>
    <mergeCell ref="E267:F267"/>
    <mergeCell ref="K347:N347"/>
    <mergeCell ref="Q332:R332"/>
    <mergeCell ref="K164:L164"/>
    <mergeCell ref="K139:L139"/>
    <mergeCell ref="M226:N226"/>
    <mergeCell ref="E269:F269"/>
    <mergeCell ref="M222:N222"/>
    <mergeCell ref="E431:H432"/>
    <mergeCell ref="R32:T32"/>
    <mergeCell ref="J315:J316"/>
    <mergeCell ref="P208:P209"/>
    <mergeCell ref="P210:P211"/>
    <mergeCell ref="M223:N223"/>
    <mergeCell ref="S116:T116"/>
    <mergeCell ref="J128:N128"/>
    <mergeCell ref="S118:T118"/>
    <mergeCell ref="E273:H274"/>
    <mergeCell ref="E192:F192"/>
    <mergeCell ref="M127:N127"/>
    <mergeCell ref="M249:N249"/>
    <mergeCell ref="M285:N285"/>
    <mergeCell ref="S134:T134"/>
    <mergeCell ref="D350:D351"/>
    <mergeCell ref="Q73:R73"/>
    <mergeCell ref="K203:L203"/>
    <mergeCell ref="E459:H459"/>
    <mergeCell ref="E502:H503"/>
    <mergeCell ref="M267:N267"/>
    <mergeCell ref="D103:D104"/>
    <mergeCell ref="P32:Q32"/>
    <mergeCell ref="L542:T542"/>
    <mergeCell ref="J466:N466"/>
    <mergeCell ref="M269:N269"/>
    <mergeCell ref="G94:H94"/>
    <mergeCell ref="D98:D99"/>
    <mergeCell ref="G311:H311"/>
    <mergeCell ref="E93:H93"/>
    <mergeCell ref="J245:J248"/>
    <mergeCell ref="D205:D206"/>
    <mergeCell ref="D428:H430"/>
    <mergeCell ref="Q171:R171"/>
    <mergeCell ref="M192:N192"/>
    <mergeCell ref="E266:F266"/>
    <mergeCell ref="Q137:R137"/>
    <mergeCell ref="D323:E323"/>
    <mergeCell ref="S201:T201"/>
    <mergeCell ref="J460:J461"/>
    <mergeCell ref="Q227:R227"/>
    <mergeCell ref="D148:T148"/>
    <mergeCell ref="Q228:T228"/>
    <mergeCell ref="M245:N245"/>
    <mergeCell ref="J210:J211"/>
    <mergeCell ref="G37:H37"/>
    <mergeCell ref="S290:T290"/>
    <mergeCell ref="E166:H167"/>
    <mergeCell ref="K288:L288"/>
    <mergeCell ref="P436:T436"/>
    <mergeCell ref="Q98:R98"/>
    <mergeCell ref="P254:P255"/>
    <mergeCell ref="S127:T127"/>
    <mergeCell ref="Q350:T351"/>
    <mergeCell ref="K480:N481"/>
    <mergeCell ref="E168:H169"/>
    <mergeCell ref="S285:T285"/>
    <mergeCell ref="L29:T30"/>
    <mergeCell ref="J350:J351"/>
    <mergeCell ref="S162:T162"/>
    <mergeCell ref="D54:E54"/>
    <mergeCell ref="K202:L202"/>
    <mergeCell ref="G96:H96"/>
    <mergeCell ref="E332:F332"/>
    <mergeCell ref="P87:T91"/>
    <mergeCell ref="R359:T359"/>
    <mergeCell ref="Q245:R245"/>
    <mergeCell ref="R369:T369"/>
    <mergeCell ref="G98:H98"/>
    <mergeCell ref="J226:J227"/>
    <mergeCell ref="S182:T182"/>
    <mergeCell ref="J279:N279"/>
    <mergeCell ref="Q118:R118"/>
    <mergeCell ref="J80:J81"/>
    <mergeCell ref="D32:N32"/>
    <mergeCell ref="P151:T151"/>
    <mergeCell ref="Q275:T276"/>
    <mergeCell ref="K100:N100"/>
    <mergeCell ref="J193:N193"/>
    <mergeCell ref="J201:J204"/>
    <mergeCell ref="K405:N406"/>
    <mergeCell ref="E345:F345"/>
    <mergeCell ref="D82:D83"/>
    <mergeCell ref="G119:H119"/>
    <mergeCell ref="K246:L246"/>
    <mergeCell ref="P536:T536"/>
  </mergeCells>
  <dataValidations count="30">
    <dataValidation sqref="J16" showDropDown="0" showInputMessage="0" showErrorMessage="0" allowBlank="1" type="list" errorStyle="stop">
      <formula1>DADOS_AM!$CS$2:$CS$5</formula1>
    </dataValidation>
    <dataValidation sqref="D18 J18 P18" showDropDown="0" showInputMessage="0" showErrorMessage="0" allowBlank="1" type="list" errorStyle="stop">
      <formula1>DADOS_AM!$CX$2:$CX$14</formula1>
    </dataValidation>
    <dataValidation sqref="P33" showDropDown="0" showInputMessage="0" showErrorMessage="0" allowBlank="1" type="list" errorStyle="stop">
      <formula1>DADOS_AM!$CA$2:$CA$4</formula1>
    </dataValidation>
    <dataValidation sqref="D37 E37 F37 G37 J37 K37 L37 M37 P37" showDropDown="0" showInputMessage="0" showErrorMessage="0" allowBlank="1" type="list" errorStyle="stop">
      <formula1>DADOS_AM!$N$2:$N$4</formula1>
    </dataValidation>
    <dataValidation sqref="D59 D64 D85 D106 D127 D150 D171 D192 D213 D236 D257 D278 D299 J64 J85 J106 J127 J150 J171 J192 J213 J236 J257 J278 J299 P64 P85 P106 P127 P150 P171 P192 P213 P236 P257 P278 P299" showDropDown="0" showInputMessage="0" showErrorMessage="0" allowBlank="1" type="list" errorStyle="stop">
      <formula1>DADOS_AM!$P$2:$P$8</formula1>
    </dataValidation>
    <dataValidation sqref="D71 D92 D113 D134 D157 D178 D199 D220 D243 D264 D285 D306 D339 J71 J92 J113 J134 J157 J178 J199 J220 J243 J264 J285 J306 J339 J356 P71 P92 P113 P134 P157 P178 P199 P220 P243 P264 P285 P306 P339" showDropDown="0" showInputMessage="0" showErrorMessage="0" allowBlank="1" type="list" errorStyle="stop">
      <formula1>'DADOS_FORMAS'!$FW$2:$FW$21</formula1>
    </dataValidation>
    <dataValidation sqref="E73:E76 E94:E97 E115:E118 E136:E139 E159:E162 E180:E183 E201:E204 E222:E225 E245:E248 E266:E269 E287:E290 E308:E311 E341:E344 J359 K73:K76 K94:K97 K115:K118 K136:K139 K159:K162 K180:K183 K201:K204 K222:K225 K245:K248 K266:K269 K287:K290 K308:K311 K341:K344 L359 P359 Q73:Q76 Q94:Q97 Q115:Q118 Q136:Q139 Q159:Q162 Q180:Q183 Q201:Q204 Q222:Q225 Q245:Q248 Q266:Q269 Q287:Q290 Q308:Q311 Q341:Q344 R359" showDropDown="0" showInputMessage="0" showErrorMessage="0" allowBlank="1" type="list" errorStyle="stop">
      <formula1>'DADOS_MELHORIAS'!$U$2:$U$113</formula1>
    </dataValidation>
    <dataValidation sqref="E77:E78 E98:E99 E119:E120 E140:E141 E163:E164 E184:E185 E205:E206 E226:E227 E249:E250 E270:E271 E291:E292 E312:E313 E345:E346 K77:K78 K98:K99 K119:K120 K140:K141 K163:K164 K184:K185 K205:K206 K226:K227 K249:K250 K270:K271 K291:K292 K312:K313 K345:K346 Q77:Q78 Q98:Q99 Q119:Q120 Q140:Q141 Q163:Q164 Q184:Q185 Q205:Q206 Q226:Q227 Q249:Q250 Q270:Q271 Q291:Q292 Q312:Q313 Q345:Q346" showDropDown="0" showInputMessage="0" showErrorMessage="0" allowBlank="1" type="list" errorStyle="stop">
      <formula1>'DADOS_RESTRICOES'!$M$2:$M$54</formula1>
    </dataValidation>
    <dataValidation sqref="F323:F327" showDropDown="0" showInputMessage="0" showErrorMessage="0" allowBlank="1" type="list" errorStyle="stop">
      <formula1>'DADOS_FORMAS'!$FX$2:$FX$21</formula1>
    </dataValidation>
    <dataValidation sqref="J323:J327" showDropDown="0" showInputMessage="0" showErrorMessage="0" allowBlank="1" type="list" errorStyle="stop">
      <formula1>'DADOS_MELHORIAS'!$V$2:$V$113</formula1>
    </dataValidation>
    <dataValidation sqref="L323:L327" showDropDown="0" showInputMessage="0" showErrorMessage="0" allowBlank="1" type="list" errorStyle="stop">
      <formula1>'DADOS_RESTRICOES'!$Q$2:$Q$54</formula1>
    </dataValidation>
    <dataValidation sqref="D332 J332 P332" showDropDown="0" showInputMessage="0" showErrorMessage="0" allowBlank="1" type="list" errorStyle="stop">
      <formula1>DADOS_AM!$DF$2:$DF$6</formula1>
    </dataValidation>
    <dataValidation sqref="D370" showDropDown="0" showInputMessage="0" showErrorMessage="0" allowBlank="1" type="list" errorStyle="stop">
      <formula1>DADOS_AM!$DL$2:$DL$4</formula1>
    </dataValidation>
    <dataValidation sqref="D392 D400 D410 D418 D426 J392 J400 J410 J418 P392 P410 P418" showDropDown="0" showInputMessage="0" showErrorMessage="0" allowBlank="1" type="list" errorStyle="stop">
      <formula1>'DADOS_TALENTOS'!$AV$2:$AV$34</formula1>
    </dataValidation>
    <dataValidation sqref="D441" showDropDown="0" showInputMessage="0" showErrorMessage="0" allowBlank="1" type="list" errorStyle="stop">
      <formula1>'DADOS_PROGRESSAO'!$AG$2:$AG$34</formula1>
    </dataValidation>
    <dataValidation sqref="J441" showDropDown="0" showInputMessage="0" showErrorMessage="0" allowBlank="1" type="list" errorStyle="stop">
      <formula1>DADOS!$J$4:$J$7</formula1>
    </dataValidation>
    <dataValidation sqref="D443 D463 D485 D505 J443 J463 J485 J505 P443 P463 P485 P505" showDropDown="0" showInputMessage="0" showErrorMessage="0" allowBlank="1" type="list" errorStyle="stop">
      <formula1>'DADOS_APTIDOES'!$BK$2:$BK$45</formula1>
    </dataValidation>
    <dataValidation sqref="L531 L541 L551" showDropDown="0" showInputMessage="0" showErrorMessage="0" allowBlank="1" type="list" errorStyle="stop">
      <formula1>DADOS_AM!$DR$2:$DR$5</formula1>
    </dataValidation>
    <dataValidation sqref="P531 P541 P551" showDropDown="0" showInputMessage="0" showErrorMessage="0" allowBlank="1" type="list" errorStyle="stop">
      <formula1>DADOS_AM!$DU$2:$DU$5</formula1>
    </dataValidation>
    <dataValidation sqref="P536 P546 P556" showDropDown="0" showInputMessage="0" showErrorMessage="0" allowBlank="1" type="list" errorStyle="stop">
      <formula1>DADOS_AM!$DW$2:$DW$6</formula1>
    </dataValidation>
    <dataValidation sqref="O41" showDropDown="0" showInputMessage="0" showErrorMessage="1" allowBlank="1" type="list" errorStyle="stop">
      <formula1>'DADOS_CRIACAO'!$M$2:$M$4</formula1>
    </dataValidation>
    <dataValidation sqref="O42" showDropDown="0" showInputMessage="0" showErrorMessage="1" allowBlank="1" type="list" errorStyle="stop">
      <formula1>'DADOS_CRIACAO'!$M$2:$M$4</formula1>
    </dataValidation>
    <dataValidation sqref="O43" showDropDown="0" showInputMessage="0" showErrorMessage="1" allowBlank="1" type="list" errorStyle="stop">
      <formula1>'DADOS_CRIACAO'!$M$2:$M$4</formula1>
    </dataValidation>
    <dataValidation sqref="O44" showDropDown="0" showInputMessage="0" showErrorMessage="1" allowBlank="1" type="list" errorStyle="stop">
      <formula1>'DADOS_CRIACAO'!$M$2:$M$4</formula1>
    </dataValidation>
    <dataValidation sqref="O45" showDropDown="0" showInputMessage="0" showErrorMessage="1" allowBlank="1" type="list" errorStyle="stop">
      <formula1>'DADOS_CRIACAO'!$M$2:$M$4</formula1>
    </dataValidation>
    <dataValidation sqref="O46" showDropDown="0" showInputMessage="0" showErrorMessage="1" allowBlank="1" type="list" errorStyle="stop">
      <formula1>'DADOS_CRIACAO'!$M$2:$M$4</formula1>
    </dataValidation>
    <dataValidation sqref="O47" showDropDown="0" showInputMessage="0" showErrorMessage="1" allowBlank="1" type="list" errorStyle="stop">
      <formula1>'DADOS_CRIACAO'!$M$2:$M$4</formula1>
    </dataValidation>
    <dataValidation sqref="O48" showDropDown="0" showInputMessage="0" showErrorMessage="1" allowBlank="1" type="list" errorStyle="stop">
      <formula1>'DADOS_CRIACAO'!$M$2:$M$4</formula1>
    </dataValidation>
    <dataValidation sqref="O49" showDropDown="0" showInputMessage="0" showErrorMessage="1" allowBlank="1" type="list" errorStyle="stop">
      <formula1>'DADOS_CRIACAO'!$M$2:$M$4</formula1>
    </dataValidation>
    <dataValidation sqref="O50" showDropDown="0" showInputMessage="0" showErrorMessage="1" allowBlank="1" type="list" errorStyle="stop">
      <formula1>'DADOS_CRIACAO'!$M$2:$M$4</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AS1274"/>
  <sheetViews>
    <sheetView showGridLines="0" workbookViewId="0">
      <selection activeCell="A1" sqref="A1"/>
    </sheetView>
  </sheetViews>
  <sheetFormatPr baseColWidth="8" defaultRowHeight="15.75" customHeight="1"/>
  <cols>
    <col width="4" customWidth="1" min="1" max="1"/>
    <col width="4" customWidth="1" min="2" max="2"/>
    <col width="4" customWidth="1" min="3" max="3"/>
    <col outlineLevel="1" width="13.5" customWidth="1" min="4" max="4"/>
    <col outlineLevel="1" width="13.5" customWidth="1" min="5" max="5"/>
    <col outlineLevel="1" width="13.5" customWidth="1" min="6" max="6"/>
    <col outlineLevel="1" width="4" customWidth="1" min="7" max="7"/>
    <col width="4" customWidth="1" min="8" max="8"/>
    <col outlineLevel="1" width="12.125" customWidth="1" min="9" max="9"/>
    <col outlineLevel="1" width="12.125" customWidth="1" min="10" max="10"/>
    <col outlineLevel="1" width="12.125" customWidth="1" min="11" max="11"/>
    <col outlineLevel="1" width="12.125" customWidth="1" min="12" max="12"/>
    <col outlineLevel="1" width="12.125" customWidth="1" min="13" max="13"/>
    <col outlineLevel="1" width="4" customWidth="1" min="14" max="14"/>
    <col outlineLevel="1" width="12.125" customWidth="1" min="15" max="15"/>
    <col outlineLevel="1" width="12.125" customWidth="1" min="16" max="16"/>
    <col outlineLevel="1" width="12.125" customWidth="1" min="17" max="17"/>
    <col outlineLevel="1" width="12.125" customWidth="1" min="18" max="18"/>
    <col outlineLevel="1" width="12.125" customWidth="1" min="19" max="19"/>
    <col outlineLevel="1" width="4" customWidth="1" min="20" max="20"/>
    <col outlineLevel="1" width="12.125" customWidth="1" min="21" max="21"/>
    <col outlineLevel="1" width="12.125" customWidth="1" min="22" max="22"/>
    <col outlineLevel="1" width="12.125" customWidth="1" min="23" max="23"/>
    <col outlineLevel="1" width="12.125" customWidth="1" min="24" max="24"/>
    <col outlineLevel="1" width="12.125" customWidth="1" min="25" max="25"/>
    <col outlineLevel="1" width="4" customWidth="1" min="26" max="26"/>
    <col width="4" customWidth="1" min="27" max="27"/>
    <col hidden="1" outlineLevel="1" width="12.125" customWidth="1" min="28" max="28"/>
    <col hidden="1" outlineLevel="1" width="12.125" customWidth="1" min="29" max="29"/>
    <col hidden="1" outlineLevel="1" width="12.125" customWidth="1" min="30" max="30"/>
    <col hidden="1" outlineLevel="1" width="12.125" customWidth="1" min="31" max="31"/>
    <col hidden="1" outlineLevel="1" width="12.125" customWidth="1" min="32" max="32"/>
    <col hidden="1" outlineLevel="1" width="4" customWidth="1" min="33" max="33"/>
    <col hidden="1" outlineLevel="1" width="12.125" customWidth="1" min="34" max="34"/>
    <col hidden="1" outlineLevel="1" width="12.125" customWidth="1" min="35" max="35"/>
    <col hidden="1" outlineLevel="1" width="12.125" customWidth="1" min="36" max="36"/>
    <col hidden="1" outlineLevel="1" width="12.125" customWidth="1" min="37" max="37"/>
    <col hidden="1" outlineLevel="1" width="12.125" customWidth="1" min="38" max="38"/>
    <col hidden="1" outlineLevel="1" width="4" customWidth="1" min="39" max="39"/>
    <col hidden="1" outlineLevel="1" width="12.125" customWidth="1" min="40" max="40"/>
    <col hidden="1" outlineLevel="1" width="12.125" customWidth="1" min="41" max="41"/>
    <col hidden="1" outlineLevel="1" width="12.125" customWidth="1" min="42" max="42"/>
    <col hidden="1" outlineLevel="1" width="12.125" customWidth="1" min="43" max="43"/>
    <col hidden="1" outlineLevel="1" width="12.125" customWidth="1" min="44" max="44"/>
    <col hidden="1" outlineLevel="1" width="4" customWidth="1" min="45" max="45"/>
  </cols>
  <sheetData>
    <row r="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8" t="n"/>
      <c r="AP1" s="8" t="n"/>
      <c r="AQ1" s="8" t="n"/>
      <c r="AR1" s="8" t="n"/>
      <c r="AS1" s="8" t="n"/>
    </row>
    <row r="2">
      <c r="A2" s="8" t="n"/>
      <c r="B2" s="8" t="n"/>
      <c r="C2" s="8" t="n"/>
      <c r="D2" s="43" t="inlineStr">
        <is>
          <t>呪術</t>
        </is>
      </c>
      <c r="E2" s="44" t="inlineStr">
        <is>
          <t>INVOCAÇÕES</t>
        </is>
      </c>
      <c r="N2" s="8" t="n"/>
      <c r="O2" s="45">
        <f>FICHA!AB2</f>
        <v/>
      </c>
      <c r="Z2" s="8" t="n"/>
      <c r="AA2" s="8" t="n"/>
      <c r="AB2" s="8" t="n"/>
      <c r="AC2" s="8" t="n"/>
      <c r="AD2" s="8" t="n"/>
      <c r="AE2" s="8" t="n"/>
      <c r="AF2" s="8" t="n"/>
      <c r="AG2" s="8" t="n"/>
      <c r="AH2" s="8" t="n"/>
      <c r="AI2" s="8" t="n"/>
      <c r="AJ2" s="8" t="n"/>
      <c r="AK2" s="8" t="n"/>
      <c r="AL2" s="8" t="n"/>
      <c r="AM2" s="8" t="n"/>
      <c r="AN2" s="8" t="n"/>
      <c r="AO2" s="8" t="n"/>
      <c r="AP2" s="8" t="n"/>
      <c r="AQ2" s="8" t="n"/>
      <c r="AR2" s="8" t="n"/>
      <c r="AS2" s="8" t="n"/>
    </row>
    <row r="3">
      <c r="A3" s="8" t="n"/>
      <c r="B3" s="8" t="n"/>
      <c r="C3" s="8" t="n"/>
      <c r="N3" s="8" t="n"/>
      <c r="Z3" s="8" t="n"/>
      <c r="AA3" s="8" t="n"/>
      <c r="AB3" s="8" t="n"/>
      <c r="AC3" s="8" t="n"/>
      <c r="AD3" s="8" t="n"/>
      <c r="AE3" s="8" t="n"/>
      <c r="AF3" s="8" t="n"/>
      <c r="AG3" s="8" t="n"/>
      <c r="AH3" s="8" t="n"/>
      <c r="AI3" s="8" t="n"/>
      <c r="AJ3" s="8" t="n"/>
      <c r="AK3" s="8" t="n"/>
      <c r="AL3" s="8" t="n"/>
      <c r="AM3" s="8" t="n"/>
      <c r="AN3" s="8" t="n"/>
      <c r="AO3" s="8" t="n"/>
      <c r="AP3" s="8" t="n"/>
      <c r="AQ3" s="8" t="n"/>
      <c r="AR3" s="8" t="n"/>
      <c r="AS3" s="8" t="n"/>
    </row>
    <row r="4">
      <c r="A4" s="8" t="n"/>
      <c r="B4" s="8" t="n"/>
      <c r="C4" s="8" t="n"/>
      <c r="E4" s="46">
        <f>DADOS!$F$1&amp;" · as entidades, a montagem e a mesa"</f>
        <v/>
      </c>
      <c r="N4" s="8" t="n"/>
      <c r="O4" s="47">
        <f>FICHA!AB4</f>
        <v/>
      </c>
      <c r="Z4" s="8" t="n"/>
      <c r="AA4" s="8" t="n"/>
      <c r="AB4" s="8" t="n"/>
      <c r="AC4" s="8" t="n"/>
      <c r="AD4" s="8" t="n"/>
      <c r="AE4" s="8" t="n"/>
      <c r="AF4" s="8" t="n"/>
      <c r="AG4" s="8" t="n"/>
      <c r="AH4" s="8" t="n"/>
      <c r="AI4" s="8" t="n"/>
      <c r="AJ4" s="8" t="n"/>
      <c r="AK4" s="8" t="n"/>
      <c r="AL4" s="8" t="n"/>
      <c r="AM4" s="8" t="n"/>
      <c r="AN4" s="8" t="n"/>
      <c r="AO4" s="8" t="n"/>
      <c r="AP4" s="8" t="n"/>
      <c r="AQ4" s="8" t="n"/>
      <c r="AR4" s="8" t="n"/>
      <c r="AS4" s="8" t="n"/>
    </row>
    <row r="5">
      <c r="A5" s="8" t="n"/>
      <c r="B5" s="8"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row>
    <row r="6">
      <c r="A6" s="8" t="n"/>
      <c r="B6" s="14" t="n"/>
      <c r="C6" s="137" t="n"/>
      <c r="AR6" s="137" t="n"/>
      <c r="AS6" s="137" t="n"/>
    </row>
    <row r="7">
      <c r="A7" s="8" t="n"/>
      <c r="B7" s="14" t="n"/>
      <c r="C7" s="137" t="n"/>
      <c r="D7" s="137" t="n"/>
      <c r="E7" s="137" t="n"/>
      <c r="F7" s="137" t="n"/>
      <c r="G7" s="137" t="n"/>
      <c r="H7" s="137" t="n"/>
      <c r="I7" s="137" t="n"/>
      <c r="J7" s="137" t="n"/>
      <c r="K7" s="137" t="n"/>
      <c r="L7" s="137" t="n"/>
      <c r="M7" s="137" t="n"/>
      <c r="N7" s="137" t="n"/>
      <c r="O7" s="137" t="n"/>
      <c r="P7" s="137" t="n"/>
      <c r="Q7" s="137" t="n"/>
      <c r="R7" s="137" t="n"/>
      <c r="S7" s="137" t="n"/>
      <c r="T7" s="137" t="n"/>
      <c r="U7" s="137" t="n"/>
      <c r="V7" s="137" t="n"/>
      <c r="W7" s="137" t="n"/>
      <c r="X7" s="137" t="n"/>
      <c r="Y7" s="137" t="n"/>
      <c r="Z7" s="137" t="n"/>
      <c r="AA7" s="137" t="n"/>
      <c r="AB7" s="137" t="n"/>
      <c r="AC7" s="137" t="n"/>
      <c r="AD7" s="137" t="n"/>
      <c r="AE7" s="137" t="n"/>
      <c r="AF7" s="137" t="n"/>
      <c r="AG7" s="137" t="n"/>
      <c r="AH7" s="137" t="n"/>
      <c r="AI7" s="137" t="n"/>
      <c r="AJ7" s="137" t="n"/>
      <c r="AK7" s="137" t="n"/>
      <c r="AL7" s="137" t="n"/>
      <c r="AM7" s="137" t="n"/>
      <c r="AN7" s="137" t="n"/>
      <c r="AO7" s="137" t="n"/>
      <c r="AP7" s="137" t="n"/>
      <c r="AQ7" s="137" t="n"/>
      <c r="AR7" s="137" t="n"/>
      <c r="AS7" s="137" t="n"/>
    </row>
    <row r="8">
      <c r="A8" s="48" t="inlineStr">
        <is>
          <t>CICLO MALDITO</t>
        </is>
      </c>
      <c r="B8" s="22" t="n"/>
      <c r="C8" s="137" t="n"/>
      <c r="D8" s="137" t="n"/>
      <c r="E8" s="137" t="n"/>
      <c r="F8" s="137" t="n"/>
      <c r="G8" s="137" t="n"/>
      <c r="H8" s="137" t="n"/>
      <c r="I8" s="137" t="n"/>
      <c r="J8" s="137" t="n"/>
      <c r="K8" s="137" t="n"/>
      <c r="L8" s="137" t="n"/>
      <c r="M8" s="137" t="n"/>
      <c r="N8" s="137" t="n"/>
      <c r="O8" s="137" t="n"/>
      <c r="P8" s="137" t="n"/>
      <c r="Q8" s="137" t="n"/>
      <c r="R8" s="137" t="n"/>
      <c r="S8" s="137" t="n"/>
      <c r="T8" s="137" t="n"/>
      <c r="U8" s="137" t="n"/>
      <c r="V8" s="137" t="n"/>
      <c r="W8" s="137" t="n"/>
      <c r="X8" s="137" t="n"/>
      <c r="Y8" s="137" t="n"/>
      <c r="Z8" s="137" t="n"/>
      <c r="AA8" s="137" t="n"/>
      <c r="AB8" s="137" t="n"/>
      <c r="AC8" s="137" t="n"/>
      <c r="AD8" s="137" t="n"/>
      <c r="AE8" s="137" t="n"/>
      <c r="AF8" s="137" t="n"/>
      <c r="AG8" s="137" t="n"/>
      <c r="AH8" s="137" t="n"/>
      <c r="AI8" s="137" t="n"/>
      <c r="AJ8" s="137" t="n"/>
      <c r="AK8" s="137" t="n"/>
      <c r="AL8" s="137" t="n"/>
      <c r="AM8" s="137" t="n"/>
      <c r="AN8" s="137" t="n"/>
      <c r="AO8" s="137" t="n"/>
      <c r="AP8" s="137" t="n"/>
      <c r="AQ8" s="137" t="n"/>
      <c r="AR8" s="137" t="n"/>
      <c r="AS8" s="137" t="n"/>
    </row>
    <row r="9">
      <c r="B9" s="22" t="n"/>
      <c r="C9" s="137" t="n"/>
      <c r="D9" s="55" t="inlineStr">
        <is>
          <t>O CONJUNTO</t>
        </is>
      </c>
      <c r="E9" s="19" t="n"/>
      <c r="F9" s="20" t="n"/>
      <c r="G9" s="137" t="n"/>
      <c r="H9" s="151" t="n">
        <v>1</v>
      </c>
      <c r="I9" s="152" t="n">
        <v>1</v>
      </c>
      <c r="J9" s="55">
        <f>DADOS_INVOC!$HG$2</f>
        <v/>
      </c>
      <c r="K9" s="19" t="n"/>
      <c r="L9" s="19" t="n"/>
      <c r="M9" s="19" t="n"/>
      <c r="N9" s="19" t="n"/>
      <c r="O9" s="19" t="n"/>
      <c r="P9" s="19" t="n"/>
      <c r="Q9" s="19" t="n"/>
      <c r="R9" s="19" t="n"/>
      <c r="S9" s="19" t="n"/>
      <c r="T9" s="19" t="n"/>
      <c r="U9" s="19" t="n"/>
      <c r="V9" s="19" t="n"/>
      <c r="W9" s="19" t="n"/>
      <c r="X9" s="19" t="n"/>
      <c r="Y9" s="20" t="n"/>
      <c r="Z9" s="137" t="n"/>
      <c r="AA9" s="151" t="n">
        <v>7</v>
      </c>
      <c r="AB9" s="152" t="n">
        <v>7</v>
      </c>
      <c r="AC9" s="55">
        <f>DADOS_INVOC!$HG$8</f>
        <v/>
      </c>
      <c r="AD9" s="19" t="n"/>
      <c r="AE9" s="19" t="n"/>
      <c r="AF9" s="19" t="n"/>
      <c r="AG9" s="19" t="n"/>
      <c r="AH9" s="19" t="n"/>
      <c r="AI9" s="19" t="n"/>
      <c r="AJ9" s="19" t="n"/>
      <c r="AK9" s="19" t="n"/>
      <c r="AL9" s="19" t="n"/>
      <c r="AM9" s="19" t="n"/>
      <c r="AN9" s="19" t="n"/>
      <c r="AO9" s="19" t="n"/>
      <c r="AP9" s="19" t="n"/>
      <c r="AQ9" s="19" t="n"/>
      <c r="AR9" s="20" t="n"/>
      <c r="AS9" s="137" t="n"/>
    </row>
    <row r="10">
      <c r="B10" s="22" t="n"/>
      <c r="C10" s="137" t="n"/>
      <c r="D10" s="23" t="n"/>
      <c r="E10" s="24" t="n"/>
      <c r="F10" s="25" t="n"/>
      <c r="G10" s="137" t="n"/>
      <c r="I10" s="128" t="n"/>
      <c r="J10" s="23" t="n"/>
      <c r="K10" s="24" t="n"/>
      <c r="L10" s="24" t="n"/>
      <c r="M10" s="24" t="n"/>
      <c r="N10" s="24" t="n"/>
      <c r="O10" s="24" t="n"/>
      <c r="P10" s="24" t="n"/>
      <c r="Q10" s="24" t="n"/>
      <c r="R10" s="24" t="n"/>
      <c r="S10" s="24" t="n"/>
      <c r="T10" s="24" t="n"/>
      <c r="U10" s="24" t="n"/>
      <c r="V10" s="24" t="n"/>
      <c r="W10" s="24" t="n"/>
      <c r="X10" s="24" t="n"/>
      <c r="Y10" s="25" t="n"/>
      <c r="Z10" s="137" t="n"/>
      <c r="AB10" s="128" t="n"/>
      <c r="AC10" s="23" t="n"/>
      <c r="AD10" s="24" t="n"/>
      <c r="AE10" s="24" t="n"/>
      <c r="AF10" s="24" t="n"/>
      <c r="AG10" s="24" t="n"/>
      <c r="AH10" s="24" t="n"/>
      <c r="AI10" s="24" t="n"/>
      <c r="AJ10" s="24" t="n"/>
      <c r="AK10" s="24" t="n"/>
      <c r="AL10" s="24" t="n"/>
      <c r="AM10" s="24" t="n"/>
      <c r="AN10" s="24" t="n"/>
      <c r="AO10" s="24" t="n"/>
      <c r="AP10" s="24" t="n"/>
      <c r="AQ10" s="24" t="n"/>
      <c r="AR10" s="25" t="n"/>
      <c r="AS10" s="137" t="n"/>
    </row>
    <row r="11">
      <c r="B11" s="22" t="n"/>
      <c r="C11" s="137" t="n"/>
      <c r="D11" s="137" t="n"/>
      <c r="E11" s="137" t="n"/>
      <c r="F11" s="137" t="n"/>
      <c r="G11" s="137" t="n"/>
      <c r="H11" s="153">
        <f>DADOS_INVOC!$HH$2</f>
        <v/>
      </c>
      <c r="I11" s="137" t="n"/>
      <c r="J11" s="137" t="n"/>
      <c r="K11" s="137" t="n"/>
      <c r="L11" s="137" t="n"/>
      <c r="M11" s="137" t="n"/>
      <c r="N11" s="137" t="n"/>
      <c r="O11" s="137" t="n"/>
      <c r="P11" s="137" t="n"/>
      <c r="Q11" s="137" t="n"/>
      <c r="R11" s="137" t="n"/>
      <c r="S11" s="137" t="n"/>
      <c r="T11" s="137" t="n"/>
      <c r="U11" s="137" t="n"/>
      <c r="V11" s="137" t="n"/>
      <c r="W11" s="137" t="n"/>
      <c r="X11" s="137" t="n"/>
      <c r="Y11" s="137" t="n"/>
      <c r="Z11" s="137" t="n"/>
      <c r="AA11" s="153">
        <f>DADOS_INVOC!$HH$8</f>
        <v/>
      </c>
      <c r="AB11" s="137" t="n"/>
      <c r="AC11" s="137" t="n"/>
      <c r="AD11" s="137" t="n"/>
      <c r="AE11" s="137" t="n"/>
      <c r="AF11" s="137" t="n"/>
      <c r="AG11" s="137" t="n"/>
      <c r="AH11" s="137" t="n"/>
      <c r="AI11" s="137" t="n"/>
      <c r="AJ11" s="137" t="n"/>
      <c r="AK11" s="137" t="n"/>
      <c r="AL11" s="137" t="n"/>
      <c r="AM11" s="137" t="n"/>
      <c r="AN11" s="137" t="n"/>
      <c r="AO11" s="137" t="n"/>
      <c r="AP11" s="137" t="n"/>
      <c r="AQ11" s="137" t="n"/>
      <c r="AR11" s="137" t="n"/>
      <c r="AS11" s="137" t="n"/>
    </row>
    <row r="12">
      <c r="B12" s="22" t="n"/>
      <c r="C12" s="137" t="n"/>
      <c r="D12" s="56" t="inlineStr">
        <is>
          <t>SEU NÍVEL</t>
        </is>
      </c>
      <c r="E12" s="56" t="inlineStr">
        <is>
          <t>MAESTRIA</t>
        </is>
      </c>
      <c r="F12" s="56" t="inlineStr">
        <is>
          <t>TRILHA</t>
        </is>
      </c>
      <c r="G12" s="137" t="n"/>
      <c r="I12" s="56" t="inlineStr">
        <is>
          <t>NOME</t>
        </is>
      </c>
      <c r="J12" s="16" t="n"/>
      <c r="K12" s="16" t="n"/>
      <c r="L12" s="16" t="n"/>
      <c r="M12" s="17" t="n"/>
      <c r="N12" s="137" t="n"/>
      <c r="O12" s="56" t="inlineStr">
        <is>
          <t>NÍVEL</t>
        </is>
      </c>
      <c r="P12" s="56" t="inlineStr">
        <is>
          <t>CLASSE</t>
        </is>
      </c>
      <c r="Q12" s="56" t="inlineStr">
        <is>
          <t>MAESTRIA</t>
        </is>
      </c>
      <c r="R12" s="56" t="inlineStr">
        <is>
          <t>ENTRADA</t>
        </is>
      </c>
      <c r="S12" s="56" t="inlineStr">
        <is>
          <t>RETORNO</t>
        </is>
      </c>
      <c r="T12" s="137" t="n"/>
      <c r="U12" s="56" t="inlineStr">
        <is>
          <t>VIDA ATUAL</t>
        </is>
      </c>
      <c r="V12" s="56" t="inlineStr">
        <is>
          <t>VIDA MÁXIMA</t>
        </is>
      </c>
      <c r="W12" s="56" t="inlineStr">
        <is>
          <t>TEMPORÁRIA</t>
        </is>
      </c>
      <c r="X12" s="56" t="inlineStr">
        <is>
          <t>± PERDA / GANHO</t>
        </is>
      </c>
      <c r="Y12" s="56">
        <f>DADOS_INVOC!$IB$2</f>
        <v/>
      </c>
      <c r="Z12" s="137" t="n"/>
      <c r="AB12" s="56" t="inlineStr">
        <is>
          <t>NOME</t>
        </is>
      </c>
      <c r="AC12" s="16" t="n"/>
      <c r="AD12" s="16" t="n"/>
      <c r="AE12" s="16" t="n"/>
      <c r="AF12" s="17" t="n"/>
      <c r="AG12" s="137" t="n"/>
      <c r="AH12" s="56" t="inlineStr">
        <is>
          <t>NÍVEL</t>
        </is>
      </c>
      <c r="AI12" s="56" t="inlineStr">
        <is>
          <t>CLASSE</t>
        </is>
      </c>
      <c r="AJ12" s="56" t="inlineStr">
        <is>
          <t>MAESTRIA</t>
        </is>
      </c>
      <c r="AK12" s="56" t="inlineStr">
        <is>
          <t>ENTRADA</t>
        </is>
      </c>
      <c r="AL12" s="56" t="inlineStr">
        <is>
          <t>RETORNO</t>
        </is>
      </c>
      <c r="AM12" s="137" t="n"/>
      <c r="AN12" s="56" t="inlineStr">
        <is>
          <t>VIDA ATUAL</t>
        </is>
      </c>
      <c r="AO12" s="56" t="inlineStr">
        <is>
          <t>VIDA MÁXIMA</t>
        </is>
      </c>
      <c r="AP12" s="56" t="inlineStr">
        <is>
          <t>TEMPORÁRIA</t>
        </is>
      </c>
      <c r="AQ12" s="56" t="inlineStr">
        <is>
          <t>± PERDA / GANHO</t>
        </is>
      </c>
      <c r="AR12" s="56">
        <f>DADOS_INVOC!$IB$8</f>
        <v/>
      </c>
      <c r="AS12" s="137" t="n"/>
    </row>
    <row r="13">
      <c r="B13" s="22" t="n"/>
      <c r="C13" s="137" t="n"/>
      <c r="D13" s="105">
        <f>DADOS_INVOC!$DB$2</f>
        <v/>
      </c>
      <c r="E13" s="105">
        <f>DADOS_INVOC!$QU$2</f>
        <v/>
      </c>
      <c r="F13" s="95">
        <f>DADOS_INVOC!$QU$3</f>
        <v/>
      </c>
      <c r="G13" s="137" t="n"/>
      <c r="I13" s="87" t="n"/>
      <c r="J13" s="19" t="n"/>
      <c r="K13" s="19" t="n"/>
      <c r="L13" s="19" t="n"/>
      <c r="M13" s="20" t="n"/>
      <c r="N13" s="137" t="n"/>
      <c r="O13" s="105">
        <f>DADOS_INVOC!$FO$2</f>
        <v/>
      </c>
      <c r="P13" s="105">
        <f>DADOS_INVOC!$FP$2</f>
        <v/>
      </c>
      <c r="Q13" s="105">
        <f>DADOS_INVOC!$HI$2</f>
        <v/>
      </c>
      <c r="R13" s="105">
        <f>DADOS_INVOC!$HJ$2</f>
        <v/>
      </c>
      <c r="S13" s="105">
        <f>DADOS_INVOC!$HK$2</f>
        <v/>
      </c>
      <c r="T13" s="137" t="n"/>
      <c r="U13" s="105">
        <f>DADOS_INVOC!$GG$2</f>
        <v/>
      </c>
      <c r="V13" s="105">
        <f>DADOS_INVOC!$GF$2</f>
        <v/>
      </c>
      <c r="W13" s="105" t="n"/>
      <c r="X13" s="105" t="n"/>
      <c r="Y13" s="105" t="n"/>
      <c r="Z13" s="137" t="n"/>
      <c r="AB13" s="87" t="n"/>
      <c r="AC13" s="19" t="n"/>
      <c r="AD13" s="19" t="n"/>
      <c r="AE13" s="19" t="n"/>
      <c r="AF13" s="20" t="n"/>
      <c r="AG13" s="137" t="n"/>
      <c r="AH13" s="105">
        <f>DADOS_INVOC!$FO$8</f>
        <v/>
      </c>
      <c r="AI13" s="105">
        <f>DADOS_INVOC!$FP$8</f>
        <v/>
      </c>
      <c r="AJ13" s="105">
        <f>DADOS_INVOC!$HI$8</f>
        <v/>
      </c>
      <c r="AK13" s="105">
        <f>DADOS_INVOC!$HJ$8</f>
        <v/>
      </c>
      <c r="AL13" s="105">
        <f>DADOS_INVOC!$HK$8</f>
        <v/>
      </c>
      <c r="AM13" s="137" t="n"/>
      <c r="AN13" s="105">
        <f>DADOS_INVOC!$GG$8</f>
        <v/>
      </c>
      <c r="AO13" s="105">
        <f>DADOS_INVOC!$GF$8</f>
        <v/>
      </c>
      <c r="AP13" s="105" t="n"/>
      <c r="AQ13" s="105" t="n"/>
      <c r="AR13" s="105" t="n"/>
      <c r="AS13" s="137" t="n"/>
    </row>
    <row r="14">
      <c r="B14" s="22" t="n"/>
      <c r="C14" s="137" t="n"/>
      <c r="D14" s="128" t="n"/>
      <c r="E14" s="128" t="n"/>
      <c r="F14" s="128" t="n"/>
      <c r="G14" s="137" t="n"/>
      <c r="I14" s="23" t="n"/>
      <c r="J14" s="24" t="n"/>
      <c r="K14" s="24" t="n"/>
      <c r="L14" s="24" t="n"/>
      <c r="M14" s="25" t="n"/>
      <c r="N14" s="137" t="n"/>
      <c r="O14" s="128" t="n"/>
      <c r="P14" s="128" t="n"/>
      <c r="Q14" s="128" t="n"/>
      <c r="R14" s="128" t="n"/>
      <c r="S14" s="128" t="n"/>
      <c r="T14" s="137" t="n"/>
      <c r="U14" s="128" t="n"/>
      <c r="V14" s="128" t="n"/>
      <c r="W14" s="128" t="n"/>
      <c r="X14" s="128" t="n"/>
      <c r="Y14" s="128" t="n"/>
      <c r="Z14" s="137" t="n"/>
      <c r="AB14" s="23" t="n"/>
      <c r="AC14" s="24" t="n"/>
      <c r="AD14" s="24" t="n"/>
      <c r="AE14" s="24" t="n"/>
      <c r="AF14" s="25" t="n"/>
      <c r="AG14" s="137" t="n"/>
      <c r="AH14" s="128" t="n"/>
      <c r="AI14" s="128" t="n"/>
      <c r="AJ14" s="128" t="n"/>
      <c r="AK14" s="128" t="n"/>
      <c r="AL14" s="128" t="n"/>
      <c r="AM14" s="137" t="n"/>
      <c r="AN14" s="128" t="n"/>
      <c r="AO14" s="128" t="n"/>
      <c r="AP14" s="128" t="n"/>
      <c r="AQ14" s="128" t="n"/>
      <c r="AR14" s="128" t="n"/>
      <c r="AS14" s="137" t="n"/>
    </row>
    <row r="15">
      <c r="B15" s="22" t="n"/>
      <c r="C15" s="137" t="n"/>
      <c r="D15" s="137" t="n"/>
      <c r="E15" s="137" t="n"/>
      <c r="F15" s="137" t="n"/>
      <c r="G15" s="137" t="n"/>
      <c r="I15" s="154" t="inlineStr">
        <is>
          <t>FOTO
式神</t>
        </is>
      </c>
      <c r="J15" s="19" t="n"/>
      <c r="K15" s="19" t="n"/>
      <c r="L15" s="19" t="n"/>
      <c r="M15" s="20" t="n"/>
      <c r="N15" s="137" t="n"/>
      <c r="O15" s="137" t="n"/>
      <c r="P15" s="137" t="n"/>
      <c r="Q15" s="137" t="n"/>
      <c r="R15" s="137" t="n"/>
      <c r="S15" s="137" t="n"/>
      <c r="T15" s="137" t="n"/>
      <c r="U15" s="144">
        <f>IFERROR(SPARKLINE(DADOS_INVOC!$GH$2,{"charttype","bar";"max",MAX(1,DADOS_INVOC!$GF$2);"color1",DADOS_INVOC!$DB$12}),"")</f>
        <v/>
      </c>
      <c r="V15" s="16" t="n"/>
      <c r="W15" s="16" t="n"/>
      <c r="X15" s="16" t="n"/>
      <c r="Y15" s="17" t="n"/>
      <c r="Z15" s="137" t="n"/>
      <c r="AB15" s="154" t="inlineStr">
        <is>
          <t>FOTO
式神</t>
        </is>
      </c>
      <c r="AC15" s="19" t="n"/>
      <c r="AD15" s="19" t="n"/>
      <c r="AE15" s="19" t="n"/>
      <c r="AF15" s="20" t="n"/>
      <c r="AG15" s="137" t="n"/>
      <c r="AH15" s="137" t="n"/>
      <c r="AI15" s="137" t="n"/>
      <c r="AJ15" s="137" t="n"/>
      <c r="AK15" s="137" t="n"/>
      <c r="AL15" s="137" t="n"/>
      <c r="AM15" s="137" t="n"/>
      <c r="AN15" s="144">
        <f>IFERROR(SPARKLINE(DADOS_INVOC!$GH$8,{"charttype","bar";"max",MAX(1,DADOS_INVOC!$GF$8);"color1",DADOS_INVOC!$DB$12}),"")</f>
        <v/>
      </c>
      <c r="AO15" s="16" t="n"/>
      <c r="AP15" s="16" t="n"/>
      <c r="AQ15" s="16" t="n"/>
      <c r="AR15" s="17" t="n"/>
      <c r="AS15" s="137" t="n"/>
    </row>
    <row r="16">
      <c r="B16" s="22" t="n"/>
      <c r="C16" s="137" t="n"/>
      <c r="D16" s="56" t="inlineStr">
        <is>
          <t>DEFESA USA</t>
        </is>
      </c>
      <c r="E16" s="56" t="inlineStr">
        <is>
          <t>ATIVAS, NO MÁXIMO</t>
        </is>
      </c>
      <c r="F16" s="56" t="inlineStr">
        <is>
          <t>CORPOS MANTIDOS</t>
        </is>
      </c>
      <c r="G16" s="137" t="n"/>
      <c r="I16" s="21" t="n"/>
      <c r="M16" s="22" t="n"/>
      <c r="N16" s="137" t="n"/>
      <c r="O16" s="56">
        <f>DADOS_INVOC!$HL$2</f>
        <v/>
      </c>
      <c r="P16" s="16" t="n"/>
      <c r="Q16" s="16" t="n"/>
      <c r="R16" s="16" t="n"/>
      <c r="S16" s="17" t="n"/>
      <c r="T16" s="137" t="n"/>
      <c r="U16" s="137" t="n"/>
      <c r="V16" s="137" t="n"/>
      <c r="W16" s="137" t="n"/>
      <c r="X16" s="137" t="n"/>
      <c r="Y16" s="137" t="n"/>
      <c r="Z16" s="137" t="n"/>
      <c r="AB16" s="21" t="n"/>
      <c r="AF16" s="22" t="n"/>
      <c r="AG16" s="137" t="n"/>
      <c r="AH16" s="56">
        <f>DADOS_INVOC!$HL$8</f>
        <v/>
      </c>
      <c r="AI16" s="16" t="n"/>
      <c r="AJ16" s="16" t="n"/>
      <c r="AK16" s="16" t="n"/>
      <c r="AL16" s="17" t="n"/>
      <c r="AM16" s="137" t="n"/>
      <c r="AN16" s="137" t="n"/>
      <c r="AO16" s="137" t="n"/>
      <c r="AP16" s="137" t="n"/>
      <c r="AQ16" s="137" t="n"/>
      <c r="AR16" s="137" t="n"/>
      <c r="AS16" s="137" t="n"/>
    </row>
    <row r="17">
      <c r="B17" s="22" t="n"/>
      <c r="C17" s="137" t="n"/>
      <c r="D17" s="95" t="inlineStr">
        <is>
          <t>Essência</t>
        </is>
      </c>
      <c r="E17" s="105">
        <f>DADOS_INVOC!$DB$8</f>
        <v/>
      </c>
      <c r="F17" s="105">
        <f>DADOS_INVOC!$DB$9</f>
        <v/>
      </c>
      <c r="G17" s="137" t="n"/>
      <c r="I17" s="21" t="n"/>
      <c r="M17" s="22" t="n"/>
      <c r="N17" s="137" t="n"/>
      <c r="O17" s="56" t="inlineStr">
        <is>
          <t>FOR</t>
        </is>
      </c>
      <c r="P17" s="56" t="inlineStr">
        <is>
          <t>DES</t>
        </is>
      </c>
      <c r="Q17" s="56" t="inlineStr">
        <is>
          <t>CON</t>
        </is>
      </c>
      <c r="R17" s="56" t="inlineStr">
        <is>
          <t>INT</t>
        </is>
      </c>
      <c r="S17" s="56" t="inlineStr">
        <is>
          <t>ESS</t>
        </is>
      </c>
      <c r="T17" s="137" t="n"/>
      <c r="U17" s="56" t="inlineStr">
        <is>
          <t>ALMA</t>
        </is>
      </c>
      <c r="V17" s="56" t="inlineStr">
        <is>
          <t>INTEGRIDADE ATUAL</t>
        </is>
      </c>
      <c r="W17" s="56" t="inlineStr">
        <is>
          <t>INTEGRIDADE MÁXIMA</t>
        </is>
      </c>
      <c r="X17" s="56" t="inlineStr">
        <is>
          <t>ESTÁGIO</t>
        </is>
      </c>
      <c r="Y17" s="17" t="n"/>
      <c r="Z17" s="137" t="n"/>
      <c r="AB17" s="21" t="n"/>
      <c r="AF17" s="22" t="n"/>
      <c r="AG17" s="137" t="n"/>
      <c r="AH17" s="56" t="inlineStr">
        <is>
          <t>FOR</t>
        </is>
      </c>
      <c r="AI17" s="56" t="inlineStr">
        <is>
          <t>DES</t>
        </is>
      </c>
      <c r="AJ17" s="56" t="inlineStr">
        <is>
          <t>CON</t>
        </is>
      </c>
      <c r="AK17" s="56" t="inlineStr">
        <is>
          <t>INT</t>
        </is>
      </c>
      <c r="AL17" s="56" t="inlineStr">
        <is>
          <t>ESS</t>
        </is>
      </c>
      <c r="AM17" s="137" t="n"/>
      <c r="AN17" s="56" t="inlineStr">
        <is>
          <t>ALMA</t>
        </is>
      </c>
      <c r="AO17" s="56" t="inlineStr">
        <is>
          <t>INTEGRIDADE ATUAL</t>
        </is>
      </c>
      <c r="AP17" s="56" t="inlineStr">
        <is>
          <t>INTEGRIDADE MÁXIMA</t>
        </is>
      </c>
      <c r="AQ17" s="56" t="inlineStr">
        <is>
          <t>ESTÁGIO</t>
        </is>
      </c>
      <c r="AR17" s="17" t="n"/>
      <c r="AS17" s="137" t="n"/>
    </row>
    <row r="18">
      <c r="B18" s="22" t="n"/>
      <c r="C18" s="137" t="n"/>
      <c r="D18" s="128" t="n"/>
      <c r="E18" s="128" t="n"/>
      <c r="F18" s="128" t="n"/>
      <c r="G18" s="137" t="n"/>
      <c r="I18" s="21" t="n"/>
      <c r="M18" s="22" t="n"/>
      <c r="N18" s="137" t="n"/>
      <c r="O18" s="105">
        <f>DADOS_INVOC!$FR$2</f>
        <v/>
      </c>
      <c r="P18" s="105">
        <f>DADOS_INVOC!$FS$2</f>
        <v/>
      </c>
      <c r="Q18" s="105">
        <f>DADOS_INVOC!$FT$2</f>
        <v/>
      </c>
      <c r="R18" s="105">
        <f>DADOS_INVOC!$FU$2</f>
        <v/>
      </c>
      <c r="S18" s="105">
        <f>DADOS_INVOC!$FV$2</f>
        <v/>
      </c>
      <c r="T18" s="137" t="n"/>
      <c r="U18" s="95" t="inlineStr">
        <is>
          <t>Com alma</t>
        </is>
      </c>
      <c r="V18" s="105">
        <f>DADOS_INVOC!$GJ$2</f>
        <v/>
      </c>
      <c r="W18" s="105">
        <f>DADOS_INVOC!$GL$2</f>
        <v/>
      </c>
      <c r="X18" s="95">
        <f>DADOS_INVOC!$GM$2</f>
        <v/>
      </c>
      <c r="Y18" s="20" t="n"/>
      <c r="Z18" s="137" t="n"/>
      <c r="AB18" s="21" t="n"/>
      <c r="AF18" s="22" t="n"/>
      <c r="AG18" s="137" t="n"/>
      <c r="AH18" s="105">
        <f>DADOS_INVOC!$FR$8</f>
        <v/>
      </c>
      <c r="AI18" s="105">
        <f>DADOS_INVOC!$FS$8</f>
        <v/>
      </c>
      <c r="AJ18" s="105">
        <f>DADOS_INVOC!$FT$8</f>
        <v/>
      </c>
      <c r="AK18" s="105">
        <f>DADOS_INVOC!$FU$8</f>
        <v/>
      </c>
      <c r="AL18" s="105">
        <f>DADOS_INVOC!$FV$8</f>
        <v/>
      </c>
      <c r="AM18" s="137" t="n"/>
      <c r="AN18" s="95" t="inlineStr">
        <is>
          <t>Com alma</t>
        </is>
      </c>
      <c r="AO18" s="105">
        <f>DADOS_INVOC!$GJ$8</f>
        <v/>
      </c>
      <c r="AP18" s="105">
        <f>DADOS_INVOC!$GL$8</f>
        <v/>
      </c>
      <c r="AQ18" s="95">
        <f>DADOS_INVOC!$GM$8</f>
        <v/>
      </c>
      <c r="AR18" s="20" t="n"/>
      <c r="AS18" s="137" t="n"/>
    </row>
    <row r="19">
      <c r="B19" s="22" t="n"/>
      <c r="C19" s="137" t="n"/>
      <c r="D19" s="137" t="n"/>
      <c r="E19" s="137" t="n"/>
      <c r="F19" s="137" t="n"/>
      <c r="G19" s="137" t="n"/>
      <c r="I19" s="21" t="n"/>
      <c r="M19" s="22" t="n"/>
      <c r="N19" s="137" t="n"/>
      <c r="O19" s="128" t="n"/>
      <c r="P19" s="128" t="n"/>
      <c r="Q19" s="128" t="n"/>
      <c r="R19" s="128" t="n"/>
      <c r="S19" s="128" t="n"/>
      <c r="T19" s="137" t="n"/>
      <c r="U19" s="128" t="n"/>
      <c r="V19" s="128" t="n"/>
      <c r="W19" s="128" t="n"/>
      <c r="X19" s="23" t="n"/>
      <c r="Y19" s="25" t="n"/>
      <c r="Z19" s="137" t="n"/>
      <c r="AB19" s="21" t="n"/>
      <c r="AF19" s="22" t="n"/>
      <c r="AG19" s="137" t="n"/>
      <c r="AH19" s="128" t="n"/>
      <c r="AI19" s="128" t="n"/>
      <c r="AJ19" s="128" t="n"/>
      <c r="AK19" s="128" t="n"/>
      <c r="AL19" s="128" t="n"/>
      <c r="AM19" s="137" t="n"/>
      <c r="AN19" s="128" t="n"/>
      <c r="AO19" s="128" t="n"/>
      <c r="AP19" s="128" t="n"/>
      <c r="AQ19" s="23" t="n"/>
      <c r="AR19" s="25" t="n"/>
      <c r="AS19" s="137" t="n"/>
    </row>
    <row r="20">
      <c r="B20" s="22" t="n"/>
      <c r="C20" s="137" t="n"/>
      <c r="D20" s="56">
        <f>DADOS_INVOC!$QU$4</f>
        <v/>
      </c>
      <c r="E20" s="16" t="n"/>
      <c r="F20" s="17" t="n"/>
      <c r="G20" s="137" t="n"/>
      <c r="I20" s="21" t="n"/>
      <c r="M20" s="22" t="n"/>
      <c r="N20" s="137" t="n"/>
      <c r="O20" s="155" t="n">
        <v>0</v>
      </c>
      <c r="P20" s="155" t="n">
        <v>0</v>
      </c>
      <c r="Q20" s="155" t="n">
        <v>0</v>
      </c>
      <c r="R20" s="155" t="n">
        <v>0</v>
      </c>
      <c r="S20" s="155" t="n">
        <v>0</v>
      </c>
      <c r="T20" s="137" t="n"/>
      <c r="U20" s="137" t="n"/>
      <c r="V20" s="137" t="n"/>
      <c r="W20" s="137" t="n"/>
      <c r="X20" s="137" t="n"/>
      <c r="Y20" s="137" t="n"/>
      <c r="Z20" s="137" t="n"/>
      <c r="AB20" s="21" t="n"/>
      <c r="AF20" s="22" t="n"/>
      <c r="AG20" s="137" t="n"/>
      <c r="AH20" s="155" t="n">
        <v>0</v>
      </c>
      <c r="AI20" s="155" t="n">
        <v>0</v>
      </c>
      <c r="AJ20" s="155" t="n">
        <v>0</v>
      </c>
      <c r="AK20" s="155" t="n">
        <v>0</v>
      </c>
      <c r="AL20" s="155" t="n">
        <v>0</v>
      </c>
      <c r="AM20" s="137" t="n"/>
      <c r="AN20" s="137" t="n"/>
      <c r="AO20" s="137" t="n"/>
      <c r="AP20" s="137" t="n"/>
      <c r="AQ20" s="137" t="n"/>
      <c r="AR20" s="137" t="n"/>
      <c r="AS20" s="137" t="n"/>
    </row>
    <row r="21">
      <c r="B21" s="22" t="n"/>
      <c r="C21" s="137" t="n"/>
      <c r="D21" s="96">
        <f>DADOS_INVOC!$JK$2</f>
        <v/>
      </c>
      <c r="E21" s="16" t="n"/>
      <c r="F21" s="17" t="n"/>
      <c r="G21" s="137" t="n"/>
      <c r="I21" s="21" t="n"/>
      <c r="M21" s="22" t="n"/>
      <c r="N21" s="137" t="n"/>
      <c r="O21" s="156" t="n">
        <v>0</v>
      </c>
      <c r="P21" s="156" t="n">
        <v>0</v>
      </c>
      <c r="Q21" s="156" t="n">
        <v>0</v>
      </c>
      <c r="R21" s="156" t="n">
        <v>0</v>
      </c>
      <c r="S21" s="156" t="n">
        <v>0</v>
      </c>
      <c r="T21" s="137" t="n"/>
      <c r="U21" s="56" t="inlineStr">
        <is>
          <t>CONDIÇÕES E USOS GASTOS</t>
        </is>
      </c>
      <c r="V21" s="16" t="n"/>
      <c r="W21" s="16" t="n"/>
      <c r="X21" s="16" t="n"/>
      <c r="Y21" s="17" t="n"/>
      <c r="Z21" s="137" t="n"/>
      <c r="AB21" s="21" t="n"/>
      <c r="AF21" s="22" t="n"/>
      <c r="AG21" s="137" t="n"/>
      <c r="AH21" s="156" t="n">
        <v>0</v>
      </c>
      <c r="AI21" s="156" t="n">
        <v>0</v>
      </c>
      <c r="AJ21" s="156" t="n">
        <v>0</v>
      </c>
      <c r="AK21" s="156" t="n">
        <v>0</v>
      </c>
      <c r="AL21" s="156" t="n">
        <v>0</v>
      </c>
      <c r="AM21" s="137" t="n"/>
      <c r="AN21" s="56" t="inlineStr">
        <is>
          <t>CONDIÇÕES E USOS GASTOS</t>
        </is>
      </c>
      <c r="AO21" s="16" t="n"/>
      <c r="AP21" s="16" t="n"/>
      <c r="AQ21" s="16" t="n"/>
      <c r="AR21" s="17" t="n"/>
      <c r="AS21" s="137" t="n"/>
    </row>
    <row r="22">
      <c r="B22" s="22" t="n"/>
      <c r="C22" s="137" t="n"/>
      <c r="D22" s="96">
        <f>DADOS_INVOC!$JK$3</f>
        <v/>
      </c>
      <c r="E22" s="16" t="n"/>
      <c r="F22" s="17" t="n"/>
      <c r="G22" s="137" t="n"/>
      <c r="I22" s="21" t="n"/>
      <c r="M22" s="22" t="n"/>
      <c r="N22" s="137" t="n"/>
      <c r="O22" s="137" t="n"/>
      <c r="P22" s="137" t="n"/>
      <c r="Q22" s="137" t="n"/>
      <c r="R22" s="137" t="n"/>
      <c r="S22" s="137" t="n"/>
      <c r="T22" s="137" t="n"/>
      <c r="U22" s="61" t="n"/>
      <c r="V22" s="19" t="n"/>
      <c r="W22" s="19" t="n"/>
      <c r="X22" s="19" t="n"/>
      <c r="Y22" s="20" t="n"/>
      <c r="Z22" s="137" t="n"/>
      <c r="AB22" s="21" t="n"/>
      <c r="AF22" s="22" t="n"/>
      <c r="AG22" s="137" t="n"/>
      <c r="AH22" s="137" t="n"/>
      <c r="AI22" s="137" t="n"/>
      <c r="AJ22" s="137" t="n"/>
      <c r="AK22" s="137" t="n"/>
      <c r="AL22" s="137" t="n"/>
      <c r="AM22" s="137" t="n"/>
      <c r="AN22" s="61" t="n"/>
      <c r="AO22" s="19" t="n"/>
      <c r="AP22" s="19" t="n"/>
      <c r="AQ22" s="19" t="n"/>
      <c r="AR22" s="20" t="n"/>
      <c r="AS22" s="137" t="n"/>
    </row>
    <row r="23">
      <c r="B23" s="22" t="n"/>
      <c r="C23" s="137" t="n"/>
      <c r="D23" s="96">
        <f>DADOS_INVOC!$JK$4</f>
        <v/>
      </c>
      <c r="E23" s="16" t="n"/>
      <c r="F23" s="17" t="n"/>
      <c r="G23" s="137" t="n"/>
      <c r="I23" s="21" t="n"/>
      <c r="M23" s="22" t="n"/>
      <c r="N23" s="137" t="n"/>
      <c r="O23" s="56" t="inlineStr">
        <is>
          <t>ATAQUE</t>
        </is>
      </c>
      <c r="P23" s="56" t="inlineStr">
        <is>
          <t>CD</t>
        </is>
      </c>
      <c r="Q23" s="56" t="inlineStr">
        <is>
          <t>DEFESA</t>
        </is>
      </c>
      <c r="R23" s="56" t="inlineStr">
        <is>
          <t>VIDA MÁXIMA</t>
        </is>
      </c>
      <c r="S23" s="56" t="inlineStr">
        <is>
          <t>DESLOCAMENTO</t>
        </is>
      </c>
      <c r="T23" s="137" t="n"/>
      <c r="U23" s="21" t="n"/>
      <c r="Y23" s="22" t="n"/>
      <c r="Z23" s="137" t="n"/>
      <c r="AB23" s="21" t="n"/>
      <c r="AF23" s="22" t="n"/>
      <c r="AG23" s="137" t="n"/>
      <c r="AH23" s="56" t="inlineStr">
        <is>
          <t>ATAQUE</t>
        </is>
      </c>
      <c r="AI23" s="56" t="inlineStr">
        <is>
          <t>CD</t>
        </is>
      </c>
      <c r="AJ23" s="56" t="inlineStr">
        <is>
          <t>DEFESA</t>
        </is>
      </c>
      <c r="AK23" s="56" t="inlineStr">
        <is>
          <t>VIDA MÁXIMA</t>
        </is>
      </c>
      <c r="AL23" s="56" t="inlineStr">
        <is>
          <t>DESLOCAMENTO</t>
        </is>
      </c>
      <c r="AM23" s="137" t="n"/>
      <c r="AN23" s="21" t="n"/>
      <c r="AR23" s="22" t="n"/>
      <c r="AS23" s="137" t="n"/>
    </row>
    <row r="24">
      <c r="B24" s="22" t="n"/>
      <c r="C24" s="137" t="n"/>
      <c r="D24" s="96">
        <f>DADOS_INVOC!$JK$5</f>
        <v/>
      </c>
      <c r="E24" s="16" t="n"/>
      <c r="F24" s="17" t="n"/>
      <c r="G24" s="137" t="n"/>
      <c r="I24" s="21" t="n"/>
      <c r="M24" s="22" t="n"/>
      <c r="N24" s="137" t="n"/>
      <c r="O24" s="105">
        <f>DADOS_INVOC!$HM$2</f>
        <v/>
      </c>
      <c r="P24" s="105">
        <f>DADOS_INVOC!$HN$2</f>
        <v/>
      </c>
      <c r="Q24" s="105">
        <f>DADOS_INVOC!$GD$2</f>
        <v/>
      </c>
      <c r="R24" s="105">
        <f>DADOS_INVOC!$GF$2</f>
        <v/>
      </c>
      <c r="S24" s="105">
        <f>DADOS_INVOC!$HO$2</f>
        <v/>
      </c>
      <c r="T24" s="137" t="n"/>
      <c r="U24" s="23" t="n"/>
      <c r="V24" s="24" t="n"/>
      <c r="W24" s="24" t="n"/>
      <c r="X24" s="24" t="n"/>
      <c r="Y24" s="25" t="n"/>
      <c r="Z24" s="137" t="n"/>
      <c r="AB24" s="21" t="n"/>
      <c r="AF24" s="22" t="n"/>
      <c r="AG24" s="137" t="n"/>
      <c r="AH24" s="105">
        <f>DADOS_INVOC!$HM$8</f>
        <v/>
      </c>
      <c r="AI24" s="105">
        <f>DADOS_INVOC!$HN$8</f>
        <v/>
      </c>
      <c r="AJ24" s="105">
        <f>DADOS_INVOC!$GD$8</f>
        <v/>
      </c>
      <c r="AK24" s="105">
        <f>DADOS_INVOC!$GF$8</f>
        <v/>
      </c>
      <c r="AL24" s="105">
        <f>DADOS_INVOC!$HO$8</f>
        <v/>
      </c>
      <c r="AM24" s="137" t="n"/>
      <c r="AN24" s="23" t="n"/>
      <c r="AO24" s="24" t="n"/>
      <c r="AP24" s="24" t="n"/>
      <c r="AQ24" s="24" t="n"/>
      <c r="AR24" s="25" t="n"/>
      <c r="AS24" s="137" t="n"/>
    </row>
    <row r="25">
      <c r="B25" s="22" t="n"/>
      <c r="C25" s="137" t="n"/>
      <c r="D25" s="96">
        <f>DADOS_INVOC!$JK$6</f>
        <v/>
      </c>
      <c r="E25" s="16" t="n"/>
      <c r="F25" s="17" t="n"/>
      <c r="G25" s="137" t="n"/>
      <c r="I25" s="21" t="n"/>
      <c r="M25" s="22" t="n"/>
      <c r="N25" s="137" t="n"/>
      <c r="O25" s="128" t="n"/>
      <c r="P25" s="128" t="n"/>
      <c r="Q25" s="128" t="n"/>
      <c r="R25" s="128" t="n"/>
      <c r="S25" s="128" t="n"/>
      <c r="T25" s="137" t="n"/>
      <c r="U25" s="137" t="n"/>
      <c r="V25" s="137" t="n"/>
      <c r="W25" s="137" t="n"/>
      <c r="X25" s="137" t="n"/>
      <c r="Y25" s="137" t="n"/>
      <c r="Z25" s="137" t="n"/>
      <c r="AB25" s="21" t="n"/>
      <c r="AF25" s="22" t="n"/>
      <c r="AG25" s="137" t="n"/>
      <c r="AH25" s="128" t="n"/>
      <c r="AI25" s="128" t="n"/>
      <c r="AJ25" s="128" t="n"/>
      <c r="AK25" s="128" t="n"/>
      <c r="AL25" s="128" t="n"/>
      <c r="AM25" s="137" t="n"/>
      <c r="AN25" s="137" t="n"/>
      <c r="AO25" s="137" t="n"/>
      <c r="AP25" s="137" t="n"/>
      <c r="AQ25" s="137" t="n"/>
      <c r="AR25" s="137" t="n"/>
      <c r="AS25" s="137" t="n"/>
    </row>
    <row r="26">
      <c r="B26" s="22" t="n"/>
      <c r="C26" s="137" t="n"/>
      <c r="D26" s="96">
        <f>DADOS_INVOC!$JK$7</f>
        <v/>
      </c>
      <c r="E26" s="16" t="n"/>
      <c r="F26" s="17" t="n"/>
      <c r="G26" s="137" t="n"/>
      <c r="I26" s="21" t="n"/>
      <c r="M26" s="22" t="n"/>
      <c r="N26" s="137" t="n"/>
      <c r="O26" s="156" t="n">
        <v>0</v>
      </c>
      <c r="P26" s="156" t="n">
        <v>0</v>
      </c>
      <c r="Q26" s="156" t="n">
        <v>0</v>
      </c>
      <c r="R26" s="156" t="n">
        <v>0</v>
      </c>
      <c r="S26" s="156" t="n">
        <v>0</v>
      </c>
      <c r="T26" s="137" t="n"/>
      <c r="U26" s="56" t="inlineStr">
        <is>
          <t>ANOTAÇÕES</t>
        </is>
      </c>
      <c r="V26" s="16" t="n"/>
      <c r="W26" s="16" t="n"/>
      <c r="X26" s="16" t="n"/>
      <c r="Y26" s="17" t="n"/>
      <c r="Z26" s="137" t="n"/>
      <c r="AB26" s="21" t="n"/>
      <c r="AF26" s="22" t="n"/>
      <c r="AG26" s="137" t="n"/>
      <c r="AH26" s="156" t="n">
        <v>0</v>
      </c>
      <c r="AI26" s="156" t="n">
        <v>0</v>
      </c>
      <c r="AJ26" s="156" t="n">
        <v>0</v>
      </c>
      <c r="AK26" s="156" t="n">
        <v>0</v>
      </c>
      <c r="AL26" s="156" t="n">
        <v>0</v>
      </c>
      <c r="AM26" s="137" t="n"/>
      <c r="AN26" s="56" t="inlineStr">
        <is>
          <t>ANOTAÇÕES</t>
        </is>
      </c>
      <c r="AO26" s="16" t="n"/>
      <c r="AP26" s="16" t="n"/>
      <c r="AQ26" s="16" t="n"/>
      <c r="AR26" s="17" t="n"/>
      <c r="AS26" s="137" t="n"/>
    </row>
    <row r="27">
      <c r="B27" s="22" t="n"/>
      <c r="C27" s="137" t="n"/>
      <c r="D27" s="96">
        <f>DADOS_INVOC!$JK$8</f>
        <v/>
      </c>
      <c r="E27" s="16" t="n"/>
      <c r="F27" s="17" t="n"/>
      <c r="G27" s="137" t="n"/>
      <c r="I27" s="21" t="n"/>
      <c r="M27" s="22" t="n"/>
      <c r="N27" s="137" t="n"/>
      <c r="O27" s="137" t="n"/>
      <c r="P27" s="137" t="n"/>
      <c r="Q27" s="137" t="n"/>
      <c r="R27" s="137" t="n"/>
      <c r="S27" s="137" t="n"/>
      <c r="T27" s="137" t="n"/>
      <c r="U27" s="61" t="n"/>
      <c r="V27" s="19" t="n"/>
      <c r="W27" s="19" t="n"/>
      <c r="X27" s="19" t="n"/>
      <c r="Y27" s="20" t="n"/>
      <c r="Z27" s="137" t="n"/>
      <c r="AB27" s="21" t="n"/>
      <c r="AF27" s="22" t="n"/>
      <c r="AG27" s="137" t="n"/>
      <c r="AH27" s="137" t="n"/>
      <c r="AI27" s="137" t="n"/>
      <c r="AJ27" s="137" t="n"/>
      <c r="AK27" s="137" t="n"/>
      <c r="AL27" s="137" t="n"/>
      <c r="AM27" s="137" t="n"/>
      <c r="AN27" s="61" t="n"/>
      <c r="AO27" s="19" t="n"/>
      <c r="AP27" s="19" t="n"/>
      <c r="AQ27" s="19" t="n"/>
      <c r="AR27" s="20" t="n"/>
      <c r="AS27" s="137" t="n"/>
    </row>
    <row r="28">
      <c r="B28" s="22" t="n"/>
      <c r="C28" s="137" t="n"/>
      <c r="D28" s="96">
        <f>DADOS_INVOC!$JK$9</f>
        <v/>
      </c>
      <c r="E28" s="16" t="n"/>
      <c r="F28" s="17" t="n"/>
      <c r="G28" s="137" t="n"/>
      <c r="I28" s="21" t="n"/>
      <c r="M28" s="22" t="n"/>
      <c r="N28" s="137" t="n"/>
      <c r="O28" s="56" t="inlineStr">
        <is>
          <t>FÍSICO</t>
        </is>
      </c>
      <c r="P28" s="56" t="inlineStr">
        <is>
          <t>VIGOR</t>
        </is>
      </c>
      <c r="Q28" s="56" t="inlineStr">
        <is>
          <t>INTELECTO</t>
        </is>
      </c>
      <c r="R28" s="56" t="inlineStr">
        <is>
          <t>ESPÍRITO</t>
        </is>
      </c>
      <c r="S28" s="56" t="inlineStr">
        <is>
          <t>TR TREINADO</t>
        </is>
      </c>
      <c r="T28" s="137" t="n"/>
      <c r="U28" s="21" t="n"/>
      <c r="Y28" s="22" t="n"/>
      <c r="Z28" s="137" t="n"/>
      <c r="AB28" s="21" t="n"/>
      <c r="AF28" s="22" t="n"/>
      <c r="AG28" s="137" t="n"/>
      <c r="AH28" s="56" t="inlineStr">
        <is>
          <t>FÍSICO</t>
        </is>
      </c>
      <c r="AI28" s="56" t="inlineStr">
        <is>
          <t>VIGOR</t>
        </is>
      </c>
      <c r="AJ28" s="56" t="inlineStr">
        <is>
          <t>INTELECTO</t>
        </is>
      </c>
      <c r="AK28" s="56" t="inlineStr">
        <is>
          <t>ESPÍRITO</t>
        </is>
      </c>
      <c r="AL28" s="56" t="inlineStr">
        <is>
          <t>TR TREINADO</t>
        </is>
      </c>
      <c r="AM28" s="137" t="n"/>
      <c r="AN28" s="21" t="n"/>
      <c r="AR28" s="22" t="n"/>
      <c r="AS28" s="137" t="n"/>
    </row>
    <row r="29">
      <c r="B29" s="22" t="n"/>
      <c r="C29" s="137" t="n"/>
      <c r="D29" s="96">
        <f>DADOS_INVOC!$JK$10</f>
        <v/>
      </c>
      <c r="E29" s="16" t="n"/>
      <c r="F29" s="17" t="n"/>
      <c r="G29" s="137" t="n"/>
      <c r="I29" s="21" t="n"/>
      <c r="M29" s="22" t="n"/>
      <c r="N29" s="137" t="n"/>
      <c r="O29" s="105">
        <f>DADOS_INVOC!$HP$2</f>
        <v/>
      </c>
      <c r="P29" s="105">
        <f>DADOS_INVOC!$HQ$2</f>
        <v/>
      </c>
      <c r="Q29" s="105">
        <f>DADOS_INVOC!$HR$2</f>
        <v/>
      </c>
      <c r="R29" s="105">
        <f>DADOS_INVOC!$HS$2</f>
        <v/>
      </c>
      <c r="S29" s="95" t="n"/>
      <c r="T29" s="137" t="n"/>
      <c r="U29" s="21" t="n"/>
      <c r="Y29" s="22" t="n"/>
      <c r="Z29" s="137" t="n"/>
      <c r="AB29" s="21" t="n"/>
      <c r="AF29" s="22" t="n"/>
      <c r="AG29" s="137" t="n"/>
      <c r="AH29" s="105">
        <f>DADOS_INVOC!$HP$8</f>
        <v/>
      </c>
      <c r="AI29" s="105">
        <f>DADOS_INVOC!$HQ$8</f>
        <v/>
      </c>
      <c r="AJ29" s="105">
        <f>DADOS_INVOC!$HR$8</f>
        <v/>
      </c>
      <c r="AK29" s="105">
        <f>DADOS_INVOC!$HS$8</f>
        <v/>
      </c>
      <c r="AL29" s="95" t="n"/>
      <c r="AM29" s="137" t="n"/>
      <c r="AN29" s="21" t="n"/>
      <c r="AR29" s="22" t="n"/>
      <c r="AS29" s="137" t="n"/>
    </row>
    <row r="30">
      <c r="A30" s="8" t="n"/>
      <c r="B30" s="14" t="n"/>
      <c r="C30" s="137" t="n"/>
      <c r="D30" s="96">
        <f>DADOS_INVOC!$JK$11</f>
        <v/>
      </c>
      <c r="E30" s="16" t="n"/>
      <c r="F30" s="17" t="n"/>
      <c r="G30" s="137" t="n"/>
      <c r="I30" s="21" t="n"/>
      <c r="M30" s="22" t="n"/>
      <c r="N30" s="137" t="n"/>
      <c r="O30" s="128" t="n"/>
      <c r="P30" s="128" t="n"/>
      <c r="Q30" s="128" t="n"/>
      <c r="R30" s="128" t="n"/>
      <c r="S30" s="128" t="n"/>
      <c r="T30" s="137" t="n"/>
      <c r="U30" s="23" t="n"/>
      <c r="V30" s="24" t="n"/>
      <c r="W30" s="24" t="n"/>
      <c r="X30" s="24" t="n"/>
      <c r="Y30" s="25" t="n"/>
      <c r="Z30" s="137" t="n"/>
      <c r="AB30" s="21" t="n"/>
      <c r="AF30" s="22" t="n"/>
      <c r="AG30" s="137" t="n"/>
      <c r="AH30" s="128" t="n"/>
      <c r="AI30" s="128" t="n"/>
      <c r="AJ30" s="128" t="n"/>
      <c r="AK30" s="128" t="n"/>
      <c r="AL30" s="128" t="n"/>
      <c r="AM30" s="137" t="n"/>
      <c r="AN30" s="23" t="n"/>
      <c r="AO30" s="24" t="n"/>
      <c r="AP30" s="24" t="n"/>
      <c r="AQ30" s="24" t="n"/>
      <c r="AR30" s="25" t="n"/>
      <c r="AS30" s="137" t="n"/>
    </row>
    <row r="31">
      <c r="A31" s="8" t="n"/>
      <c r="B31" s="14" t="n"/>
      <c r="C31" s="137" t="n"/>
      <c r="D31" s="96">
        <f>DADOS_INVOC!$JK$12</f>
        <v/>
      </c>
      <c r="E31" s="16" t="n"/>
      <c r="F31" s="17" t="n"/>
      <c r="G31" s="137" t="n"/>
      <c r="I31" s="21" t="n"/>
      <c r="M31" s="22" t="n"/>
      <c r="N31" s="137" t="n"/>
      <c r="O31" s="156" t="n">
        <v>0</v>
      </c>
      <c r="P31" s="156" t="n">
        <v>0</v>
      </c>
      <c r="Q31" s="156" t="n">
        <v>0</v>
      </c>
      <c r="R31" s="156" t="n">
        <v>0</v>
      </c>
      <c r="S31" s="137" t="n"/>
      <c r="T31" s="137" t="n"/>
      <c r="U31" s="137" t="n"/>
      <c r="V31" s="137" t="n"/>
      <c r="W31" s="137" t="n"/>
      <c r="X31" s="137" t="n"/>
      <c r="Y31" s="137" t="n"/>
      <c r="Z31" s="137" t="n"/>
      <c r="AB31" s="21" t="n"/>
      <c r="AF31" s="22" t="n"/>
      <c r="AG31" s="137" t="n"/>
      <c r="AH31" s="156" t="n">
        <v>0</v>
      </c>
      <c r="AI31" s="156" t="n">
        <v>0</v>
      </c>
      <c r="AJ31" s="156" t="n">
        <v>0</v>
      </c>
      <c r="AK31" s="156" t="n">
        <v>0</v>
      </c>
      <c r="AL31" s="137" t="n"/>
      <c r="AM31" s="137" t="n"/>
      <c r="AN31" s="137" t="n"/>
      <c r="AO31" s="137" t="n"/>
      <c r="AP31" s="137" t="n"/>
      <c r="AQ31" s="137" t="n"/>
      <c r="AR31" s="137" t="n"/>
      <c r="AS31" s="137" t="n"/>
    </row>
    <row r="32">
      <c r="A32" s="8" t="n"/>
      <c r="B32" s="14" t="n"/>
      <c r="C32" s="137" t="n"/>
      <c r="D32" s="96">
        <f>DADOS_INVOC!$JK$13</f>
        <v/>
      </c>
      <c r="E32" s="16" t="n"/>
      <c r="F32" s="17" t="n"/>
      <c r="G32" s="137" t="n"/>
      <c r="I32" s="21" t="n"/>
      <c r="M32" s="22" t="n"/>
      <c r="N32" s="137" t="n"/>
      <c r="O32" s="137" t="n"/>
      <c r="P32" s="137" t="n"/>
      <c r="Q32" s="137" t="n"/>
      <c r="R32" s="137" t="n"/>
      <c r="S32" s="137" t="n"/>
      <c r="T32" s="137" t="n"/>
      <c r="U32" s="56">
        <f>DADOS_INVOC!$IC$2</f>
        <v/>
      </c>
      <c r="V32" s="16" t="n"/>
      <c r="W32" s="16" t="n"/>
      <c r="X32" s="17" t="n"/>
      <c r="Y32" s="56" t="inlineStr">
        <is>
          <t>VOL.</t>
        </is>
      </c>
      <c r="Z32" s="137" t="n"/>
      <c r="AB32" s="21" t="n"/>
      <c r="AF32" s="22" t="n"/>
      <c r="AG32" s="137" t="n"/>
      <c r="AH32" s="137" t="n"/>
      <c r="AI32" s="137" t="n"/>
      <c r="AJ32" s="137" t="n"/>
      <c r="AK32" s="137" t="n"/>
      <c r="AL32" s="137" t="n"/>
      <c r="AM32" s="137" t="n"/>
      <c r="AN32" s="56">
        <f>DADOS_INVOC!$IC$8</f>
        <v/>
      </c>
      <c r="AO32" s="16" t="n"/>
      <c r="AP32" s="16" t="n"/>
      <c r="AQ32" s="17" t="n"/>
      <c r="AR32" s="56" t="inlineStr">
        <is>
          <t>VOL.</t>
        </is>
      </c>
      <c r="AS32" s="137" t="n"/>
    </row>
    <row r="33">
      <c r="A33" s="48" t="inlineStr">
        <is>
          <t>INVOCAÇÕES</t>
        </is>
      </c>
      <c r="B33" s="22" t="n"/>
      <c r="C33" s="137" t="n"/>
      <c r="D33" s="137" t="n"/>
      <c r="E33" s="137" t="n"/>
      <c r="F33" s="137" t="n"/>
      <c r="G33" s="137" t="n"/>
      <c r="I33" s="21" t="n"/>
      <c r="M33" s="22" t="n"/>
      <c r="N33" s="137" t="n"/>
      <c r="O33" s="56" t="inlineStr">
        <is>
          <t>ATRIBUTO DE ACERTO</t>
        </is>
      </c>
      <c r="P33" s="16" t="n"/>
      <c r="Q33" s="17" t="n"/>
      <c r="R33" s="56" t="inlineStr">
        <is>
          <t>FÍSICO USA</t>
        </is>
      </c>
      <c r="S33" s="17" t="n"/>
      <c r="T33" s="137" t="n"/>
      <c r="U33" s="56" t="inlineStr">
        <is>
          <t>MÃO 1</t>
        </is>
      </c>
      <c r="V33" s="144" t="n"/>
      <c r="W33" s="16" t="n"/>
      <c r="X33" s="17" t="n"/>
      <c r="Y33" s="95" t="n"/>
      <c r="Z33" s="137" t="n"/>
      <c r="AB33" s="21" t="n"/>
      <c r="AF33" s="22" t="n"/>
      <c r="AG33" s="137" t="n"/>
      <c r="AH33" s="56" t="inlineStr">
        <is>
          <t>ATRIBUTO DE ACERTO</t>
        </is>
      </c>
      <c r="AI33" s="16" t="n"/>
      <c r="AJ33" s="17" t="n"/>
      <c r="AK33" s="56" t="inlineStr">
        <is>
          <t>FÍSICO USA</t>
        </is>
      </c>
      <c r="AL33" s="17" t="n"/>
      <c r="AM33" s="137" t="n"/>
      <c r="AN33" s="56" t="inlineStr">
        <is>
          <t>MÃO 1</t>
        </is>
      </c>
      <c r="AO33" s="144" t="n"/>
      <c r="AP33" s="16" t="n"/>
      <c r="AQ33" s="17" t="n"/>
      <c r="AR33" s="95" t="n"/>
      <c r="AS33" s="137" t="n"/>
    </row>
    <row r="34">
      <c r="B34" s="22" t="n"/>
      <c r="C34" s="137" t="n"/>
      <c r="D34" s="137" t="n"/>
      <c r="E34" s="137" t="n"/>
      <c r="F34" s="137" t="n"/>
      <c r="G34" s="137" t="n"/>
      <c r="I34" s="21" t="n"/>
      <c r="M34" s="22" t="n"/>
      <c r="N34" s="137" t="n"/>
      <c r="O34" s="95" t="n"/>
      <c r="P34" s="19" t="n"/>
      <c r="Q34" s="20" t="n"/>
      <c r="R34" s="95" t="inlineStr">
        <is>
          <t>Força</t>
        </is>
      </c>
      <c r="S34" s="20" t="n"/>
      <c r="T34" s="137" t="n"/>
      <c r="U34" s="56" t="inlineStr">
        <is>
          <t>MÃO 2</t>
        </is>
      </c>
      <c r="V34" s="144" t="n"/>
      <c r="W34" s="16" t="n"/>
      <c r="X34" s="17" t="n"/>
      <c r="Y34" s="95" t="n"/>
      <c r="Z34" s="137" t="n"/>
      <c r="AB34" s="21" t="n"/>
      <c r="AF34" s="22" t="n"/>
      <c r="AG34" s="137" t="n"/>
      <c r="AH34" s="95" t="n"/>
      <c r="AI34" s="19" t="n"/>
      <c r="AJ34" s="20" t="n"/>
      <c r="AK34" s="95" t="inlineStr">
        <is>
          <t>Força</t>
        </is>
      </c>
      <c r="AL34" s="20" t="n"/>
      <c r="AM34" s="137" t="n"/>
      <c r="AN34" s="56" t="inlineStr">
        <is>
          <t>MÃO 2</t>
        </is>
      </c>
      <c r="AO34" s="144" t="n"/>
      <c r="AP34" s="16" t="n"/>
      <c r="AQ34" s="17" t="n"/>
      <c r="AR34" s="95" t="n"/>
      <c r="AS34" s="137" t="n"/>
    </row>
    <row r="35">
      <c r="B35" s="22" t="n"/>
      <c r="C35" s="137" t="n"/>
      <c r="D35" s="137" t="n"/>
      <c r="E35" s="137" t="n"/>
      <c r="F35" s="137" t="n"/>
      <c r="G35" s="137" t="n"/>
      <c r="I35" s="21" t="n"/>
      <c r="M35" s="22" t="n"/>
      <c r="N35" s="137" t="n"/>
      <c r="O35" s="23" t="n"/>
      <c r="P35" s="24" t="n"/>
      <c r="Q35" s="25" t="n"/>
      <c r="R35" s="23" t="n"/>
      <c r="S35" s="25" t="n"/>
      <c r="T35" s="137" t="n"/>
      <c r="U35" s="56" t="inlineStr">
        <is>
          <t>VESTE</t>
        </is>
      </c>
      <c r="V35" s="144" t="n"/>
      <c r="W35" s="16" t="n"/>
      <c r="X35" s="17" t="n"/>
      <c r="Y35" s="95" t="n"/>
      <c r="Z35" s="137" t="n"/>
      <c r="AB35" s="21" t="n"/>
      <c r="AF35" s="22" t="n"/>
      <c r="AG35" s="137" t="n"/>
      <c r="AH35" s="23" t="n"/>
      <c r="AI35" s="24" t="n"/>
      <c r="AJ35" s="25" t="n"/>
      <c r="AK35" s="23" t="n"/>
      <c r="AL35" s="25" t="n"/>
      <c r="AM35" s="137" t="n"/>
      <c r="AN35" s="56" t="inlineStr">
        <is>
          <t>VESTE</t>
        </is>
      </c>
      <c r="AO35" s="144" t="n"/>
      <c r="AP35" s="16" t="n"/>
      <c r="AQ35" s="17" t="n"/>
      <c r="AR35" s="95" t="n"/>
      <c r="AS35" s="137" t="n"/>
    </row>
    <row r="36">
      <c r="B36" s="22" t="n"/>
      <c r="C36" s="137" t="n"/>
      <c r="D36" s="137" t="n"/>
      <c r="E36" s="137" t="n"/>
      <c r="F36" s="137" t="n"/>
      <c r="G36" s="137" t="n"/>
      <c r="I36" s="21" t="n"/>
      <c r="M36" s="22" t="n"/>
      <c r="N36" s="137" t="n"/>
      <c r="O36" s="137" t="n"/>
      <c r="P36" s="137" t="n"/>
      <c r="Q36" s="137" t="n"/>
      <c r="R36" s="137" t="n"/>
      <c r="S36" s="137" t="n"/>
      <c r="T36" s="137" t="n"/>
      <c r="U36" s="56" t="inlineStr">
        <is>
          <t>GUARDADO · SÓ COM A CARACTERÍSTICA DE TRANSPORTE</t>
        </is>
      </c>
      <c r="V36" s="16" t="n"/>
      <c r="W36" s="16" t="n"/>
      <c r="X36" s="17" t="n"/>
      <c r="Y36" s="56" t="inlineStr">
        <is>
          <t>VOL.</t>
        </is>
      </c>
      <c r="Z36" s="137" t="n"/>
      <c r="AB36" s="21" t="n"/>
      <c r="AF36" s="22" t="n"/>
      <c r="AG36" s="137" t="n"/>
      <c r="AH36" s="137" t="n"/>
      <c r="AI36" s="137" t="n"/>
      <c r="AJ36" s="137" t="n"/>
      <c r="AK36" s="137" t="n"/>
      <c r="AL36" s="137" t="n"/>
      <c r="AM36" s="137" t="n"/>
      <c r="AN36" s="56" t="inlineStr">
        <is>
          <t>GUARDADO · SÓ COM A CARACTERÍSTICA DE TRANSPORTE</t>
        </is>
      </c>
      <c r="AO36" s="16" t="n"/>
      <c r="AP36" s="16" t="n"/>
      <c r="AQ36" s="17" t="n"/>
      <c r="AR36" s="56" t="inlineStr">
        <is>
          <t>VOL.</t>
        </is>
      </c>
      <c r="AS36" s="137" t="n"/>
    </row>
    <row r="37">
      <c r="B37" s="22" t="n"/>
      <c r="C37" s="137" t="n"/>
      <c r="D37" s="137" t="n"/>
      <c r="E37" s="137" t="n"/>
      <c r="F37" s="137" t="n"/>
      <c r="G37" s="137" t="n"/>
      <c r="I37" s="21" t="n"/>
      <c r="M37" s="22" t="n"/>
      <c r="N37" s="137" t="n"/>
      <c r="O37" s="56">
        <f>DADOS_INVOC!$HT$2</f>
        <v/>
      </c>
      <c r="P37" s="16" t="n"/>
      <c r="Q37" s="16" t="n"/>
      <c r="R37" s="16" t="n"/>
      <c r="S37" s="17" t="n"/>
      <c r="T37" s="137" t="n"/>
      <c r="U37" s="144" t="n"/>
      <c r="V37" s="16" t="n"/>
      <c r="W37" s="16" t="n"/>
      <c r="X37" s="17" t="n"/>
      <c r="Y37" s="95" t="n"/>
      <c r="Z37" s="137" t="n"/>
      <c r="AB37" s="21" t="n"/>
      <c r="AF37" s="22" t="n"/>
      <c r="AG37" s="137" t="n"/>
      <c r="AH37" s="56">
        <f>DADOS_INVOC!$HT$8</f>
        <v/>
      </c>
      <c r="AI37" s="16" t="n"/>
      <c r="AJ37" s="16" t="n"/>
      <c r="AK37" s="16" t="n"/>
      <c r="AL37" s="17" t="n"/>
      <c r="AM37" s="137" t="n"/>
      <c r="AN37" s="144" t="n"/>
      <c r="AO37" s="16" t="n"/>
      <c r="AP37" s="16" t="n"/>
      <c r="AQ37" s="17" t="n"/>
      <c r="AR37" s="95" t="n"/>
      <c r="AS37" s="137" t="n"/>
    </row>
    <row r="38">
      <c r="B38" s="22" t="n"/>
      <c r="C38" s="137" t="n"/>
      <c r="D38" s="137" t="n"/>
      <c r="E38" s="137" t="n"/>
      <c r="F38" s="137" t="n"/>
      <c r="G38" s="137" t="n"/>
      <c r="I38" s="21" t="n"/>
      <c r="M38" s="22" t="n"/>
      <c r="N38" s="137" t="n"/>
      <c r="O38" s="144" t="n"/>
      <c r="P38" s="16" t="n"/>
      <c r="Q38" s="17" t="n"/>
      <c r="R38" s="95">
        <f>DADOS_INVOC!$HU$2</f>
        <v/>
      </c>
      <c r="S38" s="17" t="n"/>
      <c r="T38" s="137" t="n"/>
      <c r="U38" s="144" t="n"/>
      <c r="V38" s="16" t="n"/>
      <c r="W38" s="16" t="n"/>
      <c r="X38" s="17" t="n"/>
      <c r="Y38" s="95" t="n"/>
      <c r="Z38" s="137" t="n"/>
      <c r="AB38" s="21" t="n"/>
      <c r="AF38" s="22" t="n"/>
      <c r="AG38" s="137" t="n"/>
      <c r="AH38" s="144" t="n"/>
      <c r="AI38" s="16" t="n"/>
      <c r="AJ38" s="17" t="n"/>
      <c r="AK38" s="95">
        <f>DADOS_INVOC!$HU$8</f>
        <v/>
      </c>
      <c r="AL38" s="17" t="n"/>
      <c r="AM38" s="137" t="n"/>
      <c r="AN38" s="144" t="n"/>
      <c r="AO38" s="16" t="n"/>
      <c r="AP38" s="16" t="n"/>
      <c r="AQ38" s="17" t="n"/>
      <c r="AR38" s="95" t="n"/>
      <c r="AS38" s="137" t="n"/>
    </row>
    <row r="39">
      <c r="B39" s="22" t="n"/>
      <c r="C39" s="137" t="n"/>
      <c r="D39" s="137" t="n"/>
      <c r="E39" s="137" t="n"/>
      <c r="F39" s="137" t="n"/>
      <c r="G39" s="137" t="n"/>
      <c r="I39" s="21" t="n"/>
      <c r="M39" s="22" t="n"/>
      <c r="N39" s="137" t="n"/>
      <c r="O39" s="144" t="n"/>
      <c r="P39" s="16" t="n"/>
      <c r="Q39" s="17" t="n"/>
      <c r="R39" s="95">
        <f>DADOS_INVOC!$HV$2</f>
        <v/>
      </c>
      <c r="S39" s="17" t="n"/>
      <c r="T39" s="137" t="n"/>
      <c r="U39" s="144" t="n"/>
      <c r="V39" s="16" t="n"/>
      <c r="W39" s="16" t="n"/>
      <c r="X39" s="17" t="n"/>
      <c r="Y39" s="95" t="n"/>
      <c r="Z39" s="137" t="n"/>
      <c r="AB39" s="21" t="n"/>
      <c r="AF39" s="22" t="n"/>
      <c r="AG39" s="137" t="n"/>
      <c r="AH39" s="144" t="n"/>
      <c r="AI39" s="16" t="n"/>
      <c r="AJ39" s="17" t="n"/>
      <c r="AK39" s="95">
        <f>DADOS_INVOC!$HV$8</f>
        <v/>
      </c>
      <c r="AL39" s="17" t="n"/>
      <c r="AM39" s="137" t="n"/>
      <c r="AN39" s="144" t="n"/>
      <c r="AO39" s="16" t="n"/>
      <c r="AP39" s="16" t="n"/>
      <c r="AQ39" s="17" t="n"/>
      <c r="AR39" s="95" t="n"/>
      <c r="AS39" s="137" t="n"/>
    </row>
    <row r="40">
      <c r="B40" s="22" t="n"/>
      <c r="C40" s="137" t="n"/>
      <c r="D40" s="137" t="n"/>
      <c r="E40" s="137" t="n"/>
      <c r="F40" s="137" t="n"/>
      <c r="G40" s="137" t="n"/>
      <c r="I40" s="23" t="n"/>
      <c r="J40" s="24" t="n"/>
      <c r="K40" s="24" t="n"/>
      <c r="L40" s="24" t="n"/>
      <c r="M40" s="25" t="n"/>
      <c r="N40" s="137" t="n"/>
      <c r="O40" s="144" t="n"/>
      <c r="P40" s="16" t="n"/>
      <c r="Q40" s="17" t="n"/>
      <c r="R40" s="95">
        <f>DADOS_INVOC!$HW$2</f>
        <v/>
      </c>
      <c r="S40" s="17" t="n"/>
      <c r="T40" s="137" t="n"/>
      <c r="U40" s="144" t="n"/>
      <c r="V40" s="16" t="n"/>
      <c r="W40" s="16" t="n"/>
      <c r="X40" s="17" t="n"/>
      <c r="Y40" s="95" t="n"/>
      <c r="Z40" s="137" t="n"/>
      <c r="AB40" s="23" t="n"/>
      <c r="AC40" s="24" t="n"/>
      <c r="AD40" s="24" t="n"/>
      <c r="AE40" s="24" t="n"/>
      <c r="AF40" s="25" t="n"/>
      <c r="AG40" s="137" t="n"/>
      <c r="AH40" s="144" t="n"/>
      <c r="AI40" s="16" t="n"/>
      <c r="AJ40" s="17" t="n"/>
      <c r="AK40" s="95">
        <f>DADOS_INVOC!$HW$8</f>
        <v/>
      </c>
      <c r="AL40" s="17" t="n"/>
      <c r="AM40" s="137" t="n"/>
      <c r="AN40" s="144" t="n"/>
      <c r="AO40" s="16" t="n"/>
      <c r="AP40" s="16" t="n"/>
      <c r="AQ40" s="17" t="n"/>
      <c r="AR40" s="95" t="n"/>
      <c r="AS40" s="137" t="n"/>
    </row>
    <row r="41">
      <c r="B41" s="22" t="n"/>
      <c r="C41" s="137" t="n"/>
      <c r="D41" s="137" t="n"/>
      <c r="E41" s="137" t="n"/>
      <c r="F41" s="137" t="n"/>
      <c r="G41" s="137" t="n"/>
      <c r="I41" s="137" t="n"/>
      <c r="J41" s="137" t="n"/>
      <c r="K41" s="137" t="n"/>
      <c r="L41" s="137" t="n"/>
      <c r="M41" s="137" t="n"/>
      <c r="N41" s="137" t="n"/>
      <c r="O41" s="144" t="n"/>
      <c r="P41" s="16" t="n"/>
      <c r="Q41" s="17" t="n"/>
      <c r="R41" s="95">
        <f>DADOS_INVOC!$HX$2</f>
        <v/>
      </c>
      <c r="S41" s="17" t="n"/>
      <c r="T41" s="137" t="n"/>
      <c r="U41" s="144" t="n"/>
      <c r="V41" s="16" t="n"/>
      <c r="W41" s="16" t="n"/>
      <c r="X41" s="17" t="n"/>
      <c r="Y41" s="95" t="n"/>
      <c r="Z41" s="137" t="n"/>
      <c r="AB41" s="137" t="n"/>
      <c r="AC41" s="137" t="n"/>
      <c r="AD41" s="137" t="n"/>
      <c r="AE41" s="137" t="n"/>
      <c r="AF41" s="137" t="n"/>
      <c r="AG41" s="137" t="n"/>
      <c r="AH41" s="144" t="n"/>
      <c r="AI41" s="16" t="n"/>
      <c r="AJ41" s="17" t="n"/>
      <c r="AK41" s="95">
        <f>DADOS_INVOC!$HX$8</f>
        <v/>
      </c>
      <c r="AL41" s="17" t="n"/>
      <c r="AM41" s="137" t="n"/>
      <c r="AN41" s="144" t="n"/>
      <c r="AO41" s="16" t="n"/>
      <c r="AP41" s="16" t="n"/>
      <c r="AQ41" s="17" t="n"/>
      <c r="AR41" s="95" t="n"/>
      <c r="AS41" s="137" t="n"/>
    </row>
    <row r="42">
      <c r="B42" s="22" t="n"/>
      <c r="C42" s="137" t="n"/>
      <c r="D42" s="137" t="n"/>
      <c r="E42" s="137" t="n"/>
      <c r="F42" s="137" t="n"/>
      <c r="G42" s="137" t="n"/>
      <c r="I42" s="56" t="inlineStr">
        <is>
          <t>TIPO</t>
        </is>
      </c>
      <c r="J42" s="16" t="n"/>
      <c r="K42" s="17" t="n"/>
      <c r="L42" s="56" t="inlineStr">
        <is>
          <t>OFÍCIO COMPATÍVEL</t>
        </is>
      </c>
      <c r="M42" s="17" t="n"/>
      <c r="N42" s="137" t="n"/>
      <c r="O42" s="144" t="n"/>
      <c r="P42" s="16" t="n"/>
      <c r="Q42" s="17" t="n"/>
      <c r="R42" s="95">
        <f>DADOS_INVOC!$HY$2</f>
        <v/>
      </c>
      <c r="S42" s="17" t="n"/>
      <c r="T42" s="137" t="n"/>
      <c r="U42" s="144" t="n"/>
      <c r="V42" s="16" t="n"/>
      <c r="W42" s="16" t="n"/>
      <c r="X42" s="17" t="n"/>
      <c r="Y42" s="95" t="n"/>
      <c r="Z42" s="137" t="n"/>
      <c r="AB42" s="56" t="inlineStr">
        <is>
          <t>TIPO</t>
        </is>
      </c>
      <c r="AC42" s="16" t="n"/>
      <c r="AD42" s="17" t="n"/>
      <c r="AE42" s="56" t="inlineStr">
        <is>
          <t>OFÍCIO COMPATÍVEL</t>
        </is>
      </c>
      <c r="AF42" s="17" t="n"/>
      <c r="AG42" s="137" t="n"/>
      <c r="AH42" s="144" t="n"/>
      <c r="AI42" s="16" t="n"/>
      <c r="AJ42" s="17" t="n"/>
      <c r="AK42" s="95">
        <f>DADOS_INVOC!$HY$8</f>
        <v/>
      </c>
      <c r="AL42" s="17" t="n"/>
      <c r="AM42" s="137" t="n"/>
      <c r="AN42" s="144" t="n"/>
      <c r="AO42" s="16" t="n"/>
      <c r="AP42" s="16" t="n"/>
      <c r="AQ42" s="17" t="n"/>
      <c r="AR42" s="95" t="n"/>
      <c r="AS42" s="137" t="n"/>
    </row>
    <row r="43">
      <c r="B43" s="22" t="n"/>
      <c r="C43" s="137" t="n"/>
      <c r="D43" s="137" t="n"/>
      <c r="E43" s="137" t="n"/>
      <c r="F43" s="137" t="n"/>
      <c r="G43" s="137" t="n"/>
      <c r="I43" s="95" t="inlineStr">
        <is>
          <t>Shikigami de técnica</t>
        </is>
      </c>
      <c r="J43" s="19" t="n"/>
      <c r="K43" s="20" t="n"/>
      <c r="L43" s="95" t="n"/>
      <c r="M43" s="20" t="n"/>
      <c r="N43" s="137" t="n"/>
      <c r="O43" s="144" t="n"/>
      <c r="P43" s="16" t="n"/>
      <c r="Q43" s="17" t="n"/>
      <c r="R43" s="95">
        <f>DADOS_INVOC!$HZ$2</f>
        <v/>
      </c>
      <c r="S43" s="17" t="n"/>
      <c r="T43" s="137" t="n"/>
      <c r="U43" s="137" t="n"/>
      <c r="V43" s="137" t="n"/>
      <c r="W43" s="137" t="n"/>
      <c r="X43" s="137" t="n"/>
      <c r="Y43" s="137" t="n"/>
      <c r="Z43" s="137" t="n"/>
      <c r="AB43" s="95" t="inlineStr">
        <is>
          <t>Shikigami de técnica</t>
        </is>
      </c>
      <c r="AC43" s="19" t="n"/>
      <c r="AD43" s="20" t="n"/>
      <c r="AE43" s="95" t="n"/>
      <c r="AF43" s="20" t="n"/>
      <c r="AG43" s="137" t="n"/>
      <c r="AH43" s="144" t="n"/>
      <c r="AI43" s="16" t="n"/>
      <c r="AJ43" s="17" t="n"/>
      <c r="AK43" s="95">
        <f>DADOS_INVOC!$HZ$8</f>
        <v/>
      </c>
      <c r="AL43" s="17" t="n"/>
      <c r="AM43" s="137" t="n"/>
      <c r="AN43" s="137" t="n"/>
      <c r="AO43" s="137" t="n"/>
      <c r="AP43" s="137" t="n"/>
      <c r="AQ43" s="137" t="n"/>
      <c r="AR43" s="137" t="n"/>
      <c r="AS43" s="137" t="n"/>
    </row>
    <row r="44">
      <c r="B44" s="22" t="n"/>
      <c r="C44" s="137" t="n"/>
      <c r="D44" s="137" t="n"/>
      <c r="E44" s="137" t="n"/>
      <c r="F44" s="137" t="n"/>
      <c r="G44" s="137" t="n"/>
      <c r="I44" s="23" t="n"/>
      <c r="J44" s="24" t="n"/>
      <c r="K44" s="25" t="n"/>
      <c r="L44" s="23" t="n"/>
      <c r="M44" s="25" t="n"/>
      <c r="N44" s="137" t="n"/>
      <c r="O44" s="144" t="n"/>
      <c r="P44" s="16" t="n"/>
      <c r="Q44" s="17" t="n"/>
      <c r="R44" s="95">
        <f>DADOS_INVOC!$IA$2</f>
        <v/>
      </c>
      <c r="S44" s="17" t="n"/>
      <c r="T44" s="137" t="n"/>
      <c r="U44" s="56" t="inlineStr">
        <is>
          <t>CORPO, SENTIDOS E COMUNICAÇÃO</t>
        </is>
      </c>
      <c r="V44" s="16" t="n"/>
      <c r="W44" s="16" t="n"/>
      <c r="X44" s="16" t="n"/>
      <c r="Y44" s="17" t="n"/>
      <c r="Z44" s="137" t="n"/>
      <c r="AB44" s="23" t="n"/>
      <c r="AC44" s="24" t="n"/>
      <c r="AD44" s="25" t="n"/>
      <c r="AE44" s="23" t="n"/>
      <c r="AF44" s="25" t="n"/>
      <c r="AG44" s="137" t="n"/>
      <c r="AH44" s="144" t="n"/>
      <c r="AI44" s="16" t="n"/>
      <c r="AJ44" s="17" t="n"/>
      <c r="AK44" s="95">
        <f>DADOS_INVOC!$IA$8</f>
        <v/>
      </c>
      <c r="AL44" s="17" t="n"/>
      <c r="AM44" s="137" t="n"/>
      <c r="AN44" s="56" t="inlineStr">
        <is>
          <t>CORPO, SENTIDOS E COMUNICAÇÃO</t>
        </is>
      </c>
      <c r="AO44" s="16" t="n"/>
      <c r="AP44" s="16" t="n"/>
      <c r="AQ44" s="16" t="n"/>
      <c r="AR44" s="17" t="n"/>
      <c r="AS44" s="137" t="n"/>
    </row>
    <row r="45">
      <c r="B45" s="22" t="n"/>
      <c r="C45" s="137" t="n"/>
      <c r="D45" s="137" t="n"/>
      <c r="E45" s="137" t="n"/>
      <c r="F45" s="137" t="n"/>
      <c r="G45" s="137" t="n"/>
      <c r="I45" s="137" t="n"/>
      <c r="J45" s="137" t="n"/>
      <c r="K45" s="137" t="n"/>
      <c r="L45" s="137" t="n"/>
      <c r="M45" s="137" t="n"/>
      <c r="N45" s="137" t="n"/>
      <c r="O45" s="137" t="n"/>
      <c r="P45" s="137" t="n"/>
      <c r="Q45" s="137" t="n"/>
      <c r="R45" s="137" t="n"/>
      <c r="S45" s="137" t="n"/>
      <c r="T45" s="137" t="n"/>
      <c r="U45" s="61" t="n"/>
      <c r="V45" s="19" t="n"/>
      <c r="W45" s="19" t="n"/>
      <c r="X45" s="19" t="n"/>
      <c r="Y45" s="20" t="n"/>
      <c r="Z45" s="137" t="n"/>
      <c r="AB45" s="137" t="n"/>
      <c r="AC45" s="137" t="n"/>
      <c r="AD45" s="137" t="n"/>
      <c r="AE45" s="137" t="n"/>
      <c r="AF45" s="137" t="n"/>
      <c r="AG45" s="137" t="n"/>
      <c r="AH45" s="137" t="n"/>
      <c r="AI45" s="137" t="n"/>
      <c r="AJ45" s="137" t="n"/>
      <c r="AK45" s="137" t="n"/>
      <c r="AL45" s="137" t="n"/>
      <c r="AM45" s="137" t="n"/>
      <c r="AN45" s="61" t="n"/>
      <c r="AO45" s="19" t="n"/>
      <c r="AP45" s="19" t="n"/>
      <c r="AQ45" s="19" t="n"/>
      <c r="AR45" s="20" t="n"/>
      <c r="AS45" s="137" t="n"/>
    </row>
    <row r="46">
      <c r="B46" s="22" t="n"/>
      <c r="C46" s="137" t="n"/>
      <c r="D46" s="137" t="n"/>
      <c r="E46" s="137" t="n"/>
      <c r="F46" s="137" t="n"/>
      <c r="G46" s="137" t="n"/>
      <c r="I46" s="56" t="inlineStr">
        <is>
          <t>AQUISIÇÃO</t>
        </is>
      </c>
      <c r="J46" s="17" t="n"/>
      <c r="K46" s="56" t="inlineStr">
        <is>
          <t>OBTIDA NO NÍVEL</t>
        </is>
      </c>
      <c r="L46" s="56" t="inlineStr">
        <is>
          <t>TALISMÃ</t>
        </is>
      </c>
      <c r="M46" s="17" t="n"/>
      <c r="N46" s="137" t="n"/>
      <c r="O46" s="56">
        <f>DADOS_INVOC!$ID$2</f>
        <v/>
      </c>
      <c r="P46" s="16" t="n"/>
      <c r="Q46" s="16" t="n"/>
      <c r="R46" s="16" t="n"/>
      <c r="S46" s="17" t="n"/>
      <c r="T46" s="137" t="n"/>
      <c r="U46" s="21" t="n"/>
      <c r="Y46" s="22" t="n"/>
      <c r="Z46" s="137" t="n"/>
      <c r="AB46" s="56" t="inlineStr">
        <is>
          <t>AQUISIÇÃO</t>
        </is>
      </c>
      <c r="AC46" s="17" t="n"/>
      <c r="AD46" s="56" t="inlineStr">
        <is>
          <t>OBTIDA NO NÍVEL</t>
        </is>
      </c>
      <c r="AE46" s="56" t="inlineStr">
        <is>
          <t>TALISMÃ</t>
        </is>
      </c>
      <c r="AF46" s="17" t="n"/>
      <c r="AG46" s="137" t="n"/>
      <c r="AH46" s="56">
        <f>DADOS_INVOC!$ID$8</f>
        <v/>
      </c>
      <c r="AI46" s="16" t="n"/>
      <c r="AJ46" s="16" t="n"/>
      <c r="AK46" s="16" t="n"/>
      <c r="AL46" s="17" t="n"/>
      <c r="AM46" s="137" t="n"/>
      <c r="AN46" s="21" t="n"/>
      <c r="AR46" s="22" t="n"/>
      <c r="AS46" s="137" t="n"/>
    </row>
    <row r="47">
      <c r="B47" s="22" t="n"/>
      <c r="C47" s="137" t="n"/>
      <c r="D47" s="137" t="n"/>
      <c r="E47" s="137" t="n"/>
      <c r="F47" s="137" t="n"/>
      <c r="G47" s="137" t="n"/>
      <c r="I47" s="95" t="inlineStr">
        <is>
          <t>Espaço conhecido</t>
        </is>
      </c>
      <c r="J47" s="20" t="n"/>
      <c r="K47" s="95" t="n"/>
      <c r="L47" s="95" t="inlineStr">
        <is>
          <t>Sem carga</t>
        </is>
      </c>
      <c r="M47" s="20" t="n"/>
      <c r="N47" s="137" t="n"/>
      <c r="O47" s="56">
        <f>IF(DADOS_INVOC!$RA$2&gt;=1,"LIVRE","ABERTA")</f>
        <v/>
      </c>
      <c r="P47" s="56">
        <f>IF(DADOS_INVOC!$RA$2&gt;=2,"LIVRE","ABERTA")</f>
        <v/>
      </c>
      <c r="Q47" s="56">
        <f>IF(DADOS_INVOC!$RA$2&gt;=7,"LIVRE","ABERTA")</f>
        <v/>
      </c>
      <c r="R47" s="56">
        <f>IF(DADOS_INVOC!$RA$2&gt;=8,"LIVRE","ABERTA")</f>
        <v/>
      </c>
      <c r="S47" s="56">
        <f>IF(DADOS_INVOC!$RA$2&gt;=9,"LIVRE","ABERTA")</f>
        <v/>
      </c>
      <c r="T47" s="137" t="n"/>
      <c r="U47" s="21" t="n"/>
      <c r="Y47" s="22" t="n"/>
      <c r="Z47" s="137" t="n"/>
      <c r="AB47" s="95" t="inlineStr">
        <is>
          <t>Espaço conhecido</t>
        </is>
      </c>
      <c r="AC47" s="20" t="n"/>
      <c r="AD47" s="95" t="n"/>
      <c r="AE47" s="95" t="inlineStr">
        <is>
          <t>Sem carga</t>
        </is>
      </c>
      <c r="AF47" s="20" t="n"/>
      <c r="AG47" s="137" t="n"/>
      <c r="AH47" s="56">
        <f>IF(DADOS_INVOC!$RA$8&gt;=1,"LIVRE","ABERTA")</f>
        <v/>
      </c>
      <c r="AI47" s="56">
        <f>IF(DADOS_INVOC!$RA$8&gt;=2,"LIVRE","ABERTA")</f>
        <v/>
      </c>
      <c r="AJ47" s="56">
        <f>IF(DADOS_INVOC!$RA$8&gt;=7,"LIVRE","ABERTA")</f>
        <v/>
      </c>
      <c r="AK47" s="56">
        <f>IF(DADOS_INVOC!$RA$8&gt;=8,"LIVRE","ABERTA")</f>
        <v/>
      </c>
      <c r="AL47" s="56">
        <f>IF(DADOS_INVOC!$RA$8&gt;=9,"LIVRE","ABERTA")</f>
        <v/>
      </c>
      <c r="AM47" s="137" t="n"/>
      <c r="AN47" s="21" t="n"/>
      <c r="AR47" s="22" t="n"/>
      <c r="AS47" s="137" t="n"/>
    </row>
    <row r="48" ht="24" customHeight="1">
      <c r="B48" s="22" t="n"/>
      <c r="C48" s="137" t="n"/>
      <c r="D48" s="137" t="n"/>
      <c r="E48" s="137" t="n"/>
      <c r="F48" s="137" t="n"/>
      <c r="G48" s="137" t="n"/>
      <c r="I48" s="23" t="n"/>
      <c r="J48" s="25" t="n"/>
      <c r="K48" s="128" t="n"/>
      <c r="L48" s="23" t="n"/>
      <c r="M48" s="25" t="n"/>
      <c r="N48" s="137" t="n"/>
      <c r="O48" s="95" t="n"/>
      <c r="P48" s="95" t="n"/>
      <c r="Q48" s="95" t="n"/>
      <c r="R48" s="95" t="n"/>
      <c r="S48" s="95" t="n"/>
      <c r="T48" s="137" t="n"/>
      <c r="U48" s="21" t="n"/>
      <c r="Y48" s="22" t="n"/>
      <c r="Z48" s="137" t="n"/>
      <c r="AB48" s="23" t="n"/>
      <c r="AC48" s="25" t="n"/>
      <c r="AD48" s="128" t="n"/>
      <c r="AE48" s="23" t="n"/>
      <c r="AF48" s="25" t="n"/>
      <c r="AG48" s="137" t="n"/>
      <c r="AH48" s="95" t="n"/>
      <c r="AI48" s="95" t="n"/>
      <c r="AJ48" s="95" t="n"/>
      <c r="AK48" s="95" t="n"/>
      <c r="AL48" s="95" t="n"/>
      <c r="AM48" s="137" t="n"/>
      <c r="AN48" s="21" t="n"/>
      <c r="AR48" s="22" t="n"/>
      <c r="AS48" s="137" t="n"/>
    </row>
    <row r="49" ht="15" customHeight="1">
      <c r="B49" s="22" t="n"/>
      <c r="C49" s="137" t="n"/>
      <c r="D49" s="137" t="n"/>
      <c r="E49" s="137" t="n"/>
      <c r="F49" s="137" t="n"/>
      <c r="G49" s="137" t="n"/>
      <c r="I49" s="137" t="n"/>
      <c r="J49" s="137" t="n"/>
      <c r="K49" s="137" t="n"/>
      <c r="L49" s="137" t="n"/>
      <c r="M49" s="137" t="n"/>
      <c r="N49" s="137" t="n"/>
      <c r="O49" s="56">
        <f>IF(DADOS_INVOC!$RA$2&gt;=3,"LIVRE 6","FAMÍLIA 6")</f>
        <v/>
      </c>
      <c r="P49" s="56">
        <f>IF(DADOS_INVOC!$RA$2&gt;=4,"LIVRE 7","FAMÍLIA 7")</f>
        <v/>
      </c>
      <c r="Q49" s="56">
        <f>IF(DADOS_INVOC!$RA$2&gt;=5,"LIVRE 8","FAMÍLIA 8")</f>
        <v/>
      </c>
      <c r="R49" s="56">
        <f>IF(DADOS_INVOC!$RA$2&gt;=6,"LIVRE 9","FAMÍLIA 9")</f>
        <v/>
      </c>
      <c r="S49" s="17" t="n"/>
      <c r="T49" s="137" t="n"/>
      <c r="U49" s="23" t="n"/>
      <c r="V49" s="24" t="n"/>
      <c r="W49" s="24" t="n"/>
      <c r="X49" s="24" t="n"/>
      <c r="Y49" s="25" t="n"/>
      <c r="Z49" s="137" t="n"/>
      <c r="AB49" s="137" t="n"/>
      <c r="AC49" s="137" t="n"/>
      <c r="AD49" s="137" t="n"/>
      <c r="AE49" s="137" t="n"/>
      <c r="AF49" s="137" t="n"/>
      <c r="AG49" s="137" t="n"/>
      <c r="AH49" s="56">
        <f>IF(DADOS_INVOC!$RA$8&gt;=3,"LIVRE 6","FAMÍLIA 6")</f>
        <v/>
      </c>
      <c r="AI49" s="56">
        <f>IF(DADOS_INVOC!$RA$8&gt;=4,"LIVRE 7","FAMÍLIA 7")</f>
        <v/>
      </c>
      <c r="AJ49" s="56">
        <f>IF(DADOS_INVOC!$RA$8&gt;=5,"LIVRE 8","FAMÍLIA 8")</f>
        <v/>
      </c>
      <c r="AK49" s="56">
        <f>IF(DADOS_INVOC!$RA$8&gt;=6,"LIVRE 9","FAMÍLIA 9")</f>
        <v/>
      </c>
      <c r="AL49" s="17" t="n"/>
      <c r="AM49" s="137" t="n"/>
      <c r="AN49" s="23" t="n"/>
      <c r="AO49" s="24" t="n"/>
      <c r="AP49" s="24" t="n"/>
      <c r="AQ49" s="24" t="n"/>
      <c r="AR49" s="25" t="n"/>
      <c r="AS49" s="137" t="n"/>
    </row>
    <row r="50" ht="24" customHeight="1">
      <c r="B50" s="22" t="n"/>
      <c r="C50" s="137" t="n"/>
      <c r="D50" s="137" t="n"/>
      <c r="E50" s="137" t="n"/>
      <c r="F50" s="137" t="n"/>
      <c r="G50" s="137" t="n"/>
      <c r="I50" s="56" t="inlineStr">
        <is>
          <t>AUTONOMIA</t>
        </is>
      </c>
      <c r="J50" s="17" t="n"/>
      <c r="K50" s="95" t="inlineStr">
        <is>
          <t>Autônoma</t>
        </is>
      </c>
      <c r="L50" s="16" t="n"/>
      <c r="M50" s="17" t="n"/>
      <c r="N50" s="137" t="n"/>
      <c r="O50" s="95" t="n"/>
      <c r="P50" s="95" t="n"/>
      <c r="Q50" s="95" t="n"/>
      <c r="R50" s="95" t="n"/>
      <c r="S50" s="17" t="n"/>
      <c r="T50" s="137" t="n"/>
      <c r="U50" s="137" t="n"/>
      <c r="V50" s="137" t="n"/>
      <c r="W50" s="137" t="n"/>
      <c r="X50" s="137" t="n"/>
      <c r="Y50" s="137" t="n"/>
      <c r="Z50" s="137" t="n"/>
      <c r="AB50" s="56" t="inlineStr">
        <is>
          <t>AUTONOMIA</t>
        </is>
      </c>
      <c r="AC50" s="17" t="n"/>
      <c r="AD50" s="95" t="inlineStr">
        <is>
          <t>Autônoma</t>
        </is>
      </c>
      <c r="AE50" s="16" t="n"/>
      <c r="AF50" s="17" t="n"/>
      <c r="AG50" s="137" t="n"/>
      <c r="AH50" s="95" t="n"/>
      <c r="AI50" s="95" t="n"/>
      <c r="AJ50" s="95" t="n"/>
      <c r="AK50" s="95" t="n"/>
      <c r="AL50" s="17" t="n"/>
      <c r="AM50" s="137" t="n"/>
      <c r="AN50" s="137" t="n"/>
      <c r="AO50" s="137" t="n"/>
      <c r="AP50" s="137" t="n"/>
      <c r="AQ50" s="137" t="n"/>
      <c r="AR50" s="137" t="n"/>
      <c r="AS50" s="137" t="n"/>
    </row>
    <row r="51" ht="18.75" customHeight="1">
      <c r="B51" s="22" t="n"/>
      <c r="C51" s="137" t="n"/>
      <c r="D51" s="137" t="n"/>
      <c r="E51" s="137" t="n"/>
      <c r="F51" s="137" t="n"/>
      <c r="G51" s="137" t="n"/>
      <c r="I51" s="137" t="n"/>
      <c r="J51" s="137" t="n"/>
      <c r="K51" s="137" t="n"/>
      <c r="L51" s="137" t="n"/>
      <c r="M51" s="137" t="n"/>
      <c r="N51" s="137" t="n"/>
      <c r="O51" s="101" t="inlineStr">
        <is>
          <t>FAMÍLIAS CUSTOM · CONFIGURAÇÃO</t>
        </is>
      </c>
      <c r="P51" s="16" t="n"/>
      <c r="Q51" s="16" t="n"/>
      <c r="R51" s="16" t="n"/>
      <c r="S51" s="17" t="n"/>
      <c r="T51" s="137" t="n"/>
      <c r="U51" s="137" t="n"/>
      <c r="V51" s="137" t="n"/>
      <c r="W51" s="137" t="n"/>
      <c r="X51" s="137" t="n"/>
      <c r="Y51" s="137" t="n"/>
      <c r="Z51" s="137" t="n"/>
      <c r="AB51" s="137" t="n"/>
      <c r="AC51" s="137" t="n"/>
      <c r="AD51" s="137" t="n"/>
      <c r="AE51" s="137" t="n"/>
      <c r="AF51" s="137" t="n"/>
      <c r="AG51" s="137" t="n"/>
      <c r="AH51" s="101" t="inlineStr">
        <is>
          <t>FAMÍLIAS CUSTOM · CONFIGURAÇÃO</t>
        </is>
      </c>
      <c r="AI51" s="16" t="n"/>
      <c r="AJ51" s="16" t="n"/>
      <c r="AK51" s="16" t="n"/>
      <c r="AL51" s="17" t="n"/>
      <c r="AM51" s="137" t="n"/>
      <c r="AN51" s="137" t="n"/>
      <c r="AO51" s="137" t="n"/>
      <c r="AP51" s="137" t="n"/>
      <c r="AQ51" s="137" t="n"/>
      <c r="AR51" s="137" t="n"/>
      <c r="AS51" s="137" t="n"/>
    </row>
    <row r="52" hidden="1" outlineLevel="1" ht="31.5" customHeight="1">
      <c r="B52" s="22" t="n"/>
      <c r="O52" s="114">
        <f>IF(COUNTIF('DADOS_CRIACAO'!$H$11:$H$20,"?*")=0,"","Livre conta como aberta. As escolhas usam as vagas e os limites desta entidade.")</f>
        <v/>
      </c>
      <c r="P52" s="16" t="n"/>
      <c r="Q52" s="16" t="n"/>
      <c r="R52" s="16" t="n"/>
      <c r="S52" s="17" t="n"/>
      <c r="AH52" s="114">
        <f>IF(COUNTIF('DADOS_CRIACAO'!$H$11:$H$20,"?*")=0,"","Livre conta como aberta. As escolhas usam as vagas e os limites desta entidade.")</f>
        <v/>
      </c>
      <c r="AI52" s="16" t="n"/>
      <c r="AJ52" s="16" t="n"/>
      <c r="AK52" s="16" t="n"/>
      <c r="AL52" s="17" t="n"/>
    </row>
    <row r="53" hidden="1" outlineLevel="1" ht="18.75" customHeight="1">
      <c r="B53" s="22" t="n"/>
      <c r="O53" s="115">
        <f>IF(COUNTIF('DADOS_CRIACAO'!$H$11:$H$20,"?*")=0,"","FAMÍLIA")</f>
        <v/>
      </c>
      <c r="P53" s="16" t="n"/>
      <c r="Q53" s="17" t="n"/>
      <c r="R53" s="115">
        <f>IF(COUNTIF('DADOS_CRIACAO'!$H$11:$H$20,"?*")=0,"","ESTADO")</f>
        <v/>
      </c>
      <c r="S53" s="17" t="n"/>
      <c r="AH53" s="115">
        <f>IF(COUNTIF('DADOS_CRIACAO'!$H$11:$H$20,"?*")=0,"","FAMÍLIA")</f>
        <v/>
      </c>
      <c r="AI53" s="16" t="n"/>
      <c r="AJ53" s="17" t="n"/>
      <c r="AK53" s="115">
        <f>IF(COUNTIF('DADOS_CRIACAO'!$H$11:$H$20,"?*")=0,"","ESTADO")</f>
        <v/>
      </c>
      <c r="AL53" s="17" t="n"/>
    </row>
    <row r="54" hidden="1" outlineLevel="1" ht="18.75" customHeight="1">
      <c r="B54" s="22" t="n"/>
      <c r="O54" s="116">
        <f>'DADOS_CRIACAO'!$H$11</f>
        <v/>
      </c>
      <c r="P54" s="16" t="n"/>
      <c r="Q54" s="17" t="n"/>
      <c r="R54" s="116">
        <f>IF(O54="","",IFS(O48=O54,IF('DADOS_INVOC'!$RA$2&gt;=1,"Livre","Aberta"),P48=O54,IF('DADOS_INVOC'!$RA$2&gt;=2,"Livre","Aberta"),Q48=O54,IF('DADOS_INVOC'!$RA$2&gt;=7,"Livre","Aberta"),R48=O54,IF('DADOS_INVOC'!$RA$2&gt;=8,"Livre","Aberta"),S48=O54,IF('DADOS_INVOC'!$RA$2&gt;=9,"Livre","Aberta"),O50=O54,IF('DADOS_INVOC'!$RA$2&gt;=3,"Livre","Aberta"),P50=O54,IF('DADOS_INVOC'!$RA$2&gt;=4,"Livre","Aberta"),Q50=O54,IF('DADOS_INVOC'!$RA$2&gt;=5,"Livre","Aberta"),R50=O54,IF('DADOS_INVOC'!$RA$2&gt;=6,"Livre","Aberta"),TRUE,"Não escolhida"))</f>
        <v/>
      </c>
      <c r="S54" s="17" t="n"/>
      <c r="AH54" s="116">
        <f>'DADOS_CRIACAO'!$H$11</f>
        <v/>
      </c>
      <c r="AI54" s="16" t="n"/>
      <c r="AJ54" s="17" t="n"/>
      <c r="AK54" s="116">
        <f>IF(AH54="","",IFS(AH48=AH54,IF('DADOS_INVOC'!$RA$8&gt;=1,"Livre","Aberta"),AI48=AH54,IF('DADOS_INVOC'!$RA$8&gt;=2,"Livre","Aberta"),AJ48=AH54,IF('DADOS_INVOC'!$RA$8&gt;=7,"Livre","Aberta"),AK48=AH54,IF('DADOS_INVOC'!$RA$8&gt;=8,"Livre","Aberta"),AL48=AH54,IF('DADOS_INVOC'!$RA$8&gt;=9,"Livre","Aberta"),AH50=AH54,IF('DADOS_INVOC'!$RA$8&gt;=3,"Livre","Aberta"),AI50=AH54,IF('DADOS_INVOC'!$RA$8&gt;=4,"Livre","Aberta"),AJ50=AH54,IF('DADOS_INVOC'!$RA$8&gt;=5,"Livre","Aberta"),AK50=AH54,IF('DADOS_INVOC'!$RA$8&gt;=6,"Livre","Aberta"),TRUE,"Não escolhida"))</f>
        <v/>
      </c>
      <c r="AL54" s="17" t="n"/>
    </row>
    <row r="55" hidden="1" outlineLevel="1" ht="18.75" customHeight="1">
      <c r="B55" s="22" t="n"/>
      <c r="O55" s="116">
        <f>'DADOS_CRIACAO'!$H$12</f>
        <v/>
      </c>
      <c r="P55" s="16" t="n"/>
      <c r="Q55" s="17" t="n"/>
      <c r="R55" s="116">
        <f>IF(O55="","",IFS(O48=O55,IF('DADOS_INVOC'!$RA$2&gt;=1,"Livre","Aberta"),P48=O55,IF('DADOS_INVOC'!$RA$2&gt;=2,"Livre","Aberta"),Q48=O55,IF('DADOS_INVOC'!$RA$2&gt;=7,"Livre","Aberta"),R48=O55,IF('DADOS_INVOC'!$RA$2&gt;=8,"Livre","Aberta"),S48=O55,IF('DADOS_INVOC'!$RA$2&gt;=9,"Livre","Aberta"),O50=O55,IF('DADOS_INVOC'!$RA$2&gt;=3,"Livre","Aberta"),P50=O55,IF('DADOS_INVOC'!$RA$2&gt;=4,"Livre","Aberta"),Q50=O55,IF('DADOS_INVOC'!$RA$2&gt;=5,"Livre","Aberta"),R50=O55,IF('DADOS_INVOC'!$RA$2&gt;=6,"Livre","Aberta"),TRUE,"Não escolhida"))</f>
        <v/>
      </c>
      <c r="S55" s="17" t="n"/>
      <c r="AH55" s="116">
        <f>'DADOS_CRIACAO'!$H$12</f>
        <v/>
      </c>
      <c r="AI55" s="16" t="n"/>
      <c r="AJ55" s="17" t="n"/>
      <c r="AK55" s="116">
        <f>IF(AH55="","",IFS(AH48=AH55,IF('DADOS_INVOC'!$RA$8&gt;=1,"Livre","Aberta"),AI48=AH55,IF('DADOS_INVOC'!$RA$8&gt;=2,"Livre","Aberta"),AJ48=AH55,IF('DADOS_INVOC'!$RA$8&gt;=7,"Livre","Aberta"),AK48=AH55,IF('DADOS_INVOC'!$RA$8&gt;=8,"Livre","Aberta"),AL48=AH55,IF('DADOS_INVOC'!$RA$8&gt;=9,"Livre","Aberta"),AH50=AH55,IF('DADOS_INVOC'!$RA$8&gt;=3,"Livre","Aberta"),AI50=AH55,IF('DADOS_INVOC'!$RA$8&gt;=4,"Livre","Aberta"),AJ50=AH55,IF('DADOS_INVOC'!$RA$8&gt;=5,"Livre","Aberta"),AK50=AH55,IF('DADOS_INVOC'!$RA$8&gt;=6,"Livre","Aberta"),TRUE,"Não escolhida"))</f>
        <v/>
      </c>
      <c r="AL55" s="17" t="n"/>
    </row>
    <row r="56" hidden="1" outlineLevel="1" ht="18.75" customHeight="1">
      <c r="B56" s="22" t="n"/>
      <c r="O56" s="116">
        <f>'DADOS_CRIACAO'!$H$13</f>
        <v/>
      </c>
      <c r="P56" s="16" t="n"/>
      <c r="Q56" s="17" t="n"/>
      <c r="R56" s="116">
        <f>IF(O56="","",IFS(O48=O56,IF('DADOS_INVOC'!$RA$2&gt;=1,"Livre","Aberta"),P48=O56,IF('DADOS_INVOC'!$RA$2&gt;=2,"Livre","Aberta"),Q48=O56,IF('DADOS_INVOC'!$RA$2&gt;=7,"Livre","Aberta"),R48=O56,IF('DADOS_INVOC'!$RA$2&gt;=8,"Livre","Aberta"),S48=O56,IF('DADOS_INVOC'!$RA$2&gt;=9,"Livre","Aberta"),O50=O56,IF('DADOS_INVOC'!$RA$2&gt;=3,"Livre","Aberta"),P50=O56,IF('DADOS_INVOC'!$RA$2&gt;=4,"Livre","Aberta"),Q50=O56,IF('DADOS_INVOC'!$RA$2&gt;=5,"Livre","Aberta"),R50=O56,IF('DADOS_INVOC'!$RA$2&gt;=6,"Livre","Aberta"),TRUE,"Não escolhida"))</f>
        <v/>
      </c>
      <c r="S56" s="17" t="n"/>
      <c r="AH56" s="116">
        <f>'DADOS_CRIACAO'!$H$13</f>
        <v/>
      </c>
      <c r="AI56" s="16" t="n"/>
      <c r="AJ56" s="17" t="n"/>
      <c r="AK56" s="116">
        <f>IF(AH56="","",IFS(AH48=AH56,IF('DADOS_INVOC'!$RA$8&gt;=1,"Livre","Aberta"),AI48=AH56,IF('DADOS_INVOC'!$RA$8&gt;=2,"Livre","Aberta"),AJ48=AH56,IF('DADOS_INVOC'!$RA$8&gt;=7,"Livre","Aberta"),AK48=AH56,IF('DADOS_INVOC'!$RA$8&gt;=8,"Livre","Aberta"),AL48=AH56,IF('DADOS_INVOC'!$RA$8&gt;=9,"Livre","Aberta"),AH50=AH56,IF('DADOS_INVOC'!$RA$8&gt;=3,"Livre","Aberta"),AI50=AH56,IF('DADOS_INVOC'!$RA$8&gt;=4,"Livre","Aberta"),AJ50=AH56,IF('DADOS_INVOC'!$RA$8&gt;=5,"Livre","Aberta"),AK50=AH56,IF('DADOS_INVOC'!$RA$8&gt;=6,"Livre","Aberta"),TRUE,"Não escolhida"))</f>
        <v/>
      </c>
      <c r="AL56" s="17" t="n"/>
    </row>
    <row r="57" hidden="1" outlineLevel="1" ht="18.75" customHeight="1">
      <c r="B57" s="22" t="n"/>
      <c r="O57" s="116">
        <f>'DADOS_CRIACAO'!$H$14</f>
        <v/>
      </c>
      <c r="P57" s="16" t="n"/>
      <c r="Q57" s="17" t="n"/>
      <c r="R57" s="116">
        <f>IF(O57="","",IFS(O48=O57,IF('DADOS_INVOC'!$RA$2&gt;=1,"Livre","Aberta"),P48=O57,IF('DADOS_INVOC'!$RA$2&gt;=2,"Livre","Aberta"),Q48=O57,IF('DADOS_INVOC'!$RA$2&gt;=7,"Livre","Aberta"),R48=O57,IF('DADOS_INVOC'!$RA$2&gt;=8,"Livre","Aberta"),S48=O57,IF('DADOS_INVOC'!$RA$2&gt;=9,"Livre","Aberta"),O50=O57,IF('DADOS_INVOC'!$RA$2&gt;=3,"Livre","Aberta"),P50=O57,IF('DADOS_INVOC'!$RA$2&gt;=4,"Livre","Aberta"),Q50=O57,IF('DADOS_INVOC'!$RA$2&gt;=5,"Livre","Aberta"),R50=O57,IF('DADOS_INVOC'!$RA$2&gt;=6,"Livre","Aberta"),TRUE,"Não escolhida"))</f>
        <v/>
      </c>
      <c r="S57" s="17" t="n"/>
      <c r="AH57" s="116">
        <f>'DADOS_CRIACAO'!$H$14</f>
        <v/>
      </c>
      <c r="AI57" s="16" t="n"/>
      <c r="AJ57" s="17" t="n"/>
      <c r="AK57" s="116">
        <f>IF(AH57="","",IFS(AH48=AH57,IF('DADOS_INVOC'!$RA$8&gt;=1,"Livre","Aberta"),AI48=AH57,IF('DADOS_INVOC'!$RA$8&gt;=2,"Livre","Aberta"),AJ48=AH57,IF('DADOS_INVOC'!$RA$8&gt;=7,"Livre","Aberta"),AK48=AH57,IF('DADOS_INVOC'!$RA$8&gt;=8,"Livre","Aberta"),AL48=AH57,IF('DADOS_INVOC'!$RA$8&gt;=9,"Livre","Aberta"),AH50=AH57,IF('DADOS_INVOC'!$RA$8&gt;=3,"Livre","Aberta"),AI50=AH57,IF('DADOS_INVOC'!$RA$8&gt;=4,"Livre","Aberta"),AJ50=AH57,IF('DADOS_INVOC'!$RA$8&gt;=5,"Livre","Aberta"),AK50=AH57,IF('DADOS_INVOC'!$RA$8&gt;=6,"Livre","Aberta"),TRUE,"Não escolhida"))</f>
        <v/>
      </c>
      <c r="AL57" s="17" t="n"/>
    </row>
    <row r="58" hidden="1" outlineLevel="1" ht="18.75" customHeight="1">
      <c r="B58" s="22" t="n"/>
      <c r="O58" s="116">
        <f>'DADOS_CRIACAO'!$H$15</f>
        <v/>
      </c>
      <c r="P58" s="16" t="n"/>
      <c r="Q58" s="17" t="n"/>
      <c r="R58" s="116">
        <f>IF(O58="","",IFS(O48=O58,IF('DADOS_INVOC'!$RA$2&gt;=1,"Livre","Aberta"),P48=O58,IF('DADOS_INVOC'!$RA$2&gt;=2,"Livre","Aberta"),Q48=O58,IF('DADOS_INVOC'!$RA$2&gt;=7,"Livre","Aberta"),R48=O58,IF('DADOS_INVOC'!$RA$2&gt;=8,"Livre","Aberta"),S48=O58,IF('DADOS_INVOC'!$RA$2&gt;=9,"Livre","Aberta"),O50=O58,IF('DADOS_INVOC'!$RA$2&gt;=3,"Livre","Aberta"),P50=O58,IF('DADOS_INVOC'!$RA$2&gt;=4,"Livre","Aberta"),Q50=O58,IF('DADOS_INVOC'!$RA$2&gt;=5,"Livre","Aberta"),R50=O58,IF('DADOS_INVOC'!$RA$2&gt;=6,"Livre","Aberta"),TRUE,"Não escolhida"))</f>
        <v/>
      </c>
      <c r="S58" s="17" t="n"/>
      <c r="AH58" s="116">
        <f>'DADOS_CRIACAO'!$H$15</f>
        <v/>
      </c>
      <c r="AI58" s="16" t="n"/>
      <c r="AJ58" s="17" t="n"/>
      <c r="AK58" s="116">
        <f>IF(AH58="","",IFS(AH48=AH58,IF('DADOS_INVOC'!$RA$8&gt;=1,"Livre","Aberta"),AI48=AH58,IF('DADOS_INVOC'!$RA$8&gt;=2,"Livre","Aberta"),AJ48=AH58,IF('DADOS_INVOC'!$RA$8&gt;=7,"Livre","Aberta"),AK48=AH58,IF('DADOS_INVOC'!$RA$8&gt;=8,"Livre","Aberta"),AL48=AH58,IF('DADOS_INVOC'!$RA$8&gt;=9,"Livre","Aberta"),AH50=AH58,IF('DADOS_INVOC'!$RA$8&gt;=3,"Livre","Aberta"),AI50=AH58,IF('DADOS_INVOC'!$RA$8&gt;=4,"Livre","Aberta"),AJ50=AH58,IF('DADOS_INVOC'!$RA$8&gt;=5,"Livre","Aberta"),AK50=AH58,IF('DADOS_INVOC'!$RA$8&gt;=6,"Livre","Aberta"),TRUE,"Não escolhida"))</f>
        <v/>
      </c>
      <c r="AL58" s="17" t="n"/>
    </row>
    <row r="59" hidden="1" outlineLevel="1" ht="18.75" customHeight="1">
      <c r="B59" s="22" t="n"/>
      <c r="O59" s="116">
        <f>'DADOS_CRIACAO'!$H$16</f>
        <v/>
      </c>
      <c r="P59" s="16" t="n"/>
      <c r="Q59" s="17" t="n"/>
      <c r="R59" s="116">
        <f>IF(O59="","",IFS(O48=O59,IF('DADOS_INVOC'!$RA$2&gt;=1,"Livre","Aberta"),P48=O59,IF('DADOS_INVOC'!$RA$2&gt;=2,"Livre","Aberta"),Q48=O59,IF('DADOS_INVOC'!$RA$2&gt;=7,"Livre","Aberta"),R48=O59,IF('DADOS_INVOC'!$RA$2&gt;=8,"Livre","Aberta"),S48=O59,IF('DADOS_INVOC'!$RA$2&gt;=9,"Livre","Aberta"),O50=O59,IF('DADOS_INVOC'!$RA$2&gt;=3,"Livre","Aberta"),P50=O59,IF('DADOS_INVOC'!$RA$2&gt;=4,"Livre","Aberta"),Q50=O59,IF('DADOS_INVOC'!$RA$2&gt;=5,"Livre","Aberta"),R50=O59,IF('DADOS_INVOC'!$RA$2&gt;=6,"Livre","Aberta"),TRUE,"Não escolhida"))</f>
        <v/>
      </c>
      <c r="S59" s="17" t="n"/>
      <c r="AH59" s="116">
        <f>'DADOS_CRIACAO'!$H$16</f>
        <v/>
      </c>
      <c r="AI59" s="16" t="n"/>
      <c r="AJ59" s="17" t="n"/>
      <c r="AK59" s="116">
        <f>IF(AH59="","",IFS(AH48=AH59,IF('DADOS_INVOC'!$RA$8&gt;=1,"Livre","Aberta"),AI48=AH59,IF('DADOS_INVOC'!$RA$8&gt;=2,"Livre","Aberta"),AJ48=AH59,IF('DADOS_INVOC'!$RA$8&gt;=7,"Livre","Aberta"),AK48=AH59,IF('DADOS_INVOC'!$RA$8&gt;=8,"Livre","Aberta"),AL48=AH59,IF('DADOS_INVOC'!$RA$8&gt;=9,"Livre","Aberta"),AH50=AH59,IF('DADOS_INVOC'!$RA$8&gt;=3,"Livre","Aberta"),AI50=AH59,IF('DADOS_INVOC'!$RA$8&gt;=4,"Livre","Aberta"),AJ50=AH59,IF('DADOS_INVOC'!$RA$8&gt;=5,"Livre","Aberta"),AK50=AH59,IF('DADOS_INVOC'!$RA$8&gt;=6,"Livre","Aberta"),TRUE,"Não escolhida"))</f>
        <v/>
      </c>
      <c r="AL59" s="17" t="n"/>
    </row>
    <row r="60" hidden="1" outlineLevel="1" ht="18.75" customHeight="1">
      <c r="B60" s="22" t="n"/>
      <c r="O60" s="116">
        <f>'DADOS_CRIACAO'!$H$17</f>
        <v/>
      </c>
      <c r="P60" s="16" t="n"/>
      <c r="Q60" s="17" t="n"/>
      <c r="R60" s="116">
        <f>IF(O60="","",IFS(O48=O60,IF('DADOS_INVOC'!$RA$2&gt;=1,"Livre","Aberta"),P48=O60,IF('DADOS_INVOC'!$RA$2&gt;=2,"Livre","Aberta"),Q48=O60,IF('DADOS_INVOC'!$RA$2&gt;=7,"Livre","Aberta"),R48=O60,IF('DADOS_INVOC'!$RA$2&gt;=8,"Livre","Aberta"),S48=O60,IF('DADOS_INVOC'!$RA$2&gt;=9,"Livre","Aberta"),O50=O60,IF('DADOS_INVOC'!$RA$2&gt;=3,"Livre","Aberta"),P50=O60,IF('DADOS_INVOC'!$RA$2&gt;=4,"Livre","Aberta"),Q50=O60,IF('DADOS_INVOC'!$RA$2&gt;=5,"Livre","Aberta"),R50=O60,IF('DADOS_INVOC'!$RA$2&gt;=6,"Livre","Aberta"),TRUE,"Não escolhida"))</f>
        <v/>
      </c>
      <c r="S60" s="17" t="n"/>
      <c r="AH60" s="116">
        <f>'DADOS_CRIACAO'!$H$17</f>
        <v/>
      </c>
      <c r="AI60" s="16" t="n"/>
      <c r="AJ60" s="17" t="n"/>
      <c r="AK60" s="116">
        <f>IF(AH60="","",IFS(AH48=AH60,IF('DADOS_INVOC'!$RA$8&gt;=1,"Livre","Aberta"),AI48=AH60,IF('DADOS_INVOC'!$RA$8&gt;=2,"Livre","Aberta"),AJ48=AH60,IF('DADOS_INVOC'!$RA$8&gt;=7,"Livre","Aberta"),AK48=AH60,IF('DADOS_INVOC'!$RA$8&gt;=8,"Livre","Aberta"),AL48=AH60,IF('DADOS_INVOC'!$RA$8&gt;=9,"Livre","Aberta"),AH50=AH60,IF('DADOS_INVOC'!$RA$8&gt;=3,"Livre","Aberta"),AI50=AH60,IF('DADOS_INVOC'!$RA$8&gt;=4,"Livre","Aberta"),AJ50=AH60,IF('DADOS_INVOC'!$RA$8&gt;=5,"Livre","Aberta"),AK50=AH60,IF('DADOS_INVOC'!$RA$8&gt;=6,"Livre","Aberta"),TRUE,"Não escolhida"))</f>
        <v/>
      </c>
      <c r="AL60" s="17" t="n"/>
    </row>
    <row r="61" hidden="1" outlineLevel="1" ht="18.75" customHeight="1">
      <c r="B61" s="22" t="n"/>
      <c r="O61" s="116">
        <f>'DADOS_CRIACAO'!$H$18</f>
        <v/>
      </c>
      <c r="P61" s="16" t="n"/>
      <c r="Q61" s="17" t="n"/>
      <c r="R61" s="116">
        <f>IF(O61="","",IFS(O48=O61,IF('DADOS_INVOC'!$RA$2&gt;=1,"Livre","Aberta"),P48=O61,IF('DADOS_INVOC'!$RA$2&gt;=2,"Livre","Aberta"),Q48=O61,IF('DADOS_INVOC'!$RA$2&gt;=7,"Livre","Aberta"),R48=O61,IF('DADOS_INVOC'!$RA$2&gt;=8,"Livre","Aberta"),S48=O61,IF('DADOS_INVOC'!$RA$2&gt;=9,"Livre","Aberta"),O50=O61,IF('DADOS_INVOC'!$RA$2&gt;=3,"Livre","Aberta"),P50=O61,IF('DADOS_INVOC'!$RA$2&gt;=4,"Livre","Aberta"),Q50=O61,IF('DADOS_INVOC'!$RA$2&gt;=5,"Livre","Aberta"),R50=O61,IF('DADOS_INVOC'!$RA$2&gt;=6,"Livre","Aberta"),TRUE,"Não escolhida"))</f>
        <v/>
      </c>
      <c r="S61" s="17" t="n"/>
      <c r="AH61" s="116">
        <f>'DADOS_CRIACAO'!$H$18</f>
        <v/>
      </c>
      <c r="AI61" s="16" t="n"/>
      <c r="AJ61" s="17" t="n"/>
      <c r="AK61" s="116">
        <f>IF(AH61="","",IFS(AH48=AH61,IF('DADOS_INVOC'!$RA$8&gt;=1,"Livre","Aberta"),AI48=AH61,IF('DADOS_INVOC'!$RA$8&gt;=2,"Livre","Aberta"),AJ48=AH61,IF('DADOS_INVOC'!$RA$8&gt;=7,"Livre","Aberta"),AK48=AH61,IF('DADOS_INVOC'!$RA$8&gt;=8,"Livre","Aberta"),AL48=AH61,IF('DADOS_INVOC'!$RA$8&gt;=9,"Livre","Aberta"),AH50=AH61,IF('DADOS_INVOC'!$RA$8&gt;=3,"Livre","Aberta"),AI50=AH61,IF('DADOS_INVOC'!$RA$8&gt;=4,"Livre","Aberta"),AJ50=AH61,IF('DADOS_INVOC'!$RA$8&gt;=5,"Livre","Aberta"),AK50=AH61,IF('DADOS_INVOC'!$RA$8&gt;=6,"Livre","Aberta"),TRUE,"Não escolhida"))</f>
        <v/>
      </c>
      <c r="AL61" s="17" t="n"/>
    </row>
    <row r="62" hidden="1" outlineLevel="1" ht="18.75" customHeight="1">
      <c r="B62" s="22" t="n"/>
      <c r="O62" s="116">
        <f>'DADOS_CRIACAO'!$H$19</f>
        <v/>
      </c>
      <c r="P62" s="16" t="n"/>
      <c r="Q62" s="17" t="n"/>
      <c r="R62" s="116">
        <f>IF(O62="","",IFS(O48=O62,IF('DADOS_INVOC'!$RA$2&gt;=1,"Livre","Aberta"),P48=O62,IF('DADOS_INVOC'!$RA$2&gt;=2,"Livre","Aberta"),Q48=O62,IF('DADOS_INVOC'!$RA$2&gt;=7,"Livre","Aberta"),R48=O62,IF('DADOS_INVOC'!$RA$2&gt;=8,"Livre","Aberta"),S48=O62,IF('DADOS_INVOC'!$RA$2&gt;=9,"Livre","Aberta"),O50=O62,IF('DADOS_INVOC'!$RA$2&gt;=3,"Livre","Aberta"),P50=O62,IF('DADOS_INVOC'!$RA$2&gt;=4,"Livre","Aberta"),Q50=O62,IF('DADOS_INVOC'!$RA$2&gt;=5,"Livre","Aberta"),R50=O62,IF('DADOS_INVOC'!$RA$2&gt;=6,"Livre","Aberta"),TRUE,"Não escolhida"))</f>
        <v/>
      </c>
      <c r="S62" s="17" t="n"/>
      <c r="AH62" s="116">
        <f>'DADOS_CRIACAO'!$H$19</f>
        <v/>
      </c>
      <c r="AI62" s="16" t="n"/>
      <c r="AJ62" s="17" t="n"/>
      <c r="AK62" s="116">
        <f>IF(AH62="","",IFS(AH48=AH62,IF('DADOS_INVOC'!$RA$8&gt;=1,"Livre","Aberta"),AI48=AH62,IF('DADOS_INVOC'!$RA$8&gt;=2,"Livre","Aberta"),AJ48=AH62,IF('DADOS_INVOC'!$RA$8&gt;=7,"Livre","Aberta"),AK48=AH62,IF('DADOS_INVOC'!$RA$8&gt;=8,"Livre","Aberta"),AL48=AH62,IF('DADOS_INVOC'!$RA$8&gt;=9,"Livre","Aberta"),AH50=AH62,IF('DADOS_INVOC'!$RA$8&gt;=3,"Livre","Aberta"),AI50=AH62,IF('DADOS_INVOC'!$RA$8&gt;=4,"Livre","Aberta"),AJ50=AH62,IF('DADOS_INVOC'!$RA$8&gt;=5,"Livre","Aberta"),AK50=AH62,IF('DADOS_INVOC'!$RA$8&gt;=6,"Livre","Aberta"),TRUE,"Não escolhida"))</f>
        <v/>
      </c>
      <c r="AL62" s="17" t="n"/>
    </row>
    <row r="63" hidden="1" outlineLevel="1" ht="18.75" customHeight="1">
      <c r="B63" s="22" t="n"/>
      <c r="O63" s="116">
        <f>'DADOS_CRIACAO'!$H$20</f>
        <v/>
      </c>
      <c r="P63" s="16" t="n"/>
      <c r="Q63" s="17" t="n"/>
      <c r="R63" s="116">
        <f>IF(O63="","",IFS(O48=O63,IF('DADOS_INVOC'!$RA$2&gt;=1,"Livre","Aberta"),P48=O63,IF('DADOS_INVOC'!$RA$2&gt;=2,"Livre","Aberta"),Q48=O63,IF('DADOS_INVOC'!$RA$2&gt;=7,"Livre","Aberta"),R48=O63,IF('DADOS_INVOC'!$RA$2&gt;=8,"Livre","Aberta"),S48=O63,IF('DADOS_INVOC'!$RA$2&gt;=9,"Livre","Aberta"),O50=O63,IF('DADOS_INVOC'!$RA$2&gt;=3,"Livre","Aberta"),P50=O63,IF('DADOS_INVOC'!$RA$2&gt;=4,"Livre","Aberta"),Q50=O63,IF('DADOS_INVOC'!$RA$2&gt;=5,"Livre","Aberta"),R50=O63,IF('DADOS_INVOC'!$RA$2&gt;=6,"Livre","Aberta"),TRUE,"Não escolhida"))</f>
        <v/>
      </c>
      <c r="S63" s="17" t="n"/>
      <c r="AH63" s="116">
        <f>'DADOS_CRIACAO'!$H$20</f>
        <v/>
      </c>
      <c r="AI63" s="16" t="n"/>
      <c r="AJ63" s="17" t="n"/>
      <c r="AK63" s="116">
        <f>IF(AH63="","",IFS(AH48=AH63,IF('DADOS_INVOC'!$RA$8&gt;=1,"Livre","Aberta"),AI48=AH63,IF('DADOS_INVOC'!$RA$8&gt;=2,"Livre","Aberta"),AJ48=AH63,IF('DADOS_INVOC'!$RA$8&gt;=7,"Livre","Aberta"),AK48=AH63,IF('DADOS_INVOC'!$RA$8&gt;=8,"Livre","Aberta"),AL48=AH63,IF('DADOS_INVOC'!$RA$8&gt;=9,"Livre","Aberta"),AH50=AH63,IF('DADOS_INVOC'!$RA$8&gt;=3,"Livre","Aberta"),AI50=AH63,IF('DADOS_INVOC'!$RA$8&gt;=4,"Livre","Aberta"),AJ50=AH63,IF('DADOS_INVOC'!$RA$8&gt;=5,"Livre","Aberta"),AK50=AH63,IF('DADOS_INVOC'!$RA$8&gt;=6,"Livre","Aberta"),TRUE,"Não escolhida"))</f>
        <v/>
      </c>
      <c r="AL63" s="17" t="n"/>
    </row>
    <row r="64" hidden="1" outlineLevel="1" ht="18.75" customHeight="1">
      <c r="B64" s="22" t="n"/>
    </row>
    <row r="65">
      <c r="B65" s="22" t="n"/>
      <c r="C65" s="137" t="n"/>
      <c r="D65" s="137" t="n"/>
      <c r="E65" s="137" t="n"/>
      <c r="F65" s="137" t="n"/>
      <c r="G65" s="137" t="n"/>
      <c r="I65" s="56" t="inlineStr">
        <is>
          <t>DEFINIÇÃO</t>
        </is>
      </c>
      <c r="J65" s="16" t="n"/>
      <c r="K65" s="16" t="n"/>
      <c r="L65" s="16" t="n"/>
      <c r="M65" s="16" t="n"/>
      <c r="N65" s="16" t="n"/>
      <c r="O65" s="16" t="n"/>
      <c r="P65" s="16" t="n"/>
      <c r="Q65" s="16" t="n"/>
      <c r="R65" s="16" t="n"/>
      <c r="S65" s="16" t="n"/>
      <c r="T65" s="16" t="n"/>
      <c r="U65" s="16" t="n"/>
      <c r="V65" s="16" t="n"/>
      <c r="W65" s="16" t="n"/>
      <c r="X65" s="16" t="n"/>
      <c r="Y65" s="17" t="n"/>
      <c r="Z65" s="137" t="n"/>
      <c r="AB65" s="56" t="inlineStr">
        <is>
          <t>DEFINIÇÃO</t>
        </is>
      </c>
      <c r="AC65" s="16" t="n"/>
      <c r="AD65" s="16" t="n"/>
      <c r="AE65" s="16" t="n"/>
      <c r="AF65" s="16" t="n"/>
      <c r="AG65" s="16" t="n"/>
      <c r="AH65" s="16" t="n"/>
      <c r="AI65" s="16" t="n"/>
      <c r="AJ65" s="16" t="n"/>
      <c r="AK65" s="16" t="n"/>
      <c r="AL65" s="16" t="n"/>
      <c r="AM65" s="16" t="n"/>
      <c r="AN65" s="16" t="n"/>
      <c r="AO65" s="16" t="n"/>
      <c r="AP65" s="16" t="n"/>
      <c r="AQ65" s="16" t="n"/>
      <c r="AR65" s="17" t="n"/>
      <c r="AS65" s="137" t="n"/>
    </row>
    <row r="66">
      <c r="B66" s="22" t="n"/>
      <c r="C66" s="137" t="n"/>
      <c r="D66" s="137" t="n"/>
      <c r="E66" s="137" t="n"/>
      <c r="F66" s="137" t="n"/>
      <c r="G66" s="137" t="n"/>
      <c r="I66" s="61" t="n"/>
      <c r="J66" s="19" t="n"/>
      <c r="K66" s="19" t="n"/>
      <c r="L66" s="19" t="n"/>
      <c r="M66" s="19" t="n"/>
      <c r="N66" s="19" t="n"/>
      <c r="O66" s="19" t="n"/>
      <c r="P66" s="19" t="n"/>
      <c r="Q66" s="19" t="n"/>
      <c r="R66" s="19" t="n"/>
      <c r="S66" s="19" t="n"/>
      <c r="T66" s="19" t="n"/>
      <c r="U66" s="19" t="n"/>
      <c r="V66" s="19" t="n"/>
      <c r="W66" s="19" t="n"/>
      <c r="X66" s="19" t="n"/>
      <c r="Y66" s="20" t="n"/>
      <c r="Z66" s="137" t="n"/>
      <c r="AB66" s="61" t="n"/>
      <c r="AC66" s="19" t="n"/>
      <c r="AD66" s="19" t="n"/>
      <c r="AE66" s="19" t="n"/>
      <c r="AF66" s="19" t="n"/>
      <c r="AG66" s="19" t="n"/>
      <c r="AH66" s="19" t="n"/>
      <c r="AI66" s="19" t="n"/>
      <c r="AJ66" s="19" t="n"/>
      <c r="AK66" s="19" t="n"/>
      <c r="AL66" s="19" t="n"/>
      <c r="AM66" s="19" t="n"/>
      <c r="AN66" s="19" t="n"/>
      <c r="AO66" s="19" t="n"/>
      <c r="AP66" s="19" t="n"/>
      <c r="AQ66" s="19" t="n"/>
      <c r="AR66" s="20" t="n"/>
      <c r="AS66" s="137" t="n"/>
    </row>
    <row r="67">
      <c r="B67" s="22" t="n"/>
      <c r="C67" s="137" t="n"/>
      <c r="D67" s="137" t="n"/>
      <c r="E67" s="137" t="n"/>
      <c r="F67" s="137" t="n"/>
      <c r="G67" s="137" t="n"/>
      <c r="I67" s="23" t="n"/>
      <c r="J67" s="24" t="n"/>
      <c r="K67" s="24" t="n"/>
      <c r="L67" s="24" t="n"/>
      <c r="M67" s="24" t="n"/>
      <c r="N67" s="24" t="n"/>
      <c r="O67" s="24" t="n"/>
      <c r="P67" s="24" t="n"/>
      <c r="Q67" s="24" t="n"/>
      <c r="R67" s="24" t="n"/>
      <c r="S67" s="24" t="n"/>
      <c r="T67" s="24" t="n"/>
      <c r="U67" s="24" t="n"/>
      <c r="V67" s="24" t="n"/>
      <c r="W67" s="24" t="n"/>
      <c r="X67" s="24" t="n"/>
      <c r="Y67" s="25" t="n"/>
      <c r="Z67" s="137" t="n"/>
      <c r="AB67" s="23" t="n"/>
      <c r="AC67" s="24" t="n"/>
      <c r="AD67" s="24" t="n"/>
      <c r="AE67" s="24" t="n"/>
      <c r="AF67" s="24" t="n"/>
      <c r="AG67" s="24" t="n"/>
      <c r="AH67" s="24" t="n"/>
      <c r="AI67" s="24" t="n"/>
      <c r="AJ67" s="24" t="n"/>
      <c r="AK67" s="24" t="n"/>
      <c r="AL67" s="24" t="n"/>
      <c r="AM67" s="24" t="n"/>
      <c r="AN67" s="24" t="n"/>
      <c r="AO67" s="24" t="n"/>
      <c r="AP67" s="24" t="n"/>
      <c r="AQ67" s="24" t="n"/>
      <c r="AR67" s="25" t="n"/>
      <c r="AS67" s="137" t="n"/>
    </row>
    <row r="68">
      <c r="B68" s="22" t="n"/>
      <c r="C68" s="137" t="n"/>
      <c r="D68" s="137" t="n"/>
      <c r="E68" s="137" t="n"/>
      <c r="F68" s="137" t="n"/>
      <c r="G68" s="137" t="n"/>
      <c r="I68" s="146">
        <f>DADOS_INVOC!$IE$2</f>
        <v/>
      </c>
      <c r="J68" s="16" t="n"/>
      <c r="K68" s="16" t="n"/>
      <c r="L68" s="16" t="n"/>
      <c r="M68" s="16" t="n"/>
      <c r="N68" s="16" t="n"/>
      <c r="O68" s="16" t="n"/>
      <c r="P68" s="16" t="n"/>
      <c r="Q68" s="16" t="n"/>
      <c r="R68" s="16" t="n"/>
      <c r="S68" s="16" t="n"/>
      <c r="T68" s="16" t="n"/>
      <c r="U68" s="16" t="n"/>
      <c r="V68" s="16" t="n"/>
      <c r="W68" s="16" t="n"/>
      <c r="X68" s="16" t="n"/>
      <c r="Y68" s="17" t="n"/>
      <c r="Z68" s="137" t="n"/>
      <c r="AB68" s="146">
        <f>DADOS_INVOC!$IE$8</f>
        <v/>
      </c>
      <c r="AC68" s="16" t="n"/>
      <c r="AD68" s="16" t="n"/>
      <c r="AE68" s="16" t="n"/>
      <c r="AF68" s="16" t="n"/>
      <c r="AG68" s="16" t="n"/>
      <c r="AH68" s="16" t="n"/>
      <c r="AI68" s="16" t="n"/>
      <c r="AJ68" s="16" t="n"/>
      <c r="AK68" s="16" t="n"/>
      <c r="AL68" s="16" t="n"/>
      <c r="AM68" s="16" t="n"/>
      <c r="AN68" s="16" t="n"/>
      <c r="AO68" s="16" t="n"/>
      <c r="AP68" s="16" t="n"/>
      <c r="AQ68" s="16" t="n"/>
      <c r="AR68" s="17" t="n"/>
      <c r="AS68" s="137" t="n"/>
    </row>
    <row r="69" outlineLevel="1">
      <c r="B69" s="22" t="n"/>
      <c r="C69" s="137" t="n"/>
      <c r="D69" s="137" t="n"/>
      <c r="E69" s="137" t="n"/>
      <c r="F69" s="137" t="n"/>
      <c r="G69" s="137" t="n"/>
      <c r="I69" s="137" t="n"/>
      <c r="J69" s="137" t="n"/>
      <c r="K69" s="137" t="n"/>
      <c r="L69" s="137" t="n"/>
      <c r="M69" s="137" t="n"/>
      <c r="N69" s="137" t="n"/>
      <c r="O69" s="137" t="n"/>
      <c r="P69" s="137" t="n"/>
      <c r="Q69" s="137" t="n"/>
      <c r="R69" s="137" t="n"/>
      <c r="S69" s="137" t="n"/>
      <c r="T69" s="137" t="n"/>
      <c r="U69" s="137" t="n"/>
      <c r="V69" s="137" t="n"/>
      <c r="W69" s="137" t="n"/>
      <c r="X69" s="137" t="n"/>
      <c r="Y69" s="137" t="n"/>
      <c r="Z69" s="137" t="n"/>
      <c r="AB69" s="137" t="n"/>
      <c r="AC69" s="137" t="n"/>
      <c r="AD69" s="137" t="n"/>
      <c r="AE69" s="137" t="n"/>
      <c r="AF69" s="137" t="n"/>
      <c r="AG69" s="137" t="n"/>
      <c r="AH69" s="137" t="n"/>
      <c r="AI69" s="137" t="n"/>
      <c r="AJ69" s="137" t="n"/>
      <c r="AK69" s="137" t="n"/>
      <c r="AL69" s="137" t="n"/>
      <c r="AM69" s="137" t="n"/>
      <c r="AN69" s="137" t="n"/>
      <c r="AO69" s="137" t="n"/>
      <c r="AP69" s="137" t="n"/>
      <c r="AQ69" s="137" t="n"/>
      <c r="AR69" s="137" t="n"/>
      <c r="AS69" s="137" t="n"/>
    </row>
    <row r="70" outlineLevel="1">
      <c r="B70" s="22" t="n"/>
      <c r="C70" s="137" t="n"/>
      <c r="D70" s="137" t="n"/>
      <c r="E70" s="137" t="n"/>
      <c r="F70" s="137" t="n"/>
      <c r="G70" s="137" t="n"/>
      <c r="I70" s="56">
        <f>DADOS_INVOC!$PZ$2</f>
        <v/>
      </c>
      <c r="J70" s="16" t="n"/>
      <c r="K70" s="16" t="n"/>
      <c r="L70" s="16" t="n"/>
      <c r="M70" s="17" t="n"/>
      <c r="N70" s="137" t="n"/>
      <c r="O70" s="56">
        <f>DADOS_INVOC!$PZ$3</f>
        <v/>
      </c>
      <c r="P70" s="16" t="n"/>
      <c r="Q70" s="16" t="n"/>
      <c r="R70" s="16" t="n"/>
      <c r="S70" s="17" t="n"/>
      <c r="T70" s="137" t="n"/>
      <c r="U70" s="56">
        <f>DADOS_INVOC!$PZ$4</f>
        <v/>
      </c>
      <c r="V70" s="16" t="n"/>
      <c r="W70" s="16" t="n"/>
      <c r="X70" s="16" t="n"/>
      <c r="Y70" s="17" t="n"/>
      <c r="Z70" s="137" t="n"/>
      <c r="AB70" s="56">
        <f>DADOS_INVOC!$PZ$80</f>
        <v/>
      </c>
      <c r="AC70" s="16" t="n"/>
      <c r="AD70" s="16" t="n"/>
      <c r="AE70" s="16" t="n"/>
      <c r="AF70" s="17" t="n"/>
      <c r="AG70" s="137" t="n"/>
      <c r="AH70" s="56">
        <f>DADOS_INVOC!$PZ$81</f>
        <v/>
      </c>
      <c r="AI70" s="16" t="n"/>
      <c r="AJ70" s="16" t="n"/>
      <c r="AK70" s="16" t="n"/>
      <c r="AL70" s="17" t="n"/>
      <c r="AM70" s="137" t="n"/>
      <c r="AN70" s="56">
        <f>DADOS_INVOC!$PZ$82</f>
        <v/>
      </c>
      <c r="AO70" s="16" t="n"/>
      <c r="AP70" s="16" t="n"/>
      <c r="AQ70" s="16" t="n"/>
      <c r="AR70" s="17" t="n"/>
      <c r="AS70" s="137" t="n"/>
    </row>
    <row r="71" outlineLevel="1">
      <c r="B71" s="22" t="n"/>
      <c r="C71" s="137" t="n"/>
      <c r="D71" s="137" t="n"/>
      <c r="E71" s="137" t="n"/>
      <c r="F71" s="137" t="n"/>
      <c r="G71" s="137" t="n"/>
      <c r="I71" s="141" t="n">
        <v>0</v>
      </c>
      <c r="J71" s="131" t="n"/>
      <c r="K71" s="16" t="n"/>
      <c r="L71" s="17" t="n"/>
      <c r="M71" s="142">
        <f>DADOS_INVOC!$PX$2</f>
        <v/>
      </c>
      <c r="N71" s="137" t="n"/>
      <c r="O71" s="141" t="n">
        <v>1</v>
      </c>
      <c r="P71" s="131" t="n"/>
      <c r="Q71" s="16" t="n"/>
      <c r="R71" s="17" t="n"/>
      <c r="S71" s="142">
        <f>DADOS_INVOC!$PX$3</f>
        <v/>
      </c>
      <c r="T71" s="137" t="n"/>
      <c r="U71" s="141" t="n">
        <v>1</v>
      </c>
      <c r="V71" s="131" t="n"/>
      <c r="W71" s="16" t="n"/>
      <c r="X71" s="17" t="n"/>
      <c r="Y71" s="142">
        <f>DADOS_INVOC!$PX$4</f>
        <v/>
      </c>
      <c r="Z71" s="137" t="n"/>
      <c r="AB71" s="141" t="n">
        <v>0</v>
      </c>
      <c r="AC71" s="131" t="n"/>
      <c r="AD71" s="16" t="n"/>
      <c r="AE71" s="17" t="n"/>
      <c r="AF71" s="142">
        <f>DADOS_INVOC!$PX$80</f>
        <v/>
      </c>
      <c r="AG71" s="137" t="n"/>
      <c r="AH71" s="141" t="n">
        <v>1</v>
      </c>
      <c r="AI71" s="131" t="n"/>
      <c r="AJ71" s="16" t="n"/>
      <c r="AK71" s="17" t="n"/>
      <c r="AL71" s="142">
        <f>DADOS_INVOC!$PX$81</f>
        <v/>
      </c>
      <c r="AM71" s="137" t="n"/>
      <c r="AN71" s="141" t="n">
        <v>1</v>
      </c>
      <c r="AO71" s="131" t="n"/>
      <c r="AP71" s="16" t="n"/>
      <c r="AQ71" s="17" t="n"/>
      <c r="AR71" s="142">
        <f>DADOS_INVOC!$PX$82</f>
        <v/>
      </c>
      <c r="AS71" s="137" t="n"/>
    </row>
    <row r="72" outlineLevel="2">
      <c r="B72" s="22" t="n"/>
      <c r="C72" s="137" t="n"/>
      <c r="D72" s="137" t="n"/>
      <c r="E72" s="137" t="n"/>
      <c r="F72" s="137" t="n"/>
      <c r="G72" s="137" t="n"/>
      <c r="I72" s="56" t="inlineStr">
        <is>
          <t>COMO É</t>
        </is>
      </c>
      <c r="J72" s="16" t="n"/>
      <c r="K72" s="16" t="n"/>
      <c r="L72" s="16" t="n"/>
      <c r="M72" s="17" t="n"/>
      <c r="N72" s="137" t="n"/>
      <c r="O72" s="56" t="inlineStr">
        <is>
          <t>COMO É</t>
        </is>
      </c>
      <c r="P72" s="16" t="n"/>
      <c r="Q72" s="16" t="n"/>
      <c r="R72" s="16" t="n"/>
      <c r="S72" s="17" t="n"/>
      <c r="T72" s="137" t="n"/>
      <c r="U72" s="56" t="inlineStr">
        <is>
          <t>COMO É</t>
        </is>
      </c>
      <c r="V72" s="16" t="n"/>
      <c r="W72" s="16" t="n"/>
      <c r="X72" s="16" t="n"/>
      <c r="Y72" s="17" t="n"/>
      <c r="Z72" s="137" t="n"/>
      <c r="AB72" s="56" t="inlineStr">
        <is>
          <t>COMO É</t>
        </is>
      </c>
      <c r="AC72" s="16" t="n"/>
      <c r="AD72" s="16" t="n"/>
      <c r="AE72" s="16" t="n"/>
      <c r="AF72" s="17" t="n"/>
      <c r="AG72" s="137" t="n"/>
      <c r="AH72" s="56" t="inlineStr">
        <is>
          <t>COMO É</t>
        </is>
      </c>
      <c r="AI72" s="16" t="n"/>
      <c r="AJ72" s="16" t="n"/>
      <c r="AK72" s="16" t="n"/>
      <c r="AL72" s="17" t="n"/>
      <c r="AM72" s="137" t="n"/>
      <c r="AN72" s="56" t="inlineStr">
        <is>
          <t>COMO É</t>
        </is>
      </c>
      <c r="AO72" s="16" t="n"/>
      <c r="AP72" s="16" t="n"/>
      <c r="AQ72" s="16" t="n"/>
      <c r="AR72" s="17" t="n"/>
      <c r="AS72" s="137" t="n"/>
    </row>
    <row r="73" outlineLevel="2">
      <c r="B73" s="22" t="n"/>
      <c r="C73" s="137" t="n"/>
      <c r="D73" s="137" t="n"/>
      <c r="E73" s="137" t="n"/>
      <c r="F73" s="137" t="n"/>
      <c r="G73" s="137" t="n"/>
      <c r="I73" s="61" t="n"/>
      <c r="J73" s="19" t="n"/>
      <c r="K73" s="19" t="n"/>
      <c r="L73" s="19" t="n"/>
      <c r="M73" s="20" t="n"/>
      <c r="N73" s="137" t="n"/>
      <c r="O73" s="61" t="n"/>
      <c r="P73" s="19" t="n"/>
      <c r="Q73" s="19" t="n"/>
      <c r="R73" s="19" t="n"/>
      <c r="S73" s="20" t="n"/>
      <c r="T73" s="137" t="n"/>
      <c r="U73" s="61" t="n"/>
      <c r="V73" s="19" t="n"/>
      <c r="W73" s="19" t="n"/>
      <c r="X73" s="19" t="n"/>
      <c r="Y73" s="20" t="n"/>
      <c r="Z73" s="137" t="n"/>
      <c r="AB73" s="61" t="n"/>
      <c r="AC73" s="19" t="n"/>
      <c r="AD73" s="19" t="n"/>
      <c r="AE73" s="19" t="n"/>
      <c r="AF73" s="20" t="n"/>
      <c r="AG73" s="137" t="n"/>
      <c r="AH73" s="61" t="n"/>
      <c r="AI73" s="19" t="n"/>
      <c r="AJ73" s="19" t="n"/>
      <c r="AK73" s="19" t="n"/>
      <c r="AL73" s="20" t="n"/>
      <c r="AM73" s="137" t="n"/>
      <c r="AN73" s="61" t="n"/>
      <c r="AO73" s="19" t="n"/>
      <c r="AP73" s="19" t="n"/>
      <c r="AQ73" s="19" t="n"/>
      <c r="AR73" s="20" t="n"/>
      <c r="AS73" s="137" t="n"/>
    </row>
    <row r="74" outlineLevel="2">
      <c r="B74" s="22" t="n"/>
      <c r="C74" s="137" t="n"/>
      <c r="D74" s="137" t="n"/>
      <c r="E74" s="137" t="n"/>
      <c r="F74" s="137" t="n"/>
      <c r="G74" s="137" t="n"/>
      <c r="I74" s="21" t="n"/>
      <c r="M74" s="22" t="n"/>
      <c r="N74" s="137" t="n"/>
      <c r="O74" s="21" t="n"/>
      <c r="S74" s="22" t="n"/>
      <c r="T74" s="137" t="n"/>
      <c r="U74" s="21" t="n"/>
      <c r="Y74" s="22" t="n"/>
      <c r="Z74" s="137" t="n"/>
      <c r="AB74" s="21" t="n"/>
      <c r="AF74" s="22" t="n"/>
      <c r="AG74" s="137" t="n"/>
      <c r="AH74" s="21" t="n"/>
      <c r="AL74" s="22" t="n"/>
      <c r="AM74" s="137" t="n"/>
      <c r="AN74" s="21" t="n"/>
      <c r="AR74" s="22" t="n"/>
      <c r="AS74" s="137" t="n"/>
    </row>
    <row r="75" outlineLevel="2">
      <c r="B75" s="22" t="n"/>
      <c r="C75" s="137" t="n"/>
      <c r="D75" s="137" t="n"/>
      <c r="E75" s="137" t="n"/>
      <c r="F75" s="137" t="n"/>
      <c r="G75" s="137" t="n"/>
      <c r="I75" s="23" t="n"/>
      <c r="J75" s="24" t="n"/>
      <c r="K75" s="24" t="n"/>
      <c r="L75" s="24" t="n"/>
      <c r="M75" s="25" t="n"/>
      <c r="N75" s="137" t="n"/>
      <c r="O75" s="23" t="n"/>
      <c r="P75" s="24" t="n"/>
      <c r="Q75" s="24" t="n"/>
      <c r="R75" s="24" t="n"/>
      <c r="S75" s="25" t="n"/>
      <c r="T75" s="137" t="n"/>
      <c r="U75" s="23" t="n"/>
      <c r="V75" s="24" t="n"/>
      <c r="W75" s="24" t="n"/>
      <c r="X75" s="24" t="n"/>
      <c r="Y75" s="25" t="n"/>
      <c r="Z75" s="137" t="n"/>
      <c r="AB75" s="23" t="n"/>
      <c r="AC75" s="24" t="n"/>
      <c r="AD75" s="24" t="n"/>
      <c r="AE75" s="24" t="n"/>
      <c r="AF75" s="25" t="n"/>
      <c r="AG75" s="137" t="n"/>
      <c r="AH75" s="23" t="n"/>
      <c r="AI75" s="24" t="n"/>
      <c r="AJ75" s="24" t="n"/>
      <c r="AK75" s="24" t="n"/>
      <c r="AL75" s="25" t="n"/>
      <c r="AM75" s="137" t="n"/>
      <c r="AN75" s="23" t="n"/>
      <c r="AO75" s="24" t="n"/>
      <c r="AP75" s="24" t="n"/>
      <c r="AQ75" s="24" t="n"/>
      <c r="AR75" s="25" t="n"/>
      <c r="AS75" s="137" t="n"/>
    </row>
    <row r="76" outlineLevel="1">
      <c r="B76" s="22" t="n"/>
      <c r="C76" s="137" t="n"/>
      <c r="D76" s="137" t="n"/>
      <c r="E76" s="137" t="n"/>
      <c r="F76" s="137" t="n"/>
      <c r="G76" s="137" t="n"/>
      <c r="I76" s="95" t="inlineStr">
        <is>
          <t>Projétil</t>
        </is>
      </c>
      <c r="J76" s="17" t="n"/>
      <c r="K76" s="71">
        <f>DADOS_INVOC!$QE$2</f>
        <v/>
      </c>
      <c r="L76" s="17" t="n"/>
      <c r="M76" s="71">
        <f>DADOS_INVOC!$QA$2</f>
        <v/>
      </c>
      <c r="N76" s="137" t="n"/>
      <c r="O76" s="95" t="inlineStr">
        <is>
          <t>Projétil</t>
        </is>
      </c>
      <c r="P76" s="17" t="n"/>
      <c r="Q76" s="71">
        <f>DADOS_INVOC!$QE$3</f>
        <v/>
      </c>
      <c r="R76" s="17" t="n"/>
      <c r="S76" s="71">
        <f>DADOS_INVOC!$QA$3</f>
        <v/>
      </c>
      <c r="T76" s="137" t="n"/>
      <c r="U76" s="95" t="inlineStr">
        <is>
          <t>Projétil</t>
        </is>
      </c>
      <c r="V76" s="17" t="n"/>
      <c r="W76" s="71">
        <f>DADOS_INVOC!$QE$4</f>
        <v/>
      </c>
      <c r="X76" s="17" t="n"/>
      <c r="Y76" s="71">
        <f>DADOS_INVOC!$QA$4</f>
        <v/>
      </c>
      <c r="Z76" s="137" t="n"/>
      <c r="AB76" s="95" t="inlineStr">
        <is>
          <t>Projétil</t>
        </is>
      </c>
      <c r="AC76" s="17" t="n"/>
      <c r="AD76" s="71">
        <f>DADOS_INVOC!$QE$80</f>
        <v/>
      </c>
      <c r="AE76" s="17" t="n"/>
      <c r="AF76" s="71">
        <f>DADOS_INVOC!$QA$80</f>
        <v/>
      </c>
      <c r="AG76" s="137" t="n"/>
      <c r="AH76" s="95" t="inlineStr">
        <is>
          <t>Projétil</t>
        </is>
      </c>
      <c r="AI76" s="17" t="n"/>
      <c r="AJ76" s="71">
        <f>DADOS_INVOC!$QE$81</f>
        <v/>
      </c>
      <c r="AK76" s="17" t="n"/>
      <c r="AL76" s="71">
        <f>DADOS_INVOC!$QA$81</f>
        <v/>
      </c>
      <c r="AM76" s="137" t="n"/>
      <c r="AN76" s="95" t="inlineStr">
        <is>
          <t>Projétil</t>
        </is>
      </c>
      <c r="AO76" s="17" t="n"/>
      <c r="AP76" s="71">
        <f>DADOS_INVOC!$QE$82</f>
        <v/>
      </c>
      <c r="AQ76" s="17" t="n"/>
      <c r="AR76" s="71">
        <f>DADOS_INVOC!$QA$82</f>
        <v/>
      </c>
      <c r="AS76" s="137" t="n"/>
    </row>
    <row r="77" outlineLevel="1">
      <c r="B77" s="22" t="n"/>
      <c r="C77" s="137" t="n"/>
      <c r="D77" s="137" t="n"/>
      <c r="E77" s="137" t="n"/>
      <c r="F77" s="137" t="n"/>
      <c r="G77" s="137" t="n"/>
      <c r="I77" s="95" t="n"/>
      <c r="J77" s="17" t="n"/>
      <c r="K77" s="95" t="n"/>
      <c r="L77" s="16" t="n"/>
      <c r="M77" s="17" t="n"/>
      <c r="N77" s="137" t="n"/>
      <c r="O77" s="95" t="n"/>
      <c r="P77" s="17" t="n"/>
      <c r="Q77" s="95" t="n"/>
      <c r="R77" s="16" t="n"/>
      <c r="S77" s="17" t="n"/>
      <c r="T77" s="137" t="n"/>
      <c r="U77" s="95" t="n"/>
      <c r="V77" s="17" t="n"/>
      <c r="W77" s="95" t="n"/>
      <c r="X77" s="16" t="n"/>
      <c r="Y77" s="17" t="n"/>
      <c r="Z77" s="137" t="n"/>
      <c r="AB77" s="95" t="n"/>
      <c r="AC77" s="17" t="n"/>
      <c r="AD77" s="95" t="n"/>
      <c r="AE77" s="16" t="n"/>
      <c r="AF77" s="17" t="n"/>
      <c r="AG77" s="137" t="n"/>
      <c r="AH77" s="95" t="n"/>
      <c r="AI77" s="17" t="n"/>
      <c r="AJ77" s="95" t="n"/>
      <c r="AK77" s="16" t="n"/>
      <c r="AL77" s="17" t="n"/>
      <c r="AM77" s="137" t="n"/>
      <c r="AN77" s="95" t="n"/>
      <c r="AO77" s="17" t="n"/>
      <c r="AP77" s="95" t="n"/>
      <c r="AQ77" s="16" t="n"/>
      <c r="AR77" s="17" t="n"/>
      <c r="AS77" s="137" t="n"/>
    </row>
    <row r="78" outlineLevel="1">
      <c r="B78" s="22" t="n"/>
      <c r="C78" s="137" t="n"/>
      <c r="D78" s="137" t="n"/>
      <c r="E78" s="137" t="n"/>
      <c r="F78" s="137" t="n"/>
      <c r="G78" s="137" t="n"/>
      <c r="I78" s="95">
        <f>DADOS_INVOC!$QB$2</f>
        <v/>
      </c>
      <c r="J78" s="17" t="n"/>
      <c r="K78" s="95">
        <f>DADOS_INVOC!$QD$2</f>
        <v/>
      </c>
      <c r="L78" s="16" t="n"/>
      <c r="M78" s="17" t="n"/>
      <c r="N78" s="137" t="n"/>
      <c r="O78" s="95">
        <f>DADOS_INVOC!$QB$3</f>
        <v/>
      </c>
      <c r="P78" s="17" t="n"/>
      <c r="Q78" s="95">
        <f>DADOS_INVOC!$QD$3</f>
        <v/>
      </c>
      <c r="R78" s="16" t="n"/>
      <c r="S78" s="17" t="n"/>
      <c r="T78" s="137" t="n"/>
      <c r="U78" s="95">
        <f>DADOS_INVOC!$QB$4</f>
        <v/>
      </c>
      <c r="V78" s="17" t="n"/>
      <c r="W78" s="95">
        <f>DADOS_INVOC!$QD$4</f>
        <v/>
      </c>
      <c r="X78" s="16" t="n"/>
      <c r="Y78" s="17" t="n"/>
      <c r="Z78" s="137" t="n"/>
      <c r="AB78" s="95">
        <f>DADOS_INVOC!$QB$80</f>
        <v/>
      </c>
      <c r="AC78" s="17" t="n"/>
      <c r="AD78" s="95">
        <f>DADOS_INVOC!$QD$80</f>
        <v/>
      </c>
      <c r="AE78" s="16" t="n"/>
      <c r="AF78" s="17" t="n"/>
      <c r="AG78" s="137" t="n"/>
      <c r="AH78" s="95">
        <f>DADOS_INVOC!$QB$81</f>
        <v/>
      </c>
      <c r="AI78" s="17" t="n"/>
      <c r="AJ78" s="95">
        <f>DADOS_INVOC!$QD$81</f>
        <v/>
      </c>
      <c r="AK78" s="16" t="n"/>
      <c r="AL78" s="17" t="n"/>
      <c r="AM78" s="137" t="n"/>
      <c r="AN78" s="95">
        <f>DADOS_INVOC!$QB$82</f>
        <v/>
      </c>
      <c r="AO78" s="17" t="n"/>
      <c r="AP78" s="95">
        <f>DADOS_INVOC!$QD$82</f>
        <v/>
      </c>
      <c r="AQ78" s="16" t="n"/>
      <c r="AR78" s="17" t="n"/>
      <c r="AS78" s="137" t="n"/>
    </row>
    <row r="79" outlineLevel="1">
      <c r="B79" s="22" t="n"/>
      <c r="C79" s="137" t="n"/>
      <c r="D79" s="137" t="n"/>
      <c r="E79" s="137" t="n"/>
      <c r="F79" s="137" t="n"/>
      <c r="G79" s="137" t="n"/>
      <c r="I79" s="143">
        <f>DADOS_INVOC!$QJ$2</f>
        <v/>
      </c>
      <c r="J79" s="16" t="n"/>
      <c r="K79" s="16" t="n"/>
      <c r="L79" s="16" t="n"/>
      <c r="M79" s="17" t="n"/>
      <c r="N79" s="137" t="n"/>
      <c r="O79" s="143">
        <f>DADOS_INVOC!$QJ$3</f>
        <v/>
      </c>
      <c r="P79" s="16" t="n"/>
      <c r="Q79" s="16" t="n"/>
      <c r="R79" s="16" t="n"/>
      <c r="S79" s="17" t="n"/>
      <c r="T79" s="137" t="n"/>
      <c r="U79" s="143">
        <f>DADOS_INVOC!$QJ$4</f>
        <v/>
      </c>
      <c r="V79" s="16" t="n"/>
      <c r="W79" s="16" t="n"/>
      <c r="X79" s="16" t="n"/>
      <c r="Y79" s="17" t="n"/>
      <c r="Z79" s="137" t="n"/>
      <c r="AB79" s="143">
        <f>DADOS_INVOC!$QJ$80</f>
        <v/>
      </c>
      <c r="AC79" s="16" t="n"/>
      <c r="AD79" s="16" t="n"/>
      <c r="AE79" s="16" t="n"/>
      <c r="AF79" s="17" t="n"/>
      <c r="AG79" s="137" t="n"/>
      <c r="AH79" s="143">
        <f>DADOS_INVOC!$QJ$81</f>
        <v/>
      </c>
      <c r="AI79" s="16" t="n"/>
      <c r="AJ79" s="16" t="n"/>
      <c r="AK79" s="16" t="n"/>
      <c r="AL79" s="17" t="n"/>
      <c r="AM79" s="137" t="n"/>
      <c r="AN79" s="143">
        <f>DADOS_INVOC!$QJ$82</f>
        <v/>
      </c>
      <c r="AO79" s="16" t="n"/>
      <c r="AP79" s="16" t="n"/>
      <c r="AQ79" s="16" t="n"/>
      <c r="AR79" s="17" t="n"/>
      <c r="AS79" s="137" t="n"/>
    </row>
    <row r="80" hidden="1" outlineLevel="2">
      <c r="B80" s="22" t="n"/>
      <c r="C80" s="137" t="n"/>
      <c r="D80" s="137" t="n"/>
      <c r="E80" s="137" t="n"/>
      <c r="F80" s="137" t="n"/>
      <c r="G80" s="137" t="n"/>
      <c r="I80" s="56" t="inlineStr">
        <is>
          <t>MELHORIAS</t>
        </is>
      </c>
      <c r="J80" s="144" t="n"/>
      <c r="K80" s="16" t="n"/>
      <c r="L80" s="17" t="n"/>
      <c r="M80" s="143">
        <f>DADOS_INVOC!$QM$2</f>
        <v/>
      </c>
      <c r="N80" s="137" t="n"/>
      <c r="O80" s="56" t="inlineStr">
        <is>
          <t>MELHORIAS</t>
        </is>
      </c>
      <c r="P80" s="144" t="n"/>
      <c r="Q80" s="16" t="n"/>
      <c r="R80" s="17" t="n"/>
      <c r="S80" s="143">
        <f>DADOS_INVOC!$QM$3</f>
        <v/>
      </c>
      <c r="T80" s="137" t="n"/>
      <c r="U80" s="56" t="inlineStr">
        <is>
          <t>MELHORIAS</t>
        </is>
      </c>
      <c r="V80" s="144" t="n"/>
      <c r="W80" s="16" t="n"/>
      <c r="X80" s="17" t="n"/>
      <c r="Y80" s="143">
        <f>DADOS_INVOC!$QM$4</f>
        <v/>
      </c>
      <c r="Z80" s="137" t="n"/>
      <c r="AB80" s="56" t="inlineStr">
        <is>
          <t>MELHORIAS</t>
        </is>
      </c>
      <c r="AC80" s="144" t="n"/>
      <c r="AD80" s="16" t="n"/>
      <c r="AE80" s="17" t="n"/>
      <c r="AF80" s="143">
        <f>DADOS_INVOC!$QM$80</f>
        <v/>
      </c>
      <c r="AG80" s="137" t="n"/>
      <c r="AH80" s="56" t="inlineStr">
        <is>
          <t>MELHORIAS</t>
        </is>
      </c>
      <c r="AI80" s="144" t="n"/>
      <c r="AJ80" s="16" t="n"/>
      <c r="AK80" s="17" t="n"/>
      <c r="AL80" s="143">
        <f>DADOS_INVOC!$QM$81</f>
        <v/>
      </c>
      <c r="AM80" s="137" t="n"/>
      <c r="AN80" s="56" t="inlineStr">
        <is>
          <t>MELHORIAS</t>
        </is>
      </c>
      <c r="AO80" s="144" t="n"/>
      <c r="AP80" s="16" t="n"/>
      <c r="AQ80" s="17" t="n"/>
      <c r="AR80" s="143">
        <f>DADOS_INVOC!$QM$82</f>
        <v/>
      </c>
      <c r="AS80" s="137" t="n"/>
    </row>
    <row r="81" hidden="1" outlineLevel="2">
      <c r="A81" s="8" t="n"/>
      <c r="B81" s="14" t="n"/>
      <c r="C81" s="137" t="n"/>
      <c r="D81" s="137" t="n"/>
      <c r="E81" s="137" t="n"/>
      <c r="F81" s="137" t="n"/>
      <c r="G81" s="137" t="n"/>
      <c r="I81" s="66" t="n"/>
      <c r="J81" s="144" t="n"/>
      <c r="K81" s="16" t="n"/>
      <c r="L81" s="17" t="n"/>
      <c r="M81" s="143">
        <f>DADOS_INVOC!$QN$2</f>
        <v/>
      </c>
      <c r="N81" s="137" t="n"/>
      <c r="O81" s="66" t="n"/>
      <c r="P81" s="144" t="n"/>
      <c r="Q81" s="16" t="n"/>
      <c r="R81" s="17" t="n"/>
      <c r="S81" s="143">
        <f>DADOS_INVOC!$QN$3</f>
        <v/>
      </c>
      <c r="T81" s="137" t="n"/>
      <c r="U81" s="66" t="n"/>
      <c r="V81" s="144" t="n"/>
      <c r="W81" s="16" t="n"/>
      <c r="X81" s="17" t="n"/>
      <c r="Y81" s="143">
        <f>DADOS_INVOC!$QN$4</f>
        <v/>
      </c>
      <c r="Z81" s="137" t="n"/>
      <c r="AB81" s="66" t="n"/>
      <c r="AC81" s="144" t="n"/>
      <c r="AD81" s="16" t="n"/>
      <c r="AE81" s="17" t="n"/>
      <c r="AF81" s="143">
        <f>DADOS_INVOC!$QN$80</f>
        <v/>
      </c>
      <c r="AG81" s="137" t="n"/>
      <c r="AH81" s="66" t="n"/>
      <c r="AI81" s="144" t="n"/>
      <c r="AJ81" s="16" t="n"/>
      <c r="AK81" s="17" t="n"/>
      <c r="AL81" s="143">
        <f>DADOS_INVOC!$QN$81</f>
        <v/>
      </c>
      <c r="AM81" s="137" t="n"/>
      <c r="AN81" s="66" t="n"/>
      <c r="AO81" s="144" t="n"/>
      <c r="AP81" s="16" t="n"/>
      <c r="AQ81" s="17" t="n"/>
      <c r="AR81" s="143">
        <f>DADOS_INVOC!$QN$82</f>
        <v/>
      </c>
      <c r="AS81" s="137" t="n"/>
    </row>
    <row r="82" hidden="1" outlineLevel="2">
      <c r="A82" s="8" t="n"/>
      <c r="B82" s="14" t="n"/>
      <c r="C82" s="137" t="n"/>
      <c r="D82" s="137" t="n"/>
      <c r="E82" s="137" t="n"/>
      <c r="F82" s="137" t="n"/>
      <c r="G82" s="137" t="n"/>
      <c r="I82" s="66" t="n"/>
      <c r="J82" s="144" t="n"/>
      <c r="K82" s="16" t="n"/>
      <c r="L82" s="17" t="n"/>
      <c r="M82" s="143">
        <f>DADOS_INVOC!$QO$2</f>
        <v/>
      </c>
      <c r="N82" s="137" t="n"/>
      <c r="O82" s="66" t="n"/>
      <c r="P82" s="144" t="n"/>
      <c r="Q82" s="16" t="n"/>
      <c r="R82" s="17" t="n"/>
      <c r="S82" s="143">
        <f>DADOS_INVOC!$QO$3</f>
        <v/>
      </c>
      <c r="T82" s="137" t="n"/>
      <c r="U82" s="66" t="n"/>
      <c r="V82" s="144" t="n"/>
      <c r="W82" s="16" t="n"/>
      <c r="X82" s="17" t="n"/>
      <c r="Y82" s="143">
        <f>DADOS_INVOC!$QO$4</f>
        <v/>
      </c>
      <c r="Z82" s="137" t="n"/>
      <c r="AB82" s="66" t="n"/>
      <c r="AC82" s="144" t="n"/>
      <c r="AD82" s="16" t="n"/>
      <c r="AE82" s="17" t="n"/>
      <c r="AF82" s="143">
        <f>DADOS_INVOC!$QO$80</f>
        <v/>
      </c>
      <c r="AG82" s="137" t="n"/>
      <c r="AH82" s="66" t="n"/>
      <c r="AI82" s="144" t="n"/>
      <c r="AJ82" s="16" t="n"/>
      <c r="AK82" s="17" t="n"/>
      <c r="AL82" s="143">
        <f>DADOS_INVOC!$QO$81</f>
        <v/>
      </c>
      <c r="AM82" s="137" t="n"/>
      <c r="AN82" s="66" t="n"/>
      <c r="AO82" s="144" t="n"/>
      <c r="AP82" s="16" t="n"/>
      <c r="AQ82" s="17" t="n"/>
      <c r="AR82" s="143">
        <f>DADOS_INVOC!$QO$82</f>
        <v/>
      </c>
      <c r="AS82" s="137" t="n"/>
    </row>
    <row r="83" hidden="1" outlineLevel="2">
      <c r="A83" s="8" t="n"/>
      <c r="B83" s="14" t="n"/>
      <c r="C83" s="137" t="n"/>
      <c r="D83" s="137" t="n"/>
      <c r="E83" s="137" t="n"/>
      <c r="F83" s="137" t="n"/>
      <c r="G83" s="137" t="n"/>
      <c r="I83" s="128" t="n"/>
      <c r="J83" s="144" t="n"/>
      <c r="K83" s="16" t="n"/>
      <c r="L83" s="17" t="n"/>
      <c r="M83" s="143">
        <f>DADOS_INVOC!$QP$2</f>
        <v/>
      </c>
      <c r="N83" s="137" t="n"/>
      <c r="O83" s="128" t="n"/>
      <c r="P83" s="144" t="n"/>
      <c r="Q83" s="16" t="n"/>
      <c r="R83" s="17" t="n"/>
      <c r="S83" s="143">
        <f>DADOS_INVOC!$QP$3</f>
        <v/>
      </c>
      <c r="T83" s="137" t="n"/>
      <c r="U83" s="128" t="n"/>
      <c r="V83" s="144" t="n"/>
      <c r="W83" s="16" t="n"/>
      <c r="X83" s="17" t="n"/>
      <c r="Y83" s="143">
        <f>DADOS_INVOC!$QP$4</f>
        <v/>
      </c>
      <c r="Z83" s="137" t="n"/>
      <c r="AB83" s="128" t="n"/>
      <c r="AC83" s="144" t="n"/>
      <c r="AD83" s="16" t="n"/>
      <c r="AE83" s="17" t="n"/>
      <c r="AF83" s="143">
        <f>DADOS_INVOC!$QP$80</f>
        <v/>
      </c>
      <c r="AG83" s="137" t="n"/>
      <c r="AH83" s="128" t="n"/>
      <c r="AI83" s="144" t="n"/>
      <c r="AJ83" s="16" t="n"/>
      <c r="AK83" s="17" t="n"/>
      <c r="AL83" s="143">
        <f>DADOS_INVOC!$QP$81</f>
        <v/>
      </c>
      <c r="AM83" s="137" t="n"/>
      <c r="AN83" s="128" t="n"/>
      <c r="AO83" s="144" t="n"/>
      <c r="AP83" s="16" t="n"/>
      <c r="AQ83" s="17" t="n"/>
      <c r="AR83" s="143">
        <f>DADOS_INVOC!$QP$82</f>
        <v/>
      </c>
      <c r="AS83" s="137" t="n"/>
    </row>
    <row r="84" hidden="1" outlineLevel="2">
      <c r="A84" s="8" t="n"/>
      <c r="B84" s="14" t="n"/>
      <c r="C84" s="137" t="n"/>
      <c r="D84" s="137" t="n"/>
      <c r="E84" s="137" t="n"/>
      <c r="F84" s="137" t="n"/>
      <c r="G84" s="137" t="n"/>
      <c r="I84" s="56" t="inlineStr">
        <is>
          <t>RESTRIÇÕES</t>
        </is>
      </c>
      <c r="J84" s="144" t="n"/>
      <c r="K84" s="16" t="n"/>
      <c r="L84" s="17" t="n"/>
      <c r="M84" s="143">
        <f>DADOS_INVOC!$QQ$2</f>
        <v/>
      </c>
      <c r="N84" s="137" t="n"/>
      <c r="O84" s="56" t="inlineStr">
        <is>
          <t>RESTRIÇÕES</t>
        </is>
      </c>
      <c r="P84" s="144" t="n"/>
      <c r="Q84" s="16" t="n"/>
      <c r="R84" s="17" t="n"/>
      <c r="S84" s="143">
        <f>DADOS_INVOC!$QQ$3</f>
        <v/>
      </c>
      <c r="T84" s="137" t="n"/>
      <c r="U84" s="56" t="inlineStr">
        <is>
          <t>RESTRIÇÕES</t>
        </is>
      </c>
      <c r="V84" s="144" t="n"/>
      <c r="W84" s="16" t="n"/>
      <c r="X84" s="17" t="n"/>
      <c r="Y84" s="143">
        <f>DADOS_INVOC!$QQ$4</f>
        <v/>
      </c>
      <c r="Z84" s="137" t="n"/>
      <c r="AB84" s="56" t="inlineStr">
        <is>
          <t>RESTRIÇÕES</t>
        </is>
      </c>
      <c r="AC84" s="144" t="n"/>
      <c r="AD84" s="16" t="n"/>
      <c r="AE84" s="17" t="n"/>
      <c r="AF84" s="143">
        <f>DADOS_INVOC!$QQ$80</f>
        <v/>
      </c>
      <c r="AG84" s="137" t="n"/>
      <c r="AH84" s="56" t="inlineStr">
        <is>
          <t>RESTRIÇÕES</t>
        </is>
      </c>
      <c r="AI84" s="144" t="n"/>
      <c r="AJ84" s="16" t="n"/>
      <c r="AK84" s="17" t="n"/>
      <c r="AL84" s="143">
        <f>DADOS_INVOC!$QQ$81</f>
        <v/>
      </c>
      <c r="AM84" s="137" t="n"/>
      <c r="AN84" s="56" t="inlineStr">
        <is>
          <t>RESTRIÇÕES</t>
        </is>
      </c>
      <c r="AO84" s="144" t="n"/>
      <c r="AP84" s="16" t="n"/>
      <c r="AQ84" s="17" t="n"/>
      <c r="AR84" s="143">
        <f>DADOS_INVOC!$QQ$82</f>
        <v/>
      </c>
      <c r="AS84" s="137" t="n"/>
    </row>
    <row r="85" hidden="1" outlineLevel="2">
      <c r="A85" s="8" t="n"/>
      <c r="B85" s="14" t="n"/>
      <c r="C85" s="137" t="n"/>
      <c r="D85" s="137" t="n"/>
      <c r="E85" s="137" t="n"/>
      <c r="F85" s="137" t="n"/>
      <c r="G85" s="137" t="n"/>
      <c r="I85" s="128" t="n"/>
      <c r="J85" s="144" t="n"/>
      <c r="K85" s="16" t="n"/>
      <c r="L85" s="17" t="n"/>
      <c r="M85" s="143">
        <f>DADOS_INVOC!$QR$2</f>
        <v/>
      </c>
      <c r="N85" s="137" t="n"/>
      <c r="O85" s="128" t="n"/>
      <c r="P85" s="144" t="n"/>
      <c r="Q85" s="16" t="n"/>
      <c r="R85" s="17" t="n"/>
      <c r="S85" s="143">
        <f>DADOS_INVOC!$QR$3</f>
        <v/>
      </c>
      <c r="T85" s="137" t="n"/>
      <c r="U85" s="128" t="n"/>
      <c r="V85" s="144" t="n"/>
      <c r="W85" s="16" t="n"/>
      <c r="X85" s="17" t="n"/>
      <c r="Y85" s="143">
        <f>DADOS_INVOC!$QR$4</f>
        <v/>
      </c>
      <c r="Z85" s="137" t="n"/>
      <c r="AB85" s="128" t="n"/>
      <c r="AC85" s="144" t="n"/>
      <c r="AD85" s="16" t="n"/>
      <c r="AE85" s="17" t="n"/>
      <c r="AF85" s="143">
        <f>DADOS_INVOC!$QR$80</f>
        <v/>
      </c>
      <c r="AG85" s="137" t="n"/>
      <c r="AH85" s="128" t="n"/>
      <c r="AI85" s="144" t="n"/>
      <c r="AJ85" s="16" t="n"/>
      <c r="AK85" s="17" t="n"/>
      <c r="AL85" s="143">
        <f>DADOS_INVOC!$QR$81</f>
        <v/>
      </c>
      <c r="AM85" s="137" t="n"/>
      <c r="AN85" s="128" t="n"/>
      <c r="AO85" s="144" t="n"/>
      <c r="AP85" s="16" t="n"/>
      <c r="AQ85" s="17" t="n"/>
      <c r="AR85" s="143">
        <f>DADOS_INVOC!$QR$82</f>
        <v/>
      </c>
      <c r="AS85" s="137" t="n"/>
    </row>
    <row r="86" hidden="1" outlineLevel="2">
      <c r="A86" s="8" t="n"/>
      <c r="B86" s="14" t="n"/>
      <c r="C86" s="137" t="n"/>
      <c r="D86" s="137" t="n"/>
      <c r="E86" s="137" t="n"/>
      <c r="F86" s="137" t="n"/>
      <c r="G86" s="137" t="n"/>
      <c r="I86" s="56" t="inlineStr">
        <is>
          <t>CONTA</t>
        </is>
      </c>
      <c r="J86" s="145">
        <f>DADOS_INVOC!$QK$2</f>
        <v/>
      </c>
      <c r="K86" s="16" t="n"/>
      <c r="L86" s="16" t="n"/>
      <c r="M86" s="17" t="n"/>
      <c r="N86" s="137" t="n"/>
      <c r="O86" s="56" t="inlineStr">
        <is>
          <t>CONTA</t>
        </is>
      </c>
      <c r="P86" s="145">
        <f>DADOS_INVOC!$QK$3</f>
        <v/>
      </c>
      <c r="Q86" s="16" t="n"/>
      <c r="R86" s="16" t="n"/>
      <c r="S86" s="17" t="n"/>
      <c r="T86" s="137" t="n"/>
      <c r="U86" s="56" t="inlineStr">
        <is>
          <t>CONTA</t>
        </is>
      </c>
      <c r="V86" s="145">
        <f>DADOS_INVOC!$QK$4</f>
        <v/>
      </c>
      <c r="W86" s="16" t="n"/>
      <c r="X86" s="16" t="n"/>
      <c r="Y86" s="17" t="n"/>
      <c r="Z86" s="137" t="n"/>
      <c r="AB86" s="56" t="inlineStr">
        <is>
          <t>CONTA</t>
        </is>
      </c>
      <c r="AC86" s="145">
        <f>DADOS_INVOC!$QK$80</f>
        <v/>
      </c>
      <c r="AD86" s="16" t="n"/>
      <c r="AE86" s="16" t="n"/>
      <c r="AF86" s="17" t="n"/>
      <c r="AG86" s="137" t="n"/>
      <c r="AH86" s="56" t="inlineStr">
        <is>
          <t>CONTA</t>
        </is>
      </c>
      <c r="AI86" s="145">
        <f>DADOS_INVOC!$QK$81</f>
        <v/>
      </c>
      <c r="AJ86" s="16" t="n"/>
      <c r="AK86" s="16" t="n"/>
      <c r="AL86" s="17" t="n"/>
      <c r="AM86" s="137" t="n"/>
      <c r="AN86" s="56" t="inlineStr">
        <is>
          <t>CONTA</t>
        </is>
      </c>
      <c r="AO86" s="145">
        <f>DADOS_INVOC!$QK$82</f>
        <v/>
      </c>
      <c r="AP86" s="16" t="n"/>
      <c r="AQ86" s="16" t="n"/>
      <c r="AR86" s="17" t="n"/>
      <c r="AS86" s="137" t="n"/>
    </row>
    <row r="87" hidden="1" outlineLevel="2">
      <c r="A87" s="8" t="n"/>
      <c r="B87" s="14" t="n"/>
      <c r="C87" s="137" t="n"/>
      <c r="D87" s="137" t="n"/>
      <c r="E87" s="137" t="n"/>
      <c r="F87" s="137" t="n"/>
      <c r="G87" s="137" t="n"/>
      <c r="I87" s="56" t="inlineStr">
        <is>
          <t>AMPLIAR</t>
        </is>
      </c>
      <c r="J87" s="145">
        <f>DADOS_INVOC!$QL$2</f>
        <v/>
      </c>
      <c r="K87" s="19" t="n"/>
      <c r="L87" s="19" t="n"/>
      <c r="M87" s="20" t="n"/>
      <c r="N87" s="137" t="n"/>
      <c r="O87" s="56" t="inlineStr">
        <is>
          <t>AMPLIAR</t>
        </is>
      </c>
      <c r="P87" s="145">
        <f>DADOS_INVOC!$QL$3</f>
        <v/>
      </c>
      <c r="Q87" s="19" t="n"/>
      <c r="R87" s="19" t="n"/>
      <c r="S87" s="20" t="n"/>
      <c r="T87" s="137" t="n"/>
      <c r="U87" s="56" t="inlineStr">
        <is>
          <t>AMPLIAR</t>
        </is>
      </c>
      <c r="V87" s="145">
        <f>DADOS_INVOC!$QL$4</f>
        <v/>
      </c>
      <c r="W87" s="19" t="n"/>
      <c r="X87" s="19" t="n"/>
      <c r="Y87" s="20" t="n"/>
      <c r="Z87" s="137" t="n"/>
      <c r="AB87" s="56" t="inlineStr">
        <is>
          <t>AMPLIAR</t>
        </is>
      </c>
      <c r="AC87" s="145">
        <f>DADOS_INVOC!$QL$80</f>
        <v/>
      </c>
      <c r="AD87" s="19" t="n"/>
      <c r="AE87" s="19" t="n"/>
      <c r="AF87" s="20" t="n"/>
      <c r="AG87" s="137" t="n"/>
      <c r="AH87" s="56" t="inlineStr">
        <is>
          <t>AMPLIAR</t>
        </is>
      </c>
      <c r="AI87" s="145">
        <f>DADOS_INVOC!$QL$81</f>
        <v/>
      </c>
      <c r="AJ87" s="19" t="n"/>
      <c r="AK87" s="19" t="n"/>
      <c r="AL87" s="20" t="n"/>
      <c r="AM87" s="137" t="n"/>
      <c r="AN87" s="56" t="inlineStr">
        <is>
          <t>AMPLIAR</t>
        </is>
      </c>
      <c r="AO87" s="145">
        <f>DADOS_INVOC!$QL$82</f>
        <v/>
      </c>
      <c r="AP87" s="19" t="n"/>
      <c r="AQ87" s="19" t="n"/>
      <c r="AR87" s="20" t="n"/>
      <c r="AS87" s="137" t="n"/>
    </row>
    <row r="88" hidden="1" outlineLevel="2">
      <c r="A88" s="8" t="n"/>
      <c r="B88" s="14" t="n"/>
      <c r="C88" s="137" t="n"/>
      <c r="D88" s="137" t="n"/>
      <c r="E88" s="137" t="n"/>
      <c r="F88" s="137" t="n"/>
      <c r="G88" s="137" t="n"/>
      <c r="I88" s="128" t="n"/>
      <c r="J88" s="23" t="n"/>
      <c r="K88" s="24" t="n"/>
      <c r="L88" s="24" t="n"/>
      <c r="M88" s="25" t="n"/>
      <c r="N88" s="137" t="n"/>
      <c r="O88" s="128" t="n"/>
      <c r="P88" s="23" t="n"/>
      <c r="Q88" s="24" t="n"/>
      <c r="R88" s="24" t="n"/>
      <c r="S88" s="25" t="n"/>
      <c r="T88" s="137" t="n"/>
      <c r="U88" s="128" t="n"/>
      <c r="V88" s="23" t="n"/>
      <c r="W88" s="24" t="n"/>
      <c r="X88" s="24" t="n"/>
      <c r="Y88" s="25" t="n"/>
      <c r="Z88" s="137" t="n"/>
      <c r="AB88" s="128" t="n"/>
      <c r="AC88" s="23" t="n"/>
      <c r="AD88" s="24" t="n"/>
      <c r="AE88" s="24" t="n"/>
      <c r="AF88" s="25" t="n"/>
      <c r="AG88" s="137" t="n"/>
      <c r="AH88" s="128" t="n"/>
      <c r="AI88" s="23" t="n"/>
      <c r="AJ88" s="24" t="n"/>
      <c r="AK88" s="24" t="n"/>
      <c r="AL88" s="25" t="n"/>
      <c r="AM88" s="137" t="n"/>
      <c r="AN88" s="128" t="n"/>
      <c r="AO88" s="23" t="n"/>
      <c r="AP88" s="24" t="n"/>
      <c r="AQ88" s="24" t="n"/>
      <c r="AR88" s="25" t="n"/>
      <c r="AS88" s="137" t="n"/>
    </row>
    <row r="89" hidden="1" outlineLevel="2">
      <c r="A89" s="8" t="n"/>
      <c r="B89" s="14" t="n"/>
      <c r="C89" s="137" t="n"/>
      <c r="D89" s="137" t="n"/>
      <c r="E89" s="137" t="n"/>
      <c r="F89" s="137" t="n"/>
      <c r="G89" s="137" t="n"/>
      <c r="I89" s="145">
        <f>DADOS_INVOC!$PY$2</f>
        <v/>
      </c>
      <c r="J89" s="19" t="n"/>
      <c r="K89" s="19" t="n"/>
      <c r="L89" s="19" t="n"/>
      <c r="M89" s="20" t="n"/>
      <c r="N89" s="137" t="n"/>
      <c r="O89" s="145">
        <f>DADOS_INVOC!$PY$3</f>
        <v/>
      </c>
      <c r="P89" s="19" t="n"/>
      <c r="Q89" s="19" t="n"/>
      <c r="R89" s="19" t="n"/>
      <c r="S89" s="20" t="n"/>
      <c r="T89" s="137" t="n"/>
      <c r="U89" s="145">
        <f>DADOS_INVOC!$PY$4</f>
        <v/>
      </c>
      <c r="V89" s="19" t="n"/>
      <c r="W89" s="19" t="n"/>
      <c r="X89" s="19" t="n"/>
      <c r="Y89" s="20" t="n"/>
      <c r="Z89" s="137" t="n"/>
      <c r="AB89" s="145">
        <f>DADOS_INVOC!$PY$80</f>
        <v/>
      </c>
      <c r="AC89" s="19" t="n"/>
      <c r="AD89" s="19" t="n"/>
      <c r="AE89" s="19" t="n"/>
      <c r="AF89" s="20" t="n"/>
      <c r="AG89" s="137" t="n"/>
      <c r="AH89" s="145">
        <f>DADOS_INVOC!$PY$81</f>
        <v/>
      </c>
      <c r="AI89" s="19" t="n"/>
      <c r="AJ89" s="19" t="n"/>
      <c r="AK89" s="19" t="n"/>
      <c r="AL89" s="20" t="n"/>
      <c r="AM89" s="137" t="n"/>
      <c r="AN89" s="145">
        <f>DADOS_INVOC!$PY$82</f>
        <v/>
      </c>
      <c r="AO89" s="19" t="n"/>
      <c r="AP89" s="19" t="n"/>
      <c r="AQ89" s="19" t="n"/>
      <c r="AR89" s="20" t="n"/>
      <c r="AS89" s="137" t="n"/>
    </row>
    <row r="90" hidden="1" outlineLevel="2">
      <c r="A90" s="8" t="n"/>
      <c r="B90" s="14" t="n"/>
      <c r="C90" s="137" t="n"/>
      <c r="D90" s="137" t="n"/>
      <c r="E90" s="137" t="n"/>
      <c r="F90" s="137" t="n"/>
      <c r="G90" s="137" t="n"/>
      <c r="I90" s="23" t="n"/>
      <c r="J90" s="24" t="n"/>
      <c r="K90" s="24" t="n"/>
      <c r="L90" s="24" t="n"/>
      <c r="M90" s="25" t="n"/>
      <c r="N90" s="137" t="n"/>
      <c r="O90" s="23" t="n"/>
      <c r="P90" s="24" t="n"/>
      <c r="Q90" s="24" t="n"/>
      <c r="R90" s="24" t="n"/>
      <c r="S90" s="25" t="n"/>
      <c r="T90" s="137" t="n"/>
      <c r="U90" s="23" t="n"/>
      <c r="V90" s="24" t="n"/>
      <c r="W90" s="24" t="n"/>
      <c r="X90" s="24" t="n"/>
      <c r="Y90" s="25" t="n"/>
      <c r="Z90" s="137" t="n"/>
      <c r="AB90" s="23" t="n"/>
      <c r="AC90" s="24" t="n"/>
      <c r="AD90" s="24" t="n"/>
      <c r="AE90" s="24" t="n"/>
      <c r="AF90" s="25" t="n"/>
      <c r="AG90" s="137" t="n"/>
      <c r="AH90" s="23" t="n"/>
      <c r="AI90" s="24" t="n"/>
      <c r="AJ90" s="24" t="n"/>
      <c r="AK90" s="24" t="n"/>
      <c r="AL90" s="25" t="n"/>
      <c r="AM90" s="137" t="n"/>
      <c r="AN90" s="23" t="n"/>
      <c r="AO90" s="24" t="n"/>
      <c r="AP90" s="24" t="n"/>
      <c r="AQ90" s="24" t="n"/>
      <c r="AR90" s="25" t="n"/>
      <c r="AS90" s="137" t="n"/>
    </row>
    <row r="91" outlineLevel="1">
      <c r="A91" s="8" t="n"/>
      <c r="B91" s="14" t="n"/>
      <c r="C91" s="137" t="n"/>
      <c r="D91" s="137" t="n"/>
      <c r="E91" s="137" t="n"/>
      <c r="F91" s="137" t="n"/>
      <c r="G91" s="137" t="n"/>
      <c r="I91" s="137" t="n"/>
      <c r="J91" s="137" t="n"/>
      <c r="K91" s="137" t="n"/>
      <c r="L91" s="137" t="n"/>
      <c r="M91" s="137" t="n"/>
      <c r="N91" s="137" t="n"/>
      <c r="O91" s="137" t="n"/>
      <c r="P91" s="137" t="n"/>
      <c r="Q91" s="137" t="n"/>
      <c r="R91" s="137" t="n"/>
      <c r="S91" s="137" t="n"/>
      <c r="T91" s="137" t="n"/>
      <c r="U91" s="137" t="n"/>
      <c r="V91" s="137" t="n"/>
      <c r="W91" s="137" t="n"/>
      <c r="X91" s="137" t="n"/>
      <c r="Y91" s="137" t="n"/>
      <c r="Z91" s="137" t="n"/>
      <c r="AB91" s="137" t="n"/>
      <c r="AC91" s="137" t="n"/>
      <c r="AD91" s="137" t="n"/>
      <c r="AE91" s="137" t="n"/>
      <c r="AF91" s="137" t="n"/>
      <c r="AG91" s="137" t="n"/>
      <c r="AH91" s="137" t="n"/>
      <c r="AI91" s="137" t="n"/>
      <c r="AJ91" s="137" t="n"/>
      <c r="AK91" s="137" t="n"/>
      <c r="AL91" s="137" t="n"/>
      <c r="AM91" s="137" t="n"/>
      <c r="AN91" s="137" t="n"/>
      <c r="AO91" s="137" t="n"/>
      <c r="AP91" s="137" t="n"/>
      <c r="AQ91" s="137" t="n"/>
      <c r="AR91" s="137" t="n"/>
      <c r="AS91" s="137" t="n"/>
    </row>
    <row r="92" outlineLevel="1">
      <c r="A92" s="8" t="n"/>
      <c r="B92" s="14" t="n"/>
      <c r="C92" s="137" t="n"/>
      <c r="D92" s="137" t="n"/>
      <c r="E92" s="137" t="n"/>
      <c r="F92" s="137" t="n"/>
      <c r="G92" s="137" t="n"/>
      <c r="I92" s="56">
        <f>DADOS_INVOC!$IF$2</f>
        <v/>
      </c>
      <c r="J92" s="16" t="n"/>
      <c r="K92" s="16" t="n"/>
      <c r="L92" s="16" t="n"/>
      <c r="M92" s="16" t="n"/>
      <c r="N92" s="16" t="n"/>
      <c r="O92" s="16" t="n"/>
      <c r="P92" s="16" t="n"/>
      <c r="Q92" s="16" t="n"/>
      <c r="R92" s="16" t="n"/>
      <c r="S92" s="16" t="n"/>
      <c r="T92" s="16" t="n"/>
      <c r="U92" s="16" t="n"/>
      <c r="V92" s="16" t="n"/>
      <c r="W92" s="16" t="n"/>
      <c r="X92" s="16" t="n"/>
      <c r="Y92" s="17" t="n"/>
      <c r="Z92" s="137" t="n"/>
      <c r="AB92" s="56">
        <f>DADOS_INVOC!$IF$8</f>
        <v/>
      </c>
      <c r="AC92" s="16" t="n"/>
      <c r="AD92" s="16" t="n"/>
      <c r="AE92" s="16" t="n"/>
      <c r="AF92" s="16" t="n"/>
      <c r="AG92" s="16" t="n"/>
      <c r="AH92" s="16" t="n"/>
      <c r="AI92" s="16" t="n"/>
      <c r="AJ92" s="16" t="n"/>
      <c r="AK92" s="16" t="n"/>
      <c r="AL92" s="16" t="n"/>
      <c r="AM92" s="16" t="n"/>
      <c r="AN92" s="16" t="n"/>
      <c r="AO92" s="16" t="n"/>
      <c r="AP92" s="16" t="n"/>
      <c r="AQ92" s="16" t="n"/>
      <c r="AR92" s="17" t="n"/>
      <c r="AS92" s="137" t="n"/>
    </row>
    <row r="93" outlineLevel="1">
      <c r="A93" s="8" t="n"/>
      <c r="B93" s="14" t="n"/>
      <c r="C93" s="137" t="n"/>
      <c r="D93" s="137" t="n"/>
      <c r="E93" s="137" t="n"/>
      <c r="F93" s="137" t="n"/>
      <c r="G93" s="137" t="n"/>
      <c r="I93" s="56" t="inlineStr">
        <is>
          <t>NV 1 · CE 1</t>
        </is>
      </c>
      <c r="J93" s="144" t="n"/>
      <c r="K93" s="16" t="n"/>
      <c r="L93" s="17" t="n"/>
      <c r="M93" s="150">
        <f>DADOS_INVOC!$IO$2</f>
        <v/>
      </c>
      <c r="N93" s="16" t="n"/>
      <c r="O93" s="16" t="n"/>
      <c r="P93" s="16" t="n"/>
      <c r="Q93" s="16" t="n"/>
      <c r="R93" s="16" t="n"/>
      <c r="S93" s="16" t="n"/>
      <c r="T93" s="16" t="n"/>
      <c r="U93" s="16" t="n"/>
      <c r="V93" s="16" t="n"/>
      <c r="W93" s="16" t="n"/>
      <c r="X93" s="16" t="n"/>
      <c r="Y93" s="17" t="n"/>
      <c r="Z93" s="137" t="n"/>
      <c r="AB93" s="56" t="inlineStr">
        <is>
          <t>NV 1 · CE 1</t>
        </is>
      </c>
      <c r="AC93" s="144" t="n"/>
      <c r="AD93" s="16" t="n"/>
      <c r="AE93" s="17" t="n"/>
      <c r="AF93" s="150">
        <f>DADOS_INVOC!$IO$8</f>
        <v/>
      </c>
      <c r="AG93" s="16" t="n"/>
      <c r="AH93" s="16" t="n"/>
      <c r="AI93" s="16" t="n"/>
      <c r="AJ93" s="16" t="n"/>
      <c r="AK93" s="16" t="n"/>
      <c r="AL93" s="16" t="n"/>
      <c r="AM93" s="16" t="n"/>
      <c r="AN93" s="16" t="n"/>
      <c r="AO93" s="16" t="n"/>
      <c r="AP93" s="16" t="n"/>
      <c r="AQ93" s="16" t="n"/>
      <c r="AR93" s="17" t="n"/>
      <c r="AS93" s="137" t="n"/>
    </row>
    <row r="94" outlineLevel="1">
      <c r="A94" s="8" t="n"/>
      <c r="B94" s="14" t="n"/>
      <c r="C94" s="137" t="n"/>
      <c r="D94" s="137" t="n"/>
      <c r="E94" s="137" t="n"/>
      <c r="F94" s="137" t="n"/>
      <c r="G94" s="137" t="n"/>
      <c r="I94" s="56" t="inlineStr">
        <is>
          <t>NV 6 · CE 1</t>
        </is>
      </c>
      <c r="J94" s="144" t="n"/>
      <c r="K94" s="16" t="n"/>
      <c r="L94" s="17" t="n"/>
      <c r="M94" s="150">
        <f>DADOS_INVOC!$IP$2</f>
        <v/>
      </c>
      <c r="N94" s="16" t="n"/>
      <c r="O94" s="16" t="n"/>
      <c r="P94" s="16" t="n"/>
      <c r="Q94" s="16" t="n"/>
      <c r="R94" s="16" t="n"/>
      <c r="S94" s="16" t="n"/>
      <c r="T94" s="16" t="n"/>
      <c r="U94" s="16" t="n"/>
      <c r="V94" s="16" t="n"/>
      <c r="W94" s="16" t="n"/>
      <c r="X94" s="16" t="n"/>
      <c r="Y94" s="17" t="n"/>
      <c r="Z94" s="137" t="n"/>
      <c r="AB94" s="56" t="inlineStr">
        <is>
          <t>NV 6 · CE 1</t>
        </is>
      </c>
      <c r="AC94" s="144" t="n"/>
      <c r="AD94" s="16" t="n"/>
      <c r="AE94" s="17" t="n"/>
      <c r="AF94" s="150">
        <f>DADOS_INVOC!$IP$8</f>
        <v/>
      </c>
      <c r="AG94" s="16" t="n"/>
      <c r="AH94" s="16" t="n"/>
      <c r="AI94" s="16" t="n"/>
      <c r="AJ94" s="16" t="n"/>
      <c r="AK94" s="16" t="n"/>
      <c r="AL94" s="16" t="n"/>
      <c r="AM94" s="16" t="n"/>
      <c r="AN94" s="16" t="n"/>
      <c r="AO94" s="16" t="n"/>
      <c r="AP94" s="16" t="n"/>
      <c r="AQ94" s="16" t="n"/>
      <c r="AR94" s="17" t="n"/>
      <c r="AS94" s="137" t="n"/>
    </row>
    <row r="95" outlineLevel="1">
      <c r="A95" s="8" t="n"/>
      <c r="B95" s="14" t="n"/>
      <c r="C95" s="137" t="n"/>
      <c r="D95" s="137" t="n"/>
      <c r="E95" s="137" t="n"/>
      <c r="F95" s="137" t="n"/>
      <c r="G95" s="137" t="n"/>
      <c r="I95" s="56" t="inlineStr">
        <is>
          <t>NV 10 · CE 2</t>
        </is>
      </c>
      <c r="J95" s="144" t="n"/>
      <c r="K95" s="16" t="n"/>
      <c r="L95" s="17" t="n"/>
      <c r="M95" s="150">
        <f>DADOS_INVOC!$IQ$2</f>
        <v/>
      </c>
      <c r="N95" s="16" t="n"/>
      <c r="O95" s="16" t="n"/>
      <c r="P95" s="16" t="n"/>
      <c r="Q95" s="16" t="n"/>
      <c r="R95" s="16" t="n"/>
      <c r="S95" s="16" t="n"/>
      <c r="T95" s="16" t="n"/>
      <c r="U95" s="16" t="n"/>
      <c r="V95" s="16" t="n"/>
      <c r="W95" s="16" t="n"/>
      <c r="X95" s="16" t="n"/>
      <c r="Y95" s="17" t="n"/>
      <c r="Z95" s="137" t="n"/>
      <c r="AB95" s="56" t="inlineStr">
        <is>
          <t>NV 10 · CE 2</t>
        </is>
      </c>
      <c r="AC95" s="144" t="n"/>
      <c r="AD95" s="16" t="n"/>
      <c r="AE95" s="17" t="n"/>
      <c r="AF95" s="150">
        <f>DADOS_INVOC!$IQ$8</f>
        <v/>
      </c>
      <c r="AG95" s="16" t="n"/>
      <c r="AH95" s="16" t="n"/>
      <c r="AI95" s="16" t="n"/>
      <c r="AJ95" s="16" t="n"/>
      <c r="AK95" s="16" t="n"/>
      <c r="AL95" s="16" t="n"/>
      <c r="AM95" s="16" t="n"/>
      <c r="AN95" s="16" t="n"/>
      <c r="AO95" s="16" t="n"/>
      <c r="AP95" s="16" t="n"/>
      <c r="AQ95" s="16" t="n"/>
      <c r="AR95" s="17" t="n"/>
      <c r="AS95" s="137" t="n"/>
    </row>
    <row r="96" outlineLevel="1">
      <c r="A96" s="8" t="n"/>
      <c r="B96" s="14" t="n"/>
      <c r="C96" s="137" t="n"/>
      <c r="D96" s="137" t="n"/>
      <c r="E96" s="137" t="n"/>
      <c r="F96" s="137" t="n"/>
      <c r="G96" s="137" t="n"/>
      <c r="I96" s="56" t="inlineStr">
        <is>
          <t>NV 14 · CE 3</t>
        </is>
      </c>
      <c r="J96" s="144" t="n"/>
      <c r="K96" s="16" t="n"/>
      <c r="L96" s="17" t="n"/>
      <c r="M96" s="150">
        <f>DADOS_INVOC!$IR$2</f>
        <v/>
      </c>
      <c r="N96" s="16" t="n"/>
      <c r="O96" s="16" t="n"/>
      <c r="P96" s="16" t="n"/>
      <c r="Q96" s="16" t="n"/>
      <c r="R96" s="16" t="n"/>
      <c r="S96" s="16" t="n"/>
      <c r="T96" s="16" t="n"/>
      <c r="U96" s="16" t="n"/>
      <c r="V96" s="16" t="n"/>
      <c r="W96" s="16" t="n"/>
      <c r="X96" s="16" t="n"/>
      <c r="Y96" s="17" t="n"/>
      <c r="Z96" s="137" t="n"/>
      <c r="AB96" s="56" t="inlineStr">
        <is>
          <t>NV 14 · CE 3</t>
        </is>
      </c>
      <c r="AC96" s="144" t="n"/>
      <c r="AD96" s="16" t="n"/>
      <c r="AE96" s="17" t="n"/>
      <c r="AF96" s="150">
        <f>DADOS_INVOC!$IR$8</f>
        <v/>
      </c>
      <c r="AG96" s="16" t="n"/>
      <c r="AH96" s="16" t="n"/>
      <c r="AI96" s="16" t="n"/>
      <c r="AJ96" s="16" t="n"/>
      <c r="AK96" s="16" t="n"/>
      <c r="AL96" s="16" t="n"/>
      <c r="AM96" s="16" t="n"/>
      <c r="AN96" s="16" t="n"/>
      <c r="AO96" s="16" t="n"/>
      <c r="AP96" s="16" t="n"/>
      <c r="AQ96" s="16" t="n"/>
      <c r="AR96" s="17" t="n"/>
      <c r="AS96" s="137" t="n"/>
    </row>
    <row r="97" outlineLevel="1">
      <c r="A97" s="8" t="n"/>
      <c r="B97" s="14" t="n"/>
      <c r="C97" s="137" t="n"/>
      <c r="D97" s="137" t="n"/>
      <c r="E97" s="137" t="n"/>
      <c r="F97" s="137" t="n"/>
      <c r="G97" s="137" t="n"/>
      <c r="I97" s="56" t="inlineStr">
        <is>
          <t>NV 18 · CE 3</t>
        </is>
      </c>
      <c r="J97" s="144" t="n"/>
      <c r="K97" s="16" t="n"/>
      <c r="L97" s="17" t="n"/>
      <c r="M97" s="150">
        <f>DADOS_INVOC!$IS$2</f>
        <v/>
      </c>
      <c r="N97" s="16" t="n"/>
      <c r="O97" s="16" t="n"/>
      <c r="P97" s="16" t="n"/>
      <c r="Q97" s="16" t="n"/>
      <c r="R97" s="16" t="n"/>
      <c r="S97" s="16" t="n"/>
      <c r="T97" s="16" t="n"/>
      <c r="U97" s="16" t="n"/>
      <c r="V97" s="16" t="n"/>
      <c r="W97" s="16" t="n"/>
      <c r="X97" s="16" t="n"/>
      <c r="Y97" s="17" t="n"/>
      <c r="Z97" s="137" t="n"/>
      <c r="AB97" s="56" t="inlineStr">
        <is>
          <t>NV 18 · CE 3</t>
        </is>
      </c>
      <c r="AC97" s="144" t="n"/>
      <c r="AD97" s="16" t="n"/>
      <c r="AE97" s="17" t="n"/>
      <c r="AF97" s="150">
        <f>DADOS_INVOC!$IS$8</f>
        <v/>
      </c>
      <c r="AG97" s="16" t="n"/>
      <c r="AH97" s="16" t="n"/>
      <c r="AI97" s="16" t="n"/>
      <c r="AJ97" s="16" t="n"/>
      <c r="AK97" s="16" t="n"/>
      <c r="AL97" s="16" t="n"/>
      <c r="AM97" s="16" t="n"/>
      <c r="AN97" s="16" t="n"/>
      <c r="AO97" s="16" t="n"/>
      <c r="AP97" s="16" t="n"/>
      <c r="AQ97" s="16" t="n"/>
      <c r="AR97" s="17" t="n"/>
      <c r="AS97" s="137" t="n"/>
    </row>
    <row r="98" outlineLevel="1">
      <c r="A98" s="8" t="n"/>
      <c r="B98" s="14" t="n"/>
      <c r="C98" s="137" t="n"/>
      <c r="D98" s="137" t="n"/>
      <c r="E98" s="137" t="n"/>
      <c r="F98" s="137" t="n"/>
      <c r="G98" s="137" t="n"/>
      <c r="I98" s="56" t="inlineStr">
        <is>
          <t>NV 22 · CE 3</t>
        </is>
      </c>
      <c r="J98" s="144" t="n"/>
      <c r="K98" s="16" t="n"/>
      <c r="L98" s="17" t="n"/>
      <c r="M98" s="150">
        <f>DADOS_INVOC!$IT$2</f>
        <v/>
      </c>
      <c r="N98" s="16" t="n"/>
      <c r="O98" s="16" t="n"/>
      <c r="P98" s="16" t="n"/>
      <c r="Q98" s="16" t="n"/>
      <c r="R98" s="16" t="n"/>
      <c r="S98" s="16" t="n"/>
      <c r="T98" s="16" t="n"/>
      <c r="U98" s="16" t="n"/>
      <c r="V98" s="16" t="n"/>
      <c r="W98" s="16" t="n"/>
      <c r="X98" s="16" t="n"/>
      <c r="Y98" s="17" t="n"/>
      <c r="Z98" s="137" t="n"/>
      <c r="AB98" s="56" t="inlineStr">
        <is>
          <t>NV 22 · CE 3</t>
        </is>
      </c>
      <c r="AC98" s="144" t="n"/>
      <c r="AD98" s="16" t="n"/>
      <c r="AE98" s="17" t="n"/>
      <c r="AF98" s="150">
        <f>DADOS_INVOC!$IT$8</f>
        <v/>
      </c>
      <c r="AG98" s="16" t="n"/>
      <c r="AH98" s="16" t="n"/>
      <c r="AI98" s="16" t="n"/>
      <c r="AJ98" s="16" t="n"/>
      <c r="AK98" s="16" t="n"/>
      <c r="AL98" s="16" t="n"/>
      <c r="AM98" s="16" t="n"/>
      <c r="AN98" s="16" t="n"/>
      <c r="AO98" s="16" t="n"/>
      <c r="AP98" s="16" t="n"/>
      <c r="AQ98" s="16" t="n"/>
      <c r="AR98" s="17" t="n"/>
      <c r="AS98" s="137" t="n"/>
    </row>
    <row r="99" outlineLevel="1">
      <c r="A99" s="8" t="n"/>
      <c r="B99" s="14" t="n"/>
      <c r="C99" s="137" t="n"/>
      <c r="D99" s="137" t="n"/>
      <c r="E99" s="137" t="n"/>
      <c r="F99" s="137" t="n"/>
      <c r="G99" s="137" t="n"/>
      <c r="I99" s="56" t="inlineStr">
        <is>
          <t>NV 26 · CE 3</t>
        </is>
      </c>
      <c r="J99" s="144" t="n"/>
      <c r="K99" s="16" t="n"/>
      <c r="L99" s="17" t="n"/>
      <c r="M99" s="150">
        <f>DADOS_INVOC!$IU$2</f>
        <v/>
      </c>
      <c r="N99" s="16" t="n"/>
      <c r="O99" s="16" t="n"/>
      <c r="P99" s="16" t="n"/>
      <c r="Q99" s="16" t="n"/>
      <c r="R99" s="16" t="n"/>
      <c r="S99" s="16" t="n"/>
      <c r="T99" s="16" t="n"/>
      <c r="U99" s="16" t="n"/>
      <c r="V99" s="16" t="n"/>
      <c r="W99" s="16" t="n"/>
      <c r="X99" s="16" t="n"/>
      <c r="Y99" s="17" t="n"/>
      <c r="Z99" s="137" t="n"/>
      <c r="AB99" s="56" t="inlineStr">
        <is>
          <t>NV 26 · CE 3</t>
        </is>
      </c>
      <c r="AC99" s="144" t="n"/>
      <c r="AD99" s="16" t="n"/>
      <c r="AE99" s="17" t="n"/>
      <c r="AF99" s="150">
        <f>DADOS_INVOC!$IU$8</f>
        <v/>
      </c>
      <c r="AG99" s="16" t="n"/>
      <c r="AH99" s="16" t="n"/>
      <c r="AI99" s="16" t="n"/>
      <c r="AJ99" s="16" t="n"/>
      <c r="AK99" s="16" t="n"/>
      <c r="AL99" s="16" t="n"/>
      <c r="AM99" s="16" t="n"/>
      <c r="AN99" s="16" t="n"/>
      <c r="AO99" s="16" t="n"/>
      <c r="AP99" s="16" t="n"/>
      <c r="AQ99" s="16" t="n"/>
      <c r="AR99" s="17" t="n"/>
      <c r="AS99" s="137" t="n"/>
    </row>
    <row r="100" outlineLevel="1">
      <c r="A100" s="8" t="n"/>
      <c r="B100" s="14" t="n"/>
      <c r="C100" s="137" t="n"/>
      <c r="D100" s="137" t="n"/>
      <c r="E100" s="137" t="n"/>
      <c r="F100" s="137" t="n"/>
      <c r="G100" s="137" t="n"/>
      <c r="I100" s="56" t="inlineStr">
        <is>
          <t>NV 30 · CE 3</t>
        </is>
      </c>
      <c r="J100" s="144" t="n"/>
      <c r="K100" s="16" t="n"/>
      <c r="L100" s="17" t="n"/>
      <c r="M100" s="150">
        <f>DADOS_INVOC!$IV$2</f>
        <v/>
      </c>
      <c r="N100" s="16" t="n"/>
      <c r="O100" s="16" t="n"/>
      <c r="P100" s="16" t="n"/>
      <c r="Q100" s="16" t="n"/>
      <c r="R100" s="16" t="n"/>
      <c r="S100" s="16" t="n"/>
      <c r="T100" s="16" t="n"/>
      <c r="U100" s="16" t="n"/>
      <c r="V100" s="16" t="n"/>
      <c r="W100" s="16" t="n"/>
      <c r="X100" s="16" t="n"/>
      <c r="Y100" s="17" t="n"/>
      <c r="Z100" s="137" t="n"/>
      <c r="AB100" s="56" t="inlineStr">
        <is>
          <t>NV 30 · CE 3</t>
        </is>
      </c>
      <c r="AC100" s="144" t="n"/>
      <c r="AD100" s="16" t="n"/>
      <c r="AE100" s="17" t="n"/>
      <c r="AF100" s="150">
        <f>DADOS_INVOC!$IV$8</f>
        <v/>
      </c>
      <c r="AG100" s="16" t="n"/>
      <c r="AH100" s="16" t="n"/>
      <c r="AI100" s="16" t="n"/>
      <c r="AJ100" s="16" t="n"/>
      <c r="AK100" s="16" t="n"/>
      <c r="AL100" s="16" t="n"/>
      <c r="AM100" s="16" t="n"/>
      <c r="AN100" s="16" t="n"/>
      <c r="AO100" s="16" t="n"/>
      <c r="AP100" s="16" t="n"/>
      <c r="AQ100" s="16" t="n"/>
      <c r="AR100" s="17" t="n"/>
      <c r="AS100" s="137" t="n"/>
    </row>
    <row r="101" outlineLevel="1">
      <c r="A101" s="8" t="n"/>
      <c r="B101" s="14" t="n"/>
      <c r="C101" s="137" t="n"/>
      <c r="D101" s="137" t="n"/>
      <c r="E101" s="137" t="n"/>
      <c r="F101" s="137" t="n"/>
      <c r="G101" s="137" t="n"/>
      <c r="I101" s="137" t="n"/>
      <c r="J101" s="137" t="n"/>
      <c r="K101" s="137" t="n"/>
      <c r="L101" s="137" t="n"/>
      <c r="M101" s="137" t="n"/>
      <c r="N101" s="137" t="n"/>
      <c r="O101" s="137" t="n"/>
      <c r="P101" s="137" t="n"/>
      <c r="Q101" s="137" t="n"/>
      <c r="R101" s="137" t="n"/>
      <c r="S101" s="137" t="n"/>
      <c r="T101" s="137" t="n"/>
      <c r="U101" s="137" t="n"/>
      <c r="V101" s="137" t="n"/>
      <c r="W101" s="137" t="n"/>
      <c r="X101" s="137" t="n"/>
      <c r="Y101" s="137" t="n"/>
      <c r="Z101" s="137"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37" t="n"/>
      <c r="AS101" s="137" t="n"/>
    </row>
    <row r="102" outlineLevel="1">
      <c r="A102" s="8" t="n"/>
      <c r="B102" s="14" t="n"/>
      <c r="C102" s="137" t="n"/>
      <c r="D102" s="137" t="n"/>
      <c r="E102" s="137" t="n"/>
      <c r="F102" s="137" t="n"/>
      <c r="G102" s="137" t="n"/>
      <c r="I102" s="146" t="inlineStr">
        <is>
          <t>MAIS HABILIDADES · a segunda básica no nível 11, e as especiais 3 a 8, do nível 8 ao 28</t>
        </is>
      </c>
      <c r="J102" s="16" t="n"/>
      <c r="K102" s="16" t="n"/>
      <c r="L102" s="16" t="n"/>
      <c r="M102" s="16" t="n"/>
      <c r="N102" s="16" t="n"/>
      <c r="O102" s="16" t="n"/>
      <c r="P102" s="16" t="n"/>
      <c r="Q102" s="16" t="n"/>
      <c r="R102" s="16" t="n"/>
      <c r="S102" s="16" t="n"/>
      <c r="T102" s="16" t="n"/>
      <c r="U102" s="16" t="n"/>
      <c r="V102" s="16" t="n"/>
      <c r="W102" s="16" t="n"/>
      <c r="X102" s="16" t="n"/>
      <c r="Y102" s="17" t="n"/>
      <c r="Z102" s="137" t="n"/>
      <c r="AB102" s="146" t="inlineStr">
        <is>
          <t>MAIS HABILIDADES · a segunda básica no nível 11, e as especiais 3 a 8, do nível 8 ao 28</t>
        </is>
      </c>
      <c r="AC102" s="16" t="n"/>
      <c r="AD102" s="16" t="n"/>
      <c r="AE102" s="16" t="n"/>
      <c r="AF102" s="16" t="n"/>
      <c r="AG102" s="16" t="n"/>
      <c r="AH102" s="16" t="n"/>
      <c r="AI102" s="16" t="n"/>
      <c r="AJ102" s="16" t="n"/>
      <c r="AK102" s="16" t="n"/>
      <c r="AL102" s="16" t="n"/>
      <c r="AM102" s="16" t="n"/>
      <c r="AN102" s="16" t="n"/>
      <c r="AO102" s="16" t="n"/>
      <c r="AP102" s="16" t="n"/>
      <c r="AQ102" s="16" t="n"/>
      <c r="AR102" s="17" t="n"/>
      <c r="AS102" s="137" t="n"/>
    </row>
    <row r="103" hidden="1" outlineLevel="2">
      <c r="A103" s="8" t="n"/>
      <c r="B103" s="14" t="n"/>
      <c r="C103" s="137" t="n"/>
      <c r="D103" s="137" t="n"/>
      <c r="E103" s="137" t="n"/>
      <c r="F103" s="137" t="n"/>
      <c r="G103" s="137" t="n"/>
      <c r="I103" s="137" t="n"/>
      <c r="J103" s="137" t="n"/>
      <c r="K103" s="137" t="n"/>
      <c r="L103" s="137" t="n"/>
      <c r="M103" s="137" t="n"/>
      <c r="N103" s="137" t="n"/>
      <c r="O103" s="137" t="n"/>
      <c r="P103" s="137" t="n"/>
      <c r="Q103" s="137" t="n"/>
      <c r="R103" s="137" t="n"/>
      <c r="S103" s="137" t="n"/>
      <c r="T103" s="137" t="n"/>
      <c r="U103" s="137" t="n"/>
      <c r="V103" s="137" t="n"/>
      <c r="W103" s="137" t="n"/>
      <c r="X103" s="137" t="n"/>
      <c r="Y103" s="137" t="n"/>
      <c r="Z103" s="137"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37" t="n"/>
      <c r="AS103" s="137" t="n"/>
    </row>
    <row r="104" hidden="1" outlineLevel="2">
      <c r="A104" s="8" t="n"/>
      <c r="B104" s="14" t="n"/>
      <c r="C104" s="137" t="n"/>
      <c r="D104" s="137" t="n"/>
      <c r="E104" s="137" t="n"/>
      <c r="F104" s="137" t="n"/>
      <c r="G104" s="137" t="n"/>
      <c r="I104" s="56">
        <f>DADOS_INVOC!$PZ$5</f>
        <v/>
      </c>
      <c r="J104" s="16" t="n"/>
      <c r="K104" s="16" t="n"/>
      <c r="L104" s="16" t="n"/>
      <c r="M104" s="17" t="n"/>
      <c r="N104" s="137" t="n"/>
      <c r="O104" s="56">
        <f>DADOS_INVOC!$PZ$6</f>
        <v/>
      </c>
      <c r="P104" s="16" t="n"/>
      <c r="Q104" s="16" t="n"/>
      <c r="R104" s="16" t="n"/>
      <c r="S104" s="17" t="n"/>
      <c r="T104" s="137" t="n"/>
      <c r="U104" s="56">
        <f>DADOS_INVOC!$PZ$7</f>
        <v/>
      </c>
      <c r="V104" s="16" t="n"/>
      <c r="W104" s="16" t="n"/>
      <c r="X104" s="16" t="n"/>
      <c r="Y104" s="17" t="n"/>
      <c r="Z104" s="137" t="n"/>
      <c r="AB104" s="56">
        <f>DADOS_INVOC!$PZ$83</f>
        <v/>
      </c>
      <c r="AC104" s="16" t="n"/>
      <c r="AD104" s="16" t="n"/>
      <c r="AE104" s="16" t="n"/>
      <c r="AF104" s="17" t="n"/>
      <c r="AG104" s="137" t="n"/>
      <c r="AH104" s="56">
        <f>DADOS_INVOC!$PZ$84</f>
        <v/>
      </c>
      <c r="AI104" s="16" t="n"/>
      <c r="AJ104" s="16" t="n"/>
      <c r="AK104" s="16" t="n"/>
      <c r="AL104" s="17" t="n"/>
      <c r="AM104" s="137" t="n"/>
      <c r="AN104" s="56">
        <f>DADOS_INVOC!$PZ$85</f>
        <v/>
      </c>
      <c r="AO104" s="16" t="n"/>
      <c r="AP104" s="16" t="n"/>
      <c r="AQ104" s="16" t="n"/>
      <c r="AR104" s="17" t="n"/>
      <c r="AS104" s="137" t="n"/>
    </row>
    <row r="105" hidden="1" outlineLevel="2">
      <c r="A105" s="8" t="n"/>
      <c r="B105" s="14" t="n"/>
      <c r="C105" s="137" t="n"/>
      <c r="D105" s="137" t="n"/>
      <c r="E105" s="137" t="n"/>
      <c r="F105" s="137" t="n"/>
      <c r="G105" s="137" t="n"/>
      <c r="I105" s="141" t="n">
        <v>0</v>
      </c>
      <c r="J105" s="131" t="n"/>
      <c r="K105" s="16" t="n"/>
      <c r="L105" s="17" t="n"/>
      <c r="M105" s="142">
        <f>DADOS_INVOC!$PX$5</f>
        <v/>
      </c>
      <c r="N105" s="137" t="n"/>
      <c r="O105" s="141" t="n">
        <v>1</v>
      </c>
      <c r="P105" s="131" t="n"/>
      <c r="Q105" s="16" t="n"/>
      <c r="R105" s="17" t="n"/>
      <c r="S105" s="142">
        <f>DADOS_INVOC!$PX$6</f>
        <v/>
      </c>
      <c r="T105" s="137" t="n"/>
      <c r="U105" s="141" t="n">
        <v>1</v>
      </c>
      <c r="V105" s="131" t="n"/>
      <c r="W105" s="16" t="n"/>
      <c r="X105" s="17" t="n"/>
      <c r="Y105" s="142">
        <f>DADOS_INVOC!$PX$7</f>
        <v/>
      </c>
      <c r="Z105" s="137" t="n"/>
      <c r="AB105" s="141" t="n">
        <v>0</v>
      </c>
      <c r="AC105" s="131" t="n"/>
      <c r="AD105" s="16" t="n"/>
      <c r="AE105" s="17" t="n"/>
      <c r="AF105" s="142">
        <f>DADOS_INVOC!$PX$83</f>
        <v/>
      </c>
      <c r="AG105" s="137" t="n"/>
      <c r="AH105" s="141" t="n">
        <v>1</v>
      </c>
      <c r="AI105" s="131" t="n"/>
      <c r="AJ105" s="16" t="n"/>
      <c r="AK105" s="17" t="n"/>
      <c r="AL105" s="142">
        <f>DADOS_INVOC!$PX$84</f>
        <v/>
      </c>
      <c r="AM105" s="137" t="n"/>
      <c r="AN105" s="141" t="n">
        <v>1</v>
      </c>
      <c r="AO105" s="131" t="n"/>
      <c r="AP105" s="16" t="n"/>
      <c r="AQ105" s="17" t="n"/>
      <c r="AR105" s="142">
        <f>DADOS_INVOC!$PX$85</f>
        <v/>
      </c>
      <c r="AS105" s="137" t="n"/>
    </row>
    <row r="106" hidden="1" outlineLevel="3">
      <c r="A106" s="8" t="n"/>
      <c r="B106" s="14" t="n"/>
      <c r="C106" s="137" t="n"/>
      <c r="D106" s="137" t="n"/>
      <c r="E106" s="137" t="n"/>
      <c r="F106" s="137" t="n"/>
      <c r="G106" s="137" t="n"/>
      <c r="I106" s="56" t="inlineStr">
        <is>
          <t>COMO É</t>
        </is>
      </c>
      <c r="J106" s="16" t="n"/>
      <c r="K106" s="16" t="n"/>
      <c r="L106" s="16" t="n"/>
      <c r="M106" s="17" t="n"/>
      <c r="N106" s="137" t="n"/>
      <c r="O106" s="56" t="inlineStr">
        <is>
          <t>COMO É</t>
        </is>
      </c>
      <c r="P106" s="16" t="n"/>
      <c r="Q106" s="16" t="n"/>
      <c r="R106" s="16" t="n"/>
      <c r="S106" s="17" t="n"/>
      <c r="T106" s="137" t="n"/>
      <c r="U106" s="56" t="inlineStr">
        <is>
          <t>COMO É</t>
        </is>
      </c>
      <c r="V106" s="16" t="n"/>
      <c r="W106" s="16" t="n"/>
      <c r="X106" s="16" t="n"/>
      <c r="Y106" s="17" t="n"/>
      <c r="Z106" s="137" t="n"/>
      <c r="AB106" s="56" t="inlineStr">
        <is>
          <t>COMO É</t>
        </is>
      </c>
      <c r="AC106" s="16" t="n"/>
      <c r="AD106" s="16" t="n"/>
      <c r="AE106" s="16" t="n"/>
      <c r="AF106" s="17" t="n"/>
      <c r="AG106" s="137" t="n"/>
      <c r="AH106" s="56" t="inlineStr">
        <is>
          <t>COMO É</t>
        </is>
      </c>
      <c r="AI106" s="16" t="n"/>
      <c r="AJ106" s="16" t="n"/>
      <c r="AK106" s="16" t="n"/>
      <c r="AL106" s="17" t="n"/>
      <c r="AM106" s="137" t="n"/>
      <c r="AN106" s="56" t="inlineStr">
        <is>
          <t>COMO É</t>
        </is>
      </c>
      <c r="AO106" s="16" t="n"/>
      <c r="AP106" s="16" t="n"/>
      <c r="AQ106" s="16" t="n"/>
      <c r="AR106" s="17" t="n"/>
      <c r="AS106" s="137" t="n"/>
    </row>
    <row r="107" hidden="1" outlineLevel="3">
      <c r="A107" s="8" t="n"/>
      <c r="B107" s="14" t="n"/>
      <c r="C107" s="137" t="n"/>
      <c r="D107" s="137" t="n"/>
      <c r="E107" s="137" t="n"/>
      <c r="F107" s="137" t="n"/>
      <c r="G107" s="137" t="n"/>
      <c r="I107" s="61" t="n"/>
      <c r="J107" s="19" t="n"/>
      <c r="K107" s="19" t="n"/>
      <c r="L107" s="19" t="n"/>
      <c r="M107" s="20" t="n"/>
      <c r="N107" s="137" t="n"/>
      <c r="O107" s="61" t="n"/>
      <c r="P107" s="19" t="n"/>
      <c r="Q107" s="19" t="n"/>
      <c r="R107" s="19" t="n"/>
      <c r="S107" s="20" t="n"/>
      <c r="T107" s="137" t="n"/>
      <c r="U107" s="61" t="n"/>
      <c r="V107" s="19" t="n"/>
      <c r="W107" s="19" t="n"/>
      <c r="X107" s="19" t="n"/>
      <c r="Y107" s="20" t="n"/>
      <c r="Z107" s="137" t="n"/>
      <c r="AB107" s="61" t="n"/>
      <c r="AC107" s="19" t="n"/>
      <c r="AD107" s="19" t="n"/>
      <c r="AE107" s="19" t="n"/>
      <c r="AF107" s="20" t="n"/>
      <c r="AG107" s="137" t="n"/>
      <c r="AH107" s="61" t="n"/>
      <c r="AI107" s="19" t="n"/>
      <c r="AJ107" s="19" t="n"/>
      <c r="AK107" s="19" t="n"/>
      <c r="AL107" s="20" t="n"/>
      <c r="AM107" s="137" t="n"/>
      <c r="AN107" s="61" t="n"/>
      <c r="AO107" s="19" t="n"/>
      <c r="AP107" s="19" t="n"/>
      <c r="AQ107" s="19" t="n"/>
      <c r="AR107" s="20" t="n"/>
      <c r="AS107" s="137" t="n"/>
    </row>
    <row r="108" hidden="1" outlineLevel="3">
      <c r="A108" s="8" t="n"/>
      <c r="B108" s="14" t="n"/>
      <c r="C108" s="137" t="n"/>
      <c r="D108" s="137" t="n"/>
      <c r="E108" s="137" t="n"/>
      <c r="F108" s="137" t="n"/>
      <c r="G108" s="137" t="n"/>
      <c r="I108" s="21" t="n"/>
      <c r="M108" s="22" t="n"/>
      <c r="N108" s="137" t="n"/>
      <c r="O108" s="21" t="n"/>
      <c r="S108" s="22" t="n"/>
      <c r="T108" s="137" t="n"/>
      <c r="U108" s="21" t="n"/>
      <c r="Y108" s="22" t="n"/>
      <c r="Z108" s="137" t="n"/>
      <c r="AB108" s="21" t="n"/>
      <c r="AF108" s="22" t="n"/>
      <c r="AG108" s="137" t="n"/>
      <c r="AH108" s="21" t="n"/>
      <c r="AL108" s="22" t="n"/>
      <c r="AM108" s="137" t="n"/>
      <c r="AN108" s="21" t="n"/>
      <c r="AR108" s="22" t="n"/>
      <c r="AS108" s="137" t="n"/>
    </row>
    <row r="109" hidden="1" outlineLevel="3">
      <c r="A109" s="8" t="n"/>
      <c r="B109" s="14" t="n"/>
      <c r="C109" s="137" t="n"/>
      <c r="D109" s="137" t="n"/>
      <c r="E109" s="137" t="n"/>
      <c r="F109" s="137" t="n"/>
      <c r="G109" s="137" t="n"/>
      <c r="I109" s="23" t="n"/>
      <c r="J109" s="24" t="n"/>
      <c r="K109" s="24" t="n"/>
      <c r="L109" s="24" t="n"/>
      <c r="M109" s="25" t="n"/>
      <c r="N109" s="137" t="n"/>
      <c r="O109" s="23" t="n"/>
      <c r="P109" s="24" t="n"/>
      <c r="Q109" s="24" t="n"/>
      <c r="R109" s="24" t="n"/>
      <c r="S109" s="25" t="n"/>
      <c r="T109" s="137" t="n"/>
      <c r="U109" s="23" t="n"/>
      <c r="V109" s="24" t="n"/>
      <c r="W109" s="24" t="n"/>
      <c r="X109" s="24" t="n"/>
      <c r="Y109" s="25" t="n"/>
      <c r="Z109" s="137" t="n"/>
      <c r="AB109" s="23" t="n"/>
      <c r="AC109" s="24" t="n"/>
      <c r="AD109" s="24" t="n"/>
      <c r="AE109" s="24" t="n"/>
      <c r="AF109" s="25" t="n"/>
      <c r="AG109" s="137" t="n"/>
      <c r="AH109" s="23" t="n"/>
      <c r="AI109" s="24" t="n"/>
      <c r="AJ109" s="24" t="n"/>
      <c r="AK109" s="24" t="n"/>
      <c r="AL109" s="25" t="n"/>
      <c r="AM109" s="137" t="n"/>
      <c r="AN109" s="23" t="n"/>
      <c r="AO109" s="24" t="n"/>
      <c r="AP109" s="24" t="n"/>
      <c r="AQ109" s="24" t="n"/>
      <c r="AR109" s="25" t="n"/>
      <c r="AS109" s="137" t="n"/>
    </row>
    <row r="110" hidden="1" outlineLevel="2">
      <c r="A110" s="8" t="n"/>
      <c r="B110" s="14" t="n"/>
      <c r="C110" s="137" t="n"/>
      <c r="D110" s="137" t="n"/>
      <c r="E110" s="137" t="n"/>
      <c r="F110" s="137" t="n"/>
      <c r="G110" s="137" t="n"/>
      <c r="I110" s="95" t="inlineStr">
        <is>
          <t>Projétil</t>
        </is>
      </c>
      <c r="J110" s="17" t="n"/>
      <c r="K110" s="71">
        <f>DADOS_INVOC!$QE$5</f>
        <v/>
      </c>
      <c r="L110" s="17" t="n"/>
      <c r="M110" s="71">
        <f>DADOS_INVOC!$QA$5</f>
        <v/>
      </c>
      <c r="N110" s="137" t="n"/>
      <c r="O110" s="95" t="inlineStr">
        <is>
          <t>Projétil</t>
        </is>
      </c>
      <c r="P110" s="17" t="n"/>
      <c r="Q110" s="71">
        <f>DADOS_INVOC!$QE$6</f>
        <v/>
      </c>
      <c r="R110" s="17" t="n"/>
      <c r="S110" s="71">
        <f>DADOS_INVOC!$QA$6</f>
        <v/>
      </c>
      <c r="T110" s="137" t="n"/>
      <c r="U110" s="95" t="inlineStr">
        <is>
          <t>Projétil</t>
        </is>
      </c>
      <c r="V110" s="17" t="n"/>
      <c r="W110" s="71">
        <f>DADOS_INVOC!$QE$7</f>
        <v/>
      </c>
      <c r="X110" s="17" t="n"/>
      <c r="Y110" s="71">
        <f>DADOS_INVOC!$QA$7</f>
        <v/>
      </c>
      <c r="Z110" s="137" t="n"/>
      <c r="AB110" s="95" t="inlineStr">
        <is>
          <t>Projétil</t>
        </is>
      </c>
      <c r="AC110" s="17" t="n"/>
      <c r="AD110" s="71">
        <f>DADOS_INVOC!$QE$83</f>
        <v/>
      </c>
      <c r="AE110" s="17" t="n"/>
      <c r="AF110" s="71">
        <f>DADOS_INVOC!$QA$83</f>
        <v/>
      </c>
      <c r="AG110" s="137" t="n"/>
      <c r="AH110" s="95" t="inlineStr">
        <is>
          <t>Projétil</t>
        </is>
      </c>
      <c r="AI110" s="17" t="n"/>
      <c r="AJ110" s="71">
        <f>DADOS_INVOC!$QE$84</f>
        <v/>
      </c>
      <c r="AK110" s="17" t="n"/>
      <c r="AL110" s="71">
        <f>DADOS_INVOC!$QA$84</f>
        <v/>
      </c>
      <c r="AM110" s="137" t="n"/>
      <c r="AN110" s="95" t="inlineStr">
        <is>
          <t>Projétil</t>
        </is>
      </c>
      <c r="AO110" s="17" t="n"/>
      <c r="AP110" s="71">
        <f>DADOS_INVOC!$QE$85</f>
        <v/>
      </c>
      <c r="AQ110" s="17" t="n"/>
      <c r="AR110" s="71">
        <f>DADOS_INVOC!$QA$85</f>
        <v/>
      </c>
      <c r="AS110" s="137" t="n"/>
    </row>
    <row r="111" hidden="1" outlineLevel="2">
      <c r="A111" s="8" t="n"/>
      <c r="B111" s="14" t="n"/>
      <c r="C111" s="137" t="n"/>
      <c r="D111" s="137" t="n"/>
      <c r="E111" s="137" t="n"/>
      <c r="F111" s="137" t="n"/>
      <c r="G111" s="137" t="n"/>
      <c r="I111" s="95" t="n"/>
      <c r="J111" s="17" t="n"/>
      <c r="K111" s="95" t="n"/>
      <c r="L111" s="16" t="n"/>
      <c r="M111" s="17" t="n"/>
      <c r="N111" s="137" t="n"/>
      <c r="O111" s="95" t="n"/>
      <c r="P111" s="17" t="n"/>
      <c r="Q111" s="95" t="n"/>
      <c r="R111" s="16" t="n"/>
      <c r="S111" s="17" t="n"/>
      <c r="T111" s="137" t="n"/>
      <c r="U111" s="95" t="n"/>
      <c r="V111" s="17" t="n"/>
      <c r="W111" s="95" t="n"/>
      <c r="X111" s="16" t="n"/>
      <c r="Y111" s="17" t="n"/>
      <c r="Z111" s="137" t="n"/>
      <c r="AB111" s="95" t="n"/>
      <c r="AC111" s="17" t="n"/>
      <c r="AD111" s="95" t="n"/>
      <c r="AE111" s="16" t="n"/>
      <c r="AF111" s="17" t="n"/>
      <c r="AG111" s="137" t="n"/>
      <c r="AH111" s="95" t="n"/>
      <c r="AI111" s="17" t="n"/>
      <c r="AJ111" s="95" t="n"/>
      <c r="AK111" s="16" t="n"/>
      <c r="AL111" s="17" t="n"/>
      <c r="AM111" s="137" t="n"/>
      <c r="AN111" s="95" t="n"/>
      <c r="AO111" s="17" t="n"/>
      <c r="AP111" s="95" t="n"/>
      <c r="AQ111" s="16" t="n"/>
      <c r="AR111" s="17" t="n"/>
      <c r="AS111" s="137" t="n"/>
    </row>
    <row r="112" hidden="1" outlineLevel="2">
      <c r="A112" s="8" t="n"/>
      <c r="B112" s="14" t="n"/>
      <c r="C112" s="137" t="n"/>
      <c r="D112" s="137" t="n"/>
      <c r="E112" s="137" t="n"/>
      <c r="F112" s="137" t="n"/>
      <c r="G112" s="137" t="n"/>
      <c r="I112" s="95">
        <f>DADOS_INVOC!$QB$5</f>
        <v/>
      </c>
      <c r="J112" s="17" t="n"/>
      <c r="K112" s="95">
        <f>DADOS_INVOC!$QD$5</f>
        <v/>
      </c>
      <c r="L112" s="16" t="n"/>
      <c r="M112" s="17" t="n"/>
      <c r="N112" s="137" t="n"/>
      <c r="O112" s="95">
        <f>DADOS_INVOC!$QB$6</f>
        <v/>
      </c>
      <c r="P112" s="17" t="n"/>
      <c r="Q112" s="95">
        <f>DADOS_INVOC!$QD$6</f>
        <v/>
      </c>
      <c r="R112" s="16" t="n"/>
      <c r="S112" s="17" t="n"/>
      <c r="T112" s="137" t="n"/>
      <c r="U112" s="95">
        <f>DADOS_INVOC!$QB$7</f>
        <v/>
      </c>
      <c r="V112" s="17" t="n"/>
      <c r="W112" s="95">
        <f>DADOS_INVOC!$QD$7</f>
        <v/>
      </c>
      <c r="X112" s="16" t="n"/>
      <c r="Y112" s="17" t="n"/>
      <c r="Z112" s="137" t="n"/>
      <c r="AB112" s="95">
        <f>DADOS_INVOC!$QB$83</f>
        <v/>
      </c>
      <c r="AC112" s="17" t="n"/>
      <c r="AD112" s="95">
        <f>DADOS_INVOC!$QD$83</f>
        <v/>
      </c>
      <c r="AE112" s="16" t="n"/>
      <c r="AF112" s="17" t="n"/>
      <c r="AG112" s="137" t="n"/>
      <c r="AH112" s="95">
        <f>DADOS_INVOC!$QB$84</f>
        <v/>
      </c>
      <c r="AI112" s="17" t="n"/>
      <c r="AJ112" s="95">
        <f>DADOS_INVOC!$QD$84</f>
        <v/>
      </c>
      <c r="AK112" s="16" t="n"/>
      <c r="AL112" s="17" t="n"/>
      <c r="AM112" s="137" t="n"/>
      <c r="AN112" s="95">
        <f>DADOS_INVOC!$QB$85</f>
        <v/>
      </c>
      <c r="AO112" s="17" t="n"/>
      <c r="AP112" s="95">
        <f>DADOS_INVOC!$QD$85</f>
        <v/>
      </c>
      <c r="AQ112" s="16" t="n"/>
      <c r="AR112" s="17" t="n"/>
      <c r="AS112" s="137" t="n"/>
    </row>
    <row r="113" hidden="1" outlineLevel="2">
      <c r="A113" s="8" t="n"/>
      <c r="B113" s="14" t="n"/>
      <c r="C113" s="137" t="n"/>
      <c r="D113" s="137" t="n"/>
      <c r="E113" s="137" t="n"/>
      <c r="F113" s="137" t="n"/>
      <c r="G113" s="137" t="n"/>
      <c r="I113" s="143">
        <f>DADOS_INVOC!$QJ$5</f>
        <v/>
      </c>
      <c r="J113" s="16" t="n"/>
      <c r="K113" s="16" t="n"/>
      <c r="L113" s="16" t="n"/>
      <c r="M113" s="17" t="n"/>
      <c r="N113" s="137" t="n"/>
      <c r="O113" s="143">
        <f>DADOS_INVOC!$QJ$6</f>
        <v/>
      </c>
      <c r="P113" s="16" t="n"/>
      <c r="Q113" s="16" t="n"/>
      <c r="R113" s="16" t="n"/>
      <c r="S113" s="17" t="n"/>
      <c r="T113" s="137" t="n"/>
      <c r="U113" s="143">
        <f>DADOS_INVOC!$QJ$7</f>
        <v/>
      </c>
      <c r="V113" s="16" t="n"/>
      <c r="W113" s="16" t="n"/>
      <c r="X113" s="16" t="n"/>
      <c r="Y113" s="17" t="n"/>
      <c r="Z113" s="137" t="n"/>
      <c r="AB113" s="143">
        <f>DADOS_INVOC!$QJ$83</f>
        <v/>
      </c>
      <c r="AC113" s="16" t="n"/>
      <c r="AD113" s="16" t="n"/>
      <c r="AE113" s="16" t="n"/>
      <c r="AF113" s="17" t="n"/>
      <c r="AG113" s="137" t="n"/>
      <c r="AH113" s="143">
        <f>DADOS_INVOC!$QJ$84</f>
        <v/>
      </c>
      <c r="AI113" s="16" t="n"/>
      <c r="AJ113" s="16" t="n"/>
      <c r="AK113" s="16" t="n"/>
      <c r="AL113" s="17" t="n"/>
      <c r="AM113" s="137" t="n"/>
      <c r="AN113" s="143">
        <f>DADOS_INVOC!$QJ$85</f>
        <v/>
      </c>
      <c r="AO113" s="16" t="n"/>
      <c r="AP113" s="16" t="n"/>
      <c r="AQ113" s="16" t="n"/>
      <c r="AR113" s="17" t="n"/>
      <c r="AS113" s="137" t="n"/>
    </row>
    <row r="114" hidden="1" outlineLevel="3">
      <c r="A114" s="8" t="n"/>
      <c r="B114" s="14" t="n"/>
      <c r="C114" s="137" t="n"/>
      <c r="D114" s="137" t="n"/>
      <c r="E114" s="137" t="n"/>
      <c r="F114" s="137" t="n"/>
      <c r="G114" s="137" t="n"/>
      <c r="I114" s="56" t="inlineStr">
        <is>
          <t>MELHORIAS</t>
        </is>
      </c>
      <c r="J114" s="144" t="n"/>
      <c r="K114" s="16" t="n"/>
      <c r="L114" s="17" t="n"/>
      <c r="M114" s="143">
        <f>DADOS_INVOC!$QM$5</f>
        <v/>
      </c>
      <c r="N114" s="137" t="n"/>
      <c r="O114" s="56" t="inlineStr">
        <is>
          <t>MELHORIAS</t>
        </is>
      </c>
      <c r="P114" s="144" t="n"/>
      <c r="Q114" s="16" t="n"/>
      <c r="R114" s="17" t="n"/>
      <c r="S114" s="143">
        <f>DADOS_INVOC!$QM$6</f>
        <v/>
      </c>
      <c r="T114" s="137" t="n"/>
      <c r="U114" s="56" t="inlineStr">
        <is>
          <t>MELHORIAS</t>
        </is>
      </c>
      <c r="V114" s="144" t="n"/>
      <c r="W114" s="16" t="n"/>
      <c r="X114" s="17" t="n"/>
      <c r="Y114" s="143">
        <f>DADOS_INVOC!$QM$7</f>
        <v/>
      </c>
      <c r="Z114" s="137" t="n"/>
      <c r="AB114" s="56" t="inlineStr">
        <is>
          <t>MELHORIAS</t>
        </is>
      </c>
      <c r="AC114" s="144" t="n"/>
      <c r="AD114" s="16" t="n"/>
      <c r="AE114" s="17" t="n"/>
      <c r="AF114" s="143">
        <f>DADOS_INVOC!$QM$83</f>
        <v/>
      </c>
      <c r="AG114" s="137" t="n"/>
      <c r="AH114" s="56" t="inlineStr">
        <is>
          <t>MELHORIAS</t>
        </is>
      </c>
      <c r="AI114" s="144" t="n"/>
      <c r="AJ114" s="16" t="n"/>
      <c r="AK114" s="17" t="n"/>
      <c r="AL114" s="143">
        <f>DADOS_INVOC!$QM$84</f>
        <v/>
      </c>
      <c r="AM114" s="137" t="n"/>
      <c r="AN114" s="56" t="inlineStr">
        <is>
          <t>MELHORIAS</t>
        </is>
      </c>
      <c r="AO114" s="144" t="n"/>
      <c r="AP114" s="16" t="n"/>
      <c r="AQ114" s="17" t="n"/>
      <c r="AR114" s="143">
        <f>DADOS_INVOC!$QM$85</f>
        <v/>
      </c>
      <c r="AS114" s="137" t="n"/>
    </row>
    <row r="115" hidden="1" outlineLevel="3">
      <c r="A115" s="8" t="n"/>
      <c r="B115" s="14" t="n"/>
      <c r="C115" s="137" t="n"/>
      <c r="D115" s="137" t="n"/>
      <c r="E115" s="137" t="n"/>
      <c r="F115" s="137" t="n"/>
      <c r="G115" s="137" t="n"/>
      <c r="I115" s="66" t="n"/>
      <c r="J115" s="144" t="n"/>
      <c r="K115" s="16" t="n"/>
      <c r="L115" s="17" t="n"/>
      <c r="M115" s="143">
        <f>DADOS_INVOC!$QN$5</f>
        <v/>
      </c>
      <c r="N115" s="137" t="n"/>
      <c r="O115" s="66" t="n"/>
      <c r="P115" s="144" t="n"/>
      <c r="Q115" s="16" t="n"/>
      <c r="R115" s="17" t="n"/>
      <c r="S115" s="143">
        <f>DADOS_INVOC!$QN$6</f>
        <v/>
      </c>
      <c r="T115" s="137" t="n"/>
      <c r="U115" s="66" t="n"/>
      <c r="V115" s="144" t="n"/>
      <c r="W115" s="16" t="n"/>
      <c r="X115" s="17" t="n"/>
      <c r="Y115" s="143">
        <f>DADOS_INVOC!$QN$7</f>
        <v/>
      </c>
      <c r="Z115" s="137" t="n"/>
      <c r="AB115" s="66" t="n"/>
      <c r="AC115" s="144" t="n"/>
      <c r="AD115" s="16" t="n"/>
      <c r="AE115" s="17" t="n"/>
      <c r="AF115" s="143">
        <f>DADOS_INVOC!$QN$83</f>
        <v/>
      </c>
      <c r="AG115" s="137" t="n"/>
      <c r="AH115" s="66" t="n"/>
      <c r="AI115" s="144" t="n"/>
      <c r="AJ115" s="16" t="n"/>
      <c r="AK115" s="17" t="n"/>
      <c r="AL115" s="143">
        <f>DADOS_INVOC!$QN$84</f>
        <v/>
      </c>
      <c r="AM115" s="137" t="n"/>
      <c r="AN115" s="66" t="n"/>
      <c r="AO115" s="144" t="n"/>
      <c r="AP115" s="16" t="n"/>
      <c r="AQ115" s="17" t="n"/>
      <c r="AR115" s="143">
        <f>DADOS_INVOC!$QN$85</f>
        <v/>
      </c>
      <c r="AS115" s="137" t="n"/>
    </row>
    <row r="116" hidden="1" outlineLevel="3">
      <c r="A116" s="8" t="n"/>
      <c r="B116" s="14" t="n"/>
      <c r="C116" s="137" t="n"/>
      <c r="D116" s="137" t="n"/>
      <c r="E116" s="137" t="n"/>
      <c r="F116" s="137" t="n"/>
      <c r="G116" s="137" t="n"/>
      <c r="I116" s="66" t="n"/>
      <c r="J116" s="144" t="n"/>
      <c r="K116" s="16" t="n"/>
      <c r="L116" s="17" t="n"/>
      <c r="M116" s="143">
        <f>DADOS_INVOC!$QO$5</f>
        <v/>
      </c>
      <c r="N116" s="137" t="n"/>
      <c r="O116" s="66" t="n"/>
      <c r="P116" s="144" t="n"/>
      <c r="Q116" s="16" t="n"/>
      <c r="R116" s="17" t="n"/>
      <c r="S116" s="143">
        <f>DADOS_INVOC!$QO$6</f>
        <v/>
      </c>
      <c r="T116" s="137" t="n"/>
      <c r="U116" s="66" t="n"/>
      <c r="V116" s="144" t="n"/>
      <c r="W116" s="16" t="n"/>
      <c r="X116" s="17" t="n"/>
      <c r="Y116" s="143">
        <f>DADOS_INVOC!$QO$7</f>
        <v/>
      </c>
      <c r="Z116" s="137" t="n"/>
      <c r="AB116" s="66" t="n"/>
      <c r="AC116" s="144" t="n"/>
      <c r="AD116" s="16" t="n"/>
      <c r="AE116" s="17" t="n"/>
      <c r="AF116" s="143">
        <f>DADOS_INVOC!$QO$83</f>
        <v/>
      </c>
      <c r="AG116" s="137" t="n"/>
      <c r="AH116" s="66" t="n"/>
      <c r="AI116" s="144" t="n"/>
      <c r="AJ116" s="16" t="n"/>
      <c r="AK116" s="17" t="n"/>
      <c r="AL116" s="143">
        <f>DADOS_INVOC!$QO$84</f>
        <v/>
      </c>
      <c r="AM116" s="137" t="n"/>
      <c r="AN116" s="66" t="n"/>
      <c r="AO116" s="144" t="n"/>
      <c r="AP116" s="16" t="n"/>
      <c r="AQ116" s="17" t="n"/>
      <c r="AR116" s="143">
        <f>DADOS_INVOC!$QO$85</f>
        <v/>
      </c>
      <c r="AS116" s="137" t="n"/>
    </row>
    <row r="117" hidden="1" outlineLevel="3">
      <c r="A117" s="8" t="n"/>
      <c r="B117" s="14" t="n"/>
      <c r="C117" s="137" t="n"/>
      <c r="D117" s="137" t="n"/>
      <c r="E117" s="137" t="n"/>
      <c r="F117" s="137" t="n"/>
      <c r="G117" s="137" t="n"/>
      <c r="I117" s="128" t="n"/>
      <c r="J117" s="144" t="n"/>
      <c r="K117" s="16" t="n"/>
      <c r="L117" s="17" t="n"/>
      <c r="M117" s="143">
        <f>DADOS_INVOC!$QP$5</f>
        <v/>
      </c>
      <c r="N117" s="137" t="n"/>
      <c r="O117" s="128" t="n"/>
      <c r="P117" s="144" t="n"/>
      <c r="Q117" s="16" t="n"/>
      <c r="R117" s="17" t="n"/>
      <c r="S117" s="143">
        <f>DADOS_INVOC!$QP$6</f>
        <v/>
      </c>
      <c r="T117" s="137" t="n"/>
      <c r="U117" s="128" t="n"/>
      <c r="V117" s="144" t="n"/>
      <c r="W117" s="16" t="n"/>
      <c r="X117" s="17" t="n"/>
      <c r="Y117" s="143">
        <f>DADOS_INVOC!$QP$7</f>
        <v/>
      </c>
      <c r="Z117" s="137" t="n"/>
      <c r="AB117" s="128" t="n"/>
      <c r="AC117" s="144" t="n"/>
      <c r="AD117" s="16" t="n"/>
      <c r="AE117" s="17" t="n"/>
      <c r="AF117" s="143">
        <f>DADOS_INVOC!$QP$83</f>
        <v/>
      </c>
      <c r="AG117" s="137" t="n"/>
      <c r="AH117" s="128" t="n"/>
      <c r="AI117" s="144" t="n"/>
      <c r="AJ117" s="16" t="n"/>
      <c r="AK117" s="17" t="n"/>
      <c r="AL117" s="143">
        <f>DADOS_INVOC!$QP$84</f>
        <v/>
      </c>
      <c r="AM117" s="137" t="n"/>
      <c r="AN117" s="128" t="n"/>
      <c r="AO117" s="144" t="n"/>
      <c r="AP117" s="16" t="n"/>
      <c r="AQ117" s="17" t="n"/>
      <c r="AR117" s="143">
        <f>DADOS_INVOC!$QP$85</f>
        <v/>
      </c>
      <c r="AS117" s="137" t="n"/>
    </row>
    <row r="118" hidden="1" outlineLevel="3">
      <c r="A118" s="8" t="n"/>
      <c r="B118" s="14" t="n"/>
      <c r="C118" s="137" t="n"/>
      <c r="D118" s="137" t="n"/>
      <c r="E118" s="137" t="n"/>
      <c r="F118" s="137" t="n"/>
      <c r="G118" s="137" t="n"/>
      <c r="I118" s="56" t="inlineStr">
        <is>
          <t>RESTRIÇÕES</t>
        </is>
      </c>
      <c r="J118" s="144" t="n"/>
      <c r="K118" s="16" t="n"/>
      <c r="L118" s="17" t="n"/>
      <c r="M118" s="143">
        <f>DADOS_INVOC!$QQ$5</f>
        <v/>
      </c>
      <c r="N118" s="137" t="n"/>
      <c r="O118" s="56" t="inlineStr">
        <is>
          <t>RESTRIÇÕES</t>
        </is>
      </c>
      <c r="P118" s="144" t="n"/>
      <c r="Q118" s="16" t="n"/>
      <c r="R118" s="17" t="n"/>
      <c r="S118" s="143">
        <f>DADOS_INVOC!$QQ$6</f>
        <v/>
      </c>
      <c r="T118" s="137" t="n"/>
      <c r="U118" s="56" t="inlineStr">
        <is>
          <t>RESTRIÇÕES</t>
        </is>
      </c>
      <c r="V118" s="144" t="n"/>
      <c r="W118" s="16" t="n"/>
      <c r="X118" s="17" t="n"/>
      <c r="Y118" s="143">
        <f>DADOS_INVOC!$QQ$7</f>
        <v/>
      </c>
      <c r="Z118" s="137" t="n"/>
      <c r="AB118" s="56" t="inlineStr">
        <is>
          <t>RESTRIÇÕES</t>
        </is>
      </c>
      <c r="AC118" s="144" t="n"/>
      <c r="AD118" s="16" t="n"/>
      <c r="AE118" s="17" t="n"/>
      <c r="AF118" s="143">
        <f>DADOS_INVOC!$QQ$83</f>
        <v/>
      </c>
      <c r="AG118" s="137" t="n"/>
      <c r="AH118" s="56" t="inlineStr">
        <is>
          <t>RESTRIÇÕES</t>
        </is>
      </c>
      <c r="AI118" s="144" t="n"/>
      <c r="AJ118" s="16" t="n"/>
      <c r="AK118" s="17" t="n"/>
      <c r="AL118" s="143">
        <f>DADOS_INVOC!$QQ$84</f>
        <v/>
      </c>
      <c r="AM118" s="137" t="n"/>
      <c r="AN118" s="56" t="inlineStr">
        <is>
          <t>RESTRIÇÕES</t>
        </is>
      </c>
      <c r="AO118" s="144" t="n"/>
      <c r="AP118" s="16" t="n"/>
      <c r="AQ118" s="17" t="n"/>
      <c r="AR118" s="143">
        <f>DADOS_INVOC!$QQ$85</f>
        <v/>
      </c>
      <c r="AS118" s="137" t="n"/>
    </row>
    <row r="119" hidden="1" outlineLevel="3">
      <c r="A119" s="8" t="n"/>
      <c r="B119" s="14" t="n"/>
      <c r="C119" s="137" t="n"/>
      <c r="D119" s="137" t="n"/>
      <c r="E119" s="137" t="n"/>
      <c r="F119" s="137" t="n"/>
      <c r="G119" s="137" t="n"/>
      <c r="I119" s="128" t="n"/>
      <c r="J119" s="144" t="n"/>
      <c r="K119" s="16" t="n"/>
      <c r="L119" s="17" t="n"/>
      <c r="M119" s="143">
        <f>DADOS_INVOC!$QR$5</f>
        <v/>
      </c>
      <c r="N119" s="137" t="n"/>
      <c r="O119" s="128" t="n"/>
      <c r="P119" s="144" t="n"/>
      <c r="Q119" s="16" t="n"/>
      <c r="R119" s="17" t="n"/>
      <c r="S119" s="143">
        <f>DADOS_INVOC!$QR$6</f>
        <v/>
      </c>
      <c r="T119" s="137" t="n"/>
      <c r="U119" s="128" t="n"/>
      <c r="V119" s="144" t="n"/>
      <c r="W119" s="16" t="n"/>
      <c r="X119" s="17" t="n"/>
      <c r="Y119" s="143">
        <f>DADOS_INVOC!$QR$7</f>
        <v/>
      </c>
      <c r="Z119" s="137" t="n"/>
      <c r="AB119" s="128" t="n"/>
      <c r="AC119" s="144" t="n"/>
      <c r="AD119" s="16" t="n"/>
      <c r="AE119" s="17" t="n"/>
      <c r="AF119" s="143">
        <f>DADOS_INVOC!$QR$83</f>
        <v/>
      </c>
      <c r="AG119" s="137" t="n"/>
      <c r="AH119" s="128" t="n"/>
      <c r="AI119" s="144" t="n"/>
      <c r="AJ119" s="16" t="n"/>
      <c r="AK119" s="17" t="n"/>
      <c r="AL119" s="143">
        <f>DADOS_INVOC!$QR$84</f>
        <v/>
      </c>
      <c r="AM119" s="137" t="n"/>
      <c r="AN119" s="128" t="n"/>
      <c r="AO119" s="144" t="n"/>
      <c r="AP119" s="16" t="n"/>
      <c r="AQ119" s="17" t="n"/>
      <c r="AR119" s="143">
        <f>DADOS_INVOC!$QR$85</f>
        <v/>
      </c>
      <c r="AS119" s="137" t="n"/>
    </row>
    <row r="120" hidden="1" outlineLevel="3">
      <c r="A120" s="8" t="n"/>
      <c r="B120" s="14" t="n"/>
      <c r="C120" s="137" t="n"/>
      <c r="D120" s="137" t="n"/>
      <c r="E120" s="137" t="n"/>
      <c r="F120" s="137" t="n"/>
      <c r="G120" s="137" t="n"/>
      <c r="I120" s="56" t="inlineStr">
        <is>
          <t>CONTA</t>
        </is>
      </c>
      <c r="J120" s="145">
        <f>DADOS_INVOC!$QK$5</f>
        <v/>
      </c>
      <c r="K120" s="16" t="n"/>
      <c r="L120" s="16" t="n"/>
      <c r="M120" s="17" t="n"/>
      <c r="N120" s="137" t="n"/>
      <c r="O120" s="56" t="inlineStr">
        <is>
          <t>CONTA</t>
        </is>
      </c>
      <c r="P120" s="145">
        <f>DADOS_INVOC!$QK$6</f>
        <v/>
      </c>
      <c r="Q120" s="16" t="n"/>
      <c r="R120" s="16" t="n"/>
      <c r="S120" s="17" t="n"/>
      <c r="T120" s="137" t="n"/>
      <c r="U120" s="56" t="inlineStr">
        <is>
          <t>CONTA</t>
        </is>
      </c>
      <c r="V120" s="145">
        <f>DADOS_INVOC!$QK$7</f>
        <v/>
      </c>
      <c r="W120" s="16" t="n"/>
      <c r="X120" s="16" t="n"/>
      <c r="Y120" s="17" t="n"/>
      <c r="Z120" s="137" t="n"/>
      <c r="AB120" s="56" t="inlineStr">
        <is>
          <t>CONTA</t>
        </is>
      </c>
      <c r="AC120" s="145">
        <f>DADOS_INVOC!$QK$83</f>
        <v/>
      </c>
      <c r="AD120" s="16" t="n"/>
      <c r="AE120" s="16" t="n"/>
      <c r="AF120" s="17" t="n"/>
      <c r="AG120" s="137" t="n"/>
      <c r="AH120" s="56" t="inlineStr">
        <is>
          <t>CONTA</t>
        </is>
      </c>
      <c r="AI120" s="145">
        <f>DADOS_INVOC!$QK$84</f>
        <v/>
      </c>
      <c r="AJ120" s="16" t="n"/>
      <c r="AK120" s="16" t="n"/>
      <c r="AL120" s="17" t="n"/>
      <c r="AM120" s="137" t="n"/>
      <c r="AN120" s="56" t="inlineStr">
        <is>
          <t>CONTA</t>
        </is>
      </c>
      <c r="AO120" s="145">
        <f>DADOS_INVOC!$QK$85</f>
        <v/>
      </c>
      <c r="AP120" s="16" t="n"/>
      <c r="AQ120" s="16" t="n"/>
      <c r="AR120" s="17" t="n"/>
      <c r="AS120" s="137" t="n"/>
    </row>
    <row r="121" hidden="1" outlineLevel="3">
      <c r="A121" s="8" t="n"/>
      <c r="B121" s="14" t="n"/>
      <c r="C121" s="137" t="n"/>
      <c r="D121" s="137" t="n"/>
      <c r="E121" s="137" t="n"/>
      <c r="F121" s="137" t="n"/>
      <c r="G121" s="137" t="n"/>
      <c r="I121" s="56" t="inlineStr">
        <is>
          <t>AMPLIAR</t>
        </is>
      </c>
      <c r="J121" s="145">
        <f>DADOS_INVOC!$QL$5</f>
        <v/>
      </c>
      <c r="K121" s="19" t="n"/>
      <c r="L121" s="19" t="n"/>
      <c r="M121" s="20" t="n"/>
      <c r="N121" s="137" t="n"/>
      <c r="O121" s="56" t="inlineStr">
        <is>
          <t>AMPLIAR</t>
        </is>
      </c>
      <c r="P121" s="145">
        <f>DADOS_INVOC!$QL$6</f>
        <v/>
      </c>
      <c r="Q121" s="19" t="n"/>
      <c r="R121" s="19" t="n"/>
      <c r="S121" s="20" t="n"/>
      <c r="T121" s="137" t="n"/>
      <c r="U121" s="56" t="inlineStr">
        <is>
          <t>AMPLIAR</t>
        </is>
      </c>
      <c r="V121" s="145">
        <f>DADOS_INVOC!$QL$7</f>
        <v/>
      </c>
      <c r="W121" s="19" t="n"/>
      <c r="X121" s="19" t="n"/>
      <c r="Y121" s="20" t="n"/>
      <c r="Z121" s="137" t="n"/>
      <c r="AB121" s="56" t="inlineStr">
        <is>
          <t>AMPLIAR</t>
        </is>
      </c>
      <c r="AC121" s="145">
        <f>DADOS_INVOC!$QL$83</f>
        <v/>
      </c>
      <c r="AD121" s="19" t="n"/>
      <c r="AE121" s="19" t="n"/>
      <c r="AF121" s="20" t="n"/>
      <c r="AG121" s="137" t="n"/>
      <c r="AH121" s="56" t="inlineStr">
        <is>
          <t>AMPLIAR</t>
        </is>
      </c>
      <c r="AI121" s="145">
        <f>DADOS_INVOC!$QL$84</f>
        <v/>
      </c>
      <c r="AJ121" s="19" t="n"/>
      <c r="AK121" s="19" t="n"/>
      <c r="AL121" s="20" t="n"/>
      <c r="AM121" s="137" t="n"/>
      <c r="AN121" s="56" t="inlineStr">
        <is>
          <t>AMPLIAR</t>
        </is>
      </c>
      <c r="AO121" s="145">
        <f>DADOS_INVOC!$QL$85</f>
        <v/>
      </c>
      <c r="AP121" s="19" t="n"/>
      <c r="AQ121" s="19" t="n"/>
      <c r="AR121" s="20" t="n"/>
      <c r="AS121" s="137" t="n"/>
    </row>
    <row r="122" hidden="1" outlineLevel="3">
      <c r="A122" s="8" t="n"/>
      <c r="B122" s="14" t="n"/>
      <c r="C122" s="137" t="n"/>
      <c r="D122" s="137" t="n"/>
      <c r="E122" s="137" t="n"/>
      <c r="F122" s="137" t="n"/>
      <c r="G122" s="137" t="n"/>
      <c r="I122" s="128" t="n"/>
      <c r="J122" s="23" t="n"/>
      <c r="K122" s="24" t="n"/>
      <c r="L122" s="24" t="n"/>
      <c r="M122" s="25" t="n"/>
      <c r="N122" s="137" t="n"/>
      <c r="O122" s="128" t="n"/>
      <c r="P122" s="23" t="n"/>
      <c r="Q122" s="24" t="n"/>
      <c r="R122" s="24" t="n"/>
      <c r="S122" s="25" t="n"/>
      <c r="T122" s="137" t="n"/>
      <c r="U122" s="128" t="n"/>
      <c r="V122" s="23" t="n"/>
      <c r="W122" s="24" t="n"/>
      <c r="X122" s="24" t="n"/>
      <c r="Y122" s="25" t="n"/>
      <c r="Z122" s="137" t="n"/>
      <c r="AB122" s="128" t="n"/>
      <c r="AC122" s="23" t="n"/>
      <c r="AD122" s="24" t="n"/>
      <c r="AE122" s="24" t="n"/>
      <c r="AF122" s="25" t="n"/>
      <c r="AG122" s="137" t="n"/>
      <c r="AH122" s="128" t="n"/>
      <c r="AI122" s="23" t="n"/>
      <c r="AJ122" s="24" t="n"/>
      <c r="AK122" s="24" t="n"/>
      <c r="AL122" s="25" t="n"/>
      <c r="AM122" s="137" t="n"/>
      <c r="AN122" s="128" t="n"/>
      <c r="AO122" s="23" t="n"/>
      <c r="AP122" s="24" t="n"/>
      <c r="AQ122" s="24" t="n"/>
      <c r="AR122" s="25" t="n"/>
      <c r="AS122" s="137" t="n"/>
    </row>
    <row r="123" hidden="1" outlineLevel="3">
      <c r="A123" s="8" t="n"/>
      <c r="B123" s="14" t="n"/>
      <c r="C123" s="137" t="n"/>
      <c r="D123" s="137" t="n"/>
      <c r="E123" s="137" t="n"/>
      <c r="F123" s="137" t="n"/>
      <c r="G123" s="137" t="n"/>
      <c r="I123" s="145">
        <f>DADOS_INVOC!$PY$5</f>
        <v/>
      </c>
      <c r="J123" s="19" t="n"/>
      <c r="K123" s="19" t="n"/>
      <c r="L123" s="19" t="n"/>
      <c r="M123" s="20" t="n"/>
      <c r="N123" s="137" t="n"/>
      <c r="O123" s="145">
        <f>DADOS_INVOC!$PY$6</f>
        <v/>
      </c>
      <c r="P123" s="19" t="n"/>
      <c r="Q123" s="19" t="n"/>
      <c r="R123" s="19" t="n"/>
      <c r="S123" s="20" t="n"/>
      <c r="T123" s="137" t="n"/>
      <c r="U123" s="145">
        <f>DADOS_INVOC!$PY$7</f>
        <v/>
      </c>
      <c r="V123" s="19" t="n"/>
      <c r="W123" s="19" t="n"/>
      <c r="X123" s="19" t="n"/>
      <c r="Y123" s="20" t="n"/>
      <c r="Z123" s="137" t="n"/>
      <c r="AB123" s="145">
        <f>DADOS_INVOC!$PY$83</f>
        <v/>
      </c>
      <c r="AC123" s="19" t="n"/>
      <c r="AD123" s="19" t="n"/>
      <c r="AE123" s="19" t="n"/>
      <c r="AF123" s="20" t="n"/>
      <c r="AG123" s="137" t="n"/>
      <c r="AH123" s="145">
        <f>DADOS_INVOC!$PY$84</f>
        <v/>
      </c>
      <c r="AI123" s="19" t="n"/>
      <c r="AJ123" s="19" t="n"/>
      <c r="AK123" s="19" t="n"/>
      <c r="AL123" s="20" t="n"/>
      <c r="AM123" s="137" t="n"/>
      <c r="AN123" s="145">
        <f>DADOS_INVOC!$PY$85</f>
        <v/>
      </c>
      <c r="AO123" s="19" t="n"/>
      <c r="AP123" s="19" t="n"/>
      <c r="AQ123" s="19" t="n"/>
      <c r="AR123" s="20" t="n"/>
      <c r="AS123" s="137" t="n"/>
    </row>
    <row r="124" hidden="1" outlineLevel="3">
      <c r="A124" s="8" t="n"/>
      <c r="B124" s="14" t="n"/>
      <c r="C124" s="137" t="n"/>
      <c r="D124" s="137" t="n"/>
      <c r="E124" s="137" t="n"/>
      <c r="F124" s="137" t="n"/>
      <c r="G124" s="137" t="n"/>
      <c r="I124" s="23" t="n"/>
      <c r="J124" s="24" t="n"/>
      <c r="K124" s="24" t="n"/>
      <c r="L124" s="24" t="n"/>
      <c r="M124" s="25" t="n"/>
      <c r="N124" s="137" t="n"/>
      <c r="O124" s="23" t="n"/>
      <c r="P124" s="24" t="n"/>
      <c r="Q124" s="24" t="n"/>
      <c r="R124" s="24" t="n"/>
      <c r="S124" s="25" t="n"/>
      <c r="T124" s="137" t="n"/>
      <c r="U124" s="23" t="n"/>
      <c r="V124" s="24" t="n"/>
      <c r="W124" s="24" t="n"/>
      <c r="X124" s="24" t="n"/>
      <c r="Y124" s="25" t="n"/>
      <c r="Z124" s="137" t="n"/>
      <c r="AB124" s="23" t="n"/>
      <c r="AC124" s="24" t="n"/>
      <c r="AD124" s="24" t="n"/>
      <c r="AE124" s="24" t="n"/>
      <c r="AF124" s="25" t="n"/>
      <c r="AG124" s="137" t="n"/>
      <c r="AH124" s="23" t="n"/>
      <c r="AI124" s="24" t="n"/>
      <c r="AJ124" s="24" t="n"/>
      <c r="AK124" s="24" t="n"/>
      <c r="AL124" s="25" t="n"/>
      <c r="AM124" s="137" t="n"/>
      <c r="AN124" s="23" t="n"/>
      <c r="AO124" s="24" t="n"/>
      <c r="AP124" s="24" t="n"/>
      <c r="AQ124" s="24" t="n"/>
      <c r="AR124" s="25" t="n"/>
      <c r="AS124" s="137" t="n"/>
    </row>
    <row r="125" hidden="1" outlineLevel="2">
      <c r="A125" s="8" t="n"/>
      <c r="B125" s="14" t="n"/>
      <c r="C125" s="137" t="n"/>
      <c r="D125" s="137" t="n"/>
      <c r="E125" s="137" t="n"/>
      <c r="F125" s="137" t="n"/>
      <c r="G125" s="137" t="n"/>
      <c r="I125" s="137" t="n"/>
      <c r="J125" s="137" t="n"/>
      <c r="K125" s="137" t="n"/>
      <c r="L125" s="137" t="n"/>
      <c r="M125" s="137" t="n"/>
      <c r="N125" s="137" t="n"/>
      <c r="O125" s="137" t="n"/>
      <c r="P125" s="137" t="n"/>
      <c r="Q125" s="137" t="n"/>
      <c r="R125" s="137" t="n"/>
      <c r="S125" s="137" t="n"/>
      <c r="T125" s="137" t="n"/>
      <c r="U125" s="137" t="n"/>
      <c r="V125" s="137" t="n"/>
      <c r="W125" s="137" t="n"/>
      <c r="X125" s="137" t="n"/>
      <c r="Y125" s="137" t="n"/>
      <c r="Z125" s="137"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37" t="n"/>
      <c r="AS125" s="137" t="n"/>
    </row>
    <row r="126" hidden="1" outlineLevel="2">
      <c r="A126" s="8" t="n"/>
      <c r="B126" s="14" t="n"/>
      <c r="C126" s="137" t="n"/>
      <c r="D126" s="137" t="n"/>
      <c r="E126" s="137" t="n"/>
      <c r="F126" s="137" t="n"/>
      <c r="G126" s="137" t="n"/>
      <c r="I126" s="56">
        <f>DADOS_INVOC!$PZ$8</f>
        <v/>
      </c>
      <c r="J126" s="16" t="n"/>
      <c r="K126" s="16" t="n"/>
      <c r="L126" s="16" t="n"/>
      <c r="M126" s="17" t="n"/>
      <c r="N126" s="137" t="n"/>
      <c r="O126" s="56">
        <f>DADOS_INVOC!$PZ$9</f>
        <v/>
      </c>
      <c r="P126" s="16" t="n"/>
      <c r="Q126" s="16" t="n"/>
      <c r="R126" s="16" t="n"/>
      <c r="S126" s="17" t="n"/>
      <c r="T126" s="137" t="n"/>
      <c r="U126" s="56">
        <f>DADOS_INVOC!$PZ$10</f>
        <v/>
      </c>
      <c r="V126" s="16" t="n"/>
      <c r="W126" s="16" t="n"/>
      <c r="X126" s="16" t="n"/>
      <c r="Y126" s="17" t="n"/>
      <c r="Z126" s="137" t="n"/>
      <c r="AB126" s="56">
        <f>DADOS_INVOC!$PZ$86</f>
        <v/>
      </c>
      <c r="AC126" s="16" t="n"/>
      <c r="AD126" s="16" t="n"/>
      <c r="AE126" s="16" t="n"/>
      <c r="AF126" s="17" t="n"/>
      <c r="AG126" s="137" t="n"/>
      <c r="AH126" s="56">
        <f>DADOS_INVOC!$PZ$87</f>
        <v/>
      </c>
      <c r="AI126" s="16" t="n"/>
      <c r="AJ126" s="16" t="n"/>
      <c r="AK126" s="16" t="n"/>
      <c r="AL126" s="17" t="n"/>
      <c r="AM126" s="137" t="n"/>
      <c r="AN126" s="56">
        <f>DADOS_INVOC!$PZ$88</f>
        <v/>
      </c>
      <c r="AO126" s="16" t="n"/>
      <c r="AP126" s="16" t="n"/>
      <c r="AQ126" s="16" t="n"/>
      <c r="AR126" s="17" t="n"/>
      <c r="AS126" s="137" t="n"/>
    </row>
    <row r="127" hidden="1" outlineLevel="2">
      <c r="A127" s="8" t="n"/>
      <c r="B127" s="14" t="n"/>
      <c r="C127" s="137" t="n"/>
      <c r="D127" s="137" t="n"/>
      <c r="E127" s="137" t="n"/>
      <c r="F127" s="137" t="n"/>
      <c r="G127" s="137" t="n"/>
      <c r="I127" s="141" t="n">
        <v>1</v>
      </c>
      <c r="J127" s="131" t="n"/>
      <c r="K127" s="16" t="n"/>
      <c r="L127" s="17" t="n"/>
      <c r="M127" s="142">
        <f>DADOS_INVOC!$PX$8</f>
        <v/>
      </c>
      <c r="N127" s="137" t="n"/>
      <c r="O127" s="141" t="n">
        <v>1</v>
      </c>
      <c r="P127" s="131" t="n"/>
      <c r="Q127" s="16" t="n"/>
      <c r="R127" s="17" t="n"/>
      <c r="S127" s="142">
        <f>DADOS_INVOC!$PX$9</f>
        <v/>
      </c>
      <c r="T127" s="137" t="n"/>
      <c r="U127" s="141" t="n">
        <v>1</v>
      </c>
      <c r="V127" s="131" t="n"/>
      <c r="W127" s="16" t="n"/>
      <c r="X127" s="17" t="n"/>
      <c r="Y127" s="142">
        <f>DADOS_INVOC!$PX$10</f>
        <v/>
      </c>
      <c r="Z127" s="137" t="n"/>
      <c r="AB127" s="141" t="n">
        <v>1</v>
      </c>
      <c r="AC127" s="131" t="n"/>
      <c r="AD127" s="16" t="n"/>
      <c r="AE127" s="17" t="n"/>
      <c r="AF127" s="142">
        <f>DADOS_INVOC!$PX$86</f>
        <v/>
      </c>
      <c r="AG127" s="137" t="n"/>
      <c r="AH127" s="141" t="n">
        <v>1</v>
      </c>
      <c r="AI127" s="131" t="n"/>
      <c r="AJ127" s="16" t="n"/>
      <c r="AK127" s="17" t="n"/>
      <c r="AL127" s="142">
        <f>DADOS_INVOC!$PX$87</f>
        <v/>
      </c>
      <c r="AM127" s="137" t="n"/>
      <c r="AN127" s="141" t="n">
        <v>1</v>
      </c>
      <c r="AO127" s="131" t="n"/>
      <c r="AP127" s="16" t="n"/>
      <c r="AQ127" s="17" t="n"/>
      <c r="AR127" s="142">
        <f>DADOS_INVOC!$PX$88</f>
        <v/>
      </c>
      <c r="AS127" s="137" t="n"/>
    </row>
    <row r="128" hidden="1" outlineLevel="3">
      <c r="A128" s="8" t="n"/>
      <c r="B128" s="14" t="n"/>
      <c r="C128" s="137" t="n"/>
      <c r="D128" s="137" t="n"/>
      <c r="E128" s="137" t="n"/>
      <c r="F128" s="137" t="n"/>
      <c r="G128" s="137" t="n"/>
      <c r="I128" s="56" t="inlineStr">
        <is>
          <t>COMO É</t>
        </is>
      </c>
      <c r="J128" s="16" t="n"/>
      <c r="K128" s="16" t="n"/>
      <c r="L128" s="16" t="n"/>
      <c r="M128" s="17" t="n"/>
      <c r="N128" s="137" t="n"/>
      <c r="O128" s="56" t="inlineStr">
        <is>
          <t>COMO É</t>
        </is>
      </c>
      <c r="P128" s="16" t="n"/>
      <c r="Q128" s="16" t="n"/>
      <c r="R128" s="16" t="n"/>
      <c r="S128" s="17" t="n"/>
      <c r="T128" s="137" t="n"/>
      <c r="U128" s="56" t="inlineStr">
        <is>
          <t>COMO É</t>
        </is>
      </c>
      <c r="V128" s="16" t="n"/>
      <c r="W128" s="16" t="n"/>
      <c r="X128" s="16" t="n"/>
      <c r="Y128" s="17" t="n"/>
      <c r="Z128" s="137" t="n"/>
      <c r="AB128" s="56" t="inlineStr">
        <is>
          <t>COMO É</t>
        </is>
      </c>
      <c r="AC128" s="16" t="n"/>
      <c r="AD128" s="16" t="n"/>
      <c r="AE128" s="16" t="n"/>
      <c r="AF128" s="17" t="n"/>
      <c r="AG128" s="137" t="n"/>
      <c r="AH128" s="56" t="inlineStr">
        <is>
          <t>COMO É</t>
        </is>
      </c>
      <c r="AI128" s="16" t="n"/>
      <c r="AJ128" s="16" t="n"/>
      <c r="AK128" s="16" t="n"/>
      <c r="AL128" s="17" t="n"/>
      <c r="AM128" s="137" t="n"/>
      <c r="AN128" s="56" t="inlineStr">
        <is>
          <t>COMO É</t>
        </is>
      </c>
      <c r="AO128" s="16" t="n"/>
      <c r="AP128" s="16" t="n"/>
      <c r="AQ128" s="16" t="n"/>
      <c r="AR128" s="17" t="n"/>
      <c r="AS128" s="137" t="n"/>
    </row>
    <row r="129" hidden="1" outlineLevel="3">
      <c r="A129" s="8" t="n"/>
      <c r="B129" s="14" t="n"/>
      <c r="C129" s="137" t="n"/>
      <c r="D129" s="137" t="n"/>
      <c r="E129" s="137" t="n"/>
      <c r="F129" s="137" t="n"/>
      <c r="G129" s="137" t="n"/>
      <c r="I129" s="61" t="n"/>
      <c r="J129" s="19" t="n"/>
      <c r="K129" s="19" t="n"/>
      <c r="L129" s="19" t="n"/>
      <c r="M129" s="20" t="n"/>
      <c r="N129" s="137" t="n"/>
      <c r="O129" s="61" t="n"/>
      <c r="P129" s="19" t="n"/>
      <c r="Q129" s="19" t="n"/>
      <c r="R129" s="19" t="n"/>
      <c r="S129" s="20" t="n"/>
      <c r="T129" s="137" t="n"/>
      <c r="U129" s="61" t="n"/>
      <c r="V129" s="19" t="n"/>
      <c r="W129" s="19" t="n"/>
      <c r="X129" s="19" t="n"/>
      <c r="Y129" s="20" t="n"/>
      <c r="Z129" s="137" t="n"/>
      <c r="AB129" s="61" t="n"/>
      <c r="AC129" s="19" t="n"/>
      <c r="AD129" s="19" t="n"/>
      <c r="AE129" s="19" t="n"/>
      <c r="AF129" s="20" t="n"/>
      <c r="AG129" s="137" t="n"/>
      <c r="AH129" s="61" t="n"/>
      <c r="AI129" s="19" t="n"/>
      <c r="AJ129" s="19" t="n"/>
      <c r="AK129" s="19" t="n"/>
      <c r="AL129" s="20" t="n"/>
      <c r="AM129" s="137" t="n"/>
      <c r="AN129" s="61" t="n"/>
      <c r="AO129" s="19" t="n"/>
      <c r="AP129" s="19" t="n"/>
      <c r="AQ129" s="19" t="n"/>
      <c r="AR129" s="20" t="n"/>
      <c r="AS129" s="137" t="n"/>
    </row>
    <row r="130" hidden="1" outlineLevel="3">
      <c r="A130" s="8" t="n"/>
      <c r="B130" s="14" t="n"/>
      <c r="C130" s="137" t="n"/>
      <c r="D130" s="137" t="n"/>
      <c r="E130" s="137" t="n"/>
      <c r="F130" s="137" t="n"/>
      <c r="G130" s="137" t="n"/>
      <c r="I130" s="21" t="n"/>
      <c r="M130" s="22" t="n"/>
      <c r="N130" s="137" t="n"/>
      <c r="O130" s="21" t="n"/>
      <c r="S130" s="22" t="n"/>
      <c r="T130" s="137" t="n"/>
      <c r="U130" s="21" t="n"/>
      <c r="Y130" s="22" t="n"/>
      <c r="Z130" s="137" t="n"/>
      <c r="AB130" s="21" t="n"/>
      <c r="AF130" s="22" t="n"/>
      <c r="AG130" s="137" t="n"/>
      <c r="AH130" s="21" t="n"/>
      <c r="AL130" s="22" t="n"/>
      <c r="AM130" s="137" t="n"/>
      <c r="AN130" s="21" t="n"/>
      <c r="AR130" s="22" t="n"/>
      <c r="AS130" s="137" t="n"/>
    </row>
    <row r="131" hidden="1" outlineLevel="3">
      <c r="A131" s="8" t="n"/>
      <c r="B131" s="14" t="n"/>
      <c r="C131" s="137" t="n"/>
      <c r="D131" s="137" t="n"/>
      <c r="E131" s="137" t="n"/>
      <c r="F131" s="137" t="n"/>
      <c r="G131" s="137" t="n"/>
      <c r="I131" s="23" t="n"/>
      <c r="J131" s="24" t="n"/>
      <c r="K131" s="24" t="n"/>
      <c r="L131" s="24" t="n"/>
      <c r="M131" s="25" t="n"/>
      <c r="N131" s="137" t="n"/>
      <c r="O131" s="23" t="n"/>
      <c r="P131" s="24" t="n"/>
      <c r="Q131" s="24" t="n"/>
      <c r="R131" s="24" t="n"/>
      <c r="S131" s="25" t="n"/>
      <c r="T131" s="137" t="n"/>
      <c r="U131" s="23" t="n"/>
      <c r="V131" s="24" t="n"/>
      <c r="W131" s="24" t="n"/>
      <c r="X131" s="24" t="n"/>
      <c r="Y131" s="25" t="n"/>
      <c r="Z131" s="137" t="n"/>
      <c r="AB131" s="23" t="n"/>
      <c r="AC131" s="24" t="n"/>
      <c r="AD131" s="24" t="n"/>
      <c r="AE131" s="24" t="n"/>
      <c r="AF131" s="25" t="n"/>
      <c r="AG131" s="137" t="n"/>
      <c r="AH131" s="23" t="n"/>
      <c r="AI131" s="24" t="n"/>
      <c r="AJ131" s="24" t="n"/>
      <c r="AK131" s="24" t="n"/>
      <c r="AL131" s="25" t="n"/>
      <c r="AM131" s="137" t="n"/>
      <c r="AN131" s="23" t="n"/>
      <c r="AO131" s="24" t="n"/>
      <c r="AP131" s="24" t="n"/>
      <c r="AQ131" s="24" t="n"/>
      <c r="AR131" s="25" t="n"/>
      <c r="AS131" s="137" t="n"/>
    </row>
    <row r="132" hidden="1" outlineLevel="2">
      <c r="A132" s="8" t="n"/>
      <c r="B132" s="14" t="n"/>
      <c r="C132" s="137" t="n"/>
      <c r="D132" s="137" t="n"/>
      <c r="E132" s="137" t="n"/>
      <c r="F132" s="137" t="n"/>
      <c r="G132" s="137" t="n"/>
      <c r="I132" s="95" t="inlineStr">
        <is>
          <t>Projétil</t>
        </is>
      </c>
      <c r="J132" s="17" t="n"/>
      <c r="K132" s="71">
        <f>DADOS_INVOC!$QE$8</f>
        <v/>
      </c>
      <c r="L132" s="17" t="n"/>
      <c r="M132" s="71">
        <f>DADOS_INVOC!$QA$8</f>
        <v/>
      </c>
      <c r="N132" s="137" t="n"/>
      <c r="O132" s="95" t="inlineStr">
        <is>
          <t>Projétil</t>
        </is>
      </c>
      <c r="P132" s="17" t="n"/>
      <c r="Q132" s="71">
        <f>DADOS_INVOC!$QE$9</f>
        <v/>
      </c>
      <c r="R132" s="17" t="n"/>
      <c r="S132" s="71">
        <f>DADOS_INVOC!$QA$9</f>
        <v/>
      </c>
      <c r="T132" s="137" t="n"/>
      <c r="U132" s="95" t="inlineStr">
        <is>
          <t>Projétil</t>
        </is>
      </c>
      <c r="V132" s="17" t="n"/>
      <c r="W132" s="71">
        <f>DADOS_INVOC!$QE$10</f>
        <v/>
      </c>
      <c r="X132" s="17" t="n"/>
      <c r="Y132" s="71">
        <f>DADOS_INVOC!$QA$10</f>
        <v/>
      </c>
      <c r="Z132" s="137" t="n"/>
      <c r="AB132" s="95" t="inlineStr">
        <is>
          <t>Projétil</t>
        </is>
      </c>
      <c r="AC132" s="17" t="n"/>
      <c r="AD132" s="71">
        <f>DADOS_INVOC!$QE$86</f>
        <v/>
      </c>
      <c r="AE132" s="17" t="n"/>
      <c r="AF132" s="71">
        <f>DADOS_INVOC!$QA$86</f>
        <v/>
      </c>
      <c r="AG132" s="137" t="n"/>
      <c r="AH132" s="95" t="inlineStr">
        <is>
          <t>Projétil</t>
        </is>
      </c>
      <c r="AI132" s="17" t="n"/>
      <c r="AJ132" s="71">
        <f>DADOS_INVOC!$QE$87</f>
        <v/>
      </c>
      <c r="AK132" s="17" t="n"/>
      <c r="AL132" s="71">
        <f>DADOS_INVOC!$QA$87</f>
        <v/>
      </c>
      <c r="AM132" s="137" t="n"/>
      <c r="AN132" s="95" t="inlineStr">
        <is>
          <t>Projétil</t>
        </is>
      </c>
      <c r="AO132" s="17" t="n"/>
      <c r="AP132" s="71">
        <f>DADOS_INVOC!$QE$88</f>
        <v/>
      </c>
      <c r="AQ132" s="17" t="n"/>
      <c r="AR132" s="71">
        <f>DADOS_INVOC!$QA$88</f>
        <v/>
      </c>
      <c r="AS132" s="137" t="n"/>
    </row>
    <row r="133" hidden="1" outlineLevel="2">
      <c r="A133" s="8" t="n"/>
      <c r="B133" s="14" t="n"/>
      <c r="C133" s="137" t="n"/>
      <c r="D133" s="137" t="n"/>
      <c r="E133" s="137" t="n"/>
      <c r="F133" s="137" t="n"/>
      <c r="G133" s="137" t="n"/>
      <c r="I133" s="95" t="n"/>
      <c r="J133" s="17" t="n"/>
      <c r="K133" s="95" t="n"/>
      <c r="L133" s="16" t="n"/>
      <c r="M133" s="17" t="n"/>
      <c r="N133" s="137" t="n"/>
      <c r="O133" s="95" t="n"/>
      <c r="P133" s="17" t="n"/>
      <c r="Q133" s="95" t="n"/>
      <c r="R133" s="16" t="n"/>
      <c r="S133" s="17" t="n"/>
      <c r="T133" s="137" t="n"/>
      <c r="U133" s="95" t="n"/>
      <c r="V133" s="17" t="n"/>
      <c r="W133" s="95" t="n"/>
      <c r="X133" s="16" t="n"/>
      <c r="Y133" s="17" t="n"/>
      <c r="Z133" s="137" t="n"/>
      <c r="AB133" s="95" t="n"/>
      <c r="AC133" s="17" t="n"/>
      <c r="AD133" s="95" t="n"/>
      <c r="AE133" s="16" t="n"/>
      <c r="AF133" s="17" t="n"/>
      <c r="AG133" s="137" t="n"/>
      <c r="AH133" s="95" t="n"/>
      <c r="AI133" s="17" t="n"/>
      <c r="AJ133" s="95" t="n"/>
      <c r="AK133" s="16" t="n"/>
      <c r="AL133" s="17" t="n"/>
      <c r="AM133" s="137" t="n"/>
      <c r="AN133" s="95" t="n"/>
      <c r="AO133" s="17" t="n"/>
      <c r="AP133" s="95" t="n"/>
      <c r="AQ133" s="16" t="n"/>
      <c r="AR133" s="17" t="n"/>
      <c r="AS133" s="137" t="n"/>
    </row>
    <row r="134" hidden="1" outlineLevel="2">
      <c r="A134" s="8" t="n"/>
      <c r="B134" s="14" t="n"/>
      <c r="C134" s="137" t="n"/>
      <c r="D134" s="137" t="n"/>
      <c r="E134" s="137" t="n"/>
      <c r="F134" s="137" t="n"/>
      <c r="G134" s="137" t="n"/>
      <c r="I134" s="95">
        <f>DADOS_INVOC!$QB$8</f>
        <v/>
      </c>
      <c r="J134" s="17" t="n"/>
      <c r="K134" s="95">
        <f>DADOS_INVOC!$QD$8</f>
        <v/>
      </c>
      <c r="L134" s="16" t="n"/>
      <c r="M134" s="17" t="n"/>
      <c r="N134" s="137" t="n"/>
      <c r="O134" s="95">
        <f>DADOS_INVOC!$QB$9</f>
        <v/>
      </c>
      <c r="P134" s="17" t="n"/>
      <c r="Q134" s="95">
        <f>DADOS_INVOC!$QD$9</f>
        <v/>
      </c>
      <c r="R134" s="16" t="n"/>
      <c r="S134" s="17" t="n"/>
      <c r="T134" s="137" t="n"/>
      <c r="U134" s="95">
        <f>DADOS_INVOC!$QB$10</f>
        <v/>
      </c>
      <c r="V134" s="17" t="n"/>
      <c r="W134" s="95">
        <f>DADOS_INVOC!$QD$10</f>
        <v/>
      </c>
      <c r="X134" s="16" t="n"/>
      <c r="Y134" s="17" t="n"/>
      <c r="Z134" s="137" t="n"/>
      <c r="AB134" s="95">
        <f>DADOS_INVOC!$QB$86</f>
        <v/>
      </c>
      <c r="AC134" s="17" t="n"/>
      <c r="AD134" s="95">
        <f>DADOS_INVOC!$QD$86</f>
        <v/>
      </c>
      <c r="AE134" s="16" t="n"/>
      <c r="AF134" s="17" t="n"/>
      <c r="AG134" s="137" t="n"/>
      <c r="AH134" s="95">
        <f>DADOS_INVOC!$QB$87</f>
        <v/>
      </c>
      <c r="AI134" s="17" t="n"/>
      <c r="AJ134" s="95">
        <f>DADOS_INVOC!$QD$87</f>
        <v/>
      </c>
      <c r="AK134" s="16" t="n"/>
      <c r="AL134" s="17" t="n"/>
      <c r="AM134" s="137" t="n"/>
      <c r="AN134" s="95">
        <f>DADOS_INVOC!$QB$88</f>
        <v/>
      </c>
      <c r="AO134" s="17" t="n"/>
      <c r="AP134" s="95">
        <f>DADOS_INVOC!$QD$88</f>
        <v/>
      </c>
      <c r="AQ134" s="16" t="n"/>
      <c r="AR134" s="17" t="n"/>
      <c r="AS134" s="137" t="n"/>
    </row>
    <row r="135" hidden="1" outlineLevel="2">
      <c r="A135" s="8" t="n"/>
      <c r="B135" s="14" t="n"/>
      <c r="C135" s="137" t="n"/>
      <c r="D135" s="137" t="n"/>
      <c r="E135" s="137" t="n"/>
      <c r="F135" s="137" t="n"/>
      <c r="G135" s="137" t="n"/>
      <c r="I135" s="143">
        <f>DADOS_INVOC!$QJ$8</f>
        <v/>
      </c>
      <c r="J135" s="16" t="n"/>
      <c r="K135" s="16" t="n"/>
      <c r="L135" s="16" t="n"/>
      <c r="M135" s="17" t="n"/>
      <c r="N135" s="137" t="n"/>
      <c r="O135" s="143">
        <f>DADOS_INVOC!$QJ$9</f>
        <v/>
      </c>
      <c r="P135" s="16" t="n"/>
      <c r="Q135" s="16" t="n"/>
      <c r="R135" s="16" t="n"/>
      <c r="S135" s="17" t="n"/>
      <c r="T135" s="137" t="n"/>
      <c r="U135" s="143">
        <f>DADOS_INVOC!$QJ$10</f>
        <v/>
      </c>
      <c r="V135" s="16" t="n"/>
      <c r="W135" s="16" t="n"/>
      <c r="X135" s="16" t="n"/>
      <c r="Y135" s="17" t="n"/>
      <c r="Z135" s="137" t="n"/>
      <c r="AB135" s="143">
        <f>DADOS_INVOC!$QJ$86</f>
        <v/>
      </c>
      <c r="AC135" s="16" t="n"/>
      <c r="AD135" s="16" t="n"/>
      <c r="AE135" s="16" t="n"/>
      <c r="AF135" s="17" t="n"/>
      <c r="AG135" s="137" t="n"/>
      <c r="AH135" s="143">
        <f>DADOS_INVOC!$QJ$87</f>
        <v/>
      </c>
      <c r="AI135" s="16" t="n"/>
      <c r="AJ135" s="16" t="n"/>
      <c r="AK135" s="16" t="n"/>
      <c r="AL135" s="17" t="n"/>
      <c r="AM135" s="137" t="n"/>
      <c r="AN135" s="143">
        <f>DADOS_INVOC!$QJ$88</f>
        <v/>
      </c>
      <c r="AO135" s="16" t="n"/>
      <c r="AP135" s="16" t="n"/>
      <c r="AQ135" s="16" t="n"/>
      <c r="AR135" s="17" t="n"/>
      <c r="AS135" s="137" t="n"/>
    </row>
    <row r="136" hidden="1" outlineLevel="3">
      <c r="A136" s="8" t="n"/>
      <c r="B136" s="14" t="n"/>
      <c r="C136" s="137" t="n"/>
      <c r="D136" s="137" t="n"/>
      <c r="E136" s="137" t="n"/>
      <c r="F136" s="137" t="n"/>
      <c r="G136" s="137" t="n"/>
      <c r="I136" s="56" t="inlineStr">
        <is>
          <t>MELHORIAS</t>
        </is>
      </c>
      <c r="J136" s="144" t="n"/>
      <c r="K136" s="16" t="n"/>
      <c r="L136" s="17" t="n"/>
      <c r="M136" s="143">
        <f>DADOS_INVOC!$QM$8</f>
        <v/>
      </c>
      <c r="N136" s="137" t="n"/>
      <c r="O136" s="56" t="inlineStr">
        <is>
          <t>MELHORIAS</t>
        </is>
      </c>
      <c r="P136" s="144" t="n"/>
      <c r="Q136" s="16" t="n"/>
      <c r="R136" s="17" t="n"/>
      <c r="S136" s="143">
        <f>DADOS_INVOC!$QM$9</f>
        <v/>
      </c>
      <c r="T136" s="137" t="n"/>
      <c r="U136" s="56" t="inlineStr">
        <is>
          <t>MELHORIAS</t>
        </is>
      </c>
      <c r="V136" s="144" t="n"/>
      <c r="W136" s="16" t="n"/>
      <c r="X136" s="17" t="n"/>
      <c r="Y136" s="143">
        <f>DADOS_INVOC!$QM$10</f>
        <v/>
      </c>
      <c r="Z136" s="137" t="n"/>
      <c r="AB136" s="56" t="inlineStr">
        <is>
          <t>MELHORIAS</t>
        </is>
      </c>
      <c r="AC136" s="144" t="n"/>
      <c r="AD136" s="16" t="n"/>
      <c r="AE136" s="17" t="n"/>
      <c r="AF136" s="143">
        <f>DADOS_INVOC!$QM$86</f>
        <v/>
      </c>
      <c r="AG136" s="137" t="n"/>
      <c r="AH136" s="56" t="inlineStr">
        <is>
          <t>MELHORIAS</t>
        </is>
      </c>
      <c r="AI136" s="144" t="n"/>
      <c r="AJ136" s="16" t="n"/>
      <c r="AK136" s="17" t="n"/>
      <c r="AL136" s="143">
        <f>DADOS_INVOC!$QM$87</f>
        <v/>
      </c>
      <c r="AM136" s="137" t="n"/>
      <c r="AN136" s="56" t="inlineStr">
        <is>
          <t>MELHORIAS</t>
        </is>
      </c>
      <c r="AO136" s="144" t="n"/>
      <c r="AP136" s="16" t="n"/>
      <c r="AQ136" s="17" t="n"/>
      <c r="AR136" s="143">
        <f>DADOS_INVOC!$QM$88</f>
        <v/>
      </c>
      <c r="AS136" s="137" t="n"/>
    </row>
    <row r="137" hidden="1" outlineLevel="3">
      <c r="A137" s="8" t="n"/>
      <c r="B137" s="14" t="n"/>
      <c r="C137" s="137" t="n"/>
      <c r="D137" s="137" t="n"/>
      <c r="E137" s="137" t="n"/>
      <c r="F137" s="137" t="n"/>
      <c r="G137" s="137" t="n"/>
      <c r="I137" s="66" t="n"/>
      <c r="J137" s="144" t="n"/>
      <c r="K137" s="16" t="n"/>
      <c r="L137" s="17" t="n"/>
      <c r="M137" s="143">
        <f>DADOS_INVOC!$QN$8</f>
        <v/>
      </c>
      <c r="N137" s="137" t="n"/>
      <c r="O137" s="66" t="n"/>
      <c r="P137" s="144" t="n"/>
      <c r="Q137" s="16" t="n"/>
      <c r="R137" s="17" t="n"/>
      <c r="S137" s="143">
        <f>DADOS_INVOC!$QN$9</f>
        <v/>
      </c>
      <c r="T137" s="137" t="n"/>
      <c r="U137" s="66" t="n"/>
      <c r="V137" s="144" t="n"/>
      <c r="W137" s="16" t="n"/>
      <c r="X137" s="17" t="n"/>
      <c r="Y137" s="143">
        <f>DADOS_INVOC!$QN$10</f>
        <v/>
      </c>
      <c r="Z137" s="137" t="n"/>
      <c r="AB137" s="66" t="n"/>
      <c r="AC137" s="144" t="n"/>
      <c r="AD137" s="16" t="n"/>
      <c r="AE137" s="17" t="n"/>
      <c r="AF137" s="143">
        <f>DADOS_INVOC!$QN$86</f>
        <v/>
      </c>
      <c r="AG137" s="137" t="n"/>
      <c r="AH137" s="66" t="n"/>
      <c r="AI137" s="144" t="n"/>
      <c r="AJ137" s="16" t="n"/>
      <c r="AK137" s="17" t="n"/>
      <c r="AL137" s="143">
        <f>DADOS_INVOC!$QN$87</f>
        <v/>
      </c>
      <c r="AM137" s="137" t="n"/>
      <c r="AN137" s="66" t="n"/>
      <c r="AO137" s="144" t="n"/>
      <c r="AP137" s="16" t="n"/>
      <c r="AQ137" s="17" t="n"/>
      <c r="AR137" s="143">
        <f>DADOS_INVOC!$QN$88</f>
        <v/>
      </c>
      <c r="AS137" s="137" t="n"/>
    </row>
    <row r="138" hidden="1" outlineLevel="3">
      <c r="A138" s="8" t="n"/>
      <c r="B138" s="14" t="n"/>
      <c r="C138" s="137" t="n"/>
      <c r="D138" s="137" t="n"/>
      <c r="E138" s="137" t="n"/>
      <c r="F138" s="137" t="n"/>
      <c r="G138" s="137" t="n"/>
      <c r="I138" s="66" t="n"/>
      <c r="J138" s="144" t="n"/>
      <c r="K138" s="16" t="n"/>
      <c r="L138" s="17" t="n"/>
      <c r="M138" s="143">
        <f>DADOS_INVOC!$QO$8</f>
        <v/>
      </c>
      <c r="N138" s="137" t="n"/>
      <c r="O138" s="66" t="n"/>
      <c r="P138" s="144" t="n"/>
      <c r="Q138" s="16" t="n"/>
      <c r="R138" s="17" t="n"/>
      <c r="S138" s="143">
        <f>DADOS_INVOC!$QO$9</f>
        <v/>
      </c>
      <c r="T138" s="137" t="n"/>
      <c r="U138" s="66" t="n"/>
      <c r="V138" s="144" t="n"/>
      <c r="W138" s="16" t="n"/>
      <c r="X138" s="17" t="n"/>
      <c r="Y138" s="143">
        <f>DADOS_INVOC!$QO$10</f>
        <v/>
      </c>
      <c r="Z138" s="137" t="n"/>
      <c r="AB138" s="66" t="n"/>
      <c r="AC138" s="144" t="n"/>
      <c r="AD138" s="16" t="n"/>
      <c r="AE138" s="17" t="n"/>
      <c r="AF138" s="143">
        <f>DADOS_INVOC!$QO$86</f>
        <v/>
      </c>
      <c r="AG138" s="137" t="n"/>
      <c r="AH138" s="66" t="n"/>
      <c r="AI138" s="144" t="n"/>
      <c r="AJ138" s="16" t="n"/>
      <c r="AK138" s="17" t="n"/>
      <c r="AL138" s="143">
        <f>DADOS_INVOC!$QO$87</f>
        <v/>
      </c>
      <c r="AM138" s="137" t="n"/>
      <c r="AN138" s="66" t="n"/>
      <c r="AO138" s="144" t="n"/>
      <c r="AP138" s="16" t="n"/>
      <c r="AQ138" s="17" t="n"/>
      <c r="AR138" s="143">
        <f>DADOS_INVOC!$QO$88</f>
        <v/>
      </c>
      <c r="AS138" s="137" t="n"/>
    </row>
    <row r="139" hidden="1" outlineLevel="3">
      <c r="A139" s="8" t="n"/>
      <c r="B139" s="14" t="n"/>
      <c r="C139" s="137" t="n"/>
      <c r="D139" s="137" t="n"/>
      <c r="E139" s="137" t="n"/>
      <c r="F139" s="137" t="n"/>
      <c r="G139" s="137" t="n"/>
      <c r="I139" s="128" t="n"/>
      <c r="J139" s="144" t="n"/>
      <c r="K139" s="16" t="n"/>
      <c r="L139" s="17" t="n"/>
      <c r="M139" s="143">
        <f>DADOS_INVOC!$QP$8</f>
        <v/>
      </c>
      <c r="N139" s="137" t="n"/>
      <c r="O139" s="128" t="n"/>
      <c r="P139" s="144" t="n"/>
      <c r="Q139" s="16" t="n"/>
      <c r="R139" s="17" t="n"/>
      <c r="S139" s="143">
        <f>DADOS_INVOC!$QP$9</f>
        <v/>
      </c>
      <c r="T139" s="137" t="n"/>
      <c r="U139" s="128" t="n"/>
      <c r="V139" s="144" t="n"/>
      <c r="W139" s="16" t="n"/>
      <c r="X139" s="17" t="n"/>
      <c r="Y139" s="143">
        <f>DADOS_INVOC!$QP$10</f>
        <v/>
      </c>
      <c r="Z139" s="137" t="n"/>
      <c r="AB139" s="128" t="n"/>
      <c r="AC139" s="144" t="n"/>
      <c r="AD139" s="16" t="n"/>
      <c r="AE139" s="17" t="n"/>
      <c r="AF139" s="143">
        <f>DADOS_INVOC!$QP$86</f>
        <v/>
      </c>
      <c r="AG139" s="137" t="n"/>
      <c r="AH139" s="128" t="n"/>
      <c r="AI139" s="144" t="n"/>
      <c r="AJ139" s="16" t="n"/>
      <c r="AK139" s="17" t="n"/>
      <c r="AL139" s="143">
        <f>DADOS_INVOC!$QP$87</f>
        <v/>
      </c>
      <c r="AM139" s="137" t="n"/>
      <c r="AN139" s="128" t="n"/>
      <c r="AO139" s="144" t="n"/>
      <c r="AP139" s="16" t="n"/>
      <c r="AQ139" s="17" t="n"/>
      <c r="AR139" s="143">
        <f>DADOS_INVOC!$QP$88</f>
        <v/>
      </c>
      <c r="AS139" s="137" t="n"/>
    </row>
    <row r="140" hidden="1" outlineLevel="3">
      <c r="A140" s="8" t="n"/>
      <c r="B140" s="14" t="n"/>
      <c r="C140" s="137" t="n"/>
      <c r="D140" s="137" t="n"/>
      <c r="E140" s="137" t="n"/>
      <c r="F140" s="137" t="n"/>
      <c r="G140" s="137" t="n"/>
      <c r="I140" s="56" t="inlineStr">
        <is>
          <t>RESTRIÇÕES</t>
        </is>
      </c>
      <c r="J140" s="144" t="n"/>
      <c r="K140" s="16" t="n"/>
      <c r="L140" s="17" t="n"/>
      <c r="M140" s="143">
        <f>DADOS_INVOC!$QQ$8</f>
        <v/>
      </c>
      <c r="N140" s="137" t="n"/>
      <c r="O140" s="56" t="inlineStr">
        <is>
          <t>RESTRIÇÕES</t>
        </is>
      </c>
      <c r="P140" s="144" t="n"/>
      <c r="Q140" s="16" t="n"/>
      <c r="R140" s="17" t="n"/>
      <c r="S140" s="143">
        <f>DADOS_INVOC!$QQ$9</f>
        <v/>
      </c>
      <c r="T140" s="137" t="n"/>
      <c r="U140" s="56" t="inlineStr">
        <is>
          <t>RESTRIÇÕES</t>
        </is>
      </c>
      <c r="V140" s="144" t="n"/>
      <c r="W140" s="16" t="n"/>
      <c r="X140" s="17" t="n"/>
      <c r="Y140" s="143">
        <f>DADOS_INVOC!$QQ$10</f>
        <v/>
      </c>
      <c r="Z140" s="137" t="n"/>
      <c r="AB140" s="56" t="inlineStr">
        <is>
          <t>RESTRIÇÕES</t>
        </is>
      </c>
      <c r="AC140" s="144" t="n"/>
      <c r="AD140" s="16" t="n"/>
      <c r="AE140" s="17" t="n"/>
      <c r="AF140" s="143">
        <f>DADOS_INVOC!$QQ$86</f>
        <v/>
      </c>
      <c r="AG140" s="137" t="n"/>
      <c r="AH140" s="56" t="inlineStr">
        <is>
          <t>RESTRIÇÕES</t>
        </is>
      </c>
      <c r="AI140" s="144" t="n"/>
      <c r="AJ140" s="16" t="n"/>
      <c r="AK140" s="17" t="n"/>
      <c r="AL140" s="143">
        <f>DADOS_INVOC!$QQ$87</f>
        <v/>
      </c>
      <c r="AM140" s="137" t="n"/>
      <c r="AN140" s="56" t="inlineStr">
        <is>
          <t>RESTRIÇÕES</t>
        </is>
      </c>
      <c r="AO140" s="144" t="n"/>
      <c r="AP140" s="16" t="n"/>
      <c r="AQ140" s="17" t="n"/>
      <c r="AR140" s="143">
        <f>DADOS_INVOC!$QQ$88</f>
        <v/>
      </c>
      <c r="AS140" s="137" t="n"/>
    </row>
    <row r="141" hidden="1" outlineLevel="3">
      <c r="A141" s="8" t="n"/>
      <c r="B141" s="14" t="n"/>
      <c r="C141" s="137" t="n"/>
      <c r="D141" s="137" t="n"/>
      <c r="E141" s="137" t="n"/>
      <c r="F141" s="137" t="n"/>
      <c r="G141" s="137" t="n"/>
      <c r="I141" s="128" t="n"/>
      <c r="J141" s="144" t="n"/>
      <c r="K141" s="16" t="n"/>
      <c r="L141" s="17" t="n"/>
      <c r="M141" s="143">
        <f>DADOS_INVOC!$QR$8</f>
        <v/>
      </c>
      <c r="N141" s="137" t="n"/>
      <c r="O141" s="128" t="n"/>
      <c r="P141" s="144" t="n"/>
      <c r="Q141" s="16" t="n"/>
      <c r="R141" s="17" t="n"/>
      <c r="S141" s="143">
        <f>DADOS_INVOC!$QR$9</f>
        <v/>
      </c>
      <c r="T141" s="137" t="n"/>
      <c r="U141" s="128" t="n"/>
      <c r="V141" s="144" t="n"/>
      <c r="W141" s="16" t="n"/>
      <c r="X141" s="17" t="n"/>
      <c r="Y141" s="143">
        <f>DADOS_INVOC!$QR$10</f>
        <v/>
      </c>
      <c r="Z141" s="137" t="n"/>
      <c r="AB141" s="128" t="n"/>
      <c r="AC141" s="144" t="n"/>
      <c r="AD141" s="16" t="n"/>
      <c r="AE141" s="17" t="n"/>
      <c r="AF141" s="143">
        <f>DADOS_INVOC!$QR$86</f>
        <v/>
      </c>
      <c r="AG141" s="137" t="n"/>
      <c r="AH141" s="128" t="n"/>
      <c r="AI141" s="144" t="n"/>
      <c r="AJ141" s="16" t="n"/>
      <c r="AK141" s="17" t="n"/>
      <c r="AL141" s="143">
        <f>DADOS_INVOC!$QR$87</f>
        <v/>
      </c>
      <c r="AM141" s="137" t="n"/>
      <c r="AN141" s="128" t="n"/>
      <c r="AO141" s="144" t="n"/>
      <c r="AP141" s="16" t="n"/>
      <c r="AQ141" s="17" t="n"/>
      <c r="AR141" s="143">
        <f>DADOS_INVOC!$QR$88</f>
        <v/>
      </c>
      <c r="AS141" s="137" t="n"/>
    </row>
    <row r="142" hidden="1" outlineLevel="3">
      <c r="A142" s="8" t="n"/>
      <c r="B142" s="14" t="n"/>
      <c r="C142" s="137" t="n"/>
      <c r="D142" s="137" t="n"/>
      <c r="E142" s="137" t="n"/>
      <c r="F142" s="137" t="n"/>
      <c r="G142" s="137" t="n"/>
      <c r="I142" s="56" t="inlineStr">
        <is>
          <t>CONTA</t>
        </is>
      </c>
      <c r="J142" s="145">
        <f>DADOS_INVOC!$QK$8</f>
        <v/>
      </c>
      <c r="K142" s="16" t="n"/>
      <c r="L142" s="16" t="n"/>
      <c r="M142" s="17" t="n"/>
      <c r="N142" s="137" t="n"/>
      <c r="O142" s="56" t="inlineStr">
        <is>
          <t>CONTA</t>
        </is>
      </c>
      <c r="P142" s="145">
        <f>DADOS_INVOC!$QK$9</f>
        <v/>
      </c>
      <c r="Q142" s="16" t="n"/>
      <c r="R142" s="16" t="n"/>
      <c r="S142" s="17" t="n"/>
      <c r="T142" s="137" t="n"/>
      <c r="U142" s="56" t="inlineStr">
        <is>
          <t>CONTA</t>
        </is>
      </c>
      <c r="V142" s="145">
        <f>DADOS_INVOC!$QK$10</f>
        <v/>
      </c>
      <c r="W142" s="16" t="n"/>
      <c r="X142" s="16" t="n"/>
      <c r="Y142" s="17" t="n"/>
      <c r="Z142" s="137" t="n"/>
      <c r="AB142" s="56" t="inlineStr">
        <is>
          <t>CONTA</t>
        </is>
      </c>
      <c r="AC142" s="145">
        <f>DADOS_INVOC!$QK$86</f>
        <v/>
      </c>
      <c r="AD142" s="16" t="n"/>
      <c r="AE142" s="16" t="n"/>
      <c r="AF142" s="17" t="n"/>
      <c r="AG142" s="137" t="n"/>
      <c r="AH142" s="56" t="inlineStr">
        <is>
          <t>CONTA</t>
        </is>
      </c>
      <c r="AI142" s="145">
        <f>DADOS_INVOC!$QK$87</f>
        <v/>
      </c>
      <c r="AJ142" s="16" t="n"/>
      <c r="AK142" s="16" t="n"/>
      <c r="AL142" s="17" t="n"/>
      <c r="AM142" s="137" t="n"/>
      <c r="AN142" s="56" t="inlineStr">
        <is>
          <t>CONTA</t>
        </is>
      </c>
      <c r="AO142" s="145">
        <f>DADOS_INVOC!$QK$88</f>
        <v/>
      </c>
      <c r="AP142" s="16" t="n"/>
      <c r="AQ142" s="16" t="n"/>
      <c r="AR142" s="17" t="n"/>
      <c r="AS142" s="137" t="n"/>
    </row>
    <row r="143" hidden="1" outlineLevel="3">
      <c r="A143" s="8" t="n"/>
      <c r="B143" s="14" t="n"/>
      <c r="C143" s="137" t="n"/>
      <c r="D143" s="137" t="n"/>
      <c r="E143" s="137" t="n"/>
      <c r="F143" s="137" t="n"/>
      <c r="G143" s="137" t="n"/>
      <c r="I143" s="56" t="inlineStr">
        <is>
          <t>AMPLIAR</t>
        </is>
      </c>
      <c r="J143" s="145">
        <f>DADOS_INVOC!$QL$8</f>
        <v/>
      </c>
      <c r="K143" s="19" t="n"/>
      <c r="L143" s="19" t="n"/>
      <c r="M143" s="20" t="n"/>
      <c r="N143" s="137" t="n"/>
      <c r="O143" s="56" t="inlineStr">
        <is>
          <t>AMPLIAR</t>
        </is>
      </c>
      <c r="P143" s="145">
        <f>DADOS_INVOC!$QL$9</f>
        <v/>
      </c>
      <c r="Q143" s="19" t="n"/>
      <c r="R143" s="19" t="n"/>
      <c r="S143" s="20" t="n"/>
      <c r="T143" s="137" t="n"/>
      <c r="U143" s="56" t="inlineStr">
        <is>
          <t>AMPLIAR</t>
        </is>
      </c>
      <c r="V143" s="145">
        <f>DADOS_INVOC!$QL$10</f>
        <v/>
      </c>
      <c r="W143" s="19" t="n"/>
      <c r="X143" s="19" t="n"/>
      <c r="Y143" s="20" t="n"/>
      <c r="Z143" s="137" t="n"/>
      <c r="AB143" s="56" t="inlineStr">
        <is>
          <t>AMPLIAR</t>
        </is>
      </c>
      <c r="AC143" s="145">
        <f>DADOS_INVOC!$QL$86</f>
        <v/>
      </c>
      <c r="AD143" s="19" t="n"/>
      <c r="AE143" s="19" t="n"/>
      <c r="AF143" s="20" t="n"/>
      <c r="AG143" s="137" t="n"/>
      <c r="AH143" s="56" t="inlineStr">
        <is>
          <t>AMPLIAR</t>
        </is>
      </c>
      <c r="AI143" s="145">
        <f>DADOS_INVOC!$QL$87</f>
        <v/>
      </c>
      <c r="AJ143" s="19" t="n"/>
      <c r="AK143" s="19" t="n"/>
      <c r="AL143" s="20" t="n"/>
      <c r="AM143" s="137" t="n"/>
      <c r="AN143" s="56" t="inlineStr">
        <is>
          <t>AMPLIAR</t>
        </is>
      </c>
      <c r="AO143" s="145">
        <f>DADOS_INVOC!$QL$88</f>
        <v/>
      </c>
      <c r="AP143" s="19" t="n"/>
      <c r="AQ143" s="19" t="n"/>
      <c r="AR143" s="20" t="n"/>
      <c r="AS143" s="137" t="n"/>
    </row>
    <row r="144" hidden="1" outlineLevel="3">
      <c r="A144" s="8" t="n"/>
      <c r="B144" s="14" t="n"/>
      <c r="C144" s="137" t="n"/>
      <c r="D144" s="137" t="n"/>
      <c r="E144" s="137" t="n"/>
      <c r="F144" s="137" t="n"/>
      <c r="G144" s="137" t="n"/>
      <c r="I144" s="128" t="n"/>
      <c r="J144" s="23" t="n"/>
      <c r="K144" s="24" t="n"/>
      <c r="L144" s="24" t="n"/>
      <c r="M144" s="25" t="n"/>
      <c r="N144" s="137" t="n"/>
      <c r="O144" s="128" t="n"/>
      <c r="P144" s="23" t="n"/>
      <c r="Q144" s="24" t="n"/>
      <c r="R144" s="24" t="n"/>
      <c r="S144" s="25" t="n"/>
      <c r="T144" s="137" t="n"/>
      <c r="U144" s="128" t="n"/>
      <c r="V144" s="23" t="n"/>
      <c r="W144" s="24" t="n"/>
      <c r="X144" s="24" t="n"/>
      <c r="Y144" s="25" t="n"/>
      <c r="Z144" s="137" t="n"/>
      <c r="AB144" s="128" t="n"/>
      <c r="AC144" s="23" t="n"/>
      <c r="AD144" s="24" t="n"/>
      <c r="AE144" s="24" t="n"/>
      <c r="AF144" s="25" t="n"/>
      <c r="AG144" s="137" t="n"/>
      <c r="AH144" s="128" t="n"/>
      <c r="AI144" s="23" t="n"/>
      <c r="AJ144" s="24" t="n"/>
      <c r="AK144" s="24" t="n"/>
      <c r="AL144" s="25" t="n"/>
      <c r="AM144" s="137" t="n"/>
      <c r="AN144" s="128" t="n"/>
      <c r="AO144" s="23" t="n"/>
      <c r="AP144" s="24" t="n"/>
      <c r="AQ144" s="24" t="n"/>
      <c r="AR144" s="25" t="n"/>
      <c r="AS144" s="137" t="n"/>
    </row>
    <row r="145" hidden="1" outlineLevel="3">
      <c r="A145" s="8" t="n"/>
      <c r="B145" s="14" t="n"/>
      <c r="C145" s="137" t="n"/>
      <c r="D145" s="137" t="n"/>
      <c r="E145" s="137" t="n"/>
      <c r="F145" s="137" t="n"/>
      <c r="G145" s="137" t="n"/>
      <c r="I145" s="145">
        <f>DADOS_INVOC!$PY$8</f>
        <v/>
      </c>
      <c r="J145" s="19" t="n"/>
      <c r="K145" s="19" t="n"/>
      <c r="L145" s="19" t="n"/>
      <c r="M145" s="20" t="n"/>
      <c r="N145" s="137" t="n"/>
      <c r="O145" s="145">
        <f>DADOS_INVOC!$PY$9</f>
        <v/>
      </c>
      <c r="P145" s="19" t="n"/>
      <c r="Q145" s="19" t="n"/>
      <c r="R145" s="19" t="n"/>
      <c r="S145" s="20" t="n"/>
      <c r="T145" s="137" t="n"/>
      <c r="U145" s="145">
        <f>DADOS_INVOC!$PY$10</f>
        <v/>
      </c>
      <c r="V145" s="19" t="n"/>
      <c r="W145" s="19" t="n"/>
      <c r="X145" s="19" t="n"/>
      <c r="Y145" s="20" t="n"/>
      <c r="Z145" s="137" t="n"/>
      <c r="AB145" s="145">
        <f>DADOS_INVOC!$PY$86</f>
        <v/>
      </c>
      <c r="AC145" s="19" t="n"/>
      <c r="AD145" s="19" t="n"/>
      <c r="AE145" s="19" t="n"/>
      <c r="AF145" s="20" t="n"/>
      <c r="AG145" s="137" t="n"/>
      <c r="AH145" s="145">
        <f>DADOS_INVOC!$PY$87</f>
        <v/>
      </c>
      <c r="AI145" s="19" t="n"/>
      <c r="AJ145" s="19" t="n"/>
      <c r="AK145" s="19" t="n"/>
      <c r="AL145" s="20" t="n"/>
      <c r="AM145" s="137" t="n"/>
      <c r="AN145" s="145">
        <f>DADOS_INVOC!$PY$88</f>
        <v/>
      </c>
      <c r="AO145" s="19" t="n"/>
      <c r="AP145" s="19" t="n"/>
      <c r="AQ145" s="19" t="n"/>
      <c r="AR145" s="20" t="n"/>
      <c r="AS145" s="137" t="n"/>
    </row>
    <row r="146" hidden="1" outlineLevel="3">
      <c r="A146" s="8" t="n"/>
      <c r="B146" s="14" t="n"/>
      <c r="C146" s="137" t="n"/>
      <c r="D146" s="137" t="n"/>
      <c r="E146" s="137" t="n"/>
      <c r="F146" s="137" t="n"/>
      <c r="G146" s="137" t="n"/>
      <c r="I146" s="23" t="n"/>
      <c r="J146" s="24" t="n"/>
      <c r="K146" s="24" t="n"/>
      <c r="L146" s="24" t="n"/>
      <c r="M146" s="25" t="n"/>
      <c r="N146" s="137" t="n"/>
      <c r="O146" s="23" t="n"/>
      <c r="P146" s="24" t="n"/>
      <c r="Q146" s="24" t="n"/>
      <c r="R146" s="24" t="n"/>
      <c r="S146" s="25" t="n"/>
      <c r="T146" s="137" t="n"/>
      <c r="U146" s="23" t="n"/>
      <c r="V146" s="24" t="n"/>
      <c r="W146" s="24" t="n"/>
      <c r="X146" s="24" t="n"/>
      <c r="Y146" s="25" t="n"/>
      <c r="Z146" s="137" t="n"/>
      <c r="AB146" s="23" t="n"/>
      <c r="AC146" s="24" t="n"/>
      <c r="AD146" s="24" t="n"/>
      <c r="AE146" s="24" t="n"/>
      <c r="AF146" s="25" t="n"/>
      <c r="AG146" s="137" t="n"/>
      <c r="AH146" s="23" t="n"/>
      <c r="AI146" s="24" t="n"/>
      <c r="AJ146" s="24" t="n"/>
      <c r="AK146" s="24" t="n"/>
      <c r="AL146" s="25" t="n"/>
      <c r="AM146" s="137" t="n"/>
      <c r="AN146" s="23" t="n"/>
      <c r="AO146" s="24" t="n"/>
      <c r="AP146" s="24" t="n"/>
      <c r="AQ146" s="24" t="n"/>
      <c r="AR146" s="25" t="n"/>
      <c r="AS146" s="137" t="n"/>
    </row>
    <row r="147" hidden="1" outlineLevel="2">
      <c r="A147" s="8" t="n"/>
      <c r="B147" s="14" t="n"/>
      <c r="C147" s="137" t="n"/>
      <c r="D147" s="137" t="n"/>
      <c r="E147" s="137" t="n"/>
      <c r="F147" s="137" t="n"/>
      <c r="G147" s="137" t="n"/>
      <c r="I147" s="137" t="n"/>
      <c r="J147" s="137" t="n"/>
      <c r="K147" s="137" t="n"/>
      <c r="L147" s="137" t="n"/>
      <c r="M147" s="137" t="n"/>
      <c r="N147" s="137" t="n"/>
      <c r="O147" s="137" t="n"/>
      <c r="P147" s="137" t="n"/>
      <c r="Q147" s="137" t="n"/>
      <c r="R147" s="137" t="n"/>
      <c r="S147" s="137" t="n"/>
      <c r="T147" s="137" t="n"/>
      <c r="U147" s="137" t="n"/>
      <c r="V147" s="137" t="n"/>
      <c r="W147" s="137" t="n"/>
      <c r="X147" s="137" t="n"/>
      <c r="Y147" s="137" t="n"/>
      <c r="Z147" s="137"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37" t="n"/>
      <c r="AS147" s="137" t="n"/>
    </row>
    <row r="148" hidden="1" outlineLevel="2">
      <c r="A148" s="8" t="n"/>
      <c r="B148" s="14" t="n"/>
      <c r="C148" s="137" t="n"/>
      <c r="D148" s="137" t="n"/>
      <c r="E148" s="137" t="n"/>
      <c r="F148" s="137" t="n"/>
      <c r="G148" s="137" t="n"/>
      <c r="I148" s="56">
        <f>DADOS_INVOC!$PZ$11</f>
        <v/>
      </c>
      <c r="J148" s="16" t="n"/>
      <c r="K148" s="16" t="n"/>
      <c r="L148" s="16" t="n"/>
      <c r="M148" s="17" t="n"/>
      <c r="N148" s="137" t="n"/>
      <c r="O148" s="137" t="n"/>
      <c r="P148" s="137" t="n"/>
      <c r="Q148" s="137" t="n"/>
      <c r="R148" s="137" t="n"/>
      <c r="S148" s="137" t="n"/>
      <c r="T148" s="137" t="n"/>
      <c r="U148" s="137" t="n"/>
      <c r="V148" s="137" t="n"/>
      <c r="W148" s="137" t="n"/>
      <c r="X148" s="137" t="n"/>
      <c r="Y148" s="137" t="n"/>
      <c r="Z148" s="137" t="n"/>
      <c r="AB148" s="56">
        <f>DADOS_INVOC!$PZ$89</f>
        <v/>
      </c>
      <c r="AC148" s="16" t="n"/>
      <c r="AD148" s="16" t="n"/>
      <c r="AE148" s="16" t="n"/>
      <c r="AF148" s="17" t="n"/>
      <c r="AG148" s="137" t="n"/>
      <c r="AH148" s="137" t="n"/>
      <c r="AI148" s="137" t="n"/>
      <c r="AJ148" s="137" t="n"/>
      <c r="AK148" s="137" t="n"/>
      <c r="AL148" s="137" t="n"/>
      <c r="AM148" s="137" t="n"/>
      <c r="AN148" s="137" t="n"/>
      <c r="AO148" s="137" t="n"/>
      <c r="AP148" s="137" t="n"/>
      <c r="AQ148" s="137" t="n"/>
      <c r="AR148" s="137" t="n"/>
      <c r="AS148" s="137" t="n"/>
    </row>
    <row r="149" hidden="1" outlineLevel="2">
      <c r="A149" s="8" t="n"/>
      <c r="B149" s="14" t="n"/>
      <c r="C149" s="137" t="n"/>
      <c r="D149" s="137" t="n"/>
      <c r="E149" s="137" t="n"/>
      <c r="F149" s="137" t="n"/>
      <c r="G149" s="137" t="n"/>
      <c r="I149" s="141" t="n">
        <v>1</v>
      </c>
      <c r="J149" s="131" t="n"/>
      <c r="K149" s="16" t="n"/>
      <c r="L149" s="17" t="n"/>
      <c r="M149" s="142">
        <f>DADOS_INVOC!$PX$11</f>
        <v/>
      </c>
      <c r="N149" s="137" t="n"/>
      <c r="O149" s="137" t="n"/>
      <c r="P149" s="137" t="n"/>
      <c r="Q149" s="137" t="n"/>
      <c r="R149" s="137" t="n"/>
      <c r="S149" s="137" t="n"/>
      <c r="T149" s="137" t="n"/>
      <c r="U149" s="137" t="n"/>
      <c r="V149" s="137" t="n"/>
      <c r="W149" s="137" t="n"/>
      <c r="X149" s="137" t="n"/>
      <c r="Y149" s="137" t="n"/>
      <c r="Z149" s="137" t="n"/>
      <c r="AB149" s="141" t="n">
        <v>1</v>
      </c>
      <c r="AC149" s="131" t="n"/>
      <c r="AD149" s="16" t="n"/>
      <c r="AE149" s="17" t="n"/>
      <c r="AF149" s="142">
        <f>DADOS_INVOC!$PX$89</f>
        <v/>
      </c>
      <c r="AG149" s="137" t="n"/>
      <c r="AH149" s="137" t="n"/>
      <c r="AI149" s="137" t="n"/>
      <c r="AJ149" s="137" t="n"/>
      <c r="AK149" s="137" t="n"/>
      <c r="AL149" s="137" t="n"/>
      <c r="AM149" s="137" t="n"/>
      <c r="AN149" s="137" t="n"/>
      <c r="AO149" s="137" t="n"/>
      <c r="AP149" s="137" t="n"/>
      <c r="AQ149" s="137" t="n"/>
      <c r="AR149" s="137" t="n"/>
      <c r="AS149" s="137" t="n"/>
    </row>
    <row r="150" hidden="1" outlineLevel="3">
      <c r="A150" s="8" t="n"/>
      <c r="B150" s="14" t="n"/>
      <c r="C150" s="137" t="n"/>
      <c r="D150" s="137" t="n"/>
      <c r="E150" s="137" t="n"/>
      <c r="F150" s="137" t="n"/>
      <c r="G150" s="137" t="n"/>
      <c r="I150" s="56" t="inlineStr">
        <is>
          <t>COMO É</t>
        </is>
      </c>
      <c r="J150" s="16" t="n"/>
      <c r="K150" s="16" t="n"/>
      <c r="L150" s="16" t="n"/>
      <c r="M150" s="17" t="n"/>
      <c r="N150" s="137" t="n"/>
      <c r="O150" s="137" t="n"/>
      <c r="P150" s="137" t="n"/>
      <c r="Q150" s="137" t="n"/>
      <c r="R150" s="137" t="n"/>
      <c r="S150" s="137" t="n"/>
      <c r="T150" s="137" t="n"/>
      <c r="U150" s="137" t="n"/>
      <c r="V150" s="137" t="n"/>
      <c r="W150" s="137" t="n"/>
      <c r="X150" s="137" t="n"/>
      <c r="Y150" s="137" t="n"/>
      <c r="Z150" s="137" t="n"/>
      <c r="AB150" s="56" t="inlineStr">
        <is>
          <t>COMO É</t>
        </is>
      </c>
      <c r="AC150" s="16" t="n"/>
      <c r="AD150" s="16" t="n"/>
      <c r="AE150" s="16" t="n"/>
      <c r="AF150" s="17" t="n"/>
      <c r="AG150" s="137" t="n"/>
      <c r="AH150" s="137" t="n"/>
      <c r="AI150" s="137" t="n"/>
      <c r="AJ150" s="137" t="n"/>
      <c r="AK150" s="137" t="n"/>
      <c r="AL150" s="137" t="n"/>
      <c r="AM150" s="137" t="n"/>
      <c r="AN150" s="137" t="n"/>
      <c r="AO150" s="137" t="n"/>
      <c r="AP150" s="137" t="n"/>
      <c r="AQ150" s="137" t="n"/>
      <c r="AR150" s="137" t="n"/>
      <c r="AS150" s="137" t="n"/>
    </row>
    <row r="151" hidden="1" outlineLevel="3">
      <c r="A151" s="8" t="n"/>
      <c r="B151" s="14" t="n"/>
      <c r="C151" s="137" t="n"/>
      <c r="D151" s="137" t="n"/>
      <c r="E151" s="137" t="n"/>
      <c r="F151" s="137" t="n"/>
      <c r="G151" s="137" t="n"/>
      <c r="I151" s="61" t="n"/>
      <c r="J151" s="19" t="n"/>
      <c r="K151" s="19" t="n"/>
      <c r="L151" s="19" t="n"/>
      <c r="M151" s="20" t="n"/>
      <c r="N151" s="137" t="n"/>
      <c r="O151" s="137" t="n"/>
      <c r="P151" s="137" t="n"/>
      <c r="Q151" s="137" t="n"/>
      <c r="R151" s="137" t="n"/>
      <c r="S151" s="137" t="n"/>
      <c r="T151" s="137" t="n"/>
      <c r="U151" s="137" t="n"/>
      <c r="V151" s="137" t="n"/>
      <c r="W151" s="137" t="n"/>
      <c r="X151" s="137" t="n"/>
      <c r="Y151" s="137" t="n"/>
      <c r="Z151" s="137" t="n"/>
      <c r="AB151" s="61" t="n"/>
      <c r="AC151" s="19" t="n"/>
      <c r="AD151" s="19" t="n"/>
      <c r="AE151" s="19" t="n"/>
      <c r="AF151" s="20" t="n"/>
      <c r="AG151" s="137" t="n"/>
      <c r="AH151" s="137" t="n"/>
      <c r="AI151" s="137" t="n"/>
      <c r="AJ151" s="137" t="n"/>
      <c r="AK151" s="137" t="n"/>
      <c r="AL151" s="137" t="n"/>
      <c r="AM151" s="137" t="n"/>
      <c r="AN151" s="137" t="n"/>
      <c r="AO151" s="137" t="n"/>
      <c r="AP151" s="137" t="n"/>
      <c r="AQ151" s="137" t="n"/>
      <c r="AR151" s="137" t="n"/>
      <c r="AS151" s="137" t="n"/>
    </row>
    <row r="152" hidden="1" outlineLevel="3">
      <c r="A152" s="8" t="n"/>
      <c r="B152" s="14" t="n"/>
      <c r="C152" s="137" t="n"/>
      <c r="D152" s="137" t="n"/>
      <c r="E152" s="137" t="n"/>
      <c r="F152" s="137" t="n"/>
      <c r="G152" s="137" t="n"/>
      <c r="I152" s="21" t="n"/>
      <c r="M152" s="22" t="n"/>
      <c r="N152" s="137" t="n"/>
      <c r="O152" s="137" t="n"/>
      <c r="P152" s="137" t="n"/>
      <c r="Q152" s="137" t="n"/>
      <c r="R152" s="137" t="n"/>
      <c r="S152" s="137" t="n"/>
      <c r="T152" s="137" t="n"/>
      <c r="U152" s="137" t="n"/>
      <c r="V152" s="137" t="n"/>
      <c r="W152" s="137" t="n"/>
      <c r="X152" s="137" t="n"/>
      <c r="Y152" s="137" t="n"/>
      <c r="Z152" s="137" t="n"/>
      <c r="AB152" s="21" t="n"/>
      <c r="AF152" s="22" t="n"/>
      <c r="AG152" s="137" t="n"/>
      <c r="AH152" s="137" t="n"/>
      <c r="AI152" s="137" t="n"/>
      <c r="AJ152" s="137" t="n"/>
      <c r="AK152" s="137" t="n"/>
      <c r="AL152" s="137" t="n"/>
      <c r="AM152" s="137" t="n"/>
      <c r="AN152" s="137" t="n"/>
      <c r="AO152" s="137" t="n"/>
      <c r="AP152" s="137" t="n"/>
      <c r="AQ152" s="137" t="n"/>
      <c r="AR152" s="137" t="n"/>
      <c r="AS152" s="137" t="n"/>
    </row>
    <row r="153" hidden="1" outlineLevel="3">
      <c r="A153" s="8" t="n"/>
      <c r="B153" s="14" t="n"/>
      <c r="C153" s="137" t="n"/>
      <c r="D153" s="137" t="n"/>
      <c r="E153" s="137" t="n"/>
      <c r="F153" s="137" t="n"/>
      <c r="G153" s="137" t="n"/>
      <c r="I153" s="23" t="n"/>
      <c r="J153" s="24" t="n"/>
      <c r="K153" s="24" t="n"/>
      <c r="L153" s="24" t="n"/>
      <c r="M153" s="25" t="n"/>
      <c r="N153" s="137" t="n"/>
      <c r="O153" s="137" t="n"/>
      <c r="P153" s="137" t="n"/>
      <c r="Q153" s="137" t="n"/>
      <c r="R153" s="137" t="n"/>
      <c r="S153" s="137" t="n"/>
      <c r="T153" s="137" t="n"/>
      <c r="U153" s="137" t="n"/>
      <c r="V153" s="137" t="n"/>
      <c r="W153" s="137" t="n"/>
      <c r="X153" s="137" t="n"/>
      <c r="Y153" s="137" t="n"/>
      <c r="Z153" s="137" t="n"/>
      <c r="AB153" s="23" t="n"/>
      <c r="AC153" s="24" t="n"/>
      <c r="AD153" s="24" t="n"/>
      <c r="AE153" s="24" t="n"/>
      <c r="AF153" s="25" t="n"/>
      <c r="AG153" s="137" t="n"/>
      <c r="AH153" s="137" t="n"/>
      <c r="AI153" s="137" t="n"/>
      <c r="AJ153" s="137" t="n"/>
      <c r="AK153" s="137" t="n"/>
      <c r="AL153" s="137" t="n"/>
      <c r="AM153" s="137" t="n"/>
      <c r="AN153" s="137" t="n"/>
      <c r="AO153" s="137" t="n"/>
      <c r="AP153" s="137" t="n"/>
      <c r="AQ153" s="137" t="n"/>
      <c r="AR153" s="137" t="n"/>
      <c r="AS153" s="137" t="n"/>
    </row>
    <row r="154" hidden="1" outlineLevel="2">
      <c r="A154" s="8" t="n"/>
      <c r="B154" s="14" t="n"/>
      <c r="C154" s="137" t="n"/>
      <c r="D154" s="137" t="n"/>
      <c r="E154" s="137" t="n"/>
      <c r="F154" s="137" t="n"/>
      <c r="G154" s="137" t="n"/>
      <c r="I154" s="95" t="inlineStr">
        <is>
          <t>Projétil</t>
        </is>
      </c>
      <c r="J154" s="17" t="n"/>
      <c r="K154" s="71">
        <f>DADOS_INVOC!$QE$11</f>
        <v/>
      </c>
      <c r="L154" s="17" t="n"/>
      <c r="M154" s="71">
        <f>DADOS_INVOC!$QA$11</f>
        <v/>
      </c>
      <c r="N154" s="137" t="n"/>
      <c r="O154" s="137" t="n"/>
      <c r="P154" s="137" t="n"/>
      <c r="Q154" s="137" t="n"/>
      <c r="R154" s="137" t="n"/>
      <c r="S154" s="137" t="n"/>
      <c r="T154" s="137" t="n"/>
      <c r="U154" s="137" t="n"/>
      <c r="V154" s="137" t="n"/>
      <c r="W154" s="137" t="n"/>
      <c r="X154" s="137" t="n"/>
      <c r="Y154" s="137" t="n"/>
      <c r="Z154" s="137" t="n"/>
      <c r="AB154" s="95" t="inlineStr">
        <is>
          <t>Projétil</t>
        </is>
      </c>
      <c r="AC154" s="17" t="n"/>
      <c r="AD154" s="71">
        <f>DADOS_INVOC!$QE$89</f>
        <v/>
      </c>
      <c r="AE154" s="17" t="n"/>
      <c r="AF154" s="71">
        <f>DADOS_INVOC!$QA$89</f>
        <v/>
      </c>
      <c r="AG154" s="137" t="n"/>
      <c r="AH154" s="137" t="n"/>
      <c r="AI154" s="137" t="n"/>
      <c r="AJ154" s="137" t="n"/>
      <c r="AK154" s="137" t="n"/>
      <c r="AL154" s="137" t="n"/>
      <c r="AM154" s="137" t="n"/>
      <c r="AN154" s="137" t="n"/>
      <c r="AO154" s="137" t="n"/>
      <c r="AP154" s="137" t="n"/>
      <c r="AQ154" s="137" t="n"/>
      <c r="AR154" s="137" t="n"/>
      <c r="AS154" s="137" t="n"/>
    </row>
    <row r="155" hidden="1" outlineLevel="2">
      <c r="A155" s="8" t="n"/>
      <c r="B155" s="14" t="n"/>
      <c r="C155" s="137" t="n"/>
      <c r="D155" s="137" t="n"/>
      <c r="E155" s="137" t="n"/>
      <c r="F155" s="137" t="n"/>
      <c r="G155" s="137" t="n"/>
      <c r="I155" s="95" t="n"/>
      <c r="J155" s="17" t="n"/>
      <c r="K155" s="95" t="n"/>
      <c r="L155" s="16" t="n"/>
      <c r="M155" s="17" t="n"/>
      <c r="N155" s="137" t="n"/>
      <c r="O155" s="137" t="n"/>
      <c r="P155" s="137" t="n"/>
      <c r="Q155" s="137" t="n"/>
      <c r="R155" s="137" t="n"/>
      <c r="S155" s="137" t="n"/>
      <c r="T155" s="137" t="n"/>
      <c r="U155" s="137" t="n"/>
      <c r="V155" s="137" t="n"/>
      <c r="W155" s="137" t="n"/>
      <c r="X155" s="137" t="n"/>
      <c r="Y155" s="137" t="n"/>
      <c r="Z155" s="137" t="n"/>
      <c r="AB155" s="95" t="n"/>
      <c r="AC155" s="17" t="n"/>
      <c r="AD155" s="95" t="n"/>
      <c r="AE155" s="16" t="n"/>
      <c r="AF155" s="17" t="n"/>
      <c r="AG155" s="137" t="n"/>
      <c r="AH155" s="137" t="n"/>
      <c r="AI155" s="137" t="n"/>
      <c r="AJ155" s="137" t="n"/>
      <c r="AK155" s="137" t="n"/>
      <c r="AL155" s="137" t="n"/>
      <c r="AM155" s="137" t="n"/>
      <c r="AN155" s="137" t="n"/>
      <c r="AO155" s="137" t="n"/>
      <c r="AP155" s="137" t="n"/>
      <c r="AQ155" s="137" t="n"/>
      <c r="AR155" s="137" t="n"/>
      <c r="AS155" s="137" t="n"/>
    </row>
    <row r="156" hidden="1" outlineLevel="2">
      <c r="A156" s="8" t="n"/>
      <c r="B156" s="14" t="n"/>
      <c r="C156" s="137" t="n"/>
      <c r="D156" s="137" t="n"/>
      <c r="E156" s="137" t="n"/>
      <c r="F156" s="137" t="n"/>
      <c r="G156" s="137" t="n"/>
      <c r="I156" s="95">
        <f>DADOS_INVOC!$QB$11</f>
        <v/>
      </c>
      <c r="J156" s="17" t="n"/>
      <c r="K156" s="95">
        <f>DADOS_INVOC!$QD$11</f>
        <v/>
      </c>
      <c r="L156" s="16" t="n"/>
      <c r="M156" s="17" t="n"/>
      <c r="N156" s="137" t="n"/>
      <c r="O156" s="137" t="n"/>
      <c r="P156" s="137" t="n"/>
      <c r="Q156" s="137" t="n"/>
      <c r="R156" s="137" t="n"/>
      <c r="S156" s="137" t="n"/>
      <c r="T156" s="137" t="n"/>
      <c r="U156" s="137" t="n"/>
      <c r="V156" s="137" t="n"/>
      <c r="W156" s="137" t="n"/>
      <c r="X156" s="137" t="n"/>
      <c r="Y156" s="137" t="n"/>
      <c r="Z156" s="137" t="n"/>
      <c r="AB156" s="95">
        <f>DADOS_INVOC!$QB$89</f>
        <v/>
      </c>
      <c r="AC156" s="17" t="n"/>
      <c r="AD156" s="95">
        <f>DADOS_INVOC!$QD$89</f>
        <v/>
      </c>
      <c r="AE156" s="16" t="n"/>
      <c r="AF156" s="17" t="n"/>
      <c r="AG156" s="137" t="n"/>
      <c r="AH156" s="137" t="n"/>
      <c r="AI156" s="137" t="n"/>
      <c r="AJ156" s="137" t="n"/>
      <c r="AK156" s="137" t="n"/>
      <c r="AL156" s="137" t="n"/>
      <c r="AM156" s="137" t="n"/>
      <c r="AN156" s="137" t="n"/>
      <c r="AO156" s="137" t="n"/>
      <c r="AP156" s="137" t="n"/>
      <c r="AQ156" s="137" t="n"/>
      <c r="AR156" s="137" t="n"/>
      <c r="AS156" s="137" t="n"/>
    </row>
    <row r="157" hidden="1" outlineLevel="2">
      <c r="A157" s="8" t="n"/>
      <c r="B157" s="14" t="n"/>
      <c r="C157" s="137" t="n"/>
      <c r="D157" s="137" t="n"/>
      <c r="E157" s="137" t="n"/>
      <c r="F157" s="137" t="n"/>
      <c r="G157" s="137" t="n"/>
      <c r="I157" s="143">
        <f>DADOS_INVOC!$QJ$11</f>
        <v/>
      </c>
      <c r="J157" s="16" t="n"/>
      <c r="K157" s="16" t="n"/>
      <c r="L157" s="16" t="n"/>
      <c r="M157" s="17" t="n"/>
      <c r="N157" s="137" t="n"/>
      <c r="O157" s="137" t="n"/>
      <c r="P157" s="137" t="n"/>
      <c r="Q157" s="137" t="n"/>
      <c r="R157" s="137" t="n"/>
      <c r="S157" s="137" t="n"/>
      <c r="T157" s="137" t="n"/>
      <c r="U157" s="137" t="n"/>
      <c r="V157" s="137" t="n"/>
      <c r="W157" s="137" t="n"/>
      <c r="X157" s="137" t="n"/>
      <c r="Y157" s="137" t="n"/>
      <c r="Z157" s="137" t="n"/>
      <c r="AB157" s="143">
        <f>DADOS_INVOC!$QJ$89</f>
        <v/>
      </c>
      <c r="AC157" s="16" t="n"/>
      <c r="AD157" s="16" t="n"/>
      <c r="AE157" s="16" t="n"/>
      <c r="AF157" s="17" t="n"/>
      <c r="AG157" s="137" t="n"/>
      <c r="AH157" s="137" t="n"/>
      <c r="AI157" s="137" t="n"/>
      <c r="AJ157" s="137" t="n"/>
      <c r="AK157" s="137" t="n"/>
      <c r="AL157" s="137" t="n"/>
      <c r="AM157" s="137" t="n"/>
      <c r="AN157" s="137" t="n"/>
      <c r="AO157" s="137" t="n"/>
      <c r="AP157" s="137" t="n"/>
      <c r="AQ157" s="137" t="n"/>
      <c r="AR157" s="137" t="n"/>
      <c r="AS157" s="137" t="n"/>
    </row>
    <row r="158" hidden="1" outlineLevel="3">
      <c r="A158" s="8" t="n"/>
      <c r="B158" s="14" t="n"/>
      <c r="C158" s="137" t="n"/>
      <c r="D158" s="137" t="n"/>
      <c r="E158" s="137" t="n"/>
      <c r="F158" s="137" t="n"/>
      <c r="G158" s="137" t="n"/>
      <c r="I158" s="56" t="inlineStr">
        <is>
          <t>MELHORIAS</t>
        </is>
      </c>
      <c r="J158" s="144" t="n"/>
      <c r="K158" s="16" t="n"/>
      <c r="L158" s="17" t="n"/>
      <c r="M158" s="143">
        <f>DADOS_INVOC!$QM$11</f>
        <v/>
      </c>
      <c r="N158" s="137" t="n"/>
      <c r="O158" s="137" t="n"/>
      <c r="P158" s="137" t="n"/>
      <c r="Q158" s="137" t="n"/>
      <c r="R158" s="137" t="n"/>
      <c r="S158" s="137" t="n"/>
      <c r="T158" s="137" t="n"/>
      <c r="U158" s="137" t="n"/>
      <c r="V158" s="137" t="n"/>
      <c r="W158" s="137" t="n"/>
      <c r="X158" s="137" t="n"/>
      <c r="Y158" s="137" t="n"/>
      <c r="Z158" s="137" t="n"/>
      <c r="AB158" s="56" t="inlineStr">
        <is>
          <t>MELHORIAS</t>
        </is>
      </c>
      <c r="AC158" s="144" t="n"/>
      <c r="AD158" s="16" t="n"/>
      <c r="AE158" s="17" t="n"/>
      <c r="AF158" s="143">
        <f>DADOS_INVOC!$QM$89</f>
        <v/>
      </c>
      <c r="AG158" s="137" t="n"/>
      <c r="AH158" s="137" t="n"/>
      <c r="AI158" s="137" t="n"/>
      <c r="AJ158" s="137" t="n"/>
      <c r="AK158" s="137" t="n"/>
      <c r="AL158" s="137" t="n"/>
      <c r="AM158" s="137" t="n"/>
      <c r="AN158" s="137" t="n"/>
      <c r="AO158" s="137" t="n"/>
      <c r="AP158" s="137" t="n"/>
      <c r="AQ158" s="137" t="n"/>
      <c r="AR158" s="137" t="n"/>
      <c r="AS158" s="137" t="n"/>
    </row>
    <row r="159" hidden="1" outlineLevel="3">
      <c r="A159" s="8" t="n"/>
      <c r="B159" s="14" t="n"/>
      <c r="C159" s="137" t="n"/>
      <c r="D159" s="137" t="n"/>
      <c r="E159" s="137" t="n"/>
      <c r="F159" s="137" t="n"/>
      <c r="G159" s="137" t="n"/>
      <c r="I159" s="66" t="n"/>
      <c r="J159" s="144" t="n"/>
      <c r="K159" s="16" t="n"/>
      <c r="L159" s="17" t="n"/>
      <c r="M159" s="143">
        <f>DADOS_INVOC!$QN$11</f>
        <v/>
      </c>
      <c r="N159" s="137" t="n"/>
      <c r="O159" s="137" t="n"/>
      <c r="P159" s="137" t="n"/>
      <c r="Q159" s="137" t="n"/>
      <c r="R159" s="137" t="n"/>
      <c r="S159" s="137" t="n"/>
      <c r="T159" s="137" t="n"/>
      <c r="U159" s="137" t="n"/>
      <c r="V159" s="137" t="n"/>
      <c r="W159" s="137" t="n"/>
      <c r="X159" s="137" t="n"/>
      <c r="Y159" s="137" t="n"/>
      <c r="Z159" s="137" t="n"/>
      <c r="AB159" s="66" t="n"/>
      <c r="AC159" s="144" t="n"/>
      <c r="AD159" s="16" t="n"/>
      <c r="AE159" s="17" t="n"/>
      <c r="AF159" s="143">
        <f>DADOS_INVOC!$QN$89</f>
        <v/>
      </c>
      <c r="AG159" s="137" t="n"/>
      <c r="AH159" s="137" t="n"/>
      <c r="AI159" s="137" t="n"/>
      <c r="AJ159" s="137" t="n"/>
      <c r="AK159" s="137" t="n"/>
      <c r="AL159" s="137" t="n"/>
      <c r="AM159" s="137" t="n"/>
      <c r="AN159" s="137" t="n"/>
      <c r="AO159" s="137" t="n"/>
      <c r="AP159" s="137" t="n"/>
      <c r="AQ159" s="137" t="n"/>
      <c r="AR159" s="137" t="n"/>
      <c r="AS159" s="137" t="n"/>
    </row>
    <row r="160" hidden="1" outlineLevel="3">
      <c r="A160" s="8" t="n"/>
      <c r="B160" s="14" t="n"/>
      <c r="C160" s="137" t="n"/>
      <c r="D160" s="137" t="n"/>
      <c r="E160" s="137" t="n"/>
      <c r="F160" s="137" t="n"/>
      <c r="G160" s="137" t="n"/>
      <c r="I160" s="66" t="n"/>
      <c r="J160" s="144" t="n"/>
      <c r="K160" s="16" t="n"/>
      <c r="L160" s="17" t="n"/>
      <c r="M160" s="143">
        <f>DADOS_INVOC!$QO$11</f>
        <v/>
      </c>
      <c r="N160" s="137" t="n"/>
      <c r="O160" s="137" t="n"/>
      <c r="P160" s="137" t="n"/>
      <c r="Q160" s="137" t="n"/>
      <c r="R160" s="137" t="n"/>
      <c r="S160" s="137" t="n"/>
      <c r="T160" s="137" t="n"/>
      <c r="U160" s="137" t="n"/>
      <c r="V160" s="137" t="n"/>
      <c r="W160" s="137" t="n"/>
      <c r="X160" s="137" t="n"/>
      <c r="Y160" s="137" t="n"/>
      <c r="Z160" s="137" t="n"/>
      <c r="AB160" s="66" t="n"/>
      <c r="AC160" s="144" t="n"/>
      <c r="AD160" s="16" t="n"/>
      <c r="AE160" s="17" t="n"/>
      <c r="AF160" s="143">
        <f>DADOS_INVOC!$QO$89</f>
        <v/>
      </c>
      <c r="AG160" s="137" t="n"/>
      <c r="AH160" s="137" t="n"/>
      <c r="AI160" s="137" t="n"/>
      <c r="AJ160" s="137" t="n"/>
      <c r="AK160" s="137" t="n"/>
      <c r="AL160" s="137" t="n"/>
      <c r="AM160" s="137" t="n"/>
      <c r="AN160" s="137" t="n"/>
      <c r="AO160" s="137" t="n"/>
      <c r="AP160" s="137" t="n"/>
      <c r="AQ160" s="137" t="n"/>
      <c r="AR160" s="137" t="n"/>
      <c r="AS160" s="137" t="n"/>
    </row>
    <row r="161" hidden="1" outlineLevel="3">
      <c r="A161" s="8" t="n"/>
      <c r="B161" s="14" t="n"/>
      <c r="C161" s="137" t="n"/>
      <c r="D161" s="137" t="n"/>
      <c r="E161" s="137" t="n"/>
      <c r="F161" s="137" t="n"/>
      <c r="G161" s="137" t="n"/>
      <c r="I161" s="128" t="n"/>
      <c r="J161" s="144" t="n"/>
      <c r="K161" s="16" t="n"/>
      <c r="L161" s="17" t="n"/>
      <c r="M161" s="143">
        <f>DADOS_INVOC!$QP$11</f>
        <v/>
      </c>
      <c r="N161" s="137" t="n"/>
      <c r="O161" s="137" t="n"/>
      <c r="P161" s="137" t="n"/>
      <c r="Q161" s="137" t="n"/>
      <c r="R161" s="137" t="n"/>
      <c r="S161" s="137" t="n"/>
      <c r="T161" s="137" t="n"/>
      <c r="U161" s="137" t="n"/>
      <c r="V161" s="137" t="n"/>
      <c r="W161" s="137" t="n"/>
      <c r="X161" s="137" t="n"/>
      <c r="Y161" s="137" t="n"/>
      <c r="Z161" s="137" t="n"/>
      <c r="AB161" s="128" t="n"/>
      <c r="AC161" s="144" t="n"/>
      <c r="AD161" s="16" t="n"/>
      <c r="AE161" s="17" t="n"/>
      <c r="AF161" s="143">
        <f>DADOS_INVOC!$QP$89</f>
        <v/>
      </c>
      <c r="AG161" s="137" t="n"/>
      <c r="AH161" s="137" t="n"/>
      <c r="AI161" s="137" t="n"/>
      <c r="AJ161" s="137" t="n"/>
      <c r="AK161" s="137" t="n"/>
      <c r="AL161" s="137" t="n"/>
      <c r="AM161" s="137" t="n"/>
      <c r="AN161" s="137" t="n"/>
      <c r="AO161" s="137" t="n"/>
      <c r="AP161" s="137" t="n"/>
      <c r="AQ161" s="137" t="n"/>
      <c r="AR161" s="137" t="n"/>
      <c r="AS161" s="137" t="n"/>
    </row>
    <row r="162" hidden="1" outlineLevel="3">
      <c r="A162" s="8" t="n"/>
      <c r="B162" s="14" t="n"/>
      <c r="C162" s="137" t="n"/>
      <c r="D162" s="137" t="n"/>
      <c r="E162" s="137" t="n"/>
      <c r="F162" s="137" t="n"/>
      <c r="G162" s="137" t="n"/>
      <c r="I162" s="56" t="inlineStr">
        <is>
          <t>RESTRIÇÕES</t>
        </is>
      </c>
      <c r="J162" s="144" t="n"/>
      <c r="K162" s="16" t="n"/>
      <c r="L162" s="17" t="n"/>
      <c r="M162" s="143">
        <f>DADOS_INVOC!$QQ$11</f>
        <v/>
      </c>
      <c r="N162" s="137" t="n"/>
      <c r="O162" s="137" t="n"/>
      <c r="P162" s="137" t="n"/>
      <c r="Q162" s="137" t="n"/>
      <c r="R162" s="137" t="n"/>
      <c r="S162" s="137" t="n"/>
      <c r="T162" s="137" t="n"/>
      <c r="U162" s="137" t="n"/>
      <c r="V162" s="137" t="n"/>
      <c r="W162" s="137" t="n"/>
      <c r="X162" s="137" t="n"/>
      <c r="Y162" s="137" t="n"/>
      <c r="Z162" s="137" t="n"/>
      <c r="AB162" s="56" t="inlineStr">
        <is>
          <t>RESTRIÇÕES</t>
        </is>
      </c>
      <c r="AC162" s="144" t="n"/>
      <c r="AD162" s="16" t="n"/>
      <c r="AE162" s="17" t="n"/>
      <c r="AF162" s="143">
        <f>DADOS_INVOC!$QQ$89</f>
        <v/>
      </c>
      <c r="AG162" s="137" t="n"/>
      <c r="AH162" s="137" t="n"/>
      <c r="AI162" s="137" t="n"/>
      <c r="AJ162" s="137" t="n"/>
      <c r="AK162" s="137" t="n"/>
      <c r="AL162" s="137" t="n"/>
      <c r="AM162" s="137" t="n"/>
      <c r="AN162" s="137" t="n"/>
      <c r="AO162" s="137" t="n"/>
      <c r="AP162" s="137" t="n"/>
      <c r="AQ162" s="137" t="n"/>
      <c r="AR162" s="137" t="n"/>
      <c r="AS162" s="137" t="n"/>
    </row>
    <row r="163" hidden="1" outlineLevel="3">
      <c r="A163" s="8" t="n"/>
      <c r="B163" s="14" t="n"/>
      <c r="C163" s="137" t="n"/>
      <c r="D163" s="137" t="n"/>
      <c r="E163" s="137" t="n"/>
      <c r="F163" s="137" t="n"/>
      <c r="G163" s="137" t="n"/>
      <c r="I163" s="128" t="n"/>
      <c r="J163" s="144" t="n"/>
      <c r="K163" s="16" t="n"/>
      <c r="L163" s="17" t="n"/>
      <c r="M163" s="143">
        <f>DADOS_INVOC!$QR$11</f>
        <v/>
      </c>
      <c r="N163" s="137" t="n"/>
      <c r="O163" s="137" t="n"/>
      <c r="P163" s="137" t="n"/>
      <c r="Q163" s="137" t="n"/>
      <c r="R163" s="137" t="n"/>
      <c r="S163" s="137" t="n"/>
      <c r="T163" s="137" t="n"/>
      <c r="U163" s="137" t="n"/>
      <c r="V163" s="137" t="n"/>
      <c r="W163" s="137" t="n"/>
      <c r="X163" s="137" t="n"/>
      <c r="Y163" s="137" t="n"/>
      <c r="Z163" s="137" t="n"/>
      <c r="AB163" s="128" t="n"/>
      <c r="AC163" s="144" t="n"/>
      <c r="AD163" s="16" t="n"/>
      <c r="AE163" s="17" t="n"/>
      <c r="AF163" s="143">
        <f>DADOS_INVOC!$QR$89</f>
        <v/>
      </c>
      <c r="AG163" s="137" t="n"/>
      <c r="AH163" s="137" t="n"/>
      <c r="AI163" s="137" t="n"/>
      <c r="AJ163" s="137" t="n"/>
      <c r="AK163" s="137" t="n"/>
      <c r="AL163" s="137" t="n"/>
      <c r="AM163" s="137" t="n"/>
      <c r="AN163" s="137" t="n"/>
      <c r="AO163" s="137" t="n"/>
      <c r="AP163" s="137" t="n"/>
      <c r="AQ163" s="137" t="n"/>
      <c r="AR163" s="137" t="n"/>
      <c r="AS163" s="137" t="n"/>
    </row>
    <row r="164" hidden="1" outlineLevel="3">
      <c r="A164" s="8" t="n"/>
      <c r="B164" s="14" t="n"/>
      <c r="C164" s="137" t="n"/>
      <c r="D164" s="137" t="n"/>
      <c r="E164" s="137" t="n"/>
      <c r="F164" s="137" t="n"/>
      <c r="G164" s="137" t="n"/>
      <c r="I164" s="56" t="inlineStr">
        <is>
          <t>CONTA</t>
        </is>
      </c>
      <c r="J164" s="145">
        <f>DADOS_INVOC!$QK$11</f>
        <v/>
      </c>
      <c r="K164" s="16" t="n"/>
      <c r="L164" s="16" t="n"/>
      <c r="M164" s="17" t="n"/>
      <c r="N164" s="137" t="n"/>
      <c r="O164" s="137" t="n"/>
      <c r="P164" s="137" t="n"/>
      <c r="Q164" s="137" t="n"/>
      <c r="R164" s="137" t="n"/>
      <c r="S164" s="137" t="n"/>
      <c r="T164" s="137" t="n"/>
      <c r="U164" s="137" t="n"/>
      <c r="V164" s="137" t="n"/>
      <c r="W164" s="137" t="n"/>
      <c r="X164" s="137" t="n"/>
      <c r="Y164" s="137" t="n"/>
      <c r="Z164" s="137" t="n"/>
      <c r="AB164" s="56" t="inlineStr">
        <is>
          <t>CONTA</t>
        </is>
      </c>
      <c r="AC164" s="145">
        <f>DADOS_INVOC!$QK$89</f>
        <v/>
      </c>
      <c r="AD164" s="16" t="n"/>
      <c r="AE164" s="16" t="n"/>
      <c r="AF164" s="17" t="n"/>
      <c r="AG164" s="137" t="n"/>
      <c r="AH164" s="137" t="n"/>
      <c r="AI164" s="137" t="n"/>
      <c r="AJ164" s="137" t="n"/>
      <c r="AK164" s="137" t="n"/>
      <c r="AL164" s="137" t="n"/>
      <c r="AM164" s="137" t="n"/>
      <c r="AN164" s="137" t="n"/>
      <c r="AO164" s="137" t="n"/>
      <c r="AP164" s="137" t="n"/>
      <c r="AQ164" s="137" t="n"/>
      <c r="AR164" s="137" t="n"/>
      <c r="AS164" s="137" t="n"/>
    </row>
    <row r="165" hidden="1" outlineLevel="3">
      <c r="A165" s="8" t="n"/>
      <c r="B165" s="14" t="n"/>
      <c r="C165" s="137" t="n"/>
      <c r="D165" s="137" t="n"/>
      <c r="E165" s="137" t="n"/>
      <c r="F165" s="137" t="n"/>
      <c r="G165" s="137" t="n"/>
      <c r="I165" s="56" t="inlineStr">
        <is>
          <t>AMPLIAR</t>
        </is>
      </c>
      <c r="J165" s="145">
        <f>DADOS_INVOC!$QL$11</f>
        <v/>
      </c>
      <c r="K165" s="19" t="n"/>
      <c r="L165" s="19" t="n"/>
      <c r="M165" s="20" t="n"/>
      <c r="N165" s="137" t="n"/>
      <c r="O165" s="137" t="n"/>
      <c r="P165" s="137" t="n"/>
      <c r="Q165" s="137" t="n"/>
      <c r="R165" s="137" t="n"/>
      <c r="S165" s="137" t="n"/>
      <c r="T165" s="137" t="n"/>
      <c r="U165" s="137" t="n"/>
      <c r="V165" s="137" t="n"/>
      <c r="W165" s="137" t="n"/>
      <c r="X165" s="137" t="n"/>
      <c r="Y165" s="137" t="n"/>
      <c r="Z165" s="137" t="n"/>
      <c r="AB165" s="56" t="inlineStr">
        <is>
          <t>AMPLIAR</t>
        </is>
      </c>
      <c r="AC165" s="145">
        <f>DADOS_INVOC!$QL$89</f>
        <v/>
      </c>
      <c r="AD165" s="19" t="n"/>
      <c r="AE165" s="19" t="n"/>
      <c r="AF165" s="20" t="n"/>
      <c r="AG165" s="137" t="n"/>
      <c r="AH165" s="137" t="n"/>
      <c r="AI165" s="137" t="n"/>
      <c r="AJ165" s="137" t="n"/>
      <c r="AK165" s="137" t="n"/>
      <c r="AL165" s="137" t="n"/>
      <c r="AM165" s="137" t="n"/>
      <c r="AN165" s="137" t="n"/>
      <c r="AO165" s="137" t="n"/>
      <c r="AP165" s="137" t="n"/>
      <c r="AQ165" s="137" t="n"/>
      <c r="AR165" s="137" t="n"/>
      <c r="AS165" s="137" t="n"/>
    </row>
    <row r="166" hidden="1" outlineLevel="3">
      <c r="A166" s="8" t="n"/>
      <c r="B166" s="14" t="n"/>
      <c r="C166" s="137" t="n"/>
      <c r="D166" s="137" t="n"/>
      <c r="E166" s="137" t="n"/>
      <c r="F166" s="137" t="n"/>
      <c r="G166" s="137" t="n"/>
      <c r="I166" s="128" t="n"/>
      <c r="J166" s="23" t="n"/>
      <c r="K166" s="24" t="n"/>
      <c r="L166" s="24" t="n"/>
      <c r="M166" s="25" t="n"/>
      <c r="N166" s="137" t="n"/>
      <c r="O166" s="137" t="n"/>
      <c r="P166" s="137" t="n"/>
      <c r="Q166" s="137" t="n"/>
      <c r="R166" s="137" t="n"/>
      <c r="S166" s="137" t="n"/>
      <c r="T166" s="137" t="n"/>
      <c r="U166" s="137" t="n"/>
      <c r="V166" s="137" t="n"/>
      <c r="W166" s="137" t="n"/>
      <c r="X166" s="137" t="n"/>
      <c r="Y166" s="137" t="n"/>
      <c r="Z166" s="137" t="n"/>
      <c r="AB166" s="128" t="n"/>
      <c r="AC166" s="23" t="n"/>
      <c r="AD166" s="24" t="n"/>
      <c r="AE166" s="24" t="n"/>
      <c r="AF166" s="25" t="n"/>
      <c r="AG166" s="137" t="n"/>
      <c r="AH166" s="137" t="n"/>
      <c r="AI166" s="137" t="n"/>
      <c r="AJ166" s="137" t="n"/>
      <c r="AK166" s="137" t="n"/>
      <c r="AL166" s="137" t="n"/>
      <c r="AM166" s="137" t="n"/>
      <c r="AN166" s="137" t="n"/>
      <c r="AO166" s="137" t="n"/>
      <c r="AP166" s="137" t="n"/>
      <c r="AQ166" s="137" t="n"/>
      <c r="AR166" s="137" t="n"/>
      <c r="AS166" s="137" t="n"/>
    </row>
    <row r="167" hidden="1" outlineLevel="3">
      <c r="A167" s="8" t="n"/>
      <c r="B167" s="14" t="n"/>
      <c r="C167" s="137" t="n"/>
      <c r="D167" s="137" t="n"/>
      <c r="E167" s="137" t="n"/>
      <c r="F167" s="137" t="n"/>
      <c r="G167" s="137" t="n"/>
      <c r="I167" s="145">
        <f>DADOS_INVOC!$PY$11</f>
        <v/>
      </c>
      <c r="J167" s="19" t="n"/>
      <c r="K167" s="19" t="n"/>
      <c r="L167" s="19" t="n"/>
      <c r="M167" s="20" t="n"/>
      <c r="N167" s="137" t="n"/>
      <c r="O167" s="137" t="n"/>
      <c r="P167" s="137" t="n"/>
      <c r="Q167" s="137" t="n"/>
      <c r="R167" s="137" t="n"/>
      <c r="S167" s="137" t="n"/>
      <c r="T167" s="137" t="n"/>
      <c r="U167" s="137" t="n"/>
      <c r="V167" s="137" t="n"/>
      <c r="W167" s="137" t="n"/>
      <c r="X167" s="137" t="n"/>
      <c r="Y167" s="137" t="n"/>
      <c r="Z167" s="137" t="n"/>
      <c r="AB167" s="145">
        <f>DADOS_INVOC!$PY$89</f>
        <v/>
      </c>
      <c r="AC167" s="19" t="n"/>
      <c r="AD167" s="19" t="n"/>
      <c r="AE167" s="19" t="n"/>
      <c r="AF167" s="20" t="n"/>
      <c r="AG167" s="137" t="n"/>
      <c r="AH167" s="137" t="n"/>
      <c r="AI167" s="137" t="n"/>
      <c r="AJ167" s="137" t="n"/>
      <c r="AK167" s="137" t="n"/>
      <c r="AL167" s="137" t="n"/>
      <c r="AM167" s="137" t="n"/>
      <c r="AN167" s="137" t="n"/>
      <c r="AO167" s="137" t="n"/>
      <c r="AP167" s="137" t="n"/>
      <c r="AQ167" s="137" t="n"/>
      <c r="AR167" s="137" t="n"/>
      <c r="AS167" s="137" t="n"/>
    </row>
    <row r="168" hidden="1" outlineLevel="3">
      <c r="A168" s="8" t="n"/>
      <c r="B168" s="14" t="n"/>
      <c r="C168" s="137" t="n"/>
      <c r="D168" s="137" t="n"/>
      <c r="E168" s="137" t="n"/>
      <c r="F168" s="137" t="n"/>
      <c r="G168" s="137" t="n"/>
      <c r="I168" s="23" t="n"/>
      <c r="J168" s="24" t="n"/>
      <c r="K168" s="24" t="n"/>
      <c r="L168" s="24" t="n"/>
      <c r="M168" s="25" t="n"/>
      <c r="N168" s="137" t="n"/>
      <c r="O168" s="137" t="n"/>
      <c r="P168" s="137" t="n"/>
      <c r="Q168" s="137" t="n"/>
      <c r="R168" s="137" t="n"/>
      <c r="S168" s="137" t="n"/>
      <c r="T168" s="137" t="n"/>
      <c r="U168" s="137" t="n"/>
      <c r="V168" s="137" t="n"/>
      <c r="W168" s="137" t="n"/>
      <c r="X168" s="137" t="n"/>
      <c r="Y168" s="137" t="n"/>
      <c r="Z168" s="137" t="n"/>
      <c r="AB168" s="23" t="n"/>
      <c r="AC168" s="24" t="n"/>
      <c r="AD168" s="24" t="n"/>
      <c r="AE168" s="24" t="n"/>
      <c r="AF168" s="25" t="n"/>
      <c r="AG168" s="137" t="n"/>
      <c r="AH168" s="137" t="n"/>
      <c r="AI168" s="137" t="n"/>
      <c r="AJ168" s="137" t="n"/>
      <c r="AK168" s="137" t="n"/>
      <c r="AL168" s="137" t="n"/>
      <c r="AM168" s="137" t="n"/>
      <c r="AN168" s="137" t="n"/>
      <c r="AO168" s="137" t="n"/>
      <c r="AP168" s="137" t="n"/>
      <c r="AQ168" s="137" t="n"/>
      <c r="AR168" s="137" t="n"/>
      <c r="AS168" s="137" t="n"/>
    </row>
    <row r="169" outlineLevel="1">
      <c r="A169" s="8" t="n"/>
      <c r="B169" s="14" t="n"/>
      <c r="C169" s="137" t="n"/>
      <c r="D169" s="137" t="n"/>
      <c r="E169" s="137" t="n"/>
      <c r="F169" s="137" t="n"/>
      <c r="G169" s="137" t="n"/>
      <c r="I169" s="137" t="n"/>
      <c r="J169" s="137" t="n"/>
      <c r="K169" s="137" t="n"/>
      <c r="L169" s="137" t="n"/>
      <c r="M169" s="137" t="n"/>
      <c r="N169" s="137" t="n"/>
      <c r="O169" s="137" t="n"/>
      <c r="P169" s="137" t="n"/>
      <c r="Q169" s="137" t="n"/>
      <c r="R169" s="137" t="n"/>
      <c r="S169" s="137" t="n"/>
      <c r="T169" s="137" t="n"/>
      <c r="U169" s="137" t="n"/>
      <c r="V169" s="137" t="n"/>
      <c r="W169" s="137" t="n"/>
      <c r="X169" s="137" t="n"/>
      <c r="Y169" s="137" t="n"/>
      <c r="Z169" s="137"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37" t="n"/>
      <c r="AS169" s="137" t="n"/>
    </row>
    <row r="170" outlineLevel="1">
      <c r="A170" s="8" t="n"/>
      <c r="B170" s="14" t="n"/>
      <c r="C170" s="137" t="n"/>
      <c r="D170" s="137" t="n"/>
      <c r="E170" s="137" t="n"/>
      <c r="F170" s="137" t="n"/>
      <c r="G170" s="137" t="n"/>
      <c r="I170" s="146" t="inlineStr">
        <is>
          <t>REPERTÓRIO DA TRILHA · só o Evocador: as escolhas a mais da Invocação Principal e do Repertório do Conjunto</t>
        </is>
      </c>
      <c r="J170" s="16" t="n"/>
      <c r="K170" s="16" t="n"/>
      <c r="L170" s="16" t="n"/>
      <c r="M170" s="16" t="n"/>
      <c r="N170" s="16" t="n"/>
      <c r="O170" s="16" t="n"/>
      <c r="P170" s="16" t="n"/>
      <c r="Q170" s="16" t="n"/>
      <c r="R170" s="16" t="n"/>
      <c r="S170" s="16" t="n"/>
      <c r="T170" s="16" t="n"/>
      <c r="U170" s="16" t="n"/>
      <c r="V170" s="16" t="n"/>
      <c r="W170" s="16" t="n"/>
      <c r="X170" s="16" t="n"/>
      <c r="Y170" s="17" t="n"/>
      <c r="Z170" s="137" t="n"/>
      <c r="AB170" s="146" t="inlineStr">
        <is>
          <t>REPERTÓRIO DA TRILHA · só o Evocador: as escolhas a mais da Invocação Principal e do Repertório do Conjunto</t>
        </is>
      </c>
      <c r="AC170" s="16" t="n"/>
      <c r="AD170" s="16" t="n"/>
      <c r="AE170" s="16" t="n"/>
      <c r="AF170" s="16" t="n"/>
      <c r="AG170" s="16" t="n"/>
      <c r="AH170" s="16" t="n"/>
      <c r="AI170" s="16" t="n"/>
      <c r="AJ170" s="16" t="n"/>
      <c r="AK170" s="16" t="n"/>
      <c r="AL170" s="16" t="n"/>
      <c r="AM170" s="16" t="n"/>
      <c r="AN170" s="16" t="n"/>
      <c r="AO170" s="16" t="n"/>
      <c r="AP170" s="16" t="n"/>
      <c r="AQ170" s="16" t="n"/>
      <c r="AR170" s="17" t="n"/>
      <c r="AS170" s="137" t="n"/>
    </row>
    <row r="171" hidden="1" outlineLevel="2">
      <c r="A171" s="8" t="n"/>
      <c r="B171" s="14" t="n"/>
      <c r="C171" s="137" t="n"/>
      <c r="D171" s="137" t="n"/>
      <c r="E171" s="137" t="n"/>
      <c r="F171" s="137" t="n"/>
      <c r="G171" s="137" t="n"/>
      <c r="I171" s="137" t="n"/>
      <c r="J171" s="137" t="n"/>
      <c r="K171" s="137" t="n"/>
      <c r="L171" s="137" t="n"/>
      <c r="M171" s="137" t="n"/>
      <c r="N171" s="137" t="n"/>
      <c r="O171" s="137" t="n"/>
      <c r="P171" s="137" t="n"/>
      <c r="Q171" s="137" t="n"/>
      <c r="R171" s="137" t="n"/>
      <c r="S171" s="137" t="n"/>
      <c r="T171" s="137" t="n"/>
      <c r="U171" s="137" t="n"/>
      <c r="V171" s="137" t="n"/>
      <c r="W171" s="137" t="n"/>
      <c r="X171" s="137" t="n"/>
      <c r="Y171" s="137" t="n"/>
      <c r="Z171" s="137"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37" t="n"/>
      <c r="AS171" s="137" t="n"/>
    </row>
    <row r="172" hidden="1" outlineLevel="2">
      <c r="A172" s="8" t="n"/>
      <c r="B172" s="14" t="n"/>
      <c r="C172" s="137" t="n"/>
      <c r="D172" s="137" t="n"/>
      <c r="E172" s="137" t="n"/>
      <c r="F172" s="137" t="n"/>
      <c r="G172" s="137" t="n"/>
      <c r="I172" s="56">
        <f>DADOS_INVOC!$PZ$12</f>
        <v/>
      </c>
      <c r="J172" s="16" t="n"/>
      <c r="K172" s="16" t="n"/>
      <c r="L172" s="16" t="n"/>
      <c r="M172" s="17" t="n"/>
      <c r="N172" s="137" t="n"/>
      <c r="O172" s="56">
        <f>DADOS_INVOC!$PZ$13</f>
        <v/>
      </c>
      <c r="P172" s="16" t="n"/>
      <c r="Q172" s="16" t="n"/>
      <c r="R172" s="16" t="n"/>
      <c r="S172" s="17" t="n"/>
      <c r="T172" s="137" t="n"/>
      <c r="U172" s="56">
        <f>DADOS_INVOC!$PZ$14</f>
        <v/>
      </c>
      <c r="V172" s="16" t="n"/>
      <c r="W172" s="16" t="n"/>
      <c r="X172" s="16" t="n"/>
      <c r="Y172" s="17" t="n"/>
      <c r="Z172" s="137" t="n"/>
      <c r="AB172" s="56">
        <f>DADOS_INVOC!$PZ$90</f>
        <v/>
      </c>
      <c r="AC172" s="16" t="n"/>
      <c r="AD172" s="16" t="n"/>
      <c r="AE172" s="16" t="n"/>
      <c r="AF172" s="17" t="n"/>
      <c r="AG172" s="137" t="n"/>
      <c r="AH172" s="56">
        <f>DADOS_INVOC!$PZ$91</f>
        <v/>
      </c>
      <c r="AI172" s="16" t="n"/>
      <c r="AJ172" s="16" t="n"/>
      <c r="AK172" s="16" t="n"/>
      <c r="AL172" s="17" t="n"/>
      <c r="AM172" s="137" t="n"/>
      <c r="AN172" s="56">
        <f>DADOS_INVOC!$PZ$92</f>
        <v/>
      </c>
      <c r="AO172" s="16" t="n"/>
      <c r="AP172" s="16" t="n"/>
      <c r="AQ172" s="16" t="n"/>
      <c r="AR172" s="17" t="n"/>
      <c r="AS172" s="137" t="n"/>
    </row>
    <row r="173" hidden="1" outlineLevel="2">
      <c r="A173" s="8" t="n"/>
      <c r="B173" s="14" t="n"/>
      <c r="C173" s="137" t="n"/>
      <c r="D173" s="137" t="n"/>
      <c r="E173" s="137" t="n"/>
      <c r="F173" s="137" t="n"/>
      <c r="G173" s="137" t="n"/>
      <c r="I173" s="141" t="n">
        <v>1</v>
      </c>
      <c r="J173" s="131" t="n"/>
      <c r="K173" s="16" t="n"/>
      <c r="L173" s="17" t="n"/>
      <c r="M173" s="142">
        <f>DADOS_INVOC!$PX$12</f>
        <v/>
      </c>
      <c r="N173" s="137" t="n"/>
      <c r="O173" s="141" t="n">
        <v>1</v>
      </c>
      <c r="P173" s="131" t="n"/>
      <c r="Q173" s="16" t="n"/>
      <c r="R173" s="17" t="n"/>
      <c r="S173" s="142">
        <f>DADOS_INVOC!$PX$13</f>
        <v/>
      </c>
      <c r="T173" s="137" t="n"/>
      <c r="U173" s="141" t="n">
        <v>1</v>
      </c>
      <c r="V173" s="131" t="n"/>
      <c r="W173" s="16" t="n"/>
      <c r="X173" s="17" t="n"/>
      <c r="Y173" s="142">
        <f>DADOS_INVOC!$PX$14</f>
        <v/>
      </c>
      <c r="Z173" s="137" t="n"/>
      <c r="AB173" s="141" t="n">
        <v>1</v>
      </c>
      <c r="AC173" s="131" t="n"/>
      <c r="AD173" s="16" t="n"/>
      <c r="AE173" s="17" t="n"/>
      <c r="AF173" s="142">
        <f>DADOS_INVOC!$PX$90</f>
        <v/>
      </c>
      <c r="AG173" s="137" t="n"/>
      <c r="AH173" s="141" t="n">
        <v>1</v>
      </c>
      <c r="AI173" s="131" t="n"/>
      <c r="AJ173" s="16" t="n"/>
      <c r="AK173" s="17" t="n"/>
      <c r="AL173" s="142">
        <f>DADOS_INVOC!$PX$91</f>
        <v/>
      </c>
      <c r="AM173" s="137" t="n"/>
      <c r="AN173" s="141" t="n">
        <v>1</v>
      </c>
      <c r="AO173" s="131" t="n"/>
      <c r="AP173" s="16" t="n"/>
      <c r="AQ173" s="17" t="n"/>
      <c r="AR173" s="142">
        <f>DADOS_INVOC!$PX$92</f>
        <v/>
      </c>
      <c r="AS173" s="137" t="n"/>
    </row>
    <row r="174" hidden="1" outlineLevel="3">
      <c r="A174" s="8" t="n"/>
      <c r="B174" s="14" t="n"/>
      <c r="C174" s="137" t="n"/>
      <c r="D174" s="137" t="n"/>
      <c r="E174" s="137" t="n"/>
      <c r="F174" s="137" t="n"/>
      <c r="G174" s="137" t="n"/>
      <c r="I174" s="56" t="inlineStr">
        <is>
          <t>COMO É</t>
        </is>
      </c>
      <c r="J174" s="16" t="n"/>
      <c r="K174" s="16" t="n"/>
      <c r="L174" s="16" t="n"/>
      <c r="M174" s="17" t="n"/>
      <c r="N174" s="137" t="n"/>
      <c r="O174" s="56" t="inlineStr">
        <is>
          <t>COMO É</t>
        </is>
      </c>
      <c r="P174" s="16" t="n"/>
      <c r="Q174" s="16" t="n"/>
      <c r="R174" s="16" t="n"/>
      <c r="S174" s="17" t="n"/>
      <c r="T174" s="137" t="n"/>
      <c r="U174" s="56" t="inlineStr">
        <is>
          <t>COMO É</t>
        </is>
      </c>
      <c r="V174" s="16" t="n"/>
      <c r="W174" s="16" t="n"/>
      <c r="X174" s="16" t="n"/>
      <c r="Y174" s="17" t="n"/>
      <c r="Z174" s="137" t="n"/>
      <c r="AB174" s="56" t="inlineStr">
        <is>
          <t>COMO É</t>
        </is>
      </c>
      <c r="AC174" s="16" t="n"/>
      <c r="AD174" s="16" t="n"/>
      <c r="AE174" s="16" t="n"/>
      <c r="AF174" s="17" t="n"/>
      <c r="AG174" s="137" t="n"/>
      <c r="AH174" s="56" t="inlineStr">
        <is>
          <t>COMO É</t>
        </is>
      </c>
      <c r="AI174" s="16" t="n"/>
      <c r="AJ174" s="16" t="n"/>
      <c r="AK174" s="16" t="n"/>
      <c r="AL174" s="17" t="n"/>
      <c r="AM174" s="137" t="n"/>
      <c r="AN174" s="56" t="inlineStr">
        <is>
          <t>COMO É</t>
        </is>
      </c>
      <c r="AO174" s="16" t="n"/>
      <c r="AP174" s="16" t="n"/>
      <c r="AQ174" s="16" t="n"/>
      <c r="AR174" s="17" t="n"/>
      <c r="AS174" s="137" t="n"/>
    </row>
    <row r="175" hidden="1" outlineLevel="3">
      <c r="A175" s="8" t="n"/>
      <c r="B175" s="14" t="n"/>
      <c r="C175" s="137" t="n"/>
      <c r="D175" s="137" t="n"/>
      <c r="E175" s="137" t="n"/>
      <c r="F175" s="137" t="n"/>
      <c r="G175" s="137" t="n"/>
      <c r="I175" s="61" t="n"/>
      <c r="J175" s="19" t="n"/>
      <c r="K175" s="19" t="n"/>
      <c r="L175" s="19" t="n"/>
      <c r="M175" s="20" t="n"/>
      <c r="N175" s="137" t="n"/>
      <c r="O175" s="61" t="n"/>
      <c r="P175" s="19" t="n"/>
      <c r="Q175" s="19" t="n"/>
      <c r="R175" s="19" t="n"/>
      <c r="S175" s="20" t="n"/>
      <c r="T175" s="137" t="n"/>
      <c r="U175" s="61" t="n"/>
      <c r="V175" s="19" t="n"/>
      <c r="W175" s="19" t="n"/>
      <c r="X175" s="19" t="n"/>
      <c r="Y175" s="20" t="n"/>
      <c r="Z175" s="137" t="n"/>
      <c r="AB175" s="61" t="n"/>
      <c r="AC175" s="19" t="n"/>
      <c r="AD175" s="19" t="n"/>
      <c r="AE175" s="19" t="n"/>
      <c r="AF175" s="20" t="n"/>
      <c r="AG175" s="137" t="n"/>
      <c r="AH175" s="61" t="n"/>
      <c r="AI175" s="19" t="n"/>
      <c r="AJ175" s="19" t="n"/>
      <c r="AK175" s="19" t="n"/>
      <c r="AL175" s="20" t="n"/>
      <c r="AM175" s="137" t="n"/>
      <c r="AN175" s="61" t="n"/>
      <c r="AO175" s="19" t="n"/>
      <c r="AP175" s="19" t="n"/>
      <c r="AQ175" s="19" t="n"/>
      <c r="AR175" s="20" t="n"/>
      <c r="AS175" s="137" t="n"/>
    </row>
    <row r="176" hidden="1" outlineLevel="3">
      <c r="A176" s="8" t="n"/>
      <c r="B176" s="14" t="n"/>
      <c r="C176" s="137" t="n"/>
      <c r="D176" s="137" t="n"/>
      <c r="E176" s="137" t="n"/>
      <c r="F176" s="137" t="n"/>
      <c r="G176" s="137" t="n"/>
      <c r="I176" s="21" t="n"/>
      <c r="M176" s="22" t="n"/>
      <c r="N176" s="137" t="n"/>
      <c r="O176" s="21" t="n"/>
      <c r="S176" s="22" t="n"/>
      <c r="T176" s="137" t="n"/>
      <c r="U176" s="21" t="n"/>
      <c r="Y176" s="22" t="n"/>
      <c r="Z176" s="137" t="n"/>
      <c r="AB176" s="21" t="n"/>
      <c r="AF176" s="22" t="n"/>
      <c r="AG176" s="137" t="n"/>
      <c r="AH176" s="21" t="n"/>
      <c r="AL176" s="22" t="n"/>
      <c r="AM176" s="137" t="n"/>
      <c r="AN176" s="21" t="n"/>
      <c r="AR176" s="22" t="n"/>
      <c r="AS176" s="137" t="n"/>
    </row>
    <row r="177" hidden="1" outlineLevel="3">
      <c r="A177" s="8" t="n"/>
      <c r="B177" s="14" t="n"/>
      <c r="C177" s="137" t="n"/>
      <c r="D177" s="137" t="n"/>
      <c r="E177" s="137" t="n"/>
      <c r="F177" s="137" t="n"/>
      <c r="G177" s="137" t="n"/>
      <c r="I177" s="23" t="n"/>
      <c r="J177" s="24" t="n"/>
      <c r="K177" s="24" t="n"/>
      <c r="L177" s="24" t="n"/>
      <c r="M177" s="25" t="n"/>
      <c r="N177" s="137" t="n"/>
      <c r="O177" s="23" t="n"/>
      <c r="P177" s="24" t="n"/>
      <c r="Q177" s="24" t="n"/>
      <c r="R177" s="24" t="n"/>
      <c r="S177" s="25" t="n"/>
      <c r="T177" s="137" t="n"/>
      <c r="U177" s="23" t="n"/>
      <c r="V177" s="24" t="n"/>
      <c r="W177" s="24" t="n"/>
      <c r="X177" s="24" t="n"/>
      <c r="Y177" s="25" t="n"/>
      <c r="Z177" s="137" t="n"/>
      <c r="AB177" s="23" t="n"/>
      <c r="AC177" s="24" t="n"/>
      <c r="AD177" s="24" t="n"/>
      <c r="AE177" s="24" t="n"/>
      <c r="AF177" s="25" t="n"/>
      <c r="AG177" s="137" t="n"/>
      <c r="AH177" s="23" t="n"/>
      <c r="AI177" s="24" t="n"/>
      <c r="AJ177" s="24" t="n"/>
      <c r="AK177" s="24" t="n"/>
      <c r="AL177" s="25" t="n"/>
      <c r="AM177" s="137" t="n"/>
      <c r="AN177" s="23" t="n"/>
      <c r="AO177" s="24" t="n"/>
      <c r="AP177" s="24" t="n"/>
      <c r="AQ177" s="24" t="n"/>
      <c r="AR177" s="25" t="n"/>
      <c r="AS177" s="137" t="n"/>
    </row>
    <row r="178" hidden="1" outlineLevel="2">
      <c r="A178" s="8" t="n"/>
      <c r="B178" s="14" t="n"/>
      <c r="C178" s="137" t="n"/>
      <c r="D178" s="137" t="n"/>
      <c r="E178" s="137" t="n"/>
      <c r="F178" s="137" t="n"/>
      <c r="G178" s="137" t="n"/>
      <c r="I178" s="95" t="inlineStr">
        <is>
          <t>Projétil</t>
        </is>
      </c>
      <c r="J178" s="17" t="n"/>
      <c r="K178" s="71">
        <f>DADOS_INVOC!$QE$12</f>
        <v/>
      </c>
      <c r="L178" s="17" t="n"/>
      <c r="M178" s="71">
        <f>DADOS_INVOC!$QA$12</f>
        <v/>
      </c>
      <c r="N178" s="137" t="n"/>
      <c r="O178" s="95" t="inlineStr">
        <is>
          <t>Projétil</t>
        </is>
      </c>
      <c r="P178" s="17" t="n"/>
      <c r="Q178" s="71">
        <f>DADOS_INVOC!$QE$13</f>
        <v/>
      </c>
      <c r="R178" s="17" t="n"/>
      <c r="S178" s="71">
        <f>DADOS_INVOC!$QA$13</f>
        <v/>
      </c>
      <c r="T178" s="137" t="n"/>
      <c r="U178" s="95" t="inlineStr">
        <is>
          <t>Projétil</t>
        </is>
      </c>
      <c r="V178" s="17" t="n"/>
      <c r="W178" s="71">
        <f>DADOS_INVOC!$QE$14</f>
        <v/>
      </c>
      <c r="X178" s="17" t="n"/>
      <c r="Y178" s="71">
        <f>DADOS_INVOC!$QA$14</f>
        <v/>
      </c>
      <c r="Z178" s="137" t="n"/>
      <c r="AB178" s="95" t="inlineStr">
        <is>
          <t>Projétil</t>
        </is>
      </c>
      <c r="AC178" s="17" t="n"/>
      <c r="AD178" s="71">
        <f>DADOS_INVOC!$QE$90</f>
        <v/>
      </c>
      <c r="AE178" s="17" t="n"/>
      <c r="AF178" s="71">
        <f>DADOS_INVOC!$QA$90</f>
        <v/>
      </c>
      <c r="AG178" s="137" t="n"/>
      <c r="AH178" s="95" t="inlineStr">
        <is>
          <t>Projétil</t>
        </is>
      </c>
      <c r="AI178" s="17" t="n"/>
      <c r="AJ178" s="71">
        <f>DADOS_INVOC!$QE$91</f>
        <v/>
      </c>
      <c r="AK178" s="17" t="n"/>
      <c r="AL178" s="71">
        <f>DADOS_INVOC!$QA$91</f>
        <v/>
      </c>
      <c r="AM178" s="137" t="n"/>
      <c r="AN178" s="95" t="inlineStr">
        <is>
          <t>Projétil</t>
        </is>
      </c>
      <c r="AO178" s="17" t="n"/>
      <c r="AP178" s="71">
        <f>DADOS_INVOC!$QE$92</f>
        <v/>
      </c>
      <c r="AQ178" s="17" t="n"/>
      <c r="AR178" s="71">
        <f>DADOS_INVOC!$QA$92</f>
        <v/>
      </c>
      <c r="AS178" s="137" t="n"/>
    </row>
    <row r="179" hidden="1" outlineLevel="2">
      <c r="A179" s="8" t="n"/>
      <c r="B179" s="14" t="n"/>
      <c r="C179" s="137" t="n"/>
      <c r="D179" s="137" t="n"/>
      <c r="E179" s="137" t="n"/>
      <c r="F179" s="137" t="n"/>
      <c r="G179" s="137" t="n"/>
      <c r="I179" s="95" t="n"/>
      <c r="J179" s="17" t="n"/>
      <c r="K179" s="95" t="n"/>
      <c r="L179" s="16" t="n"/>
      <c r="M179" s="17" t="n"/>
      <c r="N179" s="137" t="n"/>
      <c r="O179" s="95" t="n"/>
      <c r="P179" s="17" t="n"/>
      <c r="Q179" s="95" t="n"/>
      <c r="R179" s="16" t="n"/>
      <c r="S179" s="17" t="n"/>
      <c r="T179" s="137" t="n"/>
      <c r="U179" s="95" t="n"/>
      <c r="V179" s="17" t="n"/>
      <c r="W179" s="95" t="n"/>
      <c r="X179" s="16" t="n"/>
      <c r="Y179" s="17" t="n"/>
      <c r="Z179" s="137" t="n"/>
      <c r="AB179" s="95" t="n"/>
      <c r="AC179" s="17" t="n"/>
      <c r="AD179" s="95" t="n"/>
      <c r="AE179" s="16" t="n"/>
      <c r="AF179" s="17" t="n"/>
      <c r="AG179" s="137" t="n"/>
      <c r="AH179" s="95" t="n"/>
      <c r="AI179" s="17" t="n"/>
      <c r="AJ179" s="95" t="n"/>
      <c r="AK179" s="16" t="n"/>
      <c r="AL179" s="17" t="n"/>
      <c r="AM179" s="137" t="n"/>
      <c r="AN179" s="95" t="n"/>
      <c r="AO179" s="17" t="n"/>
      <c r="AP179" s="95" t="n"/>
      <c r="AQ179" s="16" t="n"/>
      <c r="AR179" s="17" t="n"/>
      <c r="AS179" s="137" t="n"/>
    </row>
    <row r="180" hidden="1" outlineLevel="2">
      <c r="A180" s="8" t="n"/>
      <c r="B180" s="14" t="n"/>
      <c r="C180" s="137" t="n"/>
      <c r="D180" s="137" t="n"/>
      <c r="E180" s="137" t="n"/>
      <c r="F180" s="137" t="n"/>
      <c r="G180" s="137" t="n"/>
      <c r="I180" s="95">
        <f>DADOS_INVOC!$QB$12</f>
        <v/>
      </c>
      <c r="J180" s="17" t="n"/>
      <c r="K180" s="95">
        <f>DADOS_INVOC!$QD$12</f>
        <v/>
      </c>
      <c r="L180" s="16" t="n"/>
      <c r="M180" s="17" t="n"/>
      <c r="N180" s="137" t="n"/>
      <c r="O180" s="95">
        <f>DADOS_INVOC!$QB$13</f>
        <v/>
      </c>
      <c r="P180" s="17" t="n"/>
      <c r="Q180" s="95">
        <f>DADOS_INVOC!$QD$13</f>
        <v/>
      </c>
      <c r="R180" s="16" t="n"/>
      <c r="S180" s="17" t="n"/>
      <c r="T180" s="137" t="n"/>
      <c r="U180" s="95">
        <f>DADOS_INVOC!$QB$14</f>
        <v/>
      </c>
      <c r="V180" s="17" t="n"/>
      <c r="W180" s="95">
        <f>DADOS_INVOC!$QD$14</f>
        <v/>
      </c>
      <c r="X180" s="16" t="n"/>
      <c r="Y180" s="17" t="n"/>
      <c r="Z180" s="137" t="n"/>
      <c r="AB180" s="95">
        <f>DADOS_INVOC!$QB$90</f>
        <v/>
      </c>
      <c r="AC180" s="17" t="n"/>
      <c r="AD180" s="95">
        <f>DADOS_INVOC!$QD$90</f>
        <v/>
      </c>
      <c r="AE180" s="16" t="n"/>
      <c r="AF180" s="17" t="n"/>
      <c r="AG180" s="137" t="n"/>
      <c r="AH180" s="95">
        <f>DADOS_INVOC!$QB$91</f>
        <v/>
      </c>
      <c r="AI180" s="17" t="n"/>
      <c r="AJ180" s="95">
        <f>DADOS_INVOC!$QD$91</f>
        <v/>
      </c>
      <c r="AK180" s="16" t="n"/>
      <c r="AL180" s="17" t="n"/>
      <c r="AM180" s="137" t="n"/>
      <c r="AN180" s="95">
        <f>DADOS_INVOC!$QB$92</f>
        <v/>
      </c>
      <c r="AO180" s="17" t="n"/>
      <c r="AP180" s="95">
        <f>DADOS_INVOC!$QD$92</f>
        <v/>
      </c>
      <c r="AQ180" s="16" t="n"/>
      <c r="AR180" s="17" t="n"/>
      <c r="AS180" s="137" t="n"/>
    </row>
    <row r="181" hidden="1" outlineLevel="2">
      <c r="A181" s="8" t="n"/>
      <c r="B181" s="14" t="n"/>
      <c r="C181" s="137" t="n"/>
      <c r="D181" s="137" t="n"/>
      <c r="E181" s="137" t="n"/>
      <c r="F181" s="137" t="n"/>
      <c r="G181" s="137" t="n"/>
      <c r="I181" s="143">
        <f>DADOS_INVOC!$QJ$12</f>
        <v/>
      </c>
      <c r="J181" s="16" t="n"/>
      <c r="K181" s="16" t="n"/>
      <c r="L181" s="16" t="n"/>
      <c r="M181" s="17" t="n"/>
      <c r="N181" s="137" t="n"/>
      <c r="O181" s="143">
        <f>DADOS_INVOC!$QJ$13</f>
        <v/>
      </c>
      <c r="P181" s="16" t="n"/>
      <c r="Q181" s="16" t="n"/>
      <c r="R181" s="16" t="n"/>
      <c r="S181" s="17" t="n"/>
      <c r="T181" s="137" t="n"/>
      <c r="U181" s="143">
        <f>DADOS_INVOC!$QJ$14</f>
        <v/>
      </c>
      <c r="V181" s="16" t="n"/>
      <c r="W181" s="16" t="n"/>
      <c r="X181" s="16" t="n"/>
      <c r="Y181" s="17" t="n"/>
      <c r="Z181" s="137" t="n"/>
      <c r="AB181" s="143">
        <f>DADOS_INVOC!$QJ$90</f>
        <v/>
      </c>
      <c r="AC181" s="16" t="n"/>
      <c r="AD181" s="16" t="n"/>
      <c r="AE181" s="16" t="n"/>
      <c r="AF181" s="17" t="n"/>
      <c r="AG181" s="137" t="n"/>
      <c r="AH181" s="143">
        <f>DADOS_INVOC!$QJ$91</f>
        <v/>
      </c>
      <c r="AI181" s="16" t="n"/>
      <c r="AJ181" s="16" t="n"/>
      <c r="AK181" s="16" t="n"/>
      <c r="AL181" s="17" t="n"/>
      <c r="AM181" s="137" t="n"/>
      <c r="AN181" s="143">
        <f>DADOS_INVOC!$QJ$92</f>
        <v/>
      </c>
      <c r="AO181" s="16" t="n"/>
      <c r="AP181" s="16" t="n"/>
      <c r="AQ181" s="16" t="n"/>
      <c r="AR181" s="17" t="n"/>
      <c r="AS181" s="137" t="n"/>
    </row>
    <row r="182" hidden="1" outlineLevel="3">
      <c r="A182" s="8" t="n"/>
      <c r="B182" s="14" t="n"/>
      <c r="C182" s="137" t="n"/>
      <c r="D182" s="137" t="n"/>
      <c r="E182" s="137" t="n"/>
      <c r="F182" s="137" t="n"/>
      <c r="G182" s="137" t="n"/>
      <c r="I182" s="56" t="inlineStr">
        <is>
          <t>MELHORIAS</t>
        </is>
      </c>
      <c r="J182" s="144" t="n"/>
      <c r="K182" s="16" t="n"/>
      <c r="L182" s="17" t="n"/>
      <c r="M182" s="143">
        <f>DADOS_INVOC!$QM$12</f>
        <v/>
      </c>
      <c r="N182" s="137" t="n"/>
      <c r="O182" s="56" t="inlineStr">
        <is>
          <t>MELHORIAS</t>
        </is>
      </c>
      <c r="P182" s="144" t="n"/>
      <c r="Q182" s="16" t="n"/>
      <c r="R182" s="17" t="n"/>
      <c r="S182" s="143">
        <f>DADOS_INVOC!$QM$13</f>
        <v/>
      </c>
      <c r="T182" s="137" t="n"/>
      <c r="U182" s="56" t="inlineStr">
        <is>
          <t>MELHORIAS</t>
        </is>
      </c>
      <c r="V182" s="144" t="n"/>
      <c r="W182" s="16" t="n"/>
      <c r="X182" s="17" t="n"/>
      <c r="Y182" s="143">
        <f>DADOS_INVOC!$QM$14</f>
        <v/>
      </c>
      <c r="Z182" s="137" t="n"/>
      <c r="AB182" s="56" t="inlineStr">
        <is>
          <t>MELHORIAS</t>
        </is>
      </c>
      <c r="AC182" s="144" t="n"/>
      <c r="AD182" s="16" t="n"/>
      <c r="AE182" s="17" t="n"/>
      <c r="AF182" s="143">
        <f>DADOS_INVOC!$QM$90</f>
        <v/>
      </c>
      <c r="AG182" s="137" t="n"/>
      <c r="AH182" s="56" t="inlineStr">
        <is>
          <t>MELHORIAS</t>
        </is>
      </c>
      <c r="AI182" s="144" t="n"/>
      <c r="AJ182" s="16" t="n"/>
      <c r="AK182" s="17" t="n"/>
      <c r="AL182" s="143">
        <f>DADOS_INVOC!$QM$91</f>
        <v/>
      </c>
      <c r="AM182" s="137" t="n"/>
      <c r="AN182" s="56" t="inlineStr">
        <is>
          <t>MELHORIAS</t>
        </is>
      </c>
      <c r="AO182" s="144" t="n"/>
      <c r="AP182" s="16" t="n"/>
      <c r="AQ182" s="17" t="n"/>
      <c r="AR182" s="143">
        <f>DADOS_INVOC!$QM$92</f>
        <v/>
      </c>
      <c r="AS182" s="137" t="n"/>
    </row>
    <row r="183" hidden="1" outlineLevel="3">
      <c r="A183" s="8" t="n"/>
      <c r="B183" s="14" t="n"/>
      <c r="C183" s="137" t="n"/>
      <c r="D183" s="137" t="n"/>
      <c r="E183" s="137" t="n"/>
      <c r="F183" s="137" t="n"/>
      <c r="G183" s="137" t="n"/>
      <c r="I183" s="66" t="n"/>
      <c r="J183" s="144" t="n"/>
      <c r="K183" s="16" t="n"/>
      <c r="L183" s="17" t="n"/>
      <c r="M183" s="143">
        <f>DADOS_INVOC!$QN$12</f>
        <v/>
      </c>
      <c r="N183" s="137" t="n"/>
      <c r="O183" s="66" t="n"/>
      <c r="P183" s="144" t="n"/>
      <c r="Q183" s="16" t="n"/>
      <c r="R183" s="17" t="n"/>
      <c r="S183" s="143">
        <f>DADOS_INVOC!$QN$13</f>
        <v/>
      </c>
      <c r="T183" s="137" t="n"/>
      <c r="U183" s="66" t="n"/>
      <c r="V183" s="144" t="n"/>
      <c r="W183" s="16" t="n"/>
      <c r="X183" s="17" t="n"/>
      <c r="Y183" s="143">
        <f>DADOS_INVOC!$QN$14</f>
        <v/>
      </c>
      <c r="Z183" s="137" t="n"/>
      <c r="AB183" s="66" t="n"/>
      <c r="AC183" s="144" t="n"/>
      <c r="AD183" s="16" t="n"/>
      <c r="AE183" s="17" t="n"/>
      <c r="AF183" s="143">
        <f>DADOS_INVOC!$QN$90</f>
        <v/>
      </c>
      <c r="AG183" s="137" t="n"/>
      <c r="AH183" s="66" t="n"/>
      <c r="AI183" s="144" t="n"/>
      <c r="AJ183" s="16" t="n"/>
      <c r="AK183" s="17" t="n"/>
      <c r="AL183" s="143">
        <f>DADOS_INVOC!$QN$91</f>
        <v/>
      </c>
      <c r="AM183" s="137" t="n"/>
      <c r="AN183" s="66" t="n"/>
      <c r="AO183" s="144" t="n"/>
      <c r="AP183" s="16" t="n"/>
      <c r="AQ183" s="17" t="n"/>
      <c r="AR183" s="143">
        <f>DADOS_INVOC!$QN$92</f>
        <v/>
      </c>
      <c r="AS183" s="137" t="n"/>
    </row>
    <row r="184" hidden="1" outlineLevel="3">
      <c r="A184" s="8" t="n"/>
      <c r="B184" s="14" t="n"/>
      <c r="C184" s="137" t="n"/>
      <c r="D184" s="137" t="n"/>
      <c r="E184" s="137" t="n"/>
      <c r="F184" s="137" t="n"/>
      <c r="G184" s="137" t="n"/>
      <c r="I184" s="66" t="n"/>
      <c r="J184" s="144" t="n"/>
      <c r="K184" s="16" t="n"/>
      <c r="L184" s="17" t="n"/>
      <c r="M184" s="143">
        <f>DADOS_INVOC!$QO$12</f>
        <v/>
      </c>
      <c r="N184" s="137" t="n"/>
      <c r="O184" s="66" t="n"/>
      <c r="P184" s="144" t="n"/>
      <c r="Q184" s="16" t="n"/>
      <c r="R184" s="17" t="n"/>
      <c r="S184" s="143">
        <f>DADOS_INVOC!$QO$13</f>
        <v/>
      </c>
      <c r="T184" s="137" t="n"/>
      <c r="U184" s="66" t="n"/>
      <c r="V184" s="144" t="n"/>
      <c r="W184" s="16" t="n"/>
      <c r="X184" s="17" t="n"/>
      <c r="Y184" s="143">
        <f>DADOS_INVOC!$QO$14</f>
        <v/>
      </c>
      <c r="Z184" s="137" t="n"/>
      <c r="AB184" s="66" t="n"/>
      <c r="AC184" s="144" t="n"/>
      <c r="AD184" s="16" t="n"/>
      <c r="AE184" s="17" t="n"/>
      <c r="AF184" s="143">
        <f>DADOS_INVOC!$QO$90</f>
        <v/>
      </c>
      <c r="AG184" s="137" t="n"/>
      <c r="AH184" s="66" t="n"/>
      <c r="AI184" s="144" t="n"/>
      <c r="AJ184" s="16" t="n"/>
      <c r="AK184" s="17" t="n"/>
      <c r="AL184" s="143">
        <f>DADOS_INVOC!$QO$91</f>
        <v/>
      </c>
      <c r="AM184" s="137" t="n"/>
      <c r="AN184" s="66" t="n"/>
      <c r="AO184" s="144" t="n"/>
      <c r="AP184" s="16" t="n"/>
      <c r="AQ184" s="17" t="n"/>
      <c r="AR184" s="143">
        <f>DADOS_INVOC!$QO$92</f>
        <v/>
      </c>
      <c r="AS184" s="137" t="n"/>
    </row>
    <row r="185" hidden="1" outlineLevel="3">
      <c r="A185" s="8" t="n"/>
      <c r="B185" s="14" t="n"/>
      <c r="C185" s="137" t="n"/>
      <c r="D185" s="137" t="n"/>
      <c r="E185" s="137" t="n"/>
      <c r="F185" s="137" t="n"/>
      <c r="G185" s="137" t="n"/>
      <c r="I185" s="128" t="n"/>
      <c r="J185" s="144" t="n"/>
      <c r="K185" s="16" t="n"/>
      <c r="L185" s="17" t="n"/>
      <c r="M185" s="143">
        <f>DADOS_INVOC!$QP$12</f>
        <v/>
      </c>
      <c r="N185" s="137" t="n"/>
      <c r="O185" s="128" t="n"/>
      <c r="P185" s="144" t="n"/>
      <c r="Q185" s="16" t="n"/>
      <c r="R185" s="17" t="n"/>
      <c r="S185" s="143">
        <f>DADOS_INVOC!$QP$13</f>
        <v/>
      </c>
      <c r="T185" s="137" t="n"/>
      <c r="U185" s="128" t="n"/>
      <c r="V185" s="144" t="n"/>
      <c r="W185" s="16" t="n"/>
      <c r="X185" s="17" t="n"/>
      <c r="Y185" s="143">
        <f>DADOS_INVOC!$QP$14</f>
        <v/>
      </c>
      <c r="Z185" s="137" t="n"/>
      <c r="AB185" s="128" t="n"/>
      <c r="AC185" s="144" t="n"/>
      <c r="AD185" s="16" t="n"/>
      <c r="AE185" s="17" t="n"/>
      <c r="AF185" s="143">
        <f>DADOS_INVOC!$QP$90</f>
        <v/>
      </c>
      <c r="AG185" s="137" t="n"/>
      <c r="AH185" s="128" t="n"/>
      <c r="AI185" s="144" t="n"/>
      <c r="AJ185" s="16" t="n"/>
      <c r="AK185" s="17" t="n"/>
      <c r="AL185" s="143">
        <f>DADOS_INVOC!$QP$91</f>
        <v/>
      </c>
      <c r="AM185" s="137" t="n"/>
      <c r="AN185" s="128" t="n"/>
      <c r="AO185" s="144" t="n"/>
      <c r="AP185" s="16" t="n"/>
      <c r="AQ185" s="17" t="n"/>
      <c r="AR185" s="143">
        <f>DADOS_INVOC!$QP$92</f>
        <v/>
      </c>
      <c r="AS185" s="137" t="n"/>
    </row>
    <row r="186" hidden="1" outlineLevel="3">
      <c r="A186" s="8" t="n"/>
      <c r="B186" s="14" t="n"/>
      <c r="C186" s="137" t="n"/>
      <c r="D186" s="137" t="n"/>
      <c r="E186" s="137" t="n"/>
      <c r="F186" s="137" t="n"/>
      <c r="G186" s="137" t="n"/>
      <c r="I186" s="56" t="inlineStr">
        <is>
          <t>RESTRIÇÕES</t>
        </is>
      </c>
      <c r="J186" s="144" t="n"/>
      <c r="K186" s="16" t="n"/>
      <c r="L186" s="17" t="n"/>
      <c r="M186" s="143">
        <f>DADOS_INVOC!$QQ$12</f>
        <v/>
      </c>
      <c r="N186" s="137" t="n"/>
      <c r="O186" s="56" t="inlineStr">
        <is>
          <t>RESTRIÇÕES</t>
        </is>
      </c>
      <c r="P186" s="144" t="n"/>
      <c r="Q186" s="16" t="n"/>
      <c r="R186" s="17" t="n"/>
      <c r="S186" s="143">
        <f>DADOS_INVOC!$QQ$13</f>
        <v/>
      </c>
      <c r="T186" s="137" t="n"/>
      <c r="U186" s="56" t="inlineStr">
        <is>
          <t>RESTRIÇÕES</t>
        </is>
      </c>
      <c r="V186" s="144" t="n"/>
      <c r="W186" s="16" t="n"/>
      <c r="X186" s="17" t="n"/>
      <c r="Y186" s="143">
        <f>DADOS_INVOC!$QQ$14</f>
        <v/>
      </c>
      <c r="Z186" s="137" t="n"/>
      <c r="AB186" s="56" t="inlineStr">
        <is>
          <t>RESTRIÇÕES</t>
        </is>
      </c>
      <c r="AC186" s="144" t="n"/>
      <c r="AD186" s="16" t="n"/>
      <c r="AE186" s="17" t="n"/>
      <c r="AF186" s="143">
        <f>DADOS_INVOC!$QQ$90</f>
        <v/>
      </c>
      <c r="AG186" s="137" t="n"/>
      <c r="AH186" s="56" t="inlineStr">
        <is>
          <t>RESTRIÇÕES</t>
        </is>
      </c>
      <c r="AI186" s="144" t="n"/>
      <c r="AJ186" s="16" t="n"/>
      <c r="AK186" s="17" t="n"/>
      <c r="AL186" s="143">
        <f>DADOS_INVOC!$QQ$91</f>
        <v/>
      </c>
      <c r="AM186" s="137" t="n"/>
      <c r="AN186" s="56" t="inlineStr">
        <is>
          <t>RESTRIÇÕES</t>
        </is>
      </c>
      <c r="AO186" s="144" t="n"/>
      <c r="AP186" s="16" t="n"/>
      <c r="AQ186" s="17" t="n"/>
      <c r="AR186" s="143">
        <f>DADOS_INVOC!$QQ$92</f>
        <v/>
      </c>
      <c r="AS186" s="137" t="n"/>
    </row>
    <row r="187" hidden="1" outlineLevel="3">
      <c r="A187" s="8" t="n"/>
      <c r="B187" s="14" t="n"/>
      <c r="C187" s="137" t="n"/>
      <c r="D187" s="137" t="n"/>
      <c r="E187" s="137" t="n"/>
      <c r="F187" s="137" t="n"/>
      <c r="G187" s="137" t="n"/>
      <c r="I187" s="128" t="n"/>
      <c r="J187" s="144" t="n"/>
      <c r="K187" s="16" t="n"/>
      <c r="L187" s="17" t="n"/>
      <c r="M187" s="143">
        <f>DADOS_INVOC!$QR$12</f>
        <v/>
      </c>
      <c r="N187" s="137" t="n"/>
      <c r="O187" s="128" t="n"/>
      <c r="P187" s="144" t="n"/>
      <c r="Q187" s="16" t="n"/>
      <c r="R187" s="17" t="n"/>
      <c r="S187" s="143">
        <f>DADOS_INVOC!$QR$13</f>
        <v/>
      </c>
      <c r="T187" s="137" t="n"/>
      <c r="U187" s="128" t="n"/>
      <c r="V187" s="144" t="n"/>
      <c r="W187" s="16" t="n"/>
      <c r="X187" s="17" t="n"/>
      <c r="Y187" s="143">
        <f>DADOS_INVOC!$QR$14</f>
        <v/>
      </c>
      <c r="Z187" s="137" t="n"/>
      <c r="AB187" s="128" t="n"/>
      <c r="AC187" s="144" t="n"/>
      <c r="AD187" s="16" t="n"/>
      <c r="AE187" s="17" t="n"/>
      <c r="AF187" s="143">
        <f>DADOS_INVOC!$QR$90</f>
        <v/>
      </c>
      <c r="AG187" s="137" t="n"/>
      <c r="AH187" s="128" t="n"/>
      <c r="AI187" s="144" t="n"/>
      <c r="AJ187" s="16" t="n"/>
      <c r="AK187" s="17" t="n"/>
      <c r="AL187" s="143">
        <f>DADOS_INVOC!$QR$91</f>
        <v/>
      </c>
      <c r="AM187" s="137" t="n"/>
      <c r="AN187" s="128" t="n"/>
      <c r="AO187" s="144" t="n"/>
      <c r="AP187" s="16" t="n"/>
      <c r="AQ187" s="17" t="n"/>
      <c r="AR187" s="143">
        <f>DADOS_INVOC!$QR$92</f>
        <v/>
      </c>
      <c r="AS187" s="137" t="n"/>
    </row>
    <row r="188" hidden="1" outlineLevel="3">
      <c r="A188" s="8" t="n"/>
      <c r="B188" s="14" t="n"/>
      <c r="C188" s="137" t="n"/>
      <c r="D188" s="137" t="n"/>
      <c r="E188" s="137" t="n"/>
      <c r="F188" s="137" t="n"/>
      <c r="G188" s="137" t="n"/>
      <c r="I188" s="56" t="inlineStr">
        <is>
          <t>CONTA</t>
        </is>
      </c>
      <c r="J188" s="145">
        <f>DADOS_INVOC!$QK$12</f>
        <v/>
      </c>
      <c r="K188" s="16" t="n"/>
      <c r="L188" s="16" t="n"/>
      <c r="M188" s="17" t="n"/>
      <c r="N188" s="137" t="n"/>
      <c r="O188" s="56" t="inlineStr">
        <is>
          <t>CONTA</t>
        </is>
      </c>
      <c r="P188" s="145">
        <f>DADOS_INVOC!$QK$13</f>
        <v/>
      </c>
      <c r="Q188" s="16" t="n"/>
      <c r="R188" s="16" t="n"/>
      <c r="S188" s="17" t="n"/>
      <c r="T188" s="137" t="n"/>
      <c r="U188" s="56" t="inlineStr">
        <is>
          <t>CONTA</t>
        </is>
      </c>
      <c r="V188" s="145">
        <f>DADOS_INVOC!$QK$14</f>
        <v/>
      </c>
      <c r="W188" s="16" t="n"/>
      <c r="X188" s="16" t="n"/>
      <c r="Y188" s="17" t="n"/>
      <c r="Z188" s="137" t="n"/>
      <c r="AB188" s="56" t="inlineStr">
        <is>
          <t>CONTA</t>
        </is>
      </c>
      <c r="AC188" s="145">
        <f>DADOS_INVOC!$QK$90</f>
        <v/>
      </c>
      <c r="AD188" s="16" t="n"/>
      <c r="AE188" s="16" t="n"/>
      <c r="AF188" s="17" t="n"/>
      <c r="AG188" s="137" t="n"/>
      <c r="AH188" s="56" t="inlineStr">
        <is>
          <t>CONTA</t>
        </is>
      </c>
      <c r="AI188" s="145">
        <f>DADOS_INVOC!$QK$91</f>
        <v/>
      </c>
      <c r="AJ188" s="16" t="n"/>
      <c r="AK188" s="16" t="n"/>
      <c r="AL188" s="17" t="n"/>
      <c r="AM188" s="137" t="n"/>
      <c r="AN188" s="56" t="inlineStr">
        <is>
          <t>CONTA</t>
        </is>
      </c>
      <c r="AO188" s="145">
        <f>DADOS_INVOC!$QK$92</f>
        <v/>
      </c>
      <c r="AP188" s="16" t="n"/>
      <c r="AQ188" s="16" t="n"/>
      <c r="AR188" s="17" t="n"/>
      <c r="AS188" s="137" t="n"/>
    </row>
    <row r="189" hidden="1" outlineLevel="3">
      <c r="A189" s="8" t="n"/>
      <c r="B189" s="14" t="n"/>
      <c r="C189" s="137" t="n"/>
      <c r="D189" s="137" t="n"/>
      <c r="E189" s="137" t="n"/>
      <c r="F189" s="137" t="n"/>
      <c r="G189" s="137" t="n"/>
      <c r="I189" s="56" t="inlineStr">
        <is>
          <t>AMPLIAR</t>
        </is>
      </c>
      <c r="J189" s="145">
        <f>DADOS_INVOC!$QL$12</f>
        <v/>
      </c>
      <c r="K189" s="19" t="n"/>
      <c r="L189" s="19" t="n"/>
      <c r="M189" s="20" t="n"/>
      <c r="N189" s="137" t="n"/>
      <c r="O189" s="56" t="inlineStr">
        <is>
          <t>AMPLIAR</t>
        </is>
      </c>
      <c r="P189" s="145">
        <f>DADOS_INVOC!$QL$13</f>
        <v/>
      </c>
      <c r="Q189" s="19" t="n"/>
      <c r="R189" s="19" t="n"/>
      <c r="S189" s="20" t="n"/>
      <c r="T189" s="137" t="n"/>
      <c r="U189" s="56" t="inlineStr">
        <is>
          <t>AMPLIAR</t>
        </is>
      </c>
      <c r="V189" s="145">
        <f>DADOS_INVOC!$QL$14</f>
        <v/>
      </c>
      <c r="W189" s="19" t="n"/>
      <c r="X189" s="19" t="n"/>
      <c r="Y189" s="20" t="n"/>
      <c r="Z189" s="137" t="n"/>
      <c r="AB189" s="56" t="inlineStr">
        <is>
          <t>AMPLIAR</t>
        </is>
      </c>
      <c r="AC189" s="145">
        <f>DADOS_INVOC!$QL$90</f>
        <v/>
      </c>
      <c r="AD189" s="19" t="n"/>
      <c r="AE189" s="19" t="n"/>
      <c r="AF189" s="20" t="n"/>
      <c r="AG189" s="137" t="n"/>
      <c r="AH189" s="56" t="inlineStr">
        <is>
          <t>AMPLIAR</t>
        </is>
      </c>
      <c r="AI189" s="145">
        <f>DADOS_INVOC!$QL$91</f>
        <v/>
      </c>
      <c r="AJ189" s="19" t="n"/>
      <c r="AK189" s="19" t="n"/>
      <c r="AL189" s="20" t="n"/>
      <c r="AM189" s="137" t="n"/>
      <c r="AN189" s="56" t="inlineStr">
        <is>
          <t>AMPLIAR</t>
        </is>
      </c>
      <c r="AO189" s="145">
        <f>DADOS_INVOC!$QL$92</f>
        <v/>
      </c>
      <c r="AP189" s="19" t="n"/>
      <c r="AQ189" s="19" t="n"/>
      <c r="AR189" s="20" t="n"/>
      <c r="AS189" s="137" t="n"/>
    </row>
    <row r="190" hidden="1" outlineLevel="3">
      <c r="A190" s="8" t="n"/>
      <c r="B190" s="14" t="n"/>
      <c r="C190" s="137" t="n"/>
      <c r="D190" s="137" t="n"/>
      <c r="E190" s="137" t="n"/>
      <c r="F190" s="137" t="n"/>
      <c r="G190" s="137" t="n"/>
      <c r="I190" s="128" t="n"/>
      <c r="J190" s="23" t="n"/>
      <c r="K190" s="24" t="n"/>
      <c r="L190" s="24" t="n"/>
      <c r="M190" s="25" t="n"/>
      <c r="N190" s="137" t="n"/>
      <c r="O190" s="128" t="n"/>
      <c r="P190" s="23" t="n"/>
      <c r="Q190" s="24" t="n"/>
      <c r="R190" s="24" t="n"/>
      <c r="S190" s="25" t="n"/>
      <c r="T190" s="137" t="n"/>
      <c r="U190" s="128" t="n"/>
      <c r="V190" s="23" t="n"/>
      <c r="W190" s="24" t="n"/>
      <c r="X190" s="24" t="n"/>
      <c r="Y190" s="25" t="n"/>
      <c r="Z190" s="137" t="n"/>
      <c r="AB190" s="128" t="n"/>
      <c r="AC190" s="23" t="n"/>
      <c r="AD190" s="24" t="n"/>
      <c r="AE190" s="24" t="n"/>
      <c r="AF190" s="25" t="n"/>
      <c r="AG190" s="137" t="n"/>
      <c r="AH190" s="128" t="n"/>
      <c r="AI190" s="23" t="n"/>
      <c r="AJ190" s="24" t="n"/>
      <c r="AK190" s="24" t="n"/>
      <c r="AL190" s="25" t="n"/>
      <c r="AM190" s="137" t="n"/>
      <c r="AN190" s="128" t="n"/>
      <c r="AO190" s="23" t="n"/>
      <c r="AP190" s="24" t="n"/>
      <c r="AQ190" s="24" t="n"/>
      <c r="AR190" s="25" t="n"/>
      <c r="AS190" s="137" t="n"/>
    </row>
    <row r="191" hidden="1" outlineLevel="3">
      <c r="A191" s="8" t="n"/>
      <c r="B191" s="14" t="n"/>
      <c r="C191" s="137" t="n"/>
      <c r="D191" s="137" t="n"/>
      <c r="E191" s="137" t="n"/>
      <c r="F191" s="137" t="n"/>
      <c r="G191" s="137" t="n"/>
      <c r="I191" s="145">
        <f>DADOS_INVOC!$PY$12</f>
        <v/>
      </c>
      <c r="J191" s="19" t="n"/>
      <c r="K191" s="19" t="n"/>
      <c r="L191" s="19" t="n"/>
      <c r="M191" s="20" t="n"/>
      <c r="N191" s="137" t="n"/>
      <c r="O191" s="145">
        <f>DADOS_INVOC!$PY$13</f>
        <v/>
      </c>
      <c r="P191" s="19" t="n"/>
      <c r="Q191" s="19" t="n"/>
      <c r="R191" s="19" t="n"/>
      <c r="S191" s="20" t="n"/>
      <c r="T191" s="137" t="n"/>
      <c r="U191" s="145">
        <f>DADOS_INVOC!$PY$14</f>
        <v/>
      </c>
      <c r="V191" s="19" t="n"/>
      <c r="W191" s="19" t="n"/>
      <c r="X191" s="19" t="n"/>
      <c r="Y191" s="20" t="n"/>
      <c r="Z191" s="137" t="n"/>
      <c r="AB191" s="145">
        <f>DADOS_INVOC!$PY$90</f>
        <v/>
      </c>
      <c r="AC191" s="19" t="n"/>
      <c r="AD191" s="19" t="n"/>
      <c r="AE191" s="19" t="n"/>
      <c r="AF191" s="20" t="n"/>
      <c r="AG191" s="137" t="n"/>
      <c r="AH191" s="145">
        <f>DADOS_INVOC!$PY$91</f>
        <v/>
      </c>
      <c r="AI191" s="19" t="n"/>
      <c r="AJ191" s="19" t="n"/>
      <c r="AK191" s="19" t="n"/>
      <c r="AL191" s="20" t="n"/>
      <c r="AM191" s="137" t="n"/>
      <c r="AN191" s="145">
        <f>DADOS_INVOC!$PY$92</f>
        <v/>
      </c>
      <c r="AO191" s="19" t="n"/>
      <c r="AP191" s="19" t="n"/>
      <c r="AQ191" s="19" t="n"/>
      <c r="AR191" s="20" t="n"/>
      <c r="AS191" s="137" t="n"/>
    </row>
    <row r="192" hidden="1" outlineLevel="3">
      <c r="A192" s="8" t="n"/>
      <c r="B192" s="14" t="n"/>
      <c r="C192" s="137" t="n"/>
      <c r="D192" s="137" t="n"/>
      <c r="E192" s="137" t="n"/>
      <c r="F192" s="137" t="n"/>
      <c r="G192" s="137" t="n"/>
      <c r="I192" s="23" t="n"/>
      <c r="J192" s="24" t="n"/>
      <c r="K192" s="24" t="n"/>
      <c r="L192" s="24" t="n"/>
      <c r="M192" s="25" t="n"/>
      <c r="N192" s="137" t="n"/>
      <c r="O192" s="23" t="n"/>
      <c r="P192" s="24" t="n"/>
      <c r="Q192" s="24" t="n"/>
      <c r="R192" s="24" t="n"/>
      <c r="S192" s="25" t="n"/>
      <c r="T192" s="137" t="n"/>
      <c r="U192" s="23" t="n"/>
      <c r="V192" s="24" t="n"/>
      <c r="W192" s="24" t="n"/>
      <c r="X192" s="24" t="n"/>
      <c r="Y192" s="25" t="n"/>
      <c r="Z192" s="137" t="n"/>
      <c r="AB192" s="23" t="n"/>
      <c r="AC192" s="24" t="n"/>
      <c r="AD192" s="24" t="n"/>
      <c r="AE192" s="24" t="n"/>
      <c r="AF192" s="25" t="n"/>
      <c r="AG192" s="137" t="n"/>
      <c r="AH192" s="23" t="n"/>
      <c r="AI192" s="24" t="n"/>
      <c r="AJ192" s="24" t="n"/>
      <c r="AK192" s="24" t="n"/>
      <c r="AL192" s="25" t="n"/>
      <c r="AM192" s="137" t="n"/>
      <c r="AN192" s="23" t="n"/>
      <c r="AO192" s="24" t="n"/>
      <c r="AP192" s="24" t="n"/>
      <c r="AQ192" s="24" t="n"/>
      <c r="AR192" s="25" t="n"/>
      <c r="AS192" s="137" t="n"/>
    </row>
    <row r="193" hidden="1" outlineLevel="2">
      <c r="A193" s="8" t="n"/>
      <c r="B193" s="14" t="n"/>
      <c r="C193" s="137" t="n"/>
      <c r="D193" s="137" t="n"/>
      <c r="E193" s="137" t="n"/>
      <c r="F193" s="137" t="n"/>
      <c r="G193" s="137" t="n"/>
      <c r="I193" s="137" t="n"/>
      <c r="J193" s="137" t="n"/>
      <c r="K193" s="137" t="n"/>
      <c r="L193" s="137" t="n"/>
      <c r="M193" s="137" t="n"/>
      <c r="N193" s="137" t="n"/>
      <c r="O193" s="137" t="n"/>
      <c r="P193" s="137" t="n"/>
      <c r="Q193" s="137" t="n"/>
      <c r="R193" s="137" t="n"/>
      <c r="S193" s="137" t="n"/>
      <c r="T193" s="137" t="n"/>
      <c r="U193" s="137" t="n"/>
      <c r="V193" s="137" t="n"/>
      <c r="W193" s="137" t="n"/>
      <c r="X193" s="137" t="n"/>
      <c r="Y193" s="137" t="n"/>
      <c r="Z193" s="137"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37" t="n"/>
      <c r="AS193" s="137" t="n"/>
    </row>
    <row r="194" hidden="1" outlineLevel="2">
      <c r="A194" s="8" t="n"/>
      <c r="B194" s="14" t="n"/>
      <c r="C194" s="137" t="n"/>
      <c r="D194" s="137" t="n"/>
      <c r="E194" s="137" t="n"/>
      <c r="F194" s="137" t="n"/>
      <c r="G194" s="137" t="n"/>
      <c r="I194" s="56" t="inlineStr">
        <is>
          <t>TALENTOS DA TRILHA · CATEGORIA 1</t>
        </is>
      </c>
      <c r="J194" s="16" t="n"/>
      <c r="K194" s="16" t="n"/>
      <c r="L194" s="16" t="n"/>
      <c r="M194" s="16" t="n"/>
      <c r="N194" s="16" t="n"/>
      <c r="O194" s="16" t="n"/>
      <c r="P194" s="16" t="n"/>
      <c r="Q194" s="16" t="n"/>
      <c r="R194" s="16" t="n"/>
      <c r="S194" s="16" t="n"/>
      <c r="T194" s="16" t="n"/>
      <c r="U194" s="16" t="n"/>
      <c r="V194" s="16" t="n"/>
      <c r="W194" s="16" t="n"/>
      <c r="X194" s="16" t="n"/>
      <c r="Y194" s="17" t="n"/>
      <c r="Z194" s="137" t="n"/>
      <c r="AB194" s="56" t="inlineStr">
        <is>
          <t>TALENTOS DA TRILHA · CATEGORIA 1</t>
        </is>
      </c>
      <c r="AC194" s="16" t="n"/>
      <c r="AD194" s="16" t="n"/>
      <c r="AE194" s="16" t="n"/>
      <c r="AF194" s="16" t="n"/>
      <c r="AG194" s="16" t="n"/>
      <c r="AH194" s="16" t="n"/>
      <c r="AI194" s="16" t="n"/>
      <c r="AJ194" s="16" t="n"/>
      <c r="AK194" s="16" t="n"/>
      <c r="AL194" s="16" t="n"/>
      <c r="AM194" s="16" t="n"/>
      <c r="AN194" s="16" t="n"/>
      <c r="AO194" s="16" t="n"/>
      <c r="AP194" s="16" t="n"/>
      <c r="AQ194" s="16" t="n"/>
      <c r="AR194" s="17" t="n"/>
      <c r="AS194" s="137" t="n"/>
    </row>
    <row r="195" hidden="1" outlineLevel="2">
      <c r="A195" s="8" t="n"/>
      <c r="B195" s="14" t="n"/>
      <c r="C195" s="137" t="n"/>
      <c r="D195" s="137" t="n"/>
      <c r="E195" s="137" t="n"/>
      <c r="F195" s="137" t="n"/>
      <c r="G195" s="137" t="n"/>
      <c r="I195" s="56" t="inlineStr">
        <is>
          <t>TRILHA · CE 1</t>
        </is>
      </c>
      <c r="J195" s="144" t="n"/>
      <c r="K195" s="16" t="n"/>
      <c r="L195" s="17" t="n"/>
      <c r="M195" s="150">
        <f>DADOS_INVOC!$IW$2</f>
        <v/>
      </c>
      <c r="N195" s="16" t="n"/>
      <c r="O195" s="16" t="n"/>
      <c r="P195" s="16" t="n"/>
      <c r="Q195" s="16" t="n"/>
      <c r="R195" s="16" t="n"/>
      <c r="S195" s="16" t="n"/>
      <c r="T195" s="16" t="n"/>
      <c r="U195" s="16" t="n"/>
      <c r="V195" s="16" t="n"/>
      <c r="W195" s="16" t="n"/>
      <c r="X195" s="16" t="n"/>
      <c r="Y195" s="17" t="n"/>
      <c r="Z195" s="137" t="n"/>
      <c r="AB195" s="56" t="inlineStr">
        <is>
          <t>TRILHA · CE 1</t>
        </is>
      </c>
      <c r="AC195" s="144" t="n"/>
      <c r="AD195" s="16" t="n"/>
      <c r="AE195" s="17" t="n"/>
      <c r="AF195" s="150">
        <f>DADOS_INVOC!$IW$8</f>
        <v/>
      </c>
      <c r="AG195" s="16" t="n"/>
      <c r="AH195" s="16" t="n"/>
      <c r="AI195" s="16" t="n"/>
      <c r="AJ195" s="16" t="n"/>
      <c r="AK195" s="16" t="n"/>
      <c r="AL195" s="16" t="n"/>
      <c r="AM195" s="16" t="n"/>
      <c r="AN195" s="16" t="n"/>
      <c r="AO195" s="16" t="n"/>
      <c r="AP195" s="16" t="n"/>
      <c r="AQ195" s="16" t="n"/>
      <c r="AR195" s="17" t="n"/>
      <c r="AS195" s="137" t="n"/>
    </row>
    <row r="196" hidden="1" outlineLevel="2">
      <c r="A196" s="8" t="n"/>
      <c r="B196" s="14" t="n"/>
      <c r="C196" s="137" t="n"/>
      <c r="D196" s="137" t="n"/>
      <c r="E196" s="137" t="n"/>
      <c r="F196" s="137" t="n"/>
      <c r="G196" s="137" t="n"/>
      <c r="I196" s="56" t="inlineStr">
        <is>
          <t>TRILHA · CE 1</t>
        </is>
      </c>
      <c r="J196" s="144" t="n"/>
      <c r="K196" s="16" t="n"/>
      <c r="L196" s="17" t="n"/>
      <c r="M196" s="150">
        <f>DADOS_INVOC!$IX$2</f>
        <v/>
      </c>
      <c r="N196" s="16" t="n"/>
      <c r="O196" s="16" t="n"/>
      <c r="P196" s="16" t="n"/>
      <c r="Q196" s="16" t="n"/>
      <c r="R196" s="16" t="n"/>
      <c r="S196" s="16" t="n"/>
      <c r="T196" s="16" t="n"/>
      <c r="U196" s="16" t="n"/>
      <c r="V196" s="16" t="n"/>
      <c r="W196" s="16" t="n"/>
      <c r="X196" s="16" t="n"/>
      <c r="Y196" s="17" t="n"/>
      <c r="Z196" s="137" t="n"/>
      <c r="AB196" s="56" t="inlineStr">
        <is>
          <t>TRILHA · CE 1</t>
        </is>
      </c>
      <c r="AC196" s="144" t="n"/>
      <c r="AD196" s="16" t="n"/>
      <c r="AE196" s="17" t="n"/>
      <c r="AF196" s="150">
        <f>DADOS_INVOC!$IX$8</f>
        <v/>
      </c>
      <c r="AG196" s="16" t="n"/>
      <c r="AH196" s="16" t="n"/>
      <c r="AI196" s="16" t="n"/>
      <c r="AJ196" s="16" t="n"/>
      <c r="AK196" s="16" t="n"/>
      <c r="AL196" s="16" t="n"/>
      <c r="AM196" s="16" t="n"/>
      <c r="AN196" s="16" t="n"/>
      <c r="AO196" s="16" t="n"/>
      <c r="AP196" s="16" t="n"/>
      <c r="AQ196" s="16" t="n"/>
      <c r="AR196" s="17" t="n"/>
      <c r="AS196" s="137" t="n"/>
    </row>
    <row r="197" hidden="1" outlineLevel="2">
      <c r="A197" s="8" t="n"/>
      <c r="B197" s="14" t="n"/>
      <c r="C197" s="137" t="n"/>
      <c r="D197" s="137" t="n"/>
      <c r="E197" s="137" t="n"/>
      <c r="F197" s="137" t="n"/>
      <c r="G197" s="137" t="n"/>
      <c r="I197" s="56" t="inlineStr">
        <is>
          <t>TRILHA · CE 1</t>
        </is>
      </c>
      <c r="J197" s="144" t="n"/>
      <c r="K197" s="16" t="n"/>
      <c r="L197" s="17" t="n"/>
      <c r="M197" s="150">
        <f>DADOS_INVOC!$IY$2</f>
        <v/>
      </c>
      <c r="N197" s="16" t="n"/>
      <c r="O197" s="16" t="n"/>
      <c r="P197" s="16" t="n"/>
      <c r="Q197" s="16" t="n"/>
      <c r="R197" s="16" t="n"/>
      <c r="S197" s="16" t="n"/>
      <c r="T197" s="16" t="n"/>
      <c r="U197" s="16" t="n"/>
      <c r="V197" s="16" t="n"/>
      <c r="W197" s="16" t="n"/>
      <c r="X197" s="16" t="n"/>
      <c r="Y197" s="17" t="n"/>
      <c r="Z197" s="137" t="n"/>
      <c r="AB197" s="56" t="inlineStr">
        <is>
          <t>TRILHA · CE 1</t>
        </is>
      </c>
      <c r="AC197" s="144" t="n"/>
      <c r="AD197" s="16" t="n"/>
      <c r="AE197" s="17" t="n"/>
      <c r="AF197" s="150">
        <f>DADOS_INVOC!$IY$8</f>
        <v/>
      </c>
      <c r="AG197" s="16" t="n"/>
      <c r="AH197" s="16" t="n"/>
      <c r="AI197" s="16" t="n"/>
      <c r="AJ197" s="16" t="n"/>
      <c r="AK197" s="16" t="n"/>
      <c r="AL197" s="16" t="n"/>
      <c r="AM197" s="16" t="n"/>
      <c r="AN197" s="16" t="n"/>
      <c r="AO197" s="16" t="n"/>
      <c r="AP197" s="16" t="n"/>
      <c r="AQ197" s="16" t="n"/>
      <c r="AR197" s="17" t="n"/>
      <c r="AS197" s="137" t="n"/>
    </row>
    <row r="198" outlineLevel="1">
      <c r="A198" s="8" t="n"/>
      <c r="B198" s="14" t="n"/>
      <c r="C198" s="137" t="n"/>
      <c r="D198" s="137" t="n"/>
      <c r="E198" s="137" t="n"/>
      <c r="F198" s="137" t="n"/>
      <c r="G198" s="137" t="n"/>
      <c r="I198" s="137" t="n"/>
      <c r="J198" s="137" t="n"/>
      <c r="K198" s="137" t="n"/>
      <c r="L198" s="137" t="n"/>
      <c r="M198" s="137" t="n"/>
      <c r="N198" s="137" t="n"/>
      <c r="O198" s="137" t="n"/>
      <c r="P198" s="137" t="n"/>
      <c r="Q198" s="137" t="n"/>
      <c r="R198" s="137" t="n"/>
      <c r="S198" s="137" t="n"/>
      <c r="T198" s="137" t="n"/>
      <c r="U198" s="137" t="n"/>
      <c r="V198" s="137" t="n"/>
      <c r="W198" s="137" t="n"/>
      <c r="X198" s="137" t="n"/>
      <c r="Y198" s="137" t="n"/>
      <c r="Z198" s="137" t="n"/>
      <c r="AB198" s="137" t="n"/>
      <c r="AC198" s="137" t="n"/>
      <c r="AD198" s="137" t="n"/>
      <c r="AE198" s="137" t="n"/>
      <c r="AF198" s="137" t="n"/>
      <c r="AG198" s="137" t="n"/>
      <c r="AH198" s="137" t="n"/>
      <c r="AI198" s="137" t="n"/>
      <c r="AJ198" s="137" t="n"/>
      <c r="AK198" s="137" t="n"/>
      <c r="AL198" s="137" t="n"/>
      <c r="AM198" s="137" t="n"/>
      <c r="AN198" s="137" t="n"/>
      <c r="AO198" s="137" t="n"/>
      <c r="AP198" s="137" t="n"/>
      <c r="AQ198" s="137" t="n"/>
      <c r="AR198" s="137" t="n"/>
      <c r="AS198" s="137" t="n"/>
    </row>
    <row r="199" outlineLevel="1">
      <c r="A199" s="8" t="n"/>
      <c r="B199" s="14" t="n"/>
      <c r="C199" s="137" t="n"/>
      <c r="D199" s="137" t="n"/>
      <c r="E199" s="137" t="n"/>
      <c r="F199" s="137" t="n"/>
      <c r="G199" s="137" t="n"/>
      <c r="I199" s="146" t="inlineStr">
        <is>
          <t>TRUNFOS · Liberação Máxima, Técnica Máxima e Expansão de Domínio, para quem tem técnica própria</t>
        </is>
      </c>
      <c r="J199" s="16" t="n"/>
      <c r="K199" s="16" t="n"/>
      <c r="L199" s="16" t="n"/>
      <c r="M199" s="16" t="n"/>
      <c r="N199" s="16" t="n"/>
      <c r="O199" s="16" t="n"/>
      <c r="P199" s="16" t="n"/>
      <c r="Q199" s="16" t="n"/>
      <c r="R199" s="16" t="n"/>
      <c r="S199" s="16" t="n"/>
      <c r="T199" s="16" t="n"/>
      <c r="U199" s="16" t="n"/>
      <c r="V199" s="16" t="n"/>
      <c r="W199" s="16" t="n"/>
      <c r="X199" s="16" t="n"/>
      <c r="Y199" s="17" t="n"/>
      <c r="Z199" s="137" t="n"/>
      <c r="AB199" s="146" t="inlineStr">
        <is>
          <t>TRUNFOS · Liberação Máxima, Técnica Máxima e Expansão de Domínio, para quem tem técnica própria</t>
        </is>
      </c>
      <c r="AC199" s="16" t="n"/>
      <c r="AD199" s="16" t="n"/>
      <c r="AE199" s="16" t="n"/>
      <c r="AF199" s="16" t="n"/>
      <c r="AG199" s="16" t="n"/>
      <c r="AH199" s="16" t="n"/>
      <c r="AI199" s="16" t="n"/>
      <c r="AJ199" s="16" t="n"/>
      <c r="AK199" s="16" t="n"/>
      <c r="AL199" s="16" t="n"/>
      <c r="AM199" s="16" t="n"/>
      <c r="AN199" s="16" t="n"/>
      <c r="AO199" s="16" t="n"/>
      <c r="AP199" s="16" t="n"/>
      <c r="AQ199" s="16" t="n"/>
      <c r="AR199" s="17" t="n"/>
      <c r="AS199" s="137" t="n"/>
    </row>
    <row r="200" hidden="1" outlineLevel="2">
      <c r="A200" s="8" t="n"/>
      <c r="B200" s="14" t="n"/>
      <c r="C200" s="137" t="n"/>
      <c r="D200" s="137" t="n"/>
      <c r="E200" s="137" t="n"/>
      <c r="F200" s="137" t="n"/>
      <c r="G200" s="137" t="n"/>
      <c r="I200" s="137" t="n"/>
      <c r="J200" s="137" t="n"/>
      <c r="K200" s="137" t="n"/>
      <c r="L200" s="137" t="n"/>
      <c r="M200" s="137" t="n"/>
      <c r="N200" s="137" t="n"/>
      <c r="O200" s="137" t="n"/>
      <c r="P200" s="137" t="n"/>
      <c r="Q200" s="137" t="n"/>
      <c r="R200" s="137" t="n"/>
      <c r="S200" s="137" t="n"/>
      <c r="T200" s="137" t="n"/>
      <c r="U200" s="137" t="n"/>
      <c r="V200" s="137" t="n"/>
      <c r="W200" s="137" t="n"/>
      <c r="X200" s="137" t="n"/>
      <c r="Y200" s="137" t="n"/>
      <c r="Z200" s="137" t="n"/>
      <c r="AB200" s="137" t="n"/>
      <c r="AC200" s="137" t="n"/>
      <c r="AD200" s="137" t="n"/>
      <c r="AE200" s="137" t="n"/>
      <c r="AF200" s="137" t="n"/>
      <c r="AG200" s="137" t="n"/>
      <c r="AH200" s="137" t="n"/>
      <c r="AI200" s="137" t="n"/>
      <c r="AJ200" s="137" t="n"/>
      <c r="AK200" s="137" t="n"/>
      <c r="AL200" s="137" t="n"/>
      <c r="AM200" s="137" t="n"/>
      <c r="AN200" s="137" t="n"/>
      <c r="AO200" s="137" t="n"/>
      <c r="AP200" s="137" t="n"/>
      <c r="AQ200" s="137" t="n"/>
      <c r="AR200" s="137" t="n"/>
      <c r="AS200" s="137" t="n"/>
    </row>
    <row r="201" hidden="1" outlineLevel="2">
      <c r="A201" s="8" t="n"/>
      <c r="B201" s="14" t="n"/>
      <c r="C201" s="137" t="n"/>
      <c r="D201" s="137" t="n"/>
      <c r="E201" s="137" t="n"/>
      <c r="F201" s="137" t="n"/>
      <c r="G201" s="137" t="n"/>
      <c r="I201" s="56" t="inlineStr">
        <is>
          <t>LIBERAÇÃO MÁXIMA 1</t>
        </is>
      </c>
      <c r="J201" s="16" t="n"/>
      <c r="K201" s="16" t="n"/>
      <c r="L201" s="16" t="n"/>
      <c r="M201" s="17" t="n"/>
      <c r="N201" s="137" t="n"/>
      <c r="O201" s="56" t="inlineStr">
        <is>
          <t>LIBERAÇÃO MÁXIMA 2</t>
        </is>
      </c>
      <c r="P201" s="16" t="n"/>
      <c r="Q201" s="16" t="n"/>
      <c r="R201" s="16" t="n"/>
      <c r="S201" s="17" t="n"/>
      <c r="T201" s="137" t="n"/>
      <c r="U201" s="56" t="inlineStr">
        <is>
          <t>LIBERAÇÃO MÁXIMA 3</t>
        </is>
      </c>
      <c r="V201" s="16" t="n"/>
      <c r="W201" s="16" t="n"/>
      <c r="X201" s="16" t="n"/>
      <c r="Y201" s="17" t="n"/>
      <c r="Z201" s="137" t="n"/>
      <c r="AB201" s="56" t="inlineStr">
        <is>
          <t>LIBERAÇÃO MÁXIMA 1</t>
        </is>
      </c>
      <c r="AC201" s="16" t="n"/>
      <c r="AD201" s="16" t="n"/>
      <c r="AE201" s="16" t="n"/>
      <c r="AF201" s="17" t="n"/>
      <c r="AG201" s="137" t="n"/>
      <c r="AH201" s="56" t="inlineStr">
        <is>
          <t>LIBERAÇÃO MÁXIMA 2</t>
        </is>
      </c>
      <c r="AI201" s="16" t="n"/>
      <c r="AJ201" s="16" t="n"/>
      <c r="AK201" s="16" t="n"/>
      <c r="AL201" s="17" t="n"/>
      <c r="AM201" s="137" t="n"/>
      <c r="AN201" s="56" t="inlineStr">
        <is>
          <t>LIBERAÇÃO MÁXIMA 3</t>
        </is>
      </c>
      <c r="AO201" s="16" t="n"/>
      <c r="AP201" s="16" t="n"/>
      <c r="AQ201" s="16" t="n"/>
      <c r="AR201" s="17" t="n"/>
      <c r="AS201" s="137" t="n"/>
    </row>
    <row r="202" hidden="1" outlineLevel="2">
      <c r="A202" s="8" t="n"/>
      <c r="B202" s="14" t="n"/>
      <c r="C202" s="137" t="n"/>
      <c r="D202" s="137" t="n"/>
      <c r="E202" s="137" t="n"/>
      <c r="F202" s="137" t="n"/>
      <c r="G202" s="137" t="n"/>
      <c r="I202" s="141" t="n">
        <v>3</v>
      </c>
      <c r="J202" s="131" t="n"/>
      <c r="K202" s="16" t="n"/>
      <c r="L202" s="17" t="n"/>
      <c r="M202" s="142">
        <f>DADOS_INVOC!$IZ$2</f>
        <v/>
      </c>
      <c r="N202" s="137" t="n"/>
      <c r="O202" s="141" t="n">
        <v>3</v>
      </c>
      <c r="P202" s="131" t="n"/>
      <c r="Q202" s="16" t="n"/>
      <c r="R202" s="17" t="n"/>
      <c r="S202" s="142">
        <f>DADOS_INVOC!$JA$2</f>
        <v/>
      </c>
      <c r="T202" s="137" t="n"/>
      <c r="U202" s="141" t="n">
        <v>3</v>
      </c>
      <c r="V202" s="131" t="n"/>
      <c r="W202" s="16" t="n"/>
      <c r="X202" s="17" t="n"/>
      <c r="Y202" s="142">
        <f>DADOS_INVOC!$JB$2</f>
        <v/>
      </c>
      <c r="Z202" s="137" t="n"/>
      <c r="AB202" s="141" t="n">
        <v>3</v>
      </c>
      <c r="AC202" s="131" t="n"/>
      <c r="AD202" s="16" t="n"/>
      <c r="AE202" s="17" t="n"/>
      <c r="AF202" s="142">
        <f>DADOS_INVOC!$IZ$8</f>
        <v/>
      </c>
      <c r="AG202" s="137" t="n"/>
      <c r="AH202" s="141" t="n">
        <v>3</v>
      </c>
      <c r="AI202" s="131" t="n"/>
      <c r="AJ202" s="16" t="n"/>
      <c r="AK202" s="17" t="n"/>
      <c r="AL202" s="142">
        <f>DADOS_INVOC!$JA$8</f>
        <v/>
      </c>
      <c r="AM202" s="137" t="n"/>
      <c r="AN202" s="141" t="n">
        <v>3</v>
      </c>
      <c r="AO202" s="131" t="n"/>
      <c r="AP202" s="16" t="n"/>
      <c r="AQ202" s="17" t="n"/>
      <c r="AR202" s="142">
        <f>DADOS_INVOC!$JB$8</f>
        <v/>
      </c>
      <c r="AS202" s="137" t="n"/>
    </row>
    <row r="203" hidden="1" outlineLevel="2">
      <c r="A203" s="8" t="n"/>
      <c r="B203" s="14" t="n"/>
      <c r="C203" s="137" t="n"/>
      <c r="D203" s="137" t="n"/>
      <c r="E203" s="137" t="n"/>
      <c r="F203" s="137" t="n"/>
      <c r="G203" s="137" t="n"/>
      <c r="I203" s="61" t="n"/>
      <c r="J203" s="19" t="n"/>
      <c r="K203" s="19" t="n"/>
      <c r="L203" s="19" t="n"/>
      <c r="M203" s="20" t="n"/>
      <c r="N203" s="137" t="n"/>
      <c r="O203" s="61" t="n"/>
      <c r="P203" s="19" t="n"/>
      <c r="Q203" s="19" t="n"/>
      <c r="R203" s="19" t="n"/>
      <c r="S203" s="20" t="n"/>
      <c r="T203" s="137" t="n"/>
      <c r="U203" s="61" t="n"/>
      <c r="V203" s="19" t="n"/>
      <c r="W203" s="19" t="n"/>
      <c r="X203" s="19" t="n"/>
      <c r="Y203" s="20" t="n"/>
      <c r="Z203" s="137" t="n"/>
      <c r="AB203" s="61" t="n"/>
      <c r="AC203" s="19" t="n"/>
      <c r="AD203" s="19" t="n"/>
      <c r="AE203" s="19" t="n"/>
      <c r="AF203" s="20" t="n"/>
      <c r="AG203" s="137" t="n"/>
      <c r="AH203" s="61" t="n"/>
      <c r="AI203" s="19" t="n"/>
      <c r="AJ203" s="19" t="n"/>
      <c r="AK203" s="19" t="n"/>
      <c r="AL203" s="20" t="n"/>
      <c r="AM203" s="137" t="n"/>
      <c r="AN203" s="61" t="n"/>
      <c r="AO203" s="19" t="n"/>
      <c r="AP203" s="19" t="n"/>
      <c r="AQ203" s="19" t="n"/>
      <c r="AR203" s="20" t="n"/>
      <c r="AS203" s="137" t="n"/>
    </row>
    <row r="204" hidden="1" outlineLevel="2">
      <c r="A204" s="8" t="n"/>
      <c r="B204" s="14" t="n"/>
      <c r="C204" s="137" t="n"/>
      <c r="D204" s="137" t="n"/>
      <c r="E204" s="137" t="n"/>
      <c r="F204" s="137" t="n"/>
      <c r="G204" s="137" t="n"/>
      <c r="I204" s="21" t="n"/>
      <c r="M204" s="22" t="n"/>
      <c r="N204" s="137" t="n"/>
      <c r="O204" s="21" t="n"/>
      <c r="S204" s="22" t="n"/>
      <c r="T204" s="137" t="n"/>
      <c r="U204" s="21" t="n"/>
      <c r="Y204" s="22" t="n"/>
      <c r="Z204" s="137" t="n"/>
      <c r="AB204" s="21" t="n"/>
      <c r="AF204" s="22" t="n"/>
      <c r="AG204" s="137" t="n"/>
      <c r="AH204" s="21" t="n"/>
      <c r="AL204" s="22" t="n"/>
      <c r="AM204" s="137" t="n"/>
      <c r="AN204" s="21" t="n"/>
      <c r="AR204" s="22" t="n"/>
      <c r="AS204" s="137" t="n"/>
    </row>
    <row r="205" hidden="1" outlineLevel="2">
      <c r="A205" s="8" t="n"/>
      <c r="B205" s="14" t="n"/>
      <c r="C205" s="137" t="n"/>
      <c r="D205" s="137" t="n"/>
      <c r="E205" s="137" t="n"/>
      <c r="F205" s="137" t="n"/>
      <c r="G205" s="137" t="n"/>
      <c r="I205" s="21" t="n"/>
      <c r="M205" s="22" t="n"/>
      <c r="N205" s="137" t="n"/>
      <c r="O205" s="21" t="n"/>
      <c r="S205" s="22" t="n"/>
      <c r="T205" s="137" t="n"/>
      <c r="U205" s="21" t="n"/>
      <c r="Y205" s="22" t="n"/>
      <c r="Z205" s="137" t="n"/>
      <c r="AB205" s="21" t="n"/>
      <c r="AF205" s="22" t="n"/>
      <c r="AG205" s="137" t="n"/>
      <c r="AH205" s="21" t="n"/>
      <c r="AL205" s="22" t="n"/>
      <c r="AM205" s="137" t="n"/>
      <c r="AN205" s="21" t="n"/>
      <c r="AR205" s="22" t="n"/>
      <c r="AS205" s="137" t="n"/>
    </row>
    <row r="206" hidden="1" outlineLevel="2">
      <c r="A206" s="8" t="n"/>
      <c r="B206" s="14" t="n"/>
      <c r="C206" s="137" t="n"/>
      <c r="D206" s="137" t="n"/>
      <c r="E206" s="137" t="n"/>
      <c r="F206" s="137" t="n"/>
      <c r="G206" s="137" t="n"/>
      <c r="I206" s="23" t="n"/>
      <c r="J206" s="24" t="n"/>
      <c r="K206" s="24" t="n"/>
      <c r="L206" s="24" t="n"/>
      <c r="M206" s="25" t="n"/>
      <c r="N206" s="137" t="n"/>
      <c r="O206" s="23" t="n"/>
      <c r="P206" s="24" t="n"/>
      <c r="Q206" s="24" t="n"/>
      <c r="R206" s="24" t="n"/>
      <c r="S206" s="25" t="n"/>
      <c r="T206" s="137" t="n"/>
      <c r="U206" s="23" t="n"/>
      <c r="V206" s="24" t="n"/>
      <c r="W206" s="24" t="n"/>
      <c r="X206" s="24" t="n"/>
      <c r="Y206" s="25" t="n"/>
      <c r="Z206" s="137" t="n"/>
      <c r="AB206" s="23" t="n"/>
      <c r="AC206" s="24" t="n"/>
      <c r="AD206" s="24" t="n"/>
      <c r="AE206" s="24" t="n"/>
      <c r="AF206" s="25" t="n"/>
      <c r="AG206" s="137" t="n"/>
      <c r="AH206" s="23" t="n"/>
      <c r="AI206" s="24" t="n"/>
      <c r="AJ206" s="24" t="n"/>
      <c r="AK206" s="24" t="n"/>
      <c r="AL206" s="25" t="n"/>
      <c r="AM206" s="137" t="n"/>
      <c r="AN206" s="23" t="n"/>
      <c r="AO206" s="24" t="n"/>
      <c r="AP206" s="24" t="n"/>
      <c r="AQ206" s="24" t="n"/>
      <c r="AR206" s="25" t="n"/>
      <c r="AS206" s="137" t="n"/>
    </row>
    <row r="207" hidden="1" outlineLevel="2">
      <c r="A207" s="8" t="n"/>
      <c r="B207" s="14" t="n"/>
      <c r="C207" s="137" t="n"/>
      <c r="D207" s="137" t="n"/>
      <c r="E207" s="137" t="n"/>
      <c r="F207" s="137" t="n"/>
      <c r="G207" s="137" t="n"/>
      <c r="I207" s="71">
        <f>DADOS_INVOC!$JC$2</f>
        <v/>
      </c>
      <c r="J207" s="16" t="n"/>
      <c r="K207" s="16" t="n"/>
      <c r="L207" s="16" t="n"/>
      <c r="M207" s="17" t="n"/>
      <c r="N207" s="137" t="n"/>
      <c r="O207" s="71">
        <f>DADOS_INVOC!$JD$2</f>
        <v/>
      </c>
      <c r="P207" s="16" t="n"/>
      <c r="Q207" s="16" t="n"/>
      <c r="R207" s="16" t="n"/>
      <c r="S207" s="17" t="n"/>
      <c r="T207" s="137" t="n"/>
      <c r="U207" s="71">
        <f>DADOS_INVOC!$JE$2</f>
        <v/>
      </c>
      <c r="V207" s="16" t="n"/>
      <c r="W207" s="16" t="n"/>
      <c r="X207" s="16" t="n"/>
      <c r="Y207" s="17" t="n"/>
      <c r="Z207" s="137" t="n"/>
      <c r="AB207" s="71">
        <f>DADOS_INVOC!$JC$8</f>
        <v/>
      </c>
      <c r="AC207" s="16" t="n"/>
      <c r="AD207" s="16" t="n"/>
      <c r="AE207" s="16" t="n"/>
      <c r="AF207" s="17" t="n"/>
      <c r="AG207" s="137" t="n"/>
      <c r="AH207" s="71">
        <f>DADOS_INVOC!$JD$8</f>
        <v/>
      </c>
      <c r="AI207" s="16" t="n"/>
      <c r="AJ207" s="16" t="n"/>
      <c r="AK207" s="16" t="n"/>
      <c r="AL207" s="17" t="n"/>
      <c r="AM207" s="137" t="n"/>
      <c r="AN207" s="71">
        <f>DADOS_INVOC!$JE$8</f>
        <v/>
      </c>
      <c r="AO207" s="16" t="n"/>
      <c r="AP207" s="16" t="n"/>
      <c r="AQ207" s="16" t="n"/>
      <c r="AR207" s="17" t="n"/>
      <c r="AS207" s="137" t="n"/>
    </row>
    <row r="208" hidden="1" outlineLevel="2">
      <c r="A208" s="8" t="n"/>
      <c r="B208" s="14" t="n"/>
      <c r="C208" s="137" t="n"/>
      <c r="D208" s="137" t="n"/>
      <c r="E208" s="137" t="n"/>
      <c r="F208" s="137" t="n"/>
      <c r="G208" s="137" t="n"/>
      <c r="I208" s="95" t="inlineStr">
        <is>
          <t>Sua Ação Completa + a básica dela</t>
        </is>
      </c>
      <c r="J208" s="16" t="n"/>
      <c r="K208" s="16" t="n"/>
      <c r="L208" s="16" t="n"/>
      <c r="M208" s="17" t="n"/>
      <c r="N208" s="137" t="n"/>
      <c r="O208" s="95" t="inlineStr">
        <is>
          <t>Sua Ação Completa + a básica dela</t>
        </is>
      </c>
      <c r="P208" s="16" t="n"/>
      <c r="Q208" s="16" t="n"/>
      <c r="R208" s="16" t="n"/>
      <c r="S208" s="17" t="n"/>
      <c r="T208" s="137" t="n"/>
      <c r="U208" s="95" t="inlineStr">
        <is>
          <t>Sua Ação Completa + a básica dela</t>
        </is>
      </c>
      <c r="V208" s="16" t="n"/>
      <c r="W208" s="16" t="n"/>
      <c r="X208" s="16" t="n"/>
      <c r="Y208" s="17" t="n"/>
      <c r="Z208" s="137" t="n"/>
      <c r="AB208" s="95" t="inlineStr">
        <is>
          <t>Sua Ação Completa + a básica dela</t>
        </is>
      </c>
      <c r="AC208" s="16" t="n"/>
      <c r="AD208" s="16" t="n"/>
      <c r="AE208" s="16" t="n"/>
      <c r="AF208" s="17" t="n"/>
      <c r="AG208" s="137" t="n"/>
      <c r="AH208" s="95" t="inlineStr">
        <is>
          <t>Sua Ação Completa + a básica dela</t>
        </is>
      </c>
      <c r="AI208" s="16" t="n"/>
      <c r="AJ208" s="16" t="n"/>
      <c r="AK208" s="16" t="n"/>
      <c r="AL208" s="17" t="n"/>
      <c r="AM208" s="137" t="n"/>
      <c r="AN208" s="95" t="inlineStr">
        <is>
          <t>Sua Ação Completa + a básica dela</t>
        </is>
      </c>
      <c r="AO208" s="16" t="n"/>
      <c r="AP208" s="16" t="n"/>
      <c r="AQ208" s="16" t="n"/>
      <c r="AR208" s="17" t="n"/>
      <c r="AS208" s="137" t="n"/>
    </row>
    <row r="209" hidden="1" outlineLevel="2">
      <c r="A209" s="8" t="n"/>
      <c r="B209" s="14" t="n"/>
      <c r="C209" s="137" t="n"/>
      <c r="D209" s="137" t="n"/>
      <c r="E209" s="137" t="n"/>
      <c r="F209" s="137" t="n"/>
      <c r="G209" s="137" t="n"/>
      <c r="I209" s="137" t="n"/>
      <c r="J209" s="137" t="n"/>
      <c r="K209" s="137" t="n"/>
      <c r="L209" s="137" t="n"/>
      <c r="M209" s="137" t="n"/>
      <c r="N209" s="137" t="n"/>
      <c r="O209" s="137" t="n"/>
      <c r="P209" s="137" t="n"/>
      <c r="Q209" s="137" t="n"/>
      <c r="R209" s="137" t="n"/>
      <c r="S209" s="137" t="n"/>
      <c r="T209" s="137" t="n"/>
      <c r="U209" s="137" t="n"/>
      <c r="V209" s="137" t="n"/>
      <c r="W209" s="137" t="n"/>
      <c r="X209" s="137" t="n"/>
      <c r="Y209" s="137" t="n"/>
      <c r="Z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37" t="n"/>
      <c r="AS209" s="137" t="n"/>
    </row>
    <row r="210" hidden="1" outlineLevel="2">
      <c r="A210" s="8" t="n"/>
      <c r="B210" s="14" t="n"/>
      <c r="C210" s="137" t="n"/>
      <c r="D210" s="137" t="n"/>
      <c r="E210" s="137" t="n"/>
      <c r="F210" s="137" t="n"/>
      <c r="G210" s="137" t="n"/>
      <c r="I210" s="56" t="inlineStr">
        <is>
          <t>TÉCNICA MÁXIMA</t>
        </is>
      </c>
      <c r="J210" s="16" t="n"/>
      <c r="K210" s="16" t="n"/>
      <c r="L210" s="16" t="n"/>
      <c r="M210" s="17" t="n"/>
      <c r="N210" s="137" t="n"/>
      <c r="O210" s="56" t="inlineStr">
        <is>
          <t>EXPANSÃO DE DOMÍNIO</t>
        </is>
      </c>
      <c r="P210" s="16" t="n"/>
      <c r="Q210" s="16" t="n"/>
      <c r="R210" s="16" t="n"/>
      <c r="S210" s="17" t="n"/>
      <c r="T210" s="137" t="n"/>
      <c r="U210" s="137" t="n"/>
      <c r="V210" s="137" t="n"/>
      <c r="W210" s="137" t="n"/>
      <c r="X210" s="137" t="n"/>
      <c r="Y210" s="137" t="n"/>
      <c r="Z210" s="137" t="n"/>
      <c r="AB210" s="56" t="inlineStr">
        <is>
          <t>TÉCNICA MÁXIMA</t>
        </is>
      </c>
      <c r="AC210" s="16" t="n"/>
      <c r="AD210" s="16" t="n"/>
      <c r="AE210" s="16" t="n"/>
      <c r="AF210" s="17" t="n"/>
      <c r="AG210" s="137" t="n"/>
      <c r="AH210" s="56" t="inlineStr">
        <is>
          <t>EXPANSÃO DE DOMÍNIO</t>
        </is>
      </c>
      <c r="AI210" s="16" t="n"/>
      <c r="AJ210" s="16" t="n"/>
      <c r="AK210" s="16" t="n"/>
      <c r="AL210" s="17" t="n"/>
      <c r="AM210" s="137" t="n"/>
      <c r="AN210" s="137" t="n"/>
      <c r="AO210" s="137" t="n"/>
      <c r="AP210" s="137" t="n"/>
      <c r="AQ210" s="137" t="n"/>
      <c r="AR210" s="137" t="n"/>
      <c r="AS210" s="137" t="n"/>
    </row>
    <row r="211" hidden="1" outlineLevel="2">
      <c r="A211" s="8" t="n"/>
      <c r="B211" s="14" t="n"/>
      <c r="C211" s="137" t="n"/>
      <c r="D211" s="137" t="n"/>
      <c r="E211" s="137" t="n"/>
      <c r="F211" s="137" t="n"/>
      <c r="G211" s="137" t="n"/>
      <c r="I211" s="131" t="n"/>
      <c r="J211" s="16" t="n"/>
      <c r="K211" s="16" t="n"/>
      <c r="L211" s="17" t="n"/>
      <c r="M211" s="142">
        <f>DADOS_INVOC!$JF$2</f>
        <v/>
      </c>
      <c r="N211" s="137" t="n"/>
      <c r="O211" s="131" t="n"/>
      <c r="P211" s="16" t="n"/>
      <c r="Q211" s="16" t="n"/>
      <c r="R211" s="17" t="n"/>
      <c r="S211" s="142">
        <f>DADOS_INVOC!$JH$2</f>
        <v/>
      </c>
      <c r="T211" s="137" t="n"/>
      <c r="U211" s="137" t="n"/>
      <c r="V211" s="137" t="n"/>
      <c r="W211" s="137" t="n"/>
      <c r="X211" s="137" t="n"/>
      <c r="Y211" s="137" t="n"/>
      <c r="Z211" s="137" t="n"/>
      <c r="AB211" s="131" t="n"/>
      <c r="AC211" s="16" t="n"/>
      <c r="AD211" s="16" t="n"/>
      <c r="AE211" s="17" t="n"/>
      <c r="AF211" s="142">
        <f>DADOS_INVOC!$JF$8</f>
        <v/>
      </c>
      <c r="AG211" s="137" t="n"/>
      <c r="AH211" s="131" t="n"/>
      <c r="AI211" s="16" t="n"/>
      <c r="AJ211" s="16" t="n"/>
      <c r="AK211" s="17" t="n"/>
      <c r="AL211" s="142">
        <f>DADOS_INVOC!$JH$8</f>
        <v/>
      </c>
      <c r="AM211" s="137" t="n"/>
      <c r="AN211" s="137" t="n"/>
      <c r="AO211" s="137" t="n"/>
      <c r="AP211" s="137" t="n"/>
      <c r="AQ211" s="137" t="n"/>
      <c r="AR211" s="137" t="n"/>
      <c r="AS211" s="137" t="n"/>
    </row>
    <row r="212" hidden="1" outlineLevel="2">
      <c r="A212" s="8" t="n"/>
      <c r="B212" s="14" t="n"/>
      <c r="C212" s="137" t="n"/>
      <c r="D212" s="137" t="n"/>
      <c r="E212" s="137" t="n"/>
      <c r="F212" s="137" t="n"/>
      <c r="G212" s="137" t="n"/>
      <c r="I212" s="61" t="n"/>
      <c r="J212" s="19" t="n"/>
      <c r="K212" s="19" t="n"/>
      <c r="L212" s="19" t="n"/>
      <c r="M212" s="20" t="n"/>
      <c r="N212" s="137" t="n"/>
      <c r="O212" s="61" t="n"/>
      <c r="P212" s="19" t="n"/>
      <c r="Q212" s="19" t="n"/>
      <c r="R212" s="19" t="n"/>
      <c r="S212" s="20" t="n"/>
      <c r="T212" s="137" t="n"/>
      <c r="U212" s="137" t="n"/>
      <c r="V212" s="137" t="n"/>
      <c r="W212" s="137" t="n"/>
      <c r="X212" s="137" t="n"/>
      <c r="Y212" s="137" t="n"/>
      <c r="Z212" s="137" t="n"/>
      <c r="AB212" s="61" t="n"/>
      <c r="AC212" s="19" t="n"/>
      <c r="AD212" s="19" t="n"/>
      <c r="AE212" s="19" t="n"/>
      <c r="AF212" s="20" t="n"/>
      <c r="AG212" s="137" t="n"/>
      <c r="AH212" s="61" t="n"/>
      <c r="AI212" s="19" t="n"/>
      <c r="AJ212" s="19" t="n"/>
      <c r="AK212" s="19" t="n"/>
      <c r="AL212" s="20" t="n"/>
      <c r="AM212" s="137" t="n"/>
      <c r="AN212" s="137" t="n"/>
      <c r="AO212" s="137" t="n"/>
      <c r="AP212" s="137" t="n"/>
      <c r="AQ212" s="137" t="n"/>
      <c r="AR212" s="137" t="n"/>
      <c r="AS212" s="137" t="n"/>
    </row>
    <row r="213" hidden="1" outlineLevel="2">
      <c r="A213" s="8" t="n"/>
      <c r="B213" s="14" t="n"/>
      <c r="C213" s="137" t="n"/>
      <c r="D213" s="137" t="n"/>
      <c r="E213" s="137" t="n"/>
      <c r="F213" s="137" t="n"/>
      <c r="G213" s="137" t="n"/>
      <c r="I213" s="21" t="n"/>
      <c r="M213" s="22" t="n"/>
      <c r="N213" s="137" t="n"/>
      <c r="O213" s="21" t="n"/>
      <c r="S213" s="22" t="n"/>
      <c r="T213" s="137" t="n"/>
      <c r="U213" s="137" t="n"/>
      <c r="V213" s="137" t="n"/>
      <c r="W213" s="137" t="n"/>
      <c r="X213" s="137" t="n"/>
      <c r="Y213" s="137" t="n"/>
      <c r="Z213" s="137" t="n"/>
      <c r="AB213" s="21" t="n"/>
      <c r="AF213" s="22" t="n"/>
      <c r="AG213" s="137" t="n"/>
      <c r="AH213" s="21" t="n"/>
      <c r="AL213" s="22" t="n"/>
      <c r="AM213" s="137" t="n"/>
      <c r="AN213" s="137" t="n"/>
      <c r="AO213" s="137" t="n"/>
      <c r="AP213" s="137" t="n"/>
      <c r="AQ213" s="137" t="n"/>
      <c r="AR213" s="137" t="n"/>
      <c r="AS213" s="137" t="n"/>
    </row>
    <row r="214" hidden="1" outlineLevel="2">
      <c r="A214" s="8" t="n"/>
      <c r="B214" s="14" t="n"/>
      <c r="C214" s="137" t="n"/>
      <c r="D214" s="137" t="n"/>
      <c r="E214" s="137" t="n"/>
      <c r="F214" s="137" t="n"/>
      <c r="G214" s="137" t="n"/>
      <c r="I214" s="21" t="n"/>
      <c r="M214" s="22" t="n"/>
      <c r="N214" s="137" t="n"/>
      <c r="O214" s="21" t="n"/>
      <c r="S214" s="22" t="n"/>
      <c r="T214" s="137" t="n"/>
      <c r="U214" s="137" t="n"/>
      <c r="V214" s="137" t="n"/>
      <c r="W214" s="137" t="n"/>
      <c r="X214" s="137" t="n"/>
      <c r="Y214" s="137" t="n"/>
      <c r="Z214" s="137" t="n"/>
      <c r="AB214" s="21" t="n"/>
      <c r="AF214" s="22" t="n"/>
      <c r="AG214" s="137" t="n"/>
      <c r="AH214" s="21" t="n"/>
      <c r="AL214" s="22" t="n"/>
      <c r="AM214" s="137" t="n"/>
      <c r="AN214" s="137" t="n"/>
      <c r="AO214" s="137" t="n"/>
      <c r="AP214" s="137" t="n"/>
      <c r="AQ214" s="137" t="n"/>
      <c r="AR214" s="137" t="n"/>
      <c r="AS214" s="137" t="n"/>
    </row>
    <row r="215" hidden="1" outlineLevel="2">
      <c r="A215" s="8" t="n"/>
      <c r="B215" s="14" t="n"/>
      <c r="C215" s="137" t="n"/>
      <c r="D215" s="137" t="n"/>
      <c r="E215" s="137" t="n"/>
      <c r="F215" s="137" t="n"/>
      <c r="G215" s="137" t="n"/>
      <c r="I215" s="23" t="n"/>
      <c r="J215" s="24" t="n"/>
      <c r="K215" s="24" t="n"/>
      <c r="L215" s="24" t="n"/>
      <c r="M215" s="25" t="n"/>
      <c r="N215" s="137" t="n"/>
      <c r="O215" s="23" t="n"/>
      <c r="P215" s="24" t="n"/>
      <c r="Q215" s="24" t="n"/>
      <c r="R215" s="24" t="n"/>
      <c r="S215" s="25" t="n"/>
      <c r="T215" s="137" t="n"/>
      <c r="U215" s="137" t="n"/>
      <c r="V215" s="137" t="n"/>
      <c r="W215" s="137" t="n"/>
      <c r="X215" s="137" t="n"/>
      <c r="Y215" s="137" t="n"/>
      <c r="Z215" s="137" t="n"/>
      <c r="AB215" s="23" t="n"/>
      <c r="AC215" s="24" t="n"/>
      <c r="AD215" s="24" t="n"/>
      <c r="AE215" s="24" t="n"/>
      <c r="AF215" s="25" t="n"/>
      <c r="AG215" s="137" t="n"/>
      <c r="AH215" s="23" t="n"/>
      <c r="AI215" s="24" t="n"/>
      <c r="AJ215" s="24" t="n"/>
      <c r="AK215" s="24" t="n"/>
      <c r="AL215" s="25" t="n"/>
      <c r="AM215" s="137" t="n"/>
      <c r="AN215" s="137" t="n"/>
      <c r="AO215" s="137" t="n"/>
      <c r="AP215" s="137" t="n"/>
      <c r="AQ215" s="137" t="n"/>
      <c r="AR215" s="137" t="n"/>
      <c r="AS215" s="137" t="n"/>
    </row>
    <row r="216" hidden="1" outlineLevel="2">
      <c r="A216" s="8" t="n"/>
      <c r="B216" s="14" t="n"/>
      <c r="C216" s="137" t="n"/>
      <c r="D216" s="137" t="n"/>
      <c r="E216" s="137" t="n"/>
      <c r="F216" s="137" t="n"/>
      <c r="G216" s="137" t="n"/>
      <c r="I216" s="71">
        <f>DADOS_INVOC!$JG$2</f>
        <v/>
      </c>
      <c r="J216" s="16" t="n"/>
      <c r="K216" s="16" t="n"/>
      <c r="L216" s="16" t="n"/>
      <c r="M216" s="17" t="n"/>
      <c r="N216" s="137" t="n"/>
      <c r="O216" s="95" t="n"/>
      <c r="P216" s="17" t="n"/>
      <c r="Q216" s="71">
        <f>DADOS_INVOC!$JI$2</f>
        <v/>
      </c>
      <c r="R216" s="16" t="n"/>
      <c r="S216" s="17" t="n"/>
      <c r="T216" s="137" t="n"/>
      <c r="U216" s="137" t="n"/>
      <c r="V216" s="137" t="n"/>
      <c r="W216" s="137" t="n"/>
      <c r="X216" s="137" t="n"/>
      <c r="Y216" s="137" t="n"/>
      <c r="Z216" s="137" t="n"/>
      <c r="AB216" s="71">
        <f>DADOS_INVOC!$JG$8</f>
        <v/>
      </c>
      <c r="AC216" s="16" t="n"/>
      <c r="AD216" s="16" t="n"/>
      <c r="AE216" s="16" t="n"/>
      <c r="AF216" s="17" t="n"/>
      <c r="AG216" s="137" t="n"/>
      <c r="AH216" s="95" t="n"/>
      <c r="AI216" s="17" t="n"/>
      <c r="AJ216" s="71">
        <f>DADOS_INVOC!$JI$8</f>
        <v/>
      </c>
      <c r="AK216" s="16" t="n"/>
      <c r="AL216" s="17" t="n"/>
      <c r="AM216" s="137" t="n"/>
      <c r="AN216" s="137" t="n"/>
      <c r="AO216" s="137" t="n"/>
      <c r="AP216" s="137" t="n"/>
      <c r="AQ216" s="137" t="n"/>
      <c r="AR216" s="137" t="n"/>
      <c r="AS216" s="137" t="n"/>
    </row>
    <row r="217" hidden="1" outlineLevel="2">
      <c r="A217" s="8" t="n"/>
      <c r="B217" s="14" t="n"/>
      <c r="C217" s="137" t="n"/>
      <c r="D217" s="137" t="n"/>
      <c r="E217" s="137" t="n"/>
      <c r="F217" s="137" t="n"/>
      <c r="G217" s="137" t="n"/>
      <c r="I217" s="95" t="inlineStr">
        <is>
          <t>Sua Ação Completa + a básica dela</t>
        </is>
      </c>
      <c r="J217" s="16" t="n"/>
      <c r="K217" s="16" t="n"/>
      <c r="L217" s="16" t="n"/>
      <c r="M217" s="17" t="n"/>
      <c r="N217" s="137" t="n"/>
      <c r="O217" s="143">
        <f>DADOS_INVOC!$JJ$2</f>
        <v/>
      </c>
      <c r="P217" s="16" t="n"/>
      <c r="Q217" s="16" t="n"/>
      <c r="R217" s="16" t="n"/>
      <c r="S217" s="17" t="n"/>
      <c r="T217" s="137" t="n"/>
      <c r="U217" s="137" t="n"/>
      <c r="V217" s="137" t="n"/>
      <c r="W217" s="137" t="n"/>
      <c r="X217" s="137" t="n"/>
      <c r="Y217" s="137" t="n"/>
      <c r="Z217" s="137" t="n"/>
      <c r="AB217" s="95" t="inlineStr">
        <is>
          <t>Sua Ação Completa + a básica dela</t>
        </is>
      </c>
      <c r="AC217" s="16" t="n"/>
      <c r="AD217" s="16" t="n"/>
      <c r="AE217" s="16" t="n"/>
      <c r="AF217" s="17" t="n"/>
      <c r="AG217" s="137" t="n"/>
      <c r="AH217" s="143">
        <f>DADOS_INVOC!$JJ$8</f>
        <v/>
      </c>
      <c r="AI217" s="16" t="n"/>
      <c r="AJ217" s="16" t="n"/>
      <c r="AK217" s="16" t="n"/>
      <c r="AL217" s="17" t="n"/>
      <c r="AM217" s="137" t="n"/>
      <c r="AN217" s="137" t="n"/>
      <c r="AO217" s="137" t="n"/>
      <c r="AP217" s="137" t="n"/>
      <c r="AQ217" s="137" t="n"/>
      <c r="AR217" s="137" t="n"/>
      <c r="AS217" s="137" t="n"/>
    </row>
    <row r="218">
      <c r="A218" s="8" t="n"/>
      <c r="B218" s="14" t="n"/>
      <c r="C218" s="137" t="n"/>
      <c r="D218" s="137" t="n"/>
      <c r="E218" s="137" t="n"/>
      <c r="F218" s="137" t="n"/>
      <c r="G218" s="137" t="n"/>
      <c r="H218" s="137" t="n"/>
      <c r="I218" s="137" t="n"/>
      <c r="J218" s="137" t="n"/>
      <c r="K218" s="137" t="n"/>
      <c r="L218" s="137" t="n"/>
      <c r="M218" s="137" t="n"/>
      <c r="N218" s="137" t="n"/>
      <c r="O218" s="137" t="n"/>
      <c r="P218" s="137" t="n"/>
      <c r="Q218" s="137" t="n"/>
      <c r="R218" s="137" t="n"/>
      <c r="S218" s="137" t="n"/>
      <c r="T218" s="137" t="n"/>
      <c r="U218" s="137" t="n"/>
      <c r="V218" s="137" t="n"/>
      <c r="W218" s="137" t="n"/>
      <c r="X218" s="137" t="n"/>
      <c r="Y218" s="137" t="n"/>
      <c r="Z218" s="137" t="n"/>
      <c r="AA218" s="137" t="n"/>
      <c r="AB218" s="137" t="n"/>
      <c r="AC218" s="137" t="n"/>
      <c r="AD218" s="137" t="n"/>
      <c r="AE218" s="137" t="n"/>
      <c r="AF218" s="137" t="n"/>
      <c r="AG218" s="137" t="n"/>
      <c r="AH218" s="137" t="n"/>
      <c r="AI218" s="137" t="n"/>
      <c r="AJ218" s="137" t="n"/>
      <c r="AK218" s="137" t="n"/>
      <c r="AL218" s="137" t="n"/>
      <c r="AM218" s="137" t="n"/>
      <c r="AN218" s="137" t="n"/>
      <c r="AO218" s="137" t="n"/>
      <c r="AP218" s="137" t="n"/>
      <c r="AQ218" s="137" t="n"/>
      <c r="AR218" s="137" t="n"/>
      <c r="AS218" s="137" t="n"/>
    </row>
    <row r="219">
      <c r="A219" s="8" t="n"/>
      <c r="B219" s="14" t="n"/>
      <c r="C219" s="137" t="n"/>
      <c r="D219" s="137" t="n"/>
      <c r="E219" s="137" t="n"/>
      <c r="F219" s="137" t="n"/>
      <c r="G219" s="137" t="n"/>
      <c r="H219" s="137" t="n"/>
      <c r="I219" s="137" t="n"/>
      <c r="J219" s="137" t="n"/>
      <c r="K219" s="137" t="n"/>
      <c r="L219" s="137" t="n"/>
      <c r="M219" s="137" t="n"/>
      <c r="N219" s="137" t="n"/>
      <c r="O219" s="137" t="n"/>
      <c r="P219" s="137" t="n"/>
      <c r="Q219" s="137" t="n"/>
      <c r="R219" s="137" t="n"/>
      <c r="S219" s="137" t="n"/>
      <c r="T219" s="137" t="n"/>
      <c r="U219" s="137" t="n"/>
      <c r="V219" s="137" t="n"/>
      <c r="W219" s="137" t="n"/>
      <c r="X219" s="137" t="n"/>
      <c r="Y219" s="137"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37" t="n"/>
      <c r="AS219" s="137" t="n"/>
    </row>
    <row r="220">
      <c r="A220" s="8" t="n"/>
      <c r="B220" s="14" t="n"/>
      <c r="C220" s="137" t="n"/>
      <c r="D220" s="137" t="n"/>
      <c r="E220" s="137" t="n"/>
      <c r="F220" s="137" t="n"/>
      <c r="G220" s="137" t="n"/>
      <c r="H220" s="151" t="n">
        <v>2</v>
      </c>
      <c r="I220" s="152" t="n">
        <v>2</v>
      </c>
      <c r="J220" s="55">
        <f>DADOS_INVOC!$HG$3</f>
        <v/>
      </c>
      <c r="K220" s="19" t="n"/>
      <c r="L220" s="19" t="n"/>
      <c r="M220" s="19" t="n"/>
      <c r="N220" s="19" t="n"/>
      <c r="O220" s="19" t="n"/>
      <c r="P220" s="19" t="n"/>
      <c r="Q220" s="19" t="n"/>
      <c r="R220" s="19" t="n"/>
      <c r="S220" s="19" t="n"/>
      <c r="T220" s="19" t="n"/>
      <c r="U220" s="19" t="n"/>
      <c r="V220" s="19" t="n"/>
      <c r="W220" s="19" t="n"/>
      <c r="X220" s="19" t="n"/>
      <c r="Y220" s="20" t="n"/>
      <c r="Z220" s="137" t="n"/>
      <c r="AA220" s="151" t="n">
        <v>8</v>
      </c>
      <c r="AB220" s="152" t="n">
        <v>8</v>
      </c>
      <c r="AC220" s="55">
        <f>DADOS_INVOC!$HG$9</f>
        <v/>
      </c>
      <c r="AD220" s="19" t="n"/>
      <c r="AE220" s="19" t="n"/>
      <c r="AF220" s="19" t="n"/>
      <c r="AG220" s="19" t="n"/>
      <c r="AH220" s="19" t="n"/>
      <c r="AI220" s="19" t="n"/>
      <c r="AJ220" s="19" t="n"/>
      <c r="AK220" s="19" t="n"/>
      <c r="AL220" s="19" t="n"/>
      <c r="AM220" s="19" t="n"/>
      <c r="AN220" s="19" t="n"/>
      <c r="AO220" s="19" t="n"/>
      <c r="AP220" s="19" t="n"/>
      <c r="AQ220" s="19" t="n"/>
      <c r="AR220" s="20" t="n"/>
      <c r="AS220" s="137" t="n"/>
    </row>
    <row r="221">
      <c r="A221" s="8" t="n"/>
      <c r="B221" s="14" t="n"/>
      <c r="C221" s="137" t="n"/>
      <c r="D221" s="137" t="n"/>
      <c r="E221" s="137" t="n"/>
      <c r="F221" s="137" t="n"/>
      <c r="G221" s="137" t="n"/>
      <c r="I221" s="128" t="n"/>
      <c r="J221" s="23" t="n"/>
      <c r="K221" s="24" t="n"/>
      <c r="L221" s="24" t="n"/>
      <c r="M221" s="24" t="n"/>
      <c r="N221" s="24" t="n"/>
      <c r="O221" s="24" t="n"/>
      <c r="P221" s="24" t="n"/>
      <c r="Q221" s="24" t="n"/>
      <c r="R221" s="24" t="n"/>
      <c r="S221" s="24" t="n"/>
      <c r="T221" s="24" t="n"/>
      <c r="U221" s="24" t="n"/>
      <c r="V221" s="24" t="n"/>
      <c r="W221" s="24" t="n"/>
      <c r="X221" s="24" t="n"/>
      <c r="Y221" s="25" t="n"/>
      <c r="Z221" s="137" t="n"/>
      <c r="AB221" s="128" t="n"/>
      <c r="AC221" s="23" t="n"/>
      <c r="AD221" s="24" t="n"/>
      <c r="AE221" s="24" t="n"/>
      <c r="AF221" s="24" t="n"/>
      <c r="AG221" s="24" t="n"/>
      <c r="AH221" s="24" t="n"/>
      <c r="AI221" s="24" t="n"/>
      <c r="AJ221" s="24" t="n"/>
      <c r="AK221" s="24" t="n"/>
      <c r="AL221" s="24" t="n"/>
      <c r="AM221" s="24" t="n"/>
      <c r="AN221" s="24" t="n"/>
      <c r="AO221" s="24" t="n"/>
      <c r="AP221" s="24" t="n"/>
      <c r="AQ221" s="24" t="n"/>
      <c r="AR221" s="25" t="n"/>
      <c r="AS221" s="137" t="n"/>
    </row>
    <row r="222" hidden="1" outlineLevel="1">
      <c r="A222" s="8" t="n"/>
      <c r="B222" s="14" t="n"/>
      <c r="C222" s="137" t="n"/>
      <c r="D222" s="137" t="n"/>
      <c r="E222" s="137" t="n"/>
      <c r="F222" s="137" t="n"/>
      <c r="G222" s="137" t="n"/>
      <c r="H222" s="153">
        <f>DADOS_INVOC!$HH$3</f>
        <v/>
      </c>
      <c r="I222" s="137" t="n"/>
      <c r="J222" s="137" t="n"/>
      <c r="K222" s="137" t="n"/>
      <c r="L222" s="137" t="n"/>
      <c r="M222" s="137" t="n"/>
      <c r="N222" s="137" t="n"/>
      <c r="O222" s="137" t="n"/>
      <c r="P222" s="137" t="n"/>
      <c r="Q222" s="137" t="n"/>
      <c r="R222" s="137" t="n"/>
      <c r="S222" s="137" t="n"/>
      <c r="T222" s="137" t="n"/>
      <c r="U222" s="137" t="n"/>
      <c r="V222" s="137" t="n"/>
      <c r="W222" s="137" t="n"/>
      <c r="X222" s="137" t="n"/>
      <c r="Y222" s="137" t="n"/>
      <c r="Z222" s="137" t="n"/>
      <c r="AA222" s="153">
        <f>DADOS_INVOC!$HH$9</f>
        <v/>
      </c>
      <c r="AB222" s="137" t="n"/>
      <c r="AC222" s="137" t="n"/>
      <c r="AD222" s="137" t="n"/>
      <c r="AE222" s="137" t="n"/>
      <c r="AF222" s="137" t="n"/>
      <c r="AG222" s="137" t="n"/>
      <c r="AH222" s="137" t="n"/>
      <c r="AI222" s="137" t="n"/>
      <c r="AJ222" s="137" t="n"/>
      <c r="AK222" s="137" t="n"/>
      <c r="AL222" s="137" t="n"/>
      <c r="AM222" s="137" t="n"/>
      <c r="AN222" s="137" t="n"/>
      <c r="AO222" s="137" t="n"/>
      <c r="AP222" s="137" t="n"/>
      <c r="AQ222" s="137" t="n"/>
      <c r="AR222" s="137" t="n"/>
      <c r="AS222" s="137" t="n"/>
    </row>
    <row r="223" hidden="1" outlineLevel="1">
      <c r="A223" s="8" t="n"/>
      <c r="B223" s="14" t="n"/>
      <c r="C223" s="137" t="n"/>
      <c r="D223" s="137" t="n"/>
      <c r="E223" s="137" t="n"/>
      <c r="F223" s="137" t="n"/>
      <c r="G223" s="137" t="n"/>
      <c r="I223" s="56" t="inlineStr">
        <is>
          <t>NOME</t>
        </is>
      </c>
      <c r="J223" s="16" t="n"/>
      <c r="K223" s="16" t="n"/>
      <c r="L223" s="16" t="n"/>
      <c r="M223" s="17" t="n"/>
      <c r="N223" s="137" t="n"/>
      <c r="O223" s="56" t="inlineStr">
        <is>
          <t>NÍVEL</t>
        </is>
      </c>
      <c r="P223" s="56" t="inlineStr">
        <is>
          <t>CLASSE</t>
        </is>
      </c>
      <c r="Q223" s="56" t="inlineStr">
        <is>
          <t>MAESTRIA</t>
        </is>
      </c>
      <c r="R223" s="56" t="inlineStr">
        <is>
          <t>ENTRADA</t>
        </is>
      </c>
      <c r="S223" s="56" t="inlineStr">
        <is>
          <t>RETORNO</t>
        </is>
      </c>
      <c r="T223" s="137" t="n"/>
      <c r="U223" s="56" t="inlineStr">
        <is>
          <t>VIDA ATUAL</t>
        </is>
      </c>
      <c r="V223" s="56" t="inlineStr">
        <is>
          <t>VIDA MÁXIMA</t>
        </is>
      </c>
      <c r="W223" s="56" t="inlineStr">
        <is>
          <t>TEMPORÁRIA</t>
        </is>
      </c>
      <c r="X223" s="56" t="inlineStr">
        <is>
          <t>± PERDA / GANHO</t>
        </is>
      </c>
      <c r="Y223" s="56">
        <f>DADOS_INVOC!$IB$3</f>
        <v/>
      </c>
      <c r="Z223" s="137" t="n"/>
      <c r="AB223" s="56" t="inlineStr">
        <is>
          <t>NOME</t>
        </is>
      </c>
      <c r="AC223" s="16" t="n"/>
      <c r="AD223" s="16" t="n"/>
      <c r="AE223" s="16" t="n"/>
      <c r="AF223" s="17" t="n"/>
      <c r="AG223" s="137" t="n"/>
      <c r="AH223" s="56" t="inlineStr">
        <is>
          <t>NÍVEL</t>
        </is>
      </c>
      <c r="AI223" s="56" t="inlineStr">
        <is>
          <t>CLASSE</t>
        </is>
      </c>
      <c r="AJ223" s="56" t="inlineStr">
        <is>
          <t>MAESTRIA</t>
        </is>
      </c>
      <c r="AK223" s="56" t="inlineStr">
        <is>
          <t>ENTRADA</t>
        </is>
      </c>
      <c r="AL223" s="56" t="inlineStr">
        <is>
          <t>RETORNO</t>
        </is>
      </c>
      <c r="AM223" s="137" t="n"/>
      <c r="AN223" s="56" t="inlineStr">
        <is>
          <t>VIDA ATUAL</t>
        </is>
      </c>
      <c r="AO223" s="56" t="inlineStr">
        <is>
          <t>VIDA MÁXIMA</t>
        </is>
      </c>
      <c r="AP223" s="56" t="inlineStr">
        <is>
          <t>TEMPORÁRIA</t>
        </is>
      </c>
      <c r="AQ223" s="56" t="inlineStr">
        <is>
          <t>± PERDA / GANHO</t>
        </is>
      </c>
      <c r="AR223" s="56">
        <f>DADOS_INVOC!$IB$9</f>
        <v/>
      </c>
      <c r="AS223" s="137" t="n"/>
    </row>
    <row r="224" hidden="1" outlineLevel="1">
      <c r="A224" s="8" t="n"/>
      <c r="B224" s="14" t="n"/>
      <c r="C224" s="137" t="n"/>
      <c r="D224" s="137" t="n"/>
      <c r="E224" s="137" t="n"/>
      <c r="F224" s="137" t="n"/>
      <c r="G224" s="137" t="n"/>
      <c r="I224" s="87" t="n"/>
      <c r="J224" s="19" t="n"/>
      <c r="K224" s="19" t="n"/>
      <c r="L224" s="19" t="n"/>
      <c r="M224" s="20" t="n"/>
      <c r="N224" s="137" t="n"/>
      <c r="O224" s="105">
        <f>DADOS_INVOC!$FO$3</f>
        <v/>
      </c>
      <c r="P224" s="105">
        <f>DADOS_INVOC!$FP$3</f>
        <v/>
      </c>
      <c r="Q224" s="105">
        <f>DADOS_INVOC!$HI$3</f>
        <v/>
      </c>
      <c r="R224" s="105">
        <f>DADOS_INVOC!$HJ$3</f>
        <v/>
      </c>
      <c r="S224" s="105">
        <f>DADOS_INVOC!$HK$3</f>
        <v/>
      </c>
      <c r="T224" s="137" t="n"/>
      <c r="U224" s="105">
        <f>DADOS_INVOC!$GG$3</f>
        <v/>
      </c>
      <c r="V224" s="105">
        <f>DADOS_INVOC!$GF$3</f>
        <v/>
      </c>
      <c r="W224" s="105" t="n"/>
      <c r="X224" s="105" t="n"/>
      <c r="Y224" s="105" t="n"/>
      <c r="Z224" s="137" t="n"/>
      <c r="AB224" s="87" t="n"/>
      <c r="AC224" s="19" t="n"/>
      <c r="AD224" s="19" t="n"/>
      <c r="AE224" s="19" t="n"/>
      <c r="AF224" s="20" t="n"/>
      <c r="AG224" s="137" t="n"/>
      <c r="AH224" s="105">
        <f>DADOS_INVOC!$FO$9</f>
        <v/>
      </c>
      <c r="AI224" s="105">
        <f>DADOS_INVOC!$FP$9</f>
        <v/>
      </c>
      <c r="AJ224" s="105">
        <f>DADOS_INVOC!$HI$9</f>
        <v/>
      </c>
      <c r="AK224" s="105">
        <f>DADOS_INVOC!$HJ$9</f>
        <v/>
      </c>
      <c r="AL224" s="105">
        <f>DADOS_INVOC!$HK$9</f>
        <v/>
      </c>
      <c r="AM224" s="137" t="n"/>
      <c r="AN224" s="105">
        <f>DADOS_INVOC!$GG$9</f>
        <v/>
      </c>
      <c r="AO224" s="105">
        <f>DADOS_INVOC!$GF$9</f>
        <v/>
      </c>
      <c r="AP224" s="105" t="n"/>
      <c r="AQ224" s="105" t="n"/>
      <c r="AR224" s="105" t="n"/>
      <c r="AS224" s="137" t="n"/>
    </row>
    <row r="225" hidden="1" outlineLevel="1">
      <c r="A225" s="8" t="n"/>
      <c r="B225" s="14" t="n"/>
      <c r="C225" s="137" t="n"/>
      <c r="D225" s="137" t="n"/>
      <c r="E225" s="137" t="n"/>
      <c r="F225" s="137" t="n"/>
      <c r="G225" s="137" t="n"/>
      <c r="I225" s="23" t="n"/>
      <c r="J225" s="24" t="n"/>
      <c r="K225" s="24" t="n"/>
      <c r="L225" s="24" t="n"/>
      <c r="M225" s="25" t="n"/>
      <c r="N225" s="137" t="n"/>
      <c r="O225" s="128" t="n"/>
      <c r="P225" s="128" t="n"/>
      <c r="Q225" s="128" t="n"/>
      <c r="R225" s="128" t="n"/>
      <c r="S225" s="128" t="n"/>
      <c r="T225" s="137" t="n"/>
      <c r="U225" s="128" t="n"/>
      <c r="V225" s="128" t="n"/>
      <c r="W225" s="128" t="n"/>
      <c r="X225" s="128" t="n"/>
      <c r="Y225" s="128" t="n"/>
      <c r="Z225" s="137" t="n"/>
      <c r="AB225" s="23" t="n"/>
      <c r="AC225" s="24" t="n"/>
      <c r="AD225" s="24" t="n"/>
      <c r="AE225" s="24" t="n"/>
      <c r="AF225" s="25" t="n"/>
      <c r="AG225" s="137" t="n"/>
      <c r="AH225" s="128" t="n"/>
      <c r="AI225" s="128" t="n"/>
      <c r="AJ225" s="128" t="n"/>
      <c r="AK225" s="128" t="n"/>
      <c r="AL225" s="128" t="n"/>
      <c r="AM225" s="137" t="n"/>
      <c r="AN225" s="128" t="n"/>
      <c r="AO225" s="128" t="n"/>
      <c r="AP225" s="128" t="n"/>
      <c r="AQ225" s="128" t="n"/>
      <c r="AR225" s="128" t="n"/>
      <c r="AS225" s="137" t="n"/>
    </row>
    <row r="226" hidden="1" outlineLevel="1">
      <c r="A226" s="8" t="n"/>
      <c r="B226" s="14" t="n"/>
      <c r="C226" s="137" t="n"/>
      <c r="D226" s="137" t="n"/>
      <c r="E226" s="137" t="n"/>
      <c r="F226" s="137" t="n"/>
      <c r="G226" s="137" t="n"/>
      <c r="I226" s="154" t="inlineStr">
        <is>
          <t>FOTO
式神</t>
        </is>
      </c>
      <c r="J226" s="19" t="n"/>
      <c r="K226" s="19" t="n"/>
      <c r="L226" s="19" t="n"/>
      <c r="M226" s="20" t="n"/>
      <c r="N226" s="137" t="n"/>
      <c r="O226" s="137" t="n"/>
      <c r="P226" s="137" t="n"/>
      <c r="Q226" s="137" t="n"/>
      <c r="R226" s="137" t="n"/>
      <c r="S226" s="137" t="n"/>
      <c r="T226" s="137" t="n"/>
      <c r="U226" s="144">
        <f>IFERROR(SPARKLINE(DADOS_INVOC!$GH$3,{"charttype","bar";"max",MAX(1,DADOS_INVOC!$GF$3);"color1",DADOS_INVOC!$DB$12}),"")</f>
        <v/>
      </c>
      <c r="V226" s="16" t="n"/>
      <c r="W226" s="16" t="n"/>
      <c r="X226" s="16" t="n"/>
      <c r="Y226" s="17" t="n"/>
      <c r="Z226" s="137" t="n"/>
      <c r="AB226" s="154" t="inlineStr">
        <is>
          <t>FOTO
式神</t>
        </is>
      </c>
      <c r="AC226" s="19" t="n"/>
      <c r="AD226" s="19" t="n"/>
      <c r="AE226" s="19" t="n"/>
      <c r="AF226" s="20" t="n"/>
      <c r="AG226" s="137" t="n"/>
      <c r="AH226" s="137" t="n"/>
      <c r="AI226" s="137" t="n"/>
      <c r="AJ226" s="137" t="n"/>
      <c r="AK226" s="137" t="n"/>
      <c r="AL226" s="137" t="n"/>
      <c r="AM226" s="137" t="n"/>
      <c r="AN226" s="144">
        <f>IFERROR(SPARKLINE(DADOS_INVOC!$GH$9,{"charttype","bar";"max",MAX(1,DADOS_INVOC!$GF$9);"color1",DADOS_INVOC!$DB$12}),"")</f>
        <v/>
      </c>
      <c r="AO226" s="16" t="n"/>
      <c r="AP226" s="16" t="n"/>
      <c r="AQ226" s="16" t="n"/>
      <c r="AR226" s="17" t="n"/>
      <c r="AS226" s="137" t="n"/>
    </row>
    <row r="227" hidden="1" outlineLevel="1">
      <c r="A227" s="8" t="n"/>
      <c r="B227" s="14" t="n"/>
      <c r="C227" s="137" t="n"/>
      <c r="D227" s="137" t="n"/>
      <c r="E227" s="137" t="n"/>
      <c r="F227" s="137" t="n"/>
      <c r="G227" s="137" t="n"/>
      <c r="I227" s="21" t="n"/>
      <c r="M227" s="22" t="n"/>
      <c r="N227" s="137" t="n"/>
      <c r="O227" s="56">
        <f>DADOS_INVOC!$HL$3</f>
        <v/>
      </c>
      <c r="P227" s="16" t="n"/>
      <c r="Q227" s="16" t="n"/>
      <c r="R227" s="16" t="n"/>
      <c r="S227" s="17" t="n"/>
      <c r="T227" s="137" t="n"/>
      <c r="U227" s="137" t="n"/>
      <c r="V227" s="137" t="n"/>
      <c r="W227" s="137" t="n"/>
      <c r="X227" s="137" t="n"/>
      <c r="Y227" s="137" t="n"/>
      <c r="Z227" s="137" t="n"/>
      <c r="AB227" s="21" t="n"/>
      <c r="AF227" s="22" t="n"/>
      <c r="AG227" s="137" t="n"/>
      <c r="AH227" s="56">
        <f>DADOS_INVOC!$HL$9</f>
        <v/>
      </c>
      <c r="AI227" s="16" t="n"/>
      <c r="AJ227" s="16" t="n"/>
      <c r="AK227" s="16" t="n"/>
      <c r="AL227" s="17" t="n"/>
      <c r="AM227" s="137" t="n"/>
      <c r="AN227" s="137" t="n"/>
      <c r="AO227" s="137" t="n"/>
      <c r="AP227" s="137" t="n"/>
      <c r="AQ227" s="137" t="n"/>
      <c r="AR227" s="137" t="n"/>
      <c r="AS227" s="137" t="n"/>
    </row>
    <row r="228" hidden="1" outlineLevel="1">
      <c r="A228" s="8" t="n"/>
      <c r="B228" s="14" t="n"/>
      <c r="C228" s="137" t="n"/>
      <c r="D228" s="137" t="n"/>
      <c r="E228" s="137" t="n"/>
      <c r="F228" s="137" t="n"/>
      <c r="G228" s="137" t="n"/>
      <c r="I228" s="21" t="n"/>
      <c r="M228" s="22" t="n"/>
      <c r="N228" s="137" t="n"/>
      <c r="O228" s="56" t="inlineStr">
        <is>
          <t>FOR</t>
        </is>
      </c>
      <c r="P228" s="56" t="inlineStr">
        <is>
          <t>DES</t>
        </is>
      </c>
      <c r="Q228" s="56" t="inlineStr">
        <is>
          <t>CON</t>
        </is>
      </c>
      <c r="R228" s="56" t="inlineStr">
        <is>
          <t>INT</t>
        </is>
      </c>
      <c r="S228" s="56" t="inlineStr">
        <is>
          <t>ESS</t>
        </is>
      </c>
      <c r="T228" s="137" t="n"/>
      <c r="U228" s="56" t="inlineStr">
        <is>
          <t>ALMA</t>
        </is>
      </c>
      <c r="V228" s="56" t="inlineStr">
        <is>
          <t>INTEGRIDADE ATUAL</t>
        </is>
      </c>
      <c r="W228" s="56" t="inlineStr">
        <is>
          <t>INTEGRIDADE MÁXIMA</t>
        </is>
      </c>
      <c r="X228" s="56" t="inlineStr">
        <is>
          <t>ESTÁGIO</t>
        </is>
      </c>
      <c r="Y228" s="17" t="n"/>
      <c r="Z228" s="137" t="n"/>
      <c r="AB228" s="21" t="n"/>
      <c r="AF228" s="22" t="n"/>
      <c r="AG228" s="137" t="n"/>
      <c r="AH228" s="56" t="inlineStr">
        <is>
          <t>FOR</t>
        </is>
      </c>
      <c r="AI228" s="56" t="inlineStr">
        <is>
          <t>DES</t>
        </is>
      </c>
      <c r="AJ228" s="56" t="inlineStr">
        <is>
          <t>CON</t>
        </is>
      </c>
      <c r="AK228" s="56" t="inlineStr">
        <is>
          <t>INT</t>
        </is>
      </c>
      <c r="AL228" s="56" t="inlineStr">
        <is>
          <t>ESS</t>
        </is>
      </c>
      <c r="AM228" s="137" t="n"/>
      <c r="AN228" s="56" t="inlineStr">
        <is>
          <t>ALMA</t>
        </is>
      </c>
      <c r="AO228" s="56" t="inlineStr">
        <is>
          <t>INTEGRIDADE ATUAL</t>
        </is>
      </c>
      <c r="AP228" s="56" t="inlineStr">
        <is>
          <t>INTEGRIDADE MÁXIMA</t>
        </is>
      </c>
      <c r="AQ228" s="56" t="inlineStr">
        <is>
          <t>ESTÁGIO</t>
        </is>
      </c>
      <c r="AR228" s="17" t="n"/>
      <c r="AS228" s="137" t="n"/>
    </row>
    <row r="229" hidden="1" outlineLevel="1">
      <c r="A229" s="8" t="n"/>
      <c r="B229" s="14" t="n"/>
      <c r="C229" s="137" t="n"/>
      <c r="D229" s="137" t="n"/>
      <c r="E229" s="137" t="n"/>
      <c r="F229" s="137" t="n"/>
      <c r="G229" s="137" t="n"/>
      <c r="I229" s="21" t="n"/>
      <c r="M229" s="22" t="n"/>
      <c r="N229" s="137" t="n"/>
      <c r="O229" s="105">
        <f>DADOS_INVOC!$FR$3</f>
        <v/>
      </c>
      <c r="P229" s="105">
        <f>DADOS_INVOC!$FS$3</f>
        <v/>
      </c>
      <c r="Q229" s="105">
        <f>DADOS_INVOC!$FT$3</f>
        <v/>
      </c>
      <c r="R229" s="105">
        <f>DADOS_INVOC!$FU$3</f>
        <v/>
      </c>
      <c r="S229" s="105">
        <f>DADOS_INVOC!$FV$3</f>
        <v/>
      </c>
      <c r="T229" s="137" t="n"/>
      <c r="U229" s="95" t="inlineStr">
        <is>
          <t>Com alma</t>
        </is>
      </c>
      <c r="V229" s="105">
        <f>DADOS_INVOC!$GJ$3</f>
        <v/>
      </c>
      <c r="W229" s="105">
        <f>DADOS_INVOC!$GL$3</f>
        <v/>
      </c>
      <c r="X229" s="95">
        <f>DADOS_INVOC!$GM$3</f>
        <v/>
      </c>
      <c r="Y229" s="20" t="n"/>
      <c r="Z229" s="137" t="n"/>
      <c r="AB229" s="21" t="n"/>
      <c r="AF229" s="22" t="n"/>
      <c r="AG229" s="137" t="n"/>
      <c r="AH229" s="105">
        <f>DADOS_INVOC!$FR$9</f>
        <v/>
      </c>
      <c r="AI229" s="105">
        <f>DADOS_INVOC!$FS$9</f>
        <v/>
      </c>
      <c r="AJ229" s="105">
        <f>DADOS_INVOC!$FT$9</f>
        <v/>
      </c>
      <c r="AK229" s="105">
        <f>DADOS_INVOC!$FU$9</f>
        <v/>
      </c>
      <c r="AL229" s="105">
        <f>DADOS_INVOC!$FV$9</f>
        <v/>
      </c>
      <c r="AM229" s="137" t="n"/>
      <c r="AN229" s="95" t="inlineStr">
        <is>
          <t>Com alma</t>
        </is>
      </c>
      <c r="AO229" s="105">
        <f>DADOS_INVOC!$GJ$9</f>
        <v/>
      </c>
      <c r="AP229" s="105">
        <f>DADOS_INVOC!$GL$9</f>
        <v/>
      </c>
      <c r="AQ229" s="95">
        <f>DADOS_INVOC!$GM$9</f>
        <v/>
      </c>
      <c r="AR229" s="20" t="n"/>
      <c r="AS229" s="137" t="n"/>
    </row>
    <row r="230" hidden="1" outlineLevel="1">
      <c r="A230" s="8" t="n"/>
      <c r="B230" s="14" t="n"/>
      <c r="C230" s="137" t="n"/>
      <c r="D230" s="137" t="n"/>
      <c r="E230" s="137" t="n"/>
      <c r="F230" s="137" t="n"/>
      <c r="G230" s="137" t="n"/>
      <c r="I230" s="21" t="n"/>
      <c r="M230" s="22" t="n"/>
      <c r="N230" s="137" t="n"/>
      <c r="O230" s="128" t="n"/>
      <c r="P230" s="128" t="n"/>
      <c r="Q230" s="128" t="n"/>
      <c r="R230" s="128" t="n"/>
      <c r="S230" s="128" t="n"/>
      <c r="T230" s="137" t="n"/>
      <c r="U230" s="128" t="n"/>
      <c r="V230" s="128" t="n"/>
      <c r="W230" s="128" t="n"/>
      <c r="X230" s="23" t="n"/>
      <c r="Y230" s="25" t="n"/>
      <c r="Z230" s="137" t="n"/>
      <c r="AB230" s="21" t="n"/>
      <c r="AF230" s="22" t="n"/>
      <c r="AG230" s="137" t="n"/>
      <c r="AH230" s="128" t="n"/>
      <c r="AI230" s="128" t="n"/>
      <c r="AJ230" s="128" t="n"/>
      <c r="AK230" s="128" t="n"/>
      <c r="AL230" s="128" t="n"/>
      <c r="AM230" s="137" t="n"/>
      <c r="AN230" s="128" t="n"/>
      <c r="AO230" s="128" t="n"/>
      <c r="AP230" s="128" t="n"/>
      <c r="AQ230" s="23" t="n"/>
      <c r="AR230" s="25" t="n"/>
      <c r="AS230" s="137" t="n"/>
    </row>
    <row r="231" hidden="1" outlineLevel="1">
      <c r="A231" s="8" t="n"/>
      <c r="B231" s="14" t="n"/>
      <c r="C231" s="137" t="n"/>
      <c r="D231" s="137" t="n"/>
      <c r="E231" s="137" t="n"/>
      <c r="F231" s="137" t="n"/>
      <c r="G231" s="137" t="n"/>
      <c r="I231" s="21" t="n"/>
      <c r="M231" s="22" t="n"/>
      <c r="N231" s="137" t="n"/>
      <c r="O231" s="155" t="n">
        <v>0</v>
      </c>
      <c r="P231" s="155" t="n">
        <v>0</v>
      </c>
      <c r="Q231" s="155" t="n">
        <v>0</v>
      </c>
      <c r="R231" s="155" t="n">
        <v>0</v>
      </c>
      <c r="S231" s="155" t="n">
        <v>0</v>
      </c>
      <c r="T231" s="137" t="n"/>
      <c r="U231" s="137" t="n"/>
      <c r="V231" s="137" t="n"/>
      <c r="W231" s="137" t="n"/>
      <c r="X231" s="137" t="n"/>
      <c r="Y231" s="137" t="n"/>
      <c r="Z231" s="137" t="n"/>
      <c r="AB231" s="21" t="n"/>
      <c r="AF231" s="22" t="n"/>
      <c r="AG231" s="137" t="n"/>
      <c r="AH231" s="155" t="n">
        <v>0</v>
      </c>
      <c r="AI231" s="155" t="n">
        <v>0</v>
      </c>
      <c r="AJ231" s="155" t="n">
        <v>0</v>
      </c>
      <c r="AK231" s="155" t="n">
        <v>0</v>
      </c>
      <c r="AL231" s="155" t="n">
        <v>0</v>
      </c>
      <c r="AM231" s="137" t="n"/>
      <c r="AN231" s="137" t="n"/>
      <c r="AO231" s="137" t="n"/>
      <c r="AP231" s="137" t="n"/>
      <c r="AQ231" s="137" t="n"/>
      <c r="AR231" s="137" t="n"/>
      <c r="AS231" s="137" t="n"/>
    </row>
    <row r="232" hidden="1" outlineLevel="1">
      <c r="A232" s="8" t="n"/>
      <c r="B232" s="14" t="n"/>
      <c r="C232" s="137" t="n"/>
      <c r="D232" s="137" t="n"/>
      <c r="E232" s="137" t="n"/>
      <c r="F232" s="137" t="n"/>
      <c r="G232" s="137" t="n"/>
      <c r="I232" s="21" t="n"/>
      <c r="M232" s="22" t="n"/>
      <c r="N232" s="137" t="n"/>
      <c r="O232" s="156" t="n">
        <v>0</v>
      </c>
      <c r="P232" s="156" t="n">
        <v>0</v>
      </c>
      <c r="Q232" s="156" t="n">
        <v>0</v>
      </c>
      <c r="R232" s="156" t="n">
        <v>0</v>
      </c>
      <c r="S232" s="156" t="n">
        <v>0</v>
      </c>
      <c r="T232" s="137" t="n"/>
      <c r="U232" s="56" t="inlineStr">
        <is>
          <t>CONDIÇÕES E USOS GASTOS</t>
        </is>
      </c>
      <c r="V232" s="16" t="n"/>
      <c r="W232" s="16" t="n"/>
      <c r="X232" s="16" t="n"/>
      <c r="Y232" s="17" t="n"/>
      <c r="Z232" s="137" t="n"/>
      <c r="AB232" s="21" t="n"/>
      <c r="AF232" s="22" t="n"/>
      <c r="AG232" s="137" t="n"/>
      <c r="AH232" s="156" t="n">
        <v>0</v>
      </c>
      <c r="AI232" s="156" t="n">
        <v>0</v>
      </c>
      <c r="AJ232" s="156" t="n">
        <v>0</v>
      </c>
      <c r="AK232" s="156" t="n">
        <v>0</v>
      </c>
      <c r="AL232" s="156" t="n">
        <v>0</v>
      </c>
      <c r="AM232" s="137" t="n"/>
      <c r="AN232" s="56" t="inlineStr">
        <is>
          <t>CONDIÇÕES E USOS GASTOS</t>
        </is>
      </c>
      <c r="AO232" s="16" t="n"/>
      <c r="AP232" s="16" t="n"/>
      <c r="AQ232" s="16" t="n"/>
      <c r="AR232" s="17" t="n"/>
      <c r="AS232" s="137" t="n"/>
    </row>
    <row r="233" hidden="1" outlineLevel="1">
      <c r="A233" s="8" t="n"/>
      <c r="B233" s="14" t="n"/>
      <c r="C233" s="137" t="n"/>
      <c r="D233" s="137" t="n"/>
      <c r="E233" s="137" t="n"/>
      <c r="F233" s="137" t="n"/>
      <c r="G233" s="137" t="n"/>
      <c r="I233" s="21" t="n"/>
      <c r="M233" s="22" t="n"/>
      <c r="N233" s="137" t="n"/>
      <c r="O233" s="137" t="n"/>
      <c r="P233" s="137" t="n"/>
      <c r="Q233" s="137" t="n"/>
      <c r="R233" s="137" t="n"/>
      <c r="S233" s="137" t="n"/>
      <c r="T233" s="137" t="n"/>
      <c r="U233" s="61" t="n"/>
      <c r="V233" s="19" t="n"/>
      <c r="W233" s="19" t="n"/>
      <c r="X233" s="19" t="n"/>
      <c r="Y233" s="20" t="n"/>
      <c r="Z233" s="137" t="n"/>
      <c r="AB233" s="21" t="n"/>
      <c r="AF233" s="22" t="n"/>
      <c r="AG233" s="137" t="n"/>
      <c r="AH233" s="137" t="n"/>
      <c r="AI233" s="137" t="n"/>
      <c r="AJ233" s="137" t="n"/>
      <c r="AK233" s="137" t="n"/>
      <c r="AL233" s="137" t="n"/>
      <c r="AM233" s="137" t="n"/>
      <c r="AN233" s="61" t="n"/>
      <c r="AO233" s="19" t="n"/>
      <c r="AP233" s="19" t="n"/>
      <c r="AQ233" s="19" t="n"/>
      <c r="AR233" s="20" t="n"/>
      <c r="AS233" s="137" t="n"/>
    </row>
    <row r="234" hidden="1" outlineLevel="1">
      <c r="A234" s="8" t="n"/>
      <c r="B234" s="14" t="n"/>
      <c r="C234" s="137" t="n"/>
      <c r="D234" s="137" t="n"/>
      <c r="E234" s="137" t="n"/>
      <c r="F234" s="137" t="n"/>
      <c r="G234" s="137" t="n"/>
      <c r="I234" s="21" t="n"/>
      <c r="M234" s="22" t="n"/>
      <c r="N234" s="137" t="n"/>
      <c r="O234" s="56" t="inlineStr">
        <is>
          <t>ATAQUE</t>
        </is>
      </c>
      <c r="P234" s="56" t="inlineStr">
        <is>
          <t>CD</t>
        </is>
      </c>
      <c r="Q234" s="56" t="inlineStr">
        <is>
          <t>DEFESA</t>
        </is>
      </c>
      <c r="R234" s="56" t="inlineStr">
        <is>
          <t>VIDA MÁXIMA</t>
        </is>
      </c>
      <c r="S234" s="56" t="inlineStr">
        <is>
          <t>DESLOCAMENTO</t>
        </is>
      </c>
      <c r="T234" s="137" t="n"/>
      <c r="U234" s="21" t="n"/>
      <c r="Y234" s="22" t="n"/>
      <c r="Z234" s="137" t="n"/>
      <c r="AB234" s="21" t="n"/>
      <c r="AF234" s="22" t="n"/>
      <c r="AG234" s="137" t="n"/>
      <c r="AH234" s="56" t="inlineStr">
        <is>
          <t>ATAQUE</t>
        </is>
      </c>
      <c r="AI234" s="56" t="inlineStr">
        <is>
          <t>CD</t>
        </is>
      </c>
      <c r="AJ234" s="56" t="inlineStr">
        <is>
          <t>DEFESA</t>
        </is>
      </c>
      <c r="AK234" s="56" t="inlineStr">
        <is>
          <t>VIDA MÁXIMA</t>
        </is>
      </c>
      <c r="AL234" s="56" t="inlineStr">
        <is>
          <t>DESLOCAMENTO</t>
        </is>
      </c>
      <c r="AM234" s="137" t="n"/>
      <c r="AN234" s="21" t="n"/>
      <c r="AR234" s="22" t="n"/>
      <c r="AS234" s="137" t="n"/>
    </row>
    <row r="235" hidden="1" outlineLevel="1">
      <c r="A235" s="8" t="n"/>
      <c r="B235" s="14" t="n"/>
      <c r="C235" s="137" t="n"/>
      <c r="D235" s="137" t="n"/>
      <c r="E235" s="137" t="n"/>
      <c r="F235" s="137" t="n"/>
      <c r="G235" s="137" t="n"/>
      <c r="I235" s="21" t="n"/>
      <c r="M235" s="22" t="n"/>
      <c r="N235" s="137" t="n"/>
      <c r="O235" s="105">
        <f>DADOS_INVOC!$HM$3</f>
        <v/>
      </c>
      <c r="P235" s="105">
        <f>DADOS_INVOC!$HN$3</f>
        <v/>
      </c>
      <c r="Q235" s="105">
        <f>DADOS_INVOC!$GD$3</f>
        <v/>
      </c>
      <c r="R235" s="105">
        <f>DADOS_INVOC!$GF$3</f>
        <v/>
      </c>
      <c r="S235" s="105">
        <f>DADOS_INVOC!$HO$3</f>
        <v/>
      </c>
      <c r="T235" s="137" t="n"/>
      <c r="U235" s="23" t="n"/>
      <c r="V235" s="24" t="n"/>
      <c r="W235" s="24" t="n"/>
      <c r="X235" s="24" t="n"/>
      <c r="Y235" s="25" t="n"/>
      <c r="Z235" s="137" t="n"/>
      <c r="AB235" s="21" t="n"/>
      <c r="AF235" s="22" t="n"/>
      <c r="AG235" s="137" t="n"/>
      <c r="AH235" s="105">
        <f>DADOS_INVOC!$HM$9</f>
        <v/>
      </c>
      <c r="AI235" s="105">
        <f>DADOS_INVOC!$HN$9</f>
        <v/>
      </c>
      <c r="AJ235" s="105">
        <f>DADOS_INVOC!$GD$9</f>
        <v/>
      </c>
      <c r="AK235" s="105">
        <f>DADOS_INVOC!$GF$9</f>
        <v/>
      </c>
      <c r="AL235" s="105">
        <f>DADOS_INVOC!$HO$9</f>
        <v/>
      </c>
      <c r="AM235" s="137" t="n"/>
      <c r="AN235" s="23" t="n"/>
      <c r="AO235" s="24" t="n"/>
      <c r="AP235" s="24" t="n"/>
      <c r="AQ235" s="24" t="n"/>
      <c r="AR235" s="25" t="n"/>
      <c r="AS235" s="137" t="n"/>
    </row>
    <row r="236" hidden="1" outlineLevel="1">
      <c r="A236" s="8" t="n"/>
      <c r="B236" s="14" t="n"/>
      <c r="C236" s="137" t="n"/>
      <c r="D236" s="137" t="n"/>
      <c r="E236" s="137" t="n"/>
      <c r="F236" s="137" t="n"/>
      <c r="G236" s="137" t="n"/>
      <c r="I236" s="21" t="n"/>
      <c r="M236" s="22" t="n"/>
      <c r="N236" s="137" t="n"/>
      <c r="O236" s="128" t="n"/>
      <c r="P236" s="128" t="n"/>
      <c r="Q236" s="128" t="n"/>
      <c r="R236" s="128" t="n"/>
      <c r="S236" s="128" t="n"/>
      <c r="T236" s="137" t="n"/>
      <c r="U236" s="137" t="n"/>
      <c r="V236" s="137" t="n"/>
      <c r="W236" s="137" t="n"/>
      <c r="X236" s="137" t="n"/>
      <c r="Y236" s="137" t="n"/>
      <c r="Z236" s="137" t="n"/>
      <c r="AB236" s="21" t="n"/>
      <c r="AF236" s="22" t="n"/>
      <c r="AG236" s="137" t="n"/>
      <c r="AH236" s="128" t="n"/>
      <c r="AI236" s="128" t="n"/>
      <c r="AJ236" s="128" t="n"/>
      <c r="AK236" s="128" t="n"/>
      <c r="AL236" s="128" t="n"/>
      <c r="AM236" s="137" t="n"/>
      <c r="AN236" s="137" t="n"/>
      <c r="AO236" s="137" t="n"/>
      <c r="AP236" s="137" t="n"/>
      <c r="AQ236" s="137" t="n"/>
      <c r="AR236" s="137" t="n"/>
      <c r="AS236" s="137" t="n"/>
    </row>
    <row r="237" hidden="1" outlineLevel="1">
      <c r="A237" s="8" t="n"/>
      <c r="B237" s="14" t="n"/>
      <c r="C237" s="137" t="n"/>
      <c r="D237" s="137" t="n"/>
      <c r="E237" s="137" t="n"/>
      <c r="F237" s="137" t="n"/>
      <c r="G237" s="137" t="n"/>
      <c r="I237" s="21" t="n"/>
      <c r="M237" s="22" t="n"/>
      <c r="N237" s="137" t="n"/>
      <c r="O237" s="156" t="n">
        <v>0</v>
      </c>
      <c r="P237" s="156" t="n">
        <v>0</v>
      </c>
      <c r="Q237" s="156" t="n">
        <v>0</v>
      </c>
      <c r="R237" s="156" t="n">
        <v>0</v>
      </c>
      <c r="S237" s="156" t="n">
        <v>0</v>
      </c>
      <c r="T237" s="137" t="n"/>
      <c r="U237" s="56" t="inlineStr">
        <is>
          <t>ANOTAÇÕES</t>
        </is>
      </c>
      <c r="V237" s="16" t="n"/>
      <c r="W237" s="16" t="n"/>
      <c r="X237" s="16" t="n"/>
      <c r="Y237" s="17" t="n"/>
      <c r="Z237" s="137" t="n"/>
      <c r="AB237" s="21" t="n"/>
      <c r="AF237" s="22" t="n"/>
      <c r="AG237" s="137" t="n"/>
      <c r="AH237" s="156" t="n">
        <v>0</v>
      </c>
      <c r="AI237" s="156" t="n">
        <v>0</v>
      </c>
      <c r="AJ237" s="156" t="n">
        <v>0</v>
      </c>
      <c r="AK237" s="156" t="n">
        <v>0</v>
      </c>
      <c r="AL237" s="156" t="n">
        <v>0</v>
      </c>
      <c r="AM237" s="137" t="n"/>
      <c r="AN237" s="56" t="inlineStr">
        <is>
          <t>ANOTAÇÕES</t>
        </is>
      </c>
      <c r="AO237" s="16" t="n"/>
      <c r="AP237" s="16" t="n"/>
      <c r="AQ237" s="16" t="n"/>
      <c r="AR237" s="17" t="n"/>
      <c r="AS237" s="137" t="n"/>
    </row>
    <row r="238" hidden="1" outlineLevel="1">
      <c r="A238" s="8" t="n"/>
      <c r="B238" s="14" t="n"/>
      <c r="C238" s="137" t="n"/>
      <c r="D238" s="137" t="n"/>
      <c r="E238" s="137" t="n"/>
      <c r="F238" s="137" t="n"/>
      <c r="G238" s="137" t="n"/>
      <c r="I238" s="21" t="n"/>
      <c r="M238" s="22" t="n"/>
      <c r="N238" s="137" t="n"/>
      <c r="O238" s="137" t="n"/>
      <c r="P238" s="137" t="n"/>
      <c r="Q238" s="137" t="n"/>
      <c r="R238" s="137" t="n"/>
      <c r="S238" s="137" t="n"/>
      <c r="T238" s="137" t="n"/>
      <c r="U238" s="61" t="n"/>
      <c r="V238" s="19" t="n"/>
      <c r="W238" s="19" t="n"/>
      <c r="X238" s="19" t="n"/>
      <c r="Y238" s="20" t="n"/>
      <c r="Z238" s="137" t="n"/>
      <c r="AB238" s="21" t="n"/>
      <c r="AF238" s="22" t="n"/>
      <c r="AG238" s="137" t="n"/>
      <c r="AH238" s="137" t="n"/>
      <c r="AI238" s="137" t="n"/>
      <c r="AJ238" s="137" t="n"/>
      <c r="AK238" s="137" t="n"/>
      <c r="AL238" s="137" t="n"/>
      <c r="AM238" s="137" t="n"/>
      <c r="AN238" s="61" t="n"/>
      <c r="AO238" s="19" t="n"/>
      <c r="AP238" s="19" t="n"/>
      <c r="AQ238" s="19" t="n"/>
      <c r="AR238" s="20" t="n"/>
      <c r="AS238" s="137" t="n"/>
    </row>
    <row r="239" hidden="1" outlineLevel="1">
      <c r="A239" s="8" t="n"/>
      <c r="B239" s="14" t="n"/>
      <c r="C239" s="137" t="n"/>
      <c r="D239" s="137" t="n"/>
      <c r="E239" s="137" t="n"/>
      <c r="F239" s="137" t="n"/>
      <c r="G239" s="137" t="n"/>
      <c r="I239" s="21" t="n"/>
      <c r="M239" s="22" t="n"/>
      <c r="N239" s="137" t="n"/>
      <c r="O239" s="56" t="inlineStr">
        <is>
          <t>FÍSICO</t>
        </is>
      </c>
      <c r="P239" s="56" t="inlineStr">
        <is>
          <t>VIGOR</t>
        </is>
      </c>
      <c r="Q239" s="56" t="inlineStr">
        <is>
          <t>INTELECTO</t>
        </is>
      </c>
      <c r="R239" s="56" t="inlineStr">
        <is>
          <t>ESPÍRITO</t>
        </is>
      </c>
      <c r="S239" s="56" t="inlineStr">
        <is>
          <t>TR TREINADO</t>
        </is>
      </c>
      <c r="T239" s="137" t="n"/>
      <c r="U239" s="21" t="n"/>
      <c r="Y239" s="22" t="n"/>
      <c r="Z239" s="137" t="n"/>
      <c r="AB239" s="21" t="n"/>
      <c r="AF239" s="22" t="n"/>
      <c r="AG239" s="137" t="n"/>
      <c r="AH239" s="56" t="inlineStr">
        <is>
          <t>FÍSICO</t>
        </is>
      </c>
      <c r="AI239" s="56" t="inlineStr">
        <is>
          <t>VIGOR</t>
        </is>
      </c>
      <c r="AJ239" s="56" t="inlineStr">
        <is>
          <t>INTELECTO</t>
        </is>
      </c>
      <c r="AK239" s="56" t="inlineStr">
        <is>
          <t>ESPÍRITO</t>
        </is>
      </c>
      <c r="AL239" s="56" t="inlineStr">
        <is>
          <t>TR TREINADO</t>
        </is>
      </c>
      <c r="AM239" s="137" t="n"/>
      <c r="AN239" s="21" t="n"/>
      <c r="AR239" s="22" t="n"/>
      <c r="AS239" s="137" t="n"/>
    </row>
    <row r="240" hidden="1" outlineLevel="1">
      <c r="A240" s="8" t="n"/>
      <c r="B240" s="14" t="n"/>
      <c r="C240" s="137" t="n"/>
      <c r="D240" s="137" t="n"/>
      <c r="E240" s="137" t="n"/>
      <c r="F240" s="137" t="n"/>
      <c r="G240" s="137" t="n"/>
      <c r="I240" s="21" t="n"/>
      <c r="M240" s="22" t="n"/>
      <c r="N240" s="137" t="n"/>
      <c r="O240" s="105">
        <f>DADOS_INVOC!$HP$3</f>
        <v/>
      </c>
      <c r="P240" s="105">
        <f>DADOS_INVOC!$HQ$3</f>
        <v/>
      </c>
      <c r="Q240" s="105">
        <f>DADOS_INVOC!$HR$3</f>
        <v/>
      </c>
      <c r="R240" s="105">
        <f>DADOS_INVOC!$HS$3</f>
        <v/>
      </c>
      <c r="S240" s="95" t="n"/>
      <c r="T240" s="137" t="n"/>
      <c r="U240" s="21" t="n"/>
      <c r="Y240" s="22" t="n"/>
      <c r="Z240" s="137" t="n"/>
      <c r="AB240" s="21" t="n"/>
      <c r="AF240" s="22" t="n"/>
      <c r="AG240" s="137" t="n"/>
      <c r="AH240" s="105">
        <f>DADOS_INVOC!$HP$9</f>
        <v/>
      </c>
      <c r="AI240" s="105">
        <f>DADOS_INVOC!$HQ$9</f>
        <v/>
      </c>
      <c r="AJ240" s="105">
        <f>DADOS_INVOC!$HR$9</f>
        <v/>
      </c>
      <c r="AK240" s="105">
        <f>DADOS_INVOC!$HS$9</f>
        <v/>
      </c>
      <c r="AL240" s="95" t="n"/>
      <c r="AM240" s="137" t="n"/>
      <c r="AN240" s="21" t="n"/>
      <c r="AR240" s="22" t="n"/>
      <c r="AS240" s="137" t="n"/>
    </row>
    <row r="241" hidden="1" outlineLevel="1">
      <c r="A241" s="8" t="n"/>
      <c r="B241" s="14" t="n"/>
      <c r="C241" s="137" t="n"/>
      <c r="D241" s="137" t="n"/>
      <c r="E241" s="137" t="n"/>
      <c r="F241" s="137" t="n"/>
      <c r="G241" s="137" t="n"/>
      <c r="I241" s="21" t="n"/>
      <c r="M241" s="22" t="n"/>
      <c r="N241" s="137" t="n"/>
      <c r="O241" s="128" t="n"/>
      <c r="P241" s="128" t="n"/>
      <c r="Q241" s="128" t="n"/>
      <c r="R241" s="128" t="n"/>
      <c r="S241" s="128" t="n"/>
      <c r="T241" s="137" t="n"/>
      <c r="U241" s="23" t="n"/>
      <c r="V241" s="24" t="n"/>
      <c r="W241" s="24" t="n"/>
      <c r="X241" s="24" t="n"/>
      <c r="Y241" s="25" t="n"/>
      <c r="Z241" s="137" t="n"/>
      <c r="AB241" s="21" t="n"/>
      <c r="AF241" s="22" t="n"/>
      <c r="AG241" s="137" t="n"/>
      <c r="AH241" s="128" t="n"/>
      <c r="AI241" s="128" t="n"/>
      <c r="AJ241" s="128" t="n"/>
      <c r="AK241" s="128" t="n"/>
      <c r="AL241" s="128" t="n"/>
      <c r="AM241" s="137" t="n"/>
      <c r="AN241" s="23" t="n"/>
      <c r="AO241" s="24" t="n"/>
      <c r="AP241" s="24" t="n"/>
      <c r="AQ241" s="24" t="n"/>
      <c r="AR241" s="25" t="n"/>
      <c r="AS241" s="137" t="n"/>
    </row>
    <row r="242" hidden="1" outlineLevel="1">
      <c r="A242" s="8" t="n"/>
      <c r="B242" s="14" t="n"/>
      <c r="C242" s="137" t="n"/>
      <c r="D242" s="137" t="n"/>
      <c r="E242" s="137" t="n"/>
      <c r="F242" s="137" t="n"/>
      <c r="G242" s="137" t="n"/>
      <c r="I242" s="21" t="n"/>
      <c r="M242" s="22" t="n"/>
      <c r="N242" s="137" t="n"/>
      <c r="O242" s="156" t="n">
        <v>0</v>
      </c>
      <c r="P242" s="156" t="n">
        <v>0</v>
      </c>
      <c r="Q242" s="156" t="n">
        <v>0</v>
      </c>
      <c r="R242" s="156" t="n">
        <v>0</v>
      </c>
      <c r="S242" s="137" t="n"/>
      <c r="T242" s="137" t="n"/>
      <c r="U242" s="137" t="n"/>
      <c r="V242" s="137" t="n"/>
      <c r="W242" s="137" t="n"/>
      <c r="X242" s="137" t="n"/>
      <c r="Y242" s="137" t="n"/>
      <c r="Z242" s="137" t="n"/>
      <c r="AB242" s="21" t="n"/>
      <c r="AF242" s="22" t="n"/>
      <c r="AG242" s="137" t="n"/>
      <c r="AH242" s="156" t="n">
        <v>0</v>
      </c>
      <c r="AI242" s="156" t="n">
        <v>0</v>
      </c>
      <c r="AJ242" s="156" t="n">
        <v>0</v>
      </c>
      <c r="AK242" s="156" t="n">
        <v>0</v>
      </c>
      <c r="AL242" s="137" t="n"/>
      <c r="AM242" s="137" t="n"/>
      <c r="AN242" s="137" t="n"/>
      <c r="AO242" s="137" t="n"/>
      <c r="AP242" s="137" t="n"/>
      <c r="AQ242" s="137" t="n"/>
      <c r="AR242" s="137" t="n"/>
      <c r="AS242" s="137" t="n"/>
    </row>
    <row r="243" hidden="1" outlineLevel="1">
      <c r="A243" s="8" t="n"/>
      <c r="B243" s="14" t="n"/>
      <c r="C243" s="137" t="n"/>
      <c r="D243" s="137" t="n"/>
      <c r="E243" s="137" t="n"/>
      <c r="F243" s="137" t="n"/>
      <c r="G243" s="137" t="n"/>
      <c r="I243" s="21" t="n"/>
      <c r="M243" s="22" t="n"/>
      <c r="N243" s="137" t="n"/>
      <c r="O243" s="137" t="n"/>
      <c r="P243" s="137" t="n"/>
      <c r="Q243" s="137" t="n"/>
      <c r="R243" s="137" t="n"/>
      <c r="S243" s="137" t="n"/>
      <c r="T243" s="137" t="n"/>
      <c r="U243" s="56">
        <f>DADOS_INVOC!$IC$3</f>
        <v/>
      </c>
      <c r="V243" s="16" t="n"/>
      <c r="W243" s="16" t="n"/>
      <c r="X243" s="17" t="n"/>
      <c r="Y243" s="56" t="inlineStr">
        <is>
          <t>VOL.</t>
        </is>
      </c>
      <c r="Z243" s="137" t="n"/>
      <c r="AB243" s="21" t="n"/>
      <c r="AF243" s="22" t="n"/>
      <c r="AG243" s="137" t="n"/>
      <c r="AH243" s="137" t="n"/>
      <c r="AI243" s="137" t="n"/>
      <c r="AJ243" s="137" t="n"/>
      <c r="AK243" s="137" t="n"/>
      <c r="AL243" s="137" t="n"/>
      <c r="AM243" s="137" t="n"/>
      <c r="AN243" s="56">
        <f>DADOS_INVOC!$IC$9</f>
        <v/>
      </c>
      <c r="AO243" s="16" t="n"/>
      <c r="AP243" s="16" t="n"/>
      <c r="AQ243" s="17" t="n"/>
      <c r="AR243" s="56" t="inlineStr">
        <is>
          <t>VOL.</t>
        </is>
      </c>
      <c r="AS243" s="137" t="n"/>
    </row>
    <row r="244" hidden="1" outlineLevel="1">
      <c r="A244" s="8" t="n"/>
      <c r="B244" s="14" t="n"/>
      <c r="C244" s="137" t="n"/>
      <c r="D244" s="137" t="n"/>
      <c r="E244" s="137" t="n"/>
      <c r="F244" s="137" t="n"/>
      <c r="G244" s="137" t="n"/>
      <c r="I244" s="21" t="n"/>
      <c r="M244" s="22" t="n"/>
      <c r="N244" s="137" t="n"/>
      <c r="O244" s="56" t="inlineStr">
        <is>
          <t>ATRIBUTO DE ACERTO</t>
        </is>
      </c>
      <c r="P244" s="16" t="n"/>
      <c r="Q244" s="17" t="n"/>
      <c r="R244" s="56" t="inlineStr">
        <is>
          <t>FÍSICO USA</t>
        </is>
      </c>
      <c r="S244" s="17" t="n"/>
      <c r="T244" s="137" t="n"/>
      <c r="U244" s="56" t="inlineStr">
        <is>
          <t>MÃO 1</t>
        </is>
      </c>
      <c r="V244" s="144" t="n"/>
      <c r="W244" s="16" t="n"/>
      <c r="X244" s="17" t="n"/>
      <c r="Y244" s="95" t="n"/>
      <c r="Z244" s="137" t="n"/>
      <c r="AB244" s="21" t="n"/>
      <c r="AF244" s="22" t="n"/>
      <c r="AG244" s="137" t="n"/>
      <c r="AH244" s="56" t="inlineStr">
        <is>
          <t>ATRIBUTO DE ACERTO</t>
        </is>
      </c>
      <c r="AI244" s="16" t="n"/>
      <c r="AJ244" s="17" t="n"/>
      <c r="AK244" s="56" t="inlineStr">
        <is>
          <t>FÍSICO USA</t>
        </is>
      </c>
      <c r="AL244" s="17" t="n"/>
      <c r="AM244" s="137" t="n"/>
      <c r="AN244" s="56" t="inlineStr">
        <is>
          <t>MÃO 1</t>
        </is>
      </c>
      <c r="AO244" s="144" t="n"/>
      <c r="AP244" s="16" t="n"/>
      <c r="AQ244" s="17" t="n"/>
      <c r="AR244" s="95" t="n"/>
      <c r="AS244" s="137" t="n"/>
    </row>
    <row r="245" hidden="1" outlineLevel="1">
      <c r="A245" s="8" t="n"/>
      <c r="B245" s="14" t="n"/>
      <c r="C245" s="137" t="n"/>
      <c r="D245" s="137" t="n"/>
      <c r="E245" s="137" t="n"/>
      <c r="F245" s="137" t="n"/>
      <c r="G245" s="137" t="n"/>
      <c r="I245" s="21" t="n"/>
      <c r="M245" s="22" t="n"/>
      <c r="N245" s="137" t="n"/>
      <c r="O245" s="95" t="n"/>
      <c r="P245" s="19" t="n"/>
      <c r="Q245" s="20" t="n"/>
      <c r="R245" s="95" t="inlineStr">
        <is>
          <t>Força</t>
        </is>
      </c>
      <c r="S245" s="20" t="n"/>
      <c r="T245" s="137" t="n"/>
      <c r="U245" s="56" t="inlineStr">
        <is>
          <t>MÃO 2</t>
        </is>
      </c>
      <c r="V245" s="144" t="n"/>
      <c r="W245" s="16" t="n"/>
      <c r="X245" s="17" t="n"/>
      <c r="Y245" s="95" t="n"/>
      <c r="Z245" s="137" t="n"/>
      <c r="AB245" s="21" t="n"/>
      <c r="AF245" s="22" t="n"/>
      <c r="AG245" s="137" t="n"/>
      <c r="AH245" s="95" t="n"/>
      <c r="AI245" s="19" t="n"/>
      <c r="AJ245" s="20" t="n"/>
      <c r="AK245" s="95" t="inlineStr">
        <is>
          <t>Força</t>
        </is>
      </c>
      <c r="AL245" s="20" t="n"/>
      <c r="AM245" s="137" t="n"/>
      <c r="AN245" s="56" t="inlineStr">
        <is>
          <t>MÃO 2</t>
        </is>
      </c>
      <c r="AO245" s="144" t="n"/>
      <c r="AP245" s="16" t="n"/>
      <c r="AQ245" s="17" t="n"/>
      <c r="AR245" s="95" t="n"/>
      <c r="AS245" s="137" t="n"/>
    </row>
    <row r="246" hidden="1" outlineLevel="1">
      <c r="A246" s="8" t="n"/>
      <c r="B246" s="14" t="n"/>
      <c r="C246" s="137" t="n"/>
      <c r="D246" s="137" t="n"/>
      <c r="E246" s="137" t="n"/>
      <c r="F246" s="137" t="n"/>
      <c r="G246" s="137" t="n"/>
      <c r="I246" s="21" t="n"/>
      <c r="M246" s="22" t="n"/>
      <c r="N246" s="137" t="n"/>
      <c r="O246" s="23" t="n"/>
      <c r="P246" s="24" t="n"/>
      <c r="Q246" s="25" t="n"/>
      <c r="R246" s="23" t="n"/>
      <c r="S246" s="25" t="n"/>
      <c r="T246" s="137" t="n"/>
      <c r="U246" s="56" t="inlineStr">
        <is>
          <t>VESTE</t>
        </is>
      </c>
      <c r="V246" s="144" t="n"/>
      <c r="W246" s="16" t="n"/>
      <c r="X246" s="17" t="n"/>
      <c r="Y246" s="95" t="n"/>
      <c r="Z246" s="137" t="n"/>
      <c r="AB246" s="21" t="n"/>
      <c r="AF246" s="22" t="n"/>
      <c r="AG246" s="137" t="n"/>
      <c r="AH246" s="23" t="n"/>
      <c r="AI246" s="24" t="n"/>
      <c r="AJ246" s="25" t="n"/>
      <c r="AK246" s="23" t="n"/>
      <c r="AL246" s="25" t="n"/>
      <c r="AM246" s="137" t="n"/>
      <c r="AN246" s="56" t="inlineStr">
        <is>
          <t>VESTE</t>
        </is>
      </c>
      <c r="AO246" s="144" t="n"/>
      <c r="AP246" s="16" t="n"/>
      <c r="AQ246" s="17" t="n"/>
      <c r="AR246" s="95" t="n"/>
      <c r="AS246" s="137" t="n"/>
    </row>
    <row r="247" hidden="1" outlineLevel="1">
      <c r="A247" s="8" t="n"/>
      <c r="B247" s="14" t="n"/>
      <c r="C247" s="137" t="n"/>
      <c r="D247" s="137" t="n"/>
      <c r="E247" s="137" t="n"/>
      <c r="F247" s="137" t="n"/>
      <c r="G247" s="137" t="n"/>
      <c r="I247" s="21" t="n"/>
      <c r="M247" s="22" t="n"/>
      <c r="N247" s="137" t="n"/>
      <c r="O247" s="137" t="n"/>
      <c r="P247" s="137" t="n"/>
      <c r="Q247" s="137" t="n"/>
      <c r="R247" s="137" t="n"/>
      <c r="S247" s="137" t="n"/>
      <c r="T247" s="137" t="n"/>
      <c r="U247" s="56" t="inlineStr">
        <is>
          <t>GUARDADO · SÓ COM A CARACTERÍSTICA DE TRANSPORTE</t>
        </is>
      </c>
      <c r="V247" s="16" t="n"/>
      <c r="W247" s="16" t="n"/>
      <c r="X247" s="17" t="n"/>
      <c r="Y247" s="56" t="inlineStr">
        <is>
          <t>VOL.</t>
        </is>
      </c>
      <c r="Z247" s="137" t="n"/>
      <c r="AB247" s="21" t="n"/>
      <c r="AF247" s="22" t="n"/>
      <c r="AG247" s="137" t="n"/>
      <c r="AH247" s="137" t="n"/>
      <c r="AI247" s="137" t="n"/>
      <c r="AJ247" s="137" t="n"/>
      <c r="AK247" s="137" t="n"/>
      <c r="AL247" s="137" t="n"/>
      <c r="AM247" s="137" t="n"/>
      <c r="AN247" s="56" t="inlineStr">
        <is>
          <t>GUARDADO · SÓ COM A CARACTERÍSTICA DE TRANSPORTE</t>
        </is>
      </c>
      <c r="AO247" s="16" t="n"/>
      <c r="AP247" s="16" t="n"/>
      <c r="AQ247" s="17" t="n"/>
      <c r="AR247" s="56" t="inlineStr">
        <is>
          <t>VOL.</t>
        </is>
      </c>
      <c r="AS247" s="137" t="n"/>
    </row>
    <row r="248" hidden="1" outlineLevel="1">
      <c r="A248" s="8" t="n"/>
      <c r="B248" s="14" t="n"/>
      <c r="C248" s="137" t="n"/>
      <c r="D248" s="137" t="n"/>
      <c r="E248" s="137" t="n"/>
      <c r="F248" s="137" t="n"/>
      <c r="G248" s="137" t="n"/>
      <c r="I248" s="21" t="n"/>
      <c r="M248" s="22" t="n"/>
      <c r="N248" s="137" t="n"/>
      <c r="O248" s="56">
        <f>DADOS_INVOC!$HT$3</f>
        <v/>
      </c>
      <c r="P248" s="16" t="n"/>
      <c r="Q248" s="16" t="n"/>
      <c r="R248" s="16" t="n"/>
      <c r="S248" s="17" t="n"/>
      <c r="T248" s="137" t="n"/>
      <c r="U248" s="144" t="n"/>
      <c r="V248" s="16" t="n"/>
      <c r="W248" s="16" t="n"/>
      <c r="X248" s="17" t="n"/>
      <c r="Y248" s="95" t="n"/>
      <c r="Z248" s="137" t="n"/>
      <c r="AB248" s="21" t="n"/>
      <c r="AF248" s="22" t="n"/>
      <c r="AG248" s="137" t="n"/>
      <c r="AH248" s="56">
        <f>DADOS_INVOC!$HT$9</f>
        <v/>
      </c>
      <c r="AI248" s="16" t="n"/>
      <c r="AJ248" s="16" t="n"/>
      <c r="AK248" s="16" t="n"/>
      <c r="AL248" s="17" t="n"/>
      <c r="AM248" s="137" t="n"/>
      <c r="AN248" s="144" t="n"/>
      <c r="AO248" s="16" t="n"/>
      <c r="AP248" s="16" t="n"/>
      <c r="AQ248" s="17" t="n"/>
      <c r="AR248" s="95" t="n"/>
      <c r="AS248" s="137" t="n"/>
    </row>
    <row r="249" hidden="1" outlineLevel="1">
      <c r="A249" s="8" t="n"/>
      <c r="B249" s="14" t="n"/>
      <c r="C249" s="137" t="n"/>
      <c r="D249" s="137" t="n"/>
      <c r="E249" s="137" t="n"/>
      <c r="F249" s="137" t="n"/>
      <c r="G249" s="137" t="n"/>
      <c r="I249" s="21" t="n"/>
      <c r="M249" s="22" t="n"/>
      <c r="N249" s="137" t="n"/>
      <c r="O249" s="144" t="n"/>
      <c r="P249" s="16" t="n"/>
      <c r="Q249" s="17" t="n"/>
      <c r="R249" s="95">
        <f>DADOS_INVOC!$HU$3</f>
        <v/>
      </c>
      <c r="S249" s="17" t="n"/>
      <c r="T249" s="137" t="n"/>
      <c r="U249" s="144" t="n"/>
      <c r="V249" s="16" t="n"/>
      <c r="W249" s="16" t="n"/>
      <c r="X249" s="17" t="n"/>
      <c r="Y249" s="95" t="n"/>
      <c r="Z249" s="137" t="n"/>
      <c r="AB249" s="21" t="n"/>
      <c r="AF249" s="22" t="n"/>
      <c r="AG249" s="137" t="n"/>
      <c r="AH249" s="144" t="n"/>
      <c r="AI249" s="16" t="n"/>
      <c r="AJ249" s="17" t="n"/>
      <c r="AK249" s="95">
        <f>DADOS_INVOC!$HU$9</f>
        <v/>
      </c>
      <c r="AL249" s="17" t="n"/>
      <c r="AM249" s="137" t="n"/>
      <c r="AN249" s="144" t="n"/>
      <c r="AO249" s="16" t="n"/>
      <c r="AP249" s="16" t="n"/>
      <c r="AQ249" s="17" t="n"/>
      <c r="AR249" s="95" t="n"/>
      <c r="AS249" s="137" t="n"/>
    </row>
    <row r="250" hidden="1" outlineLevel="1">
      <c r="A250" s="8" t="n"/>
      <c r="B250" s="14" t="n"/>
      <c r="C250" s="137" t="n"/>
      <c r="D250" s="137" t="n"/>
      <c r="E250" s="137" t="n"/>
      <c r="F250" s="137" t="n"/>
      <c r="G250" s="137" t="n"/>
      <c r="I250" s="21" t="n"/>
      <c r="M250" s="22" t="n"/>
      <c r="N250" s="137" t="n"/>
      <c r="O250" s="144" t="n"/>
      <c r="P250" s="16" t="n"/>
      <c r="Q250" s="17" t="n"/>
      <c r="R250" s="95">
        <f>DADOS_INVOC!$HV$3</f>
        <v/>
      </c>
      <c r="S250" s="17" t="n"/>
      <c r="T250" s="137" t="n"/>
      <c r="U250" s="144" t="n"/>
      <c r="V250" s="16" t="n"/>
      <c r="W250" s="16" t="n"/>
      <c r="X250" s="17" t="n"/>
      <c r="Y250" s="95" t="n"/>
      <c r="Z250" s="137" t="n"/>
      <c r="AB250" s="21" t="n"/>
      <c r="AF250" s="22" t="n"/>
      <c r="AG250" s="137" t="n"/>
      <c r="AH250" s="144" t="n"/>
      <c r="AI250" s="16" t="n"/>
      <c r="AJ250" s="17" t="n"/>
      <c r="AK250" s="95">
        <f>DADOS_INVOC!$HV$9</f>
        <v/>
      </c>
      <c r="AL250" s="17" t="n"/>
      <c r="AM250" s="137" t="n"/>
      <c r="AN250" s="144" t="n"/>
      <c r="AO250" s="16" t="n"/>
      <c r="AP250" s="16" t="n"/>
      <c r="AQ250" s="17" t="n"/>
      <c r="AR250" s="95" t="n"/>
      <c r="AS250" s="137" t="n"/>
    </row>
    <row r="251" hidden="1" outlineLevel="1">
      <c r="A251" s="8" t="n"/>
      <c r="B251" s="14" t="n"/>
      <c r="C251" s="137" t="n"/>
      <c r="D251" s="137" t="n"/>
      <c r="E251" s="137" t="n"/>
      <c r="F251" s="137" t="n"/>
      <c r="G251" s="137" t="n"/>
      <c r="I251" s="23" t="n"/>
      <c r="J251" s="24" t="n"/>
      <c r="K251" s="24" t="n"/>
      <c r="L251" s="24" t="n"/>
      <c r="M251" s="25" t="n"/>
      <c r="N251" s="137" t="n"/>
      <c r="O251" s="144" t="n"/>
      <c r="P251" s="16" t="n"/>
      <c r="Q251" s="17" t="n"/>
      <c r="R251" s="95">
        <f>DADOS_INVOC!$HW$3</f>
        <v/>
      </c>
      <c r="S251" s="17" t="n"/>
      <c r="T251" s="137" t="n"/>
      <c r="U251" s="144" t="n"/>
      <c r="V251" s="16" t="n"/>
      <c r="W251" s="16" t="n"/>
      <c r="X251" s="17" t="n"/>
      <c r="Y251" s="95" t="n"/>
      <c r="Z251" s="137" t="n"/>
      <c r="AB251" s="23" t="n"/>
      <c r="AC251" s="24" t="n"/>
      <c r="AD251" s="24" t="n"/>
      <c r="AE251" s="24" t="n"/>
      <c r="AF251" s="25" t="n"/>
      <c r="AG251" s="137" t="n"/>
      <c r="AH251" s="144" t="n"/>
      <c r="AI251" s="16" t="n"/>
      <c r="AJ251" s="17" t="n"/>
      <c r="AK251" s="95">
        <f>DADOS_INVOC!$HW$9</f>
        <v/>
      </c>
      <c r="AL251" s="17" t="n"/>
      <c r="AM251" s="137" t="n"/>
      <c r="AN251" s="144" t="n"/>
      <c r="AO251" s="16" t="n"/>
      <c r="AP251" s="16" t="n"/>
      <c r="AQ251" s="17" t="n"/>
      <c r="AR251" s="95" t="n"/>
      <c r="AS251" s="137" t="n"/>
    </row>
    <row r="252" hidden="1" outlineLevel="1">
      <c r="A252" s="8" t="n"/>
      <c r="B252" s="14" t="n"/>
      <c r="C252" s="137" t="n"/>
      <c r="D252" s="137" t="n"/>
      <c r="E252" s="137" t="n"/>
      <c r="F252" s="137" t="n"/>
      <c r="G252" s="137" t="n"/>
      <c r="I252" s="137" t="n"/>
      <c r="J252" s="137" t="n"/>
      <c r="K252" s="137" t="n"/>
      <c r="L252" s="137" t="n"/>
      <c r="M252" s="137" t="n"/>
      <c r="N252" s="137" t="n"/>
      <c r="O252" s="144" t="n"/>
      <c r="P252" s="16" t="n"/>
      <c r="Q252" s="17" t="n"/>
      <c r="R252" s="95">
        <f>DADOS_INVOC!$HX$3</f>
        <v/>
      </c>
      <c r="S252" s="17" t="n"/>
      <c r="T252" s="137" t="n"/>
      <c r="U252" s="144" t="n"/>
      <c r="V252" s="16" t="n"/>
      <c r="W252" s="16" t="n"/>
      <c r="X252" s="17" t="n"/>
      <c r="Y252" s="95" t="n"/>
      <c r="Z252" s="137" t="n"/>
      <c r="AB252" s="137" t="n"/>
      <c r="AC252" s="137" t="n"/>
      <c r="AD252" s="137" t="n"/>
      <c r="AE252" s="137" t="n"/>
      <c r="AF252" s="137" t="n"/>
      <c r="AG252" s="137" t="n"/>
      <c r="AH252" s="144" t="n"/>
      <c r="AI252" s="16" t="n"/>
      <c r="AJ252" s="17" t="n"/>
      <c r="AK252" s="95">
        <f>DADOS_INVOC!$HX$9</f>
        <v/>
      </c>
      <c r="AL252" s="17" t="n"/>
      <c r="AM252" s="137" t="n"/>
      <c r="AN252" s="144" t="n"/>
      <c r="AO252" s="16" t="n"/>
      <c r="AP252" s="16" t="n"/>
      <c r="AQ252" s="17" t="n"/>
      <c r="AR252" s="95" t="n"/>
      <c r="AS252" s="137" t="n"/>
    </row>
    <row r="253" hidden="1" outlineLevel="1">
      <c r="A253" s="8" t="n"/>
      <c r="B253" s="14" t="n"/>
      <c r="C253" s="137" t="n"/>
      <c r="D253" s="137" t="n"/>
      <c r="E253" s="137" t="n"/>
      <c r="F253" s="137" t="n"/>
      <c r="G253" s="137" t="n"/>
      <c r="I253" s="56" t="inlineStr">
        <is>
          <t>TIPO</t>
        </is>
      </c>
      <c r="J253" s="16" t="n"/>
      <c r="K253" s="17" t="n"/>
      <c r="L253" s="56" t="inlineStr">
        <is>
          <t>OFÍCIO COMPATÍVEL</t>
        </is>
      </c>
      <c r="M253" s="17" t="n"/>
      <c r="N253" s="137" t="n"/>
      <c r="O253" s="144" t="n"/>
      <c r="P253" s="16" t="n"/>
      <c r="Q253" s="17" t="n"/>
      <c r="R253" s="95">
        <f>DADOS_INVOC!$HY$3</f>
        <v/>
      </c>
      <c r="S253" s="17" t="n"/>
      <c r="T253" s="137" t="n"/>
      <c r="U253" s="144" t="n"/>
      <c r="V253" s="16" t="n"/>
      <c r="W253" s="16" t="n"/>
      <c r="X253" s="17" t="n"/>
      <c r="Y253" s="95" t="n"/>
      <c r="Z253" s="137" t="n"/>
      <c r="AB253" s="56" t="inlineStr">
        <is>
          <t>TIPO</t>
        </is>
      </c>
      <c r="AC253" s="16" t="n"/>
      <c r="AD253" s="17" t="n"/>
      <c r="AE253" s="56" t="inlineStr">
        <is>
          <t>OFÍCIO COMPATÍVEL</t>
        </is>
      </c>
      <c r="AF253" s="17" t="n"/>
      <c r="AG253" s="137" t="n"/>
      <c r="AH253" s="144" t="n"/>
      <c r="AI253" s="16" t="n"/>
      <c r="AJ253" s="17" t="n"/>
      <c r="AK253" s="95">
        <f>DADOS_INVOC!$HY$9</f>
        <v/>
      </c>
      <c r="AL253" s="17" t="n"/>
      <c r="AM253" s="137" t="n"/>
      <c r="AN253" s="144" t="n"/>
      <c r="AO253" s="16" t="n"/>
      <c r="AP253" s="16" t="n"/>
      <c r="AQ253" s="17" t="n"/>
      <c r="AR253" s="95" t="n"/>
      <c r="AS253" s="137" t="n"/>
    </row>
    <row r="254" hidden="1" outlineLevel="1">
      <c r="A254" s="8" t="n"/>
      <c r="B254" s="14" t="n"/>
      <c r="C254" s="137" t="n"/>
      <c r="D254" s="137" t="n"/>
      <c r="E254" s="137" t="n"/>
      <c r="F254" s="137" t="n"/>
      <c r="G254" s="137" t="n"/>
      <c r="I254" s="95" t="inlineStr">
        <is>
          <t>Shikigami de técnica</t>
        </is>
      </c>
      <c r="J254" s="19" t="n"/>
      <c r="K254" s="20" t="n"/>
      <c r="L254" s="95" t="n"/>
      <c r="M254" s="20" t="n"/>
      <c r="N254" s="137" t="n"/>
      <c r="O254" s="144" t="n"/>
      <c r="P254" s="16" t="n"/>
      <c r="Q254" s="17" t="n"/>
      <c r="R254" s="95">
        <f>DADOS_INVOC!$HZ$3</f>
        <v/>
      </c>
      <c r="S254" s="17" t="n"/>
      <c r="T254" s="137" t="n"/>
      <c r="U254" s="137" t="n"/>
      <c r="V254" s="137" t="n"/>
      <c r="W254" s="137" t="n"/>
      <c r="X254" s="137" t="n"/>
      <c r="Y254" s="137" t="n"/>
      <c r="Z254" s="137" t="n"/>
      <c r="AB254" s="95" t="inlineStr">
        <is>
          <t>Shikigami de técnica</t>
        </is>
      </c>
      <c r="AC254" s="19" t="n"/>
      <c r="AD254" s="20" t="n"/>
      <c r="AE254" s="95" t="n"/>
      <c r="AF254" s="20" t="n"/>
      <c r="AG254" s="137" t="n"/>
      <c r="AH254" s="144" t="n"/>
      <c r="AI254" s="16" t="n"/>
      <c r="AJ254" s="17" t="n"/>
      <c r="AK254" s="95">
        <f>DADOS_INVOC!$HZ$9</f>
        <v/>
      </c>
      <c r="AL254" s="17" t="n"/>
      <c r="AM254" s="137" t="n"/>
      <c r="AN254" s="137" t="n"/>
      <c r="AO254" s="137" t="n"/>
      <c r="AP254" s="137" t="n"/>
      <c r="AQ254" s="137" t="n"/>
      <c r="AR254" s="137" t="n"/>
      <c r="AS254" s="137" t="n"/>
    </row>
    <row r="255" hidden="1" outlineLevel="1">
      <c r="A255" s="8" t="n"/>
      <c r="B255" s="14" t="n"/>
      <c r="C255" s="137" t="n"/>
      <c r="D255" s="137" t="n"/>
      <c r="E255" s="137" t="n"/>
      <c r="F255" s="137" t="n"/>
      <c r="G255" s="137" t="n"/>
      <c r="I255" s="23" t="n"/>
      <c r="J255" s="24" t="n"/>
      <c r="K255" s="25" t="n"/>
      <c r="L255" s="23" t="n"/>
      <c r="M255" s="25" t="n"/>
      <c r="N255" s="137" t="n"/>
      <c r="O255" s="144" t="n"/>
      <c r="P255" s="16" t="n"/>
      <c r="Q255" s="17" t="n"/>
      <c r="R255" s="95">
        <f>DADOS_INVOC!$IA$3</f>
        <v/>
      </c>
      <c r="S255" s="17" t="n"/>
      <c r="T255" s="137" t="n"/>
      <c r="U255" s="56" t="inlineStr">
        <is>
          <t>CORPO, SENTIDOS E COMUNICAÇÃO</t>
        </is>
      </c>
      <c r="V255" s="16" t="n"/>
      <c r="W255" s="16" t="n"/>
      <c r="X255" s="16" t="n"/>
      <c r="Y255" s="17" t="n"/>
      <c r="Z255" s="137" t="n"/>
      <c r="AB255" s="23" t="n"/>
      <c r="AC255" s="24" t="n"/>
      <c r="AD255" s="25" t="n"/>
      <c r="AE255" s="23" t="n"/>
      <c r="AF255" s="25" t="n"/>
      <c r="AG255" s="137" t="n"/>
      <c r="AH255" s="144" t="n"/>
      <c r="AI255" s="16" t="n"/>
      <c r="AJ255" s="17" t="n"/>
      <c r="AK255" s="95">
        <f>DADOS_INVOC!$IA$9</f>
        <v/>
      </c>
      <c r="AL255" s="17" t="n"/>
      <c r="AM255" s="137" t="n"/>
      <c r="AN255" s="56" t="inlineStr">
        <is>
          <t>CORPO, SENTIDOS E COMUNICAÇÃO</t>
        </is>
      </c>
      <c r="AO255" s="16" t="n"/>
      <c r="AP255" s="16" t="n"/>
      <c r="AQ255" s="16" t="n"/>
      <c r="AR255" s="17" t="n"/>
      <c r="AS255" s="137" t="n"/>
    </row>
    <row r="256" hidden="1" outlineLevel="1">
      <c r="A256" s="8" t="n"/>
      <c r="B256" s="14" t="n"/>
      <c r="C256" s="137" t="n"/>
      <c r="D256" s="137" t="n"/>
      <c r="E256" s="137" t="n"/>
      <c r="F256" s="137" t="n"/>
      <c r="G256" s="137" t="n"/>
      <c r="I256" s="137" t="n"/>
      <c r="J256" s="137" t="n"/>
      <c r="K256" s="137" t="n"/>
      <c r="L256" s="137" t="n"/>
      <c r="M256" s="137" t="n"/>
      <c r="N256" s="137" t="n"/>
      <c r="O256" s="137" t="n"/>
      <c r="P256" s="137" t="n"/>
      <c r="Q256" s="137" t="n"/>
      <c r="R256" s="137" t="n"/>
      <c r="S256" s="137" t="n"/>
      <c r="T256" s="137" t="n"/>
      <c r="U256" s="61" t="n"/>
      <c r="V256" s="19" t="n"/>
      <c r="W256" s="19" t="n"/>
      <c r="X256" s="19" t="n"/>
      <c r="Y256" s="20" t="n"/>
      <c r="Z256" s="137" t="n"/>
      <c r="AB256" s="137" t="n"/>
      <c r="AC256" s="137" t="n"/>
      <c r="AD256" s="137" t="n"/>
      <c r="AE256" s="137" t="n"/>
      <c r="AF256" s="137" t="n"/>
      <c r="AG256" s="137" t="n"/>
      <c r="AH256" s="137" t="n"/>
      <c r="AI256" s="137" t="n"/>
      <c r="AJ256" s="137" t="n"/>
      <c r="AK256" s="137" t="n"/>
      <c r="AL256" s="137" t="n"/>
      <c r="AM256" s="137" t="n"/>
      <c r="AN256" s="61" t="n"/>
      <c r="AO256" s="19" t="n"/>
      <c r="AP256" s="19" t="n"/>
      <c r="AQ256" s="19" t="n"/>
      <c r="AR256" s="20" t="n"/>
      <c r="AS256" s="137" t="n"/>
    </row>
    <row r="257" hidden="1" outlineLevel="1">
      <c r="A257" s="8" t="n"/>
      <c r="B257" s="14" t="n"/>
      <c r="C257" s="137" t="n"/>
      <c r="D257" s="137" t="n"/>
      <c r="E257" s="137" t="n"/>
      <c r="F257" s="137" t="n"/>
      <c r="G257" s="137" t="n"/>
      <c r="I257" s="56" t="inlineStr">
        <is>
          <t>AQUISIÇÃO</t>
        </is>
      </c>
      <c r="J257" s="17" t="n"/>
      <c r="K257" s="56" t="inlineStr">
        <is>
          <t>OBTIDA NO NÍVEL</t>
        </is>
      </c>
      <c r="L257" s="56" t="inlineStr">
        <is>
          <t>TALISMÃ</t>
        </is>
      </c>
      <c r="M257" s="17" t="n"/>
      <c r="N257" s="137" t="n"/>
      <c r="O257" s="56">
        <f>DADOS_INVOC!$ID$3</f>
        <v/>
      </c>
      <c r="P257" s="16" t="n"/>
      <c r="Q257" s="16" t="n"/>
      <c r="R257" s="16" t="n"/>
      <c r="S257" s="17" t="n"/>
      <c r="T257" s="137" t="n"/>
      <c r="U257" s="21" t="n"/>
      <c r="Y257" s="22" t="n"/>
      <c r="Z257" s="137" t="n"/>
      <c r="AB257" s="56" t="inlineStr">
        <is>
          <t>AQUISIÇÃO</t>
        </is>
      </c>
      <c r="AC257" s="17" t="n"/>
      <c r="AD257" s="56" t="inlineStr">
        <is>
          <t>OBTIDA NO NÍVEL</t>
        </is>
      </c>
      <c r="AE257" s="56" t="inlineStr">
        <is>
          <t>TALISMÃ</t>
        </is>
      </c>
      <c r="AF257" s="17" t="n"/>
      <c r="AG257" s="137" t="n"/>
      <c r="AH257" s="56">
        <f>DADOS_INVOC!$ID$9</f>
        <v/>
      </c>
      <c r="AI257" s="16" t="n"/>
      <c r="AJ257" s="16" t="n"/>
      <c r="AK257" s="16" t="n"/>
      <c r="AL257" s="17" t="n"/>
      <c r="AM257" s="137" t="n"/>
      <c r="AN257" s="21" t="n"/>
      <c r="AR257" s="22" t="n"/>
      <c r="AS257" s="137" t="n"/>
    </row>
    <row r="258" hidden="1" outlineLevel="1">
      <c r="A258" s="8" t="n"/>
      <c r="B258" s="14" t="n"/>
      <c r="C258" s="137" t="n"/>
      <c r="D258" s="137" t="n"/>
      <c r="E258" s="137" t="n"/>
      <c r="F258" s="137" t="n"/>
      <c r="G258" s="137" t="n"/>
      <c r="I258" s="95" t="inlineStr">
        <is>
          <t>Espaço conhecido</t>
        </is>
      </c>
      <c r="J258" s="20" t="n"/>
      <c r="K258" s="95" t="n"/>
      <c r="L258" s="95" t="inlineStr">
        <is>
          <t>Sem carga</t>
        </is>
      </c>
      <c r="M258" s="20" t="n"/>
      <c r="N258" s="137" t="n"/>
      <c r="O258" s="56">
        <f>IF(DADOS_INVOC!$RA$3&gt;=1,"LIVRE","ABERTA")</f>
        <v/>
      </c>
      <c r="P258" s="56">
        <f>IF(DADOS_INVOC!$RA$3&gt;=2,"LIVRE","ABERTA")</f>
        <v/>
      </c>
      <c r="Q258" s="56">
        <f>IF(DADOS_INVOC!$RA$3&gt;=7,"LIVRE","ABERTA")</f>
        <v/>
      </c>
      <c r="R258" s="56">
        <f>IF(DADOS_INVOC!$RA$3&gt;=8,"LIVRE","ABERTA")</f>
        <v/>
      </c>
      <c r="S258" s="56">
        <f>IF(DADOS_INVOC!$RA$3&gt;=9,"LIVRE","ABERTA")</f>
        <v/>
      </c>
      <c r="T258" s="137" t="n"/>
      <c r="U258" s="21" t="n"/>
      <c r="Y258" s="22" t="n"/>
      <c r="Z258" s="137" t="n"/>
      <c r="AB258" s="95" t="inlineStr">
        <is>
          <t>Espaço conhecido</t>
        </is>
      </c>
      <c r="AC258" s="20" t="n"/>
      <c r="AD258" s="95" t="n"/>
      <c r="AE258" s="95" t="inlineStr">
        <is>
          <t>Sem carga</t>
        </is>
      </c>
      <c r="AF258" s="20" t="n"/>
      <c r="AG258" s="137" t="n"/>
      <c r="AH258" s="56">
        <f>IF(DADOS_INVOC!$RA$9&gt;=1,"LIVRE","ABERTA")</f>
        <v/>
      </c>
      <c r="AI258" s="56">
        <f>IF(DADOS_INVOC!$RA$9&gt;=2,"LIVRE","ABERTA")</f>
        <v/>
      </c>
      <c r="AJ258" s="56">
        <f>IF(DADOS_INVOC!$RA$9&gt;=7,"LIVRE","ABERTA")</f>
        <v/>
      </c>
      <c r="AK258" s="56">
        <f>IF(DADOS_INVOC!$RA$9&gt;=8,"LIVRE","ABERTA")</f>
        <v/>
      </c>
      <c r="AL258" s="56">
        <f>IF(DADOS_INVOC!$RA$9&gt;=9,"LIVRE","ABERTA")</f>
        <v/>
      </c>
      <c r="AM258" s="137" t="n"/>
      <c r="AN258" s="21" t="n"/>
      <c r="AR258" s="22" t="n"/>
      <c r="AS258" s="137" t="n"/>
    </row>
    <row r="259" hidden="1" outlineLevel="1" ht="24" customHeight="1">
      <c r="A259" s="8" t="n"/>
      <c r="B259" s="14" t="n"/>
      <c r="C259" s="137" t="n"/>
      <c r="D259" s="137" t="n"/>
      <c r="E259" s="137" t="n"/>
      <c r="F259" s="137" t="n"/>
      <c r="G259" s="137" t="n"/>
      <c r="I259" s="23" t="n"/>
      <c r="J259" s="25" t="n"/>
      <c r="K259" s="128" t="n"/>
      <c r="L259" s="23" t="n"/>
      <c r="M259" s="25" t="n"/>
      <c r="N259" s="137" t="n"/>
      <c r="O259" s="95" t="n"/>
      <c r="P259" s="95" t="n"/>
      <c r="Q259" s="95" t="n"/>
      <c r="R259" s="95" t="n"/>
      <c r="S259" s="95" t="n"/>
      <c r="T259" s="137" t="n"/>
      <c r="U259" s="21" t="n"/>
      <c r="Y259" s="22" t="n"/>
      <c r="Z259" s="137" t="n"/>
      <c r="AB259" s="23" t="n"/>
      <c r="AC259" s="25" t="n"/>
      <c r="AD259" s="128" t="n"/>
      <c r="AE259" s="23" t="n"/>
      <c r="AF259" s="25" t="n"/>
      <c r="AG259" s="137" t="n"/>
      <c r="AH259" s="95" t="n"/>
      <c r="AI259" s="95" t="n"/>
      <c r="AJ259" s="95" t="n"/>
      <c r="AK259" s="95" t="n"/>
      <c r="AL259" s="95" t="n"/>
      <c r="AM259" s="137" t="n"/>
      <c r="AN259" s="21" t="n"/>
      <c r="AR259" s="22" t="n"/>
      <c r="AS259" s="137" t="n"/>
    </row>
    <row r="260" hidden="1" outlineLevel="1" ht="15" customHeight="1">
      <c r="A260" s="8" t="n"/>
      <c r="B260" s="14" t="n"/>
      <c r="C260" s="137" t="n"/>
      <c r="D260" s="137" t="n"/>
      <c r="E260" s="137" t="n"/>
      <c r="F260" s="137" t="n"/>
      <c r="G260" s="137" t="n"/>
      <c r="I260" s="137" t="n"/>
      <c r="J260" s="137" t="n"/>
      <c r="K260" s="137" t="n"/>
      <c r="L260" s="137" t="n"/>
      <c r="M260" s="137" t="n"/>
      <c r="N260" s="137" t="n"/>
      <c r="O260" s="56">
        <f>IF(DADOS_INVOC!$RA$3&gt;=3,"LIVRE 6","FAMÍLIA 6")</f>
        <v/>
      </c>
      <c r="P260" s="56">
        <f>IF(DADOS_INVOC!$RA$3&gt;=4,"LIVRE 7","FAMÍLIA 7")</f>
        <v/>
      </c>
      <c r="Q260" s="56">
        <f>IF(DADOS_INVOC!$RA$3&gt;=5,"LIVRE 8","FAMÍLIA 8")</f>
        <v/>
      </c>
      <c r="R260" s="56">
        <f>IF(DADOS_INVOC!$RA$3&gt;=6,"LIVRE 9","FAMÍLIA 9")</f>
        <v/>
      </c>
      <c r="S260" s="17" t="n"/>
      <c r="T260" s="137" t="n"/>
      <c r="U260" s="23" t="n"/>
      <c r="V260" s="24" t="n"/>
      <c r="W260" s="24" t="n"/>
      <c r="X260" s="24" t="n"/>
      <c r="Y260" s="25" t="n"/>
      <c r="Z260" s="137" t="n"/>
      <c r="AB260" s="137" t="n"/>
      <c r="AC260" s="137" t="n"/>
      <c r="AD260" s="137" t="n"/>
      <c r="AE260" s="137" t="n"/>
      <c r="AF260" s="137" t="n"/>
      <c r="AG260" s="137" t="n"/>
      <c r="AH260" s="56">
        <f>IF(DADOS_INVOC!$RA$9&gt;=3,"LIVRE 6","FAMÍLIA 6")</f>
        <v/>
      </c>
      <c r="AI260" s="56">
        <f>IF(DADOS_INVOC!$RA$9&gt;=4,"LIVRE 7","FAMÍLIA 7")</f>
        <v/>
      </c>
      <c r="AJ260" s="56">
        <f>IF(DADOS_INVOC!$RA$9&gt;=5,"LIVRE 8","FAMÍLIA 8")</f>
        <v/>
      </c>
      <c r="AK260" s="56">
        <f>IF(DADOS_INVOC!$RA$9&gt;=6,"LIVRE 9","FAMÍLIA 9")</f>
        <v/>
      </c>
      <c r="AL260" s="17" t="n"/>
      <c r="AM260" s="137" t="n"/>
      <c r="AN260" s="23" t="n"/>
      <c r="AO260" s="24" t="n"/>
      <c r="AP260" s="24" t="n"/>
      <c r="AQ260" s="24" t="n"/>
      <c r="AR260" s="25" t="n"/>
      <c r="AS260" s="137" t="n"/>
    </row>
    <row r="261" hidden="1" outlineLevel="1" ht="24" customHeight="1">
      <c r="A261" s="8" t="n"/>
      <c r="B261" s="14" t="n"/>
      <c r="C261" s="137" t="n"/>
      <c r="D261" s="137" t="n"/>
      <c r="E261" s="137" t="n"/>
      <c r="F261" s="137" t="n"/>
      <c r="G261" s="137" t="n"/>
      <c r="I261" s="56" t="inlineStr">
        <is>
          <t>AUTONOMIA</t>
        </is>
      </c>
      <c r="J261" s="17" t="n"/>
      <c r="K261" s="95" t="inlineStr">
        <is>
          <t>Autônoma</t>
        </is>
      </c>
      <c r="L261" s="16" t="n"/>
      <c r="M261" s="17" t="n"/>
      <c r="N261" s="137" t="n"/>
      <c r="O261" s="95" t="n"/>
      <c r="P261" s="95" t="n"/>
      <c r="Q261" s="95" t="n"/>
      <c r="R261" s="95" t="n"/>
      <c r="S261" s="17" t="n"/>
      <c r="T261" s="137" t="n"/>
      <c r="U261" s="137" t="n"/>
      <c r="V261" s="137" t="n"/>
      <c r="W261" s="137" t="n"/>
      <c r="X261" s="137" t="n"/>
      <c r="Y261" s="137" t="n"/>
      <c r="Z261" s="137" t="n"/>
      <c r="AB261" s="56" t="inlineStr">
        <is>
          <t>AUTONOMIA</t>
        </is>
      </c>
      <c r="AC261" s="17" t="n"/>
      <c r="AD261" s="95" t="inlineStr">
        <is>
          <t>Autônoma</t>
        </is>
      </c>
      <c r="AE261" s="16" t="n"/>
      <c r="AF261" s="17" t="n"/>
      <c r="AG261" s="137" t="n"/>
      <c r="AH261" s="95" t="n"/>
      <c r="AI261" s="95" t="n"/>
      <c r="AJ261" s="95" t="n"/>
      <c r="AK261" s="95" t="n"/>
      <c r="AL261" s="17" t="n"/>
      <c r="AM261" s="137" t="n"/>
      <c r="AN261" s="137" t="n"/>
      <c r="AO261" s="137" t="n"/>
      <c r="AP261" s="137" t="n"/>
      <c r="AQ261" s="137" t="n"/>
      <c r="AR261" s="137" t="n"/>
      <c r="AS261" s="137" t="n"/>
    </row>
    <row r="262" hidden="1" outlineLevel="1" ht="18.75" customHeight="1">
      <c r="A262" s="8" t="n"/>
      <c r="B262" s="14" t="n"/>
      <c r="C262" s="137" t="n"/>
      <c r="D262" s="137" t="n"/>
      <c r="E262" s="137" t="n"/>
      <c r="F262" s="137" t="n"/>
      <c r="G262" s="137" t="n"/>
      <c r="I262" s="137" t="n"/>
      <c r="J262" s="137" t="n"/>
      <c r="K262" s="137" t="n"/>
      <c r="L262" s="137" t="n"/>
      <c r="M262" s="137" t="n"/>
      <c r="N262" s="137" t="n"/>
      <c r="O262" s="101" t="inlineStr">
        <is>
          <t>FAMÍLIAS CUSTOM · CONFIGURAÇÃO</t>
        </is>
      </c>
      <c r="P262" s="16" t="n"/>
      <c r="Q262" s="16" t="n"/>
      <c r="R262" s="16" t="n"/>
      <c r="S262" s="17" t="n"/>
      <c r="T262" s="137" t="n"/>
      <c r="U262" s="137" t="n"/>
      <c r="V262" s="137" t="n"/>
      <c r="W262" s="137" t="n"/>
      <c r="X262" s="137" t="n"/>
      <c r="Y262" s="137" t="n"/>
      <c r="Z262" s="137" t="n"/>
      <c r="AB262" s="137" t="n"/>
      <c r="AC262" s="137" t="n"/>
      <c r="AD262" s="137" t="n"/>
      <c r="AE262" s="137" t="n"/>
      <c r="AF262" s="137" t="n"/>
      <c r="AG262" s="137" t="n"/>
      <c r="AH262" s="101" t="inlineStr">
        <is>
          <t>FAMÍLIAS CUSTOM · CONFIGURAÇÃO</t>
        </is>
      </c>
      <c r="AI262" s="16" t="n"/>
      <c r="AJ262" s="16" t="n"/>
      <c r="AK262" s="16" t="n"/>
      <c r="AL262" s="17" t="n"/>
      <c r="AM262" s="137" t="n"/>
      <c r="AN262" s="137" t="n"/>
      <c r="AO262" s="137" t="n"/>
      <c r="AP262" s="137" t="n"/>
      <c r="AQ262" s="137" t="n"/>
      <c r="AR262" s="137" t="n"/>
      <c r="AS262" s="137" t="n"/>
    </row>
    <row r="263" hidden="1" outlineLevel="2" ht="31.5" customHeight="1">
      <c r="O263" s="114">
        <f>IF(COUNTIF('DADOS_CRIACAO'!$H$11:$H$20,"?*")=0,"","Livre conta como aberta. As escolhas usam as vagas e os limites desta entidade.")</f>
        <v/>
      </c>
      <c r="P263" s="16" t="n"/>
      <c r="Q263" s="16" t="n"/>
      <c r="R263" s="16" t="n"/>
      <c r="S263" s="17" t="n"/>
      <c r="AH263" s="114">
        <f>IF(COUNTIF('DADOS_CRIACAO'!$H$11:$H$20,"?*")=0,"","Livre conta como aberta. As escolhas usam as vagas e os limites desta entidade.")</f>
        <v/>
      </c>
      <c r="AI263" s="16" t="n"/>
      <c r="AJ263" s="16" t="n"/>
      <c r="AK263" s="16" t="n"/>
      <c r="AL263" s="17" t="n"/>
    </row>
    <row r="264" hidden="1" outlineLevel="2" ht="18.75" customHeight="1">
      <c r="O264" s="115">
        <f>IF(COUNTIF('DADOS_CRIACAO'!$H$11:$H$20,"?*")=0,"","FAMÍLIA")</f>
        <v/>
      </c>
      <c r="P264" s="16" t="n"/>
      <c r="Q264" s="17" t="n"/>
      <c r="R264" s="115">
        <f>IF(COUNTIF('DADOS_CRIACAO'!$H$11:$H$20,"?*")=0,"","ESTADO")</f>
        <v/>
      </c>
      <c r="S264" s="17" t="n"/>
      <c r="AH264" s="115">
        <f>IF(COUNTIF('DADOS_CRIACAO'!$H$11:$H$20,"?*")=0,"","FAMÍLIA")</f>
        <v/>
      </c>
      <c r="AI264" s="16" t="n"/>
      <c r="AJ264" s="17" t="n"/>
      <c r="AK264" s="115">
        <f>IF(COUNTIF('DADOS_CRIACAO'!$H$11:$H$20,"?*")=0,"","ESTADO")</f>
        <v/>
      </c>
      <c r="AL264" s="17" t="n"/>
    </row>
    <row r="265" hidden="1" outlineLevel="2" ht="18.75" customHeight="1">
      <c r="O265" s="116">
        <f>'DADOS_CRIACAO'!$H$11</f>
        <v/>
      </c>
      <c r="P265" s="16" t="n"/>
      <c r="Q265" s="17" t="n"/>
      <c r="R265" s="116">
        <f>IF(O265="","",IFS(O259=O265,IF('DADOS_INVOC'!$RA$3&gt;=1,"Livre","Aberta"),P259=O265,IF('DADOS_INVOC'!$RA$3&gt;=2,"Livre","Aberta"),Q259=O265,IF('DADOS_INVOC'!$RA$3&gt;=7,"Livre","Aberta"),R259=O265,IF('DADOS_INVOC'!$RA$3&gt;=8,"Livre","Aberta"),S259=O265,IF('DADOS_INVOC'!$RA$3&gt;=9,"Livre","Aberta"),O261=O265,IF('DADOS_INVOC'!$RA$3&gt;=3,"Livre","Aberta"),P261=O265,IF('DADOS_INVOC'!$RA$3&gt;=4,"Livre","Aberta"),Q261=O265,IF('DADOS_INVOC'!$RA$3&gt;=5,"Livre","Aberta"),R261=O265,IF('DADOS_INVOC'!$RA$3&gt;=6,"Livre","Aberta"),TRUE,"Não escolhida"))</f>
        <v/>
      </c>
      <c r="S265" s="17" t="n"/>
      <c r="AH265" s="116">
        <f>'DADOS_CRIACAO'!$H$11</f>
        <v/>
      </c>
      <c r="AI265" s="16" t="n"/>
      <c r="AJ265" s="17" t="n"/>
      <c r="AK265" s="116">
        <f>IF(AH265="","",IFS(AH259=AH265,IF('DADOS_INVOC'!$RA$9&gt;=1,"Livre","Aberta"),AI259=AH265,IF('DADOS_INVOC'!$RA$9&gt;=2,"Livre","Aberta"),AJ259=AH265,IF('DADOS_INVOC'!$RA$9&gt;=7,"Livre","Aberta"),AK259=AH265,IF('DADOS_INVOC'!$RA$9&gt;=8,"Livre","Aberta"),AL259=AH265,IF('DADOS_INVOC'!$RA$9&gt;=9,"Livre","Aberta"),AH261=AH265,IF('DADOS_INVOC'!$RA$9&gt;=3,"Livre","Aberta"),AI261=AH265,IF('DADOS_INVOC'!$RA$9&gt;=4,"Livre","Aberta"),AJ261=AH265,IF('DADOS_INVOC'!$RA$9&gt;=5,"Livre","Aberta"),AK261=AH265,IF('DADOS_INVOC'!$RA$9&gt;=6,"Livre","Aberta"),TRUE,"Não escolhida"))</f>
        <v/>
      </c>
      <c r="AL265" s="17" t="n"/>
    </row>
    <row r="266" hidden="1" outlineLevel="2" ht="18.75" customHeight="1">
      <c r="O266" s="116">
        <f>'DADOS_CRIACAO'!$H$12</f>
        <v/>
      </c>
      <c r="P266" s="16" t="n"/>
      <c r="Q266" s="17" t="n"/>
      <c r="R266" s="116">
        <f>IF(O266="","",IFS(O259=O266,IF('DADOS_INVOC'!$RA$3&gt;=1,"Livre","Aberta"),P259=O266,IF('DADOS_INVOC'!$RA$3&gt;=2,"Livre","Aberta"),Q259=O266,IF('DADOS_INVOC'!$RA$3&gt;=7,"Livre","Aberta"),R259=O266,IF('DADOS_INVOC'!$RA$3&gt;=8,"Livre","Aberta"),S259=O266,IF('DADOS_INVOC'!$RA$3&gt;=9,"Livre","Aberta"),O261=O266,IF('DADOS_INVOC'!$RA$3&gt;=3,"Livre","Aberta"),P261=O266,IF('DADOS_INVOC'!$RA$3&gt;=4,"Livre","Aberta"),Q261=O266,IF('DADOS_INVOC'!$RA$3&gt;=5,"Livre","Aberta"),R261=O266,IF('DADOS_INVOC'!$RA$3&gt;=6,"Livre","Aberta"),TRUE,"Não escolhida"))</f>
        <v/>
      </c>
      <c r="S266" s="17" t="n"/>
      <c r="AH266" s="116">
        <f>'DADOS_CRIACAO'!$H$12</f>
        <v/>
      </c>
      <c r="AI266" s="16" t="n"/>
      <c r="AJ266" s="17" t="n"/>
      <c r="AK266" s="116">
        <f>IF(AH266="","",IFS(AH259=AH266,IF('DADOS_INVOC'!$RA$9&gt;=1,"Livre","Aberta"),AI259=AH266,IF('DADOS_INVOC'!$RA$9&gt;=2,"Livre","Aberta"),AJ259=AH266,IF('DADOS_INVOC'!$RA$9&gt;=7,"Livre","Aberta"),AK259=AH266,IF('DADOS_INVOC'!$RA$9&gt;=8,"Livre","Aberta"),AL259=AH266,IF('DADOS_INVOC'!$RA$9&gt;=9,"Livre","Aberta"),AH261=AH266,IF('DADOS_INVOC'!$RA$9&gt;=3,"Livre","Aberta"),AI261=AH266,IF('DADOS_INVOC'!$RA$9&gt;=4,"Livre","Aberta"),AJ261=AH266,IF('DADOS_INVOC'!$RA$9&gt;=5,"Livre","Aberta"),AK261=AH266,IF('DADOS_INVOC'!$RA$9&gt;=6,"Livre","Aberta"),TRUE,"Não escolhida"))</f>
        <v/>
      </c>
      <c r="AL266" s="17" t="n"/>
    </row>
    <row r="267" hidden="1" outlineLevel="2" ht="18.75" customHeight="1">
      <c r="O267" s="116">
        <f>'DADOS_CRIACAO'!$H$13</f>
        <v/>
      </c>
      <c r="P267" s="16" t="n"/>
      <c r="Q267" s="17" t="n"/>
      <c r="R267" s="116">
        <f>IF(O267="","",IFS(O259=O267,IF('DADOS_INVOC'!$RA$3&gt;=1,"Livre","Aberta"),P259=O267,IF('DADOS_INVOC'!$RA$3&gt;=2,"Livre","Aberta"),Q259=O267,IF('DADOS_INVOC'!$RA$3&gt;=7,"Livre","Aberta"),R259=O267,IF('DADOS_INVOC'!$RA$3&gt;=8,"Livre","Aberta"),S259=O267,IF('DADOS_INVOC'!$RA$3&gt;=9,"Livre","Aberta"),O261=O267,IF('DADOS_INVOC'!$RA$3&gt;=3,"Livre","Aberta"),P261=O267,IF('DADOS_INVOC'!$RA$3&gt;=4,"Livre","Aberta"),Q261=O267,IF('DADOS_INVOC'!$RA$3&gt;=5,"Livre","Aberta"),R261=O267,IF('DADOS_INVOC'!$RA$3&gt;=6,"Livre","Aberta"),TRUE,"Não escolhida"))</f>
        <v/>
      </c>
      <c r="S267" s="17" t="n"/>
      <c r="AH267" s="116">
        <f>'DADOS_CRIACAO'!$H$13</f>
        <v/>
      </c>
      <c r="AI267" s="16" t="n"/>
      <c r="AJ267" s="17" t="n"/>
      <c r="AK267" s="116">
        <f>IF(AH267="","",IFS(AH259=AH267,IF('DADOS_INVOC'!$RA$9&gt;=1,"Livre","Aberta"),AI259=AH267,IF('DADOS_INVOC'!$RA$9&gt;=2,"Livre","Aberta"),AJ259=AH267,IF('DADOS_INVOC'!$RA$9&gt;=7,"Livre","Aberta"),AK259=AH267,IF('DADOS_INVOC'!$RA$9&gt;=8,"Livre","Aberta"),AL259=AH267,IF('DADOS_INVOC'!$RA$9&gt;=9,"Livre","Aberta"),AH261=AH267,IF('DADOS_INVOC'!$RA$9&gt;=3,"Livre","Aberta"),AI261=AH267,IF('DADOS_INVOC'!$RA$9&gt;=4,"Livre","Aberta"),AJ261=AH267,IF('DADOS_INVOC'!$RA$9&gt;=5,"Livre","Aberta"),AK261=AH267,IF('DADOS_INVOC'!$RA$9&gt;=6,"Livre","Aberta"),TRUE,"Não escolhida"))</f>
        <v/>
      </c>
      <c r="AL267" s="17" t="n"/>
    </row>
    <row r="268" hidden="1" outlineLevel="2" ht="18.75" customHeight="1">
      <c r="O268" s="116">
        <f>'DADOS_CRIACAO'!$H$14</f>
        <v/>
      </c>
      <c r="P268" s="16" t="n"/>
      <c r="Q268" s="17" t="n"/>
      <c r="R268" s="116">
        <f>IF(O268="","",IFS(O259=O268,IF('DADOS_INVOC'!$RA$3&gt;=1,"Livre","Aberta"),P259=O268,IF('DADOS_INVOC'!$RA$3&gt;=2,"Livre","Aberta"),Q259=O268,IF('DADOS_INVOC'!$RA$3&gt;=7,"Livre","Aberta"),R259=O268,IF('DADOS_INVOC'!$RA$3&gt;=8,"Livre","Aberta"),S259=O268,IF('DADOS_INVOC'!$RA$3&gt;=9,"Livre","Aberta"),O261=O268,IF('DADOS_INVOC'!$RA$3&gt;=3,"Livre","Aberta"),P261=O268,IF('DADOS_INVOC'!$RA$3&gt;=4,"Livre","Aberta"),Q261=O268,IF('DADOS_INVOC'!$RA$3&gt;=5,"Livre","Aberta"),R261=O268,IF('DADOS_INVOC'!$RA$3&gt;=6,"Livre","Aberta"),TRUE,"Não escolhida"))</f>
        <v/>
      </c>
      <c r="S268" s="17" t="n"/>
      <c r="AH268" s="116">
        <f>'DADOS_CRIACAO'!$H$14</f>
        <v/>
      </c>
      <c r="AI268" s="16" t="n"/>
      <c r="AJ268" s="17" t="n"/>
      <c r="AK268" s="116">
        <f>IF(AH268="","",IFS(AH259=AH268,IF('DADOS_INVOC'!$RA$9&gt;=1,"Livre","Aberta"),AI259=AH268,IF('DADOS_INVOC'!$RA$9&gt;=2,"Livre","Aberta"),AJ259=AH268,IF('DADOS_INVOC'!$RA$9&gt;=7,"Livre","Aberta"),AK259=AH268,IF('DADOS_INVOC'!$RA$9&gt;=8,"Livre","Aberta"),AL259=AH268,IF('DADOS_INVOC'!$RA$9&gt;=9,"Livre","Aberta"),AH261=AH268,IF('DADOS_INVOC'!$RA$9&gt;=3,"Livre","Aberta"),AI261=AH268,IF('DADOS_INVOC'!$RA$9&gt;=4,"Livre","Aberta"),AJ261=AH268,IF('DADOS_INVOC'!$RA$9&gt;=5,"Livre","Aberta"),AK261=AH268,IF('DADOS_INVOC'!$RA$9&gt;=6,"Livre","Aberta"),TRUE,"Não escolhida"))</f>
        <v/>
      </c>
      <c r="AL268" s="17" t="n"/>
    </row>
    <row r="269" hidden="1" outlineLevel="2" ht="18.75" customHeight="1">
      <c r="O269" s="116">
        <f>'DADOS_CRIACAO'!$H$15</f>
        <v/>
      </c>
      <c r="P269" s="16" t="n"/>
      <c r="Q269" s="17" t="n"/>
      <c r="R269" s="116">
        <f>IF(O269="","",IFS(O259=O269,IF('DADOS_INVOC'!$RA$3&gt;=1,"Livre","Aberta"),P259=O269,IF('DADOS_INVOC'!$RA$3&gt;=2,"Livre","Aberta"),Q259=O269,IF('DADOS_INVOC'!$RA$3&gt;=7,"Livre","Aberta"),R259=O269,IF('DADOS_INVOC'!$RA$3&gt;=8,"Livre","Aberta"),S259=O269,IF('DADOS_INVOC'!$RA$3&gt;=9,"Livre","Aberta"),O261=O269,IF('DADOS_INVOC'!$RA$3&gt;=3,"Livre","Aberta"),P261=O269,IF('DADOS_INVOC'!$RA$3&gt;=4,"Livre","Aberta"),Q261=O269,IF('DADOS_INVOC'!$RA$3&gt;=5,"Livre","Aberta"),R261=O269,IF('DADOS_INVOC'!$RA$3&gt;=6,"Livre","Aberta"),TRUE,"Não escolhida"))</f>
        <v/>
      </c>
      <c r="S269" s="17" t="n"/>
      <c r="AH269" s="116">
        <f>'DADOS_CRIACAO'!$H$15</f>
        <v/>
      </c>
      <c r="AI269" s="16" t="n"/>
      <c r="AJ269" s="17" t="n"/>
      <c r="AK269" s="116">
        <f>IF(AH269="","",IFS(AH259=AH269,IF('DADOS_INVOC'!$RA$9&gt;=1,"Livre","Aberta"),AI259=AH269,IF('DADOS_INVOC'!$RA$9&gt;=2,"Livre","Aberta"),AJ259=AH269,IF('DADOS_INVOC'!$RA$9&gt;=7,"Livre","Aberta"),AK259=AH269,IF('DADOS_INVOC'!$RA$9&gt;=8,"Livre","Aberta"),AL259=AH269,IF('DADOS_INVOC'!$RA$9&gt;=9,"Livre","Aberta"),AH261=AH269,IF('DADOS_INVOC'!$RA$9&gt;=3,"Livre","Aberta"),AI261=AH269,IF('DADOS_INVOC'!$RA$9&gt;=4,"Livre","Aberta"),AJ261=AH269,IF('DADOS_INVOC'!$RA$9&gt;=5,"Livre","Aberta"),AK261=AH269,IF('DADOS_INVOC'!$RA$9&gt;=6,"Livre","Aberta"),TRUE,"Não escolhida"))</f>
        <v/>
      </c>
      <c r="AL269" s="17" t="n"/>
    </row>
    <row r="270" hidden="1" outlineLevel="2" ht="18.75" customHeight="1">
      <c r="O270" s="116">
        <f>'DADOS_CRIACAO'!$H$16</f>
        <v/>
      </c>
      <c r="P270" s="16" t="n"/>
      <c r="Q270" s="17" t="n"/>
      <c r="R270" s="116">
        <f>IF(O270="","",IFS(O259=O270,IF('DADOS_INVOC'!$RA$3&gt;=1,"Livre","Aberta"),P259=O270,IF('DADOS_INVOC'!$RA$3&gt;=2,"Livre","Aberta"),Q259=O270,IF('DADOS_INVOC'!$RA$3&gt;=7,"Livre","Aberta"),R259=O270,IF('DADOS_INVOC'!$RA$3&gt;=8,"Livre","Aberta"),S259=O270,IF('DADOS_INVOC'!$RA$3&gt;=9,"Livre","Aberta"),O261=O270,IF('DADOS_INVOC'!$RA$3&gt;=3,"Livre","Aberta"),P261=O270,IF('DADOS_INVOC'!$RA$3&gt;=4,"Livre","Aberta"),Q261=O270,IF('DADOS_INVOC'!$RA$3&gt;=5,"Livre","Aberta"),R261=O270,IF('DADOS_INVOC'!$RA$3&gt;=6,"Livre","Aberta"),TRUE,"Não escolhida"))</f>
        <v/>
      </c>
      <c r="S270" s="17" t="n"/>
      <c r="AH270" s="116">
        <f>'DADOS_CRIACAO'!$H$16</f>
        <v/>
      </c>
      <c r="AI270" s="16" t="n"/>
      <c r="AJ270" s="17" t="n"/>
      <c r="AK270" s="116">
        <f>IF(AH270="","",IFS(AH259=AH270,IF('DADOS_INVOC'!$RA$9&gt;=1,"Livre","Aberta"),AI259=AH270,IF('DADOS_INVOC'!$RA$9&gt;=2,"Livre","Aberta"),AJ259=AH270,IF('DADOS_INVOC'!$RA$9&gt;=7,"Livre","Aberta"),AK259=AH270,IF('DADOS_INVOC'!$RA$9&gt;=8,"Livre","Aberta"),AL259=AH270,IF('DADOS_INVOC'!$RA$9&gt;=9,"Livre","Aberta"),AH261=AH270,IF('DADOS_INVOC'!$RA$9&gt;=3,"Livre","Aberta"),AI261=AH270,IF('DADOS_INVOC'!$RA$9&gt;=4,"Livre","Aberta"),AJ261=AH270,IF('DADOS_INVOC'!$RA$9&gt;=5,"Livre","Aberta"),AK261=AH270,IF('DADOS_INVOC'!$RA$9&gt;=6,"Livre","Aberta"),TRUE,"Não escolhida"))</f>
        <v/>
      </c>
      <c r="AL270" s="17" t="n"/>
    </row>
    <row r="271" hidden="1" outlineLevel="2" ht="18.75" customHeight="1">
      <c r="O271" s="116">
        <f>'DADOS_CRIACAO'!$H$17</f>
        <v/>
      </c>
      <c r="P271" s="16" t="n"/>
      <c r="Q271" s="17" t="n"/>
      <c r="R271" s="116">
        <f>IF(O271="","",IFS(O259=O271,IF('DADOS_INVOC'!$RA$3&gt;=1,"Livre","Aberta"),P259=O271,IF('DADOS_INVOC'!$RA$3&gt;=2,"Livre","Aberta"),Q259=O271,IF('DADOS_INVOC'!$RA$3&gt;=7,"Livre","Aberta"),R259=O271,IF('DADOS_INVOC'!$RA$3&gt;=8,"Livre","Aberta"),S259=O271,IF('DADOS_INVOC'!$RA$3&gt;=9,"Livre","Aberta"),O261=O271,IF('DADOS_INVOC'!$RA$3&gt;=3,"Livre","Aberta"),P261=O271,IF('DADOS_INVOC'!$RA$3&gt;=4,"Livre","Aberta"),Q261=O271,IF('DADOS_INVOC'!$RA$3&gt;=5,"Livre","Aberta"),R261=O271,IF('DADOS_INVOC'!$RA$3&gt;=6,"Livre","Aberta"),TRUE,"Não escolhida"))</f>
        <v/>
      </c>
      <c r="S271" s="17" t="n"/>
      <c r="AH271" s="116">
        <f>'DADOS_CRIACAO'!$H$17</f>
        <v/>
      </c>
      <c r="AI271" s="16" t="n"/>
      <c r="AJ271" s="17" t="n"/>
      <c r="AK271" s="116">
        <f>IF(AH271="","",IFS(AH259=AH271,IF('DADOS_INVOC'!$RA$9&gt;=1,"Livre","Aberta"),AI259=AH271,IF('DADOS_INVOC'!$RA$9&gt;=2,"Livre","Aberta"),AJ259=AH271,IF('DADOS_INVOC'!$RA$9&gt;=7,"Livre","Aberta"),AK259=AH271,IF('DADOS_INVOC'!$RA$9&gt;=8,"Livre","Aberta"),AL259=AH271,IF('DADOS_INVOC'!$RA$9&gt;=9,"Livre","Aberta"),AH261=AH271,IF('DADOS_INVOC'!$RA$9&gt;=3,"Livre","Aberta"),AI261=AH271,IF('DADOS_INVOC'!$RA$9&gt;=4,"Livre","Aberta"),AJ261=AH271,IF('DADOS_INVOC'!$RA$9&gt;=5,"Livre","Aberta"),AK261=AH271,IF('DADOS_INVOC'!$RA$9&gt;=6,"Livre","Aberta"),TRUE,"Não escolhida"))</f>
        <v/>
      </c>
      <c r="AL271" s="17" t="n"/>
    </row>
    <row r="272" hidden="1" outlineLevel="2" ht="18.75" customHeight="1">
      <c r="O272" s="116">
        <f>'DADOS_CRIACAO'!$H$18</f>
        <v/>
      </c>
      <c r="P272" s="16" t="n"/>
      <c r="Q272" s="17" t="n"/>
      <c r="R272" s="116">
        <f>IF(O272="","",IFS(O259=O272,IF('DADOS_INVOC'!$RA$3&gt;=1,"Livre","Aberta"),P259=O272,IF('DADOS_INVOC'!$RA$3&gt;=2,"Livre","Aberta"),Q259=O272,IF('DADOS_INVOC'!$RA$3&gt;=7,"Livre","Aberta"),R259=O272,IF('DADOS_INVOC'!$RA$3&gt;=8,"Livre","Aberta"),S259=O272,IF('DADOS_INVOC'!$RA$3&gt;=9,"Livre","Aberta"),O261=O272,IF('DADOS_INVOC'!$RA$3&gt;=3,"Livre","Aberta"),P261=O272,IF('DADOS_INVOC'!$RA$3&gt;=4,"Livre","Aberta"),Q261=O272,IF('DADOS_INVOC'!$RA$3&gt;=5,"Livre","Aberta"),R261=O272,IF('DADOS_INVOC'!$RA$3&gt;=6,"Livre","Aberta"),TRUE,"Não escolhida"))</f>
        <v/>
      </c>
      <c r="S272" s="17" t="n"/>
      <c r="AH272" s="116">
        <f>'DADOS_CRIACAO'!$H$18</f>
        <v/>
      </c>
      <c r="AI272" s="16" t="n"/>
      <c r="AJ272" s="17" t="n"/>
      <c r="AK272" s="116">
        <f>IF(AH272="","",IFS(AH259=AH272,IF('DADOS_INVOC'!$RA$9&gt;=1,"Livre","Aberta"),AI259=AH272,IF('DADOS_INVOC'!$RA$9&gt;=2,"Livre","Aberta"),AJ259=AH272,IF('DADOS_INVOC'!$RA$9&gt;=7,"Livre","Aberta"),AK259=AH272,IF('DADOS_INVOC'!$RA$9&gt;=8,"Livre","Aberta"),AL259=AH272,IF('DADOS_INVOC'!$RA$9&gt;=9,"Livre","Aberta"),AH261=AH272,IF('DADOS_INVOC'!$RA$9&gt;=3,"Livre","Aberta"),AI261=AH272,IF('DADOS_INVOC'!$RA$9&gt;=4,"Livre","Aberta"),AJ261=AH272,IF('DADOS_INVOC'!$RA$9&gt;=5,"Livre","Aberta"),AK261=AH272,IF('DADOS_INVOC'!$RA$9&gt;=6,"Livre","Aberta"),TRUE,"Não escolhida"))</f>
        <v/>
      </c>
      <c r="AL272" s="17" t="n"/>
    </row>
    <row r="273" hidden="1" outlineLevel="2" ht="18.75" customHeight="1">
      <c r="O273" s="116">
        <f>'DADOS_CRIACAO'!$H$19</f>
        <v/>
      </c>
      <c r="P273" s="16" t="n"/>
      <c r="Q273" s="17" t="n"/>
      <c r="R273" s="116">
        <f>IF(O273="","",IFS(O259=O273,IF('DADOS_INVOC'!$RA$3&gt;=1,"Livre","Aberta"),P259=O273,IF('DADOS_INVOC'!$RA$3&gt;=2,"Livre","Aberta"),Q259=O273,IF('DADOS_INVOC'!$RA$3&gt;=7,"Livre","Aberta"),R259=O273,IF('DADOS_INVOC'!$RA$3&gt;=8,"Livre","Aberta"),S259=O273,IF('DADOS_INVOC'!$RA$3&gt;=9,"Livre","Aberta"),O261=O273,IF('DADOS_INVOC'!$RA$3&gt;=3,"Livre","Aberta"),P261=O273,IF('DADOS_INVOC'!$RA$3&gt;=4,"Livre","Aberta"),Q261=O273,IF('DADOS_INVOC'!$RA$3&gt;=5,"Livre","Aberta"),R261=O273,IF('DADOS_INVOC'!$RA$3&gt;=6,"Livre","Aberta"),TRUE,"Não escolhida"))</f>
        <v/>
      </c>
      <c r="S273" s="17" t="n"/>
      <c r="AH273" s="116">
        <f>'DADOS_CRIACAO'!$H$19</f>
        <v/>
      </c>
      <c r="AI273" s="16" t="n"/>
      <c r="AJ273" s="17" t="n"/>
      <c r="AK273" s="116">
        <f>IF(AH273="","",IFS(AH259=AH273,IF('DADOS_INVOC'!$RA$9&gt;=1,"Livre","Aberta"),AI259=AH273,IF('DADOS_INVOC'!$RA$9&gt;=2,"Livre","Aberta"),AJ259=AH273,IF('DADOS_INVOC'!$RA$9&gt;=7,"Livre","Aberta"),AK259=AH273,IF('DADOS_INVOC'!$RA$9&gt;=8,"Livre","Aberta"),AL259=AH273,IF('DADOS_INVOC'!$RA$9&gt;=9,"Livre","Aberta"),AH261=AH273,IF('DADOS_INVOC'!$RA$9&gt;=3,"Livre","Aberta"),AI261=AH273,IF('DADOS_INVOC'!$RA$9&gt;=4,"Livre","Aberta"),AJ261=AH273,IF('DADOS_INVOC'!$RA$9&gt;=5,"Livre","Aberta"),AK261=AH273,IF('DADOS_INVOC'!$RA$9&gt;=6,"Livre","Aberta"),TRUE,"Não escolhida"))</f>
        <v/>
      </c>
      <c r="AL273" s="17" t="n"/>
    </row>
    <row r="274" hidden="1" outlineLevel="2" ht="18.75" customHeight="1">
      <c r="O274" s="116">
        <f>'DADOS_CRIACAO'!$H$20</f>
        <v/>
      </c>
      <c r="P274" s="16" t="n"/>
      <c r="Q274" s="17" t="n"/>
      <c r="R274" s="116">
        <f>IF(O274="","",IFS(O259=O274,IF('DADOS_INVOC'!$RA$3&gt;=1,"Livre","Aberta"),P259=O274,IF('DADOS_INVOC'!$RA$3&gt;=2,"Livre","Aberta"),Q259=O274,IF('DADOS_INVOC'!$RA$3&gt;=7,"Livre","Aberta"),R259=O274,IF('DADOS_INVOC'!$RA$3&gt;=8,"Livre","Aberta"),S259=O274,IF('DADOS_INVOC'!$RA$3&gt;=9,"Livre","Aberta"),O261=O274,IF('DADOS_INVOC'!$RA$3&gt;=3,"Livre","Aberta"),P261=O274,IF('DADOS_INVOC'!$RA$3&gt;=4,"Livre","Aberta"),Q261=O274,IF('DADOS_INVOC'!$RA$3&gt;=5,"Livre","Aberta"),R261=O274,IF('DADOS_INVOC'!$RA$3&gt;=6,"Livre","Aberta"),TRUE,"Não escolhida"))</f>
        <v/>
      </c>
      <c r="S274" s="17" t="n"/>
      <c r="AH274" s="116">
        <f>'DADOS_CRIACAO'!$H$20</f>
        <v/>
      </c>
      <c r="AI274" s="16" t="n"/>
      <c r="AJ274" s="17" t="n"/>
      <c r="AK274" s="116">
        <f>IF(AH274="","",IFS(AH259=AH274,IF('DADOS_INVOC'!$RA$9&gt;=1,"Livre","Aberta"),AI259=AH274,IF('DADOS_INVOC'!$RA$9&gt;=2,"Livre","Aberta"),AJ259=AH274,IF('DADOS_INVOC'!$RA$9&gt;=7,"Livre","Aberta"),AK259=AH274,IF('DADOS_INVOC'!$RA$9&gt;=8,"Livre","Aberta"),AL259=AH274,IF('DADOS_INVOC'!$RA$9&gt;=9,"Livre","Aberta"),AH261=AH274,IF('DADOS_INVOC'!$RA$9&gt;=3,"Livre","Aberta"),AI261=AH274,IF('DADOS_INVOC'!$RA$9&gt;=4,"Livre","Aberta"),AJ261=AH274,IF('DADOS_INVOC'!$RA$9&gt;=5,"Livre","Aberta"),AK261=AH274,IF('DADOS_INVOC'!$RA$9&gt;=6,"Livre","Aberta"),TRUE,"Não escolhida"))</f>
        <v/>
      </c>
      <c r="AL274" s="17" t="n"/>
    </row>
    <row r="275" hidden="1" outlineLevel="2" ht="18.75" customHeight="1"/>
    <row r="276" hidden="1" outlineLevel="1">
      <c r="A276" s="8" t="n"/>
      <c r="B276" s="14" t="n"/>
      <c r="C276" s="137" t="n"/>
      <c r="D276" s="137" t="n"/>
      <c r="E276" s="137" t="n"/>
      <c r="F276" s="137" t="n"/>
      <c r="G276" s="137" t="n"/>
      <c r="I276" s="56" t="inlineStr">
        <is>
          <t>DEFINIÇÃO</t>
        </is>
      </c>
      <c r="J276" s="16" t="n"/>
      <c r="K276" s="16" t="n"/>
      <c r="L276" s="16" t="n"/>
      <c r="M276" s="16" t="n"/>
      <c r="N276" s="16" t="n"/>
      <c r="O276" s="16" t="n"/>
      <c r="P276" s="16" t="n"/>
      <c r="Q276" s="16" t="n"/>
      <c r="R276" s="16" t="n"/>
      <c r="S276" s="16" t="n"/>
      <c r="T276" s="16" t="n"/>
      <c r="U276" s="16" t="n"/>
      <c r="V276" s="16" t="n"/>
      <c r="W276" s="16" t="n"/>
      <c r="X276" s="16" t="n"/>
      <c r="Y276" s="17" t="n"/>
      <c r="Z276" s="137" t="n"/>
      <c r="AB276" s="56" t="inlineStr">
        <is>
          <t>DEFINIÇÃO</t>
        </is>
      </c>
      <c r="AC276" s="16" t="n"/>
      <c r="AD276" s="16" t="n"/>
      <c r="AE276" s="16" t="n"/>
      <c r="AF276" s="16" t="n"/>
      <c r="AG276" s="16" t="n"/>
      <c r="AH276" s="16" t="n"/>
      <c r="AI276" s="16" t="n"/>
      <c r="AJ276" s="16" t="n"/>
      <c r="AK276" s="16" t="n"/>
      <c r="AL276" s="16" t="n"/>
      <c r="AM276" s="16" t="n"/>
      <c r="AN276" s="16" t="n"/>
      <c r="AO276" s="16" t="n"/>
      <c r="AP276" s="16" t="n"/>
      <c r="AQ276" s="16" t="n"/>
      <c r="AR276" s="17" t="n"/>
      <c r="AS276" s="137" t="n"/>
    </row>
    <row r="277" hidden="1" outlineLevel="1">
      <c r="A277" s="8" t="n"/>
      <c r="B277" s="14" t="n"/>
      <c r="C277" s="137" t="n"/>
      <c r="D277" s="137" t="n"/>
      <c r="E277" s="137" t="n"/>
      <c r="F277" s="137" t="n"/>
      <c r="G277" s="137" t="n"/>
      <c r="I277" s="61" t="n"/>
      <c r="J277" s="19" t="n"/>
      <c r="K277" s="19" t="n"/>
      <c r="L277" s="19" t="n"/>
      <c r="M277" s="19" t="n"/>
      <c r="N277" s="19" t="n"/>
      <c r="O277" s="19" t="n"/>
      <c r="P277" s="19" t="n"/>
      <c r="Q277" s="19" t="n"/>
      <c r="R277" s="19" t="n"/>
      <c r="S277" s="19" t="n"/>
      <c r="T277" s="19" t="n"/>
      <c r="U277" s="19" t="n"/>
      <c r="V277" s="19" t="n"/>
      <c r="W277" s="19" t="n"/>
      <c r="X277" s="19" t="n"/>
      <c r="Y277" s="20" t="n"/>
      <c r="Z277" s="137" t="n"/>
      <c r="AB277" s="61" t="n"/>
      <c r="AC277" s="19" t="n"/>
      <c r="AD277" s="19" t="n"/>
      <c r="AE277" s="19" t="n"/>
      <c r="AF277" s="19" t="n"/>
      <c r="AG277" s="19" t="n"/>
      <c r="AH277" s="19" t="n"/>
      <c r="AI277" s="19" t="n"/>
      <c r="AJ277" s="19" t="n"/>
      <c r="AK277" s="19" t="n"/>
      <c r="AL277" s="19" t="n"/>
      <c r="AM277" s="19" t="n"/>
      <c r="AN277" s="19" t="n"/>
      <c r="AO277" s="19" t="n"/>
      <c r="AP277" s="19" t="n"/>
      <c r="AQ277" s="19" t="n"/>
      <c r="AR277" s="20" t="n"/>
      <c r="AS277" s="137" t="n"/>
    </row>
    <row r="278" hidden="1" outlineLevel="1">
      <c r="A278" s="8" t="n"/>
      <c r="B278" s="14" t="n"/>
      <c r="C278" s="137" t="n"/>
      <c r="D278" s="137" t="n"/>
      <c r="E278" s="137" t="n"/>
      <c r="F278" s="137" t="n"/>
      <c r="G278" s="137" t="n"/>
      <c r="I278" s="23" t="n"/>
      <c r="J278" s="24" t="n"/>
      <c r="K278" s="24" t="n"/>
      <c r="L278" s="24" t="n"/>
      <c r="M278" s="24" t="n"/>
      <c r="N278" s="24" t="n"/>
      <c r="O278" s="24" t="n"/>
      <c r="P278" s="24" t="n"/>
      <c r="Q278" s="24" t="n"/>
      <c r="R278" s="24" t="n"/>
      <c r="S278" s="24" t="n"/>
      <c r="T278" s="24" t="n"/>
      <c r="U278" s="24" t="n"/>
      <c r="V278" s="24" t="n"/>
      <c r="W278" s="24" t="n"/>
      <c r="X278" s="24" t="n"/>
      <c r="Y278" s="25" t="n"/>
      <c r="Z278" s="137" t="n"/>
      <c r="AB278" s="23" t="n"/>
      <c r="AC278" s="24" t="n"/>
      <c r="AD278" s="24" t="n"/>
      <c r="AE278" s="24" t="n"/>
      <c r="AF278" s="24" t="n"/>
      <c r="AG278" s="24" t="n"/>
      <c r="AH278" s="24" t="n"/>
      <c r="AI278" s="24" t="n"/>
      <c r="AJ278" s="24" t="n"/>
      <c r="AK278" s="24" t="n"/>
      <c r="AL278" s="24" t="n"/>
      <c r="AM278" s="24" t="n"/>
      <c r="AN278" s="24" t="n"/>
      <c r="AO278" s="24" t="n"/>
      <c r="AP278" s="24" t="n"/>
      <c r="AQ278" s="24" t="n"/>
      <c r="AR278" s="25" t="n"/>
      <c r="AS278" s="137" t="n"/>
    </row>
    <row r="279" hidden="1" outlineLevel="1">
      <c r="A279" s="8" t="n"/>
      <c r="B279" s="14" t="n"/>
      <c r="C279" s="137" t="n"/>
      <c r="D279" s="137" t="n"/>
      <c r="E279" s="137" t="n"/>
      <c r="F279" s="137" t="n"/>
      <c r="G279" s="137" t="n"/>
      <c r="I279" s="146">
        <f>DADOS_INVOC!$IE$3</f>
        <v/>
      </c>
      <c r="J279" s="16" t="n"/>
      <c r="K279" s="16" t="n"/>
      <c r="L279" s="16" t="n"/>
      <c r="M279" s="16" t="n"/>
      <c r="N279" s="16" t="n"/>
      <c r="O279" s="16" t="n"/>
      <c r="P279" s="16" t="n"/>
      <c r="Q279" s="16" t="n"/>
      <c r="R279" s="16" t="n"/>
      <c r="S279" s="16" t="n"/>
      <c r="T279" s="16" t="n"/>
      <c r="U279" s="16" t="n"/>
      <c r="V279" s="16" t="n"/>
      <c r="W279" s="16" t="n"/>
      <c r="X279" s="16" t="n"/>
      <c r="Y279" s="17" t="n"/>
      <c r="Z279" s="137" t="n"/>
      <c r="AB279" s="146">
        <f>DADOS_INVOC!$IE$9</f>
        <v/>
      </c>
      <c r="AC279" s="16" t="n"/>
      <c r="AD279" s="16" t="n"/>
      <c r="AE279" s="16" t="n"/>
      <c r="AF279" s="16" t="n"/>
      <c r="AG279" s="16" t="n"/>
      <c r="AH279" s="16" t="n"/>
      <c r="AI279" s="16" t="n"/>
      <c r="AJ279" s="16" t="n"/>
      <c r="AK279" s="16" t="n"/>
      <c r="AL279" s="16" t="n"/>
      <c r="AM279" s="16" t="n"/>
      <c r="AN279" s="16" t="n"/>
      <c r="AO279" s="16" t="n"/>
      <c r="AP279" s="16" t="n"/>
      <c r="AQ279" s="16" t="n"/>
      <c r="AR279" s="17" t="n"/>
      <c r="AS279" s="137" t="n"/>
    </row>
    <row r="280" hidden="1" outlineLevel="1">
      <c r="A280" s="8" t="n"/>
      <c r="B280" s="14" t="n"/>
      <c r="C280" s="137" t="n"/>
      <c r="D280" s="137" t="n"/>
      <c r="E280" s="137" t="n"/>
      <c r="F280" s="137" t="n"/>
      <c r="G280" s="137" t="n"/>
      <c r="I280" s="137" t="n"/>
      <c r="J280" s="137" t="n"/>
      <c r="K280" s="137" t="n"/>
      <c r="L280" s="137" t="n"/>
      <c r="M280" s="137" t="n"/>
      <c r="N280" s="137" t="n"/>
      <c r="O280" s="137" t="n"/>
      <c r="P280" s="137" t="n"/>
      <c r="Q280" s="137" t="n"/>
      <c r="R280" s="137" t="n"/>
      <c r="S280" s="137" t="n"/>
      <c r="T280" s="137" t="n"/>
      <c r="U280" s="137" t="n"/>
      <c r="V280" s="137" t="n"/>
      <c r="W280" s="137" t="n"/>
      <c r="X280" s="137" t="n"/>
      <c r="Y280" s="137" t="n"/>
      <c r="Z280" s="137" t="n"/>
      <c r="AB280" s="137" t="n"/>
      <c r="AC280" s="137" t="n"/>
      <c r="AD280" s="137" t="n"/>
      <c r="AE280" s="137" t="n"/>
      <c r="AF280" s="137" t="n"/>
      <c r="AG280" s="137" t="n"/>
      <c r="AH280" s="137" t="n"/>
      <c r="AI280" s="137" t="n"/>
      <c r="AJ280" s="137" t="n"/>
      <c r="AK280" s="137" t="n"/>
      <c r="AL280" s="137" t="n"/>
      <c r="AM280" s="137" t="n"/>
      <c r="AN280" s="137" t="n"/>
      <c r="AO280" s="137" t="n"/>
      <c r="AP280" s="137" t="n"/>
      <c r="AQ280" s="137" t="n"/>
      <c r="AR280" s="137" t="n"/>
      <c r="AS280" s="137" t="n"/>
    </row>
    <row r="281" hidden="1" outlineLevel="1">
      <c r="A281" s="8" t="n"/>
      <c r="B281" s="14" t="n"/>
      <c r="C281" s="137" t="n"/>
      <c r="D281" s="137" t="n"/>
      <c r="E281" s="137" t="n"/>
      <c r="F281" s="137" t="n"/>
      <c r="G281" s="137" t="n"/>
      <c r="I281" s="56">
        <f>DADOS_INVOC!$PZ$15</f>
        <v/>
      </c>
      <c r="J281" s="16" t="n"/>
      <c r="K281" s="16" t="n"/>
      <c r="L281" s="16" t="n"/>
      <c r="M281" s="17" t="n"/>
      <c r="N281" s="137" t="n"/>
      <c r="O281" s="56">
        <f>DADOS_INVOC!$PZ$16</f>
        <v/>
      </c>
      <c r="P281" s="16" t="n"/>
      <c r="Q281" s="16" t="n"/>
      <c r="R281" s="16" t="n"/>
      <c r="S281" s="17" t="n"/>
      <c r="T281" s="137" t="n"/>
      <c r="U281" s="56">
        <f>DADOS_INVOC!$PZ$17</f>
        <v/>
      </c>
      <c r="V281" s="16" t="n"/>
      <c r="W281" s="16" t="n"/>
      <c r="X281" s="16" t="n"/>
      <c r="Y281" s="17" t="n"/>
      <c r="Z281" s="137" t="n"/>
      <c r="AB281" s="56">
        <f>DADOS_INVOC!$PZ$93</f>
        <v/>
      </c>
      <c r="AC281" s="16" t="n"/>
      <c r="AD281" s="16" t="n"/>
      <c r="AE281" s="16" t="n"/>
      <c r="AF281" s="17" t="n"/>
      <c r="AG281" s="137" t="n"/>
      <c r="AH281" s="56">
        <f>DADOS_INVOC!$PZ$94</f>
        <v/>
      </c>
      <c r="AI281" s="16" t="n"/>
      <c r="AJ281" s="16" t="n"/>
      <c r="AK281" s="16" t="n"/>
      <c r="AL281" s="17" t="n"/>
      <c r="AM281" s="137" t="n"/>
      <c r="AN281" s="56">
        <f>DADOS_INVOC!$PZ$95</f>
        <v/>
      </c>
      <c r="AO281" s="16" t="n"/>
      <c r="AP281" s="16" t="n"/>
      <c r="AQ281" s="16" t="n"/>
      <c r="AR281" s="17" t="n"/>
      <c r="AS281" s="137" t="n"/>
    </row>
    <row r="282" hidden="1" outlineLevel="1">
      <c r="A282" s="8" t="n"/>
      <c r="B282" s="14" t="n"/>
      <c r="C282" s="137" t="n"/>
      <c r="D282" s="137" t="n"/>
      <c r="E282" s="137" t="n"/>
      <c r="F282" s="137" t="n"/>
      <c r="G282" s="137" t="n"/>
      <c r="I282" s="141" t="n">
        <v>0</v>
      </c>
      <c r="J282" s="131" t="n"/>
      <c r="K282" s="16" t="n"/>
      <c r="L282" s="17" t="n"/>
      <c r="M282" s="142">
        <f>DADOS_INVOC!$PX$15</f>
        <v/>
      </c>
      <c r="N282" s="137" t="n"/>
      <c r="O282" s="141" t="n">
        <v>1</v>
      </c>
      <c r="P282" s="131" t="n"/>
      <c r="Q282" s="16" t="n"/>
      <c r="R282" s="17" t="n"/>
      <c r="S282" s="142">
        <f>DADOS_INVOC!$PX$16</f>
        <v/>
      </c>
      <c r="T282" s="137" t="n"/>
      <c r="U282" s="141" t="n">
        <v>1</v>
      </c>
      <c r="V282" s="131" t="n"/>
      <c r="W282" s="16" t="n"/>
      <c r="X282" s="17" t="n"/>
      <c r="Y282" s="142">
        <f>DADOS_INVOC!$PX$17</f>
        <v/>
      </c>
      <c r="Z282" s="137" t="n"/>
      <c r="AB282" s="141" t="n">
        <v>0</v>
      </c>
      <c r="AC282" s="131" t="n"/>
      <c r="AD282" s="16" t="n"/>
      <c r="AE282" s="17" t="n"/>
      <c r="AF282" s="142">
        <f>DADOS_INVOC!$PX$93</f>
        <v/>
      </c>
      <c r="AG282" s="137" t="n"/>
      <c r="AH282" s="141" t="n">
        <v>1</v>
      </c>
      <c r="AI282" s="131" t="n"/>
      <c r="AJ282" s="16" t="n"/>
      <c r="AK282" s="17" t="n"/>
      <c r="AL282" s="142">
        <f>DADOS_INVOC!$PX$94</f>
        <v/>
      </c>
      <c r="AM282" s="137" t="n"/>
      <c r="AN282" s="141" t="n">
        <v>1</v>
      </c>
      <c r="AO282" s="131" t="n"/>
      <c r="AP282" s="16" t="n"/>
      <c r="AQ282" s="17" t="n"/>
      <c r="AR282" s="142">
        <f>DADOS_INVOC!$PX$95</f>
        <v/>
      </c>
      <c r="AS282" s="137" t="n"/>
    </row>
    <row r="283" hidden="1" outlineLevel="2">
      <c r="A283" s="8" t="n"/>
      <c r="B283" s="14" t="n"/>
      <c r="C283" s="137" t="n"/>
      <c r="D283" s="137" t="n"/>
      <c r="E283" s="137" t="n"/>
      <c r="F283" s="137" t="n"/>
      <c r="G283" s="137" t="n"/>
      <c r="I283" s="56" t="inlineStr">
        <is>
          <t>COMO É</t>
        </is>
      </c>
      <c r="J283" s="16" t="n"/>
      <c r="K283" s="16" t="n"/>
      <c r="L283" s="16" t="n"/>
      <c r="M283" s="17" t="n"/>
      <c r="N283" s="137" t="n"/>
      <c r="O283" s="56" t="inlineStr">
        <is>
          <t>COMO É</t>
        </is>
      </c>
      <c r="P283" s="16" t="n"/>
      <c r="Q283" s="16" t="n"/>
      <c r="R283" s="16" t="n"/>
      <c r="S283" s="17" t="n"/>
      <c r="T283" s="137" t="n"/>
      <c r="U283" s="56" t="inlineStr">
        <is>
          <t>COMO É</t>
        </is>
      </c>
      <c r="V283" s="16" t="n"/>
      <c r="W283" s="16" t="n"/>
      <c r="X283" s="16" t="n"/>
      <c r="Y283" s="17" t="n"/>
      <c r="Z283" s="137" t="n"/>
      <c r="AB283" s="56" t="inlineStr">
        <is>
          <t>COMO É</t>
        </is>
      </c>
      <c r="AC283" s="16" t="n"/>
      <c r="AD283" s="16" t="n"/>
      <c r="AE283" s="16" t="n"/>
      <c r="AF283" s="17" t="n"/>
      <c r="AG283" s="137" t="n"/>
      <c r="AH283" s="56" t="inlineStr">
        <is>
          <t>COMO É</t>
        </is>
      </c>
      <c r="AI283" s="16" t="n"/>
      <c r="AJ283" s="16" t="n"/>
      <c r="AK283" s="16" t="n"/>
      <c r="AL283" s="17" t="n"/>
      <c r="AM283" s="137" t="n"/>
      <c r="AN283" s="56" t="inlineStr">
        <is>
          <t>COMO É</t>
        </is>
      </c>
      <c r="AO283" s="16" t="n"/>
      <c r="AP283" s="16" t="n"/>
      <c r="AQ283" s="16" t="n"/>
      <c r="AR283" s="17" t="n"/>
      <c r="AS283" s="137" t="n"/>
    </row>
    <row r="284" hidden="1" outlineLevel="2">
      <c r="A284" s="8" t="n"/>
      <c r="B284" s="14" t="n"/>
      <c r="C284" s="137" t="n"/>
      <c r="D284" s="137" t="n"/>
      <c r="E284" s="137" t="n"/>
      <c r="F284" s="137" t="n"/>
      <c r="G284" s="137" t="n"/>
      <c r="I284" s="61" t="n"/>
      <c r="J284" s="19" t="n"/>
      <c r="K284" s="19" t="n"/>
      <c r="L284" s="19" t="n"/>
      <c r="M284" s="20" t="n"/>
      <c r="N284" s="137" t="n"/>
      <c r="O284" s="61" t="n"/>
      <c r="P284" s="19" t="n"/>
      <c r="Q284" s="19" t="n"/>
      <c r="R284" s="19" t="n"/>
      <c r="S284" s="20" t="n"/>
      <c r="T284" s="137" t="n"/>
      <c r="U284" s="61" t="n"/>
      <c r="V284" s="19" t="n"/>
      <c r="W284" s="19" t="n"/>
      <c r="X284" s="19" t="n"/>
      <c r="Y284" s="20" t="n"/>
      <c r="Z284" s="137" t="n"/>
      <c r="AB284" s="61" t="n"/>
      <c r="AC284" s="19" t="n"/>
      <c r="AD284" s="19" t="n"/>
      <c r="AE284" s="19" t="n"/>
      <c r="AF284" s="20" t="n"/>
      <c r="AG284" s="137" t="n"/>
      <c r="AH284" s="61" t="n"/>
      <c r="AI284" s="19" t="n"/>
      <c r="AJ284" s="19" t="n"/>
      <c r="AK284" s="19" t="n"/>
      <c r="AL284" s="20" t="n"/>
      <c r="AM284" s="137" t="n"/>
      <c r="AN284" s="61" t="n"/>
      <c r="AO284" s="19" t="n"/>
      <c r="AP284" s="19" t="n"/>
      <c r="AQ284" s="19" t="n"/>
      <c r="AR284" s="20" t="n"/>
      <c r="AS284" s="137" t="n"/>
    </row>
    <row r="285" hidden="1" outlineLevel="2">
      <c r="A285" s="8" t="n"/>
      <c r="B285" s="14" t="n"/>
      <c r="C285" s="137" t="n"/>
      <c r="D285" s="137" t="n"/>
      <c r="E285" s="137" t="n"/>
      <c r="F285" s="137" t="n"/>
      <c r="G285" s="137" t="n"/>
      <c r="I285" s="21" t="n"/>
      <c r="M285" s="22" t="n"/>
      <c r="N285" s="137" t="n"/>
      <c r="O285" s="21" t="n"/>
      <c r="S285" s="22" t="n"/>
      <c r="T285" s="137" t="n"/>
      <c r="U285" s="21" t="n"/>
      <c r="Y285" s="22" t="n"/>
      <c r="Z285" s="137" t="n"/>
      <c r="AB285" s="21" t="n"/>
      <c r="AF285" s="22" t="n"/>
      <c r="AG285" s="137" t="n"/>
      <c r="AH285" s="21" t="n"/>
      <c r="AL285" s="22" t="n"/>
      <c r="AM285" s="137" t="n"/>
      <c r="AN285" s="21" t="n"/>
      <c r="AR285" s="22" t="n"/>
      <c r="AS285" s="137" t="n"/>
    </row>
    <row r="286" hidden="1" outlineLevel="2">
      <c r="A286" s="8" t="n"/>
      <c r="B286" s="14" t="n"/>
      <c r="C286" s="137" t="n"/>
      <c r="D286" s="137" t="n"/>
      <c r="E286" s="137" t="n"/>
      <c r="F286" s="137" t="n"/>
      <c r="G286" s="137" t="n"/>
      <c r="I286" s="23" t="n"/>
      <c r="J286" s="24" t="n"/>
      <c r="K286" s="24" t="n"/>
      <c r="L286" s="24" t="n"/>
      <c r="M286" s="25" t="n"/>
      <c r="N286" s="137" t="n"/>
      <c r="O286" s="23" t="n"/>
      <c r="P286" s="24" t="n"/>
      <c r="Q286" s="24" t="n"/>
      <c r="R286" s="24" t="n"/>
      <c r="S286" s="25" t="n"/>
      <c r="T286" s="137" t="n"/>
      <c r="U286" s="23" t="n"/>
      <c r="V286" s="24" t="n"/>
      <c r="W286" s="24" t="n"/>
      <c r="X286" s="24" t="n"/>
      <c r="Y286" s="25" t="n"/>
      <c r="Z286" s="137" t="n"/>
      <c r="AB286" s="23" t="n"/>
      <c r="AC286" s="24" t="n"/>
      <c r="AD286" s="24" t="n"/>
      <c r="AE286" s="24" t="n"/>
      <c r="AF286" s="25" t="n"/>
      <c r="AG286" s="137" t="n"/>
      <c r="AH286" s="23" t="n"/>
      <c r="AI286" s="24" t="n"/>
      <c r="AJ286" s="24" t="n"/>
      <c r="AK286" s="24" t="n"/>
      <c r="AL286" s="25" t="n"/>
      <c r="AM286" s="137" t="n"/>
      <c r="AN286" s="23" t="n"/>
      <c r="AO286" s="24" t="n"/>
      <c r="AP286" s="24" t="n"/>
      <c r="AQ286" s="24" t="n"/>
      <c r="AR286" s="25" t="n"/>
      <c r="AS286" s="137" t="n"/>
    </row>
    <row r="287" hidden="1" outlineLevel="1">
      <c r="A287" s="8" t="n"/>
      <c r="B287" s="14" t="n"/>
      <c r="C287" s="137" t="n"/>
      <c r="D287" s="137" t="n"/>
      <c r="E287" s="137" t="n"/>
      <c r="F287" s="137" t="n"/>
      <c r="G287" s="137" t="n"/>
      <c r="I287" s="95" t="inlineStr">
        <is>
          <t>Projétil</t>
        </is>
      </c>
      <c r="J287" s="17" t="n"/>
      <c r="K287" s="71">
        <f>DADOS_INVOC!$QE$15</f>
        <v/>
      </c>
      <c r="L287" s="17" t="n"/>
      <c r="M287" s="71">
        <f>DADOS_INVOC!$QA$15</f>
        <v/>
      </c>
      <c r="N287" s="137" t="n"/>
      <c r="O287" s="95" t="inlineStr">
        <is>
          <t>Projétil</t>
        </is>
      </c>
      <c r="P287" s="17" t="n"/>
      <c r="Q287" s="71">
        <f>DADOS_INVOC!$QE$16</f>
        <v/>
      </c>
      <c r="R287" s="17" t="n"/>
      <c r="S287" s="71">
        <f>DADOS_INVOC!$QA$16</f>
        <v/>
      </c>
      <c r="T287" s="137" t="n"/>
      <c r="U287" s="95" t="inlineStr">
        <is>
          <t>Projétil</t>
        </is>
      </c>
      <c r="V287" s="17" t="n"/>
      <c r="W287" s="71">
        <f>DADOS_INVOC!$QE$17</f>
        <v/>
      </c>
      <c r="X287" s="17" t="n"/>
      <c r="Y287" s="71">
        <f>DADOS_INVOC!$QA$17</f>
        <v/>
      </c>
      <c r="Z287" s="137" t="n"/>
      <c r="AB287" s="95" t="inlineStr">
        <is>
          <t>Projétil</t>
        </is>
      </c>
      <c r="AC287" s="17" t="n"/>
      <c r="AD287" s="71">
        <f>DADOS_INVOC!$QE$93</f>
        <v/>
      </c>
      <c r="AE287" s="17" t="n"/>
      <c r="AF287" s="71">
        <f>DADOS_INVOC!$QA$93</f>
        <v/>
      </c>
      <c r="AG287" s="137" t="n"/>
      <c r="AH287" s="95" t="inlineStr">
        <is>
          <t>Projétil</t>
        </is>
      </c>
      <c r="AI287" s="17" t="n"/>
      <c r="AJ287" s="71">
        <f>DADOS_INVOC!$QE$94</f>
        <v/>
      </c>
      <c r="AK287" s="17" t="n"/>
      <c r="AL287" s="71">
        <f>DADOS_INVOC!$QA$94</f>
        <v/>
      </c>
      <c r="AM287" s="137" t="n"/>
      <c r="AN287" s="95" t="inlineStr">
        <is>
          <t>Projétil</t>
        </is>
      </c>
      <c r="AO287" s="17" t="n"/>
      <c r="AP287" s="71">
        <f>DADOS_INVOC!$QE$95</f>
        <v/>
      </c>
      <c r="AQ287" s="17" t="n"/>
      <c r="AR287" s="71">
        <f>DADOS_INVOC!$QA$95</f>
        <v/>
      </c>
      <c r="AS287" s="137" t="n"/>
    </row>
    <row r="288" hidden="1" outlineLevel="1">
      <c r="A288" s="8" t="n"/>
      <c r="B288" s="14" t="n"/>
      <c r="C288" s="137" t="n"/>
      <c r="D288" s="137" t="n"/>
      <c r="E288" s="137" t="n"/>
      <c r="F288" s="137" t="n"/>
      <c r="G288" s="137" t="n"/>
      <c r="I288" s="95" t="n"/>
      <c r="J288" s="17" t="n"/>
      <c r="K288" s="95" t="n"/>
      <c r="L288" s="16" t="n"/>
      <c r="M288" s="17" t="n"/>
      <c r="N288" s="137" t="n"/>
      <c r="O288" s="95" t="n"/>
      <c r="P288" s="17" t="n"/>
      <c r="Q288" s="95" t="n"/>
      <c r="R288" s="16" t="n"/>
      <c r="S288" s="17" t="n"/>
      <c r="T288" s="137" t="n"/>
      <c r="U288" s="95" t="n"/>
      <c r="V288" s="17" t="n"/>
      <c r="W288" s="95" t="n"/>
      <c r="X288" s="16" t="n"/>
      <c r="Y288" s="17" t="n"/>
      <c r="Z288" s="137" t="n"/>
      <c r="AB288" s="95" t="n"/>
      <c r="AC288" s="17" t="n"/>
      <c r="AD288" s="95" t="n"/>
      <c r="AE288" s="16" t="n"/>
      <c r="AF288" s="17" t="n"/>
      <c r="AG288" s="137" t="n"/>
      <c r="AH288" s="95" t="n"/>
      <c r="AI288" s="17" t="n"/>
      <c r="AJ288" s="95" t="n"/>
      <c r="AK288" s="16" t="n"/>
      <c r="AL288" s="17" t="n"/>
      <c r="AM288" s="137" t="n"/>
      <c r="AN288" s="95" t="n"/>
      <c r="AO288" s="17" t="n"/>
      <c r="AP288" s="95" t="n"/>
      <c r="AQ288" s="16" t="n"/>
      <c r="AR288" s="17" t="n"/>
      <c r="AS288" s="137" t="n"/>
    </row>
    <row r="289" hidden="1" outlineLevel="1">
      <c r="A289" s="8" t="n"/>
      <c r="B289" s="14" t="n"/>
      <c r="C289" s="137" t="n"/>
      <c r="D289" s="137" t="n"/>
      <c r="E289" s="137" t="n"/>
      <c r="F289" s="137" t="n"/>
      <c r="G289" s="137" t="n"/>
      <c r="I289" s="95">
        <f>DADOS_INVOC!$QB$15</f>
        <v/>
      </c>
      <c r="J289" s="17" t="n"/>
      <c r="K289" s="95">
        <f>DADOS_INVOC!$QD$15</f>
        <v/>
      </c>
      <c r="L289" s="16" t="n"/>
      <c r="M289" s="17" t="n"/>
      <c r="N289" s="137" t="n"/>
      <c r="O289" s="95">
        <f>DADOS_INVOC!$QB$16</f>
        <v/>
      </c>
      <c r="P289" s="17" t="n"/>
      <c r="Q289" s="95">
        <f>DADOS_INVOC!$QD$16</f>
        <v/>
      </c>
      <c r="R289" s="16" t="n"/>
      <c r="S289" s="17" t="n"/>
      <c r="T289" s="137" t="n"/>
      <c r="U289" s="95">
        <f>DADOS_INVOC!$QB$17</f>
        <v/>
      </c>
      <c r="V289" s="17" t="n"/>
      <c r="W289" s="95">
        <f>DADOS_INVOC!$QD$17</f>
        <v/>
      </c>
      <c r="X289" s="16" t="n"/>
      <c r="Y289" s="17" t="n"/>
      <c r="Z289" s="137" t="n"/>
      <c r="AB289" s="95">
        <f>DADOS_INVOC!$QB$93</f>
        <v/>
      </c>
      <c r="AC289" s="17" t="n"/>
      <c r="AD289" s="95">
        <f>DADOS_INVOC!$QD$93</f>
        <v/>
      </c>
      <c r="AE289" s="16" t="n"/>
      <c r="AF289" s="17" t="n"/>
      <c r="AG289" s="137" t="n"/>
      <c r="AH289" s="95">
        <f>DADOS_INVOC!$QB$94</f>
        <v/>
      </c>
      <c r="AI289" s="17" t="n"/>
      <c r="AJ289" s="95">
        <f>DADOS_INVOC!$QD$94</f>
        <v/>
      </c>
      <c r="AK289" s="16" t="n"/>
      <c r="AL289" s="17" t="n"/>
      <c r="AM289" s="137" t="n"/>
      <c r="AN289" s="95">
        <f>DADOS_INVOC!$QB$95</f>
        <v/>
      </c>
      <c r="AO289" s="17" t="n"/>
      <c r="AP289" s="95">
        <f>DADOS_INVOC!$QD$95</f>
        <v/>
      </c>
      <c r="AQ289" s="16" t="n"/>
      <c r="AR289" s="17" t="n"/>
      <c r="AS289" s="137" t="n"/>
    </row>
    <row r="290" hidden="1" outlineLevel="1">
      <c r="A290" s="8" t="n"/>
      <c r="B290" s="14" t="n"/>
      <c r="C290" s="137" t="n"/>
      <c r="D290" s="137" t="n"/>
      <c r="E290" s="137" t="n"/>
      <c r="F290" s="137" t="n"/>
      <c r="G290" s="137" t="n"/>
      <c r="I290" s="143">
        <f>DADOS_INVOC!$QJ$15</f>
        <v/>
      </c>
      <c r="J290" s="16" t="n"/>
      <c r="K290" s="16" t="n"/>
      <c r="L290" s="16" t="n"/>
      <c r="M290" s="17" t="n"/>
      <c r="N290" s="137" t="n"/>
      <c r="O290" s="143">
        <f>DADOS_INVOC!$QJ$16</f>
        <v/>
      </c>
      <c r="P290" s="16" t="n"/>
      <c r="Q290" s="16" t="n"/>
      <c r="R290" s="16" t="n"/>
      <c r="S290" s="17" t="n"/>
      <c r="T290" s="137" t="n"/>
      <c r="U290" s="143">
        <f>DADOS_INVOC!$QJ$17</f>
        <v/>
      </c>
      <c r="V290" s="16" t="n"/>
      <c r="W290" s="16" t="n"/>
      <c r="X290" s="16" t="n"/>
      <c r="Y290" s="17" t="n"/>
      <c r="Z290" s="137" t="n"/>
      <c r="AB290" s="143">
        <f>DADOS_INVOC!$QJ$93</f>
        <v/>
      </c>
      <c r="AC290" s="16" t="n"/>
      <c r="AD290" s="16" t="n"/>
      <c r="AE290" s="16" t="n"/>
      <c r="AF290" s="17" t="n"/>
      <c r="AG290" s="137" t="n"/>
      <c r="AH290" s="143">
        <f>DADOS_INVOC!$QJ$94</f>
        <v/>
      </c>
      <c r="AI290" s="16" t="n"/>
      <c r="AJ290" s="16" t="n"/>
      <c r="AK290" s="16" t="n"/>
      <c r="AL290" s="17" t="n"/>
      <c r="AM290" s="137" t="n"/>
      <c r="AN290" s="143">
        <f>DADOS_INVOC!$QJ$95</f>
        <v/>
      </c>
      <c r="AO290" s="16" t="n"/>
      <c r="AP290" s="16" t="n"/>
      <c r="AQ290" s="16" t="n"/>
      <c r="AR290" s="17" t="n"/>
      <c r="AS290" s="137" t="n"/>
    </row>
    <row r="291" hidden="1" outlineLevel="2">
      <c r="A291" s="8" t="n"/>
      <c r="B291" s="14" t="n"/>
      <c r="C291" s="137" t="n"/>
      <c r="D291" s="137" t="n"/>
      <c r="E291" s="137" t="n"/>
      <c r="F291" s="137" t="n"/>
      <c r="G291" s="137" t="n"/>
      <c r="I291" s="56" t="inlineStr">
        <is>
          <t>MELHORIAS</t>
        </is>
      </c>
      <c r="J291" s="144" t="n"/>
      <c r="K291" s="16" t="n"/>
      <c r="L291" s="17" t="n"/>
      <c r="M291" s="143">
        <f>DADOS_INVOC!$QM$15</f>
        <v/>
      </c>
      <c r="N291" s="137" t="n"/>
      <c r="O291" s="56" t="inlineStr">
        <is>
          <t>MELHORIAS</t>
        </is>
      </c>
      <c r="P291" s="144" t="n"/>
      <c r="Q291" s="16" t="n"/>
      <c r="R291" s="17" t="n"/>
      <c r="S291" s="143">
        <f>DADOS_INVOC!$QM$16</f>
        <v/>
      </c>
      <c r="T291" s="137" t="n"/>
      <c r="U291" s="56" t="inlineStr">
        <is>
          <t>MELHORIAS</t>
        </is>
      </c>
      <c r="V291" s="144" t="n"/>
      <c r="W291" s="16" t="n"/>
      <c r="X291" s="17" t="n"/>
      <c r="Y291" s="143">
        <f>DADOS_INVOC!$QM$17</f>
        <v/>
      </c>
      <c r="Z291" s="137" t="n"/>
      <c r="AB291" s="56" t="inlineStr">
        <is>
          <t>MELHORIAS</t>
        </is>
      </c>
      <c r="AC291" s="144" t="n"/>
      <c r="AD291" s="16" t="n"/>
      <c r="AE291" s="17" t="n"/>
      <c r="AF291" s="143">
        <f>DADOS_INVOC!$QM$93</f>
        <v/>
      </c>
      <c r="AG291" s="137" t="n"/>
      <c r="AH291" s="56" t="inlineStr">
        <is>
          <t>MELHORIAS</t>
        </is>
      </c>
      <c r="AI291" s="144" t="n"/>
      <c r="AJ291" s="16" t="n"/>
      <c r="AK291" s="17" t="n"/>
      <c r="AL291" s="143">
        <f>DADOS_INVOC!$QM$94</f>
        <v/>
      </c>
      <c r="AM291" s="137" t="n"/>
      <c r="AN291" s="56" t="inlineStr">
        <is>
          <t>MELHORIAS</t>
        </is>
      </c>
      <c r="AO291" s="144" t="n"/>
      <c r="AP291" s="16" t="n"/>
      <c r="AQ291" s="17" t="n"/>
      <c r="AR291" s="143">
        <f>DADOS_INVOC!$QM$95</f>
        <v/>
      </c>
      <c r="AS291" s="137" t="n"/>
    </row>
    <row r="292" hidden="1" outlineLevel="2">
      <c r="A292" s="8" t="n"/>
      <c r="B292" s="14" t="n"/>
      <c r="C292" s="137" t="n"/>
      <c r="D292" s="137" t="n"/>
      <c r="E292" s="137" t="n"/>
      <c r="F292" s="137" t="n"/>
      <c r="G292" s="137" t="n"/>
      <c r="I292" s="66" t="n"/>
      <c r="J292" s="144" t="n"/>
      <c r="K292" s="16" t="n"/>
      <c r="L292" s="17" t="n"/>
      <c r="M292" s="143">
        <f>DADOS_INVOC!$QN$15</f>
        <v/>
      </c>
      <c r="N292" s="137" t="n"/>
      <c r="O292" s="66" t="n"/>
      <c r="P292" s="144" t="n"/>
      <c r="Q292" s="16" t="n"/>
      <c r="R292" s="17" t="n"/>
      <c r="S292" s="143">
        <f>DADOS_INVOC!$QN$16</f>
        <v/>
      </c>
      <c r="T292" s="137" t="n"/>
      <c r="U292" s="66" t="n"/>
      <c r="V292" s="144" t="n"/>
      <c r="W292" s="16" t="n"/>
      <c r="X292" s="17" t="n"/>
      <c r="Y292" s="143">
        <f>DADOS_INVOC!$QN$17</f>
        <v/>
      </c>
      <c r="Z292" s="137" t="n"/>
      <c r="AB292" s="66" t="n"/>
      <c r="AC292" s="144" t="n"/>
      <c r="AD292" s="16" t="n"/>
      <c r="AE292" s="17" t="n"/>
      <c r="AF292" s="143">
        <f>DADOS_INVOC!$QN$93</f>
        <v/>
      </c>
      <c r="AG292" s="137" t="n"/>
      <c r="AH292" s="66" t="n"/>
      <c r="AI292" s="144" t="n"/>
      <c r="AJ292" s="16" t="n"/>
      <c r="AK292" s="17" t="n"/>
      <c r="AL292" s="143">
        <f>DADOS_INVOC!$QN$94</f>
        <v/>
      </c>
      <c r="AM292" s="137" t="n"/>
      <c r="AN292" s="66" t="n"/>
      <c r="AO292" s="144" t="n"/>
      <c r="AP292" s="16" t="n"/>
      <c r="AQ292" s="17" t="n"/>
      <c r="AR292" s="143">
        <f>DADOS_INVOC!$QN$95</f>
        <v/>
      </c>
      <c r="AS292" s="137" t="n"/>
    </row>
    <row r="293" hidden="1" outlineLevel="2">
      <c r="A293" s="8" t="n"/>
      <c r="B293" s="14" t="n"/>
      <c r="C293" s="137" t="n"/>
      <c r="D293" s="137" t="n"/>
      <c r="E293" s="137" t="n"/>
      <c r="F293" s="137" t="n"/>
      <c r="G293" s="137" t="n"/>
      <c r="I293" s="66" t="n"/>
      <c r="J293" s="144" t="n"/>
      <c r="K293" s="16" t="n"/>
      <c r="L293" s="17" t="n"/>
      <c r="M293" s="143">
        <f>DADOS_INVOC!$QO$15</f>
        <v/>
      </c>
      <c r="N293" s="137" t="n"/>
      <c r="O293" s="66" t="n"/>
      <c r="P293" s="144" t="n"/>
      <c r="Q293" s="16" t="n"/>
      <c r="R293" s="17" t="n"/>
      <c r="S293" s="143">
        <f>DADOS_INVOC!$QO$16</f>
        <v/>
      </c>
      <c r="T293" s="137" t="n"/>
      <c r="U293" s="66" t="n"/>
      <c r="V293" s="144" t="n"/>
      <c r="W293" s="16" t="n"/>
      <c r="X293" s="17" t="n"/>
      <c r="Y293" s="143">
        <f>DADOS_INVOC!$QO$17</f>
        <v/>
      </c>
      <c r="Z293" s="137" t="n"/>
      <c r="AB293" s="66" t="n"/>
      <c r="AC293" s="144" t="n"/>
      <c r="AD293" s="16" t="n"/>
      <c r="AE293" s="17" t="n"/>
      <c r="AF293" s="143">
        <f>DADOS_INVOC!$QO$93</f>
        <v/>
      </c>
      <c r="AG293" s="137" t="n"/>
      <c r="AH293" s="66" t="n"/>
      <c r="AI293" s="144" t="n"/>
      <c r="AJ293" s="16" t="n"/>
      <c r="AK293" s="17" t="n"/>
      <c r="AL293" s="143">
        <f>DADOS_INVOC!$QO$94</f>
        <v/>
      </c>
      <c r="AM293" s="137" t="n"/>
      <c r="AN293" s="66" t="n"/>
      <c r="AO293" s="144" t="n"/>
      <c r="AP293" s="16" t="n"/>
      <c r="AQ293" s="17" t="n"/>
      <c r="AR293" s="143">
        <f>DADOS_INVOC!$QO$95</f>
        <v/>
      </c>
      <c r="AS293" s="137" t="n"/>
    </row>
    <row r="294" hidden="1" outlineLevel="2">
      <c r="A294" s="8" t="n"/>
      <c r="B294" s="14" t="n"/>
      <c r="C294" s="137" t="n"/>
      <c r="D294" s="137" t="n"/>
      <c r="E294" s="137" t="n"/>
      <c r="F294" s="137" t="n"/>
      <c r="G294" s="137" t="n"/>
      <c r="I294" s="128" t="n"/>
      <c r="J294" s="144" t="n"/>
      <c r="K294" s="16" t="n"/>
      <c r="L294" s="17" t="n"/>
      <c r="M294" s="143">
        <f>DADOS_INVOC!$QP$15</f>
        <v/>
      </c>
      <c r="N294" s="137" t="n"/>
      <c r="O294" s="128" t="n"/>
      <c r="P294" s="144" t="n"/>
      <c r="Q294" s="16" t="n"/>
      <c r="R294" s="17" t="n"/>
      <c r="S294" s="143">
        <f>DADOS_INVOC!$QP$16</f>
        <v/>
      </c>
      <c r="T294" s="137" t="n"/>
      <c r="U294" s="128" t="n"/>
      <c r="V294" s="144" t="n"/>
      <c r="W294" s="16" t="n"/>
      <c r="X294" s="17" t="n"/>
      <c r="Y294" s="143">
        <f>DADOS_INVOC!$QP$17</f>
        <v/>
      </c>
      <c r="Z294" s="137" t="n"/>
      <c r="AB294" s="128" t="n"/>
      <c r="AC294" s="144" t="n"/>
      <c r="AD294" s="16" t="n"/>
      <c r="AE294" s="17" t="n"/>
      <c r="AF294" s="143">
        <f>DADOS_INVOC!$QP$93</f>
        <v/>
      </c>
      <c r="AG294" s="137" t="n"/>
      <c r="AH294" s="128" t="n"/>
      <c r="AI294" s="144" t="n"/>
      <c r="AJ294" s="16" t="n"/>
      <c r="AK294" s="17" t="n"/>
      <c r="AL294" s="143">
        <f>DADOS_INVOC!$QP$94</f>
        <v/>
      </c>
      <c r="AM294" s="137" t="n"/>
      <c r="AN294" s="128" t="n"/>
      <c r="AO294" s="144" t="n"/>
      <c r="AP294" s="16" t="n"/>
      <c r="AQ294" s="17" t="n"/>
      <c r="AR294" s="143">
        <f>DADOS_INVOC!$QP$95</f>
        <v/>
      </c>
      <c r="AS294" s="137" t="n"/>
    </row>
    <row r="295" hidden="1" outlineLevel="2">
      <c r="A295" s="8" t="n"/>
      <c r="B295" s="14" t="n"/>
      <c r="C295" s="137" t="n"/>
      <c r="D295" s="137" t="n"/>
      <c r="E295" s="137" t="n"/>
      <c r="F295" s="137" t="n"/>
      <c r="G295" s="137" t="n"/>
      <c r="I295" s="56" t="inlineStr">
        <is>
          <t>RESTRIÇÕES</t>
        </is>
      </c>
      <c r="J295" s="144" t="n"/>
      <c r="K295" s="16" t="n"/>
      <c r="L295" s="17" t="n"/>
      <c r="M295" s="143">
        <f>DADOS_INVOC!$QQ$15</f>
        <v/>
      </c>
      <c r="N295" s="137" t="n"/>
      <c r="O295" s="56" t="inlineStr">
        <is>
          <t>RESTRIÇÕES</t>
        </is>
      </c>
      <c r="P295" s="144" t="n"/>
      <c r="Q295" s="16" t="n"/>
      <c r="R295" s="17" t="n"/>
      <c r="S295" s="143">
        <f>DADOS_INVOC!$QQ$16</f>
        <v/>
      </c>
      <c r="T295" s="137" t="n"/>
      <c r="U295" s="56" t="inlineStr">
        <is>
          <t>RESTRIÇÕES</t>
        </is>
      </c>
      <c r="V295" s="144" t="n"/>
      <c r="W295" s="16" t="n"/>
      <c r="X295" s="17" t="n"/>
      <c r="Y295" s="143">
        <f>DADOS_INVOC!$QQ$17</f>
        <v/>
      </c>
      <c r="Z295" s="137" t="n"/>
      <c r="AB295" s="56" t="inlineStr">
        <is>
          <t>RESTRIÇÕES</t>
        </is>
      </c>
      <c r="AC295" s="144" t="n"/>
      <c r="AD295" s="16" t="n"/>
      <c r="AE295" s="17" t="n"/>
      <c r="AF295" s="143">
        <f>DADOS_INVOC!$QQ$93</f>
        <v/>
      </c>
      <c r="AG295" s="137" t="n"/>
      <c r="AH295" s="56" t="inlineStr">
        <is>
          <t>RESTRIÇÕES</t>
        </is>
      </c>
      <c r="AI295" s="144" t="n"/>
      <c r="AJ295" s="16" t="n"/>
      <c r="AK295" s="17" t="n"/>
      <c r="AL295" s="143">
        <f>DADOS_INVOC!$QQ$94</f>
        <v/>
      </c>
      <c r="AM295" s="137" t="n"/>
      <c r="AN295" s="56" t="inlineStr">
        <is>
          <t>RESTRIÇÕES</t>
        </is>
      </c>
      <c r="AO295" s="144" t="n"/>
      <c r="AP295" s="16" t="n"/>
      <c r="AQ295" s="17" t="n"/>
      <c r="AR295" s="143">
        <f>DADOS_INVOC!$QQ$95</f>
        <v/>
      </c>
      <c r="AS295" s="137" t="n"/>
    </row>
    <row r="296" hidden="1" outlineLevel="2">
      <c r="A296" s="8" t="n"/>
      <c r="B296" s="14" t="n"/>
      <c r="C296" s="137" t="n"/>
      <c r="D296" s="137" t="n"/>
      <c r="E296" s="137" t="n"/>
      <c r="F296" s="137" t="n"/>
      <c r="G296" s="137" t="n"/>
      <c r="I296" s="128" t="n"/>
      <c r="J296" s="144" t="n"/>
      <c r="K296" s="16" t="n"/>
      <c r="L296" s="17" t="n"/>
      <c r="M296" s="143">
        <f>DADOS_INVOC!$QR$15</f>
        <v/>
      </c>
      <c r="N296" s="137" t="n"/>
      <c r="O296" s="128" t="n"/>
      <c r="P296" s="144" t="n"/>
      <c r="Q296" s="16" t="n"/>
      <c r="R296" s="17" t="n"/>
      <c r="S296" s="143">
        <f>DADOS_INVOC!$QR$16</f>
        <v/>
      </c>
      <c r="T296" s="137" t="n"/>
      <c r="U296" s="128" t="n"/>
      <c r="V296" s="144" t="n"/>
      <c r="W296" s="16" t="n"/>
      <c r="X296" s="17" t="n"/>
      <c r="Y296" s="143">
        <f>DADOS_INVOC!$QR$17</f>
        <v/>
      </c>
      <c r="Z296" s="137" t="n"/>
      <c r="AB296" s="128" t="n"/>
      <c r="AC296" s="144" t="n"/>
      <c r="AD296" s="16" t="n"/>
      <c r="AE296" s="17" t="n"/>
      <c r="AF296" s="143">
        <f>DADOS_INVOC!$QR$93</f>
        <v/>
      </c>
      <c r="AG296" s="137" t="n"/>
      <c r="AH296" s="128" t="n"/>
      <c r="AI296" s="144" t="n"/>
      <c r="AJ296" s="16" t="n"/>
      <c r="AK296" s="17" t="n"/>
      <c r="AL296" s="143">
        <f>DADOS_INVOC!$QR$94</f>
        <v/>
      </c>
      <c r="AM296" s="137" t="n"/>
      <c r="AN296" s="128" t="n"/>
      <c r="AO296" s="144" t="n"/>
      <c r="AP296" s="16" t="n"/>
      <c r="AQ296" s="17" t="n"/>
      <c r="AR296" s="143">
        <f>DADOS_INVOC!$QR$95</f>
        <v/>
      </c>
      <c r="AS296" s="137" t="n"/>
    </row>
    <row r="297" hidden="1" outlineLevel="2">
      <c r="A297" s="8" t="n"/>
      <c r="B297" s="14" t="n"/>
      <c r="C297" s="137" t="n"/>
      <c r="D297" s="137" t="n"/>
      <c r="E297" s="137" t="n"/>
      <c r="F297" s="137" t="n"/>
      <c r="G297" s="137" t="n"/>
      <c r="I297" s="56" t="inlineStr">
        <is>
          <t>CONTA</t>
        </is>
      </c>
      <c r="J297" s="145">
        <f>DADOS_INVOC!$QK$15</f>
        <v/>
      </c>
      <c r="K297" s="16" t="n"/>
      <c r="L297" s="16" t="n"/>
      <c r="M297" s="17" t="n"/>
      <c r="N297" s="137" t="n"/>
      <c r="O297" s="56" t="inlineStr">
        <is>
          <t>CONTA</t>
        </is>
      </c>
      <c r="P297" s="145">
        <f>DADOS_INVOC!$QK$16</f>
        <v/>
      </c>
      <c r="Q297" s="16" t="n"/>
      <c r="R297" s="16" t="n"/>
      <c r="S297" s="17" t="n"/>
      <c r="T297" s="137" t="n"/>
      <c r="U297" s="56" t="inlineStr">
        <is>
          <t>CONTA</t>
        </is>
      </c>
      <c r="V297" s="145">
        <f>DADOS_INVOC!$QK$17</f>
        <v/>
      </c>
      <c r="W297" s="16" t="n"/>
      <c r="X297" s="16" t="n"/>
      <c r="Y297" s="17" t="n"/>
      <c r="Z297" s="137" t="n"/>
      <c r="AB297" s="56" t="inlineStr">
        <is>
          <t>CONTA</t>
        </is>
      </c>
      <c r="AC297" s="145">
        <f>DADOS_INVOC!$QK$93</f>
        <v/>
      </c>
      <c r="AD297" s="16" t="n"/>
      <c r="AE297" s="16" t="n"/>
      <c r="AF297" s="17" t="n"/>
      <c r="AG297" s="137" t="n"/>
      <c r="AH297" s="56" t="inlineStr">
        <is>
          <t>CONTA</t>
        </is>
      </c>
      <c r="AI297" s="145">
        <f>DADOS_INVOC!$QK$94</f>
        <v/>
      </c>
      <c r="AJ297" s="16" t="n"/>
      <c r="AK297" s="16" t="n"/>
      <c r="AL297" s="17" t="n"/>
      <c r="AM297" s="137" t="n"/>
      <c r="AN297" s="56" t="inlineStr">
        <is>
          <t>CONTA</t>
        </is>
      </c>
      <c r="AO297" s="145">
        <f>DADOS_INVOC!$QK$95</f>
        <v/>
      </c>
      <c r="AP297" s="16" t="n"/>
      <c r="AQ297" s="16" t="n"/>
      <c r="AR297" s="17" t="n"/>
      <c r="AS297" s="137" t="n"/>
    </row>
    <row r="298" hidden="1" outlineLevel="2">
      <c r="A298" s="8" t="n"/>
      <c r="B298" s="14" t="n"/>
      <c r="C298" s="137" t="n"/>
      <c r="D298" s="137" t="n"/>
      <c r="E298" s="137" t="n"/>
      <c r="F298" s="137" t="n"/>
      <c r="G298" s="137" t="n"/>
      <c r="I298" s="56" t="inlineStr">
        <is>
          <t>AMPLIAR</t>
        </is>
      </c>
      <c r="J298" s="145">
        <f>DADOS_INVOC!$QL$15</f>
        <v/>
      </c>
      <c r="K298" s="19" t="n"/>
      <c r="L298" s="19" t="n"/>
      <c r="M298" s="20" t="n"/>
      <c r="N298" s="137" t="n"/>
      <c r="O298" s="56" t="inlineStr">
        <is>
          <t>AMPLIAR</t>
        </is>
      </c>
      <c r="P298" s="145">
        <f>DADOS_INVOC!$QL$16</f>
        <v/>
      </c>
      <c r="Q298" s="19" t="n"/>
      <c r="R298" s="19" t="n"/>
      <c r="S298" s="20" t="n"/>
      <c r="T298" s="137" t="n"/>
      <c r="U298" s="56" t="inlineStr">
        <is>
          <t>AMPLIAR</t>
        </is>
      </c>
      <c r="V298" s="145">
        <f>DADOS_INVOC!$QL$17</f>
        <v/>
      </c>
      <c r="W298" s="19" t="n"/>
      <c r="X298" s="19" t="n"/>
      <c r="Y298" s="20" t="n"/>
      <c r="Z298" s="137" t="n"/>
      <c r="AB298" s="56" t="inlineStr">
        <is>
          <t>AMPLIAR</t>
        </is>
      </c>
      <c r="AC298" s="145">
        <f>DADOS_INVOC!$QL$93</f>
        <v/>
      </c>
      <c r="AD298" s="19" t="n"/>
      <c r="AE298" s="19" t="n"/>
      <c r="AF298" s="20" t="n"/>
      <c r="AG298" s="137" t="n"/>
      <c r="AH298" s="56" t="inlineStr">
        <is>
          <t>AMPLIAR</t>
        </is>
      </c>
      <c r="AI298" s="145">
        <f>DADOS_INVOC!$QL$94</f>
        <v/>
      </c>
      <c r="AJ298" s="19" t="n"/>
      <c r="AK298" s="19" t="n"/>
      <c r="AL298" s="20" t="n"/>
      <c r="AM298" s="137" t="n"/>
      <c r="AN298" s="56" t="inlineStr">
        <is>
          <t>AMPLIAR</t>
        </is>
      </c>
      <c r="AO298" s="145">
        <f>DADOS_INVOC!$QL$95</f>
        <v/>
      </c>
      <c r="AP298" s="19" t="n"/>
      <c r="AQ298" s="19" t="n"/>
      <c r="AR298" s="20" t="n"/>
      <c r="AS298" s="137" t="n"/>
    </row>
    <row r="299" hidden="1" outlineLevel="2">
      <c r="A299" s="8" t="n"/>
      <c r="B299" s="14" t="n"/>
      <c r="C299" s="137" t="n"/>
      <c r="D299" s="137" t="n"/>
      <c r="E299" s="137" t="n"/>
      <c r="F299" s="137" t="n"/>
      <c r="G299" s="137" t="n"/>
      <c r="I299" s="128" t="n"/>
      <c r="J299" s="23" t="n"/>
      <c r="K299" s="24" t="n"/>
      <c r="L299" s="24" t="n"/>
      <c r="M299" s="25" t="n"/>
      <c r="N299" s="137" t="n"/>
      <c r="O299" s="128" t="n"/>
      <c r="P299" s="23" t="n"/>
      <c r="Q299" s="24" t="n"/>
      <c r="R299" s="24" t="n"/>
      <c r="S299" s="25" t="n"/>
      <c r="T299" s="137" t="n"/>
      <c r="U299" s="128" t="n"/>
      <c r="V299" s="23" t="n"/>
      <c r="W299" s="24" t="n"/>
      <c r="X299" s="24" t="n"/>
      <c r="Y299" s="25" t="n"/>
      <c r="Z299" s="137" t="n"/>
      <c r="AB299" s="128" t="n"/>
      <c r="AC299" s="23" t="n"/>
      <c r="AD299" s="24" t="n"/>
      <c r="AE299" s="24" t="n"/>
      <c r="AF299" s="25" t="n"/>
      <c r="AG299" s="137" t="n"/>
      <c r="AH299" s="128" t="n"/>
      <c r="AI299" s="23" t="n"/>
      <c r="AJ299" s="24" t="n"/>
      <c r="AK299" s="24" t="n"/>
      <c r="AL299" s="25" t="n"/>
      <c r="AM299" s="137" t="n"/>
      <c r="AN299" s="128" t="n"/>
      <c r="AO299" s="23" t="n"/>
      <c r="AP299" s="24" t="n"/>
      <c r="AQ299" s="24" t="n"/>
      <c r="AR299" s="25" t="n"/>
      <c r="AS299" s="137" t="n"/>
    </row>
    <row r="300" hidden="1" outlineLevel="2">
      <c r="A300" s="8" t="n"/>
      <c r="B300" s="14" t="n"/>
      <c r="C300" s="137" t="n"/>
      <c r="D300" s="137" t="n"/>
      <c r="E300" s="137" t="n"/>
      <c r="F300" s="137" t="n"/>
      <c r="G300" s="137" t="n"/>
      <c r="I300" s="145">
        <f>DADOS_INVOC!$PY$15</f>
        <v/>
      </c>
      <c r="J300" s="19" t="n"/>
      <c r="K300" s="19" t="n"/>
      <c r="L300" s="19" t="n"/>
      <c r="M300" s="20" t="n"/>
      <c r="N300" s="137" t="n"/>
      <c r="O300" s="145">
        <f>DADOS_INVOC!$PY$16</f>
        <v/>
      </c>
      <c r="P300" s="19" t="n"/>
      <c r="Q300" s="19" t="n"/>
      <c r="R300" s="19" t="n"/>
      <c r="S300" s="20" t="n"/>
      <c r="T300" s="137" t="n"/>
      <c r="U300" s="145">
        <f>DADOS_INVOC!$PY$17</f>
        <v/>
      </c>
      <c r="V300" s="19" t="n"/>
      <c r="W300" s="19" t="n"/>
      <c r="X300" s="19" t="n"/>
      <c r="Y300" s="20" t="n"/>
      <c r="Z300" s="137" t="n"/>
      <c r="AB300" s="145">
        <f>DADOS_INVOC!$PY$93</f>
        <v/>
      </c>
      <c r="AC300" s="19" t="n"/>
      <c r="AD300" s="19" t="n"/>
      <c r="AE300" s="19" t="n"/>
      <c r="AF300" s="20" t="n"/>
      <c r="AG300" s="137" t="n"/>
      <c r="AH300" s="145">
        <f>DADOS_INVOC!$PY$94</f>
        <v/>
      </c>
      <c r="AI300" s="19" t="n"/>
      <c r="AJ300" s="19" t="n"/>
      <c r="AK300" s="19" t="n"/>
      <c r="AL300" s="20" t="n"/>
      <c r="AM300" s="137" t="n"/>
      <c r="AN300" s="145">
        <f>DADOS_INVOC!$PY$95</f>
        <v/>
      </c>
      <c r="AO300" s="19" t="n"/>
      <c r="AP300" s="19" t="n"/>
      <c r="AQ300" s="19" t="n"/>
      <c r="AR300" s="20" t="n"/>
      <c r="AS300" s="137" t="n"/>
    </row>
    <row r="301" hidden="1" outlineLevel="2">
      <c r="A301" s="8" t="n"/>
      <c r="B301" s="14" t="n"/>
      <c r="C301" s="137" t="n"/>
      <c r="D301" s="137" t="n"/>
      <c r="E301" s="137" t="n"/>
      <c r="F301" s="137" t="n"/>
      <c r="G301" s="137" t="n"/>
      <c r="I301" s="23" t="n"/>
      <c r="J301" s="24" t="n"/>
      <c r="K301" s="24" t="n"/>
      <c r="L301" s="24" t="n"/>
      <c r="M301" s="25" t="n"/>
      <c r="N301" s="137" t="n"/>
      <c r="O301" s="23" t="n"/>
      <c r="P301" s="24" t="n"/>
      <c r="Q301" s="24" t="n"/>
      <c r="R301" s="24" t="n"/>
      <c r="S301" s="25" t="n"/>
      <c r="T301" s="137" t="n"/>
      <c r="U301" s="23" t="n"/>
      <c r="V301" s="24" t="n"/>
      <c r="W301" s="24" t="n"/>
      <c r="X301" s="24" t="n"/>
      <c r="Y301" s="25" t="n"/>
      <c r="Z301" s="137" t="n"/>
      <c r="AB301" s="23" t="n"/>
      <c r="AC301" s="24" t="n"/>
      <c r="AD301" s="24" t="n"/>
      <c r="AE301" s="24" t="n"/>
      <c r="AF301" s="25" t="n"/>
      <c r="AG301" s="137" t="n"/>
      <c r="AH301" s="23" t="n"/>
      <c r="AI301" s="24" t="n"/>
      <c r="AJ301" s="24" t="n"/>
      <c r="AK301" s="24" t="n"/>
      <c r="AL301" s="25" t="n"/>
      <c r="AM301" s="137" t="n"/>
      <c r="AN301" s="23" t="n"/>
      <c r="AO301" s="24" t="n"/>
      <c r="AP301" s="24" t="n"/>
      <c r="AQ301" s="24" t="n"/>
      <c r="AR301" s="25" t="n"/>
      <c r="AS301" s="137" t="n"/>
    </row>
    <row r="302" hidden="1" outlineLevel="1">
      <c r="A302" s="8" t="n"/>
      <c r="B302" s="14" t="n"/>
      <c r="C302" s="137" t="n"/>
      <c r="D302" s="137" t="n"/>
      <c r="E302" s="137" t="n"/>
      <c r="F302" s="137" t="n"/>
      <c r="G302" s="137" t="n"/>
      <c r="I302" s="137" t="n"/>
      <c r="J302" s="137" t="n"/>
      <c r="K302" s="137" t="n"/>
      <c r="L302" s="137" t="n"/>
      <c r="M302" s="137" t="n"/>
      <c r="N302" s="137" t="n"/>
      <c r="O302" s="137" t="n"/>
      <c r="P302" s="137" t="n"/>
      <c r="Q302" s="137" t="n"/>
      <c r="R302" s="137" t="n"/>
      <c r="S302" s="137" t="n"/>
      <c r="T302" s="137" t="n"/>
      <c r="U302" s="137" t="n"/>
      <c r="V302" s="137" t="n"/>
      <c r="W302" s="137" t="n"/>
      <c r="X302" s="137" t="n"/>
      <c r="Y302" s="137" t="n"/>
      <c r="Z302" s="137" t="n"/>
      <c r="AB302" s="137" t="n"/>
      <c r="AC302" s="137" t="n"/>
      <c r="AD302" s="137" t="n"/>
      <c r="AE302" s="137" t="n"/>
      <c r="AF302" s="137" t="n"/>
      <c r="AG302" s="137" t="n"/>
      <c r="AH302" s="137" t="n"/>
      <c r="AI302" s="137" t="n"/>
      <c r="AJ302" s="137" t="n"/>
      <c r="AK302" s="137" t="n"/>
      <c r="AL302" s="137" t="n"/>
      <c r="AM302" s="137" t="n"/>
      <c r="AN302" s="137" t="n"/>
      <c r="AO302" s="137" t="n"/>
      <c r="AP302" s="137" t="n"/>
      <c r="AQ302" s="137" t="n"/>
      <c r="AR302" s="137" t="n"/>
      <c r="AS302" s="137" t="n"/>
    </row>
    <row r="303" hidden="1" outlineLevel="1">
      <c r="A303" s="8" t="n"/>
      <c r="B303" s="14" t="n"/>
      <c r="C303" s="137" t="n"/>
      <c r="D303" s="137" t="n"/>
      <c r="E303" s="137" t="n"/>
      <c r="F303" s="137" t="n"/>
      <c r="G303" s="137" t="n"/>
      <c r="I303" s="56">
        <f>DADOS_INVOC!$IF$3</f>
        <v/>
      </c>
      <c r="J303" s="16" t="n"/>
      <c r="K303" s="16" t="n"/>
      <c r="L303" s="16" t="n"/>
      <c r="M303" s="16" t="n"/>
      <c r="N303" s="16" t="n"/>
      <c r="O303" s="16" t="n"/>
      <c r="P303" s="16" t="n"/>
      <c r="Q303" s="16" t="n"/>
      <c r="R303" s="16" t="n"/>
      <c r="S303" s="16" t="n"/>
      <c r="T303" s="16" t="n"/>
      <c r="U303" s="16" t="n"/>
      <c r="V303" s="16" t="n"/>
      <c r="W303" s="16" t="n"/>
      <c r="X303" s="16" t="n"/>
      <c r="Y303" s="17" t="n"/>
      <c r="Z303" s="137" t="n"/>
      <c r="AB303" s="56">
        <f>DADOS_INVOC!$IF$9</f>
        <v/>
      </c>
      <c r="AC303" s="16" t="n"/>
      <c r="AD303" s="16" t="n"/>
      <c r="AE303" s="16" t="n"/>
      <c r="AF303" s="16" t="n"/>
      <c r="AG303" s="16" t="n"/>
      <c r="AH303" s="16" t="n"/>
      <c r="AI303" s="16" t="n"/>
      <c r="AJ303" s="16" t="n"/>
      <c r="AK303" s="16" t="n"/>
      <c r="AL303" s="16" t="n"/>
      <c r="AM303" s="16" t="n"/>
      <c r="AN303" s="16" t="n"/>
      <c r="AO303" s="16" t="n"/>
      <c r="AP303" s="16" t="n"/>
      <c r="AQ303" s="16" t="n"/>
      <c r="AR303" s="17" t="n"/>
      <c r="AS303" s="137" t="n"/>
    </row>
    <row r="304" hidden="1" outlineLevel="1">
      <c r="A304" s="8" t="n"/>
      <c r="B304" s="14" t="n"/>
      <c r="C304" s="137" t="n"/>
      <c r="D304" s="137" t="n"/>
      <c r="E304" s="137" t="n"/>
      <c r="F304" s="137" t="n"/>
      <c r="G304" s="137" t="n"/>
      <c r="I304" s="56" t="inlineStr">
        <is>
          <t>NV 1 · CE 1</t>
        </is>
      </c>
      <c r="J304" s="144" t="n"/>
      <c r="K304" s="16" t="n"/>
      <c r="L304" s="17" t="n"/>
      <c r="M304" s="150">
        <f>DADOS_INVOC!$IO$3</f>
        <v/>
      </c>
      <c r="N304" s="16" t="n"/>
      <c r="O304" s="16" t="n"/>
      <c r="P304" s="16" t="n"/>
      <c r="Q304" s="16" t="n"/>
      <c r="R304" s="16" t="n"/>
      <c r="S304" s="16" t="n"/>
      <c r="T304" s="16" t="n"/>
      <c r="U304" s="16" t="n"/>
      <c r="V304" s="16" t="n"/>
      <c r="W304" s="16" t="n"/>
      <c r="X304" s="16" t="n"/>
      <c r="Y304" s="17" t="n"/>
      <c r="Z304" s="137" t="n"/>
      <c r="AB304" s="56" t="inlineStr">
        <is>
          <t>NV 1 · CE 1</t>
        </is>
      </c>
      <c r="AC304" s="144" t="n"/>
      <c r="AD304" s="16" t="n"/>
      <c r="AE304" s="17" t="n"/>
      <c r="AF304" s="150">
        <f>DADOS_INVOC!$IO$9</f>
        <v/>
      </c>
      <c r="AG304" s="16" t="n"/>
      <c r="AH304" s="16" t="n"/>
      <c r="AI304" s="16" t="n"/>
      <c r="AJ304" s="16" t="n"/>
      <c r="AK304" s="16" t="n"/>
      <c r="AL304" s="16" t="n"/>
      <c r="AM304" s="16" t="n"/>
      <c r="AN304" s="16" t="n"/>
      <c r="AO304" s="16" t="n"/>
      <c r="AP304" s="16" t="n"/>
      <c r="AQ304" s="16" t="n"/>
      <c r="AR304" s="17" t="n"/>
      <c r="AS304" s="137" t="n"/>
    </row>
    <row r="305" hidden="1" outlineLevel="1">
      <c r="A305" s="8" t="n"/>
      <c r="B305" s="14" t="n"/>
      <c r="C305" s="137" t="n"/>
      <c r="D305" s="137" t="n"/>
      <c r="E305" s="137" t="n"/>
      <c r="F305" s="137" t="n"/>
      <c r="G305" s="137" t="n"/>
      <c r="I305" s="56" t="inlineStr">
        <is>
          <t>NV 6 · CE 1</t>
        </is>
      </c>
      <c r="J305" s="144" t="n"/>
      <c r="K305" s="16" t="n"/>
      <c r="L305" s="17" t="n"/>
      <c r="M305" s="150">
        <f>DADOS_INVOC!$IP$3</f>
        <v/>
      </c>
      <c r="N305" s="16" t="n"/>
      <c r="O305" s="16" t="n"/>
      <c r="P305" s="16" t="n"/>
      <c r="Q305" s="16" t="n"/>
      <c r="R305" s="16" t="n"/>
      <c r="S305" s="16" t="n"/>
      <c r="T305" s="16" t="n"/>
      <c r="U305" s="16" t="n"/>
      <c r="V305" s="16" t="n"/>
      <c r="W305" s="16" t="n"/>
      <c r="X305" s="16" t="n"/>
      <c r="Y305" s="17" t="n"/>
      <c r="Z305" s="137" t="n"/>
      <c r="AB305" s="56" t="inlineStr">
        <is>
          <t>NV 6 · CE 1</t>
        </is>
      </c>
      <c r="AC305" s="144" t="n"/>
      <c r="AD305" s="16" t="n"/>
      <c r="AE305" s="17" t="n"/>
      <c r="AF305" s="150">
        <f>DADOS_INVOC!$IP$9</f>
        <v/>
      </c>
      <c r="AG305" s="16" t="n"/>
      <c r="AH305" s="16" t="n"/>
      <c r="AI305" s="16" t="n"/>
      <c r="AJ305" s="16" t="n"/>
      <c r="AK305" s="16" t="n"/>
      <c r="AL305" s="16" t="n"/>
      <c r="AM305" s="16" t="n"/>
      <c r="AN305" s="16" t="n"/>
      <c r="AO305" s="16" t="n"/>
      <c r="AP305" s="16" t="n"/>
      <c r="AQ305" s="16" t="n"/>
      <c r="AR305" s="17" t="n"/>
      <c r="AS305" s="137" t="n"/>
    </row>
    <row r="306" hidden="1" outlineLevel="1">
      <c r="A306" s="8" t="n"/>
      <c r="B306" s="14" t="n"/>
      <c r="C306" s="137" t="n"/>
      <c r="D306" s="137" t="n"/>
      <c r="E306" s="137" t="n"/>
      <c r="F306" s="137" t="n"/>
      <c r="G306" s="137" t="n"/>
      <c r="I306" s="56" t="inlineStr">
        <is>
          <t>NV 10 · CE 2</t>
        </is>
      </c>
      <c r="J306" s="144" t="n"/>
      <c r="K306" s="16" t="n"/>
      <c r="L306" s="17" t="n"/>
      <c r="M306" s="150">
        <f>DADOS_INVOC!$IQ$3</f>
        <v/>
      </c>
      <c r="N306" s="16" t="n"/>
      <c r="O306" s="16" t="n"/>
      <c r="P306" s="16" t="n"/>
      <c r="Q306" s="16" t="n"/>
      <c r="R306" s="16" t="n"/>
      <c r="S306" s="16" t="n"/>
      <c r="T306" s="16" t="n"/>
      <c r="U306" s="16" t="n"/>
      <c r="V306" s="16" t="n"/>
      <c r="W306" s="16" t="n"/>
      <c r="X306" s="16" t="n"/>
      <c r="Y306" s="17" t="n"/>
      <c r="Z306" s="137" t="n"/>
      <c r="AB306" s="56" t="inlineStr">
        <is>
          <t>NV 10 · CE 2</t>
        </is>
      </c>
      <c r="AC306" s="144" t="n"/>
      <c r="AD306" s="16" t="n"/>
      <c r="AE306" s="17" t="n"/>
      <c r="AF306" s="150">
        <f>DADOS_INVOC!$IQ$9</f>
        <v/>
      </c>
      <c r="AG306" s="16" t="n"/>
      <c r="AH306" s="16" t="n"/>
      <c r="AI306" s="16" t="n"/>
      <c r="AJ306" s="16" t="n"/>
      <c r="AK306" s="16" t="n"/>
      <c r="AL306" s="16" t="n"/>
      <c r="AM306" s="16" t="n"/>
      <c r="AN306" s="16" t="n"/>
      <c r="AO306" s="16" t="n"/>
      <c r="AP306" s="16" t="n"/>
      <c r="AQ306" s="16" t="n"/>
      <c r="AR306" s="17" t="n"/>
      <c r="AS306" s="137" t="n"/>
    </row>
    <row r="307" hidden="1" outlineLevel="1">
      <c r="A307" s="8" t="n"/>
      <c r="B307" s="14" t="n"/>
      <c r="C307" s="137" t="n"/>
      <c r="D307" s="137" t="n"/>
      <c r="E307" s="137" t="n"/>
      <c r="F307" s="137" t="n"/>
      <c r="G307" s="137" t="n"/>
      <c r="I307" s="56" t="inlineStr">
        <is>
          <t>NV 14 · CE 3</t>
        </is>
      </c>
      <c r="J307" s="144" t="n"/>
      <c r="K307" s="16" t="n"/>
      <c r="L307" s="17" t="n"/>
      <c r="M307" s="150">
        <f>DADOS_INVOC!$IR$3</f>
        <v/>
      </c>
      <c r="N307" s="16" t="n"/>
      <c r="O307" s="16" t="n"/>
      <c r="P307" s="16" t="n"/>
      <c r="Q307" s="16" t="n"/>
      <c r="R307" s="16" t="n"/>
      <c r="S307" s="16" t="n"/>
      <c r="T307" s="16" t="n"/>
      <c r="U307" s="16" t="n"/>
      <c r="V307" s="16" t="n"/>
      <c r="W307" s="16" t="n"/>
      <c r="X307" s="16" t="n"/>
      <c r="Y307" s="17" t="n"/>
      <c r="Z307" s="137" t="n"/>
      <c r="AB307" s="56" t="inlineStr">
        <is>
          <t>NV 14 · CE 3</t>
        </is>
      </c>
      <c r="AC307" s="144" t="n"/>
      <c r="AD307" s="16" t="n"/>
      <c r="AE307" s="17" t="n"/>
      <c r="AF307" s="150">
        <f>DADOS_INVOC!$IR$9</f>
        <v/>
      </c>
      <c r="AG307" s="16" t="n"/>
      <c r="AH307" s="16" t="n"/>
      <c r="AI307" s="16" t="n"/>
      <c r="AJ307" s="16" t="n"/>
      <c r="AK307" s="16" t="n"/>
      <c r="AL307" s="16" t="n"/>
      <c r="AM307" s="16" t="n"/>
      <c r="AN307" s="16" t="n"/>
      <c r="AO307" s="16" t="n"/>
      <c r="AP307" s="16" t="n"/>
      <c r="AQ307" s="16" t="n"/>
      <c r="AR307" s="17" t="n"/>
      <c r="AS307" s="137" t="n"/>
    </row>
    <row r="308" hidden="1" outlineLevel="1">
      <c r="A308" s="8" t="n"/>
      <c r="B308" s="14" t="n"/>
      <c r="C308" s="137" t="n"/>
      <c r="D308" s="137" t="n"/>
      <c r="E308" s="137" t="n"/>
      <c r="F308" s="137" t="n"/>
      <c r="G308" s="137" t="n"/>
      <c r="I308" s="56" t="inlineStr">
        <is>
          <t>NV 18 · CE 3</t>
        </is>
      </c>
      <c r="J308" s="144" t="n"/>
      <c r="K308" s="16" t="n"/>
      <c r="L308" s="17" t="n"/>
      <c r="M308" s="150">
        <f>DADOS_INVOC!$IS$3</f>
        <v/>
      </c>
      <c r="N308" s="16" t="n"/>
      <c r="O308" s="16" t="n"/>
      <c r="P308" s="16" t="n"/>
      <c r="Q308" s="16" t="n"/>
      <c r="R308" s="16" t="n"/>
      <c r="S308" s="16" t="n"/>
      <c r="T308" s="16" t="n"/>
      <c r="U308" s="16" t="n"/>
      <c r="V308" s="16" t="n"/>
      <c r="W308" s="16" t="n"/>
      <c r="X308" s="16" t="n"/>
      <c r="Y308" s="17" t="n"/>
      <c r="Z308" s="137" t="n"/>
      <c r="AB308" s="56" t="inlineStr">
        <is>
          <t>NV 18 · CE 3</t>
        </is>
      </c>
      <c r="AC308" s="144" t="n"/>
      <c r="AD308" s="16" t="n"/>
      <c r="AE308" s="17" t="n"/>
      <c r="AF308" s="150">
        <f>DADOS_INVOC!$IS$9</f>
        <v/>
      </c>
      <c r="AG308" s="16" t="n"/>
      <c r="AH308" s="16" t="n"/>
      <c r="AI308" s="16" t="n"/>
      <c r="AJ308" s="16" t="n"/>
      <c r="AK308" s="16" t="n"/>
      <c r="AL308" s="16" t="n"/>
      <c r="AM308" s="16" t="n"/>
      <c r="AN308" s="16" t="n"/>
      <c r="AO308" s="16" t="n"/>
      <c r="AP308" s="16" t="n"/>
      <c r="AQ308" s="16" t="n"/>
      <c r="AR308" s="17" t="n"/>
      <c r="AS308" s="137" t="n"/>
    </row>
    <row r="309" hidden="1" outlineLevel="1">
      <c r="A309" s="8" t="n"/>
      <c r="B309" s="14" t="n"/>
      <c r="C309" s="137" t="n"/>
      <c r="D309" s="137" t="n"/>
      <c r="E309" s="137" t="n"/>
      <c r="F309" s="137" t="n"/>
      <c r="G309" s="137" t="n"/>
      <c r="I309" s="56" t="inlineStr">
        <is>
          <t>NV 22 · CE 3</t>
        </is>
      </c>
      <c r="J309" s="144" t="n"/>
      <c r="K309" s="16" t="n"/>
      <c r="L309" s="17" t="n"/>
      <c r="M309" s="150">
        <f>DADOS_INVOC!$IT$3</f>
        <v/>
      </c>
      <c r="N309" s="16" t="n"/>
      <c r="O309" s="16" t="n"/>
      <c r="P309" s="16" t="n"/>
      <c r="Q309" s="16" t="n"/>
      <c r="R309" s="16" t="n"/>
      <c r="S309" s="16" t="n"/>
      <c r="T309" s="16" t="n"/>
      <c r="U309" s="16" t="n"/>
      <c r="V309" s="16" t="n"/>
      <c r="W309" s="16" t="n"/>
      <c r="X309" s="16" t="n"/>
      <c r="Y309" s="17" t="n"/>
      <c r="Z309" s="137" t="n"/>
      <c r="AB309" s="56" t="inlineStr">
        <is>
          <t>NV 22 · CE 3</t>
        </is>
      </c>
      <c r="AC309" s="144" t="n"/>
      <c r="AD309" s="16" t="n"/>
      <c r="AE309" s="17" t="n"/>
      <c r="AF309" s="150">
        <f>DADOS_INVOC!$IT$9</f>
        <v/>
      </c>
      <c r="AG309" s="16" t="n"/>
      <c r="AH309" s="16" t="n"/>
      <c r="AI309" s="16" t="n"/>
      <c r="AJ309" s="16" t="n"/>
      <c r="AK309" s="16" t="n"/>
      <c r="AL309" s="16" t="n"/>
      <c r="AM309" s="16" t="n"/>
      <c r="AN309" s="16" t="n"/>
      <c r="AO309" s="16" t="n"/>
      <c r="AP309" s="16" t="n"/>
      <c r="AQ309" s="16" t="n"/>
      <c r="AR309" s="17" t="n"/>
      <c r="AS309" s="137" t="n"/>
    </row>
    <row r="310" hidden="1" outlineLevel="1">
      <c r="A310" s="8" t="n"/>
      <c r="B310" s="14" t="n"/>
      <c r="C310" s="137" t="n"/>
      <c r="D310" s="137" t="n"/>
      <c r="E310" s="137" t="n"/>
      <c r="F310" s="137" t="n"/>
      <c r="G310" s="137" t="n"/>
      <c r="I310" s="56" t="inlineStr">
        <is>
          <t>NV 26 · CE 3</t>
        </is>
      </c>
      <c r="J310" s="144" t="n"/>
      <c r="K310" s="16" t="n"/>
      <c r="L310" s="17" t="n"/>
      <c r="M310" s="150">
        <f>DADOS_INVOC!$IU$3</f>
        <v/>
      </c>
      <c r="N310" s="16" t="n"/>
      <c r="O310" s="16" t="n"/>
      <c r="P310" s="16" t="n"/>
      <c r="Q310" s="16" t="n"/>
      <c r="R310" s="16" t="n"/>
      <c r="S310" s="16" t="n"/>
      <c r="T310" s="16" t="n"/>
      <c r="U310" s="16" t="n"/>
      <c r="V310" s="16" t="n"/>
      <c r="W310" s="16" t="n"/>
      <c r="X310" s="16" t="n"/>
      <c r="Y310" s="17" t="n"/>
      <c r="Z310" s="137" t="n"/>
      <c r="AB310" s="56" t="inlineStr">
        <is>
          <t>NV 26 · CE 3</t>
        </is>
      </c>
      <c r="AC310" s="144" t="n"/>
      <c r="AD310" s="16" t="n"/>
      <c r="AE310" s="17" t="n"/>
      <c r="AF310" s="150">
        <f>DADOS_INVOC!$IU$9</f>
        <v/>
      </c>
      <c r="AG310" s="16" t="n"/>
      <c r="AH310" s="16" t="n"/>
      <c r="AI310" s="16" t="n"/>
      <c r="AJ310" s="16" t="n"/>
      <c r="AK310" s="16" t="n"/>
      <c r="AL310" s="16" t="n"/>
      <c r="AM310" s="16" t="n"/>
      <c r="AN310" s="16" t="n"/>
      <c r="AO310" s="16" t="n"/>
      <c r="AP310" s="16" t="n"/>
      <c r="AQ310" s="16" t="n"/>
      <c r="AR310" s="17" t="n"/>
      <c r="AS310" s="137" t="n"/>
    </row>
    <row r="311" hidden="1" outlineLevel="1">
      <c r="A311" s="8" t="n"/>
      <c r="B311" s="14" t="n"/>
      <c r="C311" s="137" t="n"/>
      <c r="D311" s="137" t="n"/>
      <c r="E311" s="137" t="n"/>
      <c r="F311" s="137" t="n"/>
      <c r="G311" s="137" t="n"/>
      <c r="I311" s="56" t="inlineStr">
        <is>
          <t>NV 30 · CE 3</t>
        </is>
      </c>
      <c r="J311" s="144" t="n"/>
      <c r="K311" s="16" t="n"/>
      <c r="L311" s="17" t="n"/>
      <c r="M311" s="150">
        <f>DADOS_INVOC!$IV$3</f>
        <v/>
      </c>
      <c r="N311" s="16" t="n"/>
      <c r="O311" s="16" t="n"/>
      <c r="P311" s="16" t="n"/>
      <c r="Q311" s="16" t="n"/>
      <c r="R311" s="16" t="n"/>
      <c r="S311" s="16" t="n"/>
      <c r="T311" s="16" t="n"/>
      <c r="U311" s="16" t="n"/>
      <c r="V311" s="16" t="n"/>
      <c r="W311" s="16" t="n"/>
      <c r="X311" s="16" t="n"/>
      <c r="Y311" s="17" t="n"/>
      <c r="Z311" s="137" t="n"/>
      <c r="AB311" s="56" t="inlineStr">
        <is>
          <t>NV 30 · CE 3</t>
        </is>
      </c>
      <c r="AC311" s="144" t="n"/>
      <c r="AD311" s="16" t="n"/>
      <c r="AE311" s="17" t="n"/>
      <c r="AF311" s="150">
        <f>DADOS_INVOC!$IV$9</f>
        <v/>
      </c>
      <c r="AG311" s="16" t="n"/>
      <c r="AH311" s="16" t="n"/>
      <c r="AI311" s="16" t="n"/>
      <c r="AJ311" s="16" t="n"/>
      <c r="AK311" s="16" t="n"/>
      <c r="AL311" s="16" t="n"/>
      <c r="AM311" s="16" t="n"/>
      <c r="AN311" s="16" t="n"/>
      <c r="AO311" s="16" t="n"/>
      <c r="AP311" s="16" t="n"/>
      <c r="AQ311" s="16" t="n"/>
      <c r="AR311" s="17" t="n"/>
      <c r="AS311" s="137" t="n"/>
    </row>
    <row r="312" hidden="1" outlineLevel="1">
      <c r="A312" s="8" t="n"/>
      <c r="B312" s="14" t="n"/>
      <c r="C312" s="137" t="n"/>
      <c r="D312" s="137" t="n"/>
      <c r="E312" s="137" t="n"/>
      <c r="F312" s="137" t="n"/>
      <c r="G312" s="137" t="n"/>
      <c r="I312" s="137" t="n"/>
      <c r="J312" s="137" t="n"/>
      <c r="K312" s="137" t="n"/>
      <c r="L312" s="137" t="n"/>
      <c r="M312" s="137" t="n"/>
      <c r="N312" s="137" t="n"/>
      <c r="O312" s="137" t="n"/>
      <c r="P312" s="137" t="n"/>
      <c r="Q312" s="137" t="n"/>
      <c r="R312" s="137" t="n"/>
      <c r="S312" s="137" t="n"/>
      <c r="T312" s="137" t="n"/>
      <c r="U312" s="137" t="n"/>
      <c r="V312" s="137" t="n"/>
      <c r="W312" s="137" t="n"/>
      <c r="X312" s="137" t="n"/>
      <c r="Y312" s="137" t="n"/>
      <c r="Z312" s="137" t="n"/>
      <c r="AB312" s="137" t="n"/>
      <c r="AC312" s="137" t="n"/>
      <c r="AD312" s="137" t="n"/>
      <c r="AE312" s="137" t="n"/>
      <c r="AF312" s="137" t="n"/>
      <c r="AG312" s="137" t="n"/>
      <c r="AH312" s="137" t="n"/>
      <c r="AI312" s="137" t="n"/>
      <c r="AJ312" s="137" t="n"/>
      <c r="AK312" s="137" t="n"/>
      <c r="AL312" s="137" t="n"/>
      <c r="AM312" s="137" t="n"/>
      <c r="AN312" s="137" t="n"/>
      <c r="AO312" s="137" t="n"/>
      <c r="AP312" s="137" t="n"/>
      <c r="AQ312" s="137" t="n"/>
      <c r="AR312" s="137" t="n"/>
      <c r="AS312" s="137" t="n"/>
    </row>
    <row r="313" hidden="1" outlineLevel="1">
      <c r="A313" s="8" t="n"/>
      <c r="B313" s="14" t="n"/>
      <c r="C313" s="137" t="n"/>
      <c r="D313" s="137" t="n"/>
      <c r="E313" s="137" t="n"/>
      <c r="F313" s="137" t="n"/>
      <c r="G313" s="137" t="n"/>
      <c r="I313" s="146" t="inlineStr">
        <is>
          <t>MAIS HABILIDADES · a segunda básica no nível 11, e as especiais 3 a 8, do nível 8 ao 28</t>
        </is>
      </c>
      <c r="J313" s="16" t="n"/>
      <c r="K313" s="16" t="n"/>
      <c r="L313" s="16" t="n"/>
      <c r="M313" s="16" t="n"/>
      <c r="N313" s="16" t="n"/>
      <c r="O313" s="16" t="n"/>
      <c r="P313" s="16" t="n"/>
      <c r="Q313" s="16" t="n"/>
      <c r="R313" s="16" t="n"/>
      <c r="S313" s="16" t="n"/>
      <c r="T313" s="16" t="n"/>
      <c r="U313" s="16" t="n"/>
      <c r="V313" s="16" t="n"/>
      <c r="W313" s="16" t="n"/>
      <c r="X313" s="16" t="n"/>
      <c r="Y313" s="17" t="n"/>
      <c r="Z313" s="137" t="n"/>
      <c r="AB313" s="146" t="inlineStr">
        <is>
          <t>MAIS HABILIDADES · a segunda básica no nível 11, e as especiais 3 a 8, do nível 8 ao 28</t>
        </is>
      </c>
      <c r="AC313" s="16" t="n"/>
      <c r="AD313" s="16" t="n"/>
      <c r="AE313" s="16" t="n"/>
      <c r="AF313" s="16" t="n"/>
      <c r="AG313" s="16" t="n"/>
      <c r="AH313" s="16" t="n"/>
      <c r="AI313" s="16" t="n"/>
      <c r="AJ313" s="16" t="n"/>
      <c r="AK313" s="16" t="n"/>
      <c r="AL313" s="16" t="n"/>
      <c r="AM313" s="16" t="n"/>
      <c r="AN313" s="16" t="n"/>
      <c r="AO313" s="16" t="n"/>
      <c r="AP313" s="16" t="n"/>
      <c r="AQ313" s="16" t="n"/>
      <c r="AR313" s="17" t="n"/>
      <c r="AS313" s="137" t="n"/>
    </row>
    <row r="314" hidden="1" outlineLevel="2">
      <c r="A314" s="8" t="n"/>
      <c r="B314" s="14" t="n"/>
      <c r="C314" s="137" t="n"/>
      <c r="D314" s="137" t="n"/>
      <c r="E314" s="137" t="n"/>
      <c r="F314" s="137" t="n"/>
      <c r="G314" s="137" t="n"/>
      <c r="I314" s="137" t="n"/>
      <c r="J314" s="137" t="n"/>
      <c r="K314" s="137" t="n"/>
      <c r="L314" s="137" t="n"/>
      <c r="M314" s="137" t="n"/>
      <c r="N314" s="137" t="n"/>
      <c r="O314" s="137" t="n"/>
      <c r="P314" s="137" t="n"/>
      <c r="Q314" s="137" t="n"/>
      <c r="R314" s="137" t="n"/>
      <c r="S314" s="137" t="n"/>
      <c r="T314" s="137" t="n"/>
      <c r="U314" s="137" t="n"/>
      <c r="V314" s="137" t="n"/>
      <c r="W314" s="137" t="n"/>
      <c r="X314" s="137" t="n"/>
      <c r="Y314" s="137" t="n"/>
      <c r="Z314" s="137" t="n"/>
      <c r="AB314" s="137" t="n"/>
      <c r="AC314" s="137" t="n"/>
      <c r="AD314" s="137" t="n"/>
      <c r="AE314" s="137" t="n"/>
      <c r="AF314" s="137" t="n"/>
      <c r="AG314" s="137" t="n"/>
      <c r="AH314" s="137" t="n"/>
      <c r="AI314" s="137" t="n"/>
      <c r="AJ314" s="137" t="n"/>
      <c r="AK314" s="137" t="n"/>
      <c r="AL314" s="137" t="n"/>
      <c r="AM314" s="137" t="n"/>
      <c r="AN314" s="137" t="n"/>
      <c r="AO314" s="137" t="n"/>
      <c r="AP314" s="137" t="n"/>
      <c r="AQ314" s="137" t="n"/>
      <c r="AR314" s="137" t="n"/>
      <c r="AS314" s="137" t="n"/>
    </row>
    <row r="315" hidden="1" outlineLevel="2">
      <c r="A315" s="8" t="n"/>
      <c r="B315" s="14" t="n"/>
      <c r="C315" s="137" t="n"/>
      <c r="D315" s="137" t="n"/>
      <c r="E315" s="137" t="n"/>
      <c r="F315" s="137" t="n"/>
      <c r="G315" s="137" t="n"/>
      <c r="I315" s="56">
        <f>DADOS_INVOC!$PZ$18</f>
        <v/>
      </c>
      <c r="J315" s="16" t="n"/>
      <c r="K315" s="16" t="n"/>
      <c r="L315" s="16" t="n"/>
      <c r="M315" s="17" t="n"/>
      <c r="N315" s="137" t="n"/>
      <c r="O315" s="56">
        <f>DADOS_INVOC!$PZ$19</f>
        <v/>
      </c>
      <c r="P315" s="16" t="n"/>
      <c r="Q315" s="16" t="n"/>
      <c r="R315" s="16" t="n"/>
      <c r="S315" s="17" t="n"/>
      <c r="T315" s="137" t="n"/>
      <c r="U315" s="56">
        <f>DADOS_INVOC!$PZ$20</f>
        <v/>
      </c>
      <c r="V315" s="16" t="n"/>
      <c r="W315" s="16" t="n"/>
      <c r="X315" s="16" t="n"/>
      <c r="Y315" s="17" t="n"/>
      <c r="Z315" s="137" t="n"/>
      <c r="AB315" s="56">
        <f>DADOS_INVOC!$PZ$96</f>
        <v/>
      </c>
      <c r="AC315" s="16" t="n"/>
      <c r="AD315" s="16" t="n"/>
      <c r="AE315" s="16" t="n"/>
      <c r="AF315" s="17" t="n"/>
      <c r="AG315" s="137" t="n"/>
      <c r="AH315" s="56">
        <f>DADOS_INVOC!$PZ$97</f>
        <v/>
      </c>
      <c r="AI315" s="16" t="n"/>
      <c r="AJ315" s="16" t="n"/>
      <c r="AK315" s="16" t="n"/>
      <c r="AL315" s="17" t="n"/>
      <c r="AM315" s="137" t="n"/>
      <c r="AN315" s="56">
        <f>DADOS_INVOC!$PZ$98</f>
        <v/>
      </c>
      <c r="AO315" s="16" t="n"/>
      <c r="AP315" s="16" t="n"/>
      <c r="AQ315" s="16" t="n"/>
      <c r="AR315" s="17" t="n"/>
      <c r="AS315" s="137" t="n"/>
    </row>
    <row r="316" hidden="1" outlineLevel="2">
      <c r="A316" s="8" t="n"/>
      <c r="B316" s="14" t="n"/>
      <c r="C316" s="137" t="n"/>
      <c r="D316" s="137" t="n"/>
      <c r="E316" s="137" t="n"/>
      <c r="F316" s="137" t="n"/>
      <c r="G316" s="137" t="n"/>
      <c r="I316" s="141" t="n">
        <v>0</v>
      </c>
      <c r="J316" s="131" t="n"/>
      <c r="K316" s="16" t="n"/>
      <c r="L316" s="17" t="n"/>
      <c r="M316" s="142">
        <f>DADOS_INVOC!$PX$18</f>
        <v/>
      </c>
      <c r="N316" s="137" t="n"/>
      <c r="O316" s="141" t="n">
        <v>1</v>
      </c>
      <c r="P316" s="131" t="n"/>
      <c r="Q316" s="16" t="n"/>
      <c r="R316" s="17" t="n"/>
      <c r="S316" s="142">
        <f>DADOS_INVOC!$PX$19</f>
        <v/>
      </c>
      <c r="T316" s="137" t="n"/>
      <c r="U316" s="141" t="n">
        <v>1</v>
      </c>
      <c r="V316" s="131" t="n"/>
      <c r="W316" s="16" t="n"/>
      <c r="X316" s="17" t="n"/>
      <c r="Y316" s="142">
        <f>DADOS_INVOC!$PX$20</f>
        <v/>
      </c>
      <c r="Z316" s="137" t="n"/>
      <c r="AB316" s="141" t="n">
        <v>0</v>
      </c>
      <c r="AC316" s="131" t="n"/>
      <c r="AD316" s="16" t="n"/>
      <c r="AE316" s="17" t="n"/>
      <c r="AF316" s="142">
        <f>DADOS_INVOC!$PX$96</f>
        <v/>
      </c>
      <c r="AG316" s="137" t="n"/>
      <c r="AH316" s="141" t="n">
        <v>1</v>
      </c>
      <c r="AI316" s="131" t="n"/>
      <c r="AJ316" s="16" t="n"/>
      <c r="AK316" s="17" t="n"/>
      <c r="AL316" s="142">
        <f>DADOS_INVOC!$PX$97</f>
        <v/>
      </c>
      <c r="AM316" s="137" t="n"/>
      <c r="AN316" s="141" t="n">
        <v>1</v>
      </c>
      <c r="AO316" s="131" t="n"/>
      <c r="AP316" s="16" t="n"/>
      <c r="AQ316" s="17" t="n"/>
      <c r="AR316" s="142">
        <f>DADOS_INVOC!$PX$98</f>
        <v/>
      </c>
      <c r="AS316" s="137" t="n"/>
    </row>
    <row r="317" hidden="1" outlineLevel="3">
      <c r="A317" s="8" t="n"/>
      <c r="B317" s="14" t="n"/>
      <c r="C317" s="137" t="n"/>
      <c r="D317" s="137" t="n"/>
      <c r="E317" s="137" t="n"/>
      <c r="F317" s="137" t="n"/>
      <c r="G317" s="137" t="n"/>
      <c r="I317" s="56" t="inlineStr">
        <is>
          <t>COMO É</t>
        </is>
      </c>
      <c r="J317" s="16" t="n"/>
      <c r="K317" s="16" t="n"/>
      <c r="L317" s="16" t="n"/>
      <c r="M317" s="17" t="n"/>
      <c r="N317" s="137" t="n"/>
      <c r="O317" s="56" t="inlineStr">
        <is>
          <t>COMO É</t>
        </is>
      </c>
      <c r="P317" s="16" t="n"/>
      <c r="Q317" s="16" t="n"/>
      <c r="R317" s="16" t="n"/>
      <c r="S317" s="17" t="n"/>
      <c r="T317" s="137" t="n"/>
      <c r="U317" s="56" t="inlineStr">
        <is>
          <t>COMO É</t>
        </is>
      </c>
      <c r="V317" s="16" t="n"/>
      <c r="W317" s="16" t="n"/>
      <c r="X317" s="16" t="n"/>
      <c r="Y317" s="17" t="n"/>
      <c r="Z317" s="137" t="n"/>
      <c r="AB317" s="56" t="inlineStr">
        <is>
          <t>COMO É</t>
        </is>
      </c>
      <c r="AC317" s="16" t="n"/>
      <c r="AD317" s="16" t="n"/>
      <c r="AE317" s="16" t="n"/>
      <c r="AF317" s="17" t="n"/>
      <c r="AG317" s="137" t="n"/>
      <c r="AH317" s="56" t="inlineStr">
        <is>
          <t>COMO É</t>
        </is>
      </c>
      <c r="AI317" s="16" t="n"/>
      <c r="AJ317" s="16" t="n"/>
      <c r="AK317" s="16" t="n"/>
      <c r="AL317" s="17" t="n"/>
      <c r="AM317" s="137" t="n"/>
      <c r="AN317" s="56" t="inlineStr">
        <is>
          <t>COMO É</t>
        </is>
      </c>
      <c r="AO317" s="16" t="n"/>
      <c r="AP317" s="16" t="n"/>
      <c r="AQ317" s="16" t="n"/>
      <c r="AR317" s="17" t="n"/>
      <c r="AS317" s="137" t="n"/>
    </row>
    <row r="318" hidden="1" outlineLevel="3">
      <c r="A318" s="8" t="n"/>
      <c r="B318" s="14" t="n"/>
      <c r="C318" s="137" t="n"/>
      <c r="D318" s="137" t="n"/>
      <c r="E318" s="137" t="n"/>
      <c r="F318" s="137" t="n"/>
      <c r="G318" s="137" t="n"/>
      <c r="I318" s="61" t="n"/>
      <c r="J318" s="19" t="n"/>
      <c r="K318" s="19" t="n"/>
      <c r="L318" s="19" t="n"/>
      <c r="M318" s="20" t="n"/>
      <c r="N318" s="137" t="n"/>
      <c r="O318" s="61" t="n"/>
      <c r="P318" s="19" t="n"/>
      <c r="Q318" s="19" t="n"/>
      <c r="R318" s="19" t="n"/>
      <c r="S318" s="20" t="n"/>
      <c r="T318" s="137" t="n"/>
      <c r="U318" s="61" t="n"/>
      <c r="V318" s="19" t="n"/>
      <c r="W318" s="19" t="n"/>
      <c r="X318" s="19" t="n"/>
      <c r="Y318" s="20" t="n"/>
      <c r="Z318" s="137" t="n"/>
      <c r="AB318" s="61" t="n"/>
      <c r="AC318" s="19" t="n"/>
      <c r="AD318" s="19" t="n"/>
      <c r="AE318" s="19" t="n"/>
      <c r="AF318" s="20" t="n"/>
      <c r="AG318" s="137" t="n"/>
      <c r="AH318" s="61" t="n"/>
      <c r="AI318" s="19" t="n"/>
      <c r="AJ318" s="19" t="n"/>
      <c r="AK318" s="19" t="n"/>
      <c r="AL318" s="20" t="n"/>
      <c r="AM318" s="137" t="n"/>
      <c r="AN318" s="61" t="n"/>
      <c r="AO318" s="19" t="n"/>
      <c r="AP318" s="19" t="n"/>
      <c r="AQ318" s="19" t="n"/>
      <c r="AR318" s="20" t="n"/>
      <c r="AS318" s="137" t="n"/>
    </row>
    <row r="319" hidden="1" outlineLevel="3">
      <c r="A319" s="8" t="n"/>
      <c r="B319" s="14" t="n"/>
      <c r="C319" s="137" t="n"/>
      <c r="D319" s="137" t="n"/>
      <c r="E319" s="137" t="n"/>
      <c r="F319" s="137" t="n"/>
      <c r="G319" s="137" t="n"/>
      <c r="I319" s="21" t="n"/>
      <c r="M319" s="22" t="n"/>
      <c r="N319" s="137" t="n"/>
      <c r="O319" s="21" t="n"/>
      <c r="S319" s="22" t="n"/>
      <c r="T319" s="137" t="n"/>
      <c r="U319" s="21" t="n"/>
      <c r="Y319" s="22" t="n"/>
      <c r="Z319" s="137" t="n"/>
      <c r="AB319" s="21" t="n"/>
      <c r="AF319" s="22" t="n"/>
      <c r="AG319" s="137" t="n"/>
      <c r="AH319" s="21" t="n"/>
      <c r="AL319" s="22" t="n"/>
      <c r="AM319" s="137" t="n"/>
      <c r="AN319" s="21" t="n"/>
      <c r="AR319" s="22" t="n"/>
      <c r="AS319" s="137" t="n"/>
    </row>
    <row r="320" hidden="1" outlineLevel="3">
      <c r="A320" s="8" t="n"/>
      <c r="B320" s="14" t="n"/>
      <c r="C320" s="137" t="n"/>
      <c r="D320" s="137" t="n"/>
      <c r="E320" s="137" t="n"/>
      <c r="F320" s="137" t="n"/>
      <c r="G320" s="137" t="n"/>
      <c r="I320" s="23" t="n"/>
      <c r="J320" s="24" t="n"/>
      <c r="K320" s="24" t="n"/>
      <c r="L320" s="24" t="n"/>
      <c r="M320" s="25" t="n"/>
      <c r="N320" s="137" t="n"/>
      <c r="O320" s="23" t="n"/>
      <c r="P320" s="24" t="n"/>
      <c r="Q320" s="24" t="n"/>
      <c r="R320" s="24" t="n"/>
      <c r="S320" s="25" t="n"/>
      <c r="T320" s="137" t="n"/>
      <c r="U320" s="23" t="n"/>
      <c r="V320" s="24" t="n"/>
      <c r="W320" s="24" t="n"/>
      <c r="X320" s="24" t="n"/>
      <c r="Y320" s="25" t="n"/>
      <c r="Z320" s="137" t="n"/>
      <c r="AB320" s="23" t="n"/>
      <c r="AC320" s="24" t="n"/>
      <c r="AD320" s="24" t="n"/>
      <c r="AE320" s="24" t="n"/>
      <c r="AF320" s="25" t="n"/>
      <c r="AG320" s="137" t="n"/>
      <c r="AH320" s="23" t="n"/>
      <c r="AI320" s="24" t="n"/>
      <c r="AJ320" s="24" t="n"/>
      <c r="AK320" s="24" t="n"/>
      <c r="AL320" s="25" t="n"/>
      <c r="AM320" s="137" t="n"/>
      <c r="AN320" s="23" t="n"/>
      <c r="AO320" s="24" t="n"/>
      <c r="AP320" s="24" t="n"/>
      <c r="AQ320" s="24" t="n"/>
      <c r="AR320" s="25" t="n"/>
      <c r="AS320" s="137" t="n"/>
    </row>
    <row r="321" hidden="1" outlineLevel="2">
      <c r="A321" s="8" t="n"/>
      <c r="B321" s="14" t="n"/>
      <c r="C321" s="137" t="n"/>
      <c r="D321" s="137" t="n"/>
      <c r="E321" s="137" t="n"/>
      <c r="F321" s="137" t="n"/>
      <c r="G321" s="137" t="n"/>
      <c r="I321" s="95" t="inlineStr">
        <is>
          <t>Projétil</t>
        </is>
      </c>
      <c r="J321" s="17" t="n"/>
      <c r="K321" s="71">
        <f>DADOS_INVOC!$QE$18</f>
        <v/>
      </c>
      <c r="L321" s="17" t="n"/>
      <c r="M321" s="71">
        <f>DADOS_INVOC!$QA$18</f>
        <v/>
      </c>
      <c r="N321" s="137" t="n"/>
      <c r="O321" s="95" t="inlineStr">
        <is>
          <t>Projétil</t>
        </is>
      </c>
      <c r="P321" s="17" t="n"/>
      <c r="Q321" s="71">
        <f>DADOS_INVOC!$QE$19</f>
        <v/>
      </c>
      <c r="R321" s="17" t="n"/>
      <c r="S321" s="71">
        <f>DADOS_INVOC!$QA$19</f>
        <v/>
      </c>
      <c r="T321" s="137" t="n"/>
      <c r="U321" s="95" t="inlineStr">
        <is>
          <t>Projétil</t>
        </is>
      </c>
      <c r="V321" s="17" t="n"/>
      <c r="W321" s="71">
        <f>DADOS_INVOC!$QE$20</f>
        <v/>
      </c>
      <c r="X321" s="17" t="n"/>
      <c r="Y321" s="71">
        <f>DADOS_INVOC!$QA$20</f>
        <v/>
      </c>
      <c r="Z321" s="137" t="n"/>
      <c r="AB321" s="95" t="inlineStr">
        <is>
          <t>Projétil</t>
        </is>
      </c>
      <c r="AC321" s="17" t="n"/>
      <c r="AD321" s="71">
        <f>DADOS_INVOC!$QE$96</f>
        <v/>
      </c>
      <c r="AE321" s="17" t="n"/>
      <c r="AF321" s="71">
        <f>DADOS_INVOC!$QA$96</f>
        <v/>
      </c>
      <c r="AG321" s="137" t="n"/>
      <c r="AH321" s="95" t="inlineStr">
        <is>
          <t>Projétil</t>
        </is>
      </c>
      <c r="AI321" s="17" t="n"/>
      <c r="AJ321" s="71">
        <f>DADOS_INVOC!$QE$97</f>
        <v/>
      </c>
      <c r="AK321" s="17" t="n"/>
      <c r="AL321" s="71">
        <f>DADOS_INVOC!$QA$97</f>
        <v/>
      </c>
      <c r="AM321" s="137" t="n"/>
      <c r="AN321" s="95" t="inlineStr">
        <is>
          <t>Projétil</t>
        </is>
      </c>
      <c r="AO321" s="17" t="n"/>
      <c r="AP321" s="71">
        <f>DADOS_INVOC!$QE$98</f>
        <v/>
      </c>
      <c r="AQ321" s="17" t="n"/>
      <c r="AR321" s="71">
        <f>DADOS_INVOC!$QA$98</f>
        <v/>
      </c>
      <c r="AS321" s="137" t="n"/>
    </row>
    <row r="322" hidden="1" outlineLevel="2">
      <c r="A322" s="8" t="n"/>
      <c r="B322" s="14" t="n"/>
      <c r="C322" s="137" t="n"/>
      <c r="D322" s="137" t="n"/>
      <c r="E322" s="137" t="n"/>
      <c r="F322" s="137" t="n"/>
      <c r="G322" s="137" t="n"/>
      <c r="I322" s="95" t="n"/>
      <c r="J322" s="17" t="n"/>
      <c r="K322" s="95" t="n"/>
      <c r="L322" s="16" t="n"/>
      <c r="M322" s="17" t="n"/>
      <c r="N322" s="137" t="n"/>
      <c r="O322" s="95" t="n"/>
      <c r="P322" s="17" t="n"/>
      <c r="Q322" s="95" t="n"/>
      <c r="R322" s="16" t="n"/>
      <c r="S322" s="17" t="n"/>
      <c r="T322" s="137" t="n"/>
      <c r="U322" s="95" t="n"/>
      <c r="V322" s="17" t="n"/>
      <c r="W322" s="95" t="n"/>
      <c r="X322" s="16" t="n"/>
      <c r="Y322" s="17" t="n"/>
      <c r="Z322" s="137" t="n"/>
      <c r="AB322" s="95" t="n"/>
      <c r="AC322" s="17" t="n"/>
      <c r="AD322" s="95" t="n"/>
      <c r="AE322" s="16" t="n"/>
      <c r="AF322" s="17" t="n"/>
      <c r="AG322" s="137" t="n"/>
      <c r="AH322" s="95" t="n"/>
      <c r="AI322" s="17" t="n"/>
      <c r="AJ322" s="95" t="n"/>
      <c r="AK322" s="16" t="n"/>
      <c r="AL322" s="17" t="n"/>
      <c r="AM322" s="137" t="n"/>
      <c r="AN322" s="95" t="n"/>
      <c r="AO322" s="17" t="n"/>
      <c r="AP322" s="95" t="n"/>
      <c r="AQ322" s="16" t="n"/>
      <c r="AR322" s="17" t="n"/>
      <c r="AS322" s="137" t="n"/>
    </row>
    <row r="323" hidden="1" outlineLevel="2">
      <c r="A323" s="8" t="n"/>
      <c r="B323" s="14" t="n"/>
      <c r="C323" s="137" t="n"/>
      <c r="D323" s="137" t="n"/>
      <c r="E323" s="137" t="n"/>
      <c r="F323" s="137" t="n"/>
      <c r="G323" s="137" t="n"/>
      <c r="I323" s="95">
        <f>DADOS_INVOC!$QB$18</f>
        <v/>
      </c>
      <c r="J323" s="17" t="n"/>
      <c r="K323" s="95">
        <f>DADOS_INVOC!$QD$18</f>
        <v/>
      </c>
      <c r="L323" s="16" t="n"/>
      <c r="M323" s="17" t="n"/>
      <c r="N323" s="137" t="n"/>
      <c r="O323" s="95">
        <f>DADOS_INVOC!$QB$19</f>
        <v/>
      </c>
      <c r="P323" s="17" t="n"/>
      <c r="Q323" s="95">
        <f>DADOS_INVOC!$QD$19</f>
        <v/>
      </c>
      <c r="R323" s="16" t="n"/>
      <c r="S323" s="17" t="n"/>
      <c r="T323" s="137" t="n"/>
      <c r="U323" s="95">
        <f>DADOS_INVOC!$QB$20</f>
        <v/>
      </c>
      <c r="V323" s="17" t="n"/>
      <c r="W323" s="95">
        <f>DADOS_INVOC!$QD$20</f>
        <v/>
      </c>
      <c r="X323" s="16" t="n"/>
      <c r="Y323" s="17" t="n"/>
      <c r="Z323" s="137" t="n"/>
      <c r="AB323" s="95">
        <f>DADOS_INVOC!$QB$96</f>
        <v/>
      </c>
      <c r="AC323" s="17" t="n"/>
      <c r="AD323" s="95">
        <f>DADOS_INVOC!$QD$96</f>
        <v/>
      </c>
      <c r="AE323" s="16" t="n"/>
      <c r="AF323" s="17" t="n"/>
      <c r="AG323" s="137" t="n"/>
      <c r="AH323" s="95">
        <f>DADOS_INVOC!$QB$97</f>
        <v/>
      </c>
      <c r="AI323" s="17" t="n"/>
      <c r="AJ323" s="95">
        <f>DADOS_INVOC!$QD$97</f>
        <v/>
      </c>
      <c r="AK323" s="16" t="n"/>
      <c r="AL323" s="17" t="n"/>
      <c r="AM323" s="137" t="n"/>
      <c r="AN323" s="95">
        <f>DADOS_INVOC!$QB$98</f>
        <v/>
      </c>
      <c r="AO323" s="17" t="n"/>
      <c r="AP323" s="95">
        <f>DADOS_INVOC!$QD$98</f>
        <v/>
      </c>
      <c r="AQ323" s="16" t="n"/>
      <c r="AR323" s="17" t="n"/>
      <c r="AS323" s="137" t="n"/>
    </row>
    <row r="324" hidden="1" outlineLevel="2">
      <c r="A324" s="8" t="n"/>
      <c r="B324" s="14" t="n"/>
      <c r="C324" s="137" t="n"/>
      <c r="D324" s="137" t="n"/>
      <c r="E324" s="137" t="n"/>
      <c r="F324" s="137" t="n"/>
      <c r="G324" s="137" t="n"/>
      <c r="I324" s="143">
        <f>DADOS_INVOC!$QJ$18</f>
        <v/>
      </c>
      <c r="J324" s="16" t="n"/>
      <c r="K324" s="16" t="n"/>
      <c r="L324" s="16" t="n"/>
      <c r="M324" s="17" t="n"/>
      <c r="N324" s="137" t="n"/>
      <c r="O324" s="143">
        <f>DADOS_INVOC!$QJ$19</f>
        <v/>
      </c>
      <c r="P324" s="16" t="n"/>
      <c r="Q324" s="16" t="n"/>
      <c r="R324" s="16" t="n"/>
      <c r="S324" s="17" t="n"/>
      <c r="T324" s="137" t="n"/>
      <c r="U324" s="143">
        <f>DADOS_INVOC!$QJ$20</f>
        <v/>
      </c>
      <c r="V324" s="16" t="n"/>
      <c r="W324" s="16" t="n"/>
      <c r="X324" s="16" t="n"/>
      <c r="Y324" s="17" t="n"/>
      <c r="Z324" s="137" t="n"/>
      <c r="AB324" s="143">
        <f>DADOS_INVOC!$QJ$96</f>
        <v/>
      </c>
      <c r="AC324" s="16" t="n"/>
      <c r="AD324" s="16" t="n"/>
      <c r="AE324" s="16" t="n"/>
      <c r="AF324" s="17" t="n"/>
      <c r="AG324" s="137" t="n"/>
      <c r="AH324" s="143">
        <f>DADOS_INVOC!$QJ$97</f>
        <v/>
      </c>
      <c r="AI324" s="16" t="n"/>
      <c r="AJ324" s="16" t="n"/>
      <c r="AK324" s="16" t="n"/>
      <c r="AL324" s="17" t="n"/>
      <c r="AM324" s="137" t="n"/>
      <c r="AN324" s="143">
        <f>DADOS_INVOC!$QJ$98</f>
        <v/>
      </c>
      <c r="AO324" s="16" t="n"/>
      <c r="AP324" s="16" t="n"/>
      <c r="AQ324" s="16" t="n"/>
      <c r="AR324" s="17" t="n"/>
      <c r="AS324" s="137" t="n"/>
    </row>
    <row r="325" hidden="1" outlineLevel="3">
      <c r="A325" s="8" t="n"/>
      <c r="B325" s="14" t="n"/>
      <c r="C325" s="137" t="n"/>
      <c r="D325" s="137" t="n"/>
      <c r="E325" s="137" t="n"/>
      <c r="F325" s="137" t="n"/>
      <c r="G325" s="137" t="n"/>
      <c r="I325" s="56" t="inlineStr">
        <is>
          <t>MELHORIAS</t>
        </is>
      </c>
      <c r="J325" s="144" t="n"/>
      <c r="K325" s="16" t="n"/>
      <c r="L325" s="17" t="n"/>
      <c r="M325" s="143">
        <f>DADOS_INVOC!$QM$18</f>
        <v/>
      </c>
      <c r="N325" s="137" t="n"/>
      <c r="O325" s="56" t="inlineStr">
        <is>
          <t>MELHORIAS</t>
        </is>
      </c>
      <c r="P325" s="144" t="n"/>
      <c r="Q325" s="16" t="n"/>
      <c r="R325" s="17" t="n"/>
      <c r="S325" s="143">
        <f>DADOS_INVOC!$QM$19</f>
        <v/>
      </c>
      <c r="T325" s="137" t="n"/>
      <c r="U325" s="56" t="inlineStr">
        <is>
          <t>MELHORIAS</t>
        </is>
      </c>
      <c r="V325" s="144" t="n"/>
      <c r="W325" s="16" t="n"/>
      <c r="X325" s="17" t="n"/>
      <c r="Y325" s="143">
        <f>DADOS_INVOC!$QM$20</f>
        <v/>
      </c>
      <c r="Z325" s="137" t="n"/>
      <c r="AB325" s="56" t="inlineStr">
        <is>
          <t>MELHORIAS</t>
        </is>
      </c>
      <c r="AC325" s="144" t="n"/>
      <c r="AD325" s="16" t="n"/>
      <c r="AE325" s="17" t="n"/>
      <c r="AF325" s="143">
        <f>DADOS_INVOC!$QM$96</f>
        <v/>
      </c>
      <c r="AG325" s="137" t="n"/>
      <c r="AH325" s="56" t="inlineStr">
        <is>
          <t>MELHORIAS</t>
        </is>
      </c>
      <c r="AI325" s="144" t="n"/>
      <c r="AJ325" s="16" t="n"/>
      <c r="AK325" s="17" t="n"/>
      <c r="AL325" s="143">
        <f>DADOS_INVOC!$QM$97</f>
        <v/>
      </c>
      <c r="AM325" s="137" t="n"/>
      <c r="AN325" s="56" t="inlineStr">
        <is>
          <t>MELHORIAS</t>
        </is>
      </c>
      <c r="AO325" s="144" t="n"/>
      <c r="AP325" s="16" t="n"/>
      <c r="AQ325" s="17" t="n"/>
      <c r="AR325" s="143">
        <f>DADOS_INVOC!$QM$98</f>
        <v/>
      </c>
      <c r="AS325" s="137" t="n"/>
    </row>
    <row r="326" hidden="1" outlineLevel="3">
      <c r="A326" s="8" t="n"/>
      <c r="B326" s="14" t="n"/>
      <c r="C326" s="137" t="n"/>
      <c r="D326" s="137" t="n"/>
      <c r="E326" s="137" t="n"/>
      <c r="F326" s="137" t="n"/>
      <c r="G326" s="137" t="n"/>
      <c r="I326" s="66" t="n"/>
      <c r="J326" s="144" t="n"/>
      <c r="K326" s="16" t="n"/>
      <c r="L326" s="17" t="n"/>
      <c r="M326" s="143">
        <f>DADOS_INVOC!$QN$18</f>
        <v/>
      </c>
      <c r="N326" s="137" t="n"/>
      <c r="O326" s="66" t="n"/>
      <c r="P326" s="144" t="n"/>
      <c r="Q326" s="16" t="n"/>
      <c r="R326" s="17" t="n"/>
      <c r="S326" s="143">
        <f>DADOS_INVOC!$QN$19</f>
        <v/>
      </c>
      <c r="T326" s="137" t="n"/>
      <c r="U326" s="66" t="n"/>
      <c r="V326" s="144" t="n"/>
      <c r="W326" s="16" t="n"/>
      <c r="X326" s="17" t="n"/>
      <c r="Y326" s="143">
        <f>DADOS_INVOC!$QN$20</f>
        <v/>
      </c>
      <c r="Z326" s="137" t="n"/>
      <c r="AB326" s="66" t="n"/>
      <c r="AC326" s="144" t="n"/>
      <c r="AD326" s="16" t="n"/>
      <c r="AE326" s="17" t="n"/>
      <c r="AF326" s="143">
        <f>DADOS_INVOC!$QN$96</f>
        <v/>
      </c>
      <c r="AG326" s="137" t="n"/>
      <c r="AH326" s="66" t="n"/>
      <c r="AI326" s="144" t="n"/>
      <c r="AJ326" s="16" t="n"/>
      <c r="AK326" s="17" t="n"/>
      <c r="AL326" s="143">
        <f>DADOS_INVOC!$QN$97</f>
        <v/>
      </c>
      <c r="AM326" s="137" t="n"/>
      <c r="AN326" s="66" t="n"/>
      <c r="AO326" s="144" t="n"/>
      <c r="AP326" s="16" t="n"/>
      <c r="AQ326" s="17" t="n"/>
      <c r="AR326" s="143">
        <f>DADOS_INVOC!$QN$98</f>
        <v/>
      </c>
      <c r="AS326" s="137" t="n"/>
    </row>
    <row r="327" hidden="1" outlineLevel="3">
      <c r="A327" s="8" t="n"/>
      <c r="B327" s="14" t="n"/>
      <c r="C327" s="137" t="n"/>
      <c r="D327" s="137" t="n"/>
      <c r="E327" s="137" t="n"/>
      <c r="F327" s="137" t="n"/>
      <c r="G327" s="137" t="n"/>
      <c r="I327" s="66" t="n"/>
      <c r="J327" s="144" t="n"/>
      <c r="K327" s="16" t="n"/>
      <c r="L327" s="17" t="n"/>
      <c r="M327" s="143">
        <f>DADOS_INVOC!$QO$18</f>
        <v/>
      </c>
      <c r="N327" s="137" t="n"/>
      <c r="O327" s="66" t="n"/>
      <c r="P327" s="144" t="n"/>
      <c r="Q327" s="16" t="n"/>
      <c r="R327" s="17" t="n"/>
      <c r="S327" s="143">
        <f>DADOS_INVOC!$QO$19</f>
        <v/>
      </c>
      <c r="T327" s="137" t="n"/>
      <c r="U327" s="66" t="n"/>
      <c r="V327" s="144" t="n"/>
      <c r="W327" s="16" t="n"/>
      <c r="X327" s="17" t="n"/>
      <c r="Y327" s="143">
        <f>DADOS_INVOC!$QO$20</f>
        <v/>
      </c>
      <c r="Z327" s="137" t="n"/>
      <c r="AB327" s="66" t="n"/>
      <c r="AC327" s="144" t="n"/>
      <c r="AD327" s="16" t="n"/>
      <c r="AE327" s="17" t="n"/>
      <c r="AF327" s="143">
        <f>DADOS_INVOC!$QO$96</f>
        <v/>
      </c>
      <c r="AG327" s="137" t="n"/>
      <c r="AH327" s="66" t="n"/>
      <c r="AI327" s="144" t="n"/>
      <c r="AJ327" s="16" t="n"/>
      <c r="AK327" s="17" t="n"/>
      <c r="AL327" s="143">
        <f>DADOS_INVOC!$QO$97</f>
        <v/>
      </c>
      <c r="AM327" s="137" t="n"/>
      <c r="AN327" s="66" t="n"/>
      <c r="AO327" s="144" t="n"/>
      <c r="AP327" s="16" t="n"/>
      <c r="AQ327" s="17" t="n"/>
      <c r="AR327" s="143">
        <f>DADOS_INVOC!$QO$98</f>
        <v/>
      </c>
      <c r="AS327" s="137" t="n"/>
    </row>
    <row r="328" hidden="1" outlineLevel="3">
      <c r="A328" s="8" t="n"/>
      <c r="B328" s="14" t="n"/>
      <c r="C328" s="137" t="n"/>
      <c r="D328" s="137" t="n"/>
      <c r="E328" s="137" t="n"/>
      <c r="F328" s="137" t="n"/>
      <c r="G328" s="137" t="n"/>
      <c r="I328" s="128" t="n"/>
      <c r="J328" s="144" t="n"/>
      <c r="K328" s="16" t="n"/>
      <c r="L328" s="17" t="n"/>
      <c r="M328" s="143">
        <f>DADOS_INVOC!$QP$18</f>
        <v/>
      </c>
      <c r="N328" s="137" t="n"/>
      <c r="O328" s="128" t="n"/>
      <c r="P328" s="144" t="n"/>
      <c r="Q328" s="16" t="n"/>
      <c r="R328" s="17" t="n"/>
      <c r="S328" s="143">
        <f>DADOS_INVOC!$QP$19</f>
        <v/>
      </c>
      <c r="T328" s="137" t="n"/>
      <c r="U328" s="128" t="n"/>
      <c r="V328" s="144" t="n"/>
      <c r="W328" s="16" t="n"/>
      <c r="X328" s="17" t="n"/>
      <c r="Y328" s="143">
        <f>DADOS_INVOC!$QP$20</f>
        <v/>
      </c>
      <c r="Z328" s="137" t="n"/>
      <c r="AB328" s="128" t="n"/>
      <c r="AC328" s="144" t="n"/>
      <c r="AD328" s="16" t="n"/>
      <c r="AE328" s="17" t="n"/>
      <c r="AF328" s="143">
        <f>DADOS_INVOC!$QP$96</f>
        <v/>
      </c>
      <c r="AG328" s="137" t="n"/>
      <c r="AH328" s="128" t="n"/>
      <c r="AI328" s="144" t="n"/>
      <c r="AJ328" s="16" t="n"/>
      <c r="AK328" s="17" t="n"/>
      <c r="AL328" s="143">
        <f>DADOS_INVOC!$QP$97</f>
        <v/>
      </c>
      <c r="AM328" s="137" t="n"/>
      <c r="AN328" s="128" t="n"/>
      <c r="AO328" s="144" t="n"/>
      <c r="AP328" s="16" t="n"/>
      <c r="AQ328" s="17" t="n"/>
      <c r="AR328" s="143">
        <f>DADOS_INVOC!$QP$98</f>
        <v/>
      </c>
      <c r="AS328" s="137" t="n"/>
    </row>
    <row r="329" hidden="1" outlineLevel="3">
      <c r="A329" s="8" t="n"/>
      <c r="B329" s="14" t="n"/>
      <c r="C329" s="137" t="n"/>
      <c r="D329" s="137" t="n"/>
      <c r="E329" s="137" t="n"/>
      <c r="F329" s="137" t="n"/>
      <c r="G329" s="137" t="n"/>
      <c r="I329" s="56" t="inlineStr">
        <is>
          <t>RESTRIÇÕES</t>
        </is>
      </c>
      <c r="J329" s="144" t="n"/>
      <c r="K329" s="16" t="n"/>
      <c r="L329" s="17" t="n"/>
      <c r="M329" s="143">
        <f>DADOS_INVOC!$QQ$18</f>
        <v/>
      </c>
      <c r="N329" s="137" t="n"/>
      <c r="O329" s="56" t="inlineStr">
        <is>
          <t>RESTRIÇÕES</t>
        </is>
      </c>
      <c r="P329" s="144" t="n"/>
      <c r="Q329" s="16" t="n"/>
      <c r="R329" s="17" t="n"/>
      <c r="S329" s="143">
        <f>DADOS_INVOC!$QQ$19</f>
        <v/>
      </c>
      <c r="T329" s="137" t="n"/>
      <c r="U329" s="56" t="inlineStr">
        <is>
          <t>RESTRIÇÕES</t>
        </is>
      </c>
      <c r="V329" s="144" t="n"/>
      <c r="W329" s="16" t="n"/>
      <c r="X329" s="17" t="n"/>
      <c r="Y329" s="143">
        <f>DADOS_INVOC!$QQ$20</f>
        <v/>
      </c>
      <c r="Z329" s="137" t="n"/>
      <c r="AB329" s="56" t="inlineStr">
        <is>
          <t>RESTRIÇÕES</t>
        </is>
      </c>
      <c r="AC329" s="144" t="n"/>
      <c r="AD329" s="16" t="n"/>
      <c r="AE329" s="17" t="n"/>
      <c r="AF329" s="143">
        <f>DADOS_INVOC!$QQ$96</f>
        <v/>
      </c>
      <c r="AG329" s="137" t="n"/>
      <c r="AH329" s="56" t="inlineStr">
        <is>
          <t>RESTRIÇÕES</t>
        </is>
      </c>
      <c r="AI329" s="144" t="n"/>
      <c r="AJ329" s="16" t="n"/>
      <c r="AK329" s="17" t="n"/>
      <c r="AL329" s="143">
        <f>DADOS_INVOC!$QQ$97</f>
        <v/>
      </c>
      <c r="AM329" s="137" t="n"/>
      <c r="AN329" s="56" t="inlineStr">
        <is>
          <t>RESTRIÇÕES</t>
        </is>
      </c>
      <c r="AO329" s="144" t="n"/>
      <c r="AP329" s="16" t="n"/>
      <c r="AQ329" s="17" t="n"/>
      <c r="AR329" s="143">
        <f>DADOS_INVOC!$QQ$98</f>
        <v/>
      </c>
      <c r="AS329" s="137" t="n"/>
    </row>
    <row r="330" hidden="1" outlineLevel="3">
      <c r="A330" s="8" t="n"/>
      <c r="B330" s="14" t="n"/>
      <c r="C330" s="137" t="n"/>
      <c r="D330" s="137" t="n"/>
      <c r="E330" s="137" t="n"/>
      <c r="F330" s="137" t="n"/>
      <c r="G330" s="137" t="n"/>
      <c r="I330" s="128" t="n"/>
      <c r="J330" s="144" t="n"/>
      <c r="K330" s="16" t="n"/>
      <c r="L330" s="17" t="n"/>
      <c r="M330" s="143">
        <f>DADOS_INVOC!$QR$18</f>
        <v/>
      </c>
      <c r="N330" s="137" t="n"/>
      <c r="O330" s="128" t="n"/>
      <c r="P330" s="144" t="n"/>
      <c r="Q330" s="16" t="n"/>
      <c r="R330" s="17" t="n"/>
      <c r="S330" s="143">
        <f>DADOS_INVOC!$QR$19</f>
        <v/>
      </c>
      <c r="T330" s="137" t="n"/>
      <c r="U330" s="128" t="n"/>
      <c r="V330" s="144" t="n"/>
      <c r="W330" s="16" t="n"/>
      <c r="X330" s="17" t="n"/>
      <c r="Y330" s="143">
        <f>DADOS_INVOC!$QR$20</f>
        <v/>
      </c>
      <c r="Z330" s="137" t="n"/>
      <c r="AB330" s="128" t="n"/>
      <c r="AC330" s="144" t="n"/>
      <c r="AD330" s="16" t="n"/>
      <c r="AE330" s="17" t="n"/>
      <c r="AF330" s="143">
        <f>DADOS_INVOC!$QR$96</f>
        <v/>
      </c>
      <c r="AG330" s="137" t="n"/>
      <c r="AH330" s="128" t="n"/>
      <c r="AI330" s="144" t="n"/>
      <c r="AJ330" s="16" t="n"/>
      <c r="AK330" s="17" t="n"/>
      <c r="AL330" s="143">
        <f>DADOS_INVOC!$QR$97</f>
        <v/>
      </c>
      <c r="AM330" s="137" t="n"/>
      <c r="AN330" s="128" t="n"/>
      <c r="AO330" s="144" t="n"/>
      <c r="AP330" s="16" t="n"/>
      <c r="AQ330" s="17" t="n"/>
      <c r="AR330" s="143">
        <f>DADOS_INVOC!$QR$98</f>
        <v/>
      </c>
      <c r="AS330" s="137" t="n"/>
    </row>
    <row r="331" hidden="1" outlineLevel="3">
      <c r="A331" s="8" t="n"/>
      <c r="B331" s="14" t="n"/>
      <c r="C331" s="137" t="n"/>
      <c r="D331" s="137" t="n"/>
      <c r="E331" s="137" t="n"/>
      <c r="F331" s="137" t="n"/>
      <c r="G331" s="137" t="n"/>
      <c r="I331" s="56" t="inlineStr">
        <is>
          <t>CONTA</t>
        </is>
      </c>
      <c r="J331" s="145">
        <f>DADOS_INVOC!$QK$18</f>
        <v/>
      </c>
      <c r="K331" s="16" t="n"/>
      <c r="L331" s="16" t="n"/>
      <c r="M331" s="17" t="n"/>
      <c r="N331" s="137" t="n"/>
      <c r="O331" s="56" t="inlineStr">
        <is>
          <t>CONTA</t>
        </is>
      </c>
      <c r="P331" s="145">
        <f>DADOS_INVOC!$QK$19</f>
        <v/>
      </c>
      <c r="Q331" s="16" t="n"/>
      <c r="R331" s="16" t="n"/>
      <c r="S331" s="17" t="n"/>
      <c r="T331" s="137" t="n"/>
      <c r="U331" s="56" t="inlineStr">
        <is>
          <t>CONTA</t>
        </is>
      </c>
      <c r="V331" s="145">
        <f>DADOS_INVOC!$QK$20</f>
        <v/>
      </c>
      <c r="W331" s="16" t="n"/>
      <c r="X331" s="16" t="n"/>
      <c r="Y331" s="17" t="n"/>
      <c r="Z331" s="137" t="n"/>
      <c r="AB331" s="56" t="inlineStr">
        <is>
          <t>CONTA</t>
        </is>
      </c>
      <c r="AC331" s="145">
        <f>DADOS_INVOC!$QK$96</f>
        <v/>
      </c>
      <c r="AD331" s="16" t="n"/>
      <c r="AE331" s="16" t="n"/>
      <c r="AF331" s="17" t="n"/>
      <c r="AG331" s="137" t="n"/>
      <c r="AH331" s="56" t="inlineStr">
        <is>
          <t>CONTA</t>
        </is>
      </c>
      <c r="AI331" s="145">
        <f>DADOS_INVOC!$QK$97</f>
        <v/>
      </c>
      <c r="AJ331" s="16" t="n"/>
      <c r="AK331" s="16" t="n"/>
      <c r="AL331" s="17" t="n"/>
      <c r="AM331" s="137" t="n"/>
      <c r="AN331" s="56" t="inlineStr">
        <is>
          <t>CONTA</t>
        </is>
      </c>
      <c r="AO331" s="145">
        <f>DADOS_INVOC!$QK$98</f>
        <v/>
      </c>
      <c r="AP331" s="16" t="n"/>
      <c r="AQ331" s="16" t="n"/>
      <c r="AR331" s="17" t="n"/>
      <c r="AS331" s="137" t="n"/>
    </row>
    <row r="332" hidden="1" outlineLevel="3">
      <c r="A332" s="8" t="n"/>
      <c r="B332" s="14" t="n"/>
      <c r="C332" s="137" t="n"/>
      <c r="D332" s="137" t="n"/>
      <c r="E332" s="137" t="n"/>
      <c r="F332" s="137" t="n"/>
      <c r="G332" s="137" t="n"/>
      <c r="I332" s="56" t="inlineStr">
        <is>
          <t>AMPLIAR</t>
        </is>
      </c>
      <c r="J332" s="145">
        <f>DADOS_INVOC!$QL$18</f>
        <v/>
      </c>
      <c r="K332" s="19" t="n"/>
      <c r="L332" s="19" t="n"/>
      <c r="M332" s="20" t="n"/>
      <c r="N332" s="137" t="n"/>
      <c r="O332" s="56" t="inlineStr">
        <is>
          <t>AMPLIAR</t>
        </is>
      </c>
      <c r="P332" s="145">
        <f>DADOS_INVOC!$QL$19</f>
        <v/>
      </c>
      <c r="Q332" s="19" t="n"/>
      <c r="R332" s="19" t="n"/>
      <c r="S332" s="20" t="n"/>
      <c r="T332" s="137" t="n"/>
      <c r="U332" s="56" t="inlineStr">
        <is>
          <t>AMPLIAR</t>
        </is>
      </c>
      <c r="V332" s="145">
        <f>DADOS_INVOC!$QL$20</f>
        <v/>
      </c>
      <c r="W332" s="19" t="n"/>
      <c r="X332" s="19" t="n"/>
      <c r="Y332" s="20" t="n"/>
      <c r="Z332" s="137" t="n"/>
      <c r="AB332" s="56" t="inlineStr">
        <is>
          <t>AMPLIAR</t>
        </is>
      </c>
      <c r="AC332" s="145">
        <f>DADOS_INVOC!$QL$96</f>
        <v/>
      </c>
      <c r="AD332" s="19" t="n"/>
      <c r="AE332" s="19" t="n"/>
      <c r="AF332" s="20" t="n"/>
      <c r="AG332" s="137" t="n"/>
      <c r="AH332" s="56" t="inlineStr">
        <is>
          <t>AMPLIAR</t>
        </is>
      </c>
      <c r="AI332" s="145">
        <f>DADOS_INVOC!$QL$97</f>
        <v/>
      </c>
      <c r="AJ332" s="19" t="n"/>
      <c r="AK332" s="19" t="n"/>
      <c r="AL332" s="20" t="n"/>
      <c r="AM332" s="137" t="n"/>
      <c r="AN332" s="56" t="inlineStr">
        <is>
          <t>AMPLIAR</t>
        </is>
      </c>
      <c r="AO332" s="145">
        <f>DADOS_INVOC!$QL$98</f>
        <v/>
      </c>
      <c r="AP332" s="19" t="n"/>
      <c r="AQ332" s="19" t="n"/>
      <c r="AR332" s="20" t="n"/>
      <c r="AS332" s="137" t="n"/>
    </row>
    <row r="333" hidden="1" outlineLevel="3">
      <c r="A333" s="8" t="n"/>
      <c r="B333" s="14" t="n"/>
      <c r="C333" s="137" t="n"/>
      <c r="D333" s="137" t="n"/>
      <c r="E333" s="137" t="n"/>
      <c r="F333" s="137" t="n"/>
      <c r="G333" s="137" t="n"/>
      <c r="I333" s="128" t="n"/>
      <c r="J333" s="23" t="n"/>
      <c r="K333" s="24" t="n"/>
      <c r="L333" s="24" t="n"/>
      <c r="M333" s="25" t="n"/>
      <c r="N333" s="137" t="n"/>
      <c r="O333" s="128" t="n"/>
      <c r="P333" s="23" t="n"/>
      <c r="Q333" s="24" t="n"/>
      <c r="R333" s="24" t="n"/>
      <c r="S333" s="25" t="n"/>
      <c r="T333" s="137" t="n"/>
      <c r="U333" s="128" t="n"/>
      <c r="V333" s="23" t="n"/>
      <c r="W333" s="24" t="n"/>
      <c r="X333" s="24" t="n"/>
      <c r="Y333" s="25" t="n"/>
      <c r="Z333" s="137" t="n"/>
      <c r="AB333" s="128" t="n"/>
      <c r="AC333" s="23" t="n"/>
      <c r="AD333" s="24" t="n"/>
      <c r="AE333" s="24" t="n"/>
      <c r="AF333" s="25" t="n"/>
      <c r="AG333" s="137" t="n"/>
      <c r="AH333" s="128" t="n"/>
      <c r="AI333" s="23" t="n"/>
      <c r="AJ333" s="24" t="n"/>
      <c r="AK333" s="24" t="n"/>
      <c r="AL333" s="25" t="n"/>
      <c r="AM333" s="137" t="n"/>
      <c r="AN333" s="128" t="n"/>
      <c r="AO333" s="23" t="n"/>
      <c r="AP333" s="24" t="n"/>
      <c r="AQ333" s="24" t="n"/>
      <c r="AR333" s="25" t="n"/>
      <c r="AS333" s="137" t="n"/>
    </row>
    <row r="334" hidden="1" outlineLevel="3">
      <c r="A334" s="8" t="n"/>
      <c r="B334" s="14" t="n"/>
      <c r="C334" s="137" t="n"/>
      <c r="D334" s="137" t="n"/>
      <c r="E334" s="137" t="n"/>
      <c r="F334" s="137" t="n"/>
      <c r="G334" s="137" t="n"/>
      <c r="I334" s="145">
        <f>DADOS_INVOC!$PY$18</f>
        <v/>
      </c>
      <c r="J334" s="19" t="n"/>
      <c r="K334" s="19" t="n"/>
      <c r="L334" s="19" t="n"/>
      <c r="M334" s="20" t="n"/>
      <c r="N334" s="137" t="n"/>
      <c r="O334" s="145">
        <f>DADOS_INVOC!$PY$19</f>
        <v/>
      </c>
      <c r="P334" s="19" t="n"/>
      <c r="Q334" s="19" t="n"/>
      <c r="R334" s="19" t="n"/>
      <c r="S334" s="20" t="n"/>
      <c r="T334" s="137" t="n"/>
      <c r="U334" s="145">
        <f>DADOS_INVOC!$PY$20</f>
        <v/>
      </c>
      <c r="V334" s="19" t="n"/>
      <c r="W334" s="19" t="n"/>
      <c r="X334" s="19" t="n"/>
      <c r="Y334" s="20" t="n"/>
      <c r="Z334" s="137" t="n"/>
      <c r="AB334" s="145">
        <f>DADOS_INVOC!$PY$96</f>
        <v/>
      </c>
      <c r="AC334" s="19" t="n"/>
      <c r="AD334" s="19" t="n"/>
      <c r="AE334" s="19" t="n"/>
      <c r="AF334" s="20" t="n"/>
      <c r="AG334" s="137" t="n"/>
      <c r="AH334" s="145">
        <f>DADOS_INVOC!$PY$97</f>
        <v/>
      </c>
      <c r="AI334" s="19" t="n"/>
      <c r="AJ334" s="19" t="n"/>
      <c r="AK334" s="19" t="n"/>
      <c r="AL334" s="20" t="n"/>
      <c r="AM334" s="137" t="n"/>
      <c r="AN334" s="145">
        <f>DADOS_INVOC!$PY$98</f>
        <v/>
      </c>
      <c r="AO334" s="19" t="n"/>
      <c r="AP334" s="19" t="n"/>
      <c r="AQ334" s="19" t="n"/>
      <c r="AR334" s="20" t="n"/>
      <c r="AS334" s="137" t="n"/>
    </row>
    <row r="335" hidden="1" outlineLevel="3">
      <c r="A335" s="8" t="n"/>
      <c r="B335" s="14" t="n"/>
      <c r="C335" s="137" t="n"/>
      <c r="D335" s="137" t="n"/>
      <c r="E335" s="137" t="n"/>
      <c r="F335" s="137" t="n"/>
      <c r="G335" s="137" t="n"/>
      <c r="I335" s="23" t="n"/>
      <c r="J335" s="24" t="n"/>
      <c r="K335" s="24" t="n"/>
      <c r="L335" s="24" t="n"/>
      <c r="M335" s="25" t="n"/>
      <c r="N335" s="137" t="n"/>
      <c r="O335" s="23" t="n"/>
      <c r="P335" s="24" t="n"/>
      <c r="Q335" s="24" t="n"/>
      <c r="R335" s="24" t="n"/>
      <c r="S335" s="25" t="n"/>
      <c r="T335" s="137" t="n"/>
      <c r="U335" s="23" t="n"/>
      <c r="V335" s="24" t="n"/>
      <c r="W335" s="24" t="n"/>
      <c r="X335" s="24" t="n"/>
      <c r="Y335" s="25" t="n"/>
      <c r="Z335" s="137" t="n"/>
      <c r="AB335" s="23" t="n"/>
      <c r="AC335" s="24" t="n"/>
      <c r="AD335" s="24" t="n"/>
      <c r="AE335" s="24" t="n"/>
      <c r="AF335" s="25" t="n"/>
      <c r="AG335" s="137" t="n"/>
      <c r="AH335" s="23" t="n"/>
      <c r="AI335" s="24" t="n"/>
      <c r="AJ335" s="24" t="n"/>
      <c r="AK335" s="24" t="n"/>
      <c r="AL335" s="25" t="n"/>
      <c r="AM335" s="137" t="n"/>
      <c r="AN335" s="23" t="n"/>
      <c r="AO335" s="24" t="n"/>
      <c r="AP335" s="24" t="n"/>
      <c r="AQ335" s="24" t="n"/>
      <c r="AR335" s="25" t="n"/>
      <c r="AS335" s="137" t="n"/>
    </row>
    <row r="336" hidden="1" outlineLevel="2">
      <c r="A336" s="8" t="n"/>
      <c r="B336" s="14" t="n"/>
      <c r="C336" s="137" t="n"/>
      <c r="D336" s="137" t="n"/>
      <c r="E336" s="137" t="n"/>
      <c r="F336" s="137" t="n"/>
      <c r="G336" s="137" t="n"/>
      <c r="I336" s="137" t="n"/>
      <c r="J336" s="137" t="n"/>
      <c r="K336" s="137" t="n"/>
      <c r="L336" s="137" t="n"/>
      <c r="M336" s="137" t="n"/>
      <c r="N336" s="137" t="n"/>
      <c r="O336" s="137" t="n"/>
      <c r="P336" s="137" t="n"/>
      <c r="Q336" s="137" t="n"/>
      <c r="R336" s="137" t="n"/>
      <c r="S336" s="137" t="n"/>
      <c r="T336" s="137" t="n"/>
      <c r="U336" s="137" t="n"/>
      <c r="V336" s="137" t="n"/>
      <c r="W336" s="137" t="n"/>
      <c r="X336" s="137" t="n"/>
      <c r="Y336" s="137" t="n"/>
      <c r="Z336" s="137" t="n"/>
      <c r="AB336" s="137" t="n"/>
      <c r="AC336" s="137" t="n"/>
      <c r="AD336" s="137" t="n"/>
      <c r="AE336" s="137" t="n"/>
      <c r="AF336" s="137" t="n"/>
      <c r="AG336" s="137" t="n"/>
      <c r="AH336" s="137" t="n"/>
      <c r="AI336" s="137" t="n"/>
      <c r="AJ336" s="137" t="n"/>
      <c r="AK336" s="137" t="n"/>
      <c r="AL336" s="137" t="n"/>
      <c r="AM336" s="137" t="n"/>
      <c r="AN336" s="137" t="n"/>
      <c r="AO336" s="137" t="n"/>
      <c r="AP336" s="137" t="n"/>
      <c r="AQ336" s="137" t="n"/>
      <c r="AR336" s="137" t="n"/>
      <c r="AS336" s="137" t="n"/>
    </row>
    <row r="337" hidden="1" outlineLevel="2">
      <c r="A337" s="8" t="n"/>
      <c r="B337" s="14" t="n"/>
      <c r="C337" s="137" t="n"/>
      <c r="D337" s="137" t="n"/>
      <c r="E337" s="137" t="n"/>
      <c r="F337" s="137" t="n"/>
      <c r="G337" s="137" t="n"/>
      <c r="I337" s="56">
        <f>DADOS_INVOC!$PZ$21</f>
        <v/>
      </c>
      <c r="J337" s="16" t="n"/>
      <c r="K337" s="16" t="n"/>
      <c r="L337" s="16" t="n"/>
      <c r="M337" s="17" t="n"/>
      <c r="N337" s="137" t="n"/>
      <c r="O337" s="56">
        <f>DADOS_INVOC!$PZ$22</f>
        <v/>
      </c>
      <c r="P337" s="16" t="n"/>
      <c r="Q337" s="16" t="n"/>
      <c r="R337" s="16" t="n"/>
      <c r="S337" s="17" t="n"/>
      <c r="T337" s="137" t="n"/>
      <c r="U337" s="56">
        <f>DADOS_INVOC!$PZ$23</f>
        <v/>
      </c>
      <c r="V337" s="16" t="n"/>
      <c r="W337" s="16" t="n"/>
      <c r="X337" s="16" t="n"/>
      <c r="Y337" s="17" t="n"/>
      <c r="Z337" s="137" t="n"/>
      <c r="AB337" s="56">
        <f>DADOS_INVOC!$PZ$99</f>
        <v/>
      </c>
      <c r="AC337" s="16" t="n"/>
      <c r="AD337" s="16" t="n"/>
      <c r="AE337" s="16" t="n"/>
      <c r="AF337" s="17" t="n"/>
      <c r="AG337" s="137" t="n"/>
      <c r="AH337" s="56">
        <f>DADOS_INVOC!$PZ$100</f>
        <v/>
      </c>
      <c r="AI337" s="16" t="n"/>
      <c r="AJ337" s="16" t="n"/>
      <c r="AK337" s="16" t="n"/>
      <c r="AL337" s="17" t="n"/>
      <c r="AM337" s="137" t="n"/>
      <c r="AN337" s="56">
        <f>DADOS_INVOC!$PZ$101</f>
        <v/>
      </c>
      <c r="AO337" s="16" t="n"/>
      <c r="AP337" s="16" t="n"/>
      <c r="AQ337" s="16" t="n"/>
      <c r="AR337" s="17" t="n"/>
      <c r="AS337" s="137" t="n"/>
    </row>
    <row r="338" hidden="1" outlineLevel="2">
      <c r="A338" s="8" t="n"/>
      <c r="B338" s="14" t="n"/>
      <c r="C338" s="137" t="n"/>
      <c r="D338" s="137" t="n"/>
      <c r="E338" s="137" t="n"/>
      <c r="F338" s="137" t="n"/>
      <c r="G338" s="137" t="n"/>
      <c r="I338" s="141" t="n">
        <v>1</v>
      </c>
      <c r="J338" s="131" t="n"/>
      <c r="K338" s="16" t="n"/>
      <c r="L338" s="17" t="n"/>
      <c r="M338" s="142">
        <f>DADOS_INVOC!$PX$21</f>
        <v/>
      </c>
      <c r="N338" s="137" t="n"/>
      <c r="O338" s="141" t="n">
        <v>1</v>
      </c>
      <c r="P338" s="131" t="n"/>
      <c r="Q338" s="16" t="n"/>
      <c r="R338" s="17" t="n"/>
      <c r="S338" s="142">
        <f>DADOS_INVOC!$PX$22</f>
        <v/>
      </c>
      <c r="T338" s="137" t="n"/>
      <c r="U338" s="141" t="n">
        <v>1</v>
      </c>
      <c r="V338" s="131" t="n"/>
      <c r="W338" s="16" t="n"/>
      <c r="X338" s="17" t="n"/>
      <c r="Y338" s="142">
        <f>DADOS_INVOC!$PX$23</f>
        <v/>
      </c>
      <c r="Z338" s="137" t="n"/>
      <c r="AB338" s="141" t="n">
        <v>1</v>
      </c>
      <c r="AC338" s="131" t="n"/>
      <c r="AD338" s="16" t="n"/>
      <c r="AE338" s="17" t="n"/>
      <c r="AF338" s="142">
        <f>DADOS_INVOC!$PX$99</f>
        <v/>
      </c>
      <c r="AG338" s="137" t="n"/>
      <c r="AH338" s="141" t="n">
        <v>1</v>
      </c>
      <c r="AI338" s="131" t="n"/>
      <c r="AJ338" s="16" t="n"/>
      <c r="AK338" s="17" t="n"/>
      <c r="AL338" s="142">
        <f>DADOS_INVOC!$PX$100</f>
        <v/>
      </c>
      <c r="AM338" s="137" t="n"/>
      <c r="AN338" s="141" t="n">
        <v>1</v>
      </c>
      <c r="AO338" s="131" t="n"/>
      <c r="AP338" s="16" t="n"/>
      <c r="AQ338" s="17" t="n"/>
      <c r="AR338" s="142">
        <f>DADOS_INVOC!$PX$101</f>
        <v/>
      </c>
      <c r="AS338" s="137" t="n"/>
    </row>
    <row r="339" hidden="1" outlineLevel="3">
      <c r="A339" s="8" t="n"/>
      <c r="B339" s="14" t="n"/>
      <c r="C339" s="137" t="n"/>
      <c r="D339" s="137" t="n"/>
      <c r="E339" s="137" t="n"/>
      <c r="F339" s="137" t="n"/>
      <c r="G339" s="137" t="n"/>
      <c r="I339" s="56" t="inlineStr">
        <is>
          <t>COMO É</t>
        </is>
      </c>
      <c r="J339" s="16" t="n"/>
      <c r="K339" s="16" t="n"/>
      <c r="L339" s="16" t="n"/>
      <c r="M339" s="17" t="n"/>
      <c r="N339" s="137" t="n"/>
      <c r="O339" s="56" t="inlineStr">
        <is>
          <t>COMO É</t>
        </is>
      </c>
      <c r="P339" s="16" t="n"/>
      <c r="Q339" s="16" t="n"/>
      <c r="R339" s="16" t="n"/>
      <c r="S339" s="17" t="n"/>
      <c r="T339" s="137" t="n"/>
      <c r="U339" s="56" t="inlineStr">
        <is>
          <t>COMO É</t>
        </is>
      </c>
      <c r="V339" s="16" t="n"/>
      <c r="W339" s="16" t="n"/>
      <c r="X339" s="16" t="n"/>
      <c r="Y339" s="17" t="n"/>
      <c r="Z339" s="137" t="n"/>
      <c r="AB339" s="56" t="inlineStr">
        <is>
          <t>COMO É</t>
        </is>
      </c>
      <c r="AC339" s="16" t="n"/>
      <c r="AD339" s="16" t="n"/>
      <c r="AE339" s="16" t="n"/>
      <c r="AF339" s="17" t="n"/>
      <c r="AG339" s="137" t="n"/>
      <c r="AH339" s="56" t="inlineStr">
        <is>
          <t>COMO É</t>
        </is>
      </c>
      <c r="AI339" s="16" t="n"/>
      <c r="AJ339" s="16" t="n"/>
      <c r="AK339" s="16" t="n"/>
      <c r="AL339" s="17" t="n"/>
      <c r="AM339" s="137" t="n"/>
      <c r="AN339" s="56" t="inlineStr">
        <is>
          <t>COMO É</t>
        </is>
      </c>
      <c r="AO339" s="16" t="n"/>
      <c r="AP339" s="16" t="n"/>
      <c r="AQ339" s="16" t="n"/>
      <c r="AR339" s="17" t="n"/>
      <c r="AS339" s="137" t="n"/>
    </row>
    <row r="340" hidden="1" outlineLevel="3">
      <c r="A340" s="8" t="n"/>
      <c r="B340" s="14" t="n"/>
      <c r="C340" s="137" t="n"/>
      <c r="D340" s="137" t="n"/>
      <c r="E340" s="137" t="n"/>
      <c r="F340" s="137" t="n"/>
      <c r="G340" s="137" t="n"/>
      <c r="I340" s="61" t="n"/>
      <c r="J340" s="19" t="n"/>
      <c r="K340" s="19" t="n"/>
      <c r="L340" s="19" t="n"/>
      <c r="M340" s="20" t="n"/>
      <c r="N340" s="137" t="n"/>
      <c r="O340" s="61" t="n"/>
      <c r="P340" s="19" t="n"/>
      <c r="Q340" s="19" t="n"/>
      <c r="R340" s="19" t="n"/>
      <c r="S340" s="20" t="n"/>
      <c r="T340" s="137" t="n"/>
      <c r="U340" s="61" t="n"/>
      <c r="V340" s="19" t="n"/>
      <c r="W340" s="19" t="n"/>
      <c r="X340" s="19" t="n"/>
      <c r="Y340" s="20" t="n"/>
      <c r="Z340" s="137" t="n"/>
      <c r="AB340" s="61" t="n"/>
      <c r="AC340" s="19" t="n"/>
      <c r="AD340" s="19" t="n"/>
      <c r="AE340" s="19" t="n"/>
      <c r="AF340" s="20" t="n"/>
      <c r="AG340" s="137" t="n"/>
      <c r="AH340" s="61" t="n"/>
      <c r="AI340" s="19" t="n"/>
      <c r="AJ340" s="19" t="n"/>
      <c r="AK340" s="19" t="n"/>
      <c r="AL340" s="20" t="n"/>
      <c r="AM340" s="137" t="n"/>
      <c r="AN340" s="61" t="n"/>
      <c r="AO340" s="19" t="n"/>
      <c r="AP340" s="19" t="n"/>
      <c r="AQ340" s="19" t="n"/>
      <c r="AR340" s="20" t="n"/>
      <c r="AS340" s="137" t="n"/>
    </row>
    <row r="341" hidden="1" outlineLevel="3">
      <c r="A341" s="8" t="n"/>
      <c r="B341" s="14" t="n"/>
      <c r="C341" s="137" t="n"/>
      <c r="D341" s="137" t="n"/>
      <c r="E341" s="137" t="n"/>
      <c r="F341" s="137" t="n"/>
      <c r="G341" s="137" t="n"/>
      <c r="I341" s="21" t="n"/>
      <c r="M341" s="22" t="n"/>
      <c r="N341" s="137" t="n"/>
      <c r="O341" s="21" t="n"/>
      <c r="S341" s="22" t="n"/>
      <c r="T341" s="137" t="n"/>
      <c r="U341" s="21" t="n"/>
      <c r="Y341" s="22" t="n"/>
      <c r="Z341" s="137" t="n"/>
      <c r="AB341" s="21" t="n"/>
      <c r="AF341" s="22" t="n"/>
      <c r="AG341" s="137" t="n"/>
      <c r="AH341" s="21" t="n"/>
      <c r="AL341" s="22" t="n"/>
      <c r="AM341" s="137" t="n"/>
      <c r="AN341" s="21" t="n"/>
      <c r="AR341" s="22" t="n"/>
      <c r="AS341" s="137" t="n"/>
    </row>
    <row r="342" hidden="1" outlineLevel="3">
      <c r="A342" s="8" t="n"/>
      <c r="B342" s="14" t="n"/>
      <c r="C342" s="137" t="n"/>
      <c r="D342" s="137" t="n"/>
      <c r="E342" s="137" t="n"/>
      <c r="F342" s="137" t="n"/>
      <c r="G342" s="137" t="n"/>
      <c r="I342" s="23" t="n"/>
      <c r="J342" s="24" t="n"/>
      <c r="K342" s="24" t="n"/>
      <c r="L342" s="24" t="n"/>
      <c r="M342" s="25" t="n"/>
      <c r="N342" s="137" t="n"/>
      <c r="O342" s="23" t="n"/>
      <c r="P342" s="24" t="n"/>
      <c r="Q342" s="24" t="n"/>
      <c r="R342" s="24" t="n"/>
      <c r="S342" s="25" t="n"/>
      <c r="T342" s="137" t="n"/>
      <c r="U342" s="23" t="n"/>
      <c r="V342" s="24" t="n"/>
      <c r="W342" s="24" t="n"/>
      <c r="X342" s="24" t="n"/>
      <c r="Y342" s="25" t="n"/>
      <c r="Z342" s="137" t="n"/>
      <c r="AB342" s="23" t="n"/>
      <c r="AC342" s="24" t="n"/>
      <c r="AD342" s="24" t="n"/>
      <c r="AE342" s="24" t="n"/>
      <c r="AF342" s="25" t="n"/>
      <c r="AG342" s="137" t="n"/>
      <c r="AH342" s="23" t="n"/>
      <c r="AI342" s="24" t="n"/>
      <c r="AJ342" s="24" t="n"/>
      <c r="AK342" s="24" t="n"/>
      <c r="AL342" s="25" t="n"/>
      <c r="AM342" s="137" t="n"/>
      <c r="AN342" s="23" t="n"/>
      <c r="AO342" s="24" t="n"/>
      <c r="AP342" s="24" t="n"/>
      <c r="AQ342" s="24" t="n"/>
      <c r="AR342" s="25" t="n"/>
      <c r="AS342" s="137" t="n"/>
    </row>
    <row r="343" hidden="1" outlineLevel="2">
      <c r="A343" s="8" t="n"/>
      <c r="B343" s="14" t="n"/>
      <c r="C343" s="137" t="n"/>
      <c r="D343" s="137" t="n"/>
      <c r="E343" s="137" t="n"/>
      <c r="F343" s="137" t="n"/>
      <c r="G343" s="137" t="n"/>
      <c r="I343" s="95" t="inlineStr">
        <is>
          <t>Projétil</t>
        </is>
      </c>
      <c r="J343" s="17" t="n"/>
      <c r="K343" s="71">
        <f>DADOS_INVOC!$QE$21</f>
        <v/>
      </c>
      <c r="L343" s="17" t="n"/>
      <c r="M343" s="71">
        <f>DADOS_INVOC!$QA$21</f>
        <v/>
      </c>
      <c r="N343" s="137" t="n"/>
      <c r="O343" s="95" t="inlineStr">
        <is>
          <t>Projétil</t>
        </is>
      </c>
      <c r="P343" s="17" t="n"/>
      <c r="Q343" s="71">
        <f>DADOS_INVOC!$QE$22</f>
        <v/>
      </c>
      <c r="R343" s="17" t="n"/>
      <c r="S343" s="71">
        <f>DADOS_INVOC!$QA$22</f>
        <v/>
      </c>
      <c r="T343" s="137" t="n"/>
      <c r="U343" s="95" t="inlineStr">
        <is>
          <t>Projétil</t>
        </is>
      </c>
      <c r="V343" s="17" t="n"/>
      <c r="W343" s="71">
        <f>DADOS_INVOC!$QE$23</f>
        <v/>
      </c>
      <c r="X343" s="17" t="n"/>
      <c r="Y343" s="71">
        <f>DADOS_INVOC!$QA$23</f>
        <v/>
      </c>
      <c r="Z343" s="137" t="n"/>
      <c r="AB343" s="95" t="inlineStr">
        <is>
          <t>Projétil</t>
        </is>
      </c>
      <c r="AC343" s="17" t="n"/>
      <c r="AD343" s="71">
        <f>DADOS_INVOC!$QE$99</f>
        <v/>
      </c>
      <c r="AE343" s="17" t="n"/>
      <c r="AF343" s="71">
        <f>DADOS_INVOC!$QA$99</f>
        <v/>
      </c>
      <c r="AG343" s="137" t="n"/>
      <c r="AH343" s="95" t="inlineStr">
        <is>
          <t>Projétil</t>
        </is>
      </c>
      <c r="AI343" s="17" t="n"/>
      <c r="AJ343" s="71">
        <f>DADOS_INVOC!$QE$100</f>
        <v/>
      </c>
      <c r="AK343" s="17" t="n"/>
      <c r="AL343" s="71">
        <f>DADOS_INVOC!$QA$100</f>
        <v/>
      </c>
      <c r="AM343" s="137" t="n"/>
      <c r="AN343" s="95" t="inlineStr">
        <is>
          <t>Projétil</t>
        </is>
      </c>
      <c r="AO343" s="17" t="n"/>
      <c r="AP343" s="71">
        <f>DADOS_INVOC!$QE$101</f>
        <v/>
      </c>
      <c r="AQ343" s="17" t="n"/>
      <c r="AR343" s="71">
        <f>DADOS_INVOC!$QA$101</f>
        <v/>
      </c>
      <c r="AS343" s="137" t="n"/>
    </row>
    <row r="344" hidden="1" outlineLevel="2">
      <c r="A344" s="8" t="n"/>
      <c r="B344" s="14" t="n"/>
      <c r="C344" s="137" t="n"/>
      <c r="D344" s="137" t="n"/>
      <c r="E344" s="137" t="n"/>
      <c r="F344" s="137" t="n"/>
      <c r="G344" s="137" t="n"/>
      <c r="I344" s="95" t="n"/>
      <c r="J344" s="17" t="n"/>
      <c r="K344" s="95" t="n"/>
      <c r="L344" s="16" t="n"/>
      <c r="M344" s="17" t="n"/>
      <c r="N344" s="137" t="n"/>
      <c r="O344" s="95" t="n"/>
      <c r="P344" s="17" t="n"/>
      <c r="Q344" s="95" t="n"/>
      <c r="R344" s="16" t="n"/>
      <c r="S344" s="17" t="n"/>
      <c r="T344" s="137" t="n"/>
      <c r="U344" s="95" t="n"/>
      <c r="V344" s="17" t="n"/>
      <c r="W344" s="95" t="n"/>
      <c r="X344" s="16" t="n"/>
      <c r="Y344" s="17" t="n"/>
      <c r="Z344" s="137" t="n"/>
      <c r="AB344" s="95" t="n"/>
      <c r="AC344" s="17" t="n"/>
      <c r="AD344" s="95" t="n"/>
      <c r="AE344" s="16" t="n"/>
      <c r="AF344" s="17" t="n"/>
      <c r="AG344" s="137" t="n"/>
      <c r="AH344" s="95" t="n"/>
      <c r="AI344" s="17" t="n"/>
      <c r="AJ344" s="95" t="n"/>
      <c r="AK344" s="16" t="n"/>
      <c r="AL344" s="17" t="n"/>
      <c r="AM344" s="137" t="n"/>
      <c r="AN344" s="95" t="n"/>
      <c r="AO344" s="17" t="n"/>
      <c r="AP344" s="95" t="n"/>
      <c r="AQ344" s="16" t="n"/>
      <c r="AR344" s="17" t="n"/>
      <c r="AS344" s="137" t="n"/>
    </row>
    <row r="345" hidden="1" outlineLevel="2">
      <c r="A345" s="8" t="n"/>
      <c r="B345" s="14" t="n"/>
      <c r="C345" s="137" t="n"/>
      <c r="D345" s="137" t="n"/>
      <c r="E345" s="137" t="n"/>
      <c r="F345" s="137" t="n"/>
      <c r="G345" s="137" t="n"/>
      <c r="I345" s="95">
        <f>DADOS_INVOC!$QB$21</f>
        <v/>
      </c>
      <c r="J345" s="17" t="n"/>
      <c r="K345" s="95">
        <f>DADOS_INVOC!$QD$21</f>
        <v/>
      </c>
      <c r="L345" s="16" t="n"/>
      <c r="M345" s="17" t="n"/>
      <c r="N345" s="137" t="n"/>
      <c r="O345" s="95">
        <f>DADOS_INVOC!$QB$22</f>
        <v/>
      </c>
      <c r="P345" s="17" t="n"/>
      <c r="Q345" s="95">
        <f>DADOS_INVOC!$QD$22</f>
        <v/>
      </c>
      <c r="R345" s="16" t="n"/>
      <c r="S345" s="17" t="n"/>
      <c r="T345" s="137" t="n"/>
      <c r="U345" s="95">
        <f>DADOS_INVOC!$QB$23</f>
        <v/>
      </c>
      <c r="V345" s="17" t="n"/>
      <c r="W345" s="95">
        <f>DADOS_INVOC!$QD$23</f>
        <v/>
      </c>
      <c r="X345" s="16" t="n"/>
      <c r="Y345" s="17" t="n"/>
      <c r="Z345" s="137" t="n"/>
      <c r="AB345" s="95">
        <f>DADOS_INVOC!$QB$99</f>
        <v/>
      </c>
      <c r="AC345" s="17" t="n"/>
      <c r="AD345" s="95">
        <f>DADOS_INVOC!$QD$99</f>
        <v/>
      </c>
      <c r="AE345" s="16" t="n"/>
      <c r="AF345" s="17" t="n"/>
      <c r="AG345" s="137" t="n"/>
      <c r="AH345" s="95">
        <f>DADOS_INVOC!$QB$100</f>
        <v/>
      </c>
      <c r="AI345" s="17" t="n"/>
      <c r="AJ345" s="95">
        <f>DADOS_INVOC!$QD$100</f>
        <v/>
      </c>
      <c r="AK345" s="16" t="n"/>
      <c r="AL345" s="17" t="n"/>
      <c r="AM345" s="137" t="n"/>
      <c r="AN345" s="95">
        <f>DADOS_INVOC!$QB$101</f>
        <v/>
      </c>
      <c r="AO345" s="17" t="n"/>
      <c r="AP345" s="95">
        <f>DADOS_INVOC!$QD$101</f>
        <v/>
      </c>
      <c r="AQ345" s="16" t="n"/>
      <c r="AR345" s="17" t="n"/>
      <c r="AS345" s="137" t="n"/>
    </row>
    <row r="346" hidden="1" outlineLevel="2">
      <c r="A346" s="8" t="n"/>
      <c r="B346" s="14" t="n"/>
      <c r="C346" s="137" t="n"/>
      <c r="D346" s="137" t="n"/>
      <c r="E346" s="137" t="n"/>
      <c r="F346" s="137" t="n"/>
      <c r="G346" s="137" t="n"/>
      <c r="I346" s="143">
        <f>DADOS_INVOC!$QJ$21</f>
        <v/>
      </c>
      <c r="J346" s="16" t="n"/>
      <c r="K346" s="16" t="n"/>
      <c r="L346" s="16" t="n"/>
      <c r="M346" s="17" t="n"/>
      <c r="N346" s="137" t="n"/>
      <c r="O346" s="143">
        <f>DADOS_INVOC!$QJ$22</f>
        <v/>
      </c>
      <c r="P346" s="16" t="n"/>
      <c r="Q346" s="16" t="n"/>
      <c r="R346" s="16" t="n"/>
      <c r="S346" s="17" t="n"/>
      <c r="T346" s="137" t="n"/>
      <c r="U346" s="143">
        <f>DADOS_INVOC!$QJ$23</f>
        <v/>
      </c>
      <c r="V346" s="16" t="n"/>
      <c r="W346" s="16" t="n"/>
      <c r="X346" s="16" t="n"/>
      <c r="Y346" s="17" t="n"/>
      <c r="Z346" s="137" t="n"/>
      <c r="AB346" s="143">
        <f>DADOS_INVOC!$QJ$99</f>
        <v/>
      </c>
      <c r="AC346" s="16" t="n"/>
      <c r="AD346" s="16" t="n"/>
      <c r="AE346" s="16" t="n"/>
      <c r="AF346" s="17" t="n"/>
      <c r="AG346" s="137" t="n"/>
      <c r="AH346" s="143">
        <f>DADOS_INVOC!$QJ$100</f>
        <v/>
      </c>
      <c r="AI346" s="16" t="n"/>
      <c r="AJ346" s="16" t="n"/>
      <c r="AK346" s="16" t="n"/>
      <c r="AL346" s="17" t="n"/>
      <c r="AM346" s="137" t="n"/>
      <c r="AN346" s="143">
        <f>DADOS_INVOC!$QJ$101</f>
        <v/>
      </c>
      <c r="AO346" s="16" t="n"/>
      <c r="AP346" s="16" t="n"/>
      <c r="AQ346" s="16" t="n"/>
      <c r="AR346" s="17" t="n"/>
      <c r="AS346" s="137" t="n"/>
    </row>
    <row r="347" hidden="1" outlineLevel="3">
      <c r="A347" s="8" t="n"/>
      <c r="B347" s="14" t="n"/>
      <c r="C347" s="137" t="n"/>
      <c r="D347" s="137" t="n"/>
      <c r="E347" s="137" t="n"/>
      <c r="F347" s="137" t="n"/>
      <c r="G347" s="137" t="n"/>
      <c r="I347" s="56" t="inlineStr">
        <is>
          <t>MELHORIAS</t>
        </is>
      </c>
      <c r="J347" s="144" t="n"/>
      <c r="K347" s="16" t="n"/>
      <c r="L347" s="17" t="n"/>
      <c r="M347" s="143">
        <f>DADOS_INVOC!$QM$21</f>
        <v/>
      </c>
      <c r="N347" s="137" t="n"/>
      <c r="O347" s="56" t="inlineStr">
        <is>
          <t>MELHORIAS</t>
        </is>
      </c>
      <c r="P347" s="144" t="n"/>
      <c r="Q347" s="16" t="n"/>
      <c r="R347" s="17" t="n"/>
      <c r="S347" s="143">
        <f>DADOS_INVOC!$QM$22</f>
        <v/>
      </c>
      <c r="T347" s="137" t="n"/>
      <c r="U347" s="56" t="inlineStr">
        <is>
          <t>MELHORIAS</t>
        </is>
      </c>
      <c r="V347" s="144" t="n"/>
      <c r="W347" s="16" t="n"/>
      <c r="X347" s="17" t="n"/>
      <c r="Y347" s="143">
        <f>DADOS_INVOC!$QM$23</f>
        <v/>
      </c>
      <c r="Z347" s="137" t="n"/>
      <c r="AB347" s="56" t="inlineStr">
        <is>
          <t>MELHORIAS</t>
        </is>
      </c>
      <c r="AC347" s="144" t="n"/>
      <c r="AD347" s="16" t="n"/>
      <c r="AE347" s="17" t="n"/>
      <c r="AF347" s="143">
        <f>DADOS_INVOC!$QM$99</f>
        <v/>
      </c>
      <c r="AG347" s="137" t="n"/>
      <c r="AH347" s="56" t="inlineStr">
        <is>
          <t>MELHORIAS</t>
        </is>
      </c>
      <c r="AI347" s="144" t="n"/>
      <c r="AJ347" s="16" t="n"/>
      <c r="AK347" s="17" t="n"/>
      <c r="AL347" s="143">
        <f>DADOS_INVOC!$QM$100</f>
        <v/>
      </c>
      <c r="AM347" s="137" t="n"/>
      <c r="AN347" s="56" t="inlineStr">
        <is>
          <t>MELHORIAS</t>
        </is>
      </c>
      <c r="AO347" s="144" t="n"/>
      <c r="AP347" s="16" t="n"/>
      <c r="AQ347" s="17" t="n"/>
      <c r="AR347" s="143">
        <f>DADOS_INVOC!$QM$101</f>
        <v/>
      </c>
      <c r="AS347" s="137" t="n"/>
    </row>
    <row r="348" hidden="1" outlineLevel="3">
      <c r="A348" s="8" t="n"/>
      <c r="B348" s="14" t="n"/>
      <c r="C348" s="137" t="n"/>
      <c r="D348" s="137" t="n"/>
      <c r="E348" s="137" t="n"/>
      <c r="F348" s="137" t="n"/>
      <c r="G348" s="137" t="n"/>
      <c r="I348" s="66" t="n"/>
      <c r="J348" s="144" t="n"/>
      <c r="K348" s="16" t="n"/>
      <c r="L348" s="17" t="n"/>
      <c r="M348" s="143">
        <f>DADOS_INVOC!$QN$21</f>
        <v/>
      </c>
      <c r="N348" s="137" t="n"/>
      <c r="O348" s="66" t="n"/>
      <c r="P348" s="144" t="n"/>
      <c r="Q348" s="16" t="n"/>
      <c r="R348" s="17" t="n"/>
      <c r="S348" s="143">
        <f>DADOS_INVOC!$QN$22</f>
        <v/>
      </c>
      <c r="T348" s="137" t="n"/>
      <c r="U348" s="66" t="n"/>
      <c r="V348" s="144" t="n"/>
      <c r="W348" s="16" t="n"/>
      <c r="X348" s="17" t="n"/>
      <c r="Y348" s="143">
        <f>DADOS_INVOC!$QN$23</f>
        <v/>
      </c>
      <c r="Z348" s="137" t="n"/>
      <c r="AB348" s="66" t="n"/>
      <c r="AC348" s="144" t="n"/>
      <c r="AD348" s="16" t="n"/>
      <c r="AE348" s="17" t="n"/>
      <c r="AF348" s="143">
        <f>DADOS_INVOC!$QN$99</f>
        <v/>
      </c>
      <c r="AG348" s="137" t="n"/>
      <c r="AH348" s="66" t="n"/>
      <c r="AI348" s="144" t="n"/>
      <c r="AJ348" s="16" t="n"/>
      <c r="AK348" s="17" t="n"/>
      <c r="AL348" s="143">
        <f>DADOS_INVOC!$QN$100</f>
        <v/>
      </c>
      <c r="AM348" s="137" t="n"/>
      <c r="AN348" s="66" t="n"/>
      <c r="AO348" s="144" t="n"/>
      <c r="AP348" s="16" t="n"/>
      <c r="AQ348" s="17" t="n"/>
      <c r="AR348" s="143">
        <f>DADOS_INVOC!$QN$101</f>
        <v/>
      </c>
      <c r="AS348" s="137" t="n"/>
    </row>
    <row r="349" hidden="1" outlineLevel="3">
      <c r="A349" s="8" t="n"/>
      <c r="B349" s="14" t="n"/>
      <c r="C349" s="137" t="n"/>
      <c r="D349" s="137" t="n"/>
      <c r="E349" s="137" t="n"/>
      <c r="F349" s="137" t="n"/>
      <c r="G349" s="137" t="n"/>
      <c r="I349" s="66" t="n"/>
      <c r="J349" s="144" t="n"/>
      <c r="K349" s="16" t="n"/>
      <c r="L349" s="17" t="n"/>
      <c r="M349" s="143">
        <f>DADOS_INVOC!$QO$21</f>
        <v/>
      </c>
      <c r="N349" s="137" t="n"/>
      <c r="O349" s="66" t="n"/>
      <c r="P349" s="144" t="n"/>
      <c r="Q349" s="16" t="n"/>
      <c r="R349" s="17" t="n"/>
      <c r="S349" s="143">
        <f>DADOS_INVOC!$QO$22</f>
        <v/>
      </c>
      <c r="T349" s="137" t="n"/>
      <c r="U349" s="66" t="n"/>
      <c r="V349" s="144" t="n"/>
      <c r="W349" s="16" t="n"/>
      <c r="X349" s="17" t="n"/>
      <c r="Y349" s="143">
        <f>DADOS_INVOC!$QO$23</f>
        <v/>
      </c>
      <c r="Z349" s="137" t="n"/>
      <c r="AB349" s="66" t="n"/>
      <c r="AC349" s="144" t="n"/>
      <c r="AD349" s="16" t="n"/>
      <c r="AE349" s="17" t="n"/>
      <c r="AF349" s="143">
        <f>DADOS_INVOC!$QO$99</f>
        <v/>
      </c>
      <c r="AG349" s="137" t="n"/>
      <c r="AH349" s="66" t="n"/>
      <c r="AI349" s="144" t="n"/>
      <c r="AJ349" s="16" t="n"/>
      <c r="AK349" s="17" t="n"/>
      <c r="AL349" s="143">
        <f>DADOS_INVOC!$QO$100</f>
        <v/>
      </c>
      <c r="AM349" s="137" t="n"/>
      <c r="AN349" s="66" t="n"/>
      <c r="AO349" s="144" t="n"/>
      <c r="AP349" s="16" t="n"/>
      <c r="AQ349" s="17" t="n"/>
      <c r="AR349" s="143">
        <f>DADOS_INVOC!$QO$101</f>
        <v/>
      </c>
      <c r="AS349" s="137" t="n"/>
    </row>
    <row r="350" hidden="1" outlineLevel="3">
      <c r="A350" s="8" t="n"/>
      <c r="B350" s="14" t="n"/>
      <c r="C350" s="137" t="n"/>
      <c r="D350" s="137" t="n"/>
      <c r="E350" s="137" t="n"/>
      <c r="F350" s="137" t="n"/>
      <c r="G350" s="137" t="n"/>
      <c r="I350" s="128" t="n"/>
      <c r="J350" s="144" t="n"/>
      <c r="K350" s="16" t="n"/>
      <c r="L350" s="17" t="n"/>
      <c r="M350" s="143">
        <f>DADOS_INVOC!$QP$21</f>
        <v/>
      </c>
      <c r="N350" s="137" t="n"/>
      <c r="O350" s="128" t="n"/>
      <c r="P350" s="144" t="n"/>
      <c r="Q350" s="16" t="n"/>
      <c r="R350" s="17" t="n"/>
      <c r="S350" s="143">
        <f>DADOS_INVOC!$QP$22</f>
        <v/>
      </c>
      <c r="T350" s="137" t="n"/>
      <c r="U350" s="128" t="n"/>
      <c r="V350" s="144" t="n"/>
      <c r="W350" s="16" t="n"/>
      <c r="X350" s="17" t="n"/>
      <c r="Y350" s="143">
        <f>DADOS_INVOC!$QP$23</f>
        <v/>
      </c>
      <c r="Z350" s="137" t="n"/>
      <c r="AB350" s="128" t="n"/>
      <c r="AC350" s="144" t="n"/>
      <c r="AD350" s="16" t="n"/>
      <c r="AE350" s="17" t="n"/>
      <c r="AF350" s="143">
        <f>DADOS_INVOC!$QP$99</f>
        <v/>
      </c>
      <c r="AG350" s="137" t="n"/>
      <c r="AH350" s="128" t="n"/>
      <c r="AI350" s="144" t="n"/>
      <c r="AJ350" s="16" t="n"/>
      <c r="AK350" s="17" t="n"/>
      <c r="AL350" s="143">
        <f>DADOS_INVOC!$QP$100</f>
        <v/>
      </c>
      <c r="AM350" s="137" t="n"/>
      <c r="AN350" s="128" t="n"/>
      <c r="AO350" s="144" t="n"/>
      <c r="AP350" s="16" t="n"/>
      <c r="AQ350" s="17" t="n"/>
      <c r="AR350" s="143">
        <f>DADOS_INVOC!$QP$101</f>
        <v/>
      </c>
      <c r="AS350" s="137" t="n"/>
    </row>
    <row r="351" hidden="1" outlineLevel="3">
      <c r="A351" s="8" t="n"/>
      <c r="B351" s="14" t="n"/>
      <c r="C351" s="137" t="n"/>
      <c r="D351" s="137" t="n"/>
      <c r="E351" s="137" t="n"/>
      <c r="F351" s="137" t="n"/>
      <c r="G351" s="137" t="n"/>
      <c r="I351" s="56" t="inlineStr">
        <is>
          <t>RESTRIÇÕES</t>
        </is>
      </c>
      <c r="J351" s="144" t="n"/>
      <c r="K351" s="16" t="n"/>
      <c r="L351" s="17" t="n"/>
      <c r="M351" s="143">
        <f>DADOS_INVOC!$QQ$21</f>
        <v/>
      </c>
      <c r="N351" s="137" t="n"/>
      <c r="O351" s="56" t="inlineStr">
        <is>
          <t>RESTRIÇÕES</t>
        </is>
      </c>
      <c r="P351" s="144" t="n"/>
      <c r="Q351" s="16" t="n"/>
      <c r="R351" s="17" t="n"/>
      <c r="S351" s="143">
        <f>DADOS_INVOC!$QQ$22</f>
        <v/>
      </c>
      <c r="T351" s="137" t="n"/>
      <c r="U351" s="56" t="inlineStr">
        <is>
          <t>RESTRIÇÕES</t>
        </is>
      </c>
      <c r="V351" s="144" t="n"/>
      <c r="W351" s="16" t="n"/>
      <c r="X351" s="17" t="n"/>
      <c r="Y351" s="143">
        <f>DADOS_INVOC!$QQ$23</f>
        <v/>
      </c>
      <c r="Z351" s="137" t="n"/>
      <c r="AB351" s="56" t="inlineStr">
        <is>
          <t>RESTRIÇÕES</t>
        </is>
      </c>
      <c r="AC351" s="144" t="n"/>
      <c r="AD351" s="16" t="n"/>
      <c r="AE351" s="17" t="n"/>
      <c r="AF351" s="143">
        <f>DADOS_INVOC!$QQ$99</f>
        <v/>
      </c>
      <c r="AG351" s="137" t="n"/>
      <c r="AH351" s="56" t="inlineStr">
        <is>
          <t>RESTRIÇÕES</t>
        </is>
      </c>
      <c r="AI351" s="144" t="n"/>
      <c r="AJ351" s="16" t="n"/>
      <c r="AK351" s="17" t="n"/>
      <c r="AL351" s="143">
        <f>DADOS_INVOC!$QQ$100</f>
        <v/>
      </c>
      <c r="AM351" s="137" t="n"/>
      <c r="AN351" s="56" t="inlineStr">
        <is>
          <t>RESTRIÇÕES</t>
        </is>
      </c>
      <c r="AO351" s="144" t="n"/>
      <c r="AP351" s="16" t="n"/>
      <c r="AQ351" s="17" t="n"/>
      <c r="AR351" s="143">
        <f>DADOS_INVOC!$QQ$101</f>
        <v/>
      </c>
      <c r="AS351" s="137" t="n"/>
    </row>
    <row r="352" hidden="1" outlineLevel="3">
      <c r="A352" s="8" t="n"/>
      <c r="B352" s="14" t="n"/>
      <c r="C352" s="137" t="n"/>
      <c r="D352" s="137" t="n"/>
      <c r="E352" s="137" t="n"/>
      <c r="F352" s="137" t="n"/>
      <c r="G352" s="137" t="n"/>
      <c r="I352" s="128" t="n"/>
      <c r="J352" s="144" t="n"/>
      <c r="K352" s="16" t="n"/>
      <c r="L352" s="17" t="n"/>
      <c r="M352" s="143">
        <f>DADOS_INVOC!$QR$21</f>
        <v/>
      </c>
      <c r="N352" s="137" t="n"/>
      <c r="O352" s="128" t="n"/>
      <c r="P352" s="144" t="n"/>
      <c r="Q352" s="16" t="n"/>
      <c r="R352" s="17" t="n"/>
      <c r="S352" s="143">
        <f>DADOS_INVOC!$QR$22</f>
        <v/>
      </c>
      <c r="T352" s="137" t="n"/>
      <c r="U352" s="128" t="n"/>
      <c r="V352" s="144" t="n"/>
      <c r="W352" s="16" t="n"/>
      <c r="X352" s="17" t="n"/>
      <c r="Y352" s="143">
        <f>DADOS_INVOC!$QR$23</f>
        <v/>
      </c>
      <c r="Z352" s="137" t="n"/>
      <c r="AB352" s="128" t="n"/>
      <c r="AC352" s="144" t="n"/>
      <c r="AD352" s="16" t="n"/>
      <c r="AE352" s="17" t="n"/>
      <c r="AF352" s="143">
        <f>DADOS_INVOC!$QR$99</f>
        <v/>
      </c>
      <c r="AG352" s="137" t="n"/>
      <c r="AH352" s="128" t="n"/>
      <c r="AI352" s="144" t="n"/>
      <c r="AJ352" s="16" t="n"/>
      <c r="AK352" s="17" t="n"/>
      <c r="AL352" s="143">
        <f>DADOS_INVOC!$QR$100</f>
        <v/>
      </c>
      <c r="AM352" s="137" t="n"/>
      <c r="AN352" s="128" t="n"/>
      <c r="AO352" s="144" t="n"/>
      <c r="AP352" s="16" t="n"/>
      <c r="AQ352" s="17" t="n"/>
      <c r="AR352" s="143">
        <f>DADOS_INVOC!$QR$101</f>
        <v/>
      </c>
      <c r="AS352" s="137" t="n"/>
    </row>
    <row r="353" hidden="1" outlineLevel="3">
      <c r="A353" s="8" t="n"/>
      <c r="B353" s="14" t="n"/>
      <c r="C353" s="137" t="n"/>
      <c r="D353" s="137" t="n"/>
      <c r="E353" s="137" t="n"/>
      <c r="F353" s="137" t="n"/>
      <c r="G353" s="137" t="n"/>
      <c r="I353" s="56" t="inlineStr">
        <is>
          <t>CONTA</t>
        </is>
      </c>
      <c r="J353" s="145">
        <f>DADOS_INVOC!$QK$21</f>
        <v/>
      </c>
      <c r="K353" s="16" t="n"/>
      <c r="L353" s="16" t="n"/>
      <c r="M353" s="17" t="n"/>
      <c r="N353" s="137" t="n"/>
      <c r="O353" s="56" t="inlineStr">
        <is>
          <t>CONTA</t>
        </is>
      </c>
      <c r="P353" s="145">
        <f>DADOS_INVOC!$QK$22</f>
        <v/>
      </c>
      <c r="Q353" s="16" t="n"/>
      <c r="R353" s="16" t="n"/>
      <c r="S353" s="17" t="n"/>
      <c r="T353" s="137" t="n"/>
      <c r="U353" s="56" t="inlineStr">
        <is>
          <t>CONTA</t>
        </is>
      </c>
      <c r="V353" s="145">
        <f>DADOS_INVOC!$QK$23</f>
        <v/>
      </c>
      <c r="W353" s="16" t="n"/>
      <c r="X353" s="16" t="n"/>
      <c r="Y353" s="17" t="n"/>
      <c r="Z353" s="137" t="n"/>
      <c r="AB353" s="56" t="inlineStr">
        <is>
          <t>CONTA</t>
        </is>
      </c>
      <c r="AC353" s="145">
        <f>DADOS_INVOC!$QK$99</f>
        <v/>
      </c>
      <c r="AD353" s="16" t="n"/>
      <c r="AE353" s="16" t="n"/>
      <c r="AF353" s="17" t="n"/>
      <c r="AG353" s="137" t="n"/>
      <c r="AH353" s="56" t="inlineStr">
        <is>
          <t>CONTA</t>
        </is>
      </c>
      <c r="AI353" s="145">
        <f>DADOS_INVOC!$QK$100</f>
        <v/>
      </c>
      <c r="AJ353" s="16" t="n"/>
      <c r="AK353" s="16" t="n"/>
      <c r="AL353" s="17" t="n"/>
      <c r="AM353" s="137" t="n"/>
      <c r="AN353" s="56" t="inlineStr">
        <is>
          <t>CONTA</t>
        </is>
      </c>
      <c r="AO353" s="145">
        <f>DADOS_INVOC!$QK$101</f>
        <v/>
      </c>
      <c r="AP353" s="16" t="n"/>
      <c r="AQ353" s="16" t="n"/>
      <c r="AR353" s="17" t="n"/>
      <c r="AS353" s="137" t="n"/>
    </row>
    <row r="354" hidden="1" outlineLevel="3">
      <c r="A354" s="8" t="n"/>
      <c r="B354" s="14" t="n"/>
      <c r="C354" s="137" t="n"/>
      <c r="D354" s="137" t="n"/>
      <c r="E354" s="137" t="n"/>
      <c r="F354" s="137" t="n"/>
      <c r="G354" s="137" t="n"/>
      <c r="I354" s="56" t="inlineStr">
        <is>
          <t>AMPLIAR</t>
        </is>
      </c>
      <c r="J354" s="145">
        <f>DADOS_INVOC!$QL$21</f>
        <v/>
      </c>
      <c r="K354" s="19" t="n"/>
      <c r="L354" s="19" t="n"/>
      <c r="M354" s="20" t="n"/>
      <c r="N354" s="137" t="n"/>
      <c r="O354" s="56" t="inlineStr">
        <is>
          <t>AMPLIAR</t>
        </is>
      </c>
      <c r="P354" s="145">
        <f>DADOS_INVOC!$QL$22</f>
        <v/>
      </c>
      <c r="Q354" s="19" t="n"/>
      <c r="R354" s="19" t="n"/>
      <c r="S354" s="20" t="n"/>
      <c r="T354" s="137" t="n"/>
      <c r="U354" s="56" t="inlineStr">
        <is>
          <t>AMPLIAR</t>
        </is>
      </c>
      <c r="V354" s="145">
        <f>DADOS_INVOC!$QL$23</f>
        <v/>
      </c>
      <c r="W354" s="19" t="n"/>
      <c r="X354" s="19" t="n"/>
      <c r="Y354" s="20" t="n"/>
      <c r="Z354" s="137" t="n"/>
      <c r="AB354" s="56" t="inlineStr">
        <is>
          <t>AMPLIAR</t>
        </is>
      </c>
      <c r="AC354" s="145">
        <f>DADOS_INVOC!$QL$99</f>
        <v/>
      </c>
      <c r="AD354" s="19" t="n"/>
      <c r="AE354" s="19" t="n"/>
      <c r="AF354" s="20" t="n"/>
      <c r="AG354" s="137" t="n"/>
      <c r="AH354" s="56" t="inlineStr">
        <is>
          <t>AMPLIAR</t>
        </is>
      </c>
      <c r="AI354" s="145">
        <f>DADOS_INVOC!$QL$100</f>
        <v/>
      </c>
      <c r="AJ354" s="19" t="n"/>
      <c r="AK354" s="19" t="n"/>
      <c r="AL354" s="20" t="n"/>
      <c r="AM354" s="137" t="n"/>
      <c r="AN354" s="56" t="inlineStr">
        <is>
          <t>AMPLIAR</t>
        </is>
      </c>
      <c r="AO354" s="145">
        <f>DADOS_INVOC!$QL$101</f>
        <v/>
      </c>
      <c r="AP354" s="19" t="n"/>
      <c r="AQ354" s="19" t="n"/>
      <c r="AR354" s="20" t="n"/>
      <c r="AS354" s="137" t="n"/>
    </row>
    <row r="355" hidden="1" outlineLevel="3">
      <c r="A355" s="8" t="n"/>
      <c r="B355" s="14" t="n"/>
      <c r="C355" s="137" t="n"/>
      <c r="D355" s="137" t="n"/>
      <c r="E355" s="137" t="n"/>
      <c r="F355" s="137" t="n"/>
      <c r="G355" s="137" t="n"/>
      <c r="I355" s="128" t="n"/>
      <c r="J355" s="23" t="n"/>
      <c r="K355" s="24" t="n"/>
      <c r="L355" s="24" t="n"/>
      <c r="M355" s="25" t="n"/>
      <c r="N355" s="137" t="n"/>
      <c r="O355" s="128" t="n"/>
      <c r="P355" s="23" t="n"/>
      <c r="Q355" s="24" t="n"/>
      <c r="R355" s="24" t="n"/>
      <c r="S355" s="25" t="n"/>
      <c r="T355" s="137" t="n"/>
      <c r="U355" s="128" t="n"/>
      <c r="V355" s="23" t="n"/>
      <c r="W355" s="24" t="n"/>
      <c r="X355" s="24" t="n"/>
      <c r="Y355" s="25" t="n"/>
      <c r="Z355" s="137" t="n"/>
      <c r="AB355" s="128" t="n"/>
      <c r="AC355" s="23" t="n"/>
      <c r="AD355" s="24" t="n"/>
      <c r="AE355" s="24" t="n"/>
      <c r="AF355" s="25" t="n"/>
      <c r="AG355" s="137" t="n"/>
      <c r="AH355" s="128" t="n"/>
      <c r="AI355" s="23" t="n"/>
      <c r="AJ355" s="24" t="n"/>
      <c r="AK355" s="24" t="n"/>
      <c r="AL355" s="25" t="n"/>
      <c r="AM355" s="137" t="n"/>
      <c r="AN355" s="128" t="n"/>
      <c r="AO355" s="23" t="n"/>
      <c r="AP355" s="24" t="n"/>
      <c r="AQ355" s="24" t="n"/>
      <c r="AR355" s="25" t="n"/>
      <c r="AS355" s="137" t="n"/>
    </row>
    <row r="356" hidden="1" outlineLevel="3">
      <c r="A356" s="8" t="n"/>
      <c r="B356" s="14" t="n"/>
      <c r="C356" s="137" t="n"/>
      <c r="D356" s="137" t="n"/>
      <c r="E356" s="137" t="n"/>
      <c r="F356" s="137" t="n"/>
      <c r="G356" s="137" t="n"/>
      <c r="I356" s="145">
        <f>DADOS_INVOC!$PY$21</f>
        <v/>
      </c>
      <c r="J356" s="19" t="n"/>
      <c r="K356" s="19" t="n"/>
      <c r="L356" s="19" t="n"/>
      <c r="M356" s="20" t="n"/>
      <c r="N356" s="137" t="n"/>
      <c r="O356" s="145">
        <f>DADOS_INVOC!$PY$22</f>
        <v/>
      </c>
      <c r="P356" s="19" t="n"/>
      <c r="Q356" s="19" t="n"/>
      <c r="R356" s="19" t="n"/>
      <c r="S356" s="20" t="n"/>
      <c r="T356" s="137" t="n"/>
      <c r="U356" s="145">
        <f>DADOS_INVOC!$PY$23</f>
        <v/>
      </c>
      <c r="V356" s="19" t="n"/>
      <c r="W356" s="19" t="n"/>
      <c r="X356" s="19" t="n"/>
      <c r="Y356" s="20" t="n"/>
      <c r="Z356" s="137" t="n"/>
      <c r="AB356" s="145">
        <f>DADOS_INVOC!$PY$99</f>
        <v/>
      </c>
      <c r="AC356" s="19" t="n"/>
      <c r="AD356" s="19" t="n"/>
      <c r="AE356" s="19" t="n"/>
      <c r="AF356" s="20" t="n"/>
      <c r="AG356" s="137" t="n"/>
      <c r="AH356" s="145">
        <f>DADOS_INVOC!$PY$100</f>
        <v/>
      </c>
      <c r="AI356" s="19" t="n"/>
      <c r="AJ356" s="19" t="n"/>
      <c r="AK356" s="19" t="n"/>
      <c r="AL356" s="20" t="n"/>
      <c r="AM356" s="137" t="n"/>
      <c r="AN356" s="145">
        <f>DADOS_INVOC!$PY$101</f>
        <v/>
      </c>
      <c r="AO356" s="19" t="n"/>
      <c r="AP356" s="19" t="n"/>
      <c r="AQ356" s="19" t="n"/>
      <c r="AR356" s="20" t="n"/>
      <c r="AS356" s="137" t="n"/>
    </row>
    <row r="357" hidden="1" outlineLevel="3">
      <c r="A357" s="8" t="n"/>
      <c r="B357" s="14" t="n"/>
      <c r="C357" s="137" t="n"/>
      <c r="D357" s="137" t="n"/>
      <c r="E357" s="137" t="n"/>
      <c r="F357" s="137" t="n"/>
      <c r="G357" s="137" t="n"/>
      <c r="I357" s="23" t="n"/>
      <c r="J357" s="24" t="n"/>
      <c r="K357" s="24" t="n"/>
      <c r="L357" s="24" t="n"/>
      <c r="M357" s="25" t="n"/>
      <c r="N357" s="137" t="n"/>
      <c r="O357" s="23" t="n"/>
      <c r="P357" s="24" t="n"/>
      <c r="Q357" s="24" t="n"/>
      <c r="R357" s="24" t="n"/>
      <c r="S357" s="25" t="n"/>
      <c r="T357" s="137" t="n"/>
      <c r="U357" s="23" t="n"/>
      <c r="V357" s="24" t="n"/>
      <c r="W357" s="24" t="n"/>
      <c r="X357" s="24" t="n"/>
      <c r="Y357" s="25" t="n"/>
      <c r="Z357" s="137" t="n"/>
      <c r="AB357" s="23" t="n"/>
      <c r="AC357" s="24" t="n"/>
      <c r="AD357" s="24" t="n"/>
      <c r="AE357" s="24" t="n"/>
      <c r="AF357" s="25" t="n"/>
      <c r="AG357" s="137" t="n"/>
      <c r="AH357" s="23" t="n"/>
      <c r="AI357" s="24" t="n"/>
      <c r="AJ357" s="24" t="n"/>
      <c r="AK357" s="24" t="n"/>
      <c r="AL357" s="25" t="n"/>
      <c r="AM357" s="137" t="n"/>
      <c r="AN357" s="23" t="n"/>
      <c r="AO357" s="24" t="n"/>
      <c r="AP357" s="24" t="n"/>
      <c r="AQ357" s="24" t="n"/>
      <c r="AR357" s="25" t="n"/>
      <c r="AS357" s="137" t="n"/>
    </row>
    <row r="358" hidden="1" outlineLevel="2">
      <c r="A358" s="8" t="n"/>
      <c r="B358" s="14" t="n"/>
      <c r="C358" s="137" t="n"/>
      <c r="D358" s="137" t="n"/>
      <c r="E358" s="137" t="n"/>
      <c r="F358" s="137" t="n"/>
      <c r="G358" s="137" t="n"/>
      <c r="I358" s="137" t="n"/>
      <c r="J358" s="137" t="n"/>
      <c r="K358" s="137" t="n"/>
      <c r="L358" s="137" t="n"/>
      <c r="M358" s="137" t="n"/>
      <c r="N358" s="137" t="n"/>
      <c r="O358" s="137" t="n"/>
      <c r="P358" s="137" t="n"/>
      <c r="Q358" s="137" t="n"/>
      <c r="R358" s="137" t="n"/>
      <c r="S358" s="137" t="n"/>
      <c r="T358" s="137" t="n"/>
      <c r="U358" s="137" t="n"/>
      <c r="V358" s="137" t="n"/>
      <c r="W358" s="137" t="n"/>
      <c r="X358" s="137" t="n"/>
      <c r="Y358" s="137" t="n"/>
      <c r="Z358" s="137" t="n"/>
      <c r="AB358" s="137" t="n"/>
      <c r="AC358" s="137" t="n"/>
      <c r="AD358" s="137" t="n"/>
      <c r="AE358" s="137" t="n"/>
      <c r="AF358" s="137" t="n"/>
      <c r="AG358" s="137" t="n"/>
      <c r="AH358" s="137" t="n"/>
      <c r="AI358" s="137" t="n"/>
      <c r="AJ358" s="137" t="n"/>
      <c r="AK358" s="137" t="n"/>
      <c r="AL358" s="137" t="n"/>
      <c r="AM358" s="137" t="n"/>
      <c r="AN358" s="137" t="n"/>
      <c r="AO358" s="137" t="n"/>
      <c r="AP358" s="137" t="n"/>
      <c r="AQ358" s="137" t="n"/>
      <c r="AR358" s="137" t="n"/>
      <c r="AS358" s="137" t="n"/>
    </row>
    <row r="359" hidden="1" outlineLevel="2">
      <c r="A359" s="8" t="n"/>
      <c r="B359" s="14" t="n"/>
      <c r="C359" s="137" t="n"/>
      <c r="D359" s="137" t="n"/>
      <c r="E359" s="137" t="n"/>
      <c r="F359" s="137" t="n"/>
      <c r="G359" s="137" t="n"/>
      <c r="I359" s="56">
        <f>DADOS_INVOC!$PZ$24</f>
        <v/>
      </c>
      <c r="J359" s="16" t="n"/>
      <c r="K359" s="16" t="n"/>
      <c r="L359" s="16" t="n"/>
      <c r="M359" s="17" t="n"/>
      <c r="N359" s="137" t="n"/>
      <c r="O359" s="137" t="n"/>
      <c r="P359" s="137" t="n"/>
      <c r="Q359" s="137" t="n"/>
      <c r="R359" s="137" t="n"/>
      <c r="S359" s="137" t="n"/>
      <c r="T359" s="137" t="n"/>
      <c r="U359" s="137" t="n"/>
      <c r="V359" s="137" t="n"/>
      <c r="W359" s="137" t="n"/>
      <c r="X359" s="137" t="n"/>
      <c r="Y359" s="137" t="n"/>
      <c r="Z359" s="137" t="n"/>
      <c r="AB359" s="56">
        <f>DADOS_INVOC!$PZ$102</f>
        <v/>
      </c>
      <c r="AC359" s="16" t="n"/>
      <c r="AD359" s="16" t="n"/>
      <c r="AE359" s="16" t="n"/>
      <c r="AF359" s="17" t="n"/>
      <c r="AG359" s="137" t="n"/>
      <c r="AH359" s="137" t="n"/>
      <c r="AI359" s="137" t="n"/>
      <c r="AJ359" s="137" t="n"/>
      <c r="AK359" s="137" t="n"/>
      <c r="AL359" s="137" t="n"/>
      <c r="AM359" s="137" t="n"/>
      <c r="AN359" s="137" t="n"/>
      <c r="AO359" s="137" t="n"/>
      <c r="AP359" s="137" t="n"/>
      <c r="AQ359" s="137" t="n"/>
      <c r="AR359" s="137" t="n"/>
      <c r="AS359" s="137" t="n"/>
    </row>
    <row r="360" hidden="1" outlineLevel="2">
      <c r="A360" s="8" t="n"/>
      <c r="B360" s="14" t="n"/>
      <c r="C360" s="137" t="n"/>
      <c r="D360" s="137" t="n"/>
      <c r="E360" s="137" t="n"/>
      <c r="F360" s="137" t="n"/>
      <c r="G360" s="137" t="n"/>
      <c r="I360" s="141" t="n">
        <v>1</v>
      </c>
      <c r="J360" s="131" t="n"/>
      <c r="K360" s="16" t="n"/>
      <c r="L360" s="17" t="n"/>
      <c r="M360" s="142">
        <f>DADOS_INVOC!$PX$24</f>
        <v/>
      </c>
      <c r="N360" s="137" t="n"/>
      <c r="O360" s="137" t="n"/>
      <c r="P360" s="137" t="n"/>
      <c r="Q360" s="137" t="n"/>
      <c r="R360" s="137" t="n"/>
      <c r="S360" s="137" t="n"/>
      <c r="T360" s="137" t="n"/>
      <c r="U360" s="137" t="n"/>
      <c r="V360" s="137" t="n"/>
      <c r="W360" s="137" t="n"/>
      <c r="X360" s="137" t="n"/>
      <c r="Y360" s="137" t="n"/>
      <c r="Z360" s="137" t="n"/>
      <c r="AB360" s="141" t="n">
        <v>1</v>
      </c>
      <c r="AC360" s="131" t="n"/>
      <c r="AD360" s="16" t="n"/>
      <c r="AE360" s="17" t="n"/>
      <c r="AF360" s="142">
        <f>DADOS_INVOC!$PX$102</f>
        <v/>
      </c>
      <c r="AG360" s="137" t="n"/>
      <c r="AH360" s="137" t="n"/>
      <c r="AI360" s="137" t="n"/>
      <c r="AJ360" s="137" t="n"/>
      <c r="AK360" s="137" t="n"/>
      <c r="AL360" s="137" t="n"/>
      <c r="AM360" s="137" t="n"/>
      <c r="AN360" s="137" t="n"/>
      <c r="AO360" s="137" t="n"/>
      <c r="AP360" s="137" t="n"/>
      <c r="AQ360" s="137" t="n"/>
      <c r="AR360" s="137" t="n"/>
      <c r="AS360" s="137" t="n"/>
    </row>
    <row r="361" hidden="1" outlineLevel="3">
      <c r="A361" s="8" t="n"/>
      <c r="B361" s="14" t="n"/>
      <c r="C361" s="137" t="n"/>
      <c r="D361" s="137" t="n"/>
      <c r="E361" s="137" t="n"/>
      <c r="F361" s="137" t="n"/>
      <c r="G361" s="137" t="n"/>
      <c r="I361" s="56" t="inlineStr">
        <is>
          <t>COMO É</t>
        </is>
      </c>
      <c r="J361" s="16" t="n"/>
      <c r="K361" s="16" t="n"/>
      <c r="L361" s="16" t="n"/>
      <c r="M361" s="17" t="n"/>
      <c r="N361" s="137" t="n"/>
      <c r="O361" s="137" t="n"/>
      <c r="P361" s="137" t="n"/>
      <c r="Q361" s="137" t="n"/>
      <c r="R361" s="137" t="n"/>
      <c r="S361" s="137" t="n"/>
      <c r="T361" s="137" t="n"/>
      <c r="U361" s="137" t="n"/>
      <c r="V361" s="137" t="n"/>
      <c r="W361" s="137" t="n"/>
      <c r="X361" s="137" t="n"/>
      <c r="Y361" s="137" t="n"/>
      <c r="Z361" s="137" t="n"/>
      <c r="AB361" s="56" t="inlineStr">
        <is>
          <t>COMO É</t>
        </is>
      </c>
      <c r="AC361" s="16" t="n"/>
      <c r="AD361" s="16" t="n"/>
      <c r="AE361" s="16" t="n"/>
      <c r="AF361" s="17" t="n"/>
      <c r="AG361" s="137" t="n"/>
      <c r="AH361" s="137" t="n"/>
      <c r="AI361" s="137" t="n"/>
      <c r="AJ361" s="137" t="n"/>
      <c r="AK361" s="137" t="n"/>
      <c r="AL361" s="137" t="n"/>
      <c r="AM361" s="137" t="n"/>
      <c r="AN361" s="137" t="n"/>
      <c r="AO361" s="137" t="n"/>
      <c r="AP361" s="137" t="n"/>
      <c r="AQ361" s="137" t="n"/>
      <c r="AR361" s="137" t="n"/>
      <c r="AS361" s="137" t="n"/>
    </row>
    <row r="362" hidden="1" outlineLevel="3">
      <c r="A362" s="8" t="n"/>
      <c r="B362" s="14" t="n"/>
      <c r="C362" s="137" t="n"/>
      <c r="D362" s="137" t="n"/>
      <c r="E362" s="137" t="n"/>
      <c r="F362" s="137" t="n"/>
      <c r="G362" s="137" t="n"/>
      <c r="I362" s="61" t="n"/>
      <c r="J362" s="19" t="n"/>
      <c r="K362" s="19" t="n"/>
      <c r="L362" s="19" t="n"/>
      <c r="M362" s="20" t="n"/>
      <c r="N362" s="137" t="n"/>
      <c r="O362" s="137" t="n"/>
      <c r="P362" s="137" t="n"/>
      <c r="Q362" s="137" t="n"/>
      <c r="R362" s="137" t="n"/>
      <c r="S362" s="137" t="n"/>
      <c r="T362" s="137" t="n"/>
      <c r="U362" s="137" t="n"/>
      <c r="V362" s="137" t="n"/>
      <c r="W362" s="137" t="n"/>
      <c r="X362" s="137" t="n"/>
      <c r="Y362" s="137" t="n"/>
      <c r="Z362" s="137" t="n"/>
      <c r="AB362" s="61" t="n"/>
      <c r="AC362" s="19" t="n"/>
      <c r="AD362" s="19" t="n"/>
      <c r="AE362" s="19" t="n"/>
      <c r="AF362" s="20" t="n"/>
      <c r="AG362" s="137" t="n"/>
      <c r="AH362" s="137" t="n"/>
      <c r="AI362" s="137" t="n"/>
      <c r="AJ362" s="137" t="n"/>
      <c r="AK362" s="137" t="n"/>
      <c r="AL362" s="137" t="n"/>
      <c r="AM362" s="137" t="n"/>
      <c r="AN362" s="137" t="n"/>
      <c r="AO362" s="137" t="n"/>
      <c r="AP362" s="137" t="n"/>
      <c r="AQ362" s="137" t="n"/>
      <c r="AR362" s="137" t="n"/>
      <c r="AS362" s="137" t="n"/>
    </row>
    <row r="363" hidden="1" outlineLevel="3">
      <c r="A363" s="8" t="n"/>
      <c r="B363" s="14" t="n"/>
      <c r="C363" s="137" t="n"/>
      <c r="D363" s="137" t="n"/>
      <c r="E363" s="137" t="n"/>
      <c r="F363" s="137" t="n"/>
      <c r="G363" s="137" t="n"/>
      <c r="I363" s="21" t="n"/>
      <c r="M363" s="22" t="n"/>
      <c r="N363" s="137" t="n"/>
      <c r="O363" s="137" t="n"/>
      <c r="P363" s="137" t="n"/>
      <c r="Q363" s="137" t="n"/>
      <c r="R363" s="137" t="n"/>
      <c r="S363" s="137" t="n"/>
      <c r="T363" s="137" t="n"/>
      <c r="U363" s="137" t="n"/>
      <c r="V363" s="137" t="n"/>
      <c r="W363" s="137" t="n"/>
      <c r="X363" s="137" t="n"/>
      <c r="Y363" s="137" t="n"/>
      <c r="Z363" s="137" t="n"/>
      <c r="AB363" s="21" t="n"/>
      <c r="AF363" s="22" t="n"/>
      <c r="AG363" s="137" t="n"/>
      <c r="AH363" s="137" t="n"/>
      <c r="AI363" s="137" t="n"/>
      <c r="AJ363" s="137" t="n"/>
      <c r="AK363" s="137" t="n"/>
      <c r="AL363" s="137" t="n"/>
      <c r="AM363" s="137" t="n"/>
      <c r="AN363" s="137" t="n"/>
      <c r="AO363" s="137" t="n"/>
      <c r="AP363" s="137" t="n"/>
      <c r="AQ363" s="137" t="n"/>
      <c r="AR363" s="137" t="n"/>
      <c r="AS363" s="137" t="n"/>
    </row>
    <row r="364" hidden="1" outlineLevel="3">
      <c r="A364" s="8" t="n"/>
      <c r="B364" s="14" t="n"/>
      <c r="C364" s="137" t="n"/>
      <c r="D364" s="137" t="n"/>
      <c r="E364" s="137" t="n"/>
      <c r="F364" s="137" t="n"/>
      <c r="G364" s="137" t="n"/>
      <c r="I364" s="23" t="n"/>
      <c r="J364" s="24" t="n"/>
      <c r="K364" s="24" t="n"/>
      <c r="L364" s="24" t="n"/>
      <c r="M364" s="25" t="n"/>
      <c r="N364" s="137" t="n"/>
      <c r="O364" s="137" t="n"/>
      <c r="P364" s="137" t="n"/>
      <c r="Q364" s="137" t="n"/>
      <c r="R364" s="137" t="n"/>
      <c r="S364" s="137" t="n"/>
      <c r="T364" s="137" t="n"/>
      <c r="U364" s="137" t="n"/>
      <c r="V364" s="137" t="n"/>
      <c r="W364" s="137" t="n"/>
      <c r="X364" s="137" t="n"/>
      <c r="Y364" s="137" t="n"/>
      <c r="Z364" s="137" t="n"/>
      <c r="AB364" s="23" t="n"/>
      <c r="AC364" s="24" t="n"/>
      <c r="AD364" s="24" t="n"/>
      <c r="AE364" s="24" t="n"/>
      <c r="AF364" s="25" t="n"/>
      <c r="AG364" s="137" t="n"/>
      <c r="AH364" s="137" t="n"/>
      <c r="AI364" s="137" t="n"/>
      <c r="AJ364" s="137" t="n"/>
      <c r="AK364" s="137" t="n"/>
      <c r="AL364" s="137" t="n"/>
      <c r="AM364" s="137" t="n"/>
      <c r="AN364" s="137" t="n"/>
      <c r="AO364" s="137" t="n"/>
      <c r="AP364" s="137" t="n"/>
      <c r="AQ364" s="137" t="n"/>
      <c r="AR364" s="137" t="n"/>
      <c r="AS364" s="137" t="n"/>
    </row>
    <row r="365" hidden="1" outlineLevel="2">
      <c r="A365" s="8" t="n"/>
      <c r="B365" s="14" t="n"/>
      <c r="C365" s="137" t="n"/>
      <c r="D365" s="137" t="n"/>
      <c r="E365" s="137" t="n"/>
      <c r="F365" s="137" t="n"/>
      <c r="G365" s="137" t="n"/>
      <c r="I365" s="95" t="inlineStr">
        <is>
          <t>Projétil</t>
        </is>
      </c>
      <c r="J365" s="17" t="n"/>
      <c r="K365" s="71">
        <f>DADOS_INVOC!$QE$24</f>
        <v/>
      </c>
      <c r="L365" s="17" t="n"/>
      <c r="M365" s="71">
        <f>DADOS_INVOC!$QA$24</f>
        <v/>
      </c>
      <c r="N365" s="137" t="n"/>
      <c r="O365" s="137" t="n"/>
      <c r="P365" s="137" t="n"/>
      <c r="Q365" s="137" t="n"/>
      <c r="R365" s="137" t="n"/>
      <c r="S365" s="137" t="n"/>
      <c r="T365" s="137" t="n"/>
      <c r="U365" s="137" t="n"/>
      <c r="V365" s="137" t="n"/>
      <c r="W365" s="137" t="n"/>
      <c r="X365" s="137" t="n"/>
      <c r="Y365" s="137" t="n"/>
      <c r="Z365" s="137" t="n"/>
      <c r="AB365" s="95" t="inlineStr">
        <is>
          <t>Projétil</t>
        </is>
      </c>
      <c r="AC365" s="17" t="n"/>
      <c r="AD365" s="71">
        <f>DADOS_INVOC!$QE$102</f>
        <v/>
      </c>
      <c r="AE365" s="17" t="n"/>
      <c r="AF365" s="71">
        <f>DADOS_INVOC!$QA$102</f>
        <v/>
      </c>
      <c r="AG365" s="137" t="n"/>
      <c r="AH365" s="137" t="n"/>
      <c r="AI365" s="137" t="n"/>
      <c r="AJ365" s="137" t="n"/>
      <c r="AK365" s="137" t="n"/>
      <c r="AL365" s="137" t="n"/>
      <c r="AM365" s="137" t="n"/>
      <c r="AN365" s="137" t="n"/>
      <c r="AO365" s="137" t="n"/>
      <c r="AP365" s="137" t="n"/>
      <c r="AQ365" s="137" t="n"/>
      <c r="AR365" s="137" t="n"/>
      <c r="AS365" s="137" t="n"/>
    </row>
    <row r="366" hidden="1" outlineLevel="2">
      <c r="A366" s="8" t="n"/>
      <c r="B366" s="14" t="n"/>
      <c r="C366" s="137" t="n"/>
      <c r="D366" s="137" t="n"/>
      <c r="E366" s="137" t="n"/>
      <c r="F366" s="137" t="n"/>
      <c r="G366" s="137" t="n"/>
      <c r="I366" s="95" t="n"/>
      <c r="J366" s="17" t="n"/>
      <c r="K366" s="95" t="n"/>
      <c r="L366" s="16" t="n"/>
      <c r="M366" s="17" t="n"/>
      <c r="N366" s="137" t="n"/>
      <c r="O366" s="137" t="n"/>
      <c r="P366" s="137" t="n"/>
      <c r="Q366" s="137" t="n"/>
      <c r="R366" s="137" t="n"/>
      <c r="S366" s="137" t="n"/>
      <c r="T366" s="137" t="n"/>
      <c r="U366" s="137" t="n"/>
      <c r="V366" s="137" t="n"/>
      <c r="W366" s="137" t="n"/>
      <c r="X366" s="137" t="n"/>
      <c r="Y366" s="137" t="n"/>
      <c r="Z366" s="137" t="n"/>
      <c r="AB366" s="95" t="n"/>
      <c r="AC366" s="17" t="n"/>
      <c r="AD366" s="95" t="n"/>
      <c r="AE366" s="16" t="n"/>
      <c r="AF366" s="17" t="n"/>
      <c r="AG366" s="137" t="n"/>
      <c r="AH366" s="137" t="n"/>
      <c r="AI366" s="137" t="n"/>
      <c r="AJ366" s="137" t="n"/>
      <c r="AK366" s="137" t="n"/>
      <c r="AL366" s="137" t="n"/>
      <c r="AM366" s="137" t="n"/>
      <c r="AN366" s="137" t="n"/>
      <c r="AO366" s="137" t="n"/>
      <c r="AP366" s="137" t="n"/>
      <c r="AQ366" s="137" t="n"/>
      <c r="AR366" s="137" t="n"/>
      <c r="AS366" s="137" t="n"/>
    </row>
    <row r="367" hidden="1" outlineLevel="2">
      <c r="A367" s="8" t="n"/>
      <c r="B367" s="14" t="n"/>
      <c r="C367" s="137" t="n"/>
      <c r="D367" s="137" t="n"/>
      <c r="E367" s="137" t="n"/>
      <c r="F367" s="137" t="n"/>
      <c r="G367" s="137" t="n"/>
      <c r="I367" s="95">
        <f>DADOS_INVOC!$QB$24</f>
        <v/>
      </c>
      <c r="J367" s="17" t="n"/>
      <c r="K367" s="95">
        <f>DADOS_INVOC!$QD$24</f>
        <v/>
      </c>
      <c r="L367" s="16" t="n"/>
      <c r="M367" s="17" t="n"/>
      <c r="N367" s="137" t="n"/>
      <c r="O367" s="137" t="n"/>
      <c r="P367" s="137" t="n"/>
      <c r="Q367" s="137" t="n"/>
      <c r="R367" s="137" t="n"/>
      <c r="S367" s="137" t="n"/>
      <c r="T367" s="137" t="n"/>
      <c r="U367" s="137" t="n"/>
      <c r="V367" s="137" t="n"/>
      <c r="W367" s="137" t="n"/>
      <c r="X367" s="137" t="n"/>
      <c r="Y367" s="137" t="n"/>
      <c r="Z367" s="137" t="n"/>
      <c r="AB367" s="95">
        <f>DADOS_INVOC!$QB$102</f>
        <v/>
      </c>
      <c r="AC367" s="17" t="n"/>
      <c r="AD367" s="95">
        <f>DADOS_INVOC!$QD$102</f>
        <v/>
      </c>
      <c r="AE367" s="16" t="n"/>
      <c r="AF367" s="17" t="n"/>
      <c r="AG367" s="137" t="n"/>
      <c r="AH367" s="137" t="n"/>
      <c r="AI367" s="137" t="n"/>
      <c r="AJ367" s="137" t="n"/>
      <c r="AK367" s="137" t="n"/>
      <c r="AL367" s="137" t="n"/>
      <c r="AM367" s="137" t="n"/>
      <c r="AN367" s="137" t="n"/>
      <c r="AO367" s="137" t="n"/>
      <c r="AP367" s="137" t="n"/>
      <c r="AQ367" s="137" t="n"/>
      <c r="AR367" s="137" t="n"/>
      <c r="AS367" s="137" t="n"/>
    </row>
    <row r="368" hidden="1" outlineLevel="2">
      <c r="A368" s="8" t="n"/>
      <c r="B368" s="14" t="n"/>
      <c r="C368" s="137" t="n"/>
      <c r="D368" s="137" t="n"/>
      <c r="E368" s="137" t="n"/>
      <c r="F368" s="137" t="n"/>
      <c r="G368" s="137" t="n"/>
      <c r="I368" s="143">
        <f>DADOS_INVOC!$QJ$24</f>
        <v/>
      </c>
      <c r="J368" s="16" t="n"/>
      <c r="K368" s="16" t="n"/>
      <c r="L368" s="16" t="n"/>
      <c r="M368" s="17" t="n"/>
      <c r="N368" s="137" t="n"/>
      <c r="O368" s="137" t="n"/>
      <c r="P368" s="137" t="n"/>
      <c r="Q368" s="137" t="n"/>
      <c r="R368" s="137" t="n"/>
      <c r="S368" s="137" t="n"/>
      <c r="T368" s="137" t="n"/>
      <c r="U368" s="137" t="n"/>
      <c r="V368" s="137" t="n"/>
      <c r="W368" s="137" t="n"/>
      <c r="X368" s="137" t="n"/>
      <c r="Y368" s="137" t="n"/>
      <c r="Z368" s="137" t="n"/>
      <c r="AB368" s="143">
        <f>DADOS_INVOC!$QJ$102</f>
        <v/>
      </c>
      <c r="AC368" s="16" t="n"/>
      <c r="AD368" s="16" t="n"/>
      <c r="AE368" s="16" t="n"/>
      <c r="AF368" s="17" t="n"/>
      <c r="AG368" s="137" t="n"/>
      <c r="AH368" s="137" t="n"/>
      <c r="AI368" s="137" t="n"/>
      <c r="AJ368" s="137" t="n"/>
      <c r="AK368" s="137" t="n"/>
      <c r="AL368" s="137" t="n"/>
      <c r="AM368" s="137" t="n"/>
      <c r="AN368" s="137" t="n"/>
      <c r="AO368" s="137" t="n"/>
      <c r="AP368" s="137" t="n"/>
      <c r="AQ368" s="137" t="n"/>
      <c r="AR368" s="137" t="n"/>
      <c r="AS368" s="137" t="n"/>
    </row>
    <row r="369" hidden="1" outlineLevel="3">
      <c r="A369" s="8" t="n"/>
      <c r="B369" s="14" t="n"/>
      <c r="C369" s="137" t="n"/>
      <c r="D369" s="137" t="n"/>
      <c r="E369" s="137" t="n"/>
      <c r="F369" s="137" t="n"/>
      <c r="G369" s="137" t="n"/>
      <c r="I369" s="56" t="inlineStr">
        <is>
          <t>MELHORIAS</t>
        </is>
      </c>
      <c r="J369" s="144" t="n"/>
      <c r="K369" s="16" t="n"/>
      <c r="L369" s="17" t="n"/>
      <c r="M369" s="143">
        <f>DADOS_INVOC!$QM$24</f>
        <v/>
      </c>
      <c r="N369" s="137" t="n"/>
      <c r="O369" s="137" t="n"/>
      <c r="P369" s="137" t="n"/>
      <c r="Q369" s="137" t="n"/>
      <c r="R369" s="137" t="n"/>
      <c r="S369" s="137" t="n"/>
      <c r="T369" s="137" t="n"/>
      <c r="U369" s="137" t="n"/>
      <c r="V369" s="137" t="n"/>
      <c r="W369" s="137" t="n"/>
      <c r="X369" s="137" t="n"/>
      <c r="Y369" s="137" t="n"/>
      <c r="Z369" s="137" t="n"/>
      <c r="AB369" s="56" t="inlineStr">
        <is>
          <t>MELHORIAS</t>
        </is>
      </c>
      <c r="AC369" s="144" t="n"/>
      <c r="AD369" s="16" t="n"/>
      <c r="AE369" s="17" t="n"/>
      <c r="AF369" s="143">
        <f>DADOS_INVOC!$QM$102</f>
        <v/>
      </c>
      <c r="AG369" s="137" t="n"/>
      <c r="AH369" s="137" t="n"/>
      <c r="AI369" s="137" t="n"/>
      <c r="AJ369" s="137" t="n"/>
      <c r="AK369" s="137" t="n"/>
      <c r="AL369" s="137" t="n"/>
      <c r="AM369" s="137" t="n"/>
      <c r="AN369" s="137" t="n"/>
      <c r="AO369" s="137" t="n"/>
      <c r="AP369" s="137" t="n"/>
      <c r="AQ369" s="137" t="n"/>
      <c r="AR369" s="137" t="n"/>
      <c r="AS369" s="137" t="n"/>
    </row>
    <row r="370" hidden="1" outlineLevel="3">
      <c r="A370" s="8" t="n"/>
      <c r="B370" s="14" t="n"/>
      <c r="C370" s="137" t="n"/>
      <c r="D370" s="137" t="n"/>
      <c r="E370" s="137" t="n"/>
      <c r="F370" s="137" t="n"/>
      <c r="G370" s="137" t="n"/>
      <c r="I370" s="66" t="n"/>
      <c r="J370" s="144" t="n"/>
      <c r="K370" s="16" t="n"/>
      <c r="L370" s="17" t="n"/>
      <c r="M370" s="143">
        <f>DADOS_INVOC!$QN$24</f>
        <v/>
      </c>
      <c r="N370" s="137" t="n"/>
      <c r="O370" s="137" t="n"/>
      <c r="P370" s="137" t="n"/>
      <c r="Q370" s="137" t="n"/>
      <c r="R370" s="137" t="n"/>
      <c r="S370" s="137" t="n"/>
      <c r="T370" s="137" t="n"/>
      <c r="U370" s="137" t="n"/>
      <c r="V370" s="137" t="n"/>
      <c r="W370" s="137" t="n"/>
      <c r="X370" s="137" t="n"/>
      <c r="Y370" s="137" t="n"/>
      <c r="Z370" s="137" t="n"/>
      <c r="AB370" s="66" t="n"/>
      <c r="AC370" s="144" t="n"/>
      <c r="AD370" s="16" t="n"/>
      <c r="AE370" s="17" t="n"/>
      <c r="AF370" s="143">
        <f>DADOS_INVOC!$QN$102</f>
        <v/>
      </c>
      <c r="AG370" s="137" t="n"/>
      <c r="AH370" s="137" t="n"/>
      <c r="AI370" s="137" t="n"/>
      <c r="AJ370" s="137" t="n"/>
      <c r="AK370" s="137" t="n"/>
      <c r="AL370" s="137" t="n"/>
      <c r="AM370" s="137" t="n"/>
      <c r="AN370" s="137" t="n"/>
      <c r="AO370" s="137" t="n"/>
      <c r="AP370" s="137" t="n"/>
      <c r="AQ370" s="137" t="n"/>
      <c r="AR370" s="137" t="n"/>
      <c r="AS370" s="137" t="n"/>
    </row>
    <row r="371" hidden="1" outlineLevel="3">
      <c r="A371" s="8" t="n"/>
      <c r="B371" s="14" t="n"/>
      <c r="C371" s="137" t="n"/>
      <c r="D371" s="137" t="n"/>
      <c r="E371" s="137" t="n"/>
      <c r="F371" s="137" t="n"/>
      <c r="G371" s="137" t="n"/>
      <c r="I371" s="66" t="n"/>
      <c r="J371" s="144" t="n"/>
      <c r="K371" s="16" t="n"/>
      <c r="L371" s="17" t="n"/>
      <c r="M371" s="143">
        <f>DADOS_INVOC!$QO$24</f>
        <v/>
      </c>
      <c r="N371" s="137" t="n"/>
      <c r="O371" s="137" t="n"/>
      <c r="P371" s="137" t="n"/>
      <c r="Q371" s="137" t="n"/>
      <c r="R371" s="137" t="n"/>
      <c r="S371" s="137" t="n"/>
      <c r="T371" s="137" t="n"/>
      <c r="U371" s="137" t="n"/>
      <c r="V371" s="137" t="n"/>
      <c r="W371" s="137" t="n"/>
      <c r="X371" s="137" t="n"/>
      <c r="Y371" s="137" t="n"/>
      <c r="Z371" s="137" t="n"/>
      <c r="AB371" s="66" t="n"/>
      <c r="AC371" s="144" t="n"/>
      <c r="AD371" s="16" t="n"/>
      <c r="AE371" s="17" t="n"/>
      <c r="AF371" s="143">
        <f>DADOS_INVOC!$QO$102</f>
        <v/>
      </c>
      <c r="AG371" s="137" t="n"/>
      <c r="AH371" s="137" t="n"/>
      <c r="AI371" s="137" t="n"/>
      <c r="AJ371" s="137" t="n"/>
      <c r="AK371" s="137" t="n"/>
      <c r="AL371" s="137" t="n"/>
      <c r="AM371" s="137" t="n"/>
      <c r="AN371" s="137" t="n"/>
      <c r="AO371" s="137" t="n"/>
      <c r="AP371" s="137" t="n"/>
      <c r="AQ371" s="137" t="n"/>
      <c r="AR371" s="137" t="n"/>
      <c r="AS371" s="137" t="n"/>
    </row>
    <row r="372" hidden="1" outlineLevel="3">
      <c r="A372" s="8" t="n"/>
      <c r="B372" s="14" t="n"/>
      <c r="C372" s="137" t="n"/>
      <c r="D372" s="137" t="n"/>
      <c r="E372" s="137" t="n"/>
      <c r="F372" s="137" t="n"/>
      <c r="G372" s="137" t="n"/>
      <c r="I372" s="128" t="n"/>
      <c r="J372" s="144" t="n"/>
      <c r="K372" s="16" t="n"/>
      <c r="L372" s="17" t="n"/>
      <c r="M372" s="143">
        <f>DADOS_INVOC!$QP$24</f>
        <v/>
      </c>
      <c r="N372" s="137" t="n"/>
      <c r="O372" s="137" t="n"/>
      <c r="P372" s="137" t="n"/>
      <c r="Q372" s="137" t="n"/>
      <c r="R372" s="137" t="n"/>
      <c r="S372" s="137" t="n"/>
      <c r="T372" s="137" t="n"/>
      <c r="U372" s="137" t="n"/>
      <c r="V372" s="137" t="n"/>
      <c r="W372" s="137" t="n"/>
      <c r="X372" s="137" t="n"/>
      <c r="Y372" s="137" t="n"/>
      <c r="Z372" s="137" t="n"/>
      <c r="AB372" s="128" t="n"/>
      <c r="AC372" s="144" t="n"/>
      <c r="AD372" s="16" t="n"/>
      <c r="AE372" s="17" t="n"/>
      <c r="AF372" s="143">
        <f>DADOS_INVOC!$QP$102</f>
        <v/>
      </c>
      <c r="AG372" s="137" t="n"/>
      <c r="AH372" s="137" t="n"/>
      <c r="AI372" s="137" t="n"/>
      <c r="AJ372" s="137" t="n"/>
      <c r="AK372" s="137" t="n"/>
      <c r="AL372" s="137" t="n"/>
      <c r="AM372" s="137" t="n"/>
      <c r="AN372" s="137" t="n"/>
      <c r="AO372" s="137" t="n"/>
      <c r="AP372" s="137" t="n"/>
      <c r="AQ372" s="137" t="n"/>
      <c r="AR372" s="137" t="n"/>
      <c r="AS372" s="137" t="n"/>
    </row>
    <row r="373" hidden="1" outlineLevel="3">
      <c r="A373" s="8" t="n"/>
      <c r="B373" s="14" t="n"/>
      <c r="C373" s="137" t="n"/>
      <c r="D373" s="137" t="n"/>
      <c r="E373" s="137" t="n"/>
      <c r="F373" s="137" t="n"/>
      <c r="G373" s="137" t="n"/>
      <c r="I373" s="56" t="inlineStr">
        <is>
          <t>RESTRIÇÕES</t>
        </is>
      </c>
      <c r="J373" s="144" t="n"/>
      <c r="K373" s="16" t="n"/>
      <c r="L373" s="17" t="n"/>
      <c r="M373" s="143">
        <f>DADOS_INVOC!$QQ$24</f>
        <v/>
      </c>
      <c r="N373" s="137" t="n"/>
      <c r="O373" s="137" t="n"/>
      <c r="P373" s="137" t="n"/>
      <c r="Q373" s="137" t="n"/>
      <c r="R373" s="137" t="n"/>
      <c r="S373" s="137" t="n"/>
      <c r="T373" s="137" t="n"/>
      <c r="U373" s="137" t="n"/>
      <c r="V373" s="137" t="n"/>
      <c r="W373" s="137" t="n"/>
      <c r="X373" s="137" t="n"/>
      <c r="Y373" s="137" t="n"/>
      <c r="Z373" s="137" t="n"/>
      <c r="AB373" s="56" t="inlineStr">
        <is>
          <t>RESTRIÇÕES</t>
        </is>
      </c>
      <c r="AC373" s="144" t="n"/>
      <c r="AD373" s="16" t="n"/>
      <c r="AE373" s="17" t="n"/>
      <c r="AF373" s="143">
        <f>DADOS_INVOC!$QQ$102</f>
        <v/>
      </c>
      <c r="AG373" s="137" t="n"/>
      <c r="AH373" s="137" t="n"/>
      <c r="AI373" s="137" t="n"/>
      <c r="AJ373" s="137" t="n"/>
      <c r="AK373" s="137" t="n"/>
      <c r="AL373" s="137" t="n"/>
      <c r="AM373" s="137" t="n"/>
      <c r="AN373" s="137" t="n"/>
      <c r="AO373" s="137" t="n"/>
      <c r="AP373" s="137" t="n"/>
      <c r="AQ373" s="137" t="n"/>
      <c r="AR373" s="137" t="n"/>
      <c r="AS373" s="137" t="n"/>
    </row>
    <row r="374" hidden="1" outlineLevel="3">
      <c r="A374" s="8" t="n"/>
      <c r="B374" s="14" t="n"/>
      <c r="C374" s="137" t="n"/>
      <c r="D374" s="137" t="n"/>
      <c r="E374" s="137" t="n"/>
      <c r="F374" s="137" t="n"/>
      <c r="G374" s="137" t="n"/>
      <c r="I374" s="128" t="n"/>
      <c r="J374" s="144" t="n"/>
      <c r="K374" s="16" t="n"/>
      <c r="L374" s="17" t="n"/>
      <c r="M374" s="143">
        <f>DADOS_INVOC!$QR$24</f>
        <v/>
      </c>
      <c r="N374" s="137" t="n"/>
      <c r="O374" s="137" t="n"/>
      <c r="P374" s="137" t="n"/>
      <c r="Q374" s="137" t="n"/>
      <c r="R374" s="137" t="n"/>
      <c r="S374" s="137" t="n"/>
      <c r="T374" s="137" t="n"/>
      <c r="U374" s="137" t="n"/>
      <c r="V374" s="137" t="n"/>
      <c r="W374" s="137" t="n"/>
      <c r="X374" s="137" t="n"/>
      <c r="Y374" s="137" t="n"/>
      <c r="Z374" s="137" t="n"/>
      <c r="AB374" s="128" t="n"/>
      <c r="AC374" s="144" t="n"/>
      <c r="AD374" s="16" t="n"/>
      <c r="AE374" s="17" t="n"/>
      <c r="AF374" s="143">
        <f>DADOS_INVOC!$QR$102</f>
        <v/>
      </c>
      <c r="AG374" s="137" t="n"/>
      <c r="AH374" s="137" t="n"/>
      <c r="AI374" s="137" t="n"/>
      <c r="AJ374" s="137" t="n"/>
      <c r="AK374" s="137" t="n"/>
      <c r="AL374" s="137" t="n"/>
      <c r="AM374" s="137" t="n"/>
      <c r="AN374" s="137" t="n"/>
      <c r="AO374" s="137" t="n"/>
      <c r="AP374" s="137" t="n"/>
      <c r="AQ374" s="137" t="n"/>
      <c r="AR374" s="137" t="n"/>
      <c r="AS374" s="137" t="n"/>
    </row>
    <row r="375" hidden="1" outlineLevel="3">
      <c r="A375" s="8" t="n"/>
      <c r="B375" s="14" t="n"/>
      <c r="C375" s="137" t="n"/>
      <c r="D375" s="137" t="n"/>
      <c r="E375" s="137" t="n"/>
      <c r="F375" s="137" t="n"/>
      <c r="G375" s="137" t="n"/>
      <c r="I375" s="56" t="inlineStr">
        <is>
          <t>CONTA</t>
        </is>
      </c>
      <c r="J375" s="145">
        <f>DADOS_INVOC!$QK$24</f>
        <v/>
      </c>
      <c r="K375" s="16" t="n"/>
      <c r="L375" s="16" t="n"/>
      <c r="M375" s="17" t="n"/>
      <c r="N375" s="137" t="n"/>
      <c r="O375" s="137" t="n"/>
      <c r="P375" s="137" t="n"/>
      <c r="Q375" s="137" t="n"/>
      <c r="R375" s="137" t="n"/>
      <c r="S375" s="137" t="n"/>
      <c r="T375" s="137" t="n"/>
      <c r="U375" s="137" t="n"/>
      <c r="V375" s="137" t="n"/>
      <c r="W375" s="137" t="n"/>
      <c r="X375" s="137" t="n"/>
      <c r="Y375" s="137" t="n"/>
      <c r="Z375" s="137" t="n"/>
      <c r="AB375" s="56" t="inlineStr">
        <is>
          <t>CONTA</t>
        </is>
      </c>
      <c r="AC375" s="145">
        <f>DADOS_INVOC!$QK$102</f>
        <v/>
      </c>
      <c r="AD375" s="16" t="n"/>
      <c r="AE375" s="16" t="n"/>
      <c r="AF375" s="17" t="n"/>
      <c r="AG375" s="137" t="n"/>
      <c r="AH375" s="137" t="n"/>
      <c r="AI375" s="137" t="n"/>
      <c r="AJ375" s="137" t="n"/>
      <c r="AK375" s="137" t="n"/>
      <c r="AL375" s="137" t="n"/>
      <c r="AM375" s="137" t="n"/>
      <c r="AN375" s="137" t="n"/>
      <c r="AO375" s="137" t="n"/>
      <c r="AP375" s="137" t="n"/>
      <c r="AQ375" s="137" t="n"/>
      <c r="AR375" s="137" t="n"/>
      <c r="AS375" s="137" t="n"/>
    </row>
    <row r="376" hidden="1" outlineLevel="3">
      <c r="A376" s="8" t="n"/>
      <c r="B376" s="14" t="n"/>
      <c r="C376" s="137" t="n"/>
      <c r="D376" s="137" t="n"/>
      <c r="E376" s="137" t="n"/>
      <c r="F376" s="137" t="n"/>
      <c r="G376" s="137" t="n"/>
      <c r="I376" s="56" t="inlineStr">
        <is>
          <t>AMPLIAR</t>
        </is>
      </c>
      <c r="J376" s="145">
        <f>DADOS_INVOC!$QL$24</f>
        <v/>
      </c>
      <c r="K376" s="19" t="n"/>
      <c r="L376" s="19" t="n"/>
      <c r="M376" s="20" t="n"/>
      <c r="N376" s="137" t="n"/>
      <c r="O376" s="137" t="n"/>
      <c r="P376" s="137" t="n"/>
      <c r="Q376" s="137" t="n"/>
      <c r="R376" s="137" t="n"/>
      <c r="S376" s="137" t="n"/>
      <c r="T376" s="137" t="n"/>
      <c r="U376" s="137" t="n"/>
      <c r="V376" s="137" t="n"/>
      <c r="W376" s="137" t="n"/>
      <c r="X376" s="137" t="n"/>
      <c r="Y376" s="137" t="n"/>
      <c r="Z376" s="137" t="n"/>
      <c r="AB376" s="56" t="inlineStr">
        <is>
          <t>AMPLIAR</t>
        </is>
      </c>
      <c r="AC376" s="145">
        <f>DADOS_INVOC!$QL$102</f>
        <v/>
      </c>
      <c r="AD376" s="19" t="n"/>
      <c r="AE376" s="19" t="n"/>
      <c r="AF376" s="20" t="n"/>
      <c r="AG376" s="137" t="n"/>
      <c r="AH376" s="137" t="n"/>
      <c r="AI376" s="137" t="n"/>
      <c r="AJ376" s="137" t="n"/>
      <c r="AK376" s="137" t="n"/>
      <c r="AL376" s="137" t="n"/>
      <c r="AM376" s="137" t="n"/>
      <c r="AN376" s="137" t="n"/>
      <c r="AO376" s="137" t="n"/>
      <c r="AP376" s="137" t="n"/>
      <c r="AQ376" s="137" t="n"/>
      <c r="AR376" s="137" t="n"/>
      <c r="AS376" s="137" t="n"/>
    </row>
    <row r="377" hidden="1" outlineLevel="3">
      <c r="A377" s="8" t="n"/>
      <c r="B377" s="14" t="n"/>
      <c r="C377" s="137" t="n"/>
      <c r="D377" s="137" t="n"/>
      <c r="E377" s="137" t="n"/>
      <c r="F377" s="137" t="n"/>
      <c r="G377" s="137" t="n"/>
      <c r="I377" s="128" t="n"/>
      <c r="J377" s="23" t="n"/>
      <c r="K377" s="24" t="n"/>
      <c r="L377" s="24" t="n"/>
      <c r="M377" s="25" t="n"/>
      <c r="N377" s="137" t="n"/>
      <c r="O377" s="137" t="n"/>
      <c r="P377" s="137" t="n"/>
      <c r="Q377" s="137" t="n"/>
      <c r="R377" s="137" t="n"/>
      <c r="S377" s="137" t="n"/>
      <c r="T377" s="137" t="n"/>
      <c r="U377" s="137" t="n"/>
      <c r="V377" s="137" t="n"/>
      <c r="W377" s="137" t="n"/>
      <c r="X377" s="137" t="n"/>
      <c r="Y377" s="137" t="n"/>
      <c r="Z377" s="137" t="n"/>
      <c r="AB377" s="128" t="n"/>
      <c r="AC377" s="23" t="n"/>
      <c r="AD377" s="24" t="n"/>
      <c r="AE377" s="24" t="n"/>
      <c r="AF377" s="25" t="n"/>
      <c r="AG377" s="137" t="n"/>
      <c r="AH377" s="137" t="n"/>
      <c r="AI377" s="137" t="n"/>
      <c r="AJ377" s="137" t="n"/>
      <c r="AK377" s="137" t="n"/>
      <c r="AL377" s="137" t="n"/>
      <c r="AM377" s="137" t="n"/>
      <c r="AN377" s="137" t="n"/>
      <c r="AO377" s="137" t="n"/>
      <c r="AP377" s="137" t="n"/>
      <c r="AQ377" s="137" t="n"/>
      <c r="AR377" s="137" t="n"/>
      <c r="AS377" s="137" t="n"/>
    </row>
    <row r="378" hidden="1" outlineLevel="3">
      <c r="A378" s="8" t="n"/>
      <c r="B378" s="14" t="n"/>
      <c r="C378" s="137" t="n"/>
      <c r="D378" s="137" t="n"/>
      <c r="E378" s="137" t="n"/>
      <c r="F378" s="137" t="n"/>
      <c r="G378" s="137" t="n"/>
      <c r="I378" s="145">
        <f>DADOS_INVOC!$PY$24</f>
        <v/>
      </c>
      <c r="J378" s="19" t="n"/>
      <c r="K378" s="19" t="n"/>
      <c r="L378" s="19" t="n"/>
      <c r="M378" s="20" t="n"/>
      <c r="N378" s="137" t="n"/>
      <c r="O378" s="137" t="n"/>
      <c r="P378" s="137" t="n"/>
      <c r="Q378" s="137" t="n"/>
      <c r="R378" s="137" t="n"/>
      <c r="S378" s="137" t="n"/>
      <c r="T378" s="137" t="n"/>
      <c r="U378" s="137" t="n"/>
      <c r="V378" s="137" t="n"/>
      <c r="W378" s="137" t="n"/>
      <c r="X378" s="137" t="n"/>
      <c r="Y378" s="137" t="n"/>
      <c r="Z378" s="137" t="n"/>
      <c r="AB378" s="145">
        <f>DADOS_INVOC!$PY$102</f>
        <v/>
      </c>
      <c r="AC378" s="19" t="n"/>
      <c r="AD378" s="19" t="n"/>
      <c r="AE378" s="19" t="n"/>
      <c r="AF378" s="20" t="n"/>
      <c r="AG378" s="137" t="n"/>
      <c r="AH378" s="137" t="n"/>
      <c r="AI378" s="137" t="n"/>
      <c r="AJ378" s="137" t="n"/>
      <c r="AK378" s="137" t="n"/>
      <c r="AL378" s="137" t="n"/>
      <c r="AM378" s="137" t="n"/>
      <c r="AN378" s="137" t="n"/>
      <c r="AO378" s="137" t="n"/>
      <c r="AP378" s="137" t="n"/>
      <c r="AQ378" s="137" t="n"/>
      <c r="AR378" s="137" t="n"/>
      <c r="AS378" s="137" t="n"/>
    </row>
    <row r="379" hidden="1" outlineLevel="3">
      <c r="A379" s="8" t="n"/>
      <c r="B379" s="14" t="n"/>
      <c r="C379" s="137" t="n"/>
      <c r="D379" s="137" t="n"/>
      <c r="E379" s="137" t="n"/>
      <c r="F379" s="137" t="n"/>
      <c r="G379" s="137" t="n"/>
      <c r="I379" s="23" t="n"/>
      <c r="J379" s="24" t="n"/>
      <c r="K379" s="24" t="n"/>
      <c r="L379" s="24" t="n"/>
      <c r="M379" s="25" t="n"/>
      <c r="N379" s="137" t="n"/>
      <c r="O379" s="137" t="n"/>
      <c r="P379" s="137" t="n"/>
      <c r="Q379" s="137" t="n"/>
      <c r="R379" s="137" t="n"/>
      <c r="S379" s="137" t="n"/>
      <c r="T379" s="137" t="n"/>
      <c r="U379" s="137" t="n"/>
      <c r="V379" s="137" t="n"/>
      <c r="W379" s="137" t="n"/>
      <c r="X379" s="137" t="n"/>
      <c r="Y379" s="137" t="n"/>
      <c r="Z379" s="137" t="n"/>
      <c r="AB379" s="23" t="n"/>
      <c r="AC379" s="24" t="n"/>
      <c r="AD379" s="24" t="n"/>
      <c r="AE379" s="24" t="n"/>
      <c r="AF379" s="25" t="n"/>
      <c r="AG379" s="137" t="n"/>
      <c r="AH379" s="137" t="n"/>
      <c r="AI379" s="137" t="n"/>
      <c r="AJ379" s="137" t="n"/>
      <c r="AK379" s="137" t="n"/>
      <c r="AL379" s="137" t="n"/>
      <c r="AM379" s="137" t="n"/>
      <c r="AN379" s="137" t="n"/>
      <c r="AO379" s="137" t="n"/>
      <c r="AP379" s="137" t="n"/>
      <c r="AQ379" s="137" t="n"/>
      <c r="AR379" s="137" t="n"/>
      <c r="AS379" s="137" t="n"/>
    </row>
    <row r="380" hidden="1" outlineLevel="1">
      <c r="A380" s="8" t="n"/>
      <c r="B380" s="14" t="n"/>
      <c r="C380" s="137" t="n"/>
      <c r="D380" s="137" t="n"/>
      <c r="E380" s="137" t="n"/>
      <c r="F380" s="137" t="n"/>
      <c r="G380" s="137" t="n"/>
      <c r="I380" s="137" t="n"/>
      <c r="J380" s="137" t="n"/>
      <c r="K380" s="137" t="n"/>
      <c r="L380" s="137" t="n"/>
      <c r="M380" s="137" t="n"/>
      <c r="N380" s="137" t="n"/>
      <c r="O380" s="137" t="n"/>
      <c r="P380" s="137" t="n"/>
      <c r="Q380" s="137" t="n"/>
      <c r="R380" s="137" t="n"/>
      <c r="S380" s="137" t="n"/>
      <c r="T380" s="137" t="n"/>
      <c r="U380" s="137" t="n"/>
      <c r="V380" s="137" t="n"/>
      <c r="W380" s="137" t="n"/>
      <c r="X380" s="137" t="n"/>
      <c r="Y380" s="137" t="n"/>
      <c r="Z380" s="137" t="n"/>
      <c r="AB380" s="137" t="n"/>
      <c r="AC380" s="137" t="n"/>
      <c r="AD380" s="137" t="n"/>
      <c r="AE380" s="137" t="n"/>
      <c r="AF380" s="137" t="n"/>
      <c r="AG380" s="137" t="n"/>
      <c r="AH380" s="137" t="n"/>
      <c r="AI380" s="137" t="n"/>
      <c r="AJ380" s="137" t="n"/>
      <c r="AK380" s="137" t="n"/>
      <c r="AL380" s="137" t="n"/>
      <c r="AM380" s="137" t="n"/>
      <c r="AN380" s="137" t="n"/>
      <c r="AO380" s="137" t="n"/>
      <c r="AP380" s="137" t="n"/>
      <c r="AQ380" s="137" t="n"/>
      <c r="AR380" s="137" t="n"/>
      <c r="AS380" s="137" t="n"/>
    </row>
    <row r="381" hidden="1" outlineLevel="1">
      <c r="A381" s="8" t="n"/>
      <c r="B381" s="14" t="n"/>
      <c r="C381" s="137" t="n"/>
      <c r="D381" s="137" t="n"/>
      <c r="E381" s="137" t="n"/>
      <c r="F381" s="137" t="n"/>
      <c r="G381" s="137" t="n"/>
      <c r="I381" s="146" t="inlineStr">
        <is>
          <t>REPERTÓRIO DA TRILHA · só o Evocador: as escolhas a mais da Invocação Principal e do Repertório do Conjunto</t>
        </is>
      </c>
      <c r="J381" s="16" t="n"/>
      <c r="K381" s="16" t="n"/>
      <c r="L381" s="16" t="n"/>
      <c r="M381" s="16" t="n"/>
      <c r="N381" s="16" t="n"/>
      <c r="O381" s="16" t="n"/>
      <c r="P381" s="16" t="n"/>
      <c r="Q381" s="16" t="n"/>
      <c r="R381" s="16" t="n"/>
      <c r="S381" s="16" t="n"/>
      <c r="T381" s="16" t="n"/>
      <c r="U381" s="16" t="n"/>
      <c r="V381" s="16" t="n"/>
      <c r="W381" s="16" t="n"/>
      <c r="X381" s="16" t="n"/>
      <c r="Y381" s="17" t="n"/>
      <c r="Z381" s="137" t="n"/>
      <c r="AB381" s="146" t="inlineStr">
        <is>
          <t>REPERTÓRIO DA TRILHA · só o Evocador: as escolhas a mais da Invocação Principal e do Repertório do Conjunto</t>
        </is>
      </c>
      <c r="AC381" s="16" t="n"/>
      <c r="AD381" s="16" t="n"/>
      <c r="AE381" s="16" t="n"/>
      <c r="AF381" s="16" t="n"/>
      <c r="AG381" s="16" t="n"/>
      <c r="AH381" s="16" t="n"/>
      <c r="AI381" s="16" t="n"/>
      <c r="AJ381" s="16" t="n"/>
      <c r="AK381" s="16" t="n"/>
      <c r="AL381" s="16" t="n"/>
      <c r="AM381" s="16" t="n"/>
      <c r="AN381" s="16" t="n"/>
      <c r="AO381" s="16" t="n"/>
      <c r="AP381" s="16" t="n"/>
      <c r="AQ381" s="16" t="n"/>
      <c r="AR381" s="17" t="n"/>
      <c r="AS381" s="137" t="n"/>
    </row>
    <row r="382" hidden="1" outlineLevel="2">
      <c r="A382" s="8" t="n"/>
      <c r="B382" s="14" t="n"/>
      <c r="C382" s="137" t="n"/>
      <c r="D382" s="137" t="n"/>
      <c r="E382" s="137" t="n"/>
      <c r="F382" s="137" t="n"/>
      <c r="G382" s="137" t="n"/>
      <c r="I382" s="137" t="n"/>
      <c r="J382" s="137" t="n"/>
      <c r="K382" s="137" t="n"/>
      <c r="L382" s="137" t="n"/>
      <c r="M382" s="137" t="n"/>
      <c r="N382" s="137" t="n"/>
      <c r="O382" s="137" t="n"/>
      <c r="P382" s="137" t="n"/>
      <c r="Q382" s="137" t="n"/>
      <c r="R382" s="137" t="n"/>
      <c r="S382" s="137" t="n"/>
      <c r="T382" s="137" t="n"/>
      <c r="U382" s="137" t="n"/>
      <c r="V382" s="137" t="n"/>
      <c r="W382" s="137" t="n"/>
      <c r="X382" s="137" t="n"/>
      <c r="Y382" s="137" t="n"/>
      <c r="Z382" s="137" t="n"/>
      <c r="AB382" s="137" t="n"/>
      <c r="AC382" s="137" t="n"/>
      <c r="AD382" s="137" t="n"/>
      <c r="AE382" s="137" t="n"/>
      <c r="AF382" s="137" t="n"/>
      <c r="AG382" s="137" t="n"/>
      <c r="AH382" s="137" t="n"/>
      <c r="AI382" s="137" t="n"/>
      <c r="AJ382" s="137" t="n"/>
      <c r="AK382" s="137" t="n"/>
      <c r="AL382" s="137" t="n"/>
      <c r="AM382" s="137" t="n"/>
      <c r="AN382" s="137" t="n"/>
      <c r="AO382" s="137" t="n"/>
      <c r="AP382" s="137" t="n"/>
      <c r="AQ382" s="137" t="n"/>
      <c r="AR382" s="137" t="n"/>
      <c r="AS382" s="137" t="n"/>
    </row>
    <row r="383" hidden="1" outlineLevel="2">
      <c r="A383" s="8" t="n"/>
      <c r="B383" s="14" t="n"/>
      <c r="C383" s="137" t="n"/>
      <c r="D383" s="137" t="n"/>
      <c r="E383" s="137" t="n"/>
      <c r="F383" s="137" t="n"/>
      <c r="G383" s="137" t="n"/>
      <c r="I383" s="56">
        <f>DADOS_INVOC!$PZ$25</f>
        <v/>
      </c>
      <c r="J383" s="16" t="n"/>
      <c r="K383" s="16" t="n"/>
      <c r="L383" s="16" t="n"/>
      <c r="M383" s="17" t="n"/>
      <c r="N383" s="137" t="n"/>
      <c r="O383" s="56">
        <f>DADOS_INVOC!$PZ$26</f>
        <v/>
      </c>
      <c r="P383" s="16" t="n"/>
      <c r="Q383" s="16" t="n"/>
      <c r="R383" s="16" t="n"/>
      <c r="S383" s="17" t="n"/>
      <c r="T383" s="137" t="n"/>
      <c r="U383" s="56">
        <f>DADOS_INVOC!$PZ$27</f>
        <v/>
      </c>
      <c r="V383" s="16" t="n"/>
      <c r="W383" s="16" t="n"/>
      <c r="X383" s="16" t="n"/>
      <c r="Y383" s="17" t="n"/>
      <c r="Z383" s="137" t="n"/>
      <c r="AB383" s="56">
        <f>DADOS_INVOC!$PZ$103</f>
        <v/>
      </c>
      <c r="AC383" s="16" t="n"/>
      <c r="AD383" s="16" t="n"/>
      <c r="AE383" s="16" t="n"/>
      <c r="AF383" s="17" t="n"/>
      <c r="AG383" s="137" t="n"/>
      <c r="AH383" s="56">
        <f>DADOS_INVOC!$PZ$104</f>
        <v/>
      </c>
      <c r="AI383" s="16" t="n"/>
      <c r="AJ383" s="16" t="n"/>
      <c r="AK383" s="16" t="n"/>
      <c r="AL383" s="17" t="n"/>
      <c r="AM383" s="137" t="n"/>
      <c r="AN383" s="56">
        <f>DADOS_INVOC!$PZ$105</f>
        <v/>
      </c>
      <c r="AO383" s="16" t="n"/>
      <c r="AP383" s="16" t="n"/>
      <c r="AQ383" s="16" t="n"/>
      <c r="AR383" s="17" t="n"/>
      <c r="AS383" s="137" t="n"/>
    </row>
    <row r="384" hidden="1" outlineLevel="2">
      <c r="A384" s="8" t="n"/>
      <c r="B384" s="14" t="n"/>
      <c r="C384" s="137" t="n"/>
      <c r="D384" s="137" t="n"/>
      <c r="E384" s="137" t="n"/>
      <c r="F384" s="137" t="n"/>
      <c r="G384" s="137" t="n"/>
      <c r="I384" s="141" t="n">
        <v>1</v>
      </c>
      <c r="J384" s="131" t="n"/>
      <c r="K384" s="16" t="n"/>
      <c r="L384" s="17" t="n"/>
      <c r="M384" s="142">
        <f>DADOS_INVOC!$PX$25</f>
        <v/>
      </c>
      <c r="N384" s="137" t="n"/>
      <c r="O384" s="141" t="n">
        <v>1</v>
      </c>
      <c r="P384" s="131" t="n"/>
      <c r="Q384" s="16" t="n"/>
      <c r="R384" s="17" t="n"/>
      <c r="S384" s="142">
        <f>DADOS_INVOC!$PX$26</f>
        <v/>
      </c>
      <c r="T384" s="137" t="n"/>
      <c r="U384" s="141" t="n">
        <v>1</v>
      </c>
      <c r="V384" s="131" t="n"/>
      <c r="W384" s="16" t="n"/>
      <c r="X384" s="17" t="n"/>
      <c r="Y384" s="142">
        <f>DADOS_INVOC!$PX$27</f>
        <v/>
      </c>
      <c r="Z384" s="137" t="n"/>
      <c r="AB384" s="141" t="n">
        <v>1</v>
      </c>
      <c r="AC384" s="131" t="n"/>
      <c r="AD384" s="16" t="n"/>
      <c r="AE384" s="17" t="n"/>
      <c r="AF384" s="142">
        <f>DADOS_INVOC!$PX$103</f>
        <v/>
      </c>
      <c r="AG384" s="137" t="n"/>
      <c r="AH384" s="141" t="n">
        <v>1</v>
      </c>
      <c r="AI384" s="131" t="n"/>
      <c r="AJ384" s="16" t="n"/>
      <c r="AK384" s="17" t="n"/>
      <c r="AL384" s="142">
        <f>DADOS_INVOC!$PX$104</f>
        <v/>
      </c>
      <c r="AM384" s="137" t="n"/>
      <c r="AN384" s="141" t="n">
        <v>1</v>
      </c>
      <c r="AO384" s="131" t="n"/>
      <c r="AP384" s="16" t="n"/>
      <c r="AQ384" s="17" t="n"/>
      <c r="AR384" s="142">
        <f>DADOS_INVOC!$PX$105</f>
        <v/>
      </c>
      <c r="AS384" s="137" t="n"/>
    </row>
    <row r="385" hidden="1" outlineLevel="3">
      <c r="A385" s="8" t="n"/>
      <c r="B385" s="14" t="n"/>
      <c r="C385" s="137" t="n"/>
      <c r="D385" s="137" t="n"/>
      <c r="E385" s="137" t="n"/>
      <c r="F385" s="137" t="n"/>
      <c r="G385" s="137" t="n"/>
      <c r="I385" s="56" t="inlineStr">
        <is>
          <t>COMO É</t>
        </is>
      </c>
      <c r="J385" s="16" t="n"/>
      <c r="K385" s="16" t="n"/>
      <c r="L385" s="16" t="n"/>
      <c r="M385" s="17" t="n"/>
      <c r="N385" s="137" t="n"/>
      <c r="O385" s="56" t="inlineStr">
        <is>
          <t>COMO É</t>
        </is>
      </c>
      <c r="P385" s="16" t="n"/>
      <c r="Q385" s="16" t="n"/>
      <c r="R385" s="16" t="n"/>
      <c r="S385" s="17" t="n"/>
      <c r="T385" s="137" t="n"/>
      <c r="U385" s="56" t="inlineStr">
        <is>
          <t>COMO É</t>
        </is>
      </c>
      <c r="V385" s="16" t="n"/>
      <c r="W385" s="16" t="n"/>
      <c r="X385" s="16" t="n"/>
      <c r="Y385" s="17" t="n"/>
      <c r="Z385" s="137" t="n"/>
      <c r="AB385" s="56" t="inlineStr">
        <is>
          <t>COMO É</t>
        </is>
      </c>
      <c r="AC385" s="16" t="n"/>
      <c r="AD385" s="16" t="n"/>
      <c r="AE385" s="16" t="n"/>
      <c r="AF385" s="17" t="n"/>
      <c r="AG385" s="137" t="n"/>
      <c r="AH385" s="56" t="inlineStr">
        <is>
          <t>COMO É</t>
        </is>
      </c>
      <c r="AI385" s="16" t="n"/>
      <c r="AJ385" s="16" t="n"/>
      <c r="AK385" s="16" t="n"/>
      <c r="AL385" s="17" t="n"/>
      <c r="AM385" s="137" t="n"/>
      <c r="AN385" s="56" t="inlineStr">
        <is>
          <t>COMO É</t>
        </is>
      </c>
      <c r="AO385" s="16" t="n"/>
      <c r="AP385" s="16" t="n"/>
      <c r="AQ385" s="16" t="n"/>
      <c r="AR385" s="17" t="n"/>
      <c r="AS385" s="137" t="n"/>
    </row>
    <row r="386" hidden="1" outlineLevel="3">
      <c r="A386" s="8" t="n"/>
      <c r="B386" s="14" t="n"/>
      <c r="C386" s="137" t="n"/>
      <c r="D386" s="137" t="n"/>
      <c r="E386" s="137" t="n"/>
      <c r="F386" s="137" t="n"/>
      <c r="G386" s="137" t="n"/>
      <c r="I386" s="61" t="n"/>
      <c r="J386" s="19" t="n"/>
      <c r="K386" s="19" t="n"/>
      <c r="L386" s="19" t="n"/>
      <c r="M386" s="20" t="n"/>
      <c r="N386" s="137" t="n"/>
      <c r="O386" s="61" t="n"/>
      <c r="P386" s="19" t="n"/>
      <c r="Q386" s="19" t="n"/>
      <c r="R386" s="19" t="n"/>
      <c r="S386" s="20" t="n"/>
      <c r="T386" s="137" t="n"/>
      <c r="U386" s="61" t="n"/>
      <c r="V386" s="19" t="n"/>
      <c r="W386" s="19" t="n"/>
      <c r="X386" s="19" t="n"/>
      <c r="Y386" s="20" t="n"/>
      <c r="Z386" s="137" t="n"/>
      <c r="AB386" s="61" t="n"/>
      <c r="AC386" s="19" t="n"/>
      <c r="AD386" s="19" t="n"/>
      <c r="AE386" s="19" t="n"/>
      <c r="AF386" s="20" t="n"/>
      <c r="AG386" s="137" t="n"/>
      <c r="AH386" s="61" t="n"/>
      <c r="AI386" s="19" t="n"/>
      <c r="AJ386" s="19" t="n"/>
      <c r="AK386" s="19" t="n"/>
      <c r="AL386" s="20" t="n"/>
      <c r="AM386" s="137" t="n"/>
      <c r="AN386" s="61" t="n"/>
      <c r="AO386" s="19" t="n"/>
      <c r="AP386" s="19" t="n"/>
      <c r="AQ386" s="19" t="n"/>
      <c r="AR386" s="20" t="n"/>
      <c r="AS386" s="137" t="n"/>
    </row>
    <row r="387" hidden="1" outlineLevel="3">
      <c r="A387" s="8" t="n"/>
      <c r="B387" s="14" t="n"/>
      <c r="C387" s="137" t="n"/>
      <c r="D387" s="137" t="n"/>
      <c r="E387" s="137" t="n"/>
      <c r="F387" s="137" t="n"/>
      <c r="G387" s="137" t="n"/>
      <c r="I387" s="21" t="n"/>
      <c r="M387" s="22" t="n"/>
      <c r="N387" s="137" t="n"/>
      <c r="O387" s="21" t="n"/>
      <c r="S387" s="22" t="n"/>
      <c r="T387" s="137" t="n"/>
      <c r="U387" s="21" t="n"/>
      <c r="Y387" s="22" t="n"/>
      <c r="Z387" s="137" t="n"/>
      <c r="AB387" s="21" t="n"/>
      <c r="AF387" s="22" t="n"/>
      <c r="AG387" s="137" t="n"/>
      <c r="AH387" s="21" t="n"/>
      <c r="AL387" s="22" t="n"/>
      <c r="AM387" s="137" t="n"/>
      <c r="AN387" s="21" t="n"/>
      <c r="AR387" s="22" t="n"/>
      <c r="AS387" s="137" t="n"/>
    </row>
    <row r="388" hidden="1" outlineLevel="3">
      <c r="A388" s="8" t="n"/>
      <c r="B388" s="14" t="n"/>
      <c r="C388" s="137" t="n"/>
      <c r="D388" s="137" t="n"/>
      <c r="E388" s="137" t="n"/>
      <c r="F388" s="137" t="n"/>
      <c r="G388" s="137" t="n"/>
      <c r="I388" s="23" t="n"/>
      <c r="J388" s="24" t="n"/>
      <c r="K388" s="24" t="n"/>
      <c r="L388" s="24" t="n"/>
      <c r="M388" s="25" t="n"/>
      <c r="N388" s="137" t="n"/>
      <c r="O388" s="23" t="n"/>
      <c r="P388" s="24" t="n"/>
      <c r="Q388" s="24" t="n"/>
      <c r="R388" s="24" t="n"/>
      <c r="S388" s="25" t="n"/>
      <c r="T388" s="137" t="n"/>
      <c r="U388" s="23" t="n"/>
      <c r="V388" s="24" t="n"/>
      <c r="W388" s="24" t="n"/>
      <c r="X388" s="24" t="n"/>
      <c r="Y388" s="25" t="n"/>
      <c r="Z388" s="137" t="n"/>
      <c r="AB388" s="23" t="n"/>
      <c r="AC388" s="24" t="n"/>
      <c r="AD388" s="24" t="n"/>
      <c r="AE388" s="24" t="n"/>
      <c r="AF388" s="25" t="n"/>
      <c r="AG388" s="137" t="n"/>
      <c r="AH388" s="23" t="n"/>
      <c r="AI388" s="24" t="n"/>
      <c r="AJ388" s="24" t="n"/>
      <c r="AK388" s="24" t="n"/>
      <c r="AL388" s="25" t="n"/>
      <c r="AM388" s="137" t="n"/>
      <c r="AN388" s="23" t="n"/>
      <c r="AO388" s="24" t="n"/>
      <c r="AP388" s="24" t="n"/>
      <c r="AQ388" s="24" t="n"/>
      <c r="AR388" s="25" t="n"/>
      <c r="AS388" s="137" t="n"/>
    </row>
    <row r="389" hidden="1" outlineLevel="2">
      <c r="A389" s="8" t="n"/>
      <c r="B389" s="14" t="n"/>
      <c r="C389" s="137" t="n"/>
      <c r="D389" s="137" t="n"/>
      <c r="E389" s="137" t="n"/>
      <c r="F389" s="137" t="n"/>
      <c r="G389" s="137" t="n"/>
      <c r="I389" s="95" t="inlineStr">
        <is>
          <t>Projétil</t>
        </is>
      </c>
      <c r="J389" s="17" t="n"/>
      <c r="K389" s="71">
        <f>DADOS_INVOC!$QE$25</f>
        <v/>
      </c>
      <c r="L389" s="17" t="n"/>
      <c r="M389" s="71">
        <f>DADOS_INVOC!$QA$25</f>
        <v/>
      </c>
      <c r="N389" s="137" t="n"/>
      <c r="O389" s="95" t="inlineStr">
        <is>
          <t>Projétil</t>
        </is>
      </c>
      <c r="P389" s="17" t="n"/>
      <c r="Q389" s="71">
        <f>DADOS_INVOC!$QE$26</f>
        <v/>
      </c>
      <c r="R389" s="17" t="n"/>
      <c r="S389" s="71">
        <f>DADOS_INVOC!$QA$26</f>
        <v/>
      </c>
      <c r="T389" s="137" t="n"/>
      <c r="U389" s="95" t="inlineStr">
        <is>
          <t>Projétil</t>
        </is>
      </c>
      <c r="V389" s="17" t="n"/>
      <c r="W389" s="71">
        <f>DADOS_INVOC!$QE$27</f>
        <v/>
      </c>
      <c r="X389" s="17" t="n"/>
      <c r="Y389" s="71">
        <f>DADOS_INVOC!$QA$27</f>
        <v/>
      </c>
      <c r="Z389" s="137" t="n"/>
      <c r="AB389" s="95" t="inlineStr">
        <is>
          <t>Projétil</t>
        </is>
      </c>
      <c r="AC389" s="17" t="n"/>
      <c r="AD389" s="71">
        <f>DADOS_INVOC!$QE$103</f>
        <v/>
      </c>
      <c r="AE389" s="17" t="n"/>
      <c r="AF389" s="71">
        <f>DADOS_INVOC!$QA$103</f>
        <v/>
      </c>
      <c r="AG389" s="137" t="n"/>
      <c r="AH389" s="95" t="inlineStr">
        <is>
          <t>Projétil</t>
        </is>
      </c>
      <c r="AI389" s="17" t="n"/>
      <c r="AJ389" s="71">
        <f>DADOS_INVOC!$QE$104</f>
        <v/>
      </c>
      <c r="AK389" s="17" t="n"/>
      <c r="AL389" s="71">
        <f>DADOS_INVOC!$QA$104</f>
        <v/>
      </c>
      <c r="AM389" s="137" t="n"/>
      <c r="AN389" s="95" t="inlineStr">
        <is>
          <t>Projétil</t>
        </is>
      </c>
      <c r="AO389" s="17" t="n"/>
      <c r="AP389" s="71">
        <f>DADOS_INVOC!$QE$105</f>
        <v/>
      </c>
      <c r="AQ389" s="17" t="n"/>
      <c r="AR389" s="71">
        <f>DADOS_INVOC!$QA$105</f>
        <v/>
      </c>
      <c r="AS389" s="137" t="n"/>
    </row>
    <row r="390" hidden="1" outlineLevel="2">
      <c r="A390" s="8" t="n"/>
      <c r="B390" s="14" t="n"/>
      <c r="C390" s="137" t="n"/>
      <c r="D390" s="137" t="n"/>
      <c r="E390" s="137" t="n"/>
      <c r="F390" s="137" t="n"/>
      <c r="G390" s="137" t="n"/>
      <c r="I390" s="95" t="n"/>
      <c r="J390" s="17" t="n"/>
      <c r="K390" s="95" t="n"/>
      <c r="L390" s="16" t="n"/>
      <c r="M390" s="17" t="n"/>
      <c r="N390" s="137" t="n"/>
      <c r="O390" s="95" t="n"/>
      <c r="P390" s="17" t="n"/>
      <c r="Q390" s="95" t="n"/>
      <c r="R390" s="16" t="n"/>
      <c r="S390" s="17" t="n"/>
      <c r="T390" s="137" t="n"/>
      <c r="U390" s="95" t="n"/>
      <c r="V390" s="17" t="n"/>
      <c r="W390" s="95" t="n"/>
      <c r="X390" s="16" t="n"/>
      <c r="Y390" s="17" t="n"/>
      <c r="Z390" s="137" t="n"/>
      <c r="AB390" s="95" t="n"/>
      <c r="AC390" s="17" t="n"/>
      <c r="AD390" s="95" t="n"/>
      <c r="AE390" s="16" t="n"/>
      <c r="AF390" s="17" t="n"/>
      <c r="AG390" s="137" t="n"/>
      <c r="AH390" s="95" t="n"/>
      <c r="AI390" s="17" t="n"/>
      <c r="AJ390" s="95" t="n"/>
      <c r="AK390" s="16" t="n"/>
      <c r="AL390" s="17" t="n"/>
      <c r="AM390" s="137" t="n"/>
      <c r="AN390" s="95" t="n"/>
      <c r="AO390" s="17" t="n"/>
      <c r="AP390" s="95" t="n"/>
      <c r="AQ390" s="16" t="n"/>
      <c r="AR390" s="17" t="n"/>
      <c r="AS390" s="137" t="n"/>
    </row>
    <row r="391" hidden="1" outlineLevel="2">
      <c r="A391" s="8" t="n"/>
      <c r="B391" s="14" t="n"/>
      <c r="C391" s="137" t="n"/>
      <c r="D391" s="137" t="n"/>
      <c r="E391" s="137" t="n"/>
      <c r="F391" s="137" t="n"/>
      <c r="G391" s="137" t="n"/>
      <c r="I391" s="95">
        <f>DADOS_INVOC!$QB$25</f>
        <v/>
      </c>
      <c r="J391" s="17" t="n"/>
      <c r="K391" s="95">
        <f>DADOS_INVOC!$QD$25</f>
        <v/>
      </c>
      <c r="L391" s="16" t="n"/>
      <c r="M391" s="17" t="n"/>
      <c r="N391" s="137" t="n"/>
      <c r="O391" s="95">
        <f>DADOS_INVOC!$QB$26</f>
        <v/>
      </c>
      <c r="P391" s="17" t="n"/>
      <c r="Q391" s="95">
        <f>DADOS_INVOC!$QD$26</f>
        <v/>
      </c>
      <c r="R391" s="16" t="n"/>
      <c r="S391" s="17" t="n"/>
      <c r="T391" s="137" t="n"/>
      <c r="U391" s="95">
        <f>DADOS_INVOC!$QB$27</f>
        <v/>
      </c>
      <c r="V391" s="17" t="n"/>
      <c r="W391" s="95">
        <f>DADOS_INVOC!$QD$27</f>
        <v/>
      </c>
      <c r="X391" s="16" t="n"/>
      <c r="Y391" s="17" t="n"/>
      <c r="Z391" s="137" t="n"/>
      <c r="AB391" s="95">
        <f>DADOS_INVOC!$QB$103</f>
        <v/>
      </c>
      <c r="AC391" s="17" t="n"/>
      <c r="AD391" s="95">
        <f>DADOS_INVOC!$QD$103</f>
        <v/>
      </c>
      <c r="AE391" s="16" t="n"/>
      <c r="AF391" s="17" t="n"/>
      <c r="AG391" s="137" t="n"/>
      <c r="AH391" s="95">
        <f>DADOS_INVOC!$QB$104</f>
        <v/>
      </c>
      <c r="AI391" s="17" t="n"/>
      <c r="AJ391" s="95">
        <f>DADOS_INVOC!$QD$104</f>
        <v/>
      </c>
      <c r="AK391" s="16" t="n"/>
      <c r="AL391" s="17" t="n"/>
      <c r="AM391" s="137" t="n"/>
      <c r="AN391" s="95">
        <f>DADOS_INVOC!$QB$105</f>
        <v/>
      </c>
      <c r="AO391" s="17" t="n"/>
      <c r="AP391" s="95">
        <f>DADOS_INVOC!$QD$105</f>
        <v/>
      </c>
      <c r="AQ391" s="16" t="n"/>
      <c r="AR391" s="17" t="n"/>
      <c r="AS391" s="137" t="n"/>
    </row>
    <row r="392" hidden="1" outlineLevel="2">
      <c r="A392" s="8" t="n"/>
      <c r="B392" s="14" t="n"/>
      <c r="C392" s="137" t="n"/>
      <c r="D392" s="137" t="n"/>
      <c r="E392" s="137" t="n"/>
      <c r="F392" s="137" t="n"/>
      <c r="G392" s="137" t="n"/>
      <c r="I392" s="143">
        <f>DADOS_INVOC!$QJ$25</f>
        <v/>
      </c>
      <c r="J392" s="16" t="n"/>
      <c r="K392" s="16" t="n"/>
      <c r="L392" s="16" t="n"/>
      <c r="M392" s="17" t="n"/>
      <c r="N392" s="137" t="n"/>
      <c r="O392" s="143">
        <f>DADOS_INVOC!$QJ$26</f>
        <v/>
      </c>
      <c r="P392" s="16" t="n"/>
      <c r="Q392" s="16" t="n"/>
      <c r="R392" s="16" t="n"/>
      <c r="S392" s="17" t="n"/>
      <c r="T392" s="137" t="n"/>
      <c r="U392" s="143">
        <f>DADOS_INVOC!$QJ$27</f>
        <v/>
      </c>
      <c r="V392" s="16" t="n"/>
      <c r="W392" s="16" t="n"/>
      <c r="X392" s="16" t="n"/>
      <c r="Y392" s="17" t="n"/>
      <c r="Z392" s="137" t="n"/>
      <c r="AB392" s="143">
        <f>DADOS_INVOC!$QJ$103</f>
        <v/>
      </c>
      <c r="AC392" s="16" t="n"/>
      <c r="AD392" s="16" t="n"/>
      <c r="AE392" s="16" t="n"/>
      <c r="AF392" s="17" t="n"/>
      <c r="AG392" s="137" t="n"/>
      <c r="AH392" s="143">
        <f>DADOS_INVOC!$QJ$104</f>
        <v/>
      </c>
      <c r="AI392" s="16" t="n"/>
      <c r="AJ392" s="16" t="n"/>
      <c r="AK392" s="16" t="n"/>
      <c r="AL392" s="17" t="n"/>
      <c r="AM392" s="137" t="n"/>
      <c r="AN392" s="143">
        <f>DADOS_INVOC!$QJ$105</f>
        <v/>
      </c>
      <c r="AO392" s="16" t="n"/>
      <c r="AP392" s="16" t="n"/>
      <c r="AQ392" s="16" t="n"/>
      <c r="AR392" s="17" t="n"/>
      <c r="AS392" s="137" t="n"/>
    </row>
    <row r="393" hidden="1" outlineLevel="3">
      <c r="A393" s="8" t="n"/>
      <c r="B393" s="14" t="n"/>
      <c r="C393" s="137" t="n"/>
      <c r="D393" s="137" t="n"/>
      <c r="E393" s="137" t="n"/>
      <c r="F393" s="137" t="n"/>
      <c r="G393" s="137" t="n"/>
      <c r="I393" s="56" t="inlineStr">
        <is>
          <t>MELHORIAS</t>
        </is>
      </c>
      <c r="J393" s="144" t="n"/>
      <c r="K393" s="16" t="n"/>
      <c r="L393" s="17" t="n"/>
      <c r="M393" s="143">
        <f>DADOS_INVOC!$QM$25</f>
        <v/>
      </c>
      <c r="N393" s="137" t="n"/>
      <c r="O393" s="56" t="inlineStr">
        <is>
          <t>MELHORIAS</t>
        </is>
      </c>
      <c r="P393" s="144" t="n"/>
      <c r="Q393" s="16" t="n"/>
      <c r="R393" s="17" t="n"/>
      <c r="S393" s="143">
        <f>DADOS_INVOC!$QM$26</f>
        <v/>
      </c>
      <c r="T393" s="137" t="n"/>
      <c r="U393" s="56" t="inlineStr">
        <is>
          <t>MELHORIAS</t>
        </is>
      </c>
      <c r="V393" s="144" t="n"/>
      <c r="W393" s="16" t="n"/>
      <c r="X393" s="17" t="n"/>
      <c r="Y393" s="143">
        <f>DADOS_INVOC!$QM$27</f>
        <v/>
      </c>
      <c r="Z393" s="137" t="n"/>
      <c r="AB393" s="56" t="inlineStr">
        <is>
          <t>MELHORIAS</t>
        </is>
      </c>
      <c r="AC393" s="144" t="n"/>
      <c r="AD393" s="16" t="n"/>
      <c r="AE393" s="17" t="n"/>
      <c r="AF393" s="143">
        <f>DADOS_INVOC!$QM$103</f>
        <v/>
      </c>
      <c r="AG393" s="137" t="n"/>
      <c r="AH393" s="56" t="inlineStr">
        <is>
          <t>MELHORIAS</t>
        </is>
      </c>
      <c r="AI393" s="144" t="n"/>
      <c r="AJ393" s="16" t="n"/>
      <c r="AK393" s="17" t="n"/>
      <c r="AL393" s="143">
        <f>DADOS_INVOC!$QM$104</f>
        <v/>
      </c>
      <c r="AM393" s="137" t="n"/>
      <c r="AN393" s="56" t="inlineStr">
        <is>
          <t>MELHORIAS</t>
        </is>
      </c>
      <c r="AO393" s="144" t="n"/>
      <c r="AP393" s="16" t="n"/>
      <c r="AQ393" s="17" t="n"/>
      <c r="AR393" s="143">
        <f>DADOS_INVOC!$QM$105</f>
        <v/>
      </c>
      <c r="AS393" s="137" t="n"/>
    </row>
    <row r="394" hidden="1" outlineLevel="3">
      <c r="A394" s="8" t="n"/>
      <c r="B394" s="14" t="n"/>
      <c r="C394" s="137" t="n"/>
      <c r="D394" s="137" t="n"/>
      <c r="E394" s="137" t="n"/>
      <c r="F394" s="137" t="n"/>
      <c r="G394" s="137" t="n"/>
      <c r="I394" s="66" t="n"/>
      <c r="J394" s="144" t="n"/>
      <c r="K394" s="16" t="n"/>
      <c r="L394" s="17" t="n"/>
      <c r="M394" s="143">
        <f>DADOS_INVOC!$QN$25</f>
        <v/>
      </c>
      <c r="N394" s="137" t="n"/>
      <c r="O394" s="66" t="n"/>
      <c r="P394" s="144" t="n"/>
      <c r="Q394" s="16" t="n"/>
      <c r="R394" s="17" t="n"/>
      <c r="S394" s="143">
        <f>DADOS_INVOC!$QN$26</f>
        <v/>
      </c>
      <c r="T394" s="137" t="n"/>
      <c r="U394" s="66" t="n"/>
      <c r="V394" s="144" t="n"/>
      <c r="W394" s="16" t="n"/>
      <c r="X394" s="17" t="n"/>
      <c r="Y394" s="143">
        <f>DADOS_INVOC!$QN$27</f>
        <v/>
      </c>
      <c r="Z394" s="137" t="n"/>
      <c r="AB394" s="66" t="n"/>
      <c r="AC394" s="144" t="n"/>
      <c r="AD394" s="16" t="n"/>
      <c r="AE394" s="17" t="n"/>
      <c r="AF394" s="143">
        <f>DADOS_INVOC!$QN$103</f>
        <v/>
      </c>
      <c r="AG394" s="137" t="n"/>
      <c r="AH394" s="66" t="n"/>
      <c r="AI394" s="144" t="n"/>
      <c r="AJ394" s="16" t="n"/>
      <c r="AK394" s="17" t="n"/>
      <c r="AL394" s="143">
        <f>DADOS_INVOC!$QN$104</f>
        <v/>
      </c>
      <c r="AM394" s="137" t="n"/>
      <c r="AN394" s="66" t="n"/>
      <c r="AO394" s="144" t="n"/>
      <c r="AP394" s="16" t="n"/>
      <c r="AQ394" s="17" t="n"/>
      <c r="AR394" s="143">
        <f>DADOS_INVOC!$QN$105</f>
        <v/>
      </c>
      <c r="AS394" s="137" t="n"/>
    </row>
    <row r="395" hidden="1" outlineLevel="3">
      <c r="A395" s="8" t="n"/>
      <c r="B395" s="14" t="n"/>
      <c r="C395" s="137" t="n"/>
      <c r="D395" s="137" t="n"/>
      <c r="E395" s="137" t="n"/>
      <c r="F395" s="137" t="n"/>
      <c r="G395" s="137" t="n"/>
      <c r="I395" s="66" t="n"/>
      <c r="J395" s="144" t="n"/>
      <c r="K395" s="16" t="n"/>
      <c r="L395" s="17" t="n"/>
      <c r="M395" s="143">
        <f>DADOS_INVOC!$QO$25</f>
        <v/>
      </c>
      <c r="N395" s="137" t="n"/>
      <c r="O395" s="66" t="n"/>
      <c r="P395" s="144" t="n"/>
      <c r="Q395" s="16" t="n"/>
      <c r="R395" s="17" t="n"/>
      <c r="S395" s="143">
        <f>DADOS_INVOC!$QO$26</f>
        <v/>
      </c>
      <c r="T395" s="137" t="n"/>
      <c r="U395" s="66" t="n"/>
      <c r="V395" s="144" t="n"/>
      <c r="W395" s="16" t="n"/>
      <c r="X395" s="17" t="n"/>
      <c r="Y395" s="143">
        <f>DADOS_INVOC!$QO$27</f>
        <v/>
      </c>
      <c r="Z395" s="137" t="n"/>
      <c r="AB395" s="66" t="n"/>
      <c r="AC395" s="144" t="n"/>
      <c r="AD395" s="16" t="n"/>
      <c r="AE395" s="17" t="n"/>
      <c r="AF395" s="143">
        <f>DADOS_INVOC!$QO$103</f>
        <v/>
      </c>
      <c r="AG395" s="137" t="n"/>
      <c r="AH395" s="66" t="n"/>
      <c r="AI395" s="144" t="n"/>
      <c r="AJ395" s="16" t="n"/>
      <c r="AK395" s="17" t="n"/>
      <c r="AL395" s="143">
        <f>DADOS_INVOC!$QO$104</f>
        <v/>
      </c>
      <c r="AM395" s="137" t="n"/>
      <c r="AN395" s="66" t="n"/>
      <c r="AO395" s="144" t="n"/>
      <c r="AP395" s="16" t="n"/>
      <c r="AQ395" s="17" t="n"/>
      <c r="AR395" s="143">
        <f>DADOS_INVOC!$QO$105</f>
        <v/>
      </c>
      <c r="AS395" s="137" t="n"/>
    </row>
    <row r="396" hidden="1" outlineLevel="3">
      <c r="A396" s="8" t="n"/>
      <c r="B396" s="14" t="n"/>
      <c r="C396" s="137" t="n"/>
      <c r="D396" s="137" t="n"/>
      <c r="E396" s="137" t="n"/>
      <c r="F396" s="137" t="n"/>
      <c r="G396" s="137" t="n"/>
      <c r="I396" s="128" t="n"/>
      <c r="J396" s="144" t="n"/>
      <c r="K396" s="16" t="n"/>
      <c r="L396" s="17" t="n"/>
      <c r="M396" s="143">
        <f>DADOS_INVOC!$QP$25</f>
        <v/>
      </c>
      <c r="N396" s="137" t="n"/>
      <c r="O396" s="128" t="n"/>
      <c r="P396" s="144" t="n"/>
      <c r="Q396" s="16" t="n"/>
      <c r="R396" s="17" t="n"/>
      <c r="S396" s="143">
        <f>DADOS_INVOC!$QP$26</f>
        <v/>
      </c>
      <c r="T396" s="137" t="n"/>
      <c r="U396" s="128" t="n"/>
      <c r="V396" s="144" t="n"/>
      <c r="W396" s="16" t="n"/>
      <c r="X396" s="17" t="n"/>
      <c r="Y396" s="143">
        <f>DADOS_INVOC!$QP$27</f>
        <v/>
      </c>
      <c r="Z396" s="137" t="n"/>
      <c r="AB396" s="128" t="n"/>
      <c r="AC396" s="144" t="n"/>
      <c r="AD396" s="16" t="n"/>
      <c r="AE396" s="17" t="n"/>
      <c r="AF396" s="143">
        <f>DADOS_INVOC!$QP$103</f>
        <v/>
      </c>
      <c r="AG396" s="137" t="n"/>
      <c r="AH396" s="128" t="n"/>
      <c r="AI396" s="144" t="n"/>
      <c r="AJ396" s="16" t="n"/>
      <c r="AK396" s="17" t="n"/>
      <c r="AL396" s="143">
        <f>DADOS_INVOC!$QP$104</f>
        <v/>
      </c>
      <c r="AM396" s="137" t="n"/>
      <c r="AN396" s="128" t="n"/>
      <c r="AO396" s="144" t="n"/>
      <c r="AP396" s="16" t="n"/>
      <c r="AQ396" s="17" t="n"/>
      <c r="AR396" s="143">
        <f>DADOS_INVOC!$QP$105</f>
        <v/>
      </c>
      <c r="AS396" s="137" t="n"/>
    </row>
    <row r="397" hidden="1" outlineLevel="3">
      <c r="A397" s="8" t="n"/>
      <c r="B397" s="14" t="n"/>
      <c r="C397" s="137" t="n"/>
      <c r="D397" s="137" t="n"/>
      <c r="E397" s="137" t="n"/>
      <c r="F397" s="137" t="n"/>
      <c r="G397" s="137" t="n"/>
      <c r="I397" s="56" t="inlineStr">
        <is>
          <t>RESTRIÇÕES</t>
        </is>
      </c>
      <c r="J397" s="144" t="n"/>
      <c r="K397" s="16" t="n"/>
      <c r="L397" s="17" t="n"/>
      <c r="M397" s="143">
        <f>DADOS_INVOC!$QQ$25</f>
        <v/>
      </c>
      <c r="N397" s="137" t="n"/>
      <c r="O397" s="56" t="inlineStr">
        <is>
          <t>RESTRIÇÕES</t>
        </is>
      </c>
      <c r="P397" s="144" t="n"/>
      <c r="Q397" s="16" t="n"/>
      <c r="R397" s="17" t="n"/>
      <c r="S397" s="143">
        <f>DADOS_INVOC!$QQ$26</f>
        <v/>
      </c>
      <c r="T397" s="137" t="n"/>
      <c r="U397" s="56" t="inlineStr">
        <is>
          <t>RESTRIÇÕES</t>
        </is>
      </c>
      <c r="V397" s="144" t="n"/>
      <c r="W397" s="16" t="n"/>
      <c r="X397" s="17" t="n"/>
      <c r="Y397" s="143">
        <f>DADOS_INVOC!$QQ$27</f>
        <v/>
      </c>
      <c r="Z397" s="137" t="n"/>
      <c r="AB397" s="56" t="inlineStr">
        <is>
          <t>RESTRIÇÕES</t>
        </is>
      </c>
      <c r="AC397" s="144" t="n"/>
      <c r="AD397" s="16" t="n"/>
      <c r="AE397" s="17" t="n"/>
      <c r="AF397" s="143">
        <f>DADOS_INVOC!$QQ$103</f>
        <v/>
      </c>
      <c r="AG397" s="137" t="n"/>
      <c r="AH397" s="56" t="inlineStr">
        <is>
          <t>RESTRIÇÕES</t>
        </is>
      </c>
      <c r="AI397" s="144" t="n"/>
      <c r="AJ397" s="16" t="n"/>
      <c r="AK397" s="17" t="n"/>
      <c r="AL397" s="143">
        <f>DADOS_INVOC!$QQ$104</f>
        <v/>
      </c>
      <c r="AM397" s="137" t="n"/>
      <c r="AN397" s="56" t="inlineStr">
        <is>
          <t>RESTRIÇÕES</t>
        </is>
      </c>
      <c r="AO397" s="144" t="n"/>
      <c r="AP397" s="16" t="n"/>
      <c r="AQ397" s="17" t="n"/>
      <c r="AR397" s="143">
        <f>DADOS_INVOC!$QQ$105</f>
        <v/>
      </c>
      <c r="AS397" s="137" t="n"/>
    </row>
    <row r="398" hidden="1" outlineLevel="3">
      <c r="A398" s="8" t="n"/>
      <c r="B398" s="14" t="n"/>
      <c r="C398" s="137" t="n"/>
      <c r="D398" s="137" t="n"/>
      <c r="E398" s="137" t="n"/>
      <c r="F398" s="137" t="n"/>
      <c r="G398" s="137" t="n"/>
      <c r="I398" s="128" t="n"/>
      <c r="J398" s="144" t="n"/>
      <c r="K398" s="16" t="n"/>
      <c r="L398" s="17" t="n"/>
      <c r="M398" s="143">
        <f>DADOS_INVOC!$QR$25</f>
        <v/>
      </c>
      <c r="N398" s="137" t="n"/>
      <c r="O398" s="128" t="n"/>
      <c r="P398" s="144" t="n"/>
      <c r="Q398" s="16" t="n"/>
      <c r="R398" s="17" t="n"/>
      <c r="S398" s="143">
        <f>DADOS_INVOC!$QR$26</f>
        <v/>
      </c>
      <c r="T398" s="137" t="n"/>
      <c r="U398" s="128" t="n"/>
      <c r="V398" s="144" t="n"/>
      <c r="W398" s="16" t="n"/>
      <c r="X398" s="17" t="n"/>
      <c r="Y398" s="143">
        <f>DADOS_INVOC!$QR$27</f>
        <v/>
      </c>
      <c r="Z398" s="137" t="n"/>
      <c r="AB398" s="128" t="n"/>
      <c r="AC398" s="144" t="n"/>
      <c r="AD398" s="16" t="n"/>
      <c r="AE398" s="17" t="n"/>
      <c r="AF398" s="143">
        <f>DADOS_INVOC!$QR$103</f>
        <v/>
      </c>
      <c r="AG398" s="137" t="n"/>
      <c r="AH398" s="128" t="n"/>
      <c r="AI398" s="144" t="n"/>
      <c r="AJ398" s="16" t="n"/>
      <c r="AK398" s="17" t="n"/>
      <c r="AL398" s="143">
        <f>DADOS_INVOC!$QR$104</f>
        <v/>
      </c>
      <c r="AM398" s="137" t="n"/>
      <c r="AN398" s="128" t="n"/>
      <c r="AO398" s="144" t="n"/>
      <c r="AP398" s="16" t="n"/>
      <c r="AQ398" s="17" t="n"/>
      <c r="AR398" s="143">
        <f>DADOS_INVOC!$QR$105</f>
        <v/>
      </c>
      <c r="AS398" s="137" t="n"/>
    </row>
    <row r="399" hidden="1" outlineLevel="3">
      <c r="A399" s="8" t="n"/>
      <c r="B399" s="14" t="n"/>
      <c r="C399" s="137" t="n"/>
      <c r="D399" s="137" t="n"/>
      <c r="E399" s="137" t="n"/>
      <c r="F399" s="137" t="n"/>
      <c r="G399" s="137" t="n"/>
      <c r="I399" s="56" t="inlineStr">
        <is>
          <t>CONTA</t>
        </is>
      </c>
      <c r="J399" s="145">
        <f>DADOS_INVOC!$QK$25</f>
        <v/>
      </c>
      <c r="K399" s="16" t="n"/>
      <c r="L399" s="16" t="n"/>
      <c r="M399" s="17" t="n"/>
      <c r="N399" s="137" t="n"/>
      <c r="O399" s="56" t="inlineStr">
        <is>
          <t>CONTA</t>
        </is>
      </c>
      <c r="P399" s="145">
        <f>DADOS_INVOC!$QK$26</f>
        <v/>
      </c>
      <c r="Q399" s="16" t="n"/>
      <c r="R399" s="16" t="n"/>
      <c r="S399" s="17" t="n"/>
      <c r="T399" s="137" t="n"/>
      <c r="U399" s="56" t="inlineStr">
        <is>
          <t>CONTA</t>
        </is>
      </c>
      <c r="V399" s="145">
        <f>DADOS_INVOC!$QK$27</f>
        <v/>
      </c>
      <c r="W399" s="16" t="n"/>
      <c r="X399" s="16" t="n"/>
      <c r="Y399" s="17" t="n"/>
      <c r="Z399" s="137" t="n"/>
      <c r="AB399" s="56" t="inlineStr">
        <is>
          <t>CONTA</t>
        </is>
      </c>
      <c r="AC399" s="145">
        <f>DADOS_INVOC!$QK$103</f>
        <v/>
      </c>
      <c r="AD399" s="16" t="n"/>
      <c r="AE399" s="16" t="n"/>
      <c r="AF399" s="17" t="n"/>
      <c r="AG399" s="137" t="n"/>
      <c r="AH399" s="56" t="inlineStr">
        <is>
          <t>CONTA</t>
        </is>
      </c>
      <c r="AI399" s="145">
        <f>DADOS_INVOC!$QK$104</f>
        <v/>
      </c>
      <c r="AJ399" s="16" t="n"/>
      <c r="AK399" s="16" t="n"/>
      <c r="AL399" s="17" t="n"/>
      <c r="AM399" s="137" t="n"/>
      <c r="AN399" s="56" t="inlineStr">
        <is>
          <t>CONTA</t>
        </is>
      </c>
      <c r="AO399" s="145">
        <f>DADOS_INVOC!$QK$105</f>
        <v/>
      </c>
      <c r="AP399" s="16" t="n"/>
      <c r="AQ399" s="16" t="n"/>
      <c r="AR399" s="17" t="n"/>
      <c r="AS399" s="137" t="n"/>
    </row>
    <row r="400" hidden="1" outlineLevel="3">
      <c r="A400" s="8" t="n"/>
      <c r="B400" s="14" t="n"/>
      <c r="C400" s="137" t="n"/>
      <c r="D400" s="137" t="n"/>
      <c r="E400" s="137" t="n"/>
      <c r="F400" s="137" t="n"/>
      <c r="G400" s="137" t="n"/>
      <c r="I400" s="56" t="inlineStr">
        <is>
          <t>AMPLIAR</t>
        </is>
      </c>
      <c r="J400" s="145">
        <f>DADOS_INVOC!$QL$25</f>
        <v/>
      </c>
      <c r="K400" s="19" t="n"/>
      <c r="L400" s="19" t="n"/>
      <c r="M400" s="20" t="n"/>
      <c r="N400" s="137" t="n"/>
      <c r="O400" s="56" t="inlineStr">
        <is>
          <t>AMPLIAR</t>
        </is>
      </c>
      <c r="P400" s="145">
        <f>DADOS_INVOC!$QL$26</f>
        <v/>
      </c>
      <c r="Q400" s="19" t="n"/>
      <c r="R400" s="19" t="n"/>
      <c r="S400" s="20" t="n"/>
      <c r="T400" s="137" t="n"/>
      <c r="U400" s="56" t="inlineStr">
        <is>
          <t>AMPLIAR</t>
        </is>
      </c>
      <c r="V400" s="145">
        <f>DADOS_INVOC!$QL$27</f>
        <v/>
      </c>
      <c r="W400" s="19" t="n"/>
      <c r="X400" s="19" t="n"/>
      <c r="Y400" s="20" t="n"/>
      <c r="Z400" s="137" t="n"/>
      <c r="AB400" s="56" t="inlineStr">
        <is>
          <t>AMPLIAR</t>
        </is>
      </c>
      <c r="AC400" s="145">
        <f>DADOS_INVOC!$QL$103</f>
        <v/>
      </c>
      <c r="AD400" s="19" t="n"/>
      <c r="AE400" s="19" t="n"/>
      <c r="AF400" s="20" t="n"/>
      <c r="AG400" s="137" t="n"/>
      <c r="AH400" s="56" t="inlineStr">
        <is>
          <t>AMPLIAR</t>
        </is>
      </c>
      <c r="AI400" s="145">
        <f>DADOS_INVOC!$QL$104</f>
        <v/>
      </c>
      <c r="AJ400" s="19" t="n"/>
      <c r="AK400" s="19" t="n"/>
      <c r="AL400" s="20" t="n"/>
      <c r="AM400" s="137" t="n"/>
      <c r="AN400" s="56" t="inlineStr">
        <is>
          <t>AMPLIAR</t>
        </is>
      </c>
      <c r="AO400" s="145">
        <f>DADOS_INVOC!$QL$105</f>
        <v/>
      </c>
      <c r="AP400" s="19" t="n"/>
      <c r="AQ400" s="19" t="n"/>
      <c r="AR400" s="20" t="n"/>
      <c r="AS400" s="137" t="n"/>
    </row>
    <row r="401" hidden="1" outlineLevel="3">
      <c r="A401" s="8" t="n"/>
      <c r="B401" s="14" t="n"/>
      <c r="C401" s="137" t="n"/>
      <c r="D401" s="137" t="n"/>
      <c r="E401" s="137" t="n"/>
      <c r="F401" s="137" t="n"/>
      <c r="G401" s="137" t="n"/>
      <c r="I401" s="128" t="n"/>
      <c r="J401" s="23" t="n"/>
      <c r="K401" s="24" t="n"/>
      <c r="L401" s="24" t="n"/>
      <c r="M401" s="25" t="n"/>
      <c r="N401" s="137" t="n"/>
      <c r="O401" s="128" t="n"/>
      <c r="P401" s="23" t="n"/>
      <c r="Q401" s="24" t="n"/>
      <c r="R401" s="24" t="n"/>
      <c r="S401" s="25" t="n"/>
      <c r="T401" s="137" t="n"/>
      <c r="U401" s="128" t="n"/>
      <c r="V401" s="23" t="n"/>
      <c r="W401" s="24" t="n"/>
      <c r="X401" s="24" t="n"/>
      <c r="Y401" s="25" t="n"/>
      <c r="Z401" s="137" t="n"/>
      <c r="AB401" s="128" t="n"/>
      <c r="AC401" s="23" t="n"/>
      <c r="AD401" s="24" t="n"/>
      <c r="AE401" s="24" t="n"/>
      <c r="AF401" s="25" t="n"/>
      <c r="AG401" s="137" t="n"/>
      <c r="AH401" s="128" t="n"/>
      <c r="AI401" s="23" t="n"/>
      <c r="AJ401" s="24" t="n"/>
      <c r="AK401" s="24" t="n"/>
      <c r="AL401" s="25" t="n"/>
      <c r="AM401" s="137" t="n"/>
      <c r="AN401" s="128" t="n"/>
      <c r="AO401" s="23" t="n"/>
      <c r="AP401" s="24" t="n"/>
      <c r="AQ401" s="24" t="n"/>
      <c r="AR401" s="25" t="n"/>
      <c r="AS401" s="137" t="n"/>
    </row>
    <row r="402" hidden="1" outlineLevel="3">
      <c r="A402" s="8" t="n"/>
      <c r="B402" s="14" t="n"/>
      <c r="C402" s="137" t="n"/>
      <c r="D402" s="137" t="n"/>
      <c r="E402" s="137" t="n"/>
      <c r="F402" s="137" t="n"/>
      <c r="G402" s="137" t="n"/>
      <c r="I402" s="145">
        <f>DADOS_INVOC!$PY$25</f>
        <v/>
      </c>
      <c r="J402" s="19" t="n"/>
      <c r="K402" s="19" t="n"/>
      <c r="L402" s="19" t="n"/>
      <c r="M402" s="20" t="n"/>
      <c r="N402" s="137" t="n"/>
      <c r="O402" s="145">
        <f>DADOS_INVOC!$PY$26</f>
        <v/>
      </c>
      <c r="P402" s="19" t="n"/>
      <c r="Q402" s="19" t="n"/>
      <c r="R402" s="19" t="n"/>
      <c r="S402" s="20" t="n"/>
      <c r="T402" s="137" t="n"/>
      <c r="U402" s="145">
        <f>DADOS_INVOC!$PY$27</f>
        <v/>
      </c>
      <c r="V402" s="19" t="n"/>
      <c r="W402" s="19" t="n"/>
      <c r="X402" s="19" t="n"/>
      <c r="Y402" s="20" t="n"/>
      <c r="Z402" s="137" t="n"/>
      <c r="AB402" s="145">
        <f>DADOS_INVOC!$PY$103</f>
        <v/>
      </c>
      <c r="AC402" s="19" t="n"/>
      <c r="AD402" s="19" t="n"/>
      <c r="AE402" s="19" t="n"/>
      <c r="AF402" s="20" t="n"/>
      <c r="AG402" s="137" t="n"/>
      <c r="AH402" s="145">
        <f>DADOS_INVOC!$PY$104</f>
        <v/>
      </c>
      <c r="AI402" s="19" t="n"/>
      <c r="AJ402" s="19" t="n"/>
      <c r="AK402" s="19" t="n"/>
      <c r="AL402" s="20" t="n"/>
      <c r="AM402" s="137" t="n"/>
      <c r="AN402" s="145">
        <f>DADOS_INVOC!$PY$105</f>
        <v/>
      </c>
      <c r="AO402" s="19" t="n"/>
      <c r="AP402" s="19" t="n"/>
      <c r="AQ402" s="19" t="n"/>
      <c r="AR402" s="20" t="n"/>
      <c r="AS402" s="137" t="n"/>
    </row>
    <row r="403" hidden="1" outlineLevel="3">
      <c r="A403" s="8" t="n"/>
      <c r="B403" s="14" t="n"/>
      <c r="C403" s="137" t="n"/>
      <c r="D403" s="137" t="n"/>
      <c r="E403" s="137" t="n"/>
      <c r="F403" s="137" t="n"/>
      <c r="G403" s="137" t="n"/>
      <c r="I403" s="23" t="n"/>
      <c r="J403" s="24" t="n"/>
      <c r="K403" s="24" t="n"/>
      <c r="L403" s="24" t="n"/>
      <c r="M403" s="25" t="n"/>
      <c r="N403" s="137" t="n"/>
      <c r="O403" s="23" t="n"/>
      <c r="P403" s="24" t="n"/>
      <c r="Q403" s="24" t="n"/>
      <c r="R403" s="24" t="n"/>
      <c r="S403" s="25" t="n"/>
      <c r="T403" s="137" t="n"/>
      <c r="U403" s="23" t="n"/>
      <c r="V403" s="24" t="n"/>
      <c r="W403" s="24" t="n"/>
      <c r="X403" s="24" t="n"/>
      <c r="Y403" s="25" t="n"/>
      <c r="Z403" s="137" t="n"/>
      <c r="AB403" s="23" t="n"/>
      <c r="AC403" s="24" t="n"/>
      <c r="AD403" s="24" t="n"/>
      <c r="AE403" s="24" t="n"/>
      <c r="AF403" s="25" t="n"/>
      <c r="AG403" s="137" t="n"/>
      <c r="AH403" s="23" t="n"/>
      <c r="AI403" s="24" t="n"/>
      <c r="AJ403" s="24" t="n"/>
      <c r="AK403" s="24" t="n"/>
      <c r="AL403" s="25" t="n"/>
      <c r="AM403" s="137" t="n"/>
      <c r="AN403" s="23" t="n"/>
      <c r="AO403" s="24" t="n"/>
      <c r="AP403" s="24" t="n"/>
      <c r="AQ403" s="24" t="n"/>
      <c r="AR403" s="25" t="n"/>
      <c r="AS403" s="137" t="n"/>
    </row>
    <row r="404" hidden="1" outlineLevel="2">
      <c r="A404" s="8" t="n"/>
      <c r="B404" s="14" t="n"/>
      <c r="C404" s="137" t="n"/>
      <c r="D404" s="137" t="n"/>
      <c r="E404" s="137" t="n"/>
      <c r="F404" s="137" t="n"/>
      <c r="G404" s="137" t="n"/>
      <c r="I404" s="137" t="n"/>
      <c r="J404" s="137" t="n"/>
      <c r="K404" s="137" t="n"/>
      <c r="L404" s="137" t="n"/>
      <c r="M404" s="137" t="n"/>
      <c r="N404" s="137" t="n"/>
      <c r="O404" s="137" t="n"/>
      <c r="P404" s="137" t="n"/>
      <c r="Q404" s="137" t="n"/>
      <c r="R404" s="137" t="n"/>
      <c r="S404" s="137" t="n"/>
      <c r="T404" s="137" t="n"/>
      <c r="U404" s="137" t="n"/>
      <c r="V404" s="137" t="n"/>
      <c r="W404" s="137" t="n"/>
      <c r="X404" s="137" t="n"/>
      <c r="Y404" s="137" t="n"/>
      <c r="Z404" s="137" t="n"/>
      <c r="AB404" s="137" t="n"/>
      <c r="AC404" s="137" t="n"/>
      <c r="AD404" s="137" t="n"/>
      <c r="AE404" s="137" t="n"/>
      <c r="AF404" s="137" t="n"/>
      <c r="AG404" s="137" t="n"/>
      <c r="AH404" s="137" t="n"/>
      <c r="AI404" s="137" t="n"/>
      <c r="AJ404" s="137" t="n"/>
      <c r="AK404" s="137" t="n"/>
      <c r="AL404" s="137" t="n"/>
      <c r="AM404" s="137" t="n"/>
      <c r="AN404" s="137" t="n"/>
      <c r="AO404" s="137" t="n"/>
      <c r="AP404" s="137" t="n"/>
      <c r="AQ404" s="137" t="n"/>
      <c r="AR404" s="137" t="n"/>
      <c r="AS404" s="137" t="n"/>
    </row>
    <row r="405" hidden="1" outlineLevel="2">
      <c r="A405" s="8" t="n"/>
      <c r="B405" s="14" t="n"/>
      <c r="C405" s="137" t="n"/>
      <c r="D405" s="137" t="n"/>
      <c r="E405" s="137" t="n"/>
      <c r="F405" s="137" t="n"/>
      <c r="G405" s="137" t="n"/>
      <c r="I405" s="56" t="inlineStr">
        <is>
          <t>TALENTOS DA TRILHA · CATEGORIA 1</t>
        </is>
      </c>
      <c r="J405" s="16" t="n"/>
      <c r="K405" s="16" t="n"/>
      <c r="L405" s="16" t="n"/>
      <c r="M405" s="16" t="n"/>
      <c r="N405" s="16" t="n"/>
      <c r="O405" s="16" t="n"/>
      <c r="P405" s="16" t="n"/>
      <c r="Q405" s="16" t="n"/>
      <c r="R405" s="16" t="n"/>
      <c r="S405" s="16" t="n"/>
      <c r="T405" s="16" t="n"/>
      <c r="U405" s="16" t="n"/>
      <c r="V405" s="16" t="n"/>
      <c r="W405" s="16" t="n"/>
      <c r="X405" s="16" t="n"/>
      <c r="Y405" s="17" t="n"/>
      <c r="Z405" s="137" t="n"/>
      <c r="AB405" s="56" t="inlineStr">
        <is>
          <t>TALENTOS DA TRILHA · CATEGORIA 1</t>
        </is>
      </c>
      <c r="AC405" s="16" t="n"/>
      <c r="AD405" s="16" t="n"/>
      <c r="AE405" s="16" t="n"/>
      <c r="AF405" s="16" t="n"/>
      <c r="AG405" s="16" t="n"/>
      <c r="AH405" s="16" t="n"/>
      <c r="AI405" s="16" t="n"/>
      <c r="AJ405" s="16" t="n"/>
      <c r="AK405" s="16" t="n"/>
      <c r="AL405" s="16" t="n"/>
      <c r="AM405" s="16" t="n"/>
      <c r="AN405" s="16" t="n"/>
      <c r="AO405" s="16" t="n"/>
      <c r="AP405" s="16" t="n"/>
      <c r="AQ405" s="16" t="n"/>
      <c r="AR405" s="17" t="n"/>
      <c r="AS405" s="137" t="n"/>
    </row>
    <row r="406" hidden="1" outlineLevel="2">
      <c r="A406" s="8" t="n"/>
      <c r="B406" s="14" t="n"/>
      <c r="C406" s="137" t="n"/>
      <c r="D406" s="137" t="n"/>
      <c r="E406" s="137" t="n"/>
      <c r="F406" s="137" t="n"/>
      <c r="G406" s="137" t="n"/>
      <c r="I406" s="56" t="inlineStr">
        <is>
          <t>TRILHA · CE 1</t>
        </is>
      </c>
      <c r="J406" s="144" t="n"/>
      <c r="K406" s="16" t="n"/>
      <c r="L406" s="17" t="n"/>
      <c r="M406" s="150">
        <f>DADOS_INVOC!$IW$3</f>
        <v/>
      </c>
      <c r="N406" s="16" t="n"/>
      <c r="O406" s="16" t="n"/>
      <c r="P406" s="16" t="n"/>
      <c r="Q406" s="16" t="n"/>
      <c r="R406" s="16" t="n"/>
      <c r="S406" s="16" t="n"/>
      <c r="T406" s="16" t="n"/>
      <c r="U406" s="16" t="n"/>
      <c r="V406" s="16" t="n"/>
      <c r="W406" s="16" t="n"/>
      <c r="X406" s="16" t="n"/>
      <c r="Y406" s="17" t="n"/>
      <c r="Z406" s="137" t="n"/>
      <c r="AB406" s="56" t="inlineStr">
        <is>
          <t>TRILHA · CE 1</t>
        </is>
      </c>
      <c r="AC406" s="144" t="n"/>
      <c r="AD406" s="16" t="n"/>
      <c r="AE406" s="17" t="n"/>
      <c r="AF406" s="150">
        <f>DADOS_INVOC!$IW$9</f>
        <v/>
      </c>
      <c r="AG406" s="16" t="n"/>
      <c r="AH406" s="16" t="n"/>
      <c r="AI406" s="16" t="n"/>
      <c r="AJ406" s="16" t="n"/>
      <c r="AK406" s="16" t="n"/>
      <c r="AL406" s="16" t="n"/>
      <c r="AM406" s="16" t="n"/>
      <c r="AN406" s="16" t="n"/>
      <c r="AO406" s="16" t="n"/>
      <c r="AP406" s="16" t="n"/>
      <c r="AQ406" s="16" t="n"/>
      <c r="AR406" s="17" t="n"/>
      <c r="AS406" s="137" t="n"/>
    </row>
    <row r="407" hidden="1" outlineLevel="2">
      <c r="A407" s="8" t="n"/>
      <c r="B407" s="14" t="n"/>
      <c r="C407" s="137" t="n"/>
      <c r="D407" s="137" t="n"/>
      <c r="E407" s="137" t="n"/>
      <c r="F407" s="137" t="n"/>
      <c r="G407" s="137" t="n"/>
      <c r="I407" s="56" t="inlineStr">
        <is>
          <t>TRILHA · CE 1</t>
        </is>
      </c>
      <c r="J407" s="144" t="n"/>
      <c r="K407" s="16" t="n"/>
      <c r="L407" s="17" t="n"/>
      <c r="M407" s="150">
        <f>DADOS_INVOC!$IX$3</f>
        <v/>
      </c>
      <c r="N407" s="16" t="n"/>
      <c r="O407" s="16" t="n"/>
      <c r="P407" s="16" t="n"/>
      <c r="Q407" s="16" t="n"/>
      <c r="R407" s="16" t="n"/>
      <c r="S407" s="16" t="n"/>
      <c r="T407" s="16" t="n"/>
      <c r="U407" s="16" t="n"/>
      <c r="V407" s="16" t="n"/>
      <c r="W407" s="16" t="n"/>
      <c r="X407" s="16" t="n"/>
      <c r="Y407" s="17" t="n"/>
      <c r="Z407" s="137" t="n"/>
      <c r="AB407" s="56" t="inlineStr">
        <is>
          <t>TRILHA · CE 1</t>
        </is>
      </c>
      <c r="AC407" s="144" t="n"/>
      <c r="AD407" s="16" t="n"/>
      <c r="AE407" s="17" t="n"/>
      <c r="AF407" s="150">
        <f>DADOS_INVOC!$IX$9</f>
        <v/>
      </c>
      <c r="AG407" s="16" t="n"/>
      <c r="AH407" s="16" t="n"/>
      <c r="AI407" s="16" t="n"/>
      <c r="AJ407" s="16" t="n"/>
      <c r="AK407" s="16" t="n"/>
      <c r="AL407" s="16" t="n"/>
      <c r="AM407" s="16" t="n"/>
      <c r="AN407" s="16" t="n"/>
      <c r="AO407" s="16" t="n"/>
      <c r="AP407" s="16" t="n"/>
      <c r="AQ407" s="16" t="n"/>
      <c r="AR407" s="17" t="n"/>
      <c r="AS407" s="137" t="n"/>
    </row>
    <row r="408" hidden="1" outlineLevel="2">
      <c r="A408" s="8" t="n"/>
      <c r="B408" s="14" t="n"/>
      <c r="C408" s="137" t="n"/>
      <c r="D408" s="137" t="n"/>
      <c r="E408" s="137" t="n"/>
      <c r="F408" s="137" t="n"/>
      <c r="G408" s="137" t="n"/>
      <c r="I408" s="56" t="inlineStr">
        <is>
          <t>TRILHA · CE 1</t>
        </is>
      </c>
      <c r="J408" s="144" t="n"/>
      <c r="K408" s="16" t="n"/>
      <c r="L408" s="17" t="n"/>
      <c r="M408" s="150">
        <f>DADOS_INVOC!$IY$3</f>
        <v/>
      </c>
      <c r="N408" s="16" t="n"/>
      <c r="O408" s="16" t="n"/>
      <c r="P408" s="16" t="n"/>
      <c r="Q408" s="16" t="n"/>
      <c r="R408" s="16" t="n"/>
      <c r="S408" s="16" t="n"/>
      <c r="T408" s="16" t="n"/>
      <c r="U408" s="16" t="n"/>
      <c r="V408" s="16" t="n"/>
      <c r="W408" s="16" t="n"/>
      <c r="X408" s="16" t="n"/>
      <c r="Y408" s="17" t="n"/>
      <c r="Z408" s="137" t="n"/>
      <c r="AB408" s="56" t="inlineStr">
        <is>
          <t>TRILHA · CE 1</t>
        </is>
      </c>
      <c r="AC408" s="144" t="n"/>
      <c r="AD408" s="16" t="n"/>
      <c r="AE408" s="17" t="n"/>
      <c r="AF408" s="150">
        <f>DADOS_INVOC!$IY$9</f>
        <v/>
      </c>
      <c r="AG408" s="16" t="n"/>
      <c r="AH408" s="16" t="n"/>
      <c r="AI408" s="16" t="n"/>
      <c r="AJ408" s="16" t="n"/>
      <c r="AK408" s="16" t="n"/>
      <c r="AL408" s="16" t="n"/>
      <c r="AM408" s="16" t="n"/>
      <c r="AN408" s="16" t="n"/>
      <c r="AO408" s="16" t="n"/>
      <c r="AP408" s="16" t="n"/>
      <c r="AQ408" s="16" t="n"/>
      <c r="AR408" s="17" t="n"/>
      <c r="AS408" s="137" t="n"/>
    </row>
    <row r="409" hidden="1" outlineLevel="1">
      <c r="A409" s="8" t="n"/>
      <c r="B409" s="14" t="n"/>
      <c r="C409" s="137" t="n"/>
      <c r="D409" s="137" t="n"/>
      <c r="E409" s="137" t="n"/>
      <c r="F409" s="137" t="n"/>
      <c r="G409" s="137" t="n"/>
      <c r="I409" s="137" t="n"/>
      <c r="J409" s="137" t="n"/>
      <c r="K409" s="137" t="n"/>
      <c r="L409" s="137" t="n"/>
      <c r="M409" s="137" t="n"/>
      <c r="N409" s="137" t="n"/>
      <c r="O409" s="137" t="n"/>
      <c r="P409" s="137" t="n"/>
      <c r="Q409" s="137" t="n"/>
      <c r="R409" s="137" t="n"/>
      <c r="S409" s="137" t="n"/>
      <c r="T409" s="137" t="n"/>
      <c r="U409" s="137" t="n"/>
      <c r="V409" s="137" t="n"/>
      <c r="W409" s="137" t="n"/>
      <c r="X409" s="137" t="n"/>
      <c r="Y409" s="137" t="n"/>
      <c r="Z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37" t="n"/>
      <c r="AS409" s="137" t="n"/>
    </row>
    <row r="410" hidden="1" outlineLevel="1">
      <c r="A410" s="8" t="n"/>
      <c r="B410" s="14" t="n"/>
      <c r="C410" s="137" t="n"/>
      <c r="D410" s="137" t="n"/>
      <c r="E410" s="137" t="n"/>
      <c r="F410" s="137" t="n"/>
      <c r="G410" s="137" t="n"/>
      <c r="I410" s="146" t="inlineStr">
        <is>
          <t>TRUNFOS · Liberação Máxima, Técnica Máxima e Expansão de Domínio, para quem tem técnica própria</t>
        </is>
      </c>
      <c r="J410" s="16" t="n"/>
      <c r="K410" s="16" t="n"/>
      <c r="L410" s="16" t="n"/>
      <c r="M410" s="16" t="n"/>
      <c r="N410" s="16" t="n"/>
      <c r="O410" s="16" t="n"/>
      <c r="P410" s="16" t="n"/>
      <c r="Q410" s="16" t="n"/>
      <c r="R410" s="16" t="n"/>
      <c r="S410" s="16" t="n"/>
      <c r="T410" s="16" t="n"/>
      <c r="U410" s="16" t="n"/>
      <c r="V410" s="16" t="n"/>
      <c r="W410" s="16" t="n"/>
      <c r="X410" s="16" t="n"/>
      <c r="Y410" s="17" t="n"/>
      <c r="Z410" s="137" t="n"/>
      <c r="AB410" s="146" t="inlineStr">
        <is>
          <t>TRUNFOS · Liberação Máxima, Técnica Máxima e Expansão de Domínio, para quem tem técnica própria</t>
        </is>
      </c>
      <c r="AC410" s="16" t="n"/>
      <c r="AD410" s="16" t="n"/>
      <c r="AE410" s="16" t="n"/>
      <c r="AF410" s="16" t="n"/>
      <c r="AG410" s="16" t="n"/>
      <c r="AH410" s="16" t="n"/>
      <c r="AI410" s="16" t="n"/>
      <c r="AJ410" s="16" t="n"/>
      <c r="AK410" s="16" t="n"/>
      <c r="AL410" s="16" t="n"/>
      <c r="AM410" s="16" t="n"/>
      <c r="AN410" s="16" t="n"/>
      <c r="AO410" s="16" t="n"/>
      <c r="AP410" s="16" t="n"/>
      <c r="AQ410" s="16" t="n"/>
      <c r="AR410" s="17" t="n"/>
      <c r="AS410" s="137" t="n"/>
    </row>
    <row r="411" hidden="1" outlineLevel="2">
      <c r="A411" s="8" t="n"/>
      <c r="B411" s="14" t="n"/>
      <c r="C411" s="137" t="n"/>
      <c r="D411" s="137" t="n"/>
      <c r="E411" s="137" t="n"/>
      <c r="F411" s="137" t="n"/>
      <c r="G411" s="137" t="n"/>
      <c r="I411" s="137" t="n"/>
      <c r="J411" s="137" t="n"/>
      <c r="K411" s="137" t="n"/>
      <c r="L411" s="137" t="n"/>
      <c r="M411" s="137" t="n"/>
      <c r="N411" s="137" t="n"/>
      <c r="O411" s="137" t="n"/>
      <c r="P411" s="137" t="n"/>
      <c r="Q411" s="137" t="n"/>
      <c r="R411" s="137" t="n"/>
      <c r="S411" s="137" t="n"/>
      <c r="T411" s="137" t="n"/>
      <c r="U411" s="137" t="n"/>
      <c r="V411" s="137" t="n"/>
      <c r="W411" s="137" t="n"/>
      <c r="X411" s="137" t="n"/>
      <c r="Y411" s="137" t="n"/>
      <c r="Z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37" t="n"/>
      <c r="AS411" s="137" t="n"/>
    </row>
    <row r="412" hidden="1" outlineLevel="2">
      <c r="A412" s="8" t="n"/>
      <c r="B412" s="14" t="n"/>
      <c r="C412" s="137" t="n"/>
      <c r="D412" s="137" t="n"/>
      <c r="E412" s="137" t="n"/>
      <c r="F412" s="137" t="n"/>
      <c r="G412" s="137" t="n"/>
      <c r="I412" s="56" t="inlineStr">
        <is>
          <t>LIBERAÇÃO MÁXIMA 1</t>
        </is>
      </c>
      <c r="J412" s="16" t="n"/>
      <c r="K412" s="16" t="n"/>
      <c r="L412" s="16" t="n"/>
      <c r="M412" s="17" t="n"/>
      <c r="N412" s="137" t="n"/>
      <c r="O412" s="56" t="inlineStr">
        <is>
          <t>LIBERAÇÃO MÁXIMA 2</t>
        </is>
      </c>
      <c r="P412" s="16" t="n"/>
      <c r="Q412" s="16" t="n"/>
      <c r="R412" s="16" t="n"/>
      <c r="S412" s="17" t="n"/>
      <c r="T412" s="137" t="n"/>
      <c r="U412" s="56" t="inlineStr">
        <is>
          <t>LIBERAÇÃO MÁXIMA 3</t>
        </is>
      </c>
      <c r="V412" s="16" t="n"/>
      <c r="W412" s="16" t="n"/>
      <c r="X412" s="16" t="n"/>
      <c r="Y412" s="17" t="n"/>
      <c r="Z412" s="137" t="n"/>
      <c r="AB412" s="56" t="inlineStr">
        <is>
          <t>LIBERAÇÃO MÁXIMA 1</t>
        </is>
      </c>
      <c r="AC412" s="16" t="n"/>
      <c r="AD412" s="16" t="n"/>
      <c r="AE412" s="16" t="n"/>
      <c r="AF412" s="17" t="n"/>
      <c r="AG412" s="137" t="n"/>
      <c r="AH412" s="56" t="inlineStr">
        <is>
          <t>LIBERAÇÃO MÁXIMA 2</t>
        </is>
      </c>
      <c r="AI412" s="16" t="n"/>
      <c r="AJ412" s="16" t="n"/>
      <c r="AK412" s="16" t="n"/>
      <c r="AL412" s="17" t="n"/>
      <c r="AM412" s="137" t="n"/>
      <c r="AN412" s="56" t="inlineStr">
        <is>
          <t>LIBERAÇÃO MÁXIMA 3</t>
        </is>
      </c>
      <c r="AO412" s="16" t="n"/>
      <c r="AP412" s="16" t="n"/>
      <c r="AQ412" s="16" t="n"/>
      <c r="AR412" s="17" t="n"/>
      <c r="AS412" s="137" t="n"/>
    </row>
    <row r="413" hidden="1" outlineLevel="2">
      <c r="A413" s="8" t="n"/>
      <c r="B413" s="14" t="n"/>
      <c r="C413" s="137" t="n"/>
      <c r="D413" s="137" t="n"/>
      <c r="E413" s="137" t="n"/>
      <c r="F413" s="137" t="n"/>
      <c r="G413" s="137" t="n"/>
      <c r="I413" s="141" t="n">
        <v>3</v>
      </c>
      <c r="J413" s="131" t="n"/>
      <c r="K413" s="16" t="n"/>
      <c r="L413" s="17" t="n"/>
      <c r="M413" s="142">
        <f>DADOS_INVOC!$IZ$3</f>
        <v/>
      </c>
      <c r="N413" s="137" t="n"/>
      <c r="O413" s="141" t="n">
        <v>3</v>
      </c>
      <c r="P413" s="131" t="n"/>
      <c r="Q413" s="16" t="n"/>
      <c r="R413" s="17" t="n"/>
      <c r="S413" s="142">
        <f>DADOS_INVOC!$JA$3</f>
        <v/>
      </c>
      <c r="T413" s="137" t="n"/>
      <c r="U413" s="141" t="n">
        <v>3</v>
      </c>
      <c r="V413" s="131" t="n"/>
      <c r="W413" s="16" t="n"/>
      <c r="X413" s="17" t="n"/>
      <c r="Y413" s="142">
        <f>DADOS_INVOC!$JB$3</f>
        <v/>
      </c>
      <c r="Z413" s="137" t="n"/>
      <c r="AB413" s="141" t="n">
        <v>3</v>
      </c>
      <c r="AC413" s="131" t="n"/>
      <c r="AD413" s="16" t="n"/>
      <c r="AE413" s="17" t="n"/>
      <c r="AF413" s="142">
        <f>DADOS_INVOC!$IZ$9</f>
        <v/>
      </c>
      <c r="AG413" s="137" t="n"/>
      <c r="AH413" s="141" t="n">
        <v>3</v>
      </c>
      <c r="AI413" s="131" t="n"/>
      <c r="AJ413" s="16" t="n"/>
      <c r="AK413" s="17" t="n"/>
      <c r="AL413" s="142">
        <f>DADOS_INVOC!$JA$9</f>
        <v/>
      </c>
      <c r="AM413" s="137" t="n"/>
      <c r="AN413" s="141" t="n">
        <v>3</v>
      </c>
      <c r="AO413" s="131" t="n"/>
      <c r="AP413" s="16" t="n"/>
      <c r="AQ413" s="17" t="n"/>
      <c r="AR413" s="142">
        <f>DADOS_INVOC!$JB$9</f>
        <v/>
      </c>
      <c r="AS413" s="137" t="n"/>
    </row>
    <row r="414" hidden="1" outlineLevel="2">
      <c r="A414" s="8" t="n"/>
      <c r="B414" s="14" t="n"/>
      <c r="C414" s="137" t="n"/>
      <c r="D414" s="137" t="n"/>
      <c r="E414" s="137" t="n"/>
      <c r="F414" s="137" t="n"/>
      <c r="G414" s="137" t="n"/>
      <c r="I414" s="61" t="n"/>
      <c r="J414" s="19" t="n"/>
      <c r="K414" s="19" t="n"/>
      <c r="L414" s="19" t="n"/>
      <c r="M414" s="20" t="n"/>
      <c r="N414" s="137" t="n"/>
      <c r="O414" s="61" t="n"/>
      <c r="P414" s="19" t="n"/>
      <c r="Q414" s="19" t="n"/>
      <c r="R414" s="19" t="n"/>
      <c r="S414" s="20" t="n"/>
      <c r="T414" s="137" t="n"/>
      <c r="U414" s="61" t="n"/>
      <c r="V414" s="19" t="n"/>
      <c r="W414" s="19" t="n"/>
      <c r="X414" s="19" t="n"/>
      <c r="Y414" s="20" t="n"/>
      <c r="Z414" s="137" t="n"/>
      <c r="AB414" s="61" t="n"/>
      <c r="AC414" s="19" t="n"/>
      <c r="AD414" s="19" t="n"/>
      <c r="AE414" s="19" t="n"/>
      <c r="AF414" s="20" t="n"/>
      <c r="AG414" s="137" t="n"/>
      <c r="AH414" s="61" t="n"/>
      <c r="AI414" s="19" t="n"/>
      <c r="AJ414" s="19" t="n"/>
      <c r="AK414" s="19" t="n"/>
      <c r="AL414" s="20" t="n"/>
      <c r="AM414" s="137" t="n"/>
      <c r="AN414" s="61" t="n"/>
      <c r="AO414" s="19" t="n"/>
      <c r="AP414" s="19" t="n"/>
      <c r="AQ414" s="19" t="n"/>
      <c r="AR414" s="20" t="n"/>
      <c r="AS414" s="137" t="n"/>
    </row>
    <row r="415" hidden="1" outlineLevel="2">
      <c r="A415" s="8" t="n"/>
      <c r="B415" s="14" t="n"/>
      <c r="C415" s="137" t="n"/>
      <c r="D415" s="137" t="n"/>
      <c r="E415" s="137" t="n"/>
      <c r="F415" s="137" t="n"/>
      <c r="G415" s="137" t="n"/>
      <c r="I415" s="21" t="n"/>
      <c r="M415" s="22" t="n"/>
      <c r="N415" s="137" t="n"/>
      <c r="O415" s="21" t="n"/>
      <c r="S415" s="22" t="n"/>
      <c r="T415" s="137" t="n"/>
      <c r="U415" s="21" t="n"/>
      <c r="Y415" s="22" t="n"/>
      <c r="Z415" s="137" t="n"/>
      <c r="AB415" s="21" t="n"/>
      <c r="AF415" s="22" t="n"/>
      <c r="AG415" s="137" t="n"/>
      <c r="AH415" s="21" t="n"/>
      <c r="AL415" s="22" t="n"/>
      <c r="AM415" s="137" t="n"/>
      <c r="AN415" s="21" t="n"/>
      <c r="AR415" s="22" t="n"/>
      <c r="AS415" s="137" t="n"/>
    </row>
    <row r="416" hidden="1" outlineLevel="2">
      <c r="A416" s="8" t="n"/>
      <c r="B416" s="14" t="n"/>
      <c r="C416" s="137" t="n"/>
      <c r="D416" s="137" t="n"/>
      <c r="E416" s="137" t="n"/>
      <c r="F416" s="137" t="n"/>
      <c r="G416" s="137" t="n"/>
      <c r="I416" s="21" t="n"/>
      <c r="M416" s="22" t="n"/>
      <c r="N416" s="137" t="n"/>
      <c r="O416" s="21" t="n"/>
      <c r="S416" s="22" t="n"/>
      <c r="T416" s="137" t="n"/>
      <c r="U416" s="21" t="n"/>
      <c r="Y416" s="22" t="n"/>
      <c r="Z416" s="137" t="n"/>
      <c r="AB416" s="21" t="n"/>
      <c r="AF416" s="22" t="n"/>
      <c r="AG416" s="137" t="n"/>
      <c r="AH416" s="21" t="n"/>
      <c r="AL416" s="22" t="n"/>
      <c r="AM416" s="137" t="n"/>
      <c r="AN416" s="21" t="n"/>
      <c r="AR416" s="22" t="n"/>
      <c r="AS416" s="137" t="n"/>
    </row>
    <row r="417" hidden="1" outlineLevel="2">
      <c r="A417" s="8" t="n"/>
      <c r="B417" s="14" t="n"/>
      <c r="C417" s="137" t="n"/>
      <c r="D417" s="137" t="n"/>
      <c r="E417" s="137" t="n"/>
      <c r="F417" s="137" t="n"/>
      <c r="G417" s="137" t="n"/>
      <c r="I417" s="23" t="n"/>
      <c r="J417" s="24" t="n"/>
      <c r="K417" s="24" t="n"/>
      <c r="L417" s="24" t="n"/>
      <c r="M417" s="25" t="n"/>
      <c r="N417" s="137" t="n"/>
      <c r="O417" s="23" t="n"/>
      <c r="P417" s="24" t="n"/>
      <c r="Q417" s="24" t="n"/>
      <c r="R417" s="24" t="n"/>
      <c r="S417" s="25" t="n"/>
      <c r="T417" s="137" t="n"/>
      <c r="U417" s="23" t="n"/>
      <c r="V417" s="24" t="n"/>
      <c r="W417" s="24" t="n"/>
      <c r="X417" s="24" t="n"/>
      <c r="Y417" s="25" t="n"/>
      <c r="Z417" s="137" t="n"/>
      <c r="AB417" s="23" t="n"/>
      <c r="AC417" s="24" t="n"/>
      <c r="AD417" s="24" t="n"/>
      <c r="AE417" s="24" t="n"/>
      <c r="AF417" s="25" t="n"/>
      <c r="AG417" s="137" t="n"/>
      <c r="AH417" s="23" t="n"/>
      <c r="AI417" s="24" t="n"/>
      <c r="AJ417" s="24" t="n"/>
      <c r="AK417" s="24" t="n"/>
      <c r="AL417" s="25" t="n"/>
      <c r="AM417" s="137" t="n"/>
      <c r="AN417" s="23" t="n"/>
      <c r="AO417" s="24" t="n"/>
      <c r="AP417" s="24" t="n"/>
      <c r="AQ417" s="24" t="n"/>
      <c r="AR417" s="25" t="n"/>
      <c r="AS417" s="137" t="n"/>
    </row>
    <row r="418" hidden="1" outlineLevel="2">
      <c r="A418" s="8" t="n"/>
      <c r="B418" s="14" t="n"/>
      <c r="C418" s="137" t="n"/>
      <c r="D418" s="137" t="n"/>
      <c r="E418" s="137" t="n"/>
      <c r="F418" s="137" t="n"/>
      <c r="G418" s="137" t="n"/>
      <c r="I418" s="71">
        <f>DADOS_INVOC!$JC$3</f>
        <v/>
      </c>
      <c r="J418" s="16" t="n"/>
      <c r="K418" s="16" t="n"/>
      <c r="L418" s="16" t="n"/>
      <c r="M418" s="17" t="n"/>
      <c r="N418" s="137" t="n"/>
      <c r="O418" s="71">
        <f>DADOS_INVOC!$JD$3</f>
        <v/>
      </c>
      <c r="P418" s="16" t="n"/>
      <c r="Q418" s="16" t="n"/>
      <c r="R418" s="16" t="n"/>
      <c r="S418" s="17" t="n"/>
      <c r="T418" s="137" t="n"/>
      <c r="U418" s="71">
        <f>DADOS_INVOC!$JE$3</f>
        <v/>
      </c>
      <c r="V418" s="16" t="n"/>
      <c r="W418" s="16" t="n"/>
      <c r="X418" s="16" t="n"/>
      <c r="Y418" s="17" t="n"/>
      <c r="Z418" s="137" t="n"/>
      <c r="AB418" s="71">
        <f>DADOS_INVOC!$JC$9</f>
        <v/>
      </c>
      <c r="AC418" s="16" t="n"/>
      <c r="AD418" s="16" t="n"/>
      <c r="AE418" s="16" t="n"/>
      <c r="AF418" s="17" t="n"/>
      <c r="AG418" s="137" t="n"/>
      <c r="AH418" s="71">
        <f>DADOS_INVOC!$JD$9</f>
        <v/>
      </c>
      <c r="AI418" s="16" t="n"/>
      <c r="AJ418" s="16" t="n"/>
      <c r="AK418" s="16" t="n"/>
      <c r="AL418" s="17" t="n"/>
      <c r="AM418" s="137" t="n"/>
      <c r="AN418" s="71">
        <f>DADOS_INVOC!$JE$9</f>
        <v/>
      </c>
      <c r="AO418" s="16" t="n"/>
      <c r="AP418" s="16" t="n"/>
      <c r="AQ418" s="16" t="n"/>
      <c r="AR418" s="17" t="n"/>
      <c r="AS418" s="137" t="n"/>
    </row>
    <row r="419" hidden="1" outlineLevel="2">
      <c r="A419" s="8" t="n"/>
      <c r="B419" s="14" t="n"/>
      <c r="C419" s="137" t="n"/>
      <c r="D419" s="137" t="n"/>
      <c r="E419" s="137" t="n"/>
      <c r="F419" s="137" t="n"/>
      <c r="G419" s="137" t="n"/>
      <c r="I419" s="95" t="inlineStr">
        <is>
          <t>Sua Ação Completa + a básica dela</t>
        </is>
      </c>
      <c r="J419" s="16" t="n"/>
      <c r="K419" s="16" t="n"/>
      <c r="L419" s="16" t="n"/>
      <c r="M419" s="17" t="n"/>
      <c r="N419" s="137" t="n"/>
      <c r="O419" s="95" t="inlineStr">
        <is>
          <t>Sua Ação Completa + a básica dela</t>
        </is>
      </c>
      <c r="P419" s="16" t="n"/>
      <c r="Q419" s="16" t="n"/>
      <c r="R419" s="16" t="n"/>
      <c r="S419" s="17" t="n"/>
      <c r="T419" s="137" t="n"/>
      <c r="U419" s="95" t="inlineStr">
        <is>
          <t>Sua Ação Completa + a básica dela</t>
        </is>
      </c>
      <c r="V419" s="16" t="n"/>
      <c r="W419" s="16" t="n"/>
      <c r="X419" s="16" t="n"/>
      <c r="Y419" s="17" t="n"/>
      <c r="Z419" s="137" t="n"/>
      <c r="AB419" s="95" t="inlineStr">
        <is>
          <t>Sua Ação Completa + a básica dela</t>
        </is>
      </c>
      <c r="AC419" s="16" t="n"/>
      <c r="AD419" s="16" t="n"/>
      <c r="AE419" s="16" t="n"/>
      <c r="AF419" s="17" t="n"/>
      <c r="AG419" s="137" t="n"/>
      <c r="AH419" s="95" t="inlineStr">
        <is>
          <t>Sua Ação Completa + a básica dela</t>
        </is>
      </c>
      <c r="AI419" s="16" t="n"/>
      <c r="AJ419" s="16" t="n"/>
      <c r="AK419" s="16" t="n"/>
      <c r="AL419" s="17" t="n"/>
      <c r="AM419" s="137" t="n"/>
      <c r="AN419" s="95" t="inlineStr">
        <is>
          <t>Sua Ação Completa + a básica dela</t>
        </is>
      </c>
      <c r="AO419" s="16" t="n"/>
      <c r="AP419" s="16" t="n"/>
      <c r="AQ419" s="16" t="n"/>
      <c r="AR419" s="17" t="n"/>
      <c r="AS419" s="137" t="n"/>
    </row>
    <row r="420" hidden="1" outlineLevel="2">
      <c r="A420" s="8" t="n"/>
      <c r="B420" s="14" t="n"/>
      <c r="C420" s="137" t="n"/>
      <c r="D420" s="137" t="n"/>
      <c r="E420" s="137" t="n"/>
      <c r="F420" s="137" t="n"/>
      <c r="G420" s="137" t="n"/>
      <c r="I420" s="137" t="n"/>
      <c r="J420" s="137" t="n"/>
      <c r="K420" s="137" t="n"/>
      <c r="L420" s="137" t="n"/>
      <c r="M420" s="137" t="n"/>
      <c r="N420" s="137" t="n"/>
      <c r="O420" s="137" t="n"/>
      <c r="P420" s="137" t="n"/>
      <c r="Q420" s="137" t="n"/>
      <c r="R420" s="137" t="n"/>
      <c r="S420" s="137" t="n"/>
      <c r="T420" s="137" t="n"/>
      <c r="U420" s="137" t="n"/>
      <c r="V420" s="137" t="n"/>
      <c r="W420" s="137" t="n"/>
      <c r="X420" s="137" t="n"/>
      <c r="Y420" s="137" t="n"/>
      <c r="Z420" s="137" t="n"/>
      <c r="AB420" s="137" t="n"/>
      <c r="AC420" s="137" t="n"/>
      <c r="AD420" s="137" t="n"/>
      <c r="AE420" s="137" t="n"/>
      <c r="AF420" s="137" t="n"/>
      <c r="AG420" s="137" t="n"/>
      <c r="AH420" s="137" t="n"/>
      <c r="AI420" s="137" t="n"/>
      <c r="AJ420" s="137" t="n"/>
      <c r="AK420" s="137" t="n"/>
      <c r="AL420" s="137" t="n"/>
      <c r="AM420" s="137" t="n"/>
      <c r="AN420" s="137" t="n"/>
      <c r="AO420" s="137" t="n"/>
      <c r="AP420" s="137" t="n"/>
      <c r="AQ420" s="137" t="n"/>
      <c r="AR420" s="137" t="n"/>
      <c r="AS420" s="137" t="n"/>
    </row>
    <row r="421" hidden="1" outlineLevel="2">
      <c r="A421" s="8" t="n"/>
      <c r="B421" s="14" t="n"/>
      <c r="C421" s="137" t="n"/>
      <c r="D421" s="137" t="n"/>
      <c r="E421" s="137" t="n"/>
      <c r="F421" s="137" t="n"/>
      <c r="G421" s="137" t="n"/>
      <c r="I421" s="56" t="inlineStr">
        <is>
          <t>TÉCNICA MÁXIMA</t>
        </is>
      </c>
      <c r="J421" s="16" t="n"/>
      <c r="K421" s="16" t="n"/>
      <c r="L421" s="16" t="n"/>
      <c r="M421" s="17" t="n"/>
      <c r="N421" s="137" t="n"/>
      <c r="O421" s="56" t="inlineStr">
        <is>
          <t>EXPANSÃO DE DOMÍNIO</t>
        </is>
      </c>
      <c r="P421" s="16" t="n"/>
      <c r="Q421" s="16" t="n"/>
      <c r="R421" s="16" t="n"/>
      <c r="S421" s="17" t="n"/>
      <c r="T421" s="137" t="n"/>
      <c r="U421" s="137" t="n"/>
      <c r="V421" s="137" t="n"/>
      <c r="W421" s="137" t="n"/>
      <c r="X421" s="137" t="n"/>
      <c r="Y421" s="137" t="n"/>
      <c r="Z421" s="137" t="n"/>
      <c r="AB421" s="56" t="inlineStr">
        <is>
          <t>TÉCNICA MÁXIMA</t>
        </is>
      </c>
      <c r="AC421" s="16" t="n"/>
      <c r="AD421" s="16" t="n"/>
      <c r="AE421" s="16" t="n"/>
      <c r="AF421" s="17" t="n"/>
      <c r="AG421" s="137" t="n"/>
      <c r="AH421" s="56" t="inlineStr">
        <is>
          <t>EXPANSÃO DE DOMÍNIO</t>
        </is>
      </c>
      <c r="AI421" s="16" t="n"/>
      <c r="AJ421" s="16" t="n"/>
      <c r="AK421" s="16" t="n"/>
      <c r="AL421" s="17" t="n"/>
      <c r="AM421" s="137" t="n"/>
      <c r="AN421" s="137" t="n"/>
      <c r="AO421" s="137" t="n"/>
      <c r="AP421" s="137" t="n"/>
      <c r="AQ421" s="137" t="n"/>
      <c r="AR421" s="137" t="n"/>
      <c r="AS421" s="137" t="n"/>
    </row>
    <row r="422" hidden="1" outlineLevel="2">
      <c r="A422" s="8" t="n"/>
      <c r="B422" s="14" t="n"/>
      <c r="C422" s="137" t="n"/>
      <c r="D422" s="137" t="n"/>
      <c r="E422" s="137" t="n"/>
      <c r="F422" s="137" t="n"/>
      <c r="G422" s="137" t="n"/>
      <c r="I422" s="131" t="n"/>
      <c r="J422" s="16" t="n"/>
      <c r="K422" s="16" t="n"/>
      <c r="L422" s="17" t="n"/>
      <c r="M422" s="142">
        <f>DADOS_INVOC!$JF$3</f>
        <v/>
      </c>
      <c r="N422" s="137" t="n"/>
      <c r="O422" s="131" t="n"/>
      <c r="P422" s="16" t="n"/>
      <c r="Q422" s="16" t="n"/>
      <c r="R422" s="17" t="n"/>
      <c r="S422" s="142">
        <f>DADOS_INVOC!$JH$3</f>
        <v/>
      </c>
      <c r="T422" s="137" t="n"/>
      <c r="U422" s="137" t="n"/>
      <c r="V422" s="137" t="n"/>
      <c r="W422" s="137" t="n"/>
      <c r="X422" s="137" t="n"/>
      <c r="Y422" s="137" t="n"/>
      <c r="Z422" s="137" t="n"/>
      <c r="AB422" s="131" t="n"/>
      <c r="AC422" s="16" t="n"/>
      <c r="AD422" s="16" t="n"/>
      <c r="AE422" s="17" t="n"/>
      <c r="AF422" s="142">
        <f>DADOS_INVOC!$JF$9</f>
        <v/>
      </c>
      <c r="AG422" s="137" t="n"/>
      <c r="AH422" s="131" t="n"/>
      <c r="AI422" s="16" t="n"/>
      <c r="AJ422" s="16" t="n"/>
      <c r="AK422" s="17" t="n"/>
      <c r="AL422" s="142">
        <f>DADOS_INVOC!$JH$9</f>
        <v/>
      </c>
      <c r="AM422" s="137" t="n"/>
      <c r="AN422" s="137" t="n"/>
      <c r="AO422" s="137" t="n"/>
      <c r="AP422" s="137" t="n"/>
      <c r="AQ422" s="137" t="n"/>
      <c r="AR422" s="137" t="n"/>
      <c r="AS422" s="137" t="n"/>
    </row>
    <row r="423" hidden="1" outlineLevel="2">
      <c r="A423" s="8" t="n"/>
      <c r="B423" s="14" t="n"/>
      <c r="C423" s="137" t="n"/>
      <c r="D423" s="137" t="n"/>
      <c r="E423" s="137" t="n"/>
      <c r="F423" s="137" t="n"/>
      <c r="G423" s="137" t="n"/>
      <c r="I423" s="61" t="n"/>
      <c r="J423" s="19" t="n"/>
      <c r="K423" s="19" t="n"/>
      <c r="L423" s="19" t="n"/>
      <c r="M423" s="20" t="n"/>
      <c r="N423" s="137" t="n"/>
      <c r="O423" s="61" t="n"/>
      <c r="P423" s="19" t="n"/>
      <c r="Q423" s="19" t="n"/>
      <c r="R423" s="19" t="n"/>
      <c r="S423" s="20" t="n"/>
      <c r="T423" s="137" t="n"/>
      <c r="U423" s="137" t="n"/>
      <c r="V423" s="137" t="n"/>
      <c r="W423" s="137" t="n"/>
      <c r="X423" s="137" t="n"/>
      <c r="Y423" s="137" t="n"/>
      <c r="Z423" s="137" t="n"/>
      <c r="AB423" s="61" t="n"/>
      <c r="AC423" s="19" t="n"/>
      <c r="AD423" s="19" t="n"/>
      <c r="AE423" s="19" t="n"/>
      <c r="AF423" s="20" t="n"/>
      <c r="AG423" s="137" t="n"/>
      <c r="AH423" s="61" t="n"/>
      <c r="AI423" s="19" t="n"/>
      <c r="AJ423" s="19" t="n"/>
      <c r="AK423" s="19" t="n"/>
      <c r="AL423" s="20" t="n"/>
      <c r="AM423" s="137" t="n"/>
      <c r="AN423" s="137" t="n"/>
      <c r="AO423" s="137" t="n"/>
      <c r="AP423" s="137" t="n"/>
      <c r="AQ423" s="137" t="n"/>
      <c r="AR423" s="137" t="n"/>
      <c r="AS423" s="137" t="n"/>
    </row>
    <row r="424" hidden="1" outlineLevel="2">
      <c r="A424" s="8" t="n"/>
      <c r="B424" s="14" t="n"/>
      <c r="C424" s="137" t="n"/>
      <c r="D424" s="137" t="n"/>
      <c r="E424" s="137" t="n"/>
      <c r="F424" s="137" t="n"/>
      <c r="G424" s="137" t="n"/>
      <c r="I424" s="21" t="n"/>
      <c r="M424" s="22" t="n"/>
      <c r="N424" s="137" t="n"/>
      <c r="O424" s="21" t="n"/>
      <c r="S424" s="22" t="n"/>
      <c r="T424" s="137" t="n"/>
      <c r="U424" s="137" t="n"/>
      <c r="V424" s="137" t="n"/>
      <c r="W424" s="137" t="n"/>
      <c r="X424" s="137" t="n"/>
      <c r="Y424" s="137" t="n"/>
      <c r="Z424" s="137" t="n"/>
      <c r="AB424" s="21" t="n"/>
      <c r="AF424" s="22" t="n"/>
      <c r="AG424" s="137" t="n"/>
      <c r="AH424" s="21" t="n"/>
      <c r="AL424" s="22" t="n"/>
      <c r="AM424" s="137" t="n"/>
      <c r="AN424" s="137" t="n"/>
      <c r="AO424" s="137" t="n"/>
      <c r="AP424" s="137" t="n"/>
      <c r="AQ424" s="137" t="n"/>
      <c r="AR424" s="137" t="n"/>
      <c r="AS424" s="137" t="n"/>
    </row>
    <row r="425" hidden="1" outlineLevel="2">
      <c r="A425" s="8" t="n"/>
      <c r="B425" s="14" t="n"/>
      <c r="C425" s="137" t="n"/>
      <c r="D425" s="137" t="n"/>
      <c r="E425" s="137" t="n"/>
      <c r="F425" s="137" t="n"/>
      <c r="G425" s="137" t="n"/>
      <c r="I425" s="21" t="n"/>
      <c r="M425" s="22" t="n"/>
      <c r="N425" s="137" t="n"/>
      <c r="O425" s="21" t="n"/>
      <c r="S425" s="22" t="n"/>
      <c r="T425" s="137" t="n"/>
      <c r="U425" s="137" t="n"/>
      <c r="V425" s="137" t="n"/>
      <c r="W425" s="137" t="n"/>
      <c r="X425" s="137" t="n"/>
      <c r="Y425" s="137" t="n"/>
      <c r="Z425" s="137" t="n"/>
      <c r="AB425" s="21" t="n"/>
      <c r="AF425" s="22" t="n"/>
      <c r="AG425" s="137" t="n"/>
      <c r="AH425" s="21" t="n"/>
      <c r="AL425" s="22" t="n"/>
      <c r="AM425" s="137" t="n"/>
      <c r="AN425" s="137" t="n"/>
      <c r="AO425" s="137" t="n"/>
      <c r="AP425" s="137" t="n"/>
      <c r="AQ425" s="137" t="n"/>
      <c r="AR425" s="137" t="n"/>
      <c r="AS425" s="137" t="n"/>
    </row>
    <row r="426" hidden="1" outlineLevel="2">
      <c r="A426" s="8" t="n"/>
      <c r="B426" s="14" t="n"/>
      <c r="C426" s="137" t="n"/>
      <c r="D426" s="137" t="n"/>
      <c r="E426" s="137" t="n"/>
      <c r="F426" s="137" t="n"/>
      <c r="G426" s="137" t="n"/>
      <c r="I426" s="23" t="n"/>
      <c r="J426" s="24" t="n"/>
      <c r="K426" s="24" t="n"/>
      <c r="L426" s="24" t="n"/>
      <c r="M426" s="25" t="n"/>
      <c r="N426" s="137" t="n"/>
      <c r="O426" s="23" t="n"/>
      <c r="P426" s="24" t="n"/>
      <c r="Q426" s="24" t="n"/>
      <c r="R426" s="24" t="n"/>
      <c r="S426" s="25" t="n"/>
      <c r="T426" s="137" t="n"/>
      <c r="U426" s="137" t="n"/>
      <c r="V426" s="137" t="n"/>
      <c r="W426" s="137" t="n"/>
      <c r="X426" s="137" t="n"/>
      <c r="Y426" s="137" t="n"/>
      <c r="Z426" s="137" t="n"/>
      <c r="AB426" s="23" t="n"/>
      <c r="AC426" s="24" t="n"/>
      <c r="AD426" s="24" t="n"/>
      <c r="AE426" s="24" t="n"/>
      <c r="AF426" s="25" t="n"/>
      <c r="AG426" s="137" t="n"/>
      <c r="AH426" s="23" t="n"/>
      <c r="AI426" s="24" t="n"/>
      <c r="AJ426" s="24" t="n"/>
      <c r="AK426" s="24" t="n"/>
      <c r="AL426" s="25" t="n"/>
      <c r="AM426" s="137" t="n"/>
      <c r="AN426" s="137" t="n"/>
      <c r="AO426" s="137" t="n"/>
      <c r="AP426" s="137" t="n"/>
      <c r="AQ426" s="137" t="n"/>
      <c r="AR426" s="137" t="n"/>
      <c r="AS426" s="137" t="n"/>
    </row>
    <row r="427" hidden="1" outlineLevel="2">
      <c r="A427" s="8" t="n"/>
      <c r="B427" s="14" t="n"/>
      <c r="C427" s="137" t="n"/>
      <c r="D427" s="137" t="n"/>
      <c r="E427" s="137" t="n"/>
      <c r="F427" s="137" t="n"/>
      <c r="G427" s="137" t="n"/>
      <c r="I427" s="71">
        <f>DADOS_INVOC!$JG$3</f>
        <v/>
      </c>
      <c r="J427" s="16" t="n"/>
      <c r="K427" s="16" t="n"/>
      <c r="L427" s="16" t="n"/>
      <c r="M427" s="17" t="n"/>
      <c r="N427" s="137" t="n"/>
      <c r="O427" s="95" t="n"/>
      <c r="P427" s="17" t="n"/>
      <c r="Q427" s="71">
        <f>DADOS_INVOC!$JI$3</f>
        <v/>
      </c>
      <c r="R427" s="16" t="n"/>
      <c r="S427" s="17" t="n"/>
      <c r="T427" s="137" t="n"/>
      <c r="U427" s="137" t="n"/>
      <c r="V427" s="137" t="n"/>
      <c r="W427" s="137" t="n"/>
      <c r="X427" s="137" t="n"/>
      <c r="Y427" s="137" t="n"/>
      <c r="Z427" s="137" t="n"/>
      <c r="AB427" s="71">
        <f>DADOS_INVOC!$JG$9</f>
        <v/>
      </c>
      <c r="AC427" s="16" t="n"/>
      <c r="AD427" s="16" t="n"/>
      <c r="AE427" s="16" t="n"/>
      <c r="AF427" s="17" t="n"/>
      <c r="AG427" s="137" t="n"/>
      <c r="AH427" s="95" t="n"/>
      <c r="AI427" s="17" t="n"/>
      <c r="AJ427" s="71">
        <f>DADOS_INVOC!$JI$9</f>
        <v/>
      </c>
      <c r="AK427" s="16" t="n"/>
      <c r="AL427" s="17" t="n"/>
      <c r="AM427" s="137" t="n"/>
      <c r="AN427" s="137" t="n"/>
      <c r="AO427" s="137" t="n"/>
      <c r="AP427" s="137" t="n"/>
      <c r="AQ427" s="137" t="n"/>
      <c r="AR427" s="137" t="n"/>
      <c r="AS427" s="137" t="n"/>
    </row>
    <row r="428" hidden="1" outlineLevel="2">
      <c r="A428" s="8" t="n"/>
      <c r="B428" s="14" t="n"/>
      <c r="C428" s="137" t="n"/>
      <c r="D428" s="137" t="n"/>
      <c r="E428" s="137" t="n"/>
      <c r="F428" s="137" t="n"/>
      <c r="G428" s="137" t="n"/>
      <c r="I428" s="95" t="inlineStr">
        <is>
          <t>Sua Ação Completa + a básica dela</t>
        </is>
      </c>
      <c r="J428" s="16" t="n"/>
      <c r="K428" s="16" t="n"/>
      <c r="L428" s="16" t="n"/>
      <c r="M428" s="17" t="n"/>
      <c r="N428" s="137" t="n"/>
      <c r="O428" s="143">
        <f>DADOS_INVOC!$JJ$3</f>
        <v/>
      </c>
      <c r="P428" s="16" t="n"/>
      <c r="Q428" s="16" t="n"/>
      <c r="R428" s="16" t="n"/>
      <c r="S428" s="17" t="n"/>
      <c r="T428" s="137" t="n"/>
      <c r="U428" s="137" t="n"/>
      <c r="V428" s="137" t="n"/>
      <c r="W428" s="137" t="n"/>
      <c r="X428" s="137" t="n"/>
      <c r="Y428" s="137" t="n"/>
      <c r="Z428" s="137" t="n"/>
      <c r="AB428" s="95" t="inlineStr">
        <is>
          <t>Sua Ação Completa + a básica dela</t>
        </is>
      </c>
      <c r="AC428" s="16" t="n"/>
      <c r="AD428" s="16" t="n"/>
      <c r="AE428" s="16" t="n"/>
      <c r="AF428" s="17" t="n"/>
      <c r="AG428" s="137" t="n"/>
      <c r="AH428" s="143">
        <f>DADOS_INVOC!$JJ$9</f>
        <v/>
      </c>
      <c r="AI428" s="16" t="n"/>
      <c r="AJ428" s="16" t="n"/>
      <c r="AK428" s="16" t="n"/>
      <c r="AL428" s="17" t="n"/>
      <c r="AM428" s="137" t="n"/>
      <c r="AN428" s="137" t="n"/>
      <c r="AO428" s="137" t="n"/>
      <c r="AP428" s="137" t="n"/>
      <c r="AQ428" s="137" t="n"/>
      <c r="AR428" s="137" t="n"/>
      <c r="AS428" s="137" t="n"/>
    </row>
    <row r="429">
      <c r="A429" s="8" t="n"/>
      <c r="B429" s="14" t="n"/>
      <c r="C429" s="137" t="n"/>
      <c r="D429" s="137" t="n"/>
      <c r="E429" s="137" t="n"/>
      <c r="F429" s="137" t="n"/>
      <c r="G429" s="137" t="n"/>
      <c r="H429" s="137" t="n"/>
      <c r="I429" s="137" t="n"/>
      <c r="J429" s="137" t="n"/>
      <c r="K429" s="137" t="n"/>
      <c r="L429" s="137" t="n"/>
      <c r="M429" s="137" t="n"/>
      <c r="N429" s="137" t="n"/>
      <c r="O429" s="137" t="n"/>
      <c r="P429" s="137" t="n"/>
      <c r="Q429" s="137" t="n"/>
      <c r="R429" s="137" t="n"/>
      <c r="S429" s="137" t="n"/>
      <c r="T429" s="137" t="n"/>
      <c r="U429" s="137" t="n"/>
      <c r="V429" s="137" t="n"/>
      <c r="W429" s="137" t="n"/>
      <c r="X429" s="137" t="n"/>
      <c r="Y429" s="137"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37" t="n"/>
      <c r="AS429" s="137" t="n"/>
    </row>
    <row r="430">
      <c r="A430" s="8" t="n"/>
      <c r="B430" s="14" t="n"/>
      <c r="C430" s="137" t="n"/>
      <c r="D430" s="137" t="n"/>
      <c r="E430" s="137" t="n"/>
      <c r="F430" s="137" t="n"/>
      <c r="G430" s="137" t="n"/>
      <c r="H430" s="137" t="n"/>
      <c r="I430" s="137" t="n"/>
      <c r="J430" s="137" t="n"/>
      <c r="K430" s="137" t="n"/>
      <c r="L430" s="137" t="n"/>
      <c r="M430" s="137" t="n"/>
      <c r="N430" s="137" t="n"/>
      <c r="O430" s="137" t="n"/>
      <c r="P430" s="137" t="n"/>
      <c r="Q430" s="137" t="n"/>
      <c r="R430" s="137" t="n"/>
      <c r="S430" s="137" t="n"/>
      <c r="T430" s="137" t="n"/>
      <c r="U430" s="137" t="n"/>
      <c r="V430" s="137" t="n"/>
      <c r="W430" s="137" t="n"/>
      <c r="X430" s="137" t="n"/>
      <c r="Y430" s="137" t="n"/>
      <c r="Z430" s="137" t="n"/>
      <c r="AA430" s="137" t="n"/>
      <c r="AB430" s="137" t="n"/>
      <c r="AC430" s="137" t="n"/>
      <c r="AD430" s="137" t="n"/>
      <c r="AE430" s="137" t="n"/>
      <c r="AF430" s="137" t="n"/>
      <c r="AG430" s="137" t="n"/>
      <c r="AH430" s="137" t="n"/>
      <c r="AI430" s="137" t="n"/>
      <c r="AJ430" s="137" t="n"/>
      <c r="AK430" s="137" t="n"/>
      <c r="AL430" s="137" t="n"/>
      <c r="AM430" s="137" t="n"/>
      <c r="AN430" s="137" t="n"/>
      <c r="AO430" s="137" t="n"/>
      <c r="AP430" s="137" t="n"/>
      <c r="AQ430" s="137" t="n"/>
      <c r="AR430" s="137" t="n"/>
      <c r="AS430" s="137" t="n"/>
    </row>
    <row r="431">
      <c r="A431" s="8" t="n"/>
      <c r="B431" s="14" t="n"/>
      <c r="C431" s="137" t="n"/>
      <c r="D431" s="137" t="n"/>
      <c r="E431" s="137" t="n"/>
      <c r="F431" s="137" t="n"/>
      <c r="G431" s="137" t="n"/>
      <c r="H431" s="151" t="n">
        <v>3</v>
      </c>
      <c r="I431" s="152" t="n">
        <v>3</v>
      </c>
      <c r="J431" s="55">
        <f>DADOS_INVOC!$HG$4</f>
        <v/>
      </c>
      <c r="K431" s="19" t="n"/>
      <c r="L431" s="19" t="n"/>
      <c r="M431" s="19" t="n"/>
      <c r="N431" s="19" t="n"/>
      <c r="O431" s="19" t="n"/>
      <c r="P431" s="19" t="n"/>
      <c r="Q431" s="19" t="n"/>
      <c r="R431" s="19" t="n"/>
      <c r="S431" s="19" t="n"/>
      <c r="T431" s="19" t="n"/>
      <c r="U431" s="19" t="n"/>
      <c r="V431" s="19" t="n"/>
      <c r="W431" s="19" t="n"/>
      <c r="X431" s="19" t="n"/>
      <c r="Y431" s="20" t="n"/>
      <c r="Z431" s="137" t="n"/>
      <c r="AA431" s="151" t="n">
        <v>9</v>
      </c>
      <c r="AB431" s="152" t="n">
        <v>9</v>
      </c>
      <c r="AC431" s="55">
        <f>DADOS_INVOC!$HG$10</f>
        <v/>
      </c>
      <c r="AD431" s="19" t="n"/>
      <c r="AE431" s="19" t="n"/>
      <c r="AF431" s="19" t="n"/>
      <c r="AG431" s="19" t="n"/>
      <c r="AH431" s="19" t="n"/>
      <c r="AI431" s="19" t="n"/>
      <c r="AJ431" s="19" t="n"/>
      <c r="AK431" s="19" t="n"/>
      <c r="AL431" s="19" t="n"/>
      <c r="AM431" s="19" t="n"/>
      <c r="AN431" s="19" t="n"/>
      <c r="AO431" s="19" t="n"/>
      <c r="AP431" s="19" t="n"/>
      <c r="AQ431" s="19" t="n"/>
      <c r="AR431" s="20" t="n"/>
      <c r="AS431" s="137" t="n"/>
    </row>
    <row r="432">
      <c r="A432" s="8" t="n"/>
      <c r="B432" s="14" t="n"/>
      <c r="C432" s="137" t="n"/>
      <c r="D432" s="137" t="n"/>
      <c r="E432" s="137" t="n"/>
      <c r="F432" s="137" t="n"/>
      <c r="G432" s="137" t="n"/>
      <c r="I432" s="128" t="n"/>
      <c r="J432" s="23" t="n"/>
      <c r="K432" s="24" t="n"/>
      <c r="L432" s="24" t="n"/>
      <c r="M432" s="24" t="n"/>
      <c r="N432" s="24" t="n"/>
      <c r="O432" s="24" t="n"/>
      <c r="P432" s="24" t="n"/>
      <c r="Q432" s="24" t="n"/>
      <c r="R432" s="24" t="n"/>
      <c r="S432" s="24" t="n"/>
      <c r="T432" s="24" t="n"/>
      <c r="U432" s="24" t="n"/>
      <c r="V432" s="24" t="n"/>
      <c r="W432" s="24" t="n"/>
      <c r="X432" s="24" t="n"/>
      <c r="Y432" s="25" t="n"/>
      <c r="Z432" s="137" t="n"/>
      <c r="AB432" s="128" t="n"/>
      <c r="AC432" s="23" t="n"/>
      <c r="AD432" s="24" t="n"/>
      <c r="AE432" s="24" t="n"/>
      <c r="AF432" s="24" t="n"/>
      <c r="AG432" s="24" t="n"/>
      <c r="AH432" s="24" t="n"/>
      <c r="AI432" s="24" t="n"/>
      <c r="AJ432" s="24" t="n"/>
      <c r="AK432" s="24" t="n"/>
      <c r="AL432" s="24" t="n"/>
      <c r="AM432" s="24" t="n"/>
      <c r="AN432" s="24" t="n"/>
      <c r="AO432" s="24" t="n"/>
      <c r="AP432" s="24" t="n"/>
      <c r="AQ432" s="24" t="n"/>
      <c r="AR432" s="25" t="n"/>
      <c r="AS432" s="137" t="n"/>
    </row>
    <row r="433" hidden="1" outlineLevel="1">
      <c r="A433" s="8" t="n"/>
      <c r="B433" s="14" t="n"/>
      <c r="C433" s="137" t="n"/>
      <c r="D433" s="137" t="n"/>
      <c r="E433" s="137" t="n"/>
      <c r="F433" s="137" t="n"/>
      <c r="G433" s="137" t="n"/>
      <c r="H433" s="153">
        <f>DADOS_INVOC!$HH$4</f>
        <v/>
      </c>
      <c r="I433" s="137" t="n"/>
      <c r="J433" s="137" t="n"/>
      <c r="K433" s="137" t="n"/>
      <c r="L433" s="137" t="n"/>
      <c r="M433" s="137" t="n"/>
      <c r="N433" s="137" t="n"/>
      <c r="O433" s="137" t="n"/>
      <c r="P433" s="137" t="n"/>
      <c r="Q433" s="137" t="n"/>
      <c r="R433" s="137" t="n"/>
      <c r="S433" s="137" t="n"/>
      <c r="T433" s="137" t="n"/>
      <c r="U433" s="137" t="n"/>
      <c r="V433" s="137" t="n"/>
      <c r="W433" s="137" t="n"/>
      <c r="X433" s="137" t="n"/>
      <c r="Y433" s="137" t="n"/>
      <c r="Z433" s="137" t="n"/>
      <c r="AA433" s="153">
        <f>DADOS_INVOC!$HH$10</f>
        <v/>
      </c>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37" t="n"/>
      <c r="AS433" s="137" t="n"/>
    </row>
    <row r="434" hidden="1" outlineLevel="1">
      <c r="A434" s="8" t="n"/>
      <c r="B434" s="14" t="n"/>
      <c r="C434" s="137" t="n"/>
      <c r="D434" s="137" t="n"/>
      <c r="E434" s="137" t="n"/>
      <c r="F434" s="137" t="n"/>
      <c r="G434" s="137" t="n"/>
      <c r="I434" s="56" t="inlineStr">
        <is>
          <t>NOME</t>
        </is>
      </c>
      <c r="J434" s="16" t="n"/>
      <c r="K434" s="16" t="n"/>
      <c r="L434" s="16" t="n"/>
      <c r="M434" s="17" t="n"/>
      <c r="N434" s="137" t="n"/>
      <c r="O434" s="56" t="inlineStr">
        <is>
          <t>NÍVEL</t>
        </is>
      </c>
      <c r="P434" s="56" t="inlineStr">
        <is>
          <t>CLASSE</t>
        </is>
      </c>
      <c r="Q434" s="56" t="inlineStr">
        <is>
          <t>MAESTRIA</t>
        </is>
      </c>
      <c r="R434" s="56" t="inlineStr">
        <is>
          <t>ENTRADA</t>
        </is>
      </c>
      <c r="S434" s="56" t="inlineStr">
        <is>
          <t>RETORNO</t>
        </is>
      </c>
      <c r="T434" s="137" t="n"/>
      <c r="U434" s="56" t="inlineStr">
        <is>
          <t>VIDA ATUAL</t>
        </is>
      </c>
      <c r="V434" s="56" t="inlineStr">
        <is>
          <t>VIDA MÁXIMA</t>
        </is>
      </c>
      <c r="W434" s="56" t="inlineStr">
        <is>
          <t>TEMPORÁRIA</t>
        </is>
      </c>
      <c r="X434" s="56" t="inlineStr">
        <is>
          <t>± PERDA / GANHO</t>
        </is>
      </c>
      <c r="Y434" s="56">
        <f>DADOS_INVOC!$IB$4</f>
        <v/>
      </c>
      <c r="Z434" s="137" t="n"/>
      <c r="AB434" s="56" t="inlineStr">
        <is>
          <t>NOME</t>
        </is>
      </c>
      <c r="AC434" s="16" t="n"/>
      <c r="AD434" s="16" t="n"/>
      <c r="AE434" s="16" t="n"/>
      <c r="AF434" s="17" t="n"/>
      <c r="AG434" s="137" t="n"/>
      <c r="AH434" s="56" t="inlineStr">
        <is>
          <t>NÍVEL</t>
        </is>
      </c>
      <c r="AI434" s="56" t="inlineStr">
        <is>
          <t>CLASSE</t>
        </is>
      </c>
      <c r="AJ434" s="56" t="inlineStr">
        <is>
          <t>MAESTRIA</t>
        </is>
      </c>
      <c r="AK434" s="56" t="inlineStr">
        <is>
          <t>ENTRADA</t>
        </is>
      </c>
      <c r="AL434" s="56" t="inlineStr">
        <is>
          <t>RETORNO</t>
        </is>
      </c>
      <c r="AM434" s="137" t="n"/>
      <c r="AN434" s="56" t="inlineStr">
        <is>
          <t>VIDA ATUAL</t>
        </is>
      </c>
      <c r="AO434" s="56" t="inlineStr">
        <is>
          <t>VIDA MÁXIMA</t>
        </is>
      </c>
      <c r="AP434" s="56" t="inlineStr">
        <is>
          <t>TEMPORÁRIA</t>
        </is>
      </c>
      <c r="AQ434" s="56" t="inlineStr">
        <is>
          <t>± PERDA / GANHO</t>
        </is>
      </c>
      <c r="AR434" s="56">
        <f>DADOS_INVOC!$IB$10</f>
        <v/>
      </c>
      <c r="AS434" s="137" t="n"/>
    </row>
    <row r="435" hidden="1" outlineLevel="1">
      <c r="A435" s="8" t="n"/>
      <c r="B435" s="14" t="n"/>
      <c r="C435" s="137" t="n"/>
      <c r="D435" s="137" t="n"/>
      <c r="E435" s="137" t="n"/>
      <c r="F435" s="137" t="n"/>
      <c r="G435" s="137" t="n"/>
      <c r="I435" s="87" t="n"/>
      <c r="J435" s="19" t="n"/>
      <c r="K435" s="19" t="n"/>
      <c r="L435" s="19" t="n"/>
      <c r="M435" s="20" t="n"/>
      <c r="N435" s="137" t="n"/>
      <c r="O435" s="105">
        <f>DADOS_INVOC!$FO$4</f>
        <v/>
      </c>
      <c r="P435" s="105">
        <f>DADOS_INVOC!$FP$4</f>
        <v/>
      </c>
      <c r="Q435" s="105">
        <f>DADOS_INVOC!$HI$4</f>
        <v/>
      </c>
      <c r="R435" s="105">
        <f>DADOS_INVOC!$HJ$4</f>
        <v/>
      </c>
      <c r="S435" s="105">
        <f>DADOS_INVOC!$HK$4</f>
        <v/>
      </c>
      <c r="T435" s="137" t="n"/>
      <c r="U435" s="105">
        <f>DADOS_INVOC!$GG$4</f>
        <v/>
      </c>
      <c r="V435" s="105">
        <f>DADOS_INVOC!$GF$4</f>
        <v/>
      </c>
      <c r="W435" s="105" t="n"/>
      <c r="X435" s="105" t="n"/>
      <c r="Y435" s="105" t="n"/>
      <c r="Z435" s="137" t="n"/>
      <c r="AB435" s="87" t="n"/>
      <c r="AC435" s="19" t="n"/>
      <c r="AD435" s="19" t="n"/>
      <c r="AE435" s="19" t="n"/>
      <c r="AF435" s="20" t="n"/>
      <c r="AG435" s="137" t="n"/>
      <c r="AH435" s="105">
        <f>DADOS_INVOC!$FO$10</f>
        <v/>
      </c>
      <c r="AI435" s="105">
        <f>DADOS_INVOC!$FP$10</f>
        <v/>
      </c>
      <c r="AJ435" s="105">
        <f>DADOS_INVOC!$HI$10</f>
        <v/>
      </c>
      <c r="AK435" s="105">
        <f>DADOS_INVOC!$HJ$10</f>
        <v/>
      </c>
      <c r="AL435" s="105">
        <f>DADOS_INVOC!$HK$10</f>
        <v/>
      </c>
      <c r="AM435" s="137" t="n"/>
      <c r="AN435" s="105">
        <f>DADOS_INVOC!$GG$10</f>
        <v/>
      </c>
      <c r="AO435" s="105">
        <f>DADOS_INVOC!$GF$10</f>
        <v/>
      </c>
      <c r="AP435" s="105" t="n"/>
      <c r="AQ435" s="105" t="n"/>
      <c r="AR435" s="105" t="n"/>
      <c r="AS435" s="137" t="n"/>
    </row>
    <row r="436" hidden="1" outlineLevel="1">
      <c r="A436" s="8" t="n"/>
      <c r="B436" s="14" t="n"/>
      <c r="C436" s="137" t="n"/>
      <c r="D436" s="137" t="n"/>
      <c r="E436" s="137" t="n"/>
      <c r="F436" s="137" t="n"/>
      <c r="G436" s="137" t="n"/>
      <c r="I436" s="23" t="n"/>
      <c r="J436" s="24" t="n"/>
      <c r="K436" s="24" t="n"/>
      <c r="L436" s="24" t="n"/>
      <c r="M436" s="25" t="n"/>
      <c r="N436" s="137" t="n"/>
      <c r="O436" s="128" t="n"/>
      <c r="P436" s="128" t="n"/>
      <c r="Q436" s="128" t="n"/>
      <c r="R436" s="128" t="n"/>
      <c r="S436" s="128" t="n"/>
      <c r="T436" s="137" t="n"/>
      <c r="U436" s="128" t="n"/>
      <c r="V436" s="128" t="n"/>
      <c r="W436" s="128" t="n"/>
      <c r="X436" s="128" t="n"/>
      <c r="Y436" s="128" t="n"/>
      <c r="Z436" s="137" t="n"/>
      <c r="AB436" s="23" t="n"/>
      <c r="AC436" s="24" t="n"/>
      <c r="AD436" s="24" t="n"/>
      <c r="AE436" s="24" t="n"/>
      <c r="AF436" s="25" t="n"/>
      <c r="AG436" s="137" t="n"/>
      <c r="AH436" s="128" t="n"/>
      <c r="AI436" s="128" t="n"/>
      <c r="AJ436" s="128" t="n"/>
      <c r="AK436" s="128" t="n"/>
      <c r="AL436" s="128" t="n"/>
      <c r="AM436" s="137" t="n"/>
      <c r="AN436" s="128" t="n"/>
      <c r="AO436" s="128" t="n"/>
      <c r="AP436" s="128" t="n"/>
      <c r="AQ436" s="128" t="n"/>
      <c r="AR436" s="128" t="n"/>
      <c r="AS436" s="137" t="n"/>
    </row>
    <row r="437" hidden="1" outlineLevel="1">
      <c r="A437" s="8" t="n"/>
      <c r="B437" s="14" t="n"/>
      <c r="C437" s="137" t="n"/>
      <c r="D437" s="137" t="n"/>
      <c r="E437" s="137" t="n"/>
      <c r="F437" s="137" t="n"/>
      <c r="G437" s="137" t="n"/>
      <c r="I437" s="154" t="inlineStr">
        <is>
          <t>FOTO
式神</t>
        </is>
      </c>
      <c r="J437" s="19" t="n"/>
      <c r="K437" s="19" t="n"/>
      <c r="L437" s="19" t="n"/>
      <c r="M437" s="20" t="n"/>
      <c r="N437" s="137" t="n"/>
      <c r="O437" s="137" t="n"/>
      <c r="P437" s="137" t="n"/>
      <c r="Q437" s="137" t="n"/>
      <c r="R437" s="137" t="n"/>
      <c r="S437" s="137" t="n"/>
      <c r="T437" s="137" t="n"/>
      <c r="U437" s="144">
        <f>IFERROR(SPARKLINE(DADOS_INVOC!$GH$4,{"charttype","bar";"max",MAX(1,DADOS_INVOC!$GF$4);"color1",DADOS_INVOC!$DB$12}),"")</f>
        <v/>
      </c>
      <c r="V437" s="16" t="n"/>
      <c r="W437" s="16" t="n"/>
      <c r="X437" s="16" t="n"/>
      <c r="Y437" s="17" t="n"/>
      <c r="Z437" s="137" t="n"/>
      <c r="AB437" s="154" t="inlineStr">
        <is>
          <t>FOTO
式神</t>
        </is>
      </c>
      <c r="AC437" s="19" t="n"/>
      <c r="AD437" s="19" t="n"/>
      <c r="AE437" s="19" t="n"/>
      <c r="AF437" s="20" t="n"/>
      <c r="AG437" s="137" t="n"/>
      <c r="AH437" s="137" t="n"/>
      <c r="AI437" s="137" t="n"/>
      <c r="AJ437" s="137" t="n"/>
      <c r="AK437" s="137" t="n"/>
      <c r="AL437" s="137" t="n"/>
      <c r="AM437" s="137" t="n"/>
      <c r="AN437" s="144">
        <f>IFERROR(SPARKLINE(DADOS_INVOC!$GH$10,{"charttype","bar";"max",MAX(1,DADOS_INVOC!$GF$10);"color1",DADOS_INVOC!$DB$12}),"")</f>
        <v/>
      </c>
      <c r="AO437" s="16" t="n"/>
      <c r="AP437" s="16" t="n"/>
      <c r="AQ437" s="16" t="n"/>
      <c r="AR437" s="17" t="n"/>
      <c r="AS437" s="137" t="n"/>
    </row>
    <row r="438" hidden="1" outlineLevel="1">
      <c r="A438" s="8" t="n"/>
      <c r="B438" s="14" t="n"/>
      <c r="C438" s="137" t="n"/>
      <c r="D438" s="137" t="n"/>
      <c r="E438" s="137" t="n"/>
      <c r="F438" s="137" t="n"/>
      <c r="G438" s="137" t="n"/>
      <c r="I438" s="21" t="n"/>
      <c r="M438" s="22" t="n"/>
      <c r="N438" s="137" t="n"/>
      <c r="O438" s="56">
        <f>DADOS_INVOC!$HL$4</f>
        <v/>
      </c>
      <c r="P438" s="16" t="n"/>
      <c r="Q438" s="16" t="n"/>
      <c r="R438" s="16" t="n"/>
      <c r="S438" s="17" t="n"/>
      <c r="T438" s="137" t="n"/>
      <c r="U438" s="137" t="n"/>
      <c r="V438" s="137" t="n"/>
      <c r="W438" s="137" t="n"/>
      <c r="X438" s="137" t="n"/>
      <c r="Y438" s="137" t="n"/>
      <c r="Z438" s="137" t="n"/>
      <c r="AB438" s="21" t="n"/>
      <c r="AF438" s="22" t="n"/>
      <c r="AG438" s="137" t="n"/>
      <c r="AH438" s="56">
        <f>DADOS_INVOC!$HL$10</f>
        <v/>
      </c>
      <c r="AI438" s="16" t="n"/>
      <c r="AJ438" s="16" t="n"/>
      <c r="AK438" s="16" t="n"/>
      <c r="AL438" s="17" t="n"/>
      <c r="AM438" s="137" t="n"/>
      <c r="AN438" s="137" t="n"/>
      <c r="AO438" s="137" t="n"/>
      <c r="AP438" s="137" t="n"/>
      <c r="AQ438" s="137" t="n"/>
      <c r="AR438" s="137" t="n"/>
      <c r="AS438" s="137" t="n"/>
    </row>
    <row r="439" hidden="1" outlineLevel="1">
      <c r="A439" s="8" t="n"/>
      <c r="B439" s="14" t="n"/>
      <c r="C439" s="137" t="n"/>
      <c r="D439" s="137" t="n"/>
      <c r="E439" s="137" t="n"/>
      <c r="F439" s="137" t="n"/>
      <c r="G439" s="137" t="n"/>
      <c r="I439" s="21" t="n"/>
      <c r="M439" s="22" t="n"/>
      <c r="N439" s="137" t="n"/>
      <c r="O439" s="56" t="inlineStr">
        <is>
          <t>FOR</t>
        </is>
      </c>
      <c r="P439" s="56" t="inlineStr">
        <is>
          <t>DES</t>
        </is>
      </c>
      <c r="Q439" s="56" t="inlineStr">
        <is>
          <t>CON</t>
        </is>
      </c>
      <c r="R439" s="56" t="inlineStr">
        <is>
          <t>INT</t>
        </is>
      </c>
      <c r="S439" s="56" t="inlineStr">
        <is>
          <t>ESS</t>
        </is>
      </c>
      <c r="T439" s="137" t="n"/>
      <c r="U439" s="56" t="inlineStr">
        <is>
          <t>ALMA</t>
        </is>
      </c>
      <c r="V439" s="56" t="inlineStr">
        <is>
          <t>INTEGRIDADE ATUAL</t>
        </is>
      </c>
      <c r="W439" s="56" t="inlineStr">
        <is>
          <t>INTEGRIDADE MÁXIMA</t>
        </is>
      </c>
      <c r="X439" s="56" t="inlineStr">
        <is>
          <t>ESTÁGIO</t>
        </is>
      </c>
      <c r="Y439" s="17" t="n"/>
      <c r="Z439" s="137" t="n"/>
      <c r="AB439" s="21" t="n"/>
      <c r="AF439" s="22" t="n"/>
      <c r="AG439" s="137" t="n"/>
      <c r="AH439" s="56" t="inlineStr">
        <is>
          <t>FOR</t>
        </is>
      </c>
      <c r="AI439" s="56" t="inlineStr">
        <is>
          <t>DES</t>
        </is>
      </c>
      <c r="AJ439" s="56" t="inlineStr">
        <is>
          <t>CON</t>
        </is>
      </c>
      <c r="AK439" s="56" t="inlineStr">
        <is>
          <t>INT</t>
        </is>
      </c>
      <c r="AL439" s="56" t="inlineStr">
        <is>
          <t>ESS</t>
        </is>
      </c>
      <c r="AM439" s="137" t="n"/>
      <c r="AN439" s="56" t="inlineStr">
        <is>
          <t>ALMA</t>
        </is>
      </c>
      <c r="AO439" s="56" t="inlineStr">
        <is>
          <t>INTEGRIDADE ATUAL</t>
        </is>
      </c>
      <c r="AP439" s="56" t="inlineStr">
        <is>
          <t>INTEGRIDADE MÁXIMA</t>
        </is>
      </c>
      <c r="AQ439" s="56" t="inlineStr">
        <is>
          <t>ESTÁGIO</t>
        </is>
      </c>
      <c r="AR439" s="17" t="n"/>
      <c r="AS439" s="137" t="n"/>
    </row>
    <row r="440" hidden="1" outlineLevel="1">
      <c r="A440" s="8" t="n"/>
      <c r="B440" s="14" t="n"/>
      <c r="C440" s="137" t="n"/>
      <c r="D440" s="137" t="n"/>
      <c r="E440" s="137" t="n"/>
      <c r="F440" s="137" t="n"/>
      <c r="G440" s="137" t="n"/>
      <c r="I440" s="21" t="n"/>
      <c r="M440" s="22" t="n"/>
      <c r="N440" s="137" t="n"/>
      <c r="O440" s="105">
        <f>DADOS_INVOC!$FR$4</f>
        <v/>
      </c>
      <c r="P440" s="105">
        <f>DADOS_INVOC!$FS$4</f>
        <v/>
      </c>
      <c r="Q440" s="105">
        <f>DADOS_INVOC!$FT$4</f>
        <v/>
      </c>
      <c r="R440" s="105">
        <f>DADOS_INVOC!$FU$4</f>
        <v/>
      </c>
      <c r="S440" s="105">
        <f>DADOS_INVOC!$FV$4</f>
        <v/>
      </c>
      <c r="T440" s="137" t="n"/>
      <c r="U440" s="95" t="inlineStr">
        <is>
          <t>Com alma</t>
        </is>
      </c>
      <c r="V440" s="105">
        <f>DADOS_INVOC!$GJ$4</f>
        <v/>
      </c>
      <c r="W440" s="105">
        <f>DADOS_INVOC!$GL$4</f>
        <v/>
      </c>
      <c r="X440" s="95">
        <f>DADOS_INVOC!$GM$4</f>
        <v/>
      </c>
      <c r="Y440" s="20" t="n"/>
      <c r="Z440" s="137" t="n"/>
      <c r="AB440" s="21" t="n"/>
      <c r="AF440" s="22" t="n"/>
      <c r="AG440" s="137" t="n"/>
      <c r="AH440" s="105">
        <f>DADOS_INVOC!$FR$10</f>
        <v/>
      </c>
      <c r="AI440" s="105">
        <f>DADOS_INVOC!$FS$10</f>
        <v/>
      </c>
      <c r="AJ440" s="105">
        <f>DADOS_INVOC!$FT$10</f>
        <v/>
      </c>
      <c r="AK440" s="105">
        <f>DADOS_INVOC!$FU$10</f>
        <v/>
      </c>
      <c r="AL440" s="105">
        <f>DADOS_INVOC!$FV$10</f>
        <v/>
      </c>
      <c r="AM440" s="137" t="n"/>
      <c r="AN440" s="95" t="inlineStr">
        <is>
          <t>Com alma</t>
        </is>
      </c>
      <c r="AO440" s="105">
        <f>DADOS_INVOC!$GJ$10</f>
        <v/>
      </c>
      <c r="AP440" s="105">
        <f>DADOS_INVOC!$GL$10</f>
        <v/>
      </c>
      <c r="AQ440" s="95">
        <f>DADOS_INVOC!$GM$10</f>
        <v/>
      </c>
      <c r="AR440" s="20" t="n"/>
      <c r="AS440" s="137" t="n"/>
    </row>
    <row r="441" hidden="1" outlineLevel="1">
      <c r="A441" s="8" t="n"/>
      <c r="B441" s="14" t="n"/>
      <c r="C441" s="137" t="n"/>
      <c r="D441" s="137" t="n"/>
      <c r="E441" s="137" t="n"/>
      <c r="F441" s="137" t="n"/>
      <c r="G441" s="137" t="n"/>
      <c r="I441" s="21" t="n"/>
      <c r="M441" s="22" t="n"/>
      <c r="N441" s="137" t="n"/>
      <c r="O441" s="128" t="n"/>
      <c r="P441" s="128" t="n"/>
      <c r="Q441" s="128" t="n"/>
      <c r="R441" s="128" t="n"/>
      <c r="S441" s="128" t="n"/>
      <c r="T441" s="137" t="n"/>
      <c r="U441" s="128" t="n"/>
      <c r="V441" s="128" t="n"/>
      <c r="W441" s="128" t="n"/>
      <c r="X441" s="23" t="n"/>
      <c r="Y441" s="25" t="n"/>
      <c r="Z441" s="137" t="n"/>
      <c r="AB441" s="21" t="n"/>
      <c r="AF441" s="22" t="n"/>
      <c r="AG441" s="137" t="n"/>
      <c r="AH441" s="128" t="n"/>
      <c r="AI441" s="128" t="n"/>
      <c r="AJ441" s="128" t="n"/>
      <c r="AK441" s="128" t="n"/>
      <c r="AL441" s="128" t="n"/>
      <c r="AM441" s="137" t="n"/>
      <c r="AN441" s="128" t="n"/>
      <c r="AO441" s="128" t="n"/>
      <c r="AP441" s="128" t="n"/>
      <c r="AQ441" s="23" t="n"/>
      <c r="AR441" s="25" t="n"/>
      <c r="AS441" s="137" t="n"/>
    </row>
    <row r="442" hidden="1" outlineLevel="1">
      <c r="A442" s="8" t="n"/>
      <c r="B442" s="14" t="n"/>
      <c r="C442" s="137" t="n"/>
      <c r="D442" s="137" t="n"/>
      <c r="E442" s="137" t="n"/>
      <c r="F442" s="137" t="n"/>
      <c r="G442" s="137" t="n"/>
      <c r="I442" s="21" t="n"/>
      <c r="M442" s="22" t="n"/>
      <c r="N442" s="137" t="n"/>
      <c r="O442" s="155" t="n">
        <v>0</v>
      </c>
      <c r="P442" s="155" t="n">
        <v>0</v>
      </c>
      <c r="Q442" s="155" t="n">
        <v>0</v>
      </c>
      <c r="R442" s="155" t="n">
        <v>0</v>
      </c>
      <c r="S442" s="155" t="n">
        <v>0</v>
      </c>
      <c r="T442" s="137" t="n"/>
      <c r="U442" s="137" t="n"/>
      <c r="V442" s="137" t="n"/>
      <c r="W442" s="137" t="n"/>
      <c r="X442" s="137" t="n"/>
      <c r="Y442" s="137" t="n"/>
      <c r="Z442" s="137" t="n"/>
      <c r="AB442" s="21" t="n"/>
      <c r="AF442" s="22" t="n"/>
      <c r="AG442" s="137" t="n"/>
      <c r="AH442" s="155" t="n">
        <v>0</v>
      </c>
      <c r="AI442" s="155" t="n">
        <v>0</v>
      </c>
      <c r="AJ442" s="155" t="n">
        <v>0</v>
      </c>
      <c r="AK442" s="155" t="n">
        <v>0</v>
      </c>
      <c r="AL442" s="155" t="n">
        <v>0</v>
      </c>
      <c r="AM442" s="137" t="n"/>
      <c r="AN442" s="137" t="n"/>
      <c r="AO442" s="137" t="n"/>
      <c r="AP442" s="137" t="n"/>
      <c r="AQ442" s="137" t="n"/>
      <c r="AR442" s="137" t="n"/>
      <c r="AS442" s="137" t="n"/>
    </row>
    <row r="443" hidden="1" outlineLevel="1">
      <c r="A443" s="8" t="n"/>
      <c r="B443" s="14" t="n"/>
      <c r="C443" s="137" t="n"/>
      <c r="D443" s="137" t="n"/>
      <c r="E443" s="137" t="n"/>
      <c r="F443" s="137" t="n"/>
      <c r="G443" s="137" t="n"/>
      <c r="I443" s="21" t="n"/>
      <c r="M443" s="22" t="n"/>
      <c r="N443" s="137" t="n"/>
      <c r="O443" s="156" t="n">
        <v>0</v>
      </c>
      <c r="P443" s="156" t="n">
        <v>0</v>
      </c>
      <c r="Q443" s="156" t="n">
        <v>0</v>
      </c>
      <c r="R443" s="156" t="n">
        <v>0</v>
      </c>
      <c r="S443" s="156" t="n">
        <v>0</v>
      </c>
      <c r="T443" s="137" t="n"/>
      <c r="U443" s="56" t="inlineStr">
        <is>
          <t>CONDIÇÕES E USOS GASTOS</t>
        </is>
      </c>
      <c r="V443" s="16" t="n"/>
      <c r="W443" s="16" t="n"/>
      <c r="X443" s="16" t="n"/>
      <c r="Y443" s="17" t="n"/>
      <c r="Z443" s="137" t="n"/>
      <c r="AB443" s="21" t="n"/>
      <c r="AF443" s="22" t="n"/>
      <c r="AG443" s="137" t="n"/>
      <c r="AH443" s="156" t="n">
        <v>0</v>
      </c>
      <c r="AI443" s="156" t="n">
        <v>0</v>
      </c>
      <c r="AJ443" s="156" t="n">
        <v>0</v>
      </c>
      <c r="AK443" s="156" t="n">
        <v>0</v>
      </c>
      <c r="AL443" s="156" t="n">
        <v>0</v>
      </c>
      <c r="AM443" s="137" t="n"/>
      <c r="AN443" s="56" t="inlineStr">
        <is>
          <t>CONDIÇÕES E USOS GASTOS</t>
        </is>
      </c>
      <c r="AO443" s="16" t="n"/>
      <c r="AP443" s="16" t="n"/>
      <c r="AQ443" s="16" t="n"/>
      <c r="AR443" s="17" t="n"/>
      <c r="AS443" s="137" t="n"/>
    </row>
    <row r="444" hidden="1" outlineLevel="1">
      <c r="A444" s="8" t="n"/>
      <c r="B444" s="14" t="n"/>
      <c r="C444" s="137" t="n"/>
      <c r="D444" s="137" t="n"/>
      <c r="E444" s="137" t="n"/>
      <c r="F444" s="137" t="n"/>
      <c r="G444" s="137" t="n"/>
      <c r="I444" s="21" t="n"/>
      <c r="M444" s="22" t="n"/>
      <c r="N444" s="137" t="n"/>
      <c r="O444" s="137" t="n"/>
      <c r="P444" s="137" t="n"/>
      <c r="Q444" s="137" t="n"/>
      <c r="R444" s="137" t="n"/>
      <c r="S444" s="137" t="n"/>
      <c r="T444" s="137" t="n"/>
      <c r="U444" s="61" t="n"/>
      <c r="V444" s="19" t="n"/>
      <c r="W444" s="19" t="n"/>
      <c r="X444" s="19" t="n"/>
      <c r="Y444" s="20" t="n"/>
      <c r="Z444" s="137" t="n"/>
      <c r="AB444" s="21" t="n"/>
      <c r="AF444" s="22" t="n"/>
      <c r="AG444" s="137" t="n"/>
      <c r="AH444" s="137" t="n"/>
      <c r="AI444" s="137" t="n"/>
      <c r="AJ444" s="137" t="n"/>
      <c r="AK444" s="137" t="n"/>
      <c r="AL444" s="137" t="n"/>
      <c r="AM444" s="137" t="n"/>
      <c r="AN444" s="61" t="n"/>
      <c r="AO444" s="19" t="n"/>
      <c r="AP444" s="19" t="n"/>
      <c r="AQ444" s="19" t="n"/>
      <c r="AR444" s="20" t="n"/>
      <c r="AS444" s="137" t="n"/>
    </row>
    <row r="445" hidden="1" outlineLevel="1">
      <c r="A445" s="8" t="n"/>
      <c r="B445" s="14" t="n"/>
      <c r="C445" s="137" t="n"/>
      <c r="D445" s="137" t="n"/>
      <c r="E445" s="137" t="n"/>
      <c r="F445" s="137" t="n"/>
      <c r="G445" s="137" t="n"/>
      <c r="I445" s="21" t="n"/>
      <c r="M445" s="22" t="n"/>
      <c r="N445" s="137" t="n"/>
      <c r="O445" s="56" t="inlineStr">
        <is>
          <t>ATAQUE</t>
        </is>
      </c>
      <c r="P445" s="56" t="inlineStr">
        <is>
          <t>CD</t>
        </is>
      </c>
      <c r="Q445" s="56" t="inlineStr">
        <is>
          <t>DEFESA</t>
        </is>
      </c>
      <c r="R445" s="56" t="inlineStr">
        <is>
          <t>VIDA MÁXIMA</t>
        </is>
      </c>
      <c r="S445" s="56" t="inlineStr">
        <is>
          <t>DESLOCAMENTO</t>
        </is>
      </c>
      <c r="T445" s="137" t="n"/>
      <c r="U445" s="21" t="n"/>
      <c r="Y445" s="22" t="n"/>
      <c r="Z445" s="137" t="n"/>
      <c r="AB445" s="21" t="n"/>
      <c r="AF445" s="22" t="n"/>
      <c r="AG445" s="137" t="n"/>
      <c r="AH445" s="56" t="inlineStr">
        <is>
          <t>ATAQUE</t>
        </is>
      </c>
      <c r="AI445" s="56" t="inlineStr">
        <is>
          <t>CD</t>
        </is>
      </c>
      <c r="AJ445" s="56" t="inlineStr">
        <is>
          <t>DEFESA</t>
        </is>
      </c>
      <c r="AK445" s="56" t="inlineStr">
        <is>
          <t>VIDA MÁXIMA</t>
        </is>
      </c>
      <c r="AL445" s="56" t="inlineStr">
        <is>
          <t>DESLOCAMENTO</t>
        </is>
      </c>
      <c r="AM445" s="137" t="n"/>
      <c r="AN445" s="21" t="n"/>
      <c r="AR445" s="22" t="n"/>
      <c r="AS445" s="137" t="n"/>
    </row>
    <row r="446" hidden="1" outlineLevel="1">
      <c r="A446" s="8" t="n"/>
      <c r="B446" s="14" t="n"/>
      <c r="C446" s="137" t="n"/>
      <c r="D446" s="137" t="n"/>
      <c r="E446" s="137" t="n"/>
      <c r="F446" s="137" t="n"/>
      <c r="G446" s="137" t="n"/>
      <c r="I446" s="21" t="n"/>
      <c r="M446" s="22" t="n"/>
      <c r="N446" s="137" t="n"/>
      <c r="O446" s="105">
        <f>DADOS_INVOC!$HM$4</f>
        <v/>
      </c>
      <c r="P446" s="105">
        <f>DADOS_INVOC!$HN$4</f>
        <v/>
      </c>
      <c r="Q446" s="105">
        <f>DADOS_INVOC!$GD$4</f>
        <v/>
      </c>
      <c r="R446" s="105">
        <f>DADOS_INVOC!$GF$4</f>
        <v/>
      </c>
      <c r="S446" s="105">
        <f>DADOS_INVOC!$HO$4</f>
        <v/>
      </c>
      <c r="T446" s="137" t="n"/>
      <c r="U446" s="23" t="n"/>
      <c r="V446" s="24" t="n"/>
      <c r="W446" s="24" t="n"/>
      <c r="X446" s="24" t="n"/>
      <c r="Y446" s="25" t="n"/>
      <c r="Z446" s="137" t="n"/>
      <c r="AB446" s="21" t="n"/>
      <c r="AF446" s="22" t="n"/>
      <c r="AG446" s="137" t="n"/>
      <c r="AH446" s="105">
        <f>DADOS_INVOC!$HM$10</f>
        <v/>
      </c>
      <c r="AI446" s="105">
        <f>DADOS_INVOC!$HN$10</f>
        <v/>
      </c>
      <c r="AJ446" s="105">
        <f>DADOS_INVOC!$GD$10</f>
        <v/>
      </c>
      <c r="AK446" s="105">
        <f>DADOS_INVOC!$GF$10</f>
        <v/>
      </c>
      <c r="AL446" s="105">
        <f>DADOS_INVOC!$HO$10</f>
        <v/>
      </c>
      <c r="AM446" s="137" t="n"/>
      <c r="AN446" s="23" t="n"/>
      <c r="AO446" s="24" t="n"/>
      <c r="AP446" s="24" t="n"/>
      <c r="AQ446" s="24" t="n"/>
      <c r="AR446" s="25" t="n"/>
      <c r="AS446" s="137" t="n"/>
    </row>
    <row r="447" hidden="1" outlineLevel="1">
      <c r="A447" s="8" t="n"/>
      <c r="B447" s="14" t="n"/>
      <c r="C447" s="137" t="n"/>
      <c r="D447" s="137" t="n"/>
      <c r="E447" s="137" t="n"/>
      <c r="F447" s="137" t="n"/>
      <c r="G447" s="137" t="n"/>
      <c r="I447" s="21" t="n"/>
      <c r="M447" s="22" t="n"/>
      <c r="N447" s="137" t="n"/>
      <c r="O447" s="128" t="n"/>
      <c r="P447" s="128" t="n"/>
      <c r="Q447" s="128" t="n"/>
      <c r="R447" s="128" t="n"/>
      <c r="S447" s="128" t="n"/>
      <c r="T447" s="137" t="n"/>
      <c r="U447" s="137" t="n"/>
      <c r="V447" s="137" t="n"/>
      <c r="W447" s="137" t="n"/>
      <c r="X447" s="137" t="n"/>
      <c r="Y447" s="137" t="n"/>
      <c r="Z447" s="137" t="n"/>
      <c r="AB447" s="21" t="n"/>
      <c r="AF447" s="22" t="n"/>
      <c r="AG447" s="137" t="n"/>
      <c r="AH447" s="128" t="n"/>
      <c r="AI447" s="128" t="n"/>
      <c r="AJ447" s="128" t="n"/>
      <c r="AK447" s="128" t="n"/>
      <c r="AL447" s="128" t="n"/>
      <c r="AM447" s="137" t="n"/>
      <c r="AN447" s="137" t="n"/>
      <c r="AO447" s="137" t="n"/>
      <c r="AP447" s="137" t="n"/>
      <c r="AQ447" s="137" t="n"/>
      <c r="AR447" s="137" t="n"/>
      <c r="AS447" s="137" t="n"/>
    </row>
    <row r="448" hidden="1" outlineLevel="1">
      <c r="A448" s="8" t="n"/>
      <c r="B448" s="14" t="n"/>
      <c r="C448" s="137" t="n"/>
      <c r="D448" s="137" t="n"/>
      <c r="E448" s="137" t="n"/>
      <c r="F448" s="137" t="n"/>
      <c r="G448" s="137" t="n"/>
      <c r="I448" s="21" t="n"/>
      <c r="M448" s="22" t="n"/>
      <c r="N448" s="137" t="n"/>
      <c r="O448" s="156" t="n">
        <v>0</v>
      </c>
      <c r="P448" s="156" t="n">
        <v>0</v>
      </c>
      <c r="Q448" s="156" t="n">
        <v>0</v>
      </c>
      <c r="R448" s="156" t="n">
        <v>0</v>
      </c>
      <c r="S448" s="156" t="n">
        <v>0</v>
      </c>
      <c r="T448" s="137" t="n"/>
      <c r="U448" s="56" t="inlineStr">
        <is>
          <t>ANOTAÇÕES</t>
        </is>
      </c>
      <c r="V448" s="16" t="n"/>
      <c r="W448" s="16" t="n"/>
      <c r="X448" s="16" t="n"/>
      <c r="Y448" s="17" t="n"/>
      <c r="Z448" s="137" t="n"/>
      <c r="AB448" s="21" t="n"/>
      <c r="AF448" s="22" t="n"/>
      <c r="AG448" s="137" t="n"/>
      <c r="AH448" s="156" t="n">
        <v>0</v>
      </c>
      <c r="AI448" s="156" t="n">
        <v>0</v>
      </c>
      <c r="AJ448" s="156" t="n">
        <v>0</v>
      </c>
      <c r="AK448" s="156" t="n">
        <v>0</v>
      </c>
      <c r="AL448" s="156" t="n">
        <v>0</v>
      </c>
      <c r="AM448" s="137" t="n"/>
      <c r="AN448" s="56" t="inlineStr">
        <is>
          <t>ANOTAÇÕES</t>
        </is>
      </c>
      <c r="AO448" s="16" t="n"/>
      <c r="AP448" s="16" t="n"/>
      <c r="AQ448" s="16" t="n"/>
      <c r="AR448" s="17" t="n"/>
      <c r="AS448" s="137" t="n"/>
    </row>
    <row r="449" hidden="1" outlineLevel="1">
      <c r="A449" s="8" t="n"/>
      <c r="B449" s="14" t="n"/>
      <c r="C449" s="137" t="n"/>
      <c r="D449" s="137" t="n"/>
      <c r="E449" s="137" t="n"/>
      <c r="F449" s="137" t="n"/>
      <c r="G449" s="137" t="n"/>
      <c r="I449" s="21" t="n"/>
      <c r="M449" s="22" t="n"/>
      <c r="N449" s="137" t="n"/>
      <c r="O449" s="137" t="n"/>
      <c r="P449" s="137" t="n"/>
      <c r="Q449" s="137" t="n"/>
      <c r="R449" s="137" t="n"/>
      <c r="S449" s="137" t="n"/>
      <c r="T449" s="137" t="n"/>
      <c r="U449" s="61" t="n"/>
      <c r="V449" s="19" t="n"/>
      <c r="W449" s="19" t="n"/>
      <c r="X449" s="19" t="n"/>
      <c r="Y449" s="20" t="n"/>
      <c r="Z449" s="137" t="n"/>
      <c r="AB449" s="21" t="n"/>
      <c r="AF449" s="22" t="n"/>
      <c r="AG449" s="137" t="n"/>
      <c r="AH449" s="137" t="n"/>
      <c r="AI449" s="137" t="n"/>
      <c r="AJ449" s="137" t="n"/>
      <c r="AK449" s="137" t="n"/>
      <c r="AL449" s="137" t="n"/>
      <c r="AM449" s="137" t="n"/>
      <c r="AN449" s="61" t="n"/>
      <c r="AO449" s="19" t="n"/>
      <c r="AP449" s="19" t="n"/>
      <c r="AQ449" s="19" t="n"/>
      <c r="AR449" s="20" t="n"/>
      <c r="AS449" s="137" t="n"/>
    </row>
    <row r="450" hidden="1" outlineLevel="1">
      <c r="A450" s="8" t="n"/>
      <c r="B450" s="14" t="n"/>
      <c r="C450" s="137" t="n"/>
      <c r="D450" s="137" t="n"/>
      <c r="E450" s="137" t="n"/>
      <c r="F450" s="137" t="n"/>
      <c r="G450" s="137" t="n"/>
      <c r="I450" s="21" t="n"/>
      <c r="M450" s="22" t="n"/>
      <c r="N450" s="137" t="n"/>
      <c r="O450" s="56" t="inlineStr">
        <is>
          <t>FÍSICO</t>
        </is>
      </c>
      <c r="P450" s="56" t="inlineStr">
        <is>
          <t>VIGOR</t>
        </is>
      </c>
      <c r="Q450" s="56" t="inlineStr">
        <is>
          <t>INTELECTO</t>
        </is>
      </c>
      <c r="R450" s="56" t="inlineStr">
        <is>
          <t>ESPÍRITO</t>
        </is>
      </c>
      <c r="S450" s="56" t="inlineStr">
        <is>
          <t>TR TREINADO</t>
        </is>
      </c>
      <c r="T450" s="137" t="n"/>
      <c r="U450" s="21" t="n"/>
      <c r="Y450" s="22" t="n"/>
      <c r="Z450" s="137" t="n"/>
      <c r="AB450" s="21" t="n"/>
      <c r="AF450" s="22" t="n"/>
      <c r="AG450" s="137" t="n"/>
      <c r="AH450" s="56" t="inlineStr">
        <is>
          <t>FÍSICO</t>
        </is>
      </c>
      <c r="AI450" s="56" t="inlineStr">
        <is>
          <t>VIGOR</t>
        </is>
      </c>
      <c r="AJ450" s="56" t="inlineStr">
        <is>
          <t>INTELECTO</t>
        </is>
      </c>
      <c r="AK450" s="56" t="inlineStr">
        <is>
          <t>ESPÍRITO</t>
        </is>
      </c>
      <c r="AL450" s="56" t="inlineStr">
        <is>
          <t>TR TREINADO</t>
        </is>
      </c>
      <c r="AM450" s="137" t="n"/>
      <c r="AN450" s="21" t="n"/>
      <c r="AR450" s="22" t="n"/>
      <c r="AS450" s="137" t="n"/>
    </row>
    <row r="451" hidden="1" outlineLevel="1">
      <c r="A451" s="8" t="n"/>
      <c r="B451" s="14" t="n"/>
      <c r="C451" s="137" t="n"/>
      <c r="D451" s="137" t="n"/>
      <c r="E451" s="137" t="n"/>
      <c r="F451" s="137" t="n"/>
      <c r="G451" s="137" t="n"/>
      <c r="I451" s="21" t="n"/>
      <c r="M451" s="22" t="n"/>
      <c r="N451" s="137" t="n"/>
      <c r="O451" s="105">
        <f>DADOS_INVOC!$HP$4</f>
        <v/>
      </c>
      <c r="P451" s="105">
        <f>DADOS_INVOC!$HQ$4</f>
        <v/>
      </c>
      <c r="Q451" s="105">
        <f>DADOS_INVOC!$HR$4</f>
        <v/>
      </c>
      <c r="R451" s="105">
        <f>DADOS_INVOC!$HS$4</f>
        <v/>
      </c>
      <c r="S451" s="95" t="n"/>
      <c r="T451" s="137" t="n"/>
      <c r="U451" s="21" t="n"/>
      <c r="Y451" s="22" t="n"/>
      <c r="Z451" s="137" t="n"/>
      <c r="AB451" s="21" t="n"/>
      <c r="AF451" s="22" t="n"/>
      <c r="AG451" s="137" t="n"/>
      <c r="AH451" s="105">
        <f>DADOS_INVOC!$HP$10</f>
        <v/>
      </c>
      <c r="AI451" s="105">
        <f>DADOS_INVOC!$HQ$10</f>
        <v/>
      </c>
      <c r="AJ451" s="105">
        <f>DADOS_INVOC!$HR$10</f>
        <v/>
      </c>
      <c r="AK451" s="105">
        <f>DADOS_INVOC!$HS$10</f>
        <v/>
      </c>
      <c r="AL451" s="95" t="n"/>
      <c r="AM451" s="137" t="n"/>
      <c r="AN451" s="21" t="n"/>
      <c r="AR451" s="22" t="n"/>
      <c r="AS451" s="137" t="n"/>
    </row>
    <row r="452" hidden="1" outlineLevel="1">
      <c r="A452" s="8" t="n"/>
      <c r="B452" s="14" t="n"/>
      <c r="C452" s="137" t="n"/>
      <c r="D452" s="137" t="n"/>
      <c r="E452" s="137" t="n"/>
      <c r="F452" s="137" t="n"/>
      <c r="G452" s="137" t="n"/>
      <c r="I452" s="21" t="n"/>
      <c r="M452" s="22" t="n"/>
      <c r="N452" s="137" t="n"/>
      <c r="O452" s="128" t="n"/>
      <c r="P452" s="128" t="n"/>
      <c r="Q452" s="128" t="n"/>
      <c r="R452" s="128" t="n"/>
      <c r="S452" s="128" t="n"/>
      <c r="T452" s="137" t="n"/>
      <c r="U452" s="23" t="n"/>
      <c r="V452" s="24" t="n"/>
      <c r="W452" s="24" t="n"/>
      <c r="X452" s="24" t="n"/>
      <c r="Y452" s="25" t="n"/>
      <c r="Z452" s="137" t="n"/>
      <c r="AB452" s="21" t="n"/>
      <c r="AF452" s="22" t="n"/>
      <c r="AG452" s="137" t="n"/>
      <c r="AH452" s="128" t="n"/>
      <c r="AI452" s="128" t="n"/>
      <c r="AJ452" s="128" t="n"/>
      <c r="AK452" s="128" t="n"/>
      <c r="AL452" s="128" t="n"/>
      <c r="AM452" s="137" t="n"/>
      <c r="AN452" s="23" t="n"/>
      <c r="AO452" s="24" t="n"/>
      <c r="AP452" s="24" t="n"/>
      <c r="AQ452" s="24" t="n"/>
      <c r="AR452" s="25" t="n"/>
      <c r="AS452" s="137" t="n"/>
    </row>
    <row r="453" hidden="1" outlineLevel="1">
      <c r="A453" s="8" t="n"/>
      <c r="B453" s="14" t="n"/>
      <c r="C453" s="137" t="n"/>
      <c r="D453" s="137" t="n"/>
      <c r="E453" s="137" t="n"/>
      <c r="F453" s="137" t="n"/>
      <c r="G453" s="137" t="n"/>
      <c r="I453" s="21" t="n"/>
      <c r="M453" s="22" t="n"/>
      <c r="N453" s="137" t="n"/>
      <c r="O453" s="156" t="n">
        <v>0</v>
      </c>
      <c r="P453" s="156" t="n">
        <v>0</v>
      </c>
      <c r="Q453" s="156" t="n">
        <v>0</v>
      </c>
      <c r="R453" s="156" t="n">
        <v>0</v>
      </c>
      <c r="S453" s="137" t="n"/>
      <c r="T453" s="137" t="n"/>
      <c r="U453" s="137" t="n"/>
      <c r="V453" s="137" t="n"/>
      <c r="W453" s="137" t="n"/>
      <c r="X453" s="137" t="n"/>
      <c r="Y453" s="137" t="n"/>
      <c r="Z453" s="137" t="n"/>
      <c r="AB453" s="21" t="n"/>
      <c r="AF453" s="22" t="n"/>
      <c r="AG453" s="137" t="n"/>
      <c r="AH453" s="156" t="n">
        <v>0</v>
      </c>
      <c r="AI453" s="156" t="n">
        <v>0</v>
      </c>
      <c r="AJ453" s="156" t="n">
        <v>0</v>
      </c>
      <c r="AK453" s="156" t="n">
        <v>0</v>
      </c>
      <c r="AL453" s="137" t="n"/>
      <c r="AM453" s="137" t="n"/>
      <c r="AN453" s="137" t="n"/>
      <c r="AO453" s="137" t="n"/>
      <c r="AP453" s="137" t="n"/>
      <c r="AQ453" s="137" t="n"/>
      <c r="AR453" s="137" t="n"/>
      <c r="AS453" s="137" t="n"/>
    </row>
    <row r="454" hidden="1" outlineLevel="1">
      <c r="A454" s="8" t="n"/>
      <c r="B454" s="14" t="n"/>
      <c r="C454" s="137" t="n"/>
      <c r="D454" s="137" t="n"/>
      <c r="E454" s="137" t="n"/>
      <c r="F454" s="137" t="n"/>
      <c r="G454" s="137" t="n"/>
      <c r="I454" s="21" t="n"/>
      <c r="M454" s="22" t="n"/>
      <c r="N454" s="137" t="n"/>
      <c r="O454" s="137" t="n"/>
      <c r="P454" s="137" t="n"/>
      <c r="Q454" s="137" t="n"/>
      <c r="R454" s="137" t="n"/>
      <c r="S454" s="137" t="n"/>
      <c r="T454" s="137" t="n"/>
      <c r="U454" s="56">
        <f>DADOS_INVOC!$IC$4</f>
        <v/>
      </c>
      <c r="V454" s="16" t="n"/>
      <c r="W454" s="16" t="n"/>
      <c r="X454" s="17" t="n"/>
      <c r="Y454" s="56" t="inlineStr">
        <is>
          <t>VOL.</t>
        </is>
      </c>
      <c r="Z454" s="137" t="n"/>
      <c r="AB454" s="21" t="n"/>
      <c r="AF454" s="22" t="n"/>
      <c r="AG454" s="137" t="n"/>
      <c r="AH454" s="137" t="n"/>
      <c r="AI454" s="137" t="n"/>
      <c r="AJ454" s="137" t="n"/>
      <c r="AK454" s="137" t="n"/>
      <c r="AL454" s="137" t="n"/>
      <c r="AM454" s="137" t="n"/>
      <c r="AN454" s="56">
        <f>DADOS_INVOC!$IC$10</f>
        <v/>
      </c>
      <c r="AO454" s="16" t="n"/>
      <c r="AP454" s="16" t="n"/>
      <c r="AQ454" s="17" t="n"/>
      <c r="AR454" s="56" t="inlineStr">
        <is>
          <t>VOL.</t>
        </is>
      </c>
      <c r="AS454" s="137" t="n"/>
    </row>
    <row r="455" hidden="1" outlineLevel="1">
      <c r="A455" s="8" t="n"/>
      <c r="B455" s="14" t="n"/>
      <c r="C455" s="137" t="n"/>
      <c r="D455" s="137" t="n"/>
      <c r="E455" s="137" t="n"/>
      <c r="F455" s="137" t="n"/>
      <c r="G455" s="137" t="n"/>
      <c r="I455" s="21" t="n"/>
      <c r="M455" s="22" t="n"/>
      <c r="N455" s="137" t="n"/>
      <c r="O455" s="56" t="inlineStr">
        <is>
          <t>ATRIBUTO DE ACERTO</t>
        </is>
      </c>
      <c r="P455" s="16" t="n"/>
      <c r="Q455" s="17" t="n"/>
      <c r="R455" s="56" t="inlineStr">
        <is>
          <t>FÍSICO USA</t>
        </is>
      </c>
      <c r="S455" s="17" t="n"/>
      <c r="T455" s="137" t="n"/>
      <c r="U455" s="56" t="inlineStr">
        <is>
          <t>MÃO 1</t>
        </is>
      </c>
      <c r="V455" s="144" t="n"/>
      <c r="W455" s="16" t="n"/>
      <c r="X455" s="17" t="n"/>
      <c r="Y455" s="95" t="n"/>
      <c r="Z455" s="137" t="n"/>
      <c r="AB455" s="21" t="n"/>
      <c r="AF455" s="22" t="n"/>
      <c r="AG455" s="137" t="n"/>
      <c r="AH455" s="56" t="inlineStr">
        <is>
          <t>ATRIBUTO DE ACERTO</t>
        </is>
      </c>
      <c r="AI455" s="16" t="n"/>
      <c r="AJ455" s="17" t="n"/>
      <c r="AK455" s="56" t="inlineStr">
        <is>
          <t>FÍSICO USA</t>
        </is>
      </c>
      <c r="AL455" s="17" t="n"/>
      <c r="AM455" s="137" t="n"/>
      <c r="AN455" s="56" t="inlineStr">
        <is>
          <t>MÃO 1</t>
        </is>
      </c>
      <c r="AO455" s="144" t="n"/>
      <c r="AP455" s="16" t="n"/>
      <c r="AQ455" s="17" t="n"/>
      <c r="AR455" s="95" t="n"/>
      <c r="AS455" s="137" t="n"/>
    </row>
    <row r="456" hidden="1" outlineLevel="1">
      <c r="A456" s="8" t="n"/>
      <c r="B456" s="14" t="n"/>
      <c r="C456" s="137" t="n"/>
      <c r="D456" s="137" t="n"/>
      <c r="E456" s="137" t="n"/>
      <c r="F456" s="137" t="n"/>
      <c r="G456" s="137" t="n"/>
      <c r="I456" s="21" t="n"/>
      <c r="M456" s="22" t="n"/>
      <c r="N456" s="137" t="n"/>
      <c r="O456" s="95" t="n"/>
      <c r="P456" s="19" t="n"/>
      <c r="Q456" s="20" t="n"/>
      <c r="R456" s="95" t="inlineStr">
        <is>
          <t>Força</t>
        </is>
      </c>
      <c r="S456" s="20" t="n"/>
      <c r="T456" s="137" t="n"/>
      <c r="U456" s="56" t="inlineStr">
        <is>
          <t>MÃO 2</t>
        </is>
      </c>
      <c r="V456" s="144" t="n"/>
      <c r="W456" s="16" t="n"/>
      <c r="X456" s="17" t="n"/>
      <c r="Y456" s="95" t="n"/>
      <c r="Z456" s="137" t="n"/>
      <c r="AB456" s="21" t="n"/>
      <c r="AF456" s="22" t="n"/>
      <c r="AG456" s="137" t="n"/>
      <c r="AH456" s="95" t="n"/>
      <c r="AI456" s="19" t="n"/>
      <c r="AJ456" s="20" t="n"/>
      <c r="AK456" s="95" t="inlineStr">
        <is>
          <t>Força</t>
        </is>
      </c>
      <c r="AL456" s="20" t="n"/>
      <c r="AM456" s="137" t="n"/>
      <c r="AN456" s="56" t="inlineStr">
        <is>
          <t>MÃO 2</t>
        </is>
      </c>
      <c r="AO456" s="144" t="n"/>
      <c r="AP456" s="16" t="n"/>
      <c r="AQ456" s="17" t="n"/>
      <c r="AR456" s="95" t="n"/>
      <c r="AS456" s="137" t="n"/>
    </row>
    <row r="457" hidden="1" outlineLevel="1">
      <c r="A457" s="8" t="n"/>
      <c r="B457" s="14" t="n"/>
      <c r="C457" s="137" t="n"/>
      <c r="D457" s="137" t="n"/>
      <c r="E457" s="137" t="n"/>
      <c r="F457" s="137" t="n"/>
      <c r="G457" s="137" t="n"/>
      <c r="I457" s="21" t="n"/>
      <c r="M457" s="22" t="n"/>
      <c r="N457" s="137" t="n"/>
      <c r="O457" s="23" t="n"/>
      <c r="P457" s="24" t="n"/>
      <c r="Q457" s="25" t="n"/>
      <c r="R457" s="23" t="n"/>
      <c r="S457" s="25" t="n"/>
      <c r="T457" s="137" t="n"/>
      <c r="U457" s="56" t="inlineStr">
        <is>
          <t>VESTE</t>
        </is>
      </c>
      <c r="V457" s="144" t="n"/>
      <c r="W457" s="16" t="n"/>
      <c r="X457" s="17" t="n"/>
      <c r="Y457" s="95" t="n"/>
      <c r="Z457" s="137" t="n"/>
      <c r="AB457" s="21" t="n"/>
      <c r="AF457" s="22" t="n"/>
      <c r="AG457" s="137" t="n"/>
      <c r="AH457" s="23" t="n"/>
      <c r="AI457" s="24" t="n"/>
      <c r="AJ457" s="25" t="n"/>
      <c r="AK457" s="23" t="n"/>
      <c r="AL457" s="25" t="n"/>
      <c r="AM457" s="137" t="n"/>
      <c r="AN457" s="56" t="inlineStr">
        <is>
          <t>VESTE</t>
        </is>
      </c>
      <c r="AO457" s="144" t="n"/>
      <c r="AP457" s="16" t="n"/>
      <c r="AQ457" s="17" t="n"/>
      <c r="AR457" s="95" t="n"/>
      <c r="AS457" s="137" t="n"/>
    </row>
    <row r="458" hidden="1" outlineLevel="1">
      <c r="A458" s="8" t="n"/>
      <c r="B458" s="14" t="n"/>
      <c r="C458" s="137" t="n"/>
      <c r="D458" s="137" t="n"/>
      <c r="E458" s="137" t="n"/>
      <c r="F458" s="137" t="n"/>
      <c r="G458" s="137" t="n"/>
      <c r="I458" s="21" t="n"/>
      <c r="M458" s="22" t="n"/>
      <c r="N458" s="137" t="n"/>
      <c r="O458" s="137" t="n"/>
      <c r="P458" s="137" t="n"/>
      <c r="Q458" s="137" t="n"/>
      <c r="R458" s="137" t="n"/>
      <c r="S458" s="137" t="n"/>
      <c r="T458" s="137" t="n"/>
      <c r="U458" s="56" t="inlineStr">
        <is>
          <t>GUARDADO · SÓ COM A CARACTERÍSTICA DE TRANSPORTE</t>
        </is>
      </c>
      <c r="V458" s="16" t="n"/>
      <c r="W458" s="16" t="n"/>
      <c r="X458" s="17" t="n"/>
      <c r="Y458" s="56" t="inlineStr">
        <is>
          <t>VOL.</t>
        </is>
      </c>
      <c r="Z458" s="137" t="n"/>
      <c r="AB458" s="21" t="n"/>
      <c r="AF458" s="22" t="n"/>
      <c r="AG458" s="137" t="n"/>
      <c r="AH458" s="137" t="n"/>
      <c r="AI458" s="137" t="n"/>
      <c r="AJ458" s="137" t="n"/>
      <c r="AK458" s="137" t="n"/>
      <c r="AL458" s="137" t="n"/>
      <c r="AM458" s="137" t="n"/>
      <c r="AN458" s="56" t="inlineStr">
        <is>
          <t>GUARDADO · SÓ COM A CARACTERÍSTICA DE TRANSPORTE</t>
        </is>
      </c>
      <c r="AO458" s="16" t="n"/>
      <c r="AP458" s="16" t="n"/>
      <c r="AQ458" s="17" t="n"/>
      <c r="AR458" s="56" t="inlineStr">
        <is>
          <t>VOL.</t>
        </is>
      </c>
      <c r="AS458" s="137" t="n"/>
    </row>
    <row r="459" hidden="1" outlineLevel="1">
      <c r="A459" s="8" t="n"/>
      <c r="B459" s="14" t="n"/>
      <c r="C459" s="137" t="n"/>
      <c r="D459" s="137" t="n"/>
      <c r="E459" s="137" t="n"/>
      <c r="F459" s="137" t="n"/>
      <c r="G459" s="137" t="n"/>
      <c r="I459" s="21" t="n"/>
      <c r="M459" s="22" t="n"/>
      <c r="N459" s="137" t="n"/>
      <c r="O459" s="56">
        <f>DADOS_INVOC!$HT$4</f>
        <v/>
      </c>
      <c r="P459" s="16" t="n"/>
      <c r="Q459" s="16" t="n"/>
      <c r="R459" s="16" t="n"/>
      <c r="S459" s="17" t="n"/>
      <c r="T459" s="137" t="n"/>
      <c r="U459" s="144" t="n"/>
      <c r="V459" s="16" t="n"/>
      <c r="W459" s="16" t="n"/>
      <c r="X459" s="17" t="n"/>
      <c r="Y459" s="95" t="n"/>
      <c r="Z459" s="137" t="n"/>
      <c r="AB459" s="21" t="n"/>
      <c r="AF459" s="22" t="n"/>
      <c r="AG459" s="137" t="n"/>
      <c r="AH459" s="56">
        <f>DADOS_INVOC!$HT$10</f>
        <v/>
      </c>
      <c r="AI459" s="16" t="n"/>
      <c r="AJ459" s="16" t="n"/>
      <c r="AK459" s="16" t="n"/>
      <c r="AL459" s="17" t="n"/>
      <c r="AM459" s="137" t="n"/>
      <c r="AN459" s="144" t="n"/>
      <c r="AO459" s="16" t="n"/>
      <c r="AP459" s="16" t="n"/>
      <c r="AQ459" s="17" t="n"/>
      <c r="AR459" s="95" t="n"/>
      <c r="AS459" s="137" t="n"/>
    </row>
    <row r="460" hidden="1" outlineLevel="1">
      <c r="A460" s="8" t="n"/>
      <c r="B460" s="14" t="n"/>
      <c r="C460" s="137" t="n"/>
      <c r="D460" s="137" t="n"/>
      <c r="E460" s="137" t="n"/>
      <c r="F460" s="137" t="n"/>
      <c r="G460" s="137" t="n"/>
      <c r="I460" s="21" t="n"/>
      <c r="M460" s="22" t="n"/>
      <c r="N460" s="137" t="n"/>
      <c r="O460" s="144" t="n"/>
      <c r="P460" s="16" t="n"/>
      <c r="Q460" s="17" t="n"/>
      <c r="R460" s="95">
        <f>DADOS_INVOC!$HU$4</f>
        <v/>
      </c>
      <c r="S460" s="17" t="n"/>
      <c r="T460" s="137" t="n"/>
      <c r="U460" s="144" t="n"/>
      <c r="V460" s="16" t="n"/>
      <c r="W460" s="16" t="n"/>
      <c r="X460" s="17" t="n"/>
      <c r="Y460" s="95" t="n"/>
      <c r="Z460" s="137" t="n"/>
      <c r="AB460" s="21" t="n"/>
      <c r="AF460" s="22" t="n"/>
      <c r="AG460" s="137" t="n"/>
      <c r="AH460" s="144" t="n"/>
      <c r="AI460" s="16" t="n"/>
      <c r="AJ460" s="17" t="n"/>
      <c r="AK460" s="95">
        <f>DADOS_INVOC!$HU$10</f>
        <v/>
      </c>
      <c r="AL460" s="17" t="n"/>
      <c r="AM460" s="137" t="n"/>
      <c r="AN460" s="144" t="n"/>
      <c r="AO460" s="16" t="n"/>
      <c r="AP460" s="16" t="n"/>
      <c r="AQ460" s="17" t="n"/>
      <c r="AR460" s="95" t="n"/>
      <c r="AS460" s="137" t="n"/>
    </row>
    <row r="461" hidden="1" outlineLevel="1">
      <c r="A461" s="8" t="n"/>
      <c r="B461" s="14" t="n"/>
      <c r="C461" s="137" t="n"/>
      <c r="D461" s="137" t="n"/>
      <c r="E461" s="137" t="n"/>
      <c r="F461" s="137" t="n"/>
      <c r="G461" s="137" t="n"/>
      <c r="I461" s="21" t="n"/>
      <c r="M461" s="22" t="n"/>
      <c r="N461" s="137" t="n"/>
      <c r="O461" s="144" t="n"/>
      <c r="P461" s="16" t="n"/>
      <c r="Q461" s="17" t="n"/>
      <c r="R461" s="95">
        <f>DADOS_INVOC!$HV$4</f>
        <v/>
      </c>
      <c r="S461" s="17" t="n"/>
      <c r="T461" s="137" t="n"/>
      <c r="U461" s="144" t="n"/>
      <c r="V461" s="16" t="n"/>
      <c r="W461" s="16" t="n"/>
      <c r="X461" s="17" t="n"/>
      <c r="Y461" s="95" t="n"/>
      <c r="Z461" s="137" t="n"/>
      <c r="AB461" s="21" t="n"/>
      <c r="AF461" s="22" t="n"/>
      <c r="AG461" s="137" t="n"/>
      <c r="AH461" s="144" t="n"/>
      <c r="AI461" s="16" t="n"/>
      <c r="AJ461" s="17" t="n"/>
      <c r="AK461" s="95">
        <f>DADOS_INVOC!$HV$10</f>
        <v/>
      </c>
      <c r="AL461" s="17" t="n"/>
      <c r="AM461" s="137" t="n"/>
      <c r="AN461" s="144" t="n"/>
      <c r="AO461" s="16" t="n"/>
      <c r="AP461" s="16" t="n"/>
      <c r="AQ461" s="17" t="n"/>
      <c r="AR461" s="95" t="n"/>
      <c r="AS461" s="137" t="n"/>
    </row>
    <row r="462" hidden="1" outlineLevel="1">
      <c r="A462" s="8" t="n"/>
      <c r="B462" s="14" t="n"/>
      <c r="C462" s="137" t="n"/>
      <c r="D462" s="137" t="n"/>
      <c r="E462" s="137" t="n"/>
      <c r="F462" s="137" t="n"/>
      <c r="G462" s="137" t="n"/>
      <c r="I462" s="23" t="n"/>
      <c r="J462" s="24" t="n"/>
      <c r="K462" s="24" t="n"/>
      <c r="L462" s="24" t="n"/>
      <c r="M462" s="25" t="n"/>
      <c r="N462" s="137" t="n"/>
      <c r="O462" s="144" t="n"/>
      <c r="P462" s="16" t="n"/>
      <c r="Q462" s="17" t="n"/>
      <c r="R462" s="95">
        <f>DADOS_INVOC!$HW$4</f>
        <v/>
      </c>
      <c r="S462" s="17" t="n"/>
      <c r="T462" s="137" t="n"/>
      <c r="U462" s="144" t="n"/>
      <c r="V462" s="16" t="n"/>
      <c r="W462" s="16" t="n"/>
      <c r="X462" s="17" t="n"/>
      <c r="Y462" s="95" t="n"/>
      <c r="Z462" s="137" t="n"/>
      <c r="AB462" s="23" t="n"/>
      <c r="AC462" s="24" t="n"/>
      <c r="AD462" s="24" t="n"/>
      <c r="AE462" s="24" t="n"/>
      <c r="AF462" s="25" t="n"/>
      <c r="AG462" s="137" t="n"/>
      <c r="AH462" s="144" t="n"/>
      <c r="AI462" s="16" t="n"/>
      <c r="AJ462" s="17" t="n"/>
      <c r="AK462" s="95">
        <f>DADOS_INVOC!$HW$10</f>
        <v/>
      </c>
      <c r="AL462" s="17" t="n"/>
      <c r="AM462" s="137" t="n"/>
      <c r="AN462" s="144" t="n"/>
      <c r="AO462" s="16" t="n"/>
      <c r="AP462" s="16" t="n"/>
      <c r="AQ462" s="17" t="n"/>
      <c r="AR462" s="95" t="n"/>
      <c r="AS462" s="137" t="n"/>
    </row>
    <row r="463" hidden="1" outlineLevel="1">
      <c r="A463" s="8" t="n"/>
      <c r="B463" s="14" t="n"/>
      <c r="C463" s="137" t="n"/>
      <c r="D463" s="137" t="n"/>
      <c r="E463" s="137" t="n"/>
      <c r="F463" s="137" t="n"/>
      <c r="G463" s="137" t="n"/>
      <c r="I463" s="137" t="n"/>
      <c r="J463" s="137" t="n"/>
      <c r="K463" s="137" t="n"/>
      <c r="L463" s="137" t="n"/>
      <c r="M463" s="137" t="n"/>
      <c r="N463" s="137" t="n"/>
      <c r="O463" s="144" t="n"/>
      <c r="P463" s="16" t="n"/>
      <c r="Q463" s="17" t="n"/>
      <c r="R463" s="95">
        <f>DADOS_INVOC!$HX$4</f>
        <v/>
      </c>
      <c r="S463" s="17" t="n"/>
      <c r="T463" s="137" t="n"/>
      <c r="U463" s="144" t="n"/>
      <c r="V463" s="16" t="n"/>
      <c r="W463" s="16" t="n"/>
      <c r="X463" s="17" t="n"/>
      <c r="Y463" s="95" t="n"/>
      <c r="Z463" s="137" t="n"/>
      <c r="AB463" s="137" t="n"/>
      <c r="AC463" s="137" t="n"/>
      <c r="AD463" s="137" t="n"/>
      <c r="AE463" s="137" t="n"/>
      <c r="AF463" s="137" t="n"/>
      <c r="AG463" s="137" t="n"/>
      <c r="AH463" s="144" t="n"/>
      <c r="AI463" s="16" t="n"/>
      <c r="AJ463" s="17" t="n"/>
      <c r="AK463" s="95">
        <f>DADOS_INVOC!$HX$10</f>
        <v/>
      </c>
      <c r="AL463" s="17" t="n"/>
      <c r="AM463" s="137" t="n"/>
      <c r="AN463" s="144" t="n"/>
      <c r="AO463" s="16" t="n"/>
      <c r="AP463" s="16" t="n"/>
      <c r="AQ463" s="17" t="n"/>
      <c r="AR463" s="95" t="n"/>
      <c r="AS463" s="137" t="n"/>
    </row>
    <row r="464" hidden="1" outlineLevel="1">
      <c r="A464" s="8" t="n"/>
      <c r="B464" s="14" t="n"/>
      <c r="C464" s="137" t="n"/>
      <c r="D464" s="137" t="n"/>
      <c r="E464" s="137" t="n"/>
      <c r="F464" s="137" t="n"/>
      <c r="G464" s="137" t="n"/>
      <c r="I464" s="56" t="inlineStr">
        <is>
          <t>TIPO</t>
        </is>
      </c>
      <c r="J464" s="16" t="n"/>
      <c r="K464" s="17" t="n"/>
      <c r="L464" s="56" t="inlineStr">
        <is>
          <t>OFÍCIO COMPATÍVEL</t>
        </is>
      </c>
      <c r="M464" s="17" t="n"/>
      <c r="N464" s="137" t="n"/>
      <c r="O464" s="144" t="n"/>
      <c r="P464" s="16" t="n"/>
      <c r="Q464" s="17" t="n"/>
      <c r="R464" s="95">
        <f>DADOS_INVOC!$HY$4</f>
        <v/>
      </c>
      <c r="S464" s="17" t="n"/>
      <c r="T464" s="137" t="n"/>
      <c r="U464" s="144" t="n"/>
      <c r="V464" s="16" t="n"/>
      <c r="W464" s="16" t="n"/>
      <c r="X464" s="17" t="n"/>
      <c r="Y464" s="95" t="n"/>
      <c r="Z464" s="137" t="n"/>
      <c r="AB464" s="56" t="inlineStr">
        <is>
          <t>TIPO</t>
        </is>
      </c>
      <c r="AC464" s="16" t="n"/>
      <c r="AD464" s="17" t="n"/>
      <c r="AE464" s="56" t="inlineStr">
        <is>
          <t>OFÍCIO COMPATÍVEL</t>
        </is>
      </c>
      <c r="AF464" s="17" t="n"/>
      <c r="AG464" s="137" t="n"/>
      <c r="AH464" s="144" t="n"/>
      <c r="AI464" s="16" t="n"/>
      <c r="AJ464" s="17" t="n"/>
      <c r="AK464" s="95">
        <f>DADOS_INVOC!$HY$10</f>
        <v/>
      </c>
      <c r="AL464" s="17" t="n"/>
      <c r="AM464" s="137" t="n"/>
      <c r="AN464" s="144" t="n"/>
      <c r="AO464" s="16" t="n"/>
      <c r="AP464" s="16" t="n"/>
      <c r="AQ464" s="17" t="n"/>
      <c r="AR464" s="95" t="n"/>
      <c r="AS464" s="137" t="n"/>
    </row>
    <row r="465" hidden="1" outlineLevel="1">
      <c r="A465" s="8" t="n"/>
      <c r="B465" s="14" t="n"/>
      <c r="C465" s="137" t="n"/>
      <c r="D465" s="137" t="n"/>
      <c r="E465" s="137" t="n"/>
      <c r="F465" s="137" t="n"/>
      <c r="G465" s="137" t="n"/>
      <c r="I465" s="95" t="inlineStr">
        <is>
          <t>Shikigami de técnica</t>
        </is>
      </c>
      <c r="J465" s="19" t="n"/>
      <c r="K465" s="20" t="n"/>
      <c r="L465" s="95" t="n"/>
      <c r="M465" s="20" t="n"/>
      <c r="N465" s="137" t="n"/>
      <c r="O465" s="144" t="n"/>
      <c r="P465" s="16" t="n"/>
      <c r="Q465" s="17" t="n"/>
      <c r="R465" s="95">
        <f>DADOS_INVOC!$HZ$4</f>
        <v/>
      </c>
      <c r="S465" s="17" t="n"/>
      <c r="T465" s="137" t="n"/>
      <c r="U465" s="137" t="n"/>
      <c r="V465" s="137" t="n"/>
      <c r="W465" s="137" t="n"/>
      <c r="X465" s="137" t="n"/>
      <c r="Y465" s="137" t="n"/>
      <c r="Z465" s="137" t="n"/>
      <c r="AB465" s="95" t="inlineStr">
        <is>
          <t>Shikigami de técnica</t>
        </is>
      </c>
      <c r="AC465" s="19" t="n"/>
      <c r="AD465" s="20" t="n"/>
      <c r="AE465" s="95" t="n"/>
      <c r="AF465" s="20" t="n"/>
      <c r="AG465" s="137" t="n"/>
      <c r="AH465" s="144" t="n"/>
      <c r="AI465" s="16" t="n"/>
      <c r="AJ465" s="17" t="n"/>
      <c r="AK465" s="95">
        <f>DADOS_INVOC!$HZ$10</f>
        <v/>
      </c>
      <c r="AL465" s="17" t="n"/>
      <c r="AM465" s="137" t="n"/>
      <c r="AN465" s="137" t="n"/>
      <c r="AO465" s="137" t="n"/>
      <c r="AP465" s="137" t="n"/>
      <c r="AQ465" s="137" t="n"/>
      <c r="AR465" s="137" t="n"/>
      <c r="AS465" s="137" t="n"/>
    </row>
    <row r="466" hidden="1" outlineLevel="1">
      <c r="A466" s="8" t="n"/>
      <c r="B466" s="14" t="n"/>
      <c r="C466" s="137" t="n"/>
      <c r="D466" s="137" t="n"/>
      <c r="E466" s="137" t="n"/>
      <c r="F466" s="137" t="n"/>
      <c r="G466" s="137" t="n"/>
      <c r="I466" s="23" t="n"/>
      <c r="J466" s="24" t="n"/>
      <c r="K466" s="25" t="n"/>
      <c r="L466" s="23" t="n"/>
      <c r="M466" s="25" t="n"/>
      <c r="N466" s="137" t="n"/>
      <c r="O466" s="144" t="n"/>
      <c r="P466" s="16" t="n"/>
      <c r="Q466" s="17" t="n"/>
      <c r="R466" s="95">
        <f>DADOS_INVOC!$IA$4</f>
        <v/>
      </c>
      <c r="S466" s="17" t="n"/>
      <c r="T466" s="137" t="n"/>
      <c r="U466" s="56" t="inlineStr">
        <is>
          <t>CORPO, SENTIDOS E COMUNICAÇÃO</t>
        </is>
      </c>
      <c r="V466" s="16" t="n"/>
      <c r="W466" s="16" t="n"/>
      <c r="X466" s="16" t="n"/>
      <c r="Y466" s="17" t="n"/>
      <c r="Z466" s="137" t="n"/>
      <c r="AB466" s="23" t="n"/>
      <c r="AC466" s="24" t="n"/>
      <c r="AD466" s="25" t="n"/>
      <c r="AE466" s="23" t="n"/>
      <c r="AF466" s="25" t="n"/>
      <c r="AG466" s="137" t="n"/>
      <c r="AH466" s="144" t="n"/>
      <c r="AI466" s="16" t="n"/>
      <c r="AJ466" s="17" t="n"/>
      <c r="AK466" s="95">
        <f>DADOS_INVOC!$IA$10</f>
        <v/>
      </c>
      <c r="AL466" s="17" t="n"/>
      <c r="AM466" s="137" t="n"/>
      <c r="AN466" s="56" t="inlineStr">
        <is>
          <t>CORPO, SENTIDOS E COMUNICAÇÃO</t>
        </is>
      </c>
      <c r="AO466" s="16" t="n"/>
      <c r="AP466" s="16" t="n"/>
      <c r="AQ466" s="16" t="n"/>
      <c r="AR466" s="17" t="n"/>
      <c r="AS466" s="137" t="n"/>
    </row>
    <row r="467" hidden="1" outlineLevel="1">
      <c r="A467" s="8" t="n"/>
      <c r="B467" s="14" t="n"/>
      <c r="C467" s="137" t="n"/>
      <c r="D467" s="137" t="n"/>
      <c r="E467" s="137" t="n"/>
      <c r="F467" s="137" t="n"/>
      <c r="G467" s="137" t="n"/>
      <c r="I467" s="137" t="n"/>
      <c r="J467" s="137" t="n"/>
      <c r="K467" s="137" t="n"/>
      <c r="L467" s="137" t="n"/>
      <c r="M467" s="137" t="n"/>
      <c r="N467" s="137" t="n"/>
      <c r="O467" s="137" t="n"/>
      <c r="P467" s="137" t="n"/>
      <c r="Q467" s="137" t="n"/>
      <c r="R467" s="137" t="n"/>
      <c r="S467" s="137" t="n"/>
      <c r="T467" s="137" t="n"/>
      <c r="U467" s="61" t="n"/>
      <c r="V467" s="19" t="n"/>
      <c r="W467" s="19" t="n"/>
      <c r="X467" s="19" t="n"/>
      <c r="Y467" s="20" t="n"/>
      <c r="Z467" s="137" t="n"/>
      <c r="AB467" s="137" t="n"/>
      <c r="AC467" s="137" t="n"/>
      <c r="AD467" s="137" t="n"/>
      <c r="AE467" s="137" t="n"/>
      <c r="AF467" s="137" t="n"/>
      <c r="AG467" s="137" t="n"/>
      <c r="AH467" s="137" t="n"/>
      <c r="AI467" s="137" t="n"/>
      <c r="AJ467" s="137" t="n"/>
      <c r="AK467" s="137" t="n"/>
      <c r="AL467" s="137" t="n"/>
      <c r="AM467" s="137" t="n"/>
      <c r="AN467" s="61" t="n"/>
      <c r="AO467" s="19" t="n"/>
      <c r="AP467" s="19" t="n"/>
      <c r="AQ467" s="19" t="n"/>
      <c r="AR467" s="20" t="n"/>
      <c r="AS467" s="137" t="n"/>
    </row>
    <row r="468" hidden="1" outlineLevel="1">
      <c r="A468" s="8" t="n"/>
      <c r="B468" s="14" t="n"/>
      <c r="C468" s="137" t="n"/>
      <c r="D468" s="137" t="n"/>
      <c r="E468" s="137" t="n"/>
      <c r="F468" s="137" t="n"/>
      <c r="G468" s="137" t="n"/>
      <c r="I468" s="56" t="inlineStr">
        <is>
          <t>AQUISIÇÃO</t>
        </is>
      </c>
      <c r="J468" s="17" t="n"/>
      <c r="K468" s="56" t="inlineStr">
        <is>
          <t>OBTIDA NO NÍVEL</t>
        </is>
      </c>
      <c r="L468" s="56" t="inlineStr">
        <is>
          <t>TALISMÃ</t>
        </is>
      </c>
      <c r="M468" s="17" t="n"/>
      <c r="N468" s="137" t="n"/>
      <c r="O468" s="56">
        <f>DADOS_INVOC!$ID$4</f>
        <v/>
      </c>
      <c r="P468" s="16" t="n"/>
      <c r="Q468" s="16" t="n"/>
      <c r="R468" s="16" t="n"/>
      <c r="S468" s="17" t="n"/>
      <c r="T468" s="137" t="n"/>
      <c r="U468" s="21" t="n"/>
      <c r="Y468" s="22" t="n"/>
      <c r="Z468" s="137" t="n"/>
      <c r="AB468" s="56" t="inlineStr">
        <is>
          <t>AQUISIÇÃO</t>
        </is>
      </c>
      <c r="AC468" s="17" t="n"/>
      <c r="AD468" s="56" t="inlineStr">
        <is>
          <t>OBTIDA NO NÍVEL</t>
        </is>
      </c>
      <c r="AE468" s="56" t="inlineStr">
        <is>
          <t>TALISMÃ</t>
        </is>
      </c>
      <c r="AF468" s="17" t="n"/>
      <c r="AG468" s="137" t="n"/>
      <c r="AH468" s="56">
        <f>DADOS_INVOC!$ID$10</f>
        <v/>
      </c>
      <c r="AI468" s="16" t="n"/>
      <c r="AJ468" s="16" t="n"/>
      <c r="AK468" s="16" t="n"/>
      <c r="AL468" s="17" t="n"/>
      <c r="AM468" s="137" t="n"/>
      <c r="AN468" s="21" t="n"/>
      <c r="AR468" s="22" t="n"/>
      <c r="AS468" s="137" t="n"/>
    </row>
    <row r="469" hidden="1" outlineLevel="1">
      <c r="A469" s="8" t="n"/>
      <c r="B469" s="14" t="n"/>
      <c r="C469" s="137" t="n"/>
      <c r="D469" s="137" t="n"/>
      <c r="E469" s="137" t="n"/>
      <c r="F469" s="137" t="n"/>
      <c r="G469" s="137" t="n"/>
      <c r="I469" s="95" t="inlineStr">
        <is>
          <t>Espaço conhecido</t>
        </is>
      </c>
      <c r="J469" s="20" t="n"/>
      <c r="K469" s="95" t="n"/>
      <c r="L469" s="95" t="inlineStr">
        <is>
          <t>Sem carga</t>
        </is>
      </c>
      <c r="M469" s="20" t="n"/>
      <c r="N469" s="137" t="n"/>
      <c r="O469" s="56">
        <f>IF(DADOS_INVOC!$RA$4&gt;=1,"LIVRE","ABERTA")</f>
        <v/>
      </c>
      <c r="P469" s="56">
        <f>IF(DADOS_INVOC!$RA$4&gt;=2,"LIVRE","ABERTA")</f>
        <v/>
      </c>
      <c r="Q469" s="56">
        <f>IF(DADOS_INVOC!$RA$4&gt;=7,"LIVRE","ABERTA")</f>
        <v/>
      </c>
      <c r="R469" s="56">
        <f>IF(DADOS_INVOC!$RA$4&gt;=8,"LIVRE","ABERTA")</f>
        <v/>
      </c>
      <c r="S469" s="56">
        <f>IF(DADOS_INVOC!$RA$4&gt;=9,"LIVRE","ABERTA")</f>
        <v/>
      </c>
      <c r="T469" s="137" t="n"/>
      <c r="U469" s="21" t="n"/>
      <c r="Y469" s="22" t="n"/>
      <c r="Z469" s="137" t="n"/>
      <c r="AB469" s="95" t="inlineStr">
        <is>
          <t>Espaço conhecido</t>
        </is>
      </c>
      <c r="AC469" s="20" t="n"/>
      <c r="AD469" s="95" t="n"/>
      <c r="AE469" s="95" t="inlineStr">
        <is>
          <t>Sem carga</t>
        </is>
      </c>
      <c r="AF469" s="20" t="n"/>
      <c r="AG469" s="137" t="n"/>
      <c r="AH469" s="56">
        <f>IF(DADOS_INVOC!$RA$10&gt;=1,"LIVRE","ABERTA")</f>
        <v/>
      </c>
      <c r="AI469" s="56">
        <f>IF(DADOS_INVOC!$RA$10&gt;=2,"LIVRE","ABERTA")</f>
        <v/>
      </c>
      <c r="AJ469" s="56">
        <f>IF(DADOS_INVOC!$RA$10&gt;=7,"LIVRE","ABERTA")</f>
        <v/>
      </c>
      <c r="AK469" s="56">
        <f>IF(DADOS_INVOC!$RA$10&gt;=8,"LIVRE","ABERTA")</f>
        <v/>
      </c>
      <c r="AL469" s="56">
        <f>IF(DADOS_INVOC!$RA$10&gt;=9,"LIVRE","ABERTA")</f>
        <v/>
      </c>
      <c r="AM469" s="137" t="n"/>
      <c r="AN469" s="21" t="n"/>
      <c r="AR469" s="22" t="n"/>
      <c r="AS469" s="137" t="n"/>
    </row>
    <row r="470" hidden="1" outlineLevel="1" ht="24" customHeight="1">
      <c r="A470" s="8" t="n"/>
      <c r="B470" s="14" t="n"/>
      <c r="C470" s="137" t="n"/>
      <c r="D470" s="137" t="n"/>
      <c r="E470" s="137" t="n"/>
      <c r="F470" s="137" t="n"/>
      <c r="G470" s="137" t="n"/>
      <c r="I470" s="23" t="n"/>
      <c r="J470" s="25" t="n"/>
      <c r="K470" s="128" t="n"/>
      <c r="L470" s="23" t="n"/>
      <c r="M470" s="25" t="n"/>
      <c r="N470" s="137" t="n"/>
      <c r="O470" s="95" t="n"/>
      <c r="P470" s="95" t="n"/>
      <c r="Q470" s="95" t="n"/>
      <c r="R470" s="95" t="n"/>
      <c r="S470" s="95" t="n"/>
      <c r="T470" s="137" t="n"/>
      <c r="U470" s="21" t="n"/>
      <c r="Y470" s="22" t="n"/>
      <c r="Z470" s="137" t="n"/>
      <c r="AB470" s="23" t="n"/>
      <c r="AC470" s="25" t="n"/>
      <c r="AD470" s="128" t="n"/>
      <c r="AE470" s="23" t="n"/>
      <c r="AF470" s="25" t="n"/>
      <c r="AG470" s="137" t="n"/>
      <c r="AH470" s="95" t="n"/>
      <c r="AI470" s="95" t="n"/>
      <c r="AJ470" s="95" t="n"/>
      <c r="AK470" s="95" t="n"/>
      <c r="AL470" s="95" t="n"/>
      <c r="AM470" s="137" t="n"/>
      <c r="AN470" s="21" t="n"/>
      <c r="AR470" s="22" t="n"/>
      <c r="AS470" s="137" t="n"/>
    </row>
    <row r="471" hidden="1" outlineLevel="1" ht="15" customHeight="1">
      <c r="A471" s="8" t="n"/>
      <c r="B471" s="14" t="n"/>
      <c r="C471" s="137" t="n"/>
      <c r="D471" s="137" t="n"/>
      <c r="E471" s="137" t="n"/>
      <c r="F471" s="137" t="n"/>
      <c r="G471" s="137" t="n"/>
      <c r="I471" s="137" t="n"/>
      <c r="J471" s="137" t="n"/>
      <c r="K471" s="137" t="n"/>
      <c r="L471" s="137" t="n"/>
      <c r="M471" s="137" t="n"/>
      <c r="N471" s="137" t="n"/>
      <c r="O471" s="56">
        <f>IF(DADOS_INVOC!$RA$4&gt;=3,"LIVRE 6","FAMÍLIA 6")</f>
        <v/>
      </c>
      <c r="P471" s="56">
        <f>IF(DADOS_INVOC!$RA$4&gt;=4,"LIVRE 7","FAMÍLIA 7")</f>
        <v/>
      </c>
      <c r="Q471" s="56">
        <f>IF(DADOS_INVOC!$RA$4&gt;=5,"LIVRE 8","FAMÍLIA 8")</f>
        <v/>
      </c>
      <c r="R471" s="56">
        <f>IF(DADOS_INVOC!$RA$4&gt;=6,"LIVRE 9","FAMÍLIA 9")</f>
        <v/>
      </c>
      <c r="S471" s="17" t="n"/>
      <c r="T471" s="137" t="n"/>
      <c r="U471" s="23" t="n"/>
      <c r="V471" s="24" t="n"/>
      <c r="W471" s="24" t="n"/>
      <c r="X471" s="24" t="n"/>
      <c r="Y471" s="25" t="n"/>
      <c r="Z471" s="137" t="n"/>
      <c r="AB471" s="137" t="n"/>
      <c r="AC471" s="137" t="n"/>
      <c r="AD471" s="137" t="n"/>
      <c r="AE471" s="137" t="n"/>
      <c r="AF471" s="137" t="n"/>
      <c r="AG471" s="137" t="n"/>
      <c r="AH471" s="56">
        <f>IF(DADOS_INVOC!$RA$10&gt;=3,"LIVRE 6","FAMÍLIA 6")</f>
        <v/>
      </c>
      <c r="AI471" s="56">
        <f>IF(DADOS_INVOC!$RA$10&gt;=4,"LIVRE 7","FAMÍLIA 7")</f>
        <v/>
      </c>
      <c r="AJ471" s="56">
        <f>IF(DADOS_INVOC!$RA$10&gt;=5,"LIVRE 8","FAMÍLIA 8")</f>
        <v/>
      </c>
      <c r="AK471" s="56">
        <f>IF(DADOS_INVOC!$RA$10&gt;=6,"LIVRE 9","FAMÍLIA 9")</f>
        <v/>
      </c>
      <c r="AL471" s="17" t="n"/>
      <c r="AM471" s="137" t="n"/>
      <c r="AN471" s="23" t="n"/>
      <c r="AO471" s="24" t="n"/>
      <c r="AP471" s="24" t="n"/>
      <c r="AQ471" s="24" t="n"/>
      <c r="AR471" s="25" t="n"/>
      <c r="AS471" s="137" t="n"/>
    </row>
    <row r="472" hidden="1" outlineLevel="1" ht="24" customHeight="1">
      <c r="A472" s="8" t="n"/>
      <c r="B472" s="14" t="n"/>
      <c r="C472" s="137" t="n"/>
      <c r="D472" s="137" t="n"/>
      <c r="E472" s="137" t="n"/>
      <c r="F472" s="137" t="n"/>
      <c r="G472" s="137" t="n"/>
      <c r="I472" s="56" t="inlineStr">
        <is>
          <t>AUTONOMIA</t>
        </is>
      </c>
      <c r="J472" s="17" t="n"/>
      <c r="K472" s="95" t="inlineStr">
        <is>
          <t>Autônoma</t>
        </is>
      </c>
      <c r="L472" s="16" t="n"/>
      <c r="M472" s="17" t="n"/>
      <c r="N472" s="137" t="n"/>
      <c r="O472" s="95" t="n"/>
      <c r="P472" s="95" t="n"/>
      <c r="Q472" s="95" t="n"/>
      <c r="R472" s="95" t="n"/>
      <c r="S472" s="17" t="n"/>
      <c r="T472" s="137" t="n"/>
      <c r="U472" s="137" t="n"/>
      <c r="V472" s="137" t="n"/>
      <c r="W472" s="137" t="n"/>
      <c r="X472" s="137" t="n"/>
      <c r="Y472" s="137" t="n"/>
      <c r="Z472" s="137" t="n"/>
      <c r="AB472" s="56" t="inlineStr">
        <is>
          <t>AUTONOMIA</t>
        </is>
      </c>
      <c r="AC472" s="17" t="n"/>
      <c r="AD472" s="95" t="inlineStr">
        <is>
          <t>Autônoma</t>
        </is>
      </c>
      <c r="AE472" s="16" t="n"/>
      <c r="AF472" s="17" t="n"/>
      <c r="AG472" s="137" t="n"/>
      <c r="AH472" s="95" t="n"/>
      <c r="AI472" s="95" t="n"/>
      <c r="AJ472" s="95" t="n"/>
      <c r="AK472" s="95" t="n"/>
      <c r="AL472" s="17" t="n"/>
      <c r="AM472" s="137" t="n"/>
      <c r="AN472" s="137" t="n"/>
      <c r="AO472" s="137" t="n"/>
      <c r="AP472" s="137" t="n"/>
      <c r="AQ472" s="137" t="n"/>
      <c r="AR472" s="137" t="n"/>
      <c r="AS472" s="137" t="n"/>
    </row>
    <row r="473" hidden="1" outlineLevel="1" ht="18.75" customHeight="1">
      <c r="A473" s="8" t="n"/>
      <c r="B473" s="14" t="n"/>
      <c r="C473" s="137" t="n"/>
      <c r="D473" s="137" t="n"/>
      <c r="E473" s="137" t="n"/>
      <c r="F473" s="137" t="n"/>
      <c r="G473" s="137" t="n"/>
      <c r="I473" s="137" t="n"/>
      <c r="J473" s="137" t="n"/>
      <c r="K473" s="137" t="n"/>
      <c r="L473" s="137" t="n"/>
      <c r="M473" s="137" t="n"/>
      <c r="N473" s="137" t="n"/>
      <c r="O473" s="101" t="inlineStr">
        <is>
          <t>FAMÍLIAS CUSTOM · CONFIGURAÇÃO</t>
        </is>
      </c>
      <c r="P473" s="16" t="n"/>
      <c r="Q473" s="16" t="n"/>
      <c r="R473" s="16" t="n"/>
      <c r="S473" s="17" t="n"/>
      <c r="T473" s="137" t="n"/>
      <c r="U473" s="137" t="n"/>
      <c r="V473" s="137" t="n"/>
      <c r="W473" s="137" t="n"/>
      <c r="X473" s="137" t="n"/>
      <c r="Y473" s="137" t="n"/>
      <c r="Z473" s="137" t="n"/>
      <c r="AB473" s="137" t="n"/>
      <c r="AC473" s="137" t="n"/>
      <c r="AD473" s="137" t="n"/>
      <c r="AE473" s="137" t="n"/>
      <c r="AF473" s="137" t="n"/>
      <c r="AG473" s="137" t="n"/>
      <c r="AH473" s="101" t="inlineStr">
        <is>
          <t>FAMÍLIAS CUSTOM · CONFIGURAÇÃO</t>
        </is>
      </c>
      <c r="AI473" s="16" t="n"/>
      <c r="AJ473" s="16" t="n"/>
      <c r="AK473" s="16" t="n"/>
      <c r="AL473" s="17" t="n"/>
      <c r="AM473" s="137" t="n"/>
      <c r="AN473" s="137" t="n"/>
      <c r="AO473" s="137" t="n"/>
      <c r="AP473" s="137" t="n"/>
      <c r="AQ473" s="137" t="n"/>
      <c r="AR473" s="137" t="n"/>
      <c r="AS473" s="137" t="n"/>
    </row>
    <row r="474" hidden="1" outlineLevel="2" ht="31.5" customHeight="1">
      <c r="O474" s="114">
        <f>IF(COUNTIF('DADOS_CRIACAO'!$H$11:$H$20,"?*")=0,"","Livre conta como aberta. As escolhas usam as vagas e os limites desta entidade.")</f>
        <v/>
      </c>
      <c r="P474" s="16" t="n"/>
      <c r="Q474" s="16" t="n"/>
      <c r="R474" s="16" t="n"/>
      <c r="S474" s="17" t="n"/>
      <c r="AH474" s="114">
        <f>IF(COUNTIF('DADOS_CRIACAO'!$H$11:$H$20,"?*")=0,"","Livre conta como aberta. As escolhas usam as vagas e os limites desta entidade.")</f>
        <v/>
      </c>
      <c r="AI474" s="16" t="n"/>
      <c r="AJ474" s="16" t="n"/>
      <c r="AK474" s="16" t="n"/>
      <c r="AL474" s="17" t="n"/>
    </row>
    <row r="475" hidden="1" outlineLevel="2" ht="18.75" customHeight="1">
      <c r="O475" s="115">
        <f>IF(COUNTIF('DADOS_CRIACAO'!$H$11:$H$20,"?*")=0,"","FAMÍLIA")</f>
        <v/>
      </c>
      <c r="P475" s="16" t="n"/>
      <c r="Q475" s="17" t="n"/>
      <c r="R475" s="115">
        <f>IF(COUNTIF('DADOS_CRIACAO'!$H$11:$H$20,"?*")=0,"","ESTADO")</f>
        <v/>
      </c>
      <c r="S475" s="17" t="n"/>
      <c r="AH475" s="115">
        <f>IF(COUNTIF('DADOS_CRIACAO'!$H$11:$H$20,"?*")=0,"","FAMÍLIA")</f>
        <v/>
      </c>
      <c r="AI475" s="16" t="n"/>
      <c r="AJ475" s="17" t="n"/>
      <c r="AK475" s="115">
        <f>IF(COUNTIF('DADOS_CRIACAO'!$H$11:$H$20,"?*")=0,"","ESTADO")</f>
        <v/>
      </c>
      <c r="AL475" s="17" t="n"/>
    </row>
    <row r="476" hidden="1" outlineLevel="2" ht="18.75" customHeight="1">
      <c r="O476" s="116">
        <f>'DADOS_CRIACAO'!$H$11</f>
        <v/>
      </c>
      <c r="P476" s="16" t="n"/>
      <c r="Q476" s="17" t="n"/>
      <c r="R476" s="116">
        <f>IF(O476="","",IFS(O470=O476,IF('DADOS_INVOC'!$RA$4&gt;=1,"Livre","Aberta"),P470=O476,IF('DADOS_INVOC'!$RA$4&gt;=2,"Livre","Aberta"),Q470=O476,IF('DADOS_INVOC'!$RA$4&gt;=7,"Livre","Aberta"),R470=O476,IF('DADOS_INVOC'!$RA$4&gt;=8,"Livre","Aberta"),S470=O476,IF('DADOS_INVOC'!$RA$4&gt;=9,"Livre","Aberta"),O472=O476,IF('DADOS_INVOC'!$RA$4&gt;=3,"Livre","Aberta"),P472=O476,IF('DADOS_INVOC'!$RA$4&gt;=4,"Livre","Aberta"),Q472=O476,IF('DADOS_INVOC'!$RA$4&gt;=5,"Livre","Aberta"),R472=O476,IF('DADOS_INVOC'!$RA$4&gt;=6,"Livre","Aberta"),TRUE,"Não escolhida"))</f>
        <v/>
      </c>
      <c r="S476" s="17" t="n"/>
      <c r="AH476" s="116">
        <f>'DADOS_CRIACAO'!$H$11</f>
        <v/>
      </c>
      <c r="AI476" s="16" t="n"/>
      <c r="AJ476" s="17" t="n"/>
      <c r="AK476" s="116">
        <f>IF(AH476="","",IFS(AH470=AH476,IF('DADOS_INVOC'!$RA$10&gt;=1,"Livre","Aberta"),AI470=AH476,IF('DADOS_INVOC'!$RA$10&gt;=2,"Livre","Aberta"),AJ470=AH476,IF('DADOS_INVOC'!$RA$10&gt;=7,"Livre","Aberta"),AK470=AH476,IF('DADOS_INVOC'!$RA$10&gt;=8,"Livre","Aberta"),AL470=AH476,IF('DADOS_INVOC'!$RA$10&gt;=9,"Livre","Aberta"),AH472=AH476,IF('DADOS_INVOC'!$RA$10&gt;=3,"Livre","Aberta"),AI472=AH476,IF('DADOS_INVOC'!$RA$10&gt;=4,"Livre","Aberta"),AJ472=AH476,IF('DADOS_INVOC'!$RA$10&gt;=5,"Livre","Aberta"),AK472=AH476,IF('DADOS_INVOC'!$RA$10&gt;=6,"Livre","Aberta"),TRUE,"Não escolhida"))</f>
        <v/>
      </c>
      <c r="AL476" s="17" t="n"/>
    </row>
    <row r="477" hidden="1" outlineLevel="2" ht="18.75" customHeight="1">
      <c r="O477" s="116">
        <f>'DADOS_CRIACAO'!$H$12</f>
        <v/>
      </c>
      <c r="P477" s="16" t="n"/>
      <c r="Q477" s="17" t="n"/>
      <c r="R477" s="116">
        <f>IF(O477="","",IFS(O470=O477,IF('DADOS_INVOC'!$RA$4&gt;=1,"Livre","Aberta"),P470=O477,IF('DADOS_INVOC'!$RA$4&gt;=2,"Livre","Aberta"),Q470=O477,IF('DADOS_INVOC'!$RA$4&gt;=7,"Livre","Aberta"),R470=O477,IF('DADOS_INVOC'!$RA$4&gt;=8,"Livre","Aberta"),S470=O477,IF('DADOS_INVOC'!$RA$4&gt;=9,"Livre","Aberta"),O472=O477,IF('DADOS_INVOC'!$RA$4&gt;=3,"Livre","Aberta"),P472=O477,IF('DADOS_INVOC'!$RA$4&gt;=4,"Livre","Aberta"),Q472=O477,IF('DADOS_INVOC'!$RA$4&gt;=5,"Livre","Aberta"),R472=O477,IF('DADOS_INVOC'!$RA$4&gt;=6,"Livre","Aberta"),TRUE,"Não escolhida"))</f>
        <v/>
      </c>
      <c r="S477" s="17" t="n"/>
      <c r="AH477" s="116">
        <f>'DADOS_CRIACAO'!$H$12</f>
        <v/>
      </c>
      <c r="AI477" s="16" t="n"/>
      <c r="AJ477" s="17" t="n"/>
      <c r="AK477" s="116">
        <f>IF(AH477="","",IFS(AH470=AH477,IF('DADOS_INVOC'!$RA$10&gt;=1,"Livre","Aberta"),AI470=AH477,IF('DADOS_INVOC'!$RA$10&gt;=2,"Livre","Aberta"),AJ470=AH477,IF('DADOS_INVOC'!$RA$10&gt;=7,"Livre","Aberta"),AK470=AH477,IF('DADOS_INVOC'!$RA$10&gt;=8,"Livre","Aberta"),AL470=AH477,IF('DADOS_INVOC'!$RA$10&gt;=9,"Livre","Aberta"),AH472=AH477,IF('DADOS_INVOC'!$RA$10&gt;=3,"Livre","Aberta"),AI472=AH477,IF('DADOS_INVOC'!$RA$10&gt;=4,"Livre","Aberta"),AJ472=AH477,IF('DADOS_INVOC'!$RA$10&gt;=5,"Livre","Aberta"),AK472=AH477,IF('DADOS_INVOC'!$RA$10&gt;=6,"Livre","Aberta"),TRUE,"Não escolhida"))</f>
        <v/>
      </c>
      <c r="AL477" s="17" t="n"/>
    </row>
    <row r="478" hidden="1" outlineLevel="2" ht="18.75" customHeight="1">
      <c r="O478" s="116">
        <f>'DADOS_CRIACAO'!$H$13</f>
        <v/>
      </c>
      <c r="P478" s="16" t="n"/>
      <c r="Q478" s="17" t="n"/>
      <c r="R478" s="116">
        <f>IF(O478="","",IFS(O470=O478,IF('DADOS_INVOC'!$RA$4&gt;=1,"Livre","Aberta"),P470=O478,IF('DADOS_INVOC'!$RA$4&gt;=2,"Livre","Aberta"),Q470=O478,IF('DADOS_INVOC'!$RA$4&gt;=7,"Livre","Aberta"),R470=O478,IF('DADOS_INVOC'!$RA$4&gt;=8,"Livre","Aberta"),S470=O478,IF('DADOS_INVOC'!$RA$4&gt;=9,"Livre","Aberta"),O472=O478,IF('DADOS_INVOC'!$RA$4&gt;=3,"Livre","Aberta"),P472=O478,IF('DADOS_INVOC'!$RA$4&gt;=4,"Livre","Aberta"),Q472=O478,IF('DADOS_INVOC'!$RA$4&gt;=5,"Livre","Aberta"),R472=O478,IF('DADOS_INVOC'!$RA$4&gt;=6,"Livre","Aberta"),TRUE,"Não escolhida"))</f>
        <v/>
      </c>
      <c r="S478" s="17" t="n"/>
      <c r="AH478" s="116">
        <f>'DADOS_CRIACAO'!$H$13</f>
        <v/>
      </c>
      <c r="AI478" s="16" t="n"/>
      <c r="AJ478" s="17" t="n"/>
      <c r="AK478" s="116">
        <f>IF(AH478="","",IFS(AH470=AH478,IF('DADOS_INVOC'!$RA$10&gt;=1,"Livre","Aberta"),AI470=AH478,IF('DADOS_INVOC'!$RA$10&gt;=2,"Livre","Aberta"),AJ470=AH478,IF('DADOS_INVOC'!$RA$10&gt;=7,"Livre","Aberta"),AK470=AH478,IF('DADOS_INVOC'!$RA$10&gt;=8,"Livre","Aberta"),AL470=AH478,IF('DADOS_INVOC'!$RA$10&gt;=9,"Livre","Aberta"),AH472=AH478,IF('DADOS_INVOC'!$RA$10&gt;=3,"Livre","Aberta"),AI472=AH478,IF('DADOS_INVOC'!$RA$10&gt;=4,"Livre","Aberta"),AJ472=AH478,IF('DADOS_INVOC'!$RA$10&gt;=5,"Livre","Aberta"),AK472=AH478,IF('DADOS_INVOC'!$RA$10&gt;=6,"Livre","Aberta"),TRUE,"Não escolhida"))</f>
        <v/>
      </c>
      <c r="AL478" s="17" t="n"/>
    </row>
    <row r="479" hidden="1" outlineLevel="2" ht="18.75" customHeight="1">
      <c r="O479" s="116">
        <f>'DADOS_CRIACAO'!$H$14</f>
        <v/>
      </c>
      <c r="P479" s="16" t="n"/>
      <c r="Q479" s="17" t="n"/>
      <c r="R479" s="116">
        <f>IF(O479="","",IFS(O470=O479,IF('DADOS_INVOC'!$RA$4&gt;=1,"Livre","Aberta"),P470=O479,IF('DADOS_INVOC'!$RA$4&gt;=2,"Livre","Aberta"),Q470=O479,IF('DADOS_INVOC'!$RA$4&gt;=7,"Livre","Aberta"),R470=O479,IF('DADOS_INVOC'!$RA$4&gt;=8,"Livre","Aberta"),S470=O479,IF('DADOS_INVOC'!$RA$4&gt;=9,"Livre","Aberta"),O472=O479,IF('DADOS_INVOC'!$RA$4&gt;=3,"Livre","Aberta"),P472=O479,IF('DADOS_INVOC'!$RA$4&gt;=4,"Livre","Aberta"),Q472=O479,IF('DADOS_INVOC'!$RA$4&gt;=5,"Livre","Aberta"),R472=O479,IF('DADOS_INVOC'!$RA$4&gt;=6,"Livre","Aberta"),TRUE,"Não escolhida"))</f>
        <v/>
      </c>
      <c r="S479" s="17" t="n"/>
      <c r="AH479" s="116">
        <f>'DADOS_CRIACAO'!$H$14</f>
        <v/>
      </c>
      <c r="AI479" s="16" t="n"/>
      <c r="AJ479" s="17" t="n"/>
      <c r="AK479" s="116">
        <f>IF(AH479="","",IFS(AH470=AH479,IF('DADOS_INVOC'!$RA$10&gt;=1,"Livre","Aberta"),AI470=AH479,IF('DADOS_INVOC'!$RA$10&gt;=2,"Livre","Aberta"),AJ470=AH479,IF('DADOS_INVOC'!$RA$10&gt;=7,"Livre","Aberta"),AK470=AH479,IF('DADOS_INVOC'!$RA$10&gt;=8,"Livre","Aberta"),AL470=AH479,IF('DADOS_INVOC'!$RA$10&gt;=9,"Livre","Aberta"),AH472=AH479,IF('DADOS_INVOC'!$RA$10&gt;=3,"Livre","Aberta"),AI472=AH479,IF('DADOS_INVOC'!$RA$10&gt;=4,"Livre","Aberta"),AJ472=AH479,IF('DADOS_INVOC'!$RA$10&gt;=5,"Livre","Aberta"),AK472=AH479,IF('DADOS_INVOC'!$RA$10&gt;=6,"Livre","Aberta"),TRUE,"Não escolhida"))</f>
        <v/>
      </c>
      <c r="AL479" s="17" t="n"/>
    </row>
    <row r="480" hidden="1" outlineLevel="2" ht="18.75" customHeight="1">
      <c r="O480" s="116">
        <f>'DADOS_CRIACAO'!$H$15</f>
        <v/>
      </c>
      <c r="P480" s="16" t="n"/>
      <c r="Q480" s="17" t="n"/>
      <c r="R480" s="116">
        <f>IF(O480="","",IFS(O470=O480,IF('DADOS_INVOC'!$RA$4&gt;=1,"Livre","Aberta"),P470=O480,IF('DADOS_INVOC'!$RA$4&gt;=2,"Livre","Aberta"),Q470=O480,IF('DADOS_INVOC'!$RA$4&gt;=7,"Livre","Aberta"),R470=O480,IF('DADOS_INVOC'!$RA$4&gt;=8,"Livre","Aberta"),S470=O480,IF('DADOS_INVOC'!$RA$4&gt;=9,"Livre","Aberta"),O472=O480,IF('DADOS_INVOC'!$RA$4&gt;=3,"Livre","Aberta"),P472=O480,IF('DADOS_INVOC'!$RA$4&gt;=4,"Livre","Aberta"),Q472=O480,IF('DADOS_INVOC'!$RA$4&gt;=5,"Livre","Aberta"),R472=O480,IF('DADOS_INVOC'!$RA$4&gt;=6,"Livre","Aberta"),TRUE,"Não escolhida"))</f>
        <v/>
      </c>
      <c r="S480" s="17" t="n"/>
      <c r="AH480" s="116">
        <f>'DADOS_CRIACAO'!$H$15</f>
        <v/>
      </c>
      <c r="AI480" s="16" t="n"/>
      <c r="AJ480" s="17" t="n"/>
      <c r="AK480" s="116">
        <f>IF(AH480="","",IFS(AH470=AH480,IF('DADOS_INVOC'!$RA$10&gt;=1,"Livre","Aberta"),AI470=AH480,IF('DADOS_INVOC'!$RA$10&gt;=2,"Livre","Aberta"),AJ470=AH480,IF('DADOS_INVOC'!$RA$10&gt;=7,"Livre","Aberta"),AK470=AH480,IF('DADOS_INVOC'!$RA$10&gt;=8,"Livre","Aberta"),AL470=AH480,IF('DADOS_INVOC'!$RA$10&gt;=9,"Livre","Aberta"),AH472=AH480,IF('DADOS_INVOC'!$RA$10&gt;=3,"Livre","Aberta"),AI472=AH480,IF('DADOS_INVOC'!$RA$10&gt;=4,"Livre","Aberta"),AJ472=AH480,IF('DADOS_INVOC'!$RA$10&gt;=5,"Livre","Aberta"),AK472=AH480,IF('DADOS_INVOC'!$RA$10&gt;=6,"Livre","Aberta"),TRUE,"Não escolhida"))</f>
        <v/>
      </c>
      <c r="AL480" s="17" t="n"/>
    </row>
    <row r="481" hidden="1" outlineLevel="2" ht="18.75" customHeight="1">
      <c r="O481" s="116">
        <f>'DADOS_CRIACAO'!$H$16</f>
        <v/>
      </c>
      <c r="P481" s="16" t="n"/>
      <c r="Q481" s="17" t="n"/>
      <c r="R481" s="116">
        <f>IF(O481="","",IFS(O470=O481,IF('DADOS_INVOC'!$RA$4&gt;=1,"Livre","Aberta"),P470=O481,IF('DADOS_INVOC'!$RA$4&gt;=2,"Livre","Aberta"),Q470=O481,IF('DADOS_INVOC'!$RA$4&gt;=7,"Livre","Aberta"),R470=O481,IF('DADOS_INVOC'!$RA$4&gt;=8,"Livre","Aberta"),S470=O481,IF('DADOS_INVOC'!$RA$4&gt;=9,"Livre","Aberta"),O472=O481,IF('DADOS_INVOC'!$RA$4&gt;=3,"Livre","Aberta"),P472=O481,IF('DADOS_INVOC'!$RA$4&gt;=4,"Livre","Aberta"),Q472=O481,IF('DADOS_INVOC'!$RA$4&gt;=5,"Livre","Aberta"),R472=O481,IF('DADOS_INVOC'!$RA$4&gt;=6,"Livre","Aberta"),TRUE,"Não escolhida"))</f>
        <v/>
      </c>
      <c r="S481" s="17" t="n"/>
      <c r="AH481" s="116">
        <f>'DADOS_CRIACAO'!$H$16</f>
        <v/>
      </c>
      <c r="AI481" s="16" t="n"/>
      <c r="AJ481" s="17" t="n"/>
      <c r="AK481" s="116">
        <f>IF(AH481="","",IFS(AH470=AH481,IF('DADOS_INVOC'!$RA$10&gt;=1,"Livre","Aberta"),AI470=AH481,IF('DADOS_INVOC'!$RA$10&gt;=2,"Livre","Aberta"),AJ470=AH481,IF('DADOS_INVOC'!$RA$10&gt;=7,"Livre","Aberta"),AK470=AH481,IF('DADOS_INVOC'!$RA$10&gt;=8,"Livre","Aberta"),AL470=AH481,IF('DADOS_INVOC'!$RA$10&gt;=9,"Livre","Aberta"),AH472=AH481,IF('DADOS_INVOC'!$RA$10&gt;=3,"Livre","Aberta"),AI472=AH481,IF('DADOS_INVOC'!$RA$10&gt;=4,"Livre","Aberta"),AJ472=AH481,IF('DADOS_INVOC'!$RA$10&gt;=5,"Livre","Aberta"),AK472=AH481,IF('DADOS_INVOC'!$RA$10&gt;=6,"Livre","Aberta"),TRUE,"Não escolhida"))</f>
        <v/>
      </c>
      <c r="AL481" s="17" t="n"/>
    </row>
    <row r="482" hidden="1" outlineLevel="2" ht="18.75" customHeight="1">
      <c r="O482" s="116">
        <f>'DADOS_CRIACAO'!$H$17</f>
        <v/>
      </c>
      <c r="P482" s="16" t="n"/>
      <c r="Q482" s="17" t="n"/>
      <c r="R482" s="116">
        <f>IF(O482="","",IFS(O470=O482,IF('DADOS_INVOC'!$RA$4&gt;=1,"Livre","Aberta"),P470=O482,IF('DADOS_INVOC'!$RA$4&gt;=2,"Livre","Aberta"),Q470=O482,IF('DADOS_INVOC'!$RA$4&gt;=7,"Livre","Aberta"),R470=O482,IF('DADOS_INVOC'!$RA$4&gt;=8,"Livre","Aberta"),S470=O482,IF('DADOS_INVOC'!$RA$4&gt;=9,"Livre","Aberta"),O472=O482,IF('DADOS_INVOC'!$RA$4&gt;=3,"Livre","Aberta"),P472=O482,IF('DADOS_INVOC'!$RA$4&gt;=4,"Livre","Aberta"),Q472=O482,IF('DADOS_INVOC'!$RA$4&gt;=5,"Livre","Aberta"),R472=O482,IF('DADOS_INVOC'!$RA$4&gt;=6,"Livre","Aberta"),TRUE,"Não escolhida"))</f>
        <v/>
      </c>
      <c r="S482" s="17" t="n"/>
      <c r="AH482" s="116">
        <f>'DADOS_CRIACAO'!$H$17</f>
        <v/>
      </c>
      <c r="AI482" s="16" t="n"/>
      <c r="AJ482" s="17" t="n"/>
      <c r="AK482" s="116">
        <f>IF(AH482="","",IFS(AH470=AH482,IF('DADOS_INVOC'!$RA$10&gt;=1,"Livre","Aberta"),AI470=AH482,IF('DADOS_INVOC'!$RA$10&gt;=2,"Livre","Aberta"),AJ470=AH482,IF('DADOS_INVOC'!$RA$10&gt;=7,"Livre","Aberta"),AK470=AH482,IF('DADOS_INVOC'!$RA$10&gt;=8,"Livre","Aberta"),AL470=AH482,IF('DADOS_INVOC'!$RA$10&gt;=9,"Livre","Aberta"),AH472=AH482,IF('DADOS_INVOC'!$RA$10&gt;=3,"Livre","Aberta"),AI472=AH482,IF('DADOS_INVOC'!$RA$10&gt;=4,"Livre","Aberta"),AJ472=AH482,IF('DADOS_INVOC'!$RA$10&gt;=5,"Livre","Aberta"),AK472=AH482,IF('DADOS_INVOC'!$RA$10&gt;=6,"Livre","Aberta"),TRUE,"Não escolhida"))</f>
        <v/>
      </c>
      <c r="AL482" s="17" t="n"/>
    </row>
    <row r="483" hidden="1" outlineLevel="2" ht="18.75" customHeight="1">
      <c r="O483" s="116">
        <f>'DADOS_CRIACAO'!$H$18</f>
        <v/>
      </c>
      <c r="P483" s="16" t="n"/>
      <c r="Q483" s="17" t="n"/>
      <c r="R483" s="116">
        <f>IF(O483="","",IFS(O470=O483,IF('DADOS_INVOC'!$RA$4&gt;=1,"Livre","Aberta"),P470=O483,IF('DADOS_INVOC'!$RA$4&gt;=2,"Livre","Aberta"),Q470=O483,IF('DADOS_INVOC'!$RA$4&gt;=7,"Livre","Aberta"),R470=O483,IF('DADOS_INVOC'!$RA$4&gt;=8,"Livre","Aberta"),S470=O483,IF('DADOS_INVOC'!$RA$4&gt;=9,"Livre","Aberta"),O472=O483,IF('DADOS_INVOC'!$RA$4&gt;=3,"Livre","Aberta"),P472=O483,IF('DADOS_INVOC'!$RA$4&gt;=4,"Livre","Aberta"),Q472=O483,IF('DADOS_INVOC'!$RA$4&gt;=5,"Livre","Aberta"),R472=O483,IF('DADOS_INVOC'!$RA$4&gt;=6,"Livre","Aberta"),TRUE,"Não escolhida"))</f>
        <v/>
      </c>
      <c r="S483" s="17" t="n"/>
      <c r="AH483" s="116">
        <f>'DADOS_CRIACAO'!$H$18</f>
        <v/>
      </c>
      <c r="AI483" s="16" t="n"/>
      <c r="AJ483" s="17" t="n"/>
      <c r="AK483" s="116">
        <f>IF(AH483="","",IFS(AH470=AH483,IF('DADOS_INVOC'!$RA$10&gt;=1,"Livre","Aberta"),AI470=AH483,IF('DADOS_INVOC'!$RA$10&gt;=2,"Livre","Aberta"),AJ470=AH483,IF('DADOS_INVOC'!$RA$10&gt;=7,"Livre","Aberta"),AK470=AH483,IF('DADOS_INVOC'!$RA$10&gt;=8,"Livre","Aberta"),AL470=AH483,IF('DADOS_INVOC'!$RA$10&gt;=9,"Livre","Aberta"),AH472=AH483,IF('DADOS_INVOC'!$RA$10&gt;=3,"Livre","Aberta"),AI472=AH483,IF('DADOS_INVOC'!$RA$10&gt;=4,"Livre","Aberta"),AJ472=AH483,IF('DADOS_INVOC'!$RA$10&gt;=5,"Livre","Aberta"),AK472=AH483,IF('DADOS_INVOC'!$RA$10&gt;=6,"Livre","Aberta"),TRUE,"Não escolhida"))</f>
        <v/>
      </c>
      <c r="AL483" s="17" t="n"/>
    </row>
    <row r="484" hidden="1" outlineLevel="2" ht="18.75" customHeight="1">
      <c r="O484" s="116">
        <f>'DADOS_CRIACAO'!$H$19</f>
        <v/>
      </c>
      <c r="P484" s="16" t="n"/>
      <c r="Q484" s="17" t="n"/>
      <c r="R484" s="116">
        <f>IF(O484="","",IFS(O470=O484,IF('DADOS_INVOC'!$RA$4&gt;=1,"Livre","Aberta"),P470=O484,IF('DADOS_INVOC'!$RA$4&gt;=2,"Livre","Aberta"),Q470=O484,IF('DADOS_INVOC'!$RA$4&gt;=7,"Livre","Aberta"),R470=O484,IF('DADOS_INVOC'!$RA$4&gt;=8,"Livre","Aberta"),S470=O484,IF('DADOS_INVOC'!$RA$4&gt;=9,"Livre","Aberta"),O472=O484,IF('DADOS_INVOC'!$RA$4&gt;=3,"Livre","Aberta"),P472=O484,IF('DADOS_INVOC'!$RA$4&gt;=4,"Livre","Aberta"),Q472=O484,IF('DADOS_INVOC'!$RA$4&gt;=5,"Livre","Aberta"),R472=O484,IF('DADOS_INVOC'!$RA$4&gt;=6,"Livre","Aberta"),TRUE,"Não escolhida"))</f>
        <v/>
      </c>
      <c r="S484" s="17" t="n"/>
      <c r="AH484" s="116">
        <f>'DADOS_CRIACAO'!$H$19</f>
        <v/>
      </c>
      <c r="AI484" s="16" t="n"/>
      <c r="AJ484" s="17" t="n"/>
      <c r="AK484" s="116">
        <f>IF(AH484="","",IFS(AH470=AH484,IF('DADOS_INVOC'!$RA$10&gt;=1,"Livre","Aberta"),AI470=AH484,IF('DADOS_INVOC'!$RA$10&gt;=2,"Livre","Aberta"),AJ470=AH484,IF('DADOS_INVOC'!$RA$10&gt;=7,"Livre","Aberta"),AK470=AH484,IF('DADOS_INVOC'!$RA$10&gt;=8,"Livre","Aberta"),AL470=AH484,IF('DADOS_INVOC'!$RA$10&gt;=9,"Livre","Aberta"),AH472=AH484,IF('DADOS_INVOC'!$RA$10&gt;=3,"Livre","Aberta"),AI472=AH484,IF('DADOS_INVOC'!$RA$10&gt;=4,"Livre","Aberta"),AJ472=AH484,IF('DADOS_INVOC'!$RA$10&gt;=5,"Livre","Aberta"),AK472=AH484,IF('DADOS_INVOC'!$RA$10&gt;=6,"Livre","Aberta"),TRUE,"Não escolhida"))</f>
        <v/>
      </c>
      <c r="AL484" s="17" t="n"/>
    </row>
    <row r="485" hidden="1" outlineLevel="2" ht="18.75" customHeight="1">
      <c r="O485" s="116">
        <f>'DADOS_CRIACAO'!$H$20</f>
        <v/>
      </c>
      <c r="P485" s="16" t="n"/>
      <c r="Q485" s="17" t="n"/>
      <c r="R485" s="116">
        <f>IF(O485="","",IFS(O470=O485,IF('DADOS_INVOC'!$RA$4&gt;=1,"Livre","Aberta"),P470=O485,IF('DADOS_INVOC'!$RA$4&gt;=2,"Livre","Aberta"),Q470=O485,IF('DADOS_INVOC'!$RA$4&gt;=7,"Livre","Aberta"),R470=O485,IF('DADOS_INVOC'!$RA$4&gt;=8,"Livre","Aberta"),S470=O485,IF('DADOS_INVOC'!$RA$4&gt;=9,"Livre","Aberta"),O472=O485,IF('DADOS_INVOC'!$RA$4&gt;=3,"Livre","Aberta"),P472=O485,IF('DADOS_INVOC'!$RA$4&gt;=4,"Livre","Aberta"),Q472=O485,IF('DADOS_INVOC'!$RA$4&gt;=5,"Livre","Aberta"),R472=O485,IF('DADOS_INVOC'!$RA$4&gt;=6,"Livre","Aberta"),TRUE,"Não escolhida"))</f>
        <v/>
      </c>
      <c r="S485" s="17" t="n"/>
      <c r="AH485" s="116">
        <f>'DADOS_CRIACAO'!$H$20</f>
        <v/>
      </c>
      <c r="AI485" s="16" t="n"/>
      <c r="AJ485" s="17" t="n"/>
      <c r="AK485" s="116">
        <f>IF(AH485="","",IFS(AH470=AH485,IF('DADOS_INVOC'!$RA$10&gt;=1,"Livre","Aberta"),AI470=AH485,IF('DADOS_INVOC'!$RA$10&gt;=2,"Livre","Aberta"),AJ470=AH485,IF('DADOS_INVOC'!$RA$10&gt;=7,"Livre","Aberta"),AK470=AH485,IF('DADOS_INVOC'!$RA$10&gt;=8,"Livre","Aberta"),AL470=AH485,IF('DADOS_INVOC'!$RA$10&gt;=9,"Livre","Aberta"),AH472=AH485,IF('DADOS_INVOC'!$RA$10&gt;=3,"Livre","Aberta"),AI472=AH485,IF('DADOS_INVOC'!$RA$10&gt;=4,"Livre","Aberta"),AJ472=AH485,IF('DADOS_INVOC'!$RA$10&gt;=5,"Livre","Aberta"),AK472=AH485,IF('DADOS_INVOC'!$RA$10&gt;=6,"Livre","Aberta"),TRUE,"Não escolhida"))</f>
        <v/>
      </c>
      <c r="AL485" s="17" t="n"/>
    </row>
    <row r="486" hidden="1" outlineLevel="2" ht="18.75" customHeight="1"/>
    <row r="487" hidden="1" outlineLevel="1">
      <c r="A487" s="8" t="n"/>
      <c r="B487" s="14" t="n"/>
      <c r="C487" s="137" t="n"/>
      <c r="D487" s="137" t="n"/>
      <c r="E487" s="137" t="n"/>
      <c r="F487" s="137" t="n"/>
      <c r="G487" s="137" t="n"/>
      <c r="I487" s="56" t="inlineStr">
        <is>
          <t>DEFINIÇÃO</t>
        </is>
      </c>
      <c r="J487" s="16" t="n"/>
      <c r="K487" s="16" t="n"/>
      <c r="L487" s="16" t="n"/>
      <c r="M487" s="16" t="n"/>
      <c r="N487" s="16" t="n"/>
      <c r="O487" s="16" t="n"/>
      <c r="P487" s="16" t="n"/>
      <c r="Q487" s="16" t="n"/>
      <c r="R487" s="16" t="n"/>
      <c r="S487" s="16" t="n"/>
      <c r="T487" s="16" t="n"/>
      <c r="U487" s="16" t="n"/>
      <c r="V487" s="16" t="n"/>
      <c r="W487" s="16" t="n"/>
      <c r="X487" s="16" t="n"/>
      <c r="Y487" s="17" t="n"/>
      <c r="Z487" s="137" t="n"/>
      <c r="AB487" s="56" t="inlineStr">
        <is>
          <t>DEFINIÇÃO</t>
        </is>
      </c>
      <c r="AC487" s="16" t="n"/>
      <c r="AD487" s="16" t="n"/>
      <c r="AE487" s="16" t="n"/>
      <c r="AF487" s="16" t="n"/>
      <c r="AG487" s="16" t="n"/>
      <c r="AH487" s="16" t="n"/>
      <c r="AI487" s="16" t="n"/>
      <c r="AJ487" s="16" t="n"/>
      <c r="AK487" s="16" t="n"/>
      <c r="AL487" s="16" t="n"/>
      <c r="AM487" s="16" t="n"/>
      <c r="AN487" s="16" t="n"/>
      <c r="AO487" s="16" t="n"/>
      <c r="AP487" s="16" t="n"/>
      <c r="AQ487" s="16" t="n"/>
      <c r="AR487" s="17" t="n"/>
      <c r="AS487" s="137" t="n"/>
    </row>
    <row r="488" hidden="1" outlineLevel="1">
      <c r="A488" s="8" t="n"/>
      <c r="B488" s="14" t="n"/>
      <c r="C488" s="137" t="n"/>
      <c r="D488" s="137" t="n"/>
      <c r="E488" s="137" t="n"/>
      <c r="F488" s="137" t="n"/>
      <c r="G488" s="137" t="n"/>
      <c r="I488" s="61" t="n"/>
      <c r="J488" s="19" t="n"/>
      <c r="K488" s="19" t="n"/>
      <c r="L488" s="19" t="n"/>
      <c r="M488" s="19" t="n"/>
      <c r="N488" s="19" t="n"/>
      <c r="O488" s="19" t="n"/>
      <c r="P488" s="19" t="n"/>
      <c r="Q488" s="19" t="n"/>
      <c r="R488" s="19" t="n"/>
      <c r="S488" s="19" t="n"/>
      <c r="T488" s="19" t="n"/>
      <c r="U488" s="19" t="n"/>
      <c r="V488" s="19" t="n"/>
      <c r="W488" s="19" t="n"/>
      <c r="X488" s="19" t="n"/>
      <c r="Y488" s="20" t="n"/>
      <c r="Z488" s="137" t="n"/>
      <c r="AB488" s="61" t="n"/>
      <c r="AC488" s="19" t="n"/>
      <c r="AD488" s="19" t="n"/>
      <c r="AE488" s="19" t="n"/>
      <c r="AF488" s="19" t="n"/>
      <c r="AG488" s="19" t="n"/>
      <c r="AH488" s="19" t="n"/>
      <c r="AI488" s="19" t="n"/>
      <c r="AJ488" s="19" t="n"/>
      <c r="AK488" s="19" t="n"/>
      <c r="AL488" s="19" t="n"/>
      <c r="AM488" s="19" t="n"/>
      <c r="AN488" s="19" t="n"/>
      <c r="AO488" s="19" t="n"/>
      <c r="AP488" s="19" t="n"/>
      <c r="AQ488" s="19" t="n"/>
      <c r="AR488" s="20" t="n"/>
      <c r="AS488" s="137" t="n"/>
    </row>
    <row r="489" hidden="1" outlineLevel="1">
      <c r="A489" s="8" t="n"/>
      <c r="B489" s="14" t="n"/>
      <c r="C489" s="137" t="n"/>
      <c r="D489" s="137" t="n"/>
      <c r="E489" s="137" t="n"/>
      <c r="F489" s="137" t="n"/>
      <c r="G489" s="137" t="n"/>
      <c r="I489" s="23" t="n"/>
      <c r="J489" s="24" t="n"/>
      <c r="K489" s="24" t="n"/>
      <c r="L489" s="24" t="n"/>
      <c r="M489" s="24" t="n"/>
      <c r="N489" s="24" t="n"/>
      <c r="O489" s="24" t="n"/>
      <c r="P489" s="24" t="n"/>
      <c r="Q489" s="24" t="n"/>
      <c r="R489" s="24" t="n"/>
      <c r="S489" s="24" t="n"/>
      <c r="T489" s="24" t="n"/>
      <c r="U489" s="24" t="n"/>
      <c r="V489" s="24" t="n"/>
      <c r="W489" s="24" t="n"/>
      <c r="X489" s="24" t="n"/>
      <c r="Y489" s="25" t="n"/>
      <c r="Z489" s="137" t="n"/>
      <c r="AB489" s="23" t="n"/>
      <c r="AC489" s="24" t="n"/>
      <c r="AD489" s="24" t="n"/>
      <c r="AE489" s="24" t="n"/>
      <c r="AF489" s="24" t="n"/>
      <c r="AG489" s="24" t="n"/>
      <c r="AH489" s="24" t="n"/>
      <c r="AI489" s="24" t="n"/>
      <c r="AJ489" s="24" t="n"/>
      <c r="AK489" s="24" t="n"/>
      <c r="AL489" s="24" t="n"/>
      <c r="AM489" s="24" t="n"/>
      <c r="AN489" s="24" t="n"/>
      <c r="AO489" s="24" t="n"/>
      <c r="AP489" s="24" t="n"/>
      <c r="AQ489" s="24" t="n"/>
      <c r="AR489" s="25" t="n"/>
      <c r="AS489" s="137" t="n"/>
    </row>
    <row r="490" hidden="1" outlineLevel="1">
      <c r="A490" s="8" t="n"/>
      <c r="B490" s="14" t="n"/>
      <c r="C490" s="137" t="n"/>
      <c r="D490" s="137" t="n"/>
      <c r="E490" s="137" t="n"/>
      <c r="F490" s="137" t="n"/>
      <c r="G490" s="137" t="n"/>
      <c r="I490" s="146">
        <f>DADOS_INVOC!$IE$4</f>
        <v/>
      </c>
      <c r="J490" s="16" t="n"/>
      <c r="K490" s="16" t="n"/>
      <c r="L490" s="16" t="n"/>
      <c r="M490" s="16" t="n"/>
      <c r="N490" s="16" t="n"/>
      <c r="O490" s="16" t="n"/>
      <c r="P490" s="16" t="n"/>
      <c r="Q490" s="16" t="n"/>
      <c r="R490" s="16" t="n"/>
      <c r="S490" s="16" t="n"/>
      <c r="T490" s="16" t="n"/>
      <c r="U490" s="16" t="n"/>
      <c r="V490" s="16" t="n"/>
      <c r="W490" s="16" t="n"/>
      <c r="X490" s="16" t="n"/>
      <c r="Y490" s="17" t="n"/>
      <c r="Z490" s="137" t="n"/>
      <c r="AB490" s="146">
        <f>DADOS_INVOC!$IE$10</f>
        <v/>
      </c>
      <c r="AC490" s="16" t="n"/>
      <c r="AD490" s="16" t="n"/>
      <c r="AE490" s="16" t="n"/>
      <c r="AF490" s="16" t="n"/>
      <c r="AG490" s="16" t="n"/>
      <c r="AH490" s="16" t="n"/>
      <c r="AI490" s="16" t="n"/>
      <c r="AJ490" s="16" t="n"/>
      <c r="AK490" s="16" t="n"/>
      <c r="AL490" s="16" t="n"/>
      <c r="AM490" s="16" t="n"/>
      <c r="AN490" s="16" t="n"/>
      <c r="AO490" s="16" t="n"/>
      <c r="AP490" s="16" t="n"/>
      <c r="AQ490" s="16" t="n"/>
      <c r="AR490" s="17" t="n"/>
      <c r="AS490" s="137" t="n"/>
    </row>
    <row r="491" hidden="1" outlineLevel="1">
      <c r="A491" s="8" t="n"/>
      <c r="B491" s="14" t="n"/>
      <c r="C491" s="137" t="n"/>
      <c r="D491" s="137" t="n"/>
      <c r="E491" s="137" t="n"/>
      <c r="F491" s="137" t="n"/>
      <c r="G491" s="137" t="n"/>
      <c r="I491" s="137" t="n"/>
      <c r="J491" s="137" t="n"/>
      <c r="K491" s="137" t="n"/>
      <c r="L491" s="137" t="n"/>
      <c r="M491" s="137" t="n"/>
      <c r="N491" s="137" t="n"/>
      <c r="O491" s="137" t="n"/>
      <c r="P491" s="137" t="n"/>
      <c r="Q491" s="137" t="n"/>
      <c r="R491" s="137" t="n"/>
      <c r="S491" s="137" t="n"/>
      <c r="T491" s="137" t="n"/>
      <c r="U491" s="137" t="n"/>
      <c r="V491" s="137" t="n"/>
      <c r="W491" s="137" t="n"/>
      <c r="X491" s="137" t="n"/>
      <c r="Y491" s="137" t="n"/>
      <c r="Z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37" t="n"/>
      <c r="AS491" s="137" t="n"/>
    </row>
    <row r="492" hidden="1" outlineLevel="1">
      <c r="A492" s="8" t="n"/>
      <c r="B492" s="14" t="n"/>
      <c r="C492" s="137" t="n"/>
      <c r="D492" s="137" t="n"/>
      <c r="E492" s="137" t="n"/>
      <c r="F492" s="137" t="n"/>
      <c r="G492" s="137" t="n"/>
      <c r="I492" s="56">
        <f>DADOS_INVOC!$PZ$28</f>
        <v/>
      </c>
      <c r="J492" s="16" t="n"/>
      <c r="K492" s="16" t="n"/>
      <c r="L492" s="16" t="n"/>
      <c r="M492" s="17" t="n"/>
      <c r="N492" s="137" t="n"/>
      <c r="O492" s="56">
        <f>DADOS_INVOC!$PZ$29</f>
        <v/>
      </c>
      <c r="P492" s="16" t="n"/>
      <c r="Q492" s="16" t="n"/>
      <c r="R492" s="16" t="n"/>
      <c r="S492" s="17" t="n"/>
      <c r="T492" s="137" t="n"/>
      <c r="U492" s="56">
        <f>DADOS_INVOC!$PZ$30</f>
        <v/>
      </c>
      <c r="V492" s="16" t="n"/>
      <c r="W492" s="16" t="n"/>
      <c r="X492" s="16" t="n"/>
      <c r="Y492" s="17" t="n"/>
      <c r="Z492" s="137" t="n"/>
      <c r="AB492" s="56">
        <f>DADOS_INVOC!$PZ$106</f>
        <v/>
      </c>
      <c r="AC492" s="16" t="n"/>
      <c r="AD492" s="16" t="n"/>
      <c r="AE492" s="16" t="n"/>
      <c r="AF492" s="17" t="n"/>
      <c r="AG492" s="137" t="n"/>
      <c r="AH492" s="56">
        <f>DADOS_INVOC!$PZ$107</f>
        <v/>
      </c>
      <c r="AI492" s="16" t="n"/>
      <c r="AJ492" s="16" t="n"/>
      <c r="AK492" s="16" t="n"/>
      <c r="AL492" s="17" t="n"/>
      <c r="AM492" s="137" t="n"/>
      <c r="AN492" s="56">
        <f>DADOS_INVOC!$PZ$108</f>
        <v/>
      </c>
      <c r="AO492" s="16" t="n"/>
      <c r="AP492" s="16" t="n"/>
      <c r="AQ492" s="16" t="n"/>
      <c r="AR492" s="17" t="n"/>
      <c r="AS492" s="137" t="n"/>
    </row>
    <row r="493" hidden="1" outlineLevel="1">
      <c r="A493" s="8" t="n"/>
      <c r="B493" s="14" t="n"/>
      <c r="C493" s="137" t="n"/>
      <c r="D493" s="137" t="n"/>
      <c r="E493" s="137" t="n"/>
      <c r="F493" s="137" t="n"/>
      <c r="G493" s="137" t="n"/>
      <c r="I493" s="141" t="n">
        <v>0</v>
      </c>
      <c r="J493" s="131" t="n"/>
      <c r="K493" s="16" t="n"/>
      <c r="L493" s="17" t="n"/>
      <c r="M493" s="142">
        <f>DADOS_INVOC!$PX$28</f>
        <v/>
      </c>
      <c r="N493" s="137" t="n"/>
      <c r="O493" s="141" t="n">
        <v>1</v>
      </c>
      <c r="P493" s="131" t="n"/>
      <c r="Q493" s="16" t="n"/>
      <c r="R493" s="17" t="n"/>
      <c r="S493" s="142">
        <f>DADOS_INVOC!$PX$29</f>
        <v/>
      </c>
      <c r="T493" s="137" t="n"/>
      <c r="U493" s="141" t="n">
        <v>1</v>
      </c>
      <c r="V493" s="131" t="n"/>
      <c r="W493" s="16" t="n"/>
      <c r="X493" s="17" t="n"/>
      <c r="Y493" s="142">
        <f>DADOS_INVOC!$PX$30</f>
        <v/>
      </c>
      <c r="Z493" s="137" t="n"/>
      <c r="AB493" s="141" t="n">
        <v>0</v>
      </c>
      <c r="AC493" s="131" t="n"/>
      <c r="AD493" s="16" t="n"/>
      <c r="AE493" s="17" t="n"/>
      <c r="AF493" s="142">
        <f>DADOS_INVOC!$PX$106</f>
        <v/>
      </c>
      <c r="AG493" s="137" t="n"/>
      <c r="AH493" s="141" t="n">
        <v>1</v>
      </c>
      <c r="AI493" s="131" t="n"/>
      <c r="AJ493" s="16" t="n"/>
      <c r="AK493" s="17" t="n"/>
      <c r="AL493" s="142">
        <f>DADOS_INVOC!$PX$107</f>
        <v/>
      </c>
      <c r="AM493" s="137" t="n"/>
      <c r="AN493" s="141" t="n">
        <v>1</v>
      </c>
      <c r="AO493" s="131" t="n"/>
      <c r="AP493" s="16" t="n"/>
      <c r="AQ493" s="17" t="n"/>
      <c r="AR493" s="142">
        <f>DADOS_INVOC!$PX$108</f>
        <v/>
      </c>
      <c r="AS493" s="137" t="n"/>
    </row>
    <row r="494" hidden="1" outlineLevel="2">
      <c r="A494" s="8" t="n"/>
      <c r="B494" s="14" t="n"/>
      <c r="C494" s="137" t="n"/>
      <c r="D494" s="137" t="n"/>
      <c r="E494" s="137" t="n"/>
      <c r="F494" s="137" t="n"/>
      <c r="G494" s="137" t="n"/>
      <c r="I494" s="56" t="inlineStr">
        <is>
          <t>COMO É</t>
        </is>
      </c>
      <c r="J494" s="16" t="n"/>
      <c r="K494" s="16" t="n"/>
      <c r="L494" s="16" t="n"/>
      <c r="M494" s="17" t="n"/>
      <c r="N494" s="137" t="n"/>
      <c r="O494" s="56" t="inlineStr">
        <is>
          <t>COMO É</t>
        </is>
      </c>
      <c r="P494" s="16" t="n"/>
      <c r="Q494" s="16" t="n"/>
      <c r="R494" s="16" t="n"/>
      <c r="S494" s="17" t="n"/>
      <c r="T494" s="137" t="n"/>
      <c r="U494" s="56" t="inlineStr">
        <is>
          <t>COMO É</t>
        </is>
      </c>
      <c r="V494" s="16" t="n"/>
      <c r="W494" s="16" t="n"/>
      <c r="X494" s="16" t="n"/>
      <c r="Y494" s="17" t="n"/>
      <c r="Z494" s="137" t="n"/>
      <c r="AB494" s="56" t="inlineStr">
        <is>
          <t>COMO É</t>
        </is>
      </c>
      <c r="AC494" s="16" t="n"/>
      <c r="AD494" s="16" t="n"/>
      <c r="AE494" s="16" t="n"/>
      <c r="AF494" s="17" t="n"/>
      <c r="AG494" s="137" t="n"/>
      <c r="AH494" s="56" t="inlineStr">
        <is>
          <t>COMO É</t>
        </is>
      </c>
      <c r="AI494" s="16" t="n"/>
      <c r="AJ494" s="16" t="n"/>
      <c r="AK494" s="16" t="n"/>
      <c r="AL494" s="17" t="n"/>
      <c r="AM494" s="137" t="n"/>
      <c r="AN494" s="56" t="inlineStr">
        <is>
          <t>COMO É</t>
        </is>
      </c>
      <c r="AO494" s="16" t="n"/>
      <c r="AP494" s="16" t="n"/>
      <c r="AQ494" s="16" t="n"/>
      <c r="AR494" s="17" t="n"/>
      <c r="AS494" s="137" t="n"/>
    </row>
    <row r="495" hidden="1" outlineLevel="2">
      <c r="A495" s="8" t="n"/>
      <c r="B495" s="14" t="n"/>
      <c r="C495" s="137" t="n"/>
      <c r="D495" s="137" t="n"/>
      <c r="E495" s="137" t="n"/>
      <c r="F495" s="137" t="n"/>
      <c r="G495" s="137" t="n"/>
      <c r="I495" s="61" t="n"/>
      <c r="J495" s="19" t="n"/>
      <c r="K495" s="19" t="n"/>
      <c r="L495" s="19" t="n"/>
      <c r="M495" s="20" t="n"/>
      <c r="N495" s="137" t="n"/>
      <c r="O495" s="61" t="n"/>
      <c r="P495" s="19" t="n"/>
      <c r="Q495" s="19" t="n"/>
      <c r="R495" s="19" t="n"/>
      <c r="S495" s="20" t="n"/>
      <c r="T495" s="137" t="n"/>
      <c r="U495" s="61" t="n"/>
      <c r="V495" s="19" t="n"/>
      <c r="W495" s="19" t="n"/>
      <c r="X495" s="19" t="n"/>
      <c r="Y495" s="20" t="n"/>
      <c r="Z495" s="137" t="n"/>
      <c r="AB495" s="61" t="n"/>
      <c r="AC495" s="19" t="n"/>
      <c r="AD495" s="19" t="n"/>
      <c r="AE495" s="19" t="n"/>
      <c r="AF495" s="20" t="n"/>
      <c r="AG495" s="137" t="n"/>
      <c r="AH495" s="61" t="n"/>
      <c r="AI495" s="19" t="n"/>
      <c r="AJ495" s="19" t="n"/>
      <c r="AK495" s="19" t="n"/>
      <c r="AL495" s="20" t="n"/>
      <c r="AM495" s="137" t="n"/>
      <c r="AN495" s="61" t="n"/>
      <c r="AO495" s="19" t="n"/>
      <c r="AP495" s="19" t="n"/>
      <c r="AQ495" s="19" t="n"/>
      <c r="AR495" s="20" t="n"/>
      <c r="AS495" s="137" t="n"/>
    </row>
    <row r="496" hidden="1" outlineLevel="2">
      <c r="A496" s="8" t="n"/>
      <c r="B496" s="14" t="n"/>
      <c r="C496" s="137" t="n"/>
      <c r="D496" s="137" t="n"/>
      <c r="E496" s="137" t="n"/>
      <c r="F496" s="137" t="n"/>
      <c r="G496" s="137" t="n"/>
      <c r="I496" s="21" t="n"/>
      <c r="M496" s="22" t="n"/>
      <c r="N496" s="137" t="n"/>
      <c r="O496" s="21" t="n"/>
      <c r="S496" s="22" t="n"/>
      <c r="T496" s="137" t="n"/>
      <c r="U496" s="21" t="n"/>
      <c r="Y496" s="22" t="n"/>
      <c r="Z496" s="137" t="n"/>
      <c r="AB496" s="21" t="n"/>
      <c r="AF496" s="22" t="n"/>
      <c r="AG496" s="137" t="n"/>
      <c r="AH496" s="21" t="n"/>
      <c r="AL496" s="22" t="n"/>
      <c r="AM496" s="137" t="n"/>
      <c r="AN496" s="21" t="n"/>
      <c r="AR496" s="22" t="n"/>
      <c r="AS496" s="137" t="n"/>
    </row>
    <row r="497" hidden="1" outlineLevel="2">
      <c r="A497" s="8" t="n"/>
      <c r="B497" s="14" t="n"/>
      <c r="C497" s="137" t="n"/>
      <c r="D497" s="137" t="n"/>
      <c r="E497" s="137" t="n"/>
      <c r="F497" s="137" t="n"/>
      <c r="G497" s="137" t="n"/>
      <c r="I497" s="23" t="n"/>
      <c r="J497" s="24" t="n"/>
      <c r="K497" s="24" t="n"/>
      <c r="L497" s="24" t="n"/>
      <c r="M497" s="25" t="n"/>
      <c r="N497" s="137" t="n"/>
      <c r="O497" s="23" t="n"/>
      <c r="P497" s="24" t="n"/>
      <c r="Q497" s="24" t="n"/>
      <c r="R497" s="24" t="n"/>
      <c r="S497" s="25" t="n"/>
      <c r="T497" s="137" t="n"/>
      <c r="U497" s="23" t="n"/>
      <c r="V497" s="24" t="n"/>
      <c r="W497" s="24" t="n"/>
      <c r="X497" s="24" t="n"/>
      <c r="Y497" s="25" t="n"/>
      <c r="Z497" s="137" t="n"/>
      <c r="AB497" s="23" t="n"/>
      <c r="AC497" s="24" t="n"/>
      <c r="AD497" s="24" t="n"/>
      <c r="AE497" s="24" t="n"/>
      <c r="AF497" s="25" t="n"/>
      <c r="AG497" s="137" t="n"/>
      <c r="AH497" s="23" t="n"/>
      <c r="AI497" s="24" t="n"/>
      <c r="AJ497" s="24" t="n"/>
      <c r="AK497" s="24" t="n"/>
      <c r="AL497" s="25" t="n"/>
      <c r="AM497" s="137" t="n"/>
      <c r="AN497" s="23" t="n"/>
      <c r="AO497" s="24" t="n"/>
      <c r="AP497" s="24" t="n"/>
      <c r="AQ497" s="24" t="n"/>
      <c r="AR497" s="25" t="n"/>
      <c r="AS497" s="137" t="n"/>
    </row>
    <row r="498" hidden="1" outlineLevel="1">
      <c r="A498" s="8" t="n"/>
      <c r="B498" s="14" t="n"/>
      <c r="C498" s="137" t="n"/>
      <c r="D498" s="137" t="n"/>
      <c r="E498" s="137" t="n"/>
      <c r="F498" s="137" t="n"/>
      <c r="G498" s="137" t="n"/>
      <c r="I498" s="95" t="inlineStr">
        <is>
          <t>Projétil</t>
        </is>
      </c>
      <c r="J498" s="17" t="n"/>
      <c r="K498" s="71">
        <f>DADOS_INVOC!$QE$28</f>
        <v/>
      </c>
      <c r="L498" s="17" t="n"/>
      <c r="M498" s="71">
        <f>DADOS_INVOC!$QA$28</f>
        <v/>
      </c>
      <c r="N498" s="137" t="n"/>
      <c r="O498" s="95" t="inlineStr">
        <is>
          <t>Projétil</t>
        </is>
      </c>
      <c r="P498" s="17" t="n"/>
      <c r="Q498" s="71">
        <f>DADOS_INVOC!$QE$29</f>
        <v/>
      </c>
      <c r="R498" s="17" t="n"/>
      <c r="S498" s="71">
        <f>DADOS_INVOC!$QA$29</f>
        <v/>
      </c>
      <c r="T498" s="137" t="n"/>
      <c r="U498" s="95" t="inlineStr">
        <is>
          <t>Projétil</t>
        </is>
      </c>
      <c r="V498" s="17" t="n"/>
      <c r="W498" s="71">
        <f>DADOS_INVOC!$QE$30</f>
        <v/>
      </c>
      <c r="X498" s="17" t="n"/>
      <c r="Y498" s="71">
        <f>DADOS_INVOC!$QA$30</f>
        <v/>
      </c>
      <c r="Z498" s="137" t="n"/>
      <c r="AB498" s="95" t="inlineStr">
        <is>
          <t>Projétil</t>
        </is>
      </c>
      <c r="AC498" s="17" t="n"/>
      <c r="AD498" s="71">
        <f>DADOS_INVOC!$QE$106</f>
        <v/>
      </c>
      <c r="AE498" s="17" t="n"/>
      <c r="AF498" s="71">
        <f>DADOS_INVOC!$QA$106</f>
        <v/>
      </c>
      <c r="AG498" s="137" t="n"/>
      <c r="AH498" s="95" t="inlineStr">
        <is>
          <t>Projétil</t>
        </is>
      </c>
      <c r="AI498" s="17" t="n"/>
      <c r="AJ498" s="71">
        <f>DADOS_INVOC!$QE$107</f>
        <v/>
      </c>
      <c r="AK498" s="17" t="n"/>
      <c r="AL498" s="71">
        <f>DADOS_INVOC!$QA$107</f>
        <v/>
      </c>
      <c r="AM498" s="137" t="n"/>
      <c r="AN498" s="95" t="inlineStr">
        <is>
          <t>Projétil</t>
        </is>
      </c>
      <c r="AO498" s="17" t="n"/>
      <c r="AP498" s="71">
        <f>DADOS_INVOC!$QE$108</f>
        <v/>
      </c>
      <c r="AQ498" s="17" t="n"/>
      <c r="AR498" s="71">
        <f>DADOS_INVOC!$QA$108</f>
        <v/>
      </c>
      <c r="AS498" s="137" t="n"/>
    </row>
    <row r="499" hidden="1" outlineLevel="1">
      <c r="A499" s="8" t="n"/>
      <c r="B499" s="14" t="n"/>
      <c r="C499" s="137" t="n"/>
      <c r="D499" s="137" t="n"/>
      <c r="E499" s="137" t="n"/>
      <c r="F499" s="137" t="n"/>
      <c r="G499" s="137" t="n"/>
      <c r="I499" s="95" t="n"/>
      <c r="J499" s="17" t="n"/>
      <c r="K499" s="95" t="n"/>
      <c r="L499" s="16" t="n"/>
      <c r="M499" s="17" t="n"/>
      <c r="N499" s="137" t="n"/>
      <c r="O499" s="95" t="n"/>
      <c r="P499" s="17" t="n"/>
      <c r="Q499" s="95" t="n"/>
      <c r="R499" s="16" t="n"/>
      <c r="S499" s="17" t="n"/>
      <c r="T499" s="137" t="n"/>
      <c r="U499" s="95" t="n"/>
      <c r="V499" s="17" t="n"/>
      <c r="W499" s="95" t="n"/>
      <c r="X499" s="16" t="n"/>
      <c r="Y499" s="17" t="n"/>
      <c r="Z499" s="137" t="n"/>
      <c r="AB499" s="95" t="n"/>
      <c r="AC499" s="17" t="n"/>
      <c r="AD499" s="95" t="n"/>
      <c r="AE499" s="16" t="n"/>
      <c r="AF499" s="17" t="n"/>
      <c r="AG499" s="137" t="n"/>
      <c r="AH499" s="95" t="n"/>
      <c r="AI499" s="17" t="n"/>
      <c r="AJ499" s="95" t="n"/>
      <c r="AK499" s="16" t="n"/>
      <c r="AL499" s="17" t="n"/>
      <c r="AM499" s="137" t="n"/>
      <c r="AN499" s="95" t="n"/>
      <c r="AO499" s="17" t="n"/>
      <c r="AP499" s="95" t="n"/>
      <c r="AQ499" s="16" t="n"/>
      <c r="AR499" s="17" t="n"/>
      <c r="AS499" s="137" t="n"/>
    </row>
    <row r="500" hidden="1" outlineLevel="1">
      <c r="A500" s="8" t="n"/>
      <c r="B500" s="14" t="n"/>
      <c r="C500" s="137" t="n"/>
      <c r="D500" s="137" t="n"/>
      <c r="E500" s="137" t="n"/>
      <c r="F500" s="137" t="n"/>
      <c r="G500" s="137" t="n"/>
      <c r="I500" s="95">
        <f>DADOS_INVOC!$QB$28</f>
        <v/>
      </c>
      <c r="J500" s="17" t="n"/>
      <c r="K500" s="95">
        <f>DADOS_INVOC!$QD$28</f>
        <v/>
      </c>
      <c r="L500" s="16" t="n"/>
      <c r="M500" s="17" t="n"/>
      <c r="N500" s="137" t="n"/>
      <c r="O500" s="95">
        <f>DADOS_INVOC!$QB$29</f>
        <v/>
      </c>
      <c r="P500" s="17" t="n"/>
      <c r="Q500" s="95">
        <f>DADOS_INVOC!$QD$29</f>
        <v/>
      </c>
      <c r="R500" s="16" t="n"/>
      <c r="S500" s="17" t="n"/>
      <c r="T500" s="137" t="n"/>
      <c r="U500" s="95">
        <f>DADOS_INVOC!$QB$30</f>
        <v/>
      </c>
      <c r="V500" s="17" t="n"/>
      <c r="W500" s="95">
        <f>DADOS_INVOC!$QD$30</f>
        <v/>
      </c>
      <c r="X500" s="16" t="n"/>
      <c r="Y500" s="17" t="n"/>
      <c r="Z500" s="137" t="n"/>
      <c r="AB500" s="95">
        <f>DADOS_INVOC!$QB$106</f>
        <v/>
      </c>
      <c r="AC500" s="17" t="n"/>
      <c r="AD500" s="95">
        <f>DADOS_INVOC!$QD$106</f>
        <v/>
      </c>
      <c r="AE500" s="16" t="n"/>
      <c r="AF500" s="17" t="n"/>
      <c r="AG500" s="137" t="n"/>
      <c r="AH500" s="95">
        <f>DADOS_INVOC!$QB$107</f>
        <v/>
      </c>
      <c r="AI500" s="17" t="n"/>
      <c r="AJ500" s="95">
        <f>DADOS_INVOC!$QD$107</f>
        <v/>
      </c>
      <c r="AK500" s="16" t="n"/>
      <c r="AL500" s="17" t="n"/>
      <c r="AM500" s="137" t="n"/>
      <c r="AN500" s="95">
        <f>DADOS_INVOC!$QB$108</f>
        <v/>
      </c>
      <c r="AO500" s="17" t="n"/>
      <c r="AP500" s="95">
        <f>DADOS_INVOC!$QD$108</f>
        <v/>
      </c>
      <c r="AQ500" s="16" t="n"/>
      <c r="AR500" s="17" t="n"/>
      <c r="AS500" s="137" t="n"/>
    </row>
    <row r="501" hidden="1" outlineLevel="1">
      <c r="A501" s="8" t="n"/>
      <c r="B501" s="14" t="n"/>
      <c r="C501" s="137" t="n"/>
      <c r="D501" s="137" t="n"/>
      <c r="E501" s="137" t="n"/>
      <c r="F501" s="137" t="n"/>
      <c r="G501" s="137" t="n"/>
      <c r="I501" s="143">
        <f>DADOS_INVOC!$QJ$28</f>
        <v/>
      </c>
      <c r="J501" s="16" t="n"/>
      <c r="K501" s="16" t="n"/>
      <c r="L501" s="16" t="n"/>
      <c r="M501" s="17" t="n"/>
      <c r="N501" s="137" t="n"/>
      <c r="O501" s="143">
        <f>DADOS_INVOC!$QJ$29</f>
        <v/>
      </c>
      <c r="P501" s="16" t="n"/>
      <c r="Q501" s="16" t="n"/>
      <c r="R501" s="16" t="n"/>
      <c r="S501" s="17" t="n"/>
      <c r="T501" s="137" t="n"/>
      <c r="U501" s="143">
        <f>DADOS_INVOC!$QJ$30</f>
        <v/>
      </c>
      <c r="V501" s="16" t="n"/>
      <c r="W501" s="16" t="n"/>
      <c r="X501" s="16" t="n"/>
      <c r="Y501" s="17" t="n"/>
      <c r="Z501" s="137" t="n"/>
      <c r="AB501" s="143">
        <f>DADOS_INVOC!$QJ$106</f>
        <v/>
      </c>
      <c r="AC501" s="16" t="n"/>
      <c r="AD501" s="16" t="n"/>
      <c r="AE501" s="16" t="n"/>
      <c r="AF501" s="17" t="n"/>
      <c r="AG501" s="137" t="n"/>
      <c r="AH501" s="143">
        <f>DADOS_INVOC!$QJ$107</f>
        <v/>
      </c>
      <c r="AI501" s="16" t="n"/>
      <c r="AJ501" s="16" t="n"/>
      <c r="AK501" s="16" t="n"/>
      <c r="AL501" s="17" t="n"/>
      <c r="AM501" s="137" t="n"/>
      <c r="AN501" s="143">
        <f>DADOS_INVOC!$QJ$108</f>
        <v/>
      </c>
      <c r="AO501" s="16" t="n"/>
      <c r="AP501" s="16" t="n"/>
      <c r="AQ501" s="16" t="n"/>
      <c r="AR501" s="17" t="n"/>
      <c r="AS501" s="137" t="n"/>
    </row>
    <row r="502" hidden="1" outlineLevel="2">
      <c r="A502" s="8" t="n"/>
      <c r="B502" s="14" t="n"/>
      <c r="C502" s="137" t="n"/>
      <c r="D502" s="137" t="n"/>
      <c r="E502" s="137" t="n"/>
      <c r="F502" s="137" t="n"/>
      <c r="G502" s="137" t="n"/>
      <c r="I502" s="56" t="inlineStr">
        <is>
          <t>MELHORIAS</t>
        </is>
      </c>
      <c r="J502" s="144" t="n"/>
      <c r="K502" s="16" t="n"/>
      <c r="L502" s="17" t="n"/>
      <c r="M502" s="143">
        <f>DADOS_INVOC!$QM$28</f>
        <v/>
      </c>
      <c r="N502" s="137" t="n"/>
      <c r="O502" s="56" t="inlineStr">
        <is>
          <t>MELHORIAS</t>
        </is>
      </c>
      <c r="P502" s="144" t="n"/>
      <c r="Q502" s="16" t="n"/>
      <c r="R502" s="17" t="n"/>
      <c r="S502" s="143">
        <f>DADOS_INVOC!$QM$29</f>
        <v/>
      </c>
      <c r="T502" s="137" t="n"/>
      <c r="U502" s="56" t="inlineStr">
        <is>
          <t>MELHORIAS</t>
        </is>
      </c>
      <c r="V502" s="144" t="n"/>
      <c r="W502" s="16" t="n"/>
      <c r="X502" s="17" t="n"/>
      <c r="Y502" s="143">
        <f>DADOS_INVOC!$QM$30</f>
        <v/>
      </c>
      <c r="Z502" s="137" t="n"/>
      <c r="AB502" s="56" t="inlineStr">
        <is>
          <t>MELHORIAS</t>
        </is>
      </c>
      <c r="AC502" s="144" t="n"/>
      <c r="AD502" s="16" t="n"/>
      <c r="AE502" s="17" t="n"/>
      <c r="AF502" s="143">
        <f>DADOS_INVOC!$QM$106</f>
        <v/>
      </c>
      <c r="AG502" s="137" t="n"/>
      <c r="AH502" s="56" t="inlineStr">
        <is>
          <t>MELHORIAS</t>
        </is>
      </c>
      <c r="AI502" s="144" t="n"/>
      <c r="AJ502" s="16" t="n"/>
      <c r="AK502" s="17" t="n"/>
      <c r="AL502" s="143">
        <f>DADOS_INVOC!$QM$107</f>
        <v/>
      </c>
      <c r="AM502" s="137" t="n"/>
      <c r="AN502" s="56" t="inlineStr">
        <is>
          <t>MELHORIAS</t>
        </is>
      </c>
      <c r="AO502" s="144" t="n"/>
      <c r="AP502" s="16" t="n"/>
      <c r="AQ502" s="17" t="n"/>
      <c r="AR502" s="143">
        <f>DADOS_INVOC!$QM$108</f>
        <v/>
      </c>
      <c r="AS502" s="137" t="n"/>
    </row>
    <row r="503" hidden="1" outlineLevel="2">
      <c r="A503" s="8" t="n"/>
      <c r="B503" s="14" t="n"/>
      <c r="C503" s="137" t="n"/>
      <c r="D503" s="137" t="n"/>
      <c r="E503" s="137" t="n"/>
      <c r="F503" s="137" t="n"/>
      <c r="G503" s="137" t="n"/>
      <c r="I503" s="66" t="n"/>
      <c r="J503" s="144" t="n"/>
      <c r="K503" s="16" t="n"/>
      <c r="L503" s="17" t="n"/>
      <c r="M503" s="143">
        <f>DADOS_INVOC!$QN$28</f>
        <v/>
      </c>
      <c r="N503" s="137" t="n"/>
      <c r="O503" s="66" t="n"/>
      <c r="P503" s="144" t="n"/>
      <c r="Q503" s="16" t="n"/>
      <c r="R503" s="17" t="n"/>
      <c r="S503" s="143">
        <f>DADOS_INVOC!$QN$29</f>
        <v/>
      </c>
      <c r="T503" s="137" t="n"/>
      <c r="U503" s="66" t="n"/>
      <c r="V503" s="144" t="n"/>
      <c r="W503" s="16" t="n"/>
      <c r="X503" s="17" t="n"/>
      <c r="Y503" s="143">
        <f>DADOS_INVOC!$QN$30</f>
        <v/>
      </c>
      <c r="Z503" s="137" t="n"/>
      <c r="AB503" s="66" t="n"/>
      <c r="AC503" s="144" t="n"/>
      <c r="AD503" s="16" t="n"/>
      <c r="AE503" s="17" t="n"/>
      <c r="AF503" s="143">
        <f>DADOS_INVOC!$QN$106</f>
        <v/>
      </c>
      <c r="AG503" s="137" t="n"/>
      <c r="AH503" s="66" t="n"/>
      <c r="AI503" s="144" t="n"/>
      <c r="AJ503" s="16" t="n"/>
      <c r="AK503" s="17" t="n"/>
      <c r="AL503" s="143">
        <f>DADOS_INVOC!$QN$107</f>
        <v/>
      </c>
      <c r="AM503" s="137" t="n"/>
      <c r="AN503" s="66" t="n"/>
      <c r="AO503" s="144" t="n"/>
      <c r="AP503" s="16" t="n"/>
      <c r="AQ503" s="17" t="n"/>
      <c r="AR503" s="143">
        <f>DADOS_INVOC!$QN$108</f>
        <v/>
      </c>
      <c r="AS503" s="137" t="n"/>
    </row>
    <row r="504" hidden="1" outlineLevel="2">
      <c r="A504" s="8" t="n"/>
      <c r="B504" s="14" t="n"/>
      <c r="C504" s="137" t="n"/>
      <c r="D504" s="137" t="n"/>
      <c r="E504" s="137" t="n"/>
      <c r="F504" s="137" t="n"/>
      <c r="G504" s="137" t="n"/>
      <c r="I504" s="66" t="n"/>
      <c r="J504" s="144" t="n"/>
      <c r="K504" s="16" t="n"/>
      <c r="L504" s="17" t="n"/>
      <c r="M504" s="143">
        <f>DADOS_INVOC!$QO$28</f>
        <v/>
      </c>
      <c r="N504" s="137" t="n"/>
      <c r="O504" s="66" t="n"/>
      <c r="P504" s="144" t="n"/>
      <c r="Q504" s="16" t="n"/>
      <c r="R504" s="17" t="n"/>
      <c r="S504" s="143">
        <f>DADOS_INVOC!$QO$29</f>
        <v/>
      </c>
      <c r="T504" s="137" t="n"/>
      <c r="U504" s="66" t="n"/>
      <c r="V504" s="144" t="n"/>
      <c r="W504" s="16" t="n"/>
      <c r="X504" s="17" t="n"/>
      <c r="Y504" s="143">
        <f>DADOS_INVOC!$QO$30</f>
        <v/>
      </c>
      <c r="Z504" s="137" t="n"/>
      <c r="AB504" s="66" t="n"/>
      <c r="AC504" s="144" t="n"/>
      <c r="AD504" s="16" t="n"/>
      <c r="AE504" s="17" t="n"/>
      <c r="AF504" s="143">
        <f>DADOS_INVOC!$QO$106</f>
        <v/>
      </c>
      <c r="AG504" s="137" t="n"/>
      <c r="AH504" s="66" t="n"/>
      <c r="AI504" s="144" t="n"/>
      <c r="AJ504" s="16" t="n"/>
      <c r="AK504" s="17" t="n"/>
      <c r="AL504" s="143">
        <f>DADOS_INVOC!$QO$107</f>
        <v/>
      </c>
      <c r="AM504" s="137" t="n"/>
      <c r="AN504" s="66" t="n"/>
      <c r="AO504" s="144" t="n"/>
      <c r="AP504" s="16" t="n"/>
      <c r="AQ504" s="17" t="n"/>
      <c r="AR504" s="143">
        <f>DADOS_INVOC!$QO$108</f>
        <v/>
      </c>
      <c r="AS504" s="137" t="n"/>
    </row>
    <row r="505" hidden="1" outlineLevel="2">
      <c r="A505" s="8" t="n"/>
      <c r="B505" s="14" t="n"/>
      <c r="C505" s="137" t="n"/>
      <c r="D505" s="137" t="n"/>
      <c r="E505" s="137" t="n"/>
      <c r="F505" s="137" t="n"/>
      <c r="G505" s="137" t="n"/>
      <c r="I505" s="128" t="n"/>
      <c r="J505" s="144" t="n"/>
      <c r="K505" s="16" t="n"/>
      <c r="L505" s="17" t="n"/>
      <c r="M505" s="143">
        <f>DADOS_INVOC!$QP$28</f>
        <v/>
      </c>
      <c r="N505" s="137" t="n"/>
      <c r="O505" s="128" t="n"/>
      <c r="P505" s="144" t="n"/>
      <c r="Q505" s="16" t="n"/>
      <c r="R505" s="17" t="n"/>
      <c r="S505" s="143">
        <f>DADOS_INVOC!$QP$29</f>
        <v/>
      </c>
      <c r="T505" s="137" t="n"/>
      <c r="U505" s="128" t="n"/>
      <c r="V505" s="144" t="n"/>
      <c r="W505" s="16" t="n"/>
      <c r="X505" s="17" t="n"/>
      <c r="Y505" s="143">
        <f>DADOS_INVOC!$QP$30</f>
        <v/>
      </c>
      <c r="Z505" s="137" t="n"/>
      <c r="AB505" s="128" t="n"/>
      <c r="AC505" s="144" t="n"/>
      <c r="AD505" s="16" t="n"/>
      <c r="AE505" s="17" t="n"/>
      <c r="AF505" s="143">
        <f>DADOS_INVOC!$QP$106</f>
        <v/>
      </c>
      <c r="AG505" s="137" t="n"/>
      <c r="AH505" s="128" t="n"/>
      <c r="AI505" s="144" t="n"/>
      <c r="AJ505" s="16" t="n"/>
      <c r="AK505" s="17" t="n"/>
      <c r="AL505" s="143">
        <f>DADOS_INVOC!$QP$107</f>
        <v/>
      </c>
      <c r="AM505" s="137" t="n"/>
      <c r="AN505" s="128" t="n"/>
      <c r="AO505" s="144" t="n"/>
      <c r="AP505" s="16" t="n"/>
      <c r="AQ505" s="17" t="n"/>
      <c r="AR505" s="143">
        <f>DADOS_INVOC!$QP$108</f>
        <v/>
      </c>
      <c r="AS505" s="137" t="n"/>
    </row>
    <row r="506" hidden="1" outlineLevel="2">
      <c r="A506" s="8" t="n"/>
      <c r="B506" s="14" t="n"/>
      <c r="C506" s="137" t="n"/>
      <c r="D506" s="137" t="n"/>
      <c r="E506" s="137" t="n"/>
      <c r="F506" s="137" t="n"/>
      <c r="G506" s="137" t="n"/>
      <c r="I506" s="56" t="inlineStr">
        <is>
          <t>RESTRIÇÕES</t>
        </is>
      </c>
      <c r="J506" s="144" t="n"/>
      <c r="K506" s="16" t="n"/>
      <c r="L506" s="17" t="n"/>
      <c r="M506" s="143">
        <f>DADOS_INVOC!$QQ$28</f>
        <v/>
      </c>
      <c r="N506" s="137" t="n"/>
      <c r="O506" s="56" t="inlineStr">
        <is>
          <t>RESTRIÇÕES</t>
        </is>
      </c>
      <c r="P506" s="144" t="n"/>
      <c r="Q506" s="16" t="n"/>
      <c r="R506" s="17" t="n"/>
      <c r="S506" s="143">
        <f>DADOS_INVOC!$QQ$29</f>
        <v/>
      </c>
      <c r="T506" s="137" t="n"/>
      <c r="U506" s="56" t="inlineStr">
        <is>
          <t>RESTRIÇÕES</t>
        </is>
      </c>
      <c r="V506" s="144" t="n"/>
      <c r="W506" s="16" t="n"/>
      <c r="X506" s="17" t="n"/>
      <c r="Y506" s="143">
        <f>DADOS_INVOC!$QQ$30</f>
        <v/>
      </c>
      <c r="Z506" s="137" t="n"/>
      <c r="AB506" s="56" t="inlineStr">
        <is>
          <t>RESTRIÇÕES</t>
        </is>
      </c>
      <c r="AC506" s="144" t="n"/>
      <c r="AD506" s="16" t="n"/>
      <c r="AE506" s="17" t="n"/>
      <c r="AF506" s="143">
        <f>DADOS_INVOC!$QQ$106</f>
        <v/>
      </c>
      <c r="AG506" s="137" t="n"/>
      <c r="AH506" s="56" t="inlineStr">
        <is>
          <t>RESTRIÇÕES</t>
        </is>
      </c>
      <c r="AI506" s="144" t="n"/>
      <c r="AJ506" s="16" t="n"/>
      <c r="AK506" s="17" t="n"/>
      <c r="AL506" s="143">
        <f>DADOS_INVOC!$QQ$107</f>
        <v/>
      </c>
      <c r="AM506" s="137" t="n"/>
      <c r="AN506" s="56" t="inlineStr">
        <is>
          <t>RESTRIÇÕES</t>
        </is>
      </c>
      <c r="AO506" s="144" t="n"/>
      <c r="AP506" s="16" t="n"/>
      <c r="AQ506" s="17" t="n"/>
      <c r="AR506" s="143">
        <f>DADOS_INVOC!$QQ$108</f>
        <v/>
      </c>
      <c r="AS506" s="137" t="n"/>
    </row>
    <row r="507" hidden="1" outlineLevel="2">
      <c r="A507" s="8" t="n"/>
      <c r="B507" s="14" t="n"/>
      <c r="C507" s="137" t="n"/>
      <c r="D507" s="137" t="n"/>
      <c r="E507" s="137" t="n"/>
      <c r="F507" s="137" t="n"/>
      <c r="G507" s="137" t="n"/>
      <c r="I507" s="128" t="n"/>
      <c r="J507" s="144" t="n"/>
      <c r="K507" s="16" t="n"/>
      <c r="L507" s="17" t="n"/>
      <c r="M507" s="143">
        <f>DADOS_INVOC!$QR$28</f>
        <v/>
      </c>
      <c r="N507" s="137" t="n"/>
      <c r="O507" s="128" t="n"/>
      <c r="P507" s="144" t="n"/>
      <c r="Q507" s="16" t="n"/>
      <c r="R507" s="17" t="n"/>
      <c r="S507" s="143">
        <f>DADOS_INVOC!$QR$29</f>
        <v/>
      </c>
      <c r="T507" s="137" t="n"/>
      <c r="U507" s="128" t="n"/>
      <c r="V507" s="144" t="n"/>
      <c r="W507" s="16" t="n"/>
      <c r="X507" s="17" t="n"/>
      <c r="Y507" s="143">
        <f>DADOS_INVOC!$QR$30</f>
        <v/>
      </c>
      <c r="Z507" s="137" t="n"/>
      <c r="AB507" s="128" t="n"/>
      <c r="AC507" s="144" t="n"/>
      <c r="AD507" s="16" t="n"/>
      <c r="AE507" s="17" t="n"/>
      <c r="AF507" s="143">
        <f>DADOS_INVOC!$QR$106</f>
        <v/>
      </c>
      <c r="AG507" s="137" t="n"/>
      <c r="AH507" s="128" t="n"/>
      <c r="AI507" s="144" t="n"/>
      <c r="AJ507" s="16" t="n"/>
      <c r="AK507" s="17" t="n"/>
      <c r="AL507" s="143">
        <f>DADOS_INVOC!$QR$107</f>
        <v/>
      </c>
      <c r="AM507" s="137" t="n"/>
      <c r="AN507" s="128" t="n"/>
      <c r="AO507" s="144" t="n"/>
      <c r="AP507" s="16" t="n"/>
      <c r="AQ507" s="17" t="n"/>
      <c r="AR507" s="143">
        <f>DADOS_INVOC!$QR$108</f>
        <v/>
      </c>
      <c r="AS507" s="137" t="n"/>
    </row>
    <row r="508" hidden="1" outlineLevel="2">
      <c r="A508" s="8" t="n"/>
      <c r="B508" s="14" t="n"/>
      <c r="C508" s="137" t="n"/>
      <c r="D508" s="137" t="n"/>
      <c r="E508" s="137" t="n"/>
      <c r="F508" s="137" t="n"/>
      <c r="G508" s="137" t="n"/>
      <c r="I508" s="56" t="inlineStr">
        <is>
          <t>CONTA</t>
        </is>
      </c>
      <c r="J508" s="145">
        <f>DADOS_INVOC!$QK$28</f>
        <v/>
      </c>
      <c r="K508" s="16" t="n"/>
      <c r="L508" s="16" t="n"/>
      <c r="M508" s="17" t="n"/>
      <c r="N508" s="137" t="n"/>
      <c r="O508" s="56" t="inlineStr">
        <is>
          <t>CONTA</t>
        </is>
      </c>
      <c r="P508" s="145">
        <f>DADOS_INVOC!$QK$29</f>
        <v/>
      </c>
      <c r="Q508" s="16" t="n"/>
      <c r="R508" s="16" t="n"/>
      <c r="S508" s="17" t="n"/>
      <c r="T508" s="137" t="n"/>
      <c r="U508" s="56" t="inlineStr">
        <is>
          <t>CONTA</t>
        </is>
      </c>
      <c r="V508" s="145">
        <f>DADOS_INVOC!$QK$30</f>
        <v/>
      </c>
      <c r="W508" s="16" t="n"/>
      <c r="X508" s="16" t="n"/>
      <c r="Y508" s="17" t="n"/>
      <c r="Z508" s="137" t="n"/>
      <c r="AB508" s="56" t="inlineStr">
        <is>
          <t>CONTA</t>
        </is>
      </c>
      <c r="AC508" s="145">
        <f>DADOS_INVOC!$QK$106</f>
        <v/>
      </c>
      <c r="AD508" s="16" t="n"/>
      <c r="AE508" s="16" t="n"/>
      <c r="AF508" s="17" t="n"/>
      <c r="AG508" s="137" t="n"/>
      <c r="AH508" s="56" t="inlineStr">
        <is>
          <t>CONTA</t>
        </is>
      </c>
      <c r="AI508" s="145">
        <f>DADOS_INVOC!$QK$107</f>
        <v/>
      </c>
      <c r="AJ508" s="16" t="n"/>
      <c r="AK508" s="16" t="n"/>
      <c r="AL508" s="17" t="n"/>
      <c r="AM508" s="137" t="n"/>
      <c r="AN508" s="56" t="inlineStr">
        <is>
          <t>CONTA</t>
        </is>
      </c>
      <c r="AO508" s="145">
        <f>DADOS_INVOC!$QK$108</f>
        <v/>
      </c>
      <c r="AP508" s="16" t="n"/>
      <c r="AQ508" s="16" t="n"/>
      <c r="AR508" s="17" t="n"/>
      <c r="AS508" s="137" t="n"/>
    </row>
    <row r="509" hidden="1" outlineLevel="2">
      <c r="A509" s="8" t="n"/>
      <c r="B509" s="14" t="n"/>
      <c r="C509" s="137" t="n"/>
      <c r="D509" s="137" t="n"/>
      <c r="E509" s="137" t="n"/>
      <c r="F509" s="137" t="n"/>
      <c r="G509" s="137" t="n"/>
      <c r="I509" s="56" t="inlineStr">
        <is>
          <t>AMPLIAR</t>
        </is>
      </c>
      <c r="J509" s="145">
        <f>DADOS_INVOC!$QL$28</f>
        <v/>
      </c>
      <c r="K509" s="19" t="n"/>
      <c r="L509" s="19" t="n"/>
      <c r="M509" s="20" t="n"/>
      <c r="N509" s="137" t="n"/>
      <c r="O509" s="56" t="inlineStr">
        <is>
          <t>AMPLIAR</t>
        </is>
      </c>
      <c r="P509" s="145">
        <f>DADOS_INVOC!$QL$29</f>
        <v/>
      </c>
      <c r="Q509" s="19" t="n"/>
      <c r="R509" s="19" t="n"/>
      <c r="S509" s="20" t="n"/>
      <c r="T509" s="137" t="n"/>
      <c r="U509" s="56" t="inlineStr">
        <is>
          <t>AMPLIAR</t>
        </is>
      </c>
      <c r="V509" s="145">
        <f>DADOS_INVOC!$QL$30</f>
        <v/>
      </c>
      <c r="W509" s="19" t="n"/>
      <c r="X509" s="19" t="n"/>
      <c r="Y509" s="20" t="n"/>
      <c r="Z509" s="137" t="n"/>
      <c r="AB509" s="56" t="inlineStr">
        <is>
          <t>AMPLIAR</t>
        </is>
      </c>
      <c r="AC509" s="145">
        <f>DADOS_INVOC!$QL$106</f>
        <v/>
      </c>
      <c r="AD509" s="19" t="n"/>
      <c r="AE509" s="19" t="n"/>
      <c r="AF509" s="20" t="n"/>
      <c r="AG509" s="137" t="n"/>
      <c r="AH509" s="56" t="inlineStr">
        <is>
          <t>AMPLIAR</t>
        </is>
      </c>
      <c r="AI509" s="145">
        <f>DADOS_INVOC!$QL$107</f>
        <v/>
      </c>
      <c r="AJ509" s="19" t="n"/>
      <c r="AK509" s="19" t="n"/>
      <c r="AL509" s="20" t="n"/>
      <c r="AM509" s="137" t="n"/>
      <c r="AN509" s="56" t="inlineStr">
        <is>
          <t>AMPLIAR</t>
        </is>
      </c>
      <c r="AO509" s="145">
        <f>DADOS_INVOC!$QL$108</f>
        <v/>
      </c>
      <c r="AP509" s="19" t="n"/>
      <c r="AQ509" s="19" t="n"/>
      <c r="AR509" s="20" t="n"/>
      <c r="AS509" s="137" t="n"/>
    </row>
    <row r="510" hidden="1" outlineLevel="2">
      <c r="A510" s="8" t="n"/>
      <c r="B510" s="14" t="n"/>
      <c r="C510" s="137" t="n"/>
      <c r="D510" s="137" t="n"/>
      <c r="E510" s="137" t="n"/>
      <c r="F510" s="137" t="n"/>
      <c r="G510" s="137" t="n"/>
      <c r="I510" s="128" t="n"/>
      <c r="J510" s="23" t="n"/>
      <c r="K510" s="24" t="n"/>
      <c r="L510" s="24" t="n"/>
      <c r="M510" s="25" t="n"/>
      <c r="N510" s="137" t="n"/>
      <c r="O510" s="128" t="n"/>
      <c r="P510" s="23" t="n"/>
      <c r="Q510" s="24" t="n"/>
      <c r="R510" s="24" t="n"/>
      <c r="S510" s="25" t="n"/>
      <c r="T510" s="137" t="n"/>
      <c r="U510" s="128" t="n"/>
      <c r="V510" s="23" t="n"/>
      <c r="W510" s="24" t="n"/>
      <c r="X510" s="24" t="n"/>
      <c r="Y510" s="25" t="n"/>
      <c r="Z510" s="137" t="n"/>
      <c r="AB510" s="128" t="n"/>
      <c r="AC510" s="23" t="n"/>
      <c r="AD510" s="24" t="n"/>
      <c r="AE510" s="24" t="n"/>
      <c r="AF510" s="25" t="n"/>
      <c r="AG510" s="137" t="n"/>
      <c r="AH510" s="128" t="n"/>
      <c r="AI510" s="23" t="n"/>
      <c r="AJ510" s="24" t="n"/>
      <c r="AK510" s="24" t="n"/>
      <c r="AL510" s="25" t="n"/>
      <c r="AM510" s="137" t="n"/>
      <c r="AN510" s="128" t="n"/>
      <c r="AO510" s="23" t="n"/>
      <c r="AP510" s="24" t="n"/>
      <c r="AQ510" s="24" t="n"/>
      <c r="AR510" s="25" t="n"/>
      <c r="AS510" s="137" t="n"/>
    </row>
    <row r="511" hidden="1" outlineLevel="2">
      <c r="A511" s="8" t="n"/>
      <c r="B511" s="14" t="n"/>
      <c r="C511" s="137" t="n"/>
      <c r="D511" s="137" t="n"/>
      <c r="E511" s="137" t="n"/>
      <c r="F511" s="137" t="n"/>
      <c r="G511" s="137" t="n"/>
      <c r="I511" s="145">
        <f>DADOS_INVOC!$PY$28</f>
        <v/>
      </c>
      <c r="J511" s="19" t="n"/>
      <c r="K511" s="19" t="n"/>
      <c r="L511" s="19" t="n"/>
      <c r="M511" s="20" t="n"/>
      <c r="N511" s="137" t="n"/>
      <c r="O511" s="145">
        <f>DADOS_INVOC!$PY$29</f>
        <v/>
      </c>
      <c r="P511" s="19" t="n"/>
      <c r="Q511" s="19" t="n"/>
      <c r="R511" s="19" t="n"/>
      <c r="S511" s="20" t="n"/>
      <c r="T511" s="137" t="n"/>
      <c r="U511" s="145">
        <f>DADOS_INVOC!$PY$30</f>
        <v/>
      </c>
      <c r="V511" s="19" t="n"/>
      <c r="W511" s="19" t="n"/>
      <c r="X511" s="19" t="n"/>
      <c r="Y511" s="20" t="n"/>
      <c r="Z511" s="137" t="n"/>
      <c r="AB511" s="145">
        <f>DADOS_INVOC!$PY$106</f>
        <v/>
      </c>
      <c r="AC511" s="19" t="n"/>
      <c r="AD511" s="19" t="n"/>
      <c r="AE511" s="19" t="n"/>
      <c r="AF511" s="20" t="n"/>
      <c r="AG511" s="137" t="n"/>
      <c r="AH511" s="145">
        <f>DADOS_INVOC!$PY$107</f>
        <v/>
      </c>
      <c r="AI511" s="19" t="n"/>
      <c r="AJ511" s="19" t="n"/>
      <c r="AK511" s="19" t="n"/>
      <c r="AL511" s="20" t="n"/>
      <c r="AM511" s="137" t="n"/>
      <c r="AN511" s="145">
        <f>DADOS_INVOC!$PY$108</f>
        <v/>
      </c>
      <c r="AO511" s="19" t="n"/>
      <c r="AP511" s="19" t="n"/>
      <c r="AQ511" s="19" t="n"/>
      <c r="AR511" s="20" t="n"/>
      <c r="AS511" s="137" t="n"/>
    </row>
    <row r="512" hidden="1" outlineLevel="2">
      <c r="A512" s="8" t="n"/>
      <c r="B512" s="14" t="n"/>
      <c r="C512" s="137" t="n"/>
      <c r="D512" s="137" t="n"/>
      <c r="E512" s="137" t="n"/>
      <c r="F512" s="137" t="n"/>
      <c r="G512" s="137" t="n"/>
      <c r="I512" s="23" t="n"/>
      <c r="J512" s="24" t="n"/>
      <c r="K512" s="24" t="n"/>
      <c r="L512" s="24" t="n"/>
      <c r="M512" s="25" t="n"/>
      <c r="N512" s="137" t="n"/>
      <c r="O512" s="23" t="n"/>
      <c r="P512" s="24" t="n"/>
      <c r="Q512" s="24" t="n"/>
      <c r="R512" s="24" t="n"/>
      <c r="S512" s="25" t="n"/>
      <c r="T512" s="137" t="n"/>
      <c r="U512" s="23" t="n"/>
      <c r="V512" s="24" t="n"/>
      <c r="W512" s="24" t="n"/>
      <c r="X512" s="24" t="n"/>
      <c r="Y512" s="25" t="n"/>
      <c r="Z512" s="137" t="n"/>
      <c r="AB512" s="23" t="n"/>
      <c r="AC512" s="24" t="n"/>
      <c r="AD512" s="24" t="n"/>
      <c r="AE512" s="24" t="n"/>
      <c r="AF512" s="25" t="n"/>
      <c r="AG512" s="137" t="n"/>
      <c r="AH512" s="23" t="n"/>
      <c r="AI512" s="24" t="n"/>
      <c r="AJ512" s="24" t="n"/>
      <c r="AK512" s="24" t="n"/>
      <c r="AL512" s="25" t="n"/>
      <c r="AM512" s="137" t="n"/>
      <c r="AN512" s="23" t="n"/>
      <c r="AO512" s="24" t="n"/>
      <c r="AP512" s="24" t="n"/>
      <c r="AQ512" s="24" t="n"/>
      <c r="AR512" s="25" t="n"/>
      <c r="AS512" s="137" t="n"/>
    </row>
    <row r="513" hidden="1" outlineLevel="1">
      <c r="A513" s="8" t="n"/>
      <c r="B513" s="14" t="n"/>
      <c r="C513" s="137" t="n"/>
      <c r="D513" s="137" t="n"/>
      <c r="E513" s="137" t="n"/>
      <c r="F513" s="137" t="n"/>
      <c r="G513" s="137" t="n"/>
      <c r="I513" s="137" t="n"/>
      <c r="J513" s="137" t="n"/>
      <c r="K513" s="137" t="n"/>
      <c r="L513" s="137" t="n"/>
      <c r="M513" s="137" t="n"/>
      <c r="N513" s="137" t="n"/>
      <c r="O513" s="137" t="n"/>
      <c r="P513" s="137" t="n"/>
      <c r="Q513" s="137" t="n"/>
      <c r="R513" s="137" t="n"/>
      <c r="S513" s="137" t="n"/>
      <c r="T513" s="137" t="n"/>
      <c r="U513" s="137" t="n"/>
      <c r="V513" s="137" t="n"/>
      <c r="W513" s="137" t="n"/>
      <c r="X513" s="137" t="n"/>
      <c r="Y513" s="137" t="n"/>
      <c r="Z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37" t="n"/>
      <c r="AS513" s="137" t="n"/>
    </row>
    <row r="514" hidden="1" outlineLevel="1">
      <c r="A514" s="8" t="n"/>
      <c r="B514" s="14" t="n"/>
      <c r="C514" s="137" t="n"/>
      <c r="D514" s="137" t="n"/>
      <c r="E514" s="137" t="n"/>
      <c r="F514" s="137" t="n"/>
      <c r="G514" s="137" t="n"/>
      <c r="I514" s="56">
        <f>DADOS_INVOC!$IF$4</f>
        <v/>
      </c>
      <c r="J514" s="16" t="n"/>
      <c r="K514" s="16" t="n"/>
      <c r="L514" s="16" t="n"/>
      <c r="M514" s="16" t="n"/>
      <c r="N514" s="16" t="n"/>
      <c r="O514" s="16" t="n"/>
      <c r="P514" s="16" t="n"/>
      <c r="Q514" s="16" t="n"/>
      <c r="R514" s="16" t="n"/>
      <c r="S514" s="16" t="n"/>
      <c r="T514" s="16" t="n"/>
      <c r="U514" s="16" t="n"/>
      <c r="V514" s="16" t="n"/>
      <c r="W514" s="16" t="n"/>
      <c r="X514" s="16" t="n"/>
      <c r="Y514" s="17" t="n"/>
      <c r="Z514" s="137" t="n"/>
      <c r="AB514" s="56">
        <f>DADOS_INVOC!$IF$10</f>
        <v/>
      </c>
      <c r="AC514" s="16" t="n"/>
      <c r="AD514" s="16" t="n"/>
      <c r="AE514" s="16" t="n"/>
      <c r="AF514" s="16" t="n"/>
      <c r="AG514" s="16" t="n"/>
      <c r="AH514" s="16" t="n"/>
      <c r="AI514" s="16" t="n"/>
      <c r="AJ514" s="16" t="n"/>
      <c r="AK514" s="16" t="n"/>
      <c r="AL514" s="16" t="n"/>
      <c r="AM514" s="16" t="n"/>
      <c r="AN514" s="16" t="n"/>
      <c r="AO514" s="16" t="n"/>
      <c r="AP514" s="16" t="n"/>
      <c r="AQ514" s="16" t="n"/>
      <c r="AR514" s="17" t="n"/>
      <c r="AS514" s="137" t="n"/>
    </row>
    <row r="515" hidden="1" outlineLevel="1">
      <c r="A515" s="8" t="n"/>
      <c r="B515" s="14" t="n"/>
      <c r="C515" s="137" t="n"/>
      <c r="D515" s="137" t="n"/>
      <c r="E515" s="137" t="n"/>
      <c r="F515" s="137" t="n"/>
      <c r="G515" s="137" t="n"/>
      <c r="I515" s="56" t="inlineStr">
        <is>
          <t>NV 1 · CE 1</t>
        </is>
      </c>
      <c r="J515" s="144" t="n"/>
      <c r="K515" s="16" t="n"/>
      <c r="L515" s="17" t="n"/>
      <c r="M515" s="150">
        <f>DADOS_INVOC!$IO$4</f>
        <v/>
      </c>
      <c r="N515" s="16" t="n"/>
      <c r="O515" s="16" t="n"/>
      <c r="P515" s="16" t="n"/>
      <c r="Q515" s="16" t="n"/>
      <c r="R515" s="16" t="n"/>
      <c r="S515" s="16" t="n"/>
      <c r="T515" s="16" t="n"/>
      <c r="U515" s="16" t="n"/>
      <c r="V515" s="16" t="n"/>
      <c r="W515" s="16" t="n"/>
      <c r="X515" s="16" t="n"/>
      <c r="Y515" s="17" t="n"/>
      <c r="Z515" s="137" t="n"/>
      <c r="AB515" s="56" t="inlineStr">
        <is>
          <t>NV 1 · CE 1</t>
        </is>
      </c>
      <c r="AC515" s="144" t="n"/>
      <c r="AD515" s="16" t="n"/>
      <c r="AE515" s="17" t="n"/>
      <c r="AF515" s="150">
        <f>DADOS_INVOC!$IO$10</f>
        <v/>
      </c>
      <c r="AG515" s="16" t="n"/>
      <c r="AH515" s="16" t="n"/>
      <c r="AI515" s="16" t="n"/>
      <c r="AJ515" s="16" t="n"/>
      <c r="AK515" s="16" t="n"/>
      <c r="AL515" s="16" t="n"/>
      <c r="AM515" s="16" t="n"/>
      <c r="AN515" s="16" t="n"/>
      <c r="AO515" s="16" t="n"/>
      <c r="AP515" s="16" t="n"/>
      <c r="AQ515" s="16" t="n"/>
      <c r="AR515" s="17" t="n"/>
      <c r="AS515" s="137" t="n"/>
    </row>
    <row r="516" hidden="1" outlineLevel="1">
      <c r="A516" s="8" t="n"/>
      <c r="B516" s="14" t="n"/>
      <c r="C516" s="137" t="n"/>
      <c r="D516" s="137" t="n"/>
      <c r="E516" s="137" t="n"/>
      <c r="F516" s="137" t="n"/>
      <c r="G516" s="137" t="n"/>
      <c r="I516" s="56" t="inlineStr">
        <is>
          <t>NV 6 · CE 1</t>
        </is>
      </c>
      <c r="J516" s="144" t="n"/>
      <c r="K516" s="16" t="n"/>
      <c r="L516" s="17" t="n"/>
      <c r="M516" s="150">
        <f>DADOS_INVOC!$IP$4</f>
        <v/>
      </c>
      <c r="N516" s="16" t="n"/>
      <c r="O516" s="16" t="n"/>
      <c r="P516" s="16" t="n"/>
      <c r="Q516" s="16" t="n"/>
      <c r="R516" s="16" t="n"/>
      <c r="S516" s="16" t="n"/>
      <c r="T516" s="16" t="n"/>
      <c r="U516" s="16" t="n"/>
      <c r="V516" s="16" t="n"/>
      <c r="W516" s="16" t="n"/>
      <c r="X516" s="16" t="n"/>
      <c r="Y516" s="17" t="n"/>
      <c r="Z516" s="137" t="n"/>
      <c r="AB516" s="56" t="inlineStr">
        <is>
          <t>NV 6 · CE 1</t>
        </is>
      </c>
      <c r="AC516" s="144" t="n"/>
      <c r="AD516" s="16" t="n"/>
      <c r="AE516" s="17" t="n"/>
      <c r="AF516" s="150">
        <f>DADOS_INVOC!$IP$10</f>
        <v/>
      </c>
      <c r="AG516" s="16" t="n"/>
      <c r="AH516" s="16" t="n"/>
      <c r="AI516" s="16" t="n"/>
      <c r="AJ516" s="16" t="n"/>
      <c r="AK516" s="16" t="n"/>
      <c r="AL516" s="16" t="n"/>
      <c r="AM516" s="16" t="n"/>
      <c r="AN516" s="16" t="n"/>
      <c r="AO516" s="16" t="n"/>
      <c r="AP516" s="16" t="n"/>
      <c r="AQ516" s="16" t="n"/>
      <c r="AR516" s="17" t="n"/>
      <c r="AS516" s="137" t="n"/>
    </row>
    <row r="517" hidden="1" outlineLevel="1">
      <c r="A517" s="8" t="n"/>
      <c r="B517" s="14" t="n"/>
      <c r="C517" s="137" t="n"/>
      <c r="D517" s="137" t="n"/>
      <c r="E517" s="137" t="n"/>
      <c r="F517" s="137" t="n"/>
      <c r="G517" s="137" t="n"/>
      <c r="I517" s="56" t="inlineStr">
        <is>
          <t>NV 10 · CE 2</t>
        </is>
      </c>
      <c r="J517" s="144" t="n"/>
      <c r="K517" s="16" t="n"/>
      <c r="L517" s="17" t="n"/>
      <c r="M517" s="150">
        <f>DADOS_INVOC!$IQ$4</f>
        <v/>
      </c>
      <c r="N517" s="16" t="n"/>
      <c r="O517" s="16" t="n"/>
      <c r="P517" s="16" t="n"/>
      <c r="Q517" s="16" t="n"/>
      <c r="R517" s="16" t="n"/>
      <c r="S517" s="16" t="n"/>
      <c r="T517" s="16" t="n"/>
      <c r="U517" s="16" t="n"/>
      <c r="V517" s="16" t="n"/>
      <c r="W517" s="16" t="n"/>
      <c r="X517" s="16" t="n"/>
      <c r="Y517" s="17" t="n"/>
      <c r="Z517" s="137" t="n"/>
      <c r="AB517" s="56" t="inlineStr">
        <is>
          <t>NV 10 · CE 2</t>
        </is>
      </c>
      <c r="AC517" s="144" t="n"/>
      <c r="AD517" s="16" t="n"/>
      <c r="AE517" s="17" t="n"/>
      <c r="AF517" s="150">
        <f>DADOS_INVOC!$IQ$10</f>
        <v/>
      </c>
      <c r="AG517" s="16" t="n"/>
      <c r="AH517" s="16" t="n"/>
      <c r="AI517" s="16" t="n"/>
      <c r="AJ517" s="16" t="n"/>
      <c r="AK517" s="16" t="n"/>
      <c r="AL517" s="16" t="n"/>
      <c r="AM517" s="16" t="n"/>
      <c r="AN517" s="16" t="n"/>
      <c r="AO517" s="16" t="n"/>
      <c r="AP517" s="16" t="n"/>
      <c r="AQ517" s="16" t="n"/>
      <c r="AR517" s="17" t="n"/>
      <c r="AS517" s="137" t="n"/>
    </row>
    <row r="518" hidden="1" outlineLevel="1">
      <c r="A518" s="8" t="n"/>
      <c r="B518" s="14" t="n"/>
      <c r="C518" s="137" t="n"/>
      <c r="D518" s="137" t="n"/>
      <c r="E518" s="137" t="n"/>
      <c r="F518" s="137" t="n"/>
      <c r="G518" s="137" t="n"/>
      <c r="I518" s="56" t="inlineStr">
        <is>
          <t>NV 14 · CE 3</t>
        </is>
      </c>
      <c r="J518" s="144" t="n"/>
      <c r="K518" s="16" t="n"/>
      <c r="L518" s="17" t="n"/>
      <c r="M518" s="150">
        <f>DADOS_INVOC!$IR$4</f>
        <v/>
      </c>
      <c r="N518" s="16" t="n"/>
      <c r="O518" s="16" t="n"/>
      <c r="P518" s="16" t="n"/>
      <c r="Q518" s="16" t="n"/>
      <c r="R518" s="16" t="n"/>
      <c r="S518" s="16" t="n"/>
      <c r="T518" s="16" t="n"/>
      <c r="U518" s="16" t="n"/>
      <c r="V518" s="16" t="n"/>
      <c r="W518" s="16" t="n"/>
      <c r="X518" s="16" t="n"/>
      <c r="Y518" s="17" t="n"/>
      <c r="Z518" s="137" t="n"/>
      <c r="AB518" s="56" t="inlineStr">
        <is>
          <t>NV 14 · CE 3</t>
        </is>
      </c>
      <c r="AC518" s="144" t="n"/>
      <c r="AD518" s="16" t="n"/>
      <c r="AE518" s="17" t="n"/>
      <c r="AF518" s="150">
        <f>DADOS_INVOC!$IR$10</f>
        <v/>
      </c>
      <c r="AG518" s="16" t="n"/>
      <c r="AH518" s="16" t="n"/>
      <c r="AI518" s="16" t="n"/>
      <c r="AJ518" s="16" t="n"/>
      <c r="AK518" s="16" t="n"/>
      <c r="AL518" s="16" t="n"/>
      <c r="AM518" s="16" t="n"/>
      <c r="AN518" s="16" t="n"/>
      <c r="AO518" s="16" t="n"/>
      <c r="AP518" s="16" t="n"/>
      <c r="AQ518" s="16" t="n"/>
      <c r="AR518" s="17" t="n"/>
      <c r="AS518" s="137" t="n"/>
    </row>
    <row r="519" hidden="1" outlineLevel="1">
      <c r="A519" s="8" t="n"/>
      <c r="B519" s="14" t="n"/>
      <c r="C519" s="137" t="n"/>
      <c r="D519" s="137" t="n"/>
      <c r="E519" s="137" t="n"/>
      <c r="F519" s="137" t="n"/>
      <c r="G519" s="137" t="n"/>
      <c r="I519" s="56" t="inlineStr">
        <is>
          <t>NV 18 · CE 3</t>
        </is>
      </c>
      <c r="J519" s="144" t="n"/>
      <c r="K519" s="16" t="n"/>
      <c r="L519" s="17" t="n"/>
      <c r="M519" s="150">
        <f>DADOS_INVOC!$IS$4</f>
        <v/>
      </c>
      <c r="N519" s="16" t="n"/>
      <c r="O519" s="16" t="n"/>
      <c r="P519" s="16" t="n"/>
      <c r="Q519" s="16" t="n"/>
      <c r="R519" s="16" t="n"/>
      <c r="S519" s="16" t="n"/>
      <c r="T519" s="16" t="n"/>
      <c r="U519" s="16" t="n"/>
      <c r="V519" s="16" t="n"/>
      <c r="W519" s="16" t="n"/>
      <c r="X519" s="16" t="n"/>
      <c r="Y519" s="17" t="n"/>
      <c r="Z519" s="137" t="n"/>
      <c r="AB519" s="56" t="inlineStr">
        <is>
          <t>NV 18 · CE 3</t>
        </is>
      </c>
      <c r="AC519" s="144" t="n"/>
      <c r="AD519" s="16" t="n"/>
      <c r="AE519" s="17" t="n"/>
      <c r="AF519" s="150">
        <f>DADOS_INVOC!$IS$10</f>
        <v/>
      </c>
      <c r="AG519" s="16" t="n"/>
      <c r="AH519" s="16" t="n"/>
      <c r="AI519" s="16" t="n"/>
      <c r="AJ519" s="16" t="n"/>
      <c r="AK519" s="16" t="n"/>
      <c r="AL519" s="16" t="n"/>
      <c r="AM519" s="16" t="n"/>
      <c r="AN519" s="16" t="n"/>
      <c r="AO519" s="16" t="n"/>
      <c r="AP519" s="16" t="n"/>
      <c r="AQ519" s="16" t="n"/>
      <c r="AR519" s="17" t="n"/>
      <c r="AS519" s="137" t="n"/>
    </row>
    <row r="520" hidden="1" outlineLevel="1">
      <c r="A520" s="8" t="n"/>
      <c r="B520" s="14" t="n"/>
      <c r="C520" s="137" t="n"/>
      <c r="D520" s="137" t="n"/>
      <c r="E520" s="137" t="n"/>
      <c r="F520" s="137" t="n"/>
      <c r="G520" s="137" t="n"/>
      <c r="I520" s="56" t="inlineStr">
        <is>
          <t>NV 22 · CE 3</t>
        </is>
      </c>
      <c r="J520" s="144" t="n"/>
      <c r="K520" s="16" t="n"/>
      <c r="L520" s="17" t="n"/>
      <c r="M520" s="150">
        <f>DADOS_INVOC!$IT$4</f>
        <v/>
      </c>
      <c r="N520" s="16" t="n"/>
      <c r="O520" s="16" t="n"/>
      <c r="P520" s="16" t="n"/>
      <c r="Q520" s="16" t="n"/>
      <c r="R520" s="16" t="n"/>
      <c r="S520" s="16" t="n"/>
      <c r="T520" s="16" t="n"/>
      <c r="U520" s="16" t="n"/>
      <c r="V520" s="16" t="n"/>
      <c r="W520" s="16" t="n"/>
      <c r="X520" s="16" t="n"/>
      <c r="Y520" s="17" t="n"/>
      <c r="Z520" s="137" t="n"/>
      <c r="AB520" s="56" t="inlineStr">
        <is>
          <t>NV 22 · CE 3</t>
        </is>
      </c>
      <c r="AC520" s="144" t="n"/>
      <c r="AD520" s="16" t="n"/>
      <c r="AE520" s="17" t="n"/>
      <c r="AF520" s="150">
        <f>DADOS_INVOC!$IT$10</f>
        <v/>
      </c>
      <c r="AG520" s="16" t="n"/>
      <c r="AH520" s="16" t="n"/>
      <c r="AI520" s="16" t="n"/>
      <c r="AJ520" s="16" t="n"/>
      <c r="AK520" s="16" t="n"/>
      <c r="AL520" s="16" t="n"/>
      <c r="AM520" s="16" t="n"/>
      <c r="AN520" s="16" t="n"/>
      <c r="AO520" s="16" t="n"/>
      <c r="AP520" s="16" t="n"/>
      <c r="AQ520" s="16" t="n"/>
      <c r="AR520" s="17" t="n"/>
      <c r="AS520" s="137" t="n"/>
    </row>
    <row r="521" hidden="1" outlineLevel="1">
      <c r="A521" s="8" t="n"/>
      <c r="B521" s="14" t="n"/>
      <c r="C521" s="137" t="n"/>
      <c r="D521" s="137" t="n"/>
      <c r="E521" s="137" t="n"/>
      <c r="F521" s="137" t="n"/>
      <c r="G521" s="137" t="n"/>
      <c r="I521" s="56" t="inlineStr">
        <is>
          <t>NV 26 · CE 3</t>
        </is>
      </c>
      <c r="J521" s="144" t="n"/>
      <c r="K521" s="16" t="n"/>
      <c r="L521" s="17" t="n"/>
      <c r="M521" s="150">
        <f>DADOS_INVOC!$IU$4</f>
        <v/>
      </c>
      <c r="N521" s="16" t="n"/>
      <c r="O521" s="16" t="n"/>
      <c r="P521" s="16" t="n"/>
      <c r="Q521" s="16" t="n"/>
      <c r="R521" s="16" t="n"/>
      <c r="S521" s="16" t="n"/>
      <c r="T521" s="16" t="n"/>
      <c r="U521" s="16" t="n"/>
      <c r="V521" s="16" t="n"/>
      <c r="W521" s="16" t="n"/>
      <c r="X521" s="16" t="n"/>
      <c r="Y521" s="17" t="n"/>
      <c r="Z521" s="137" t="n"/>
      <c r="AB521" s="56" t="inlineStr">
        <is>
          <t>NV 26 · CE 3</t>
        </is>
      </c>
      <c r="AC521" s="144" t="n"/>
      <c r="AD521" s="16" t="n"/>
      <c r="AE521" s="17" t="n"/>
      <c r="AF521" s="150">
        <f>DADOS_INVOC!$IU$10</f>
        <v/>
      </c>
      <c r="AG521" s="16" t="n"/>
      <c r="AH521" s="16" t="n"/>
      <c r="AI521" s="16" t="n"/>
      <c r="AJ521" s="16" t="n"/>
      <c r="AK521" s="16" t="n"/>
      <c r="AL521" s="16" t="n"/>
      <c r="AM521" s="16" t="n"/>
      <c r="AN521" s="16" t="n"/>
      <c r="AO521" s="16" t="n"/>
      <c r="AP521" s="16" t="n"/>
      <c r="AQ521" s="16" t="n"/>
      <c r="AR521" s="17" t="n"/>
      <c r="AS521" s="137" t="n"/>
    </row>
    <row r="522" hidden="1" outlineLevel="1">
      <c r="A522" s="8" t="n"/>
      <c r="B522" s="14" t="n"/>
      <c r="C522" s="137" t="n"/>
      <c r="D522" s="137" t="n"/>
      <c r="E522" s="137" t="n"/>
      <c r="F522" s="137" t="n"/>
      <c r="G522" s="137" t="n"/>
      <c r="I522" s="56" t="inlineStr">
        <is>
          <t>NV 30 · CE 3</t>
        </is>
      </c>
      <c r="J522" s="144" t="n"/>
      <c r="K522" s="16" t="n"/>
      <c r="L522" s="17" t="n"/>
      <c r="M522" s="150">
        <f>DADOS_INVOC!$IV$4</f>
        <v/>
      </c>
      <c r="N522" s="16" t="n"/>
      <c r="O522" s="16" t="n"/>
      <c r="P522" s="16" t="n"/>
      <c r="Q522" s="16" t="n"/>
      <c r="R522" s="16" t="n"/>
      <c r="S522" s="16" t="n"/>
      <c r="T522" s="16" t="n"/>
      <c r="U522" s="16" t="n"/>
      <c r="V522" s="16" t="n"/>
      <c r="W522" s="16" t="n"/>
      <c r="X522" s="16" t="n"/>
      <c r="Y522" s="17" t="n"/>
      <c r="Z522" s="137" t="n"/>
      <c r="AB522" s="56" t="inlineStr">
        <is>
          <t>NV 30 · CE 3</t>
        </is>
      </c>
      <c r="AC522" s="144" t="n"/>
      <c r="AD522" s="16" t="n"/>
      <c r="AE522" s="17" t="n"/>
      <c r="AF522" s="150">
        <f>DADOS_INVOC!$IV$10</f>
        <v/>
      </c>
      <c r="AG522" s="16" t="n"/>
      <c r="AH522" s="16" t="n"/>
      <c r="AI522" s="16" t="n"/>
      <c r="AJ522" s="16" t="n"/>
      <c r="AK522" s="16" t="n"/>
      <c r="AL522" s="16" t="n"/>
      <c r="AM522" s="16" t="n"/>
      <c r="AN522" s="16" t="n"/>
      <c r="AO522" s="16" t="n"/>
      <c r="AP522" s="16" t="n"/>
      <c r="AQ522" s="16" t="n"/>
      <c r="AR522" s="17" t="n"/>
      <c r="AS522" s="137" t="n"/>
    </row>
    <row r="523" hidden="1" outlineLevel="1">
      <c r="A523" s="8" t="n"/>
      <c r="B523" s="14" t="n"/>
      <c r="C523" s="137" t="n"/>
      <c r="D523" s="137" t="n"/>
      <c r="E523" s="137" t="n"/>
      <c r="F523" s="137" t="n"/>
      <c r="G523" s="137" t="n"/>
      <c r="I523" s="137" t="n"/>
      <c r="J523" s="137" t="n"/>
      <c r="K523" s="137" t="n"/>
      <c r="L523" s="137" t="n"/>
      <c r="M523" s="137" t="n"/>
      <c r="N523" s="137" t="n"/>
      <c r="O523" s="137" t="n"/>
      <c r="P523" s="137" t="n"/>
      <c r="Q523" s="137" t="n"/>
      <c r="R523" s="137" t="n"/>
      <c r="S523" s="137" t="n"/>
      <c r="T523" s="137" t="n"/>
      <c r="U523" s="137" t="n"/>
      <c r="V523" s="137" t="n"/>
      <c r="W523" s="137" t="n"/>
      <c r="X523" s="137" t="n"/>
      <c r="Y523" s="137" t="n"/>
      <c r="Z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37" t="n"/>
      <c r="AS523" s="137" t="n"/>
    </row>
    <row r="524" hidden="1" outlineLevel="1">
      <c r="A524" s="8" t="n"/>
      <c r="B524" s="14" t="n"/>
      <c r="C524" s="137" t="n"/>
      <c r="D524" s="137" t="n"/>
      <c r="E524" s="137" t="n"/>
      <c r="F524" s="137" t="n"/>
      <c r="G524" s="137" t="n"/>
      <c r="I524" s="146" t="inlineStr">
        <is>
          <t>MAIS HABILIDADES · a segunda básica no nível 11, e as especiais 3 a 8, do nível 8 ao 28</t>
        </is>
      </c>
      <c r="J524" s="16" t="n"/>
      <c r="K524" s="16" t="n"/>
      <c r="L524" s="16" t="n"/>
      <c r="M524" s="16" t="n"/>
      <c r="N524" s="16" t="n"/>
      <c r="O524" s="16" t="n"/>
      <c r="P524" s="16" t="n"/>
      <c r="Q524" s="16" t="n"/>
      <c r="R524" s="16" t="n"/>
      <c r="S524" s="16" t="n"/>
      <c r="T524" s="16" t="n"/>
      <c r="U524" s="16" t="n"/>
      <c r="V524" s="16" t="n"/>
      <c r="W524" s="16" t="n"/>
      <c r="X524" s="16" t="n"/>
      <c r="Y524" s="17" t="n"/>
      <c r="Z524" s="137" t="n"/>
      <c r="AB524" s="146" t="inlineStr">
        <is>
          <t>MAIS HABILIDADES · a segunda básica no nível 11, e as especiais 3 a 8, do nível 8 ao 28</t>
        </is>
      </c>
      <c r="AC524" s="16" t="n"/>
      <c r="AD524" s="16" t="n"/>
      <c r="AE524" s="16" t="n"/>
      <c r="AF524" s="16" t="n"/>
      <c r="AG524" s="16" t="n"/>
      <c r="AH524" s="16" t="n"/>
      <c r="AI524" s="16" t="n"/>
      <c r="AJ524" s="16" t="n"/>
      <c r="AK524" s="16" t="n"/>
      <c r="AL524" s="16" t="n"/>
      <c r="AM524" s="16" t="n"/>
      <c r="AN524" s="16" t="n"/>
      <c r="AO524" s="16" t="n"/>
      <c r="AP524" s="16" t="n"/>
      <c r="AQ524" s="16" t="n"/>
      <c r="AR524" s="17" t="n"/>
      <c r="AS524" s="137" t="n"/>
    </row>
    <row r="525" hidden="1" outlineLevel="2">
      <c r="A525" s="8" t="n"/>
      <c r="B525" s="14" t="n"/>
      <c r="C525" s="137" t="n"/>
      <c r="D525" s="137" t="n"/>
      <c r="E525" s="137" t="n"/>
      <c r="F525" s="137" t="n"/>
      <c r="G525" s="137" t="n"/>
      <c r="I525" s="137" t="n"/>
      <c r="J525" s="137" t="n"/>
      <c r="K525" s="137" t="n"/>
      <c r="L525" s="137" t="n"/>
      <c r="M525" s="137" t="n"/>
      <c r="N525" s="137" t="n"/>
      <c r="O525" s="137" t="n"/>
      <c r="P525" s="137" t="n"/>
      <c r="Q525" s="137" t="n"/>
      <c r="R525" s="137" t="n"/>
      <c r="S525" s="137" t="n"/>
      <c r="T525" s="137" t="n"/>
      <c r="U525" s="137" t="n"/>
      <c r="V525" s="137" t="n"/>
      <c r="W525" s="137" t="n"/>
      <c r="X525" s="137" t="n"/>
      <c r="Y525" s="137" t="n"/>
      <c r="Z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37" t="n"/>
      <c r="AS525" s="137" t="n"/>
    </row>
    <row r="526" hidden="1" outlineLevel="2">
      <c r="A526" s="8" t="n"/>
      <c r="B526" s="14" t="n"/>
      <c r="C526" s="137" t="n"/>
      <c r="D526" s="137" t="n"/>
      <c r="E526" s="137" t="n"/>
      <c r="F526" s="137" t="n"/>
      <c r="G526" s="137" t="n"/>
      <c r="I526" s="56">
        <f>DADOS_INVOC!$PZ$31</f>
        <v/>
      </c>
      <c r="J526" s="16" t="n"/>
      <c r="K526" s="16" t="n"/>
      <c r="L526" s="16" t="n"/>
      <c r="M526" s="17" t="n"/>
      <c r="N526" s="137" t="n"/>
      <c r="O526" s="56">
        <f>DADOS_INVOC!$PZ$32</f>
        <v/>
      </c>
      <c r="P526" s="16" t="n"/>
      <c r="Q526" s="16" t="n"/>
      <c r="R526" s="16" t="n"/>
      <c r="S526" s="17" t="n"/>
      <c r="T526" s="137" t="n"/>
      <c r="U526" s="56">
        <f>DADOS_INVOC!$PZ$33</f>
        <v/>
      </c>
      <c r="V526" s="16" t="n"/>
      <c r="W526" s="16" t="n"/>
      <c r="X526" s="16" t="n"/>
      <c r="Y526" s="17" t="n"/>
      <c r="Z526" s="137" t="n"/>
      <c r="AB526" s="56">
        <f>DADOS_INVOC!$PZ$109</f>
        <v/>
      </c>
      <c r="AC526" s="16" t="n"/>
      <c r="AD526" s="16" t="n"/>
      <c r="AE526" s="16" t="n"/>
      <c r="AF526" s="17" t="n"/>
      <c r="AG526" s="137" t="n"/>
      <c r="AH526" s="56">
        <f>DADOS_INVOC!$PZ$110</f>
        <v/>
      </c>
      <c r="AI526" s="16" t="n"/>
      <c r="AJ526" s="16" t="n"/>
      <c r="AK526" s="16" t="n"/>
      <c r="AL526" s="17" t="n"/>
      <c r="AM526" s="137" t="n"/>
      <c r="AN526" s="56">
        <f>DADOS_INVOC!$PZ$111</f>
        <v/>
      </c>
      <c r="AO526" s="16" t="n"/>
      <c r="AP526" s="16" t="n"/>
      <c r="AQ526" s="16" t="n"/>
      <c r="AR526" s="17" t="n"/>
      <c r="AS526" s="137" t="n"/>
    </row>
    <row r="527" hidden="1" outlineLevel="2">
      <c r="A527" s="8" t="n"/>
      <c r="B527" s="14" t="n"/>
      <c r="C527" s="137" t="n"/>
      <c r="D527" s="137" t="n"/>
      <c r="E527" s="137" t="n"/>
      <c r="F527" s="137" t="n"/>
      <c r="G527" s="137" t="n"/>
      <c r="I527" s="141" t="n">
        <v>0</v>
      </c>
      <c r="J527" s="131" t="n"/>
      <c r="K527" s="16" t="n"/>
      <c r="L527" s="17" t="n"/>
      <c r="M527" s="142">
        <f>DADOS_INVOC!$PX$31</f>
        <v/>
      </c>
      <c r="N527" s="137" t="n"/>
      <c r="O527" s="141" t="n">
        <v>1</v>
      </c>
      <c r="P527" s="131" t="n"/>
      <c r="Q527" s="16" t="n"/>
      <c r="R527" s="17" t="n"/>
      <c r="S527" s="142">
        <f>DADOS_INVOC!$PX$32</f>
        <v/>
      </c>
      <c r="T527" s="137" t="n"/>
      <c r="U527" s="141" t="n">
        <v>1</v>
      </c>
      <c r="V527" s="131" t="n"/>
      <c r="W527" s="16" t="n"/>
      <c r="X527" s="17" t="n"/>
      <c r="Y527" s="142">
        <f>DADOS_INVOC!$PX$33</f>
        <v/>
      </c>
      <c r="Z527" s="137" t="n"/>
      <c r="AB527" s="141" t="n">
        <v>0</v>
      </c>
      <c r="AC527" s="131" t="n"/>
      <c r="AD527" s="16" t="n"/>
      <c r="AE527" s="17" t="n"/>
      <c r="AF527" s="142">
        <f>DADOS_INVOC!$PX$109</f>
        <v/>
      </c>
      <c r="AG527" s="137" t="n"/>
      <c r="AH527" s="141" t="n">
        <v>1</v>
      </c>
      <c r="AI527" s="131" t="n"/>
      <c r="AJ527" s="16" t="n"/>
      <c r="AK527" s="17" t="n"/>
      <c r="AL527" s="142">
        <f>DADOS_INVOC!$PX$110</f>
        <v/>
      </c>
      <c r="AM527" s="137" t="n"/>
      <c r="AN527" s="141" t="n">
        <v>1</v>
      </c>
      <c r="AO527" s="131" t="n"/>
      <c r="AP527" s="16" t="n"/>
      <c r="AQ527" s="17" t="n"/>
      <c r="AR527" s="142">
        <f>DADOS_INVOC!$PX$111</f>
        <v/>
      </c>
      <c r="AS527" s="137" t="n"/>
    </row>
    <row r="528" hidden="1" outlineLevel="3">
      <c r="A528" s="8" t="n"/>
      <c r="B528" s="14" t="n"/>
      <c r="C528" s="137" t="n"/>
      <c r="D528" s="137" t="n"/>
      <c r="E528" s="137" t="n"/>
      <c r="F528" s="137" t="n"/>
      <c r="G528" s="137" t="n"/>
      <c r="I528" s="56" t="inlineStr">
        <is>
          <t>COMO É</t>
        </is>
      </c>
      <c r="J528" s="16" t="n"/>
      <c r="K528" s="16" t="n"/>
      <c r="L528" s="16" t="n"/>
      <c r="M528" s="17" t="n"/>
      <c r="N528" s="137" t="n"/>
      <c r="O528" s="56" t="inlineStr">
        <is>
          <t>COMO É</t>
        </is>
      </c>
      <c r="P528" s="16" t="n"/>
      <c r="Q528" s="16" t="n"/>
      <c r="R528" s="16" t="n"/>
      <c r="S528" s="17" t="n"/>
      <c r="T528" s="137" t="n"/>
      <c r="U528" s="56" t="inlineStr">
        <is>
          <t>COMO É</t>
        </is>
      </c>
      <c r="V528" s="16" t="n"/>
      <c r="W528" s="16" t="n"/>
      <c r="X528" s="16" t="n"/>
      <c r="Y528" s="17" t="n"/>
      <c r="Z528" s="137" t="n"/>
      <c r="AB528" s="56" t="inlineStr">
        <is>
          <t>COMO É</t>
        </is>
      </c>
      <c r="AC528" s="16" t="n"/>
      <c r="AD528" s="16" t="n"/>
      <c r="AE528" s="16" t="n"/>
      <c r="AF528" s="17" t="n"/>
      <c r="AG528" s="137" t="n"/>
      <c r="AH528" s="56" t="inlineStr">
        <is>
          <t>COMO É</t>
        </is>
      </c>
      <c r="AI528" s="16" t="n"/>
      <c r="AJ528" s="16" t="n"/>
      <c r="AK528" s="16" t="n"/>
      <c r="AL528" s="17" t="n"/>
      <c r="AM528" s="137" t="n"/>
      <c r="AN528" s="56" t="inlineStr">
        <is>
          <t>COMO É</t>
        </is>
      </c>
      <c r="AO528" s="16" t="n"/>
      <c r="AP528" s="16" t="n"/>
      <c r="AQ528" s="16" t="n"/>
      <c r="AR528" s="17" t="n"/>
      <c r="AS528" s="137" t="n"/>
    </row>
    <row r="529" hidden="1" outlineLevel="3">
      <c r="A529" s="8" t="n"/>
      <c r="B529" s="14" t="n"/>
      <c r="C529" s="137" t="n"/>
      <c r="D529" s="137" t="n"/>
      <c r="E529" s="137" t="n"/>
      <c r="F529" s="137" t="n"/>
      <c r="G529" s="137" t="n"/>
      <c r="I529" s="61" t="n"/>
      <c r="J529" s="19" t="n"/>
      <c r="K529" s="19" t="n"/>
      <c r="L529" s="19" t="n"/>
      <c r="M529" s="20" t="n"/>
      <c r="N529" s="137" t="n"/>
      <c r="O529" s="61" t="n"/>
      <c r="P529" s="19" t="n"/>
      <c r="Q529" s="19" t="n"/>
      <c r="R529" s="19" t="n"/>
      <c r="S529" s="20" t="n"/>
      <c r="T529" s="137" t="n"/>
      <c r="U529" s="61" t="n"/>
      <c r="V529" s="19" t="n"/>
      <c r="W529" s="19" t="n"/>
      <c r="X529" s="19" t="n"/>
      <c r="Y529" s="20" t="n"/>
      <c r="Z529" s="137" t="n"/>
      <c r="AB529" s="61" t="n"/>
      <c r="AC529" s="19" t="n"/>
      <c r="AD529" s="19" t="n"/>
      <c r="AE529" s="19" t="n"/>
      <c r="AF529" s="20" t="n"/>
      <c r="AG529" s="137" t="n"/>
      <c r="AH529" s="61" t="n"/>
      <c r="AI529" s="19" t="n"/>
      <c r="AJ529" s="19" t="n"/>
      <c r="AK529" s="19" t="n"/>
      <c r="AL529" s="20" t="n"/>
      <c r="AM529" s="137" t="n"/>
      <c r="AN529" s="61" t="n"/>
      <c r="AO529" s="19" t="n"/>
      <c r="AP529" s="19" t="n"/>
      <c r="AQ529" s="19" t="n"/>
      <c r="AR529" s="20" t="n"/>
      <c r="AS529" s="137" t="n"/>
    </row>
    <row r="530" hidden="1" outlineLevel="3">
      <c r="A530" s="8" t="n"/>
      <c r="B530" s="14" t="n"/>
      <c r="C530" s="137" t="n"/>
      <c r="D530" s="137" t="n"/>
      <c r="E530" s="137" t="n"/>
      <c r="F530" s="137" t="n"/>
      <c r="G530" s="137" t="n"/>
      <c r="I530" s="21" t="n"/>
      <c r="M530" s="22" t="n"/>
      <c r="N530" s="137" t="n"/>
      <c r="O530" s="21" t="n"/>
      <c r="S530" s="22" t="n"/>
      <c r="T530" s="137" t="n"/>
      <c r="U530" s="21" t="n"/>
      <c r="Y530" s="22" t="n"/>
      <c r="Z530" s="137" t="n"/>
      <c r="AB530" s="21" t="n"/>
      <c r="AF530" s="22" t="n"/>
      <c r="AG530" s="137" t="n"/>
      <c r="AH530" s="21" t="n"/>
      <c r="AL530" s="22" t="n"/>
      <c r="AM530" s="137" t="n"/>
      <c r="AN530" s="21" t="n"/>
      <c r="AR530" s="22" t="n"/>
      <c r="AS530" s="137" t="n"/>
    </row>
    <row r="531" hidden="1" outlineLevel="3">
      <c r="A531" s="8" t="n"/>
      <c r="B531" s="14" t="n"/>
      <c r="C531" s="137" t="n"/>
      <c r="D531" s="137" t="n"/>
      <c r="E531" s="137" t="n"/>
      <c r="F531" s="137" t="n"/>
      <c r="G531" s="137" t="n"/>
      <c r="I531" s="23" t="n"/>
      <c r="J531" s="24" t="n"/>
      <c r="K531" s="24" t="n"/>
      <c r="L531" s="24" t="n"/>
      <c r="M531" s="25" t="n"/>
      <c r="N531" s="137" t="n"/>
      <c r="O531" s="23" t="n"/>
      <c r="P531" s="24" t="n"/>
      <c r="Q531" s="24" t="n"/>
      <c r="R531" s="24" t="n"/>
      <c r="S531" s="25" t="n"/>
      <c r="T531" s="137" t="n"/>
      <c r="U531" s="23" t="n"/>
      <c r="V531" s="24" t="n"/>
      <c r="W531" s="24" t="n"/>
      <c r="X531" s="24" t="n"/>
      <c r="Y531" s="25" t="n"/>
      <c r="Z531" s="137" t="n"/>
      <c r="AB531" s="23" t="n"/>
      <c r="AC531" s="24" t="n"/>
      <c r="AD531" s="24" t="n"/>
      <c r="AE531" s="24" t="n"/>
      <c r="AF531" s="25" t="n"/>
      <c r="AG531" s="137" t="n"/>
      <c r="AH531" s="23" t="n"/>
      <c r="AI531" s="24" t="n"/>
      <c r="AJ531" s="24" t="n"/>
      <c r="AK531" s="24" t="n"/>
      <c r="AL531" s="25" t="n"/>
      <c r="AM531" s="137" t="n"/>
      <c r="AN531" s="23" t="n"/>
      <c r="AO531" s="24" t="n"/>
      <c r="AP531" s="24" t="n"/>
      <c r="AQ531" s="24" t="n"/>
      <c r="AR531" s="25" t="n"/>
      <c r="AS531" s="137" t="n"/>
    </row>
    <row r="532" hidden="1" outlineLevel="2">
      <c r="A532" s="8" t="n"/>
      <c r="B532" s="14" t="n"/>
      <c r="C532" s="137" t="n"/>
      <c r="D532" s="137" t="n"/>
      <c r="E532" s="137" t="n"/>
      <c r="F532" s="137" t="n"/>
      <c r="G532" s="137" t="n"/>
      <c r="I532" s="95" t="inlineStr">
        <is>
          <t>Projétil</t>
        </is>
      </c>
      <c r="J532" s="17" t="n"/>
      <c r="K532" s="71">
        <f>DADOS_INVOC!$QE$31</f>
        <v/>
      </c>
      <c r="L532" s="17" t="n"/>
      <c r="M532" s="71">
        <f>DADOS_INVOC!$QA$31</f>
        <v/>
      </c>
      <c r="N532" s="137" t="n"/>
      <c r="O532" s="95" t="inlineStr">
        <is>
          <t>Projétil</t>
        </is>
      </c>
      <c r="P532" s="17" t="n"/>
      <c r="Q532" s="71">
        <f>DADOS_INVOC!$QE$32</f>
        <v/>
      </c>
      <c r="R532" s="17" t="n"/>
      <c r="S532" s="71">
        <f>DADOS_INVOC!$QA$32</f>
        <v/>
      </c>
      <c r="T532" s="137" t="n"/>
      <c r="U532" s="95" t="inlineStr">
        <is>
          <t>Projétil</t>
        </is>
      </c>
      <c r="V532" s="17" t="n"/>
      <c r="W532" s="71">
        <f>DADOS_INVOC!$QE$33</f>
        <v/>
      </c>
      <c r="X532" s="17" t="n"/>
      <c r="Y532" s="71">
        <f>DADOS_INVOC!$QA$33</f>
        <v/>
      </c>
      <c r="Z532" s="137" t="n"/>
      <c r="AB532" s="95" t="inlineStr">
        <is>
          <t>Projétil</t>
        </is>
      </c>
      <c r="AC532" s="17" t="n"/>
      <c r="AD532" s="71">
        <f>DADOS_INVOC!$QE$109</f>
        <v/>
      </c>
      <c r="AE532" s="17" t="n"/>
      <c r="AF532" s="71">
        <f>DADOS_INVOC!$QA$109</f>
        <v/>
      </c>
      <c r="AG532" s="137" t="n"/>
      <c r="AH532" s="95" t="inlineStr">
        <is>
          <t>Projétil</t>
        </is>
      </c>
      <c r="AI532" s="17" t="n"/>
      <c r="AJ532" s="71">
        <f>DADOS_INVOC!$QE$110</f>
        <v/>
      </c>
      <c r="AK532" s="17" t="n"/>
      <c r="AL532" s="71">
        <f>DADOS_INVOC!$QA$110</f>
        <v/>
      </c>
      <c r="AM532" s="137" t="n"/>
      <c r="AN532" s="95" t="inlineStr">
        <is>
          <t>Projétil</t>
        </is>
      </c>
      <c r="AO532" s="17" t="n"/>
      <c r="AP532" s="71">
        <f>DADOS_INVOC!$QE$111</f>
        <v/>
      </c>
      <c r="AQ532" s="17" t="n"/>
      <c r="AR532" s="71">
        <f>DADOS_INVOC!$QA$111</f>
        <v/>
      </c>
      <c r="AS532" s="137" t="n"/>
    </row>
    <row r="533" hidden="1" outlineLevel="2">
      <c r="A533" s="8" t="n"/>
      <c r="B533" s="14" t="n"/>
      <c r="C533" s="137" t="n"/>
      <c r="D533" s="137" t="n"/>
      <c r="E533" s="137" t="n"/>
      <c r="F533" s="137" t="n"/>
      <c r="G533" s="137" t="n"/>
      <c r="I533" s="95" t="n"/>
      <c r="J533" s="17" t="n"/>
      <c r="K533" s="95" t="n"/>
      <c r="L533" s="16" t="n"/>
      <c r="M533" s="17" t="n"/>
      <c r="N533" s="137" t="n"/>
      <c r="O533" s="95" t="n"/>
      <c r="P533" s="17" t="n"/>
      <c r="Q533" s="95" t="n"/>
      <c r="R533" s="16" t="n"/>
      <c r="S533" s="17" t="n"/>
      <c r="T533" s="137" t="n"/>
      <c r="U533" s="95" t="n"/>
      <c r="V533" s="17" t="n"/>
      <c r="W533" s="95" t="n"/>
      <c r="X533" s="16" t="n"/>
      <c r="Y533" s="17" t="n"/>
      <c r="Z533" s="137" t="n"/>
      <c r="AB533" s="95" t="n"/>
      <c r="AC533" s="17" t="n"/>
      <c r="AD533" s="95" t="n"/>
      <c r="AE533" s="16" t="n"/>
      <c r="AF533" s="17" t="n"/>
      <c r="AG533" s="137" t="n"/>
      <c r="AH533" s="95" t="n"/>
      <c r="AI533" s="17" t="n"/>
      <c r="AJ533" s="95" t="n"/>
      <c r="AK533" s="16" t="n"/>
      <c r="AL533" s="17" t="n"/>
      <c r="AM533" s="137" t="n"/>
      <c r="AN533" s="95" t="n"/>
      <c r="AO533" s="17" t="n"/>
      <c r="AP533" s="95" t="n"/>
      <c r="AQ533" s="16" t="n"/>
      <c r="AR533" s="17" t="n"/>
      <c r="AS533" s="137" t="n"/>
    </row>
    <row r="534" hidden="1" outlineLevel="2">
      <c r="A534" s="8" t="n"/>
      <c r="B534" s="14" t="n"/>
      <c r="C534" s="137" t="n"/>
      <c r="D534" s="137" t="n"/>
      <c r="E534" s="137" t="n"/>
      <c r="F534" s="137" t="n"/>
      <c r="G534" s="137" t="n"/>
      <c r="I534" s="95">
        <f>DADOS_INVOC!$QB$31</f>
        <v/>
      </c>
      <c r="J534" s="17" t="n"/>
      <c r="K534" s="95">
        <f>DADOS_INVOC!$QD$31</f>
        <v/>
      </c>
      <c r="L534" s="16" t="n"/>
      <c r="M534" s="17" t="n"/>
      <c r="N534" s="137" t="n"/>
      <c r="O534" s="95">
        <f>DADOS_INVOC!$QB$32</f>
        <v/>
      </c>
      <c r="P534" s="17" t="n"/>
      <c r="Q534" s="95">
        <f>DADOS_INVOC!$QD$32</f>
        <v/>
      </c>
      <c r="R534" s="16" t="n"/>
      <c r="S534" s="17" t="n"/>
      <c r="T534" s="137" t="n"/>
      <c r="U534" s="95">
        <f>DADOS_INVOC!$QB$33</f>
        <v/>
      </c>
      <c r="V534" s="17" t="n"/>
      <c r="W534" s="95">
        <f>DADOS_INVOC!$QD$33</f>
        <v/>
      </c>
      <c r="X534" s="16" t="n"/>
      <c r="Y534" s="17" t="n"/>
      <c r="Z534" s="137" t="n"/>
      <c r="AB534" s="95">
        <f>DADOS_INVOC!$QB$109</f>
        <v/>
      </c>
      <c r="AC534" s="17" t="n"/>
      <c r="AD534" s="95">
        <f>DADOS_INVOC!$QD$109</f>
        <v/>
      </c>
      <c r="AE534" s="16" t="n"/>
      <c r="AF534" s="17" t="n"/>
      <c r="AG534" s="137" t="n"/>
      <c r="AH534" s="95">
        <f>DADOS_INVOC!$QB$110</f>
        <v/>
      </c>
      <c r="AI534" s="17" t="n"/>
      <c r="AJ534" s="95">
        <f>DADOS_INVOC!$QD$110</f>
        <v/>
      </c>
      <c r="AK534" s="16" t="n"/>
      <c r="AL534" s="17" t="n"/>
      <c r="AM534" s="137" t="n"/>
      <c r="AN534" s="95">
        <f>DADOS_INVOC!$QB$111</f>
        <v/>
      </c>
      <c r="AO534" s="17" t="n"/>
      <c r="AP534" s="95">
        <f>DADOS_INVOC!$QD$111</f>
        <v/>
      </c>
      <c r="AQ534" s="16" t="n"/>
      <c r="AR534" s="17" t="n"/>
      <c r="AS534" s="137" t="n"/>
    </row>
    <row r="535" hidden="1" outlineLevel="2">
      <c r="A535" s="8" t="n"/>
      <c r="B535" s="14" t="n"/>
      <c r="C535" s="137" t="n"/>
      <c r="D535" s="137" t="n"/>
      <c r="E535" s="137" t="n"/>
      <c r="F535" s="137" t="n"/>
      <c r="G535" s="137" t="n"/>
      <c r="I535" s="143">
        <f>DADOS_INVOC!$QJ$31</f>
        <v/>
      </c>
      <c r="J535" s="16" t="n"/>
      <c r="K535" s="16" t="n"/>
      <c r="L535" s="16" t="n"/>
      <c r="M535" s="17" t="n"/>
      <c r="N535" s="137" t="n"/>
      <c r="O535" s="143">
        <f>DADOS_INVOC!$QJ$32</f>
        <v/>
      </c>
      <c r="P535" s="16" t="n"/>
      <c r="Q535" s="16" t="n"/>
      <c r="R535" s="16" t="n"/>
      <c r="S535" s="17" t="n"/>
      <c r="T535" s="137" t="n"/>
      <c r="U535" s="143">
        <f>DADOS_INVOC!$QJ$33</f>
        <v/>
      </c>
      <c r="V535" s="16" t="n"/>
      <c r="W535" s="16" t="n"/>
      <c r="X535" s="16" t="n"/>
      <c r="Y535" s="17" t="n"/>
      <c r="Z535" s="137" t="n"/>
      <c r="AB535" s="143">
        <f>DADOS_INVOC!$QJ$109</f>
        <v/>
      </c>
      <c r="AC535" s="16" t="n"/>
      <c r="AD535" s="16" t="n"/>
      <c r="AE535" s="16" t="n"/>
      <c r="AF535" s="17" t="n"/>
      <c r="AG535" s="137" t="n"/>
      <c r="AH535" s="143">
        <f>DADOS_INVOC!$QJ$110</f>
        <v/>
      </c>
      <c r="AI535" s="16" t="n"/>
      <c r="AJ535" s="16" t="n"/>
      <c r="AK535" s="16" t="n"/>
      <c r="AL535" s="17" t="n"/>
      <c r="AM535" s="137" t="n"/>
      <c r="AN535" s="143">
        <f>DADOS_INVOC!$QJ$111</f>
        <v/>
      </c>
      <c r="AO535" s="16" t="n"/>
      <c r="AP535" s="16" t="n"/>
      <c r="AQ535" s="16" t="n"/>
      <c r="AR535" s="17" t="n"/>
      <c r="AS535" s="137" t="n"/>
    </row>
    <row r="536" hidden="1" outlineLevel="3">
      <c r="A536" s="8" t="n"/>
      <c r="B536" s="14" t="n"/>
      <c r="C536" s="137" t="n"/>
      <c r="D536" s="137" t="n"/>
      <c r="E536" s="137" t="n"/>
      <c r="F536" s="137" t="n"/>
      <c r="G536" s="137" t="n"/>
      <c r="I536" s="56" t="inlineStr">
        <is>
          <t>MELHORIAS</t>
        </is>
      </c>
      <c r="J536" s="144" t="n"/>
      <c r="K536" s="16" t="n"/>
      <c r="L536" s="17" t="n"/>
      <c r="M536" s="143">
        <f>DADOS_INVOC!$QM$31</f>
        <v/>
      </c>
      <c r="N536" s="137" t="n"/>
      <c r="O536" s="56" t="inlineStr">
        <is>
          <t>MELHORIAS</t>
        </is>
      </c>
      <c r="P536" s="144" t="n"/>
      <c r="Q536" s="16" t="n"/>
      <c r="R536" s="17" t="n"/>
      <c r="S536" s="143">
        <f>DADOS_INVOC!$QM$32</f>
        <v/>
      </c>
      <c r="T536" s="137" t="n"/>
      <c r="U536" s="56" t="inlineStr">
        <is>
          <t>MELHORIAS</t>
        </is>
      </c>
      <c r="V536" s="144" t="n"/>
      <c r="W536" s="16" t="n"/>
      <c r="X536" s="17" t="n"/>
      <c r="Y536" s="143">
        <f>DADOS_INVOC!$QM$33</f>
        <v/>
      </c>
      <c r="Z536" s="137" t="n"/>
      <c r="AB536" s="56" t="inlineStr">
        <is>
          <t>MELHORIAS</t>
        </is>
      </c>
      <c r="AC536" s="144" t="n"/>
      <c r="AD536" s="16" t="n"/>
      <c r="AE536" s="17" t="n"/>
      <c r="AF536" s="143">
        <f>DADOS_INVOC!$QM$109</f>
        <v/>
      </c>
      <c r="AG536" s="137" t="n"/>
      <c r="AH536" s="56" t="inlineStr">
        <is>
          <t>MELHORIAS</t>
        </is>
      </c>
      <c r="AI536" s="144" t="n"/>
      <c r="AJ536" s="16" t="n"/>
      <c r="AK536" s="17" t="n"/>
      <c r="AL536" s="143">
        <f>DADOS_INVOC!$QM$110</f>
        <v/>
      </c>
      <c r="AM536" s="137" t="n"/>
      <c r="AN536" s="56" t="inlineStr">
        <is>
          <t>MELHORIAS</t>
        </is>
      </c>
      <c r="AO536" s="144" t="n"/>
      <c r="AP536" s="16" t="n"/>
      <c r="AQ536" s="17" t="n"/>
      <c r="AR536" s="143">
        <f>DADOS_INVOC!$QM$111</f>
        <v/>
      </c>
      <c r="AS536" s="137" t="n"/>
    </row>
    <row r="537" hidden="1" outlineLevel="3">
      <c r="A537" s="8" t="n"/>
      <c r="B537" s="14" t="n"/>
      <c r="C537" s="137" t="n"/>
      <c r="D537" s="137" t="n"/>
      <c r="E537" s="137" t="n"/>
      <c r="F537" s="137" t="n"/>
      <c r="G537" s="137" t="n"/>
      <c r="I537" s="66" t="n"/>
      <c r="J537" s="144" t="n"/>
      <c r="K537" s="16" t="n"/>
      <c r="L537" s="17" t="n"/>
      <c r="M537" s="143">
        <f>DADOS_INVOC!$QN$31</f>
        <v/>
      </c>
      <c r="N537" s="137" t="n"/>
      <c r="O537" s="66" t="n"/>
      <c r="P537" s="144" t="n"/>
      <c r="Q537" s="16" t="n"/>
      <c r="R537" s="17" t="n"/>
      <c r="S537" s="143">
        <f>DADOS_INVOC!$QN$32</f>
        <v/>
      </c>
      <c r="T537" s="137" t="n"/>
      <c r="U537" s="66" t="n"/>
      <c r="V537" s="144" t="n"/>
      <c r="W537" s="16" t="n"/>
      <c r="X537" s="17" t="n"/>
      <c r="Y537" s="143">
        <f>DADOS_INVOC!$QN$33</f>
        <v/>
      </c>
      <c r="Z537" s="137" t="n"/>
      <c r="AB537" s="66" t="n"/>
      <c r="AC537" s="144" t="n"/>
      <c r="AD537" s="16" t="n"/>
      <c r="AE537" s="17" t="n"/>
      <c r="AF537" s="143">
        <f>DADOS_INVOC!$QN$109</f>
        <v/>
      </c>
      <c r="AG537" s="137" t="n"/>
      <c r="AH537" s="66" t="n"/>
      <c r="AI537" s="144" t="n"/>
      <c r="AJ537" s="16" t="n"/>
      <c r="AK537" s="17" t="n"/>
      <c r="AL537" s="143">
        <f>DADOS_INVOC!$QN$110</f>
        <v/>
      </c>
      <c r="AM537" s="137" t="n"/>
      <c r="AN537" s="66" t="n"/>
      <c r="AO537" s="144" t="n"/>
      <c r="AP537" s="16" t="n"/>
      <c r="AQ537" s="17" t="n"/>
      <c r="AR537" s="143">
        <f>DADOS_INVOC!$QN$111</f>
        <v/>
      </c>
      <c r="AS537" s="137" t="n"/>
    </row>
    <row r="538" hidden="1" outlineLevel="3">
      <c r="A538" s="8" t="n"/>
      <c r="B538" s="14" t="n"/>
      <c r="C538" s="137" t="n"/>
      <c r="D538" s="137" t="n"/>
      <c r="E538" s="137" t="n"/>
      <c r="F538" s="137" t="n"/>
      <c r="G538" s="137" t="n"/>
      <c r="I538" s="66" t="n"/>
      <c r="J538" s="144" t="n"/>
      <c r="K538" s="16" t="n"/>
      <c r="L538" s="17" t="n"/>
      <c r="M538" s="143">
        <f>DADOS_INVOC!$QO$31</f>
        <v/>
      </c>
      <c r="N538" s="137" t="n"/>
      <c r="O538" s="66" t="n"/>
      <c r="P538" s="144" t="n"/>
      <c r="Q538" s="16" t="n"/>
      <c r="R538" s="17" t="n"/>
      <c r="S538" s="143">
        <f>DADOS_INVOC!$QO$32</f>
        <v/>
      </c>
      <c r="T538" s="137" t="n"/>
      <c r="U538" s="66" t="n"/>
      <c r="V538" s="144" t="n"/>
      <c r="W538" s="16" t="n"/>
      <c r="X538" s="17" t="n"/>
      <c r="Y538" s="143">
        <f>DADOS_INVOC!$QO$33</f>
        <v/>
      </c>
      <c r="Z538" s="137" t="n"/>
      <c r="AB538" s="66" t="n"/>
      <c r="AC538" s="144" t="n"/>
      <c r="AD538" s="16" t="n"/>
      <c r="AE538" s="17" t="n"/>
      <c r="AF538" s="143">
        <f>DADOS_INVOC!$QO$109</f>
        <v/>
      </c>
      <c r="AG538" s="137" t="n"/>
      <c r="AH538" s="66" t="n"/>
      <c r="AI538" s="144" t="n"/>
      <c r="AJ538" s="16" t="n"/>
      <c r="AK538" s="17" t="n"/>
      <c r="AL538" s="143">
        <f>DADOS_INVOC!$QO$110</f>
        <v/>
      </c>
      <c r="AM538" s="137" t="n"/>
      <c r="AN538" s="66" t="n"/>
      <c r="AO538" s="144" t="n"/>
      <c r="AP538" s="16" t="n"/>
      <c r="AQ538" s="17" t="n"/>
      <c r="AR538" s="143">
        <f>DADOS_INVOC!$QO$111</f>
        <v/>
      </c>
      <c r="AS538" s="137" t="n"/>
    </row>
    <row r="539" hidden="1" outlineLevel="3">
      <c r="A539" s="8" t="n"/>
      <c r="B539" s="14" t="n"/>
      <c r="C539" s="137" t="n"/>
      <c r="D539" s="137" t="n"/>
      <c r="E539" s="137" t="n"/>
      <c r="F539" s="137" t="n"/>
      <c r="G539" s="137" t="n"/>
      <c r="I539" s="128" t="n"/>
      <c r="J539" s="144" t="n"/>
      <c r="K539" s="16" t="n"/>
      <c r="L539" s="17" t="n"/>
      <c r="M539" s="143">
        <f>DADOS_INVOC!$QP$31</f>
        <v/>
      </c>
      <c r="N539" s="137" t="n"/>
      <c r="O539" s="128" t="n"/>
      <c r="P539" s="144" t="n"/>
      <c r="Q539" s="16" t="n"/>
      <c r="R539" s="17" t="n"/>
      <c r="S539" s="143">
        <f>DADOS_INVOC!$QP$32</f>
        <v/>
      </c>
      <c r="T539" s="137" t="n"/>
      <c r="U539" s="128" t="n"/>
      <c r="V539" s="144" t="n"/>
      <c r="W539" s="16" t="n"/>
      <c r="X539" s="17" t="n"/>
      <c r="Y539" s="143">
        <f>DADOS_INVOC!$QP$33</f>
        <v/>
      </c>
      <c r="Z539" s="137" t="n"/>
      <c r="AB539" s="128" t="n"/>
      <c r="AC539" s="144" t="n"/>
      <c r="AD539" s="16" t="n"/>
      <c r="AE539" s="17" t="n"/>
      <c r="AF539" s="143">
        <f>DADOS_INVOC!$QP$109</f>
        <v/>
      </c>
      <c r="AG539" s="137" t="n"/>
      <c r="AH539" s="128" t="n"/>
      <c r="AI539" s="144" t="n"/>
      <c r="AJ539" s="16" t="n"/>
      <c r="AK539" s="17" t="n"/>
      <c r="AL539" s="143">
        <f>DADOS_INVOC!$QP$110</f>
        <v/>
      </c>
      <c r="AM539" s="137" t="n"/>
      <c r="AN539" s="128" t="n"/>
      <c r="AO539" s="144" t="n"/>
      <c r="AP539" s="16" t="n"/>
      <c r="AQ539" s="17" t="n"/>
      <c r="AR539" s="143">
        <f>DADOS_INVOC!$QP$111</f>
        <v/>
      </c>
      <c r="AS539" s="137" t="n"/>
    </row>
    <row r="540" hidden="1" outlineLevel="3">
      <c r="A540" s="8" t="n"/>
      <c r="B540" s="14" t="n"/>
      <c r="C540" s="137" t="n"/>
      <c r="D540" s="137" t="n"/>
      <c r="E540" s="137" t="n"/>
      <c r="F540" s="137" t="n"/>
      <c r="G540" s="137" t="n"/>
      <c r="I540" s="56" t="inlineStr">
        <is>
          <t>RESTRIÇÕES</t>
        </is>
      </c>
      <c r="J540" s="144" t="n"/>
      <c r="K540" s="16" t="n"/>
      <c r="L540" s="17" t="n"/>
      <c r="M540" s="143">
        <f>DADOS_INVOC!$QQ$31</f>
        <v/>
      </c>
      <c r="N540" s="137" t="n"/>
      <c r="O540" s="56" t="inlineStr">
        <is>
          <t>RESTRIÇÕES</t>
        </is>
      </c>
      <c r="P540" s="144" t="n"/>
      <c r="Q540" s="16" t="n"/>
      <c r="R540" s="17" t="n"/>
      <c r="S540" s="143">
        <f>DADOS_INVOC!$QQ$32</f>
        <v/>
      </c>
      <c r="T540" s="137" t="n"/>
      <c r="U540" s="56" t="inlineStr">
        <is>
          <t>RESTRIÇÕES</t>
        </is>
      </c>
      <c r="V540" s="144" t="n"/>
      <c r="W540" s="16" t="n"/>
      <c r="X540" s="17" t="n"/>
      <c r="Y540" s="143">
        <f>DADOS_INVOC!$QQ$33</f>
        <v/>
      </c>
      <c r="Z540" s="137" t="n"/>
      <c r="AB540" s="56" t="inlineStr">
        <is>
          <t>RESTRIÇÕES</t>
        </is>
      </c>
      <c r="AC540" s="144" t="n"/>
      <c r="AD540" s="16" t="n"/>
      <c r="AE540" s="17" t="n"/>
      <c r="AF540" s="143">
        <f>DADOS_INVOC!$QQ$109</f>
        <v/>
      </c>
      <c r="AG540" s="137" t="n"/>
      <c r="AH540" s="56" t="inlineStr">
        <is>
          <t>RESTRIÇÕES</t>
        </is>
      </c>
      <c r="AI540" s="144" t="n"/>
      <c r="AJ540" s="16" t="n"/>
      <c r="AK540" s="17" t="n"/>
      <c r="AL540" s="143">
        <f>DADOS_INVOC!$QQ$110</f>
        <v/>
      </c>
      <c r="AM540" s="137" t="n"/>
      <c r="AN540" s="56" t="inlineStr">
        <is>
          <t>RESTRIÇÕES</t>
        </is>
      </c>
      <c r="AO540" s="144" t="n"/>
      <c r="AP540" s="16" t="n"/>
      <c r="AQ540" s="17" t="n"/>
      <c r="AR540" s="143">
        <f>DADOS_INVOC!$QQ$111</f>
        <v/>
      </c>
      <c r="AS540" s="137" t="n"/>
    </row>
    <row r="541" hidden="1" outlineLevel="3">
      <c r="A541" s="8" t="n"/>
      <c r="B541" s="14" t="n"/>
      <c r="C541" s="137" t="n"/>
      <c r="D541" s="137" t="n"/>
      <c r="E541" s="137" t="n"/>
      <c r="F541" s="137" t="n"/>
      <c r="G541" s="137" t="n"/>
      <c r="I541" s="128" t="n"/>
      <c r="J541" s="144" t="n"/>
      <c r="K541" s="16" t="n"/>
      <c r="L541" s="17" t="n"/>
      <c r="M541" s="143">
        <f>DADOS_INVOC!$QR$31</f>
        <v/>
      </c>
      <c r="N541" s="137" t="n"/>
      <c r="O541" s="128" t="n"/>
      <c r="P541" s="144" t="n"/>
      <c r="Q541" s="16" t="n"/>
      <c r="R541" s="17" t="n"/>
      <c r="S541" s="143">
        <f>DADOS_INVOC!$QR$32</f>
        <v/>
      </c>
      <c r="T541" s="137" t="n"/>
      <c r="U541" s="128" t="n"/>
      <c r="V541" s="144" t="n"/>
      <c r="W541" s="16" t="n"/>
      <c r="X541" s="17" t="n"/>
      <c r="Y541" s="143">
        <f>DADOS_INVOC!$QR$33</f>
        <v/>
      </c>
      <c r="Z541" s="137" t="n"/>
      <c r="AB541" s="128" t="n"/>
      <c r="AC541" s="144" t="n"/>
      <c r="AD541" s="16" t="n"/>
      <c r="AE541" s="17" t="n"/>
      <c r="AF541" s="143">
        <f>DADOS_INVOC!$QR$109</f>
        <v/>
      </c>
      <c r="AG541" s="137" t="n"/>
      <c r="AH541" s="128" t="n"/>
      <c r="AI541" s="144" t="n"/>
      <c r="AJ541" s="16" t="n"/>
      <c r="AK541" s="17" t="n"/>
      <c r="AL541" s="143">
        <f>DADOS_INVOC!$QR$110</f>
        <v/>
      </c>
      <c r="AM541" s="137" t="n"/>
      <c r="AN541" s="128" t="n"/>
      <c r="AO541" s="144" t="n"/>
      <c r="AP541" s="16" t="n"/>
      <c r="AQ541" s="17" t="n"/>
      <c r="AR541" s="143">
        <f>DADOS_INVOC!$QR$111</f>
        <v/>
      </c>
      <c r="AS541" s="137" t="n"/>
    </row>
    <row r="542" hidden="1" outlineLevel="3">
      <c r="A542" s="8" t="n"/>
      <c r="B542" s="14" t="n"/>
      <c r="C542" s="137" t="n"/>
      <c r="D542" s="137" t="n"/>
      <c r="E542" s="137" t="n"/>
      <c r="F542" s="137" t="n"/>
      <c r="G542" s="137" t="n"/>
      <c r="I542" s="56" t="inlineStr">
        <is>
          <t>CONTA</t>
        </is>
      </c>
      <c r="J542" s="145">
        <f>DADOS_INVOC!$QK$31</f>
        <v/>
      </c>
      <c r="K542" s="16" t="n"/>
      <c r="L542" s="16" t="n"/>
      <c r="M542" s="17" t="n"/>
      <c r="N542" s="137" t="n"/>
      <c r="O542" s="56" t="inlineStr">
        <is>
          <t>CONTA</t>
        </is>
      </c>
      <c r="P542" s="145">
        <f>DADOS_INVOC!$QK$32</f>
        <v/>
      </c>
      <c r="Q542" s="16" t="n"/>
      <c r="R542" s="16" t="n"/>
      <c r="S542" s="17" t="n"/>
      <c r="T542" s="137" t="n"/>
      <c r="U542" s="56" t="inlineStr">
        <is>
          <t>CONTA</t>
        </is>
      </c>
      <c r="V542" s="145">
        <f>DADOS_INVOC!$QK$33</f>
        <v/>
      </c>
      <c r="W542" s="16" t="n"/>
      <c r="X542" s="16" t="n"/>
      <c r="Y542" s="17" t="n"/>
      <c r="Z542" s="137" t="n"/>
      <c r="AB542" s="56" t="inlineStr">
        <is>
          <t>CONTA</t>
        </is>
      </c>
      <c r="AC542" s="145">
        <f>DADOS_INVOC!$QK$109</f>
        <v/>
      </c>
      <c r="AD542" s="16" t="n"/>
      <c r="AE542" s="16" t="n"/>
      <c r="AF542" s="17" t="n"/>
      <c r="AG542" s="137" t="n"/>
      <c r="AH542" s="56" t="inlineStr">
        <is>
          <t>CONTA</t>
        </is>
      </c>
      <c r="AI542" s="145">
        <f>DADOS_INVOC!$QK$110</f>
        <v/>
      </c>
      <c r="AJ542" s="16" t="n"/>
      <c r="AK542" s="16" t="n"/>
      <c r="AL542" s="17" t="n"/>
      <c r="AM542" s="137" t="n"/>
      <c r="AN542" s="56" t="inlineStr">
        <is>
          <t>CONTA</t>
        </is>
      </c>
      <c r="AO542" s="145">
        <f>DADOS_INVOC!$QK$111</f>
        <v/>
      </c>
      <c r="AP542" s="16" t="n"/>
      <c r="AQ542" s="16" t="n"/>
      <c r="AR542" s="17" t="n"/>
      <c r="AS542" s="137" t="n"/>
    </row>
    <row r="543" hidden="1" outlineLevel="3">
      <c r="A543" s="8" t="n"/>
      <c r="B543" s="14" t="n"/>
      <c r="C543" s="137" t="n"/>
      <c r="D543" s="137" t="n"/>
      <c r="E543" s="137" t="n"/>
      <c r="F543" s="137" t="n"/>
      <c r="G543" s="137" t="n"/>
      <c r="I543" s="56" t="inlineStr">
        <is>
          <t>AMPLIAR</t>
        </is>
      </c>
      <c r="J543" s="145">
        <f>DADOS_INVOC!$QL$31</f>
        <v/>
      </c>
      <c r="K543" s="19" t="n"/>
      <c r="L543" s="19" t="n"/>
      <c r="M543" s="20" t="n"/>
      <c r="N543" s="137" t="n"/>
      <c r="O543" s="56" t="inlineStr">
        <is>
          <t>AMPLIAR</t>
        </is>
      </c>
      <c r="P543" s="145">
        <f>DADOS_INVOC!$QL$32</f>
        <v/>
      </c>
      <c r="Q543" s="19" t="n"/>
      <c r="R543" s="19" t="n"/>
      <c r="S543" s="20" t="n"/>
      <c r="T543" s="137" t="n"/>
      <c r="U543" s="56" t="inlineStr">
        <is>
          <t>AMPLIAR</t>
        </is>
      </c>
      <c r="V543" s="145">
        <f>DADOS_INVOC!$QL$33</f>
        <v/>
      </c>
      <c r="W543" s="19" t="n"/>
      <c r="X543" s="19" t="n"/>
      <c r="Y543" s="20" t="n"/>
      <c r="Z543" s="137" t="n"/>
      <c r="AB543" s="56" t="inlineStr">
        <is>
          <t>AMPLIAR</t>
        </is>
      </c>
      <c r="AC543" s="145">
        <f>DADOS_INVOC!$QL$109</f>
        <v/>
      </c>
      <c r="AD543" s="19" t="n"/>
      <c r="AE543" s="19" t="n"/>
      <c r="AF543" s="20" t="n"/>
      <c r="AG543" s="137" t="n"/>
      <c r="AH543" s="56" t="inlineStr">
        <is>
          <t>AMPLIAR</t>
        </is>
      </c>
      <c r="AI543" s="145">
        <f>DADOS_INVOC!$QL$110</f>
        <v/>
      </c>
      <c r="AJ543" s="19" t="n"/>
      <c r="AK543" s="19" t="n"/>
      <c r="AL543" s="20" t="n"/>
      <c r="AM543" s="137" t="n"/>
      <c r="AN543" s="56" t="inlineStr">
        <is>
          <t>AMPLIAR</t>
        </is>
      </c>
      <c r="AO543" s="145">
        <f>DADOS_INVOC!$QL$111</f>
        <v/>
      </c>
      <c r="AP543" s="19" t="n"/>
      <c r="AQ543" s="19" t="n"/>
      <c r="AR543" s="20" t="n"/>
      <c r="AS543" s="137" t="n"/>
    </row>
    <row r="544" hidden="1" outlineLevel="3">
      <c r="A544" s="8" t="n"/>
      <c r="B544" s="14" t="n"/>
      <c r="C544" s="137" t="n"/>
      <c r="D544" s="137" t="n"/>
      <c r="E544" s="137" t="n"/>
      <c r="F544" s="137" t="n"/>
      <c r="G544" s="137" t="n"/>
      <c r="I544" s="128" t="n"/>
      <c r="J544" s="23" t="n"/>
      <c r="K544" s="24" t="n"/>
      <c r="L544" s="24" t="n"/>
      <c r="M544" s="25" t="n"/>
      <c r="N544" s="137" t="n"/>
      <c r="O544" s="128" t="n"/>
      <c r="P544" s="23" t="n"/>
      <c r="Q544" s="24" t="n"/>
      <c r="R544" s="24" t="n"/>
      <c r="S544" s="25" t="n"/>
      <c r="T544" s="137" t="n"/>
      <c r="U544" s="128" t="n"/>
      <c r="V544" s="23" t="n"/>
      <c r="W544" s="24" t="n"/>
      <c r="X544" s="24" t="n"/>
      <c r="Y544" s="25" t="n"/>
      <c r="Z544" s="137" t="n"/>
      <c r="AB544" s="128" t="n"/>
      <c r="AC544" s="23" t="n"/>
      <c r="AD544" s="24" t="n"/>
      <c r="AE544" s="24" t="n"/>
      <c r="AF544" s="25" t="n"/>
      <c r="AG544" s="137" t="n"/>
      <c r="AH544" s="128" t="n"/>
      <c r="AI544" s="23" t="n"/>
      <c r="AJ544" s="24" t="n"/>
      <c r="AK544" s="24" t="n"/>
      <c r="AL544" s="25" t="n"/>
      <c r="AM544" s="137" t="n"/>
      <c r="AN544" s="128" t="n"/>
      <c r="AO544" s="23" t="n"/>
      <c r="AP544" s="24" t="n"/>
      <c r="AQ544" s="24" t="n"/>
      <c r="AR544" s="25" t="n"/>
      <c r="AS544" s="137" t="n"/>
    </row>
    <row r="545" hidden="1" outlineLevel="3">
      <c r="A545" s="8" t="n"/>
      <c r="B545" s="14" t="n"/>
      <c r="C545" s="137" t="n"/>
      <c r="D545" s="137" t="n"/>
      <c r="E545" s="137" t="n"/>
      <c r="F545" s="137" t="n"/>
      <c r="G545" s="137" t="n"/>
      <c r="I545" s="145">
        <f>DADOS_INVOC!$PY$31</f>
        <v/>
      </c>
      <c r="J545" s="19" t="n"/>
      <c r="K545" s="19" t="n"/>
      <c r="L545" s="19" t="n"/>
      <c r="M545" s="20" t="n"/>
      <c r="N545" s="137" t="n"/>
      <c r="O545" s="145">
        <f>DADOS_INVOC!$PY$32</f>
        <v/>
      </c>
      <c r="P545" s="19" t="n"/>
      <c r="Q545" s="19" t="n"/>
      <c r="R545" s="19" t="n"/>
      <c r="S545" s="20" t="n"/>
      <c r="T545" s="137" t="n"/>
      <c r="U545" s="145">
        <f>DADOS_INVOC!$PY$33</f>
        <v/>
      </c>
      <c r="V545" s="19" t="n"/>
      <c r="W545" s="19" t="n"/>
      <c r="X545" s="19" t="n"/>
      <c r="Y545" s="20" t="n"/>
      <c r="Z545" s="137" t="n"/>
      <c r="AB545" s="145">
        <f>DADOS_INVOC!$PY$109</f>
        <v/>
      </c>
      <c r="AC545" s="19" t="n"/>
      <c r="AD545" s="19" t="n"/>
      <c r="AE545" s="19" t="n"/>
      <c r="AF545" s="20" t="n"/>
      <c r="AG545" s="137" t="n"/>
      <c r="AH545" s="145">
        <f>DADOS_INVOC!$PY$110</f>
        <v/>
      </c>
      <c r="AI545" s="19" t="n"/>
      <c r="AJ545" s="19" t="n"/>
      <c r="AK545" s="19" t="n"/>
      <c r="AL545" s="20" t="n"/>
      <c r="AM545" s="137" t="n"/>
      <c r="AN545" s="145">
        <f>DADOS_INVOC!$PY$111</f>
        <v/>
      </c>
      <c r="AO545" s="19" t="n"/>
      <c r="AP545" s="19" t="n"/>
      <c r="AQ545" s="19" t="n"/>
      <c r="AR545" s="20" t="n"/>
      <c r="AS545" s="137" t="n"/>
    </row>
    <row r="546" hidden="1" outlineLevel="3">
      <c r="A546" s="8" t="n"/>
      <c r="B546" s="14" t="n"/>
      <c r="C546" s="137" t="n"/>
      <c r="D546" s="137" t="n"/>
      <c r="E546" s="137" t="n"/>
      <c r="F546" s="137" t="n"/>
      <c r="G546" s="137" t="n"/>
      <c r="I546" s="23" t="n"/>
      <c r="J546" s="24" t="n"/>
      <c r="K546" s="24" t="n"/>
      <c r="L546" s="24" t="n"/>
      <c r="M546" s="25" t="n"/>
      <c r="N546" s="137" t="n"/>
      <c r="O546" s="23" t="n"/>
      <c r="P546" s="24" t="n"/>
      <c r="Q546" s="24" t="n"/>
      <c r="R546" s="24" t="n"/>
      <c r="S546" s="25" t="n"/>
      <c r="T546" s="137" t="n"/>
      <c r="U546" s="23" t="n"/>
      <c r="V546" s="24" t="n"/>
      <c r="W546" s="24" t="n"/>
      <c r="X546" s="24" t="n"/>
      <c r="Y546" s="25" t="n"/>
      <c r="Z546" s="137" t="n"/>
      <c r="AB546" s="23" t="n"/>
      <c r="AC546" s="24" t="n"/>
      <c r="AD546" s="24" t="n"/>
      <c r="AE546" s="24" t="n"/>
      <c r="AF546" s="25" t="n"/>
      <c r="AG546" s="137" t="n"/>
      <c r="AH546" s="23" t="n"/>
      <c r="AI546" s="24" t="n"/>
      <c r="AJ546" s="24" t="n"/>
      <c r="AK546" s="24" t="n"/>
      <c r="AL546" s="25" t="n"/>
      <c r="AM546" s="137" t="n"/>
      <c r="AN546" s="23" t="n"/>
      <c r="AO546" s="24" t="n"/>
      <c r="AP546" s="24" t="n"/>
      <c r="AQ546" s="24" t="n"/>
      <c r="AR546" s="25" t="n"/>
      <c r="AS546" s="137" t="n"/>
    </row>
    <row r="547" hidden="1" outlineLevel="2">
      <c r="A547" s="8" t="n"/>
      <c r="B547" s="14" t="n"/>
      <c r="C547" s="137" t="n"/>
      <c r="D547" s="137" t="n"/>
      <c r="E547" s="137" t="n"/>
      <c r="F547" s="137" t="n"/>
      <c r="G547" s="137" t="n"/>
      <c r="I547" s="137" t="n"/>
      <c r="J547" s="137" t="n"/>
      <c r="K547" s="137" t="n"/>
      <c r="L547" s="137" t="n"/>
      <c r="M547" s="137" t="n"/>
      <c r="N547" s="137" t="n"/>
      <c r="O547" s="137" t="n"/>
      <c r="P547" s="137" t="n"/>
      <c r="Q547" s="137" t="n"/>
      <c r="R547" s="137" t="n"/>
      <c r="S547" s="137" t="n"/>
      <c r="T547" s="137" t="n"/>
      <c r="U547" s="137" t="n"/>
      <c r="V547" s="137" t="n"/>
      <c r="W547" s="137" t="n"/>
      <c r="X547" s="137" t="n"/>
      <c r="Y547" s="137" t="n"/>
      <c r="Z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37" t="n"/>
      <c r="AS547" s="137" t="n"/>
    </row>
    <row r="548" hidden="1" outlineLevel="2">
      <c r="A548" s="8" t="n"/>
      <c r="B548" s="14" t="n"/>
      <c r="C548" s="137" t="n"/>
      <c r="D548" s="137" t="n"/>
      <c r="E548" s="137" t="n"/>
      <c r="F548" s="137" t="n"/>
      <c r="G548" s="137" t="n"/>
      <c r="I548" s="56">
        <f>DADOS_INVOC!$PZ$34</f>
        <v/>
      </c>
      <c r="J548" s="16" t="n"/>
      <c r="K548" s="16" t="n"/>
      <c r="L548" s="16" t="n"/>
      <c r="M548" s="17" t="n"/>
      <c r="N548" s="137" t="n"/>
      <c r="O548" s="56">
        <f>DADOS_INVOC!$PZ$35</f>
        <v/>
      </c>
      <c r="P548" s="16" t="n"/>
      <c r="Q548" s="16" t="n"/>
      <c r="R548" s="16" t="n"/>
      <c r="S548" s="17" t="n"/>
      <c r="T548" s="137" t="n"/>
      <c r="U548" s="56">
        <f>DADOS_INVOC!$PZ$36</f>
        <v/>
      </c>
      <c r="V548" s="16" t="n"/>
      <c r="W548" s="16" t="n"/>
      <c r="X548" s="16" t="n"/>
      <c r="Y548" s="17" t="n"/>
      <c r="Z548" s="137" t="n"/>
      <c r="AB548" s="56">
        <f>DADOS_INVOC!$PZ$112</f>
        <v/>
      </c>
      <c r="AC548" s="16" t="n"/>
      <c r="AD548" s="16" t="n"/>
      <c r="AE548" s="16" t="n"/>
      <c r="AF548" s="17" t="n"/>
      <c r="AG548" s="137" t="n"/>
      <c r="AH548" s="56">
        <f>DADOS_INVOC!$PZ$113</f>
        <v/>
      </c>
      <c r="AI548" s="16" t="n"/>
      <c r="AJ548" s="16" t="n"/>
      <c r="AK548" s="16" t="n"/>
      <c r="AL548" s="17" t="n"/>
      <c r="AM548" s="137" t="n"/>
      <c r="AN548" s="56">
        <f>DADOS_INVOC!$PZ$114</f>
        <v/>
      </c>
      <c r="AO548" s="16" t="n"/>
      <c r="AP548" s="16" t="n"/>
      <c r="AQ548" s="16" t="n"/>
      <c r="AR548" s="17" t="n"/>
      <c r="AS548" s="137" t="n"/>
    </row>
    <row r="549" hidden="1" outlineLevel="2">
      <c r="A549" s="8" t="n"/>
      <c r="B549" s="14" t="n"/>
      <c r="C549" s="137" t="n"/>
      <c r="D549" s="137" t="n"/>
      <c r="E549" s="137" t="n"/>
      <c r="F549" s="137" t="n"/>
      <c r="G549" s="137" t="n"/>
      <c r="I549" s="141" t="n">
        <v>1</v>
      </c>
      <c r="J549" s="131" t="n"/>
      <c r="K549" s="16" t="n"/>
      <c r="L549" s="17" t="n"/>
      <c r="M549" s="142">
        <f>DADOS_INVOC!$PX$34</f>
        <v/>
      </c>
      <c r="N549" s="137" t="n"/>
      <c r="O549" s="141" t="n">
        <v>1</v>
      </c>
      <c r="P549" s="131" t="n"/>
      <c r="Q549" s="16" t="n"/>
      <c r="R549" s="17" t="n"/>
      <c r="S549" s="142">
        <f>DADOS_INVOC!$PX$35</f>
        <v/>
      </c>
      <c r="T549" s="137" t="n"/>
      <c r="U549" s="141" t="n">
        <v>1</v>
      </c>
      <c r="V549" s="131" t="n"/>
      <c r="W549" s="16" t="n"/>
      <c r="X549" s="17" t="n"/>
      <c r="Y549" s="142">
        <f>DADOS_INVOC!$PX$36</f>
        <v/>
      </c>
      <c r="Z549" s="137" t="n"/>
      <c r="AB549" s="141" t="n">
        <v>1</v>
      </c>
      <c r="AC549" s="131" t="n"/>
      <c r="AD549" s="16" t="n"/>
      <c r="AE549" s="17" t="n"/>
      <c r="AF549" s="142">
        <f>DADOS_INVOC!$PX$112</f>
        <v/>
      </c>
      <c r="AG549" s="137" t="n"/>
      <c r="AH549" s="141" t="n">
        <v>1</v>
      </c>
      <c r="AI549" s="131" t="n"/>
      <c r="AJ549" s="16" t="n"/>
      <c r="AK549" s="17" t="n"/>
      <c r="AL549" s="142">
        <f>DADOS_INVOC!$PX$113</f>
        <v/>
      </c>
      <c r="AM549" s="137" t="n"/>
      <c r="AN549" s="141" t="n">
        <v>1</v>
      </c>
      <c r="AO549" s="131" t="n"/>
      <c r="AP549" s="16" t="n"/>
      <c r="AQ549" s="17" t="n"/>
      <c r="AR549" s="142">
        <f>DADOS_INVOC!$PX$114</f>
        <v/>
      </c>
      <c r="AS549" s="137" t="n"/>
    </row>
    <row r="550" hidden="1" outlineLevel="3">
      <c r="A550" s="8" t="n"/>
      <c r="B550" s="14" t="n"/>
      <c r="C550" s="137" t="n"/>
      <c r="D550" s="137" t="n"/>
      <c r="E550" s="137" t="n"/>
      <c r="F550" s="137" t="n"/>
      <c r="G550" s="137" t="n"/>
      <c r="I550" s="56" t="inlineStr">
        <is>
          <t>COMO É</t>
        </is>
      </c>
      <c r="J550" s="16" t="n"/>
      <c r="K550" s="16" t="n"/>
      <c r="L550" s="16" t="n"/>
      <c r="M550" s="17" t="n"/>
      <c r="N550" s="137" t="n"/>
      <c r="O550" s="56" t="inlineStr">
        <is>
          <t>COMO É</t>
        </is>
      </c>
      <c r="P550" s="16" t="n"/>
      <c r="Q550" s="16" t="n"/>
      <c r="R550" s="16" t="n"/>
      <c r="S550" s="17" t="n"/>
      <c r="T550" s="137" t="n"/>
      <c r="U550" s="56" t="inlineStr">
        <is>
          <t>COMO É</t>
        </is>
      </c>
      <c r="V550" s="16" t="n"/>
      <c r="W550" s="16" t="n"/>
      <c r="X550" s="16" t="n"/>
      <c r="Y550" s="17" t="n"/>
      <c r="Z550" s="137" t="n"/>
      <c r="AB550" s="56" t="inlineStr">
        <is>
          <t>COMO É</t>
        </is>
      </c>
      <c r="AC550" s="16" t="n"/>
      <c r="AD550" s="16" t="n"/>
      <c r="AE550" s="16" t="n"/>
      <c r="AF550" s="17" t="n"/>
      <c r="AG550" s="137" t="n"/>
      <c r="AH550" s="56" t="inlineStr">
        <is>
          <t>COMO É</t>
        </is>
      </c>
      <c r="AI550" s="16" t="n"/>
      <c r="AJ550" s="16" t="n"/>
      <c r="AK550" s="16" t="n"/>
      <c r="AL550" s="17" t="n"/>
      <c r="AM550" s="137" t="n"/>
      <c r="AN550" s="56" t="inlineStr">
        <is>
          <t>COMO É</t>
        </is>
      </c>
      <c r="AO550" s="16" t="n"/>
      <c r="AP550" s="16" t="n"/>
      <c r="AQ550" s="16" t="n"/>
      <c r="AR550" s="17" t="n"/>
      <c r="AS550" s="137" t="n"/>
    </row>
    <row r="551" hidden="1" outlineLevel="3">
      <c r="A551" s="8" t="n"/>
      <c r="B551" s="14" t="n"/>
      <c r="C551" s="137" t="n"/>
      <c r="D551" s="137" t="n"/>
      <c r="E551" s="137" t="n"/>
      <c r="F551" s="137" t="n"/>
      <c r="G551" s="137" t="n"/>
      <c r="I551" s="61" t="n"/>
      <c r="J551" s="19" t="n"/>
      <c r="K551" s="19" t="n"/>
      <c r="L551" s="19" t="n"/>
      <c r="M551" s="20" t="n"/>
      <c r="N551" s="137" t="n"/>
      <c r="O551" s="61" t="n"/>
      <c r="P551" s="19" t="n"/>
      <c r="Q551" s="19" t="n"/>
      <c r="R551" s="19" t="n"/>
      <c r="S551" s="20" t="n"/>
      <c r="T551" s="137" t="n"/>
      <c r="U551" s="61" t="n"/>
      <c r="V551" s="19" t="n"/>
      <c r="W551" s="19" t="n"/>
      <c r="X551" s="19" t="n"/>
      <c r="Y551" s="20" t="n"/>
      <c r="Z551" s="137" t="n"/>
      <c r="AB551" s="61" t="n"/>
      <c r="AC551" s="19" t="n"/>
      <c r="AD551" s="19" t="n"/>
      <c r="AE551" s="19" t="n"/>
      <c r="AF551" s="20" t="n"/>
      <c r="AG551" s="137" t="n"/>
      <c r="AH551" s="61" t="n"/>
      <c r="AI551" s="19" t="n"/>
      <c r="AJ551" s="19" t="n"/>
      <c r="AK551" s="19" t="n"/>
      <c r="AL551" s="20" t="n"/>
      <c r="AM551" s="137" t="n"/>
      <c r="AN551" s="61" t="n"/>
      <c r="AO551" s="19" t="n"/>
      <c r="AP551" s="19" t="n"/>
      <c r="AQ551" s="19" t="n"/>
      <c r="AR551" s="20" t="n"/>
      <c r="AS551" s="137" t="n"/>
    </row>
    <row r="552" hidden="1" outlineLevel="3">
      <c r="A552" s="8" t="n"/>
      <c r="B552" s="14" t="n"/>
      <c r="C552" s="137" t="n"/>
      <c r="D552" s="137" t="n"/>
      <c r="E552" s="137" t="n"/>
      <c r="F552" s="137" t="n"/>
      <c r="G552" s="137" t="n"/>
      <c r="I552" s="21" t="n"/>
      <c r="M552" s="22" t="n"/>
      <c r="N552" s="137" t="n"/>
      <c r="O552" s="21" t="n"/>
      <c r="S552" s="22" t="n"/>
      <c r="T552" s="137" t="n"/>
      <c r="U552" s="21" t="n"/>
      <c r="Y552" s="22" t="n"/>
      <c r="Z552" s="137" t="n"/>
      <c r="AB552" s="21" t="n"/>
      <c r="AF552" s="22" t="n"/>
      <c r="AG552" s="137" t="n"/>
      <c r="AH552" s="21" t="n"/>
      <c r="AL552" s="22" t="n"/>
      <c r="AM552" s="137" t="n"/>
      <c r="AN552" s="21" t="n"/>
      <c r="AR552" s="22" t="n"/>
      <c r="AS552" s="137" t="n"/>
    </row>
    <row r="553" hidden="1" outlineLevel="3">
      <c r="A553" s="8" t="n"/>
      <c r="B553" s="14" t="n"/>
      <c r="C553" s="137" t="n"/>
      <c r="D553" s="137" t="n"/>
      <c r="E553" s="137" t="n"/>
      <c r="F553" s="137" t="n"/>
      <c r="G553" s="137" t="n"/>
      <c r="I553" s="23" t="n"/>
      <c r="J553" s="24" t="n"/>
      <c r="K553" s="24" t="n"/>
      <c r="L553" s="24" t="n"/>
      <c r="M553" s="25" t="n"/>
      <c r="N553" s="137" t="n"/>
      <c r="O553" s="23" t="n"/>
      <c r="P553" s="24" t="n"/>
      <c r="Q553" s="24" t="n"/>
      <c r="R553" s="24" t="n"/>
      <c r="S553" s="25" t="n"/>
      <c r="T553" s="137" t="n"/>
      <c r="U553" s="23" t="n"/>
      <c r="V553" s="24" t="n"/>
      <c r="W553" s="24" t="n"/>
      <c r="X553" s="24" t="n"/>
      <c r="Y553" s="25" t="n"/>
      <c r="Z553" s="137" t="n"/>
      <c r="AB553" s="23" t="n"/>
      <c r="AC553" s="24" t="n"/>
      <c r="AD553" s="24" t="n"/>
      <c r="AE553" s="24" t="n"/>
      <c r="AF553" s="25" t="n"/>
      <c r="AG553" s="137" t="n"/>
      <c r="AH553" s="23" t="n"/>
      <c r="AI553" s="24" t="n"/>
      <c r="AJ553" s="24" t="n"/>
      <c r="AK553" s="24" t="n"/>
      <c r="AL553" s="25" t="n"/>
      <c r="AM553" s="137" t="n"/>
      <c r="AN553" s="23" t="n"/>
      <c r="AO553" s="24" t="n"/>
      <c r="AP553" s="24" t="n"/>
      <c r="AQ553" s="24" t="n"/>
      <c r="AR553" s="25" t="n"/>
      <c r="AS553" s="137" t="n"/>
    </row>
    <row r="554" hidden="1" outlineLevel="2">
      <c r="A554" s="8" t="n"/>
      <c r="B554" s="14" t="n"/>
      <c r="C554" s="137" t="n"/>
      <c r="D554" s="137" t="n"/>
      <c r="E554" s="137" t="n"/>
      <c r="F554" s="137" t="n"/>
      <c r="G554" s="137" t="n"/>
      <c r="I554" s="95" t="inlineStr">
        <is>
          <t>Projétil</t>
        </is>
      </c>
      <c r="J554" s="17" t="n"/>
      <c r="K554" s="71">
        <f>DADOS_INVOC!$QE$34</f>
        <v/>
      </c>
      <c r="L554" s="17" t="n"/>
      <c r="M554" s="71">
        <f>DADOS_INVOC!$QA$34</f>
        <v/>
      </c>
      <c r="N554" s="137" t="n"/>
      <c r="O554" s="95" t="inlineStr">
        <is>
          <t>Projétil</t>
        </is>
      </c>
      <c r="P554" s="17" t="n"/>
      <c r="Q554" s="71">
        <f>DADOS_INVOC!$QE$35</f>
        <v/>
      </c>
      <c r="R554" s="17" t="n"/>
      <c r="S554" s="71">
        <f>DADOS_INVOC!$QA$35</f>
        <v/>
      </c>
      <c r="T554" s="137" t="n"/>
      <c r="U554" s="95" t="inlineStr">
        <is>
          <t>Projétil</t>
        </is>
      </c>
      <c r="V554" s="17" t="n"/>
      <c r="W554" s="71">
        <f>DADOS_INVOC!$QE$36</f>
        <v/>
      </c>
      <c r="X554" s="17" t="n"/>
      <c r="Y554" s="71">
        <f>DADOS_INVOC!$QA$36</f>
        <v/>
      </c>
      <c r="Z554" s="137" t="n"/>
      <c r="AB554" s="95" t="inlineStr">
        <is>
          <t>Projétil</t>
        </is>
      </c>
      <c r="AC554" s="17" t="n"/>
      <c r="AD554" s="71">
        <f>DADOS_INVOC!$QE$112</f>
        <v/>
      </c>
      <c r="AE554" s="17" t="n"/>
      <c r="AF554" s="71">
        <f>DADOS_INVOC!$QA$112</f>
        <v/>
      </c>
      <c r="AG554" s="137" t="n"/>
      <c r="AH554" s="95" t="inlineStr">
        <is>
          <t>Projétil</t>
        </is>
      </c>
      <c r="AI554" s="17" t="n"/>
      <c r="AJ554" s="71">
        <f>DADOS_INVOC!$QE$113</f>
        <v/>
      </c>
      <c r="AK554" s="17" t="n"/>
      <c r="AL554" s="71">
        <f>DADOS_INVOC!$QA$113</f>
        <v/>
      </c>
      <c r="AM554" s="137" t="n"/>
      <c r="AN554" s="95" t="inlineStr">
        <is>
          <t>Projétil</t>
        </is>
      </c>
      <c r="AO554" s="17" t="n"/>
      <c r="AP554" s="71">
        <f>DADOS_INVOC!$QE$114</f>
        <v/>
      </c>
      <c r="AQ554" s="17" t="n"/>
      <c r="AR554" s="71">
        <f>DADOS_INVOC!$QA$114</f>
        <v/>
      </c>
      <c r="AS554" s="137" t="n"/>
    </row>
    <row r="555" hidden="1" outlineLevel="2">
      <c r="A555" s="8" t="n"/>
      <c r="B555" s="14" t="n"/>
      <c r="C555" s="137" t="n"/>
      <c r="D555" s="137" t="n"/>
      <c r="E555" s="137" t="n"/>
      <c r="F555" s="137" t="n"/>
      <c r="G555" s="137" t="n"/>
      <c r="I555" s="95" t="n"/>
      <c r="J555" s="17" t="n"/>
      <c r="K555" s="95" t="n"/>
      <c r="L555" s="16" t="n"/>
      <c r="M555" s="17" t="n"/>
      <c r="N555" s="137" t="n"/>
      <c r="O555" s="95" t="n"/>
      <c r="P555" s="17" t="n"/>
      <c r="Q555" s="95" t="n"/>
      <c r="R555" s="16" t="n"/>
      <c r="S555" s="17" t="n"/>
      <c r="T555" s="137" t="n"/>
      <c r="U555" s="95" t="n"/>
      <c r="V555" s="17" t="n"/>
      <c r="W555" s="95" t="n"/>
      <c r="X555" s="16" t="n"/>
      <c r="Y555" s="17" t="n"/>
      <c r="Z555" s="137" t="n"/>
      <c r="AB555" s="95" t="n"/>
      <c r="AC555" s="17" t="n"/>
      <c r="AD555" s="95" t="n"/>
      <c r="AE555" s="16" t="n"/>
      <c r="AF555" s="17" t="n"/>
      <c r="AG555" s="137" t="n"/>
      <c r="AH555" s="95" t="n"/>
      <c r="AI555" s="17" t="n"/>
      <c r="AJ555" s="95" t="n"/>
      <c r="AK555" s="16" t="n"/>
      <c r="AL555" s="17" t="n"/>
      <c r="AM555" s="137" t="n"/>
      <c r="AN555" s="95" t="n"/>
      <c r="AO555" s="17" t="n"/>
      <c r="AP555" s="95" t="n"/>
      <c r="AQ555" s="16" t="n"/>
      <c r="AR555" s="17" t="n"/>
      <c r="AS555" s="137" t="n"/>
    </row>
    <row r="556" hidden="1" outlineLevel="2">
      <c r="A556" s="8" t="n"/>
      <c r="B556" s="14" t="n"/>
      <c r="C556" s="137" t="n"/>
      <c r="D556" s="137" t="n"/>
      <c r="E556" s="137" t="n"/>
      <c r="F556" s="137" t="n"/>
      <c r="G556" s="137" t="n"/>
      <c r="I556" s="95">
        <f>DADOS_INVOC!$QB$34</f>
        <v/>
      </c>
      <c r="J556" s="17" t="n"/>
      <c r="K556" s="95">
        <f>DADOS_INVOC!$QD$34</f>
        <v/>
      </c>
      <c r="L556" s="16" t="n"/>
      <c r="M556" s="17" t="n"/>
      <c r="N556" s="137" t="n"/>
      <c r="O556" s="95">
        <f>DADOS_INVOC!$QB$35</f>
        <v/>
      </c>
      <c r="P556" s="17" t="n"/>
      <c r="Q556" s="95">
        <f>DADOS_INVOC!$QD$35</f>
        <v/>
      </c>
      <c r="R556" s="16" t="n"/>
      <c r="S556" s="17" t="n"/>
      <c r="T556" s="137" t="n"/>
      <c r="U556" s="95">
        <f>DADOS_INVOC!$QB$36</f>
        <v/>
      </c>
      <c r="V556" s="17" t="n"/>
      <c r="W556" s="95">
        <f>DADOS_INVOC!$QD$36</f>
        <v/>
      </c>
      <c r="X556" s="16" t="n"/>
      <c r="Y556" s="17" t="n"/>
      <c r="Z556" s="137" t="n"/>
      <c r="AB556" s="95">
        <f>DADOS_INVOC!$QB$112</f>
        <v/>
      </c>
      <c r="AC556" s="17" t="n"/>
      <c r="AD556" s="95">
        <f>DADOS_INVOC!$QD$112</f>
        <v/>
      </c>
      <c r="AE556" s="16" t="n"/>
      <c r="AF556" s="17" t="n"/>
      <c r="AG556" s="137" t="n"/>
      <c r="AH556" s="95">
        <f>DADOS_INVOC!$QB$113</f>
        <v/>
      </c>
      <c r="AI556" s="17" t="n"/>
      <c r="AJ556" s="95">
        <f>DADOS_INVOC!$QD$113</f>
        <v/>
      </c>
      <c r="AK556" s="16" t="n"/>
      <c r="AL556" s="17" t="n"/>
      <c r="AM556" s="137" t="n"/>
      <c r="AN556" s="95">
        <f>DADOS_INVOC!$QB$114</f>
        <v/>
      </c>
      <c r="AO556" s="17" t="n"/>
      <c r="AP556" s="95">
        <f>DADOS_INVOC!$QD$114</f>
        <v/>
      </c>
      <c r="AQ556" s="16" t="n"/>
      <c r="AR556" s="17" t="n"/>
      <c r="AS556" s="137" t="n"/>
    </row>
    <row r="557" hidden="1" outlineLevel="2">
      <c r="A557" s="8" t="n"/>
      <c r="B557" s="14" t="n"/>
      <c r="C557" s="137" t="n"/>
      <c r="D557" s="137" t="n"/>
      <c r="E557" s="137" t="n"/>
      <c r="F557" s="137" t="n"/>
      <c r="G557" s="137" t="n"/>
      <c r="I557" s="143">
        <f>DADOS_INVOC!$QJ$34</f>
        <v/>
      </c>
      <c r="J557" s="16" t="n"/>
      <c r="K557" s="16" t="n"/>
      <c r="L557" s="16" t="n"/>
      <c r="M557" s="17" t="n"/>
      <c r="N557" s="137" t="n"/>
      <c r="O557" s="143">
        <f>DADOS_INVOC!$QJ$35</f>
        <v/>
      </c>
      <c r="P557" s="16" t="n"/>
      <c r="Q557" s="16" t="n"/>
      <c r="R557" s="16" t="n"/>
      <c r="S557" s="17" t="n"/>
      <c r="T557" s="137" t="n"/>
      <c r="U557" s="143">
        <f>DADOS_INVOC!$QJ$36</f>
        <v/>
      </c>
      <c r="V557" s="16" t="n"/>
      <c r="W557" s="16" t="n"/>
      <c r="X557" s="16" t="n"/>
      <c r="Y557" s="17" t="n"/>
      <c r="Z557" s="137" t="n"/>
      <c r="AB557" s="143">
        <f>DADOS_INVOC!$QJ$112</f>
        <v/>
      </c>
      <c r="AC557" s="16" t="n"/>
      <c r="AD557" s="16" t="n"/>
      <c r="AE557" s="16" t="n"/>
      <c r="AF557" s="17" t="n"/>
      <c r="AG557" s="137" t="n"/>
      <c r="AH557" s="143">
        <f>DADOS_INVOC!$QJ$113</f>
        <v/>
      </c>
      <c r="AI557" s="16" t="n"/>
      <c r="AJ557" s="16" t="n"/>
      <c r="AK557" s="16" t="n"/>
      <c r="AL557" s="17" t="n"/>
      <c r="AM557" s="137" t="n"/>
      <c r="AN557" s="143">
        <f>DADOS_INVOC!$QJ$114</f>
        <v/>
      </c>
      <c r="AO557" s="16" t="n"/>
      <c r="AP557" s="16" t="n"/>
      <c r="AQ557" s="16" t="n"/>
      <c r="AR557" s="17" t="n"/>
      <c r="AS557" s="137" t="n"/>
    </row>
    <row r="558" hidden="1" outlineLevel="3">
      <c r="A558" s="8" t="n"/>
      <c r="B558" s="14" t="n"/>
      <c r="C558" s="137" t="n"/>
      <c r="D558" s="137" t="n"/>
      <c r="E558" s="137" t="n"/>
      <c r="F558" s="137" t="n"/>
      <c r="G558" s="137" t="n"/>
      <c r="I558" s="56" t="inlineStr">
        <is>
          <t>MELHORIAS</t>
        </is>
      </c>
      <c r="J558" s="144" t="n"/>
      <c r="K558" s="16" t="n"/>
      <c r="L558" s="17" t="n"/>
      <c r="M558" s="143">
        <f>DADOS_INVOC!$QM$34</f>
        <v/>
      </c>
      <c r="N558" s="137" t="n"/>
      <c r="O558" s="56" t="inlineStr">
        <is>
          <t>MELHORIAS</t>
        </is>
      </c>
      <c r="P558" s="144" t="n"/>
      <c r="Q558" s="16" t="n"/>
      <c r="R558" s="17" t="n"/>
      <c r="S558" s="143">
        <f>DADOS_INVOC!$QM$35</f>
        <v/>
      </c>
      <c r="T558" s="137" t="n"/>
      <c r="U558" s="56" t="inlineStr">
        <is>
          <t>MELHORIAS</t>
        </is>
      </c>
      <c r="V558" s="144" t="n"/>
      <c r="W558" s="16" t="n"/>
      <c r="X558" s="17" t="n"/>
      <c r="Y558" s="143">
        <f>DADOS_INVOC!$QM$36</f>
        <v/>
      </c>
      <c r="Z558" s="137" t="n"/>
      <c r="AB558" s="56" t="inlineStr">
        <is>
          <t>MELHORIAS</t>
        </is>
      </c>
      <c r="AC558" s="144" t="n"/>
      <c r="AD558" s="16" t="n"/>
      <c r="AE558" s="17" t="n"/>
      <c r="AF558" s="143">
        <f>DADOS_INVOC!$QM$112</f>
        <v/>
      </c>
      <c r="AG558" s="137" t="n"/>
      <c r="AH558" s="56" t="inlineStr">
        <is>
          <t>MELHORIAS</t>
        </is>
      </c>
      <c r="AI558" s="144" t="n"/>
      <c r="AJ558" s="16" t="n"/>
      <c r="AK558" s="17" t="n"/>
      <c r="AL558" s="143">
        <f>DADOS_INVOC!$QM$113</f>
        <v/>
      </c>
      <c r="AM558" s="137" t="n"/>
      <c r="AN558" s="56" t="inlineStr">
        <is>
          <t>MELHORIAS</t>
        </is>
      </c>
      <c r="AO558" s="144" t="n"/>
      <c r="AP558" s="16" t="n"/>
      <c r="AQ558" s="17" t="n"/>
      <c r="AR558" s="143">
        <f>DADOS_INVOC!$QM$114</f>
        <v/>
      </c>
      <c r="AS558" s="137" t="n"/>
    </row>
    <row r="559" hidden="1" outlineLevel="3">
      <c r="A559" s="8" t="n"/>
      <c r="B559" s="14" t="n"/>
      <c r="C559" s="137" t="n"/>
      <c r="D559" s="137" t="n"/>
      <c r="E559" s="137" t="n"/>
      <c r="F559" s="137" t="n"/>
      <c r="G559" s="137" t="n"/>
      <c r="I559" s="66" t="n"/>
      <c r="J559" s="144" t="n"/>
      <c r="K559" s="16" t="n"/>
      <c r="L559" s="17" t="n"/>
      <c r="M559" s="143">
        <f>DADOS_INVOC!$QN$34</f>
        <v/>
      </c>
      <c r="N559" s="137" t="n"/>
      <c r="O559" s="66" t="n"/>
      <c r="P559" s="144" t="n"/>
      <c r="Q559" s="16" t="n"/>
      <c r="R559" s="17" t="n"/>
      <c r="S559" s="143">
        <f>DADOS_INVOC!$QN$35</f>
        <v/>
      </c>
      <c r="T559" s="137" t="n"/>
      <c r="U559" s="66" t="n"/>
      <c r="V559" s="144" t="n"/>
      <c r="W559" s="16" t="n"/>
      <c r="X559" s="17" t="n"/>
      <c r="Y559" s="143">
        <f>DADOS_INVOC!$QN$36</f>
        <v/>
      </c>
      <c r="Z559" s="137" t="n"/>
      <c r="AB559" s="66" t="n"/>
      <c r="AC559" s="144" t="n"/>
      <c r="AD559" s="16" t="n"/>
      <c r="AE559" s="17" t="n"/>
      <c r="AF559" s="143">
        <f>DADOS_INVOC!$QN$112</f>
        <v/>
      </c>
      <c r="AG559" s="137" t="n"/>
      <c r="AH559" s="66" t="n"/>
      <c r="AI559" s="144" t="n"/>
      <c r="AJ559" s="16" t="n"/>
      <c r="AK559" s="17" t="n"/>
      <c r="AL559" s="143">
        <f>DADOS_INVOC!$QN$113</f>
        <v/>
      </c>
      <c r="AM559" s="137" t="n"/>
      <c r="AN559" s="66" t="n"/>
      <c r="AO559" s="144" t="n"/>
      <c r="AP559" s="16" t="n"/>
      <c r="AQ559" s="17" t="n"/>
      <c r="AR559" s="143">
        <f>DADOS_INVOC!$QN$114</f>
        <v/>
      </c>
      <c r="AS559" s="137" t="n"/>
    </row>
    <row r="560" hidden="1" outlineLevel="3">
      <c r="A560" s="8" t="n"/>
      <c r="B560" s="14" t="n"/>
      <c r="C560" s="137" t="n"/>
      <c r="D560" s="137" t="n"/>
      <c r="E560" s="137" t="n"/>
      <c r="F560" s="137" t="n"/>
      <c r="G560" s="137" t="n"/>
      <c r="I560" s="66" t="n"/>
      <c r="J560" s="144" t="n"/>
      <c r="K560" s="16" t="n"/>
      <c r="L560" s="17" t="n"/>
      <c r="M560" s="143">
        <f>DADOS_INVOC!$QO$34</f>
        <v/>
      </c>
      <c r="N560" s="137" t="n"/>
      <c r="O560" s="66" t="n"/>
      <c r="P560" s="144" t="n"/>
      <c r="Q560" s="16" t="n"/>
      <c r="R560" s="17" t="n"/>
      <c r="S560" s="143">
        <f>DADOS_INVOC!$QO$35</f>
        <v/>
      </c>
      <c r="T560" s="137" t="n"/>
      <c r="U560" s="66" t="n"/>
      <c r="V560" s="144" t="n"/>
      <c r="W560" s="16" t="n"/>
      <c r="X560" s="17" t="n"/>
      <c r="Y560" s="143">
        <f>DADOS_INVOC!$QO$36</f>
        <v/>
      </c>
      <c r="Z560" s="137" t="n"/>
      <c r="AB560" s="66" t="n"/>
      <c r="AC560" s="144" t="n"/>
      <c r="AD560" s="16" t="n"/>
      <c r="AE560" s="17" t="n"/>
      <c r="AF560" s="143">
        <f>DADOS_INVOC!$QO$112</f>
        <v/>
      </c>
      <c r="AG560" s="137" t="n"/>
      <c r="AH560" s="66" t="n"/>
      <c r="AI560" s="144" t="n"/>
      <c r="AJ560" s="16" t="n"/>
      <c r="AK560" s="17" t="n"/>
      <c r="AL560" s="143">
        <f>DADOS_INVOC!$QO$113</f>
        <v/>
      </c>
      <c r="AM560" s="137" t="n"/>
      <c r="AN560" s="66" t="n"/>
      <c r="AO560" s="144" t="n"/>
      <c r="AP560" s="16" t="n"/>
      <c r="AQ560" s="17" t="n"/>
      <c r="AR560" s="143">
        <f>DADOS_INVOC!$QO$114</f>
        <v/>
      </c>
      <c r="AS560" s="137" t="n"/>
    </row>
    <row r="561" hidden="1" outlineLevel="3">
      <c r="A561" s="8" t="n"/>
      <c r="B561" s="14" t="n"/>
      <c r="C561" s="137" t="n"/>
      <c r="D561" s="137" t="n"/>
      <c r="E561" s="137" t="n"/>
      <c r="F561" s="137" t="n"/>
      <c r="G561" s="137" t="n"/>
      <c r="I561" s="128" t="n"/>
      <c r="J561" s="144" t="n"/>
      <c r="K561" s="16" t="n"/>
      <c r="L561" s="17" t="n"/>
      <c r="M561" s="143">
        <f>DADOS_INVOC!$QP$34</f>
        <v/>
      </c>
      <c r="N561" s="137" t="n"/>
      <c r="O561" s="128" t="n"/>
      <c r="P561" s="144" t="n"/>
      <c r="Q561" s="16" t="n"/>
      <c r="R561" s="17" t="n"/>
      <c r="S561" s="143">
        <f>DADOS_INVOC!$QP$35</f>
        <v/>
      </c>
      <c r="T561" s="137" t="n"/>
      <c r="U561" s="128" t="n"/>
      <c r="V561" s="144" t="n"/>
      <c r="W561" s="16" t="n"/>
      <c r="X561" s="17" t="n"/>
      <c r="Y561" s="143">
        <f>DADOS_INVOC!$QP$36</f>
        <v/>
      </c>
      <c r="Z561" s="137" t="n"/>
      <c r="AB561" s="128" t="n"/>
      <c r="AC561" s="144" t="n"/>
      <c r="AD561" s="16" t="n"/>
      <c r="AE561" s="17" t="n"/>
      <c r="AF561" s="143">
        <f>DADOS_INVOC!$QP$112</f>
        <v/>
      </c>
      <c r="AG561" s="137" t="n"/>
      <c r="AH561" s="128" t="n"/>
      <c r="AI561" s="144" t="n"/>
      <c r="AJ561" s="16" t="n"/>
      <c r="AK561" s="17" t="n"/>
      <c r="AL561" s="143">
        <f>DADOS_INVOC!$QP$113</f>
        <v/>
      </c>
      <c r="AM561" s="137" t="n"/>
      <c r="AN561" s="128" t="n"/>
      <c r="AO561" s="144" t="n"/>
      <c r="AP561" s="16" t="n"/>
      <c r="AQ561" s="17" t="n"/>
      <c r="AR561" s="143">
        <f>DADOS_INVOC!$QP$114</f>
        <v/>
      </c>
      <c r="AS561" s="137" t="n"/>
    </row>
    <row r="562" hidden="1" outlineLevel="3">
      <c r="A562" s="8" t="n"/>
      <c r="B562" s="14" t="n"/>
      <c r="C562" s="137" t="n"/>
      <c r="D562" s="137" t="n"/>
      <c r="E562" s="137" t="n"/>
      <c r="F562" s="137" t="n"/>
      <c r="G562" s="137" t="n"/>
      <c r="I562" s="56" t="inlineStr">
        <is>
          <t>RESTRIÇÕES</t>
        </is>
      </c>
      <c r="J562" s="144" t="n"/>
      <c r="K562" s="16" t="n"/>
      <c r="L562" s="17" t="n"/>
      <c r="M562" s="143">
        <f>DADOS_INVOC!$QQ$34</f>
        <v/>
      </c>
      <c r="N562" s="137" t="n"/>
      <c r="O562" s="56" t="inlineStr">
        <is>
          <t>RESTRIÇÕES</t>
        </is>
      </c>
      <c r="P562" s="144" t="n"/>
      <c r="Q562" s="16" t="n"/>
      <c r="R562" s="17" t="n"/>
      <c r="S562" s="143">
        <f>DADOS_INVOC!$QQ$35</f>
        <v/>
      </c>
      <c r="T562" s="137" t="n"/>
      <c r="U562" s="56" t="inlineStr">
        <is>
          <t>RESTRIÇÕES</t>
        </is>
      </c>
      <c r="V562" s="144" t="n"/>
      <c r="W562" s="16" t="n"/>
      <c r="X562" s="17" t="n"/>
      <c r="Y562" s="143">
        <f>DADOS_INVOC!$QQ$36</f>
        <v/>
      </c>
      <c r="Z562" s="137" t="n"/>
      <c r="AB562" s="56" t="inlineStr">
        <is>
          <t>RESTRIÇÕES</t>
        </is>
      </c>
      <c r="AC562" s="144" t="n"/>
      <c r="AD562" s="16" t="n"/>
      <c r="AE562" s="17" t="n"/>
      <c r="AF562" s="143">
        <f>DADOS_INVOC!$QQ$112</f>
        <v/>
      </c>
      <c r="AG562" s="137" t="n"/>
      <c r="AH562" s="56" t="inlineStr">
        <is>
          <t>RESTRIÇÕES</t>
        </is>
      </c>
      <c r="AI562" s="144" t="n"/>
      <c r="AJ562" s="16" t="n"/>
      <c r="AK562" s="17" t="n"/>
      <c r="AL562" s="143">
        <f>DADOS_INVOC!$QQ$113</f>
        <v/>
      </c>
      <c r="AM562" s="137" t="n"/>
      <c r="AN562" s="56" t="inlineStr">
        <is>
          <t>RESTRIÇÕES</t>
        </is>
      </c>
      <c r="AO562" s="144" t="n"/>
      <c r="AP562" s="16" t="n"/>
      <c r="AQ562" s="17" t="n"/>
      <c r="AR562" s="143">
        <f>DADOS_INVOC!$QQ$114</f>
        <v/>
      </c>
      <c r="AS562" s="137" t="n"/>
    </row>
    <row r="563" hidden="1" outlineLevel="3">
      <c r="A563" s="8" t="n"/>
      <c r="B563" s="14" t="n"/>
      <c r="C563" s="137" t="n"/>
      <c r="D563" s="137" t="n"/>
      <c r="E563" s="137" t="n"/>
      <c r="F563" s="137" t="n"/>
      <c r="G563" s="137" t="n"/>
      <c r="I563" s="128" t="n"/>
      <c r="J563" s="144" t="n"/>
      <c r="K563" s="16" t="n"/>
      <c r="L563" s="17" t="n"/>
      <c r="M563" s="143">
        <f>DADOS_INVOC!$QR$34</f>
        <v/>
      </c>
      <c r="N563" s="137" t="n"/>
      <c r="O563" s="128" t="n"/>
      <c r="P563" s="144" t="n"/>
      <c r="Q563" s="16" t="n"/>
      <c r="R563" s="17" t="n"/>
      <c r="S563" s="143">
        <f>DADOS_INVOC!$QR$35</f>
        <v/>
      </c>
      <c r="T563" s="137" t="n"/>
      <c r="U563" s="128" t="n"/>
      <c r="V563" s="144" t="n"/>
      <c r="W563" s="16" t="n"/>
      <c r="X563" s="17" t="n"/>
      <c r="Y563" s="143">
        <f>DADOS_INVOC!$QR$36</f>
        <v/>
      </c>
      <c r="Z563" s="137" t="n"/>
      <c r="AB563" s="128" t="n"/>
      <c r="AC563" s="144" t="n"/>
      <c r="AD563" s="16" t="n"/>
      <c r="AE563" s="17" t="n"/>
      <c r="AF563" s="143">
        <f>DADOS_INVOC!$QR$112</f>
        <v/>
      </c>
      <c r="AG563" s="137" t="n"/>
      <c r="AH563" s="128" t="n"/>
      <c r="AI563" s="144" t="n"/>
      <c r="AJ563" s="16" t="n"/>
      <c r="AK563" s="17" t="n"/>
      <c r="AL563" s="143">
        <f>DADOS_INVOC!$QR$113</f>
        <v/>
      </c>
      <c r="AM563" s="137" t="n"/>
      <c r="AN563" s="128" t="n"/>
      <c r="AO563" s="144" t="n"/>
      <c r="AP563" s="16" t="n"/>
      <c r="AQ563" s="17" t="n"/>
      <c r="AR563" s="143">
        <f>DADOS_INVOC!$QR$114</f>
        <v/>
      </c>
      <c r="AS563" s="137" t="n"/>
    </row>
    <row r="564" hidden="1" outlineLevel="3">
      <c r="A564" s="8" t="n"/>
      <c r="B564" s="14" t="n"/>
      <c r="C564" s="137" t="n"/>
      <c r="D564" s="137" t="n"/>
      <c r="E564" s="137" t="n"/>
      <c r="F564" s="137" t="n"/>
      <c r="G564" s="137" t="n"/>
      <c r="I564" s="56" t="inlineStr">
        <is>
          <t>CONTA</t>
        </is>
      </c>
      <c r="J564" s="145">
        <f>DADOS_INVOC!$QK$34</f>
        <v/>
      </c>
      <c r="K564" s="16" t="n"/>
      <c r="L564" s="16" t="n"/>
      <c r="M564" s="17" t="n"/>
      <c r="N564" s="137" t="n"/>
      <c r="O564" s="56" t="inlineStr">
        <is>
          <t>CONTA</t>
        </is>
      </c>
      <c r="P564" s="145">
        <f>DADOS_INVOC!$QK$35</f>
        <v/>
      </c>
      <c r="Q564" s="16" t="n"/>
      <c r="R564" s="16" t="n"/>
      <c r="S564" s="17" t="n"/>
      <c r="T564" s="137" t="n"/>
      <c r="U564" s="56" t="inlineStr">
        <is>
          <t>CONTA</t>
        </is>
      </c>
      <c r="V564" s="145">
        <f>DADOS_INVOC!$QK$36</f>
        <v/>
      </c>
      <c r="W564" s="16" t="n"/>
      <c r="X564" s="16" t="n"/>
      <c r="Y564" s="17" t="n"/>
      <c r="Z564" s="137" t="n"/>
      <c r="AB564" s="56" t="inlineStr">
        <is>
          <t>CONTA</t>
        </is>
      </c>
      <c r="AC564" s="145">
        <f>DADOS_INVOC!$QK$112</f>
        <v/>
      </c>
      <c r="AD564" s="16" t="n"/>
      <c r="AE564" s="16" t="n"/>
      <c r="AF564" s="17" t="n"/>
      <c r="AG564" s="137" t="n"/>
      <c r="AH564" s="56" t="inlineStr">
        <is>
          <t>CONTA</t>
        </is>
      </c>
      <c r="AI564" s="145">
        <f>DADOS_INVOC!$QK$113</f>
        <v/>
      </c>
      <c r="AJ564" s="16" t="n"/>
      <c r="AK564" s="16" t="n"/>
      <c r="AL564" s="17" t="n"/>
      <c r="AM564" s="137" t="n"/>
      <c r="AN564" s="56" t="inlineStr">
        <is>
          <t>CONTA</t>
        </is>
      </c>
      <c r="AO564" s="145">
        <f>DADOS_INVOC!$QK$114</f>
        <v/>
      </c>
      <c r="AP564" s="16" t="n"/>
      <c r="AQ564" s="16" t="n"/>
      <c r="AR564" s="17" t="n"/>
      <c r="AS564" s="137" t="n"/>
    </row>
    <row r="565" hidden="1" outlineLevel="3">
      <c r="A565" s="8" t="n"/>
      <c r="B565" s="14" t="n"/>
      <c r="C565" s="137" t="n"/>
      <c r="D565" s="137" t="n"/>
      <c r="E565" s="137" t="n"/>
      <c r="F565" s="137" t="n"/>
      <c r="G565" s="137" t="n"/>
      <c r="I565" s="56" t="inlineStr">
        <is>
          <t>AMPLIAR</t>
        </is>
      </c>
      <c r="J565" s="145">
        <f>DADOS_INVOC!$QL$34</f>
        <v/>
      </c>
      <c r="K565" s="19" t="n"/>
      <c r="L565" s="19" t="n"/>
      <c r="M565" s="20" t="n"/>
      <c r="N565" s="137" t="n"/>
      <c r="O565" s="56" t="inlineStr">
        <is>
          <t>AMPLIAR</t>
        </is>
      </c>
      <c r="P565" s="145">
        <f>DADOS_INVOC!$QL$35</f>
        <v/>
      </c>
      <c r="Q565" s="19" t="n"/>
      <c r="R565" s="19" t="n"/>
      <c r="S565" s="20" t="n"/>
      <c r="T565" s="137" t="n"/>
      <c r="U565" s="56" t="inlineStr">
        <is>
          <t>AMPLIAR</t>
        </is>
      </c>
      <c r="V565" s="145">
        <f>DADOS_INVOC!$QL$36</f>
        <v/>
      </c>
      <c r="W565" s="19" t="n"/>
      <c r="X565" s="19" t="n"/>
      <c r="Y565" s="20" t="n"/>
      <c r="Z565" s="137" t="n"/>
      <c r="AB565" s="56" t="inlineStr">
        <is>
          <t>AMPLIAR</t>
        </is>
      </c>
      <c r="AC565" s="145">
        <f>DADOS_INVOC!$QL$112</f>
        <v/>
      </c>
      <c r="AD565" s="19" t="n"/>
      <c r="AE565" s="19" t="n"/>
      <c r="AF565" s="20" t="n"/>
      <c r="AG565" s="137" t="n"/>
      <c r="AH565" s="56" t="inlineStr">
        <is>
          <t>AMPLIAR</t>
        </is>
      </c>
      <c r="AI565" s="145">
        <f>DADOS_INVOC!$QL$113</f>
        <v/>
      </c>
      <c r="AJ565" s="19" t="n"/>
      <c r="AK565" s="19" t="n"/>
      <c r="AL565" s="20" t="n"/>
      <c r="AM565" s="137" t="n"/>
      <c r="AN565" s="56" t="inlineStr">
        <is>
          <t>AMPLIAR</t>
        </is>
      </c>
      <c r="AO565" s="145">
        <f>DADOS_INVOC!$QL$114</f>
        <v/>
      </c>
      <c r="AP565" s="19" t="n"/>
      <c r="AQ565" s="19" t="n"/>
      <c r="AR565" s="20" t="n"/>
      <c r="AS565" s="137" t="n"/>
    </row>
    <row r="566" hidden="1" outlineLevel="3">
      <c r="A566" s="8" t="n"/>
      <c r="B566" s="14" t="n"/>
      <c r="C566" s="137" t="n"/>
      <c r="D566" s="137" t="n"/>
      <c r="E566" s="137" t="n"/>
      <c r="F566" s="137" t="n"/>
      <c r="G566" s="137" t="n"/>
      <c r="I566" s="128" t="n"/>
      <c r="J566" s="23" t="n"/>
      <c r="K566" s="24" t="n"/>
      <c r="L566" s="24" t="n"/>
      <c r="M566" s="25" t="n"/>
      <c r="N566" s="137" t="n"/>
      <c r="O566" s="128" t="n"/>
      <c r="P566" s="23" t="n"/>
      <c r="Q566" s="24" t="n"/>
      <c r="R566" s="24" t="n"/>
      <c r="S566" s="25" t="n"/>
      <c r="T566" s="137" t="n"/>
      <c r="U566" s="128" t="n"/>
      <c r="V566" s="23" t="n"/>
      <c r="W566" s="24" t="n"/>
      <c r="X566" s="24" t="n"/>
      <c r="Y566" s="25" t="n"/>
      <c r="Z566" s="137" t="n"/>
      <c r="AB566" s="128" t="n"/>
      <c r="AC566" s="23" t="n"/>
      <c r="AD566" s="24" t="n"/>
      <c r="AE566" s="24" t="n"/>
      <c r="AF566" s="25" t="n"/>
      <c r="AG566" s="137" t="n"/>
      <c r="AH566" s="128" t="n"/>
      <c r="AI566" s="23" t="n"/>
      <c r="AJ566" s="24" t="n"/>
      <c r="AK566" s="24" t="n"/>
      <c r="AL566" s="25" t="n"/>
      <c r="AM566" s="137" t="n"/>
      <c r="AN566" s="128" t="n"/>
      <c r="AO566" s="23" t="n"/>
      <c r="AP566" s="24" t="n"/>
      <c r="AQ566" s="24" t="n"/>
      <c r="AR566" s="25" t="n"/>
      <c r="AS566" s="137" t="n"/>
    </row>
    <row r="567" hidden="1" outlineLevel="3">
      <c r="A567" s="8" t="n"/>
      <c r="B567" s="14" t="n"/>
      <c r="C567" s="137" t="n"/>
      <c r="D567" s="137" t="n"/>
      <c r="E567" s="137" t="n"/>
      <c r="F567" s="137" t="n"/>
      <c r="G567" s="137" t="n"/>
      <c r="I567" s="145">
        <f>DADOS_INVOC!$PY$34</f>
        <v/>
      </c>
      <c r="J567" s="19" t="n"/>
      <c r="K567" s="19" t="n"/>
      <c r="L567" s="19" t="n"/>
      <c r="M567" s="20" t="n"/>
      <c r="N567" s="137" t="n"/>
      <c r="O567" s="145">
        <f>DADOS_INVOC!$PY$35</f>
        <v/>
      </c>
      <c r="P567" s="19" t="n"/>
      <c r="Q567" s="19" t="n"/>
      <c r="R567" s="19" t="n"/>
      <c r="S567" s="20" t="n"/>
      <c r="T567" s="137" t="n"/>
      <c r="U567" s="145">
        <f>DADOS_INVOC!$PY$36</f>
        <v/>
      </c>
      <c r="V567" s="19" t="n"/>
      <c r="W567" s="19" t="n"/>
      <c r="X567" s="19" t="n"/>
      <c r="Y567" s="20" t="n"/>
      <c r="Z567" s="137" t="n"/>
      <c r="AB567" s="145">
        <f>DADOS_INVOC!$PY$112</f>
        <v/>
      </c>
      <c r="AC567" s="19" t="n"/>
      <c r="AD567" s="19" t="n"/>
      <c r="AE567" s="19" t="n"/>
      <c r="AF567" s="20" t="n"/>
      <c r="AG567" s="137" t="n"/>
      <c r="AH567" s="145">
        <f>DADOS_INVOC!$PY$113</f>
        <v/>
      </c>
      <c r="AI567" s="19" t="n"/>
      <c r="AJ567" s="19" t="n"/>
      <c r="AK567" s="19" t="n"/>
      <c r="AL567" s="20" t="n"/>
      <c r="AM567" s="137" t="n"/>
      <c r="AN567" s="145">
        <f>DADOS_INVOC!$PY$114</f>
        <v/>
      </c>
      <c r="AO567" s="19" t="n"/>
      <c r="AP567" s="19" t="n"/>
      <c r="AQ567" s="19" t="n"/>
      <c r="AR567" s="20" t="n"/>
      <c r="AS567" s="137" t="n"/>
    </row>
    <row r="568" hidden="1" outlineLevel="3">
      <c r="A568" s="8" t="n"/>
      <c r="B568" s="14" t="n"/>
      <c r="C568" s="137" t="n"/>
      <c r="D568" s="137" t="n"/>
      <c r="E568" s="137" t="n"/>
      <c r="F568" s="137" t="n"/>
      <c r="G568" s="137" t="n"/>
      <c r="I568" s="23" t="n"/>
      <c r="J568" s="24" t="n"/>
      <c r="K568" s="24" t="n"/>
      <c r="L568" s="24" t="n"/>
      <c r="M568" s="25" t="n"/>
      <c r="N568" s="137" t="n"/>
      <c r="O568" s="23" t="n"/>
      <c r="P568" s="24" t="n"/>
      <c r="Q568" s="24" t="n"/>
      <c r="R568" s="24" t="n"/>
      <c r="S568" s="25" t="n"/>
      <c r="T568" s="137" t="n"/>
      <c r="U568" s="23" t="n"/>
      <c r="V568" s="24" t="n"/>
      <c r="W568" s="24" t="n"/>
      <c r="X568" s="24" t="n"/>
      <c r="Y568" s="25" t="n"/>
      <c r="Z568" s="137" t="n"/>
      <c r="AB568" s="23" t="n"/>
      <c r="AC568" s="24" t="n"/>
      <c r="AD568" s="24" t="n"/>
      <c r="AE568" s="24" t="n"/>
      <c r="AF568" s="25" t="n"/>
      <c r="AG568" s="137" t="n"/>
      <c r="AH568" s="23" t="n"/>
      <c r="AI568" s="24" t="n"/>
      <c r="AJ568" s="24" t="n"/>
      <c r="AK568" s="24" t="n"/>
      <c r="AL568" s="25" t="n"/>
      <c r="AM568" s="137" t="n"/>
      <c r="AN568" s="23" t="n"/>
      <c r="AO568" s="24" t="n"/>
      <c r="AP568" s="24" t="n"/>
      <c r="AQ568" s="24" t="n"/>
      <c r="AR568" s="25" t="n"/>
      <c r="AS568" s="137" t="n"/>
    </row>
    <row r="569" hidden="1" outlineLevel="2">
      <c r="A569" s="8" t="n"/>
      <c r="B569" s="14" t="n"/>
      <c r="C569" s="137" t="n"/>
      <c r="D569" s="137" t="n"/>
      <c r="E569" s="137" t="n"/>
      <c r="F569" s="137" t="n"/>
      <c r="G569" s="137" t="n"/>
      <c r="I569" s="137" t="n"/>
      <c r="J569" s="137" t="n"/>
      <c r="K569" s="137" t="n"/>
      <c r="L569" s="137" t="n"/>
      <c r="M569" s="137" t="n"/>
      <c r="N569" s="137" t="n"/>
      <c r="O569" s="137" t="n"/>
      <c r="P569" s="137" t="n"/>
      <c r="Q569" s="137" t="n"/>
      <c r="R569" s="137" t="n"/>
      <c r="S569" s="137" t="n"/>
      <c r="T569" s="137" t="n"/>
      <c r="U569" s="137" t="n"/>
      <c r="V569" s="137" t="n"/>
      <c r="W569" s="137" t="n"/>
      <c r="X569" s="137" t="n"/>
      <c r="Y569" s="137" t="n"/>
      <c r="Z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37" t="n"/>
      <c r="AS569" s="137" t="n"/>
    </row>
    <row r="570" hidden="1" outlineLevel="2">
      <c r="A570" s="8" t="n"/>
      <c r="B570" s="14" t="n"/>
      <c r="C570" s="137" t="n"/>
      <c r="D570" s="137" t="n"/>
      <c r="E570" s="137" t="n"/>
      <c r="F570" s="137" t="n"/>
      <c r="G570" s="137" t="n"/>
      <c r="I570" s="56">
        <f>DADOS_INVOC!$PZ$37</f>
        <v/>
      </c>
      <c r="J570" s="16" t="n"/>
      <c r="K570" s="16" t="n"/>
      <c r="L570" s="16" t="n"/>
      <c r="M570" s="17" t="n"/>
      <c r="N570" s="137" t="n"/>
      <c r="O570" s="137" t="n"/>
      <c r="P570" s="137" t="n"/>
      <c r="Q570" s="137" t="n"/>
      <c r="R570" s="137" t="n"/>
      <c r="S570" s="137" t="n"/>
      <c r="T570" s="137" t="n"/>
      <c r="U570" s="137" t="n"/>
      <c r="V570" s="137" t="n"/>
      <c r="W570" s="137" t="n"/>
      <c r="X570" s="137" t="n"/>
      <c r="Y570" s="137" t="n"/>
      <c r="Z570" s="137" t="n"/>
      <c r="AB570" s="56">
        <f>DADOS_INVOC!$PZ$115</f>
        <v/>
      </c>
      <c r="AC570" s="16" t="n"/>
      <c r="AD570" s="16" t="n"/>
      <c r="AE570" s="16" t="n"/>
      <c r="AF570" s="17" t="n"/>
      <c r="AG570" s="137" t="n"/>
      <c r="AH570" s="137" t="n"/>
      <c r="AI570" s="137" t="n"/>
      <c r="AJ570" s="137" t="n"/>
      <c r="AK570" s="137" t="n"/>
      <c r="AL570" s="137" t="n"/>
      <c r="AM570" s="137" t="n"/>
      <c r="AN570" s="137" t="n"/>
      <c r="AO570" s="137" t="n"/>
      <c r="AP570" s="137" t="n"/>
      <c r="AQ570" s="137" t="n"/>
      <c r="AR570" s="137" t="n"/>
      <c r="AS570" s="137" t="n"/>
    </row>
    <row r="571" hidden="1" outlineLevel="2">
      <c r="A571" s="8" t="n"/>
      <c r="B571" s="14" t="n"/>
      <c r="C571" s="137" t="n"/>
      <c r="D571" s="137" t="n"/>
      <c r="E571" s="137" t="n"/>
      <c r="F571" s="137" t="n"/>
      <c r="G571" s="137" t="n"/>
      <c r="I571" s="141" t="n">
        <v>1</v>
      </c>
      <c r="J571" s="131" t="n"/>
      <c r="K571" s="16" t="n"/>
      <c r="L571" s="17" t="n"/>
      <c r="M571" s="142">
        <f>DADOS_INVOC!$PX$37</f>
        <v/>
      </c>
      <c r="N571" s="137" t="n"/>
      <c r="O571" s="137" t="n"/>
      <c r="P571" s="137" t="n"/>
      <c r="Q571" s="137" t="n"/>
      <c r="R571" s="137" t="n"/>
      <c r="S571" s="137" t="n"/>
      <c r="T571" s="137" t="n"/>
      <c r="U571" s="137" t="n"/>
      <c r="V571" s="137" t="n"/>
      <c r="W571" s="137" t="n"/>
      <c r="X571" s="137" t="n"/>
      <c r="Y571" s="137" t="n"/>
      <c r="Z571" s="137" t="n"/>
      <c r="AB571" s="141" t="n">
        <v>1</v>
      </c>
      <c r="AC571" s="131" t="n"/>
      <c r="AD571" s="16" t="n"/>
      <c r="AE571" s="17" t="n"/>
      <c r="AF571" s="142">
        <f>DADOS_INVOC!$PX$115</f>
        <v/>
      </c>
      <c r="AG571" s="137" t="n"/>
      <c r="AH571" s="137" t="n"/>
      <c r="AI571" s="137" t="n"/>
      <c r="AJ571" s="137" t="n"/>
      <c r="AK571" s="137" t="n"/>
      <c r="AL571" s="137" t="n"/>
      <c r="AM571" s="137" t="n"/>
      <c r="AN571" s="137" t="n"/>
      <c r="AO571" s="137" t="n"/>
      <c r="AP571" s="137" t="n"/>
      <c r="AQ571" s="137" t="n"/>
      <c r="AR571" s="137" t="n"/>
      <c r="AS571" s="137" t="n"/>
    </row>
    <row r="572" hidden="1" outlineLevel="3">
      <c r="A572" s="8" t="n"/>
      <c r="B572" s="14" t="n"/>
      <c r="C572" s="137" t="n"/>
      <c r="D572" s="137" t="n"/>
      <c r="E572" s="137" t="n"/>
      <c r="F572" s="137" t="n"/>
      <c r="G572" s="137" t="n"/>
      <c r="I572" s="56" t="inlineStr">
        <is>
          <t>COMO É</t>
        </is>
      </c>
      <c r="J572" s="16" t="n"/>
      <c r="K572" s="16" t="n"/>
      <c r="L572" s="16" t="n"/>
      <c r="M572" s="17" t="n"/>
      <c r="N572" s="137" t="n"/>
      <c r="O572" s="137" t="n"/>
      <c r="P572" s="137" t="n"/>
      <c r="Q572" s="137" t="n"/>
      <c r="R572" s="137" t="n"/>
      <c r="S572" s="137" t="n"/>
      <c r="T572" s="137" t="n"/>
      <c r="U572" s="137" t="n"/>
      <c r="V572" s="137" t="n"/>
      <c r="W572" s="137" t="n"/>
      <c r="X572" s="137" t="n"/>
      <c r="Y572" s="137" t="n"/>
      <c r="Z572" s="137" t="n"/>
      <c r="AB572" s="56" t="inlineStr">
        <is>
          <t>COMO É</t>
        </is>
      </c>
      <c r="AC572" s="16" t="n"/>
      <c r="AD572" s="16" t="n"/>
      <c r="AE572" s="16" t="n"/>
      <c r="AF572" s="17" t="n"/>
      <c r="AG572" s="137" t="n"/>
      <c r="AH572" s="137" t="n"/>
      <c r="AI572" s="137" t="n"/>
      <c r="AJ572" s="137" t="n"/>
      <c r="AK572" s="137" t="n"/>
      <c r="AL572" s="137" t="n"/>
      <c r="AM572" s="137" t="n"/>
      <c r="AN572" s="137" t="n"/>
      <c r="AO572" s="137" t="n"/>
      <c r="AP572" s="137" t="n"/>
      <c r="AQ572" s="137" t="n"/>
      <c r="AR572" s="137" t="n"/>
      <c r="AS572" s="137" t="n"/>
    </row>
    <row r="573" hidden="1" outlineLevel="3">
      <c r="A573" s="8" t="n"/>
      <c r="B573" s="14" t="n"/>
      <c r="C573" s="137" t="n"/>
      <c r="D573" s="137" t="n"/>
      <c r="E573" s="137" t="n"/>
      <c r="F573" s="137" t="n"/>
      <c r="G573" s="137" t="n"/>
      <c r="I573" s="61" t="n"/>
      <c r="J573" s="19" t="n"/>
      <c r="K573" s="19" t="n"/>
      <c r="L573" s="19" t="n"/>
      <c r="M573" s="20" t="n"/>
      <c r="N573" s="137" t="n"/>
      <c r="O573" s="137" t="n"/>
      <c r="P573" s="137" t="n"/>
      <c r="Q573" s="137" t="n"/>
      <c r="R573" s="137" t="n"/>
      <c r="S573" s="137" t="n"/>
      <c r="T573" s="137" t="n"/>
      <c r="U573" s="137" t="n"/>
      <c r="V573" s="137" t="n"/>
      <c r="W573" s="137" t="n"/>
      <c r="X573" s="137" t="n"/>
      <c r="Y573" s="137" t="n"/>
      <c r="Z573" s="137" t="n"/>
      <c r="AB573" s="61" t="n"/>
      <c r="AC573" s="19" t="n"/>
      <c r="AD573" s="19" t="n"/>
      <c r="AE573" s="19" t="n"/>
      <c r="AF573" s="20" t="n"/>
      <c r="AG573" s="137" t="n"/>
      <c r="AH573" s="137" t="n"/>
      <c r="AI573" s="137" t="n"/>
      <c r="AJ573" s="137" t="n"/>
      <c r="AK573" s="137" t="n"/>
      <c r="AL573" s="137" t="n"/>
      <c r="AM573" s="137" t="n"/>
      <c r="AN573" s="137" t="n"/>
      <c r="AO573" s="137" t="n"/>
      <c r="AP573" s="137" t="n"/>
      <c r="AQ573" s="137" t="n"/>
      <c r="AR573" s="137" t="n"/>
      <c r="AS573" s="137" t="n"/>
    </row>
    <row r="574" hidden="1" outlineLevel="3">
      <c r="A574" s="8" t="n"/>
      <c r="B574" s="14" t="n"/>
      <c r="C574" s="137" t="n"/>
      <c r="D574" s="137" t="n"/>
      <c r="E574" s="137" t="n"/>
      <c r="F574" s="137" t="n"/>
      <c r="G574" s="137" t="n"/>
      <c r="I574" s="21" t="n"/>
      <c r="M574" s="22" t="n"/>
      <c r="N574" s="137" t="n"/>
      <c r="O574" s="137" t="n"/>
      <c r="P574" s="137" t="n"/>
      <c r="Q574" s="137" t="n"/>
      <c r="R574" s="137" t="n"/>
      <c r="S574" s="137" t="n"/>
      <c r="T574" s="137" t="n"/>
      <c r="U574" s="137" t="n"/>
      <c r="V574" s="137" t="n"/>
      <c r="W574" s="137" t="n"/>
      <c r="X574" s="137" t="n"/>
      <c r="Y574" s="137" t="n"/>
      <c r="Z574" s="137" t="n"/>
      <c r="AB574" s="21" t="n"/>
      <c r="AF574" s="22" t="n"/>
      <c r="AG574" s="137" t="n"/>
      <c r="AH574" s="137" t="n"/>
      <c r="AI574" s="137" t="n"/>
      <c r="AJ574" s="137" t="n"/>
      <c r="AK574" s="137" t="n"/>
      <c r="AL574" s="137" t="n"/>
      <c r="AM574" s="137" t="n"/>
      <c r="AN574" s="137" t="n"/>
      <c r="AO574" s="137" t="n"/>
      <c r="AP574" s="137" t="n"/>
      <c r="AQ574" s="137" t="n"/>
      <c r="AR574" s="137" t="n"/>
      <c r="AS574" s="137" t="n"/>
    </row>
    <row r="575" hidden="1" outlineLevel="3">
      <c r="A575" s="8" t="n"/>
      <c r="B575" s="14" t="n"/>
      <c r="C575" s="137" t="n"/>
      <c r="D575" s="137" t="n"/>
      <c r="E575" s="137" t="n"/>
      <c r="F575" s="137" t="n"/>
      <c r="G575" s="137" t="n"/>
      <c r="I575" s="23" t="n"/>
      <c r="J575" s="24" t="n"/>
      <c r="K575" s="24" t="n"/>
      <c r="L575" s="24" t="n"/>
      <c r="M575" s="25" t="n"/>
      <c r="N575" s="137" t="n"/>
      <c r="O575" s="137" t="n"/>
      <c r="P575" s="137" t="n"/>
      <c r="Q575" s="137" t="n"/>
      <c r="R575" s="137" t="n"/>
      <c r="S575" s="137" t="n"/>
      <c r="T575" s="137" t="n"/>
      <c r="U575" s="137" t="n"/>
      <c r="V575" s="137" t="n"/>
      <c r="W575" s="137" t="n"/>
      <c r="X575" s="137" t="n"/>
      <c r="Y575" s="137" t="n"/>
      <c r="Z575" s="137" t="n"/>
      <c r="AB575" s="23" t="n"/>
      <c r="AC575" s="24" t="n"/>
      <c r="AD575" s="24" t="n"/>
      <c r="AE575" s="24" t="n"/>
      <c r="AF575" s="25" t="n"/>
      <c r="AG575" s="137" t="n"/>
      <c r="AH575" s="137" t="n"/>
      <c r="AI575" s="137" t="n"/>
      <c r="AJ575" s="137" t="n"/>
      <c r="AK575" s="137" t="n"/>
      <c r="AL575" s="137" t="n"/>
      <c r="AM575" s="137" t="n"/>
      <c r="AN575" s="137" t="n"/>
      <c r="AO575" s="137" t="n"/>
      <c r="AP575" s="137" t="n"/>
      <c r="AQ575" s="137" t="n"/>
      <c r="AR575" s="137" t="n"/>
      <c r="AS575" s="137" t="n"/>
    </row>
    <row r="576" hidden="1" outlineLevel="2">
      <c r="A576" s="8" t="n"/>
      <c r="B576" s="14" t="n"/>
      <c r="C576" s="137" t="n"/>
      <c r="D576" s="137" t="n"/>
      <c r="E576" s="137" t="n"/>
      <c r="F576" s="137" t="n"/>
      <c r="G576" s="137" t="n"/>
      <c r="I576" s="95" t="inlineStr">
        <is>
          <t>Projétil</t>
        </is>
      </c>
      <c r="J576" s="17" t="n"/>
      <c r="K576" s="71">
        <f>DADOS_INVOC!$QE$37</f>
        <v/>
      </c>
      <c r="L576" s="17" t="n"/>
      <c r="M576" s="71">
        <f>DADOS_INVOC!$QA$37</f>
        <v/>
      </c>
      <c r="N576" s="137" t="n"/>
      <c r="O576" s="137" t="n"/>
      <c r="P576" s="137" t="n"/>
      <c r="Q576" s="137" t="n"/>
      <c r="R576" s="137" t="n"/>
      <c r="S576" s="137" t="n"/>
      <c r="T576" s="137" t="n"/>
      <c r="U576" s="137" t="n"/>
      <c r="V576" s="137" t="n"/>
      <c r="W576" s="137" t="n"/>
      <c r="X576" s="137" t="n"/>
      <c r="Y576" s="137" t="n"/>
      <c r="Z576" s="137" t="n"/>
      <c r="AB576" s="95" t="inlineStr">
        <is>
          <t>Projétil</t>
        </is>
      </c>
      <c r="AC576" s="17" t="n"/>
      <c r="AD576" s="71">
        <f>DADOS_INVOC!$QE$115</f>
        <v/>
      </c>
      <c r="AE576" s="17" t="n"/>
      <c r="AF576" s="71">
        <f>DADOS_INVOC!$QA$115</f>
        <v/>
      </c>
      <c r="AG576" s="137" t="n"/>
      <c r="AH576" s="137" t="n"/>
      <c r="AI576" s="137" t="n"/>
      <c r="AJ576" s="137" t="n"/>
      <c r="AK576" s="137" t="n"/>
      <c r="AL576" s="137" t="n"/>
      <c r="AM576" s="137" t="n"/>
      <c r="AN576" s="137" t="n"/>
      <c r="AO576" s="137" t="n"/>
      <c r="AP576" s="137" t="n"/>
      <c r="AQ576" s="137" t="n"/>
      <c r="AR576" s="137" t="n"/>
      <c r="AS576" s="137" t="n"/>
    </row>
    <row r="577" hidden="1" outlineLevel="2">
      <c r="A577" s="8" t="n"/>
      <c r="B577" s="14" t="n"/>
      <c r="C577" s="137" t="n"/>
      <c r="D577" s="137" t="n"/>
      <c r="E577" s="137" t="n"/>
      <c r="F577" s="137" t="n"/>
      <c r="G577" s="137" t="n"/>
      <c r="I577" s="95" t="n"/>
      <c r="J577" s="17" t="n"/>
      <c r="K577" s="95" t="n"/>
      <c r="L577" s="16" t="n"/>
      <c r="M577" s="17" t="n"/>
      <c r="N577" s="137" t="n"/>
      <c r="O577" s="137" t="n"/>
      <c r="P577" s="137" t="n"/>
      <c r="Q577" s="137" t="n"/>
      <c r="R577" s="137" t="n"/>
      <c r="S577" s="137" t="n"/>
      <c r="T577" s="137" t="n"/>
      <c r="U577" s="137" t="n"/>
      <c r="V577" s="137" t="n"/>
      <c r="W577" s="137" t="n"/>
      <c r="X577" s="137" t="n"/>
      <c r="Y577" s="137" t="n"/>
      <c r="Z577" s="137" t="n"/>
      <c r="AB577" s="95" t="n"/>
      <c r="AC577" s="17" t="n"/>
      <c r="AD577" s="95" t="n"/>
      <c r="AE577" s="16" t="n"/>
      <c r="AF577" s="17" t="n"/>
      <c r="AG577" s="137" t="n"/>
      <c r="AH577" s="137" t="n"/>
      <c r="AI577" s="137" t="n"/>
      <c r="AJ577" s="137" t="n"/>
      <c r="AK577" s="137" t="n"/>
      <c r="AL577" s="137" t="n"/>
      <c r="AM577" s="137" t="n"/>
      <c r="AN577" s="137" t="n"/>
      <c r="AO577" s="137" t="n"/>
      <c r="AP577" s="137" t="n"/>
      <c r="AQ577" s="137" t="n"/>
      <c r="AR577" s="137" t="n"/>
      <c r="AS577" s="137" t="n"/>
    </row>
    <row r="578" hidden="1" outlineLevel="2">
      <c r="A578" s="8" t="n"/>
      <c r="B578" s="14" t="n"/>
      <c r="C578" s="137" t="n"/>
      <c r="D578" s="137" t="n"/>
      <c r="E578" s="137" t="n"/>
      <c r="F578" s="137" t="n"/>
      <c r="G578" s="137" t="n"/>
      <c r="I578" s="95">
        <f>DADOS_INVOC!$QB$37</f>
        <v/>
      </c>
      <c r="J578" s="17" t="n"/>
      <c r="K578" s="95">
        <f>DADOS_INVOC!$QD$37</f>
        <v/>
      </c>
      <c r="L578" s="16" t="n"/>
      <c r="M578" s="17" t="n"/>
      <c r="N578" s="137" t="n"/>
      <c r="O578" s="137" t="n"/>
      <c r="P578" s="137" t="n"/>
      <c r="Q578" s="137" t="n"/>
      <c r="R578" s="137" t="n"/>
      <c r="S578" s="137" t="n"/>
      <c r="T578" s="137" t="n"/>
      <c r="U578" s="137" t="n"/>
      <c r="V578" s="137" t="n"/>
      <c r="W578" s="137" t="n"/>
      <c r="X578" s="137" t="n"/>
      <c r="Y578" s="137" t="n"/>
      <c r="Z578" s="137" t="n"/>
      <c r="AB578" s="95">
        <f>DADOS_INVOC!$QB$115</f>
        <v/>
      </c>
      <c r="AC578" s="17" t="n"/>
      <c r="AD578" s="95">
        <f>DADOS_INVOC!$QD$115</f>
        <v/>
      </c>
      <c r="AE578" s="16" t="n"/>
      <c r="AF578" s="17" t="n"/>
      <c r="AG578" s="137" t="n"/>
      <c r="AH578" s="137" t="n"/>
      <c r="AI578" s="137" t="n"/>
      <c r="AJ578" s="137" t="n"/>
      <c r="AK578" s="137" t="n"/>
      <c r="AL578" s="137" t="n"/>
      <c r="AM578" s="137" t="n"/>
      <c r="AN578" s="137" t="n"/>
      <c r="AO578" s="137" t="n"/>
      <c r="AP578" s="137" t="n"/>
      <c r="AQ578" s="137" t="n"/>
      <c r="AR578" s="137" t="n"/>
      <c r="AS578" s="137" t="n"/>
    </row>
    <row r="579" hidden="1" outlineLevel="2">
      <c r="A579" s="8" t="n"/>
      <c r="B579" s="14" t="n"/>
      <c r="C579" s="137" t="n"/>
      <c r="D579" s="137" t="n"/>
      <c r="E579" s="137" t="n"/>
      <c r="F579" s="137" t="n"/>
      <c r="G579" s="137" t="n"/>
      <c r="I579" s="143">
        <f>DADOS_INVOC!$QJ$37</f>
        <v/>
      </c>
      <c r="J579" s="16" t="n"/>
      <c r="K579" s="16" t="n"/>
      <c r="L579" s="16" t="n"/>
      <c r="M579" s="17" t="n"/>
      <c r="N579" s="137" t="n"/>
      <c r="O579" s="137" t="n"/>
      <c r="P579" s="137" t="n"/>
      <c r="Q579" s="137" t="n"/>
      <c r="R579" s="137" t="n"/>
      <c r="S579" s="137" t="n"/>
      <c r="T579" s="137" t="n"/>
      <c r="U579" s="137" t="n"/>
      <c r="V579" s="137" t="n"/>
      <c r="W579" s="137" t="n"/>
      <c r="X579" s="137" t="n"/>
      <c r="Y579" s="137" t="n"/>
      <c r="Z579" s="137" t="n"/>
      <c r="AB579" s="143">
        <f>DADOS_INVOC!$QJ$115</f>
        <v/>
      </c>
      <c r="AC579" s="16" t="n"/>
      <c r="AD579" s="16" t="n"/>
      <c r="AE579" s="16" t="n"/>
      <c r="AF579" s="17" t="n"/>
      <c r="AG579" s="137" t="n"/>
      <c r="AH579" s="137" t="n"/>
      <c r="AI579" s="137" t="n"/>
      <c r="AJ579" s="137" t="n"/>
      <c r="AK579" s="137" t="n"/>
      <c r="AL579" s="137" t="n"/>
      <c r="AM579" s="137" t="n"/>
      <c r="AN579" s="137" t="n"/>
      <c r="AO579" s="137" t="n"/>
      <c r="AP579" s="137" t="n"/>
      <c r="AQ579" s="137" t="n"/>
      <c r="AR579" s="137" t="n"/>
      <c r="AS579" s="137" t="n"/>
    </row>
    <row r="580" hidden="1" outlineLevel="3">
      <c r="A580" s="8" t="n"/>
      <c r="B580" s="14" t="n"/>
      <c r="C580" s="137" t="n"/>
      <c r="D580" s="137" t="n"/>
      <c r="E580" s="137" t="n"/>
      <c r="F580" s="137" t="n"/>
      <c r="G580" s="137" t="n"/>
      <c r="I580" s="56" t="inlineStr">
        <is>
          <t>MELHORIAS</t>
        </is>
      </c>
      <c r="J580" s="144" t="n"/>
      <c r="K580" s="16" t="n"/>
      <c r="L580" s="17" t="n"/>
      <c r="M580" s="143">
        <f>DADOS_INVOC!$QM$37</f>
        <v/>
      </c>
      <c r="N580" s="137" t="n"/>
      <c r="O580" s="137" t="n"/>
      <c r="P580" s="137" t="n"/>
      <c r="Q580" s="137" t="n"/>
      <c r="R580" s="137" t="n"/>
      <c r="S580" s="137" t="n"/>
      <c r="T580" s="137" t="n"/>
      <c r="U580" s="137" t="n"/>
      <c r="V580" s="137" t="n"/>
      <c r="W580" s="137" t="n"/>
      <c r="X580" s="137" t="n"/>
      <c r="Y580" s="137" t="n"/>
      <c r="Z580" s="137" t="n"/>
      <c r="AB580" s="56" t="inlineStr">
        <is>
          <t>MELHORIAS</t>
        </is>
      </c>
      <c r="AC580" s="144" t="n"/>
      <c r="AD580" s="16" t="n"/>
      <c r="AE580" s="17" t="n"/>
      <c r="AF580" s="143">
        <f>DADOS_INVOC!$QM$115</f>
        <v/>
      </c>
      <c r="AG580" s="137" t="n"/>
      <c r="AH580" s="137" t="n"/>
      <c r="AI580" s="137" t="n"/>
      <c r="AJ580" s="137" t="n"/>
      <c r="AK580" s="137" t="n"/>
      <c r="AL580" s="137" t="n"/>
      <c r="AM580" s="137" t="n"/>
      <c r="AN580" s="137" t="n"/>
      <c r="AO580" s="137" t="n"/>
      <c r="AP580" s="137" t="n"/>
      <c r="AQ580" s="137" t="n"/>
      <c r="AR580" s="137" t="n"/>
      <c r="AS580" s="137" t="n"/>
    </row>
    <row r="581" hidden="1" outlineLevel="3">
      <c r="A581" s="8" t="n"/>
      <c r="B581" s="14" t="n"/>
      <c r="C581" s="137" t="n"/>
      <c r="D581" s="137" t="n"/>
      <c r="E581" s="137" t="n"/>
      <c r="F581" s="137" t="n"/>
      <c r="G581" s="137" t="n"/>
      <c r="I581" s="66" t="n"/>
      <c r="J581" s="144" t="n"/>
      <c r="K581" s="16" t="n"/>
      <c r="L581" s="17" t="n"/>
      <c r="M581" s="143">
        <f>DADOS_INVOC!$QN$37</f>
        <v/>
      </c>
      <c r="N581" s="137" t="n"/>
      <c r="O581" s="137" t="n"/>
      <c r="P581" s="137" t="n"/>
      <c r="Q581" s="137" t="n"/>
      <c r="R581" s="137" t="n"/>
      <c r="S581" s="137" t="n"/>
      <c r="T581" s="137" t="n"/>
      <c r="U581" s="137" t="n"/>
      <c r="V581" s="137" t="n"/>
      <c r="W581" s="137" t="n"/>
      <c r="X581" s="137" t="n"/>
      <c r="Y581" s="137" t="n"/>
      <c r="Z581" s="137" t="n"/>
      <c r="AB581" s="66" t="n"/>
      <c r="AC581" s="144" t="n"/>
      <c r="AD581" s="16" t="n"/>
      <c r="AE581" s="17" t="n"/>
      <c r="AF581" s="143">
        <f>DADOS_INVOC!$QN$115</f>
        <v/>
      </c>
      <c r="AG581" s="137" t="n"/>
      <c r="AH581" s="137" t="n"/>
      <c r="AI581" s="137" t="n"/>
      <c r="AJ581" s="137" t="n"/>
      <c r="AK581" s="137" t="n"/>
      <c r="AL581" s="137" t="n"/>
      <c r="AM581" s="137" t="n"/>
      <c r="AN581" s="137" t="n"/>
      <c r="AO581" s="137" t="n"/>
      <c r="AP581" s="137" t="n"/>
      <c r="AQ581" s="137" t="n"/>
      <c r="AR581" s="137" t="n"/>
      <c r="AS581" s="137" t="n"/>
    </row>
    <row r="582" hidden="1" outlineLevel="3">
      <c r="A582" s="8" t="n"/>
      <c r="B582" s="14" t="n"/>
      <c r="C582" s="137" t="n"/>
      <c r="D582" s="137" t="n"/>
      <c r="E582" s="137" t="n"/>
      <c r="F582" s="137" t="n"/>
      <c r="G582" s="137" t="n"/>
      <c r="I582" s="66" t="n"/>
      <c r="J582" s="144" t="n"/>
      <c r="K582" s="16" t="n"/>
      <c r="L582" s="17" t="n"/>
      <c r="M582" s="143">
        <f>DADOS_INVOC!$QO$37</f>
        <v/>
      </c>
      <c r="N582" s="137" t="n"/>
      <c r="O582" s="137" t="n"/>
      <c r="P582" s="137" t="n"/>
      <c r="Q582" s="137" t="n"/>
      <c r="R582" s="137" t="n"/>
      <c r="S582" s="137" t="n"/>
      <c r="T582" s="137" t="n"/>
      <c r="U582" s="137" t="n"/>
      <c r="V582" s="137" t="n"/>
      <c r="W582" s="137" t="n"/>
      <c r="X582" s="137" t="n"/>
      <c r="Y582" s="137" t="n"/>
      <c r="Z582" s="137" t="n"/>
      <c r="AB582" s="66" t="n"/>
      <c r="AC582" s="144" t="n"/>
      <c r="AD582" s="16" t="n"/>
      <c r="AE582" s="17" t="n"/>
      <c r="AF582" s="143">
        <f>DADOS_INVOC!$QO$115</f>
        <v/>
      </c>
      <c r="AG582" s="137" t="n"/>
      <c r="AH582" s="137" t="n"/>
      <c r="AI582" s="137" t="n"/>
      <c r="AJ582" s="137" t="n"/>
      <c r="AK582" s="137" t="n"/>
      <c r="AL582" s="137" t="n"/>
      <c r="AM582" s="137" t="n"/>
      <c r="AN582" s="137" t="n"/>
      <c r="AO582" s="137" t="n"/>
      <c r="AP582" s="137" t="n"/>
      <c r="AQ582" s="137" t="n"/>
      <c r="AR582" s="137" t="n"/>
      <c r="AS582" s="137" t="n"/>
    </row>
    <row r="583" hidden="1" outlineLevel="3">
      <c r="A583" s="8" t="n"/>
      <c r="B583" s="14" t="n"/>
      <c r="C583" s="137" t="n"/>
      <c r="D583" s="137" t="n"/>
      <c r="E583" s="137" t="n"/>
      <c r="F583" s="137" t="n"/>
      <c r="G583" s="137" t="n"/>
      <c r="I583" s="128" t="n"/>
      <c r="J583" s="144" t="n"/>
      <c r="K583" s="16" t="n"/>
      <c r="L583" s="17" t="n"/>
      <c r="M583" s="143">
        <f>DADOS_INVOC!$QP$37</f>
        <v/>
      </c>
      <c r="N583" s="137" t="n"/>
      <c r="O583" s="137" t="n"/>
      <c r="P583" s="137" t="n"/>
      <c r="Q583" s="137" t="n"/>
      <c r="R583" s="137" t="n"/>
      <c r="S583" s="137" t="n"/>
      <c r="T583" s="137" t="n"/>
      <c r="U583" s="137" t="n"/>
      <c r="V583" s="137" t="n"/>
      <c r="W583" s="137" t="n"/>
      <c r="X583" s="137" t="n"/>
      <c r="Y583" s="137" t="n"/>
      <c r="Z583" s="137" t="n"/>
      <c r="AB583" s="128" t="n"/>
      <c r="AC583" s="144" t="n"/>
      <c r="AD583" s="16" t="n"/>
      <c r="AE583" s="17" t="n"/>
      <c r="AF583" s="143">
        <f>DADOS_INVOC!$QP$115</f>
        <v/>
      </c>
      <c r="AG583" s="137" t="n"/>
      <c r="AH583" s="137" t="n"/>
      <c r="AI583" s="137" t="n"/>
      <c r="AJ583" s="137" t="n"/>
      <c r="AK583" s="137" t="n"/>
      <c r="AL583" s="137" t="n"/>
      <c r="AM583" s="137" t="n"/>
      <c r="AN583" s="137" t="n"/>
      <c r="AO583" s="137" t="n"/>
      <c r="AP583" s="137" t="n"/>
      <c r="AQ583" s="137" t="n"/>
      <c r="AR583" s="137" t="n"/>
      <c r="AS583" s="137" t="n"/>
    </row>
    <row r="584" hidden="1" outlineLevel="3">
      <c r="A584" s="8" t="n"/>
      <c r="B584" s="14" t="n"/>
      <c r="C584" s="137" t="n"/>
      <c r="D584" s="137" t="n"/>
      <c r="E584" s="137" t="n"/>
      <c r="F584" s="137" t="n"/>
      <c r="G584" s="137" t="n"/>
      <c r="I584" s="56" t="inlineStr">
        <is>
          <t>RESTRIÇÕES</t>
        </is>
      </c>
      <c r="J584" s="144" t="n"/>
      <c r="K584" s="16" t="n"/>
      <c r="L584" s="17" t="n"/>
      <c r="M584" s="143">
        <f>DADOS_INVOC!$QQ$37</f>
        <v/>
      </c>
      <c r="N584" s="137" t="n"/>
      <c r="O584" s="137" t="n"/>
      <c r="P584" s="137" t="n"/>
      <c r="Q584" s="137" t="n"/>
      <c r="R584" s="137" t="n"/>
      <c r="S584" s="137" t="n"/>
      <c r="T584" s="137" t="n"/>
      <c r="U584" s="137" t="n"/>
      <c r="V584" s="137" t="n"/>
      <c r="W584" s="137" t="n"/>
      <c r="X584" s="137" t="n"/>
      <c r="Y584" s="137" t="n"/>
      <c r="Z584" s="137" t="n"/>
      <c r="AB584" s="56" t="inlineStr">
        <is>
          <t>RESTRIÇÕES</t>
        </is>
      </c>
      <c r="AC584" s="144" t="n"/>
      <c r="AD584" s="16" t="n"/>
      <c r="AE584" s="17" t="n"/>
      <c r="AF584" s="143">
        <f>DADOS_INVOC!$QQ$115</f>
        <v/>
      </c>
      <c r="AG584" s="137" t="n"/>
      <c r="AH584" s="137" t="n"/>
      <c r="AI584" s="137" t="n"/>
      <c r="AJ584" s="137" t="n"/>
      <c r="AK584" s="137" t="n"/>
      <c r="AL584" s="137" t="n"/>
      <c r="AM584" s="137" t="n"/>
      <c r="AN584" s="137" t="n"/>
      <c r="AO584" s="137" t="n"/>
      <c r="AP584" s="137" t="n"/>
      <c r="AQ584" s="137" t="n"/>
      <c r="AR584" s="137" t="n"/>
      <c r="AS584" s="137" t="n"/>
    </row>
    <row r="585" hidden="1" outlineLevel="3">
      <c r="A585" s="8" t="n"/>
      <c r="B585" s="14" t="n"/>
      <c r="C585" s="137" t="n"/>
      <c r="D585" s="137" t="n"/>
      <c r="E585" s="137" t="n"/>
      <c r="F585" s="137" t="n"/>
      <c r="G585" s="137" t="n"/>
      <c r="I585" s="128" t="n"/>
      <c r="J585" s="144" t="n"/>
      <c r="K585" s="16" t="n"/>
      <c r="L585" s="17" t="n"/>
      <c r="M585" s="143">
        <f>DADOS_INVOC!$QR$37</f>
        <v/>
      </c>
      <c r="N585" s="137" t="n"/>
      <c r="O585" s="137" t="n"/>
      <c r="P585" s="137" t="n"/>
      <c r="Q585" s="137" t="n"/>
      <c r="R585" s="137" t="n"/>
      <c r="S585" s="137" t="n"/>
      <c r="T585" s="137" t="n"/>
      <c r="U585" s="137" t="n"/>
      <c r="V585" s="137" t="n"/>
      <c r="W585" s="137" t="n"/>
      <c r="X585" s="137" t="n"/>
      <c r="Y585" s="137" t="n"/>
      <c r="Z585" s="137" t="n"/>
      <c r="AB585" s="128" t="n"/>
      <c r="AC585" s="144" t="n"/>
      <c r="AD585" s="16" t="n"/>
      <c r="AE585" s="17" t="n"/>
      <c r="AF585" s="143">
        <f>DADOS_INVOC!$QR$115</f>
        <v/>
      </c>
      <c r="AG585" s="137" t="n"/>
      <c r="AH585" s="137" t="n"/>
      <c r="AI585" s="137" t="n"/>
      <c r="AJ585" s="137" t="n"/>
      <c r="AK585" s="137" t="n"/>
      <c r="AL585" s="137" t="n"/>
      <c r="AM585" s="137" t="n"/>
      <c r="AN585" s="137" t="n"/>
      <c r="AO585" s="137" t="n"/>
      <c r="AP585" s="137" t="n"/>
      <c r="AQ585" s="137" t="n"/>
      <c r="AR585" s="137" t="n"/>
      <c r="AS585" s="137" t="n"/>
    </row>
    <row r="586" hidden="1" outlineLevel="3">
      <c r="A586" s="8" t="n"/>
      <c r="B586" s="14" t="n"/>
      <c r="C586" s="137" t="n"/>
      <c r="D586" s="137" t="n"/>
      <c r="E586" s="137" t="n"/>
      <c r="F586" s="137" t="n"/>
      <c r="G586" s="137" t="n"/>
      <c r="I586" s="56" t="inlineStr">
        <is>
          <t>CONTA</t>
        </is>
      </c>
      <c r="J586" s="145">
        <f>DADOS_INVOC!$QK$37</f>
        <v/>
      </c>
      <c r="K586" s="16" t="n"/>
      <c r="L586" s="16" t="n"/>
      <c r="M586" s="17" t="n"/>
      <c r="N586" s="137" t="n"/>
      <c r="O586" s="137" t="n"/>
      <c r="P586" s="137" t="n"/>
      <c r="Q586" s="137" t="n"/>
      <c r="R586" s="137" t="n"/>
      <c r="S586" s="137" t="n"/>
      <c r="T586" s="137" t="n"/>
      <c r="U586" s="137" t="n"/>
      <c r="V586" s="137" t="n"/>
      <c r="W586" s="137" t="n"/>
      <c r="X586" s="137" t="n"/>
      <c r="Y586" s="137" t="n"/>
      <c r="Z586" s="137" t="n"/>
      <c r="AB586" s="56" t="inlineStr">
        <is>
          <t>CONTA</t>
        </is>
      </c>
      <c r="AC586" s="145">
        <f>DADOS_INVOC!$QK$115</f>
        <v/>
      </c>
      <c r="AD586" s="16" t="n"/>
      <c r="AE586" s="16" t="n"/>
      <c r="AF586" s="17" t="n"/>
      <c r="AG586" s="137" t="n"/>
      <c r="AH586" s="137" t="n"/>
      <c r="AI586" s="137" t="n"/>
      <c r="AJ586" s="137" t="n"/>
      <c r="AK586" s="137" t="n"/>
      <c r="AL586" s="137" t="n"/>
      <c r="AM586" s="137" t="n"/>
      <c r="AN586" s="137" t="n"/>
      <c r="AO586" s="137" t="n"/>
      <c r="AP586" s="137" t="n"/>
      <c r="AQ586" s="137" t="n"/>
      <c r="AR586" s="137" t="n"/>
      <c r="AS586" s="137" t="n"/>
    </row>
    <row r="587" hidden="1" outlineLevel="3">
      <c r="A587" s="8" t="n"/>
      <c r="B587" s="14" t="n"/>
      <c r="C587" s="137" t="n"/>
      <c r="D587" s="137" t="n"/>
      <c r="E587" s="137" t="n"/>
      <c r="F587" s="137" t="n"/>
      <c r="G587" s="137" t="n"/>
      <c r="I587" s="56" t="inlineStr">
        <is>
          <t>AMPLIAR</t>
        </is>
      </c>
      <c r="J587" s="145">
        <f>DADOS_INVOC!$QL$37</f>
        <v/>
      </c>
      <c r="K587" s="19" t="n"/>
      <c r="L587" s="19" t="n"/>
      <c r="M587" s="20" t="n"/>
      <c r="N587" s="137" t="n"/>
      <c r="O587" s="137" t="n"/>
      <c r="P587" s="137" t="n"/>
      <c r="Q587" s="137" t="n"/>
      <c r="R587" s="137" t="n"/>
      <c r="S587" s="137" t="n"/>
      <c r="T587" s="137" t="n"/>
      <c r="U587" s="137" t="n"/>
      <c r="V587" s="137" t="n"/>
      <c r="W587" s="137" t="n"/>
      <c r="X587" s="137" t="n"/>
      <c r="Y587" s="137" t="n"/>
      <c r="Z587" s="137" t="n"/>
      <c r="AB587" s="56" t="inlineStr">
        <is>
          <t>AMPLIAR</t>
        </is>
      </c>
      <c r="AC587" s="145">
        <f>DADOS_INVOC!$QL$115</f>
        <v/>
      </c>
      <c r="AD587" s="19" t="n"/>
      <c r="AE587" s="19" t="n"/>
      <c r="AF587" s="20" t="n"/>
      <c r="AG587" s="137" t="n"/>
      <c r="AH587" s="137" t="n"/>
      <c r="AI587" s="137" t="n"/>
      <c r="AJ587" s="137" t="n"/>
      <c r="AK587" s="137" t="n"/>
      <c r="AL587" s="137" t="n"/>
      <c r="AM587" s="137" t="n"/>
      <c r="AN587" s="137" t="n"/>
      <c r="AO587" s="137" t="n"/>
      <c r="AP587" s="137" t="n"/>
      <c r="AQ587" s="137" t="n"/>
      <c r="AR587" s="137" t="n"/>
      <c r="AS587" s="137" t="n"/>
    </row>
    <row r="588" hidden="1" outlineLevel="3">
      <c r="A588" s="8" t="n"/>
      <c r="B588" s="14" t="n"/>
      <c r="C588" s="137" t="n"/>
      <c r="D588" s="137" t="n"/>
      <c r="E588" s="137" t="n"/>
      <c r="F588" s="137" t="n"/>
      <c r="G588" s="137" t="n"/>
      <c r="I588" s="128" t="n"/>
      <c r="J588" s="23" t="n"/>
      <c r="K588" s="24" t="n"/>
      <c r="L588" s="24" t="n"/>
      <c r="M588" s="25" t="n"/>
      <c r="N588" s="137" t="n"/>
      <c r="O588" s="137" t="n"/>
      <c r="P588" s="137" t="n"/>
      <c r="Q588" s="137" t="n"/>
      <c r="R588" s="137" t="n"/>
      <c r="S588" s="137" t="n"/>
      <c r="T588" s="137" t="n"/>
      <c r="U588" s="137" t="n"/>
      <c r="V588" s="137" t="n"/>
      <c r="W588" s="137" t="n"/>
      <c r="X588" s="137" t="n"/>
      <c r="Y588" s="137" t="n"/>
      <c r="Z588" s="137" t="n"/>
      <c r="AB588" s="128" t="n"/>
      <c r="AC588" s="23" t="n"/>
      <c r="AD588" s="24" t="n"/>
      <c r="AE588" s="24" t="n"/>
      <c r="AF588" s="25" t="n"/>
      <c r="AG588" s="137" t="n"/>
      <c r="AH588" s="137" t="n"/>
      <c r="AI588" s="137" t="n"/>
      <c r="AJ588" s="137" t="n"/>
      <c r="AK588" s="137" t="n"/>
      <c r="AL588" s="137" t="n"/>
      <c r="AM588" s="137" t="n"/>
      <c r="AN588" s="137" t="n"/>
      <c r="AO588" s="137" t="n"/>
      <c r="AP588" s="137" t="n"/>
      <c r="AQ588" s="137" t="n"/>
      <c r="AR588" s="137" t="n"/>
      <c r="AS588" s="137" t="n"/>
    </row>
    <row r="589" hidden="1" outlineLevel="3">
      <c r="A589" s="8" t="n"/>
      <c r="B589" s="14" t="n"/>
      <c r="C589" s="137" t="n"/>
      <c r="D589" s="137" t="n"/>
      <c r="E589" s="137" t="n"/>
      <c r="F589" s="137" t="n"/>
      <c r="G589" s="137" t="n"/>
      <c r="I589" s="145">
        <f>DADOS_INVOC!$PY$37</f>
        <v/>
      </c>
      <c r="J589" s="19" t="n"/>
      <c r="K589" s="19" t="n"/>
      <c r="L589" s="19" t="n"/>
      <c r="M589" s="20" t="n"/>
      <c r="N589" s="137" t="n"/>
      <c r="O589" s="137" t="n"/>
      <c r="P589" s="137" t="n"/>
      <c r="Q589" s="137" t="n"/>
      <c r="R589" s="137" t="n"/>
      <c r="S589" s="137" t="n"/>
      <c r="T589" s="137" t="n"/>
      <c r="U589" s="137" t="n"/>
      <c r="V589" s="137" t="n"/>
      <c r="W589" s="137" t="n"/>
      <c r="X589" s="137" t="n"/>
      <c r="Y589" s="137" t="n"/>
      <c r="Z589" s="137" t="n"/>
      <c r="AB589" s="145">
        <f>DADOS_INVOC!$PY$115</f>
        <v/>
      </c>
      <c r="AC589" s="19" t="n"/>
      <c r="AD589" s="19" t="n"/>
      <c r="AE589" s="19" t="n"/>
      <c r="AF589" s="20" t="n"/>
      <c r="AG589" s="137" t="n"/>
      <c r="AH589" s="137" t="n"/>
      <c r="AI589" s="137" t="n"/>
      <c r="AJ589" s="137" t="n"/>
      <c r="AK589" s="137" t="n"/>
      <c r="AL589" s="137" t="n"/>
      <c r="AM589" s="137" t="n"/>
      <c r="AN589" s="137" t="n"/>
      <c r="AO589" s="137" t="n"/>
      <c r="AP589" s="137" t="n"/>
      <c r="AQ589" s="137" t="n"/>
      <c r="AR589" s="137" t="n"/>
      <c r="AS589" s="137" t="n"/>
    </row>
    <row r="590" hidden="1" outlineLevel="3">
      <c r="A590" s="8" t="n"/>
      <c r="B590" s="14" t="n"/>
      <c r="C590" s="137" t="n"/>
      <c r="D590" s="137" t="n"/>
      <c r="E590" s="137" t="n"/>
      <c r="F590" s="137" t="n"/>
      <c r="G590" s="137" t="n"/>
      <c r="I590" s="23" t="n"/>
      <c r="J590" s="24" t="n"/>
      <c r="K590" s="24" t="n"/>
      <c r="L590" s="24" t="n"/>
      <c r="M590" s="25" t="n"/>
      <c r="N590" s="137" t="n"/>
      <c r="O590" s="137" t="n"/>
      <c r="P590" s="137" t="n"/>
      <c r="Q590" s="137" t="n"/>
      <c r="R590" s="137" t="n"/>
      <c r="S590" s="137" t="n"/>
      <c r="T590" s="137" t="n"/>
      <c r="U590" s="137" t="n"/>
      <c r="V590" s="137" t="n"/>
      <c r="W590" s="137" t="n"/>
      <c r="X590" s="137" t="n"/>
      <c r="Y590" s="137" t="n"/>
      <c r="Z590" s="137" t="n"/>
      <c r="AB590" s="23" t="n"/>
      <c r="AC590" s="24" t="n"/>
      <c r="AD590" s="24" t="n"/>
      <c r="AE590" s="24" t="n"/>
      <c r="AF590" s="25" t="n"/>
      <c r="AG590" s="137" t="n"/>
      <c r="AH590" s="137" t="n"/>
      <c r="AI590" s="137" t="n"/>
      <c r="AJ590" s="137" t="n"/>
      <c r="AK590" s="137" t="n"/>
      <c r="AL590" s="137" t="n"/>
      <c r="AM590" s="137" t="n"/>
      <c r="AN590" s="137" t="n"/>
      <c r="AO590" s="137" t="n"/>
      <c r="AP590" s="137" t="n"/>
      <c r="AQ590" s="137" t="n"/>
      <c r="AR590" s="137" t="n"/>
      <c r="AS590" s="137" t="n"/>
    </row>
    <row r="591" hidden="1" outlineLevel="1">
      <c r="A591" s="8" t="n"/>
      <c r="B591" s="14" t="n"/>
      <c r="C591" s="137" t="n"/>
      <c r="D591" s="137" t="n"/>
      <c r="E591" s="137" t="n"/>
      <c r="F591" s="137" t="n"/>
      <c r="G591" s="137" t="n"/>
      <c r="I591" s="137" t="n"/>
      <c r="J591" s="137" t="n"/>
      <c r="K591" s="137" t="n"/>
      <c r="L591" s="137" t="n"/>
      <c r="M591" s="137" t="n"/>
      <c r="N591" s="137" t="n"/>
      <c r="O591" s="137" t="n"/>
      <c r="P591" s="137" t="n"/>
      <c r="Q591" s="137" t="n"/>
      <c r="R591" s="137" t="n"/>
      <c r="S591" s="137" t="n"/>
      <c r="T591" s="137" t="n"/>
      <c r="U591" s="137" t="n"/>
      <c r="V591" s="137" t="n"/>
      <c r="W591" s="137" t="n"/>
      <c r="X591" s="137" t="n"/>
      <c r="Y591" s="137" t="n"/>
      <c r="Z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37" t="n"/>
      <c r="AS591" s="137" t="n"/>
    </row>
    <row r="592" hidden="1" outlineLevel="1">
      <c r="A592" s="8" t="n"/>
      <c r="B592" s="14" t="n"/>
      <c r="C592" s="137" t="n"/>
      <c r="D592" s="137" t="n"/>
      <c r="E592" s="137" t="n"/>
      <c r="F592" s="137" t="n"/>
      <c r="G592" s="137" t="n"/>
      <c r="I592" s="146" t="inlineStr">
        <is>
          <t>REPERTÓRIO DA TRILHA · só o Evocador: as escolhas a mais da Invocação Principal e do Repertório do Conjunto</t>
        </is>
      </c>
      <c r="J592" s="16" t="n"/>
      <c r="K592" s="16" t="n"/>
      <c r="L592" s="16" t="n"/>
      <c r="M592" s="16" t="n"/>
      <c r="N592" s="16" t="n"/>
      <c r="O592" s="16" t="n"/>
      <c r="P592" s="16" t="n"/>
      <c r="Q592" s="16" t="n"/>
      <c r="R592" s="16" t="n"/>
      <c r="S592" s="16" t="n"/>
      <c r="T592" s="16" t="n"/>
      <c r="U592" s="16" t="n"/>
      <c r="V592" s="16" t="n"/>
      <c r="W592" s="16" t="n"/>
      <c r="X592" s="16" t="n"/>
      <c r="Y592" s="17" t="n"/>
      <c r="Z592" s="137" t="n"/>
      <c r="AB592" s="146" t="inlineStr">
        <is>
          <t>REPERTÓRIO DA TRILHA · só o Evocador: as escolhas a mais da Invocação Principal e do Repertório do Conjunto</t>
        </is>
      </c>
      <c r="AC592" s="16" t="n"/>
      <c r="AD592" s="16" t="n"/>
      <c r="AE592" s="16" t="n"/>
      <c r="AF592" s="16" t="n"/>
      <c r="AG592" s="16" t="n"/>
      <c r="AH592" s="16" t="n"/>
      <c r="AI592" s="16" t="n"/>
      <c r="AJ592" s="16" t="n"/>
      <c r="AK592" s="16" t="n"/>
      <c r="AL592" s="16" t="n"/>
      <c r="AM592" s="16" t="n"/>
      <c r="AN592" s="16" t="n"/>
      <c r="AO592" s="16" t="n"/>
      <c r="AP592" s="16" t="n"/>
      <c r="AQ592" s="16" t="n"/>
      <c r="AR592" s="17" t="n"/>
      <c r="AS592" s="137" t="n"/>
    </row>
    <row r="593" hidden="1" outlineLevel="2">
      <c r="A593" s="8" t="n"/>
      <c r="B593" s="14" t="n"/>
      <c r="C593" s="137" t="n"/>
      <c r="D593" s="137" t="n"/>
      <c r="E593" s="137" t="n"/>
      <c r="F593" s="137" t="n"/>
      <c r="G593" s="137" t="n"/>
      <c r="I593" s="137" t="n"/>
      <c r="J593" s="137" t="n"/>
      <c r="K593" s="137" t="n"/>
      <c r="L593" s="137" t="n"/>
      <c r="M593" s="137" t="n"/>
      <c r="N593" s="137" t="n"/>
      <c r="O593" s="137" t="n"/>
      <c r="P593" s="137" t="n"/>
      <c r="Q593" s="137" t="n"/>
      <c r="R593" s="137" t="n"/>
      <c r="S593" s="137" t="n"/>
      <c r="T593" s="137" t="n"/>
      <c r="U593" s="137" t="n"/>
      <c r="V593" s="137" t="n"/>
      <c r="W593" s="137" t="n"/>
      <c r="X593" s="137" t="n"/>
      <c r="Y593" s="137" t="n"/>
      <c r="Z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37" t="n"/>
      <c r="AS593" s="137" t="n"/>
    </row>
    <row r="594" hidden="1" outlineLevel="2">
      <c r="A594" s="8" t="n"/>
      <c r="B594" s="14" t="n"/>
      <c r="C594" s="137" t="n"/>
      <c r="D594" s="137" t="n"/>
      <c r="E594" s="137" t="n"/>
      <c r="F594" s="137" t="n"/>
      <c r="G594" s="137" t="n"/>
      <c r="I594" s="56">
        <f>DADOS_INVOC!$PZ$38</f>
        <v/>
      </c>
      <c r="J594" s="16" t="n"/>
      <c r="K594" s="16" t="n"/>
      <c r="L594" s="16" t="n"/>
      <c r="M594" s="17" t="n"/>
      <c r="N594" s="137" t="n"/>
      <c r="O594" s="56">
        <f>DADOS_INVOC!$PZ$39</f>
        <v/>
      </c>
      <c r="P594" s="16" t="n"/>
      <c r="Q594" s="16" t="n"/>
      <c r="R594" s="16" t="n"/>
      <c r="S594" s="17" t="n"/>
      <c r="T594" s="137" t="n"/>
      <c r="U594" s="56">
        <f>DADOS_INVOC!$PZ$40</f>
        <v/>
      </c>
      <c r="V594" s="16" t="n"/>
      <c r="W594" s="16" t="n"/>
      <c r="X594" s="16" t="n"/>
      <c r="Y594" s="17" t="n"/>
      <c r="Z594" s="137" t="n"/>
      <c r="AB594" s="56">
        <f>DADOS_INVOC!$PZ$116</f>
        <v/>
      </c>
      <c r="AC594" s="16" t="n"/>
      <c r="AD594" s="16" t="n"/>
      <c r="AE594" s="16" t="n"/>
      <c r="AF594" s="17" t="n"/>
      <c r="AG594" s="137" t="n"/>
      <c r="AH594" s="56">
        <f>DADOS_INVOC!$PZ$117</f>
        <v/>
      </c>
      <c r="AI594" s="16" t="n"/>
      <c r="AJ594" s="16" t="n"/>
      <c r="AK594" s="16" t="n"/>
      <c r="AL594" s="17" t="n"/>
      <c r="AM594" s="137" t="n"/>
      <c r="AN594" s="56">
        <f>DADOS_INVOC!$PZ$118</f>
        <v/>
      </c>
      <c r="AO594" s="16" t="n"/>
      <c r="AP594" s="16" t="n"/>
      <c r="AQ594" s="16" t="n"/>
      <c r="AR594" s="17" t="n"/>
      <c r="AS594" s="137" t="n"/>
    </row>
    <row r="595" hidden="1" outlineLevel="2">
      <c r="A595" s="8" t="n"/>
      <c r="B595" s="14" t="n"/>
      <c r="C595" s="137" t="n"/>
      <c r="D595" s="137" t="n"/>
      <c r="E595" s="137" t="n"/>
      <c r="F595" s="137" t="n"/>
      <c r="G595" s="137" t="n"/>
      <c r="I595" s="141" t="n">
        <v>1</v>
      </c>
      <c r="J595" s="131" t="n"/>
      <c r="K595" s="16" t="n"/>
      <c r="L595" s="17" t="n"/>
      <c r="M595" s="142">
        <f>DADOS_INVOC!$PX$38</f>
        <v/>
      </c>
      <c r="N595" s="137" t="n"/>
      <c r="O595" s="141" t="n">
        <v>1</v>
      </c>
      <c r="P595" s="131" t="n"/>
      <c r="Q595" s="16" t="n"/>
      <c r="R595" s="17" t="n"/>
      <c r="S595" s="142">
        <f>DADOS_INVOC!$PX$39</f>
        <v/>
      </c>
      <c r="T595" s="137" t="n"/>
      <c r="U595" s="141" t="n">
        <v>1</v>
      </c>
      <c r="V595" s="131" t="n"/>
      <c r="W595" s="16" t="n"/>
      <c r="X595" s="17" t="n"/>
      <c r="Y595" s="142">
        <f>DADOS_INVOC!$PX$40</f>
        <v/>
      </c>
      <c r="Z595" s="137" t="n"/>
      <c r="AB595" s="141" t="n">
        <v>1</v>
      </c>
      <c r="AC595" s="131" t="n"/>
      <c r="AD595" s="16" t="n"/>
      <c r="AE595" s="17" t="n"/>
      <c r="AF595" s="142">
        <f>DADOS_INVOC!$PX$116</f>
        <v/>
      </c>
      <c r="AG595" s="137" t="n"/>
      <c r="AH595" s="141" t="n">
        <v>1</v>
      </c>
      <c r="AI595" s="131" t="n"/>
      <c r="AJ595" s="16" t="n"/>
      <c r="AK595" s="17" t="n"/>
      <c r="AL595" s="142">
        <f>DADOS_INVOC!$PX$117</f>
        <v/>
      </c>
      <c r="AM595" s="137" t="n"/>
      <c r="AN595" s="141" t="n">
        <v>1</v>
      </c>
      <c r="AO595" s="131" t="n"/>
      <c r="AP595" s="16" t="n"/>
      <c r="AQ595" s="17" t="n"/>
      <c r="AR595" s="142">
        <f>DADOS_INVOC!$PX$118</f>
        <v/>
      </c>
      <c r="AS595" s="137" t="n"/>
    </row>
    <row r="596" hidden="1" outlineLevel="3">
      <c r="A596" s="8" t="n"/>
      <c r="B596" s="14" t="n"/>
      <c r="C596" s="137" t="n"/>
      <c r="D596" s="137" t="n"/>
      <c r="E596" s="137" t="n"/>
      <c r="F596" s="137" t="n"/>
      <c r="G596" s="137" t="n"/>
      <c r="I596" s="56" t="inlineStr">
        <is>
          <t>COMO É</t>
        </is>
      </c>
      <c r="J596" s="16" t="n"/>
      <c r="K596" s="16" t="n"/>
      <c r="L596" s="16" t="n"/>
      <c r="M596" s="17" t="n"/>
      <c r="N596" s="137" t="n"/>
      <c r="O596" s="56" t="inlineStr">
        <is>
          <t>COMO É</t>
        </is>
      </c>
      <c r="P596" s="16" t="n"/>
      <c r="Q596" s="16" t="n"/>
      <c r="R596" s="16" t="n"/>
      <c r="S596" s="17" t="n"/>
      <c r="T596" s="137" t="n"/>
      <c r="U596" s="56" t="inlineStr">
        <is>
          <t>COMO É</t>
        </is>
      </c>
      <c r="V596" s="16" t="n"/>
      <c r="W596" s="16" t="n"/>
      <c r="X596" s="16" t="n"/>
      <c r="Y596" s="17" t="n"/>
      <c r="Z596" s="137" t="n"/>
      <c r="AB596" s="56" t="inlineStr">
        <is>
          <t>COMO É</t>
        </is>
      </c>
      <c r="AC596" s="16" t="n"/>
      <c r="AD596" s="16" t="n"/>
      <c r="AE596" s="16" t="n"/>
      <c r="AF596" s="17" t="n"/>
      <c r="AG596" s="137" t="n"/>
      <c r="AH596" s="56" t="inlineStr">
        <is>
          <t>COMO É</t>
        </is>
      </c>
      <c r="AI596" s="16" t="n"/>
      <c r="AJ596" s="16" t="n"/>
      <c r="AK596" s="16" t="n"/>
      <c r="AL596" s="17" t="n"/>
      <c r="AM596" s="137" t="n"/>
      <c r="AN596" s="56" t="inlineStr">
        <is>
          <t>COMO É</t>
        </is>
      </c>
      <c r="AO596" s="16" t="n"/>
      <c r="AP596" s="16" t="n"/>
      <c r="AQ596" s="16" t="n"/>
      <c r="AR596" s="17" t="n"/>
      <c r="AS596" s="137" t="n"/>
    </row>
    <row r="597" hidden="1" outlineLevel="3">
      <c r="A597" s="8" t="n"/>
      <c r="B597" s="14" t="n"/>
      <c r="C597" s="137" t="n"/>
      <c r="D597" s="137" t="n"/>
      <c r="E597" s="137" t="n"/>
      <c r="F597" s="137" t="n"/>
      <c r="G597" s="137" t="n"/>
      <c r="I597" s="61" t="n"/>
      <c r="J597" s="19" t="n"/>
      <c r="K597" s="19" t="n"/>
      <c r="L597" s="19" t="n"/>
      <c r="M597" s="20" t="n"/>
      <c r="N597" s="137" t="n"/>
      <c r="O597" s="61" t="n"/>
      <c r="P597" s="19" t="n"/>
      <c r="Q597" s="19" t="n"/>
      <c r="R597" s="19" t="n"/>
      <c r="S597" s="20" t="n"/>
      <c r="T597" s="137" t="n"/>
      <c r="U597" s="61" t="n"/>
      <c r="V597" s="19" t="n"/>
      <c r="W597" s="19" t="n"/>
      <c r="X597" s="19" t="n"/>
      <c r="Y597" s="20" t="n"/>
      <c r="Z597" s="137" t="n"/>
      <c r="AB597" s="61" t="n"/>
      <c r="AC597" s="19" t="n"/>
      <c r="AD597" s="19" t="n"/>
      <c r="AE597" s="19" t="n"/>
      <c r="AF597" s="20" t="n"/>
      <c r="AG597" s="137" t="n"/>
      <c r="AH597" s="61" t="n"/>
      <c r="AI597" s="19" t="n"/>
      <c r="AJ597" s="19" t="n"/>
      <c r="AK597" s="19" t="n"/>
      <c r="AL597" s="20" t="n"/>
      <c r="AM597" s="137" t="n"/>
      <c r="AN597" s="61" t="n"/>
      <c r="AO597" s="19" t="n"/>
      <c r="AP597" s="19" t="n"/>
      <c r="AQ597" s="19" t="n"/>
      <c r="AR597" s="20" t="n"/>
      <c r="AS597" s="137" t="n"/>
    </row>
    <row r="598" hidden="1" outlineLevel="3">
      <c r="A598" s="8" t="n"/>
      <c r="B598" s="14" t="n"/>
      <c r="C598" s="137" t="n"/>
      <c r="D598" s="137" t="n"/>
      <c r="E598" s="137" t="n"/>
      <c r="F598" s="137" t="n"/>
      <c r="G598" s="137" t="n"/>
      <c r="I598" s="21" t="n"/>
      <c r="M598" s="22" t="n"/>
      <c r="N598" s="137" t="n"/>
      <c r="O598" s="21" t="n"/>
      <c r="S598" s="22" t="n"/>
      <c r="T598" s="137" t="n"/>
      <c r="U598" s="21" t="n"/>
      <c r="Y598" s="22" t="n"/>
      <c r="Z598" s="137" t="n"/>
      <c r="AB598" s="21" t="n"/>
      <c r="AF598" s="22" t="n"/>
      <c r="AG598" s="137" t="n"/>
      <c r="AH598" s="21" t="n"/>
      <c r="AL598" s="22" t="n"/>
      <c r="AM598" s="137" t="n"/>
      <c r="AN598" s="21" t="n"/>
      <c r="AR598" s="22" t="n"/>
      <c r="AS598" s="137" t="n"/>
    </row>
    <row r="599" hidden="1" outlineLevel="3">
      <c r="A599" s="8" t="n"/>
      <c r="B599" s="14" t="n"/>
      <c r="C599" s="137" t="n"/>
      <c r="D599" s="137" t="n"/>
      <c r="E599" s="137" t="n"/>
      <c r="F599" s="137" t="n"/>
      <c r="G599" s="137" t="n"/>
      <c r="I599" s="23" t="n"/>
      <c r="J599" s="24" t="n"/>
      <c r="K599" s="24" t="n"/>
      <c r="L599" s="24" t="n"/>
      <c r="M599" s="25" t="n"/>
      <c r="N599" s="137" t="n"/>
      <c r="O599" s="23" t="n"/>
      <c r="P599" s="24" t="n"/>
      <c r="Q599" s="24" t="n"/>
      <c r="R599" s="24" t="n"/>
      <c r="S599" s="25" t="n"/>
      <c r="T599" s="137" t="n"/>
      <c r="U599" s="23" t="n"/>
      <c r="V599" s="24" t="n"/>
      <c r="W599" s="24" t="n"/>
      <c r="X599" s="24" t="n"/>
      <c r="Y599" s="25" t="n"/>
      <c r="Z599" s="137" t="n"/>
      <c r="AB599" s="23" t="n"/>
      <c r="AC599" s="24" t="n"/>
      <c r="AD599" s="24" t="n"/>
      <c r="AE599" s="24" t="n"/>
      <c r="AF599" s="25" t="n"/>
      <c r="AG599" s="137" t="n"/>
      <c r="AH599" s="23" t="n"/>
      <c r="AI599" s="24" t="n"/>
      <c r="AJ599" s="24" t="n"/>
      <c r="AK599" s="24" t="n"/>
      <c r="AL599" s="25" t="n"/>
      <c r="AM599" s="137" t="n"/>
      <c r="AN599" s="23" t="n"/>
      <c r="AO599" s="24" t="n"/>
      <c r="AP599" s="24" t="n"/>
      <c r="AQ599" s="24" t="n"/>
      <c r="AR599" s="25" t="n"/>
      <c r="AS599" s="137" t="n"/>
    </row>
    <row r="600" hidden="1" outlineLevel="2">
      <c r="A600" s="8" t="n"/>
      <c r="B600" s="14" t="n"/>
      <c r="C600" s="137" t="n"/>
      <c r="D600" s="137" t="n"/>
      <c r="E600" s="137" t="n"/>
      <c r="F600" s="137" t="n"/>
      <c r="G600" s="137" t="n"/>
      <c r="I600" s="95" t="inlineStr">
        <is>
          <t>Projétil</t>
        </is>
      </c>
      <c r="J600" s="17" t="n"/>
      <c r="K600" s="71">
        <f>DADOS_INVOC!$QE$38</f>
        <v/>
      </c>
      <c r="L600" s="17" t="n"/>
      <c r="M600" s="71">
        <f>DADOS_INVOC!$QA$38</f>
        <v/>
      </c>
      <c r="N600" s="137" t="n"/>
      <c r="O600" s="95" t="inlineStr">
        <is>
          <t>Projétil</t>
        </is>
      </c>
      <c r="P600" s="17" t="n"/>
      <c r="Q600" s="71">
        <f>DADOS_INVOC!$QE$39</f>
        <v/>
      </c>
      <c r="R600" s="17" t="n"/>
      <c r="S600" s="71">
        <f>DADOS_INVOC!$QA$39</f>
        <v/>
      </c>
      <c r="T600" s="137" t="n"/>
      <c r="U600" s="95" t="inlineStr">
        <is>
          <t>Projétil</t>
        </is>
      </c>
      <c r="V600" s="17" t="n"/>
      <c r="W600" s="71">
        <f>DADOS_INVOC!$QE$40</f>
        <v/>
      </c>
      <c r="X600" s="17" t="n"/>
      <c r="Y600" s="71">
        <f>DADOS_INVOC!$QA$40</f>
        <v/>
      </c>
      <c r="Z600" s="137" t="n"/>
      <c r="AB600" s="95" t="inlineStr">
        <is>
          <t>Projétil</t>
        </is>
      </c>
      <c r="AC600" s="17" t="n"/>
      <c r="AD600" s="71">
        <f>DADOS_INVOC!$QE$116</f>
        <v/>
      </c>
      <c r="AE600" s="17" t="n"/>
      <c r="AF600" s="71">
        <f>DADOS_INVOC!$QA$116</f>
        <v/>
      </c>
      <c r="AG600" s="137" t="n"/>
      <c r="AH600" s="95" t="inlineStr">
        <is>
          <t>Projétil</t>
        </is>
      </c>
      <c r="AI600" s="17" t="n"/>
      <c r="AJ600" s="71">
        <f>DADOS_INVOC!$QE$117</f>
        <v/>
      </c>
      <c r="AK600" s="17" t="n"/>
      <c r="AL600" s="71">
        <f>DADOS_INVOC!$QA$117</f>
        <v/>
      </c>
      <c r="AM600" s="137" t="n"/>
      <c r="AN600" s="95" t="inlineStr">
        <is>
          <t>Projétil</t>
        </is>
      </c>
      <c r="AO600" s="17" t="n"/>
      <c r="AP600" s="71">
        <f>DADOS_INVOC!$QE$118</f>
        <v/>
      </c>
      <c r="AQ600" s="17" t="n"/>
      <c r="AR600" s="71">
        <f>DADOS_INVOC!$QA$118</f>
        <v/>
      </c>
      <c r="AS600" s="137" t="n"/>
    </row>
    <row r="601" hidden="1" outlineLevel="2">
      <c r="A601" s="8" t="n"/>
      <c r="B601" s="14" t="n"/>
      <c r="C601" s="137" t="n"/>
      <c r="D601" s="137" t="n"/>
      <c r="E601" s="137" t="n"/>
      <c r="F601" s="137" t="n"/>
      <c r="G601" s="137" t="n"/>
      <c r="I601" s="95" t="n"/>
      <c r="J601" s="17" t="n"/>
      <c r="K601" s="95" t="n"/>
      <c r="L601" s="16" t="n"/>
      <c r="M601" s="17" t="n"/>
      <c r="N601" s="137" t="n"/>
      <c r="O601" s="95" t="n"/>
      <c r="P601" s="17" t="n"/>
      <c r="Q601" s="95" t="n"/>
      <c r="R601" s="16" t="n"/>
      <c r="S601" s="17" t="n"/>
      <c r="T601" s="137" t="n"/>
      <c r="U601" s="95" t="n"/>
      <c r="V601" s="17" t="n"/>
      <c r="W601" s="95" t="n"/>
      <c r="X601" s="16" t="n"/>
      <c r="Y601" s="17" t="n"/>
      <c r="Z601" s="137" t="n"/>
      <c r="AB601" s="95" t="n"/>
      <c r="AC601" s="17" t="n"/>
      <c r="AD601" s="95" t="n"/>
      <c r="AE601" s="16" t="n"/>
      <c r="AF601" s="17" t="n"/>
      <c r="AG601" s="137" t="n"/>
      <c r="AH601" s="95" t="n"/>
      <c r="AI601" s="17" t="n"/>
      <c r="AJ601" s="95" t="n"/>
      <c r="AK601" s="16" t="n"/>
      <c r="AL601" s="17" t="n"/>
      <c r="AM601" s="137" t="n"/>
      <c r="AN601" s="95" t="n"/>
      <c r="AO601" s="17" t="n"/>
      <c r="AP601" s="95" t="n"/>
      <c r="AQ601" s="16" t="n"/>
      <c r="AR601" s="17" t="n"/>
      <c r="AS601" s="137" t="n"/>
    </row>
    <row r="602" hidden="1" outlineLevel="2">
      <c r="A602" s="8" t="n"/>
      <c r="B602" s="14" t="n"/>
      <c r="C602" s="137" t="n"/>
      <c r="D602" s="137" t="n"/>
      <c r="E602" s="137" t="n"/>
      <c r="F602" s="137" t="n"/>
      <c r="G602" s="137" t="n"/>
      <c r="I602" s="95">
        <f>DADOS_INVOC!$QB$38</f>
        <v/>
      </c>
      <c r="J602" s="17" t="n"/>
      <c r="K602" s="95">
        <f>DADOS_INVOC!$QD$38</f>
        <v/>
      </c>
      <c r="L602" s="16" t="n"/>
      <c r="M602" s="17" t="n"/>
      <c r="N602" s="137" t="n"/>
      <c r="O602" s="95">
        <f>DADOS_INVOC!$QB$39</f>
        <v/>
      </c>
      <c r="P602" s="17" t="n"/>
      <c r="Q602" s="95">
        <f>DADOS_INVOC!$QD$39</f>
        <v/>
      </c>
      <c r="R602" s="16" t="n"/>
      <c r="S602" s="17" t="n"/>
      <c r="T602" s="137" t="n"/>
      <c r="U602" s="95">
        <f>DADOS_INVOC!$QB$40</f>
        <v/>
      </c>
      <c r="V602" s="17" t="n"/>
      <c r="W602" s="95">
        <f>DADOS_INVOC!$QD$40</f>
        <v/>
      </c>
      <c r="X602" s="16" t="n"/>
      <c r="Y602" s="17" t="n"/>
      <c r="Z602" s="137" t="n"/>
      <c r="AB602" s="95">
        <f>DADOS_INVOC!$QB$116</f>
        <v/>
      </c>
      <c r="AC602" s="17" t="n"/>
      <c r="AD602" s="95">
        <f>DADOS_INVOC!$QD$116</f>
        <v/>
      </c>
      <c r="AE602" s="16" t="n"/>
      <c r="AF602" s="17" t="n"/>
      <c r="AG602" s="137" t="n"/>
      <c r="AH602" s="95">
        <f>DADOS_INVOC!$QB$117</f>
        <v/>
      </c>
      <c r="AI602" s="17" t="n"/>
      <c r="AJ602" s="95">
        <f>DADOS_INVOC!$QD$117</f>
        <v/>
      </c>
      <c r="AK602" s="16" t="n"/>
      <c r="AL602" s="17" t="n"/>
      <c r="AM602" s="137" t="n"/>
      <c r="AN602" s="95">
        <f>DADOS_INVOC!$QB$118</f>
        <v/>
      </c>
      <c r="AO602" s="17" t="n"/>
      <c r="AP602" s="95">
        <f>DADOS_INVOC!$QD$118</f>
        <v/>
      </c>
      <c r="AQ602" s="16" t="n"/>
      <c r="AR602" s="17" t="n"/>
      <c r="AS602" s="137" t="n"/>
    </row>
    <row r="603" hidden="1" outlineLevel="2">
      <c r="A603" s="8" t="n"/>
      <c r="B603" s="14" t="n"/>
      <c r="C603" s="137" t="n"/>
      <c r="D603" s="137" t="n"/>
      <c r="E603" s="137" t="n"/>
      <c r="F603" s="137" t="n"/>
      <c r="G603" s="137" t="n"/>
      <c r="I603" s="143">
        <f>DADOS_INVOC!$QJ$38</f>
        <v/>
      </c>
      <c r="J603" s="16" t="n"/>
      <c r="K603" s="16" t="n"/>
      <c r="L603" s="16" t="n"/>
      <c r="M603" s="17" t="n"/>
      <c r="N603" s="137" t="n"/>
      <c r="O603" s="143">
        <f>DADOS_INVOC!$QJ$39</f>
        <v/>
      </c>
      <c r="P603" s="16" t="n"/>
      <c r="Q603" s="16" t="n"/>
      <c r="R603" s="16" t="n"/>
      <c r="S603" s="17" t="n"/>
      <c r="T603" s="137" t="n"/>
      <c r="U603" s="143">
        <f>DADOS_INVOC!$QJ$40</f>
        <v/>
      </c>
      <c r="V603" s="16" t="n"/>
      <c r="W603" s="16" t="n"/>
      <c r="X603" s="16" t="n"/>
      <c r="Y603" s="17" t="n"/>
      <c r="Z603" s="137" t="n"/>
      <c r="AB603" s="143">
        <f>DADOS_INVOC!$QJ$116</f>
        <v/>
      </c>
      <c r="AC603" s="16" t="n"/>
      <c r="AD603" s="16" t="n"/>
      <c r="AE603" s="16" t="n"/>
      <c r="AF603" s="17" t="n"/>
      <c r="AG603" s="137" t="n"/>
      <c r="AH603" s="143">
        <f>DADOS_INVOC!$QJ$117</f>
        <v/>
      </c>
      <c r="AI603" s="16" t="n"/>
      <c r="AJ603" s="16" t="n"/>
      <c r="AK603" s="16" t="n"/>
      <c r="AL603" s="17" t="n"/>
      <c r="AM603" s="137" t="n"/>
      <c r="AN603" s="143">
        <f>DADOS_INVOC!$QJ$118</f>
        <v/>
      </c>
      <c r="AO603" s="16" t="n"/>
      <c r="AP603" s="16" t="n"/>
      <c r="AQ603" s="16" t="n"/>
      <c r="AR603" s="17" t="n"/>
      <c r="AS603" s="137" t="n"/>
    </row>
    <row r="604" hidden="1" outlineLevel="3">
      <c r="A604" s="8" t="n"/>
      <c r="B604" s="14" t="n"/>
      <c r="C604" s="137" t="n"/>
      <c r="D604" s="137" t="n"/>
      <c r="E604" s="137" t="n"/>
      <c r="F604" s="137" t="n"/>
      <c r="G604" s="137" t="n"/>
      <c r="I604" s="56" t="inlineStr">
        <is>
          <t>MELHORIAS</t>
        </is>
      </c>
      <c r="J604" s="144" t="n"/>
      <c r="K604" s="16" t="n"/>
      <c r="L604" s="17" t="n"/>
      <c r="M604" s="143">
        <f>DADOS_INVOC!$QM$38</f>
        <v/>
      </c>
      <c r="N604" s="137" t="n"/>
      <c r="O604" s="56" t="inlineStr">
        <is>
          <t>MELHORIAS</t>
        </is>
      </c>
      <c r="P604" s="144" t="n"/>
      <c r="Q604" s="16" t="n"/>
      <c r="R604" s="17" t="n"/>
      <c r="S604" s="143">
        <f>DADOS_INVOC!$QM$39</f>
        <v/>
      </c>
      <c r="T604" s="137" t="n"/>
      <c r="U604" s="56" t="inlineStr">
        <is>
          <t>MELHORIAS</t>
        </is>
      </c>
      <c r="V604" s="144" t="n"/>
      <c r="W604" s="16" t="n"/>
      <c r="X604" s="17" t="n"/>
      <c r="Y604" s="143">
        <f>DADOS_INVOC!$QM$40</f>
        <v/>
      </c>
      <c r="Z604" s="137" t="n"/>
      <c r="AB604" s="56" t="inlineStr">
        <is>
          <t>MELHORIAS</t>
        </is>
      </c>
      <c r="AC604" s="144" t="n"/>
      <c r="AD604" s="16" t="n"/>
      <c r="AE604" s="17" t="n"/>
      <c r="AF604" s="143">
        <f>DADOS_INVOC!$QM$116</f>
        <v/>
      </c>
      <c r="AG604" s="137" t="n"/>
      <c r="AH604" s="56" t="inlineStr">
        <is>
          <t>MELHORIAS</t>
        </is>
      </c>
      <c r="AI604" s="144" t="n"/>
      <c r="AJ604" s="16" t="n"/>
      <c r="AK604" s="17" t="n"/>
      <c r="AL604" s="143">
        <f>DADOS_INVOC!$QM$117</f>
        <v/>
      </c>
      <c r="AM604" s="137" t="n"/>
      <c r="AN604" s="56" t="inlineStr">
        <is>
          <t>MELHORIAS</t>
        </is>
      </c>
      <c r="AO604" s="144" t="n"/>
      <c r="AP604" s="16" t="n"/>
      <c r="AQ604" s="17" t="n"/>
      <c r="AR604" s="143">
        <f>DADOS_INVOC!$QM$118</f>
        <v/>
      </c>
      <c r="AS604" s="137" t="n"/>
    </row>
    <row r="605" hidden="1" outlineLevel="3">
      <c r="A605" s="8" t="n"/>
      <c r="B605" s="14" t="n"/>
      <c r="C605" s="137" t="n"/>
      <c r="D605" s="137" t="n"/>
      <c r="E605" s="137" t="n"/>
      <c r="F605" s="137" t="n"/>
      <c r="G605" s="137" t="n"/>
      <c r="I605" s="66" t="n"/>
      <c r="J605" s="144" t="n"/>
      <c r="K605" s="16" t="n"/>
      <c r="L605" s="17" t="n"/>
      <c r="M605" s="143">
        <f>DADOS_INVOC!$QN$38</f>
        <v/>
      </c>
      <c r="N605" s="137" t="n"/>
      <c r="O605" s="66" t="n"/>
      <c r="P605" s="144" t="n"/>
      <c r="Q605" s="16" t="n"/>
      <c r="R605" s="17" t="n"/>
      <c r="S605" s="143">
        <f>DADOS_INVOC!$QN$39</f>
        <v/>
      </c>
      <c r="T605" s="137" t="n"/>
      <c r="U605" s="66" t="n"/>
      <c r="V605" s="144" t="n"/>
      <c r="W605" s="16" t="n"/>
      <c r="X605" s="17" t="n"/>
      <c r="Y605" s="143">
        <f>DADOS_INVOC!$QN$40</f>
        <v/>
      </c>
      <c r="Z605" s="137" t="n"/>
      <c r="AB605" s="66" t="n"/>
      <c r="AC605" s="144" t="n"/>
      <c r="AD605" s="16" t="n"/>
      <c r="AE605" s="17" t="n"/>
      <c r="AF605" s="143">
        <f>DADOS_INVOC!$QN$116</f>
        <v/>
      </c>
      <c r="AG605" s="137" t="n"/>
      <c r="AH605" s="66" t="n"/>
      <c r="AI605" s="144" t="n"/>
      <c r="AJ605" s="16" t="n"/>
      <c r="AK605" s="17" t="n"/>
      <c r="AL605" s="143">
        <f>DADOS_INVOC!$QN$117</f>
        <v/>
      </c>
      <c r="AM605" s="137" t="n"/>
      <c r="AN605" s="66" t="n"/>
      <c r="AO605" s="144" t="n"/>
      <c r="AP605" s="16" t="n"/>
      <c r="AQ605" s="17" t="n"/>
      <c r="AR605" s="143">
        <f>DADOS_INVOC!$QN$118</f>
        <v/>
      </c>
      <c r="AS605" s="137" t="n"/>
    </row>
    <row r="606" hidden="1" outlineLevel="3">
      <c r="A606" s="8" t="n"/>
      <c r="B606" s="14" t="n"/>
      <c r="C606" s="137" t="n"/>
      <c r="D606" s="137" t="n"/>
      <c r="E606" s="137" t="n"/>
      <c r="F606" s="137" t="n"/>
      <c r="G606" s="137" t="n"/>
      <c r="I606" s="66" t="n"/>
      <c r="J606" s="144" t="n"/>
      <c r="K606" s="16" t="n"/>
      <c r="L606" s="17" t="n"/>
      <c r="M606" s="143">
        <f>DADOS_INVOC!$QO$38</f>
        <v/>
      </c>
      <c r="N606" s="137" t="n"/>
      <c r="O606" s="66" t="n"/>
      <c r="P606" s="144" t="n"/>
      <c r="Q606" s="16" t="n"/>
      <c r="R606" s="17" t="n"/>
      <c r="S606" s="143">
        <f>DADOS_INVOC!$QO$39</f>
        <v/>
      </c>
      <c r="T606" s="137" t="n"/>
      <c r="U606" s="66" t="n"/>
      <c r="V606" s="144" t="n"/>
      <c r="W606" s="16" t="n"/>
      <c r="X606" s="17" t="n"/>
      <c r="Y606" s="143">
        <f>DADOS_INVOC!$QO$40</f>
        <v/>
      </c>
      <c r="Z606" s="137" t="n"/>
      <c r="AB606" s="66" t="n"/>
      <c r="AC606" s="144" t="n"/>
      <c r="AD606" s="16" t="n"/>
      <c r="AE606" s="17" t="n"/>
      <c r="AF606" s="143">
        <f>DADOS_INVOC!$QO$116</f>
        <v/>
      </c>
      <c r="AG606" s="137" t="n"/>
      <c r="AH606" s="66" t="n"/>
      <c r="AI606" s="144" t="n"/>
      <c r="AJ606" s="16" t="n"/>
      <c r="AK606" s="17" t="n"/>
      <c r="AL606" s="143">
        <f>DADOS_INVOC!$QO$117</f>
        <v/>
      </c>
      <c r="AM606" s="137" t="n"/>
      <c r="AN606" s="66" t="n"/>
      <c r="AO606" s="144" t="n"/>
      <c r="AP606" s="16" t="n"/>
      <c r="AQ606" s="17" t="n"/>
      <c r="AR606" s="143">
        <f>DADOS_INVOC!$QO$118</f>
        <v/>
      </c>
      <c r="AS606" s="137" t="n"/>
    </row>
    <row r="607" hidden="1" outlineLevel="3">
      <c r="A607" s="8" t="n"/>
      <c r="B607" s="14" t="n"/>
      <c r="C607" s="137" t="n"/>
      <c r="D607" s="137" t="n"/>
      <c r="E607" s="137" t="n"/>
      <c r="F607" s="137" t="n"/>
      <c r="G607" s="137" t="n"/>
      <c r="I607" s="128" t="n"/>
      <c r="J607" s="144" t="n"/>
      <c r="K607" s="16" t="n"/>
      <c r="L607" s="17" t="n"/>
      <c r="M607" s="143">
        <f>DADOS_INVOC!$QP$38</f>
        <v/>
      </c>
      <c r="N607" s="137" t="n"/>
      <c r="O607" s="128" t="n"/>
      <c r="P607" s="144" t="n"/>
      <c r="Q607" s="16" t="n"/>
      <c r="R607" s="17" t="n"/>
      <c r="S607" s="143">
        <f>DADOS_INVOC!$QP$39</f>
        <v/>
      </c>
      <c r="T607" s="137" t="n"/>
      <c r="U607" s="128" t="n"/>
      <c r="V607" s="144" t="n"/>
      <c r="W607" s="16" t="n"/>
      <c r="X607" s="17" t="n"/>
      <c r="Y607" s="143">
        <f>DADOS_INVOC!$QP$40</f>
        <v/>
      </c>
      <c r="Z607" s="137" t="n"/>
      <c r="AB607" s="128" t="n"/>
      <c r="AC607" s="144" t="n"/>
      <c r="AD607" s="16" t="n"/>
      <c r="AE607" s="17" t="n"/>
      <c r="AF607" s="143">
        <f>DADOS_INVOC!$QP$116</f>
        <v/>
      </c>
      <c r="AG607" s="137" t="n"/>
      <c r="AH607" s="128" t="n"/>
      <c r="AI607" s="144" t="n"/>
      <c r="AJ607" s="16" t="n"/>
      <c r="AK607" s="17" t="n"/>
      <c r="AL607" s="143">
        <f>DADOS_INVOC!$QP$117</f>
        <v/>
      </c>
      <c r="AM607" s="137" t="n"/>
      <c r="AN607" s="128" t="n"/>
      <c r="AO607" s="144" t="n"/>
      <c r="AP607" s="16" t="n"/>
      <c r="AQ607" s="17" t="n"/>
      <c r="AR607" s="143">
        <f>DADOS_INVOC!$QP$118</f>
        <v/>
      </c>
      <c r="AS607" s="137" t="n"/>
    </row>
    <row r="608" hidden="1" outlineLevel="3">
      <c r="A608" s="8" t="n"/>
      <c r="B608" s="14" t="n"/>
      <c r="C608" s="137" t="n"/>
      <c r="D608" s="137" t="n"/>
      <c r="E608" s="137" t="n"/>
      <c r="F608" s="137" t="n"/>
      <c r="G608" s="137" t="n"/>
      <c r="I608" s="56" t="inlineStr">
        <is>
          <t>RESTRIÇÕES</t>
        </is>
      </c>
      <c r="J608" s="144" t="n"/>
      <c r="K608" s="16" t="n"/>
      <c r="L608" s="17" t="n"/>
      <c r="M608" s="143">
        <f>DADOS_INVOC!$QQ$38</f>
        <v/>
      </c>
      <c r="N608" s="137" t="n"/>
      <c r="O608" s="56" t="inlineStr">
        <is>
          <t>RESTRIÇÕES</t>
        </is>
      </c>
      <c r="P608" s="144" t="n"/>
      <c r="Q608" s="16" t="n"/>
      <c r="R608" s="17" t="n"/>
      <c r="S608" s="143">
        <f>DADOS_INVOC!$QQ$39</f>
        <v/>
      </c>
      <c r="T608" s="137" t="n"/>
      <c r="U608" s="56" t="inlineStr">
        <is>
          <t>RESTRIÇÕES</t>
        </is>
      </c>
      <c r="V608" s="144" t="n"/>
      <c r="W608" s="16" t="n"/>
      <c r="X608" s="17" t="n"/>
      <c r="Y608" s="143">
        <f>DADOS_INVOC!$QQ$40</f>
        <v/>
      </c>
      <c r="Z608" s="137" t="n"/>
      <c r="AB608" s="56" t="inlineStr">
        <is>
          <t>RESTRIÇÕES</t>
        </is>
      </c>
      <c r="AC608" s="144" t="n"/>
      <c r="AD608" s="16" t="n"/>
      <c r="AE608" s="17" t="n"/>
      <c r="AF608" s="143">
        <f>DADOS_INVOC!$QQ$116</f>
        <v/>
      </c>
      <c r="AG608" s="137" t="n"/>
      <c r="AH608" s="56" t="inlineStr">
        <is>
          <t>RESTRIÇÕES</t>
        </is>
      </c>
      <c r="AI608" s="144" t="n"/>
      <c r="AJ608" s="16" t="n"/>
      <c r="AK608" s="17" t="n"/>
      <c r="AL608" s="143">
        <f>DADOS_INVOC!$QQ$117</f>
        <v/>
      </c>
      <c r="AM608" s="137" t="n"/>
      <c r="AN608" s="56" t="inlineStr">
        <is>
          <t>RESTRIÇÕES</t>
        </is>
      </c>
      <c r="AO608" s="144" t="n"/>
      <c r="AP608" s="16" t="n"/>
      <c r="AQ608" s="17" t="n"/>
      <c r="AR608" s="143">
        <f>DADOS_INVOC!$QQ$118</f>
        <v/>
      </c>
      <c r="AS608" s="137" t="n"/>
    </row>
    <row r="609" hidden="1" outlineLevel="3">
      <c r="A609" s="8" t="n"/>
      <c r="B609" s="14" t="n"/>
      <c r="C609" s="137" t="n"/>
      <c r="D609" s="137" t="n"/>
      <c r="E609" s="137" t="n"/>
      <c r="F609" s="137" t="n"/>
      <c r="G609" s="137" t="n"/>
      <c r="I609" s="128" t="n"/>
      <c r="J609" s="144" t="n"/>
      <c r="K609" s="16" t="n"/>
      <c r="L609" s="17" t="n"/>
      <c r="M609" s="143">
        <f>DADOS_INVOC!$QR$38</f>
        <v/>
      </c>
      <c r="N609" s="137" t="n"/>
      <c r="O609" s="128" t="n"/>
      <c r="P609" s="144" t="n"/>
      <c r="Q609" s="16" t="n"/>
      <c r="R609" s="17" t="n"/>
      <c r="S609" s="143">
        <f>DADOS_INVOC!$QR$39</f>
        <v/>
      </c>
      <c r="T609" s="137" t="n"/>
      <c r="U609" s="128" t="n"/>
      <c r="V609" s="144" t="n"/>
      <c r="W609" s="16" t="n"/>
      <c r="X609" s="17" t="n"/>
      <c r="Y609" s="143">
        <f>DADOS_INVOC!$QR$40</f>
        <v/>
      </c>
      <c r="Z609" s="137" t="n"/>
      <c r="AB609" s="128" t="n"/>
      <c r="AC609" s="144" t="n"/>
      <c r="AD609" s="16" t="n"/>
      <c r="AE609" s="17" t="n"/>
      <c r="AF609" s="143">
        <f>DADOS_INVOC!$QR$116</f>
        <v/>
      </c>
      <c r="AG609" s="137" t="n"/>
      <c r="AH609" s="128" t="n"/>
      <c r="AI609" s="144" t="n"/>
      <c r="AJ609" s="16" t="n"/>
      <c r="AK609" s="17" t="n"/>
      <c r="AL609" s="143">
        <f>DADOS_INVOC!$QR$117</f>
        <v/>
      </c>
      <c r="AM609" s="137" t="n"/>
      <c r="AN609" s="128" t="n"/>
      <c r="AO609" s="144" t="n"/>
      <c r="AP609" s="16" t="n"/>
      <c r="AQ609" s="17" t="n"/>
      <c r="AR609" s="143">
        <f>DADOS_INVOC!$QR$118</f>
        <v/>
      </c>
      <c r="AS609" s="137" t="n"/>
    </row>
    <row r="610" hidden="1" outlineLevel="3">
      <c r="A610" s="8" t="n"/>
      <c r="B610" s="14" t="n"/>
      <c r="C610" s="137" t="n"/>
      <c r="D610" s="137" t="n"/>
      <c r="E610" s="137" t="n"/>
      <c r="F610" s="137" t="n"/>
      <c r="G610" s="137" t="n"/>
      <c r="I610" s="56" t="inlineStr">
        <is>
          <t>CONTA</t>
        </is>
      </c>
      <c r="J610" s="145">
        <f>DADOS_INVOC!$QK$38</f>
        <v/>
      </c>
      <c r="K610" s="16" t="n"/>
      <c r="L610" s="16" t="n"/>
      <c r="M610" s="17" t="n"/>
      <c r="N610" s="137" t="n"/>
      <c r="O610" s="56" t="inlineStr">
        <is>
          <t>CONTA</t>
        </is>
      </c>
      <c r="P610" s="145">
        <f>DADOS_INVOC!$QK$39</f>
        <v/>
      </c>
      <c r="Q610" s="16" t="n"/>
      <c r="R610" s="16" t="n"/>
      <c r="S610" s="17" t="n"/>
      <c r="T610" s="137" t="n"/>
      <c r="U610" s="56" t="inlineStr">
        <is>
          <t>CONTA</t>
        </is>
      </c>
      <c r="V610" s="145">
        <f>DADOS_INVOC!$QK$40</f>
        <v/>
      </c>
      <c r="W610" s="16" t="n"/>
      <c r="X610" s="16" t="n"/>
      <c r="Y610" s="17" t="n"/>
      <c r="Z610" s="137" t="n"/>
      <c r="AB610" s="56" t="inlineStr">
        <is>
          <t>CONTA</t>
        </is>
      </c>
      <c r="AC610" s="145">
        <f>DADOS_INVOC!$QK$116</f>
        <v/>
      </c>
      <c r="AD610" s="16" t="n"/>
      <c r="AE610" s="16" t="n"/>
      <c r="AF610" s="17" t="n"/>
      <c r="AG610" s="137" t="n"/>
      <c r="AH610" s="56" t="inlineStr">
        <is>
          <t>CONTA</t>
        </is>
      </c>
      <c r="AI610" s="145">
        <f>DADOS_INVOC!$QK$117</f>
        <v/>
      </c>
      <c r="AJ610" s="16" t="n"/>
      <c r="AK610" s="16" t="n"/>
      <c r="AL610" s="17" t="n"/>
      <c r="AM610" s="137" t="n"/>
      <c r="AN610" s="56" t="inlineStr">
        <is>
          <t>CONTA</t>
        </is>
      </c>
      <c r="AO610" s="145">
        <f>DADOS_INVOC!$QK$118</f>
        <v/>
      </c>
      <c r="AP610" s="16" t="n"/>
      <c r="AQ610" s="16" t="n"/>
      <c r="AR610" s="17" t="n"/>
      <c r="AS610" s="137" t="n"/>
    </row>
    <row r="611" hidden="1" outlineLevel="3">
      <c r="A611" s="8" t="n"/>
      <c r="B611" s="14" t="n"/>
      <c r="C611" s="137" t="n"/>
      <c r="D611" s="137" t="n"/>
      <c r="E611" s="137" t="n"/>
      <c r="F611" s="137" t="n"/>
      <c r="G611" s="137" t="n"/>
      <c r="I611" s="56" t="inlineStr">
        <is>
          <t>AMPLIAR</t>
        </is>
      </c>
      <c r="J611" s="145">
        <f>DADOS_INVOC!$QL$38</f>
        <v/>
      </c>
      <c r="K611" s="19" t="n"/>
      <c r="L611" s="19" t="n"/>
      <c r="M611" s="20" t="n"/>
      <c r="N611" s="137" t="n"/>
      <c r="O611" s="56" t="inlineStr">
        <is>
          <t>AMPLIAR</t>
        </is>
      </c>
      <c r="P611" s="145">
        <f>DADOS_INVOC!$QL$39</f>
        <v/>
      </c>
      <c r="Q611" s="19" t="n"/>
      <c r="R611" s="19" t="n"/>
      <c r="S611" s="20" t="n"/>
      <c r="T611" s="137" t="n"/>
      <c r="U611" s="56" t="inlineStr">
        <is>
          <t>AMPLIAR</t>
        </is>
      </c>
      <c r="V611" s="145">
        <f>DADOS_INVOC!$QL$40</f>
        <v/>
      </c>
      <c r="W611" s="19" t="n"/>
      <c r="X611" s="19" t="n"/>
      <c r="Y611" s="20" t="n"/>
      <c r="Z611" s="137" t="n"/>
      <c r="AB611" s="56" t="inlineStr">
        <is>
          <t>AMPLIAR</t>
        </is>
      </c>
      <c r="AC611" s="145">
        <f>DADOS_INVOC!$QL$116</f>
        <v/>
      </c>
      <c r="AD611" s="19" t="n"/>
      <c r="AE611" s="19" t="n"/>
      <c r="AF611" s="20" t="n"/>
      <c r="AG611" s="137" t="n"/>
      <c r="AH611" s="56" t="inlineStr">
        <is>
          <t>AMPLIAR</t>
        </is>
      </c>
      <c r="AI611" s="145">
        <f>DADOS_INVOC!$QL$117</f>
        <v/>
      </c>
      <c r="AJ611" s="19" t="n"/>
      <c r="AK611" s="19" t="n"/>
      <c r="AL611" s="20" t="n"/>
      <c r="AM611" s="137" t="n"/>
      <c r="AN611" s="56" t="inlineStr">
        <is>
          <t>AMPLIAR</t>
        </is>
      </c>
      <c r="AO611" s="145">
        <f>DADOS_INVOC!$QL$118</f>
        <v/>
      </c>
      <c r="AP611" s="19" t="n"/>
      <c r="AQ611" s="19" t="n"/>
      <c r="AR611" s="20" t="n"/>
      <c r="AS611" s="137" t="n"/>
    </row>
    <row r="612" hidden="1" outlineLevel="3">
      <c r="A612" s="8" t="n"/>
      <c r="B612" s="14" t="n"/>
      <c r="C612" s="137" t="n"/>
      <c r="D612" s="137" t="n"/>
      <c r="E612" s="137" t="n"/>
      <c r="F612" s="137" t="n"/>
      <c r="G612" s="137" t="n"/>
      <c r="I612" s="128" t="n"/>
      <c r="J612" s="23" t="n"/>
      <c r="K612" s="24" t="n"/>
      <c r="L612" s="24" t="n"/>
      <c r="M612" s="25" t="n"/>
      <c r="N612" s="137" t="n"/>
      <c r="O612" s="128" t="n"/>
      <c r="P612" s="23" t="n"/>
      <c r="Q612" s="24" t="n"/>
      <c r="R612" s="24" t="n"/>
      <c r="S612" s="25" t="n"/>
      <c r="T612" s="137" t="n"/>
      <c r="U612" s="128" t="n"/>
      <c r="V612" s="23" t="n"/>
      <c r="W612" s="24" t="n"/>
      <c r="X612" s="24" t="n"/>
      <c r="Y612" s="25" t="n"/>
      <c r="Z612" s="137" t="n"/>
      <c r="AB612" s="128" t="n"/>
      <c r="AC612" s="23" t="n"/>
      <c r="AD612" s="24" t="n"/>
      <c r="AE612" s="24" t="n"/>
      <c r="AF612" s="25" t="n"/>
      <c r="AG612" s="137" t="n"/>
      <c r="AH612" s="128" t="n"/>
      <c r="AI612" s="23" t="n"/>
      <c r="AJ612" s="24" t="n"/>
      <c r="AK612" s="24" t="n"/>
      <c r="AL612" s="25" t="n"/>
      <c r="AM612" s="137" t="n"/>
      <c r="AN612" s="128" t="n"/>
      <c r="AO612" s="23" t="n"/>
      <c r="AP612" s="24" t="n"/>
      <c r="AQ612" s="24" t="n"/>
      <c r="AR612" s="25" t="n"/>
      <c r="AS612" s="137" t="n"/>
    </row>
    <row r="613" hidden="1" outlineLevel="3">
      <c r="A613" s="8" t="n"/>
      <c r="B613" s="14" t="n"/>
      <c r="C613" s="137" t="n"/>
      <c r="D613" s="137" t="n"/>
      <c r="E613" s="137" t="n"/>
      <c r="F613" s="137" t="n"/>
      <c r="G613" s="137" t="n"/>
      <c r="I613" s="145">
        <f>DADOS_INVOC!$PY$38</f>
        <v/>
      </c>
      <c r="J613" s="19" t="n"/>
      <c r="K613" s="19" t="n"/>
      <c r="L613" s="19" t="n"/>
      <c r="M613" s="20" t="n"/>
      <c r="N613" s="137" t="n"/>
      <c r="O613" s="145">
        <f>DADOS_INVOC!$PY$39</f>
        <v/>
      </c>
      <c r="P613" s="19" t="n"/>
      <c r="Q613" s="19" t="n"/>
      <c r="R613" s="19" t="n"/>
      <c r="S613" s="20" t="n"/>
      <c r="T613" s="137" t="n"/>
      <c r="U613" s="145">
        <f>DADOS_INVOC!$PY$40</f>
        <v/>
      </c>
      <c r="V613" s="19" t="n"/>
      <c r="W613" s="19" t="n"/>
      <c r="X613" s="19" t="n"/>
      <c r="Y613" s="20" t="n"/>
      <c r="Z613" s="137" t="n"/>
      <c r="AB613" s="145">
        <f>DADOS_INVOC!$PY$116</f>
        <v/>
      </c>
      <c r="AC613" s="19" t="n"/>
      <c r="AD613" s="19" t="n"/>
      <c r="AE613" s="19" t="n"/>
      <c r="AF613" s="20" t="n"/>
      <c r="AG613" s="137" t="n"/>
      <c r="AH613" s="145">
        <f>DADOS_INVOC!$PY$117</f>
        <v/>
      </c>
      <c r="AI613" s="19" t="n"/>
      <c r="AJ613" s="19" t="n"/>
      <c r="AK613" s="19" t="n"/>
      <c r="AL613" s="20" t="n"/>
      <c r="AM613" s="137" t="n"/>
      <c r="AN613" s="145">
        <f>DADOS_INVOC!$PY$118</f>
        <v/>
      </c>
      <c r="AO613" s="19" t="n"/>
      <c r="AP613" s="19" t="n"/>
      <c r="AQ613" s="19" t="n"/>
      <c r="AR613" s="20" t="n"/>
      <c r="AS613" s="137" t="n"/>
    </row>
    <row r="614" hidden="1" outlineLevel="3">
      <c r="A614" s="8" t="n"/>
      <c r="B614" s="14" t="n"/>
      <c r="C614" s="137" t="n"/>
      <c r="D614" s="137" t="n"/>
      <c r="E614" s="137" t="n"/>
      <c r="F614" s="137" t="n"/>
      <c r="G614" s="137" t="n"/>
      <c r="I614" s="23" t="n"/>
      <c r="J614" s="24" t="n"/>
      <c r="K614" s="24" t="n"/>
      <c r="L614" s="24" t="n"/>
      <c r="M614" s="25" t="n"/>
      <c r="N614" s="137" t="n"/>
      <c r="O614" s="23" t="n"/>
      <c r="P614" s="24" t="n"/>
      <c r="Q614" s="24" t="n"/>
      <c r="R614" s="24" t="n"/>
      <c r="S614" s="25" t="n"/>
      <c r="T614" s="137" t="n"/>
      <c r="U614" s="23" t="n"/>
      <c r="V614" s="24" t="n"/>
      <c r="W614" s="24" t="n"/>
      <c r="X614" s="24" t="n"/>
      <c r="Y614" s="25" t="n"/>
      <c r="Z614" s="137" t="n"/>
      <c r="AB614" s="23" t="n"/>
      <c r="AC614" s="24" t="n"/>
      <c r="AD614" s="24" t="n"/>
      <c r="AE614" s="24" t="n"/>
      <c r="AF614" s="25" t="n"/>
      <c r="AG614" s="137" t="n"/>
      <c r="AH614" s="23" t="n"/>
      <c r="AI614" s="24" t="n"/>
      <c r="AJ614" s="24" t="n"/>
      <c r="AK614" s="24" t="n"/>
      <c r="AL614" s="25" t="n"/>
      <c r="AM614" s="137" t="n"/>
      <c r="AN614" s="23" t="n"/>
      <c r="AO614" s="24" t="n"/>
      <c r="AP614" s="24" t="n"/>
      <c r="AQ614" s="24" t="n"/>
      <c r="AR614" s="25" t="n"/>
      <c r="AS614" s="137" t="n"/>
    </row>
    <row r="615" hidden="1" outlineLevel="2">
      <c r="A615" s="8" t="n"/>
      <c r="B615" s="14" t="n"/>
      <c r="C615" s="137" t="n"/>
      <c r="D615" s="137" t="n"/>
      <c r="E615" s="137" t="n"/>
      <c r="F615" s="137" t="n"/>
      <c r="G615" s="137" t="n"/>
      <c r="I615" s="137" t="n"/>
      <c r="J615" s="137" t="n"/>
      <c r="K615" s="137" t="n"/>
      <c r="L615" s="137" t="n"/>
      <c r="M615" s="137" t="n"/>
      <c r="N615" s="137" t="n"/>
      <c r="O615" s="137" t="n"/>
      <c r="P615" s="137" t="n"/>
      <c r="Q615" s="137" t="n"/>
      <c r="R615" s="137" t="n"/>
      <c r="S615" s="137" t="n"/>
      <c r="T615" s="137" t="n"/>
      <c r="U615" s="137" t="n"/>
      <c r="V615" s="137" t="n"/>
      <c r="W615" s="137" t="n"/>
      <c r="X615" s="137" t="n"/>
      <c r="Y615" s="137" t="n"/>
      <c r="Z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37" t="n"/>
      <c r="AS615" s="137" t="n"/>
    </row>
    <row r="616" hidden="1" outlineLevel="2">
      <c r="A616" s="8" t="n"/>
      <c r="B616" s="14" t="n"/>
      <c r="C616" s="137" t="n"/>
      <c r="D616" s="137" t="n"/>
      <c r="E616" s="137" t="n"/>
      <c r="F616" s="137" t="n"/>
      <c r="G616" s="137" t="n"/>
      <c r="I616" s="56" t="inlineStr">
        <is>
          <t>TALENTOS DA TRILHA · CATEGORIA 1</t>
        </is>
      </c>
      <c r="J616" s="16" t="n"/>
      <c r="K616" s="16" t="n"/>
      <c r="L616" s="16" t="n"/>
      <c r="M616" s="16" t="n"/>
      <c r="N616" s="16" t="n"/>
      <c r="O616" s="16" t="n"/>
      <c r="P616" s="16" t="n"/>
      <c r="Q616" s="16" t="n"/>
      <c r="R616" s="16" t="n"/>
      <c r="S616" s="16" t="n"/>
      <c r="T616" s="16" t="n"/>
      <c r="U616" s="16" t="n"/>
      <c r="V616" s="16" t="n"/>
      <c r="W616" s="16" t="n"/>
      <c r="X616" s="16" t="n"/>
      <c r="Y616" s="17" t="n"/>
      <c r="Z616" s="137" t="n"/>
      <c r="AB616" s="56" t="inlineStr">
        <is>
          <t>TALENTOS DA TRILHA · CATEGORIA 1</t>
        </is>
      </c>
      <c r="AC616" s="16" t="n"/>
      <c r="AD616" s="16" t="n"/>
      <c r="AE616" s="16" t="n"/>
      <c r="AF616" s="16" t="n"/>
      <c r="AG616" s="16" t="n"/>
      <c r="AH616" s="16" t="n"/>
      <c r="AI616" s="16" t="n"/>
      <c r="AJ616" s="16" t="n"/>
      <c r="AK616" s="16" t="n"/>
      <c r="AL616" s="16" t="n"/>
      <c r="AM616" s="16" t="n"/>
      <c r="AN616" s="16" t="n"/>
      <c r="AO616" s="16" t="n"/>
      <c r="AP616" s="16" t="n"/>
      <c r="AQ616" s="16" t="n"/>
      <c r="AR616" s="17" t="n"/>
      <c r="AS616" s="137" t="n"/>
    </row>
    <row r="617" hidden="1" outlineLevel="2">
      <c r="A617" s="8" t="n"/>
      <c r="B617" s="14" t="n"/>
      <c r="C617" s="137" t="n"/>
      <c r="D617" s="137" t="n"/>
      <c r="E617" s="137" t="n"/>
      <c r="F617" s="137" t="n"/>
      <c r="G617" s="137" t="n"/>
      <c r="I617" s="56" t="inlineStr">
        <is>
          <t>TRILHA · CE 1</t>
        </is>
      </c>
      <c r="J617" s="144" t="n"/>
      <c r="K617" s="16" t="n"/>
      <c r="L617" s="17" t="n"/>
      <c r="M617" s="150">
        <f>DADOS_INVOC!$IW$4</f>
        <v/>
      </c>
      <c r="N617" s="16" t="n"/>
      <c r="O617" s="16" t="n"/>
      <c r="P617" s="16" t="n"/>
      <c r="Q617" s="16" t="n"/>
      <c r="R617" s="16" t="n"/>
      <c r="S617" s="16" t="n"/>
      <c r="T617" s="16" t="n"/>
      <c r="U617" s="16" t="n"/>
      <c r="V617" s="16" t="n"/>
      <c r="W617" s="16" t="n"/>
      <c r="X617" s="16" t="n"/>
      <c r="Y617" s="17" t="n"/>
      <c r="Z617" s="137" t="n"/>
      <c r="AB617" s="56" t="inlineStr">
        <is>
          <t>TRILHA · CE 1</t>
        </is>
      </c>
      <c r="AC617" s="144" t="n"/>
      <c r="AD617" s="16" t="n"/>
      <c r="AE617" s="17" t="n"/>
      <c r="AF617" s="150">
        <f>DADOS_INVOC!$IW$10</f>
        <v/>
      </c>
      <c r="AG617" s="16" t="n"/>
      <c r="AH617" s="16" t="n"/>
      <c r="AI617" s="16" t="n"/>
      <c r="AJ617" s="16" t="n"/>
      <c r="AK617" s="16" t="n"/>
      <c r="AL617" s="16" t="n"/>
      <c r="AM617" s="16" t="n"/>
      <c r="AN617" s="16" t="n"/>
      <c r="AO617" s="16" t="n"/>
      <c r="AP617" s="16" t="n"/>
      <c r="AQ617" s="16" t="n"/>
      <c r="AR617" s="17" t="n"/>
      <c r="AS617" s="137" t="n"/>
    </row>
    <row r="618" hidden="1" outlineLevel="2">
      <c r="A618" s="8" t="n"/>
      <c r="B618" s="14" t="n"/>
      <c r="C618" s="137" t="n"/>
      <c r="D618" s="137" t="n"/>
      <c r="E618" s="137" t="n"/>
      <c r="F618" s="137" t="n"/>
      <c r="G618" s="137" t="n"/>
      <c r="I618" s="56" t="inlineStr">
        <is>
          <t>TRILHA · CE 1</t>
        </is>
      </c>
      <c r="J618" s="144" t="n"/>
      <c r="K618" s="16" t="n"/>
      <c r="L618" s="17" t="n"/>
      <c r="M618" s="150">
        <f>DADOS_INVOC!$IX$4</f>
        <v/>
      </c>
      <c r="N618" s="16" t="n"/>
      <c r="O618" s="16" t="n"/>
      <c r="P618" s="16" t="n"/>
      <c r="Q618" s="16" t="n"/>
      <c r="R618" s="16" t="n"/>
      <c r="S618" s="16" t="n"/>
      <c r="T618" s="16" t="n"/>
      <c r="U618" s="16" t="n"/>
      <c r="V618" s="16" t="n"/>
      <c r="W618" s="16" t="n"/>
      <c r="X618" s="16" t="n"/>
      <c r="Y618" s="17" t="n"/>
      <c r="Z618" s="137" t="n"/>
      <c r="AB618" s="56" t="inlineStr">
        <is>
          <t>TRILHA · CE 1</t>
        </is>
      </c>
      <c r="AC618" s="144" t="n"/>
      <c r="AD618" s="16" t="n"/>
      <c r="AE618" s="17" t="n"/>
      <c r="AF618" s="150">
        <f>DADOS_INVOC!$IX$10</f>
        <v/>
      </c>
      <c r="AG618" s="16" t="n"/>
      <c r="AH618" s="16" t="n"/>
      <c r="AI618" s="16" t="n"/>
      <c r="AJ618" s="16" t="n"/>
      <c r="AK618" s="16" t="n"/>
      <c r="AL618" s="16" t="n"/>
      <c r="AM618" s="16" t="n"/>
      <c r="AN618" s="16" t="n"/>
      <c r="AO618" s="16" t="n"/>
      <c r="AP618" s="16" t="n"/>
      <c r="AQ618" s="16" t="n"/>
      <c r="AR618" s="17" t="n"/>
      <c r="AS618" s="137" t="n"/>
    </row>
    <row r="619" hidden="1" outlineLevel="2">
      <c r="A619" s="8" t="n"/>
      <c r="B619" s="14" t="n"/>
      <c r="C619" s="137" t="n"/>
      <c r="D619" s="137" t="n"/>
      <c r="E619" s="137" t="n"/>
      <c r="F619" s="137" t="n"/>
      <c r="G619" s="137" t="n"/>
      <c r="I619" s="56" t="inlineStr">
        <is>
          <t>TRILHA · CE 1</t>
        </is>
      </c>
      <c r="J619" s="144" t="n"/>
      <c r="K619" s="16" t="n"/>
      <c r="L619" s="17" t="n"/>
      <c r="M619" s="150">
        <f>DADOS_INVOC!$IY$4</f>
        <v/>
      </c>
      <c r="N619" s="16" t="n"/>
      <c r="O619" s="16" t="n"/>
      <c r="P619" s="16" t="n"/>
      <c r="Q619" s="16" t="n"/>
      <c r="R619" s="16" t="n"/>
      <c r="S619" s="16" t="n"/>
      <c r="T619" s="16" t="n"/>
      <c r="U619" s="16" t="n"/>
      <c r="V619" s="16" t="n"/>
      <c r="W619" s="16" t="n"/>
      <c r="X619" s="16" t="n"/>
      <c r="Y619" s="17" t="n"/>
      <c r="Z619" s="137" t="n"/>
      <c r="AB619" s="56" t="inlineStr">
        <is>
          <t>TRILHA · CE 1</t>
        </is>
      </c>
      <c r="AC619" s="144" t="n"/>
      <c r="AD619" s="16" t="n"/>
      <c r="AE619" s="17" t="n"/>
      <c r="AF619" s="150">
        <f>DADOS_INVOC!$IY$10</f>
        <v/>
      </c>
      <c r="AG619" s="16" t="n"/>
      <c r="AH619" s="16" t="n"/>
      <c r="AI619" s="16" t="n"/>
      <c r="AJ619" s="16" t="n"/>
      <c r="AK619" s="16" t="n"/>
      <c r="AL619" s="16" t="n"/>
      <c r="AM619" s="16" t="n"/>
      <c r="AN619" s="16" t="n"/>
      <c r="AO619" s="16" t="n"/>
      <c r="AP619" s="16" t="n"/>
      <c r="AQ619" s="16" t="n"/>
      <c r="AR619" s="17" t="n"/>
      <c r="AS619" s="137" t="n"/>
    </row>
    <row r="620" hidden="1" outlineLevel="1">
      <c r="A620" s="8" t="n"/>
      <c r="B620" s="14" t="n"/>
      <c r="C620" s="137" t="n"/>
      <c r="D620" s="137" t="n"/>
      <c r="E620" s="137" t="n"/>
      <c r="F620" s="137" t="n"/>
      <c r="G620" s="137" t="n"/>
      <c r="I620" s="137" t="n"/>
      <c r="J620" s="137" t="n"/>
      <c r="K620" s="137" t="n"/>
      <c r="L620" s="137" t="n"/>
      <c r="M620" s="137" t="n"/>
      <c r="N620" s="137" t="n"/>
      <c r="O620" s="137" t="n"/>
      <c r="P620" s="137" t="n"/>
      <c r="Q620" s="137" t="n"/>
      <c r="R620" s="137" t="n"/>
      <c r="S620" s="137" t="n"/>
      <c r="T620" s="137" t="n"/>
      <c r="U620" s="137" t="n"/>
      <c r="V620" s="137" t="n"/>
      <c r="W620" s="137" t="n"/>
      <c r="X620" s="137" t="n"/>
      <c r="Y620" s="137" t="n"/>
      <c r="Z620" s="137" t="n"/>
      <c r="AB620" s="137" t="n"/>
      <c r="AC620" s="137" t="n"/>
      <c r="AD620" s="137" t="n"/>
      <c r="AE620" s="137" t="n"/>
      <c r="AF620" s="137" t="n"/>
      <c r="AG620" s="137" t="n"/>
      <c r="AH620" s="137" t="n"/>
      <c r="AI620" s="137" t="n"/>
      <c r="AJ620" s="137" t="n"/>
      <c r="AK620" s="137" t="n"/>
      <c r="AL620" s="137" t="n"/>
      <c r="AM620" s="137" t="n"/>
      <c r="AN620" s="137" t="n"/>
      <c r="AO620" s="137" t="n"/>
      <c r="AP620" s="137" t="n"/>
      <c r="AQ620" s="137" t="n"/>
      <c r="AR620" s="137" t="n"/>
      <c r="AS620" s="137" t="n"/>
    </row>
    <row r="621" hidden="1" outlineLevel="1">
      <c r="A621" s="8" t="n"/>
      <c r="B621" s="14" t="n"/>
      <c r="C621" s="137" t="n"/>
      <c r="D621" s="137" t="n"/>
      <c r="E621" s="137" t="n"/>
      <c r="F621" s="137" t="n"/>
      <c r="G621" s="137" t="n"/>
      <c r="I621" s="146" t="inlineStr">
        <is>
          <t>TRUNFOS · Liberação Máxima, Técnica Máxima e Expansão de Domínio, para quem tem técnica própria</t>
        </is>
      </c>
      <c r="J621" s="16" t="n"/>
      <c r="K621" s="16" t="n"/>
      <c r="L621" s="16" t="n"/>
      <c r="M621" s="16" t="n"/>
      <c r="N621" s="16" t="n"/>
      <c r="O621" s="16" t="n"/>
      <c r="P621" s="16" t="n"/>
      <c r="Q621" s="16" t="n"/>
      <c r="R621" s="16" t="n"/>
      <c r="S621" s="16" t="n"/>
      <c r="T621" s="16" t="n"/>
      <c r="U621" s="16" t="n"/>
      <c r="V621" s="16" t="n"/>
      <c r="W621" s="16" t="n"/>
      <c r="X621" s="16" t="n"/>
      <c r="Y621" s="17" t="n"/>
      <c r="Z621" s="137" t="n"/>
      <c r="AB621" s="146" t="inlineStr">
        <is>
          <t>TRUNFOS · Liberação Máxima, Técnica Máxima e Expansão de Domínio, para quem tem técnica própria</t>
        </is>
      </c>
      <c r="AC621" s="16" t="n"/>
      <c r="AD621" s="16" t="n"/>
      <c r="AE621" s="16" t="n"/>
      <c r="AF621" s="16" t="n"/>
      <c r="AG621" s="16" t="n"/>
      <c r="AH621" s="16" t="n"/>
      <c r="AI621" s="16" t="n"/>
      <c r="AJ621" s="16" t="n"/>
      <c r="AK621" s="16" t="n"/>
      <c r="AL621" s="16" t="n"/>
      <c r="AM621" s="16" t="n"/>
      <c r="AN621" s="16" t="n"/>
      <c r="AO621" s="16" t="n"/>
      <c r="AP621" s="16" t="n"/>
      <c r="AQ621" s="16" t="n"/>
      <c r="AR621" s="17" t="n"/>
      <c r="AS621" s="137" t="n"/>
    </row>
    <row r="622" hidden="1" outlineLevel="2">
      <c r="A622" s="8" t="n"/>
      <c r="B622" s="14" t="n"/>
      <c r="C622" s="137" t="n"/>
      <c r="D622" s="137" t="n"/>
      <c r="E622" s="137" t="n"/>
      <c r="F622" s="137" t="n"/>
      <c r="G622" s="137" t="n"/>
      <c r="I622" s="137" t="n"/>
      <c r="J622" s="137" t="n"/>
      <c r="K622" s="137" t="n"/>
      <c r="L622" s="137" t="n"/>
      <c r="M622" s="137" t="n"/>
      <c r="N622" s="137" t="n"/>
      <c r="O622" s="137" t="n"/>
      <c r="P622" s="137" t="n"/>
      <c r="Q622" s="137" t="n"/>
      <c r="R622" s="137" t="n"/>
      <c r="S622" s="137" t="n"/>
      <c r="T622" s="137" t="n"/>
      <c r="U622" s="137" t="n"/>
      <c r="V622" s="137" t="n"/>
      <c r="W622" s="137" t="n"/>
      <c r="X622" s="137" t="n"/>
      <c r="Y622" s="137" t="n"/>
      <c r="Z622" s="137" t="n"/>
      <c r="AB622" s="137" t="n"/>
      <c r="AC622" s="137" t="n"/>
      <c r="AD622" s="137" t="n"/>
      <c r="AE622" s="137" t="n"/>
      <c r="AF622" s="137" t="n"/>
      <c r="AG622" s="137" t="n"/>
      <c r="AH622" s="137" t="n"/>
      <c r="AI622" s="137" t="n"/>
      <c r="AJ622" s="137" t="n"/>
      <c r="AK622" s="137" t="n"/>
      <c r="AL622" s="137" t="n"/>
      <c r="AM622" s="137" t="n"/>
      <c r="AN622" s="137" t="n"/>
      <c r="AO622" s="137" t="n"/>
      <c r="AP622" s="137" t="n"/>
      <c r="AQ622" s="137" t="n"/>
      <c r="AR622" s="137" t="n"/>
      <c r="AS622" s="137" t="n"/>
    </row>
    <row r="623" hidden="1" outlineLevel="2">
      <c r="A623" s="8" t="n"/>
      <c r="B623" s="14" t="n"/>
      <c r="C623" s="137" t="n"/>
      <c r="D623" s="137" t="n"/>
      <c r="E623" s="137" t="n"/>
      <c r="F623" s="137" t="n"/>
      <c r="G623" s="137" t="n"/>
      <c r="I623" s="56" t="inlineStr">
        <is>
          <t>LIBERAÇÃO MÁXIMA 1</t>
        </is>
      </c>
      <c r="J623" s="16" t="n"/>
      <c r="K623" s="16" t="n"/>
      <c r="L623" s="16" t="n"/>
      <c r="M623" s="17" t="n"/>
      <c r="N623" s="137" t="n"/>
      <c r="O623" s="56" t="inlineStr">
        <is>
          <t>LIBERAÇÃO MÁXIMA 2</t>
        </is>
      </c>
      <c r="P623" s="16" t="n"/>
      <c r="Q623" s="16" t="n"/>
      <c r="R623" s="16" t="n"/>
      <c r="S623" s="17" t="n"/>
      <c r="T623" s="137" t="n"/>
      <c r="U623" s="56" t="inlineStr">
        <is>
          <t>LIBERAÇÃO MÁXIMA 3</t>
        </is>
      </c>
      <c r="V623" s="16" t="n"/>
      <c r="W623" s="16" t="n"/>
      <c r="X623" s="16" t="n"/>
      <c r="Y623" s="17" t="n"/>
      <c r="Z623" s="137" t="n"/>
      <c r="AB623" s="56" t="inlineStr">
        <is>
          <t>LIBERAÇÃO MÁXIMA 1</t>
        </is>
      </c>
      <c r="AC623" s="16" t="n"/>
      <c r="AD623" s="16" t="n"/>
      <c r="AE623" s="16" t="n"/>
      <c r="AF623" s="17" t="n"/>
      <c r="AG623" s="137" t="n"/>
      <c r="AH623" s="56" t="inlineStr">
        <is>
          <t>LIBERAÇÃO MÁXIMA 2</t>
        </is>
      </c>
      <c r="AI623" s="16" t="n"/>
      <c r="AJ623" s="16" t="n"/>
      <c r="AK623" s="16" t="n"/>
      <c r="AL623" s="17" t="n"/>
      <c r="AM623" s="137" t="n"/>
      <c r="AN623" s="56" t="inlineStr">
        <is>
          <t>LIBERAÇÃO MÁXIMA 3</t>
        </is>
      </c>
      <c r="AO623" s="16" t="n"/>
      <c r="AP623" s="16" t="n"/>
      <c r="AQ623" s="16" t="n"/>
      <c r="AR623" s="17" t="n"/>
      <c r="AS623" s="137" t="n"/>
    </row>
    <row r="624" hidden="1" outlineLevel="2">
      <c r="A624" s="8" t="n"/>
      <c r="B624" s="14" t="n"/>
      <c r="C624" s="137" t="n"/>
      <c r="D624" s="137" t="n"/>
      <c r="E624" s="137" t="n"/>
      <c r="F624" s="137" t="n"/>
      <c r="G624" s="137" t="n"/>
      <c r="I624" s="141" t="n">
        <v>3</v>
      </c>
      <c r="J624" s="131" t="n"/>
      <c r="K624" s="16" t="n"/>
      <c r="L624" s="17" t="n"/>
      <c r="M624" s="142">
        <f>DADOS_INVOC!$IZ$4</f>
        <v/>
      </c>
      <c r="N624" s="137" t="n"/>
      <c r="O624" s="141" t="n">
        <v>3</v>
      </c>
      <c r="P624" s="131" t="n"/>
      <c r="Q624" s="16" t="n"/>
      <c r="R624" s="17" t="n"/>
      <c r="S624" s="142">
        <f>DADOS_INVOC!$JA$4</f>
        <v/>
      </c>
      <c r="T624" s="137" t="n"/>
      <c r="U624" s="141" t="n">
        <v>3</v>
      </c>
      <c r="V624" s="131" t="n"/>
      <c r="W624" s="16" t="n"/>
      <c r="X624" s="17" t="n"/>
      <c r="Y624" s="142">
        <f>DADOS_INVOC!$JB$4</f>
        <v/>
      </c>
      <c r="Z624" s="137" t="n"/>
      <c r="AB624" s="141" t="n">
        <v>3</v>
      </c>
      <c r="AC624" s="131" t="n"/>
      <c r="AD624" s="16" t="n"/>
      <c r="AE624" s="17" t="n"/>
      <c r="AF624" s="142">
        <f>DADOS_INVOC!$IZ$10</f>
        <v/>
      </c>
      <c r="AG624" s="137" t="n"/>
      <c r="AH624" s="141" t="n">
        <v>3</v>
      </c>
      <c r="AI624" s="131" t="n"/>
      <c r="AJ624" s="16" t="n"/>
      <c r="AK624" s="17" t="n"/>
      <c r="AL624" s="142">
        <f>DADOS_INVOC!$JA$10</f>
        <v/>
      </c>
      <c r="AM624" s="137" t="n"/>
      <c r="AN624" s="141" t="n">
        <v>3</v>
      </c>
      <c r="AO624" s="131" t="n"/>
      <c r="AP624" s="16" t="n"/>
      <c r="AQ624" s="17" t="n"/>
      <c r="AR624" s="142">
        <f>DADOS_INVOC!$JB$10</f>
        <v/>
      </c>
      <c r="AS624" s="137" t="n"/>
    </row>
    <row r="625" hidden="1" outlineLevel="2">
      <c r="A625" s="8" t="n"/>
      <c r="B625" s="14" t="n"/>
      <c r="C625" s="137" t="n"/>
      <c r="D625" s="137" t="n"/>
      <c r="E625" s="137" t="n"/>
      <c r="F625" s="137" t="n"/>
      <c r="G625" s="137" t="n"/>
      <c r="I625" s="61" t="n"/>
      <c r="J625" s="19" t="n"/>
      <c r="K625" s="19" t="n"/>
      <c r="L625" s="19" t="n"/>
      <c r="M625" s="20" t="n"/>
      <c r="N625" s="137" t="n"/>
      <c r="O625" s="61" t="n"/>
      <c r="P625" s="19" t="n"/>
      <c r="Q625" s="19" t="n"/>
      <c r="R625" s="19" t="n"/>
      <c r="S625" s="20" t="n"/>
      <c r="T625" s="137" t="n"/>
      <c r="U625" s="61" t="n"/>
      <c r="V625" s="19" t="n"/>
      <c r="W625" s="19" t="n"/>
      <c r="X625" s="19" t="n"/>
      <c r="Y625" s="20" t="n"/>
      <c r="Z625" s="137" t="n"/>
      <c r="AB625" s="61" t="n"/>
      <c r="AC625" s="19" t="n"/>
      <c r="AD625" s="19" t="n"/>
      <c r="AE625" s="19" t="n"/>
      <c r="AF625" s="20" t="n"/>
      <c r="AG625" s="137" t="n"/>
      <c r="AH625" s="61" t="n"/>
      <c r="AI625" s="19" t="n"/>
      <c r="AJ625" s="19" t="n"/>
      <c r="AK625" s="19" t="n"/>
      <c r="AL625" s="20" t="n"/>
      <c r="AM625" s="137" t="n"/>
      <c r="AN625" s="61" t="n"/>
      <c r="AO625" s="19" t="n"/>
      <c r="AP625" s="19" t="n"/>
      <c r="AQ625" s="19" t="n"/>
      <c r="AR625" s="20" t="n"/>
      <c r="AS625" s="137" t="n"/>
    </row>
    <row r="626" hidden="1" outlineLevel="2">
      <c r="A626" s="8" t="n"/>
      <c r="B626" s="14" t="n"/>
      <c r="C626" s="137" t="n"/>
      <c r="D626" s="137" t="n"/>
      <c r="E626" s="137" t="n"/>
      <c r="F626" s="137" t="n"/>
      <c r="G626" s="137" t="n"/>
      <c r="I626" s="21" t="n"/>
      <c r="M626" s="22" t="n"/>
      <c r="N626" s="137" t="n"/>
      <c r="O626" s="21" t="n"/>
      <c r="S626" s="22" t="n"/>
      <c r="T626" s="137" t="n"/>
      <c r="U626" s="21" t="n"/>
      <c r="Y626" s="22" t="n"/>
      <c r="Z626" s="137" t="n"/>
      <c r="AB626" s="21" t="n"/>
      <c r="AF626" s="22" t="n"/>
      <c r="AG626" s="137" t="n"/>
      <c r="AH626" s="21" t="n"/>
      <c r="AL626" s="22" t="n"/>
      <c r="AM626" s="137" t="n"/>
      <c r="AN626" s="21" t="n"/>
      <c r="AR626" s="22" t="n"/>
      <c r="AS626" s="137" t="n"/>
    </row>
    <row r="627" hidden="1" outlineLevel="2">
      <c r="A627" s="8" t="n"/>
      <c r="B627" s="14" t="n"/>
      <c r="C627" s="137" t="n"/>
      <c r="D627" s="137" t="n"/>
      <c r="E627" s="137" t="n"/>
      <c r="F627" s="137" t="n"/>
      <c r="G627" s="137" t="n"/>
      <c r="I627" s="21" t="n"/>
      <c r="M627" s="22" t="n"/>
      <c r="N627" s="137" t="n"/>
      <c r="O627" s="21" t="n"/>
      <c r="S627" s="22" t="n"/>
      <c r="T627" s="137" t="n"/>
      <c r="U627" s="21" t="n"/>
      <c r="Y627" s="22" t="n"/>
      <c r="Z627" s="137" t="n"/>
      <c r="AB627" s="21" t="n"/>
      <c r="AF627" s="22" t="n"/>
      <c r="AG627" s="137" t="n"/>
      <c r="AH627" s="21" t="n"/>
      <c r="AL627" s="22" t="n"/>
      <c r="AM627" s="137" t="n"/>
      <c r="AN627" s="21" t="n"/>
      <c r="AR627" s="22" t="n"/>
      <c r="AS627" s="137" t="n"/>
    </row>
    <row r="628" hidden="1" outlineLevel="2">
      <c r="A628" s="8" t="n"/>
      <c r="B628" s="14" t="n"/>
      <c r="C628" s="137" t="n"/>
      <c r="D628" s="137" t="n"/>
      <c r="E628" s="137" t="n"/>
      <c r="F628" s="137" t="n"/>
      <c r="G628" s="137" t="n"/>
      <c r="I628" s="23" t="n"/>
      <c r="J628" s="24" t="n"/>
      <c r="K628" s="24" t="n"/>
      <c r="L628" s="24" t="n"/>
      <c r="M628" s="25" t="n"/>
      <c r="N628" s="137" t="n"/>
      <c r="O628" s="23" t="n"/>
      <c r="P628" s="24" t="n"/>
      <c r="Q628" s="24" t="n"/>
      <c r="R628" s="24" t="n"/>
      <c r="S628" s="25" t="n"/>
      <c r="T628" s="137" t="n"/>
      <c r="U628" s="23" t="n"/>
      <c r="V628" s="24" t="n"/>
      <c r="W628" s="24" t="n"/>
      <c r="X628" s="24" t="n"/>
      <c r="Y628" s="25" t="n"/>
      <c r="Z628" s="137" t="n"/>
      <c r="AB628" s="23" t="n"/>
      <c r="AC628" s="24" t="n"/>
      <c r="AD628" s="24" t="n"/>
      <c r="AE628" s="24" t="n"/>
      <c r="AF628" s="25" t="n"/>
      <c r="AG628" s="137" t="n"/>
      <c r="AH628" s="23" t="n"/>
      <c r="AI628" s="24" t="n"/>
      <c r="AJ628" s="24" t="n"/>
      <c r="AK628" s="24" t="n"/>
      <c r="AL628" s="25" t="n"/>
      <c r="AM628" s="137" t="n"/>
      <c r="AN628" s="23" t="n"/>
      <c r="AO628" s="24" t="n"/>
      <c r="AP628" s="24" t="n"/>
      <c r="AQ628" s="24" t="n"/>
      <c r="AR628" s="25" t="n"/>
      <c r="AS628" s="137" t="n"/>
    </row>
    <row r="629" hidden="1" outlineLevel="2">
      <c r="A629" s="8" t="n"/>
      <c r="B629" s="14" t="n"/>
      <c r="C629" s="137" t="n"/>
      <c r="D629" s="137" t="n"/>
      <c r="E629" s="137" t="n"/>
      <c r="F629" s="137" t="n"/>
      <c r="G629" s="137" t="n"/>
      <c r="I629" s="71">
        <f>DADOS_INVOC!$JC$4</f>
        <v/>
      </c>
      <c r="J629" s="16" t="n"/>
      <c r="K629" s="16" t="n"/>
      <c r="L629" s="16" t="n"/>
      <c r="M629" s="17" t="n"/>
      <c r="N629" s="137" t="n"/>
      <c r="O629" s="71">
        <f>DADOS_INVOC!$JD$4</f>
        <v/>
      </c>
      <c r="P629" s="16" t="n"/>
      <c r="Q629" s="16" t="n"/>
      <c r="R629" s="16" t="n"/>
      <c r="S629" s="17" t="n"/>
      <c r="T629" s="137" t="n"/>
      <c r="U629" s="71">
        <f>DADOS_INVOC!$JE$4</f>
        <v/>
      </c>
      <c r="V629" s="16" t="n"/>
      <c r="W629" s="16" t="n"/>
      <c r="X629" s="16" t="n"/>
      <c r="Y629" s="17" t="n"/>
      <c r="Z629" s="137" t="n"/>
      <c r="AB629" s="71">
        <f>DADOS_INVOC!$JC$10</f>
        <v/>
      </c>
      <c r="AC629" s="16" t="n"/>
      <c r="AD629" s="16" t="n"/>
      <c r="AE629" s="16" t="n"/>
      <c r="AF629" s="17" t="n"/>
      <c r="AG629" s="137" t="n"/>
      <c r="AH629" s="71">
        <f>DADOS_INVOC!$JD$10</f>
        <v/>
      </c>
      <c r="AI629" s="16" t="n"/>
      <c r="AJ629" s="16" t="n"/>
      <c r="AK629" s="16" t="n"/>
      <c r="AL629" s="17" t="n"/>
      <c r="AM629" s="137" t="n"/>
      <c r="AN629" s="71">
        <f>DADOS_INVOC!$JE$10</f>
        <v/>
      </c>
      <c r="AO629" s="16" t="n"/>
      <c r="AP629" s="16" t="n"/>
      <c r="AQ629" s="16" t="n"/>
      <c r="AR629" s="17" t="n"/>
      <c r="AS629" s="137" t="n"/>
    </row>
    <row r="630" hidden="1" outlineLevel="2">
      <c r="A630" s="8" t="n"/>
      <c r="B630" s="14" t="n"/>
      <c r="C630" s="137" t="n"/>
      <c r="D630" s="137" t="n"/>
      <c r="E630" s="137" t="n"/>
      <c r="F630" s="137" t="n"/>
      <c r="G630" s="137" t="n"/>
      <c r="I630" s="95" t="inlineStr">
        <is>
          <t>Sua Ação Completa + a básica dela</t>
        </is>
      </c>
      <c r="J630" s="16" t="n"/>
      <c r="K630" s="16" t="n"/>
      <c r="L630" s="16" t="n"/>
      <c r="M630" s="17" t="n"/>
      <c r="N630" s="137" t="n"/>
      <c r="O630" s="95" t="inlineStr">
        <is>
          <t>Sua Ação Completa + a básica dela</t>
        </is>
      </c>
      <c r="P630" s="16" t="n"/>
      <c r="Q630" s="16" t="n"/>
      <c r="R630" s="16" t="n"/>
      <c r="S630" s="17" t="n"/>
      <c r="T630" s="137" t="n"/>
      <c r="U630" s="95" t="inlineStr">
        <is>
          <t>Sua Ação Completa + a básica dela</t>
        </is>
      </c>
      <c r="V630" s="16" t="n"/>
      <c r="W630" s="16" t="n"/>
      <c r="X630" s="16" t="n"/>
      <c r="Y630" s="17" t="n"/>
      <c r="Z630" s="137" t="n"/>
      <c r="AB630" s="95" t="inlineStr">
        <is>
          <t>Sua Ação Completa + a básica dela</t>
        </is>
      </c>
      <c r="AC630" s="16" t="n"/>
      <c r="AD630" s="16" t="n"/>
      <c r="AE630" s="16" t="n"/>
      <c r="AF630" s="17" t="n"/>
      <c r="AG630" s="137" t="n"/>
      <c r="AH630" s="95" t="inlineStr">
        <is>
          <t>Sua Ação Completa + a básica dela</t>
        </is>
      </c>
      <c r="AI630" s="16" t="n"/>
      <c r="AJ630" s="16" t="n"/>
      <c r="AK630" s="16" t="n"/>
      <c r="AL630" s="17" t="n"/>
      <c r="AM630" s="137" t="n"/>
      <c r="AN630" s="95" t="inlineStr">
        <is>
          <t>Sua Ação Completa + a básica dela</t>
        </is>
      </c>
      <c r="AO630" s="16" t="n"/>
      <c r="AP630" s="16" t="n"/>
      <c r="AQ630" s="16" t="n"/>
      <c r="AR630" s="17" t="n"/>
      <c r="AS630" s="137" t="n"/>
    </row>
    <row r="631" hidden="1" outlineLevel="2">
      <c r="A631" s="8" t="n"/>
      <c r="B631" s="14" t="n"/>
      <c r="C631" s="137" t="n"/>
      <c r="D631" s="137" t="n"/>
      <c r="E631" s="137" t="n"/>
      <c r="F631" s="137" t="n"/>
      <c r="G631" s="137" t="n"/>
      <c r="I631" s="137" t="n"/>
      <c r="J631" s="137" t="n"/>
      <c r="K631" s="137" t="n"/>
      <c r="L631" s="137" t="n"/>
      <c r="M631" s="137" t="n"/>
      <c r="N631" s="137" t="n"/>
      <c r="O631" s="137" t="n"/>
      <c r="P631" s="137" t="n"/>
      <c r="Q631" s="137" t="n"/>
      <c r="R631" s="137" t="n"/>
      <c r="S631" s="137" t="n"/>
      <c r="T631" s="137" t="n"/>
      <c r="U631" s="137" t="n"/>
      <c r="V631" s="137" t="n"/>
      <c r="W631" s="137" t="n"/>
      <c r="X631" s="137" t="n"/>
      <c r="Y631" s="137" t="n"/>
      <c r="Z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37" t="n"/>
      <c r="AS631" s="137" t="n"/>
    </row>
    <row r="632" hidden="1" outlineLevel="2">
      <c r="A632" s="8" t="n"/>
      <c r="B632" s="14" t="n"/>
      <c r="C632" s="137" t="n"/>
      <c r="D632" s="137" t="n"/>
      <c r="E632" s="137" t="n"/>
      <c r="F632" s="137" t="n"/>
      <c r="G632" s="137" t="n"/>
      <c r="I632" s="56" t="inlineStr">
        <is>
          <t>TÉCNICA MÁXIMA</t>
        </is>
      </c>
      <c r="J632" s="16" t="n"/>
      <c r="K632" s="16" t="n"/>
      <c r="L632" s="16" t="n"/>
      <c r="M632" s="17" t="n"/>
      <c r="N632" s="137" t="n"/>
      <c r="O632" s="56" t="inlineStr">
        <is>
          <t>EXPANSÃO DE DOMÍNIO</t>
        </is>
      </c>
      <c r="P632" s="16" t="n"/>
      <c r="Q632" s="16" t="n"/>
      <c r="R632" s="16" t="n"/>
      <c r="S632" s="17" t="n"/>
      <c r="T632" s="137" t="n"/>
      <c r="U632" s="137" t="n"/>
      <c r="V632" s="137" t="n"/>
      <c r="W632" s="137" t="n"/>
      <c r="X632" s="137" t="n"/>
      <c r="Y632" s="137" t="n"/>
      <c r="Z632" s="137" t="n"/>
      <c r="AB632" s="56" t="inlineStr">
        <is>
          <t>TÉCNICA MÁXIMA</t>
        </is>
      </c>
      <c r="AC632" s="16" t="n"/>
      <c r="AD632" s="16" t="n"/>
      <c r="AE632" s="16" t="n"/>
      <c r="AF632" s="17" t="n"/>
      <c r="AG632" s="137" t="n"/>
      <c r="AH632" s="56" t="inlineStr">
        <is>
          <t>EXPANSÃO DE DOMÍNIO</t>
        </is>
      </c>
      <c r="AI632" s="16" t="n"/>
      <c r="AJ632" s="16" t="n"/>
      <c r="AK632" s="16" t="n"/>
      <c r="AL632" s="17" t="n"/>
      <c r="AM632" s="137" t="n"/>
      <c r="AN632" s="137" t="n"/>
      <c r="AO632" s="137" t="n"/>
      <c r="AP632" s="137" t="n"/>
      <c r="AQ632" s="137" t="n"/>
      <c r="AR632" s="137" t="n"/>
      <c r="AS632" s="137" t="n"/>
    </row>
    <row r="633" hidden="1" outlineLevel="2">
      <c r="A633" s="8" t="n"/>
      <c r="B633" s="14" t="n"/>
      <c r="C633" s="137" t="n"/>
      <c r="D633" s="137" t="n"/>
      <c r="E633" s="137" t="n"/>
      <c r="F633" s="137" t="n"/>
      <c r="G633" s="137" t="n"/>
      <c r="I633" s="131" t="n"/>
      <c r="J633" s="16" t="n"/>
      <c r="K633" s="16" t="n"/>
      <c r="L633" s="17" t="n"/>
      <c r="M633" s="142">
        <f>DADOS_INVOC!$JF$4</f>
        <v/>
      </c>
      <c r="N633" s="137" t="n"/>
      <c r="O633" s="131" t="n"/>
      <c r="P633" s="16" t="n"/>
      <c r="Q633" s="16" t="n"/>
      <c r="R633" s="17" t="n"/>
      <c r="S633" s="142">
        <f>DADOS_INVOC!$JH$4</f>
        <v/>
      </c>
      <c r="T633" s="137" t="n"/>
      <c r="U633" s="137" t="n"/>
      <c r="V633" s="137" t="n"/>
      <c r="W633" s="137" t="n"/>
      <c r="X633" s="137" t="n"/>
      <c r="Y633" s="137" t="n"/>
      <c r="Z633" s="137" t="n"/>
      <c r="AB633" s="131" t="n"/>
      <c r="AC633" s="16" t="n"/>
      <c r="AD633" s="16" t="n"/>
      <c r="AE633" s="17" t="n"/>
      <c r="AF633" s="142">
        <f>DADOS_INVOC!$JF$10</f>
        <v/>
      </c>
      <c r="AG633" s="137" t="n"/>
      <c r="AH633" s="131" t="n"/>
      <c r="AI633" s="16" t="n"/>
      <c r="AJ633" s="16" t="n"/>
      <c r="AK633" s="17" t="n"/>
      <c r="AL633" s="142">
        <f>DADOS_INVOC!$JH$10</f>
        <v/>
      </c>
      <c r="AM633" s="137" t="n"/>
      <c r="AN633" s="137" t="n"/>
      <c r="AO633" s="137" t="n"/>
      <c r="AP633" s="137" t="n"/>
      <c r="AQ633" s="137" t="n"/>
      <c r="AR633" s="137" t="n"/>
      <c r="AS633" s="137" t="n"/>
    </row>
    <row r="634" hidden="1" outlineLevel="2">
      <c r="A634" s="8" t="n"/>
      <c r="B634" s="14" t="n"/>
      <c r="C634" s="137" t="n"/>
      <c r="D634" s="137" t="n"/>
      <c r="E634" s="137" t="n"/>
      <c r="F634" s="137" t="n"/>
      <c r="G634" s="137" t="n"/>
      <c r="I634" s="61" t="n"/>
      <c r="J634" s="19" t="n"/>
      <c r="K634" s="19" t="n"/>
      <c r="L634" s="19" t="n"/>
      <c r="M634" s="20" t="n"/>
      <c r="N634" s="137" t="n"/>
      <c r="O634" s="61" t="n"/>
      <c r="P634" s="19" t="n"/>
      <c r="Q634" s="19" t="n"/>
      <c r="R634" s="19" t="n"/>
      <c r="S634" s="20" t="n"/>
      <c r="T634" s="137" t="n"/>
      <c r="U634" s="137" t="n"/>
      <c r="V634" s="137" t="n"/>
      <c r="W634" s="137" t="n"/>
      <c r="X634" s="137" t="n"/>
      <c r="Y634" s="137" t="n"/>
      <c r="Z634" s="137" t="n"/>
      <c r="AB634" s="61" t="n"/>
      <c r="AC634" s="19" t="n"/>
      <c r="AD634" s="19" t="n"/>
      <c r="AE634" s="19" t="n"/>
      <c r="AF634" s="20" t="n"/>
      <c r="AG634" s="137" t="n"/>
      <c r="AH634" s="61" t="n"/>
      <c r="AI634" s="19" t="n"/>
      <c r="AJ634" s="19" t="n"/>
      <c r="AK634" s="19" t="n"/>
      <c r="AL634" s="20" t="n"/>
      <c r="AM634" s="137" t="n"/>
      <c r="AN634" s="137" t="n"/>
      <c r="AO634" s="137" t="n"/>
      <c r="AP634" s="137" t="n"/>
      <c r="AQ634" s="137" t="n"/>
      <c r="AR634" s="137" t="n"/>
      <c r="AS634" s="137" t="n"/>
    </row>
    <row r="635" hidden="1" outlineLevel="2">
      <c r="A635" s="8" t="n"/>
      <c r="B635" s="14" t="n"/>
      <c r="C635" s="137" t="n"/>
      <c r="D635" s="137" t="n"/>
      <c r="E635" s="137" t="n"/>
      <c r="F635" s="137" t="n"/>
      <c r="G635" s="137" t="n"/>
      <c r="I635" s="21" t="n"/>
      <c r="M635" s="22" t="n"/>
      <c r="N635" s="137" t="n"/>
      <c r="O635" s="21" t="n"/>
      <c r="S635" s="22" t="n"/>
      <c r="T635" s="137" t="n"/>
      <c r="U635" s="137" t="n"/>
      <c r="V635" s="137" t="n"/>
      <c r="W635" s="137" t="n"/>
      <c r="X635" s="137" t="n"/>
      <c r="Y635" s="137" t="n"/>
      <c r="Z635" s="137" t="n"/>
      <c r="AB635" s="21" t="n"/>
      <c r="AF635" s="22" t="n"/>
      <c r="AG635" s="137" t="n"/>
      <c r="AH635" s="21" t="n"/>
      <c r="AL635" s="22" t="n"/>
      <c r="AM635" s="137" t="n"/>
      <c r="AN635" s="137" t="n"/>
      <c r="AO635" s="137" t="n"/>
      <c r="AP635" s="137" t="n"/>
      <c r="AQ635" s="137" t="n"/>
      <c r="AR635" s="137" t="n"/>
      <c r="AS635" s="137" t="n"/>
    </row>
    <row r="636" hidden="1" outlineLevel="2">
      <c r="A636" s="8" t="n"/>
      <c r="B636" s="14" t="n"/>
      <c r="C636" s="137" t="n"/>
      <c r="D636" s="137" t="n"/>
      <c r="E636" s="137" t="n"/>
      <c r="F636" s="137" t="n"/>
      <c r="G636" s="137" t="n"/>
      <c r="I636" s="21" t="n"/>
      <c r="M636" s="22" t="n"/>
      <c r="N636" s="137" t="n"/>
      <c r="O636" s="21" t="n"/>
      <c r="S636" s="22" t="n"/>
      <c r="T636" s="137" t="n"/>
      <c r="U636" s="137" t="n"/>
      <c r="V636" s="137" t="n"/>
      <c r="W636" s="137" t="n"/>
      <c r="X636" s="137" t="n"/>
      <c r="Y636" s="137" t="n"/>
      <c r="Z636" s="137" t="n"/>
      <c r="AB636" s="21" t="n"/>
      <c r="AF636" s="22" t="n"/>
      <c r="AG636" s="137" t="n"/>
      <c r="AH636" s="21" t="n"/>
      <c r="AL636" s="22" t="n"/>
      <c r="AM636" s="137" t="n"/>
      <c r="AN636" s="137" t="n"/>
      <c r="AO636" s="137" t="n"/>
      <c r="AP636" s="137" t="n"/>
      <c r="AQ636" s="137" t="n"/>
      <c r="AR636" s="137" t="n"/>
      <c r="AS636" s="137" t="n"/>
    </row>
    <row r="637" hidden="1" outlineLevel="2">
      <c r="A637" s="8" t="n"/>
      <c r="B637" s="14" t="n"/>
      <c r="C637" s="137" t="n"/>
      <c r="D637" s="137" t="n"/>
      <c r="E637" s="137" t="n"/>
      <c r="F637" s="137" t="n"/>
      <c r="G637" s="137" t="n"/>
      <c r="I637" s="23" t="n"/>
      <c r="J637" s="24" t="n"/>
      <c r="K637" s="24" t="n"/>
      <c r="L637" s="24" t="n"/>
      <c r="M637" s="25" t="n"/>
      <c r="N637" s="137" t="n"/>
      <c r="O637" s="23" t="n"/>
      <c r="P637" s="24" t="n"/>
      <c r="Q637" s="24" t="n"/>
      <c r="R637" s="24" t="n"/>
      <c r="S637" s="25" t="n"/>
      <c r="T637" s="137" t="n"/>
      <c r="U637" s="137" t="n"/>
      <c r="V637" s="137" t="n"/>
      <c r="W637" s="137" t="n"/>
      <c r="X637" s="137" t="n"/>
      <c r="Y637" s="137" t="n"/>
      <c r="Z637" s="137" t="n"/>
      <c r="AB637" s="23" t="n"/>
      <c r="AC637" s="24" t="n"/>
      <c r="AD637" s="24" t="n"/>
      <c r="AE637" s="24" t="n"/>
      <c r="AF637" s="25" t="n"/>
      <c r="AG637" s="137" t="n"/>
      <c r="AH637" s="23" t="n"/>
      <c r="AI637" s="24" t="n"/>
      <c r="AJ637" s="24" t="n"/>
      <c r="AK637" s="24" t="n"/>
      <c r="AL637" s="25" t="n"/>
      <c r="AM637" s="137" t="n"/>
      <c r="AN637" s="137" t="n"/>
      <c r="AO637" s="137" t="n"/>
      <c r="AP637" s="137" t="n"/>
      <c r="AQ637" s="137" t="n"/>
      <c r="AR637" s="137" t="n"/>
      <c r="AS637" s="137" t="n"/>
    </row>
    <row r="638" hidden="1" outlineLevel="2">
      <c r="A638" s="8" t="n"/>
      <c r="B638" s="14" t="n"/>
      <c r="C638" s="137" t="n"/>
      <c r="D638" s="137" t="n"/>
      <c r="E638" s="137" t="n"/>
      <c r="F638" s="137" t="n"/>
      <c r="G638" s="137" t="n"/>
      <c r="I638" s="71">
        <f>DADOS_INVOC!$JG$4</f>
        <v/>
      </c>
      <c r="J638" s="16" t="n"/>
      <c r="K638" s="16" t="n"/>
      <c r="L638" s="16" t="n"/>
      <c r="M638" s="17" t="n"/>
      <c r="N638" s="137" t="n"/>
      <c r="O638" s="95" t="n"/>
      <c r="P638" s="17" t="n"/>
      <c r="Q638" s="71">
        <f>DADOS_INVOC!$JI$4</f>
        <v/>
      </c>
      <c r="R638" s="16" t="n"/>
      <c r="S638" s="17" t="n"/>
      <c r="T638" s="137" t="n"/>
      <c r="U638" s="137" t="n"/>
      <c r="V638" s="137" t="n"/>
      <c r="W638" s="137" t="n"/>
      <c r="X638" s="137" t="n"/>
      <c r="Y638" s="137" t="n"/>
      <c r="Z638" s="137" t="n"/>
      <c r="AB638" s="71">
        <f>DADOS_INVOC!$JG$10</f>
        <v/>
      </c>
      <c r="AC638" s="16" t="n"/>
      <c r="AD638" s="16" t="n"/>
      <c r="AE638" s="16" t="n"/>
      <c r="AF638" s="17" t="n"/>
      <c r="AG638" s="137" t="n"/>
      <c r="AH638" s="95" t="n"/>
      <c r="AI638" s="17" t="n"/>
      <c r="AJ638" s="71">
        <f>DADOS_INVOC!$JI$10</f>
        <v/>
      </c>
      <c r="AK638" s="16" t="n"/>
      <c r="AL638" s="17" t="n"/>
      <c r="AM638" s="137" t="n"/>
      <c r="AN638" s="137" t="n"/>
      <c r="AO638" s="137" t="n"/>
      <c r="AP638" s="137" t="n"/>
      <c r="AQ638" s="137" t="n"/>
      <c r="AR638" s="137" t="n"/>
      <c r="AS638" s="137" t="n"/>
    </row>
    <row r="639" hidden="1" outlineLevel="2">
      <c r="A639" s="8" t="n"/>
      <c r="B639" s="14" t="n"/>
      <c r="C639" s="137" t="n"/>
      <c r="D639" s="137" t="n"/>
      <c r="E639" s="137" t="n"/>
      <c r="F639" s="137" t="n"/>
      <c r="G639" s="137" t="n"/>
      <c r="I639" s="95" t="inlineStr">
        <is>
          <t>Sua Ação Completa + a básica dela</t>
        </is>
      </c>
      <c r="J639" s="16" t="n"/>
      <c r="K639" s="16" t="n"/>
      <c r="L639" s="16" t="n"/>
      <c r="M639" s="17" t="n"/>
      <c r="N639" s="137" t="n"/>
      <c r="O639" s="143">
        <f>DADOS_INVOC!$JJ$4</f>
        <v/>
      </c>
      <c r="P639" s="16" t="n"/>
      <c r="Q639" s="16" t="n"/>
      <c r="R639" s="16" t="n"/>
      <c r="S639" s="17" t="n"/>
      <c r="T639" s="137" t="n"/>
      <c r="U639" s="137" t="n"/>
      <c r="V639" s="137" t="n"/>
      <c r="W639" s="137" t="n"/>
      <c r="X639" s="137" t="n"/>
      <c r="Y639" s="137" t="n"/>
      <c r="Z639" s="137" t="n"/>
      <c r="AB639" s="95" t="inlineStr">
        <is>
          <t>Sua Ação Completa + a básica dela</t>
        </is>
      </c>
      <c r="AC639" s="16" t="n"/>
      <c r="AD639" s="16" t="n"/>
      <c r="AE639" s="16" t="n"/>
      <c r="AF639" s="17" t="n"/>
      <c r="AG639" s="137" t="n"/>
      <c r="AH639" s="143">
        <f>DADOS_INVOC!$JJ$10</f>
        <v/>
      </c>
      <c r="AI639" s="16" t="n"/>
      <c r="AJ639" s="16" t="n"/>
      <c r="AK639" s="16" t="n"/>
      <c r="AL639" s="17" t="n"/>
      <c r="AM639" s="137" t="n"/>
      <c r="AN639" s="137" t="n"/>
      <c r="AO639" s="137" t="n"/>
      <c r="AP639" s="137" t="n"/>
      <c r="AQ639" s="137" t="n"/>
      <c r="AR639" s="137" t="n"/>
      <c r="AS639" s="137" t="n"/>
    </row>
    <row r="640">
      <c r="A640" s="8" t="n"/>
      <c r="B640" s="14" t="n"/>
      <c r="C640" s="137" t="n"/>
      <c r="D640" s="137" t="n"/>
      <c r="E640" s="137" t="n"/>
      <c r="F640" s="137" t="n"/>
      <c r="G640" s="137" t="n"/>
      <c r="H640" s="137" t="n"/>
      <c r="I640" s="137" t="n"/>
      <c r="J640" s="137" t="n"/>
      <c r="K640" s="137" t="n"/>
      <c r="L640" s="137" t="n"/>
      <c r="M640" s="137" t="n"/>
      <c r="N640" s="137" t="n"/>
      <c r="O640" s="137" t="n"/>
      <c r="P640" s="137" t="n"/>
      <c r="Q640" s="137" t="n"/>
      <c r="R640" s="137" t="n"/>
      <c r="S640" s="137" t="n"/>
      <c r="T640" s="137" t="n"/>
      <c r="U640" s="137" t="n"/>
      <c r="V640" s="137" t="n"/>
      <c r="W640" s="137" t="n"/>
      <c r="X640" s="137" t="n"/>
      <c r="Y640" s="137" t="n"/>
      <c r="Z640" s="137" t="n"/>
      <c r="AA640" s="137" t="n"/>
      <c r="AB640" s="137" t="n"/>
      <c r="AC640" s="137" t="n"/>
      <c r="AD640" s="137" t="n"/>
      <c r="AE640" s="137" t="n"/>
      <c r="AF640" s="137" t="n"/>
      <c r="AG640" s="137" t="n"/>
      <c r="AH640" s="137" t="n"/>
      <c r="AI640" s="137" t="n"/>
      <c r="AJ640" s="137" t="n"/>
      <c r="AK640" s="137" t="n"/>
      <c r="AL640" s="137" t="n"/>
      <c r="AM640" s="137" t="n"/>
      <c r="AN640" s="137" t="n"/>
      <c r="AO640" s="137" t="n"/>
      <c r="AP640" s="137" t="n"/>
      <c r="AQ640" s="137" t="n"/>
      <c r="AR640" s="137" t="n"/>
      <c r="AS640" s="137" t="n"/>
    </row>
    <row r="641">
      <c r="A641" s="8" t="n"/>
      <c r="B641" s="14" t="n"/>
      <c r="C641" s="137" t="n"/>
      <c r="D641" s="137" t="n"/>
      <c r="E641" s="137" t="n"/>
      <c r="F641" s="137" t="n"/>
      <c r="G641" s="137" t="n"/>
      <c r="H641" s="137" t="n"/>
      <c r="I641" s="137" t="n"/>
      <c r="J641" s="137" t="n"/>
      <c r="K641" s="137" t="n"/>
      <c r="L641" s="137" t="n"/>
      <c r="M641" s="137" t="n"/>
      <c r="N641" s="137" t="n"/>
      <c r="O641" s="137" t="n"/>
      <c r="P641" s="137" t="n"/>
      <c r="Q641" s="137" t="n"/>
      <c r="R641" s="137" t="n"/>
      <c r="S641" s="137" t="n"/>
      <c r="T641" s="137" t="n"/>
      <c r="U641" s="137" t="n"/>
      <c r="V641" s="137" t="n"/>
      <c r="W641" s="137" t="n"/>
      <c r="X641" s="137" t="n"/>
      <c r="Y641" s="137"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37" t="n"/>
      <c r="AS641" s="137" t="n"/>
    </row>
    <row r="642">
      <c r="A642" s="8" t="n"/>
      <c r="B642" s="14" t="n"/>
      <c r="C642" s="137" t="n"/>
      <c r="D642" s="137" t="n"/>
      <c r="E642" s="137" t="n"/>
      <c r="F642" s="137" t="n"/>
      <c r="G642" s="137" t="n"/>
      <c r="H642" s="151" t="n">
        <v>4</v>
      </c>
      <c r="I642" s="152" t="n">
        <v>4</v>
      </c>
      <c r="J642" s="55">
        <f>DADOS_INVOC!$HG$5</f>
        <v/>
      </c>
      <c r="K642" s="19" t="n"/>
      <c r="L642" s="19" t="n"/>
      <c r="M642" s="19" t="n"/>
      <c r="N642" s="19" t="n"/>
      <c r="O642" s="19" t="n"/>
      <c r="P642" s="19" t="n"/>
      <c r="Q642" s="19" t="n"/>
      <c r="R642" s="19" t="n"/>
      <c r="S642" s="19" t="n"/>
      <c r="T642" s="19" t="n"/>
      <c r="U642" s="19" t="n"/>
      <c r="V642" s="19" t="n"/>
      <c r="W642" s="19" t="n"/>
      <c r="X642" s="19" t="n"/>
      <c r="Y642" s="20" t="n"/>
      <c r="Z642" s="137" t="n"/>
      <c r="AA642" s="151" t="n">
        <v>10</v>
      </c>
      <c r="AB642" s="152" t="n">
        <v>10</v>
      </c>
      <c r="AC642" s="55">
        <f>DADOS_INVOC!$HG$11</f>
        <v/>
      </c>
      <c r="AD642" s="19" t="n"/>
      <c r="AE642" s="19" t="n"/>
      <c r="AF642" s="19" t="n"/>
      <c r="AG642" s="19" t="n"/>
      <c r="AH642" s="19" t="n"/>
      <c r="AI642" s="19" t="n"/>
      <c r="AJ642" s="19" t="n"/>
      <c r="AK642" s="19" t="n"/>
      <c r="AL642" s="19" t="n"/>
      <c r="AM642" s="19" t="n"/>
      <c r="AN642" s="19" t="n"/>
      <c r="AO642" s="19" t="n"/>
      <c r="AP642" s="19" t="n"/>
      <c r="AQ642" s="19" t="n"/>
      <c r="AR642" s="20" t="n"/>
      <c r="AS642" s="137" t="n"/>
    </row>
    <row r="643">
      <c r="A643" s="8" t="n"/>
      <c r="B643" s="14" t="n"/>
      <c r="C643" s="137" t="n"/>
      <c r="D643" s="137" t="n"/>
      <c r="E643" s="137" t="n"/>
      <c r="F643" s="137" t="n"/>
      <c r="G643" s="137" t="n"/>
      <c r="I643" s="128" t="n"/>
      <c r="J643" s="23" t="n"/>
      <c r="K643" s="24" t="n"/>
      <c r="L643" s="24" t="n"/>
      <c r="M643" s="24" t="n"/>
      <c r="N643" s="24" t="n"/>
      <c r="O643" s="24" t="n"/>
      <c r="P643" s="24" t="n"/>
      <c r="Q643" s="24" t="n"/>
      <c r="R643" s="24" t="n"/>
      <c r="S643" s="24" t="n"/>
      <c r="T643" s="24" t="n"/>
      <c r="U643" s="24" t="n"/>
      <c r="V643" s="24" t="n"/>
      <c r="W643" s="24" t="n"/>
      <c r="X643" s="24" t="n"/>
      <c r="Y643" s="25" t="n"/>
      <c r="Z643" s="137" t="n"/>
      <c r="AB643" s="128" t="n"/>
      <c r="AC643" s="23" t="n"/>
      <c r="AD643" s="24" t="n"/>
      <c r="AE643" s="24" t="n"/>
      <c r="AF643" s="24" t="n"/>
      <c r="AG643" s="24" t="n"/>
      <c r="AH643" s="24" t="n"/>
      <c r="AI643" s="24" t="n"/>
      <c r="AJ643" s="24" t="n"/>
      <c r="AK643" s="24" t="n"/>
      <c r="AL643" s="24" t="n"/>
      <c r="AM643" s="24" t="n"/>
      <c r="AN643" s="24" t="n"/>
      <c r="AO643" s="24" t="n"/>
      <c r="AP643" s="24" t="n"/>
      <c r="AQ643" s="24" t="n"/>
      <c r="AR643" s="25" t="n"/>
      <c r="AS643" s="137" t="n"/>
    </row>
    <row r="644" hidden="1" outlineLevel="1">
      <c r="A644" s="8" t="n"/>
      <c r="B644" s="14" t="n"/>
      <c r="C644" s="137" t="n"/>
      <c r="D644" s="137" t="n"/>
      <c r="E644" s="137" t="n"/>
      <c r="F644" s="137" t="n"/>
      <c r="G644" s="137" t="n"/>
      <c r="H644" s="153">
        <f>DADOS_INVOC!$HH$5</f>
        <v/>
      </c>
      <c r="I644" s="137" t="n"/>
      <c r="J644" s="137" t="n"/>
      <c r="K644" s="137" t="n"/>
      <c r="L644" s="137" t="n"/>
      <c r="M644" s="137" t="n"/>
      <c r="N644" s="137" t="n"/>
      <c r="O644" s="137" t="n"/>
      <c r="P644" s="137" t="n"/>
      <c r="Q644" s="137" t="n"/>
      <c r="R644" s="137" t="n"/>
      <c r="S644" s="137" t="n"/>
      <c r="T644" s="137" t="n"/>
      <c r="U644" s="137" t="n"/>
      <c r="V644" s="137" t="n"/>
      <c r="W644" s="137" t="n"/>
      <c r="X644" s="137" t="n"/>
      <c r="Y644" s="137" t="n"/>
      <c r="Z644" s="137" t="n"/>
      <c r="AA644" s="153">
        <f>DADOS_INVOC!$HH$11</f>
        <v/>
      </c>
      <c r="AB644" s="137" t="n"/>
      <c r="AC644" s="137" t="n"/>
      <c r="AD644" s="137" t="n"/>
      <c r="AE644" s="137" t="n"/>
      <c r="AF644" s="137" t="n"/>
      <c r="AG644" s="137" t="n"/>
      <c r="AH644" s="137" t="n"/>
      <c r="AI644" s="137" t="n"/>
      <c r="AJ644" s="137" t="n"/>
      <c r="AK644" s="137" t="n"/>
      <c r="AL644" s="137" t="n"/>
      <c r="AM644" s="137" t="n"/>
      <c r="AN644" s="137" t="n"/>
      <c r="AO644" s="137" t="n"/>
      <c r="AP644" s="137" t="n"/>
      <c r="AQ644" s="137" t="n"/>
      <c r="AR644" s="137" t="n"/>
      <c r="AS644" s="137" t="n"/>
    </row>
    <row r="645" hidden="1" outlineLevel="1">
      <c r="A645" s="8" t="n"/>
      <c r="B645" s="14" t="n"/>
      <c r="C645" s="137" t="n"/>
      <c r="D645" s="137" t="n"/>
      <c r="E645" s="137" t="n"/>
      <c r="F645" s="137" t="n"/>
      <c r="G645" s="137" t="n"/>
      <c r="I645" s="56" t="inlineStr">
        <is>
          <t>NOME</t>
        </is>
      </c>
      <c r="J645" s="16" t="n"/>
      <c r="K645" s="16" t="n"/>
      <c r="L645" s="16" t="n"/>
      <c r="M645" s="17" t="n"/>
      <c r="N645" s="137" t="n"/>
      <c r="O645" s="56" t="inlineStr">
        <is>
          <t>NÍVEL</t>
        </is>
      </c>
      <c r="P645" s="56" t="inlineStr">
        <is>
          <t>CLASSE</t>
        </is>
      </c>
      <c r="Q645" s="56" t="inlineStr">
        <is>
          <t>MAESTRIA</t>
        </is>
      </c>
      <c r="R645" s="56" t="inlineStr">
        <is>
          <t>ENTRADA</t>
        </is>
      </c>
      <c r="S645" s="56" t="inlineStr">
        <is>
          <t>RETORNO</t>
        </is>
      </c>
      <c r="T645" s="137" t="n"/>
      <c r="U645" s="56" t="inlineStr">
        <is>
          <t>VIDA ATUAL</t>
        </is>
      </c>
      <c r="V645" s="56" t="inlineStr">
        <is>
          <t>VIDA MÁXIMA</t>
        </is>
      </c>
      <c r="W645" s="56" t="inlineStr">
        <is>
          <t>TEMPORÁRIA</t>
        </is>
      </c>
      <c r="X645" s="56" t="inlineStr">
        <is>
          <t>± PERDA / GANHO</t>
        </is>
      </c>
      <c r="Y645" s="56">
        <f>DADOS_INVOC!$IB$5</f>
        <v/>
      </c>
      <c r="Z645" s="137" t="n"/>
      <c r="AB645" s="56" t="inlineStr">
        <is>
          <t>NOME</t>
        </is>
      </c>
      <c r="AC645" s="16" t="n"/>
      <c r="AD645" s="16" t="n"/>
      <c r="AE645" s="16" t="n"/>
      <c r="AF645" s="17" t="n"/>
      <c r="AG645" s="137" t="n"/>
      <c r="AH645" s="56" t="inlineStr">
        <is>
          <t>NÍVEL</t>
        </is>
      </c>
      <c r="AI645" s="56" t="inlineStr">
        <is>
          <t>CLASSE</t>
        </is>
      </c>
      <c r="AJ645" s="56" t="inlineStr">
        <is>
          <t>MAESTRIA</t>
        </is>
      </c>
      <c r="AK645" s="56" t="inlineStr">
        <is>
          <t>ENTRADA</t>
        </is>
      </c>
      <c r="AL645" s="56" t="inlineStr">
        <is>
          <t>RETORNO</t>
        </is>
      </c>
      <c r="AM645" s="137" t="n"/>
      <c r="AN645" s="56" t="inlineStr">
        <is>
          <t>VIDA ATUAL</t>
        </is>
      </c>
      <c r="AO645" s="56" t="inlineStr">
        <is>
          <t>VIDA MÁXIMA</t>
        </is>
      </c>
      <c r="AP645" s="56" t="inlineStr">
        <is>
          <t>TEMPORÁRIA</t>
        </is>
      </c>
      <c r="AQ645" s="56" t="inlineStr">
        <is>
          <t>± PERDA / GANHO</t>
        </is>
      </c>
      <c r="AR645" s="56">
        <f>DADOS_INVOC!$IB$11</f>
        <v/>
      </c>
      <c r="AS645" s="137" t="n"/>
    </row>
    <row r="646" hidden="1" outlineLevel="1">
      <c r="A646" s="8" t="n"/>
      <c r="B646" s="14" t="n"/>
      <c r="C646" s="137" t="n"/>
      <c r="D646" s="137" t="n"/>
      <c r="E646" s="137" t="n"/>
      <c r="F646" s="137" t="n"/>
      <c r="G646" s="137" t="n"/>
      <c r="I646" s="87" t="n"/>
      <c r="J646" s="19" t="n"/>
      <c r="K646" s="19" t="n"/>
      <c r="L646" s="19" t="n"/>
      <c r="M646" s="20" t="n"/>
      <c r="N646" s="137" t="n"/>
      <c r="O646" s="105">
        <f>DADOS_INVOC!$FO$5</f>
        <v/>
      </c>
      <c r="P646" s="105">
        <f>DADOS_INVOC!$FP$5</f>
        <v/>
      </c>
      <c r="Q646" s="105">
        <f>DADOS_INVOC!$HI$5</f>
        <v/>
      </c>
      <c r="R646" s="105">
        <f>DADOS_INVOC!$HJ$5</f>
        <v/>
      </c>
      <c r="S646" s="105">
        <f>DADOS_INVOC!$HK$5</f>
        <v/>
      </c>
      <c r="T646" s="137" t="n"/>
      <c r="U646" s="105">
        <f>DADOS_INVOC!$GG$5</f>
        <v/>
      </c>
      <c r="V646" s="105">
        <f>DADOS_INVOC!$GF$5</f>
        <v/>
      </c>
      <c r="W646" s="105" t="n"/>
      <c r="X646" s="105" t="n"/>
      <c r="Y646" s="105" t="n"/>
      <c r="Z646" s="137" t="n"/>
      <c r="AB646" s="87" t="n"/>
      <c r="AC646" s="19" t="n"/>
      <c r="AD646" s="19" t="n"/>
      <c r="AE646" s="19" t="n"/>
      <c r="AF646" s="20" t="n"/>
      <c r="AG646" s="137" t="n"/>
      <c r="AH646" s="105">
        <f>DADOS_INVOC!$FO$11</f>
        <v/>
      </c>
      <c r="AI646" s="105">
        <f>DADOS_INVOC!$FP$11</f>
        <v/>
      </c>
      <c r="AJ646" s="105">
        <f>DADOS_INVOC!$HI$11</f>
        <v/>
      </c>
      <c r="AK646" s="105">
        <f>DADOS_INVOC!$HJ$11</f>
        <v/>
      </c>
      <c r="AL646" s="105">
        <f>DADOS_INVOC!$HK$11</f>
        <v/>
      </c>
      <c r="AM646" s="137" t="n"/>
      <c r="AN646" s="105">
        <f>DADOS_INVOC!$GG$11</f>
        <v/>
      </c>
      <c r="AO646" s="105">
        <f>DADOS_INVOC!$GF$11</f>
        <v/>
      </c>
      <c r="AP646" s="105" t="n"/>
      <c r="AQ646" s="105" t="n"/>
      <c r="AR646" s="105" t="n"/>
      <c r="AS646" s="137" t="n"/>
    </row>
    <row r="647" hidden="1" outlineLevel="1">
      <c r="A647" s="8" t="n"/>
      <c r="B647" s="14" t="n"/>
      <c r="C647" s="137" t="n"/>
      <c r="D647" s="137" t="n"/>
      <c r="E647" s="137" t="n"/>
      <c r="F647" s="137" t="n"/>
      <c r="G647" s="137" t="n"/>
      <c r="I647" s="23" t="n"/>
      <c r="J647" s="24" t="n"/>
      <c r="K647" s="24" t="n"/>
      <c r="L647" s="24" t="n"/>
      <c r="M647" s="25" t="n"/>
      <c r="N647" s="137" t="n"/>
      <c r="O647" s="128" t="n"/>
      <c r="P647" s="128" t="n"/>
      <c r="Q647" s="128" t="n"/>
      <c r="R647" s="128" t="n"/>
      <c r="S647" s="128" t="n"/>
      <c r="T647" s="137" t="n"/>
      <c r="U647" s="128" t="n"/>
      <c r="V647" s="128" t="n"/>
      <c r="W647" s="128" t="n"/>
      <c r="X647" s="128" t="n"/>
      <c r="Y647" s="128" t="n"/>
      <c r="Z647" s="137" t="n"/>
      <c r="AB647" s="23" t="n"/>
      <c r="AC647" s="24" t="n"/>
      <c r="AD647" s="24" t="n"/>
      <c r="AE647" s="24" t="n"/>
      <c r="AF647" s="25" t="n"/>
      <c r="AG647" s="137" t="n"/>
      <c r="AH647" s="128" t="n"/>
      <c r="AI647" s="128" t="n"/>
      <c r="AJ647" s="128" t="n"/>
      <c r="AK647" s="128" t="n"/>
      <c r="AL647" s="128" t="n"/>
      <c r="AM647" s="137" t="n"/>
      <c r="AN647" s="128" t="n"/>
      <c r="AO647" s="128" t="n"/>
      <c r="AP647" s="128" t="n"/>
      <c r="AQ647" s="128" t="n"/>
      <c r="AR647" s="128" t="n"/>
      <c r="AS647" s="137" t="n"/>
    </row>
    <row r="648" hidden="1" outlineLevel="1">
      <c r="A648" s="8" t="n"/>
      <c r="B648" s="14" t="n"/>
      <c r="C648" s="137" t="n"/>
      <c r="D648" s="137" t="n"/>
      <c r="E648" s="137" t="n"/>
      <c r="F648" s="137" t="n"/>
      <c r="G648" s="137" t="n"/>
      <c r="I648" s="154" t="inlineStr">
        <is>
          <t>FOTO
式神</t>
        </is>
      </c>
      <c r="J648" s="19" t="n"/>
      <c r="K648" s="19" t="n"/>
      <c r="L648" s="19" t="n"/>
      <c r="M648" s="20" t="n"/>
      <c r="N648" s="137" t="n"/>
      <c r="O648" s="137" t="n"/>
      <c r="P648" s="137" t="n"/>
      <c r="Q648" s="137" t="n"/>
      <c r="R648" s="137" t="n"/>
      <c r="S648" s="137" t="n"/>
      <c r="T648" s="137" t="n"/>
      <c r="U648" s="144">
        <f>IFERROR(SPARKLINE(DADOS_INVOC!$GH$5,{"charttype","bar";"max",MAX(1,DADOS_INVOC!$GF$5);"color1",DADOS_INVOC!$DB$12}),"")</f>
        <v/>
      </c>
      <c r="V648" s="16" t="n"/>
      <c r="W648" s="16" t="n"/>
      <c r="X648" s="16" t="n"/>
      <c r="Y648" s="17" t="n"/>
      <c r="Z648" s="137" t="n"/>
      <c r="AB648" s="154" t="inlineStr">
        <is>
          <t>FOTO
式神</t>
        </is>
      </c>
      <c r="AC648" s="19" t="n"/>
      <c r="AD648" s="19" t="n"/>
      <c r="AE648" s="19" t="n"/>
      <c r="AF648" s="20" t="n"/>
      <c r="AG648" s="137" t="n"/>
      <c r="AH648" s="137" t="n"/>
      <c r="AI648" s="137" t="n"/>
      <c r="AJ648" s="137" t="n"/>
      <c r="AK648" s="137" t="n"/>
      <c r="AL648" s="137" t="n"/>
      <c r="AM648" s="137" t="n"/>
      <c r="AN648" s="144">
        <f>IFERROR(SPARKLINE(DADOS_INVOC!$GH$11,{"charttype","bar";"max",MAX(1,DADOS_INVOC!$GF$11);"color1",DADOS_INVOC!$DB$12}),"")</f>
        <v/>
      </c>
      <c r="AO648" s="16" t="n"/>
      <c r="AP648" s="16" t="n"/>
      <c r="AQ648" s="16" t="n"/>
      <c r="AR648" s="17" t="n"/>
      <c r="AS648" s="137" t="n"/>
    </row>
    <row r="649" hidden="1" outlineLevel="1">
      <c r="A649" s="8" t="n"/>
      <c r="B649" s="14" t="n"/>
      <c r="C649" s="137" t="n"/>
      <c r="D649" s="137" t="n"/>
      <c r="E649" s="137" t="n"/>
      <c r="F649" s="137" t="n"/>
      <c r="G649" s="137" t="n"/>
      <c r="I649" s="21" t="n"/>
      <c r="M649" s="22" t="n"/>
      <c r="N649" s="137" t="n"/>
      <c r="O649" s="56">
        <f>DADOS_INVOC!$HL$5</f>
        <v/>
      </c>
      <c r="P649" s="16" t="n"/>
      <c r="Q649" s="16" t="n"/>
      <c r="R649" s="16" t="n"/>
      <c r="S649" s="17" t="n"/>
      <c r="T649" s="137" t="n"/>
      <c r="U649" s="137" t="n"/>
      <c r="V649" s="137" t="n"/>
      <c r="W649" s="137" t="n"/>
      <c r="X649" s="137" t="n"/>
      <c r="Y649" s="137" t="n"/>
      <c r="Z649" s="137" t="n"/>
      <c r="AB649" s="21" t="n"/>
      <c r="AF649" s="22" t="n"/>
      <c r="AG649" s="137" t="n"/>
      <c r="AH649" s="56">
        <f>DADOS_INVOC!$HL$11</f>
        <v/>
      </c>
      <c r="AI649" s="16" t="n"/>
      <c r="AJ649" s="16" t="n"/>
      <c r="AK649" s="16" t="n"/>
      <c r="AL649" s="17" t="n"/>
      <c r="AM649" s="137" t="n"/>
      <c r="AN649" s="137" t="n"/>
      <c r="AO649" s="137" t="n"/>
      <c r="AP649" s="137" t="n"/>
      <c r="AQ649" s="137" t="n"/>
      <c r="AR649" s="137" t="n"/>
      <c r="AS649" s="137" t="n"/>
    </row>
    <row r="650" hidden="1" outlineLevel="1">
      <c r="A650" s="8" t="n"/>
      <c r="B650" s="14" t="n"/>
      <c r="C650" s="137" t="n"/>
      <c r="D650" s="137" t="n"/>
      <c r="E650" s="137" t="n"/>
      <c r="F650" s="137" t="n"/>
      <c r="G650" s="137" t="n"/>
      <c r="I650" s="21" t="n"/>
      <c r="M650" s="22" t="n"/>
      <c r="N650" s="137" t="n"/>
      <c r="O650" s="56" t="inlineStr">
        <is>
          <t>FOR</t>
        </is>
      </c>
      <c r="P650" s="56" t="inlineStr">
        <is>
          <t>DES</t>
        </is>
      </c>
      <c r="Q650" s="56" t="inlineStr">
        <is>
          <t>CON</t>
        </is>
      </c>
      <c r="R650" s="56" t="inlineStr">
        <is>
          <t>INT</t>
        </is>
      </c>
      <c r="S650" s="56" t="inlineStr">
        <is>
          <t>ESS</t>
        </is>
      </c>
      <c r="T650" s="137" t="n"/>
      <c r="U650" s="56" t="inlineStr">
        <is>
          <t>ALMA</t>
        </is>
      </c>
      <c r="V650" s="56" t="inlineStr">
        <is>
          <t>INTEGRIDADE ATUAL</t>
        </is>
      </c>
      <c r="W650" s="56" t="inlineStr">
        <is>
          <t>INTEGRIDADE MÁXIMA</t>
        </is>
      </c>
      <c r="X650" s="56" t="inlineStr">
        <is>
          <t>ESTÁGIO</t>
        </is>
      </c>
      <c r="Y650" s="17" t="n"/>
      <c r="Z650" s="137" t="n"/>
      <c r="AB650" s="21" t="n"/>
      <c r="AF650" s="22" t="n"/>
      <c r="AG650" s="137" t="n"/>
      <c r="AH650" s="56" t="inlineStr">
        <is>
          <t>FOR</t>
        </is>
      </c>
      <c r="AI650" s="56" t="inlineStr">
        <is>
          <t>DES</t>
        </is>
      </c>
      <c r="AJ650" s="56" t="inlineStr">
        <is>
          <t>CON</t>
        </is>
      </c>
      <c r="AK650" s="56" t="inlineStr">
        <is>
          <t>INT</t>
        </is>
      </c>
      <c r="AL650" s="56" t="inlineStr">
        <is>
          <t>ESS</t>
        </is>
      </c>
      <c r="AM650" s="137" t="n"/>
      <c r="AN650" s="56" t="inlineStr">
        <is>
          <t>ALMA</t>
        </is>
      </c>
      <c r="AO650" s="56" t="inlineStr">
        <is>
          <t>INTEGRIDADE ATUAL</t>
        </is>
      </c>
      <c r="AP650" s="56" t="inlineStr">
        <is>
          <t>INTEGRIDADE MÁXIMA</t>
        </is>
      </c>
      <c r="AQ650" s="56" t="inlineStr">
        <is>
          <t>ESTÁGIO</t>
        </is>
      </c>
      <c r="AR650" s="17" t="n"/>
      <c r="AS650" s="137" t="n"/>
    </row>
    <row r="651" hidden="1" outlineLevel="1">
      <c r="A651" s="8" t="n"/>
      <c r="B651" s="14" t="n"/>
      <c r="C651" s="137" t="n"/>
      <c r="D651" s="137" t="n"/>
      <c r="E651" s="137" t="n"/>
      <c r="F651" s="137" t="n"/>
      <c r="G651" s="137" t="n"/>
      <c r="I651" s="21" t="n"/>
      <c r="M651" s="22" t="n"/>
      <c r="N651" s="137" t="n"/>
      <c r="O651" s="105">
        <f>DADOS_INVOC!$FR$5</f>
        <v/>
      </c>
      <c r="P651" s="105">
        <f>DADOS_INVOC!$FS$5</f>
        <v/>
      </c>
      <c r="Q651" s="105">
        <f>DADOS_INVOC!$FT$5</f>
        <v/>
      </c>
      <c r="R651" s="105">
        <f>DADOS_INVOC!$FU$5</f>
        <v/>
      </c>
      <c r="S651" s="105">
        <f>DADOS_INVOC!$FV$5</f>
        <v/>
      </c>
      <c r="T651" s="137" t="n"/>
      <c r="U651" s="95" t="inlineStr">
        <is>
          <t>Com alma</t>
        </is>
      </c>
      <c r="V651" s="105">
        <f>DADOS_INVOC!$GJ$5</f>
        <v/>
      </c>
      <c r="W651" s="105">
        <f>DADOS_INVOC!$GL$5</f>
        <v/>
      </c>
      <c r="X651" s="95">
        <f>DADOS_INVOC!$GM$5</f>
        <v/>
      </c>
      <c r="Y651" s="20" t="n"/>
      <c r="Z651" s="137" t="n"/>
      <c r="AB651" s="21" t="n"/>
      <c r="AF651" s="22" t="n"/>
      <c r="AG651" s="137" t="n"/>
      <c r="AH651" s="105">
        <f>DADOS_INVOC!$FR$11</f>
        <v/>
      </c>
      <c r="AI651" s="105">
        <f>DADOS_INVOC!$FS$11</f>
        <v/>
      </c>
      <c r="AJ651" s="105">
        <f>DADOS_INVOC!$FT$11</f>
        <v/>
      </c>
      <c r="AK651" s="105">
        <f>DADOS_INVOC!$FU$11</f>
        <v/>
      </c>
      <c r="AL651" s="105">
        <f>DADOS_INVOC!$FV$11</f>
        <v/>
      </c>
      <c r="AM651" s="137" t="n"/>
      <c r="AN651" s="95" t="inlineStr">
        <is>
          <t>Com alma</t>
        </is>
      </c>
      <c r="AO651" s="105">
        <f>DADOS_INVOC!$GJ$11</f>
        <v/>
      </c>
      <c r="AP651" s="105">
        <f>DADOS_INVOC!$GL$11</f>
        <v/>
      </c>
      <c r="AQ651" s="95">
        <f>DADOS_INVOC!$GM$11</f>
        <v/>
      </c>
      <c r="AR651" s="20" t="n"/>
      <c r="AS651" s="137" t="n"/>
    </row>
    <row r="652" hidden="1" outlineLevel="1">
      <c r="A652" s="8" t="n"/>
      <c r="B652" s="14" t="n"/>
      <c r="C652" s="137" t="n"/>
      <c r="D652" s="137" t="n"/>
      <c r="E652" s="137" t="n"/>
      <c r="F652" s="137" t="n"/>
      <c r="G652" s="137" t="n"/>
      <c r="I652" s="21" t="n"/>
      <c r="M652" s="22" t="n"/>
      <c r="N652" s="137" t="n"/>
      <c r="O652" s="128" t="n"/>
      <c r="P652" s="128" t="n"/>
      <c r="Q652" s="128" t="n"/>
      <c r="R652" s="128" t="n"/>
      <c r="S652" s="128" t="n"/>
      <c r="T652" s="137" t="n"/>
      <c r="U652" s="128" t="n"/>
      <c r="V652" s="128" t="n"/>
      <c r="W652" s="128" t="n"/>
      <c r="X652" s="23" t="n"/>
      <c r="Y652" s="25" t="n"/>
      <c r="Z652" s="137" t="n"/>
      <c r="AB652" s="21" t="n"/>
      <c r="AF652" s="22" t="n"/>
      <c r="AG652" s="137" t="n"/>
      <c r="AH652" s="128" t="n"/>
      <c r="AI652" s="128" t="n"/>
      <c r="AJ652" s="128" t="n"/>
      <c r="AK652" s="128" t="n"/>
      <c r="AL652" s="128" t="n"/>
      <c r="AM652" s="137" t="n"/>
      <c r="AN652" s="128" t="n"/>
      <c r="AO652" s="128" t="n"/>
      <c r="AP652" s="128" t="n"/>
      <c r="AQ652" s="23" t="n"/>
      <c r="AR652" s="25" t="n"/>
      <c r="AS652" s="137" t="n"/>
    </row>
    <row r="653" hidden="1" outlineLevel="1">
      <c r="A653" s="8" t="n"/>
      <c r="B653" s="14" t="n"/>
      <c r="C653" s="137" t="n"/>
      <c r="D653" s="137" t="n"/>
      <c r="E653" s="137" t="n"/>
      <c r="F653" s="137" t="n"/>
      <c r="G653" s="137" t="n"/>
      <c r="I653" s="21" t="n"/>
      <c r="M653" s="22" t="n"/>
      <c r="N653" s="137" t="n"/>
      <c r="O653" s="155" t="n">
        <v>0</v>
      </c>
      <c r="P653" s="155" t="n">
        <v>0</v>
      </c>
      <c r="Q653" s="155" t="n">
        <v>0</v>
      </c>
      <c r="R653" s="155" t="n">
        <v>0</v>
      </c>
      <c r="S653" s="155" t="n">
        <v>0</v>
      </c>
      <c r="T653" s="137" t="n"/>
      <c r="U653" s="137" t="n"/>
      <c r="V653" s="137" t="n"/>
      <c r="W653" s="137" t="n"/>
      <c r="X653" s="137" t="n"/>
      <c r="Y653" s="137" t="n"/>
      <c r="Z653" s="137" t="n"/>
      <c r="AB653" s="21" t="n"/>
      <c r="AF653" s="22" t="n"/>
      <c r="AG653" s="137" t="n"/>
      <c r="AH653" s="155" t="n">
        <v>0</v>
      </c>
      <c r="AI653" s="155" t="n">
        <v>0</v>
      </c>
      <c r="AJ653" s="155" t="n">
        <v>0</v>
      </c>
      <c r="AK653" s="155" t="n">
        <v>0</v>
      </c>
      <c r="AL653" s="155" t="n">
        <v>0</v>
      </c>
      <c r="AM653" s="137" t="n"/>
      <c r="AN653" s="137" t="n"/>
      <c r="AO653" s="137" t="n"/>
      <c r="AP653" s="137" t="n"/>
      <c r="AQ653" s="137" t="n"/>
      <c r="AR653" s="137" t="n"/>
      <c r="AS653" s="137" t="n"/>
    </row>
    <row r="654" hidden="1" outlineLevel="1">
      <c r="A654" s="8" t="n"/>
      <c r="B654" s="14" t="n"/>
      <c r="C654" s="137" t="n"/>
      <c r="D654" s="137" t="n"/>
      <c r="E654" s="137" t="n"/>
      <c r="F654" s="137" t="n"/>
      <c r="G654" s="137" t="n"/>
      <c r="I654" s="21" t="n"/>
      <c r="M654" s="22" t="n"/>
      <c r="N654" s="137" t="n"/>
      <c r="O654" s="156" t="n">
        <v>0</v>
      </c>
      <c r="P654" s="156" t="n">
        <v>0</v>
      </c>
      <c r="Q654" s="156" t="n">
        <v>0</v>
      </c>
      <c r="R654" s="156" t="n">
        <v>0</v>
      </c>
      <c r="S654" s="156" t="n">
        <v>0</v>
      </c>
      <c r="T654" s="137" t="n"/>
      <c r="U654" s="56" t="inlineStr">
        <is>
          <t>CONDIÇÕES E USOS GASTOS</t>
        </is>
      </c>
      <c r="V654" s="16" t="n"/>
      <c r="W654" s="16" t="n"/>
      <c r="X654" s="16" t="n"/>
      <c r="Y654" s="17" t="n"/>
      <c r="Z654" s="137" t="n"/>
      <c r="AB654" s="21" t="n"/>
      <c r="AF654" s="22" t="n"/>
      <c r="AG654" s="137" t="n"/>
      <c r="AH654" s="156" t="n">
        <v>0</v>
      </c>
      <c r="AI654" s="156" t="n">
        <v>0</v>
      </c>
      <c r="AJ654" s="156" t="n">
        <v>0</v>
      </c>
      <c r="AK654" s="156" t="n">
        <v>0</v>
      </c>
      <c r="AL654" s="156" t="n">
        <v>0</v>
      </c>
      <c r="AM654" s="137" t="n"/>
      <c r="AN654" s="56" t="inlineStr">
        <is>
          <t>CONDIÇÕES E USOS GASTOS</t>
        </is>
      </c>
      <c r="AO654" s="16" t="n"/>
      <c r="AP654" s="16" t="n"/>
      <c r="AQ654" s="16" t="n"/>
      <c r="AR654" s="17" t="n"/>
      <c r="AS654" s="137" t="n"/>
    </row>
    <row r="655" hidden="1" outlineLevel="1">
      <c r="A655" s="8" t="n"/>
      <c r="B655" s="14" t="n"/>
      <c r="C655" s="137" t="n"/>
      <c r="D655" s="137" t="n"/>
      <c r="E655" s="137" t="n"/>
      <c r="F655" s="137" t="n"/>
      <c r="G655" s="137" t="n"/>
      <c r="I655" s="21" t="n"/>
      <c r="M655" s="22" t="n"/>
      <c r="N655" s="137" t="n"/>
      <c r="O655" s="137" t="n"/>
      <c r="P655" s="137" t="n"/>
      <c r="Q655" s="137" t="n"/>
      <c r="R655" s="137" t="n"/>
      <c r="S655" s="137" t="n"/>
      <c r="T655" s="137" t="n"/>
      <c r="U655" s="61" t="n"/>
      <c r="V655" s="19" t="n"/>
      <c r="W655" s="19" t="n"/>
      <c r="X655" s="19" t="n"/>
      <c r="Y655" s="20" t="n"/>
      <c r="Z655" s="137" t="n"/>
      <c r="AB655" s="21" t="n"/>
      <c r="AF655" s="22" t="n"/>
      <c r="AG655" s="137" t="n"/>
      <c r="AH655" s="137" t="n"/>
      <c r="AI655" s="137" t="n"/>
      <c r="AJ655" s="137" t="n"/>
      <c r="AK655" s="137" t="n"/>
      <c r="AL655" s="137" t="n"/>
      <c r="AM655" s="137" t="n"/>
      <c r="AN655" s="61" t="n"/>
      <c r="AO655" s="19" t="n"/>
      <c r="AP655" s="19" t="n"/>
      <c r="AQ655" s="19" t="n"/>
      <c r="AR655" s="20" t="n"/>
      <c r="AS655" s="137" t="n"/>
    </row>
    <row r="656" hidden="1" outlineLevel="1">
      <c r="A656" s="8" t="n"/>
      <c r="B656" s="14" t="n"/>
      <c r="C656" s="137" t="n"/>
      <c r="D656" s="137" t="n"/>
      <c r="E656" s="137" t="n"/>
      <c r="F656" s="137" t="n"/>
      <c r="G656" s="137" t="n"/>
      <c r="I656" s="21" t="n"/>
      <c r="M656" s="22" t="n"/>
      <c r="N656" s="137" t="n"/>
      <c r="O656" s="56" t="inlineStr">
        <is>
          <t>ATAQUE</t>
        </is>
      </c>
      <c r="P656" s="56" t="inlineStr">
        <is>
          <t>CD</t>
        </is>
      </c>
      <c r="Q656" s="56" t="inlineStr">
        <is>
          <t>DEFESA</t>
        </is>
      </c>
      <c r="R656" s="56" t="inlineStr">
        <is>
          <t>VIDA MÁXIMA</t>
        </is>
      </c>
      <c r="S656" s="56" t="inlineStr">
        <is>
          <t>DESLOCAMENTO</t>
        </is>
      </c>
      <c r="T656" s="137" t="n"/>
      <c r="U656" s="21" t="n"/>
      <c r="Y656" s="22" t="n"/>
      <c r="Z656" s="137" t="n"/>
      <c r="AB656" s="21" t="n"/>
      <c r="AF656" s="22" t="n"/>
      <c r="AG656" s="137" t="n"/>
      <c r="AH656" s="56" t="inlineStr">
        <is>
          <t>ATAQUE</t>
        </is>
      </c>
      <c r="AI656" s="56" t="inlineStr">
        <is>
          <t>CD</t>
        </is>
      </c>
      <c r="AJ656" s="56" t="inlineStr">
        <is>
          <t>DEFESA</t>
        </is>
      </c>
      <c r="AK656" s="56" t="inlineStr">
        <is>
          <t>VIDA MÁXIMA</t>
        </is>
      </c>
      <c r="AL656" s="56" t="inlineStr">
        <is>
          <t>DESLOCAMENTO</t>
        </is>
      </c>
      <c r="AM656" s="137" t="n"/>
      <c r="AN656" s="21" t="n"/>
      <c r="AR656" s="22" t="n"/>
      <c r="AS656" s="137" t="n"/>
    </row>
    <row r="657" hidden="1" outlineLevel="1">
      <c r="A657" s="8" t="n"/>
      <c r="B657" s="14" t="n"/>
      <c r="C657" s="137" t="n"/>
      <c r="D657" s="137" t="n"/>
      <c r="E657" s="137" t="n"/>
      <c r="F657" s="137" t="n"/>
      <c r="G657" s="137" t="n"/>
      <c r="I657" s="21" t="n"/>
      <c r="M657" s="22" t="n"/>
      <c r="N657" s="137" t="n"/>
      <c r="O657" s="105">
        <f>DADOS_INVOC!$HM$5</f>
        <v/>
      </c>
      <c r="P657" s="105">
        <f>DADOS_INVOC!$HN$5</f>
        <v/>
      </c>
      <c r="Q657" s="105">
        <f>DADOS_INVOC!$GD$5</f>
        <v/>
      </c>
      <c r="R657" s="105">
        <f>DADOS_INVOC!$GF$5</f>
        <v/>
      </c>
      <c r="S657" s="105">
        <f>DADOS_INVOC!$HO$5</f>
        <v/>
      </c>
      <c r="T657" s="137" t="n"/>
      <c r="U657" s="23" t="n"/>
      <c r="V657" s="24" t="n"/>
      <c r="W657" s="24" t="n"/>
      <c r="X657" s="24" t="n"/>
      <c r="Y657" s="25" t="n"/>
      <c r="Z657" s="137" t="n"/>
      <c r="AB657" s="21" t="n"/>
      <c r="AF657" s="22" t="n"/>
      <c r="AG657" s="137" t="n"/>
      <c r="AH657" s="105">
        <f>DADOS_INVOC!$HM$11</f>
        <v/>
      </c>
      <c r="AI657" s="105">
        <f>DADOS_INVOC!$HN$11</f>
        <v/>
      </c>
      <c r="AJ657" s="105">
        <f>DADOS_INVOC!$GD$11</f>
        <v/>
      </c>
      <c r="AK657" s="105">
        <f>DADOS_INVOC!$GF$11</f>
        <v/>
      </c>
      <c r="AL657" s="105">
        <f>DADOS_INVOC!$HO$11</f>
        <v/>
      </c>
      <c r="AM657" s="137" t="n"/>
      <c r="AN657" s="23" t="n"/>
      <c r="AO657" s="24" t="n"/>
      <c r="AP657" s="24" t="n"/>
      <c r="AQ657" s="24" t="n"/>
      <c r="AR657" s="25" t="n"/>
      <c r="AS657" s="137" t="n"/>
    </row>
    <row r="658" hidden="1" outlineLevel="1">
      <c r="A658" s="8" t="n"/>
      <c r="B658" s="14" t="n"/>
      <c r="C658" s="137" t="n"/>
      <c r="D658" s="137" t="n"/>
      <c r="E658" s="137" t="n"/>
      <c r="F658" s="137" t="n"/>
      <c r="G658" s="137" t="n"/>
      <c r="I658" s="21" t="n"/>
      <c r="M658" s="22" t="n"/>
      <c r="N658" s="137" t="n"/>
      <c r="O658" s="128" t="n"/>
      <c r="P658" s="128" t="n"/>
      <c r="Q658" s="128" t="n"/>
      <c r="R658" s="128" t="n"/>
      <c r="S658" s="128" t="n"/>
      <c r="T658" s="137" t="n"/>
      <c r="U658" s="137" t="n"/>
      <c r="V658" s="137" t="n"/>
      <c r="W658" s="137" t="n"/>
      <c r="X658" s="137" t="n"/>
      <c r="Y658" s="137" t="n"/>
      <c r="Z658" s="137" t="n"/>
      <c r="AB658" s="21" t="n"/>
      <c r="AF658" s="22" t="n"/>
      <c r="AG658" s="137" t="n"/>
      <c r="AH658" s="128" t="n"/>
      <c r="AI658" s="128" t="n"/>
      <c r="AJ658" s="128" t="n"/>
      <c r="AK658" s="128" t="n"/>
      <c r="AL658" s="128" t="n"/>
      <c r="AM658" s="137" t="n"/>
      <c r="AN658" s="137" t="n"/>
      <c r="AO658" s="137" t="n"/>
      <c r="AP658" s="137" t="n"/>
      <c r="AQ658" s="137" t="n"/>
      <c r="AR658" s="137" t="n"/>
      <c r="AS658" s="137" t="n"/>
    </row>
    <row r="659" hidden="1" outlineLevel="1">
      <c r="A659" s="8" t="n"/>
      <c r="B659" s="14" t="n"/>
      <c r="C659" s="137" t="n"/>
      <c r="D659" s="137" t="n"/>
      <c r="E659" s="137" t="n"/>
      <c r="F659" s="137" t="n"/>
      <c r="G659" s="137" t="n"/>
      <c r="I659" s="21" t="n"/>
      <c r="M659" s="22" t="n"/>
      <c r="N659" s="137" t="n"/>
      <c r="O659" s="156" t="n">
        <v>0</v>
      </c>
      <c r="P659" s="156" t="n">
        <v>0</v>
      </c>
      <c r="Q659" s="156" t="n">
        <v>0</v>
      </c>
      <c r="R659" s="156" t="n">
        <v>0</v>
      </c>
      <c r="S659" s="156" t="n">
        <v>0</v>
      </c>
      <c r="T659" s="137" t="n"/>
      <c r="U659" s="56" t="inlineStr">
        <is>
          <t>ANOTAÇÕES</t>
        </is>
      </c>
      <c r="V659" s="16" t="n"/>
      <c r="W659" s="16" t="n"/>
      <c r="X659" s="16" t="n"/>
      <c r="Y659" s="17" t="n"/>
      <c r="Z659" s="137" t="n"/>
      <c r="AB659" s="21" t="n"/>
      <c r="AF659" s="22" t="n"/>
      <c r="AG659" s="137" t="n"/>
      <c r="AH659" s="156" t="n">
        <v>0</v>
      </c>
      <c r="AI659" s="156" t="n">
        <v>0</v>
      </c>
      <c r="AJ659" s="156" t="n">
        <v>0</v>
      </c>
      <c r="AK659" s="156" t="n">
        <v>0</v>
      </c>
      <c r="AL659" s="156" t="n">
        <v>0</v>
      </c>
      <c r="AM659" s="137" t="n"/>
      <c r="AN659" s="56" t="inlineStr">
        <is>
          <t>ANOTAÇÕES</t>
        </is>
      </c>
      <c r="AO659" s="16" t="n"/>
      <c r="AP659" s="16" t="n"/>
      <c r="AQ659" s="16" t="n"/>
      <c r="AR659" s="17" t="n"/>
      <c r="AS659" s="137" t="n"/>
    </row>
    <row r="660" hidden="1" outlineLevel="1">
      <c r="A660" s="8" t="n"/>
      <c r="B660" s="14" t="n"/>
      <c r="C660" s="137" t="n"/>
      <c r="D660" s="137" t="n"/>
      <c r="E660" s="137" t="n"/>
      <c r="F660" s="137" t="n"/>
      <c r="G660" s="137" t="n"/>
      <c r="I660" s="21" t="n"/>
      <c r="M660" s="22" t="n"/>
      <c r="N660" s="137" t="n"/>
      <c r="O660" s="137" t="n"/>
      <c r="P660" s="137" t="n"/>
      <c r="Q660" s="137" t="n"/>
      <c r="R660" s="137" t="n"/>
      <c r="S660" s="137" t="n"/>
      <c r="T660" s="137" t="n"/>
      <c r="U660" s="61" t="n"/>
      <c r="V660" s="19" t="n"/>
      <c r="W660" s="19" t="n"/>
      <c r="X660" s="19" t="n"/>
      <c r="Y660" s="20" t="n"/>
      <c r="Z660" s="137" t="n"/>
      <c r="AB660" s="21" t="n"/>
      <c r="AF660" s="22" t="n"/>
      <c r="AG660" s="137" t="n"/>
      <c r="AH660" s="137" t="n"/>
      <c r="AI660" s="137" t="n"/>
      <c r="AJ660" s="137" t="n"/>
      <c r="AK660" s="137" t="n"/>
      <c r="AL660" s="137" t="n"/>
      <c r="AM660" s="137" t="n"/>
      <c r="AN660" s="61" t="n"/>
      <c r="AO660" s="19" t="n"/>
      <c r="AP660" s="19" t="n"/>
      <c r="AQ660" s="19" t="n"/>
      <c r="AR660" s="20" t="n"/>
      <c r="AS660" s="137" t="n"/>
    </row>
    <row r="661" hidden="1" outlineLevel="1">
      <c r="A661" s="8" t="n"/>
      <c r="B661" s="14" t="n"/>
      <c r="C661" s="137" t="n"/>
      <c r="D661" s="137" t="n"/>
      <c r="E661" s="137" t="n"/>
      <c r="F661" s="137" t="n"/>
      <c r="G661" s="137" t="n"/>
      <c r="I661" s="21" t="n"/>
      <c r="M661" s="22" t="n"/>
      <c r="N661" s="137" t="n"/>
      <c r="O661" s="56" t="inlineStr">
        <is>
          <t>FÍSICO</t>
        </is>
      </c>
      <c r="P661" s="56" t="inlineStr">
        <is>
          <t>VIGOR</t>
        </is>
      </c>
      <c r="Q661" s="56" t="inlineStr">
        <is>
          <t>INTELECTO</t>
        </is>
      </c>
      <c r="R661" s="56" t="inlineStr">
        <is>
          <t>ESPÍRITO</t>
        </is>
      </c>
      <c r="S661" s="56" t="inlineStr">
        <is>
          <t>TR TREINADO</t>
        </is>
      </c>
      <c r="T661" s="137" t="n"/>
      <c r="U661" s="21" t="n"/>
      <c r="Y661" s="22" t="n"/>
      <c r="Z661" s="137" t="n"/>
      <c r="AB661" s="21" t="n"/>
      <c r="AF661" s="22" t="n"/>
      <c r="AG661" s="137" t="n"/>
      <c r="AH661" s="56" t="inlineStr">
        <is>
          <t>FÍSICO</t>
        </is>
      </c>
      <c r="AI661" s="56" t="inlineStr">
        <is>
          <t>VIGOR</t>
        </is>
      </c>
      <c r="AJ661" s="56" t="inlineStr">
        <is>
          <t>INTELECTO</t>
        </is>
      </c>
      <c r="AK661" s="56" t="inlineStr">
        <is>
          <t>ESPÍRITO</t>
        </is>
      </c>
      <c r="AL661" s="56" t="inlineStr">
        <is>
          <t>TR TREINADO</t>
        </is>
      </c>
      <c r="AM661" s="137" t="n"/>
      <c r="AN661" s="21" t="n"/>
      <c r="AR661" s="22" t="n"/>
      <c r="AS661" s="137" t="n"/>
    </row>
    <row r="662" hidden="1" outlineLevel="1">
      <c r="A662" s="8" t="n"/>
      <c r="B662" s="14" t="n"/>
      <c r="C662" s="137" t="n"/>
      <c r="D662" s="137" t="n"/>
      <c r="E662" s="137" t="n"/>
      <c r="F662" s="137" t="n"/>
      <c r="G662" s="137" t="n"/>
      <c r="I662" s="21" t="n"/>
      <c r="M662" s="22" t="n"/>
      <c r="N662" s="137" t="n"/>
      <c r="O662" s="105">
        <f>DADOS_INVOC!$HP$5</f>
        <v/>
      </c>
      <c r="P662" s="105">
        <f>DADOS_INVOC!$HQ$5</f>
        <v/>
      </c>
      <c r="Q662" s="105">
        <f>DADOS_INVOC!$HR$5</f>
        <v/>
      </c>
      <c r="R662" s="105">
        <f>DADOS_INVOC!$HS$5</f>
        <v/>
      </c>
      <c r="S662" s="95" t="n"/>
      <c r="T662" s="137" t="n"/>
      <c r="U662" s="21" t="n"/>
      <c r="Y662" s="22" t="n"/>
      <c r="Z662" s="137" t="n"/>
      <c r="AB662" s="21" t="n"/>
      <c r="AF662" s="22" t="n"/>
      <c r="AG662" s="137" t="n"/>
      <c r="AH662" s="105">
        <f>DADOS_INVOC!$HP$11</f>
        <v/>
      </c>
      <c r="AI662" s="105">
        <f>DADOS_INVOC!$HQ$11</f>
        <v/>
      </c>
      <c r="AJ662" s="105">
        <f>DADOS_INVOC!$HR$11</f>
        <v/>
      </c>
      <c r="AK662" s="105">
        <f>DADOS_INVOC!$HS$11</f>
        <v/>
      </c>
      <c r="AL662" s="95" t="n"/>
      <c r="AM662" s="137" t="n"/>
      <c r="AN662" s="21" t="n"/>
      <c r="AR662" s="22" t="n"/>
      <c r="AS662" s="137" t="n"/>
    </row>
    <row r="663" hidden="1" outlineLevel="1">
      <c r="A663" s="8" t="n"/>
      <c r="B663" s="14" t="n"/>
      <c r="C663" s="137" t="n"/>
      <c r="D663" s="137" t="n"/>
      <c r="E663" s="137" t="n"/>
      <c r="F663" s="137" t="n"/>
      <c r="G663" s="137" t="n"/>
      <c r="I663" s="21" t="n"/>
      <c r="M663" s="22" t="n"/>
      <c r="N663" s="137" t="n"/>
      <c r="O663" s="128" t="n"/>
      <c r="P663" s="128" t="n"/>
      <c r="Q663" s="128" t="n"/>
      <c r="R663" s="128" t="n"/>
      <c r="S663" s="128" t="n"/>
      <c r="T663" s="137" t="n"/>
      <c r="U663" s="23" t="n"/>
      <c r="V663" s="24" t="n"/>
      <c r="W663" s="24" t="n"/>
      <c r="X663" s="24" t="n"/>
      <c r="Y663" s="25" t="n"/>
      <c r="Z663" s="137" t="n"/>
      <c r="AB663" s="21" t="n"/>
      <c r="AF663" s="22" t="n"/>
      <c r="AG663" s="137" t="n"/>
      <c r="AH663" s="128" t="n"/>
      <c r="AI663" s="128" t="n"/>
      <c r="AJ663" s="128" t="n"/>
      <c r="AK663" s="128" t="n"/>
      <c r="AL663" s="128" t="n"/>
      <c r="AM663" s="137" t="n"/>
      <c r="AN663" s="23" t="n"/>
      <c r="AO663" s="24" t="n"/>
      <c r="AP663" s="24" t="n"/>
      <c r="AQ663" s="24" t="n"/>
      <c r="AR663" s="25" t="n"/>
      <c r="AS663" s="137" t="n"/>
    </row>
    <row r="664" hidden="1" outlineLevel="1">
      <c r="A664" s="8" t="n"/>
      <c r="B664" s="14" t="n"/>
      <c r="C664" s="137" t="n"/>
      <c r="D664" s="137" t="n"/>
      <c r="E664" s="137" t="n"/>
      <c r="F664" s="137" t="n"/>
      <c r="G664" s="137" t="n"/>
      <c r="I664" s="21" t="n"/>
      <c r="M664" s="22" t="n"/>
      <c r="N664" s="137" t="n"/>
      <c r="O664" s="156" t="n">
        <v>0</v>
      </c>
      <c r="P664" s="156" t="n">
        <v>0</v>
      </c>
      <c r="Q664" s="156" t="n">
        <v>0</v>
      </c>
      <c r="R664" s="156" t="n">
        <v>0</v>
      </c>
      <c r="S664" s="137" t="n"/>
      <c r="T664" s="137" t="n"/>
      <c r="U664" s="137" t="n"/>
      <c r="V664" s="137" t="n"/>
      <c r="W664" s="137" t="n"/>
      <c r="X664" s="137" t="n"/>
      <c r="Y664" s="137" t="n"/>
      <c r="Z664" s="137" t="n"/>
      <c r="AB664" s="21" t="n"/>
      <c r="AF664" s="22" t="n"/>
      <c r="AG664" s="137" t="n"/>
      <c r="AH664" s="156" t="n">
        <v>0</v>
      </c>
      <c r="AI664" s="156" t="n">
        <v>0</v>
      </c>
      <c r="AJ664" s="156" t="n">
        <v>0</v>
      </c>
      <c r="AK664" s="156" t="n">
        <v>0</v>
      </c>
      <c r="AL664" s="137" t="n"/>
      <c r="AM664" s="137" t="n"/>
      <c r="AN664" s="137" t="n"/>
      <c r="AO664" s="137" t="n"/>
      <c r="AP664" s="137" t="n"/>
      <c r="AQ664" s="137" t="n"/>
      <c r="AR664" s="137" t="n"/>
      <c r="AS664" s="137" t="n"/>
    </row>
    <row r="665" hidden="1" outlineLevel="1">
      <c r="A665" s="8" t="n"/>
      <c r="B665" s="14" t="n"/>
      <c r="C665" s="137" t="n"/>
      <c r="D665" s="137" t="n"/>
      <c r="E665" s="137" t="n"/>
      <c r="F665" s="137" t="n"/>
      <c r="G665" s="137" t="n"/>
      <c r="I665" s="21" t="n"/>
      <c r="M665" s="22" t="n"/>
      <c r="N665" s="137" t="n"/>
      <c r="O665" s="137" t="n"/>
      <c r="P665" s="137" t="n"/>
      <c r="Q665" s="137" t="n"/>
      <c r="R665" s="137" t="n"/>
      <c r="S665" s="137" t="n"/>
      <c r="T665" s="137" t="n"/>
      <c r="U665" s="56">
        <f>DADOS_INVOC!$IC$5</f>
        <v/>
      </c>
      <c r="V665" s="16" t="n"/>
      <c r="W665" s="16" t="n"/>
      <c r="X665" s="17" t="n"/>
      <c r="Y665" s="56" t="inlineStr">
        <is>
          <t>VOL.</t>
        </is>
      </c>
      <c r="Z665" s="137" t="n"/>
      <c r="AB665" s="21" t="n"/>
      <c r="AF665" s="22" t="n"/>
      <c r="AG665" s="137" t="n"/>
      <c r="AH665" s="137" t="n"/>
      <c r="AI665" s="137" t="n"/>
      <c r="AJ665" s="137" t="n"/>
      <c r="AK665" s="137" t="n"/>
      <c r="AL665" s="137" t="n"/>
      <c r="AM665" s="137" t="n"/>
      <c r="AN665" s="56">
        <f>DADOS_INVOC!$IC$11</f>
        <v/>
      </c>
      <c r="AO665" s="16" t="n"/>
      <c r="AP665" s="16" t="n"/>
      <c r="AQ665" s="17" t="n"/>
      <c r="AR665" s="56" t="inlineStr">
        <is>
          <t>VOL.</t>
        </is>
      </c>
      <c r="AS665" s="137" t="n"/>
    </row>
    <row r="666" hidden="1" outlineLevel="1">
      <c r="A666" s="8" t="n"/>
      <c r="B666" s="14" t="n"/>
      <c r="C666" s="137" t="n"/>
      <c r="D666" s="137" t="n"/>
      <c r="E666" s="137" t="n"/>
      <c r="F666" s="137" t="n"/>
      <c r="G666" s="137" t="n"/>
      <c r="I666" s="21" t="n"/>
      <c r="M666" s="22" t="n"/>
      <c r="N666" s="137" t="n"/>
      <c r="O666" s="56" t="inlineStr">
        <is>
          <t>ATRIBUTO DE ACERTO</t>
        </is>
      </c>
      <c r="P666" s="16" t="n"/>
      <c r="Q666" s="17" t="n"/>
      <c r="R666" s="56" t="inlineStr">
        <is>
          <t>FÍSICO USA</t>
        </is>
      </c>
      <c r="S666" s="17" t="n"/>
      <c r="T666" s="137" t="n"/>
      <c r="U666" s="56" t="inlineStr">
        <is>
          <t>MÃO 1</t>
        </is>
      </c>
      <c r="V666" s="144" t="n"/>
      <c r="W666" s="16" t="n"/>
      <c r="X666" s="17" t="n"/>
      <c r="Y666" s="95" t="n"/>
      <c r="Z666" s="137" t="n"/>
      <c r="AB666" s="21" t="n"/>
      <c r="AF666" s="22" t="n"/>
      <c r="AG666" s="137" t="n"/>
      <c r="AH666" s="56" t="inlineStr">
        <is>
          <t>ATRIBUTO DE ACERTO</t>
        </is>
      </c>
      <c r="AI666" s="16" t="n"/>
      <c r="AJ666" s="17" t="n"/>
      <c r="AK666" s="56" t="inlineStr">
        <is>
          <t>FÍSICO USA</t>
        </is>
      </c>
      <c r="AL666" s="17" t="n"/>
      <c r="AM666" s="137" t="n"/>
      <c r="AN666" s="56" t="inlineStr">
        <is>
          <t>MÃO 1</t>
        </is>
      </c>
      <c r="AO666" s="144" t="n"/>
      <c r="AP666" s="16" t="n"/>
      <c r="AQ666" s="17" t="n"/>
      <c r="AR666" s="95" t="n"/>
      <c r="AS666" s="137" t="n"/>
    </row>
    <row r="667" hidden="1" outlineLevel="1">
      <c r="A667" s="8" t="n"/>
      <c r="B667" s="14" t="n"/>
      <c r="C667" s="137" t="n"/>
      <c r="D667" s="137" t="n"/>
      <c r="E667" s="137" t="n"/>
      <c r="F667" s="137" t="n"/>
      <c r="G667" s="137" t="n"/>
      <c r="I667" s="21" t="n"/>
      <c r="M667" s="22" t="n"/>
      <c r="N667" s="137" t="n"/>
      <c r="O667" s="95" t="n"/>
      <c r="P667" s="19" t="n"/>
      <c r="Q667" s="20" t="n"/>
      <c r="R667" s="95" t="inlineStr">
        <is>
          <t>Força</t>
        </is>
      </c>
      <c r="S667" s="20" t="n"/>
      <c r="T667" s="137" t="n"/>
      <c r="U667" s="56" t="inlineStr">
        <is>
          <t>MÃO 2</t>
        </is>
      </c>
      <c r="V667" s="144" t="n"/>
      <c r="W667" s="16" t="n"/>
      <c r="X667" s="17" t="n"/>
      <c r="Y667" s="95" t="n"/>
      <c r="Z667" s="137" t="n"/>
      <c r="AB667" s="21" t="n"/>
      <c r="AF667" s="22" t="n"/>
      <c r="AG667" s="137" t="n"/>
      <c r="AH667" s="95" t="n"/>
      <c r="AI667" s="19" t="n"/>
      <c r="AJ667" s="20" t="n"/>
      <c r="AK667" s="95" t="inlineStr">
        <is>
          <t>Força</t>
        </is>
      </c>
      <c r="AL667" s="20" t="n"/>
      <c r="AM667" s="137" t="n"/>
      <c r="AN667" s="56" t="inlineStr">
        <is>
          <t>MÃO 2</t>
        </is>
      </c>
      <c r="AO667" s="144" t="n"/>
      <c r="AP667" s="16" t="n"/>
      <c r="AQ667" s="17" t="n"/>
      <c r="AR667" s="95" t="n"/>
      <c r="AS667" s="137" t="n"/>
    </row>
    <row r="668" hidden="1" outlineLevel="1">
      <c r="A668" s="8" t="n"/>
      <c r="B668" s="14" t="n"/>
      <c r="C668" s="137" t="n"/>
      <c r="D668" s="137" t="n"/>
      <c r="E668" s="137" t="n"/>
      <c r="F668" s="137" t="n"/>
      <c r="G668" s="137" t="n"/>
      <c r="I668" s="21" t="n"/>
      <c r="M668" s="22" t="n"/>
      <c r="N668" s="137" t="n"/>
      <c r="O668" s="23" t="n"/>
      <c r="P668" s="24" t="n"/>
      <c r="Q668" s="25" t="n"/>
      <c r="R668" s="23" t="n"/>
      <c r="S668" s="25" t="n"/>
      <c r="T668" s="137" t="n"/>
      <c r="U668" s="56" t="inlineStr">
        <is>
          <t>VESTE</t>
        </is>
      </c>
      <c r="V668" s="144" t="n"/>
      <c r="W668" s="16" t="n"/>
      <c r="X668" s="17" t="n"/>
      <c r="Y668" s="95" t="n"/>
      <c r="Z668" s="137" t="n"/>
      <c r="AB668" s="21" t="n"/>
      <c r="AF668" s="22" t="n"/>
      <c r="AG668" s="137" t="n"/>
      <c r="AH668" s="23" t="n"/>
      <c r="AI668" s="24" t="n"/>
      <c r="AJ668" s="25" t="n"/>
      <c r="AK668" s="23" t="n"/>
      <c r="AL668" s="25" t="n"/>
      <c r="AM668" s="137" t="n"/>
      <c r="AN668" s="56" t="inlineStr">
        <is>
          <t>VESTE</t>
        </is>
      </c>
      <c r="AO668" s="144" t="n"/>
      <c r="AP668" s="16" t="n"/>
      <c r="AQ668" s="17" t="n"/>
      <c r="AR668" s="95" t="n"/>
      <c r="AS668" s="137" t="n"/>
    </row>
    <row r="669" hidden="1" outlineLevel="1">
      <c r="A669" s="8" t="n"/>
      <c r="B669" s="14" t="n"/>
      <c r="C669" s="137" t="n"/>
      <c r="D669" s="137" t="n"/>
      <c r="E669" s="137" t="n"/>
      <c r="F669" s="137" t="n"/>
      <c r="G669" s="137" t="n"/>
      <c r="I669" s="21" t="n"/>
      <c r="M669" s="22" t="n"/>
      <c r="N669" s="137" t="n"/>
      <c r="O669" s="137" t="n"/>
      <c r="P669" s="137" t="n"/>
      <c r="Q669" s="137" t="n"/>
      <c r="R669" s="137" t="n"/>
      <c r="S669" s="137" t="n"/>
      <c r="T669" s="137" t="n"/>
      <c r="U669" s="56" t="inlineStr">
        <is>
          <t>GUARDADO · SÓ COM A CARACTERÍSTICA DE TRANSPORTE</t>
        </is>
      </c>
      <c r="V669" s="16" t="n"/>
      <c r="W669" s="16" t="n"/>
      <c r="X669" s="17" t="n"/>
      <c r="Y669" s="56" t="inlineStr">
        <is>
          <t>VOL.</t>
        </is>
      </c>
      <c r="Z669" s="137" t="n"/>
      <c r="AB669" s="21" t="n"/>
      <c r="AF669" s="22" t="n"/>
      <c r="AG669" s="137" t="n"/>
      <c r="AH669" s="137" t="n"/>
      <c r="AI669" s="137" t="n"/>
      <c r="AJ669" s="137" t="n"/>
      <c r="AK669" s="137" t="n"/>
      <c r="AL669" s="137" t="n"/>
      <c r="AM669" s="137" t="n"/>
      <c r="AN669" s="56" t="inlineStr">
        <is>
          <t>GUARDADO · SÓ COM A CARACTERÍSTICA DE TRANSPORTE</t>
        </is>
      </c>
      <c r="AO669" s="16" t="n"/>
      <c r="AP669" s="16" t="n"/>
      <c r="AQ669" s="17" t="n"/>
      <c r="AR669" s="56" t="inlineStr">
        <is>
          <t>VOL.</t>
        </is>
      </c>
      <c r="AS669" s="137" t="n"/>
    </row>
    <row r="670" hidden="1" outlineLevel="1">
      <c r="A670" s="8" t="n"/>
      <c r="B670" s="14" t="n"/>
      <c r="C670" s="137" t="n"/>
      <c r="D670" s="137" t="n"/>
      <c r="E670" s="137" t="n"/>
      <c r="F670" s="137" t="n"/>
      <c r="G670" s="137" t="n"/>
      <c r="I670" s="21" t="n"/>
      <c r="M670" s="22" t="n"/>
      <c r="N670" s="137" t="n"/>
      <c r="O670" s="56">
        <f>DADOS_INVOC!$HT$5</f>
        <v/>
      </c>
      <c r="P670" s="16" t="n"/>
      <c r="Q670" s="16" t="n"/>
      <c r="R670" s="16" t="n"/>
      <c r="S670" s="17" t="n"/>
      <c r="T670" s="137" t="n"/>
      <c r="U670" s="144" t="n"/>
      <c r="V670" s="16" t="n"/>
      <c r="W670" s="16" t="n"/>
      <c r="X670" s="17" t="n"/>
      <c r="Y670" s="95" t="n"/>
      <c r="Z670" s="137" t="n"/>
      <c r="AB670" s="21" t="n"/>
      <c r="AF670" s="22" t="n"/>
      <c r="AG670" s="137" t="n"/>
      <c r="AH670" s="56">
        <f>DADOS_INVOC!$HT$11</f>
        <v/>
      </c>
      <c r="AI670" s="16" t="n"/>
      <c r="AJ670" s="16" t="n"/>
      <c r="AK670" s="16" t="n"/>
      <c r="AL670" s="17" t="n"/>
      <c r="AM670" s="137" t="n"/>
      <c r="AN670" s="144" t="n"/>
      <c r="AO670" s="16" t="n"/>
      <c r="AP670" s="16" t="n"/>
      <c r="AQ670" s="17" t="n"/>
      <c r="AR670" s="95" t="n"/>
      <c r="AS670" s="137" t="n"/>
    </row>
    <row r="671" hidden="1" outlineLevel="1">
      <c r="A671" s="8" t="n"/>
      <c r="B671" s="14" t="n"/>
      <c r="C671" s="137" t="n"/>
      <c r="D671" s="137" t="n"/>
      <c r="E671" s="137" t="n"/>
      <c r="F671" s="137" t="n"/>
      <c r="G671" s="137" t="n"/>
      <c r="I671" s="21" t="n"/>
      <c r="M671" s="22" t="n"/>
      <c r="N671" s="137" t="n"/>
      <c r="O671" s="144" t="n"/>
      <c r="P671" s="16" t="n"/>
      <c r="Q671" s="17" t="n"/>
      <c r="R671" s="95">
        <f>DADOS_INVOC!$HU$5</f>
        <v/>
      </c>
      <c r="S671" s="17" t="n"/>
      <c r="T671" s="137" t="n"/>
      <c r="U671" s="144" t="n"/>
      <c r="V671" s="16" t="n"/>
      <c r="W671" s="16" t="n"/>
      <c r="X671" s="17" t="n"/>
      <c r="Y671" s="95" t="n"/>
      <c r="Z671" s="137" t="n"/>
      <c r="AB671" s="21" t="n"/>
      <c r="AF671" s="22" t="n"/>
      <c r="AG671" s="137" t="n"/>
      <c r="AH671" s="144" t="n"/>
      <c r="AI671" s="16" t="n"/>
      <c r="AJ671" s="17" t="n"/>
      <c r="AK671" s="95">
        <f>DADOS_INVOC!$HU$11</f>
        <v/>
      </c>
      <c r="AL671" s="17" t="n"/>
      <c r="AM671" s="137" t="n"/>
      <c r="AN671" s="144" t="n"/>
      <c r="AO671" s="16" t="n"/>
      <c r="AP671" s="16" t="n"/>
      <c r="AQ671" s="17" t="n"/>
      <c r="AR671" s="95" t="n"/>
      <c r="AS671" s="137" t="n"/>
    </row>
    <row r="672" hidden="1" outlineLevel="1">
      <c r="A672" s="8" t="n"/>
      <c r="B672" s="14" t="n"/>
      <c r="C672" s="137" t="n"/>
      <c r="D672" s="137" t="n"/>
      <c r="E672" s="137" t="n"/>
      <c r="F672" s="137" t="n"/>
      <c r="G672" s="137" t="n"/>
      <c r="I672" s="21" t="n"/>
      <c r="M672" s="22" t="n"/>
      <c r="N672" s="137" t="n"/>
      <c r="O672" s="144" t="n"/>
      <c r="P672" s="16" t="n"/>
      <c r="Q672" s="17" t="n"/>
      <c r="R672" s="95">
        <f>DADOS_INVOC!$HV$5</f>
        <v/>
      </c>
      <c r="S672" s="17" t="n"/>
      <c r="T672" s="137" t="n"/>
      <c r="U672" s="144" t="n"/>
      <c r="V672" s="16" t="n"/>
      <c r="W672" s="16" t="n"/>
      <c r="X672" s="17" t="n"/>
      <c r="Y672" s="95" t="n"/>
      <c r="Z672" s="137" t="n"/>
      <c r="AB672" s="21" t="n"/>
      <c r="AF672" s="22" t="n"/>
      <c r="AG672" s="137" t="n"/>
      <c r="AH672" s="144" t="n"/>
      <c r="AI672" s="16" t="n"/>
      <c r="AJ672" s="17" t="n"/>
      <c r="AK672" s="95">
        <f>DADOS_INVOC!$HV$11</f>
        <v/>
      </c>
      <c r="AL672" s="17" t="n"/>
      <c r="AM672" s="137" t="n"/>
      <c r="AN672" s="144" t="n"/>
      <c r="AO672" s="16" t="n"/>
      <c r="AP672" s="16" t="n"/>
      <c r="AQ672" s="17" t="n"/>
      <c r="AR672" s="95" t="n"/>
      <c r="AS672" s="137" t="n"/>
    </row>
    <row r="673" hidden="1" outlineLevel="1">
      <c r="A673" s="8" t="n"/>
      <c r="B673" s="14" t="n"/>
      <c r="C673" s="137" t="n"/>
      <c r="D673" s="137" t="n"/>
      <c r="E673" s="137" t="n"/>
      <c r="F673" s="137" t="n"/>
      <c r="G673" s="137" t="n"/>
      <c r="I673" s="23" t="n"/>
      <c r="J673" s="24" t="n"/>
      <c r="K673" s="24" t="n"/>
      <c r="L673" s="24" t="n"/>
      <c r="M673" s="25" t="n"/>
      <c r="N673" s="137" t="n"/>
      <c r="O673" s="144" t="n"/>
      <c r="P673" s="16" t="n"/>
      <c r="Q673" s="17" t="n"/>
      <c r="R673" s="95">
        <f>DADOS_INVOC!$HW$5</f>
        <v/>
      </c>
      <c r="S673" s="17" t="n"/>
      <c r="T673" s="137" t="n"/>
      <c r="U673" s="144" t="n"/>
      <c r="V673" s="16" t="n"/>
      <c r="W673" s="16" t="n"/>
      <c r="X673" s="17" t="n"/>
      <c r="Y673" s="95" t="n"/>
      <c r="Z673" s="137" t="n"/>
      <c r="AB673" s="23" t="n"/>
      <c r="AC673" s="24" t="n"/>
      <c r="AD673" s="24" t="n"/>
      <c r="AE673" s="24" t="n"/>
      <c r="AF673" s="25" t="n"/>
      <c r="AG673" s="137" t="n"/>
      <c r="AH673" s="144" t="n"/>
      <c r="AI673" s="16" t="n"/>
      <c r="AJ673" s="17" t="n"/>
      <c r="AK673" s="95">
        <f>DADOS_INVOC!$HW$11</f>
        <v/>
      </c>
      <c r="AL673" s="17" t="n"/>
      <c r="AM673" s="137" t="n"/>
      <c r="AN673" s="144" t="n"/>
      <c r="AO673" s="16" t="n"/>
      <c r="AP673" s="16" t="n"/>
      <c r="AQ673" s="17" t="n"/>
      <c r="AR673" s="95" t="n"/>
      <c r="AS673" s="137" t="n"/>
    </row>
    <row r="674" hidden="1" outlineLevel="1">
      <c r="A674" s="8" t="n"/>
      <c r="B674" s="14" t="n"/>
      <c r="C674" s="137" t="n"/>
      <c r="D674" s="137" t="n"/>
      <c r="E674" s="137" t="n"/>
      <c r="F674" s="137" t="n"/>
      <c r="G674" s="137" t="n"/>
      <c r="I674" s="137" t="n"/>
      <c r="J674" s="137" t="n"/>
      <c r="K674" s="137" t="n"/>
      <c r="L674" s="137" t="n"/>
      <c r="M674" s="137" t="n"/>
      <c r="N674" s="137" t="n"/>
      <c r="O674" s="144" t="n"/>
      <c r="P674" s="16" t="n"/>
      <c r="Q674" s="17" t="n"/>
      <c r="R674" s="95">
        <f>DADOS_INVOC!$HX$5</f>
        <v/>
      </c>
      <c r="S674" s="17" t="n"/>
      <c r="T674" s="137" t="n"/>
      <c r="U674" s="144" t="n"/>
      <c r="V674" s="16" t="n"/>
      <c r="W674" s="16" t="n"/>
      <c r="X674" s="17" t="n"/>
      <c r="Y674" s="95" t="n"/>
      <c r="Z674" s="137" t="n"/>
      <c r="AB674" s="137" t="n"/>
      <c r="AC674" s="137" t="n"/>
      <c r="AD674" s="137" t="n"/>
      <c r="AE674" s="137" t="n"/>
      <c r="AF674" s="137" t="n"/>
      <c r="AG674" s="137" t="n"/>
      <c r="AH674" s="144" t="n"/>
      <c r="AI674" s="16" t="n"/>
      <c r="AJ674" s="17" t="n"/>
      <c r="AK674" s="95">
        <f>DADOS_INVOC!$HX$11</f>
        <v/>
      </c>
      <c r="AL674" s="17" t="n"/>
      <c r="AM674" s="137" t="n"/>
      <c r="AN674" s="144" t="n"/>
      <c r="AO674" s="16" t="n"/>
      <c r="AP674" s="16" t="n"/>
      <c r="AQ674" s="17" t="n"/>
      <c r="AR674" s="95" t="n"/>
      <c r="AS674" s="137" t="n"/>
    </row>
    <row r="675" hidden="1" outlineLevel="1">
      <c r="A675" s="8" t="n"/>
      <c r="B675" s="14" t="n"/>
      <c r="C675" s="137" t="n"/>
      <c r="D675" s="137" t="n"/>
      <c r="E675" s="137" t="n"/>
      <c r="F675" s="137" t="n"/>
      <c r="G675" s="137" t="n"/>
      <c r="I675" s="56" t="inlineStr">
        <is>
          <t>TIPO</t>
        </is>
      </c>
      <c r="J675" s="16" t="n"/>
      <c r="K675" s="17" t="n"/>
      <c r="L675" s="56" t="inlineStr">
        <is>
          <t>OFÍCIO COMPATÍVEL</t>
        </is>
      </c>
      <c r="M675" s="17" t="n"/>
      <c r="N675" s="137" t="n"/>
      <c r="O675" s="144" t="n"/>
      <c r="P675" s="16" t="n"/>
      <c r="Q675" s="17" t="n"/>
      <c r="R675" s="95">
        <f>DADOS_INVOC!$HY$5</f>
        <v/>
      </c>
      <c r="S675" s="17" t="n"/>
      <c r="T675" s="137" t="n"/>
      <c r="U675" s="144" t="n"/>
      <c r="V675" s="16" t="n"/>
      <c r="W675" s="16" t="n"/>
      <c r="X675" s="17" t="n"/>
      <c r="Y675" s="95" t="n"/>
      <c r="Z675" s="137" t="n"/>
      <c r="AB675" s="56" t="inlineStr">
        <is>
          <t>TIPO</t>
        </is>
      </c>
      <c r="AC675" s="16" t="n"/>
      <c r="AD675" s="17" t="n"/>
      <c r="AE675" s="56" t="inlineStr">
        <is>
          <t>OFÍCIO COMPATÍVEL</t>
        </is>
      </c>
      <c r="AF675" s="17" t="n"/>
      <c r="AG675" s="137" t="n"/>
      <c r="AH675" s="144" t="n"/>
      <c r="AI675" s="16" t="n"/>
      <c r="AJ675" s="17" t="n"/>
      <c r="AK675" s="95">
        <f>DADOS_INVOC!$HY$11</f>
        <v/>
      </c>
      <c r="AL675" s="17" t="n"/>
      <c r="AM675" s="137" t="n"/>
      <c r="AN675" s="144" t="n"/>
      <c r="AO675" s="16" t="n"/>
      <c r="AP675" s="16" t="n"/>
      <c r="AQ675" s="17" t="n"/>
      <c r="AR675" s="95" t="n"/>
      <c r="AS675" s="137" t="n"/>
    </row>
    <row r="676" hidden="1" outlineLevel="1">
      <c r="A676" s="8" t="n"/>
      <c r="B676" s="14" t="n"/>
      <c r="C676" s="137" t="n"/>
      <c r="D676" s="137" t="n"/>
      <c r="E676" s="137" t="n"/>
      <c r="F676" s="137" t="n"/>
      <c r="G676" s="137" t="n"/>
      <c r="I676" s="95" t="inlineStr">
        <is>
          <t>Shikigami de técnica</t>
        </is>
      </c>
      <c r="J676" s="19" t="n"/>
      <c r="K676" s="20" t="n"/>
      <c r="L676" s="95" t="n"/>
      <c r="M676" s="20" t="n"/>
      <c r="N676" s="137" t="n"/>
      <c r="O676" s="144" t="n"/>
      <c r="P676" s="16" t="n"/>
      <c r="Q676" s="17" t="n"/>
      <c r="R676" s="95">
        <f>DADOS_INVOC!$HZ$5</f>
        <v/>
      </c>
      <c r="S676" s="17" t="n"/>
      <c r="T676" s="137" t="n"/>
      <c r="U676" s="137" t="n"/>
      <c r="V676" s="137" t="n"/>
      <c r="W676" s="137" t="n"/>
      <c r="X676" s="137" t="n"/>
      <c r="Y676" s="137" t="n"/>
      <c r="Z676" s="137" t="n"/>
      <c r="AB676" s="95" t="inlineStr">
        <is>
          <t>Shikigami de técnica</t>
        </is>
      </c>
      <c r="AC676" s="19" t="n"/>
      <c r="AD676" s="20" t="n"/>
      <c r="AE676" s="95" t="n"/>
      <c r="AF676" s="20" t="n"/>
      <c r="AG676" s="137" t="n"/>
      <c r="AH676" s="144" t="n"/>
      <c r="AI676" s="16" t="n"/>
      <c r="AJ676" s="17" t="n"/>
      <c r="AK676" s="95">
        <f>DADOS_INVOC!$HZ$11</f>
        <v/>
      </c>
      <c r="AL676" s="17" t="n"/>
      <c r="AM676" s="137" t="n"/>
      <c r="AN676" s="137" t="n"/>
      <c r="AO676" s="137" t="n"/>
      <c r="AP676" s="137" t="n"/>
      <c r="AQ676" s="137" t="n"/>
      <c r="AR676" s="137" t="n"/>
      <c r="AS676" s="137" t="n"/>
    </row>
    <row r="677" hidden="1" outlineLevel="1">
      <c r="A677" s="8" t="n"/>
      <c r="B677" s="14" t="n"/>
      <c r="C677" s="137" t="n"/>
      <c r="D677" s="137" t="n"/>
      <c r="E677" s="137" t="n"/>
      <c r="F677" s="137" t="n"/>
      <c r="G677" s="137" t="n"/>
      <c r="I677" s="23" t="n"/>
      <c r="J677" s="24" t="n"/>
      <c r="K677" s="25" t="n"/>
      <c r="L677" s="23" t="n"/>
      <c r="M677" s="25" t="n"/>
      <c r="N677" s="137" t="n"/>
      <c r="O677" s="144" t="n"/>
      <c r="P677" s="16" t="n"/>
      <c r="Q677" s="17" t="n"/>
      <c r="R677" s="95">
        <f>DADOS_INVOC!$IA$5</f>
        <v/>
      </c>
      <c r="S677" s="17" t="n"/>
      <c r="T677" s="137" t="n"/>
      <c r="U677" s="56" t="inlineStr">
        <is>
          <t>CORPO, SENTIDOS E COMUNICAÇÃO</t>
        </is>
      </c>
      <c r="V677" s="16" t="n"/>
      <c r="W677" s="16" t="n"/>
      <c r="X677" s="16" t="n"/>
      <c r="Y677" s="17" t="n"/>
      <c r="Z677" s="137" t="n"/>
      <c r="AB677" s="23" t="n"/>
      <c r="AC677" s="24" t="n"/>
      <c r="AD677" s="25" t="n"/>
      <c r="AE677" s="23" t="n"/>
      <c r="AF677" s="25" t="n"/>
      <c r="AG677" s="137" t="n"/>
      <c r="AH677" s="144" t="n"/>
      <c r="AI677" s="16" t="n"/>
      <c r="AJ677" s="17" t="n"/>
      <c r="AK677" s="95">
        <f>DADOS_INVOC!$IA$11</f>
        <v/>
      </c>
      <c r="AL677" s="17" t="n"/>
      <c r="AM677" s="137" t="n"/>
      <c r="AN677" s="56" t="inlineStr">
        <is>
          <t>CORPO, SENTIDOS E COMUNICAÇÃO</t>
        </is>
      </c>
      <c r="AO677" s="16" t="n"/>
      <c r="AP677" s="16" t="n"/>
      <c r="AQ677" s="16" t="n"/>
      <c r="AR677" s="17" t="n"/>
      <c r="AS677" s="137" t="n"/>
    </row>
    <row r="678" hidden="1" outlineLevel="1">
      <c r="A678" s="8" t="n"/>
      <c r="B678" s="14" t="n"/>
      <c r="C678" s="137" t="n"/>
      <c r="D678" s="137" t="n"/>
      <c r="E678" s="137" t="n"/>
      <c r="F678" s="137" t="n"/>
      <c r="G678" s="137" t="n"/>
      <c r="I678" s="137" t="n"/>
      <c r="J678" s="137" t="n"/>
      <c r="K678" s="137" t="n"/>
      <c r="L678" s="137" t="n"/>
      <c r="M678" s="137" t="n"/>
      <c r="N678" s="137" t="n"/>
      <c r="O678" s="137" t="n"/>
      <c r="P678" s="137" t="n"/>
      <c r="Q678" s="137" t="n"/>
      <c r="R678" s="137" t="n"/>
      <c r="S678" s="137" t="n"/>
      <c r="T678" s="137" t="n"/>
      <c r="U678" s="61" t="n"/>
      <c r="V678" s="19" t="n"/>
      <c r="W678" s="19" t="n"/>
      <c r="X678" s="19" t="n"/>
      <c r="Y678" s="20" t="n"/>
      <c r="Z678" s="137" t="n"/>
      <c r="AB678" s="137" t="n"/>
      <c r="AC678" s="137" t="n"/>
      <c r="AD678" s="137" t="n"/>
      <c r="AE678" s="137" t="n"/>
      <c r="AF678" s="137" t="n"/>
      <c r="AG678" s="137" t="n"/>
      <c r="AH678" s="137" t="n"/>
      <c r="AI678" s="137" t="n"/>
      <c r="AJ678" s="137" t="n"/>
      <c r="AK678" s="137" t="n"/>
      <c r="AL678" s="137" t="n"/>
      <c r="AM678" s="137" t="n"/>
      <c r="AN678" s="61" t="n"/>
      <c r="AO678" s="19" t="n"/>
      <c r="AP678" s="19" t="n"/>
      <c r="AQ678" s="19" t="n"/>
      <c r="AR678" s="20" t="n"/>
      <c r="AS678" s="137" t="n"/>
    </row>
    <row r="679" hidden="1" outlineLevel="1">
      <c r="A679" s="8" t="n"/>
      <c r="B679" s="14" t="n"/>
      <c r="C679" s="137" t="n"/>
      <c r="D679" s="137" t="n"/>
      <c r="E679" s="137" t="n"/>
      <c r="F679" s="137" t="n"/>
      <c r="G679" s="137" t="n"/>
      <c r="I679" s="56" t="inlineStr">
        <is>
          <t>AQUISIÇÃO</t>
        </is>
      </c>
      <c r="J679" s="17" t="n"/>
      <c r="K679" s="56" t="inlineStr">
        <is>
          <t>OBTIDA NO NÍVEL</t>
        </is>
      </c>
      <c r="L679" s="56" t="inlineStr">
        <is>
          <t>TALISMÃ</t>
        </is>
      </c>
      <c r="M679" s="17" t="n"/>
      <c r="N679" s="137" t="n"/>
      <c r="O679" s="56">
        <f>DADOS_INVOC!$ID$5</f>
        <v/>
      </c>
      <c r="P679" s="16" t="n"/>
      <c r="Q679" s="16" t="n"/>
      <c r="R679" s="16" t="n"/>
      <c r="S679" s="17" t="n"/>
      <c r="T679" s="137" t="n"/>
      <c r="U679" s="21" t="n"/>
      <c r="Y679" s="22" t="n"/>
      <c r="Z679" s="137" t="n"/>
      <c r="AB679" s="56" t="inlineStr">
        <is>
          <t>AQUISIÇÃO</t>
        </is>
      </c>
      <c r="AC679" s="17" t="n"/>
      <c r="AD679" s="56" t="inlineStr">
        <is>
          <t>OBTIDA NO NÍVEL</t>
        </is>
      </c>
      <c r="AE679" s="56" t="inlineStr">
        <is>
          <t>TALISMÃ</t>
        </is>
      </c>
      <c r="AF679" s="17" t="n"/>
      <c r="AG679" s="137" t="n"/>
      <c r="AH679" s="56">
        <f>DADOS_INVOC!$ID$11</f>
        <v/>
      </c>
      <c r="AI679" s="16" t="n"/>
      <c r="AJ679" s="16" t="n"/>
      <c r="AK679" s="16" t="n"/>
      <c r="AL679" s="17" t="n"/>
      <c r="AM679" s="137" t="n"/>
      <c r="AN679" s="21" t="n"/>
      <c r="AR679" s="22" t="n"/>
      <c r="AS679" s="137" t="n"/>
    </row>
    <row r="680" hidden="1" outlineLevel="1">
      <c r="A680" s="8" t="n"/>
      <c r="B680" s="14" t="n"/>
      <c r="C680" s="137" t="n"/>
      <c r="D680" s="137" t="n"/>
      <c r="E680" s="137" t="n"/>
      <c r="F680" s="137" t="n"/>
      <c r="G680" s="137" t="n"/>
      <c r="I680" s="95" t="inlineStr">
        <is>
          <t>Espaço conhecido</t>
        </is>
      </c>
      <c r="J680" s="20" t="n"/>
      <c r="K680" s="95" t="n"/>
      <c r="L680" s="95" t="inlineStr">
        <is>
          <t>Sem carga</t>
        </is>
      </c>
      <c r="M680" s="20" t="n"/>
      <c r="N680" s="137" t="n"/>
      <c r="O680" s="56">
        <f>IF(DADOS_INVOC!$RA$5&gt;=1,"LIVRE","ABERTA")</f>
        <v/>
      </c>
      <c r="P680" s="56">
        <f>IF(DADOS_INVOC!$RA$5&gt;=2,"LIVRE","ABERTA")</f>
        <v/>
      </c>
      <c r="Q680" s="56">
        <f>IF(DADOS_INVOC!$RA$5&gt;=7,"LIVRE","ABERTA")</f>
        <v/>
      </c>
      <c r="R680" s="56">
        <f>IF(DADOS_INVOC!$RA$5&gt;=8,"LIVRE","ABERTA")</f>
        <v/>
      </c>
      <c r="S680" s="56">
        <f>IF(DADOS_INVOC!$RA$5&gt;=9,"LIVRE","ABERTA")</f>
        <v/>
      </c>
      <c r="T680" s="137" t="n"/>
      <c r="U680" s="21" t="n"/>
      <c r="Y680" s="22" t="n"/>
      <c r="Z680" s="137" t="n"/>
      <c r="AB680" s="95" t="inlineStr">
        <is>
          <t>Espaço conhecido</t>
        </is>
      </c>
      <c r="AC680" s="20" t="n"/>
      <c r="AD680" s="95" t="n"/>
      <c r="AE680" s="95" t="inlineStr">
        <is>
          <t>Sem carga</t>
        </is>
      </c>
      <c r="AF680" s="20" t="n"/>
      <c r="AG680" s="137" t="n"/>
      <c r="AH680" s="56">
        <f>IF(DADOS_INVOC!$RA$11&gt;=1,"LIVRE","ABERTA")</f>
        <v/>
      </c>
      <c r="AI680" s="56">
        <f>IF(DADOS_INVOC!$RA$11&gt;=2,"LIVRE","ABERTA")</f>
        <v/>
      </c>
      <c r="AJ680" s="56">
        <f>IF(DADOS_INVOC!$RA$11&gt;=7,"LIVRE","ABERTA")</f>
        <v/>
      </c>
      <c r="AK680" s="56">
        <f>IF(DADOS_INVOC!$RA$11&gt;=8,"LIVRE","ABERTA")</f>
        <v/>
      </c>
      <c r="AL680" s="56">
        <f>IF(DADOS_INVOC!$RA$11&gt;=9,"LIVRE","ABERTA")</f>
        <v/>
      </c>
      <c r="AM680" s="137" t="n"/>
      <c r="AN680" s="21" t="n"/>
      <c r="AR680" s="22" t="n"/>
      <c r="AS680" s="137" t="n"/>
    </row>
    <row r="681" hidden="1" outlineLevel="1" ht="24" customHeight="1">
      <c r="A681" s="8" t="n"/>
      <c r="B681" s="14" t="n"/>
      <c r="C681" s="137" t="n"/>
      <c r="D681" s="137" t="n"/>
      <c r="E681" s="137" t="n"/>
      <c r="F681" s="137" t="n"/>
      <c r="G681" s="137" t="n"/>
      <c r="I681" s="23" t="n"/>
      <c r="J681" s="25" t="n"/>
      <c r="K681" s="128" t="n"/>
      <c r="L681" s="23" t="n"/>
      <c r="M681" s="25" t="n"/>
      <c r="N681" s="137" t="n"/>
      <c r="O681" s="95" t="n"/>
      <c r="P681" s="95" t="n"/>
      <c r="Q681" s="95" t="n"/>
      <c r="R681" s="95" t="n"/>
      <c r="S681" s="95" t="n"/>
      <c r="T681" s="137" t="n"/>
      <c r="U681" s="21" t="n"/>
      <c r="Y681" s="22" t="n"/>
      <c r="Z681" s="137" t="n"/>
      <c r="AB681" s="23" t="n"/>
      <c r="AC681" s="25" t="n"/>
      <c r="AD681" s="128" t="n"/>
      <c r="AE681" s="23" t="n"/>
      <c r="AF681" s="25" t="n"/>
      <c r="AG681" s="137" t="n"/>
      <c r="AH681" s="95" t="n"/>
      <c r="AI681" s="95" t="n"/>
      <c r="AJ681" s="95" t="n"/>
      <c r="AK681" s="95" t="n"/>
      <c r="AL681" s="95" t="n"/>
      <c r="AM681" s="137" t="n"/>
      <c r="AN681" s="21" t="n"/>
      <c r="AR681" s="22" t="n"/>
      <c r="AS681" s="137" t="n"/>
    </row>
    <row r="682" hidden="1" outlineLevel="1" ht="15" customHeight="1">
      <c r="A682" s="8" t="n"/>
      <c r="B682" s="14" t="n"/>
      <c r="C682" s="137" t="n"/>
      <c r="D682" s="137" t="n"/>
      <c r="E682" s="137" t="n"/>
      <c r="F682" s="137" t="n"/>
      <c r="G682" s="137" t="n"/>
      <c r="I682" s="137" t="n"/>
      <c r="J682" s="137" t="n"/>
      <c r="K682" s="137" t="n"/>
      <c r="L682" s="137" t="n"/>
      <c r="M682" s="137" t="n"/>
      <c r="N682" s="137" t="n"/>
      <c r="O682" s="56">
        <f>IF(DADOS_INVOC!$RA$5&gt;=3,"LIVRE 6","FAMÍLIA 6")</f>
        <v/>
      </c>
      <c r="P682" s="56">
        <f>IF(DADOS_INVOC!$RA$5&gt;=4,"LIVRE 7","FAMÍLIA 7")</f>
        <v/>
      </c>
      <c r="Q682" s="56">
        <f>IF(DADOS_INVOC!$RA$5&gt;=5,"LIVRE 8","FAMÍLIA 8")</f>
        <v/>
      </c>
      <c r="R682" s="56">
        <f>IF(DADOS_INVOC!$RA$5&gt;=6,"LIVRE 9","FAMÍLIA 9")</f>
        <v/>
      </c>
      <c r="S682" s="17" t="n"/>
      <c r="T682" s="137" t="n"/>
      <c r="U682" s="23" t="n"/>
      <c r="V682" s="24" t="n"/>
      <c r="W682" s="24" t="n"/>
      <c r="X682" s="24" t="n"/>
      <c r="Y682" s="25" t="n"/>
      <c r="Z682" s="137" t="n"/>
      <c r="AB682" s="137" t="n"/>
      <c r="AC682" s="137" t="n"/>
      <c r="AD682" s="137" t="n"/>
      <c r="AE682" s="137" t="n"/>
      <c r="AF682" s="137" t="n"/>
      <c r="AG682" s="137" t="n"/>
      <c r="AH682" s="56">
        <f>IF(DADOS_INVOC!$RA$11&gt;=3,"LIVRE 6","FAMÍLIA 6")</f>
        <v/>
      </c>
      <c r="AI682" s="56">
        <f>IF(DADOS_INVOC!$RA$11&gt;=4,"LIVRE 7","FAMÍLIA 7")</f>
        <v/>
      </c>
      <c r="AJ682" s="56">
        <f>IF(DADOS_INVOC!$RA$11&gt;=5,"LIVRE 8","FAMÍLIA 8")</f>
        <v/>
      </c>
      <c r="AK682" s="56">
        <f>IF(DADOS_INVOC!$RA$11&gt;=6,"LIVRE 9","FAMÍLIA 9")</f>
        <v/>
      </c>
      <c r="AL682" s="17" t="n"/>
      <c r="AM682" s="137" t="n"/>
      <c r="AN682" s="23" t="n"/>
      <c r="AO682" s="24" t="n"/>
      <c r="AP682" s="24" t="n"/>
      <c r="AQ682" s="24" t="n"/>
      <c r="AR682" s="25" t="n"/>
      <c r="AS682" s="137" t="n"/>
    </row>
    <row r="683" hidden="1" outlineLevel="1" ht="24" customHeight="1">
      <c r="A683" s="8" t="n"/>
      <c r="B683" s="14" t="n"/>
      <c r="C683" s="137" t="n"/>
      <c r="D683" s="137" t="n"/>
      <c r="E683" s="137" t="n"/>
      <c r="F683" s="137" t="n"/>
      <c r="G683" s="137" t="n"/>
      <c r="I683" s="56" t="inlineStr">
        <is>
          <t>AUTONOMIA</t>
        </is>
      </c>
      <c r="J683" s="17" t="n"/>
      <c r="K683" s="95" t="inlineStr">
        <is>
          <t>Autônoma</t>
        </is>
      </c>
      <c r="L683" s="16" t="n"/>
      <c r="M683" s="17" t="n"/>
      <c r="N683" s="137" t="n"/>
      <c r="O683" s="95" t="n"/>
      <c r="P683" s="95" t="n"/>
      <c r="Q683" s="95" t="n"/>
      <c r="R683" s="95" t="n"/>
      <c r="S683" s="17" t="n"/>
      <c r="T683" s="137" t="n"/>
      <c r="U683" s="137" t="n"/>
      <c r="V683" s="137" t="n"/>
      <c r="W683" s="137" t="n"/>
      <c r="X683" s="137" t="n"/>
      <c r="Y683" s="137" t="n"/>
      <c r="Z683" s="137" t="n"/>
      <c r="AB683" s="56" t="inlineStr">
        <is>
          <t>AUTONOMIA</t>
        </is>
      </c>
      <c r="AC683" s="17" t="n"/>
      <c r="AD683" s="95" t="inlineStr">
        <is>
          <t>Autônoma</t>
        </is>
      </c>
      <c r="AE683" s="16" t="n"/>
      <c r="AF683" s="17" t="n"/>
      <c r="AG683" s="137" t="n"/>
      <c r="AH683" s="95" t="n"/>
      <c r="AI683" s="95" t="n"/>
      <c r="AJ683" s="95" t="n"/>
      <c r="AK683" s="95" t="n"/>
      <c r="AL683" s="17" t="n"/>
      <c r="AM683" s="137" t="n"/>
      <c r="AN683" s="137" t="n"/>
      <c r="AO683" s="137" t="n"/>
      <c r="AP683" s="137" t="n"/>
      <c r="AQ683" s="137" t="n"/>
      <c r="AR683" s="137" t="n"/>
      <c r="AS683" s="137" t="n"/>
    </row>
    <row r="684" hidden="1" outlineLevel="1" ht="18.75" customHeight="1">
      <c r="A684" s="8" t="n"/>
      <c r="B684" s="14" t="n"/>
      <c r="C684" s="137" t="n"/>
      <c r="D684" s="137" t="n"/>
      <c r="E684" s="137" t="n"/>
      <c r="F684" s="137" t="n"/>
      <c r="G684" s="137" t="n"/>
      <c r="I684" s="137" t="n"/>
      <c r="J684" s="137" t="n"/>
      <c r="K684" s="137" t="n"/>
      <c r="L684" s="137" t="n"/>
      <c r="M684" s="137" t="n"/>
      <c r="N684" s="137" t="n"/>
      <c r="O684" s="101" t="inlineStr">
        <is>
          <t>FAMÍLIAS CUSTOM · CONFIGURAÇÃO</t>
        </is>
      </c>
      <c r="P684" s="16" t="n"/>
      <c r="Q684" s="16" t="n"/>
      <c r="R684" s="16" t="n"/>
      <c r="S684" s="17" t="n"/>
      <c r="T684" s="137" t="n"/>
      <c r="U684" s="137" t="n"/>
      <c r="V684" s="137" t="n"/>
      <c r="W684" s="137" t="n"/>
      <c r="X684" s="137" t="n"/>
      <c r="Y684" s="137" t="n"/>
      <c r="Z684" s="137" t="n"/>
      <c r="AB684" s="137" t="n"/>
      <c r="AC684" s="137" t="n"/>
      <c r="AD684" s="137" t="n"/>
      <c r="AE684" s="137" t="n"/>
      <c r="AF684" s="137" t="n"/>
      <c r="AG684" s="137" t="n"/>
      <c r="AH684" s="101" t="inlineStr">
        <is>
          <t>FAMÍLIAS CUSTOM · CONFIGURAÇÃO</t>
        </is>
      </c>
      <c r="AI684" s="16" t="n"/>
      <c r="AJ684" s="16" t="n"/>
      <c r="AK684" s="16" t="n"/>
      <c r="AL684" s="17" t="n"/>
      <c r="AM684" s="137" t="n"/>
      <c r="AN684" s="137" t="n"/>
      <c r="AO684" s="137" t="n"/>
      <c r="AP684" s="137" t="n"/>
      <c r="AQ684" s="137" t="n"/>
      <c r="AR684" s="137" t="n"/>
      <c r="AS684" s="137" t="n"/>
    </row>
    <row r="685" hidden="1" outlineLevel="2" ht="31.5" customHeight="1">
      <c r="O685" s="114">
        <f>IF(COUNTIF('DADOS_CRIACAO'!$H$11:$H$20,"?*")=0,"","Livre conta como aberta. As escolhas usam as vagas e os limites desta entidade.")</f>
        <v/>
      </c>
      <c r="P685" s="16" t="n"/>
      <c r="Q685" s="16" t="n"/>
      <c r="R685" s="16" t="n"/>
      <c r="S685" s="17" t="n"/>
      <c r="AH685" s="114">
        <f>IF(COUNTIF('DADOS_CRIACAO'!$H$11:$H$20,"?*")=0,"","Livre conta como aberta. As escolhas usam as vagas e os limites desta entidade.")</f>
        <v/>
      </c>
      <c r="AI685" s="16" t="n"/>
      <c r="AJ685" s="16" t="n"/>
      <c r="AK685" s="16" t="n"/>
      <c r="AL685" s="17" t="n"/>
    </row>
    <row r="686" hidden="1" outlineLevel="2" ht="18.75" customHeight="1">
      <c r="O686" s="115">
        <f>IF(COUNTIF('DADOS_CRIACAO'!$H$11:$H$20,"?*")=0,"","FAMÍLIA")</f>
        <v/>
      </c>
      <c r="P686" s="16" t="n"/>
      <c r="Q686" s="17" t="n"/>
      <c r="R686" s="115">
        <f>IF(COUNTIF('DADOS_CRIACAO'!$H$11:$H$20,"?*")=0,"","ESTADO")</f>
        <v/>
      </c>
      <c r="S686" s="17" t="n"/>
      <c r="AH686" s="115">
        <f>IF(COUNTIF('DADOS_CRIACAO'!$H$11:$H$20,"?*")=0,"","FAMÍLIA")</f>
        <v/>
      </c>
      <c r="AI686" s="16" t="n"/>
      <c r="AJ686" s="17" t="n"/>
      <c r="AK686" s="115">
        <f>IF(COUNTIF('DADOS_CRIACAO'!$H$11:$H$20,"?*")=0,"","ESTADO")</f>
        <v/>
      </c>
      <c r="AL686" s="17" t="n"/>
    </row>
    <row r="687" hidden="1" outlineLevel="2" ht="18.75" customHeight="1">
      <c r="O687" s="116">
        <f>'DADOS_CRIACAO'!$H$11</f>
        <v/>
      </c>
      <c r="P687" s="16" t="n"/>
      <c r="Q687" s="17" t="n"/>
      <c r="R687" s="116">
        <f>IF(O687="","",IFS(O681=O687,IF('DADOS_INVOC'!$RA$5&gt;=1,"Livre","Aberta"),P681=O687,IF('DADOS_INVOC'!$RA$5&gt;=2,"Livre","Aberta"),Q681=O687,IF('DADOS_INVOC'!$RA$5&gt;=7,"Livre","Aberta"),R681=O687,IF('DADOS_INVOC'!$RA$5&gt;=8,"Livre","Aberta"),S681=O687,IF('DADOS_INVOC'!$RA$5&gt;=9,"Livre","Aberta"),O683=O687,IF('DADOS_INVOC'!$RA$5&gt;=3,"Livre","Aberta"),P683=O687,IF('DADOS_INVOC'!$RA$5&gt;=4,"Livre","Aberta"),Q683=O687,IF('DADOS_INVOC'!$RA$5&gt;=5,"Livre","Aberta"),R683=O687,IF('DADOS_INVOC'!$RA$5&gt;=6,"Livre","Aberta"),TRUE,"Não escolhida"))</f>
        <v/>
      </c>
      <c r="S687" s="17" t="n"/>
      <c r="AH687" s="116">
        <f>'DADOS_CRIACAO'!$H$11</f>
        <v/>
      </c>
      <c r="AI687" s="16" t="n"/>
      <c r="AJ687" s="17" t="n"/>
      <c r="AK687" s="116">
        <f>IF(AH687="","",IFS(AH681=AH687,IF('DADOS_INVOC'!$RA$11&gt;=1,"Livre","Aberta"),AI681=AH687,IF('DADOS_INVOC'!$RA$11&gt;=2,"Livre","Aberta"),AJ681=AH687,IF('DADOS_INVOC'!$RA$11&gt;=7,"Livre","Aberta"),AK681=AH687,IF('DADOS_INVOC'!$RA$11&gt;=8,"Livre","Aberta"),AL681=AH687,IF('DADOS_INVOC'!$RA$11&gt;=9,"Livre","Aberta"),AH683=AH687,IF('DADOS_INVOC'!$RA$11&gt;=3,"Livre","Aberta"),AI683=AH687,IF('DADOS_INVOC'!$RA$11&gt;=4,"Livre","Aberta"),AJ683=AH687,IF('DADOS_INVOC'!$RA$11&gt;=5,"Livre","Aberta"),AK683=AH687,IF('DADOS_INVOC'!$RA$11&gt;=6,"Livre","Aberta"),TRUE,"Não escolhida"))</f>
        <v/>
      </c>
      <c r="AL687" s="17" t="n"/>
    </row>
    <row r="688" hidden="1" outlineLevel="2" ht="18.75" customHeight="1">
      <c r="O688" s="116">
        <f>'DADOS_CRIACAO'!$H$12</f>
        <v/>
      </c>
      <c r="P688" s="16" t="n"/>
      <c r="Q688" s="17" t="n"/>
      <c r="R688" s="116">
        <f>IF(O688="","",IFS(O681=O688,IF('DADOS_INVOC'!$RA$5&gt;=1,"Livre","Aberta"),P681=O688,IF('DADOS_INVOC'!$RA$5&gt;=2,"Livre","Aberta"),Q681=O688,IF('DADOS_INVOC'!$RA$5&gt;=7,"Livre","Aberta"),R681=O688,IF('DADOS_INVOC'!$RA$5&gt;=8,"Livre","Aberta"),S681=O688,IF('DADOS_INVOC'!$RA$5&gt;=9,"Livre","Aberta"),O683=O688,IF('DADOS_INVOC'!$RA$5&gt;=3,"Livre","Aberta"),P683=O688,IF('DADOS_INVOC'!$RA$5&gt;=4,"Livre","Aberta"),Q683=O688,IF('DADOS_INVOC'!$RA$5&gt;=5,"Livre","Aberta"),R683=O688,IF('DADOS_INVOC'!$RA$5&gt;=6,"Livre","Aberta"),TRUE,"Não escolhida"))</f>
        <v/>
      </c>
      <c r="S688" s="17" t="n"/>
      <c r="AH688" s="116">
        <f>'DADOS_CRIACAO'!$H$12</f>
        <v/>
      </c>
      <c r="AI688" s="16" t="n"/>
      <c r="AJ688" s="17" t="n"/>
      <c r="AK688" s="116">
        <f>IF(AH688="","",IFS(AH681=AH688,IF('DADOS_INVOC'!$RA$11&gt;=1,"Livre","Aberta"),AI681=AH688,IF('DADOS_INVOC'!$RA$11&gt;=2,"Livre","Aberta"),AJ681=AH688,IF('DADOS_INVOC'!$RA$11&gt;=7,"Livre","Aberta"),AK681=AH688,IF('DADOS_INVOC'!$RA$11&gt;=8,"Livre","Aberta"),AL681=AH688,IF('DADOS_INVOC'!$RA$11&gt;=9,"Livre","Aberta"),AH683=AH688,IF('DADOS_INVOC'!$RA$11&gt;=3,"Livre","Aberta"),AI683=AH688,IF('DADOS_INVOC'!$RA$11&gt;=4,"Livre","Aberta"),AJ683=AH688,IF('DADOS_INVOC'!$RA$11&gt;=5,"Livre","Aberta"),AK683=AH688,IF('DADOS_INVOC'!$RA$11&gt;=6,"Livre","Aberta"),TRUE,"Não escolhida"))</f>
        <v/>
      </c>
      <c r="AL688" s="17" t="n"/>
    </row>
    <row r="689" hidden="1" outlineLevel="2" ht="18.75" customHeight="1">
      <c r="O689" s="116">
        <f>'DADOS_CRIACAO'!$H$13</f>
        <v/>
      </c>
      <c r="P689" s="16" t="n"/>
      <c r="Q689" s="17" t="n"/>
      <c r="R689" s="116">
        <f>IF(O689="","",IFS(O681=O689,IF('DADOS_INVOC'!$RA$5&gt;=1,"Livre","Aberta"),P681=O689,IF('DADOS_INVOC'!$RA$5&gt;=2,"Livre","Aberta"),Q681=O689,IF('DADOS_INVOC'!$RA$5&gt;=7,"Livre","Aberta"),R681=O689,IF('DADOS_INVOC'!$RA$5&gt;=8,"Livre","Aberta"),S681=O689,IF('DADOS_INVOC'!$RA$5&gt;=9,"Livre","Aberta"),O683=O689,IF('DADOS_INVOC'!$RA$5&gt;=3,"Livre","Aberta"),P683=O689,IF('DADOS_INVOC'!$RA$5&gt;=4,"Livre","Aberta"),Q683=O689,IF('DADOS_INVOC'!$RA$5&gt;=5,"Livre","Aberta"),R683=O689,IF('DADOS_INVOC'!$RA$5&gt;=6,"Livre","Aberta"),TRUE,"Não escolhida"))</f>
        <v/>
      </c>
      <c r="S689" s="17" t="n"/>
      <c r="AH689" s="116">
        <f>'DADOS_CRIACAO'!$H$13</f>
        <v/>
      </c>
      <c r="AI689" s="16" t="n"/>
      <c r="AJ689" s="17" t="n"/>
      <c r="AK689" s="116">
        <f>IF(AH689="","",IFS(AH681=AH689,IF('DADOS_INVOC'!$RA$11&gt;=1,"Livre","Aberta"),AI681=AH689,IF('DADOS_INVOC'!$RA$11&gt;=2,"Livre","Aberta"),AJ681=AH689,IF('DADOS_INVOC'!$RA$11&gt;=7,"Livre","Aberta"),AK681=AH689,IF('DADOS_INVOC'!$RA$11&gt;=8,"Livre","Aberta"),AL681=AH689,IF('DADOS_INVOC'!$RA$11&gt;=9,"Livre","Aberta"),AH683=AH689,IF('DADOS_INVOC'!$RA$11&gt;=3,"Livre","Aberta"),AI683=AH689,IF('DADOS_INVOC'!$RA$11&gt;=4,"Livre","Aberta"),AJ683=AH689,IF('DADOS_INVOC'!$RA$11&gt;=5,"Livre","Aberta"),AK683=AH689,IF('DADOS_INVOC'!$RA$11&gt;=6,"Livre","Aberta"),TRUE,"Não escolhida"))</f>
        <v/>
      </c>
      <c r="AL689" s="17" t="n"/>
    </row>
    <row r="690" hidden="1" outlineLevel="2" ht="18.75" customHeight="1">
      <c r="O690" s="116">
        <f>'DADOS_CRIACAO'!$H$14</f>
        <v/>
      </c>
      <c r="P690" s="16" t="n"/>
      <c r="Q690" s="17" t="n"/>
      <c r="R690" s="116">
        <f>IF(O690="","",IFS(O681=O690,IF('DADOS_INVOC'!$RA$5&gt;=1,"Livre","Aberta"),P681=O690,IF('DADOS_INVOC'!$RA$5&gt;=2,"Livre","Aberta"),Q681=O690,IF('DADOS_INVOC'!$RA$5&gt;=7,"Livre","Aberta"),R681=O690,IF('DADOS_INVOC'!$RA$5&gt;=8,"Livre","Aberta"),S681=O690,IF('DADOS_INVOC'!$RA$5&gt;=9,"Livre","Aberta"),O683=O690,IF('DADOS_INVOC'!$RA$5&gt;=3,"Livre","Aberta"),P683=O690,IF('DADOS_INVOC'!$RA$5&gt;=4,"Livre","Aberta"),Q683=O690,IF('DADOS_INVOC'!$RA$5&gt;=5,"Livre","Aberta"),R683=O690,IF('DADOS_INVOC'!$RA$5&gt;=6,"Livre","Aberta"),TRUE,"Não escolhida"))</f>
        <v/>
      </c>
      <c r="S690" s="17" t="n"/>
      <c r="AH690" s="116">
        <f>'DADOS_CRIACAO'!$H$14</f>
        <v/>
      </c>
      <c r="AI690" s="16" t="n"/>
      <c r="AJ690" s="17" t="n"/>
      <c r="AK690" s="116">
        <f>IF(AH690="","",IFS(AH681=AH690,IF('DADOS_INVOC'!$RA$11&gt;=1,"Livre","Aberta"),AI681=AH690,IF('DADOS_INVOC'!$RA$11&gt;=2,"Livre","Aberta"),AJ681=AH690,IF('DADOS_INVOC'!$RA$11&gt;=7,"Livre","Aberta"),AK681=AH690,IF('DADOS_INVOC'!$RA$11&gt;=8,"Livre","Aberta"),AL681=AH690,IF('DADOS_INVOC'!$RA$11&gt;=9,"Livre","Aberta"),AH683=AH690,IF('DADOS_INVOC'!$RA$11&gt;=3,"Livre","Aberta"),AI683=AH690,IF('DADOS_INVOC'!$RA$11&gt;=4,"Livre","Aberta"),AJ683=AH690,IF('DADOS_INVOC'!$RA$11&gt;=5,"Livre","Aberta"),AK683=AH690,IF('DADOS_INVOC'!$RA$11&gt;=6,"Livre","Aberta"),TRUE,"Não escolhida"))</f>
        <v/>
      </c>
      <c r="AL690" s="17" t="n"/>
    </row>
    <row r="691" hidden="1" outlineLevel="2" ht="18.75" customHeight="1">
      <c r="O691" s="116">
        <f>'DADOS_CRIACAO'!$H$15</f>
        <v/>
      </c>
      <c r="P691" s="16" t="n"/>
      <c r="Q691" s="17" t="n"/>
      <c r="R691" s="116">
        <f>IF(O691="","",IFS(O681=O691,IF('DADOS_INVOC'!$RA$5&gt;=1,"Livre","Aberta"),P681=O691,IF('DADOS_INVOC'!$RA$5&gt;=2,"Livre","Aberta"),Q681=O691,IF('DADOS_INVOC'!$RA$5&gt;=7,"Livre","Aberta"),R681=O691,IF('DADOS_INVOC'!$RA$5&gt;=8,"Livre","Aberta"),S681=O691,IF('DADOS_INVOC'!$RA$5&gt;=9,"Livre","Aberta"),O683=O691,IF('DADOS_INVOC'!$RA$5&gt;=3,"Livre","Aberta"),P683=O691,IF('DADOS_INVOC'!$RA$5&gt;=4,"Livre","Aberta"),Q683=O691,IF('DADOS_INVOC'!$RA$5&gt;=5,"Livre","Aberta"),R683=O691,IF('DADOS_INVOC'!$RA$5&gt;=6,"Livre","Aberta"),TRUE,"Não escolhida"))</f>
        <v/>
      </c>
      <c r="S691" s="17" t="n"/>
      <c r="AH691" s="116">
        <f>'DADOS_CRIACAO'!$H$15</f>
        <v/>
      </c>
      <c r="AI691" s="16" t="n"/>
      <c r="AJ691" s="17" t="n"/>
      <c r="AK691" s="116">
        <f>IF(AH691="","",IFS(AH681=AH691,IF('DADOS_INVOC'!$RA$11&gt;=1,"Livre","Aberta"),AI681=AH691,IF('DADOS_INVOC'!$RA$11&gt;=2,"Livre","Aberta"),AJ681=AH691,IF('DADOS_INVOC'!$RA$11&gt;=7,"Livre","Aberta"),AK681=AH691,IF('DADOS_INVOC'!$RA$11&gt;=8,"Livre","Aberta"),AL681=AH691,IF('DADOS_INVOC'!$RA$11&gt;=9,"Livre","Aberta"),AH683=AH691,IF('DADOS_INVOC'!$RA$11&gt;=3,"Livre","Aberta"),AI683=AH691,IF('DADOS_INVOC'!$RA$11&gt;=4,"Livre","Aberta"),AJ683=AH691,IF('DADOS_INVOC'!$RA$11&gt;=5,"Livre","Aberta"),AK683=AH691,IF('DADOS_INVOC'!$RA$11&gt;=6,"Livre","Aberta"),TRUE,"Não escolhida"))</f>
        <v/>
      </c>
      <c r="AL691" s="17" t="n"/>
    </row>
    <row r="692" hidden="1" outlineLevel="2" ht="18.75" customHeight="1">
      <c r="O692" s="116">
        <f>'DADOS_CRIACAO'!$H$16</f>
        <v/>
      </c>
      <c r="P692" s="16" t="n"/>
      <c r="Q692" s="17" t="n"/>
      <c r="R692" s="116">
        <f>IF(O692="","",IFS(O681=O692,IF('DADOS_INVOC'!$RA$5&gt;=1,"Livre","Aberta"),P681=O692,IF('DADOS_INVOC'!$RA$5&gt;=2,"Livre","Aberta"),Q681=O692,IF('DADOS_INVOC'!$RA$5&gt;=7,"Livre","Aberta"),R681=O692,IF('DADOS_INVOC'!$RA$5&gt;=8,"Livre","Aberta"),S681=O692,IF('DADOS_INVOC'!$RA$5&gt;=9,"Livre","Aberta"),O683=O692,IF('DADOS_INVOC'!$RA$5&gt;=3,"Livre","Aberta"),P683=O692,IF('DADOS_INVOC'!$RA$5&gt;=4,"Livre","Aberta"),Q683=O692,IF('DADOS_INVOC'!$RA$5&gt;=5,"Livre","Aberta"),R683=O692,IF('DADOS_INVOC'!$RA$5&gt;=6,"Livre","Aberta"),TRUE,"Não escolhida"))</f>
        <v/>
      </c>
      <c r="S692" s="17" t="n"/>
      <c r="AH692" s="116">
        <f>'DADOS_CRIACAO'!$H$16</f>
        <v/>
      </c>
      <c r="AI692" s="16" t="n"/>
      <c r="AJ692" s="17" t="n"/>
      <c r="AK692" s="116">
        <f>IF(AH692="","",IFS(AH681=AH692,IF('DADOS_INVOC'!$RA$11&gt;=1,"Livre","Aberta"),AI681=AH692,IF('DADOS_INVOC'!$RA$11&gt;=2,"Livre","Aberta"),AJ681=AH692,IF('DADOS_INVOC'!$RA$11&gt;=7,"Livre","Aberta"),AK681=AH692,IF('DADOS_INVOC'!$RA$11&gt;=8,"Livre","Aberta"),AL681=AH692,IF('DADOS_INVOC'!$RA$11&gt;=9,"Livre","Aberta"),AH683=AH692,IF('DADOS_INVOC'!$RA$11&gt;=3,"Livre","Aberta"),AI683=AH692,IF('DADOS_INVOC'!$RA$11&gt;=4,"Livre","Aberta"),AJ683=AH692,IF('DADOS_INVOC'!$RA$11&gt;=5,"Livre","Aberta"),AK683=AH692,IF('DADOS_INVOC'!$RA$11&gt;=6,"Livre","Aberta"),TRUE,"Não escolhida"))</f>
        <v/>
      </c>
      <c r="AL692" s="17" t="n"/>
    </row>
    <row r="693" hidden="1" outlineLevel="2" ht="18.75" customHeight="1">
      <c r="O693" s="116">
        <f>'DADOS_CRIACAO'!$H$17</f>
        <v/>
      </c>
      <c r="P693" s="16" t="n"/>
      <c r="Q693" s="17" t="n"/>
      <c r="R693" s="116">
        <f>IF(O693="","",IFS(O681=O693,IF('DADOS_INVOC'!$RA$5&gt;=1,"Livre","Aberta"),P681=O693,IF('DADOS_INVOC'!$RA$5&gt;=2,"Livre","Aberta"),Q681=O693,IF('DADOS_INVOC'!$RA$5&gt;=7,"Livre","Aberta"),R681=O693,IF('DADOS_INVOC'!$RA$5&gt;=8,"Livre","Aberta"),S681=O693,IF('DADOS_INVOC'!$RA$5&gt;=9,"Livre","Aberta"),O683=O693,IF('DADOS_INVOC'!$RA$5&gt;=3,"Livre","Aberta"),P683=O693,IF('DADOS_INVOC'!$RA$5&gt;=4,"Livre","Aberta"),Q683=O693,IF('DADOS_INVOC'!$RA$5&gt;=5,"Livre","Aberta"),R683=O693,IF('DADOS_INVOC'!$RA$5&gt;=6,"Livre","Aberta"),TRUE,"Não escolhida"))</f>
        <v/>
      </c>
      <c r="S693" s="17" t="n"/>
      <c r="AH693" s="116">
        <f>'DADOS_CRIACAO'!$H$17</f>
        <v/>
      </c>
      <c r="AI693" s="16" t="n"/>
      <c r="AJ693" s="17" t="n"/>
      <c r="AK693" s="116">
        <f>IF(AH693="","",IFS(AH681=AH693,IF('DADOS_INVOC'!$RA$11&gt;=1,"Livre","Aberta"),AI681=AH693,IF('DADOS_INVOC'!$RA$11&gt;=2,"Livre","Aberta"),AJ681=AH693,IF('DADOS_INVOC'!$RA$11&gt;=7,"Livre","Aberta"),AK681=AH693,IF('DADOS_INVOC'!$RA$11&gt;=8,"Livre","Aberta"),AL681=AH693,IF('DADOS_INVOC'!$RA$11&gt;=9,"Livre","Aberta"),AH683=AH693,IF('DADOS_INVOC'!$RA$11&gt;=3,"Livre","Aberta"),AI683=AH693,IF('DADOS_INVOC'!$RA$11&gt;=4,"Livre","Aberta"),AJ683=AH693,IF('DADOS_INVOC'!$RA$11&gt;=5,"Livre","Aberta"),AK683=AH693,IF('DADOS_INVOC'!$RA$11&gt;=6,"Livre","Aberta"),TRUE,"Não escolhida"))</f>
        <v/>
      </c>
      <c r="AL693" s="17" t="n"/>
    </row>
    <row r="694" hidden="1" outlineLevel="2" ht="18.75" customHeight="1">
      <c r="O694" s="116">
        <f>'DADOS_CRIACAO'!$H$18</f>
        <v/>
      </c>
      <c r="P694" s="16" t="n"/>
      <c r="Q694" s="17" t="n"/>
      <c r="R694" s="116">
        <f>IF(O694="","",IFS(O681=O694,IF('DADOS_INVOC'!$RA$5&gt;=1,"Livre","Aberta"),P681=O694,IF('DADOS_INVOC'!$RA$5&gt;=2,"Livre","Aberta"),Q681=O694,IF('DADOS_INVOC'!$RA$5&gt;=7,"Livre","Aberta"),R681=O694,IF('DADOS_INVOC'!$RA$5&gt;=8,"Livre","Aberta"),S681=O694,IF('DADOS_INVOC'!$RA$5&gt;=9,"Livre","Aberta"),O683=O694,IF('DADOS_INVOC'!$RA$5&gt;=3,"Livre","Aberta"),P683=O694,IF('DADOS_INVOC'!$RA$5&gt;=4,"Livre","Aberta"),Q683=O694,IF('DADOS_INVOC'!$RA$5&gt;=5,"Livre","Aberta"),R683=O694,IF('DADOS_INVOC'!$RA$5&gt;=6,"Livre","Aberta"),TRUE,"Não escolhida"))</f>
        <v/>
      </c>
      <c r="S694" s="17" t="n"/>
      <c r="AH694" s="116">
        <f>'DADOS_CRIACAO'!$H$18</f>
        <v/>
      </c>
      <c r="AI694" s="16" t="n"/>
      <c r="AJ694" s="17" t="n"/>
      <c r="AK694" s="116">
        <f>IF(AH694="","",IFS(AH681=AH694,IF('DADOS_INVOC'!$RA$11&gt;=1,"Livre","Aberta"),AI681=AH694,IF('DADOS_INVOC'!$RA$11&gt;=2,"Livre","Aberta"),AJ681=AH694,IF('DADOS_INVOC'!$RA$11&gt;=7,"Livre","Aberta"),AK681=AH694,IF('DADOS_INVOC'!$RA$11&gt;=8,"Livre","Aberta"),AL681=AH694,IF('DADOS_INVOC'!$RA$11&gt;=9,"Livre","Aberta"),AH683=AH694,IF('DADOS_INVOC'!$RA$11&gt;=3,"Livre","Aberta"),AI683=AH694,IF('DADOS_INVOC'!$RA$11&gt;=4,"Livre","Aberta"),AJ683=AH694,IF('DADOS_INVOC'!$RA$11&gt;=5,"Livre","Aberta"),AK683=AH694,IF('DADOS_INVOC'!$RA$11&gt;=6,"Livre","Aberta"),TRUE,"Não escolhida"))</f>
        <v/>
      </c>
      <c r="AL694" s="17" t="n"/>
    </row>
    <row r="695" hidden="1" outlineLevel="2" ht="18.75" customHeight="1">
      <c r="O695" s="116">
        <f>'DADOS_CRIACAO'!$H$19</f>
        <v/>
      </c>
      <c r="P695" s="16" t="n"/>
      <c r="Q695" s="17" t="n"/>
      <c r="R695" s="116">
        <f>IF(O695="","",IFS(O681=O695,IF('DADOS_INVOC'!$RA$5&gt;=1,"Livre","Aberta"),P681=O695,IF('DADOS_INVOC'!$RA$5&gt;=2,"Livre","Aberta"),Q681=O695,IF('DADOS_INVOC'!$RA$5&gt;=7,"Livre","Aberta"),R681=O695,IF('DADOS_INVOC'!$RA$5&gt;=8,"Livre","Aberta"),S681=O695,IF('DADOS_INVOC'!$RA$5&gt;=9,"Livre","Aberta"),O683=O695,IF('DADOS_INVOC'!$RA$5&gt;=3,"Livre","Aberta"),P683=O695,IF('DADOS_INVOC'!$RA$5&gt;=4,"Livre","Aberta"),Q683=O695,IF('DADOS_INVOC'!$RA$5&gt;=5,"Livre","Aberta"),R683=O695,IF('DADOS_INVOC'!$RA$5&gt;=6,"Livre","Aberta"),TRUE,"Não escolhida"))</f>
        <v/>
      </c>
      <c r="S695" s="17" t="n"/>
      <c r="AH695" s="116">
        <f>'DADOS_CRIACAO'!$H$19</f>
        <v/>
      </c>
      <c r="AI695" s="16" t="n"/>
      <c r="AJ695" s="17" t="n"/>
      <c r="AK695" s="116">
        <f>IF(AH695="","",IFS(AH681=AH695,IF('DADOS_INVOC'!$RA$11&gt;=1,"Livre","Aberta"),AI681=AH695,IF('DADOS_INVOC'!$RA$11&gt;=2,"Livre","Aberta"),AJ681=AH695,IF('DADOS_INVOC'!$RA$11&gt;=7,"Livre","Aberta"),AK681=AH695,IF('DADOS_INVOC'!$RA$11&gt;=8,"Livre","Aberta"),AL681=AH695,IF('DADOS_INVOC'!$RA$11&gt;=9,"Livre","Aberta"),AH683=AH695,IF('DADOS_INVOC'!$RA$11&gt;=3,"Livre","Aberta"),AI683=AH695,IF('DADOS_INVOC'!$RA$11&gt;=4,"Livre","Aberta"),AJ683=AH695,IF('DADOS_INVOC'!$RA$11&gt;=5,"Livre","Aberta"),AK683=AH695,IF('DADOS_INVOC'!$RA$11&gt;=6,"Livre","Aberta"),TRUE,"Não escolhida"))</f>
        <v/>
      </c>
      <c r="AL695" s="17" t="n"/>
    </row>
    <row r="696" hidden="1" outlineLevel="2" ht="18.75" customHeight="1">
      <c r="O696" s="116">
        <f>'DADOS_CRIACAO'!$H$20</f>
        <v/>
      </c>
      <c r="P696" s="16" t="n"/>
      <c r="Q696" s="17" t="n"/>
      <c r="R696" s="116">
        <f>IF(O696="","",IFS(O681=O696,IF('DADOS_INVOC'!$RA$5&gt;=1,"Livre","Aberta"),P681=O696,IF('DADOS_INVOC'!$RA$5&gt;=2,"Livre","Aberta"),Q681=O696,IF('DADOS_INVOC'!$RA$5&gt;=7,"Livre","Aberta"),R681=O696,IF('DADOS_INVOC'!$RA$5&gt;=8,"Livre","Aberta"),S681=O696,IF('DADOS_INVOC'!$RA$5&gt;=9,"Livre","Aberta"),O683=O696,IF('DADOS_INVOC'!$RA$5&gt;=3,"Livre","Aberta"),P683=O696,IF('DADOS_INVOC'!$RA$5&gt;=4,"Livre","Aberta"),Q683=O696,IF('DADOS_INVOC'!$RA$5&gt;=5,"Livre","Aberta"),R683=O696,IF('DADOS_INVOC'!$RA$5&gt;=6,"Livre","Aberta"),TRUE,"Não escolhida"))</f>
        <v/>
      </c>
      <c r="S696" s="17" t="n"/>
      <c r="AH696" s="116">
        <f>'DADOS_CRIACAO'!$H$20</f>
        <v/>
      </c>
      <c r="AI696" s="16" t="n"/>
      <c r="AJ696" s="17" t="n"/>
      <c r="AK696" s="116">
        <f>IF(AH696="","",IFS(AH681=AH696,IF('DADOS_INVOC'!$RA$11&gt;=1,"Livre","Aberta"),AI681=AH696,IF('DADOS_INVOC'!$RA$11&gt;=2,"Livre","Aberta"),AJ681=AH696,IF('DADOS_INVOC'!$RA$11&gt;=7,"Livre","Aberta"),AK681=AH696,IF('DADOS_INVOC'!$RA$11&gt;=8,"Livre","Aberta"),AL681=AH696,IF('DADOS_INVOC'!$RA$11&gt;=9,"Livre","Aberta"),AH683=AH696,IF('DADOS_INVOC'!$RA$11&gt;=3,"Livre","Aberta"),AI683=AH696,IF('DADOS_INVOC'!$RA$11&gt;=4,"Livre","Aberta"),AJ683=AH696,IF('DADOS_INVOC'!$RA$11&gt;=5,"Livre","Aberta"),AK683=AH696,IF('DADOS_INVOC'!$RA$11&gt;=6,"Livre","Aberta"),TRUE,"Não escolhida"))</f>
        <v/>
      </c>
      <c r="AL696" s="17" t="n"/>
    </row>
    <row r="697" hidden="1" outlineLevel="2" ht="18.75" customHeight="1"/>
    <row r="698" hidden="1" outlineLevel="1">
      <c r="A698" s="8" t="n"/>
      <c r="B698" s="14" t="n"/>
      <c r="C698" s="137" t="n"/>
      <c r="D698" s="137" t="n"/>
      <c r="E698" s="137" t="n"/>
      <c r="F698" s="137" t="n"/>
      <c r="G698" s="137" t="n"/>
      <c r="I698" s="56" t="inlineStr">
        <is>
          <t>DEFINIÇÃO</t>
        </is>
      </c>
      <c r="J698" s="16" t="n"/>
      <c r="K698" s="16" t="n"/>
      <c r="L698" s="16" t="n"/>
      <c r="M698" s="16" t="n"/>
      <c r="N698" s="16" t="n"/>
      <c r="O698" s="16" t="n"/>
      <c r="P698" s="16" t="n"/>
      <c r="Q698" s="16" t="n"/>
      <c r="R698" s="16" t="n"/>
      <c r="S698" s="16" t="n"/>
      <c r="T698" s="16" t="n"/>
      <c r="U698" s="16" t="n"/>
      <c r="V698" s="16" t="n"/>
      <c r="W698" s="16" t="n"/>
      <c r="X698" s="16" t="n"/>
      <c r="Y698" s="17" t="n"/>
      <c r="Z698" s="137" t="n"/>
      <c r="AB698" s="56" t="inlineStr">
        <is>
          <t>DEFINIÇÃO</t>
        </is>
      </c>
      <c r="AC698" s="16" t="n"/>
      <c r="AD698" s="16" t="n"/>
      <c r="AE698" s="16" t="n"/>
      <c r="AF698" s="16" t="n"/>
      <c r="AG698" s="16" t="n"/>
      <c r="AH698" s="16" t="n"/>
      <c r="AI698" s="16" t="n"/>
      <c r="AJ698" s="16" t="n"/>
      <c r="AK698" s="16" t="n"/>
      <c r="AL698" s="16" t="n"/>
      <c r="AM698" s="16" t="n"/>
      <c r="AN698" s="16" t="n"/>
      <c r="AO698" s="16" t="n"/>
      <c r="AP698" s="16" t="n"/>
      <c r="AQ698" s="16" t="n"/>
      <c r="AR698" s="17" t="n"/>
      <c r="AS698" s="137" t="n"/>
    </row>
    <row r="699" hidden="1" outlineLevel="1">
      <c r="A699" s="8" t="n"/>
      <c r="B699" s="14" t="n"/>
      <c r="C699" s="137" t="n"/>
      <c r="D699" s="137" t="n"/>
      <c r="E699" s="137" t="n"/>
      <c r="F699" s="137" t="n"/>
      <c r="G699" s="137" t="n"/>
      <c r="I699" s="61" t="n"/>
      <c r="J699" s="19" t="n"/>
      <c r="K699" s="19" t="n"/>
      <c r="L699" s="19" t="n"/>
      <c r="M699" s="19" t="n"/>
      <c r="N699" s="19" t="n"/>
      <c r="O699" s="19" t="n"/>
      <c r="P699" s="19" t="n"/>
      <c r="Q699" s="19" t="n"/>
      <c r="R699" s="19" t="n"/>
      <c r="S699" s="19" t="n"/>
      <c r="T699" s="19" t="n"/>
      <c r="U699" s="19" t="n"/>
      <c r="V699" s="19" t="n"/>
      <c r="W699" s="19" t="n"/>
      <c r="X699" s="19" t="n"/>
      <c r="Y699" s="20" t="n"/>
      <c r="Z699" s="137" t="n"/>
      <c r="AB699" s="61" t="n"/>
      <c r="AC699" s="19" t="n"/>
      <c r="AD699" s="19" t="n"/>
      <c r="AE699" s="19" t="n"/>
      <c r="AF699" s="19" t="n"/>
      <c r="AG699" s="19" t="n"/>
      <c r="AH699" s="19" t="n"/>
      <c r="AI699" s="19" t="n"/>
      <c r="AJ699" s="19" t="n"/>
      <c r="AK699" s="19" t="n"/>
      <c r="AL699" s="19" t="n"/>
      <c r="AM699" s="19" t="n"/>
      <c r="AN699" s="19" t="n"/>
      <c r="AO699" s="19" t="n"/>
      <c r="AP699" s="19" t="n"/>
      <c r="AQ699" s="19" t="n"/>
      <c r="AR699" s="20" t="n"/>
      <c r="AS699" s="137" t="n"/>
    </row>
    <row r="700" hidden="1" outlineLevel="1">
      <c r="A700" s="8" t="n"/>
      <c r="B700" s="14" t="n"/>
      <c r="C700" s="137" t="n"/>
      <c r="D700" s="137" t="n"/>
      <c r="E700" s="137" t="n"/>
      <c r="F700" s="137" t="n"/>
      <c r="G700" s="137" t="n"/>
      <c r="I700" s="23" t="n"/>
      <c r="J700" s="24" t="n"/>
      <c r="K700" s="24" t="n"/>
      <c r="L700" s="24" t="n"/>
      <c r="M700" s="24" t="n"/>
      <c r="N700" s="24" t="n"/>
      <c r="O700" s="24" t="n"/>
      <c r="P700" s="24" t="n"/>
      <c r="Q700" s="24" t="n"/>
      <c r="R700" s="24" t="n"/>
      <c r="S700" s="24" t="n"/>
      <c r="T700" s="24" t="n"/>
      <c r="U700" s="24" t="n"/>
      <c r="V700" s="24" t="n"/>
      <c r="W700" s="24" t="n"/>
      <c r="X700" s="24" t="n"/>
      <c r="Y700" s="25" t="n"/>
      <c r="Z700" s="137" t="n"/>
      <c r="AB700" s="23" t="n"/>
      <c r="AC700" s="24" t="n"/>
      <c r="AD700" s="24" t="n"/>
      <c r="AE700" s="24" t="n"/>
      <c r="AF700" s="24" t="n"/>
      <c r="AG700" s="24" t="n"/>
      <c r="AH700" s="24" t="n"/>
      <c r="AI700" s="24" t="n"/>
      <c r="AJ700" s="24" t="n"/>
      <c r="AK700" s="24" t="n"/>
      <c r="AL700" s="24" t="n"/>
      <c r="AM700" s="24" t="n"/>
      <c r="AN700" s="24" t="n"/>
      <c r="AO700" s="24" t="n"/>
      <c r="AP700" s="24" t="n"/>
      <c r="AQ700" s="24" t="n"/>
      <c r="AR700" s="25" t="n"/>
      <c r="AS700" s="137" t="n"/>
    </row>
    <row r="701" hidden="1" outlineLevel="1">
      <c r="A701" s="8" t="n"/>
      <c r="B701" s="14" t="n"/>
      <c r="C701" s="137" t="n"/>
      <c r="D701" s="137" t="n"/>
      <c r="E701" s="137" t="n"/>
      <c r="F701" s="137" t="n"/>
      <c r="G701" s="137" t="n"/>
      <c r="I701" s="146">
        <f>DADOS_INVOC!$IE$5</f>
        <v/>
      </c>
      <c r="J701" s="16" t="n"/>
      <c r="K701" s="16" t="n"/>
      <c r="L701" s="16" t="n"/>
      <c r="M701" s="16" t="n"/>
      <c r="N701" s="16" t="n"/>
      <c r="O701" s="16" t="n"/>
      <c r="P701" s="16" t="n"/>
      <c r="Q701" s="16" t="n"/>
      <c r="R701" s="16" t="n"/>
      <c r="S701" s="16" t="n"/>
      <c r="T701" s="16" t="n"/>
      <c r="U701" s="16" t="n"/>
      <c r="V701" s="16" t="n"/>
      <c r="W701" s="16" t="n"/>
      <c r="X701" s="16" t="n"/>
      <c r="Y701" s="17" t="n"/>
      <c r="Z701" s="137" t="n"/>
      <c r="AB701" s="146">
        <f>DADOS_INVOC!$IE$11</f>
        <v/>
      </c>
      <c r="AC701" s="16" t="n"/>
      <c r="AD701" s="16" t="n"/>
      <c r="AE701" s="16" t="n"/>
      <c r="AF701" s="16" t="n"/>
      <c r="AG701" s="16" t="n"/>
      <c r="AH701" s="16" t="n"/>
      <c r="AI701" s="16" t="n"/>
      <c r="AJ701" s="16" t="n"/>
      <c r="AK701" s="16" t="n"/>
      <c r="AL701" s="16" t="n"/>
      <c r="AM701" s="16" t="n"/>
      <c r="AN701" s="16" t="n"/>
      <c r="AO701" s="16" t="n"/>
      <c r="AP701" s="16" t="n"/>
      <c r="AQ701" s="16" t="n"/>
      <c r="AR701" s="17" t="n"/>
      <c r="AS701" s="137" t="n"/>
    </row>
    <row r="702" hidden="1" outlineLevel="1">
      <c r="A702" s="8" t="n"/>
      <c r="B702" s="14" t="n"/>
      <c r="C702" s="137" t="n"/>
      <c r="D702" s="137" t="n"/>
      <c r="E702" s="137" t="n"/>
      <c r="F702" s="137" t="n"/>
      <c r="G702" s="137" t="n"/>
      <c r="I702" s="137" t="n"/>
      <c r="J702" s="137" t="n"/>
      <c r="K702" s="137" t="n"/>
      <c r="L702" s="137" t="n"/>
      <c r="M702" s="137" t="n"/>
      <c r="N702" s="137" t="n"/>
      <c r="O702" s="137" t="n"/>
      <c r="P702" s="137" t="n"/>
      <c r="Q702" s="137" t="n"/>
      <c r="R702" s="137" t="n"/>
      <c r="S702" s="137" t="n"/>
      <c r="T702" s="137" t="n"/>
      <c r="U702" s="137" t="n"/>
      <c r="V702" s="137" t="n"/>
      <c r="W702" s="137" t="n"/>
      <c r="X702" s="137" t="n"/>
      <c r="Y702" s="137" t="n"/>
      <c r="Z702" s="137" t="n"/>
      <c r="AB702" s="137" t="n"/>
      <c r="AC702" s="137" t="n"/>
      <c r="AD702" s="137" t="n"/>
      <c r="AE702" s="137" t="n"/>
      <c r="AF702" s="137" t="n"/>
      <c r="AG702" s="137" t="n"/>
      <c r="AH702" s="137" t="n"/>
      <c r="AI702" s="137" t="n"/>
      <c r="AJ702" s="137" t="n"/>
      <c r="AK702" s="137" t="n"/>
      <c r="AL702" s="137" t="n"/>
      <c r="AM702" s="137" t="n"/>
      <c r="AN702" s="137" t="n"/>
      <c r="AO702" s="137" t="n"/>
      <c r="AP702" s="137" t="n"/>
      <c r="AQ702" s="137" t="n"/>
      <c r="AR702" s="137" t="n"/>
      <c r="AS702" s="137" t="n"/>
    </row>
    <row r="703" hidden="1" outlineLevel="1">
      <c r="A703" s="8" t="n"/>
      <c r="B703" s="14" t="n"/>
      <c r="C703" s="137" t="n"/>
      <c r="D703" s="137" t="n"/>
      <c r="E703" s="137" t="n"/>
      <c r="F703" s="137" t="n"/>
      <c r="G703" s="137" t="n"/>
      <c r="I703" s="56">
        <f>DADOS_INVOC!$PZ$41</f>
        <v/>
      </c>
      <c r="J703" s="16" t="n"/>
      <c r="K703" s="16" t="n"/>
      <c r="L703" s="16" t="n"/>
      <c r="M703" s="17" t="n"/>
      <c r="N703" s="137" t="n"/>
      <c r="O703" s="56">
        <f>DADOS_INVOC!$PZ$42</f>
        <v/>
      </c>
      <c r="P703" s="16" t="n"/>
      <c r="Q703" s="16" t="n"/>
      <c r="R703" s="16" t="n"/>
      <c r="S703" s="17" t="n"/>
      <c r="T703" s="137" t="n"/>
      <c r="U703" s="56">
        <f>DADOS_INVOC!$PZ$43</f>
        <v/>
      </c>
      <c r="V703" s="16" t="n"/>
      <c r="W703" s="16" t="n"/>
      <c r="X703" s="16" t="n"/>
      <c r="Y703" s="17" t="n"/>
      <c r="Z703" s="137" t="n"/>
      <c r="AB703" s="56">
        <f>DADOS_INVOC!$PZ$119</f>
        <v/>
      </c>
      <c r="AC703" s="16" t="n"/>
      <c r="AD703" s="16" t="n"/>
      <c r="AE703" s="16" t="n"/>
      <c r="AF703" s="17" t="n"/>
      <c r="AG703" s="137" t="n"/>
      <c r="AH703" s="56">
        <f>DADOS_INVOC!$PZ$120</f>
        <v/>
      </c>
      <c r="AI703" s="16" t="n"/>
      <c r="AJ703" s="16" t="n"/>
      <c r="AK703" s="16" t="n"/>
      <c r="AL703" s="17" t="n"/>
      <c r="AM703" s="137" t="n"/>
      <c r="AN703" s="56">
        <f>DADOS_INVOC!$PZ$121</f>
        <v/>
      </c>
      <c r="AO703" s="16" t="n"/>
      <c r="AP703" s="16" t="n"/>
      <c r="AQ703" s="16" t="n"/>
      <c r="AR703" s="17" t="n"/>
      <c r="AS703" s="137" t="n"/>
    </row>
    <row r="704" hidden="1" outlineLevel="1">
      <c r="A704" s="8" t="n"/>
      <c r="B704" s="14" t="n"/>
      <c r="C704" s="137" t="n"/>
      <c r="D704" s="137" t="n"/>
      <c r="E704" s="137" t="n"/>
      <c r="F704" s="137" t="n"/>
      <c r="G704" s="137" t="n"/>
      <c r="I704" s="141" t="n">
        <v>0</v>
      </c>
      <c r="J704" s="131" t="n"/>
      <c r="K704" s="16" t="n"/>
      <c r="L704" s="17" t="n"/>
      <c r="M704" s="142">
        <f>DADOS_INVOC!$PX$41</f>
        <v/>
      </c>
      <c r="N704" s="137" t="n"/>
      <c r="O704" s="141" t="n">
        <v>1</v>
      </c>
      <c r="P704" s="131" t="n"/>
      <c r="Q704" s="16" t="n"/>
      <c r="R704" s="17" t="n"/>
      <c r="S704" s="142">
        <f>DADOS_INVOC!$PX$42</f>
        <v/>
      </c>
      <c r="T704" s="137" t="n"/>
      <c r="U704" s="141" t="n">
        <v>1</v>
      </c>
      <c r="V704" s="131" t="n"/>
      <c r="W704" s="16" t="n"/>
      <c r="X704" s="17" t="n"/>
      <c r="Y704" s="142">
        <f>DADOS_INVOC!$PX$43</f>
        <v/>
      </c>
      <c r="Z704" s="137" t="n"/>
      <c r="AB704" s="141" t="n">
        <v>0</v>
      </c>
      <c r="AC704" s="131" t="n"/>
      <c r="AD704" s="16" t="n"/>
      <c r="AE704" s="17" t="n"/>
      <c r="AF704" s="142">
        <f>DADOS_INVOC!$PX$119</f>
        <v/>
      </c>
      <c r="AG704" s="137" t="n"/>
      <c r="AH704" s="141" t="n">
        <v>1</v>
      </c>
      <c r="AI704" s="131" t="n"/>
      <c r="AJ704" s="16" t="n"/>
      <c r="AK704" s="17" t="n"/>
      <c r="AL704" s="142">
        <f>DADOS_INVOC!$PX$120</f>
        <v/>
      </c>
      <c r="AM704" s="137" t="n"/>
      <c r="AN704" s="141" t="n">
        <v>1</v>
      </c>
      <c r="AO704" s="131" t="n"/>
      <c r="AP704" s="16" t="n"/>
      <c r="AQ704" s="17" t="n"/>
      <c r="AR704" s="142">
        <f>DADOS_INVOC!$PX$121</f>
        <v/>
      </c>
      <c r="AS704" s="137" t="n"/>
    </row>
    <row r="705" hidden="1" outlineLevel="2">
      <c r="A705" s="8" t="n"/>
      <c r="B705" s="14" t="n"/>
      <c r="C705" s="137" t="n"/>
      <c r="D705" s="137" t="n"/>
      <c r="E705" s="137" t="n"/>
      <c r="F705" s="137" t="n"/>
      <c r="G705" s="137" t="n"/>
      <c r="I705" s="56" t="inlineStr">
        <is>
          <t>COMO É</t>
        </is>
      </c>
      <c r="J705" s="16" t="n"/>
      <c r="K705" s="16" t="n"/>
      <c r="L705" s="16" t="n"/>
      <c r="M705" s="17" t="n"/>
      <c r="N705" s="137" t="n"/>
      <c r="O705" s="56" t="inlineStr">
        <is>
          <t>COMO É</t>
        </is>
      </c>
      <c r="P705" s="16" t="n"/>
      <c r="Q705" s="16" t="n"/>
      <c r="R705" s="16" t="n"/>
      <c r="S705" s="17" t="n"/>
      <c r="T705" s="137" t="n"/>
      <c r="U705" s="56" t="inlineStr">
        <is>
          <t>COMO É</t>
        </is>
      </c>
      <c r="V705" s="16" t="n"/>
      <c r="W705" s="16" t="n"/>
      <c r="X705" s="16" t="n"/>
      <c r="Y705" s="17" t="n"/>
      <c r="Z705" s="137" t="n"/>
      <c r="AB705" s="56" t="inlineStr">
        <is>
          <t>COMO É</t>
        </is>
      </c>
      <c r="AC705" s="16" t="n"/>
      <c r="AD705" s="16" t="n"/>
      <c r="AE705" s="16" t="n"/>
      <c r="AF705" s="17" t="n"/>
      <c r="AG705" s="137" t="n"/>
      <c r="AH705" s="56" t="inlineStr">
        <is>
          <t>COMO É</t>
        </is>
      </c>
      <c r="AI705" s="16" t="n"/>
      <c r="AJ705" s="16" t="n"/>
      <c r="AK705" s="16" t="n"/>
      <c r="AL705" s="17" t="n"/>
      <c r="AM705" s="137" t="n"/>
      <c r="AN705" s="56" t="inlineStr">
        <is>
          <t>COMO É</t>
        </is>
      </c>
      <c r="AO705" s="16" t="n"/>
      <c r="AP705" s="16" t="n"/>
      <c r="AQ705" s="16" t="n"/>
      <c r="AR705" s="17" t="n"/>
      <c r="AS705" s="137" t="n"/>
    </row>
    <row r="706" hidden="1" outlineLevel="2">
      <c r="A706" s="8" t="n"/>
      <c r="B706" s="14" t="n"/>
      <c r="C706" s="137" t="n"/>
      <c r="D706" s="137" t="n"/>
      <c r="E706" s="137" t="n"/>
      <c r="F706" s="137" t="n"/>
      <c r="G706" s="137" t="n"/>
      <c r="I706" s="61" t="n"/>
      <c r="J706" s="19" t="n"/>
      <c r="K706" s="19" t="n"/>
      <c r="L706" s="19" t="n"/>
      <c r="M706" s="20" t="n"/>
      <c r="N706" s="137" t="n"/>
      <c r="O706" s="61" t="n"/>
      <c r="P706" s="19" t="n"/>
      <c r="Q706" s="19" t="n"/>
      <c r="R706" s="19" t="n"/>
      <c r="S706" s="20" t="n"/>
      <c r="T706" s="137" t="n"/>
      <c r="U706" s="61" t="n"/>
      <c r="V706" s="19" t="n"/>
      <c r="W706" s="19" t="n"/>
      <c r="X706" s="19" t="n"/>
      <c r="Y706" s="20" t="n"/>
      <c r="Z706" s="137" t="n"/>
      <c r="AB706" s="61" t="n"/>
      <c r="AC706" s="19" t="n"/>
      <c r="AD706" s="19" t="n"/>
      <c r="AE706" s="19" t="n"/>
      <c r="AF706" s="20" t="n"/>
      <c r="AG706" s="137" t="n"/>
      <c r="AH706" s="61" t="n"/>
      <c r="AI706" s="19" t="n"/>
      <c r="AJ706" s="19" t="n"/>
      <c r="AK706" s="19" t="n"/>
      <c r="AL706" s="20" t="n"/>
      <c r="AM706" s="137" t="n"/>
      <c r="AN706" s="61" t="n"/>
      <c r="AO706" s="19" t="n"/>
      <c r="AP706" s="19" t="n"/>
      <c r="AQ706" s="19" t="n"/>
      <c r="AR706" s="20" t="n"/>
      <c r="AS706" s="137" t="n"/>
    </row>
    <row r="707" hidden="1" outlineLevel="2">
      <c r="A707" s="8" t="n"/>
      <c r="B707" s="14" t="n"/>
      <c r="C707" s="137" t="n"/>
      <c r="D707" s="137" t="n"/>
      <c r="E707" s="137" t="n"/>
      <c r="F707" s="137" t="n"/>
      <c r="G707" s="137" t="n"/>
      <c r="I707" s="21" t="n"/>
      <c r="M707" s="22" t="n"/>
      <c r="N707" s="137" t="n"/>
      <c r="O707" s="21" t="n"/>
      <c r="S707" s="22" t="n"/>
      <c r="T707" s="137" t="n"/>
      <c r="U707" s="21" t="n"/>
      <c r="Y707" s="22" t="n"/>
      <c r="Z707" s="137" t="n"/>
      <c r="AB707" s="21" t="n"/>
      <c r="AF707" s="22" t="n"/>
      <c r="AG707" s="137" t="n"/>
      <c r="AH707" s="21" t="n"/>
      <c r="AL707" s="22" t="n"/>
      <c r="AM707" s="137" t="n"/>
      <c r="AN707" s="21" t="n"/>
      <c r="AR707" s="22" t="n"/>
      <c r="AS707" s="137" t="n"/>
    </row>
    <row r="708" hidden="1" outlineLevel="2">
      <c r="A708" s="8" t="n"/>
      <c r="B708" s="14" t="n"/>
      <c r="C708" s="137" t="n"/>
      <c r="D708" s="137" t="n"/>
      <c r="E708" s="137" t="n"/>
      <c r="F708" s="137" t="n"/>
      <c r="G708" s="137" t="n"/>
      <c r="I708" s="23" t="n"/>
      <c r="J708" s="24" t="n"/>
      <c r="K708" s="24" t="n"/>
      <c r="L708" s="24" t="n"/>
      <c r="M708" s="25" t="n"/>
      <c r="N708" s="137" t="n"/>
      <c r="O708" s="23" t="n"/>
      <c r="P708" s="24" t="n"/>
      <c r="Q708" s="24" t="n"/>
      <c r="R708" s="24" t="n"/>
      <c r="S708" s="25" t="n"/>
      <c r="T708" s="137" t="n"/>
      <c r="U708" s="23" t="n"/>
      <c r="V708" s="24" t="n"/>
      <c r="W708" s="24" t="n"/>
      <c r="X708" s="24" t="n"/>
      <c r="Y708" s="25" t="n"/>
      <c r="Z708" s="137" t="n"/>
      <c r="AB708" s="23" t="n"/>
      <c r="AC708" s="24" t="n"/>
      <c r="AD708" s="24" t="n"/>
      <c r="AE708" s="24" t="n"/>
      <c r="AF708" s="25" t="n"/>
      <c r="AG708" s="137" t="n"/>
      <c r="AH708" s="23" t="n"/>
      <c r="AI708" s="24" t="n"/>
      <c r="AJ708" s="24" t="n"/>
      <c r="AK708" s="24" t="n"/>
      <c r="AL708" s="25" t="n"/>
      <c r="AM708" s="137" t="n"/>
      <c r="AN708" s="23" t="n"/>
      <c r="AO708" s="24" t="n"/>
      <c r="AP708" s="24" t="n"/>
      <c r="AQ708" s="24" t="n"/>
      <c r="AR708" s="25" t="n"/>
      <c r="AS708" s="137" t="n"/>
    </row>
    <row r="709" hidden="1" outlineLevel="1">
      <c r="A709" s="8" t="n"/>
      <c r="B709" s="14" t="n"/>
      <c r="C709" s="137" t="n"/>
      <c r="D709" s="137" t="n"/>
      <c r="E709" s="137" t="n"/>
      <c r="F709" s="137" t="n"/>
      <c r="G709" s="137" t="n"/>
      <c r="I709" s="95" t="inlineStr">
        <is>
          <t>Projétil</t>
        </is>
      </c>
      <c r="J709" s="17" t="n"/>
      <c r="K709" s="71">
        <f>DADOS_INVOC!$QE$41</f>
        <v/>
      </c>
      <c r="L709" s="17" t="n"/>
      <c r="M709" s="71">
        <f>DADOS_INVOC!$QA$41</f>
        <v/>
      </c>
      <c r="N709" s="137" t="n"/>
      <c r="O709" s="95" t="inlineStr">
        <is>
          <t>Projétil</t>
        </is>
      </c>
      <c r="P709" s="17" t="n"/>
      <c r="Q709" s="71">
        <f>DADOS_INVOC!$QE$42</f>
        <v/>
      </c>
      <c r="R709" s="17" t="n"/>
      <c r="S709" s="71">
        <f>DADOS_INVOC!$QA$42</f>
        <v/>
      </c>
      <c r="T709" s="137" t="n"/>
      <c r="U709" s="95" t="inlineStr">
        <is>
          <t>Projétil</t>
        </is>
      </c>
      <c r="V709" s="17" t="n"/>
      <c r="W709" s="71">
        <f>DADOS_INVOC!$QE$43</f>
        <v/>
      </c>
      <c r="X709" s="17" t="n"/>
      <c r="Y709" s="71">
        <f>DADOS_INVOC!$QA$43</f>
        <v/>
      </c>
      <c r="Z709" s="137" t="n"/>
      <c r="AB709" s="95" t="inlineStr">
        <is>
          <t>Projétil</t>
        </is>
      </c>
      <c r="AC709" s="17" t="n"/>
      <c r="AD709" s="71">
        <f>DADOS_INVOC!$QE$119</f>
        <v/>
      </c>
      <c r="AE709" s="17" t="n"/>
      <c r="AF709" s="71">
        <f>DADOS_INVOC!$QA$119</f>
        <v/>
      </c>
      <c r="AG709" s="137" t="n"/>
      <c r="AH709" s="95" t="inlineStr">
        <is>
          <t>Projétil</t>
        </is>
      </c>
      <c r="AI709" s="17" t="n"/>
      <c r="AJ709" s="71">
        <f>DADOS_INVOC!$QE$120</f>
        <v/>
      </c>
      <c r="AK709" s="17" t="n"/>
      <c r="AL709" s="71">
        <f>DADOS_INVOC!$QA$120</f>
        <v/>
      </c>
      <c r="AM709" s="137" t="n"/>
      <c r="AN709" s="95" t="inlineStr">
        <is>
          <t>Projétil</t>
        </is>
      </c>
      <c r="AO709" s="17" t="n"/>
      <c r="AP709" s="71">
        <f>DADOS_INVOC!$QE$121</f>
        <v/>
      </c>
      <c r="AQ709" s="17" t="n"/>
      <c r="AR709" s="71">
        <f>DADOS_INVOC!$QA$121</f>
        <v/>
      </c>
      <c r="AS709" s="137" t="n"/>
    </row>
    <row r="710" hidden="1" outlineLevel="1">
      <c r="A710" s="8" t="n"/>
      <c r="B710" s="14" t="n"/>
      <c r="C710" s="137" t="n"/>
      <c r="D710" s="137" t="n"/>
      <c r="E710" s="137" t="n"/>
      <c r="F710" s="137" t="n"/>
      <c r="G710" s="137" t="n"/>
      <c r="I710" s="95" t="n"/>
      <c r="J710" s="17" t="n"/>
      <c r="K710" s="95" t="n"/>
      <c r="L710" s="16" t="n"/>
      <c r="M710" s="17" t="n"/>
      <c r="N710" s="137" t="n"/>
      <c r="O710" s="95" t="n"/>
      <c r="P710" s="17" t="n"/>
      <c r="Q710" s="95" t="n"/>
      <c r="R710" s="16" t="n"/>
      <c r="S710" s="17" t="n"/>
      <c r="T710" s="137" t="n"/>
      <c r="U710" s="95" t="n"/>
      <c r="V710" s="17" t="n"/>
      <c r="W710" s="95" t="n"/>
      <c r="X710" s="16" t="n"/>
      <c r="Y710" s="17" t="n"/>
      <c r="Z710" s="137" t="n"/>
      <c r="AB710" s="95" t="n"/>
      <c r="AC710" s="17" t="n"/>
      <c r="AD710" s="95" t="n"/>
      <c r="AE710" s="16" t="n"/>
      <c r="AF710" s="17" t="n"/>
      <c r="AG710" s="137" t="n"/>
      <c r="AH710" s="95" t="n"/>
      <c r="AI710" s="17" t="n"/>
      <c r="AJ710" s="95" t="n"/>
      <c r="AK710" s="16" t="n"/>
      <c r="AL710" s="17" t="n"/>
      <c r="AM710" s="137" t="n"/>
      <c r="AN710" s="95" t="n"/>
      <c r="AO710" s="17" t="n"/>
      <c r="AP710" s="95" t="n"/>
      <c r="AQ710" s="16" t="n"/>
      <c r="AR710" s="17" t="n"/>
      <c r="AS710" s="137" t="n"/>
    </row>
    <row r="711" hidden="1" outlineLevel="1">
      <c r="A711" s="8" t="n"/>
      <c r="B711" s="14" t="n"/>
      <c r="C711" s="137" t="n"/>
      <c r="D711" s="137" t="n"/>
      <c r="E711" s="137" t="n"/>
      <c r="F711" s="137" t="n"/>
      <c r="G711" s="137" t="n"/>
      <c r="I711" s="95">
        <f>DADOS_INVOC!$QB$41</f>
        <v/>
      </c>
      <c r="J711" s="17" t="n"/>
      <c r="K711" s="95">
        <f>DADOS_INVOC!$QD$41</f>
        <v/>
      </c>
      <c r="L711" s="16" t="n"/>
      <c r="M711" s="17" t="n"/>
      <c r="N711" s="137" t="n"/>
      <c r="O711" s="95">
        <f>DADOS_INVOC!$QB$42</f>
        <v/>
      </c>
      <c r="P711" s="17" t="n"/>
      <c r="Q711" s="95">
        <f>DADOS_INVOC!$QD$42</f>
        <v/>
      </c>
      <c r="R711" s="16" t="n"/>
      <c r="S711" s="17" t="n"/>
      <c r="T711" s="137" t="n"/>
      <c r="U711" s="95">
        <f>DADOS_INVOC!$QB$43</f>
        <v/>
      </c>
      <c r="V711" s="17" t="n"/>
      <c r="W711" s="95">
        <f>DADOS_INVOC!$QD$43</f>
        <v/>
      </c>
      <c r="X711" s="16" t="n"/>
      <c r="Y711" s="17" t="n"/>
      <c r="Z711" s="137" t="n"/>
      <c r="AB711" s="95">
        <f>DADOS_INVOC!$QB$119</f>
        <v/>
      </c>
      <c r="AC711" s="17" t="n"/>
      <c r="AD711" s="95">
        <f>DADOS_INVOC!$QD$119</f>
        <v/>
      </c>
      <c r="AE711" s="16" t="n"/>
      <c r="AF711" s="17" t="n"/>
      <c r="AG711" s="137" t="n"/>
      <c r="AH711" s="95">
        <f>DADOS_INVOC!$QB$120</f>
        <v/>
      </c>
      <c r="AI711" s="17" t="n"/>
      <c r="AJ711" s="95">
        <f>DADOS_INVOC!$QD$120</f>
        <v/>
      </c>
      <c r="AK711" s="16" t="n"/>
      <c r="AL711" s="17" t="n"/>
      <c r="AM711" s="137" t="n"/>
      <c r="AN711" s="95">
        <f>DADOS_INVOC!$QB$121</f>
        <v/>
      </c>
      <c r="AO711" s="17" t="n"/>
      <c r="AP711" s="95">
        <f>DADOS_INVOC!$QD$121</f>
        <v/>
      </c>
      <c r="AQ711" s="16" t="n"/>
      <c r="AR711" s="17" t="n"/>
      <c r="AS711" s="137" t="n"/>
    </row>
    <row r="712" hidden="1" outlineLevel="1">
      <c r="A712" s="8" t="n"/>
      <c r="B712" s="14" t="n"/>
      <c r="C712" s="137" t="n"/>
      <c r="D712" s="137" t="n"/>
      <c r="E712" s="137" t="n"/>
      <c r="F712" s="137" t="n"/>
      <c r="G712" s="137" t="n"/>
      <c r="I712" s="143">
        <f>DADOS_INVOC!$QJ$41</f>
        <v/>
      </c>
      <c r="J712" s="16" t="n"/>
      <c r="K712" s="16" t="n"/>
      <c r="L712" s="16" t="n"/>
      <c r="M712" s="17" t="n"/>
      <c r="N712" s="137" t="n"/>
      <c r="O712" s="143">
        <f>DADOS_INVOC!$QJ$42</f>
        <v/>
      </c>
      <c r="P712" s="16" t="n"/>
      <c r="Q712" s="16" t="n"/>
      <c r="R712" s="16" t="n"/>
      <c r="S712" s="17" t="n"/>
      <c r="T712" s="137" t="n"/>
      <c r="U712" s="143">
        <f>DADOS_INVOC!$QJ$43</f>
        <v/>
      </c>
      <c r="V712" s="16" t="n"/>
      <c r="W712" s="16" t="n"/>
      <c r="X712" s="16" t="n"/>
      <c r="Y712" s="17" t="n"/>
      <c r="Z712" s="137" t="n"/>
      <c r="AB712" s="143">
        <f>DADOS_INVOC!$QJ$119</f>
        <v/>
      </c>
      <c r="AC712" s="16" t="n"/>
      <c r="AD712" s="16" t="n"/>
      <c r="AE712" s="16" t="n"/>
      <c r="AF712" s="17" t="n"/>
      <c r="AG712" s="137" t="n"/>
      <c r="AH712" s="143">
        <f>DADOS_INVOC!$QJ$120</f>
        <v/>
      </c>
      <c r="AI712" s="16" t="n"/>
      <c r="AJ712" s="16" t="n"/>
      <c r="AK712" s="16" t="n"/>
      <c r="AL712" s="17" t="n"/>
      <c r="AM712" s="137" t="n"/>
      <c r="AN712" s="143">
        <f>DADOS_INVOC!$QJ$121</f>
        <v/>
      </c>
      <c r="AO712" s="16" t="n"/>
      <c r="AP712" s="16" t="n"/>
      <c r="AQ712" s="16" t="n"/>
      <c r="AR712" s="17" t="n"/>
      <c r="AS712" s="137" t="n"/>
    </row>
    <row r="713" hidden="1" outlineLevel="2">
      <c r="A713" s="8" t="n"/>
      <c r="B713" s="14" t="n"/>
      <c r="C713" s="137" t="n"/>
      <c r="D713" s="137" t="n"/>
      <c r="E713" s="137" t="n"/>
      <c r="F713" s="137" t="n"/>
      <c r="G713" s="137" t="n"/>
      <c r="I713" s="56" t="inlineStr">
        <is>
          <t>MELHORIAS</t>
        </is>
      </c>
      <c r="J713" s="144" t="n"/>
      <c r="K713" s="16" t="n"/>
      <c r="L713" s="17" t="n"/>
      <c r="M713" s="143">
        <f>DADOS_INVOC!$QM$41</f>
        <v/>
      </c>
      <c r="N713" s="137" t="n"/>
      <c r="O713" s="56" t="inlineStr">
        <is>
          <t>MELHORIAS</t>
        </is>
      </c>
      <c r="P713" s="144" t="n"/>
      <c r="Q713" s="16" t="n"/>
      <c r="R713" s="17" t="n"/>
      <c r="S713" s="143">
        <f>DADOS_INVOC!$QM$42</f>
        <v/>
      </c>
      <c r="T713" s="137" t="n"/>
      <c r="U713" s="56" t="inlineStr">
        <is>
          <t>MELHORIAS</t>
        </is>
      </c>
      <c r="V713" s="144" t="n"/>
      <c r="W713" s="16" t="n"/>
      <c r="X713" s="17" t="n"/>
      <c r="Y713" s="143">
        <f>DADOS_INVOC!$QM$43</f>
        <v/>
      </c>
      <c r="Z713" s="137" t="n"/>
      <c r="AB713" s="56" t="inlineStr">
        <is>
          <t>MELHORIAS</t>
        </is>
      </c>
      <c r="AC713" s="144" t="n"/>
      <c r="AD713" s="16" t="n"/>
      <c r="AE713" s="17" t="n"/>
      <c r="AF713" s="143">
        <f>DADOS_INVOC!$QM$119</f>
        <v/>
      </c>
      <c r="AG713" s="137" t="n"/>
      <c r="AH713" s="56" t="inlineStr">
        <is>
          <t>MELHORIAS</t>
        </is>
      </c>
      <c r="AI713" s="144" t="n"/>
      <c r="AJ713" s="16" t="n"/>
      <c r="AK713" s="17" t="n"/>
      <c r="AL713" s="143">
        <f>DADOS_INVOC!$QM$120</f>
        <v/>
      </c>
      <c r="AM713" s="137" t="n"/>
      <c r="AN713" s="56" t="inlineStr">
        <is>
          <t>MELHORIAS</t>
        </is>
      </c>
      <c r="AO713" s="144" t="n"/>
      <c r="AP713" s="16" t="n"/>
      <c r="AQ713" s="17" t="n"/>
      <c r="AR713" s="143">
        <f>DADOS_INVOC!$QM$121</f>
        <v/>
      </c>
      <c r="AS713" s="137" t="n"/>
    </row>
    <row r="714" hidden="1" outlineLevel="2">
      <c r="A714" s="8" t="n"/>
      <c r="B714" s="14" t="n"/>
      <c r="C714" s="137" t="n"/>
      <c r="D714" s="137" t="n"/>
      <c r="E714" s="137" t="n"/>
      <c r="F714" s="137" t="n"/>
      <c r="G714" s="137" t="n"/>
      <c r="I714" s="66" t="n"/>
      <c r="J714" s="144" t="n"/>
      <c r="K714" s="16" t="n"/>
      <c r="L714" s="17" t="n"/>
      <c r="M714" s="143">
        <f>DADOS_INVOC!$QN$41</f>
        <v/>
      </c>
      <c r="N714" s="137" t="n"/>
      <c r="O714" s="66" t="n"/>
      <c r="P714" s="144" t="n"/>
      <c r="Q714" s="16" t="n"/>
      <c r="R714" s="17" t="n"/>
      <c r="S714" s="143">
        <f>DADOS_INVOC!$QN$42</f>
        <v/>
      </c>
      <c r="T714" s="137" t="n"/>
      <c r="U714" s="66" t="n"/>
      <c r="V714" s="144" t="n"/>
      <c r="W714" s="16" t="n"/>
      <c r="X714" s="17" t="n"/>
      <c r="Y714" s="143">
        <f>DADOS_INVOC!$QN$43</f>
        <v/>
      </c>
      <c r="Z714" s="137" t="n"/>
      <c r="AB714" s="66" t="n"/>
      <c r="AC714" s="144" t="n"/>
      <c r="AD714" s="16" t="n"/>
      <c r="AE714" s="17" t="n"/>
      <c r="AF714" s="143">
        <f>DADOS_INVOC!$QN$119</f>
        <v/>
      </c>
      <c r="AG714" s="137" t="n"/>
      <c r="AH714" s="66" t="n"/>
      <c r="AI714" s="144" t="n"/>
      <c r="AJ714" s="16" t="n"/>
      <c r="AK714" s="17" t="n"/>
      <c r="AL714" s="143">
        <f>DADOS_INVOC!$QN$120</f>
        <v/>
      </c>
      <c r="AM714" s="137" t="n"/>
      <c r="AN714" s="66" t="n"/>
      <c r="AO714" s="144" t="n"/>
      <c r="AP714" s="16" t="n"/>
      <c r="AQ714" s="17" t="n"/>
      <c r="AR714" s="143">
        <f>DADOS_INVOC!$QN$121</f>
        <v/>
      </c>
      <c r="AS714" s="137" t="n"/>
    </row>
    <row r="715" hidden="1" outlineLevel="2">
      <c r="A715" s="8" t="n"/>
      <c r="B715" s="14" t="n"/>
      <c r="C715" s="137" t="n"/>
      <c r="D715" s="137" t="n"/>
      <c r="E715" s="137" t="n"/>
      <c r="F715" s="137" t="n"/>
      <c r="G715" s="137" t="n"/>
      <c r="I715" s="66" t="n"/>
      <c r="J715" s="144" t="n"/>
      <c r="K715" s="16" t="n"/>
      <c r="L715" s="17" t="n"/>
      <c r="M715" s="143">
        <f>DADOS_INVOC!$QO$41</f>
        <v/>
      </c>
      <c r="N715" s="137" t="n"/>
      <c r="O715" s="66" t="n"/>
      <c r="P715" s="144" t="n"/>
      <c r="Q715" s="16" t="n"/>
      <c r="R715" s="17" t="n"/>
      <c r="S715" s="143">
        <f>DADOS_INVOC!$QO$42</f>
        <v/>
      </c>
      <c r="T715" s="137" t="n"/>
      <c r="U715" s="66" t="n"/>
      <c r="V715" s="144" t="n"/>
      <c r="W715" s="16" t="n"/>
      <c r="X715" s="17" t="n"/>
      <c r="Y715" s="143">
        <f>DADOS_INVOC!$QO$43</f>
        <v/>
      </c>
      <c r="Z715" s="137" t="n"/>
      <c r="AB715" s="66" t="n"/>
      <c r="AC715" s="144" t="n"/>
      <c r="AD715" s="16" t="n"/>
      <c r="AE715" s="17" t="n"/>
      <c r="AF715" s="143">
        <f>DADOS_INVOC!$QO$119</f>
        <v/>
      </c>
      <c r="AG715" s="137" t="n"/>
      <c r="AH715" s="66" t="n"/>
      <c r="AI715" s="144" t="n"/>
      <c r="AJ715" s="16" t="n"/>
      <c r="AK715" s="17" t="n"/>
      <c r="AL715" s="143">
        <f>DADOS_INVOC!$QO$120</f>
        <v/>
      </c>
      <c r="AM715" s="137" t="n"/>
      <c r="AN715" s="66" t="n"/>
      <c r="AO715" s="144" t="n"/>
      <c r="AP715" s="16" t="n"/>
      <c r="AQ715" s="17" t="n"/>
      <c r="AR715" s="143">
        <f>DADOS_INVOC!$QO$121</f>
        <v/>
      </c>
      <c r="AS715" s="137" t="n"/>
    </row>
    <row r="716" hidden="1" outlineLevel="2">
      <c r="A716" s="8" t="n"/>
      <c r="B716" s="14" t="n"/>
      <c r="C716" s="137" t="n"/>
      <c r="D716" s="137" t="n"/>
      <c r="E716" s="137" t="n"/>
      <c r="F716" s="137" t="n"/>
      <c r="G716" s="137" t="n"/>
      <c r="I716" s="128" t="n"/>
      <c r="J716" s="144" t="n"/>
      <c r="K716" s="16" t="n"/>
      <c r="L716" s="17" t="n"/>
      <c r="M716" s="143">
        <f>DADOS_INVOC!$QP$41</f>
        <v/>
      </c>
      <c r="N716" s="137" t="n"/>
      <c r="O716" s="128" t="n"/>
      <c r="P716" s="144" t="n"/>
      <c r="Q716" s="16" t="n"/>
      <c r="R716" s="17" t="n"/>
      <c r="S716" s="143">
        <f>DADOS_INVOC!$QP$42</f>
        <v/>
      </c>
      <c r="T716" s="137" t="n"/>
      <c r="U716" s="128" t="n"/>
      <c r="V716" s="144" t="n"/>
      <c r="W716" s="16" t="n"/>
      <c r="X716" s="17" t="n"/>
      <c r="Y716" s="143">
        <f>DADOS_INVOC!$QP$43</f>
        <v/>
      </c>
      <c r="Z716" s="137" t="n"/>
      <c r="AB716" s="128" t="n"/>
      <c r="AC716" s="144" t="n"/>
      <c r="AD716" s="16" t="n"/>
      <c r="AE716" s="17" t="n"/>
      <c r="AF716" s="143">
        <f>DADOS_INVOC!$QP$119</f>
        <v/>
      </c>
      <c r="AG716" s="137" t="n"/>
      <c r="AH716" s="128" t="n"/>
      <c r="AI716" s="144" t="n"/>
      <c r="AJ716" s="16" t="n"/>
      <c r="AK716" s="17" t="n"/>
      <c r="AL716" s="143">
        <f>DADOS_INVOC!$QP$120</f>
        <v/>
      </c>
      <c r="AM716" s="137" t="n"/>
      <c r="AN716" s="128" t="n"/>
      <c r="AO716" s="144" t="n"/>
      <c r="AP716" s="16" t="n"/>
      <c r="AQ716" s="17" t="n"/>
      <c r="AR716" s="143">
        <f>DADOS_INVOC!$QP$121</f>
        <v/>
      </c>
      <c r="AS716" s="137" t="n"/>
    </row>
    <row r="717" hidden="1" outlineLevel="2">
      <c r="A717" s="8" t="n"/>
      <c r="B717" s="14" t="n"/>
      <c r="C717" s="137" t="n"/>
      <c r="D717" s="137" t="n"/>
      <c r="E717" s="137" t="n"/>
      <c r="F717" s="137" t="n"/>
      <c r="G717" s="137" t="n"/>
      <c r="I717" s="56" t="inlineStr">
        <is>
          <t>RESTRIÇÕES</t>
        </is>
      </c>
      <c r="J717" s="144" t="n"/>
      <c r="K717" s="16" t="n"/>
      <c r="L717" s="17" t="n"/>
      <c r="M717" s="143">
        <f>DADOS_INVOC!$QQ$41</f>
        <v/>
      </c>
      <c r="N717" s="137" t="n"/>
      <c r="O717" s="56" t="inlineStr">
        <is>
          <t>RESTRIÇÕES</t>
        </is>
      </c>
      <c r="P717" s="144" t="n"/>
      <c r="Q717" s="16" t="n"/>
      <c r="R717" s="17" t="n"/>
      <c r="S717" s="143">
        <f>DADOS_INVOC!$QQ$42</f>
        <v/>
      </c>
      <c r="T717" s="137" t="n"/>
      <c r="U717" s="56" t="inlineStr">
        <is>
          <t>RESTRIÇÕES</t>
        </is>
      </c>
      <c r="V717" s="144" t="n"/>
      <c r="W717" s="16" t="n"/>
      <c r="X717" s="17" t="n"/>
      <c r="Y717" s="143">
        <f>DADOS_INVOC!$QQ$43</f>
        <v/>
      </c>
      <c r="Z717" s="137" t="n"/>
      <c r="AB717" s="56" t="inlineStr">
        <is>
          <t>RESTRIÇÕES</t>
        </is>
      </c>
      <c r="AC717" s="144" t="n"/>
      <c r="AD717" s="16" t="n"/>
      <c r="AE717" s="17" t="n"/>
      <c r="AF717" s="143">
        <f>DADOS_INVOC!$QQ$119</f>
        <v/>
      </c>
      <c r="AG717" s="137" t="n"/>
      <c r="AH717" s="56" t="inlineStr">
        <is>
          <t>RESTRIÇÕES</t>
        </is>
      </c>
      <c r="AI717" s="144" t="n"/>
      <c r="AJ717" s="16" t="n"/>
      <c r="AK717" s="17" t="n"/>
      <c r="AL717" s="143">
        <f>DADOS_INVOC!$QQ$120</f>
        <v/>
      </c>
      <c r="AM717" s="137" t="n"/>
      <c r="AN717" s="56" t="inlineStr">
        <is>
          <t>RESTRIÇÕES</t>
        </is>
      </c>
      <c r="AO717" s="144" t="n"/>
      <c r="AP717" s="16" t="n"/>
      <c r="AQ717" s="17" t="n"/>
      <c r="AR717" s="143">
        <f>DADOS_INVOC!$QQ$121</f>
        <v/>
      </c>
      <c r="AS717" s="137" t="n"/>
    </row>
    <row r="718" hidden="1" outlineLevel="2">
      <c r="A718" s="8" t="n"/>
      <c r="B718" s="14" t="n"/>
      <c r="C718" s="137" t="n"/>
      <c r="D718" s="137" t="n"/>
      <c r="E718" s="137" t="n"/>
      <c r="F718" s="137" t="n"/>
      <c r="G718" s="137" t="n"/>
      <c r="I718" s="128" t="n"/>
      <c r="J718" s="144" t="n"/>
      <c r="K718" s="16" t="n"/>
      <c r="L718" s="17" t="n"/>
      <c r="M718" s="143">
        <f>DADOS_INVOC!$QR$41</f>
        <v/>
      </c>
      <c r="N718" s="137" t="n"/>
      <c r="O718" s="128" t="n"/>
      <c r="P718" s="144" t="n"/>
      <c r="Q718" s="16" t="n"/>
      <c r="R718" s="17" t="n"/>
      <c r="S718" s="143">
        <f>DADOS_INVOC!$QR$42</f>
        <v/>
      </c>
      <c r="T718" s="137" t="n"/>
      <c r="U718" s="128" t="n"/>
      <c r="V718" s="144" t="n"/>
      <c r="W718" s="16" t="n"/>
      <c r="X718" s="17" t="n"/>
      <c r="Y718" s="143">
        <f>DADOS_INVOC!$QR$43</f>
        <v/>
      </c>
      <c r="Z718" s="137" t="n"/>
      <c r="AB718" s="128" t="n"/>
      <c r="AC718" s="144" t="n"/>
      <c r="AD718" s="16" t="n"/>
      <c r="AE718" s="17" t="n"/>
      <c r="AF718" s="143">
        <f>DADOS_INVOC!$QR$119</f>
        <v/>
      </c>
      <c r="AG718" s="137" t="n"/>
      <c r="AH718" s="128" t="n"/>
      <c r="AI718" s="144" t="n"/>
      <c r="AJ718" s="16" t="n"/>
      <c r="AK718" s="17" t="n"/>
      <c r="AL718" s="143">
        <f>DADOS_INVOC!$QR$120</f>
        <v/>
      </c>
      <c r="AM718" s="137" t="n"/>
      <c r="AN718" s="128" t="n"/>
      <c r="AO718" s="144" t="n"/>
      <c r="AP718" s="16" t="n"/>
      <c r="AQ718" s="17" t="n"/>
      <c r="AR718" s="143">
        <f>DADOS_INVOC!$QR$121</f>
        <v/>
      </c>
      <c r="AS718" s="137" t="n"/>
    </row>
    <row r="719" hidden="1" outlineLevel="2">
      <c r="A719" s="8" t="n"/>
      <c r="B719" s="14" t="n"/>
      <c r="C719" s="137" t="n"/>
      <c r="D719" s="137" t="n"/>
      <c r="E719" s="137" t="n"/>
      <c r="F719" s="137" t="n"/>
      <c r="G719" s="137" t="n"/>
      <c r="I719" s="56" t="inlineStr">
        <is>
          <t>CONTA</t>
        </is>
      </c>
      <c r="J719" s="145">
        <f>DADOS_INVOC!$QK$41</f>
        <v/>
      </c>
      <c r="K719" s="16" t="n"/>
      <c r="L719" s="16" t="n"/>
      <c r="M719" s="17" t="n"/>
      <c r="N719" s="137" t="n"/>
      <c r="O719" s="56" t="inlineStr">
        <is>
          <t>CONTA</t>
        </is>
      </c>
      <c r="P719" s="145">
        <f>DADOS_INVOC!$QK$42</f>
        <v/>
      </c>
      <c r="Q719" s="16" t="n"/>
      <c r="R719" s="16" t="n"/>
      <c r="S719" s="17" t="n"/>
      <c r="T719" s="137" t="n"/>
      <c r="U719" s="56" t="inlineStr">
        <is>
          <t>CONTA</t>
        </is>
      </c>
      <c r="V719" s="145">
        <f>DADOS_INVOC!$QK$43</f>
        <v/>
      </c>
      <c r="W719" s="16" t="n"/>
      <c r="X719" s="16" t="n"/>
      <c r="Y719" s="17" t="n"/>
      <c r="Z719" s="137" t="n"/>
      <c r="AB719" s="56" t="inlineStr">
        <is>
          <t>CONTA</t>
        </is>
      </c>
      <c r="AC719" s="145">
        <f>DADOS_INVOC!$QK$119</f>
        <v/>
      </c>
      <c r="AD719" s="16" t="n"/>
      <c r="AE719" s="16" t="n"/>
      <c r="AF719" s="17" t="n"/>
      <c r="AG719" s="137" t="n"/>
      <c r="AH719" s="56" t="inlineStr">
        <is>
          <t>CONTA</t>
        </is>
      </c>
      <c r="AI719" s="145">
        <f>DADOS_INVOC!$QK$120</f>
        <v/>
      </c>
      <c r="AJ719" s="16" t="n"/>
      <c r="AK719" s="16" t="n"/>
      <c r="AL719" s="17" t="n"/>
      <c r="AM719" s="137" t="n"/>
      <c r="AN719" s="56" t="inlineStr">
        <is>
          <t>CONTA</t>
        </is>
      </c>
      <c r="AO719" s="145">
        <f>DADOS_INVOC!$QK$121</f>
        <v/>
      </c>
      <c r="AP719" s="16" t="n"/>
      <c r="AQ719" s="16" t="n"/>
      <c r="AR719" s="17" t="n"/>
      <c r="AS719" s="137" t="n"/>
    </row>
    <row r="720" hidden="1" outlineLevel="2">
      <c r="A720" s="8" t="n"/>
      <c r="B720" s="14" t="n"/>
      <c r="C720" s="137" t="n"/>
      <c r="D720" s="137" t="n"/>
      <c r="E720" s="137" t="n"/>
      <c r="F720" s="137" t="n"/>
      <c r="G720" s="137" t="n"/>
      <c r="I720" s="56" t="inlineStr">
        <is>
          <t>AMPLIAR</t>
        </is>
      </c>
      <c r="J720" s="145">
        <f>DADOS_INVOC!$QL$41</f>
        <v/>
      </c>
      <c r="K720" s="19" t="n"/>
      <c r="L720" s="19" t="n"/>
      <c r="M720" s="20" t="n"/>
      <c r="N720" s="137" t="n"/>
      <c r="O720" s="56" t="inlineStr">
        <is>
          <t>AMPLIAR</t>
        </is>
      </c>
      <c r="P720" s="145">
        <f>DADOS_INVOC!$QL$42</f>
        <v/>
      </c>
      <c r="Q720" s="19" t="n"/>
      <c r="R720" s="19" t="n"/>
      <c r="S720" s="20" t="n"/>
      <c r="T720" s="137" t="n"/>
      <c r="U720" s="56" t="inlineStr">
        <is>
          <t>AMPLIAR</t>
        </is>
      </c>
      <c r="V720" s="145">
        <f>DADOS_INVOC!$QL$43</f>
        <v/>
      </c>
      <c r="W720" s="19" t="n"/>
      <c r="X720" s="19" t="n"/>
      <c r="Y720" s="20" t="n"/>
      <c r="Z720" s="137" t="n"/>
      <c r="AB720" s="56" t="inlineStr">
        <is>
          <t>AMPLIAR</t>
        </is>
      </c>
      <c r="AC720" s="145">
        <f>DADOS_INVOC!$QL$119</f>
        <v/>
      </c>
      <c r="AD720" s="19" t="n"/>
      <c r="AE720" s="19" t="n"/>
      <c r="AF720" s="20" t="n"/>
      <c r="AG720" s="137" t="n"/>
      <c r="AH720" s="56" t="inlineStr">
        <is>
          <t>AMPLIAR</t>
        </is>
      </c>
      <c r="AI720" s="145">
        <f>DADOS_INVOC!$QL$120</f>
        <v/>
      </c>
      <c r="AJ720" s="19" t="n"/>
      <c r="AK720" s="19" t="n"/>
      <c r="AL720" s="20" t="n"/>
      <c r="AM720" s="137" t="n"/>
      <c r="AN720" s="56" t="inlineStr">
        <is>
          <t>AMPLIAR</t>
        </is>
      </c>
      <c r="AO720" s="145">
        <f>DADOS_INVOC!$QL$121</f>
        <v/>
      </c>
      <c r="AP720" s="19" t="n"/>
      <c r="AQ720" s="19" t="n"/>
      <c r="AR720" s="20" t="n"/>
      <c r="AS720" s="137" t="n"/>
    </row>
    <row r="721" hidden="1" outlineLevel="2">
      <c r="A721" s="8" t="n"/>
      <c r="B721" s="14" t="n"/>
      <c r="C721" s="137" t="n"/>
      <c r="D721" s="137" t="n"/>
      <c r="E721" s="137" t="n"/>
      <c r="F721" s="137" t="n"/>
      <c r="G721" s="137" t="n"/>
      <c r="I721" s="128" t="n"/>
      <c r="J721" s="23" t="n"/>
      <c r="K721" s="24" t="n"/>
      <c r="L721" s="24" t="n"/>
      <c r="M721" s="25" t="n"/>
      <c r="N721" s="137" t="n"/>
      <c r="O721" s="128" t="n"/>
      <c r="P721" s="23" t="n"/>
      <c r="Q721" s="24" t="n"/>
      <c r="R721" s="24" t="n"/>
      <c r="S721" s="25" t="n"/>
      <c r="T721" s="137" t="n"/>
      <c r="U721" s="128" t="n"/>
      <c r="V721" s="23" t="n"/>
      <c r="W721" s="24" t="n"/>
      <c r="X721" s="24" t="n"/>
      <c r="Y721" s="25" t="n"/>
      <c r="Z721" s="137" t="n"/>
      <c r="AB721" s="128" t="n"/>
      <c r="AC721" s="23" t="n"/>
      <c r="AD721" s="24" t="n"/>
      <c r="AE721" s="24" t="n"/>
      <c r="AF721" s="25" t="n"/>
      <c r="AG721" s="137" t="n"/>
      <c r="AH721" s="128" t="n"/>
      <c r="AI721" s="23" t="n"/>
      <c r="AJ721" s="24" t="n"/>
      <c r="AK721" s="24" t="n"/>
      <c r="AL721" s="25" t="n"/>
      <c r="AM721" s="137" t="n"/>
      <c r="AN721" s="128" t="n"/>
      <c r="AO721" s="23" t="n"/>
      <c r="AP721" s="24" t="n"/>
      <c r="AQ721" s="24" t="n"/>
      <c r="AR721" s="25" t="n"/>
      <c r="AS721" s="137" t="n"/>
    </row>
    <row r="722" hidden="1" outlineLevel="2">
      <c r="A722" s="8" t="n"/>
      <c r="B722" s="14" t="n"/>
      <c r="C722" s="137" t="n"/>
      <c r="D722" s="137" t="n"/>
      <c r="E722" s="137" t="n"/>
      <c r="F722" s="137" t="n"/>
      <c r="G722" s="137" t="n"/>
      <c r="I722" s="145">
        <f>DADOS_INVOC!$PY$41</f>
        <v/>
      </c>
      <c r="J722" s="19" t="n"/>
      <c r="K722" s="19" t="n"/>
      <c r="L722" s="19" t="n"/>
      <c r="M722" s="20" t="n"/>
      <c r="N722" s="137" t="n"/>
      <c r="O722" s="145">
        <f>DADOS_INVOC!$PY$42</f>
        <v/>
      </c>
      <c r="P722" s="19" t="n"/>
      <c r="Q722" s="19" t="n"/>
      <c r="R722" s="19" t="n"/>
      <c r="S722" s="20" t="n"/>
      <c r="T722" s="137" t="n"/>
      <c r="U722" s="145">
        <f>DADOS_INVOC!$PY$43</f>
        <v/>
      </c>
      <c r="V722" s="19" t="n"/>
      <c r="W722" s="19" t="n"/>
      <c r="X722" s="19" t="n"/>
      <c r="Y722" s="20" t="n"/>
      <c r="Z722" s="137" t="n"/>
      <c r="AB722" s="145">
        <f>DADOS_INVOC!$PY$119</f>
        <v/>
      </c>
      <c r="AC722" s="19" t="n"/>
      <c r="AD722" s="19" t="n"/>
      <c r="AE722" s="19" t="n"/>
      <c r="AF722" s="20" t="n"/>
      <c r="AG722" s="137" t="n"/>
      <c r="AH722" s="145">
        <f>DADOS_INVOC!$PY$120</f>
        <v/>
      </c>
      <c r="AI722" s="19" t="n"/>
      <c r="AJ722" s="19" t="n"/>
      <c r="AK722" s="19" t="n"/>
      <c r="AL722" s="20" t="n"/>
      <c r="AM722" s="137" t="n"/>
      <c r="AN722" s="145">
        <f>DADOS_INVOC!$PY$121</f>
        <v/>
      </c>
      <c r="AO722" s="19" t="n"/>
      <c r="AP722" s="19" t="n"/>
      <c r="AQ722" s="19" t="n"/>
      <c r="AR722" s="20" t="n"/>
      <c r="AS722" s="137" t="n"/>
    </row>
    <row r="723" hidden="1" outlineLevel="2">
      <c r="A723" s="8" t="n"/>
      <c r="B723" s="14" t="n"/>
      <c r="C723" s="137" t="n"/>
      <c r="D723" s="137" t="n"/>
      <c r="E723" s="137" t="n"/>
      <c r="F723" s="137" t="n"/>
      <c r="G723" s="137" t="n"/>
      <c r="I723" s="23" t="n"/>
      <c r="J723" s="24" t="n"/>
      <c r="K723" s="24" t="n"/>
      <c r="L723" s="24" t="n"/>
      <c r="M723" s="25" t="n"/>
      <c r="N723" s="137" t="n"/>
      <c r="O723" s="23" t="n"/>
      <c r="P723" s="24" t="n"/>
      <c r="Q723" s="24" t="n"/>
      <c r="R723" s="24" t="n"/>
      <c r="S723" s="25" t="n"/>
      <c r="T723" s="137" t="n"/>
      <c r="U723" s="23" t="n"/>
      <c r="V723" s="24" t="n"/>
      <c r="W723" s="24" t="n"/>
      <c r="X723" s="24" t="n"/>
      <c r="Y723" s="25" t="n"/>
      <c r="Z723" s="137" t="n"/>
      <c r="AB723" s="23" t="n"/>
      <c r="AC723" s="24" t="n"/>
      <c r="AD723" s="24" t="n"/>
      <c r="AE723" s="24" t="n"/>
      <c r="AF723" s="25" t="n"/>
      <c r="AG723" s="137" t="n"/>
      <c r="AH723" s="23" t="n"/>
      <c r="AI723" s="24" t="n"/>
      <c r="AJ723" s="24" t="n"/>
      <c r="AK723" s="24" t="n"/>
      <c r="AL723" s="25" t="n"/>
      <c r="AM723" s="137" t="n"/>
      <c r="AN723" s="23" t="n"/>
      <c r="AO723" s="24" t="n"/>
      <c r="AP723" s="24" t="n"/>
      <c r="AQ723" s="24" t="n"/>
      <c r="AR723" s="25" t="n"/>
      <c r="AS723" s="137" t="n"/>
    </row>
    <row r="724" hidden="1" outlineLevel="1">
      <c r="A724" s="8" t="n"/>
      <c r="B724" s="14" t="n"/>
      <c r="C724" s="137" t="n"/>
      <c r="D724" s="137" t="n"/>
      <c r="E724" s="137" t="n"/>
      <c r="F724" s="137" t="n"/>
      <c r="G724" s="137" t="n"/>
      <c r="I724" s="137" t="n"/>
      <c r="J724" s="137" t="n"/>
      <c r="K724" s="137" t="n"/>
      <c r="L724" s="137" t="n"/>
      <c r="M724" s="137" t="n"/>
      <c r="N724" s="137" t="n"/>
      <c r="O724" s="137" t="n"/>
      <c r="P724" s="137" t="n"/>
      <c r="Q724" s="137" t="n"/>
      <c r="R724" s="137" t="n"/>
      <c r="S724" s="137" t="n"/>
      <c r="T724" s="137" t="n"/>
      <c r="U724" s="137" t="n"/>
      <c r="V724" s="137" t="n"/>
      <c r="W724" s="137" t="n"/>
      <c r="X724" s="137" t="n"/>
      <c r="Y724" s="137" t="n"/>
      <c r="Z724" s="137" t="n"/>
      <c r="AB724" s="137" t="n"/>
      <c r="AC724" s="137" t="n"/>
      <c r="AD724" s="137" t="n"/>
      <c r="AE724" s="137" t="n"/>
      <c r="AF724" s="137" t="n"/>
      <c r="AG724" s="137" t="n"/>
      <c r="AH724" s="137" t="n"/>
      <c r="AI724" s="137" t="n"/>
      <c r="AJ724" s="137" t="n"/>
      <c r="AK724" s="137" t="n"/>
      <c r="AL724" s="137" t="n"/>
      <c r="AM724" s="137" t="n"/>
      <c r="AN724" s="137" t="n"/>
      <c r="AO724" s="137" t="n"/>
      <c r="AP724" s="137" t="n"/>
      <c r="AQ724" s="137" t="n"/>
      <c r="AR724" s="137" t="n"/>
      <c r="AS724" s="137" t="n"/>
    </row>
    <row r="725" hidden="1" outlineLevel="1">
      <c r="A725" s="8" t="n"/>
      <c r="B725" s="14" t="n"/>
      <c r="C725" s="137" t="n"/>
      <c r="D725" s="137" t="n"/>
      <c r="E725" s="137" t="n"/>
      <c r="F725" s="137" t="n"/>
      <c r="G725" s="137" t="n"/>
      <c r="I725" s="56">
        <f>DADOS_INVOC!$IF$5</f>
        <v/>
      </c>
      <c r="J725" s="16" t="n"/>
      <c r="K725" s="16" t="n"/>
      <c r="L725" s="16" t="n"/>
      <c r="M725" s="16" t="n"/>
      <c r="N725" s="16" t="n"/>
      <c r="O725" s="16" t="n"/>
      <c r="P725" s="16" t="n"/>
      <c r="Q725" s="16" t="n"/>
      <c r="R725" s="16" t="n"/>
      <c r="S725" s="16" t="n"/>
      <c r="T725" s="16" t="n"/>
      <c r="U725" s="16" t="n"/>
      <c r="V725" s="16" t="n"/>
      <c r="W725" s="16" t="n"/>
      <c r="X725" s="16" t="n"/>
      <c r="Y725" s="17" t="n"/>
      <c r="Z725" s="137" t="n"/>
      <c r="AB725" s="56">
        <f>DADOS_INVOC!$IF$11</f>
        <v/>
      </c>
      <c r="AC725" s="16" t="n"/>
      <c r="AD725" s="16" t="n"/>
      <c r="AE725" s="16" t="n"/>
      <c r="AF725" s="16" t="n"/>
      <c r="AG725" s="16" t="n"/>
      <c r="AH725" s="16" t="n"/>
      <c r="AI725" s="16" t="n"/>
      <c r="AJ725" s="16" t="n"/>
      <c r="AK725" s="16" t="n"/>
      <c r="AL725" s="16" t="n"/>
      <c r="AM725" s="16" t="n"/>
      <c r="AN725" s="16" t="n"/>
      <c r="AO725" s="16" t="n"/>
      <c r="AP725" s="16" t="n"/>
      <c r="AQ725" s="16" t="n"/>
      <c r="AR725" s="17" t="n"/>
      <c r="AS725" s="137" t="n"/>
    </row>
    <row r="726" hidden="1" outlineLevel="1">
      <c r="A726" s="8" t="n"/>
      <c r="B726" s="14" t="n"/>
      <c r="C726" s="137" t="n"/>
      <c r="D726" s="137" t="n"/>
      <c r="E726" s="137" t="n"/>
      <c r="F726" s="137" t="n"/>
      <c r="G726" s="137" t="n"/>
      <c r="I726" s="56" t="inlineStr">
        <is>
          <t>NV 1 · CE 1</t>
        </is>
      </c>
      <c r="J726" s="144" t="n"/>
      <c r="K726" s="16" t="n"/>
      <c r="L726" s="17" t="n"/>
      <c r="M726" s="150">
        <f>DADOS_INVOC!$IO$5</f>
        <v/>
      </c>
      <c r="N726" s="16" t="n"/>
      <c r="O726" s="16" t="n"/>
      <c r="P726" s="16" t="n"/>
      <c r="Q726" s="16" t="n"/>
      <c r="R726" s="16" t="n"/>
      <c r="S726" s="16" t="n"/>
      <c r="T726" s="16" t="n"/>
      <c r="U726" s="16" t="n"/>
      <c r="V726" s="16" t="n"/>
      <c r="W726" s="16" t="n"/>
      <c r="X726" s="16" t="n"/>
      <c r="Y726" s="17" t="n"/>
      <c r="Z726" s="137" t="n"/>
      <c r="AB726" s="56" t="inlineStr">
        <is>
          <t>NV 1 · CE 1</t>
        </is>
      </c>
      <c r="AC726" s="144" t="n"/>
      <c r="AD726" s="16" t="n"/>
      <c r="AE726" s="17" t="n"/>
      <c r="AF726" s="150">
        <f>DADOS_INVOC!$IO$11</f>
        <v/>
      </c>
      <c r="AG726" s="16" t="n"/>
      <c r="AH726" s="16" t="n"/>
      <c r="AI726" s="16" t="n"/>
      <c r="AJ726" s="16" t="n"/>
      <c r="AK726" s="16" t="n"/>
      <c r="AL726" s="16" t="n"/>
      <c r="AM726" s="16" t="n"/>
      <c r="AN726" s="16" t="n"/>
      <c r="AO726" s="16" t="n"/>
      <c r="AP726" s="16" t="n"/>
      <c r="AQ726" s="16" t="n"/>
      <c r="AR726" s="17" t="n"/>
      <c r="AS726" s="137" t="n"/>
    </row>
    <row r="727" hidden="1" outlineLevel="1">
      <c r="A727" s="8" t="n"/>
      <c r="B727" s="14" t="n"/>
      <c r="C727" s="137" t="n"/>
      <c r="D727" s="137" t="n"/>
      <c r="E727" s="137" t="n"/>
      <c r="F727" s="137" t="n"/>
      <c r="G727" s="137" t="n"/>
      <c r="I727" s="56" t="inlineStr">
        <is>
          <t>NV 6 · CE 1</t>
        </is>
      </c>
      <c r="J727" s="144" t="n"/>
      <c r="K727" s="16" t="n"/>
      <c r="L727" s="17" t="n"/>
      <c r="M727" s="150">
        <f>DADOS_INVOC!$IP$5</f>
        <v/>
      </c>
      <c r="N727" s="16" t="n"/>
      <c r="O727" s="16" t="n"/>
      <c r="P727" s="16" t="n"/>
      <c r="Q727" s="16" t="n"/>
      <c r="R727" s="16" t="n"/>
      <c r="S727" s="16" t="n"/>
      <c r="T727" s="16" t="n"/>
      <c r="U727" s="16" t="n"/>
      <c r="V727" s="16" t="n"/>
      <c r="W727" s="16" t="n"/>
      <c r="X727" s="16" t="n"/>
      <c r="Y727" s="17" t="n"/>
      <c r="Z727" s="137" t="n"/>
      <c r="AB727" s="56" t="inlineStr">
        <is>
          <t>NV 6 · CE 1</t>
        </is>
      </c>
      <c r="AC727" s="144" t="n"/>
      <c r="AD727" s="16" t="n"/>
      <c r="AE727" s="17" t="n"/>
      <c r="AF727" s="150">
        <f>DADOS_INVOC!$IP$11</f>
        <v/>
      </c>
      <c r="AG727" s="16" t="n"/>
      <c r="AH727" s="16" t="n"/>
      <c r="AI727" s="16" t="n"/>
      <c r="AJ727" s="16" t="n"/>
      <c r="AK727" s="16" t="n"/>
      <c r="AL727" s="16" t="n"/>
      <c r="AM727" s="16" t="n"/>
      <c r="AN727" s="16" t="n"/>
      <c r="AO727" s="16" t="n"/>
      <c r="AP727" s="16" t="n"/>
      <c r="AQ727" s="16" t="n"/>
      <c r="AR727" s="17" t="n"/>
      <c r="AS727" s="137" t="n"/>
    </row>
    <row r="728" hidden="1" outlineLevel="1">
      <c r="A728" s="8" t="n"/>
      <c r="B728" s="14" t="n"/>
      <c r="C728" s="137" t="n"/>
      <c r="D728" s="137" t="n"/>
      <c r="E728" s="137" t="n"/>
      <c r="F728" s="137" t="n"/>
      <c r="G728" s="137" t="n"/>
      <c r="I728" s="56" t="inlineStr">
        <is>
          <t>NV 10 · CE 2</t>
        </is>
      </c>
      <c r="J728" s="144" t="n"/>
      <c r="K728" s="16" t="n"/>
      <c r="L728" s="17" t="n"/>
      <c r="M728" s="150">
        <f>DADOS_INVOC!$IQ$5</f>
        <v/>
      </c>
      <c r="N728" s="16" t="n"/>
      <c r="O728" s="16" t="n"/>
      <c r="P728" s="16" t="n"/>
      <c r="Q728" s="16" t="n"/>
      <c r="R728" s="16" t="n"/>
      <c r="S728" s="16" t="n"/>
      <c r="T728" s="16" t="n"/>
      <c r="U728" s="16" t="n"/>
      <c r="V728" s="16" t="n"/>
      <c r="W728" s="16" t="n"/>
      <c r="X728" s="16" t="n"/>
      <c r="Y728" s="17" t="n"/>
      <c r="Z728" s="137" t="n"/>
      <c r="AB728" s="56" t="inlineStr">
        <is>
          <t>NV 10 · CE 2</t>
        </is>
      </c>
      <c r="AC728" s="144" t="n"/>
      <c r="AD728" s="16" t="n"/>
      <c r="AE728" s="17" t="n"/>
      <c r="AF728" s="150">
        <f>DADOS_INVOC!$IQ$11</f>
        <v/>
      </c>
      <c r="AG728" s="16" t="n"/>
      <c r="AH728" s="16" t="n"/>
      <c r="AI728" s="16" t="n"/>
      <c r="AJ728" s="16" t="n"/>
      <c r="AK728" s="16" t="n"/>
      <c r="AL728" s="16" t="n"/>
      <c r="AM728" s="16" t="n"/>
      <c r="AN728" s="16" t="n"/>
      <c r="AO728" s="16" t="n"/>
      <c r="AP728" s="16" t="n"/>
      <c r="AQ728" s="16" t="n"/>
      <c r="AR728" s="17" t="n"/>
      <c r="AS728" s="137" t="n"/>
    </row>
    <row r="729" hidden="1" outlineLevel="1">
      <c r="A729" s="8" t="n"/>
      <c r="B729" s="14" t="n"/>
      <c r="C729" s="137" t="n"/>
      <c r="D729" s="137" t="n"/>
      <c r="E729" s="137" t="n"/>
      <c r="F729" s="137" t="n"/>
      <c r="G729" s="137" t="n"/>
      <c r="I729" s="56" t="inlineStr">
        <is>
          <t>NV 14 · CE 3</t>
        </is>
      </c>
      <c r="J729" s="144" t="n"/>
      <c r="K729" s="16" t="n"/>
      <c r="L729" s="17" t="n"/>
      <c r="M729" s="150">
        <f>DADOS_INVOC!$IR$5</f>
        <v/>
      </c>
      <c r="N729" s="16" t="n"/>
      <c r="O729" s="16" t="n"/>
      <c r="P729" s="16" t="n"/>
      <c r="Q729" s="16" t="n"/>
      <c r="R729" s="16" t="n"/>
      <c r="S729" s="16" t="n"/>
      <c r="T729" s="16" t="n"/>
      <c r="U729" s="16" t="n"/>
      <c r="V729" s="16" t="n"/>
      <c r="W729" s="16" t="n"/>
      <c r="X729" s="16" t="n"/>
      <c r="Y729" s="17" t="n"/>
      <c r="Z729" s="137" t="n"/>
      <c r="AB729" s="56" t="inlineStr">
        <is>
          <t>NV 14 · CE 3</t>
        </is>
      </c>
      <c r="AC729" s="144" t="n"/>
      <c r="AD729" s="16" t="n"/>
      <c r="AE729" s="17" t="n"/>
      <c r="AF729" s="150">
        <f>DADOS_INVOC!$IR$11</f>
        <v/>
      </c>
      <c r="AG729" s="16" t="n"/>
      <c r="AH729" s="16" t="n"/>
      <c r="AI729" s="16" t="n"/>
      <c r="AJ729" s="16" t="n"/>
      <c r="AK729" s="16" t="n"/>
      <c r="AL729" s="16" t="n"/>
      <c r="AM729" s="16" t="n"/>
      <c r="AN729" s="16" t="n"/>
      <c r="AO729" s="16" t="n"/>
      <c r="AP729" s="16" t="n"/>
      <c r="AQ729" s="16" t="n"/>
      <c r="AR729" s="17" t="n"/>
      <c r="AS729" s="137" t="n"/>
    </row>
    <row r="730" hidden="1" outlineLevel="1">
      <c r="A730" s="8" t="n"/>
      <c r="B730" s="14" t="n"/>
      <c r="C730" s="137" t="n"/>
      <c r="D730" s="137" t="n"/>
      <c r="E730" s="137" t="n"/>
      <c r="F730" s="137" t="n"/>
      <c r="G730" s="137" t="n"/>
      <c r="I730" s="56" t="inlineStr">
        <is>
          <t>NV 18 · CE 3</t>
        </is>
      </c>
      <c r="J730" s="144" t="n"/>
      <c r="K730" s="16" t="n"/>
      <c r="L730" s="17" t="n"/>
      <c r="M730" s="150">
        <f>DADOS_INVOC!$IS$5</f>
        <v/>
      </c>
      <c r="N730" s="16" t="n"/>
      <c r="O730" s="16" t="n"/>
      <c r="P730" s="16" t="n"/>
      <c r="Q730" s="16" t="n"/>
      <c r="R730" s="16" t="n"/>
      <c r="S730" s="16" t="n"/>
      <c r="T730" s="16" t="n"/>
      <c r="U730" s="16" t="n"/>
      <c r="V730" s="16" t="n"/>
      <c r="W730" s="16" t="n"/>
      <c r="X730" s="16" t="n"/>
      <c r="Y730" s="17" t="n"/>
      <c r="Z730" s="137" t="n"/>
      <c r="AB730" s="56" t="inlineStr">
        <is>
          <t>NV 18 · CE 3</t>
        </is>
      </c>
      <c r="AC730" s="144" t="n"/>
      <c r="AD730" s="16" t="n"/>
      <c r="AE730" s="17" t="n"/>
      <c r="AF730" s="150">
        <f>DADOS_INVOC!$IS$11</f>
        <v/>
      </c>
      <c r="AG730" s="16" t="n"/>
      <c r="AH730" s="16" t="n"/>
      <c r="AI730" s="16" t="n"/>
      <c r="AJ730" s="16" t="n"/>
      <c r="AK730" s="16" t="n"/>
      <c r="AL730" s="16" t="n"/>
      <c r="AM730" s="16" t="n"/>
      <c r="AN730" s="16" t="n"/>
      <c r="AO730" s="16" t="n"/>
      <c r="AP730" s="16" t="n"/>
      <c r="AQ730" s="16" t="n"/>
      <c r="AR730" s="17" t="n"/>
      <c r="AS730" s="137" t="n"/>
    </row>
    <row r="731" hidden="1" outlineLevel="1">
      <c r="A731" s="8" t="n"/>
      <c r="B731" s="14" t="n"/>
      <c r="C731" s="137" t="n"/>
      <c r="D731" s="137" t="n"/>
      <c r="E731" s="137" t="n"/>
      <c r="F731" s="137" t="n"/>
      <c r="G731" s="137" t="n"/>
      <c r="I731" s="56" t="inlineStr">
        <is>
          <t>NV 22 · CE 3</t>
        </is>
      </c>
      <c r="J731" s="144" t="n"/>
      <c r="K731" s="16" t="n"/>
      <c r="L731" s="17" t="n"/>
      <c r="M731" s="150">
        <f>DADOS_INVOC!$IT$5</f>
        <v/>
      </c>
      <c r="N731" s="16" t="n"/>
      <c r="O731" s="16" t="n"/>
      <c r="P731" s="16" t="n"/>
      <c r="Q731" s="16" t="n"/>
      <c r="R731" s="16" t="n"/>
      <c r="S731" s="16" t="n"/>
      <c r="T731" s="16" t="n"/>
      <c r="U731" s="16" t="n"/>
      <c r="V731" s="16" t="n"/>
      <c r="W731" s="16" t="n"/>
      <c r="X731" s="16" t="n"/>
      <c r="Y731" s="17" t="n"/>
      <c r="Z731" s="137" t="n"/>
      <c r="AB731" s="56" t="inlineStr">
        <is>
          <t>NV 22 · CE 3</t>
        </is>
      </c>
      <c r="AC731" s="144" t="n"/>
      <c r="AD731" s="16" t="n"/>
      <c r="AE731" s="17" t="n"/>
      <c r="AF731" s="150">
        <f>DADOS_INVOC!$IT$11</f>
        <v/>
      </c>
      <c r="AG731" s="16" t="n"/>
      <c r="AH731" s="16" t="n"/>
      <c r="AI731" s="16" t="n"/>
      <c r="AJ731" s="16" t="n"/>
      <c r="AK731" s="16" t="n"/>
      <c r="AL731" s="16" t="n"/>
      <c r="AM731" s="16" t="n"/>
      <c r="AN731" s="16" t="n"/>
      <c r="AO731" s="16" t="n"/>
      <c r="AP731" s="16" t="n"/>
      <c r="AQ731" s="16" t="n"/>
      <c r="AR731" s="17" t="n"/>
      <c r="AS731" s="137" t="n"/>
    </row>
    <row r="732" hidden="1" outlineLevel="1">
      <c r="A732" s="8" t="n"/>
      <c r="B732" s="14" t="n"/>
      <c r="C732" s="137" t="n"/>
      <c r="D732" s="137" t="n"/>
      <c r="E732" s="137" t="n"/>
      <c r="F732" s="137" t="n"/>
      <c r="G732" s="137" t="n"/>
      <c r="I732" s="56" t="inlineStr">
        <is>
          <t>NV 26 · CE 3</t>
        </is>
      </c>
      <c r="J732" s="144" t="n"/>
      <c r="K732" s="16" t="n"/>
      <c r="L732" s="17" t="n"/>
      <c r="M732" s="150">
        <f>DADOS_INVOC!$IU$5</f>
        <v/>
      </c>
      <c r="N732" s="16" t="n"/>
      <c r="O732" s="16" t="n"/>
      <c r="P732" s="16" t="n"/>
      <c r="Q732" s="16" t="n"/>
      <c r="R732" s="16" t="n"/>
      <c r="S732" s="16" t="n"/>
      <c r="T732" s="16" t="n"/>
      <c r="U732" s="16" t="n"/>
      <c r="V732" s="16" t="n"/>
      <c r="W732" s="16" t="n"/>
      <c r="X732" s="16" t="n"/>
      <c r="Y732" s="17" t="n"/>
      <c r="Z732" s="137" t="n"/>
      <c r="AB732" s="56" t="inlineStr">
        <is>
          <t>NV 26 · CE 3</t>
        </is>
      </c>
      <c r="AC732" s="144" t="n"/>
      <c r="AD732" s="16" t="n"/>
      <c r="AE732" s="17" t="n"/>
      <c r="AF732" s="150">
        <f>DADOS_INVOC!$IU$11</f>
        <v/>
      </c>
      <c r="AG732" s="16" t="n"/>
      <c r="AH732" s="16" t="n"/>
      <c r="AI732" s="16" t="n"/>
      <c r="AJ732" s="16" t="n"/>
      <c r="AK732" s="16" t="n"/>
      <c r="AL732" s="16" t="n"/>
      <c r="AM732" s="16" t="n"/>
      <c r="AN732" s="16" t="n"/>
      <c r="AO732" s="16" t="n"/>
      <c r="AP732" s="16" t="n"/>
      <c r="AQ732" s="16" t="n"/>
      <c r="AR732" s="17" t="n"/>
      <c r="AS732" s="137" t="n"/>
    </row>
    <row r="733" hidden="1" outlineLevel="1">
      <c r="A733" s="8" t="n"/>
      <c r="B733" s="14" t="n"/>
      <c r="C733" s="137" t="n"/>
      <c r="D733" s="137" t="n"/>
      <c r="E733" s="137" t="n"/>
      <c r="F733" s="137" t="n"/>
      <c r="G733" s="137" t="n"/>
      <c r="I733" s="56" t="inlineStr">
        <is>
          <t>NV 30 · CE 3</t>
        </is>
      </c>
      <c r="J733" s="144" t="n"/>
      <c r="K733" s="16" t="n"/>
      <c r="L733" s="17" t="n"/>
      <c r="M733" s="150">
        <f>DADOS_INVOC!$IV$5</f>
        <v/>
      </c>
      <c r="N733" s="16" t="n"/>
      <c r="O733" s="16" t="n"/>
      <c r="P733" s="16" t="n"/>
      <c r="Q733" s="16" t="n"/>
      <c r="R733" s="16" t="n"/>
      <c r="S733" s="16" t="n"/>
      <c r="T733" s="16" t="n"/>
      <c r="U733" s="16" t="n"/>
      <c r="V733" s="16" t="n"/>
      <c r="W733" s="16" t="n"/>
      <c r="X733" s="16" t="n"/>
      <c r="Y733" s="17" t="n"/>
      <c r="Z733" s="137" t="n"/>
      <c r="AB733" s="56" t="inlineStr">
        <is>
          <t>NV 30 · CE 3</t>
        </is>
      </c>
      <c r="AC733" s="144" t="n"/>
      <c r="AD733" s="16" t="n"/>
      <c r="AE733" s="17" t="n"/>
      <c r="AF733" s="150">
        <f>DADOS_INVOC!$IV$11</f>
        <v/>
      </c>
      <c r="AG733" s="16" t="n"/>
      <c r="AH733" s="16" t="n"/>
      <c r="AI733" s="16" t="n"/>
      <c r="AJ733" s="16" t="n"/>
      <c r="AK733" s="16" t="n"/>
      <c r="AL733" s="16" t="n"/>
      <c r="AM733" s="16" t="n"/>
      <c r="AN733" s="16" t="n"/>
      <c r="AO733" s="16" t="n"/>
      <c r="AP733" s="16" t="n"/>
      <c r="AQ733" s="16" t="n"/>
      <c r="AR733" s="17" t="n"/>
      <c r="AS733" s="137" t="n"/>
    </row>
    <row r="734" hidden="1" outlineLevel="1">
      <c r="A734" s="8" t="n"/>
      <c r="B734" s="14" t="n"/>
      <c r="C734" s="137" t="n"/>
      <c r="D734" s="137" t="n"/>
      <c r="E734" s="137" t="n"/>
      <c r="F734" s="137" t="n"/>
      <c r="G734" s="137" t="n"/>
      <c r="I734" s="137" t="n"/>
      <c r="J734" s="137" t="n"/>
      <c r="K734" s="137" t="n"/>
      <c r="L734" s="137" t="n"/>
      <c r="M734" s="137" t="n"/>
      <c r="N734" s="137" t="n"/>
      <c r="O734" s="137" t="n"/>
      <c r="P734" s="137" t="n"/>
      <c r="Q734" s="137" t="n"/>
      <c r="R734" s="137" t="n"/>
      <c r="S734" s="137" t="n"/>
      <c r="T734" s="137" t="n"/>
      <c r="U734" s="137" t="n"/>
      <c r="V734" s="137" t="n"/>
      <c r="W734" s="137" t="n"/>
      <c r="X734" s="137" t="n"/>
      <c r="Y734" s="137" t="n"/>
      <c r="Z734" s="137" t="n"/>
      <c r="AB734" s="137" t="n"/>
      <c r="AC734" s="137" t="n"/>
      <c r="AD734" s="137" t="n"/>
      <c r="AE734" s="137" t="n"/>
      <c r="AF734" s="137" t="n"/>
      <c r="AG734" s="137" t="n"/>
      <c r="AH734" s="137" t="n"/>
      <c r="AI734" s="137" t="n"/>
      <c r="AJ734" s="137" t="n"/>
      <c r="AK734" s="137" t="n"/>
      <c r="AL734" s="137" t="n"/>
      <c r="AM734" s="137" t="n"/>
      <c r="AN734" s="137" t="n"/>
      <c r="AO734" s="137" t="n"/>
      <c r="AP734" s="137" t="n"/>
      <c r="AQ734" s="137" t="n"/>
      <c r="AR734" s="137" t="n"/>
      <c r="AS734" s="137" t="n"/>
    </row>
    <row r="735" hidden="1" outlineLevel="1">
      <c r="A735" s="8" t="n"/>
      <c r="B735" s="14" t="n"/>
      <c r="C735" s="137" t="n"/>
      <c r="D735" s="137" t="n"/>
      <c r="E735" s="137" t="n"/>
      <c r="F735" s="137" t="n"/>
      <c r="G735" s="137" t="n"/>
      <c r="I735" s="146" t="inlineStr">
        <is>
          <t>MAIS HABILIDADES · a segunda básica no nível 11, e as especiais 3 a 8, do nível 8 ao 28</t>
        </is>
      </c>
      <c r="J735" s="16" t="n"/>
      <c r="K735" s="16" t="n"/>
      <c r="L735" s="16" t="n"/>
      <c r="M735" s="16" t="n"/>
      <c r="N735" s="16" t="n"/>
      <c r="O735" s="16" t="n"/>
      <c r="P735" s="16" t="n"/>
      <c r="Q735" s="16" t="n"/>
      <c r="R735" s="16" t="n"/>
      <c r="S735" s="16" t="n"/>
      <c r="T735" s="16" t="n"/>
      <c r="U735" s="16" t="n"/>
      <c r="V735" s="16" t="n"/>
      <c r="W735" s="16" t="n"/>
      <c r="X735" s="16" t="n"/>
      <c r="Y735" s="17" t="n"/>
      <c r="Z735" s="137" t="n"/>
      <c r="AB735" s="146" t="inlineStr">
        <is>
          <t>MAIS HABILIDADES · a segunda básica no nível 11, e as especiais 3 a 8, do nível 8 ao 28</t>
        </is>
      </c>
      <c r="AC735" s="16" t="n"/>
      <c r="AD735" s="16" t="n"/>
      <c r="AE735" s="16" t="n"/>
      <c r="AF735" s="16" t="n"/>
      <c r="AG735" s="16" t="n"/>
      <c r="AH735" s="16" t="n"/>
      <c r="AI735" s="16" t="n"/>
      <c r="AJ735" s="16" t="n"/>
      <c r="AK735" s="16" t="n"/>
      <c r="AL735" s="16" t="n"/>
      <c r="AM735" s="16" t="n"/>
      <c r="AN735" s="16" t="n"/>
      <c r="AO735" s="16" t="n"/>
      <c r="AP735" s="16" t="n"/>
      <c r="AQ735" s="16" t="n"/>
      <c r="AR735" s="17" t="n"/>
      <c r="AS735" s="137" t="n"/>
    </row>
    <row r="736" hidden="1" outlineLevel="2">
      <c r="A736" s="8" t="n"/>
      <c r="B736" s="14" t="n"/>
      <c r="C736" s="137" t="n"/>
      <c r="D736" s="137" t="n"/>
      <c r="E736" s="137" t="n"/>
      <c r="F736" s="137" t="n"/>
      <c r="G736" s="137" t="n"/>
      <c r="I736" s="137" t="n"/>
      <c r="J736" s="137" t="n"/>
      <c r="K736" s="137" t="n"/>
      <c r="L736" s="137" t="n"/>
      <c r="M736" s="137" t="n"/>
      <c r="N736" s="137" t="n"/>
      <c r="O736" s="137" t="n"/>
      <c r="P736" s="137" t="n"/>
      <c r="Q736" s="137" t="n"/>
      <c r="R736" s="137" t="n"/>
      <c r="S736" s="137" t="n"/>
      <c r="T736" s="137" t="n"/>
      <c r="U736" s="137" t="n"/>
      <c r="V736" s="137" t="n"/>
      <c r="W736" s="137" t="n"/>
      <c r="X736" s="137" t="n"/>
      <c r="Y736" s="137" t="n"/>
      <c r="Z736" s="137" t="n"/>
      <c r="AB736" s="137" t="n"/>
      <c r="AC736" s="137" t="n"/>
      <c r="AD736" s="137" t="n"/>
      <c r="AE736" s="137" t="n"/>
      <c r="AF736" s="137" t="n"/>
      <c r="AG736" s="137" t="n"/>
      <c r="AH736" s="137" t="n"/>
      <c r="AI736" s="137" t="n"/>
      <c r="AJ736" s="137" t="n"/>
      <c r="AK736" s="137" t="n"/>
      <c r="AL736" s="137" t="n"/>
      <c r="AM736" s="137" t="n"/>
      <c r="AN736" s="137" t="n"/>
      <c r="AO736" s="137" t="n"/>
      <c r="AP736" s="137" t="n"/>
      <c r="AQ736" s="137" t="n"/>
      <c r="AR736" s="137" t="n"/>
      <c r="AS736" s="137" t="n"/>
    </row>
    <row r="737" hidden="1" outlineLevel="2">
      <c r="A737" s="8" t="n"/>
      <c r="B737" s="14" t="n"/>
      <c r="C737" s="137" t="n"/>
      <c r="D737" s="137" t="n"/>
      <c r="E737" s="137" t="n"/>
      <c r="F737" s="137" t="n"/>
      <c r="G737" s="137" t="n"/>
      <c r="I737" s="56">
        <f>DADOS_INVOC!$PZ$44</f>
        <v/>
      </c>
      <c r="J737" s="16" t="n"/>
      <c r="K737" s="16" t="n"/>
      <c r="L737" s="16" t="n"/>
      <c r="M737" s="17" t="n"/>
      <c r="N737" s="137" t="n"/>
      <c r="O737" s="56">
        <f>DADOS_INVOC!$PZ$45</f>
        <v/>
      </c>
      <c r="P737" s="16" t="n"/>
      <c r="Q737" s="16" t="n"/>
      <c r="R737" s="16" t="n"/>
      <c r="S737" s="17" t="n"/>
      <c r="T737" s="137" t="n"/>
      <c r="U737" s="56">
        <f>DADOS_INVOC!$PZ$46</f>
        <v/>
      </c>
      <c r="V737" s="16" t="n"/>
      <c r="W737" s="16" t="n"/>
      <c r="X737" s="16" t="n"/>
      <c r="Y737" s="17" t="n"/>
      <c r="Z737" s="137" t="n"/>
      <c r="AB737" s="56">
        <f>DADOS_INVOC!$PZ$122</f>
        <v/>
      </c>
      <c r="AC737" s="16" t="n"/>
      <c r="AD737" s="16" t="n"/>
      <c r="AE737" s="16" t="n"/>
      <c r="AF737" s="17" t="n"/>
      <c r="AG737" s="137" t="n"/>
      <c r="AH737" s="56">
        <f>DADOS_INVOC!$PZ$123</f>
        <v/>
      </c>
      <c r="AI737" s="16" t="n"/>
      <c r="AJ737" s="16" t="n"/>
      <c r="AK737" s="16" t="n"/>
      <c r="AL737" s="17" t="n"/>
      <c r="AM737" s="137" t="n"/>
      <c r="AN737" s="56">
        <f>DADOS_INVOC!$PZ$124</f>
        <v/>
      </c>
      <c r="AO737" s="16" t="n"/>
      <c r="AP737" s="16" t="n"/>
      <c r="AQ737" s="16" t="n"/>
      <c r="AR737" s="17" t="n"/>
      <c r="AS737" s="137" t="n"/>
    </row>
    <row r="738" hidden="1" outlineLevel="2">
      <c r="A738" s="8" t="n"/>
      <c r="B738" s="14" t="n"/>
      <c r="C738" s="137" t="n"/>
      <c r="D738" s="137" t="n"/>
      <c r="E738" s="137" t="n"/>
      <c r="F738" s="137" t="n"/>
      <c r="G738" s="137" t="n"/>
      <c r="I738" s="141" t="n">
        <v>0</v>
      </c>
      <c r="J738" s="131" t="n"/>
      <c r="K738" s="16" t="n"/>
      <c r="L738" s="17" t="n"/>
      <c r="M738" s="142">
        <f>DADOS_INVOC!$PX$44</f>
        <v/>
      </c>
      <c r="N738" s="137" t="n"/>
      <c r="O738" s="141" t="n">
        <v>1</v>
      </c>
      <c r="P738" s="131" t="n"/>
      <c r="Q738" s="16" t="n"/>
      <c r="R738" s="17" t="n"/>
      <c r="S738" s="142">
        <f>DADOS_INVOC!$PX$45</f>
        <v/>
      </c>
      <c r="T738" s="137" t="n"/>
      <c r="U738" s="141" t="n">
        <v>1</v>
      </c>
      <c r="V738" s="131" t="n"/>
      <c r="W738" s="16" t="n"/>
      <c r="X738" s="17" t="n"/>
      <c r="Y738" s="142">
        <f>DADOS_INVOC!$PX$46</f>
        <v/>
      </c>
      <c r="Z738" s="137" t="n"/>
      <c r="AB738" s="141" t="n">
        <v>0</v>
      </c>
      <c r="AC738" s="131" t="n"/>
      <c r="AD738" s="16" t="n"/>
      <c r="AE738" s="17" t="n"/>
      <c r="AF738" s="142">
        <f>DADOS_INVOC!$PX$122</f>
        <v/>
      </c>
      <c r="AG738" s="137" t="n"/>
      <c r="AH738" s="141" t="n">
        <v>1</v>
      </c>
      <c r="AI738" s="131" t="n"/>
      <c r="AJ738" s="16" t="n"/>
      <c r="AK738" s="17" t="n"/>
      <c r="AL738" s="142">
        <f>DADOS_INVOC!$PX$123</f>
        <v/>
      </c>
      <c r="AM738" s="137" t="n"/>
      <c r="AN738" s="141" t="n">
        <v>1</v>
      </c>
      <c r="AO738" s="131" t="n"/>
      <c r="AP738" s="16" t="n"/>
      <c r="AQ738" s="17" t="n"/>
      <c r="AR738" s="142">
        <f>DADOS_INVOC!$PX$124</f>
        <v/>
      </c>
      <c r="AS738" s="137" t="n"/>
    </row>
    <row r="739" hidden="1" outlineLevel="3">
      <c r="A739" s="8" t="n"/>
      <c r="B739" s="14" t="n"/>
      <c r="C739" s="137" t="n"/>
      <c r="D739" s="137" t="n"/>
      <c r="E739" s="137" t="n"/>
      <c r="F739" s="137" t="n"/>
      <c r="G739" s="137" t="n"/>
      <c r="I739" s="56" t="inlineStr">
        <is>
          <t>COMO É</t>
        </is>
      </c>
      <c r="J739" s="16" t="n"/>
      <c r="K739" s="16" t="n"/>
      <c r="L739" s="16" t="n"/>
      <c r="M739" s="17" t="n"/>
      <c r="N739" s="137" t="n"/>
      <c r="O739" s="56" t="inlineStr">
        <is>
          <t>COMO É</t>
        </is>
      </c>
      <c r="P739" s="16" t="n"/>
      <c r="Q739" s="16" t="n"/>
      <c r="R739" s="16" t="n"/>
      <c r="S739" s="17" t="n"/>
      <c r="T739" s="137" t="n"/>
      <c r="U739" s="56" t="inlineStr">
        <is>
          <t>COMO É</t>
        </is>
      </c>
      <c r="V739" s="16" t="n"/>
      <c r="W739" s="16" t="n"/>
      <c r="X739" s="16" t="n"/>
      <c r="Y739" s="17" t="n"/>
      <c r="Z739" s="137" t="n"/>
      <c r="AB739" s="56" t="inlineStr">
        <is>
          <t>COMO É</t>
        </is>
      </c>
      <c r="AC739" s="16" t="n"/>
      <c r="AD739" s="16" t="n"/>
      <c r="AE739" s="16" t="n"/>
      <c r="AF739" s="17" t="n"/>
      <c r="AG739" s="137" t="n"/>
      <c r="AH739" s="56" t="inlineStr">
        <is>
          <t>COMO É</t>
        </is>
      </c>
      <c r="AI739" s="16" t="n"/>
      <c r="AJ739" s="16" t="n"/>
      <c r="AK739" s="16" t="n"/>
      <c r="AL739" s="17" t="n"/>
      <c r="AM739" s="137" t="n"/>
      <c r="AN739" s="56" t="inlineStr">
        <is>
          <t>COMO É</t>
        </is>
      </c>
      <c r="AO739" s="16" t="n"/>
      <c r="AP739" s="16" t="n"/>
      <c r="AQ739" s="16" t="n"/>
      <c r="AR739" s="17" t="n"/>
      <c r="AS739" s="137" t="n"/>
    </row>
    <row r="740" hidden="1" outlineLevel="3">
      <c r="A740" s="8" t="n"/>
      <c r="B740" s="14" t="n"/>
      <c r="C740" s="137" t="n"/>
      <c r="D740" s="137" t="n"/>
      <c r="E740" s="137" t="n"/>
      <c r="F740" s="137" t="n"/>
      <c r="G740" s="137" t="n"/>
      <c r="I740" s="61" t="n"/>
      <c r="J740" s="19" t="n"/>
      <c r="K740" s="19" t="n"/>
      <c r="L740" s="19" t="n"/>
      <c r="M740" s="20" t="n"/>
      <c r="N740" s="137" t="n"/>
      <c r="O740" s="61" t="n"/>
      <c r="P740" s="19" t="n"/>
      <c r="Q740" s="19" t="n"/>
      <c r="R740" s="19" t="n"/>
      <c r="S740" s="20" t="n"/>
      <c r="T740" s="137" t="n"/>
      <c r="U740" s="61" t="n"/>
      <c r="V740" s="19" t="n"/>
      <c r="W740" s="19" t="n"/>
      <c r="X740" s="19" t="n"/>
      <c r="Y740" s="20" t="n"/>
      <c r="Z740" s="137" t="n"/>
      <c r="AB740" s="61" t="n"/>
      <c r="AC740" s="19" t="n"/>
      <c r="AD740" s="19" t="n"/>
      <c r="AE740" s="19" t="n"/>
      <c r="AF740" s="20" t="n"/>
      <c r="AG740" s="137" t="n"/>
      <c r="AH740" s="61" t="n"/>
      <c r="AI740" s="19" t="n"/>
      <c r="AJ740" s="19" t="n"/>
      <c r="AK740" s="19" t="n"/>
      <c r="AL740" s="20" t="n"/>
      <c r="AM740" s="137" t="n"/>
      <c r="AN740" s="61" t="n"/>
      <c r="AO740" s="19" t="n"/>
      <c r="AP740" s="19" t="n"/>
      <c r="AQ740" s="19" t="n"/>
      <c r="AR740" s="20" t="n"/>
      <c r="AS740" s="137" t="n"/>
    </row>
    <row r="741" hidden="1" outlineLevel="3">
      <c r="A741" s="8" t="n"/>
      <c r="B741" s="14" t="n"/>
      <c r="C741" s="137" t="n"/>
      <c r="D741" s="137" t="n"/>
      <c r="E741" s="137" t="n"/>
      <c r="F741" s="137" t="n"/>
      <c r="G741" s="137" t="n"/>
      <c r="I741" s="21" t="n"/>
      <c r="M741" s="22" t="n"/>
      <c r="N741" s="137" t="n"/>
      <c r="O741" s="21" t="n"/>
      <c r="S741" s="22" t="n"/>
      <c r="T741" s="137" t="n"/>
      <c r="U741" s="21" t="n"/>
      <c r="Y741" s="22" t="n"/>
      <c r="Z741" s="137" t="n"/>
      <c r="AB741" s="21" t="n"/>
      <c r="AF741" s="22" t="n"/>
      <c r="AG741" s="137" t="n"/>
      <c r="AH741" s="21" t="n"/>
      <c r="AL741" s="22" t="n"/>
      <c r="AM741" s="137" t="n"/>
      <c r="AN741" s="21" t="n"/>
      <c r="AR741" s="22" t="n"/>
      <c r="AS741" s="137" t="n"/>
    </row>
    <row r="742" hidden="1" outlineLevel="3">
      <c r="A742" s="8" t="n"/>
      <c r="B742" s="14" t="n"/>
      <c r="C742" s="137" t="n"/>
      <c r="D742" s="137" t="n"/>
      <c r="E742" s="137" t="n"/>
      <c r="F742" s="137" t="n"/>
      <c r="G742" s="137" t="n"/>
      <c r="I742" s="23" t="n"/>
      <c r="J742" s="24" t="n"/>
      <c r="K742" s="24" t="n"/>
      <c r="L742" s="24" t="n"/>
      <c r="M742" s="25" t="n"/>
      <c r="N742" s="137" t="n"/>
      <c r="O742" s="23" t="n"/>
      <c r="P742" s="24" t="n"/>
      <c r="Q742" s="24" t="n"/>
      <c r="R742" s="24" t="n"/>
      <c r="S742" s="25" t="n"/>
      <c r="T742" s="137" t="n"/>
      <c r="U742" s="23" t="n"/>
      <c r="V742" s="24" t="n"/>
      <c r="W742" s="24" t="n"/>
      <c r="X742" s="24" t="n"/>
      <c r="Y742" s="25" t="n"/>
      <c r="Z742" s="137" t="n"/>
      <c r="AB742" s="23" t="n"/>
      <c r="AC742" s="24" t="n"/>
      <c r="AD742" s="24" t="n"/>
      <c r="AE742" s="24" t="n"/>
      <c r="AF742" s="25" t="n"/>
      <c r="AG742" s="137" t="n"/>
      <c r="AH742" s="23" t="n"/>
      <c r="AI742" s="24" t="n"/>
      <c r="AJ742" s="24" t="n"/>
      <c r="AK742" s="24" t="n"/>
      <c r="AL742" s="25" t="n"/>
      <c r="AM742" s="137" t="n"/>
      <c r="AN742" s="23" t="n"/>
      <c r="AO742" s="24" t="n"/>
      <c r="AP742" s="24" t="n"/>
      <c r="AQ742" s="24" t="n"/>
      <c r="AR742" s="25" t="n"/>
      <c r="AS742" s="137" t="n"/>
    </row>
    <row r="743" hidden="1" outlineLevel="2">
      <c r="A743" s="8" t="n"/>
      <c r="B743" s="14" t="n"/>
      <c r="C743" s="137" t="n"/>
      <c r="D743" s="137" t="n"/>
      <c r="E743" s="137" t="n"/>
      <c r="F743" s="137" t="n"/>
      <c r="G743" s="137" t="n"/>
      <c r="I743" s="95" t="inlineStr">
        <is>
          <t>Projétil</t>
        </is>
      </c>
      <c r="J743" s="17" t="n"/>
      <c r="K743" s="71">
        <f>DADOS_INVOC!$QE$44</f>
        <v/>
      </c>
      <c r="L743" s="17" t="n"/>
      <c r="M743" s="71">
        <f>DADOS_INVOC!$QA$44</f>
        <v/>
      </c>
      <c r="N743" s="137" t="n"/>
      <c r="O743" s="95" t="inlineStr">
        <is>
          <t>Projétil</t>
        </is>
      </c>
      <c r="P743" s="17" t="n"/>
      <c r="Q743" s="71">
        <f>DADOS_INVOC!$QE$45</f>
        <v/>
      </c>
      <c r="R743" s="17" t="n"/>
      <c r="S743" s="71">
        <f>DADOS_INVOC!$QA$45</f>
        <v/>
      </c>
      <c r="T743" s="137" t="n"/>
      <c r="U743" s="95" t="inlineStr">
        <is>
          <t>Projétil</t>
        </is>
      </c>
      <c r="V743" s="17" t="n"/>
      <c r="W743" s="71">
        <f>DADOS_INVOC!$QE$46</f>
        <v/>
      </c>
      <c r="X743" s="17" t="n"/>
      <c r="Y743" s="71">
        <f>DADOS_INVOC!$QA$46</f>
        <v/>
      </c>
      <c r="Z743" s="137" t="n"/>
      <c r="AB743" s="95" t="inlineStr">
        <is>
          <t>Projétil</t>
        </is>
      </c>
      <c r="AC743" s="17" t="n"/>
      <c r="AD743" s="71">
        <f>DADOS_INVOC!$QE$122</f>
        <v/>
      </c>
      <c r="AE743" s="17" t="n"/>
      <c r="AF743" s="71">
        <f>DADOS_INVOC!$QA$122</f>
        <v/>
      </c>
      <c r="AG743" s="137" t="n"/>
      <c r="AH743" s="95" t="inlineStr">
        <is>
          <t>Projétil</t>
        </is>
      </c>
      <c r="AI743" s="17" t="n"/>
      <c r="AJ743" s="71">
        <f>DADOS_INVOC!$QE$123</f>
        <v/>
      </c>
      <c r="AK743" s="17" t="n"/>
      <c r="AL743" s="71">
        <f>DADOS_INVOC!$QA$123</f>
        <v/>
      </c>
      <c r="AM743" s="137" t="n"/>
      <c r="AN743" s="95" t="inlineStr">
        <is>
          <t>Projétil</t>
        </is>
      </c>
      <c r="AO743" s="17" t="n"/>
      <c r="AP743" s="71">
        <f>DADOS_INVOC!$QE$124</f>
        <v/>
      </c>
      <c r="AQ743" s="17" t="n"/>
      <c r="AR743" s="71">
        <f>DADOS_INVOC!$QA$124</f>
        <v/>
      </c>
      <c r="AS743" s="137" t="n"/>
    </row>
    <row r="744" hidden="1" outlineLevel="2">
      <c r="A744" s="8" t="n"/>
      <c r="B744" s="14" t="n"/>
      <c r="C744" s="137" t="n"/>
      <c r="D744" s="137" t="n"/>
      <c r="E744" s="137" t="n"/>
      <c r="F744" s="137" t="n"/>
      <c r="G744" s="137" t="n"/>
      <c r="I744" s="95" t="n"/>
      <c r="J744" s="17" t="n"/>
      <c r="K744" s="95" t="n"/>
      <c r="L744" s="16" t="n"/>
      <c r="M744" s="17" t="n"/>
      <c r="N744" s="137" t="n"/>
      <c r="O744" s="95" t="n"/>
      <c r="P744" s="17" t="n"/>
      <c r="Q744" s="95" t="n"/>
      <c r="R744" s="16" t="n"/>
      <c r="S744" s="17" t="n"/>
      <c r="T744" s="137" t="n"/>
      <c r="U744" s="95" t="n"/>
      <c r="V744" s="17" t="n"/>
      <c r="W744" s="95" t="n"/>
      <c r="X744" s="16" t="n"/>
      <c r="Y744" s="17" t="n"/>
      <c r="Z744" s="137" t="n"/>
      <c r="AB744" s="95" t="n"/>
      <c r="AC744" s="17" t="n"/>
      <c r="AD744" s="95" t="n"/>
      <c r="AE744" s="16" t="n"/>
      <c r="AF744" s="17" t="n"/>
      <c r="AG744" s="137" t="n"/>
      <c r="AH744" s="95" t="n"/>
      <c r="AI744" s="17" t="n"/>
      <c r="AJ744" s="95" t="n"/>
      <c r="AK744" s="16" t="n"/>
      <c r="AL744" s="17" t="n"/>
      <c r="AM744" s="137" t="n"/>
      <c r="AN744" s="95" t="n"/>
      <c r="AO744" s="17" t="n"/>
      <c r="AP744" s="95" t="n"/>
      <c r="AQ744" s="16" t="n"/>
      <c r="AR744" s="17" t="n"/>
      <c r="AS744" s="137" t="n"/>
    </row>
    <row r="745" hidden="1" outlineLevel="2">
      <c r="A745" s="8" t="n"/>
      <c r="B745" s="14" t="n"/>
      <c r="C745" s="137" t="n"/>
      <c r="D745" s="137" t="n"/>
      <c r="E745" s="137" t="n"/>
      <c r="F745" s="137" t="n"/>
      <c r="G745" s="137" t="n"/>
      <c r="I745" s="95">
        <f>DADOS_INVOC!$QB$44</f>
        <v/>
      </c>
      <c r="J745" s="17" t="n"/>
      <c r="K745" s="95">
        <f>DADOS_INVOC!$QD$44</f>
        <v/>
      </c>
      <c r="L745" s="16" t="n"/>
      <c r="M745" s="17" t="n"/>
      <c r="N745" s="137" t="n"/>
      <c r="O745" s="95">
        <f>DADOS_INVOC!$QB$45</f>
        <v/>
      </c>
      <c r="P745" s="17" t="n"/>
      <c r="Q745" s="95">
        <f>DADOS_INVOC!$QD$45</f>
        <v/>
      </c>
      <c r="R745" s="16" t="n"/>
      <c r="S745" s="17" t="n"/>
      <c r="T745" s="137" t="n"/>
      <c r="U745" s="95">
        <f>DADOS_INVOC!$QB$46</f>
        <v/>
      </c>
      <c r="V745" s="17" t="n"/>
      <c r="W745" s="95">
        <f>DADOS_INVOC!$QD$46</f>
        <v/>
      </c>
      <c r="X745" s="16" t="n"/>
      <c r="Y745" s="17" t="n"/>
      <c r="Z745" s="137" t="n"/>
      <c r="AB745" s="95">
        <f>DADOS_INVOC!$QB$122</f>
        <v/>
      </c>
      <c r="AC745" s="17" t="n"/>
      <c r="AD745" s="95">
        <f>DADOS_INVOC!$QD$122</f>
        <v/>
      </c>
      <c r="AE745" s="16" t="n"/>
      <c r="AF745" s="17" t="n"/>
      <c r="AG745" s="137" t="n"/>
      <c r="AH745" s="95">
        <f>DADOS_INVOC!$QB$123</f>
        <v/>
      </c>
      <c r="AI745" s="17" t="n"/>
      <c r="AJ745" s="95">
        <f>DADOS_INVOC!$QD$123</f>
        <v/>
      </c>
      <c r="AK745" s="16" t="n"/>
      <c r="AL745" s="17" t="n"/>
      <c r="AM745" s="137" t="n"/>
      <c r="AN745" s="95">
        <f>DADOS_INVOC!$QB$124</f>
        <v/>
      </c>
      <c r="AO745" s="17" t="n"/>
      <c r="AP745" s="95">
        <f>DADOS_INVOC!$QD$124</f>
        <v/>
      </c>
      <c r="AQ745" s="16" t="n"/>
      <c r="AR745" s="17" t="n"/>
      <c r="AS745" s="137" t="n"/>
    </row>
    <row r="746" hidden="1" outlineLevel="2">
      <c r="A746" s="8" t="n"/>
      <c r="B746" s="14" t="n"/>
      <c r="C746" s="137" t="n"/>
      <c r="D746" s="137" t="n"/>
      <c r="E746" s="137" t="n"/>
      <c r="F746" s="137" t="n"/>
      <c r="G746" s="137" t="n"/>
      <c r="I746" s="143">
        <f>DADOS_INVOC!$QJ$44</f>
        <v/>
      </c>
      <c r="J746" s="16" t="n"/>
      <c r="K746" s="16" t="n"/>
      <c r="L746" s="16" t="n"/>
      <c r="M746" s="17" t="n"/>
      <c r="N746" s="137" t="n"/>
      <c r="O746" s="143">
        <f>DADOS_INVOC!$QJ$45</f>
        <v/>
      </c>
      <c r="P746" s="16" t="n"/>
      <c r="Q746" s="16" t="n"/>
      <c r="R746" s="16" t="n"/>
      <c r="S746" s="17" t="n"/>
      <c r="T746" s="137" t="n"/>
      <c r="U746" s="143">
        <f>DADOS_INVOC!$QJ$46</f>
        <v/>
      </c>
      <c r="V746" s="16" t="n"/>
      <c r="W746" s="16" t="n"/>
      <c r="X746" s="16" t="n"/>
      <c r="Y746" s="17" t="n"/>
      <c r="Z746" s="137" t="n"/>
      <c r="AB746" s="143">
        <f>DADOS_INVOC!$QJ$122</f>
        <v/>
      </c>
      <c r="AC746" s="16" t="n"/>
      <c r="AD746" s="16" t="n"/>
      <c r="AE746" s="16" t="n"/>
      <c r="AF746" s="17" t="n"/>
      <c r="AG746" s="137" t="n"/>
      <c r="AH746" s="143">
        <f>DADOS_INVOC!$QJ$123</f>
        <v/>
      </c>
      <c r="AI746" s="16" t="n"/>
      <c r="AJ746" s="16" t="n"/>
      <c r="AK746" s="16" t="n"/>
      <c r="AL746" s="17" t="n"/>
      <c r="AM746" s="137" t="n"/>
      <c r="AN746" s="143">
        <f>DADOS_INVOC!$QJ$124</f>
        <v/>
      </c>
      <c r="AO746" s="16" t="n"/>
      <c r="AP746" s="16" t="n"/>
      <c r="AQ746" s="16" t="n"/>
      <c r="AR746" s="17" t="n"/>
      <c r="AS746" s="137" t="n"/>
    </row>
    <row r="747" hidden="1" outlineLevel="3">
      <c r="A747" s="8" t="n"/>
      <c r="B747" s="14" t="n"/>
      <c r="C747" s="137" t="n"/>
      <c r="D747" s="137" t="n"/>
      <c r="E747" s="137" t="n"/>
      <c r="F747" s="137" t="n"/>
      <c r="G747" s="137" t="n"/>
      <c r="I747" s="56" t="inlineStr">
        <is>
          <t>MELHORIAS</t>
        </is>
      </c>
      <c r="J747" s="144" t="n"/>
      <c r="K747" s="16" t="n"/>
      <c r="L747" s="17" t="n"/>
      <c r="M747" s="143">
        <f>DADOS_INVOC!$QM$44</f>
        <v/>
      </c>
      <c r="N747" s="137" t="n"/>
      <c r="O747" s="56" t="inlineStr">
        <is>
          <t>MELHORIAS</t>
        </is>
      </c>
      <c r="P747" s="144" t="n"/>
      <c r="Q747" s="16" t="n"/>
      <c r="R747" s="17" t="n"/>
      <c r="S747" s="143">
        <f>DADOS_INVOC!$QM$45</f>
        <v/>
      </c>
      <c r="T747" s="137" t="n"/>
      <c r="U747" s="56" t="inlineStr">
        <is>
          <t>MELHORIAS</t>
        </is>
      </c>
      <c r="V747" s="144" t="n"/>
      <c r="W747" s="16" t="n"/>
      <c r="X747" s="17" t="n"/>
      <c r="Y747" s="143">
        <f>DADOS_INVOC!$QM$46</f>
        <v/>
      </c>
      <c r="Z747" s="137" t="n"/>
      <c r="AB747" s="56" t="inlineStr">
        <is>
          <t>MELHORIAS</t>
        </is>
      </c>
      <c r="AC747" s="144" t="n"/>
      <c r="AD747" s="16" t="n"/>
      <c r="AE747" s="17" t="n"/>
      <c r="AF747" s="143">
        <f>DADOS_INVOC!$QM$122</f>
        <v/>
      </c>
      <c r="AG747" s="137" t="n"/>
      <c r="AH747" s="56" t="inlineStr">
        <is>
          <t>MELHORIAS</t>
        </is>
      </c>
      <c r="AI747" s="144" t="n"/>
      <c r="AJ747" s="16" t="n"/>
      <c r="AK747" s="17" t="n"/>
      <c r="AL747" s="143">
        <f>DADOS_INVOC!$QM$123</f>
        <v/>
      </c>
      <c r="AM747" s="137" t="n"/>
      <c r="AN747" s="56" t="inlineStr">
        <is>
          <t>MELHORIAS</t>
        </is>
      </c>
      <c r="AO747" s="144" t="n"/>
      <c r="AP747" s="16" t="n"/>
      <c r="AQ747" s="17" t="n"/>
      <c r="AR747" s="143">
        <f>DADOS_INVOC!$QM$124</f>
        <v/>
      </c>
      <c r="AS747" s="137" t="n"/>
    </row>
    <row r="748" hidden="1" outlineLevel="3">
      <c r="A748" s="8" t="n"/>
      <c r="B748" s="14" t="n"/>
      <c r="C748" s="137" t="n"/>
      <c r="D748" s="137" t="n"/>
      <c r="E748" s="137" t="n"/>
      <c r="F748" s="137" t="n"/>
      <c r="G748" s="137" t="n"/>
      <c r="I748" s="66" t="n"/>
      <c r="J748" s="144" t="n"/>
      <c r="K748" s="16" t="n"/>
      <c r="L748" s="17" t="n"/>
      <c r="M748" s="143">
        <f>DADOS_INVOC!$QN$44</f>
        <v/>
      </c>
      <c r="N748" s="137" t="n"/>
      <c r="O748" s="66" t="n"/>
      <c r="P748" s="144" t="n"/>
      <c r="Q748" s="16" t="n"/>
      <c r="R748" s="17" t="n"/>
      <c r="S748" s="143">
        <f>DADOS_INVOC!$QN$45</f>
        <v/>
      </c>
      <c r="T748" s="137" t="n"/>
      <c r="U748" s="66" t="n"/>
      <c r="V748" s="144" t="n"/>
      <c r="W748" s="16" t="n"/>
      <c r="X748" s="17" t="n"/>
      <c r="Y748" s="143">
        <f>DADOS_INVOC!$QN$46</f>
        <v/>
      </c>
      <c r="Z748" s="137" t="n"/>
      <c r="AB748" s="66" t="n"/>
      <c r="AC748" s="144" t="n"/>
      <c r="AD748" s="16" t="n"/>
      <c r="AE748" s="17" t="n"/>
      <c r="AF748" s="143">
        <f>DADOS_INVOC!$QN$122</f>
        <v/>
      </c>
      <c r="AG748" s="137" t="n"/>
      <c r="AH748" s="66" t="n"/>
      <c r="AI748" s="144" t="n"/>
      <c r="AJ748" s="16" t="n"/>
      <c r="AK748" s="17" t="n"/>
      <c r="AL748" s="143">
        <f>DADOS_INVOC!$QN$123</f>
        <v/>
      </c>
      <c r="AM748" s="137" t="n"/>
      <c r="AN748" s="66" t="n"/>
      <c r="AO748" s="144" t="n"/>
      <c r="AP748" s="16" t="n"/>
      <c r="AQ748" s="17" t="n"/>
      <c r="AR748" s="143">
        <f>DADOS_INVOC!$QN$124</f>
        <v/>
      </c>
      <c r="AS748" s="137" t="n"/>
    </row>
    <row r="749" hidden="1" outlineLevel="3">
      <c r="A749" s="8" t="n"/>
      <c r="B749" s="14" t="n"/>
      <c r="C749" s="137" t="n"/>
      <c r="D749" s="137" t="n"/>
      <c r="E749" s="137" t="n"/>
      <c r="F749" s="137" t="n"/>
      <c r="G749" s="137" t="n"/>
      <c r="I749" s="66" t="n"/>
      <c r="J749" s="144" t="n"/>
      <c r="K749" s="16" t="n"/>
      <c r="L749" s="17" t="n"/>
      <c r="M749" s="143">
        <f>DADOS_INVOC!$QO$44</f>
        <v/>
      </c>
      <c r="N749" s="137" t="n"/>
      <c r="O749" s="66" t="n"/>
      <c r="P749" s="144" t="n"/>
      <c r="Q749" s="16" t="n"/>
      <c r="R749" s="17" t="n"/>
      <c r="S749" s="143">
        <f>DADOS_INVOC!$QO$45</f>
        <v/>
      </c>
      <c r="T749" s="137" t="n"/>
      <c r="U749" s="66" t="n"/>
      <c r="V749" s="144" t="n"/>
      <c r="W749" s="16" t="n"/>
      <c r="X749" s="17" t="n"/>
      <c r="Y749" s="143">
        <f>DADOS_INVOC!$QO$46</f>
        <v/>
      </c>
      <c r="Z749" s="137" t="n"/>
      <c r="AB749" s="66" t="n"/>
      <c r="AC749" s="144" t="n"/>
      <c r="AD749" s="16" t="n"/>
      <c r="AE749" s="17" t="n"/>
      <c r="AF749" s="143">
        <f>DADOS_INVOC!$QO$122</f>
        <v/>
      </c>
      <c r="AG749" s="137" t="n"/>
      <c r="AH749" s="66" t="n"/>
      <c r="AI749" s="144" t="n"/>
      <c r="AJ749" s="16" t="n"/>
      <c r="AK749" s="17" t="n"/>
      <c r="AL749" s="143">
        <f>DADOS_INVOC!$QO$123</f>
        <v/>
      </c>
      <c r="AM749" s="137" t="n"/>
      <c r="AN749" s="66" t="n"/>
      <c r="AO749" s="144" t="n"/>
      <c r="AP749" s="16" t="n"/>
      <c r="AQ749" s="17" t="n"/>
      <c r="AR749" s="143">
        <f>DADOS_INVOC!$QO$124</f>
        <v/>
      </c>
      <c r="AS749" s="137" t="n"/>
    </row>
    <row r="750" hidden="1" outlineLevel="3">
      <c r="A750" s="8" t="n"/>
      <c r="B750" s="14" t="n"/>
      <c r="C750" s="137" t="n"/>
      <c r="D750" s="137" t="n"/>
      <c r="E750" s="137" t="n"/>
      <c r="F750" s="137" t="n"/>
      <c r="G750" s="137" t="n"/>
      <c r="I750" s="128" t="n"/>
      <c r="J750" s="144" t="n"/>
      <c r="K750" s="16" t="n"/>
      <c r="L750" s="17" t="n"/>
      <c r="M750" s="143">
        <f>DADOS_INVOC!$QP$44</f>
        <v/>
      </c>
      <c r="N750" s="137" t="n"/>
      <c r="O750" s="128" t="n"/>
      <c r="P750" s="144" t="n"/>
      <c r="Q750" s="16" t="n"/>
      <c r="R750" s="17" t="n"/>
      <c r="S750" s="143">
        <f>DADOS_INVOC!$QP$45</f>
        <v/>
      </c>
      <c r="T750" s="137" t="n"/>
      <c r="U750" s="128" t="n"/>
      <c r="V750" s="144" t="n"/>
      <c r="W750" s="16" t="n"/>
      <c r="X750" s="17" t="n"/>
      <c r="Y750" s="143">
        <f>DADOS_INVOC!$QP$46</f>
        <v/>
      </c>
      <c r="Z750" s="137" t="n"/>
      <c r="AB750" s="128" t="n"/>
      <c r="AC750" s="144" t="n"/>
      <c r="AD750" s="16" t="n"/>
      <c r="AE750" s="17" t="n"/>
      <c r="AF750" s="143">
        <f>DADOS_INVOC!$QP$122</f>
        <v/>
      </c>
      <c r="AG750" s="137" t="n"/>
      <c r="AH750" s="128" t="n"/>
      <c r="AI750" s="144" t="n"/>
      <c r="AJ750" s="16" t="n"/>
      <c r="AK750" s="17" t="n"/>
      <c r="AL750" s="143">
        <f>DADOS_INVOC!$QP$123</f>
        <v/>
      </c>
      <c r="AM750" s="137" t="n"/>
      <c r="AN750" s="128" t="n"/>
      <c r="AO750" s="144" t="n"/>
      <c r="AP750" s="16" t="n"/>
      <c r="AQ750" s="17" t="n"/>
      <c r="AR750" s="143">
        <f>DADOS_INVOC!$QP$124</f>
        <v/>
      </c>
      <c r="AS750" s="137" t="n"/>
    </row>
    <row r="751" hidden="1" outlineLevel="3">
      <c r="A751" s="8" t="n"/>
      <c r="B751" s="14" t="n"/>
      <c r="C751" s="137" t="n"/>
      <c r="D751" s="137" t="n"/>
      <c r="E751" s="137" t="n"/>
      <c r="F751" s="137" t="n"/>
      <c r="G751" s="137" t="n"/>
      <c r="I751" s="56" t="inlineStr">
        <is>
          <t>RESTRIÇÕES</t>
        </is>
      </c>
      <c r="J751" s="144" t="n"/>
      <c r="K751" s="16" t="n"/>
      <c r="L751" s="17" t="n"/>
      <c r="M751" s="143">
        <f>DADOS_INVOC!$QQ$44</f>
        <v/>
      </c>
      <c r="N751" s="137" t="n"/>
      <c r="O751" s="56" t="inlineStr">
        <is>
          <t>RESTRIÇÕES</t>
        </is>
      </c>
      <c r="P751" s="144" t="n"/>
      <c r="Q751" s="16" t="n"/>
      <c r="R751" s="17" t="n"/>
      <c r="S751" s="143">
        <f>DADOS_INVOC!$QQ$45</f>
        <v/>
      </c>
      <c r="T751" s="137" t="n"/>
      <c r="U751" s="56" t="inlineStr">
        <is>
          <t>RESTRIÇÕES</t>
        </is>
      </c>
      <c r="V751" s="144" t="n"/>
      <c r="W751" s="16" t="n"/>
      <c r="X751" s="17" t="n"/>
      <c r="Y751" s="143">
        <f>DADOS_INVOC!$QQ$46</f>
        <v/>
      </c>
      <c r="Z751" s="137" t="n"/>
      <c r="AB751" s="56" t="inlineStr">
        <is>
          <t>RESTRIÇÕES</t>
        </is>
      </c>
      <c r="AC751" s="144" t="n"/>
      <c r="AD751" s="16" t="n"/>
      <c r="AE751" s="17" t="n"/>
      <c r="AF751" s="143">
        <f>DADOS_INVOC!$QQ$122</f>
        <v/>
      </c>
      <c r="AG751" s="137" t="n"/>
      <c r="AH751" s="56" t="inlineStr">
        <is>
          <t>RESTRIÇÕES</t>
        </is>
      </c>
      <c r="AI751" s="144" t="n"/>
      <c r="AJ751" s="16" t="n"/>
      <c r="AK751" s="17" t="n"/>
      <c r="AL751" s="143">
        <f>DADOS_INVOC!$QQ$123</f>
        <v/>
      </c>
      <c r="AM751" s="137" t="n"/>
      <c r="AN751" s="56" t="inlineStr">
        <is>
          <t>RESTRIÇÕES</t>
        </is>
      </c>
      <c r="AO751" s="144" t="n"/>
      <c r="AP751" s="16" t="n"/>
      <c r="AQ751" s="17" t="n"/>
      <c r="AR751" s="143">
        <f>DADOS_INVOC!$QQ$124</f>
        <v/>
      </c>
      <c r="AS751" s="137" t="n"/>
    </row>
    <row r="752" hidden="1" outlineLevel="3">
      <c r="A752" s="8" t="n"/>
      <c r="B752" s="14" t="n"/>
      <c r="C752" s="137" t="n"/>
      <c r="D752" s="137" t="n"/>
      <c r="E752" s="137" t="n"/>
      <c r="F752" s="137" t="n"/>
      <c r="G752" s="137" t="n"/>
      <c r="I752" s="128" t="n"/>
      <c r="J752" s="144" t="n"/>
      <c r="K752" s="16" t="n"/>
      <c r="L752" s="17" t="n"/>
      <c r="M752" s="143">
        <f>DADOS_INVOC!$QR$44</f>
        <v/>
      </c>
      <c r="N752" s="137" t="n"/>
      <c r="O752" s="128" t="n"/>
      <c r="P752" s="144" t="n"/>
      <c r="Q752" s="16" t="n"/>
      <c r="R752" s="17" t="n"/>
      <c r="S752" s="143">
        <f>DADOS_INVOC!$QR$45</f>
        <v/>
      </c>
      <c r="T752" s="137" t="n"/>
      <c r="U752" s="128" t="n"/>
      <c r="V752" s="144" t="n"/>
      <c r="W752" s="16" t="n"/>
      <c r="X752" s="17" t="n"/>
      <c r="Y752" s="143">
        <f>DADOS_INVOC!$QR$46</f>
        <v/>
      </c>
      <c r="Z752" s="137" t="n"/>
      <c r="AB752" s="128" t="n"/>
      <c r="AC752" s="144" t="n"/>
      <c r="AD752" s="16" t="n"/>
      <c r="AE752" s="17" t="n"/>
      <c r="AF752" s="143">
        <f>DADOS_INVOC!$QR$122</f>
        <v/>
      </c>
      <c r="AG752" s="137" t="n"/>
      <c r="AH752" s="128" t="n"/>
      <c r="AI752" s="144" t="n"/>
      <c r="AJ752" s="16" t="n"/>
      <c r="AK752" s="17" t="n"/>
      <c r="AL752" s="143">
        <f>DADOS_INVOC!$QR$123</f>
        <v/>
      </c>
      <c r="AM752" s="137" t="n"/>
      <c r="AN752" s="128" t="n"/>
      <c r="AO752" s="144" t="n"/>
      <c r="AP752" s="16" t="n"/>
      <c r="AQ752" s="17" t="n"/>
      <c r="AR752" s="143">
        <f>DADOS_INVOC!$QR$124</f>
        <v/>
      </c>
      <c r="AS752" s="137" t="n"/>
    </row>
    <row r="753" hidden="1" outlineLevel="3">
      <c r="A753" s="8" t="n"/>
      <c r="B753" s="14" t="n"/>
      <c r="C753" s="137" t="n"/>
      <c r="D753" s="137" t="n"/>
      <c r="E753" s="137" t="n"/>
      <c r="F753" s="137" t="n"/>
      <c r="G753" s="137" t="n"/>
      <c r="I753" s="56" t="inlineStr">
        <is>
          <t>CONTA</t>
        </is>
      </c>
      <c r="J753" s="145">
        <f>DADOS_INVOC!$QK$44</f>
        <v/>
      </c>
      <c r="K753" s="16" t="n"/>
      <c r="L753" s="16" t="n"/>
      <c r="M753" s="17" t="n"/>
      <c r="N753" s="137" t="n"/>
      <c r="O753" s="56" t="inlineStr">
        <is>
          <t>CONTA</t>
        </is>
      </c>
      <c r="P753" s="145">
        <f>DADOS_INVOC!$QK$45</f>
        <v/>
      </c>
      <c r="Q753" s="16" t="n"/>
      <c r="R753" s="16" t="n"/>
      <c r="S753" s="17" t="n"/>
      <c r="T753" s="137" t="n"/>
      <c r="U753" s="56" t="inlineStr">
        <is>
          <t>CONTA</t>
        </is>
      </c>
      <c r="V753" s="145">
        <f>DADOS_INVOC!$QK$46</f>
        <v/>
      </c>
      <c r="W753" s="16" t="n"/>
      <c r="X753" s="16" t="n"/>
      <c r="Y753" s="17" t="n"/>
      <c r="Z753" s="137" t="n"/>
      <c r="AB753" s="56" t="inlineStr">
        <is>
          <t>CONTA</t>
        </is>
      </c>
      <c r="AC753" s="145">
        <f>DADOS_INVOC!$QK$122</f>
        <v/>
      </c>
      <c r="AD753" s="16" t="n"/>
      <c r="AE753" s="16" t="n"/>
      <c r="AF753" s="17" t="n"/>
      <c r="AG753" s="137" t="n"/>
      <c r="AH753" s="56" t="inlineStr">
        <is>
          <t>CONTA</t>
        </is>
      </c>
      <c r="AI753" s="145">
        <f>DADOS_INVOC!$QK$123</f>
        <v/>
      </c>
      <c r="AJ753" s="16" t="n"/>
      <c r="AK753" s="16" t="n"/>
      <c r="AL753" s="17" t="n"/>
      <c r="AM753" s="137" t="n"/>
      <c r="AN753" s="56" t="inlineStr">
        <is>
          <t>CONTA</t>
        </is>
      </c>
      <c r="AO753" s="145">
        <f>DADOS_INVOC!$QK$124</f>
        <v/>
      </c>
      <c r="AP753" s="16" t="n"/>
      <c r="AQ753" s="16" t="n"/>
      <c r="AR753" s="17" t="n"/>
      <c r="AS753" s="137" t="n"/>
    </row>
    <row r="754" hidden="1" outlineLevel="3">
      <c r="A754" s="8" t="n"/>
      <c r="B754" s="14" t="n"/>
      <c r="C754" s="137" t="n"/>
      <c r="D754" s="137" t="n"/>
      <c r="E754" s="137" t="n"/>
      <c r="F754" s="137" t="n"/>
      <c r="G754" s="137" t="n"/>
      <c r="I754" s="56" t="inlineStr">
        <is>
          <t>AMPLIAR</t>
        </is>
      </c>
      <c r="J754" s="145">
        <f>DADOS_INVOC!$QL$44</f>
        <v/>
      </c>
      <c r="K754" s="19" t="n"/>
      <c r="L754" s="19" t="n"/>
      <c r="M754" s="20" t="n"/>
      <c r="N754" s="137" t="n"/>
      <c r="O754" s="56" t="inlineStr">
        <is>
          <t>AMPLIAR</t>
        </is>
      </c>
      <c r="P754" s="145">
        <f>DADOS_INVOC!$QL$45</f>
        <v/>
      </c>
      <c r="Q754" s="19" t="n"/>
      <c r="R754" s="19" t="n"/>
      <c r="S754" s="20" t="n"/>
      <c r="T754" s="137" t="n"/>
      <c r="U754" s="56" t="inlineStr">
        <is>
          <t>AMPLIAR</t>
        </is>
      </c>
      <c r="V754" s="145">
        <f>DADOS_INVOC!$QL$46</f>
        <v/>
      </c>
      <c r="W754" s="19" t="n"/>
      <c r="X754" s="19" t="n"/>
      <c r="Y754" s="20" t="n"/>
      <c r="Z754" s="137" t="n"/>
      <c r="AB754" s="56" t="inlineStr">
        <is>
          <t>AMPLIAR</t>
        </is>
      </c>
      <c r="AC754" s="145">
        <f>DADOS_INVOC!$QL$122</f>
        <v/>
      </c>
      <c r="AD754" s="19" t="n"/>
      <c r="AE754" s="19" t="n"/>
      <c r="AF754" s="20" t="n"/>
      <c r="AG754" s="137" t="n"/>
      <c r="AH754" s="56" t="inlineStr">
        <is>
          <t>AMPLIAR</t>
        </is>
      </c>
      <c r="AI754" s="145">
        <f>DADOS_INVOC!$QL$123</f>
        <v/>
      </c>
      <c r="AJ754" s="19" t="n"/>
      <c r="AK754" s="19" t="n"/>
      <c r="AL754" s="20" t="n"/>
      <c r="AM754" s="137" t="n"/>
      <c r="AN754" s="56" t="inlineStr">
        <is>
          <t>AMPLIAR</t>
        </is>
      </c>
      <c r="AO754" s="145">
        <f>DADOS_INVOC!$QL$124</f>
        <v/>
      </c>
      <c r="AP754" s="19" t="n"/>
      <c r="AQ754" s="19" t="n"/>
      <c r="AR754" s="20" t="n"/>
      <c r="AS754" s="137" t="n"/>
    </row>
    <row r="755" hidden="1" outlineLevel="3">
      <c r="A755" s="8" t="n"/>
      <c r="B755" s="14" t="n"/>
      <c r="C755" s="137" t="n"/>
      <c r="D755" s="137" t="n"/>
      <c r="E755" s="137" t="n"/>
      <c r="F755" s="137" t="n"/>
      <c r="G755" s="137" t="n"/>
      <c r="I755" s="128" t="n"/>
      <c r="J755" s="23" t="n"/>
      <c r="K755" s="24" t="n"/>
      <c r="L755" s="24" t="n"/>
      <c r="M755" s="25" t="n"/>
      <c r="N755" s="137" t="n"/>
      <c r="O755" s="128" t="n"/>
      <c r="P755" s="23" t="n"/>
      <c r="Q755" s="24" t="n"/>
      <c r="R755" s="24" t="n"/>
      <c r="S755" s="25" t="n"/>
      <c r="T755" s="137" t="n"/>
      <c r="U755" s="128" t="n"/>
      <c r="V755" s="23" t="n"/>
      <c r="W755" s="24" t="n"/>
      <c r="X755" s="24" t="n"/>
      <c r="Y755" s="25" t="n"/>
      <c r="Z755" s="137" t="n"/>
      <c r="AB755" s="128" t="n"/>
      <c r="AC755" s="23" t="n"/>
      <c r="AD755" s="24" t="n"/>
      <c r="AE755" s="24" t="n"/>
      <c r="AF755" s="25" t="n"/>
      <c r="AG755" s="137" t="n"/>
      <c r="AH755" s="128" t="n"/>
      <c r="AI755" s="23" t="n"/>
      <c r="AJ755" s="24" t="n"/>
      <c r="AK755" s="24" t="n"/>
      <c r="AL755" s="25" t="n"/>
      <c r="AM755" s="137" t="n"/>
      <c r="AN755" s="128" t="n"/>
      <c r="AO755" s="23" t="n"/>
      <c r="AP755" s="24" t="n"/>
      <c r="AQ755" s="24" t="n"/>
      <c r="AR755" s="25" t="n"/>
      <c r="AS755" s="137" t="n"/>
    </row>
    <row r="756" hidden="1" outlineLevel="3">
      <c r="A756" s="8" t="n"/>
      <c r="B756" s="14" t="n"/>
      <c r="C756" s="137" t="n"/>
      <c r="D756" s="137" t="n"/>
      <c r="E756" s="137" t="n"/>
      <c r="F756" s="137" t="n"/>
      <c r="G756" s="137" t="n"/>
      <c r="I756" s="145">
        <f>DADOS_INVOC!$PY$44</f>
        <v/>
      </c>
      <c r="J756" s="19" t="n"/>
      <c r="K756" s="19" t="n"/>
      <c r="L756" s="19" t="n"/>
      <c r="M756" s="20" t="n"/>
      <c r="N756" s="137" t="n"/>
      <c r="O756" s="145">
        <f>DADOS_INVOC!$PY$45</f>
        <v/>
      </c>
      <c r="P756" s="19" t="n"/>
      <c r="Q756" s="19" t="n"/>
      <c r="R756" s="19" t="n"/>
      <c r="S756" s="20" t="n"/>
      <c r="T756" s="137" t="n"/>
      <c r="U756" s="145">
        <f>DADOS_INVOC!$PY$46</f>
        <v/>
      </c>
      <c r="V756" s="19" t="n"/>
      <c r="W756" s="19" t="n"/>
      <c r="X756" s="19" t="n"/>
      <c r="Y756" s="20" t="n"/>
      <c r="Z756" s="137" t="n"/>
      <c r="AB756" s="145">
        <f>DADOS_INVOC!$PY$122</f>
        <v/>
      </c>
      <c r="AC756" s="19" t="n"/>
      <c r="AD756" s="19" t="n"/>
      <c r="AE756" s="19" t="n"/>
      <c r="AF756" s="20" t="n"/>
      <c r="AG756" s="137" t="n"/>
      <c r="AH756" s="145">
        <f>DADOS_INVOC!$PY$123</f>
        <v/>
      </c>
      <c r="AI756" s="19" t="n"/>
      <c r="AJ756" s="19" t="n"/>
      <c r="AK756" s="19" t="n"/>
      <c r="AL756" s="20" t="n"/>
      <c r="AM756" s="137" t="n"/>
      <c r="AN756" s="145">
        <f>DADOS_INVOC!$PY$124</f>
        <v/>
      </c>
      <c r="AO756" s="19" t="n"/>
      <c r="AP756" s="19" t="n"/>
      <c r="AQ756" s="19" t="n"/>
      <c r="AR756" s="20" t="n"/>
      <c r="AS756" s="137" t="n"/>
    </row>
    <row r="757" hidden="1" outlineLevel="3">
      <c r="A757" s="8" t="n"/>
      <c r="B757" s="14" t="n"/>
      <c r="C757" s="137" t="n"/>
      <c r="D757" s="137" t="n"/>
      <c r="E757" s="137" t="n"/>
      <c r="F757" s="137" t="n"/>
      <c r="G757" s="137" t="n"/>
      <c r="I757" s="23" t="n"/>
      <c r="J757" s="24" t="n"/>
      <c r="K757" s="24" t="n"/>
      <c r="L757" s="24" t="n"/>
      <c r="M757" s="25" t="n"/>
      <c r="N757" s="137" t="n"/>
      <c r="O757" s="23" t="n"/>
      <c r="P757" s="24" t="n"/>
      <c r="Q757" s="24" t="n"/>
      <c r="R757" s="24" t="n"/>
      <c r="S757" s="25" t="n"/>
      <c r="T757" s="137" t="n"/>
      <c r="U757" s="23" t="n"/>
      <c r="V757" s="24" t="n"/>
      <c r="W757" s="24" t="n"/>
      <c r="X757" s="24" t="n"/>
      <c r="Y757" s="25" t="n"/>
      <c r="Z757" s="137" t="n"/>
      <c r="AB757" s="23" t="n"/>
      <c r="AC757" s="24" t="n"/>
      <c r="AD757" s="24" t="n"/>
      <c r="AE757" s="24" t="n"/>
      <c r="AF757" s="25" t="n"/>
      <c r="AG757" s="137" t="n"/>
      <c r="AH757" s="23" t="n"/>
      <c r="AI757" s="24" t="n"/>
      <c r="AJ757" s="24" t="n"/>
      <c r="AK757" s="24" t="n"/>
      <c r="AL757" s="25" t="n"/>
      <c r="AM757" s="137" t="n"/>
      <c r="AN757" s="23" t="n"/>
      <c r="AO757" s="24" t="n"/>
      <c r="AP757" s="24" t="n"/>
      <c r="AQ757" s="24" t="n"/>
      <c r="AR757" s="25" t="n"/>
      <c r="AS757" s="137" t="n"/>
    </row>
    <row r="758" hidden="1" outlineLevel="2">
      <c r="A758" s="8" t="n"/>
      <c r="B758" s="14" t="n"/>
      <c r="C758" s="137" t="n"/>
      <c r="D758" s="137" t="n"/>
      <c r="E758" s="137" t="n"/>
      <c r="F758" s="137" t="n"/>
      <c r="G758" s="137" t="n"/>
      <c r="I758" s="137" t="n"/>
      <c r="J758" s="137" t="n"/>
      <c r="K758" s="137" t="n"/>
      <c r="L758" s="137" t="n"/>
      <c r="M758" s="137" t="n"/>
      <c r="N758" s="137" t="n"/>
      <c r="O758" s="137" t="n"/>
      <c r="P758" s="137" t="n"/>
      <c r="Q758" s="137" t="n"/>
      <c r="R758" s="137" t="n"/>
      <c r="S758" s="137" t="n"/>
      <c r="T758" s="137" t="n"/>
      <c r="U758" s="137" t="n"/>
      <c r="V758" s="137" t="n"/>
      <c r="W758" s="137" t="n"/>
      <c r="X758" s="137" t="n"/>
      <c r="Y758" s="137" t="n"/>
      <c r="Z758" s="137" t="n"/>
      <c r="AB758" s="137" t="n"/>
      <c r="AC758" s="137" t="n"/>
      <c r="AD758" s="137" t="n"/>
      <c r="AE758" s="137" t="n"/>
      <c r="AF758" s="137" t="n"/>
      <c r="AG758" s="137" t="n"/>
      <c r="AH758" s="137" t="n"/>
      <c r="AI758" s="137" t="n"/>
      <c r="AJ758" s="137" t="n"/>
      <c r="AK758" s="137" t="n"/>
      <c r="AL758" s="137" t="n"/>
      <c r="AM758" s="137" t="n"/>
      <c r="AN758" s="137" t="n"/>
      <c r="AO758" s="137" t="n"/>
      <c r="AP758" s="137" t="n"/>
      <c r="AQ758" s="137" t="n"/>
      <c r="AR758" s="137" t="n"/>
      <c r="AS758" s="137" t="n"/>
    </row>
    <row r="759" hidden="1" outlineLevel="2">
      <c r="A759" s="8" t="n"/>
      <c r="B759" s="14" t="n"/>
      <c r="C759" s="137" t="n"/>
      <c r="D759" s="137" t="n"/>
      <c r="E759" s="137" t="n"/>
      <c r="F759" s="137" t="n"/>
      <c r="G759" s="137" t="n"/>
      <c r="I759" s="56">
        <f>DADOS_INVOC!$PZ$47</f>
        <v/>
      </c>
      <c r="J759" s="16" t="n"/>
      <c r="K759" s="16" t="n"/>
      <c r="L759" s="16" t="n"/>
      <c r="M759" s="17" t="n"/>
      <c r="N759" s="137" t="n"/>
      <c r="O759" s="56">
        <f>DADOS_INVOC!$PZ$48</f>
        <v/>
      </c>
      <c r="P759" s="16" t="n"/>
      <c r="Q759" s="16" t="n"/>
      <c r="R759" s="16" t="n"/>
      <c r="S759" s="17" t="n"/>
      <c r="T759" s="137" t="n"/>
      <c r="U759" s="56">
        <f>DADOS_INVOC!$PZ$49</f>
        <v/>
      </c>
      <c r="V759" s="16" t="n"/>
      <c r="W759" s="16" t="n"/>
      <c r="X759" s="16" t="n"/>
      <c r="Y759" s="17" t="n"/>
      <c r="Z759" s="137" t="n"/>
      <c r="AB759" s="56">
        <f>DADOS_INVOC!$PZ$125</f>
        <v/>
      </c>
      <c r="AC759" s="16" t="n"/>
      <c r="AD759" s="16" t="n"/>
      <c r="AE759" s="16" t="n"/>
      <c r="AF759" s="17" t="n"/>
      <c r="AG759" s="137" t="n"/>
      <c r="AH759" s="56">
        <f>DADOS_INVOC!$PZ$126</f>
        <v/>
      </c>
      <c r="AI759" s="16" t="n"/>
      <c r="AJ759" s="16" t="n"/>
      <c r="AK759" s="16" t="n"/>
      <c r="AL759" s="17" t="n"/>
      <c r="AM759" s="137" t="n"/>
      <c r="AN759" s="56">
        <f>DADOS_INVOC!$PZ$127</f>
        <v/>
      </c>
      <c r="AO759" s="16" t="n"/>
      <c r="AP759" s="16" t="n"/>
      <c r="AQ759" s="16" t="n"/>
      <c r="AR759" s="17" t="n"/>
      <c r="AS759" s="137" t="n"/>
    </row>
    <row r="760" hidden="1" outlineLevel="2">
      <c r="A760" s="8" t="n"/>
      <c r="B760" s="14" t="n"/>
      <c r="C760" s="137" t="n"/>
      <c r="D760" s="137" t="n"/>
      <c r="E760" s="137" t="n"/>
      <c r="F760" s="137" t="n"/>
      <c r="G760" s="137" t="n"/>
      <c r="I760" s="141" t="n">
        <v>1</v>
      </c>
      <c r="J760" s="131" t="n"/>
      <c r="K760" s="16" t="n"/>
      <c r="L760" s="17" t="n"/>
      <c r="M760" s="142">
        <f>DADOS_INVOC!$PX$47</f>
        <v/>
      </c>
      <c r="N760" s="137" t="n"/>
      <c r="O760" s="141" t="n">
        <v>1</v>
      </c>
      <c r="P760" s="131" t="n"/>
      <c r="Q760" s="16" t="n"/>
      <c r="R760" s="17" t="n"/>
      <c r="S760" s="142">
        <f>DADOS_INVOC!$PX$48</f>
        <v/>
      </c>
      <c r="T760" s="137" t="n"/>
      <c r="U760" s="141" t="n">
        <v>1</v>
      </c>
      <c r="V760" s="131" t="n"/>
      <c r="W760" s="16" t="n"/>
      <c r="X760" s="17" t="n"/>
      <c r="Y760" s="142">
        <f>DADOS_INVOC!$PX$49</f>
        <v/>
      </c>
      <c r="Z760" s="137" t="n"/>
      <c r="AB760" s="141" t="n">
        <v>1</v>
      </c>
      <c r="AC760" s="131" t="n"/>
      <c r="AD760" s="16" t="n"/>
      <c r="AE760" s="17" t="n"/>
      <c r="AF760" s="142">
        <f>DADOS_INVOC!$PX$125</f>
        <v/>
      </c>
      <c r="AG760" s="137" t="n"/>
      <c r="AH760" s="141" t="n">
        <v>1</v>
      </c>
      <c r="AI760" s="131" t="n"/>
      <c r="AJ760" s="16" t="n"/>
      <c r="AK760" s="17" t="n"/>
      <c r="AL760" s="142">
        <f>DADOS_INVOC!$PX$126</f>
        <v/>
      </c>
      <c r="AM760" s="137" t="n"/>
      <c r="AN760" s="141" t="n">
        <v>1</v>
      </c>
      <c r="AO760" s="131" t="n"/>
      <c r="AP760" s="16" t="n"/>
      <c r="AQ760" s="17" t="n"/>
      <c r="AR760" s="142">
        <f>DADOS_INVOC!$PX$127</f>
        <v/>
      </c>
      <c r="AS760" s="137" t="n"/>
    </row>
    <row r="761" hidden="1" outlineLevel="3">
      <c r="A761" s="8" t="n"/>
      <c r="B761" s="14" t="n"/>
      <c r="C761" s="137" t="n"/>
      <c r="D761" s="137" t="n"/>
      <c r="E761" s="137" t="n"/>
      <c r="F761" s="137" t="n"/>
      <c r="G761" s="137" t="n"/>
      <c r="I761" s="56" t="inlineStr">
        <is>
          <t>COMO É</t>
        </is>
      </c>
      <c r="J761" s="16" t="n"/>
      <c r="K761" s="16" t="n"/>
      <c r="L761" s="16" t="n"/>
      <c r="M761" s="17" t="n"/>
      <c r="N761" s="137" t="n"/>
      <c r="O761" s="56" t="inlineStr">
        <is>
          <t>COMO É</t>
        </is>
      </c>
      <c r="P761" s="16" t="n"/>
      <c r="Q761" s="16" t="n"/>
      <c r="R761" s="16" t="n"/>
      <c r="S761" s="17" t="n"/>
      <c r="T761" s="137" t="n"/>
      <c r="U761" s="56" t="inlineStr">
        <is>
          <t>COMO É</t>
        </is>
      </c>
      <c r="V761" s="16" t="n"/>
      <c r="W761" s="16" t="n"/>
      <c r="X761" s="16" t="n"/>
      <c r="Y761" s="17" t="n"/>
      <c r="Z761" s="137" t="n"/>
      <c r="AB761" s="56" t="inlineStr">
        <is>
          <t>COMO É</t>
        </is>
      </c>
      <c r="AC761" s="16" t="n"/>
      <c r="AD761" s="16" t="n"/>
      <c r="AE761" s="16" t="n"/>
      <c r="AF761" s="17" t="n"/>
      <c r="AG761" s="137" t="n"/>
      <c r="AH761" s="56" t="inlineStr">
        <is>
          <t>COMO É</t>
        </is>
      </c>
      <c r="AI761" s="16" t="n"/>
      <c r="AJ761" s="16" t="n"/>
      <c r="AK761" s="16" t="n"/>
      <c r="AL761" s="17" t="n"/>
      <c r="AM761" s="137" t="n"/>
      <c r="AN761" s="56" t="inlineStr">
        <is>
          <t>COMO É</t>
        </is>
      </c>
      <c r="AO761" s="16" t="n"/>
      <c r="AP761" s="16" t="n"/>
      <c r="AQ761" s="16" t="n"/>
      <c r="AR761" s="17" t="n"/>
      <c r="AS761" s="137" t="n"/>
    </row>
    <row r="762" hidden="1" outlineLevel="3">
      <c r="A762" s="8" t="n"/>
      <c r="B762" s="14" t="n"/>
      <c r="C762" s="137" t="n"/>
      <c r="D762" s="137" t="n"/>
      <c r="E762" s="137" t="n"/>
      <c r="F762" s="137" t="n"/>
      <c r="G762" s="137" t="n"/>
      <c r="I762" s="61" t="n"/>
      <c r="J762" s="19" t="n"/>
      <c r="K762" s="19" t="n"/>
      <c r="L762" s="19" t="n"/>
      <c r="M762" s="20" t="n"/>
      <c r="N762" s="137" t="n"/>
      <c r="O762" s="61" t="n"/>
      <c r="P762" s="19" t="n"/>
      <c r="Q762" s="19" t="n"/>
      <c r="R762" s="19" t="n"/>
      <c r="S762" s="20" t="n"/>
      <c r="T762" s="137" t="n"/>
      <c r="U762" s="61" t="n"/>
      <c r="V762" s="19" t="n"/>
      <c r="W762" s="19" t="n"/>
      <c r="X762" s="19" t="n"/>
      <c r="Y762" s="20" t="n"/>
      <c r="Z762" s="137" t="n"/>
      <c r="AB762" s="61" t="n"/>
      <c r="AC762" s="19" t="n"/>
      <c r="AD762" s="19" t="n"/>
      <c r="AE762" s="19" t="n"/>
      <c r="AF762" s="20" t="n"/>
      <c r="AG762" s="137" t="n"/>
      <c r="AH762" s="61" t="n"/>
      <c r="AI762" s="19" t="n"/>
      <c r="AJ762" s="19" t="n"/>
      <c r="AK762" s="19" t="n"/>
      <c r="AL762" s="20" t="n"/>
      <c r="AM762" s="137" t="n"/>
      <c r="AN762" s="61" t="n"/>
      <c r="AO762" s="19" t="n"/>
      <c r="AP762" s="19" t="n"/>
      <c r="AQ762" s="19" t="n"/>
      <c r="AR762" s="20" t="n"/>
      <c r="AS762" s="137" t="n"/>
    </row>
    <row r="763" hidden="1" outlineLevel="3">
      <c r="A763" s="8" t="n"/>
      <c r="B763" s="14" t="n"/>
      <c r="C763" s="137" t="n"/>
      <c r="D763" s="137" t="n"/>
      <c r="E763" s="137" t="n"/>
      <c r="F763" s="137" t="n"/>
      <c r="G763" s="137" t="n"/>
      <c r="I763" s="21" t="n"/>
      <c r="M763" s="22" t="n"/>
      <c r="N763" s="137" t="n"/>
      <c r="O763" s="21" t="n"/>
      <c r="S763" s="22" t="n"/>
      <c r="T763" s="137" t="n"/>
      <c r="U763" s="21" t="n"/>
      <c r="Y763" s="22" t="n"/>
      <c r="Z763" s="137" t="n"/>
      <c r="AB763" s="21" t="n"/>
      <c r="AF763" s="22" t="n"/>
      <c r="AG763" s="137" t="n"/>
      <c r="AH763" s="21" t="n"/>
      <c r="AL763" s="22" t="n"/>
      <c r="AM763" s="137" t="n"/>
      <c r="AN763" s="21" t="n"/>
      <c r="AR763" s="22" t="n"/>
      <c r="AS763" s="137" t="n"/>
    </row>
    <row r="764" hidden="1" outlineLevel="3">
      <c r="A764" s="8" t="n"/>
      <c r="B764" s="14" t="n"/>
      <c r="C764" s="137" t="n"/>
      <c r="D764" s="137" t="n"/>
      <c r="E764" s="137" t="n"/>
      <c r="F764" s="137" t="n"/>
      <c r="G764" s="137" t="n"/>
      <c r="I764" s="23" t="n"/>
      <c r="J764" s="24" t="n"/>
      <c r="K764" s="24" t="n"/>
      <c r="L764" s="24" t="n"/>
      <c r="M764" s="25" t="n"/>
      <c r="N764" s="137" t="n"/>
      <c r="O764" s="23" t="n"/>
      <c r="P764" s="24" t="n"/>
      <c r="Q764" s="24" t="n"/>
      <c r="R764" s="24" t="n"/>
      <c r="S764" s="25" t="n"/>
      <c r="T764" s="137" t="n"/>
      <c r="U764" s="23" t="n"/>
      <c r="V764" s="24" t="n"/>
      <c r="W764" s="24" t="n"/>
      <c r="X764" s="24" t="n"/>
      <c r="Y764" s="25" t="n"/>
      <c r="Z764" s="137" t="n"/>
      <c r="AB764" s="23" t="n"/>
      <c r="AC764" s="24" t="n"/>
      <c r="AD764" s="24" t="n"/>
      <c r="AE764" s="24" t="n"/>
      <c r="AF764" s="25" t="n"/>
      <c r="AG764" s="137" t="n"/>
      <c r="AH764" s="23" t="n"/>
      <c r="AI764" s="24" t="n"/>
      <c r="AJ764" s="24" t="n"/>
      <c r="AK764" s="24" t="n"/>
      <c r="AL764" s="25" t="n"/>
      <c r="AM764" s="137" t="n"/>
      <c r="AN764" s="23" t="n"/>
      <c r="AO764" s="24" t="n"/>
      <c r="AP764" s="24" t="n"/>
      <c r="AQ764" s="24" t="n"/>
      <c r="AR764" s="25" t="n"/>
      <c r="AS764" s="137" t="n"/>
    </row>
    <row r="765" hidden="1" outlineLevel="2">
      <c r="A765" s="8" t="n"/>
      <c r="B765" s="14" t="n"/>
      <c r="C765" s="137" t="n"/>
      <c r="D765" s="137" t="n"/>
      <c r="E765" s="137" t="n"/>
      <c r="F765" s="137" t="n"/>
      <c r="G765" s="137" t="n"/>
      <c r="I765" s="95" t="inlineStr">
        <is>
          <t>Projétil</t>
        </is>
      </c>
      <c r="J765" s="17" t="n"/>
      <c r="K765" s="71">
        <f>DADOS_INVOC!$QE$47</f>
        <v/>
      </c>
      <c r="L765" s="17" t="n"/>
      <c r="M765" s="71">
        <f>DADOS_INVOC!$QA$47</f>
        <v/>
      </c>
      <c r="N765" s="137" t="n"/>
      <c r="O765" s="95" t="inlineStr">
        <is>
          <t>Projétil</t>
        </is>
      </c>
      <c r="P765" s="17" t="n"/>
      <c r="Q765" s="71">
        <f>DADOS_INVOC!$QE$48</f>
        <v/>
      </c>
      <c r="R765" s="17" t="n"/>
      <c r="S765" s="71">
        <f>DADOS_INVOC!$QA$48</f>
        <v/>
      </c>
      <c r="T765" s="137" t="n"/>
      <c r="U765" s="95" t="inlineStr">
        <is>
          <t>Projétil</t>
        </is>
      </c>
      <c r="V765" s="17" t="n"/>
      <c r="W765" s="71">
        <f>DADOS_INVOC!$QE$49</f>
        <v/>
      </c>
      <c r="X765" s="17" t="n"/>
      <c r="Y765" s="71">
        <f>DADOS_INVOC!$QA$49</f>
        <v/>
      </c>
      <c r="Z765" s="137" t="n"/>
      <c r="AB765" s="95" t="inlineStr">
        <is>
          <t>Projétil</t>
        </is>
      </c>
      <c r="AC765" s="17" t="n"/>
      <c r="AD765" s="71">
        <f>DADOS_INVOC!$QE$125</f>
        <v/>
      </c>
      <c r="AE765" s="17" t="n"/>
      <c r="AF765" s="71">
        <f>DADOS_INVOC!$QA$125</f>
        <v/>
      </c>
      <c r="AG765" s="137" t="n"/>
      <c r="AH765" s="95" t="inlineStr">
        <is>
          <t>Projétil</t>
        </is>
      </c>
      <c r="AI765" s="17" t="n"/>
      <c r="AJ765" s="71">
        <f>DADOS_INVOC!$QE$126</f>
        <v/>
      </c>
      <c r="AK765" s="17" t="n"/>
      <c r="AL765" s="71">
        <f>DADOS_INVOC!$QA$126</f>
        <v/>
      </c>
      <c r="AM765" s="137" t="n"/>
      <c r="AN765" s="95" t="inlineStr">
        <is>
          <t>Projétil</t>
        </is>
      </c>
      <c r="AO765" s="17" t="n"/>
      <c r="AP765" s="71">
        <f>DADOS_INVOC!$QE$127</f>
        <v/>
      </c>
      <c r="AQ765" s="17" t="n"/>
      <c r="AR765" s="71">
        <f>DADOS_INVOC!$QA$127</f>
        <v/>
      </c>
      <c r="AS765" s="137" t="n"/>
    </row>
    <row r="766" hidden="1" outlineLevel="2">
      <c r="A766" s="8" t="n"/>
      <c r="B766" s="14" t="n"/>
      <c r="C766" s="137" t="n"/>
      <c r="D766" s="137" t="n"/>
      <c r="E766" s="137" t="n"/>
      <c r="F766" s="137" t="n"/>
      <c r="G766" s="137" t="n"/>
      <c r="I766" s="95" t="n"/>
      <c r="J766" s="17" t="n"/>
      <c r="K766" s="95" t="n"/>
      <c r="L766" s="16" t="n"/>
      <c r="M766" s="17" t="n"/>
      <c r="N766" s="137" t="n"/>
      <c r="O766" s="95" t="n"/>
      <c r="P766" s="17" t="n"/>
      <c r="Q766" s="95" t="n"/>
      <c r="R766" s="16" t="n"/>
      <c r="S766" s="17" t="n"/>
      <c r="T766" s="137" t="n"/>
      <c r="U766" s="95" t="n"/>
      <c r="V766" s="17" t="n"/>
      <c r="W766" s="95" t="n"/>
      <c r="X766" s="16" t="n"/>
      <c r="Y766" s="17" t="n"/>
      <c r="Z766" s="137" t="n"/>
      <c r="AB766" s="95" t="n"/>
      <c r="AC766" s="17" t="n"/>
      <c r="AD766" s="95" t="n"/>
      <c r="AE766" s="16" t="n"/>
      <c r="AF766" s="17" t="n"/>
      <c r="AG766" s="137" t="n"/>
      <c r="AH766" s="95" t="n"/>
      <c r="AI766" s="17" t="n"/>
      <c r="AJ766" s="95" t="n"/>
      <c r="AK766" s="16" t="n"/>
      <c r="AL766" s="17" t="n"/>
      <c r="AM766" s="137" t="n"/>
      <c r="AN766" s="95" t="n"/>
      <c r="AO766" s="17" t="n"/>
      <c r="AP766" s="95" t="n"/>
      <c r="AQ766" s="16" t="n"/>
      <c r="AR766" s="17" t="n"/>
      <c r="AS766" s="137" t="n"/>
    </row>
    <row r="767" hidden="1" outlineLevel="2">
      <c r="A767" s="8" t="n"/>
      <c r="B767" s="14" t="n"/>
      <c r="C767" s="137" t="n"/>
      <c r="D767" s="137" t="n"/>
      <c r="E767" s="137" t="n"/>
      <c r="F767" s="137" t="n"/>
      <c r="G767" s="137" t="n"/>
      <c r="I767" s="95">
        <f>DADOS_INVOC!$QB$47</f>
        <v/>
      </c>
      <c r="J767" s="17" t="n"/>
      <c r="K767" s="95">
        <f>DADOS_INVOC!$QD$47</f>
        <v/>
      </c>
      <c r="L767" s="16" t="n"/>
      <c r="M767" s="17" t="n"/>
      <c r="N767" s="137" t="n"/>
      <c r="O767" s="95">
        <f>DADOS_INVOC!$QB$48</f>
        <v/>
      </c>
      <c r="P767" s="17" t="n"/>
      <c r="Q767" s="95">
        <f>DADOS_INVOC!$QD$48</f>
        <v/>
      </c>
      <c r="R767" s="16" t="n"/>
      <c r="S767" s="17" t="n"/>
      <c r="T767" s="137" t="n"/>
      <c r="U767" s="95">
        <f>DADOS_INVOC!$QB$49</f>
        <v/>
      </c>
      <c r="V767" s="17" t="n"/>
      <c r="W767" s="95">
        <f>DADOS_INVOC!$QD$49</f>
        <v/>
      </c>
      <c r="X767" s="16" t="n"/>
      <c r="Y767" s="17" t="n"/>
      <c r="Z767" s="137" t="n"/>
      <c r="AB767" s="95">
        <f>DADOS_INVOC!$QB$125</f>
        <v/>
      </c>
      <c r="AC767" s="17" t="n"/>
      <c r="AD767" s="95">
        <f>DADOS_INVOC!$QD$125</f>
        <v/>
      </c>
      <c r="AE767" s="16" t="n"/>
      <c r="AF767" s="17" t="n"/>
      <c r="AG767" s="137" t="n"/>
      <c r="AH767" s="95">
        <f>DADOS_INVOC!$QB$126</f>
        <v/>
      </c>
      <c r="AI767" s="17" t="n"/>
      <c r="AJ767" s="95">
        <f>DADOS_INVOC!$QD$126</f>
        <v/>
      </c>
      <c r="AK767" s="16" t="n"/>
      <c r="AL767" s="17" t="n"/>
      <c r="AM767" s="137" t="n"/>
      <c r="AN767" s="95">
        <f>DADOS_INVOC!$QB$127</f>
        <v/>
      </c>
      <c r="AO767" s="17" t="n"/>
      <c r="AP767" s="95">
        <f>DADOS_INVOC!$QD$127</f>
        <v/>
      </c>
      <c r="AQ767" s="16" t="n"/>
      <c r="AR767" s="17" t="n"/>
      <c r="AS767" s="137" t="n"/>
    </row>
    <row r="768" hidden="1" outlineLevel="2">
      <c r="A768" s="8" t="n"/>
      <c r="B768" s="14" t="n"/>
      <c r="C768" s="137" t="n"/>
      <c r="D768" s="137" t="n"/>
      <c r="E768" s="137" t="n"/>
      <c r="F768" s="137" t="n"/>
      <c r="G768" s="137" t="n"/>
      <c r="I768" s="143">
        <f>DADOS_INVOC!$QJ$47</f>
        <v/>
      </c>
      <c r="J768" s="16" t="n"/>
      <c r="K768" s="16" t="n"/>
      <c r="L768" s="16" t="n"/>
      <c r="M768" s="17" t="n"/>
      <c r="N768" s="137" t="n"/>
      <c r="O768" s="143">
        <f>DADOS_INVOC!$QJ$48</f>
        <v/>
      </c>
      <c r="P768" s="16" t="n"/>
      <c r="Q768" s="16" t="n"/>
      <c r="R768" s="16" t="n"/>
      <c r="S768" s="17" t="n"/>
      <c r="T768" s="137" t="n"/>
      <c r="U768" s="143">
        <f>DADOS_INVOC!$QJ$49</f>
        <v/>
      </c>
      <c r="V768" s="16" t="n"/>
      <c r="W768" s="16" t="n"/>
      <c r="X768" s="16" t="n"/>
      <c r="Y768" s="17" t="n"/>
      <c r="Z768" s="137" t="n"/>
      <c r="AB768" s="143">
        <f>DADOS_INVOC!$QJ$125</f>
        <v/>
      </c>
      <c r="AC768" s="16" t="n"/>
      <c r="AD768" s="16" t="n"/>
      <c r="AE768" s="16" t="n"/>
      <c r="AF768" s="17" t="n"/>
      <c r="AG768" s="137" t="n"/>
      <c r="AH768" s="143">
        <f>DADOS_INVOC!$QJ$126</f>
        <v/>
      </c>
      <c r="AI768" s="16" t="n"/>
      <c r="AJ768" s="16" t="n"/>
      <c r="AK768" s="16" t="n"/>
      <c r="AL768" s="17" t="n"/>
      <c r="AM768" s="137" t="n"/>
      <c r="AN768" s="143">
        <f>DADOS_INVOC!$QJ$127</f>
        <v/>
      </c>
      <c r="AO768" s="16" t="n"/>
      <c r="AP768" s="16" t="n"/>
      <c r="AQ768" s="16" t="n"/>
      <c r="AR768" s="17" t="n"/>
      <c r="AS768" s="137" t="n"/>
    </row>
    <row r="769" hidden="1" outlineLevel="3">
      <c r="A769" s="8" t="n"/>
      <c r="B769" s="14" t="n"/>
      <c r="C769" s="137" t="n"/>
      <c r="D769" s="137" t="n"/>
      <c r="E769" s="137" t="n"/>
      <c r="F769" s="137" t="n"/>
      <c r="G769" s="137" t="n"/>
      <c r="I769" s="56" t="inlineStr">
        <is>
          <t>MELHORIAS</t>
        </is>
      </c>
      <c r="J769" s="144" t="n"/>
      <c r="K769" s="16" t="n"/>
      <c r="L769" s="17" t="n"/>
      <c r="M769" s="143">
        <f>DADOS_INVOC!$QM$47</f>
        <v/>
      </c>
      <c r="N769" s="137" t="n"/>
      <c r="O769" s="56" t="inlineStr">
        <is>
          <t>MELHORIAS</t>
        </is>
      </c>
      <c r="P769" s="144" t="n"/>
      <c r="Q769" s="16" t="n"/>
      <c r="R769" s="17" t="n"/>
      <c r="S769" s="143">
        <f>DADOS_INVOC!$QM$48</f>
        <v/>
      </c>
      <c r="T769" s="137" t="n"/>
      <c r="U769" s="56" t="inlineStr">
        <is>
          <t>MELHORIAS</t>
        </is>
      </c>
      <c r="V769" s="144" t="n"/>
      <c r="W769" s="16" t="n"/>
      <c r="X769" s="17" t="n"/>
      <c r="Y769" s="143">
        <f>DADOS_INVOC!$QM$49</f>
        <v/>
      </c>
      <c r="Z769" s="137" t="n"/>
      <c r="AB769" s="56" t="inlineStr">
        <is>
          <t>MELHORIAS</t>
        </is>
      </c>
      <c r="AC769" s="144" t="n"/>
      <c r="AD769" s="16" t="n"/>
      <c r="AE769" s="17" t="n"/>
      <c r="AF769" s="143">
        <f>DADOS_INVOC!$QM$125</f>
        <v/>
      </c>
      <c r="AG769" s="137" t="n"/>
      <c r="AH769" s="56" t="inlineStr">
        <is>
          <t>MELHORIAS</t>
        </is>
      </c>
      <c r="AI769" s="144" t="n"/>
      <c r="AJ769" s="16" t="n"/>
      <c r="AK769" s="17" t="n"/>
      <c r="AL769" s="143">
        <f>DADOS_INVOC!$QM$126</f>
        <v/>
      </c>
      <c r="AM769" s="137" t="n"/>
      <c r="AN769" s="56" t="inlineStr">
        <is>
          <t>MELHORIAS</t>
        </is>
      </c>
      <c r="AO769" s="144" t="n"/>
      <c r="AP769" s="16" t="n"/>
      <c r="AQ769" s="17" t="n"/>
      <c r="AR769" s="143">
        <f>DADOS_INVOC!$QM$127</f>
        <v/>
      </c>
      <c r="AS769" s="137" t="n"/>
    </row>
    <row r="770" hidden="1" outlineLevel="3">
      <c r="A770" s="8" t="n"/>
      <c r="B770" s="14" t="n"/>
      <c r="C770" s="137" t="n"/>
      <c r="D770" s="137" t="n"/>
      <c r="E770" s="137" t="n"/>
      <c r="F770" s="137" t="n"/>
      <c r="G770" s="137" t="n"/>
      <c r="I770" s="66" t="n"/>
      <c r="J770" s="144" t="n"/>
      <c r="K770" s="16" t="n"/>
      <c r="L770" s="17" t="n"/>
      <c r="M770" s="143">
        <f>DADOS_INVOC!$QN$47</f>
        <v/>
      </c>
      <c r="N770" s="137" t="n"/>
      <c r="O770" s="66" t="n"/>
      <c r="P770" s="144" t="n"/>
      <c r="Q770" s="16" t="n"/>
      <c r="R770" s="17" t="n"/>
      <c r="S770" s="143">
        <f>DADOS_INVOC!$QN$48</f>
        <v/>
      </c>
      <c r="T770" s="137" t="n"/>
      <c r="U770" s="66" t="n"/>
      <c r="V770" s="144" t="n"/>
      <c r="W770" s="16" t="n"/>
      <c r="X770" s="17" t="n"/>
      <c r="Y770" s="143">
        <f>DADOS_INVOC!$QN$49</f>
        <v/>
      </c>
      <c r="Z770" s="137" t="n"/>
      <c r="AB770" s="66" t="n"/>
      <c r="AC770" s="144" t="n"/>
      <c r="AD770" s="16" t="n"/>
      <c r="AE770" s="17" t="n"/>
      <c r="AF770" s="143">
        <f>DADOS_INVOC!$QN$125</f>
        <v/>
      </c>
      <c r="AG770" s="137" t="n"/>
      <c r="AH770" s="66" t="n"/>
      <c r="AI770" s="144" t="n"/>
      <c r="AJ770" s="16" t="n"/>
      <c r="AK770" s="17" t="n"/>
      <c r="AL770" s="143">
        <f>DADOS_INVOC!$QN$126</f>
        <v/>
      </c>
      <c r="AM770" s="137" t="n"/>
      <c r="AN770" s="66" t="n"/>
      <c r="AO770" s="144" t="n"/>
      <c r="AP770" s="16" t="n"/>
      <c r="AQ770" s="17" t="n"/>
      <c r="AR770" s="143">
        <f>DADOS_INVOC!$QN$127</f>
        <v/>
      </c>
      <c r="AS770" s="137" t="n"/>
    </row>
    <row r="771" hidden="1" outlineLevel="3">
      <c r="A771" s="8" t="n"/>
      <c r="B771" s="14" t="n"/>
      <c r="C771" s="137" t="n"/>
      <c r="D771" s="137" t="n"/>
      <c r="E771" s="137" t="n"/>
      <c r="F771" s="137" t="n"/>
      <c r="G771" s="137" t="n"/>
      <c r="I771" s="66" t="n"/>
      <c r="J771" s="144" t="n"/>
      <c r="K771" s="16" t="n"/>
      <c r="L771" s="17" t="n"/>
      <c r="M771" s="143">
        <f>DADOS_INVOC!$QO$47</f>
        <v/>
      </c>
      <c r="N771" s="137" t="n"/>
      <c r="O771" s="66" t="n"/>
      <c r="P771" s="144" t="n"/>
      <c r="Q771" s="16" t="n"/>
      <c r="R771" s="17" t="n"/>
      <c r="S771" s="143">
        <f>DADOS_INVOC!$QO$48</f>
        <v/>
      </c>
      <c r="T771" s="137" t="n"/>
      <c r="U771" s="66" t="n"/>
      <c r="V771" s="144" t="n"/>
      <c r="W771" s="16" t="n"/>
      <c r="X771" s="17" t="n"/>
      <c r="Y771" s="143">
        <f>DADOS_INVOC!$QO$49</f>
        <v/>
      </c>
      <c r="Z771" s="137" t="n"/>
      <c r="AB771" s="66" t="n"/>
      <c r="AC771" s="144" t="n"/>
      <c r="AD771" s="16" t="n"/>
      <c r="AE771" s="17" t="n"/>
      <c r="AF771" s="143">
        <f>DADOS_INVOC!$QO$125</f>
        <v/>
      </c>
      <c r="AG771" s="137" t="n"/>
      <c r="AH771" s="66" t="n"/>
      <c r="AI771" s="144" t="n"/>
      <c r="AJ771" s="16" t="n"/>
      <c r="AK771" s="17" t="n"/>
      <c r="AL771" s="143">
        <f>DADOS_INVOC!$QO$126</f>
        <v/>
      </c>
      <c r="AM771" s="137" t="n"/>
      <c r="AN771" s="66" t="n"/>
      <c r="AO771" s="144" t="n"/>
      <c r="AP771" s="16" t="n"/>
      <c r="AQ771" s="17" t="n"/>
      <c r="AR771" s="143">
        <f>DADOS_INVOC!$QO$127</f>
        <v/>
      </c>
      <c r="AS771" s="137" t="n"/>
    </row>
    <row r="772" hidden="1" outlineLevel="3">
      <c r="A772" s="8" t="n"/>
      <c r="B772" s="14" t="n"/>
      <c r="C772" s="137" t="n"/>
      <c r="D772" s="137" t="n"/>
      <c r="E772" s="137" t="n"/>
      <c r="F772" s="137" t="n"/>
      <c r="G772" s="137" t="n"/>
      <c r="I772" s="128" t="n"/>
      <c r="J772" s="144" t="n"/>
      <c r="K772" s="16" t="n"/>
      <c r="L772" s="17" t="n"/>
      <c r="M772" s="143">
        <f>DADOS_INVOC!$QP$47</f>
        <v/>
      </c>
      <c r="N772" s="137" t="n"/>
      <c r="O772" s="128" t="n"/>
      <c r="P772" s="144" t="n"/>
      <c r="Q772" s="16" t="n"/>
      <c r="R772" s="17" t="n"/>
      <c r="S772" s="143">
        <f>DADOS_INVOC!$QP$48</f>
        <v/>
      </c>
      <c r="T772" s="137" t="n"/>
      <c r="U772" s="128" t="n"/>
      <c r="V772" s="144" t="n"/>
      <c r="W772" s="16" t="n"/>
      <c r="X772" s="17" t="n"/>
      <c r="Y772" s="143">
        <f>DADOS_INVOC!$QP$49</f>
        <v/>
      </c>
      <c r="Z772" s="137" t="n"/>
      <c r="AB772" s="128" t="n"/>
      <c r="AC772" s="144" t="n"/>
      <c r="AD772" s="16" t="n"/>
      <c r="AE772" s="17" t="n"/>
      <c r="AF772" s="143">
        <f>DADOS_INVOC!$QP$125</f>
        <v/>
      </c>
      <c r="AG772" s="137" t="n"/>
      <c r="AH772" s="128" t="n"/>
      <c r="AI772" s="144" t="n"/>
      <c r="AJ772" s="16" t="n"/>
      <c r="AK772" s="17" t="n"/>
      <c r="AL772" s="143">
        <f>DADOS_INVOC!$QP$126</f>
        <v/>
      </c>
      <c r="AM772" s="137" t="n"/>
      <c r="AN772" s="128" t="n"/>
      <c r="AO772" s="144" t="n"/>
      <c r="AP772" s="16" t="n"/>
      <c r="AQ772" s="17" t="n"/>
      <c r="AR772" s="143">
        <f>DADOS_INVOC!$QP$127</f>
        <v/>
      </c>
      <c r="AS772" s="137" t="n"/>
    </row>
    <row r="773" hidden="1" outlineLevel="3">
      <c r="A773" s="8" t="n"/>
      <c r="B773" s="14" t="n"/>
      <c r="C773" s="137" t="n"/>
      <c r="D773" s="137" t="n"/>
      <c r="E773" s="137" t="n"/>
      <c r="F773" s="137" t="n"/>
      <c r="G773" s="137" t="n"/>
      <c r="I773" s="56" t="inlineStr">
        <is>
          <t>RESTRIÇÕES</t>
        </is>
      </c>
      <c r="J773" s="144" t="n"/>
      <c r="K773" s="16" t="n"/>
      <c r="L773" s="17" t="n"/>
      <c r="M773" s="143">
        <f>DADOS_INVOC!$QQ$47</f>
        <v/>
      </c>
      <c r="N773" s="137" t="n"/>
      <c r="O773" s="56" t="inlineStr">
        <is>
          <t>RESTRIÇÕES</t>
        </is>
      </c>
      <c r="P773" s="144" t="n"/>
      <c r="Q773" s="16" t="n"/>
      <c r="R773" s="17" t="n"/>
      <c r="S773" s="143">
        <f>DADOS_INVOC!$QQ$48</f>
        <v/>
      </c>
      <c r="T773" s="137" t="n"/>
      <c r="U773" s="56" t="inlineStr">
        <is>
          <t>RESTRIÇÕES</t>
        </is>
      </c>
      <c r="V773" s="144" t="n"/>
      <c r="W773" s="16" t="n"/>
      <c r="X773" s="17" t="n"/>
      <c r="Y773" s="143">
        <f>DADOS_INVOC!$QQ$49</f>
        <v/>
      </c>
      <c r="Z773" s="137" t="n"/>
      <c r="AB773" s="56" t="inlineStr">
        <is>
          <t>RESTRIÇÕES</t>
        </is>
      </c>
      <c r="AC773" s="144" t="n"/>
      <c r="AD773" s="16" t="n"/>
      <c r="AE773" s="17" t="n"/>
      <c r="AF773" s="143">
        <f>DADOS_INVOC!$QQ$125</f>
        <v/>
      </c>
      <c r="AG773" s="137" t="n"/>
      <c r="AH773" s="56" t="inlineStr">
        <is>
          <t>RESTRIÇÕES</t>
        </is>
      </c>
      <c r="AI773" s="144" t="n"/>
      <c r="AJ773" s="16" t="n"/>
      <c r="AK773" s="17" t="n"/>
      <c r="AL773" s="143">
        <f>DADOS_INVOC!$QQ$126</f>
        <v/>
      </c>
      <c r="AM773" s="137" t="n"/>
      <c r="AN773" s="56" t="inlineStr">
        <is>
          <t>RESTRIÇÕES</t>
        </is>
      </c>
      <c r="AO773" s="144" t="n"/>
      <c r="AP773" s="16" t="n"/>
      <c r="AQ773" s="17" t="n"/>
      <c r="AR773" s="143">
        <f>DADOS_INVOC!$QQ$127</f>
        <v/>
      </c>
      <c r="AS773" s="137" t="n"/>
    </row>
    <row r="774" hidden="1" outlineLevel="3">
      <c r="A774" s="8" t="n"/>
      <c r="B774" s="14" t="n"/>
      <c r="C774" s="137" t="n"/>
      <c r="D774" s="137" t="n"/>
      <c r="E774" s="137" t="n"/>
      <c r="F774" s="137" t="n"/>
      <c r="G774" s="137" t="n"/>
      <c r="I774" s="128" t="n"/>
      <c r="J774" s="144" t="n"/>
      <c r="K774" s="16" t="n"/>
      <c r="L774" s="17" t="n"/>
      <c r="M774" s="143">
        <f>DADOS_INVOC!$QR$47</f>
        <v/>
      </c>
      <c r="N774" s="137" t="n"/>
      <c r="O774" s="128" t="n"/>
      <c r="P774" s="144" t="n"/>
      <c r="Q774" s="16" t="n"/>
      <c r="R774" s="17" t="n"/>
      <c r="S774" s="143">
        <f>DADOS_INVOC!$QR$48</f>
        <v/>
      </c>
      <c r="T774" s="137" t="n"/>
      <c r="U774" s="128" t="n"/>
      <c r="V774" s="144" t="n"/>
      <c r="W774" s="16" t="n"/>
      <c r="X774" s="17" t="n"/>
      <c r="Y774" s="143">
        <f>DADOS_INVOC!$QR$49</f>
        <v/>
      </c>
      <c r="Z774" s="137" t="n"/>
      <c r="AB774" s="128" t="n"/>
      <c r="AC774" s="144" t="n"/>
      <c r="AD774" s="16" t="n"/>
      <c r="AE774" s="17" t="n"/>
      <c r="AF774" s="143">
        <f>DADOS_INVOC!$QR$125</f>
        <v/>
      </c>
      <c r="AG774" s="137" t="n"/>
      <c r="AH774" s="128" t="n"/>
      <c r="AI774" s="144" t="n"/>
      <c r="AJ774" s="16" t="n"/>
      <c r="AK774" s="17" t="n"/>
      <c r="AL774" s="143">
        <f>DADOS_INVOC!$QR$126</f>
        <v/>
      </c>
      <c r="AM774" s="137" t="n"/>
      <c r="AN774" s="128" t="n"/>
      <c r="AO774" s="144" t="n"/>
      <c r="AP774" s="16" t="n"/>
      <c r="AQ774" s="17" t="n"/>
      <c r="AR774" s="143">
        <f>DADOS_INVOC!$QR$127</f>
        <v/>
      </c>
      <c r="AS774" s="137" t="n"/>
    </row>
    <row r="775" hidden="1" outlineLevel="3">
      <c r="A775" s="8" t="n"/>
      <c r="B775" s="14" t="n"/>
      <c r="C775" s="137" t="n"/>
      <c r="D775" s="137" t="n"/>
      <c r="E775" s="137" t="n"/>
      <c r="F775" s="137" t="n"/>
      <c r="G775" s="137" t="n"/>
      <c r="I775" s="56" t="inlineStr">
        <is>
          <t>CONTA</t>
        </is>
      </c>
      <c r="J775" s="145">
        <f>DADOS_INVOC!$QK$47</f>
        <v/>
      </c>
      <c r="K775" s="16" t="n"/>
      <c r="L775" s="16" t="n"/>
      <c r="M775" s="17" t="n"/>
      <c r="N775" s="137" t="n"/>
      <c r="O775" s="56" t="inlineStr">
        <is>
          <t>CONTA</t>
        </is>
      </c>
      <c r="P775" s="145">
        <f>DADOS_INVOC!$QK$48</f>
        <v/>
      </c>
      <c r="Q775" s="16" t="n"/>
      <c r="R775" s="16" t="n"/>
      <c r="S775" s="17" t="n"/>
      <c r="T775" s="137" t="n"/>
      <c r="U775" s="56" t="inlineStr">
        <is>
          <t>CONTA</t>
        </is>
      </c>
      <c r="V775" s="145">
        <f>DADOS_INVOC!$QK$49</f>
        <v/>
      </c>
      <c r="W775" s="16" t="n"/>
      <c r="X775" s="16" t="n"/>
      <c r="Y775" s="17" t="n"/>
      <c r="Z775" s="137" t="n"/>
      <c r="AB775" s="56" t="inlineStr">
        <is>
          <t>CONTA</t>
        </is>
      </c>
      <c r="AC775" s="145">
        <f>DADOS_INVOC!$QK$125</f>
        <v/>
      </c>
      <c r="AD775" s="16" t="n"/>
      <c r="AE775" s="16" t="n"/>
      <c r="AF775" s="17" t="n"/>
      <c r="AG775" s="137" t="n"/>
      <c r="AH775" s="56" t="inlineStr">
        <is>
          <t>CONTA</t>
        </is>
      </c>
      <c r="AI775" s="145">
        <f>DADOS_INVOC!$QK$126</f>
        <v/>
      </c>
      <c r="AJ775" s="16" t="n"/>
      <c r="AK775" s="16" t="n"/>
      <c r="AL775" s="17" t="n"/>
      <c r="AM775" s="137" t="n"/>
      <c r="AN775" s="56" t="inlineStr">
        <is>
          <t>CONTA</t>
        </is>
      </c>
      <c r="AO775" s="145">
        <f>DADOS_INVOC!$QK$127</f>
        <v/>
      </c>
      <c r="AP775" s="16" t="n"/>
      <c r="AQ775" s="16" t="n"/>
      <c r="AR775" s="17" t="n"/>
      <c r="AS775" s="137" t="n"/>
    </row>
    <row r="776" hidden="1" outlineLevel="3">
      <c r="A776" s="8" t="n"/>
      <c r="B776" s="14" t="n"/>
      <c r="C776" s="137" t="n"/>
      <c r="D776" s="137" t="n"/>
      <c r="E776" s="137" t="n"/>
      <c r="F776" s="137" t="n"/>
      <c r="G776" s="137" t="n"/>
      <c r="I776" s="56" t="inlineStr">
        <is>
          <t>AMPLIAR</t>
        </is>
      </c>
      <c r="J776" s="145">
        <f>DADOS_INVOC!$QL$47</f>
        <v/>
      </c>
      <c r="K776" s="19" t="n"/>
      <c r="L776" s="19" t="n"/>
      <c r="M776" s="20" t="n"/>
      <c r="N776" s="137" t="n"/>
      <c r="O776" s="56" t="inlineStr">
        <is>
          <t>AMPLIAR</t>
        </is>
      </c>
      <c r="P776" s="145">
        <f>DADOS_INVOC!$QL$48</f>
        <v/>
      </c>
      <c r="Q776" s="19" t="n"/>
      <c r="R776" s="19" t="n"/>
      <c r="S776" s="20" t="n"/>
      <c r="T776" s="137" t="n"/>
      <c r="U776" s="56" t="inlineStr">
        <is>
          <t>AMPLIAR</t>
        </is>
      </c>
      <c r="V776" s="145">
        <f>DADOS_INVOC!$QL$49</f>
        <v/>
      </c>
      <c r="W776" s="19" t="n"/>
      <c r="X776" s="19" t="n"/>
      <c r="Y776" s="20" t="n"/>
      <c r="Z776" s="137" t="n"/>
      <c r="AB776" s="56" t="inlineStr">
        <is>
          <t>AMPLIAR</t>
        </is>
      </c>
      <c r="AC776" s="145">
        <f>DADOS_INVOC!$QL$125</f>
        <v/>
      </c>
      <c r="AD776" s="19" t="n"/>
      <c r="AE776" s="19" t="n"/>
      <c r="AF776" s="20" t="n"/>
      <c r="AG776" s="137" t="n"/>
      <c r="AH776" s="56" t="inlineStr">
        <is>
          <t>AMPLIAR</t>
        </is>
      </c>
      <c r="AI776" s="145">
        <f>DADOS_INVOC!$QL$126</f>
        <v/>
      </c>
      <c r="AJ776" s="19" t="n"/>
      <c r="AK776" s="19" t="n"/>
      <c r="AL776" s="20" t="n"/>
      <c r="AM776" s="137" t="n"/>
      <c r="AN776" s="56" t="inlineStr">
        <is>
          <t>AMPLIAR</t>
        </is>
      </c>
      <c r="AO776" s="145">
        <f>DADOS_INVOC!$QL$127</f>
        <v/>
      </c>
      <c r="AP776" s="19" t="n"/>
      <c r="AQ776" s="19" t="n"/>
      <c r="AR776" s="20" t="n"/>
      <c r="AS776" s="137" t="n"/>
    </row>
    <row r="777" hidden="1" outlineLevel="3">
      <c r="A777" s="8" t="n"/>
      <c r="B777" s="14" t="n"/>
      <c r="C777" s="137" t="n"/>
      <c r="D777" s="137" t="n"/>
      <c r="E777" s="137" t="n"/>
      <c r="F777" s="137" t="n"/>
      <c r="G777" s="137" t="n"/>
      <c r="I777" s="128" t="n"/>
      <c r="J777" s="23" t="n"/>
      <c r="K777" s="24" t="n"/>
      <c r="L777" s="24" t="n"/>
      <c r="M777" s="25" t="n"/>
      <c r="N777" s="137" t="n"/>
      <c r="O777" s="128" t="n"/>
      <c r="P777" s="23" t="n"/>
      <c r="Q777" s="24" t="n"/>
      <c r="R777" s="24" t="n"/>
      <c r="S777" s="25" t="n"/>
      <c r="T777" s="137" t="n"/>
      <c r="U777" s="128" t="n"/>
      <c r="V777" s="23" t="n"/>
      <c r="W777" s="24" t="n"/>
      <c r="X777" s="24" t="n"/>
      <c r="Y777" s="25" t="n"/>
      <c r="Z777" s="137" t="n"/>
      <c r="AB777" s="128" t="n"/>
      <c r="AC777" s="23" t="n"/>
      <c r="AD777" s="24" t="n"/>
      <c r="AE777" s="24" t="n"/>
      <c r="AF777" s="25" t="n"/>
      <c r="AG777" s="137" t="n"/>
      <c r="AH777" s="128" t="n"/>
      <c r="AI777" s="23" t="n"/>
      <c r="AJ777" s="24" t="n"/>
      <c r="AK777" s="24" t="n"/>
      <c r="AL777" s="25" t="n"/>
      <c r="AM777" s="137" t="n"/>
      <c r="AN777" s="128" t="n"/>
      <c r="AO777" s="23" t="n"/>
      <c r="AP777" s="24" t="n"/>
      <c r="AQ777" s="24" t="n"/>
      <c r="AR777" s="25" t="n"/>
      <c r="AS777" s="137" t="n"/>
    </row>
    <row r="778" hidden="1" outlineLevel="3">
      <c r="A778" s="8" t="n"/>
      <c r="B778" s="14" t="n"/>
      <c r="C778" s="137" t="n"/>
      <c r="D778" s="137" t="n"/>
      <c r="E778" s="137" t="n"/>
      <c r="F778" s="137" t="n"/>
      <c r="G778" s="137" t="n"/>
      <c r="I778" s="145">
        <f>DADOS_INVOC!$PY$47</f>
        <v/>
      </c>
      <c r="J778" s="19" t="n"/>
      <c r="K778" s="19" t="n"/>
      <c r="L778" s="19" t="n"/>
      <c r="M778" s="20" t="n"/>
      <c r="N778" s="137" t="n"/>
      <c r="O778" s="145">
        <f>DADOS_INVOC!$PY$48</f>
        <v/>
      </c>
      <c r="P778" s="19" t="n"/>
      <c r="Q778" s="19" t="n"/>
      <c r="R778" s="19" t="n"/>
      <c r="S778" s="20" t="n"/>
      <c r="T778" s="137" t="n"/>
      <c r="U778" s="145">
        <f>DADOS_INVOC!$PY$49</f>
        <v/>
      </c>
      <c r="V778" s="19" t="n"/>
      <c r="W778" s="19" t="n"/>
      <c r="X778" s="19" t="n"/>
      <c r="Y778" s="20" t="n"/>
      <c r="Z778" s="137" t="n"/>
      <c r="AB778" s="145">
        <f>DADOS_INVOC!$PY$125</f>
        <v/>
      </c>
      <c r="AC778" s="19" t="n"/>
      <c r="AD778" s="19" t="n"/>
      <c r="AE778" s="19" t="n"/>
      <c r="AF778" s="20" t="n"/>
      <c r="AG778" s="137" t="n"/>
      <c r="AH778" s="145">
        <f>DADOS_INVOC!$PY$126</f>
        <v/>
      </c>
      <c r="AI778" s="19" t="n"/>
      <c r="AJ778" s="19" t="n"/>
      <c r="AK778" s="19" t="n"/>
      <c r="AL778" s="20" t="n"/>
      <c r="AM778" s="137" t="n"/>
      <c r="AN778" s="145">
        <f>DADOS_INVOC!$PY$127</f>
        <v/>
      </c>
      <c r="AO778" s="19" t="n"/>
      <c r="AP778" s="19" t="n"/>
      <c r="AQ778" s="19" t="n"/>
      <c r="AR778" s="20" t="n"/>
      <c r="AS778" s="137" t="n"/>
    </row>
    <row r="779" hidden="1" outlineLevel="3">
      <c r="A779" s="8" t="n"/>
      <c r="B779" s="14" t="n"/>
      <c r="C779" s="137" t="n"/>
      <c r="D779" s="137" t="n"/>
      <c r="E779" s="137" t="n"/>
      <c r="F779" s="137" t="n"/>
      <c r="G779" s="137" t="n"/>
      <c r="I779" s="23" t="n"/>
      <c r="J779" s="24" t="n"/>
      <c r="K779" s="24" t="n"/>
      <c r="L779" s="24" t="n"/>
      <c r="M779" s="25" t="n"/>
      <c r="N779" s="137" t="n"/>
      <c r="O779" s="23" t="n"/>
      <c r="P779" s="24" t="n"/>
      <c r="Q779" s="24" t="n"/>
      <c r="R779" s="24" t="n"/>
      <c r="S779" s="25" t="n"/>
      <c r="T779" s="137" t="n"/>
      <c r="U779" s="23" t="n"/>
      <c r="V779" s="24" t="n"/>
      <c r="W779" s="24" t="n"/>
      <c r="X779" s="24" t="n"/>
      <c r="Y779" s="25" t="n"/>
      <c r="Z779" s="137" t="n"/>
      <c r="AB779" s="23" t="n"/>
      <c r="AC779" s="24" t="n"/>
      <c r="AD779" s="24" t="n"/>
      <c r="AE779" s="24" t="n"/>
      <c r="AF779" s="25" t="n"/>
      <c r="AG779" s="137" t="n"/>
      <c r="AH779" s="23" t="n"/>
      <c r="AI779" s="24" t="n"/>
      <c r="AJ779" s="24" t="n"/>
      <c r="AK779" s="24" t="n"/>
      <c r="AL779" s="25" t="n"/>
      <c r="AM779" s="137" t="n"/>
      <c r="AN779" s="23" t="n"/>
      <c r="AO779" s="24" t="n"/>
      <c r="AP779" s="24" t="n"/>
      <c r="AQ779" s="24" t="n"/>
      <c r="AR779" s="25" t="n"/>
      <c r="AS779" s="137" t="n"/>
    </row>
    <row r="780" hidden="1" outlineLevel="2">
      <c r="A780" s="8" t="n"/>
      <c r="B780" s="14" t="n"/>
      <c r="C780" s="137" t="n"/>
      <c r="D780" s="137" t="n"/>
      <c r="E780" s="137" t="n"/>
      <c r="F780" s="137" t="n"/>
      <c r="G780" s="137" t="n"/>
      <c r="I780" s="137" t="n"/>
      <c r="J780" s="137" t="n"/>
      <c r="K780" s="137" t="n"/>
      <c r="L780" s="137" t="n"/>
      <c r="M780" s="137" t="n"/>
      <c r="N780" s="137" t="n"/>
      <c r="O780" s="137" t="n"/>
      <c r="P780" s="137" t="n"/>
      <c r="Q780" s="137" t="n"/>
      <c r="R780" s="137" t="n"/>
      <c r="S780" s="137" t="n"/>
      <c r="T780" s="137" t="n"/>
      <c r="U780" s="137" t="n"/>
      <c r="V780" s="137" t="n"/>
      <c r="W780" s="137" t="n"/>
      <c r="X780" s="137" t="n"/>
      <c r="Y780" s="137" t="n"/>
      <c r="Z780" s="137" t="n"/>
      <c r="AB780" s="137" t="n"/>
      <c r="AC780" s="137" t="n"/>
      <c r="AD780" s="137" t="n"/>
      <c r="AE780" s="137" t="n"/>
      <c r="AF780" s="137" t="n"/>
      <c r="AG780" s="137" t="n"/>
      <c r="AH780" s="137" t="n"/>
      <c r="AI780" s="137" t="n"/>
      <c r="AJ780" s="137" t="n"/>
      <c r="AK780" s="137" t="n"/>
      <c r="AL780" s="137" t="n"/>
      <c r="AM780" s="137" t="n"/>
      <c r="AN780" s="137" t="n"/>
      <c r="AO780" s="137" t="n"/>
      <c r="AP780" s="137" t="n"/>
      <c r="AQ780" s="137" t="n"/>
      <c r="AR780" s="137" t="n"/>
      <c r="AS780" s="137" t="n"/>
    </row>
    <row r="781" hidden="1" outlineLevel="2">
      <c r="A781" s="8" t="n"/>
      <c r="B781" s="14" t="n"/>
      <c r="C781" s="137" t="n"/>
      <c r="D781" s="137" t="n"/>
      <c r="E781" s="137" t="n"/>
      <c r="F781" s="137" t="n"/>
      <c r="G781" s="137" t="n"/>
      <c r="I781" s="56">
        <f>DADOS_INVOC!$PZ$50</f>
        <v/>
      </c>
      <c r="J781" s="16" t="n"/>
      <c r="K781" s="16" t="n"/>
      <c r="L781" s="16" t="n"/>
      <c r="M781" s="17" t="n"/>
      <c r="N781" s="137" t="n"/>
      <c r="O781" s="137" t="n"/>
      <c r="P781" s="137" t="n"/>
      <c r="Q781" s="137" t="n"/>
      <c r="R781" s="137" t="n"/>
      <c r="S781" s="137" t="n"/>
      <c r="T781" s="137" t="n"/>
      <c r="U781" s="137" t="n"/>
      <c r="V781" s="137" t="n"/>
      <c r="W781" s="137" t="n"/>
      <c r="X781" s="137" t="n"/>
      <c r="Y781" s="137" t="n"/>
      <c r="Z781" s="137" t="n"/>
      <c r="AB781" s="56">
        <f>DADOS_INVOC!$PZ$128</f>
        <v/>
      </c>
      <c r="AC781" s="16" t="n"/>
      <c r="AD781" s="16" t="n"/>
      <c r="AE781" s="16" t="n"/>
      <c r="AF781" s="17" t="n"/>
      <c r="AG781" s="137" t="n"/>
      <c r="AH781" s="137" t="n"/>
      <c r="AI781" s="137" t="n"/>
      <c r="AJ781" s="137" t="n"/>
      <c r="AK781" s="137" t="n"/>
      <c r="AL781" s="137" t="n"/>
      <c r="AM781" s="137" t="n"/>
      <c r="AN781" s="137" t="n"/>
      <c r="AO781" s="137" t="n"/>
      <c r="AP781" s="137" t="n"/>
      <c r="AQ781" s="137" t="n"/>
      <c r="AR781" s="137" t="n"/>
      <c r="AS781" s="137" t="n"/>
    </row>
    <row r="782" hidden="1" outlineLevel="2">
      <c r="A782" s="8" t="n"/>
      <c r="B782" s="14" t="n"/>
      <c r="C782" s="137" t="n"/>
      <c r="D782" s="137" t="n"/>
      <c r="E782" s="137" t="n"/>
      <c r="F782" s="137" t="n"/>
      <c r="G782" s="137" t="n"/>
      <c r="I782" s="141" t="n">
        <v>1</v>
      </c>
      <c r="J782" s="131" t="n"/>
      <c r="K782" s="16" t="n"/>
      <c r="L782" s="17" t="n"/>
      <c r="M782" s="142">
        <f>DADOS_INVOC!$PX$50</f>
        <v/>
      </c>
      <c r="N782" s="137" t="n"/>
      <c r="O782" s="137" t="n"/>
      <c r="P782" s="137" t="n"/>
      <c r="Q782" s="137" t="n"/>
      <c r="R782" s="137" t="n"/>
      <c r="S782" s="137" t="n"/>
      <c r="T782" s="137" t="n"/>
      <c r="U782" s="137" t="n"/>
      <c r="V782" s="137" t="n"/>
      <c r="W782" s="137" t="n"/>
      <c r="X782" s="137" t="n"/>
      <c r="Y782" s="137" t="n"/>
      <c r="Z782" s="137" t="n"/>
      <c r="AB782" s="141" t="n">
        <v>1</v>
      </c>
      <c r="AC782" s="131" t="n"/>
      <c r="AD782" s="16" t="n"/>
      <c r="AE782" s="17" t="n"/>
      <c r="AF782" s="142">
        <f>DADOS_INVOC!$PX$128</f>
        <v/>
      </c>
      <c r="AG782" s="137" t="n"/>
      <c r="AH782" s="137" t="n"/>
      <c r="AI782" s="137" t="n"/>
      <c r="AJ782" s="137" t="n"/>
      <c r="AK782" s="137" t="n"/>
      <c r="AL782" s="137" t="n"/>
      <c r="AM782" s="137" t="n"/>
      <c r="AN782" s="137" t="n"/>
      <c r="AO782" s="137" t="n"/>
      <c r="AP782" s="137" t="n"/>
      <c r="AQ782" s="137" t="n"/>
      <c r="AR782" s="137" t="n"/>
      <c r="AS782" s="137" t="n"/>
    </row>
    <row r="783" hidden="1" outlineLevel="3">
      <c r="A783" s="8" t="n"/>
      <c r="B783" s="14" t="n"/>
      <c r="C783" s="137" t="n"/>
      <c r="D783" s="137" t="n"/>
      <c r="E783" s="137" t="n"/>
      <c r="F783" s="137" t="n"/>
      <c r="G783" s="137" t="n"/>
      <c r="I783" s="56" t="inlineStr">
        <is>
          <t>COMO É</t>
        </is>
      </c>
      <c r="J783" s="16" t="n"/>
      <c r="K783" s="16" t="n"/>
      <c r="L783" s="16" t="n"/>
      <c r="M783" s="17" t="n"/>
      <c r="N783" s="137" t="n"/>
      <c r="O783" s="137" t="n"/>
      <c r="P783" s="137" t="n"/>
      <c r="Q783" s="137" t="n"/>
      <c r="R783" s="137" t="n"/>
      <c r="S783" s="137" t="n"/>
      <c r="T783" s="137" t="n"/>
      <c r="U783" s="137" t="n"/>
      <c r="V783" s="137" t="n"/>
      <c r="W783" s="137" t="n"/>
      <c r="X783" s="137" t="n"/>
      <c r="Y783" s="137" t="n"/>
      <c r="Z783" s="137" t="n"/>
      <c r="AB783" s="56" t="inlineStr">
        <is>
          <t>COMO É</t>
        </is>
      </c>
      <c r="AC783" s="16" t="n"/>
      <c r="AD783" s="16" t="n"/>
      <c r="AE783" s="16" t="n"/>
      <c r="AF783" s="17" t="n"/>
      <c r="AG783" s="137" t="n"/>
      <c r="AH783" s="137" t="n"/>
      <c r="AI783" s="137" t="n"/>
      <c r="AJ783" s="137" t="n"/>
      <c r="AK783" s="137" t="n"/>
      <c r="AL783" s="137" t="n"/>
      <c r="AM783" s="137" t="n"/>
      <c r="AN783" s="137" t="n"/>
      <c r="AO783" s="137" t="n"/>
      <c r="AP783" s="137" t="n"/>
      <c r="AQ783" s="137" t="n"/>
      <c r="AR783" s="137" t="n"/>
      <c r="AS783" s="137" t="n"/>
    </row>
    <row r="784" hidden="1" outlineLevel="3">
      <c r="A784" s="8" t="n"/>
      <c r="B784" s="14" t="n"/>
      <c r="C784" s="137" t="n"/>
      <c r="D784" s="137" t="n"/>
      <c r="E784" s="137" t="n"/>
      <c r="F784" s="137" t="n"/>
      <c r="G784" s="137" t="n"/>
      <c r="I784" s="61" t="n"/>
      <c r="J784" s="19" t="n"/>
      <c r="K784" s="19" t="n"/>
      <c r="L784" s="19" t="n"/>
      <c r="M784" s="20" t="n"/>
      <c r="N784" s="137" t="n"/>
      <c r="O784" s="137" t="n"/>
      <c r="P784" s="137" t="n"/>
      <c r="Q784" s="137" t="n"/>
      <c r="R784" s="137" t="n"/>
      <c r="S784" s="137" t="n"/>
      <c r="T784" s="137" t="n"/>
      <c r="U784" s="137" t="n"/>
      <c r="V784" s="137" t="n"/>
      <c r="W784" s="137" t="n"/>
      <c r="X784" s="137" t="n"/>
      <c r="Y784" s="137" t="n"/>
      <c r="Z784" s="137" t="n"/>
      <c r="AB784" s="61" t="n"/>
      <c r="AC784" s="19" t="n"/>
      <c r="AD784" s="19" t="n"/>
      <c r="AE784" s="19" t="n"/>
      <c r="AF784" s="20" t="n"/>
      <c r="AG784" s="137" t="n"/>
      <c r="AH784" s="137" t="n"/>
      <c r="AI784" s="137" t="n"/>
      <c r="AJ784" s="137" t="n"/>
      <c r="AK784" s="137" t="n"/>
      <c r="AL784" s="137" t="n"/>
      <c r="AM784" s="137" t="n"/>
      <c r="AN784" s="137" t="n"/>
      <c r="AO784" s="137" t="n"/>
      <c r="AP784" s="137" t="n"/>
      <c r="AQ784" s="137" t="n"/>
      <c r="AR784" s="137" t="n"/>
      <c r="AS784" s="137" t="n"/>
    </row>
    <row r="785" hidden="1" outlineLevel="3">
      <c r="A785" s="8" t="n"/>
      <c r="B785" s="14" t="n"/>
      <c r="C785" s="137" t="n"/>
      <c r="D785" s="137" t="n"/>
      <c r="E785" s="137" t="n"/>
      <c r="F785" s="137" t="n"/>
      <c r="G785" s="137" t="n"/>
      <c r="I785" s="21" t="n"/>
      <c r="M785" s="22" t="n"/>
      <c r="N785" s="137" t="n"/>
      <c r="O785" s="137" t="n"/>
      <c r="P785" s="137" t="n"/>
      <c r="Q785" s="137" t="n"/>
      <c r="R785" s="137" t="n"/>
      <c r="S785" s="137" t="n"/>
      <c r="T785" s="137" t="n"/>
      <c r="U785" s="137" t="n"/>
      <c r="V785" s="137" t="n"/>
      <c r="W785" s="137" t="n"/>
      <c r="X785" s="137" t="n"/>
      <c r="Y785" s="137" t="n"/>
      <c r="Z785" s="137" t="n"/>
      <c r="AB785" s="21" t="n"/>
      <c r="AF785" s="22" t="n"/>
      <c r="AG785" s="137" t="n"/>
      <c r="AH785" s="137" t="n"/>
      <c r="AI785" s="137" t="n"/>
      <c r="AJ785" s="137" t="n"/>
      <c r="AK785" s="137" t="n"/>
      <c r="AL785" s="137" t="n"/>
      <c r="AM785" s="137" t="n"/>
      <c r="AN785" s="137" t="n"/>
      <c r="AO785" s="137" t="n"/>
      <c r="AP785" s="137" t="n"/>
      <c r="AQ785" s="137" t="n"/>
      <c r="AR785" s="137" t="n"/>
      <c r="AS785" s="137" t="n"/>
    </row>
    <row r="786" hidden="1" outlineLevel="3">
      <c r="A786" s="8" t="n"/>
      <c r="B786" s="14" t="n"/>
      <c r="C786" s="137" t="n"/>
      <c r="D786" s="137" t="n"/>
      <c r="E786" s="137" t="n"/>
      <c r="F786" s="137" t="n"/>
      <c r="G786" s="137" t="n"/>
      <c r="I786" s="23" t="n"/>
      <c r="J786" s="24" t="n"/>
      <c r="K786" s="24" t="n"/>
      <c r="L786" s="24" t="n"/>
      <c r="M786" s="25" t="n"/>
      <c r="N786" s="137" t="n"/>
      <c r="O786" s="137" t="n"/>
      <c r="P786" s="137" t="n"/>
      <c r="Q786" s="137" t="n"/>
      <c r="R786" s="137" t="n"/>
      <c r="S786" s="137" t="n"/>
      <c r="T786" s="137" t="n"/>
      <c r="U786" s="137" t="n"/>
      <c r="V786" s="137" t="n"/>
      <c r="W786" s="137" t="n"/>
      <c r="X786" s="137" t="n"/>
      <c r="Y786" s="137" t="n"/>
      <c r="Z786" s="137" t="n"/>
      <c r="AB786" s="23" t="n"/>
      <c r="AC786" s="24" t="n"/>
      <c r="AD786" s="24" t="n"/>
      <c r="AE786" s="24" t="n"/>
      <c r="AF786" s="25" t="n"/>
      <c r="AG786" s="137" t="n"/>
      <c r="AH786" s="137" t="n"/>
      <c r="AI786" s="137" t="n"/>
      <c r="AJ786" s="137" t="n"/>
      <c r="AK786" s="137" t="n"/>
      <c r="AL786" s="137" t="n"/>
      <c r="AM786" s="137" t="n"/>
      <c r="AN786" s="137" t="n"/>
      <c r="AO786" s="137" t="n"/>
      <c r="AP786" s="137" t="n"/>
      <c r="AQ786" s="137" t="n"/>
      <c r="AR786" s="137" t="n"/>
      <c r="AS786" s="137" t="n"/>
    </row>
    <row r="787" hidden="1" outlineLevel="2">
      <c r="A787" s="8" t="n"/>
      <c r="B787" s="14" t="n"/>
      <c r="C787" s="137" t="n"/>
      <c r="D787" s="137" t="n"/>
      <c r="E787" s="137" t="n"/>
      <c r="F787" s="137" t="n"/>
      <c r="G787" s="137" t="n"/>
      <c r="I787" s="95" t="inlineStr">
        <is>
          <t>Projétil</t>
        </is>
      </c>
      <c r="J787" s="17" t="n"/>
      <c r="K787" s="71">
        <f>DADOS_INVOC!$QE$50</f>
        <v/>
      </c>
      <c r="L787" s="17" t="n"/>
      <c r="M787" s="71">
        <f>DADOS_INVOC!$QA$50</f>
        <v/>
      </c>
      <c r="N787" s="137" t="n"/>
      <c r="O787" s="137" t="n"/>
      <c r="P787" s="137" t="n"/>
      <c r="Q787" s="137" t="n"/>
      <c r="R787" s="137" t="n"/>
      <c r="S787" s="137" t="n"/>
      <c r="T787" s="137" t="n"/>
      <c r="U787" s="137" t="n"/>
      <c r="V787" s="137" t="n"/>
      <c r="W787" s="137" t="n"/>
      <c r="X787" s="137" t="n"/>
      <c r="Y787" s="137" t="n"/>
      <c r="Z787" s="137" t="n"/>
      <c r="AB787" s="95" t="inlineStr">
        <is>
          <t>Projétil</t>
        </is>
      </c>
      <c r="AC787" s="17" t="n"/>
      <c r="AD787" s="71">
        <f>DADOS_INVOC!$QE$128</f>
        <v/>
      </c>
      <c r="AE787" s="17" t="n"/>
      <c r="AF787" s="71">
        <f>DADOS_INVOC!$QA$128</f>
        <v/>
      </c>
      <c r="AG787" s="137" t="n"/>
      <c r="AH787" s="137" t="n"/>
      <c r="AI787" s="137" t="n"/>
      <c r="AJ787" s="137" t="n"/>
      <c r="AK787" s="137" t="n"/>
      <c r="AL787" s="137" t="n"/>
      <c r="AM787" s="137" t="n"/>
      <c r="AN787" s="137" t="n"/>
      <c r="AO787" s="137" t="n"/>
      <c r="AP787" s="137" t="n"/>
      <c r="AQ787" s="137" t="n"/>
      <c r="AR787" s="137" t="n"/>
      <c r="AS787" s="137" t="n"/>
    </row>
    <row r="788" hidden="1" outlineLevel="2">
      <c r="A788" s="8" t="n"/>
      <c r="B788" s="14" t="n"/>
      <c r="C788" s="137" t="n"/>
      <c r="D788" s="137" t="n"/>
      <c r="E788" s="137" t="n"/>
      <c r="F788" s="137" t="n"/>
      <c r="G788" s="137" t="n"/>
      <c r="I788" s="95" t="n"/>
      <c r="J788" s="17" t="n"/>
      <c r="K788" s="95" t="n"/>
      <c r="L788" s="16" t="n"/>
      <c r="M788" s="17" t="n"/>
      <c r="N788" s="137" t="n"/>
      <c r="O788" s="137" t="n"/>
      <c r="P788" s="137" t="n"/>
      <c r="Q788" s="137" t="n"/>
      <c r="R788" s="137" t="n"/>
      <c r="S788" s="137" t="n"/>
      <c r="T788" s="137" t="n"/>
      <c r="U788" s="137" t="n"/>
      <c r="V788" s="137" t="n"/>
      <c r="W788" s="137" t="n"/>
      <c r="X788" s="137" t="n"/>
      <c r="Y788" s="137" t="n"/>
      <c r="Z788" s="137" t="n"/>
      <c r="AB788" s="95" t="n"/>
      <c r="AC788" s="17" t="n"/>
      <c r="AD788" s="95" t="n"/>
      <c r="AE788" s="16" t="n"/>
      <c r="AF788" s="17" t="n"/>
      <c r="AG788" s="137" t="n"/>
      <c r="AH788" s="137" t="n"/>
      <c r="AI788" s="137" t="n"/>
      <c r="AJ788" s="137" t="n"/>
      <c r="AK788" s="137" t="n"/>
      <c r="AL788" s="137" t="n"/>
      <c r="AM788" s="137" t="n"/>
      <c r="AN788" s="137" t="n"/>
      <c r="AO788" s="137" t="n"/>
      <c r="AP788" s="137" t="n"/>
      <c r="AQ788" s="137" t="n"/>
      <c r="AR788" s="137" t="n"/>
      <c r="AS788" s="137" t="n"/>
    </row>
    <row r="789" hidden="1" outlineLevel="2">
      <c r="A789" s="8" t="n"/>
      <c r="B789" s="14" t="n"/>
      <c r="C789" s="137" t="n"/>
      <c r="D789" s="137" t="n"/>
      <c r="E789" s="137" t="n"/>
      <c r="F789" s="137" t="n"/>
      <c r="G789" s="137" t="n"/>
      <c r="I789" s="95">
        <f>DADOS_INVOC!$QB$50</f>
        <v/>
      </c>
      <c r="J789" s="17" t="n"/>
      <c r="K789" s="95">
        <f>DADOS_INVOC!$QD$50</f>
        <v/>
      </c>
      <c r="L789" s="16" t="n"/>
      <c r="M789" s="17" t="n"/>
      <c r="N789" s="137" t="n"/>
      <c r="O789" s="137" t="n"/>
      <c r="P789" s="137" t="n"/>
      <c r="Q789" s="137" t="n"/>
      <c r="R789" s="137" t="n"/>
      <c r="S789" s="137" t="n"/>
      <c r="T789" s="137" t="n"/>
      <c r="U789" s="137" t="n"/>
      <c r="V789" s="137" t="n"/>
      <c r="W789" s="137" t="n"/>
      <c r="X789" s="137" t="n"/>
      <c r="Y789" s="137" t="n"/>
      <c r="Z789" s="137" t="n"/>
      <c r="AB789" s="95">
        <f>DADOS_INVOC!$QB$128</f>
        <v/>
      </c>
      <c r="AC789" s="17" t="n"/>
      <c r="AD789" s="95">
        <f>DADOS_INVOC!$QD$128</f>
        <v/>
      </c>
      <c r="AE789" s="16" t="n"/>
      <c r="AF789" s="17" t="n"/>
      <c r="AG789" s="137" t="n"/>
      <c r="AH789" s="137" t="n"/>
      <c r="AI789" s="137" t="n"/>
      <c r="AJ789" s="137" t="n"/>
      <c r="AK789" s="137" t="n"/>
      <c r="AL789" s="137" t="n"/>
      <c r="AM789" s="137" t="n"/>
      <c r="AN789" s="137" t="n"/>
      <c r="AO789" s="137" t="n"/>
      <c r="AP789" s="137" t="n"/>
      <c r="AQ789" s="137" t="n"/>
      <c r="AR789" s="137" t="n"/>
      <c r="AS789" s="137" t="n"/>
    </row>
    <row r="790" hidden="1" outlineLevel="2">
      <c r="A790" s="8" t="n"/>
      <c r="B790" s="14" t="n"/>
      <c r="C790" s="137" t="n"/>
      <c r="D790" s="137" t="n"/>
      <c r="E790" s="137" t="n"/>
      <c r="F790" s="137" t="n"/>
      <c r="G790" s="137" t="n"/>
      <c r="I790" s="143">
        <f>DADOS_INVOC!$QJ$50</f>
        <v/>
      </c>
      <c r="J790" s="16" t="n"/>
      <c r="K790" s="16" t="n"/>
      <c r="L790" s="16" t="n"/>
      <c r="M790" s="17" t="n"/>
      <c r="N790" s="137" t="n"/>
      <c r="O790" s="137" t="n"/>
      <c r="P790" s="137" t="n"/>
      <c r="Q790" s="137" t="n"/>
      <c r="R790" s="137" t="n"/>
      <c r="S790" s="137" t="n"/>
      <c r="T790" s="137" t="n"/>
      <c r="U790" s="137" t="n"/>
      <c r="V790" s="137" t="n"/>
      <c r="W790" s="137" t="n"/>
      <c r="X790" s="137" t="n"/>
      <c r="Y790" s="137" t="n"/>
      <c r="Z790" s="137" t="n"/>
      <c r="AB790" s="143">
        <f>DADOS_INVOC!$QJ$128</f>
        <v/>
      </c>
      <c r="AC790" s="16" t="n"/>
      <c r="AD790" s="16" t="n"/>
      <c r="AE790" s="16" t="n"/>
      <c r="AF790" s="17" t="n"/>
      <c r="AG790" s="137" t="n"/>
      <c r="AH790" s="137" t="n"/>
      <c r="AI790" s="137" t="n"/>
      <c r="AJ790" s="137" t="n"/>
      <c r="AK790" s="137" t="n"/>
      <c r="AL790" s="137" t="n"/>
      <c r="AM790" s="137" t="n"/>
      <c r="AN790" s="137" t="n"/>
      <c r="AO790" s="137" t="n"/>
      <c r="AP790" s="137" t="n"/>
      <c r="AQ790" s="137" t="n"/>
      <c r="AR790" s="137" t="n"/>
      <c r="AS790" s="137" t="n"/>
    </row>
    <row r="791" hidden="1" outlineLevel="3">
      <c r="A791" s="8" t="n"/>
      <c r="B791" s="14" t="n"/>
      <c r="C791" s="137" t="n"/>
      <c r="D791" s="137" t="n"/>
      <c r="E791" s="137" t="n"/>
      <c r="F791" s="137" t="n"/>
      <c r="G791" s="137" t="n"/>
      <c r="I791" s="56" t="inlineStr">
        <is>
          <t>MELHORIAS</t>
        </is>
      </c>
      <c r="J791" s="144" t="n"/>
      <c r="K791" s="16" t="n"/>
      <c r="L791" s="17" t="n"/>
      <c r="M791" s="143">
        <f>DADOS_INVOC!$QM$50</f>
        <v/>
      </c>
      <c r="N791" s="137" t="n"/>
      <c r="O791" s="137" t="n"/>
      <c r="P791" s="137" t="n"/>
      <c r="Q791" s="137" t="n"/>
      <c r="R791" s="137" t="n"/>
      <c r="S791" s="137" t="n"/>
      <c r="T791" s="137" t="n"/>
      <c r="U791" s="137" t="n"/>
      <c r="V791" s="137" t="n"/>
      <c r="W791" s="137" t="n"/>
      <c r="X791" s="137" t="n"/>
      <c r="Y791" s="137" t="n"/>
      <c r="Z791" s="137" t="n"/>
      <c r="AB791" s="56" t="inlineStr">
        <is>
          <t>MELHORIAS</t>
        </is>
      </c>
      <c r="AC791" s="144" t="n"/>
      <c r="AD791" s="16" t="n"/>
      <c r="AE791" s="17" t="n"/>
      <c r="AF791" s="143">
        <f>DADOS_INVOC!$QM$128</f>
        <v/>
      </c>
      <c r="AG791" s="137" t="n"/>
      <c r="AH791" s="137" t="n"/>
      <c r="AI791" s="137" t="n"/>
      <c r="AJ791" s="137" t="n"/>
      <c r="AK791" s="137" t="n"/>
      <c r="AL791" s="137" t="n"/>
      <c r="AM791" s="137" t="n"/>
      <c r="AN791" s="137" t="n"/>
      <c r="AO791" s="137" t="n"/>
      <c r="AP791" s="137" t="n"/>
      <c r="AQ791" s="137" t="n"/>
      <c r="AR791" s="137" t="n"/>
      <c r="AS791" s="137" t="n"/>
    </row>
    <row r="792" hidden="1" outlineLevel="3">
      <c r="A792" s="8" t="n"/>
      <c r="B792" s="14" t="n"/>
      <c r="C792" s="137" t="n"/>
      <c r="D792" s="137" t="n"/>
      <c r="E792" s="137" t="n"/>
      <c r="F792" s="137" t="n"/>
      <c r="G792" s="137" t="n"/>
      <c r="I792" s="66" t="n"/>
      <c r="J792" s="144" t="n"/>
      <c r="K792" s="16" t="n"/>
      <c r="L792" s="17" t="n"/>
      <c r="M792" s="143">
        <f>DADOS_INVOC!$QN$50</f>
        <v/>
      </c>
      <c r="N792" s="137" t="n"/>
      <c r="O792" s="137" t="n"/>
      <c r="P792" s="137" t="n"/>
      <c r="Q792" s="137" t="n"/>
      <c r="R792" s="137" t="n"/>
      <c r="S792" s="137" t="n"/>
      <c r="T792" s="137" t="n"/>
      <c r="U792" s="137" t="n"/>
      <c r="V792" s="137" t="n"/>
      <c r="W792" s="137" t="n"/>
      <c r="X792" s="137" t="n"/>
      <c r="Y792" s="137" t="n"/>
      <c r="Z792" s="137" t="n"/>
      <c r="AB792" s="66" t="n"/>
      <c r="AC792" s="144" t="n"/>
      <c r="AD792" s="16" t="n"/>
      <c r="AE792" s="17" t="n"/>
      <c r="AF792" s="143">
        <f>DADOS_INVOC!$QN$128</f>
        <v/>
      </c>
      <c r="AG792" s="137" t="n"/>
      <c r="AH792" s="137" t="n"/>
      <c r="AI792" s="137" t="n"/>
      <c r="AJ792" s="137" t="n"/>
      <c r="AK792" s="137" t="n"/>
      <c r="AL792" s="137" t="n"/>
      <c r="AM792" s="137" t="n"/>
      <c r="AN792" s="137" t="n"/>
      <c r="AO792" s="137" t="n"/>
      <c r="AP792" s="137" t="n"/>
      <c r="AQ792" s="137" t="n"/>
      <c r="AR792" s="137" t="n"/>
      <c r="AS792" s="137" t="n"/>
    </row>
    <row r="793" hidden="1" outlineLevel="3">
      <c r="A793" s="8" t="n"/>
      <c r="B793" s="14" t="n"/>
      <c r="C793" s="137" t="n"/>
      <c r="D793" s="137" t="n"/>
      <c r="E793" s="137" t="n"/>
      <c r="F793" s="137" t="n"/>
      <c r="G793" s="137" t="n"/>
      <c r="I793" s="66" t="n"/>
      <c r="J793" s="144" t="n"/>
      <c r="K793" s="16" t="n"/>
      <c r="L793" s="17" t="n"/>
      <c r="M793" s="143">
        <f>DADOS_INVOC!$QO$50</f>
        <v/>
      </c>
      <c r="N793" s="137" t="n"/>
      <c r="O793" s="137" t="n"/>
      <c r="P793" s="137" t="n"/>
      <c r="Q793" s="137" t="n"/>
      <c r="R793" s="137" t="n"/>
      <c r="S793" s="137" t="n"/>
      <c r="T793" s="137" t="n"/>
      <c r="U793" s="137" t="n"/>
      <c r="V793" s="137" t="n"/>
      <c r="W793" s="137" t="n"/>
      <c r="X793" s="137" t="n"/>
      <c r="Y793" s="137" t="n"/>
      <c r="Z793" s="137" t="n"/>
      <c r="AB793" s="66" t="n"/>
      <c r="AC793" s="144" t="n"/>
      <c r="AD793" s="16" t="n"/>
      <c r="AE793" s="17" t="n"/>
      <c r="AF793" s="143">
        <f>DADOS_INVOC!$QO$128</f>
        <v/>
      </c>
      <c r="AG793" s="137" t="n"/>
      <c r="AH793" s="137" t="n"/>
      <c r="AI793" s="137" t="n"/>
      <c r="AJ793" s="137" t="n"/>
      <c r="AK793" s="137" t="n"/>
      <c r="AL793" s="137" t="n"/>
      <c r="AM793" s="137" t="n"/>
      <c r="AN793" s="137" t="n"/>
      <c r="AO793" s="137" t="n"/>
      <c r="AP793" s="137" t="n"/>
      <c r="AQ793" s="137" t="n"/>
      <c r="AR793" s="137" t="n"/>
      <c r="AS793" s="137" t="n"/>
    </row>
    <row r="794" hidden="1" outlineLevel="3">
      <c r="A794" s="8" t="n"/>
      <c r="B794" s="14" t="n"/>
      <c r="C794" s="137" t="n"/>
      <c r="D794" s="137" t="n"/>
      <c r="E794" s="137" t="n"/>
      <c r="F794" s="137" t="n"/>
      <c r="G794" s="137" t="n"/>
      <c r="I794" s="128" t="n"/>
      <c r="J794" s="144" t="n"/>
      <c r="K794" s="16" t="n"/>
      <c r="L794" s="17" t="n"/>
      <c r="M794" s="143">
        <f>DADOS_INVOC!$QP$50</f>
        <v/>
      </c>
      <c r="N794" s="137" t="n"/>
      <c r="O794" s="137" t="n"/>
      <c r="P794" s="137" t="n"/>
      <c r="Q794" s="137" t="n"/>
      <c r="R794" s="137" t="n"/>
      <c r="S794" s="137" t="n"/>
      <c r="T794" s="137" t="n"/>
      <c r="U794" s="137" t="n"/>
      <c r="V794" s="137" t="n"/>
      <c r="W794" s="137" t="n"/>
      <c r="X794" s="137" t="n"/>
      <c r="Y794" s="137" t="n"/>
      <c r="Z794" s="137" t="n"/>
      <c r="AB794" s="128" t="n"/>
      <c r="AC794" s="144" t="n"/>
      <c r="AD794" s="16" t="n"/>
      <c r="AE794" s="17" t="n"/>
      <c r="AF794" s="143">
        <f>DADOS_INVOC!$QP$128</f>
        <v/>
      </c>
      <c r="AG794" s="137" t="n"/>
      <c r="AH794" s="137" t="n"/>
      <c r="AI794" s="137" t="n"/>
      <c r="AJ794" s="137" t="n"/>
      <c r="AK794" s="137" t="n"/>
      <c r="AL794" s="137" t="n"/>
      <c r="AM794" s="137" t="n"/>
      <c r="AN794" s="137" t="n"/>
      <c r="AO794" s="137" t="n"/>
      <c r="AP794" s="137" t="n"/>
      <c r="AQ794" s="137" t="n"/>
      <c r="AR794" s="137" t="n"/>
      <c r="AS794" s="137" t="n"/>
    </row>
    <row r="795" hidden="1" outlineLevel="3">
      <c r="A795" s="8" t="n"/>
      <c r="B795" s="14" t="n"/>
      <c r="C795" s="137" t="n"/>
      <c r="D795" s="137" t="n"/>
      <c r="E795" s="137" t="n"/>
      <c r="F795" s="137" t="n"/>
      <c r="G795" s="137" t="n"/>
      <c r="I795" s="56" t="inlineStr">
        <is>
          <t>RESTRIÇÕES</t>
        </is>
      </c>
      <c r="J795" s="144" t="n"/>
      <c r="K795" s="16" t="n"/>
      <c r="L795" s="17" t="n"/>
      <c r="M795" s="143">
        <f>DADOS_INVOC!$QQ$50</f>
        <v/>
      </c>
      <c r="N795" s="137" t="n"/>
      <c r="O795" s="137" t="n"/>
      <c r="P795" s="137" t="n"/>
      <c r="Q795" s="137" t="n"/>
      <c r="R795" s="137" t="n"/>
      <c r="S795" s="137" t="n"/>
      <c r="T795" s="137" t="n"/>
      <c r="U795" s="137" t="n"/>
      <c r="V795" s="137" t="n"/>
      <c r="W795" s="137" t="n"/>
      <c r="X795" s="137" t="n"/>
      <c r="Y795" s="137" t="n"/>
      <c r="Z795" s="137" t="n"/>
      <c r="AB795" s="56" t="inlineStr">
        <is>
          <t>RESTRIÇÕES</t>
        </is>
      </c>
      <c r="AC795" s="144" t="n"/>
      <c r="AD795" s="16" t="n"/>
      <c r="AE795" s="17" t="n"/>
      <c r="AF795" s="143">
        <f>DADOS_INVOC!$QQ$128</f>
        <v/>
      </c>
      <c r="AG795" s="137" t="n"/>
      <c r="AH795" s="137" t="n"/>
      <c r="AI795" s="137" t="n"/>
      <c r="AJ795" s="137" t="n"/>
      <c r="AK795" s="137" t="n"/>
      <c r="AL795" s="137" t="n"/>
      <c r="AM795" s="137" t="n"/>
      <c r="AN795" s="137" t="n"/>
      <c r="AO795" s="137" t="n"/>
      <c r="AP795" s="137" t="n"/>
      <c r="AQ795" s="137" t="n"/>
      <c r="AR795" s="137" t="n"/>
      <c r="AS795" s="137" t="n"/>
    </row>
    <row r="796" hidden="1" outlineLevel="3">
      <c r="A796" s="8" t="n"/>
      <c r="B796" s="14" t="n"/>
      <c r="C796" s="137" t="n"/>
      <c r="D796" s="137" t="n"/>
      <c r="E796" s="137" t="n"/>
      <c r="F796" s="137" t="n"/>
      <c r="G796" s="137" t="n"/>
      <c r="I796" s="128" t="n"/>
      <c r="J796" s="144" t="n"/>
      <c r="K796" s="16" t="n"/>
      <c r="L796" s="17" t="n"/>
      <c r="M796" s="143">
        <f>DADOS_INVOC!$QR$50</f>
        <v/>
      </c>
      <c r="N796" s="137" t="n"/>
      <c r="O796" s="137" t="n"/>
      <c r="P796" s="137" t="n"/>
      <c r="Q796" s="137" t="n"/>
      <c r="R796" s="137" t="n"/>
      <c r="S796" s="137" t="n"/>
      <c r="T796" s="137" t="n"/>
      <c r="U796" s="137" t="n"/>
      <c r="V796" s="137" t="n"/>
      <c r="W796" s="137" t="n"/>
      <c r="X796" s="137" t="n"/>
      <c r="Y796" s="137" t="n"/>
      <c r="Z796" s="137" t="n"/>
      <c r="AB796" s="128" t="n"/>
      <c r="AC796" s="144" t="n"/>
      <c r="AD796" s="16" t="n"/>
      <c r="AE796" s="17" t="n"/>
      <c r="AF796" s="143">
        <f>DADOS_INVOC!$QR$128</f>
        <v/>
      </c>
      <c r="AG796" s="137" t="n"/>
      <c r="AH796" s="137" t="n"/>
      <c r="AI796" s="137" t="n"/>
      <c r="AJ796" s="137" t="n"/>
      <c r="AK796" s="137" t="n"/>
      <c r="AL796" s="137" t="n"/>
      <c r="AM796" s="137" t="n"/>
      <c r="AN796" s="137" t="n"/>
      <c r="AO796" s="137" t="n"/>
      <c r="AP796" s="137" t="n"/>
      <c r="AQ796" s="137" t="n"/>
      <c r="AR796" s="137" t="n"/>
      <c r="AS796" s="137" t="n"/>
    </row>
    <row r="797" hidden="1" outlineLevel="3">
      <c r="A797" s="8" t="n"/>
      <c r="B797" s="14" t="n"/>
      <c r="C797" s="137" t="n"/>
      <c r="D797" s="137" t="n"/>
      <c r="E797" s="137" t="n"/>
      <c r="F797" s="137" t="n"/>
      <c r="G797" s="137" t="n"/>
      <c r="I797" s="56" t="inlineStr">
        <is>
          <t>CONTA</t>
        </is>
      </c>
      <c r="J797" s="145">
        <f>DADOS_INVOC!$QK$50</f>
        <v/>
      </c>
      <c r="K797" s="16" t="n"/>
      <c r="L797" s="16" t="n"/>
      <c r="M797" s="17" t="n"/>
      <c r="N797" s="137" t="n"/>
      <c r="O797" s="137" t="n"/>
      <c r="P797" s="137" t="n"/>
      <c r="Q797" s="137" t="n"/>
      <c r="R797" s="137" t="n"/>
      <c r="S797" s="137" t="n"/>
      <c r="T797" s="137" t="n"/>
      <c r="U797" s="137" t="n"/>
      <c r="V797" s="137" t="n"/>
      <c r="W797" s="137" t="n"/>
      <c r="X797" s="137" t="n"/>
      <c r="Y797" s="137" t="n"/>
      <c r="Z797" s="137" t="n"/>
      <c r="AB797" s="56" t="inlineStr">
        <is>
          <t>CONTA</t>
        </is>
      </c>
      <c r="AC797" s="145">
        <f>DADOS_INVOC!$QK$128</f>
        <v/>
      </c>
      <c r="AD797" s="16" t="n"/>
      <c r="AE797" s="16" t="n"/>
      <c r="AF797" s="17" t="n"/>
      <c r="AG797" s="137" t="n"/>
      <c r="AH797" s="137" t="n"/>
      <c r="AI797" s="137" t="n"/>
      <c r="AJ797" s="137" t="n"/>
      <c r="AK797" s="137" t="n"/>
      <c r="AL797" s="137" t="n"/>
      <c r="AM797" s="137" t="n"/>
      <c r="AN797" s="137" t="n"/>
      <c r="AO797" s="137" t="n"/>
      <c r="AP797" s="137" t="n"/>
      <c r="AQ797" s="137" t="n"/>
      <c r="AR797" s="137" t="n"/>
      <c r="AS797" s="137" t="n"/>
    </row>
    <row r="798" hidden="1" outlineLevel="3">
      <c r="A798" s="8" t="n"/>
      <c r="B798" s="14" t="n"/>
      <c r="C798" s="137" t="n"/>
      <c r="D798" s="137" t="n"/>
      <c r="E798" s="137" t="n"/>
      <c r="F798" s="137" t="n"/>
      <c r="G798" s="137" t="n"/>
      <c r="I798" s="56" t="inlineStr">
        <is>
          <t>AMPLIAR</t>
        </is>
      </c>
      <c r="J798" s="145">
        <f>DADOS_INVOC!$QL$50</f>
        <v/>
      </c>
      <c r="K798" s="19" t="n"/>
      <c r="L798" s="19" t="n"/>
      <c r="M798" s="20" t="n"/>
      <c r="N798" s="137" t="n"/>
      <c r="O798" s="137" t="n"/>
      <c r="P798" s="137" t="n"/>
      <c r="Q798" s="137" t="n"/>
      <c r="R798" s="137" t="n"/>
      <c r="S798" s="137" t="n"/>
      <c r="T798" s="137" t="n"/>
      <c r="U798" s="137" t="n"/>
      <c r="V798" s="137" t="n"/>
      <c r="W798" s="137" t="n"/>
      <c r="X798" s="137" t="n"/>
      <c r="Y798" s="137" t="n"/>
      <c r="Z798" s="137" t="n"/>
      <c r="AB798" s="56" t="inlineStr">
        <is>
          <t>AMPLIAR</t>
        </is>
      </c>
      <c r="AC798" s="145">
        <f>DADOS_INVOC!$QL$128</f>
        <v/>
      </c>
      <c r="AD798" s="19" t="n"/>
      <c r="AE798" s="19" t="n"/>
      <c r="AF798" s="20" t="n"/>
      <c r="AG798" s="137" t="n"/>
      <c r="AH798" s="137" t="n"/>
      <c r="AI798" s="137" t="n"/>
      <c r="AJ798" s="137" t="n"/>
      <c r="AK798" s="137" t="n"/>
      <c r="AL798" s="137" t="n"/>
      <c r="AM798" s="137" t="n"/>
      <c r="AN798" s="137" t="n"/>
      <c r="AO798" s="137" t="n"/>
      <c r="AP798" s="137" t="n"/>
      <c r="AQ798" s="137" t="n"/>
      <c r="AR798" s="137" t="n"/>
      <c r="AS798" s="137" t="n"/>
    </row>
    <row r="799" hidden="1" outlineLevel="3">
      <c r="A799" s="8" t="n"/>
      <c r="B799" s="14" t="n"/>
      <c r="C799" s="137" t="n"/>
      <c r="D799" s="137" t="n"/>
      <c r="E799" s="137" t="n"/>
      <c r="F799" s="137" t="n"/>
      <c r="G799" s="137" t="n"/>
      <c r="I799" s="128" t="n"/>
      <c r="J799" s="23" t="n"/>
      <c r="K799" s="24" t="n"/>
      <c r="L799" s="24" t="n"/>
      <c r="M799" s="25" t="n"/>
      <c r="N799" s="137" t="n"/>
      <c r="O799" s="137" t="n"/>
      <c r="P799" s="137" t="n"/>
      <c r="Q799" s="137" t="n"/>
      <c r="R799" s="137" t="n"/>
      <c r="S799" s="137" t="n"/>
      <c r="T799" s="137" t="n"/>
      <c r="U799" s="137" t="n"/>
      <c r="V799" s="137" t="n"/>
      <c r="W799" s="137" t="n"/>
      <c r="X799" s="137" t="n"/>
      <c r="Y799" s="137" t="n"/>
      <c r="Z799" s="137" t="n"/>
      <c r="AB799" s="128" t="n"/>
      <c r="AC799" s="23" t="n"/>
      <c r="AD799" s="24" t="n"/>
      <c r="AE799" s="24" t="n"/>
      <c r="AF799" s="25" t="n"/>
      <c r="AG799" s="137" t="n"/>
      <c r="AH799" s="137" t="n"/>
      <c r="AI799" s="137" t="n"/>
      <c r="AJ799" s="137" t="n"/>
      <c r="AK799" s="137" t="n"/>
      <c r="AL799" s="137" t="n"/>
      <c r="AM799" s="137" t="n"/>
      <c r="AN799" s="137" t="n"/>
      <c r="AO799" s="137" t="n"/>
      <c r="AP799" s="137" t="n"/>
      <c r="AQ799" s="137" t="n"/>
      <c r="AR799" s="137" t="n"/>
      <c r="AS799" s="137" t="n"/>
    </row>
    <row r="800" hidden="1" outlineLevel="3">
      <c r="A800" s="8" t="n"/>
      <c r="B800" s="14" t="n"/>
      <c r="C800" s="137" t="n"/>
      <c r="D800" s="137" t="n"/>
      <c r="E800" s="137" t="n"/>
      <c r="F800" s="137" t="n"/>
      <c r="G800" s="137" t="n"/>
      <c r="I800" s="145">
        <f>DADOS_INVOC!$PY$50</f>
        <v/>
      </c>
      <c r="J800" s="19" t="n"/>
      <c r="K800" s="19" t="n"/>
      <c r="L800" s="19" t="n"/>
      <c r="M800" s="20" t="n"/>
      <c r="N800" s="137" t="n"/>
      <c r="O800" s="137" t="n"/>
      <c r="P800" s="137" t="n"/>
      <c r="Q800" s="137" t="n"/>
      <c r="R800" s="137" t="n"/>
      <c r="S800" s="137" t="n"/>
      <c r="T800" s="137" t="n"/>
      <c r="U800" s="137" t="n"/>
      <c r="V800" s="137" t="n"/>
      <c r="W800" s="137" t="n"/>
      <c r="X800" s="137" t="n"/>
      <c r="Y800" s="137" t="n"/>
      <c r="Z800" s="137" t="n"/>
      <c r="AB800" s="145">
        <f>DADOS_INVOC!$PY$128</f>
        <v/>
      </c>
      <c r="AC800" s="19" t="n"/>
      <c r="AD800" s="19" t="n"/>
      <c r="AE800" s="19" t="n"/>
      <c r="AF800" s="20" t="n"/>
      <c r="AG800" s="137" t="n"/>
      <c r="AH800" s="137" t="n"/>
      <c r="AI800" s="137" t="n"/>
      <c r="AJ800" s="137" t="n"/>
      <c r="AK800" s="137" t="n"/>
      <c r="AL800" s="137" t="n"/>
      <c r="AM800" s="137" t="n"/>
      <c r="AN800" s="137" t="n"/>
      <c r="AO800" s="137" t="n"/>
      <c r="AP800" s="137" t="n"/>
      <c r="AQ800" s="137" t="n"/>
      <c r="AR800" s="137" t="n"/>
      <c r="AS800" s="137" t="n"/>
    </row>
    <row r="801" hidden="1" outlineLevel="3">
      <c r="A801" s="8" t="n"/>
      <c r="B801" s="14" t="n"/>
      <c r="C801" s="137" t="n"/>
      <c r="D801" s="137" t="n"/>
      <c r="E801" s="137" t="n"/>
      <c r="F801" s="137" t="n"/>
      <c r="G801" s="137" t="n"/>
      <c r="I801" s="23" t="n"/>
      <c r="J801" s="24" t="n"/>
      <c r="K801" s="24" t="n"/>
      <c r="L801" s="24" t="n"/>
      <c r="M801" s="25" t="n"/>
      <c r="N801" s="137" t="n"/>
      <c r="O801" s="137" t="n"/>
      <c r="P801" s="137" t="n"/>
      <c r="Q801" s="137" t="n"/>
      <c r="R801" s="137" t="n"/>
      <c r="S801" s="137" t="n"/>
      <c r="T801" s="137" t="n"/>
      <c r="U801" s="137" t="n"/>
      <c r="V801" s="137" t="n"/>
      <c r="W801" s="137" t="n"/>
      <c r="X801" s="137" t="n"/>
      <c r="Y801" s="137" t="n"/>
      <c r="Z801" s="137" t="n"/>
      <c r="AB801" s="23" t="n"/>
      <c r="AC801" s="24" t="n"/>
      <c r="AD801" s="24" t="n"/>
      <c r="AE801" s="24" t="n"/>
      <c r="AF801" s="25" t="n"/>
      <c r="AG801" s="137" t="n"/>
      <c r="AH801" s="137" t="n"/>
      <c r="AI801" s="137" t="n"/>
      <c r="AJ801" s="137" t="n"/>
      <c r="AK801" s="137" t="n"/>
      <c r="AL801" s="137" t="n"/>
      <c r="AM801" s="137" t="n"/>
      <c r="AN801" s="137" t="n"/>
      <c r="AO801" s="137" t="n"/>
      <c r="AP801" s="137" t="n"/>
      <c r="AQ801" s="137" t="n"/>
      <c r="AR801" s="137" t="n"/>
      <c r="AS801" s="137" t="n"/>
    </row>
    <row r="802" hidden="1" outlineLevel="1">
      <c r="A802" s="8" t="n"/>
      <c r="B802" s="14" t="n"/>
      <c r="C802" s="137" t="n"/>
      <c r="D802" s="137" t="n"/>
      <c r="E802" s="137" t="n"/>
      <c r="F802" s="137" t="n"/>
      <c r="G802" s="137" t="n"/>
      <c r="I802" s="137" t="n"/>
      <c r="J802" s="137" t="n"/>
      <c r="K802" s="137" t="n"/>
      <c r="L802" s="137" t="n"/>
      <c r="M802" s="137" t="n"/>
      <c r="N802" s="137" t="n"/>
      <c r="O802" s="137" t="n"/>
      <c r="P802" s="137" t="n"/>
      <c r="Q802" s="137" t="n"/>
      <c r="R802" s="137" t="n"/>
      <c r="S802" s="137" t="n"/>
      <c r="T802" s="137" t="n"/>
      <c r="U802" s="137" t="n"/>
      <c r="V802" s="137" t="n"/>
      <c r="W802" s="137" t="n"/>
      <c r="X802" s="137" t="n"/>
      <c r="Y802" s="137" t="n"/>
      <c r="Z802" s="137" t="n"/>
      <c r="AB802" s="137" t="n"/>
      <c r="AC802" s="137" t="n"/>
      <c r="AD802" s="137" t="n"/>
      <c r="AE802" s="137" t="n"/>
      <c r="AF802" s="137" t="n"/>
      <c r="AG802" s="137" t="n"/>
      <c r="AH802" s="137" t="n"/>
      <c r="AI802" s="137" t="n"/>
      <c r="AJ802" s="137" t="n"/>
      <c r="AK802" s="137" t="n"/>
      <c r="AL802" s="137" t="n"/>
      <c r="AM802" s="137" t="n"/>
      <c r="AN802" s="137" t="n"/>
      <c r="AO802" s="137" t="n"/>
      <c r="AP802" s="137" t="n"/>
      <c r="AQ802" s="137" t="n"/>
      <c r="AR802" s="137" t="n"/>
      <c r="AS802" s="137" t="n"/>
    </row>
    <row r="803" hidden="1" outlineLevel="1">
      <c r="A803" s="8" t="n"/>
      <c r="B803" s="14" t="n"/>
      <c r="C803" s="137" t="n"/>
      <c r="D803" s="137" t="n"/>
      <c r="E803" s="137" t="n"/>
      <c r="F803" s="137" t="n"/>
      <c r="G803" s="137" t="n"/>
      <c r="I803" s="146" t="inlineStr">
        <is>
          <t>REPERTÓRIO DA TRILHA · só o Evocador: as escolhas a mais da Invocação Principal e do Repertório do Conjunto</t>
        </is>
      </c>
      <c r="J803" s="16" t="n"/>
      <c r="K803" s="16" t="n"/>
      <c r="L803" s="16" t="n"/>
      <c r="M803" s="16" t="n"/>
      <c r="N803" s="16" t="n"/>
      <c r="O803" s="16" t="n"/>
      <c r="P803" s="16" t="n"/>
      <c r="Q803" s="16" t="n"/>
      <c r="R803" s="16" t="n"/>
      <c r="S803" s="16" t="n"/>
      <c r="T803" s="16" t="n"/>
      <c r="U803" s="16" t="n"/>
      <c r="V803" s="16" t="n"/>
      <c r="W803" s="16" t="n"/>
      <c r="X803" s="16" t="n"/>
      <c r="Y803" s="17" t="n"/>
      <c r="Z803" s="137" t="n"/>
      <c r="AB803" s="146" t="inlineStr">
        <is>
          <t>REPERTÓRIO DA TRILHA · só o Evocador: as escolhas a mais da Invocação Principal e do Repertório do Conjunto</t>
        </is>
      </c>
      <c r="AC803" s="16" t="n"/>
      <c r="AD803" s="16" t="n"/>
      <c r="AE803" s="16" t="n"/>
      <c r="AF803" s="16" t="n"/>
      <c r="AG803" s="16" t="n"/>
      <c r="AH803" s="16" t="n"/>
      <c r="AI803" s="16" t="n"/>
      <c r="AJ803" s="16" t="n"/>
      <c r="AK803" s="16" t="n"/>
      <c r="AL803" s="16" t="n"/>
      <c r="AM803" s="16" t="n"/>
      <c r="AN803" s="16" t="n"/>
      <c r="AO803" s="16" t="n"/>
      <c r="AP803" s="16" t="n"/>
      <c r="AQ803" s="16" t="n"/>
      <c r="AR803" s="17" t="n"/>
      <c r="AS803" s="137" t="n"/>
    </row>
    <row r="804" hidden="1" outlineLevel="2">
      <c r="A804" s="8" t="n"/>
      <c r="B804" s="14" t="n"/>
      <c r="C804" s="137" t="n"/>
      <c r="D804" s="137" t="n"/>
      <c r="E804" s="137" t="n"/>
      <c r="F804" s="137" t="n"/>
      <c r="G804" s="137" t="n"/>
      <c r="I804" s="137" t="n"/>
      <c r="J804" s="137" t="n"/>
      <c r="K804" s="137" t="n"/>
      <c r="L804" s="137" t="n"/>
      <c r="M804" s="137" t="n"/>
      <c r="N804" s="137" t="n"/>
      <c r="O804" s="137" t="n"/>
      <c r="P804" s="137" t="n"/>
      <c r="Q804" s="137" t="n"/>
      <c r="R804" s="137" t="n"/>
      <c r="S804" s="137" t="n"/>
      <c r="T804" s="137" t="n"/>
      <c r="U804" s="137" t="n"/>
      <c r="V804" s="137" t="n"/>
      <c r="W804" s="137" t="n"/>
      <c r="X804" s="137" t="n"/>
      <c r="Y804" s="137" t="n"/>
      <c r="Z804" s="137" t="n"/>
      <c r="AB804" s="137" t="n"/>
      <c r="AC804" s="137" t="n"/>
      <c r="AD804" s="137" t="n"/>
      <c r="AE804" s="137" t="n"/>
      <c r="AF804" s="137" t="n"/>
      <c r="AG804" s="137" t="n"/>
      <c r="AH804" s="137" t="n"/>
      <c r="AI804" s="137" t="n"/>
      <c r="AJ804" s="137" t="n"/>
      <c r="AK804" s="137" t="n"/>
      <c r="AL804" s="137" t="n"/>
      <c r="AM804" s="137" t="n"/>
      <c r="AN804" s="137" t="n"/>
      <c r="AO804" s="137" t="n"/>
      <c r="AP804" s="137" t="n"/>
      <c r="AQ804" s="137" t="n"/>
      <c r="AR804" s="137" t="n"/>
      <c r="AS804" s="137" t="n"/>
    </row>
    <row r="805" hidden="1" outlineLevel="2">
      <c r="A805" s="8" t="n"/>
      <c r="B805" s="14" t="n"/>
      <c r="C805" s="137" t="n"/>
      <c r="D805" s="137" t="n"/>
      <c r="E805" s="137" t="n"/>
      <c r="F805" s="137" t="n"/>
      <c r="G805" s="137" t="n"/>
      <c r="I805" s="56">
        <f>DADOS_INVOC!$PZ$51</f>
        <v/>
      </c>
      <c r="J805" s="16" t="n"/>
      <c r="K805" s="16" t="n"/>
      <c r="L805" s="16" t="n"/>
      <c r="M805" s="17" t="n"/>
      <c r="N805" s="137" t="n"/>
      <c r="O805" s="56">
        <f>DADOS_INVOC!$PZ$52</f>
        <v/>
      </c>
      <c r="P805" s="16" t="n"/>
      <c r="Q805" s="16" t="n"/>
      <c r="R805" s="16" t="n"/>
      <c r="S805" s="17" t="n"/>
      <c r="T805" s="137" t="n"/>
      <c r="U805" s="56">
        <f>DADOS_INVOC!$PZ$53</f>
        <v/>
      </c>
      <c r="V805" s="16" t="n"/>
      <c r="W805" s="16" t="n"/>
      <c r="X805" s="16" t="n"/>
      <c r="Y805" s="17" t="n"/>
      <c r="Z805" s="137" t="n"/>
      <c r="AB805" s="56">
        <f>DADOS_INVOC!$PZ$129</f>
        <v/>
      </c>
      <c r="AC805" s="16" t="n"/>
      <c r="AD805" s="16" t="n"/>
      <c r="AE805" s="16" t="n"/>
      <c r="AF805" s="17" t="n"/>
      <c r="AG805" s="137" t="n"/>
      <c r="AH805" s="56">
        <f>DADOS_INVOC!$PZ$130</f>
        <v/>
      </c>
      <c r="AI805" s="16" t="n"/>
      <c r="AJ805" s="16" t="n"/>
      <c r="AK805" s="16" t="n"/>
      <c r="AL805" s="17" t="n"/>
      <c r="AM805" s="137" t="n"/>
      <c r="AN805" s="56">
        <f>DADOS_INVOC!$PZ$131</f>
        <v/>
      </c>
      <c r="AO805" s="16" t="n"/>
      <c r="AP805" s="16" t="n"/>
      <c r="AQ805" s="16" t="n"/>
      <c r="AR805" s="17" t="n"/>
      <c r="AS805" s="137" t="n"/>
    </row>
    <row r="806" hidden="1" outlineLevel="2">
      <c r="A806" s="8" t="n"/>
      <c r="B806" s="14" t="n"/>
      <c r="C806" s="137" t="n"/>
      <c r="D806" s="137" t="n"/>
      <c r="E806" s="137" t="n"/>
      <c r="F806" s="137" t="n"/>
      <c r="G806" s="137" t="n"/>
      <c r="I806" s="141" t="n">
        <v>1</v>
      </c>
      <c r="J806" s="131" t="n"/>
      <c r="K806" s="16" t="n"/>
      <c r="L806" s="17" t="n"/>
      <c r="M806" s="142">
        <f>DADOS_INVOC!$PX$51</f>
        <v/>
      </c>
      <c r="N806" s="137" t="n"/>
      <c r="O806" s="141" t="n">
        <v>1</v>
      </c>
      <c r="P806" s="131" t="n"/>
      <c r="Q806" s="16" t="n"/>
      <c r="R806" s="17" t="n"/>
      <c r="S806" s="142">
        <f>DADOS_INVOC!$PX$52</f>
        <v/>
      </c>
      <c r="T806" s="137" t="n"/>
      <c r="U806" s="141" t="n">
        <v>1</v>
      </c>
      <c r="V806" s="131" t="n"/>
      <c r="W806" s="16" t="n"/>
      <c r="X806" s="17" t="n"/>
      <c r="Y806" s="142">
        <f>DADOS_INVOC!$PX$53</f>
        <v/>
      </c>
      <c r="Z806" s="137" t="n"/>
      <c r="AB806" s="141" t="n">
        <v>1</v>
      </c>
      <c r="AC806" s="131" t="n"/>
      <c r="AD806" s="16" t="n"/>
      <c r="AE806" s="17" t="n"/>
      <c r="AF806" s="142">
        <f>DADOS_INVOC!$PX$129</f>
        <v/>
      </c>
      <c r="AG806" s="137" t="n"/>
      <c r="AH806" s="141" t="n">
        <v>1</v>
      </c>
      <c r="AI806" s="131" t="n"/>
      <c r="AJ806" s="16" t="n"/>
      <c r="AK806" s="17" t="n"/>
      <c r="AL806" s="142">
        <f>DADOS_INVOC!$PX$130</f>
        <v/>
      </c>
      <c r="AM806" s="137" t="n"/>
      <c r="AN806" s="141" t="n">
        <v>1</v>
      </c>
      <c r="AO806" s="131" t="n"/>
      <c r="AP806" s="16" t="n"/>
      <c r="AQ806" s="17" t="n"/>
      <c r="AR806" s="142">
        <f>DADOS_INVOC!$PX$131</f>
        <v/>
      </c>
      <c r="AS806" s="137" t="n"/>
    </row>
    <row r="807" hidden="1" outlineLevel="3">
      <c r="A807" s="8" t="n"/>
      <c r="B807" s="14" t="n"/>
      <c r="C807" s="137" t="n"/>
      <c r="D807" s="137" t="n"/>
      <c r="E807" s="137" t="n"/>
      <c r="F807" s="137" t="n"/>
      <c r="G807" s="137" t="n"/>
      <c r="I807" s="56" t="inlineStr">
        <is>
          <t>COMO É</t>
        </is>
      </c>
      <c r="J807" s="16" t="n"/>
      <c r="K807" s="16" t="n"/>
      <c r="L807" s="16" t="n"/>
      <c r="M807" s="17" t="n"/>
      <c r="N807" s="137" t="n"/>
      <c r="O807" s="56" t="inlineStr">
        <is>
          <t>COMO É</t>
        </is>
      </c>
      <c r="P807" s="16" t="n"/>
      <c r="Q807" s="16" t="n"/>
      <c r="R807" s="16" t="n"/>
      <c r="S807" s="17" t="n"/>
      <c r="T807" s="137" t="n"/>
      <c r="U807" s="56" t="inlineStr">
        <is>
          <t>COMO É</t>
        </is>
      </c>
      <c r="V807" s="16" t="n"/>
      <c r="W807" s="16" t="n"/>
      <c r="X807" s="16" t="n"/>
      <c r="Y807" s="17" t="n"/>
      <c r="Z807" s="137" t="n"/>
      <c r="AB807" s="56" t="inlineStr">
        <is>
          <t>COMO É</t>
        </is>
      </c>
      <c r="AC807" s="16" t="n"/>
      <c r="AD807" s="16" t="n"/>
      <c r="AE807" s="16" t="n"/>
      <c r="AF807" s="17" t="n"/>
      <c r="AG807" s="137" t="n"/>
      <c r="AH807" s="56" t="inlineStr">
        <is>
          <t>COMO É</t>
        </is>
      </c>
      <c r="AI807" s="16" t="n"/>
      <c r="AJ807" s="16" t="n"/>
      <c r="AK807" s="16" t="n"/>
      <c r="AL807" s="17" t="n"/>
      <c r="AM807" s="137" t="n"/>
      <c r="AN807" s="56" t="inlineStr">
        <is>
          <t>COMO É</t>
        </is>
      </c>
      <c r="AO807" s="16" t="n"/>
      <c r="AP807" s="16" t="n"/>
      <c r="AQ807" s="16" t="n"/>
      <c r="AR807" s="17" t="n"/>
      <c r="AS807" s="137" t="n"/>
    </row>
    <row r="808" hidden="1" outlineLevel="3">
      <c r="A808" s="8" t="n"/>
      <c r="B808" s="14" t="n"/>
      <c r="C808" s="137" t="n"/>
      <c r="D808" s="137" t="n"/>
      <c r="E808" s="137" t="n"/>
      <c r="F808" s="137" t="n"/>
      <c r="G808" s="137" t="n"/>
      <c r="I808" s="61" t="n"/>
      <c r="J808" s="19" t="n"/>
      <c r="K808" s="19" t="n"/>
      <c r="L808" s="19" t="n"/>
      <c r="M808" s="20" t="n"/>
      <c r="N808" s="137" t="n"/>
      <c r="O808" s="61" t="n"/>
      <c r="P808" s="19" t="n"/>
      <c r="Q808" s="19" t="n"/>
      <c r="R808" s="19" t="n"/>
      <c r="S808" s="20" t="n"/>
      <c r="T808" s="137" t="n"/>
      <c r="U808" s="61" t="n"/>
      <c r="V808" s="19" t="n"/>
      <c r="W808" s="19" t="n"/>
      <c r="X808" s="19" t="n"/>
      <c r="Y808" s="20" t="n"/>
      <c r="Z808" s="137" t="n"/>
      <c r="AB808" s="61" t="n"/>
      <c r="AC808" s="19" t="n"/>
      <c r="AD808" s="19" t="n"/>
      <c r="AE808" s="19" t="n"/>
      <c r="AF808" s="20" t="n"/>
      <c r="AG808" s="137" t="n"/>
      <c r="AH808" s="61" t="n"/>
      <c r="AI808" s="19" t="n"/>
      <c r="AJ808" s="19" t="n"/>
      <c r="AK808" s="19" t="n"/>
      <c r="AL808" s="20" t="n"/>
      <c r="AM808" s="137" t="n"/>
      <c r="AN808" s="61" t="n"/>
      <c r="AO808" s="19" t="n"/>
      <c r="AP808" s="19" t="n"/>
      <c r="AQ808" s="19" t="n"/>
      <c r="AR808" s="20" t="n"/>
      <c r="AS808" s="137" t="n"/>
    </row>
    <row r="809" hidden="1" outlineLevel="3">
      <c r="A809" s="8" t="n"/>
      <c r="B809" s="14" t="n"/>
      <c r="C809" s="137" t="n"/>
      <c r="D809" s="137" t="n"/>
      <c r="E809" s="137" t="n"/>
      <c r="F809" s="137" t="n"/>
      <c r="G809" s="137" t="n"/>
      <c r="I809" s="21" t="n"/>
      <c r="M809" s="22" t="n"/>
      <c r="N809" s="137" t="n"/>
      <c r="O809" s="21" t="n"/>
      <c r="S809" s="22" t="n"/>
      <c r="T809" s="137" t="n"/>
      <c r="U809" s="21" t="n"/>
      <c r="Y809" s="22" t="n"/>
      <c r="Z809" s="137" t="n"/>
      <c r="AB809" s="21" t="n"/>
      <c r="AF809" s="22" t="n"/>
      <c r="AG809" s="137" t="n"/>
      <c r="AH809" s="21" t="n"/>
      <c r="AL809" s="22" t="n"/>
      <c r="AM809" s="137" t="n"/>
      <c r="AN809" s="21" t="n"/>
      <c r="AR809" s="22" t="n"/>
      <c r="AS809" s="137" t="n"/>
    </row>
    <row r="810" hidden="1" outlineLevel="3">
      <c r="A810" s="8" t="n"/>
      <c r="B810" s="14" t="n"/>
      <c r="C810" s="137" t="n"/>
      <c r="D810" s="137" t="n"/>
      <c r="E810" s="137" t="n"/>
      <c r="F810" s="137" t="n"/>
      <c r="G810" s="137" t="n"/>
      <c r="I810" s="23" t="n"/>
      <c r="J810" s="24" t="n"/>
      <c r="K810" s="24" t="n"/>
      <c r="L810" s="24" t="n"/>
      <c r="M810" s="25" t="n"/>
      <c r="N810" s="137" t="n"/>
      <c r="O810" s="23" t="n"/>
      <c r="P810" s="24" t="n"/>
      <c r="Q810" s="24" t="n"/>
      <c r="R810" s="24" t="n"/>
      <c r="S810" s="25" t="n"/>
      <c r="T810" s="137" t="n"/>
      <c r="U810" s="23" t="n"/>
      <c r="V810" s="24" t="n"/>
      <c r="W810" s="24" t="n"/>
      <c r="X810" s="24" t="n"/>
      <c r="Y810" s="25" t="n"/>
      <c r="Z810" s="137" t="n"/>
      <c r="AB810" s="23" t="n"/>
      <c r="AC810" s="24" t="n"/>
      <c r="AD810" s="24" t="n"/>
      <c r="AE810" s="24" t="n"/>
      <c r="AF810" s="25" t="n"/>
      <c r="AG810" s="137" t="n"/>
      <c r="AH810" s="23" t="n"/>
      <c r="AI810" s="24" t="n"/>
      <c r="AJ810" s="24" t="n"/>
      <c r="AK810" s="24" t="n"/>
      <c r="AL810" s="25" t="n"/>
      <c r="AM810" s="137" t="n"/>
      <c r="AN810" s="23" t="n"/>
      <c r="AO810" s="24" t="n"/>
      <c r="AP810" s="24" t="n"/>
      <c r="AQ810" s="24" t="n"/>
      <c r="AR810" s="25" t="n"/>
      <c r="AS810" s="137" t="n"/>
    </row>
    <row r="811" hidden="1" outlineLevel="2">
      <c r="A811" s="8" t="n"/>
      <c r="B811" s="14" t="n"/>
      <c r="C811" s="137" t="n"/>
      <c r="D811" s="137" t="n"/>
      <c r="E811" s="137" t="n"/>
      <c r="F811" s="137" t="n"/>
      <c r="G811" s="137" t="n"/>
      <c r="I811" s="95" t="inlineStr">
        <is>
          <t>Projétil</t>
        </is>
      </c>
      <c r="J811" s="17" t="n"/>
      <c r="K811" s="71">
        <f>DADOS_INVOC!$QE$51</f>
        <v/>
      </c>
      <c r="L811" s="17" t="n"/>
      <c r="M811" s="71">
        <f>DADOS_INVOC!$QA$51</f>
        <v/>
      </c>
      <c r="N811" s="137" t="n"/>
      <c r="O811" s="95" t="inlineStr">
        <is>
          <t>Projétil</t>
        </is>
      </c>
      <c r="P811" s="17" t="n"/>
      <c r="Q811" s="71">
        <f>DADOS_INVOC!$QE$52</f>
        <v/>
      </c>
      <c r="R811" s="17" t="n"/>
      <c r="S811" s="71">
        <f>DADOS_INVOC!$QA$52</f>
        <v/>
      </c>
      <c r="T811" s="137" t="n"/>
      <c r="U811" s="95" t="inlineStr">
        <is>
          <t>Projétil</t>
        </is>
      </c>
      <c r="V811" s="17" t="n"/>
      <c r="W811" s="71">
        <f>DADOS_INVOC!$QE$53</f>
        <v/>
      </c>
      <c r="X811" s="17" t="n"/>
      <c r="Y811" s="71">
        <f>DADOS_INVOC!$QA$53</f>
        <v/>
      </c>
      <c r="Z811" s="137" t="n"/>
      <c r="AB811" s="95" t="inlineStr">
        <is>
          <t>Projétil</t>
        </is>
      </c>
      <c r="AC811" s="17" t="n"/>
      <c r="AD811" s="71">
        <f>DADOS_INVOC!$QE$129</f>
        <v/>
      </c>
      <c r="AE811" s="17" t="n"/>
      <c r="AF811" s="71">
        <f>DADOS_INVOC!$QA$129</f>
        <v/>
      </c>
      <c r="AG811" s="137" t="n"/>
      <c r="AH811" s="95" t="inlineStr">
        <is>
          <t>Projétil</t>
        </is>
      </c>
      <c r="AI811" s="17" t="n"/>
      <c r="AJ811" s="71">
        <f>DADOS_INVOC!$QE$130</f>
        <v/>
      </c>
      <c r="AK811" s="17" t="n"/>
      <c r="AL811" s="71">
        <f>DADOS_INVOC!$QA$130</f>
        <v/>
      </c>
      <c r="AM811" s="137" t="n"/>
      <c r="AN811" s="95" t="inlineStr">
        <is>
          <t>Projétil</t>
        </is>
      </c>
      <c r="AO811" s="17" t="n"/>
      <c r="AP811" s="71">
        <f>DADOS_INVOC!$QE$131</f>
        <v/>
      </c>
      <c r="AQ811" s="17" t="n"/>
      <c r="AR811" s="71">
        <f>DADOS_INVOC!$QA$131</f>
        <v/>
      </c>
      <c r="AS811" s="137" t="n"/>
    </row>
    <row r="812" hidden="1" outlineLevel="2">
      <c r="A812" s="8" t="n"/>
      <c r="B812" s="14" t="n"/>
      <c r="C812" s="137" t="n"/>
      <c r="D812" s="137" t="n"/>
      <c r="E812" s="137" t="n"/>
      <c r="F812" s="137" t="n"/>
      <c r="G812" s="137" t="n"/>
      <c r="I812" s="95" t="n"/>
      <c r="J812" s="17" t="n"/>
      <c r="K812" s="95" t="n"/>
      <c r="L812" s="16" t="n"/>
      <c r="M812" s="17" t="n"/>
      <c r="N812" s="137" t="n"/>
      <c r="O812" s="95" t="n"/>
      <c r="P812" s="17" t="n"/>
      <c r="Q812" s="95" t="n"/>
      <c r="R812" s="16" t="n"/>
      <c r="S812" s="17" t="n"/>
      <c r="T812" s="137" t="n"/>
      <c r="U812" s="95" t="n"/>
      <c r="V812" s="17" t="n"/>
      <c r="W812" s="95" t="n"/>
      <c r="X812" s="16" t="n"/>
      <c r="Y812" s="17" t="n"/>
      <c r="Z812" s="137" t="n"/>
      <c r="AB812" s="95" t="n"/>
      <c r="AC812" s="17" t="n"/>
      <c r="AD812" s="95" t="n"/>
      <c r="AE812" s="16" t="n"/>
      <c r="AF812" s="17" t="n"/>
      <c r="AG812" s="137" t="n"/>
      <c r="AH812" s="95" t="n"/>
      <c r="AI812" s="17" t="n"/>
      <c r="AJ812" s="95" t="n"/>
      <c r="AK812" s="16" t="n"/>
      <c r="AL812" s="17" t="n"/>
      <c r="AM812" s="137" t="n"/>
      <c r="AN812" s="95" t="n"/>
      <c r="AO812" s="17" t="n"/>
      <c r="AP812" s="95" t="n"/>
      <c r="AQ812" s="16" t="n"/>
      <c r="AR812" s="17" t="n"/>
      <c r="AS812" s="137" t="n"/>
    </row>
    <row r="813" hidden="1" outlineLevel="2">
      <c r="A813" s="8" t="n"/>
      <c r="B813" s="14" t="n"/>
      <c r="C813" s="137" t="n"/>
      <c r="D813" s="137" t="n"/>
      <c r="E813" s="137" t="n"/>
      <c r="F813" s="137" t="n"/>
      <c r="G813" s="137" t="n"/>
      <c r="I813" s="95">
        <f>DADOS_INVOC!$QB$51</f>
        <v/>
      </c>
      <c r="J813" s="17" t="n"/>
      <c r="K813" s="95">
        <f>DADOS_INVOC!$QD$51</f>
        <v/>
      </c>
      <c r="L813" s="16" t="n"/>
      <c r="M813" s="17" t="n"/>
      <c r="N813" s="137" t="n"/>
      <c r="O813" s="95">
        <f>DADOS_INVOC!$QB$52</f>
        <v/>
      </c>
      <c r="P813" s="17" t="n"/>
      <c r="Q813" s="95">
        <f>DADOS_INVOC!$QD$52</f>
        <v/>
      </c>
      <c r="R813" s="16" t="n"/>
      <c r="S813" s="17" t="n"/>
      <c r="T813" s="137" t="n"/>
      <c r="U813" s="95">
        <f>DADOS_INVOC!$QB$53</f>
        <v/>
      </c>
      <c r="V813" s="17" t="n"/>
      <c r="W813" s="95">
        <f>DADOS_INVOC!$QD$53</f>
        <v/>
      </c>
      <c r="X813" s="16" t="n"/>
      <c r="Y813" s="17" t="n"/>
      <c r="Z813" s="137" t="n"/>
      <c r="AB813" s="95">
        <f>DADOS_INVOC!$QB$129</f>
        <v/>
      </c>
      <c r="AC813" s="17" t="n"/>
      <c r="AD813" s="95">
        <f>DADOS_INVOC!$QD$129</f>
        <v/>
      </c>
      <c r="AE813" s="16" t="n"/>
      <c r="AF813" s="17" t="n"/>
      <c r="AG813" s="137" t="n"/>
      <c r="AH813" s="95">
        <f>DADOS_INVOC!$QB$130</f>
        <v/>
      </c>
      <c r="AI813" s="17" t="n"/>
      <c r="AJ813" s="95">
        <f>DADOS_INVOC!$QD$130</f>
        <v/>
      </c>
      <c r="AK813" s="16" t="n"/>
      <c r="AL813" s="17" t="n"/>
      <c r="AM813" s="137" t="n"/>
      <c r="AN813" s="95">
        <f>DADOS_INVOC!$QB$131</f>
        <v/>
      </c>
      <c r="AO813" s="17" t="n"/>
      <c r="AP813" s="95">
        <f>DADOS_INVOC!$QD$131</f>
        <v/>
      </c>
      <c r="AQ813" s="16" t="n"/>
      <c r="AR813" s="17" t="n"/>
      <c r="AS813" s="137" t="n"/>
    </row>
    <row r="814" hidden="1" outlineLevel="2">
      <c r="A814" s="8" t="n"/>
      <c r="B814" s="14" t="n"/>
      <c r="C814" s="137" t="n"/>
      <c r="D814" s="137" t="n"/>
      <c r="E814" s="137" t="n"/>
      <c r="F814" s="137" t="n"/>
      <c r="G814" s="137" t="n"/>
      <c r="I814" s="143">
        <f>DADOS_INVOC!$QJ$51</f>
        <v/>
      </c>
      <c r="J814" s="16" t="n"/>
      <c r="K814" s="16" t="n"/>
      <c r="L814" s="16" t="n"/>
      <c r="M814" s="17" t="n"/>
      <c r="N814" s="137" t="n"/>
      <c r="O814" s="143">
        <f>DADOS_INVOC!$QJ$52</f>
        <v/>
      </c>
      <c r="P814" s="16" t="n"/>
      <c r="Q814" s="16" t="n"/>
      <c r="R814" s="16" t="n"/>
      <c r="S814" s="17" t="n"/>
      <c r="T814" s="137" t="n"/>
      <c r="U814" s="143">
        <f>DADOS_INVOC!$QJ$53</f>
        <v/>
      </c>
      <c r="V814" s="16" t="n"/>
      <c r="W814" s="16" t="n"/>
      <c r="X814" s="16" t="n"/>
      <c r="Y814" s="17" t="n"/>
      <c r="Z814" s="137" t="n"/>
      <c r="AB814" s="143">
        <f>DADOS_INVOC!$QJ$129</f>
        <v/>
      </c>
      <c r="AC814" s="16" t="n"/>
      <c r="AD814" s="16" t="n"/>
      <c r="AE814" s="16" t="n"/>
      <c r="AF814" s="17" t="n"/>
      <c r="AG814" s="137" t="n"/>
      <c r="AH814" s="143">
        <f>DADOS_INVOC!$QJ$130</f>
        <v/>
      </c>
      <c r="AI814" s="16" t="n"/>
      <c r="AJ814" s="16" t="n"/>
      <c r="AK814" s="16" t="n"/>
      <c r="AL814" s="17" t="n"/>
      <c r="AM814" s="137" t="n"/>
      <c r="AN814" s="143">
        <f>DADOS_INVOC!$QJ$131</f>
        <v/>
      </c>
      <c r="AO814" s="16" t="n"/>
      <c r="AP814" s="16" t="n"/>
      <c r="AQ814" s="16" t="n"/>
      <c r="AR814" s="17" t="n"/>
      <c r="AS814" s="137" t="n"/>
    </row>
    <row r="815" hidden="1" outlineLevel="3">
      <c r="A815" s="8" t="n"/>
      <c r="B815" s="14" t="n"/>
      <c r="C815" s="137" t="n"/>
      <c r="D815" s="137" t="n"/>
      <c r="E815" s="137" t="n"/>
      <c r="F815" s="137" t="n"/>
      <c r="G815" s="137" t="n"/>
      <c r="I815" s="56" t="inlineStr">
        <is>
          <t>MELHORIAS</t>
        </is>
      </c>
      <c r="J815" s="144" t="n"/>
      <c r="K815" s="16" t="n"/>
      <c r="L815" s="17" t="n"/>
      <c r="M815" s="143">
        <f>DADOS_INVOC!$QM$51</f>
        <v/>
      </c>
      <c r="N815" s="137" t="n"/>
      <c r="O815" s="56" t="inlineStr">
        <is>
          <t>MELHORIAS</t>
        </is>
      </c>
      <c r="P815" s="144" t="n"/>
      <c r="Q815" s="16" t="n"/>
      <c r="R815" s="17" t="n"/>
      <c r="S815" s="143">
        <f>DADOS_INVOC!$QM$52</f>
        <v/>
      </c>
      <c r="T815" s="137" t="n"/>
      <c r="U815" s="56" t="inlineStr">
        <is>
          <t>MELHORIAS</t>
        </is>
      </c>
      <c r="V815" s="144" t="n"/>
      <c r="W815" s="16" t="n"/>
      <c r="X815" s="17" t="n"/>
      <c r="Y815" s="143">
        <f>DADOS_INVOC!$QM$53</f>
        <v/>
      </c>
      <c r="Z815" s="137" t="n"/>
      <c r="AB815" s="56" t="inlineStr">
        <is>
          <t>MELHORIAS</t>
        </is>
      </c>
      <c r="AC815" s="144" t="n"/>
      <c r="AD815" s="16" t="n"/>
      <c r="AE815" s="17" t="n"/>
      <c r="AF815" s="143">
        <f>DADOS_INVOC!$QM$129</f>
        <v/>
      </c>
      <c r="AG815" s="137" t="n"/>
      <c r="AH815" s="56" t="inlineStr">
        <is>
          <t>MELHORIAS</t>
        </is>
      </c>
      <c r="AI815" s="144" t="n"/>
      <c r="AJ815" s="16" t="n"/>
      <c r="AK815" s="17" t="n"/>
      <c r="AL815" s="143">
        <f>DADOS_INVOC!$QM$130</f>
        <v/>
      </c>
      <c r="AM815" s="137" t="n"/>
      <c r="AN815" s="56" t="inlineStr">
        <is>
          <t>MELHORIAS</t>
        </is>
      </c>
      <c r="AO815" s="144" t="n"/>
      <c r="AP815" s="16" t="n"/>
      <c r="AQ815" s="17" t="n"/>
      <c r="AR815" s="143">
        <f>DADOS_INVOC!$QM$131</f>
        <v/>
      </c>
      <c r="AS815" s="137" t="n"/>
    </row>
    <row r="816" hidden="1" outlineLevel="3">
      <c r="A816" s="8" t="n"/>
      <c r="B816" s="14" t="n"/>
      <c r="C816" s="137" t="n"/>
      <c r="D816" s="137" t="n"/>
      <c r="E816" s="137" t="n"/>
      <c r="F816" s="137" t="n"/>
      <c r="G816" s="137" t="n"/>
      <c r="I816" s="66" t="n"/>
      <c r="J816" s="144" t="n"/>
      <c r="K816" s="16" t="n"/>
      <c r="L816" s="17" t="n"/>
      <c r="M816" s="143">
        <f>DADOS_INVOC!$QN$51</f>
        <v/>
      </c>
      <c r="N816" s="137" t="n"/>
      <c r="O816" s="66" t="n"/>
      <c r="P816" s="144" t="n"/>
      <c r="Q816" s="16" t="n"/>
      <c r="R816" s="17" t="n"/>
      <c r="S816" s="143">
        <f>DADOS_INVOC!$QN$52</f>
        <v/>
      </c>
      <c r="T816" s="137" t="n"/>
      <c r="U816" s="66" t="n"/>
      <c r="V816" s="144" t="n"/>
      <c r="W816" s="16" t="n"/>
      <c r="X816" s="17" t="n"/>
      <c r="Y816" s="143">
        <f>DADOS_INVOC!$QN$53</f>
        <v/>
      </c>
      <c r="Z816" s="137" t="n"/>
      <c r="AB816" s="66" t="n"/>
      <c r="AC816" s="144" t="n"/>
      <c r="AD816" s="16" t="n"/>
      <c r="AE816" s="17" t="n"/>
      <c r="AF816" s="143">
        <f>DADOS_INVOC!$QN$129</f>
        <v/>
      </c>
      <c r="AG816" s="137" t="n"/>
      <c r="AH816" s="66" t="n"/>
      <c r="AI816" s="144" t="n"/>
      <c r="AJ816" s="16" t="n"/>
      <c r="AK816" s="17" t="n"/>
      <c r="AL816" s="143">
        <f>DADOS_INVOC!$QN$130</f>
        <v/>
      </c>
      <c r="AM816" s="137" t="n"/>
      <c r="AN816" s="66" t="n"/>
      <c r="AO816" s="144" t="n"/>
      <c r="AP816" s="16" t="n"/>
      <c r="AQ816" s="17" t="n"/>
      <c r="AR816" s="143">
        <f>DADOS_INVOC!$QN$131</f>
        <v/>
      </c>
      <c r="AS816" s="137" t="n"/>
    </row>
    <row r="817" hidden="1" outlineLevel="3">
      <c r="A817" s="8" t="n"/>
      <c r="B817" s="14" t="n"/>
      <c r="C817" s="137" t="n"/>
      <c r="D817" s="137" t="n"/>
      <c r="E817" s="137" t="n"/>
      <c r="F817" s="137" t="n"/>
      <c r="G817" s="137" t="n"/>
      <c r="I817" s="66" t="n"/>
      <c r="J817" s="144" t="n"/>
      <c r="K817" s="16" t="n"/>
      <c r="L817" s="17" t="n"/>
      <c r="M817" s="143">
        <f>DADOS_INVOC!$QO$51</f>
        <v/>
      </c>
      <c r="N817" s="137" t="n"/>
      <c r="O817" s="66" t="n"/>
      <c r="P817" s="144" t="n"/>
      <c r="Q817" s="16" t="n"/>
      <c r="R817" s="17" t="n"/>
      <c r="S817" s="143">
        <f>DADOS_INVOC!$QO$52</f>
        <v/>
      </c>
      <c r="T817" s="137" t="n"/>
      <c r="U817" s="66" t="n"/>
      <c r="V817" s="144" t="n"/>
      <c r="W817" s="16" t="n"/>
      <c r="X817" s="17" t="n"/>
      <c r="Y817" s="143">
        <f>DADOS_INVOC!$QO$53</f>
        <v/>
      </c>
      <c r="Z817" s="137" t="n"/>
      <c r="AB817" s="66" t="n"/>
      <c r="AC817" s="144" t="n"/>
      <c r="AD817" s="16" t="n"/>
      <c r="AE817" s="17" t="n"/>
      <c r="AF817" s="143">
        <f>DADOS_INVOC!$QO$129</f>
        <v/>
      </c>
      <c r="AG817" s="137" t="n"/>
      <c r="AH817" s="66" t="n"/>
      <c r="AI817" s="144" t="n"/>
      <c r="AJ817" s="16" t="n"/>
      <c r="AK817" s="17" t="n"/>
      <c r="AL817" s="143">
        <f>DADOS_INVOC!$QO$130</f>
        <v/>
      </c>
      <c r="AM817" s="137" t="n"/>
      <c r="AN817" s="66" t="n"/>
      <c r="AO817" s="144" t="n"/>
      <c r="AP817" s="16" t="n"/>
      <c r="AQ817" s="17" t="n"/>
      <c r="AR817" s="143">
        <f>DADOS_INVOC!$QO$131</f>
        <v/>
      </c>
      <c r="AS817" s="137" t="n"/>
    </row>
    <row r="818" hidden="1" outlineLevel="3">
      <c r="A818" s="8" t="n"/>
      <c r="B818" s="14" t="n"/>
      <c r="C818" s="137" t="n"/>
      <c r="D818" s="137" t="n"/>
      <c r="E818" s="137" t="n"/>
      <c r="F818" s="137" t="n"/>
      <c r="G818" s="137" t="n"/>
      <c r="I818" s="128" t="n"/>
      <c r="J818" s="144" t="n"/>
      <c r="K818" s="16" t="n"/>
      <c r="L818" s="17" t="n"/>
      <c r="M818" s="143">
        <f>DADOS_INVOC!$QP$51</f>
        <v/>
      </c>
      <c r="N818" s="137" t="n"/>
      <c r="O818" s="128" t="n"/>
      <c r="P818" s="144" t="n"/>
      <c r="Q818" s="16" t="n"/>
      <c r="R818" s="17" t="n"/>
      <c r="S818" s="143">
        <f>DADOS_INVOC!$QP$52</f>
        <v/>
      </c>
      <c r="T818" s="137" t="n"/>
      <c r="U818" s="128" t="n"/>
      <c r="V818" s="144" t="n"/>
      <c r="W818" s="16" t="n"/>
      <c r="X818" s="17" t="n"/>
      <c r="Y818" s="143">
        <f>DADOS_INVOC!$QP$53</f>
        <v/>
      </c>
      <c r="Z818" s="137" t="n"/>
      <c r="AB818" s="128" t="n"/>
      <c r="AC818" s="144" t="n"/>
      <c r="AD818" s="16" t="n"/>
      <c r="AE818" s="17" t="n"/>
      <c r="AF818" s="143">
        <f>DADOS_INVOC!$QP$129</f>
        <v/>
      </c>
      <c r="AG818" s="137" t="n"/>
      <c r="AH818" s="128" t="n"/>
      <c r="AI818" s="144" t="n"/>
      <c r="AJ818" s="16" t="n"/>
      <c r="AK818" s="17" t="n"/>
      <c r="AL818" s="143">
        <f>DADOS_INVOC!$QP$130</f>
        <v/>
      </c>
      <c r="AM818" s="137" t="n"/>
      <c r="AN818" s="128" t="n"/>
      <c r="AO818" s="144" t="n"/>
      <c r="AP818" s="16" t="n"/>
      <c r="AQ818" s="17" t="n"/>
      <c r="AR818" s="143">
        <f>DADOS_INVOC!$QP$131</f>
        <v/>
      </c>
      <c r="AS818" s="137" t="n"/>
    </row>
    <row r="819" hidden="1" outlineLevel="3">
      <c r="A819" s="8" t="n"/>
      <c r="B819" s="14" t="n"/>
      <c r="C819" s="137" t="n"/>
      <c r="D819" s="137" t="n"/>
      <c r="E819" s="137" t="n"/>
      <c r="F819" s="137" t="n"/>
      <c r="G819" s="137" t="n"/>
      <c r="I819" s="56" t="inlineStr">
        <is>
          <t>RESTRIÇÕES</t>
        </is>
      </c>
      <c r="J819" s="144" t="n"/>
      <c r="K819" s="16" t="n"/>
      <c r="L819" s="17" t="n"/>
      <c r="M819" s="143">
        <f>DADOS_INVOC!$QQ$51</f>
        <v/>
      </c>
      <c r="N819" s="137" t="n"/>
      <c r="O819" s="56" t="inlineStr">
        <is>
          <t>RESTRIÇÕES</t>
        </is>
      </c>
      <c r="P819" s="144" t="n"/>
      <c r="Q819" s="16" t="n"/>
      <c r="R819" s="17" t="n"/>
      <c r="S819" s="143">
        <f>DADOS_INVOC!$QQ$52</f>
        <v/>
      </c>
      <c r="T819" s="137" t="n"/>
      <c r="U819" s="56" t="inlineStr">
        <is>
          <t>RESTRIÇÕES</t>
        </is>
      </c>
      <c r="V819" s="144" t="n"/>
      <c r="W819" s="16" t="n"/>
      <c r="X819" s="17" t="n"/>
      <c r="Y819" s="143">
        <f>DADOS_INVOC!$QQ$53</f>
        <v/>
      </c>
      <c r="Z819" s="137" t="n"/>
      <c r="AB819" s="56" t="inlineStr">
        <is>
          <t>RESTRIÇÕES</t>
        </is>
      </c>
      <c r="AC819" s="144" t="n"/>
      <c r="AD819" s="16" t="n"/>
      <c r="AE819" s="17" t="n"/>
      <c r="AF819" s="143">
        <f>DADOS_INVOC!$QQ$129</f>
        <v/>
      </c>
      <c r="AG819" s="137" t="n"/>
      <c r="AH819" s="56" t="inlineStr">
        <is>
          <t>RESTRIÇÕES</t>
        </is>
      </c>
      <c r="AI819" s="144" t="n"/>
      <c r="AJ819" s="16" t="n"/>
      <c r="AK819" s="17" t="n"/>
      <c r="AL819" s="143">
        <f>DADOS_INVOC!$QQ$130</f>
        <v/>
      </c>
      <c r="AM819" s="137" t="n"/>
      <c r="AN819" s="56" t="inlineStr">
        <is>
          <t>RESTRIÇÕES</t>
        </is>
      </c>
      <c r="AO819" s="144" t="n"/>
      <c r="AP819" s="16" t="n"/>
      <c r="AQ819" s="17" t="n"/>
      <c r="AR819" s="143">
        <f>DADOS_INVOC!$QQ$131</f>
        <v/>
      </c>
      <c r="AS819" s="137" t="n"/>
    </row>
    <row r="820" hidden="1" outlineLevel="3">
      <c r="A820" s="8" t="n"/>
      <c r="B820" s="14" t="n"/>
      <c r="C820" s="137" t="n"/>
      <c r="D820" s="137" t="n"/>
      <c r="E820" s="137" t="n"/>
      <c r="F820" s="137" t="n"/>
      <c r="G820" s="137" t="n"/>
      <c r="I820" s="128" t="n"/>
      <c r="J820" s="144" t="n"/>
      <c r="K820" s="16" t="n"/>
      <c r="L820" s="17" t="n"/>
      <c r="M820" s="143">
        <f>DADOS_INVOC!$QR$51</f>
        <v/>
      </c>
      <c r="N820" s="137" t="n"/>
      <c r="O820" s="128" t="n"/>
      <c r="P820" s="144" t="n"/>
      <c r="Q820" s="16" t="n"/>
      <c r="R820" s="17" t="n"/>
      <c r="S820" s="143">
        <f>DADOS_INVOC!$QR$52</f>
        <v/>
      </c>
      <c r="T820" s="137" t="n"/>
      <c r="U820" s="128" t="n"/>
      <c r="V820" s="144" t="n"/>
      <c r="W820" s="16" t="n"/>
      <c r="X820" s="17" t="n"/>
      <c r="Y820" s="143">
        <f>DADOS_INVOC!$QR$53</f>
        <v/>
      </c>
      <c r="Z820" s="137" t="n"/>
      <c r="AB820" s="128" t="n"/>
      <c r="AC820" s="144" t="n"/>
      <c r="AD820" s="16" t="n"/>
      <c r="AE820" s="17" t="n"/>
      <c r="AF820" s="143">
        <f>DADOS_INVOC!$QR$129</f>
        <v/>
      </c>
      <c r="AG820" s="137" t="n"/>
      <c r="AH820" s="128" t="n"/>
      <c r="AI820" s="144" t="n"/>
      <c r="AJ820" s="16" t="n"/>
      <c r="AK820" s="17" t="n"/>
      <c r="AL820" s="143">
        <f>DADOS_INVOC!$QR$130</f>
        <v/>
      </c>
      <c r="AM820" s="137" t="n"/>
      <c r="AN820" s="128" t="n"/>
      <c r="AO820" s="144" t="n"/>
      <c r="AP820" s="16" t="n"/>
      <c r="AQ820" s="17" t="n"/>
      <c r="AR820" s="143">
        <f>DADOS_INVOC!$QR$131</f>
        <v/>
      </c>
      <c r="AS820" s="137" t="n"/>
    </row>
    <row r="821" hidden="1" outlineLevel="3">
      <c r="A821" s="8" t="n"/>
      <c r="B821" s="14" t="n"/>
      <c r="C821" s="137" t="n"/>
      <c r="D821" s="137" t="n"/>
      <c r="E821" s="137" t="n"/>
      <c r="F821" s="137" t="n"/>
      <c r="G821" s="137" t="n"/>
      <c r="I821" s="56" t="inlineStr">
        <is>
          <t>CONTA</t>
        </is>
      </c>
      <c r="J821" s="145">
        <f>DADOS_INVOC!$QK$51</f>
        <v/>
      </c>
      <c r="K821" s="16" t="n"/>
      <c r="L821" s="16" t="n"/>
      <c r="M821" s="17" t="n"/>
      <c r="N821" s="137" t="n"/>
      <c r="O821" s="56" t="inlineStr">
        <is>
          <t>CONTA</t>
        </is>
      </c>
      <c r="P821" s="145">
        <f>DADOS_INVOC!$QK$52</f>
        <v/>
      </c>
      <c r="Q821" s="16" t="n"/>
      <c r="R821" s="16" t="n"/>
      <c r="S821" s="17" t="n"/>
      <c r="T821" s="137" t="n"/>
      <c r="U821" s="56" t="inlineStr">
        <is>
          <t>CONTA</t>
        </is>
      </c>
      <c r="V821" s="145">
        <f>DADOS_INVOC!$QK$53</f>
        <v/>
      </c>
      <c r="W821" s="16" t="n"/>
      <c r="X821" s="16" t="n"/>
      <c r="Y821" s="17" t="n"/>
      <c r="Z821" s="137" t="n"/>
      <c r="AB821" s="56" t="inlineStr">
        <is>
          <t>CONTA</t>
        </is>
      </c>
      <c r="AC821" s="145">
        <f>DADOS_INVOC!$QK$129</f>
        <v/>
      </c>
      <c r="AD821" s="16" t="n"/>
      <c r="AE821" s="16" t="n"/>
      <c r="AF821" s="17" t="n"/>
      <c r="AG821" s="137" t="n"/>
      <c r="AH821" s="56" t="inlineStr">
        <is>
          <t>CONTA</t>
        </is>
      </c>
      <c r="AI821" s="145">
        <f>DADOS_INVOC!$QK$130</f>
        <v/>
      </c>
      <c r="AJ821" s="16" t="n"/>
      <c r="AK821" s="16" t="n"/>
      <c r="AL821" s="17" t="n"/>
      <c r="AM821" s="137" t="n"/>
      <c r="AN821" s="56" t="inlineStr">
        <is>
          <t>CONTA</t>
        </is>
      </c>
      <c r="AO821" s="145">
        <f>DADOS_INVOC!$QK$131</f>
        <v/>
      </c>
      <c r="AP821" s="16" t="n"/>
      <c r="AQ821" s="16" t="n"/>
      <c r="AR821" s="17" t="n"/>
      <c r="AS821" s="137" t="n"/>
    </row>
    <row r="822" hidden="1" outlineLevel="3">
      <c r="A822" s="8" t="n"/>
      <c r="B822" s="14" t="n"/>
      <c r="C822" s="137" t="n"/>
      <c r="D822" s="137" t="n"/>
      <c r="E822" s="137" t="n"/>
      <c r="F822" s="137" t="n"/>
      <c r="G822" s="137" t="n"/>
      <c r="I822" s="56" t="inlineStr">
        <is>
          <t>AMPLIAR</t>
        </is>
      </c>
      <c r="J822" s="145">
        <f>DADOS_INVOC!$QL$51</f>
        <v/>
      </c>
      <c r="K822" s="19" t="n"/>
      <c r="L822" s="19" t="n"/>
      <c r="M822" s="20" t="n"/>
      <c r="N822" s="137" t="n"/>
      <c r="O822" s="56" t="inlineStr">
        <is>
          <t>AMPLIAR</t>
        </is>
      </c>
      <c r="P822" s="145">
        <f>DADOS_INVOC!$QL$52</f>
        <v/>
      </c>
      <c r="Q822" s="19" t="n"/>
      <c r="R822" s="19" t="n"/>
      <c r="S822" s="20" t="n"/>
      <c r="T822" s="137" t="n"/>
      <c r="U822" s="56" t="inlineStr">
        <is>
          <t>AMPLIAR</t>
        </is>
      </c>
      <c r="V822" s="145">
        <f>DADOS_INVOC!$QL$53</f>
        <v/>
      </c>
      <c r="W822" s="19" t="n"/>
      <c r="X822" s="19" t="n"/>
      <c r="Y822" s="20" t="n"/>
      <c r="Z822" s="137" t="n"/>
      <c r="AB822" s="56" t="inlineStr">
        <is>
          <t>AMPLIAR</t>
        </is>
      </c>
      <c r="AC822" s="145">
        <f>DADOS_INVOC!$QL$129</f>
        <v/>
      </c>
      <c r="AD822" s="19" t="n"/>
      <c r="AE822" s="19" t="n"/>
      <c r="AF822" s="20" t="n"/>
      <c r="AG822" s="137" t="n"/>
      <c r="AH822" s="56" t="inlineStr">
        <is>
          <t>AMPLIAR</t>
        </is>
      </c>
      <c r="AI822" s="145">
        <f>DADOS_INVOC!$QL$130</f>
        <v/>
      </c>
      <c r="AJ822" s="19" t="n"/>
      <c r="AK822" s="19" t="n"/>
      <c r="AL822" s="20" t="n"/>
      <c r="AM822" s="137" t="n"/>
      <c r="AN822" s="56" t="inlineStr">
        <is>
          <t>AMPLIAR</t>
        </is>
      </c>
      <c r="AO822" s="145">
        <f>DADOS_INVOC!$QL$131</f>
        <v/>
      </c>
      <c r="AP822" s="19" t="n"/>
      <c r="AQ822" s="19" t="n"/>
      <c r="AR822" s="20" t="n"/>
      <c r="AS822" s="137" t="n"/>
    </row>
    <row r="823" hidden="1" outlineLevel="3">
      <c r="A823" s="8" t="n"/>
      <c r="B823" s="14" t="n"/>
      <c r="C823" s="137" t="n"/>
      <c r="D823" s="137" t="n"/>
      <c r="E823" s="137" t="n"/>
      <c r="F823" s="137" t="n"/>
      <c r="G823" s="137" t="n"/>
      <c r="I823" s="128" t="n"/>
      <c r="J823" s="23" t="n"/>
      <c r="K823" s="24" t="n"/>
      <c r="L823" s="24" t="n"/>
      <c r="M823" s="25" t="n"/>
      <c r="N823" s="137" t="n"/>
      <c r="O823" s="128" t="n"/>
      <c r="P823" s="23" t="n"/>
      <c r="Q823" s="24" t="n"/>
      <c r="R823" s="24" t="n"/>
      <c r="S823" s="25" t="n"/>
      <c r="T823" s="137" t="n"/>
      <c r="U823" s="128" t="n"/>
      <c r="V823" s="23" t="n"/>
      <c r="W823" s="24" t="n"/>
      <c r="X823" s="24" t="n"/>
      <c r="Y823" s="25" t="n"/>
      <c r="Z823" s="137" t="n"/>
      <c r="AB823" s="128" t="n"/>
      <c r="AC823" s="23" t="n"/>
      <c r="AD823" s="24" t="n"/>
      <c r="AE823" s="24" t="n"/>
      <c r="AF823" s="25" t="n"/>
      <c r="AG823" s="137" t="n"/>
      <c r="AH823" s="128" t="n"/>
      <c r="AI823" s="23" t="n"/>
      <c r="AJ823" s="24" t="n"/>
      <c r="AK823" s="24" t="n"/>
      <c r="AL823" s="25" t="n"/>
      <c r="AM823" s="137" t="n"/>
      <c r="AN823" s="128" t="n"/>
      <c r="AO823" s="23" t="n"/>
      <c r="AP823" s="24" t="n"/>
      <c r="AQ823" s="24" t="n"/>
      <c r="AR823" s="25" t="n"/>
      <c r="AS823" s="137" t="n"/>
    </row>
    <row r="824" hidden="1" outlineLevel="3">
      <c r="A824" s="8" t="n"/>
      <c r="B824" s="14" t="n"/>
      <c r="C824" s="137" t="n"/>
      <c r="D824" s="137" t="n"/>
      <c r="E824" s="137" t="n"/>
      <c r="F824" s="137" t="n"/>
      <c r="G824" s="137" t="n"/>
      <c r="I824" s="145">
        <f>DADOS_INVOC!$PY$51</f>
        <v/>
      </c>
      <c r="J824" s="19" t="n"/>
      <c r="K824" s="19" t="n"/>
      <c r="L824" s="19" t="n"/>
      <c r="M824" s="20" t="n"/>
      <c r="N824" s="137" t="n"/>
      <c r="O824" s="145">
        <f>DADOS_INVOC!$PY$52</f>
        <v/>
      </c>
      <c r="P824" s="19" t="n"/>
      <c r="Q824" s="19" t="n"/>
      <c r="R824" s="19" t="n"/>
      <c r="S824" s="20" t="n"/>
      <c r="T824" s="137" t="n"/>
      <c r="U824" s="145">
        <f>DADOS_INVOC!$PY$53</f>
        <v/>
      </c>
      <c r="V824" s="19" t="n"/>
      <c r="W824" s="19" t="n"/>
      <c r="X824" s="19" t="n"/>
      <c r="Y824" s="20" t="n"/>
      <c r="Z824" s="137" t="n"/>
      <c r="AB824" s="145">
        <f>DADOS_INVOC!$PY$129</f>
        <v/>
      </c>
      <c r="AC824" s="19" t="n"/>
      <c r="AD824" s="19" t="n"/>
      <c r="AE824" s="19" t="n"/>
      <c r="AF824" s="20" t="n"/>
      <c r="AG824" s="137" t="n"/>
      <c r="AH824" s="145">
        <f>DADOS_INVOC!$PY$130</f>
        <v/>
      </c>
      <c r="AI824" s="19" t="n"/>
      <c r="AJ824" s="19" t="n"/>
      <c r="AK824" s="19" t="n"/>
      <c r="AL824" s="20" t="n"/>
      <c r="AM824" s="137" t="n"/>
      <c r="AN824" s="145">
        <f>DADOS_INVOC!$PY$131</f>
        <v/>
      </c>
      <c r="AO824" s="19" t="n"/>
      <c r="AP824" s="19" t="n"/>
      <c r="AQ824" s="19" t="n"/>
      <c r="AR824" s="20" t="n"/>
      <c r="AS824" s="137" t="n"/>
    </row>
    <row r="825" hidden="1" outlineLevel="3">
      <c r="A825" s="8" t="n"/>
      <c r="B825" s="14" t="n"/>
      <c r="C825" s="137" t="n"/>
      <c r="D825" s="137" t="n"/>
      <c r="E825" s="137" t="n"/>
      <c r="F825" s="137" t="n"/>
      <c r="G825" s="137" t="n"/>
      <c r="I825" s="23" t="n"/>
      <c r="J825" s="24" t="n"/>
      <c r="K825" s="24" t="n"/>
      <c r="L825" s="24" t="n"/>
      <c r="M825" s="25" t="n"/>
      <c r="N825" s="137" t="n"/>
      <c r="O825" s="23" t="n"/>
      <c r="P825" s="24" t="n"/>
      <c r="Q825" s="24" t="n"/>
      <c r="R825" s="24" t="n"/>
      <c r="S825" s="25" t="n"/>
      <c r="T825" s="137" t="n"/>
      <c r="U825" s="23" t="n"/>
      <c r="V825" s="24" t="n"/>
      <c r="W825" s="24" t="n"/>
      <c r="X825" s="24" t="n"/>
      <c r="Y825" s="25" t="n"/>
      <c r="Z825" s="137" t="n"/>
      <c r="AB825" s="23" t="n"/>
      <c r="AC825" s="24" t="n"/>
      <c r="AD825" s="24" t="n"/>
      <c r="AE825" s="24" t="n"/>
      <c r="AF825" s="25" t="n"/>
      <c r="AG825" s="137" t="n"/>
      <c r="AH825" s="23" t="n"/>
      <c r="AI825" s="24" t="n"/>
      <c r="AJ825" s="24" t="n"/>
      <c r="AK825" s="24" t="n"/>
      <c r="AL825" s="25" t="n"/>
      <c r="AM825" s="137" t="n"/>
      <c r="AN825" s="23" t="n"/>
      <c r="AO825" s="24" t="n"/>
      <c r="AP825" s="24" t="n"/>
      <c r="AQ825" s="24" t="n"/>
      <c r="AR825" s="25" t="n"/>
      <c r="AS825" s="137" t="n"/>
    </row>
    <row r="826" hidden="1" outlineLevel="2">
      <c r="A826" s="8" t="n"/>
      <c r="B826" s="14" t="n"/>
      <c r="C826" s="137" t="n"/>
      <c r="D826" s="137" t="n"/>
      <c r="E826" s="137" t="n"/>
      <c r="F826" s="137" t="n"/>
      <c r="G826" s="137" t="n"/>
      <c r="I826" s="137" t="n"/>
      <c r="J826" s="137" t="n"/>
      <c r="K826" s="137" t="n"/>
      <c r="L826" s="137" t="n"/>
      <c r="M826" s="137" t="n"/>
      <c r="N826" s="137" t="n"/>
      <c r="O826" s="137" t="n"/>
      <c r="P826" s="137" t="n"/>
      <c r="Q826" s="137" t="n"/>
      <c r="R826" s="137" t="n"/>
      <c r="S826" s="137" t="n"/>
      <c r="T826" s="137" t="n"/>
      <c r="U826" s="137" t="n"/>
      <c r="V826" s="137" t="n"/>
      <c r="W826" s="137" t="n"/>
      <c r="X826" s="137" t="n"/>
      <c r="Y826" s="137" t="n"/>
      <c r="Z826" s="137" t="n"/>
      <c r="AB826" s="137" t="n"/>
      <c r="AC826" s="137" t="n"/>
      <c r="AD826" s="137" t="n"/>
      <c r="AE826" s="137" t="n"/>
      <c r="AF826" s="137" t="n"/>
      <c r="AG826" s="137" t="n"/>
      <c r="AH826" s="137" t="n"/>
      <c r="AI826" s="137" t="n"/>
      <c r="AJ826" s="137" t="n"/>
      <c r="AK826" s="137" t="n"/>
      <c r="AL826" s="137" t="n"/>
      <c r="AM826" s="137" t="n"/>
      <c r="AN826" s="137" t="n"/>
      <c r="AO826" s="137" t="n"/>
      <c r="AP826" s="137" t="n"/>
      <c r="AQ826" s="137" t="n"/>
      <c r="AR826" s="137" t="n"/>
      <c r="AS826" s="137" t="n"/>
    </row>
    <row r="827" hidden="1" outlineLevel="2">
      <c r="A827" s="8" t="n"/>
      <c r="B827" s="14" t="n"/>
      <c r="C827" s="137" t="n"/>
      <c r="D827" s="137" t="n"/>
      <c r="E827" s="137" t="n"/>
      <c r="F827" s="137" t="n"/>
      <c r="G827" s="137" t="n"/>
      <c r="I827" s="56" t="inlineStr">
        <is>
          <t>TALENTOS DA TRILHA · CATEGORIA 1</t>
        </is>
      </c>
      <c r="J827" s="16" t="n"/>
      <c r="K827" s="16" t="n"/>
      <c r="L827" s="16" t="n"/>
      <c r="M827" s="16" t="n"/>
      <c r="N827" s="16" t="n"/>
      <c r="O827" s="16" t="n"/>
      <c r="P827" s="16" t="n"/>
      <c r="Q827" s="16" t="n"/>
      <c r="R827" s="16" t="n"/>
      <c r="S827" s="16" t="n"/>
      <c r="T827" s="16" t="n"/>
      <c r="U827" s="16" t="n"/>
      <c r="V827" s="16" t="n"/>
      <c r="W827" s="16" t="n"/>
      <c r="X827" s="16" t="n"/>
      <c r="Y827" s="17" t="n"/>
      <c r="Z827" s="137" t="n"/>
      <c r="AB827" s="56" t="inlineStr">
        <is>
          <t>TALENTOS DA TRILHA · CATEGORIA 1</t>
        </is>
      </c>
      <c r="AC827" s="16" t="n"/>
      <c r="AD827" s="16" t="n"/>
      <c r="AE827" s="16" t="n"/>
      <c r="AF827" s="16" t="n"/>
      <c r="AG827" s="16" t="n"/>
      <c r="AH827" s="16" t="n"/>
      <c r="AI827" s="16" t="n"/>
      <c r="AJ827" s="16" t="n"/>
      <c r="AK827" s="16" t="n"/>
      <c r="AL827" s="16" t="n"/>
      <c r="AM827" s="16" t="n"/>
      <c r="AN827" s="16" t="n"/>
      <c r="AO827" s="16" t="n"/>
      <c r="AP827" s="16" t="n"/>
      <c r="AQ827" s="16" t="n"/>
      <c r="AR827" s="17" t="n"/>
      <c r="AS827" s="137" t="n"/>
    </row>
    <row r="828" hidden="1" outlineLevel="2">
      <c r="A828" s="8" t="n"/>
      <c r="B828" s="14" t="n"/>
      <c r="C828" s="137" t="n"/>
      <c r="D828" s="137" t="n"/>
      <c r="E828" s="137" t="n"/>
      <c r="F828" s="137" t="n"/>
      <c r="G828" s="137" t="n"/>
      <c r="I828" s="56" t="inlineStr">
        <is>
          <t>TRILHA · CE 1</t>
        </is>
      </c>
      <c r="J828" s="144" t="n"/>
      <c r="K828" s="16" t="n"/>
      <c r="L828" s="17" t="n"/>
      <c r="M828" s="150">
        <f>DADOS_INVOC!$IW$5</f>
        <v/>
      </c>
      <c r="N828" s="16" t="n"/>
      <c r="O828" s="16" t="n"/>
      <c r="P828" s="16" t="n"/>
      <c r="Q828" s="16" t="n"/>
      <c r="R828" s="16" t="n"/>
      <c r="S828" s="16" t="n"/>
      <c r="T828" s="16" t="n"/>
      <c r="U828" s="16" t="n"/>
      <c r="V828" s="16" t="n"/>
      <c r="W828" s="16" t="n"/>
      <c r="X828" s="16" t="n"/>
      <c r="Y828" s="17" t="n"/>
      <c r="Z828" s="137" t="n"/>
      <c r="AB828" s="56" t="inlineStr">
        <is>
          <t>TRILHA · CE 1</t>
        </is>
      </c>
      <c r="AC828" s="144" t="n"/>
      <c r="AD828" s="16" t="n"/>
      <c r="AE828" s="17" t="n"/>
      <c r="AF828" s="150">
        <f>DADOS_INVOC!$IW$11</f>
        <v/>
      </c>
      <c r="AG828" s="16" t="n"/>
      <c r="AH828" s="16" t="n"/>
      <c r="AI828" s="16" t="n"/>
      <c r="AJ828" s="16" t="n"/>
      <c r="AK828" s="16" t="n"/>
      <c r="AL828" s="16" t="n"/>
      <c r="AM828" s="16" t="n"/>
      <c r="AN828" s="16" t="n"/>
      <c r="AO828" s="16" t="n"/>
      <c r="AP828" s="16" t="n"/>
      <c r="AQ828" s="16" t="n"/>
      <c r="AR828" s="17" t="n"/>
      <c r="AS828" s="137" t="n"/>
    </row>
    <row r="829" hidden="1" outlineLevel="2">
      <c r="A829" s="8" t="n"/>
      <c r="B829" s="14" t="n"/>
      <c r="C829" s="137" t="n"/>
      <c r="D829" s="137" t="n"/>
      <c r="E829" s="137" t="n"/>
      <c r="F829" s="137" t="n"/>
      <c r="G829" s="137" t="n"/>
      <c r="I829" s="56" t="inlineStr">
        <is>
          <t>TRILHA · CE 1</t>
        </is>
      </c>
      <c r="J829" s="144" t="n"/>
      <c r="K829" s="16" t="n"/>
      <c r="L829" s="17" t="n"/>
      <c r="M829" s="150">
        <f>DADOS_INVOC!$IX$5</f>
        <v/>
      </c>
      <c r="N829" s="16" t="n"/>
      <c r="O829" s="16" t="n"/>
      <c r="P829" s="16" t="n"/>
      <c r="Q829" s="16" t="n"/>
      <c r="R829" s="16" t="n"/>
      <c r="S829" s="16" t="n"/>
      <c r="T829" s="16" t="n"/>
      <c r="U829" s="16" t="n"/>
      <c r="V829" s="16" t="n"/>
      <c r="W829" s="16" t="n"/>
      <c r="X829" s="16" t="n"/>
      <c r="Y829" s="17" t="n"/>
      <c r="Z829" s="137" t="n"/>
      <c r="AB829" s="56" t="inlineStr">
        <is>
          <t>TRILHA · CE 1</t>
        </is>
      </c>
      <c r="AC829" s="144" t="n"/>
      <c r="AD829" s="16" t="n"/>
      <c r="AE829" s="17" t="n"/>
      <c r="AF829" s="150">
        <f>DADOS_INVOC!$IX$11</f>
        <v/>
      </c>
      <c r="AG829" s="16" t="n"/>
      <c r="AH829" s="16" t="n"/>
      <c r="AI829" s="16" t="n"/>
      <c r="AJ829" s="16" t="n"/>
      <c r="AK829" s="16" t="n"/>
      <c r="AL829" s="16" t="n"/>
      <c r="AM829" s="16" t="n"/>
      <c r="AN829" s="16" t="n"/>
      <c r="AO829" s="16" t="n"/>
      <c r="AP829" s="16" t="n"/>
      <c r="AQ829" s="16" t="n"/>
      <c r="AR829" s="17" t="n"/>
      <c r="AS829" s="137" t="n"/>
    </row>
    <row r="830" hidden="1" outlineLevel="2">
      <c r="A830" s="8" t="n"/>
      <c r="B830" s="14" t="n"/>
      <c r="C830" s="137" t="n"/>
      <c r="D830" s="137" t="n"/>
      <c r="E830" s="137" t="n"/>
      <c r="F830" s="137" t="n"/>
      <c r="G830" s="137" t="n"/>
      <c r="I830" s="56" t="inlineStr">
        <is>
          <t>TRILHA · CE 1</t>
        </is>
      </c>
      <c r="J830" s="144" t="n"/>
      <c r="K830" s="16" t="n"/>
      <c r="L830" s="17" t="n"/>
      <c r="M830" s="150">
        <f>DADOS_INVOC!$IY$5</f>
        <v/>
      </c>
      <c r="N830" s="16" t="n"/>
      <c r="O830" s="16" t="n"/>
      <c r="P830" s="16" t="n"/>
      <c r="Q830" s="16" t="n"/>
      <c r="R830" s="16" t="n"/>
      <c r="S830" s="16" t="n"/>
      <c r="T830" s="16" t="n"/>
      <c r="U830" s="16" t="n"/>
      <c r="V830" s="16" t="n"/>
      <c r="W830" s="16" t="n"/>
      <c r="X830" s="16" t="n"/>
      <c r="Y830" s="17" t="n"/>
      <c r="Z830" s="137" t="n"/>
      <c r="AB830" s="56" t="inlineStr">
        <is>
          <t>TRILHA · CE 1</t>
        </is>
      </c>
      <c r="AC830" s="144" t="n"/>
      <c r="AD830" s="16" t="n"/>
      <c r="AE830" s="17" t="n"/>
      <c r="AF830" s="150">
        <f>DADOS_INVOC!$IY$11</f>
        <v/>
      </c>
      <c r="AG830" s="16" t="n"/>
      <c r="AH830" s="16" t="n"/>
      <c r="AI830" s="16" t="n"/>
      <c r="AJ830" s="16" t="n"/>
      <c r="AK830" s="16" t="n"/>
      <c r="AL830" s="16" t="n"/>
      <c r="AM830" s="16" t="n"/>
      <c r="AN830" s="16" t="n"/>
      <c r="AO830" s="16" t="n"/>
      <c r="AP830" s="16" t="n"/>
      <c r="AQ830" s="16" t="n"/>
      <c r="AR830" s="17" t="n"/>
      <c r="AS830" s="137" t="n"/>
    </row>
    <row r="831" hidden="1" outlineLevel="1">
      <c r="A831" s="8" t="n"/>
      <c r="B831" s="14" t="n"/>
      <c r="C831" s="137" t="n"/>
      <c r="D831" s="137" t="n"/>
      <c r="E831" s="137" t="n"/>
      <c r="F831" s="137" t="n"/>
      <c r="G831" s="137" t="n"/>
      <c r="I831" s="137" t="n"/>
      <c r="J831" s="137" t="n"/>
      <c r="K831" s="137" t="n"/>
      <c r="L831" s="137" t="n"/>
      <c r="M831" s="137" t="n"/>
      <c r="N831" s="137" t="n"/>
      <c r="O831" s="137" t="n"/>
      <c r="P831" s="137" t="n"/>
      <c r="Q831" s="137" t="n"/>
      <c r="R831" s="137" t="n"/>
      <c r="S831" s="137" t="n"/>
      <c r="T831" s="137" t="n"/>
      <c r="U831" s="137" t="n"/>
      <c r="V831" s="137" t="n"/>
      <c r="W831" s="137" t="n"/>
      <c r="X831" s="137" t="n"/>
      <c r="Y831" s="137" t="n"/>
      <c r="Z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37" t="n"/>
      <c r="AS831" s="137" t="n"/>
    </row>
    <row r="832" hidden="1" outlineLevel="1">
      <c r="A832" s="8" t="n"/>
      <c r="B832" s="14" t="n"/>
      <c r="C832" s="137" t="n"/>
      <c r="D832" s="137" t="n"/>
      <c r="E832" s="137" t="n"/>
      <c r="F832" s="137" t="n"/>
      <c r="G832" s="137" t="n"/>
      <c r="I832" s="146" t="inlineStr">
        <is>
          <t>TRUNFOS · Liberação Máxima, Técnica Máxima e Expansão de Domínio, para quem tem técnica própria</t>
        </is>
      </c>
      <c r="J832" s="16" t="n"/>
      <c r="K832" s="16" t="n"/>
      <c r="L832" s="16" t="n"/>
      <c r="M832" s="16" t="n"/>
      <c r="N832" s="16" t="n"/>
      <c r="O832" s="16" t="n"/>
      <c r="P832" s="16" t="n"/>
      <c r="Q832" s="16" t="n"/>
      <c r="R832" s="16" t="n"/>
      <c r="S832" s="16" t="n"/>
      <c r="T832" s="16" t="n"/>
      <c r="U832" s="16" t="n"/>
      <c r="V832" s="16" t="n"/>
      <c r="W832" s="16" t="n"/>
      <c r="X832" s="16" t="n"/>
      <c r="Y832" s="17" t="n"/>
      <c r="Z832" s="137" t="n"/>
      <c r="AB832" s="146" t="inlineStr">
        <is>
          <t>TRUNFOS · Liberação Máxima, Técnica Máxima e Expansão de Domínio, para quem tem técnica própria</t>
        </is>
      </c>
      <c r="AC832" s="16" t="n"/>
      <c r="AD832" s="16" t="n"/>
      <c r="AE832" s="16" t="n"/>
      <c r="AF832" s="16" t="n"/>
      <c r="AG832" s="16" t="n"/>
      <c r="AH832" s="16" t="n"/>
      <c r="AI832" s="16" t="n"/>
      <c r="AJ832" s="16" t="n"/>
      <c r="AK832" s="16" t="n"/>
      <c r="AL832" s="16" t="n"/>
      <c r="AM832" s="16" t="n"/>
      <c r="AN832" s="16" t="n"/>
      <c r="AO832" s="16" t="n"/>
      <c r="AP832" s="16" t="n"/>
      <c r="AQ832" s="16" t="n"/>
      <c r="AR832" s="17" t="n"/>
      <c r="AS832" s="137" t="n"/>
    </row>
    <row r="833" hidden="1" outlineLevel="2">
      <c r="A833" s="8" t="n"/>
      <c r="B833" s="14" t="n"/>
      <c r="C833" s="137" t="n"/>
      <c r="D833" s="137" t="n"/>
      <c r="E833" s="137" t="n"/>
      <c r="F833" s="137" t="n"/>
      <c r="G833" s="137" t="n"/>
      <c r="I833" s="137" t="n"/>
      <c r="J833" s="137" t="n"/>
      <c r="K833" s="137" t="n"/>
      <c r="L833" s="137" t="n"/>
      <c r="M833" s="137" t="n"/>
      <c r="N833" s="137" t="n"/>
      <c r="O833" s="137" t="n"/>
      <c r="P833" s="137" t="n"/>
      <c r="Q833" s="137" t="n"/>
      <c r="R833" s="137" t="n"/>
      <c r="S833" s="137" t="n"/>
      <c r="T833" s="137" t="n"/>
      <c r="U833" s="137" t="n"/>
      <c r="V833" s="137" t="n"/>
      <c r="W833" s="137" t="n"/>
      <c r="X833" s="137" t="n"/>
      <c r="Y833" s="137" t="n"/>
      <c r="Z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37" t="n"/>
      <c r="AS833" s="137" t="n"/>
    </row>
    <row r="834" hidden="1" outlineLevel="2">
      <c r="A834" s="8" t="n"/>
      <c r="B834" s="14" t="n"/>
      <c r="C834" s="137" t="n"/>
      <c r="D834" s="137" t="n"/>
      <c r="E834" s="137" t="n"/>
      <c r="F834" s="137" t="n"/>
      <c r="G834" s="137" t="n"/>
      <c r="I834" s="56" t="inlineStr">
        <is>
          <t>LIBERAÇÃO MÁXIMA 1</t>
        </is>
      </c>
      <c r="J834" s="16" t="n"/>
      <c r="K834" s="16" t="n"/>
      <c r="L834" s="16" t="n"/>
      <c r="M834" s="17" t="n"/>
      <c r="N834" s="137" t="n"/>
      <c r="O834" s="56" t="inlineStr">
        <is>
          <t>LIBERAÇÃO MÁXIMA 2</t>
        </is>
      </c>
      <c r="P834" s="16" t="n"/>
      <c r="Q834" s="16" t="n"/>
      <c r="R834" s="16" t="n"/>
      <c r="S834" s="17" t="n"/>
      <c r="T834" s="137" t="n"/>
      <c r="U834" s="56" t="inlineStr">
        <is>
          <t>LIBERAÇÃO MÁXIMA 3</t>
        </is>
      </c>
      <c r="V834" s="16" t="n"/>
      <c r="W834" s="16" t="n"/>
      <c r="X834" s="16" t="n"/>
      <c r="Y834" s="17" t="n"/>
      <c r="Z834" s="137" t="n"/>
      <c r="AB834" s="56" t="inlineStr">
        <is>
          <t>LIBERAÇÃO MÁXIMA 1</t>
        </is>
      </c>
      <c r="AC834" s="16" t="n"/>
      <c r="AD834" s="16" t="n"/>
      <c r="AE834" s="16" t="n"/>
      <c r="AF834" s="17" t="n"/>
      <c r="AG834" s="137" t="n"/>
      <c r="AH834" s="56" t="inlineStr">
        <is>
          <t>LIBERAÇÃO MÁXIMA 2</t>
        </is>
      </c>
      <c r="AI834" s="16" t="n"/>
      <c r="AJ834" s="16" t="n"/>
      <c r="AK834" s="16" t="n"/>
      <c r="AL834" s="17" t="n"/>
      <c r="AM834" s="137" t="n"/>
      <c r="AN834" s="56" t="inlineStr">
        <is>
          <t>LIBERAÇÃO MÁXIMA 3</t>
        </is>
      </c>
      <c r="AO834" s="16" t="n"/>
      <c r="AP834" s="16" t="n"/>
      <c r="AQ834" s="16" t="n"/>
      <c r="AR834" s="17" t="n"/>
      <c r="AS834" s="137" t="n"/>
    </row>
    <row r="835" hidden="1" outlineLevel="2">
      <c r="A835" s="8" t="n"/>
      <c r="B835" s="14" t="n"/>
      <c r="C835" s="137" t="n"/>
      <c r="D835" s="137" t="n"/>
      <c r="E835" s="137" t="n"/>
      <c r="F835" s="137" t="n"/>
      <c r="G835" s="137" t="n"/>
      <c r="I835" s="141" t="n">
        <v>3</v>
      </c>
      <c r="J835" s="131" t="n"/>
      <c r="K835" s="16" t="n"/>
      <c r="L835" s="17" t="n"/>
      <c r="M835" s="142">
        <f>DADOS_INVOC!$IZ$5</f>
        <v/>
      </c>
      <c r="N835" s="137" t="n"/>
      <c r="O835" s="141" t="n">
        <v>3</v>
      </c>
      <c r="P835" s="131" t="n"/>
      <c r="Q835" s="16" t="n"/>
      <c r="R835" s="17" t="n"/>
      <c r="S835" s="142">
        <f>DADOS_INVOC!$JA$5</f>
        <v/>
      </c>
      <c r="T835" s="137" t="n"/>
      <c r="U835" s="141" t="n">
        <v>3</v>
      </c>
      <c r="V835" s="131" t="n"/>
      <c r="W835" s="16" t="n"/>
      <c r="X835" s="17" t="n"/>
      <c r="Y835" s="142">
        <f>DADOS_INVOC!$JB$5</f>
        <v/>
      </c>
      <c r="Z835" s="137" t="n"/>
      <c r="AB835" s="141" t="n">
        <v>3</v>
      </c>
      <c r="AC835" s="131" t="n"/>
      <c r="AD835" s="16" t="n"/>
      <c r="AE835" s="17" t="n"/>
      <c r="AF835" s="142">
        <f>DADOS_INVOC!$IZ$11</f>
        <v/>
      </c>
      <c r="AG835" s="137" t="n"/>
      <c r="AH835" s="141" t="n">
        <v>3</v>
      </c>
      <c r="AI835" s="131" t="n"/>
      <c r="AJ835" s="16" t="n"/>
      <c r="AK835" s="17" t="n"/>
      <c r="AL835" s="142">
        <f>DADOS_INVOC!$JA$11</f>
        <v/>
      </c>
      <c r="AM835" s="137" t="n"/>
      <c r="AN835" s="141" t="n">
        <v>3</v>
      </c>
      <c r="AO835" s="131" t="n"/>
      <c r="AP835" s="16" t="n"/>
      <c r="AQ835" s="17" t="n"/>
      <c r="AR835" s="142">
        <f>DADOS_INVOC!$JB$11</f>
        <v/>
      </c>
      <c r="AS835" s="137" t="n"/>
    </row>
    <row r="836" hidden="1" outlineLevel="2">
      <c r="A836" s="8" t="n"/>
      <c r="B836" s="14" t="n"/>
      <c r="C836" s="137" t="n"/>
      <c r="D836" s="137" t="n"/>
      <c r="E836" s="137" t="n"/>
      <c r="F836" s="137" t="n"/>
      <c r="G836" s="137" t="n"/>
      <c r="I836" s="61" t="n"/>
      <c r="J836" s="19" t="n"/>
      <c r="K836" s="19" t="n"/>
      <c r="L836" s="19" t="n"/>
      <c r="M836" s="20" t="n"/>
      <c r="N836" s="137" t="n"/>
      <c r="O836" s="61" t="n"/>
      <c r="P836" s="19" t="n"/>
      <c r="Q836" s="19" t="n"/>
      <c r="R836" s="19" t="n"/>
      <c r="S836" s="20" t="n"/>
      <c r="T836" s="137" t="n"/>
      <c r="U836" s="61" t="n"/>
      <c r="V836" s="19" t="n"/>
      <c r="W836" s="19" t="n"/>
      <c r="X836" s="19" t="n"/>
      <c r="Y836" s="20" t="n"/>
      <c r="Z836" s="137" t="n"/>
      <c r="AB836" s="61" t="n"/>
      <c r="AC836" s="19" t="n"/>
      <c r="AD836" s="19" t="n"/>
      <c r="AE836" s="19" t="n"/>
      <c r="AF836" s="20" t="n"/>
      <c r="AG836" s="137" t="n"/>
      <c r="AH836" s="61" t="n"/>
      <c r="AI836" s="19" t="n"/>
      <c r="AJ836" s="19" t="n"/>
      <c r="AK836" s="19" t="n"/>
      <c r="AL836" s="20" t="n"/>
      <c r="AM836" s="137" t="n"/>
      <c r="AN836" s="61" t="n"/>
      <c r="AO836" s="19" t="n"/>
      <c r="AP836" s="19" t="n"/>
      <c r="AQ836" s="19" t="n"/>
      <c r="AR836" s="20" t="n"/>
      <c r="AS836" s="137" t="n"/>
    </row>
    <row r="837" hidden="1" outlineLevel="2">
      <c r="A837" s="8" t="n"/>
      <c r="B837" s="14" t="n"/>
      <c r="C837" s="137" t="n"/>
      <c r="D837" s="137" t="n"/>
      <c r="E837" s="137" t="n"/>
      <c r="F837" s="137" t="n"/>
      <c r="G837" s="137" t="n"/>
      <c r="I837" s="21" t="n"/>
      <c r="M837" s="22" t="n"/>
      <c r="N837" s="137" t="n"/>
      <c r="O837" s="21" t="n"/>
      <c r="S837" s="22" t="n"/>
      <c r="T837" s="137" t="n"/>
      <c r="U837" s="21" t="n"/>
      <c r="Y837" s="22" t="n"/>
      <c r="Z837" s="137" t="n"/>
      <c r="AB837" s="21" t="n"/>
      <c r="AF837" s="22" t="n"/>
      <c r="AG837" s="137" t="n"/>
      <c r="AH837" s="21" t="n"/>
      <c r="AL837" s="22" t="n"/>
      <c r="AM837" s="137" t="n"/>
      <c r="AN837" s="21" t="n"/>
      <c r="AR837" s="22" t="n"/>
      <c r="AS837" s="137" t="n"/>
    </row>
    <row r="838" hidden="1" outlineLevel="2">
      <c r="A838" s="8" t="n"/>
      <c r="B838" s="14" t="n"/>
      <c r="C838" s="137" t="n"/>
      <c r="D838" s="137" t="n"/>
      <c r="E838" s="137" t="n"/>
      <c r="F838" s="137" t="n"/>
      <c r="G838" s="137" t="n"/>
      <c r="I838" s="21" t="n"/>
      <c r="M838" s="22" t="n"/>
      <c r="N838" s="137" t="n"/>
      <c r="O838" s="21" t="n"/>
      <c r="S838" s="22" t="n"/>
      <c r="T838" s="137" t="n"/>
      <c r="U838" s="21" t="n"/>
      <c r="Y838" s="22" t="n"/>
      <c r="Z838" s="137" t="n"/>
      <c r="AB838" s="21" t="n"/>
      <c r="AF838" s="22" t="n"/>
      <c r="AG838" s="137" t="n"/>
      <c r="AH838" s="21" t="n"/>
      <c r="AL838" s="22" t="n"/>
      <c r="AM838" s="137" t="n"/>
      <c r="AN838" s="21" t="n"/>
      <c r="AR838" s="22" t="n"/>
      <c r="AS838" s="137" t="n"/>
    </row>
    <row r="839" hidden="1" outlineLevel="2">
      <c r="A839" s="8" t="n"/>
      <c r="B839" s="14" t="n"/>
      <c r="C839" s="137" t="n"/>
      <c r="D839" s="137" t="n"/>
      <c r="E839" s="137" t="n"/>
      <c r="F839" s="137" t="n"/>
      <c r="G839" s="137" t="n"/>
      <c r="I839" s="23" t="n"/>
      <c r="J839" s="24" t="n"/>
      <c r="K839" s="24" t="n"/>
      <c r="L839" s="24" t="n"/>
      <c r="M839" s="25" t="n"/>
      <c r="N839" s="137" t="n"/>
      <c r="O839" s="23" t="n"/>
      <c r="P839" s="24" t="n"/>
      <c r="Q839" s="24" t="n"/>
      <c r="R839" s="24" t="n"/>
      <c r="S839" s="25" t="n"/>
      <c r="T839" s="137" t="n"/>
      <c r="U839" s="23" t="n"/>
      <c r="V839" s="24" t="n"/>
      <c r="W839" s="24" t="n"/>
      <c r="X839" s="24" t="n"/>
      <c r="Y839" s="25" t="n"/>
      <c r="Z839" s="137" t="n"/>
      <c r="AB839" s="23" t="n"/>
      <c r="AC839" s="24" t="n"/>
      <c r="AD839" s="24" t="n"/>
      <c r="AE839" s="24" t="n"/>
      <c r="AF839" s="25" t="n"/>
      <c r="AG839" s="137" t="n"/>
      <c r="AH839" s="23" t="n"/>
      <c r="AI839" s="24" t="n"/>
      <c r="AJ839" s="24" t="n"/>
      <c r="AK839" s="24" t="n"/>
      <c r="AL839" s="25" t="n"/>
      <c r="AM839" s="137" t="n"/>
      <c r="AN839" s="23" t="n"/>
      <c r="AO839" s="24" t="n"/>
      <c r="AP839" s="24" t="n"/>
      <c r="AQ839" s="24" t="n"/>
      <c r="AR839" s="25" t="n"/>
      <c r="AS839" s="137" t="n"/>
    </row>
    <row r="840" hidden="1" outlineLevel="2">
      <c r="A840" s="8" t="n"/>
      <c r="B840" s="14" t="n"/>
      <c r="C840" s="137" t="n"/>
      <c r="D840" s="137" t="n"/>
      <c r="E840" s="137" t="n"/>
      <c r="F840" s="137" t="n"/>
      <c r="G840" s="137" t="n"/>
      <c r="I840" s="71">
        <f>DADOS_INVOC!$JC$5</f>
        <v/>
      </c>
      <c r="J840" s="16" t="n"/>
      <c r="K840" s="16" t="n"/>
      <c r="L840" s="16" t="n"/>
      <c r="M840" s="17" t="n"/>
      <c r="N840" s="137" t="n"/>
      <c r="O840" s="71">
        <f>DADOS_INVOC!$JD$5</f>
        <v/>
      </c>
      <c r="P840" s="16" t="n"/>
      <c r="Q840" s="16" t="n"/>
      <c r="R840" s="16" t="n"/>
      <c r="S840" s="17" t="n"/>
      <c r="T840" s="137" t="n"/>
      <c r="U840" s="71">
        <f>DADOS_INVOC!$JE$5</f>
        <v/>
      </c>
      <c r="V840" s="16" t="n"/>
      <c r="W840" s="16" t="n"/>
      <c r="X840" s="16" t="n"/>
      <c r="Y840" s="17" t="n"/>
      <c r="Z840" s="137" t="n"/>
      <c r="AB840" s="71">
        <f>DADOS_INVOC!$JC$11</f>
        <v/>
      </c>
      <c r="AC840" s="16" t="n"/>
      <c r="AD840" s="16" t="n"/>
      <c r="AE840" s="16" t="n"/>
      <c r="AF840" s="17" t="n"/>
      <c r="AG840" s="137" t="n"/>
      <c r="AH840" s="71">
        <f>DADOS_INVOC!$JD$11</f>
        <v/>
      </c>
      <c r="AI840" s="16" t="n"/>
      <c r="AJ840" s="16" t="n"/>
      <c r="AK840" s="16" t="n"/>
      <c r="AL840" s="17" t="n"/>
      <c r="AM840" s="137" t="n"/>
      <c r="AN840" s="71">
        <f>DADOS_INVOC!$JE$11</f>
        <v/>
      </c>
      <c r="AO840" s="16" t="n"/>
      <c r="AP840" s="16" t="n"/>
      <c r="AQ840" s="16" t="n"/>
      <c r="AR840" s="17" t="n"/>
      <c r="AS840" s="137" t="n"/>
    </row>
    <row r="841" hidden="1" outlineLevel="2">
      <c r="A841" s="8" t="n"/>
      <c r="B841" s="14" t="n"/>
      <c r="C841" s="137" t="n"/>
      <c r="D841" s="137" t="n"/>
      <c r="E841" s="137" t="n"/>
      <c r="F841" s="137" t="n"/>
      <c r="G841" s="137" t="n"/>
      <c r="I841" s="95" t="inlineStr">
        <is>
          <t>Sua Ação Completa + a básica dela</t>
        </is>
      </c>
      <c r="J841" s="16" t="n"/>
      <c r="K841" s="16" t="n"/>
      <c r="L841" s="16" t="n"/>
      <c r="M841" s="17" t="n"/>
      <c r="N841" s="137" t="n"/>
      <c r="O841" s="95" t="inlineStr">
        <is>
          <t>Sua Ação Completa + a básica dela</t>
        </is>
      </c>
      <c r="P841" s="16" t="n"/>
      <c r="Q841" s="16" t="n"/>
      <c r="R841" s="16" t="n"/>
      <c r="S841" s="17" t="n"/>
      <c r="T841" s="137" t="n"/>
      <c r="U841" s="95" t="inlineStr">
        <is>
          <t>Sua Ação Completa + a básica dela</t>
        </is>
      </c>
      <c r="V841" s="16" t="n"/>
      <c r="W841" s="16" t="n"/>
      <c r="X841" s="16" t="n"/>
      <c r="Y841" s="17" t="n"/>
      <c r="Z841" s="137" t="n"/>
      <c r="AB841" s="95" t="inlineStr">
        <is>
          <t>Sua Ação Completa + a básica dela</t>
        </is>
      </c>
      <c r="AC841" s="16" t="n"/>
      <c r="AD841" s="16" t="n"/>
      <c r="AE841" s="16" t="n"/>
      <c r="AF841" s="17" t="n"/>
      <c r="AG841" s="137" t="n"/>
      <c r="AH841" s="95" t="inlineStr">
        <is>
          <t>Sua Ação Completa + a básica dela</t>
        </is>
      </c>
      <c r="AI841" s="16" t="n"/>
      <c r="AJ841" s="16" t="n"/>
      <c r="AK841" s="16" t="n"/>
      <c r="AL841" s="17" t="n"/>
      <c r="AM841" s="137" t="n"/>
      <c r="AN841" s="95" t="inlineStr">
        <is>
          <t>Sua Ação Completa + a básica dela</t>
        </is>
      </c>
      <c r="AO841" s="16" t="n"/>
      <c r="AP841" s="16" t="n"/>
      <c r="AQ841" s="16" t="n"/>
      <c r="AR841" s="17" t="n"/>
      <c r="AS841" s="137" t="n"/>
    </row>
    <row r="842" hidden="1" outlineLevel="2">
      <c r="A842" s="8" t="n"/>
      <c r="B842" s="14" t="n"/>
      <c r="C842" s="137" t="n"/>
      <c r="D842" s="137" t="n"/>
      <c r="E842" s="137" t="n"/>
      <c r="F842" s="137" t="n"/>
      <c r="G842" s="137" t="n"/>
      <c r="I842" s="137" t="n"/>
      <c r="J842" s="137" t="n"/>
      <c r="K842" s="137" t="n"/>
      <c r="L842" s="137" t="n"/>
      <c r="M842" s="137" t="n"/>
      <c r="N842" s="137" t="n"/>
      <c r="O842" s="137" t="n"/>
      <c r="P842" s="137" t="n"/>
      <c r="Q842" s="137" t="n"/>
      <c r="R842" s="137" t="n"/>
      <c r="S842" s="137" t="n"/>
      <c r="T842" s="137" t="n"/>
      <c r="U842" s="137" t="n"/>
      <c r="V842" s="137" t="n"/>
      <c r="W842" s="137" t="n"/>
      <c r="X842" s="137" t="n"/>
      <c r="Y842" s="137" t="n"/>
      <c r="Z842" s="137" t="n"/>
      <c r="AB842" s="137" t="n"/>
      <c r="AC842" s="137" t="n"/>
      <c r="AD842" s="137" t="n"/>
      <c r="AE842" s="137" t="n"/>
      <c r="AF842" s="137" t="n"/>
      <c r="AG842" s="137" t="n"/>
      <c r="AH842" s="137" t="n"/>
      <c r="AI842" s="137" t="n"/>
      <c r="AJ842" s="137" t="n"/>
      <c r="AK842" s="137" t="n"/>
      <c r="AL842" s="137" t="n"/>
      <c r="AM842" s="137" t="n"/>
      <c r="AN842" s="137" t="n"/>
      <c r="AO842" s="137" t="n"/>
      <c r="AP842" s="137" t="n"/>
      <c r="AQ842" s="137" t="n"/>
      <c r="AR842" s="137" t="n"/>
      <c r="AS842" s="137" t="n"/>
    </row>
    <row r="843" hidden="1" outlineLevel="2">
      <c r="A843" s="8" t="n"/>
      <c r="B843" s="14" t="n"/>
      <c r="C843" s="137" t="n"/>
      <c r="D843" s="137" t="n"/>
      <c r="E843" s="137" t="n"/>
      <c r="F843" s="137" t="n"/>
      <c r="G843" s="137" t="n"/>
      <c r="I843" s="56" t="inlineStr">
        <is>
          <t>TÉCNICA MÁXIMA</t>
        </is>
      </c>
      <c r="J843" s="16" t="n"/>
      <c r="K843" s="16" t="n"/>
      <c r="L843" s="16" t="n"/>
      <c r="M843" s="17" t="n"/>
      <c r="N843" s="137" t="n"/>
      <c r="O843" s="56" t="inlineStr">
        <is>
          <t>EXPANSÃO DE DOMÍNIO</t>
        </is>
      </c>
      <c r="P843" s="16" t="n"/>
      <c r="Q843" s="16" t="n"/>
      <c r="R843" s="16" t="n"/>
      <c r="S843" s="17" t="n"/>
      <c r="T843" s="137" t="n"/>
      <c r="U843" s="137" t="n"/>
      <c r="V843" s="137" t="n"/>
      <c r="W843" s="137" t="n"/>
      <c r="X843" s="137" t="n"/>
      <c r="Y843" s="137" t="n"/>
      <c r="Z843" s="137" t="n"/>
      <c r="AB843" s="56" t="inlineStr">
        <is>
          <t>TÉCNICA MÁXIMA</t>
        </is>
      </c>
      <c r="AC843" s="16" t="n"/>
      <c r="AD843" s="16" t="n"/>
      <c r="AE843" s="16" t="n"/>
      <c r="AF843" s="17" t="n"/>
      <c r="AG843" s="137" t="n"/>
      <c r="AH843" s="56" t="inlineStr">
        <is>
          <t>EXPANSÃO DE DOMÍNIO</t>
        </is>
      </c>
      <c r="AI843" s="16" t="n"/>
      <c r="AJ843" s="16" t="n"/>
      <c r="AK843" s="16" t="n"/>
      <c r="AL843" s="17" t="n"/>
      <c r="AM843" s="137" t="n"/>
      <c r="AN843" s="137" t="n"/>
      <c r="AO843" s="137" t="n"/>
      <c r="AP843" s="137" t="n"/>
      <c r="AQ843" s="137" t="n"/>
      <c r="AR843" s="137" t="n"/>
      <c r="AS843" s="137" t="n"/>
    </row>
    <row r="844" hidden="1" outlineLevel="2">
      <c r="A844" s="8" t="n"/>
      <c r="B844" s="14" t="n"/>
      <c r="C844" s="137" t="n"/>
      <c r="D844" s="137" t="n"/>
      <c r="E844" s="137" t="n"/>
      <c r="F844" s="137" t="n"/>
      <c r="G844" s="137" t="n"/>
      <c r="I844" s="131" t="n"/>
      <c r="J844" s="16" t="n"/>
      <c r="K844" s="16" t="n"/>
      <c r="L844" s="17" t="n"/>
      <c r="M844" s="142">
        <f>DADOS_INVOC!$JF$5</f>
        <v/>
      </c>
      <c r="N844" s="137" t="n"/>
      <c r="O844" s="131" t="n"/>
      <c r="P844" s="16" t="n"/>
      <c r="Q844" s="16" t="n"/>
      <c r="R844" s="17" t="n"/>
      <c r="S844" s="142">
        <f>DADOS_INVOC!$JH$5</f>
        <v/>
      </c>
      <c r="T844" s="137" t="n"/>
      <c r="U844" s="137" t="n"/>
      <c r="V844" s="137" t="n"/>
      <c r="W844" s="137" t="n"/>
      <c r="X844" s="137" t="n"/>
      <c r="Y844" s="137" t="n"/>
      <c r="Z844" s="137" t="n"/>
      <c r="AB844" s="131" t="n"/>
      <c r="AC844" s="16" t="n"/>
      <c r="AD844" s="16" t="n"/>
      <c r="AE844" s="17" t="n"/>
      <c r="AF844" s="142">
        <f>DADOS_INVOC!$JF$11</f>
        <v/>
      </c>
      <c r="AG844" s="137" t="n"/>
      <c r="AH844" s="131" t="n"/>
      <c r="AI844" s="16" t="n"/>
      <c r="AJ844" s="16" t="n"/>
      <c r="AK844" s="17" t="n"/>
      <c r="AL844" s="142">
        <f>DADOS_INVOC!$JH$11</f>
        <v/>
      </c>
      <c r="AM844" s="137" t="n"/>
      <c r="AN844" s="137" t="n"/>
      <c r="AO844" s="137" t="n"/>
      <c r="AP844" s="137" t="n"/>
      <c r="AQ844" s="137" t="n"/>
      <c r="AR844" s="137" t="n"/>
      <c r="AS844" s="137" t="n"/>
    </row>
    <row r="845" hidden="1" outlineLevel="2">
      <c r="A845" s="8" t="n"/>
      <c r="B845" s="14" t="n"/>
      <c r="C845" s="137" t="n"/>
      <c r="D845" s="137" t="n"/>
      <c r="E845" s="137" t="n"/>
      <c r="F845" s="137" t="n"/>
      <c r="G845" s="137" t="n"/>
      <c r="I845" s="61" t="n"/>
      <c r="J845" s="19" t="n"/>
      <c r="K845" s="19" t="n"/>
      <c r="L845" s="19" t="n"/>
      <c r="M845" s="20" t="n"/>
      <c r="N845" s="137" t="n"/>
      <c r="O845" s="61" t="n"/>
      <c r="P845" s="19" t="n"/>
      <c r="Q845" s="19" t="n"/>
      <c r="R845" s="19" t="n"/>
      <c r="S845" s="20" t="n"/>
      <c r="T845" s="137" t="n"/>
      <c r="U845" s="137" t="n"/>
      <c r="V845" s="137" t="n"/>
      <c r="W845" s="137" t="n"/>
      <c r="X845" s="137" t="n"/>
      <c r="Y845" s="137" t="n"/>
      <c r="Z845" s="137" t="n"/>
      <c r="AB845" s="61" t="n"/>
      <c r="AC845" s="19" t="n"/>
      <c r="AD845" s="19" t="n"/>
      <c r="AE845" s="19" t="n"/>
      <c r="AF845" s="20" t="n"/>
      <c r="AG845" s="137" t="n"/>
      <c r="AH845" s="61" t="n"/>
      <c r="AI845" s="19" t="n"/>
      <c r="AJ845" s="19" t="n"/>
      <c r="AK845" s="19" t="n"/>
      <c r="AL845" s="20" t="n"/>
      <c r="AM845" s="137" t="n"/>
      <c r="AN845" s="137" t="n"/>
      <c r="AO845" s="137" t="n"/>
      <c r="AP845" s="137" t="n"/>
      <c r="AQ845" s="137" t="n"/>
      <c r="AR845" s="137" t="n"/>
      <c r="AS845" s="137" t="n"/>
    </row>
    <row r="846" hidden="1" outlineLevel="2">
      <c r="A846" s="8" t="n"/>
      <c r="B846" s="14" t="n"/>
      <c r="C846" s="137" t="n"/>
      <c r="D846" s="137" t="n"/>
      <c r="E846" s="137" t="n"/>
      <c r="F846" s="137" t="n"/>
      <c r="G846" s="137" t="n"/>
      <c r="I846" s="21" t="n"/>
      <c r="M846" s="22" t="n"/>
      <c r="N846" s="137" t="n"/>
      <c r="O846" s="21" t="n"/>
      <c r="S846" s="22" t="n"/>
      <c r="T846" s="137" t="n"/>
      <c r="U846" s="137" t="n"/>
      <c r="V846" s="137" t="n"/>
      <c r="W846" s="137" t="n"/>
      <c r="X846" s="137" t="n"/>
      <c r="Y846" s="137" t="n"/>
      <c r="Z846" s="137" t="n"/>
      <c r="AB846" s="21" t="n"/>
      <c r="AF846" s="22" t="n"/>
      <c r="AG846" s="137" t="n"/>
      <c r="AH846" s="21" t="n"/>
      <c r="AL846" s="22" t="n"/>
      <c r="AM846" s="137" t="n"/>
      <c r="AN846" s="137" t="n"/>
      <c r="AO846" s="137" t="n"/>
      <c r="AP846" s="137" t="n"/>
      <c r="AQ846" s="137" t="n"/>
      <c r="AR846" s="137" t="n"/>
      <c r="AS846" s="137" t="n"/>
    </row>
    <row r="847" hidden="1" outlineLevel="2">
      <c r="A847" s="8" t="n"/>
      <c r="B847" s="14" t="n"/>
      <c r="C847" s="137" t="n"/>
      <c r="D847" s="137" t="n"/>
      <c r="E847" s="137" t="n"/>
      <c r="F847" s="137" t="n"/>
      <c r="G847" s="137" t="n"/>
      <c r="I847" s="21" t="n"/>
      <c r="M847" s="22" t="n"/>
      <c r="N847" s="137" t="n"/>
      <c r="O847" s="21" t="n"/>
      <c r="S847" s="22" t="n"/>
      <c r="T847" s="137" t="n"/>
      <c r="U847" s="137" t="n"/>
      <c r="V847" s="137" t="n"/>
      <c r="W847" s="137" t="n"/>
      <c r="X847" s="137" t="n"/>
      <c r="Y847" s="137" t="n"/>
      <c r="Z847" s="137" t="n"/>
      <c r="AB847" s="21" t="n"/>
      <c r="AF847" s="22" t="n"/>
      <c r="AG847" s="137" t="n"/>
      <c r="AH847" s="21" t="n"/>
      <c r="AL847" s="22" t="n"/>
      <c r="AM847" s="137" t="n"/>
      <c r="AN847" s="137" t="n"/>
      <c r="AO847" s="137" t="n"/>
      <c r="AP847" s="137" t="n"/>
      <c r="AQ847" s="137" t="n"/>
      <c r="AR847" s="137" t="n"/>
      <c r="AS847" s="137" t="n"/>
    </row>
    <row r="848" hidden="1" outlineLevel="2">
      <c r="A848" s="8" t="n"/>
      <c r="B848" s="14" t="n"/>
      <c r="C848" s="137" t="n"/>
      <c r="D848" s="137" t="n"/>
      <c r="E848" s="137" t="n"/>
      <c r="F848" s="137" t="n"/>
      <c r="G848" s="137" t="n"/>
      <c r="I848" s="23" t="n"/>
      <c r="J848" s="24" t="n"/>
      <c r="K848" s="24" t="n"/>
      <c r="L848" s="24" t="n"/>
      <c r="M848" s="25" t="n"/>
      <c r="N848" s="137" t="n"/>
      <c r="O848" s="23" t="n"/>
      <c r="P848" s="24" t="n"/>
      <c r="Q848" s="24" t="n"/>
      <c r="R848" s="24" t="n"/>
      <c r="S848" s="25" t="n"/>
      <c r="T848" s="137" t="n"/>
      <c r="U848" s="137" t="n"/>
      <c r="V848" s="137" t="n"/>
      <c r="W848" s="137" t="n"/>
      <c r="X848" s="137" t="n"/>
      <c r="Y848" s="137" t="n"/>
      <c r="Z848" s="137" t="n"/>
      <c r="AB848" s="23" t="n"/>
      <c r="AC848" s="24" t="n"/>
      <c r="AD848" s="24" t="n"/>
      <c r="AE848" s="24" t="n"/>
      <c r="AF848" s="25" t="n"/>
      <c r="AG848" s="137" t="n"/>
      <c r="AH848" s="23" t="n"/>
      <c r="AI848" s="24" t="n"/>
      <c r="AJ848" s="24" t="n"/>
      <c r="AK848" s="24" t="n"/>
      <c r="AL848" s="25" t="n"/>
      <c r="AM848" s="137" t="n"/>
      <c r="AN848" s="137" t="n"/>
      <c r="AO848" s="137" t="n"/>
      <c r="AP848" s="137" t="n"/>
      <c r="AQ848" s="137" t="n"/>
      <c r="AR848" s="137" t="n"/>
      <c r="AS848" s="137" t="n"/>
    </row>
    <row r="849" hidden="1" outlineLevel="2">
      <c r="A849" s="8" t="n"/>
      <c r="B849" s="14" t="n"/>
      <c r="C849" s="137" t="n"/>
      <c r="D849" s="137" t="n"/>
      <c r="E849" s="137" t="n"/>
      <c r="F849" s="137" t="n"/>
      <c r="G849" s="137" t="n"/>
      <c r="I849" s="71">
        <f>DADOS_INVOC!$JG$5</f>
        <v/>
      </c>
      <c r="J849" s="16" t="n"/>
      <c r="K849" s="16" t="n"/>
      <c r="L849" s="16" t="n"/>
      <c r="M849" s="17" t="n"/>
      <c r="N849" s="137" t="n"/>
      <c r="O849" s="95" t="n"/>
      <c r="P849" s="17" t="n"/>
      <c r="Q849" s="71">
        <f>DADOS_INVOC!$JI$5</f>
        <v/>
      </c>
      <c r="R849" s="16" t="n"/>
      <c r="S849" s="17" t="n"/>
      <c r="T849" s="137" t="n"/>
      <c r="U849" s="137" t="n"/>
      <c r="V849" s="137" t="n"/>
      <c r="W849" s="137" t="n"/>
      <c r="X849" s="137" t="n"/>
      <c r="Y849" s="137" t="n"/>
      <c r="Z849" s="137" t="n"/>
      <c r="AB849" s="71">
        <f>DADOS_INVOC!$JG$11</f>
        <v/>
      </c>
      <c r="AC849" s="16" t="n"/>
      <c r="AD849" s="16" t="n"/>
      <c r="AE849" s="16" t="n"/>
      <c r="AF849" s="17" t="n"/>
      <c r="AG849" s="137" t="n"/>
      <c r="AH849" s="95" t="n"/>
      <c r="AI849" s="17" t="n"/>
      <c r="AJ849" s="71">
        <f>DADOS_INVOC!$JI$11</f>
        <v/>
      </c>
      <c r="AK849" s="16" t="n"/>
      <c r="AL849" s="17" t="n"/>
      <c r="AM849" s="137" t="n"/>
      <c r="AN849" s="137" t="n"/>
      <c r="AO849" s="137" t="n"/>
      <c r="AP849" s="137" t="n"/>
      <c r="AQ849" s="137" t="n"/>
      <c r="AR849" s="137" t="n"/>
      <c r="AS849" s="137" t="n"/>
    </row>
    <row r="850" hidden="1" outlineLevel="2">
      <c r="A850" s="8" t="n"/>
      <c r="B850" s="14" t="n"/>
      <c r="C850" s="137" t="n"/>
      <c r="D850" s="137" t="n"/>
      <c r="E850" s="137" t="n"/>
      <c r="F850" s="137" t="n"/>
      <c r="G850" s="137" t="n"/>
      <c r="I850" s="95" t="inlineStr">
        <is>
          <t>Sua Ação Completa + a básica dela</t>
        </is>
      </c>
      <c r="J850" s="16" t="n"/>
      <c r="K850" s="16" t="n"/>
      <c r="L850" s="16" t="n"/>
      <c r="M850" s="17" t="n"/>
      <c r="N850" s="137" t="n"/>
      <c r="O850" s="143">
        <f>DADOS_INVOC!$JJ$5</f>
        <v/>
      </c>
      <c r="P850" s="16" t="n"/>
      <c r="Q850" s="16" t="n"/>
      <c r="R850" s="16" t="n"/>
      <c r="S850" s="17" t="n"/>
      <c r="T850" s="137" t="n"/>
      <c r="U850" s="137" t="n"/>
      <c r="V850" s="137" t="n"/>
      <c r="W850" s="137" t="n"/>
      <c r="X850" s="137" t="n"/>
      <c r="Y850" s="137" t="n"/>
      <c r="Z850" s="137" t="n"/>
      <c r="AB850" s="95" t="inlineStr">
        <is>
          <t>Sua Ação Completa + a básica dela</t>
        </is>
      </c>
      <c r="AC850" s="16" t="n"/>
      <c r="AD850" s="16" t="n"/>
      <c r="AE850" s="16" t="n"/>
      <c r="AF850" s="17" t="n"/>
      <c r="AG850" s="137" t="n"/>
      <c r="AH850" s="143">
        <f>DADOS_INVOC!$JJ$11</f>
        <v/>
      </c>
      <c r="AI850" s="16" t="n"/>
      <c r="AJ850" s="16" t="n"/>
      <c r="AK850" s="16" t="n"/>
      <c r="AL850" s="17" t="n"/>
      <c r="AM850" s="137" t="n"/>
      <c r="AN850" s="137" t="n"/>
      <c r="AO850" s="137" t="n"/>
      <c r="AP850" s="137" t="n"/>
      <c r="AQ850" s="137" t="n"/>
      <c r="AR850" s="137" t="n"/>
      <c r="AS850" s="137" t="n"/>
    </row>
    <row r="851">
      <c r="A851" s="8" t="n"/>
      <c r="B851" s="14" t="n"/>
      <c r="C851" s="137" t="n"/>
      <c r="D851" s="137" t="n"/>
      <c r="E851" s="137" t="n"/>
      <c r="F851" s="137" t="n"/>
      <c r="G851" s="137" t="n"/>
      <c r="H851" s="137" t="n"/>
      <c r="I851" s="137" t="n"/>
      <c r="J851" s="137" t="n"/>
      <c r="K851" s="137" t="n"/>
      <c r="L851" s="137" t="n"/>
      <c r="M851" s="137" t="n"/>
      <c r="N851" s="137" t="n"/>
      <c r="O851" s="137" t="n"/>
      <c r="P851" s="137" t="n"/>
      <c r="Q851" s="137" t="n"/>
      <c r="R851" s="137" t="n"/>
      <c r="S851" s="137" t="n"/>
      <c r="T851" s="137" t="n"/>
      <c r="U851" s="137" t="n"/>
      <c r="V851" s="137" t="n"/>
      <c r="W851" s="137" t="n"/>
      <c r="X851" s="137" t="n"/>
      <c r="Y851" s="137"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37" t="n"/>
      <c r="AS851" s="137" t="n"/>
    </row>
    <row r="852">
      <c r="A852" s="8" t="n"/>
      <c r="B852" s="14" t="n"/>
      <c r="C852" s="137" t="n"/>
      <c r="D852" s="137" t="n"/>
      <c r="E852" s="137" t="n"/>
      <c r="F852" s="137" t="n"/>
      <c r="G852" s="137" t="n"/>
      <c r="H852" s="137" t="n"/>
      <c r="I852" s="137" t="n"/>
      <c r="J852" s="137" t="n"/>
      <c r="K852" s="137" t="n"/>
      <c r="L852" s="137" t="n"/>
      <c r="M852" s="137" t="n"/>
      <c r="N852" s="137" t="n"/>
      <c r="O852" s="137" t="n"/>
      <c r="P852" s="137" t="n"/>
      <c r="Q852" s="137" t="n"/>
      <c r="R852" s="137" t="n"/>
      <c r="S852" s="137" t="n"/>
      <c r="T852" s="137" t="n"/>
      <c r="U852" s="137" t="n"/>
      <c r="V852" s="137" t="n"/>
      <c r="W852" s="137" t="n"/>
      <c r="X852" s="137" t="n"/>
      <c r="Y852" s="137" t="n"/>
      <c r="Z852" s="137" t="n"/>
      <c r="AA852" s="137" t="n"/>
      <c r="AB852" s="137" t="n"/>
      <c r="AC852" s="137" t="n"/>
      <c r="AD852" s="137" t="n"/>
      <c r="AE852" s="137" t="n"/>
      <c r="AF852" s="137" t="n"/>
      <c r="AG852" s="137" t="n"/>
      <c r="AH852" s="137" t="n"/>
      <c r="AI852" s="137" t="n"/>
      <c r="AJ852" s="137" t="n"/>
      <c r="AK852" s="137" t="n"/>
      <c r="AL852" s="137" t="n"/>
      <c r="AM852" s="137" t="n"/>
      <c r="AN852" s="137" t="n"/>
      <c r="AO852" s="137" t="n"/>
      <c r="AP852" s="137" t="n"/>
      <c r="AQ852" s="137" t="n"/>
      <c r="AR852" s="137" t="n"/>
      <c r="AS852" s="137" t="n"/>
    </row>
    <row r="853">
      <c r="A853" s="8" t="n"/>
      <c r="B853" s="14" t="n"/>
      <c r="C853" s="137" t="n"/>
      <c r="D853" s="137" t="n"/>
      <c r="E853" s="137" t="n"/>
      <c r="F853" s="137" t="n"/>
      <c r="G853" s="137" t="n"/>
      <c r="H853" s="151" t="n">
        <v>5</v>
      </c>
      <c r="I853" s="152" t="n">
        <v>5</v>
      </c>
      <c r="J853" s="55">
        <f>DADOS_INVOC!$HG$6</f>
        <v/>
      </c>
      <c r="K853" s="19" t="n"/>
      <c r="L853" s="19" t="n"/>
      <c r="M853" s="19" t="n"/>
      <c r="N853" s="19" t="n"/>
      <c r="O853" s="19" t="n"/>
      <c r="P853" s="19" t="n"/>
      <c r="Q853" s="19" t="n"/>
      <c r="R853" s="19" t="n"/>
      <c r="S853" s="19" t="n"/>
      <c r="T853" s="19" t="n"/>
      <c r="U853" s="19" t="n"/>
      <c r="V853" s="19" t="n"/>
      <c r="W853" s="19" t="n"/>
      <c r="X853" s="19" t="n"/>
      <c r="Y853" s="20" t="n"/>
      <c r="Z853" s="137" t="n"/>
      <c r="AA853" s="151" t="n">
        <v>11</v>
      </c>
      <c r="AB853" s="152" t="n">
        <v>11</v>
      </c>
      <c r="AC853" s="55">
        <f>DADOS_INVOC!$HG$12</f>
        <v/>
      </c>
      <c r="AD853" s="19" t="n"/>
      <c r="AE853" s="19" t="n"/>
      <c r="AF853" s="19" t="n"/>
      <c r="AG853" s="19" t="n"/>
      <c r="AH853" s="19" t="n"/>
      <c r="AI853" s="19" t="n"/>
      <c r="AJ853" s="19" t="n"/>
      <c r="AK853" s="19" t="n"/>
      <c r="AL853" s="19" t="n"/>
      <c r="AM853" s="19" t="n"/>
      <c r="AN853" s="19" t="n"/>
      <c r="AO853" s="19" t="n"/>
      <c r="AP853" s="19" t="n"/>
      <c r="AQ853" s="19" t="n"/>
      <c r="AR853" s="20" t="n"/>
      <c r="AS853" s="137" t="n"/>
    </row>
    <row r="854">
      <c r="A854" s="8" t="n"/>
      <c r="B854" s="14" t="n"/>
      <c r="C854" s="137" t="n"/>
      <c r="D854" s="137" t="n"/>
      <c r="E854" s="137" t="n"/>
      <c r="F854" s="137" t="n"/>
      <c r="G854" s="137" t="n"/>
      <c r="I854" s="128" t="n"/>
      <c r="J854" s="23" t="n"/>
      <c r="K854" s="24" t="n"/>
      <c r="L854" s="24" t="n"/>
      <c r="M854" s="24" t="n"/>
      <c r="N854" s="24" t="n"/>
      <c r="O854" s="24" t="n"/>
      <c r="P854" s="24" t="n"/>
      <c r="Q854" s="24" t="n"/>
      <c r="R854" s="24" t="n"/>
      <c r="S854" s="24" t="n"/>
      <c r="T854" s="24" t="n"/>
      <c r="U854" s="24" t="n"/>
      <c r="V854" s="24" t="n"/>
      <c r="W854" s="24" t="n"/>
      <c r="X854" s="24" t="n"/>
      <c r="Y854" s="25" t="n"/>
      <c r="Z854" s="137" t="n"/>
      <c r="AB854" s="128" t="n"/>
      <c r="AC854" s="23" t="n"/>
      <c r="AD854" s="24" t="n"/>
      <c r="AE854" s="24" t="n"/>
      <c r="AF854" s="24" t="n"/>
      <c r="AG854" s="24" t="n"/>
      <c r="AH854" s="24" t="n"/>
      <c r="AI854" s="24" t="n"/>
      <c r="AJ854" s="24" t="n"/>
      <c r="AK854" s="24" t="n"/>
      <c r="AL854" s="24" t="n"/>
      <c r="AM854" s="24" t="n"/>
      <c r="AN854" s="24" t="n"/>
      <c r="AO854" s="24" t="n"/>
      <c r="AP854" s="24" t="n"/>
      <c r="AQ854" s="24" t="n"/>
      <c r="AR854" s="25" t="n"/>
      <c r="AS854" s="137" t="n"/>
    </row>
    <row r="855" hidden="1" outlineLevel="1">
      <c r="A855" s="8" t="n"/>
      <c r="B855" s="14" t="n"/>
      <c r="C855" s="137" t="n"/>
      <c r="D855" s="137" t="n"/>
      <c r="E855" s="137" t="n"/>
      <c r="F855" s="137" t="n"/>
      <c r="G855" s="137" t="n"/>
      <c r="H855" s="153">
        <f>DADOS_INVOC!$HH$6</f>
        <v/>
      </c>
      <c r="I855" s="137" t="n"/>
      <c r="J855" s="137" t="n"/>
      <c r="K855" s="137" t="n"/>
      <c r="L855" s="137" t="n"/>
      <c r="M855" s="137" t="n"/>
      <c r="N855" s="137" t="n"/>
      <c r="O855" s="137" t="n"/>
      <c r="P855" s="137" t="n"/>
      <c r="Q855" s="137" t="n"/>
      <c r="R855" s="137" t="n"/>
      <c r="S855" s="137" t="n"/>
      <c r="T855" s="137" t="n"/>
      <c r="U855" s="137" t="n"/>
      <c r="V855" s="137" t="n"/>
      <c r="W855" s="137" t="n"/>
      <c r="X855" s="137" t="n"/>
      <c r="Y855" s="137" t="n"/>
      <c r="Z855" s="137" t="n"/>
      <c r="AA855" s="153">
        <f>DADOS_INVOC!$HH$12</f>
        <v/>
      </c>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37" t="n"/>
      <c r="AS855" s="137" t="n"/>
    </row>
    <row r="856" hidden="1" outlineLevel="1">
      <c r="A856" s="8" t="n"/>
      <c r="B856" s="14" t="n"/>
      <c r="C856" s="137" t="n"/>
      <c r="D856" s="137" t="n"/>
      <c r="E856" s="137" t="n"/>
      <c r="F856" s="137" t="n"/>
      <c r="G856" s="137" t="n"/>
      <c r="I856" s="56" t="inlineStr">
        <is>
          <t>NOME</t>
        </is>
      </c>
      <c r="J856" s="16" t="n"/>
      <c r="K856" s="16" t="n"/>
      <c r="L856" s="16" t="n"/>
      <c r="M856" s="17" t="n"/>
      <c r="N856" s="137" t="n"/>
      <c r="O856" s="56" t="inlineStr">
        <is>
          <t>NÍVEL</t>
        </is>
      </c>
      <c r="P856" s="56" t="inlineStr">
        <is>
          <t>CLASSE</t>
        </is>
      </c>
      <c r="Q856" s="56" t="inlineStr">
        <is>
          <t>MAESTRIA</t>
        </is>
      </c>
      <c r="R856" s="56" t="inlineStr">
        <is>
          <t>ENTRADA</t>
        </is>
      </c>
      <c r="S856" s="56" t="inlineStr">
        <is>
          <t>RETORNO</t>
        </is>
      </c>
      <c r="T856" s="137" t="n"/>
      <c r="U856" s="56" t="inlineStr">
        <is>
          <t>VIDA ATUAL</t>
        </is>
      </c>
      <c r="V856" s="56" t="inlineStr">
        <is>
          <t>VIDA MÁXIMA</t>
        </is>
      </c>
      <c r="W856" s="56" t="inlineStr">
        <is>
          <t>TEMPORÁRIA</t>
        </is>
      </c>
      <c r="X856" s="56" t="inlineStr">
        <is>
          <t>± PERDA / GANHO</t>
        </is>
      </c>
      <c r="Y856" s="56">
        <f>DADOS_INVOC!$IB$6</f>
        <v/>
      </c>
      <c r="Z856" s="137" t="n"/>
      <c r="AB856" s="56" t="inlineStr">
        <is>
          <t>NOME</t>
        </is>
      </c>
      <c r="AC856" s="16" t="n"/>
      <c r="AD856" s="16" t="n"/>
      <c r="AE856" s="16" t="n"/>
      <c r="AF856" s="17" t="n"/>
      <c r="AG856" s="137" t="n"/>
      <c r="AH856" s="56" t="inlineStr">
        <is>
          <t>NÍVEL</t>
        </is>
      </c>
      <c r="AI856" s="56" t="inlineStr">
        <is>
          <t>CLASSE</t>
        </is>
      </c>
      <c r="AJ856" s="56" t="inlineStr">
        <is>
          <t>MAESTRIA</t>
        </is>
      </c>
      <c r="AK856" s="56" t="inlineStr">
        <is>
          <t>ENTRADA</t>
        </is>
      </c>
      <c r="AL856" s="56" t="inlineStr">
        <is>
          <t>RETORNO</t>
        </is>
      </c>
      <c r="AM856" s="137" t="n"/>
      <c r="AN856" s="56" t="inlineStr">
        <is>
          <t>VIDA ATUAL</t>
        </is>
      </c>
      <c r="AO856" s="56" t="inlineStr">
        <is>
          <t>VIDA MÁXIMA</t>
        </is>
      </c>
      <c r="AP856" s="56" t="inlineStr">
        <is>
          <t>TEMPORÁRIA</t>
        </is>
      </c>
      <c r="AQ856" s="56" t="inlineStr">
        <is>
          <t>± PERDA / GANHO</t>
        </is>
      </c>
      <c r="AR856" s="56">
        <f>DADOS_INVOC!$IB$12</f>
        <v/>
      </c>
      <c r="AS856" s="137" t="n"/>
    </row>
    <row r="857" hidden="1" outlineLevel="1">
      <c r="A857" s="8" t="n"/>
      <c r="B857" s="14" t="n"/>
      <c r="C857" s="137" t="n"/>
      <c r="D857" s="137" t="n"/>
      <c r="E857" s="137" t="n"/>
      <c r="F857" s="137" t="n"/>
      <c r="G857" s="137" t="n"/>
      <c r="I857" s="87" t="n"/>
      <c r="J857" s="19" t="n"/>
      <c r="K857" s="19" t="n"/>
      <c r="L857" s="19" t="n"/>
      <c r="M857" s="20" t="n"/>
      <c r="N857" s="137" t="n"/>
      <c r="O857" s="105">
        <f>DADOS_INVOC!$FO$6</f>
        <v/>
      </c>
      <c r="P857" s="105">
        <f>DADOS_INVOC!$FP$6</f>
        <v/>
      </c>
      <c r="Q857" s="105">
        <f>DADOS_INVOC!$HI$6</f>
        <v/>
      </c>
      <c r="R857" s="105">
        <f>DADOS_INVOC!$HJ$6</f>
        <v/>
      </c>
      <c r="S857" s="105">
        <f>DADOS_INVOC!$HK$6</f>
        <v/>
      </c>
      <c r="T857" s="137" t="n"/>
      <c r="U857" s="105">
        <f>DADOS_INVOC!$GG$6</f>
        <v/>
      </c>
      <c r="V857" s="105">
        <f>DADOS_INVOC!$GF$6</f>
        <v/>
      </c>
      <c r="W857" s="105" t="n"/>
      <c r="X857" s="105" t="n"/>
      <c r="Y857" s="105" t="n"/>
      <c r="Z857" s="137" t="n"/>
      <c r="AB857" s="87" t="n"/>
      <c r="AC857" s="19" t="n"/>
      <c r="AD857" s="19" t="n"/>
      <c r="AE857" s="19" t="n"/>
      <c r="AF857" s="20" t="n"/>
      <c r="AG857" s="137" t="n"/>
      <c r="AH857" s="105">
        <f>DADOS_INVOC!$FO$12</f>
        <v/>
      </c>
      <c r="AI857" s="105">
        <f>DADOS_INVOC!$FP$12</f>
        <v/>
      </c>
      <c r="AJ857" s="105">
        <f>DADOS_INVOC!$HI$12</f>
        <v/>
      </c>
      <c r="AK857" s="105">
        <f>DADOS_INVOC!$HJ$12</f>
        <v/>
      </c>
      <c r="AL857" s="105">
        <f>DADOS_INVOC!$HK$12</f>
        <v/>
      </c>
      <c r="AM857" s="137" t="n"/>
      <c r="AN857" s="105">
        <f>DADOS_INVOC!$GG$12</f>
        <v/>
      </c>
      <c r="AO857" s="105">
        <f>DADOS_INVOC!$GF$12</f>
        <v/>
      </c>
      <c r="AP857" s="105" t="n"/>
      <c r="AQ857" s="105" t="n"/>
      <c r="AR857" s="105" t="n"/>
      <c r="AS857" s="137" t="n"/>
    </row>
    <row r="858" hidden="1" outlineLevel="1">
      <c r="A858" s="8" t="n"/>
      <c r="B858" s="14" t="n"/>
      <c r="C858" s="137" t="n"/>
      <c r="D858" s="137" t="n"/>
      <c r="E858" s="137" t="n"/>
      <c r="F858" s="137" t="n"/>
      <c r="G858" s="137" t="n"/>
      <c r="I858" s="23" t="n"/>
      <c r="J858" s="24" t="n"/>
      <c r="K858" s="24" t="n"/>
      <c r="L858" s="24" t="n"/>
      <c r="M858" s="25" t="n"/>
      <c r="N858" s="137" t="n"/>
      <c r="O858" s="128" t="n"/>
      <c r="P858" s="128" t="n"/>
      <c r="Q858" s="128" t="n"/>
      <c r="R858" s="128" t="n"/>
      <c r="S858" s="128" t="n"/>
      <c r="T858" s="137" t="n"/>
      <c r="U858" s="128" t="n"/>
      <c r="V858" s="128" t="n"/>
      <c r="W858" s="128" t="n"/>
      <c r="X858" s="128" t="n"/>
      <c r="Y858" s="128" t="n"/>
      <c r="Z858" s="137" t="n"/>
      <c r="AB858" s="23" t="n"/>
      <c r="AC858" s="24" t="n"/>
      <c r="AD858" s="24" t="n"/>
      <c r="AE858" s="24" t="n"/>
      <c r="AF858" s="25" t="n"/>
      <c r="AG858" s="137" t="n"/>
      <c r="AH858" s="128" t="n"/>
      <c r="AI858" s="128" t="n"/>
      <c r="AJ858" s="128" t="n"/>
      <c r="AK858" s="128" t="n"/>
      <c r="AL858" s="128" t="n"/>
      <c r="AM858" s="137" t="n"/>
      <c r="AN858" s="128" t="n"/>
      <c r="AO858" s="128" t="n"/>
      <c r="AP858" s="128" t="n"/>
      <c r="AQ858" s="128" t="n"/>
      <c r="AR858" s="128" t="n"/>
      <c r="AS858" s="137" t="n"/>
    </row>
    <row r="859" hidden="1" outlineLevel="1">
      <c r="A859" s="8" t="n"/>
      <c r="B859" s="14" t="n"/>
      <c r="C859" s="137" t="n"/>
      <c r="D859" s="137" t="n"/>
      <c r="E859" s="137" t="n"/>
      <c r="F859" s="137" t="n"/>
      <c r="G859" s="137" t="n"/>
      <c r="I859" s="154" t="inlineStr">
        <is>
          <t>FOTO
式神</t>
        </is>
      </c>
      <c r="J859" s="19" t="n"/>
      <c r="K859" s="19" t="n"/>
      <c r="L859" s="19" t="n"/>
      <c r="M859" s="20" t="n"/>
      <c r="N859" s="137" t="n"/>
      <c r="O859" s="137" t="n"/>
      <c r="P859" s="137" t="n"/>
      <c r="Q859" s="137" t="n"/>
      <c r="R859" s="137" t="n"/>
      <c r="S859" s="137" t="n"/>
      <c r="T859" s="137" t="n"/>
      <c r="U859" s="144">
        <f>IFERROR(SPARKLINE(DADOS_INVOC!$GH$6,{"charttype","bar";"max",MAX(1,DADOS_INVOC!$GF$6);"color1",DADOS_INVOC!$DB$12}),"")</f>
        <v/>
      </c>
      <c r="V859" s="16" t="n"/>
      <c r="W859" s="16" t="n"/>
      <c r="X859" s="16" t="n"/>
      <c r="Y859" s="17" t="n"/>
      <c r="Z859" s="137" t="n"/>
      <c r="AB859" s="154" t="inlineStr">
        <is>
          <t>FOTO
式神</t>
        </is>
      </c>
      <c r="AC859" s="19" t="n"/>
      <c r="AD859" s="19" t="n"/>
      <c r="AE859" s="19" t="n"/>
      <c r="AF859" s="20" t="n"/>
      <c r="AG859" s="137" t="n"/>
      <c r="AH859" s="137" t="n"/>
      <c r="AI859" s="137" t="n"/>
      <c r="AJ859" s="137" t="n"/>
      <c r="AK859" s="137" t="n"/>
      <c r="AL859" s="137" t="n"/>
      <c r="AM859" s="137" t="n"/>
      <c r="AN859" s="144">
        <f>IFERROR(SPARKLINE(DADOS_INVOC!$GH$12,{"charttype","bar";"max",MAX(1,DADOS_INVOC!$GF$12);"color1",DADOS_INVOC!$DB$12}),"")</f>
        <v/>
      </c>
      <c r="AO859" s="16" t="n"/>
      <c r="AP859" s="16" t="n"/>
      <c r="AQ859" s="16" t="n"/>
      <c r="AR859" s="17" t="n"/>
      <c r="AS859" s="137" t="n"/>
    </row>
    <row r="860" hidden="1" outlineLevel="1">
      <c r="A860" s="8" t="n"/>
      <c r="B860" s="14" t="n"/>
      <c r="C860" s="137" t="n"/>
      <c r="D860" s="137" t="n"/>
      <c r="E860" s="137" t="n"/>
      <c r="F860" s="137" t="n"/>
      <c r="G860" s="137" t="n"/>
      <c r="I860" s="21" t="n"/>
      <c r="M860" s="22" t="n"/>
      <c r="N860" s="137" t="n"/>
      <c r="O860" s="56">
        <f>DADOS_INVOC!$HL$6</f>
        <v/>
      </c>
      <c r="P860" s="16" t="n"/>
      <c r="Q860" s="16" t="n"/>
      <c r="R860" s="16" t="n"/>
      <c r="S860" s="17" t="n"/>
      <c r="T860" s="137" t="n"/>
      <c r="U860" s="137" t="n"/>
      <c r="V860" s="137" t="n"/>
      <c r="W860" s="137" t="n"/>
      <c r="X860" s="137" t="n"/>
      <c r="Y860" s="137" t="n"/>
      <c r="Z860" s="137" t="n"/>
      <c r="AB860" s="21" t="n"/>
      <c r="AF860" s="22" t="n"/>
      <c r="AG860" s="137" t="n"/>
      <c r="AH860" s="56">
        <f>DADOS_INVOC!$HL$12</f>
        <v/>
      </c>
      <c r="AI860" s="16" t="n"/>
      <c r="AJ860" s="16" t="n"/>
      <c r="AK860" s="16" t="n"/>
      <c r="AL860" s="17" t="n"/>
      <c r="AM860" s="137" t="n"/>
      <c r="AN860" s="137" t="n"/>
      <c r="AO860" s="137" t="n"/>
      <c r="AP860" s="137" t="n"/>
      <c r="AQ860" s="137" t="n"/>
      <c r="AR860" s="137" t="n"/>
      <c r="AS860" s="137" t="n"/>
    </row>
    <row r="861" hidden="1" outlineLevel="1">
      <c r="A861" s="8" t="n"/>
      <c r="B861" s="14" t="n"/>
      <c r="C861" s="137" t="n"/>
      <c r="D861" s="137" t="n"/>
      <c r="E861" s="137" t="n"/>
      <c r="F861" s="137" t="n"/>
      <c r="G861" s="137" t="n"/>
      <c r="I861" s="21" t="n"/>
      <c r="M861" s="22" t="n"/>
      <c r="N861" s="137" t="n"/>
      <c r="O861" s="56" t="inlineStr">
        <is>
          <t>FOR</t>
        </is>
      </c>
      <c r="P861" s="56" t="inlineStr">
        <is>
          <t>DES</t>
        </is>
      </c>
      <c r="Q861" s="56" t="inlineStr">
        <is>
          <t>CON</t>
        </is>
      </c>
      <c r="R861" s="56" t="inlineStr">
        <is>
          <t>INT</t>
        </is>
      </c>
      <c r="S861" s="56" t="inlineStr">
        <is>
          <t>ESS</t>
        </is>
      </c>
      <c r="T861" s="137" t="n"/>
      <c r="U861" s="56" t="inlineStr">
        <is>
          <t>ALMA</t>
        </is>
      </c>
      <c r="V861" s="56" t="inlineStr">
        <is>
          <t>INTEGRIDADE ATUAL</t>
        </is>
      </c>
      <c r="W861" s="56" t="inlineStr">
        <is>
          <t>INTEGRIDADE MÁXIMA</t>
        </is>
      </c>
      <c r="X861" s="56" t="inlineStr">
        <is>
          <t>ESTÁGIO</t>
        </is>
      </c>
      <c r="Y861" s="17" t="n"/>
      <c r="Z861" s="137" t="n"/>
      <c r="AB861" s="21" t="n"/>
      <c r="AF861" s="22" t="n"/>
      <c r="AG861" s="137" t="n"/>
      <c r="AH861" s="56" t="inlineStr">
        <is>
          <t>FOR</t>
        </is>
      </c>
      <c r="AI861" s="56" t="inlineStr">
        <is>
          <t>DES</t>
        </is>
      </c>
      <c r="AJ861" s="56" t="inlineStr">
        <is>
          <t>CON</t>
        </is>
      </c>
      <c r="AK861" s="56" t="inlineStr">
        <is>
          <t>INT</t>
        </is>
      </c>
      <c r="AL861" s="56" t="inlineStr">
        <is>
          <t>ESS</t>
        </is>
      </c>
      <c r="AM861" s="137" t="n"/>
      <c r="AN861" s="56" t="inlineStr">
        <is>
          <t>ALMA</t>
        </is>
      </c>
      <c r="AO861" s="56" t="inlineStr">
        <is>
          <t>INTEGRIDADE ATUAL</t>
        </is>
      </c>
      <c r="AP861" s="56" t="inlineStr">
        <is>
          <t>INTEGRIDADE MÁXIMA</t>
        </is>
      </c>
      <c r="AQ861" s="56" t="inlineStr">
        <is>
          <t>ESTÁGIO</t>
        </is>
      </c>
      <c r="AR861" s="17" t="n"/>
      <c r="AS861" s="137" t="n"/>
    </row>
    <row r="862" hidden="1" outlineLevel="1">
      <c r="A862" s="8" t="n"/>
      <c r="B862" s="14" t="n"/>
      <c r="C862" s="137" t="n"/>
      <c r="D862" s="137" t="n"/>
      <c r="E862" s="137" t="n"/>
      <c r="F862" s="137" t="n"/>
      <c r="G862" s="137" t="n"/>
      <c r="I862" s="21" t="n"/>
      <c r="M862" s="22" t="n"/>
      <c r="N862" s="137" t="n"/>
      <c r="O862" s="105">
        <f>DADOS_INVOC!$FR$6</f>
        <v/>
      </c>
      <c r="P862" s="105">
        <f>DADOS_INVOC!$FS$6</f>
        <v/>
      </c>
      <c r="Q862" s="105">
        <f>DADOS_INVOC!$FT$6</f>
        <v/>
      </c>
      <c r="R862" s="105">
        <f>DADOS_INVOC!$FU$6</f>
        <v/>
      </c>
      <c r="S862" s="105">
        <f>DADOS_INVOC!$FV$6</f>
        <v/>
      </c>
      <c r="T862" s="137" t="n"/>
      <c r="U862" s="95" t="inlineStr">
        <is>
          <t>Com alma</t>
        </is>
      </c>
      <c r="V862" s="105">
        <f>DADOS_INVOC!$GJ$6</f>
        <v/>
      </c>
      <c r="W862" s="105">
        <f>DADOS_INVOC!$GL$6</f>
        <v/>
      </c>
      <c r="X862" s="95">
        <f>DADOS_INVOC!$GM$6</f>
        <v/>
      </c>
      <c r="Y862" s="20" t="n"/>
      <c r="Z862" s="137" t="n"/>
      <c r="AB862" s="21" t="n"/>
      <c r="AF862" s="22" t="n"/>
      <c r="AG862" s="137" t="n"/>
      <c r="AH862" s="105">
        <f>DADOS_INVOC!$FR$12</f>
        <v/>
      </c>
      <c r="AI862" s="105">
        <f>DADOS_INVOC!$FS$12</f>
        <v/>
      </c>
      <c r="AJ862" s="105">
        <f>DADOS_INVOC!$FT$12</f>
        <v/>
      </c>
      <c r="AK862" s="105">
        <f>DADOS_INVOC!$FU$12</f>
        <v/>
      </c>
      <c r="AL862" s="105">
        <f>DADOS_INVOC!$FV$12</f>
        <v/>
      </c>
      <c r="AM862" s="137" t="n"/>
      <c r="AN862" s="95" t="inlineStr">
        <is>
          <t>Com alma</t>
        </is>
      </c>
      <c r="AO862" s="105">
        <f>DADOS_INVOC!$GJ$12</f>
        <v/>
      </c>
      <c r="AP862" s="105">
        <f>DADOS_INVOC!$GL$12</f>
        <v/>
      </c>
      <c r="AQ862" s="95">
        <f>DADOS_INVOC!$GM$12</f>
        <v/>
      </c>
      <c r="AR862" s="20" t="n"/>
      <c r="AS862" s="137" t="n"/>
    </row>
    <row r="863" hidden="1" outlineLevel="1">
      <c r="A863" s="8" t="n"/>
      <c r="B863" s="14" t="n"/>
      <c r="C863" s="137" t="n"/>
      <c r="D863" s="137" t="n"/>
      <c r="E863" s="137" t="n"/>
      <c r="F863" s="137" t="n"/>
      <c r="G863" s="137" t="n"/>
      <c r="I863" s="21" t="n"/>
      <c r="M863" s="22" t="n"/>
      <c r="N863" s="137" t="n"/>
      <c r="O863" s="128" t="n"/>
      <c r="P863" s="128" t="n"/>
      <c r="Q863" s="128" t="n"/>
      <c r="R863" s="128" t="n"/>
      <c r="S863" s="128" t="n"/>
      <c r="T863" s="137" t="n"/>
      <c r="U863" s="128" t="n"/>
      <c r="V863" s="128" t="n"/>
      <c r="W863" s="128" t="n"/>
      <c r="X863" s="23" t="n"/>
      <c r="Y863" s="25" t="n"/>
      <c r="Z863" s="137" t="n"/>
      <c r="AB863" s="21" t="n"/>
      <c r="AF863" s="22" t="n"/>
      <c r="AG863" s="137" t="n"/>
      <c r="AH863" s="128" t="n"/>
      <c r="AI863" s="128" t="n"/>
      <c r="AJ863" s="128" t="n"/>
      <c r="AK863" s="128" t="n"/>
      <c r="AL863" s="128" t="n"/>
      <c r="AM863" s="137" t="n"/>
      <c r="AN863" s="128" t="n"/>
      <c r="AO863" s="128" t="n"/>
      <c r="AP863" s="128" t="n"/>
      <c r="AQ863" s="23" t="n"/>
      <c r="AR863" s="25" t="n"/>
      <c r="AS863" s="137" t="n"/>
    </row>
    <row r="864" hidden="1" outlineLevel="1">
      <c r="A864" s="8" t="n"/>
      <c r="B864" s="14" t="n"/>
      <c r="C864" s="137" t="n"/>
      <c r="D864" s="137" t="n"/>
      <c r="E864" s="137" t="n"/>
      <c r="F864" s="137" t="n"/>
      <c r="G864" s="137" t="n"/>
      <c r="I864" s="21" t="n"/>
      <c r="M864" s="22" t="n"/>
      <c r="N864" s="137" t="n"/>
      <c r="O864" s="155" t="n">
        <v>0</v>
      </c>
      <c r="P864" s="155" t="n">
        <v>0</v>
      </c>
      <c r="Q864" s="155" t="n">
        <v>0</v>
      </c>
      <c r="R864" s="155" t="n">
        <v>0</v>
      </c>
      <c r="S864" s="155" t="n">
        <v>0</v>
      </c>
      <c r="T864" s="137" t="n"/>
      <c r="U864" s="137" t="n"/>
      <c r="V864" s="137" t="n"/>
      <c r="W864" s="137" t="n"/>
      <c r="X864" s="137" t="n"/>
      <c r="Y864" s="137" t="n"/>
      <c r="Z864" s="137" t="n"/>
      <c r="AB864" s="21" t="n"/>
      <c r="AF864" s="22" t="n"/>
      <c r="AG864" s="137" t="n"/>
      <c r="AH864" s="155" t="n">
        <v>0</v>
      </c>
      <c r="AI864" s="155" t="n">
        <v>0</v>
      </c>
      <c r="AJ864" s="155" t="n">
        <v>0</v>
      </c>
      <c r="AK864" s="155" t="n">
        <v>0</v>
      </c>
      <c r="AL864" s="155" t="n">
        <v>0</v>
      </c>
      <c r="AM864" s="137" t="n"/>
      <c r="AN864" s="137" t="n"/>
      <c r="AO864" s="137" t="n"/>
      <c r="AP864" s="137" t="n"/>
      <c r="AQ864" s="137" t="n"/>
      <c r="AR864" s="137" t="n"/>
      <c r="AS864" s="137" t="n"/>
    </row>
    <row r="865" hidden="1" outlineLevel="1">
      <c r="A865" s="8" t="n"/>
      <c r="B865" s="14" t="n"/>
      <c r="C865" s="137" t="n"/>
      <c r="D865" s="137" t="n"/>
      <c r="E865" s="137" t="n"/>
      <c r="F865" s="137" t="n"/>
      <c r="G865" s="137" t="n"/>
      <c r="I865" s="21" t="n"/>
      <c r="M865" s="22" t="n"/>
      <c r="N865" s="137" t="n"/>
      <c r="O865" s="156" t="n">
        <v>0</v>
      </c>
      <c r="P865" s="156" t="n">
        <v>0</v>
      </c>
      <c r="Q865" s="156" t="n">
        <v>0</v>
      </c>
      <c r="R865" s="156" t="n">
        <v>0</v>
      </c>
      <c r="S865" s="156" t="n">
        <v>0</v>
      </c>
      <c r="T865" s="137" t="n"/>
      <c r="U865" s="56" t="inlineStr">
        <is>
          <t>CONDIÇÕES E USOS GASTOS</t>
        </is>
      </c>
      <c r="V865" s="16" t="n"/>
      <c r="W865" s="16" t="n"/>
      <c r="X865" s="16" t="n"/>
      <c r="Y865" s="17" t="n"/>
      <c r="Z865" s="137" t="n"/>
      <c r="AB865" s="21" t="n"/>
      <c r="AF865" s="22" t="n"/>
      <c r="AG865" s="137" t="n"/>
      <c r="AH865" s="156" t="n">
        <v>0</v>
      </c>
      <c r="AI865" s="156" t="n">
        <v>0</v>
      </c>
      <c r="AJ865" s="156" t="n">
        <v>0</v>
      </c>
      <c r="AK865" s="156" t="n">
        <v>0</v>
      </c>
      <c r="AL865" s="156" t="n">
        <v>0</v>
      </c>
      <c r="AM865" s="137" t="n"/>
      <c r="AN865" s="56" t="inlineStr">
        <is>
          <t>CONDIÇÕES E USOS GASTOS</t>
        </is>
      </c>
      <c r="AO865" s="16" t="n"/>
      <c r="AP865" s="16" t="n"/>
      <c r="AQ865" s="16" t="n"/>
      <c r="AR865" s="17" t="n"/>
      <c r="AS865" s="137" t="n"/>
    </row>
    <row r="866" hidden="1" outlineLevel="1">
      <c r="A866" s="8" t="n"/>
      <c r="B866" s="14" t="n"/>
      <c r="C866" s="137" t="n"/>
      <c r="D866" s="137" t="n"/>
      <c r="E866" s="137" t="n"/>
      <c r="F866" s="137" t="n"/>
      <c r="G866" s="137" t="n"/>
      <c r="I866" s="21" t="n"/>
      <c r="M866" s="22" t="n"/>
      <c r="N866" s="137" t="n"/>
      <c r="O866" s="137" t="n"/>
      <c r="P866" s="137" t="n"/>
      <c r="Q866" s="137" t="n"/>
      <c r="R866" s="137" t="n"/>
      <c r="S866" s="137" t="n"/>
      <c r="T866" s="137" t="n"/>
      <c r="U866" s="61" t="n"/>
      <c r="V866" s="19" t="n"/>
      <c r="W866" s="19" t="n"/>
      <c r="X866" s="19" t="n"/>
      <c r="Y866" s="20" t="n"/>
      <c r="Z866" s="137" t="n"/>
      <c r="AB866" s="21" t="n"/>
      <c r="AF866" s="22" t="n"/>
      <c r="AG866" s="137" t="n"/>
      <c r="AH866" s="137" t="n"/>
      <c r="AI866" s="137" t="n"/>
      <c r="AJ866" s="137" t="n"/>
      <c r="AK866" s="137" t="n"/>
      <c r="AL866" s="137" t="n"/>
      <c r="AM866" s="137" t="n"/>
      <c r="AN866" s="61" t="n"/>
      <c r="AO866" s="19" t="n"/>
      <c r="AP866" s="19" t="n"/>
      <c r="AQ866" s="19" t="n"/>
      <c r="AR866" s="20" t="n"/>
      <c r="AS866" s="137" t="n"/>
    </row>
    <row r="867" hidden="1" outlineLevel="1">
      <c r="A867" s="8" t="n"/>
      <c r="B867" s="14" t="n"/>
      <c r="C867" s="137" t="n"/>
      <c r="D867" s="137" t="n"/>
      <c r="E867" s="137" t="n"/>
      <c r="F867" s="137" t="n"/>
      <c r="G867" s="137" t="n"/>
      <c r="I867" s="21" t="n"/>
      <c r="M867" s="22" t="n"/>
      <c r="N867" s="137" t="n"/>
      <c r="O867" s="56" t="inlineStr">
        <is>
          <t>ATAQUE</t>
        </is>
      </c>
      <c r="P867" s="56" t="inlineStr">
        <is>
          <t>CD</t>
        </is>
      </c>
      <c r="Q867" s="56" t="inlineStr">
        <is>
          <t>DEFESA</t>
        </is>
      </c>
      <c r="R867" s="56" t="inlineStr">
        <is>
          <t>VIDA MÁXIMA</t>
        </is>
      </c>
      <c r="S867" s="56" t="inlineStr">
        <is>
          <t>DESLOCAMENTO</t>
        </is>
      </c>
      <c r="T867" s="137" t="n"/>
      <c r="U867" s="21" t="n"/>
      <c r="Y867" s="22" t="n"/>
      <c r="Z867" s="137" t="n"/>
      <c r="AB867" s="21" t="n"/>
      <c r="AF867" s="22" t="n"/>
      <c r="AG867" s="137" t="n"/>
      <c r="AH867" s="56" t="inlineStr">
        <is>
          <t>ATAQUE</t>
        </is>
      </c>
      <c r="AI867" s="56" t="inlineStr">
        <is>
          <t>CD</t>
        </is>
      </c>
      <c r="AJ867" s="56" t="inlineStr">
        <is>
          <t>DEFESA</t>
        </is>
      </c>
      <c r="AK867" s="56" t="inlineStr">
        <is>
          <t>VIDA MÁXIMA</t>
        </is>
      </c>
      <c r="AL867" s="56" t="inlineStr">
        <is>
          <t>DESLOCAMENTO</t>
        </is>
      </c>
      <c r="AM867" s="137" t="n"/>
      <c r="AN867" s="21" t="n"/>
      <c r="AR867" s="22" t="n"/>
      <c r="AS867" s="137" t="n"/>
    </row>
    <row r="868" hidden="1" outlineLevel="1">
      <c r="A868" s="8" t="n"/>
      <c r="B868" s="14" t="n"/>
      <c r="C868" s="137" t="n"/>
      <c r="D868" s="137" t="n"/>
      <c r="E868" s="137" t="n"/>
      <c r="F868" s="137" t="n"/>
      <c r="G868" s="137" t="n"/>
      <c r="I868" s="21" t="n"/>
      <c r="M868" s="22" t="n"/>
      <c r="N868" s="137" t="n"/>
      <c r="O868" s="105">
        <f>DADOS_INVOC!$HM$6</f>
        <v/>
      </c>
      <c r="P868" s="105">
        <f>DADOS_INVOC!$HN$6</f>
        <v/>
      </c>
      <c r="Q868" s="105">
        <f>DADOS_INVOC!$GD$6</f>
        <v/>
      </c>
      <c r="R868" s="105">
        <f>DADOS_INVOC!$GF$6</f>
        <v/>
      </c>
      <c r="S868" s="105">
        <f>DADOS_INVOC!$HO$6</f>
        <v/>
      </c>
      <c r="T868" s="137" t="n"/>
      <c r="U868" s="23" t="n"/>
      <c r="V868" s="24" t="n"/>
      <c r="W868" s="24" t="n"/>
      <c r="X868" s="24" t="n"/>
      <c r="Y868" s="25" t="n"/>
      <c r="Z868" s="137" t="n"/>
      <c r="AB868" s="21" t="n"/>
      <c r="AF868" s="22" t="n"/>
      <c r="AG868" s="137" t="n"/>
      <c r="AH868" s="105">
        <f>DADOS_INVOC!$HM$12</f>
        <v/>
      </c>
      <c r="AI868" s="105">
        <f>DADOS_INVOC!$HN$12</f>
        <v/>
      </c>
      <c r="AJ868" s="105">
        <f>DADOS_INVOC!$GD$12</f>
        <v/>
      </c>
      <c r="AK868" s="105">
        <f>DADOS_INVOC!$GF$12</f>
        <v/>
      </c>
      <c r="AL868" s="105">
        <f>DADOS_INVOC!$HO$12</f>
        <v/>
      </c>
      <c r="AM868" s="137" t="n"/>
      <c r="AN868" s="23" t="n"/>
      <c r="AO868" s="24" t="n"/>
      <c r="AP868" s="24" t="n"/>
      <c r="AQ868" s="24" t="n"/>
      <c r="AR868" s="25" t="n"/>
      <c r="AS868" s="137" t="n"/>
    </row>
    <row r="869" hidden="1" outlineLevel="1">
      <c r="A869" s="8" t="n"/>
      <c r="B869" s="14" t="n"/>
      <c r="C869" s="137" t="n"/>
      <c r="D869" s="137" t="n"/>
      <c r="E869" s="137" t="n"/>
      <c r="F869" s="137" t="n"/>
      <c r="G869" s="137" t="n"/>
      <c r="I869" s="21" t="n"/>
      <c r="M869" s="22" t="n"/>
      <c r="N869" s="137" t="n"/>
      <c r="O869" s="128" t="n"/>
      <c r="P869" s="128" t="n"/>
      <c r="Q869" s="128" t="n"/>
      <c r="R869" s="128" t="n"/>
      <c r="S869" s="128" t="n"/>
      <c r="T869" s="137" t="n"/>
      <c r="U869" s="137" t="n"/>
      <c r="V869" s="137" t="n"/>
      <c r="W869" s="137" t="n"/>
      <c r="X869" s="137" t="n"/>
      <c r="Y869" s="137" t="n"/>
      <c r="Z869" s="137" t="n"/>
      <c r="AB869" s="21" t="n"/>
      <c r="AF869" s="22" t="n"/>
      <c r="AG869" s="137" t="n"/>
      <c r="AH869" s="128" t="n"/>
      <c r="AI869" s="128" t="n"/>
      <c r="AJ869" s="128" t="n"/>
      <c r="AK869" s="128" t="n"/>
      <c r="AL869" s="128" t="n"/>
      <c r="AM869" s="137" t="n"/>
      <c r="AN869" s="137" t="n"/>
      <c r="AO869" s="137" t="n"/>
      <c r="AP869" s="137" t="n"/>
      <c r="AQ869" s="137" t="n"/>
      <c r="AR869" s="137" t="n"/>
      <c r="AS869" s="137" t="n"/>
    </row>
    <row r="870" hidden="1" outlineLevel="1">
      <c r="A870" s="8" t="n"/>
      <c r="B870" s="14" t="n"/>
      <c r="C870" s="137" t="n"/>
      <c r="D870" s="137" t="n"/>
      <c r="E870" s="137" t="n"/>
      <c r="F870" s="137" t="n"/>
      <c r="G870" s="137" t="n"/>
      <c r="I870" s="21" t="n"/>
      <c r="M870" s="22" t="n"/>
      <c r="N870" s="137" t="n"/>
      <c r="O870" s="156" t="n">
        <v>0</v>
      </c>
      <c r="P870" s="156" t="n">
        <v>0</v>
      </c>
      <c r="Q870" s="156" t="n">
        <v>0</v>
      </c>
      <c r="R870" s="156" t="n">
        <v>0</v>
      </c>
      <c r="S870" s="156" t="n">
        <v>0</v>
      </c>
      <c r="T870" s="137" t="n"/>
      <c r="U870" s="56" t="inlineStr">
        <is>
          <t>ANOTAÇÕES</t>
        </is>
      </c>
      <c r="V870" s="16" t="n"/>
      <c r="W870" s="16" t="n"/>
      <c r="X870" s="16" t="n"/>
      <c r="Y870" s="17" t="n"/>
      <c r="Z870" s="137" t="n"/>
      <c r="AB870" s="21" t="n"/>
      <c r="AF870" s="22" t="n"/>
      <c r="AG870" s="137" t="n"/>
      <c r="AH870" s="156" t="n">
        <v>0</v>
      </c>
      <c r="AI870" s="156" t="n">
        <v>0</v>
      </c>
      <c r="AJ870" s="156" t="n">
        <v>0</v>
      </c>
      <c r="AK870" s="156" t="n">
        <v>0</v>
      </c>
      <c r="AL870" s="156" t="n">
        <v>0</v>
      </c>
      <c r="AM870" s="137" t="n"/>
      <c r="AN870" s="56" t="inlineStr">
        <is>
          <t>ANOTAÇÕES</t>
        </is>
      </c>
      <c r="AO870" s="16" t="n"/>
      <c r="AP870" s="16" t="n"/>
      <c r="AQ870" s="16" t="n"/>
      <c r="AR870" s="17" t="n"/>
      <c r="AS870" s="137" t="n"/>
    </row>
    <row r="871" hidden="1" outlineLevel="1">
      <c r="A871" s="8" t="n"/>
      <c r="B871" s="14" t="n"/>
      <c r="C871" s="137" t="n"/>
      <c r="D871" s="137" t="n"/>
      <c r="E871" s="137" t="n"/>
      <c r="F871" s="137" t="n"/>
      <c r="G871" s="137" t="n"/>
      <c r="I871" s="21" t="n"/>
      <c r="M871" s="22" t="n"/>
      <c r="N871" s="137" t="n"/>
      <c r="O871" s="137" t="n"/>
      <c r="P871" s="137" t="n"/>
      <c r="Q871" s="137" t="n"/>
      <c r="R871" s="137" t="n"/>
      <c r="S871" s="137" t="n"/>
      <c r="T871" s="137" t="n"/>
      <c r="U871" s="61" t="n"/>
      <c r="V871" s="19" t="n"/>
      <c r="W871" s="19" t="n"/>
      <c r="X871" s="19" t="n"/>
      <c r="Y871" s="20" t="n"/>
      <c r="Z871" s="137" t="n"/>
      <c r="AB871" s="21" t="n"/>
      <c r="AF871" s="22" t="n"/>
      <c r="AG871" s="137" t="n"/>
      <c r="AH871" s="137" t="n"/>
      <c r="AI871" s="137" t="n"/>
      <c r="AJ871" s="137" t="n"/>
      <c r="AK871" s="137" t="n"/>
      <c r="AL871" s="137" t="n"/>
      <c r="AM871" s="137" t="n"/>
      <c r="AN871" s="61" t="n"/>
      <c r="AO871" s="19" t="n"/>
      <c r="AP871" s="19" t="n"/>
      <c r="AQ871" s="19" t="n"/>
      <c r="AR871" s="20" t="n"/>
      <c r="AS871" s="137" t="n"/>
    </row>
    <row r="872" hidden="1" outlineLevel="1">
      <c r="A872" s="8" t="n"/>
      <c r="B872" s="14" t="n"/>
      <c r="C872" s="137" t="n"/>
      <c r="D872" s="137" t="n"/>
      <c r="E872" s="137" t="n"/>
      <c r="F872" s="137" t="n"/>
      <c r="G872" s="137" t="n"/>
      <c r="I872" s="21" t="n"/>
      <c r="M872" s="22" t="n"/>
      <c r="N872" s="137" t="n"/>
      <c r="O872" s="56" t="inlineStr">
        <is>
          <t>FÍSICO</t>
        </is>
      </c>
      <c r="P872" s="56" t="inlineStr">
        <is>
          <t>VIGOR</t>
        </is>
      </c>
      <c r="Q872" s="56" t="inlineStr">
        <is>
          <t>INTELECTO</t>
        </is>
      </c>
      <c r="R872" s="56" t="inlineStr">
        <is>
          <t>ESPÍRITO</t>
        </is>
      </c>
      <c r="S872" s="56" t="inlineStr">
        <is>
          <t>TR TREINADO</t>
        </is>
      </c>
      <c r="T872" s="137" t="n"/>
      <c r="U872" s="21" t="n"/>
      <c r="Y872" s="22" t="n"/>
      <c r="Z872" s="137" t="n"/>
      <c r="AB872" s="21" t="n"/>
      <c r="AF872" s="22" t="n"/>
      <c r="AG872" s="137" t="n"/>
      <c r="AH872" s="56" t="inlineStr">
        <is>
          <t>FÍSICO</t>
        </is>
      </c>
      <c r="AI872" s="56" t="inlineStr">
        <is>
          <t>VIGOR</t>
        </is>
      </c>
      <c r="AJ872" s="56" t="inlineStr">
        <is>
          <t>INTELECTO</t>
        </is>
      </c>
      <c r="AK872" s="56" t="inlineStr">
        <is>
          <t>ESPÍRITO</t>
        </is>
      </c>
      <c r="AL872" s="56" t="inlineStr">
        <is>
          <t>TR TREINADO</t>
        </is>
      </c>
      <c r="AM872" s="137" t="n"/>
      <c r="AN872" s="21" t="n"/>
      <c r="AR872" s="22" t="n"/>
      <c r="AS872" s="137" t="n"/>
    </row>
    <row r="873" hidden="1" outlineLevel="1">
      <c r="A873" s="8" t="n"/>
      <c r="B873" s="14" t="n"/>
      <c r="C873" s="137" t="n"/>
      <c r="D873" s="137" t="n"/>
      <c r="E873" s="137" t="n"/>
      <c r="F873" s="137" t="n"/>
      <c r="G873" s="137" t="n"/>
      <c r="I873" s="21" t="n"/>
      <c r="M873" s="22" t="n"/>
      <c r="N873" s="137" t="n"/>
      <c r="O873" s="105">
        <f>DADOS_INVOC!$HP$6</f>
        <v/>
      </c>
      <c r="P873" s="105">
        <f>DADOS_INVOC!$HQ$6</f>
        <v/>
      </c>
      <c r="Q873" s="105">
        <f>DADOS_INVOC!$HR$6</f>
        <v/>
      </c>
      <c r="R873" s="105">
        <f>DADOS_INVOC!$HS$6</f>
        <v/>
      </c>
      <c r="S873" s="95" t="n"/>
      <c r="T873" s="137" t="n"/>
      <c r="U873" s="21" t="n"/>
      <c r="Y873" s="22" t="n"/>
      <c r="Z873" s="137" t="n"/>
      <c r="AB873" s="21" t="n"/>
      <c r="AF873" s="22" t="n"/>
      <c r="AG873" s="137" t="n"/>
      <c r="AH873" s="105">
        <f>DADOS_INVOC!$HP$12</f>
        <v/>
      </c>
      <c r="AI873" s="105">
        <f>DADOS_INVOC!$HQ$12</f>
        <v/>
      </c>
      <c r="AJ873" s="105">
        <f>DADOS_INVOC!$HR$12</f>
        <v/>
      </c>
      <c r="AK873" s="105">
        <f>DADOS_INVOC!$HS$12</f>
        <v/>
      </c>
      <c r="AL873" s="95" t="n"/>
      <c r="AM873" s="137" t="n"/>
      <c r="AN873" s="21" t="n"/>
      <c r="AR873" s="22" t="n"/>
      <c r="AS873" s="137" t="n"/>
    </row>
    <row r="874" hidden="1" outlineLevel="1">
      <c r="A874" s="8" t="n"/>
      <c r="B874" s="14" t="n"/>
      <c r="C874" s="137" t="n"/>
      <c r="D874" s="137" t="n"/>
      <c r="E874" s="137" t="n"/>
      <c r="F874" s="137" t="n"/>
      <c r="G874" s="137" t="n"/>
      <c r="I874" s="21" t="n"/>
      <c r="M874" s="22" t="n"/>
      <c r="N874" s="137" t="n"/>
      <c r="O874" s="128" t="n"/>
      <c r="P874" s="128" t="n"/>
      <c r="Q874" s="128" t="n"/>
      <c r="R874" s="128" t="n"/>
      <c r="S874" s="128" t="n"/>
      <c r="T874" s="137" t="n"/>
      <c r="U874" s="23" t="n"/>
      <c r="V874" s="24" t="n"/>
      <c r="W874" s="24" t="n"/>
      <c r="X874" s="24" t="n"/>
      <c r="Y874" s="25" t="n"/>
      <c r="Z874" s="137" t="n"/>
      <c r="AB874" s="21" t="n"/>
      <c r="AF874" s="22" t="n"/>
      <c r="AG874" s="137" t="n"/>
      <c r="AH874" s="128" t="n"/>
      <c r="AI874" s="128" t="n"/>
      <c r="AJ874" s="128" t="n"/>
      <c r="AK874" s="128" t="n"/>
      <c r="AL874" s="128" t="n"/>
      <c r="AM874" s="137" t="n"/>
      <c r="AN874" s="23" t="n"/>
      <c r="AO874" s="24" t="n"/>
      <c r="AP874" s="24" t="n"/>
      <c r="AQ874" s="24" t="n"/>
      <c r="AR874" s="25" t="n"/>
      <c r="AS874" s="137" t="n"/>
    </row>
    <row r="875" hidden="1" outlineLevel="1">
      <c r="A875" s="8" t="n"/>
      <c r="B875" s="14" t="n"/>
      <c r="C875" s="137" t="n"/>
      <c r="D875" s="137" t="n"/>
      <c r="E875" s="137" t="n"/>
      <c r="F875" s="137" t="n"/>
      <c r="G875" s="137" t="n"/>
      <c r="I875" s="21" t="n"/>
      <c r="M875" s="22" t="n"/>
      <c r="N875" s="137" t="n"/>
      <c r="O875" s="156" t="n">
        <v>0</v>
      </c>
      <c r="P875" s="156" t="n">
        <v>0</v>
      </c>
      <c r="Q875" s="156" t="n">
        <v>0</v>
      </c>
      <c r="R875" s="156" t="n">
        <v>0</v>
      </c>
      <c r="S875" s="137" t="n"/>
      <c r="T875" s="137" t="n"/>
      <c r="U875" s="137" t="n"/>
      <c r="V875" s="137" t="n"/>
      <c r="W875" s="137" t="n"/>
      <c r="X875" s="137" t="n"/>
      <c r="Y875" s="137" t="n"/>
      <c r="Z875" s="137" t="n"/>
      <c r="AB875" s="21" t="n"/>
      <c r="AF875" s="22" t="n"/>
      <c r="AG875" s="137" t="n"/>
      <c r="AH875" s="156" t="n">
        <v>0</v>
      </c>
      <c r="AI875" s="156" t="n">
        <v>0</v>
      </c>
      <c r="AJ875" s="156" t="n">
        <v>0</v>
      </c>
      <c r="AK875" s="156" t="n">
        <v>0</v>
      </c>
      <c r="AL875" s="137" t="n"/>
      <c r="AM875" s="137" t="n"/>
      <c r="AN875" s="137" t="n"/>
      <c r="AO875" s="137" t="n"/>
      <c r="AP875" s="137" t="n"/>
      <c r="AQ875" s="137" t="n"/>
      <c r="AR875" s="137" t="n"/>
      <c r="AS875" s="137" t="n"/>
    </row>
    <row r="876" hidden="1" outlineLevel="1">
      <c r="A876" s="8" t="n"/>
      <c r="B876" s="14" t="n"/>
      <c r="C876" s="137" t="n"/>
      <c r="D876" s="137" t="n"/>
      <c r="E876" s="137" t="n"/>
      <c r="F876" s="137" t="n"/>
      <c r="G876" s="137" t="n"/>
      <c r="I876" s="21" t="n"/>
      <c r="M876" s="22" t="n"/>
      <c r="N876" s="137" t="n"/>
      <c r="O876" s="137" t="n"/>
      <c r="P876" s="137" t="n"/>
      <c r="Q876" s="137" t="n"/>
      <c r="R876" s="137" t="n"/>
      <c r="S876" s="137" t="n"/>
      <c r="T876" s="137" t="n"/>
      <c r="U876" s="56">
        <f>DADOS_INVOC!$IC$6</f>
        <v/>
      </c>
      <c r="V876" s="16" t="n"/>
      <c r="W876" s="16" t="n"/>
      <c r="X876" s="17" t="n"/>
      <c r="Y876" s="56" t="inlineStr">
        <is>
          <t>VOL.</t>
        </is>
      </c>
      <c r="Z876" s="137" t="n"/>
      <c r="AB876" s="21" t="n"/>
      <c r="AF876" s="22" t="n"/>
      <c r="AG876" s="137" t="n"/>
      <c r="AH876" s="137" t="n"/>
      <c r="AI876" s="137" t="n"/>
      <c r="AJ876" s="137" t="n"/>
      <c r="AK876" s="137" t="n"/>
      <c r="AL876" s="137" t="n"/>
      <c r="AM876" s="137" t="n"/>
      <c r="AN876" s="56">
        <f>DADOS_INVOC!$IC$12</f>
        <v/>
      </c>
      <c r="AO876" s="16" t="n"/>
      <c r="AP876" s="16" t="n"/>
      <c r="AQ876" s="17" t="n"/>
      <c r="AR876" s="56" t="inlineStr">
        <is>
          <t>VOL.</t>
        </is>
      </c>
      <c r="AS876" s="137" t="n"/>
    </row>
    <row r="877" hidden="1" outlineLevel="1">
      <c r="A877" s="8" t="n"/>
      <c r="B877" s="14" t="n"/>
      <c r="C877" s="137" t="n"/>
      <c r="D877" s="137" t="n"/>
      <c r="E877" s="137" t="n"/>
      <c r="F877" s="137" t="n"/>
      <c r="G877" s="137" t="n"/>
      <c r="I877" s="21" t="n"/>
      <c r="M877" s="22" t="n"/>
      <c r="N877" s="137" t="n"/>
      <c r="O877" s="56" t="inlineStr">
        <is>
          <t>ATRIBUTO DE ACERTO</t>
        </is>
      </c>
      <c r="P877" s="16" t="n"/>
      <c r="Q877" s="17" t="n"/>
      <c r="R877" s="56" t="inlineStr">
        <is>
          <t>FÍSICO USA</t>
        </is>
      </c>
      <c r="S877" s="17" t="n"/>
      <c r="T877" s="137" t="n"/>
      <c r="U877" s="56" t="inlineStr">
        <is>
          <t>MÃO 1</t>
        </is>
      </c>
      <c r="V877" s="144" t="n"/>
      <c r="W877" s="16" t="n"/>
      <c r="X877" s="17" t="n"/>
      <c r="Y877" s="95" t="n"/>
      <c r="Z877" s="137" t="n"/>
      <c r="AB877" s="21" t="n"/>
      <c r="AF877" s="22" t="n"/>
      <c r="AG877" s="137" t="n"/>
      <c r="AH877" s="56" t="inlineStr">
        <is>
          <t>ATRIBUTO DE ACERTO</t>
        </is>
      </c>
      <c r="AI877" s="16" t="n"/>
      <c r="AJ877" s="17" t="n"/>
      <c r="AK877" s="56" t="inlineStr">
        <is>
          <t>FÍSICO USA</t>
        </is>
      </c>
      <c r="AL877" s="17" t="n"/>
      <c r="AM877" s="137" t="n"/>
      <c r="AN877" s="56" t="inlineStr">
        <is>
          <t>MÃO 1</t>
        </is>
      </c>
      <c r="AO877" s="144" t="n"/>
      <c r="AP877" s="16" t="n"/>
      <c r="AQ877" s="17" t="n"/>
      <c r="AR877" s="95" t="n"/>
      <c r="AS877" s="137" t="n"/>
    </row>
    <row r="878" hidden="1" outlineLevel="1">
      <c r="A878" s="8" t="n"/>
      <c r="B878" s="14" t="n"/>
      <c r="C878" s="137" t="n"/>
      <c r="D878" s="137" t="n"/>
      <c r="E878" s="137" t="n"/>
      <c r="F878" s="137" t="n"/>
      <c r="G878" s="137" t="n"/>
      <c r="I878" s="21" t="n"/>
      <c r="M878" s="22" t="n"/>
      <c r="N878" s="137" t="n"/>
      <c r="O878" s="95" t="n"/>
      <c r="P878" s="19" t="n"/>
      <c r="Q878" s="20" t="n"/>
      <c r="R878" s="95" t="inlineStr">
        <is>
          <t>Força</t>
        </is>
      </c>
      <c r="S878" s="20" t="n"/>
      <c r="T878" s="137" t="n"/>
      <c r="U878" s="56" t="inlineStr">
        <is>
          <t>MÃO 2</t>
        </is>
      </c>
      <c r="V878" s="144" t="n"/>
      <c r="W878" s="16" t="n"/>
      <c r="X878" s="17" t="n"/>
      <c r="Y878" s="95" t="n"/>
      <c r="Z878" s="137" t="n"/>
      <c r="AB878" s="21" t="n"/>
      <c r="AF878" s="22" t="n"/>
      <c r="AG878" s="137" t="n"/>
      <c r="AH878" s="95" t="n"/>
      <c r="AI878" s="19" t="n"/>
      <c r="AJ878" s="20" t="n"/>
      <c r="AK878" s="95" t="inlineStr">
        <is>
          <t>Força</t>
        </is>
      </c>
      <c r="AL878" s="20" t="n"/>
      <c r="AM878" s="137" t="n"/>
      <c r="AN878" s="56" t="inlineStr">
        <is>
          <t>MÃO 2</t>
        </is>
      </c>
      <c r="AO878" s="144" t="n"/>
      <c r="AP878" s="16" t="n"/>
      <c r="AQ878" s="17" t="n"/>
      <c r="AR878" s="95" t="n"/>
      <c r="AS878" s="137" t="n"/>
    </row>
    <row r="879" hidden="1" outlineLevel="1">
      <c r="A879" s="8" t="n"/>
      <c r="B879" s="14" t="n"/>
      <c r="C879" s="137" t="n"/>
      <c r="D879" s="137" t="n"/>
      <c r="E879" s="137" t="n"/>
      <c r="F879" s="137" t="n"/>
      <c r="G879" s="137" t="n"/>
      <c r="I879" s="21" t="n"/>
      <c r="M879" s="22" t="n"/>
      <c r="N879" s="137" t="n"/>
      <c r="O879" s="23" t="n"/>
      <c r="P879" s="24" t="n"/>
      <c r="Q879" s="25" t="n"/>
      <c r="R879" s="23" t="n"/>
      <c r="S879" s="25" t="n"/>
      <c r="T879" s="137" t="n"/>
      <c r="U879" s="56" t="inlineStr">
        <is>
          <t>VESTE</t>
        </is>
      </c>
      <c r="V879" s="144" t="n"/>
      <c r="W879" s="16" t="n"/>
      <c r="X879" s="17" t="n"/>
      <c r="Y879" s="95" t="n"/>
      <c r="Z879" s="137" t="n"/>
      <c r="AB879" s="21" t="n"/>
      <c r="AF879" s="22" t="n"/>
      <c r="AG879" s="137" t="n"/>
      <c r="AH879" s="23" t="n"/>
      <c r="AI879" s="24" t="n"/>
      <c r="AJ879" s="25" t="n"/>
      <c r="AK879" s="23" t="n"/>
      <c r="AL879" s="25" t="n"/>
      <c r="AM879" s="137" t="n"/>
      <c r="AN879" s="56" t="inlineStr">
        <is>
          <t>VESTE</t>
        </is>
      </c>
      <c r="AO879" s="144" t="n"/>
      <c r="AP879" s="16" t="n"/>
      <c r="AQ879" s="17" t="n"/>
      <c r="AR879" s="95" t="n"/>
      <c r="AS879" s="137" t="n"/>
    </row>
    <row r="880" hidden="1" outlineLevel="1">
      <c r="A880" s="8" t="n"/>
      <c r="B880" s="14" t="n"/>
      <c r="C880" s="137" t="n"/>
      <c r="D880" s="137" t="n"/>
      <c r="E880" s="137" t="n"/>
      <c r="F880" s="137" t="n"/>
      <c r="G880" s="137" t="n"/>
      <c r="I880" s="21" t="n"/>
      <c r="M880" s="22" t="n"/>
      <c r="N880" s="137" t="n"/>
      <c r="O880" s="137" t="n"/>
      <c r="P880" s="137" t="n"/>
      <c r="Q880" s="137" t="n"/>
      <c r="R880" s="137" t="n"/>
      <c r="S880" s="137" t="n"/>
      <c r="T880" s="137" t="n"/>
      <c r="U880" s="56" t="inlineStr">
        <is>
          <t>GUARDADO · SÓ COM A CARACTERÍSTICA DE TRANSPORTE</t>
        </is>
      </c>
      <c r="V880" s="16" t="n"/>
      <c r="W880" s="16" t="n"/>
      <c r="X880" s="17" t="n"/>
      <c r="Y880" s="56" t="inlineStr">
        <is>
          <t>VOL.</t>
        </is>
      </c>
      <c r="Z880" s="137" t="n"/>
      <c r="AB880" s="21" t="n"/>
      <c r="AF880" s="22" t="n"/>
      <c r="AG880" s="137" t="n"/>
      <c r="AH880" s="137" t="n"/>
      <c r="AI880" s="137" t="n"/>
      <c r="AJ880" s="137" t="n"/>
      <c r="AK880" s="137" t="n"/>
      <c r="AL880" s="137" t="n"/>
      <c r="AM880" s="137" t="n"/>
      <c r="AN880" s="56" t="inlineStr">
        <is>
          <t>GUARDADO · SÓ COM A CARACTERÍSTICA DE TRANSPORTE</t>
        </is>
      </c>
      <c r="AO880" s="16" t="n"/>
      <c r="AP880" s="16" t="n"/>
      <c r="AQ880" s="17" t="n"/>
      <c r="AR880" s="56" t="inlineStr">
        <is>
          <t>VOL.</t>
        </is>
      </c>
      <c r="AS880" s="137" t="n"/>
    </row>
    <row r="881" hidden="1" outlineLevel="1">
      <c r="A881" s="8" t="n"/>
      <c r="B881" s="14" t="n"/>
      <c r="C881" s="137" t="n"/>
      <c r="D881" s="137" t="n"/>
      <c r="E881" s="137" t="n"/>
      <c r="F881" s="137" t="n"/>
      <c r="G881" s="137" t="n"/>
      <c r="I881" s="21" t="n"/>
      <c r="M881" s="22" t="n"/>
      <c r="N881" s="137" t="n"/>
      <c r="O881" s="56">
        <f>DADOS_INVOC!$HT$6</f>
        <v/>
      </c>
      <c r="P881" s="16" t="n"/>
      <c r="Q881" s="16" t="n"/>
      <c r="R881" s="16" t="n"/>
      <c r="S881" s="17" t="n"/>
      <c r="T881" s="137" t="n"/>
      <c r="U881" s="144" t="n"/>
      <c r="V881" s="16" t="n"/>
      <c r="W881" s="16" t="n"/>
      <c r="X881" s="17" t="n"/>
      <c r="Y881" s="95" t="n"/>
      <c r="Z881" s="137" t="n"/>
      <c r="AB881" s="21" t="n"/>
      <c r="AF881" s="22" t="n"/>
      <c r="AG881" s="137" t="n"/>
      <c r="AH881" s="56">
        <f>DADOS_INVOC!$HT$12</f>
        <v/>
      </c>
      <c r="AI881" s="16" t="n"/>
      <c r="AJ881" s="16" t="n"/>
      <c r="AK881" s="16" t="n"/>
      <c r="AL881" s="17" t="n"/>
      <c r="AM881" s="137" t="n"/>
      <c r="AN881" s="144" t="n"/>
      <c r="AO881" s="16" t="n"/>
      <c r="AP881" s="16" t="n"/>
      <c r="AQ881" s="17" t="n"/>
      <c r="AR881" s="95" t="n"/>
      <c r="AS881" s="137" t="n"/>
    </row>
    <row r="882" hidden="1" outlineLevel="1">
      <c r="A882" s="8" t="n"/>
      <c r="B882" s="14" t="n"/>
      <c r="C882" s="137" t="n"/>
      <c r="D882" s="137" t="n"/>
      <c r="E882" s="137" t="n"/>
      <c r="F882" s="137" t="n"/>
      <c r="G882" s="137" t="n"/>
      <c r="I882" s="21" t="n"/>
      <c r="M882" s="22" t="n"/>
      <c r="N882" s="137" t="n"/>
      <c r="O882" s="144" t="n"/>
      <c r="P882" s="16" t="n"/>
      <c r="Q882" s="17" t="n"/>
      <c r="R882" s="95">
        <f>DADOS_INVOC!$HU$6</f>
        <v/>
      </c>
      <c r="S882" s="17" t="n"/>
      <c r="T882" s="137" t="n"/>
      <c r="U882" s="144" t="n"/>
      <c r="V882" s="16" t="n"/>
      <c r="W882" s="16" t="n"/>
      <c r="X882" s="17" t="n"/>
      <c r="Y882" s="95" t="n"/>
      <c r="Z882" s="137" t="n"/>
      <c r="AB882" s="21" t="n"/>
      <c r="AF882" s="22" t="n"/>
      <c r="AG882" s="137" t="n"/>
      <c r="AH882" s="144" t="n"/>
      <c r="AI882" s="16" t="n"/>
      <c r="AJ882" s="17" t="n"/>
      <c r="AK882" s="95">
        <f>DADOS_INVOC!$HU$12</f>
        <v/>
      </c>
      <c r="AL882" s="17" t="n"/>
      <c r="AM882" s="137" t="n"/>
      <c r="AN882" s="144" t="n"/>
      <c r="AO882" s="16" t="n"/>
      <c r="AP882" s="16" t="n"/>
      <c r="AQ882" s="17" t="n"/>
      <c r="AR882" s="95" t="n"/>
      <c r="AS882" s="137" t="n"/>
    </row>
    <row r="883" hidden="1" outlineLevel="1">
      <c r="A883" s="8" t="n"/>
      <c r="B883" s="14" t="n"/>
      <c r="C883" s="137" t="n"/>
      <c r="D883" s="137" t="n"/>
      <c r="E883" s="137" t="n"/>
      <c r="F883" s="137" t="n"/>
      <c r="G883" s="137" t="n"/>
      <c r="I883" s="21" t="n"/>
      <c r="M883" s="22" t="n"/>
      <c r="N883" s="137" t="n"/>
      <c r="O883" s="144" t="n"/>
      <c r="P883" s="16" t="n"/>
      <c r="Q883" s="17" t="n"/>
      <c r="R883" s="95">
        <f>DADOS_INVOC!$HV$6</f>
        <v/>
      </c>
      <c r="S883" s="17" t="n"/>
      <c r="T883" s="137" t="n"/>
      <c r="U883" s="144" t="n"/>
      <c r="V883" s="16" t="n"/>
      <c r="W883" s="16" t="n"/>
      <c r="X883" s="17" t="n"/>
      <c r="Y883" s="95" t="n"/>
      <c r="Z883" s="137" t="n"/>
      <c r="AB883" s="21" t="n"/>
      <c r="AF883" s="22" t="n"/>
      <c r="AG883" s="137" t="n"/>
      <c r="AH883" s="144" t="n"/>
      <c r="AI883" s="16" t="n"/>
      <c r="AJ883" s="17" t="n"/>
      <c r="AK883" s="95">
        <f>DADOS_INVOC!$HV$12</f>
        <v/>
      </c>
      <c r="AL883" s="17" t="n"/>
      <c r="AM883" s="137" t="n"/>
      <c r="AN883" s="144" t="n"/>
      <c r="AO883" s="16" t="n"/>
      <c r="AP883" s="16" t="n"/>
      <c r="AQ883" s="17" t="n"/>
      <c r="AR883" s="95" t="n"/>
      <c r="AS883" s="137" t="n"/>
    </row>
    <row r="884" hidden="1" outlineLevel="1">
      <c r="A884" s="8" t="n"/>
      <c r="B884" s="14" t="n"/>
      <c r="C884" s="137" t="n"/>
      <c r="D884" s="137" t="n"/>
      <c r="E884" s="137" t="n"/>
      <c r="F884" s="137" t="n"/>
      <c r="G884" s="137" t="n"/>
      <c r="I884" s="23" t="n"/>
      <c r="J884" s="24" t="n"/>
      <c r="K884" s="24" t="n"/>
      <c r="L884" s="24" t="n"/>
      <c r="M884" s="25" t="n"/>
      <c r="N884" s="137" t="n"/>
      <c r="O884" s="144" t="n"/>
      <c r="P884" s="16" t="n"/>
      <c r="Q884" s="17" t="n"/>
      <c r="R884" s="95">
        <f>DADOS_INVOC!$HW$6</f>
        <v/>
      </c>
      <c r="S884" s="17" t="n"/>
      <c r="T884" s="137" t="n"/>
      <c r="U884" s="144" t="n"/>
      <c r="V884" s="16" t="n"/>
      <c r="W884" s="16" t="n"/>
      <c r="X884" s="17" t="n"/>
      <c r="Y884" s="95" t="n"/>
      <c r="Z884" s="137" t="n"/>
      <c r="AB884" s="23" t="n"/>
      <c r="AC884" s="24" t="n"/>
      <c r="AD884" s="24" t="n"/>
      <c r="AE884" s="24" t="n"/>
      <c r="AF884" s="25" t="n"/>
      <c r="AG884" s="137" t="n"/>
      <c r="AH884" s="144" t="n"/>
      <c r="AI884" s="16" t="n"/>
      <c r="AJ884" s="17" t="n"/>
      <c r="AK884" s="95">
        <f>DADOS_INVOC!$HW$12</f>
        <v/>
      </c>
      <c r="AL884" s="17" t="n"/>
      <c r="AM884" s="137" t="n"/>
      <c r="AN884" s="144" t="n"/>
      <c r="AO884" s="16" t="n"/>
      <c r="AP884" s="16" t="n"/>
      <c r="AQ884" s="17" t="n"/>
      <c r="AR884" s="95" t="n"/>
      <c r="AS884" s="137" t="n"/>
    </row>
    <row r="885" hidden="1" outlineLevel="1">
      <c r="A885" s="8" t="n"/>
      <c r="B885" s="14" t="n"/>
      <c r="C885" s="137" t="n"/>
      <c r="D885" s="137" t="n"/>
      <c r="E885" s="137" t="n"/>
      <c r="F885" s="137" t="n"/>
      <c r="G885" s="137" t="n"/>
      <c r="I885" s="137" t="n"/>
      <c r="J885" s="137" t="n"/>
      <c r="K885" s="137" t="n"/>
      <c r="L885" s="137" t="n"/>
      <c r="M885" s="137" t="n"/>
      <c r="N885" s="137" t="n"/>
      <c r="O885" s="144" t="n"/>
      <c r="P885" s="16" t="n"/>
      <c r="Q885" s="17" t="n"/>
      <c r="R885" s="95">
        <f>DADOS_INVOC!$HX$6</f>
        <v/>
      </c>
      <c r="S885" s="17" t="n"/>
      <c r="T885" s="137" t="n"/>
      <c r="U885" s="144" t="n"/>
      <c r="V885" s="16" t="n"/>
      <c r="W885" s="16" t="n"/>
      <c r="X885" s="17" t="n"/>
      <c r="Y885" s="95" t="n"/>
      <c r="Z885" s="137" t="n"/>
      <c r="AB885" s="137" t="n"/>
      <c r="AC885" s="137" t="n"/>
      <c r="AD885" s="137" t="n"/>
      <c r="AE885" s="137" t="n"/>
      <c r="AF885" s="137" t="n"/>
      <c r="AG885" s="137" t="n"/>
      <c r="AH885" s="144" t="n"/>
      <c r="AI885" s="16" t="n"/>
      <c r="AJ885" s="17" t="n"/>
      <c r="AK885" s="95">
        <f>DADOS_INVOC!$HX$12</f>
        <v/>
      </c>
      <c r="AL885" s="17" t="n"/>
      <c r="AM885" s="137" t="n"/>
      <c r="AN885" s="144" t="n"/>
      <c r="AO885" s="16" t="n"/>
      <c r="AP885" s="16" t="n"/>
      <c r="AQ885" s="17" t="n"/>
      <c r="AR885" s="95" t="n"/>
      <c r="AS885" s="137" t="n"/>
    </row>
    <row r="886" hidden="1" outlineLevel="1">
      <c r="A886" s="8" t="n"/>
      <c r="B886" s="14" t="n"/>
      <c r="C886" s="137" t="n"/>
      <c r="D886" s="137" t="n"/>
      <c r="E886" s="137" t="n"/>
      <c r="F886" s="137" t="n"/>
      <c r="G886" s="137" t="n"/>
      <c r="I886" s="56" t="inlineStr">
        <is>
          <t>TIPO</t>
        </is>
      </c>
      <c r="J886" s="16" t="n"/>
      <c r="K886" s="17" t="n"/>
      <c r="L886" s="56" t="inlineStr">
        <is>
          <t>OFÍCIO COMPATÍVEL</t>
        </is>
      </c>
      <c r="M886" s="17" t="n"/>
      <c r="N886" s="137" t="n"/>
      <c r="O886" s="144" t="n"/>
      <c r="P886" s="16" t="n"/>
      <c r="Q886" s="17" t="n"/>
      <c r="R886" s="95">
        <f>DADOS_INVOC!$HY$6</f>
        <v/>
      </c>
      <c r="S886" s="17" t="n"/>
      <c r="T886" s="137" t="n"/>
      <c r="U886" s="144" t="n"/>
      <c r="V886" s="16" t="n"/>
      <c r="W886" s="16" t="n"/>
      <c r="X886" s="17" t="n"/>
      <c r="Y886" s="95" t="n"/>
      <c r="Z886" s="137" t="n"/>
      <c r="AB886" s="56" t="inlineStr">
        <is>
          <t>TIPO</t>
        </is>
      </c>
      <c r="AC886" s="16" t="n"/>
      <c r="AD886" s="17" t="n"/>
      <c r="AE886" s="56" t="inlineStr">
        <is>
          <t>OFÍCIO COMPATÍVEL</t>
        </is>
      </c>
      <c r="AF886" s="17" t="n"/>
      <c r="AG886" s="137" t="n"/>
      <c r="AH886" s="144" t="n"/>
      <c r="AI886" s="16" t="n"/>
      <c r="AJ886" s="17" t="n"/>
      <c r="AK886" s="95">
        <f>DADOS_INVOC!$HY$12</f>
        <v/>
      </c>
      <c r="AL886" s="17" t="n"/>
      <c r="AM886" s="137" t="n"/>
      <c r="AN886" s="144" t="n"/>
      <c r="AO886" s="16" t="n"/>
      <c r="AP886" s="16" t="n"/>
      <c r="AQ886" s="17" t="n"/>
      <c r="AR886" s="95" t="n"/>
      <c r="AS886" s="137" t="n"/>
    </row>
    <row r="887" hidden="1" outlineLevel="1">
      <c r="A887" s="8" t="n"/>
      <c r="B887" s="14" t="n"/>
      <c r="C887" s="137" t="n"/>
      <c r="D887" s="137" t="n"/>
      <c r="E887" s="137" t="n"/>
      <c r="F887" s="137" t="n"/>
      <c r="G887" s="137" t="n"/>
      <c r="I887" s="95" t="inlineStr">
        <is>
          <t>Shikigami de técnica</t>
        </is>
      </c>
      <c r="J887" s="19" t="n"/>
      <c r="K887" s="20" t="n"/>
      <c r="L887" s="95" t="n"/>
      <c r="M887" s="20" t="n"/>
      <c r="N887" s="137" t="n"/>
      <c r="O887" s="144" t="n"/>
      <c r="P887" s="16" t="n"/>
      <c r="Q887" s="17" t="n"/>
      <c r="R887" s="95">
        <f>DADOS_INVOC!$HZ$6</f>
        <v/>
      </c>
      <c r="S887" s="17" t="n"/>
      <c r="T887" s="137" t="n"/>
      <c r="U887" s="137" t="n"/>
      <c r="V887" s="137" t="n"/>
      <c r="W887" s="137" t="n"/>
      <c r="X887" s="137" t="n"/>
      <c r="Y887" s="137" t="n"/>
      <c r="Z887" s="137" t="n"/>
      <c r="AB887" s="95" t="inlineStr">
        <is>
          <t>Shikigami de técnica</t>
        </is>
      </c>
      <c r="AC887" s="19" t="n"/>
      <c r="AD887" s="20" t="n"/>
      <c r="AE887" s="95" t="n"/>
      <c r="AF887" s="20" t="n"/>
      <c r="AG887" s="137" t="n"/>
      <c r="AH887" s="144" t="n"/>
      <c r="AI887" s="16" t="n"/>
      <c r="AJ887" s="17" t="n"/>
      <c r="AK887" s="95">
        <f>DADOS_INVOC!$HZ$12</f>
        <v/>
      </c>
      <c r="AL887" s="17" t="n"/>
      <c r="AM887" s="137" t="n"/>
      <c r="AN887" s="137" t="n"/>
      <c r="AO887" s="137" t="n"/>
      <c r="AP887" s="137" t="n"/>
      <c r="AQ887" s="137" t="n"/>
      <c r="AR887" s="137" t="n"/>
      <c r="AS887" s="137" t="n"/>
    </row>
    <row r="888" hidden="1" outlineLevel="1">
      <c r="A888" s="8" t="n"/>
      <c r="B888" s="14" t="n"/>
      <c r="C888" s="137" t="n"/>
      <c r="D888" s="137" t="n"/>
      <c r="E888" s="137" t="n"/>
      <c r="F888" s="137" t="n"/>
      <c r="G888" s="137" t="n"/>
      <c r="I888" s="23" t="n"/>
      <c r="J888" s="24" t="n"/>
      <c r="K888" s="25" t="n"/>
      <c r="L888" s="23" t="n"/>
      <c r="M888" s="25" t="n"/>
      <c r="N888" s="137" t="n"/>
      <c r="O888" s="144" t="n"/>
      <c r="P888" s="16" t="n"/>
      <c r="Q888" s="17" t="n"/>
      <c r="R888" s="95">
        <f>DADOS_INVOC!$IA$6</f>
        <v/>
      </c>
      <c r="S888" s="17" t="n"/>
      <c r="T888" s="137" t="n"/>
      <c r="U888" s="56" t="inlineStr">
        <is>
          <t>CORPO, SENTIDOS E COMUNICAÇÃO</t>
        </is>
      </c>
      <c r="V888" s="16" t="n"/>
      <c r="W888" s="16" t="n"/>
      <c r="X888" s="16" t="n"/>
      <c r="Y888" s="17" t="n"/>
      <c r="Z888" s="137" t="n"/>
      <c r="AB888" s="23" t="n"/>
      <c r="AC888" s="24" t="n"/>
      <c r="AD888" s="25" t="n"/>
      <c r="AE888" s="23" t="n"/>
      <c r="AF888" s="25" t="n"/>
      <c r="AG888" s="137" t="n"/>
      <c r="AH888" s="144" t="n"/>
      <c r="AI888" s="16" t="n"/>
      <c r="AJ888" s="17" t="n"/>
      <c r="AK888" s="95">
        <f>DADOS_INVOC!$IA$12</f>
        <v/>
      </c>
      <c r="AL888" s="17" t="n"/>
      <c r="AM888" s="137" t="n"/>
      <c r="AN888" s="56" t="inlineStr">
        <is>
          <t>CORPO, SENTIDOS E COMUNICAÇÃO</t>
        </is>
      </c>
      <c r="AO888" s="16" t="n"/>
      <c r="AP888" s="16" t="n"/>
      <c r="AQ888" s="16" t="n"/>
      <c r="AR888" s="17" t="n"/>
      <c r="AS888" s="137" t="n"/>
    </row>
    <row r="889" hidden="1" outlineLevel="1">
      <c r="A889" s="8" t="n"/>
      <c r="B889" s="14" t="n"/>
      <c r="C889" s="137" t="n"/>
      <c r="D889" s="137" t="n"/>
      <c r="E889" s="137" t="n"/>
      <c r="F889" s="137" t="n"/>
      <c r="G889" s="137" t="n"/>
      <c r="I889" s="137" t="n"/>
      <c r="J889" s="137" t="n"/>
      <c r="K889" s="137" t="n"/>
      <c r="L889" s="137" t="n"/>
      <c r="M889" s="137" t="n"/>
      <c r="N889" s="137" t="n"/>
      <c r="O889" s="137" t="n"/>
      <c r="P889" s="137" t="n"/>
      <c r="Q889" s="137" t="n"/>
      <c r="R889" s="137" t="n"/>
      <c r="S889" s="137" t="n"/>
      <c r="T889" s="137" t="n"/>
      <c r="U889" s="61" t="n"/>
      <c r="V889" s="19" t="n"/>
      <c r="W889" s="19" t="n"/>
      <c r="X889" s="19" t="n"/>
      <c r="Y889" s="20" t="n"/>
      <c r="Z889" s="137" t="n"/>
      <c r="AB889" s="137" t="n"/>
      <c r="AC889" s="137" t="n"/>
      <c r="AD889" s="137" t="n"/>
      <c r="AE889" s="137" t="n"/>
      <c r="AF889" s="137" t="n"/>
      <c r="AG889" s="137" t="n"/>
      <c r="AH889" s="137" t="n"/>
      <c r="AI889" s="137" t="n"/>
      <c r="AJ889" s="137" t="n"/>
      <c r="AK889" s="137" t="n"/>
      <c r="AL889" s="137" t="n"/>
      <c r="AM889" s="137" t="n"/>
      <c r="AN889" s="61" t="n"/>
      <c r="AO889" s="19" t="n"/>
      <c r="AP889" s="19" t="n"/>
      <c r="AQ889" s="19" t="n"/>
      <c r="AR889" s="20" t="n"/>
      <c r="AS889" s="137" t="n"/>
    </row>
    <row r="890" hidden="1" outlineLevel="1">
      <c r="A890" s="8" t="n"/>
      <c r="B890" s="14" t="n"/>
      <c r="C890" s="137" t="n"/>
      <c r="D890" s="137" t="n"/>
      <c r="E890" s="137" t="n"/>
      <c r="F890" s="137" t="n"/>
      <c r="G890" s="137" t="n"/>
      <c r="I890" s="56" t="inlineStr">
        <is>
          <t>AQUISIÇÃO</t>
        </is>
      </c>
      <c r="J890" s="17" t="n"/>
      <c r="K890" s="56" t="inlineStr">
        <is>
          <t>OBTIDA NO NÍVEL</t>
        </is>
      </c>
      <c r="L890" s="56" t="inlineStr">
        <is>
          <t>TALISMÃ</t>
        </is>
      </c>
      <c r="M890" s="17" t="n"/>
      <c r="N890" s="137" t="n"/>
      <c r="O890" s="56">
        <f>DADOS_INVOC!$ID$6</f>
        <v/>
      </c>
      <c r="P890" s="16" t="n"/>
      <c r="Q890" s="16" t="n"/>
      <c r="R890" s="16" t="n"/>
      <c r="S890" s="17" t="n"/>
      <c r="T890" s="137" t="n"/>
      <c r="U890" s="21" t="n"/>
      <c r="Y890" s="22" t="n"/>
      <c r="Z890" s="137" t="n"/>
      <c r="AB890" s="56" t="inlineStr">
        <is>
          <t>AQUISIÇÃO</t>
        </is>
      </c>
      <c r="AC890" s="17" t="n"/>
      <c r="AD890" s="56" t="inlineStr">
        <is>
          <t>OBTIDA NO NÍVEL</t>
        </is>
      </c>
      <c r="AE890" s="56" t="inlineStr">
        <is>
          <t>TALISMÃ</t>
        </is>
      </c>
      <c r="AF890" s="17" t="n"/>
      <c r="AG890" s="137" t="n"/>
      <c r="AH890" s="56">
        <f>DADOS_INVOC!$ID$12</f>
        <v/>
      </c>
      <c r="AI890" s="16" t="n"/>
      <c r="AJ890" s="16" t="n"/>
      <c r="AK890" s="16" t="n"/>
      <c r="AL890" s="17" t="n"/>
      <c r="AM890" s="137" t="n"/>
      <c r="AN890" s="21" t="n"/>
      <c r="AR890" s="22" t="n"/>
      <c r="AS890" s="137" t="n"/>
    </row>
    <row r="891" hidden="1" outlineLevel="1">
      <c r="A891" s="8" t="n"/>
      <c r="B891" s="14" t="n"/>
      <c r="C891" s="137" t="n"/>
      <c r="D891" s="137" t="n"/>
      <c r="E891" s="137" t="n"/>
      <c r="F891" s="137" t="n"/>
      <c r="G891" s="137" t="n"/>
      <c r="I891" s="95" t="inlineStr">
        <is>
          <t>Espaço conhecido</t>
        </is>
      </c>
      <c r="J891" s="20" t="n"/>
      <c r="K891" s="95" t="n"/>
      <c r="L891" s="95" t="inlineStr">
        <is>
          <t>Sem carga</t>
        </is>
      </c>
      <c r="M891" s="20" t="n"/>
      <c r="N891" s="137" t="n"/>
      <c r="O891" s="56">
        <f>IF(DADOS_INVOC!$RA$6&gt;=1,"LIVRE","ABERTA")</f>
        <v/>
      </c>
      <c r="P891" s="56">
        <f>IF(DADOS_INVOC!$RA$6&gt;=2,"LIVRE","ABERTA")</f>
        <v/>
      </c>
      <c r="Q891" s="56">
        <f>IF(DADOS_INVOC!$RA$6&gt;=7,"LIVRE","ABERTA")</f>
        <v/>
      </c>
      <c r="R891" s="56">
        <f>IF(DADOS_INVOC!$RA$6&gt;=8,"LIVRE","ABERTA")</f>
        <v/>
      </c>
      <c r="S891" s="56">
        <f>IF(DADOS_INVOC!$RA$6&gt;=9,"LIVRE","ABERTA")</f>
        <v/>
      </c>
      <c r="T891" s="137" t="n"/>
      <c r="U891" s="21" t="n"/>
      <c r="Y891" s="22" t="n"/>
      <c r="Z891" s="137" t="n"/>
      <c r="AB891" s="95" t="inlineStr">
        <is>
          <t>Espaço conhecido</t>
        </is>
      </c>
      <c r="AC891" s="20" t="n"/>
      <c r="AD891" s="95" t="n"/>
      <c r="AE891" s="95" t="inlineStr">
        <is>
          <t>Sem carga</t>
        </is>
      </c>
      <c r="AF891" s="20" t="n"/>
      <c r="AG891" s="137" t="n"/>
      <c r="AH891" s="56">
        <f>IF(DADOS_INVOC!$RA$12&gt;=1,"LIVRE","ABERTA")</f>
        <v/>
      </c>
      <c r="AI891" s="56">
        <f>IF(DADOS_INVOC!$RA$12&gt;=2,"LIVRE","ABERTA")</f>
        <v/>
      </c>
      <c r="AJ891" s="56">
        <f>IF(DADOS_INVOC!$RA$12&gt;=7,"LIVRE","ABERTA")</f>
        <v/>
      </c>
      <c r="AK891" s="56">
        <f>IF(DADOS_INVOC!$RA$12&gt;=8,"LIVRE","ABERTA")</f>
        <v/>
      </c>
      <c r="AL891" s="56">
        <f>IF(DADOS_INVOC!$RA$12&gt;=9,"LIVRE","ABERTA")</f>
        <v/>
      </c>
      <c r="AM891" s="137" t="n"/>
      <c r="AN891" s="21" t="n"/>
      <c r="AR891" s="22" t="n"/>
      <c r="AS891" s="137" t="n"/>
    </row>
    <row r="892" hidden="1" outlineLevel="1" ht="24" customHeight="1">
      <c r="A892" s="8" t="n"/>
      <c r="B892" s="14" t="n"/>
      <c r="C892" s="137" t="n"/>
      <c r="D892" s="137" t="n"/>
      <c r="E892" s="137" t="n"/>
      <c r="F892" s="137" t="n"/>
      <c r="G892" s="137" t="n"/>
      <c r="I892" s="23" t="n"/>
      <c r="J892" s="25" t="n"/>
      <c r="K892" s="128" t="n"/>
      <c r="L892" s="23" t="n"/>
      <c r="M892" s="25" t="n"/>
      <c r="N892" s="137" t="n"/>
      <c r="O892" s="95" t="n"/>
      <c r="P892" s="95" t="n"/>
      <c r="Q892" s="95" t="n"/>
      <c r="R892" s="95" t="n"/>
      <c r="S892" s="95" t="n"/>
      <c r="T892" s="137" t="n"/>
      <c r="U892" s="21" t="n"/>
      <c r="Y892" s="22" t="n"/>
      <c r="Z892" s="137" t="n"/>
      <c r="AB892" s="23" t="n"/>
      <c r="AC892" s="25" t="n"/>
      <c r="AD892" s="128" t="n"/>
      <c r="AE892" s="23" t="n"/>
      <c r="AF892" s="25" t="n"/>
      <c r="AG892" s="137" t="n"/>
      <c r="AH892" s="95" t="n"/>
      <c r="AI892" s="95" t="n"/>
      <c r="AJ892" s="95" t="n"/>
      <c r="AK892" s="95" t="n"/>
      <c r="AL892" s="95" t="n"/>
      <c r="AM892" s="137" t="n"/>
      <c r="AN892" s="21" t="n"/>
      <c r="AR892" s="22" t="n"/>
      <c r="AS892" s="137" t="n"/>
    </row>
    <row r="893" hidden="1" outlineLevel="1" ht="15" customHeight="1">
      <c r="A893" s="8" t="n"/>
      <c r="B893" s="14" t="n"/>
      <c r="C893" s="137" t="n"/>
      <c r="D893" s="137" t="n"/>
      <c r="E893" s="137" t="n"/>
      <c r="F893" s="137" t="n"/>
      <c r="G893" s="137" t="n"/>
      <c r="I893" s="137" t="n"/>
      <c r="J893" s="137" t="n"/>
      <c r="K893" s="137" t="n"/>
      <c r="L893" s="137" t="n"/>
      <c r="M893" s="137" t="n"/>
      <c r="N893" s="137" t="n"/>
      <c r="O893" s="56">
        <f>IF(DADOS_INVOC!$RA$6&gt;=3,"LIVRE 6","FAMÍLIA 6")</f>
        <v/>
      </c>
      <c r="P893" s="56">
        <f>IF(DADOS_INVOC!$RA$6&gt;=4,"LIVRE 7","FAMÍLIA 7")</f>
        <v/>
      </c>
      <c r="Q893" s="56">
        <f>IF(DADOS_INVOC!$RA$6&gt;=5,"LIVRE 8","FAMÍLIA 8")</f>
        <v/>
      </c>
      <c r="R893" s="56">
        <f>IF(DADOS_INVOC!$RA$6&gt;=6,"LIVRE 9","FAMÍLIA 9")</f>
        <v/>
      </c>
      <c r="S893" s="17" t="n"/>
      <c r="T893" s="137" t="n"/>
      <c r="U893" s="23" t="n"/>
      <c r="V893" s="24" t="n"/>
      <c r="W893" s="24" t="n"/>
      <c r="X893" s="24" t="n"/>
      <c r="Y893" s="25" t="n"/>
      <c r="Z893" s="137" t="n"/>
      <c r="AB893" s="137" t="n"/>
      <c r="AC893" s="137" t="n"/>
      <c r="AD893" s="137" t="n"/>
      <c r="AE893" s="137" t="n"/>
      <c r="AF893" s="137" t="n"/>
      <c r="AG893" s="137" t="n"/>
      <c r="AH893" s="56">
        <f>IF(DADOS_INVOC!$RA$12&gt;=3,"LIVRE 6","FAMÍLIA 6")</f>
        <v/>
      </c>
      <c r="AI893" s="56">
        <f>IF(DADOS_INVOC!$RA$12&gt;=4,"LIVRE 7","FAMÍLIA 7")</f>
        <v/>
      </c>
      <c r="AJ893" s="56">
        <f>IF(DADOS_INVOC!$RA$12&gt;=5,"LIVRE 8","FAMÍLIA 8")</f>
        <v/>
      </c>
      <c r="AK893" s="56">
        <f>IF(DADOS_INVOC!$RA$12&gt;=6,"LIVRE 9","FAMÍLIA 9")</f>
        <v/>
      </c>
      <c r="AL893" s="17" t="n"/>
      <c r="AM893" s="137" t="n"/>
      <c r="AN893" s="23" t="n"/>
      <c r="AO893" s="24" t="n"/>
      <c r="AP893" s="24" t="n"/>
      <c r="AQ893" s="24" t="n"/>
      <c r="AR893" s="25" t="n"/>
      <c r="AS893" s="137" t="n"/>
    </row>
    <row r="894" hidden="1" outlineLevel="1" ht="24" customHeight="1">
      <c r="A894" s="8" t="n"/>
      <c r="B894" s="14" t="n"/>
      <c r="C894" s="137" t="n"/>
      <c r="D894" s="137" t="n"/>
      <c r="E894" s="137" t="n"/>
      <c r="F894" s="137" t="n"/>
      <c r="G894" s="137" t="n"/>
      <c r="I894" s="56" t="inlineStr">
        <is>
          <t>AUTONOMIA</t>
        </is>
      </c>
      <c r="J894" s="17" t="n"/>
      <c r="K894" s="95" t="inlineStr">
        <is>
          <t>Autônoma</t>
        </is>
      </c>
      <c r="L894" s="16" t="n"/>
      <c r="M894" s="17" t="n"/>
      <c r="N894" s="137" t="n"/>
      <c r="O894" s="95" t="n"/>
      <c r="P894" s="95" t="n"/>
      <c r="Q894" s="95" t="n"/>
      <c r="R894" s="95" t="n"/>
      <c r="S894" s="17" t="n"/>
      <c r="T894" s="137" t="n"/>
      <c r="U894" s="137" t="n"/>
      <c r="V894" s="137" t="n"/>
      <c r="W894" s="137" t="n"/>
      <c r="X894" s="137" t="n"/>
      <c r="Y894" s="137" t="n"/>
      <c r="Z894" s="137" t="n"/>
      <c r="AB894" s="56" t="inlineStr">
        <is>
          <t>AUTONOMIA</t>
        </is>
      </c>
      <c r="AC894" s="17" t="n"/>
      <c r="AD894" s="95" t="inlineStr">
        <is>
          <t>Autônoma</t>
        </is>
      </c>
      <c r="AE894" s="16" t="n"/>
      <c r="AF894" s="17" t="n"/>
      <c r="AG894" s="137" t="n"/>
      <c r="AH894" s="95" t="n"/>
      <c r="AI894" s="95" t="n"/>
      <c r="AJ894" s="95" t="n"/>
      <c r="AK894" s="95" t="n"/>
      <c r="AL894" s="17" t="n"/>
      <c r="AM894" s="137" t="n"/>
      <c r="AN894" s="137" t="n"/>
      <c r="AO894" s="137" t="n"/>
      <c r="AP894" s="137" t="n"/>
      <c r="AQ894" s="137" t="n"/>
      <c r="AR894" s="137" t="n"/>
      <c r="AS894" s="137" t="n"/>
    </row>
    <row r="895" hidden="1" outlineLevel="1" ht="18.75" customHeight="1">
      <c r="A895" s="8" t="n"/>
      <c r="B895" s="14" t="n"/>
      <c r="C895" s="137" t="n"/>
      <c r="D895" s="137" t="n"/>
      <c r="E895" s="137" t="n"/>
      <c r="F895" s="137" t="n"/>
      <c r="G895" s="137" t="n"/>
      <c r="I895" s="137" t="n"/>
      <c r="J895" s="137" t="n"/>
      <c r="K895" s="137" t="n"/>
      <c r="L895" s="137" t="n"/>
      <c r="M895" s="137" t="n"/>
      <c r="N895" s="137" t="n"/>
      <c r="O895" s="101" t="inlineStr">
        <is>
          <t>FAMÍLIAS CUSTOM · CONFIGURAÇÃO</t>
        </is>
      </c>
      <c r="P895" s="16" t="n"/>
      <c r="Q895" s="16" t="n"/>
      <c r="R895" s="16" t="n"/>
      <c r="S895" s="17" t="n"/>
      <c r="T895" s="137" t="n"/>
      <c r="U895" s="137" t="n"/>
      <c r="V895" s="137" t="n"/>
      <c r="W895" s="137" t="n"/>
      <c r="X895" s="137" t="n"/>
      <c r="Y895" s="137" t="n"/>
      <c r="Z895" s="137" t="n"/>
      <c r="AB895" s="137" t="n"/>
      <c r="AC895" s="137" t="n"/>
      <c r="AD895" s="137" t="n"/>
      <c r="AE895" s="137" t="n"/>
      <c r="AF895" s="137" t="n"/>
      <c r="AG895" s="137" t="n"/>
      <c r="AH895" s="101" t="inlineStr">
        <is>
          <t>FAMÍLIAS CUSTOM · CONFIGURAÇÃO</t>
        </is>
      </c>
      <c r="AI895" s="16" t="n"/>
      <c r="AJ895" s="16" t="n"/>
      <c r="AK895" s="16" t="n"/>
      <c r="AL895" s="17" t="n"/>
      <c r="AM895" s="137" t="n"/>
      <c r="AN895" s="137" t="n"/>
      <c r="AO895" s="137" t="n"/>
      <c r="AP895" s="137" t="n"/>
      <c r="AQ895" s="137" t="n"/>
      <c r="AR895" s="137" t="n"/>
      <c r="AS895" s="137" t="n"/>
    </row>
    <row r="896" hidden="1" outlineLevel="2" ht="31.5" customHeight="1">
      <c r="O896" s="114">
        <f>IF(COUNTIF('DADOS_CRIACAO'!$H$11:$H$20,"?*")=0,"","Livre conta como aberta. As escolhas usam as vagas e os limites desta entidade.")</f>
        <v/>
      </c>
      <c r="P896" s="16" t="n"/>
      <c r="Q896" s="16" t="n"/>
      <c r="R896" s="16" t="n"/>
      <c r="S896" s="17" t="n"/>
      <c r="AH896" s="114">
        <f>IF(COUNTIF('DADOS_CRIACAO'!$H$11:$H$20,"?*")=0,"","Livre conta como aberta. As escolhas usam as vagas e os limites desta entidade.")</f>
        <v/>
      </c>
      <c r="AI896" s="16" t="n"/>
      <c r="AJ896" s="16" t="n"/>
      <c r="AK896" s="16" t="n"/>
      <c r="AL896" s="17" t="n"/>
    </row>
    <row r="897" hidden="1" outlineLevel="2" ht="18.75" customHeight="1">
      <c r="O897" s="115">
        <f>IF(COUNTIF('DADOS_CRIACAO'!$H$11:$H$20,"?*")=0,"","FAMÍLIA")</f>
        <v/>
      </c>
      <c r="P897" s="16" t="n"/>
      <c r="Q897" s="17" t="n"/>
      <c r="R897" s="115">
        <f>IF(COUNTIF('DADOS_CRIACAO'!$H$11:$H$20,"?*")=0,"","ESTADO")</f>
        <v/>
      </c>
      <c r="S897" s="17" t="n"/>
      <c r="AH897" s="115">
        <f>IF(COUNTIF('DADOS_CRIACAO'!$H$11:$H$20,"?*")=0,"","FAMÍLIA")</f>
        <v/>
      </c>
      <c r="AI897" s="16" t="n"/>
      <c r="AJ897" s="17" t="n"/>
      <c r="AK897" s="115">
        <f>IF(COUNTIF('DADOS_CRIACAO'!$H$11:$H$20,"?*")=0,"","ESTADO")</f>
        <v/>
      </c>
      <c r="AL897" s="17" t="n"/>
    </row>
    <row r="898" hidden="1" outlineLevel="2" ht="18.75" customHeight="1">
      <c r="O898" s="116">
        <f>'DADOS_CRIACAO'!$H$11</f>
        <v/>
      </c>
      <c r="P898" s="16" t="n"/>
      <c r="Q898" s="17" t="n"/>
      <c r="R898" s="116">
        <f>IF(O898="","",IFS(O892=O898,IF('DADOS_INVOC'!$RA$6&gt;=1,"Livre","Aberta"),P892=O898,IF('DADOS_INVOC'!$RA$6&gt;=2,"Livre","Aberta"),Q892=O898,IF('DADOS_INVOC'!$RA$6&gt;=7,"Livre","Aberta"),R892=O898,IF('DADOS_INVOC'!$RA$6&gt;=8,"Livre","Aberta"),S892=O898,IF('DADOS_INVOC'!$RA$6&gt;=9,"Livre","Aberta"),O894=O898,IF('DADOS_INVOC'!$RA$6&gt;=3,"Livre","Aberta"),P894=O898,IF('DADOS_INVOC'!$RA$6&gt;=4,"Livre","Aberta"),Q894=O898,IF('DADOS_INVOC'!$RA$6&gt;=5,"Livre","Aberta"),R894=O898,IF('DADOS_INVOC'!$RA$6&gt;=6,"Livre","Aberta"),TRUE,"Não escolhida"))</f>
        <v/>
      </c>
      <c r="S898" s="17" t="n"/>
      <c r="AH898" s="116">
        <f>'DADOS_CRIACAO'!$H$11</f>
        <v/>
      </c>
      <c r="AI898" s="16" t="n"/>
      <c r="AJ898" s="17" t="n"/>
      <c r="AK898" s="116">
        <f>IF(AH898="","",IFS(AH892=AH898,IF('DADOS_INVOC'!$RA$12&gt;=1,"Livre","Aberta"),AI892=AH898,IF('DADOS_INVOC'!$RA$12&gt;=2,"Livre","Aberta"),AJ892=AH898,IF('DADOS_INVOC'!$RA$12&gt;=7,"Livre","Aberta"),AK892=AH898,IF('DADOS_INVOC'!$RA$12&gt;=8,"Livre","Aberta"),AL892=AH898,IF('DADOS_INVOC'!$RA$12&gt;=9,"Livre","Aberta"),AH894=AH898,IF('DADOS_INVOC'!$RA$12&gt;=3,"Livre","Aberta"),AI894=AH898,IF('DADOS_INVOC'!$RA$12&gt;=4,"Livre","Aberta"),AJ894=AH898,IF('DADOS_INVOC'!$RA$12&gt;=5,"Livre","Aberta"),AK894=AH898,IF('DADOS_INVOC'!$RA$12&gt;=6,"Livre","Aberta"),TRUE,"Não escolhida"))</f>
        <v/>
      </c>
      <c r="AL898" s="17" t="n"/>
    </row>
    <row r="899" hidden="1" outlineLevel="2" ht="18.75" customHeight="1">
      <c r="O899" s="116">
        <f>'DADOS_CRIACAO'!$H$12</f>
        <v/>
      </c>
      <c r="P899" s="16" t="n"/>
      <c r="Q899" s="17" t="n"/>
      <c r="R899" s="116">
        <f>IF(O899="","",IFS(O892=O899,IF('DADOS_INVOC'!$RA$6&gt;=1,"Livre","Aberta"),P892=O899,IF('DADOS_INVOC'!$RA$6&gt;=2,"Livre","Aberta"),Q892=O899,IF('DADOS_INVOC'!$RA$6&gt;=7,"Livre","Aberta"),R892=O899,IF('DADOS_INVOC'!$RA$6&gt;=8,"Livre","Aberta"),S892=O899,IF('DADOS_INVOC'!$RA$6&gt;=9,"Livre","Aberta"),O894=O899,IF('DADOS_INVOC'!$RA$6&gt;=3,"Livre","Aberta"),P894=O899,IF('DADOS_INVOC'!$RA$6&gt;=4,"Livre","Aberta"),Q894=O899,IF('DADOS_INVOC'!$RA$6&gt;=5,"Livre","Aberta"),R894=O899,IF('DADOS_INVOC'!$RA$6&gt;=6,"Livre","Aberta"),TRUE,"Não escolhida"))</f>
        <v/>
      </c>
      <c r="S899" s="17" t="n"/>
      <c r="AH899" s="116">
        <f>'DADOS_CRIACAO'!$H$12</f>
        <v/>
      </c>
      <c r="AI899" s="16" t="n"/>
      <c r="AJ899" s="17" t="n"/>
      <c r="AK899" s="116">
        <f>IF(AH899="","",IFS(AH892=AH899,IF('DADOS_INVOC'!$RA$12&gt;=1,"Livre","Aberta"),AI892=AH899,IF('DADOS_INVOC'!$RA$12&gt;=2,"Livre","Aberta"),AJ892=AH899,IF('DADOS_INVOC'!$RA$12&gt;=7,"Livre","Aberta"),AK892=AH899,IF('DADOS_INVOC'!$RA$12&gt;=8,"Livre","Aberta"),AL892=AH899,IF('DADOS_INVOC'!$RA$12&gt;=9,"Livre","Aberta"),AH894=AH899,IF('DADOS_INVOC'!$RA$12&gt;=3,"Livre","Aberta"),AI894=AH899,IF('DADOS_INVOC'!$RA$12&gt;=4,"Livre","Aberta"),AJ894=AH899,IF('DADOS_INVOC'!$RA$12&gt;=5,"Livre","Aberta"),AK894=AH899,IF('DADOS_INVOC'!$RA$12&gt;=6,"Livre","Aberta"),TRUE,"Não escolhida"))</f>
        <v/>
      </c>
      <c r="AL899" s="17" t="n"/>
    </row>
    <row r="900" hidden="1" outlineLevel="2" ht="18.75" customHeight="1">
      <c r="O900" s="116">
        <f>'DADOS_CRIACAO'!$H$13</f>
        <v/>
      </c>
      <c r="P900" s="16" t="n"/>
      <c r="Q900" s="17" t="n"/>
      <c r="R900" s="116">
        <f>IF(O900="","",IFS(O892=O900,IF('DADOS_INVOC'!$RA$6&gt;=1,"Livre","Aberta"),P892=O900,IF('DADOS_INVOC'!$RA$6&gt;=2,"Livre","Aberta"),Q892=O900,IF('DADOS_INVOC'!$RA$6&gt;=7,"Livre","Aberta"),R892=O900,IF('DADOS_INVOC'!$RA$6&gt;=8,"Livre","Aberta"),S892=O900,IF('DADOS_INVOC'!$RA$6&gt;=9,"Livre","Aberta"),O894=O900,IF('DADOS_INVOC'!$RA$6&gt;=3,"Livre","Aberta"),P894=O900,IF('DADOS_INVOC'!$RA$6&gt;=4,"Livre","Aberta"),Q894=O900,IF('DADOS_INVOC'!$RA$6&gt;=5,"Livre","Aberta"),R894=O900,IF('DADOS_INVOC'!$RA$6&gt;=6,"Livre","Aberta"),TRUE,"Não escolhida"))</f>
        <v/>
      </c>
      <c r="S900" s="17" t="n"/>
      <c r="AH900" s="116">
        <f>'DADOS_CRIACAO'!$H$13</f>
        <v/>
      </c>
      <c r="AI900" s="16" t="n"/>
      <c r="AJ900" s="17" t="n"/>
      <c r="AK900" s="116">
        <f>IF(AH900="","",IFS(AH892=AH900,IF('DADOS_INVOC'!$RA$12&gt;=1,"Livre","Aberta"),AI892=AH900,IF('DADOS_INVOC'!$RA$12&gt;=2,"Livre","Aberta"),AJ892=AH900,IF('DADOS_INVOC'!$RA$12&gt;=7,"Livre","Aberta"),AK892=AH900,IF('DADOS_INVOC'!$RA$12&gt;=8,"Livre","Aberta"),AL892=AH900,IF('DADOS_INVOC'!$RA$12&gt;=9,"Livre","Aberta"),AH894=AH900,IF('DADOS_INVOC'!$RA$12&gt;=3,"Livre","Aberta"),AI894=AH900,IF('DADOS_INVOC'!$RA$12&gt;=4,"Livre","Aberta"),AJ894=AH900,IF('DADOS_INVOC'!$RA$12&gt;=5,"Livre","Aberta"),AK894=AH900,IF('DADOS_INVOC'!$RA$12&gt;=6,"Livre","Aberta"),TRUE,"Não escolhida"))</f>
        <v/>
      </c>
      <c r="AL900" s="17" t="n"/>
    </row>
    <row r="901" hidden="1" outlineLevel="2" ht="18.75" customHeight="1">
      <c r="O901" s="116">
        <f>'DADOS_CRIACAO'!$H$14</f>
        <v/>
      </c>
      <c r="P901" s="16" t="n"/>
      <c r="Q901" s="17" t="n"/>
      <c r="R901" s="116">
        <f>IF(O901="","",IFS(O892=O901,IF('DADOS_INVOC'!$RA$6&gt;=1,"Livre","Aberta"),P892=O901,IF('DADOS_INVOC'!$RA$6&gt;=2,"Livre","Aberta"),Q892=O901,IF('DADOS_INVOC'!$RA$6&gt;=7,"Livre","Aberta"),R892=O901,IF('DADOS_INVOC'!$RA$6&gt;=8,"Livre","Aberta"),S892=O901,IF('DADOS_INVOC'!$RA$6&gt;=9,"Livre","Aberta"),O894=O901,IF('DADOS_INVOC'!$RA$6&gt;=3,"Livre","Aberta"),P894=O901,IF('DADOS_INVOC'!$RA$6&gt;=4,"Livre","Aberta"),Q894=O901,IF('DADOS_INVOC'!$RA$6&gt;=5,"Livre","Aberta"),R894=O901,IF('DADOS_INVOC'!$RA$6&gt;=6,"Livre","Aberta"),TRUE,"Não escolhida"))</f>
        <v/>
      </c>
      <c r="S901" s="17" t="n"/>
      <c r="AH901" s="116">
        <f>'DADOS_CRIACAO'!$H$14</f>
        <v/>
      </c>
      <c r="AI901" s="16" t="n"/>
      <c r="AJ901" s="17" t="n"/>
      <c r="AK901" s="116">
        <f>IF(AH901="","",IFS(AH892=AH901,IF('DADOS_INVOC'!$RA$12&gt;=1,"Livre","Aberta"),AI892=AH901,IF('DADOS_INVOC'!$RA$12&gt;=2,"Livre","Aberta"),AJ892=AH901,IF('DADOS_INVOC'!$RA$12&gt;=7,"Livre","Aberta"),AK892=AH901,IF('DADOS_INVOC'!$RA$12&gt;=8,"Livre","Aberta"),AL892=AH901,IF('DADOS_INVOC'!$RA$12&gt;=9,"Livre","Aberta"),AH894=AH901,IF('DADOS_INVOC'!$RA$12&gt;=3,"Livre","Aberta"),AI894=AH901,IF('DADOS_INVOC'!$RA$12&gt;=4,"Livre","Aberta"),AJ894=AH901,IF('DADOS_INVOC'!$RA$12&gt;=5,"Livre","Aberta"),AK894=AH901,IF('DADOS_INVOC'!$RA$12&gt;=6,"Livre","Aberta"),TRUE,"Não escolhida"))</f>
        <v/>
      </c>
      <c r="AL901" s="17" t="n"/>
    </row>
    <row r="902" hidden="1" outlineLevel="2" ht="18.75" customHeight="1">
      <c r="O902" s="116">
        <f>'DADOS_CRIACAO'!$H$15</f>
        <v/>
      </c>
      <c r="P902" s="16" t="n"/>
      <c r="Q902" s="17" t="n"/>
      <c r="R902" s="116">
        <f>IF(O902="","",IFS(O892=O902,IF('DADOS_INVOC'!$RA$6&gt;=1,"Livre","Aberta"),P892=O902,IF('DADOS_INVOC'!$RA$6&gt;=2,"Livre","Aberta"),Q892=O902,IF('DADOS_INVOC'!$RA$6&gt;=7,"Livre","Aberta"),R892=O902,IF('DADOS_INVOC'!$RA$6&gt;=8,"Livre","Aberta"),S892=O902,IF('DADOS_INVOC'!$RA$6&gt;=9,"Livre","Aberta"),O894=O902,IF('DADOS_INVOC'!$RA$6&gt;=3,"Livre","Aberta"),P894=O902,IF('DADOS_INVOC'!$RA$6&gt;=4,"Livre","Aberta"),Q894=O902,IF('DADOS_INVOC'!$RA$6&gt;=5,"Livre","Aberta"),R894=O902,IF('DADOS_INVOC'!$RA$6&gt;=6,"Livre","Aberta"),TRUE,"Não escolhida"))</f>
        <v/>
      </c>
      <c r="S902" s="17" t="n"/>
      <c r="AH902" s="116">
        <f>'DADOS_CRIACAO'!$H$15</f>
        <v/>
      </c>
      <c r="AI902" s="16" t="n"/>
      <c r="AJ902" s="17" t="n"/>
      <c r="AK902" s="116">
        <f>IF(AH902="","",IFS(AH892=AH902,IF('DADOS_INVOC'!$RA$12&gt;=1,"Livre","Aberta"),AI892=AH902,IF('DADOS_INVOC'!$RA$12&gt;=2,"Livre","Aberta"),AJ892=AH902,IF('DADOS_INVOC'!$RA$12&gt;=7,"Livre","Aberta"),AK892=AH902,IF('DADOS_INVOC'!$RA$12&gt;=8,"Livre","Aberta"),AL892=AH902,IF('DADOS_INVOC'!$RA$12&gt;=9,"Livre","Aberta"),AH894=AH902,IF('DADOS_INVOC'!$RA$12&gt;=3,"Livre","Aberta"),AI894=AH902,IF('DADOS_INVOC'!$RA$12&gt;=4,"Livre","Aberta"),AJ894=AH902,IF('DADOS_INVOC'!$RA$12&gt;=5,"Livre","Aberta"),AK894=AH902,IF('DADOS_INVOC'!$RA$12&gt;=6,"Livre","Aberta"),TRUE,"Não escolhida"))</f>
        <v/>
      </c>
      <c r="AL902" s="17" t="n"/>
    </row>
    <row r="903" hidden="1" outlineLevel="2" ht="18.75" customHeight="1">
      <c r="O903" s="116">
        <f>'DADOS_CRIACAO'!$H$16</f>
        <v/>
      </c>
      <c r="P903" s="16" t="n"/>
      <c r="Q903" s="17" t="n"/>
      <c r="R903" s="116">
        <f>IF(O903="","",IFS(O892=O903,IF('DADOS_INVOC'!$RA$6&gt;=1,"Livre","Aberta"),P892=O903,IF('DADOS_INVOC'!$RA$6&gt;=2,"Livre","Aberta"),Q892=O903,IF('DADOS_INVOC'!$RA$6&gt;=7,"Livre","Aberta"),R892=O903,IF('DADOS_INVOC'!$RA$6&gt;=8,"Livre","Aberta"),S892=O903,IF('DADOS_INVOC'!$RA$6&gt;=9,"Livre","Aberta"),O894=O903,IF('DADOS_INVOC'!$RA$6&gt;=3,"Livre","Aberta"),P894=O903,IF('DADOS_INVOC'!$RA$6&gt;=4,"Livre","Aberta"),Q894=O903,IF('DADOS_INVOC'!$RA$6&gt;=5,"Livre","Aberta"),R894=O903,IF('DADOS_INVOC'!$RA$6&gt;=6,"Livre","Aberta"),TRUE,"Não escolhida"))</f>
        <v/>
      </c>
      <c r="S903" s="17" t="n"/>
      <c r="AH903" s="116">
        <f>'DADOS_CRIACAO'!$H$16</f>
        <v/>
      </c>
      <c r="AI903" s="16" t="n"/>
      <c r="AJ903" s="17" t="n"/>
      <c r="AK903" s="116">
        <f>IF(AH903="","",IFS(AH892=AH903,IF('DADOS_INVOC'!$RA$12&gt;=1,"Livre","Aberta"),AI892=AH903,IF('DADOS_INVOC'!$RA$12&gt;=2,"Livre","Aberta"),AJ892=AH903,IF('DADOS_INVOC'!$RA$12&gt;=7,"Livre","Aberta"),AK892=AH903,IF('DADOS_INVOC'!$RA$12&gt;=8,"Livre","Aberta"),AL892=AH903,IF('DADOS_INVOC'!$RA$12&gt;=9,"Livre","Aberta"),AH894=AH903,IF('DADOS_INVOC'!$RA$12&gt;=3,"Livre","Aberta"),AI894=AH903,IF('DADOS_INVOC'!$RA$12&gt;=4,"Livre","Aberta"),AJ894=AH903,IF('DADOS_INVOC'!$RA$12&gt;=5,"Livre","Aberta"),AK894=AH903,IF('DADOS_INVOC'!$RA$12&gt;=6,"Livre","Aberta"),TRUE,"Não escolhida"))</f>
        <v/>
      </c>
      <c r="AL903" s="17" t="n"/>
    </row>
    <row r="904" hidden="1" outlineLevel="2" ht="18.75" customHeight="1">
      <c r="O904" s="116">
        <f>'DADOS_CRIACAO'!$H$17</f>
        <v/>
      </c>
      <c r="P904" s="16" t="n"/>
      <c r="Q904" s="17" t="n"/>
      <c r="R904" s="116">
        <f>IF(O904="","",IFS(O892=O904,IF('DADOS_INVOC'!$RA$6&gt;=1,"Livre","Aberta"),P892=O904,IF('DADOS_INVOC'!$RA$6&gt;=2,"Livre","Aberta"),Q892=O904,IF('DADOS_INVOC'!$RA$6&gt;=7,"Livre","Aberta"),R892=O904,IF('DADOS_INVOC'!$RA$6&gt;=8,"Livre","Aberta"),S892=O904,IF('DADOS_INVOC'!$RA$6&gt;=9,"Livre","Aberta"),O894=O904,IF('DADOS_INVOC'!$RA$6&gt;=3,"Livre","Aberta"),P894=O904,IF('DADOS_INVOC'!$RA$6&gt;=4,"Livre","Aberta"),Q894=O904,IF('DADOS_INVOC'!$RA$6&gt;=5,"Livre","Aberta"),R894=O904,IF('DADOS_INVOC'!$RA$6&gt;=6,"Livre","Aberta"),TRUE,"Não escolhida"))</f>
        <v/>
      </c>
      <c r="S904" s="17" t="n"/>
      <c r="AH904" s="116">
        <f>'DADOS_CRIACAO'!$H$17</f>
        <v/>
      </c>
      <c r="AI904" s="16" t="n"/>
      <c r="AJ904" s="17" t="n"/>
      <c r="AK904" s="116">
        <f>IF(AH904="","",IFS(AH892=AH904,IF('DADOS_INVOC'!$RA$12&gt;=1,"Livre","Aberta"),AI892=AH904,IF('DADOS_INVOC'!$RA$12&gt;=2,"Livre","Aberta"),AJ892=AH904,IF('DADOS_INVOC'!$RA$12&gt;=7,"Livre","Aberta"),AK892=AH904,IF('DADOS_INVOC'!$RA$12&gt;=8,"Livre","Aberta"),AL892=AH904,IF('DADOS_INVOC'!$RA$12&gt;=9,"Livre","Aberta"),AH894=AH904,IF('DADOS_INVOC'!$RA$12&gt;=3,"Livre","Aberta"),AI894=AH904,IF('DADOS_INVOC'!$RA$12&gt;=4,"Livre","Aberta"),AJ894=AH904,IF('DADOS_INVOC'!$RA$12&gt;=5,"Livre","Aberta"),AK894=AH904,IF('DADOS_INVOC'!$RA$12&gt;=6,"Livre","Aberta"),TRUE,"Não escolhida"))</f>
        <v/>
      </c>
      <c r="AL904" s="17" t="n"/>
    </row>
    <row r="905" hidden="1" outlineLevel="2" ht="18.75" customHeight="1">
      <c r="O905" s="116">
        <f>'DADOS_CRIACAO'!$H$18</f>
        <v/>
      </c>
      <c r="P905" s="16" t="n"/>
      <c r="Q905" s="17" t="n"/>
      <c r="R905" s="116">
        <f>IF(O905="","",IFS(O892=O905,IF('DADOS_INVOC'!$RA$6&gt;=1,"Livre","Aberta"),P892=O905,IF('DADOS_INVOC'!$RA$6&gt;=2,"Livre","Aberta"),Q892=O905,IF('DADOS_INVOC'!$RA$6&gt;=7,"Livre","Aberta"),R892=O905,IF('DADOS_INVOC'!$RA$6&gt;=8,"Livre","Aberta"),S892=O905,IF('DADOS_INVOC'!$RA$6&gt;=9,"Livre","Aberta"),O894=O905,IF('DADOS_INVOC'!$RA$6&gt;=3,"Livre","Aberta"),P894=O905,IF('DADOS_INVOC'!$RA$6&gt;=4,"Livre","Aberta"),Q894=O905,IF('DADOS_INVOC'!$RA$6&gt;=5,"Livre","Aberta"),R894=O905,IF('DADOS_INVOC'!$RA$6&gt;=6,"Livre","Aberta"),TRUE,"Não escolhida"))</f>
        <v/>
      </c>
      <c r="S905" s="17" t="n"/>
      <c r="AH905" s="116">
        <f>'DADOS_CRIACAO'!$H$18</f>
        <v/>
      </c>
      <c r="AI905" s="16" t="n"/>
      <c r="AJ905" s="17" t="n"/>
      <c r="AK905" s="116">
        <f>IF(AH905="","",IFS(AH892=AH905,IF('DADOS_INVOC'!$RA$12&gt;=1,"Livre","Aberta"),AI892=AH905,IF('DADOS_INVOC'!$RA$12&gt;=2,"Livre","Aberta"),AJ892=AH905,IF('DADOS_INVOC'!$RA$12&gt;=7,"Livre","Aberta"),AK892=AH905,IF('DADOS_INVOC'!$RA$12&gt;=8,"Livre","Aberta"),AL892=AH905,IF('DADOS_INVOC'!$RA$12&gt;=9,"Livre","Aberta"),AH894=AH905,IF('DADOS_INVOC'!$RA$12&gt;=3,"Livre","Aberta"),AI894=AH905,IF('DADOS_INVOC'!$RA$12&gt;=4,"Livre","Aberta"),AJ894=AH905,IF('DADOS_INVOC'!$RA$12&gt;=5,"Livre","Aberta"),AK894=AH905,IF('DADOS_INVOC'!$RA$12&gt;=6,"Livre","Aberta"),TRUE,"Não escolhida"))</f>
        <v/>
      </c>
      <c r="AL905" s="17" t="n"/>
    </row>
    <row r="906" hidden="1" outlineLevel="2" ht="18.75" customHeight="1">
      <c r="O906" s="116">
        <f>'DADOS_CRIACAO'!$H$19</f>
        <v/>
      </c>
      <c r="P906" s="16" t="n"/>
      <c r="Q906" s="17" t="n"/>
      <c r="R906" s="116">
        <f>IF(O906="","",IFS(O892=O906,IF('DADOS_INVOC'!$RA$6&gt;=1,"Livre","Aberta"),P892=O906,IF('DADOS_INVOC'!$RA$6&gt;=2,"Livre","Aberta"),Q892=O906,IF('DADOS_INVOC'!$RA$6&gt;=7,"Livre","Aberta"),R892=O906,IF('DADOS_INVOC'!$RA$6&gt;=8,"Livre","Aberta"),S892=O906,IF('DADOS_INVOC'!$RA$6&gt;=9,"Livre","Aberta"),O894=O906,IF('DADOS_INVOC'!$RA$6&gt;=3,"Livre","Aberta"),P894=O906,IF('DADOS_INVOC'!$RA$6&gt;=4,"Livre","Aberta"),Q894=O906,IF('DADOS_INVOC'!$RA$6&gt;=5,"Livre","Aberta"),R894=O906,IF('DADOS_INVOC'!$RA$6&gt;=6,"Livre","Aberta"),TRUE,"Não escolhida"))</f>
        <v/>
      </c>
      <c r="S906" s="17" t="n"/>
      <c r="AH906" s="116">
        <f>'DADOS_CRIACAO'!$H$19</f>
        <v/>
      </c>
      <c r="AI906" s="16" t="n"/>
      <c r="AJ906" s="17" t="n"/>
      <c r="AK906" s="116">
        <f>IF(AH906="","",IFS(AH892=AH906,IF('DADOS_INVOC'!$RA$12&gt;=1,"Livre","Aberta"),AI892=AH906,IF('DADOS_INVOC'!$RA$12&gt;=2,"Livre","Aberta"),AJ892=AH906,IF('DADOS_INVOC'!$RA$12&gt;=7,"Livre","Aberta"),AK892=AH906,IF('DADOS_INVOC'!$RA$12&gt;=8,"Livre","Aberta"),AL892=AH906,IF('DADOS_INVOC'!$RA$12&gt;=9,"Livre","Aberta"),AH894=AH906,IF('DADOS_INVOC'!$RA$12&gt;=3,"Livre","Aberta"),AI894=AH906,IF('DADOS_INVOC'!$RA$12&gt;=4,"Livre","Aberta"),AJ894=AH906,IF('DADOS_INVOC'!$RA$12&gt;=5,"Livre","Aberta"),AK894=AH906,IF('DADOS_INVOC'!$RA$12&gt;=6,"Livre","Aberta"),TRUE,"Não escolhida"))</f>
        <v/>
      </c>
      <c r="AL906" s="17" t="n"/>
    </row>
    <row r="907" hidden="1" outlineLevel="2" ht="18.75" customHeight="1">
      <c r="O907" s="116">
        <f>'DADOS_CRIACAO'!$H$20</f>
        <v/>
      </c>
      <c r="P907" s="16" t="n"/>
      <c r="Q907" s="17" t="n"/>
      <c r="R907" s="116">
        <f>IF(O907="","",IFS(O892=O907,IF('DADOS_INVOC'!$RA$6&gt;=1,"Livre","Aberta"),P892=O907,IF('DADOS_INVOC'!$RA$6&gt;=2,"Livre","Aberta"),Q892=O907,IF('DADOS_INVOC'!$RA$6&gt;=7,"Livre","Aberta"),R892=O907,IF('DADOS_INVOC'!$RA$6&gt;=8,"Livre","Aberta"),S892=O907,IF('DADOS_INVOC'!$RA$6&gt;=9,"Livre","Aberta"),O894=O907,IF('DADOS_INVOC'!$RA$6&gt;=3,"Livre","Aberta"),P894=O907,IF('DADOS_INVOC'!$RA$6&gt;=4,"Livre","Aberta"),Q894=O907,IF('DADOS_INVOC'!$RA$6&gt;=5,"Livre","Aberta"),R894=O907,IF('DADOS_INVOC'!$RA$6&gt;=6,"Livre","Aberta"),TRUE,"Não escolhida"))</f>
        <v/>
      </c>
      <c r="S907" s="17" t="n"/>
      <c r="AH907" s="116">
        <f>'DADOS_CRIACAO'!$H$20</f>
        <v/>
      </c>
      <c r="AI907" s="16" t="n"/>
      <c r="AJ907" s="17" t="n"/>
      <c r="AK907" s="116">
        <f>IF(AH907="","",IFS(AH892=AH907,IF('DADOS_INVOC'!$RA$12&gt;=1,"Livre","Aberta"),AI892=AH907,IF('DADOS_INVOC'!$RA$12&gt;=2,"Livre","Aberta"),AJ892=AH907,IF('DADOS_INVOC'!$RA$12&gt;=7,"Livre","Aberta"),AK892=AH907,IF('DADOS_INVOC'!$RA$12&gt;=8,"Livre","Aberta"),AL892=AH907,IF('DADOS_INVOC'!$RA$12&gt;=9,"Livre","Aberta"),AH894=AH907,IF('DADOS_INVOC'!$RA$12&gt;=3,"Livre","Aberta"),AI894=AH907,IF('DADOS_INVOC'!$RA$12&gt;=4,"Livre","Aberta"),AJ894=AH907,IF('DADOS_INVOC'!$RA$12&gt;=5,"Livre","Aberta"),AK894=AH907,IF('DADOS_INVOC'!$RA$12&gt;=6,"Livre","Aberta"),TRUE,"Não escolhida"))</f>
        <v/>
      </c>
      <c r="AL907" s="17" t="n"/>
    </row>
    <row r="908" hidden="1" outlineLevel="2" ht="18.75" customHeight="1"/>
    <row r="909" hidden="1" outlineLevel="1">
      <c r="A909" s="8" t="n"/>
      <c r="B909" s="14" t="n"/>
      <c r="C909" s="137" t="n"/>
      <c r="D909" s="137" t="n"/>
      <c r="E909" s="137" t="n"/>
      <c r="F909" s="137" t="n"/>
      <c r="G909" s="137" t="n"/>
      <c r="I909" s="56" t="inlineStr">
        <is>
          <t>DEFINIÇÃO</t>
        </is>
      </c>
      <c r="J909" s="16" t="n"/>
      <c r="K909" s="16" t="n"/>
      <c r="L909" s="16" t="n"/>
      <c r="M909" s="16" t="n"/>
      <c r="N909" s="16" t="n"/>
      <c r="O909" s="16" t="n"/>
      <c r="P909" s="16" t="n"/>
      <c r="Q909" s="16" t="n"/>
      <c r="R909" s="16" t="n"/>
      <c r="S909" s="16" t="n"/>
      <c r="T909" s="16" t="n"/>
      <c r="U909" s="16" t="n"/>
      <c r="V909" s="16" t="n"/>
      <c r="W909" s="16" t="n"/>
      <c r="X909" s="16" t="n"/>
      <c r="Y909" s="17" t="n"/>
      <c r="Z909" s="137" t="n"/>
      <c r="AB909" s="56" t="inlineStr">
        <is>
          <t>DEFINIÇÃO</t>
        </is>
      </c>
      <c r="AC909" s="16" t="n"/>
      <c r="AD909" s="16" t="n"/>
      <c r="AE909" s="16" t="n"/>
      <c r="AF909" s="16" t="n"/>
      <c r="AG909" s="16" t="n"/>
      <c r="AH909" s="16" t="n"/>
      <c r="AI909" s="16" t="n"/>
      <c r="AJ909" s="16" t="n"/>
      <c r="AK909" s="16" t="n"/>
      <c r="AL909" s="16" t="n"/>
      <c r="AM909" s="16" t="n"/>
      <c r="AN909" s="16" t="n"/>
      <c r="AO909" s="16" t="n"/>
      <c r="AP909" s="16" t="n"/>
      <c r="AQ909" s="16" t="n"/>
      <c r="AR909" s="17" t="n"/>
      <c r="AS909" s="137" t="n"/>
    </row>
    <row r="910" hidden="1" outlineLevel="1">
      <c r="A910" s="8" t="n"/>
      <c r="B910" s="14" t="n"/>
      <c r="C910" s="137" t="n"/>
      <c r="D910" s="137" t="n"/>
      <c r="E910" s="137" t="n"/>
      <c r="F910" s="137" t="n"/>
      <c r="G910" s="137" t="n"/>
      <c r="I910" s="61" t="n"/>
      <c r="J910" s="19" t="n"/>
      <c r="K910" s="19" t="n"/>
      <c r="L910" s="19" t="n"/>
      <c r="M910" s="19" t="n"/>
      <c r="N910" s="19" t="n"/>
      <c r="O910" s="19" t="n"/>
      <c r="P910" s="19" t="n"/>
      <c r="Q910" s="19" t="n"/>
      <c r="R910" s="19" t="n"/>
      <c r="S910" s="19" t="n"/>
      <c r="T910" s="19" t="n"/>
      <c r="U910" s="19" t="n"/>
      <c r="V910" s="19" t="n"/>
      <c r="W910" s="19" t="n"/>
      <c r="X910" s="19" t="n"/>
      <c r="Y910" s="20" t="n"/>
      <c r="Z910" s="137" t="n"/>
      <c r="AB910" s="61" t="n"/>
      <c r="AC910" s="19" t="n"/>
      <c r="AD910" s="19" t="n"/>
      <c r="AE910" s="19" t="n"/>
      <c r="AF910" s="19" t="n"/>
      <c r="AG910" s="19" t="n"/>
      <c r="AH910" s="19" t="n"/>
      <c r="AI910" s="19" t="n"/>
      <c r="AJ910" s="19" t="n"/>
      <c r="AK910" s="19" t="n"/>
      <c r="AL910" s="19" t="n"/>
      <c r="AM910" s="19" t="n"/>
      <c r="AN910" s="19" t="n"/>
      <c r="AO910" s="19" t="n"/>
      <c r="AP910" s="19" t="n"/>
      <c r="AQ910" s="19" t="n"/>
      <c r="AR910" s="20" t="n"/>
      <c r="AS910" s="137" t="n"/>
    </row>
    <row r="911" hidden="1" outlineLevel="1">
      <c r="A911" s="8" t="n"/>
      <c r="B911" s="14" t="n"/>
      <c r="C911" s="137" t="n"/>
      <c r="D911" s="137" t="n"/>
      <c r="E911" s="137" t="n"/>
      <c r="F911" s="137" t="n"/>
      <c r="G911" s="137" t="n"/>
      <c r="I911" s="23" t="n"/>
      <c r="J911" s="24" t="n"/>
      <c r="K911" s="24" t="n"/>
      <c r="L911" s="24" t="n"/>
      <c r="M911" s="24" t="n"/>
      <c r="N911" s="24" t="n"/>
      <c r="O911" s="24" t="n"/>
      <c r="P911" s="24" t="n"/>
      <c r="Q911" s="24" t="n"/>
      <c r="R911" s="24" t="n"/>
      <c r="S911" s="24" t="n"/>
      <c r="T911" s="24" t="n"/>
      <c r="U911" s="24" t="n"/>
      <c r="V911" s="24" t="n"/>
      <c r="W911" s="24" t="n"/>
      <c r="X911" s="24" t="n"/>
      <c r="Y911" s="25" t="n"/>
      <c r="Z911" s="137" t="n"/>
      <c r="AB911" s="23" t="n"/>
      <c r="AC911" s="24" t="n"/>
      <c r="AD911" s="24" t="n"/>
      <c r="AE911" s="24" t="n"/>
      <c r="AF911" s="24" t="n"/>
      <c r="AG911" s="24" t="n"/>
      <c r="AH911" s="24" t="n"/>
      <c r="AI911" s="24" t="n"/>
      <c r="AJ911" s="24" t="n"/>
      <c r="AK911" s="24" t="n"/>
      <c r="AL911" s="24" t="n"/>
      <c r="AM911" s="24" t="n"/>
      <c r="AN911" s="24" t="n"/>
      <c r="AO911" s="24" t="n"/>
      <c r="AP911" s="24" t="n"/>
      <c r="AQ911" s="24" t="n"/>
      <c r="AR911" s="25" t="n"/>
      <c r="AS911" s="137" t="n"/>
    </row>
    <row r="912" hidden="1" outlineLevel="1">
      <c r="A912" s="8" t="n"/>
      <c r="B912" s="14" t="n"/>
      <c r="C912" s="137" t="n"/>
      <c r="D912" s="137" t="n"/>
      <c r="E912" s="137" t="n"/>
      <c r="F912" s="137" t="n"/>
      <c r="G912" s="137" t="n"/>
      <c r="I912" s="146">
        <f>DADOS_INVOC!$IE$6</f>
        <v/>
      </c>
      <c r="J912" s="16" t="n"/>
      <c r="K912" s="16" t="n"/>
      <c r="L912" s="16" t="n"/>
      <c r="M912" s="16" t="n"/>
      <c r="N912" s="16" t="n"/>
      <c r="O912" s="16" t="n"/>
      <c r="P912" s="16" t="n"/>
      <c r="Q912" s="16" t="n"/>
      <c r="R912" s="16" t="n"/>
      <c r="S912" s="16" t="n"/>
      <c r="T912" s="16" t="n"/>
      <c r="U912" s="16" t="n"/>
      <c r="V912" s="16" t="n"/>
      <c r="W912" s="16" t="n"/>
      <c r="X912" s="16" t="n"/>
      <c r="Y912" s="17" t="n"/>
      <c r="Z912" s="137" t="n"/>
      <c r="AB912" s="146">
        <f>DADOS_INVOC!$IE$12</f>
        <v/>
      </c>
      <c r="AC912" s="16" t="n"/>
      <c r="AD912" s="16" t="n"/>
      <c r="AE912" s="16" t="n"/>
      <c r="AF912" s="16" t="n"/>
      <c r="AG912" s="16" t="n"/>
      <c r="AH912" s="16" t="n"/>
      <c r="AI912" s="16" t="n"/>
      <c r="AJ912" s="16" t="n"/>
      <c r="AK912" s="16" t="n"/>
      <c r="AL912" s="16" t="n"/>
      <c r="AM912" s="16" t="n"/>
      <c r="AN912" s="16" t="n"/>
      <c r="AO912" s="16" t="n"/>
      <c r="AP912" s="16" t="n"/>
      <c r="AQ912" s="16" t="n"/>
      <c r="AR912" s="17" t="n"/>
      <c r="AS912" s="137" t="n"/>
    </row>
    <row r="913" hidden="1" outlineLevel="1">
      <c r="A913" s="8" t="n"/>
      <c r="B913" s="14" t="n"/>
      <c r="C913" s="137" t="n"/>
      <c r="D913" s="137" t="n"/>
      <c r="E913" s="137" t="n"/>
      <c r="F913" s="137" t="n"/>
      <c r="G913" s="137" t="n"/>
      <c r="I913" s="137" t="n"/>
      <c r="J913" s="137" t="n"/>
      <c r="K913" s="137" t="n"/>
      <c r="L913" s="137" t="n"/>
      <c r="M913" s="137" t="n"/>
      <c r="N913" s="137" t="n"/>
      <c r="O913" s="137" t="n"/>
      <c r="P913" s="137" t="n"/>
      <c r="Q913" s="137" t="n"/>
      <c r="R913" s="137" t="n"/>
      <c r="S913" s="137" t="n"/>
      <c r="T913" s="137" t="n"/>
      <c r="U913" s="137" t="n"/>
      <c r="V913" s="137" t="n"/>
      <c r="W913" s="137" t="n"/>
      <c r="X913" s="137" t="n"/>
      <c r="Y913" s="137" t="n"/>
      <c r="Z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37" t="n"/>
      <c r="AS913" s="137" t="n"/>
    </row>
    <row r="914" hidden="1" outlineLevel="1">
      <c r="A914" s="8" t="n"/>
      <c r="B914" s="14" t="n"/>
      <c r="C914" s="137" t="n"/>
      <c r="D914" s="137" t="n"/>
      <c r="E914" s="137" t="n"/>
      <c r="F914" s="137" t="n"/>
      <c r="G914" s="137" t="n"/>
      <c r="I914" s="56">
        <f>DADOS_INVOC!$PZ$54</f>
        <v/>
      </c>
      <c r="J914" s="16" t="n"/>
      <c r="K914" s="16" t="n"/>
      <c r="L914" s="16" t="n"/>
      <c r="M914" s="17" t="n"/>
      <c r="N914" s="137" t="n"/>
      <c r="O914" s="56">
        <f>DADOS_INVOC!$PZ$55</f>
        <v/>
      </c>
      <c r="P914" s="16" t="n"/>
      <c r="Q914" s="16" t="n"/>
      <c r="R914" s="16" t="n"/>
      <c r="S914" s="17" t="n"/>
      <c r="T914" s="137" t="n"/>
      <c r="U914" s="56">
        <f>DADOS_INVOC!$PZ$56</f>
        <v/>
      </c>
      <c r="V914" s="16" t="n"/>
      <c r="W914" s="16" t="n"/>
      <c r="X914" s="16" t="n"/>
      <c r="Y914" s="17" t="n"/>
      <c r="Z914" s="137" t="n"/>
      <c r="AB914" s="56">
        <f>DADOS_INVOC!$PZ$132</f>
        <v/>
      </c>
      <c r="AC914" s="16" t="n"/>
      <c r="AD914" s="16" t="n"/>
      <c r="AE914" s="16" t="n"/>
      <c r="AF914" s="17" t="n"/>
      <c r="AG914" s="137" t="n"/>
      <c r="AH914" s="56">
        <f>DADOS_INVOC!$PZ$133</f>
        <v/>
      </c>
      <c r="AI914" s="16" t="n"/>
      <c r="AJ914" s="16" t="n"/>
      <c r="AK914" s="16" t="n"/>
      <c r="AL914" s="17" t="n"/>
      <c r="AM914" s="137" t="n"/>
      <c r="AN914" s="56">
        <f>DADOS_INVOC!$PZ$134</f>
        <v/>
      </c>
      <c r="AO914" s="16" t="n"/>
      <c r="AP914" s="16" t="n"/>
      <c r="AQ914" s="16" t="n"/>
      <c r="AR914" s="17" t="n"/>
      <c r="AS914" s="137" t="n"/>
    </row>
    <row r="915" hidden="1" outlineLevel="1">
      <c r="A915" s="8" t="n"/>
      <c r="B915" s="14" t="n"/>
      <c r="C915" s="137" t="n"/>
      <c r="D915" s="137" t="n"/>
      <c r="E915" s="137" t="n"/>
      <c r="F915" s="137" t="n"/>
      <c r="G915" s="137" t="n"/>
      <c r="I915" s="141" t="n">
        <v>0</v>
      </c>
      <c r="J915" s="131" t="n"/>
      <c r="K915" s="16" t="n"/>
      <c r="L915" s="17" t="n"/>
      <c r="M915" s="142">
        <f>DADOS_INVOC!$PX$54</f>
        <v/>
      </c>
      <c r="N915" s="137" t="n"/>
      <c r="O915" s="141" t="n">
        <v>1</v>
      </c>
      <c r="P915" s="131" t="n"/>
      <c r="Q915" s="16" t="n"/>
      <c r="R915" s="17" t="n"/>
      <c r="S915" s="142">
        <f>DADOS_INVOC!$PX$55</f>
        <v/>
      </c>
      <c r="T915" s="137" t="n"/>
      <c r="U915" s="141" t="n">
        <v>1</v>
      </c>
      <c r="V915" s="131" t="n"/>
      <c r="W915" s="16" t="n"/>
      <c r="X915" s="17" t="n"/>
      <c r="Y915" s="142">
        <f>DADOS_INVOC!$PX$56</f>
        <v/>
      </c>
      <c r="Z915" s="137" t="n"/>
      <c r="AB915" s="141" t="n">
        <v>0</v>
      </c>
      <c r="AC915" s="131" t="n"/>
      <c r="AD915" s="16" t="n"/>
      <c r="AE915" s="17" t="n"/>
      <c r="AF915" s="142">
        <f>DADOS_INVOC!$PX$132</f>
        <v/>
      </c>
      <c r="AG915" s="137" t="n"/>
      <c r="AH915" s="141" t="n">
        <v>1</v>
      </c>
      <c r="AI915" s="131" t="n"/>
      <c r="AJ915" s="16" t="n"/>
      <c r="AK915" s="17" t="n"/>
      <c r="AL915" s="142">
        <f>DADOS_INVOC!$PX$133</f>
        <v/>
      </c>
      <c r="AM915" s="137" t="n"/>
      <c r="AN915" s="141" t="n">
        <v>1</v>
      </c>
      <c r="AO915" s="131" t="n"/>
      <c r="AP915" s="16" t="n"/>
      <c r="AQ915" s="17" t="n"/>
      <c r="AR915" s="142">
        <f>DADOS_INVOC!$PX$134</f>
        <v/>
      </c>
      <c r="AS915" s="137" t="n"/>
    </row>
    <row r="916" hidden="1" outlineLevel="2">
      <c r="A916" s="8" t="n"/>
      <c r="B916" s="14" t="n"/>
      <c r="C916" s="137" t="n"/>
      <c r="D916" s="137" t="n"/>
      <c r="E916" s="137" t="n"/>
      <c r="F916" s="137" t="n"/>
      <c r="G916" s="137" t="n"/>
      <c r="I916" s="56" t="inlineStr">
        <is>
          <t>COMO É</t>
        </is>
      </c>
      <c r="J916" s="16" t="n"/>
      <c r="K916" s="16" t="n"/>
      <c r="L916" s="16" t="n"/>
      <c r="M916" s="17" t="n"/>
      <c r="N916" s="137" t="n"/>
      <c r="O916" s="56" t="inlineStr">
        <is>
          <t>COMO É</t>
        </is>
      </c>
      <c r="P916" s="16" t="n"/>
      <c r="Q916" s="16" t="n"/>
      <c r="R916" s="16" t="n"/>
      <c r="S916" s="17" t="n"/>
      <c r="T916" s="137" t="n"/>
      <c r="U916" s="56" t="inlineStr">
        <is>
          <t>COMO É</t>
        </is>
      </c>
      <c r="V916" s="16" t="n"/>
      <c r="W916" s="16" t="n"/>
      <c r="X916" s="16" t="n"/>
      <c r="Y916" s="17" t="n"/>
      <c r="Z916" s="137" t="n"/>
      <c r="AB916" s="56" t="inlineStr">
        <is>
          <t>COMO É</t>
        </is>
      </c>
      <c r="AC916" s="16" t="n"/>
      <c r="AD916" s="16" t="n"/>
      <c r="AE916" s="16" t="n"/>
      <c r="AF916" s="17" t="n"/>
      <c r="AG916" s="137" t="n"/>
      <c r="AH916" s="56" t="inlineStr">
        <is>
          <t>COMO É</t>
        </is>
      </c>
      <c r="AI916" s="16" t="n"/>
      <c r="AJ916" s="16" t="n"/>
      <c r="AK916" s="16" t="n"/>
      <c r="AL916" s="17" t="n"/>
      <c r="AM916" s="137" t="n"/>
      <c r="AN916" s="56" t="inlineStr">
        <is>
          <t>COMO É</t>
        </is>
      </c>
      <c r="AO916" s="16" t="n"/>
      <c r="AP916" s="16" t="n"/>
      <c r="AQ916" s="16" t="n"/>
      <c r="AR916" s="17" t="n"/>
      <c r="AS916" s="137" t="n"/>
    </row>
    <row r="917" hidden="1" outlineLevel="2">
      <c r="A917" s="8" t="n"/>
      <c r="B917" s="14" t="n"/>
      <c r="C917" s="137" t="n"/>
      <c r="D917" s="137" t="n"/>
      <c r="E917" s="137" t="n"/>
      <c r="F917" s="137" t="n"/>
      <c r="G917" s="137" t="n"/>
      <c r="I917" s="61" t="n"/>
      <c r="J917" s="19" t="n"/>
      <c r="K917" s="19" t="n"/>
      <c r="L917" s="19" t="n"/>
      <c r="M917" s="20" t="n"/>
      <c r="N917" s="137" t="n"/>
      <c r="O917" s="61" t="n"/>
      <c r="P917" s="19" t="n"/>
      <c r="Q917" s="19" t="n"/>
      <c r="R917" s="19" t="n"/>
      <c r="S917" s="20" t="n"/>
      <c r="T917" s="137" t="n"/>
      <c r="U917" s="61" t="n"/>
      <c r="V917" s="19" t="n"/>
      <c r="W917" s="19" t="n"/>
      <c r="X917" s="19" t="n"/>
      <c r="Y917" s="20" t="n"/>
      <c r="Z917" s="137" t="n"/>
      <c r="AB917" s="61" t="n"/>
      <c r="AC917" s="19" t="n"/>
      <c r="AD917" s="19" t="n"/>
      <c r="AE917" s="19" t="n"/>
      <c r="AF917" s="20" t="n"/>
      <c r="AG917" s="137" t="n"/>
      <c r="AH917" s="61" t="n"/>
      <c r="AI917" s="19" t="n"/>
      <c r="AJ917" s="19" t="n"/>
      <c r="AK917" s="19" t="n"/>
      <c r="AL917" s="20" t="n"/>
      <c r="AM917" s="137" t="n"/>
      <c r="AN917" s="61" t="n"/>
      <c r="AO917" s="19" t="n"/>
      <c r="AP917" s="19" t="n"/>
      <c r="AQ917" s="19" t="n"/>
      <c r="AR917" s="20" t="n"/>
      <c r="AS917" s="137" t="n"/>
    </row>
    <row r="918" hidden="1" outlineLevel="2">
      <c r="A918" s="8" t="n"/>
      <c r="B918" s="14" t="n"/>
      <c r="C918" s="137" t="n"/>
      <c r="D918" s="137" t="n"/>
      <c r="E918" s="137" t="n"/>
      <c r="F918" s="137" t="n"/>
      <c r="G918" s="137" t="n"/>
      <c r="I918" s="21" t="n"/>
      <c r="M918" s="22" t="n"/>
      <c r="N918" s="137" t="n"/>
      <c r="O918" s="21" t="n"/>
      <c r="S918" s="22" t="n"/>
      <c r="T918" s="137" t="n"/>
      <c r="U918" s="21" t="n"/>
      <c r="Y918" s="22" t="n"/>
      <c r="Z918" s="137" t="n"/>
      <c r="AB918" s="21" t="n"/>
      <c r="AF918" s="22" t="n"/>
      <c r="AG918" s="137" t="n"/>
      <c r="AH918" s="21" t="n"/>
      <c r="AL918" s="22" t="n"/>
      <c r="AM918" s="137" t="n"/>
      <c r="AN918" s="21" t="n"/>
      <c r="AR918" s="22" t="n"/>
      <c r="AS918" s="137" t="n"/>
    </row>
    <row r="919" hidden="1" outlineLevel="2">
      <c r="A919" s="8" t="n"/>
      <c r="B919" s="14" t="n"/>
      <c r="C919" s="137" t="n"/>
      <c r="D919" s="137" t="n"/>
      <c r="E919" s="137" t="n"/>
      <c r="F919" s="137" t="n"/>
      <c r="G919" s="137" t="n"/>
      <c r="I919" s="23" t="n"/>
      <c r="J919" s="24" t="n"/>
      <c r="K919" s="24" t="n"/>
      <c r="L919" s="24" t="n"/>
      <c r="M919" s="25" t="n"/>
      <c r="N919" s="137" t="n"/>
      <c r="O919" s="23" t="n"/>
      <c r="P919" s="24" t="n"/>
      <c r="Q919" s="24" t="n"/>
      <c r="R919" s="24" t="n"/>
      <c r="S919" s="25" t="n"/>
      <c r="T919" s="137" t="n"/>
      <c r="U919" s="23" t="n"/>
      <c r="V919" s="24" t="n"/>
      <c r="W919" s="24" t="n"/>
      <c r="X919" s="24" t="n"/>
      <c r="Y919" s="25" t="n"/>
      <c r="Z919" s="137" t="n"/>
      <c r="AB919" s="23" t="n"/>
      <c r="AC919" s="24" t="n"/>
      <c r="AD919" s="24" t="n"/>
      <c r="AE919" s="24" t="n"/>
      <c r="AF919" s="25" t="n"/>
      <c r="AG919" s="137" t="n"/>
      <c r="AH919" s="23" t="n"/>
      <c r="AI919" s="24" t="n"/>
      <c r="AJ919" s="24" t="n"/>
      <c r="AK919" s="24" t="n"/>
      <c r="AL919" s="25" t="n"/>
      <c r="AM919" s="137" t="n"/>
      <c r="AN919" s="23" t="n"/>
      <c r="AO919" s="24" t="n"/>
      <c r="AP919" s="24" t="n"/>
      <c r="AQ919" s="24" t="n"/>
      <c r="AR919" s="25" t="n"/>
      <c r="AS919" s="137" t="n"/>
    </row>
    <row r="920" hidden="1" outlineLevel="1">
      <c r="A920" s="8" t="n"/>
      <c r="B920" s="14" t="n"/>
      <c r="C920" s="137" t="n"/>
      <c r="D920" s="137" t="n"/>
      <c r="E920" s="137" t="n"/>
      <c r="F920" s="137" t="n"/>
      <c r="G920" s="137" t="n"/>
      <c r="I920" s="95" t="inlineStr">
        <is>
          <t>Projétil</t>
        </is>
      </c>
      <c r="J920" s="17" t="n"/>
      <c r="K920" s="71">
        <f>DADOS_INVOC!$QE$54</f>
        <v/>
      </c>
      <c r="L920" s="17" t="n"/>
      <c r="M920" s="71">
        <f>DADOS_INVOC!$QA$54</f>
        <v/>
      </c>
      <c r="N920" s="137" t="n"/>
      <c r="O920" s="95" t="inlineStr">
        <is>
          <t>Projétil</t>
        </is>
      </c>
      <c r="P920" s="17" t="n"/>
      <c r="Q920" s="71">
        <f>DADOS_INVOC!$QE$55</f>
        <v/>
      </c>
      <c r="R920" s="17" t="n"/>
      <c r="S920" s="71">
        <f>DADOS_INVOC!$QA$55</f>
        <v/>
      </c>
      <c r="T920" s="137" t="n"/>
      <c r="U920" s="95" t="inlineStr">
        <is>
          <t>Projétil</t>
        </is>
      </c>
      <c r="V920" s="17" t="n"/>
      <c r="W920" s="71">
        <f>DADOS_INVOC!$QE$56</f>
        <v/>
      </c>
      <c r="X920" s="17" t="n"/>
      <c r="Y920" s="71">
        <f>DADOS_INVOC!$QA$56</f>
        <v/>
      </c>
      <c r="Z920" s="137" t="n"/>
      <c r="AB920" s="95" t="inlineStr">
        <is>
          <t>Projétil</t>
        </is>
      </c>
      <c r="AC920" s="17" t="n"/>
      <c r="AD920" s="71">
        <f>DADOS_INVOC!$QE$132</f>
        <v/>
      </c>
      <c r="AE920" s="17" t="n"/>
      <c r="AF920" s="71">
        <f>DADOS_INVOC!$QA$132</f>
        <v/>
      </c>
      <c r="AG920" s="137" t="n"/>
      <c r="AH920" s="95" t="inlineStr">
        <is>
          <t>Projétil</t>
        </is>
      </c>
      <c r="AI920" s="17" t="n"/>
      <c r="AJ920" s="71">
        <f>DADOS_INVOC!$QE$133</f>
        <v/>
      </c>
      <c r="AK920" s="17" t="n"/>
      <c r="AL920" s="71">
        <f>DADOS_INVOC!$QA$133</f>
        <v/>
      </c>
      <c r="AM920" s="137" t="n"/>
      <c r="AN920" s="95" t="inlineStr">
        <is>
          <t>Projétil</t>
        </is>
      </c>
      <c r="AO920" s="17" t="n"/>
      <c r="AP920" s="71">
        <f>DADOS_INVOC!$QE$134</f>
        <v/>
      </c>
      <c r="AQ920" s="17" t="n"/>
      <c r="AR920" s="71">
        <f>DADOS_INVOC!$QA$134</f>
        <v/>
      </c>
      <c r="AS920" s="137" t="n"/>
    </row>
    <row r="921" hidden="1" outlineLevel="1">
      <c r="A921" s="8" t="n"/>
      <c r="B921" s="14" t="n"/>
      <c r="C921" s="137" t="n"/>
      <c r="D921" s="137" t="n"/>
      <c r="E921" s="137" t="n"/>
      <c r="F921" s="137" t="n"/>
      <c r="G921" s="137" t="n"/>
      <c r="I921" s="95" t="n"/>
      <c r="J921" s="17" t="n"/>
      <c r="K921" s="95" t="n"/>
      <c r="L921" s="16" t="n"/>
      <c r="M921" s="17" t="n"/>
      <c r="N921" s="137" t="n"/>
      <c r="O921" s="95" t="n"/>
      <c r="P921" s="17" t="n"/>
      <c r="Q921" s="95" t="n"/>
      <c r="R921" s="16" t="n"/>
      <c r="S921" s="17" t="n"/>
      <c r="T921" s="137" t="n"/>
      <c r="U921" s="95" t="n"/>
      <c r="V921" s="17" t="n"/>
      <c r="W921" s="95" t="n"/>
      <c r="X921" s="16" t="n"/>
      <c r="Y921" s="17" t="n"/>
      <c r="Z921" s="137" t="n"/>
      <c r="AB921" s="95" t="n"/>
      <c r="AC921" s="17" t="n"/>
      <c r="AD921" s="95" t="n"/>
      <c r="AE921" s="16" t="n"/>
      <c r="AF921" s="17" t="n"/>
      <c r="AG921" s="137" t="n"/>
      <c r="AH921" s="95" t="n"/>
      <c r="AI921" s="17" t="n"/>
      <c r="AJ921" s="95" t="n"/>
      <c r="AK921" s="16" t="n"/>
      <c r="AL921" s="17" t="n"/>
      <c r="AM921" s="137" t="n"/>
      <c r="AN921" s="95" t="n"/>
      <c r="AO921" s="17" t="n"/>
      <c r="AP921" s="95" t="n"/>
      <c r="AQ921" s="16" t="n"/>
      <c r="AR921" s="17" t="n"/>
      <c r="AS921" s="137" t="n"/>
    </row>
    <row r="922" hidden="1" outlineLevel="1">
      <c r="A922" s="8" t="n"/>
      <c r="B922" s="14" t="n"/>
      <c r="C922" s="137" t="n"/>
      <c r="D922" s="137" t="n"/>
      <c r="E922" s="137" t="n"/>
      <c r="F922" s="137" t="n"/>
      <c r="G922" s="137" t="n"/>
      <c r="I922" s="95">
        <f>DADOS_INVOC!$QB$54</f>
        <v/>
      </c>
      <c r="J922" s="17" t="n"/>
      <c r="K922" s="95">
        <f>DADOS_INVOC!$QD$54</f>
        <v/>
      </c>
      <c r="L922" s="16" t="n"/>
      <c r="M922" s="17" t="n"/>
      <c r="N922" s="137" t="n"/>
      <c r="O922" s="95">
        <f>DADOS_INVOC!$QB$55</f>
        <v/>
      </c>
      <c r="P922" s="17" t="n"/>
      <c r="Q922" s="95">
        <f>DADOS_INVOC!$QD$55</f>
        <v/>
      </c>
      <c r="R922" s="16" t="n"/>
      <c r="S922" s="17" t="n"/>
      <c r="T922" s="137" t="n"/>
      <c r="U922" s="95">
        <f>DADOS_INVOC!$QB$56</f>
        <v/>
      </c>
      <c r="V922" s="17" t="n"/>
      <c r="W922" s="95">
        <f>DADOS_INVOC!$QD$56</f>
        <v/>
      </c>
      <c r="X922" s="16" t="n"/>
      <c r="Y922" s="17" t="n"/>
      <c r="Z922" s="137" t="n"/>
      <c r="AB922" s="95">
        <f>DADOS_INVOC!$QB$132</f>
        <v/>
      </c>
      <c r="AC922" s="17" t="n"/>
      <c r="AD922" s="95">
        <f>DADOS_INVOC!$QD$132</f>
        <v/>
      </c>
      <c r="AE922" s="16" t="n"/>
      <c r="AF922" s="17" t="n"/>
      <c r="AG922" s="137" t="n"/>
      <c r="AH922" s="95">
        <f>DADOS_INVOC!$QB$133</f>
        <v/>
      </c>
      <c r="AI922" s="17" t="n"/>
      <c r="AJ922" s="95">
        <f>DADOS_INVOC!$QD$133</f>
        <v/>
      </c>
      <c r="AK922" s="16" t="n"/>
      <c r="AL922" s="17" t="n"/>
      <c r="AM922" s="137" t="n"/>
      <c r="AN922" s="95">
        <f>DADOS_INVOC!$QB$134</f>
        <v/>
      </c>
      <c r="AO922" s="17" t="n"/>
      <c r="AP922" s="95">
        <f>DADOS_INVOC!$QD$134</f>
        <v/>
      </c>
      <c r="AQ922" s="16" t="n"/>
      <c r="AR922" s="17" t="n"/>
      <c r="AS922" s="137" t="n"/>
    </row>
    <row r="923" hidden="1" outlineLevel="1">
      <c r="A923" s="8" t="n"/>
      <c r="B923" s="14" t="n"/>
      <c r="C923" s="137" t="n"/>
      <c r="D923" s="137" t="n"/>
      <c r="E923" s="137" t="n"/>
      <c r="F923" s="137" t="n"/>
      <c r="G923" s="137" t="n"/>
      <c r="I923" s="143">
        <f>DADOS_INVOC!$QJ$54</f>
        <v/>
      </c>
      <c r="J923" s="16" t="n"/>
      <c r="K923" s="16" t="n"/>
      <c r="L923" s="16" t="n"/>
      <c r="M923" s="17" t="n"/>
      <c r="N923" s="137" t="n"/>
      <c r="O923" s="143">
        <f>DADOS_INVOC!$QJ$55</f>
        <v/>
      </c>
      <c r="P923" s="16" t="n"/>
      <c r="Q923" s="16" t="n"/>
      <c r="R923" s="16" t="n"/>
      <c r="S923" s="17" t="n"/>
      <c r="T923" s="137" t="n"/>
      <c r="U923" s="143">
        <f>DADOS_INVOC!$QJ$56</f>
        <v/>
      </c>
      <c r="V923" s="16" t="n"/>
      <c r="W923" s="16" t="n"/>
      <c r="X923" s="16" t="n"/>
      <c r="Y923" s="17" t="n"/>
      <c r="Z923" s="137" t="n"/>
      <c r="AB923" s="143">
        <f>DADOS_INVOC!$QJ$132</f>
        <v/>
      </c>
      <c r="AC923" s="16" t="n"/>
      <c r="AD923" s="16" t="n"/>
      <c r="AE923" s="16" t="n"/>
      <c r="AF923" s="17" t="n"/>
      <c r="AG923" s="137" t="n"/>
      <c r="AH923" s="143">
        <f>DADOS_INVOC!$QJ$133</f>
        <v/>
      </c>
      <c r="AI923" s="16" t="n"/>
      <c r="AJ923" s="16" t="n"/>
      <c r="AK923" s="16" t="n"/>
      <c r="AL923" s="17" t="n"/>
      <c r="AM923" s="137" t="n"/>
      <c r="AN923" s="143">
        <f>DADOS_INVOC!$QJ$134</f>
        <v/>
      </c>
      <c r="AO923" s="16" t="n"/>
      <c r="AP923" s="16" t="n"/>
      <c r="AQ923" s="16" t="n"/>
      <c r="AR923" s="17" t="n"/>
      <c r="AS923" s="137" t="n"/>
    </row>
    <row r="924" hidden="1" outlineLevel="2">
      <c r="A924" s="8" t="n"/>
      <c r="B924" s="14" t="n"/>
      <c r="C924" s="137" t="n"/>
      <c r="D924" s="137" t="n"/>
      <c r="E924" s="137" t="n"/>
      <c r="F924" s="137" t="n"/>
      <c r="G924" s="137" t="n"/>
      <c r="I924" s="56" t="inlineStr">
        <is>
          <t>MELHORIAS</t>
        </is>
      </c>
      <c r="J924" s="144" t="n"/>
      <c r="K924" s="16" t="n"/>
      <c r="L924" s="17" t="n"/>
      <c r="M924" s="143">
        <f>DADOS_INVOC!$QM$54</f>
        <v/>
      </c>
      <c r="N924" s="137" t="n"/>
      <c r="O924" s="56" t="inlineStr">
        <is>
          <t>MELHORIAS</t>
        </is>
      </c>
      <c r="P924" s="144" t="n"/>
      <c r="Q924" s="16" t="n"/>
      <c r="R924" s="17" t="n"/>
      <c r="S924" s="143">
        <f>DADOS_INVOC!$QM$55</f>
        <v/>
      </c>
      <c r="T924" s="137" t="n"/>
      <c r="U924" s="56" t="inlineStr">
        <is>
          <t>MELHORIAS</t>
        </is>
      </c>
      <c r="V924" s="144" t="n"/>
      <c r="W924" s="16" t="n"/>
      <c r="X924" s="17" t="n"/>
      <c r="Y924" s="143">
        <f>DADOS_INVOC!$QM$56</f>
        <v/>
      </c>
      <c r="Z924" s="137" t="n"/>
      <c r="AB924" s="56" t="inlineStr">
        <is>
          <t>MELHORIAS</t>
        </is>
      </c>
      <c r="AC924" s="144" t="n"/>
      <c r="AD924" s="16" t="n"/>
      <c r="AE924" s="17" t="n"/>
      <c r="AF924" s="143">
        <f>DADOS_INVOC!$QM$132</f>
        <v/>
      </c>
      <c r="AG924" s="137" t="n"/>
      <c r="AH924" s="56" t="inlineStr">
        <is>
          <t>MELHORIAS</t>
        </is>
      </c>
      <c r="AI924" s="144" t="n"/>
      <c r="AJ924" s="16" t="n"/>
      <c r="AK924" s="17" t="n"/>
      <c r="AL924" s="143">
        <f>DADOS_INVOC!$QM$133</f>
        <v/>
      </c>
      <c r="AM924" s="137" t="n"/>
      <c r="AN924" s="56" t="inlineStr">
        <is>
          <t>MELHORIAS</t>
        </is>
      </c>
      <c r="AO924" s="144" t="n"/>
      <c r="AP924" s="16" t="n"/>
      <c r="AQ924" s="17" t="n"/>
      <c r="AR924" s="143">
        <f>DADOS_INVOC!$QM$134</f>
        <v/>
      </c>
      <c r="AS924" s="137" t="n"/>
    </row>
    <row r="925" hidden="1" outlineLevel="2">
      <c r="A925" s="8" t="n"/>
      <c r="B925" s="14" t="n"/>
      <c r="C925" s="137" t="n"/>
      <c r="D925" s="137" t="n"/>
      <c r="E925" s="137" t="n"/>
      <c r="F925" s="137" t="n"/>
      <c r="G925" s="137" t="n"/>
      <c r="I925" s="66" t="n"/>
      <c r="J925" s="144" t="n"/>
      <c r="K925" s="16" t="n"/>
      <c r="L925" s="17" t="n"/>
      <c r="M925" s="143">
        <f>DADOS_INVOC!$QN$54</f>
        <v/>
      </c>
      <c r="N925" s="137" t="n"/>
      <c r="O925" s="66" t="n"/>
      <c r="P925" s="144" t="n"/>
      <c r="Q925" s="16" t="n"/>
      <c r="R925" s="17" t="n"/>
      <c r="S925" s="143">
        <f>DADOS_INVOC!$QN$55</f>
        <v/>
      </c>
      <c r="T925" s="137" t="n"/>
      <c r="U925" s="66" t="n"/>
      <c r="V925" s="144" t="n"/>
      <c r="W925" s="16" t="n"/>
      <c r="X925" s="17" t="n"/>
      <c r="Y925" s="143">
        <f>DADOS_INVOC!$QN$56</f>
        <v/>
      </c>
      <c r="Z925" s="137" t="n"/>
      <c r="AB925" s="66" t="n"/>
      <c r="AC925" s="144" t="n"/>
      <c r="AD925" s="16" t="n"/>
      <c r="AE925" s="17" t="n"/>
      <c r="AF925" s="143">
        <f>DADOS_INVOC!$QN$132</f>
        <v/>
      </c>
      <c r="AG925" s="137" t="n"/>
      <c r="AH925" s="66" t="n"/>
      <c r="AI925" s="144" t="n"/>
      <c r="AJ925" s="16" t="n"/>
      <c r="AK925" s="17" t="n"/>
      <c r="AL925" s="143">
        <f>DADOS_INVOC!$QN$133</f>
        <v/>
      </c>
      <c r="AM925" s="137" t="n"/>
      <c r="AN925" s="66" t="n"/>
      <c r="AO925" s="144" t="n"/>
      <c r="AP925" s="16" t="n"/>
      <c r="AQ925" s="17" t="n"/>
      <c r="AR925" s="143">
        <f>DADOS_INVOC!$QN$134</f>
        <v/>
      </c>
      <c r="AS925" s="137" t="n"/>
    </row>
    <row r="926" hidden="1" outlineLevel="2">
      <c r="A926" s="8" t="n"/>
      <c r="B926" s="14" t="n"/>
      <c r="C926" s="137" t="n"/>
      <c r="D926" s="137" t="n"/>
      <c r="E926" s="137" t="n"/>
      <c r="F926" s="137" t="n"/>
      <c r="G926" s="137" t="n"/>
      <c r="I926" s="66" t="n"/>
      <c r="J926" s="144" t="n"/>
      <c r="K926" s="16" t="n"/>
      <c r="L926" s="17" t="n"/>
      <c r="M926" s="143">
        <f>DADOS_INVOC!$QO$54</f>
        <v/>
      </c>
      <c r="N926" s="137" t="n"/>
      <c r="O926" s="66" t="n"/>
      <c r="P926" s="144" t="n"/>
      <c r="Q926" s="16" t="n"/>
      <c r="R926" s="17" t="n"/>
      <c r="S926" s="143">
        <f>DADOS_INVOC!$QO$55</f>
        <v/>
      </c>
      <c r="T926" s="137" t="n"/>
      <c r="U926" s="66" t="n"/>
      <c r="V926" s="144" t="n"/>
      <c r="W926" s="16" t="n"/>
      <c r="X926" s="17" t="n"/>
      <c r="Y926" s="143">
        <f>DADOS_INVOC!$QO$56</f>
        <v/>
      </c>
      <c r="Z926" s="137" t="n"/>
      <c r="AB926" s="66" t="n"/>
      <c r="AC926" s="144" t="n"/>
      <c r="AD926" s="16" t="n"/>
      <c r="AE926" s="17" t="n"/>
      <c r="AF926" s="143">
        <f>DADOS_INVOC!$QO$132</f>
        <v/>
      </c>
      <c r="AG926" s="137" t="n"/>
      <c r="AH926" s="66" t="n"/>
      <c r="AI926" s="144" t="n"/>
      <c r="AJ926" s="16" t="n"/>
      <c r="AK926" s="17" t="n"/>
      <c r="AL926" s="143">
        <f>DADOS_INVOC!$QO$133</f>
        <v/>
      </c>
      <c r="AM926" s="137" t="n"/>
      <c r="AN926" s="66" t="n"/>
      <c r="AO926" s="144" t="n"/>
      <c r="AP926" s="16" t="n"/>
      <c r="AQ926" s="17" t="n"/>
      <c r="AR926" s="143">
        <f>DADOS_INVOC!$QO$134</f>
        <v/>
      </c>
      <c r="AS926" s="137" t="n"/>
    </row>
    <row r="927" hidden="1" outlineLevel="2">
      <c r="A927" s="8" t="n"/>
      <c r="B927" s="14" t="n"/>
      <c r="C927" s="137" t="n"/>
      <c r="D927" s="137" t="n"/>
      <c r="E927" s="137" t="n"/>
      <c r="F927" s="137" t="n"/>
      <c r="G927" s="137" t="n"/>
      <c r="I927" s="128" t="n"/>
      <c r="J927" s="144" t="n"/>
      <c r="K927" s="16" t="n"/>
      <c r="L927" s="17" t="n"/>
      <c r="M927" s="143">
        <f>DADOS_INVOC!$QP$54</f>
        <v/>
      </c>
      <c r="N927" s="137" t="n"/>
      <c r="O927" s="128" t="n"/>
      <c r="P927" s="144" t="n"/>
      <c r="Q927" s="16" t="n"/>
      <c r="R927" s="17" t="n"/>
      <c r="S927" s="143">
        <f>DADOS_INVOC!$QP$55</f>
        <v/>
      </c>
      <c r="T927" s="137" t="n"/>
      <c r="U927" s="128" t="n"/>
      <c r="V927" s="144" t="n"/>
      <c r="W927" s="16" t="n"/>
      <c r="X927" s="17" t="n"/>
      <c r="Y927" s="143">
        <f>DADOS_INVOC!$QP$56</f>
        <v/>
      </c>
      <c r="Z927" s="137" t="n"/>
      <c r="AB927" s="128" t="n"/>
      <c r="AC927" s="144" t="n"/>
      <c r="AD927" s="16" t="n"/>
      <c r="AE927" s="17" t="n"/>
      <c r="AF927" s="143">
        <f>DADOS_INVOC!$QP$132</f>
        <v/>
      </c>
      <c r="AG927" s="137" t="n"/>
      <c r="AH927" s="128" t="n"/>
      <c r="AI927" s="144" t="n"/>
      <c r="AJ927" s="16" t="n"/>
      <c r="AK927" s="17" t="n"/>
      <c r="AL927" s="143">
        <f>DADOS_INVOC!$QP$133</f>
        <v/>
      </c>
      <c r="AM927" s="137" t="n"/>
      <c r="AN927" s="128" t="n"/>
      <c r="AO927" s="144" t="n"/>
      <c r="AP927" s="16" t="n"/>
      <c r="AQ927" s="17" t="n"/>
      <c r="AR927" s="143">
        <f>DADOS_INVOC!$QP$134</f>
        <v/>
      </c>
      <c r="AS927" s="137" t="n"/>
    </row>
    <row r="928" hidden="1" outlineLevel="2">
      <c r="A928" s="8" t="n"/>
      <c r="B928" s="14" t="n"/>
      <c r="C928" s="137" t="n"/>
      <c r="D928" s="137" t="n"/>
      <c r="E928" s="137" t="n"/>
      <c r="F928" s="137" t="n"/>
      <c r="G928" s="137" t="n"/>
      <c r="I928" s="56" t="inlineStr">
        <is>
          <t>RESTRIÇÕES</t>
        </is>
      </c>
      <c r="J928" s="144" t="n"/>
      <c r="K928" s="16" t="n"/>
      <c r="L928" s="17" t="n"/>
      <c r="M928" s="143">
        <f>DADOS_INVOC!$QQ$54</f>
        <v/>
      </c>
      <c r="N928" s="137" t="n"/>
      <c r="O928" s="56" t="inlineStr">
        <is>
          <t>RESTRIÇÕES</t>
        </is>
      </c>
      <c r="P928" s="144" t="n"/>
      <c r="Q928" s="16" t="n"/>
      <c r="R928" s="17" t="n"/>
      <c r="S928" s="143">
        <f>DADOS_INVOC!$QQ$55</f>
        <v/>
      </c>
      <c r="T928" s="137" t="n"/>
      <c r="U928" s="56" t="inlineStr">
        <is>
          <t>RESTRIÇÕES</t>
        </is>
      </c>
      <c r="V928" s="144" t="n"/>
      <c r="W928" s="16" t="n"/>
      <c r="X928" s="17" t="n"/>
      <c r="Y928" s="143">
        <f>DADOS_INVOC!$QQ$56</f>
        <v/>
      </c>
      <c r="Z928" s="137" t="n"/>
      <c r="AB928" s="56" t="inlineStr">
        <is>
          <t>RESTRIÇÕES</t>
        </is>
      </c>
      <c r="AC928" s="144" t="n"/>
      <c r="AD928" s="16" t="n"/>
      <c r="AE928" s="17" t="n"/>
      <c r="AF928" s="143">
        <f>DADOS_INVOC!$QQ$132</f>
        <v/>
      </c>
      <c r="AG928" s="137" t="n"/>
      <c r="AH928" s="56" t="inlineStr">
        <is>
          <t>RESTRIÇÕES</t>
        </is>
      </c>
      <c r="AI928" s="144" t="n"/>
      <c r="AJ928" s="16" t="n"/>
      <c r="AK928" s="17" t="n"/>
      <c r="AL928" s="143">
        <f>DADOS_INVOC!$QQ$133</f>
        <v/>
      </c>
      <c r="AM928" s="137" t="n"/>
      <c r="AN928" s="56" t="inlineStr">
        <is>
          <t>RESTRIÇÕES</t>
        </is>
      </c>
      <c r="AO928" s="144" t="n"/>
      <c r="AP928" s="16" t="n"/>
      <c r="AQ928" s="17" t="n"/>
      <c r="AR928" s="143">
        <f>DADOS_INVOC!$QQ$134</f>
        <v/>
      </c>
      <c r="AS928" s="137" t="n"/>
    </row>
    <row r="929" hidden="1" outlineLevel="2">
      <c r="A929" s="8" t="n"/>
      <c r="B929" s="14" t="n"/>
      <c r="C929" s="137" t="n"/>
      <c r="D929" s="137" t="n"/>
      <c r="E929" s="137" t="n"/>
      <c r="F929" s="137" t="n"/>
      <c r="G929" s="137" t="n"/>
      <c r="I929" s="128" t="n"/>
      <c r="J929" s="144" t="n"/>
      <c r="K929" s="16" t="n"/>
      <c r="L929" s="17" t="n"/>
      <c r="M929" s="143">
        <f>DADOS_INVOC!$QR$54</f>
        <v/>
      </c>
      <c r="N929" s="137" t="n"/>
      <c r="O929" s="128" t="n"/>
      <c r="P929" s="144" t="n"/>
      <c r="Q929" s="16" t="n"/>
      <c r="R929" s="17" t="n"/>
      <c r="S929" s="143">
        <f>DADOS_INVOC!$QR$55</f>
        <v/>
      </c>
      <c r="T929" s="137" t="n"/>
      <c r="U929" s="128" t="n"/>
      <c r="V929" s="144" t="n"/>
      <c r="W929" s="16" t="n"/>
      <c r="X929" s="17" t="n"/>
      <c r="Y929" s="143">
        <f>DADOS_INVOC!$QR$56</f>
        <v/>
      </c>
      <c r="Z929" s="137" t="n"/>
      <c r="AB929" s="128" t="n"/>
      <c r="AC929" s="144" t="n"/>
      <c r="AD929" s="16" t="n"/>
      <c r="AE929" s="17" t="n"/>
      <c r="AF929" s="143">
        <f>DADOS_INVOC!$QR$132</f>
        <v/>
      </c>
      <c r="AG929" s="137" t="n"/>
      <c r="AH929" s="128" t="n"/>
      <c r="AI929" s="144" t="n"/>
      <c r="AJ929" s="16" t="n"/>
      <c r="AK929" s="17" t="n"/>
      <c r="AL929" s="143">
        <f>DADOS_INVOC!$QR$133</f>
        <v/>
      </c>
      <c r="AM929" s="137" t="n"/>
      <c r="AN929" s="128" t="n"/>
      <c r="AO929" s="144" t="n"/>
      <c r="AP929" s="16" t="n"/>
      <c r="AQ929" s="17" t="n"/>
      <c r="AR929" s="143">
        <f>DADOS_INVOC!$QR$134</f>
        <v/>
      </c>
      <c r="AS929" s="137" t="n"/>
    </row>
    <row r="930" hidden="1" outlineLevel="2">
      <c r="A930" s="8" t="n"/>
      <c r="B930" s="14" t="n"/>
      <c r="C930" s="137" t="n"/>
      <c r="D930" s="137" t="n"/>
      <c r="E930" s="137" t="n"/>
      <c r="F930" s="137" t="n"/>
      <c r="G930" s="137" t="n"/>
      <c r="I930" s="56" t="inlineStr">
        <is>
          <t>CONTA</t>
        </is>
      </c>
      <c r="J930" s="145">
        <f>DADOS_INVOC!$QK$54</f>
        <v/>
      </c>
      <c r="K930" s="16" t="n"/>
      <c r="L930" s="16" t="n"/>
      <c r="M930" s="17" t="n"/>
      <c r="N930" s="137" t="n"/>
      <c r="O930" s="56" t="inlineStr">
        <is>
          <t>CONTA</t>
        </is>
      </c>
      <c r="P930" s="145">
        <f>DADOS_INVOC!$QK$55</f>
        <v/>
      </c>
      <c r="Q930" s="16" t="n"/>
      <c r="R930" s="16" t="n"/>
      <c r="S930" s="17" t="n"/>
      <c r="T930" s="137" t="n"/>
      <c r="U930" s="56" t="inlineStr">
        <is>
          <t>CONTA</t>
        </is>
      </c>
      <c r="V930" s="145">
        <f>DADOS_INVOC!$QK$56</f>
        <v/>
      </c>
      <c r="W930" s="16" t="n"/>
      <c r="X930" s="16" t="n"/>
      <c r="Y930" s="17" t="n"/>
      <c r="Z930" s="137" t="n"/>
      <c r="AB930" s="56" t="inlineStr">
        <is>
          <t>CONTA</t>
        </is>
      </c>
      <c r="AC930" s="145">
        <f>DADOS_INVOC!$QK$132</f>
        <v/>
      </c>
      <c r="AD930" s="16" t="n"/>
      <c r="AE930" s="16" t="n"/>
      <c r="AF930" s="17" t="n"/>
      <c r="AG930" s="137" t="n"/>
      <c r="AH930" s="56" t="inlineStr">
        <is>
          <t>CONTA</t>
        </is>
      </c>
      <c r="AI930" s="145">
        <f>DADOS_INVOC!$QK$133</f>
        <v/>
      </c>
      <c r="AJ930" s="16" t="n"/>
      <c r="AK930" s="16" t="n"/>
      <c r="AL930" s="17" t="n"/>
      <c r="AM930" s="137" t="n"/>
      <c r="AN930" s="56" t="inlineStr">
        <is>
          <t>CONTA</t>
        </is>
      </c>
      <c r="AO930" s="145">
        <f>DADOS_INVOC!$QK$134</f>
        <v/>
      </c>
      <c r="AP930" s="16" t="n"/>
      <c r="AQ930" s="16" t="n"/>
      <c r="AR930" s="17" t="n"/>
      <c r="AS930" s="137" t="n"/>
    </row>
    <row r="931" hidden="1" outlineLevel="2">
      <c r="A931" s="8" t="n"/>
      <c r="B931" s="14" t="n"/>
      <c r="C931" s="137" t="n"/>
      <c r="D931" s="137" t="n"/>
      <c r="E931" s="137" t="n"/>
      <c r="F931" s="137" t="n"/>
      <c r="G931" s="137" t="n"/>
      <c r="I931" s="56" t="inlineStr">
        <is>
          <t>AMPLIAR</t>
        </is>
      </c>
      <c r="J931" s="145">
        <f>DADOS_INVOC!$QL$54</f>
        <v/>
      </c>
      <c r="K931" s="19" t="n"/>
      <c r="L931" s="19" t="n"/>
      <c r="M931" s="20" t="n"/>
      <c r="N931" s="137" t="n"/>
      <c r="O931" s="56" t="inlineStr">
        <is>
          <t>AMPLIAR</t>
        </is>
      </c>
      <c r="P931" s="145">
        <f>DADOS_INVOC!$QL$55</f>
        <v/>
      </c>
      <c r="Q931" s="19" t="n"/>
      <c r="R931" s="19" t="n"/>
      <c r="S931" s="20" t="n"/>
      <c r="T931" s="137" t="n"/>
      <c r="U931" s="56" t="inlineStr">
        <is>
          <t>AMPLIAR</t>
        </is>
      </c>
      <c r="V931" s="145">
        <f>DADOS_INVOC!$QL$56</f>
        <v/>
      </c>
      <c r="W931" s="19" t="n"/>
      <c r="X931" s="19" t="n"/>
      <c r="Y931" s="20" t="n"/>
      <c r="Z931" s="137" t="n"/>
      <c r="AB931" s="56" t="inlineStr">
        <is>
          <t>AMPLIAR</t>
        </is>
      </c>
      <c r="AC931" s="145">
        <f>DADOS_INVOC!$QL$132</f>
        <v/>
      </c>
      <c r="AD931" s="19" t="n"/>
      <c r="AE931" s="19" t="n"/>
      <c r="AF931" s="20" t="n"/>
      <c r="AG931" s="137" t="n"/>
      <c r="AH931" s="56" t="inlineStr">
        <is>
          <t>AMPLIAR</t>
        </is>
      </c>
      <c r="AI931" s="145">
        <f>DADOS_INVOC!$QL$133</f>
        <v/>
      </c>
      <c r="AJ931" s="19" t="n"/>
      <c r="AK931" s="19" t="n"/>
      <c r="AL931" s="20" t="n"/>
      <c r="AM931" s="137" t="n"/>
      <c r="AN931" s="56" t="inlineStr">
        <is>
          <t>AMPLIAR</t>
        </is>
      </c>
      <c r="AO931" s="145">
        <f>DADOS_INVOC!$QL$134</f>
        <v/>
      </c>
      <c r="AP931" s="19" t="n"/>
      <c r="AQ931" s="19" t="n"/>
      <c r="AR931" s="20" t="n"/>
      <c r="AS931" s="137" t="n"/>
    </row>
    <row r="932" hidden="1" outlineLevel="2">
      <c r="A932" s="8" t="n"/>
      <c r="B932" s="14" t="n"/>
      <c r="C932" s="137" t="n"/>
      <c r="D932" s="137" t="n"/>
      <c r="E932" s="137" t="n"/>
      <c r="F932" s="137" t="n"/>
      <c r="G932" s="137" t="n"/>
      <c r="I932" s="128" t="n"/>
      <c r="J932" s="23" t="n"/>
      <c r="K932" s="24" t="n"/>
      <c r="L932" s="24" t="n"/>
      <c r="M932" s="25" t="n"/>
      <c r="N932" s="137" t="n"/>
      <c r="O932" s="128" t="n"/>
      <c r="P932" s="23" t="n"/>
      <c r="Q932" s="24" t="n"/>
      <c r="R932" s="24" t="n"/>
      <c r="S932" s="25" t="n"/>
      <c r="T932" s="137" t="n"/>
      <c r="U932" s="128" t="n"/>
      <c r="V932" s="23" t="n"/>
      <c r="W932" s="24" t="n"/>
      <c r="X932" s="24" t="n"/>
      <c r="Y932" s="25" t="n"/>
      <c r="Z932" s="137" t="n"/>
      <c r="AB932" s="128" t="n"/>
      <c r="AC932" s="23" t="n"/>
      <c r="AD932" s="24" t="n"/>
      <c r="AE932" s="24" t="n"/>
      <c r="AF932" s="25" t="n"/>
      <c r="AG932" s="137" t="n"/>
      <c r="AH932" s="128" t="n"/>
      <c r="AI932" s="23" t="n"/>
      <c r="AJ932" s="24" t="n"/>
      <c r="AK932" s="24" t="n"/>
      <c r="AL932" s="25" t="n"/>
      <c r="AM932" s="137" t="n"/>
      <c r="AN932" s="128" t="n"/>
      <c r="AO932" s="23" t="n"/>
      <c r="AP932" s="24" t="n"/>
      <c r="AQ932" s="24" t="n"/>
      <c r="AR932" s="25" t="n"/>
      <c r="AS932" s="137" t="n"/>
    </row>
    <row r="933" hidden="1" outlineLevel="2">
      <c r="A933" s="8" t="n"/>
      <c r="B933" s="14" t="n"/>
      <c r="C933" s="137" t="n"/>
      <c r="D933" s="137" t="n"/>
      <c r="E933" s="137" t="n"/>
      <c r="F933" s="137" t="n"/>
      <c r="G933" s="137" t="n"/>
      <c r="I933" s="145">
        <f>DADOS_INVOC!$PY$54</f>
        <v/>
      </c>
      <c r="J933" s="19" t="n"/>
      <c r="K933" s="19" t="n"/>
      <c r="L933" s="19" t="n"/>
      <c r="M933" s="20" t="n"/>
      <c r="N933" s="137" t="n"/>
      <c r="O933" s="145">
        <f>DADOS_INVOC!$PY$55</f>
        <v/>
      </c>
      <c r="P933" s="19" t="n"/>
      <c r="Q933" s="19" t="n"/>
      <c r="R933" s="19" t="n"/>
      <c r="S933" s="20" t="n"/>
      <c r="T933" s="137" t="n"/>
      <c r="U933" s="145">
        <f>DADOS_INVOC!$PY$56</f>
        <v/>
      </c>
      <c r="V933" s="19" t="n"/>
      <c r="W933" s="19" t="n"/>
      <c r="X933" s="19" t="n"/>
      <c r="Y933" s="20" t="n"/>
      <c r="Z933" s="137" t="n"/>
      <c r="AB933" s="145">
        <f>DADOS_INVOC!$PY$132</f>
        <v/>
      </c>
      <c r="AC933" s="19" t="n"/>
      <c r="AD933" s="19" t="n"/>
      <c r="AE933" s="19" t="n"/>
      <c r="AF933" s="20" t="n"/>
      <c r="AG933" s="137" t="n"/>
      <c r="AH933" s="145">
        <f>DADOS_INVOC!$PY$133</f>
        <v/>
      </c>
      <c r="AI933" s="19" t="n"/>
      <c r="AJ933" s="19" t="n"/>
      <c r="AK933" s="19" t="n"/>
      <c r="AL933" s="20" t="n"/>
      <c r="AM933" s="137" t="n"/>
      <c r="AN933" s="145">
        <f>DADOS_INVOC!$PY$134</f>
        <v/>
      </c>
      <c r="AO933" s="19" t="n"/>
      <c r="AP933" s="19" t="n"/>
      <c r="AQ933" s="19" t="n"/>
      <c r="AR933" s="20" t="n"/>
      <c r="AS933" s="137" t="n"/>
    </row>
    <row r="934" hidden="1" outlineLevel="2">
      <c r="A934" s="8" t="n"/>
      <c r="B934" s="14" t="n"/>
      <c r="C934" s="137" t="n"/>
      <c r="D934" s="137" t="n"/>
      <c r="E934" s="137" t="n"/>
      <c r="F934" s="137" t="n"/>
      <c r="G934" s="137" t="n"/>
      <c r="I934" s="23" t="n"/>
      <c r="J934" s="24" t="n"/>
      <c r="K934" s="24" t="n"/>
      <c r="L934" s="24" t="n"/>
      <c r="M934" s="25" t="n"/>
      <c r="N934" s="137" t="n"/>
      <c r="O934" s="23" t="n"/>
      <c r="P934" s="24" t="n"/>
      <c r="Q934" s="24" t="n"/>
      <c r="R934" s="24" t="n"/>
      <c r="S934" s="25" t="n"/>
      <c r="T934" s="137" t="n"/>
      <c r="U934" s="23" t="n"/>
      <c r="V934" s="24" t="n"/>
      <c r="W934" s="24" t="n"/>
      <c r="X934" s="24" t="n"/>
      <c r="Y934" s="25" t="n"/>
      <c r="Z934" s="137" t="n"/>
      <c r="AB934" s="23" t="n"/>
      <c r="AC934" s="24" t="n"/>
      <c r="AD934" s="24" t="n"/>
      <c r="AE934" s="24" t="n"/>
      <c r="AF934" s="25" t="n"/>
      <c r="AG934" s="137" t="n"/>
      <c r="AH934" s="23" t="n"/>
      <c r="AI934" s="24" t="n"/>
      <c r="AJ934" s="24" t="n"/>
      <c r="AK934" s="24" t="n"/>
      <c r="AL934" s="25" t="n"/>
      <c r="AM934" s="137" t="n"/>
      <c r="AN934" s="23" t="n"/>
      <c r="AO934" s="24" t="n"/>
      <c r="AP934" s="24" t="n"/>
      <c r="AQ934" s="24" t="n"/>
      <c r="AR934" s="25" t="n"/>
      <c r="AS934" s="137" t="n"/>
    </row>
    <row r="935" hidden="1" outlineLevel="1">
      <c r="A935" s="8" t="n"/>
      <c r="B935" s="14" t="n"/>
      <c r="C935" s="137" t="n"/>
      <c r="D935" s="137" t="n"/>
      <c r="E935" s="137" t="n"/>
      <c r="F935" s="137" t="n"/>
      <c r="G935" s="137" t="n"/>
      <c r="I935" s="137" t="n"/>
      <c r="J935" s="137" t="n"/>
      <c r="K935" s="137" t="n"/>
      <c r="L935" s="137" t="n"/>
      <c r="M935" s="137" t="n"/>
      <c r="N935" s="137" t="n"/>
      <c r="O935" s="137" t="n"/>
      <c r="P935" s="137" t="n"/>
      <c r="Q935" s="137" t="n"/>
      <c r="R935" s="137" t="n"/>
      <c r="S935" s="137" t="n"/>
      <c r="T935" s="137" t="n"/>
      <c r="U935" s="137" t="n"/>
      <c r="V935" s="137" t="n"/>
      <c r="W935" s="137" t="n"/>
      <c r="X935" s="137" t="n"/>
      <c r="Y935" s="137" t="n"/>
      <c r="Z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37" t="n"/>
      <c r="AS935" s="137" t="n"/>
    </row>
    <row r="936" hidden="1" outlineLevel="1">
      <c r="A936" s="8" t="n"/>
      <c r="B936" s="14" t="n"/>
      <c r="C936" s="137" t="n"/>
      <c r="D936" s="137" t="n"/>
      <c r="E936" s="137" t="n"/>
      <c r="F936" s="137" t="n"/>
      <c r="G936" s="137" t="n"/>
      <c r="I936" s="56">
        <f>DADOS_INVOC!$IF$6</f>
        <v/>
      </c>
      <c r="J936" s="16" t="n"/>
      <c r="K936" s="16" t="n"/>
      <c r="L936" s="16" t="n"/>
      <c r="M936" s="16" t="n"/>
      <c r="N936" s="16" t="n"/>
      <c r="O936" s="16" t="n"/>
      <c r="P936" s="16" t="n"/>
      <c r="Q936" s="16" t="n"/>
      <c r="R936" s="16" t="n"/>
      <c r="S936" s="16" t="n"/>
      <c r="T936" s="16" t="n"/>
      <c r="U936" s="16" t="n"/>
      <c r="V936" s="16" t="n"/>
      <c r="W936" s="16" t="n"/>
      <c r="X936" s="16" t="n"/>
      <c r="Y936" s="17" t="n"/>
      <c r="Z936" s="137" t="n"/>
      <c r="AB936" s="56">
        <f>DADOS_INVOC!$IF$12</f>
        <v/>
      </c>
      <c r="AC936" s="16" t="n"/>
      <c r="AD936" s="16" t="n"/>
      <c r="AE936" s="16" t="n"/>
      <c r="AF936" s="16" t="n"/>
      <c r="AG936" s="16" t="n"/>
      <c r="AH936" s="16" t="n"/>
      <c r="AI936" s="16" t="n"/>
      <c r="AJ936" s="16" t="n"/>
      <c r="AK936" s="16" t="n"/>
      <c r="AL936" s="16" t="n"/>
      <c r="AM936" s="16" t="n"/>
      <c r="AN936" s="16" t="n"/>
      <c r="AO936" s="16" t="n"/>
      <c r="AP936" s="16" t="n"/>
      <c r="AQ936" s="16" t="n"/>
      <c r="AR936" s="17" t="n"/>
      <c r="AS936" s="137" t="n"/>
    </row>
    <row r="937" hidden="1" outlineLevel="1">
      <c r="A937" s="8" t="n"/>
      <c r="B937" s="14" t="n"/>
      <c r="C937" s="137" t="n"/>
      <c r="D937" s="137" t="n"/>
      <c r="E937" s="137" t="n"/>
      <c r="F937" s="137" t="n"/>
      <c r="G937" s="137" t="n"/>
      <c r="I937" s="56" t="inlineStr">
        <is>
          <t>NV 1 · CE 1</t>
        </is>
      </c>
      <c r="J937" s="144" t="n"/>
      <c r="K937" s="16" t="n"/>
      <c r="L937" s="17" t="n"/>
      <c r="M937" s="150">
        <f>DADOS_INVOC!$IO$6</f>
        <v/>
      </c>
      <c r="N937" s="16" t="n"/>
      <c r="O937" s="16" t="n"/>
      <c r="P937" s="16" t="n"/>
      <c r="Q937" s="16" t="n"/>
      <c r="R937" s="16" t="n"/>
      <c r="S937" s="16" t="n"/>
      <c r="T937" s="16" t="n"/>
      <c r="U937" s="16" t="n"/>
      <c r="V937" s="16" t="n"/>
      <c r="W937" s="16" t="n"/>
      <c r="X937" s="16" t="n"/>
      <c r="Y937" s="17" t="n"/>
      <c r="Z937" s="137" t="n"/>
      <c r="AB937" s="56" t="inlineStr">
        <is>
          <t>NV 1 · CE 1</t>
        </is>
      </c>
      <c r="AC937" s="144" t="n"/>
      <c r="AD937" s="16" t="n"/>
      <c r="AE937" s="17" t="n"/>
      <c r="AF937" s="150">
        <f>DADOS_INVOC!$IO$12</f>
        <v/>
      </c>
      <c r="AG937" s="16" t="n"/>
      <c r="AH937" s="16" t="n"/>
      <c r="AI937" s="16" t="n"/>
      <c r="AJ937" s="16" t="n"/>
      <c r="AK937" s="16" t="n"/>
      <c r="AL937" s="16" t="n"/>
      <c r="AM937" s="16" t="n"/>
      <c r="AN937" s="16" t="n"/>
      <c r="AO937" s="16" t="n"/>
      <c r="AP937" s="16" t="n"/>
      <c r="AQ937" s="16" t="n"/>
      <c r="AR937" s="17" t="n"/>
      <c r="AS937" s="137" t="n"/>
    </row>
    <row r="938" hidden="1" outlineLevel="1">
      <c r="A938" s="8" t="n"/>
      <c r="B938" s="14" t="n"/>
      <c r="C938" s="137" t="n"/>
      <c r="D938" s="137" t="n"/>
      <c r="E938" s="137" t="n"/>
      <c r="F938" s="137" t="n"/>
      <c r="G938" s="137" t="n"/>
      <c r="I938" s="56" t="inlineStr">
        <is>
          <t>NV 6 · CE 1</t>
        </is>
      </c>
      <c r="J938" s="144" t="n"/>
      <c r="K938" s="16" t="n"/>
      <c r="L938" s="17" t="n"/>
      <c r="M938" s="150">
        <f>DADOS_INVOC!$IP$6</f>
        <v/>
      </c>
      <c r="N938" s="16" t="n"/>
      <c r="O938" s="16" t="n"/>
      <c r="P938" s="16" t="n"/>
      <c r="Q938" s="16" t="n"/>
      <c r="R938" s="16" t="n"/>
      <c r="S938" s="16" t="n"/>
      <c r="T938" s="16" t="n"/>
      <c r="U938" s="16" t="n"/>
      <c r="V938" s="16" t="n"/>
      <c r="W938" s="16" t="n"/>
      <c r="X938" s="16" t="n"/>
      <c r="Y938" s="17" t="n"/>
      <c r="Z938" s="137" t="n"/>
      <c r="AB938" s="56" t="inlineStr">
        <is>
          <t>NV 6 · CE 1</t>
        </is>
      </c>
      <c r="AC938" s="144" t="n"/>
      <c r="AD938" s="16" t="n"/>
      <c r="AE938" s="17" t="n"/>
      <c r="AF938" s="150">
        <f>DADOS_INVOC!$IP$12</f>
        <v/>
      </c>
      <c r="AG938" s="16" t="n"/>
      <c r="AH938" s="16" t="n"/>
      <c r="AI938" s="16" t="n"/>
      <c r="AJ938" s="16" t="n"/>
      <c r="AK938" s="16" t="n"/>
      <c r="AL938" s="16" t="n"/>
      <c r="AM938" s="16" t="n"/>
      <c r="AN938" s="16" t="n"/>
      <c r="AO938" s="16" t="n"/>
      <c r="AP938" s="16" t="n"/>
      <c r="AQ938" s="16" t="n"/>
      <c r="AR938" s="17" t="n"/>
      <c r="AS938" s="137" t="n"/>
    </row>
    <row r="939" hidden="1" outlineLevel="1">
      <c r="A939" s="8" t="n"/>
      <c r="B939" s="14" t="n"/>
      <c r="C939" s="137" t="n"/>
      <c r="D939" s="137" t="n"/>
      <c r="E939" s="137" t="n"/>
      <c r="F939" s="137" t="n"/>
      <c r="G939" s="137" t="n"/>
      <c r="I939" s="56" t="inlineStr">
        <is>
          <t>NV 10 · CE 2</t>
        </is>
      </c>
      <c r="J939" s="144" t="n"/>
      <c r="K939" s="16" t="n"/>
      <c r="L939" s="17" t="n"/>
      <c r="M939" s="150">
        <f>DADOS_INVOC!$IQ$6</f>
        <v/>
      </c>
      <c r="N939" s="16" t="n"/>
      <c r="O939" s="16" t="n"/>
      <c r="P939" s="16" t="n"/>
      <c r="Q939" s="16" t="n"/>
      <c r="R939" s="16" t="n"/>
      <c r="S939" s="16" t="n"/>
      <c r="T939" s="16" t="n"/>
      <c r="U939" s="16" t="n"/>
      <c r="V939" s="16" t="n"/>
      <c r="W939" s="16" t="n"/>
      <c r="X939" s="16" t="n"/>
      <c r="Y939" s="17" t="n"/>
      <c r="Z939" s="137" t="n"/>
      <c r="AB939" s="56" t="inlineStr">
        <is>
          <t>NV 10 · CE 2</t>
        </is>
      </c>
      <c r="AC939" s="144" t="n"/>
      <c r="AD939" s="16" t="n"/>
      <c r="AE939" s="17" t="n"/>
      <c r="AF939" s="150">
        <f>DADOS_INVOC!$IQ$12</f>
        <v/>
      </c>
      <c r="AG939" s="16" t="n"/>
      <c r="AH939" s="16" t="n"/>
      <c r="AI939" s="16" t="n"/>
      <c r="AJ939" s="16" t="n"/>
      <c r="AK939" s="16" t="n"/>
      <c r="AL939" s="16" t="n"/>
      <c r="AM939" s="16" t="n"/>
      <c r="AN939" s="16" t="n"/>
      <c r="AO939" s="16" t="n"/>
      <c r="AP939" s="16" t="n"/>
      <c r="AQ939" s="16" t="n"/>
      <c r="AR939" s="17" t="n"/>
      <c r="AS939" s="137" t="n"/>
    </row>
    <row r="940" hidden="1" outlineLevel="1">
      <c r="A940" s="8" t="n"/>
      <c r="B940" s="14" t="n"/>
      <c r="C940" s="137" t="n"/>
      <c r="D940" s="137" t="n"/>
      <c r="E940" s="137" t="n"/>
      <c r="F940" s="137" t="n"/>
      <c r="G940" s="137" t="n"/>
      <c r="I940" s="56" t="inlineStr">
        <is>
          <t>NV 14 · CE 3</t>
        </is>
      </c>
      <c r="J940" s="144" t="n"/>
      <c r="K940" s="16" t="n"/>
      <c r="L940" s="17" t="n"/>
      <c r="M940" s="150">
        <f>DADOS_INVOC!$IR$6</f>
        <v/>
      </c>
      <c r="N940" s="16" t="n"/>
      <c r="O940" s="16" t="n"/>
      <c r="P940" s="16" t="n"/>
      <c r="Q940" s="16" t="n"/>
      <c r="R940" s="16" t="n"/>
      <c r="S940" s="16" t="n"/>
      <c r="T940" s="16" t="n"/>
      <c r="U940" s="16" t="n"/>
      <c r="V940" s="16" t="n"/>
      <c r="W940" s="16" t="n"/>
      <c r="X940" s="16" t="n"/>
      <c r="Y940" s="17" t="n"/>
      <c r="Z940" s="137" t="n"/>
      <c r="AB940" s="56" t="inlineStr">
        <is>
          <t>NV 14 · CE 3</t>
        </is>
      </c>
      <c r="AC940" s="144" t="n"/>
      <c r="AD940" s="16" t="n"/>
      <c r="AE940" s="17" t="n"/>
      <c r="AF940" s="150">
        <f>DADOS_INVOC!$IR$12</f>
        <v/>
      </c>
      <c r="AG940" s="16" t="n"/>
      <c r="AH940" s="16" t="n"/>
      <c r="AI940" s="16" t="n"/>
      <c r="AJ940" s="16" t="n"/>
      <c r="AK940" s="16" t="n"/>
      <c r="AL940" s="16" t="n"/>
      <c r="AM940" s="16" t="n"/>
      <c r="AN940" s="16" t="n"/>
      <c r="AO940" s="16" t="n"/>
      <c r="AP940" s="16" t="n"/>
      <c r="AQ940" s="16" t="n"/>
      <c r="AR940" s="17" t="n"/>
      <c r="AS940" s="137" t="n"/>
    </row>
    <row r="941" hidden="1" outlineLevel="1">
      <c r="A941" s="8" t="n"/>
      <c r="B941" s="14" t="n"/>
      <c r="C941" s="137" t="n"/>
      <c r="D941" s="137" t="n"/>
      <c r="E941" s="137" t="n"/>
      <c r="F941" s="137" t="n"/>
      <c r="G941" s="137" t="n"/>
      <c r="I941" s="56" t="inlineStr">
        <is>
          <t>NV 18 · CE 3</t>
        </is>
      </c>
      <c r="J941" s="144" t="n"/>
      <c r="K941" s="16" t="n"/>
      <c r="L941" s="17" t="n"/>
      <c r="M941" s="150">
        <f>DADOS_INVOC!$IS$6</f>
        <v/>
      </c>
      <c r="N941" s="16" t="n"/>
      <c r="O941" s="16" t="n"/>
      <c r="P941" s="16" t="n"/>
      <c r="Q941" s="16" t="n"/>
      <c r="R941" s="16" t="n"/>
      <c r="S941" s="16" t="n"/>
      <c r="T941" s="16" t="n"/>
      <c r="U941" s="16" t="n"/>
      <c r="V941" s="16" t="n"/>
      <c r="W941" s="16" t="n"/>
      <c r="X941" s="16" t="n"/>
      <c r="Y941" s="17" t="n"/>
      <c r="Z941" s="137" t="n"/>
      <c r="AB941" s="56" t="inlineStr">
        <is>
          <t>NV 18 · CE 3</t>
        </is>
      </c>
      <c r="AC941" s="144" t="n"/>
      <c r="AD941" s="16" t="n"/>
      <c r="AE941" s="17" t="n"/>
      <c r="AF941" s="150">
        <f>DADOS_INVOC!$IS$12</f>
        <v/>
      </c>
      <c r="AG941" s="16" t="n"/>
      <c r="AH941" s="16" t="n"/>
      <c r="AI941" s="16" t="n"/>
      <c r="AJ941" s="16" t="n"/>
      <c r="AK941" s="16" t="n"/>
      <c r="AL941" s="16" t="n"/>
      <c r="AM941" s="16" t="n"/>
      <c r="AN941" s="16" t="n"/>
      <c r="AO941" s="16" t="n"/>
      <c r="AP941" s="16" t="n"/>
      <c r="AQ941" s="16" t="n"/>
      <c r="AR941" s="17" t="n"/>
      <c r="AS941" s="137" t="n"/>
    </row>
    <row r="942" hidden="1" outlineLevel="1">
      <c r="A942" s="8" t="n"/>
      <c r="B942" s="14" t="n"/>
      <c r="C942" s="137" t="n"/>
      <c r="D942" s="137" t="n"/>
      <c r="E942" s="137" t="n"/>
      <c r="F942" s="137" t="n"/>
      <c r="G942" s="137" t="n"/>
      <c r="I942" s="56" t="inlineStr">
        <is>
          <t>NV 22 · CE 3</t>
        </is>
      </c>
      <c r="J942" s="144" t="n"/>
      <c r="K942" s="16" t="n"/>
      <c r="L942" s="17" t="n"/>
      <c r="M942" s="150">
        <f>DADOS_INVOC!$IT$6</f>
        <v/>
      </c>
      <c r="N942" s="16" t="n"/>
      <c r="O942" s="16" t="n"/>
      <c r="P942" s="16" t="n"/>
      <c r="Q942" s="16" t="n"/>
      <c r="R942" s="16" t="n"/>
      <c r="S942" s="16" t="n"/>
      <c r="T942" s="16" t="n"/>
      <c r="U942" s="16" t="n"/>
      <c r="V942" s="16" t="n"/>
      <c r="W942" s="16" t="n"/>
      <c r="X942" s="16" t="n"/>
      <c r="Y942" s="17" t="n"/>
      <c r="Z942" s="137" t="n"/>
      <c r="AB942" s="56" t="inlineStr">
        <is>
          <t>NV 22 · CE 3</t>
        </is>
      </c>
      <c r="AC942" s="144" t="n"/>
      <c r="AD942" s="16" t="n"/>
      <c r="AE942" s="17" t="n"/>
      <c r="AF942" s="150">
        <f>DADOS_INVOC!$IT$12</f>
        <v/>
      </c>
      <c r="AG942" s="16" t="n"/>
      <c r="AH942" s="16" t="n"/>
      <c r="AI942" s="16" t="n"/>
      <c r="AJ942" s="16" t="n"/>
      <c r="AK942" s="16" t="n"/>
      <c r="AL942" s="16" t="n"/>
      <c r="AM942" s="16" t="n"/>
      <c r="AN942" s="16" t="n"/>
      <c r="AO942" s="16" t="n"/>
      <c r="AP942" s="16" t="n"/>
      <c r="AQ942" s="16" t="n"/>
      <c r="AR942" s="17" t="n"/>
      <c r="AS942" s="137" t="n"/>
    </row>
    <row r="943" hidden="1" outlineLevel="1">
      <c r="A943" s="8" t="n"/>
      <c r="B943" s="14" t="n"/>
      <c r="C943" s="137" t="n"/>
      <c r="D943" s="137" t="n"/>
      <c r="E943" s="137" t="n"/>
      <c r="F943" s="137" t="n"/>
      <c r="G943" s="137" t="n"/>
      <c r="I943" s="56" t="inlineStr">
        <is>
          <t>NV 26 · CE 3</t>
        </is>
      </c>
      <c r="J943" s="144" t="n"/>
      <c r="K943" s="16" t="n"/>
      <c r="L943" s="17" t="n"/>
      <c r="M943" s="150">
        <f>DADOS_INVOC!$IU$6</f>
        <v/>
      </c>
      <c r="N943" s="16" t="n"/>
      <c r="O943" s="16" t="n"/>
      <c r="P943" s="16" t="n"/>
      <c r="Q943" s="16" t="n"/>
      <c r="R943" s="16" t="n"/>
      <c r="S943" s="16" t="n"/>
      <c r="T943" s="16" t="n"/>
      <c r="U943" s="16" t="n"/>
      <c r="V943" s="16" t="n"/>
      <c r="W943" s="16" t="n"/>
      <c r="X943" s="16" t="n"/>
      <c r="Y943" s="17" t="n"/>
      <c r="Z943" s="137" t="n"/>
      <c r="AB943" s="56" t="inlineStr">
        <is>
          <t>NV 26 · CE 3</t>
        </is>
      </c>
      <c r="AC943" s="144" t="n"/>
      <c r="AD943" s="16" t="n"/>
      <c r="AE943" s="17" t="n"/>
      <c r="AF943" s="150">
        <f>DADOS_INVOC!$IU$12</f>
        <v/>
      </c>
      <c r="AG943" s="16" t="n"/>
      <c r="AH943" s="16" t="n"/>
      <c r="AI943" s="16" t="n"/>
      <c r="AJ943" s="16" t="n"/>
      <c r="AK943" s="16" t="n"/>
      <c r="AL943" s="16" t="n"/>
      <c r="AM943" s="16" t="n"/>
      <c r="AN943" s="16" t="n"/>
      <c r="AO943" s="16" t="n"/>
      <c r="AP943" s="16" t="n"/>
      <c r="AQ943" s="16" t="n"/>
      <c r="AR943" s="17" t="n"/>
      <c r="AS943" s="137" t="n"/>
    </row>
    <row r="944" hidden="1" outlineLevel="1">
      <c r="A944" s="8" t="n"/>
      <c r="B944" s="14" t="n"/>
      <c r="C944" s="137" t="n"/>
      <c r="D944" s="137" t="n"/>
      <c r="E944" s="137" t="n"/>
      <c r="F944" s="137" t="n"/>
      <c r="G944" s="137" t="n"/>
      <c r="I944" s="56" t="inlineStr">
        <is>
          <t>NV 30 · CE 3</t>
        </is>
      </c>
      <c r="J944" s="144" t="n"/>
      <c r="K944" s="16" t="n"/>
      <c r="L944" s="17" t="n"/>
      <c r="M944" s="150">
        <f>DADOS_INVOC!$IV$6</f>
        <v/>
      </c>
      <c r="N944" s="16" t="n"/>
      <c r="O944" s="16" t="n"/>
      <c r="P944" s="16" t="n"/>
      <c r="Q944" s="16" t="n"/>
      <c r="R944" s="16" t="n"/>
      <c r="S944" s="16" t="n"/>
      <c r="T944" s="16" t="n"/>
      <c r="U944" s="16" t="n"/>
      <c r="V944" s="16" t="n"/>
      <c r="W944" s="16" t="n"/>
      <c r="X944" s="16" t="n"/>
      <c r="Y944" s="17" t="n"/>
      <c r="Z944" s="137" t="n"/>
      <c r="AB944" s="56" t="inlineStr">
        <is>
          <t>NV 30 · CE 3</t>
        </is>
      </c>
      <c r="AC944" s="144" t="n"/>
      <c r="AD944" s="16" t="n"/>
      <c r="AE944" s="17" t="n"/>
      <c r="AF944" s="150">
        <f>DADOS_INVOC!$IV$12</f>
        <v/>
      </c>
      <c r="AG944" s="16" t="n"/>
      <c r="AH944" s="16" t="n"/>
      <c r="AI944" s="16" t="n"/>
      <c r="AJ944" s="16" t="n"/>
      <c r="AK944" s="16" t="n"/>
      <c r="AL944" s="16" t="n"/>
      <c r="AM944" s="16" t="n"/>
      <c r="AN944" s="16" t="n"/>
      <c r="AO944" s="16" t="n"/>
      <c r="AP944" s="16" t="n"/>
      <c r="AQ944" s="16" t="n"/>
      <c r="AR944" s="17" t="n"/>
      <c r="AS944" s="137" t="n"/>
    </row>
    <row r="945" hidden="1" outlineLevel="1">
      <c r="A945" s="8" t="n"/>
      <c r="B945" s="14" t="n"/>
      <c r="C945" s="137" t="n"/>
      <c r="D945" s="137" t="n"/>
      <c r="E945" s="137" t="n"/>
      <c r="F945" s="137" t="n"/>
      <c r="G945" s="137" t="n"/>
      <c r="I945" s="137" t="n"/>
      <c r="J945" s="137" t="n"/>
      <c r="K945" s="137" t="n"/>
      <c r="L945" s="137" t="n"/>
      <c r="M945" s="137" t="n"/>
      <c r="N945" s="137" t="n"/>
      <c r="O945" s="137" t="n"/>
      <c r="P945" s="137" t="n"/>
      <c r="Q945" s="137" t="n"/>
      <c r="R945" s="137" t="n"/>
      <c r="S945" s="137" t="n"/>
      <c r="T945" s="137" t="n"/>
      <c r="U945" s="137" t="n"/>
      <c r="V945" s="137" t="n"/>
      <c r="W945" s="137" t="n"/>
      <c r="X945" s="137" t="n"/>
      <c r="Y945" s="137" t="n"/>
      <c r="Z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37" t="n"/>
      <c r="AS945" s="137" t="n"/>
    </row>
    <row r="946" hidden="1" outlineLevel="1">
      <c r="A946" s="8" t="n"/>
      <c r="B946" s="14" t="n"/>
      <c r="C946" s="137" t="n"/>
      <c r="D946" s="137" t="n"/>
      <c r="E946" s="137" t="n"/>
      <c r="F946" s="137" t="n"/>
      <c r="G946" s="137" t="n"/>
      <c r="I946" s="146" t="inlineStr">
        <is>
          <t>MAIS HABILIDADES · a segunda básica no nível 11, e as especiais 3 a 8, do nível 8 ao 28</t>
        </is>
      </c>
      <c r="J946" s="16" t="n"/>
      <c r="K946" s="16" t="n"/>
      <c r="L946" s="16" t="n"/>
      <c r="M946" s="16" t="n"/>
      <c r="N946" s="16" t="n"/>
      <c r="O946" s="16" t="n"/>
      <c r="P946" s="16" t="n"/>
      <c r="Q946" s="16" t="n"/>
      <c r="R946" s="16" t="n"/>
      <c r="S946" s="16" t="n"/>
      <c r="T946" s="16" t="n"/>
      <c r="U946" s="16" t="n"/>
      <c r="V946" s="16" t="n"/>
      <c r="W946" s="16" t="n"/>
      <c r="X946" s="16" t="n"/>
      <c r="Y946" s="17" t="n"/>
      <c r="Z946" s="137" t="n"/>
      <c r="AB946" s="146" t="inlineStr">
        <is>
          <t>MAIS HABILIDADES · a segunda básica no nível 11, e as especiais 3 a 8, do nível 8 ao 28</t>
        </is>
      </c>
      <c r="AC946" s="16" t="n"/>
      <c r="AD946" s="16" t="n"/>
      <c r="AE946" s="16" t="n"/>
      <c r="AF946" s="16" t="n"/>
      <c r="AG946" s="16" t="n"/>
      <c r="AH946" s="16" t="n"/>
      <c r="AI946" s="16" t="n"/>
      <c r="AJ946" s="16" t="n"/>
      <c r="AK946" s="16" t="n"/>
      <c r="AL946" s="16" t="n"/>
      <c r="AM946" s="16" t="n"/>
      <c r="AN946" s="16" t="n"/>
      <c r="AO946" s="16" t="n"/>
      <c r="AP946" s="16" t="n"/>
      <c r="AQ946" s="16" t="n"/>
      <c r="AR946" s="17" t="n"/>
      <c r="AS946" s="137" t="n"/>
    </row>
    <row r="947" hidden="1" outlineLevel="2">
      <c r="A947" s="8" t="n"/>
      <c r="B947" s="14" t="n"/>
      <c r="C947" s="137" t="n"/>
      <c r="D947" s="137" t="n"/>
      <c r="E947" s="137" t="n"/>
      <c r="F947" s="137" t="n"/>
      <c r="G947" s="137" t="n"/>
      <c r="I947" s="137" t="n"/>
      <c r="J947" s="137" t="n"/>
      <c r="K947" s="137" t="n"/>
      <c r="L947" s="137" t="n"/>
      <c r="M947" s="137" t="n"/>
      <c r="N947" s="137" t="n"/>
      <c r="O947" s="137" t="n"/>
      <c r="P947" s="137" t="n"/>
      <c r="Q947" s="137" t="n"/>
      <c r="R947" s="137" t="n"/>
      <c r="S947" s="137" t="n"/>
      <c r="T947" s="137" t="n"/>
      <c r="U947" s="137" t="n"/>
      <c r="V947" s="137" t="n"/>
      <c r="W947" s="137" t="n"/>
      <c r="X947" s="137" t="n"/>
      <c r="Y947" s="137" t="n"/>
      <c r="Z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37" t="n"/>
      <c r="AS947" s="137" t="n"/>
    </row>
    <row r="948" hidden="1" outlineLevel="2">
      <c r="A948" s="8" t="n"/>
      <c r="B948" s="14" t="n"/>
      <c r="C948" s="137" t="n"/>
      <c r="D948" s="137" t="n"/>
      <c r="E948" s="137" t="n"/>
      <c r="F948" s="137" t="n"/>
      <c r="G948" s="137" t="n"/>
      <c r="I948" s="56">
        <f>DADOS_INVOC!$PZ$57</f>
        <v/>
      </c>
      <c r="J948" s="16" t="n"/>
      <c r="K948" s="16" t="n"/>
      <c r="L948" s="16" t="n"/>
      <c r="M948" s="17" t="n"/>
      <c r="N948" s="137" t="n"/>
      <c r="O948" s="56">
        <f>DADOS_INVOC!$PZ$58</f>
        <v/>
      </c>
      <c r="P948" s="16" t="n"/>
      <c r="Q948" s="16" t="n"/>
      <c r="R948" s="16" t="n"/>
      <c r="S948" s="17" t="n"/>
      <c r="T948" s="137" t="n"/>
      <c r="U948" s="56">
        <f>DADOS_INVOC!$PZ$59</f>
        <v/>
      </c>
      <c r="V948" s="16" t="n"/>
      <c r="W948" s="16" t="n"/>
      <c r="X948" s="16" t="n"/>
      <c r="Y948" s="17" t="n"/>
      <c r="Z948" s="137" t="n"/>
      <c r="AB948" s="56">
        <f>DADOS_INVOC!$PZ$135</f>
        <v/>
      </c>
      <c r="AC948" s="16" t="n"/>
      <c r="AD948" s="16" t="n"/>
      <c r="AE948" s="16" t="n"/>
      <c r="AF948" s="17" t="n"/>
      <c r="AG948" s="137" t="n"/>
      <c r="AH948" s="56">
        <f>DADOS_INVOC!$PZ$136</f>
        <v/>
      </c>
      <c r="AI948" s="16" t="n"/>
      <c r="AJ948" s="16" t="n"/>
      <c r="AK948" s="16" t="n"/>
      <c r="AL948" s="17" t="n"/>
      <c r="AM948" s="137" t="n"/>
      <c r="AN948" s="56">
        <f>DADOS_INVOC!$PZ$137</f>
        <v/>
      </c>
      <c r="AO948" s="16" t="n"/>
      <c r="AP948" s="16" t="n"/>
      <c r="AQ948" s="16" t="n"/>
      <c r="AR948" s="17" t="n"/>
      <c r="AS948" s="137" t="n"/>
    </row>
    <row r="949" hidden="1" outlineLevel="2">
      <c r="A949" s="8" t="n"/>
      <c r="B949" s="14" t="n"/>
      <c r="C949" s="137" t="n"/>
      <c r="D949" s="137" t="n"/>
      <c r="E949" s="137" t="n"/>
      <c r="F949" s="137" t="n"/>
      <c r="G949" s="137" t="n"/>
      <c r="I949" s="141" t="n">
        <v>0</v>
      </c>
      <c r="J949" s="131" t="n"/>
      <c r="K949" s="16" t="n"/>
      <c r="L949" s="17" t="n"/>
      <c r="M949" s="142">
        <f>DADOS_INVOC!$PX$57</f>
        <v/>
      </c>
      <c r="N949" s="137" t="n"/>
      <c r="O949" s="141" t="n">
        <v>1</v>
      </c>
      <c r="P949" s="131" t="n"/>
      <c r="Q949" s="16" t="n"/>
      <c r="R949" s="17" t="n"/>
      <c r="S949" s="142">
        <f>DADOS_INVOC!$PX$58</f>
        <v/>
      </c>
      <c r="T949" s="137" t="n"/>
      <c r="U949" s="141" t="n">
        <v>1</v>
      </c>
      <c r="V949" s="131" t="n"/>
      <c r="W949" s="16" t="n"/>
      <c r="X949" s="17" t="n"/>
      <c r="Y949" s="142">
        <f>DADOS_INVOC!$PX$59</f>
        <v/>
      </c>
      <c r="Z949" s="137" t="n"/>
      <c r="AB949" s="141" t="n">
        <v>0</v>
      </c>
      <c r="AC949" s="131" t="n"/>
      <c r="AD949" s="16" t="n"/>
      <c r="AE949" s="17" t="n"/>
      <c r="AF949" s="142">
        <f>DADOS_INVOC!$PX$135</f>
        <v/>
      </c>
      <c r="AG949" s="137" t="n"/>
      <c r="AH949" s="141" t="n">
        <v>1</v>
      </c>
      <c r="AI949" s="131" t="n"/>
      <c r="AJ949" s="16" t="n"/>
      <c r="AK949" s="17" t="n"/>
      <c r="AL949" s="142">
        <f>DADOS_INVOC!$PX$136</f>
        <v/>
      </c>
      <c r="AM949" s="137" t="n"/>
      <c r="AN949" s="141" t="n">
        <v>1</v>
      </c>
      <c r="AO949" s="131" t="n"/>
      <c r="AP949" s="16" t="n"/>
      <c r="AQ949" s="17" t="n"/>
      <c r="AR949" s="142">
        <f>DADOS_INVOC!$PX$137</f>
        <v/>
      </c>
      <c r="AS949" s="137" t="n"/>
    </row>
    <row r="950" hidden="1" outlineLevel="3">
      <c r="A950" s="8" t="n"/>
      <c r="B950" s="14" t="n"/>
      <c r="C950" s="137" t="n"/>
      <c r="D950" s="137" t="n"/>
      <c r="E950" s="137" t="n"/>
      <c r="F950" s="137" t="n"/>
      <c r="G950" s="137" t="n"/>
      <c r="I950" s="56" t="inlineStr">
        <is>
          <t>COMO É</t>
        </is>
      </c>
      <c r="J950" s="16" t="n"/>
      <c r="K950" s="16" t="n"/>
      <c r="L950" s="16" t="n"/>
      <c r="M950" s="17" t="n"/>
      <c r="N950" s="137" t="n"/>
      <c r="O950" s="56" t="inlineStr">
        <is>
          <t>COMO É</t>
        </is>
      </c>
      <c r="P950" s="16" t="n"/>
      <c r="Q950" s="16" t="n"/>
      <c r="R950" s="16" t="n"/>
      <c r="S950" s="17" t="n"/>
      <c r="T950" s="137" t="n"/>
      <c r="U950" s="56" t="inlineStr">
        <is>
          <t>COMO É</t>
        </is>
      </c>
      <c r="V950" s="16" t="n"/>
      <c r="W950" s="16" t="n"/>
      <c r="X950" s="16" t="n"/>
      <c r="Y950" s="17" t="n"/>
      <c r="Z950" s="137" t="n"/>
      <c r="AB950" s="56" t="inlineStr">
        <is>
          <t>COMO É</t>
        </is>
      </c>
      <c r="AC950" s="16" t="n"/>
      <c r="AD950" s="16" t="n"/>
      <c r="AE950" s="16" t="n"/>
      <c r="AF950" s="17" t="n"/>
      <c r="AG950" s="137" t="n"/>
      <c r="AH950" s="56" t="inlineStr">
        <is>
          <t>COMO É</t>
        </is>
      </c>
      <c r="AI950" s="16" t="n"/>
      <c r="AJ950" s="16" t="n"/>
      <c r="AK950" s="16" t="n"/>
      <c r="AL950" s="17" t="n"/>
      <c r="AM950" s="137" t="n"/>
      <c r="AN950" s="56" t="inlineStr">
        <is>
          <t>COMO É</t>
        </is>
      </c>
      <c r="AO950" s="16" t="n"/>
      <c r="AP950" s="16" t="n"/>
      <c r="AQ950" s="16" t="n"/>
      <c r="AR950" s="17" t="n"/>
      <c r="AS950" s="137" t="n"/>
    </row>
    <row r="951" hidden="1" outlineLevel="3">
      <c r="A951" s="8" t="n"/>
      <c r="B951" s="14" t="n"/>
      <c r="C951" s="137" t="n"/>
      <c r="D951" s="137" t="n"/>
      <c r="E951" s="137" t="n"/>
      <c r="F951" s="137" t="n"/>
      <c r="G951" s="137" t="n"/>
      <c r="I951" s="61" t="n"/>
      <c r="J951" s="19" t="n"/>
      <c r="K951" s="19" t="n"/>
      <c r="L951" s="19" t="n"/>
      <c r="M951" s="20" t="n"/>
      <c r="N951" s="137" t="n"/>
      <c r="O951" s="61" t="n"/>
      <c r="P951" s="19" t="n"/>
      <c r="Q951" s="19" t="n"/>
      <c r="R951" s="19" t="n"/>
      <c r="S951" s="20" t="n"/>
      <c r="T951" s="137" t="n"/>
      <c r="U951" s="61" t="n"/>
      <c r="V951" s="19" t="n"/>
      <c r="W951" s="19" t="n"/>
      <c r="X951" s="19" t="n"/>
      <c r="Y951" s="20" t="n"/>
      <c r="Z951" s="137" t="n"/>
      <c r="AB951" s="61" t="n"/>
      <c r="AC951" s="19" t="n"/>
      <c r="AD951" s="19" t="n"/>
      <c r="AE951" s="19" t="n"/>
      <c r="AF951" s="20" t="n"/>
      <c r="AG951" s="137" t="n"/>
      <c r="AH951" s="61" t="n"/>
      <c r="AI951" s="19" t="n"/>
      <c r="AJ951" s="19" t="n"/>
      <c r="AK951" s="19" t="n"/>
      <c r="AL951" s="20" t="n"/>
      <c r="AM951" s="137" t="n"/>
      <c r="AN951" s="61" t="n"/>
      <c r="AO951" s="19" t="n"/>
      <c r="AP951" s="19" t="n"/>
      <c r="AQ951" s="19" t="n"/>
      <c r="AR951" s="20" t="n"/>
      <c r="AS951" s="137" t="n"/>
    </row>
    <row r="952" hidden="1" outlineLevel="3">
      <c r="A952" s="8" t="n"/>
      <c r="B952" s="14" t="n"/>
      <c r="C952" s="137" t="n"/>
      <c r="D952" s="137" t="n"/>
      <c r="E952" s="137" t="n"/>
      <c r="F952" s="137" t="n"/>
      <c r="G952" s="137" t="n"/>
      <c r="I952" s="21" t="n"/>
      <c r="M952" s="22" t="n"/>
      <c r="N952" s="137" t="n"/>
      <c r="O952" s="21" t="n"/>
      <c r="S952" s="22" t="n"/>
      <c r="T952" s="137" t="n"/>
      <c r="U952" s="21" t="n"/>
      <c r="Y952" s="22" t="n"/>
      <c r="Z952" s="137" t="n"/>
      <c r="AB952" s="21" t="n"/>
      <c r="AF952" s="22" t="n"/>
      <c r="AG952" s="137" t="n"/>
      <c r="AH952" s="21" t="n"/>
      <c r="AL952" s="22" t="n"/>
      <c r="AM952" s="137" t="n"/>
      <c r="AN952" s="21" t="n"/>
      <c r="AR952" s="22" t="n"/>
      <c r="AS952" s="137" t="n"/>
    </row>
    <row r="953" hidden="1" outlineLevel="3">
      <c r="A953" s="8" t="n"/>
      <c r="B953" s="14" t="n"/>
      <c r="C953" s="137" t="n"/>
      <c r="D953" s="137" t="n"/>
      <c r="E953" s="137" t="n"/>
      <c r="F953" s="137" t="n"/>
      <c r="G953" s="137" t="n"/>
      <c r="I953" s="23" t="n"/>
      <c r="J953" s="24" t="n"/>
      <c r="K953" s="24" t="n"/>
      <c r="L953" s="24" t="n"/>
      <c r="M953" s="25" t="n"/>
      <c r="N953" s="137" t="n"/>
      <c r="O953" s="23" t="n"/>
      <c r="P953" s="24" t="n"/>
      <c r="Q953" s="24" t="n"/>
      <c r="R953" s="24" t="n"/>
      <c r="S953" s="25" t="n"/>
      <c r="T953" s="137" t="n"/>
      <c r="U953" s="23" t="n"/>
      <c r="V953" s="24" t="n"/>
      <c r="W953" s="24" t="n"/>
      <c r="X953" s="24" t="n"/>
      <c r="Y953" s="25" t="n"/>
      <c r="Z953" s="137" t="n"/>
      <c r="AB953" s="23" t="n"/>
      <c r="AC953" s="24" t="n"/>
      <c r="AD953" s="24" t="n"/>
      <c r="AE953" s="24" t="n"/>
      <c r="AF953" s="25" t="n"/>
      <c r="AG953" s="137" t="n"/>
      <c r="AH953" s="23" t="n"/>
      <c r="AI953" s="24" t="n"/>
      <c r="AJ953" s="24" t="n"/>
      <c r="AK953" s="24" t="n"/>
      <c r="AL953" s="25" t="n"/>
      <c r="AM953" s="137" t="n"/>
      <c r="AN953" s="23" t="n"/>
      <c r="AO953" s="24" t="n"/>
      <c r="AP953" s="24" t="n"/>
      <c r="AQ953" s="24" t="n"/>
      <c r="AR953" s="25" t="n"/>
      <c r="AS953" s="137" t="n"/>
    </row>
    <row r="954" hidden="1" outlineLevel="2">
      <c r="A954" s="8" t="n"/>
      <c r="B954" s="14" t="n"/>
      <c r="C954" s="137" t="n"/>
      <c r="D954" s="137" t="n"/>
      <c r="E954" s="137" t="n"/>
      <c r="F954" s="137" t="n"/>
      <c r="G954" s="137" t="n"/>
      <c r="I954" s="95" t="inlineStr">
        <is>
          <t>Projétil</t>
        </is>
      </c>
      <c r="J954" s="17" t="n"/>
      <c r="K954" s="71">
        <f>DADOS_INVOC!$QE$57</f>
        <v/>
      </c>
      <c r="L954" s="17" t="n"/>
      <c r="M954" s="71">
        <f>DADOS_INVOC!$QA$57</f>
        <v/>
      </c>
      <c r="N954" s="137" t="n"/>
      <c r="O954" s="95" t="inlineStr">
        <is>
          <t>Projétil</t>
        </is>
      </c>
      <c r="P954" s="17" t="n"/>
      <c r="Q954" s="71">
        <f>DADOS_INVOC!$QE$58</f>
        <v/>
      </c>
      <c r="R954" s="17" t="n"/>
      <c r="S954" s="71">
        <f>DADOS_INVOC!$QA$58</f>
        <v/>
      </c>
      <c r="T954" s="137" t="n"/>
      <c r="U954" s="95" t="inlineStr">
        <is>
          <t>Projétil</t>
        </is>
      </c>
      <c r="V954" s="17" t="n"/>
      <c r="W954" s="71">
        <f>DADOS_INVOC!$QE$59</f>
        <v/>
      </c>
      <c r="X954" s="17" t="n"/>
      <c r="Y954" s="71">
        <f>DADOS_INVOC!$QA$59</f>
        <v/>
      </c>
      <c r="Z954" s="137" t="n"/>
      <c r="AB954" s="95" t="inlineStr">
        <is>
          <t>Projétil</t>
        </is>
      </c>
      <c r="AC954" s="17" t="n"/>
      <c r="AD954" s="71">
        <f>DADOS_INVOC!$QE$135</f>
        <v/>
      </c>
      <c r="AE954" s="17" t="n"/>
      <c r="AF954" s="71">
        <f>DADOS_INVOC!$QA$135</f>
        <v/>
      </c>
      <c r="AG954" s="137" t="n"/>
      <c r="AH954" s="95" t="inlineStr">
        <is>
          <t>Projétil</t>
        </is>
      </c>
      <c r="AI954" s="17" t="n"/>
      <c r="AJ954" s="71">
        <f>DADOS_INVOC!$QE$136</f>
        <v/>
      </c>
      <c r="AK954" s="17" t="n"/>
      <c r="AL954" s="71">
        <f>DADOS_INVOC!$QA$136</f>
        <v/>
      </c>
      <c r="AM954" s="137" t="n"/>
      <c r="AN954" s="95" t="inlineStr">
        <is>
          <t>Projétil</t>
        </is>
      </c>
      <c r="AO954" s="17" t="n"/>
      <c r="AP954" s="71">
        <f>DADOS_INVOC!$QE$137</f>
        <v/>
      </c>
      <c r="AQ954" s="17" t="n"/>
      <c r="AR954" s="71">
        <f>DADOS_INVOC!$QA$137</f>
        <v/>
      </c>
      <c r="AS954" s="137" t="n"/>
    </row>
    <row r="955" hidden="1" outlineLevel="2">
      <c r="A955" s="8" t="n"/>
      <c r="B955" s="14" t="n"/>
      <c r="C955" s="137" t="n"/>
      <c r="D955" s="137" t="n"/>
      <c r="E955" s="137" t="n"/>
      <c r="F955" s="137" t="n"/>
      <c r="G955" s="137" t="n"/>
      <c r="I955" s="95" t="n"/>
      <c r="J955" s="17" t="n"/>
      <c r="K955" s="95" t="n"/>
      <c r="L955" s="16" t="n"/>
      <c r="M955" s="17" t="n"/>
      <c r="N955" s="137" t="n"/>
      <c r="O955" s="95" t="n"/>
      <c r="P955" s="17" t="n"/>
      <c r="Q955" s="95" t="n"/>
      <c r="R955" s="16" t="n"/>
      <c r="S955" s="17" t="n"/>
      <c r="T955" s="137" t="n"/>
      <c r="U955" s="95" t="n"/>
      <c r="V955" s="17" t="n"/>
      <c r="W955" s="95" t="n"/>
      <c r="X955" s="16" t="n"/>
      <c r="Y955" s="17" t="n"/>
      <c r="Z955" s="137" t="n"/>
      <c r="AB955" s="95" t="n"/>
      <c r="AC955" s="17" t="n"/>
      <c r="AD955" s="95" t="n"/>
      <c r="AE955" s="16" t="n"/>
      <c r="AF955" s="17" t="n"/>
      <c r="AG955" s="137" t="n"/>
      <c r="AH955" s="95" t="n"/>
      <c r="AI955" s="17" t="n"/>
      <c r="AJ955" s="95" t="n"/>
      <c r="AK955" s="16" t="n"/>
      <c r="AL955" s="17" t="n"/>
      <c r="AM955" s="137" t="n"/>
      <c r="AN955" s="95" t="n"/>
      <c r="AO955" s="17" t="n"/>
      <c r="AP955" s="95" t="n"/>
      <c r="AQ955" s="16" t="n"/>
      <c r="AR955" s="17" t="n"/>
      <c r="AS955" s="137" t="n"/>
    </row>
    <row r="956" hidden="1" outlineLevel="2">
      <c r="A956" s="8" t="n"/>
      <c r="B956" s="14" t="n"/>
      <c r="C956" s="137" t="n"/>
      <c r="D956" s="137" t="n"/>
      <c r="E956" s="137" t="n"/>
      <c r="F956" s="137" t="n"/>
      <c r="G956" s="137" t="n"/>
      <c r="I956" s="95">
        <f>DADOS_INVOC!$QB$57</f>
        <v/>
      </c>
      <c r="J956" s="17" t="n"/>
      <c r="K956" s="95">
        <f>DADOS_INVOC!$QD$57</f>
        <v/>
      </c>
      <c r="L956" s="16" t="n"/>
      <c r="M956" s="17" t="n"/>
      <c r="N956" s="137" t="n"/>
      <c r="O956" s="95">
        <f>DADOS_INVOC!$QB$58</f>
        <v/>
      </c>
      <c r="P956" s="17" t="n"/>
      <c r="Q956" s="95">
        <f>DADOS_INVOC!$QD$58</f>
        <v/>
      </c>
      <c r="R956" s="16" t="n"/>
      <c r="S956" s="17" t="n"/>
      <c r="T956" s="137" t="n"/>
      <c r="U956" s="95">
        <f>DADOS_INVOC!$QB$59</f>
        <v/>
      </c>
      <c r="V956" s="17" t="n"/>
      <c r="W956" s="95">
        <f>DADOS_INVOC!$QD$59</f>
        <v/>
      </c>
      <c r="X956" s="16" t="n"/>
      <c r="Y956" s="17" t="n"/>
      <c r="Z956" s="137" t="n"/>
      <c r="AB956" s="95">
        <f>DADOS_INVOC!$QB$135</f>
        <v/>
      </c>
      <c r="AC956" s="17" t="n"/>
      <c r="AD956" s="95">
        <f>DADOS_INVOC!$QD$135</f>
        <v/>
      </c>
      <c r="AE956" s="16" t="n"/>
      <c r="AF956" s="17" t="n"/>
      <c r="AG956" s="137" t="n"/>
      <c r="AH956" s="95">
        <f>DADOS_INVOC!$QB$136</f>
        <v/>
      </c>
      <c r="AI956" s="17" t="n"/>
      <c r="AJ956" s="95">
        <f>DADOS_INVOC!$QD$136</f>
        <v/>
      </c>
      <c r="AK956" s="16" t="n"/>
      <c r="AL956" s="17" t="n"/>
      <c r="AM956" s="137" t="n"/>
      <c r="AN956" s="95">
        <f>DADOS_INVOC!$QB$137</f>
        <v/>
      </c>
      <c r="AO956" s="17" t="n"/>
      <c r="AP956" s="95">
        <f>DADOS_INVOC!$QD$137</f>
        <v/>
      </c>
      <c r="AQ956" s="16" t="n"/>
      <c r="AR956" s="17" t="n"/>
      <c r="AS956" s="137" t="n"/>
    </row>
    <row r="957" hidden="1" outlineLevel="2">
      <c r="A957" s="8" t="n"/>
      <c r="B957" s="14" t="n"/>
      <c r="C957" s="137" t="n"/>
      <c r="D957" s="137" t="n"/>
      <c r="E957" s="137" t="n"/>
      <c r="F957" s="137" t="n"/>
      <c r="G957" s="137" t="n"/>
      <c r="I957" s="143">
        <f>DADOS_INVOC!$QJ$57</f>
        <v/>
      </c>
      <c r="J957" s="16" t="n"/>
      <c r="K957" s="16" t="n"/>
      <c r="L957" s="16" t="n"/>
      <c r="M957" s="17" t="n"/>
      <c r="N957" s="137" t="n"/>
      <c r="O957" s="143">
        <f>DADOS_INVOC!$QJ$58</f>
        <v/>
      </c>
      <c r="P957" s="16" t="n"/>
      <c r="Q957" s="16" t="n"/>
      <c r="R957" s="16" t="n"/>
      <c r="S957" s="17" t="n"/>
      <c r="T957" s="137" t="n"/>
      <c r="U957" s="143">
        <f>DADOS_INVOC!$QJ$59</f>
        <v/>
      </c>
      <c r="V957" s="16" t="n"/>
      <c r="W957" s="16" t="n"/>
      <c r="X957" s="16" t="n"/>
      <c r="Y957" s="17" t="n"/>
      <c r="Z957" s="137" t="n"/>
      <c r="AB957" s="143">
        <f>DADOS_INVOC!$QJ$135</f>
        <v/>
      </c>
      <c r="AC957" s="16" t="n"/>
      <c r="AD957" s="16" t="n"/>
      <c r="AE957" s="16" t="n"/>
      <c r="AF957" s="17" t="n"/>
      <c r="AG957" s="137" t="n"/>
      <c r="AH957" s="143">
        <f>DADOS_INVOC!$QJ$136</f>
        <v/>
      </c>
      <c r="AI957" s="16" t="n"/>
      <c r="AJ957" s="16" t="n"/>
      <c r="AK957" s="16" t="n"/>
      <c r="AL957" s="17" t="n"/>
      <c r="AM957" s="137" t="n"/>
      <c r="AN957" s="143">
        <f>DADOS_INVOC!$QJ$137</f>
        <v/>
      </c>
      <c r="AO957" s="16" t="n"/>
      <c r="AP957" s="16" t="n"/>
      <c r="AQ957" s="16" t="n"/>
      <c r="AR957" s="17" t="n"/>
      <c r="AS957" s="137" t="n"/>
    </row>
    <row r="958" hidden="1" outlineLevel="3">
      <c r="A958" s="8" t="n"/>
      <c r="B958" s="14" t="n"/>
      <c r="C958" s="137" t="n"/>
      <c r="D958" s="137" t="n"/>
      <c r="E958" s="137" t="n"/>
      <c r="F958" s="137" t="n"/>
      <c r="G958" s="137" t="n"/>
      <c r="I958" s="56" t="inlineStr">
        <is>
          <t>MELHORIAS</t>
        </is>
      </c>
      <c r="J958" s="144" t="n"/>
      <c r="K958" s="16" t="n"/>
      <c r="L958" s="17" t="n"/>
      <c r="M958" s="143">
        <f>DADOS_INVOC!$QM$57</f>
        <v/>
      </c>
      <c r="N958" s="137" t="n"/>
      <c r="O958" s="56" t="inlineStr">
        <is>
          <t>MELHORIAS</t>
        </is>
      </c>
      <c r="P958" s="144" t="n"/>
      <c r="Q958" s="16" t="n"/>
      <c r="R958" s="17" t="n"/>
      <c r="S958" s="143">
        <f>DADOS_INVOC!$QM$58</f>
        <v/>
      </c>
      <c r="T958" s="137" t="n"/>
      <c r="U958" s="56" t="inlineStr">
        <is>
          <t>MELHORIAS</t>
        </is>
      </c>
      <c r="V958" s="144" t="n"/>
      <c r="W958" s="16" t="n"/>
      <c r="X958" s="17" t="n"/>
      <c r="Y958" s="143">
        <f>DADOS_INVOC!$QM$59</f>
        <v/>
      </c>
      <c r="Z958" s="137" t="n"/>
      <c r="AB958" s="56" t="inlineStr">
        <is>
          <t>MELHORIAS</t>
        </is>
      </c>
      <c r="AC958" s="144" t="n"/>
      <c r="AD958" s="16" t="n"/>
      <c r="AE958" s="17" t="n"/>
      <c r="AF958" s="143">
        <f>DADOS_INVOC!$QM$135</f>
        <v/>
      </c>
      <c r="AG958" s="137" t="n"/>
      <c r="AH958" s="56" t="inlineStr">
        <is>
          <t>MELHORIAS</t>
        </is>
      </c>
      <c r="AI958" s="144" t="n"/>
      <c r="AJ958" s="16" t="n"/>
      <c r="AK958" s="17" t="n"/>
      <c r="AL958" s="143">
        <f>DADOS_INVOC!$QM$136</f>
        <v/>
      </c>
      <c r="AM958" s="137" t="n"/>
      <c r="AN958" s="56" t="inlineStr">
        <is>
          <t>MELHORIAS</t>
        </is>
      </c>
      <c r="AO958" s="144" t="n"/>
      <c r="AP958" s="16" t="n"/>
      <c r="AQ958" s="17" t="n"/>
      <c r="AR958" s="143">
        <f>DADOS_INVOC!$QM$137</f>
        <v/>
      </c>
      <c r="AS958" s="137" t="n"/>
    </row>
    <row r="959" hidden="1" outlineLevel="3">
      <c r="A959" s="8" t="n"/>
      <c r="B959" s="14" t="n"/>
      <c r="C959" s="137" t="n"/>
      <c r="D959" s="137" t="n"/>
      <c r="E959" s="137" t="n"/>
      <c r="F959" s="137" t="n"/>
      <c r="G959" s="137" t="n"/>
      <c r="I959" s="66" t="n"/>
      <c r="J959" s="144" t="n"/>
      <c r="K959" s="16" t="n"/>
      <c r="L959" s="17" t="n"/>
      <c r="M959" s="143">
        <f>DADOS_INVOC!$QN$57</f>
        <v/>
      </c>
      <c r="N959" s="137" t="n"/>
      <c r="O959" s="66" t="n"/>
      <c r="P959" s="144" t="n"/>
      <c r="Q959" s="16" t="n"/>
      <c r="R959" s="17" t="n"/>
      <c r="S959" s="143">
        <f>DADOS_INVOC!$QN$58</f>
        <v/>
      </c>
      <c r="T959" s="137" t="n"/>
      <c r="U959" s="66" t="n"/>
      <c r="V959" s="144" t="n"/>
      <c r="W959" s="16" t="n"/>
      <c r="X959" s="17" t="n"/>
      <c r="Y959" s="143">
        <f>DADOS_INVOC!$QN$59</f>
        <v/>
      </c>
      <c r="Z959" s="137" t="n"/>
      <c r="AB959" s="66" t="n"/>
      <c r="AC959" s="144" t="n"/>
      <c r="AD959" s="16" t="n"/>
      <c r="AE959" s="17" t="n"/>
      <c r="AF959" s="143">
        <f>DADOS_INVOC!$QN$135</f>
        <v/>
      </c>
      <c r="AG959" s="137" t="n"/>
      <c r="AH959" s="66" t="n"/>
      <c r="AI959" s="144" t="n"/>
      <c r="AJ959" s="16" t="n"/>
      <c r="AK959" s="17" t="n"/>
      <c r="AL959" s="143">
        <f>DADOS_INVOC!$QN$136</f>
        <v/>
      </c>
      <c r="AM959" s="137" t="n"/>
      <c r="AN959" s="66" t="n"/>
      <c r="AO959" s="144" t="n"/>
      <c r="AP959" s="16" t="n"/>
      <c r="AQ959" s="17" t="n"/>
      <c r="AR959" s="143">
        <f>DADOS_INVOC!$QN$137</f>
        <v/>
      </c>
      <c r="AS959" s="137" t="n"/>
    </row>
    <row r="960" hidden="1" outlineLevel="3">
      <c r="A960" s="8" t="n"/>
      <c r="B960" s="14" t="n"/>
      <c r="C960" s="137" t="n"/>
      <c r="D960" s="137" t="n"/>
      <c r="E960" s="137" t="n"/>
      <c r="F960" s="137" t="n"/>
      <c r="G960" s="137" t="n"/>
      <c r="I960" s="66" t="n"/>
      <c r="J960" s="144" t="n"/>
      <c r="K960" s="16" t="n"/>
      <c r="L960" s="17" t="n"/>
      <c r="M960" s="143">
        <f>DADOS_INVOC!$QO$57</f>
        <v/>
      </c>
      <c r="N960" s="137" t="n"/>
      <c r="O960" s="66" t="n"/>
      <c r="P960" s="144" t="n"/>
      <c r="Q960" s="16" t="n"/>
      <c r="R960" s="17" t="n"/>
      <c r="S960" s="143">
        <f>DADOS_INVOC!$QO$58</f>
        <v/>
      </c>
      <c r="T960" s="137" t="n"/>
      <c r="U960" s="66" t="n"/>
      <c r="V960" s="144" t="n"/>
      <c r="W960" s="16" t="n"/>
      <c r="X960" s="17" t="n"/>
      <c r="Y960" s="143">
        <f>DADOS_INVOC!$QO$59</f>
        <v/>
      </c>
      <c r="Z960" s="137" t="n"/>
      <c r="AB960" s="66" t="n"/>
      <c r="AC960" s="144" t="n"/>
      <c r="AD960" s="16" t="n"/>
      <c r="AE960" s="17" t="n"/>
      <c r="AF960" s="143">
        <f>DADOS_INVOC!$QO$135</f>
        <v/>
      </c>
      <c r="AG960" s="137" t="n"/>
      <c r="AH960" s="66" t="n"/>
      <c r="AI960" s="144" t="n"/>
      <c r="AJ960" s="16" t="n"/>
      <c r="AK960" s="17" t="n"/>
      <c r="AL960" s="143">
        <f>DADOS_INVOC!$QO$136</f>
        <v/>
      </c>
      <c r="AM960" s="137" t="n"/>
      <c r="AN960" s="66" t="n"/>
      <c r="AO960" s="144" t="n"/>
      <c r="AP960" s="16" t="n"/>
      <c r="AQ960" s="17" t="n"/>
      <c r="AR960" s="143">
        <f>DADOS_INVOC!$QO$137</f>
        <v/>
      </c>
      <c r="AS960" s="137" t="n"/>
    </row>
    <row r="961" hidden="1" outlineLevel="3">
      <c r="A961" s="8" t="n"/>
      <c r="B961" s="14" t="n"/>
      <c r="C961" s="137" t="n"/>
      <c r="D961" s="137" t="n"/>
      <c r="E961" s="137" t="n"/>
      <c r="F961" s="137" t="n"/>
      <c r="G961" s="137" t="n"/>
      <c r="I961" s="128" t="n"/>
      <c r="J961" s="144" t="n"/>
      <c r="K961" s="16" t="n"/>
      <c r="L961" s="17" t="n"/>
      <c r="M961" s="143">
        <f>DADOS_INVOC!$QP$57</f>
        <v/>
      </c>
      <c r="N961" s="137" t="n"/>
      <c r="O961" s="128" t="n"/>
      <c r="P961" s="144" t="n"/>
      <c r="Q961" s="16" t="n"/>
      <c r="R961" s="17" t="n"/>
      <c r="S961" s="143">
        <f>DADOS_INVOC!$QP$58</f>
        <v/>
      </c>
      <c r="T961" s="137" t="n"/>
      <c r="U961" s="128" t="n"/>
      <c r="V961" s="144" t="n"/>
      <c r="W961" s="16" t="n"/>
      <c r="X961" s="17" t="n"/>
      <c r="Y961" s="143">
        <f>DADOS_INVOC!$QP$59</f>
        <v/>
      </c>
      <c r="Z961" s="137" t="n"/>
      <c r="AB961" s="128" t="n"/>
      <c r="AC961" s="144" t="n"/>
      <c r="AD961" s="16" t="n"/>
      <c r="AE961" s="17" t="n"/>
      <c r="AF961" s="143">
        <f>DADOS_INVOC!$QP$135</f>
        <v/>
      </c>
      <c r="AG961" s="137" t="n"/>
      <c r="AH961" s="128" t="n"/>
      <c r="AI961" s="144" t="n"/>
      <c r="AJ961" s="16" t="n"/>
      <c r="AK961" s="17" t="n"/>
      <c r="AL961" s="143">
        <f>DADOS_INVOC!$QP$136</f>
        <v/>
      </c>
      <c r="AM961" s="137" t="n"/>
      <c r="AN961" s="128" t="n"/>
      <c r="AO961" s="144" t="n"/>
      <c r="AP961" s="16" t="n"/>
      <c r="AQ961" s="17" t="n"/>
      <c r="AR961" s="143">
        <f>DADOS_INVOC!$QP$137</f>
        <v/>
      </c>
      <c r="AS961" s="137" t="n"/>
    </row>
    <row r="962" hidden="1" outlineLevel="3">
      <c r="A962" s="8" t="n"/>
      <c r="B962" s="14" t="n"/>
      <c r="C962" s="137" t="n"/>
      <c r="D962" s="137" t="n"/>
      <c r="E962" s="137" t="n"/>
      <c r="F962" s="137" t="n"/>
      <c r="G962" s="137" t="n"/>
      <c r="I962" s="56" t="inlineStr">
        <is>
          <t>RESTRIÇÕES</t>
        </is>
      </c>
      <c r="J962" s="144" t="n"/>
      <c r="K962" s="16" t="n"/>
      <c r="L962" s="17" t="n"/>
      <c r="M962" s="143">
        <f>DADOS_INVOC!$QQ$57</f>
        <v/>
      </c>
      <c r="N962" s="137" t="n"/>
      <c r="O962" s="56" t="inlineStr">
        <is>
          <t>RESTRIÇÕES</t>
        </is>
      </c>
      <c r="P962" s="144" t="n"/>
      <c r="Q962" s="16" t="n"/>
      <c r="R962" s="17" t="n"/>
      <c r="S962" s="143">
        <f>DADOS_INVOC!$QQ$58</f>
        <v/>
      </c>
      <c r="T962" s="137" t="n"/>
      <c r="U962" s="56" t="inlineStr">
        <is>
          <t>RESTRIÇÕES</t>
        </is>
      </c>
      <c r="V962" s="144" t="n"/>
      <c r="W962" s="16" t="n"/>
      <c r="X962" s="17" t="n"/>
      <c r="Y962" s="143">
        <f>DADOS_INVOC!$QQ$59</f>
        <v/>
      </c>
      <c r="Z962" s="137" t="n"/>
      <c r="AB962" s="56" t="inlineStr">
        <is>
          <t>RESTRIÇÕES</t>
        </is>
      </c>
      <c r="AC962" s="144" t="n"/>
      <c r="AD962" s="16" t="n"/>
      <c r="AE962" s="17" t="n"/>
      <c r="AF962" s="143">
        <f>DADOS_INVOC!$QQ$135</f>
        <v/>
      </c>
      <c r="AG962" s="137" t="n"/>
      <c r="AH962" s="56" t="inlineStr">
        <is>
          <t>RESTRIÇÕES</t>
        </is>
      </c>
      <c r="AI962" s="144" t="n"/>
      <c r="AJ962" s="16" t="n"/>
      <c r="AK962" s="17" t="n"/>
      <c r="AL962" s="143">
        <f>DADOS_INVOC!$QQ$136</f>
        <v/>
      </c>
      <c r="AM962" s="137" t="n"/>
      <c r="AN962" s="56" t="inlineStr">
        <is>
          <t>RESTRIÇÕES</t>
        </is>
      </c>
      <c r="AO962" s="144" t="n"/>
      <c r="AP962" s="16" t="n"/>
      <c r="AQ962" s="17" t="n"/>
      <c r="AR962" s="143">
        <f>DADOS_INVOC!$QQ$137</f>
        <v/>
      </c>
      <c r="AS962" s="137" t="n"/>
    </row>
    <row r="963" hidden="1" outlineLevel="3">
      <c r="A963" s="8" t="n"/>
      <c r="B963" s="14" t="n"/>
      <c r="C963" s="137" t="n"/>
      <c r="D963" s="137" t="n"/>
      <c r="E963" s="137" t="n"/>
      <c r="F963" s="137" t="n"/>
      <c r="G963" s="137" t="n"/>
      <c r="I963" s="128" t="n"/>
      <c r="J963" s="144" t="n"/>
      <c r="K963" s="16" t="n"/>
      <c r="L963" s="17" t="n"/>
      <c r="M963" s="143">
        <f>DADOS_INVOC!$QR$57</f>
        <v/>
      </c>
      <c r="N963" s="137" t="n"/>
      <c r="O963" s="128" t="n"/>
      <c r="P963" s="144" t="n"/>
      <c r="Q963" s="16" t="n"/>
      <c r="R963" s="17" t="n"/>
      <c r="S963" s="143">
        <f>DADOS_INVOC!$QR$58</f>
        <v/>
      </c>
      <c r="T963" s="137" t="n"/>
      <c r="U963" s="128" t="n"/>
      <c r="V963" s="144" t="n"/>
      <c r="W963" s="16" t="n"/>
      <c r="X963" s="17" t="n"/>
      <c r="Y963" s="143">
        <f>DADOS_INVOC!$QR$59</f>
        <v/>
      </c>
      <c r="Z963" s="137" t="n"/>
      <c r="AB963" s="128" t="n"/>
      <c r="AC963" s="144" t="n"/>
      <c r="AD963" s="16" t="n"/>
      <c r="AE963" s="17" t="n"/>
      <c r="AF963" s="143">
        <f>DADOS_INVOC!$QR$135</f>
        <v/>
      </c>
      <c r="AG963" s="137" t="n"/>
      <c r="AH963" s="128" t="n"/>
      <c r="AI963" s="144" t="n"/>
      <c r="AJ963" s="16" t="n"/>
      <c r="AK963" s="17" t="n"/>
      <c r="AL963" s="143">
        <f>DADOS_INVOC!$QR$136</f>
        <v/>
      </c>
      <c r="AM963" s="137" t="n"/>
      <c r="AN963" s="128" t="n"/>
      <c r="AO963" s="144" t="n"/>
      <c r="AP963" s="16" t="n"/>
      <c r="AQ963" s="17" t="n"/>
      <c r="AR963" s="143">
        <f>DADOS_INVOC!$QR$137</f>
        <v/>
      </c>
      <c r="AS963" s="137" t="n"/>
    </row>
    <row r="964" hidden="1" outlineLevel="3">
      <c r="A964" s="8" t="n"/>
      <c r="B964" s="14" t="n"/>
      <c r="C964" s="137" t="n"/>
      <c r="D964" s="137" t="n"/>
      <c r="E964" s="137" t="n"/>
      <c r="F964" s="137" t="n"/>
      <c r="G964" s="137" t="n"/>
      <c r="I964" s="56" t="inlineStr">
        <is>
          <t>CONTA</t>
        </is>
      </c>
      <c r="J964" s="145">
        <f>DADOS_INVOC!$QK$57</f>
        <v/>
      </c>
      <c r="K964" s="16" t="n"/>
      <c r="L964" s="16" t="n"/>
      <c r="M964" s="17" t="n"/>
      <c r="N964" s="137" t="n"/>
      <c r="O964" s="56" t="inlineStr">
        <is>
          <t>CONTA</t>
        </is>
      </c>
      <c r="P964" s="145">
        <f>DADOS_INVOC!$QK$58</f>
        <v/>
      </c>
      <c r="Q964" s="16" t="n"/>
      <c r="R964" s="16" t="n"/>
      <c r="S964" s="17" t="n"/>
      <c r="T964" s="137" t="n"/>
      <c r="U964" s="56" t="inlineStr">
        <is>
          <t>CONTA</t>
        </is>
      </c>
      <c r="V964" s="145">
        <f>DADOS_INVOC!$QK$59</f>
        <v/>
      </c>
      <c r="W964" s="16" t="n"/>
      <c r="X964" s="16" t="n"/>
      <c r="Y964" s="17" t="n"/>
      <c r="Z964" s="137" t="n"/>
      <c r="AB964" s="56" t="inlineStr">
        <is>
          <t>CONTA</t>
        </is>
      </c>
      <c r="AC964" s="145">
        <f>DADOS_INVOC!$QK$135</f>
        <v/>
      </c>
      <c r="AD964" s="16" t="n"/>
      <c r="AE964" s="16" t="n"/>
      <c r="AF964" s="17" t="n"/>
      <c r="AG964" s="137" t="n"/>
      <c r="AH964" s="56" t="inlineStr">
        <is>
          <t>CONTA</t>
        </is>
      </c>
      <c r="AI964" s="145">
        <f>DADOS_INVOC!$QK$136</f>
        <v/>
      </c>
      <c r="AJ964" s="16" t="n"/>
      <c r="AK964" s="16" t="n"/>
      <c r="AL964" s="17" t="n"/>
      <c r="AM964" s="137" t="n"/>
      <c r="AN964" s="56" t="inlineStr">
        <is>
          <t>CONTA</t>
        </is>
      </c>
      <c r="AO964" s="145">
        <f>DADOS_INVOC!$QK$137</f>
        <v/>
      </c>
      <c r="AP964" s="16" t="n"/>
      <c r="AQ964" s="16" t="n"/>
      <c r="AR964" s="17" t="n"/>
      <c r="AS964" s="137" t="n"/>
    </row>
    <row r="965" hidden="1" outlineLevel="3">
      <c r="A965" s="8" t="n"/>
      <c r="B965" s="14" t="n"/>
      <c r="C965" s="137" t="n"/>
      <c r="D965" s="137" t="n"/>
      <c r="E965" s="137" t="n"/>
      <c r="F965" s="137" t="n"/>
      <c r="G965" s="137" t="n"/>
      <c r="I965" s="56" t="inlineStr">
        <is>
          <t>AMPLIAR</t>
        </is>
      </c>
      <c r="J965" s="145">
        <f>DADOS_INVOC!$QL$57</f>
        <v/>
      </c>
      <c r="K965" s="19" t="n"/>
      <c r="L965" s="19" t="n"/>
      <c r="M965" s="20" t="n"/>
      <c r="N965" s="137" t="n"/>
      <c r="O965" s="56" t="inlineStr">
        <is>
          <t>AMPLIAR</t>
        </is>
      </c>
      <c r="P965" s="145">
        <f>DADOS_INVOC!$QL$58</f>
        <v/>
      </c>
      <c r="Q965" s="19" t="n"/>
      <c r="R965" s="19" t="n"/>
      <c r="S965" s="20" t="n"/>
      <c r="T965" s="137" t="n"/>
      <c r="U965" s="56" t="inlineStr">
        <is>
          <t>AMPLIAR</t>
        </is>
      </c>
      <c r="V965" s="145">
        <f>DADOS_INVOC!$QL$59</f>
        <v/>
      </c>
      <c r="W965" s="19" t="n"/>
      <c r="X965" s="19" t="n"/>
      <c r="Y965" s="20" t="n"/>
      <c r="Z965" s="137" t="n"/>
      <c r="AB965" s="56" t="inlineStr">
        <is>
          <t>AMPLIAR</t>
        </is>
      </c>
      <c r="AC965" s="145">
        <f>DADOS_INVOC!$QL$135</f>
        <v/>
      </c>
      <c r="AD965" s="19" t="n"/>
      <c r="AE965" s="19" t="n"/>
      <c r="AF965" s="20" t="n"/>
      <c r="AG965" s="137" t="n"/>
      <c r="AH965" s="56" t="inlineStr">
        <is>
          <t>AMPLIAR</t>
        </is>
      </c>
      <c r="AI965" s="145">
        <f>DADOS_INVOC!$QL$136</f>
        <v/>
      </c>
      <c r="AJ965" s="19" t="n"/>
      <c r="AK965" s="19" t="n"/>
      <c r="AL965" s="20" t="n"/>
      <c r="AM965" s="137" t="n"/>
      <c r="AN965" s="56" t="inlineStr">
        <is>
          <t>AMPLIAR</t>
        </is>
      </c>
      <c r="AO965" s="145">
        <f>DADOS_INVOC!$QL$137</f>
        <v/>
      </c>
      <c r="AP965" s="19" t="n"/>
      <c r="AQ965" s="19" t="n"/>
      <c r="AR965" s="20" t="n"/>
      <c r="AS965" s="137" t="n"/>
    </row>
    <row r="966" hidden="1" outlineLevel="3">
      <c r="A966" s="8" t="n"/>
      <c r="B966" s="14" t="n"/>
      <c r="C966" s="137" t="n"/>
      <c r="D966" s="137" t="n"/>
      <c r="E966" s="137" t="n"/>
      <c r="F966" s="137" t="n"/>
      <c r="G966" s="137" t="n"/>
      <c r="I966" s="128" t="n"/>
      <c r="J966" s="23" t="n"/>
      <c r="K966" s="24" t="n"/>
      <c r="L966" s="24" t="n"/>
      <c r="M966" s="25" t="n"/>
      <c r="N966" s="137" t="n"/>
      <c r="O966" s="128" t="n"/>
      <c r="P966" s="23" t="n"/>
      <c r="Q966" s="24" t="n"/>
      <c r="R966" s="24" t="n"/>
      <c r="S966" s="25" t="n"/>
      <c r="T966" s="137" t="n"/>
      <c r="U966" s="128" t="n"/>
      <c r="V966" s="23" t="n"/>
      <c r="W966" s="24" t="n"/>
      <c r="X966" s="24" t="n"/>
      <c r="Y966" s="25" t="n"/>
      <c r="Z966" s="137" t="n"/>
      <c r="AB966" s="128" t="n"/>
      <c r="AC966" s="23" t="n"/>
      <c r="AD966" s="24" t="n"/>
      <c r="AE966" s="24" t="n"/>
      <c r="AF966" s="25" t="n"/>
      <c r="AG966" s="137" t="n"/>
      <c r="AH966" s="128" t="n"/>
      <c r="AI966" s="23" t="n"/>
      <c r="AJ966" s="24" t="n"/>
      <c r="AK966" s="24" t="n"/>
      <c r="AL966" s="25" t="n"/>
      <c r="AM966" s="137" t="n"/>
      <c r="AN966" s="128" t="n"/>
      <c r="AO966" s="23" t="n"/>
      <c r="AP966" s="24" t="n"/>
      <c r="AQ966" s="24" t="n"/>
      <c r="AR966" s="25" t="n"/>
      <c r="AS966" s="137" t="n"/>
    </row>
    <row r="967" hidden="1" outlineLevel="3">
      <c r="A967" s="8" t="n"/>
      <c r="B967" s="14" t="n"/>
      <c r="C967" s="137" t="n"/>
      <c r="D967" s="137" t="n"/>
      <c r="E967" s="137" t="n"/>
      <c r="F967" s="137" t="n"/>
      <c r="G967" s="137" t="n"/>
      <c r="I967" s="145">
        <f>DADOS_INVOC!$PY$57</f>
        <v/>
      </c>
      <c r="J967" s="19" t="n"/>
      <c r="K967" s="19" t="n"/>
      <c r="L967" s="19" t="n"/>
      <c r="M967" s="20" t="n"/>
      <c r="N967" s="137" t="n"/>
      <c r="O967" s="145">
        <f>DADOS_INVOC!$PY$58</f>
        <v/>
      </c>
      <c r="P967" s="19" t="n"/>
      <c r="Q967" s="19" t="n"/>
      <c r="R967" s="19" t="n"/>
      <c r="S967" s="20" t="n"/>
      <c r="T967" s="137" t="n"/>
      <c r="U967" s="145">
        <f>DADOS_INVOC!$PY$59</f>
        <v/>
      </c>
      <c r="V967" s="19" t="n"/>
      <c r="W967" s="19" t="n"/>
      <c r="X967" s="19" t="n"/>
      <c r="Y967" s="20" t="n"/>
      <c r="Z967" s="137" t="n"/>
      <c r="AB967" s="145">
        <f>DADOS_INVOC!$PY$135</f>
        <v/>
      </c>
      <c r="AC967" s="19" t="n"/>
      <c r="AD967" s="19" t="n"/>
      <c r="AE967" s="19" t="n"/>
      <c r="AF967" s="20" t="n"/>
      <c r="AG967" s="137" t="n"/>
      <c r="AH967" s="145">
        <f>DADOS_INVOC!$PY$136</f>
        <v/>
      </c>
      <c r="AI967" s="19" t="n"/>
      <c r="AJ967" s="19" t="n"/>
      <c r="AK967" s="19" t="n"/>
      <c r="AL967" s="20" t="n"/>
      <c r="AM967" s="137" t="n"/>
      <c r="AN967" s="145">
        <f>DADOS_INVOC!$PY$137</f>
        <v/>
      </c>
      <c r="AO967" s="19" t="n"/>
      <c r="AP967" s="19" t="n"/>
      <c r="AQ967" s="19" t="n"/>
      <c r="AR967" s="20" t="n"/>
      <c r="AS967" s="137" t="n"/>
    </row>
    <row r="968" hidden="1" outlineLevel="3">
      <c r="A968" s="8" t="n"/>
      <c r="B968" s="14" t="n"/>
      <c r="C968" s="137" t="n"/>
      <c r="D968" s="137" t="n"/>
      <c r="E968" s="137" t="n"/>
      <c r="F968" s="137" t="n"/>
      <c r="G968" s="137" t="n"/>
      <c r="I968" s="23" t="n"/>
      <c r="J968" s="24" t="n"/>
      <c r="K968" s="24" t="n"/>
      <c r="L968" s="24" t="n"/>
      <c r="M968" s="25" t="n"/>
      <c r="N968" s="137" t="n"/>
      <c r="O968" s="23" t="n"/>
      <c r="P968" s="24" t="n"/>
      <c r="Q968" s="24" t="n"/>
      <c r="R968" s="24" t="n"/>
      <c r="S968" s="25" t="n"/>
      <c r="T968" s="137" t="n"/>
      <c r="U968" s="23" t="n"/>
      <c r="V968" s="24" t="n"/>
      <c r="W968" s="24" t="n"/>
      <c r="X968" s="24" t="n"/>
      <c r="Y968" s="25" t="n"/>
      <c r="Z968" s="137" t="n"/>
      <c r="AB968" s="23" t="n"/>
      <c r="AC968" s="24" t="n"/>
      <c r="AD968" s="24" t="n"/>
      <c r="AE968" s="24" t="n"/>
      <c r="AF968" s="25" t="n"/>
      <c r="AG968" s="137" t="n"/>
      <c r="AH968" s="23" t="n"/>
      <c r="AI968" s="24" t="n"/>
      <c r="AJ968" s="24" t="n"/>
      <c r="AK968" s="24" t="n"/>
      <c r="AL968" s="25" t="n"/>
      <c r="AM968" s="137" t="n"/>
      <c r="AN968" s="23" t="n"/>
      <c r="AO968" s="24" t="n"/>
      <c r="AP968" s="24" t="n"/>
      <c r="AQ968" s="24" t="n"/>
      <c r="AR968" s="25" t="n"/>
      <c r="AS968" s="137" t="n"/>
    </row>
    <row r="969" hidden="1" outlineLevel="2">
      <c r="A969" s="8" t="n"/>
      <c r="B969" s="14" t="n"/>
      <c r="C969" s="137" t="n"/>
      <c r="D969" s="137" t="n"/>
      <c r="E969" s="137" t="n"/>
      <c r="F969" s="137" t="n"/>
      <c r="G969" s="137" t="n"/>
      <c r="I969" s="137" t="n"/>
      <c r="J969" s="137" t="n"/>
      <c r="K969" s="137" t="n"/>
      <c r="L969" s="137" t="n"/>
      <c r="M969" s="137" t="n"/>
      <c r="N969" s="137" t="n"/>
      <c r="O969" s="137" t="n"/>
      <c r="P969" s="137" t="n"/>
      <c r="Q969" s="137" t="n"/>
      <c r="R969" s="137" t="n"/>
      <c r="S969" s="137" t="n"/>
      <c r="T969" s="137" t="n"/>
      <c r="U969" s="137" t="n"/>
      <c r="V969" s="137" t="n"/>
      <c r="W969" s="137" t="n"/>
      <c r="X969" s="137" t="n"/>
      <c r="Y969" s="137" t="n"/>
      <c r="Z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37" t="n"/>
      <c r="AS969" s="137" t="n"/>
    </row>
    <row r="970" hidden="1" outlineLevel="2">
      <c r="A970" s="8" t="n"/>
      <c r="B970" s="14" t="n"/>
      <c r="C970" s="137" t="n"/>
      <c r="D970" s="137" t="n"/>
      <c r="E970" s="137" t="n"/>
      <c r="F970" s="137" t="n"/>
      <c r="G970" s="137" t="n"/>
      <c r="I970" s="56">
        <f>DADOS_INVOC!$PZ$60</f>
        <v/>
      </c>
      <c r="J970" s="16" t="n"/>
      <c r="K970" s="16" t="n"/>
      <c r="L970" s="16" t="n"/>
      <c r="M970" s="17" t="n"/>
      <c r="N970" s="137" t="n"/>
      <c r="O970" s="56">
        <f>DADOS_INVOC!$PZ$61</f>
        <v/>
      </c>
      <c r="P970" s="16" t="n"/>
      <c r="Q970" s="16" t="n"/>
      <c r="R970" s="16" t="n"/>
      <c r="S970" s="17" t="n"/>
      <c r="T970" s="137" t="n"/>
      <c r="U970" s="56">
        <f>DADOS_INVOC!$PZ$62</f>
        <v/>
      </c>
      <c r="V970" s="16" t="n"/>
      <c r="W970" s="16" t="n"/>
      <c r="X970" s="16" t="n"/>
      <c r="Y970" s="17" t="n"/>
      <c r="Z970" s="137" t="n"/>
      <c r="AB970" s="56">
        <f>DADOS_INVOC!$PZ$138</f>
        <v/>
      </c>
      <c r="AC970" s="16" t="n"/>
      <c r="AD970" s="16" t="n"/>
      <c r="AE970" s="16" t="n"/>
      <c r="AF970" s="17" t="n"/>
      <c r="AG970" s="137" t="n"/>
      <c r="AH970" s="56">
        <f>DADOS_INVOC!$PZ$139</f>
        <v/>
      </c>
      <c r="AI970" s="16" t="n"/>
      <c r="AJ970" s="16" t="n"/>
      <c r="AK970" s="16" t="n"/>
      <c r="AL970" s="17" t="n"/>
      <c r="AM970" s="137" t="n"/>
      <c r="AN970" s="56">
        <f>DADOS_INVOC!$PZ$140</f>
        <v/>
      </c>
      <c r="AO970" s="16" t="n"/>
      <c r="AP970" s="16" t="n"/>
      <c r="AQ970" s="16" t="n"/>
      <c r="AR970" s="17" t="n"/>
      <c r="AS970" s="137" t="n"/>
    </row>
    <row r="971" hidden="1" outlineLevel="2">
      <c r="A971" s="8" t="n"/>
      <c r="B971" s="14" t="n"/>
      <c r="C971" s="137" t="n"/>
      <c r="D971" s="137" t="n"/>
      <c r="E971" s="137" t="n"/>
      <c r="F971" s="137" t="n"/>
      <c r="G971" s="137" t="n"/>
      <c r="I971" s="141" t="n">
        <v>1</v>
      </c>
      <c r="J971" s="131" t="n"/>
      <c r="K971" s="16" t="n"/>
      <c r="L971" s="17" t="n"/>
      <c r="M971" s="142">
        <f>DADOS_INVOC!$PX$60</f>
        <v/>
      </c>
      <c r="N971" s="137" t="n"/>
      <c r="O971" s="141" t="n">
        <v>1</v>
      </c>
      <c r="P971" s="131" t="n"/>
      <c r="Q971" s="16" t="n"/>
      <c r="R971" s="17" t="n"/>
      <c r="S971" s="142">
        <f>DADOS_INVOC!$PX$61</f>
        <v/>
      </c>
      <c r="T971" s="137" t="n"/>
      <c r="U971" s="141" t="n">
        <v>1</v>
      </c>
      <c r="V971" s="131" t="n"/>
      <c r="W971" s="16" t="n"/>
      <c r="X971" s="17" t="n"/>
      <c r="Y971" s="142">
        <f>DADOS_INVOC!$PX$62</f>
        <v/>
      </c>
      <c r="Z971" s="137" t="n"/>
      <c r="AB971" s="141" t="n">
        <v>1</v>
      </c>
      <c r="AC971" s="131" t="n"/>
      <c r="AD971" s="16" t="n"/>
      <c r="AE971" s="17" t="n"/>
      <c r="AF971" s="142">
        <f>DADOS_INVOC!$PX$138</f>
        <v/>
      </c>
      <c r="AG971" s="137" t="n"/>
      <c r="AH971" s="141" t="n">
        <v>1</v>
      </c>
      <c r="AI971" s="131" t="n"/>
      <c r="AJ971" s="16" t="n"/>
      <c r="AK971" s="17" t="n"/>
      <c r="AL971" s="142">
        <f>DADOS_INVOC!$PX$139</f>
        <v/>
      </c>
      <c r="AM971" s="137" t="n"/>
      <c r="AN971" s="141" t="n">
        <v>1</v>
      </c>
      <c r="AO971" s="131" t="n"/>
      <c r="AP971" s="16" t="n"/>
      <c r="AQ971" s="17" t="n"/>
      <c r="AR971" s="142">
        <f>DADOS_INVOC!$PX$140</f>
        <v/>
      </c>
      <c r="AS971" s="137" t="n"/>
    </row>
    <row r="972" hidden="1" outlineLevel="3">
      <c r="A972" s="8" t="n"/>
      <c r="B972" s="14" t="n"/>
      <c r="C972" s="137" t="n"/>
      <c r="D972" s="137" t="n"/>
      <c r="E972" s="137" t="n"/>
      <c r="F972" s="137" t="n"/>
      <c r="G972" s="137" t="n"/>
      <c r="I972" s="56" t="inlineStr">
        <is>
          <t>COMO É</t>
        </is>
      </c>
      <c r="J972" s="16" t="n"/>
      <c r="K972" s="16" t="n"/>
      <c r="L972" s="16" t="n"/>
      <c r="M972" s="17" t="n"/>
      <c r="N972" s="137" t="n"/>
      <c r="O972" s="56" t="inlineStr">
        <is>
          <t>COMO É</t>
        </is>
      </c>
      <c r="P972" s="16" t="n"/>
      <c r="Q972" s="16" t="n"/>
      <c r="R972" s="16" t="n"/>
      <c r="S972" s="17" t="n"/>
      <c r="T972" s="137" t="n"/>
      <c r="U972" s="56" t="inlineStr">
        <is>
          <t>COMO É</t>
        </is>
      </c>
      <c r="V972" s="16" t="n"/>
      <c r="W972" s="16" t="n"/>
      <c r="X972" s="16" t="n"/>
      <c r="Y972" s="17" t="n"/>
      <c r="Z972" s="137" t="n"/>
      <c r="AB972" s="56" t="inlineStr">
        <is>
          <t>COMO É</t>
        </is>
      </c>
      <c r="AC972" s="16" t="n"/>
      <c r="AD972" s="16" t="n"/>
      <c r="AE972" s="16" t="n"/>
      <c r="AF972" s="17" t="n"/>
      <c r="AG972" s="137" t="n"/>
      <c r="AH972" s="56" t="inlineStr">
        <is>
          <t>COMO É</t>
        </is>
      </c>
      <c r="AI972" s="16" t="n"/>
      <c r="AJ972" s="16" t="n"/>
      <c r="AK972" s="16" t="n"/>
      <c r="AL972" s="17" t="n"/>
      <c r="AM972" s="137" t="n"/>
      <c r="AN972" s="56" t="inlineStr">
        <is>
          <t>COMO É</t>
        </is>
      </c>
      <c r="AO972" s="16" t="n"/>
      <c r="AP972" s="16" t="n"/>
      <c r="AQ972" s="16" t="n"/>
      <c r="AR972" s="17" t="n"/>
      <c r="AS972" s="137" t="n"/>
    </row>
    <row r="973" hidden="1" outlineLevel="3">
      <c r="A973" s="8" t="n"/>
      <c r="B973" s="14" t="n"/>
      <c r="C973" s="137" t="n"/>
      <c r="D973" s="137" t="n"/>
      <c r="E973" s="137" t="n"/>
      <c r="F973" s="137" t="n"/>
      <c r="G973" s="137" t="n"/>
      <c r="I973" s="61" t="n"/>
      <c r="J973" s="19" t="n"/>
      <c r="K973" s="19" t="n"/>
      <c r="L973" s="19" t="n"/>
      <c r="M973" s="20" t="n"/>
      <c r="N973" s="137" t="n"/>
      <c r="O973" s="61" t="n"/>
      <c r="P973" s="19" t="n"/>
      <c r="Q973" s="19" t="n"/>
      <c r="R973" s="19" t="n"/>
      <c r="S973" s="20" t="n"/>
      <c r="T973" s="137" t="n"/>
      <c r="U973" s="61" t="n"/>
      <c r="V973" s="19" t="n"/>
      <c r="W973" s="19" t="n"/>
      <c r="X973" s="19" t="n"/>
      <c r="Y973" s="20" t="n"/>
      <c r="Z973" s="137" t="n"/>
      <c r="AB973" s="61" t="n"/>
      <c r="AC973" s="19" t="n"/>
      <c r="AD973" s="19" t="n"/>
      <c r="AE973" s="19" t="n"/>
      <c r="AF973" s="20" t="n"/>
      <c r="AG973" s="137" t="n"/>
      <c r="AH973" s="61" t="n"/>
      <c r="AI973" s="19" t="n"/>
      <c r="AJ973" s="19" t="n"/>
      <c r="AK973" s="19" t="n"/>
      <c r="AL973" s="20" t="n"/>
      <c r="AM973" s="137" t="n"/>
      <c r="AN973" s="61" t="n"/>
      <c r="AO973" s="19" t="n"/>
      <c r="AP973" s="19" t="n"/>
      <c r="AQ973" s="19" t="n"/>
      <c r="AR973" s="20" t="n"/>
      <c r="AS973" s="137" t="n"/>
    </row>
    <row r="974" hidden="1" outlineLevel="3">
      <c r="A974" s="8" t="n"/>
      <c r="B974" s="14" t="n"/>
      <c r="C974" s="137" t="n"/>
      <c r="D974" s="137" t="n"/>
      <c r="E974" s="137" t="n"/>
      <c r="F974" s="137" t="n"/>
      <c r="G974" s="137" t="n"/>
      <c r="I974" s="21" t="n"/>
      <c r="M974" s="22" t="n"/>
      <c r="N974" s="137" t="n"/>
      <c r="O974" s="21" t="n"/>
      <c r="S974" s="22" t="n"/>
      <c r="T974" s="137" t="n"/>
      <c r="U974" s="21" t="n"/>
      <c r="Y974" s="22" t="n"/>
      <c r="Z974" s="137" t="n"/>
      <c r="AB974" s="21" t="n"/>
      <c r="AF974" s="22" t="n"/>
      <c r="AG974" s="137" t="n"/>
      <c r="AH974" s="21" t="n"/>
      <c r="AL974" s="22" t="n"/>
      <c r="AM974" s="137" t="n"/>
      <c r="AN974" s="21" t="n"/>
      <c r="AR974" s="22" t="n"/>
      <c r="AS974" s="137" t="n"/>
    </row>
    <row r="975" hidden="1" outlineLevel="3">
      <c r="A975" s="8" t="n"/>
      <c r="B975" s="14" t="n"/>
      <c r="C975" s="137" t="n"/>
      <c r="D975" s="137" t="n"/>
      <c r="E975" s="137" t="n"/>
      <c r="F975" s="137" t="n"/>
      <c r="G975" s="137" t="n"/>
      <c r="I975" s="23" t="n"/>
      <c r="J975" s="24" t="n"/>
      <c r="K975" s="24" t="n"/>
      <c r="L975" s="24" t="n"/>
      <c r="M975" s="25" t="n"/>
      <c r="N975" s="137" t="n"/>
      <c r="O975" s="23" t="n"/>
      <c r="P975" s="24" t="n"/>
      <c r="Q975" s="24" t="n"/>
      <c r="R975" s="24" t="n"/>
      <c r="S975" s="25" t="n"/>
      <c r="T975" s="137" t="n"/>
      <c r="U975" s="23" t="n"/>
      <c r="V975" s="24" t="n"/>
      <c r="W975" s="24" t="n"/>
      <c r="X975" s="24" t="n"/>
      <c r="Y975" s="25" t="n"/>
      <c r="Z975" s="137" t="n"/>
      <c r="AB975" s="23" t="n"/>
      <c r="AC975" s="24" t="n"/>
      <c r="AD975" s="24" t="n"/>
      <c r="AE975" s="24" t="n"/>
      <c r="AF975" s="25" t="n"/>
      <c r="AG975" s="137" t="n"/>
      <c r="AH975" s="23" t="n"/>
      <c r="AI975" s="24" t="n"/>
      <c r="AJ975" s="24" t="n"/>
      <c r="AK975" s="24" t="n"/>
      <c r="AL975" s="25" t="n"/>
      <c r="AM975" s="137" t="n"/>
      <c r="AN975" s="23" t="n"/>
      <c r="AO975" s="24" t="n"/>
      <c r="AP975" s="24" t="n"/>
      <c r="AQ975" s="24" t="n"/>
      <c r="AR975" s="25" t="n"/>
      <c r="AS975" s="137" t="n"/>
    </row>
    <row r="976" hidden="1" outlineLevel="2">
      <c r="A976" s="8" t="n"/>
      <c r="B976" s="14" t="n"/>
      <c r="C976" s="137" t="n"/>
      <c r="D976" s="137" t="n"/>
      <c r="E976" s="137" t="n"/>
      <c r="F976" s="137" t="n"/>
      <c r="G976" s="137" t="n"/>
      <c r="I976" s="95" t="inlineStr">
        <is>
          <t>Projétil</t>
        </is>
      </c>
      <c r="J976" s="17" t="n"/>
      <c r="K976" s="71">
        <f>DADOS_INVOC!$QE$60</f>
        <v/>
      </c>
      <c r="L976" s="17" t="n"/>
      <c r="M976" s="71">
        <f>DADOS_INVOC!$QA$60</f>
        <v/>
      </c>
      <c r="N976" s="137" t="n"/>
      <c r="O976" s="95" t="inlineStr">
        <is>
          <t>Projétil</t>
        </is>
      </c>
      <c r="P976" s="17" t="n"/>
      <c r="Q976" s="71">
        <f>DADOS_INVOC!$QE$61</f>
        <v/>
      </c>
      <c r="R976" s="17" t="n"/>
      <c r="S976" s="71">
        <f>DADOS_INVOC!$QA$61</f>
        <v/>
      </c>
      <c r="T976" s="137" t="n"/>
      <c r="U976" s="95" t="inlineStr">
        <is>
          <t>Projétil</t>
        </is>
      </c>
      <c r="V976" s="17" t="n"/>
      <c r="W976" s="71">
        <f>DADOS_INVOC!$QE$62</f>
        <v/>
      </c>
      <c r="X976" s="17" t="n"/>
      <c r="Y976" s="71">
        <f>DADOS_INVOC!$QA$62</f>
        <v/>
      </c>
      <c r="Z976" s="137" t="n"/>
      <c r="AB976" s="95" t="inlineStr">
        <is>
          <t>Projétil</t>
        </is>
      </c>
      <c r="AC976" s="17" t="n"/>
      <c r="AD976" s="71">
        <f>DADOS_INVOC!$QE$138</f>
        <v/>
      </c>
      <c r="AE976" s="17" t="n"/>
      <c r="AF976" s="71">
        <f>DADOS_INVOC!$QA$138</f>
        <v/>
      </c>
      <c r="AG976" s="137" t="n"/>
      <c r="AH976" s="95" t="inlineStr">
        <is>
          <t>Projétil</t>
        </is>
      </c>
      <c r="AI976" s="17" t="n"/>
      <c r="AJ976" s="71">
        <f>DADOS_INVOC!$QE$139</f>
        <v/>
      </c>
      <c r="AK976" s="17" t="n"/>
      <c r="AL976" s="71">
        <f>DADOS_INVOC!$QA$139</f>
        <v/>
      </c>
      <c r="AM976" s="137" t="n"/>
      <c r="AN976" s="95" t="inlineStr">
        <is>
          <t>Projétil</t>
        </is>
      </c>
      <c r="AO976" s="17" t="n"/>
      <c r="AP976" s="71">
        <f>DADOS_INVOC!$QE$140</f>
        <v/>
      </c>
      <c r="AQ976" s="17" t="n"/>
      <c r="AR976" s="71">
        <f>DADOS_INVOC!$QA$140</f>
        <v/>
      </c>
      <c r="AS976" s="137" t="n"/>
    </row>
    <row r="977" hidden="1" outlineLevel="2">
      <c r="A977" s="8" t="n"/>
      <c r="B977" s="14" t="n"/>
      <c r="C977" s="137" t="n"/>
      <c r="D977" s="137" t="n"/>
      <c r="E977" s="137" t="n"/>
      <c r="F977" s="137" t="n"/>
      <c r="G977" s="137" t="n"/>
      <c r="I977" s="95" t="n"/>
      <c r="J977" s="17" t="n"/>
      <c r="K977" s="95" t="n"/>
      <c r="L977" s="16" t="n"/>
      <c r="M977" s="17" t="n"/>
      <c r="N977" s="137" t="n"/>
      <c r="O977" s="95" t="n"/>
      <c r="P977" s="17" t="n"/>
      <c r="Q977" s="95" t="n"/>
      <c r="R977" s="16" t="n"/>
      <c r="S977" s="17" t="n"/>
      <c r="T977" s="137" t="n"/>
      <c r="U977" s="95" t="n"/>
      <c r="V977" s="17" t="n"/>
      <c r="W977" s="95" t="n"/>
      <c r="X977" s="16" t="n"/>
      <c r="Y977" s="17" t="n"/>
      <c r="Z977" s="137" t="n"/>
      <c r="AB977" s="95" t="n"/>
      <c r="AC977" s="17" t="n"/>
      <c r="AD977" s="95" t="n"/>
      <c r="AE977" s="16" t="n"/>
      <c r="AF977" s="17" t="n"/>
      <c r="AG977" s="137" t="n"/>
      <c r="AH977" s="95" t="n"/>
      <c r="AI977" s="17" t="n"/>
      <c r="AJ977" s="95" t="n"/>
      <c r="AK977" s="16" t="n"/>
      <c r="AL977" s="17" t="n"/>
      <c r="AM977" s="137" t="n"/>
      <c r="AN977" s="95" t="n"/>
      <c r="AO977" s="17" t="n"/>
      <c r="AP977" s="95" t="n"/>
      <c r="AQ977" s="16" t="n"/>
      <c r="AR977" s="17" t="n"/>
      <c r="AS977" s="137" t="n"/>
    </row>
    <row r="978" hidden="1" outlineLevel="2">
      <c r="A978" s="8" t="n"/>
      <c r="B978" s="14" t="n"/>
      <c r="C978" s="137" t="n"/>
      <c r="D978" s="137" t="n"/>
      <c r="E978" s="137" t="n"/>
      <c r="F978" s="137" t="n"/>
      <c r="G978" s="137" t="n"/>
      <c r="I978" s="95">
        <f>DADOS_INVOC!$QB$60</f>
        <v/>
      </c>
      <c r="J978" s="17" t="n"/>
      <c r="K978" s="95">
        <f>DADOS_INVOC!$QD$60</f>
        <v/>
      </c>
      <c r="L978" s="16" t="n"/>
      <c r="M978" s="17" t="n"/>
      <c r="N978" s="137" t="n"/>
      <c r="O978" s="95">
        <f>DADOS_INVOC!$QB$61</f>
        <v/>
      </c>
      <c r="P978" s="17" t="n"/>
      <c r="Q978" s="95">
        <f>DADOS_INVOC!$QD$61</f>
        <v/>
      </c>
      <c r="R978" s="16" t="n"/>
      <c r="S978" s="17" t="n"/>
      <c r="T978" s="137" t="n"/>
      <c r="U978" s="95">
        <f>DADOS_INVOC!$QB$62</f>
        <v/>
      </c>
      <c r="V978" s="17" t="n"/>
      <c r="W978" s="95">
        <f>DADOS_INVOC!$QD$62</f>
        <v/>
      </c>
      <c r="X978" s="16" t="n"/>
      <c r="Y978" s="17" t="n"/>
      <c r="Z978" s="137" t="n"/>
      <c r="AB978" s="95">
        <f>DADOS_INVOC!$QB$138</f>
        <v/>
      </c>
      <c r="AC978" s="17" t="n"/>
      <c r="AD978" s="95">
        <f>DADOS_INVOC!$QD$138</f>
        <v/>
      </c>
      <c r="AE978" s="16" t="n"/>
      <c r="AF978" s="17" t="n"/>
      <c r="AG978" s="137" t="n"/>
      <c r="AH978" s="95">
        <f>DADOS_INVOC!$QB$139</f>
        <v/>
      </c>
      <c r="AI978" s="17" t="n"/>
      <c r="AJ978" s="95">
        <f>DADOS_INVOC!$QD$139</f>
        <v/>
      </c>
      <c r="AK978" s="16" t="n"/>
      <c r="AL978" s="17" t="n"/>
      <c r="AM978" s="137" t="n"/>
      <c r="AN978" s="95">
        <f>DADOS_INVOC!$QB$140</f>
        <v/>
      </c>
      <c r="AO978" s="17" t="n"/>
      <c r="AP978" s="95">
        <f>DADOS_INVOC!$QD$140</f>
        <v/>
      </c>
      <c r="AQ978" s="16" t="n"/>
      <c r="AR978" s="17" t="n"/>
      <c r="AS978" s="137" t="n"/>
    </row>
    <row r="979" hidden="1" outlineLevel="2">
      <c r="A979" s="8" t="n"/>
      <c r="B979" s="14" t="n"/>
      <c r="C979" s="137" t="n"/>
      <c r="D979" s="137" t="n"/>
      <c r="E979" s="137" t="n"/>
      <c r="F979" s="137" t="n"/>
      <c r="G979" s="137" t="n"/>
      <c r="I979" s="143">
        <f>DADOS_INVOC!$QJ$60</f>
        <v/>
      </c>
      <c r="J979" s="16" t="n"/>
      <c r="K979" s="16" t="n"/>
      <c r="L979" s="16" t="n"/>
      <c r="M979" s="17" t="n"/>
      <c r="N979" s="137" t="n"/>
      <c r="O979" s="143">
        <f>DADOS_INVOC!$QJ$61</f>
        <v/>
      </c>
      <c r="P979" s="16" t="n"/>
      <c r="Q979" s="16" t="n"/>
      <c r="R979" s="16" t="n"/>
      <c r="S979" s="17" t="n"/>
      <c r="T979" s="137" t="n"/>
      <c r="U979" s="143">
        <f>DADOS_INVOC!$QJ$62</f>
        <v/>
      </c>
      <c r="V979" s="16" t="n"/>
      <c r="W979" s="16" t="n"/>
      <c r="X979" s="16" t="n"/>
      <c r="Y979" s="17" t="n"/>
      <c r="Z979" s="137" t="n"/>
      <c r="AB979" s="143">
        <f>DADOS_INVOC!$QJ$138</f>
        <v/>
      </c>
      <c r="AC979" s="16" t="n"/>
      <c r="AD979" s="16" t="n"/>
      <c r="AE979" s="16" t="n"/>
      <c r="AF979" s="17" t="n"/>
      <c r="AG979" s="137" t="n"/>
      <c r="AH979" s="143">
        <f>DADOS_INVOC!$QJ$139</f>
        <v/>
      </c>
      <c r="AI979" s="16" t="n"/>
      <c r="AJ979" s="16" t="n"/>
      <c r="AK979" s="16" t="n"/>
      <c r="AL979" s="17" t="n"/>
      <c r="AM979" s="137" t="n"/>
      <c r="AN979" s="143">
        <f>DADOS_INVOC!$QJ$140</f>
        <v/>
      </c>
      <c r="AO979" s="16" t="n"/>
      <c r="AP979" s="16" t="n"/>
      <c r="AQ979" s="16" t="n"/>
      <c r="AR979" s="17" t="n"/>
      <c r="AS979" s="137" t="n"/>
    </row>
    <row r="980" hidden="1" outlineLevel="3">
      <c r="A980" s="8" t="n"/>
      <c r="B980" s="14" t="n"/>
      <c r="C980" s="137" t="n"/>
      <c r="D980" s="137" t="n"/>
      <c r="E980" s="137" t="n"/>
      <c r="F980" s="137" t="n"/>
      <c r="G980" s="137" t="n"/>
      <c r="I980" s="56" t="inlineStr">
        <is>
          <t>MELHORIAS</t>
        </is>
      </c>
      <c r="J980" s="144" t="n"/>
      <c r="K980" s="16" t="n"/>
      <c r="L980" s="17" t="n"/>
      <c r="M980" s="143">
        <f>DADOS_INVOC!$QM$60</f>
        <v/>
      </c>
      <c r="N980" s="137" t="n"/>
      <c r="O980" s="56" t="inlineStr">
        <is>
          <t>MELHORIAS</t>
        </is>
      </c>
      <c r="P980" s="144" t="n"/>
      <c r="Q980" s="16" t="n"/>
      <c r="R980" s="17" t="n"/>
      <c r="S980" s="143">
        <f>DADOS_INVOC!$QM$61</f>
        <v/>
      </c>
      <c r="T980" s="137" t="n"/>
      <c r="U980" s="56" t="inlineStr">
        <is>
          <t>MELHORIAS</t>
        </is>
      </c>
      <c r="V980" s="144" t="n"/>
      <c r="W980" s="16" t="n"/>
      <c r="X980" s="17" t="n"/>
      <c r="Y980" s="143">
        <f>DADOS_INVOC!$QM$62</f>
        <v/>
      </c>
      <c r="Z980" s="137" t="n"/>
      <c r="AB980" s="56" t="inlineStr">
        <is>
          <t>MELHORIAS</t>
        </is>
      </c>
      <c r="AC980" s="144" t="n"/>
      <c r="AD980" s="16" t="n"/>
      <c r="AE980" s="17" t="n"/>
      <c r="AF980" s="143">
        <f>DADOS_INVOC!$QM$138</f>
        <v/>
      </c>
      <c r="AG980" s="137" t="n"/>
      <c r="AH980" s="56" t="inlineStr">
        <is>
          <t>MELHORIAS</t>
        </is>
      </c>
      <c r="AI980" s="144" t="n"/>
      <c r="AJ980" s="16" t="n"/>
      <c r="AK980" s="17" t="n"/>
      <c r="AL980" s="143">
        <f>DADOS_INVOC!$QM$139</f>
        <v/>
      </c>
      <c r="AM980" s="137" t="n"/>
      <c r="AN980" s="56" t="inlineStr">
        <is>
          <t>MELHORIAS</t>
        </is>
      </c>
      <c r="AO980" s="144" t="n"/>
      <c r="AP980" s="16" t="n"/>
      <c r="AQ980" s="17" t="n"/>
      <c r="AR980" s="143">
        <f>DADOS_INVOC!$QM$140</f>
        <v/>
      </c>
      <c r="AS980" s="137" t="n"/>
    </row>
    <row r="981" hidden="1" outlineLevel="3">
      <c r="A981" s="8" t="n"/>
      <c r="B981" s="14" t="n"/>
      <c r="C981" s="137" t="n"/>
      <c r="D981" s="137" t="n"/>
      <c r="E981" s="137" t="n"/>
      <c r="F981" s="137" t="n"/>
      <c r="G981" s="137" t="n"/>
      <c r="I981" s="66" t="n"/>
      <c r="J981" s="144" t="n"/>
      <c r="K981" s="16" t="n"/>
      <c r="L981" s="17" t="n"/>
      <c r="M981" s="143">
        <f>DADOS_INVOC!$QN$60</f>
        <v/>
      </c>
      <c r="N981" s="137" t="n"/>
      <c r="O981" s="66" t="n"/>
      <c r="P981" s="144" t="n"/>
      <c r="Q981" s="16" t="n"/>
      <c r="R981" s="17" t="n"/>
      <c r="S981" s="143">
        <f>DADOS_INVOC!$QN$61</f>
        <v/>
      </c>
      <c r="T981" s="137" t="n"/>
      <c r="U981" s="66" t="n"/>
      <c r="V981" s="144" t="n"/>
      <c r="W981" s="16" t="n"/>
      <c r="X981" s="17" t="n"/>
      <c r="Y981" s="143">
        <f>DADOS_INVOC!$QN$62</f>
        <v/>
      </c>
      <c r="Z981" s="137" t="n"/>
      <c r="AB981" s="66" t="n"/>
      <c r="AC981" s="144" t="n"/>
      <c r="AD981" s="16" t="n"/>
      <c r="AE981" s="17" t="n"/>
      <c r="AF981" s="143">
        <f>DADOS_INVOC!$QN$138</f>
        <v/>
      </c>
      <c r="AG981" s="137" t="n"/>
      <c r="AH981" s="66" t="n"/>
      <c r="AI981" s="144" t="n"/>
      <c r="AJ981" s="16" t="n"/>
      <c r="AK981" s="17" t="n"/>
      <c r="AL981" s="143">
        <f>DADOS_INVOC!$QN$139</f>
        <v/>
      </c>
      <c r="AM981" s="137" t="n"/>
      <c r="AN981" s="66" t="n"/>
      <c r="AO981" s="144" t="n"/>
      <c r="AP981" s="16" t="n"/>
      <c r="AQ981" s="17" t="n"/>
      <c r="AR981" s="143">
        <f>DADOS_INVOC!$QN$140</f>
        <v/>
      </c>
      <c r="AS981" s="137" t="n"/>
    </row>
    <row r="982" hidden="1" outlineLevel="3">
      <c r="A982" s="8" t="n"/>
      <c r="B982" s="14" t="n"/>
      <c r="C982" s="137" t="n"/>
      <c r="D982" s="137" t="n"/>
      <c r="E982" s="137" t="n"/>
      <c r="F982" s="137" t="n"/>
      <c r="G982" s="137" t="n"/>
      <c r="I982" s="66" t="n"/>
      <c r="J982" s="144" t="n"/>
      <c r="K982" s="16" t="n"/>
      <c r="L982" s="17" t="n"/>
      <c r="M982" s="143">
        <f>DADOS_INVOC!$QO$60</f>
        <v/>
      </c>
      <c r="N982" s="137" t="n"/>
      <c r="O982" s="66" t="n"/>
      <c r="P982" s="144" t="n"/>
      <c r="Q982" s="16" t="n"/>
      <c r="R982" s="17" t="n"/>
      <c r="S982" s="143">
        <f>DADOS_INVOC!$QO$61</f>
        <v/>
      </c>
      <c r="T982" s="137" t="n"/>
      <c r="U982" s="66" t="n"/>
      <c r="V982" s="144" t="n"/>
      <c r="W982" s="16" t="n"/>
      <c r="X982" s="17" t="n"/>
      <c r="Y982" s="143">
        <f>DADOS_INVOC!$QO$62</f>
        <v/>
      </c>
      <c r="Z982" s="137" t="n"/>
      <c r="AB982" s="66" t="n"/>
      <c r="AC982" s="144" t="n"/>
      <c r="AD982" s="16" t="n"/>
      <c r="AE982" s="17" t="n"/>
      <c r="AF982" s="143">
        <f>DADOS_INVOC!$QO$138</f>
        <v/>
      </c>
      <c r="AG982" s="137" t="n"/>
      <c r="AH982" s="66" t="n"/>
      <c r="AI982" s="144" t="n"/>
      <c r="AJ982" s="16" t="n"/>
      <c r="AK982" s="17" t="n"/>
      <c r="AL982" s="143">
        <f>DADOS_INVOC!$QO$139</f>
        <v/>
      </c>
      <c r="AM982" s="137" t="n"/>
      <c r="AN982" s="66" t="n"/>
      <c r="AO982" s="144" t="n"/>
      <c r="AP982" s="16" t="n"/>
      <c r="AQ982" s="17" t="n"/>
      <c r="AR982" s="143">
        <f>DADOS_INVOC!$QO$140</f>
        <v/>
      </c>
      <c r="AS982" s="137" t="n"/>
    </row>
    <row r="983" hidden="1" outlineLevel="3">
      <c r="A983" s="8" t="n"/>
      <c r="B983" s="14" t="n"/>
      <c r="C983" s="137" t="n"/>
      <c r="D983" s="137" t="n"/>
      <c r="E983" s="137" t="n"/>
      <c r="F983" s="137" t="n"/>
      <c r="G983" s="137" t="n"/>
      <c r="I983" s="128" t="n"/>
      <c r="J983" s="144" t="n"/>
      <c r="K983" s="16" t="n"/>
      <c r="L983" s="17" t="n"/>
      <c r="M983" s="143">
        <f>DADOS_INVOC!$QP$60</f>
        <v/>
      </c>
      <c r="N983" s="137" t="n"/>
      <c r="O983" s="128" t="n"/>
      <c r="P983" s="144" t="n"/>
      <c r="Q983" s="16" t="n"/>
      <c r="R983" s="17" t="n"/>
      <c r="S983" s="143">
        <f>DADOS_INVOC!$QP$61</f>
        <v/>
      </c>
      <c r="T983" s="137" t="n"/>
      <c r="U983" s="128" t="n"/>
      <c r="V983" s="144" t="n"/>
      <c r="W983" s="16" t="n"/>
      <c r="X983" s="17" t="n"/>
      <c r="Y983" s="143">
        <f>DADOS_INVOC!$QP$62</f>
        <v/>
      </c>
      <c r="Z983" s="137" t="n"/>
      <c r="AB983" s="128" t="n"/>
      <c r="AC983" s="144" t="n"/>
      <c r="AD983" s="16" t="n"/>
      <c r="AE983" s="17" t="n"/>
      <c r="AF983" s="143">
        <f>DADOS_INVOC!$QP$138</f>
        <v/>
      </c>
      <c r="AG983" s="137" t="n"/>
      <c r="AH983" s="128" t="n"/>
      <c r="AI983" s="144" t="n"/>
      <c r="AJ983" s="16" t="n"/>
      <c r="AK983" s="17" t="n"/>
      <c r="AL983" s="143">
        <f>DADOS_INVOC!$QP$139</f>
        <v/>
      </c>
      <c r="AM983" s="137" t="n"/>
      <c r="AN983" s="128" t="n"/>
      <c r="AO983" s="144" t="n"/>
      <c r="AP983" s="16" t="n"/>
      <c r="AQ983" s="17" t="n"/>
      <c r="AR983" s="143">
        <f>DADOS_INVOC!$QP$140</f>
        <v/>
      </c>
      <c r="AS983" s="137" t="n"/>
    </row>
    <row r="984" hidden="1" outlineLevel="3">
      <c r="A984" s="8" t="n"/>
      <c r="B984" s="14" t="n"/>
      <c r="C984" s="137" t="n"/>
      <c r="D984" s="137" t="n"/>
      <c r="E984" s="137" t="n"/>
      <c r="F984" s="137" t="n"/>
      <c r="G984" s="137" t="n"/>
      <c r="I984" s="56" t="inlineStr">
        <is>
          <t>RESTRIÇÕES</t>
        </is>
      </c>
      <c r="J984" s="144" t="n"/>
      <c r="K984" s="16" t="n"/>
      <c r="L984" s="17" t="n"/>
      <c r="M984" s="143">
        <f>DADOS_INVOC!$QQ$60</f>
        <v/>
      </c>
      <c r="N984" s="137" t="n"/>
      <c r="O984" s="56" t="inlineStr">
        <is>
          <t>RESTRIÇÕES</t>
        </is>
      </c>
      <c r="P984" s="144" t="n"/>
      <c r="Q984" s="16" t="n"/>
      <c r="R984" s="17" t="n"/>
      <c r="S984" s="143">
        <f>DADOS_INVOC!$QQ$61</f>
        <v/>
      </c>
      <c r="T984" s="137" t="n"/>
      <c r="U984" s="56" t="inlineStr">
        <is>
          <t>RESTRIÇÕES</t>
        </is>
      </c>
      <c r="V984" s="144" t="n"/>
      <c r="W984" s="16" t="n"/>
      <c r="X984" s="17" t="n"/>
      <c r="Y984" s="143">
        <f>DADOS_INVOC!$QQ$62</f>
        <v/>
      </c>
      <c r="Z984" s="137" t="n"/>
      <c r="AB984" s="56" t="inlineStr">
        <is>
          <t>RESTRIÇÕES</t>
        </is>
      </c>
      <c r="AC984" s="144" t="n"/>
      <c r="AD984" s="16" t="n"/>
      <c r="AE984" s="17" t="n"/>
      <c r="AF984" s="143">
        <f>DADOS_INVOC!$QQ$138</f>
        <v/>
      </c>
      <c r="AG984" s="137" t="n"/>
      <c r="AH984" s="56" t="inlineStr">
        <is>
          <t>RESTRIÇÕES</t>
        </is>
      </c>
      <c r="AI984" s="144" t="n"/>
      <c r="AJ984" s="16" t="n"/>
      <c r="AK984" s="17" t="n"/>
      <c r="AL984" s="143">
        <f>DADOS_INVOC!$QQ$139</f>
        <v/>
      </c>
      <c r="AM984" s="137" t="n"/>
      <c r="AN984" s="56" t="inlineStr">
        <is>
          <t>RESTRIÇÕES</t>
        </is>
      </c>
      <c r="AO984" s="144" t="n"/>
      <c r="AP984" s="16" t="n"/>
      <c r="AQ984" s="17" t="n"/>
      <c r="AR984" s="143">
        <f>DADOS_INVOC!$QQ$140</f>
        <v/>
      </c>
      <c r="AS984" s="137" t="n"/>
    </row>
    <row r="985" hidden="1" outlineLevel="3">
      <c r="A985" s="8" t="n"/>
      <c r="B985" s="14" t="n"/>
      <c r="C985" s="137" t="n"/>
      <c r="D985" s="137" t="n"/>
      <c r="E985" s="137" t="n"/>
      <c r="F985" s="137" t="n"/>
      <c r="G985" s="137" t="n"/>
      <c r="I985" s="128" t="n"/>
      <c r="J985" s="144" t="n"/>
      <c r="K985" s="16" t="n"/>
      <c r="L985" s="17" t="n"/>
      <c r="M985" s="143">
        <f>DADOS_INVOC!$QR$60</f>
        <v/>
      </c>
      <c r="N985" s="137" t="n"/>
      <c r="O985" s="128" t="n"/>
      <c r="P985" s="144" t="n"/>
      <c r="Q985" s="16" t="n"/>
      <c r="R985" s="17" t="n"/>
      <c r="S985" s="143">
        <f>DADOS_INVOC!$QR$61</f>
        <v/>
      </c>
      <c r="T985" s="137" t="n"/>
      <c r="U985" s="128" t="n"/>
      <c r="V985" s="144" t="n"/>
      <c r="W985" s="16" t="n"/>
      <c r="X985" s="17" t="n"/>
      <c r="Y985" s="143">
        <f>DADOS_INVOC!$QR$62</f>
        <v/>
      </c>
      <c r="Z985" s="137" t="n"/>
      <c r="AB985" s="128" t="n"/>
      <c r="AC985" s="144" t="n"/>
      <c r="AD985" s="16" t="n"/>
      <c r="AE985" s="17" t="n"/>
      <c r="AF985" s="143">
        <f>DADOS_INVOC!$QR$138</f>
        <v/>
      </c>
      <c r="AG985" s="137" t="n"/>
      <c r="AH985" s="128" t="n"/>
      <c r="AI985" s="144" t="n"/>
      <c r="AJ985" s="16" t="n"/>
      <c r="AK985" s="17" t="n"/>
      <c r="AL985" s="143">
        <f>DADOS_INVOC!$QR$139</f>
        <v/>
      </c>
      <c r="AM985" s="137" t="n"/>
      <c r="AN985" s="128" t="n"/>
      <c r="AO985" s="144" t="n"/>
      <c r="AP985" s="16" t="n"/>
      <c r="AQ985" s="17" t="n"/>
      <c r="AR985" s="143">
        <f>DADOS_INVOC!$QR$140</f>
        <v/>
      </c>
      <c r="AS985" s="137" t="n"/>
    </row>
    <row r="986" hidden="1" outlineLevel="3">
      <c r="A986" s="8" t="n"/>
      <c r="B986" s="14" t="n"/>
      <c r="C986" s="137" t="n"/>
      <c r="D986" s="137" t="n"/>
      <c r="E986" s="137" t="n"/>
      <c r="F986" s="137" t="n"/>
      <c r="G986" s="137" t="n"/>
      <c r="I986" s="56" t="inlineStr">
        <is>
          <t>CONTA</t>
        </is>
      </c>
      <c r="J986" s="145">
        <f>DADOS_INVOC!$QK$60</f>
        <v/>
      </c>
      <c r="K986" s="16" t="n"/>
      <c r="L986" s="16" t="n"/>
      <c r="M986" s="17" t="n"/>
      <c r="N986" s="137" t="n"/>
      <c r="O986" s="56" t="inlineStr">
        <is>
          <t>CONTA</t>
        </is>
      </c>
      <c r="P986" s="145">
        <f>DADOS_INVOC!$QK$61</f>
        <v/>
      </c>
      <c r="Q986" s="16" t="n"/>
      <c r="R986" s="16" t="n"/>
      <c r="S986" s="17" t="n"/>
      <c r="T986" s="137" t="n"/>
      <c r="U986" s="56" t="inlineStr">
        <is>
          <t>CONTA</t>
        </is>
      </c>
      <c r="V986" s="145">
        <f>DADOS_INVOC!$QK$62</f>
        <v/>
      </c>
      <c r="W986" s="16" t="n"/>
      <c r="X986" s="16" t="n"/>
      <c r="Y986" s="17" t="n"/>
      <c r="Z986" s="137" t="n"/>
      <c r="AB986" s="56" t="inlineStr">
        <is>
          <t>CONTA</t>
        </is>
      </c>
      <c r="AC986" s="145">
        <f>DADOS_INVOC!$QK$138</f>
        <v/>
      </c>
      <c r="AD986" s="16" t="n"/>
      <c r="AE986" s="16" t="n"/>
      <c r="AF986" s="17" t="n"/>
      <c r="AG986" s="137" t="n"/>
      <c r="AH986" s="56" t="inlineStr">
        <is>
          <t>CONTA</t>
        </is>
      </c>
      <c r="AI986" s="145">
        <f>DADOS_INVOC!$QK$139</f>
        <v/>
      </c>
      <c r="AJ986" s="16" t="n"/>
      <c r="AK986" s="16" t="n"/>
      <c r="AL986" s="17" t="n"/>
      <c r="AM986" s="137" t="n"/>
      <c r="AN986" s="56" t="inlineStr">
        <is>
          <t>CONTA</t>
        </is>
      </c>
      <c r="AO986" s="145">
        <f>DADOS_INVOC!$QK$140</f>
        <v/>
      </c>
      <c r="AP986" s="16" t="n"/>
      <c r="AQ986" s="16" t="n"/>
      <c r="AR986" s="17" t="n"/>
      <c r="AS986" s="137" t="n"/>
    </row>
    <row r="987" hidden="1" outlineLevel="3">
      <c r="A987" s="8" t="n"/>
      <c r="B987" s="14" t="n"/>
      <c r="C987" s="137" t="n"/>
      <c r="D987" s="137" t="n"/>
      <c r="E987" s="137" t="n"/>
      <c r="F987" s="137" t="n"/>
      <c r="G987" s="137" t="n"/>
      <c r="I987" s="56" t="inlineStr">
        <is>
          <t>AMPLIAR</t>
        </is>
      </c>
      <c r="J987" s="145">
        <f>DADOS_INVOC!$QL$60</f>
        <v/>
      </c>
      <c r="K987" s="19" t="n"/>
      <c r="L987" s="19" t="n"/>
      <c r="M987" s="20" t="n"/>
      <c r="N987" s="137" t="n"/>
      <c r="O987" s="56" t="inlineStr">
        <is>
          <t>AMPLIAR</t>
        </is>
      </c>
      <c r="P987" s="145">
        <f>DADOS_INVOC!$QL$61</f>
        <v/>
      </c>
      <c r="Q987" s="19" t="n"/>
      <c r="R987" s="19" t="n"/>
      <c r="S987" s="20" t="n"/>
      <c r="T987" s="137" t="n"/>
      <c r="U987" s="56" t="inlineStr">
        <is>
          <t>AMPLIAR</t>
        </is>
      </c>
      <c r="V987" s="145">
        <f>DADOS_INVOC!$QL$62</f>
        <v/>
      </c>
      <c r="W987" s="19" t="n"/>
      <c r="X987" s="19" t="n"/>
      <c r="Y987" s="20" t="n"/>
      <c r="Z987" s="137" t="n"/>
      <c r="AB987" s="56" t="inlineStr">
        <is>
          <t>AMPLIAR</t>
        </is>
      </c>
      <c r="AC987" s="145">
        <f>DADOS_INVOC!$QL$138</f>
        <v/>
      </c>
      <c r="AD987" s="19" t="n"/>
      <c r="AE987" s="19" t="n"/>
      <c r="AF987" s="20" t="n"/>
      <c r="AG987" s="137" t="n"/>
      <c r="AH987" s="56" t="inlineStr">
        <is>
          <t>AMPLIAR</t>
        </is>
      </c>
      <c r="AI987" s="145">
        <f>DADOS_INVOC!$QL$139</f>
        <v/>
      </c>
      <c r="AJ987" s="19" t="n"/>
      <c r="AK987" s="19" t="n"/>
      <c r="AL987" s="20" t="n"/>
      <c r="AM987" s="137" t="n"/>
      <c r="AN987" s="56" t="inlineStr">
        <is>
          <t>AMPLIAR</t>
        </is>
      </c>
      <c r="AO987" s="145">
        <f>DADOS_INVOC!$QL$140</f>
        <v/>
      </c>
      <c r="AP987" s="19" t="n"/>
      <c r="AQ987" s="19" t="n"/>
      <c r="AR987" s="20" t="n"/>
      <c r="AS987" s="137" t="n"/>
    </row>
    <row r="988" hidden="1" outlineLevel="3">
      <c r="A988" s="8" t="n"/>
      <c r="B988" s="14" t="n"/>
      <c r="C988" s="137" t="n"/>
      <c r="D988" s="137" t="n"/>
      <c r="E988" s="137" t="n"/>
      <c r="F988" s="137" t="n"/>
      <c r="G988" s="137" t="n"/>
      <c r="I988" s="128" t="n"/>
      <c r="J988" s="23" t="n"/>
      <c r="K988" s="24" t="n"/>
      <c r="L988" s="24" t="n"/>
      <c r="M988" s="25" t="n"/>
      <c r="N988" s="137" t="n"/>
      <c r="O988" s="128" t="n"/>
      <c r="P988" s="23" t="n"/>
      <c r="Q988" s="24" t="n"/>
      <c r="R988" s="24" t="n"/>
      <c r="S988" s="25" t="n"/>
      <c r="T988" s="137" t="n"/>
      <c r="U988" s="128" t="n"/>
      <c r="V988" s="23" t="n"/>
      <c r="W988" s="24" t="n"/>
      <c r="X988" s="24" t="n"/>
      <c r="Y988" s="25" t="n"/>
      <c r="Z988" s="137" t="n"/>
      <c r="AB988" s="128" t="n"/>
      <c r="AC988" s="23" t="n"/>
      <c r="AD988" s="24" t="n"/>
      <c r="AE988" s="24" t="n"/>
      <c r="AF988" s="25" t="n"/>
      <c r="AG988" s="137" t="n"/>
      <c r="AH988" s="128" t="n"/>
      <c r="AI988" s="23" t="n"/>
      <c r="AJ988" s="24" t="n"/>
      <c r="AK988" s="24" t="n"/>
      <c r="AL988" s="25" t="n"/>
      <c r="AM988" s="137" t="n"/>
      <c r="AN988" s="128" t="n"/>
      <c r="AO988" s="23" t="n"/>
      <c r="AP988" s="24" t="n"/>
      <c r="AQ988" s="24" t="n"/>
      <c r="AR988" s="25" t="n"/>
      <c r="AS988" s="137" t="n"/>
    </row>
    <row r="989" hidden="1" outlineLevel="3">
      <c r="A989" s="8" t="n"/>
      <c r="B989" s="14" t="n"/>
      <c r="C989" s="137" t="n"/>
      <c r="D989" s="137" t="n"/>
      <c r="E989" s="137" t="n"/>
      <c r="F989" s="137" t="n"/>
      <c r="G989" s="137" t="n"/>
      <c r="I989" s="145">
        <f>DADOS_INVOC!$PY$60</f>
        <v/>
      </c>
      <c r="J989" s="19" t="n"/>
      <c r="K989" s="19" t="n"/>
      <c r="L989" s="19" t="n"/>
      <c r="M989" s="20" t="n"/>
      <c r="N989" s="137" t="n"/>
      <c r="O989" s="145">
        <f>DADOS_INVOC!$PY$61</f>
        <v/>
      </c>
      <c r="P989" s="19" t="n"/>
      <c r="Q989" s="19" t="n"/>
      <c r="R989" s="19" t="n"/>
      <c r="S989" s="20" t="n"/>
      <c r="T989" s="137" t="n"/>
      <c r="U989" s="145">
        <f>DADOS_INVOC!$PY$62</f>
        <v/>
      </c>
      <c r="V989" s="19" t="n"/>
      <c r="W989" s="19" t="n"/>
      <c r="X989" s="19" t="n"/>
      <c r="Y989" s="20" t="n"/>
      <c r="Z989" s="137" t="n"/>
      <c r="AB989" s="145">
        <f>DADOS_INVOC!$PY$138</f>
        <v/>
      </c>
      <c r="AC989" s="19" t="n"/>
      <c r="AD989" s="19" t="n"/>
      <c r="AE989" s="19" t="n"/>
      <c r="AF989" s="20" t="n"/>
      <c r="AG989" s="137" t="n"/>
      <c r="AH989" s="145">
        <f>DADOS_INVOC!$PY$139</f>
        <v/>
      </c>
      <c r="AI989" s="19" t="n"/>
      <c r="AJ989" s="19" t="n"/>
      <c r="AK989" s="19" t="n"/>
      <c r="AL989" s="20" t="n"/>
      <c r="AM989" s="137" t="n"/>
      <c r="AN989" s="145">
        <f>DADOS_INVOC!$PY$140</f>
        <v/>
      </c>
      <c r="AO989" s="19" t="n"/>
      <c r="AP989" s="19" t="n"/>
      <c r="AQ989" s="19" t="n"/>
      <c r="AR989" s="20" t="n"/>
      <c r="AS989" s="137" t="n"/>
    </row>
    <row r="990" hidden="1" outlineLevel="3">
      <c r="A990" s="8" t="n"/>
      <c r="B990" s="14" t="n"/>
      <c r="C990" s="137" t="n"/>
      <c r="D990" s="137" t="n"/>
      <c r="E990" s="137" t="n"/>
      <c r="F990" s="137" t="n"/>
      <c r="G990" s="137" t="n"/>
      <c r="I990" s="23" t="n"/>
      <c r="J990" s="24" t="n"/>
      <c r="K990" s="24" t="n"/>
      <c r="L990" s="24" t="n"/>
      <c r="M990" s="25" t="n"/>
      <c r="N990" s="137" t="n"/>
      <c r="O990" s="23" t="n"/>
      <c r="P990" s="24" t="n"/>
      <c r="Q990" s="24" t="n"/>
      <c r="R990" s="24" t="n"/>
      <c r="S990" s="25" t="n"/>
      <c r="T990" s="137" t="n"/>
      <c r="U990" s="23" t="n"/>
      <c r="V990" s="24" t="n"/>
      <c r="W990" s="24" t="n"/>
      <c r="X990" s="24" t="n"/>
      <c r="Y990" s="25" t="n"/>
      <c r="Z990" s="137" t="n"/>
      <c r="AB990" s="23" t="n"/>
      <c r="AC990" s="24" t="n"/>
      <c r="AD990" s="24" t="n"/>
      <c r="AE990" s="24" t="n"/>
      <c r="AF990" s="25" t="n"/>
      <c r="AG990" s="137" t="n"/>
      <c r="AH990" s="23" t="n"/>
      <c r="AI990" s="24" t="n"/>
      <c r="AJ990" s="24" t="n"/>
      <c r="AK990" s="24" t="n"/>
      <c r="AL990" s="25" t="n"/>
      <c r="AM990" s="137" t="n"/>
      <c r="AN990" s="23" t="n"/>
      <c r="AO990" s="24" t="n"/>
      <c r="AP990" s="24" t="n"/>
      <c r="AQ990" s="24" t="n"/>
      <c r="AR990" s="25" t="n"/>
      <c r="AS990" s="137" t="n"/>
    </row>
    <row r="991" hidden="1" outlineLevel="2">
      <c r="A991" s="8" t="n"/>
      <c r="B991" s="14" t="n"/>
      <c r="C991" s="137" t="n"/>
      <c r="D991" s="137" t="n"/>
      <c r="E991" s="137" t="n"/>
      <c r="F991" s="137" t="n"/>
      <c r="G991" s="137" t="n"/>
      <c r="I991" s="137" t="n"/>
      <c r="J991" s="137" t="n"/>
      <c r="K991" s="137" t="n"/>
      <c r="L991" s="137" t="n"/>
      <c r="M991" s="137" t="n"/>
      <c r="N991" s="137" t="n"/>
      <c r="O991" s="137" t="n"/>
      <c r="P991" s="137" t="n"/>
      <c r="Q991" s="137" t="n"/>
      <c r="R991" s="137" t="n"/>
      <c r="S991" s="137" t="n"/>
      <c r="T991" s="137" t="n"/>
      <c r="U991" s="137" t="n"/>
      <c r="V991" s="137" t="n"/>
      <c r="W991" s="137" t="n"/>
      <c r="X991" s="137" t="n"/>
      <c r="Y991" s="137" t="n"/>
      <c r="Z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37" t="n"/>
      <c r="AS991" s="137" t="n"/>
    </row>
    <row r="992" hidden="1" outlineLevel="2">
      <c r="A992" s="8" t="n"/>
      <c r="B992" s="14" t="n"/>
      <c r="C992" s="137" t="n"/>
      <c r="D992" s="137" t="n"/>
      <c r="E992" s="137" t="n"/>
      <c r="F992" s="137" t="n"/>
      <c r="G992" s="137" t="n"/>
      <c r="I992" s="56">
        <f>DADOS_INVOC!$PZ$63</f>
        <v/>
      </c>
      <c r="J992" s="16" t="n"/>
      <c r="K992" s="16" t="n"/>
      <c r="L992" s="16" t="n"/>
      <c r="M992" s="17" t="n"/>
      <c r="N992" s="137" t="n"/>
      <c r="O992" s="137" t="n"/>
      <c r="P992" s="137" t="n"/>
      <c r="Q992" s="137" t="n"/>
      <c r="R992" s="137" t="n"/>
      <c r="S992" s="137" t="n"/>
      <c r="T992" s="137" t="n"/>
      <c r="U992" s="137" t="n"/>
      <c r="V992" s="137" t="n"/>
      <c r="W992" s="137" t="n"/>
      <c r="X992" s="137" t="n"/>
      <c r="Y992" s="137" t="n"/>
      <c r="Z992" s="137" t="n"/>
      <c r="AB992" s="56">
        <f>DADOS_INVOC!$PZ$141</f>
        <v/>
      </c>
      <c r="AC992" s="16" t="n"/>
      <c r="AD992" s="16" t="n"/>
      <c r="AE992" s="16" t="n"/>
      <c r="AF992" s="17" t="n"/>
      <c r="AG992" s="137" t="n"/>
      <c r="AH992" s="137" t="n"/>
      <c r="AI992" s="137" t="n"/>
      <c r="AJ992" s="137" t="n"/>
      <c r="AK992" s="137" t="n"/>
      <c r="AL992" s="137" t="n"/>
      <c r="AM992" s="137" t="n"/>
      <c r="AN992" s="137" t="n"/>
      <c r="AO992" s="137" t="n"/>
      <c r="AP992" s="137" t="n"/>
      <c r="AQ992" s="137" t="n"/>
      <c r="AR992" s="137" t="n"/>
      <c r="AS992" s="137" t="n"/>
    </row>
    <row r="993" hidden="1" outlineLevel="2">
      <c r="A993" s="8" t="n"/>
      <c r="B993" s="14" t="n"/>
      <c r="C993" s="137" t="n"/>
      <c r="D993" s="137" t="n"/>
      <c r="E993" s="137" t="n"/>
      <c r="F993" s="137" t="n"/>
      <c r="G993" s="137" t="n"/>
      <c r="I993" s="141" t="n">
        <v>1</v>
      </c>
      <c r="J993" s="131" t="n"/>
      <c r="K993" s="16" t="n"/>
      <c r="L993" s="17" t="n"/>
      <c r="M993" s="142">
        <f>DADOS_INVOC!$PX$63</f>
        <v/>
      </c>
      <c r="N993" s="137" t="n"/>
      <c r="O993" s="137" t="n"/>
      <c r="P993" s="137" t="n"/>
      <c r="Q993" s="137" t="n"/>
      <c r="R993" s="137" t="n"/>
      <c r="S993" s="137" t="n"/>
      <c r="T993" s="137" t="n"/>
      <c r="U993" s="137" t="n"/>
      <c r="V993" s="137" t="n"/>
      <c r="W993" s="137" t="n"/>
      <c r="X993" s="137" t="n"/>
      <c r="Y993" s="137" t="n"/>
      <c r="Z993" s="137" t="n"/>
      <c r="AB993" s="141" t="n">
        <v>1</v>
      </c>
      <c r="AC993" s="131" t="n"/>
      <c r="AD993" s="16" t="n"/>
      <c r="AE993" s="17" t="n"/>
      <c r="AF993" s="142">
        <f>DADOS_INVOC!$PX$141</f>
        <v/>
      </c>
      <c r="AG993" s="137" t="n"/>
      <c r="AH993" s="137" t="n"/>
      <c r="AI993" s="137" t="n"/>
      <c r="AJ993" s="137" t="n"/>
      <c r="AK993" s="137" t="n"/>
      <c r="AL993" s="137" t="n"/>
      <c r="AM993" s="137" t="n"/>
      <c r="AN993" s="137" t="n"/>
      <c r="AO993" s="137" t="n"/>
      <c r="AP993" s="137" t="n"/>
      <c r="AQ993" s="137" t="n"/>
      <c r="AR993" s="137" t="n"/>
      <c r="AS993" s="137" t="n"/>
    </row>
    <row r="994" hidden="1" outlineLevel="3">
      <c r="A994" s="8" t="n"/>
      <c r="B994" s="14" t="n"/>
      <c r="C994" s="137" t="n"/>
      <c r="D994" s="137" t="n"/>
      <c r="E994" s="137" t="n"/>
      <c r="F994" s="137" t="n"/>
      <c r="G994" s="137" t="n"/>
      <c r="I994" s="56" t="inlineStr">
        <is>
          <t>COMO É</t>
        </is>
      </c>
      <c r="J994" s="16" t="n"/>
      <c r="K994" s="16" t="n"/>
      <c r="L994" s="16" t="n"/>
      <c r="M994" s="17" t="n"/>
      <c r="N994" s="137" t="n"/>
      <c r="O994" s="137" t="n"/>
      <c r="P994" s="137" t="n"/>
      <c r="Q994" s="137" t="n"/>
      <c r="R994" s="137" t="n"/>
      <c r="S994" s="137" t="n"/>
      <c r="T994" s="137" t="n"/>
      <c r="U994" s="137" t="n"/>
      <c r="V994" s="137" t="n"/>
      <c r="W994" s="137" t="n"/>
      <c r="X994" s="137" t="n"/>
      <c r="Y994" s="137" t="n"/>
      <c r="Z994" s="137" t="n"/>
      <c r="AB994" s="56" t="inlineStr">
        <is>
          <t>COMO É</t>
        </is>
      </c>
      <c r="AC994" s="16" t="n"/>
      <c r="AD994" s="16" t="n"/>
      <c r="AE994" s="16" t="n"/>
      <c r="AF994" s="17" t="n"/>
      <c r="AG994" s="137" t="n"/>
      <c r="AH994" s="137" t="n"/>
      <c r="AI994" s="137" t="n"/>
      <c r="AJ994" s="137" t="n"/>
      <c r="AK994" s="137" t="n"/>
      <c r="AL994" s="137" t="n"/>
      <c r="AM994" s="137" t="n"/>
      <c r="AN994" s="137" t="n"/>
      <c r="AO994" s="137" t="n"/>
      <c r="AP994" s="137" t="n"/>
      <c r="AQ994" s="137" t="n"/>
      <c r="AR994" s="137" t="n"/>
      <c r="AS994" s="137" t="n"/>
    </row>
    <row r="995" hidden="1" outlineLevel="3">
      <c r="A995" s="8" t="n"/>
      <c r="B995" s="14" t="n"/>
      <c r="C995" s="137" t="n"/>
      <c r="D995" s="137" t="n"/>
      <c r="E995" s="137" t="n"/>
      <c r="F995" s="137" t="n"/>
      <c r="G995" s="137" t="n"/>
      <c r="I995" s="61" t="n"/>
      <c r="J995" s="19" t="n"/>
      <c r="K995" s="19" t="n"/>
      <c r="L995" s="19" t="n"/>
      <c r="M995" s="20" t="n"/>
      <c r="N995" s="137" t="n"/>
      <c r="O995" s="137" t="n"/>
      <c r="P995" s="137" t="n"/>
      <c r="Q995" s="137" t="n"/>
      <c r="R995" s="137" t="n"/>
      <c r="S995" s="137" t="n"/>
      <c r="T995" s="137" t="n"/>
      <c r="U995" s="137" t="n"/>
      <c r="V995" s="137" t="n"/>
      <c r="W995" s="137" t="n"/>
      <c r="X995" s="137" t="n"/>
      <c r="Y995" s="137" t="n"/>
      <c r="Z995" s="137" t="n"/>
      <c r="AB995" s="61" t="n"/>
      <c r="AC995" s="19" t="n"/>
      <c r="AD995" s="19" t="n"/>
      <c r="AE995" s="19" t="n"/>
      <c r="AF995" s="20" t="n"/>
      <c r="AG995" s="137" t="n"/>
      <c r="AH995" s="137" t="n"/>
      <c r="AI995" s="137" t="n"/>
      <c r="AJ995" s="137" t="n"/>
      <c r="AK995" s="137" t="n"/>
      <c r="AL995" s="137" t="n"/>
      <c r="AM995" s="137" t="n"/>
      <c r="AN995" s="137" t="n"/>
      <c r="AO995" s="137" t="n"/>
      <c r="AP995" s="137" t="n"/>
      <c r="AQ995" s="137" t="n"/>
      <c r="AR995" s="137" t="n"/>
      <c r="AS995" s="137" t="n"/>
    </row>
    <row r="996" hidden="1" outlineLevel="3">
      <c r="A996" s="8" t="n"/>
      <c r="B996" s="14" t="n"/>
      <c r="C996" s="137" t="n"/>
      <c r="D996" s="137" t="n"/>
      <c r="E996" s="137" t="n"/>
      <c r="F996" s="137" t="n"/>
      <c r="G996" s="137" t="n"/>
      <c r="I996" s="21" t="n"/>
      <c r="M996" s="22" t="n"/>
      <c r="N996" s="137" t="n"/>
      <c r="O996" s="137" t="n"/>
      <c r="P996" s="137" t="n"/>
      <c r="Q996" s="137" t="n"/>
      <c r="R996" s="137" t="n"/>
      <c r="S996" s="137" t="n"/>
      <c r="T996" s="137" t="n"/>
      <c r="U996" s="137" t="n"/>
      <c r="V996" s="137" t="n"/>
      <c r="W996" s="137" t="n"/>
      <c r="X996" s="137" t="n"/>
      <c r="Y996" s="137" t="n"/>
      <c r="Z996" s="137" t="n"/>
      <c r="AB996" s="21" t="n"/>
      <c r="AF996" s="22" t="n"/>
      <c r="AG996" s="137" t="n"/>
      <c r="AH996" s="137" t="n"/>
      <c r="AI996" s="137" t="n"/>
      <c r="AJ996" s="137" t="n"/>
      <c r="AK996" s="137" t="n"/>
      <c r="AL996" s="137" t="n"/>
      <c r="AM996" s="137" t="n"/>
      <c r="AN996" s="137" t="n"/>
      <c r="AO996" s="137" t="n"/>
      <c r="AP996" s="137" t="n"/>
      <c r="AQ996" s="137" t="n"/>
      <c r="AR996" s="137" t="n"/>
      <c r="AS996" s="137" t="n"/>
    </row>
    <row r="997" hidden="1" outlineLevel="3">
      <c r="A997" s="8" t="n"/>
      <c r="B997" s="14" t="n"/>
      <c r="C997" s="137" t="n"/>
      <c r="D997" s="137" t="n"/>
      <c r="E997" s="137" t="n"/>
      <c r="F997" s="137" t="n"/>
      <c r="G997" s="137" t="n"/>
      <c r="I997" s="23" t="n"/>
      <c r="J997" s="24" t="n"/>
      <c r="K997" s="24" t="n"/>
      <c r="L997" s="24" t="n"/>
      <c r="M997" s="25" t="n"/>
      <c r="N997" s="137" t="n"/>
      <c r="O997" s="137" t="n"/>
      <c r="P997" s="137" t="n"/>
      <c r="Q997" s="137" t="n"/>
      <c r="R997" s="137" t="n"/>
      <c r="S997" s="137" t="n"/>
      <c r="T997" s="137" t="n"/>
      <c r="U997" s="137" t="n"/>
      <c r="V997" s="137" t="n"/>
      <c r="W997" s="137" t="n"/>
      <c r="X997" s="137" t="n"/>
      <c r="Y997" s="137" t="n"/>
      <c r="Z997" s="137" t="n"/>
      <c r="AB997" s="23" t="n"/>
      <c r="AC997" s="24" t="n"/>
      <c r="AD997" s="24" t="n"/>
      <c r="AE997" s="24" t="n"/>
      <c r="AF997" s="25" t="n"/>
      <c r="AG997" s="137" t="n"/>
      <c r="AH997" s="137" t="n"/>
      <c r="AI997" s="137" t="n"/>
      <c r="AJ997" s="137" t="n"/>
      <c r="AK997" s="137" t="n"/>
      <c r="AL997" s="137" t="n"/>
      <c r="AM997" s="137" t="n"/>
      <c r="AN997" s="137" t="n"/>
      <c r="AO997" s="137" t="n"/>
      <c r="AP997" s="137" t="n"/>
      <c r="AQ997" s="137" t="n"/>
      <c r="AR997" s="137" t="n"/>
      <c r="AS997" s="137" t="n"/>
    </row>
    <row r="998" hidden="1" outlineLevel="2">
      <c r="A998" s="8" t="n"/>
      <c r="B998" s="14" t="n"/>
      <c r="C998" s="137" t="n"/>
      <c r="D998" s="137" t="n"/>
      <c r="E998" s="137" t="n"/>
      <c r="F998" s="137" t="n"/>
      <c r="G998" s="137" t="n"/>
      <c r="I998" s="95" t="inlineStr">
        <is>
          <t>Projétil</t>
        </is>
      </c>
      <c r="J998" s="17" t="n"/>
      <c r="K998" s="71">
        <f>DADOS_INVOC!$QE$63</f>
        <v/>
      </c>
      <c r="L998" s="17" t="n"/>
      <c r="M998" s="71">
        <f>DADOS_INVOC!$QA$63</f>
        <v/>
      </c>
      <c r="N998" s="137" t="n"/>
      <c r="O998" s="137" t="n"/>
      <c r="P998" s="137" t="n"/>
      <c r="Q998" s="137" t="n"/>
      <c r="R998" s="137" t="n"/>
      <c r="S998" s="137" t="n"/>
      <c r="T998" s="137" t="n"/>
      <c r="U998" s="137" t="n"/>
      <c r="V998" s="137" t="n"/>
      <c r="W998" s="137" t="n"/>
      <c r="X998" s="137" t="n"/>
      <c r="Y998" s="137" t="n"/>
      <c r="Z998" s="137" t="n"/>
      <c r="AB998" s="95" t="inlineStr">
        <is>
          <t>Projétil</t>
        </is>
      </c>
      <c r="AC998" s="17" t="n"/>
      <c r="AD998" s="71">
        <f>DADOS_INVOC!$QE$141</f>
        <v/>
      </c>
      <c r="AE998" s="17" t="n"/>
      <c r="AF998" s="71">
        <f>DADOS_INVOC!$QA$141</f>
        <v/>
      </c>
      <c r="AG998" s="137" t="n"/>
      <c r="AH998" s="137" t="n"/>
      <c r="AI998" s="137" t="n"/>
      <c r="AJ998" s="137" t="n"/>
      <c r="AK998" s="137" t="n"/>
      <c r="AL998" s="137" t="n"/>
      <c r="AM998" s="137" t="n"/>
      <c r="AN998" s="137" t="n"/>
      <c r="AO998" s="137" t="n"/>
      <c r="AP998" s="137" t="n"/>
      <c r="AQ998" s="137" t="n"/>
      <c r="AR998" s="137" t="n"/>
      <c r="AS998" s="137" t="n"/>
    </row>
    <row r="999" hidden="1" outlineLevel="2">
      <c r="A999" s="8" t="n"/>
      <c r="B999" s="14" t="n"/>
      <c r="C999" s="137" t="n"/>
      <c r="D999" s="137" t="n"/>
      <c r="E999" s="137" t="n"/>
      <c r="F999" s="137" t="n"/>
      <c r="G999" s="137" t="n"/>
      <c r="I999" s="95" t="n"/>
      <c r="J999" s="17" t="n"/>
      <c r="K999" s="95" t="n"/>
      <c r="L999" s="16" t="n"/>
      <c r="M999" s="17" t="n"/>
      <c r="N999" s="137" t="n"/>
      <c r="O999" s="137" t="n"/>
      <c r="P999" s="137" t="n"/>
      <c r="Q999" s="137" t="n"/>
      <c r="R999" s="137" t="n"/>
      <c r="S999" s="137" t="n"/>
      <c r="T999" s="137" t="n"/>
      <c r="U999" s="137" t="n"/>
      <c r="V999" s="137" t="n"/>
      <c r="W999" s="137" t="n"/>
      <c r="X999" s="137" t="n"/>
      <c r="Y999" s="137" t="n"/>
      <c r="Z999" s="137" t="n"/>
      <c r="AB999" s="95" t="n"/>
      <c r="AC999" s="17" t="n"/>
      <c r="AD999" s="95" t="n"/>
      <c r="AE999" s="16" t="n"/>
      <c r="AF999" s="17" t="n"/>
      <c r="AG999" s="137" t="n"/>
      <c r="AH999" s="137" t="n"/>
      <c r="AI999" s="137" t="n"/>
      <c r="AJ999" s="137" t="n"/>
      <c r="AK999" s="137" t="n"/>
      <c r="AL999" s="137" t="n"/>
      <c r="AM999" s="137" t="n"/>
      <c r="AN999" s="137" t="n"/>
      <c r="AO999" s="137" t="n"/>
      <c r="AP999" s="137" t="n"/>
      <c r="AQ999" s="137" t="n"/>
      <c r="AR999" s="137" t="n"/>
      <c r="AS999" s="137" t="n"/>
    </row>
    <row r="1000" hidden="1" outlineLevel="2">
      <c r="A1000" s="8" t="n"/>
      <c r="B1000" s="14" t="n"/>
      <c r="C1000" s="137" t="n"/>
      <c r="D1000" s="137" t="n"/>
      <c r="E1000" s="137" t="n"/>
      <c r="F1000" s="137" t="n"/>
      <c r="G1000" s="137" t="n"/>
      <c r="I1000" s="95">
        <f>DADOS_INVOC!$QB$63</f>
        <v/>
      </c>
      <c r="J1000" s="17" t="n"/>
      <c r="K1000" s="95">
        <f>DADOS_INVOC!$QD$63</f>
        <v/>
      </c>
      <c r="L1000" s="16" t="n"/>
      <c r="M1000" s="17" t="n"/>
      <c r="N1000" s="137" t="n"/>
      <c r="O1000" s="137" t="n"/>
      <c r="P1000" s="137" t="n"/>
      <c r="Q1000" s="137" t="n"/>
      <c r="R1000" s="137" t="n"/>
      <c r="S1000" s="137" t="n"/>
      <c r="T1000" s="137" t="n"/>
      <c r="U1000" s="137" t="n"/>
      <c r="V1000" s="137" t="n"/>
      <c r="W1000" s="137" t="n"/>
      <c r="X1000" s="137" t="n"/>
      <c r="Y1000" s="137" t="n"/>
      <c r="Z1000" s="137" t="n"/>
      <c r="AB1000" s="95">
        <f>DADOS_INVOC!$QB$141</f>
        <v/>
      </c>
      <c r="AC1000" s="17" t="n"/>
      <c r="AD1000" s="95">
        <f>DADOS_INVOC!$QD$141</f>
        <v/>
      </c>
      <c r="AE1000" s="16" t="n"/>
      <c r="AF1000" s="17" t="n"/>
      <c r="AG1000" s="137" t="n"/>
      <c r="AH1000" s="137" t="n"/>
      <c r="AI1000" s="137" t="n"/>
      <c r="AJ1000" s="137" t="n"/>
      <c r="AK1000" s="137" t="n"/>
      <c r="AL1000" s="137" t="n"/>
      <c r="AM1000" s="137" t="n"/>
      <c r="AN1000" s="137" t="n"/>
      <c r="AO1000" s="137" t="n"/>
      <c r="AP1000" s="137" t="n"/>
      <c r="AQ1000" s="137" t="n"/>
      <c r="AR1000" s="137" t="n"/>
      <c r="AS1000" s="137" t="n"/>
    </row>
    <row r="1001" hidden="1" outlineLevel="2">
      <c r="A1001" s="8" t="n"/>
      <c r="B1001" s="14" t="n"/>
      <c r="C1001" s="137" t="n"/>
      <c r="D1001" s="137" t="n"/>
      <c r="E1001" s="137" t="n"/>
      <c r="F1001" s="137" t="n"/>
      <c r="G1001" s="137" t="n"/>
      <c r="I1001" s="143">
        <f>DADOS_INVOC!$QJ$63</f>
        <v/>
      </c>
      <c r="J1001" s="16" t="n"/>
      <c r="K1001" s="16" t="n"/>
      <c r="L1001" s="16" t="n"/>
      <c r="M1001" s="17" t="n"/>
      <c r="N1001" s="137" t="n"/>
      <c r="O1001" s="137" t="n"/>
      <c r="P1001" s="137" t="n"/>
      <c r="Q1001" s="137" t="n"/>
      <c r="R1001" s="137" t="n"/>
      <c r="S1001" s="137" t="n"/>
      <c r="T1001" s="137" t="n"/>
      <c r="U1001" s="137" t="n"/>
      <c r="V1001" s="137" t="n"/>
      <c r="W1001" s="137" t="n"/>
      <c r="X1001" s="137" t="n"/>
      <c r="Y1001" s="137" t="n"/>
      <c r="Z1001" s="137" t="n"/>
      <c r="AB1001" s="143">
        <f>DADOS_INVOC!$QJ$141</f>
        <v/>
      </c>
      <c r="AC1001" s="16" t="n"/>
      <c r="AD1001" s="16" t="n"/>
      <c r="AE1001" s="16" t="n"/>
      <c r="AF1001" s="17" t="n"/>
      <c r="AG1001" s="137" t="n"/>
      <c r="AH1001" s="137" t="n"/>
      <c r="AI1001" s="137" t="n"/>
      <c r="AJ1001" s="137" t="n"/>
      <c r="AK1001" s="137" t="n"/>
      <c r="AL1001" s="137" t="n"/>
      <c r="AM1001" s="137" t="n"/>
      <c r="AN1001" s="137" t="n"/>
      <c r="AO1001" s="137" t="n"/>
      <c r="AP1001" s="137" t="n"/>
      <c r="AQ1001" s="137" t="n"/>
      <c r="AR1001" s="137" t="n"/>
      <c r="AS1001" s="137" t="n"/>
    </row>
    <row r="1002" hidden="1" outlineLevel="3">
      <c r="A1002" s="8" t="n"/>
      <c r="B1002" s="14" t="n"/>
      <c r="C1002" s="137" t="n"/>
      <c r="D1002" s="137" t="n"/>
      <c r="E1002" s="137" t="n"/>
      <c r="F1002" s="137" t="n"/>
      <c r="G1002" s="137" t="n"/>
      <c r="I1002" s="56" t="inlineStr">
        <is>
          <t>MELHORIAS</t>
        </is>
      </c>
      <c r="J1002" s="144" t="n"/>
      <c r="K1002" s="16" t="n"/>
      <c r="L1002" s="17" t="n"/>
      <c r="M1002" s="143">
        <f>DADOS_INVOC!$QM$63</f>
        <v/>
      </c>
      <c r="N1002" s="137" t="n"/>
      <c r="O1002" s="137" t="n"/>
      <c r="P1002" s="137" t="n"/>
      <c r="Q1002" s="137" t="n"/>
      <c r="R1002" s="137" t="n"/>
      <c r="S1002" s="137" t="n"/>
      <c r="T1002" s="137" t="n"/>
      <c r="U1002" s="137" t="n"/>
      <c r="V1002" s="137" t="n"/>
      <c r="W1002" s="137" t="n"/>
      <c r="X1002" s="137" t="n"/>
      <c r="Y1002" s="137" t="n"/>
      <c r="Z1002" s="137" t="n"/>
      <c r="AB1002" s="56" t="inlineStr">
        <is>
          <t>MELHORIAS</t>
        </is>
      </c>
      <c r="AC1002" s="144" t="n"/>
      <c r="AD1002" s="16" t="n"/>
      <c r="AE1002" s="17" t="n"/>
      <c r="AF1002" s="143">
        <f>DADOS_INVOC!$QM$141</f>
        <v/>
      </c>
      <c r="AG1002" s="137" t="n"/>
      <c r="AH1002" s="137" t="n"/>
      <c r="AI1002" s="137" t="n"/>
      <c r="AJ1002" s="137" t="n"/>
      <c r="AK1002" s="137" t="n"/>
      <c r="AL1002" s="137" t="n"/>
      <c r="AM1002" s="137" t="n"/>
      <c r="AN1002" s="137" t="n"/>
      <c r="AO1002" s="137" t="n"/>
      <c r="AP1002" s="137" t="n"/>
      <c r="AQ1002" s="137" t="n"/>
      <c r="AR1002" s="137" t="n"/>
      <c r="AS1002" s="137" t="n"/>
    </row>
    <row r="1003" hidden="1" outlineLevel="3">
      <c r="A1003" s="8" t="n"/>
      <c r="B1003" s="14" t="n"/>
      <c r="C1003" s="137" t="n"/>
      <c r="D1003" s="137" t="n"/>
      <c r="E1003" s="137" t="n"/>
      <c r="F1003" s="137" t="n"/>
      <c r="G1003" s="137" t="n"/>
      <c r="I1003" s="66" t="n"/>
      <c r="J1003" s="144" t="n"/>
      <c r="K1003" s="16" t="n"/>
      <c r="L1003" s="17" t="n"/>
      <c r="M1003" s="143">
        <f>DADOS_INVOC!$QN$63</f>
        <v/>
      </c>
      <c r="N1003" s="137" t="n"/>
      <c r="O1003" s="137" t="n"/>
      <c r="P1003" s="137" t="n"/>
      <c r="Q1003" s="137" t="n"/>
      <c r="R1003" s="137" t="n"/>
      <c r="S1003" s="137" t="n"/>
      <c r="T1003" s="137" t="n"/>
      <c r="U1003" s="137" t="n"/>
      <c r="V1003" s="137" t="n"/>
      <c r="W1003" s="137" t="n"/>
      <c r="X1003" s="137" t="n"/>
      <c r="Y1003" s="137" t="n"/>
      <c r="Z1003" s="137" t="n"/>
      <c r="AB1003" s="66" t="n"/>
      <c r="AC1003" s="144" t="n"/>
      <c r="AD1003" s="16" t="n"/>
      <c r="AE1003" s="17" t="n"/>
      <c r="AF1003" s="143">
        <f>DADOS_INVOC!$QN$141</f>
        <v/>
      </c>
      <c r="AG1003" s="137" t="n"/>
      <c r="AH1003" s="137" t="n"/>
      <c r="AI1003" s="137" t="n"/>
      <c r="AJ1003" s="137" t="n"/>
      <c r="AK1003" s="137" t="n"/>
      <c r="AL1003" s="137" t="n"/>
      <c r="AM1003" s="137" t="n"/>
      <c r="AN1003" s="137" t="n"/>
      <c r="AO1003" s="137" t="n"/>
      <c r="AP1003" s="137" t="n"/>
      <c r="AQ1003" s="137" t="n"/>
      <c r="AR1003" s="137" t="n"/>
      <c r="AS1003" s="137" t="n"/>
    </row>
    <row r="1004" hidden="1" outlineLevel="3">
      <c r="A1004" s="8" t="n"/>
      <c r="B1004" s="14" t="n"/>
      <c r="C1004" s="137" t="n"/>
      <c r="D1004" s="137" t="n"/>
      <c r="E1004" s="137" t="n"/>
      <c r="F1004" s="137" t="n"/>
      <c r="G1004" s="137" t="n"/>
      <c r="I1004" s="66" t="n"/>
      <c r="J1004" s="144" t="n"/>
      <c r="K1004" s="16" t="n"/>
      <c r="L1004" s="17" t="n"/>
      <c r="M1004" s="143">
        <f>DADOS_INVOC!$QO$63</f>
        <v/>
      </c>
      <c r="N1004" s="137" t="n"/>
      <c r="O1004" s="137" t="n"/>
      <c r="P1004" s="137" t="n"/>
      <c r="Q1004" s="137" t="n"/>
      <c r="R1004" s="137" t="n"/>
      <c r="S1004" s="137" t="n"/>
      <c r="T1004" s="137" t="n"/>
      <c r="U1004" s="137" t="n"/>
      <c r="V1004" s="137" t="n"/>
      <c r="W1004" s="137" t="n"/>
      <c r="X1004" s="137" t="n"/>
      <c r="Y1004" s="137" t="n"/>
      <c r="Z1004" s="137" t="n"/>
      <c r="AB1004" s="66" t="n"/>
      <c r="AC1004" s="144" t="n"/>
      <c r="AD1004" s="16" t="n"/>
      <c r="AE1004" s="17" t="n"/>
      <c r="AF1004" s="143">
        <f>DADOS_INVOC!$QO$141</f>
        <v/>
      </c>
      <c r="AG1004" s="137" t="n"/>
      <c r="AH1004" s="137" t="n"/>
      <c r="AI1004" s="137" t="n"/>
      <c r="AJ1004" s="137" t="n"/>
      <c r="AK1004" s="137" t="n"/>
      <c r="AL1004" s="137" t="n"/>
      <c r="AM1004" s="137" t="n"/>
      <c r="AN1004" s="137" t="n"/>
      <c r="AO1004" s="137" t="n"/>
      <c r="AP1004" s="137" t="n"/>
      <c r="AQ1004" s="137" t="n"/>
      <c r="AR1004" s="137" t="n"/>
      <c r="AS1004" s="137" t="n"/>
    </row>
    <row r="1005" hidden="1" outlineLevel="3">
      <c r="A1005" s="8" t="n"/>
      <c r="B1005" s="14" t="n"/>
      <c r="C1005" s="137" t="n"/>
      <c r="D1005" s="137" t="n"/>
      <c r="E1005" s="137" t="n"/>
      <c r="F1005" s="137" t="n"/>
      <c r="G1005" s="137" t="n"/>
      <c r="I1005" s="128" t="n"/>
      <c r="J1005" s="144" t="n"/>
      <c r="K1005" s="16" t="n"/>
      <c r="L1005" s="17" t="n"/>
      <c r="M1005" s="143">
        <f>DADOS_INVOC!$QP$63</f>
        <v/>
      </c>
      <c r="N1005" s="137" t="n"/>
      <c r="O1005" s="137" t="n"/>
      <c r="P1005" s="137" t="n"/>
      <c r="Q1005" s="137" t="n"/>
      <c r="R1005" s="137" t="n"/>
      <c r="S1005" s="137" t="n"/>
      <c r="T1005" s="137" t="n"/>
      <c r="U1005" s="137" t="n"/>
      <c r="V1005" s="137" t="n"/>
      <c r="W1005" s="137" t="n"/>
      <c r="X1005" s="137" t="n"/>
      <c r="Y1005" s="137" t="n"/>
      <c r="Z1005" s="137" t="n"/>
      <c r="AB1005" s="128" t="n"/>
      <c r="AC1005" s="144" t="n"/>
      <c r="AD1005" s="16" t="n"/>
      <c r="AE1005" s="17" t="n"/>
      <c r="AF1005" s="143">
        <f>DADOS_INVOC!$QP$141</f>
        <v/>
      </c>
      <c r="AG1005" s="137" t="n"/>
      <c r="AH1005" s="137" t="n"/>
      <c r="AI1005" s="137" t="n"/>
      <c r="AJ1005" s="137" t="n"/>
      <c r="AK1005" s="137" t="n"/>
      <c r="AL1005" s="137" t="n"/>
      <c r="AM1005" s="137" t="n"/>
      <c r="AN1005" s="137" t="n"/>
      <c r="AO1005" s="137" t="n"/>
      <c r="AP1005" s="137" t="n"/>
      <c r="AQ1005" s="137" t="n"/>
      <c r="AR1005" s="137" t="n"/>
      <c r="AS1005" s="137" t="n"/>
    </row>
    <row r="1006" hidden="1" outlineLevel="3">
      <c r="A1006" s="8" t="n"/>
      <c r="B1006" s="14" t="n"/>
      <c r="C1006" s="137" t="n"/>
      <c r="D1006" s="137" t="n"/>
      <c r="E1006" s="137" t="n"/>
      <c r="F1006" s="137" t="n"/>
      <c r="G1006" s="137" t="n"/>
      <c r="I1006" s="56" t="inlineStr">
        <is>
          <t>RESTRIÇÕES</t>
        </is>
      </c>
      <c r="J1006" s="144" t="n"/>
      <c r="K1006" s="16" t="n"/>
      <c r="L1006" s="17" t="n"/>
      <c r="M1006" s="143">
        <f>DADOS_INVOC!$QQ$63</f>
        <v/>
      </c>
      <c r="N1006" s="137" t="n"/>
      <c r="O1006" s="137" t="n"/>
      <c r="P1006" s="137" t="n"/>
      <c r="Q1006" s="137" t="n"/>
      <c r="R1006" s="137" t="n"/>
      <c r="S1006" s="137" t="n"/>
      <c r="T1006" s="137" t="n"/>
      <c r="U1006" s="137" t="n"/>
      <c r="V1006" s="137" t="n"/>
      <c r="W1006" s="137" t="n"/>
      <c r="X1006" s="137" t="n"/>
      <c r="Y1006" s="137" t="n"/>
      <c r="Z1006" s="137" t="n"/>
      <c r="AB1006" s="56" t="inlineStr">
        <is>
          <t>RESTRIÇÕES</t>
        </is>
      </c>
      <c r="AC1006" s="144" t="n"/>
      <c r="AD1006" s="16" t="n"/>
      <c r="AE1006" s="17" t="n"/>
      <c r="AF1006" s="143">
        <f>DADOS_INVOC!$QQ$141</f>
        <v/>
      </c>
      <c r="AG1006" s="137" t="n"/>
      <c r="AH1006" s="137" t="n"/>
      <c r="AI1006" s="137" t="n"/>
      <c r="AJ1006" s="137" t="n"/>
      <c r="AK1006" s="137" t="n"/>
      <c r="AL1006" s="137" t="n"/>
      <c r="AM1006" s="137" t="n"/>
      <c r="AN1006" s="137" t="n"/>
      <c r="AO1006" s="137" t="n"/>
      <c r="AP1006" s="137" t="n"/>
      <c r="AQ1006" s="137" t="n"/>
      <c r="AR1006" s="137" t="n"/>
      <c r="AS1006" s="137" t="n"/>
    </row>
    <row r="1007" hidden="1" outlineLevel="3">
      <c r="A1007" s="8" t="n"/>
      <c r="B1007" s="14" t="n"/>
      <c r="C1007" s="137" t="n"/>
      <c r="D1007" s="137" t="n"/>
      <c r="E1007" s="137" t="n"/>
      <c r="F1007" s="137" t="n"/>
      <c r="G1007" s="137" t="n"/>
      <c r="I1007" s="128" t="n"/>
      <c r="J1007" s="144" t="n"/>
      <c r="K1007" s="16" t="n"/>
      <c r="L1007" s="17" t="n"/>
      <c r="M1007" s="143">
        <f>DADOS_INVOC!$QR$63</f>
        <v/>
      </c>
      <c r="N1007" s="137" t="n"/>
      <c r="O1007" s="137" t="n"/>
      <c r="P1007" s="137" t="n"/>
      <c r="Q1007" s="137" t="n"/>
      <c r="R1007" s="137" t="n"/>
      <c r="S1007" s="137" t="n"/>
      <c r="T1007" s="137" t="n"/>
      <c r="U1007" s="137" t="n"/>
      <c r="V1007" s="137" t="n"/>
      <c r="W1007" s="137" t="n"/>
      <c r="X1007" s="137" t="n"/>
      <c r="Y1007" s="137" t="n"/>
      <c r="Z1007" s="137" t="n"/>
      <c r="AB1007" s="128" t="n"/>
      <c r="AC1007" s="144" t="n"/>
      <c r="AD1007" s="16" t="n"/>
      <c r="AE1007" s="17" t="n"/>
      <c r="AF1007" s="143">
        <f>DADOS_INVOC!$QR$141</f>
        <v/>
      </c>
      <c r="AG1007" s="137" t="n"/>
      <c r="AH1007" s="137" t="n"/>
      <c r="AI1007" s="137" t="n"/>
      <c r="AJ1007" s="137" t="n"/>
      <c r="AK1007" s="137" t="n"/>
      <c r="AL1007" s="137" t="n"/>
      <c r="AM1007" s="137" t="n"/>
      <c r="AN1007" s="137" t="n"/>
      <c r="AO1007" s="137" t="n"/>
      <c r="AP1007" s="137" t="n"/>
      <c r="AQ1007" s="137" t="n"/>
      <c r="AR1007" s="137" t="n"/>
      <c r="AS1007" s="137" t="n"/>
    </row>
    <row r="1008" hidden="1" outlineLevel="3">
      <c r="A1008" s="8" t="n"/>
      <c r="B1008" s="14" t="n"/>
      <c r="C1008" s="137" t="n"/>
      <c r="D1008" s="137" t="n"/>
      <c r="E1008" s="137" t="n"/>
      <c r="F1008" s="137" t="n"/>
      <c r="G1008" s="137" t="n"/>
      <c r="I1008" s="56" t="inlineStr">
        <is>
          <t>CONTA</t>
        </is>
      </c>
      <c r="J1008" s="145">
        <f>DADOS_INVOC!$QK$63</f>
        <v/>
      </c>
      <c r="K1008" s="16" t="n"/>
      <c r="L1008" s="16" t="n"/>
      <c r="M1008" s="17" t="n"/>
      <c r="N1008" s="137" t="n"/>
      <c r="O1008" s="137" t="n"/>
      <c r="P1008" s="137" t="n"/>
      <c r="Q1008" s="137" t="n"/>
      <c r="R1008" s="137" t="n"/>
      <c r="S1008" s="137" t="n"/>
      <c r="T1008" s="137" t="n"/>
      <c r="U1008" s="137" t="n"/>
      <c r="V1008" s="137" t="n"/>
      <c r="W1008" s="137" t="n"/>
      <c r="X1008" s="137" t="n"/>
      <c r="Y1008" s="137" t="n"/>
      <c r="Z1008" s="137" t="n"/>
      <c r="AB1008" s="56" t="inlineStr">
        <is>
          <t>CONTA</t>
        </is>
      </c>
      <c r="AC1008" s="145">
        <f>DADOS_INVOC!$QK$141</f>
        <v/>
      </c>
      <c r="AD1008" s="16" t="n"/>
      <c r="AE1008" s="16" t="n"/>
      <c r="AF1008" s="17" t="n"/>
      <c r="AG1008" s="137" t="n"/>
      <c r="AH1008" s="137" t="n"/>
      <c r="AI1008" s="137" t="n"/>
      <c r="AJ1008" s="137" t="n"/>
      <c r="AK1008" s="137" t="n"/>
      <c r="AL1008" s="137" t="n"/>
      <c r="AM1008" s="137" t="n"/>
      <c r="AN1008" s="137" t="n"/>
      <c r="AO1008" s="137" t="n"/>
      <c r="AP1008" s="137" t="n"/>
      <c r="AQ1008" s="137" t="n"/>
      <c r="AR1008" s="137" t="n"/>
      <c r="AS1008" s="137" t="n"/>
    </row>
    <row r="1009" hidden="1" outlineLevel="3">
      <c r="A1009" s="8" t="n"/>
      <c r="B1009" s="14" t="n"/>
      <c r="C1009" s="137" t="n"/>
      <c r="D1009" s="137" t="n"/>
      <c r="E1009" s="137" t="n"/>
      <c r="F1009" s="137" t="n"/>
      <c r="G1009" s="137" t="n"/>
      <c r="I1009" s="56" t="inlineStr">
        <is>
          <t>AMPLIAR</t>
        </is>
      </c>
      <c r="J1009" s="145">
        <f>DADOS_INVOC!$QL$63</f>
        <v/>
      </c>
      <c r="K1009" s="19" t="n"/>
      <c r="L1009" s="19" t="n"/>
      <c r="M1009" s="20" t="n"/>
      <c r="N1009" s="137" t="n"/>
      <c r="O1009" s="137" t="n"/>
      <c r="P1009" s="137" t="n"/>
      <c r="Q1009" s="137" t="n"/>
      <c r="R1009" s="137" t="n"/>
      <c r="S1009" s="137" t="n"/>
      <c r="T1009" s="137" t="n"/>
      <c r="U1009" s="137" t="n"/>
      <c r="V1009" s="137" t="n"/>
      <c r="W1009" s="137" t="n"/>
      <c r="X1009" s="137" t="n"/>
      <c r="Y1009" s="137" t="n"/>
      <c r="Z1009" s="137" t="n"/>
      <c r="AB1009" s="56" t="inlineStr">
        <is>
          <t>AMPLIAR</t>
        </is>
      </c>
      <c r="AC1009" s="145">
        <f>DADOS_INVOC!$QL$141</f>
        <v/>
      </c>
      <c r="AD1009" s="19" t="n"/>
      <c r="AE1009" s="19" t="n"/>
      <c r="AF1009" s="20" t="n"/>
      <c r="AG1009" s="137" t="n"/>
      <c r="AH1009" s="137" t="n"/>
      <c r="AI1009" s="137" t="n"/>
      <c r="AJ1009" s="137" t="n"/>
      <c r="AK1009" s="137" t="n"/>
      <c r="AL1009" s="137" t="n"/>
      <c r="AM1009" s="137" t="n"/>
      <c r="AN1009" s="137" t="n"/>
      <c r="AO1009" s="137" t="n"/>
      <c r="AP1009" s="137" t="n"/>
      <c r="AQ1009" s="137" t="n"/>
      <c r="AR1009" s="137" t="n"/>
      <c r="AS1009" s="137" t="n"/>
    </row>
    <row r="1010" hidden="1" outlineLevel="3">
      <c r="A1010" s="8" t="n"/>
      <c r="B1010" s="14" t="n"/>
      <c r="C1010" s="137" t="n"/>
      <c r="D1010" s="137" t="n"/>
      <c r="E1010" s="137" t="n"/>
      <c r="F1010" s="137" t="n"/>
      <c r="G1010" s="137" t="n"/>
      <c r="I1010" s="128" t="n"/>
      <c r="J1010" s="23" t="n"/>
      <c r="K1010" s="24" t="n"/>
      <c r="L1010" s="24" t="n"/>
      <c r="M1010" s="25" t="n"/>
      <c r="N1010" s="137" t="n"/>
      <c r="O1010" s="137" t="n"/>
      <c r="P1010" s="137" t="n"/>
      <c r="Q1010" s="137" t="n"/>
      <c r="R1010" s="137" t="n"/>
      <c r="S1010" s="137" t="n"/>
      <c r="T1010" s="137" t="n"/>
      <c r="U1010" s="137" t="n"/>
      <c r="V1010" s="137" t="n"/>
      <c r="W1010" s="137" t="n"/>
      <c r="X1010" s="137" t="n"/>
      <c r="Y1010" s="137" t="n"/>
      <c r="Z1010" s="137" t="n"/>
      <c r="AB1010" s="128" t="n"/>
      <c r="AC1010" s="23" t="n"/>
      <c r="AD1010" s="24" t="n"/>
      <c r="AE1010" s="24" t="n"/>
      <c r="AF1010" s="25" t="n"/>
      <c r="AG1010" s="137" t="n"/>
      <c r="AH1010" s="137" t="n"/>
      <c r="AI1010" s="137" t="n"/>
      <c r="AJ1010" s="137" t="n"/>
      <c r="AK1010" s="137" t="n"/>
      <c r="AL1010" s="137" t="n"/>
      <c r="AM1010" s="137" t="n"/>
      <c r="AN1010" s="137" t="n"/>
      <c r="AO1010" s="137" t="n"/>
      <c r="AP1010" s="137" t="n"/>
      <c r="AQ1010" s="137" t="n"/>
      <c r="AR1010" s="137" t="n"/>
      <c r="AS1010" s="137" t="n"/>
    </row>
    <row r="1011" hidden="1" outlineLevel="3">
      <c r="A1011" s="8" t="n"/>
      <c r="B1011" s="14" t="n"/>
      <c r="C1011" s="137" t="n"/>
      <c r="D1011" s="137" t="n"/>
      <c r="E1011" s="137" t="n"/>
      <c r="F1011" s="137" t="n"/>
      <c r="G1011" s="137" t="n"/>
      <c r="I1011" s="145">
        <f>DADOS_INVOC!$PY$63</f>
        <v/>
      </c>
      <c r="J1011" s="19" t="n"/>
      <c r="K1011" s="19" t="n"/>
      <c r="L1011" s="19" t="n"/>
      <c r="M1011" s="20" t="n"/>
      <c r="N1011" s="137" t="n"/>
      <c r="O1011" s="137" t="n"/>
      <c r="P1011" s="137" t="n"/>
      <c r="Q1011" s="137" t="n"/>
      <c r="R1011" s="137" t="n"/>
      <c r="S1011" s="137" t="n"/>
      <c r="T1011" s="137" t="n"/>
      <c r="U1011" s="137" t="n"/>
      <c r="V1011" s="137" t="n"/>
      <c r="W1011" s="137" t="n"/>
      <c r="X1011" s="137" t="n"/>
      <c r="Y1011" s="137" t="n"/>
      <c r="Z1011" s="137" t="n"/>
      <c r="AB1011" s="145">
        <f>DADOS_INVOC!$PY$141</f>
        <v/>
      </c>
      <c r="AC1011" s="19" t="n"/>
      <c r="AD1011" s="19" t="n"/>
      <c r="AE1011" s="19" t="n"/>
      <c r="AF1011" s="20" t="n"/>
      <c r="AG1011" s="137" t="n"/>
      <c r="AH1011" s="137" t="n"/>
      <c r="AI1011" s="137" t="n"/>
      <c r="AJ1011" s="137" t="n"/>
      <c r="AK1011" s="137" t="n"/>
      <c r="AL1011" s="137" t="n"/>
      <c r="AM1011" s="137" t="n"/>
      <c r="AN1011" s="137" t="n"/>
      <c r="AO1011" s="137" t="n"/>
      <c r="AP1011" s="137" t="n"/>
      <c r="AQ1011" s="137" t="n"/>
      <c r="AR1011" s="137" t="n"/>
      <c r="AS1011" s="137" t="n"/>
    </row>
    <row r="1012" hidden="1" outlineLevel="3">
      <c r="A1012" s="8" t="n"/>
      <c r="B1012" s="14" t="n"/>
      <c r="C1012" s="137" t="n"/>
      <c r="D1012" s="137" t="n"/>
      <c r="E1012" s="137" t="n"/>
      <c r="F1012" s="137" t="n"/>
      <c r="G1012" s="137" t="n"/>
      <c r="I1012" s="23" t="n"/>
      <c r="J1012" s="24" t="n"/>
      <c r="K1012" s="24" t="n"/>
      <c r="L1012" s="24" t="n"/>
      <c r="M1012" s="25" t="n"/>
      <c r="N1012" s="137" t="n"/>
      <c r="O1012" s="137" t="n"/>
      <c r="P1012" s="137" t="n"/>
      <c r="Q1012" s="137" t="n"/>
      <c r="R1012" s="137" t="n"/>
      <c r="S1012" s="137" t="n"/>
      <c r="T1012" s="137" t="n"/>
      <c r="U1012" s="137" t="n"/>
      <c r="V1012" s="137" t="n"/>
      <c r="W1012" s="137" t="n"/>
      <c r="X1012" s="137" t="n"/>
      <c r="Y1012" s="137" t="n"/>
      <c r="Z1012" s="137" t="n"/>
      <c r="AB1012" s="23" t="n"/>
      <c r="AC1012" s="24" t="n"/>
      <c r="AD1012" s="24" t="n"/>
      <c r="AE1012" s="24" t="n"/>
      <c r="AF1012" s="25" t="n"/>
      <c r="AG1012" s="137" t="n"/>
      <c r="AH1012" s="137" t="n"/>
      <c r="AI1012" s="137" t="n"/>
      <c r="AJ1012" s="137" t="n"/>
      <c r="AK1012" s="137" t="n"/>
      <c r="AL1012" s="137" t="n"/>
      <c r="AM1012" s="137" t="n"/>
      <c r="AN1012" s="137" t="n"/>
      <c r="AO1012" s="137" t="n"/>
      <c r="AP1012" s="137" t="n"/>
      <c r="AQ1012" s="137" t="n"/>
      <c r="AR1012" s="137" t="n"/>
      <c r="AS1012" s="137" t="n"/>
    </row>
    <row r="1013" hidden="1" outlineLevel="1">
      <c r="A1013" s="8" t="n"/>
      <c r="B1013" s="14" t="n"/>
      <c r="C1013" s="137" t="n"/>
      <c r="D1013" s="137" t="n"/>
      <c r="E1013" s="137" t="n"/>
      <c r="F1013" s="137" t="n"/>
      <c r="G1013" s="137" t="n"/>
      <c r="I1013" s="137" t="n"/>
      <c r="J1013" s="137" t="n"/>
      <c r="K1013" s="137" t="n"/>
      <c r="L1013" s="137" t="n"/>
      <c r="M1013" s="137" t="n"/>
      <c r="N1013" s="137" t="n"/>
      <c r="O1013" s="137" t="n"/>
      <c r="P1013" s="137" t="n"/>
      <c r="Q1013" s="137" t="n"/>
      <c r="R1013" s="137" t="n"/>
      <c r="S1013" s="137" t="n"/>
      <c r="T1013" s="137" t="n"/>
      <c r="U1013" s="137" t="n"/>
      <c r="V1013" s="137" t="n"/>
      <c r="W1013" s="137" t="n"/>
      <c r="X1013" s="137" t="n"/>
      <c r="Y1013" s="137" t="n"/>
      <c r="Z1013" s="137" t="n"/>
      <c r="AB1013" s="137" t="n"/>
      <c r="AC1013" s="137" t="n"/>
      <c r="AD1013" s="137" t="n"/>
      <c r="AE1013" s="137" t="n"/>
      <c r="AF1013" s="137" t="n"/>
      <c r="AG1013" s="137" t="n"/>
      <c r="AH1013" s="137" t="n"/>
      <c r="AI1013" s="137" t="n"/>
      <c r="AJ1013" s="137" t="n"/>
      <c r="AK1013" s="137" t="n"/>
      <c r="AL1013" s="137" t="n"/>
      <c r="AM1013" s="137" t="n"/>
      <c r="AN1013" s="137" t="n"/>
      <c r="AO1013" s="137" t="n"/>
      <c r="AP1013" s="137" t="n"/>
      <c r="AQ1013" s="137" t="n"/>
      <c r="AR1013" s="137" t="n"/>
      <c r="AS1013" s="137" t="n"/>
    </row>
    <row r="1014" hidden="1" outlineLevel="1">
      <c r="A1014" s="8" t="n"/>
      <c r="B1014" s="14" t="n"/>
      <c r="C1014" s="137" t="n"/>
      <c r="D1014" s="137" t="n"/>
      <c r="E1014" s="137" t="n"/>
      <c r="F1014" s="137" t="n"/>
      <c r="G1014" s="137" t="n"/>
      <c r="I1014" s="146" t="inlineStr">
        <is>
          <t>REPERTÓRIO DA TRILHA · só o Evocador: as escolhas a mais da Invocação Principal e do Repertório do Conjunto</t>
        </is>
      </c>
      <c r="J1014" s="16" t="n"/>
      <c r="K1014" s="16" t="n"/>
      <c r="L1014" s="16" t="n"/>
      <c r="M1014" s="16" t="n"/>
      <c r="N1014" s="16" t="n"/>
      <c r="O1014" s="16" t="n"/>
      <c r="P1014" s="16" t="n"/>
      <c r="Q1014" s="16" t="n"/>
      <c r="R1014" s="16" t="n"/>
      <c r="S1014" s="16" t="n"/>
      <c r="T1014" s="16" t="n"/>
      <c r="U1014" s="16" t="n"/>
      <c r="V1014" s="16" t="n"/>
      <c r="W1014" s="16" t="n"/>
      <c r="X1014" s="16" t="n"/>
      <c r="Y1014" s="17" t="n"/>
      <c r="Z1014" s="137" t="n"/>
      <c r="AB1014" s="146" t="inlineStr">
        <is>
          <t>REPERTÓRIO DA TRILHA · só o Evocador: as escolhas a mais da Invocação Principal e do Repertório do Conjunto</t>
        </is>
      </c>
      <c r="AC1014" s="16" t="n"/>
      <c r="AD1014" s="16" t="n"/>
      <c r="AE1014" s="16" t="n"/>
      <c r="AF1014" s="16" t="n"/>
      <c r="AG1014" s="16" t="n"/>
      <c r="AH1014" s="16" t="n"/>
      <c r="AI1014" s="16" t="n"/>
      <c r="AJ1014" s="16" t="n"/>
      <c r="AK1014" s="16" t="n"/>
      <c r="AL1014" s="16" t="n"/>
      <c r="AM1014" s="16" t="n"/>
      <c r="AN1014" s="16" t="n"/>
      <c r="AO1014" s="16" t="n"/>
      <c r="AP1014" s="16" t="n"/>
      <c r="AQ1014" s="16" t="n"/>
      <c r="AR1014" s="17" t="n"/>
      <c r="AS1014" s="137" t="n"/>
    </row>
    <row r="1015" hidden="1" outlineLevel="2">
      <c r="A1015" s="8" t="n"/>
      <c r="B1015" s="14" t="n"/>
      <c r="C1015" s="137" t="n"/>
      <c r="D1015" s="137" t="n"/>
      <c r="E1015" s="137" t="n"/>
      <c r="F1015" s="137" t="n"/>
      <c r="G1015" s="137" t="n"/>
      <c r="I1015" s="137" t="n"/>
      <c r="J1015" s="137" t="n"/>
      <c r="K1015" s="137" t="n"/>
      <c r="L1015" s="137" t="n"/>
      <c r="M1015" s="137" t="n"/>
      <c r="N1015" s="137" t="n"/>
      <c r="O1015" s="137" t="n"/>
      <c r="P1015" s="137" t="n"/>
      <c r="Q1015" s="137" t="n"/>
      <c r="R1015" s="137" t="n"/>
      <c r="S1015" s="137" t="n"/>
      <c r="T1015" s="137" t="n"/>
      <c r="U1015" s="137" t="n"/>
      <c r="V1015" s="137" t="n"/>
      <c r="W1015" s="137" t="n"/>
      <c r="X1015" s="137" t="n"/>
      <c r="Y1015" s="137" t="n"/>
      <c r="Z1015" s="137" t="n"/>
      <c r="AB1015" s="137" t="n"/>
      <c r="AC1015" s="137" t="n"/>
      <c r="AD1015" s="137" t="n"/>
      <c r="AE1015" s="137" t="n"/>
      <c r="AF1015" s="137" t="n"/>
      <c r="AG1015" s="137" t="n"/>
      <c r="AH1015" s="137" t="n"/>
      <c r="AI1015" s="137" t="n"/>
      <c r="AJ1015" s="137" t="n"/>
      <c r="AK1015" s="137" t="n"/>
      <c r="AL1015" s="137" t="n"/>
      <c r="AM1015" s="137" t="n"/>
      <c r="AN1015" s="137" t="n"/>
      <c r="AO1015" s="137" t="n"/>
      <c r="AP1015" s="137" t="n"/>
      <c r="AQ1015" s="137" t="n"/>
      <c r="AR1015" s="137" t="n"/>
      <c r="AS1015" s="137" t="n"/>
    </row>
    <row r="1016" hidden="1" outlineLevel="2">
      <c r="A1016" s="8" t="n"/>
      <c r="B1016" s="14" t="n"/>
      <c r="C1016" s="137" t="n"/>
      <c r="D1016" s="137" t="n"/>
      <c r="E1016" s="137" t="n"/>
      <c r="F1016" s="137" t="n"/>
      <c r="G1016" s="137" t="n"/>
      <c r="I1016" s="56">
        <f>DADOS_INVOC!$PZ$64</f>
        <v/>
      </c>
      <c r="J1016" s="16" t="n"/>
      <c r="K1016" s="16" t="n"/>
      <c r="L1016" s="16" t="n"/>
      <c r="M1016" s="17" t="n"/>
      <c r="N1016" s="137" t="n"/>
      <c r="O1016" s="56">
        <f>DADOS_INVOC!$PZ$65</f>
        <v/>
      </c>
      <c r="P1016" s="16" t="n"/>
      <c r="Q1016" s="16" t="n"/>
      <c r="R1016" s="16" t="n"/>
      <c r="S1016" s="17" t="n"/>
      <c r="T1016" s="137" t="n"/>
      <c r="U1016" s="56">
        <f>DADOS_INVOC!$PZ$66</f>
        <v/>
      </c>
      <c r="V1016" s="16" t="n"/>
      <c r="W1016" s="16" t="n"/>
      <c r="X1016" s="16" t="n"/>
      <c r="Y1016" s="17" t="n"/>
      <c r="Z1016" s="137" t="n"/>
      <c r="AB1016" s="56">
        <f>DADOS_INVOC!$PZ$142</f>
        <v/>
      </c>
      <c r="AC1016" s="16" t="n"/>
      <c r="AD1016" s="16" t="n"/>
      <c r="AE1016" s="16" t="n"/>
      <c r="AF1016" s="17" t="n"/>
      <c r="AG1016" s="137" t="n"/>
      <c r="AH1016" s="56">
        <f>DADOS_INVOC!$PZ$143</f>
        <v/>
      </c>
      <c r="AI1016" s="16" t="n"/>
      <c r="AJ1016" s="16" t="n"/>
      <c r="AK1016" s="16" t="n"/>
      <c r="AL1016" s="17" t="n"/>
      <c r="AM1016" s="137" t="n"/>
      <c r="AN1016" s="56">
        <f>DADOS_INVOC!$PZ$144</f>
        <v/>
      </c>
      <c r="AO1016" s="16" t="n"/>
      <c r="AP1016" s="16" t="n"/>
      <c r="AQ1016" s="16" t="n"/>
      <c r="AR1016" s="17" t="n"/>
      <c r="AS1016" s="137" t="n"/>
    </row>
    <row r="1017" hidden="1" outlineLevel="2">
      <c r="A1017" s="8" t="n"/>
      <c r="B1017" s="14" t="n"/>
      <c r="C1017" s="137" t="n"/>
      <c r="D1017" s="137" t="n"/>
      <c r="E1017" s="137" t="n"/>
      <c r="F1017" s="137" t="n"/>
      <c r="G1017" s="137" t="n"/>
      <c r="I1017" s="141" t="n">
        <v>1</v>
      </c>
      <c r="J1017" s="131" t="n"/>
      <c r="K1017" s="16" t="n"/>
      <c r="L1017" s="17" t="n"/>
      <c r="M1017" s="142">
        <f>DADOS_INVOC!$PX$64</f>
        <v/>
      </c>
      <c r="N1017" s="137" t="n"/>
      <c r="O1017" s="141" t="n">
        <v>1</v>
      </c>
      <c r="P1017" s="131" t="n"/>
      <c r="Q1017" s="16" t="n"/>
      <c r="R1017" s="17" t="n"/>
      <c r="S1017" s="142">
        <f>DADOS_INVOC!$PX$65</f>
        <v/>
      </c>
      <c r="T1017" s="137" t="n"/>
      <c r="U1017" s="141" t="n">
        <v>1</v>
      </c>
      <c r="V1017" s="131" t="n"/>
      <c r="W1017" s="16" t="n"/>
      <c r="X1017" s="17" t="n"/>
      <c r="Y1017" s="142">
        <f>DADOS_INVOC!$PX$66</f>
        <v/>
      </c>
      <c r="Z1017" s="137" t="n"/>
      <c r="AB1017" s="141" t="n">
        <v>1</v>
      </c>
      <c r="AC1017" s="131" t="n"/>
      <c r="AD1017" s="16" t="n"/>
      <c r="AE1017" s="17" t="n"/>
      <c r="AF1017" s="142">
        <f>DADOS_INVOC!$PX$142</f>
        <v/>
      </c>
      <c r="AG1017" s="137" t="n"/>
      <c r="AH1017" s="141" t="n">
        <v>1</v>
      </c>
      <c r="AI1017" s="131" t="n"/>
      <c r="AJ1017" s="16" t="n"/>
      <c r="AK1017" s="17" t="n"/>
      <c r="AL1017" s="142">
        <f>DADOS_INVOC!$PX$143</f>
        <v/>
      </c>
      <c r="AM1017" s="137" t="n"/>
      <c r="AN1017" s="141" t="n">
        <v>1</v>
      </c>
      <c r="AO1017" s="131" t="n"/>
      <c r="AP1017" s="16" t="n"/>
      <c r="AQ1017" s="17" t="n"/>
      <c r="AR1017" s="142">
        <f>DADOS_INVOC!$PX$144</f>
        <v/>
      </c>
      <c r="AS1017" s="137" t="n"/>
    </row>
    <row r="1018" hidden="1" outlineLevel="3">
      <c r="A1018" s="8" t="n"/>
      <c r="B1018" s="14" t="n"/>
      <c r="C1018" s="137" t="n"/>
      <c r="D1018" s="137" t="n"/>
      <c r="E1018" s="137" t="n"/>
      <c r="F1018" s="137" t="n"/>
      <c r="G1018" s="137" t="n"/>
      <c r="I1018" s="56" t="inlineStr">
        <is>
          <t>COMO É</t>
        </is>
      </c>
      <c r="J1018" s="16" t="n"/>
      <c r="K1018" s="16" t="n"/>
      <c r="L1018" s="16" t="n"/>
      <c r="M1018" s="17" t="n"/>
      <c r="N1018" s="137" t="n"/>
      <c r="O1018" s="56" t="inlineStr">
        <is>
          <t>COMO É</t>
        </is>
      </c>
      <c r="P1018" s="16" t="n"/>
      <c r="Q1018" s="16" t="n"/>
      <c r="R1018" s="16" t="n"/>
      <c r="S1018" s="17" t="n"/>
      <c r="T1018" s="137" t="n"/>
      <c r="U1018" s="56" t="inlineStr">
        <is>
          <t>COMO É</t>
        </is>
      </c>
      <c r="V1018" s="16" t="n"/>
      <c r="W1018" s="16" t="n"/>
      <c r="X1018" s="16" t="n"/>
      <c r="Y1018" s="17" t="n"/>
      <c r="Z1018" s="137" t="n"/>
      <c r="AB1018" s="56" t="inlineStr">
        <is>
          <t>COMO É</t>
        </is>
      </c>
      <c r="AC1018" s="16" t="n"/>
      <c r="AD1018" s="16" t="n"/>
      <c r="AE1018" s="16" t="n"/>
      <c r="AF1018" s="17" t="n"/>
      <c r="AG1018" s="137" t="n"/>
      <c r="AH1018" s="56" t="inlineStr">
        <is>
          <t>COMO É</t>
        </is>
      </c>
      <c r="AI1018" s="16" t="n"/>
      <c r="AJ1018" s="16" t="n"/>
      <c r="AK1018" s="16" t="n"/>
      <c r="AL1018" s="17" t="n"/>
      <c r="AM1018" s="137" t="n"/>
      <c r="AN1018" s="56" t="inlineStr">
        <is>
          <t>COMO É</t>
        </is>
      </c>
      <c r="AO1018" s="16" t="n"/>
      <c r="AP1018" s="16" t="n"/>
      <c r="AQ1018" s="16" t="n"/>
      <c r="AR1018" s="17" t="n"/>
      <c r="AS1018" s="137" t="n"/>
    </row>
    <row r="1019" hidden="1" outlineLevel="3">
      <c r="A1019" s="8" t="n"/>
      <c r="B1019" s="14" t="n"/>
      <c r="C1019" s="137" t="n"/>
      <c r="D1019" s="137" t="n"/>
      <c r="E1019" s="137" t="n"/>
      <c r="F1019" s="137" t="n"/>
      <c r="G1019" s="137" t="n"/>
      <c r="I1019" s="61" t="n"/>
      <c r="J1019" s="19" t="n"/>
      <c r="K1019" s="19" t="n"/>
      <c r="L1019" s="19" t="n"/>
      <c r="M1019" s="20" t="n"/>
      <c r="N1019" s="137" t="n"/>
      <c r="O1019" s="61" t="n"/>
      <c r="P1019" s="19" t="n"/>
      <c r="Q1019" s="19" t="n"/>
      <c r="R1019" s="19" t="n"/>
      <c r="S1019" s="20" t="n"/>
      <c r="T1019" s="137" t="n"/>
      <c r="U1019" s="61" t="n"/>
      <c r="V1019" s="19" t="n"/>
      <c r="W1019" s="19" t="n"/>
      <c r="X1019" s="19" t="n"/>
      <c r="Y1019" s="20" t="n"/>
      <c r="Z1019" s="137" t="n"/>
      <c r="AB1019" s="61" t="n"/>
      <c r="AC1019" s="19" t="n"/>
      <c r="AD1019" s="19" t="n"/>
      <c r="AE1019" s="19" t="n"/>
      <c r="AF1019" s="20" t="n"/>
      <c r="AG1019" s="137" t="n"/>
      <c r="AH1019" s="61" t="n"/>
      <c r="AI1019" s="19" t="n"/>
      <c r="AJ1019" s="19" t="n"/>
      <c r="AK1019" s="19" t="n"/>
      <c r="AL1019" s="20" t="n"/>
      <c r="AM1019" s="137" t="n"/>
      <c r="AN1019" s="61" t="n"/>
      <c r="AO1019" s="19" t="n"/>
      <c r="AP1019" s="19" t="n"/>
      <c r="AQ1019" s="19" t="n"/>
      <c r="AR1019" s="20" t="n"/>
      <c r="AS1019" s="137" t="n"/>
    </row>
    <row r="1020" hidden="1" outlineLevel="3">
      <c r="A1020" s="8" t="n"/>
      <c r="B1020" s="14" t="n"/>
      <c r="C1020" s="137" t="n"/>
      <c r="D1020" s="137" t="n"/>
      <c r="E1020" s="137" t="n"/>
      <c r="F1020" s="137" t="n"/>
      <c r="G1020" s="137" t="n"/>
      <c r="I1020" s="21" t="n"/>
      <c r="M1020" s="22" t="n"/>
      <c r="N1020" s="137" t="n"/>
      <c r="O1020" s="21" t="n"/>
      <c r="S1020" s="22" t="n"/>
      <c r="T1020" s="137" t="n"/>
      <c r="U1020" s="21" t="n"/>
      <c r="Y1020" s="22" t="n"/>
      <c r="Z1020" s="137" t="n"/>
      <c r="AB1020" s="21" t="n"/>
      <c r="AF1020" s="22" t="n"/>
      <c r="AG1020" s="137" t="n"/>
      <c r="AH1020" s="21" t="n"/>
      <c r="AL1020" s="22" t="n"/>
      <c r="AM1020" s="137" t="n"/>
      <c r="AN1020" s="21" t="n"/>
      <c r="AR1020" s="22" t="n"/>
      <c r="AS1020" s="137" t="n"/>
    </row>
    <row r="1021" hidden="1" outlineLevel="3">
      <c r="A1021" s="8" t="n"/>
      <c r="B1021" s="14" t="n"/>
      <c r="C1021" s="137" t="n"/>
      <c r="D1021" s="137" t="n"/>
      <c r="E1021" s="137" t="n"/>
      <c r="F1021" s="137" t="n"/>
      <c r="G1021" s="137" t="n"/>
      <c r="I1021" s="23" t="n"/>
      <c r="J1021" s="24" t="n"/>
      <c r="K1021" s="24" t="n"/>
      <c r="L1021" s="24" t="n"/>
      <c r="M1021" s="25" t="n"/>
      <c r="N1021" s="137" t="n"/>
      <c r="O1021" s="23" t="n"/>
      <c r="P1021" s="24" t="n"/>
      <c r="Q1021" s="24" t="n"/>
      <c r="R1021" s="24" t="n"/>
      <c r="S1021" s="25" t="n"/>
      <c r="T1021" s="137" t="n"/>
      <c r="U1021" s="23" t="n"/>
      <c r="V1021" s="24" t="n"/>
      <c r="W1021" s="24" t="n"/>
      <c r="X1021" s="24" t="n"/>
      <c r="Y1021" s="25" t="n"/>
      <c r="Z1021" s="137" t="n"/>
      <c r="AB1021" s="23" t="n"/>
      <c r="AC1021" s="24" t="n"/>
      <c r="AD1021" s="24" t="n"/>
      <c r="AE1021" s="24" t="n"/>
      <c r="AF1021" s="25" t="n"/>
      <c r="AG1021" s="137" t="n"/>
      <c r="AH1021" s="23" t="n"/>
      <c r="AI1021" s="24" t="n"/>
      <c r="AJ1021" s="24" t="n"/>
      <c r="AK1021" s="24" t="n"/>
      <c r="AL1021" s="25" t="n"/>
      <c r="AM1021" s="137" t="n"/>
      <c r="AN1021" s="23" t="n"/>
      <c r="AO1021" s="24" t="n"/>
      <c r="AP1021" s="24" t="n"/>
      <c r="AQ1021" s="24" t="n"/>
      <c r="AR1021" s="25" t="n"/>
      <c r="AS1021" s="137" t="n"/>
    </row>
    <row r="1022" hidden="1" outlineLevel="2">
      <c r="A1022" s="8" t="n"/>
      <c r="B1022" s="14" t="n"/>
      <c r="C1022" s="137" t="n"/>
      <c r="D1022" s="137" t="n"/>
      <c r="E1022" s="137" t="n"/>
      <c r="F1022" s="137" t="n"/>
      <c r="G1022" s="137" t="n"/>
      <c r="I1022" s="95" t="inlineStr">
        <is>
          <t>Projétil</t>
        </is>
      </c>
      <c r="J1022" s="17" t="n"/>
      <c r="K1022" s="71">
        <f>DADOS_INVOC!$QE$64</f>
        <v/>
      </c>
      <c r="L1022" s="17" t="n"/>
      <c r="M1022" s="71">
        <f>DADOS_INVOC!$QA$64</f>
        <v/>
      </c>
      <c r="N1022" s="137" t="n"/>
      <c r="O1022" s="95" t="inlineStr">
        <is>
          <t>Projétil</t>
        </is>
      </c>
      <c r="P1022" s="17" t="n"/>
      <c r="Q1022" s="71">
        <f>DADOS_INVOC!$QE$65</f>
        <v/>
      </c>
      <c r="R1022" s="17" t="n"/>
      <c r="S1022" s="71">
        <f>DADOS_INVOC!$QA$65</f>
        <v/>
      </c>
      <c r="T1022" s="137" t="n"/>
      <c r="U1022" s="95" t="inlineStr">
        <is>
          <t>Projétil</t>
        </is>
      </c>
      <c r="V1022" s="17" t="n"/>
      <c r="W1022" s="71">
        <f>DADOS_INVOC!$QE$66</f>
        <v/>
      </c>
      <c r="X1022" s="17" t="n"/>
      <c r="Y1022" s="71">
        <f>DADOS_INVOC!$QA$66</f>
        <v/>
      </c>
      <c r="Z1022" s="137" t="n"/>
      <c r="AB1022" s="95" t="inlineStr">
        <is>
          <t>Projétil</t>
        </is>
      </c>
      <c r="AC1022" s="17" t="n"/>
      <c r="AD1022" s="71">
        <f>DADOS_INVOC!$QE$142</f>
        <v/>
      </c>
      <c r="AE1022" s="17" t="n"/>
      <c r="AF1022" s="71">
        <f>DADOS_INVOC!$QA$142</f>
        <v/>
      </c>
      <c r="AG1022" s="137" t="n"/>
      <c r="AH1022" s="95" t="inlineStr">
        <is>
          <t>Projétil</t>
        </is>
      </c>
      <c r="AI1022" s="17" t="n"/>
      <c r="AJ1022" s="71">
        <f>DADOS_INVOC!$QE$143</f>
        <v/>
      </c>
      <c r="AK1022" s="17" t="n"/>
      <c r="AL1022" s="71">
        <f>DADOS_INVOC!$QA$143</f>
        <v/>
      </c>
      <c r="AM1022" s="137" t="n"/>
      <c r="AN1022" s="95" t="inlineStr">
        <is>
          <t>Projétil</t>
        </is>
      </c>
      <c r="AO1022" s="17" t="n"/>
      <c r="AP1022" s="71">
        <f>DADOS_INVOC!$QE$144</f>
        <v/>
      </c>
      <c r="AQ1022" s="17" t="n"/>
      <c r="AR1022" s="71">
        <f>DADOS_INVOC!$QA$144</f>
        <v/>
      </c>
      <c r="AS1022" s="137" t="n"/>
    </row>
    <row r="1023" hidden="1" outlineLevel="2">
      <c r="A1023" s="8" t="n"/>
      <c r="B1023" s="14" t="n"/>
      <c r="C1023" s="137" t="n"/>
      <c r="D1023" s="137" t="n"/>
      <c r="E1023" s="137" t="n"/>
      <c r="F1023" s="137" t="n"/>
      <c r="G1023" s="137" t="n"/>
      <c r="I1023" s="95" t="n"/>
      <c r="J1023" s="17" t="n"/>
      <c r="K1023" s="95" t="n"/>
      <c r="L1023" s="16" t="n"/>
      <c r="M1023" s="17" t="n"/>
      <c r="N1023" s="137" t="n"/>
      <c r="O1023" s="95" t="n"/>
      <c r="P1023" s="17" t="n"/>
      <c r="Q1023" s="95" t="n"/>
      <c r="R1023" s="16" t="n"/>
      <c r="S1023" s="17" t="n"/>
      <c r="T1023" s="137" t="n"/>
      <c r="U1023" s="95" t="n"/>
      <c r="V1023" s="17" t="n"/>
      <c r="W1023" s="95" t="n"/>
      <c r="X1023" s="16" t="n"/>
      <c r="Y1023" s="17" t="n"/>
      <c r="Z1023" s="137" t="n"/>
      <c r="AB1023" s="95" t="n"/>
      <c r="AC1023" s="17" t="n"/>
      <c r="AD1023" s="95" t="n"/>
      <c r="AE1023" s="16" t="n"/>
      <c r="AF1023" s="17" t="n"/>
      <c r="AG1023" s="137" t="n"/>
      <c r="AH1023" s="95" t="n"/>
      <c r="AI1023" s="17" t="n"/>
      <c r="AJ1023" s="95" t="n"/>
      <c r="AK1023" s="16" t="n"/>
      <c r="AL1023" s="17" t="n"/>
      <c r="AM1023" s="137" t="n"/>
      <c r="AN1023" s="95" t="n"/>
      <c r="AO1023" s="17" t="n"/>
      <c r="AP1023" s="95" t="n"/>
      <c r="AQ1023" s="16" t="n"/>
      <c r="AR1023" s="17" t="n"/>
      <c r="AS1023" s="137" t="n"/>
    </row>
    <row r="1024" hidden="1" outlineLevel="2">
      <c r="A1024" s="8" t="n"/>
      <c r="B1024" s="14" t="n"/>
      <c r="C1024" s="137" t="n"/>
      <c r="D1024" s="137" t="n"/>
      <c r="E1024" s="137" t="n"/>
      <c r="F1024" s="137" t="n"/>
      <c r="G1024" s="137" t="n"/>
      <c r="I1024" s="95">
        <f>DADOS_INVOC!$QB$64</f>
        <v/>
      </c>
      <c r="J1024" s="17" t="n"/>
      <c r="K1024" s="95">
        <f>DADOS_INVOC!$QD$64</f>
        <v/>
      </c>
      <c r="L1024" s="16" t="n"/>
      <c r="M1024" s="17" t="n"/>
      <c r="N1024" s="137" t="n"/>
      <c r="O1024" s="95">
        <f>DADOS_INVOC!$QB$65</f>
        <v/>
      </c>
      <c r="P1024" s="17" t="n"/>
      <c r="Q1024" s="95">
        <f>DADOS_INVOC!$QD$65</f>
        <v/>
      </c>
      <c r="R1024" s="16" t="n"/>
      <c r="S1024" s="17" t="n"/>
      <c r="T1024" s="137" t="n"/>
      <c r="U1024" s="95">
        <f>DADOS_INVOC!$QB$66</f>
        <v/>
      </c>
      <c r="V1024" s="17" t="n"/>
      <c r="W1024" s="95">
        <f>DADOS_INVOC!$QD$66</f>
        <v/>
      </c>
      <c r="X1024" s="16" t="n"/>
      <c r="Y1024" s="17" t="n"/>
      <c r="Z1024" s="137" t="n"/>
      <c r="AB1024" s="95">
        <f>DADOS_INVOC!$QB$142</f>
        <v/>
      </c>
      <c r="AC1024" s="17" t="n"/>
      <c r="AD1024" s="95">
        <f>DADOS_INVOC!$QD$142</f>
        <v/>
      </c>
      <c r="AE1024" s="16" t="n"/>
      <c r="AF1024" s="17" t="n"/>
      <c r="AG1024" s="137" t="n"/>
      <c r="AH1024" s="95">
        <f>DADOS_INVOC!$QB$143</f>
        <v/>
      </c>
      <c r="AI1024" s="17" t="n"/>
      <c r="AJ1024" s="95">
        <f>DADOS_INVOC!$QD$143</f>
        <v/>
      </c>
      <c r="AK1024" s="16" t="n"/>
      <c r="AL1024" s="17" t="n"/>
      <c r="AM1024" s="137" t="n"/>
      <c r="AN1024" s="95">
        <f>DADOS_INVOC!$QB$144</f>
        <v/>
      </c>
      <c r="AO1024" s="17" t="n"/>
      <c r="AP1024" s="95">
        <f>DADOS_INVOC!$QD$144</f>
        <v/>
      </c>
      <c r="AQ1024" s="16" t="n"/>
      <c r="AR1024" s="17" t="n"/>
      <c r="AS1024" s="137" t="n"/>
    </row>
    <row r="1025" hidden="1" outlineLevel="2">
      <c r="A1025" s="8" t="n"/>
      <c r="B1025" s="14" t="n"/>
      <c r="C1025" s="137" t="n"/>
      <c r="D1025" s="137" t="n"/>
      <c r="E1025" s="137" t="n"/>
      <c r="F1025" s="137" t="n"/>
      <c r="G1025" s="137" t="n"/>
      <c r="I1025" s="143">
        <f>DADOS_INVOC!$QJ$64</f>
        <v/>
      </c>
      <c r="J1025" s="16" t="n"/>
      <c r="K1025" s="16" t="n"/>
      <c r="L1025" s="16" t="n"/>
      <c r="M1025" s="17" t="n"/>
      <c r="N1025" s="137" t="n"/>
      <c r="O1025" s="143">
        <f>DADOS_INVOC!$QJ$65</f>
        <v/>
      </c>
      <c r="P1025" s="16" t="n"/>
      <c r="Q1025" s="16" t="n"/>
      <c r="R1025" s="16" t="n"/>
      <c r="S1025" s="17" t="n"/>
      <c r="T1025" s="137" t="n"/>
      <c r="U1025" s="143">
        <f>DADOS_INVOC!$QJ$66</f>
        <v/>
      </c>
      <c r="V1025" s="16" t="n"/>
      <c r="W1025" s="16" t="n"/>
      <c r="X1025" s="16" t="n"/>
      <c r="Y1025" s="17" t="n"/>
      <c r="Z1025" s="137" t="n"/>
      <c r="AB1025" s="143">
        <f>DADOS_INVOC!$QJ$142</f>
        <v/>
      </c>
      <c r="AC1025" s="16" t="n"/>
      <c r="AD1025" s="16" t="n"/>
      <c r="AE1025" s="16" t="n"/>
      <c r="AF1025" s="17" t="n"/>
      <c r="AG1025" s="137" t="n"/>
      <c r="AH1025" s="143">
        <f>DADOS_INVOC!$QJ$143</f>
        <v/>
      </c>
      <c r="AI1025" s="16" t="n"/>
      <c r="AJ1025" s="16" t="n"/>
      <c r="AK1025" s="16" t="n"/>
      <c r="AL1025" s="17" t="n"/>
      <c r="AM1025" s="137" t="n"/>
      <c r="AN1025" s="143">
        <f>DADOS_INVOC!$QJ$144</f>
        <v/>
      </c>
      <c r="AO1025" s="16" t="n"/>
      <c r="AP1025" s="16" t="n"/>
      <c r="AQ1025" s="16" t="n"/>
      <c r="AR1025" s="17" t="n"/>
      <c r="AS1025" s="137" t="n"/>
    </row>
    <row r="1026" hidden="1" outlineLevel="3">
      <c r="A1026" s="8" t="n"/>
      <c r="B1026" s="14" t="n"/>
      <c r="C1026" s="137" t="n"/>
      <c r="D1026" s="137" t="n"/>
      <c r="E1026" s="137" t="n"/>
      <c r="F1026" s="137" t="n"/>
      <c r="G1026" s="137" t="n"/>
      <c r="I1026" s="56" t="inlineStr">
        <is>
          <t>MELHORIAS</t>
        </is>
      </c>
      <c r="J1026" s="144" t="n"/>
      <c r="K1026" s="16" t="n"/>
      <c r="L1026" s="17" t="n"/>
      <c r="M1026" s="143">
        <f>DADOS_INVOC!$QM$64</f>
        <v/>
      </c>
      <c r="N1026" s="137" t="n"/>
      <c r="O1026" s="56" t="inlineStr">
        <is>
          <t>MELHORIAS</t>
        </is>
      </c>
      <c r="P1026" s="144" t="n"/>
      <c r="Q1026" s="16" t="n"/>
      <c r="R1026" s="17" t="n"/>
      <c r="S1026" s="143">
        <f>DADOS_INVOC!$QM$65</f>
        <v/>
      </c>
      <c r="T1026" s="137" t="n"/>
      <c r="U1026" s="56" t="inlineStr">
        <is>
          <t>MELHORIAS</t>
        </is>
      </c>
      <c r="V1026" s="144" t="n"/>
      <c r="W1026" s="16" t="n"/>
      <c r="X1026" s="17" t="n"/>
      <c r="Y1026" s="143">
        <f>DADOS_INVOC!$QM$66</f>
        <v/>
      </c>
      <c r="Z1026" s="137" t="n"/>
      <c r="AB1026" s="56" t="inlineStr">
        <is>
          <t>MELHORIAS</t>
        </is>
      </c>
      <c r="AC1026" s="144" t="n"/>
      <c r="AD1026" s="16" t="n"/>
      <c r="AE1026" s="17" t="n"/>
      <c r="AF1026" s="143">
        <f>DADOS_INVOC!$QM$142</f>
        <v/>
      </c>
      <c r="AG1026" s="137" t="n"/>
      <c r="AH1026" s="56" t="inlineStr">
        <is>
          <t>MELHORIAS</t>
        </is>
      </c>
      <c r="AI1026" s="144" t="n"/>
      <c r="AJ1026" s="16" t="n"/>
      <c r="AK1026" s="17" t="n"/>
      <c r="AL1026" s="143">
        <f>DADOS_INVOC!$QM$143</f>
        <v/>
      </c>
      <c r="AM1026" s="137" t="n"/>
      <c r="AN1026" s="56" t="inlineStr">
        <is>
          <t>MELHORIAS</t>
        </is>
      </c>
      <c r="AO1026" s="144" t="n"/>
      <c r="AP1026" s="16" t="n"/>
      <c r="AQ1026" s="17" t="n"/>
      <c r="AR1026" s="143">
        <f>DADOS_INVOC!$QM$144</f>
        <v/>
      </c>
      <c r="AS1026" s="137" t="n"/>
    </row>
    <row r="1027" hidden="1" outlineLevel="3">
      <c r="A1027" s="8" t="n"/>
      <c r="B1027" s="14" t="n"/>
      <c r="C1027" s="137" t="n"/>
      <c r="D1027" s="137" t="n"/>
      <c r="E1027" s="137" t="n"/>
      <c r="F1027" s="137" t="n"/>
      <c r="G1027" s="137" t="n"/>
      <c r="I1027" s="66" t="n"/>
      <c r="J1027" s="144" t="n"/>
      <c r="K1027" s="16" t="n"/>
      <c r="L1027" s="17" t="n"/>
      <c r="M1027" s="143">
        <f>DADOS_INVOC!$QN$64</f>
        <v/>
      </c>
      <c r="N1027" s="137" t="n"/>
      <c r="O1027" s="66" t="n"/>
      <c r="P1027" s="144" t="n"/>
      <c r="Q1027" s="16" t="n"/>
      <c r="R1027" s="17" t="n"/>
      <c r="S1027" s="143">
        <f>DADOS_INVOC!$QN$65</f>
        <v/>
      </c>
      <c r="T1027" s="137" t="n"/>
      <c r="U1027" s="66" t="n"/>
      <c r="V1027" s="144" t="n"/>
      <c r="W1027" s="16" t="n"/>
      <c r="X1027" s="17" t="n"/>
      <c r="Y1027" s="143">
        <f>DADOS_INVOC!$QN$66</f>
        <v/>
      </c>
      <c r="Z1027" s="137" t="n"/>
      <c r="AB1027" s="66" t="n"/>
      <c r="AC1027" s="144" t="n"/>
      <c r="AD1027" s="16" t="n"/>
      <c r="AE1027" s="17" t="n"/>
      <c r="AF1027" s="143">
        <f>DADOS_INVOC!$QN$142</f>
        <v/>
      </c>
      <c r="AG1027" s="137" t="n"/>
      <c r="AH1027" s="66" t="n"/>
      <c r="AI1027" s="144" t="n"/>
      <c r="AJ1027" s="16" t="n"/>
      <c r="AK1027" s="17" t="n"/>
      <c r="AL1027" s="143">
        <f>DADOS_INVOC!$QN$143</f>
        <v/>
      </c>
      <c r="AM1027" s="137" t="n"/>
      <c r="AN1027" s="66" t="n"/>
      <c r="AO1027" s="144" t="n"/>
      <c r="AP1027" s="16" t="n"/>
      <c r="AQ1027" s="17" t="n"/>
      <c r="AR1027" s="143">
        <f>DADOS_INVOC!$QN$144</f>
        <v/>
      </c>
      <c r="AS1027" s="137" t="n"/>
    </row>
    <row r="1028" hidden="1" outlineLevel="3">
      <c r="A1028" s="8" t="n"/>
      <c r="B1028" s="14" t="n"/>
      <c r="C1028" s="137" t="n"/>
      <c r="D1028" s="137" t="n"/>
      <c r="E1028" s="137" t="n"/>
      <c r="F1028" s="137" t="n"/>
      <c r="G1028" s="137" t="n"/>
      <c r="I1028" s="66" t="n"/>
      <c r="J1028" s="144" t="n"/>
      <c r="K1028" s="16" t="n"/>
      <c r="L1028" s="17" t="n"/>
      <c r="M1028" s="143">
        <f>DADOS_INVOC!$QO$64</f>
        <v/>
      </c>
      <c r="N1028" s="137" t="n"/>
      <c r="O1028" s="66" t="n"/>
      <c r="P1028" s="144" t="n"/>
      <c r="Q1028" s="16" t="n"/>
      <c r="R1028" s="17" t="n"/>
      <c r="S1028" s="143">
        <f>DADOS_INVOC!$QO$65</f>
        <v/>
      </c>
      <c r="T1028" s="137" t="n"/>
      <c r="U1028" s="66" t="n"/>
      <c r="V1028" s="144" t="n"/>
      <c r="W1028" s="16" t="n"/>
      <c r="X1028" s="17" t="n"/>
      <c r="Y1028" s="143">
        <f>DADOS_INVOC!$QO$66</f>
        <v/>
      </c>
      <c r="Z1028" s="137" t="n"/>
      <c r="AB1028" s="66" t="n"/>
      <c r="AC1028" s="144" t="n"/>
      <c r="AD1028" s="16" t="n"/>
      <c r="AE1028" s="17" t="n"/>
      <c r="AF1028" s="143">
        <f>DADOS_INVOC!$QO$142</f>
        <v/>
      </c>
      <c r="AG1028" s="137" t="n"/>
      <c r="AH1028" s="66" t="n"/>
      <c r="AI1028" s="144" t="n"/>
      <c r="AJ1028" s="16" t="n"/>
      <c r="AK1028" s="17" t="n"/>
      <c r="AL1028" s="143">
        <f>DADOS_INVOC!$QO$143</f>
        <v/>
      </c>
      <c r="AM1028" s="137" t="n"/>
      <c r="AN1028" s="66" t="n"/>
      <c r="AO1028" s="144" t="n"/>
      <c r="AP1028" s="16" t="n"/>
      <c r="AQ1028" s="17" t="n"/>
      <c r="AR1028" s="143">
        <f>DADOS_INVOC!$QO$144</f>
        <v/>
      </c>
      <c r="AS1028" s="137" t="n"/>
    </row>
    <row r="1029" hidden="1" outlineLevel="3">
      <c r="A1029" s="8" t="n"/>
      <c r="B1029" s="14" t="n"/>
      <c r="C1029" s="137" t="n"/>
      <c r="D1029" s="137" t="n"/>
      <c r="E1029" s="137" t="n"/>
      <c r="F1029" s="137" t="n"/>
      <c r="G1029" s="137" t="n"/>
      <c r="I1029" s="128" t="n"/>
      <c r="J1029" s="144" t="n"/>
      <c r="K1029" s="16" t="n"/>
      <c r="L1029" s="17" t="n"/>
      <c r="M1029" s="143">
        <f>DADOS_INVOC!$QP$64</f>
        <v/>
      </c>
      <c r="N1029" s="137" t="n"/>
      <c r="O1029" s="128" t="n"/>
      <c r="P1029" s="144" t="n"/>
      <c r="Q1029" s="16" t="n"/>
      <c r="R1029" s="17" t="n"/>
      <c r="S1029" s="143">
        <f>DADOS_INVOC!$QP$65</f>
        <v/>
      </c>
      <c r="T1029" s="137" t="n"/>
      <c r="U1029" s="128" t="n"/>
      <c r="V1029" s="144" t="n"/>
      <c r="W1029" s="16" t="n"/>
      <c r="X1029" s="17" t="n"/>
      <c r="Y1029" s="143">
        <f>DADOS_INVOC!$QP$66</f>
        <v/>
      </c>
      <c r="Z1029" s="137" t="n"/>
      <c r="AB1029" s="128" t="n"/>
      <c r="AC1029" s="144" t="n"/>
      <c r="AD1029" s="16" t="n"/>
      <c r="AE1029" s="17" t="n"/>
      <c r="AF1029" s="143">
        <f>DADOS_INVOC!$QP$142</f>
        <v/>
      </c>
      <c r="AG1029" s="137" t="n"/>
      <c r="AH1029" s="128" t="n"/>
      <c r="AI1029" s="144" t="n"/>
      <c r="AJ1029" s="16" t="n"/>
      <c r="AK1029" s="17" t="n"/>
      <c r="AL1029" s="143">
        <f>DADOS_INVOC!$QP$143</f>
        <v/>
      </c>
      <c r="AM1029" s="137" t="n"/>
      <c r="AN1029" s="128" t="n"/>
      <c r="AO1029" s="144" t="n"/>
      <c r="AP1029" s="16" t="n"/>
      <c r="AQ1029" s="17" t="n"/>
      <c r="AR1029" s="143">
        <f>DADOS_INVOC!$QP$144</f>
        <v/>
      </c>
      <c r="AS1029" s="137" t="n"/>
    </row>
    <row r="1030" hidden="1" outlineLevel="3">
      <c r="A1030" s="8" t="n"/>
      <c r="B1030" s="14" t="n"/>
      <c r="C1030" s="137" t="n"/>
      <c r="D1030" s="137" t="n"/>
      <c r="E1030" s="137" t="n"/>
      <c r="F1030" s="137" t="n"/>
      <c r="G1030" s="137" t="n"/>
      <c r="I1030" s="56" t="inlineStr">
        <is>
          <t>RESTRIÇÕES</t>
        </is>
      </c>
      <c r="J1030" s="144" t="n"/>
      <c r="K1030" s="16" t="n"/>
      <c r="L1030" s="17" t="n"/>
      <c r="M1030" s="143">
        <f>DADOS_INVOC!$QQ$64</f>
        <v/>
      </c>
      <c r="N1030" s="137" t="n"/>
      <c r="O1030" s="56" t="inlineStr">
        <is>
          <t>RESTRIÇÕES</t>
        </is>
      </c>
      <c r="P1030" s="144" t="n"/>
      <c r="Q1030" s="16" t="n"/>
      <c r="R1030" s="17" t="n"/>
      <c r="S1030" s="143">
        <f>DADOS_INVOC!$QQ$65</f>
        <v/>
      </c>
      <c r="T1030" s="137" t="n"/>
      <c r="U1030" s="56" t="inlineStr">
        <is>
          <t>RESTRIÇÕES</t>
        </is>
      </c>
      <c r="V1030" s="144" t="n"/>
      <c r="W1030" s="16" t="n"/>
      <c r="X1030" s="17" t="n"/>
      <c r="Y1030" s="143">
        <f>DADOS_INVOC!$QQ$66</f>
        <v/>
      </c>
      <c r="Z1030" s="137" t="n"/>
      <c r="AB1030" s="56" t="inlineStr">
        <is>
          <t>RESTRIÇÕES</t>
        </is>
      </c>
      <c r="AC1030" s="144" t="n"/>
      <c r="AD1030" s="16" t="n"/>
      <c r="AE1030" s="17" t="n"/>
      <c r="AF1030" s="143">
        <f>DADOS_INVOC!$QQ$142</f>
        <v/>
      </c>
      <c r="AG1030" s="137" t="n"/>
      <c r="AH1030" s="56" t="inlineStr">
        <is>
          <t>RESTRIÇÕES</t>
        </is>
      </c>
      <c r="AI1030" s="144" t="n"/>
      <c r="AJ1030" s="16" t="n"/>
      <c r="AK1030" s="17" t="n"/>
      <c r="AL1030" s="143">
        <f>DADOS_INVOC!$QQ$143</f>
        <v/>
      </c>
      <c r="AM1030" s="137" t="n"/>
      <c r="AN1030" s="56" t="inlineStr">
        <is>
          <t>RESTRIÇÕES</t>
        </is>
      </c>
      <c r="AO1030" s="144" t="n"/>
      <c r="AP1030" s="16" t="n"/>
      <c r="AQ1030" s="17" t="n"/>
      <c r="AR1030" s="143">
        <f>DADOS_INVOC!$QQ$144</f>
        <v/>
      </c>
      <c r="AS1030" s="137" t="n"/>
    </row>
    <row r="1031" hidden="1" outlineLevel="3">
      <c r="A1031" s="8" t="n"/>
      <c r="B1031" s="14" t="n"/>
      <c r="C1031" s="137" t="n"/>
      <c r="D1031" s="137" t="n"/>
      <c r="E1031" s="137" t="n"/>
      <c r="F1031" s="137" t="n"/>
      <c r="G1031" s="137" t="n"/>
      <c r="I1031" s="128" t="n"/>
      <c r="J1031" s="144" t="n"/>
      <c r="K1031" s="16" t="n"/>
      <c r="L1031" s="17" t="n"/>
      <c r="M1031" s="143">
        <f>DADOS_INVOC!$QR$64</f>
        <v/>
      </c>
      <c r="N1031" s="137" t="n"/>
      <c r="O1031" s="128" t="n"/>
      <c r="P1031" s="144" t="n"/>
      <c r="Q1031" s="16" t="n"/>
      <c r="R1031" s="17" t="n"/>
      <c r="S1031" s="143">
        <f>DADOS_INVOC!$QR$65</f>
        <v/>
      </c>
      <c r="T1031" s="137" t="n"/>
      <c r="U1031" s="128" t="n"/>
      <c r="V1031" s="144" t="n"/>
      <c r="W1031" s="16" t="n"/>
      <c r="X1031" s="17" t="n"/>
      <c r="Y1031" s="143">
        <f>DADOS_INVOC!$QR$66</f>
        <v/>
      </c>
      <c r="Z1031" s="137" t="n"/>
      <c r="AB1031" s="128" t="n"/>
      <c r="AC1031" s="144" t="n"/>
      <c r="AD1031" s="16" t="n"/>
      <c r="AE1031" s="17" t="n"/>
      <c r="AF1031" s="143">
        <f>DADOS_INVOC!$QR$142</f>
        <v/>
      </c>
      <c r="AG1031" s="137" t="n"/>
      <c r="AH1031" s="128" t="n"/>
      <c r="AI1031" s="144" t="n"/>
      <c r="AJ1031" s="16" t="n"/>
      <c r="AK1031" s="17" t="n"/>
      <c r="AL1031" s="143">
        <f>DADOS_INVOC!$QR$143</f>
        <v/>
      </c>
      <c r="AM1031" s="137" t="n"/>
      <c r="AN1031" s="128" t="n"/>
      <c r="AO1031" s="144" t="n"/>
      <c r="AP1031" s="16" t="n"/>
      <c r="AQ1031" s="17" t="n"/>
      <c r="AR1031" s="143">
        <f>DADOS_INVOC!$QR$144</f>
        <v/>
      </c>
      <c r="AS1031" s="137" t="n"/>
    </row>
    <row r="1032" hidden="1" outlineLevel="3">
      <c r="A1032" s="8" t="n"/>
      <c r="B1032" s="14" t="n"/>
      <c r="C1032" s="137" t="n"/>
      <c r="D1032" s="137" t="n"/>
      <c r="E1032" s="137" t="n"/>
      <c r="F1032" s="137" t="n"/>
      <c r="G1032" s="137" t="n"/>
      <c r="I1032" s="56" t="inlineStr">
        <is>
          <t>CONTA</t>
        </is>
      </c>
      <c r="J1032" s="145">
        <f>DADOS_INVOC!$QK$64</f>
        <v/>
      </c>
      <c r="K1032" s="16" t="n"/>
      <c r="L1032" s="16" t="n"/>
      <c r="M1032" s="17" t="n"/>
      <c r="N1032" s="137" t="n"/>
      <c r="O1032" s="56" t="inlineStr">
        <is>
          <t>CONTA</t>
        </is>
      </c>
      <c r="P1032" s="145">
        <f>DADOS_INVOC!$QK$65</f>
        <v/>
      </c>
      <c r="Q1032" s="16" t="n"/>
      <c r="R1032" s="16" t="n"/>
      <c r="S1032" s="17" t="n"/>
      <c r="T1032" s="137" t="n"/>
      <c r="U1032" s="56" t="inlineStr">
        <is>
          <t>CONTA</t>
        </is>
      </c>
      <c r="V1032" s="145">
        <f>DADOS_INVOC!$QK$66</f>
        <v/>
      </c>
      <c r="W1032" s="16" t="n"/>
      <c r="X1032" s="16" t="n"/>
      <c r="Y1032" s="17" t="n"/>
      <c r="Z1032" s="137" t="n"/>
      <c r="AB1032" s="56" t="inlineStr">
        <is>
          <t>CONTA</t>
        </is>
      </c>
      <c r="AC1032" s="145">
        <f>DADOS_INVOC!$QK$142</f>
        <v/>
      </c>
      <c r="AD1032" s="16" t="n"/>
      <c r="AE1032" s="16" t="n"/>
      <c r="AF1032" s="17" t="n"/>
      <c r="AG1032" s="137" t="n"/>
      <c r="AH1032" s="56" t="inlineStr">
        <is>
          <t>CONTA</t>
        </is>
      </c>
      <c r="AI1032" s="145">
        <f>DADOS_INVOC!$QK$143</f>
        <v/>
      </c>
      <c r="AJ1032" s="16" t="n"/>
      <c r="AK1032" s="16" t="n"/>
      <c r="AL1032" s="17" t="n"/>
      <c r="AM1032" s="137" t="n"/>
      <c r="AN1032" s="56" t="inlineStr">
        <is>
          <t>CONTA</t>
        </is>
      </c>
      <c r="AO1032" s="145">
        <f>DADOS_INVOC!$QK$144</f>
        <v/>
      </c>
      <c r="AP1032" s="16" t="n"/>
      <c r="AQ1032" s="16" t="n"/>
      <c r="AR1032" s="17" t="n"/>
      <c r="AS1032" s="137" t="n"/>
    </row>
    <row r="1033" hidden="1" outlineLevel="3">
      <c r="A1033" s="8" t="n"/>
      <c r="B1033" s="14" t="n"/>
      <c r="C1033" s="137" t="n"/>
      <c r="D1033" s="137" t="n"/>
      <c r="E1033" s="137" t="n"/>
      <c r="F1033" s="137" t="n"/>
      <c r="G1033" s="137" t="n"/>
      <c r="I1033" s="56" t="inlineStr">
        <is>
          <t>AMPLIAR</t>
        </is>
      </c>
      <c r="J1033" s="145">
        <f>DADOS_INVOC!$QL$64</f>
        <v/>
      </c>
      <c r="K1033" s="19" t="n"/>
      <c r="L1033" s="19" t="n"/>
      <c r="M1033" s="20" t="n"/>
      <c r="N1033" s="137" t="n"/>
      <c r="O1033" s="56" t="inlineStr">
        <is>
          <t>AMPLIAR</t>
        </is>
      </c>
      <c r="P1033" s="145">
        <f>DADOS_INVOC!$QL$65</f>
        <v/>
      </c>
      <c r="Q1033" s="19" t="n"/>
      <c r="R1033" s="19" t="n"/>
      <c r="S1033" s="20" t="n"/>
      <c r="T1033" s="137" t="n"/>
      <c r="U1033" s="56" t="inlineStr">
        <is>
          <t>AMPLIAR</t>
        </is>
      </c>
      <c r="V1033" s="145">
        <f>DADOS_INVOC!$QL$66</f>
        <v/>
      </c>
      <c r="W1033" s="19" t="n"/>
      <c r="X1033" s="19" t="n"/>
      <c r="Y1033" s="20" t="n"/>
      <c r="Z1033" s="137" t="n"/>
      <c r="AB1033" s="56" t="inlineStr">
        <is>
          <t>AMPLIAR</t>
        </is>
      </c>
      <c r="AC1033" s="145">
        <f>DADOS_INVOC!$QL$142</f>
        <v/>
      </c>
      <c r="AD1033" s="19" t="n"/>
      <c r="AE1033" s="19" t="n"/>
      <c r="AF1033" s="20" t="n"/>
      <c r="AG1033" s="137" t="n"/>
      <c r="AH1033" s="56" t="inlineStr">
        <is>
          <t>AMPLIAR</t>
        </is>
      </c>
      <c r="AI1033" s="145">
        <f>DADOS_INVOC!$QL$143</f>
        <v/>
      </c>
      <c r="AJ1033" s="19" t="n"/>
      <c r="AK1033" s="19" t="n"/>
      <c r="AL1033" s="20" t="n"/>
      <c r="AM1033" s="137" t="n"/>
      <c r="AN1033" s="56" t="inlineStr">
        <is>
          <t>AMPLIAR</t>
        </is>
      </c>
      <c r="AO1033" s="145">
        <f>DADOS_INVOC!$QL$144</f>
        <v/>
      </c>
      <c r="AP1033" s="19" t="n"/>
      <c r="AQ1033" s="19" t="n"/>
      <c r="AR1033" s="20" t="n"/>
      <c r="AS1033" s="137" t="n"/>
    </row>
    <row r="1034" hidden="1" outlineLevel="3">
      <c r="A1034" s="8" t="n"/>
      <c r="B1034" s="14" t="n"/>
      <c r="C1034" s="137" t="n"/>
      <c r="D1034" s="137" t="n"/>
      <c r="E1034" s="137" t="n"/>
      <c r="F1034" s="137" t="n"/>
      <c r="G1034" s="137" t="n"/>
      <c r="I1034" s="128" t="n"/>
      <c r="J1034" s="23" t="n"/>
      <c r="K1034" s="24" t="n"/>
      <c r="L1034" s="24" t="n"/>
      <c r="M1034" s="25" t="n"/>
      <c r="N1034" s="137" t="n"/>
      <c r="O1034" s="128" t="n"/>
      <c r="P1034" s="23" t="n"/>
      <c r="Q1034" s="24" t="n"/>
      <c r="R1034" s="24" t="n"/>
      <c r="S1034" s="25" t="n"/>
      <c r="T1034" s="137" t="n"/>
      <c r="U1034" s="128" t="n"/>
      <c r="V1034" s="23" t="n"/>
      <c r="W1034" s="24" t="n"/>
      <c r="X1034" s="24" t="n"/>
      <c r="Y1034" s="25" t="n"/>
      <c r="Z1034" s="137" t="n"/>
      <c r="AB1034" s="128" t="n"/>
      <c r="AC1034" s="23" t="n"/>
      <c r="AD1034" s="24" t="n"/>
      <c r="AE1034" s="24" t="n"/>
      <c r="AF1034" s="25" t="n"/>
      <c r="AG1034" s="137" t="n"/>
      <c r="AH1034" s="128" t="n"/>
      <c r="AI1034" s="23" t="n"/>
      <c r="AJ1034" s="24" t="n"/>
      <c r="AK1034" s="24" t="n"/>
      <c r="AL1034" s="25" t="n"/>
      <c r="AM1034" s="137" t="n"/>
      <c r="AN1034" s="128" t="n"/>
      <c r="AO1034" s="23" t="n"/>
      <c r="AP1034" s="24" t="n"/>
      <c r="AQ1034" s="24" t="n"/>
      <c r="AR1034" s="25" t="n"/>
      <c r="AS1034" s="137" t="n"/>
    </row>
    <row r="1035" hidden="1" outlineLevel="3">
      <c r="A1035" s="8" t="n"/>
      <c r="B1035" s="14" t="n"/>
      <c r="C1035" s="137" t="n"/>
      <c r="D1035" s="137" t="n"/>
      <c r="E1035" s="137" t="n"/>
      <c r="F1035" s="137" t="n"/>
      <c r="G1035" s="137" t="n"/>
      <c r="I1035" s="145">
        <f>DADOS_INVOC!$PY$64</f>
        <v/>
      </c>
      <c r="J1035" s="19" t="n"/>
      <c r="K1035" s="19" t="n"/>
      <c r="L1035" s="19" t="n"/>
      <c r="M1035" s="20" t="n"/>
      <c r="N1035" s="137" t="n"/>
      <c r="O1035" s="145">
        <f>DADOS_INVOC!$PY$65</f>
        <v/>
      </c>
      <c r="P1035" s="19" t="n"/>
      <c r="Q1035" s="19" t="n"/>
      <c r="R1035" s="19" t="n"/>
      <c r="S1035" s="20" t="n"/>
      <c r="T1035" s="137" t="n"/>
      <c r="U1035" s="145">
        <f>DADOS_INVOC!$PY$66</f>
        <v/>
      </c>
      <c r="V1035" s="19" t="n"/>
      <c r="W1035" s="19" t="n"/>
      <c r="X1035" s="19" t="n"/>
      <c r="Y1035" s="20" t="n"/>
      <c r="Z1035" s="137" t="n"/>
      <c r="AB1035" s="145">
        <f>DADOS_INVOC!$PY$142</f>
        <v/>
      </c>
      <c r="AC1035" s="19" t="n"/>
      <c r="AD1035" s="19" t="n"/>
      <c r="AE1035" s="19" t="n"/>
      <c r="AF1035" s="20" t="n"/>
      <c r="AG1035" s="137" t="n"/>
      <c r="AH1035" s="145">
        <f>DADOS_INVOC!$PY$143</f>
        <v/>
      </c>
      <c r="AI1035" s="19" t="n"/>
      <c r="AJ1035" s="19" t="n"/>
      <c r="AK1035" s="19" t="n"/>
      <c r="AL1035" s="20" t="n"/>
      <c r="AM1035" s="137" t="n"/>
      <c r="AN1035" s="145">
        <f>DADOS_INVOC!$PY$144</f>
        <v/>
      </c>
      <c r="AO1035" s="19" t="n"/>
      <c r="AP1035" s="19" t="n"/>
      <c r="AQ1035" s="19" t="n"/>
      <c r="AR1035" s="20" t="n"/>
      <c r="AS1035" s="137" t="n"/>
    </row>
    <row r="1036" hidden="1" outlineLevel="3">
      <c r="A1036" s="8" t="n"/>
      <c r="B1036" s="14" t="n"/>
      <c r="C1036" s="137" t="n"/>
      <c r="D1036" s="137" t="n"/>
      <c r="E1036" s="137" t="n"/>
      <c r="F1036" s="137" t="n"/>
      <c r="G1036" s="137" t="n"/>
      <c r="I1036" s="23" t="n"/>
      <c r="J1036" s="24" t="n"/>
      <c r="K1036" s="24" t="n"/>
      <c r="L1036" s="24" t="n"/>
      <c r="M1036" s="25" t="n"/>
      <c r="N1036" s="137" t="n"/>
      <c r="O1036" s="23" t="n"/>
      <c r="P1036" s="24" t="n"/>
      <c r="Q1036" s="24" t="n"/>
      <c r="R1036" s="24" t="n"/>
      <c r="S1036" s="25" t="n"/>
      <c r="T1036" s="137" t="n"/>
      <c r="U1036" s="23" t="n"/>
      <c r="V1036" s="24" t="n"/>
      <c r="W1036" s="24" t="n"/>
      <c r="X1036" s="24" t="n"/>
      <c r="Y1036" s="25" t="n"/>
      <c r="Z1036" s="137" t="n"/>
      <c r="AB1036" s="23" t="n"/>
      <c r="AC1036" s="24" t="n"/>
      <c r="AD1036" s="24" t="n"/>
      <c r="AE1036" s="24" t="n"/>
      <c r="AF1036" s="25" t="n"/>
      <c r="AG1036" s="137" t="n"/>
      <c r="AH1036" s="23" t="n"/>
      <c r="AI1036" s="24" t="n"/>
      <c r="AJ1036" s="24" t="n"/>
      <c r="AK1036" s="24" t="n"/>
      <c r="AL1036" s="25" t="n"/>
      <c r="AM1036" s="137" t="n"/>
      <c r="AN1036" s="23" t="n"/>
      <c r="AO1036" s="24" t="n"/>
      <c r="AP1036" s="24" t="n"/>
      <c r="AQ1036" s="24" t="n"/>
      <c r="AR1036" s="25" t="n"/>
      <c r="AS1036" s="137" t="n"/>
    </row>
    <row r="1037" hidden="1" outlineLevel="2">
      <c r="A1037" s="8" t="n"/>
      <c r="B1037" s="14" t="n"/>
      <c r="C1037" s="137" t="n"/>
      <c r="D1037" s="137" t="n"/>
      <c r="E1037" s="137" t="n"/>
      <c r="F1037" s="137" t="n"/>
      <c r="G1037" s="137" t="n"/>
      <c r="I1037" s="137" t="n"/>
      <c r="J1037" s="137" t="n"/>
      <c r="K1037" s="137" t="n"/>
      <c r="L1037" s="137" t="n"/>
      <c r="M1037" s="137" t="n"/>
      <c r="N1037" s="137" t="n"/>
      <c r="O1037" s="137" t="n"/>
      <c r="P1037" s="137" t="n"/>
      <c r="Q1037" s="137" t="n"/>
      <c r="R1037" s="137" t="n"/>
      <c r="S1037" s="137" t="n"/>
      <c r="T1037" s="137" t="n"/>
      <c r="U1037" s="137" t="n"/>
      <c r="V1037" s="137" t="n"/>
      <c r="W1037" s="137" t="n"/>
      <c r="X1037" s="137" t="n"/>
      <c r="Y1037" s="137" t="n"/>
      <c r="Z1037" s="137" t="n"/>
      <c r="AB1037" s="137" t="n"/>
      <c r="AC1037" s="137" t="n"/>
      <c r="AD1037" s="137" t="n"/>
      <c r="AE1037" s="137" t="n"/>
      <c r="AF1037" s="137" t="n"/>
      <c r="AG1037" s="137" t="n"/>
      <c r="AH1037" s="137" t="n"/>
      <c r="AI1037" s="137" t="n"/>
      <c r="AJ1037" s="137" t="n"/>
      <c r="AK1037" s="137" t="n"/>
      <c r="AL1037" s="137" t="n"/>
      <c r="AM1037" s="137" t="n"/>
      <c r="AN1037" s="137" t="n"/>
      <c r="AO1037" s="137" t="n"/>
      <c r="AP1037" s="137" t="n"/>
      <c r="AQ1037" s="137" t="n"/>
      <c r="AR1037" s="137" t="n"/>
      <c r="AS1037" s="137" t="n"/>
    </row>
    <row r="1038" hidden="1" outlineLevel="2">
      <c r="A1038" s="8" t="n"/>
      <c r="B1038" s="14" t="n"/>
      <c r="C1038" s="137" t="n"/>
      <c r="D1038" s="137" t="n"/>
      <c r="E1038" s="137" t="n"/>
      <c r="F1038" s="137" t="n"/>
      <c r="G1038" s="137" t="n"/>
      <c r="I1038" s="56" t="inlineStr">
        <is>
          <t>TALENTOS DA TRILHA · CATEGORIA 1</t>
        </is>
      </c>
      <c r="J1038" s="16" t="n"/>
      <c r="K1038" s="16" t="n"/>
      <c r="L1038" s="16" t="n"/>
      <c r="M1038" s="16" t="n"/>
      <c r="N1038" s="16" t="n"/>
      <c r="O1038" s="16" t="n"/>
      <c r="P1038" s="16" t="n"/>
      <c r="Q1038" s="16" t="n"/>
      <c r="R1038" s="16" t="n"/>
      <c r="S1038" s="16" t="n"/>
      <c r="T1038" s="16" t="n"/>
      <c r="U1038" s="16" t="n"/>
      <c r="V1038" s="16" t="n"/>
      <c r="W1038" s="16" t="n"/>
      <c r="X1038" s="16" t="n"/>
      <c r="Y1038" s="17" t="n"/>
      <c r="Z1038" s="137" t="n"/>
      <c r="AB1038" s="56" t="inlineStr">
        <is>
          <t>TALENTOS DA TRILHA · CATEGORIA 1</t>
        </is>
      </c>
      <c r="AC1038" s="16" t="n"/>
      <c r="AD1038" s="16" t="n"/>
      <c r="AE1038" s="16" t="n"/>
      <c r="AF1038" s="16" t="n"/>
      <c r="AG1038" s="16" t="n"/>
      <c r="AH1038" s="16" t="n"/>
      <c r="AI1038" s="16" t="n"/>
      <c r="AJ1038" s="16" t="n"/>
      <c r="AK1038" s="16" t="n"/>
      <c r="AL1038" s="16" t="n"/>
      <c r="AM1038" s="16" t="n"/>
      <c r="AN1038" s="16" t="n"/>
      <c r="AO1038" s="16" t="n"/>
      <c r="AP1038" s="16" t="n"/>
      <c r="AQ1038" s="16" t="n"/>
      <c r="AR1038" s="17" t="n"/>
      <c r="AS1038" s="137" t="n"/>
    </row>
    <row r="1039" hidden="1" outlineLevel="2">
      <c r="A1039" s="8" t="n"/>
      <c r="B1039" s="14" t="n"/>
      <c r="C1039" s="137" t="n"/>
      <c r="D1039" s="137" t="n"/>
      <c r="E1039" s="137" t="n"/>
      <c r="F1039" s="137" t="n"/>
      <c r="G1039" s="137" t="n"/>
      <c r="I1039" s="56" t="inlineStr">
        <is>
          <t>TRILHA · CE 1</t>
        </is>
      </c>
      <c r="J1039" s="144" t="n"/>
      <c r="K1039" s="16" t="n"/>
      <c r="L1039" s="17" t="n"/>
      <c r="M1039" s="150">
        <f>DADOS_INVOC!$IW$6</f>
        <v/>
      </c>
      <c r="N1039" s="16" t="n"/>
      <c r="O1039" s="16" t="n"/>
      <c r="P1039" s="16" t="n"/>
      <c r="Q1039" s="16" t="n"/>
      <c r="R1039" s="16" t="n"/>
      <c r="S1039" s="16" t="n"/>
      <c r="T1039" s="16" t="n"/>
      <c r="U1039" s="16" t="n"/>
      <c r="V1039" s="16" t="n"/>
      <c r="W1039" s="16" t="n"/>
      <c r="X1039" s="16" t="n"/>
      <c r="Y1039" s="17" t="n"/>
      <c r="Z1039" s="137" t="n"/>
      <c r="AB1039" s="56" t="inlineStr">
        <is>
          <t>TRILHA · CE 1</t>
        </is>
      </c>
      <c r="AC1039" s="144" t="n"/>
      <c r="AD1039" s="16" t="n"/>
      <c r="AE1039" s="17" t="n"/>
      <c r="AF1039" s="150">
        <f>DADOS_INVOC!$IW$12</f>
        <v/>
      </c>
      <c r="AG1039" s="16" t="n"/>
      <c r="AH1039" s="16" t="n"/>
      <c r="AI1039" s="16" t="n"/>
      <c r="AJ1039" s="16" t="n"/>
      <c r="AK1039" s="16" t="n"/>
      <c r="AL1039" s="16" t="n"/>
      <c r="AM1039" s="16" t="n"/>
      <c r="AN1039" s="16" t="n"/>
      <c r="AO1039" s="16" t="n"/>
      <c r="AP1039" s="16" t="n"/>
      <c r="AQ1039" s="16" t="n"/>
      <c r="AR1039" s="17" t="n"/>
      <c r="AS1039" s="137" t="n"/>
    </row>
    <row r="1040" hidden="1" outlineLevel="2">
      <c r="A1040" s="8" t="n"/>
      <c r="B1040" s="14" t="n"/>
      <c r="C1040" s="137" t="n"/>
      <c r="D1040" s="137" t="n"/>
      <c r="E1040" s="137" t="n"/>
      <c r="F1040" s="137" t="n"/>
      <c r="G1040" s="137" t="n"/>
      <c r="I1040" s="56" t="inlineStr">
        <is>
          <t>TRILHA · CE 1</t>
        </is>
      </c>
      <c r="J1040" s="144" t="n"/>
      <c r="K1040" s="16" t="n"/>
      <c r="L1040" s="17" t="n"/>
      <c r="M1040" s="150">
        <f>DADOS_INVOC!$IX$6</f>
        <v/>
      </c>
      <c r="N1040" s="16" t="n"/>
      <c r="O1040" s="16" t="n"/>
      <c r="P1040" s="16" t="n"/>
      <c r="Q1040" s="16" t="n"/>
      <c r="R1040" s="16" t="n"/>
      <c r="S1040" s="16" t="n"/>
      <c r="T1040" s="16" t="n"/>
      <c r="U1040" s="16" t="n"/>
      <c r="V1040" s="16" t="n"/>
      <c r="W1040" s="16" t="n"/>
      <c r="X1040" s="16" t="n"/>
      <c r="Y1040" s="17" t="n"/>
      <c r="Z1040" s="137" t="n"/>
      <c r="AB1040" s="56" t="inlineStr">
        <is>
          <t>TRILHA · CE 1</t>
        </is>
      </c>
      <c r="AC1040" s="144" t="n"/>
      <c r="AD1040" s="16" t="n"/>
      <c r="AE1040" s="17" t="n"/>
      <c r="AF1040" s="150">
        <f>DADOS_INVOC!$IX$12</f>
        <v/>
      </c>
      <c r="AG1040" s="16" t="n"/>
      <c r="AH1040" s="16" t="n"/>
      <c r="AI1040" s="16" t="n"/>
      <c r="AJ1040" s="16" t="n"/>
      <c r="AK1040" s="16" t="n"/>
      <c r="AL1040" s="16" t="n"/>
      <c r="AM1040" s="16" t="n"/>
      <c r="AN1040" s="16" t="n"/>
      <c r="AO1040" s="16" t="n"/>
      <c r="AP1040" s="16" t="n"/>
      <c r="AQ1040" s="16" t="n"/>
      <c r="AR1040" s="17" t="n"/>
      <c r="AS1040" s="137" t="n"/>
    </row>
    <row r="1041" hidden="1" outlineLevel="2">
      <c r="A1041" s="8" t="n"/>
      <c r="B1041" s="14" t="n"/>
      <c r="C1041" s="137" t="n"/>
      <c r="D1041" s="137" t="n"/>
      <c r="E1041" s="137" t="n"/>
      <c r="F1041" s="137" t="n"/>
      <c r="G1041" s="137" t="n"/>
      <c r="I1041" s="56" t="inlineStr">
        <is>
          <t>TRILHA · CE 1</t>
        </is>
      </c>
      <c r="J1041" s="144" t="n"/>
      <c r="K1041" s="16" t="n"/>
      <c r="L1041" s="17" t="n"/>
      <c r="M1041" s="150">
        <f>DADOS_INVOC!$IY$6</f>
        <v/>
      </c>
      <c r="N1041" s="16" t="n"/>
      <c r="O1041" s="16" t="n"/>
      <c r="P1041" s="16" t="n"/>
      <c r="Q1041" s="16" t="n"/>
      <c r="R1041" s="16" t="n"/>
      <c r="S1041" s="16" t="n"/>
      <c r="T1041" s="16" t="n"/>
      <c r="U1041" s="16" t="n"/>
      <c r="V1041" s="16" t="n"/>
      <c r="W1041" s="16" t="n"/>
      <c r="X1041" s="16" t="n"/>
      <c r="Y1041" s="17" t="n"/>
      <c r="Z1041" s="137" t="n"/>
      <c r="AB1041" s="56" t="inlineStr">
        <is>
          <t>TRILHA · CE 1</t>
        </is>
      </c>
      <c r="AC1041" s="144" t="n"/>
      <c r="AD1041" s="16" t="n"/>
      <c r="AE1041" s="17" t="n"/>
      <c r="AF1041" s="150">
        <f>DADOS_INVOC!$IY$12</f>
        <v/>
      </c>
      <c r="AG1041" s="16" t="n"/>
      <c r="AH1041" s="16" t="n"/>
      <c r="AI1041" s="16" t="n"/>
      <c r="AJ1041" s="16" t="n"/>
      <c r="AK1041" s="16" t="n"/>
      <c r="AL1041" s="16" t="n"/>
      <c r="AM1041" s="16" t="n"/>
      <c r="AN1041" s="16" t="n"/>
      <c r="AO1041" s="16" t="n"/>
      <c r="AP1041" s="16" t="n"/>
      <c r="AQ1041" s="16" t="n"/>
      <c r="AR1041" s="17" t="n"/>
      <c r="AS1041" s="137" t="n"/>
    </row>
    <row r="1042" hidden="1" outlineLevel="1">
      <c r="A1042" s="8" t="n"/>
      <c r="B1042" s="14" t="n"/>
      <c r="C1042" s="137" t="n"/>
      <c r="D1042" s="137" t="n"/>
      <c r="E1042" s="137" t="n"/>
      <c r="F1042" s="137" t="n"/>
      <c r="G1042" s="137" t="n"/>
      <c r="I1042" s="137" t="n"/>
      <c r="J1042" s="137" t="n"/>
      <c r="K1042" s="137" t="n"/>
      <c r="L1042" s="137" t="n"/>
      <c r="M1042" s="137" t="n"/>
      <c r="N1042" s="137" t="n"/>
      <c r="O1042" s="137" t="n"/>
      <c r="P1042" s="137" t="n"/>
      <c r="Q1042" s="137" t="n"/>
      <c r="R1042" s="137" t="n"/>
      <c r="S1042" s="137" t="n"/>
      <c r="T1042" s="137" t="n"/>
      <c r="U1042" s="137" t="n"/>
      <c r="V1042" s="137" t="n"/>
      <c r="W1042" s="137" t="n"/>
      <c r="X1042" s="137" t="n"/>
      <c r="Y1042" s="137" t="n"/>
      <c r="Z1042" s="137" t="n"/>
      <c r="AB1042" s="137" t="n"/>
      <c r="AC1042" s="137" t="n"/>
      <c r="AD1042" s="137" t="n"/>
      <c r="AE1042" s="137" t="n"/>
      <c r="AF1042" s="137" t="n"/>
      <c r="AG1042" s="137" t="n"/>
      <c r="AH1042" s="137" t="n"/>
      <c r="AI1042" s="137" t="n"/>
      <c r="AJ1042" s="137" t="n"/>
      <c r="AK1042" s="137" t="n"/>
      <c r="AL1042" s="137" t="n"/>
      <c r="AM1042" s="137" t="n"/>
      <c r="AN1042" s="137" t="n"/>
      <c r="AO1042" s="137" t="n"/>
      <c r="AP1042" s="137" t="n"/>
      <c r="AQ1042" s="137" t="n"/>
      <c r="AR1042" s="137" t="n"/>
      <c r="AS1042" s="137" t="n"/>
    </row>
    <row r="1043" hidden="1" outlineLevel="1">
      <c r="A1043" s="8" t="n"/>
      <c r="B1043" s="14" t="n"/>
      <c r="C1043" s="137" t="n"/>
      <c r="D1043" s="137" t="n"/>
      <c r="E1043" s="137" t="n"/>
      <c r="F1043" s="137" t="n"/>
      <c r="G1043" s="137" t="n"/>
      <c r="I1043" s="146" t="inlineStr">
        <is>
          <t>TRUNFOS · Liberação Máxima, Técnica Máxima e Expansão de Domínio, para quem tem técnica própria</t>
        </is>
      </c>
      <c r="J1043" s="16" t="n"/>
      <c r="K1043" s="16" t="n"/>
      <c r="L1043" s="16" t="n"/>
      <c r="M1043" s="16" t="n"/>
      <c r="N1043" s="16" t="n"/>
      <c r="O1043" s="16" t="n"/>
      <c r="P1043" s="16" t="n"/>
      <c r="Q1043" s="16" t="n"/>
      <c r="R1043" s="16" t="n"/>
      <c r="S1043" s="16" t="n"/>
      <c r="T1043" s="16" t="n"/>
      <c r="U1043" s="16" t="n"/>
      <c r="V1043" s="16" t="n"/>
      <c r="W1043" s="16" t="n"/>
      <c r="X1043" s="16" t="n"/>
      <c r="Y1043" s="17" t="n"/>
      <c r="Z1043" s="137" t="n"/>
      <c r="AB1043" s="146" t="inlineStr">
        <is>
          <t>TRUNFOS · Liberação Máxima, Técnica Máxima e Expansão de Domínio, para quem tem técnica própria</t>
        </is>
      </c>
      <c r="AC1043" s="16" t="n"/>
      <c r="AD1043" s="16" t="n"/>
      <c r="AE1043" s="16" t="n"/>
      <c r="AF1043" s="16" t="n"/>
      <c r="AG1043" s="16" t="n"/>
      <c r="AH1043" s="16" t="n"/>
      <c r="AI1043" s="16" t="n"/>
      <c r="AJ1043" s="16" t="n"/>
      <c r="AK1043" s="16" t="n"/>
      <c r="AL1043" s="16" t="n"/>
      <c r="AM1043" s="16" t="n"/>
      <c r="AN1043" s="16" t="n"/>
      <c r="AO1043" s="16" t="n"/>
      <c r="AP1043" s="16" t="n"/>
      <c r="AQ1043" s="16" t="n"/>
      <c r="AR1043" s="17" t="n"/>
      <c r="AS1043" s="137" t="n"/>
    </row>
    <row r="1044" hidden="1" outlineLevel="2">
      <c r="A1044" s="8" t="n"/>
      <c r="B1044" s="14" t="n"/>
      <c r="C1044" s="137" t="n"/>
      <c r="D1044" s="137" t="n"/>
      <c r="E1044" s="137" t="n"/>
      <c r="F1044" s="137" t="n"/>
      <c r="G1044" s="137" t="n"/>
      <c r="I1044" s="137" t="n"/>
      <c r="J1044" s="137" t="n"/>
      <c r="K1044" s="137" t="n"/>
      <c r="L1044" s="137" t="n"/>
      <c r="M1044" s="137" t="n"/>
      <c r="N1044" s="137" t="n"/>
      <c r="O1044" s="137" t="n"/>
      <c r="P1044" s="137" t="n"/>
      <c r="Q1044" s="137" t="n"/>
      <c r="R1044" s="137" t="n"/>
      <c r="S1044" s="137" t="n"/>
      <c r="T1044" s="137" t="n"/>
      <c r="U1044" s="137" t="n"/>
      <c r="V1044" s="137" t="n"/>
      <c r="W1044" s="137" t="n"/>
      <c r="X1044" s="137" t="n"/>
      <c r="Y1044" s="137" t="n"/>
      <c r="Z1044" s="137" t="n"/>
      <c r="AB1044" s="137" t="n"/>
      <c r="AC1044" s="137" t="n"/>
      <c r="AD1044" s="137" t="n"/>
      <c r="AE1044" s="137" t="n"/>
      <c r="AF1044" s="137" t="n"/>
      <c r="AG1044" s="137" t="n"/>
      <c r="AH1044" s="137" t="n"/>
      <c r="AI1044" s="137" t="n"/>
      <c r="AJ1044" s="137" t="n"/>
      <c r="AK1044" s="137" t="n"/>
      <c r="AL1044" s="137" t="n"/>
      <c r="AM1044" s="137" t="n"/>
      <c r="AN1044" s="137" t="n"/>
      <c r="AO1044" s="137" t="n"/>
      <c r="AP1044" s="137" t="n"/>
      <c r="AQ1044" s="137" t="n"/>
      <c r="AR1044" s="137" t="n"/>
      <c r="AS1044" s="137" t="n"/>
    </row>
    <row r="1045" hidden="1" outlineLevel="2">
      <c r="A1045" s="8" t="n"/>
      <c r="B1045" s="14" t="n"/>
      <c r="C1045" s="137" t="n"/>
      <c r="D1045" s="137" t="n"/>
      <c r="E1045" s="137" t="n"/>
      <c r="F1045" s="137" t="n"/>
      <c r="G1045" s="137" t="n"/>
      <c r="I1045" s="56" t="inlineStr">
        <is>
          <t>LIBERAÇÃO MÁXIMA 1</t>
        </is>
      </c>
      <c r="J1045" s="16" t="n"/>
      <c r="K1045" s="16" t="n"/>
      <c r="L1045" s="16" t="n"/>
      <c r="M1045" s="17" t="n"/>
      <c r="N1045" s="137" t="n"/>
      <c r="O1045" s="56" t="inlineStr">
        <is>
          <t>LIBERAÇÃO MÁXIMA 2</t>
        </is>
      </c>
      <c r="P1045" s="16" t="n"/>
      <c r="Q1045" s="16" t="n"/>
      <c r="R1045" s="16" t="n"/>
      <c r="S1045" s="17" t="n"/>
      <c r="T1045" s="137" t="n"/>
      <c r="U1045" s="56" t="inlineStr">
        <is>
          <t>LIBERAÇÃO MÁXIMA 3</t>
        </is>
      </c>
      <c r="V1045" s="16" t="n"/>
      <c r="W1045" s="16" t="n"/>
      <c r="X1045" s="16" t="n"/>
      <c r="Y1045" s="17" t="n"/>
      <c r="Z1045" s="137" t="n"/>
      <c r="AB1045" s="56" t="inlineStr">
        <is>
          <t>LIBERAÇÃO MÁXIMA 1</t>
        </is>
      </c>
      <c r="AC1045" s="16" t="n"/>
      <c r="AD1045" s="16" t="n"/>
      <c r="AE1045" s="16" t="n"/>
      <c r="AF1045" s="17" t="n"/>
      <c r="AG1045" s="137" t="n"/>
      <c r="AH1045" s="56" t="inlineStr">
        <is>
          <t>LIBERAÇÃO MÁXIMA 2</t>
        </is>
      </c>
      <c r="AI1045" s="16" t="n"/>
      <c r="AJ1045" s="16" t="n"/>
      <c r="AK1045" s="16" t="n"/>
      <c r="AL1045" s="17" t="n"/>
      <c r="AM1045" s="137" t="n"/>
      <c r="AN1045" s="56" t="inlineStr">
        <is>
          <t>LIBERAÇÃO MÁXIMA 3</t>
        </is>
      </c>
      <c r="AO1045" s="16" t="n"/>
      <c r="AP1045" s="16" t="n"/>
      <c r="AQ1045" s="16" t="n"/>
      <c r="AR1045" s="17" t="n"/>
      <c r="AS1045" s="137" t="n"/>
    </row>
    <row r="1046" hidden="1" outlineLevel="2">
      <c r="A1046" s="8" t="n"/>
      <c r="B1046" s="14" t="n"/>
      <c r="C1046" s="137" t="n"/>
      <c r="D1046" s="137" t="n"/>
      <c r="E1046" s="137" t="n"/>
      <c r="F1046" s="137" t="n"/>
      <c r="G1046" s="137" t="n"/>
      <c r="I1046" s="141" t="n">
        <v>3</v>
      </c>
      <c r="J1046" s="131" t="n"/>
      <c r="K1046" s="16" t="n"/>
      <c r="L1046" s="17" t="n"/>
      <c r="M1046" s="142">
        <f>DADOS_INVOC!$IZ$6</f>
        <v/>
      </c>
      <c r="N1046" s="137" t="n"/>
      <c r="O1046" s="141" t="n">
        <v>3</v>
      </c>
      <c r="P1046" s="131" t="n"/>
      <c r="Q1046" s="16" t="n"/>
      <c r="R1046" s="17" t="n"/>
      <c r="S1046" s="142">
        <f>DADOS_INVOC!$JA$6</f>
        <v/>
      </c>
      <c r="T1046" s="137" t="n"/>
      <c r="U1046" s="141" t="n">
        <v>3</v>
      </c>
      <c r="V1046" s="131" t="n"/>
      <c r="W1046" s="16" t="n"/>
      <c r="X1046" s="17" t="n"/>
      <c r="Y1046" s="142">
        <f>DADOS_INVOC!$JB$6</f>
        <v/>
      </c>
      <c r="Z1046" s="137" t="n"/>
      <c r="AB1046" s="141" t="n">
        <v>3</v>
      </c>
      <c r="AC1046" s="131" t="n"/>
      <c r="AD1046" s="16" t="n"/>
      <c r="AE1046" s="17" t="n"/>
      <c r="AF1046" s="142">
        <f>DADOS_INVOC!$IZ$12</f>
        <v/>
      </c>
      <c r="AG1046" s="137" t="n"/>
      <c r="AH1046" s="141" t="n">
        <v>3</v>
      </c>
      <c r="AI1046" s="131" t="n"/>
      <c r="AJ1046" s="16" t="n"/>
      <c r="AK1046" s="17" t="n"/>
      <c r="AL1046" s="142">
        <f>DADOS_INVOC!$JA$12</f>
        <v/>
      </c>
      <c r="AM1046" s="137" t="n"/>
      <c r="AN1046" s="141" t="n">
        <v>3</v>
      </c>
      <c r="AO1046" s="131" t="n"/>
      <c r="AP1046" s="16" t="n"/>
      <c r="AQ1046" s="17" t="n"/>
      <c r="AR1046" s="142">
        <f>DADOS_INVOC!$JB$12</f>
        <v/>
      </c>
      <c r="AS1046" s="137" t="n"/>
    </row>
    <row r="1047" hidden="1" outlineLevel="2">
      <c r="A1047" s="8" t="n"/>
      <c r="B1047" s="14" t="n"/>
      <c r="C1047" s="137" t="n"/>
      <c r="D1047" s="137" t="n"/>
      <c r="E1047" s="137" t="n"/>
      <c r="F1047" s="137" t="n"/>
      <c r="G1047" s="137" t="n"/>
      <c r="I1047" s="61" t="n"/>
      <c r="J1047" s="19" t="n"/>
      <c r="K1047" s="19" t="n"/>
      <c r="L1047" s="19" t="n"/>
      <c r="M1047" s="20" t="n"/>
      <c r="N1047" s="137" t="n"/>
      <c r="O1047" s="61" t="n"/>
      <c r="P1047" s="19" t="n"/>
      <c r="Q1047" s="19" t="n"/>
      <c r="R1047" s="19" t="n"/>
      <c r="S1047" s="20" t="n"/>
      <c r="T1047" s="137" t="n"/>
      <c r="U1047" s="61" t="n"/>
      <c r="V1047" s="19" t="n"/>
      <c r="W1047" s="19" t="n"/>
      <c r="X1047" s="19" t="n"/>
      <c r="Y1047" s="20" t="n"/>
      <c r="Z1047" s="137" t="n"/>
      <c r="AB1047" s="61" t="n"/>
      <c r="AC1047" s="19" t="n"/>
      <c r="AD1047" s="19" t="n"/>
      <c r="AE1047" s="19" t="n"/>
      <c r="AF1047" s="20" t="n"/>
      <c r="AG1047" s="137" t="n"/>
      <c r="AH1047" s="61" t="n"/>
      <c r="AI1047" s="19" t="n"/>
      <c r="AJ1047" s="19" t="n"/>
      <c r="AK1047" s="19" t="n"/>
      <c r="AL1047" s="20" t="n"/>
      <c r="AM1047" s="137" t="n"/>
      <c r="AN1047" s="61" t="n"/>
      <c r="AO1047" s="19" t="n"/>
      <c r="AP1047" s="19" t="n"/>
      <c r="AQ1047" s="19" t="n"/>
      <c r="AR1047" s="20" t="n"/>
      <c r="AS1047" s="137" t="n"/>
    </row>
    <row r="1048" hidden="1" outlineLevel="2">
      <c r="A1048" s="8" t="n"/>
      <c r="B1048" s="14" t="n"/>
      <c r="C1048" s="137" t="n"/>
      <c r="D1048" s="137" t="n"/>
      <c r="E1048" s="137" t="n"/>
      <c r="F1048" s="137" t="n"/>
      <c r="G1048" s="137" t="n"/>
      <c r="I1048" s="21" t="n"/>
      <c r="M1048" s="22" t="n"/>
      <c r="N1048" s="137" t="n"/>
      <c r="O1048" s="21" t="n"/>
      <c r="S1048" s="22" t="n"/>
      <c r="T1048" s="137" t="n"/>
      <c r="U1048" s="21" t="n"/>
      <c r="Y1048" s="22" t="n"/>
      <c r="Z1048" s="137" t="n"/>
      <c r="AB1048" s="21" t="n"/>
      <c r="AF1048" s="22" t="n"/>
      <c r="AG1048" s="137" t="n"/>
      <c r="AH1048" s="21" t="n"/>
      <c r="AL1048" s="22" t="n"/>
      <c r="AM1048" s="137" t="n"/>
      <c r="AN1048" s="21" t="n"/>
      <c r="AR1048" s="22" t="n"/>
      <c r="AS1048" s="137" t="n"/>
    </row>
    <row r="1049" hidden="1" outlineLevel="2">
      <c r="A1049" s="8" t="n"/>
      <c r="B1049" s="14" t="n"/>
      <c r="C1049" s="137" t="n"/>
      <c r="D1049" s="137" t="n"/>
      <c r="E1049" s="137" t="n"/>
      <c r="F1049" s="137" t="n"/>
      <c r="G1049" s="137" t="n"/>
      <c r="I1049" s="21" t="n"/>
      <c r="M1049" s="22" t="n"/>
      <c r="N1049" s="137" t="n"/>
      <c r="O1049" s="21" t="n"/>
      <c r="S1049" s="22" t="n"/>
      <c r="T1049" s="137" t="n"/>
      <c r="U1049" s="21" t="n"/>
      <c r="Y1049" s="22" t="n"/>
      <c r="Z1049" s="137" t="n"/>
      <c r="AB1049" s="21" t="n"/>
      <c r="AF1049" s="22" t="n"/>
      <c r="AG1049" s="137" t="n"/>
      <c r="AH1049" s="21" t="n"/>
      <c r="AL1049" s="22" t="n"/>
      <c r="AM1049" s="137" t="n"/>
      <c r="AN1049" s="21" t="n"/>
      <c r="AR1049" s="22" t="n"/>
      <c r="AS1049" s="137" t="n"/>
    </row>
    <row r="1050" hidden="1" outlineLevel="2">
      <c r="A1050" s="8" t="n"/>
      <c r="B1050" s="14" t="n"/>
      <c r="C1050" s="137" t="n"/>
      <c r="D1050" s="137" t="n"/>
      <c r="E1050" s="137" t="n"/>
      <c r="F1050" s="137" t="n"/>
      <c r="G1050" s="137" t="n"/>
      <c r="I1050" s="23" t="n"/>
      <c r="J1050" s="24" t="n"/>
      <c r="K1050" s="24" t="n"/>
      <c r="L1050" s="24" t="n"/>
      <c r="M1050" s="25" t="n"/>
      <c r="N1050" s="137" t="n"/>
      <c r="O1050" s="23" t="n"/>
      <c r="P1050" s="24" t="n"/>
      <c r="Q1050" s="24" t="n"/>
      <c r="R1050" s="24" t="n"/>
      <c r="S1050" s="25" t="n"/>
      <c r="T1050" s="137" t="n"/>
      <c r="U1050" s="23" t="n"/>
      <c r="V1050" s="24" t="n"/>
      <c r="W1050" s="24" t="n"/>
      <c r="X1050" s="24" t="n"/>
      <c r="Y1050" s="25" t="n"/>
      <c r="Z1050" s="137" t="n"/>
      <c r="AB1050" s="23" t="n"/>
      <c r="AC1050" s="24" t="n"/>
      <c r="AD1050" s="24" t="n"/>
      <c r="AE1050" s="24" t="n"/>
      <c r="AF1050" s="25" t="n"/>
      <c r="AG1050" s="137" t="n"/>
      <c r="AH1050" s="23" t="n"/>
      <c r="AI1050" s="24" t="n"/>
      <c r="AJ1050" s="24" t="n"/>
      <c r="AK1050" s="24" t="n"/>
      <c r="AL1050" s="25" t="n"/>
      <c r="AM1050" s="137" t="n"/>
      <c r="AN1050" s="23" t="n"/>
      <c r="AO1050" s="24" t="n"/>
      <c r="AP1050" s="24" t="n"/>
      <c r="AQ1050" s="24" t="n"/>
      <c r="AR1050" s="25" t="n"/>
      <c r="AS1050" s="137" t="n"/>
    </row>
    <row r="1051" hidden="1" outlineLevel="2">
      <c r="A1051" s="8" t="n"/>
      <c r="B1051" s="14" t="n"/>
      <c r="C1051" s="137" t="n"/>
      <c r="D1051" s="137" t="n"/>
      <c r="E1051" s="137" t="n"/>
      <c r="F1051" s="137" t="n"/>
      <c r="G1051" s="137" t="n"/>
      <c r="I1051" s="71">
        <f>DADOS_INVOC!$JC$6</f>
        <v/>
      </c>
      <c r="J1051" s="16" t="n"/>
      <c r="K1051" s="16" t="n"/>
      <c r="L1051" s="16" t="n"/>
      <c r="M1051" s="17" t="n"/>
      <c r="N1051" s="137" t="n"/>
      <c r="O1051" s="71">
        <f>DADOS_INVOC!$JD$6</f>
        <v/>
      </c>
      <c r="P1051" s="16" t="n"/>
      <c r="Q1051" s="16" t="n"/>
      <c r="R1051" s="16" t="n"/>
      <c r="S1051" s="17" t="n"/>
      <c r="T1051" s="137" t="n"/>
      <c r="U1051" s="71">
        <f>DADOS_INVOC!$JE$6</f>
        <v/>
      </c>
      <c r="V1051" s="16" t="n"/>
      <c r="W1051" s="16" t="n"/>
      <c r="X1051" s="16" t="n"/>
      <c r="Y1051" s="17" t="n"/>
      <c r="Z1051" s="137" t="n"/>
      <c r="AB1051" s="71">
        <f>DADOS_INVOC!$JC$12</f>
        <v/>
      </c>
      <c r="AC1051" s="16" t="n"/>
      <c r="AD1051" s="16" t="n"/>
      <c r="AE1051" s="16" t="n"/>
      <c r="AF1051" s="17" t="n"/>
      <c r="AG1051" s="137" t="n"/>
      <c r="AH1051" s="71">
        <f>DADOS_INVOC!$JD$12</f>
        <v/>
      </c>
      <c r="AI1051" s="16" t="n"/>
      <c r="AJ1051" s="16" t="n"/>
      <c r="AK1051" s="16" t="n"/>
      <c r="AL1051" s="17" t="n"/>
      <c r="AM1051" s="137" t="n"/>
      <c r="AN1051" s="71">
        <f>DADOS_INVOC!$JE$12</f>
        <v/>
      </c>
      <c r="AO1051" s="16" t="n"/>
      <c r="AP1051" s="16" t="n"/>
      <c r="AQ1051" s="16" t="n"/>
      <c r="AR1051" s="17" t="n"/>
      <c r="AS1051" s="137" t="n"/>
    </row>
    <row r="1052" hidden="1" outlineLevel="2">
      <c r="A1052" s="8" t="n"/>
      <c r="B1052" s="14" t="n"/>
      <c r="C1052" s="137" t="n"/>
      <c r="D1052" s="137" t="n"/>
      <c r="E1052" s="137" t="n"/>
      <c r="F1052" s="137" t="n"/>
      <c r="G1052" s="137" t="n"/>
      <c r="I1052" s="95" t="inlineStr">
        <is>
          <t>Sua Ação Completa + a básica dela</t>
        </is>
      </c>
      <c r="J1052" s="16" t="n"/>
      <c r="K1052" s="16" t="n"/>
      <c r="L1052" s="16" t="n"/>
      <c r="M1052" s="17" t="n"/>
      <c r="N1052" s="137" t="n"/>
      <c r="O1052" s="95" t="inlineStr">
        <is>
          <t>Sua Ação Completa + a básica dela</t>
        </is>
      </c>
      <c r="P1052" s="16" t="n"/>
      <c r="Q1052" s="16" t="n"/>
      <c r="R1052" s="16" t="n"/>
      <c r="S1052" s="17" t="n"/>
      <c r="T1052" s="137" t="n"/>
      <c r="U1052" s="95" t="inlineStr">
        <is>
          <t>Sua Ação Completa + a básica dela</t>
        </is>
      </c>
      <c r="V1052" s="16" t="n"/>
      <c r="W1052" s="16" t="n"/>
      <c r="X1052" s="16" t="n"/>
      <c r="Y1052" s="17" t="n"/>
      <c r="Z1052" s="137" t="n"/>
      <c r="AB1052" s="95" t="inlineStr">
        <is>
          <t>Sua Ação Completa + a básica dela</t>
        </is>
      </c>
      <c r="AC1052" s="16" t="n"/>
      <c r="AD1052" s="16" t="n"/>
      <c r="AE1052" s="16" t="n"/>
      <c r="AF1052" s="17" t="n"/>
      <c r="AG1052" s="137" t="n"/>
      <c r="AH1052" s="95" t="inlineStr">
        <is>
          <t>Sua Ação Completa + a básica dela</t>
        </is>
      </c>
      <c r="AI1052" s="16" t="n"/>
      <c r="AJ1052" s="16" t="n"/>
      <c r="AK1052" s="16" t="n"/>
      <c r="AL1052" s="17" t="n"/>
      <c r="AM1052" s="137" t="n"/>
      <c r="AN1052" s="95" t="inlineStr">
        <is>
          <t>Sua Ação Completa + a básica dela</t>
        </is>
      </c>
      <c r="AO1052" s="16" t="n"/>
      <c r="AP1052" s="16" t="n"/>
      <c r="AQ1052" s="16" t="n"/>
      <c r="AR1052" s="17" t="n"/>
      <c r="AS1052" s="137" t="n"/>
    </row>
    <row r="1053" hidden="1" outlineLevel="2">
      <c r="A1053" s="8" t="n"/>
      <c r="B1053" s="14" t="n"/>
      <c r="C1053" s="137" t="n"/>
      <c r="D1053" s="137" t="n"/>
      <c r="E1053" s="137" t="n"/>
      <c r="F1053" s="137" t="n"/>
      <c r="G1053" s="137" t="n"/>
      <c r="I1053" s="137" t="n"/>
      <c r="J1053" s="137" t="n"/>
      <c r="K1053" s="137" t="n"/>
      <c r="L1053" s="137" t="n"/>
      <c r="M1053" s="137" t="n"/>
      <c r="N1053" s="137" t="n"/>
      <c r="O1053" s="137" t="n"/>
      <c r="P1053" s="137" t="n"/>
      <c r="Q1053" s="137" t="n"/>
      <c r="R1053" s="137" t="n"/>
      <c r="S1053" s="137" t="n"/>
      <c r="T1053" s="137" t="n"/>
      <c r="U1053" s="137" t="n"/>
      <c r="V1053" s="137" t="n"/>
      <c r="W1053" s="137" t="n"/>
      <c r="X1053" s="137" t="n"/>
      <c r="Y1053" s="137" t="n"/>
      <c r="Z1053" s="137" t="n"/>
      <c r="AB1053" s="137" t="n"/>
      <c r="AC1053" s="137" t="n"/>
      <c r="AD1053" s="137" t="n"/>
      <c r="AE1053" s="137" t="n"/>
      <c r="AF1053" s="137" t="n"/>
      <c r="AG1053" s="137" t="n"/>
      <c r="AH1053" s="137" t="n"/>
      <c r="AI1053" s="137" t="n"/>
      <c r="AJ1053" s="137" t="n"/>
      <c r="AK1053" s="137" t="n"/>
      <c r="AL1053" s="137" t="n"/>
      <c r="AM1053" s="137" t="n"/>
      <c r="AN1053" s="137" t="n"/>
      <c r="AO1053" s="137" t="n"/>
      <c r="AP1053" s="137" t="n"/>
      <c r="AQ1053" s="137" t="n"/>
      <c r="AR1053" s="137" t="n"/>
      <c r="AS1053" s="137" t="n"/>
    </row>
    <row r="1054" hidden="1" outlineLevel="2">
      <c r="A1054" s="8" t="n"/>
      <c r="B1054" s="14" t="n"/>
      <c r="C1054" s="137" t="n"/>
      <c r="D1054" s="137" t="n"/>
      <c r="E1054" s="137" t="n"/>
      <c r="F1054" s="137" t="n"/>
      <c r="G1054" s="137" t="n"/>
      <c r="I1054" s="56" t="inlineStr">
        <is>
          <t>TÉCNICA MÁXIMA</t>
        </is>
      </c>
      <c r="J1054" s="16" t="n"/>
      <c r="K1054" s="16" t="n"/>
      <c r="L1054" s="16" t="n"/>
      <c r="M1054" s="17" t="n"/>
      <c r="N1054" s="137" t="n"/>
      <c r="O1054" s="56" t="inlineStr">
        <is>
          <t>EXPANSÃO DE DOMÍNIO</t>
        </is>
      </c>
      <c r="P1054" s="16" t="n"/>
      <c r="Q1054" s="16" t="n"/>
      <c r="R1054" s="16" t="n"/>
      <c r="S1054" s="17" t="n"/>
      <c r="T1054" s="137" t="n"/>
      <c r="U1054" s="137" t="n"/>
      <c r="V1054" s="137" t="n"/>
      <c r="W1054" s="137" t="n"/>
      <c r="X1054" s="137" t="n"/>
      <c r="Y1054" s="137" t="n"/>
      <c r="Z1054" s="137" t="n"/>
      <c r="AB1054" s="56" t="inlineStr">
        <is>
          <t>TÉCNICA MÁXIMA</t>
        </is>
      </c>
      <c r="AC1054" s="16" t="n"/>
      <c r="AD1054" s="16" t="n"/>
      <c r="AE1054" s="16" t="n"/>
      <c r="AF1054" s="17" t="n"/>
      <c r="AG1054" s="137" t="n"/>
      <c r="AH1054" s="56" t="inlineStr">
        <is>
          <t>EXPANSÃO DE DOMÍNIO</t>
        </is>
      </c>
      <c r="AI1054" s="16" t="n"/>
      <c r="AJ1054" s="16" t="n"/>
      <c r="AK1054" s="16" t="n"/>
      <c r="AL1054" s="17" t="n"/>
      <c r="AM1054" s="137" t="n"/>
      <c r="AN1054" s="137" t="n"/>
      <c r="AO1054" s="137" t="n"/>
      <c r="AP1054" s="137" t="n"/>
      <c r="AQ1054" s="137" t="n"/>
      <c r="AR1054" s="137" t="n"/>
      <c r="AS1054" s="137" t="n"/>
    </row>
    <row r="1055" hidden="1" outlineLevel="2">
      <c r="A1055" s="8" t="n"/>
      <c r="B1055" s="14" t="n"/>
      <c r="C1055" s="137" t="n"/>
      <c r="D1055" s="137" t="n"/>
      <c r="E1055" s="137" t="n"/>
      <c r="F1055" s="137" t="n"/>
      <c r="G1055" s="137" t="n"/>
      <c r="I1055" s="131" t="n"/>
      <c r="J1055" s="16" t="n"/>
      <c r="K1055" s="16" t="n"/>
      <c r="L1055" s="17" t="n"/>
      <c r="M1055" s="142">
        <f>DADOS_INVOC!$JF$6</f>
        <v/>
      </c>
      <c r="N1055" s="137" t="n"/>
      <c r="O1055" s="131" t="n"/>
      <c r="P1055" s="16" t="n"/>
      <c r="Q1055" s="16" t="n"/>
      <c r="R1055" s="17" t="n"/>
      <c r="S1055" s="142">
        <f>DADOS_INVOC!$JH$6</f>
        <v/>
      </c>
      <c r="T1055" s="137" t="n"/>
      <c r="U1055" s="137" t="n"/>
      <c r="V1055" s="137" t="n"/>
      <c r="W1055" s="137" t="n"/>
      <c r="X1055" s="137" t="n"/>
      <c r="Y1055" s="137" t="n"/>
      <c r="Z1055" s="137" t="n"/>
      <c r="AB1055" s="131" t="n"/>
      <c r="AC1055" s="16" t="n"/>
      <c r="AD1055" s="16" t="n"/>
      <c r="AE1055" s="17" t="n"/>
      <c r="AF1055" s="142">
        <f>DADOS_INVOC!$JF$12</f>
        <v/>
      </c>
      <c r="AG1055" s="137" t="n"/>
      <c r="AH1055" s="131" t="n"/>
      <c r="AI1055" s="16" t="n"/>
      <c r="AJ1055" s="16" t="n"/>
      <c r="AK1055" s="17" t="n"/>
      <c r="AL1055" s="142">
        <f>DADOS_INVOC!$JH$12</f>
        <v/>
      </c>
      <c r="AM1055" s="137" t="n"/>
      <c r="AN1055" s="137" t="n"/>
      <c r="AO1055" s="137" t="n"/>
      <c r="AP1055" s="137" t="n"/>
      <c r="AQ1055" s="137" t="n"/>
      <c r="AR1055" s="137" t="n"/>
      <c r="AS1055" s="137" t="n"/>
    </row>
    <row r="1056" hidden="1" outlineLevel="2">
      <c r="A1056" s="8" t="n"/>
      <c r="B1056" s="14" t="n"/>
      <c r="C1056" s="137" t="n"/>
      <c r="D1056" s="137" t="n"/>
      <c r="E1056" s="137" t="n"/>
      <c r="F1056" s="137" t="n"/>
      <c r="G1056" s="137" t="n"/>
      <c r="I1056" s="61" t="n"/>
      <c r="J1056" s="19" t="n"/>
      <c r="K1056" s="19" t="n"/>
      <c r="L1056" s="19" t="n"/>
      <c r="M1056" s="20" t="n"/>
      <c r="N1056" s="137" t="n"/>
      <c r="O1056" s="61" t="n"/>
      <c r="P1056" s="19" t="n"/>
      <c r="Q1056" s="19" t="n"/>
      <c r="R1056" s="19" t="n"/>
      <c r="S1056" s="20" t="n"/>
      <c r="T1056" s="137" t="n"/>
      <c r="U1056" s="137" t="n"/>
      <c r="V1056" s="137" t="n"/>
      <c r="W1056" s="137" t="n"/>
      <c r="X1056" s="137" t="n"/>
      <c r="Y1056" s="137" t="n"/>
      <c r="Z1056" s="137" t="n"/>
      <c r="AB1056" s="61" t="n"/>
      <c r="AC1056" s="19" t="n"/>
      <c r="AD1056" s="19" t="n"/>
      <c r="AE1056" s="19" t="n"/>
      <c r="AF1056" s="20" t="n"/>
      <c r="AG1056" s="137" t="n"/>
      <c r="AH1056" s="61" t="n"/>
      <c r="AI1056" s="19" t="n"/>
      <c r="AJ1056" s="19" t="n"/>
      <c r="AK1056" s="19" t="n"/>
      <c r="AL1056" s="20" t="n"/>
      <c r="AM1056" s="137" t="n"/>
      <c r="AN1056" s="137" t="n"/>
      <c r="AO1056" s="137" t="n"/>
      <c r="AP1056" s="137" t="n"/>
      <c r="AQ1056" s="137" t="n"/>
      <c r="AR1056" s="137" t="n"/>
      <c r="AS1056" s="137" t="n"/>
    </row>
    <row r="1057" hidden="1" outlineLevel="2">
      <c r="A1057" s="8" t="n"/>
      <c r="B1057" s="14" t="n"/>
      <c r="C1057" s="137" t="n"/>
      <c r="D1057" s="137" t="n"/>
      <c r="E1057" s="137" t="n"/>
      <c r="F1057" s="137" t="n"/>
      <c r="G1057" s="137" t="n"/>
      <c r="I1057" s="21" t="n"/>
      <c r="M1057" s="22" t="n"/>
      <c r="N1057" s="137" t="n"/>
      <c r="O1057" s="21" t="n"/>
      <c r="S1057" s="22" t="n"/>
      <c r="T1057" s="137" t="n"/>
      <c r="U1057" s="137" t="n"/>
      <c r="V1057" s="137" t="n"/>
      <c r="W1057" s="137" t="n"/>
      <c r="X1057" s="137" t="n"/>
      <c r="Y1057" s="137" t="n"/>
      <c r="Z1057" s="137" t="n"/>
      <c r="AB1057" s="21" t="n"/>
      <c r="AF1057" s="22" t="n"/>
      <c r="AG1057" s="137" t="n"/>
      <c r="AH1057" s="21" t="n"/>
      <c r="AL1057" s="22" t="n"/>
      <c r="AM1057" s="137" t="n"/>
      <c r="AN1057" s="137" t="n"/>
      <c r="AO1057" s="137" t="n"/>
      <c r="AP1057" s="137" t="n"/>
      <c r="AQ1057" s="137" t="n"/>
      <c r="AR1057" s="137" t="n"/>
      <c r="AS1057" s="137" t="n"/>
    </row>
    <row r="1058" hidden="1" outlineLevel="2">
      <c r="A1058" s="8" t="n"/>
      <c r="B1058" s="14" t="n"/>
      <c r="C1058" s="137" t="n"/>
      <c r="D1058" s="137" t="n"/>
      <c r="E1058" s="137" t="n"/>
      <c r="F1058" s="137" t="n"/>
      <c r="G1058" s="137" t="n"/>
      <c r="I1058" s="21" t="n"/>
      <c r="M1058" s="22" t="n"/>
      <c r="N1058" s="137" t="n"/>
      <c r="O1058" s="21" t="n"/>
      <c r="S1058" s="22" t="n"/>
      <c r="T1058" s="137" t="n"/>
      <c r="U1058" s="137" t="n"/>
      <c r="V1058" s="137" t="n"/>
      <c r="W1058" s="137" t="n"/>
      <c r="X1058" s="137" t="n"/>
      <c r="Y1058" s="137" t="n"/>
      <c r="Z1058" s="137" t="n"/>
      <c r="AB1058" s="21" t="n"/>
      <c r="AF1058" s="22" t="n"/>
      <c r="AG1058" s="137" t="n"/>
      <c r="AH1058" s="21" t="n"/>
      <c r="AL1058" s="22" t="n"/>
      <c r="AM1058" s="137" t="n"/>
      <c r="AN1058" s="137" t="n"/>
      <c r="AO1058" s="137" t="n"/>
      <c r="AP1058" s="137" t="n"/>
      <c r="AQ1058" s="137" t="n"/>
      <c r="AR1058" s="137" t="n"/>
      <c r="AS1058" s="137" t="n"/>
    </row>
    <row r="1059" hidden="1" outlineLevel="2">
      <c r="A1059" s="8" t="n"/>
      <c r="B1059" s="14" t="n"/>
      <c r="C1059" s="137" t="n"/>
      <c r="D1059" s="137" t="n"/>
      <c r="E1059" s="137" t="n"/>
      <c r="F1059" s="137" t="n"/>
      <c r="G1059" s="137" t="n"/>
      <c r="I1059" s="23" t="n"/>
      <c r="J1059" s="24" t="n"/>
      <c r="K1059" s="24" t="n"/>
      <c r="L1059" s="24" t="n"/>
      <c r="M1059" s="25" t="n"/>
      <c r="N1059" s="137" t="n"/>
      <c r="O1059" s="23" t="n"/>
      <c r="P1059" s="24" t="n"/>
      <c r="Q1059" s="24" t="n"/>
      <c r="R1059" s="24" t="n"/>
      <c r="S1059" s="25" t="n"/>
      <c r="T1059" s="137" t="n"/>
      <c r="U1059" s="137" t="n"/>
      <c r="V1059" s="137" t="n"/>
      <c r="W1059" s="137" t="n"/>
      <c r="X1059" s="137" t="n"/>
      <c r="Y1059" s="137" t="n"/>
      <c r="Z1059" s="137" t="n"/>
      <c r="AB1059" s="23" t="n"/>
      <c r="AC1059" s="24" t="n"/>
      <c r="AD1059" s="24" t="n"/>
      <c r="AE1059" s="24" t="n"/>
      <c r="AF1059" s="25" t="n"/>
      <c r="AG1059" s="137" t="n"/>
      <c r="AH1059" s="23" t="n"/>
      <c r="AI1059" s="24" t="n"/>
      <c r="AJ1059" s="24" t="n"/>
      <c r="AK1059" s="24" t="n"/>
      <c r="AL1059" s="25" t="n"/>
      <c r="AM1059" s="137" t="n"/>
      <c r="AN1059" s="137" t="n"/>
      <c r="AO1059" s="137" t="n"/>
      <c r="AP1059" s="137" t="n"/>
      <c r="AQ1059" s="137" t="n"/>
      <c r="AR1059" s="137" t="n"/>
      <c r="AS1059" s="137" t="n"/>
    </row>
    <row r="1060" hidden="1" outlineLevel="2">
      <c r="A1060" s="8" t="n"/>
      <c r="B1060" s="14" t="n"/>
      <c r="C1060" s="137" t="n"/>
      <c r="D1060" s="137" t="n"/>
      <c r="E1060" s="137" t="n"/>
      <c r="F1060" s="137" t="n"/>
      <c r="G1060" s="137" t="n"/>
      <c r="I1060" s="71">
        <f>DADOS_INVOC!$JG$6</f>
        <v/>
      </c>
      <c r="J1060" s="16" t="n"/>
      <c r="K1060" s="16" t="n"/>
      <c r="L1060" s="16" t="n"/>
      <c r="M1060" s="17" t="n"/>
      <c r="N1060" s="137" t="n"/>
      <c r="O1060" s="95" t="n"/>
      <c r="P1060" s="17" t="n"/>
      <c r="Q1060" s="71">
        <f>DADOS_INVOC!$JI$6</f>
        <v/>
      </c>
      <c r="R1060" s="16" t="n"/>
      <c r="S1060" s="17" t="n"/>
      <c r="T1060" s="137" t="n"/>
      <c r="U1060" s="137" t="n"/>
      <c r="V1060" s="137" t="n"/>
      <c r="W1060" s="137" t="n"/>
      <c r="X1060" s="137" t="n"/>
      <c r="Y1060" s="137" t="n"/>
      <c r="Z1060" s="137" t="n"/>
      <c r="AB1060" s="71">
        <f>DADOS_INVOC!$JG$12</f>
        <v/>
      </c>
      <c r="AC1060" s="16" t="n"/>
      <c r="AD1060" s="16" t="n"/>
      <c r="AE1060" s="16" t="n"/>
      <c r="AF1060" s="17" t="n"/>
      <c r="AG1060" s="137" t="n"/>
      <c r="AH1060" s="95" t="n"/>
      <c r="AI1060" s="17" t="n"/>
      <c r="AJ1060" s="71">
        <f>DADOS_INVOC!$JI$12</f>
        <v/>
      </c>
      <c r="AK1060" s="16" t="n"/>
      <c r="AL1060" s="17" t="n"/>
      <c r="AM1060" s="137" t="n"/>
      <c r="AN1060" s="137" t="n"/>
      <c r="AO1060" s="137" t="n"/>
      <c r="AP1060" s="137" t="n"/>
      <c r="AQ1060" s="137" t="n"/>
      <c r="AR1060" s="137" t="n"/>
      <c r="AS1060" s="137" t="n"/>
    </row>
    <row r="1061" hidden="1" outlineLevel="2">
      <c r="A1061" s="8" t="n"/>
      <c r="B1061" s="14" t="n"/>
      <c r="C1061" s="137" t="n"/>
      <c r="D1061" s="137" t="n"/>
      <c r="E1061" s="137" t="n"/>
      <c r="F1061" s="137" t="n"/>
      <c r="G1061" s="137" t="n"/>
      <c r="I1061" s="95" t="inlineStr">
        <is>
          <t>Sua Ação Completa + a básica dela</t>
        </is>
      </c>
      <c r="J1061" s="16" t="n"/>
      <c r="K1061" s="16" t="n"/>
      <c r="L1061" s="16" t="n"/>
      <c r="M1061" s="17" t="n"/>
      <c r="N1061" s="137" t="n"/>
      <c r="O1061" s="143">
        <f>DADOS_INVOC!$JJ$6</f>
        <v/>
      </c>
      <c r="P1061" s="16" t="n"/>
      <c r="Q1061" s="16" t="n"/>
      <c r="R1061" s="16" t="n"/>
      <c r="S1061" s="17" t="n"/>
      <c r="T1061" s="137" t="n"/>
      <c r="U1061" s="137" t="n"/>
      <c r="V1061" s="137" t="n"/>
      <c r="W1061" s="137" t="n"/>
      <c r="X1061" s="137" t="n"/>
      <c r="Y1061" s="137" t="n"/>
      <c r="Z1061" s="137" t="n"/>
      <c r="AB1061" s="95" t="inlineStr">
        <is>
          <t>Sua Ação Completa + a básica dela</t>
        </is>
      </c>
      <c r="AC1061" s="16" t="n"/>
      <c r="AD1061" s="16" t="n"/>
      <c r="AE1061" s="16" t="n"/>
      <c r="AF1061" s="17" t="n"/>
      <c r="AG1061" s="137" t="n"/>
      <c r="AH1061" s="143">
        <f>DADOS_INVOC!$JJ$12</f>
        <v/>
      </c>
      <c r="AI1061" s="16" t="n"/>
      <c r="AJ1061" s="16" t="n"/>
      <c r="AK1061" s="16" t="n"/>
      <c r="AL1061" s="17" t="n"/>
      <c r="AM1061" s="137" t="n"/>
      <c r="AN1061" s="137" t="n"/>
      <c r="AO1061" s="137" t="n"/>
      <c r="AP1061" s="137" t="n"/>
      <c r="AQ1061" s="137" t="n"/>
      <c r="AR1061" s="137" t="n"/>
      <c r="AS1061" s="137" t="n"/>
    </row>
    <row r="1062">
      <c r="A1062" s="8" t="n"/>
      <c r="B1062" s="14" t="n"/>
      <c r="C1062" s="137" t="n"/>
      <c r="D1062" s="137" t="n"/>
      <c r="E1062" s="137" t="n"/>
      <c r="F1062" s="137" t="n"/>
      <c r="G1062" s="137" t="n"/>
      <c r="H1062" s="137" t="n"/>
      <c r="I1062" s="137" t="n"/>
      <c r="J1062" s="137" t="n"/>
      <c r="K1062" s="137" t="n"/>
      <c r="L1062" s="137" t="n"/>
      <c r="M1062" s="137" t="n"/>
      <c r="N1062" s="137" t="n"/>
      <c r="O1062" s="137" t="n"/>
      <c r="P1062" s="137" t="n"/>
      <c r="Q1062" s="137" t="n"/>
      <c r="R1062" s="137" t="n"/>
      <c r="S1062" s="137" t="n"/>
      <c r="T1062" s="137" t="n"/>
      <c r="U1062" s="137" t="n"/>
      <c r="V1062" s="137" t="n"/>
      <c r="W1062" s="137" t="n"/>
      <c r="X1062" s="137" t="n"/>
      <c r="Y1062" s="137" t="n"/>
      <c r="Z1062" s="137" t="n"/>
      <c r="AA1062" s="137" t="n"/>
      <c r="AB1062" s="137" t="n"/>
      <c r="AC1062" s="137" t="n"/>
      <c r="AD1062" s="137" t="n"/>
      <c r="AE1062" s="137" t="n"/>
      <c r="AF1062" s="137" t="n"/>
      <c r="AG1062" s="137" t="n"/>
      <c r="AH1062" s="137" t="n"/>
      <c r="AI1062" s="137" t="n"/>
      <c r="AJ1062" s="137" t="n"/>
      <c r="AK1062" s="137" t="n"/>
      <c r="AL1062" s="137" t="n"/>
      <c r="AM1062" s="137" t="n"/>
      <c r="AN1062" s="137" t="n"/>
      <c r="AO1062" s="137" t="n"/>
      <c r="AP1062" s="137" t="n"/>
      <c r="AQ1062" s="137" t="n"/>
      <c r="AR1062" s="137" t="n"/>
      <c r="AS1062" s="137" t="n"/>
    </row>
    <row r="1063">
      <c r="A1063" s="8" t="n"/>
      <c r="B1063" s="14" t="n"/>
      <c r="C1063" s="137" t="n"/>
      <c r="D1063" s="137" t="n"/>
      <c r="E1063" s="137" t="n"/>
      <c r="F1063" s="137" t="n"/>
      <c r="G1063" s="137" t="n"/>
      <c r="H1063" s="137" t="n"/>
      <c r="I1063" s="137" t="n"/>
      <c r="J1063" s="137" t="n"/>
      <c r="K1063" s="137" t="n"/>
      <c r="L1063" s="137" t="n"/>
      <c r="M1063" s="137" t="n"/>
      <c r="N1063" s="137" t="n"/>
      <c r="O1063" s="137" t="n"/>
      <c r="P1063" s="137" t="n"/>
      <c r="Q1063" s="137" t="n"/>
      <c r="R1063" s="137" t="n"/>
      <c r="S1063" s="137" t="n"/>
      <c r="T1063" s="137" t="n"/>
      <c r="U1063" s="137" t="n"/>
      <c r="V1063" s="137" t="n"/>
      <c r="W1063" s="137" t="n"/>
      <c r="X1063" s="137" t="n"/>
      <c r="Y1063" s="137" t="n"/>
      <c r="Z1063" s="137" t="n"/>
      <c r="AA1063" s="137" t="n"/>
      <c r="AB1063" s="137" t="n"/>
      <c r="AC1063" s="137" t="n"/>
      <c r="AD1063" s="137" t="n"/>
      <c r="AE1063" s="137" t="n"/>
      <c r="AF1063" s="137" t="n"/>
      <c r="AG1063" s="137" t="n"/>
      <c r="AH1063" s="137" t="n"/>
      <c r="AI1063" s="137" t="n"/>
      <c r="AJ1063" s="137" t="n"/>
      <c r="AK1063" s="137" t="n"/>
      <c r="AL1063" s="137" t="n"/>
      <c r="AM1063" s="137" t="n"/>
      <c r="AN1063" s="137" t="n"/>
      <c r="AO1063" s="137" t="n"/>
      <c r="AP1063" s="137" t="n"/>
      <c r="AQ1063" s="137" t="n"/>
      <c r="AR1063" s="137" t="n"/>
      <c r="AS1063" s="137" t="n"/>
    </row>
    <row r="1064">
      <c r="A1064" s="8" t="n"/>
      <c r="B1064" s="14" t="n"/>
      <c r="C1064" s="137" t="n"/>
      <c r="D1064" s="137" t="n"/>
      <c r="E1064" s="137" t="n"/>
      <c r="F1064" s="137" t="n"/>
      <c r="G1064" s="137" t="n"/>
      <c r="H1064" s="151" t="n">
        <v>6</v>
      </c>
      <c r="I1064" s="152" t="n">
        <v>6</v>
      </c>
      <c r="J1064" s="55">
        <f>DADOS_INVOC!$HG$7</f>
        <v/>
      </c>
      <c r="K1064" s="19" t="n"/>
      <c r="L1064" s="19" t="n"/>
      <c r="M1064" s="19" t="n"/>
      <c r="N1064" s="19" t="n"/>
      <c r="O1064" s="19" t="n"/>
      <c r="P1064" s="19" t="n"/>
      <c r="Q1064" s="19" t="n"/>
      <c r="R1064" s="19" t="n"/>
      <c r="S1064" s="19" t="n"/>
      <c r="T1064" s="19" t="n"/>
      <c r="U1064" s="19" t="n"/>
      <c r="V1064" s="19" t="n"/>
      <c r="W1064" s="19" t="n"/>
      <c r="X1064" s="19" t="n"/>
      <c r="Y1064" s="20" t="n"/>
      <c r="Z1064" s="137" t="n"/>
      <c r="AA1064" s="151" t="n">
        <v>12</v>
      </c>
      <c r="AB1064" s="152" t="n">
        <v>12</v>
      </c>
      <c r="AC1064" s="55">
        <f>DADOS_INVOC!$HG$13</f>
        <v/>
      </c>
      <c r="AD1064" s="19" t="n"/>
      <c r="AE1064" s="19" t="n"/>
      <c r="AF1064" s="19" t="n"/>
      <c r="AG1064" s="19" t="n"/>
      <c r="AH1064" s="19" t="n"/>
      <c r="AI1064" s="19" t="n"/>
      <c r="AJ1064" s="19" t="n"/>
      <c r="AK1064" s="19" t="n"/>
      <c r="AL1064" s="19" t="n"/>
      <c r="AM1064" s="19" t="n"/>
      <c r="AN1064" s="19" t="n"/>
      <c r="AO1064" s="19" t="n"/>
      <c r="AP1064" s="19" t="n"/>
      <c r="AQ1064" s="19" t="n"/>
      <c r="AR1064" s="20" t="n"/>
      <c r="AS1064" s="137" t="n"/>
    </row>
    <row r="1065">
      <c r="A1065" s="8" t="n"/>
      <c r="B1065" s="14" t="n"/>
      <c r="C1065" s="137" t="n"/>
      <c r="D1065" s="137" t="n"/>
      <c r="E1065" s="137" t="n"/>
      <c r="F1065" s="137" t="n"/>
      <c r="G1065" s="137" t="n"/>
      <c r="I1065" s="128" t="n"/>
      <c r="J1065" s="23" t="n"/>
      <c r="K1065" s="24" t="n"/>
      <c r="L1065" s="24" t="n"/>
      <c r="M1065" s="24" t="n"/>
      <c r="N1065" s="24" t="n"/>
      <c r="O1065" s="24" t="n"/>
      <c r="P1065" s="24" t="n"/>
      <c r="Q1065" s="24" t="n"/>
      <c r="R1065" s="24" t="n"/>
      <c r="S1065" s="24" t="n"/>
      <c r="T1065" s="24" t="n"/>
      <c r="U1065" s="24" t="n"/>
      <c r="V1065" s="24" t="n"/>
      <c r="W1065" s="24" t="n"/>
      <c r="X1065" s="24" t="n"/>
      <c r="Y1065" s="25" t="n"/>
      <c r="Z1065" s="137" t="n"/>
      <c r="AB1065" s="128" t="n"/>
      <c r="AC1065" s="23" t="n"/>
      <c r="AD1065" s="24" t="n"/>
      <c r="AE1065" s="24" t="n"/>
      <c r="AF1065" s="24" t="n"/>
      <c r="AG1065" s="24" t="n"/>
      <c r="AH1065" s="24" t="n"/>
      <c r="AI1065" s="24" t="n"/>
      <c r="AJ1065" s="24" t="n"/>
      <c r="AK1065" s="24" t="n"/>
      <c r="AL1065" s="24" t="n"/>
      <c r="AM1065" s="24" t="n"/>
      <c r="AN1065" s="24" t="n"/>
      <c r="AO1065" s="24" t="n"/>
      <c r="AP1065" s="24" t="n"/>
      <c r="AQ1065" s="24" t="n"/>
      <c r="AR1065" s="25" t="n"/>
      <c r="AS1065" s="137" t="n"/>
    </row>
    <row r="1066" hidden="1" outlineLevel="1">
      <c r="A1066" s="8" t="n"/>
      <c r="B1066" s="14" t="n"/>
      <c r="C1066" s="137" t="n"/>
      <c r="D1066" s="137" t="n"/>
      <c r="E1066" s="137" t="n"/>
      <c r="F1066" s="137" t="n"/>
      <c r="G1066" s="137" t="n"/>
      <c r="H1066" s="153">
        <f>DADOS_INVOC!$HH$7</f>
        <v/>
      </c>
      <c r="I1066" s="137" t="n"/>
      <c r="J1066" s="137" t="n"/>
      <c r="K1066" s="137" t="n"/>
      <c r="L1066" s="137" t="n"/>
      <c r="M1066" s="137" t="n"/>
      <c r="N1066" s="137" t="n"/>
      <c r="O1066" s="137" t="n"/>
      <c r="P1066" s="137" t="n"/>
      <c r="Q1066" s="137" t="n"/>
      <c r="R1066" s="137" t="n"/>
      <c r="S1066" s="137" t="n"/>
      <c r="T1066" s="137" t="n"/>
      <c r="U1066" s="137" t="n"/>
      <c r="V1066" s="137" t="n"/>
      <c r="W1066" s="137" t="n"/>
      <c r="X1066" s="137" t="n"/>
      <c r="Y1066" s="137" t="n"/>
      <c r="Z1066" s="137" t="n"/>
      <c r="AA1066" s="153">
        <f>DADOS_INVOC!$HH$13</f>
        <v/>
      </c>
      <c r="AB1066" s="137" t="n"/>
      <c r="AC1066" s="137" t="n"/>
      <c r="AD1066" s="137" t="n"/>
      <c r="AE1066" s="137" t="n"/>
      <c r="AF1066" s="137" t="n"/>
      <c r="AG1066" s="137" t="n"/>
      <c r="AH1066" s="137" t="n"/>
      <c r="AI1066" s="137" t="n"/>
      <c r="AJ1066" s="137" t="n"/>
      <c r="AK1066" s="137" t="n"/>
      <c r="AL1066" s="137" t="n"/>
      <c r="AM1066" s="137" t="n"/>
      <c r="AN1066" s="137" t="n"/>
      <c r="AO1066" s="137" t="n"/>
      <c r="AP1066" s="137" t="n"/>
      <c r="AQ1066" s="137" t="n"/>
      <c r="AR1066" s="137" t="n"/>
      <c r="AS1066" s="137" t="n"/>
    </row>
    <row r="1067" hidden="1" outlineLevel="1">
      <c r="A1067" s="8" t="n"/>
      <c r="B1067" s="14" t="n"/>
      <c r="C1067" s="137" t="n"/>
      <c r="D1067" s="137" t="n"/>
      <c r="E1067" s="137" t="n"/>
      <c r="F1067" s="137" t="n"/>
      <c r="G1067" s="137" t="n"/>
      <c r="I1067" s="56" t="inlineStr">
        <is>
          <t>NOME</t>
        </is>
      </c>
      <c r="J1067" s="16" t="n"/>
      <c r="K1067" s="16" t="n"/>
      <c r="L1067" s="16" t="n"/>
      <c r="M1067" s="17" t="n"/>
      <c r="N1067" s="137" t="n"/>
      <c r="O1067" s="56" t="inlineStr">
        <is>
          <t>NÍVEL</t>
        </is>
      </c>
      <c r="P1067" s="56" t="inlineStr">
        <is>
          <t>CLASSE</t>
        </is>
      </c>
      <c r="Q1067" s="56" t="inlineStr">
        <is>
          <t>MAESTRIA</t>
        </is>
      </c>
      <c r="R1067" s="56" t="inlineStr">
        <is>
          <t>ENTRADA</t>
        </is>
      </c>
      <c r="S1067" s="56" t="inlineStr">
        <is>
          <t>RETORNO</t>
        </is>
      </c>
      <c r="T1067" s="137" t="n"/>
      <c r="U1067" s="56" t="inlineStr">
        <is>
          <t>VIDA ATUAL</t>
        </is>
      </c>
      <c r="V1067" s="56" t="inlineStr">
        <is>
          <t>VIDA MÁXIMA</t>
        </is>
      </c>
      <c r="W1067" s="56" t="inlineStr">
        <is>
          <t>TEMPORÁRIA</t>
        </is>
      </c>
      <c r="X1067" s="56" t="inlineStr">
        <is>
          <t>± PERDA / GANHO</t>
        </is>
      </c>
      <c r="Y1067" s="56">
        <f>DADOS_INVOC!$IB$7</f>
        <v/>
      </c>
      <c r="Z1067" s="137" t="n"/>
      <c r="AB1067" s="56" t="inlineStr">
        <is>
          <t>NOME</t>
        </is>
      </c>
      <c r="AC1067" s="16" t="n"/>
      <c r="AD1067" s="16" t="n"/>
      <c r="AE1067" s="16" t="n"/>
      <c r="AF1067" s="17" t="n"/>
      <c r="AG1067" s="137" t="n"/>
      <c r="AH1067" s="56" t="inlineStr">
        <is>
          <t>NÍVEL</t>
        </is>
      </c>
      <c r="AI1067" s="56" t="inlineStr">
        <is>
          <t>CLASSE</t>
        </is>
      </c>
      <c r="AJ1067" s="56" t="inlineStr">
        <is>
          <t>MAESTRIA</t>
        </is>
      </c>
      <c r="AK1067" s="56" t="inlineStr">
        <is>
          <t>ENTRADA</t>
        </is>
      </c>
      <c r="AL1067" s="56" t="inlineStr">
        <is>
          <t>RETORNO</t>
        </is>
      </c>
      <c r="AM1067" s="137" t="n"/>
      <c r="AN1067" s="56" t="inlineStr">
        <is>
          <t>VIDA ATUAL</t>
        </is>
      </c>
      <c r="AO1067" s="56" t="inlineStr">
        <is>
          <t>VIDA MÁXIMA</t>
        </is>
      </c>
      <c r="AP1067" s="56" t="inlineStr">
        <is>
          <t>TEMPORÁRIA</t>
        </is>
      </c>
      <c r="AQ1067" s="56" t="inlineStr">
        <is>
          <t>± PERDA / GANHO</t>
        </is>
      </c>
      <c r="AR1067" s="56">
        <f>DADOS_INVOC!$IB$13</f>
        <v/>
      </c>
      <c r="AS1067" s="137" t="n"/>
    </row>
    <row r="1068" hidden="1" outlineLevel="1">
      <c r="A1068" s="8" t="n"/>
      <c r="B1068" s="14" t="n"/>
      <c r="C1068" s="137" t="n"/>
      <c r="D1068" s="137" t="n"/>
      <c r="E1068" s="137" t="n"/>
      <c r="F1068" s="137" t="n"/>
      <c r="G1068" s="137" t="n"/>
      <c r="I1068" s="87" t="n"/>
      <c r="J1068" s="19" t="n"/>
      <c r="K1068" s="19" t="n"/>
      <c r="L1068" s="19" t="n"/>
      <c r="M1068" s="20" t="n"/>
      <c r="N1068" s="137" t="n"/>
      <c r="O1068" s="105">
        <f>DADOS_INVOC!$FO$7</f>
        <v/>
      </c>
      <c r="P1068" s="105">
        <f>DADOS_INVOC!$FP$7</f>
        <v/>
      </c>
      <c r="Q1068" s="105">
        <f>DADOS_INVOC!$HI$7</f>
        <v/>
      </c>
      <c r="R1068" s="105">
        <f>DADOS_INVOC!$HJ$7</f>
        <v/>
      </c>
      <c r="S1068" s="105">
        <f>DADOS_INVOC!$HK$7</f>
        <v/>
      </c>
      <c r="T1068" s="137" t="n"/>
      <c r="U1068" s="105">
        <f>DADOS_INVOC!$GG$7</f>
        <v/>
      </c>
      <c r="V1068" s="105">
        <f>DADOS_INVOC!$GF$7</f>
        <v/>
      </c>
      <c r="W1068" s="105" t="n"/>
      <c r="X1068" s="105" t="n"/>
      <c r="Y1068" s="105" t="n"/>
      <c r="Z1068" s="137" t="n"/>
      <c r="AB1068" s="87" t="n"/>
      <c r="AC1068" s="19" t="n"/>
      <c r="AD1068" s="19" t="n"/>
      <c r="AE1068" s="19" t="n"/>
      <c r="AF1068" s="20" t="n"/>
      <c r="AG1068" s="137" t="n"/>
      <c r="AH1068" s="105">
        <f>DADOS_INVOC!$FO$13</f>
        <v/>
      </c>
      <c r="AI1068" s="105">
        <f>DADOS_INVOC!$FP$13</f>
        <v/>
      </c>
      <c r="AJ1068" s="105">
        <f>DADOS_INVOC!$HI$13</f>
        <v/>
      </c>
      <c r="AK1068" s="105">
        <f>DADOS_INVOC!$HJ$13</f>
        <v/>
      </c>
      <c r="AL1068" s="105">
        <f>DADOS_INVOC!$HK$13</f>
        <v/>
      </c>
      <c r="AM1068" s="137" t="n"/>
      <c r="AN1068" s="105">
        <f>DADOS_INVOC!$GG$13</f>
        <v/>
      </c>
      <c r="AO1068" s="105">
        <f>DADOS_INVOC!$GF$13</f>
        <v/>
      </c>
      <c r="AP1068" s="105" t="n"/>
      <c r="AQ1068" s="105" t="n"/>
      <c r="AR1068" s="105" t="n"/>
      <c r="AS1068" s="137" t="n"/>
    </row>
    <row r="1069" hidden="1" outlineLevel="1">
      <c r="A1069" s="8" t="n"/>
      <c r="B1069" s="14" t="n"/>
      <c r="C1069" s="137" t="n"/>
      <c r="D1069" s="137" t="n"/>
      <c r="E1069" s="137" t="n"/>
      <c r="F1069" s="137" t="n"/>
      <c r="G1069" s="137" t="n"/>
      <c r="I1069" s="23" t="n"/>
      <c r="J1069" s="24" t="n"/>
      <c r="K1069" s="24" t="n"/>
      <c r="L1069" s="24" t="n"/>
      <c r="M1069" s="25" t="n"/>
      <c r="N1069" s="137" t="n"/>
      <c r="O1069" s="128" t="n"/>
      <c r="P1069" s="128" t="n"/>
      <c r="Q1069" s="128" t="n"/>
      <c r="R1069" s="128" t="n"/>
      <c r="S1069" s="128" t="n"/>
      <c r="T1069" s="137" t="n"/>
      <c r="U1069" s="128" t="n"/>
      <c r="V1069" s="128" t="n"/>
      <c r="W1069" s="128" t="n"/>
      <c r="X1069" s="128" t="n"/>
      <c r="Y1069" s="128" t="n"/>
      <c r="Z1069" s="137" t="n"/>
      <c r="AB1069" s="23" t="n"/>
      <c r="AC1069" s="24" t="n"/>
      <c r="AD1069" s="24" t="n"/>
      <c r="AE1069" s="24" t="n"/>
      <c r="AF1069" s="25" t="n"/>
      <c r="AG1069" s="137" t="n"/>
      <c r="AH1069" s="128" t="n"/>
      <c r="AI1069" s="128" t="n"/>
      <c r="AJ1069" s="128" t="n"/>
      <c r="AK1069" s="128" t="n"/>
      <c r="AL1069" s="128" t="n"/>
      <c r="AM1069" s="137" t="n"/>
      <c r="AN1069" s="128" t="n"/>
      <c r="AO1069" s="128" t="n"/>
      <c r="AP1069" s="128" t="n"/>
      <c r="AQ1069" s="128" t="n"/>
      <c r="AR1069" s="128" t="n"/>
      <c r="AS1069" s="137" t="n"/>
    </row>
    <row r="1070" hidden="1" outlineLevel="1">
      <c r="A1070" s="8" t="n"/>
      <c r="B1070" s="14" t="n"/>
      <c r="C1070" s="137" t="n"/>
      <c r="D1070" s="137" t="n"/>
      <c r="E1070" s="137" t="n"/>
      <c r="F1070" s="137" t="n"/>
      <c r="G1070" s="137" t="n"/>
      <c r="I1070" s="154" t="inlineStr">
        <is>
          <t>FOTO
式神</t>
        </is>
      </c>
      <c r="J1070" s="19" t="n"/>
      <c r="K1070" s="19" t="n"/>
      <c r="L1070" s="19" t="n"/>
      <c r="M1070" s="20" t="n"/>
      <c r="N1070" s="137" t="n"/>
      <c r="O1070" s="137" t="n"/>
      <c r="P1070" s="137" t="n"/>
      <c r="Q1070" s="137" t="n"/>
      <c r="R1070" s="137" t="n"/>
      <c r="S1070" s="137" t="n"/>
      <c r="T1070" s="137" t="n"/>
      <c r="U1070" s="144">
        <f>IFERROR(SPARKLINE(DADOS_INVOC!$GH$7,{"charttype","bar";"max",MAX(1,DADOS_INVOC!$GF$7);"color1",DADOS_INVOC!$DB$12}),"")</f>
        <v/>
      </c>
      <c r="V1070" s="16" t="n"/>
      <c r="W1070" s="16" t="n"/>
      <c r="X1070" s="16" t="n"/>
      <c r="Y1070" s="17" t="n"/>
      <c r="Z1070" s="137" t="n"/>
      <c r="AB1070" s="154" t="inlineStr">
        <is>
          <t>FOTO
式神</t>
        </is>
      </c>
      <c r="AC1070" s="19" t="n"/>
      <c r="AD1070" s="19" t="n"/>
      <c r="AE1070" s="19" t="n"/>
      <c r="AF1070" s="20" t="n"/>
      <c r="AG1070" s="137" t="n"/>
      <c r="AH1070" s="137" t="n"/>
      <c r="AI1070" s="137" t="n"/>
      <c r="AJ1070" s="137" t="n"/>
      <c r="AK1070" s="137" t="n"/>
      <c r="AL1070" s="137" t="n"/>
      <c r="AM1070" s="137" t="n"/>
      <c r="AN1070" s="144">
        <f>IFERROR(SPARKLINE(DADOS_INVOC!$GH$13,{"charttype","bar";"max",MAX(1,DADOS_INVOC!$GF$13);"color1",DADOS_INVOC!$DB$12}),"")</f>
        <v/>
      </c>
      <c r="AO1070" s="16" t="n"/>
      <c r="AP1070" s="16" t="n"/>
      <c r="AQ1070" s="16" t="n"/>
      <c r="AR1070" s="17" t="n"/>
      <c r="AS1070" s="137" t="n"/>
    </row>
    <row r="1071" hidden="1" outlineLevel="1">
      <c r="A1071" s="8" t="n"/>
      <c r="B1071" s="14" t="n"/>
      <c r="C1071" s="137" t="n"/>
      <c r="D1071" s="137" t="n"/>
      <c r="E1071" s="137" t="n"/>
      <c r="F1071" s="137" t="n"/>
      <c r="G1071" s="137" t="n"/>
      <c r="I1071" s="21" t="n"/>
      <c r="M1071" s="22" t="n"/>
      <c r="N1071" s="137" t="n"/>
      <c r="O1071" s="56">
        <f>DADOS_INVOC!$HL$7</f>
        <v/>
      </c>
      <c r="P1071" s="16" t="n"/>
      <c r="Q1071" s="16" t="n"/>
      <c r="R1071" s="16" t="n"/>
      <c r="S1071" s="17" t="n"/>
      <c r="T1071" s="137" t="n"/>
      <c r="U1071" s="137" t="n"/>
      <c r="V1071" s="137" t="n"/>
      <c r="W1071" s="137" t="n"/>
      <c r="X1071" s="137" t="n"/>
      <c r="Y1071" s="137" t="n"/>
      <c r="Z1071" s="137" t="n"/>
      <c r="AB1071" s="21" t="n"/>
      <c r="AF1071" s="22" t="n"/>
      <c r="AG1071" s="137" t="n"/>
      <c r="AH1071" s="56">
        <f>DADOS_INVOC!$HL$13</f>
        <v/>
      </c>
      <c r="AI1071" s="16" t="n"/>
      <c r="AJ1071" s="16" t="n"/>
      <c r="AK1071" s="16" t="n"/>
      <c r="AL1071" s="17" t="n"/>
      <c r="AM1071" s="137" t="n"/>
      <c r="AN1071" s="137" t="n"/>
      <c r="AO1071" s="137" t="n"/>
      <c r="AP1071" s="137" t="n"/>
      <c r="AQ1071" s="137" t="n"/>
      <c r="AR1071" s="137" t="n"/>
      <c r="AS1071" s="137" t="n"/>
    </row>
    <row r="1072" hidden="1" outlineLevel="1">
      <c r="A1072" s="8" t="n"/>
      <c r="B1072" s="14" t="n"/>
      <c r="C1072" s="137" t="n"/>
      <c r="D1072" s="137" t="n"/>
      <c r="E1072" s="137" t="n"/>
      <c r="F1072" s="137" t="n"/>
      <c r="G1072" s="137" t="n"/>
      <c r="I1072" s="21" t="n"/>
      <c r="M1072" s="22" t="n"/>
      <c r="N1072" s="137" t="n"/>
      <c r="O1072" s="56" t="inlineStr">
        <is>
          <t>FOR</t>
        </is>
      </c>
      <c r="P1072" s="56" t="inlineStr">
        <is>
          <t>DES</t>
        </is>
      </c>
      <c r="Q1072" s="56" t="inlineStr">
        <is>
          <t>CON</t>
        </is>
      </c>
      <c r="R1072" s="56" t="inlineStr">
        <is>
          <t>INT</t>
        </is>
      </c>
      <c r="S1072" s="56" t="inlineStr">
        <is>
          <t>ESS</t>
        </is>
      </c>
      <c r="T1072" s="137" t="n"/>
      <c r="U1072" s="56" t="inlineStr">
        <is>
          <t>ALMA</t>
        </is>
      </c>
      <c r="V1072" s="56" t="inlineStr">
        <is>
          <t>INTEGRIDADE ATUAL</t>
        </is>
      </c>
      <c r="W1072" s="56" t="inlineStr">
        <is>
          <t>INTEGRIDADE MÁXIMA</t>
        </is>
      </c>
      <c r="X1072" s="56" t="inlineStr">
        <is>
          <t>ESTÁGIO</t>
        </is>
      </c>
      <c r="Y1072" s="17" t="n"/>
      <c r="Z1072" s="137" t="n"/>
      <c r="AB1072" s="21" t="n"/>
      <c r="AF1072" s="22" t="n"/>
      <c r="AG1072" s="137" t="n"/>
      <c r="AH1072" s="56" t="inlineStr">
        <is>
          <t>FOR</t>
        </is>
      </c>
      <c r="AI1072" s="56" t="inlineStr">
        <is>
          <t>DES</t>
        </is>
      </c>
      <c r="AJ1072" s="56" t="inlineStr">
        <is>
          <t>CON</t>
        </is>
      </c>
      <c r="AK1072" s="56" t="inlineStr">
        <is>
          <t>INT</t>
        </is>
      </c>
      <c r="AL1072" s="56" t="inlineStr">
        <is>
          <t>ESS</t>
        </is>
      </c>
      <c r="AM1072" s="137" t="n"/>
      <c r="AN1072" s="56" t="inlineStr">
        <is>
          <t>ALMA</t>
        </is>
      </c>
      <c r="AO1072" s="56" t="inlineStr">
        <is>
          <t>INTEGRIDADE ATUAL</t>
        </is>
      </c>
      <c r="AP1072" s="56" t="inlineStr">
        <is>
          <t>INTEGRIDADE MÁXIMA</t>
        </is>
      </c>
      <c r="AQ1072" s="56" t="inlineStr">
        <is>
          <t>ESTÁGIO</t>
        </is>
      </c>
      <c r="AR1072" s="17" t="n"/>
      <c r="AS1072" s="137" t="n"/>
    </row>
    <row r="1073" hidden="1" outlineLevel="1">
      <c r="A1073" s="8" t="n"/>
      <c r="B1073" s="14" t="n"/>
      <c r="C1073" s="137" t="n"/>
      <c r="D1073" s="137" t="n"/>
      <c r="E1073" s="137" t="n"/>
      <c r="F1073" s="137" t="n"/>
      <c r="G1073" s="137" t="n"/>
      <c r="I1073" s="21" t="n"/>
      <c r="M1073" s="22" t="n"/>
      <c r="N1073" s="137" t="n"/>
      <c r="O1073" s="105">
        <f>DADOS_INVOC!$FR$7</f>
        <v/>
      </c>
      <c r="P1073" s="105">
        <f>DADOS_INVOC!$FS$7</f>
        <v/>
      </c>
      <c r="Q1073" s="105">
        <f>DADOS_INVOC!$FT$7</f>
        <v/>
      </c>
      <c r="R1073" s="105">
        <f>DADOS_INVOC!$FU$7</f>
        <v/>
      </c>
      <c r="S1073" s="105">
        <f>DADOS_INVOC!$FV$7</f>
        <v/>
      </c>
      <c r="T1073" s="137" t="n"/>
      <c r="U1073" s="95" t="inlineStr">
        <is>
          <t>Com alma</t>
        </is>
      </c>
      <c r="V1073" s="105">
        <f>DADOS_INVOC!$GJ$7</f>
        <v/>
      </c>
      <c r="W1073" s="105">
        <f>DADOS_INVOC!$GL$7</f>
        <v/>
      </c>
      <c r="X1073" s="95">
        <f>DADOS_INVOC!$GM$7</f>
        <v/>
      </c>
      <c r="Y1073" s="20" t="n"/>
      <c r="Z1073" s="137" t="n"/>
      <c r="AB1073" s="21" t="n"/>
      <c r="AF1073" s="22" t="n"/>
      <c r="AG1073" s="137" t="n"/>
      <c r="AH1073" s="105">
        <f>DADOS_INVOC!$FR$13</f>
        <v/>
      </c>
      <c r="AI1073" s="105">
        <f>DADOS_INVOC!$FS$13</f>
        <v/>
      </c>
      <c r="AJ1073" s="105">
        <f>DADOS_INVOC!$FT$13</f>
        <v/>
      </c>
      <c r="AK1073" s="105">
        <f>DADOS_INVOC!$FU$13</f>
        <v/>
      </c>
      <c r="AL1073" s="105">
        <f>DADOS_INVOC!$FV$13</f>
        <v/>
      </c>
      <c r="AM1073" s="137" t="n"/>
      <c r="AN1073" s="95" t="inlineStr">
        <is>
          <t>Com alma</t>
        </is>
      </c>
      <c r="AO1073" s="105">
        <f>DADOS_INVOC!$GJ$13</f>
        <v/>
      </c>
      <c r="AP1073" s="105">
        <f>DADOS_INVOC!$GL$13</f>
        <v/>
      </c>
      <c r="AQ1073" s="95">
        <f>DADOS_INVOC!$GM$13</f>
        <v/>
      </c>
      <c r="AR1073" s="20" t="n"/>
      <c r="AS1073" s="137" t="n"/>
    </row>
    <row r="1074" hidden="1" outlineLevel="1">
      <c r="A1074" s="8" t="n"/>
      <c r="B1074" s="14" t="n"/>
      <c r="C1074" s="137" t="n"/>
      <c r="D1074" s="137" t="n"/>
      <c r="E1074" s="137" t="n"/>
      <c r="F1074" s="137" t="n"/>
      <c r="G1074" s="137" t="n"/>
      <c r="I1074" s="21" t="n"/>
      <c r="M1074" s="22" t="n"/>
      <c r="N1074" s="137" t="n"/>
      <c r="O1074" s="128" t="n"/>
      <c r="P1074" s="128" t="n"/>
      <c r="Q1074" s="128" t="n"/>
      <c r="R1074" s="128" t="n"/>
      <c r="S1074" s="128" t="n"/>
      <c r="T1074" s="137" t="n"/>
      <c r="U1074" s="128" t="n"/>
      <c r="V1074" s="128" t="n"/>
      <c r="W1074" s="128" t="n"/>
      <c r="X1074" s="23" t="n"/>
      <c r="Y1074" s="25" t="n"/>
      <c r="Z1074" s="137" t="n"/>
      <c r="AB1074" s="21" t="n"/>
      <c r="AF1074" s="22" t="n"/>
      <c r="AG1074" s="137" t="n"/>
      <c r="AH1074" s="128" t="n"/>
      <c r="AI1074" s="128" t="n"/>
      <c r="AJ1074" s="128" t="n"/>
      <c r="AK1074" s="128" t="n"/>
      <c r="AL1074" s="128" t="n"/>
      <c r="AM1074" s="137" t="n"/>
      <c r="AN1074" s="128" t="n"/>
      <c r="AO1074" s="128" t="n"/>
      <c r="AP1074" s="128" t="n"/>
      <c r="AQ1074" s="23" t="n"/>
      <c r="AR1074" s="25" t="n"/>
      <c r="AS1074" s="137" t="n"/>
    </row>
    <row r="1075" hidden="1" outlineLevel="1">
      <c r="A1075" s="8" t="n"/>
      <c r="B1075" s="14" t="n"/>
      <c r="C1075" s="137" t="n"/>
      <c r="D1075" s="137" t="n"/>
      <c r="E1075" s="137" t="n"/>
      <c r="F1075" s="137" t="n"/>
      <c r="G1075" s="137" t="n"/>
      <c r="I1075" s="21" t="n"/>
      <c r="M1075" s="22" t="n"/>
      <c r="N1075" s="137" t="n"/>
      <c r="O1075" s="155" t="n">
        <v>0</v>
      </c>
      <c r="P1075" s="155" t="n">
        <v>0</v>
      </c>
      <c r="Q1075" s="155" t="n">
        <v>0</v>
      </c>
      <c r="R1075" s="155" t="n">
        <v>0</v>
      </c>
      <c r="S1075" s="155" t="n">
        <v>0</v>
      </c>
      <c r="T1075" s="137" t="n"/>
      <c r="U1075" s="137" t="n"/>
      <c r="V1075" s="137" t="n"/>
      <c r="W1075" s="137" t="n"/>
      <c r="X1075" s="137" t="n"/>
      <c r="Y1075" s="137" t="n"/>
      <c r="Z1075" s="137" t="n"/>
      <c r="AB1075" s="21" t="n"/>
      <c r="AF1075" s="22" t="n"/>
      <c r="AG1075" s="137" t="n"/>
      <c r="AH1075" s="155" t="n">
        <v>0</v>
      </c>
      <c r="AI1075" s="155" t="n">
        <v>0</v>
      </c>
      <c r="AJ1075" s="155" t="n">
        <v>0</v>
      </c>
      <c r="AK1075" s="155" t="n">
        <v>0</v>
      </c>
      <c r="AL1075" s="155" t="n">
        <v>0</v>
      </c>
      <c r="AM1075" s="137" t="n"/>
      <c r="AN1075" s="137" t="n"/>
      <c r="AO1075" s="137" t="n"/>
      <c r="AP1075" s="137" t="n"/>
      <c r="AQ1075" s="137" t="n"/>
      <c r="AR1075" s="137" t="n"/>
      <c r="AS1075" s="137" t="n"/>
    </row>
    <row r="1076" hidden="1" outlineLevel="1">
      <c r="A1076" s="8" t="n"/>
      <c r="B1076" s="14" t="n"/>
      <c r="C1076" s="137" t="n"/>
      <c r="D1076" s="137" t="n"/>
      <c r="E1076" s="137" t="n"/>
      <c r="F1076" s="137" t="n"/>
      <c r="G1076" s="137" t="n"/>
      <c r="I1076" s="21" t="n"/>
      <c r="M1076" s="22" t="n"/>
      <c r="N1076" s="137" t="n"/>
      <c r="O1076" s="156" t="n">
        <v>0</v>
      </c>
      <c r="P1076" s="156" t="n">
        <v>0</v>
      </c>
      <c r="Q1076" s="156" t="n">
        <v>0</v>
      </c>
      <c r="R1076" s="156" t="n">
        <v>0</v>
      </c>
      <c r="S1076" s="156" t="n">
        <v>0</v>
      </c>
      <c r="T1076" s="137" t="n"/>
      <c r="U1076" s="56" t="inlineStr">
        <is>
          <t>CONDIÇÕES E USOS GASTOS</t>
        </is>
      </c>
      <c r="V1076" s="16" t="n"/>
      <c r="W1076" s="16" t="n"/>
      <c r="X1076" s="16" t="n"/>
      <c r="Y1076" s="17" t="n"/>
      <c r="Z1076" s="137" t="n"/>
      <c r="AB1076" s="21" t="n"/>
      <c r="AF1076" s="22" t="n"/>
      <c r="AG1076" s="137" t="n"/>
      <c r="AH1076" s="156" t="n">
        <v>0</v>
      </c>
      <c r="AI1076" s="156" t="n">
        <v>0</v>
      </c>
      <c r="AJ1076" s="156" t="n">
        <v>0</v>
      </c>
      <c r="AK1076" s="156" t="n">
        <v>0</v>
      </c>
      <c r="AL1076" s="156" t="n">
        <v>0</v>
      </c>
      <c r="AM1076" s="137" t="n"/>
      <c r="AN1076" s="56" t="inlineStr">
        <is>
          <t>CONDIÇÕES E USOS GASTOS</t>
        </is>
      </c>
      <c r="AO1076" s="16" t="n"/>
      <c r="AP1076" s="16" t="n"/>
      <c r="AQ1076" s="16" t="n"/>
      <c r="AR1076" s="17" t="n"/>
      <c r="AS1076" s="137" t="n"/>
    </row>
    <row r="1077" hidden="1" outlineLevel="1">
      <c r="A1077" s="8" t="n"/>
      <c r="B1077" s="14" t="n"/>
      <c r="C1077" s="137" t="n"/>
      <c r="D1077" s="137" t="n"/>
      <c r="E1077" s="137" t="n"/>
      <c r="F1077" s="137" t="n"/>
      <c r="G1077" s="137" t="n"/>
      <c r="I1077" s="21" t="n"/>
      <c r="M1077" s="22" t="n"/>
      <c r="N1077" s="137" t="n"/>
      <c r="O1077" s="137" t="n"/>
      <c r="P1077" s="137" t="n"/>
      <c r="Q1077" s="137" t="n"/>
      <c r="R1077" s="137" t="n"/>
      <c r="S1077" s="137" t="n"/>
      <c r="T1077" s="137" t="n"/>
      <c r="U1077" s="61" t="n"/>
      <c r="V1077" s="19" t="n"/>
      <c r="W1077" s="19" t="n"/>
      <c r="X1077" s="19" t="n"/>
      <c r="Y1077" s="20" t="n"/>
      <c r="Z1077" s="137" t="n"/>
      <c r="AB1077" s="21" t="n"/>
      <c r="AF1077" s="22" t="n"/>
      <c r="AG1077" s="137" t="n"/>
      <c r="AH1077" s="137" t="n"/>
      <c r="AI1077" s="137" t="n"/>
      <c r="AJ1077" s="137" t="n"/>
      <c r="AK1077" s="137" t="n"/>
      <c r="AL1077" s="137" t="n"/>
      <c r="AM1077" s="137" t="n"/>
      <c r="AN1077" s="61" t="n"/>
      <c r="AO1077" s="19" t="n"/>
      <c r="AP1077" s="19" t="n"/>
      <c r="AQ1077" s="19" t="n"/>
      <c r="AR1077" s="20" t="n"/>
      <c r="AS1077" s="137" t="n"/>
    </row>
    <row r="1078" hidden="1" outlineLevel="1">
      <c r="A1078" s="8" t="n"/>
      <c r="B1078" s="14" t="n"/>
      <c r="C1078" s="137" t="n"/>
      <c r="D1078" s="137" t="n"/>
      <c r="E1078" s="137" t="n"/>
      <c r="F1078" s="137" t="n"/>
      <c r="G1078" s="137" t="n"/>
      <c r="I1078" s="21" t="n"/>
      <c r="M1078" s="22" t="n"/>
      <c r="N1078" s="137" t="n"/>
      <c r="O1078" s="56" t="inlineStr">
        <is>
          <t>ATAQUE</t>
        </is>
      </c>
      <c r="P1078" s="56" t="inlineStr">
        <is>
          <t>CD</t>
        </is>
      </c>
      <c r="Q1078" s="56" t="inlineStr">
        <is>
          <t>DEFESA</t>
        </is>
      </c>
      <c r="R1078" s="56" t="inlineStr">
        <is>
          <t>VIDA MÁXIMA</t>
        </is>
      </c>
      <c r="S1078" s="56" t="inlineStr">
        <is>
          <t>DESLOCAMENTO</t>
        </is>
      </c>
      <c r="T1078" s="137" t="n"/>
      <c r="U1078" s="21" t="n"/>
      <c r="Y1078" s="22" t="n"/>
      <c r="Z1078" s="137" t="n"/>
      <c r="AB1078" s="21" t="n"/>
      <c r="AF1078" s="22" t="n"/>
      <c r="AG1078" s="137" t="n"/>
      <c r="AH1078" s="56" t="inlineStr">
        <is>
          <t>ATAQUE</t>
        </is>
      </c>
      <c r="AI1078" s="56" t="inlineStr">
        <is>
          <t>CD</t>
        </is>
      </c>
      <c r="AJ1078" s="56" t="inlineStr">
        <is>
          <t>DEFESA</t>
        </is>
      </c>
      <c r="AK1078" s="56" t="inlineStr">
        <is>
          <t>VIDA MÁXIMA</t>
        </is>
      </c>
      <c r="AL1078" s="56" t="inlineStr">
        <is>
          <t>DESLOCAMENTO</t>
        </is>
      </c>
      <c r="AM1078" s="137" t="n"/>
      <c r="AN1078" s="21" t="n"/>
      <c r="AR1078" s="22" t="n"/>
      <c r="AS1078" s="137" t="n"/>
    </row>
    <row r="1079" hidden="1" outlineLevel="1">
      <c r="A1079" s="8" t="n"/>
      <c r="B1079" s="14" t="n"/>
      <c r="C1079" s="137" t="n"/>
      <c r="D1079" s="137" t="n"/>
      <c r="E1079" s="137" t="n"/>
      <c r="F1079" s="137" t="n"/>
      <c r="G1079" s="137" t="n"/>
      <c r="I1079" s="21" t="n"/>
      <c r="M1079" s="22" t="n"/>
      <c r="N1079" s="137" t="n"/>
      <c r="O1079" s="105">
        <f>DADOS_INVOC!$HM$7</f>
        <v/>
      </c>
      <c r="P1079" s="105">
        <f>DADOS_INVOC!$HN$7</f>
        <v/>
      </c>
      <c r="Q1079" s="105">
        <f>DADOS_INVOC!$GD$7</f>
        <v/>
      </c>
      <c r="R1079" s="105">
        <f>DADOS_INVOC!$GF$7</f>
        <v/>
      </c>
      <c r="S1079" s="105">
        <f>DADOS_INVOC!$HO$7</f>
        <v/>
      </c>
      <c r="T1079" s="137" t="n"/>
      <c r="U1079" s="23" t="n"/>
      <c r="V1079" s="24" t="n"/>
      <c r="W1079" s="24" t="n"/>
      <c r="X1079" s="24" t="n"/>
      <c r="Y1079" s="25" t="n"/>
      <c r="Z1079" s="137" t="n"/>
      <c r="AB1079" s="21" t="n"/>
      <c r="AF1079" s="22" t="n"/>
      <c r="AG1079" s="137" t="n"/>
      <c r="AH1079" s="105">
        <f>DADOS_INVOC!$HM$13</f>
        <v/>
      </c>
      <c r="AI1079" s="105">
        <f>DADOS_INVOC!$HN$13</f>
        <v/>
      </c>
      <c r="AJ1079" s="105">
        <f>DADOS_INVOC!$GD$13</f>
        <v/>
      </c>
      <c r="AK1079" s="105">
        <f>DADOS_INVOC!$GF$13</f>
        <v/>
      </c>
      <c r="AL1079" s="105">
        <f>DADOS_INVOC!$HO$13</f>
        <v/>
      </c>
      <c r="AM1079" s="137" t="n"/>
      <c r="AN1079" s="23" t="n"/>
      <c r="AO1079" s="24" t="n"/>
      <c r="AP1079" s="24" t="n"/>
      <c r="AQ1079" s="24" t="n"/>
      <c r="AR1079" s="25" t="n"/>
      <c r="AS1079" s="137" t="n"/>
    </row>
    <row r="1080" hidden="1" outlineLevel="1">
      <c r="A1080" s="8" t="n"/>
      <c r="B1080" s="14" t="n"/>
      <c r="C1080" s="137" t="n"/>
      <c r="D1080" s="137" t="n"/>
      <c r="E1080" s="137" t="n"/>
      <c r="F1080" s="137" t="n"/>
      <c r="G1080" s="137" t="n"/>
      <c r="I1080" s="21" t="n"/>
      <c r="M1080" s="22" t="n"/>
      <c r="N1080" s="137" t="n"/>
      <c r="O1080" s="128" t="n"/>
      <c r="P1080" s="128" t="n"/>
      <c r="Q1080" s="128" t="n"/>
      <c r="R1080" s="128" t="n"/>
      <c r="S1080" s="128" t="n"/>
      <c r="T1080" s="137" t="n"/>
      <c r="U1080" s="137" t="n"/>
      <c r="V1080" s="137" t="n"/>
      <c r="W1080" s="137" t="n"/>
      <c r="X1080" s="137" t="n"/>
      <c r="Y1080" s="137" t="n"/>
      <c r="Z1080" s="137" t="n"/>
      <c r="AB1080" s="21" t="n"/>
      <c r="AF1080" s="22" t="n"/>
      <c r="AG1080" s="137" t="n"/>
      <c r="AH1080" s="128" t="n"/>
      <c r="AI1080" s="128" t="n"/>
      <c r="AJ1080" s="128" t="n"/>
      <c r="AK1080" s="128" t="n"/>
      <c r="AL1080" s="128" t="n"/>
      <c r="AM1080" s="137" t="n"/>
      <c r="AN1080" s="137" t="n"/>
      <c r="AO1080" s="137" t="n"/>
      <c r="AP1080" s="137" t="n"/>
      <c r="AQ1080" s="137" t="n"/>
      <c r="AR1080" s="137" t="n"/>
      <c r="AS1080" s="137" t="n"/>
    </row>
    <row r="1081" hidden="1" outlineLevel="1">
      <c r="A1081" s="8" t="n"/>
      <c r="B1081" s="14" t="n"/>
      <c r="C1081" s="137" t="n"/>
      <c r="D1081" s="137" t="n"/>
      <c r="E1081" s="137" t="n"/>
      <c r="F1081" s="137" t="n"/>
      <c r="G1081" s="137" t="n"/>
      <c r="I1081" s="21" t="n"/>
      <c r="M1081" s="22" t="n"/>
      <c r="N1081" s="137" t="n"/>
      <c r="O1081" s="156" t="n">
        <v>0</v>
      </c>
      <c r="P1081" s="156" t="n">
        <v>0</v>
      </c>
      <c r="Q1081" s="156" t="n">
        <v>0</v>
      </c>
      <c r="R1081" s="156" t="n">
        <v>0</v>
      </c>
      <c r="S1081" s="156" t="n">
        <v>0</v>
      </c>
      <c r="T1081" s="137" t="n"/>
      <c r="U1081" s="56" t="inlineStr">
        <is>
          <t>ANOTAÇÕES</t>
        </is>
      </c>
      <c r="V1081" s="16" t="n"/>
      <c r="W1081" s="16" t="n"/>
      <c r="X1081" s="16" t="n"/>
      <c r="Y1081" s="17" t="n"/>
      <c r="Z1081" s="137" t="n"/>
      <c r="AB1081" s="21" t="n"/>
      <c r="AF1081" s="22" t="n"/>
      <c r="AG1081" s="137" t="n"/>
      <c r="AH1081" s="156" t="n">
        <v>0</v>
      </c>
      <c r="AI1081" s="156" t="n">
        <v>0</v>
      </c>
      <c r="AJ1081" s="156" t="n">
        <v>0</v>
      </c>
      <c r="AK1081" s="156" t="n">
        <v>0</v>
      </c>
      <c r="AL1081" s="156" t="n">
        <v>0</v>
      </c>
      <c r="AM1081" s="137" t="n"/>
      <c r="AN1081" s="56" t="inlineStr">
        <is>
          <t>ANOTAÇÕES</t>
        </is>
      </c>
      <c r="AO1081" s="16" t="n"/>
      <c r="AP1081" s="16" t="n"/>
      <c r="AQ1081" s="16" t="n"/>
      <c r="AR1081" s="17" t="n"/>
      <c r="AS1081" s="137" t="n"/>
    </row>
    <row r="1082" hidden="1" outlineLevel="1">
      <c r="A1082" s="8" t="n"/>
      <c r="B1082" s="14" t="n"/>
      <c r="C1082" s="137" t="n"/>
      <c r="D1082" s="137" t="n"/>
      <c r="E1082" s="137" t="n"/>
      <c r="F1082" s="137" t="n"/>
      <c r="G1082" s="137" t="n"/>
      <c r="I1082" s="21" t="n"/>
      <c r="M1082" s="22" t="n"/>
      <c r="N1082" s="137" t="n"/>
      <c r="O1082" s="137" t="n"/>
      <c r="P1082" s="137" t="n"/>
      <c r="Q1082" s="137" t="n"/>
      <c r="R1082" s="137" t="n"/>
      <c r="S1082" s="137" t="n"/>
      <c r="T1082" s="137" t="n"/>
      <c r="U1082" s="61" t="n"/>
      <c r="V1082" s="19" t="n"/>
      <c r="W1082" s="19" t="n"/>
      <c r="X1082" s="19" t="n"/>
      <c r="Y1082" s="20" t="n"/>
      <c r="Z1082" s="137" t="n"/>
      <c r="AB1082" s="21" t="n"/>
      <c r="AF1082" s="22" t="n"/>
      <c r="AG1082" s="137" t="n"/>
      <c r="AH1082" s="137" t="n"/>
      <c r="AI1082" s="137" t="n"/>
      <c r="AJ1082" s="137" t="n"/>
      <c r="AK1082" s="137" t="n"/>
      <c r="AL1082" s="137" t="n"/>
      <c r="AM1082" s="137" t="n"/>
      <c r="AN1082" s="61" t="n"/>
      <c r="AO1082" s="19" t="n"/>
      <c r="AP1082" s="19" t="n"/>
      <c r="AQ1082" s="19" t="n"/>
      <c r="AR1082" s="20" t="n"/>
      <c r="AS1082" s="137" t="n"/>
    </row>
    <row r="1083" hidden="1" outlineLevel="1">
      <c r="A1083" s="8" t="n"/>
      <c r="B1083" s="14" t="n"/>
      <c r="C1083" s="137" t="n"/>
      <c r="D1083" s="137" t="n"/>
      <c r="E1083" s="137" t="n"/>
      <c r="F1083" s="137" t="n"/>
      <c r="G1083" s="137" t="n"/>
      <c r="I1083" s="21" t="n"/>
      <c r="M1083" s="22" t="n"/>
      <c r="N1083" s="137" t="n"/>
      <c r="O1083" s="56" t="inlineStr">
        <is>
          <t>FÍSICO</t>
        </is>
      </c>
      <c r="P1083" s="56" t="inlineStr">
        <is>
          <t>VIGOR</t>
        </is>
      </c>
      <c r="Q1083" s="56" t="inlineStr">
        <is>
          <t>INTELECTO</t>
        </is>
      </c>
      <c r="R1083" s="56" t="inlineStr">
        <is>
          <t>ESPÍRITO</t>
        </is>
      </c>
      <c r="S1083" s="56" t="inlineStr">
        <is>
          <t>TR TREINADO</t>
        </is>
      </c>
      <c r="T1083" s="137" t="n"/>
      <c r="U1083" s="21" t="n"/>
      <c r="Y1083" s="22" t="n"/>
      <c r="Z1083" s="137" t="n"/>
      <c r="AB1083" s="21" t="n"/>
      <c r="AF1083" s="22" t="n"/>
      <c r="AG1083" s="137" t="n"/>
      <c r="AH1083" s="56" t="inlineStr">
        <is>
          <t>FÍSICO</t>
        </is>
      </c>
      <c r="AI1083" s="56" t="inlineStr">
        <is>
          <t>VIGOR</t>
        </is>
      </c>
      <c r="AJ1083" s="56" t="inlineStr">
        <is>
          <t>INTELECTO</t>
        </is>
      </c>
      <c r="AK1083" s="56" t="inlineStr">
        <is>
          <t>ESPÍRITO</t>
        </is>
      </c>
      <c r="AL1083" s="56" t="inlineStr">
        <is>
          <t>TR TREINADO</t>
        </is>
      </c>
      <c r="AM1083" s="137" t="n"/>
      <c r="AN1083" s="21" t="n"/>
      <c r="AR1083" s="22" t="n"/>
      <c r="AS1083" s="137" t="n"/>
    </row>
    <row r="1084" hidden="1" outlineLevel="1">
      <c r="A1084" s="8" t="n"/>
      <c r="B1084" s="14" t="n"/>
      <c r="C1084" s="137" t="n"/>
      <c r="D1084" s="137" t="n"/>
      <c r="E1084" s="137" t="n"/>
      <c r="F1084" s="137" t="n"/>
      <c r="G1084" s="137" t="n"/>
      <c r="I1084" s="21" t="n"/>
      <c r="M1084" s="22" t="n"/>
      <c r="N1084" s="137" t="n"/>
      <c r="O1084" s="105">
        <f>DADOS_INVOC!$HP$7</f>
        <v/>
      </c>
      <c r="P1084" s="105">
        <f>DADOS_INVOC!$HQ$7</f>
        <v/>
      </c>
      <c r="Q1084" s="105">
        <f>DADOS_INVOC!$HR$7</f>
        <v/>
      </c>
      <c r="R1084" s="105">
        <f>DADOS_INVOC!$HS$7</f>
        <v/>
      </c>
      <c r="S1084" s="95" t="n"/>
      <c r="T1084" s="137" t="n"/>
      <c r="U1084" s="21" t="n"/>
      <c r="Y1084" s="22" t="n"/>
      <c r="Z1084" s="137" t="n"/>
      <c r="AB1084" s="21" t="n"/>
      <c r="AF1084" s="22" t="n"/>
      <c r="AG1084" s="137" t="n"/>
      <c r="AH1084" s="105">
        <f>DADOS_INVOC!$HP$13</f>
        <v/>
      </c>
      <c r="AI1084" s="105">
        <f>DADOS_INVOC!$HQ$13</f>
        <v/>
      </c>
      <c r="AJ1084" s="105">
        <f>DADOS_INVOC!$HR$13</f>
        <v/>
      </c>
      <c r="AK1084" s="105">
        <f>DADOS_INVOC!$HS$13</f>
        <v/>
      </c>
      <c r="AL1084" s="95" t="n"/>
      <c r="AM1084" s="137" t="n"/>
      <c r="AN1084" s="21" t="n"/>
      <c r="AR1084" s="22" t="n"/>
      <c r="AS1084" s="137" t="n"/>
    </row>
    <row r="1085" hidden="1" outlineLevel="1">
      <c r="A1085" s="8" t="n"/>
      <c r="B1085" s="14" t="n"/>
      <c r="C1085" s="137" t="n"/>
      <c r="D1085" s="137" t="n"/>
      <c r="E1085" s="137" t="n"/>
      <c r="F1085" s="137" t="n"/>
      <c r="G1085" s="137" t="n"/>
      <c r="I1085" s="21" t="n"/>
      <c r="M1085" s="22" t="n"/>
      <c r="N1085" s="137" t="n"/>
      <c r="O1085" s="128" t="n"/>
      <c r="P1085" s="128" t="n"/>
      <c r="Q1085" s="128" t="n"/>
      <c r="R1085" s="128" t="n"/>
      <c r="S1085" s="128" t="n"/>
      <c r="T1085" s="137" t="n"/>
      <c r="U1085" s="23" t="n"/>
      <c r="V1085" s="24" t="n"/>
      <c r="W1085" s="24" t="n"/>
      <c r="X1085" s="24" t="n"/>
      <c r="Y1085" s="25" t="n"/>
      <c r="Z1085" s="137" t="n"/>
      <c r="AB1085" s="21" t="n"/>
      <c r="AF1085" s="22" t="n"/>
      <c r="AG1085" s="137" t="n"/>
      <c r="AH1085" s="128" t="n"/>
      <c r="AI1085" s="128" t="n"/>
      <c r="AJ1085" s="128" t="n"/>
      <c r="AK1085" s="128" t="n"/>
      <c r="AL1085" s="128" t="n"/>
      <c r="AM1085" s="137" t="n"/>
      <c r="AN1085" s="23" t="n"/>
      <c r="AO1085" s="24" t="n"/>
      <c r="AP1085" s="24" t="n"/>
      <c r="AQ1085" s="24" t="n"/>
      <c r="AR1085" s="25" t="n"/>
      <c r="AS1085" s="137" t="n"/>
    </row>
    <row r="1086" hidden="1" outlineLevel="1">
      <c r="A1086" s="8" t="n"/>
      <c r="B1086" s="14" t="n"/>
      <c r="C1086" s="137" t="n"/>
      <c r="D1086" s="137" t="n"/>
      <c r="E1086" s="137" t="n"/>
      <c r="F1086" s="137" t="n"/>
      <c r="G1086" s="137" t="n"/>
      <c r="I1086" s="21" t="n"/>
      <c r="M1086" s="22" t="n"/>
      <c r="N1086" s="137" t="n"/>
      <c r="O1086" s="156" t="n">
        <v>0</v>
      </c>
      <c r="P1086" s="156" t="n">
        <v>0</v>
      </c>
      <c r="Q1086" s="156" t="n">
        <v>0</v>
      </c>
      <c r="R1086" s="156" t="n">
        <v>0</v>
      </c>
      <c r="S1086" s="137" t="n"/>
      <c r="T1086" s="137" t="n"/>
      <c r="U1086" s="137" t="n"/>
      <c r="V1086" s="137" t="n"/>
      <c r="W1086" s="137" t="n"/>
      <c r="X1086" s="137" t="n"/>
      <c r="Y1086" s="137" t="n"/>
      <c r="Z1086" s="137" t="n"/>
      <c r="AB1086" s="21" t="n"/>
      <c r="AF1086" s="22" t="n"/>
      <c r="AG1086" s="137" t="n"/>
      <c r="AH1086" s="156" t="n">
        <v>0</v>
      </c>
      <c r="AI1086" s="156" t="n">
        <v>0</v>
      </c>
      <c r="AJ1086" s="156" t="n">
        <v>0</v>
      </c>
      <c r="AK1086" s="156" t="n">
        <v>0</v>
      </c>
      <c r="AL1086" s="137" t="n"/>
      <c r="AM1086" s="137" t="n"/>
      <c r="AN1086" s="137" t="n"/>
      <c r="AO1086" s="137" t="n"/>
      <c r="AP1086" s="137" t="n"/>
      <c r="AQ1086" s="137" t="n"/>
      <c r="AR1086" s="137" t="n"/>
      <c r="AS1086" s="137" t="n"/>
    </row>
    <row r="1087" hidden="1" outlineLevel="1">
      <c r="A1087" s="8" t="n"/>
      <c r="B1087" s="14" t="n"/>
      <c r="C1087" s="137" t="n"/>
      <c r="D1087" s="137" t="n"/>
      <c r="E1087" s="137" t="n"/>
      <c r="F1087" s="137" t="n"/>
      <c r="G1087" s="137" t="n"/>
      <c r="I1087" s="21" t="n"/>
      <c r="M1087" s="22" t="n"/>
      <c r="N1087" s="137" t="n"/>
      <c r="O1087" s="137" t="n"/>
      <c r="P1087" s="137" t="n"/>
      <c r="Q1087" s="137" t="n"/>
      <c r="R1087" s="137" t="n"/>
      <c r="S1087" s="137" t="n"/>
      <c r="T1087" s="137" t="n"/>
      <c r="U1087" s="56">
        <f>DADOS_INVOC!$IC$7</f>
        <v/>
      </c>
      <c r="V1087" s="16" t="n"/>
      <c r="W1087" s="16" t="n"/>
      <c r="X1087" s="17" t="n"/>
      <c r="Y1087" s="56" t="inlineStr">
        <is>
          <t>VOL.</t>
        </is>
      </c>
      <c r="Z1087" s="137" t="n"/>
      <c r="AB1087" s="21" t="n"/>
      <c r="AF1087" s="22" t="n"/>
      <c r="AG1087" s="137" t="n"/>
      <c r="AH1087" s="137" t="n"/>
      <c r="AI1087" s="137" t="n"/>
      <c r="AJ1087" s="137" t="n"/>
      <c r="AK1087" s="137" t="n"/>
      <c r="AL1087" s="137" t="n"/>
      <c r="AM1087" s="137" t="n"/>
      <c r="AN1087" s="56">
        <f>DADOS_INVOC!$IC$13</f>
        <v/>
      </c>
      <c r="AO1087" s="16" t="n"/>
      <c r="AP1087" s="16" t="n"/>
      <c r="AQ1087" s="17" t="n"/>
      <c r="AR1087" s="56" t="inlineStr">
        <is>
          <t>VOL.</t>
        </is>
      </c>
      <c r="AS1087" s="137" t="n"/>
    </row>
    <row r="1088" hidden="1" outlineLevel="1">
      <c r="A1088" s="8" t="n"/>
      <c r="B1088" s="14" t="n"/>
      <c r="C1088" s="137" t="n"/>
      <c r="D1088" s="137" t="n"/>
      <c r="E1088" s="137" t="n"/>
      <c r="F1088" s="137" t="n"/>
      <c r="G1088" s="137" t="n"/>
      <c r="I1088" s="21" t="n"/>
      <c r="M1088" s="22" t="n"/>
      <c r="N1088" s="137" t="n"/>
      <c r="O1088" s="56" t="inlineStr">
        <is>
          <t>ATRIBUTO DE ACERTO</t>
        </is>
      </c>
      <c r="P1088" s="16" t="n"/>
      <c r="Q1088" s="17" t="n"/>
      <c r="R1088" s="56" t="inlineStr">
        <is>
          <t>FÍSICO USA</t>
        </is>
      </c>
      <c r="S1088" s="17" t="n"/>
      <c r="T1088" s="137" t="n"/>
      <c r="U1088" s="56" t="inlineStr">
        <is>
          <t>MÃO 1</t>
        </is>
      </c>
      <c r="V1088" s="144" t="n"/>
      <c r="W1088" s="16" t="n"/>
      <c r="X1088" s="17" t="n"/>
      <c r="Y1088" s="95" t="n"/>
      <c r="Z1088" s="137" t="n"/>
      <c r="AB1088" s="21" t="n"/>
      <c r="AF1088" s="22" t="n"/>
      <c r="AG1088" s="137" t="n"/>
      <c r="AH1088" s="56" t="inlineStr">
        <is>
          <t>ATRIBUTO DE ACERTO</t>
        </is>
      </c>
      <c r="AI1088" s="16" t="n"/>
      <c r="AJ1088" s="17" t="n"/>
      <c r="AK1088" s="56" t="inlineStr">
        <is>
          <t>FÍSICO USA</t>
        </is>
      </c>
      <c r="AL1088" s="17" t="n"/>
      <c r="AM1088" s="137" t="n"/>
      <c r="AN1088" s="56" t="inlineStr">
        <is>
          <t>MÃO 1</t>
        </is>
      </c>
      <c r="AO1088" s="144" t="n"/>
      <c r="AP1088" s="16" t="n"/>
      <c r="AQ1088" s="17" t="n"/>
      <c r="AR1088" s="95" t="n"/>
      <c r="AS1088" s="137" t="n"/>
    </row>
    <row r="1089" hidden="1" outlineLevel="1">
      <c r="A1089" s="8" t="n"/>
      <c r="B1089" s="14" t="n"/>
      <c r="C1089" s="137" t="n"/>
      <c r="D1089" s="137" t="n"/>
      <c r="E1089" s="137" t="n"/>
      <c r="F1089" s="137" t="n"/>
      <c r="G1089" s="137" t="n"/>
      <c r="I1089" s="21" t="n"/>
      <c r="M1089" s="22" t="n"/>
      <c r="N1089" s="137" t="n"/>
      <c r="O1089" s="95" t="n"/>
      <c r="P1089" s="19" t="n"/>
      <c r="Q1089" s="20" t="n"/>
      <c r="R1089" s="95" t="inlineStr">
        <is>
          <t>Força</t>
        </is>
      </c>
      <c r="S1089" s="20" t="n"/>
      <c r="T1089" s="137" t="n"/>
      <c r="U1089" s="56" t="inlineStr">
        <is>
          <t>MÃO 2</t>
        </is>
      </c>
      <c r="V1089" s="144" t="n"/>
      <c r="W1089" s="16" t="n"/>
      <c r="X1089" s="17" t="n"/>
      <c r="Y1089" s="95" t="n"/>
      <c r="Z1089" s="137" t="n"/>
      <c r="AB1089" s="21" t="n"/>
      <c r="AF1089" s="22" t="n"/>
      <c r="AG1089" s="137" t="n"/>
      <c r="AH1089" s="95" t="n"/>
      <c r="AI1089" s="19" t="n"/>
      <c r="AJ1089" s="20" t="n"/>
      <c r="AK1089" s="95" t="inlineStr">
        <is>
          <t>Força</t>
        </is>
      </c>
      <c r="AL1089" s="20" t="n"/>
      <c r="AM1089" s="137" t="n"/>
      <c r="AN1089" s="56" t="inlineStr">
        <is>
          <t>MÃO 2</t>
        </is>
      </c>
      <c r="AO1089" s="144" t="n"/>
      <c r="AP1089" s="16" t="n"/>
      <c r="AQ1089" s="17" t="n"/>
      <c r="AR1089" s="95" t="n"/>
      <c r="AS1089" s="137" t="n"/>
    </row>
    <row r="1090" hidden="1" outlineLevel="1">
      <c r="A1090" s="8" t="n"/>
      <c r="B1090" s="14" t="n"/>
      <c r="C1090" s="137" t="n"/>
      <c r="D1090" s="137" t="n"/>
      <c r="E1090" s="137" t="n"/>
      <c r="F1090" s="137" t="n"/>
      <c r="G1090" s="137" t="n"/>
      <c r="I1090" s="21" t="n"/>
      <c r="M1090" s="22" t="n"/>
      <c r="N1090" s="137" t="n"/>
      <c r="O1090" s="23" t="n"/>
      <c r="P1090" s="24" t="n"/>
      <c r="Q1090" s="25" t="n"/>
      <c r="R1090" s="23" t="n"/>
      <c r="S1090" s="25" t="n"/>
      <c r="T1090" s="137" t="n"/>
      <c r="U1090" s="56" t="inlineStr">
        <is>
          <t>VESTE</t>
        </is>
      </c>
      <c r="V1090" s="144" t="n"/>
      <c r="W1090" s="16" t="n"/>
      <c r="X1090" s="17" t="n"/>
      <c r="Y1090" s="95" t="n"/>
      <c r="Z1090" s="137" t="n"/>
      <c r="AB1090" s="21" t="n"/>
      <c r="AF1090" s="22" t="n"/>
      <c r="AG1090" s="137" t="n"/>
      <c r="AH1090" s="23" t="n"/>
      <c r="AI1090" s="24" t="n"/>
      <c r="AJ1090" s="25" t="n"/>
      <c r="AK1090" s="23" t="n"/>
      <c r="AL1090" s="25" t="n"/>
      <c r="AM1090" s="137" t="n"/>
      <c r="AN1090" s="56" t="inlineStr">
        <is>
          <t>VESTE</t>
        </is>
      </c>
      <c r="AO1090" s="144" t="n"/>
      <c r="AP1090" s="16" t="n"/>
      <c r="AQ1090" s="17" t="n"/>
      <c r="AR1090" s="95" t="n"/>
      <c r="AS1090" s="137" t="n"/>
    </row>
    <row r="1091" hidden="1" outlineLevel="1">
      <c r="A1091" s="8" t="n"/>
      <c r="B1091" s="14" t="n"/>
      <c r="C1091" s="137" t="n"/>
      <c r="D1091" s="137" t="n"/>
      <c r="E1091" s="137" t="n"/>
      <c r="F1091" s="137" t="n"/>
      <c r="G1091" s="137" t="n"/>
      <c r="I1091" s="21" t="n"/>
      <c r="M1091" s="22" t="n"/>
      <c r="N1091" s="137" t="n"/>
      <c r="O1091" s="137" t="n"/>
      <c r="P1091" s="137" t="n"/>
      <c r="Q1091" s="137" t="n"/>
      <c r="R1091" s="137" t="n"/>
      <c r="S1091" s="137" t="n"/>
      <c r="T1091" s="137" t="n"/>
      <c r="U1091" s="56" t="inlineStr">
        <is>
          <t>GUARDADO · SÓ COM A CARACTERÍSTICA DE TRANSPORTE</t>
        </is>
      </c>
      <c r="V1091" s="16" t="n"/>
      <c r="W1091" s="16" t="n"/>
      <c r="X1091" s="17" t="n"/>
      <c r="Y1091" s="56" t="inlineStr">
        <is>
          <t>VOL.</t>
        </is>
      </c>
      <c r="Z1091" s="137" t="n"/>
      <c r="AB1091" s="21" t="n"/>
      <c r="AF1091" s="22" t="n"/>
      <c r="AG1091" s="137" t="n"/>
      <c r="AH1091" s="137" t="n"/>
      <c r="AI1091" s="137" t="n"/>
      <c r="AJ1091" s="137" t="n"/>
      <c r="AK1091" s="137" t="n"/>
      <c r="AL1091" s="137" t="n"/>
      <c r="AM1091" s="137" t="n"/>
      <c r="AN1091" s="56" t="inlineStr">
        <is>
          <t>GUARDADO · SÓ COM A CARACTERÍSTICA DE TRANSPORTE</t>
        </is>
      </c>
      <c r="AO1091" s="16" t="n"/>
      <c r="AP1091" s="16" t="n"/>
      <c r="AQ1091" s="17" t="n"/>
      <c r="AR1091" s="56" t="inlineStr">
        <is>
          <t>VOL.</t>
        </is>
      </c>
      <c r="AS1091" s="137" t="n"/>
    </row>
    <row r="1092" hidden="1" outlineLevel="1">
      <c r="A1092" s="8" t="n"/>
      <c r="B1092" s="14" t="n"/>
      <c r="C1092" s="137" t="n"/>
      <c r="D1092" s="137" t="n"/>
      <c r="E1092" s="137" t="n"/>
      <c r="F1092" s="137" t="n"/>
      <c r="G1092" s="137" t="n"/>
      <c r="I1092" s="21" t="n"/>
      <c r="M1092" s="22" t="n"/>
      <c r="N1092" s="137" t="n"/>
      <c r="O1092" s="56">
        <f>DADOS_INVOC!$HT$7</f>
        <v/>
      </c>
      <c r="P1092" s="16" t="n"/>
      <c r="Q1092" s="16" t="n"/>
      <c r="R1092" s="16" t="n"/>
      <c r="S1092" s="17" t="n"/>
      <c r="T1092" s="137" t="n"/>
      <c r="U1092" s="144" t="n"/>
      <c r="V1092" s="16" t="n"/>
      <c r="W1092" s="16" t="n"/>
      <c r="X1092" s="17" t="n"/>
      <c r="Y1092" s="95" t="n"/>
      <c r="Z1092" s="137" t="n"/>
      <c r="AB1092" s="21" t="n"/>
      <c r="AF1092" s="22" t="n"/>
      <c r="AG1092" s="137" t="n"/>
      <c r="AH1092" s="56">
        <f>DADOS_INVOC!$HT$13</f>
        <v/>
      </c>
      <c r="AI1092" s="16" t="n"/>
      <c r="AJ1092" s="16" t="n"/>
      <c r="AK1092" s="16" t="n"/>
      <c r="AL1092" s="17" t="n"/>
      <c r="AM1092" s="137" t="n"/>
      <c r="AN1092" s="144" t="n"/>
      <c r="AO1092" s="16" t="n"/>
      <c r="AP1092" s="16" t="n"/>
      <c r="AQ1092" s="17" t="n"/>
      <c r="AR1092" s="95" t="n"/>
      <c r="AS1092" s="137" t="n"/>
    </row>
    <row r="1093" hidden="1" outlineLevel="1">
      <c r="A1093" s="8" t="n"/>
      <c r="B1093" s="14" t="n"/>
      <c r="C1093" s="137" t="n"/>
      <c r="D1093" s="137" t="n"/>
      <c r="E1093" s="137" t="n"/>
      <c r="F1093" s="137" t="n"/>
      <c r="G1093" s="137" t="n"/>
      <c r="I1093" s="21" t="n"/>
      <c r="M1093" s="22" t="n"/>
      <c r="N1093" s="137" t="n"/>
      <c r="O1093" s="144" t="n"/>
      <c r="P1093" s="16" t="n"/>
      <c r="Q1093" s="17" t="n"/>
      <c r="R1093" s="95">
        <f>DADOS_INVOC!$HU$7</f>
        <v/>
      </c>
      <c r="S1093" s="17" t="n"/>
      <c r="T1093" s="137" t="n"/>
      <c r="U1093" s="144" t="n"/>
      <c r="V1093" s="16" t="n"/>
      <c r="W1093" s="16" t="n"/>
      <c r="X1093" s="17" t="n"/>
      <c r="Y1093" s="95" t="n"/>
      <c r="Z1093" s="137" t="n"/>
      <c r="AB1093" s="21" t="n"/>
      <c r="AF1093" s="22" t="n"/>
      <c r="AG1093" s="137" t="n"/>
      <c r="AH1093" s="144" t="n"/>
      <c r="AI1093" s="16" t="n"/>
      <c r="AJ1093" s="17" t="n"/>
      <c r="AK1093" s="95">
        <f>DADOS_INVOC!$HU$13</f>
        <v/>
      </c>
      <c r="AL1093" s="17" t="n"/>
      <c r="AM1093" s="137" t="n"/>
      <c r="AN1093" s="144" t="n"/>
      <c r="AO1093" s="16" t="n"/>
      <c r="AP1093" s="16" t="n"/>
      <c r="AQ1093" s="17" t="n"/>
      <c r="AR1093" s="95" t="n"/>
      <c r="AS1093" s="137" t="n"/>
    </row>
    <row r="1094" hidden="1" outlineLevel="1">
      <c r="A1094" s="8" t="n"/>
      <c r="B1094" s="14" t="n"/>
      <c r="C1094" s="137" t="n"/>
      <c r="D1094" s="137" t="n"/>
      <c r="E1094" s="137" t="n"/>
      <c r="F1094" s="137" t="n"/>
      <c r="G1094" s="137" t="n"/>
      <c r="I1094" s="21" t="n"/>
      <c r="M1094" s="22" t="n"/>
      <c r="N1094" s="137" t="n"/>
      <c r="O1094" s="144" t="n"/>
      <c r="P1094" s="16" t="n"/>
      <c r="Q1094" s="17" t="n"/>
      <c r="R1094" s="95">
        <f>DADOS_INVOC!$HV$7</f>
        <v/>
      </c>
      <c r="S1094" s="17" t="n"/>
      <c r="T1094" s="137" t="n"/>
      <c r="U1094" s="144" t="n"/>
      <c r="V1094" s="16" t="n"/>
      <c r="W1094" s="16" t="n"/>
      <c r="X1094" s="17" t="n"/>
      <c r="Y1094" s="95" t="n"/>
      <c r="Z1094" s="137" t="n"/>
      <c r="AB1094" s="21" t="n"/>
      <c r="AF1094" s="22" t="n"/>
      <c r="AG1094" s="137" t="n"/>
      <c r="AH1094" s="144" t="n"/>
      <c r="AI1094" s="16" t="n"/>
      <c r="AJ1094" s="17" t="n"/>
      <c r="AK1094" s="95">
        <f>DADOS_INVOC!$HV$13</f>
        <v/>
      </c>
      <c r="AL1094" s="17" t="n"/>
      <c r="AM1094" s="137" t="n"/>
      <c r="AN1094" s="144" t="n"/>
      <c r="AO1094" s="16" t="n"/>
      <c r="AP1094" s="16" t="n"/>
      <c r="AQ1094" s="17" t="n"/>
      <c r="AR1094" s="95" t="n"/>
      <c r="AS1094" s="137" t="n"/>
    </row>
    <row r="1095" hidden="1" outlineLevel="1">
      <c r="A1095" s="8" t="n"/>
      <c r="B1095" s="14" t="n"/>
      <c r="C1095" s="137" t="n"/>
      <c r="D1095" s="137" t="n"/>
      <c r="E1095" s="137" t="n"/>
      <c r="F1095" s="137" t="n"/>
      <c r="G1095" s="137" t="n"/>
      <c r="I1095" s="23" t="n"/>
      <c r="J1095" s="24" t="n"/>
      <c r="K1095" s="24" t="n"/>
      <c r="L1095" s="24" t="n"/>
      <c r="M1095" s="25" t="n"/>
      <c r="N1095" s="137" t="n"/>
      <c r="O1095" s="144" t="n"/>
      <c r="P1095" s="16" t="n"/>
      <c r="Q1095" s="17" t="n"/>
      <c r="R1095" s="95">
        <f>DADOS_INVOC!$HW$7</f>
        <v/>
      </c>
      <c r="S1095" s="17" t="n"/>
      <c r="T1095" s="137" t="n"/>
      <c r="U1095" s="144" t="n"/>
      <c r="V1095" s="16" t="n"/>
      <c r="W1095" s="16" t="n"/>
      <c r="X1095" s="17" t="n"/>
      <c r="Y1095" s="95" t="n"/>
      <c r="Z1095" s="137" t="n"/>
      <c r="AB1095" s="23" t="n"/>
      <c r="AC1095" s="24" t="n"/>
      <c r="AD1095" s="24" t="n"/>
      <c r="AE1095" s="24" t="n"/>
      <c r="AF1095" s="25" t="n"/>
      <c r="AG1095" s="137" t="n"/>
      <c r="AH1095" s="144" t="n"/>
      <c r="AI1095" s="16" t="n"/>
      <c r="AJ1095" s="17" t="n"/>
      <c r="AK1095" s="95">
        <f>DADOS_INVOC!$HW$13</f>
        <v/>
      </c>
      <c r="AL1095" s="17" t="n"/>
      <c r="AM1095" s="137" t="n"/>
      <c r="AN1095" s="144" t="n"/>
      <c r="AO1095" s="16" t="n"/>
      <c r="AP1095" s="16" t="n"/>
      <c r="AQ1095" s="17" t="n"/>
      <c r="AR1095" s="95" t="n"/>
      <c r="AS1095" s="137" t="n"/>
    </row>
    <row r="1096" hidden="1" outlineLevel="1">
      <c r="A1096" s="8" t="n"/>
      <c r="B1096" s="14" t="n"/>
      <c r="C1096" s="137" t="n"/>
      <c r="D1096" s="137" t="n"/>
      <c r="E1096" s="137" t="n"/>
      <c r="F1096" s="137" t="n"/>
      <c r="G1096" s="137" t="n"/>
      <c r="I1096" s="137" t="n"/>
      <c r="J1096" s="137" t="n"/>
      <c r="K1096" s="137" t="n"/>
      <c r="L1096" s="137" t="n"/>
      <c r="M1096" s="137" t="n"/>
      <c r="N1096" s="137" t="n"/>
      <c r="O1096" s="144" t="n"/>
      <c r="P1096" s="16" t="n"/>
      <c r="Q1096" s="17" t="n"/>
      <c r="R1096" s="95">
        <f>DADOS_INVOC!$HX$7</f>
        <v/>
      </c>
      <c r="S1096" s="17" t="n"/>
      <c r="T1096" s="137" t="n"/>
      <c r="U1096" s="144" t="n"/>
      <c r="V1096" s="16" t="n"/>
      <c r="W1096" s="16" t="n"/>
      <c r="X1096" s="17" t="n"/>
      <c r="Y1096" s="95" t="n"/>
      <c r="Z1096" s="137" t="n"/>
      <c r="AB1096" s="137" t="n"/>
      <c r="AC1096" s="137" t="n"/>
      <c r="AD1096" s="137" t="n"/>
      <c r="AE1096" s="137" t="n"/>
      <c r="AF1096" s="137" t="n"/>
      <c r="AG1096" s="137" t="n"/>
      <c r="AH1096" s="144" t="n"/>
      <c r="AI1096" s="16" t="n"/>
      <c r="AJ1096" s="17" t="n"/>
      <c r="AK1096" s="95">
        <f>DADOS_INVOC!$HX$13</f>
        <v/>
      </c>
      <c r="AL1096" s="17" t="n"/>
      <c r="AM1096" s="137" t="n"/>
      <c r="AN1096" s="144" t="n"/>
      <c r="AO1096" s="16" t="n"/>
      <c r="AP1096" s="16" t="n"/>
      <c r="AQ1096" s="17" t="n"/>
      <c r="AR1096" s="95" t="n"/>
      <c r="AS1096" s="137" t="n"/>
    </row>
    <row r="1097" hidden="1" outlineLevel="1">
      <c r="A1097" s="8" t="n"/>
      <c r="B1097" s="14" t="n"/>
      <c r="C1097" s="137" t="n"/>
      <c r="D1097" s="137" t="n"/>
      <c r="E1097" s="137" t="n"/>
      <c r="F1097" s="137" t="n"/>
      <c r="G1097" s="137" t="n"/>
      <c r="I1097" s="56" t="inlineStr">
        <is>
          <t>TIPO</t>
        </is>
      </c>
      <c r="J1097" s="16" t="n"/>
      <c r="K1097" s="17" t="n"/>
      <c r="L1097" s="56" t="inlineStr">
        <is>
          <t>OFÍCIO COMPATÍVEL</t>
        </is>
      </c>
      <c r="M1097" s="17" t="n"/>
      <c r="N1097" s="137" t="n"/>
      <c r="O1097" s="144" t="n"/>
      <c r="P1097" s="16" t="n"/>
      <c r="Q1097" s="17" t="n"/>
      <c r="R1097" s="95">
        <f>DADOS_INVOC!$HY$7</f>
        <v/>
      </c>
      <c r="S1097" s="17" t="n"/>
      <c r="T1097" s="137" t="n"/>
      <c r="U1097" s="144" t="n"/>
      <c r="V1097" s="16" t="n"/>
      <c r="W1097" s="16" t="n"/>
      <c r="X1097" s="17" t="n"/>
      <c r="Y1097" s="95" t="n"/>
      <c r="Z1097" s="137" t="n"/>
      <c r="AB1097" s="56" t="inlineStr">
        <is>
          <t>TIPO</t>
        </is>
      </c>
      <c r="AC1097" s="16" t="n"/>
      <c r="AD1097" s="17" t="n"/>
      <c r="AE1097" s="56" t="inlineStr">
        <is>
          <t>OFÍCIO COMPATÍVEL</t>
        </is>
      </c>
      <c r="AF1097" s="17" t="n"/>
      <c r="AG1097" s="137" t="n"/>
      <c r="AH1097" s="144" t="n"/>
      <c r="AI1097" s="16" t="n"/>
      <c r="AJ1097" s="17" t="n"/>
      <c r="AK1097" s="95">
        <f>DADOS_INVOC!$HY$13</f>
        <v/>
      </c>
      <c r="AL1097" s="17" t="n"/>
      <c r="AM1097" s="137" t="n"/>
      <c r="AN1097" s="144" t="n"/>
      <c r="AO1097" s="16" t="n"/>
      <c r="AP1097" s="16" t="n"/>
      <c r="AQ1097" s="17" t="n"/>
      <c r="AR1097" s="95" t="n"/>
      <c r="AS1097" s="137" t="n"/>
    </row>
    <row r="1098" hidden="1" outlineLevel="1">
      <c r="A1098" s="8" t="n"/>
      <c r="B1098" s="14" t="n"/>
      <c r="C1098" s="137" t="n"/>
      <c r="D1098" s="137" t="n"/>
      <c r="E1098" s="137" t="n"/>
      <c r="F1098" s="137" t="n"/>
      <c r="G1098" s="137" t="n"/>
      <c r="I1098" s="95" t="inlineStr">
        <is>
          <t>Shikigami de técnica</t>
        </is>
      </c>
      <c r="J1098" s="19" t="n"/>
      <c r="K1098" s="20" t="n"/>
      <c r="L1098" s="95" t="n"/>
      <c r="M1098" s="20" t="n"/>
      <c r="N1098" s="137" t="n"/>
      <c r="O1098" s="144" t="n"/>
      <c r="P1098" s="16" t="n"/>
      <c r="Q1098" s="17" t="n"/>
      <c r="R1098" s="95">
        <f>DADOS_INVOC!$HZ$7</f>
        <v/>
      </c>
      <c r="S1098" s="17" t="n"/>
      <c r="T1098" s="137" t="n"/>
      <c r="U1098" s="137" t="n"/>
      <c r="V1098" s="137" t="n"/>
      <c r="W1098" s="137" t="n"/>
      <c r="X1098" s="137" t="n"/>
      <c r="Y1098" s="137" t="n"/>
      <c r="Z1098" s="137" t="n"/>
      <c r="AB1098" s="95" t="inlineStr">
        <is>
          <t>Shikigami de técnica</t>
        </is>
      </c>
      <c r="AC1098" s="19" t="n"/>
      <c r="AD1098" s="20" t="n"/>
      <c r="AE1098" s="95" t="n"/>
      <c r="AF1098" s="20" t="n"/>
      <c r="AG1098" s="137" t="n"/>
      <c r="AH1098" s="144" t="n"/>
      <c r="AI1098" s="16" t="n"/>
      <c r="AJ1098" s="17" t="n"/>
      <c r="AK1098" s="95">
        <f>DADOS_INVOC!$HZ$13</f>
        <v/>
      </c>
      <c r="AL1098" s="17" t="n"/>
      <c r="AM1098" s="137" t="n"/>
      <c r="AN1098" s="137" t="n"/>
      <c r="AO1098" s="137" t="n"/>
      <c r="AP1098" s="137" t="n"/>
      <c r="AQ1098" s="137" t="n"/>
      <c r="AR1098" s="137" t="n"/>
      <c r="AS1098" s="137" t="n"/>
    </row>
    <row r="1099" hidden="1" outlineLevel="1">
      <c r="A1099" s="8" t="n"/>
      <c r="B1099" s="14" t="n"/>
      <c r="C1099" s="137" t="n"/>
      <c r="D1099" s="137" t="n"/>
      <c r="E1099" s="137" t="n"/>
      <c r="F1099" s="137" t="n"/>
      <c r="G1099" s="137" t="n"/>
      <c r="I1099" s="23" t="n"/>
      <c r="J1099" s="24" t="n"/>
      <c r="K1099" s="25" t="n"/>
      <c r="L1099" s="23" t="n"/>
      <c r="M1099" s="25" t="n"/>
      <c r="N1099" s="137" t="n"/>
      <c r="O1099" s="144" t="n"/>
      <c r="P1099" s="16" t="n"/>
      <c r="Q1099" s="17" t="n"/>
      <c r="R1099" s="95">
        <f>DADOS_INVOC!$IA$7</f>
        <v/>
      </c>
      <c r="S1099" s="17" t="n"/>
      <c r="T1099" s="137" t="n"/>
      <c r="U1099" s="56" t="inlineStr">
        <is>
          <t>CORPO, SENTIDOS E COMUNICAÇÃO</t>
        </is>
      </c>
      <c r="V1099" s="16" t="n"/>
      <c r="W1099" s="16" t="n"/>
      <c r="X1099" s="16" t="n"/>
      <c r="Y1099" s="17" t="n"/>
      <c r="Z1099" s="137" t="n"/>
      <c r="AB1099" s="23" t="n"/>
      <c r="AC1099" s="24" t="n"/>
      <c r="AD1099" s="25" t="n"/>
      <c r="AE1099" s="23" t="n"/>
      <c r="AF1099" s="25" t="n"/>
      <c r="AG1099" s="137" t="n"/>
      <c r="AH1099" s="144" t="n"/>
      <c r="AI1099" s="16" t="n"/>
      <c r="AJ1099" s="17" t="n"/>
      <c r="AK1099" s="95">
        <f>DADOS_INVOC!$IA$13</f>
        <v/>
      </c>
      <c r="AL1099" s="17" t="n"/>
      <c r="AM1099" s="137" t="n"/>
      <c r="AN1099" s="56" t="inlineStr">
        <is>
          <t>CORPO, SENTIDOS E COMUNICAÇÃO</t>
        </is>
      </c>
      <c r="AO1099" s="16" t="n"/>
      <c r="AP1099" s="16" t="n"/>
      <c r="AQ1099" s="16" t="n"/>
      <c r="AR1099" s="17" t="n"/>
      <c r="AS1099" s="137" t="n"/>
    </row>
    <row r="1100" hidden="1" outlineLevel="1">
      <c r="A1100" s="8" t="n"/>
      <c r="B1100" s="14" t="n"/>
      <c r="C1100" s="137" t="n"/>
      <c r="D1100" s="137" t="n"/>
      <c r="E1100" s="137" t="n"/>
      <c r="F1100" s="137" t="n"/>
      <c r="G1100" s="137" t="n"/>
      <c r="I1100" s="137" t="n"/>
      <c r="J1100" s="137" t="n"/>
      <c r="K1100" s="137" t="n"/>
      <c r="L1100" s="137" t="n"/>
      <c r="M1100" s="137" t="n"/>
      <c r="N1100" s="137" t="n"/>
      <c r="O1100" s="137" t="n"/>
      <c r="P1100" s="137" t="n"/>
      <c r="Q1100" s="137" t="n"/>
      <c r="R1100" s="137" t="n"/>
      <c r="S1100" s="137" t="n"/>
      <c r="T1100" s="137" t="n"/>
      <c r="U1100" s="61" t="n"/>
      <c r="V1100" s="19" t="n"/>
      <c r="W1100" s="19" t="n"/>
      <c r="X1100" s="19" t="n"/>
      <c r="Y1100" s="20" t="n"/>
      <c r="Z1100" s="137" t="n"/>
      <c r="AB1100" s="137" t="n"/>
      <c r="AC1100" s="137" t="n"/>
      <c r="AD1100" s="137" t="n"/>
      <c r="AE1100" s="137" t="n"/>
      <c r="AF1100" s="137" t="n"/>
      <c r="AG1100" s="137" t="n"/>
      <c r="AH1100" s="137" t="n"/>
      <c r="AI1100" s="137" t="n"/>
      <c r="AJ1100" s="137" t="n"/>
      <c r="AK1100" s="137" t="n"/>
      <c r="AL1100" s="137" t="n"/>
      <c r="AM1100" s="137" t="n"/>
      <c r="AN1100" s="61" t="n"/>
      <c r="AO1100" s="19" t="n"/>
      <c r="AP1100" s="19" t="n"/>
      <c r="AQ1100" s="19" t="n"/>
      <c r="AR1100" s="20" t="n"/>
      <c r="AS1100" s="137" t="n"/>
    </row>
    <row r="1101" hidden="1" outlineLevel="1">
      <c r="A1101" s="8" t="n"/>
      <c r="B1101" s="14" t="n"/>
      <c r="C1101" s="137" t="n"/>
      <c r="D1101" s="137" t="n"/>
      <c r="E1101" s="137" t="n"/>
      <c r="F1101" s="137" t="n"/>
      <c r="G1101" s="137" t="n"/>
      <c r="I1101" s="56" t="inlineStr">
        <is>
          <t>AQUISIÇÃO</t>
        </is>
      </c>
      <c r="J1101" s="17" t="n"/>
      <c r="K1101" s="56" t="inlineStr">
        <is>
          <t>OBTIDA NO NÍVEL</t>
        </is>
      </c>
      <c r="L1101" s="56" t="inlineStr">
        <is>
          <t>TALISMÃ</t>
        </is>
      </c>
      <c r="M1101" s="17" t="n"/>
      <c r="N1101" s="137" t="n"/>
      <c r="O1101" s="56">
        <f>DADOS_INVOC!$ID$7</f>
        <v/>
      </c>
      <c r="P1101" s="16" t="n"/>
      <c r="Q1101" s="16" t="n"/>
      <c r="R1101" s="16" t="n"/>
      <c r="S1101" s="17" t="n"/>
      <c r="T1101" s="137" t="n"/>
      <c r="U1101" s="21" t="n"/>
      <c r="Y1101" s="22" t="n"/>
      <c r="Z1101" s="137" t="n"/>
      <c r="AB1101" s="56" t="inlineStr">
        <is>
          <t>AQUISIÇÃO</t>
        </is>
      </c>
      <c r="AC1101" s="17" t="n"/>
      <c r="AD1101" s="56" t="inlineStr">
        <is>
          <t>OBTIDA NO NÍVEL</t>
        </is>
      </c>
      <c r="AE1101" s="56" t="inlineStr">
        <is>
          <t>TALISMÃ</t>
        </is>
      </c>
      <c r="AF1101" s="17" t="n"/>
      <c r="AG1101" s="137" t="n"/>
      <c r="AH1101" s="56">
        <f>DADOS_INVOC!$ID$13</f>
        <v/>
      </c>
      <c r="AI1101" s="16" t="n"/>
      <c r="AJ1101" s="16" t="n"/>
      <c r="AK1101" s="16" t="n"/>
      <c r="AL1101" s="17" t="n"/>
      <c r="AM1101" s="137" t="n"/>
      <c r="AN1101" s="21" t="n"/>
      <c r="AR1101" s="22" t="n"/>
      <c r="AS1101" s="137" t="n"/>
    </row>
    <row r="1102" hidden="1" outlineLevel="1">
      <c r="A1102" s="8" t="n"/>
      <c r="B1102" s="14" t="n"/>
      <c r="C1102" s="137" t="n"/>
      <c r="D1102" s="137" t="n"/>
      <c r="E1102" s="137" t="n"/>
      <c r="F1102" s="137" t="n"/>
      <c r="G1102" s="137" t="n"/>
      <c r="I1102" s="95" t="inlineStr">
        <is>
          <t>Espaço conhecido</t>
        </is>
      </c>
      <c r="J1102" s="20" t="n"/>
      <c r="K1102" s="95" t="n"/>
      <c r="L1102" s="95" t="inlineStr">
        <is>
          <t>Sem carga</t>
        </is>
      </c>
      <c r="M1102" s="20" t="n"/>
      <c r="N1102" s="137" t="n"/>
      <c r="O1102" s="56">
        <f>IF(DADOS_INVOC!$RA$7&gt;=1,"LIVRE","ABERTA")</f>
        <v/>
      </c>
      <c r="P1102" s="56">
        <f>IF(DADOS_INVOC!$RA$7&gt;=2,"LIVRE","ABERTA")</f>
        <v/>
      </c>
      <c r="Q1102" s="56">
        <f>IF(DADOS_INVOC!$RA$7&gt;=7,"LIVRE","ABERTA")</f>
        <v/>
      </c>
      <c r="R1102" s="56">
        <f>IF(DADOS_INVOC!$RA$7&gt;=8,"LIVRE","ABERTA")</f>
        <v/>
      </c>
      <c r="S1102" s="56">
        <f>IF(DADOS_INVOC!$RA$7&gt;=9,"LIVRE","ABERTA")</f>
        <v/>
      </c>
      <c r="T1102" s="137" t="n"/>
      <c r="U1102" s="21" t="n"/>
      <c r="Y1102" s="22" t="n"/>
      <c r="Z1102" s="137" t="n"/>
      <c r="AB1102" s="95" t="inlineStr">
        <is>
          <t>Espaço conhecido</t>
        </is>
      </c>
      <c r="AC1102" s="20" t="n"/>
      <c r="AD1102" s="95" t="n"/>
      <c r="AE1102" s="95" t="inlineStr">
        <is>
          <t>Sem carga</t>
        </is>
      </c>
      <c r="AF1102" s="20" t="n"/>
      <c r="AG1102" s="137" t="n"/>
      <c r="AH1102" s="56">
        <f>IF(DADOS_INVOC!$RA$13&gt;=1,"LIVRE","ABERTA")</f>
        <v/>
      </c>
      <c r="AI1102" s="56">
        <f>IF(DADOS_INVOC!$RA$13&gt;=2,"LIVRE","ABERTA")</f>
        <v/>
      </c>
      <c r="AJ1102" s="56">
        <f>IF(DADOS_INVOC!$RA$13&gt;=7,"LIVRE","ABERTA")</f>
        <v/>
      </c>
      <c r="AK1102" s="56">
        <f>IF(DADOS_INVOC!$RA$13&gt;=8,"LIVRE","ABERTA")</f>
        <v/>
      </c>
      <c r="AL1102" s="56">
        <f>IF(DADOS_INVOC!$RA$13&gt;=9,"LIVRE","ABERTA")</f>
        <v/>
      </c>
      <c r="AM1102" s="137" t="n"/>
      <c r="AN1102" s="21" t="n"/>
      <c r="AR1102" s="22" t="n"/>
      <c r="AS1102" s="137" t="n"/>
    </row>
    <row r="1103" hidden="1" outlineLevel="1" ht="24" customHeight="1">
      <c r="A1103" s="8" t="n"/>
      <c r="B1103" s="14" t="n"/>
      <c r="C1103" s="137" t="n"/>
      <c r="D1103" s="137" t="n"/>
      <c r="E1103" s="137" t="n"/>
      <c r="F1103" s="137" t="n"/>
      <c r="G1103" s="137" t="n"/>
      <c r="I1103" s="23" t="n"/>
      <c r="J1103" s="25" t="n"/>
      <c r="K1103" s="128" t="n"/>
      <c r="L1103" s="23" t="n"/>
      <c r="M1103" s="25" t="n"/>
      <c r="N1103" s="137" t="n"/>
      <c r="O1103" s="95" t="n"/>
      <c r="P1103" s="95" t="n"/>
      <c r="Q1103" s="95" t="n"/>
      <c r="R1103" s="95" t="n"/>
      <c r="S1103" s="95" t="n"/>
      <c r="T1103" s="137" t="n"/>
      <c r="U1103" s="21" t="n"/>
      <c r="Y1103" s="22" t="n"/>
      <c r="Z1103" s="137" t="n"/>
      <c r="AB1103" s="23" t="n"/>
      <c r="AC1103" s="25" t="n"/>
      <c r="AD1103" s="128" t="n"/>
      <c r="AE1103" s="23" t="n"/>
      <c r="AF1103" s="25" t="n"/>
      <c r="AG1103" s="137" t="n"/>
      <c r="AH1103" s="95" t="n"/>
      <c r="AI1103" s="95" t="n"/>
      <c r="AJ1103" s="95" t="n"/>
      <c r="AK1103" s="95" t="n"/>
      <c r="AL1103" s="95" t="n"/>
      <c r="AM1103" s="137" t="n"/>
      <c r="AN1103" s="21" t="n"/>
      <c r="AR1103" s="22" t="n"/>
      <c r="AS1103" s="137" t="n"/>
    </row>
    <row r="1104" hidden="1" outlineLevel="1" ht="15" customHeight="1">
      <c r="A1104" s="8" t="n"/>
      <c r="B1104" s="14" t="n"/>
      <c r="C1104" s="137" t="n"/>
      <c r="D1104" s="137" t="n"/>
      <c r="E1104" s="137" t="n"/>
      <c r="F1104" s="137" t="n"/>
      <c r="G1104" s="137" t="n"/>
      <c r="I1104" s="137" t="n"/>
      <c r="J1104" s="137" t="n"/>
      <c r="K1104" s="137" t="n"/>
      <c r="L1104" s="137" t="n"/>
      <c r="M1104" s="137" t="n"/>
      <c r="N1104" s="137" t="n"/>
      <c r="O1104" s="56">
        <f>IF(DADOS_INVOC!$RA$7&gt;=3,"LIVRE 6","FAMÍLIA 6")</f>
        <v/>
      </c>
      <c r="P1104" s="56">
        <f>IF(DADOS_INVOC!$RA$7&gt;=4,"LIVRE 7","FAMÍLIA 7")</f>
        <v/>
      </c>
      <c r="Q1104" s="56">
        <f>IF(DADOS_INVOC!$RA$7&gt;=5,"LIVRE 8","FAMÍLIA 8")</f>
        <v/>
      </c>
      <c r="R1104" s="56">
        <f>IF(DADOS_INVOC!$RA$7&gt;=6,"LIVRE 9","FAMÍLIA 9")</f>
        <v/>
      </c>
      <c r="S1104" s="17" t="n"/>
      <c r="T1104" s="137" t="n"/>
      <c r="U1104" s="23" t="n"/>
      <c r="V1104" s="24" t="n"/>
      <c r="W1104" s="24" t="n"/>
      <c r="X1104" s="24" t="n"/>
      <c r="Y1104" s="25" t="n"/>
      <c r="Z1104" s="137" t="n"/>
      <c r="AB1104" s="137" t="n"/>
      <c r="AC1104" s="137" t="n"/>
      <c r="AD1104" s="137" t="n"/>
      <c r="AE1104" s="137" t="n"/>
      <c r="AF1104" s="137" t="n"/>
      <c r="AG1104" s="137" t="n"/>
      <c r="AH1104" s="56">
        <f>IF(DADOS_INVOC!$RA$13&gt;=3,"LIVRE 6","FAMÍLIA 6")</f>
        <v/>
      </c>
      <c r="AI1104" s="56">
        <f>IF(DADOS_INVOC!$RA$13&gt;=4,"LIVRE 7","FAMÍLIA 7")</f>
        <v/>
      </c>
      <c r="AJ1104" s="56">
        <f>IF(DADOS_INVOC!$RA$13&gt;=5,"LIVRE 8","FAMÍLIA 8")</f>
        <v/>
      </c>
      <c r="AK1104" s="56">
        <f>IF(DADOS_INVOC!$RA$13&gt;=6,"LIVRE 9","FAMÍLIA 9")</f>
        <v/>
      </c>
      <c r="AL1104" s="17" t="n"/>
      <c r="AM1104" s="137" t="n"/>
      <c r="AN1104" s="23" t="n"/>
      <c r="AO1104" s="24" t="n"/>
      <c r="AP1104" s="24" t="n"/>
      <c r="AQ1104" s="24" t="n"/>
      <c r="AR1104" s="25" t="n"/>
      <c r="AS1104" s="137" t="n"/>
    </row>
    <row r="1105" hidden="1" outlineLevel="1" ht="24" customHeight="1">
      <c r="A1105" s="8" t="n"/>
      <c r="B1105" s="14" t="n"/>
      <c r="C1105" s="137" t="n"/>
      <c r="D1105" s="137" t="n"/>
      <c r="E1105" s="137" t="n"/>
      <c r="F1105" s="137" t="n"/>
      <c r="G1105" s="137" t="n"/>
      <c r="I1105" s="56" t="inlineStr">
        <is>
          <t>AUTONOMIA</t>
        </is>
      </c>
      <c r="J1105" s="17" t="n"/>
      <c r="K1105" s="95" t="inlineStr">
        <is>
          <t>Autônoma</t>
        </is>
      </c>
      <c r="L1105" s="16" t="n"/>
      <c r="M1105" s="17" t="n"/>
      <c r="N1105" s="137" t="n"/>
      <c r="O1105" s="95" t="n"/>
      <c r="P1105" s="95" t="n"/>
      <c r="Q1105" s="95" t="n"/>
      <c r="R1105" s="95" t="n"/>
      <c r="S1105" s="17" t="n"/>
      <c r="T1105" s="137" t="n"/>
      <c r="U1105" s="137" t="n"/>
      <c r="V1105" s="137" t="n"/>
      <c r="W1105" s="137" t="n"/>
      <c r="X1105" s="137" t="n"/>
      <c r="Y1105" s="137" t="n"/>
      <c r="Z1105" s="137" t="n"/>
      <c r="AB1105" s="56" t="inlineStr">
        <is>
          <t>AUTONOMIA</t>
        </is>
      </c>
      <c r="AC1105" s="17" t="n"/>
      <c r="AD1105" s="95" t="inlineStr">
        <is>
          <t>Autônoma</t>
        </is>
      </c>
      <c r="AE1105" s="16" t="n"/>
      <c r="AF1105" s="17" t="n"/>
      <c r="AG1105" s="137" t="n"/>
      <c r="AH1105" s="95" t="n"/>
      <c r="AI1105" s="95" t="n"/>
      <c r="AJ1105" s="95" t="n"/>
      <c r="AK1105" s="95" t="n"/>
      <c r="AL1105" s="17" t="n"/>
      <c r="AM1105" s="137" t="n"/>
      <c r="AN1105" s="137" t="n"/>
      <c r="AO1105" s="137" t="n"/>
      <c r="AP1105" s="137" t="n"/>
      <c r="AQ1105" s="137" t="n"/>
      <c r="AR1105" s="137" t="n"/>
      <c r="AS1105" s="137" t="n"/>
    </row>
    <row r="1106" hidden="1" outlineLevel="1" ht="18.75" customHeight="1">
      <c r="A1106" s="8" t="n"/>
      <c r="B1106" s="14" t="n"/>
      <c r="C1106" s="137" t="n"/>
      <c r="D1106" s="137" t="n"/>
      <c r="E1106" s="137" t="n"/>
      <c r="F1106" s="137" t="n"/>
      <c r="G1106" s="137" t="n"/>
      <c r="I1106" s="137" t="n"/>
      <c r="J1106" s="137" t="n"/>
      <c r="K1106" s="137" t="n"/>
      <c r="L1106" s="137" t="n"/>
      <c r="M1106" s="137" t="n"/>
      <c r="N1106" s="137" t="n"/>
      <c r="O1106" s="101" t="inlineStr">
        <is>
          <t>FAMÍLIAS CUSTOM · CONFIGURAÇÃO</t>
        </is>
      </c>
      <c r="P1106" s="16" t="n"/>
      <c r="Q1106" s="16" t="n"/>
      <c r="R1106" s="16" t="n"/>
      <c r="S1106" s="17" t="n"/>
      <c r="T1106" s="137" t="n"/>
      <c r="U1106" s="137" t="n"/>
      <c r="V1106" s="137" t="n"/>
      <c r="W1106" s="137" t="n"/>
      <c r="X1106" s="137" t="n"/>
      <c r="Y1106" s="137" t="n"/>
      <c r="Z1106" s="137" t="n"/>
      <c r="AB1106" s="137" t="n"/>
      <c r="AC1106" s="137" t="n"/>
      <c r="AD1106" s="137" t="n"/>
      <c r="AE1106" s="137" t="n"/>
      <c r="AF1106" s="137" t="n"/>
      <c r="AG1106" s="137" t="n"/>
      <c r="AH1106" s="101" t="inlineStr">
        <is>
          <t>FAMÍLIAS CUSTOM · CONFIGURAÇÃO</t>
        </is>
      </c>
      <c r="AI1106" s="16" t="n"/>
      <c r="AJ1106" s="16" t="n"/>
      <c r="AK1106" s="16" t="n"/>
      <c r="AL1106" s="17" t="n"/>
      <c r="AM1106" s="137" t="n"/>
      <c r="AN1106" s="137" t="n"/>
      <c r="AO1106" s="137" t="n"/>
      <c r="AP1106" s="137" t="n"/>
      <c r="AQ1106" s="137" t="n"/>
      <c r="AR1106" s="137" t="n"/>
      <c r="AS1106" s="137" t="n"/>
    </row>
    <row r="1107" hidden="1" outlineLevel="2" ht="31.5" customHeight="1">
      <c r="O1107" s="114">
        <f>IF(COUNTIF('DADOS_CRIACAO'!$H$11:$H$20,"?*")=0,"","Livre conta como aberta. As escolhas usam as vagas e os limites desta entidade.")</f>
        <v/>
      </c>
      <c r="P1107" s="16" t="n"/>
      <c r="Q1107" s="16" t="n"/>
      <c r="R1107" s="16" t="n"/>
      <c r="S1107" s="17" t="n"/>
      <c r="AH1107" s="114">
        <f>IF(COUNTIF('DADOS_CRIACAO'!$H$11:$H$20,"?*")=0,"","Livre conta como aberta. As escolhas usam as vagas e os limites desta entidade.")</f>
        <v/>
      </c>
      <c r="AI1107" s="16" t="n"/>
      <c r="AJ1107" s="16" t="n"/>
      <c r="AK1107" s="16" t="n"/>
      <c r="AL1107" s="17" t="n"/>
    </row>
    <row r="1108" hidden="1" outlineLevel="2" ht="18.75" customHeight="1">
      <c r="O1108" s="115">
        <f>IF(COUNTIF('DADOS_CRIACAO'!$H$11:$H$20,"?*")=0,"","FAMÍLIA")</f>
        <v/>
      </c>
      <c r="P1108" s="16" t="n"/>
      <c r="Q1108" s="17" t="n"/>
      <c r="R1108" s="115">
        <f>IF(COUNTIF('DADOS_CRIACAO'!$H$11:$H$20,"?*")=0,"","ESTADO")</f>
        <v/>
      </c>
      <c r="S1108" s="17" t="n"/>
      <c r="AH1108" s="115">
        <f>IF(COUNTIF('DADOS_CRIACAO'!$H$11:$H$20,"?*")=0,"","FAMÍLIA")</f>
        <v/>
      </c>
      <c r="AI1108" s="16" t="n"/>
      <c r="AJ1108" s="17" t="n"/>
      <c r="AK1108" s="115">
        <f>IF(COUNTIF('DADOS_CRIACAO'!$H$11:$H$20,"?*")=0,"","ESTADO")</f>
        <v/>
      </c>
      <c r="AL1108" s="17" t="n"/>
    </row>
    <row r="1109" hidden="1" outlineLevel="2" ht="18.75" customHeight="1">
      <c r="O1109" s="116">
        <f>'DADOS_CRIACAO'!$H$11</f>
        <v/>
      </c>
      <c r="P1109" s="16" t="n"/>
      <c r="Q1109" s="17" t="n"/>
      <c r="R1109" s="116">
        <f>IF(O1109="","",IFS(O1103=O1109,IF('DADOS_INVOC'!$RA$7&gt;=1,"Livre","Aberta"),P1103=O1109,IF('DADOS_INVOC'!$RA$7&gt;=2,"Livre","Aberta"),Q1103=O1109,IF('DADOS_INVOC'!$RA$7&gt;=7,"Livre","Aberta"),R1103=O1109,IF('DADOS_INVOC'!$RA$7&gt;=8,"Livre","Aberta"),S1103=O1109,IF('DADOS_INVOC'!$RA$7&gt;=9,"Livre","Aberta"),O1105=O1109,IF('DADOS_INVOC'!$RA$7&gt;=3,"Livre","Aberta"),P1105=O1109,IF('DADOS_INVOC'!$RA$7&gt;=4,"Livre","Aberta"),Q1105=O1109,IF('DADOS_INVOC'!$RA$7&gt;=5,"Livre","Aberta"),R1105=O1109,IF('DADOS_INVOC'!$RA$7&gt;=6,"Livre","Aberta"),TRUE,"Não escolhida"))</f>
        <v/>
      </c>
      <c r="S1109" s="17" t="n"/>
      <c r="AH1109" s="116">
        <f>'DADOS_CRIACAO'!$H$11</f>
        <v/>
      </c>
      <c r="AI1109" s="16" t="n"/>
      <c r="AJ1109" s="17" t="n"/>
      <c r="AK1109" s="116">
        <f>IF(AH1109="","",IFS(AH1103=AH1109,IF('DADOS_INVOC'!$RA$13&gt;=1,"Livre","Aberta"),AI1103=AH1109,IF('DADOS_INVOC'!$RA$13&gt;=2,"Livre","Aberta"),AJ1103=AH1109,IF('DADOS_INVOC'!$RA$13&gt;=7,"Livre","Aberta"),AK1103=AH1109,IF('DADOS_INVOC'!$RA$13&gt;=8,"Livre","Aberta"),AL1103=AH1109,IF('DADOS_INVOC'!$RA$13&gt;=9,"Livre","Aberta"),AH1105=AH1109,IF('DADOS_INVOC'!$RA$13&gt;=3,"Livre","Aberta"),AI1105=AH1109,IF('DADOS_INVOC'!$RA$13&gt;=4,"Livre","Aberta"),AJ1105=AH1109,IF('DADOS_INVOC'!$RA$13&gt;=5,"Livre","Aberta"),AK1105=AH1109,IF('DADOS_INVOC'!$RA$13&gt;=6,"Livre","Aberta"),TRUE,"Não escolhida"))</f>
        <v/>
      </c>
      <c r="AL1109" s="17" t="n"/>
    </row>
    <row r="1110" hidden="1" outlineLevel="2" ht="18.75" customHeight="1">
      <c r="O1110" s="116">
        <f>'DADOS_CRIACAO'!$H$12</f>
        <v/>
      </c>
      <c r="P1110" s="16" t="n"/>
      <c r="Q1110" s="17" t="n"/>
      <c r="R1110" s="116">
        <f>IF(O1110="","",IFS(O1103=O1110,IF('DADOS_INVOC'!$RA$7&gt;=1,"Livre","Aberta"),P1103=O1110,IF('DADOS_INVOC'!$RA$7&gt;=2,"Livre","Aberta"),Q1103=O1110,IF('DADOS_INVOC'!$RA$7&gt;=7,"Livre","Aberta"),R1103=O1110,IF('DADOS_INVOC'!$RA$7&gt;=8,"Livre","Aberta"),S1103=O1110,IF('DADOS_INVOC'!$RA$7&gt;=9,"Livre","Aberta"),O1105=O1110,IF('DADOS_INVOC'!$RA$7&gt;=3,"Livre","Aberta"),P1105=O1110,IF('DADOS_INVOC'!$RA$7&gt;=4,"Livre","Aberta"),Q1105=O1110,IF('DADOS_INVOC'!$RA$7&gt;=5,"Livre","Aberta"),R1105=O1110,IF('DADOS_INVOC'!$RA$7&gt;=6,"Livre","Aberta"),TRUE,"Não escolhida"))</f>
        <v/>
      </c>
      <c r="S1110" s="17" t="n"/>
      <c r="AH1110" s="116">
        <f>'DADOS_CRIACAO'!$H$12</f>
        <v/>
      </c>
      <c r="AI1110" s="16" t="n"/>
      <c r="AJ1110" s="17" t="n"/>
      <c r="AK1110" s="116">
        <f>IF(AH1110="","",IFS(AH1103=AH1110,IF('DADOS_INVOC'!$RA$13&gt;=1,"Livre","Aberta"),AI1103=AH1110,IF('DADOS_INVOC'!$RA$13&gt;=2,"Livre","Aberta"),AJ1103=AH1110,IF('DADOS_INVOC'!$RA$13&gt;=7,"Livre","Aberta"),AK1103=AH1110,IF('DADOS_INVOC'!$RA$13&gt;=8,"Livre","Aberta"),AL1103=AH1110,IF('DADOS_INVOC'!$RA$13&gt;=9,"Livre","Aberta"),AH1105=AH1110,IF('DADOS_INVOC'!$RA$13&gt;=3,"Livre","Aberta"),AI1105=AH1110,IF('DADOS_INVOC'!$RA$13&gt;=4,"Livre","Aberta"),AJ1105=AH1110,IF('DADOS_INVOC'!$RA$13&gt;=5,"Livre","Aberta"),AK1105=AH1110,IF('DADOS_INVOC'!$RA$13&gt;=6,"Livre","Aberta"),TRUE,"Não escolhida"))</f>
        <v/>
      </c>
      <c r="AL1110" s="17" t="n"/>
    </row>
    <row r="1111" hidden="1" outlineLevel="2" ht="18.75" customHeight="1">
      <c r="O1111" s="116">
        <f>'DADOS_CRIACAO'!$H$13</f>
        <v/>
      </c>
      <c r="P1111" s="16" t="n"/>
      <c r="Q1111" s="17" t="n"/>
      <c r="R1111" s="116">
        <f>IF(O1111="","",IFS(O1103=O1111,IF('DADOS_INVOC'!$RA$7&gt;=1,"Livre","Aberta"),P1103=O1111,IF('DADOS_INVOC'!$RA$7&gt;=2,"Livre","Aberta"),Q1103=O1111,IF('DADOS_INVOC'!$RA$7&gt;=7,"Livre","Aberta"),R1103=O1111,IF('DADOS_INVOC'!$RA$7&gt;=8,"Livre","Aberta"),S1103=O1111,IF('DADOS_INVOC'!$RA$7&gt;=9,"Livre","Aberta"),O1105=O1111,IF('DADOS_INVOC'!$RA$7&gt;=3,"Livre","Aberta"),P1105=O1111,IF('DADOS_INVOC'!$RA$7&gt;=4,"Livre","Aberta"),Q1105=O1111,IF('DADOS_INVOC'!$RA$7&gt;=5,"Livre","Aberta"),R1105=O1111,IF('DADOS_INVOC'!$RA$7&gt;=6,"Livre","Aberta"),TRUE,"Não escolhida"))</f>
        <v/>
      </c>
      <c r="S1111" s="17" t="n"/>
      <c r="AH1111" s="116">
        <f>'DADOS_CRIACAO'!$H$13</f>
        <v/>
      </c>
      <c r="AI1111" s="16" t="n"/>
      <c r="AJ1111" s="17" t="n"/>
      <c r="AK1111" s="116">
        <f>IF(AH1111="","",IFS(AH1103=AH1111,IF('DADOS_INVOC'!$RA$13&gt;=1,"Livre","Aberta"),AI1103=AH1111,IF('DADOS_INVOC'!$RA$13&gt;=2,"Livre","Aberta"),AJ1103=AH1111,IF('DADOS_INVOC'!$RA$13&gt;=7,"Livre","Aberta"),AK1103=AH1111,IF('DADOS_INVOC'!$RA$13&gt;=8,"Livre","Aberta"),AL1103=AH1111,IF('DADOS_INVOC'!$RA$13&gt;=9,"Livre","Aberta"),AH1105=AH1111,IF('DADOS_INVOC'!$RA$13&gt;=3,"Livre","Aberta"),AI1105=AH1111,IF('DADOS_INVOC'!$RA$13&gt;=4,"Livre","Aberta"),AJ1105=AH1111,IF('DADOS_INVOC'!$RA$13&gt;=5,"Livre","Aberta"),AK1105=AH1111,IF('DADOS_INVOC'!$RA$13&gt;=6,"Livre","Aberta"),TRUE,"Não escolhida"))</f>
        <v/>
      </c>
      <c r="AL1111" s="17" t="n"/>
    </row>
    <row r="1112" hidden="1" outlineLevel="2" ht="18.75" customHeight="1">
      <c r="O1112" s="116">
        <f>'DADOS_CRIACAO'!$H$14</f>
        <v/>
      </c>
      <c r="P1112" s="16" t="n"/>
      <c r="Q1112" s="17" t="n"/>
      <c r="R1112" s="116">
        <f>IF(O1112="","",IFS(O1103=O1112,IF('DADOS_INVOC'!$RA$7&gt;=1,"Livre","Aberta"),P1103=O1112,IF('DADOS_INVOC'!$RA$7&gt;=2,"Livre","Aberta"),Q1103=O1112,IF('DADOS_INVOC'!$RA$7&gt;=7,"Livre","Aberta"),R1103=O1112,IF('DADOS_INVOC'!$RA$7&gt;=8,"Livre","Aberta"),S1103=O1112,IF('DADOS_INVOC'!$RA$7&gt;=9,"Livre","Aberta"),O1105=O1112,IF('DADOS_INVOC'!$RA$7&gt;=3,"Livre","Aberta"),P1105=O1112,IF('DADOS_INVOC'!$RA$7&gt;=4,"Livre","Aberta"),Q1105=O1112,IF('DADOS_INVOC'!$RA$7&gt;=5,"Livre","Aberta"),R1105=O1112,IF('DADOS_INVOC'!$RA$7&gt;=6,"Livre","Aberta"),TRUE,"Não escolhida"))</f>
        <v/>
      </c>
      <c r="S1112" s="17" t="n"/>
      <c r="AH1112" s="116">
        <f>'DADOS_CRIACAO'!$H$14</f>
        <v/>
      </c>
      <c r="AI1112" s="16" t="n"/>
      <c r="AJ1112" s="17" t="n"/>
      <c r="AK1112" s="116">
        <f>IF(AH1112="","",IFS(AH1103=AH1112,IF('DADOS_INVOC'!$RA$13&gt;=1,"Livre","Aberta"),AI1103=AH1112,IF('DADOS_INVOC'!$RA$13&gt;=2,"Livre","Aberta"),AJ1103=AH1112,IF('DADOS_INVOC'!$RA$13&gt;=7,"Livre","Aberta"),AK1103=AH1112,IF('DADOS_INVOC'!$RA$13&gt;=8,"Livre","Aberta"),AL1103=AH1112,IF('DADOS_INVOC'!$RA$13&gt;=9,"Livre","Aberta"),AH1105=AH1112,IF('DADOS_INVOC'!$RA$13&gt;=3,"Livre","Aberta"),AI1105=AH1112,IF('DADOS_INVOC'!$RA$13&gt;=4,"Livre","Aberta"),AJ1105=AH1112,IF('DADOS_INVOC'!$RA$13&gt;=5,"Livre","Aberta"),AK1105=AH1112,IF('DADOS_INVOC'!$RA$13&gt;=6,"Livre","Aberta"),TRUE,"Não escolhida"))</f>
        <v/>
      </c>
      <c r="AL1112" s="17" t="n"/>
    </row>
    <row r="1113" hidden="1" outlineLevel="2" ht="18.75" customHeight="1">
      <c r="O1113" s="116">
        <f>'DADOS_CRIACAO'!$H$15</f>
        <v/>
      </c>
      <c r="P1113" s="16" t="n"/>
      <c r="Q1113" s="17" t="n"/>
      <c r="R1113" s="116">
        <f>IF(O1113="","",IFS(O1103=O1113,IF('DADOS_INVOC'!$RA$7&gt;=1,"Livre","Aberta"),P1103=O1113,IF('DADOS_INVOC'!$RA$7&gt;=2,"Livre","Aberta"),Q1103=O1113,IF('DADOS_INVOC'!$RA$7&gt;=7,"Livre","Aberta"),R1103=O1113,IF('DADOS_INVOC'!$RA$7&gt;=8,"Livre","Aberta"),S1103=O1113,IF('DADOS_INVOC'!$RA$7&gt;=9,"Livre","Aberta"),O1105=O1113,IF('DADOS_INVOC'!$RA$7&gt;=3,"Livre","Aberta"),P1105=O1113,IF('DADOS_INVOC'!$RA$7&gt;=4,"Livre","Aberta"),Q1105=O1113,IF('DADOS_INVOC'!$RA$7&gt;=5,"Livre","Aberta"),R1105=O1113,IF('DADOS_INVOC'!$RA$7&gt;=6,"Livre","Aberta"),TRUE,"Não escolhida"))</f>
        <v/>
      </c>
      <c r="S1113" s="17" t="n"/>
      <c r="AH1113" s="116">
        <f>'DADOS_CRIACAO'!$H$15</f>
        <v/>
      </c>
      <c r="AI1113" s="16" t="n"/>
      <c r="AJ1113" s="17" t="n"/>
      <c r="AK1113" s="116">
        <f>IF(AH1113="","",IFS(AH1103=AH1113,IF('DADOS_INVOC'!$RA$13&gt;=1,"Livre","Aberta"),AI1103=AH1113,IF('DADOS_INVOC'!$RA$13&gt;=2,"Livre","Aberta"),AJ1103=AH1113,IF('DADOS_INVOC'!$RA$13&gt;=7,"Livre","Aberta"),AK1103=AH1113,IF('DADOS_INVOC'!$RA$13&gt;=8,"Livre","Aberta"),AL1103=AH1113,IF('DADOS_INVOC'!$RA$13&gt;=9,"Livre","Aberta"),AH1105=AH1113,IF('DADOS_INVOC'!$RA$13&gt;=3,"Livre","Aberta"),AI1105=AH1113,IF('DADOS_INVOC'!$RA$13&gt;=4,"Livre","Aberta"),AJ1105=AH1113,IF('DADOS_INVOC'!$RA$13&gt;=5,"Livre","Aberta"),AK1105=AH1113,IF('DADOS_INVOC'!$RA$13&gt;=6,"Livre","Aberta"),TRUE,"Não escolhida"))</f>
        <v/>
      </c>
      <c r="AL1113" s="17" t="n"/>
    </row>
    <row r="1114" hidden="1" outlineLevel="2" ht="18.75" customHeight="1">
      <c r="O1114" s="116">
        <f>'DADOS_CRIACAO'!$H$16</f>
        <v/>
      </c>
      <c r="P1114" s="16" t="n"/>
      <c r="Q1114" s="17" t="n"/>
      <c r="R1114" s="116">
        <f>IF(O1114="","",IFS(O1103=O1114,IF('DADOS_INVOC'!$RA$7&gt;=1,"Livre","Aberta"),P1103=O1114,IF('DADOS_INVOC'!$RA$7&gt;=2,"Livre","Aberta"),Q1103=O1114,IF('DADOS_INVOC'!$RA$7&gt;=7,"Livre","Aberta"),R1103=O1114,IF('DADOS_INVOC'!$RA$7&gt;=8,"Livre","Aberta"),S1103=O1114,IF('DADOS_INVOC'!$RA$7&gt;=9,"Livre","Aberta"),O1105=O1114,IF('DADOS_INVOC'!$RA$7&gt;=3,"Livre","Aberta"),P1105=O1114,IF('DADOS_INVOC'!$RA$7&gt;=4,"Livre","Aberta"),Q1105=O1114,IF('DADOS_INVOC'!$RA$7&gt;=5,"Livre","Aberta"),R1105=O1114,IF('DADOS_INVOC'!$RA$7&gt;=6,"Livre","Aberta"),TRUE,"Não escolhida"))</f>
        <v/>
      </c>
      <c r="S1114" s="17" t="n"/>
      <c r="AH1114" s="116">
        <f>'DADOS_CRIACAO'!$H$16</f>
        <v/>
      </c>
      <c r="AI1114" s="16" t="n"/>
      <c r="AJ1114" s="17" t="n"/>
      <c r="AK1114" s="116">
        <f>IF(AH1114="","",IFS(AH1103=AH1114,IF('DADOS_INVOC'!$RA$13&gt;=1,"Livre","Aberta"),AI1103=AH1114,IF('DADOS_INVOC'!$RA$13&gt;=2,"Livre","Aberta"),AJ1103=AH1114,IF('DADOS_INVOC'!$RA$13&gt;=7,"Livre","Aberta"),AK1103=AH1114,IF('DADOS_INVOC'!$RA$13&gt;=8,"Livre","Aberta"),AL1103=AH1114,IF('DADOS_INVOC'!$RA$13&gt;=9,"Livre","Aberta"),AH1105=AH1114,IF('DADOS_INVOC'!$RA$13&gt;=3,"Livre","Aberta"),AI1105=AH1114,IF('DADOS_INVOC'!$RA$13&gt;=4,"Livre","Aberta"),AJ1105=AH1114,IF('DADOS_INVOC'!$RA$13&gt;=5,"Livre","Aberta"),AK1105=AH1114,IF('DADOS_INVOC'!$RA$13&gt;=6,"Livre","Aberta"),TRUE,"Não escolhida"))</f>
        <v/>
      </c>
      <c r="AL1114" s="17" t="n"/>
    </row>
    <row r="1115" hidden="1" outlineLevel="2" ht="18.75" customHeight="1">
      <c r="O1115" s="116">
        <f>'DADOS_CRIACAO'!$H$17</f>
        <v/>
      </c>
      <c r="P1115" s="16" t="n"/>
      <c r="Q1115" s="17" t="n"/>
      <c r="R1115" s="116">
        <f>IF(O1115="","",IFS(O1103=O1115,IF('DADOS_INVOC'!$RA$7&gt;=1,"Livre","Aberta"),P1103=O1115,IF('DADOS_INVOC'!$RA$7&gt;=2,"Livre","Aberta"),Q1103=O1115,IF('DADOS_INVOC'!$RA$7&gt;=7,"Livre","Aberta"),R1103=O1115,IF('DADOS_INVOC'!$RA$7&gt;=8,"Livre","Aberta"),S1103=O1115,IF('DADOS_INVOC'!$RA$7&gt;=9,"Livre","Aberta"),O1105=O1115,IF('DADOS_INVOC'!$RA$7&gt;=3,"Livre","Aberta"),P1105=O1115,IF('DADOS_INVOC'!$RA$7&gt;=4,"Livre","Aberta"),Q1105=O1115,IF('DADOS_INVOC'!$RA$7&gt;=5,"Livre","Aberta"),R1105=O1115,IF('DADOS_INVOC'!$RA$7&gt;=6,"Livre","Aberta"),TRUE,"Não escolhida"))</f>
        <v/>
      </c>
      <c r="S1115" s="17" t="n"/>
      <c r="AH1115" s="116">
        <f>'DADOS_CRIACAO'!$H$17</f>
        <v/>
      </c>
      <c r="AI1115" s="16" t="n"/>
      <c r="AJ1115" s="17" t="n"/>
      <c r="AK1115" s="116">
        <f>IF(AH1115="","",IFS(AH1103=AH1115,IF('DADOS_INVOC'!$RA$13&gt;=1,"Livre","Aberta"),AI1103=AH1115,IF('DADOS_INVOC'!$RA$13&gt;=2,"Livre","Aberta"),AJ1103=AH1115,IF('DADOS_INVOC'!$RA$13&gt;=7,"Livre","Aberta"),AK1103=AH1115,IF('DADOS_INVOC'!$RA$13&gt;=8,"Livre","Aberta"),AL1103=AH1115,IF('DADOS_INVOC'!$RA$13&gt;=9,"Livre","Aberta"),AH1105=AH1115,IF('DADOS_INVOC'!$RA$13&gt;=3,"Livre","Aberta"),AI1105=AH1115,IF('DADOS_INVOC'!$RA$13&gt;=4,"Livre","Aberta"),AJ1105=AH1115,IF('DADOS_INVOC'!$RA$13&gt;=5,"Livre","Aberta"),AK1105=AH1115,IF('DADOS_INVOC'!$RA$13&gt;=6,"Livre","Aberta"),TRUE,"Não escolhida"))</f>
        <v/>
      </c>
      <c r="AL1115" s="17" t="n"/>
    </row>
    <row r="1116" hidden="1" outlineLevel="2" ht="18.75" customHeight="1">
      <c r="O1116" s="116">
        <f>'DADOS_CRIACAO'!$H$18</f>
        <v/>
      </c>
      <c r="P1116" s="16" t="n"/>
      <c r="Q1116" s="17" t="n"/>
      <c r="R1116" s="116">
        <f>IF(O1116="","",IFS(O1103=O1116,IF('DADOS_INVOC'!$RA$7&gt;=1,"Livre","Aberta"),P1103=O1116,IF('DADOS_INVOC'!$RA$7&gt;=2,"Livre","Aberta"),Q1103=O1116,IF('DADOS_INVOC'!$RA$7&gt;=7,"Livre","Aberta"),R1103=O1116,IF('DADOS_INVOC'!$RA$7&gt;=8,"Livre","Aberta"),S1103=O1116,IF('DADOS_INVOC'!$RA$7&gt;=9,"Livre","Aberta"),O1105=O1116,IF('DADOS_INVOC'!$RA$7&gt;=3,"Livre","Aberta"),P1105=O1116,IF('DADOS_INVOC'!$RA$7&gt;=4,"Livre","Aberta"),Q1105=O1116,IF('DADOS_INVOC'!$RA$7&gt;=5,"Livre","Aberta"),R1105=O1116,IF('DADOS_INVOC'!$RA$7&gt;=6,"Livre","Aberta"),TRUE,"Não escolhida"))</f>
        <v/>
      </c>
      <c r="S1116" s="17" t="n"/>
      <c r="AH1116" s="116">
        <f>'DADOS_CRIACAO'!$H$18</f>
        <v/>
      </c>
      <c r="AI1116" s="16" t="n"/>
      <c r="AJ1116" s="17" t="n"/>
      <c r="AK1116" s="116">
        <f>IF(AH1116="","",IFS(AH1103=AH1116,IF('DADOS_INVOC'!$RA$13&gt;=1,"Livre","Aberta"),AI1103=AH1116,IF('DADOS_INVOC'!$RA$13&gt;=2,"Livre","Aberta"),AJ1103=AH1116,IF('DADOS_INVOC'!$RA$13&gt;=7,"Livre","Aberta"),AK1103=AH1116,IF('DADOS_INVOC'!$RA$13&gt;=8,"Livre","Aberta"),AL1103=AH1116,IF('DADOS_INVOC'!$RA$13&gt;=9,"Livre","Aberta"),AH1105=AH1116,IF('DADOS_INVOC'!$RA$13&gt;=3,"Livre","Aberta"),AI1105=AH1116,IF('DADOS_INVOC'!$RA$13&gt;=4,"Livre","Aberta"),AJ1105=AH1116,IF('DADOS_INVOC'!$RA$13&gt;=5,"Livre","Aberta"),AK1105=AH1116,IF('DADOS_INVOC'!$RA$13&gt;=6,"Livre","Aberta"),TRUE,"Não escolhida"))</f>
        <v/>
      </c>
      <c r="AL1116" s="17" t="n"/>
    </row>
    <row r="1117" hidden="1" outlineLevel="2" ht="18.75" customHeight="1">
      <c r="O1117" s="116">
        <f>'DADOS_CRIACAO'!$H$19</f>
        <v/>
      </c>
      <c r="P1117" s="16" t="n"/>
      <c r="Q1117" s="17" t="n"/>
      <c r="R1117" s="116">
        <f>IF(O1117="","",IFS(O1103=O1117,IF('DADOS_INVOC'!$RA$7&gt;=1,"Livre","Aberta"),P1103=O1117,IF('DADOS_INVOC'!$RA$7&gt;=2,"Livre","Aberta"),Q1103=O1117,IF('DADOS_INVOC'!$RA$7&gt;=7,"Livre","Aberta"),R1103=O1117,IF('DADOS_INVOC'!$RA$7&gt;=8,"Livre","Aberta"),S1103=O1117,IF('DADOS_INVOC'!$RA$7&gt;=9,"Livre","Aberta"),O1105=O1117,IF('DADOS_INVOC'!$RA$7&gt;=3,"Livre","Aberta"),P1105=O1117,IF('DADOS_INVOC'!$RA$7&gt;=4,"Livre","Aberta"),Q1105=O1117,IF('DADOS_INVOC'!$RA$7&gt;=5,"Livre","Aberta"),R1105=O1117,IF('DADOS_INVOC'!$RA$7&gt;=6,"Livre","Aberta"),TRUE,"Não escolhida"))</f>
        <v/>
      </c>
      <c r="S1117" s="17" t="n"/>
      <c r="AH1117" s="116">
        <f>'DADOS_CRIACAO'!$H$19</f>
        <v/>
      </c>
      <c r="AI1117" s="16" t="n"/>
      <c r="AJ1117" s="17" t="n"/>
      <c r="AK1117" s="116">
        <f>IF(AH1117="","",IFS(AH1103=AH1117,IF('DADOS_INVOC'!$RA$13&gt;=1,"Livre","Aberta"),AI1103=AH1117,IF('DADOS_INVOC'!$RA$13&gt;=2,"Livre","Aberta"),AJ1103=AH1117,IF('DADOS_INVOC'!$RA$13&gt;=7,"Livre","Aberta"),AK1103=AH1117,IF('DADOS_INVOC'!$RA$13&gt;=8,"Livre","Aberta"),AL1103=AH1117,IF('DADOS_INVOC'!$RA$13&gt;=9,"Livre","Aberta"),AH1105=AH1117,IF('DADOS_INVOC'!$RA$13&gt;=3,"Livre","Aberta"),AI1105=AH1117,IF('DADOS_INVOC'!$RA$13&gt;=4,"Livre","Aberta"),AJ1105=AH1117,IF('DADOS_INVOC'!$RA$13&gt;=5,"Livre","Aberta"),AK1105=AH1117,IF('DADOS_INVOC'!$RA$13&gt;=6,"Livre","Aberta"),TRUE,"Não escolhida"))</f>
        <v/>
      </c>
      <c r="AL1117" s="17" t="n"/>
    </row>
    <row r="1118" hidden="1" outlineLevel="2" ht="18.75" customHeight="1">
      <c r="O1118" s="116">
        <f>'DADOS_CRIACAO'!$H$20</f>
        <v/>
      </c>
      <c r="P1118" s="16" t="n"/>
      <c r="Q1118" s="17" t="n"/>
      <c r="R1118" s="116">
        <f>IF(O1118="","",IFS(O1103=O1118,IF('DADOS_INVOC'!$RA$7&gt;=1,"Livre","Aberta"),P1103=O1118,IF('DADOS_INVOC'!$RA$7&gt;=2,"Livre","Aberta"),Q1103=O1118,IF('DADOS_INVOC'!$RA$7&gt;=7,"Livre","Aberta"),R1103=O1118,IF('DADOS_INVOC'!$RA$7&gt;=8,"Livre","Aberta"),S1103=O1118,IF('DADOS_INVOC'!$RA$7&gt;=9,"Livre","Aberta"),O1105=O1118,IF('DADOS_INVOC'!$RA$7&gt;=3,"Livre","Aberta"),P1105=O1118,IF('DADOS_INVOC'!$RA$7&gt;=4,"Livre","Aberta"),Q1105=O1118,IF('DADOS_INVOC'!$RA$7&gt;=5,"Livre","Aberta"),R1105=O1118,IF('DADOS_INVOC'!$RA$7&gt;=6,"Livre","Aberta"),TRUE,"Não escolhida"))</f>
        <v/>
      </c>
      <c r="S1118" s="17" t="n"/>
      <c r="AH1118" s="116">
        <f>'DADOS_CRIACAO'!$H$20</f>
        <v/>
      </c>
      <c r="AI1118" s="16" t="n"/>
      <c r="AJ1118" s="17" t="n"/>
      <c r="AK1118" s="116">
        <f>IF(AH1118="","",IFS(AH1103=AH1118,IF('DADOS_INVOC'!$RA$13&gt;=1,"Livre","Aberta"),AI1103=AH1118,IF('DADOS_INVOC'!$RA$13&gt;=2,"Livre","Aberta"),AJ1103=AH1118,IF('DADOS_INVOC'!$RA$13&gt;=7,"Livre","Aberta"),AK1103=AH1118,IF('DADOS_INVOC'!$RA$13&gt;=8,"Livre","Aberta"),AL1103=AH1118,IF('DADOS_INVOC'!$RA$13&gt;=9,"Livre","Aberta"),AH1105=AH1118,IF('DADOS_INVOC'!$RA$13&gt;=3,"Livre","Aberta"),AI1105=AH1118,IF('DADOS_INVOC'!$RA$13&gt;=4,"Livre","Aberta"),AJ1105=AH1118,IF('DADOS_INVOC'!$RA$13&gt;=5,"Livre","Aberta"),AK1105=AH1118,IF('DADOS_INVOC'!$RA$13&gt;=6,"Livre","Aberta"),TRUE,"Não escolhida"))</f>
        <v/>
      </c>
      <c r="AL1118" s="17" t="n"/>
    </row>
    <row r="1119" hidden="1" outlineLevel="2" ht="18.75" customHeight="1"/>
    <row r="1120" hidden="1" outlineLevel="1">
      <c r="A1120" s="8" t="n"/>
      <c r="B1120" s="14" t="n"/>
      <c r="C1120" s="137" t="n"/>
      <c r="D1120" s="137" t="n"/>
      <c r="E1120" s="137" t="n"/>
      <c r="F1120" s="137" t="n"/>
      <c r="G1120" s="137" t="n"/>
      <c r="I1120" s="56" t="inlineStr">
        <is>
          <t>DEFINIÇÃO</t>
        </is>
      </c>
      <c r="J1120" s="16" t="n"/>
      <c r="K1120" s="16" t="n"/>
      <c r="L1120" s="16" t="n"/>
      <c r="M1120" s="16" t="n"/>
      <c r="N1120" s="16" t="n"/>
      <c r="O1120" s="16" t="n"/>
      <c r="P1120" s="16" t="n"/>
      <c r="Q1120" s="16" t="n"/>
      <c r="R1120" s="16" t="n"/>
      <c r="S1120" s="16" t="n"/>
      <c r="T1120" s="16" t="n"/>
      <c r="U1120" s="16" t="n"/>
      <c r="V1120" s="16" t="n"/>
      <c r="W1120" s="16" t="n"/>
      <c r="X1120" s="16" t="n"/>
      <c r="Y1120" s="17" t="n"/>
      <c r="Z1120" s="137" t="n"/>
      <c r="AB1120" s="56" t="inlineStr">
        <is>
          <t>DEFINIÇÃO</t>
        </is>
      </c>
      <c r="AC1120" s="16" t="n"/>
      <c r="AD1120" s="16" t="n"/>
      <c r="AE1120" s="16" t="n"/>
      <c r="AF1120" s="16" t="n"/>
      <c r="AG1120" s="16" t="n"/>
      <c r="AH1120" s="16" t="n"/>
      <c r="AI1120" s="16" t="n"/>
      <c r="AJ1120" s="16" t="n"/>
      <c r="AK1120" s="16" t="n"/>
      <c r="AL1120" s="16" t="n"/>
      <c r="AM1120" s="16" t="n"/>
      <c r="AN1120" s="16" t="n"/>
      <c r="AO1120" s="16" t="n"/>
      <c r="AP1120" s="16" t="n"/>
      <c r="AQ1120" s="16" t="n"/>
      <c r="AR1120" s="17" t="n"/>
      <c r="AS1120" s="137" t="n"/>
    </row>
    <row r="1121" hidden="1" outlineLevel="1">
      <c r="A1121" s="8" t="n"/>
      <c r="B1121" s="14" t="n"/>
      <c r="C1121" s="137" t="n"/>
      <c r="D1121" s="137" t="n"/>
      <c r="E1121" s="137" t="n"/>
      <c r="F1121" s="137" t="n"/>
      <c r="G1121" s="137" t="n"/>
      <c r="I1121" s="61" t="n"/>
      <c r="J1121" s="19" t="n"/>
      <c r="K1121" s="19" t="n"/>
      <c r="L1121" s="19" t="n"/>
      <c r="M1121" s="19" t="n"/>
      <c r="N1121" s="19" t="n"/>
      <c r="O1121" s="19" t="n"/>
      <c r="P1121" s="19" t="n"/>
      <c r="Q1121" s="19" t="n"/>
      <c r="R1121" s="19" t="n"/>
      <c r="S1121" s="19" t="n"/>
      <c r="T1121" s="19" t="n"/>
      <c r="U1121" s="19" t="n"/>
      <c r="V1121" s="19" t="n"/>
      <c r="W1121" s="19" t="n"/>
      <c r="X1121" s="19" t="n"/>
      <c r="Y1121" s="20" t="n"/>
      <c r="Z1121" s="137" t="n"/>
      <c r="AB1121" s="61" t="n"/>
      <c r="AC1121" s="19" t="n"/>
      <c r="AD1121" s="19" t="n"/>
      <c r="AE1121" s="19" t="n"/>
      <c r="AF1121" s="19" t="n"/>
      <c r="AG1121" s="19" t="n"/>
      <c r="AH1121" s="19" t="n"/>
      <c r="AI1121" s="19" t="n"/>
      <c r="AJ1121" s="19" t="n"/>
      <c r="AK1121" s="19" t="n"/>
      <c r="AL1121" s="19" t="n"/>
      <c r="AM1121" s="19" t="n"/>
      <c r="AN1121" s="19" t="n"/>
      <c r="AO1121" s="19" t="n"/>
      <c r="AP1121" s="19" t="n"/>
      <c r="AQ1121" s="19" t="n"/>
      <c r="AR1121" s="20" t="n"/>
      <c r="AS1121" s="137" t="n"/>
    </row>
    <row r="1122" hidden="1" outlineLevel="1">
      <c r="A1122" s="8" t="n"/>
      <c r="B1122" s="14" t="n"/>
      <c r="C1122" s="137" t="n"/>
      <c r="D1122" s="137" t="n"/>
      <c r="E1122" s="137" t="n"/>
      <c r="F1122" s="137" t="n"/>
      <c r="G1122" s="137" t="n"/>
      <c r="I1122" s="23" t="n"/>
      <c r="J1122" s="24" t="n"/>
      <c r="K1122" s="24" t="n"/>
      <c r="L1122" s="24" t="n"/>
      <c r="M1122" s="24" t="n"/>
      <c r="N1122" s="24" t="n"/>
      <c r="O1122" s="24" t="n"/>
      <c r="P1122" s="24" t="n"/>
      <c r="Q1122" s="24" t="n"/>
      <c r="R1122" s="24" t="n"/>
      <c r="S1122" s="24" t="n"/>
      <c r="T1122" s="24" t="n"/>
      <c r="U1122" s="24" t="n"/>
      <c r="V1122" s="24" t="n"/>
      <c r="W1122" s="24" t="n"/>
      <c r="X1122" s="24" t="n"/>
      <c r="Y1122" s="25" t="n"/>
      <c r="Z1122" s="137" t="n"/>
      <c r="AB1122" s="23" t="n"/>
      <c r="AC1122" s="24" t="n"/>
      <c r="AD1122" s="24" t="n"/>
      <c r="AE1122" s="24" t="n"/>
      <c r="AF1122" s="24" t="n"/>
      <c r="AG1122" s="24" t="n"/>
      <c r="AH1122" s="24" t="n"/>
      <c r="AI1122" s="24" t="n"/>
      <c r="AJ1122" s="24" t="n"/>
      <c r="AK1122" s="24" t="n"/>
      <c r="AL1122" s="24" t="n"/>
      <c r="AM1122" s="24" t="n"/>
      <c r="AN1122" s="24" t="n"/>
      <c r="AO1122" s="24" t="n"/>
      <c r="AP1122" s="24" t="n"/>
      <c r="AQ1122" s="24" t="n"/>
      <c r="AR1122" s="25" t="n"/>
      <c r="AS1122" s="137" t="n"/>
    </row>
    <row r="1123" hidden="1" outlineLevel="1">
      <c r="A1123" s="8" t="n"/>
      <c r="B1123" s="14" t="n"/>
      <c r="C1123" s="137" t="n"/>
      <c r="D1123" s="137" t="n"/>
      <c r="E1123" s="137" t="n"/>
      <c r="F1123" s="137" t="n"/>
      <c r="G1123" s="137" t="n"/>
      <c r="I1123" s="146">
        <f>DADOS_INVOC!$IE$7</f>
        <v/>
      </c>
      <c r="J1123" s="16" t="n"/>
      <c r="K1123" s="16" t="n"/>
      <c r="L1123" s="16" t="n"/>
      <c r="M1123" s="16" t="n"/>
      <c r="N1123" s="16" t="n"/>
      <c r="O1123" s="16" t="n"/>
      <c r="P1123" s="16" t="n"/>
      <c r="Q1123" s="16" t="n"/>
      <c r="R1123" s="16" t="n"/>
      <c r="S1123" s="16" t="n"/>
      <c r="T1123" s="16" t="n"/>
      <c r="U1123" s="16" t="n"/>
      <c r="V1123" s="16" t="n"/>
      <c r="W1123" s="16" t="n"/>
      <c r="X1123" s="16" t="n"/>
      <c r="Y1123" s="17" t="n"/>
      <c r="Z1123" s="137" t="n"/>
      <c r="AB1123" s="146">
        <f>DADOS_INVOC!$IE$13</f>
        <v/>
      </c>
      <c r="AC1123" s="16" t="n"/>
      <c r="AD1123" s="16" t="n"/>
      <c r="AE1123" s="16" t="n"/>
      <c r="AF1123" s="16" t="n"/>
      <c r="AG1123" s="16" t="n"/>
      <c r="AH1123" s="16" t="n"/>
      <c r="AI1123" s="16" t="n"/>
      <c r="AJ1123" s="16" t="n"/>
      <c r="AK1123" s="16" t="n"/>
      <c r="AL1123" s="16" t="n"/>
      <c r="AM1123" s="16" t="n"/>
      <c r="AN1123" s="16" t="n"/>
      <c r="AO1123" s="16" t="n"/>
      <c r="AP1123" s="16" t="n"/>
      <c r="AQ1123" s="16" t="n"/>
      <c r="AR1123" s="17" t="n"/>
      <c r="AS1123" s="137" t="n"/>
    </row>
    <row r="1124" hidden="1" outlineLevel="1">
      <c r="A1124" s="8" t="n"/>
      <c r="B1124" s="14" t="n"/>
      <c r="C1124" s="137" t="n"/>
      <c r="D1124" s="137" t="n"/>
      <c r="E1124" s="137" t="n"/>
      <c r="F1124" s="137" t="n"/>
      <c r="G1124" s="137" t="n"/>
      <c r="I1124" s="137" t="n"/>
      <c r="J1124" s="137" t="n"/>
      <c r="K1124" s="137" t="n"/>
      <c r="L1124" s="137" t="n"/>
      <c r="M1124" s="137" t="n"/>
      <c r="N1124" s="137" t="n"/>
      <c r="O1124" s="137" t="n"/>
      <c r="P1124" s="137" t="n"/>
      <c r="Q1124" s="137" t="n"/>
      <c r="R1124" s="137" t="n"/>
      <c r="S1124" s="137" t="n"/>
      <c r="T1124" s="137" t="n"/>
      <c r="U1124" s="137" t="n"/>
      <c r="V1124" s="137" t="n"/>
      <c r="W1124" s="137" t="n"/>
      <c r="X1124" s="137" t="n"/>
      <c r="Y1124" s="137" t="n"/>
      <c r="Z1124" s="137" t="n"/>
      <c r="AB1124" s="137" t="n"/>
      <c r="AC1124" s="137" t="n"/>
      <c r="AD1124" s="137" t="n"/>
      <c r="AE1124" s="137" t="n"/>
      <c r="AF1124" s="137" t="n"/>
      <c r="AG1124" s="137" t="n"/>
      <c r="AH1124" s="137" t="n"/>
      <c r="AI1124" s="137" t="n"/>
      <c r="AJ1124" s="137" t="n"/>
      <c r="AK1124" s="137" t="n"/>
      <c r="AL1124" s="137" t="n"/>
      <c r="AM1124" s="137" t="n"/>
      <c r="AN1124" s="137" t="n"/>
      <c r="AO1124" s="137" t="n"/>
      <c r="AP1124" s="137" t="n"/>
      <c r="AQ1124" s="137" t="n"/>
      <c r="AR1124" s="137" t="n"/>
      <c r="AS1124" s="137" t="n"/>
    </row>
    <row r="1125" hidden="1" outlineLevel="1">
      <c r="A1125" s="8" t="n"/>
      <c r="B1125" s="14" t="n"/>
      <c r="C1125" s="137" t="n"/>
      <c r="D1125" s="137" t="n"/>
      <c r="E1125" s="137" t="n"/>
      <c r="F1125" s="137" t="n"/>
      <c r="G1125" s="137" t="n"/>
      <c r="I1125" s="56">
        <f>DADOS_INVOC!$PZ$67</f>
        <v/>
      </c>
      <c r="J1125" s="16" t="n"/>
      <c r="K1125" s="16" t="n"/>
      <c r="L1125" s="16" t="n"/>
      <c r="M1125" s="17" t="n"/>
      <c r="N1125" s="137" t="n"/>
      <c r="O1125" s="56">
        <f>DADOS_INVOC!$PZ$68</f>
        <v/>
      </c>
      <c r="P1125" s="16" t="n"/>
      <c r="Q1125" s="16" t="n"/>
      <c r="R1125" s="16" t="n"/>
      <c r="S1125" s="17" t="n"/>
      <c r="T1125" s="137" t="n"/>
      <c r="U1125" s="56">
        <f>DADOS_INVOC!$PZ$69</f>
        <v/>
      </c>
      <c r="V1125" s="16" t="n"/>
      <c r="W1125" s="16" t="n"/>
      <c r="X1125" s="16" t="n"/>
      <c r="Y1125" s="17" t="n"/>
      <c r="Z1125" s="137" t="n"/>
      <c r="AB1125" s="56">
        <f>DADOS_INVOC!$PZ$145</f>
        <v/>
      </c>
      <c r="AC1125" s="16" t="n"/>
      <c r="AD1125" s="16" t="n"/>
      <c r="AE1125" s="16" t="n"/>
      <c r="AF1125" s="17" t="n"/>
      <c r="AG1125" s="137" t="n"/>
      <c r="AH1125" s="56">
        <f>DADOS_INVOC!$PZ$146</f>
        <v/>
      </c>
      <c r="AI1125" s="16" t="n"/>
      <c r="AJ1125" s="16" t="n"/>
      <c r="AK1125" s="16" t="n"/>
      <c r="AL1125" s="17" t="n"/>
      <c r="AM1125" s="137" t="n"/>
      <c r="AN1125" s="56">
        <f>DADOS_INVOC!$PZ$147</f>
        <v/>
      </c>
      <c r="AO1125" s="16" t="n"/>
      <c r="AP1125" s="16" t="n"/>
      <c r="AQ1125" s="16" t="n"/>
      <c r="AR1125" s="17" t="n"/>
      <c r="AS1125" s="137" t="n"/>
    </row>
    <row r="1126" hidden="1" outlineLevel="1">
      <c r="A1126" s="8" t="n"/>
      <c r="B1126" s="14" t="n"/>
      <c r="C1126" s="137" t="n"/>
      <c r="D1126" s="137" t="n"/>
      <c r="E1126" s="137" t="n"/>
      <c r="F1126" s="137" t="n"/>
      <c r="G1126" s="137" t="n"/>
      <c r="I1126" s="141" t="n">
        <v>0</v>
      </c>
      <c r="J1126" s="131" t="n"/>
      <c r="K1126" s="16" t="n"/>
      <c r="L1126" s="17" t="n"/>
      <c r="M1126" s="142">
        <f>DADOS_INVOC!$PX$67</f>
        <v/>
      </c>
      <c r="N1126" s="137" t="n"/>
      <c r="O1126" s="141" t="n">
        <v>1</v>
      </c>
      <c r="P1126" s="131" t="n"/>
      <c r="Q1126" s="16" t="n"/>
      <c r="R1126" s="17" t="n"/>
      <c r="S1126" s="142">
        <f>DADOS_INVOC!$PX$68</f>
        <v/>
      </c>
      <c r="T1126" s="137" t="n"/>
      <c r="U1126" s="141" t="n">
        <v>1</v>
      </c>
      <c r="V1126" s="131" t="n"/>
      <c r="W1126" s="16" t="n"/>
      <c r="X1126" s="17" t="n"/>
      <c r="Y1126" s="142">
        <f>DADOS_INVOC!$PX$69</f>
        <v/>
      </c>
      <c r="Z1126" s="137" t="n"/>
      <c r="AB1126" s="141" t="n">
        <v>0</v>
      </c>
      <c r="AC1126" s="131" t="n"/>
      <c r="AD1126" s="16" t="n"/>
      <c r="AE1126" s="17" t="n"/>
      <c r="AF1126" s="142">
        <f>DADOS_INVOC!$PX$145</f>
        <v/>
      </c>
      <c r="AG1126" s="137" t="n"/>
      <c r="AH1126" s="141" t="n">
        <v>1</v>
      </c>
      <c r="AI1126" s="131" t="n"/>
      <c r="AJ1126" s="16" t="n"/>
      <c r="AK1126" s="17" t="n"/>
      <c r="AL1126" s="142">
        <f>DADOS_INVOC!$PX$146</f>
        <v/>
      </c>
      <c r="AM1126" s="137" t="n"/>
      <c r="AN1126" s="141" t="n">
        <v>1</v>
      </c>
      <c r="AO1126" s="131" t="n"/>
      <c r="AP1126" s="16" t="n"/>
      <c r="AQ1126" s="17" t="n"/>
      <c r="AR1126" s="142">
        <f>DADOS_INVOC!$PX$147</f>
        <v/>
      </c>
      <c r="AS1126" s="137" t="n"/>
    </row>
    <row r="1127" hidden="1" outlineLevel="2">
      <c r="A1127" s="8" t="n"/>
      <c r="B1127" s="14" t="n"/>
      <c r="C1127" s="137" t="n"/>
      <c r="D1127" s="137" t="n"/>
      <c r="E1127" s="137" t="n"/>
      <c r="F1127" s="137" t="n"/>
      <c r="G1127" s="137" t="n"/>
      <c r="I1127" s="56" t="inlineStr">
        <is>
          <t>COMO É</t>
        </is>
      </c>
      <c r="J1127" s="16" t="n"/>
      <c r="K1127" s="16" t="n"/>
      <c r="L1127" s="16" t="n"/>
      <c r="M1127" s="17" t="n"/>
      <c r="N1127" s="137" t="n"/>
      <c r="O1127" s="56" t="inlineStr">
        <is>
          <t>COMO É</t>
        </is>
      </c>
      <c r="P1127" s="16" t="n"/>
      <c r="Q1127" s="16" t="n"/>
      <c r="R1127" s="16" t="n"/>
      <c r="S1127" s="17" t="n"/>
      <c r="T1127" s="137" t="n"/>
      <c r="U1127" s="56" t="inlineStr">
        <is>
          <t>COMO É</t>
        </is>
      </c>
      <c r="V1127" s="16" t="n"/>
      <c r="W1127" s="16" t="n"/>
      <c r="X1127" s="16" t="n"/>
      <c r="Y1127" s="17" t="n"/>
      <c r="Z1127" s="137" t="n"/>
      <c r="AB1127" s="56" t="inlineStr">
        <is>
          <t>COMO É</t>
        </is>
      </c>
      <c r="AC1127" s="16" t="n"/>
      <c r="AD1127" s="16" t="n"/>
      <c r="AE1127" s="16" t="n"/>
      <c r="AF1127" s="17" t="n"/>
      <c r="AG1127" s="137" t="n"/>
      <c r="AH1127" s="56" t="inlineStr">
        <is>
          <t>COMO É</t>
        </is>
      </c>
      <c r="AI1127" s="16" t="n"/>
      <c r="AJ1127" s="16" t="n"/>
      <c r="AK1127" s="16" t="n"/>
      <c r="AL1127" s="17" t="n"/>
      <c r="AM1127" s="137" t="n"/>
      <c r="AN1127" s="56" t="inlineStr">
        <is>
          <t>COMO É</t>
        </is>
      </c>
      <c r="AO1127" s="16" t="n"/>
      <c r="AP1127" s="16" t="n"/>
      <c r="AQ1127" s="16" t="n"/>
      <c r="AR1127" s="17" t="n"/>
      <c r="AS1127" s="137" t="n"/>
    </row>
    <row r="1128" hidden="1" outlineLevel="2">
      <c r="A1128" s="8" t="n"/>
      <c r="B1128" s="14" t="n"/>
      <c r="C1128" s="137" t="n"/>
      <c r="D1128" s="137" t="n"/>
      <c r="E1128" s="137" t="n"/>
      <c r="F1128" s="137" t="n"/>
      <c r="G1128" s="137" t="n"/>
      <c r="I1128" s="61" t="n"/>
      <c r="J1128" s="19" t="n"/>
      <c r="K1128" s="19" t="n"/>
      <c r="L1128" s="19" t="n"/>
      <c r="M1128" s="20" t="n"/>
      <c r="N1128" s="137" t="n"/>
      <c r="O1128" s="61" t="n"/>
      <c r="P1128" s="19" t="n"/>
      <c r="Q1128" s="19" t="n"/>
      <c r="R1128" s="19" t="n"/>
      <c r="S1128" s="20" t="n"/>
      <c r="T1128" s="137" t="n"/>
      <c r="U1128" s="61" t="n"/>
      <c r="V1128" s="19" t="n"/>
      <c r="W1128" s="19" t="n"/>
      <c r="X1128" s="19" t="n"/>
      <c r="Y1128" s="20" t="n"/>
      <c r="Z1128" s="137" t="n"/>
      <c r="AB1128" s="61" t="n"/>
      <c r="AC1128" s="19" t="n"/>
      <c r="AD1128" s="19" t="n"/>
      <c r="AE1128" s="19" t="n"/>
      <c r="AF1128" s="20" t="n"/>
      <c r="AG1128" s="137" t="n"/>
      <c r="AH1128" s="61" t="n"/>
      <c r="AI1128" s="19" t="n"/>
      <c r="AJ1128" s="19" t="n"/>
      <c r="AK1128" s="19" t="n"/>
      <c r="AL1128" s="20" t="n"/>
      <c r="AM1128" s="137" t="n"/>
      <c r="AN1128" s="61" t="n"/>
      <c r="AO1128" s="19" t="n"/>
      <c r="AP1128" s="19" t="n"/>
      <c r="AQ1128" s="19" t="n"/>
      <c r="AR1128" s="20" t="n"/>
      <c r="AS1128" s="137" t="n"/>
    </row>
    <row r="1129" hidden="1" outlineLevel="2">
      <c r="A1129" s="8" t="n"/>
      <c r="B1129" s="14" t="n"/>
      <c r="C1129" s="137" t="n"/>
      <c r="D1129" s="137" t="n"/>
      <c r="E1129" s="137" t="n"/>
      <c r="F1129" s="137" t="n"/>
      <c r="G1129" s="137" t="n"/>
      <c r="I1129" s="21" t="n"/>
      <c r="M1129" s="22" t="n"/>
      <c r="N1129" s="137" t="n"/>
      <c r="O1129" s="21" t="n"/>
      <c r="S1129" s="22" t="n"/>
      <c r="T1129" s="137" t="n"/>
      <c r="U1129" s="21" t="n"/>
      <c r="Y1129" s="22" t="n"/>
      <c r="Z1129" s="137" t="n"/>
      <c r="AB1129" s="21" t="n"/>
      <c r="AF1129" s="22" t="n"/>
      <c r="AG1129" s="137" t="n"/>
      <c r="AH1129" s="21" t="n"/>
      <c r="AL1129" s="22" t="n"/>
      <c r="AM1129" s="137" t="n"/>
      <c r="AN1129" s="21" t="n"/>
      <c r="AR1129" s="22" t="n"/>
      <c r="AS1129" s="137" t="n"/>
    </row>
    <row r="1130" hidden="1" outlineLevel="2">
      <c r="A1130" s="8" t="n"/>
      <c r="B1130" s="14" t="n"/>
      <c r="C1130" s="137" t="n"/>
      <c r="D1130" s="137" t="n"/>
      <c r="E1130" s="137" t="n"/>
      <c r="F1130" s="137" t="n"/>
      <c r="G1130" s="137" t="n"/>
      <c r="I1130" s="23" t="n"/>
      <c r="J1130" s="24" t="n"/>
      <c r="K1130" s="24" t="n"/>
      <c r="L1130" s="24" t="n"/>
      <c r="M1130" s="25" t="n"/>
      <c r="N1130" s="137" t="n"/>
      <c r="O1130" s="23" t="n"/>
      <c r="P1130" s="24" t="n"/>
      <c r="Q1130" s="24" t="n"/>
      <c r="R1130" s="24" t="n"/>
      <c r="S1130" s="25" t="n"/>
      <c r="T1130" s="137" t="n"/>
      <c r="U1130" s="23" t="n"/>
      <c r="V1130" s="24" t="n"/>
      <c r="W1130" s="24" t="n"/>
      <c r="X1130" s="24" t="n"/>
      <c r="Y1130" s="25" t="n"/>
      <c r="Z1130" s="137" t="n"/>
      <c r="AB1130" s="23" t="n"/>
      <c r="AC1130" s="24" t="n"/>
      <c r="AD1130" s="24" t="n"/>
      <c r="AE1130" s="24" t="n"/>
      <c r="AF1130" s="25" t="n"/>
      <c r="AG1130" s="137" t="n"/>
      <c r="AH1130" s="23" t="n"/>
      <c r="AI1130" s="24" t="n"/>
      <c r="AJ1130" s="24" t="n"/>
      <c r="AK1130" s="24" t="n"/>
      <c r="AL1130" s="25" t="n"/>
      <c r="AM1130" s="137" t="n"/>
      <c r="AN1130" s="23" t="n"/>
      <c r="AO1130" s="24" t="n"/>
      <c r="AP1130" s="24" t="n"/>
      <c r="AQ1130" s="24" t="n"/>
      <c r="AR1130" s="25" t="n"/>
      <c r="AS1130" s="137" t="n"/>
    </row>
    <row r="1131" hidden="1" outlineLevel="1">
      <c r="A1131" s="8" t="n"/>
      <c r="B1131" s="14" t="n"/>
      <c r="C1131" s="137" t="n"/>
      <c r="D1131" s="137" t="n"/>
      <c r="E1131" s="137" t="n"/>
      <c r="F1131" s="137" t="n"/>
      <c r="G1131" s="137" t="n"/>
      <c r="I1131" s="95" t="inlineStr">
        <is>
          <t>Projétil</t>
        </is>
      </c>
      <c r="J1131" s="17" t="n"/>
      <c r="K1131" s="71">
        <f>DADOS_INVOC!$QE$67</f>
        <v/>
      </c>
      <c r="L1131" s="17" t="n"/>
      <c r="M1131" s="71">
        <f>DADOS_INVOC!$QA$67</f>
        <v/>
      </c>
      <c r="N1131" s="137" t="n"/>
      <c r="O1131" s="95" t="inlineStr">
        <is>
          <t>Projétil</t>
        </is>
      </c>
      <c r="P1131" s="17" t="n"/>
      <c r="Q1131" s="71">
        <f>DADOS_INVOC!$QE$68</f>
        <v/>
      </c>
      <c r="R1131" s="17" t="n"/>
      <c r="S1131" s="71">
        <f>DADOS_INVOC!$QA$68</f>
        <v/>
      </c>
      <c r="T1131" s="137" t="n"/>
      <c r="U1131" s="95" t="inlineStr">
        <is>
          <t>Projétil</t>
        </is>
      </c>
      <c r="V1131" s="17" t="n"/>
      <c r="W1131" s="71">
        <f>DADOS_INVOC!$QE$69</f>
        <v/>
      </c>
      <c r="X1131" s="17" t="n"/>
      <c r="Y1131" s="71">
        <f>DADOS_INVOC!$QA$69</f>
        <v/>
      </c>
      <c r="Z1131" s="137" t="n"/>
      <c r="AB1131" s="95" t="inlineStr">
        <is>
          <t>Projétil</t>
        </is>
      </c>
      <c r="AC1131" s="17" t="n"/>
      <c r="AD1131" s="71">
        <f>DADOS_INVOC!$QE$145</f>
        <v/>
      </c>
      <c r="AE1131" s="17" t="n"/>
      <c r="AF1131" s="71">
        <f>DADOS_INVOC!$QA$145</f>
        <v/>
      </c>
      <c r="AG1131" s="137" t="n"/>
      <c r="AH1131" s="95" t="inlineStr">
        <is>
          <t>Projétil</t>
        </is>
      </c>
      <c r="AI1131" s="17" t="n"/>
      <c r="AJ1131" s="71">
        <f>DADOS_INVOC!$QE$146</f>
        <v/>
      </c>
      <c r="AK1131" s="17" t="n"/>
      <c r="AL1131" s="71">
        <f>DADOS_INVOC!$QA$146</f>
        <v/>
      </c>
      <c r="AM1131" s="137" t="n"/>
      <c r="AN1131" s="95" t="inlineStr">
        <is>
          <t>Projétil</t>
        </is>
      </c>
      <c r="AO1131" s="17" t="n"/>
      <c r="AP1131" s="71">
        <f>DADOS_INVOC!$QE$147</f>
        <v/>
      </c>
      <c r="AQ1131" s="17" t="n"/>
      <c r="AR1131" s="71">
        <f>DADOS_INVOC!$QA$147</f>
        <v/>
      </c>
      <c r="AS1131" s="137" t="n"/>
    </row>
    <row r="1132" hidden="1" outlineLevel="1">
      <c r="A1132" s="8" t="n"/>
      <c r="B1132" s="14" t="n"/>
      <c r="C1132" s="137" t="n"/>
      <c r="D1132" s="137" t="n"/>
      <c r="E1132" s="137" t="n"/>
      <c r="F1132" s="137" t="n"/>
      <c r="G1132" s="137" t="n"/>
      <c r="I1132" s="95" t="n"/>
      <c r="J1132" s="17" t="n"/>
      <c r="K1132" s="95" t="n"/>
      <c r="L1132" s="16" t="n"/>
      <c r="M1132" s="17" t="n"/>
      <c r="N1132" s="137" t="n"/>
      <c r="O1132" s="95" t="n"/>
      <c r="P1132" s="17" t="n"/>
      <c r="Q1132" s="95" t="n"/>
      <c r="R1132" s="16" t="n"/>
      <c r="S1132" s="17" t="n"/>
      <c r="T1132" s="137" t="n"/>
      <c r="U1132" s="95" t="n"/>
      <c r="V1132" s="17" t="n"/>
      <c r="W1132" s="95" t="n"/>
      <c r="X1132" s="16" t="n"/>
      <c r="Y1132" s="17" t="n"/>
      <c r="Z1132" s="137" t="n"/>
      <c r="AB1132" s="95" t="n"/>
      <c r="AC1132" s="17" t="n"/>
      <c r="AD1132" s="95" t="n"/>
      <c r="AE1132" s="16" t="n"/>
      <c r="AF1132" s="17" t="n"/>
      <c r="AG1132" s="137" t="n"/>
      <c r="AH1132" s="95" t="n"/>
      <c r="AI1132" s="17" t="n"/>
      <c r="AJ1132" s="95" t="n"/>
      <c r="AK1132" s="16" t="n"/>
      <c r="AL1132" s="17" t="n"/>
      <c r="AM1132" s="137" t="n"/>
      <c r="AN1132" s="95" t="n"/>
      <c r="AO1132" s="17" t="n"/>
      <c r="AP1132" s="95" t="n"/>
      <c r="AQ1132" s="16" t="n"/>
      <c r="AR1132" s="17" t="n"/>
      <c r="AS1132" s="137" t="n"/>
    </row>
    <row r="1133" hidden="1" outlineLevel="1">
      <c r="A1133" s="8" t="n"/>
      <c r="B1133" s="14" t="n"/>
      <c r="C1133" s="137" t="n"/>
      <c r="D1133" s="137" t="n"/>
      <c r="E1133" s="137" t="n"/>
      <c r="F1133" s="137" t="n"/>
      <c r="G1133" s="137" t="n"/>
      <c r="I1133" s="95">
        <f>DADOS_INVOC!$QB$67</f>
        <v/>
      </c>
      <c r="J1133" s="17" t="n"/>
      <c r="K1133" s="95">
        <f>DADOS_INVOC!$QD$67</f>
        <v/>
      </c>
      <c r="L1133" s="16" t="n"/>
      <c r="M1133" s="17" t="n"/>
      <c r="N1133" s="137" t="n"/>
      <c r="O1133" s="95">
        <f>DADOS_INVOC!$QB$68</f>
        <v/>
      </c>
      <c r="P1133" s="17" t="n"/>
      <c r="Q1133" s="95">
        <f>DADOS_INVOC!$QD$68</f>
        <v/>
      </c>
      <c r="R1133" s="16" t="n"/>
      <c r="S1133" s="17" t="n"/>
      <c r="T1133" s="137" t="n"/>
      <c r="U1133" s="95">
        <f>DADOS_INVOC!$QB$69</f>
        <v/>
      </c>
      <c r="V1133" s="17" t="n"/>
      <c r="W1133" s="95">
        <f>DADOS_INVOC!$QD$69</f>
        <v/>
      </c>
      <c r="X1133" s="16" t="n"/>
      <c r="Y1133" s="17" t="n"/>
      <c r="Z1133" s="137" t="n"/>
      <c r="AB1133" s="95">
        <f>DADOS_INVOC!$QB$145</f>
        <v/>
      </c>
      <c r="AC1133" s="17" t="n"/>
      <c r="AD1133" s="95">
        <f>DADOS_INVOC!$QD$145</f>
        <v/>
      </c>
      <c r="AE1133" s="16" t="n"/>
      <c r="AF1133" s="17" t="n"/>
      <c r="AG1133" s="137" t="n"/>
      <c r="AH1133" s="95">
        <f>DADOS_INVOC!$QB$146</f>
        <v/>
      </c>
      <c r="AI1133" s="17" t="n"/>
      <c r="AJ1133" s="95">
        <f>DADOS_INVOC!$QD$146</f>
        <v/>
      </c>
      <c r="AK1133" s="16" t="n"/>
      <c r="AL1133" s="17" t="n"/>
      <c r="AM1133" s="137" t="n"/>
      <c r="AN1133" s="95">
        <f>DADOS_INVOC!$QB$147</f>
        <v/>
      </c>
      <c r="AO1133" s="17" t="n"/>
      <c r="AP1133" s="95">
        <f>DADOS_INVOC!$QD$147</f>
        <v/>
      </c>
      <c r="AQ1133" s="16" t="n"/>
      <c r="AR1133" s="17" t="n"/>
      <c r="AS1133" s="137" t="n"/>
    </row>
    <row r="1134" hidden="1" outlineLevel="1">
      <c r="A1134" s="8" t="n"/>
      <c r="B1134" s="14" t="n"/>
      <c r="C1134" s="137" t="n"/>
      <c r="D1134" s="137" t="n"/>
      <c r="E1134" s="137" t="n"/>
      <c r="F1134" s="137" t="n"/>
      <c r="G1134" s="137" t="n"/>
      <c r="I1134" s="143">
        <f>DADOS_INVOC!$QJ$67</f>
        <v/>
      </c>
      <c r="J1134" s="16" t="n"/>
      <c r="K1134" s="16" t="n"/>
      <c r="L1134" s="16" t="n"/>
      <c r="M1134" s="17" t="n"/>
      <c r="N1134" s="137" t="n"/>
      <c r="O1134" s="143">
        <f>DADOS_INVOC!$QJ$68</f>
        <v/>
      </c>
      <c r="P1134" s="16" t="n"/>
      <c r="Q1134" s="16" t="n"/>
      <c r="R1134" s="16" t="n"/>
      <c r="S1134" s="17" t="n"/>
      <c r="T1134" s="137" t="n"/>
      <c r="U1134" s="143">
        <f>DADOS_INVOC!$QJ$69</f>
        <v/>
      </c>
      <c r="V1134" s="16" t="n"/>
      <c r="W1134" s="16" t="n"/>
      <c r="X1134" s="16" t="n"/>
      <c r="Y1134" s="17" t="n"/>
      <c r="Z1134" s="137" t="n"/>
      <c r="AB1134" s="143">
        <f>DADOS_INVOC!$QJ$145</f>
        <v/>
      </c>
      <c r="AC1134" s="16" t="n"/>
      <c r="AD1134" s="16" t="n"/>
      <c r="AE1134" s="16" t="n"/>
      <c r="AF1134" s="17" t="n"/>
      <c r="AG1134" s="137" t="n"/>
      <c r="AH1134" s="143">
        <f>DADOS_INVOC!$QJ$146</f>
        <v/>
      </c>
      <c r="AI1134" s="16" t="n"/>
      <c r="AJ1134" s="16" t="n"/>
      <c r="AK1134" s="16" t="n"/>
      <c r="AL1134" s="17" t="n"/>
      <c r="AM1134" s="137" t="n"/>
      <c r="AN1134" s="143">
        <f>DADOS_INVOC!$QJ$147</f>
        <v/>
      </c>
      <c r="AO1134" s="16" t="n"/>
      <c r="AP1134" s="16" t="n"/>
      <c r="AQ1134" s="16" t="n"/>
      <c r="AR1134" s="17" t="n"/>
      <c r="AS1134" s="137" t="n"/>
    </row>
    <row r="1135" hidden="1" outlineLevel="2">
      <c r="A1135" s="8" t="n"/>
      <c r="B1135" s="14" t="n"/>
      <c r="C1135" s="137" t="n"/>
      <c r="D1135" s="137" t="n"/>
      <c r="E1135" s="137" t="n"/>
      <c r="F1135" s="137" t="n"/>
      <c r="G1135" s="137" t="n"/>
      <c r="I1135" s="56" t="inlineStr">
        <is>
          <t>MELHORIAS</t>
        </is>
      </c>
      <c r="J1135" s="144" t="n"/>
      <c r="K1135" s="16" t="n"/>
      <c r="L1135" s="17" t="n"/>
      <c r="M1135" s="143">
        <f>DADOS_INVOC!$QM$67</f>
        <v/>
      </c>
      <c r="N1135" s="137" t="n"/>
      <c r="O1135" s="56" t="inlineStr">
        <is>
          <t>MELHORIAS</t>
        </is>
      </c>
      <c r="P1135" s="144" t="n"/>
      <c r="Q1135" s="16" t="n"/>
      <c r="R1135" s="17" t="n"/>
      <c r="S1135" s="143">
        <f>DADOS_INVOC!$QM$68</f>
        <v/>
      </c>
      <c r="T1135" s="137" t="n"/>
      <c r="U1135" s="56" t="inlineStr">
        <is>
          <t>MELHORIAS</t>
        </is>
      </c>
      <c r="V1135" s="144" t="n"/>
      <c r="W1135" s="16" t="n"/>
      <c r="X1135" s="17" t="n"/>
      <c r="Y1135" s="143">
        <f>DADOS_INVOC!$QM$69</f>
        <v/>
      </c>
      <c r="Z1135" s="137" t="n"/>
      <c r="AB1135" s="56" t="inlineStr">
        <is>
          <t>MELHORIAS</t>
        </is>
      </c>
      <c r="AC1135" s="144" t="n"/>
      <c r="AD1135" s="16" t="n"/>
      <c r="AE1135" s="17" t="n"/>
      <c r="AF1135" s="143">
        <f>DADOS_INVOC!$QM$145</f>
        <v/>
      </c>
      <c r="AG1135" s="137" t="n"/>
      <c r="AH1135" s="56" t="inlineStr">
        <is>
          <t>MELHORIAS</t>
        </is>
      </c>
      <c r="AI1135" s="144" t="n"/>
      <c r="AJ1135" s="16" t="n"/>
      <c r="AK1135" s="17" t="n"/>
      <c r="AL1135" s="143">
        <f>DADOS_INVOC!$QM$146</f>
        <v/>
      </c>
      <c r="AM1135" s="137" t="n"/>
      <c r="AN1135" s="56" t="inlineStr">
        <is>
          <t>MELHORIAS</t>
        </is>
      </c>
      <c r="AO1135" s="144" t="n"/>
      <c r="AP1135" s="16" t="n"/>
      <c r="AQ1135" s="17" t="n"/>
      <c r="AR1135" s="143">
        <f>DADOS_INVOC!$QM$147</f>
        <v/>
      </c>
      <c r="AS1135" s="137" t="n"/>
    </row>
    <row r="1136" hidden="1" outlineLevel="2">
      <c r="A1136" s="8" t="n"/>
      <c r="B1136" s="14" t="n"/>
      <c r="C1136" s="137" t="n"/>
      <c r="D1136" s="137" t="n"/>
      <c r="E1136" s="137" t="n"/>
      <c r="F1136" s="137" t="n"/>
      <c r="G1136" s="137" t="n"/>
      <c r="I1136" s="66" t="n"/>
      <c r="J1136" s="144" t="n"/>
      <c r="K1136" s="16" t="n"/>
      <c r="L1136" s="17" t="n"/>
      <c r="M1136" s="143">
        <f>DADOS_INVOC!$QN$67</f>
        <v/>
      </c>
      <c r="N1136" s="137" t="n"/>
      <c r="O1136" s="66" t="n"/>
      <c r="P1136" s="144" t="n"/>
      <c r="Q1136" s="16" t="n"/>
      <c r="R1136" s="17" t="n"/>
      <c r="S1136" s="143">
        <f>DADOS_INVOC!$QN$68</f>
        <v/>
      </c>
      <c r="T1136" s="137" t="n"/>
      <c r="U1136" s="66" t="n"/>
      <c r="V1136" s="144" t="n"/>
      <c r="W1136" s="16" t="n"/>
      <c r="X1136" s="17" t="n"/>
      <c r="Y1136" s="143">
        <f>DADOS_INVOC!$QN$69</f>
        <v/>
      </c>
      <c r="Z1136" s="137" t="n"/>
      <c r="AB1136" s="66" t="n"/>
      <c r="AC1136" s="144" t="n"/>
      <c r="AD1136" s="16" t="n"/>
      <c r="AE1136" s="17" t="n"/>
      <c r="AF1136" s="143">
        <f>DADOS_INVOC!$QN$145</f>
        <v/>
      </c>
      <c r="AG1136" s="137" t="n"/>
      <c r="AH1136" s="66" t="n"/>
      <c r="AI1136" s="144" t="n"/>
      <c r="AJ1136" s="16" t="n"/>
      <c r="AK1136" s="17" t="n"/>
      <c r="AL1136" s="143">
        <f>DADOS_INVOC!$QN$146</f>
        <v/>
      </c>
      <c r="AM1136" s="137" t="n"/>
      <c r="AN1136" s="66" t="n"/>
      <c r="AO1136" s="144" t="n"/>
      <c r="AP1136" s="16" t="n"/>
      <c r="AQ1136" s="17" t="n"/>
      <c r="AR1136" s="143">
        <f>DADOS_INVOC!$QN$147</f>
        <v/>
      </c>
      <c r="AS1136" s="137" t="n"/>
    </row>
    <row r="1137" hidden="1" outlineLevel="2">
      <c r="A1137" s="8" t="n"/>
      <c r="B1137" s="14" t="n"/>
      <c r="C1137" s="137" t="n"/>
      <c r="D1137" s="137" t="n"/>
      <c r="E1137" s="137" t="n"/>
      <c r="F1137" s="137" t="n"/>
      <c r="G1137" s="137" t="n"/>
      <c r="I1137" s="66" t="n"/>
      <c r="J1137" s="144" t="n"/>
      <c r="K1137" s="16" t="n"/>
      <c r="L1137" s="17" t="n"/>
      <c r="M1137" s="143">
        <f>DADOS_INVOC!$QO$67</f>
        <v/>
      </c>
      <c r="N1137" s="137" t="n"/>
      <c r="O1137" s="66" t="n"/>
      <c r="P1137" s="144" t="n"/>
      <c r="Q1137" s="16" t="n"/>
      <c r="R1137" s="17" t="n"/>
      <c r="S1137" s="143">
        <f>DADOS_INVOC!$QO$68</f>
        <v/>
      </c>
      <c r="T1137" s="137" t="n"/>
      <c r="U1137" s="66" t="n"/>
      <c r="V1137" s="144" t="n"/>
      <c r="W1137" s="16" t="n"/>
      <c r="X1137" s="17" t="n"/>
      <c r="Y1137" s="143">
        <f>DADOS_INVOC!$QO$69</f>
        <v/>
      </c>
      <c r="Z1137" s="137" t="n"/>
      <c r="AB1137" s="66" t="n"/>
      <c r="AC1137" s="144" t="n"/>
      <c r="AD1137" s="16" t="n"/>
      <c r="AE1137" s="17" t="n"/>
      <c r="AF1137" s="143">
        <f>DADOS_INVOC!$QO$145</f>
        <v/>
      </c>
      <c r="AG1137" s="137" t="n"/>
      <c r="AH1137" s="66" t="n"/>
      <c r="AI1137" s="144" t="n"/>
      <c r="AJ1137" s="16" t="n"/>
      <c r="AK1137" s="17" t="n"/>
      <c r="AL1137" s="143">
        <f>DADOS_INVOC!$QO$146</f>
        <v/>
      </c>
      <c r="AM1137" s="137" t="n"/>
      <c r="AN1137" s="66" t="n"/>
      <c r="AO1137" s="144" t="n"/>
      <c r="AP1137" s="16" t="n"/>
      <c r="AQ1137" s="17" t="n"/>
      <c r="AR1137" s="143">
        <f>DADOS_INVOC!$QO$147</f>
        <v/>
      </c>
      <c r="AS1137" s="137" t="n"/>
    </row>
    <row r="1138" hidden="1" outlineLevel="2">
      <c r="A1138" s="8" t="n"/>
      <c r="B1138" s="14" t="n"/>
      <c r="C1138" s="137" t="n"/>
      <c r="D1138" s="137" t="n"/>
      <c r="E1138" s="137" t="n"/>
      <c r="F1138" s="137" t="n"/>
      <c r="G1138" s="137" t="n"/>
      <c r="I1138" s="128" t="n"/>
      <c r="J1138" s="144" t="n"/>
      <c r="K1138" s="16" t="n"/>
      <c r="L1138" s="17" t="n"/>
      <c r="M1138" s="143">
        <f>DADOS_INVOC!$QP$67</f>
        <v/>
      </c>
      <c r="N1138" s="137" t="n"/>
      <c r="O1138" s="128" t="n"/>
      <c r="P1138" s="144" t="n"/>
      <c r="Q1138" s="16" t="n"/>
      <c r="R1138" s="17" t="n"/>
      <c r="S1138" s="143">
        <f>DADOS_INVOC!$QP$68</f>
        <v/>
      </c>
      <c r="T1138" s="137" t="n"/>
      <c r="U1138" s="128" t="n"/>
      <c r="V1138" s="144" t="n"/>
      <c r="W1138" s="16" t="n"/>
      <c r="X1138" s="17" t="n"/>
      <c r="Y1138" s="143">
        <f>DADOS_INVOC!$QP$69</f>
        <v/>
      </c>
      <c r="Z1138" s="137" t="n"/>
      <c r="AB1138" s="128" t="n"/>
      <c r="AC1138" s="144" t="n"/>
      <c r="AD1138" s="16" t="n"/>
      <c r="AE1138" s="17" t="n"/>
      <c r="AF1138" s="143">
        <f>DADOS_INVOC!$QP$145</f>
        <v/>
      </c>
      <c r="AG1138" s="137" t="n"/>
      <c r="AH1138" s="128" t="n"/>
      <c r="AI1138" s="144" t="n"/>
      <c r="AJ1138" s="16" t="n"/>
      <c r="AK1138" s="17" t="n"/>
      <c r="AL1138" s="143">
        <f>DADOS_INVOC!$QP$146</f>
        <v/>
      </c>
      <c r="AM1138" s="137" t="n"/>
      <c r="AN1138" s="128" t="n"/>
      <c r="AO1138" s="144" t="n"/>
      <c r="AP1138" s="16" t="n"/>
      <c r="AQ1138" s="17" t="n"/>
      <c r="AR1138" s="143">
        <f>DADOS_INVOC!$QP$147</f>
        <v/>
      </c>
      <c r="AS1138" s="137" t="n"/>
    </row>
    <row r="1139" hidden="1" outlineLevel="2">
      <c r="A1139" s="8" t="n"/>
      <c r="B1139" s="14" t="n"/>
      <c r="C1139" s="137" t="n"/>
      <c r="D1139" s="137" t="n"/>
      <c r="E1139" s="137" t="n"/>
      <c r="F1139" s="137" t="n"/>
      <c r="G1139" s="137" t="n"/>
      <c r="I1139" s="56" t="inlineStr">
        <is>
          <t>RESTRIÇÕES</t>
        </is>
      </c>
      <c r="J1139" s="144" t="n"/>
      <c r="K1139" s="16" t="n"/>
      <c r="L1139" s="17" t="n"/>
      <c r="M1139" s="143">
        <f>DADOS_INVOC!$QQ$67</f>
        <v/>
      </c>
      <c r="N1139" s="137" t="n"/>
      <c r="O1139" s="56" t="inlineStr">
        <is>
          <t>RESTRIÇÕES</t>
        </is>
      </c>
      <c r="P1139" s="144" t="n"/>
      <c r="Q1139" s="16" t="n"/>
      <c r="R1139" s="17" t="n"/>
      <c r="S1139" s="143">
        <f>DADOS_INVOC!$QQ$68</f>
        <v/>
      </c>
      <c r="T1139" s="137" t="n"/>
      <c r="U1139" s="56" t="inlineStr">
        <is>
          <t>RESTRIÇÕES</t>
        </is>
      </c>
      <c r="V1139" s="144" t="n"/>
      <c r="W1139" s="16" t="n"/>
      <c r="X1139" s="17" t="n"/>
      <c r="Y1139" s="143">
        <f>DADOS_INVOC!$QQ$69</f>
        <v/>
      </c>
      <c r="Z1139" s="137" t="n"/>
      <c r="AB1139" s="56" t="inlineStr">
        <is>
          <t>RESTRIÇÕES</t>
        </is>
      </c>
      <c r="AC1139" s="144" t="n"/>
      <c r="AD1139" s="16" t="n"/>
      <c r="AE1139" s="17" t="n"/>
      <c r="AF1139" s="143">
        <f>DADOS_INVOC!$QQ$145</f>
        <v/>
      </c>
      <c r="AG1139" s="137" t="n"/>
      <c r="AH1139" s="56" t="inlineStr">
        <is>
          <t>RESTRIÇÕES</t>
        </is>
      </c>
      <c r="AI1139" s="144" t="n"/>
      <c r="AJ1139" s="16" t="n"/>
      <c r="AK1139" s="17" t="n"/>
      <c r="AL1139" s="143">
        <f>DADOS_INVOC!$QQ$146</f>
        <v/>
      </c>
      <c r="AM1139" s="137" t="n"/>
      <c r="AN1139" s="56" t="inlineStr">
        <is>
          <t>RESTRIÇÕES</t>
        </is>
      </c>
      <c r="AO1139" s="144" t="n"/>
      <c r="AP1139" s="16" t="n"/>
      <c r="AQ1139" s="17" t="n"/>
      <c r="AR1139" s="143">
        <f>DADOS_INVOC!$QQ$147</f>
        <v/>
      </c>
      <c r="AS1139" s="137" t="n"/>
    </row>
    <row r="1140" hidden="1" outlineLevel="2">
      <c r="A1140" s="8" t="n"/>
      <c r="B1140" s="14" t="n"/>
      <c r="C1140" s="137" t="n"/>
      <c r="D1140" s="137" t="n"/>
      <c r="E1140" s="137" t="n"/>
      <c r="F1140" s="137" t="n"/>
      <c r="G1140" s="137" t="n"/>
      <c r="I1140" s="128" t="n"/>
      <c r="J1140" s="144" t="n"/>
      <c r="K1140" s="16" t="n"/>
      <c r="L1140" s="17" t="n"/>
      <c r="M1140" s="143">
        <f>DADOS_INVOC!$QR$67</f>
        <v/>
      </c>
      <c r="N1140" s="137" t="n"/>
      <c r="O1140" s="128" t="n"/>
      <c r="P1140" s="144" t="n"/>
      <c r="Q1140" s="16" t="n"/>
      <c r="R1140" s="17" t="n"/>
      <c r="S1140" s="143">
        <f>DADOS_INVOC!$QR$68</f>
        <v/>
      </c>
      <c r="T1140" s="137" t="n"/>
      <c r="U1140" s="128" t="n"/>
      <c r="V1140" s="144" t="n"/>
      <c r="W1140" s="16" t="n"/>
      <c r="X1140" s="17" t="n"/>
      <c r="Y1140" s="143">
        <f>DADOS_INVOC!$QR$69</f>
        <v/>
      </c>
      <c r="Z1140" s="137" t="n"/>
      <c r="AB1140" s="128" t="n"/>
      <c r="AC1140" s="144" t="n"/>
      <c r="AD1140" s="16" t="n"/>
      <c r="AE1140" s="17" t="n"/>
      <c r="AF1140" s="143">
        <f>DADOS_INVOC!$QR$145</f>
        <v/>
      </c>
      <c r="AG1140" s="137" t="n"/>
      <c r="AH1140" s="128" t="n"/>
      <c r="AI1140" s="144" t="n"/>
      <c r="AJ1140" s="16" t="n"/>
      <c r="AK1140" s="17" t="n"/>
      <c r="AL1140" s="143">
        <f>DADOS_INVOC!$QR$146</f>
        <v/>
      </c>
      <c r="AM1140" s="137" t="n"/>
      <c r="AN1140" s="128" t="n"/>
      <c r="AO1140" s="144" t="n"/>
      <c r="AP1140" s="16" t="n"/>
      <c r="AQ1140" s="17" t="n"/>
      <c r="AR1140" s="143">
        <f>DADOS_INVOC!$QR$147</f>
        <v/>
      </c>
      <c r="AS1140" s="137" t="n"/>
    </row>
    <row r="1141" hidden="1" outlineLevel="2">
      <c r="A1141" s="8" t="n"/>
      <c r="B1141" s="14" t="n"/>
      <c r="C1141" s="137" t="n"/>
      <c r="D1141" s="137" t="n"/>
      <c r="E1141" s="137" t="n"/>
      <c r="F1141" s="137" t="n"/>
      <c r="G1141" s="137" t="n"/>
      <c r="I1141" s="56" t="inlineStr">
        <is>
          <t>CONTA</t>
        </is>
      </c>
      <c r="J1141" s="145">
        <f>DADOS_INVOC!$QK$67</f>
        <v/>
      </c>
      <c r="K1141" s="16" t="n"/>
      <c r="L1141" s="16" t="n"/>
      <c r="M1141" s="17" t="n"/>
      <c r="N1141" s="137" t="n"/>
      <c r="O1141" s="56" t="inlineStr">
        <is>
          <t>CONTA</t>
        </is>
      </c>
      <c r="P1141" s="145">
        <f>DADOS_INVOC!$QK$68</f>
        <v/>
      </c>
      <c r="Q1141" s="16" t="n"/>
      <c r="R1141" s="16" t="n"/>
      <c r="S1141" s="17" t="n"/>
      <c r="T1141" s="137" t="n"/>
      <c r="U1141" s="56" t="inlineStr">
        <is>
          <t>CONTA</t>
        </is>
      </c>
      <c r="V1141" s="145">
        <f>DADOS_INVOC!$QK$69</f>
        <v/>
      </c>
      <c r="W1141" s="16" t="n"/>
      <c r="X1141" s="16" t="n"/>
      <c r="Y1141" s="17" t="n"/>
      <c r="Z1141" s="137" t="n"/>
      <c r="AB1141" s="56" t="inlineStr">
        <is>
          <t>CONTA</t>
        </is>
      </c>
      <c r="AC1141" s="145">
        <f>DADOS_INVOC!$QK$145</f>
        <v/>
      </c>
      <c r="AD1141" s="16" t="n"/>
      <c r="AE1141" s="16" t="n"/>
      <c r="AF1141" s="17" t="n"/>
      <c r="AG1141" s="137" t="n"/>
      <c r="AH1141" s="56" t="inlineStr">
        <is>
          <t>CONTA</t>
        </is>
      </c>
      <c r="AI1141" s="145">
        <f>DADOS_INVOC!$QK$146</f>
        <v/>
      </c>
      <c r="AJ1141" s="16" t="n"/>
      <c r="AK1141" s="16" t="n"/>
      <c r="AL1141" s="17" t="n"/>
      <c r="AM1141" s="137" t="n"/>
      <c r="AN1141" s="56" t="inlineStr">
        <is>
          <t>CONTA</t>
        </is>
      </c>
      <c r="AO1141" s="145">
        <f>DADOS_INVOC!$QK$147</f>
        <v/>
      </c>
      <c r="AP1141" s="16" t="n"/>
      <c r="AQ1141" s="16" t="n"/>
      <c r="AR1141" s="17" t="n"/>
      <c r="AS1141" s="137" t="n"/>
    </row>
    <row r="1142" hidden="1" outlineLevel="2">
      <c r="A1142" s="8" t="n"/>
      <c r="B1142" s="14" t="n"/>
      <c r="C1142" s="137" t="n"/>
      <c r="D1142" s="137" t="n"/>
      <c r="E1142" s="137" t="n"/>
      <c r="F1142" s="137" t="n"/>
      <c r="G1142" s="137" t="n"/>
      <c r="I1142" s="56" t="inlineStr">
        <is>
          <t>AMPLIAR</t>
        </is>
      </c>
      <c r="J1142" s="145">
        <f>DADOS_INVOC!$QL$67</f>
        <v/>
      </c>
      <c r="K1142" s="19" t="n"/>
      <c r="L1142" s="19" t="n"/>
      <c r="M1142" s="20" t="n"/>
      <c r="N1142" s="137" t="n"/>
      <c r="O1142" s="56" t="inlineStr">
        <is>
          <t>AMPLIAR</t>
        </is>
      </c>
      <c r="P1142" s="145">
        <f>DADOS_INVOC!$QL$68</f>
        <v/>
      </c>
      <c r="Q1142" s="19" t="n"/>
      <c r="R1142" s="19" t="n"/>
      <c r="S1142" s="20" t="n"/>
      <c r="T1142" s="137" t="n"/>
      <c r="U1142" s="56" t="inlineStr">
        <is>
          <t>AMPLIAR</t>
        </is>
      </c>
      <c r="V1142" s="145">
        <f>DADOS_INVOC!$QL$69</f>
        <v/>
      </c>
      <c r="W1142" s="19" t="n"/>
      <c r="X1142" s="19" t="n"/>
      <c r="Y1142" s="20" t="n"/>
      <c r="Z1142" s="137" t="n"/>
      <c r="AB1142" s="56" t="inlineStr">
        <is>
          <t>AMPLIAR</t>
        </is>
      </c>
      <c r="AC1142" s="145">
        <f>DADOS_INVOC!$QL$145</f>
        <v/>
      </c>
      <c r="AD1142" s="19" t="n"/>
      <c r="AE1142" s="19" t="n"/>
      <c r="AF1142" s="20" t="n"/>
      <c r="AG1142" s="137" t="n"/>
      <c r="AH1142" s="56" t="inlineStr">
        <is>
          <t>AMPLIAR</t>
        </is>
      </c>
      <c r="AI1142" s="145">
        <f>DADOS_INVOC!$QL$146</f>
        <v/>
      </c>
      <c r="AJ1142" s="19" t="n"/>
      <c r="AK1142" s="19" t="n"/>
      <c r="AL1142" s="20" t="n"/>
      <c r="AM1142" s="137" t="n"/>
      <c r="AN1142" s="56" t="inlineStr">
        <is>
          <t>AMPLIAR</t>
        </is>
      </c>
      <c r="AO1142" s="145">
        <f>DADOS_INVOC!$QL$147</f>
        <v/>
      </c>
      <c r="AP1142" s="19" t="n"/>
      <c r="AQ1142" s="19" t="n"/>
      <c r="AR1142" s="20" t="n"/>
      <c r="AS1142" s="137" t="n"/>
    </row>
    <row r="1143" hidden="1" outlineLevel="2">
      <c r="A1143" s="8" t="n"/>
      <c r="B1143" s="14" t="n"/>
      <c r="C1143" s="137" t="n"/>
      <c r="D1143" s="137" t="n"/>
      <c r="E1143" s="137" t="n"/>
      <c r="F1143" s="137" t="n"/>
      <c r="G1143" s="137" t="n"/>
      <c r="I1143" s="128" t="n"/>
      <c r="J1143" s="23" t="n"/>
      <c r="K1143" s="24" t="n"/>
      <c r="L1143" s="24" t="n"/>
      <c r="M1143" s="25" t="n"/>
      <c r="N1143" s="137" t="n"/>
      <c r="O1143" s="128" t="n"/>
      <c r="P1143" s="23" t="n"/>
      <c r="Q1143" s="24" t="n"/>
      <c r="R1143" s="24" t="n"/>
      <c r="S1143" s="25" t="n"/>
      <c r="T1143" s="137" t="n"/>
      <c r="U1143" s="128" t="n"/>
      <c r="V1143" s="23" t="n"/>
      <c r="W1143" s="24" t="n"/>
      <c r="X1143" s="24" t="n"/>
      <c r="Y1143" s="25" t="n"/>
      <c r="Z1143" s="137" t="n"/>
      <c r="AB1143" s="128" t="n"/>
      <c r="AC1143" s="23" t="n"/>
      <c r="AD1143" s="24" t="n"/>
      <c r="AE1143" s="24" t="n"/>
      <c r="AF1143" s="25" t="n"/>
      <c r="AG1143" s="137" t="n"/>
      <c r="AH1143" s="128" t="n"/>
      <c r="AI1143" s="23" t="n"/>
      <c r="AJ1143" s="24" t="n"/>
      <c r="AK1143" s="24" t="n"/>
      <c r="AL1143" s="25" t="n"/>
      <c r="AM1143" s="137" t="n"/>
      <c r="AN1143" s="128" t="n"/>
      <c r="AO1143" s="23" t="n"/>
      <c r="AP1143" s="24" t="n"/>
      <c r="AQ1143" s="24" t="n"/>
      <c r="AR1143" s="25" t="n"/>
      <c r="AS1143" s="137" t="n"/>
    </row>
    <row r="1144" hidden="1" outlineLevel="2">
      <c r="A1144" s="8" t="n"/>
      <c r="B1144" s="14" t="n"/>
      <c r="C1144" s="137" t="n"/>
      <c r="D1144" s="137" t="n"/>
      <c r="E1144" s="137" t="n"/>
      <c r="F1144" s="137" t="n"/>
      <c r="G1144" s="137" t="n"/>
      <c r="I1144" s="145">
        <f>DADOS_INVOC!$PY$67</f>
        <v/>
      </c>
      <c r="J1144" s="19" t="n"/>
      <c r="K1144" s="19" t="n"/>
      <c r="L1144" s="19" t="n"/>
      <c r="M1144" s="20" t="n"/>
      <c r="N1144" s="137" t="n"/>
      <c r="O1144" s="145">
        <f>DADOS_INVOC!$PY$68</f>
        <v/>
      </c>
      <c r="P1144" s="19" t="n"/>
      <c r="Q1144" s="19" t="n"/>
      <c r="R1144" s="19" t="n"/>
      <c r="S1144" s="20" t="n"/>
      <c r="T1144" s="137" t="n"/>
      <c r="U1144" s="145">
        <f>DADOS_INVOC!$PY$69</f>
        <v/>
      </c>
      <c r="V1144" s="19" t="n"/>
      <c r="W1144" s="19" t="n"/>
      <c r="X1144" s="19" t="n"/>
      <c r="Y1144" s="20" t="n"/>
      <c r="Z1144" s="137" t="n"/>
      <c r="AB1144" s="145">
        <f>DADOS_INVOC!$PY$145</f>
        <v/>
      </c>
      <c r="AC1144" s="19" t="n"/>
      <c r="AD1144" s="19" t="n"/>
      <c r="AE1144" s="19" t="n"/>
      <c r="AF1144" s="20" t="n"/>
      <c r="AG1144" s="137" t="n"/>
      <c r="AH1144" s="145">
        <f>DADOS_INVOC!$PY$146</f>
        <v/>
      </c>
      <c r="AI1144" s="19" t="n"/>
      <c r="AJ1144" s="19" t="n"/>
      <c r="AK1144" s="19" t="n"/>
      <c r="AL1144" s="20" t="n"/>
      <c r="AM1144" s="137" t="n"/>
      <c r="AN1144" s="145">
        <f>DADOS_INVOC!$PY$147</f>
        <v/>
      </c>
      <c r="AO1144" s="19" t="n"/>
      <c r="AP1144" s="19" t="n"/>
      <c r="AQ1144" s="19" t="n"/>
      <c r="AR1144" s="20" t="n"/>
      <c r="AS1144" s="137" t="n"/>
    </row>
    <row r="1145" hidden="1" outlineLevel="2">
      <c r="A1145" s="8" t="n"/>
      <c r="B1145" s="14" t="n"/>
      <c r="C1145" s="137" t="n"/>
      <c r="D1145" s="137" t="n"/>
      <c r="E1145" s="137" t="n"/>
      <c r="F1145" s="137" t="n"/>
      <c r="G1145" s="137" t="n"/>
      <c r="I1145" s="23" t="n"/>
      <c r="J1145" s="24" t="n"/>
      <c r="K1145" s="24" t="n"/>
      <c r="L1145" s="24" t="n"/>
      <c r="M1145" s="25" t="n"/>
      <c r="N1145" s="137" t="n"/>
      <c r="O1145" s="23" t="n"/>
      <c r="P1145" s="24" t="n"/>
      <c r="Q1145" s="24" t="n"/>
      <c r="R1145" s="24" t="n"/>
      <c r="S1145" s="25" t="n"/>
      <c r="T1145" s="137" t="n"/>
      <c r="U1145" s="23" t="n"/>
      <c r="V1145" s="24" t="n"/>
      <c r="W1145" s="24" t="n"/>
      <c r="X1145" s="24" t="n"/>
      <c r="Y1145" s="25" t="n"/>
      <c r="Z1145" s="137" t="n"/>
      <c r="AB1145" s="23" t="n"/>
      <c r="AC1145" s="24" t="n"/>
      <c r="AD1145" s="24" t="n"/>
      <c r="AE1145" s="24" t="n"/>
      <c r="AF1145" s="25" t="n"/>
      <c r="AG1145" s="137" t="n"/>
      <c r="AH1145" s="23" t="n"/>
      <c r="AI1145" s="24" t="n"/>
      <c r="AJ1145" s="24" t="n"/>
      <c r="AK1145" s="24" t="n"/>
      <c r="AL1145" s="25" t="n"/>
      <c r="AM1145" s="137" t="n"/>
      <c r="AN1145" s="23" t="n"/>
      <c r="AO1145" s="24" t="n"/>
      <c r="AP1145" s="24" t="n"/>
      <c r="AQ1145" s="24" t="n"/>
      <c r="AR1145" s="25" t="n"/>
      <c r="AS1145" s="137" t="n"/>
    </row>
    <row r="1146" hidden="1" outlineLevel="1">
      <c r="A1146" s="8" t="n"/>
      <c r="B1146" s="14" t="n"/>
      <c r="C1146" s="137" t="n"/>
      <c r="D1146" s="137" t="n"/>
      <c r="E1146" s="137" t="n"/>
      <c r="F1146" s="137" t="n"/>
      <c r="G1146" s="137" t="n"/>
      <c r="I1146" s="137" t="n"/>
      <c r="J1146" s="137" t="n"/>
      <c r="K1146" s="137" t="n"/>
      <c r="L1146" s="137" t="n"/>
      <c r="M1146" s="137" t="n"/>
      <c r="N1146" s="137" t="n"/>
      <c r="O1146" s="137" t="n"/>
      <c r="P1146" s="137" t="n"/>
      <c r="Q1146" s="137" t="n"/>
      <c r="R1146" s="137" t="n"/>
      <c r="S1146" s="137" t="n"/>
      <c r="T1146" s="137" t="n"/>
      <c r="U1146" s="137" t="n"/>
      <c r="V1146" s="137" t="n"/>
      <c r="W1146" s="137" t="n"/>
      <c r="X1146" s="137" t="n"/>
      <c r="Y1146" s="137" t="n"/>
      <c r="Z1146" s="137" t="n"/>
      <c r="AB1146" s="137" t="n"/>
      <c r="AC1146" s="137" t="n"/>
      <c r="AD1146" s="137" t="n"/>
      <c r="AE1146" s="137" t="n"/>
      <c r="AF1146" s="137" t="n"/>
      <c r="AG1146" s="137" t="n"/>
      <c r="AH1146" s="137" t="n"/>
      <c r="AI1146" s="137" t="n"/>
      <c r="AJ1146" s="137" t="n"/>
      <c r="AK1146" s="137" t="n"/>
      <c r="AL1146" s="137" t="n"/>
      <c r="AM1146" s="137" t="n"/>
      <c r="AN1146" s="137" t="n"/>
      <c r="AO1146" s="137" t="n"/>
      <c r="AP1146" s="137" t="n"/>
      <c r="AQ1146" s="137" t="n"/>
      <c r="AR1146" s="137" t="n"/>
      <c r="AS1146" s="137" t="n"/>
    </row>
    <row r="1147" hidden="1" outlineLevel="1">
      <c r="A1147" s="8" t="n"/>
      <c r="B1147" s="14" t="n"/>
      <c r="C1147" s="137" t="n"/>
      <c r="D1147" s="137" t="n"/>
      <c r="E1147" s="137" t="n"/>
      <c r="F1147" s="137" t="n"/>
      <c r="G1147" s="137" t="n"/>
      <c r="I1147" s="56">
        <f>DADOS_INVOC!$IF$7</f>
        <v/>
      </c>
      <c r="J1147" s="16" t="n"/>
      <c r="K1147" s="16" t="n"/>
      <c r="L1147" s="16" t="n"/>
      <c r="M1147" s="16" t="n"/>
      <c r="N1147" s="16" t="n"/>
      <c r="O1147" s="16" t="n"/>
      <c r="P1147" s="16" t="n"/>
      <c r="Q1147" s="16" t="n"/>
      <c r="R1147" s="16" t="n"/>
      <c r="S1147" s="16" t="n"/>
      <c r="T1147" s="16" t="n"/>
      <c r="U1147" s="16" t="n"/>
      <c r="V1147" s="16" t="n"/>
      <c r="W1147" s="16" t="n"/>
      <c r="X1147" s="16" t="n"/>
      <c r="Y1147" s="17" t="n"/>
      <c r="Z1147" s="137" t="n"/>
      <c r="AB1147" s="56">
        <f>DADOS_INVOC!$IF$13</f>
        <v/>
      </c>
      <c r="AC1147" s="16" t="n"/>
      <c r="AD1147" s="16" t="n"/>
      <c r="AE1147" s="16" t="n"/>
      <c r="AF1147" s="16" t="n"/>
      <c r="AG1147" s="16" t="n"/>
      <c r="AH1147" s="16" t="n"/>
      <c r="AI1147" s="16" t="n"/>
      <c r="AJ1147" s="16" t="n"/>
      <c r="AK1147" s="16" t="n"/>
      <c r="AL1147" s="16" t="n"/>
      <c r="AM1147" s="16" t="n"/>
      <c r="AN1147" s="16" t="n"/>
      <c r="AO1147" s="16" t="n"/>
      <c r="AP1147" s="16" t="n"/>
      <c r="AQ1147" s="16" t="n"/>
      <c r="AR1147" s="17" t="n"/>
      <c r="AS1147" s="137" t="n"/>
    </row>
    <row r="1148" hidden="1" outlineLevel="1">
      <c r="A1148" s="8" t="n"/>
      <c r="B1148" s="14" t="n"/>
      <c r="C1148" s="137" t="n"/>
      <c r="D1148" s="137" t="n"/>
      <c r="E1148" s="137" t="n"/>
      <c r="F1148" s="137" t="n"/>
      <c r="G1148" s="137" t="n"/>
      <c r="I1148" s="56" t="inlineStr">
        <is>
          <t>NV 1 · CE 1</t>
        </is>
      </c>
      <c r="J1148" s="144" t="n"/>
      <c r="K1148" s="16" t="n"/>
      <c r="L1148" s="17" t="n"/>
      <c r="M1148" s="150">
        <f>DADOS_INVOC!$IO$7</f>
        <v/>
      </c>
      <c r="N1148" s="16" t="n"/>
      <c r="O1148" s="16" t="n"/>
      <c r="P1148" s="16" t="n"/>
      <c r="Q1148" s="16" t="n"/>
      <c r="R1148" s="16" t="n"/>
      <c r="S1148" s="16" t="n"/>
      <c r="T1148" s="16" t="n"/>
      <c r="U1148" s="16" t="n"/>
      <c r="V1148" s="16" t="n"/>
      <c r="W1148" s="16" t="n"/>
      <c r="X1148" s="16" t="n"/>
      <c r="Y1148" s="17" t="n"/>
      <c r="Z1148" s="137" t="n"/>
      <c r="AB1148" s="56" t="inlineStr">
        <is>
          <t>NV 1 · CE 1</t>
        </is>
      </c>
      <c r="AC1148" s="144" t="n"/>
      <c r="AD1148" s="16" t="n"/>
      <c r="AE1148" s="17" t="n"/>
      <c r="AF1148" s="150">
        <f>DADOS_INVOC!$IO$13</f>
        <v/>
      </c>
      <c r="AG1148" s="16" t="n"/>
      <c r="AH1148" s="16" t="n"/>
      <c r="AI1148" s="16" t="n"/>
      <c r="AJ1148" s="16" t="n"/>
      <c r="AK1148" s="16" t="n"/>
      <c r="AL1148" s="16" t="n"/>
      <c r="AM1148" s="16" t="n"/>
      <c r="AN1148" s="16" t="n"/>
      <c r="AO1148" s="16" t="n"/>
      <c r="AP1148" s="16" t="n"/>
      <c r="AQ1148" s="16" t="n"/>
      <c r="AR1148" s="17" t="n"/>
      <c r="AS1148" s="137" t="n"/>
    </row>
    <row r="1149" hidden="1" outlineLevel="1">
      <c r="A1149" s="8" t="n"/>
      <c r="B1149" s="14" t="n"/>
      <c r="C1149" s="137" t="n"/>
      <c r="D1149" s="137" t="n"/>
      <c r="E1149" s="137" t="n"/>
      <c r="F1149" s="137" t="n"/>
      <c r="G1149" s="137" t="n"/>
      <c r="I1149" s="56" t="inlineStr">
        <is>
          <t>NV 6 · CE 1</t>
        </is>
      </c>
      <c r="J1149" s="144" t="n"/>
      <c r="K1149" s="16" t="n"/>
      <c r="L1149" s="17" t="n"/>
      <c r="M1149" s="150">
        <f>DADOS_INVOC!$IP$7</f>
        <v/>
      </c>
      <c r="N1149" s="16" t="n"/>
      <c r="O1149" s="16" t="n"/>
      <c r="P1149" s="16" t="n"/>
      <c r="Q1149" s="16" t="n"/>
      <c r="R1149" s="16" t="n"/>
      <c r="S1149" s="16" t="n"/>
      <c r="T1149" s="16" t="n"/>
      <c r="U1149" s="16" t="n"/>
      <c r="V1149" s="16" t="n"/>
      <c r="W1149" s="16" t="n"/>
      <c r="X1149" s="16" t="n"/>
      <c r="Y1149" s="17" t="n"/>
      <c r="Z1149" s="137" t="n"/>
      <c r="AB1149" s="56" t="inlineStr">
        <is>
          <t>NV 6 · CE 1</t>
        </is>
      </c>
      <c r="AC1149" s="144" t="n"/>
      <c r="AD1149" s="16" t="n"/>
      <c r="AE1149" s="17" t="n"/>
      <c r="AF1149" s="150">
        <f>DADOS_INVOC!$IP$13</f>
        <v/>
      </c>
      <c r="AG1149" s="16" t="n"/>
      <c r="AH1149" s="16" t="n"/>
      <c r="AI1149" s="16" t="n"/>
      <c r="AJ1149" s="16" t="n"/>
      <c r="AK1149" s="16" t="n"/>
      <c r="AL1149" s="16" t="n"/>
      <c r="AM1149" s="16" t="n"/>
      <c r="AN1149" s="16" t="n"/>
      <c r="AO1149" s="16" t="n"/>
      <c r="AP1149" s="16" t="n"/>
      <c r="AQ1149" s="16" t="n"/>
      <c r="AR1149" s="17" t="n"/>
      <c r="AS1149" s="137" t="n"/>
    </row>
    <row r="1150" hidden="1" outlineLevel="1">
      <c r="A1150" s="8" t="n"/>
      <c r="B1150" s="14" t="n"/>
      <c r="C1150" s="137" t="n"/>
      <c r="D1150" s="137" t="n"/>
      <c r="E1150" s="137" t="n"/>
      <c r="F1150" s="137" t="n"/>
      <c r="G1150" s="137" t="n"/>
      <c r="I1150" s="56" t="inlineStr">
        <is>
          <t>NV 10 · CE 2</t>
        </is>
      </c>
      <c r="J1150" s="144" t="n"/>
      <c r="K1150" s="16" t="n"/>
      <c r="L1150" s="17" t="n"/>
      <c r="M1150" s="150">
        <f>DADOS_INVOC!$IQ$7</f>
        <v/>
      </c>
      <c r="N1150" s="16" t="n"/>
      <c r="O1150" s="16" t="n"/>
      <c r="P1150" s="16" t="n"/>
      <c r="Q1150" s="16" t="n"/>
      <c r="R1150" s="16" t="n"/>
      <c r="S1150" s="16" t="n"/>
      <c r="T1150" s="16" t="n"/>
      <c r="U1150" s="16" t="n"/>
      <c r="V1150" s="16" t="n"/>
      <c r="W1150" s="16" t="n"/>
      <c r="X1150" s="16" t="n"/>
      <c r="Y1150" s="17" t="n"/>
      <c r="Z1150" s="137" t="n"/>
      <c r="AB1150" s="56" t="inlineStr">
        <is>
          <t>NV 10 · CE 2</t>
        </is>
      </c>
      <c r="AC1150" s="144" t="n"/>
      <c r="AD1150" s="16" t="n"/>
      <c r="AE1150" s="17" t="n"/>
      <c r="AF1150" s="150">
        <f>DADOS_INVOC!$IQ$13</f>
        <v/>
      </c>
      <c r="AG1150" s="16" t="n"/>
      <c r="AH1150" s="16" t="n"/>
      <c r="AI1150" s="16" t="n"/>
      <c r="AJ1150" s="16" t="n"/>
      <c r="AK1150" s="16" t="n"/>
      <c r="AL1150" s="16" t="n"/>
      <c r="AM1150" s="16" t="n"/>
      <c r="AN1150" s="16" t="n"/>
      <c r="AO1150" s="16" t="n"/>
      <c r="AP1150" s="16" t="n"/>
      <c r="AQ1150" s="16" t="n"/>
      <c r="AR1150" s="17" t="n"/>
      <c r="AS1150" s="137" t="n"/>
    </row>
    <row r="1151" hidden="1" outlineLevel="1">
      <c r="A1151" s="8" t="n"/>
      <c r="B1151" s="14" t="n"/>
      <c r="C1151" s="137" t="n"/>
      <c r="D1151" s="137" t="n"/>
      <c r="E1151" s="137" t="n"/>
      <c r="F1151" s="137" t="n"/>
      <c r="G1151" s="137" t="n"/>
      <c r="I1151" s="56" t="inlineStr">
        <is>
          <t>NV 14 · CE 3</t>
        </is>
      </c>
      <c r="J1151" s="144" t="n"/>
      <c r="K1151" s="16" t="n"/>
      <c r="L1151" s="17" t="n"/>
      <c r="M1151" s="150">
        <f>DADOS_INVOC!$IR$7</f>
        <v/>
      </c>
      <c r="N1151" s="16" t="n"/>
      <c r="O1151" s="16" t="n"/>
      <c r="P1151" s="16" t="n"/>
      <c r="Q1151" s="16" t="n"/>
      <c r="R1151" s="16" t="n"/>
      <c r="S1151" s="16" t="n"/>
      <c r="T1151" s="16" t="n"/>
      <c r="U1151" s="16" t="n"/>
      <c r="V1151" s="16" t="n"/>
      <c r="W1151" s="16" t="n"/>
      <c r="X1151" s="16" t="n"/>
      <c r="Y1151" s="17" t="n"/>
      <c r="Z1151" s="137" t="n"/>
      <c r="AB1151" s="56" t="inlineStr">
        <is>
          <t>NV 14 · CE 3</t>
        </is>
      </c>
      <c r="AC1151" s="144" t="n"/>
      <c r="AD1151" s="16" t="n"/>
      <c r="AE1151" s="17" t="n"/>
      <c r="AF1151" s="150">
        <f>DADOS_INVOC!$IR$13</f>
        <v/>
      </c>
      <c r="AG1151" s="16" t="n"/>
      <c r="AH1151" s="16" t="n"/>
      <c r="AI1151" s="16" t="n"/>
      <c r="AJ1151" s="16" t="n"/>
      <c r="AK1151" s="16" t="n"/>
      <c r="AL1151" s="16" t="n"/>
      <c r="AM1151" s="16" t="n"/>
      <c r="AN1151" s="16" t="n"/>
      <c r="AO1151" s="16" t="n"/>
      <c r="AP1151" s="16" t="n"/>
      <c r="AQ1151" s="16" t="n"/>
      <c r="AR1151" s="17" t="n"/>
      <c r="AS1151" s="137" t="n"/>
    </row>
    <row r="1152" hidden="1" outlineLevel="1">
      <c r="A1152" s="8" t="n"/>
      <c r="B1152" s="14" t="n"/>
      <c r="C1152" s="137" t="n"/>
      <c r="D1152" s="137" t="n"/>
      <c r="E1152" s="137" t="n"/>
      <c r="F1152" s="137" t="n"/>
      <c r="G1152" s="137" t="n"/>
      <c r="I1152" s="56" t="inlineStr">
        <is>
          <t>NV 18 · CE 3</t>
        </is>
      </c>
      <c r="J1152" s="144" t="n"/>
      <c r="K1152" s="16" t="n"/>
      <c r="L1152" s="17" t="n"/>
      <c r="M1152" s="150">
        <f>DADOS_INVOC!$IS$7</f>
        <v/>
      </c>
      <c r="N1152" s="16" t="n"/>
      <c r="O1152" s="16" t="n"/>
      <c r="P1152" s="16" t="n"/>
      <c r="Q1152" s="16" t="n"/>
      <c r="R1152" s="16" t="n"/>
      <c r="S1152" s="16" t="n"/>
      <c r="T1152" s="16" t="n"/>
      <c r="U1152" s="16" t="n"/>
      <c r="V1152" s="16" t="n"/>
      <c r="W1152" s="16" t="n"/>
      <c r="X1152" s="16" t="n"/>
      <c r="Y1152" s="17" t="n"/>
      <c r="Z1152" s="137" t="n"/>
      <c r="AB1152" s="56" t="inlineStr">
        <is>
          <t>NV 18 · CE 3</t>
        </is>
      </c>
      <c r="AC1152" s="144" t="n"/>
      <c r="AD1152" s="16" t="n"/>
      <c r="AE1152" s="17" t="n"/>
      <c r="AF1152" s="150">
        <f>DADOS_INVOC!$IS$13</f>
        <v/>
      </c>
      <c r="AG1152" s="16" t="n"/>
      <c r="AH1152" s="16" t="n"/>
      <c r="AI1152" s="16" t="n"/>
      <c r="AJ1152" s="16" t="n"/>
      <c r="AK1152" s="16" t="n"/>
      <c r="AL1152" s="16" t="n"/>
      <c r="AM1152" s="16" t="n"/>
      <c r="AN1152" s="16" t="n"/>
      <c r="AO1152" s="16" t="n"/>
      <c r="AP1152" s="16" t="n"/>
      <c r="AQ1152" s="16" t="n"/>
      <c r="AR1152" s="17" t="n"/>
      <c r="AS1152" s="137" t="n"/>
    </row>
    <row r="1153" hidden="1" outlineLevel="1">
      <c r="A1153" s="8" t="n"/>
      <c r="B1153" s="14" t="n"/>
      <c r="C1153" s="137" t="n"/>
      <c r="D1153" s="137" t="n"/>
      <c r="E1153" s="137" t="n"/>
      <c r="F1153" s="137" t="n"/>
      <c r="G1153" s="137" t="n"/>
      <c r="I1153" s="56" t="inlineStr">
        <is>
          <t>NV 22 · CE 3</t>
        </is>
      </c>
      <c r="J1153" s="144" t="n"/>
      <c r="K1153" s="16" t="n"/>
      <c r="L1153" s="17" t="n"/>
      <c r="M1153" s="150">
        <f>DADOS_INVOC!$IT$7</f>
        <v/>
      </c>
      <c r="N1153" s="16" t="n"/>
      <c r="O1153" s="16" t="n"/>
      <c r="P1153" s="16" t="n"/>
      <c r="Q1153" s="16" t="n"/>
      <c r="R1153" s="16" t="n"/>
      <c r="S1153" s="16" t="n"/>
      <c r="T1153" s="16" t="n"/>
      <c r="U1153" s="16" t="n"/>
      <c r="V1153" s="16" t="n"/>
      <c r="W1153" s="16" t="n"/>
      <c r="X1153" s="16" t="n"/>
      <c r="Y1153" s="17" t="n"/>
      <c r="Z1153" s="137" t="n"/>
      <c r="AB1153" s="56" t="inlineStr">
        <is>
          <t>NV 22 · CE 3</t>
        </is>
      </c>
      <c r="AC1153" s="144" t="n"/>
      <c r="AD1153" s="16" t="n"/>
      <c r="AE1153" s="17" t="n"/>
      <c r="AF1153" s="150">
        <f>DADOS_INVOC!$IT$13</f>
        <v/>
      </c>
      <c r="AG1153" s="16" t="n"/>
      <c r="AH1153" s="16" t="n"/>
      <c r="AI1153" s="16" t="n"/>
      <c r="AJ1153" s="16" t="n"/>
      <c r="AK1153" s="16" t="n"/>
      <c r="AL1153" s="16" t="n"/>
      <c r="AM1153" s="16" t="n"/>
      <c r="AN1153" s="16" t="n"/>
      <c r="AO1153" s="16" t="n"/>
      <c r="AP1153" s="16" t="n"/>
      <c r="AQ1153" s="16" t="n"/>
      <c r="AR1153" s="17" t="n"/>
      <c r="AS1153" s="137" t="n"/>
    </row>
    <row r="1154" hidden="1" outlineLevel="1">
      <c r="A1154" s="8" t="n"/>
      <c r="B1154" s="14" t="n"/>
      <c r="C1154" s="137" t="n"/>
      <c r="D1154" s="137" t="n"/>
      <c r="E1154" s="137" t="n"/>
      <c r="F1154" s="137" t="n"/>
      <c r="G1154" s="137" t="n"/>
      <c r="I1154" s="56" t="inlineStr">
        <is>
          <t>NV 26 · CE 3</t>
        </is>
      </c>
      <c r="J1154" s="144" t="n"/>
      <c r="K1154" s="16" t="n"/>
      <c r="L1154" s="17" t="n"/>
      <c r="M1154" s="150">
        <f>DADOS_INVOC!$IU$7</f>
        <v/>
      </c>
      <c r="N1154" s="16" t="n"/>
      <c r="O1154" s="16" t="n"/>
      <c r="P1154" s="16" t="n"/>
      <c r="Q1154" s="16" t="n"/>
      <c r="R1154" s="16" t="n"/>
      <c r="S1154" s="16" t="n"/>
      <c r="T1154" s="16" t="n"/>
      <c r="U1154" s="16" t="n"/>
      <c r="V1154" s="16" t="n"/>
      <c r="W1154" s="16" t="n"/>
      <c r="X1154" s="16" t="n"/>
      <c r="Y1154" s="17" t="n"/>
      <c r="Z1154" s="137" t="n"/>
      <c r="AB1154" s="56" t="inlineStr">
        <is>
          <t>NV 26 · CE 3</t>
        </is>
      </c>
      <c r="AC1154" s="144" t="n"/>
      <c r="AD1154" s="16" t="n"/>
      <c r="AE1154" s="17" t="n"/>
      <c r="AF1154" s="150">
        <f>DADOS_INVOC!$IU$13</f>
        <v/>
      </c>
      <c r="AG1154" s="16" t="n"/>
      <c r="AH1154" s="16" t="n"/>
      <c r="AI1154" s="16" t="n"/>
      <c r="AJ1154" s="16" t="n"/>
      <c r="AK1154" s="16" t="n"/>
      <c r="AL1154" s="16" t="n"/>
      <c r="AM1154" s="16" t="n"/>
      <c r="AN1154" s="16" t="n"/>
      <c r="AO1154" s="16" t="n"/>
      <c r="AP1154" s="16" t="n"/>
      <c r="AQ1154" s="16" t="n"/>
      <c r="AR1154" s="17" t="n"/>
      <c r="AS1154" s="137" t="n"/>
    </row>
    <row r="1155" hidden="1" outlineLevel="1">
      <c r="A1155" s="8" t="n"/>
      <c r="B1155" s="14" t="n"/>
      <c r="C1155" s="137" t="n"/>
      <c r="D1155" s="137" t="n"/>
      <c r="E1155" s="137" t="n"/>
      <c r="F1155" s="137" t="n"/>
      <c r="G1155" s="137" t="n"/>
      <c r="I1155" s="56" t="inlineStr">
        <is>
          <t>NV 30 · CE 3</t>
        </is>
      </c>
      <c r="J1155" s="144" t="n"/>
      <c r="K1155" s="16" t="n"/>
      <c r="L1155" s="17" t="n"/>
      <c r="M1155" s="150">
        <f>DADOS_INVOC!$IV$7</f>
        <v/>
      </c>
      <c r="N1155" s="16" t="n"/>
      <c r="O1155" s="16" t="n"/>
      <c r="P1155" s="16" t="n"/>
      <c r="Q1155" s="16" t="n"/>
      <c r="R1155" s="16" t="n"/>
      <c r="S1155" s="16" t="n"/>
      <c r="T1155" s="16" t="n"/>
      <c r="U1155" s="16" t="n"/>
      <c r="V1155" s="16" t="n"/>
      <c r="W1155" s="16" t="n"/>
      <c r="X1155" s="16" t="n"/>
      <c r="Y1155" s="17" t="n"/>
      <c r="Z1155" s="137" t="n"/>
      <c r="AB1155" s="56" t="inlineStr">
        <is>
          <t>NV 30 · CE 3</t>
        </is>
      </c>
      <c r="AC1155" s="144" t="n"/>
      <c r="AD1155" s="16" t="n"/>
      <c r="AE1155" s="17" t="n"/>
      <c r="AF1155" s="150">
        <f>DADOS_INVOC!$IV$13</f>
        <v/>
      </c>
      <c r="AG1155" s="16" t="n"/>
      <c r="AH1155" s="16" t="n"/>
      <c r="AI1155" s="16" t="n"/>
      <c r="AJ1155" s="16" t="n"/>
      <c r="AK1155" s="16" t="n"/>
      <c r="AL1155" s="16" t="n"/>
      <c r="AM1155" s="16" t="n"/>
      <c r="AN1155" s="16" t="n"/>
      <c r="AO1155" s="16" t="n"/>
      <c r="AP1155" s="16" t="n"/>
      <c r="AQ1155" s="16" t="n"/>
      <c r="AR1155" s="17" t="n"/>
      <c r="AS1155" s="137" t="n"/>
    </row>
    <row r="1156" hidden="1" outlineLevel="1">
      <c r="A1156" s="8" t="n"/>
      <c r="B1156" s="14" t="n"/>
      <c r="C1156" s="137" t="n"/>
      <c r="D1156" s="137" t="n"/>
      <c r="E1156" s="137" t="n"/>
      <c r="F1156" s="137" t="n"/>
      <c r="G1156" s="137" t="n"/>
      <c r="I1156" s="137" t="n"/>
      <c r="J1156" s="137" t="n"/>
      <c r="K1156" s="137" t="n"/>
      <c r="L1156" s="137" t="n"/>
      <c r="M1156" s="137" t="n"/>
      <c r="N1156" s="137" t="n"/>
      <c r="O1156" s="137" t="n"/>
      <c r="P1156" s="137" t="n"/>
      <c r="Q1156" s="137" t="n"/>
      <c r="R1156" s="137" t="n"/>
      <c r="S1156" s="137" t="n"/>
      <c r="T1156" s="137" t="n"/>
      <c r="U1156" s="137" t="n"/>
      <c r="V1156" s="137" t="n"/>
      <c r="W1156" s="137" t="n"/>
      <c r="X1156" s="137" t="n"/>
      <c r="Y1156" s="137" t="n"/>
      <c r="Z1156" s="137" t="n"/>
      <c r="AB1156" s="137" t="n"/>
      <c r="AC1156" s="137" t="n"/>
      <c r="AD1156" s="137" t="n"/>
      <c r="AE1156" s="137" t="n"/>
      <c r="AF1156" s="137" t="n"/>
      <c r="AG1156" s="137" t="n"/>
      <c r="AH1156" s="137" t="n"/>
      <c r="AI1156" s="137" t="n"/>
      <c r="AJ1156" s="137" t="n"/>
      <c r="AK1156" s="137" t="n"/>
      <c r="AL1156" s="137" t="n"/>
      <c r="AM1156" s="137" t="n"/>
      <c r="AN1156" s="137" t="n"/>
      <c r="AO1156" s="137" t="n"/>
      <c r="AP1156" s="137" t="n"/>
      <c r="AQ1156" s="137" t="n"/>
      <c r="AR1156" s="137" t="n"/>
      <c r="AS1156" s="137" t="n"/>
    </row>
    <row r="1157" hidden="1" outlineLevel="1">
      <c r="A1157" s="8" t="n"/>
      <c r="B1157" s="14" t="n"/>
      <c r="C1157" s="137" t="n"/>
      <c r="D1157" s="137" t="n"/>
      <c r="E1157" s="137" t="n"/>
      <c r="F1157" s="137" t="n"/>
      <c r="G1157" s="137" t="n"/>
      <c r="I1157" s="146" t="inlineStr">
        <is>
          <t>MAIS HABILIDADES · a segunda básica no nível 11, e as especiais 3 a 8, do nível 8 ao 28</t>
        </is>
      </c>
      <c r="J1157" s="16" t="n"/>
      <c r="K1157" s="16" t="n"/>
      <c r="L1157" s="16" t="n"/>
      <c r="M1157" s="16" t="n"/>
      <c r="N1157" s="16" t="n"/>
      <c r="O1157" s="16" t="n"/>
      <c r="P1157" s="16" t="n"/>
      <c r="Q1157" s="16" t="n"/>
      <c r="R1157" s="16" t="n"/>
      <c r="S1157" s="16" t="n"/>
      <c r="T1157" s="16" t="n"/>
      <c r="U1157" s="16" t="n"/>
      <c r="V1157" s="16" t="n"/>
      <c r="W1157" s="16" t="n"/>
      <c r="X1157" s="16" t="n"/>
      <c r="Y1157" s="17" t="n"/>
      <c r="Z1157" s="137" t="n"/>
      <c r="AB1157" s="146" t="inlineStr">
        <is>
          <t>MAIS HABILIDADES · a segunda básica no nível 11, e as especiais 3 a 8, do nível 8 ao 28</t>
        </is>
      </c>
      <c r="AC1157" s="16" t="n"/>
      <c r="AD1157" s="16" t="n"/>
      <c r="AE1157" s="16" t="n"/>
      <c r="AF1157" s="16" t="n"/>
      <c r="AG1157" s="16" t="n"/>
      <c r="AH1157" s="16" t="n"/>
      <c r="AI1157" s="16" t="n"/>
      <c r="AJ1157" s="16" t="n"/>
      <c r="AK1157" s="16" t="n"/>
      <c r="AL1157" s="16" t="n"/>
      <c r="AM1157" s="16" t="n"/>
      <c r="AN1157" s="16" t="n"/>
      <c r="AO1157" s="16" t="n"/>
      <c r="AP1157" s="16" t="n"/>
      <c r="AQ1157" s="16" t="n"/>
      <c r="AR1157" s="17" t="n"/>
      <c r="AS1157" s="137" t="n"/>
    </row>
    <row r="1158" hidden="1" outlineLevel="2">
      <c r="A1158" s="8" t="n"/>
      <c r="B1158" s="14" t="n"/>
      <c r="C1158" s="137" t="n"/>
      <c r="D1158" s="137" t="n"/>
      <c r="E1158" s="137" t="n"/>
      <c r="F1158" s="137" t="n"/>
      <c r="G1158" s="137" t="n"/>
      <c r="I1158" s="137" t="n"/>
      <c r="J1158" s="137" t="n"/>
      <c r="K1158" s="137" t="n"/>
      <c r="L1158" s="137" t="n"/>
      <c r="M1158" s="137" t="n"/>
      <c r="N1158" s="137" t="n"/>
      <c r="O1158" s="137" t="n"/>
      <c r="P1158" s="137" t="n"/>
      <c r="Q1158" s="137" t="n"/>
      <c r="R1158" s="137" t="n"/>
      <c r="S1158" s="137" t="n"/>
      <c r="T1158" s="137" t="n"/>
      <c r="U1158" s="137" t="n"/>
      <c r="V1158" s="137" t="n"/>
      <c r="W1158" s="137" t="n"/>
      <c r="X1158" s="137" t="n"/>
      <c r="Y1158" s="137" t="n"/>
      <c r="Z1158" s="137" t="n"/>
      <c r="AB1158" s="137" t="n"/>
      <c r="AC1158" s="137" t="n"/>
      <c r="AD1158" s="137" t="n"/>
      <c r="AE1158" s="137" t="n"/>
      <c r="AF1158" s="137" t="n"/>
      <c r="AG1158" s="137" t="n"/>
      <c r="AH1158" s="137" t="n"/>
      <c r="AI1158" s="137" t="n"/>
      <c r="AJ1158" s="137" t="n"/>
      <c r="AK1158" s="137" t="n"/>
      <c r="AL1158" s="137" t="n"/>
      <c r="AM1158" s="137" t="n"/>
      <c r="AN1158" s="137" t="n"/>
      <c r="AO1158" s="137" t="n"/>
      <c r="AP1158" s="137" t="n"/>
      <c r="AQ1158" s="137" t="n"/>
      <c r="AR1158" s="137" t="n"/>
      <c r="AS1158" s="137" t="n"/>
    </row>
    <row r="1159" hidden="1" outlineLevel="2">
      <c r="A1159" s="8" t="n"/>
      <c r="B1159" s="14" t="n"/>
      <c r="C1159" s="137" t="n"/>
      <c r="D1159" s="137" t="n"/>
      <c r="E1159" s="137" t="n"/>
      <c r="F1159" s="137" t="n"/>
      <c r="G1159" s="137" t="n"/>
      <c r="I1159" s="56">
        <f>DADOS_INVOC!$PZ$70</f>
        <v/>
      </c>
      <c r="J1159" s="16" t="n"/>
      <c r="K1159" s="16" t="n"/>
      <c r="L1159" s="16" t="n"/>
      <c r="M1159" s="17" t="n"/>
      <c r="N1159" s="137" t="n"/>
      <c r="O1159" s="56">
        <f>DADOS_INVOC!$PZ$71</f>
        <v/>
      </c>
      <c r="P1159" s="16" t="n"/>
      <c r="Q1159" s="16" t="n"/>
      <c r="R1159" s="16" t="n"/>
      <c r="S1159" s="17" t="n"/>
      <c r="T1159" s="137" t="n"/>
      <c r="U1159" s="56">
        <f>DADOS_INVOC!$PZ$72</f>
        <v/>
      </c>
      <c r="V1159" s="16" t="n"/>
      <c r="W1159" s="16" t="n"/>
      <c r="X1159" s="16" t="n"/>
      <c r="Y1159" s="17" t="n"/>
      <c r="Z1159" s="137" t="n"/>
      <c r="AB1159" s="56">
        <f>DADOS_INVOC!$PZ$148</f>
        <v/>
      </c>
      <c r="AC1159" s="16" t="n"/>
      <c r="AD1159" s="16" t="n"/>
      <c r="AE1159" s="16" t="n"/>
      <c r="AF1159" s="17" t="n"/>
      <c r="AG1159" s="137" t="n"/>
      <c r="AH1159" s="56">
        <f>DADOS_INVOC!$PZ$149</f>
        <v/>
      </c>
      <c r="AI1159" s="16" t="n"/>
      <c r="AJ1159" s="16" t="n"/>
      <c r="AK1159" s="16" t="n"/>
      <c r="AL1159" s="17" t="n"/>
      <c r="AM1159" s="137" t="n"/>
      <c r="AN1159" s="56">
        <f>DADOS_INVOC!$PZ$150</f>
        <v/>
      </c>
      <c r="AO1159" s="16" t="n"/>
      <c r="AP1159" s="16" t="n"/>
      <c r="AQ1159" s="16" t="n"/>
      <c r="AR1159" s="17" t="n"/>
      <c r="AS1159" s="137" t="n"/>
    </row>
    <row r="1160" hidden="1" outlineLevel="2">
      <c r="A1160" s="8" t="n"/>
      <c r="B1160" s="14" t="n"/>
      <c r="C1160" s="137" t="n"/>
      <c r="D1160" s="137" t="n"/>
      <c r="E1160" s="137" t="n"/>
      <c r="F1160" s="137" t="n"/>
      <c r="G1160" s="137" t="n"/>
      <c r="I1160" s="141" t="n">
        <v>0</v>
      </c>
      <c r="J1160" s="131" t="n"/>
      <c r="K1160" s="16" t="n"/>
      <c r="L1160" s="17" t="n"/>
      <c r="M1160" s="142">
        <f>DADOS_INVOC!$PX$70</f>
        <v/>
      </c>
      <c r="N1160" s="137" t="n"/>
      <c r="O1160" s="141" t="n">
        <v>1</v>
      </c>
      <c r="P1160" s="131" t="n"/>
      <c r="Q1160" s="16" t="n"/>
      <c r="R1160" s="17" t="n"/>
      <c r="S1160" s="142">
        <f>DADOS_INVOC!$PX$71</f>
        <v/>
      </c>
      <c r="T1160" s="137" t="n"/>
      <c r="U1160" s="141" t="n">
        <v>1</v>
      </c>
      <c r="V1160" s="131" t="n"/>
      <c r="W1160" s="16" t="n"/>
      <c r="X1160" s="17" t="n"/>
      <c r="Y1160" s="142">
        <f>DADOS_INVOC!$PX$72</f>
        <v/>
      </c>
      <c r="Z1160" s="137" t="n"/>
      <c r="AB1160" s="141" t="n">
        <v>0</v>
      </c>
      <c r="AC1160" s="131" t="n"/>
      <c r="AD1160" s="16" t="n"/>
      <c r="AE1160" s="17" t="n"/>
      <c r="AF1160" s="142">
        <f>DADOS_INVOC!$PX$148</f>
        <v/>
      </c>
      <c r="AG1160" s="137" t="n"/>
      <c r="AH1160" s="141" t="n">
        <v>1</v>
      </c>
      <c r="AI1160" s="131" t="n"/>
      <c r="AJ1160" s="16" t="n"/>
      <c r="AK1160" s="17" t="n"/>
      <c r="AL1160" s="142">
        <f>DADOS_INVOC!$PX$149</f>
        <v/>
      </c>
      <c r="AM1160" s="137" t="n"/>
      <c r="AN1160" s="141" t="n">
        <v>1</v>
      </c>
      <c r="AO1160" s="131" t="n"/>
      <c r="AP1160" s="16" t="n"/>
      <c r="AQ1160" s="17" t="n"/>
      <c r="AR1160" s="142">
        <f>DADOS_INVOC!$PX$150</f>
        <v/>
      </c>
      <c r="AS1160" s="137" t="n"/>
    </row>
    <row r="1161" hidden="1" outlineLevel="3">
      <c r="A1161" s="8" t="n"/>
      <c r="B1161" s="14" t="n"/>
      <c r="C1161" s="137" t="n"/>
      <c r="D1161" s="137" t="n"/>
      <c r="E1161" s="137" t="n"/>
      <c r="F1161" s="137" t="n"/>
      <c r="G1161" s="137" t="n"/>
      <c r="I1161" s="56" t="inlineStr">
        <is>
          <t>COMO É</t>
        </is>
      </c>
      <c r="J1161" s="16" t="n"/>
      <c r="K1161" s="16" t="n"/>
      <c r="L1161" s="16" t="n"/>
      <c r="M1161" s="17" t="n"/>
      <c r="N1161" s="137" t="n"/>
      <c r="O1161" s="56" t="inlineStr">
        <is>
          <t>COMO É</t>
        </is>
      </c>
      <c r="P1161" s="16" t="n"/>
      <c r="Q1161" s="16" t="n"/>
      <c r="R1161" s="16" t="n"/>
      <c r="S1161" s="17" t="n"/>
      <c r="T1161" s="137" t="n"/>
      <c r="U1161" s="56" t="inlineStr">
        <is>
          <t>COMO É</t>
        </is>
      </c>
      <c r="V1161" s="16" t="n"/>
      <c r="W1161" s="16" t="n"/>
      <c r="X1161" s="16" t="n"/>
      <c r="Y1161" s="17" t="n"/>
      <c r="Z1161" s="137" t="n"/>
      <c r="AB1161" s="56" t="inlineStr">
        <is>
          <t>COMO É</t>
        </is>
      </c>
      <c r="AC1161" s="16" t="n"/>
      <c r="AD1161" s="16" t="n"/>
      <c r="AE1161" s="16" t="n"/>
      <c r="AF1161" s="17" t="n"/>
      <c r="AG1161" s="137" t="n"/>
      <c r="AH1161" s="56" t="inlineStr">
        <is>
          <t>COMO É</t>
        </is>
      </c>
      <c r="AI1161" s="16" t="n"/>
      <c r="AJ1161" s="16" t="n"/>
      <c r="AK1161" s="16" t="n"/>
      <c r="AL1161" s="17" t="n"/>
      <c r="AM1161" s="137" t="n"/>
      <c r="AN1161" s="56" t="inlineStr">
        <is>
          <t>COMO É</t>
        </is>
      </c>
      <c r="AO1161" s="16" t="n"/>
      <c r="AP1161" s="16" t="n"/>
      <c r="AQ1161" s="16" t="n"/>
      <c r="AR1161" s="17" t="n"/>
      <c r="AS1161" s="137" t="n"/>
    </row>
    <row r="1162" hidden="1" outlineLevel="3">
      <c r="A1162" s="8" t="n"/>
      <c r="B1162" s="14" t="n"/>
      <c r="C1162" s="137" t="n"/>
      <c r="D1162" s="137" t="n"/>
      <c r="E1162" s="137" t="n"/>
      <c r="F1162" s="137" t="n"/>
      <c r="G1162" s="137" t="n"/>
      <c r="I1162" s="61" t="n"/>
      <c r="J1162" s="19" t="n"/>
      <c r="K1162" s="19" t="n"/>
      <c r="L1162" s="19" t="n"/>
      <c r="M1162" s="20" t="n"/>
      <c r="N1162" s="137" t="n"/>
      <c r="O1162" s="61" t="n"/>
      <c r="P1162" s="19" t="n"/>
      <c r="Q1162" s="19" t="n"/>
      <c r="R1162" s="19" t="n"/>
      <c r="S1162" s="20" t="n"/>
      <c r="T1162" s="137" t="n"/>
      <c r="U1162" s="61" t="n"/>
      <c r="V1162" s="19" t="n"/>
      <c r="W1162" s="19" t="n"/>
      <c r="X1162" s="19" t="n"/>
      <c r="Y1162" s="20" t="n"/>
      <c r="Z1162" s="137" t="n"/>
      <c r="AB1162" s="61" t="n"/>
      <c r="AC1162" s="19" t="n"/>
      <c r="AD1162" s="19" t="n"/>
      <c r="AE1162" s="19" t="n"/>
      <c r="AF1162" s="20" t="n"/>
      <c r="AG1162" s="137" t="n"/>
      <c r="AH1162" s="61" t="n"/>
      <c r="AI1162" s="19" t="n"/>
      <c r="AJ1162" s="19" t="n"/>
      <c r="AK1162" s="19" t="n"/>
      <c r="AL1162" s="20" t="n"/>
      <c r="AM1162" s="137" t="n"/>
      <c r="AN1162" s="61" t="n"/>
      <c r="AO1162" s="19" t="n"/>
      <c r="AP1162" s="19" t="n"/>
      <c r="AQ1162" s="19" t="n"/>
      <c r="AR1162" s="20" t="n"/>
      <c r="AS1162" s="137" t="n"/>
    </row>
    <row r="1163" hidden="1" outlineLevel="3">
      <c r="A1163" s="8" t="n"/>
      <c r="B1163" s="14" t="n"/>
      <c r="C1163" s="137" t="n"/>
      <c r="D1163" s="137" t="n"/>
      <c r="E1163" s="137" t="n"/>
      <c r="F1163" s="137" t="n"/>
      <c r="G1163" s="137" t="n"/>
      <c r="I1163" s="21" t="n"/>
      <c r="M1163" s="22" t="n"/>
      <c r="N1163" s="137" t="n"/>
      <c r="O1163" s="21" t="n"/>
      <c r="S1163" s="22" t="n"/>
      <c r="T1163" s="137" t="n"/>
      <c r="U1163" s="21" t="n"/>
      <c r="Y1163" s="22" t="n"/>
      <c r="Z1163" s="137" t="n"/>
      <c r="AB1163" s="21" t="n"/>
      <c r="AF1163" s="22" t="n"/>
      <c r="AG1163" s="137" t="n"/>
      <c r="AH1163" s="21" t="n"/>
      <c r="AL1163" s="22" t="n"/>
      <c r="AM1163" s="137" t="n"/>
      <c r="AN1163" s="21" t="n"/>
      <c r="AR1163" s="22" t="n"/>
      <c r="AS1163" s="137" t="n"/>
    </row>
    <row r="1164" hidden="1" outlineLevel="3">
      <c r="A1164" s="8" t="n"/>
      <c r="B1164" s="14" t="n"/>
      <c r="C1164" s="137" t="n"/>
      <c r="D1164" s="137" t="n"/>
      <c r="E1164" s="137" t="n"/>
      <c r="F1164" s="137" t="n"/>
      <c r="G1164" s="137" t="n"/>
      <c r="I1164" s="23" t="n"/>
      <c r="J1164" s="24" t="n"/>
      <c r="K1164" s="24" t="n"/>
      <c r="L1164" s="24" t="n"/>
      <c r="M1164" s="25" t="n"/>
      <c r="N1164" s="137" t="n"/>
      <c r="O1164" s="23" t="n"/>
      <c r="P1164" s="24" t="n"/>
      <c r="Q1164" s="24" t="n"/>
      <c r="R1164" s="24" t="n"/>
      <c r="S1164" s="25" t="n"/>
      <c r="T1164" s="137" t="n"/>
      <c r="U1164" s="23" t="n"/>
      <c r="V1164" s="24" t="n"/>
      <c r="W1164" s="24" t="n"/>
      <c r="X1164" s="24" t="n"/>
      <c r="Y1164" s="25" t="n"/>
      <c r="Z1164" s="137" t="n"/>
      <c r="AB1164" s="23" t="n"/>
      <c r="AC1164" s="24" t="n"/>
      <c r="AD1164" s="24" t="n"/>
      <c r="AE1164" s="24" t="n"/>
      <c r="AF1164" s="25" t="n"/>
      <c r="AG1164" s="137" t="n"/>
      <c r="AH1164" s="23" t="n"/>
      <c r="AI1164" s="24" t="n"/>
      <c r="AJ1164" s="24" t="n"/>
      <c r="AK1164" s="24" t="n"/>
      <c r="AL1164" s="25" t="n"/>
      <c r="AM1164" s="137" t="n"/>
      <c r="AN1164" s="23" t="n"/>
      <c r="AO1164" s="24" t="n"/>
      <c r="AP1164" s="24" t="n"/>
      <c r="AQ1164" s="24" t="n"/>
      <c r="AR1164" s="25" t="n"/>
      <c r="AS1164" s="137" t="n"/>
    </row>
    <row r="1165" hidden="1" outlineLevel="2">
      <c r="A1165" s="8" t="n"/>
      <c r="B1165" s="14" t="n"/>
      <c r="C1165" s="137" t="n"/>
      <c r="D1165" s="137" t="n"/>
      <c r="E1165" s="137" t="n"/>
      <c r="F1165" s="137" t="n"/>
      <c r="G1165" s="137" t="n"/>
      <c r="I1165" s="95" t="inlineStr">
        <is>
          <t>Projétil</t>
        </is>
      </c>
      <c r="J1165" s="17" t="n"/>
      <c r="K1165" s="71">
        <f>DADOS_INVOC!$QE$70</f>
        <v/>
      </c>
      <c r="L1165" s="17" t="n"/>
      <c r="M1165" s="71">
        <f>DADOS_INVOC!$QA$70</f>
        <v/>
      </c>
      <c r="N1165" s="137" t="n"/>
      <c r="O1165" s="95" t="inlineStr">
        <is>
          <t>Projétil</t>
        </is>
      </c>
      <c r="P1165" s="17" t="n"/>
      <c r="Q1165" s="71">
        <f>DADOS_INVOC!$QE$71</f>
        <v/>
      </c>
      <c r="R1165" s="17" t="n"/>
      <c r="S1165" s="71">
        <f>DADOS_INVOC!$QA$71</f>
        <v/>
      </c>
      <c r="T1165" s="137" t="n"/>
      <c r="U1165" s="95" t="inlineStr">
        <is>
          <t>Projétil</t>
        </is>
      </c>
      <c r="V1165" s="17" t="n"/>
      <c r="W1165" s="71">
        <f>DADOS_INVOC!$QE$72</f>
        <v/>
      </c>
      <c r="X1165" s="17" t="n"/>
      <c r="Y1165" s="71">
        <f>DADOS_INVOC!$QA$72</f>
        <v/>
      </c>
      <c r="Z1165" s="137" t="n"/>
      <c r="AB1165" s="95" t="inlineStr">
        <is>
          <t>Projétil</t>
        </is>
      </c>
      <c r="AC1165" s="17" t="n"/>
      <c r="AD1165" s="71">
        <f>DADOS_INVOC!$QE$148</f>
        <v/>
      </c>
      <c r="AE1165" s="17" t="n"/>
      <c r="AF1165" s="71">
        <f>DADOS_INVOC!$QA$148</f>
        <v/>
      </c>
      <c r="AG1165" s="137" t="n"/>
      <c r="AH1165" s="95" t="inlineStr">
        <is>
          <t>Projétil</t>
        </is>
      </c>
      <c r="AI1165" s="17" t="n"/>
      <c r="AJ1165" s="71">
        <f>DADOS_INVOC!$QE$149</f>
        <v/>
      </c>
      <c r="AK1165" s="17" t="n"/>
      <c r="AL1165" s="71">
        <f>DADOS_INVOC!$QA$149</f>
        <v/>
      </c>
      <c r="AM1165" s="137" t="n"/>
      <c r="AN1165" s="95" t="inlineStr">
        <is>
          <t>Projétil</t>
        </is>
      </c>
      <c r="AO1165" s="17" t="n"/>
      <c r="AP1165" s="71">
        <f>DADOS_INVOC!$QE$150</f>
        <v/>
      </c>
      <c r="AQ1165" s="17" t="n"/>
      <c r="AR1165" s="71">
        <f>DADOS_INVOC!$QA$150</f>
        <v/>
      </c>
      <c r="AS1165" s="137" t="n"/>
    </row>
    <row r="1166" hidden="1" outlineLevel="2">
      <c r="A1166" s="8" t="n"/>
      <c r="B1166" s="14" t="n"/>
      <c r="C1166" s="137" t="n"/>
      <c r="D1166" s="137" t="n"/>
      <c r="E1166" s="137" t="n"/>
      <c r="F1166" s="137" t="n"/>
      <c r="G1166" s="137" t="n"/>
      <c r="I1166" s="95" t="n"/>
      <c r="J1166" s="17" t="n"/>
      <c r="K1166" s="95" t="n"/>
      <c r="L1166" s="16" t="n"/>
      <c r="M1166" s="17" t="n"/>
      <c r="N1166" s="137" t="n"/>
      <c r="O1166" s="95" t="n"/>
      <c r="P1166" s="17" t="n"/>
      <c r="Q1166" s="95" t="n"/>
      <c r="R1166" s="16" t="n"/>
      <c r="S1166" s="17" t="n"/>
      <c r="T1166" s="137" t="n"/>
      <c r="U1166" s="95" t="n"/>
      <c r="V1166" s="17" t="n"/>
      <c r="W1166" s="95" t="n"/>
      <c r="X1166" s="16" t="n"/>
      <c r="Y1166" s="17" t="n"/>
      <c r="Z1166" s="137" t="n"/>
      <c r="AB1166" s="95" t="n"/>
      <c r="AC1166" s="17" t="n"/>
      <c r="AD1166" s="95" t="n"/>
      <c r="AE1166" s="16" t="n"/>
      <c r="AF1166" s="17" t="n"/>
      <c r="AG1166" s="137" t="n"/>
      <c r="AH1166" s="95" t="n"/>
      <c r="AI1166" s="17" t="n"/>
      <c r="AJ1166" s="95" t="n"/>
      <c r="AK1166" s="16" t="n"/>
      <c r="AL1166" s="17" t="n"/>
      <c r="AM1166" s="137" t="n"/>
      <c r="AN1166" s="95" t="n"/>
      <c r="AO1166" s="17" t="n"/>
      <c r="AP1166" s="95" t="n"/>
      <c r="AQ1166" s="16" t="n"/>
      <c r="AR1166" s="17" t="n"/>
      <c r="AS1166" s="137" t="n"/>
    </row>
    <row r="1167" hidden="1" outlineLevel="2">
      <c r="A1167" s="8" t="n"/>
      <c r="B1167" s="14" t="n"/>
      <c r="C1167" s="137" t="n"/>
      <c r="D1167" s="137" t="n"/>
      <c r="E1167" s="137" t="n"/>
      <c r="F1167" s="137" t="n"/>
      <c r="G1167" s="137" t="n"/>
      <c r="I1167" s="95">
        <f>DADOS_INVOC!$QB$70</f>
        <v/>
      </c>
      <c r="J1167" s="17" t="n"/>
      <c r="K1167" s="95">
        <f>DADOS_INVOC!$QD$70</f>
        <v/>
      </c>
      <c r="L1167" s="16" t="n"/>
      <c r="M1167" s="17" t="n"/>
      <c r="N1167" s="137" t="n"/>
      <c r="O1167" s="95">
        <f>DADOS_INVOC!$QB$71</f>
        <v/>
      </c>
      <c r="P1167" s="17" t="n"/>
      <c r="Q1167" s="95">
        <f>DADOS_INVOC!$QD$71</f>
        <v/>
      </c>
      <c r="R1167" s="16" t="n"/>
      <c r="S1167" s="17" t="n"/>
      <c r="T1167" s="137" t="n"/>
      <c r="U1167" s="95">
        <f>DADOS_INVOC!$QB$72</f>
        <v/>
      </c>
      <c r="V1167" s="17" t="n"/>
      <c r="W1167" s="95">
        <f>DADOS_INVOC!$QD$72</f>
        <v/>
      </c>
      <c r="X1167" s="16" t="n"/>
      <c r="Y1167" s="17" t="n"/>
      <c r="Z1167" s="137" t="n"/>
      <c r="AB1167" s="95">
        <f>DADOS_INVOC!$QB$148</f>
        <v/>
      </c>
      <c r="AC1167" s="17" t="n"/>
      <c r="AD1167" s="95">
        <f>DADOS_INVOC!$QD$148</f>
        <v/>
      </c>
      <c r="AE1167" s="16" t="n"/>
      <c r="AF1167" s="17" t="n"/>
      <c r="AG1167" s="137" t="n"/>
      <c r="AH1167" s="95">
        <f>DADOS_INVOC!$QB$149</f>
        <v/>
      </c>
      <c r="AI1167" s="17" t="n"/>
      <c r="AJ1167" s="95">
        <f>DADOS_INVOC!$QD$149</f>
        <v/>
      </c>
      <c r="AK1167" s="16" t="n"/>
      <c r="AL1167" s="17" t="n"/>
      <c r="AM1167" s="137" t="n"/>
      <c r="AN1167" s="95">
        <f>DADOS_INVOC!$QB$150</f>
        <v/>
      </c>
      <c r="AO1167" s="17" t="n"/>
      <c r="AP1167" s="95">
        <f>DADOS_INVOC!$QD$150</f>
        <v/>
      </c>
      <c r="AQ1167" s="16" t="n"/>
      <c r="AR1167" s="17" t="n"/>
      <c r="AS1167" s="137" t="n"/>
    </row>
    <row r="1168" hidden="1" outlineLevel="2">
      <c r="A1168" s="8" t="n"/>
      <c r="B1168" s="14" t="n"/>
      <c r="C1168" s="137" t="n"/>
      <c r="D1168" s="137" t="n"/>
      <c r="E1168" s="137" t="n"/>
      <c r="F1168" s="137" t="n"/>
      <c r="G1168" s="137" t="n"/>
      <c r="I1168" s="143">
        <f>DADOS_INVOC!$QJ$70</f>
        <v/>
      </c>
      <c r="J1168" s="16" t="n"/>
      <c r="K1168" s="16" t="n"/>
      <c r="L1168" s="16" t="n"/>
      <c r="M1168" s="17" t="n"/>
      <c r="N1168" s="137" t="n"/>
      <c r="O1168" s="143">
        <f>DADOS_INVOC!$QJ$71</f>
        <v/>
      </c>
      <c r="P1168" s="16" t="n"/>
      <c r="Q1168" s="16" t="n"/>
      <c r="R1168" s="16" t="n"/>
      <c r="S1168" s="17" t="n"/>
      <c r="T1168" s="137" t="n"/>
      <c r="U1168" s="143">
        <f>DADOS_INVOC!$QJ$72</f>
        <v/>
      </c>
      <c r="V1168" s="16" t="n"/>
      <c r="W1168" s="16" t="n"/>
      <c r="X1168" s="16" t="n"/>
      <c r="Y1168" s="17" t="n"/>
      <c r="Z1168" s="137" t="n"/>
      <c r="AB1168" s="143">
        <f>DADOS_INVOC!$QJ$148</f>
        <v/>
      </c>
      <c r="AC1168" s="16" t="n"/>
      <c r="AD1168" s="16" t="n"/>
      <c r="AE1168" s="16" t="n"/>
      <c r="AF1168" s="17" t="n"/>
      <c r="AG1168" s="137" t="n"/>
      <c r="AH1168" s="143">
        <f>DADOS_INVOC!$QJ$149</f>
        <v/>
      </c>
      <c r="AI1168" s="16" t="n"/>
      <c r="AJ1168" s="16" t="n"/>
      <c r="AK1168" s="16" t="n"/>
      <c r="AL1168" s="17" t="n"/>
      <c r="AM1168" s="137" t="n"/>
      <c r="AN1168" s="143">
        <f>DADOS_INVOC!$QJ$150</f>
        <v/>
      </c>
      <c r="AO1168" s="16" t="n"/>
      <c r="AP1168" s="16" t="n"/>
      <c r="AQ1168" s="16" t="n"/>
      <c r="AR1168" s="17" t="n"/>
      <c r="AS1168" s="137" t="n"/>
    </row>
    <row r="1169" hidden="1" outlineLevel="3">
      <c r="A1169" s="8" t="n"/>
      <c r="B1169" s="14" t="n"/>
      <c r="C1169" s="137" t="n"/>
      <c r="D1169" s="137" t="n"/>
      <c r="E1169" s="137" t="n"/>
      <c r="F1169" s="137" t="n"/>
      <c r="G1169" s="137" t="n"/>
      <c r="I1169" s="56" t="inlineStr">
        <is>
          <t>MELHORIAS</t>
        </is>
      </c>
      <c r="J1169" s="144" t="n"/>
      <c r="K1169" s="16" t="n"/>
      <c r="L1169" s="17" t="n"/>
      <c r="M1169" s="143">
        <f>DADOS_INVOC!$QM$70</f>
        <v/>
      </c>
      <c r="N1169" s="137" t="n"/>
      <c r="O1169" s="56" t="inlineStr">
        <is>
          <t>MELHORIAS</t>
        </is>
      </c>
      <c r="P1169" s="144" t="n"/>
      <c r="Q1169" s="16" t="n"/>
      <c r="R1169" s="17" t="n"/>
      <c r="S1169" s="143">
        <f>DADOS_INVOC!$QM$71</f>
        <v/>
      </c>
      <c r="T1169" s="137" t="n"/>
      <c r="U1169" s="56" t="inlineStr">
        <is>
          <t>MELHORIAS</t>
        </is>
      </c>
      <c r="V1169" s="144" t="n"/>
      <c r="W1169" s="16" t="n"/>
      <c r="X1169" s="17" t="n"/>
      <c r="Y1169" s="143">
        <f>DADOS_INVOC!$QM$72</f>
        <v/>
      </c>
      <c r="Z1169" s="137" t="n"/>
      <c r="AB1169" s="56" t="inlineStr">
        <is>
          <t>MELHORIAS</t>
        </is>
      </c>
      <c r="AC1169" s="144" t="n"/>
      <c r="AD1169" s="16" t="n"/>
      <c r="AE1169" s="17" t="n"/>
      <c r="AF1169" s="143">
        <f>DADOS_INVOC!$QM$148</f>
        <v/>
      </c>
      <c r="AG1169" s="137" t="n"/>
      <c r="AH1169" s="56" t="inlineStr">
        <is>
          <t>MELHORIAS</t>
        </is>
      </c>
      <c r="AI1169" s="144" t="n"/>
      <c r="AJ1169" s="16" t="n"/>
      <c r="AK1169" s="17" t="n"/>
      <c r="AL1169" s="143">
        <f>DADOS_INVOC!$QM$149</f>
        <v/>
      </c>
      <c r="AM1169" s="137" t="n"/>
      <c r="AN1169" s="56" t="inlineStr">
        <is>
          <t>MELHORIAS</t>
        </is>
      </c>
      <c r="AO1169" s="144" t="n"/>
      <c r="AP1169" s="16" t="n"/>
      <c r="AQ1169" s="17" t="n"/>
      <c r="AR1169" s="143">
        <f>DADOS_INVOC!$QM$150</f>
        <v/>
      </c>
      <c r="AS1169" s="137" t="n"/>
    </row>
    <row r="1170" hidden="1" outlineLevel="3">
      <c r="A1170" s="8" t="n"/>
      <c r="B1170" s="14" t="n"/>
      <c r="C1170" s="137" t="n"/>
      <c r="D1170" s="137" t="n"/>
      <c r="E1170" s="137" t="n"/>
      <c r="F1170" s="137" t="n"/>
      <c r="G1170" s="137" t="n"/>
      <c r="I1170" s="66" t="n"/>
      <c r="J1170" s="144" t="n"/>
      <c r="K1170" s="16" t="n"/>
      <c r="L1170" s="17" t="n"/>
      <c r="M1170" s="143">
        <f>DADOS_INVOC!$QN$70</f>
        <v/>
      </c>
      <c r="N1170" s="137" t="n"/>
      <c r="O1170" s="66" t="n"/>
      <c r="P1170" s="144" t="n"/>
      <c r="Q1170" s="16" t="n"/>
      <c r="R1170" s="17" t="n"/>
      <c r="S1170" s="143">
        <f>DADOS_INVOC!$QN$71</f>
        <v/>
      </c>
      <c r="T1170" s="137" t="n"/>
      <c r="U1170" s="66" t="n"/>
      <c r="V1170" s="144" t="n"/>
      <c r="W1170" s="16" t="n"/>
      <c r="X1170" s="17" t="n"/>
      <c r="Y1170" s="143">
        <f>DADOS_INVOC!$QN$72</f>
        <v/>
      </c>
      <c r="Z1170" s="137" t="n"/>
      <c r="AB1170" s="66" t="n"/>
      <c r="AC1170" s="144" t="n"/>
      <c r="AD1170" s="16" t="n"/>
      <c r="AE1170" s="17" t="n"/>
      <c r="AF1170" s="143">
        <f>DADOS_INVOC!$QN$148</f>
        <v/>
      </c>
      <c r="AG1170" s="137" t="n"/>
      <c r="AH1170" s="66" t="n"/>
      <c r="AI1170" s="144" t="n"/>
      <c r="AJ1170" s="16" t="n"/>
      <c r="AK1170" s="17" t="n"/>
      <c r="AL1170" s="143">
        <f>DADOS_INVOC!$QN$149</f>
        <v/>
      </c>
      <c r="AM1170" s="137" t="n"/>
      <c r="AN1170" s="66" t="n"/>
      <c r="AO1170" s="144" t="n"/>
      <c r="AP1170" s="16" t="n"/>
      <c r="AQ1170" s="17" t="n"/>
      <c r="AR1170" s="143">
        <f>DADOS_INVOC!$QN$150</f>
        <v/>
      </c>
      <c r="AS1170" s="137" t="n"/>
    </row>
    <row r="1171" hidden="1" outlineLevel="3">
      <c r="A1171" s="8" t="n"/>
      <c r="B1171" s="14" t="n"/>
      <c r="C1171" s="137" t="n"/>
      <c r="D1171" s="137" t="n"/>
      <c r="E1171" s="137" t="n"/>
      <c r="F1171" s="137" t="n"/>
      <c r="G1171" s="137" t="n"/>
      <c r="I1171" s="66" t="n"/>
      <c r="J1171" s="144" t="n"/>
      <c r="K1171" s="16" t="n"/>
      <c r="L1171" s="17" t="n"/>
      <c r="M1171" s="143">
        <f>DADOS_INVOC!$QO$70</f>
        <v/>
      </c>
      <c r="N1171" s="137" t="n"/>
      <c r="O1171" s="66" t="n"/>
      <c r="P1171" s="144" t="n"/>
      <c r="Q1171" s="16" t="n"/>
      <c r="R1171" s="17" t="n"/>
      <c r="S1171" s="143">
        <f>DADOS_INVOC!$QO$71</f>
        <v/>
      </c>
      <c r="T1171" s="137" t="n"/>
      <c r="U1171" s="66" t="n"/>
      <c r="V1171" s="144" t="n"/>
      <c r="W1171" s="16" t="n"/>
      <c r="X1171" s="17" t="n"/>
      <c r="Y1171" s="143">
        <f>DADOS_INVOC!$QO$72</f>
        <v/>
      </c>
      <c r="Z1171" s="137" t="n"/>
      <c r="AB1171" s="66" t="n"/>
      <c r="AC1171" s="144" t="n"/>
      <c r="AD1171" s="16" t="n"/>
      <c r="AE1171" s="17" t="n"/>
      <c r="AF1171" s="143">
        <f>DADOS_INVOC!$QO$148</f>
        <v/>
      </c>
      <c r="AG1171" s="137" t="n"/>
      <c r="AH1171" s="66" t="n"/>
      <c r="AI1171" s="144" t="n"/>
      <c r="AJ1171" s="16" t="n"/>
      <c r="AK1171" s="17" t="n"/>
      <c r="AL1171" s="143">
        <f>DADOS_INVOC!$QO$149</f>
        <v/>
      </c>
      <c r="AM1171" s="137" t="n"/>
      <c r="AN1171" s="66" t="n"/>
      <c r="AO1171" s="144" t="n"/>
      <c r="AP1171" s="16" t="n"/>
      <c r="AQ1171" s="17" t="n"/>
      <c r="AR1171" s="143">
        <f>DADOS_INVOC!$QO$150</f>
        <v/>
      </c>
      <c r="AS1171" s="137" t="n"/>
    </row>
    <row r="1172" hidden="1" outlineLevel="3">
      <c r="A1172" s="8" t="n"/>
      <c r="B1172" s="14" t="n"/>
      <c r="C1172" s="137" t="n"/>
      <c r="D1172" s="137" t="n"/>
      <c r="E1172" s="137" t="n"/>
      <c r="F1172" s="137" t="n"/>
      <c r="G1172" s="137" t="n"/>
      <c r="I1172" s="128" t="n"/>
      <c r="J1172" s="144" t="n"/>
      <c r="K1172" s="16" t="n"/>
      <c r="L1172" s="17" t="n"/>
      <c r="M1172" s="143">
        <f>DADOS_INVOC!$QP$70</f>
        <v/>
      </c>
      <c r="N1172" s="137" t="n"/>
      <c r="O1172" s="128" t="n"/>
      <c r="P1172" s="144" t="n"/>
      <c r="Q1172" s="16" t="n"/>
      <c r="R1172" s="17" t="n"/>
      <c r="S1172" s="143">
        <f>DADOS_INVOC!$QP$71</f>
        <v/>
      </c>
      <c r="T1172" s="137" t="n"/>
      <c r="U1172" s="128" t="n"/>
      <c r="V1172" s="144" t="n"/>
      <c r="W1172" s="16" t="n"/>
      <c r="X1172" s="17" t="n"/>
      <c r="Y1172" s="143">
        <f>DADOS_INVOC!$QP$72</f>
        <v/>
      </c>
      <c r="Z1172" s="137" t="n"/>
      <c r="AB1172" s="128" t="n"/>
      <c r="AC1172" s="144" t="n"/>
      <c r="AD1172" s="16" t="n"/>
      <c r="AE1172" s="17" t="n"/>
      <c r="AF1172" s="143">
        <f>DADOS_INVOC!$QP$148</f>
        <v/>
      </c>
      <c r="AG1172" s="137" t="n"/>
      <c r="AH1172" s="128" t="n"/>
      <c r="AI1172" s="144" t="n"/>
      <c r="AJ1172" s="16" t="n"/>
      <c r="AK1172" s="17" t="n"/>
      <c r="AL1172" s="143">
        <f>DADOS_INVOC!$QP$149</f>
        <v/>
      </c>
      <c r="AM1172" s="137" t="n"/>
      <c r="AN1172" s="128" t="n"/>
      <c r="AO1172" s="144" t="n"/>
      <c r="AP1172" s="16" t="n"/>
      <c r="AQ1172" s="17" t="n"/>
      <c r="AR1172" s="143">
        <f>DADOS_INVOC!$QP$150</f>
        <v/>
      </c>
      <c r="AS1172" s="137" t="n"/>
    </row>
    <row r="1173" hidden="1" outlineLevel="3">
      <c r="A1173" s="8" t="n"/>
      <c r="B1173" s="14" t="n"/>
      <c r="C1173" s="137" t="n"/>
      <c r="D1173" s="137" t="n"/>
      <c r="E1173" s="137" t="n"/>
      <c r="F1173" s="137" t="n"/>
      <c r="G1173" s="137" t="n"/>
      <c r="I1173" s="56" t="inlineStr">
        <is>
          <t>RESTRIÇÕES</t>
        </is>
      </c>
      <c r="J1173" s="144" t="n"/>
      <c r="K1173" s="16" t="n"/>
      <c r="L1173" s="17" t="n"/>
      <c r="M1173" s="143">
        <f>DADOS_INVOC!$QQ$70</f>
        <v/>
      </c>
      <c r="N1173" s="137" t="n"/>
      <c r="O1173" s="56" t="inlineStr">
        <is>
          <t>RESTRIÇÕES</t>
        </is>
      </c>
      <c r="P1173" s="144" t="n"/>
      <c r="Q1173" s="16" t="n"/>
      <c r="R1173" s="17" t="n"/>
      <c r="S1173" s="143">
        <f>DADOS_INVOC!$QQ$71</f>
        <v/>
      </c>
      <c r="T1173" s="137" t="n"/>
      <c r="U1173" s="56" t="inlineStr">
        <is>
          <t>RESTRIÇÕES</t>
        </is>
      </c>
      <c r="V1173" s="144" t="n"/>
      <c r="W1173" s="16" t="n"/>
      <c r="X1173" s="17" t="n"/>
      <c r="Y1173" s="143">
        <f>DADOS_INVOC!$QQ$72</f>
        <v/>
      </c>
      <c r="Z1173" s="137" t="n"/>
      <c r="AB1173" s="56" t="inlineStr">
        <is>
          <t>RESTRIÇÕES</t>
        </is>
      </c>
      <c r="AC1173" s="144" t="n"/>
      <c r="AD1173" s="16" t="n"/>
      <c r="AE1173" s="17" t="n"/>
      <c r="AF1173" s="143">
        <f>DADOS_INVOC!$QQ$148</f>
        <v/>
      </c>
      <c r="AG1173" s="137" t="n"/>
      <c r="AH1173" s="56" t="inlineStr">
        <is>
          <t>RESTRIÇÕES</t>
        </is>
      </c>
      <c r="AI1173" s="144" t="n"/>
      <c r="AJ1173" s="16" t="n"/>
      <c r="AK1173" s="17" t="n"/>
      <c r="AL1173" s="143">
        <f>DADOS_INVOC!$QQ$149</f>
        <v/>
      </c>
      <c r="AM1173" s="137" t="n"/>
      <c r="AN1173" s="56" t="inlineStr">
        <is>
          <t>RESTRIÇÕES</t>
        </is>
      </c>
      <c r="AO1173" s="144" t="n"/>
      <c r="AP1173" s="16" t="n"/>
      <c r="AQ1173" s="17" t="n"/>
      <c r="AR1173" s="143">
        <f>DADOS_INVOC!$QQ$150</f>
        <v/>
      </c>
      <c r="AS1173" s="137" t="n"/>
    </row>
    <row r="1174" hidden="1" outlineLevel="3">
      <c r="A1174" s="8" t="n"/>
      <c r="B1174" s="14" t="n"/>
      <c r="C1174" s="137" t="n"/>
      <c r="D1174" s="137" t="n"/>
      <c r="E1174" s="137" t="n"/>
      <c r="F1174" s="137" t="n"/>
      <c r="G1174" s="137" t="n"/>
      <c r="I1174" s="128" t="n"/>
      <c r="J1174" s="144" t="n"/>
      <c r="K1174" s="16" t="n"/>
      <c r="L1174" s="17" t="n"/>
      <c r="M1174" s="143">
        <f>DADOS_INVOC!$QR$70</f>
        <v/>
      </c>
      <c r="N1174" s="137" t="n"/>
      <c r="O1174" s="128" t="n"/>
      <c r="P1174" s="144" t="n"/>
      <c r="Q1174" s="16" t="n"/>
      <c r="R1174" s="17" t="n"/>
      <c r="S1174" s="143">
        <f>DADOS_INVOC!$QR$71</f>
        <v/>
      </c>
      <c r="T1174" s="137" t="n"/>
      <c r="U1174" s="128" t="n"/>
      <c r="V1174" s="144" t="n"/>
      <c r="W1174" s="16" t="n"/>
      <c r="X1174" s="17" t="n"/>
      <c r="Y1174" s="143">
        <f>DADOS_INVOC!$QR$72</f>
        <v/>
      </c>
      <c r="Z1174" s="137" t="n"/>
      <c r="AB1174" s="128" t="n"/>
      <c r="AC1174" s="144" t="n"/>
      <c r="AD1174" s="16" t="n"/>
      <c r="AE1174" s="17" t="n"/>
      <c r="AF1174" s="143">
        <f>DADOS_INVOC!$QR$148</f>
        <v/>
      </c>
      <c r="AG1174" s="137" t="n"/>
      <c r="AH1174" s="128" t="n"/>
      <c r="AI1174" s="144" t="n"/>
      <c r="AJ1174" s="16" t="n"/>
      <c r="AK1174" s="17" t="n"/>
      <c r="AL1174" s="143">
        <f>DADOS_INVOC!$QR$149</f>
        <v/>
      </c>
      <c r="AM1174" s="137" t="n"/>
      <c r="AN1174" s="128" t="n"/>
      <c r="AO1174" s="144" t="n"/>
      <c r="AP1174" s="16" t="n"/>
      <c r="AQ1174" s="17" t="n"/>
      <c r="AR1174" s="143">
        <f>DADOS_INVOC!$QR$150</f>
        <v/>
      </c>
      <c r="AS1174" s="137" t="n"/>
    </row>
    <row r="1175" hidden="1" outlineLevel="3">
      <c r="A1175" s="8" t="n"/>
      <c r="B1175" s="14" t="n"/>
      <c r="C1175" s="137" t="n"/>
      <c r="D1175" s="137" t="n"/>
      <c r="E1175" s="137" t="n"/>
      <c r="F1175" s="137" t="n"/>
      <c r="G1175" s="137" t="n"/>
      <c r="I1175" s="56" t="inlineStr">
        <is>
          <t>CONTA</t>
        </is>
      </c>
      <c r="J1175" s="145">
        <f>DADOS_INVOC!$QK$70</f>
        <v/>
      </c>
      <c r="K1175" s="16" t="n"/>
      <c r="L1175" s="16" t="n"/>
      <c r="M1175" s="17" t="n"/>
      <c r="N1175" s="137" t="n"/>
      <c r="O1175" s="56" t="inlineStr">
        <is>
          <t>CONTA</t>
        </is>
      </c>
      <c r="P1175" s="145">
        <f>DADOS_INVOC!$QK$71</f>
        <v/>
      </c>
      <c r="Q1175" s="16" t="n"/>
      <c r="R1175" s="16" t="n"/>
      <c r="S1175" s="17" t="n"/>
      <c r="T1175" s="137" t="n"/>
      <c r="U1175" s="56" t="inlineStr">
        <is>
          <t>CONTA</t>
        </is>
      </c>
      <c r="V1175" s="145">
        <f>DADOS_INVOC!$QK$72</f>
        <v/>
      </c>
      <c r="W1175" s="16" t="n"/>
      <c r="X1175" s="16" t="n"/>
      <c r="Y1175" s="17" t="n"/>
      <c r="Z1175" s="137" t="n"/>
      <c r="AB1175" s="56" t="inlineStr">
        <is>
          <t>CONTA</t>
        </is>
      </c>
      <c r="AC1175" s="145">
        <f>DADOS_INVOC!$QK$148</f>
        <v/>
      </c>
      <c r="AD1175" s="16" t="n"/>
      <c r="AE1175" s="16" t="n"/>
      <c r="AF1175" s="17" t="n"/>
      <c r="AG1175" s="137" t="n"/>
      <c r="AH1175" s="56" t="inlineStr">
        <is>
          <t>CONTA</t>
        </is>
      </c>
      <c r="AI1175" s="145">
        <f>DADOS_INVOC!$QK$149</f>
        <v/>
      </c>
      <c r="AJ1175" s="16" t="n"/>
      <c r="AK1175" s="16" t="n"/>
      <c r="AL1175" s="17" t="n"/>
      <c r="AM1175" s="137" t="n"/>
      <c r="AN1175" s="56" t="inlineStr">
        <is>
          <t>CONTA</t>
        </is>
      </c>
      <c r="AO1175" s="145">
        <f>DADOS_INVOC!$QK$150</f>
        <v/>
      </c>
      <c r="AP1175" s="16" t="n"/>
      <c r="AQ1175" s="16" t="n"/>
      <c r="AR1175" s="17" t="n"/>
      <c r="AS1175" s="137" t="n"/>
    </row>
    <row r="1176" hidden="1" outlineLevel="3">
      <c r="A1176" s="8" t="n"/>
      <c r="B1176" s="14" t="n"/>
      <c r="C1176" s="137" t="n"/>
      <c r="D1176" s="137" t="n"/>
      <c r="E1176" s="137" t="n"/>
      <c r="F1176" s="137" t="n"/>
      <c r="G1176" s="137" t="n"/>
      <c r="I1176" s="56" t="inlineStr">
        <is>
          <t>AMPLIAR</t>
        </is>
      </c>
      <c r="J1176" s="145">
        <f>DADOS_INVOC!$QL$70</f>
        <v/>
      </c>
      <c r="K1176" s="19" t="n"/>
      <c r="L1176" s="19" t="n"/>
      <c r="M1176" s="20" t="n"/>
      <c r="N1176" s="137" t="n"/>
      <c r="O1176" s="56" t="inlineStr">
        <is>
          <t>AMPLIAR</t>
        </is>
      </c>
      <c r="P1176" s="145">
        <f>DADOS_INVOC!$QL$71</f>
        <v/>
      </c>
      <c r="Q1176" s="19" t="n"/>
      <c r="R1176" s="19" t="n"/>
      <c r="S1176" s="20" t="n"/>
      <c r="T1176" s="137" t="n"/>
      <c r="U1176" s="56" t="inlineStr">
        <is>
          <t>AMPLIAR</t>
        </is>
      </c>
      <c r="V1176" s="145">
        <f>DADOS_INVOC!$QL$72</f>
        <v/>
      </c>
      <c r="W1176" s="19" t="n"/>
      <c r="X1176" s="19" t="n"/>
      <c r="Y1176" s="20" t="n"/>
      <c r="Z1176" s="137" t="n"/>
      <c r="AB1176" s="56" t="inlineStr">
        <is>
          <t>AMPLIAR</t>
        </is>
      </c>
      <c r="AC1176" s="145">
        <f>DADOS_INVOC!$QL$148</f>
        <v/>
      </c>
      <c r="AD1176" s="19" t="n"/>
      <c r="AE1176" s="19" t="n"/>
      <c r="AF1176" s="20" t="n"/>
      <c r="AG1176" s="137" t="n"/>
      <c r="AH1176" s="56" t="inlineStr">
        <is>
          <t>AMPLIAR</t>
        </is>
      </c>
      <c r="AI1176" s="145">
        <f>DADOS_INVOC!$QL$149</f>
        <v/>
      </c>
      <c r="AJ1176" s="19" t="n"/>
      <c r="AK1176" s="19" t="n"/>
      <c r="AL1176" s="20" t="n"/>
      <c r="AM1176" s="137" t="n"/>
      <c r="AN1176" s="56" t="inlineStr">
        <is>
          <t>AMPLIAR</t>
        </is>
      </c>
      <c r="AO1176" s="145">
        <f>DADOS_INVOC!$QL$150</f>
        <v/>
      </c>
      <c r="AP1176" s="19" t="n"/>
      <c r="AQ1176" s="19" t="n"/>
      <c r="AR1176" s="20" t="n"/>
      <c r="AS1176" s="137" t="n"/>
    </row>
    <row r="1177" hidden="1" outlineLevel="3">
      <c r="A1177" s="8" t="n"/>
      <c r="B1177" s="14" t="n"/>
      <c r="C1177" s="137" t="n"/>
      <c r="D1177" s="137" t="n"/>
      <c r="E1177" s="137" t="n"/>
      <c r="F1177" s="137" t="n"/>
      <c r="G1177" s="137" t="n"/>
      <c r="I1177" s="128" t="n"/>
      <c r="J1177" s="23" t="n"/>
      <c r="K1177" s="24" t="n"/>
      <c r="L1177" s="24" t="n"/>
      <c r="M1177" s="25" t="n"/>
      <c r="N1177" s="137" t="n"/>
      <c r="O1177" s="128" t="n"/>
      <c r="P1177" s="23" t="n"/>
      <c r="Q1177" s="24" t="n"/>
      <c r="R1177" s="24" t="n"/>
      <c r="S1177" s="25" t="n"/>
      <c r="T1177" s="137" t="n"/>
      <c r="U1177" s="128" t="n"/>
      <c r="V1177" s="23" t="n"/>
      <c r="W1177" s="24" t="n"/>
      <c r="X1177" s="24" t="n"/>
      <c r="Y1177" s="25" t="n"/>
      <c r="Z1177" s="137" t="n"/>
      <c r="AB1177" s="128" t="n"/>
      <c r="AC1177" s="23" t="n"/>
      <c r="AD1177" s="24" t="n"/>
      <c r="AE1177" s="24" t="n"/>
      <c r="AF1177" s="25" t="n"/>
      <c r="AG1177" s="137" t="n"/>
      <c r="AH1177" s="128" t="n"/>
      <c r="AI1177" s="23" t="n"/>
      <c r="AJ1177" s="24" t="n"/>
      <c r="AK1177" s="24" t="n"/>
      <c r="AL1177" s="25" t="n"/>
      <c r="AM1177" s="137" t="n"/>
      <c r="AN1177" s="128" t="n"/>
      <c r="AO1177" s="23" t="n"/>
      <c r="AP1177" s="24" t="n"/>
      <c r="AQ1177" s="24" t="n"/>
      <c r="AR1177" s="25" t="n"/>
      <c r="AS1177" s="137" t="n"/>
    </row>
    <row r="1178" hidden="1" outlineLevel="3">
      <c r="A1178" s="8" t="n"/>
      <c r="B1178" s="14" t="n"/>
      <c r="C1178" s="137" t="n"/>
      <c r="D1178" s="137" t="n"/>
      <c r="E1178" s="137" t="n"/>
      <c r="F1178" s="137" t="n"/>
      <c r="G1178" s="137" t="n"/>
      <c r="I1178" s="145">
        <f>DADOS_INVOC!$PY$70</f>
        <v/>
      </c>
      <c r="J1178" s="19" t="n"/>
      <c r="K1178" s="19" t="n"/>
      <c r="L1178" s="19" t="n"/>
      <c r="M1178" s="20" t="n"/>
      <c r="N1178" s="137" t="n"/>
      <c r="O1178" s="145">
        <f>DADOS_INVOC!$PY$71</f>
        <v/>
      </c>
      <c r="P1178" s="19" t="n"/>
      <c r="Q1178" s="19" t="n"/>
      <c r="R1178" s="19" t="n"/>
      <c r="S1178" s="20" t="n"/>
      <c r="T1178" s="137" t="n"/>
      <c r="U1178" s="145">
        <f>DADOS_INVOC!$PY$72</f>
        <v/>
      </c>
      <c r="V1178" s="19" t="n"/>
      <c r="W1178" s="19" t="n"/>
      <c r="X1178" s="19" t="n"/>
      <c r="Y1178" s="20" t="n"/>
      <c r="Z1178" s="137" t="n"/>
      <c r="AB1178" s="145">
        <f>DADOS_INVOC!$PY$148</f>
        <v/>
      </c>
      <c r="AC1178" s="19" t="n"/>
      <c r="AD1178" s="19" t="n"/>
      <c r="AE1178" s="19" t="n"/>
      <c r="AF1178" s="20" t="n"/>
      <c r="AG1178" s="137" t="n"/>
      <c r="AH1178" s="145">
        <f>DADOS_INVOC!$PY$149</f>
        <v/>
      </c>
      <c r="AI1178" s="19" t="n"/>
      <c r="AJ1178" s="19" t="n"/>
      <c r="AK1178" s="19" t="n"/>
      <c r="AL1178" s="20" t="n"/>
      <c r="AM1178" s="137" t="n"/>
      <c r="AN1178" s="145">
        <f>DADOS_INVOC!$PY$150</f>
        <v/>
      </c>
      <c r="AO1178" s="19" t="n"/>
      <c r="AP1178" s="19" t="n"/>
      <c r="AQ1178" s="19" t="n"/>
      <c r="AR1178" s="20" t="n"/>
      <c r="AS1178" s="137" t="n"/>
    </row>
    <row r="1179" hidden="1" outlineLevel="3">
      <c r="A1179" s="8" t="n"/>
      <c r="B1179" s="14" t="n"/>
      <c r="C1179" s="137" t="n"/>
      <c r="D1179" s="137" t="n"/>
      <c r="E1179" s="137" t="n"/>
      <c r="F1179" s="137" t="n"/>
      <c r="G1179" s="137" t="n"/>
      <c r="I1179" s="23" t="n"/>
      <c r="J1179" s="24" t="n"/>
      <c r="K1179" s="24" t="n"/>
      <c r="L1179" s="24" t="n"/>
      <c r="M1179" s="25" t="n"/>
      <c r="N1179" s="137" t="n"/>
      <c r="O1179" s="23" t="n"/>
      <c r="P1179" s="24" t="n"/>
      <c r="Q1179" s="24" t="n"/>
      <c r="R1179" s="24" t="n"/>
      <c r="S1179" s="25" t="n"/>
      <c r="T1179" s="137" t="n"/>
      <c r="U1179" s="23" t="n"/>
      <c r="V1179" s="24" t="n"/>
      <c r="W1179" s="24" t="n"/>
      <c r="X1179" s="24" t="n"/>
      <c r="Y1179" s="25" t="n"/>
      <c r="Z1179" s="137" t="n"/>
      <c r="AB1179" s="23" t="n"/>
      <c r="AC1179" s="24" t="n"/>
      <c r="AD1179" s="24" t="n"/>
      <c r="AE1179" s="24" t="n"/>
      <c r="AF1179" s="25" t="n"/>
      <c r="AG1179" s="137" t="n"/>
      <c r="AH1179" s="23" t="n"/>
      <c r="AI1179" s="24" t="n"/>
      <c r="AJ1179" s="24" t="n"/>
      <c r="AK1179" s="24" t="n"/>
      <c r="AL1179" s="25" t="n"/>
      <c r="AM1179" s="137" t="n"/>
      <c r="AN1179" s="23" t="n"/>
      <c r="AO1179" s="24" t="n"/>
      <c r="AP1179" s="24" t="n"/>
      <c r="AQ1179" s="24" t="n"/>
      <c r="AR1179" s="25" t="n"/>
      <c r="AS1179" s="137" t="n"/>
    </row>
    <row r="1180" hidden="1" outlineLevel="2">
      <c r="A1180" s="8" t="n"/>
      <c r="B1180" s="14" t="n"/>
      <c r="C1180" s="137" t="n"/>
      <c r="D1180" s="137" t="n"/>
      <c r="E1180" s="137" t="n"/>
      <c r="F1180" s="137" t="n"/>
      <c r="G1180" s="137" t="n"/>
      <c r="I1180" s="137" t="n"/>
      <c r="J1180" s="137" t="n"/>
      <c r="K1180" s="137" t="n"/>
      <c r="L1180" s="137" t="n"/>
      <c r="M1180" s="137" t="n"/>
      <c r="N1180" s="137" t="n"/>
      <c r="O1180" s="137" t="n"/>
      <c r="P1180" s="137" t="n"/>
      <c r="Q1180" s="137" t="n"/>
      <c r="R1180" s="137" t="n"/>
      <c r="S1180" s="137" t="n"/>
      <c r="T1180" s="137" t="n"/>
      <c r="U1180" s="137" t="n"/>
      <c r="V1180" s="137" t="n"/>
      <c r="W1180" s="137" t="n"/>
      <c r="X1180" s="137" t="n"/>
      <c r="Y1180" s="137" t="n"/>
      <c r="Z1180" s="137" t="n"/>
      <c r="AB1180" s="137" t="n"/>
      <c r="AC1180" s="137" t="n"/>
      <c r="AD1180" s="137" t="n"/>
      <c r="AE1180" s="137" t="n"/>
      <c r="AF1180" s="137" t="n"/>
      <c r="AG1180" s="137" t="n"/>
      <c r="AH1180" s="137" t="n"/>
      <c r="AI1180" s="137" t="n"/>
      <c r="AJ1180" s="137" t="n"/>
      <c r="AK1180" s="137" t="n"/>
      <c r="AL1180" s="137" t="n"/>
      <c r="AM1180" s="137" t="n"/>
      <c r="AN1180" s="137" t="n"/>
      <c r="AO1180" s="137" t="n"/>
      <c r="AP1180" s="137" t="n"/>
      <c r="AQ1180" s="137" t="n"/>
      <c r="AR1180" s="137" t="n"/>
      <c r="AS1180" s="137" t="n"/>
    </row>
    <row r="1181" hidden="1" outlineLevel="2">
      <c r="A1181" s="8" t="n"/>
      <c r="B1181" s="14" t="n"/>
      <c r="C1181" s="137" t="n"/>
      <c r="D1181" s="137" t="n"/>
      <c r="E1181" s="137" t="n"/>
      <c r="F1181" s="137" t="n"/>
      <c r="G1181" s="137" t="n"/>
      <c r="I1181" s="56">
        <f>DADOS_INVOC!$PZ$73</f>
        <v/>
      </c>
      <c r="J1181" s="16" t="n"/>
      <c r="K1181" s="16" t="n"/>
      <c r="L1181" s="16" t="n"/>
      <c r="M1181" s="17" t="n"/>
      <c r="N1181" s="137" t="n"/>
      <c r="O1181" s="56">
        <f>DADOS_INVOC!$PZ$74</f>
        <v/>
      </c>
      <c r="P1181" s="16" t="n"/>
      <c r="Q1181" s="16" t="n"/>
      <c r="R1181" s="16" t="n"/>
      <c r="S1181" s="17" t="n"/>
      <c r="T1181" s="137" t="n"/>
      <c r="U1181" s="56">
        <f>DADOS_INVOC!$PZ$75</f>
        <v/>
      </c>
      <c r="V1181" s="16" t="n"/>
      <c r="W1181" s="16" t="n"/>
      <c r="X1181" s="16" t="n"/>
      <c r="Y1181" s="17" t="n"/>
      <c r="Z1181" s="137" t="n"/>
      <c r="AB1181" s="56">
        <f>DADOS_INVOC!$PZ$151</f>
        <v/>
      </c>
      <c r="AC1181" s="16" t="n"/>
      <c r="AD1181" s="16" t="n"/>
      <c r="AE1181" s="16" t="n"/>
      <c r="AF1181" s="17" t="n"/>
      <c r="AG1181" s="137" t="n"/>
      <c r="AH1181" s="56">
        <f>DADOS_INVOC!$PZ$152</f>
        <v/>
      </c>
      <c r="AI1181" s="16" t="n"/>
      <c r="AJ1181" s="16" t="n"/>
      <c r="AK1181" s="16" t="n"/>
      <c r="AL1181" s="17" t="n"/>
      <c r="AM1181" s="137" t="n"/>
      <c r="AN1181" s="56">
        <f>DADOS_INVOC!$PZ$153</f>
        <v/>
      </c>
      <c r="AO1181" s="16" t="n"/>
      <c r="AP1181" s="16" t="n"/>
      <c r="AQ1181" s="16" t="n"/>
      <c r="AR1181" s="17" t="n"/>
      <c r="AS1181" s="137" t="n"/>
    </row>
    <row r="1182" hidden="1" outlineLevel="2">
      <c r="A1182" s="8" t="n"/>
      <c r="B1182" s="14" t="n"/>
      <c r="C1182" s="137" t="n"/>
      <c r="D1182" s="137" t="n"/>
      <c r="E1182" s="137" t="n"/>
      <c r="F1182" s="137" t="n"/>
      <c r="G1182" s="137" t="n"/>
      <c r="I1182" s="141" t="n">
        <v>1</v>
      </c>
      <c r="J1182" s="131" t="n"/>
      <c r="K1182" s="16" t="n"/>
      <c r="L1182" s="17" t="n"/>
      <c r="M1182" s="142">
        <f>DADOS_INVOC!$PX$73</f>
        <v/>
      </c>
      <c r="N1182" s="137" t="n"/>
      <c r="O1182" s="141" t="n">
        <v>1</v>
      </c>
      <c r="P1182" s="131" t="n"/>
      <c r="Q1182" s="16" t="n"/>
      <c r="R1182" s="17" t="n"/>
      <c r="S1182" s="142">
        <f>DADOS_INVOC!$PX$74</f>
        <v/>
      </c>
      <c r="T1182" s="137" t="n"/>
      <c r="U1182" s="141" t="n">
        <v>1</v>
      </c>
      <c r="V1182" s="131" t="n"/>
      <c r="W1182" s="16" t="n"/>
      <c r="X1182" s="17" t="n"/>
      <c r="Y1182" s="142">
        <f>DADOS_INVOC!$PX$75</f>
        <v/>
      </c>
      <c r="Z1182" s="137" t="n"/>
      <c r="AB1182" s="141" t="n">
        <v>1</v>
      </c>
      <c r="AC1182" s="131" t="n"/>
      <c r="AD1182" s="16" t="n"/>
      <c r="AE1182" s="17" t="n"/>
      <c r="AF1182" s="142">
        <f>DADOS_INVOC!$PX$151</f>
        <v/>
      </c>
      <c r="AG1182" s="137" t="n"/>
      <c r="AH1182" s="141" t="n">
        <v>1</v>
      </c>
      <c r="AI1182" s="131" t="n"/>
      <c r="AJ1182" s="16" t="n"/>
      <c r="AK1182" s="17" t="n"/>
      <c r="AL1182" s="142">
        <f>DADOS_INVOC!$PX$152</f>
        <v/>
      </c>
      <c r="AM1182" s="137" t="n"/>
      <c r="AN1182" s="141" t="n">
        <v>1</v>
      </c>
      <c r="AO1182" s="131" t="n"/>
      <c r="AP1182" s="16" t="n"/>
      <c r="AQ1182" s="17" t="n"/>
      <c r="AR1182" s="142">
        <f>DADOS_INVOC!$PX$153</f>
        <v/>
      </c>
      <c r="AS1182" s="137" t="n"/>
    </row>
    <row r="1183" hidden="1" outlineLevel="3">
      <c r="A1183" s="8" t="n"/>
      <c r="B1183" s="14" t="n"/>
      <c r="C1183" s="137" t="n"/>
      <c r="D1183" s="137" t="n"/>
      <c r="E1183" s="137" t="n"/>
      <c r="F1183" s="137" t="n"/>
      <c r="G1183" s="137" t="n"/>
      <c r="I1183" s="56" t="inlineStr">
        <is>
          <t>COMO É</t>
        </is>
      </c>
      <c r="J1183" s="16" t="n"/>
      <c r="K1183" s="16" t="n"/>
      <c r="L1183" s="16" t="n"/>
      <c r="M1183" s="17" t="n"/>
      <c r="N1183" s="137" t="n"/>
      <c r="O1183" s="56" t="inlineStr">
        <is>
          <t>COMO É</t>
        </is>
      </c>
      <c r="P1183" s="16" t="n"/>
      <c r="Q1183" s="16" t="n"/>
      <c r="R1183" s="16" t="n"/>
      <c r="S1183" s="17" t="n"/>
      <c r="T1183" s="137" t="n"/>
      <c r="U1183" s="56" t="inlineStr">
        <is>
          <t>COMO É</t>
        </is>
      </c>
      <c r="V1183" s="16" t="n"/>
      <c r="W1183" s="16" t="n"/>
      <c r="X1183" s="16" t="n"/>
      <c r="Y1183" s="17" t="n"/>
      <c r="Z1183" s="137" t="n"/>
      <c r="AB1183" s="56" t="inlineStr">
        <is>
          <t>COMO É</t>
        </is>
      </c>
      <c r="AC1183" s="16" t="n"/>
      <c r="AD1183" s="16" t="n"/>
      <c r="AE1183" s="16" t="n"/>
      <c r="AF1183" s="17" t="n"/>
      <c r="AG1183" s="137" t="n"/>
      <c r="AH1183" s="56" t="inlineStr">
        <is>
          <t>COMO É</t>
        </is>
      </c>
      <c r="AI1183" s="16" t="n"/>
      <c r="AJ1183" s="16" t="n"/>
      <c r="AK1183" s="16" t="n"/>
      <c r="AL1183" s="17" t="n"/>
      <c r="AM1183" s="137" t="n"/>
      <c r="AN1183" s="56" t="inlineStr">
        <is>
          <t>COMO É</t>
        </is>
      </c>
      <c r="AO1183" s="16" t="n"/>
      <c r="AP1183" s="16" t="n"/>
      <c r="AQ1183" s="16" t="n"/>
      <c r="AR1183" s="17" t="n"/>
      <c r="AS1183" s="137" t="n"/>
    </row>
    <row r="1184" hidden="1" outlineLevel="3">
      <c r="A1184" s="8" t="n"/>
      <c r="B1184" s="14" t="n"/>
      <c r="C1184" s="137" t="n"/>
      <c r="D1184" s="137" t="n"/>
      <c r="E1184" s="137" t="n"/>
      <c r="F1184" s="137" t="n"/>
      <c r="G1184" s="137" t="n"/>
      <c r="I1184" s="61" t="n"/>
      <c r="J1184" s="19" t="n"/>
      <c r="K1184" s="19" t="n"/>
      <c r="L1184" s="19" t="n"/>
      <c r="M1184" s="20" t="n"/>
      <c r="N1184" s="137" t="n"/>
      <c r="O1184" s="61" t="n"/>
      <c r="P1184" s="19" t="n"/>
      <c r="Q1184" s="19" t="n"/>
      <c r="R1184" s="19" t="n"/>
      <c r="S1184" s="20" t="n"/>
      <c r="T1184" s="137" t="n"/>
      <c r="U1184" s="61" t="n"/>
      <c r="V1184" s="19" t="n"/>
      <c r="W1184" s="19" t="n"/>
      <c r="X1184" s="19" t="n"/>
      <c r="Y1184" s="20" t="n"/>
      <c r="Z1184" s="137" t="n"/>
      <c r="AB1184" s="61" t="n"/>
      <c r="AC1184" s="19" t="n"/>
      <c r="AD1184" s="19" t="n"/>
      <c r="AE1184" s="19" t="n"/>
      <c r="AF1184" s="20" t="n"/>
      <c r="AG1184" s="137" t="n"/>
      <c r="AH1184" s="61" t="n"/>
      <c r="AI1184" s="19" t="n"/>
      <c r="AJ1184" s="19" t="n"/>
      <c r="AK1184" s="19" t="n"/>
      <c r="AL1184" s="20" t="n"/>
      <c r="AM1184" s="137" t="n"/>
      <c r="AN1184" s="61" t="n"/>
      <c r="AO1184" s="19" t="n"/>
      <c r="AP1184" s="19" t="n"/>
      <c r="AQ1184" s="19" t="n"/>
      <c r="AR1184" s="20" t="n"/>
      <c r="AS1184" s="137" t="n"/>
    </row>
    <row r="1185" hidden="1" outlineLevel="3">
      <c r="A1185" s="8" t="n"/>
      <c r="B1185" s="14" t="n"/>
      <c r="C1185" s="137" t="n"/>
      <c r="D1185" s="137" t="n"/>
      <c r="E1185" s="137" t="n"/>
      <c r="F1185" s="137" t="n"/>
      <c r="G1185" s="137" t="n"/>
      <c r="I1185" s="21" t="n"/>
      <c r="M1185" s="22" t="n"/>
      <c r="N1185" s="137" t="n"/>
      <c r="O1185" s="21" t="n"/>
      <c r="S1185" s="22" t="n"/>
      <c r="T1185" s="137" t="n"/>
      <c r="U1185" s="21" t="n"/>
      <c r="Y1185" s="22" t="n"/>
      <c r="Z1185" s="137" t="n"/>
      <c r="AB1185" s="21" t="n"/>
      <c r="AF1185" s="22" t="n"/>
      <c r="AG1185" s="137" t="n"/>
      <c r="AH1185" s="21" t="n"/>
      <c r="AL1185" s="22" t="n"/>
      <c r="AM1185" s="137" t="n"/>
      <c r="AN1185" s="21" t="n"/>
      <c r="AR1185" s="22" t="n"/>
      <c r="AS1185" s="137" t="n"/>
    </row>
    <row r="1186" hidden="1" outlineLevel="3">
      <c r="A1186" s="8" t="n"/>
      <c r="B1186" s="14" t="n"/>
      <c r="C1186" s="137" t="n"/>
      <c r="D1186" s="137" t="n"/>
      <c r="E1186" s="137" t="n"/>
      <c r="F1186" s="137" t="n"/>
      <c r="G1186" s="137" t="n"/>
      <c r="I1186" s="23" t="n"/>
      <c r="J1186" s="24" t="n"/>
      <c r="K1186" s="24" t="n"/>
      <c r="L1186" s="24" t="n"/>
      <c r="M1186" s="25" t="n"/>
      <c r="N1186" s="137" t="n"/>
      <c r="O1186" s="23" t="n"/>
      <c r="P1186" s="24" t="n"/>
      <c r="Q1186" s="24" t="n"/>
      <c r="R1186" s="24" t="n"/>
      <c r="S1186" s="25" t="n"/>
      <c r="T1186" s="137" t="n"/>
      <c r="U1186" s="23" t="n"/>
      <c r="V1186" s="24" t="n"/>
      <c r="W1186" s="24" t="n"/>
      <c r="X1186" s="24" t="n"/>
      <c r="Y1186" s="25" t="n"/>
      <c r="Z1186" s="137" t="n"/>
      <c r="AB1186" s="23" t="n"/>
      <c r="AC1186" s="24" t="n"/>
      <c r="AD1186" s="24" t="n"/>
      <c r="AE1186" s="24" t="n"/>
      <c r="AF1186" s="25" t="n"/>
      <c r="AG1186" s="137" t="n"/>
      <c r="AH1186" s="23" t="n"/>
      <c r="AI1186" s="24" t="n"/>
      <c r="AJ1186" s="24" t="n"/>
      <c r="AK1186" s="24" t="n"/>
      <c r="AL1186" s="25" t="n"/>
      <c r="AM1186" s="137" t="n"/>
      <c r="AN1186" s="23" t="n"/>
      <c r="AO1186" s="24" t="n"/>
      <c r="AP1186" s="24" t="n"/>
      <c r="AQ1186" s="24" t="n"/>
      <c r="AR1186" s="25" t="n"/>
      <c r="AS1186" s="137" t="n"/>
    </row>
    <row r="1187" hidden="1" outlineLevel="2">
      <c r="A1187" s="8" t="n"/>
      <c r="B1187" s="14" t="n"/>
      <c r="C1187" s="137" t="n"/>
      <c r="D1187" s="137" t="n"/>
      <c r="E1187" s="137" t="n"/>
      <c r="F1187" s="137" t="n"/>
      <c r="G1187" s="137" t="n"/>
      <c r="I1187" s="95" t="inlineStr">
        <is>
          <t>Projétil</t>
        </is>
      </c>
      <c r="J1187" s="17" t="n"/>
      <c r="K1187" s="71">
        <f>DADOS_INVOC!$QE$73</f>
        <v/>
      </c>
      <c r="L1187" s="17" t="n"/>
      <c r="M1187" s="71">
        <f>DADOS_INVOC!$QA$73</f>
        <v/>
      </c>
      <c r="N1187" s="137" t="n"/>
      <c r="O1187" s="95" t="inlineStr">
        <is>
          <t>Projétil</t>
        </is>
      </c>
      <c r="P1187" s="17" t="n"/>
      <c r="Q1187" s="71">
        <f>DADOS_INVOC!$QE$74</f>
        <v/>
      </c>
      <c r="R1187" s="17" t="n"/>
      <c r="S1187" s="71">
        <f>DADOS_INVOC!$QA$74</f>
        <v/>
      </c>
      <c r="T1187" s="137" t="n"/>
      <c r="U1187" s="95" t="inlineStr">
        <is>
          <t>Projétil</t>
        </is>
      </c>
      <c r="V1187" s="17" t="n"/>
      <c r="W1187" s="71">
        <f>DADOS_INVOC!$QE$75</f>
        <v/>
      </c>
      <c r="X1187" s="17" t="n"/>
      <c r="Y1187" s="71">
        <f>DADOS_INVOC!$QA$75</f>
        <v/>
      </c>
      <c r="Z1187" s="137" t="n"/>
      <c r="AB1187" s="95" t="inlineStr">
        <is>
          <t>Projétil</t>
        </is>
      </c>
      <c r="AC1187" s="17" t="n"/>
      <c r="AD1187" s="71">
        <f>DADOS_INVOC!$QE$151</f>
        <v/>
      </c>
      <c r="AE1187" s="17" t="n"/>
      <c r="AF1187" s="71">
        <f>DADOS_INVOC!$QA$151</f>
        <v/>
      </c>
      <c r="AG1187" s="137" t="n"/>
      <c r="AH1187" s="95" t="inlineStr">
        <is>
          <t>Projétil</t>
        </is>
      </c>
      <c r="AI1187" s="17" t="n"/>
      <c r="AJ1187" s="71">
        <f>DADOS_INVOC!$QE$152</f>
        <v/>
      </c>
      <c r="AK1187" s="17" t="n"/>
      <c r="AL1187" s="71">
        <f>DADOS_INVOC!$QA$152</f>
        <v/>
      </c>
      <c r="AM1187" s="137" t="n"/>
      <c r="AN1187" s="95" t="inlineStr">
        <is>
          <t>Projétil</t>
        </is>
      </c>
      <c r="AO1187" s="17" t="n"/>
      <c r="AP1187" s="71">
        <f>DADOS_INVOC!$QE$153</f>
        <v/>
      </c>
      <c r="AQ1187" s="17" t="n"/>
      <c r="AR1187" s="71">
        <f>DADOS_INVOC!$QA$153</f>
        <v/>
      </c>
      <c r="AS1187" s="137" t="n"/>
    </row>
    <row r="1188" hidden="1" outlineLevel="2">
      <c r="A1188" s="8" t="n"/>
      <c r="B1188" s="14" t="n"/>
      <c r="C1188" s="137" t="n"/>
      <c r="D1188" s="137" t="n"/>
      <c r="E1188" s="137" t="n"/>
      <c r="F1188" s="137" t="n"/>
      <c r="G1188" s="137" t="n"/>
      <c r="I1188" s="95" t="n"/>
      <c r="J1188" s="17" t="n"/>
      <c r="K1188" s="95" t="n"/>
      <c r="L1188" s="16" t="n"/>
      <c r="M1188" s="17" t="n"/>
      <c r="N1188" s="137" t="n"/>
      <c r="O1188" s="95" t="n"/>
      <c r="P1188" s="17" t="n"/>
      <c r="Q1188" s="95" t="n"/>
      <c r="R1188" s="16" t="n"/>
      <c r="S1188" s="17" t="n"/>
      <c r="T1188" s="137" t="n"/>
      <c r="U1188" s="95" t="n"/>
      <c r="V1188" s="17" t="n"/>
      <c r="W1188" s="95" t="n"/>
      <c r="X1188" s="16" t="n"/>
      <c r="Y1188" s="17" t="n"/>
      <c r="Z1188" s="137" t="n"/>
      <c r="AB1188" s="95" t="n"/>
      <c r="AC1188" s="17" t="n"/>
      <c r="AD1188" s="95" t="n"/>
      <c r="AE1188" s="16" t="n"/>
      <c r="AF1188" s="17" t="n"/>
      <c r="AG1188" s="137" t="n"/>
      <c r="AH1188" s="95" t="n"/>
      <c r="AI1188" s="17" t="n"/>
      <c r="AJ1188" s="95" t="n"/>
      <c r="AK1188" s="16" t="n"/>
      <c r="AL1188" s="17" t="n"/>
      <c r="AM1188" s="137" t="n"/>
      <c r="AN1188" s="95" t="n"/>
      <c r="AO1188" s="17" t="n"/>
      <c r="AP1188" s="95" t="n"/>
      <c r="AQ1188" s="16" t="n"/>
      <c r="AR1188" s="17" t="n"/>
      <c r="AS1188" s="137" t="n"/>
    </row>
    <row r="1189" hidden="1" outlineLevel="2">
      <c r="A1189" s="8" t="n"/>
      <c r="B1189" s="14" t="n"/>
      <c r="C1189" s="137" t="n"/>
      <c r="D1189" s="137" t="n"/>
      <c r="E1189" s="137" t="n"/>
      <c r="F1189" s="137" t="n"/>
      <c r="G1189" s="137" t="n"/>
      <c r="I1189" s="95">
        <f>DADOS_INVOC!$QB$73</f>
        <v/>
      </c>
      <c r="J1189" s="17" t="n"/>
      <c r="K1189" s="95">
        <f>DADOS_INVOC!$QD$73</f>
        <v/>
      </c>
      <c r="L1189" s="16" t="n"/>
      <c r="M1189" s="17" t="n"/>
      <c r="N1189" s="137" t="n"/>
      <c r="O1189" s="95">
        <f>DADOS_INVOC!$QB$74</f>
        <v/>
      </c>
      <c r="P1189" s="17" t="n"/>
      <c r="Q1189" s="95">
        <f>DADOS_INVOC!$QD$74</f>
        <v/>
      </c>
      <c r="R1189" s="16" t="n"/>
      <c r="S1189" s="17" t="n"/>
      <c r="T1189" s="137" t="n"/>
      <c r="U1189" s="95">
        <f>DADOS_INVOC!$QB$75</f>
        <v/>
      </c>
      <c r="V1189" s="17" t="n"/>
      <c r="W1189" s="95">
        <f>DADOS_INVOC!$QD$75</f>
        <v/>
      </c>
      <c r="X1189" s="16" t="n"/>
      <c r="Y1189" s="17" t="n"/>
      <c r="Z1189" s="137" t="n"/>
      <c r="AB1189" s="95">
        <f>DADOS_INVOC!$QB$151</f>
        <v/>
      </c>
      <c r="AC1189" s="17" t="n"/>
      <c r="AD1189" s="95">
        <f>DADOS_INVOC!$QD$151</f>
        <v/>
      </c>
      <c r="AE1189" s="16" t="n"/>
      <c r="AF1189" s="17" t="n"/>
      <c r="AG1189" s="137" t="n"/>
      <c r="AH1189" s="95">
        <f>DADOS_INVOC!$QB$152</f>
        <v/>
      </c>
      <c r="AI1189" s="17" t="n"/>
      <c r="AJ1189" s="95">
        <f>DADOS_INVOC!$QD$152</f>
        <v/>
      </c>
      <c r="AK1189" s="16" t="n"/>
      <c r="AL1189" s="17" t="n"/>
      <c r="AM1189" s="137" t="n"/>
      <c r="AN1189" s="95">
        <f>DADOS_INVOC!$QB$153</f>
        <v/>
      </c>
      <c r="AO1189" s="17" t="n"/>
      <c r="AP1189" s="95">
        <f>DADOS_INVOC!$QD$153</f>
        <v/>
      </c>
      <c r="AQ1189" s="16" t="n"/>
      <c r="AR1189" s="17" t="n"/>
      <c r="AS1189" s="137" t="n"/>
    </row>
    <row r="1190" hidden="1" outlineLevel="2">
      <c r="A1190" s="8" t="n"/>
      <c r="B1190" s="14" t="n"/>
      <c r="C1190" s="137" t="n"/>
      <c r="D1190" s="137" t="n"/>
      <c r="E1190" s="137" t="n"/>
      <c r="F1190" s="137" t="n"/>
      <c r="G1190" s="137" t="n"/>
      <c r="I1190" s="143">
        <f>DADOS_INVOC!$QJ$73</f>
        <v/>
      </c>
      <c r="J1190" s="16" t="n"/>
      <c r="K1190" s="16" t="n"/>
      <c r="L1190" s="16" t="n"/>
      <c r="M1190" s="17" t="n"/>
      <c r="N1190" s="137" t="n"/>
      <c r="O1190" s="143">
        <f>DADOS_INVOC!$QJ$74</f>
        <v/>
      </c>
      <c r="P1190" s="16" t="n"/>
      <c r="Q1190" s="16" t="n"/>
      <c r="R1190" s="16" t="n"/>
      <c r="S1190" s="17" t="n"/>
      <c r="T1190" s="137" t="n"/>
      <c r="U1190" s="143">
        <f>DADOS_INVOC!$QJ$75</f>
        <v/>
      </c>
      <c r="V1190" s="16" t="n"/>
      <c r="W1190" s="16" t="n"/>
      <c r="X1190" s="16" t="n"/>
      <c r="Y1190" s="17" t="n"/>
      <c r="Z1190" s="137" t="n"/>
      <c r="AB1190" s="143">
        <f>DADOS_INVOC!$QJ$151</f>
        <v/>
      </c>
      <c r="AC1190" s="16" t="n"/>
      <c r="AD1190" s="16" t="n"/>
      <c r="AE1190" s="16" t="n"/>
      <c r="AF1190" s="17" t="n"/>
      <c r="AG1190" s="137" t="n"/>
      <c r="AH1190" s="143">
        <f>DADOS_INVOC!$QJ$152</f>
        <v/>
      </c>
      <c r="AI1190" s="16" t="n"/>
      <c r="AJ1190" s="16" t="n"/>
      <c r="AK1190" s="16" t="n"/>
      <c r="AL1190" s="17" t="n"/>
      <c r="AM1190" s="137" t="n"/>
      <c r="AN1190" s="143">
        <f>DADOS_INVOC!$QJ$153</f>
        <v/>
      </c>
      <c r="AO1190" s="16" t="n"/>
      <c r="AP1190" s="16" t="n"/>
      <c r="AQ1190" s="16" t="n"/>
      <c r="AR1190" s="17" t="n"/>
      <c r="AS1190" s="137" t="n"/>
    </row>
    <row r="1191" hidden="1" outlineLevel="3">
      <c r="A1191" s="8" t="n"/>
      <c r="B1191" s="14" t="n"/>
      <c r="C1191" s="137" t="n"/>
      <c r="D1191" s="137" t="n"/>
      <c r="E1191" s="137" t="n"/>
      <c r="F1191" s="137" t="n"/>
      <c r="G1191" s="137" t="n"/>
      <c r="I1191" s="56" t="inlineStr">
        <is>
          <t>MELHORIAS</t>
        </is>
      </c>
      <c r="J1191" s="144" t="n"/>
      <c r="K1191" s="16" t="n"/>
      <c r="L1191" s="17" t="n"/>
      <c r="M1191" s="143">
        <f>DADOS_INVOC!$QM$73</f>
        <v/>
      </c>
      <c r="N1191" s="137" t="n"/>
      <c r="O1191" s="56" t="inlineStr">
        <is>
          <t>MELHORIAS</t>
        </is>
      </c>
      <c r="P1191" s="144" t="n"/>
      <c r="Q1191" s="16" t="n"/>
      <c r="R1191" s="17" t="n"/>
      <c r="S1191" s="143">
        <f>DADOS_INVOC!$QM$74</f>
        <v/>
      </c>
      <c r="T1191" s="137" t="n"/>
      <c r="U1191" s="56" t="inlineStr">
        <is>
          <t>MELHORIAS</t>
        </is>
      </c>
      <c r="V1191" s="144" t="n"/>
      <c r="W1191" s="16" t="n"/>
      <c r="X1191" s="17" t="n"/>
      <c r="Y1191" s="143">
        <f>DADOS_INVOC!$QM$75</f>
        <v/>
      </c>
      <c r="Z1191" s="137" t="n"/>
      <c r="AB1191" s="56" t="inlineStr">
        <is>
          <t>MELHORIAS</t>
        </is>
      </c>
      <c r="AC1191" s="144" t="n"/>
      <c r="AD1191" s="16" t="n"/>
      <c r="AE1191" s="17" t="n"/>
      <c r="AF1191" s="143">
        <f>DADOS_INVOC!$QM$151</f>
        <v/>
      </c>
      <c r="AG1191" s="137" t="n"/>
      <c r="AH1191" s="56" t="inlineStr">
        <is>
          <t>MELHORIAS</t>
        </is>
      </c>
      <c r="AI1191" s="144" t="n"/>
      <c r="AJ1191" s="16" t="n"/>
      <c r="AK1191" s="17" t="n"/>
      <c r="AL1191" s="143">
        <f>DADOS_INVOC!$QM$152</f>
        <v/>
      </c>
      <c r="AM1191" s="137" t="n"/>
      <c r="AN1191" s="56" t="inlineStr">
        <is>
          <t>MELHORIAS</t>
        </is>
      </c>
      <c r="AO1191" s="144" t="n"/>
      <c r="AP1191" s="16" t="n"/>
      <c r="AQ1191" s="17" t="n"/>
      <c r="AR1191" s="143">
        <f>DADOS_INVOC!$QM$153</f>
        <v/>
      </c>
      <c r="AS1191" s="137" t="n"/>
    </row>
    <row r="1192" hidden="1" outlineLevel="3">
      <c r="A1192" s="8" t="n"/>
      <c r="B1192" s="14" t="n"/>
      <c r="C1192" s="137" t="n"/>
      <c r="D1192" s="137" t="n"/>
      <c r="E1192" s="137" t="n"/>
      <c r="F1192" s="137" t="n"/>
      <c r="G1192" s="137" t="n"/>
      <c r="I1192" s="66" t="n"/>
      <c r="J1192" s="144" t="n"/>
      <c r="K1192" s="16" t="n"/>
      <c r="L1192" s="17" t="n"/>
      <c r="M1192" s="143">
        <f>DADOS_INVOC!$QN$73</f>
        <v/>
      </c>
      <c r="N1192" s="137" t="n"/>
      <c r="O1192" s="66" t="n"/>
      <c r="P1192" s="144" t="n"/>
      <c r="Q1192" s="16" t="n"/>
      <c r="R1192" s="17" t="n"/>
      <c r="S1192" s="143">
        <f>DADOS_INVOC!$QN$74</f>
        <v/>
      </c>
      <c r="T1192" s="137" t="n"/>
      <c r="U1192" s="66" t="n"/>
      <c r="V1192" s="144" t="n"/>
      <c r="W1192" s="16" t="n"/>
      <c r="X1192" s="17" t="n"/>
      <c r="Y1192" s="143">
        <f>DADOS_INVOC!$QN$75</f>
        <v/>
      </c>
      <c r="Z1192" s="137" t="n"/>
      <c r="AB1192" s="66" t="n"/>
      <c r="AC1192" s="144" t="n"/>
      <c r="AD1192" s="16" t="n"/>
      <c r="AE1192" s="17" t="n"/>
      <c r="AF1192" s="143">
        <f>DADOS_INVOC!$QN$151</f>
        <v/>
      </c>
      <c r="AG1192" s="137" t="n"/>
      <c r="AH1192" s="66" t="n"/>
      <c r="AI1192" s="144" t="n"/>
      <c r="AJ1192" s="16" t="n"/>
      <c r="AK1192" s="17" t="n"/>
      <c r="AL1192" s="143">
        <f>DADOS_INVOC!$QN$152</f>
        <v/>
      </c>
      <c r="AM1192" s="137" t="n"/>
      <c r="AN1192" s="66" t="n"/>
      <c r="AO1192" s="144" t="n"/>
      <c r="AP1192" s="16" t="n"/>
      <c r="AQ1192" s="17" t="n"/>
      <c r="AR1192" s="143">
        <f>DADOS_INVOC!$QN$153</f>
        <v/>
      </c>
      <c r="AS1192" s="137" t="n"/>
    </row>
    <row r="1193" hidden="1" outlineLevel="3">
      <c r="A1193" s="8" t="n"/>
      <c r="B1193" s="14" t="n"/>
      <c r="C1193" s="137" t="n"/>
      <c r="D1193" s="137" t="n"/>
      <c r="E1193" s="137" t="n"/>
      <c r="F1193" s="137" t="n"/>
      <c r="G1193" s="137" t="n"/>
      <c r="I1193" s="66" t="n"/>
      <c r="J1193" s="144" t="n"/>
      <c r="K1193" s="16" t="n"/>
      <c r="L1193" s="17" t="n"/>
      <c r="M1193" s="143">
        <f>DADOS_INVOC!$QO$73</f>
        <v/>
      </c>
      <c r="N1193" s="137" t="n"/>
      <c r="O1193" s="66" t="n"/>
      <c r="P1193" s="144" t="n"/>
      <c r="Q1193" s="16" t="n"/>
      <c r="R1193" s="17" t="n"/>
      <c r="S1193" s="143">
        <f>DADOS_INVOC!$QO$74</f>
        <v/>
      </c>
      <c r="T1193" s="137" t="n"/>
      <c r="U1193" s="66" t="n"/>
      <c r="V1193" s="144" t="n"/>
      <c r="W1193" s="16" t="n"/>
      <c r="X1193" s="17" t="n"/>
      <c r="Y1193" s="143">
        <f>DADOS_INVOC!$QO$75</f>
        <v/>
      </c>
      <c r="Z1193" s="137" t="n"/>
      <c r="AB1193" s="66" t="n"/>
      <c r="AC1193" s="144" t="n"/>
      <c r="AD1193" s="16" t="n"/>
      <c r="AE1193" s="17" t="n"/>
      <c r="AF1193" s="143">
        <f>DADOS_INVOC!$QO$151</f>
        <v/>
      </c>
      <c r="AG1193" s="137" t="n"/>
      <c r="AH1193" s="66" t="n"/>
      <c r="AI1193" s="144" t="n"/>
      <c r="AJ1193" s="16" t="n"/>
      <c r="AK1193" s="17" t="n"/>
      <c r="AL1193" s="143">
        <f>DADOS_INVOC!$QO$152</f>
        <v/>
      </c>
      <c r="AM1193" s="137" t="n"/>
      <c r="AN1193" s="66" t="n"/>
      <c r="AO1193" s="144" t="n"/>
      <c r="AP1193" s="16" t="n"/>
      <c r="AQ1193" s="17" t="n"/>
      <c r="AR1193" s="143">
        <f>DADOS_INVOC!$QO$153</f>
        <v/>
      </c>
      <c r="AS1193" s="137" t="n"/>
    </row>
    <row r="1194" hidden="1" outlineLevel="3">
      <c r="A1194" s="8" t="n"/>
      <c r="B1194" s="14" t="n"/>
      <c r="C1194" s="137" t="n"/>
      <c r="D1194" s="137" t="n"/>
      <c r="E1194" s="137" t="n"/>
      <c r="F1194" s="137" t="n"/>
      <c r="G1194" s="137" t="n"/>
      <c r="I1194" s="128" t="n"/>
      <c r="J1194" s="144" t="n"/>
      <c r="K1194" s="16" t="n"/>
      <c r="L1194" s="17" t="n"/>
      <c r="M1194" s="143">
        <f>DADOS_INVOC!$QP$73</f>
        <v/>
      </c>
      <c r="N1194" s="137" t="n"/>
      <c r="O1194" s="128" t="n"/>
      <c r="P1194" s="144" t="n"/>
      <c r="Q1194" s="16" t="n"/>
      <c r="R1194" s="17" t="n"/>
      <c r="S1194" s="143">
        <f>DADOS_INVOC!$QP$74</f>
        <v/>
      </c>
      <c r="T1194" s="137" t="n"/>
      <c r="U1194" s="128" t="n"/>
      <c r="V1194" s="144" t="n"/>
      <c r="W1194" s="16" t="n"/>
      <c r="X1194" s="17" t="n"/>
      <c r="Y1194" s="143">
        <f>DADOS_INVOC!$QP$75</f>
        <v/>
      </c>
      <c r="Z1194" s="137" t="n"/>
      <c r="AB1194" s="128" t="n"/>
      <c r="AC1194" s="144" t="n"/>
      <c r="AD1194" s="16" t="n"/>
      <c r="AE1194" s="17" t="n"/>
      <c r="AF1194" s="143">
        <f>DADOS_INVOC!$QP$151</f>
        <v/>
      </c>
      <c r="AG1194" s="137" t="n"/>
      <c r="AH1194" s="128" t="n"/>
      <c r="AI1194" s="144" t="n"/>
      <c r="AJ1194" s="16" t="n"/>
      <c r="AK1194" s="17" t="n"/>
      <c r="AL1194" s="143">
        <f>DADOS_INVOC!$QP$152</f>
        <v/>
      </c>
      <c r="AM1194" s="137" t="n"/>
      <c r="AN1194" s="128" t="n"/>
      <c r="AO1194" s="144" t="n"/>
      <c r="AP1194" s="16" t="n"/>
      <c r="AQ1194" s="17" t="n"/>
      <c r="AR1194" s="143">
        <f>DADOS_INVOC!$QP$153</f>
        <v/>
      </c>
      <c r="AS1194" s="137" t="n"/>
    </row>
    <row r="1195" hidden="1" outlineLevel="3">
      <c r="A1195" s="8" t="n"/>
      <c r="B1195" s="14" t="n"/>
      <c r="C1195" s="137" t="n"/>
      <c r="D1195" s="137" t="n"/>
      <c r="E1195" s="137" t="n"/>
      <c r="F1195" s="137" t="n"/>
      <c r="G1195" s="137" t="n"/>
      <c r="I1195" s="56" t="inlineStr">
        <is>
          <t>RESTRIÇÕES</t>
        </is>
      </c>
      <c r="J1195" s="144" t="n"/>
      <c r="K1195" s="16" t="n"/>
      <c r="L1195" s="17" t="n"/>
      <c r="M1195" s="143">
        <f>DADOS_INVOC!$QQ$73</f>
        <v/>
      </c>
      <c r="N1195" s="137" t="n"/>
      <c r="O1195" s="56" t="inlineStr">
        <is>
          <t>RESTRIÇÕES</t>
        </is>
      </c>
      <c r="P1195" s="144" t="n"/>
      <c r="Q1195" s="16" t="n"/>
      <c r="R1195" s="17" t="n"/>
      <c r="S1195" s="143">
        <f>DADOS_INVOC!$QQ$74</f>
        <v/>
      </c>
      <c r="T1195" s="137" t="n"/>
      <c r="U1195" s="56" t="inlineStr">
        <is>
          <t>RESTRIÇÕES</t>
        </is>
      </c>
      <c r="V1195" s="144" t="n"/>
      <c r="W1195" s="16" t="n"/>
      <c r="X1195" s="17" t="n"/>
      <c r="Y1195" s="143">
        <f>DADOS_INVOC!$QQ$75</f>
        <v/>
      </c>
      <c r="Z1195" s="137" t="n"/>
      <c r="AB1195" s="56" t="inlineStr">
        <is>
          <t>RESTRIÇÕES</t>
        </is>
      </c>
      <c r="AC1195" s="144" t="n"/>
      <c r="AD1195" s="16" t="n"/>
      <c r="AE1195" s="17" t="n"/>
      <c r="AF1195" s="143">
        <f>DADOS_INVOC!$QQ$151</f>
        <v/>
      </c>
      <c r="AG1195" s="137" t="n"/>
      <c r="AH1195" s="56" t="inlineStr">
        <is>
          <t>RESTRIÇÕES</t>
        </is>
      </c>
      <c r="AI1195" s="144" t="n"/>
      <c r="AJ1195" s="16" t="n"/>
      <c r="AK1195" s="17" t="n"/>
      <c r="AL1195" s="143">
        <f>DADOS_INVOC!$QQ$152</f>
        <v/>
      </c>
      <c r="AM1195" s="137" t="n"/>
      <c r="AN1195" s="56" t="inlineStr">
        <is>
          <t>RESTRIÇÕES</t>
        </is>
      </c>
      <c r="AO1195" s="144" t="n"/>
      <c r="AP1195" s="16" t="n"/>
      <c r="AQ1195" s="17" t="n"/>
      <c r="AR1195" s="143">
        <f>DADOS_INVOC!$QQ$153</f>
        <v/>
      </c>
      <c r="AS1195" s="137" t="n"/>
    </row>
    <row r="1196" hidden="1" outlineLevel="3">
      <c r="A1196" s="8" t="n"/>
      <c r="B1196" s="14" t="n"/>
      <c r="C1196" s="137" t="n"/>
      <c r="D1196" s="137" t="n"/>
      <c r="E1196" s="137" t="n"/>
      <c r="F1196" s="137" t="n"/>
      <c r="G1196" s="137" t="n"/>
      <c r="I1196" s="128" t="n"/>
      <c r="J1196" s="144" t="n"/>
      <c r="K1196" s="16" t="n"/>
      <c r="L1196" s="17" t="n"/>
      <c r="M1196" s="143">
        <f>DADOS_INVOC!$QR$73</f>
        <v/>
      </c>
      <c r="N1196" s="137" t="n"/>
      <c r="O1196" s="128" t="n"/>
      <c r="P1196" s="144" t="n"/>
      <c r="Q1196" s="16" t="n"/>
      <c r="R1196" s="17" t="n"/>
      <c r="S1196" s="143">
        <f>DADOS_INVOC!$QR$74</f>
        <v/>
      </c>
      <c r="T1196" s="137" t="n"/>
      <c r="U1196" s="128" t="n"/>
      <c r="V1196" s="144" t="n"/>
      <c r="W1196" s="16" t="n"/>
      <c r="X1196" s="17" t="n"/>
      <c r="Y1196" s="143">
        <f>DADOS_INVOC!$QR$75</f>
        <v/>
      </c>
      <c r="Z1196" s="137" t="n"/>
      <c r="AB1196" s="128" t="n"/>
      <c r="AC1196" s="144" t="n"/>
      <c r="AD1196" s="16" t="n"/>
      <c r="AE1196" s="17" t="n"/>
      <c r="AF1196" s="143">
        <f>DADOS_INVOC!$QR$151</f>
        <v/>
      </c>
      <c r="AG1196" s="137" t="n"/>
      <c r="AH1196" s="128" t="n"/>
      <c r="AI1196" s="144" t="n"/>
      <c r="AJ1196" s="16" t="n"/>
      <c r="AK1196" s="17" t="n"/>
      <c r="AL1196" s="143">
        <f>DADOS_INVOC!$QR$152</f>
        <v/>
      </c>
      <c r="AM1196" s="137" t="n"/>
      <c r="AN1196" s="128" t="n"/>
      <c r="AO1196" s="144" t="n"/>
      <c r="AP1196" s="16" t="n"/>
      <c r="AQ1196" s="17" t="n"/>
      <c r="AR1196" s="143">
        <f>DADOS_INVOC!$QR$153</f>
        <v/>
      </c>
      <c r="AS1196" s="137" t="n"/>
    </row>
    <row r="1197" hidden="1" outlineLevel="3">
      <c r="A1197" s="8" t="n"/>
      <c r="B1197" s="14" t="n"/>
      <c r="C1197" s="137" t="n"/>
      <c r="D1197" s="137" t="n"/>
      <c r="E1197" s="137" t="n"/>
      <c r="F1197" s="137" t="n"/>
      <c r="G1197" s="137" t="n"/>
      <c r="I1197" s="56" t="inlineStr">
        <is>
          <t>CONTA</t>
        </is>
      </c>
      <c r="J1197" s="145">
        <f>DADOS_INVOC!$QK$73</f>
        <v/>
      </c>
      <c r="K1197" s="16" t="n"/>
      <c r="L1197" s="16" t="n"/>
      <c r="M1197" s="17" t="n"/>
      <c r="N1197" s="137" t="n"/>
      <c r="O1197" s="56" t="inlineStr">
        <is>
          <t>CONTA</t>
        </is>
      </c>
      <c r="P1197" s="145">
        <f>DADOS_INVOC!$QK$74</f>
        <v/>
      </c>
      <c r="Q1197" s="16" t="n"/>
      <c r="R1197" s="16" t="n"/>
      <c r="S1197" s="17" t="n"/>
      <c r="T1197" s="137" t="n"/>
      <c r="U1197" s="56" t="inlineStr">
        <is>
          <t>CONTA</t>
        </is>
      </c>
      <c r="V1197" s="145">
        <f>DADOS_INVOC!$QK$75</f>
        <v/>
      </c>
      <c r="W1197" s="16" t="n"/>
      <c r="X1197" s="16" t="n"/>
      <c r="Y1197" s="17" t="n"/>
      <c r="Z1197" s="137" t="n"/>
      <c r="AB1197" s="56" t="inlineStr">
        <is>
          <t>CONTA</t>
        </is>
      </c>
      <c r="AC1197" s="145">
        <f>DADOS_INVOC!$QK$151</f>
        <v/>
      </c>
      <c r="AD1197" s="16" t="n"/>
      <c r="AE1197" s="16" t="n"/>
      <c r="AF1197" s="17" t="n"/>
      <c r="AG1197" s="137" t="n"/>
      <c r="AH1197" s="56" t="inlineStr">
        <is>
          <t>CONTA</t>
        </is>
      </c>
      <c r="AI1197" s="145">
        <f>DADOS_INVOC!$QK$152</f>
        <v/>
      </c>
      <c r="AJ1197" s="16" t="n"/>
      <c r="AK1197" s="16" t="n"/>
      <c r="AL1197" s="17" t="n"/>
      <c r="AM1197" s="137" t="n"/>
      <c r="AN1197" s="56" t="inlineStr">
        <is>
          <t>CONTA</t>
        </is>
      </c>
      <c r="AO1197" s="145">
        <f>DADOS_INVOC!$QK$153</f>
        <v/>
      </c>
      <c r="AP1197" s="16" t="n"/>
      <c r="AQ1197" s="16" t="n"/>
      <c r="AR1197" s="17" t="n"/>
      <c r="AS1197" s="137" t="n"/>
    </row>
    <row r="1198" hidden="1" outlineLevel="3">
      <c r="A1198" s="8" t="n"/>
      <c r="B1198" s="14" t="n"/>
      <c r="C1198" s="137" t="n"/>
      <c r="D1198" s="137" t="n"/>
      <c r="E1198" s="137" t="n"/>
      <c r="F1198" s="137" t="n"/>
      <c r="G1198" s="137" t="n"/>
      <c r="I1198" s="56" t="inlineStr">
        <is>
          <t>AMPLIAR</t>
        </is>
      </c>
      <c r="J1198" s="145">
        <f>DADOS_INVOC!$QL$73</f>
        <v/>
      </c>
      <c r="K1198" s="19" t="n"/>
      <c r="L1198" s="19" t="n"/>
      <c r="M1198" s="20" t="n"/>
      <c r="N1198" s="137" t="n"/>
      <c r="O1198" s="56" t="inlineStr">
        <is>
          <t>AMPLIAR</t>
        </is>
      </c>
      <c r="P1198" s="145">
        <f>DADOS_INVOC!$QL$74</f>
        <v/>
      </c>
      <c r="Q1198" s="19" t="n"/>
      <c r="R1198" s="19" t="n"/>
      <c r="S1198" s="20" t="n"/>
      <c r="T1198" s="137" t="n"/>
      <c r="U1198" s="56" t="inlineStr">
        <is>
          <t>AMPLIAR</t>
        </is>
      </c>
      <c r="V1198" s="145">
        <f>DADOS_INVOC!$QL$75</f>
        <v/>
      </c>
      <c r="W1198" s="19" t="n"/>
      <c r="X1198" s="19" t="n"/>
      <c r="Y1198" s="20" t="n"/>
      <c r="Z1198" s="137" t="n"/>
      <c r="AB1198" s="56" t="inlineStr">
        <is>
          <t>AMPLIAR</t>
        </is>
      </c>
      <c r="AC1198" s="145">
        <f>DADOS_INVOC!$QL$151</f>
        <v/>
      </c>
      <c r="AD1198" s="19" t="n"/>
      <c r="AE1198" s="19" t="n"/>
      <c r="AF1198" s="20" t="n"/>
      <c r="AG1198" s="137" t="n"/>
      <c r="AH1198" s="56" t="inlineStr">
        <is>
          <t>AMPLIAR</t>
        </is>
      </c>
      <c r="AI1198" s="145">
        <f>DADOS_INVOC!$QL$152</f>
        <v/>
      </c>
      <c r="AJ1198" s="19" t="n"/>
      <c r="AK1198" s="19" t="n"/>
      <c r="AL1198" s="20" t="n"/>
      <c r="AM1198" s="137" t="n"/>
      <c r="AN1198" s="56" t="inlineStr">
        <is>
          <t>AMPLIAR</t>
        </is>
      </c>
      <c r="AO1198" s="145">
        <f>DADOS_INVOC!$QL$153</f>
        <v/>
      </c>
      <c r="AP1198" s="19" t="n"/>
      <c r="AQ1198" s="19" t="n"/>
      <c r="AR1198" s="20" t="n"/>
      <c r="AS1198" s="137" t="n"/>
    </row>
    <row r="1199" hidden="1" outlineLevel="3">
      <c r="A1199" s="8" t="n"/>
      <c r="B1199" s="14" t="n"/>
      <c r="C1199" s="137" t="n"/>
      <c r="D1199" s="137" t="n"/>
      <c r="E1199" s="137" t="n"/>
      <c r="F1199" s="137" t="n"/>
      <c r="G1199" s="137" t="n"/>
      <c r="I1199" s="128" t="n"/>
      <c r="J1199" s="23" t="n"/>
      <c r="K1199" s="24" t="n"/>
      <c r="L1199" s="24" t="n"/>
      <c r="M1199" s="25" t="n"/>
      <c r="N1199" s="137" t="n"/>
      <c r="O1199" s="128" t="n"/>
      <c r="P1199" s="23" t="n"/>
      <c r="Q1199" s="24" t="n"/>
      <c r="R1199" s="24" t="n"/>
      <c r="S1199" s="25" t="n"/>
      <c r="T1199" s="137" t="n"/>
      <c r="U1199" s="128" t="n"/>
      <c r="V1199" s="23" t="n"/>
      <c r="W1199" s="24" t="n"/>
      <c r="X1199" s="24" t="n"/>
      <c r="Y1199" s="25" t="n"/>
      <c r="Z1199" s="137" t="n"/>
      <c r="AB1199" s="128" t="n"/>
      <c r="AC1199" s="23" t="n"/>
      <c r="AD1199" s="24" t="n"/>
      <c r="AE1199" s="24" t="n"/>
      <c r="AF1199" s="25" t="n"/>
      <c r="AG1199" s="137" t="n"/>
      <c r="AH1199" s="128" t="n"/>
      <c r="AI1199" s="23" t="n"/>
      <c r="AJ1199" s="24" t="n"/>
      <c r="AK1199" s="24" t="n"/>
      <c r="AL1199" s="25" t="n"/>
      <c r="AM1199" s="137" t="n"/>
      <c r="AN1199" s="128" t="n"/>
      <c r="AO1199" s="23" t="n"/>
      <c r="AP1199" s="24" t="n"/>
      <c r="AQ1199" s="24" t="n"/>
      <c r="AR1199" s="25" t="n"/>
      <c r="AS1199" s="137" t="n"/>
    </row>
    <row r="1200" hidden="1" outlineLevel="3">
      <c r="A1200" s="8" t="n"/>
      <c r="B1200" s="14" t="n"/>
      <c r="C1200" s="137" t="n"/>
      <c r="D1200" s="137" t="n"/>
      <c r="E1200" s="137" t="n"/>
      <c r="F1200" s="137" t="n"/>
      <c r="G1200" s="137" t="n"/>
      <c r="I1200" s="145">
        <f>DADOS_INVOC!$PY$73</f>
        <v/>
      </c>
      <c r="J1200" s="19" t="n"/>
      <c r="K1200" s="19" t="n"/>
      <c r="L1200" s="19" t="n"/>
      <c r="M1200" s="20" t="n"/>
      <c r="N1200" s="137" t="n"/>
      <c r="O1200" s="145">
        <f>DADOS_INVOC!$PY$74</f>
        <v/>
      </c>
      <c r="P1200" s="19" t="n"/>
      <c r="Q1200" s="19" t="n"/>
      <c r="R1200" s="19" t="n"/>
      <c r="S1200" s="20" t="n"/>
      <c r="T1200" s="137" t="n"/>
      <c r="U1200" s="145">
        <f>DADOS_INVOC!$PY$75</f>
        <v/>
      </c>
      <c r="V1200" s="19" t="n"/>
      <c r="W1200" s="19" t="n"/>
      <c r="X1200" s="19" t="n"/>
      <c r="Y1200" s="20" t="n"/>
      <c r="Z1200" s="137" t="n"/>
      <c r="AB1200" s="145">
        <f>DADOS_INVOC!$PY$151</f>
        <v/>
      </c>
      <c r="AC1200" s="19" t="n"/>
      <c r="AD1200" s="19" t="n"/>
      <c r="AE1200" s="19" t="n"/>
      <c r="AF1200" s="20" t="n"/>
      <c r="AG1200" s="137" t="n"/>
      <c r="AH1200" s="145">
        <f>DADOS_INVOC!$PY$152</f>
        <v/>
      </c>
      <c r="AI1200" s="19" t="n"/>
      <c r="AJ1200" s="19" t="n"/>
      <c r="AK1200" s="19" t="n"/>
      <c r="AL1200" s="20" t="n"/>
      <c r="AM1200" s="137" t="n"/>
      <c r="AN1200" s="145">
        <f>DADOS_INVOC!$PY$153</f>
        <v/>
      </c>
      <c r="AO1200" s="19" t="n"/>
      <c r="AP1200" s="19" t="n"/>
      <c r="AQ1200" s="19" t="n"/>
      <c r="AR1200" s="20" t="n"/>
      <c r="AS1200" s="137" t="n"/>
    </row>
    <row r="1201" hidden="1" outlineLevel="3">
      <c r="A1201" s="8" t="n"/>
      <c r="B1201" s="14" t="n"/>
      <c r="C1201" s="137" t="n"/>
      <c r="D1201" s="137" t="n"/>
      <c r="E1201" s="137" t="n"/>
      <c r="F1201" s="137" t="n"/>
      <c r="G1201" s="137" t="n"/>
      <c r="I1201" s="23" t="n"/>
      <c r="J1201" s="24" t="n"/>
      <c r="K1201" s="24" t="n"/>
      <c r="L1201" s="24" t="n"/>
      <c r="M1201" s="25" t="n"/>
      <c r="N1201" s="137" t="n"/>
      <c r="O1201" s="23" t="n"/>
      <c r="P1201" s="24" t="n"/>
      <c r="Q1201" s="24" t="n"/>
      <c r="R1201" s="24" t="n"/>
      <c r="S1201" s="25" t="n"/>
      <c r="T1201" s="137" t="n"/>
      <c r="U1201" s="23" t="n"/>
      <c r="V1201" s="24" t="n"/>
      <c r="W1201" s="24" t="n"/>
      <c r="X1201" s="24" t="n"/>
      <c r="Y1201" s="25" t="n"/>
      <c r="Z1201" s="137" t="n"/>
      <c r="AB1201" s="23" t="n"/>
      <c r="AC1201" s="24" t="n"/>
      <c r="AD1201" s="24" t="n"/>
      <c r="AE1201" s="24" t="n"/>
      <c r="AF1201" s="25" t="n"/>
      <c r="AG1201" s="137" t="n"/>
      <c r="AH1201" s="23" t="n"/>
      <c r="AI1201" s="24" t="n"/>
      <c r="AJ1201" s="24" t="n"/>
      <c r="AK1201" s="24" t="n"/>
      <c r="AL1201" s="25" t="n"/>
      <c r="AM1201" s="137" t="n"/>
      <c r="AN1201" s="23" t="n"/>
      <c r="AO1201" s="24" t="n"/>
      <c r="AP1201" s="24" t="n"/>
      <c r="AQ1201" s="24" t="n"/>
      <c r="AR1201" s="25" t="n"/>
      <c r="AS1201" s="137" t="n"/>
    </row>
    <row r="1202" hidden="1" outlineLevel="2">
      <c r="A1202" s="8" t="n"/>
      <c r="B1202" s="14" t="n"/>
      <c r="C1202" s="137" t="n"/>
      <c r="D1202" s="137" t="n"/>
      <c r="E1202" s="137" t="n"/>
      <c r="F1202" s="137" t="n"/>
      <c r="G1202" s="137" t="n"/>
      <c r="I1202" s="137" t="n"/>
      <c r="J1202" s="137" t="n"/>
      <c r="K1202" s="137" t="n"/>
      <c r="L1202" s="137" t="n"/>
      <c r="M1202" s="137" t="n"/>
      <c r="N1202" s="137" t="n"/>
      <c r="O1202" s="137" t="n"/>
      <c r="P1202" s="137" t="n"/>
      <c r="Q1202" s="137" t="n"/>
      <c r="R1202" s="137" t="n"/>
      <c r="S1202" s="137" t="n"/>
      <c r="T1202" s="137" t="n"/>
      <c r="U1202" s="137" t="n"/>
      <c r="V1202" s="137" t="n"/>
      <c r="W1202" s="137" t="n"/>
      <c r="X1202" s="137" t="n"/>
      <c r="Y1202" s="137" t="n"/>
      <c r="Z1202" s="137" t="n"/>
      <c r="AB1202" s="137" t="n"/>
      <c r="AC1202" s="137" t="n"/>
      <c r="AD1202" s="137" t="n"/>
      <c r="AE1202" s="137" t="n"/>
      <c r="AF1202" s="137" t="n"/>
      <c r="AG1202" s="137" t="n"/>
      <c r="AH1202" s="137" t="n"/>
      <c r="AI1202" s="137" t="n"/>
      <c r="AJ1202" s="137" t="n"/>
      <c r="AK1202" s="137" t="n"/>
      <c r="AL1202" s="137" t="n"/>
      <c r="AM1202" s="137" t="n"/>
      <c r="AN1202" s="137" t="n"/>
      <c r="AO1202" s="137" t="n"/>
      <c r="AP1202" s="137" t="n"/>
      <c r="AQ1202" s="137" t="n"/>
      <c r="AR1202" s="137" t="n"/>
      <c r="AS1202" s="137" t="n"/>
    </row>
    <row r="1203" hidden="1" outlineLevel="2">
      <c r="A1203" s="8" t="n"/>
      <c r="B1203" s="14" t="n"/>
      <c r="C1203" s="137" t="n"/>
      <c r="D1203" s="137" t="n"/>
      <c r="E1203" s="137" t="n"/>
      <c r="F1203" s="137" t="n"/>
      <c r="G1203" s="137" t="n"/>
      <c r="I1203" s="56">
        <f>DADOS_INVOC!$PZ$76</f>
        <v/>
      </c>
      <c r="J1203" s="16" t="n"/>
      <c r="K1203" s="16" t="n"/>
      <c r="L1203" s="16" t="n"/>
      <c r="M1203" s="17" t="n"/>
      <c r="N1203" s="137" t="n"/>
      <c r="O1203" s="137" t="n"/>
      <c r="P1203" s="137" t="n"/>
      <c r="Q1203" s="137" t="n"/>
      <c r="R1203" s="137" t="n"/>
      <c r="S1203" s="137" t="n"/>
      <c r="T1203" s="137" t="n"/>
      <c r="U1203" s="137" t="n"/>
      <c r="V1203" s="137" t="n"/>
      <c r="W1203" s="137" t="n"/>
      <c r="X1203" s="137" t="n"/>
      <c r="Y1203" s="137" t="n"/>
      <c r="Z1203" s="137" t="n"/>
      <c r="AB1203" s="56">
        <f>DADOS_INVOC!$PZ$154</f>
        <v/>
      </c>
      <c r="AC1203" s="16" t="n"/>
      <c r="AD1203" s="16" t="n"/>
      <c r="AE1203" s="16" t="n"/>
      <c r="AF1203" s="17" t="n"/>
      <c r="AG1203" s="137" t="n"/>
      <c r="AH1203" s="137" t="n"/>
      <c r="AI1203" s="137" t="n"/>
      <c r="AJ1203" s="137" t="n"/>
      <c r="AK1203" s="137" t="n"/>
      <c r="AL1203" s="137" t="n"/>
      <c r="AM1203" s="137" t="n"/>
      <c r="AN1203" s="137" t="n"/>
      <c r="AO1203" s="137" t="n"/>
      <c r="AP1203" s="137" t="n"/>
      <c r="AQ1203" s="137" t="n"/>
      <c r="AR1203" s="137" t="n"/>
      <c r="AS1203" s="137" t="n"/>
    </row>
    <row r="1204" hidden="1" outlineLevel="2">
      <c r="A1204" s="8" t="n"/>
      <c r="B1204" s="14" t="n"/>
      <c r="C1204" s="137" t="n"/>
      <c r="D1204" s="137" t="n"/>
      <c r="E1204" s="137" t="n"/>
      <c r="F1204" s="137" t="n"/>
      <c r="G1204" s="137" t="n"/>
      <c r="I1204" s="141" t="n">
        <v>1</v>
      </c>
      <c r="J1204" s="131" t="n"/>
      <c r="K1204" s="16" t="n"/>
      <c r="L1204" s="17" t="n"/>
      <c r="M1204" s="142">
        <f>DADOS_INVOC!$PX$76</f>
        <v/>
      </c>
      <c r="N1204" s="137" t="n"/>
      <c r="O1204" s="137" t="n"/>
      <c r="P1204" s="137" t="n"/>
      <c r="Q1204" s="137" t="n"/>
      <c r="R1204" s="137" t="n"/>
      <c r="S1204" s="137" t="n"/>
      <c r="T1204" s="137" t="n"/>
      <c r="U1204" s="137" t="n"/>
      <c r="V1204" s="137" t="n"/>
      <c r="W1204" s="137" t="n"/>
      <c r="X1204" s="137" t="n"/>
      <c r="Y1204" s="137" t="n"/>
      <c r="Z1204" s="137" t="n"/>
      <c r="AB1204" s="141" t="n">
        <v>1</v>
      </c>
      <c r="AC1204" s="131" t="n"/>
      <c r="AD1204" s="16" t="n"/>
      <c r="AE1204" s="17" t="n"/>
      <c r="AF1204" s="142">
        <f>DADOS_INVOC!$PX$154</f>
        <v/>
      </c>
      <c r="AG1204" s="137" t="n"/>
      <c r="AH1204" s="137" t="n"/>
      <c r="AI1204" s="137" t="n"/>
      <c r="AJ1204" s="137" t="n"/>
      <c r="AK1204" s="137" t="n"/>
      <c r="AL1204" s="137" t="n"/>
      <c r="AM1204" s="137" t="n"/>
      <c r="AN1204" s="137" t="n"/>
      <c r="AO1204" s="137" t="n"/>
      <c r="AP1204" s="137" t="n"/>
      <c r="AQ1204" s="137" t="n"/>
      <c r="AR1204" s="137" t="n"/>
      <c r="AS1204" s="137" t="n"/>
    </row>
    <row r="1205" hidden="1" outlineLevel="3">
      <c r="A1205" s="8" t="n"/>
      <c r="B1205" s="14" t="n"/>
      <c r="C1205" s="137" t="n"/>
      <c r="D1205" s="137" t="n"/>
      <c r="E1205" s="137" t="n"/>
      <c r="F1205" s="137" t="n"/>
      <c r="G1205" s="137" t="n"/>
      <c r="I1205" s="56" t="inlineStr">
        <is>
          <t>COMO É</t>
        </is>
      </c>
      <c r="J1205" s="16" t="n"/>
      <c r="K1205" s="16" t="n"/>
      <c r="L1205" s="16" t="n"/>
      <c r="M1205" s="17" t="n"/>
      <c r="N1205" s="137" t="n"/>
      <c r="O1205" s="137" t="n"/>
      <c r="P1205" s="137" t="n"/>
      <c r="Q1205" s="137" t="n"/>
      <c r="R1205" s="137" t="n"/>
      <c r="S1205" s="137" t="n"/>
      <c r="T1205" s="137" t="n"/>
      <c r="U1205" s="137" t="n"/>
      <c r="V1205" s="137" t="n"/>
      <c r="W1205" s="137" t="n"/>
      <c r="X1205" s="137" t="n"/>
      <c r="Y1205" s="137" t="n"/>
      <c r="Z1205" s="137" t="n"/>
      <c r="AB1205" s="56" t="inlineStr">
        <is>
          <t>COMO É</t>
        </is>
      </c>
      <c r="AC1205" s="16" t="n"/>
      <c r="AD1205" s="16" t="n"/>
      <c r="AE1205" s="16" t="n"/>
      <c r="AF1205" s="17" t="n"/>
      <c r="AG1205" s="137" t="n"/>
      <c r="AH1205" s="137" t="n"/>
      <c r="AI1205" s="137" t="n"/>
      <c r="AJ1205" s="137" t="n"/>
      <c r="AK1205" s="137" t="n"/>
      <c r="AL1205" s="137" t="n"/>
      <c r="AM1205" s="137" t="n"/>
      <c r="AN1205" s="137" t="n"/>
      <c r="AO1205" s="137" t="n"/>
      <c r="AP1205" s="137" t="n"/>
      <c r="AQ1205" s="137" t="n"/>
      <c r="AR1205" s="137" t="n"/>
      <c r="AS1205" s="137" t="n"/>
    </row>
    <row r="1206" hidden="1" outlineLevel="3">
      <c r="A1206" s="8" t="n"/>
      <c r="B1206" s="14" t="n"/>
      <c r="C1206" s="137" t="n"/>
      <c r="D1206" s="137" t="n"/>
      <c r="E1206" s="137" t="n"/>
      <c r="F1206" s="137" t="n"/>
      <c r="G1206" s="137" t="n"/>
      <c r="I1206" s="61" t="n"/>
      <c r="J1206" s="19" t="n"/>
      <c r="K1206" s="19" t="n"/>
      <c r="L1206" s="19" t="n"/>
      <c r="M1206" s="20" t="n"/>
      <c r="N1206" s="137" t="n"/>
      <c r="O1206" s="137" t="n"/>
      <c r="P1206" s="137" t="n"/>
      <c r="Q1206" s="137" t="n"/>
      <c r="R1206" s="137" t="n"/>
      <c r="S1206" s="137" t="n"/>
      <c r="T1206" s="137" t="n"/>
      <c r="U1206" s="137" t="n"/>
      <c r="V1206" s="137" t="n"/>
      <c r="W1206" s="137" t="n"/>
      <c r="X1206" s="137" t="n"/>
      <c r="Y1206" s="137" t="n"/>
      <c r="Z1206" s="137" t="n"/>
      <c r="AB1206" s="61" t="n"/>
      <c r="AC1206" s="19" t="n"/>
      <c r="AD1206" s="19" t="n"/>
      <c r="AE1206" s="19" t="n"/>
      <c r="AF1206" s="20" t="n"/>
      <c r="AG1206" s="137" t="n"/>
      <c r="AH1206" s="137" t="n"/>
      <c r="AI1206" s="137" t="n"/>
      <c r="AJ1206" s="137" t="n"/>
      <c r="AK1206" s="137" t="n"/>
      <c r="AL1206" s="137" t="n"/>
      <c r="AM1206" s="137" t="n"/>
      <c r="AN1206" s="137" t="n"/>
      <c r="AO1206" s="137" t="n"/>
      <c r="AP1206" s="137" t="n"/>
      <c r="AQ1206" s="137" t="n"/>
      <c r="AR1206" s="137" t="n"/>
      <c r="AS1206" s="137" t="n"/>
    </row>
    <row r="1207" hidden="1" outlineLevel="3">
      <c r="A1207" s="8" t="n"/>
      <c r="B1207" s="14" t="n"/>
      <c r="C1207" s="137" t="n"/>
      <c r="D1207" s="137" t="n"/>
      <c r="E1207" s="137" t="n"/>
      <c r="F1207" s="137" t="n"/>
      <c r="G1207" s="137" t="n"/>
      <c r="I1207" s="21" t="n"/>
      <c r="M1207" s="22" t="n"/>
      <c r="N1207" s="137" t="n"/>
      <c r="O1207" s="137" t="n"/>
      <c r="P1207" s="137" t="n"/>
      <c r="Q1207" s="137" t="n"/>
      <c r="R1207" s="137" t="n"/>
      <c r="S1207" s="137" t="n"/>
      <c r="T1207" s="137" t="n"/>
      <c r="U1207" s="137" t="n"/>
      <c r="V1207" s="137" t="n"/>
      <c r="W1207" s="137" t="n"/>
      <c r="X1207" s="137" t="n"/>
      <c r="Y1207" s="137" t="n"/>
      <c r="Z1207" s="137" t="n"/>
      <c r="AB1207" s="21" t="n"/>
      <c r="AF1207" s="22" t="n"/>
      <c r="AG1207" s="137" t="n"/>
      <c r="AH1207" s="137" t="n"/>
      <c r="AI1207" s="137" t="n"/>
      <c r="AJ1207" s="137" t="n"/>
      <c r="AK1207" s="137" t="n"/>
      <c r="AL1207" s="137" t="n"/>
      <c r="AM1207" s="137" t="n"/>
      <c r="AN1207" s="137" t="n"/>
      <c r="AO1207" s="137" t="n"/>
      <c r="AP1207" s="137" t="n"/>
      <c r="AQ1207" s="137" t="n"/>
      <c r="AR1207" s="137" t="n"/>
      <c r="AS1207" s="137" t="n"/>
    </row>
    <row r="1208" hidden="1" outlineLevel="3">
      <c r="A1208" s="8" t="n"/>
      <c r="B1208" s="14" t="n"/>
      <c r="C1208" s="137" t="n"/>
      <c r="D1208" s="137" t="n"/>
      <c r="E1208" s="137" t="n"/>
      <c r="F1208" s="137" t="n"/>
      <c r="G1208" s="137" t="n"/>
      <c r="I1208" s="23" t="n"/>
      <c r="J1208" s="24" t="n"/>
      <c r="K1208" s="24" t="n"/>
      <c r="L1208" s="24" t="n"/>
      <c r="M1208" s="25" t="n"/>
      <c r="N1208" s="137" t="n"/>
      <c r="O1208" s="137" t="n"/>
      <c r="P1208" s="137" t="n"/>
      <c r="Q1208" s="137" t="n"/>
      <c r="R1208" s="137" t="n"/>
      <c r="S1208" s="137" t="n"/>
      <c r="T1208" s="137" t="n"/>
      <c r="U1208" s="137" t="n"/>
      <c r="V1208" s="137" t="n"/>
      <c r="W1208" s="137" t="n"/>
      <c r="X1208" s="137" t="n"/>
      <c r="Y1208" s="137" t="n"/>
      <c r="Z1208" s="137" t="n"/>
      <c r="AB1208" s="23" t="n"/>
      <c r="AC1208" s="24" t="n"/>
      <c r="AD1208" s="24" t="n"/>
      <c r="AE1208" s="24" t="n"/>
      <c r="AF1208" s="25" t="n"/>
      <c r="AG1208" s="137" t="n"/>
      <c r="AH1208" s="137" t="n"/>
      <c r="AI1208" s="137" t="n"/>
      <c r="AJ1208" s="137" t="n"/>
      <c r="AK1208" s="137" t="n"/>
      <c r="AL1208" s="137" t="n"/>
      <c r="AM1208" s="137" t="n"/>
      <c r="AN1208" s="137" t="n"/>
      <c r="AO1208" s="137" t="n"/>
      <c r="AP1208" s="137" t="n"/>
      <c r="AQ1208" s="137" t="n"/>
      <c r="AR1208" s="137" t="n"/>
      <c r="AS1208" s="137" t="n"/>
    </row>
    <row r="1209" hidden="1" outlineLevel="2">
      <c r="A1209" s="8" t="n"/>
      <c r="B1209" s="14" t="n"/>
      <c r="C1209" s="137" t="n"/>
      <c r="D1209" s="137" t="n"/>
      <c r="E1209" s="137" t="n"/>
      <c r="F1209" s="137" t="n"/>
      <c r="G1209" s="137" t="n"/>
      <c r="I1209" s="95" t="inlineStr">
        <is>
          <t>Projétil</t>
        </is>
      </c>
      <c r="J1209" s="17" t="n"/>
      <c r="K1209" s="71">
        <f>DADOS_INVOC!$QE$76</f>
        <v/>
      </c>
      <c r="L1209" s="17" t="n"/>
      <c r="M1209" s="71">
        <f>DADOS_INVOC!$QA$76</f>
        <v/>
      </c>
      <c r="N1209" s="137" t="n"/>
      <c r="O1209" s="137" t="n"/>
      <c r="P1209" s="137" t="n"/>
      <c r="Q1209" s="137" t="n"/>
      <c r="R1209" s="137" t="n"/>
      <c r="S1209" s="137" t="n"/>
      <c r="T1209" s="137" t="n"/>
      <c r="U1209" s="137" t="n"/>
      <c r="V1209" s="137" t="n"/>
      <c r="W1209" s="137" t="n"/>
      <c r="X1209" s="137" t="n"/>
      <c r="Y1209" s="137" t="n"/>
      <c r="Z1209" s="137" t="n"/>
      <c r="AB1209" s="95" t="inlineStr">
        <is>
          <t>Projétil</t>
        </is>
      </c>
      <c r="AC1209" s="17" t="n"/>
      <c r="AD1209" s="71">
        <f>DADOS_INVOC!$QE$154</f>
        <v/>
      </c>
      <c r="AE1209" s="17" t="n"/>
      <c r="AF1209" s="71">
        <f>DADOS_INVOC!$QA$154</f>
        <v/>
      </c>
      <c r="AG1209" s="137" t="n"/>
      <c r="AH1209" s="137" t="n"/>
      <c r="AI1209" s="137" t="n"/>
      <c r="AJ1209" s="137" t="n"/>
      <c r="AK1209" s="137" t="n"/>
      <c r="AL1209" s="137" t="n"/>
      <c r="AM1209" s="137" t="n"/>
      <c r="AN1209" s="137" t="n"/>
      <c r="AO1209" s="137" t="n"/>
      <c r="AP1209" s="137" t="n"/>
      <c r="AQ1209" s="137" t="n"/>
      <c r="AR1209" s="137" t="n"/>
      <c r="AS1209" s="137" t="n"/>
    </row>
    <row r="1210" hidden="1" outlineLevel="2">
      <c r="A1210" s="8" t="n"/>
      <c r="B1210" s="14" t="n"/>
      <c r="C1210" s="137" t="n"/>
      <c r="D1210" s="137" t="n"/>
      <c r="E1210" s="137" t="n"/>
      <c r="F1210" s="137" t="n"/>
      <c r="G1210" s="137" t="n"/>
      <c r="I1210" s="95" t="n"/>
      <c r="J1210" s="17" t="n"/>
      <c r="K1210" s="95" t="n"/>
      <c r="L1210" s="16" t="n"/>
      <c r="M1210" s="17" t="n"/>
      <c r="N1210" s="137" t="n"/>
      <c r="O1210" s="137" t="n"/>
      <c r="P1210" s="137" t="n"/>
      <c r="Q1210" s="137" t="n"/>
      <c r="R1210" s="137" t="n"/>
      <c r="S1210" s="137" t="n"/>
      <c r="T1210" s="137" t="n"/>
      <c r="U1210" s="137" t="n"/>
      <c r="V1210" s="137" t="n"/>
      <c r="W1210" s="137" t="n"/>
      <c r="X1210" s="137" t="n"/>
      <c r="Y1210" s="137" t="n"/>
      <c r="Z1210" s="137" t="n"/>
      <c r="AB1210" s="95" t="n"/>
      <c r="AC1210" s="17" t="n"/>
      <c r="AD1210" s="95" t="n"/>
      <c r="AE1210" s="16" t="n"/>
      <c r="AF1210" s="17" t="n"/>
      <c r="AG1210" s="137" t="n"/>
      <c r="AH1210" s="137" t="n"/>
      <c r="AI1210" s="137" t="n"/>
      <c r="AJ1210" s="137" t="n"/>
      <c r="AK1210" s="137" t="n"/>
      <c r="AL1210" s="137" t="n"/>
      <c r="AM1210" s="137" t="n"/>
      <c r="AN1210" s="137" t="n"/>
      <c r="AO1210" s="137" t="n"/>
      <c r="AP1210" s="137" t="n"/>
      <c r="AQ1210" s="137" t="n"/>
      <c r="AR1210" s="137" t="n"/>
      <c r="AS1210" s="137" t="n"/>
    </row>
    <row r="1211" hidden="1" outlineLevel="2">
      <c r="A1211" s="8" t="n"/>
      <c r="B1211" s="14" t="n"/>
      <c r="C1211" s="137" t="n"/>
      <c r="D1211" s="137" t="n"/>
      <c r="E1211" s="137" t="n"/>
      <c r="F1211" s="137" t="n"/>
      <c r="G1211" s="137" t="n"/>
      <c r="I1211" s="95">
        <f>DADOS_INVOC!$QB$76</f>
        <v/>
      </c>
      <c r="J1211" s="17" t="n"/>
      <c r="K1211" s="95">
        <f>DADOS_INVOC!$QD$76</f>
        <v/>
      </c>
      <c r="L1211" s="16" t="n"/>
      <c r="M1211" s="17" t="n"/>
      <c r="N1211" s="137" t="n"/>
      <c r="O1211" s="137" t="n"/>
      <c r="P1211" s="137" t="n"/>
      <c r="Q1211" s="137" t="n"/>
      <c r="R1211" s="137" t="n"/>
      <c r="S1211" s="137" t="n"/>
      <c r="T1211" s="137" t="n"/>
      <c r="U1211" s="137" t="n"/>
      <c r="V1211" s="137" t="n"/>
      <c r="W1211" s="137" t="n"/>
      <c r="X1211" s="137" t="n"/>
      <c r="Y1211" s="137" t="n"/>
      <c r="Z1211" s="137" t="n"/>
      <c r="AB1211" s="95">
        <f>DADOS_INVOC!$QB$154</f>
        <v/>
      </c>
      <c r="AC1211" s="17" t="n"/>
      <c r="AD1211" s="95">
        <f>DADOS_INVOC!$QD$154</f>
        <v/>
      </c>
      <c r="AE1211" s="16" t="n"/>
      <c r="AF1211" s="17" t="n"/>
      <c r="AG1211" s="137" t="n"/>
      <c r="AH1211" s="137" t="n"/>
      <c r="AI1211" s="137" t="n"/>
      <c r="AJ1211" s="137" t="n"/>
      <c r="AK1211" s="137" t="n"/>
      <c r="AL1211" s="137" t="n"/>
      <c r="AM1211" s="137" t="n"/>
      <c r="AN1211" s="137" t="n"/>
      <c r="AO1211" s="137" t="n"/>
      <c r="AP1211" s="137" t="n"/>
      <c r="AQ1211" s="137" t="n"/>
      <c r="AR1211" s="137" t="n"/>
      <c r="AS1211" s="137" t="n"/>
    </row>
    <row r="1212" hidden="1" outlineLevel="2">
      <c r="A1212" s="8" t="n"/>
      <c r="B1212" s="14" t="n"/>
      <c r="C1212" s="137" t="n"/>
      <c r="D1212" s="137" t="n"/>
      <c r="E1212" s="137" t="n"/>
      <c r="F1212" s="137" t="n"/>
      <c r="G1212" s="137" t="n"/>
      <c r="I1212" s="143">
        <f>DADOS_INVOC!$QJ$76</f>
        <v/>
      </c>
      <c r="J1212" s="16" t="n"/>
      <c r="K1212" s="16" t="n"/>
      <c r="L1212" s="16" t="n"/>
      <c r="M1212" s="17" t="n"/>
      <c r="N1212" s="137" t="n"/>
      <c r="O1212" s="137" t="n"/>
      <c r="P1212" s="137" t="n"/>
      <c r="Q1212" s="137" t="n"/>
      <c r="R1212" s="137" t="n"/>
      <c r="S1212" s="137" t="n"/>
      <c r="T1212" s="137" t="n"/>
      <c r="U1212" s="137" t="n"/>
      <c r="V1212" s="137" t="n"/>
      <c r="W1212" s="137" t="n"/>
      <c r="X1212" s="137" t="n"/>
      <c r="Y1212" s="137" t="n"/>
      <c r="Z1212" s="137" t="n"/>
      <c r="AB1212" s="143">
        <f>DADOS_INVOC!$QJ$154</f>
        <v/>
      </c>
      <c r="AC1212" s="16" t="n"/>
      <c r="AD1212" s="16" t="n"/>
      <c r="AE1212" s="16" t="n"/>
      <c r="AF1212" s="17" t="n"/>
      <c r="AG1212" s="137" t="n"/>
      <c r="AH1212" s="137" t="n"/>
      <c r="AI1212" s="137" t="n"/>
      <c r="AJ1212" s="137" t="n"/>
      <c r="AK1212" s="137" t="n"/>
      <c r="AL1212" s="137" t="n"/>
      <c r="AM1212" s="137" t="n"/>
      <c r="AN1212" s="137" t="n"/>
      <c r="AO1212" s="137" t="n"/>
      <c r="AP1212" s="137" t="n"/>
      <c r="AQ1212" s="137" t="n"/>
      <c r="AR1212" s="137" t="n"/>
      <c r="AS1212" s="137" t="n"/>
    </row>
    <row r="1213" hidden="1" outlineLevel="3">
      <c r="A1213" s="8" t="n"/>
      <c r="B1213" s="14" t="n"/>
      <c r="C1213" s="137" t="n"/>
      <c r="D1213" s="137" t="n"/>
      <c r="E1213" s="137" t="n"/>
      <c r="F1213" s="137" t="n"/>
      <c r="G1213" s="137" t="n"/>
      <c r="I1213" s="56" t="inlineStr">
        <is>
          <t>MELHORIAS</t>
        </is>
      </c>
      <c r="J1213" s="144" t="n"/>
      <c r="K1213" s="16" t="n"/>
      <c r="L1213" s="17" t="n"/>
      <c r="M1213" s="143">
        <f>DADOS_INVOC!$QM$76</f>
        <v/>
      </c>
      <c r="N1213" s="137" t="n"/>
      <c r="O1213" s="137" t="n"/>
      <c r="P1213" s="137" t="n"/>
      <c r="Q1213" s="137" t="n"/>
      <c r="R1213" s="137" t="n"/>
      <c r="S1213" s="137" t="n"/>
      <c r="T1213" s="137" t="n"/>
      <c r="U1213" s="137" t="n"/>
      <c r="V1213" s="137" t="n"/>
      <c r="W1213" s="137" t="n"/>
      <c r="X1213" s="137" t="n"/>
      <c r="Y1213" s="137" t="n"/>
      <c r="Z1213" s="137" t="n"/>
      <c r="AB1213" s="56" t="inlineStr">
        <is>
          <t>MELHORIAS</t>
        </is>
      </c>
      <c r="AC1213" s="144" t="n"/>
      <c r="AD1213" s="16" t="n"/>
      <c r="AE1213" s="17" t="n"/>
      <c r="AF1213" s="143">
        <f>DADOS_INVOC!$QM$154</f>
        <v/>
      </c>
      <c r="AG1213" s="137" t="n"/>
      <c r="AH1213" s="137" t="n"/>
      <c r="AI1213" s="137" t="n"/>
      <c r="AJ1213" s="137" t="n"/>
      <c r="AK1213" s="137" t="n"/>
      <c r="AL1213" s="137" t="n"/>
      <c r="AM1213" s="137" t="n"/>
      <c r="AN1213" s="137" t="n"/>
      <c r="AO1213" s="137" t="n"/>
      <c r="AP1213" s="137" t="n"/>
      <c r="AQ1213" s="137" t="n"/>
      <c r="AR1213" s="137" t="n"/>
      <c r="AS1213" s="137" t="n"/>
    </row>
    <row r="1214" hidden="1" outlineLevel="3">
      <c r="A1214" s="8" t="n"/>
      <c r="B1214" s="14" t="n"/>
      <c r="C1214" s="137" t="n"/>
      <c r="D1214" s="137" t="n"/>
      <c r="E1214" s="137" t="n"/>
      <c r="F1214" s="137" t="n"/>
      <c r="G1214" s="137" t="n"/>
      <c r="I1214" s="66" t="n"/>
      <c r="J1214" s="144" t="n"/>
      <c r="K1214" s="16" t="n"/>
      <c r="L1214" s="17" t="n"/>
      <c r="M1214" s="143">
        <f>DADOS_INVOC!$QN$76</f>
        <v/>
      </c>
      <c r="N1214" s="137" t="n"/>
      <c r="O1214" s="137" t="n"/>
      <c r="P1214" s="137" t="n"/>
      <c r="Q1214" s="137" t="n"/>
      <c r="R1214" s="137" t="n"/>
      <c r="S1214" s="137" t="n"/>
      <c r="T1214" s="137" t="n"/>
      <c r="U1214" s="137" t="n"/>
      <c r="V1214" s="137" t="n"/>
      <c r="W1214" s="137" t="n"/>
      <c r="X1214" s="137" t="n"/>
      <c r="Y1214" s="137" t="n"/>
      <c r="Z1214" s="137" t="n"/>
      <c r="AB1214" s="66" t="n"/>
      <c r="AC1214" s="144" t="n"/>
      <c r="AD1214" s="16" t="n"/>
      <c r="AE1214" s="17" t="n"/>
      <c r="AF1214" s="143">
        <f>DADOS_INVOC!$QN$154</f>
        <v/>
      </c>
      <c r="AG1214" s="137" t="n"/>
      <c r="AH1214" s="137" t="n"/>
      <c r="AI1214" s="137" t="n"/>
      <c r="AJ1214" s="137" t="n"/>
      <c r="AK1214" s="137" t="n"/>
      <c r="AL1214" s="137" t="n"/>
      <c r="AM1214" s="137" t="n"/>
      <c r="AN1214" s="137" t="n"/>
      <c r="AO1214" s="137" t="n"/>
      <c r="AP1214" s="137" t="n"/>
      <c r="AQ1214" s="137" t="n"/>
      <c r="AR1214" s="137" t="n"/>
      <c r="AS1214" s="137" t="n"/>
    </row>
    <row r="1215" hidden="1" outlineLevel="3">
      <c r="A1215" s="8" t="n"/>
      <c r="B1215" s="14" t="n"/>
      <c r="C1215" s="137" t="n"/>
      <c r="D1215" s="137" t="n"/>
      <c r="E1215" s="137" t="n"/>
      <c r="F1215" s="137" t="n"/>
      <c r="G1215" s="137" t="n"/>
      <c r="I1215" s="66" t="n"/>
      <c r="J1215" s="144" t="n"/>
      <c r="K1215" s="16" t="n"/>
      <c r="L1215" s="17" t="n"/>
      <c r="M1215" s="143">
        <f>DADOS_INVOC!$QO$76</f>
        <v/>
      </c>
      <c r="N1215" s="137" t="n"/>
      <c r="O1215" s="137" t="n"/>
      <c r="P1215" s="137" t="n"/>
      <c r="Q1215" s="137" t="n"/>
      <c r="R1215" s="137" t="n"/>
      <c r="S1215" s="137" t="n"/>
      <c r="T1215" s="137" t="n"/>
      <c r="U1215" s="137" t="n"/>
      <c r="V1215" s="137" t="n"/>
      <c r="W1215" s="137" t="n"/>
      <c r="X1215" s="137" t="n"/>
      <c r="Y1215" s="137" t="n"/>
      <c r="Z1215" s="137" t="n"/>
      <c r="AB1215" s="66" t="n"/>
      <c r="AC1215" s="144" t="n"/>
      <c r="AD1215" s="16" t="n"/>
      <c r="AE1215" s="17" t="n"/>
      <c r="AF1215" s="143">
        <f>DADOS_INVOC!$QO$154</f>
        <v/>
      </c>
      <c r="AG1215" s="137" t="n"/>
      <c r="AH1215" s="137" t="n"/>
      <c r="AI1215" s="137" t="n"/>
      <c r="AJ1215" s="137" t="n"/>
      <c r="AK1215" s="137" t="n"/>
      <c r="AL1215" s="137" t="n"/>
      <c r="AM1215" s="137" t="n"/>
      <c r="AN1215" s="137" t="n"/>
      <c r="AO1215" s="137" t="n"/>
      <c r="AP1215" s="137" t="n"/>
      <c r="AQ1215" s="137" t="n"/>
      <c r="AR1215" s="137" t="n"/>
      <c r="AS1215" s="137" t="n"/>
    </row>
    <row r="1216" hidden="1" outlineLevel="3">
      <c r="A1216" s="8" t="n"/>
      <c r="B1216" s="14" t="n"/>
      <c r="C1216" s="137" t="n"/>
      <c r="D1216" s="137" t="n"/>
      <c r="E1216" s="137" t="n"/>
      <c r="F1216" s="137" t="n"/>
      <c r="G1216" s="137" t="n"/>
      <c r="I1216" s="128" t="n"/>
      <c r="J1216" s="144" t="n"/>
      <c r="K1216" s="16" t="n"/>
      <c r="L1216" s="17" t="n"/>
      <c r="M1216" s="143">
        <f>DADOS_INVOC!$QP$76</f>
        <v/>
      </c>
      <c r="N1216" s="137" t="n"/>
      <c r="O1216" s="137" t="n"/>
      <c r="P1216" s="137" t="n"/>
      <c r="Q1216" s="137" t="n"/>
      <c r="R1216" s="137" t="n"/>
      <c r="S1216" s="137" t="n"/>
      <c r="T1216" s="137" t="n"/>
      <c r="U1216" s="137" t="n"/>
      <c r="V1216" s="137" t="n"/>
      <c r="W1216" s="137" t="n"/>
      <c r="X1216" s="137" t="n"/>
      <c r="Y1216" s="137" t="n"/>
      <c r="Z1216" s="137" t="n"/>
      <c r="AB1216" s="128" t="n"/>
      <c r="AC1216" s="144" t="n"/>
      <c r="AD1216" s="16" t="n"/>
      <c r="AE1216" s="17" t="n"/>
      <c r="AF1216" s="143">
        <f>DADOS_INVOC!$QP$154</f>
        <v/>
      </c>
      <c r="AG1216" s="137" t="n"/>
      <c r="AH1216" s="137" t="n"/>
      <c r="AI1216" s="137" t="n"/>
      <c r="AJ1216" s="137" t="n"/>
      <c r="AK1216" s="137" t="n"/>
      <c r="AL1216" s="137" t="n"/>
      <c r="AM1216" s="137" t="n"/>
      <c r="AN1216" s="137" t="n"/>
      <c r="AO1216" s="137" t="n"/>
      <c r="AP1216" s="137" t="n"/>
      <c r="AQ1216" s="137" t="n"/>
      <c r="AR1216" s="137" t="n"/>
      <c r="AS1216" s="137" t="n"/>
    </row>
    <row r="1217" hidden="1" outlineLevel="3">
      <c r="A1217" s="8" t="n"/>
      <c r="B1217" s="14" t="n"/>
      <c r="C1217" s="137" t="n"/>
      <c r="D1217" s="137" t="n"/>
      <c r="E1217" s="137" t="n"/>
      <c r="F1217" s="137" t="n"/>
      <c r="G1217" s="137" t="n"/>
      <c r="I1217" s="56" t="inlineStr">
        <is>
          <t>RESTRIÇÕES</t>
        </is>
      </c>
      <c r="J1217" s="144" t="n"/>
      <c r="K1217" s="16" t="n"/>
      <c r="L1217" s="17" t="n"/>
      <c r="M1217" s="143">
        <f>DADOS_INVOC!$QQ$76</f>
        <v/>
      </c>
      <c r="N1217" s="137" t="n"/>
      <c r="O1217" s="137" t="n"/>
      <c r="P1217" s="137" t="n"/>
      <c r="Q1217" s="137" t="n"/>
      <c r="R1217" s="137" t="n"/>
      <c r="S1217" s="137" t="n"/>
      <c r="T1217" s="137" t="n"/>
      <c r="U1217" s="137" t="n"/>
      <c r="V1217" s="137" t="n"/>
      <c r="W1217" s="137" t="n"/>
      <c r="X1217" s="137" t="n"/>
      <c r="Y1217" s="137" t="n"/>
      <c r="Z1217" s="137" t="n"/>
      <c r="AB1217" s="56" t="inlineStr">
        <is>
          <t>RESTRIÇÕES</t>
        </is>
      </c>
      <c r="AC1217" s="144" t="n"/>
      <c r="AD1217" s="16" t="n"/>
      <c r="AE1217" s="17" t="n"/>
      <c r="AF1217" s="143">
        <f>DADOS_INVOC!$QQ$154</f>
        <v/>
      </c>
      <c r="AG1217" s="137" t="n"/>
      <c r="AH1217" s="137" t="n"/>
      <c r="AI1217" s="137" t="n"/>
      <c r="AJ1217" s="137" t="n"/>
      <c r="AK1217" s="137" t="n"/>
      <c r="AL1217" s="137" t="n"/>
      <c r="AM1217" s="137" t="n"/>
      <c r="AN1217" s="137" t="n"/>
      <c r="AO1217" s="137" t="n"/>
      <c r="AP1217" s="137" t="n"/>
      <c r="AQ1217" s="137" t="n"/>
      <c r="AR1217" s="137" t="n"/>
      <c r="AS1217" s="137" t="n"/>
    </row>
    <row r="1218" hidden="1" outlineLevel="3">
      <c r="A1218" s="8" t="n"/>
      <c r="B1218" s="14" t="n"/>
      <c r="C1218" s="137" t="n"/>
      <c r="D1218" s="137" t="n"/>
      <c r="E1218" s="137" t="n"/>
      <c r="F1218" s="137" t="n"/>
      <c r="G1218" s="137" t="n"/>
      <c r="I1218" s="128" t="n"/>
      <c r="J1218" s="144" t="n"/>
      <c r="K1218" s="16" t="n"/>
      <c r="L1218" s="17" t="n"/>
      <c r="M1218" s="143">
        <f>DADOS_INVOC!$QR$76</f>
        <v/>
      </c>
      <c r="N1218" s="137" t="n"/>
      <c r="O1218" s="137" t="n"/>
      <c r="P1218" s="137" t="n"/>
      <c r="Q1218" s="137" t="n"/>
      <c r="R1218" s="137" t="n"/>
      <c r="S1218" s="137" t="n"/>
      <c r="T1218" s="137" t="n"/>
      <c r="U1218" s="137" t="n"/>
      <c r="V1218" s="137" t="n"/>
      <c r="W1218" s="137" t="n"/>
      <c r="X1218" s="137" t="n"/>
      <c r="Y1218" s="137" t="n"/>
      <c r="Z1218" s="137" t="n"/>
      <c r="AB1218" s="128" t="n"/>
      <c r="AC1218" s="144" t="n"/>
      <c r="AD1218" s="16" t="n"/>
      <c r="AE1218" s="17" t="n"/>
      <c r="AF1218" s="143">
        <f>DADOS_INVOC!$QR$154</f>
        <v/>
      </c>
      <c r="AG1218" s="137" t="n"/>
      <c r="AH1218" s="137" t="n"/>
      <c r="AI1218" s="137" t="n"/>
      <c r="AJ1218" s="137" t="n"/>
      <c r="AK1218" s="137" t="n"/>
      <c r="AL1218" s="137" t="n"/>
      <c r="AM1218" s="137" t="n"/>
      <c r="AN1218" s="137" t="n"/>
      <c r="AO1218" s="137" t="n"/>
      <c r="AP1218" s="137" t="n"/>
      <c r="AQ1218" s="137" t="n"/>
      <c r="AR1218" s="137" t="n"/>
      <c r="AS1218" s="137" t="n"/>
    </row>
    <row r="1219" hidden="1" outlineLevel="3">
      <c r="A1219" s="8" t="n"/>
      <c r="B1219" s="14" t="n"/>
      <c r="C1219" s="137" t="n"/>
      <c r="D1219" s="137" t="n"/>
      <c r="E1219" s="137" t="n"/>
      <c r="F1219" s="137" t="n"/>
      <c r="G1219" s="137" t="n"/>
      <c r="I1219" s="56" t="inlineStr">
        <is>
          <t>CONTA</t>
        </is>
      </c>
      <c r="J1219" s="145">
        <f>DADOS_INVOC!$QK$76</f>
        <v/>
      </c>
      <c r="K1219" s="16" t="n"/>
      <c r="L1219" s="16" t="n"/>
      <c r="M1219" s="17" t="n"/>
      <c r="N1219" s="137" t="n"/>
      <c r="O1219" s="137" t="n"/>
      <c r="P1219" s="137" t="n"/>
      <c r="Q1219" s="137" t="n"/>
      <c r="R1219" s="137" t="n"/>
      <c r="S1219" s="137" t="n"/>
      <c r="T1219" s="137" t="n"/>
      <c r="U1219" s="137" t="n"/>
      <c r="V1219" s="137" t="n"/>
      <c r="W1219" s="137" t="n"/>
      <c r="X1219" s="137" t="n"/>
      <c r="Y1219" s="137" t="n"/>
      <c r="Z1219" s="137" t="n"/>
      <c r="AB1219" s="56" t="inlineStr">
        <is>
          <t>CONTA</t>
        </is>
      </c>
      <c r="AC1219" s="145">
        <f>DADOS_INVOC!$QK$154</f>
        <v/>
      </c>
      <c r="AD1219" s="16" t="n"/>
      <c r="AE1219" s="16" t="n"/>
      <c r="AF1219" s="17" t="n"/>
      <c r="AG1219" s="137" t="n"/>
      <c r="AH1219" s="137" t="n"/>
      <c r="AI1219" s="137" t="n"/>
      <c r="AJ1219" s="137" t="n"/>
      <c r="AK1219" s="137" t="n"/>
      <c r="AL1219" s="137" t="n"/>
      <c r="AM1219" s="137" t="n"/>
      <c r="AN1219" s="137" t="n"/>
      <c r="AO1219" s="137" t="n"/>
      <c r="AP1219" s="137" t="n"/>
      <c r="AQ1219" s="137" t="n"/>
      <c r="AR1219" s="137" t="n"/>
      <c r="AS1219" s="137" t="n"/>
    </row>
    <row r="1220" hidden="1" outlineLevel="3">
      <c r="A1220" s="8" t="n"/>
      <c r="B1220" s="14" t="n"/>
      <c r="C1220" s="137" t="n"/>
      <c r="D1220" s="137" t="n"/>
      <c r="E1220" s="137" t="n"/>
      <c r="F1220" s="137" t="n"/>
      <c r="G1220" s="137" t="n"/>
      <c r="I1220" s="56" t="inlineStr">
        <is>
          <t>AMPLIAR</t>
        </is>
      </c>
      <c r="J1220" s="145">
        <f>DADOS_INVOC!$QL$76</f>
        <v/>
      </c>
      <c r="K1220" s="19" t="n"/>
      <c r="L1220" s="19" t="n"/>
      <c r="M1220" s="20" t="n"/>
      <c r="N1220" s="137" t="n"/>
      <c r="O1220" s="137" t="n"/>
      <c r="P1220" s="137" t="n"/>
      <c r="Q1220" s="137" t="n"/>
      <c r="R1220" s="137" t="n"/>
      <c r="S1220" s="137" t="n"/>
      <c r="T1220" s="137" t="n"/>
      <c r="U1220" s="137" t="n"/>
      <c r="V1220" s="137" t="n"/>
      <c r="W1220" s="137" t="n"/>
      <c r="X1220" s="137" t="n"/>
      <c r="Y1220" s="137" t="n"/>
      <c r="Z1220" s="137" t="n"/>
      <c r="AB1220" s="56" t="inlineStr">
        <is>
          <t>AMPLIAR</t>
        </is>
      </c>
      <c r="AC1220" s="145">
        <f>DADOS_INVOC!$QL$154</f>
        <v/>
      </c>
      <c r="AD1220" s="19" t="n"/>
      <c r="AE1220" s="19" t="n"/>
      <c r="AF1220" s="20" t="n"/>
      <c r="AG1220" s="137" t="n"/>
      <c r="AH1220" s="137" t="n"/>
      <c r="AI1220" s="137" t="n"/>
      <c r="AJ1220" s="137" t="n"/>
      <c r="AK1220" s="137" t="n"/>
      <c r="AL1220" s="137" t="n"/>
      <c r="AM1220" s="137" t="n"/>
      <c r="AN1220" s="137" t="n"/>
      <c r="AO1220" s="137" t="n"/>
      <c r="AP1220" s="137" t="n"/>
      <c r="AQ1220" s="137" t="n"/>
      <c r="AR1220" s="137" t="n"/>
      <c r="AS1220" s="137" t="n"/>
    </row>
    <row r="1221" hidden="1" outlineLevel="3">
      <c r="A1221" s="8" t="n"/>
      <c r="B1221" s="14" t="n"/>
      <c r="C1221" s="137" t="n"/>
      <c r="D1221" s="137" t="n"/>
      <c r="E1221" s="137" t="n"/>
      <c r="F1221" s="137" t="n"/>
      <c r="G1221" s="137" t="n"/>
      <c r="I1221" s="128" t="n"/>
      <c r="J1221" s="23" t="n"/>
      <c r="K1221" s="24" t="n"/>
      <c r="L1221" s="24" t="n"/>
      <c r="M1221" s="25" t="n"/>
      <c r="N1221" s="137" t="n"/>
      <c r="O1221" s="137" t="n"/>
      <c r="P1221" s="137" t="n"/>
      <c r="Q1221" s="137" t="n"/>
      <c r="R1221" s="137" t="n"/>
      <c r="S1221" s="137" t="n"/>
      <c r="T1221" s="137" t="n"/>
      <c r="U1221" s="137" t="n"/>
      <c r="V1221" s="137" t="n"/>
      <c r="W1221" s="137" t="n"/>
      <c r="X1221" s="137" t="n"/>
      <c r="Y1221" s="137" t="n"/>
      <c r="Z1221" s="137" t="n"/>
      <c r="AB1221" s="128" t="n"/>
      <c r="AC1221" s="23" t="n"/>
      <c r="AD1221" s="24" t="n"/>
      <c r="AE1221" s="24" t="n"/>
      <c r="AF1221" s="25" t="n"/>
      <c r="AG1221" s="137" t="n"/>
      <c r="AH1221" s="137" t="n"/>
      <c r="AI1221" s="137" t="n"/>
      <c r="AJ1221" s="137" t="n"/>
      <c r="AK1221" s="137" t="n"/>
      <c r="AL1221" s="137" t="n"/>
      <c r="AM1221" s="137" t="n"/>
      <c r="AN1221" s="137" t="n"/>
      <c r="AO1221" s="137" t="n"/>
      <c r="AP1221" s="137" t="n"/>
      <c r="AQ1221" s="137" t="n"/>
      <c r="AR1221" s="137" t="n"/>
      <c r="AS1221" s="137" t="n"/>
    </row>
    <row r="1222" hidden="1" outlineLevel="3">
      <c r="A1222" s="8" t="n"/>
      <c r="B1222" s="14" t="n"/>
      <c r="C1222" s="137" t="n"/>
      <c r="D1222" s="137" t="n"/>
      <c r="E1222" s="137" t="n"/>
      <c r="F1222" s="137" t="n"/>
      <c r="G1222" s="137" t="n"/>
      <c r="I1222" s="145">
        <f>DADOS_INVOC!$PY$76</f>
        <v/>
      </c>
      <c r="J1222" s="19" t="n"/>
      <c r="K1222" s="19" t="n"/>
      <c r="L1222" s="19" t="n"/>
      <c r="M1222" s="20" t="n"/>
      <c r="N1222" s="137" t="n"/>
      <c r="O1222" s="137" t="n"/>
      <c r="P1222" s="137" t="n"/>
      <c r="Q1222" s="137" t="n"/>
      <c r="R1222" s="137" t="n"/>
      <c r="S1222" s="137" t="n"/>
      <c r="T1222" s="137" t="n"/>
      <c r="U1222" s="137" t="n"/>
      <c r="V1222" s="137" t="n"/>
      <c r="W1222" s="137" t="n"/>
      <c r="X1222" s="137" t="n"/>
      <c r="Y1222" s="137" t="n"/>
      <c r="Z1222" s="137" t="n"/>
      <c r="AB1222" s="145">
        <f>DADOS_INVOC!$PY$154</f>
        <v/>
      </c>
      <c r="AC1222" s="19" t="n"/>
      <c r="AD1222" s="19" t="n"/>
      <c r="AE1222" s="19" t="n"/>
      <c r="AF1222" s="20" t="n"/>
      <c r="AG1222" s="137" t="n"/>
      <c r="AH1222" s="137" t="n"/>
      <c r="AI1222" s="137" t="n"/>
      <c r="AJ1222" s="137" t="n"/>
      <c r="AK1222" s="137" t="n"/>
      <c r="AL1222" s="137" t="n"/>
      <c r="AM1222" s="137" t="n"/>
      <c r="AN1222" s="137" t="n"/>
      <c r="AO1222" s="137" t="n"/>
      <c r="AP1222" s="137" t="n"/>
      <c r="AQ1222" s="137" t="n"/>
      <c r="AR1222" s="137" t="n"/>
      <c r="AS1222" s="137" t="n"/>
    </row>
    <row r="1223" hidden="1" outlineLevel="3">
      <c r="A1223" s="8" t="n"/>
      <c r="B1223" s="14" t="n"/>
      <c r="C1223" s="137" t="n"/>
      <c r="D1223" s="137" t="n"/>
      <c r="E1223" s="137" t="n"/>
      <c r="F1223" s="137" t="n"/>
      <c r="G1223" s="137" t="n"/>
      <c r="I1223" s="23" t="n"/>
      <c r="J1223" s="24" t="n"/>
      <c r="K1223" s="24" t="n"/>
      <c r="L1223" s="24" t="n"/>
      <c r="M1223" s="25" t="n"/>
      <c r="N1223" s="137" t="n"/>
      <c r="O1223" s="137" t="n"/>
      <c r="P1223" s="137" t="n"/>
      <c r="Q1223" s="137" t="n"/>
      <c r="R1223" s="137" t="n"/>
      <c r="S1223" s="137" t="n"/>
      <c r="T1223" s="137" t="n"/>
      <c r="U1223" s="137" t="n"/>
      <c r="V1223" s="137" t="n"/>
      <c r="W1223" s="137" t="n"/>
      <c r="X1223" s="137" t="n"/>
      <c r="Y1223" s="137" t="n"/>
      <c r="Z1223" s="137" t="n"/>
      <c r="AB1223" s="23" t="n"/>
      <c r="AC1223" s="24" t="n"/>
      <c r="AD1223" s="24" t="n"/>
      <c r="AE1223" s="24" t="n"/>
      <c r="AF1223" s="25" t="n"/>
      <c r="AG1223" s="137" t="n"/>
      <c r="AH1223" s="137" t="n"/>
      <c r="AI1223" s="137" t="n"/>
      <c r="AJ1223" s="137" t="n"/>
      <c r="AK1223" s="137" t="n"/>
      <c r="AL1223" s="137" t="n"/>
      <c r="AM1223" s="137" t="n"/>
      <c r="AN1223" s="137" t="n"/>
      <c r="AO1223" s="137" t="n"/>
      <c r="AP1223" s="137" t="n"/>
      <c r="AQ1223" s="137" t="n"/>
      <c r="AR1223" s="137" t="n"/>
      <c r="AS1223" s="137" t="n"/>
    </row>
    <row r="1224" hidden="1" outlineLevel="1">
      <c r="A1224" s="8" t="n"/>
      <c r="B1224" s="14" t="n"/>
      <c r="C1224" s="137" t="n"/>
      <c r="D1224" s="137" t="n"/>
      <c r="E1224" s="137" t="n"/>
      <c r="F1224" s="137" t="n"/>
      <c r="G1224" s="137" t="n"/>
      <c r="I1224" s="137" t="n"/>
      <c r="J1224" s="137" t="n"/>
      <c r="K1224" s="137" t="n"/>
      <c r="L1224" s="137" t="n"/>
      <c r="M1224" s="137" t="n"/>
      <c r="N1224" s="137" t="n"/>
      <c r="O1224" s="137" t="n"/>
      <c r="P1224" s="137" t="n"/>
      <c r="Q1224" s="137" t="n"/>
      <c r="R1224" s="137" t="n"/>
      <c r="S1224" s="137" t="n"/>
      <c r="T1224" s="137" t="n"/>
      <c r="U1224" s="137" t="n"/>
      <c r="V1224" s="137" t="n"/>
      <c r="W1224" s="137" t="n"/>
      <c r="X1224" s="137" t="n"/>
      <c r="Y1224" s="137" t="n"/>
      <c r="Z1224" s="137" t="n"/>
      <c r="AB1224" s="137" t="n"/>
      <c r="AC1224" s="137" t="n"/>
      <c r="AD1224" s="137" t="n"/>
      <c r="AE1224" s="137" t="n"/>
      <c r="AF1224" s="137" t="n"/>
      <c r="AG1224" s="137" t="n"/>
      <c r="AH1224" s="137" t="n"/>
      <c r="AI1224" s="137" t="n"/>
      <c r="AJ1224" s="137" t="n"/>
      <c r="AK1224" s="137" t="n"/>
      <c r="AL1224" s="137" t="n"/>
      <c r="AM1224" s="137" t="n"/>
      <c r="AN1224" s="137" t="n"/>
      <c r="AO1224" s="137" t="n"/>
      <c r="AP1224" s="137" t="n"/>
      <c r="AQ1224" s="137" t="n"/>
      <c r="AR1224" s="137" t="n"/>
      <c r="AS1224" s="137" t="n"/>
    </row>
    <row r="1225" hidden="1" outlineLevel="1">
      <c r="A1225" s="8" t="n"/>
      <c r="B1225" s="14" t="n"/>
      <c r="C1225" s="137" t="n"/>
      <c r="D1225" s="137" t="n"/>
      <c r="E1225" s="137" t="n"/>
      <c r="F1225" s="137" t="n"/>
      <c r="G1225" s="137" t="n"/>
      <c r="I1225" s="146" t="inlineStr">
        <is>
          <t>REPERTÓRIO DA TRILHA · só o Evocador: as escolhas a mais da Invocação Principal e do Repertório do Conjunto</t>
        </is>
      </c>
      <c r="J1225" s="16" t="n"/>
      <c r="K1225" s="16" t="n"/>
      <c r="L1225" s="16" t="n"/>
      <c r="M1225" s="16" t="n"/>
      <c r="N1225" s="16" t="n"/>
      <c r="O1225" s="16" t="n"/>
      <c r="P1225" s="16" t="n"/>
      <c r="Q1225" s="16" t="n"/>
      <c r="R1225" s="16" t="n"/>
      <c r="S1225" s="16" t="n"/>
      <c r="T1225" s="16" t="n"/>
      <c r="U1225" s="16" t="n"/>
      <c r="V1225" s="16" t="n"/>
      <c r="W1225" s="16" t="n"/>
      <c r="X1225" s="16" t="n"/>
      <c r="Y1225" s="17" t="n"/>
      <c r="Z1225" s="137" t="n"/>
      <c r="AB1225" s="146" t="inlineStr">
        <is>
          <t>REPERTÓRIO DA TRILHA · só o Evocador: as escolhas a mais da Invocação Principal e do Repertório do Conjunto</t>
        </is>
      </c>
      <c r="AC1225" s="16" t="n"/>
      <c r="AD1225" s="16" t="n"/>
      <c r="AE1225" s="16" t="n"/>
      <c r="AF1225" s="16" t="n"/>
      <c r="AG1225" s="16" t="n"/>
      <c r="AH1225" s="16" t="n"/>
      <c r="AI1225" s="16" t="n"/>
      <c r="AJ1225" s="16" t="n"/>
      <c r="AK1225" s="16" t="n"/>
      <c r="AL1225" s="16" t="n"/>
      <c r="AM1225" s="16" t="n"/>
      <c r="AN1225" s="16" t="n"/>
      <c r="AO1225" s="16" t="n"/>
      <c r="AP1225" s="16" t="n"/>
      <c r="AQ1225" s="16" t="n"/>
      <c r="AR1225" s="17" t="n"/>
      <c r="AS1225" s="137" t="n"/>
    </row>
    <row r="1226" hidden="1" outlineLevel="2">
      <c r="A1226" s="8" t="n"/>
      <c r="B1226" s="14" t="n"/>
      <c r="C1226" s="137" t="n"/>
      <c r="D1226" s="137" t="n"/>
      <c r="E1226" s="137" t="n"/>
      <c r="F1226" s="137" t="n"/>
      <c r="G1226" s="137" t="n"/>
      <c r="I1226" s="137" t="n"/>
      <c r="J1226" s="137" t="n"/>
      <c r="K1226" s="137" t="n"/>
      <c r="L1226" s="137" t="n"/>
      <c r="M1226" s="137" t="n"/>
      <c r="N1226" s="137" t="n"/>
      <c r="O1226" s="137" t="n"/>
      <c r="P1226" s="137" t="n"/>
      <c r="Q1226" s="137" t="n"/>
      <c r="R1226" s="137" t="n"/>
      <c r="S1226" s="137" t="n"/>
      <c r="T1226" s="137" t="n"/>
      <c r="U1226" s="137" t="n"/>
      <c r="V1226" s="137" t="n"/>
      <c r="W1226" s="137" t="n"/>
      <c r="X1226" s="137" t="n"/>
      <c r="Y1226" s="137" t="n"/>
      <c r="Z1226" s="137" t="n"/>
      <c r="AB1226" s="137" t="n"/>
      <c r="AC1226" s="137" t="n"/>
      <c r="AD1226" s="137" t="n"/>
      <c r="AE1226" s="137" t="n"/>
      <c r="AF1226" s="137" t="n"/>
      <c r="AG1226" s="137" t="n"/>
      <c r="AH1226" s="137" t="n"/>
      <c r="AI1226" s="137" t="n"/>
      <c r="AJ1226" s="137" t="n"/>
      <c r="AK1226" s="137" t="n"/>
      <c r="AL1226" s="137" t="n"/>
      <c r="AM1226" s="137" t="n"/>
      <c r="AN1226" s="137" t="n"/>
      <c r="AO1226" s="137" t="n"/>
      <c r="AP1226" s="137" t="n"/>
      <c r="AQ1226" s="137" t="n"/>
      <c r="AR1226" s="137" t="n"/>
      <c r="AS1226" s="137" t="n"/>
    </row>
    <row r="1227" hidden="1" outlineLevel="2">
      <c r="A1227" s="8" t="n"/>
      <c r="B1227" s="14" t="n"/>
      <c r="C1227" s="137" t="n"/>
      <c r="D1227" s="137" t="n"/>
      <c r="E1227" s="137" t="n"/>
      <c r="F1227" s="137" t="n"/>
      <c r="G1227" s="137" t="n"/>
      <c r="I1227" s="56">
        <f>DADOS_INVOC!$PZ$77</f>
        <v/>
      </c>
      <c r="J1227" s="16" t="n"/>
      <c r="K1227" s="16" t="n"/>
      <c r="L1227" s="16" t="n"/>
      <c r="M1227" s="17" t="n"/>
      <c r="N1227" s="137" t="n"/>
      <c r="O1227" s="56">
        <f>DADOS_INVOC!$PZ$78</f>
        <v/>
      </c>
      <c r="P1227" s="16" t="n"/>
      <c r="Q1227" s="16" t="n"/>
      <c r="R1227" s="16" t="n"/>
      <c r="S1227" s="17" t="n"/>
      <c r="T1227" s="137" t="n"/>
      <c r="U1227" s="56">
        <f>DADOS_INVOC!$PZ$79</f>
        <v/>
      </c>
      <c r="V1227" s="16" t="n"/>
      <c r="W1227" s="16" t="n"/>
      <c r="X1227" s="16" t="n"/>
      <c r="Y1227" s="17" t="n"/>
      <c r="Z1227" s="137" t="n"/>
      <c r="AB1227" s="56">
        <f>DADOS_INVOC!$PZ$155</f>
        <v/>
      </c>
      <c r="AC1227" s="16" t="n"/>
      <c r="AD1227" s="16" t="n"/>
      <c r="AE1227" s="16" t="n"/>
      <c r="AF1227" s="17" t="n"/>
      <c r="AG1227" s="137" t="n"/>
      <c r="AH1227" s="56">
        <f>DADOS_INVOC!$PZ$156</f>
        <v/>
      </c>
      <c r="AI1227" s="16" t="n"/>
      <c r="AJ1227" s="16" t="n"/>
      <c r="AK1227" s="16" t="n"/>
      <c r="AL1227" s="17" t="n"/>
      <c r="AM1227" s="137" t="n"/>
      <c r="AN1227" s="56">
        <f>DADOS_INVOC!$PZ$157</f>
        <v/>
      </c>
      <c r="AO1227" s="16" t="n"/>
      <c r="AP1227" s="16" t="n"/>
      <c r="AQ1227" s="16" t="n"/>
      <c r="AR1227" s="17" t="n"/>
      <c r="AS1227" s="137" t="n"/>
    </row>
    <row r="1228" hidden="1" outlineLevel="2">
      <c r="A1228" s="8" t="n"/>
      <c r="B1228" s="14" t="n"/>
      <c r="C1228" s="137" t="n"/>
      <c r="D1228" s="137" t="n"/>
      <c r="E1228" s="137" t="n"/>
      <c r="F1228" s="137" t="n"/>
      <c r="G1228" s="137" t="n"/>
      <c r="I1228" s="141" t="n">
        <v>1</v>
      </c>
      <c r="J1228" s="131" t="n"/>
      <c r="K1228" s="16" t="n"/>
      <c r="L1228" s="17" t="n"/>
      <c r="M1228" s="142">
        <f>DADOS_INVOC!$PX$77</f>
        <v/>
      </c>
      <c r="N1228" s="137" t="n"/>
      <c r="O1228" s="141" t="n">
        <v>1</v>
      </c>
      <c r="P1228" s="131" t="n"/>
      <c r="Q1228" s="16" t="n"/>
      <c r="R1228" s="17" t="n"/>
      <c r="S1228" s="142">
        <f>DADOS_INVOC!$PX$78</f>
        <v/>
      </c>
      <c r="T1228" s="137" t="n"/>
      <c r="U1228" s="141" t="n">
        <v>1</v>
      </c>
      <c r="V1228" s="131" t="n"/>
      <c r="W1228" s="16" t="n"/>
      <c r="X1228" s="17" t="n"/>
      <c r="Y1228" s="142">
        <f>DADOS_INVOC!$PX$79</f>
        <v/>
      </c>
      <c r="Z1228" s="137" t="n"/>
      <c r="AB1228" s="141" t="n">
        <v>1</v>
      </c>
      <c r="AC1228" s="131" t="n"/>
      <c r="AD1228" s="16" t="n"/>
      <c r="AE1228" s="17" t="n"/>
      <c r="AF1228" s="142">
        <f>DADOS_INVOC!$PX$155</f>
        <v/>
      </c>
      <c r="AG1228" s="137" t="n"/>
      <c r="AH1228" s="141" t="n">
        <v>1</v>
      </c>
      <c r="AI1228" s="131" t="n"/>
      <c r="AJ1228" s="16" t="n"/>
      <c r="AK1228" s="17" t="n"/>
      <c r="AL1228" s="142">
        <f>DADOS_INVOC!$PX$156</f>
        <v/>
      </c>
      <c r="AM1228" s="137" t="n"/>
      <c r="AN1228" s="141" t="n">
        <v>1</v>
      </c>
      <c r="AO1228" s="131" t="n"/>
      <c r="AP1228" s="16" t="n"/>
      <c r="AQ1228" s="17" t="n"/>
      <c r="AR1228" s="142">
        <f>DADOS_INVOC!$PX$157</f>
        <v/>
      </c>
      <c r="AS1228" s="137" t="n"/>
    </row>
    <row r="1229" hidden="1" outlineLevel="3">
      <c r="A1229" s="8" t="n"/>
      <c r="B1229" s="14" t="n"/>
      <c r="C1229" s="137" t="n"/>
      <c r="D1229" s="137" t="n"/>
      <c r="E1229" s="137" t="n"/>
      <c r="F1229" s="137" t="n"/>
      <c r="G1229" s="137" t="n"/>
      <c r="I1229" s="56" t="inlineStr">
        <is>
          <t>COMO É</t>
        </is>
      </c>
      <c r="J1229" s="16" t="n"/>
      <c r="K1229" s="16" t="n"/>
      <c r="L1229" s="16" t="n"/>
      <c r="M1229" s="17" t="n"/>
      <c r="N1229" s="137" t="n"/>
      <c r="O1229" s="56" t="inlineStr">
        <is>
          <t>COMO É</t>
        </is>
      </c>
      <c r="P1229" s="16" t="n"/>
      <c r="Q1229" s="16" t="n"/>
      <c r="R1229" s="16" t="n"/>
      <c r="S1229" s="17" t="n"/>
      <c r="T1229" s="137" t="n"/>
      <c r="U1229" s="56" t="inlineStr">
        <is>
          <t>COMO É</t>
        </is>
      </c>
      <c r="V1229" s="16" t="n"/>
      <c r="W1229" s="16" t="n"/>
      <c r="X1229" s="16" t="n"/>
      <c r="Y1229" s="17" t="n"/>
      <c r="Z1229" s="137" t="n"/>
      <c r="AB1229" s="56" t="inlineStr">
        <is>
          <t>COMO É</t>
        </is>
      </c>
      <c r="AC1229" s="16" t="n"/>
      <c r="AD1229" s="16" t="n"/>
      <c r="AE1229" s="16" t="n"/>
      <c r="AF1229" s="17" t="n"/>
      <c r="AG1229" s="137" t="n"/>
      <c r="AH1229" s="56" t="inlineStr">
        <is>
          <t>COMO É</t>
        </is>
      </c>
      <c r="AI1229" s="16" t="n"/>
      <c r="AJ1229" s="16" t="n"/>
      <c r="AK1229" s="16" t="n"/>
      <c r="AL1229" s="17" t="n"/>
      <c r="AM1229" s="137" t="n"/>
      <c r="AN1229" s="56" t="inlineStr">
        <is>
          <t>COMO É</t>
        </is>
      </c>
      <c r="AO1229" s="16" t="n"/>
      <c r="AP1229" s="16" t="n"/>
      <c r="AQ1229" s="16" t="n"/>
      <c r="AR1229" s="17" t="n"/>
      <c r="AS1229" s="137" t="n"/>
    </row>
    <row r="1230" hidden="1" outlineLevel="3">
      <c r="A1230" s="8" t="n"/>
      <c r="B1230" s="14" t="n"/>
      <c r="C1230" s="137" t="n"/>
      <c r="D1230" s="137" t="n"/>
      <c r="E1230" s="137" t="n"/>
      <c r="F1230" s="137" t="n"/>
      <c r="G1230" s="137" t="n"/>
      <c r="I1230" s="61" t="n"/>
      <c r="J1230" s="19" t="n"/>
      <c r="K1230" s="19" t="n"/>
      <c r="L1230" s="19" t="n"/>
      <c r="M1230" s="20" t="n"/>
      <c r="N1230" s="137" t="n"/>
      <c r="O1230" s="61" t="n"/>
      <c r="P1230" s="19" t="n"/>
      <c r="Q1230" s="19" t="n"/>
      <c r="R1230" s="19" t="n"/>
      <c r="S1230" s="20" t="n"/>
      <c r="T1230" s="137" t="n"/>
      <c r="U1230" s="61" t="n"/>
      <c r="V1230" s="19" t="n"/>
      <c r="W1230" s="19" t="n"/>
      <c r="X1230" s="19" t="n"/>
      <c r="Y1230" s="20" t="n"/>
      <c r="Z1230" s="137" t="n"/>
      <c r="AB1230" s="61" t="n"/>
      <c r="AC1230" s="19" t="n"/>
      <c r="AD1230" s="19" t="n"/>
      <c r="AE1230" s="19" t="n"/>
      <c r="AF1230" s="20" t="n"/>
      <c r="AG1230" s="137" t="n"/>
      <c r="AH1230" s="61" t="n"/>
      <c r="AI1230" s="19" t="n"/>
      <c r="AJ1230" s="19" t="n"/>
      <c r="AK1230" s="19" t="n"/>
      <c r="AL1230" s="20" t="n"/>
      <c r="AM1230" s="137" t="n"/>
      <c r="AN1230" s="61" t="n"/>
      <c r="AO1230" s="19" t="n"/>
      <c r="AP1230" s="19" t="n"/>
      <c r="AQ1230" s="19" t="n"/>
      <c r="AR1230" s="20" t="n"/>
      <c r="AS1230" s="137" t="n"/>
    </row>
    <row r="1231" hidden="1" outlineLevel="3">
      <c r="A1231" s="8" t="n"/>
      <c r="B1231" s="14" t="n"/>
      <c r="C1231" s="137" t="n"/>
      <c r="D1231" s="137" t="n"/>
      <c r="E1231" s="137" t="n"/>
      <c r="F1231" s="137" t="n"/>
      <c r="G1231" s="137" t="n"/>
      <c r="I1231" s="21" t="n"/>
      <c r="M1231" s="22" t="n"/>
      <c r="N1231" s="137" t="n"/>
      <c r="O1231" s="21" t="n"/>
      <c r="S1231" s="22" t="n"/>
      <c r="T1231" s="137" t="n"/>
      <c r="U1231" s="21" t="n"/>
      <c r="Y1231" s="22" t="n"/>
      <c r="Z1231" s="137" t="n"/>
      <c r="AB1231" s="21" t="n"/>
      <c r="AF1231" s="22" t="n"/>
      <c r="AG1231" s="137" t="n"/>
      <c r="AH1231" s="21" t="n"/>
      <c r="AL1231" s="22" t="n"/>
      <c r="AM1231" s="137" t="n"/>
      <c r="AN1231" s="21" t="n"/>
      <c r="AR1231" s="22" t="n"/>
      <c r="AS1231" s="137" t="n"/>
    </row>
    <row r="1232" hidden="1" outlineLevel="3">
      <c r="A1232" s="8" t="n"/>
      <c r="B1232" s="14" t="n"/>
      <c r="C1232" s="137" t="n"/>
      <c r="D1232" s="137" t="n"/>
      <c r="E1232" s="137" t="n"/>
      <c r="F1232" s="137" t="n"/>
      <c r="G1232" s="137" t="n"/>
      <c r="I1232" s="23" t="n"/>
      <c r="J1232" s="24" t="n"/>
      <c r="K1232" s="24" t="n"/>
      <c r="L1232" s="24" t="n"/>
      <c r="M1232" s="25" t="n"/>
      <c r="N1232" s="137" t="n"/>
      <c r="O1232" s="23" t="n"/>
      <c r="P1232" s="24" t="n"/>
      <c r="Q1232" s="24" t="n"/>
      <c r="R1232" s="24" t="n"/>
      <c r="S1232" s="25" t="n"/>
      <c r="T1232" s="137" t="n"/>
      <c r="U1232" s="23" t="n"/>
      <c r="V1232" s="24" t="n"/>
      <c r="W1232" s="24" t="n"/>
      <c r="X1232" s="24" t="n"/>
      <c r="Y1232" s="25" t="n"/>
      <c r="Z1232" s="137" t="n"/>
      <c r="AB1232" s="23" t="n"/>
      <c r="AC1232" s="24" t="n"/>
      <c r="AD1232" s="24" t="n"/>
      <c r="AE1232" s="24" t="n"/>
      <c r="AF1232" s="25" t="n"/>
      <c r="AG1232" s="137" t="n"/>
      <c r="AH1232" s="23" t="n"/>
      <c r="AI1232" s="24" t="n"/>
      <c r="AJ1232" s="24" t="n"/>
      <c r="AK1232" s="24" t="n"/>
      <c r="AL1232" s="25" t="n"/>
      <c r="AM1232" s="137" t="n"/>
      <c r="AN1232" s="23" t="n"/>
      <c r="AO1232" s="24" t="n"/>
      <c r="AP1232" s="24" t="n"/>
      <c r="AQ1232" s="24" t="n"/>
      <c r="AR1232" s="25" t="n"/>
      <c r="AS1232" s="137" t="n"/>
    </row>
    <row r="1233" hidden="1" outlineLevel="2">
      <c r="A1233" s="8" t="n"/>
      <c r="B1233" s="14" t="n"/>
      <c r="C1233" s="137" t="n"/>
      <c r="D1233" s="137" t="n"/>
      <c r="E1233" s="137" t="n"/>
      <c r="F1233" s="137" t="n"/>
      <c r="G1233" s="137" t="n"/>
      <c r="I1233" s="95" t="inlineStr">
        <is>
          <t>Projétil</t>
        </is>
      </c>
      <c r="J1233" s="17" t="n"/>
      <c r="K1233" s="71">
        <f>DADOS_INVOC!$QE$77</f>
        <v/>
      </c>
      <c r="L1233" s="17" t="n"/>
      <c r="M1233" s="71">
        <f>DADOS_INVOC!$QA$77</f>
        <v/>
      </c>
      <c r="N1233" s="137" t="n"/>
      <c r="O1233" s="95" t="inlineStr">
        <is>
          <t>Projétil</t>
        </is>
      </c>
      <c r="P1233" s="17" t="n"/>
      <c r="Q1233" s="71">
        <f>DADOS_INVOC!$QE$78</f>
        <v/>
      </c>
      <c r="R1233" s="17" t="n"/>
      <c r="S1233" s="71">
        <f>DADOS_INVOC!$QA$78</f>
        <v/>
      </c>
      <c r="T1233" s="137" t="n"/>
      <c r="U1233" s="95" t="inlineStr">
        <is>
          <t>Projétil</t>
        </is>
      </c>
      <c r="V1233" s="17" t="n"/>
      <c r="W1233" s="71">
        <f>DADOS_INVOC!$QE$79</f>
        <v/>
      </c>
      <c r="X1233" s="17" t="n"/>
      <c r="Y1233" s="71">
        <f>DADOS_INVOC!$QA$79</f>
        <v/>
      </c>
      <c r="Z1233" s="137" t="n"/>
      <c r="AB1233" s="95" t="inlineStr">
        <is>
          <t>Projétil</t>
        </is>
      </c>
      <c r="AC1233" s="17" t="n"/>
      <c r="AD1233" s="71">
        <f>DADOS_INVOC!$QE$155</f>
        <v/>
      </c>
      <c r="AE1233" s="17" t="n"/>
      <c r="AF1233" s="71">
        <f>DADOS_INVOC!$QA$155</f>
        <v/>
      </c>
      <c r="AG1233" s="137" t="n"/>
      <c r="AH1233" s="95" t="inlineStr">
        <is>
          <t>Projétil</t>
        </is>
      </c>
      <c r="AI1233" s="17" t="n"/>
      <c r="AJ1233" s="71">
        <f>DADOS_INVOC!$QE$156</f>
        <v/>
      </c>
      <c r="AK1233" s="17" t="n"/>
      <c r="AL1233" s="71">
        <f>DADOS_INVOC!$QA$156</f>
        <v/>
      </c>
      <c r="AM1233" s="137" t="n"/>
      <c r="AN1233" s="95" t="inlineStr">
        <is>
          <t>Projétil</t>
        </is>
      </c>
      <c r="AO1233" s="17" t="n"/>
      <c r="AP1233" s="71">
        <f>DADOS_INVOC!$QE$157</f>
        <v/>
      </c>
      <c r="AQ1233" s="17" t="n"/>
      <c r="AR1233" s="71">
        <f>DADOS_INVOC!$QA$157</f>
        <v/>
      </c>
      <c r="AS1233" s="137" t="n"/>
    </row>
    <row r="1234" hidden="1" outlineLevel="2">
      <c r="A1234" s="8" t="n"/>
      <c r="B1234" s="14" t="n"/>
      <c r="C1234" s="137" t="n"/>
      <c r="D1234" s="137" t="n"/>
      <c r="E1234" s="137" t="n"/>
      <c r="F1234" s="137" t="n"/>
      <c r="G1234" s="137" t="n"/>
      <c r="I1234" s="95" t="n"/>
      <c r="J1234" s="17" t="n"/>
      <c r="K1234" s="95" t="n"/>
      <c r="L1234" s="16" t="n"/>
      <c r="M1234" s="17" t="n"/>
      <c r="N1234" s="137" t="n"/>
      <c r="O1234" s="95" t="n"/>
      <c r="P1234" s="17" t="n"/>
      <c r="Q1234" s="95" t="n"/>
      <c r="R1234" s="16" t="n"/>
      <c r="S1234" s="17" t="n"/>
      <c r="T1234" s="137" t="n"/>
      <c r="U1234" s="95" t="n"/>
      <c r="V1234" s="17" t="n"/>
      <c r="W1234" s="95" t="n"/>
      <c r="X1234" s="16" t="n"/>
      <c r="Y1234" s="17" t="n"/>
      <c r="Z1234" s="137" t="n"/>
      <c r="AB1234" s="95" t="n"/>
      <c r="AC1234" s="17" t="n"/>
      <c r="AD1234" s="95" t="n"/>
      <c r="AE1234" s="16" t="n"/>
      <c r="AF1234" s="17" t="n"/>
      <c r="AG1234" s="137" t="n"/>
      <c r="AH1234" s="95" t="n"/>
      <c r="AI1234" s="17" t="n"/>
      <c r="AJ1234" s="95" t="n"/>
      <c r="AK1234" s="16" t="n"/>
      <c r="AL1234" s="17" t="n"/>
      <c r="AM1234" s="137" t="n"/>
      <c r="AN1234" s="95" t="n"/>
      <c r="AO1234" s="17" t="n"/>
      <c r="AP1234" s="95" t="n"/>
      <c r="AQ1234" s="16" t="n"/>
      <c r="AR1234" s="17" t="n"/>
      <c r="AS1234" s="137" t="n"/>
    </row>
    <row r="1235" hidden="1" outlineLevel="2">
      <c r="A1235" s="8" t="n"/>
      <c r="B1235" s="14" t="n"/>
      <c r="C1235" s="137" t="n"/>
      <c r="D1235" s="137" t="n"/>
      <c r="E1235" s="137" t="n"/>
      <c r="F1235" s="137" t="n"/>
      <c r="G1235" s="137" t="n"/>
      <c r="I1235" s="95">
        <f>DADOS_INVOC!$QB$77</f>
        <v/>
      </c>
      <c r="J1235" s="17" t="n"/>
      <c r="K1235" s="95">
        <f>DADOS_INVOC!$QD$77</f>
        <v/>
      </c>
      <c r="L1235" s="16" t="n"/>
      <c r="M1235" s="17" t="n"/>
      <c r="N1235" s="137" t="n"/>
      <c r="O1235" s="95">
        <f>DADOS_INVOC!$QB$78</f>
        <v/>
      </c>
      <c r="P1235" s="17" t="n"/>
      <c r="Q1235" s="95">
        <f>DADOS_INVOC!$QD$78</f>
        <v/>
      </c>
      <c r="R1235" s="16" t="n"/>
      <c r="S1235" s="17" t="n"/>
      <c r="T1235" s="137" t="n"/>
      <c r="U1235" s="95">
        <f>DADOS_INVOC!$QB$79</f>
        <v/>
      </c>
      <c r="V1235" s="17" t="n"/>
      <c r="W1235" s="95">
        <f>DADOS_INVOC!$QD$79</f>
        <v/>
      </c>
      <c r="X1235" s="16" t="n"/>
      <c r="Y1235" s="17" t="n"/>
      <c r="Z1235" s="137" t="n"/>
      <c r="AB1235" s="95">
        <f>DADOS_INVOC!$QB$155</f>
        <v/>
      </c>
      <c r="AC1235" s="17" t="n"/>
      <c r="AD1235" s="95">
        <f>DADOS_INVOC!$QD$155</f>
        <v/>
      </c>
      <c r="AE1235" s="16" t="n"/>
      <c r="AF1235" s="17" t="n"/>
      <c r="AG1235" s="137" t="n"/>
      <c r="AH1235" s="95">
        <f>DADOS_INVOC!$QB$156</f>
        <v/>
      </c>
      <c r="AI1235" s="17" t="n"/>
      <c r="AJ1235" s="95">
        <f>DADOS_INVOC!$QD$156</f>
        <v/>
      </c>
      <c r="AK1235" s="16" t="n"/>
      <c r="AL1235" s="17" t="n"/>
      <c r="AM1235" s="137" t="n"/>
      <c r="AN1235" s="95">
        <f>DADOS_INVOC!$QB$157</f>
        <v/>
      </c>
      <c r="AO1235" s="17" t="n"/>
      <c r="AP1235" s="95">
        <f>DADOS_INVOC!$QD$157</f>
        <v/>
      </c>
      <c r="AQ1235" s="16" t="n"/>
      <c r="AR1235" s="17" t="n"/>
      <c r="AS1235" s="137" t="n"/>
    </row>
    <row r="1236" hidden="1" outlineLevel="2">
      <c r="A1236" s="8" t="n"/>
      <c r="B1236" s="14" t="n"/>
      <c r="C1236" s="137" t="n"/>
      <c r="D1236" s="137" t="n"/>
      <c r="E1236" s="137" t="n"/>
      <c r="F1236" s="137" t="n"/>
      <c r="G1236" s="137" t="n"/>
      <c r="I1236" s="143">
        <f>DADOS_INVOC!$QJ$77</f>
        <v/>
      </c>
      <c r="J1236" s="16" t="n"/>
      <c r="K1236" s="16" t="n"/>
      <c r="L1236" s="16" t="n"/>
      <c r="M1236" s="17" t="n"/>
      <c r="N1236" s="137" t="n"/>
      <c r="O1236" s="143">
        <f>DADOS_INVOC!$QJ$78</f>
        <v/>
      </c>
      <c r="P1236" s="16" t="n"/>
      <c r="Q1236" s="16" t="n"/>
      <c r="R1236" s="16" t="n"/>
      <c r="S1236" s="17" t="n"/>
      <c r="T1236" s="137" t="n"/>
      <c r="U1236" s="143">
        <f>DADOS_INVOC!$QJ$79</f>
        <v/>
      </c>
      <c r="V1236" s="16" t="n"/>
      <c r="W1236" s="16" t="n"/>
      <c r="X1236" s="16" t="n"/>
      <c r="Y1236" s="17" t="n"/>
      <c r="Z1236" s="137" t="n"/>
      <c r="AB1236" s="143">
        <f>DADOS_INVOC!$QJ$155</f>
        <v/>
      </c>
      <c r="AC1236" s="16" t="n"/>
      <c r="AD1236" s="16" t="n"/>
      <c r="AE1236" s="16" t="n"/>
      <c r="AF1236" s="17" t="n"/>
      <c r="AG1236" s="137" t="n"/>
      <c r="AH1236" s="143">
        <f>DADOS_INVOC!$QJ$156</f>
        <v/>
      </c>
      <c r="AI1236" s="16" t="n"/>
      <c r="AJ1236" s="16" t="n"/>
      <c r="AK1236" s="16" t="n"/>
      <c r="AL1236" s="17" t="n"/>
      <c r="AM1236" s="137" t="n"/>
      <c r="AN1236" s="143">
        <f>DADOS_INVOC!$QJ$157</f>
        <v/>
      </c>
      <c r="AO1236" s="16" t="n"/>
      <c r="AP1236" s="16" t="n"/>
      <c r="AQ1236" s="16" t="n"/>
      <c r="AR1236" s="17" t="n"/>
      <c r="AS1236" s="137" t="n"/>
    </row>
    <row r="1237" hidden="1" outlineLevel="3">
      <c r="A1237" s="8" t="n"/>
      <c r="B1237" s="14" t="n"/>
      <c r="C1237" s="137" t="n"/>
      <c r="D1237" s="137" t="n"/>
      <c r="E1237" s="137" t="n"/>
      <c r="F1237" s="137" t="n"/>
      <c r="G1237" s="137" t="n"/>
      <c r="I1237" s="56" t="inlineStr">
        <is>
          <t>MELHORIAS</t>
        </is>
      </c>
      <c r="J1237" s="144" t="n"/>
      <c r="K1237" s="16" t="n"/>
      <c r="L1237" s="17" t="n"/>
      <c r="M1237" s="143">
        <f>DADOS_INVOC!$QM$77</f>
        <v/>
      </c>
      <c r="N1237" s="137" t="n"/>
      <c r="O1237" s="56" t="inlineStr">
        <is>
          <t>MELHORIAS</t>
        </is>
      </c>
      <c r="P1237" s="144" t="n"/>
      <c r="Q1237" s="16" t="n"/>
      <c r="R1237" s="17" t="n"/>
      <c r="S1237" s="143">
        <f>DADOS_INVOC!$QM$78</f>
        <v/>
      </c>
      <c r="T1237" s="137" t="n"/>
      <c r="U1237" s="56" t="inlineStr">
        <is>
          <t>MELHORIAS</t>
        </is>
      </c>
      <c r="V1237" s="144" t="n"/>
      <c r="W1237" s="16" t="n"/>
      <c r="X1237" s="17" t="n"/>
      <c r="Y1237" s="143">
        <f>DADOS_INVOC!$QM$79</f>
        <v/>
      </c>
      <c r="Z1237" s="137" t="n"/>
      <c r="AB1237" s="56" t="inlineStr">
        <is>
          <t>MELHORIAS</t>
        </is>
      </c>
      <c r="AC1237" s="144" t="n"/>
      <c r="AD1237" s="16" t="n"/>
      <c r="AE1237" s="17" t="n"/>
      <c r="AF1237" s="143">
        <f>DADOS_INVOC!$QM$155</f>
        <v/>
      </c>
      <c r="AG1237" s="137" t="n"/>
      <c r="AH1237" s="56" t="inlineStr">
        <is>
          <t>MELHORIAS</t>
        </is>
      </c>
      <c r="AI1237" s="144" t="n"/>
      <c r="AJ1237" s="16" t="n"/>
      <c r="AK1237" s="17" t="n"/>
      <c r="AL1237" s="143">
        <f>DADOS_INVOC!$QM$156</f>
        <v/>
      </c>
      <c r="AM1237" s="137" t="n"/>
      <c r="AN1237" s="56" t="inlineStr">
        <is>
          <t>MELHORIAS</t>
        </is>
      </c>
      <c r="AO1237" s="144" t="n"/>
      <c r="AP1237" s="16" t="n"/>
      <c r="AQ1237" s="17" t="n"/>
      <c r="AR1237" s="143">
        <f>DADOS_INVOC!$QM$157</f>
        <v/>
      </c>
      <c r="AS1237" s="137" t="n"/>
    </row>
    <row r="1238" hidden="1" outlineLevel="3">
      <c r="A1238" s="8" t="n"/>
      <c r="B1238" s="14" t="n"/>
      <c r="C1238" s="137" t="n"/>
      <c r="D1238" s="137" t="n"/>
      <c r="E1238" s="137" t="n"/>
      <c r="F1238" s="137" t="n"/>
      <c r="G1238" s="137" t="n"/>
      <c r="I1238" s="66" t="n"/>
      <c r="J1238" s="144" t="n"/>
      <c r="K1238" s="16" t="n"/>
      <c r="L1238" s="17" t="n"/>
      <c r="M1238" s="143">
        <f>DADOS_INVOC!$QN$77</f>
        <v/>
      </c>
      <c r="N1238" s="137" t="n"/>
      <c r="O1238" s="66" t="n"/>
      <c r="P1238" s="144" t="n"/>
      <c r="Q1238" s="16" t="n"/>
      <c r="R1238" s="17" t="n"/>
      <c r="S1238" s="143">
        <f>DADOS_INVOC!$QN$78</f>
        <v/>
      </c>
      <c r="T1238" s="137" t="n"/>
      <c r="U1238" s="66" t="n"/>
      <c r="V1238" s="144" t="n"/>
      <c r="W1238" s="16" t="n"/>
      <c r="X1238" s="17" t="n"/>
      <c r="Y1238" s="143">
        <f>DADOS_INVOC!$QN$79</f>
        <v/>
      </c>
      <c r="Z1238" s="137" t="n"/>
      <c r="AB1238" s="66" t="n"/>
      <c r="AC1238" s="144" t="n"/>
      <c r="AD1238" s="16" t="n"/>
      <c r="AE1238" s="17" t="n"/>
      <c r="AF1238" s="143">
        <f>DADOS_INVOC!$QN$155</f>
        <v/>
      </c>
      <c r="AG1238" s="137" t="n"/>
      <c r="AH1238" s="66" t="n"/>
      <c r="AI1238" s="144" t="n"/>
      <c r="AJ1238" s="16" t="n"/>
      <c r="AK1238" s="17" t="n"/>
      <c r="AL1238" s="143">
        <f>DADOS_INVOC!$QN$156</f>
        <v/>
      </c>
      <c r="AM1238" s="137" t="n"/>
      <c r="AN1238" s="66" t="n"/>
      <c r="AO1238" s="144" t="n"/>
      <c r="AP1238" s="16" t="n"/>
      <c r="AQ1238" s="17" t="n"/>
      <c r="AR1238" s="143">
        <f>DADOS_INVOC!$QN$157</f>
        <v/>
      </c>
      <c r="AS1238" s="137" t="n"/>
    </row>
    <row r="1239" hidden="1" outlineLevel="3">
      <c r="A1239" s="8" t="n"/>
      <c r="B1239" s="14" t="n"/>
      <c r="C1239" s="137" t="n"/>
      <c r="D1239" s="137" t="n"/>
      <c r="E1239" s="137" t="n"/>
      <c r="F1239" s="137" t="n"/>
      <c r="G1239" s="137" t="n"/>
      <c r="I1239" s="66" t="n"/>
      <c r="J1239" s="144" t="n"/>
      <c r="K1239" s="16" t="n"/>
      <c r="L1239" s="17" t="n"/>
      <c r="M1239" s="143">
        <f>DADOS_INVOC!$QO$77</f>
        <v/>
      </c>
      <c r="N1239" s="137" t="n"/>
      <c r="O1239" s="66" t="n"/>
      <c r="P1239" s="144" t="n"/>
      <c r="Q1239" s="16" t="n"/>
      <c r="R1239" s="17" t="n"/>
      <c r="S1239" s="143">
        <f>DADOS_INVOC!$QO$78</f>
        <v/>
      </c>
      <c r="T1239" s="137" t="n"/>
      <c r="U1239" s="66" t="n"/>
      <c r="V1239" s="144" t="n"/>
      <c r="W1239" s="16" t="n"/>
      <c r="X1239" s="17" t="n"/>
      <c r="Y1239" s="143">
        <f>DADOS_INVOC!$QO$79</f>
        <v/>
      </c>
      <c r="Z1239" s="137" t="n"/>
      <c r="AB1239" s="66" t="n"/>
      <c r="AC1239" s="144" t="n"/>
      <c r="AD1239" s="16" t="n"/>
      <c r="AE1239" s="17" t="n"/>
      <c r="AF1239" s="143">
        <f>DADOS_INVOC!$QO$155</f>
        <v/>
      </c>
      <c r="AG1239" s="137" t="n"/>
      <c r="AH1239" s="66" t="n"/>
      <c r="AI1239" s="144" t="n"/>
      <c r="AJ1239" s="16" t="n"/>
      <c r="AK1239" s="17" t="n"/>
      <c r="AL1239" s="143">
        <f>DADOS_INVOC!$QO$156</f>
        <v/>
      </c>
      <c r="AM1239" s="137" t="n"/>
      <c r="AN1239" s="66" t="n"/>
      <c r="AO1239" s="144" t="n"/>
      <c r="AP1239" s="16" t="n"/>
      <c r="AQ1239" s="17" t="n"/>
      <c r="AR1239" s="143">
        <f>DADOS_INVOC!$QO$157</f>
        <v/>
      </c>
      <c r="AS1239" s="137" t="n"/>
    </row>
    <row r="1240" hidden="1" outlineLevel="3">
      <c r="A1240" s="8" t="n"/>
      <c r="B1240" s="14" t="n"/>
      <c r="C1240" s="137" t="n"/>
      <c r="D1240" s="137" t="n"/>
      <c r="E1240" s="137" t="n"/>
      <c r="F1240" s="137" t="n"/>
      <c r="G1240" s="137" t="n"/>
      <c r="I1240" s="128" t="n"/>
      <c r="J1240" s="144" t="n"/>
      <c r="K1240" s="16" t="n"/>
      <c r="L1240" s="17" t="n"/>
      <c r="M1240" s="143">
        <f>DADOS_INVOC!$QP$77</f>
        <v/>
      </c>
      <c r="N1240" s="137" t="n"/>
      <c r="O1240" s="128" t="n"/>
      <c r="P1240" s="144" t="n"/>
      <c r="Q1240" s="16" t="n"/>
      <c r="R1240" s="17" t="n"/>
      <c r="S1240" s="143">
        <f>DADOS_INVOC!$QP$78</f>
        <v/>
      </c>
      <c r="T1240" s="137" t="n"/>
      <c r="U1240" s="128" t="n"/>
      <c r="V1240" s="144" t="n"/>
      <c r="W1240" s="16" t="n"/>
      <c r="X1240" s="17" t="n"/>
      <c r="Y1240" s="143">
        <f>DADOS_INVOC!$QP$79</f>
        <v/>
      </c>
      <c r="Z1240" s="137" t="n"/>
      <c r="AB1240" s="128" t="n"/>
      <c r="AC1240" s="144" t="n"/>
      <c r="AD1240" s="16" t="n"/>
      <c r="AE1240" s="17" t="n"/>
      <c r="AF1240" s="143">
        <f>DADOS_INVOC!$QP$155</f>
        <v/>
      </c>
      <c r="AG1240" s="137" t="n"/>
      <c r="AH1240" s="128" t="n"/>
      <c r="AI1240" s="144" t="n"/>
      <c r="AJ1240" s="16" t="n"/>
      <c r="AK1240" s="17" t="n"/>
      <c r="AL1240" s="143">
        <f>DADOS_INVOC!$QP$156</f>
        <v/>
      </c>
      <c r="AM1240" s="137" t="n"/>
      <c r="AN1240" s="128" t="n"/>
      <c r="AO1240" s="144" t="n"/>
      <c r="AP1240" s="16" t="n"/>
      <c r="AQ1240" s="17" t="n"/>
      <c r="AR1240" s="143">
        <f>DADOS_INVOC!$QP$157</f>
        <v/>
      </c>
      <c r="AS1240" s="137" t="n"/>
    </row>
    <row r="1241" hidden="1" outlineLevel="3">
      <c r="A1241" s="8" t="n"/>
      <c r="B1241" s="14" t="n"/>
      <c r="C1241" s="137" t="n"/>
      <c r="D1241" s="137" t="n"/>
      <c r="E1241" s="137" t="n"/>
      <c r="F1241" s="137" t="n"/>
      <c r="G1241" s="137" t="n"/>
      <c r="I1241" s="56" t="inlineStr">
        <is>
          <t>RESTRIÇÕES</t>
        </is>
      </c>
      <c r="J1241" s="144" t="n"/>
      <c r="K1241" s="16" t="n"/>
      <c r="L1241" s="17" t="n"/>
      <c r="M1241" s="143">
        <f>DADOS_INVOC!$QQ$77</f>
        <v/>
      </c>
      <c r="N1241" s="137" t="n"/>
      <c r="O1241" s="56" t="inlineStr">
        <is>
          <t>RESTRIÇÕES</t>
        </is>
      </c>
      <c r="P1241" s="144" t="n"/>
      <c r="Q1241" s="16" t="n"/>
      <c r="R1241" s="17" t="n"/>
      <c r="S1241" s="143">
        <f>DADOS_INVOC!$QQ$78</f>
        <v/>
      </c>
      <c r="T1241" s="137" t="n"/>
      <c r="U1241" s="56" t="inlineStr">
        <is>
          <t>RESTRIÇÕES</t>
        </is>
      </c>
      <c r="V1241" s="144" t="n"/>
      <c r="W1241" s="16" t="n"/>
      <c r="X1241" s="17" t="n"/>
      <c r="Y1241" s="143">
        <f>DADOS_INVOC!$QQ$79</f>
        <v/>
      </c>
      <c r="Z1241" s="137" t="n"/>
      <c r="AB1241" s="56" t="inlineStr">
        <is>
          <t>RESTRIÇÕES</t>
        </is>
      </c>
      <c r="AC1241" s="144" t="n"/>
      <c r="AD1241" s="16" t="n"/>
      <c r="AE1241" s="17" t="n"/>
      <c r="AF1241" s="143">
        <f>DADOS_INVOC!$QQ$155</f>
        <v/>
      </c>
      <c r="AG1241" s="137" t="n"/>
      <c r="AH1241" s="56" t="inlineStr">
        <is>
          <t>RESTRIÇÕES</t>
        </is>
      </c>
      <c r="AI1241" s="144" t="n"/>
      <c r="AJ1241" s="16" t="n"/>
      <c r="AK1241" s="17" t="n"/>
      <c r="AL1241" s="143">
        <f>DADOS_INVOC!$QQ$156</f>
        <v/>
      </c>
      <c r="AM1241" s="137" t="n"/>
      <c r="AN1241" s="56" t="inlineStr">
        <is>
          <t>RESTRIÇÕES</t>
        </is>
      </c>
      <c r="AO1241" s="144" t="n"/>
      <c r="AP1241" s="16" t="n"/>
      <c r="AQ1241" s="17" t="n"/>
      <c r="AR1241" s="143">
        <f>DADOS_INVOC!$QQ$157</f>
        <v/>
      </c>
      <c r="AS1241" s="137" t="n"/>
    </row>
    <row r="1242" hidden="1" outlineLevel="3">
      <c r="A1242" s="8" t="n"/>
      <c r="B1242" s="14" t="n"/>
      <c r="C1242" s="137" t="n"/>
      <c r="D1242" s="137" t="n"/>
      <c r="E1242" s="137" t="n"/>
      <c r="F1242" s="137" t="n"/>
      <c r="G1242" s="137" t="n"/>
      <c r="I1242" s="128" t="n"/>
      <c r="J1242" s="144" t="n"/>
      <c r="K1242" s="16" t="n"/>
      <c r="L1242" s="17" t="n"/>
      <c r="M1242" s="143">
        <f>DADOS_INVOC!$QR$77</f>
        <v/>
      </c>
      <c r="N1242" s="137" t="n"/>
      <c r="O1242" s="128" t="n"/>
      <c r="P1242" s="144" t="n"/>
      <c r="Q1242" s="16" t="n"/>
      <c r="R1242" s="17" t="n"/>
      <c r="S1242" s="143">
        <f>DADOS_INVOC!$QR$78</f>
        <v/>
      </c>
      <c r="T1242" s="137" t="n"/>
      <c r="U1242" s="128" t="n"/>
      <c r="V1242" s="144" t="n"/>
      <c r="W1242" s="16" t="n"/>
      <c r="X1242" s="17" t="n"/>
      <c r="Y1242" s="143">
        <f>DADOS_INVOC!$QR$79</f>
        <v/>
      </c>
      <c r="Z1242" s="137" t="n"/>
      <c r="AB1242" s="128" t="n"/>
      <c r="AC1242" s="144" t="n"/>
      <c r="AD1242" s="16" t="n"/>
      <c r="AE1242" s="17" t="n"/>
      <c r="AF1242" s="143">
        <f>DADOS_INVOC!$QR$155</f>
        <v/>
      </c>
      <c r="AG1242" s="137" t="n"/>
      <c r="AH1242" s="128" t="n"/>
      <c r="AI1242" s="144" t="n"/>
      <c r="AJ1242" s="16" t="n"/>
      <c r="AK1242" s="17" t="n"/>
      <c r="AL1242" s="143">
        <f>DADOS_INVOC!$QR$156</f>
        <v/>
      </c>
      <c r="AM1242" s="137" t="n"/>
      <c r="AN1242" s="128" t="n"/>
      <c r="AO1242" s="144" t="n"/>
      <c r="AP1242" s="16" t="n"/>
      <c r="AQ1242" s="17" t="n"/>
      <c r="AR1242" s="143">
        <f>DADOS_INVOC!$QR$157</f>
        <v/>
      </c>
      <c r="AS1242" s="137" t="n"/>
    </row>
    <row r="1243" hidden="1" outlineLevel="3">
      <c r="A1243" s="8" t="n"/>
      <c r="B1243" s="14" t="n"/>
      <c r="C1243" s="137" t="n"/>
      <c r="D1243" s="137" t="n"/>
      <c r="E1243" s="137" t="n"/>
      <c r="F1243" s="137" t="n"/>
      <c r="G1243" s="137" t="n"/>
      <c r="I1243" s="56" t="inlineStr">
        <is>
          <t>CONTA</t>
        </is>
      </c>
      <c r="J1243" s="145">
        <f>DADOS_INVOC!$QK$77</f>
        <v/>
      </c>
      <c r="K1243" s="16" t="n"/>
      <c r="L1243" s="16" t="n"/>
      <c r="M1243" s="17" t="n"/>
      <c r="N1243" s="137" t="n"/>
      <c r="O1243" s="56" t="inlineStr">
        <is>
          <t>CONTA</t>
        </is>
      </c>
      <c r="P1243" s="145">
        <f>DADOS_INVOC!$QK$78</f>
        <v/>
      </c>
      <c r="Q1243" s="16" t="n"/>
      <c r="R1243" s="16" t="n"/>
      <c r="S1243" s="17" t="n"/>
      <c r="T1243" s="137" t="n"/>
      <c r="U1243" s="56" t="inlineStr">
        <is>
          <t>CONTA</t>
        </is>
      </c>
      <c r="V1243" s="145">
        <f>DADOS_INVOC!$QK$79</f>
        <v/>
      </c>
      <c r="W1243" s="16" t="n"/>
      <c r="X1243" s="16" t="n"/>
      <c r="Y1243" s="17" t="n"/>
      <c r="Z1243" s="137" t="n"/>
      <c r="AB1243" s="56" t="inlineStr">
        <is>
          <t>CONTA</t>
        </is>
      </c>
      <c r="AC1243" s="145">
        <f>DADOS_INVOC!$QK$155</f>
        <v/>
      </c>
      <c r="AD1243" s="16" t="n"/>
      <c r="AE1243" s="16" t="n"/>
      <c r="AF1243" s="17" t="n"/>
      <c r="AG1243" s="137" t="n"/>
      <c r="AH1243" s="56" t="inlineStr">
        <is>
          <t>CONTA</t>
        </is>
      </c>
      <c r="AI1243" s="145">
        <f>DADOS_INVOC!$QK$156</f>
        <v/>
      </c>
      <c r="AJ1243" s="16" t="n"/>
      <c r="AK1243" s="16" t="n"/>
      <c r="AL1243" s="17" t="n"/>
      <c r="AM1243" s="137" t="n"/>
      <c r="AN1243" s="56" t="inlineStr">
        <is>
          <t>CONTA</t>
        </is>
      </c>
      <c r="AO1243" s="145">
        <f>DADOS_INVOC!$QK$157</f>
        <v/>
      </c>
      <c r="AP1243" s="16" t="n"/>
      <c r="AQ1243" s="16" t="n"/>
      <c r="AR1243" s="17" t="n"/>
      <c r="AS1243" s="137" t="n"/>
    </row>
    <row r="1244" hidden="1" outlineLevel="3">
      <c r="A1244" s="8" t="n"/>
      <c r="B1244" s="14" t="n"/>
      <c r="C1244" s="137" t="n"/>
      <c r="D1244" s="137" t="n"/>
      <c r="E1244" s="137" t="n"/>
      <c r="F1244" s="137" t="n"/>
      <c r="G1244" s="137" t="n"/>
      <c r="I1244" s="56" t="inlineStr">
        <is>
          <t>AMPLIAR</t>
        </is>
      </c>
      <c r="J1244" s="145">
        <f>DADOS_INVOC!$QL$77</f>
        <v/>
      </c>
      <c r="K1244" s="19" t="n"/>
      <c r="L1244" s="19" t="n"/>
      <c r="M1244" s="20" t="n"/>
      <c r="N1244" s="137" t="n"/>
      <c r="O1244" s="56" t="inlineStr">
        <is>
          <t>AMPLIAR</t>
        </is>
      </c>
      <c r="P1244" s="145">
        <f>DADOS_INVOC!$QL$78</f>
        <v/>
      </c>
      <c r="Q1244" s="19" t="n"/>
      <c r="R1244" s="19" t="n"/>
      <c r="S1244" s="20" t="n"/>
      <c r="T1244" s="137" t="n"/>
      <c r="U1244" s="56" t="inlineStr">
        <is>
          <t>AMPLIAR</t>
        </is>
      </c>
      <c r="V1244" s="145">
        <f>DADOS_INVOC!$QL$79</f>
        <v/>
      </c>
      <c r="W1244" s="19" t="n"/>
      <c r="X1244" s="19" t="n"/>
      <c r="Y1244" s="20" t="n"/>
      <c r="Z1244" s="137" t="n"/>
      <c r="AB1244" s="56" t="inlineStr">
        <is>
          <t>AMPLIAR</t>
        </is>
      </c>
      <c r="AC1244" s="145">
        <f>DADOS_INVOC!$QL$155</f>
        <v/>
      </c>
      <c r="AD1244" s="19" t="n"/>
      <c r="AE1244" s="19" t="n"/>
      <c r="AF1244" s="20" t="n"/>
      <c r="AG1244" s="137" t="n"/>
      <c r="AH1244" s="56" t="inlineStr">
        <is>
          <t>AMPLIAR</t>
        </is>
      </c>
      <c r="AI1244" s="145">
        <f>DADOS_INVOC!$QL$156</f>
        <v/>
      </c>
      <c r="AJ1244" s="19" t="n"/>
      <c r="AK1244" s="19" t="n"/>
      <c r="AL1244" s="20" t="n"/>
      <c r="AM1244" s="137" t="n"/>
      <c r="AN1244" s="56" t="inlineStr">
        <is>
          <t>AMPLIAR</t>
        </is>
      </c>
      <c r="AO1244" s="145">
        <f>DADOS_INVOC!$QL$157</f>
        <v/>
      </c>
      <c r="AP1244" s="19" t="n"/>
      <c r="AQ1244" s="19" t="n"/>
      <c r="AR1244" s="20" t="n"/>
      <c r="AS1244" s="137" t="n"/>
    </row>
    <row r="1245" hidden="1" outlineLevel="3">
      <c r="A1245" s="8" t="n"/>
      <c r="B1245" s="14" t="n"/>
      <c r="C1245" s="137" t="n"/>
      <c r="D1245" s="137" t="n"/>
      <c r="E1245" s="137" t="n"/>
      <c r="F1245" s="137" t="n"/>
      <c r="G1245" s="137" t="n"/>
      <c r="I1245" s="128" t="n"/>
      <c r="J1245" s="23" t="n"/>
      <c r="K1245" s="24" t="n"/>
      <c r="L1245" s="24" t="n"/>
      <c r="M1245" s="25" t="n"/>
      <c r="N1245" s="137" t="n"/>
      <c r="O1245" s="128" t="n"/>
      <c r="P1245" s="23" t="n"/>
      <c r="Q1245" s="24" t="n"/>
      <c r="R1245" s="24" t="n"/>
      <c r="S1245" s="25" t="n"/>
      <c r="T1245" s="137" t="n"/>
      <c r="U1245" s="128" t="n"/>
      <c r="V1245" s="23" t="n"/>
      <c r="W1245" s="24" t="n"/>
      <c r="X1245" s="24" t="n"/>
      <c r="Y1245" s="25" t="n"/>
      <c r="Z1245" s="137" t="n"/>
      <c r="AB1245" s="128" t="n"/>
      <c r="AC1245" s="23" t="n"/>
      <c r="AD1245" s="24" t="n"/>
      <c r="AE1245" s="24" t="n"/>
      <c r="AF1245" s="25" t="n"/>
      <c r="AG1245" s="137" t="n"/>
      <c r="AH1245" s="128" t="n"/>
      <c r="AI1245" s="23" t="n"/>
      <c r="AJ1245" s="24" t="n"/>
      <c r="AK1245" s="24" t="n"/>
      <c r="AL1245" s="25" t="n"/>
      <c r="AM1245" s="137" t="n"/>
      <c r="AN1245" s="128" t="n"/>
      <c r="AO1245" s="23" t="n"/>
      <c r="AP1245" s="24" t="n"/>
      <c r="AQ1245" s="24" t="n"/>
      <c r="AR1245" s="25" t="n"/>
      <c r="AS1245" s="137" t="n"/>
    </row>
    <row r="1246" hidden="1" outlineLevel="3">
      <c r="A1246" s="8" t="n"/>
      <c r="B1246" s="14" t="n"/>
      <c r="C1246" s="137" t="n"/>
      <c r="D1246" s="137" t="n"/>
      <c r="E1246" s="137" t="n"/>
      <c r="F1246" s="137" t="n"/>
      <c r="G1246" s="137" t="n"/>
      <c r="I1246" s="145">
        <f>DADOS_INVOC!$PY$77</f>
        <v/>
      </c>
      <c r="J1246" s="19" t="n"/>
      <c r="K1246" s="19" t="n"/>
      <c r="L1246" s="19" t="n"/>
      <c r="M1246" s="20" t="n"/>
      <c r="N1246" s="137" t="n"/>
      <c r="O1246" s="145">
        <f>DADOS_INVOC!$PY$78</f>
        <v/>
      </c>
      <c r="P1246" s="19" t="n"/>
      <c r="Q1246" s="19" t="n"/>
      <c r="R1246" s="19" t="n"/>
      <c r="S1246" s="20" t="n"/>
      <c r="T1246" s="137" t="n"/>
      <c r="U1246" s="145">
        <f>DADOS_INVOC!$PY$79</f>
        <v/>
      </c>
      <c r="V1246" s="19" t="n"/>
      <c r="W1246" s="19" t="n"/>
      <c r="X1246" s="19" t="n"/>
      <c r="Y1246" s="20" t="n"/>
      <c r="Z1246" s="137" t="n"/>
      <c r="AB1246" s="145">
        <f>DADOS_INVOC!$PY$155</f>
        <v/>
      </c>
      <c r="AC1246" s="19" t="n"/>
      <c r="AD1246" s="19" t="n"/>
      <c r="AE1246" s="19" t="n"/>
      <c r="AF1246" s="20" t="n"/>
      <c r="AG1246" s="137" t="n"/>
      <c r="AH1246" s="145">
        <f>DADOS_INVOC!$PY$156</f>
        <v/>
      </c>
      <c r="AI1246" s="19" t="n"/>
      <c r="AJ1246" s="19" t="n"/>
      <c r="AK1246" s="19" t="n"/>
      <c r="AL1246" s="20" t="n"/>
      <c r="AM1246" s="137" t="n"/>
      <c r="AN1246" s="145">
        <f>DADOS_INVOC!$PY$157</f>
        <v/>
      </c>
      <c r="AO1246" s="19" t="n"/>
      <c r="AP1246" s="19" t="n"/>
      <c r="AQ1246" s="19" t="n"/>
      <c r="AR1246" s="20" t="n"/>
      <c r="AS1246" s="137" t="n"/>
    </row>
    <row r="1247" hidden="1" outlineLevel="3">
      <c r="A1247" s="8" t="n"/>
      <c r="B1247" s="14" t="n"/>
      <c r="C1247" s="137" t="n"/>
      <c r="D1247" s="137" t="n"/>
      <c r="E1247" s="137" t="n"/>
      <c r="F1247" s="137" t="n"/>
      <c r="G1247" s="137" t="n"/>
      <c r="I1247" s="23" t="n"/>
      <c r="J1247" s="24" t="n"/>
      <c r="K1247" s="24" t="n"/>
      <c r="L1247" s="24" t="n"/>
      <c r="M1247" s="25" t="n"/>
      <c r="N1247" s="137" t="n"/>
      <c r="O1247" s="23" t="n"/>
      <c r="P1247" s="24" t="n"/>
      <c r="Q1247" s="24" t="n"/>
      <c r="R1247" s="24" t="n"/>
      <c r="S1247" s="25" t="n"/>
      <c r="T1247" s="137" t="n"/>
      <c r="U1247" s="23" t="n"/>
      <c r="V1247" s="24" t="n"/>
      <c r="W1247" s="24" t="n"/>
      <c r="X1247" s="24" t="n"/>
      <c r="Y1247" s="25" t="n"/>
      <c r="Z1247" s="137" t="n"/>
      <c r="AB1247" s="23" t="n"/>
      <c r="AC1247" s="24" t="n"/>
      <c r="AD1247" s="24" t="n"/>
      <c r="AE1247" s="24" t="n"/>
      <c r="AF1247" s="25" t="n"/>
      <c r="AG1247" s="137" t="n"/>
      <c r="AH1247" s="23" t="n"/>
      <c r="AI1247" s="24" t="n"/>
      <c r="AJ1247" s="24" t="n"/>
      <c r="AK1247" s="24" t="n"/>
      <c r="AL1247" s="25" t="n"/>
      <c r="AM1247" s="137" t="n"/>
      <c r="AN1247" s="23" t="n"/>
      <c r="AO1247" s="24" t="n"/>
      <c r="AP1247" s="24" t="n"/>
      <c r="AQ1247" s="24" t="n"/>
      <c r="AR1247" s="25" t="n"/>
      <c r="AS1247" s="137" t="n"/>
    </row>
    <row r="1248" hidden="1" outlineLevel="2">
      <c r="A1248" s="8" t="n"/>
      <c r="B1248" s="14" t="n"/>
      <c r="C1248" s="137" t="n"/>
      <c r="D1248" s="137" t="n"/>
      <c r="E1248" s="137" t="n"/>
      <c r="F1248" s="137" t="n"/>
      <c r="G1248" s="137" t="n"/>
      <c r="I1248" s="137" t="n"/>
      <c r="J1248" s="137" t="n"/>
      <c r="K1248" s="137" t="n"/>
      <c r="L1248" s="137" t="n"/>
      <c r="M1248" s="137" t="n"/>
      <c r="N1248" s="137" t="n"/>
      <c r="O1248" s="137" t="n"/>
      <c r="P1248" s="137" t="n"/>
      <c r="Q1248" s="137" t="n"/>
      <c r="R1248" s="137" t="n"/>
      <c r="S1248" s="137" t="n"/>
      <c r="T1248" s="137" t="n"/>
      <c r="U1248" s="137" t="n"/>
      <c r="V1248" s="137" t="n"/>
      <c r="W1248" s="137" t="n"/>
      <c r="X1248" s="137" t="n"/>
      <c r="Y1248" s="137" t="n"/>
      <c r="Z1248" s="137" t="n"/>
      <c r="AB1248" s="137" t="n"/>
      <c r="AC1248" s="137" t="n"/>
      <c r="AD1248" s="137" t="n"/>
      <c r="AE1248" s="137" t="n"/>
      <c r="AF1248" s="137" t="n"/>
      <c r="AG1248" s="137" t="n"/>
      <c r="AH1248" s="137" t="n"/>
      <c r="AI1248" s="137" t="n"/>
      <c r="AJ1248" s="137" t="n"/>
      <c r="AK1248" s="137" t="n"/>
      <c r="AL1248" s="137" t="n"/>
      <c r="AM1248" s="137" t="n"/>
      <c r="AN1248" s="137" t="n"/>
      <c r="AO1248" s="137" t="n"/>
      <c r="AP1248" s="137" t="n"/>
      <c r="AQ1248" s="137" t="n"/>
      <c r="AR1248" s="137" t="n"/>
      <c r="AS1248" s="137" t="n"/>
    </row>
    <row r="1249" hidden="1" outlineLevel="2">
      <c r="A1249" s="8" t="n"/>
      <c r="B1249" s="14" t="n"/>
      <c r="C1249" s="137" t="n"/>
      <c r="D1249" s="137" t="n"/>
      <c r="E1249" s="137" t="n"/>
      <c r="F1249" s="137" t="n"/>
      <c r="G1249" s="137" t="n"/>
      <c r="I1249" s="56" t="inlineStr">
        <is>
          <t>TALENTOS DA TRILHA · CATEGORIA 1</t>
        </is>
      </c>
      <c r="J1249" s="16" t="n"/>
      <c r="K1249" s="16" t="n"/>
      <c r="L1249" s="16" t="n"/>
      <c r="M1249" s="16" t="n"/>
      <c r="N1249" s="16" t="n"/>
      <c r="O1249" s="16" t="n"/>
      <c r="P1249" s="16" t="n"/>
      <c r="Q1249" s="16" t="n"/>
      <c r="R1249" s="16" t="n"/>
      <c r="S1249" s="16" t="n"/>
      <c r="T1249" s="16" t="n"/>
      <c r="U1249" s="16" t="n"/>
      <c r="V1249" s="16" t="n"/>
      <c r="W1249" s="16" t="n"/>
      <c r="X1249" s="16" t="n"/>
      <c r="Y1249" s="17" t="n"/>
      <c r="Z1249" s="137" t="n"/>
      <c r="AB1249" s="56" t="inlineStr">
        <is>
          <t>TALENTOS DA TRILHA · CATEGORIA 1</t>
        </is>
      </c>
      <c r="AC1249" s="16" t="n"/>
      <c r="AD1249" s="16" t="n"/>
      <c r="AE1249" s="16" t="n"/>
      <c r="AF1249" s="16" t="n"/>
      <c r="AG1249" s="16" t="n"/>
      <c r="AH1249" s="16" t="n"/>
      <c r="AI1249" s="16" t="n"/>
      <c r="AJ1249" s="16" t="n"/>
      <c r="AK1249" s="16" t="n"/>
      <c r="AL1249" s="16" t="n"/>
      <c r="AM1249" s="16" t="n"/>
      <c r="AN1249" s="16" t="n"/>
      <c r="AO1249" s="16" t="n"/>
      <c r="AP1249" s="16" t="n"/>
      <c r="AQ1249" s="16" t="n"/>
      <c r="AR1249" s="17" t="n"/>
      <c r="AS1249" s="137" t="n"/>
    </row>
    <row r="1250" hidden="1" outlineLevel="2">
      <c r="A1250" s="8" t="n"/>
      <c r="B1250" s="14" t="n"/>
      <c r="C1250" s="137" t="n"/>
      <c r="D1250" s="137" t="n"/>
      <c r="E1250" s="137" t="n"/>
      <c r="F1250" s="137" t="n"/>
      <c r="G1250" s="137" t="n"/>
      <c r="I1250" s="56" t="inlineStr">
        <is>
          <t>TRILHA · CE 1</t>
        </is>
      </c>
      <c r="J1250" s="144" t="n"/>
      <c r="K1250" s="16" t="n"/>
      <c r="L1250" s="17" t="n"/>
      <c r="M1250" s="150">
        <f>DADOS_INVOC!$IW$7</f>
        <v/>
      </c>
      <c r="N1250" s="16" t="n"/>
      <c r="O1250" s="16" t="n"/>
      <c r="P1250" s="16" t="n"/>
      <c r="Q1250" s="16" t="n"/>
      <c r="R1250" s="16" t="n"/>
      <c r="S1250" s="16" t="n"/>
      <c r="T1250" s="16" t="n"/>
      <c r="U1250" s="16" t="n"/>
      <c r="V1250" s="16" t="n"/>
      <c r="W1250" s="16" t="n"/>
      <c r="X1250" s="16" t="n"/>
      <c r="Y1250" s="17" t="n"/>
      <c r="Z1250" s="137" t="n"/>
      <c r="AB1250" s="56" t="inlineStr">
        <is>
          <t>TRILHA · CE 1</t>
        </is>
      </c>
      <c r="AC1250" s="144" t="n"/>
      <c r="AD1250" s="16" t="n"/>
      <c r="AE1250" s="17" t="n"/>
      <c r="AF1250" s="150">
        <f>DADOS_INVOC!$IW$13</f>
        <v/>
      </c>
      <c r="AG1250" s="16" t="n"/>
      <c r="AH1250" s="16" t="n"/>
      <c r="AI1250" s="16" t="n"/>
      <c r="AJ1250" s="16" t="n"/>
      <c r="AK1250" s="16" t="n"/>
      <c r="AL1250" s="16" t="n"/>
      <c r="AM1250" s="16" t="n"/>
      <c r="AN1250" s="16" t="n"/>
      <c r="AO1250" s="16" t="n"/>
      <c r="AP1250" s="16" t="n"/>
      <c r="AQ1250" s="16" t="n"/>
      <c r="AR1250" s="17" t="n"/>
      <c r="AS1250" s="137" t="n"/>
    </row>
    <row r="1251" hidden="1" outlineLevel="2">
      <c r="A1251" s="8" t="n"/>
      <c r="B1251" s="14" t="n"/>
      <c r="C1251" s="137" t="n"/>
      <c r="D1251" s="137" t="n"/>
      <c r="E1251" s="137" t="n"/>
      <c r="F1251" s="137" t="n"/>
      <c r="G1251" s="137" t="n"/>
      <c r="I1251" s="56" t="inlineStr">
        <is>
          <t>TRILHA · CE 1</t>
        </is>
      </c>
      <c r="J1251" s="144" t="n"/>
      <c r="K1251" s="16" t="n"/>
      <c r="L1251" s="17" t="n"/>
      <c r="M1251" s="150">
        <f>DADOS_INVOC!$IX$7</f>
        <v/>
      </c>
      <c r="N1251" s="16" t="n"/>
      <c r="O1251" s="16" t="n"/>
      <c r="P1251" s="16" t="n"/>
      <c r="Q1251" s="16" t="n"/>
      <c r="R1251" s="16" t="n"/>
      <c r="S1251" s="16" t="n"/>
      <c r="T1251" s="16" t="n"/>
      <c r="U1251" s="16" t="n"/>
      <c r="V1251" s="16" t="n"/>
      <c r="W1251" s="16" t="n"/>
      <c r="X1251" s="16" t="n"/>
      <c r="Y1251" s="17" t="n"/>
      <c r="Z1251" s="137" t="n"/>
      <c r="AB1251" s="56" t="inlineStr">
        <is>
          <t>TRILHA · CE 1</t>
        </is>
      </c>
      <c r="AC1251" s="144" t="n"/>
      <c r="AD1251" s="16" t="n"/>
      <c r="AE1251" s="17" t="n"/>
      <c r="AF1251" s="150">
        <f>DADOS_INVOC!$IX$13</f>
        <v/>
      </c>
      <c r="AG1251" s="16" t="n"/>
      <c r="AH1251" s="16" t="n"/>
      <c r="AI1251" s="16" t="n"/>
      <c r="AJ1251" s="16" t="n"/>
      <c r="AK1251" s="16" t="n"/>
      <c r="AL1251" s="16" t="n"/>
      <c r="AM1251" s="16" t="n"/>
      <c r="AN1251" s="16" t="n"/>
      <c r="AO1251" s="16" t="n"/>
      <c r="AP1251" s="16" t="n"/>
      <c r="AQ1251" s="16" t="n"/>
      <c r="AR1251" s="17" t="n"/>
      <c r="AS1251" s="137" t="n"/>
    </row>
    <row r="1252" hidden="1" outlineLevel="2">
      <c r="A1252" s="8" t="n"/>
      <c r="B1252" s="14" t="n"/>
      <c r="C1252" s="137" t="n"/>
      <c r="D1252" s="137" t="n"/>
      <c r="E1252" s="137" t="n"/>
      <c r="F1252" s="137" t="n"/>
      <c r="G1252" s="137" t="n"/>
      <c r="I1252" s="56" t="inlineStr">
        <is>
          <t>TRILHA · CE 1</t>
        </is>
      </c>
      <c r="J1252" s="144" t="n"/>
      <c r="K1252" s="16" t="n"/>
      <c r="L1252" s="17" t="n"/>
      <c r="M1252" s="150">
        <f>DADOS_INVOC!$IY$7</f>
        <v/>
      </c>
      <c r="N1252" s="16" t="n"/>
      <c r="O1252" s="16" t="n"/>
      <c r="P1252" s="16" t="n"/>
      <c r="Q1252" s="16" t="n"/>
      <c r="R1252" s="16" t="n"/>
      <c r="S1252" s="16" t="n"/>
      <c r="T1252" s="16" t="n"/>
      <c r="U1252" s="16" t="n"/>
      <c r="V1252" s="16" t="n"/>
      <c r="W1252" s="16" t="n"/>
      <c r="X1252" s="16" t="n"/>
      <c r="Y1252" s="17" t="n"/>
      <c r="Z1252" s="137" t="n"/>
      <c r="AB1252" s="56" t="inlineStr">
        <is>
          <t>TRILHA · CE 1</t>
        </is>
      </c>
      <c r="AC1252" s="144" t="n"/>
      <c r="AD1252" s="16" t="n"/>
      <c r="AE1252" s="17" t="n"/>
      <c r="AF1252" s="150">
        <f>DADOS_INVOC!$IY$13</f>
        <v/>
      </c>
      <c r="AG1252" s="16" t="n"/>
      <c r="AH1252" s="16" t="n"/>
      <c r="AI1252" s="16" t="n"/>
      <c r="AJ1252" s="16" t="n"/>
      <c r="AK1252" s="16" t="n"/>
      <c r="AL1252" s="16" t="n"/>
      <c r="AM1252" s="16" t="n"/>
      <c r="AN1252" s="16" t="n"/>
      <c r="AO1252" s="16" t="n"/>
      <c r="AP1252" s="16" t="n"/>
      <c r="AQ1252" s="16" t="n"/>
      <c r="AR1252" s="17" t="n"/>
      <c r="AS1252" s="137" t="n"/>
    </row>
    <row r="1253" hidden="1" outlineLevel="1">
      <c r="A1253" s="8" t="n"/>
      <c r="B1253" s="14" t="n"/>
      <c r="C1253" s="137" t="n"/>
      <c r="D1253" s="137" t="n"/>
      <c r="E1253" s="137" t="n"/>
      <c r="F1253" s="137" t="n"/>
      <c r="G1253" s="137" t="n"/>
      <c r="I1253" s="137" t="n"/>
      <c r="J1253" s="137" t="n"/>
      <c r="K1253" s="137" t="n"/>
      <c r="L1253" s="137" t="n"/>
      <c r="M1253" s="137" t="n"/>
      <c r="N1253" s="137" t="n"/>
      <c r="O1253" s="137" t="n"/>
      <c r="P1253" s="137" t="n"/>
      <c r="Q1253" s="137" t="n"/>
      <c r="R1253" s="137" t="n"/>
      <c r="S1253" s="137" t="n"/>
      <c r="T1253" s="137" t="n"/>
      <c r="U1253" s="137" t="n"/>
      <c r="V1253" s="137" t="n"/>
      <c r="W1253" s="137" t="n"/>
      <c r="X1253" s="137" t="n"/>
      <c r="Y1253" s="137" t="n"/>
      <c r="Z1253" s="137" t="n"/>
      <c r="AB1253" s="137" t="n"/>
      <c r="AC1253" s="137" t="n"/>
      <c r="AD1253" s="137" t="n"/>
      <c r="AE1253" s="137" t="n"/>
      <c r="AF1253" s="137" t="n"/>
      <c r="AG1253" s="137" t="n"/>
      <c r="AH1253" s="137" t="n"/>
      <c r="AI1253" s="137" t="n"/>
      <c r="AJ1253" s="137" t="n"/>
      <c r="AK1253" s="137" t="n"/>
      <c r="AL1253" s="137" t="n"/>
      <c r="AM1253" s="137" t="n"/>
      <c r="AN1253" s="137" t="n"/>
      <c r="AO1253" s="137" t="n"/>
      <c r="AP1253" s="137" t="n"/>
      <c r="AQ1253" s="137" t="n"/>
      <c r="AR1253" s="137" t="n"/>
      <c r="AS1253" s="137" t="n"/>
    </row>
    <row r="1254" hidden="1" outlineLevel="1">
      <c r="A1254" s="8" t="n"/>
      <c r="B1254" s="14" t="n"/>
      <c r="C1254" s="137" t="n"/>
      <c r="D1254" s="137" t="n"/>
      <c r="E1254" s="137" t="n"/>
      <c r="F1254" s="137" t="n"/>
      <c r="G1254" s="137" t="n"/>
      <c r="I1254" s="146" t="inlineStr">
        <is>
          <t>TRUNFOS · Liberação Máxima, Técnica Máxima e Expansão de Domínio, para quem tem técnica própria</t>
        </is>
      </c>
      <c r="J1254" s="16" t="n"/>
      <c r="K1254" s="16" t="n"/>
      <c r="L1254" s="16" t="n"/>
      <c r="M1254" s="16" t="n"/>
      <c r="N1254" s="16" t="n"/>
      <c r="O1254" s="16" t="n"/>
      <c r="P1254" s="16" t="n"/>
      <c r="Q1254" s="16" t="n"/>
      <c r="R1254" s="16" t="n"/>
      <c r="S1254" s="16" t="n"/>
      <c r="T1254" s="16" t="n"/>
      <c r="U1254" s="16" t="n"/>
      <c r="V1254" s="16" t="n"/>
      <c r="W1254" s="16" t="n"/>
      <c r="X1254" s="16" t="n"/>
      <c r="Y1254" s="17" t="n"/>
      <c r="Z1254" s="137" t="n"/>
      <c r="AB1254" s="146" t="inlineStr">
        <is>
          <t>TRUNFOS · Liberação Máxima, Técnica Máxima e Expansão de Domínio, para quem tem técnica própria</t>
        </is>
      </c>
      <c r="AC1254" s="16" t="n"/>
      <c r="AD1254" s="16" t="n"/>
      <c r="AE1254" s="16" t="n"/>
      <c r="AF1254" s="16" t="n"/>
      <c r="AG1254" s="16" t="n"/>
      <c r="AH1254" s="16" t="n"/>
      <c r="AI1254" s="16" t="n"/>
      <c r="AJ1254" s="16" t="n"/>
      <c r="AK1254" s="16" t="n"/>
      <c r="AL1254" s="16" t="n"/>
      <c r="AM1254" s="16" t="n"/>
      <c r="AN1254" s="16" t="n"/>
      <c r="AO1254" s="16" t="n"/>
      <c r="AP1254" s="16" t="n"/>
      <c r="AQ1254" s="16" t="n"/>
      <c r="AR1254" s="17" t="n"/>
      <c r="AS1254" s="137" t="n"/>
    </row>
    <row r="1255" hidden="1" outlineLevel="2">
      <c r="A1255" s="8" t="n"/>
      <c r="B1255" s="14" t="n"/>
      <c r="C1255" s="137" t="n"/>
      <c r="D1255" s="137" t="n"/>
      <c r="E1255" s="137" t="n"/>
      <c r="F1255" s="137" t="n"/>
      <c r="G1255" s="137" t="n"/>
      <c r="I1255" s="137" t="n"/>
      <c r="J1255" s="137" t="n"/>
      <c r="K1255" s="137" t="n"/>
      <c r="L1255" s="137" t="n"/>
      <c r="M1255" s="137" t="n"/>
      <c r="N1255" s="137" t="n"/>
      <c r="O1255" s="137" t="n"/>
      <c r="P1255" s="137" t="n"/>
      <c r="Q1255" s="137" t="n"/>
      <c r="R1255" s="137" t="n"/>
      <c r="S1255" s="137" t="n"/>
      <c r="T1255" s="137" t="n"/>
      <c r="U1255" s="137" t="n"/>
      <c r="V1255" s="137" t="n"/>
      <c r="W1255" s="137" t="n"/>
      <c r="X1255" s="137" t="n"/>
      <c r="Y1255" s="137" t="n"/>
      <c r="Z1255" s="137" t="n"/>
      <c r="AB1255" s="137" t="n"/>
      <c r="AC1255" s="137" t="n"/>
      <c r="AD1255" s="137" t="n"/>
      <c r="AE1255" s="137" t="n"/>
      <c r="AF1255" s="137" t="n"/>
      <c r="AG1255" s="137" t="n"/>
      <c r="AH1255" s="137" t="n"/>
      <c r="AI1255" s="137" t="n"/>
      <c r="AJ1255" s="137" t="n"/>
      <c r="AK1255" s="137" t="n"/>
      <c r="AL1255" s="137" t="n"/>
      <c r="AM1255" s="137" t="n"/>
      <c r="AN1255" s="137" t="n"/>
      <c r="AO1255" s="137" t="n"/>
      <c r="AP1255" s="137" t="n"/>
      <c r="AQ1255" s="137" t="n"/>
      <c r="AR1255" s="137" t="n"/>
      <c r="AS1255" s="137" t="n"/>
    </row>
    <row r="1256" hidden="1" outlineLevel="2">
      <c r="A1256" s="8" t="n"/>
      <c r="B1256" s="14" t="n"/>
      <c r="C1256" s="137" t="n"/>
      <c r="D1256" s="137" t="n"/>
      <c r="E1256" s="137" t="n"/>
      <c r="F1256" s="137" t="n"/>
      <c r="G1256" s="137" t="n"/>
      <c r="I1256" s="56" t="inlineStr">
        <is>
          <t>LIBERAÇÃO MÁXIMA 1</t>
        </is>
      </c>
      <c r="J1256" s="16" t="n"/>
      <c r="K1256" s="16" t="n"/>
      <c r="L1256" s="16" t="n"/>
      <c r="M1256" s="17" t="n"/>
      <c r="N1256" s="137" t="n"/>
      <c r="O1256" s="56" t="inlineStr">
        <is>
          <t>LIBERAÇÃO MÁXIMA 2</t>
        </is>
      </c>
      <c r="P1256" s="16" t="n"/>
      <c r="Q1256" s="16" t="n"/>
      <c r="R1256" s="16" t="n"/>
      <c r="S1256" s="17" t="n"/>
      <c r="T1256" s="137" t="n"/>
      <c r="U1256" s="56" t="inlineStr">
        <is>
          <t>LIBERAÇÃO MÁXIMA 3</t>
        </is>
      </c>
      <c r="V1256" s="16" t="n"/>
      <c r="W1256" s="16" t="n"/>
      <c r="X1256" s="16" t="n"/>
      <c r="Y1256" s="17" t="n"/>
      <c r="Z1256" s="137" t="n"/>
      <c r="AB1256" s="56" t="inlineStr">
        <is>
          <t>LIBERAÇÃO MÁXIMA 1</t>
        </is>
      </c>
      <c r="AC1256" s="16" t="n"/>
      <c r="AD1256" s="16" t="n"/>
      <c r="AE1256" s="16" t="n"/>
      <c r="AF1256" s="17" t="n"/>
      <c r="AG1256" s="137" t="n"/>
      <c r="AH1256" s="56" t="inlineStr">
        <is>
          <t>LIBERAÇÃO MÁXIMA 2</t>
        </is>
      </c>
      <c r="AI1256" s="16" t="n"/>
      <c r="AJ1256" s="16" t="n"/>
      <c r="AK1256" s="16" t="n"/>
      <c r="AL1256" s="17" t="n"/>
      <c r="AM1256" s="137" t="n"/>
      <c r="AN1256" s="56" t="inlineStr">
        <is>
          <t>LIBERAÇÃO MÁXIMA 3</t>
        </is>
      </c>
      <c r="AO1256" s="16" t="n"/>
      <c r="AP1256" s="16" t="n"/>
      <c r="AQ1256" s="16" t="n"/>
      <c r="AR1256" s="17" t="n"/>
      <c r="AS1256" s="137" t="n"/>
    </row>
    <row r="1257" hidden="1" outlineLevel="2">
      <c r="A1257" s="8" t="n"/>
      <c r="B1257" s="14" t="n"/>
      <c r="C1257" s="137" t="n"/>
      <c r="D1257" s="137" t="n"/>
      <c r="E1257" s="137" t="n"/>
      <c r="F1257" s="137" t="n"/>
      <c r="G1257" s="137" t="n"/>
      <c r="I1257" s="141" t="n">
        <v>3</v>
      </c>
      <c r="J1257" s="131" t="n"/>
      <c r="K1257" s="16" t="n"/>
      <c r="L1257" s="17" t="n"/>
      <c r="M1257" s="142">
        <f>DADOS_INVOC!$IZ$7</f>
        <v/>
      </c>
      <c r="N1257" s="137" t="n"/>
      <c r="O1257" s="141" t="n">
        <v>3</v>
      </c>
      <c r="P1257" s="131" t="n"/>
      <c r="Q1257" s="16" t="n"/>
      <c r="R1257" s="17" t="n"/>
      <c r="S1257" s="142">
        <f>DADOS_INVOC!$JA$7</f>
        <v/>
      </c>
      <c r="T1257" s="137" t="n"/>
      <c r="U1257" s="141" t="n">
        <v>3</v>
      </c>
      <c r="V1257" s="131" t="n"/>
      <c r="W1257" s="16" t="n"/>
      <c r="X1257" s="17" t="n"/>
      <c r="Y1257" s="142">
        <f>DADOS_INVOC!$JB$7</f>
        <v/>
      </c>
      <c r="Z1257" s="137" t="n"/>
      <c r="AB1257" s="141" t="n">
        <v>3</v>
      </c>
      <c r="AC1257" s="131" t="n"/>
      <c r="AD1257" s="16" t="n"/>
      <c r="AE1257" s="17" t="n"/>
      <c r="AF1257" s="142">
        <f>DADOS_INVOC!$IZ$13</f>
        <v/>
      </c>
      <c r="AG1257" s="137" t="n"/>
      <c r="AH1257" s="141" t="n">
        <v>3</v>
      </c>
      <c r="AI1257" s="131" t="n"/>
      <c r="AJ1257" s="16" t="n"/>
      <c r="AK1257" s="17" t="n"/>
      <c r="AL1257" s="142">
        <f>DADOS_INVOC!$JA$13</f>
        <v/>
      </c>
      <c r="AM1257" s="137" t="n"/>
      <c r="AN1257" s="141" t="n">
        <v>3</v>
      </c>
      <c r="AO1257" s="131" t="n"/>
      <c r="AP1257" s="16" t="n"/>
      <c r="AQ1257" s="17" t="n"/>
      <c r="AR1257" s="142">
        <f>DADOS_INVOC!$JB$13</f>
        <v/>
      </c>
      <c r="AS1257" s="137" t="n"/>
    </row>
    <row r="1258" hidden="1" outlineLevel="2">
      <c r="A1258" s="8" t="n"/>
      <c r="B1258" s="14" t="n"/>
      <c r="C1258" s="137" t="n"/>
      <c r="D1258" s="137" t="n"/>
      <c r="E1258" s="137" t="n"/>
      <c r="F1258" s="137" t="n"/>
      <c r="G1258" s="137" t="n"/>
      <c r="I1258" s="61" t="n"/>
      <c r="J1258" s="19" t="n"/>
      <c r="K1258" s="19" t="n"/>
      <c r="L1258" s="19" t="n"/>
      <c r="M1258" s="20" t="n"/>
      <c r="N1258" s="137" t="n"/>
      <c r="O1258" s="61" t="n"/>
      <c r="P1258" s="19" t="n"/>
      <c r="Q1258" s="19" t="n"/>
      <c r="R1258" s="19" t="n"/>
      <c r="S1258" s="20" t="n"/>
      <c r="T1258" s="137" t="n"/>
      <c r="U1258" s="61" t="n"/>
      <c r="V1258" s="19" t="n"/>
      <c r="W1258" s="19" t="n"/>
      <c r="X1258" s="19" t="n"/>
      <c r="Y1258" s="20" t="n"/>
      <c r="Z1258" s="137" t="n"/>
      <c r="AB1258" s="61" t="n"/>
      <c r="AC1258" s="19" t="n"/>
      <c r="AD1258" s="19" t="n"/>
      <c r="AE1258" s="19" t="n"/>
      <c r="AF1258" s="20" t="n"/>
      <c r="AG1258" s="137" t="n"/>
      <c r="AH1258" s="61" t="n"/>
      <c r="AI1258" s="19" t="n"/>
      <c r="AJ1258" s="19" t="n"/>
      <c r="AK1258" s="19" t="n"/>
      <c r="AL1258" s="20" t="n"/>
      <c r="AM1258" s="137" t="n"/>
      <c r="AN1258" s="61" t="n"/>
      <c r="AO1258" s="19" t="n"/>
      <c r="AP1258" s="19" t="n"/>
      <c r="AQ1258" s="19" t="n"/>
      <c r="AR1258" s="20" t="n"/>
      <c r="AS1258" s="137" t="n"/>
    </row>
    <row r="1259" hidden="1" outlineLevel="2">
      <c r="A1259" s="8" t="n"/>
      <c r="B1259" s="14" t="n"/>
      <c r="C1259" s="137" t="n"/>
      <c r="D1259" s="137" t="n"/>
      <c r="E1259" s="137" t="n"/>
      <c r="F1259" s="137" t="n"/>
      <c r="G1259" s="137" t="n"/>
      <c r="I1259" s="21" t="n"/>
      <c r="M1259" s="22" t="n"/>
      <c r="N1259" s="137" t="n"/>
      <c r="O1259" s="21" t="n"/>
      <c r="S1259" s="22" t="n"/>
      <c r="T1259" s="137" t="n"/>
      <c r="U1259" s="21" t="n"/>
      <c r="Y1259" s="22" t="n"/>
      <c r="Z1259" s="137" t="n"/>
      <c r="AB1259" s="21" t="n"/>
      <c r="AF1259" s="22" t="n"/>
      <c r="AG1259" s="137" t="n"/>
      <c r="AH1259" s="21" t="n"/>
      <c r="AL1259" s="22" t="n"/>
      <c r="AM1259" s="137" t="n"/>
      <c r="AN1259" s="21" t="n"/>
      <c r="AR1259" s="22" t="n"/>
      <c r="AS1259" s="137" t="n"/>
    </row>
    <row r="1260" hidden="1" outlineLevel="2">
      <c r="A1260" s="8" t="n"/>
      <c r="B1260" s="14" t="n"/>
      <c r="C1260" s="137" t="n"/>
      <c r="D1260" s="137" t="n"/>
      <c r="E1260" s="137" t="n"/>
      <c r="F1260" s="137" t="n"/>
      <c r="G1260" s="137" t="n"/>
      <c r="I1260" s="21" t="n"/>
      <c r="M1260" s="22" t="n"/>
      <c r="N1260" s="137" t="n"/>
      <c r="O1260" s="21" t="n"/>
      <c r="S1260" s="22" t="n"/>
      <c r="T1260" s="137" t="n"/>
      <c r="U1260" s="21" t="n"/>
      <c r="Y1260" s="22" t="n"/>
      <c r="Z1260" s="137" t="n"/>
      <c r="AB1260" s="21" t="n"/>
      <c r="AF1260" s="22" t="n"/>
      <c r="AG1260" s="137" t="n"/>
      <c r="AH1260" s="21" t="n"/>
      <c r="AL1260" s="22" t="n"/>
      <c r="AM1260" s="137" t="n"/>
      <c r="AN1260" s="21" t="n"/>
      <c r="AR1260" s="22" t="n"/>
      <c r="AS1260" s="137" t="n"/>
    </row>
    <row r="1261" hidden="1" outlineLevel="2">
      <c r="A1261" s="8" t="n"/>
      <c r="B1261" s="14" t="n"/>
      <c r="C1261" s="137" t="n"/>
      <c r="D1261" s="137" t="n"/>
      <c r="E1261" s="137" t="n"/>
      <c r="F1261" s="137" t="n"/>
      <c r="G1261" s="137" t="n"/>
      <c r="I1261" s="23" t="n"/>
      <c r="J1261" s="24" t="n"/>
      <c r="K1261" s="24" t="n"/>
      <c r="L1261" s="24" t="n"/>
      <c r="M1261" s="25" t="n"/>
      <c r="N1261" s="137" t="n"/>
      <c r="O1261" s="23" t="n"/>
      <c r="P1261" s="24" t="n"/>
      <c r="Q1261" s="24" t="n"/>
      <c r="R1261" s="24" t="n"/>
      <c r="S1261" s="25" t="n"/>
      <c r="T1261" s="137" t="n"/>
      <c r="U1261" s="23" t="n"/>
      <c r="V1261" s="24" t="n"/>
      <c r="W1261" s="24" t="n"/>
      <c r="X1261" s="24" t="n"/>
      <c r="Y1261" s="25" t="n"/>
      <c r="Z1261" s="137" t="n"/>
      <c r="AB1261" s="23" t="n"/>
      <c r="AC1261" s="24" t="n"/>
      <c r="AD1261" s="24" t="n"/>
      <c r="AE1261" s="24" t="n"/>
      <c r="AF1261" s="25" t="n"/>
      <c r="AG1261" s="137" t="n"/>
      <c r="AH1261" s="23" t="n"/>
      <c r="AI1261" s="24" t="n"/>
      <c r="AJ1261" s="24" t="n"/>
      <c r="AK1261" s="24" t="n"/>
      <c r="AL1261" s="25" t="n"/>
      <c r="AM1261" s="137" t="n"/>
      <c r="AN1261" s="23" t="n"/>
      <c r="AO1261" s="24" t="n"/>
      <c r="AP1261" s="24" t="n"/>
      <c r="AQ1261" s="24" t="n"/>
      <c r="AR1261" s="25" t="n"/>
      <c r="AS1261" s="137" t="n"/>
    </row>
    <row r="1262" hidden="1" outlineLevel="2">
      <c r="A1262" s="8" t="n"/>
      <c r="B1262" s="14" t="n"/>
      <c r="C1262" s="137" t="n"/>
      <c r="D1262" s="137" t="n"/>
      <c r="E1262" s="137" t="n"/>
      <c r="F1262" s="137" t="n"/>
      <c r="G1262" s="137" t="n"/>
      <c r="I1262" s="71">
        <f>DADOS_INVOC!$JC$7</f>
        <v/>
      </c>
      <c r="J1262" s="16" t="n"/>
      <c r="K1262" s="16" t="n"/>
      <c r="L1262" s="16" t="n"/>
      <c r="M1262" s="17" t="n"/>
      <c r="N1262" s="137" t="n"/>
      <c r="O1262" s="71">
        <f>DADOS_INVOC!$JD$7</f>
        <v/>
      </c>
      <c r="P1262" s="16" t="n"/>
      <c r="Q1262" s="16" t="n"/>
      <c r="R1262" s="16" t="n"/>
      <c r="S1262" s="17" t="n"/>
      <c r="T1262" s="137" t="n"/>
      <c r="U1262" s="71">
        <f>DADOS_INVOC!$JE$7</f>
        <v/>
      </c>
      <c r="V1262" s="16" t="n"/>
      <c r="W1262" s="16" t="n"/>
      <c r="X1262" s="16" t="n"/>
      <c r="Y1262" s="17" t="n"/>
      <c r="Z1262" s="137" t="n"/>
      <c r="AB1262" s="71">
        <f>DADOS_INVOC!$JC$13</f>
        <v/>
      </c>
      <c r="AC1262" s="16" t="n"/>
      <c r="AD1262" s="16" t="n"/>
      <c r="AE1262" s="16" t="n"/>
      <c r="AF1262" s="17" t="n"/>
      <c r="AG1262" s="137" t="n"/>
      <c r="AH1262" s="71">
        <f>DADOS_INVOC!$JD$13</f>
        <v/>
      </c>
      <c r="AI1262" s="16" t="n"/>
      <c r="AJ1262" s="16" t="n"/>
      <c r="AK1262" s="16" t="n"/>
      <c r="AL1262" s="17" t="n"/>
      <c r="AM1262" s="137" t="n"/>
      <c r="AN1262" s="71">
        <f>DADOS_INVOC!$JE$13</f>
        <v/>
      </c>
      <c r="AO1262" s="16" t="n"/>
      <c r="AP1262" s="16" t="n"/>
      <c r="AQ1262" s="16" t="n"/>
      <c r="AR1262" s="17" t="n"/>
      <c r="AS1262" s="137" t="n"/>
    </row>
    <row r="1263" hidden="1" outlineLevel="2">
      <c r="A1263" s="8" t="n"/>
      <c r="B1263" s="14" t="n"/>
      <c r="C1263" s="137" t="n"/>
      <c r="D1263" s="137" t="n"/>
      <c r="E1263" s="137" t="n"/>
      <c r="F1263" s="137" t="n"/>
      <c r="G1263" s="137" t="n"/>
      <c r="I1263" s="95" t="inlineStr">
        <is>
          <t>Sua Ação Completa + a básica dela</t>
        </is>
      </c>
      <c r="J1263" s="16" t="n"/>
      <c r="K1263" s="16" t="n"/>
      <c r="L1263" s="16" t="n"/>
      <c r="M1263" s="17" t="n"/>
      <c r="N1263" s="137" t="n"/>
      <c r="O1263" s="95" t="inlineStr">
        <is>
          <t>Sua Ação Completa + a básica dela</t>
        </is>
      </c>
      <c r="P1263" s="16" t="n"/>
      <c r="Q1263" s="16" t="n"/>
      <c r="R1263" s="16" t="n"/>
      <c r="S1263" s="17" t="n"/>
      <c r="T1263" s="137" t="n"/>
      <c r="U1263" s="95" t="inlineStr">
        <is>
          <t>Sua Ação Completa + a básica dela</t>
        </is>
      </c>
      <c r="V1263" s="16" t="n"/>
      <c r="W1263" s="16" t="n"/>
      <c r="X1263" s="16" t="n"/>
      <c r="Y1263" s="17" t="n"/>
      <c r="Z1263" s="137" t="n"/>
      <c r="AB1263" s="95" t="inlineStr">
        <is>
          <t>Sua Ação Completa + a básica dela</t>
        </is>
      </c>
      <c r="AC1263" s="16" t="n"/>
      <c r="AD1263" s="16" t="n"/>
      <c r="AE1263" s="16" t="n"/>
      <c r="AF1263" s="17" t="n"/>
      <c r="AG1263" s="137" t="n"/>
      <c r="AH1263" s="95" t="inlineStr">
        <is>
          <t>Sua Ação Completa + a básica dela</t>
        </is>
      </c>
      <c r="AI1263" s="16" t="n"/>
      <c r="AJ1263" s="16" t="n"/>
      <c r="AK1263" s="16" t="n"/>
      <c r="AL1263" s="17" t="n"/>
      <c r="AM1263" s="137" t="n"/>
      <c r="AN1263" s="95" t="inlineStr">
        <is>
          <t>Sua Ação Completa + a básica dela</t>
        </is>
      </c>
      <c r="AO1263" s="16" t="n"/>
      <c r="AP1263" s="16" t="n"/>
      <c r="AQ1263" s="16" t="n"/>
      <c r="AR1263" s="17" t="n"/>
      <c r="AS1263" s="137" t="n"/>
    </row>
    <row r="1264" hidden="1" outlineLevel="2">
      <c r="A1264" s="8" t="n"/>
      <c r="B1264" s="14" t="n"/>
      <c r="C1264" s="137" t="n"/>
      <c r="D1264" s="137" t="n"/>
      <c r="E1264" s="137" t="n"/>
      <c r="F1264" s="137" t="n"/>
      <c r="G1264" s="137" t="n"/>
      <c r="I1264" s="137" t="n"/>
      <c r="J1264" s="137" t="n"/>
      <c r="K1264" s="137" t="n"/>
      <c r="L1264" s="137" t="n"/>
      <c r="M1264" s="137" t="n"/>
      <c r="N1264" s="137" t="n"/>
      <c r="O1264" s="137" t="n"/>
      <c r="P1264" s="137" t="n"/>
      <c r="Q1264" s="137" t="n"/>
      <c r="R1264" s="137" t="n"/>
      <c r="S1264" s="137" t="n"/>
      <c r="T1264" s="137" t="n"/>
      <c r="U1264" s="137" t="n"/>
      <c r="V1264" s="137" t="n"/>
      <c r="W1264" s="137" t="n"/>
      <c r="X1264" s="137" t="n"/>
      <c r="Y1264" s="137" t="n"/>
      <c r="Z1264" s="137" t="n"/>
      <c r="AB1264" s="137" t="n"/>
      <c r="AC1264" s="137" t="n"/>
      <c r="AD1264" s="137" t="n"/>
      <c r="AE1264" s="137" t="n"/>
      <c r="AF1264" s="137" t="n"/>
      <c r="AG1264" s="137" t="n"/>
      <c r="AH1264" s="137" t="n"/>
      <c r="AI1264" s="137" t="n"/>
      <c r="AJ1264" s="137" t="n"/>
      <c r="AK1264" s="137" t="n"/>
      <c r="AL1264" s="137" t="n"/>
      <c r="AM1264" s="137" t="n"/>
      <c r="AN1264" s="137" t="n"/>
      <c r="AO1264" s="137" t="n"/>
      <c r="AP1264" s="137" t="n"/>
      <c r="AQ1264" s="137" t="n"/>
      <c r="AR1264" s="137" t="n"/>
      <c r="AS1264" s="137" t="n"/>
    </row>
    <row r="1265" hidden="1" outlineLevel="2">
      <c r="A1265" s="8" t="n"/>
      <c r="B1265" s="14" t="n"/>
      <c r="C1265" s="137" t="n"/>
      <c r="D1265" s="137" t="n"/>
      <c r="E1265" s="137" t="n"/>
      <c r="F1265" s="137" t="n"/>
      <c r="G1265" s="137" t="n"/>
      <c r="I1265" s="56" t="inlineStr">
        <is>
          <t>TÉCNICA MÁXIMA</t>
        </is>
      </c>
      <c r="J1265" s="16" t="n"/>
      <c r="K1265" s="16" t="n"/>
      <c r="L1265" s="16" t="n"/>
      <c r="M1265" s="17" t="n"/>
      <c r="N1265" s="137" t="n"/>
      <c r="O1265" s="56" t="inlineStr">
        <is>
          <t>EXPANSÃO DE DOMÍNIO</t>
        </is>
      </c>
      <c r="P1265" s="16" t="n"/>
      <c r="Q1265" s="16" t="n"/>
      <c r="R1265" s="16" t="n"/>
      <c r="S1265" s="17" t="n"/>
      <c r="T1265" s="137" t="n"/>
      <c r="U1265" s="137" t="n"/>
      <c r="V1265" s="137" t="n"/>
      <c r="W1265" s="137" t="n"/>
      <c r="X1265" s="137" t="n"/>
      <c r="Y1265" s="137" t="n"/>
      <c r="Z1265" s="137" t="n"/>
      <c r="AB1265" s="56" t="inlineStr">
        <is>
          <t>TÉCNICA MÁXIMA</t>
        </is>
      </c>
      <c r="AC1265" s="16" t="n"/>
      <c r="AD1265" s="16" t="n"/>
      <c r="AE1265" s="16" t="n"/>
      <c r="AF1265" s="17" t="n"/>
      <c r="AG1265" s="137" t="n"/>
      <c r="AH1265" s="56" t="inlineStr">
        <is>
          <t>EXPANSÃO DE DOMÍNIO</t>
        </is>
      </c>
      <c r="AI1265" s="16" t="n"/>
      <c r="AJ1265" s="16" t="n"/>
      <c r="AK1265" s="16" t="n"/>
      <c r="AL1265" s="17" t="n"/>
      <c r="AM1265" s="137" t="n"/>
      <c r="AN1265" s="137" t="n"/>
      <c r="AO1265" s="137" t="n"/>
      <c r="AP1265" s="137" t="n"/>
      <c r="AQ1265" s="137" t="n"/>
      <c r="AR1265" s="137" t="n"/>
      <c r="AS1265" s="137" t="n"/>
    </row>
    <row r="1266" hidden="1" outlineLevel="2">
      <c r="A1266" s="8" t="n"/>
      <c r="B1266" s="14" t="n"/>
      <c r="C1266" s="137" t="n"/>
      <c r="D1266" s="137" t="n"/>
      <c r="E1266" s="137" t="n"/>
      <c r="F1266" s="137" t="n"/>
      <c r="G1266" s="137" t="n"/>
      <c r="I1266" s="131" t="n"/>
      <c r="J1266" s="16" t="n"/>
      <c r="K1266" s="16" t="n"/>
      <c r="L1266" s="17" t="n"/>
      <c r="M1266" s="142">
        <f>DADOS_INVOC!$JF$7</f>
        <v/>
      </c>
      <c r="N1266" s="137" t="n"/>
      <c r="O1266" s="131" t="n"/>
      <c r="P1266" s="16" t="n"/>
      <c r="Q1266" s="16" t="n"/>
      <c r="R1266" s="17" t="n"/>
      <c r="S1266" s="142">
        <f>DADOS_INVOC!$JH$7</f>
        <v/>
      </c>
      <c r="T1266" s="137" t="n"/>
      <c r="U1266" s="137" t="n"/>
      <c r="V1266" s="137" t="n"/>
      <c r="W1266" s="137" t="n"/>
      <c r="X1266" s="137" t="n"/>
      <c r="Y1266" s="137" t="n"/>
      <c r="Z1266" s="137" t="n"/>
      <c r="AB1266" s="131" t="n"/>
      <c r="AC1266" s="16" t="n"/>
      <c r="AD1266" s="16" t="n"/>
      <c r="AE1266" s="17" t="n"/>
      <c r="AF1266" s="142">
        <f>DADOS_INVOC!$JF$13</f>
        <v/>
      </c>
      <c r="AG1266" s="137" t="n"/>
      <c r="AH1266" s="131" t="n"/>
      <c r="AI1266" s="16" t="n"/>
      <c r="AJ1266" s="16" t="n"/>
      <c r="AK1266" s="17" t="n"/>
      <c r="AL1266" s="142">
        <f>DADOS_INVOC!$JH$13</f>
        <v/>
      </c>
      <c r="AM1266" s="137" t="n"/>
      <c r="AN1266" s="137" t="n"/>
      <c r="AO1266" s="137" t="n"/>
      <c r="AP1266" s="137" t="n"/>
      <c r="AQ1266" s="137" t="n"/>
      <c r="AR1266" s="137" t="n"/>
      <c r="AS1266" s="137" t="n"/>
    </row>
    <row r="1267" hidden="1" outlineLevel="2">
      <c r="A1267" s="8" t="n"/>
      <c r="B1267" s="14" t="n"/>
      <c r="C1267" s="137" t="n"/>
      <c r="D1267" s="137" t="n"/>
      <c r="E1267" s="137" t="n"/>
      <c r="F1267" s="137" t="n"/>
      <c r="G1267" s="137" t="n"/>
      <c r="I1267" s="61" t="n"/>
      <c r="J1267" s="19" t="n"/>
      <c r="K1267" s="19" t="n"/>
      <c r="L1267" s="19" t="n"/>
      <c r="M1267" s="20" t="n"/>
      <c r="N1267" s="137" t="n"/>
      <c r="O1267" s="61" t="n"/>
      <c r="P1267" s="19" t="n"/>
      <c r="Q1267" s="19" t="n"/>
      <c r="R1267" s="19" t="n"/>
      <c r="S1267" s="20" t="n"/>
      <c r="T1267" s="137" t="n"/>
      <c r="U1267" s="137" t="n"/>
      <c r="V1267" s="137" t="n"/>
      <c r="W1267" s="137" t="n"/>
      <c r="X1267" s="137" t="n"/>
      <c r="Y1267" s="137" t="n"/>
      <c r="Z1267" s="137" t="n"/>
      <c r="AB1267" s="61" t="n"/>
      <c r="AC1267" s="19" t="n"/>
      <c r="AD1267" s="19" t="n"/>
      <c r="AE1267" s="19" t="n"/>
      <c r="AF1267" s="20" t="n"/>
      <c r="AG1267" s="137" t="n"/>
      <c r="AH1267" s="61" t="n"/>
      <c r="AI1267" s="19" t="n"/>
      <c r="AJ1267" s="19" t="n"/>
      <c r="AK1267" s="19" t="n"/>
      <c r="AL1267" s="20" t="n"/>
      <c r="AM1267" s="137" t="n"/>
      <c r="AN1267" s="137" t="n"/>
      <c r="AO1267" s="137" t="n"/>
      <c r="AP1267" s="137" t="n"/>
      <c r="AQ1267" s="137" t="n"/>
      <c r="AR1267" s="137" t="n"/>
      <c r="AS1267" s="137" t="n"/>
    </row>
    <row r="1268" hidden="1" outlineLevel="2">
      <c r="A1268" s="8" t="n"/>
      <c r="B1268" s="14" t="n"/>
      <c r="C1268" s="137" t="n"/>
      <c r="D1268" s="137" t="n"/>
      <c r="E1268" s="137" t="n"/>
      <c r="F1268" s="137" t="n"/>
      <c r="G1268" s="137" t="n"/>
      <c r="I1268" s="21" t="n"/>
      <c r="M1268" s="22" t="n"/>
      <c r="N1268" s="137" t="n"/>
      <c r="O1268" s="21" t="n"/>
      <c r="S1268" s="22" t="n"/>
      <c r="T1268" s="137" t="n"/>
      <c r="U1268" s="137" t="n"/>
      <c r="V1268" s="137" t="n"/>
      <c r="W1268" s="137" t="n"/>
      <c r="X1268" s="137" t="n"/>
      <c r="Y1268" s="137" t="n"/>
      <c r="Z1268" s="137" t="n"/>
      <c r="AB1268" s="21" t="n"/>
      <c r="AF1268" s="22" t="n"/>
      <c r="AG1268" s="137" t="n"/>
      <c r="AH1268" s="21" t="n"/>
      <c r="AL1268" s="22" t="n"/>
      <c r="AM1268" s="137" t="n"/>
      <c r="AN1268" s="137" t="n"/>
      <c r="AO1268" s="137" t="n"/>
      <c r="AP1268" s="137" t="n"/>
      <c r="AQ1268" s="137" t="n"/>
      <c r="AR1268" s="137" t="n"/>
      <c r="AS1268" s="137" t="n"/>
    </row>
    <row r="1269" hidden="1" outlineLevel="2">
      <c r="A1269" s="8" t="n"/>
      <c r="B1269" s="14" t="n"/>
      <c r="C1269" s="137" t="n"/>
      <c r="D1269" s="137" t="n"/>
      <c r="E1269" s="137" t="n"/>
      <c r="F1269" s="137" t="n"/>
      <c r="G1269" s="137" t="n"/>
      <c r="I1269" s="21" t="n"/>
      <c r="M1269" s="22" t="n"/>
      <c r="N1269" s="137" t="n"/>
      <c r="O1269" s="21" t="n"/>
      <c r="S1269" s="22" t="n"/>
      <c r="T1269" s="137" t="n"/>
      <c r="U1269" s="137" t="n"/>
      <c r="V1269" s="137" t="n"/>
      <c r="W1269" s="137" t="n"/>
      <c r="X1269" s="137" t="n"/>
      <c r="Y1269" s="137" t="n"/>
      <c r="Z1269" s="137" t="n"/>
      <c r="AB1269" s="21" t="n"/>
      <c r="AF1269" s="22" t="n"/>
      <c r="AG1269" s="137" t="n"/>
      <c r="AH1269" s="21" t="n"/>
      <c r="AL1269" s="22" t="n"/>
      <c r="AM1269" s="137" t="n"/>
      <c r="AN1269" s="137" t="n"/>
      <c r="AO1269" s="137" t="n"/>
      <c r="AP1269" s="137" t="n"/>
      <c r="AQ1269" s="137" t="n"/>
      <c r="AR1269" s="137" t="n"/>
      <c r="AS1269" s="137" t="n"/>
    </row>
    <row r="1270" hidden="1" outlineLevel="2">
      <c r="A1270" s="8" t="n"/>
      <c r="B1270" s="14" t="n"/>
      <c r="C1270" s="137" t="n"/>
      <c r="D1270" s="137" t="n"/>
      <c r="E1270" s="137" t="n"/>
      <c r="F1270" s="137" t="n"/>
      <c r="G1270" s="137" t="n"/>
      <c r="I1270" s="23" t="n"/>
      <c r="J1270" s="24" t="n"/>
      <c r="K1270" s="24" t="n"/>
      <c r="L1270" s="24" t="n"/>
      <c r="M1270" s="25" t="n"/>
      <c r="N1270" s="137" t="n"/>
      <c r="O1270" s="23" t="n"/>
      <c r="P1270" s="24" t="n"/>
      <c r="Q1270" s="24" t="n"/>
      <c r="R1270" s="24" t="n"/>
      <c r="S1270" s="25" t="n"/>
      <c r="T1270" s="137" t="n"/>
      <c r="U1270" s="137" t="n"/>
      <c r="V1270" s="137" t="n"/>
      <c r="W1270" s="137" t="n"/>
      <c r="X1270" s="137" t="n"/>
      <c r="Y1270" s="137" t="n"/>
      <c r="Z1270" s="137" t="n"/>
      <c r="AB1270" s="23" t="n"/>
      <c r="AC1270" s="24" t="n"/>
      <c r="AD1270" s="24" t="n"/>
      <c r="AE1270" s="24" t="n"/>
      <c r="AF1270" s="25" t="n"/>
      <c r="AG1270" s="137" t="n"/>
      <c r="AH1270" s="23" t="n"/>
      <c r="AI1270" s="24" t="n"/>
      <c r="AJ1270" s="24" t="n"/>
      <c r="AK1270" s="24" t="n"/>
      <c r="AL1270" s="25" t="n"/>
      <c r="AM1270" s="137" t="n"/>
      <c r="AN1270" s="137" t="n"/>
      <c r="AO1270" s="137" t="n"/>
      <c r="AP1270" s="137" t="n"/>
      <c r="AQ1270" s="137" t="n"/>
      <c r="AR1270" s="137" t="n"/>
      <c r="AS1270" s="137" t="n"/>
    </row>
    <row r="1271" hidden="1" outlineLevel="2">
      <c r="A1271" s="8" t="n"/>
      <c r="B1271" s="14" t="n"/>
      <c r="C1271" s="137" t="n"/>
      <c r="D1271" s="137" t="n"/>
      <c r="E1271" s="137" t="n"/>
      <c r="F1271" s="137" t="n"/>
      <c r="G1271" s="137" t="n"/>
      <c r="I1271" s="71">
        <f>DADOS_INVOC!$JG$7</f>
        <v/>
      </c>
      <c r="J1271" s="16" t="n"/>
      <c r="K1271" s="16" t="n"/>
      <c r="L1271" s="16" t="n"/>
      <c r="M1271" s="17" t="n"/>
      <c r="N1271" s="137" t="n"/>
      <c r="O1271" s="95" t="n"/>
      <c r="P1271" s="17" t="n"/>
      <c r="Q1271" s="71">
        <f>DADOS_INVOC!$JI$7</f>
        <v/>
      </c>
      <c r="R1271" s="16" t="n"/>
      <c r="S1271" s="17" t="n"/>
      <c r="T1271" s="137" t="n"/>
      <c r="U1271" s="137" t="n"/>
      <c r="V1271" s="137" t="n"/>
      <c r="W1271" s="137" t="n"/>
      <c r="X1271" s="137" t="n"/>
      <c r="Y1271" s="137" t="n"/>
      <c r="Z1271" s="137" t="n"/>
      <c r="AB1271" s="71">
        <f>DADOS_INVOC!$JG$13</f>
        <v/>
      </c>
      <c r="AC1271" s="16" t="n"/>
      <c r="AD1271" s="16" t="n"/>
      <c r="AE1271" s="16" t="n"/>
      <c r="AF1271" s="17" t="n"/>
      <c r="AG1271" s="137" t="n"/>
      <c r="AH1271" s="95" t="n"/>
      <c r="AI1271" s="17" t="n"/>
      <c r="AJ1271" s="71">
        <f>DADOS_INVOC!$JI$13</f>
        <v/>
      </c>
      <c r="AK1271" s="16" t="n"/>
      <c r="AL1271" s="17" t="n"/>
      <c r="AM1271" s="137" t="n"/>
      <c r="AN1271" s="137" t="n"/>
      <c r="AO1271" s="137" t="n"/>
      <c r="AP1271" s="137" t="n"/>
      <c r="AQ1271" s="137" t="n"/>
      <c r="AR1271" s="137" t="n"/>
      <c r="AS1271" s="137" t="n"/>
    </row>
    <row r="1272" hidden="1" outlineLevel="2">
      <c r="A1272" s="8" t="n"/>
      <c r="B1272" s="14" t="n"/>
      <c r="C1272" s="137" t="n"/>
      <c r="D1272" s="137" t="n"/>
      <c r="E1272" s="137" t="n"/>
      <c r="F1272" s="137" t="n"/>
      <c r="G1272" s="137" t="n"/>
      <c r="I1272" s="95" t="inlineStr">
        <is>
          <t>Sua Ação Completa + a básica dela</t>
        </is>
      </c>
      <c r="J1272" s="16" t="n"/>
      <c r="K1272" s="16" t="n"/>
      <c r="L1272" s="16" t="n"/>
      <c r="M1272" s="17" t="n"/>
      <c r="N1272" s="137" t="n"/>
      <c r="O1272" s="143">
        <f>DADOS_INVOC!$JJ$7</f>
        <v/>
      </c>
      <c r="P1272" s="16" t="n"/>
      <c r="Q1272" s="16" t="n"/>
      <c r="R1272" s="16" t="n"/>
      <c r="S1272" s="17" t="n"/>
      <c r="T1272" s="137" t="n"/>
      <c r="U1272" s="137" t="n"/>
      <c r="V1272" s="137" t="n"/>
      <c r="W1272" s="137" t="n"/>
      <c r="X1272" s="137" t="n"/>
      <c r="Y1272" s="137" t="n"/>
      <c r="Z1272" s="137" t="n"/>
      <c r="AB1272" s="95" t="inlineStr">
        <is>
          <t>Sua Ação Completa + a básica dela</t>
        </is>
      </c>
      <c r="AC1272" s="16" t="n"/>
      <c r="AD1272" s="16" t="n"/>
      <c r="AE1272" s="16" t="n"/>
      <c r="AF1272" s="17" t="n"/>
      <c r="AG1272" s="137" t="n"/>
      <c r="AH1272" s="143">
        <f>DADOS_INVOC!$JJ$13</f>
        <v/>
      </c>
      <c r="AI1272" s="16" t="n"/>
      <c r="AJ1272" s="16" t="n"/>
      <c r="AK1272" s="16" t="n"/>
      <c r="AL1272" s="17" t="n"/>
      <c r="AM1272" s="137" t="n"/>
      <c r="AN1272" s="137" t="n"/>
      <c r="AO1272" s="137" t="n"/>
      <c r="AP1272" s="137" t="n"/>
      <c r="AQ1272" s="137" t="n"/>
      <c r="AR1272" s="137" t="n"/>
      <c r="AS1272" s="137" t="n"/>
    </row>
    <row r="1273">
      <c r="A1273" s="8" t="n"/>
      <c r="B1273" s="14" t="n"/>
      <c r="C1273" s="137" t="n"/>
      <c r="D1273" s="137" t="n"/>
      <c r="E1273" s="137" t="n"/>
      <c r="F1273" s="137" t="n"/>
      <c r="G1273" s="137" t="n"/>
      <c r="H1273" s="137" t="n"/>
      <c r="I1273" s="137" t="n"/>
      <c r="J1273" s="137" t="n"/>
      <c r="K1273" s="137" t="n"/>
      <c r="L1273" s="137" t="n"/>
      <c r="M1273" s="137" t="n"/>
      <c r="N1273" s="137" t="n"/>
      <c r="O1273" s="137" t="n"/>
      <c r="P1273" s="137" t="n"/>
      <c r="Q1273" s="137" t="n"/>
      <c r="R1273" s="137" t="n"/>
      <c r="S1273" s="137" t="n"/>
      <c r="T1273" s="137" t="n"/>
      <c r="U1273" s="137" t="n"/>
      <c r="V1273" s="137" t="n"/>
      <c r="W1273" s="137" t="n"/>
      <c r="X1273" s="137" t="n"/>
      <c r="Y1273" s="137" t="n"/>
      <c r="Z1273" s="137" t="n"/>
      <c r="AA1273" s="137" t="n"/>
      <c r="AB1273" s="137" t="n"/>
      <c r="AC1273" s="137" t="n"/>
      <c r="AD1273" s="137" t="n"/>
      <c r="AE1273" s="137" t="n"/>
      <c r="AF1273" s="137" t="n"/>
      <c r="AG1273" s="137" t="n"/>
      <c r="AH1273" s="137" t="n"/>
      <c r="AI1273" s="137" t="n"/>
      <c r="AJ1273" s="137" t="n"/>
      <c r="AK1273" s="137" t="n"/>
      <c r="AL1273" s="137" t="n"/>
      <c r="AM1273" s="137" t="n"/>
      <c r="AN1273" s="137" t="n"/>
      <c r="AO1273" s="137" t="n"/>
      <c r="AP1273" s="137" t="n"/>
      <c r="AQ1273" s="137" t="n"/>
      <c r="AR1273" s="137" t="n"/>
      <c r="AS1273" s="137" t="n"/>
    </row>
    <row r="1274">
      <c r="A1274" s="8" t="n"/>
      <c r="B1274" s="14" t="n"/>
      <c r="C1274" s="137" t="n"/>
      <c r="D1274" s="137" t="n"/>
      <c r="E1274" s="137" t="n"/>
      <c r="F1274" s="137" t="n"/>
      <c r="G1274" s="137" t="n"/>
      <c r="H1274" s="137" t="n"/>
      <c r="I1274" s="137" t="n"/>
      <c r="J1274" s="137" t="n"/>
      <c r="K1274" s="137" t="n"/>
      <c r="L1274" s="137" t="n"/>
      <c r="M1274" s="137" t="n"/>
      <c r="N1274" s="137" t="n"/>
      <c r="O1274" s="137" t="n"/>
      <c r="P1274" s="137" t="n"/>
      <c r="Q1274" s="137" t="n"/>
      <c r="R1274" s="137" t="n"/>
      <c r="S1274" s="137" t="n"/>
      <c r="T1274" s="137" t="n"/>
      <c r="U1274" s="137" t="n"/>
      <c r="V1274" s="137" t="n"/>
      <c r="W1274" s="137" t="n"/>
      <c r="X1274" s="137" t="n"/>
      <c r="Y1274" s="137" t="n"/>
      <c r="Z1274" s="137" t="n"/>
      <c r="AA1274" s="137" t="n"/>
      <c r="AB1274" s="137" t="n"/>
      <c r="AC1274" s="137" t="n"/>
      <c r="AD1274" s="137" t="n"/>
      <c r="AE1274" s="137" t="n"/>
      <c r="AF1274" s="137" t="n"/>
      <c r="AG1274" s="137" t="n"/>
      <c r="AH1274" s="137" t="n"/>
      <c r="AI1274" s="137" t="n"/>
      <c r="AJ1274" s="137" t="n"/>
      <c r="AK1274" s="137" t="n"/>
      <c r="AL1274" s="137" t="n"/>
      <c r="AM1274" s="137" t="n"/>
      <c r="AN1274" s="137" t="n"/>
      <c r="AO1274" s="137" t="n"/>
      <c r="AP1274" s="137" t="n"/>
      <c r="AQ1274" s="137" t="n"/>
      <c r="AR1274" s="137" t="n"/>
      <c r="AS1274" s="137" t="n"/>
    </row>
  </sheetData>
  <mergeCells count="5644">
    <mergeCell ref="AB1167:AC1167"/>
    <mergeCell ref="V963:X963"/>
    <mergeCell ref="V245:X245"/>
    <mergeCell ref="AH713:AH716"/>
    <mergeCell ref="AI297:AL297"/>
    <mergeCell ref="AL862:AL863"/>
    <mergeCell ref="AD343:AE343"/>
    <mergeCell ref="AO184:AQ184"/>
    <mergeCell ref="AI1033:AL1034"/>
    <mergeCell ref="AB920:AC920"/>
    <mergeCell ref="AL857:AL858"/>
    <mergeCell ref="AO316:AQ316"/>
    <mergeCell ref="M311:Y311"/>
    <mergeCell ref="J815:L815"/>
    <mergeCell ref="P646:P647"/>
    <mergeCell ref="P393:R393"/>
    <mergeCell ref="J352:L352"/>
    <mergeCell ref="AD977:AF977"/>
    <mergeCell ref="O269:Q269"/>
    <mergeCell ref="I1123:Y1123"/>
    <mergeCell ref="AH298:AH299"/>
    <mergeCell ref="AL873:AL874"/>
    <mergeCell ref="AI930:AL930"/>
    <mergeCell ref="AB435:AF436"/>
    <mergeCell ref="K1234:M1234"/>
    <mergeCell ref="AO189:AR190"/>
    <mergeCell ref="AN761:AR761"/>
    <mergeCell ref="AH40:AJ40"/>
    <mergeCell ref="AH76:AI76"/>
    <mergeCell ref="J983:L983"/>
    <mergeCell ref="V565:Y566"/>
    <mergeCell ref="AO1089:AQ1089"/>
    <mergeCell ref="AN418:AR418"/>
    <mergeCell ref="I281:M281"/>
    <mergeCell ref="J984:L984"/>
    <mergeCell ref="W224:W225"/>
    <mergeCell ref="J1195:L1195"/>
    <mergeCell ref="O754:O755"/>
    <mergeCell ref="AB42:AD42"/>
    <mergeCell ref="O596:S596"/>
    <mergeCell ref="O807:S807"/>
    <mergeCell ref="P1046:R1046"/>
    <mergeCell ref="U978:V978"/>
    <mergeCell ref="P747:R747"/>
    <mergeCell ref="AC292:AE292"/>
    <mergeCell ref="AC353:AF353"/>
    <mergeCell ref="AC503:AE503"/>
    <mergeCell ref="I410:Y410"/>
    <mergeCell ref="AN746:AR746"/>
    <mergeCell ref="U389:V389"/>
    <mergeCell ref="AN987:AN988"/>
    <mergeCell ref="AK270:AL270"/>
    <mergeCell ref="R690:S690"/>
    <mergeCell ref="AK902:AL902"/>
    <mergeCell ref="V114:X114"/>
    <mergeCell ref="AB795:AB796"/>
    <mergeCell ref="AB578:AC578"/>
    <mergeCell ref="AI1172:AK1172"/>
    <mergeCell ref="AH501:AL501"/>
    <mergeCell ref="I954:J954"/>
    <mergeCell ref="I1198:I1199"/>
    <mergeCell ref="AB397:AB398"/>
    <mergeCell ref="AB886:AD886"/>
    <mergeCell ref="AH464:AJ464"/>
    <mergeCell ref="K134:M134"/>
    <mergeCell ref="O386:S388"/>
    <mergeCell ref="AA431:AA432"/>
    <mergeCell ref="AO185:AQ185"/>
    <mergeCell ref="AC1005:AE1005"/>
    <mergeCell ref="AC961:AE961"/>
    <mergeCell ref="V224:V225"/>
    <mergeCell ref="K110:L110"/>
    <mergeCell ref="O958:O961"/>
    <mergeCell ref="I175:M177"/>
    <mergeCell ref="AH676:AJ676"/>
    <mergeCell ref="AK472:AL472"/>
    <mergeCell ref="AC964:AF964"/>
    <mergeCell ref="AB150:AF150"/>
    <mergeCell ref="AP1023:AR1023"/>
    <mergeCell ref="Q601:S601"/>
    <mergeCell ref="Q812:S812"/>
    <mergeCell ref="O1055:R1055"/>
    <mergeCell ref="AN1191:AN1194"/>
    <mergeCell ref="AO327:AQ327"/>
    <mergeCell ref="Q813:S813"/>
    <mergeCell ref="AP743:AQ743"/>
    <mergeCell ref="AH1117:AJ1117"/>
    <mergeCell ref="P105:R105"/>
    <mergeCell ref="AB1105:AC1105"/>
    <mergeCell ref="AN104:AR104"/>
    <mergeCell ref="V1241:X1241"/>
    <mergeCell ref="AN567:AR568"/>
    <mergeCell ref="P1176:S1177"/>
    <mergeCell ref="AL13:AL14"/>
    <mergeCell ref="J118:L118"/>
    <mergeCell ref="V1088:X1088"/>
    <mergeCell ref="Q955:S955"/>
    <mergeCell ref="V295:X295"/>
    <mergeCell ref="P127:R127"/>
    <mergeCell ref="AO71:AQ71"/>
    <mergeCell ref="Q1166:S1166"/>
    <mergeCell ref="AD711:AF711"/>
    <mergeCell ref="AB1133:AC1133"/>
    <mergeCell ref="K956:M956"/>
    <mergeCell ref="AB170:AR170"/>
    <mergeCell ref="R43:S43"/>
    <mergeCell ref="O613:S614"/>
    <mergeCell ref="AD680:AD681"/>
    <mergeCell ref="AB976:AC976"/>
    <mergeCell ref="AP1073:AP1074"/>
    <mergeCell ref="U467:Y471"/>
    <mergeCell ref="P186:R186"/>
    <mergeCell ref="V348:X348"/>
    <mergeCell ref="AB191:AF192"/>
    <mergeCell ref="R59:S59"/>
    <mergeCell ref="AH290:AL290"/>
    <mergeCell ref="P818:R818"/>
    <mergeCell ref="V980:X980"/>
    <mergeCell ref="AB402:AF403"/>
    <mergeCell ref="U744:V744"/>
    <mergeCell ref="AO751:AQ751"/>
    <mergeCell ref="AK41:AL41"/>
    <mergeCell ref="I584:I585"/>
    <mergeCell ref="J1250:L1250"/>
    <mergeCell ref="U888:Y888"/>
    <mergeCell ref="AH465:AJ465"/>
    <mergeCell ref="AC719:AF719"/>
    <mergeCell ref="I1026:I1029"/>
    <mergeCell ref="J619:L619"/>
    <mergeCell ref="I43:K44"/>
    <mergeCell ref="P960:R960"/>
    <mergeCell ref="O962:O963"/>
    <mergeCell ref="AJ1131:AK1131"/>
    <mergeCell ref="AC716:AE716"/>
    <mergeCell ref="AN870:AR870"/>
    <mergeCell ref="R255:S255"/>
    <mergeCell ref="W180:Y180"/>
    <mergeCell ref="U1035:Y1036"/>
    <mergeCell ref="I548:M548"/>
    <mergeCell ref="AC559:AE559"/>
    <mergeCell ref="J330:L330"/>
    <mergeCell ref="AH476:AJ476"/>
    <mergeCell ref="AH334:AL335"/>
    <mergeCell ref="I332:I333"/>
    <mergeCell ref="AO1193:AQ1193"/>
    <mergeCell ref="M731:Y731"/>
    <mergeCell ref="U134:V134"/>
    <mergeCell ref="AI1242:AK1242"/>
    <mergeCell ref="AB167:AF168"/>
    <mergeCell ref="V116:X116"/>
    <mergeCell ref="AH629:AL629"/>
    <mergeCell ref="O916:S916"/>
    <mergeCell ref="P1182:R1182"/>
    <mergeCell ref="AP287:AQ287"/>
    <mergeCell ref="AC727:AE727"/>
    <mergeCell ref="AK484:AL484"/>
    <mergeCell ref="AP498:AQ498"/>
    <mergeCell ref="AK695:AL695"/>
    <mergeCell ref="AI1237:AK1237"/>
    <mergeCell ref="AC1027:AE1027"/>
    <mergeCell ref="O178:P178"/>
    <mergeCell ref="AN1181:AR1181"/>
    <mergeCell ref="W533:Y533"/>
    <mergeCell ref="O905:Q905"/>
    <mergeCell ref="AH343:AI343"/>
    <mergeCell ref="AO398:AQ398"/>
    <mergeCell ref="O900:Q900"/>
    <mergeCell ref="W745:Y745"/>
    <mergeCell ref="AL24:AL25"/>
    <mergeCell ref="AB359:AF359"/>
    <mergeCell ref="AN347:AN350"/>
    <mergeCell ref="AJ323:AL323"/>
    <mergeCell ref="AO82:AQ82"/>
    <mergeCell ref="AN1018:AR1018"/>
    <mergeCell ref="I1212:M1212"/>
    <mergeCell ref="AO540:AQ540"/>
    <mergeCell ref="AB412:AF412"/>
    <mergeCell ref="O393:O396"/>
    <mergeCell ref="AC1228:AE1228"/>
    <mergeCell ref="R1110:S1110"/>
    <mergeCell ref="AH1023:AI1023"/>
    <mergeCell ref="AB526:AF526"/>
    <mergeCell ref="O604:O607"/>
    <mergeCell ref="AF1041:AR1041"/>
    <mergeCell ref="K390:M390"/>
    <mergeCell ref="AO137:AQ137"/>
    <mergeCell ref="V542:Y542"/>
    <mergeCell ref="I1047:M1050"/>
    <mergeCell ref="Q921:S921"/>
    <mergeCell ref="AH288:AI288"/>
    <mergeCell ref="X857:X858"/>
    <mergeCell ref="U84:U85"/>
    <mergeCell ref="U594:Y594"/>
    <mergeCell ref="AN248:AQ248"/>
    <mergeCell ref="AO862:AO863"/>
    <mergeCell ref="AI595:AK595"/>
    <mergeCell ref="V1141:Y1141"/>
    <mergeCell ref="I1168:M1168"/>
    <mergeCell ref="P971:R971"/>
    <mergeCell ref="AD978:AF978"/>
    <mergeCell ref="I791:I794"/>
    <mergeCell ref="AC97:AE97"/>
    <mergeCell ref="AJ556:AL556"/>
    <mergeCell ref="AN808:AR810"/>
    <mergeCell ref="AK24:AK25"/>
    <mergeCell ref="S651:S652"/>
    <mergeCell ref="AN243:AQ243"/>
    <mergeCell ref="AH456:AJ457"/>
    <mergeCell ref="U1184:Y1186"/>
    <mergeCell ref="AB1209:AC1209"/>
    <mergeCell ref="V561:X561"/>
    <mergeCell ref="AH1107:AL1107"/>
    <mergeCell ref="AH597:AL599"/>
    <mergeCell ref="AC728:AE728"/>
    <mergeCell ref="O907:Q907"/>
    <mergeCell ref="O973:S975"/>
    <mergeCell ref="P394:R394"/>
    <mergeCell ref="V1192:X1192"/>
    <mergeCell ref="AC400:AF401"/>
    <mergeCell ref="P563:R563"/>
    <mergeCell ref="AE465:AF466"/>
    <mergeCell ref="I224:M225"/>
    <mergeCell ref="U1195:U1196"/>
    <mergeCell ref="AF94:AR94"/>
    <mergeCell ref="J369:L369"/>
    <mergeCell ref="J396:L396"/>
    <mergeCell ref="U673:X673"/>
    <mergeCell ref="U179:V179"/>
    <mergeCell ref="I887:K888"/>
    <mergeCell ref="K788:M788"/>
    <mergeCell ref="AO560:AQ560"/>
    <mergeCell ref="AC772:AE772"/>
    <mergeCell ref="W857:W858"/>
    <mergeCell ref="AB70:AF70"/>
    <mergeCell ref="U392:Y392"/>
    <mergeCell ref="O671:Q671"/>
    <mergeCell ref="AN862:AN863"/>
    <mergeCell ref="AO1160:AQ1160"/>
    <mergeCell ref="J749:L749"/>
    <mergeCell ref="R651:R652"/>
    <mergeCell ref="O666:Q666"/>
    <mergeCell ref="AN602:AO602"/>
    <mergeCell ref="O180:P180"/>
    <mergeCell ref="O608:O609"/>
    <mergeCell ref="AK903:AL903"/>
    <mergeCell ref="AC820:AE820"/>
    <mergeCell ref="J610:M610"/>
    <mergeCell ref="I957:M957"/>
    <mergeCell ref="J1196:L1196"/>
    <mergeCell ref="AH895:AL895"/>
    <mergeCell ref="I494:M494"/>
    <mergeCell ref="AJ345:AL345"/>
    <mergeCell ref="AH1200:AL1201"/>
    <mergeCell ref="O694:Q694"/>
    <mergeCell ref="K132:L132"/>
    <mergeCell ref="O1052:S1052"/>
    <mergeCell ref="AH920:AI920"/>
    <mergeCell ref="AH492:AL492"/>
    <mergeCell ref="AC1136:AE1136"/>
    <mergeCell ref="X440:Y441"/>
    <mergeCell ref="Y224:Y225"/>
    <mergeCell ref="I291:I294"/>
    <mergeCell ref="I366:J366"/>
    <mergeCell ref="AB132:AC132"/>
    <mergeCell ref="P352:R352"/>
    <mergeCell ref="O745:P745"/>
    <mergeCell ref="AO298:AR299"/>
    <mergeCell ref="AP1024:AR1024"/>
    <mergeCell ref="AO202:AQ202"/>
    <mergeCell ref="AC642:AR643"/>
    <mergeCell ref="Q811:R811"/>
    <mergeCell ref="W389:X389"/>
    <mergeCell ref="AB950:AF950"/>
    <mergeCell ref="U44:Y44"/>
    <mergeCell ref="U42:X42"/>
    <mergeCell ref="J80:L80"/>
    <mergeCell ref="I894:J894"/>
    <mergeCell ref="AE464:AF464"/>
    <mergeCell ref="J509:M510"/>
    <mergeCell ref="AO13:AO14"/>
    <mergeCell ref="AB1102:AC1103"/>
    <mergeCell ref="AE675:AF675"/>
    <mergeCell ref="J720:M721"/>
    <mergeCell ref="J407:L407"/>
    <mergeCell ref="AI353:AL353"/>
    <mergeCell ref="AH106:AL106"/>
    <mergeCell ref="AH1132:AI1132"/>
    <mergeCell ref="AH677:AJ677"/>
    <mergeCell ref="V958:X958"/>
    <mergeCell ref="R440:R441"/>
    <mergeCell ref="K954:L954"/>
    <mergeCell ref="K499:M499"/>
    <mergeCell ref="AC1218:AE1218"/>
    <mergeCell ref="AI662:AI663"/>
    <mergeCell ref="AB994:AF994"/>
    <mergeCell ref="AD602:AF602"/>
    <mergeCell ref="I778:M779"/>
    <mergeCell ref="AO1029:AQ1029"/>
    <mergeCell ref="AI657:AI658"/>
    <mergeCell ref="AB529:AF531"/>
    <mergeCell ref="U703:Y703"/>
    <mergeCell ref="AN174:AR174"/>
    <mergeCell ref="I1230:M1232"/>
    <mergeCell ref="AC965:AF966"/>
    <mergeCell ref="AB487:AR487"/>
    <mergeCell ref="AO294:AQ294"/>
    <mergeCell ref="O42:Q42"/>
    <mergeCell ref="AC506:AE506"/>
    <mergeCell ref="AD955:AF955"/>
    <mergeCell ref="O253:Q253"/>
    <mergeCell ref="U112:V112"/>
    <mergeCell ref="AP1132:AR1132"/>
    <mergeCell ref="P1135:R1135"/>
    <mergeCell ref="R261:S261"/>
    <mergeCell ref="W178:X178"/>
    <mergeCell ref="AC980:AE980"/>
    <mergeCell ref="I1128:M1130"/>
    <mergeCell ref="AH482:AJ482"/>
    <mergeCell ref="Q440:Q441"/>
    <mergeCell ref="J962:L962"/>
    <mergeCell ref="J505:L505"/>
    <mergeCell ref="AH451:AH452"/>
    <mergeCell ref="AI138:AK138"/>
    <mergeCell ref="AH477:AJ477"/>
    <mergeCell ref="AH662:AH663"/>
    <mergeCell ref="AH751:AH752"/>
    <mergeCell ref="AH967:AL968"/>
    <mergeCell ref="AC733:AE733"/>
    <mergeCell ref="AH962:AH963"/>
    <mergeCell ref="R272:S272"/>
    <mergeCell ref="P87:S88"/>
    <mergeCell ref="AB337:AF337"/>
    <mergeCell ref="J347:L347"/>
    <mergeCell ref="AH46:AL46"/>
    <mergeCell ref="O1033:O1034"/>
    <mergeCell ref="AO963:AQ963"/>
    <mergeCell ref="AB548:AF548"/>
    <mergeCell ref="AB121:AB122"/>
    <mergeCell ref="AN880:AQ880"/>
    <mergeCell ref="U1127:Y1127"/>
    <mergeCell ref="AH257:AL257"/>
    <mergeCell ref="AH346:AL346"/>
    <mergeCell ref="AC1028:AE1028"/>
    <mergeCell ref="I203:M206"/>
    <mergeCell ref="AH557:AL557"/>
    <mergeCell ref="AH646:AH647"/>
    <mergeCell ref="W1166:Y1166"/>
    <mergeCell ref="AH63:AJ63"/>
    <mergeCell ref="Q78:S78"/>
    <mergeCell ref="O500:P500"/>
    <mergeCell ref="AF100:AR100"/>
    <mergeCell ref="AH976:AI976"/>
    <mergeCell ref="AF311:AR311"/>
    <mergeCell ref="U824:Y825"/>
    <mergeCell ref="AB345:AC345"/>
    <mergeCell ref="AH1187:AI1187"/>
    <mergeCell ref="AC929:AE929"/>
    <mergeCell ref="AB46:AC46"/>
    <mergeCell ref="J1174:L1174"/>
    <mergeCell ref="AB257:AC257"/>
    <mergeCell ref="AB15:AF40"/>
    <mergeCell ref="AO715:AQ715"/>
    <mergeCell ref="AP534:AR534"/>
    <mergeCell ref="Q133:S133"/>
    <mergeCell ref="AO565:AR566"/>
    <mergeCell ref="AB634:AF637"/>
    <mergeCell ref="I1233:J1233"/>
    <mergeCell ref="V331:Y331"/>
    <mergeCell ref="E13:E14"/>
    <mergeCell ref="AI85:AK85"/>
    <mergeCell ref="AH1173:AH1174"/>
    <mergeCell ref="AH596:AL596"/>
    <mergeCell ref="O1237:O1240"/>
    <mergeCell ref="J1228:L1228"/>
    <mergeCell ref="AO188:AR188"/>
    <mergeCell ref="M830:Y830"/>
    <mergeCell ref="O706:S708"/>
    <mergeCell ref="AB199:AR199"/>
    <mergeCell ref="V714:X714"/>
    <mergeCell ref="W18:W19"/>
    <mergeCell ref="I805:M805"/>
    <mergeCell ref="J776:M777"/>
    <mergeCell ref="AJ343:AK343"/>
    <mergeCell ref="AH885:AJ885"/>
    <mergeCell ref="AN334:AR335"/>
    <mergeCell ref="P541:R541"/>
    <mergeCell ref="P86:S86"/>
    <mergeCell ref="P84:R84"/>
    <mergeCell ref="AJ554:AK554"/>
    <mergeCell ref="AN329:AN330"/>
    <mergeCell ref="AN545:AR546"/>
    <mergeCell ref="AK1109:AL1109"/>
    <mergeCell ref="V651:V652"/>
    <mergeCell ref="J516:L516"/>
    <mergeCell ref="AK1104:AL1104"/>
    <mergeCell ref="V393:X393"/>
    <mergeCell ref="H433:H639"/>
    <mergeCell ref="O172:S172"/>
    <mergeCell ref="AB743:AC743"/>
    <mergeCell ref="K766:M766"/>
    <mergeCell ref="AO507:AQ507"/>
    <mergeCell ref="R878:S879"/>
    <mergeCell ref="AO350:AQ350"/>
    <mergeCell ref="AI182:AK182"/>
    <mergeCell ref="L254:M255"/>
    <mergeCell ref="AO1138:AQ1138"/>
    <mergeCell ref="O461:Q461"/>
    <mergeCell ref="L465:M466"/>
    <mergeCell ref="AB1256:AF1256"/>
    <mergeCell ref="AI183:AK183"/>
    <mergeCell ref="U970:Y970"/>
    <mergeCell ref="I551:M553"/>
    <mergeCell ref="R38:S38"/>
    <mergeCell ref="AJ601:AL601"/>
    <mergeCell ref="AN766:AO766"/>
    <mergeCell ref="AC184:AE184"/>
    <mergeCell ref="W322:Y322"/>
    <mergeCell ref="AH722:AL723"/>
    <mergeCell ref="V806:X806"/>
    <mergeCell ref="O972:S972"/>
    <mergeCell ref="AI351:AK351"/>
    <mergeCell ref="AC310:AE310"/>
    <mergeCell ref="AK245:AL246"/>
    <mergeCell ref="U351:U352"/>
    <mergeCell ref="O57:Q57"/>
    <mergeCell ref="O689:Q689"/>
    <mergeCell ref="U651:U652"/>
    <mergeCell ref="AH623:AL623"/>
    <mergeCell ref="R696:S696"/>
    <mergeCell ref="P1238:R1238"/>
    <mergeCell ref="AC326:AE326"/>
    <mergeCell ref="AB761:AF761"/>
    <mergeCell ref="AN1087:AQ1087"/>
    <mergeCell ref="AO877:AQ877"/>
    <mergeCell ref="AH460:AJ460"/>
    <mergeCell ref="J397:L397"/>
    <mergeCell ref="P1239:R1239"/>
    <mergeCell ref="R691:S691"/>
    <mergeCell ref="O1258:S1261"/>
    <mergeCell ref="J608:L608"/>
    <mergeCell ref="AB110:AC110"/>
    <mergeCell ref="J309:L309"/>
    <mergeCell ref="C6:AQ6"/>
    <mergeCell ref="AN1263:AR1263"/>
    <mergeCell ref="W1133:Y1133"/>
    <mergeCell ref="AK462:AL462"/>
    <mergeCell ref="AH397:AH398"/>
    <mergeCell ref="AH180:AI180"/>
    <mergeCell ref="I313:Y313"/>
    <mergeCell ref="O931:O932"/>
    <mergeCell ref="L676:M677"/>
    <mergeCell ref="AK463:AL463"/>
    <mergeCell ref="O1142:O1143"/>
    <mergeCell ref="AH638:AI638"/>
    <mergeCell ref="U181:Y181"/>
    <mergeCell ref="I843:M843"/>
    <mergeCell ref="U958:U961"/>
    <mergeCell ref="J1213:L1213"/>
    <mergeCell ref="U1236:Y1236"/>
    <mergeCell ref="J1240:L1240"/>
    <mergeCell ref="V822:Y823"/>
    <mergeCell ref="AB987:AB988"/>
    <mergeCell ref="AC1137:AE1137"/>
    <mergeCell ref="AH483:AJ483"/>
    <mergeCell ref="V1033:Y1034"/>
    <mergeCell ref="O884:Q884"/>
    <mergeCell ref="Y857:Y858"/>
    <mergeCell ref="W812:Y812"/>
    <mergeCell ref="U1234:V1234"/>
    <mergeCell ref="AF1150:AR1150"/>
    <mergeCell ref="AH322:AI322"/>
    <mergeCell ref="I1166:J1166"/>
    <mergeCell ref="AB914:AF914"/>
    <mergeCell ref="AC1153:AE1153"/>
    <mergeCell ref="AI611:AL612"/>
    <mergeCell ref="AB584:AB585"/>
    <mergeCell ref="Q977:S977"/>
    <mergeCell ref="V87:Y88"/>
    <mergeCell ref="AB1125:AF1125"/>
    <mergeCell ref="U1235:V1235"/>
    <mergeCell ref="AB155:AC155"/>
    <mergeCell ref="AB366:AC366"/>
    <mergeCell ref="I739:M739"/>
    <mergeCell ref="W532:X532"/>
    <mergeCell ref="I362:M364"/>
    <mergeCell ref="I488:Y489"/>
    <mergeCell ref="I573:M575"/>
    <mergeCell ref="AP180:AR180"/>
    <mergeCell ref="U140:U141"/>
    <mergeCell ref="U356:Y357"/>
    <mergeCell ref="W556:Y556"/>
    <mergeCell ref="AE1102:AF1103"/>
    <mergeCell ref="P291:R291"/>
    <mergeCell ref="R1114:S1114"/>
    <mergeCell ref="AF731:AR731"/>
    <mergeCell ref="AH1133:AI1133"/>
    <mergeCell ref="R49:S49"/>
    <mergeCell ref="P142:S142"/>
    <mergeCell ref="I1210:J1210"/>
    <mergeCell ref="AO141:AQ141"/>
    <mergeCell ref="AO116:AQ116"/>
    <mergeCell ref="AD600:AE600"/>
    <mergeCell ref="P292:R292"/>
    <mergeCell ref="AO543:AR544"/>
    <mergeCell ref="AN754:AN755"/>
    <mergeCell ref="J729:L729"/>
    <mergeCell ref="V606:X606"/>
    <mergeCell ref="I1211:J1211"/>
    <mergeCell ref="V817:X817"/>
    <mergeCell ref="AH769:AH772"/>
    <mergeCell ref="AC81:AE81"/>
    <mergeCell ref="V818:X818"/>
    <mergeCell ref="AN289:AO289"/>
    <mergeCell ref="P187:R187"/>
    <mergeCell ref="O37:S37"/>
    <mergeCell ref="M944:Y944"/>
    <mergeCell ref="AB977:AC977"/>
    <mergeCell ref="V540:X540"/>
    <mergeCell ref="U287:V287"/>
    <mergeCell ref="AH565:AH566"/>
    <mergeCell ref="AK60:AL60"/>
    <mergeCell ref="U745:V745"/>
    <mergeCell ref="V1171:X1171"/>
    <mergeCell ref="AI716:AK716"/>
    <mergeCell ref="U317:Y317"/>
    <mergeCell ref="P961:R961"/>
    <mergeCell ref="AH79:AL79"/>
    <mergeCell ref="O270:Q270"/>
    <mergeCell ref="AH393:AH396"/>
    <mergeCell ref="P964:S964"/>
    <mergeCell ref="J794:L794"/>
    <mergeCell ref="AK451:AK452"/>
    <mergeCell ref="J348:L348"/>
    <mergeCell ref="U948:Y948"/>
    <mergeCell ref="AI749:AK749"/>
    <mergeCell ref="O265:Q265"/>
    <mergeCell ref="AK662:AK663"/>
    <mergeCell ref="AH77:AI77"/>
    <mergeCell ref="AJ1165:AK1165"/>
    <mergeCell ref="AH679:AL679"/>
    <mergeCell ref="AC750:AE750"/>
    <mergeCell ref="AB300:AF301"/>
    <mergeCell ref="J797:M797"/>
    <mergeCell ref="X1072:Y1072"/>
    <mergeCell ref="AB295:AB296"/>
    <mergeCell ref="R904:S904"/>
    <mergeCell ref="AA1066:AA1272"/>
    <mergeCell ref="AD998:AE998"/>
    <mergeCell ref="AC753:AF753"/>
    <mergeCell ref="I283:M283"/>
    <mergeCell ref="J522:L522"/>
    <mergeCell ref="AC751:AE751"/>
    <mergeCell ref="AB207:AF207"/>
    <mergeCell ref="AF520:AR520"/>
    <mergeCell ref="R899:S899"/>
    <mergeCell ref="R1116:S1116"/>
    <mergeCell ref="AI760:AK760"/>
    <mergeCell ref="AN711:AO711"/>
    <mergeCell ref="AK886:AL886"/>
    <mergeCell ref="U713:U716"/>
    <mergeCell ref="AI971:AK971"/>
    <mergeCell ref="Q76:R76"/>
    <mergeCell ref="AB354:AB355"/>
    <mergeCell ref="I633:L633"/>
    <mergeCell ref="AK887:AL887"/>
    <mergeCell ref="I1035:M1036"/>
    <mergeCell ref="J963:L963"/>
    <mergeCell ref="Q711:S711"/>
    <mergeCell ref="AE46:AF46"/>
    <mergeCell ref="AK271:AL271"/>
    <mergeCell ref="I134:J134"/>
    <mergeCell ref="AI982:AK982"/>
    <mergeCell ref="AO127:AQ127"/>
    <mergeCell ref="I922:J922"/>
    <mergeCell ref="Q744:S744"/>
    <mergeCell ref="O814:S814"/>
    <mergeCell ref="AK898:AL898"/>
    <mergeCell ref="AJ451:AJ452"/>
    <mergeCell ref="O1093:Q1093"/>
    <mergeCell ref="AB1181:AF1181"/>
    <mergeCell ref="I303:Y303"/>
    <mergeCell ref="AJ662:AJ663"/>
    <mergeCell ref="AH890:AL890"/>
    <mergeCell ref="O402:S403"/>
    <mergeCell ref="K533:M533"/>
    <mergeCell ref="O812:P812"/>
    <mergeCell ref="AN917:AR919"/>
    <mergeCell ref="L1101:M1101"/>
    <mergeCell ref="AO186:AQ186"/>
    <mergeCell ref="AC189:AF190"/>
    <mergeCell ref="AI987:AL988"/>
    <mergeCell ref="J565:M566"/>
    <mergeCell ref="AB418:AF418"/>
    <mergeCell ref="AH1188:AI1188"/>
    <mergeCell ref="AF944:AR944"/>
    <mergeCell ref="AF618:AR618"/>
    <mergeCell ref="AJ646:AJ647"/>
    <mergeCell ref="AB1176:AB1177"/>
    <mergeCell ref="AB1018:AF1018"/>
    <mergeCell ref="AC1257:AE1257"/>
    <mergeCell ref="W1131:X1131"/>
    <mergeCell ref="AB890:AC890"/>
    <mergeCell ref="AN951:AR953"/>
    <mergeCell ref="AO328:AQ328"/>
    <mergeCell ref="Q134:S134"/>
    <mergeCell ref="AB859:AF884"/>
    <mergeCell ref="J399:M399"/>
    <mergeCell ref="U334:Y335"/>
    <mergeCell ref="V1031:X1031"/>
    <mergeCell ref="V1242:X1242"/>
    <mergeCell ref="AO338:AQ338"/>
    <mergeCell ref="V1026:X1026"/>
    <mergeCell ref="S868:S869"/>
    <mergeCell ref="AB223:AF223"/>
    <mergeCell ref="I514:Y514"/>
    <mergeCell ref="AO34:AQ34"/>
    <mergeCell ref="AB1220:AB1221"/>
    <mergeCell ref="U928:U929"/>
    <mergeCell ref="AK273:AL273"/>
    <mergeCell ref="AI815:AK815"/>
    <mergeCell ref="U343:V343"/>
    <mergeCell ref="AI352:AK352"/>
    <mergeCell ref="AC304:AE304"/>
    <mergeCell ref="AB808:AF810"/>
    <mergeCell ref="O298:O299"/>
    <mergeCell ref="AK268:AL268"/>
    <mergeCell ref="I1184:M1186"/>
    <mergeCell ref="AC604:AE604"/>
    <mergeCell ref="AC185:AE185"/>
    <mergeCell ref="J561:L561"/>
    <mergeCell ref="AB1043:AR1043"/>
    <mergeCell ref="O478:Q478"/>
    <mergeCell ref="W323:Y323"/>
    <mergeCell ref="AB1123:AR1123"/>
    <mergeCell ref="AB1254:AR1254"/>
    <mergeCell ref="O695:Q695"/>
    <mergeCell ref="U238:Y241"/>
    <mergeCell ref="AD1023:AF1023"/>
    <mergeCell ref="I431:I432"/>
    <mergeCell ref="AD1234:AF1234"/>
    <mergeCell ref="U233:Y235"/>
    <mergeCell ref="AO752:AQ752"/>
    <mergeCell ref="O690:Q690"/>
    <mergeCell ref="U391:V391"/>
    <mergeCell ref="AB1144:AF1145"/>
    <mergeCell ref="P1228:R1228"/>
    <mergeCell ref="AO747:AQ747"/>
    <mergeCell ref="AC984:AE984"/>
    <mergeCell ref="AD743:AE743"/>
    <mergeCell ref="U840:Y840"/>
    <mergeCell ref="U876:X876"/>
    <mergeCell ref="L1098:M1099"/>
    <mergeCell ref="J941:L941"/>
    <mergeCell ref="AN811:AO811"/>
    <mergeCell ref="AN767:AO767"/>
    <mergeCell ref="AB104:AF104"/>
    <mergeCell ref="R250:S250"/>
    <mergeCell ref="J1241:L1241"/>
    <mergeCell ref="AC560:AE560"/>
    <mergeCell ref="P493:R493"/>
    <mergeCell ref="AB315:AF315"/>
    <mergeCell ref="U1052:Y1052"/>
    <mergeCell ref="AB562:AB563"/>
    <mergeCell ref="AB778:AF779"/>
    <mergeCell ref="AH600:AI600"/>
    <mergeCell ref="R251:S251"/>
    <mergeCell ref="I392:M392"/>
    <mergeCell ref="AK1095:AL1095"/>
    <mergeCell ref="AO1194:AQ1194"/>
    <mergeCell ref="AN492:AR492"/>
    <mergeCell ref="AK1089:AL1090"/>
    <mergeCell ref="O502:O505"/>
    <mergeCell ref="AH630:AL630"/>
    <mergeCell ref="AB1019:AF1021"/>
    <mergeCell ref="AO354:AR355"/>
    <mergeCell ref="AK479:AL479"/>
    <mergeCell ref="M727:Y727"/>
    <mergeCell ref="AB157:AF157"/>
    <mergeCell ref="AH954:AI954"/>
    <mergeCell ref="AH42:AJ42"/>
    <mergeCell ref="AB80:AB83"/>
    <mergeCell ref="AO666:AQ666"/>
    <mergeCell ref="AB787:AC787"/>
    <mergeCell ref="AC1240:AE1240"/>
    <mergeCell ref="O901:Q901"/>
    <mergeCell ref="P400:S401"/>
    <mergeCell ref="AH175:AL177"/>
    <mergeCell ref="AN973:AR975"/>
    <mergeCell ref="AH386:AL388"/>
    <mergeCell ref="AB931:AB932"/>
    <mergeCell ref="AO394:AQ394"/>
    <mergeCell ref="AP178:AQ178"/>
    <mergeCell ref="AI435:AI436"/>
    <mergeCell ref="O923:S923"/>
    <mergeCell ref="AB912:AR912"/>
    <mergeCell ref="P139:R139"/>
    <mergeCell ref="I1061:M1061"/>
    <mergeCell ref="P140:R140"/>
    <mergeCell ref="AB472:AC472"/>
    <mergeCell ref="O921:P921"/>
    <mergeCell ref="AO105:AQ105"/>
    <mergeCell ref="AB1266:AE1266"/>
    <mergeCell ref="AH844:AK844"/>
    <mergeCell ref="AB683:AC683"/>
    <mergeCell ref="O1098:Q1098"/>
    <mergeCell ref="AF1151:AR1151"/>
    <mergeCell ref="AC298:AF299"/>
    <mergeCell ref="AJ602:AL602"/>
    <mergeCell ref="O922:P922"/>
    <mergeCell ref="AO536:AQ536"/>
    <mergeCell ref="K391:M391"/>
    <mergeCell ref="K389:L389"/>
    <mergeCell ref="AH529:AL531"/>
    <mergeCell ref="AI538:AK538"/>
    <mergeCell ref="AP1166:AR1166"/>
    <mergeCell ref="AD154:AE154"/>
    <mergeCell ref="Q435:Q436"/>
    <mergeCell ref="AN613:AR614"/>
    <mergeCell ref="I47:J48"/>
    <mergeCell ref="U989:Y990"/>
    <mergeCell ref="AN608:AN609"/>
    <mergeCell ref="U290:Y290"/>
    <mergeCell ref="J195:L195"/>
    <mergeCell ref="AJ955:AL955"/>
    <mergeCell ref="W345:Y345"/>
    <mergeCell ref="U1200:Y1201"/>
    <mergeCell ref="J958:L958"/>
    <mergeCell ref="V835:X835"/>
    <mergeCell ref="AB1135:AB1138"/>
    <mergeCell ref="M97:Y97"/>
    <mergeCell ref="AK43:AL43"/>
    <mergeCell ref="AH435:AH436"/>
    <mergeCell ref="AC398:AE398"/>
    <mergeCell ref="AI610:AL610"/>
    <mergeCell ref="I191:M192"/>
    <mergeCell ref="AI1196:AK1196"/>
    <mergeCell ref="AN535:AR535"/>
    <mergeCell ref="K745:M745"/>
    <mergeCell ref="P504:R504"/>
    <mergeCell ref="W440:W441"/>
    <mergeCell ref="P962:R962"/>
    <mergeCell ref="AN533:AO533"/>
    <mergeCell ref="O903:Q903"/>
    <mergeCell ref="AC293:AE293"/>
    <mergeCell ref="P986:S986"/>
    <mergeCell ref="AF95:AR95"/>
    <mergeCell ref="AN745:AO745"/>
    <mergeCell ref="P1197:S1197"/>
    <mergeCell ref="O323:P323"/>
    <mergeCell ref="AB501:AF501"/>
    <mergeCell ref="O950:S950"/>
    <mergeCell ref="AC294:AE294"/>
    <mergeCell ref="AN888:AR888"/>
    <mergeCell ref="AC1040:AE1040"/>
    <mergeCell ref="R1105:S1105"/>
    <mergeCell ref="I112:J112"/>
    <mergeCell ref="U669:X669"/>
    <mergeCell ref="AD1132:AF1132"/>
    <mergeCell ref="R464:S464"/>
    <mergeCell ref="AN819:AN820"/>
    <mergeCell ref="R675:S675"/>
    <mergeCell ref="AB1169:AB1172"/>
    <mergeCell ref="AN916:AR916"/>
    <mergeCell ref="AC305:AE305"/>
    <mergeCell ref="AH264:AJ264"/>
    <mergeCell ref="O1092:S1092"/>
    <mergeCell ref="U1132:V1132"/>
    <mergeCell ref="V332:Y333"/>
    <mergeCell ref="W287:X287"/>
    <mergeCell ref="AN107:AR109"/>
    <mergeCell ref="M519:Y519"/>
    <mergeCell ref="K261:M261"/>
    <mergeCell ref="AJ499:AL499"/>
    <mergeCell ref="I765:J765"/>
    <mergeCell ref="AC963:AE963"/>
    <mergeCell ref="AF617:AR617"/>
    <mergeCell ref="I1127:M1127"/>
    <mergeCell ref="R1117:S1117"/>
    <mergeCell ref="I423:M426"/>
    <mergeCell ref="AC816:AE816"/>
    <mergeCell ref="I592:Y592"/>
    <mergeCell ref="J1192:L1192"/>
    <mergeCell ref="I318:M320"/>
    <mergeCell ref="AI235:AI236"/>
    <mergeCell ref="Q112:S112"/>
    <mergeCell ref="U706:Y708"/>
    <mergeCell ref="AK1099:AL1099"/>
    <mergeCell ref="AP1022:AQ1022"/>
    <mergeCell ref="AJ1073:AJ1074"/>
    <mergeCell ref="AB133:AC133"/>
    <mergeCell ref="V83:X83"/>
    <mergeCell ref="AH601:AI601"/>
    <mergeCell ref="AK485:AL485"/>
    <mergeCell ref="AE890:AF890"/>
    <mergeCell ref="I340:M342"/>
    <mergeCell ref="AN604:AN607"/>
    <mergeCell ref="AH284:AL286"/>
    <mergeCell ref="Q132:R132"/>
    <mergeCell ref="U980:U983"/>
    <mergeCell ref="U123:Y124"/>
    <mergeCell ref="AH495:AL497"/>
    <mergeCell ref="AO503:AQ503"/>
    <mergeCell ref="U118:U119"/>
    <mergeCell ref="V748:X748"/>
    <mergeCell ref="AH1047:AL1050"/>
    <mergeCell ref="AP921:AR921"/>
    <mergeCell ref="I89:M90"/>
    <mergeCell ref="O1190:S1190"/>
    <mergeCell ref="AK1110:AL1110"/>
    <mergeCell ref="AP922:AR922"/>
    <mergeCell ref="P120:S120"/>
    <mergeCell ref="U172:Y172"/>
    <mergeCell ref="AB602:AC602"/>
    <mergeCell ref="AN189:AN190"/>
    <mergeCell ref="AO971:AQ971"/>
    <mergeCell ref="J408:L408"/>
    <mergeCell ref="I1189:J1189"/>
    <mergeCell ref="AB313:AR313"/>
    <mergeCell ref="U38:X38"/>
    <mergeCell ref="U249:X249"/>
    <mergeCell ref="K500:M500"/>
    <mergeCell ref="U346:Y346"/>
    <mergeCell ref="U557:Y557"/>
    <mergeCell ref="U646:U647"/>
    <mergeCell ref="AI347:AK347"/>
    <mergeCell ref="I1147:Y1147"/>
    <mergeCell ref="V1198:Y1199"/>
    <mergeCell ref="P717:R717"/>
    <mergeCell ref="AB334:AF335"/>
    <mergeCell ref="AB545:AF546"/>
    <mergeCell ref="R475:S475"/>
    <mergeCell ref="R56:S56"/>
    <mergeCell ref="P718:R718"/>
    <mergeCell ref="AC360:AE360"/>
    <mergeCell ref="AN722:AR723"/>
    <mergeCell ref="P929:R929"/>
    <mergeCell ref="U27:Y30"/>
    <mergeCell ref="AN717:AN718"/>
    <mergeCell ref="AO1175:AR1175"/>
    <mergeCell ref="I1043:Y1043"/>
    <mergeCell ref="V1238:X1238"/>
    <mergeCell ref="P771:R771"/>
    <mergeCell ref="AN462:AQ462"/>
    <mergeCell ref="AN140:AN141"/>
    <mergeCell ref="J115:L115"/>
    <mergeCell ref="O38:Q38"/>
    <mergeCell ref="AC527:AE527"/>
    <mergeCell ref="U1178:Y1179"/>
    <mergeCell ref="J772:L772"/>
    <mergeCell ref="AN1094:AQ1094"/>
    <mergeCell ref="O249:Q249"/>
    <mergeCell ref="U1173:U1174"/>
    <mergeCell ref="AN440:AN441"/>
    <mergeCell ref="AN179:AO179"/>
    <mergeCell ref="AK49:AL49"/>
    <mergeCell ref="AC518:AE518"/>
    <mergeCell ref="AP857:AP858"/>
    <mergeCell ref="AC729:AE729"/>
    <mergeCell ref="AI1028:AK1028"/>
    <mergeCell ref="I217:M217"/>
    <mergeCell ref="AO606:AQ606"/>
    <mergeCell ref="AN625:AR628"/>
    <mergeCell ref="V982:X982"/>
    <mergeCell ref="R883:S883"/>
    <mergeCell ref="AN1244:AN1245"/>
    <mergeCell ref="W343:X343"/>
    <mergeCell ref="O843:S843"/>
    <mergeCell ref="I351:I352"/>
    <mergeCell ref="W554:X554"/>
    <mergeCell ref="AH805:AL805"/>
    <mergeCell ref="O113:S113"/>
    <mergeCell ref="AB102:AR102"/>
    <mergeCell ref="AH494:AL494"/>
    <mergeCell ref="J915:L915"/>
    <mergeCell ref="AI143:AL144"/>
    <mergeCell ref="AO86:AR86"/>
    <mergeCell ref="AN509:AN510"/>
    <mergeCell ref="AH674:AJ674"/>
    <mergeCell ref="AB632:AF632"/>
    <mergeCell ref="AO611:AR612"/>
    <mergeCell ref="AN1183:AR1183"/>
    <mergeCell ref="P240:P241"/>
    <mergeCell ref="O896:S896"/>
    <mergeCell ref="O743:P743"/>
    <mergeCell ref="J942:L942"/>
    <mergeCell ref="AL440:AL441"/>
    <mergeCell ref="I1267:M1270"/>
    <mergeCell ref="I576:J576"/>
    <mergeCell ref="I1203:M1203"/>
    <mergeCell ref="V182:X182"/>
    <mergeCell ref="AH59:AJ59"/>
    <mergeCell ref="AJ766:AL766"/>
    <mergeCell ref="V296:X296"/>
    <mergeCell ref="J114:L114"/>
    <mergeCell ref="AH1271:AI1271"/>
    <mergeCell ref="O1256:S1256"/>
    <mergeCell ref="AF726:AR726"/>
    <mergeCell ref="I1236:M1236"/>
    <mergeCell ref="I701:Y701"/>
    <mergeCell ref="AJ600:AK600"/>
    <mergeCell ref="AB1001:AF1001"/>
    <mergeCell ref="Q976:R976"/>
    <mergeCell ref="AB325:AB328"/>
    <mergeCell ref="AI80:AK80"/>
    <mergeCell ref="U385:Y385"/>
    <mergeCell ref="AH1167:AI1167"/>
    <mergeCell ref="O558:O561"/>
    <mergeCell ref="AB999:AC999"/>
    <mergeCell ref="AB73:AF75"/>
    <mergeCell ref="AI81:AK81"/>
    <mergeCell ref="O1115:Q1115"/>
    <mergeCell ref="AN713:AN716"/>
    <mergeCell ref="P326:R326"/>
    <mergeCell ref="AD179:AF179"/>
    <mergeCell ref="J158:L158"/>
    <mergeCell ref="U251:X251"/>
    <mergeCell ref="AB1000:AC1000"/>
    <mergeCell ref="P451:P452"/>
    <mergeCell ref="AD180:AF180"/>
    <mergeCell ref="J159:L159"/>
    <mergeCell ref="AO1238:AQ1238"/>
    <mergeCell ref="O110:P110"/>
    <mergeCell ref="I356:M357"/>
    <mergeCell ref="L47:M48"/>
    <mergeCell ref="AK440:AK441"/>
    <mergeCell ref="V704:X704"/>
    <mergeCell ref="U1070:Y1070"/>
    <mergeCell ref="AI397:AK397"/>
    <mergeCell ref="V646:V647"/>
    <mergeCell ref="O229:O230"/>
    <mergeCell ref="AC141:AE141"/>
    <mergeCell ref="AB922:AC922"/>
    <mergeCell ref="AH58:AJ58"/>
    <mergeCell ref="AC543:AF544"/>
    <mergeCell ref="J517:L517"/>
    <mergeCell ref="AN79:AR79"/>
    <mergeCell ref="Q1234:S1234"/>
    <mergeCell ref="I824:M825"/>
    <mergeCell ref="J817:L817"/>
    <mergeCell ref="AN76:AO76"/>
    <mergeCell ref="P1137:R1137"/>
    <mergeCell ref="P1079:P1080"/>
    <mergeCell ref="AN77:AO77"/>
    <mergeCell ref="AK252:AL252"/>
    <mergeCell ref="AN106:AR106"/>
    <mergeCell ref="U322:V322"/>
    <mergeCell ref="AI750:AK750"/>
    <mergeCell ref="AC582:AE582"/>
    <mergeCell ref="P1195:R1195"/>
    <mergeCell ref="O1045:S1045"/>
    <mergeCell ref="AP13:AP14"/>
    <mergeCell ref="AN437:AR437"/>
    <mergeCell ref="AN886:AQ886"/>
    <mergeCell ref="AB1206:AF1208"/>
    <mergeCell ref="AI753:AL753"/>
    <mergeCell ref="AC583:AE583"/>
    <mergeCell ref="AN737:AR737"/>
    <mergeCell ref="W390:Y390"/>
    <mergeCell ref="AN984:AN985"/>
    <mergeCell ref="J959:L959"/>
    <mergeCell ref="U1134:Y1134"/>
    <mergeCell ref="AH686:AJ686"/>
    <mergeCell ref="U677:Y677"/>
    <mergeCell ref="I287:J287"/>
    <mergeCell ref="AC1041:AE1041"/>
    <mergeCell ref="AC586:AF586"/>
    <mergeCell ref="AI986:AL986"/>
    <mergeCell ref="AC311:AE311"/>
    <mergeCell ref="I317:M317"/>
    <mergeCell ref="AJ446:AJ447"/>
    <mergeCell ref="AJ440:AJ441"/>
    <mergeCell ref="O751:O752"/>
    <mergeCell ref="AB1249:AR1249"/>
    <mergeCell ref="U1133:V1133"/>
    <mergeCell ref="AN1033:AN1034"/>
    <mergeCell ref="AF407:AR407"/>
    <mergeCell ref="O53:Q53"/>
    <mergeCell ref="V35:X35"/>
    <mergeCell ref="AN740:AR742"/>
    <mergeCell ref="AH455:AJ455"/>
    <mergeCell ref="R692:S692"/>
    <mergeCell ref="O1084:O1085"/>
    <mergeCell ref="L1097:M1097"/>
    <mergeCell ref="AP78:AR78"/>
    <mergeCell ref="K577:M577"/>
    <mergeCell ref="AF308:AR308"/>
    <mergeCell ref="O1079:O1080"/>
    <mergeCell ref="R687:S687"/>
    <mergeCell ref="AB594:AF594"/>
    <mergeCell ref="AJ216:AL216"/>
    <mergeCell ref="O976:P976"/>
    <mergeCell ref="AB711:AC711"/>
    <mergeCell ref="I1217:I1218"/>
    <mergeCell ref="AI1174:AK1174"/>
    <mergeCell ref="K578:M578"/>
    <mergeCell ref="AH603:AL603"/>
    <mergeCell ref="AC1007:AE1007"/>
    <mergeCell ref="AC1138:AE1138"/>
    <mergeCell ref="AH897:AJ897"/>
    <mergeCell ref="AH478:AJ478"/>
    <mergeCell ref="V715:X715"/>
    <mergeCell ref="AH1233:AI1233"/>
    <mergeCell ref="I136:I139"/>
    <mergeCell ref="AH898:AJ898"/>
    <mergeCell ref="AB766:AC766"/>
    <mergeCell ref="I909:Y909"/>
    <mergeCell ref="AH1109:AJ1109"/>
    <mergeCell ref="I1120:Y1120"/>
    <mergeCell ref="I679:J679"/>
    <mergeCell ref="M1153:Y1153"/>
    <mergeCell ref="AD77:AF77"/>
    <mergeCell ref="U1227:Y1227"/>
    <mergeCell ref="P399:S399"/>
    <mergeCell ref="AI1228:AK1228"/>
    <mergeCell ref="AO331:AR331"/>
    <mergeCell ref="AO329:AQ329"/>
    <mergeCell ref="D30:F30"/>
    <mergeCell ref="AC1149:AE1149"/>
    <mergeCell ref="V749:X749"/>
    <mergeCell ref="AI294:AK294"/>
    <mergeCell ref="V1176:Y1177"/>
    <mergeCell ref="M1148:Y1148"/>
    <mergeCell ref="P118:R118"/>
    <mergeCell ref="AP920:AQ920"/>
    <mergeCell ref="K1105:M1105"/>
    <mergeCell ref="AN769:AN772"/>
    <mergeCell ref="AF830:AR830"/>
    <mergeCell ref="P119:R119"/>
    <mergeCell ref="Q956:S956"/>
    <mergeCell ref="AO820:AQ820"/>
    <mergeCell ref="K498:L498"/>
    <mergeCell ref="U435:U436"/>
    <mergeCell ref="V610:Y610"/>
    <mergeCell ref="V760:X760"/>
    <mergeCell ref="K789:M789"/>
    <mergeCell ref="J542:M542"/>
    <mergeCell ref="X646:X647"/>
    <mergeCell ref="AB1263:AF1263"/>
    <mergeCell ref="AL657:AL658"/>
    <mergeCell ref="K1133:M1133"/>
    <mergeCell ref="O354:O355"/>
    <mergeCell ref="AF727:AR727"/>
    <mergeCell ref="P229:P230"/>
    <mergeCell ref="AH245:AJ246"/>
    <mergeCell ref="AN132:AO132"/>
    <mergeCell ref="O979:S979"/>
    <mergeCell ref="AI963:AK963"/>
    <mergeCell ref="J1033:M1034"/>
    <mergeCell ref="AC796:AE796"/>
    <mergeCell ref="U250:X250"/>
    <mergeCell ref="AE254:AF255"/>
    <mergeCell ref="I933:M934"/>
    <mergeCell ref="I928:I929"/>
    <mergeCell ref="AK55:AL55"/>
    <mergeCell ref="AN1095:AQ1095"/>
    <mergeCell ref="U1016:Y1016"/>
    <mergeCell ref="O882:Q882"/>
    <mergeCell ref="O418:S418"/>
    <mergeCell ref="AI1017:AK1017"/>
    <mergeCell ref="AN812:AO812"/>
    <mergeCell ref="U1188:V1188"/>
    <mergeCell ref="AH562:AH563"/>
    <mergeCell ref="I550:M550"/>
    <mergeCell ref="AK446:AK447"/>
    <mergeCell ref="AN665:AQ665"/>
    <mergeCell ref="O965:O966"/>
    <mergeCell ref="O266:Q266"/>
    <mergeCell ref="I856:M856"/>
    <mergeCell ref="O1018:S1018"/>
    <mergeCell ref="AB148:AF148"/>
    <mergeCell ref="I850:M850"/>
    <mergeCell ref="U871:Y874"/>
    <mergeCell ref="U414:Y417"/>
    <mergeCell ref="I390:J390"/>
    <mergeCell ref="AJ224:AJ225"/>
    <mergeCell ref="AB66:AR67"/>
    <mergeCell ref="O1051:S1051"/>
    <mergeCell ref="AN954:AO954"/>
    <mergeCell ref="I391:J391"/>
    <mergeCell ref="AB807:AF807"/>
    <mergeCell ref="AC1046:AE1046"/>
    <mergeCell ref="AP134:AR134"/>
    <mergeCell ref="AC747:AE747"/>
    <mergeCell ref="O1071:S1071"/>
    <mergeCell ref="AP345:AR345"/>
    <mergeCell ref="AN1142:AN1143"/>
    <mergeCell ref="I421:M421"/>
    <mergeCell ref="AF516:AR516"/>
    <mergeCell ref="AB156:AC156"/>
    <mergeCell ref="I535:M535"/>
    <mergeCell ref="R1112:S1112"/>
    <mergeCell ref="Q709:R709"/>
    <mergeCell ref="AH931:AH932"/>
    <mergeCell ref="I276:Y276"/>
    <mergeCell ref="U762:Y764"/>
    <mergeCell ref="U232:Y232"/>
    <mergeCell ref="I744:J744"/>
    <mergeCell ref="AN1023:AO1023"/>
    <mergeCell ref="AB1064:AB1065"/>
    <mergeCell ref="R1096:S1096"/>
    <mergeCell ref="I155:J155"/>
    <mergeCell ref="P604:R604"/>
    <mergeCell ref="J1171:L1171"/>
    <mergeCell ref="AH739:AL739"/>
    <mergeCell ref="O1088:Q1088"/>
    <mergeCell ref="AN1235:AO1235"/>
    <mergeCell ref="AK894:AL894"/>
    <mergeCell ref="Q391:S391"/>
    <mergeCell ref="O813:P813"/>
    <mergeCell ref="AB572:AF572"/>
    <mergeCell ref="Q1023:S1023"/>
    <mergeCell ref="I948:M948"/>
    <mergeCell ref="I788:J788"/>
    <mergeCell ref="AO142:AR142"/>
    <mergeCell ref="AD178:AE178"/>
    <mergeCell ref="P754:S755"/>
    <mergeCell ref="Q743:R743"/>
    <mergeCell ref="AN226:AR226"/>
    <mergeCell ref="AD50:AF50"/>
    <mergeCell ref="U596:Y596"/>
    <mergeCell ref="AF940:AR940"/>
    <mergeCell ref="O104:S104"/>
    <mergeCell ref="X862:Y863"/>
    <mergeCell ref="AH1135:AH1138"/>
    <mergeCell ref="R229:R230"/>
    <mergeCell ref="I924:I927"/>
    <mergeCell ref="U324:Y324"/>
    <mergeCell ref="AH385:AL385"/>
    <mergeCell ref="J360:L360"/>
    <mergeCell ref="AO493:AQ493"/>
    <mergeCell ref="AI325:AK325"/>
    <mergeCell ref="K1233:L1233"/>
    <mergeCell ref="O1019:S1021"/>
    <mergeCell ref="AA1064:AA1065"/>
    <mergeCell ref="P1068:P1069"/>
    <mergeCell ref="P396:R396"/>
    <mergeCell ref="AB13:AF14"/>
    <mergeCell ref="AB318:AF320"/>
    <mergeCell ref="AD1166:AF1166"/>
    <mergeCell ref="O80:O83"/>
    <mergeCell ref="J71:L71"/>
    <mergeCell ref="V1197:Y1197"/>
    <mergeCell ref="AB211:AE211"/>
    <mergeCell ref="J828:L828"/>
    <mergeCell ref="I378:M379"/>
    <mergeCell ref="U466:Y466"/>
    <mergeCell ref="J371:L371"/>
    <mergeCell ref="U464:X464"/>
    <mergeCell ref="I290:M290"/>
    <mergeCell ref="AH70:AL70"/>
    <mergeCell ref="U675:X675"/>
    <mergeCell ref="I1200:M1201"/>
    <mergeCell ref="J1142:M1143"/>
    <mergeCell ref="J829:L829"/>
    <mergeCell ref="AH528:AL528"/>
    <mergeCell ref="V435:V436"/>
    <mergeCell ref="AI984:AK984"/>
    <mergeCell ref="R451:R452"/>
    <mergeCell ref="O468:S468"/>
    <mergeCell ref="O685:S685"/>
    <mergeCell ref="AB361:AF361"/>
    <mergeCell ref="AN321:AO321"/>
    <mergeCell ref="AC769:AE769"/>
    <mergeCell ref="W601:Y601"/>
    <mergeCell ref="AN923:AR923"/>
    <mergeCell ref="AN1081:AR1081"/>
    <mergeCell ref="AK253:AL253"/>
    <mergeCell ref="P298:S299"/>
    <mergeCell ref="W602:Y602"/>
    <mergeCell ref="O1073:O1074"/>
    <mergeCell ref="AN921:AO921"/>
    <mergeCell ref="R1084:R1085"/>
    <mergeCell ref="AB283:AF283"/>
    <mergeCell ref="AP76:AQ76"/>
    <mergeCell ref="AK905:AL905"/>
    <mergeCell ref="O1068:O1069"/>
    <mergeCell ref="AH633:AK633"/>
    <mergeCell ref="AB680:AC681"/>
    <mergeCell ref="AJ180:AL180"/>
    <mergeCell ref="AN1198:AN1199"/>
    <mergeCell ref="AI1136:AK1136"/>
    <mergeCell ref="AK475:AL475"/>
    <mergeCell ref="AB400:AB401"/>
    <mergeCell ref="AH922:AI922"/>
    <mergeCell ref="AB916:AF916"/>
    <mergeCell ref="J926:L926"/>
    <mergeCell ref="AB381:AR381"/>
    <mergeCell ref="K287:L287"/>
    <mergeCell ref="AB107:AF109"/>
    <mergeCell ref="J927:L927"/>
    <mergeCell ref="AJ533:AL533"/>
    <mergeCell ref="AL446:AL447"/>
    <mergeCell ref="AJ744:AL744"/>
    <mergeCell ref="AR646:AR647"/>
    <mergeCell ref="L679:M679"/>
    <mergeCell ref="O73:S75"/>
    <mergeCell ref="AB92:AR92"/>
    <mergeCell ref="AD366:AF366"/>
    <mergeCell ref="AH191:AL192"/>
    <mergeCell ref="AJ745:AL745"/>
    <mergeCell ref="AO504:AQ504"/>
    <mergeCell ref="P82:R82"/>
    <mergeCell ref="P509:S510"/>
    <mergeCell ref="P413:R413"/>
    <mergeCell ref="AN45:AR49"/>
    <mergeCell ref="Q1084:Q1085"/>
    <mergeCell ref="I347:I350"/>
    <mergeCell ref="M618:Y618"/>
    <mergeCell ref="Q954:R954"/>
    <mergeCell ref="AC565:AF566"/>
    <mergeCell ref="U951:Y953"/>
    <mergeCell ref="AO986:AR986"/>
    <mergeCell ref="K787:L787"/>
    <mergeCell ref="J540:L540"/>
    <mergeCell ref="Q1132:S1132"/>
    <mergeCell ref="I1022:J1022"/>
    <mergeCell ref="AP1131:AQ1131"/>
    <mergeCell ref="AB393:AB396"/>
    <mergeCell ref="AB767:AC767"/>
    <mergeCell ref="U1246:Y1247"/>
    <mergeCell ref="P136:R136"/>
    <mergeCell ref="AB604:AB607"/>
    <mergeCell ref="AC197:AE197"/>
    <mergeCell ref="AC188:AF188"/>
    <mergeCell ref="AB978:AC978"/>
    <mergeCell ref="J9:Y10"/>
    <mergeCell ref="I980:I983"/>
    <mergeCell ref="I123:M124"/>
    <mergeCell ref="I1052:M1052"/>
    <mergeCell ref="J137:L137"/>
    <mergeCell ref="S440:S441"/>
    <mergeCell ref="I118:I119"/>
    <mergeCell ref="I129:M131"/>
    <mergeCell ref="AN135:AR135"/>
    <mergeCell ref="J138:L138"/>
    <mergeCell ref="AI506:AK506"/>
    <mergeCell ref="AB1056:AF1059"/>
    <mergeCell ref="AH84:AH85"/>
    <mergeCell ref="AB1267:AF1270"/>
    <mergeCell ref="R62:S62"/>
    <mergeCell ref="R273:S273"/>
    <mergeCell ref="AC971:AE971"/>
    <mergeCell ref="AO296:AQ296"/>
    <mergeCell ref="R667:S668"/>
    <mergeCell ref="U128:Y128"/>
    <mergeCell ref="O1128:S1130"/>
    <mergeCell ref="J796:L796"/>
    <mergeCell ref="AI1191:AK1191"/>
    <mergeCell ref="U883:X883"/>
    <mergeCell ref="P505:R505"/>
    <mergeCell ref="V667:X667"/>
    <mergeCell ref="AB973:AF975"/>
    <mergeCell ref="AH423:AL426"/>
    <mergeCell ref="U759:Y759"/>
    <mergeCell ref="AB1184:AF1186"/>
    <mergeCell ref="AC350:AE350"/>
    <mergeCell ref="W435:W436"/>
    <mergeCell ref="AI1192:AK1192"/>
    <mergeCell ref="AP112:AR112"/>
    <mergeCell ref="O133:P133"/>
    <mergeCell ref="AC561:AE561"/>
    <mergeCell ref="AN967:AR968"/>
    <mergeCell ref="AH484:AJ484"/>
    <mergeCell ref="AN962:AN963"/>
    <mergeCell ref="J937:L937"/>
    <mergeCell ref="AO1228:AQ1228"/>
    <mergeCell ref="AH337:AL337"/>
    <mergeCell ref="U1033:U1034"/>
    <mergeCell ref="U284:Y286"/>
    <mergeCell ref="AN1262:AR1262"/>
    <mergeCell ref="J938:L938"/>
    <mergeCell ref="AN251:AQ251"/>
    <mergeCell ref="AP132:AQ132"/>
    <mergeCell ref="AH632:AL632"/>
    <mergeCell ref="I1178:M1179"/>
    <mergeCell ref="AN660:AR663"/>
    <mergeCell ref="AN1190:AR1190"/>
    <mergeCell ref="O883:Q883"/>
    <mergeCell ref="O630:S630"/>
    <mergeCell ref="AK689:AL689"/>
    <mergeCell ref="AB392:AF392"/>
    <mergeCell ref="AC606:AE606"/>
    <mergeCell ref="AB625:AF628"/>
    <mergeCell ref="I768:M768"/>
    <mergeCell ref="AB608:AB609"/>
    <mergeCell ref="K345:M345"/>
    <mergeCell ref="O1110:Q1110"/>
    <mergeCell ref="AH634:AL637"/>
    <mergeCell ref="AJ500:AL500"/>
    <mergeCell ref="AB365:AC365"/>
    <mergeCell ref="AB992:AF992"/>
    <mergeCell ref="AO719:AR719"/>
    <mergeCell ref="AO717:AQ717"/>
    <mergeCell ref="AH1045:AL1045"/>
    <mergeCell ref="U1026:U1029"/>
    <mergeCell ref="U1237:U1240"/>
    <mergeCell ref="AH325:AH328"/>
    <mergeCell ref="I114:I117"/>
    <mergeCell ref="R1113:S1113"/>
    <mergeCell ref="AL224:AL225"/>
    <mergeCell ref="AH1061:AL1061"/>
    <mergeCell ref="AH551:AL553"/>
    <mergeCell ref="AO140:AQ140"/>
    <mergeCell ref="AH877:AJ877"/>
    <mergeCell ref="AB745:AC745"/>
    <mergeCell ref="I472:J472"/>
    <mergeCell ref="V84:X84"/>
    <mergeCell ref="P527:R527"/>
    <mergeCell ref="I1235:J1235"/>
    <mergeCell ref="V384:X384"/>
    <mergeCell ref="AH904:AJ904"/>
    <mergeCell ref="I946:Y946"/>
    <mergeCell ref="AI115:AK115"/>
    <mergeCell ref="AN40:AQ40"/>
    <mergeCell ref="R235:R236"/>
    <mergeCell ref="AP1189:AR1189"/>
    <mergeCell ref="O4:Y4"/>
    <mergeCell ref="AK1111:AL1111"/>
    <mergeCell ref="I1213:I1216"/>
    <mergeCell ref="AN1230:AR1232"/>
    <mergeCell ref="I1132:J1132"/>
    <mergeCell ref="V738:X738"/>
    <mergeCell ref="O121:O122"/>
    <mergeCell ref="AH18:AH19"/>
    <mergeCell ref="AC116:AE116"/>
    <mergeCell ref="X1073:Y1074"/>
    <mergeCell ref="U678:Y682"/>
    <mergeCell ref="AB713:AB716"/>
    <mergeCell ref="AC306:AE306"/>
    <mergeCell ref="V143:Y144"/>
    <mergeCell ref="O1162:S1164"/>
    <mergeCell ref="AN113:AR113"/>
    <mergeCell ref="AI184:AK184"/>
    <mergeCell ref="AN989:AR990"/>
    <mergeCell ref="U1096:X1096"/>
    <mergeCell ref="I995:M997"/>
    <mergeCell ref="AN565:AN566"/>
    <mergeCell ref="O16:S16"/>
    <mergeCell ref="J704:L704"/>
    <mergeCell ref="AO835:AQ835"/>
    <mergeCell ref="O174:S174"/>
    <mergeCell ref="AF97:AR97"/>
    <mergeCell ref="U972:Y972"/>
    <mergeCell ref="I790:M790"/>
    <mergeCell ref="AD534:AF534"/>
    <mergeCell ref="J1004:L1004"/>
    <mergeCell ref="AH703:AL703"/>
    <mergeCell ref="O474:S474"/>
    <mergeCell ref="P713:R713"/>
    <mergeCell ref="AC774:AE774"/>
    <mergeCell ref="AF1153:AR1153"/>
    <mergeCell ref="R471:S471"/>
    <mergeCell ref="I706:M708"/>
    <mergeCell ref="AN712:AR712"/>
    <mergeCell ref="AN255:AR255"/>
    <mergeCell ref="R682:S682"/>
    <mergeCell ref="J83:L83"/>
    <mergeCell ref="Q235:Q236"/>
    <mergeCell ref="AN466:AR466"/>
    <mergeCell ref="P925:R925"/>
    <mergeCell ref="AB76:AC76"/>
    <mergeCell ref="AH903:AJ903"/>
    <mergeCell ref="R466:S466"/>
    <mergeCell ref="AB253:AD253"/>
    <mergeCell ref="AC853:AR854"/>
    <mergeCell ref="U1241:U1242"/>
    <mergeCell ref="M96:Y96"/>
    <mergeCell ref="W600:X600"/>
    <mergeCell ref="AH112:AI112"/>
    <mergeCell ref="AN463:AQ463"/>
    <mergeCell ref="R1073:R1074"/>
    <mergeCell ref="AH540:AH541"/>
    <mergeCell ref="AH323:AI323"/>
    <mergeCell ref="V80:X80"/>
    <mergeCell ref="AN180:AO180"/>
    <mergeCell ref="O611:O612"/>
    <mergeCell ref="I834:M834"/>
    <mergeCell ref="AB126:AF126"/>
    <mergeCell ref="AN458:AQ458"/>
    <mergeCell ref="R693:S693"/>
    <mergeCell ref="U1167:V1167"/>
    <mergeCell ref="AE680:AF681"/>
    <mergeCell ref="AB373:AB374"/>
    <mergeCell ref="I923:M923"/>
    <mergeCell ref="I1134:M1134"/>
    <mergeCell ref="AK481:AL481"/>
    <mergeCell ref="AE886:AF886"/>
    <mergeCell ref="AK464:AL464"/>
    <mergeCell ref="AN558:AN561"/>
    <mergeCell ref="U709:V709"/>
    <mergeCell ref="I921:J921"/>
    <mergeCell ref="AH765:AI765"/>
    <mergeCell ref="AB1205:AF1205"/>
    <mergeCell ref="J1215:L1215"/>
    <mergeCell ref="AF195:AR195"/>
    <mergeCell ref="W977:Y977"/>
    <mergeCell ref="AC1139:AE1139"/>
    <mergeCell ref="AH485:AJ485"/>
    <mergeCell ref="AH766:AI766"/>
    <mergeCell ref="P543:S544"/>
    <mergeCell ref="P235:P236"/>
    <mergeCell ref="Q322:S322"/>
    <mergeCell ref="AP321:AQ321"/>
    <mergeCell ref="AB717:AB718"/>
    <mergeCell ref="AD78:AF78"/>
    <mergeCell ref="AA9:AA10"/>
    <mergeCell ref="AC1173:AE1173"/>
    <mergeCell ref="AP1234:AR1234"/>
    <mergeCell ref="V750:X750"/>
    <mergeCell ref="Q1073:Q1074"/>
    <mergeCell ref="AN281:AR281"/>
    <mergeCell ref="AL1068:AL1069"/>
    <mergeCell ref="P1142:S1143"/>
    <mergeCell ref="O815:O818"/>
    <mergeCell ref="V292:X292"/>
    <mergeCell ref="M1251:Y1251"/>
    <mergeCell ref="I1258:M1261"/>
    <mergeCell ref="I1055:L1055"/>
    <mergeCell ref="AH89:AL90"/>
    <mergeCell ref="J715:L715"/>
    <mergeCell ref="AB179:AC179"/>
    <mergeCell ref="AH1191:AH1194"/>
    <mergeCell ref="AB1070:AF1095"/>
    <mergeCell ref="AC186:AE186"/>
    <mergeCell ref="AI348:AK348"/>
    <mergeCell ref="AN866:AR868"/>
    <mergeCell ref="O72:S72"/>
    <mergeCell ref="I1227:M1227"/>
    <mergeCell ref="AO549:AQ549"/>
    <mergeCell ref="Q1060:S1060"/>
    <mergeCell ref="AC331:AF331"/>
    <mergeCell ref="J100:L100"/>
    <mergeCell ref="AH567:AL568"/>
    <mergeCell ref="J94:L94"/>
    <mergeCell ref="AD1210:AF1210"/>
    <mergeCell ref="O55:Q55"/>
    <mergeCell ref="AB1225:AR1225"/>
    <mergeCell ref="AB840:AF840"/>
    <mergeCell ref="AB158:AB161"/>
    <mergeCell ref="U822:U823"/>
    <mergeCell ref="P347:R347"/>
    <mergeCell ref="AN21:AR21"/>
    <mergeCell ref="AC86:AF86"/>
    <mergeCell ref="I334:M335"/>
    <mergeCell ref="AN346:AR346"/>
    <mergeCell ref="AH400:AH401"/>
    <mergeCell ref="V961:X961"/>
    <mergeCell ref="J1242:L1242"/>
    <mergeCell ref="L43:M44"/>
    <mergeCell ref="AO929:AQ929"/>
    <mergeCell ref="O711:P711"/>
    <mergeCell ref="U603:Y603"/>
    <mergeCell ref="AI393:AK393"/>
    <mergeCell ref="AN344:AO344"/>
    <mergeCell ref="P769:R769"/>
    <mergeCell ref="AK62:AL62"/>
    <mergeCell ref="AI604:AK604"/>
    <mergeCell ref="AP110:AQ110"/>
    <mergeCell ref="P980:R980"/>
    <mergeCell ref="J296:L296"/>
    <mergeCell ref="P1138:R1138"/>
    <mergeCell ref="AH295:AH296"/>
    <mergeCell ref="AP229:AP230"/>
    <mergeCell ref="AI751:AK751"/>
    <mergeCell ref="J350:L350"/>
    <mergeCell ref="AD47:AD48"/>
    <mergeCell ref="O267:Q267"/>
    <mergeCell ref="AH207:AL207"/>
    <mergeCell ref="Q77:S77"/>
    <mergeCell ref="AH970:AL970"/>
    <mergeCell ref="AP224:AP225"/>
    <mergeCell ref="AB339:AF339"/>
    <mergeCell ref="AN671:AQ671"/>
    <mergeCell ref="I555:J555"/>
    <mergeCell ref="J1064:Y1065"/>
    <mergeCell ref="AN449:AR452"/>
    <mergeCell ref="AH38:AJ38"/>
    <mergeCell ref="AN882:AQ882"/>
    <mergeCell ref="AH687:AJ687"/>
    <mergeCell ref="AH807:AL807"/>
    <mergeCell ref="AI1046:AK1046"/>
    <mergeCell ref="P817:R817"/>
    <mergeCell ref="AN203:AR206"/>
    <mergeCell ref="J949:L949"/>
    <mergeCell ref="W711:Y711"/>
    <mergeCell ref="AN389:AO389"/>
    <mergeCell ref="M937:Y937"/>
    <mergeCell ref="O805:S805"/>
    <mergeCell ref="O134:P134"/>
    <mergeCell ref="I577:J577"/>
    <mergeCell ref="AI1073:AI1074"/>
    <mergeCell ref="AH216:AI216"/>
    <mergeCell ref="AB351:AB352"/>
    <mergeCell ref="O1263:S1263"/>
    <mergeCell ref="AF619:AR619"/>
    <mergeCell ref="I638:M638"/>
    <mergeCell ref="AJ498:AK498"/>
    <mergeCell ref="AI1068:AI1069"/>
    <mergeCell ref="AB65:AR65"/>
    <mergeCell ref="O1094:Q1094"/>
    <mergeCell ref="H644:H850"/>
    <mergeCell ref="AH1267:AL1270"/>
    <mergeCell ref="R688:S688"/>
    <mergeCell ref="AI189:AL190"/>
    <mergeCell ref="AO229:AO230"/>
    <mergeCell ref="AD258:AD259"/>
    <mergeCell ref="AB798:AB799"/>
    <mergeCell ref="AH743:AI743"/>
    <mergeCell ref="P338:R338"/>
    <mergeCell ref="AO224:AO225"/>
    <mergeCell ref="AB576:AC576"/>
    <mergeCell ref="AD344:AF344"/>
    <mergeCell ref="V716:X716"/>
    <mergeCell ref="AJ812:AL812"/>
    <mergeCell ref="AB737:AF737"/>
    <mergeCell ref="AP976:AQ976"/>
    <mergeCell ref="Q1188:S1188"/>
    <mergeCell ref="V559:X559"/>
    <mergeCell ref="I1105:J1105"/>
    <mergeCell ref="AP1187:AQ1187"/>
    <mergeCell ref="U15:Y15"/>
    <mergeCell ref="I910:Y911"/>
    <mergeCell ref="AB1023:AC1023"/>
    <mergeCell ref="O956:P956"/>
    <mergeCell ref="V1017:X1017"/>
    <mergeCell ref="AK456:AL457"/>
    <mergeCell ref="AO330:AQ330"/>
    <mergeCell ref="AJ532:AK532"/>
    <mergeCell ref="AN332:AN333"/>
    <mergeCell ref="AO964:AR964"/>
    <mergeCell ref="M1149:Y1149"/>
    <mergeCell ref="I789:J789"/>
    <mergeCell ref="AN385:AR385"/>
    <mergeCell ref="AO325:AQ325"/>
    <mergeCell ref="D26:F26"/>
    <mergeCell ref="V1027:X1027"/>
    <mergeCell ref="Q1233:R1233"/>
    <mergeCell ref="I254:K255"/>
    <mergeCell ref="U1019:Y1021"/>
    <mergeCell ref="P560:R560"/>
    <mergeCell ref="P114:R114"/>
    <mergeCell ref="J519:L519"/>
    <mergeCell ref="H855:H1061"/>
    <mergeCell ref="O594:S594"/>
    <mergeCell ref="AO352:AQ352"/>
    <mergeCell ref="AB1002:AB1005"/>
    <mergeCell ref="U80:U83"/>
    <mergeCell ref="AC142:AF142"/>
    <mergeCell ref="P1160:R1160"/>
    <mergeCell ref="AB140:AB141"/>
    <mergeCell ref="AH808:AL810"/>
    <mergeCell ref="I427:M427"/>
    <mergeCell ref="AI185:AK185"/>
    <mergeCell ref="I596:M596"/>
    <mergeCell ref="AI817:AK817"/>
    <mergeCell ref="AI1244:AL1245"/>
    <mergeCell ref="L887:M888"/>
    <mergeCell ref="U931:U932"/>
    <mergeCell ref="AI186:AK186"/>
    <mergeCell ref="O649:S649"/>
    <mergeCell ref="R41:S41"/>
    <mergeCell ref="AC187:AE187"/>
    <mergeCell ref="AH532:AI532"/>
    <mergeCell ref="R252:S252"/>
    <mergeCell ref="I324:M324"/>
    <mergeCell ref="J563:L563"/>
    <mergeCell ref="AH262:AL262"/>
    <mergeCell ref="O480:Q480"/>
    <mergeCell ref="I565:I566"/>
    <mergeCell ref="V1228:X1228"/>
    <mergeCell ref="AJ1235:AL1235"/>
    <mergeCell ref="AH720:AH721"/>
    <mergeCell ref="AK240:AK241"/>
    <mergeCell ref="U354:U355"/>
    <mergeCell ref="AI959:AK959"/>
    <mergeCell ref="AN1099:AR1099"/>
    <mergeCell ref="U870:Y870"/>
    <mergeCell ref="AI1170:AK1170"/>
    <mergeCell ref="O692:Q692"/>
    <mergeCell ref="O29:O30"/>
    <mergeCell ref="AC792:AE792"/>
    <mergeCell ref="P1241:R1241"/>
    <mergeCell ref="AC329:AE329"/>
    <mergeCell ref="AP390:AR390"/>
    <mergeCell ref="AI1171:AK1171"/>
    <mergeCell ref="AB853:AB854"/>
    <mergeCell ref="AC1003:AE1003"/>
    <mergeCell ref="AJ18:AJ19"/>
    <mergeCell ref="I699:Y700"/>
    <mergeCell ref="AH463:AJ463"/>
    <mergeCell ref="P1242:R1242"/>
    <mergeCell ref="R694:S694"/>
    <mergeCell ref="I469:J470"/>
    <mergeCell ref="J617:L617"/>
    <mergeCell ref="AP391:AR391"/>
    <mergeCell ref="AN813:AO813"/>
    <mergeCell ref="AN1030:AN1031"/>
    <mergeCell ref="AH862:AH863"/>
    <mergeCell ref="AN1246:AR1247"/>
    <mergeCell ref="AH948:AL948"/>
    <mergeCell ref="AB317:AF317"/>
    <mergeCell ref="I211:L211"/>
    <mergeCell ref="AK465:AL465"/>
    <mergeCell ref="AH857:AH858"/>
    <mergeCell ref="AI1032:AL1032"/>
    <mergeCell ref="AN1168:AR1168"/>
    <mergeCell ref="AO754:AR755"/>
    <mergeCell ref="U1135:U1138"/>
    <mergeCell ref="AB321:AC321"/>
    <mergeCell ref="K601:M601"/>
    <mergeCell ref="I844:L844"/>
    <mergeCell ref="S240:S241"/>
    <mergeCell ref="AH873:AH874"/>
    <mergeCell ref="AN955:AO955"/>
    <mergeCell ref="O554:P554"/>
    <mergeCell ref="AN18:AN19"/>
    <mergeCell ref="AH905:AJ905"/>
    <mergeCell ref="AI1240:AK1240"/>
    <mergeCell ref="AN1166:AO1166"/>
    <mergeCell ref="O914:S914"/>
    <mergeCell ref="S235:S236"/>
    <mergeCell ref="J332:M333"/>
    <mergeCell ref="AD76:AE76"/>
    <mergeCell ref="V456:X456"/>
    <mergeCell ref="AH924:AH927"/>
    <mergeCell ref="V82:X82"/>
    <mergeCell ref="AB1006:AB1007"/>
    <mergeCell ref="AB1222:AF1223"/>
    <mergeCell ref="V293:X293"/>
    <mergeCell ref="AA642:AA643"/>
    <mergeCell ref="AO396:AQ396"/>
    <mergeCell ref="AI24:AI25"/>
    <mergeCell ref="I745:J745"/>
    <mergeCell ref="P857:P858"/>
    <mergeCell ref="U70:Y70"/>
    <mergeCell ref="AO399:AR399"/>
    <mergeCell ref="V775:Y775"/>
    <mergeCell ref="U528:Y528"/>
    <mergeCell ref="AB136:AB139"/>
    <mergeCell ref="W709:X709"/>
    <mergeCell ref="AB468:AC468"/>
    <mergeCell ref="J987:M988"/>
    <mergeCell ref="K683:M683"/>
    <mergeCell ref="AI1142:AL1143"/>
    <mergeCell ref="AO538:AQ538"/>
    <mergeCell ref="AJ921:AL921"/>
    <mergeCell ref="R29:R30"/>
    <mergeCell ref="U248:X248"/>
    <mergeCell ref="J732:L732"/>
    <mergeCell ref="I414:M417"/>
    <mergeCell ref="V820:X820"/>
    <mergeCell ref="AB106:AF106"/>
    <mergeCell ref="I1014:Y1014"/>
    <mergeCell ref="I1225:Y1225"/>
    <mergeCell ref="I951:M953"/>
    <mergeCell ref="AB791:AB794"/>
    <mergeCell ref="AO760:AQ760"/>
    <mergeCell ref="AC354:AF355"/>
    <mergeCell ref="V1136:X1136"/>
    <mergeCell ref="AD922:AF922"/>
    <mergeCell ref="R224:R225"/>
    <mergeCell ref="AD1131:AE1131"/>
    <mergeCell ref="M99:Y99"/>
    <mergeCell ref="AO1191:AQ1191"/>
    <mergeCell ref="U132:V132"/>
    <mergeCell ref="I936:Y936"/>
    <mergeCell ref="AN247:AQ247"/>
    <mergeCell ref="AN1026:AN1029"/>
    <mergeCell ref="AK482:AL482"/>
    <mergeCell ref="X17:Y17"/>
    <mergeCell ref="AC1008:AF1008"/>
    <mergeCell ref="O273:Q273"/>
    <mergeCell ref="AC726:AE726"/>
    <mergeCell ref="AI926:AK926"/>
    <mergeCell ref="O667:Q668"/>
    <mergeCell ref="AH928:AH929"/>
    <mergeCell ref="O878:Q879"/>
    <mergeCell ref="O268:Q268"/>
    <mergeCell ref="P542:S542"/>
    <mergeCell ref="U459:X459"/>
    <mergeCell ref="AC296:AE296"/>
    <mergeCell ref="AB1235:AC1235"/>
    <mergeCell ref="AB298:AB299"/>
    <mergeCell ref="R907:S907"/>
    <mergeCell ref="AH13:AH14"/>
    <mergeCell ref="J830:L830"/>
    <mergeCell ref="AN73:AR75"/>
    <mergeCell ref="J375:M375"/>
    <mergeCell ref="AB735:AR735"/>
    <mergeCell ref="I128:M128"/>
    <mergeCell ref="AH671:AJ671"/>
    <mergeCell ref="U671:X671"/>
    <mergeCell ref="AN1016:AR1016"/>
    <mergeCell ref="I428:M428"/>
    <mergeCell ref="AH882:AJ882"/>
    <mergeCell ref="P565:S566"/>
    <mergeCell ref="AN836:AR839"/>
    <mergeCell ref="AO509:AR510"/>
    <mergeCell ref="AB967:AF968"/>
    <mergeCell ref="AH391:AI391"/>
    <mergeCell ref="I181:M181"/>
    <mergeCell ref="R1108:S1108"/>
    <mergeCell ref="O767:P767"/>
    <mergeCell ref="I1033:I1034"/>
    <mergeCell ref="AH840:AL840"/>
    <mergeCell ref="AH1051:AL1051"/>
    <mergeCell ref="M522:Y522"/>
    <mergeCell ref="AK906:AL906"/>
    <mergeCell ref="O318:S320"/>
    <mergeCell ref="AB212:AF215"/>
    <mergeCell ref="I811:J811"/>
    <mergeCell ref="O1095:Q1095"/>
    <mergeCell ref="V506:X506"/>
    <mergeCell ref="AN1096:AQ1096"/>
    <mergeCell ref="O1056:S1059"/>
    <mergeCell ref="AB579:AF579"/>
    <mergeCell ref="AH744:AI744"/>
    <mergeCell ref="I725:Y725"/>
    <mergeCell ref="AC1220:AF1221"/>
    <mergeCell ref="J1194:L1194"/>
    <mergeCell ref="AD891:AD892"/>
    <mergeCell ref="AB502:AB505"/>
    <mergeCell ref="K133:M133"/>
    <mergeCell ref="AN1047:AR1050"/>
    <mergeCell ref="I1070:M1095"/>
    <mergeCell ref="P350:R350"/>
    <mergeCell ref="AN1128:AR1130"/>
    <mergeCell ref="J182:L182"/>
    <mergeCell ref="W976:X976"/>
    <mergeCell ref="AK1073:AK1074"/>
    <mergeCell ref="P561:R561"/>
    <mergeCell ref="AO505:AQ505"/>
    <mergeCell ref="AB1024:AC1024"/>
    <mergeCell ref="J183:L183"/>
    <mergeCell ref="U337:Y337"/>
    <mergeCell ref="AO508:AR508"/>
    <mergeCell ref="J394:L394"/>
    <mergeCell ref="AB923:AF923"/>
    <mergeCell ref="U121:U122"/>
    <mergeCell ref="K178:L178"/>
    <mergeCell ref="V1028:X1028"/>
    <mergeCell ref="AO958:AQ958"/>
    <mergeCell ref="AC140:AE140"/>
    <mergeCell ref="AB921:AC921"/>
    <mergeCell ref="J86:M86"/>
    <mergeCell ref="J84:L84"/>
    <mergeCell ref="O39:Q39"/>
    <mergeCell ref="AH24:AH25"/>
    <mergeCell ref="R461:S461"/>
    <mergeCell ref="U345:V345"/>
    <mergeCell ref="J536:L536"/>
    <mergeCell ref="AH104:AL104"/>
    <mergeCell ref="AQ862:AR863"/>
    <mergeCell ref="R63:S63"/>
    <mergeCell ref="AD1189:AF1189"/>
    <mergeCell ref="AI774:AK774"/>
    <mergeCell ref="O392:S392"/>
    <mergeCell ref="K955:M955"/>
    <mergeCell ref="AB1230:AF1232"/>
    <mergeCell ref="AB210:AF210"/>
    <mergeCell ref="J738:L738"/>
    <mergeCell ref="O481:Q481"/>
    <mergeCell ref="AK260:AL260"/>
    <mergeCell ref="AB495:AF497"/>
    <mergeCell ref="U1159:Y1159"/>
    <mergeCell ref="P773:R773"/>
    <mergeCell ref="P748:R748"/>
    <mergeCell ref="J580:L580"/>
    <mergeCell ref="I646:M647"/>
    <mergeCell ref="AN464:AQ464"/>
    <mergeCell ref="AB290:AF290"/>
    <mergeCell ref="AC504:AE504"/>
    <mergeCell ref="U884:X884"/>
    <mergeCell ref="O834:S834"/>
    <mergeCell ref="AC931:AF932"/>
    <mergeCell ref="AB506:AB507"/>
    <mergeCell ref="AC835:AE835"/>
    <mergeCell ref="U551:Y553"/>
    <mergeCell ref="W179:Y179"/>
    <mergeCell ref="O351:O352"/>
    <mergeCell ref="AC562:AE562"/>
    <mergeCell ref="AH114:AH117"/>
    <mergeCell ref="AI1030:AK1030"/>
    <mergeCell ref="O651:O652"/>
    <mergeCell ref="AB623:AF623"/>
    <mergeCell ref="U710:V710"/>
    <mergeCell ref="AB712:AF712"/>
    <mergeCell ref="I50:J50"/>
    <mergeCell ref="R254:S254"/>
    <mergeCell ref="O646:O647"/>
    <mergeCell ref="I261:J261"/>
    <mergeCell ref="J1239:L1239"/>
    <mergeCell ref="AK873:AK874"/>
    <mergeCell ref="I1241:I1242"/>
    <mergeCell ref="Q180:S180"/>
    <mergeCell ref="O693:Q693"/>
    <mergeCell ref="J928:L928"/>
    <mergeCell ref="U1198:U1199"/>
    <mergeCell ref="AH499:AI499"/>
    <mergeCell ref="M730:Y730"/>
    <mergeCell ref="O107:S109"/>
    <mergeCell ref="M941:Y941"/>
    <mergeCell ref="AC1031:AE1031"/>
    <mergeCell ref="U18:U19"/>
    <mergeCell ref="AH500:AI500"/>
    <mergeCell ref="AP766:AR766"/>
    <mergeCell ref="I705:M705"/>
    <mergeCell ref="V282:X282"/>
    <mergeCell ref="AH860:AL860"/>
    <mergeCell ref="AI13:AI14"/>
    <mergeCell ref="I709:J709"/>
    <mergeCell ref="V184:X184"/>
    <mergeCell ref="I1006:I1007"/>
    <mergeCell ref="S857:S858"/>
    <mergeCell ref="AJ868:AJ869"/>
    <mergeCell ref="AJ862:AJ863"/>
    <mergeCell ref="AB343:AC343"/>
    <mergeCell ref="AF828:AR828"/>
    <mergeCell ref="O1173:O1174"/>
    <mergeCell ref="AC927:AE927"/>
    <mergeCell ref="V188:Y188"/>
    <mergeCell ref="I759:M759"/>
    <mergeCell ref="AO413:AQ413"/>
    <mergeCell ref="Q1022:R1022"/>
    <mergeCell ref="V326:X326"/>
    <mergeCell ref="AO713:AQ713"/>
    <mergeCell ref="AH625:AL628"/>
    <mergeCell ref="AD323:AF323"/>
    <mergeCell ref="AI82:AK82"/>
    <mergeCell ref="AD321:AE321"/>
    <mergeCell ref="S1079:S1080"/>
    <mergeCell ref="AH706:AL708"/>
    <mergeCell ref="AJ873:AJ874"/>
    <mergeCell ref="U329:U330"/>
    <mergeCell ref="V986:Y986"/>
    <mergeCell ref="AI540:AK540"/>
    <mergeCell ref="Q1167:S1167"/>
    <mergeCell ref="K999:M999"/>
    <mergeCell ref="AI83:AK83"/>
    <mergeCell ref="U540:U541"/>
    <mergeCell ref="AH1022:AI1022"/>
    <mergeCell ref="I740:M742"/>
    <mergeCell ref="AO397:AQ397"/>
    <mergeCell ref="AJ638:AL638"/>
    <mergeCell ref="I393:I396"/>
    <mergeCell ref="AI541:AK541"/>
    <mergeCell ref="AH980:AH983"/>
    <mergeCell ref="J292:L292"/>
    <mergeCell ref="AD920:AE920"/>
    <mergeCell ref="AH118:AH119"/>
    <mergeCell ref="K1165:L1165"/>
    <mergeCell ref="AO1032:AR1032"/>
    <mergeCell ref="K710:M710"/>
    <mergeCell ref="AO609:AQ609"/>
    <mergeCell ref="U135:Y135"/>
    <mergeCell ref="U224:U225"/>
    <mergeCell ref="AN611:AN612"/>
    <mergeCell ref="AO1243:AR1243"/>
    <mergeCell ref="AB769:AB772"/>
    <mergeCell ref="AI136:AK136"/>
    <mergeCell ref="U987:U988"/>
    <mergeCell ref="V1137:X1137"/>
    <mergeCell ref="AA433:AA639"/>
    <mergeCell ref="AB123:AF124"/>
    <mergeCell ref="R857:R858"/>
    <mergeCell ref="AE469:AF470"/>
    <mergeCell ref="K922:M922"/>
    <mergeCell ref="V1138:X1138"/>
    <mergeCell ref="AI868:AI869"/>
    <mergeCell ref="U765:V765"/>
    <mergeCell ref="D21:F21"/>
    <mergeCell ref="I189:I190"/>
    <mergeCell ref="U914:Y914"/>
    <mergeCell ref="AN78:AO78"/>
    <mergeCell ref="P1139:R1139"/>
    <mergeCell ref="J971:L971"/>
    <mergeCell ref="AI915:AK915"/>
    <mergeCell ref="AH670:AL670"/>
    <mergeCell ref="AC85:AE85"/>
    <mergeCell ref="P1172:R1172"/>
    <mergeCell ref="AC717:AE717"/>
    <mergeCell ref="O717:O718"/>
    <mergeCell ref="I1237:I1240"/>
    <mergeCell ref="AF98:AR98"/>
    <mergeCell ref="AB346:AF346"/>
    <mergeCell ref="P1192:R1192"/>
    <mergeCell ref="J1005:L1005"/>
    <mergeCell ref="AH56:AJ56"/>
    <mergeCell ref="J961:L961"/>
    <mergeCell ref="AF93:AR93"/>
    <mergeCell ref="I603:M603"/>
    <mergeCell ref="AB344:AC344"/>
    <mergeCell ref="J964:M964"/>
    <mergeCell ref="J1175:M1175"/>
    <mergeCell ref="U1262:Y1262"/>
    <mergeCell ref="AK696:AL696"/>
    <mergeCell ref="AI1238:AK1238"/>
    <mergeCell ref="AN815:AN818"/>
    <mergeCell ref="J384:L384"/>
    <mergeCell ref="O179:P179"/>
    <mergeCell ref="U1191:U1194"/>
    <mergeCell ref="AC771:AE771"/>
    <mergeCell ref="U865:Y865"/>
    <mergeCell ref="W288:Y288"/>
    <mergeCell ref="AH383:AL383"/>
    <mergeCell ref="AH594:AL594"/>
    <mergeCell ref="U1190:Y1190"/>
    <mergeCell ref="M1154:Y1154"/>
    <mergeCell ref="O1244:O1245"/>
    <mergeCell ref="P331:S331"/>
    <mergeCell ref="AB216:AF216"/>
    <mergeCell ref="AB427:AF427"/>
    <mergeCell ref="U977:V977"/>
    <mergeCell ref="AB543:AB544"/>
    <mergeCell ref="R689:S689"/>
    <mergeCell ref="V18:V19"/>
    <mergeCell ref="AE676:AF677"/>
    <mergeCell ref="AH768:AL768"/>
    <mergeCell ref="AB524:AR524"/>
    <mergeCell ref="J164:M164"/>
    <mergeCell ref="O532:P532"/>
    <mergeCell ref="AH883:AJ883"/>
    <mergeCell ref="AE887:AF888"/>
    <mergeCell ref="AN1236:AR1236"/>
    <mergeCell ref="K711:M711"/>
    <mergeCell ref="AN1233:AO1233"/>
    <mergeCell ref="AK460:AL460"/>
    <mergeCell ref="AJ344:AL344"/>
    <mergeCell ref="I365:J365"/>
    <mergeCell ref="AJ13:AJ14"/>
    <mergeCell ref="K680:K681"/>
    <mergeCell ref="AI127:AK127"/>
    <mergeCell ref="AC1140:AE1140"/>
    <mergeCell ref="AN1234:AO1234"/>
    <mergeCell ref="AD345:AF345"/>
    <mergeCell ref="I814:M814"/>
    <mergeCell ref="I972:M972"/>
    <mergeCell ref="W1068:W1069"/>
    <mergeCell ref="AC1135:AE1135"/>
    <mergeCell ref="I1272:M1272"/>
    <mergeCell ref="AO776:AR777"/>
    <mergeCell ref="U300:Y301"/>
    <mergeCell ref="U295:U296"/>
    <mergeCell ref="AO348:AQ348"/>
    <mergeCell ref="V751:X751"/>
    <mergeCell ref="AI296:AK296"/>
    <mergeCell ref="AB699:AR700"/>
    <mergeCell ref="U207:Y207"/>
    <mergeCell ref="AI507:AK507"/>
    <mergeCell ref="A33:B80"/>
    <mergeCell ref="O339:S339"/>
    <mergeCell ref="K811:L811"/>
    <mergeCell ref="O1060:P1060"/>
    <mergeCell ref="AB1210:AC1210"/>
    <mergeCell ref="AB621:AR621"/>
    <mergeCell ref="AB43:AD44"/>
    <mergeCell ref="AI349:AK349"/>
    <mergeCell ref="U41:X41"/>
    <mergeCell ref="AD976:AE976"/>
    <mergeCell ref="U654:Y654"/>
    <mergeCell ref="U648:Y648"/>
    <mergeCell ref="AL29:AL30"/>
    <mergeCell ref="AD1187:AE1187"/>
    <mergeCell ref="AO817:AQ817"/>
    <mergeCell ref="O181:S181"/>
    <mergeCell ref="U979:Y979"/>
    <mergeCell ref="V1193:X1193"/>
    <mergeCell ref="AH1131:AI1131"/>
    <mergeCell ref="AI949:AK949"/>
    <mergeCell ref="AC121:AF122"/>
    <mergeCell ref="I167:M168"/>
    <mergeCell ref="J95:L95"/>
    <mergeCell ref="AB332:AB333"/>
    <mergeCell ref="AC332:AF333"/>
    <mergeCell ref="J727:L727"/>
    <mergeCell ref="J395:L395"/>
    <mergeCell ref="P1237:R1237"/>
    <mergeCell ref="AN134:AO134"/>
    <mergeCell ref="AC782:AE782"/>
    <mergeCell ref="J96:L96"/>
    <mergeCell ref="J1027:L1027"/>
    <mergeCell ref="AN720:AN721"/>
    <mergeCell ref="AO1170:AQ1170"/>
    <mergeCell ref="AN287:AO287"/>
    <mergeCell ref="AC352:AE352"/>
    <mergeCell ref="V189:Y190"/>
    <mergeCell ref="AB784:AF786"/>
    <mergeCell ref="AH269:AJ269"/>
    <mergeCell ref="S18:S19"/>
    <mergeCell ref="I841:M841"/>
    <mergeCell ref="AK57:AL57"/>
    <mergeCell ref="U965:U966"/>
    <mergeCell ref="AN1097:AQ1097"/>
    <mergeCell ref="J750:L750"/>
    <mergeCell ref="AH481:AJ481"/>
    <mergeCell ref="O252:Q252"/>
    <mergeCell ref="U1176:U1177"/>
    <mergeCell ref="U1018:Y1018"/>
    <mergeCell ref="V1257:X1257"/>
    <mergeCell ref="I42:K42"/>
    <mergeCell ref="U1229:Y1229"/>
    <mergeCell ref="AK58:AL58"/>
    <mergeCell ref="AC521:AE521"/>
    <mergeCell ref="AC1195:AE1195"/>
    <mergeCell ref="AC732:AE732"/>
    <mergeCell ref="R886:S886"/>
    <mergeCell ref="AB1212:AF1212"/>
    <mergeCell ref="O1023:P1023"/>
    <mergeCell ref="I526:M526"/>
    <mergeCell ref="AO915:AQ915"/>
    <mergeCell ref="AI747:AK747"/>
    <mergeCell ref="Q178:R178"/>
    <mergeCell ref="I773:I774"/>
    <mergeCell ref="I354:I355"/>
    <mergeCell ref="O849:P849"/>
    <mergeCell ref="AB279:AR279"/>
    <mergeCell ref="AC748:AE748"/>
    <mergeCell ref="AK42:AL42"/>
    <mergeCell ref="AN956:AO956"/>
    <mergeCell ref="R902:S902"/>
    <mergeCell ref="AD390:AF390"/>
    <mergeCell ref="AH1096:AJ1096"/>
    <mergeCell ref="V457:X457"/>
    <mergeCell ref="O2:Y3"/>
    <mergeCell ref="R482:S482"/>
    <mergeCell ref="AF518:AR518"/>
    <mergeCell ref="O1165:P1165"/>
    <mergeCell ref="I795:I796"/>
    <mergeCell ref="K156:M156"/>
    <mergeCell ref="I578:J578"/>
    <mergeCell ref="AH1097:AJ1097"/>
    <mergeCell ref="O145:S146"/>
    <mergeCell ref="AO114:AQ114"/>
    <mergeCell ref="O51:S51"/>
    <mergeCell ref="J97:L97"/>
    <mergeCell ref="U243:X243"/>
    <mergeCell ref="V857:V858"/>
    <mergeCell ref="V604:X604"/>
    <mergeCell ref="V185:X185"/>
    <mergeCell ref="I1209:J1209"/>
    <mergeCell ref="AB1198:AB1199"/>
    <mergeCell ref="O1101:S1101"/>
    <mergeCell ref="V1244:Y1245"/>
    <mergeCell ref="O597:S599"/>
    <mergeCell ref="R1098:S1098"/>
    <mergeCell ref="W1023:Y1023"/>
    <mergeCell ref="Q651:Q652"/>
    <mergeCell ref="J1173:L1173"/>
    <mergeCell ref="AJ322:AL322"/>
    <mergeCell ref="U1144:Y1145"/>
    <mergeCell ref="V327:X327"/>
    <mergeCell ref="W1235:Y1235"/>
    <mergeCell ref="AD155:AF155"/>
    <mergeCell ref="V984:X984"/>
    <mergeCell ref="V959:X959"/>
    <mergeCell ref="W743:X743"/>
    <mergeCell ref="AC96:AE96"/>
    <mergeCell ref="U1045:Y1045"/>
    <mergeCell ref="I859:M884"/>
    <mergeCell ref="AJ813:AL813"/>
    <mergeCell ref="P329:R329"/>
    <mergeCell ref="U567:Y568"/>
    <mergeCell ref="J161:L161"/>
    <mergeCell ref="AN186:AN187"/>
    <mergeCell ref="U315:Y315"/>
    <mergeCell ref="AO1030:AQ1030"/>
    <mergeCell ref="V338:X338"/>
    <mergeCell ref="AO1241:AQ1241"/>
    <mergeCell ref="J162:L162"/>
    <mergeCell ref="U862:U863"/>
    <mergeCell ref="AH72:AL72"/>
    <mergeCell ref="K709:L709"/>
    <mergeCell ref="AI1176:AL1177"/>
    <mergeCell ref="P564:S564"/>
    <mergeCell ref="AC118:AE118"/>
    <mergeCell ref="U857:U858"/>
    <mergeCell ref="AB556:AC556"/>
    <mergeCell ref="AH318:AL320"/>
    <mergeCell ref="AC119:AE119"/>
    <mergeCell ref="K1211:M1211"/>
    <mergeCell ref="AL868:AL869"/>
    <mergeCell ref="AJ1166:AL1166"/>
    <mergeCell ref="AD956:AF956"/>
    <mergeCell ref="AH211:AK211"/>
    <mergeCell ref="J609:L609"/>
    <mergeCell ref="AB226:AF251"/>
    <mergeCell ref="D22:F22"/>
    <mergeCell ref="AH613:AL614"/>
    <mergeCell ref="J820:L820"/>
    <mergeCell ref="AB725:AR725"/>
    <mergeCell ref="AH608:AH609"/>
    <mergeCell ref="AN928:AN929"/>
    <mergeCell ref="J515:L515"/>
    <mergeCell ref="O459:S459"/>
    <mergeCell ref="AN467:AR471"/>
    <mergeCell ref="AO980:AQ980"/>
    <mergeCell ref="AH694:AJ694"/>
    <mergeCell ref="I506:I507"/>
    <mergeCell ref="I289:J289"/>
    <mergeCell ref="AI769:AK769"/>
    <mergeCell ref="AI350:AK350"/>
    <mergeCell ref="I132:J132"/>
    <mergeCell ref="W229:W230"/>
    <mergeCell ref="AN390:AO390"/>
    <mergeCell ref="AI1138:AK1138"/>
    <mergeCell ref="V298:Y299"/>
    <mergeCell ref="AB1026:AB1029"/>
    <mergeCell ref="AK266:AL266"/>
    <mergeCell ref="AC183:AE183"/>
    <mergeCell ref="O970:S970"/>
    <mergeCell ref="P752:R752"/>
    <mergeCell ref="J559:L559"/>
    <mergeCell ref="O136:O139"/>
    <mergeCell ref="O476:Q476"/>
    <mergeCell ref="O687:Q687"/>
    <mergeCell ref="I645:M645"/>
    <mergeCell ref="AJ77:AL77"/>
    <mergeCell ref="AK255:AL255"/>
    <mergeCell ref="AC330:AE330"/>
    <mergeCell ref="AK868:AK869"/>
    <mergeCell ref="O688:Q688"/>
    <mergeCell ref="I162:I163"/>
    <mergeCell ref="AH212:AL215"/>
    <mergeCell ref="AK250:AL250"/>
    <mergeCell ref="AB385:AF385"/>
    <mergeCell ref="I601:J601"/>
    <mergeCell ref="R695:S695"/>
    <mergeCell ref="R1089:S1090"/>
    <mergeCell ref="O677:Q677"/>
    <mergeCell ref="Q287:R287"/>
    <mergeCell ref="AB1016:AF1016"/>
    <mergeCell ref="AH414:AL417"/>
    <mergeCell ref="AF937:AR937"/>
    <mergeCell ref="O672:Q672"/>
    <mergeCell ref="P440:P441"/>
    <mergeCell ref="J173:L173"/>
    <mergeCell ref="AH906:AJ906"/>
    <mergeCell ref="AH900:AJ900"/>
    <mergeCell ref="AP745:AR745"/>
    <mergeCell ref="I931:I932"/>
    <mergeCell ref="M1155:Y1155"/>
    <mergeCell ref="I1142:I1143"/>
    <mergeCell ref="AH901:AJ901"/>
    <mergeCell ref="I912:Y912"/>
    <mergeCell ref="AN655:AR657"/>
    <mergeCell ref="AH1112:AJ1112"/>
    <mergeCell ref="U501:Y501"/>
    <mergeCell ref="AH762:AL764"/>
    <mergeCell ref="AI139:AK139"/>
    <mergeCell ref="AB536:AB539"/>
    <mergeCell ref="AB322:AC322"/>
    <mergeCell ref="AN1082:AR1085"/>
    <mergeCell ref="W1132:Y1132"/>
    <mergeCell ref="O1235:P1235"/>
    <mergeCell ref="AN126:AR126"/>
    <mergeCell ref="AH604:AH607"/>
    <mergeCell ref="U13:U14"/>
    <mergeCell ref="AN924:AN927"/>
    <mergeCell ref="U1169:U1172"/>
    <mergeCell ref="AJ1188:AL1188"/>
    <mergeCell ref="AB1047:AF1050"/>
    <mergeCell ref="AB511:AF512"/>
    <mergeCell ref="AP1233:AQ1233"/>
    <mergeCell ref="R53:S53"/>
    <mergeCell ref="P595:R595"/>
    <mergeCell ref="P138:R138"/>
    <mergeCell ref="O140:O141"/>
    <mergeCell ref="K978:M978"/>
    <mergeCell ref="AN84:AN85"/>
    <mergeCell ref="O967:S968"/>
    <mergeCell ref="AF1149:AR1149"/>
    <mergeCell ref="AN594:AR594"/>
    <mergeCell ref="O440:O441"/>
    <mergeCell ref="O657:O658"/>
    <mergeCell ref="AO1139:AQ1139"/>
    <mergeCell ref="U208:Y208"/>
    <mergeCell ref="J142:M142"/>
    <mergeCell ref="J728:L728"/>
    <mergeCell ref="I1135:I1138"/>
    <mergeCell ref="AN648:AR648"/>
    <mergeCell ref="U419:Y419"/>
    <mergeCell ref="V816:X816"/>
    <mergeCell ref="AH181:AL181"/>
    <mergeCell ref="J1028:L1028"/>
    <mergeCell ref="U532:V532"/>
    <mergeCell ref="O557:S557"/>
    <mergeCell ref="AD744:AF744"/>
    <mergeCell ref="R249:S249"/>
    <mergeCell ref="AO1192:AQ1192"/>
    <mergeCell ref="M94:Y94"/>
    <mergeCell ref="U133:V133"/>
    <mergeCell ref="AI563:AK563"/>
    <mergeCell ref="U885:X885"/>
    <mergeCell ref="J929:L929"/>
    <mergeCell ref="AH649:AL649"/>
    <mergeCell ref="M95:Y95"/>
    <mergeCell ref="J624:L624"/>
    <mergeCell ref="AK477:AL477"/>
    <mergeCell ref="I257:J257"/>
    <mergeCell ref="O1025:S1025"/>
    <mergeCell ref="M306:Y306"/>
    <mergeCell ref="AC396:AE396"/>
    <mergeCell ref="AI1194:AK1194"/>
    <mergeCell ref="J924:L924"/>
    <mergeCell ref="AN673:AQ673"/>
    <mergeCell ref="O263:S263"/>
    <mergeCell ref="I70:M70"/>
    <mergeCell ref="AN201:AR201"/>
    <mergeCell ref="AN340:AR342"/>
    <mergeCell ref="AI1197:AL1197"/>
    <mergeCell ref="I642:I643"/>
    <mergeCell ref="AN659:AR659"/>
    <mergeCell ref="AN965:AN966"/>
    <mergeCell ref="J940:L940"/>
    <mergeCell ref="AH639:AL639"/>
    <mergeCell ref="O1024:P1024"/>
    <mergeCell ref="U602:V602"/>
    <mergeCell ref="AN499:AO499"/>
    <mergeCell ref="O868:O869"/>
    <mergeCell ref="U1030:U1031"/>
    <mergeCell ref="AK674:AL674"/>
    <mergeCell ref="AB323:AC323"/>
    <mergeCell ref="O948:S948"/>
    <mergeCell ref="AI1031:AK1031"/>
    <mergeCell ref="AK651:AK652"/>
    <mergeCell ref="J1243:M1243"/>
    <mergeCell ref="Q343:R343"/>
    <mergeCell ref="O885:Q885"/>
    <mergeCell ref="AF519:AR519"/>
    <mergeCell ref="AB494:AF494"/>
    <mergeCell ref="I710:J710"/>
    <mergeCell ref="AI332:AL333"/>
    <mergeCell ref="O713:O716"/>
    <mergeCell ref="R1104:S1104"/>
    <mergeCell ref="V1237:X1237"/>
    <mergeCell ref="AB367:AC367"/>
    <mergeCell ref="V774:X774"/>
    <mergeCell ref="AQ440:AR441"/>
    <mergeCell ref="AR224:AR225"/>
    <mergeCell ref="V202:X202"/>
    <mergeCell ref="P607:R607"/>
    <mergeCell ref="AH745:AI745"/>
    <mergeCell ref="V502:X502"/>
    <mergeCell ref="R1115:S1115"/>
    <mergeCell ref="O495:S497"/>
    <mergeCell ref="AP389:AQ389"/>
    <mergeCell ref="P931:S932"/>
    <mergeCell ref="AO775:AR775"/>
    <mergeCell ref="O106:S106"/>
    <mergeCell ref="Q710:S710"/>
    <mergeCell ref="O1132:P1132"/>
    <mergeCell ref="AN42:AQ42"/>
    <mergeCell ref="P562:R562"/>
    <mergeCell ref="AD472:AF472"/>
    <mergeCell ref="AB894:AC894"/>
    <mergeCell ref="AC509:AF510"/>
    <mergeCell ref="AB182:AB185"/>
    <mergeCell ref="AF943:AR943"/>
    <mergeCell ref="O623:S623"/>
    <mergeCell ref="AC720:AF721"/>
    <mergeCell ref="AI120:AL120"/>
    <mergeCell ref="AC407:AE407"/>
    <mergeCell ref="O737:S737"/>
    <mergeCell ref="AN37:AQ37"/>
    <mergeCell ref="K1209:L1209"/>
    <mergeCell ref="J326:L326"/>
    <mergeCell ref="AD954:AE954"/>
    <mergeCell ref="AD499:AF499"/>
    <mergeCell ref="P821:S821"/>
    <mergeCell ref="AB1189:AC1189"/>
    <mergeCell ref="AH951:AL953"/>
    <mergeCell ref="P657:P658"/>
    <mergeCell ref="AI117:AK117"/>
    <mergeCell ref="U288:V288"/>
    <mergeCell ref="AI328:AK328"/>
    <mergeCell ref="J986:M986"/>
    <mergeCell ref="P704:R704"/>
    <mergeCell ref="AB1014:AR1014"/>
    <mergeCell ref="V1172:X1172"/>
    <mergeCell ref="R462:S462"/>
    <mergeCell ref="U500:V500"/>
    <mergeCell ref="AI928:AK928"/>
    <mergeCell ref="AN1100:AR1104"/>
    <mergeCell ref="I135:M135"/>
    <mergeCell ref="J374:L374"/>
    <mergeCell ref="U461:X461"/>
    <mergeCell ref="J1006:L1006"/>
    <mergeCell ref="J1137:L1137"/>
    <mergeCell ref="AH705:AL705"/>
    <mergeCell ref="AI770:AK770"/>
    <mergeCell ref="R54:S54"/>
    <mergeCell ref="P1173:R1173"/>
    <mergeCell ref="W862:W863"/>
    <mergeCell ref="P927:R927"/>
    <mergeCell ref="AB78:AC78"/>
    <mergeCell ref="U73:Y75"/>
    <mergeCell ref="AN1173:AN1174"/>
    <mergeCell ref="J1148:L1148"/>
    <mergeCell ref="AC505:AE505"/>
    <mergeCell ref="U625:Y628"/>
    <mergeCell ref="U1244:U1245"/>
    <mergeCell ref="AK888:AL888"/>
    <mergeCell ref="AH759:AL759"/>
    <mergeCell ref="AN460:AQ460"/>
    <mergeCell ref="I756:M757"/>
    <mergeCell ref="AB217:AF217"/>
    <mergeCell ref="I751:I752"/>
    <mergeCell ref="AN768:AR768"/>
    <mergeCell ref="AF732:AR732"/>
    <mergeCell ref="AN979:AR979"/>
    <mergeCell ref="AK483:AL483"/>
    <mergeCell ref="O1133:P1133"/>
    <mergeCell ref="AH1033:AH1034"/>
    <mergeCell ref="I1262:M1262"/>
    <mergeCell ref="V543:Y544"/>
    <mergeCell ref="AB203:AF206"/>
    <mergeCell ref="AH740:AL742"/>
    <mergeCell ref="AK478:AL478"/>
    <mergeCell ref="AN318:AR320"/>
    <mergeCell ref="AH767:AI767"/>
    <mergeCell ref="O769:O772"/>
    <mergeCell ref="V136:X136"/>
    <mergeCell ref="AJ78:AL78"/>
    <mergeCell ref="O123:S124"/>
    <mergeCell ref="AB600:AC600"/>
    <mergeCell ref="AD469:AD470"/>
    <mergeCell ref="AN824:AR825"/>
    <mergeCell ref="I976:J976"/>
    <mergeCell ref="AC1174:AE1174"/>
    <mergeCell ref="U36:X36"/>
    <mergeCell ref="M726:Y726"/>
    <mergeCell ref="AB630:AF630"/>
    <mergeCell ref="AH1056:AL1059"/>
    <mergeCell ref="I634:M637"/>
    <mergeCell ref="I977:J977"/>
    <mergeCell ref="AC1169:AE1169"/>
    <mergeCell ref="P85:R85"/>
    <mergeCell ref="AN89:AR90"/>
    <mergeCell ref="I1001:M1001"/>
    <mergeCell ref="AB1233:AC1233"/>
    <mergeCell ref="X13:X14"/>
    <mergeCell ref="I536:I539"/>
    <mergeCell ref="O1227:S1227"/>
    <mergeCell ref="AH973:AL975"/>
    <mergeCell ref="AH1237:AH1240"/>
    <mergeCell ref="V297:Y297"/>
    <mergeCell ref="K179:M179"/>
    <mergeCell ref="AB773:AB774"/>
    <mergeCell ref="AH849:AI849"/>
    <mergeCell ref="I1060:M1060"/>
    <mergeCell ref="AC776:AF777"/>
    <mergeCell ref="I300:M301"/>
    <mergeCell ref="I1157:Y1157"/>
    <mergeCell ref="AC158:AE158"/>
    <mergeCell ref="I295:I296"/>
    <mergeCell ref="J140:L140"/>
    <mergeCell ref="AI84:AK84"/>
    <mergeCell ref="AO246:AQ246"/>
    <mergeCell ref="AI451:AI452"/>
    <mergeCell ref="U383:Y383"/>
    <mergeCell ref="AO651:AO652"/>
    <mergeCell ref="AI384:AK384"/>
    <mergeCell ref="AH1165:AI1165"/>
    <mergeCell ref="AI536:AK536"/>
    <mergeCell ref="AQ1068:AQ1069"/>
    <mergeCell ref="O210:S210"/>
    <mergeCell ref="AC516:AE516"/>
    <mergeCell ref="AO393:AQ393"/>
    <mergeCell ref="AB998:AC998"/>
    <mergeCell ref="W498:X498"/>
    <mergeCell ref="AO604:AQ604"/>
    <mergeCell ref="J282:L282"/>
    <mergeCell ref="O841:S841"/>
    <mergeCell ref="AO605:AQ605"/>
    <mergeCell ref="J582:L582"/>
    <mergeCell ref="W344:Y344"/>
    <mergeCell ref="U437:Y437"/>
    <mergeCell ref="W13:W14"/>
    <mergeCell ref="U766:V766"/>
    <mergeCell ref="U886:X886"/>
    <mergeCell ref="J184:L184"/>
    <mergeCell ref="AN532:AO532"/>
    <mergeCell ref="AB419:AF419"/>
    <mergeCell ref="P1140:R1140"/>
    <mergeCell ref="O438:S438"/>
    <mergeCell ref="AN1144:AR1145"/>
    <mergeCell ref="R266:S266"/>
    <mergeCell ref="P835:R835"/>
    <mergeCell ref="AI1195:AK1195"/>
    <mergeCell ref="I359:M359"/>
    <mergeCell ref="O555:P555"/>
    <mergeCell ref="R898:S898"/>
    <mergeCell ref="Q451:Q452"/>
    <mergeCell ref="I570:M570"/>
    <mergeCell ref="AN834:AR834"/>
    <mergeCell ref="Q662:Q663"/>
    <mergeCell ref="AH673:AJ673"/>
    <mergeCell ref="AH814:AL814"/>
    <mergeCell ref="I186:I187"/>
    <mergeCell ref="AH972:AL972"/>
    <mergeCell ref="AN1134:AR1134"/>
    <mergeCell ref="Q446:Q447"/>
    <mergeCell ref="AI748:AK748"/>
    <mergeCell ref="AH1183:AL1183"/>
    <mergeCell ref="I111:J111"/>
    <mergeCell ref="AH57:AJ57"/>
    <mergeCell ref="J189:M190"/>
    <mergeCell ref="I68:Y68"/>
    <mergeCell ref="AH689:AJ689"/>
    <mergeCell ref="I418:M418"/>
    <mergeCell ref="P819:R819"/>
    <mergeCell ref="AH812:AI812"/>
    <mergeCell ref="AC581:AE581"/>
    <mergeCell ref="AB143:AB144"/>
    <mergeCell ref="I712:M712"/>
    <mergeCell ref="I965:I966"/>
    <mergeCell ref="O455:Q455"/>
    <mergeCell ref="J965:M966"/>
    <mergeCell ref="I1176:I1177"/>
    <mergeCell ref="M307:Y307"/>
    <mergeCell ref="J1257:L1257"/>
    <mergeCell ref="AI1239:AK1239"/>
    <mergeCell ref="AK691:AL691"/>
    <mergeCell ref="O397:O398"/>
    <mergeCell ref="AO35:AQ35"/>
    <mergeCell ref="AC309:AE309"/>
    <mergeCell ref="V349:X349"/>
    <mergeCell ref="AK686:AL686"/>
    <mergeCell ref="O1265:S1265"/>
    <mergeCell ref="AC609:AE609"/>
    <mergeCell ref="R1093:S1093"/>
    <mergeCell ref="I711:J711"/>
    <mergeCell ref="J985:L985"/>
    <mergeCell ref="U1131:V1131"/>
    <mergeCell ref="AB1241:AB1242"/>
    <mergeCell ref="AJ134:AL134"/>
    <mergeCell ref="O902:Q902"/>
    <mergeCell ref="AD577:AF577"/>
    <mergeCell ref="V949:X949"/>
    <mergeCell ref="O1113:Q1113"/>
    <mergeCell ref="P121:S122"/>
    <mergeCell ref="R1088:S1088"/>
    <mergeCell ref="V33:X33"/>
    <mergeCell ref="AN181:AR181"/>
    <mergeCell ref="AN958:AN961"/>
    <mergeCell ref="M1150:Y1150"/>
    <mergeCell ref="AO822:AR823"/>
    <mergeCell ref="O1114:Q1114"/>
    <mergeCell ref="AO1033:AR1034"/>
    <mergeCell ref="O1108:Q1108"/>
    <mergeCell ref="Q111:S111"/>
    <mergeCell ref="X229:Y230"/>
    <mergeCell ref="V34:X34"/>
    <mergeCell ref="AH884:AJ884"/>
    <mergeCell ref="E17:E18"/>
    <mergeCell ref="AP812:AR812"/>
    <mergeCell ref="Q868:Q869"/>
    <mergeCell ref="AB709:AC709"/>
    <mergeCell ref="O227:S227"/>
    <mergeCell ref="AN933:AR934"/>
    <mergeCell ref="AJ1271:AL1271"/>
    <mergeCell ref="J185:L185"/>
    <mergeCell ref="AB739:AF739"/>
    <mergeCell ref="AP532:AQ532"/>
    <mergeCell ref="AB434:AF434"/>
    <mergeCell ref="AB648:AF673"/>
    <mergeCell ref="AB573:AF575"/>
    <mergeCell ref="V564:Y564"/>
    <mergeCell ref="AI118:AK118"/>
    <mergeCell ref="K1023:M1023"/>
    <mergeCell ref="AN356:AR357"/>
    <mergeCell ref="U448:Y448"/>
    <mergeCell ref="AJ1022:AK1022"/>
    <mergeCell ref="S662:S663"/>
    <mergeCell ref="AD1105:AF1105"/>
    <mergeCell ref="AC1009:AF1010"/>
    <mergeCell ref="U807:Y807"/>
    <mergeCell ref="J196:L196"/>
    <mergeCell ref="V1046:X1046"/>
    <mergeCell ref="AJ956:AL956"/>
    <mergeCell ref="D28:F28"/>
    <mergeCell ref="J327:L327"/>
    <mergeCell ref="J431:Y432"/>
    <mergeCell ref="V1160:X1160"/>
    <mergeCell ref="V747:X747"/>
    <mergeCell ref="AI292:AK292"/>
    <mergeCell ref="AD498:AE498"/>
    <mergeCell ref="AJ1167:AL1167"/>
    <mergeCell ref="K743:L743"/>
    <mergeCell ref="AI503:AK503"/>
    <mergeCell ref="D29:F29"/>
    <mergeCell ref="D23:F23"/>
    <mergeCell ref="AK261:AL261"/>
    <mergeCell ref="AD1000:AF1000"/>
    <mergeCell ref="P117:R117"/>
    <mergeCell ref="I567:M568"/>
    <mergeCell ref="AB186:AB187"/>
    <mergeCell ref="L258:M259"/>
    <mergeCell ref="I315:M315"/>
    <mergeCell ref="AC941:AE941"/>
    <mergeCell ref="AO818:AQ818"/>
    <mergeCell ref="AI440:AI441"/>
    <mergeCell ref="AI187:AK187"/>
    <mergeCell ref="R1095:S1095"/>
    <mergeCell ref="J338:L338"/>
    <mergeCell ref="U492:Y492"/>
    <mergeCell ref="O289:P289"/>
    <mergeCell ref="AH37:AL37"/>
    <mergeCell ref="J549:L549"/>
    <mergeCell ref="AH248:AL248"/>
    <mergeCell ref="O466:Q466"/>
    <mergeCell ref="AN501:AR501"/>
    <mergeCell ref="O344:P344"/>
    <mergeCell ref="AO1171:AQ1171"/>
    <mergeCell ref="J1154:L1154"/>
    <mergeCell ref="AI961:AK961"/>
    <mergeCell ref="J718:L718"/>
    <mergeCell ref="R662:R663"/>
    <mergeCell ref="AH717:AH718"/>
    <mergeCell ref="AC794:AE794"/>
    <mergeCell ref="AI1175:AL1175"/>
    <mergeCell ref="AI1173:AK1173"/>
    <mergeCell ref="AH265:AJ265"/>
    <mergeCell ref="AO1182:AQ1182"/>
    <mergeCell ref="AN1093:AQ1093"/>
    <mergeCell ref="W813:Y813"/>
    <mergeCell ref="AN871:AR874"/>
    <mergeCell ref="AN178:AO178"/>
    <mergeCell ref="O844:R844"/>
    <mergeCell ref="AB390:AC390"/>
    <mergeCell ref="M732:Y732"/>
    <mergeCell ref="AK1116:AL1116"/>
    <mergeCell ref="R887:S887"/>
    <mergeCell ref="AJ76:AK76"/>
    <mergeCell ref="AB836:AF839"/>
    <mergeCell ref="I979:M979"/>
    <mergeCell ref="J1218:L1218"/>
    <mergeCell ref="L257:M257"/>
    <mergeCell ref="O556:P556"/>
    <mergeCell ref="U318:Y320"/>
    <mergeCell ref="V127:X127"/>
    <mergeCell ref="H222:H428"/>
    <mergeCell ref="K154:L154"/>
    <mergeCell ref="AJ711:AL711"/>
    <mergeCell ref="I389:J389"/>
    <mergeCell ref="U613:Y614"/>
    <mergeCell ref="AB134:AC134"/>
    <mergeCell ref="AB720:AB721"/>
    <mergeCell ref="O435:O436"/>
    <mergeCell ref="AN290:AR290"/>
    <mergeCell ref="P987:S988"/>
    <mergeCell ref="J93:L93"/>
    <mergeCell ref="AJ390:AL390"/>
    <mergeCell ref="AO1142:AR1143"/>
    <mergeCell ref="V769:X769"/>
    <mergeCell ref="AD555:AF555"/>
    <mergeCell ref="V595:X595"/>
    <mergeCell ref="I890:J890"/>
    <mergeCell ref="AH506:AH507"/>
    <mergeCell ref="R1094:S1094"/>
    <mergeCell ref="U283:Y283"/>
    <mergeCell ref="AI558:AK558"/>
    <mergeCell ref="AH1168:AL1168"/>
    <mergeCell ref="V928:X928"/>
    <mergeCell ref="AB1128:AF1130"/>
    <mergeCell ref="AI559:AK559"/>
    <mergeCell ref="P330:R330"/>
    <mergeCell ref="K976:L976"/>
    <mergeCell ref="O385:S385"/>
    <mergeCell ref="AB924:AB927"/>
    <mergeCell ref="U400:U401"/>
    <mergeCell ref="I1169:I1172"/>
    <mergeCell ref="AN654:AR654"/>
    <mergeCell ref="AN629:AR629"/>
    <mergeCell ref="O264:Q264"/>
    <mergeCell ref="AO563:AQ563"/>
    <mergeCell ref="O1016:S1016"/>
    <mergeCell ref="AI395:AK395"/>
    <mergeCell ref="U107:Y109"/>
    <mergeCell ref="AO1237:AQ1237"/>
    <mergeCell ref="AD1233:AE1233"/>
    <mergeCell ref="U1025:Y1025"/>
    <mergeCell ref="AP289:AR289"/>
    <mergeCell ref="AI1026:AK1026"/>
    <mergeCell ref="P983:R983"/>
    <mergeCell ref="AC71:AE71"/>
    <mergeCell ref="AN674:AQ674"/>
    <mergeCell ref="O250:Q250"/>
    <mergeCell ref="AC828:AE828"/>
    <mergeCell ref="I419:M419"/>
    <mergeCell ref="J816:L816"/>
    <mergeCell ref="AH52:AL52"/>
    <mergeCell ref="I532:J532"/>
    <mergeCell ref="AH684:AL684"/>
    <mergeCell ref="I376:I377"/>
    <mergeCell ref="AN238:AR241"/>
    <mergeCell ref="AB431:AB432"/>
    <mergeCell ref="V139:X139"/>
    <mergeCell ref="AH41:AJ41"/>
    <mergeCell ref="AN233:AR235"/>
    <mergeCell ref="AO1090:AQ1090"/>
    <mergeCell ref="AH690:AJ690"/>
    <mergeCell ref="AN444:AR446"/>
    <mergeCell ref="AN391:AO391"/>
    <mergeCell ref="I1045:M1045"/>
    <mergeCell ref="AH526:AL526"/>
    <mergeCell ref="U604:U607"/>
    <mergeCell ref="AH773:AH774"/>
    <mergeCell ref="AH737:AL737"/>
    <mergeCell ref="W1188:Y1188"/>
    <mergeCell ref="AH984:AH985"/>
    <mergeCell ref="AN1022:AO1022"/>
    <mergeCell ref="AB201:AF201"/>
    <mergeCell ref="AN1051:AR1051"/>
    <mergeCell ref="AH1073:AH1074"/>
    <mergeCell ref="R480:S480"/>
    <mergeCell ref="O1047:S1050"/>
    <mergeCell ref="O811:P811"/>
    <mergeCell ref="AB340:AF342"/>
    <mergeCell ref="AC1241:AE1241"/>
    <mergeCell ref="P1136:R1136"/>
    <mergeCell ref="AN1052:AR1052"/>
    <mergeCell ref="AB329:AB330"/>
    <mergeCell ref="AC986:AF986"/>
    <mergeCell ref="AN129:AR131"/>
    <mergeCell ref="AK251:AL251"/>
    <mergeCell ref="I819:I820"/>
    <mergeCell ref="AN1165:AO1165"/>
    <mergeCell ref="I602:J602"/>
    <mergeCell ref="I1030:I1031"/>
    <mergeCell ref="I813:J813"/>
    <mergeCell ref="O1097:Q1097"/>
    <mergeCell ref="AH502:AH505"/>
    <mergeCell ref="S451:S452"/>
    <mergeCell ref="V666:X666"/>
    <mergeCell ref="P354:S355"/>
    <mergeCell ref="AF938:AR938"/>
    <mergeCell ref="I580:I583"/>
    <mergeCell ref="AN597:AR599"/>
    <mergeCell ref="U973:Y975"/>
    <mergeCell ref="AF939:AR939"/>
    <mergeCell ref="V350:X350"/>
    <mergeCell ref="P435:P436"/>
    <mergeCell ref="I955:J955"/>
    <mergeCell ref="AC98:AE98"/>
    <mergeCell ref="U45:Y49"/>
    <mergeCell ref="V351:X351"/>
    <mergeCell ref="P183:R183"/>
    <mergeCell ref="V562:X562"/>
    <mergeCell ref="AH923:AL923"/>
    <mergeCell ref="AI293:AK293"/>
    <mergeCell ref="I683:J683"/>
    <mergeCell ref="AI720:AL721"/>
    <mergeCell ref="M1151:Y1151"/>
    <mergeCell ref="AB1162:AF1164"/>
    <mergeCell ref="Q602:S602"/>
    <mergeCell ref="J202:L202"/>
    <mergeCell ref="AJ954:AK954"/>
    <mergeCell ref="AH921:AI921"/>
    <mergeCell ref="O111:P111"/>
    <mergeCell ref="U462:X462"/>
    <mergeCell ref="AO959:AQ959"/>
    <mergeCell ref="AH43:AJ43"/>
    <mergeCell ref="J527:L527"/>
    <mergeCell ref="J798:M799"/>
    <mergeCell ref="V1030:X1030"/>
    <mergeCell ref="AD787:AE787"/>
    <mergeCell ref="W646:W647"/>
    <mergeCell ref="P965:S966"/>
    <mergeCell ref="O1229:S1229"/>
    <mergeCell ref="U608:U609"/>
    <mergeCell ref="AC775:AF775"/>
    <mergeCell ref="J538:L538"/>
    <mergeCell ref="AC925:AE925"/>
    <mergeCell ref="AD709:AE709"/>
    <mergeCell ref="AB277:AR278"/>
    <mergeCell ref="AI820:AK820"/>
    <mergeCell ref="AB47:AC48"/>
    <mergeCell ref="AC195:AE195"/>
    <mergeCell ref="P610:S610"/>
    <mergeCell ref="O494:S494"/>
    <mergeCell ref="AN1200:AR1201"/>
    <mergeCell ref="P1191:R1191"/>
    <mergeCell ref="AO1135:AQ1135"/>
    <mergeCell ref="AC795:AE795"/>
    <mergeCell ref="AD745:AF745"/>
    <mergeCell ref="AI504:AK504"/>
    <mergeCell ref="O483:Q483"/>
    <mergeCell ref="AH1128:AL1130"/>
    <mergeCell ref="U1161:Y1161"/>
    <mergeCell ref="AI505:AK505"/>
    <mergeCell ref="O484:Q484"/>
    <mergeCell ref="R244:S244"/>
    <mergeCell ref="AH132:AI132"/>
    <mergeCell ref="U962:U963"/>
    <mergeCell ref="O548:S548"/>
    <mergeCell ref="AH133:AI133"/>
    <mergeCell ref="J1040:L1040"/>
    <mergeCell ref="O534:P534"/>
    <mergeCell ref="R877:S877"/>
    <mergeCell ref="W811:X811"/>
    <mergeCell ref="AC937:AE937"/>
    <mergeCell ref="J1251:L1251"/>
    <mergeCell ref="O54:Q54"/>
    <mergeCell ref="AH950:AL950"/>
    <mergeCell ref="U881:X881"/>
    <mergeCell ref="AK1105:AL1105"/>
    <mergeCell ref="O182:O185"/>
    <mergeCell ref="AC1017:AE1017"/>
    <mergeCell ref="I73:M75"/>
    <mergeCell ref="AH1092:AL1092"/>
    <mergeCell ref="AN1132:AO1132"/>
    <mergeCell ref="I849:M849"/>
    <mergeCell ref="AO332:AR333"/>
    <mergeCell ref="I625:M628"/>
    <mergeCell ref="Q499:S499"/>
    <mergeCell ref="AD261:AF261"/>
    <mergeCell ref="AH558:AH561"/>
    <mergeCell ref="V117:X117"/>
    <mergeCell ref="Q500:S500"/>
    <mergeCell ref="K288:M288"/>
    <mergeCell ref="O845:S848"/>
    <mergeCell ref="AB768:AF768"/>
    <mergeCell ref="AB979:AF979"/>
    <mergeCell ref="P549:R549"/>
    <mergeCell ref="O906:Q906"/>
    <mergeCell ref="AH1110:AJ1110"/>
    <mergeCell ref="R435:R436"/>
    <mergeCell ref="AO704:AQ704"/>
    <mergeCell ref="AB592:AR592"/>
    <mergeCell ref="AH555:AI555"/>
    <mergeCell ref="AB803:AR803"/>
    <mergeCell ref="J136:L136"/>
    <mergeCell ref="AN1237:AN1240"/>
    <mergeCell ref="AJ321:AK321"/>
    <mergeCell ref="O762:S764"/>
    <mergeCell ref="AN706:AR708"/>
    <mergeCell ref="X228:Y228"/>
    <mergeCell ref="V770:X770"/>
    <mergeCell ref="L890:M890"/>
    <mergeCell ref="R60:S60"/>
    <mergeCell ref="AO83:AQ83"/>
    <mergeCell ref="U1082:Y1085"/>
    <mergeCell ref="AO541:AQ541"/>
    <mergeCell ref="U1077:Y1079"/>
    <mergeCell ref="AO84:AQ84"/>
    <mergeCell ref="U126:Y126"/>
    <mergeCell ref="P753:S753"/>
    <mergeCell ref="AB965:AB966"/>
    <mergeCell ref="R1111:S1111"/>
    <mergeCell ref="AB89:AF90"/>
    <mergeCell ref="AB946:AR946"/>
    <mergeCell ref="P173:R173"/>
    <mergeCell ref="AN13:AN14"/>
    <mergeCell ref="AO138:AQ138"/>
    <mergeCell ref="AC348:AE348"/>
    <mergeCell ref="AN172:AR172"/>
    <mergeCell ref="Q922:S922"/>
    <mergeCell ref="O18:O19"/>
    <mergeCell ref="AO738:AQ738"/>
    <mergeCell ref="AD767:AF767"/>
    <mergeCell ref="J306:L306"/>
    <mergeCell ref="J297:M297"/>
    <mergeCell ref="V1139:X1139"/>
    <mergeCell ref="AH756:AL757"/>
    <mergeCell ref="AN38:AQ38"/>
    <mergeCell ref="U443:Y443"/>
    <mergeCell ref="AH121:AH122"/>
    <mergeCell ref="AK34:AL35"/>
    <mergeCell ref="J508:M508"/>
    <mergeCell ref="AN249:AQ249"/>
    <mergeCell ref="I545:M546"/>
    <mergeCell ref="P184:R184"/>
    <mergeCell ref="O203:S206"/>
    <mergeCell ref="AH446:AH447"/>
    <mergeCell ref="AN557:AR557"/>
    <mergeCell ref="V1140:X1140"/>
    <mergeCell ref="AN646:AN647"/>
    <mergeCell ref="O822:O823"/>
    <mergeCell ref="AO143:AR144"/>
    <mergeCell ref="AO1198:AR1199"/>
    <mergeCell ref="AN208:AR208"/>
    <mergeCell ref="U717:U718"/>
    <mergeCell ref="W78:Y78"/>
    <mergeCell ref="AN840:AR840"/>
    <mergeCell ref="AK56:AL56"/>
    <mergeCell ref="AI929:AK929"/>
    <mergeCell ref="AH227:AL227"/>
    <mergeCell ref="P1174:R1174"/>
    <mergeCell ref="O87:O88"/>
    <mergeCell ref="AI624:AK624"/>
    <mergeCell ref="O603:S603"/>
    <mergeCell ref="AC393:AE393"/>
    <mergeCell ref="O761:S761"/>
    <mergeCell ref="P537:R537"/>
    <mergeCell ref="AC82:AE82"/>
    <mergeCell ref="AI924:AK924"/>
    <mergeCell ref="J1007:L1007"/>
    <mergeCell ref="P1169:R1169"/>
    <mergeCell ref="AI771:AK771"/>
    <mergeCell ref="I220:I221"/>
    <mergeCell ref="J370:L370"/>
    <mergeCell ref="J1002:L1002"/>
    <mergeCell ref="AB303:AR303"/>
    <mergeCell ref="AO85:AQ85"/>
    <mergeCell ref="AN1258:AR1261"/>
    <mergeCell ref="U180:V180"/>
    <mergeCell ref="AC773:AE773"/>
    <mergeCell ref="AB528:AF528"/>
    <mergeCell ref="AO80:AQ80"/>
    <mergeCell ref="AH244:AJ244"/>
    <mergeCell ref="O773:O774"/>
    <mergeCell ref="J1149:L1149"/>
    <mergeCell ref="AH543:AH544"/>
    <mergeCell ref="AB834:AF834"/>
    <mergeCell ref="AN1227:AR1227"/>
    <mergeCell ref="AH1024:AI1024"/>
    <mergeCell ref="U535:Y535"/>
    <mergeCell ref="AB1045:AF1045"/>
    <mergeCell ref="AJ179:AL179"/>
    <mergeCell ref="AP343:AQ343"/>
    <mergeCell ref="AH843:AL843"/>
    <mergeCell ref="V86:Y86"/>
    <mergeCell ref="AP554:AQ554"/>
    <mergeCell ref="AH1054:AL1054"/>
    <mergeCell ref="AH78:AI78"/>
    <mergeCell ref="AC1214:AE1214"/>
    <mergeCell ref="AE253:AF253"/>
    <mergeCell ref="AN920:AO920"/>
    <mergeCell ref="O1125:S1125"/>
    <mergeCell ref="U1165:V1165"/>
    <mergeCell ref="AH710:AI710"/>
    <mergeCell ref="AC915:AE915"/>
    <mergeCell ref="AH255:AJ255"/>
    <mergeCell ref="O291:O294"/>
    <mergeCell ref="AC1126:AE1126"/>
    <mergeCell ref="I1263:M1263"/>
    <mergeCell ref="AC1215:AE1215"/>
    <mergeCell ref="I501:M501"/>
    <mergeCell ref="AI240:AI241"/>
    <mergeCell ref="AH896:AL896"/>
    <mergeCell ref="I367:J367"/>
    <mergeCell ref="I464:K464"/>
    <mergeCell ref="S435:S436"/>
    <mergeCell ref="Q766:S766"/>
    <mergeCell ref="I675:K675"/>
    <mergeCell ref="H220:H221"/>
    <mergeCell ref="V983:X983"/>
    <mergeCell ref="AB1203:AF1203"/>
    <mergeCell ref="U281:Y281"/>
    <mergeCell ref="AI282:AK282"/>
    <mergeCell ref="AC114:AE114"/>
    <mergeCell ref="O419:S419"/>
    <mergeCell ref="I808:M810"/>
    <mergeCell ref="Q600:R600"/>
    <mergeCell ref="AI224:AI225"/>
    <mergeCell ref="V1195:X1195"/>
    <mergeCell ref="U339:Y339"/>
    <mergeCell ref="AF1250:AR1250"/>
    <mergeCell ref="AH747:AH750"/>
    <mergeCell ref="AO502:AQ502"/>
    <mergeCell ref="U32:X32"/>
    <mergeCell ref="E2:M3"/>
    <mergeCell ref="V878:X878"/>
    <mergeCell ref="AO353:AR353"/>
    <mergeCell ref="V879:X879"/>
    <mergeCell ref="J413:L413"/>
    <mergeCell ref="O778:S779"/>
    <mergeCell ref="AI326:AK326"/>
    <mergeCell ref="AD532:AE532"/>
    <mergeCell ref="J713:L713"/>
    <mergeCell ref="AO821:AR821"/>
    <mergeCell ref="AO819:AQ819"/>
    <mergeCell ref="AJ1060:AL1060"/>
    <mergeCell ref="AH412:AL412"/>
    <mergeCell ref="AC159:AE159"/>
    <mergeCell ref="P608:R608"/>
    <mergeCell ref="AH110:AI110"/>
    <mergeCell ref="AB356:AF357"/>
    <mergeCell ref="AH712:AL712"/>
    <mergeCell ref="AE47:AF48"/>
    <mergeCell ref="J141:L141"/>
    <mergeCell ref="AI965:AL966"/>
    <mergeCell ref="I66:Y67"/>
    <mergeCell ref="J543:M544"/>
    <mergeCell ref="AI446:AI447"/>
    <mergeCell ref="I277:Y278"/>
    <mergeCell ref="R61:S61"/>
    <mergeCell ref="AN397:AN398"/>
    <mergeCell ref="O1246:S1247"/>
    <mergeCell ref="O1241:O1242"/>
    <mergeCell ref="AN288:AO288"/>
    <mergeCell ref="J1160:L1160"/>
    <mergeCell ref="U1100:Y1104"/>
    <mergeCell ref="AH135:AL135"/>
    <mergeCell ref="AH224:AH225"/>
    <mergeCell ref="I156:J156"/>
    <mergeCell ref="J1032:M1032"/>
    <mergeCell ref="AB824:AF825"/>
    <mergeCell ref="P750:R750"/>
    <mergeCell ref="AH987:AH988"/>
    <mergeCell ref="AI1137:AK1137"/>
    <mergeCell ref="O295:O296"/>
    <mergeCell ref="I1206:M1208"/>
    <mergeCell ref="O506:O507"/>
    <mergeCell ref="I1068:M1069"/>
    <mergeCell ref="J583:L583"/>
    <mergeCell ref="AC507:AE507"/>
    <mergeCell ref="AP111:AR111"/>
    <mergeCell ref="O709:P709"/>
    <mergeCell ref="O254:Q254"/>
    <mergeCell ref="AF309:AR309"/>
    <mergeCell ref="R893:S893"/>
    <mergeCell ref="O739:S739"/>
    <mergeCell ref="AB589:AF590"/>
    <mergeCell ref="AN677:AR677"/>
    <mergeCell ref="AK274:AL274"/>
    <mergeCell ref="AC1064:AR1065"/>
    <mergeCell ref="R894:S894"/>
    <mergeCell ref="R888:S888"/>
    <mergeCell ref="I572:M572"/>
    <mergeCell ref="V118:X118"/>
    <mergeCell ref="AH1088:AJ1088"/>
    <mergeCell ref="F13:F14"/>
    <mergeCell ref="AJ112:AL112"/>
    <mergeCell ref="AP711:AR711"/>
    <mergeCell ref="AN1133:AO1133"/>
    <mergeCell ref="U145:Y146"/>
    <mergeCell ref="W956:Y956"/>
    <mergeCell ref="V142:Y142"/>
    <mergeCell ref="M619:Y619"/>
    <mergeCell ref="O881:S881"/>
    <mergeCell ref="AH1262:AL1262"/>
    <mergeCell ref="AH1098:AJ1098"/>
    <mergeCell ref="O1181:S1181"/>
    <mergeCell ref="AH345:AI345"/>
    <mergeCell ref="J1252:L1252"/>
    <mergeCell ref="O740:S742"/>
    <mergeCell ref="AE1097:AF1097"/>
    <mergeCell ref="AC1182:AE1182"/>
    <mergeCell ref="M309:Y309"/>
    <mergeCell ref="AB178:AC178"/>
    <mergeCell ref="AJ920:AK920"/>
    <mergeCell ref="K258:K259"/>
    <mergeCell ref="I798:I799"/>
    <mergeCell ref="V187:X187"/>
    <mergeCell ref="K469:K470"/>
    <mergeCell ref="AD578:AF578"/>
    <mergeCell ref="H1064:H1065"/>
    <mergeCell ref="O1109:Q1109"/>
    <mergeCell ref="J127:L127"/>
    <mergeCell ref="AO558:AQ558"/>
    <mergeCell ref="V329:X329"/>
    <mergeCell ref="AB909:AR909"/>
    <mergeCell ref="AO716:AQ716"/>
    <mergeCell ref="O43:Q43"/>
    <mergeCell ref="AB1120:AR1120"/>
    <mergeCell ref="O1026:O1029"/>
    <mergeCell ref="I1234:J1234"/>
    <mergeCell ref="V330:X330"/>
    <mergeCell ref="AI399:AL399"/>
    <mergeCell ref="I917:M919"/>
    <mergeCell ref="AB378:AF379"/>
    <mergeCell ref="AQ13:AQ14"/>
    <mergeCell ref="AN72:AR72"/>
    <mergeCell ref="J163:L163"/>
    <mergeCell ref="J294:L294"/>
    <mergeCell ref="Q920:R920"/>
    <mergeCell ref="AI119:AK119"/>
    <mergeCell ref="AD765:AE765"/>
    <mergeCell ref="AO1027:AQ1027"/>
    <mergeCell ref="P384:R384"/>
    <mergeCell ref="K556:M556"/>
    <mergeCell ref="AN669:AQ669"/>
    <mergeCell ref="AC542:AF542"/>
    <mergeCell ref="AQ646:AQ647"/>
    <mergeCell ref="W76:X76"/>
    <mergeCell ref="O245:Q246"/>
    <mergeCell ref="AN383:AR383"/>
    <mergeCell ref="R905:S905"/>
    <mergeCell ref="D24:F24"/>
    <mergeCell ref="AO930:AR930"/>
    <mergeCell ref="AN841:AR841"/>
    <mergeCell ref="P1084:P1085"/>
    <mergeCell ref="AK676:AL676"/>
    <mergeCell ref="AH979:AL979"/>
    <mergeCell ref="AC1033:AF1034"/>
    <mergeCell ref="O473:S473"/>
    <mergeCell ref="O720:O721"/>
    <mergeCell ref="AH696:AJ696"/>
    <mergeCell ref="AO351:AQ351"/>
    <mergeCell ref="AN555:AO555"/>
    <mergeCell ref="U136:U139"/>
    <mergeCell ref="AN250:AQ250"/>
    <mergeCell ref="AH691:AJ691"/>
    <mergeCell ref="O462:Q462"/>
    <mergeCell ref="I509:I510"/>
    <mergeCell ref="AB165:AB166"/>
    <mergeCell ref="AP77:AR77"/>
    <mergeCell ref="U812:V812"/>
    <mergeCell ref="AD289:AF289"/>
    <mergeCell ref="AC316:AE316"/>
    <mergeCell ref="AH111:AI111"/>
    <mergeCell ref="I92:Y92"/>
    <mergeCell ref="AO987:AR988"/>
    <mergeCell ref="U511:Y512"/>
    <mergeCell ref="AH418:AL418"/>
    <mergeCell ref="O1272:S1272"/>
    <mergeCell ref="O601:P601"/>
    <mergeCell ref="AB676:AD677"/>
    <mergeCell ref="J564:M564"/>
    <mergeCell ref="AP646:AP647"/>
    <mergeCell ref="AH1018:AL1018"/>
    <mergeCell ref="AI1257:AK1257"/>
    <mergeCell ref="AB850:AF850"/>
    <mergeCell ref="AN414:AR417"/>
    <mergeCell ref="U1168:Y1168"/>
    <mergeCell ref="AH1229:AL1229"/>
    <mergeCell ref="V354:Y355"/>
    <mergeCell ref="W922:Y922"/>
    <mergeCell ref="P1240:R1240"/>
    <mergeCell ref="AB391:AC391"/>
    <mergeCell ref="J1214:L1214"/>
    <mergeCell ref="AH886:AJ886"/>
    <mergeCell ref="AL240:AL241"/>
    <mergeCell ref="O924:O927"/>
    <mergeCell ref="U386:Y388"/>
    <mergeCell ref="AJ976:AK976"/>
    <mergeCell ref="AH1071:AL1071"/>
    <mergeCell ref="AB535:AF535"/>
    <mergeCell ref="V395:X395"/>
    <mergeCell ref="AH914:AL914"/>
    <mergeCell ref="AB746:AF746"/>
    <mergeCell ref="AC985:AE985"/>
    <mergeCell ref="AB369:AB372"/>
    <mergeCell ref="AH902:AJ902"/>
    <mergeCell ref="I1064:I1065"/>
    <mergeCell ref="AB1165:AC1165"/>
    <mergeCell ref="AB744:AC744"/>
    <mergeCell ref="U87:U88"/>
    <mergeCell ref="AQ229:AR230"/>
    <mergeCell ref="AL435:AL436"/>
    <mergeCell ref="AK1096:AL1096"/>
    <mergeCell ref="U298:U299"/>
    <mergeCell ref="K322:M322"/>
    <mergeCell ref="AB597:AF599"/>
    <mergeCell ref="AJ389:AK389"/>
    <mergeCell ref="AN128:AR128"/>
    <mergeCell ref="AI873:AI874"/>
    <mergeCell ref="R39:S39"/>
    <mergeCell ref="AJ1023:AL1023"/>
    <mergeCell ref="AC376:AF377"/>
    <mergeCell ref="AC587:AF588"/>
    <mergeCell ref="U967:Y968"/>
    <mergeCell ref="AO667:AQ667"/>
    <mergeCell ref="U226:Y226"/>
    <mergeCell ref="U440:U441"/>
    <mergeCell ref="J353:M353"/>
    <mergeCell ref="I106:M106"/>
    <mergeCell ref="U526:Y526"/>
    <mergeCell ref="AP435:AP436"/>
    <mergeCell ref="AI754:AL755"/>
    <mergeCell ref="O1135:O1138"/>
    <mergeCell ref="O60:Q60"/>
    <mergeCell ref="AL662:AL663"/>
    <mergeCell ref="V1196:X1196"/>
    <mergeCell ref="O201:S201"/>
    <mergeCell ref="P1028:R1028"/>
    <mergeCell ref="AN596:AR596"/>
    <mergeCell ref="R50:S50"/>
    <mergeCell ref="AB1191:AB1194"/>
    <mergeCell ref="AC327:AE327"/>
    <mergeCell ref="AK229:AK230"/>
    <mergeCell ref="J730:L730"/>
    <mergeCell ref="P1029:R1029"/>
    <mergeCell ref="AD288:AF288"/>
    <mergeCell ref="J1030:L1030"/>
    <mergeCell ref="AO1136:AQ1136"/>
    <mergeCell ref="AK224:AK225"/>
    <mergeCell ref="AI549:AK549"/>
    <mergeCell ref="O44:Q44"/>
    <mergeCell ref="AB567:AF568"/>
    <mergeCell ref="U502:U505"/>
    <mergeCell ref="AH427:AI427"/>
    <mergeCell ref="AC338:AE338"/>
    <mergeCell ref="I608:I609"/>
    <mergeCell ref="J295:L295"/>
    <mergeCell ref="O675:Q675"/>
    <mergeCell ref="AN889:AR893"/>
    <mergeCell ref="AO1197:AR1197"/>
    <mergeCell ref="AN950:AR950"/>
    <mergeCell ref="AI539:AK539"/>
    <mergeCell ref="AC371:AE371"/>
    <mergeCell ref="AN675:AQ675"/>
    <mergeCell ref="O887:Q887"/>
    <mergeCell ref="AC1142:AF1143"/>
    <mergeCell ref="AC829:AE829"/>
    <mergeCell ref="O1159:S1159"/>
    <mergeCell ref="AO435:AO436"/>
    <mergeCell ref="J769:L769"/>
    <mergeCell ref="AN670:AQ670"/>
    <mergeCell ref="AH955:AI955"/>
    <mergeCell ref="U923:Y923"/>
    <mergeCell ref="AC1154:AE1154"/>
    <mergeCell ref="O271:Q271"/>
    <mergeCell ref="AH468:AL468"/>
    <mergeCell ref="K111:M111"/>
    <mergeCell ref="V509:Y510"/>
    <mergeCell ref="AJ110:AK110"/>
    <mergeCell ref="AH685:AL685"/>
    <mergeCell ref="V720:Y721"/>
    <mergeCell ref="S224:S225"/>
    <mergeCell ref="AO183:AQ183"/>
    <mergeCell ref="W954:X954"/>
    <mergeCell ref="AP601:AR601"/>
    <mergeCell ref="W499:Y499"/>
    <mergeCell ref="U921:V921"/>
    <mergeCell ref="AJ229:AJ230"/>
    <mergeCell ref="AH1266:AK1266"/>
    <mergeCell ref="AI298:AL299"/>
    <mergeCell ref="I1121:Y1122"/>
    <mergeCell ref="AK677:AL677"/>
    <mergeCell ref="AP602:AR602"/>
    <mergeCell ref="AC752:AE752"/>
    <mergeCell ref="AP813:AR813"/>
    <mergeCell ref="W1189:Y1189"/>
    <mergeCell ref="AF521:AR521"/>
    <mergeCell ref="AH1068:AH1069"/>
    <mergeCell ref="AH978:AI978"/>
    <mergeCell ref="AN556:AO556"/>
    <mergeCell ref="AH1127:AL1127"/>
    <mergeCell ref="AH822:AH823"/>
    <mergeCell ref="K180:M180"/>
    <mergeCell ref="U1230:Y1232"/>
    <mergeCell ref="O1198:O1199"/>
    <mergeCell ref="AO965:AR966"/>
    <mergeCell ref="U237:Y237"/>
    <mergeCell ref="V607:X607"/>
    <mergeCell ref="AH389:AI389"/>
    <mergeCell ref="V1239:X1239"/>
    <mergeCell ref="AC1193:AE1193"/>
    <mergeCell ref="AB500:AC500"/>
    <mergeCell ref="AP955:AR955"/>
    <mergeCell ref="S446:S447"/>
    <mergeCell ref="AD287:AE287"/>
    <mergeCell ref="P609:R609"/>
    <mergeCell ref="O191:S192"/>
    <mergeCell ref="M1252:Y1252"/>
    <mergeCell ref="AH340:AL342"/>
    <mergeCell ref="Q745:S745"/>
    <mergeCell ref="V504:X504"/>
    <mergeCell ref="V931:Y932"/>
    <mergeCell ref="U506:U507"/>
    <mergeCell ref="AE679:AF679"/>
    <mergeCell ref="V962:X962"/>
    <mergeCell ref="K534:M534"/>
    <mergeCell ref="AC93:AE93"/>
    <mergeCell ref="AJ1084:AJ1085"/>
    <mergeCell ref="AB347:AB350"/>
    <mergeCell ref="AB832:AR832"/>
    <mergeCell ref="AH1189:AI1189"/>
    <mergeCell ref="K894:M894"/>
    <mergeCell ref="AH1026:AH1029"/>
    <mergeCell ref="O240:O241"/>
    <mergeCell ref="I604:I607"/>
    <mergeCell ref="K554:L554"/>
    <mergeCell ref="O329:O330"/>
    <mergeCell ref="O545:S546"/>
    <mergeCell ref="AC540:AE540"/>
    <mergeCell ref="AC83:AE83"/>
    <mergeCell ref="K1188:M1188"/>
    <mergeCell ref="P559:R559"/>
    <mergeCell ref="AO960:AQ960"/>
    <mergeCell ref="AJ1132:AL1132"/>
    <mergeCell ref="O540:O541"/>
    <mergeCell ref="AB1022:AC1022"/>
    <mergeCell ref="O235:O236"/>
    <mergeCell ref="I126:M126"/>
    <mergeCell ref="U458:X458"/>
    <mergeCell ref="I373:I374"/>
    <mergeCell ref="AI330:AK330"/>
    <mergeCell ref="AC137:AE137"/>
    <mergeCell ref="U629:Y629"/>
    <mergeCell ref="AN345:AO345"/>
    <mergeCell ref="AH611:AH612"/>
    <mergeCell ref="V1174:X1174"/>
    <mergeCell ref="AC138:AE138"/>
    <mergeCell ref="AN705:AR705"/>
    <mergeCell ref="AH34:AJ35"/>
    <mergeCell ref="I84:I85"/>
    <mergeCell ref="I594:M594"/>
    <mergeCell ref="AO983:AQ983"/>
    <mergeCell ref="O765:P765"/>
    <mergeCell ref="V927:X927"/>
    <mergeCell ref="AK667:AL668"/>
    <mergeCell ref="M195:Y195"/>
    <mergeCell ref="J1141:M1141"/>
    <mergeCell ref="J1139:L1139"/>
    <mergeCell ref="AH419:AL419"/>
    <mergeCell ref="O423:S426"/>
    <mergeCell ref="AI772:AK772"/>
    <mergeCell ref="U555:V555"/>
    <mergeCell ref="AN883:AQ883"/>
    <mergeCell ref="I722:M723"/>
    <mergeCell ref="AH250:AJ250"/>
    <mergeCell ref="AB208:AF208"/>
    <mergeCell ref="W321:X321"/>
    <mergeCell ref="AI775:AL775"/>
    <mergeCell ref="D25:F25"/>
    <mergeCell ref="AC605:AE605"/>
    <mergeCell ref="AB646:AF647"/>
    <mergeCell ref="O1089:Q1090"/>
    <mergeCell ref="AC791:AE791"/>
    <mergeCell ref="J562:L562"/>
    <mergeCell ref="AI18:AI19"/>
    <mergeCell ref="O479:Q479"/>
    <mergeCell ref="AB532:AC532"/>
    <mergeCell ref="AI806:AK806"/>
    <mergeCell ref="I1195:I1196"/>
    <mergeCell ref="I639:M639"/>
    <mergeCell ref="U660:Y663"/>
    <mergeCell ref="AC1238:AE1238"/>
    <mergeCell ref="O89:S90"/>
    <mergeCell ref="AN393:AN396"/>
    <mergeCell ref="I179:J179"/>
    <mergeCell ref="AJ1068:AJ1069"/>
    <mergeCell ref="P348:R348"/>
    <mergeCell ref="AB261:AC261"/>
    <mergeCell ref="U866:Y868"/>
    <mergeCell ref="AK480:AL480"/>
    <mergeCell ref="AH1030:AH1031"/>
    <mergeCell ref="Q767:S767"/>
    <mergeCell ref="O860:S860"/>
    <mergeCell ref="AC1160:AE1160"/>
    <mergeCell ref="V244:X244"/>
    <mergeCell ref="I992:M992"/>
    <mergeCell ref="AC944:AE944"/>
    <mergeCell ref="I158:I161"/>
    <mergeCell ref="AN175:AR177"/>
    <mergeCell ref="I776:I777"/>
    <mergeCell ref="AH55:AJ55"/>
    <mergeCell ref="AH1236:AL1236"/>
    <mergeCell ref="AN747:AN750"/>
    <mergeCell ref="AB1068:AF1069"/>
    <mergeCell ref="O325:O328"/>
    <mergeCell ref="I490:Y490"/>
    <mergeCell ref="O536:O539"/>
    <mergeCell ref="V929:X929"/>
    <mergeCell ref="V624:X624"/>
    <mergeCell ref="U344:V344"/>
    <mergeCell ref="AC149:AE149"/>
    <mergeCell ref="AL1084:AL1085"/>
    <mergeCell ref="AN87:AN88"/>
    <mergeCell ref="AO326:AQ326"/>
    <mergeCell ref="V771:X771"/>
    <mergeCell ref="AO537:AQ537"/>
    <mergeCell ref="J520:L520"/>
    <mergeCell ref="AI527:AK527"/>
    <mergeCell ref="O207:S207"/>
    <mergeCell ref="V608:X608"/>
    <mergeCell ref="AD1024:AF1024"/>
    <mergeCell ref="P141:R141"/>
    <mergeCell ref="AC202:AE202"/>
    <mergeCell ref="AN145:AR146"/>
    <mergeCell ref="O143:O144"/>
    <mergeCell ref="AC291:AE291"/>
    <mergeCell ref="U665:X665"/>
    <mergeCell ref="AF1152:AR1152"/>
    <mergeCell ref="AC502:AE502"/>
    <mergeCell ref="U882:X882"/>
    <mergeCell ref="AN229:AN230"/>
    <mergeCell ref="U543:U544"/>
    <mergeCell ref="O217:S217"/>
    <mergeCell ref="U1024:V1024"/>
    <mergeCell ref="J116:L116"/>
    <mergeCell ref="O33:Q33"/>
    <mergeCell ref="AK862:AK863"/>
    <mergeCell ref="AD921:AF921"/>
    <mergeCell ref="AK269:AL269"/>
    <mergeCell ref="R672:S672"/>
    <mergeCell ref="U78:V78"/>
    <mergeCell ref="P915:R915"/>
    <mergeCell ref="AC949:AE949"/>
    <mergeCell ref="J747:L747"/>
    <mergeCell ref="AQ1073:AR1074"/>
    <mergeCell ref="O216:P216"/>
    <mergeCell ref="P1126:R1126"/>
    <mergeCell ref="AH1162:AL1164"/>
    <mergeCell ref="O427:P427"/>
    <mergeCell ref="AB189:AB190"/>
    <mergeCell ref="AC821:AF821"/>
    <mergeCell ref="L42:M42"/>
    <mergeCell ref="J584:L584"/>
    <mergeCell ref="R884:S884"/>
    <mergeCell ref="O61:Q61"/>
    <mergeCell ref="AN1125:AR1125"/>
    <mergeCell ref="V1135:X1135"/>
    <mergeCell ref="AH957:AL957"/>
    <mergeCell ref="M728:Y728"/>
    <mergeCell ref="AK1112:AL1112"/>
    <mergeCell ref="AH287:AI287"/>
    <mergeCell ref="AB790:AF790"/>
    <mergeCell ref="AC1029:AE1029"/>
    <mergeCell ref="AC1004:AE1004"/>
    <mergeCell ref="AH498:AI498"/>
    <mergeCell ref="AR435:AR436"/>
    <mergeCell ref="I703:M703"/>
    <mergeCell ref="AB288:AC288"/>
    <mergeCell ref="AH675:AJ675"/>
    <mergeCell ref="J618:L618"/>
    <mergeCell ref="AN751:AN752"/>
    <mergeCell ref="AN534:AO534"/>
    <mergeCell ref="AK682:AL682"/>
    <mergeCell ref="J943:L943"/>
    <mergeCell ref="AI925:AK925"/>
    <mergeCell ref="AK683:AL683"/>
    <mergeCell ref="AF96:AR96"/>
    <mergeCell ref="AP600:AQ600"/>
    <mergeCell ref="L680:M681"/>
    <mergeCell ref="AP811:AQ811"/>
    <mergeCell ref="AH54:AJ54"/>
    <mergeCell ref="W1187:X1187"/>
    <mergeCell ref="AB151:AF153"/>
    <mergeCell ref="L886:M886"/>
    <mergeCell ref="AK693:AL693"/>
    <mergeCell ref="AN1167:AO1167"/>
    <mergeCell ref="O888:Q888"/>
    <mergeCell ref="AO81:AQ81"/>
    <mergeCell ref="O1099:Q1099"/>
    <mergeCell ref="AF1154:AR1154"/>
    <mergeCell ref="AN1187:AO1187"/>
    <mergeCell ref="K50:M50"/>
    <mergeCell ref="AH956:AI956"/>
    <mergeCell ref="R676:S676"/>
    <mergeCell ref="O356:S357"/>
    <mergeCell ref="AJ288:AL288"/>
    <mergeCell ref="V965:Y966"/>
    <mergeCell ref="AB789:AC789"/>
    <mergeCell ref="AC1219:AF1219"/>
    <mergeCell ref="J982:L982"/>
    <mergeCell ref="AO117:AQ117"/>
    <mergeCell ref="AH1144:AL1145"/>
    <mergeCell ref="AQ435:AQ436"/>
    <mergeCell ref="V493:X493"/>
    <mergeCell ref="AH1139:AH1140"/>
    <mergeCell ref="AI543:AL544"/>
    <mergeCell ref="AB827:AR827"/>
    <mergeCell ref="AB814:AF814"/>
    <mergeCell ref="K1166:M1166"/>
    <mergeCell ref="R1118:S1118"/>
    <mergeCell ref="AL229:AL230"/>
    <mergeCell ref="O917:S919"/>
    <mergeCell ref="AB1183:AF1183"/>
    <mergeCell ref="AO750:AQ750"/>
    <mergeCell ref="J187:L187"/>
    <mergeCell ref="AN295:AN296"/>
    <mergeCell ref="AH815:AH818"/>
    <mergeCell ref="AN506:AN507"/>
    <mergeCell ref="Q1235:S1235"/>
    <mergeCell ref="R240:R241"/>
    <mergeCell ref="AF1251:AR1251"/>
    <mergeCell ref="AC715:AE715"/>
    <mergeCell ref="J331:M331"/>
    <mergeCell ref="J329:L329"/>
    <mergeCell ref="AN354:AN355"/>
    <mergeCell ref="AI173:AK173"/>
    <mergeCell ref="AC100:AE100"/>
    <mergeCell ref="AC94:AE94"/>
    <mergeCell ref="AI508:AL508"/>
    <mergeCell ref="AB72:AF72"/>
    <mergeCell ref="J714:L714"/>
    <mergeCell ref="AO1073:AO1074"/>
    <mergeCell ref="R465:S465"/>
    <mergeCell ref="O857:O858"/>
    <mergeCell ref="I12:M12"/>
    <mergeCell ref="AD1102:AD1103"/>
    <mergeCell ref="AC95:AE95"/>
    <mergeCell ref="AN822:AN823"/>
    <mergeCell ref="O274:Q274"/>
    <mergeCell ref="AC395:AE395"/>
    <mergeCell ref="O899:Q899"/>
    <mergeCell ref="AE43:AF44"/>
    <mergeCell ref="AN603:AR603"/>
    <mergeCell ref="R476:S476"/>
    <mergeCell ref="R57:S57"/>
    <mergeCell ref="AB383:AF383"/>
    <mergeCell ref="J393:L393"/>
    <mergeCell ref="Q29:Q30"/>
    <mergeCell ref="I1011:M1012"/>
    <mergeCell ref="AO1173:AQ1173"/>
    <mergeCell ref="Q240:Q241"/>
    <mergeCell ref="U672:X672"/>
    <mergeCell ref="K47:K48"/>
    <mergeCell ref="I1222:M1223"/>
    <mergeCell ref="I587:I588"/>
    <mergeCell ref="AC930:AF930"/>
    <mergeCell ref="AB841:AF841"/>
    <mergeCell ref="AD1022:AE1022"/>
    <mergeCell ref="I465:K466"/>
    <mergeCell ref="AH761:AL761"/>
    <mergeCell ref="AN1176:AN1177"/>
    <mergeCell ref="J1151:L1151"/>
    <mergeCell ref="AH267:AJ267"/>
    <mergeCell ref="P18:P19"/>
    <mergeCell ref="V85:X85"/>
    <mergeCell ref="U1258:Y1261"/>
    <mergeCell ref="AF304:AR304"/>
    <mergeCell ref="V399:Y399"/>
    <mergeCell ref="I970:M970"/>
    <mergeCell ref="AB555:AC555"/>
    <mergeCell ref="I279:Y279"/>
    <mergeCell ref="J748:L748"/>
    <mergeCell ref="I754:I755"/>
    <mergeCell ref="AH479:AJ479"/>
    <mergeCell ref="I468:J468"/>
    <mergeCell ref="J1204:L1204"/>
    <mergeCell ref="I812:J812"/>
    <mergeCell ref="AH917:AL919"/>
    <mergeCell ref="Q765:R765"/>
    <mergeCell ref="AP709:AQ709"/>
    <mergeCell ref="AC819:AE819"/>
    <mergeCell ref="AB577:AC577"/>
    <mergeCell ref="AN291:AN294"/>
    <mergeCell ref="AH1263:AL1263"/>
    <mergeCell ref="AB638:AF638"/>
    <mergeCell ref="P29:P30"/>
    <mergeCell ref="AH1106:AL1106"/>
    <mergeCell ref="U39:X39"/>
    <mergeCell ref="X18:Y19"/>
    <mergeCell ref="AH1094:AJ1094"/>
    <mergeCell ref="AA644:AA850"/>
    <mergeCell ref="V455:X455"/>
    <mergeCell ref="AO815:AQ815"/>
    <mergeCell ref="AO1244:AR1245"/>
    <mergeCell ref="AC1172:AE1172"/>
    <mergeCell ref="AB464:AD464"/>
    <mergeCell ref="I386:M388"/>
    <mergeCell ref="AL1073:AL1074"/>
    <mergeCell ref="AH1159:AL1159"/>
    <mergeCell ref="V183:X183"/>
    <mergeCell ref="P224:P225"/>
    <mergeCell ref="I958:I961"/>
    <mergeCell ref="J822:M823"/>
    <mergeCell ref="AD111:AF111"/>
    <mergeCell ref="O933:S934"/>
    <mergeCell ref="R456:S457"/>
    <mergeCell ref="K812:M812"/>
    <mergeCell ref="AC160:AE160"/>
    <mergeCell ref="P316:R316"/>
    <mergeCell ref="AN15:AR15"/>
    <mergeCell ref="AB910:AR911"/>
    <mergeCell ref="I87:I88"/>
    <mergeCell ref="J87:M88"/>
    <mergeCell ref="AO1017:AQ1017"/>
    <mergeCell ref="AC161:AE161"/>
    <mergeCell ref="I298:I299"/>
    <mergeCell ref="AN315:AR315"/>
    <mergeCell ref="V325:X325"/>
    <mergeCell ref="AN562:AN563"/>
    <mergeCell ref="J537:L537"/>
    <mergeCell ref="AN778:AR779"/>
    <mergeCell ref="J105:L105"/>
    <mergeCell ref="O1169:O1172"/>
    <mergeCell ref="K532:L532"/>
    <mergeCell ref="AN601:AO601"/>
    <mergeCell ref="AJ1233:AK1233"/>
    <mergeCell ref="I1002:I1005"/>
    <mergeCell ref="AI564:AL564"/>
    <mergeCell ref="I145:M146"/>
    <mergeCell ref="AN1019:AR1021"/>
    <mergeCell ref="AN454:AQ454"/>
    <mergeCell ref="I9:I10"/>
    <mergeCell ref="AC519:AE519"/>
    <mergeCell ref="I140:I141"/>
    <mergeCell ref="K1167:M1167"/>
    <mergeCell ref="AA853:AA854"/>
    <mergeCell ref="AO607:AQ607"/>
    <mergeCell ref="O391:P391"/>
    <mergeCell ref="AO1239:AQ1239"/>
    <mergeCell ref="AN80:AN83"/>
    <mergeCell ref="U397:U398"/>
    <mergeCell ref="AI1160:AK1160"/>
    <mergeCell ref="AO1240:AQ1240"/>
    <mergeCell ref="O535:S535"/>
    <mergeCell ref="AB596:AF596"/>
    <mergeCell ref="AC993:AE993"/>
    <mergeCell ref="R900:S900"/>
    <mergeCell ref="O746:S746"/>
    <mergeCell ref="P985:R985"/>
    <mergeCell ref="AC1204:AE1204"/>
    <mergeCell ref="O987:O988"/>
    <mergeCell ref="AN931:AN932"/>
    <mergeCell ref="I368:M368"/>
    <mergeCell ref="R901:S901"/>
    <mergeCell ref="O533:P533"/>
    <mergeCell ref="D20:F20"/>
    <mergeCell ref="I579:M579"/>
    <mergeCell ref="J818:L818"/>
    <mergeCell ref="O744:P744"/>
    <mergeCell ref="AB289:AC289"/>
    <mergeCell ref="J1220:M1221"/>
    <mergeCell ref="AH1095:AJ1095"/>
    <mergeCell ref="I502:I505"/>
    <mergeCell ref="AK666:AL666"/>
    <mergeCell ref="O283:S283"/>
    <mergeCell ref="AC558:AE558"/>
    <mergeCell ref="AH475:AJ475"/>
    <mergeCell ref="Q18:Q19"/>
    <mergeCell ref="AH692:AJ692"/>
    <mergeCell ref="O463:Q463"/>
    <mergeCell ref="R885:S885"/>
    <mergeCell ref="AH29:AH30"/>
    <mergeCell ref="W391:Y391"/>
    <mergeCell ref="AC1197:AF1197"/>
    <mergeCell ref="J960:L960"/>
    <mergeCell ref="AH329:AH330"/>
    <mergeCell ref="AK694:AL694"/>
    <mergeCell ref="AC617:AE617"/>
    <mergeCell ref="M942:Y942"/>
    <mergeCell ref="AB162:AB163"/>
    <mergeCell ref="V754:Y755"/>
    <mergeCell ref="AP978:AR978"/>
    <mergeCell ref="Q849:S849"/>
    <mergeCell ref="AC1217:AE1217"/>
    <mergeCell ref="AF408:AR408"/>
    <mergeCell ref="W744:Y744"/>
    <mergeCell ref="AJ287:AK287"/>
    <mergeCell ref="AN1135:AN1138"/>
    <mergeCell ref="O1116:Q1116"/>
    <mergeCell ref="P327:R327"/>
    <mergeCell ref="AH881:AL881"/>
    <mergeCell ref="AN26:AR26"/>
    <mergeCell ref="AB844:AE844"/>
    <mergeCell ref="K76:L76"/>
    <mergeCell ref="U191:Y192"/>
    <mergeCell ref="AH554:AI554"/>
    <mergeCell ref="AO1028:AQ1028"/>
    <mergeCell ref="AH1181:AL1181"/>
    <mergeCell ref="AB1055:AE1055"/>
    <mergeCell ref="U402:Y403"/>
    <mergeCell ref="AL235:AL236"/>
    <mergeCell ref="K576:L576"/>
    <mergeCell ref="AI398:AK398"/>
    <mergeCell ref="V1068:V1069"/>
    <mergeCell ref="P774:R774"/>
    <mergeCell ref="U113:Y113"/>
    <mergeCell ref="AO293:AQ293"/>
    <mergeCell ref="I1271:M1271"/>
    <mergeCell ref="U111:V111"/>
    <mergeCell ref="AI295:AK295"/>
    <mergeCell ref="AC127:AE127"/>
    <mergeCell ref="AH1234:AI1234"/>
    <mergeCell ref="I495:M497"/>
    <mergeCell ref="U323:V323"/>
    <mergeCell ref="AC987:AF988"/>
    <mergeCell ref="J504:L504"/>
    <mergeCell ref="AD683:AF683"/>
    <mergeCell ref="J931:M932"/>
    <mergeCell ref="D31:F31"/>
    <mergeCell ref="AI137:AK137"/>
    <mergeCell ref="AK53:AL53"/>
    <mergeCell ref="D32:F32"/>
    <mergeCell ref="AK264:AL264"/>
    <mergeCell ref="AC120:AF120"/>
    <mergeCell ref="U494:Y494"/>
    <mergeCell ref="J354:M355"/>
    <mergeCell ref="K1131:L1131"/>
    <mergeCell ref="V1191:X1191"/>
    <mergeCell ref="R873:R874"/>
    <mergeCell ref="AC328:AE328"/>
    <mergeCell ref="O1184:S1186"/>
    <mergeCell ref="X650:Y650"/>
    <mergeCell ref="AH422:AK422"/>
    <mergeCell ref="X861:Y861"/>
    <mergeCell ref="AF310:AR310"/>
    <mergeCell ref="P1193:R1193"/>
    <mergeCell ref="AB936:AR936"/>
    <mergeCell ref="AH1035:AL1036"/>
    <mergeCell ref="AC928:AE928"/>
    <mergeCell ref="AN1139:AN1140"/>
    <mergeCell ref="J726:L726"/>
    <mergeCell ref="O485:Q485"/>
    <mergeCell ref="R477:S477"/>
    <mergeCell ref="I629:M629"/>
    <mergeCell ref="AN133:AO133"/>
    <mergeCell ref="J1026:L1026"/>
    <mergeCell ref="O40:Q40"/>
    <mergeCell ref="J1237:L1237"/>
    <mergeCell ref="AH134:AI134"/>
    <mergeCell ref="AH509:AH510"/>
    <mergeCell ref="U340:Y342"/>
    <mergeCell ref="AH667:AJ668"/>
    <mergeCell ref="AH1025:AL1025"/>
    <mergeCell ref="AH878:AJ879"/>
    <mergeCell ref="O550:S550"/>
    <mergeCell ref="AH268:AJ268"/>
    <mergeCell ref="O639:S639"/>
    <mergeCell ref="AC983:AE983"/>
    <mergeCell ref="AN22:AR24"/>
    <mergeCell ref="Q862:Q863"/>
    <mergeCell ref="I343:J343"/>
    <mergeCell ref="J291:L291"/>
    <mergeCell ref="L468:M468"/>
    <mergeCell ref="U182:U185"/>
    <mergeCell ref="AB128:AF128"/>
    <mergeCell ref="AH1178:AL1179"/>
    <mergeCell ref="Q857:Q858"/>
    <mergeCell ref="I1101:J1101"/>
    <mergeCell ref="AB428:AF428"/>
    <mergeCell ref="O625:S628"/>
    <mergeCell ref="AH868:AH869"/>
    <mergeCell ref="AI565:AL566"/>
    <mergeCell ref="K323:M323"/>
    <mergeCell ref="O836:S839"/>
    <mergeCell ref="U1189:V1189"/>
    <mergeCell ref="AC1150:AE1150"/>
    <mergeCell ref="Q873:Q874"/>
    <mergeCell ref="W500:Y500"/>
    <mergeCell ref="P540:R540"/>
    <mergeCell ref="O1022:P1022"/>
    <mergeCell ref="I1098:K1099"/>
    <mergeCell ref="AK672:AL672"/>
    <mergeCell ref="J373:L373"/>
    <mergeCell ref="I840:M840"/>
    <mergeCell ref="AF522:AR522"/>
    <mergeCell ref="AB1227:AF1227"/>
    <mergeCell ref="D17:D18"/>
    <mergeCell ref="AF517:AR517"/>
    <mergeCell ref="AB437:AF462"/>
    <mergeCell ref="P651:P652"/>
    <mergeCell ref="I1165:J1165"/>
    <mergeCell ref="AB492:AF492"/>
    <mergeCell ref="P862:P863"/>
    <mergeCell ref="Q555:S555"/>
    <mergeCell ref="AB1097:AD1097"/>
    <mergeCell ref="AO527:AQ527"/>
    <mergeCell ref="V772:X772"/>
    <mergeCell ref="AI1141:AL1141"/>
    <mergeCell ref="O208:S208"/>
    <mergeCell ref="I597:M599"/>
    <mergeCell ref="P605:R605"/>
    <mergeCell ref="Q389:R389"/>
    <mergeCell ref="P873:P874"/>
    <mergeCell ref="J376:M377"/>
    <mergeCell ref="AI561:AK561"/>
    <mergeCell ref="U253:X253"/>
    <mergeCell ref="M93:Y93"/>
    <mergeCell ref="AI562:AK562"/>
    <mergeCell ref="AC394:AE394"/>
    <mergeCell ref="AN756:AR757"/>
    <mergeCell ref="AN121:AN122"/>
    <mergeCell ref="J307:L307"/>
    <mergeCell ref="U203:Y206"/>
    <mergeCell ref="P958:R958"/>
    <mergeCell ref="J308:L308"/>
    <mergeCell ref="AN957:AR957"/>
    <mergeCell ref="AO1196:AQ1196"/>
    <mergeCell ref="U600:V600"/>
    <mergeCell ref="AK461:AL461"/>
    <mergeCell ref="AI704:AK704"/>
    <mergeCell ref="AC536:AE536"/>
    <mergeCell ref="AB145:AF146"/>
    <mergeCell ref="V119:X119"/>
    <mergeCell ref="I210:M210"/>
    <mergeCell ref="AI1029:AK1029"/>
    <mergeCell ref="AN859:AR859"/>
    <mergeCell ref="U630:Y630"/>
    <mergeCell ref="J607:L607"/>
    <mergeCell ref="AB258:AC259"/>
    <mergeCell ref="I543:I544"/>
    <mergeCell ref="AH392:AL392"/>
    <mergeCell ref="V1169:X1169"/>
    <mergeCell ref="J993:L993"/>
    <mergeCell ref="AK59:AL59"/>
    <mergeCell ref="R460:S460"/>
    <mergeCell ref="AB613:AF614"/>
    <mergeCell ref="I78:J78"/>
    <mergeCell ref="Q344:S344"/>
    <mergeCell ref="Q13:Q14"/>
    <mergeCell ref="AH776:AH777"/>
    <mergeCell ref="I989:M990"/>
    <mergeCell ref="AN1159:AR1159"/>
    <mergeCell ref="R455:S455"/>
    <mergeCell ref="J835:L835"/>
    <mergeCell ref="AI773:AK773"/>
    <mergeCell ref="J372:L372"/>
    <mergeCell ref="AC1216:AE1216"/>
    <mergeCell ref="AN325:AN328"/>
    <mergeCell ref="U773:U774"/>
    <mergeCell ref="AN536:AN539"/>
    <mergeCell ref="J1135:L1135"/>
    <mergeCell ref="AO400:AR401"/>
    <mergeCell ref="AH834:AL834"/>
    <mergeCell ref="O475:Q475"/>
    <mergeCell ref="U1073:U1074"/>
    <mergeCell ref="AH1134:AL1134"/>
    <mergeCell ref="AP179:AR179"/>
    <mergeCell ref="AB533:AC533"/>
    <mergeCell ref="O1266:R1266"/>
    <mergeCell ref="R483:S483"/>
    <mergeCell ref="D2:D4"/>
    <mergeCell ref="Q1024:S1024"/>
    <mergeCell ref="AN710:AO710"/>
    <mergeCell ref="AB751:AB752"/>
    <mergeCell ref="AB534:AC534"/>
    <mergeCell ref="M196:Y196"/>
    <mergeCell ref="AO115:AQ115"/>
    <mergeCell ref="Q532:R532"/>
    <mergeCell ref="AK254:AL254"/>
    <mergeCell ref="P502:R502"/>
    <mergeCell ref="U529:Y531"/>
    <mergeCell ref="AN922:AO922"/>
    <mergeCell ref="AH693:AJ693"/>
    <mergeCell ref="K365:L365"/>
    <mergeCell ref="O1127:S1127"/>
    <mergeCell ref="I405:Y405"/>
    <mergeCell ref="AF730:AR730"/>
    <mergeCell ref="AH1060:AI1060"/>
    <mergeCell ref="I1265:M1265"/>
    <mergeCell ref="I616:Y616"/>
    <mergeCell ref="AF941:AR941"/>
    <mergeCell ref="O1131:P1131"/>
    <mergeCell ref="P13:P14"/>
    <mergeCell ref="I558:I561"/>
    <mergeCell ref="Y1068:Y1069"/>
    <mergeCell ref="AO282:AQ282"/>
    <mergeCell ref="I500:J500"/>
    <mergeCell ref="J121:M122"/>
    <mergeCell ref="AJ29:AJ30"/>
    <mergeCell ref="AB1187:AC1187"/>
    <mergeCell ref="AB1011:AF1012"/>
    <mergeCell ref="V985:X985"/>
    <mergeCell ref="AD367:AF367"/>
    <mergeCell ref="AB845:AF848"/>
    <mergeCell ref="O421:S421"/>
    <mergeCell ref="AI715:AK715"/>
    <mergeCell ref="AJ534:AL534"/>
    <mergeCell ref="AF1252:AR1252"/>
    <mergeCell ref="AC117:AE117"/>
    <mergeCell ref="U498:V498"/>
    <mergeCell ref="I784:M786"/>
    <mergeCell ref="J493:L493"/>
    <mergeCell ref="K321:L321"/>
    <mergeCell ref="AB759:AF759"/>
    <mergeCell ref="AB698:AR698"/>
    <mergeCell ref="AO962:AQ962"/>
    <mergeCell ref="P83:R83"/>
    <mergeCell ref="U1099:Y1099"/>
    <mergeCell ref="U1091:X1091"/>
    <mergeCell ref="AL1079:AL1080"/>
    <mergeCell ref="AI188:AL188"/>
    <mergeCell ref="P1171:R1171"/>
    <mergeCell ref="AC139:AE139"/>
    <mergeCell ref="Q24:Q25"/>
    <mergeCell ref="P714:R714"/>
    <mergeCell ref="J521:L521"/>
    <mergeCell ref="AN540:AN541"/>
    <mergeCell ref="AO347:AQ347"/>
    <mergeCell ref="V609:X609"/>
    <mergeCell ref="AD894:AF894"/>
    <mergeCell ref="U611:U612"/>
    <mergeCell ref="AH126:AL126"/>
    <mergeCell ref="J541:L541"/>
    <mergeCell ref="X1068:X1069"/>
    <mergeCell ref="AN224:AN225"/>
    <mergeCell ref="P1032:S1032"/>
    <mergeCell ref="I172:M172"/>
    <mergeCell ref="AN765:AO765"/>
    <mergeCell ref="AI1139:AK1139"/>
    <mergeCell ref="AK265:AL265"/>
    <mergeCell ref="U1139:U1140"/>
    <mergeCell ref="AK897:AL897"/>
    <mergeCell ref="AB747:AB750"/>
    <mergeCell ref="AB800:AF801"/>
    <mergeCell ref="I346:M346"/>
    <mergeCell ref="J585:L585"/>
    <mergeCell ref="AI1140:AK1140"/>
    <mergeCell ref="U739:Y739"/>
    <mergeCell ref="AB822:AB823"/>
    <mergeCell ref="O62:Q62"/>
    <mergeCell ref="O56:Q56"/>
    <mergeCell ref="AC822:AF823"/>
    <mergeCell ref="I557:M557"/>
    <mergeCell ref="J143:M144"/>
    <mergeCell ref="R1099:S1099"/>
    <mergeCell ref="J1198:M1199"/>
    <mergeCell ref="AI981:AK981"/>
    <mergeCell ref="I344:J344"/>
    <mergeCell ref="P24:P25"/>
    <mergeCell ref="AB722:AF723"/>
    <mergeCell ref="AB87:AB88"/>
    <mergeCell ref="U815:U818"/>
    <mergeCell ref="P806:R806"/>
    <mergeCell ref="AC351:AE351"/>
    <mergeCell ref="AB68:AR68"/>
    <mergeCell ref="AH1195:AH1196"/>
    <mergeCell ref="AC537:AE537"/>
    <mergeCell ref="AC1175:AF1175"/>
    <mergeCell ref="AH179:AI179"/>
    <mergeCell ref="J1238:L1238"/>
    <mergeCell ref="J939:L939"/>
    <mergeCell ref="M1040:Y1040"/>
    <mergeCell ref="U186:U187"/>
    <mergeCell ref="AP288:AR288"/>
    <mergeCell ref="AB639:AF639"/>
    <mergeCell ref="AK673:AL673"/>
    <mergeCell ref="U743:V743"/>
    <mergeCell ref="AO349:AQ349"/>
    <mergeCell ref="I524:Y524"/>
    <mergeCell ref="Q345:S345"/>
    <mergeCell ref="AH1118:AJ1118"/>
    <mergeCell ref="AI331:AL331"/>
    <mergeCell ref="AK1093:AL1093"/>
    <mergeCell ref="Q1133:S1133"/>
    <mergeCell ref="AN977:AO977"/>
    <mergeCell ref="M305:Y305"/>
    <mergeCell ref="AB180:AC180"/>
    <mergeCell ref="I556:J556"/>
    <mergeCell ref="AH1113:AJ1113"/>
    <mergeCell ref="AC164:AF164"/>
    <mergeCell ref="AO33:AQ33"/>
    <mergeCell ref="S862:S863"/>
    <mergeCell ref="K343:L343"/>
    <mergeCell ref="AO244:AQ244"/>
    <mergeCell ref="O1236:S1236"/>
    <mergeCell ref="AB781:AF781"/>
    <mergeCell ref="AB368:AF368"/>
    <mergeCell ref="I226:M251"/>
    <mergeCell ref="U933:Y934"/>
    <mergeCell ref="AB291:AB294"/>
    <mergeCell ref="O1111:Q1111"/>
    <mergeCell ref="U247:X247"/>
    <mergeCell ref="AP1068:AP1069"/>
    <mergeCell ref="AC611:AF612"/>
    <mergeCell ref="K977:M977"/>
    <mergeCell ref="AB490:AR490"/>
    <mergeCell ref="AO718:AQ718"/>
    <mergeCell ref="S873:S874"/>
    <mergeCell ref="I435:M436"/>
    <mergeCell ref="U550:Y550"/>
    <mergeCell ref="U761:Y761"/>
    <mergeCell ref="J1009:M1010"/>
    <mergeCell ref="V1089:X1089"/>
    <mergeCell ref="AN207:AR207"/>
    <mergeCell ref="U390:V390"/>
    <mergeCell ref="AO771:AQ771"/>
    <mergeCell ref="AN44:AR44"/>
    <mergeCell ref="AD811:AE811"/>
    <mergeCell ref="AN807:AR807"/>
    <mergeCell ref="AO1046:AQ1046"/>
    <mergeCell ref="U836:Y839"/>
    <mergeCell ref="AI116:AK116"/>
    <mergeCell ref="AN41:AQ41"/>
    <mergeCell ref="P949:R949"/>
    <mergeCell ref="AH754:AH755"/>
    <mergeCell ref="R868:R869"/>
    <mergeCell ref="AN252:AQ252"/>
    <mergeCell ref="R862:R863"/>
    <mergeCell ref="O212:S215"/>
    <mergeCell ref="AC406:AE406"/>
    <mergeCell ref="I385:M385"/>
    <mergeCell ref="U805:Y805"/>
    <mergeCell ref="J782:L782"/>
    <mergeCell ref="AE258:AF259"/>
    <mergeCell ref="J325:L325"/>
    <mergeCell ref="AQ651:AR652"/>
    <mergeCell ref="U720:U721"/>
    <mergeCell ref="AH324:AL324"/>
    <mergeCell ref="V1170:X1170"/>
    <mergeCell ref="AK690:AL690"/>
    <mergeCell ref="O129:S131"/>
    <mergeCell ref="AC607:AE607"/>
    <mergeCell ref="J793:L793"/>
    <mergeCell ref="AN111:AO111"/>
    <mergeCell ref="O287:P287"/>
    <mergeCell ref="W555:Y555"/>
    <mergeCell ref="U1097:X1097"/>
    <mergeCell ref="I397:I398"/>
    <mergeCell ref="I886:K886"/>
    <mergeCell ref="O464:Q464"/>
    <mergeCell ref="AN112:AO112"/>
    <mergeCell ref="O317:S317"/>
    <mergeCell ref="AB79:AF79"/>
    <mergeCell ref="AH252:AJ252"/>
    <mergeCell ref="O1112:Q1112"/>
    <mergeCell ref="AO1257:AQ1257"/>
    <mergeCell ref="R472:S472"/>
    <mergeCell ref="AN1229:AR1229"/>
    <mergeCell ref="I150:M150"/>
    <mergeCell ref="AC618:AE618"/>
    <mergeCell ref="O321:P321"/>
    <mergeCell ref="R683:S683"/>
    <mergeCell ref="J1152:L1152"/>
    <mergeCell ref="AB77:AC77"/>
    <mergeCell ref="I322:J322"/>
    <mergeCell ref="U956:V956"/>
    <mergeCell ref="U924:U927"/>
    <mergeCell ref="AB984:AB985"/>
    <mergeCell ref="V81:X81"/>
    <mergeCell ref="AI87:AL88"/>
    <mergeCell ref="M518:Y518"/>
    <mergeCell ref="W1233:X1233"/>
    <mergeCell ref="AH888:AJ888"/>
    <mergeCell ref="AN1169:AN1172"/>
    <mergeCell ref="S13:S14"/>
    <mergeCell ref="AO457:AQ457"/>
    <mergeCell ref="AD156:AF156"/>
    <mergeCell ref="AH145:AL146"/>
    <mergeCell ref="V71:X71"/>
    <mergeCell ref="I1133:J1133"/>
    <mergeCell ref="AD365:AE365"/>
    <mergeCell ref="AH51:AL51"/>
    <mergeCell ref="AH140:AH141"/>
    <mergeCell ref="AH356:AL357"/>
    <mergeCell ref="J754:M755"/>
    <mergeCell ref="I170:Y170"/>
    <mergeCell ref="AO857:AO858"/>
    <mergeCell ref="AB740:AF742"/>
    <mergeCell ref="AH1101:AL1101"/>
    <mergeCell ref="K744:M744"/>
    <mergeCell ref="V1142:Y1143"/>
    <mergeCell ref="S646:S647"/>
    <mergeCell ref="AK1098:AL1098"/>
    <mergeCell ref="AO816:AQ816"/>
    <mergeCell ref="AJ651:AJ652"/>
    <mergeCell ref="V539:X539"/>
    <mergeCell ref="K155:M155"/>
    <mergeCell ref="I402:M403"/>
    <mergeCell ref="AE468:AF468"/>
    <mergeCell ref="AP1235:AR1235"/>
    <mergeCell ref="P558:R558"/>
    <mergeCell ref="AB1101:AC1101"/>
    <mergeCell ref="U201:Y201"/>
    <mergeCell ref="AN1045:AR1045"/>
    <mergeCell ref="AN283:AR283"/>
    <mergeCell ref="AI329:AK329"/>
    <mergeCell ref="K813:M813"/>
    <mergeCell ref="Q657:Q658"/>
    <mergeCell ref="U659:Y659"/>
    <mergeCell ref="AP18:AP19"/>
    <mergeCell ref="Q1131:R1131"/>
    <mergeCell ref="R13:R14"/>
    <mergeCell ref="J716:L716"/>
    <mergeCell ref="P1030:R1030"/>
    <mergeCell ref="AC162:AE162"/>
    <mergeCell ref="U499:V499"/>
    <mergeCell ref="R674:S674"/>
    <mergeCell ref="AC373:AE373"/>
    <mergeCell ref="P1031:R1031"/>
    <mergeCell ref="J1176:M1177"/>
    <mergeCell ref="O211:R211"/>
    <mergeCell ref="AN857:AN858"/>
    <mergeCell ref="AN1035:AR1036"/>
    <mergeCell ref="AN400:AN401"/>
    <mergeCell ref="U776:U777"/>
    <mergeCell ref="V926:X926"/>
    <mergeCell ref="AD1211:AF1211"/>
    <mergeCell ref="W289:Y289"/>
    <mergeCell ref="Q427:S427"/>
    <mergeCell ref="U554:V554"/>
    <mergeCell ref="AI651:AI652"/>
    <mergeCell ref="AC515:AE515"/>
    <mergeCell ref="AH274:AJ274"/>
    <mergeCell ref="P930:S930"/>
    <mergeCell ref="J760:L760"/>
    <mergeCell ref="AH459:AL459"/>
    <mergeCell ref="P332:S333"/>
    <mergeCell ref="AC815:AE815"/>
    <mergeCell ref="O343:P343"/>
    <mergeCell ref="J1191:L1191"/>
    <mergeCell ref="S24:S25"/>
    <mergeCell ref="U1162:Y1164"/>
    <mergeCell ref="U347:U350"/>
    <mergeCell ref="O1161:S1161"/>
    <mergeCell ref="P981:R981"/>
    <mergeCell ref="U444:Y446"/>
    <mergeCell ref="AB376:AB377"/>
    <mergeCell ref="Q323:S323"/>
    <mergeCell ref="AN672:AQ672"/>
    <mergeCell ref="AB587:AB588"/>
    <mergeCell ref="AB1139:AB1140"/>
    <mergeCell ref="AI752:AK752"/>
    <mergeCell ref="AH136:AH139"/>
    <mergeCell ref="U1051:Y1051"/>
    <mergeCell ref="AB645:AF645"/>
    <mergeCell ref="AN978:AO978"/>
    <mergeCell ref="M1041:Y1041"/>
    <mergeCell ref="V137:X137"/>
    <mergeCell ref="U143:U144"/>
    <mergeCell ref="AH688:AJ688"/>
    <mergeCell ref="AB410:AR410"/>
    <mergeCell ref="V925:X925"/>
    <mergeCell ref="AH811:AI811"/>
    <mergeCell ref="I1016:M1016"/>
    <mergeCell ref="AB601:AC601"/>
    <mergeCell ref="M943:Y943"/>
    <mergeCell ref="I182:I185"/>
    <mergeCell ref="AB812:AC812"/>
    <mergeCell ref="I1188:J1188"/>
    <mergeCell ref="AO119:AQ119"/>
    <mergeCell ref="U37:X37"/>
    <mergeCell ref="M938:Y938"/>
    <mergeCell ref="AB813:AC813"/>
    <mergeCell ref="V862:V863"/>
    <mergeCell ref="O951:S953"/>
    <mergeCell ref="AH672:AJ672"/>
    <mergeCell ref="AI354:AL355"/>
    <mergeCell ref="P328:R328"/>
    <mergeCell ref="R24:R25"/>
    <mergeCell ref="O456:Q457"/>
    <mergeCell ref="X224:X225"/>
    <mergeCell ref="AB580:AB583"/>
    <mergeCell ref="AC173:AE173"/>
    <mergeCell ref="AB954:AC954"/>
    <mergeCell ref="U655:Y657"/>
    <mergeCell ref="AO1141:AR1141"/>
    <mergeCell ref="P719:S719"/>
    <mergeCell ref="AD134:AF134"/>
    <mergeCell ref="AN1184:AR1186"/>
    <mergeCell ref="AB955:AC955"/>
    <mergeCell ref="AO561:AQ561"/>
    <mergeCell ref="AH958:AH961"/>
    <mergeCell ref="J400:M401"/>
    <mergeCell ref="AI822:AL823"/>
    <mergeCell ref="AB175:AF177"/>
    <mergeCell ref="P1198:S1199"/>
    <mergeCell ref="AB386:AF388"/>
    <mergeCell ref="AI394:AK394"/>
    <mergeCell ref="I762:M764"/>
    <mergeCell ref="P770:R770"/>
    <mergeCell ref="AN461:AQ461"/>
    <mergeCell ref="AH933:AL934"/>
    <mergeCell ref="U104:Y104"/>
    <mergeCell ref="Q1189:S1189"/>
    <mergeCell ref="V560:X560"/>
    <mergeCell ref="AI105:AK105"/>
    <mergeCell ref="O128:S128"/>
    <mergeCell ref="U562:U563"/>
    <mergeCell ref="AI291:AK291"/>
    <mergeCell ref="O428:S428"/>
    <mergeCell ref="AB603:AF603"/>
    <mergeCell ref="J775:M775"/>
    <mergeCell ref="U460:X460"/>
    <mergeCell ref="U454:X454"/>
    <mergeCell ref="AO1088:AQ1088"/>
    <mergeCell ref="AN392:AR392"/>
    <mergeCell ref="U768:Y768"/>
    <mergeCell ref="AH440:AH441"/>
    <mergeCell ref="D27:F27"/>
    <mergeCell ref="AH657:AH658"/>
    <mergeCell ref="AI738:AK738"/>
    <mergeCell ref="AR1068:AR1069"/>
    <mergeCell ref="AB756:AF757"/>
    <mergeCell ref="AN865:AR865"/>
    <mergeCell ref="AN419:AR419"/>
    <mergeCell ref="R267:S267"/>
    <mergeCell ref="O290:S290"/>
    <mergeCell ref="AC571:AE571"/>
    <mergeCell ref="R478:S478"/>
    <mergeCell ref="AO985:AQ985"/>
    <mergeCell ref="O895:S895"/>
    <mergeCell ref="O565:O566"/>
    <mergeCell ref="AH421:AL421"/>
    <mergeCell ref="AK249:AL249"/>
    <mergeCell ref="AI818:AK818"/>
    <mergeCell ref="AC1196:AE1196"/>
    <mergeCell ref="U114:U117"/>
    <mergeCell ref="I600:J600"/>
    <mergeCell ref="AH535:AL535"/>
    <mergeCell ref="AN744:AO744"/>
    <mergeCell ref="O920:P920"/>
    <mergeCell ref="P1194:R1194"/>
    <mergeCell ref="O465:Q465"/>
    <mergeCell ref="O492:S492"/>
    <mergeCell ref="AN885:AQ885"/>
    <mergeCell ref="AC493:AE493"/>
    <mergeCell ref="AK244:AL244"/>
    <mergeCell ref="AC624:AE624"/>
    <mergeCell ref="AC1039:AE1039"/>
    <mergeCell ref="I630:M630"/>
    <mergeCell ref="AH533:AI533"/>
    <mergeCell ref="AF306:AR306"/>
    <mergeCell ref="AC1250:AE1250"/>
    <mergeCell ref="AC793:AE793"/>
    <mergeCell ref="AC924:AE924"/>
    <mergeCell ref="AH263:AL263"/>
    <mergeCell ref="J1169:L1169"/>
    <mergeCell ref="AP555:AR555"/>
    <mergeCell ref="AC619:AE619"/>
    <mergeCell ref="U89:Y90"/>
    <mergeCell ref="AC1251:AE1251"/>
    <mergeCell ref="AI960:AK960"/>
    <mergeCell ref="J1197:M1197"/>
    <mergeCell ref="I323:J323"/>
    <mergeCell ref="AJ24:AJ25"/>
    <mergeCell ref="AC940:AE940"/>
    <mergeCell ref="AB1159:AF1159"/>
    <mergeCell ref="W767:Y767"/>
    <mergeCell ref="AC1243:AF1243"/>
    <mergeCell ref="L464:M464"/>
    <mergeCell ref="V13:V14"/>
    <mergeCell ref="J165:M166"/>
    <mergeCell ref="I1102:J1103"/>
    <mergeCell ref="L675:M675"/>
    <mergeCell ref="P353:S353"/>
    <mergeCell ref="AH916:AL916"/>
    <mergeCell ref="AO297:AR297"/>
    <mergeCell ref="AB194:AR194"/>
    <mergeCell ref="V246:X246"/>
    <mergeCell ref="AB1054:AF1054"/>
    <mergeCell ref="V398:X398"/>
    <mergeCell ref="I994:M994"/>
    <mergeCell ref="AB710:AC710"/>
    <mergeCell ref="K602:M602"/>
    <mergeCell ref="P536:R536"/>
    <mergeCell ref="I803:Y803"/>
    <mergeCell ref="V1029:X1029"/>
    <mergeCell ref="I529:M531"/>
    <mergeCell ref="I998:J998"/>
    <mergeCell ref="AO774:AQ774"/>
    <mergeCell ref="Q321:R321"/>
    <mergeCell ref="AH1230:AL1232"/>
    <mergeCell ref="U174:Y174"/>
    <mergeCell ref="AH210:AL210"/>
    <mergeCell ref="AI607:AK607"/>
    <mergeCell ref="AO1068:AO1069"/>
    <mergeCell ref="I487:Y487"/>
    <mergeCell ref="O281:S281"/>
    <mergeCell ref="D13:D14"/>
    <mergeCell ref="AC282:AE282"/>
    <mergeCell ref="AK1115:AL1115"/>
    <mergeCell ref="V773:X773"/>
    <mergeCell ref="AH989:AL990"/>
    <mergeCell ref="K472:M472"/>
    <mergeCell ref="U834:Y834"/>
    <mergeCell ref="AI931:AL932"/>
    <mergeCell ref="AI835:AK835"/>
    <mergeCell ref="R58:S58"/>
    <mergeCell ref="R33:S33"/>
    <mergeCell ref="O482:Q482"/>
    <mergeCell ref="AJ710:AL710"/>
    <mergeCell ref="AF1040:AR1040"/>
    <mergeCell ref="O451:O452"/>
    <mergeCell ref="O662:O663"/>
    <mergeCell ref="AQ857:AQ858"/>
    <mergeCell ref="J581:L581"/>
    <mergeCell ref="V915:X915"/>
    <mergeCell ref="AJ922:AL922"/>
    <mergeCell ref="J120:M120"/>
    <mergeCell ref="AD1209:AE1209"/>
    <mergeCell ref="AC962:AE962"/>
    <mergeCell ref="J733:L733"/>
    <mergeCell ref="V1126:X1126"/>
    <mergeCell ref="I891:J892"/>
    <mergeCell ref="AI821:AL821"/>
    <mergeCell ref="R42:S42"/>
    <mergeCell ref="O46:S46"/>
    <mergeCell ref="AL651:AL652"/>
    <mergeCell ref="P928:R928"/>
    <mergeCell ref="O257:S257"/>
    <mergeCell ref="O346:S346"/>
    <mergeCell ref="AB540:AB541"/>
    <mergeCell ref="R686:S686"/>
    <mergeCell ref="I783:M783"/>
    <mergeCell ref="AC347:AE347"/>
    <mergeCell ref="AO1172:AQ1172"/>
    <mergeCell ref="I1246:M1247"/>
    <mergeCell ref="I611:I612"/>
    <mergeCell ref="J304:L304"/>
    <mergeCell ref="AN500:AO500"/>
    <mergeCell ref="O63:Q63"/>
    <mergeCell ref="AN1127:AR1127"/>
    <mergeCell ref="AH907:AJ907"/>
    <mergeCell ref="O705:S705"/>
    <mergeCell ref="AQ650:AR650"/>
    <mergeCell ref="M100:Y100"/>
    <mergeCell ref="J604:L604"/>
    <mergeCell ref="AB135:AF135"/>
    <mergeCell ref="AC374:AE374"/>
    <mergeCell ref="I345:J345"/>
    <mergeCell ref="O1187:P1187"/>
    <mergeCell ref="AC1006:AE1006"/>
    <mergeCell ref="I511:M512"/>
    <mergeCell ref="AC369:AE369"/>
    <mergeCell ref="AN550:AR550"/>
    <mergeCell ref="I15:M40"/>
    <mergeCell ref="AB765:AC765"/>
    <mergeCell ref="AP862:AP863"/>
    <mergeCell ref="W534:Y534"/>
    <mergeCell ref="AI927:AK927"/>
    <mergeCell ref="I1144:M1145"/>
    <mergeCell ref="AB887:AD888"/>
    <mergeCell ref="U256:Y260"/>
    <mergeCell ref="O759:S759"/>
    <mergeCell ref="Q1271:S1271"/>
    <mergeCell ref="O1178:S1179"/>
    <mergeCell ref="AC1148:AE1148"/>
    <mergeCell ref="O543:O544"/>
    <mergeCell ref="I434:M434"/>
    <mergeCell ref="I648:M673"/>
    <mergeCell ref="AF829:AR829"/>
    <mergeCell ref="AD112:AF112"/>
    <mergeCell ref="I815:I818"/>
    <mergeCell ref="I284:M286"/>
    <mergeCell ref="AP500:AR500"/>
    <mergeCell ref="AB1262:AF1262"/>
    <mergeCell ref="AB805:AF805"/>
    <mergeCell ref="R1109:S1109"/>
    <mergeCell ref="P503:R503"/>
    <mergeCell ref="AB957:AF957"/>
    <mergeCell ref="R44:S44"/>
    <mergeCell ref="AO136:AQ136"/>
    <mergeCell ref="J119:L119"/>
    <mergeCell ref="AD132:AE132"/>
    <mergeCell ref="AH123:AL124"/>
    <mergeCell ref="AH1052:AL1052"/>
    <mergeCell ref="AH129:AL131"/>
    <mergeCell ref="I743:J743"/>
    <mergeCell ref="AB1190:AF1190"/>
    <mergeCell ref="V507:X507"/>
    <mergeCell ref="O189:O190"/>
    <mergeCell ref="AN36:AQ36"/>
    <mergeCell ref="R646:R647"/>
    <mergeCell ref="O248:S248"/>
    <mergeCell ref="P182:R182"/>
    <mergeCell ref="O747:O750"/>
    <mergeCell ref="AD766:AF766"/>
    <mergeCell ref="AK878:AL879"/>
    <mergeCell ref="I1256:M1256"/>
    <mergeCell ref="AN339:AR339"/>
    <mergeCell ref="AJ811:AK811"/>
    <mergeCell ref="X439:Y439"/>
    <mergeCell ref="V981:X981"/>
    <mergeCell ref="Q1187:R1187"/>
    <mergeCell ref="AO878:AQ878"/>
    <mergeCell ref="AI1198:AL1199"/>
    <mergeCell ref="O722:S723"/>
    <mergeCell ref="AK38:AL38"/>
    <mergeCell ref="P351:R351"/>
    <mergeCell ref="O332:O333"/>
    <mergeCell ref="AH344:AI344"/>
    <mergeCell ref="R245:S246"/>
    <mergeCell ref="AC80:AE80"/>
    <mergeCell ref="P1175:S1175"/>
    <mergeCell ref="O412:S412"/>
    <mergeCell ref="U1092:X1092"/>
    <mergeCell ref="AC413:AE413"/>
    <mergeCell ref="AO806:AQ806"/>
    <mergeCell ref="AB1157:AR1157"/>
    <mergeCell ref="P662:P663"/>
    <mergeCell ref="V1182:X1182"/>
    <mergeCell ref="I761:M761"/>
    <mergeCell ref="U1093:X1093"/>
    <mergeCell ref="AK657:AK658"/>
    <mergeCell ref="U1087:X1087"/>
    <mergeCell ref="V877:X877"/>
    <mergeCell ref="AI1027:AK1027"/>
    <mergeCell ref="U178:V178"/>
    <mergeCell ref="AI608:AK608"/>
    <mergeCell ref="M197:Y197"/>
    <mergeCell ref="AC397:AE397"/>
    <mergeCell ref="I836:M839"/>
    <mergeCell ref="AN703:AR703"/>
    <mergeCell ref="O414:S417"/>
    <mergeCell ref="J1244:M1245"/>
    <mergeCell ref="AH841:AL841"/>
    <mergeCell ref="AK882:AL882"/>
    <mergeCell ref="AE257:AF257"/>
    <mergeCell ref="AP344:AR344"/>
    <mergeCell ref="AH253:AJ253"/>
    <mergeCell ref="I720:I721"/>
    <mergeCell ref="AH438:AL438"/>
    <mergeCell ref="AB843:AF843"/>
    <mergeCell ref="AC1213:AE1213"/>
    <mergeCell ref="O322:P322"/>
    <mergeCell ref="AH1166:AI1166"/>
    <mergeCell ref="I154:J154"/>
    <mergeCell ref="J1039:L1039"/>
    <mergeCell ref="J1170:L1170"/>
    <mergeCell ref="AB570:AF570"/>
    <mergeCell ref="I914:M914"/>
    <mergeCell ref="U325:U328"/>
    <mergeCell ref="J1153:L1153"/>
    <mergeCell ref="AB113:AF113"/>
    <mergeCell ref="AI1135:AK1135"/>
    <mergeCell ref="P611:S612"/>
    <mergeCell ref="I498:J498"/>
    <mergeCell ref="AK893:AL893"/>
    <mergeCell ref="Q390:S390"/>
    <mergeCell ref="O1134:S1134"/>
    <mergeCell ref="W765:X765"/>
    <mergeCell ref="AB111:AC111"/>
    <mergeCell ref="AJ657:AJ658"/>
    <mergeCell ref="AI819:AK819"/>
    <mergeCell ref="U819:U820"/>
    <mergeCell ref="L1102:M1103"/>
    <mergeCell ref="AB488:AR489"/>
    <mergeCell ref="AK272:AL272"/>
    <mergeCell ref="V115:X115"/>
    <mergeCell ref="AF307:AR307"/>
    <mergeCell ref="AH1235:AI1235"/>
    <mergeCell ref="O1168:S1168"/>
    <mergeCell ref="AB1229:AF1229"/>
    <mergeCell ref="AP556:AR556"/>
    <mergeCell ref="K600:L600"/>
    <mergeCell ref="AC1252:AE1252"/>
    <mergeCell ref="AH1265:AL1265"/>
    <mergeCell ref="O1166:P1166"/>
    <mergeCell ref="AJ427:AL427"/>
    <mergeCell ref="AN1131:AO1131"/>
    <mergeCell ref="I956:J956"/>
    <mergeCell ref="AO949:AQ949"/>
    <mergeCell ref="I1167:J1167"/>
    <mergeCell ref="AI121:AL122"/>
    <mergeCell ref="AB405:AR405"/>
    <mergeCell ref="AK1088:AL1088"/>
    <mergeCell ref="J81:L81"/>
    <mergeCell ref="AO187:AQ187"/>
    <mergeCell ref="V563:X563"/>
    <mergeCell ref="P395:R395"/>
    <mergeCell ref="U565:U566"/>
    <mergeCell ref="AH1114:AJ1114"/>
    <mergeCell ref="P822:S823"/>
    <mergeCell ref="AH1108:AJ1108"/>
    <mergeCell ref="AJ111:AL111"/>
    <mergeCell ref="AB558:AB561"/>
    <mergeCell ref="AO245:AQ245"/>
    <mergeCell ref="AN1162:AR1164"/>
    <mergeCell ref="AH1161:AL1161"/>
    <mergeCell ref="V316:X316"/>
    <mergeCell ref="U72:Y72"/>
    <mergeCell ref="AI646:AI647"/>
    <mergeCell ref="O52:S52"/>
    <mergeCell ref="O79:S79"/>
    <mergeCell ref="O76:P76"/>
    <mergeCell ref="AB917:AF919"/>
    <mergeCell ref="AC163:AE163"/>
    <mergeCell ref="AO564:AR564"/>
    <mergeCell ref="P749:R749"/>
    <mergeCell ref="AN317:AR317"/>
    <mergeCell ref="AN448:AR448"/>
    <mergeCell ref="AO714:AQ714"/>
    <mergeCell ref="J539:L539"/>
    <mergeCell ref="AN143:AN144"/>
    <mergeCell ref="O41:Q41"/>
    <mergeCell ref="O77:P77"/>
    <mergeCell ref="Q1165:R1165"/>
    <mergeCell ref="V1090:X1090"/>
    <mergeCell ref="AO925:AQ925"/>
    <mergeCell ref="AC196:AE196"/>
    <mergeCell ref="L891:M892"/>
    <mergeCell ref="AC431:AR432"/>
    <mergeCell ref="O526:S526"/>
    <mergeCell ref="K1000:M1000"/>
    <mergeCell ref="K998:L998"/>
    <mergeCell ref="J753:M753"/>
    <mergeCell ref="O984:O985"/>
    <mergeCell ref="AK904:AL904"/>
    <mergeCell ref="P760:R760"/>
    <mergeCell ref="U711:V711"/>
    <mergeCell ref="U746:Y746"/>
    <mergeCell ref="AC522:AE522"/>
    <mergeCell ref="AH172:AL172"/>
    <mergeCell ref="AH289:AI289"/>
    <mergeCell ref="M406:Y406"/>
    <mergeCell ref="AI719:AL719"/>
    <mergeCell ref="O696:Q696"/>
    <mergeCell ref="AC549:AE549"/>
    <mergeCell ref="AH466:AJ466"/>
    <mergeCell ref="AR13:AR14"/>
    <mergeCell ref="R271:S271"/>
    <mergeCell ref="I800:M801"/>
    <mergeCell ref="I165:I166"/>
    <mergeCell ref="AH461:AJ461"/>
    <mergeCell ref="I822:I823"/>
    <mergeCell ref="W77:Y77"/>
    <mergeCell ref="AN970:AR970"/>
    <mergeCell ref="K289:M289"/>
    <mergeCell ref="U597:Y599"/>
    <mergeCell ref="AB551:AF553"/>
    <mergeCell ref="AN136:AN139"/>
    <mergeCell ref="H431:H432"/>
    <mergeCell ref="W651:W652"/>
    <mergeCell ref="AH62:AJ62"/>
    <mergeCell ref="O890:S890"/>
    <mergeCell ref="AC718:AE718"/>
    <mergeCell ref="AP322:AR322"/>
    <mergeCell ref="I676:K677"/>
    <mergeCell ref="O460:Q460"/>
    <mergeCell ref="AD110:AE110"/>
    <mergeCell ref="I1067:M1067"/>
    <mergeCell ref="P720:S721"/>
    <mergeCell ref="O1188:P1188"/>
    <mergeCell ref="AH1258:AL1261"/>
    <mergeCell ref="AH1055:AK1055"/>
    <mergeCell ref="V328:X328"/>
    <mergeCell ref="AP1133:AR1133"/>
    <mergeCell ref="O1118:Q1118"/>
    <mergeCell ref="I1051:M1051"/>
    <mergeCell ref="I369:I372"/>
    <mergeCell ref="AH1227:AL1227"/>
    <mergeCell ref="AH556:AI556"/>
    <mergeCell ref="AA222:AA428"/>
    <mergeCell ref="AH1142:AH1143"/>
    <mergeCell ref="AB1060:AF1060"/>
    <mergeCell ref="AB389:AC389"/>
    <mergeCell ref="P820:R820"/>
    <mergeCell ref="I1220:I1221"/>
    <mergeCell ref="AO295:AQ295"/>
    <mergeCell ref="P815:R815"/>
    <mergeCell ref="AB514:AR514"/>
    <mergeCell ref="AJ977:AL977"/>
    <mergeCell ref="AN298:AN299"/>
    <mergeCell ref="O511:S512"/>
    <mergeCell ref="AO769:AQ769"/>
    <mergeCell ref="O132:P132"/>
    <mergeCell ref="I1254:Y1254"/>
    <mergeCell ref="AO595:AQ595"/>
    <mergeCell ref="AK39:AL39"/>
    <mergeCell ref="AK54:AL54"/>
    <mergeCell ref="AO981:AQ981"/>
    <mergeCell ref="V752:X752"/>
    <mergeCell ref="U754:U755"/>
    <mergeCell ref="AI142:AL142"/>
    <mergeCell ref="AB1211:AC1211"/>
    <mergeCell ref="U811:V811"/>
    <mergeCell ref="U767:V767"/>
    <mergeCell ref="J806:L806"/>
    <mergeCell ref="I104:M104"/>
    <mergeCell ref="AC730:AE730"/>
    <mergeCell ref="J1017:L1017"/>
    <mergeCell ref="W1167:Y1167"/>
    <mergeCell ref="I562:I563"/>
    <mergeCell ref="O629:S629"/>
    <mergeCell ref="V1194:X1194"/>
    <mergeCell ref="AH1016:AL1016"/>
    <mergeCell ref="R484:S484"/>
    <mergeCell ref="P1026:R1026"/>
    <mergeCell ref="O324:S324"/>
    <mergeCell ref="AC325:AE325"/>
    <mergeCell ref="U674:X674"/>
    <mergeCell ref="I1019:M1021"/>
    <mergeCell ref="AN1025:AR1025"/>
    <mergeCell ref="AB849:AF849"/>
    <mergeCell ref="R479:S479"/>
    <mergeCell ref="I157:M157"/>
    <mergeCell ref="V440:V441"/>
    <mergeCell ref="U1094:X1094"/>
    <mergeCell ref="W133:Y133"/>
    <mergeCell ref="AI983:AK983"/>
    <mergeCell ref="I1009:I1010"/>
    <mergeCell ref="O954:P954"/>
    <mergeCell ref="AH281:AL281"/>
    <mergeCell ref="I80:I83"/>
    <mergeCell ref="O684:S684"/>
    <mergeCell ref="M515:Y515"/>
    <mergeCell ref="I787:J787"/>
    <mergeCell ref="AH270:AJ270"/>
    <mergeCell ref="O175:S177"/>
    <mergeCell ref="V394:X394"/>
    <mergeCell ref="AN948:AR948"/>
    <mergeCell ref="AH271:AJ271"/>
    <mergeCell ref="AO139:AQ139"/>
    <mergeCell ref="M520:Y520"/>
    <mergeCell ref="U1022:V1022"/>
    <mergeCell ref="I201:M201"/>
    <mergeCell ref="AH321:AI321"/>
    <mergeCell ref="V541:X541"/>
    <mergeCell ref="V105:X105"/>
    <mergeCell ref="AC1152:AE1152"/>
    <mergeCell ref="AP1188:AR1188"/>
    <mergeCell ref="AB1121:AR1122"/>
    <mergeCell ref="AB891:AC892"/>
    <mergeCell ref="V536:X536"/>
    <mergeCell ref="I499:J499"/>
    <mergeCell ref="V138:X138"/>
    <mergeCell ref="AB422:AE422"/>
    <mergeCell ref="AB633:AE633"/>
    <mergeCell ref="AB819:AB820"/>
    <mergeCell ref="AB1035:AF1036"/>
    <mergeCell ref="AB783:AF783"/>
    <mergeCell ref="AH1198:AH1199"/>
    <mergeCell ref="AB1030:AB1031"/>
    <mergeCell ref="AD391:AF391"/>
    <mergeCell ref="K767:M767"/>
    <mergeCell ref="AL451:AL452"/>
    <mergeCell ref="M939:Y939"/>
    <mergeCell ref="I1181:M1181"/>
    <mergeCell ref="J98:L98"/>
    <mergeCell ref="AC754:AF755"/>
    <mergeCell ref="V605:X605"/>
    <mergeCell ref="V186:X186"/>
    <mergeCell ref="J398:L398"/>
    <mergeCell ref="AH402:AL403"/>
    <mergeCell ref="AD533:AF533"/>
    <mergeCell ref="AO931:AR932"/>
    <mergeCell ref="AL646:AL647"/>
    <mergeCell ref="P624:R624"/>
    <mergeCell ref="I1162:M1164"/>
    <mergeCell ref="AN256:AR260"/>
    <mergeCell ref="AO562:AQ562"/>
    <mergeCell ref="U533:V533"/>
    <mergeCell ref="J82:L82"/>
    <mergeCell ref="P924:R924"/>
    <mergeCell ref="AN623:AR623"/>
    <mergeCell ref="J293:L293"/>
    <mergeCell ref="O673:Q673"/>
    <mergeCell ref="D9:F10"/>
    <mergeCell ref="AB224:AF225"/>
    <mergeCell ref="V960:X960"/>
    <mergeCell ref="AN1195:AN1196"/>
    <mergeCell ref="AI537:AK537"/>
    <mergeCell ref="AC798:AF799"/>
    <mergeCell ref="AH240:AH241"/>
    <mergeCell ref="AC399:AF399"/>
    <mergeCell ref="J220:Y221"/>
    <mergeCell ref="O58:Q58"/>
    <mergeCell ref="I143:I144"/>
    <mergeCell ref="J773:L773"/>
    <mergeCell ref="I528:M528"/>
    <mergeCell ref="AD788:AF788"/>
    <mergeCell ref="O244:Q244"/>
    <mergeCell ref="J925:L925"/>
    <mergeCell ref="AO1031:AQ1031"/>
    <mergeCell ref="I223:M223"/>
    <mergeCell ref="P1243:S1243"/>
    <mergeCell ref="AO1242:AQ1242"/>
    <mergeCell ref="U705:Y705"/>
    <mergeCell ref="AK44:AL44"/>
    <mergeCell ref="AD789:AF789"/>
    <mergeCell ref="U916:Y916"/>
    <mergeCell ref="AC538:AE538"/>
    <mergeCell ref="O1054:S1054"/>
    <mergeCell ref="R903:S903"/>
    <mergeCell ref="O78:P78"/>
    <mergeCell ref="L253:M253"/>
    <mergeCell ref="J795:L795"/>
    <mergeCell ref="AN776:AN777"/>
    <mergeCell ref="AO926:AQ926"/>
    <mergeCell ref="O710:P710"/>
    <mergeCell ref="AB84:AB85"/>
    <mergeCell ref="O255:Q255"/>
    <mergeCell ref="AK646:AK647"/>
    <mergeCell ref="J1126:L1126"/>
    <mergeCell ref="AN343:AO343"/>
    <mergeCell ref="AO927:AQ927"/>
    <mergeCell ref="AN554:AO554"/>
    <mergeCell ref="AC1141:AF1141"/>
    <mergeCell ref="AH1125:AL1125"/>
    <mergeCell ref="M617:Y617"/>
    <mergeCell ref="AN1161:AR1161"/>
    <mergeCell ref="AQ439:AR439"/>
    <mergeCell ref="AC1191:AE1191"/>
    <mergeCell ref="AP323:AR323"/>
    <mergeCell ref="AH695:AJ695"/>
    <mergeCell ref="AH1089:AJ1090"/>
    <mergeCell ref="AB423:AF426"/>
    <mergeCell ref="I1139:I1140"/>
    <mergeCell ref="AH548:AL548"/>
    <mergeCell ref="AC1192:AE1192"/>
    <mergeCell ref="W1024:Y1024"/>
    <mergeCell ref="AH534:AI534"/>
    <mergeCell ref="I133:J133"/>
    <mergeCell ref="AK877:AL877"/>
    <mergeCell ref="M1039:Y1039"/>
    <mergeCell ref="AH332:AH333"/>
    <mergeCell ref="V291:X291"/>
    <mergeCell ref="AN881:AQ881"/>
    <mergeCell ref="M1250:Y1250"/>
    <mergeCell ref="U393:U396"/>
    <mergeCell ref="R485:S485"/>
    <mergeCell ref="P1027:R1027"/>
    <mergeCell ref="O284:S286"/>
    <mergeCell ref="AB550:AF550"/>
    <mergeCell ref="J560:L560"/>
    <mergeCell ref="AE1098:AF1099"/>
    <mergeCell ref="W1165:X1165"/>
    <mergeCell ref="W710:Y710"/>
    <mergeCell ref="O600:P600"/>
    <mergeCell ref="I1173:I1174"/>
    <mergeCell ref="W921:Y921"/>
    <mergeCell ref="AH182:AH185"/>
    <mergeCell ref="AN980:AN983"/>
    <mergeCell ref="AN123:AR124"/>
    <mergeCell ref="AO120:AR120"/>
    <mergeCell ref="AN118:AN119"/>
    <mergeCell ref="AH1190:AL1190"/>
    <mergeCell ref="U189:U190"/>
    <mergeCell ref="V821:Y821"/>
    <mergeCell ref="AB1244:AB1245"/>
    <mergeCell ref="V971:X971"/>
    <mergeCell ref="H11:H217"/>
    <mergeCell ref="AH845:AL848"/>
    <mergeCell ref="P446:P447"/>
    <mergeCell ref="AK435:AK436"/>
    <mergeCell ref="AO928:AQ928"/>
    <mergeCell ref="AD500:AF500"/>
    <mergeCell ref="AH536:AH539"/>
    <mergeCell ref="AB1147:AR1147"/>
    <mergeCell ref="AI400:AL401"/>
    <mergeCell ref="O135:S135"/>
    <mergeCell ref="O224:O225"/>
    <mergeCell ref="AI717:AK717"/>
    <mergeCell ref="P776:S777"/>
    <mergeCell ref="AC136:AE136"/>
    <mergeCell ref="AH53:AJ53"/>
    <mergeCell ref="J506:L506"/>
    <mergeCell ref="AQ228:AR228"/>
    <mergeCell ref="AO770:AQ770"/>
    <mergeCell ref="V1175:Y1175"/>
    <mergeCell ref="AH300:AL301"/>
    <mergeCell ref="AN27:AR30"/>
    <mergeCell ref="J507:L507"/>
    <mergeCell ref="AB1061:AF1061"/>
    <mergeCell ref="AH511:AL512"/>
    <mergeCell ref="AI140:AK140"/>
    <mergeCell ref="AN1077:AR1079"/>
    <mergeCell ref="I589:M590"/>
    <mergeCell ref="R274:S274"/>
    <mergeCell ref="J349:L349"/>
    <mergeCell ref="AN759:AR759"/>
    <mergeCell ref="AD389:AE389"/>
    <mergeCell ref="AJ1189:AL1189"/>
    <mergeCell ref="J981:L981"/>
    <mergeCell ref="AH128:AL128"/>
    <mergeCell ref="AN1178:AR1179"/>
    <mergeCell ref="AN543:AN544"/>
    <mergeCell ref="J518:L518"/>
    <mergeCell ref="O477:Q477"/>
    <mergeCell ref="O756:S757"/>
    <mergeCell ref="AH217:AL217"/>
    <mergeCell ref="AH428:AL428"/>
    <mergeCell ref="O446:O447"/>
    <mergeCell ref="AC297:AF297"/>
    <mergeCell ref="I337:M337"/>
    <mergeCell ref="P738:R738"/>
    <mergeCell ref="AN443:AR443"/>
    <mergeCell ref="AJ435:AJ436"/>
    <mergeCell ref="AC508:AF508"/>
    <mergeCell ref="I121:I122"/>
    <mergeCell ref="U880:X880"/>
    <mergeCell ref="O1262:S1262"/>
    <mergeCell ref="AH203:AL206"/>
    <mergeCell ref="AO982:AQ982"/>
    <mergeCell ref="AK883:AL883"/>
    <mergeCell ref="O957:S957"/>
    <mergeCell ref="P1196:R1196"/>
    <mergeCell ref="I102:Y102"/>
    <mergeCell ref="AO1140:AQ1140"/>
    <mergeCell ref="J571:L571"/>
    <mergeCell ref="AC958:AE958"/>
    <mergeCell ref="P143:S144"/>
    <mergeCell ref="U814:Y814"/>
    <mergeCell ref="U509:U510"/>
    <mergeCell ref="O674:Q674"/>
    <mergeCell ref="I632:M632"/>
    <mergeCell ref="AK267:AL267"/>
    <mergeCell ref="J1029:L1029"/>
    <mergeCell ref="U1183:Y1183"/>
    <mergeCell ref="AH113:AL113"/>
    <mergeCell ref="I288:J288"/>
    <mergeCell ref="AH87:AH88"/>
    <mergeCell ref="I174:M174"/>
    <mergeCell ref="I46:J46"/>
    <mergeCell ref="O977:P977"/>
    <mergeCell ref="AB703:AF703"/>
    <mergeCell ref="AN114:AN117"/>
    <mergeCell ref="AC942:AE942"/>
    <mergeCell ref="O59:Q59"/>
    <mergeCell ref="AI1169:AK1169"/>
    <mergeCell ref="O1271:P1271"/>
    <mergeCell ref="AB220:AB221"/>
    <mergeCell ref="AC370:AE370"/>
    <mergeCell ref="AC1002:AE1002"/>
    <mergeCell ref="AH1176:AH1177"/>
    <mergeCell ref="AC539:AE539"/>
    <mergeCell ref="AH1256:AL1256"/>
    <mergeCell ref="AJ133:AL133"/>
    <mergeCell ref="AB112:AC112"/>
    <mergeCell ref="AE891:AF892"/>
    <mergeCell ref="I1159:M1159"/>
    <mergeCell ref="I325:I328"/>
    <mergeCell ref="P80:R80"/>
    <mergeCell ref="I199:Y199"/>
    <mergeCell ref="AK1094:AL1094"/>
    <mergeCell ref="AK675:AL675"/>
    <mergeCell ref="I999:J999"/>
    <mergeCell ref="K765:L765"/>
    <mergeCell ref="I194:Y194"/>
    <mergeCell ref="I422:L422"/>
    <mergeCell ref="I1000:J1000"/>
    <mergeCell ref="AH1115:AJ1115"/>
    <mergeCell ref="AH291:AH294"/>
    <mergeCell ref="AB1127:AF1127"/>
    <mergeCell ref="V930:Y930"/>
    <mergeCell ref="AK1117:AL1117"/>
    <mergeCell ref="P282:R282"/>
    <mergeCell ref="AB675:AD675"/>
    <mergeCell ref="U841:Y841"/>
    <mergeCell ref="O1230:S1232"/>
    <mergeCell ref="W1022:X1022"/>
    <mergeCell ref="AA220:AA221"/>
    <mergeCell ref="AO646:AO647"/>
    <mergeCell ref="R40:S40"/>
    <mergeCell ref="U76:V76"/>
    <mergeCell ref="AB1131:AC1131"/>
    <mergeCell ref="AJ1234:AL1234"/>
    <mergeCell ref="AO1195:AQ1195"/>
    <mergeCell ref="U106:Y106"/>
    <mergeCell ref="V503:X503"/>
    <mergeCell ref="AN32:AQ32"/>
    <mergeCell ref="AI509:AL510"/>
    <mergeCell ref="O186:O187"/>
    <mergeCell ref="AB857:AF858"/>
    <mergeCell ref="J99:L99"/>
    <mergeCell ref="AO748:AQ748"/>
    <mergeCell ref="AO879:AQ879"/>
    <mergeCell ref="J316:L316"/>
    <mergeCell ref="J310:L310"/>
    <mergeCell ref="V819:X819"/>
    <mergeCell ref="J188:M188"/>
    <mergeCell ref="AH315:AL315"/>
    <mergeCell ref="AD1235:AF1235"/>
    <mergeCell ref="AK33:AL33"/>
    <mergeCell ref="I72:M72"/>
    <mergeCell ref="J311:L311"/>
    <mergeCell ref="AH778:AL779"/>
    <mergeCell ref="O712:S712"/>
    <mergeCell ref="AN351:AN352"/>
    <mergeCell ref="AC713:AE713"/>
    <mergeCell ref="I1249:Y1249"/>
    <mergeCell ref="P1257:R1257"/>
    <mergeCell ref="AC408:AE408"/>
    <mergeCell ref="AN651:AN652"/>
    <mergeCell ref="AC564:AF564"/>
    <mergeCell ref="AC714:AE714"/>
    <mergeCell ref="I329:I330"/>
    <mergeCell ref="U129:Y131"/>
    <mergeCell ref="I540:I541"/>
    <mergeCell ref="AK61:AL61"/>
    <mergeCell ref="AH1246:AL1247"/>
    <mergeCell ref="AH1241:AH1242"/>
    <mergeCell ref="O886:Q886"/>
    <mergeCell ref="Q978:S978"/>
    <mergeCell ref="V121:Y122"/>
    <mergeCell ref="V1173:X1173"/>
    <mergeCell ref="AK692:AL692"/>
    <mergeCell ref="R463:S463"/>
    <mergeCell ref="AH1084:AH1085"/>
    <mergeCell ref="Q216:S216"/>
    <mergeCell ref="O638:P638"/>
    <mergeCell ref="AC1032:AF1032"/>
    <mergeCell ref="AC1155:AE1155"/>
    <mergeCell ref="AB611:AB612"/>
    <mergeCell ref="I746:M746"/>
    <mergeCell ref="O272:Q272"/>
    <mergeCell ref="W111:Y111"/>
    <mergeCell ref="AN386:AR388"/>
    <mergeCell ref="I987:I988"/>
    <mergeCell ref="I554:J554"/>
    <mergeCell ref="J980:L980"/>
    <mergeCell ref="J1138:L1138"/>
    <mergeCell ref="O897:Q897"/>
    <mergeCell ref="AH709:AI709"/>
    <mergeCell ref="AH254:AJ254"/>
    <mergeCell ref="AB465:AD466"/>
    <mergeCell ref="AR857:AR858"/>
    <mergeCell ref="I766:J766"/>
    <mergeCell ref="V924:X924"/>
    <mergeCell ref="AH249:AJ249"/>
    <mergeCell ref="P293:R293"/>
    <mergeCell ref="K77:M77"/>
    <mergeCell ref="AB970:AF970"/>
    <mergeCell ref="AO87:AR88"/>
    <mergeCell ref="AB754:AB755"/>
    <mergeCell ref="AO118:AQ118"/>
    <mergeCell ref="P294:R294"/>
    <mergeCell ref="Y13:Y14"/>
    <mergeCell ref="W920:X920"/>
    <mergeCell ref="AB679:AC679"/>
    <mergeCell ref="AB362:AF364"/>
    <mergeCell ref="AC806:AE806"/>
    <mergeCell ref="J1182:L1182"/>
    <mergeCell ref="AP956:AR956"/>
    <mergeCell ref="AF733:AR733"/>
    <mergeCell ref="AP1167:AR1167"/>
    <mergeCell ref="I1038:Y1038"/>
    <mergeCell ref="I178:J178"/>
    <mergeCell ref="AB815:AB818"/>
    <mergeCell ref="I1191:I1194"/>
    <mergeCell ref="S657:S658"/>
    <mergeCell ref="AN435:AN436"/>
    <mergeCell ref="AB1009:AB1010"/>
    <mergeCell ref="U289:V289"/>
    <mergeCell ref="AD1133:AF1133"/>
    <mergeCell ref="AO182:AQ182"/>
    <mergeCell ref="AI229:AI230"/>
    <mergeCell ref="V558:X558"/>
    <mergeCell ref="P963:R963"/>
    <mergeCell ref="O551:S553"/>
    <mergeCell ref="AB1236:AF1236"/>
    <mergeCell ref="AB701:AR701"/>
    <mergeCell ref="U950:Y950"/>
    <mergeCell ref="P716:R716"/>
    <mergeCell ref="AB1234:AC1234"/>
    <mergeCell ref="R55:S55"/>
    <mergeCell ref="AJ1187:AK1187"/>
    <mergeCell ref="U670:X670"/>
    <mergeCell ref="Q110:R110"/>
    <mergeCell ref="O679:S679"/>
    <mergeCell ref="AH1169:AH1172"/>
    <mergeCell ref="U495:Y497"/>
    <mergeCell ref="R446:R447"/>
    <mergeCell ref="AI964:AL964"/>
    <mergeCell ref="H1066:H1272"/>
    <mergeCell ref="R657:R658"/>
    <mergeCell ref="Q229:Q230"/>
    <mergeCell ref="J751:L751"/>
    <mergeCell ref="AC595:AE595"/>
    <mergeCell ref="AH390:AI390"/>
    <mergeCell ref="I207:M207"/>
    <mergeCell ref="AB9:AB10"/>
    <mergeCell ref="AB1213:AB1216"/>
    <mergeCell ref="AC797:AF797"/>
    <mergeCell ref="AQ1072:AR1072"/>
    <mergeCell ref="AD556:AF556"/>
    <mergeCell ref="AH266:AJ266"/>
    <mergeCell ref="Q224:Q225"/>
    <mergeCell ref="AN1076:AR1076"/>
    <mergeCell ref="J752:L752"/>
    <mergeCell ref="AN1070:AR1070"/>
    <mergeCell ref="AH229:AH230"/>
    <mergeCell ref="I807:M807"/>
    <mergeCell ref="J1046:L1046"/>
    <mergeCell ref="AK899:AL899"/>
    <mergeCell ref="U556:V556"/>
    <mergeCell ref="R1079:R1080"/>
    <mergeCell ref="AC517:AE517"/>
    <mergeCell ref="U1142:U1143"/>
    <mergeCell ref="M516:Y516"/>
    <mergeCell ref="AK900:AL900"/>
    <mergeCell ref="AI1084:AI1085"/>
    <mergeCell ref="R671:S671"/>
    <mergeCell ref="L46:M46"/>
    <mergeCell ref="O389:P389"/>
    <mergeCell ref="AC817:AE817"/>
    <mergeCell ref="R882:S882"/>
    <mergeCell ref="AC1244:AF1245"/>
    <mergeCell ref="J1193:L1193"/>
    <mergeCell ref="O691:Q691"/>
    <mergeCell ref="W955:Y955"/>
    <mergeCell ref="U737:Y737"/>
    <mergeCell ref="AN322:AO322"/>
    <mergeCell ref="U984:U985"/>
    <mergeCell ref="AH462:AJ462"/>
    <mergeCell ref="AB509:AB510"/>
    <mergeCell ref="V987:Y988"/>
    <mergeCell ref="O340:S342"/>
    <mergeCell ref="U1023:V1023"/>
    <mergeCell ref="AB1025:AF1025"/>
    <mergeCell ref="AB174:AF174"/>
    <mergeCell ref="AC959:AE959"/>
    <mergeCell ref="AC1170:AE1170"/>
    <mergeCell ref="AB287:AC287"/>
    <mergeCell ref="AH1093:AJ1093"/>
    <mergeCell ref="AN511:AR512"/>
    <mergeCell ref="AB498:AC498"/>
    <mergeCell ref="AH1272:AL1272"/>
    <mergeCell ref="W978:Y978"/>
    <mergeCell ref="V120:Y120"/>
    <mergeCell ref="AH602:AI602"/>
    <mergeCell ref="AH813:AI813"/>
    <mergeCell ref="I832:Y832"/>
    <mergeCell ref="I1018:M1018"/>
    <mergeCell ref="O1189:P1189"/>
    <mergeCell ref="AB948:AF948"/>
    <mergeCell ref="Q1079:Q1080"/>
    <mergeCell ref="M308:Y308"/>
    <mergeCell ref="M940:Y940"/>
    <mergeCell ref="AH1116:AJ1116"/>
    <mergeCell ref="R34:S35"/>
    <mergeCell ref="AO395:AQ395"/>
    <mergeCell ref="AB1217:AB1218"/>
    <mergeCell ref="AB956:AC956"/>
    <mergeCell ref="P325:R325"/>
    <mergeCell ref="AO1026:AQ1026"/>
    <mergeCell ref="I13:M14"/>
    <mergeCell ref="AN324:AR324"/>
    <mergeCell ref="AI71:AK71"/>
    <mergeCell ref="K555:M555"/>
    <mergeCell ref="AH1019:AL1021"/>
    <mergeCell ref="AI396:AK396"/>
    <mergeCell ref="P816:R816"/>
    <mergeCell ref="R268:S268"/>
    <mergeCell ref="P772:R772"/>
    <mergeCell ref="AF1039:AR1039"/>
    <mergeCell ref="O70:S70"/>
    <mergeCell ref="AO291:AQ291"/>
    <mergeCell ref="J587:M588"/>
    <mergeCell ref="AD322:AF322"/>
    <mergeCell ref="P775:S775"/>
    <mergeCell ref="U769:U772"/>
    <mergeCell ref="O528:S528"/>
    <mergeCell ref="J605:L605"/>
    <mergeCell ref="AO749:AQ749"/>
    <mergeCell ref="J186:L186"/>
    <mergeCell ref="AO292:AQ292"/>
    <mergeCell ref="AO1176:AR1177"/>
    <mergeCell ref="V668:X668"/>
    <mergeCell ref="AP1165:AQ1165"/>
    <mergeCell ref="I361:M361"/>
    <mergeCell ref="AN526:AR526"/>
    <mergeCell ref="U321:V321"/>
    <mergeCell ref="K1235:M1235"/>
    <mergeCell ref="AC99:AE99"/>
    <mergeCell ref="AO610:AR610"/>
    <mergeCell ref="R253:S253"/>
    <mergeCell ref="AH201:AL201"/>
    <mergeCell ref="AN494:AR494"/>
    <mergeCell ref="AK50:AL50"/>
    <mergeCell ref="J328:L328"/>
    <mergeCell ref="Q179:S179"/>
    <mergeCell ref="AH354:AH355"/>
    <mergeCell ref="O422:R422"/>
    <mergeCell ref="AN876:AQ876"/>
    <mergeCell ref="M729:Y729"/>
    <mergeCell ref="M310:Y310"/>
    <mergeCell ref="O633:R633"/>
    <mergeCell ref="I680:J681"/>
    <mergeCell ref="O819:O820"/>
    <mergeCell ref="O1035:S1036"/>
    <mergeCell ref="AC1030:AE1030"/>
    <mergeCell ref="U920:V920"/>
    <mergeCell ref="O1030:O1031"/>
    <mergeCell ref="AH44:AJ44"/>
    <mergeCell ref="AN502:AN505"/>
    <mergeCell ref="AI493:AK493"/>
    <mergeCell ref="U889:Y893"/>
    <mergeCell ref="AO961:AQ961"/>
    <mergeCell ref="AC1242:AE1242"/>
    <mergeCell ref="J944:L944"/>
    <mergeCell ref="I400:I401"/>
    <mergeCell ref="AF406:AR406"/>
    <mergeCell ref="U1256:Y1256"/>
    <mergeCell ref="I916:M916"/>
    <mergeCell ref="J1155:L1155"/>
    <mergeCell ref="AC295:AE295"/>
    <mergeCell ref="Q533:S533"/>
    <mergeCell ref="O955:P955"/>
    <mergeCell ref="AB933:AF934"/>
    <mergeCell ref="AC926:AE926"/>
    <mergeCell ref="AH887:AJ887"/>
    <mergeCell ref="AB928:AB929"/>
    <mergeCell ref="Y646:Y647"/>
    <mergeCell ref="K366:M366"/>
    <mergeCell ref="AB554:AC554"/>
    <mergeCell ref="AP651:AP652"/>
    <mergeCell ref="AN182:AN185"/>
    <mergeCell ref="AO720:AR721"/>
    <mergeCell ref="AN1188:AO1188"/>
    <mergeCell ref="AH73:AL75"/>
    <mergeCell ref="R677:S677"/>
    <mergeCell ref="V353:Y353"/>
    <mergeCell ref="AB1161:AF1161"/>
    <mergeCell ref="AP954:AQ954"/>
    <mergeCell ref="AP499:AR499"/>
    <mergeCell ref="AB962:AB963"/>
    <mergeCell ref="AB856:AF856"/>
    <mergeCell ref="I1266:L1266"/>
    <mergeCell ref="M521:Y521"/>
    <mergeCell ref="AB1067:AF1067"/>
    <mergeCell ref="J298:M299"/>
    <mergeCell ref="K1024:M1024"/>
    <mergeCell ref="AB1098:AD1099"/>
    <mergeCell ref="M1152:Y1152"/>
    <mergeCell ref="M733:Y733"/>
    <mergeCell ref="I767:J767"/>
    <mergeCell ref="O529:S531"/>
    <mergeCell ref="J197:L197"/>
    <mergeCell ref="I978:J978"/>
    <mergeCell ref="AH143:AH144"/>
    <mergeCell ref="P538:R538"/>
    <mergeCell ref="AN237:AR237"/>
    <mergeCell ref="AB1051:AF1051"/>
    <mergeCell ref="I437:M462"/>
    <mergeCell ref="AJ709:AK709"/>
    <mergeCell ref="O824:S825"/>
    <mergeCell ref="K921:M921"/>
    <mergeCell ref="P506:R506"/>
    <mergeCell ref="AB276:AR276"/>
    <mergeCell ref="AN762:AR764"/>
    <mergeCell ref="AN232:AR232"/>
    <mergeCell ref="I1056:M1059"/>
    <mergeCell ref="AI862:AI863"/>
    <mergeCell ref="AI609:AK609"/>
    <mergeCell ref="P1141:S1141"/>
    <mergeCell ref="A8:B29"/>
    <mergeCell ref="I973:M975"/>
    <mergeCell ref="U756:Y757"/>
    <mergeCell ref="AP440:AP441"/>
    <mergeCell ref="U751:U752"/>
    <mergeCell ref="W112:Y112"/>
    <mergeCell ref="U534:V534"/>
    <mergeCell ref="U332:U333"/>
    <mergeCell ref="AI962:AK962"/>
    <mergeCell ref="AB788:AC788"/>
    <mergeCell ref="O337:S337"/>
    <mergeCell ref="AC770:AE770"/>
    <mergeCell ref="AD554:AE554"/>
    <mergeCell ref="AC307:AE307"/>
    <mergeCell ref="AH545:AL546"/>
    <mergeCell ref="AD1188:AF1188"/>
    <mergeCell ref="K1132:M1132"/>
    <mergeCell ref="AH235:AH236"/>
    <mergeCell ref="AI560:AK560"/>
    <mergeCell ref="R1068:R1069"/>
    <mergeCell ref="AA855:AA1061"/>
    <mergeCell ref="U859:Y859"/>
    <mergeCell ref="AN600:AO600"/>
    <mergeCell ref="J305:L305"/>
    <mergeCell ref="U976:V976"/>
    <mergeCell ref="O345:P345"/>
    <mergeCell ref="U1187:V1187"/>
    <mergeCell ref="AO1174:AQ1174"/>
    <mergeCell ref="AN630:AR630"/>
    <mergeCell ref="Q288:S288"/>
    <mergeCell ref="AO1169:AQ1169"/>
    <mergeCell ref="J606:L606"/>
    <mergeCell ref="AH80:AH83"/>
    <mergeCell ref="O1144:S1145"/>
    <mergeCell ref="X435:X436"/>
    <mergeCell ref="I208:M208"/>
    <mergeCell ref="O634:S637"/>
    <mergeCell ref="O1139:O1140"/>
    <mergeCell ref="AK671:AL671"/>
    <mergeCell ref="P984:R984"/>
    <mergeCell ref="AB989:AF990"/>
    <mergeCell ref="U536:U539"/>
    <mergeCell ref="AO440:AO441"/>
    <mergeCell ref="AP133:AR133"/>
    <mergeCell ref="V400:Y401"/>
    <mergeCell ref="AB1200:AF1201"/>
    <mergeCell ref="O251:Q251"/>
    <mergeCell ref="AH480:AJ480"/>
    <mergeCell ref="V719:Y719"/>
    <mergeCell ref="AB1142:AB1143"/>
    <mergeCell ref="AF515:AR515"/>
    <mergeCell ref="S229:S230"/>
    <mergeCell ref="AN773:AN774"/>
    <mergeCell ref="I1183:M1183"/>
    <mergeCell ref="I533:J533"/>
    <mergeCell ref="AC731:AE731"/>
    <mergeCell ref="O1061:S1061"/>
    <mergeCell ref="V140:X140"/>
    <mergeCell ref="V753:Y753"/>
    <mergeCell ref="AB1195:AB1196"/>
    <mergeCell ref="Q1068:Q1069"/>
    <mergeCell ref="AB114:AB117"/>
    <mergeCell ref="AK1084:AK1085"/>
    <mergeCell ref="O904:Q904"/>
    <mergeCell ref="U40:X40"/>
    <mergeCell ref="AJ132:AK132"/>
    <mergeCell ref="AB499:AC499"/>
    <mergeCell ref="AJ767:AL767"/>
    <mergeCell ref="P297:S297"/>
    <mergeCell ref="AB1265:AF1265"/>
    <mergeCell ref="AJ978:AL978"/>
    <mergeCell ref="P508:S508"/>
    <mergeCell ref="I107:M109"/>
    <mergeCell ref="U747:U750"/>
    <mergeCell ref="P1033:S1034"/>
    <mergeCell ref="K1102:K1103"/>
    <mergeCell ref="AB776:AB777"/>
    <mergeCell ref="AB1132:AC1132"/>
    <mergeCell ref="J149:L149"/>
    <mergeCell ref="U722:Y723"/>
    <mergeCell ref="S1084:S1085"/>
    <mergeCell ref="AO624:AQ624"/>
    <mergeCell ref="O703:S703"/>
    <mergeCell ref="U418:Y418"/>
    <mergeCell ref="J774:L774"/>
    <mergeCell ref="AO924:AQ924"/>
    <mergeCell ref="U412:Y412"/>
    <mergeCell ref="AI718:AK718"/>
    <mergeCell ref="AH473:AL473"/>
    <mergeCell ref="AH16:AL16"/>
    <mergeCell ref="AH174:AL174"/>
    <mergeCell ref="U623:Y623"/>
    <mergeCell ref="AI413:AK413"/>
    <mergeCell ref="U110:V110"/>
    <mergeCell ref="U712:Y712"/>
    <mergeCell ref="K1022:L1022"/>
    <mergeCell ref="AH474:AL474"/>
    <mergeCell ref="AI713:AK713"/>
    <mergeCell ref="AB281:AF281"/>
    <mergeCell ref="AC520:AE520"/>
    <mergeCell ref="O850:S850"/>
    <mergeCell ref="J502:L502"/>
    <mergeCell ref="AO608:AQ608"/>
    <mergeCell ref="U229:U230"/>
    <mergeCell ref="AI141:AK141"/>
    <mergeCell ref="O112:P112"/>
    <mergeCell ref="U463:X463"/>
    <mergeCell ref="J503:L503"/>
    <mergeCell ref="AC115:AE115"/>
    <mergeCell ref="AB1038:AR1038"/>
    <mergeCell ref="R269:S269"/>
    <mergeCell ref="AN1241:AN1242"/>
    <mergeCell ref="AN1024:AO1024"/>
    <mergeCell ref="AC9:AR10"/>
    <mergeCell ref="AB980:AB983"/>
    <mergeCell ref="AC220:AR221"/>
    <mergeCell ref="AH33:AJ33"/>
    <mergeCell ref="AB118:AB119"/>
    <mergeCell ref="R270:S270"/>
    <mergeCell ref="R481:S481"/>
    <mergeCell ref="AI1243:AL1243"/>
    <mergeCell ref="J821:M821"/>
    <mergeCell ref="J819:L819"/>
    <mergeCell ref="U1125:Y1125"/>
    <mergeCell ref="U291:U294"/>
    <mergeCell ref="AI1126:AK1126"/>
    <mergeCell ref="I1205:M1205"/>
    <mergeCell ref="AE42:AF42"/>
    <mergeCell ref="AC584:AE584"/>
    <mergeCell ref="AN709:AO709"/>
    <mergeCell ref="AK884:AL884"/>
    <mergeCell ref="AH61:AJ61"/>
    <mergeCell ref="O501:S501"/>
    <mergeCell ref="V611:Y612"/>
    <mergeCell ref="O498:P498"/>
    <mergeCell ref="Y435:Y436"/>
    <mergeCell ref="R18:R19"/>
    <mergeCell ref="AC585:AE585"/>
    <mergeCell ref="AF728:AR728"/>
    <mergeCell ref="AN739:AR739"/>
    <mergeCell ref="AB557:AF557"/>
    <mergeCell ref="AI29:AI30"/>
    <mergeCell ref="AC1198:AF1199"/>
    <mergeCell ref="J1172:L1172"/>
    <mergeCell ref="I717:I718"/>
    <mergeCell ref="H9:H10"/>
    <mergeCell ref="AC943:AE943"/>
    <mergeCell ref="R1097:S1097"/>
    <mergeCell ref="I151:M153"/>
    <mergeCell ref="AN284:AR286"/>
    <mergeCell ref="AC938:AE938"/>
    <mergeCell ref="AN495:AR497"/>
    <mergeCell ref="O1117:Q1117"/>
    <mergeCell ref="J160:L160"/>
    <mergeCell ref="O1191:O1194"/>
    <mergeCell ref="O1167:P1167"/>
    <mergeCell ref="AB1178:AF1179"/>
    <mergeCell ref="U778:Y779"/>
    <mergeCell ref="AP710:AR710"/>
    <mergeCell ref="AH1099:AJ1099"/>
    <mergeCell ref="P81:R81"/>
    <mergeCell ref="AB1173:AB1174"/>
    <mergeCell ref="AC87:AF88"/>
    <mergeCell ref="V549:X549"/>
    <mergeCell ref="I1244:I1245"/>
    <mergeCell ref="K1210:M1210"/>
    <mergeCell ref="AH60:AJ60"/>
    <mergeCell ref="H853:H854"/>
    <mergeCell ref="I827:Y827"/>
    <mergeCell ref="AC982:AE982"/>
    <mergeCell ref="P397:R397"/>
    <mergeCell ref="V717:X717"/>
    <mergeCell ref="U21:Y21"/>
    <mergeCell ref="AA11:AA217"/>
    <mergeCell ref="O400:O401"/>
    <mergeCell ref="AH1111:AJ1111"/>
    <mergeCell ref="U79:Y79"/>
    <mergeCell ref="AK1118:AL1118"/>
    <mergeCell ref="P539:R539"/>
    <mergeCell ref="W110:X110"/>
    <mergeCell ref="U77:V77"/>
    <mergeCell ref="AI776:AL777"/>
    <mergeCell ref="O300:S301"/>
    <mergeCell ref="AC182:AE182"/>
    <mergeCell ref="R666:S666"/>
    <mergeCell ref="AI1079:AI1080"/>
    <mergeCell ref="P751:R751"/>
    <mergeCell ref="J558:L558"/>
    <mergeCell ref="AO384:AQ384"/>
    <mergeCell ref="O686:Q686"/>
    <mergeCell ref="J1041:L1041"/>
    <mergeCell ref="J586:M586"/>
    <mergeCell ref="I339:M339"/>
    <mergeCell ref="AK235:AK236"/>
    <mergeCell ref="AH283:AL283"/>
    <mergeCell ref="U449:Y452"/>
    <mergeCell ref="U1068:U1069"/>
    <mergeCell ref="O24:O25"/>
    <mergeCell ref="AC349:AE349"/>
    <mergeCell ref="AC981:AE981"/>
    <mergeCell ref="I713:I716"/>
    <mergeCell ref="M407:Y407"/>
    <mergeCell ref="AN805:AR805"/>
    <mergeCell ref="AB12:AF12"/>
    <mergeCell ref="U1181:Y1181"/>
    <mergeCell ref="O978:P978"/>
    <mergeCell ref="U740:Y742"/>
    <mergeCell ref="P1073:P1074"/>
    <mergeCell ref="AI1182:AK1182"/>
    <mergeCell ref="M408:Y408"/>
    <mergeCell ref="Q289:S289"/>
    <mergeCell ref="AH178:AI178"/>
    <mergeCell ref="I383:M383"/>
    <mergeCell ref="AH899:AJ899"/>
    <mergeCell ref="AP744:AR744"/>
    <mergeCell ref="AC704:AE704"/>
    <mergeCell ref="I65:Y65"/>
    <mergeCell ref="J930:M930"/>
    <mergeCell ref="AN814:AR814"/>
    <mergeCell ref="O1267:S1270"/>
    <mergeCell ref="AN972:AR972"/>
    <mergeCell ref="AK476:AL476"/>
    <mergeCell ref="AK687:AL687"/>
    <mergeCell ref="P189:S190"/>
    <mergeCell ref="V229:V230"/>
    <mergeCell ref="AH1079:AH1080"/>
    <mergeCell ref="I76:J76"/>
    <mergeCell ref="AJ240:AJ241"/>
    <mergeCell ref="I253:K253"/>
    <mergeCell ref="AK471:AL471"/>
    <mergeCell ref="M304:Y304"/>
    <mergeCell ref="AK688:AL688"/>
    <mergeCell ref="O347:O350"/>
    <mergeCell ref="AJ235:AJ236"/>
    <mergeCell ref="AH977:AI977"/>
    <mergeCell ref="AC1151:AE1151"/>
    <mergeCell ref="O1233:P1233"/>
    <mergeCell ref="O1176:O1177"/>
    <mergeCell ref="O898:Q898"/>
    <mergeCell ref="K344:M344"/>
    <mergeCell ref="AN551:AR553"/>
    <mergeCell ref="O1234:P1234"/>
    <mergeCell ref="I737:M737"/>
    <mergeCell ref="I984:I985"/>
    <mergeCell ref="I1023:J1023"/>
    <mergeCell ref="U548:Y548"/>
    <mergeCell ref="P137:R137"/>
    <mergeCell ref="AB1134:AF1134"/>
    <mergeCell ref="AJ765:AK765"/>
    <mergeCell ref="V964:Y964"/>
    <mergeCell ref="AF1148:AR1148"/>
    <mergeCell ref="AF729:AR729"/>
    <mergeCell ref="Q556:S556"/>
    <mergeCell ref="V815:X815"/>
    <mergeCell ref="V352:X352"/>
    <mergeCell ref="AP977:AR977"/>
    <mergeCell ref="AI114:AK114"/>
    <mergeCell ref="AN39:AQ39"/>
    <mergeCell ref="AQ18:AR19"/>
    <mergeCell ref="O808:S810"/>
    <mergeCell ref="S1073:S1074"/>
    <mergeCell ref="AO455:AQ455"/>
    <mergeCell ref="O34:Q35"/>
    <mergeCell ref="P606:R606"/>
    <mergeCell ref="P185:R185"/>
    <mergeCell ref="W1234:Y1234"/>
    <mergeCell ref="P1244:S1245"/>
    <mergeCell ref="I1131:J1131"/>
    <mergeCell ref="S1068:S1069"/>
    <mergeCell ref="AH1184:AL1186"/>
    <mergeCell ref="AK40:AL40"/>
    <mergeCell ref="AB181:AF181"/>
    <mergeCell ref="AB958:AB961"/>
    <mergeCell ref="O262:S262"/>
    <mergeCell ref="O509:O510"/>
    <mergeCell ref="O1183:S1183"/>
    <mergeCell ref="P959:R959"/>
    <mergeCell ref="AD812:AF812"/>
    <mergeCell ref="J791:L791"/>
    <mergeCell ref="I857:M858"/>
    <mergeCell ref="AI316:AK316"/>
    <mergeCell ref="P1170:R1170"/>
    <mergeCell ref="AB565:AB566"/>
    <mergeCell ref="U22:Y24"/>
    <mergeCell ref="U1095:X1095"/>
    <mergeCell ref="AN412:AR412"/>
    <mergeCell ref="U601:V601"/>
    <mergeCell ref="AD813:AF813"/>
    <mergeCell ref="J792:L792"/>
    <mergeCell ref="AN110:AO110"/>
    <mergeCell ref="P1017:R1017"/>
    <mergeCell ref="O567:S568"/>
    <mergeCell ref="AH186:AH187"/>
    <mergeCell ref="O315:S315"/>
    <mergeCell ref="I853:I854"/>
    <mergeCell ref="J1003:L1003"/>
    <mergeCell ref="AC105:AE105"/>
    <mergeCell ref="O562:O563"/>
    <mergeCell ref="U813:V813"/>
    <mergeCell ref="O862:O863"/>
    <mergeCell ref="AI1241:AK1241"/>
    <mergeCell ref="I148:M148"/>
    <mergeCell ref="I769:I772"/>
    <mergeCell ref="AC749:AE749"/>
    <mergeCell ref="AH666:AJ666"/>
    <mergeCell ref="AC1176:AF1177"/>
    <mergeCell ref="J1150:L1150"/>
    <mergeCell ref="AD1167:AF1167"/>
    <mergeCell ref="AH965:AH966"/>
    <mergeCell ref="AB469:AC470"/>
    <mergeCell ref="AH824:AL825"/>
    <mergeCell ref="V173:X173"/>
    <mergeCell ref="U954:V954"/>
    <mergeCell ref="O1200:S1201"/>
    <mergeCell ref="W134:Y134"/>
    <mergeCell ref="O670:S670"/>
    <mergeCell ref="O873:O874"/>
    <mergeCell ref="U955:V955"/>
    <mergeCell ref="AC610:AF610"/>
    <mergeCell ref="AC760:AE760"/>
    <mergeCell ref="U1166:V1166"/>
    <mergeCell ref="AN914:AR914"/>
    <mergeCell ref="AH711:AI711"/>
    <mergeCell ref="AH746:AL746"/>
    <mergeCell ref="AI985:AK985"/>
    <mergeCell ref="J1136:L1136"/>
    <mergeCell ref="U175:Y177"/>
    <mergeCell ref="AO121:AR122"/>
    <mergeCell ref="M517:Y517"/>
    <mergeCell ref="AK901:AL901"/>
    <mergeCell ref="AB421:AF421"/>
    <mergeCell ref="AC818:AE818"/>
    <mergeCell ref="AI980:AK980"/>
    <mergeCell ref="I920:J920"/>
    <mergeCell ref="AH272:AJ272"/>
    <mergeCell ref="I492:M492"/>
    <mergeCell ref="J731:L731"/>
    <mergeCell ref="I1097:K1097"/>
    <mergeCell ref="H642:H643"/>
    <mergeCell ref="V396:X396"/>
    <mergeCell ref="I950:M950"/>
    <mergeCell ref="V527:X527"/>
    <mergeCell ref="AK885:AL885"/>
    <mergeCell ref="V537:X537"/>
    <mergeCell ref="AC1171:AE1171"/>
    <mergeCell ref="AF942:AR942"/>
    <mergeCell ref="V538:X538"/>
    <mergeCell ref="AJ391:AL391"/>
    <mergeCell ref="AK1068:AK1069"/>
    <mergeCell ref="U26:Y26"/>
    <mergeCell ref="Q498:R498"/>
    <mergeCell ref="AJ849:AL849"/>
    <mergeCell ref="AN976:AO976"/>
    <mergeCell ref="AB1188:AC1188"/>
    <mergeCell ref="AK29:AK30"/>
    <mergeCell ref="AI327:AK327"/>
    <mergeCell ref="AJ743:AK743"/>
    <mergeCell ref="AB414:AF417"/>
    <mergeCell ref="AN191:AR192"/>
    <mergeCell ref="P398:R398"/>
    <mergeCell ref="AN402:AR403"/>
    <mergeCell ref="AQ224:AQ225"/>
    <mergeCell ref="AD576:AE576"/>
    <mergeCell ref="I258:J259"/>
    <mergeCell ref="AI338:AK338"/>
    <mergeCell ref="J1008:M1008"/>
    <mergeCell ref="I613:M614"/>
    <mergeCell ref="AB762:AF764"/>
    <mergeCell ref="P926:R926"/>
    <mergeCell ref="O928:O929"/>
    <mergeCell ref="AQ17:AR17"/>
    <mergeCell ref="AO559:AQ559"/>
    <mergeCell ref="AN323:AO323"/>
    <mergeCell ref="J1216:L1216"/>
    <mergeCell ref="O676:Q676"/>
    <mergeCell ref="V1243:Y1243"/>
    <mergeCell ref="O13:O14"/>
    <mergeCell ref="I735:Y735"/>
    <mergeCell ref="R264:S264"/>
    <mergeCell ref="AI542:AL542"/>
    <mergeCell ref="AN459:AQ459"/>
    <mergeCell ref="AK907:AL907"/>
    <mergeCell ref="U1081:Y1081"/>
    <mergeCell ref="AC375:AF375"/>
    <mergeCell ref="J595:L595"/>
    <mergeCell ref="AB254:AD255"/>
    <mergeCell ref="O390:P390"/>
    <mergeCell ref="I967:M968"/>
    <mergeCell ref="U1076:Y1076"/>
    <mergeCell ref="U922:V922"/>
    <mergeCell ref="O840:S840"/>
    <mergeCell ref="AF196:AR196"/>
    <mergeCell ref="R906:S906"/>
    <mergeCell ref="AQ861:AR861"/>
    <mergeCell ref="I212:M215"/>
    <mergeCell ref="J1219:M1219"/>
    <mergeCell ref="AN529:AR531"/>
    <mergeCell ref="AI1193:AK1193"/>
    <mergeCell ref="E4:M4"/>
    <mergeCell ref="AK1079:AK1080"/>
    <mergeCell ref="AB629:AF629"/>
    <mergeCell ref="AC1026:AE1026"/>
    <mergeCell ref="W1073:W1074"/>
    <mergeCell ref="I381:Y381"/>
    <mergeCell ref="AB324:AF324"/>
    <mergeCell ref="AC563:AE563"/>
    <mergeCell ref="K891:K892"/>
    <mergeCell ref="AC1237:AE1237"/>
    <mergeCell ref="AL18:AL19"/>
    <mergeCell ref="I1025:M1025"/>
    <mergeCell ref="I845:M848"/>
    <mergeCell ref="AH550:AL550"/>
    <mergeCell ref="AC1194:AE1194"/>
    <mergeCell ref="Q534:S534"/>
    <mergeCell ref="AH850:AL850"/>
    <mergeCell ref="U1047:Y1050"/>
    <mergeCell ref="AJ857:AJ858"/>
    <mergeCell ref="I1024:J1024"/>
    <mergeCell ref="O602:P602"/>
    <mergeCell ref="J719:M719"/>
    <mergeCell ref="AP767:AR767"/>
    <mergeCell ref="AH836:AL839"/>
    <mergeCell ref="AN1189:AO1189"/>
    <mergeCell ref="AJ178:AK178"/>
    <mergeCell ref="I321:J321"/>
    <mergeCell ref="V508:Y508"/>
    <mergeCell ref="Q554:R554"/>
    <mergeCell ref="O1096:Q1096"/>
    <mergeCell ref="I1054:M1054"/>
    <mergeCell ref="AC165:AF166"/>
    <mergeCell ref="U545:Y546"/>
    <mergeCell ref="J139:L139"/>
    <mergeCell ref="V347:X347"/>
    <mergeCell ref="AD601:AF601"/>
    <mergeCell ref="AI86:AL86"/>
    <mergeCell ref="O334:S335"/>
    <mergeCell ref="O126:S126"/>
    <mergeCell ref="AJ1079:AJ1080"/>
    <mergeCell ref="V1073:V1074"/>
    <mergeCell ref="AO456:AQ456"/>
    <mergeCell ref="K1189:M1189"/>
    <mergeCell ref="AH39:AJ39"/>
    <mergeCell ref="AK18:AK19"/>
    <mergeCell ref="AB1052:AF1052"/>
    <mergeCell ref="O84:O85"/>
    <mergeCell ref="AB129:AF131"/>
    <mergeCell ref="P507:R507"/>
    <mergeCell ref="AJ555:AL555"/>
    <mergeCell ref="P71:R71"/>
    <mergeCell ref="P202:R202"/>
    <mergeCell ref="AO772:AQ772"/>
    <mergeCell ref="AI857:AI858"/>
    <mergeCell ref="I747:I750"/>
    <mergeCell ref="O989:S990"/>
    <mergeCell ref="AN70:AR70"/>
    <mergeCell ref="AK1097:AL1097"/>
    <mergeCell ref="R260:S260"/>
    <mergeCell ref="AH208:AL208"/>
    <mergeCell ref="AO773:AQ773"/>
    <mergeCell ref="AN528:AR528"/>
    <mergeCell ref="AI605:AK605"/>
    <mergeCell ref="AO984:AQ984"/>
    <mergeCell ref="AI816:AK816"/>
    <mergeCell ref="AN253:AQ253"/>
    <mergeCell ref="AC580:AE580"/>
    <mergeCell ref="J351:L351"/>
    <mergeCell ref="O1195:O1196"/>
    <mergeCell ref="AN884:AQ884"/>
    <mergeCell ref="O114:O117"/>
    <mergeCell ref="AO668:AQ668"/>
    <mergeCell ref="I412:M412"/>
    <mergeCell ref="I623:M623"/>
    <mergeCell ref="U957:Y957"/>
    <mergeCell ref="I110:J110"/>
    <mergeCell ref="AO1126:AQ1126"/>
    <mergeCell ref="AI958:AK958"/>
    <mergeCell ref="U1263:Y1263"/>
    <mergeCell ref="AC308:AE308"/>
    <mergeCell ref="W132:X132"/>
    <mergeCell ref="O632:S632"/>
    <mergeCell ref="AB951:AF953"/>
    <mergeCell ref="AC608:AE608"/>
    <mergeCell ref="R673:S673"/>
    <mergeCell ref="O288:P288"/>
    <mergeCell ref="AC960:AE960"/>
    <mergeCell ref="O499:P499"/>
    <mergeCell ref="AB50:AC50"/>
    <mergeCell ref="AF99:AR99"/>
    <mergeCell ref="AB1246:AF1247"/>
    <mergeCell ref="J1031:L1031"/>
    <mergeCell ref="AN743:AO743"/>
    <mergeCell ref="AH819:AH820"/>
    <mergeCell ref="W766:Y766"/>
    <mergeCell ref="O1106:S1106"/>
    <mergeCell ref="U808:Y810"/>
    <mergeCell ref="O776:O777"/>
    <mergeCell ref="AH107:AL109"/>
    <mergeCell ref="I781:M781"/>
    <mergeCell ref="O1107:S1107"/>
    <mergeCell ref="AB1168:AF1168"/>
    <mergeCell ref="AH273:AJ273"/>
    <mergeCell ref="AP533:AR533"/>
    <mergeCell ref="AB705:AF705"/>
    <mergeCell ref="I1125:M1125"/>
    <mergeCell ref="AN1256:AR1256"/>
    <mergeCell ref="AK455:AL455"/>
    <mergeCell ref="AC372:AE372"/>
    <mergeCell ref="AB1166:AC1166"/>
    <mergeCell ref="M828:Y828"/>
    <mergeCell ref="J611:M612"/>
    <mergeCell ref="V718:X718"/>
    <mergeCell ref="AC830:AE830"/>
    <mergeCell ref="AN1073:AN1074"/>
    <mergeCell ref="V413:X413"/>
    <mergeCell ref="M829:Y829"/>
    <mergeCell ref="K112:M112"/>
    <mergeCell ref="I534:J534"/>
    <mergeCell ref="I1161:M1161"/>
    <mergeCell ref="V713:X713"/>
    <mergeCell ref="O877:Q877"/>
    <mergeCell ref="I962:I963"/>
    <mergeCell ref="AN1068:AN1069"/>
    <mergeCell ref="AK1113:AL1113"/>
    <mergeCell ref="AJ1024:AL1024"/>
    <mergeCell ref="V141:X141"/>
    <mergeCell ref="AI202:AK202"/>
    <mergeCell ref="P115:R115"/>
    <mergeCell ref="AK1114:AL1114"/>
    <mergeCell ref="AK1108:AL1108"/>
    <mergeCell ref="Q638:S638"/>
    <mergeCell ref="V397:X397"/>
    <mergeCell ref="AI502:AK502"/>
    <mergeCell ref="AB1033:AB1034"/>
    <mergeCell ref="AB284:AF286"/>
    <mergeCell ref="O980:O983"/>
    <mergeCell ref="AD999:AF999"/>
    <mergeCell ref="P116:R116"/>
    <mergeCell ref="K920:L920"/>
    <mergeCell ref="O118:O119"/>
    <mergeCell ref="AJ289:AL289"/>
    <mergeCell ref="U252:X252"/>
    <mergeCell ref="V1032:Y1032"/>
    <mergeCell ref="AB616:AR616"/>
    <mergeCell ref="AB811:AC811"/>
    <mergeCell ref="I1190:M1190"/>
    <mergeCell ref="J406:L406"/>
    <mergeCell ref="I1187:J1187"/>
    <mergeCell ref="AO506:AQ506"/>
    <mergeCell ref="X651:Y652"/>
    <mergeCell ref="K367:M367"/>
    <mergeCell ref="AD1165:AE1165"/>
    <mergeCell ref="L469:M470"/>
    <mergeCell ref="AD710:AF710"/>
    <mergeCell ref="V1240:X1240"/>
    <mergeCell ref="AH189:AH190"/>
    <mergeCell ref="P868:P869"/>
    <mergeCell ref="AO1137:AQ1137"/>
    <mergeCell ref="P715:R715"/>
    <mergeCell ref="J117:L117"/>
    <mergeCell ref="AK857:AK858"/>
    <mergeCell ref="AF1155:AR1155"/>
    <mergeCell ref="AN678:AR682"/>
    <mergeCell ref="U1128:Y1130"/>
    <mergeCell ref="AH347:AH350"/>
    <mergeCell ref="J85:L85"/>
    <mergeCell ref="AD133:AF133"/>
    <mergeCell ref="I698:Y698"/>
    <mergeCell ref="V505:X505"/>
    <mergeCell ref="AN498:AO498"/>
    <mergeCell ref="J717:L717"/>
    <mergeCell ref="AB995:AF997"/>
    <mergeCell ref="M98:Y98"/>
    <mergeCell ref="P188:S188"/>
    <mergeCell ref="U255:Y255"/>
    <mergeCell ref="AN1091:AQ1091"/>
    <mergeCell ref="I79:M79"/>
    <mergeCell ref="AN337:AR337"/>
    <mergeCell ref="AB1237:AB1240"/>
    <mergeCell ref="J642:Y643"/>
    <mergeCell ref="AN548:AR548"/>
    <mergeCell ref="J853:Y854"/>
    <mergeCell ref="AH317:AL317"/>
    <mergeCell ref="AB706:AF708"/>
    <mergeCell ref="AN1092:AQ1092"/>
    <mergeCell ref="J770:L770"/>
    <mergeCell ref="AI714:AK714"/>
    <mergeCell ref="I77:J77"/>
    <mergeCell ref="AK466:AL466"/>
    <mergeCell ref="J771:L771"/>
    <mergeCell ref="AC541:AE541"/>
    <mergeCell ref="AC84:AE84"/>
    <mergeCell ref="O383:S383"/>
    <mergeCell ref="AC384:AE384"/>
    <mergeCell ref="J1217:L1217"/>
    <mergeCell ref="AK63:AL63"/>
    <mergeCell ref="AF197:AR197"/>
    <mergeCell ref="I216:M216"/>
    <mergeCell ref="U558:U561"/>
    <mergeCell ref="R265:S265"/>
    <mergeCell ref="AB172:AF172"/>
    <mergeCell ref="AI606:AK606"/>
    <mergeCell ref="R897:S897"/>
    <mergeCell ref="O768:S768"/>
    <mergeCell ref="P982:R982"/>
    <mergeCell ref="AH1244:AH1245"/>
    <mergeCell ref="AC738:AE738"/>
    <mergeCell ref="U1233:V1233"/>
    <mergeCell ref="AO18:AO19"/>
    <mergeCell ref="O766:P766"/>
    <mergeCell ref="I113:M113"/>
    <mergeCell ref="F17:F18"/>
    <mergeCell ref="J1140:L1140"/>
    <mergeCell ref="AC143:AF144"/>
    <mergeCell ref="AB154:AC154"/>
    <mergeCell ref="U917:Y919"/>
    <mergeCell ref="K78:M78"/>
    <mergeCell ref="V294:X294"/>
    <mergeCell ref="AH251:AJ251"/>
    <mergeCell ref="V776:Y777"/>
    <mergeCell ref="AB1271:AF1271"/>
    <mergeCell ref="P295:R295"/>
    <mergeCell ref="AE1101:AF1101"/>
    <mergeCell ref="AB972:AF972"/>
    <mergeCell ref="AP765:AQ765"/>
    <mergeCell ref="AB642:AB643"/>
    <mergeCell ref="Q646:Q647"/>
    <mergeCell ref="AH351:AH352"/>
    <mergeCell ref="AO539:AQ539"/>
    <mergeCell ref="AB1272:AF1272"/>
    <mergeCell ref="P296:R296"/>
    <mergeCell ref="AN300:AR301"/>
    <mergeCell ref="AH651:AH652"/>
    <mergeCell ref="I1229:M1229"/>
    <mergeCell ref="AO542:AR542"/>
    <mergeCell ref="AC939:AE939"/>
    <mergeCell ref="AO753:AR753"/>
    <mergeCell ref="AC1239:AE1239"/>
    <mergeCell ref="AB1258:AF1261"/>
    <mergeCell ref="I621:Y621"/>
    <mergeCell ref="I180:J180"/>
    <mergeCell ref="AO173:AQ173"/>
    <mergeCell ref="AH339:AL339"/>
    <mergeCell ref="P349:R349"/>
    <mergeCell ref="S29:S30"/>
    <mergeCell ref="K1187:L1187"/>
    <mergeCell ref="AJ1133:AL1133"/>
    <mergeCell ref="AK13:AK14"/>
    <mergeCell ref="AF305:AR305"/>
  </mergeCells>
  <dataValidations count="192">
    <dataValidation sqref="D17" showDropDown="0" showInputMessage="0" showErrorMessage="0" allowBlank="1" type="list" errorStyle="stop">
      <formula1>DADOS_INVOC!$CY$2:$CY$3</formula1>
    </dataValidation>
    <dataValidation sqref="I43 I254 I465 I676 I887 I1098 AB43 AB254 AB465 AB676 AB887 AB1098" showDropDown="0" showInputMessage="0" showErrorMessage="0" allowBlank="1" type="list" errorStyle="stop">
      <formula1>'DADOS_ENTIDADES'!$M$2:$M$16</formula1>
    </dataValidation>
    <dataValidation sqref="L43 L254 L465 L676 L887 L1098 AE43 AE254 AE465 AE676 AE887 AE1098" showDropDown="0" showInputMessage="0" showErrorMessage="0" allowBlank="1" type="list" errorStyle="stop">
      <formula1>'DADOS_PROGRESSAO'!$AJ$2:$AJ$22</formula1>
    </dataValidation>
    <dataValidation sqref="I47 I258 I469 I680 I891 I1102 AB47 AB258 AB469 AB680 AB891 AB1102" showDropDown="0" showInputMessage="0" showErrorMessage="0" allowBlank="1" type="list" errorStyle="stop">
      <formula1>DADOS_INVOC!$BP$2:$BP$5</formula1>
    </dataValidation>
    <dataValidation sqref="L47 L258 L469 L680 L891 L1102 AE47 AE258 AE469 AE680 AE891 AE1102" showDropDown="0" showInputMessage="0" showErrorMessage="0" allowBlank="1" type="list" errorStyle="stop">
      <formula1>DADOS_INVOC!$CF$2:$CF$3</formula1>
    </dataValidation>
    <dataValidation sqref="O20:S20 O231:S231 O442:S442 O653:S653 O864:S864 O1075:S1075 AH20:AL20 AH231:AL231 AH442:AL442 AH653:AL653 AH864:AL864 AH1075:AL1075" showDropDown="0" showInputMessage="0" showErrorMessage="0" allowBlank="1" type="list" errorStyle="stop">
      <formula1>DADOS_INVOC!$CN$2:$CN$8</formula1>
    </dataValidation>
    <dataValidation sqref="S29 S240 S451 S662 S873 S1084 AL29 AL240 AL451 AL662 AL873 AL1084" showDropDown="0" showInputMessage="0" showErrorMessage="0" allowBlank="1" type="list" errorStyle="stop">
      <formula1>DADOS_INVOC!$BW$2:$BW$5</formula1>
    </dataValidation>
    <dataValidation sqref="O34 O245 O456 O667 O878 O1089 AH34 AH245 AH456 AH667 AH878 AH1089" showDropDown="0" showInputMessage="0" showErrorMessage="0" allowBlank="1" type="list" errorStyle="stop">
      <formula1>DADOS_INVOC!$BU$2:$BU$6</formula1>
    </dataValidation>
    <dataValidation sqref="R34 R245 R456 R667 R878 R1089 AK34 AK245 AK456 AK667 AK878 AK1089" showDropDown="0" showInputMessage="0" showErrorMessage="0" allowBlank="1" type="list" errorStyle="stop">
      <formula1>DADOS_INVOC!$BY$2:$BY$3</formula1>
    </dataValidation>
    <dataValidation sqref="O38:O44 O249:O255 O460:O466 O671:O677 O882:O888 O1093:O1099 AH38:AH44 AH249:AH255 AH460:AH466 AH671:AH677 AH882:AH888 AH1093:AH1099" showDropDown="0" showInputMessage="0" showErrorMessage="0" allowBlank="1" type="list" errorStyle="stop">
      <formula1>'DADOS_PROGRESSAO'!$AG$2:$AG$34</formula1>
    </dataValidation>
    <dataValidation sqref="O48:S48 O259:S259 O470:S470 O681:S681 O892:S892 O1103:S1103 AH48:AL48 AH259:AL259 AH470:AL470 AH681:AL681 AH892:AL892 AH1103:AL1103" showDropDown="0" showInputMessage="0" showErrorMessage="0" allowBlank="1" type="list" errorStyle="stop">
      <formula1>'DADOS_CRIACAO'!$H$2:$H$20</formula1>
    </dataValidation>
    <dataValidation sqref="U18 U229 U440 U651 U862 U1073 AN18 AN229 AN440 AN651 AN862 AN1073" showDropDown="0" showInputMessage="0" showErrorMessage="0" allowBlank="1" type="list" errorStyle="stop">
      <formula1>DADOS_INVOC!$CA$2:$CA$3</formula1>
    </dataValidation>
    <dataValidation sqref="I76 I110" showDropDown="0" showInputMessage="0" showErrorMessage="0" allowBlank="1" type="list" errorStyle="stop">
      <formula1>'DADOS_FORMAS'!$II$2:$II$21</formula1>
    </dataValidation>
    <dataValidation sqref="I77 I111 I133 I155 I179 I288 I322 I344 I366 I390 I499 I533 I555 I577 I601 I710 I744 I766 I788 I812 I921 I955 I977 I999 I1023 I1132 I1166 I1188 I1210 I1234 O77 O111 O133 O179 O288 O322 O344 O390 O499 O533 O555 O601 O710 O744 O766 O812 O921 O955 O977 O1023 O1132 O1166 O1188 O1234 U77 U111 U133 U179 U288 U322 U344 U390 U499 U533 U555 U601 U710 U744 U766 U812 U921 U955 U977 U1023 U1132 U1166 U1188 U1234 AB77 AB111 AB133 AB155 AB179 AB288 AB322 AB344 AB366 AB390 AB499 AB533 AB555 AB577 AB601 AB710 AB744 AB766 AB788 AB812 AB921 AB955 AB977 AB999 AB1023 AB1132 AB1166 AB1188 AB1210 AB1234 AH77 AH111 AH133 AH179 AH288 AH322 AH344 AH390 AH499 AH533 AH555 AH601 AH710 AH744 AH766 AH812 AH921 AH955 AH977 AH1023 AH1132 AH1166 AH1188 AH1234 AN77 AN111 AN133 AN179 AN288 AN322 AN344 AN390 AN499 AN533 AN555 AN601 AN710 AN744 AN766 AN812 AN921 AN955 AN977 AN1023 AN1132 AN1166 AN1188 AN1234" showDropDown="0" showInputMessage="0" showErrorMessage="0" allowBlank="1" type="list" errorStyle="stop">
      <formula1>'DADOS_DANOS'!$J$2:$J$26</formula1>
    </dataValidation>
    <dataValidation sqref="K77 K111 K133 K155 K179 K288 K322 K344 K366 K390 K499 K533 K555 K577 K601 K710 K744 K766 K788 K812 K921 K955 K977 K999 K1023 K1132 K1166 K1188 K1210 K1234 Q77 Q111 Q133 Q179 Q288 Q322 Q344 Q390 Q499 Q533 Q555 Q601 Q710 Q744 Q766 Q812 Q921 Q955 Q977 Q1023 Q1132 Q1166 Q1188 Q1234 W77 W111 W133 W179 W288 W322 W344 W390 W499 W533 W555 W601 W710 W744 W766 W812 W921 W955 W977 W1023 W1132 W1166 W1188 W1234 AD77 AD111 AD133 AD155 AD179 AD288 AD322 AD344 AD366 AD390 AD499 AD533 AD555 AD577 AD601 AD710 AD744 AD766 AD788 AD812 AD921 AD955 AD977 AD999 AD1023 AD1132 AD1166 AD1188 AD1210 AD1234 AJ77 AJ111 AJ133 AJ179 AJ288 AJ322 AJ344 AJ390 AJ499 AJ533 AJ555 AJ601 AJ710 AJ744 AJ766 AJ812 AJ921 AJ955 AJ977 AJ1023 AJ1132 AJ1166 AJ1188 AJ1234 AP77 AP111 AP133 AP179 AP288 AP322 AP344 AP390 AP499 AP533 AP555 AP601 AP710 AP744 AP766 AP812 AP921 AP955 AP977 AP1023 AP1132 AP1166 AP1188 AP1234" showDropDown="0" showInputMessage="0" showErrorMessage="0" allowBlank="1" type="list" errorStyle="stop">
      <formula1>DADOS_INVOC!$CL$2:$CL$6</formula1>
    </dataValidation>
    <dataValidation sqref="J80:J83 J114:J117" showDropDown="0" showInputMessage="0" showErrorMessage="0" allowBlank="1" type="list" errorStyle="stop">
      <formula1>'DADOS_MELHORIAS'!$AO$2:$AO$113</formula1>
    </dataValidation>
    <dataValidation sqref="J84:J85 J118:J119 J295:J296 J329:J330 J506:J507 J540:J541 J717:J718 J751:J752 J928:J929 J962:J963 J1139:J1140 J1173:J1174 AC84:AC85 AC118:AC119 AC295:AC296 AC329:AC330 AC506:AC507 AC540:AC541 AC717:AC718 AC751:AC752 AC928:AC929 AC962:AC963 AC1139:AC1140 AC1173:AC1174" showDropDown="0" showInputMessage="0" showErrorMessage="0" allowBlank="1" type="list" errorStyle="stop">
      <formula1>'DADOS_RESTRICOES'!$Q$2:$Q$54</formula1>
    </dataValidation>
    <dataValidation sqref="I127 I149 I338 I360 I549 I571 I760 I782 I971 I993 I1182 I1204 O71 O105 O127 O282 O316 O338 O493 O527 O549 O704 O738 O760 O915 O949 O971 O1126 O1160 O1182 U71 U105 U127 U282 U316 U338 U493 U527 U549 U704 U738 U760 U915 U949 U971 U1126 U1160 U1182 AB127 AB149 AB338 AB360 AB549 AB571 AB760 AB782 AB971 AB993 AB1182 AB1204 AH71 AH105 AH127 AH282 AH316 AH338 AH493 AH527 AH549 AH704 AH738 AH760 AH915 AH949 AH971 AH1126 AH1160 AH1182 AN71 AN105 AN127 AN282 AN316 AN338 AN493 AN527 AN549 AN704 AN738 AN760 AN915 AN949 AN971 AN1126 AN1160 AN1182" showDropDown="0" showInputMessage="0" showErrorMessage="0" allowBlank="1" type="list" errorStyle="stop">
      <formula1>DADOS_INVOC!$H$2:$H$8</formula1>
    </dataValidation>
    <dataValidation sqref="I132 I154 I178 O76 O110 O132 O178 U76 U110 U132 U178" showDropDown="0" showInputMessage="0" showErrorMessage="0" allowBlank="1" type="list" errorStyle="stop">
      <formula1>'DADOS_FORMAS'!$IH$2:$IH$21</formula1>
    </dataValidation>
    <dataValidation sqref="J136:J139 J158:J161 J182:J185 P80:P83 P114:P117 P136:P139 P182:P185 V80:V83 V114:V117 V136:V139 V182:V185" showDropDown="0" showInputMessage="0" showErrorMessage="0" allowBlank="1" type="list" errorStyle="stop">
      <formula1>'DADOS_MELHORIAS'!$AN$2:$AN$113</formula1>
    </dataValidation>
    <dataValidation sqref="J140:J141 J162:J163 J186:J187 J351:J352 J373:J374 J397:J398 J562:J563 J584:J585 J608:J609 J773:J774 J795:J796 J819:J820 J984:J985 J1006:J1007 J1030:J1031 J1195:J1196 J1217:J1218 J1241:J1242 P84:P85 P118:P119 P140:P141 P186:P187 P295:P296 P329:P330 P351:P352 P397:P398 P506:P507 P540:P541 P562:P563 P608:P609 P717:P718 P751:P752 P773:P774 P819:P820 P928:P929 P962:P963 P984:P985 P1030:P1031 P1139:P1140 P1173:P1174 P1195:P1196 P1241:P1242 V84:V85 V118:V119 V140:V141 V186:V187 V295:V296 V329:V330 V351:V352 V397:V398 V506:V507 V540:V541 V562:V563 V608:V609 V717:V718 V751:V752 V773:V774 V819:V820 V928:V929 V962:V963 V984:V985 V1030:V1031 V1139:V1140 V1173:V1174 V1195:V1196 V1241:V1242 AC140:AC141 AC162:AC163 AC186:AC187 AC351:AC352 AC373:AC374 AC397:AC398 AC562:AC563 AC584:AC585 AC608:AC609 AC773:AC774 AC795:AC796 AC819:AC820 AC984:AC985 AC1006:AC1007 AC1030:AC1031 AC1195:AC1196 AC1217:AC1218 AC1241:AC1242 AI84:AI85 AI118:AI119 AI140:AI141 AI186:AI187 AI295:AI296 AI329:AI330 AI351:AI352 AI397:AI398 AI506:AI507 AI540:AI541 AI562:AI563 AI608:AI609 AI717:AI718 AI751:AI752 AI773:AI774 AI819:AI820 AI928:AI929 AI962:AI963 AI984:AI985 AI1030:AI1031 AI1139:AI1140 AI1173:AI1174 AI1195:AI1196 AI1241:AI1242 AO84:AO85 AO118:AO119 AO140:AO141 AO186:AO187 AO295:AO296 AO329:AO330 AO351:AO352 AO397:AO398 AO506:AO507 AO540:AO541 AO562:AO563 AO608:AO609 AO717:AO718 AO751:AO752 AO773:AO774 AO819:AO820 AO928:AO929 AO962:AO963 AO984:AO985 AO1030:AO1031 AO1139:AO1140 AO1173:AO1174 AO1195:AO1196 AO1241:AO1242" showDropDown="0" showInputMessage="0" showErrorMessage="0" allowBlank="1" type="list" errorStyle="stop">
      <formula1>'DADOS_RESTRICOES'!$M$2:$M$54</formula1>
    </dataValidation>
    <dataValidation sqref="I173 I384 I595 I806 I1017 I1228 O173 O384 O595 O806 O1017 O1228 U173 U384 U595 U806 U1017 U1228 AB173 AB384 AB595 AB806 AB1017 AB1228 AH173 AH384 AH595 AH806 AH1017 AH1228 AN173 AN384 AN595 AN806 AN1017 AN1228" showDropDown="0" showInputMessage="0" showErrorMessage="0" allowBlank="1" type="list" errorStyle="stop">
      <formula1>DADOS_INVOC!$R$2:$R$9</formula1>
    </dataValidation>
    <dataValidation sqref="J93:J100 J304:J311 J515:J522 J726:J733 J937:J944 J1148:J1155 AC93:AC100 AC304:AC311 AC515:AC522 AC726:AC733 AC937:AC944 AC1148:AC1155" showDropDown="0" showInputMessage="0" showErrorMessage="0" allowBlank="1" type="list" errorStyle="stop">
      <formula1>'DADOS_ENTIDADES'!$AI$2:$AI$35</formula1>
    </dataValidation>
    <dataValidation sqref="J195:J197 J406:J408 J617:J619 J828:J830 J1039:J1041 J1250:J1252 AC195:AC197 AC406:AC408 AC617:AC619 AC828:AC830 AC1039:AC1041 AC1250:AC1252" showDropDown="0" showInputMessage="0" showErrorMessage="0" allowBlank="1" type="list" errorStyle="stop">
      <formula1>'DADOS_ENTIDADES'!$AL$2:$AL$35</formula1>
    </dataValidation>
    <dataValidation sqref="I202 I413 I624 I835 I1046 I1257 O202 O413 O624 O835 O1046 O1257 U202 U413 U624 U835 U1046 U1257 AB202 AB413 AB624 AB835 AB1046 AB1257 AH202 AH413 AH624 AH835 AH1046 AH1257 AN202 AN413 AN624 AN835 AN1046 AN1257" showDropDown="0" showInputMessage="0" showErrorMessage="0" allowBlank="1" type="list" errorStyle="stop">
      <formula1>DADOS_INVOC!$T$2:$T$6</formula1>
    </dataValidation>
    <dataValidation sqref="O216 O427 O638 O849 O1060 O1271 AH216 AH427 AH638 AH849 AH1060 AH1271" showDropDown="0" showInputMessage="0" showErrorMessage="0" allowBlank="1" type="list" errorStyle="stop">
      <formula1>DADOS_INVOC!$CU$2:$CU$4</formula1>
    </dataValidation>
    <dataValidation sqref="I287 I321" showDropDown="0" showInputMessage="0" showErrorMessage="0" allowBlank="1" type="list" errorStyle="stop">
      <formula1>'DADOS_FORMAS'!$IL$2:$IL$21</formula1>
    </dataValidation>
    <dataValidation sqref="J291:J294 J325:J328" showDropDown="0" showInputMessage="0" showErrorMessage="0" allowBlank="1" type="list" errorStyle="stop">
      <formula1>'DADOS_MELHORIAS'!$AQ$2:$AQ$113</formula1>
    </dataValidation>
    <dataValidation sqref="I343 I365 I389 O287 O321 O343 O389 U287 U321 U343 U389" showDropDown="0" showInputMessage="0" showErrorMessage="0" allowBlank="1" type="list" errorStyle="stop">
      <formula1>'DADOS_FORMAS'!$IK$2:$IK$21</formula1>
    </dataValidation>
    <dataValidation sqref="J347:J350 J369:J372 J393:J396 P291:P294 P325:P328 P347:P350 P393:P396 V291:V294 V325:V328 V347:V350 V393:V396" showDropDown="0" showInputMessage="0" showErrorMessage="0" allowBlank="1" type="list" errorStyle="stop">
      <formula1>'DADOS_MELHORIAS'!$AP$2:$AP$113</formula1>
    </dataValidation>
    <dataValidation sqref="I498 I532" showDropDown="0" showInputMessage="0" showErrorMessage="0" allowBlank="1" type="list" errorStyle="stop">
      <formula1>'DADOS_FORMAS'!$IO$2:$IO$21</formula1>
    </dataValidation>
    <dataValidation sqref="J502:J505 J536:J539" showDropDown="0" showInputMessage="0" showErrorMessage="0" allowBlank="1" type="list" errorStyle="stop">
      <formula1>'DADOS_MELHORIAS'!$AS$2:$AS$113</formula1>
    </dataValidation>
    <dataValidation sqref="I554 I576 I600 O498 O532 O554 O600 U498 U532 U554 U600" showDropDown="0" showInputMessage="0" showErrorMessage="0" allowBlank="1" type="list" errorStyle="stop">
      <formula1>'DADOS_FORMAS'!$IN$2:$IN$21</formula1>
    </dataValidation>
    <dataValidation sqref="J558:J561 J580:J583 J604:J607 P502:P505 P536:P539 P558:P561 P604:P607 V502:V505 V536:V539 V558:V561 V604:V607" showDropDown="0" showInputMessage="0" showErrorMessage="0" allowBlank="1" type="list" errorStyle="stop">
      <formula1>'DADOS_MELHORIAS'!$AR$2:$AR$113</formula1>
    </dataValidation>
    <dataValidation sqref="I709 I743" showDropDown="0" showInputMessage="0" showErrorMessage="0" allowBlank="1" type="list" errorStyle="stop">
      <formula1>'DADOS_FORMAS'!$IR$2:$IR$21</formula1>
    </dataValidation>
    <dataValidation sqref="J713:J716 J747:J750" showDropDown="0" showInputMessage="0" showErrorMessage="0" allowBlank="1" type="list" errorStyle="stop">
      <formula1>'DADOS_MELHORIAS'!$AU$2:$AU$113</formula1>
    </dataValidation>
    <dataValidation sqref="I765 I787 I811 O709 O743 O765 O811 U709 U743 U765 U811" showDropDown="0" showInputMessage="0" showErrorMessage="0" allowBlank="1" type="list" errorStyle="stop">
      <formula1>'DADOS_FORMAS'!$IQ$2:$IQ$21</formula1>
    </dataValidation>
    <dataValidation sqref="J769:J772 J791:J794 J815:J818 P713:P716 P747:P750 P769:P772 P815:P818 V713:V716 V747:V750 V769:V772 V815:V818" showDropDown="0" showInputMessage="0" showErrorMessage="0" allowBlank="1" type="list" errorStyle="stop">
      <formula1>'DADOS_MELHORIAS'!$AT$2:$AT$113</formula1>
    </dataValidation>
    <dataValidation sqref="I920 I954" showDropDown="0" showInputMessage="0" showErrorMessage="0" allowBlank="1" type="list" errorStyle="stop">
      <formula1>'DADOS_FORMAS'!$IU$2:$IU$21</formula1>
    </dataValidation>
    <dataValidation sqref="J924:J927 J958:J961" showDropDown="0" showInputMessage="0" showErrorMessage="0" allowBlank="1" type="list" errorStyle="stop">
      <formula1>'DADOS_MELHORIAS'!$AW$2:$AW$113</formula1>
    </dataValidation>
    <dataValidation sqref="I976 I998 I1022 O920 O954 O976 O1022 U920 U954 U976 U1022" showDropDown="0" showInputMessage="0" showErrorMessage="0" allowBlank="1" type="list" errorStyle="stop">
      <formula1>'DADOS_FORMAS'!$IT$2:$IT$21</formula1>
    </dataValidation>
    <dataValidation sqref="J980:J983 J1002:J1005 J1026:J1029 P924:P927 P958:P961 P980:P983 P1026:P1029 V924:V927 V958:V961 V980:V983 V1026:V1029" showDropDown="0" showInputMessage="0" showErrorMessage="0" allowBlank="1" type="list" errorStyle="stop">
      <formula1>'DADOS_MELHORIAS'!$AV$2:$AV$113</formula1>
    </dataValidation>
    <dataValidation sqref="I1131 I1165" showDropDown="0" showInputMessage="0" showErrorMessage="0" allowBlank="1" type="list" errorStyle="stop">
      <formula1>'DADOS_FORMAS'!$IX$2:$IX$21</formula1>
    </dataValidation>
    <dataValidation sqref="J1135:J1138 J1169:J1172" showDropDown="0" showInputMessage="0" showErrorMessage="0" allowBlank="1" type="list" errorStyle="stop">
      <formula1>'DADOS_MELHORIAS'!$AY$2:$AY$113</formula1>
    </dataValidation>
    <dataValidation sqref="I1187 I1209 I1233 O1131 O1165 O1187 O1233 U1131 U1165 U1187 U1233" showDropDown="0" showInputMessage="0" showErrorMessage="0" allowBlank="1" type="list" errorStyle="stop">
      <formula1>'DADOS_FORMAS'!$IW$2:$IW$21</formula1>
    </dataValidation>
    <dataValidation sqref="J1191:J1194 J1213:J1216 J1237:J1240 P1135:P1138 P1169:P1172 P1191:P1194 P1237:P1240 V1135:V1138 V1169:V1172 V1191:V1194 V1237:V1240" showDropDown="0" showInputMessage="0" showErrorMessage="0" allowBlank="1" type="list" errorStyle="stop">
      <formula1>'DADOS_MELHORIAS'!$AX$2:$AX$113</formula1>
    </dataValidation>
    <dataValidation sqref="AB76 AB110" showDropDown="0" showInputMessage="0" showErrorMessage="0" allowBlank="1" type="list" errorStyle="stop">
      <formula1>'DADOS_FORMAS'!$JA$2:$JA$21</formula1>
    </dataValidation>
    <dataValidation sqref="AC80:AC83 AC114:AC117" showDropDown="0" showInputMessage="0" showErrorMessage="0" allowBlank="1" type="list" errorStyle="stop">
      <formula1>'DADOS_MELHORIAS'!$BA$2:$BA$113</formula1>
    </dataValidation>
    <dataValidation sqref="AB132 AB154 AB178 AH76 AH110 AH132 AH178 AN76 AN110 AN132 AN178" showDropDown="0" showInputMessage="0" showErrorMessage="0" allowBlank="1" type="list" errorStyle="stop">
      <formula1>'DADOS_FORMAS'!$IZ$2:$IZ$21</formula1>
    </dataValidation>
    <dataValidation sqref="AC136:AC139 AC158:AC161 AC182:AC185 AI80:AI83 AI114:AI117 AI136:AI139 AI182:AI185 AO80:AO83 AO114:AO117 AO136:AO139 AO182:AO185" showDropDown="0" showInputMessage="0" showErrorMessage="0" allowBlank="1" type="list" errorStyle="stop">
      <formula1>'DADOS_MELHORIAS'!$AZ$2:$AZ$113</formula1>
    </dataValidation>
    <dataValidation sqref="AB287 AB321" showDropDown="0" showInputMessage="0" showErrorMessage="0" allowBlank="1" type="list" errorStyle="stop">
      <formula1>'DADOS_FORMAS'!$JD$2:$JD$21</formula1>
    </dataValidation>
    <dataValidation sqref="AC291:AC294 AC325:AC328" showDropDown="0" showInputMessage="0" showErrorMessage="0" allowBlank="1" type="list" errorStyle="stop">
      <formula1>'DADOS_MELHORIAS'!$BC$2:$BC$113</formula1>
    </dataValidation>
    <dataValidation sqref="AB343 AB365 AB389 AH287 AH321 AH343 AH389 AN287 AN321 AN343 AN389" showDropDown="0" showInputMessage="0" showErrorMessage="0" allowBlank="1" type="list" errorStyle="stop">
      <formula1>'DADOS_FORMAS'!$JC$2:$JC$21</formula1>
    </dataValidation>
    <dataValidation sqref="AC347:AC350 AC369:AC372 AC393:AC396 AI291:AI294 AI325:AI328 AI347:AI350 AI393:AI396 AO291:AO294 AO325:AO328 AO347:AO350 AO393:AO396" showDropDown="0" showInputMessage="0" showErrorMessage="0" allowBlank="1" type="list" errorStyle="stop">
      <formula1>'DADOS_MELHORIAS'!$BB$2:$BB$113</formula1>
    </dataValidation>
    <dataValidation sqref="AB498 AB532" showDropDown="0" showInputMessage="0" showErrorMessage="0" allowBlank="1" type="list" errorStyle="stop">
      <formula1>'DADOS_FORMAS'!$JG$2:$JG$21</formula1>
    </dataValidation>
    <dataValidation sqref="AC502:AC505 AC536:AC539" showDropDown="0" showInputMessage="0" showErrorMessage="0" allowBlank="1" type="list" errorStyle="stop">
      <formula1>'DADOS_MELHORIAS'!$BE$2:$BE$113</formula1>
    </dataValidation>
    <dataValidation sqref="AB554 AB576 AB600 AH498 AH532 AH554 AH600 AN498 AN532 AN554 AN600" showDropDown="0" showInputMessage="0" showErrorMessage="0" allowBlank="1" type="list" errorStyle="stop">
      <formula1>'DADOS_FORMAS'!$JF$2:$JF$21</formula1>
    </dataValidation>
    <dataValidation sqref="AC558:AC561 AC580:AC583 AC604:AC607 AI502:AI505 AI536:AI539 AI558:AI561 AI604:AI607 AO502:AO505 AO536:AO539 AO558:AO561 AO604:AO607" showDropDown="0" showInputMessage="0" showErrorMessage="0" allowBlank="1" type="list" errorStyle="stop">
      <formula1>'DADOS_MELHORIAS'!$BD$2:$BD$113</formula1>
    </dataValidation>
    <dataValidation sqref="AB709 AB743" showDropDown="0" showInputMessage="0" showErrorMessage="0" allowBlank="1" type="list" errorStyle="stop">
      <formula1>'DADOS_FORMAS'!$JJ$2:$JJ$21</formula1>
    </dataValidation>
    <dataValidation sqref="AC713:AC716 AC747:AC750" showDropDown="0" showInputMessage="0" showErrorMessage="0" allowBlank="1" type="list" errorStyle="stop">
      <formula1>'DADOS_MELHORIAS'!$BG$2:$BG$113</formula1>
    </dataValidation>
    <dataValidation sqref="AB765 AB787 AB811 AH709 AH743 AH765 AH811 AN709 AN743 AN765 AN811" showDropDown="0" showInputMessage="0" showErrorMessage="0" allowBlank="1" type="list" errorStyle="stop">
      <formula1>'DADOS_FORMAS'!$JI$2:$JI$21</formula1>
    </dataValidation>
    <dataValidation sqref="AC769:AC772 AC791:AC794 AC815:AC818 AI713:AI716 AI747:AI750 AI769:AI772 AI815:AI818 AO713:AO716 AO747:AO750 AO769:AO772 AO815:AO818" showDropDown="0" showInputMessage="0" showErrorMessage="0" allowBlank="1" type="list" errorStyle="stop">
      <formula1>'DADOS_MELHORIAS'!$BF$2:$BF$113</formula1>
    </dataValidation>
    <dataValidation sqref="AB920 AB954" showDropDown="0" showInputMessage="0" showErrorMessage="0" allowBlank="1" type="list" errorStyle="stop">
      <formula1>'DADOS_FORMAS'!$JM$2:$JM$21</formula1>
    </dataValidation>
    <dataValidation sqref="AC924:AC927 AC958:AC961" showDropDown="0" showInputMessage="0" showErrorMessage="0" allowBlank="1" type="list" errorStyle="stop">
      <formula1>'DADOS_MELHORIAS'!$BI$2:$BI$113</formula1>
    </dataValidation>
    <dataValidation sqref="AB976 AB998 AB1022 AH920 AH954 AH976 AH1022 AN920 AN954 AN976 AN1022" showDropDown="0" showInputMessage="0" showErrorMessage="0" allowBlank="1" type="list" errorStyle="stop">
      <formula1>'DADOS_FORMAS'!$JL$2:$JL$21</formula1>
    </dataValidation>
    <dataValidation sqref="AC980:AC983 AC1002:AC1005 AC1026:AC1029 AI924:AI927 AI958:AI961 AI980:AI983 AI1026:AI1029 AO924:AO927 AO958:AO961 AO980:AO983 AO1026:AO1029" showDropDown="0" showInputMessage="0" showErrorMessage="0" allowBlank="1" type="list" errorStyle="stop">
      <formula1>'DADOS_MELHORIAS'!$BH$2:$BH$113</formula1>
    </dataValidation>
    <dataValidation sqref="AB1131 AB1165" showDropDown="0" showInputMessage="0" showErrorMessage="0" allowBlank="1" type="list" errorStyle="stop">
      <formula1>'DADOS_FORMAS'!$JP$2:$JP$21</formula1>
    </dataValidation>
    <dataValidation sqref="AC1135:AC1138 AC1169:AC1172" showDropDown="0" showInputMessage="0" showErrorMessage="0" allowBlank="1" type="list" errorStyle="stop">
      <formula1>'DADOS_MELHORIAS'!$BK$2:$BK$113</formula1>
    </dataValidation>
    <dataValidation sqref="AB1187 AB1209 AB1233 AH1131 AH1165 AH1187 AH1233 AN1131 AN1165 AN1187 AN1233" showDropDown="0" showInputMessage="0" showErrorMessage="0" allowBlank="1" type="list" errorStyle="stop">
      <formula1>'DADOS_FORMAS'!$JO$2:$JO$21</formula1>
    </dataValidation>
    <dataValidation sqref="AC1191:AC1194 AC1213:AC1216 AC1237:AC1240 AI1135:AI1138 AI1169:AI1172 AI1191:AI1194 AI1237:AI1240 AO1135:AO1138 AO1169:AO1172 AO1191:AO1194 AO1237:AO1240" showDropDown="0" showInputMessage="0" showErrorMessage="0" allowBlank="1" type="list" errorStyle="stop">
      <formula1>'DADOS_MELHORIAS'!$BJ$2:$BJ$113</formula1>
    </dataValidation>
    <dataValidation sqref="O50 O261 O472 O683 O894 O1105 P50 P261 P472 P683 P894 P1105 Q50 Q261 Q472 Q683 Q894 Q1105 R50 R261 R472 R683 R894 R1105 AH50 AH261 AH472 AH683 AH894 AH1105 AI50 AI261 AI472 AI683 AI894 AI1105 AJ50 AJ261 AJ472 AJ683 AJ894 AJ1105 AK50 AK261 AK472 AK683 AK894 AK1105" showDropDown="0" showInputMessage="0" showErrorMessage="0" allowBlank="1" type="list" errorStyle="stop">
      <formula1>'DADOS_CRIACAO'!$H$2:$H$20</formula1>
    </dataValidation>
    <dataValidation sqref="K50 K261 K472 K683 K894 K1105 AD50 AD261 AD472 AD683 AD894 AD1105" showDropDown="0" showInputMessage="0" showErrorMessage="0" allowBlank="1" type="list" errorStyle="stop">
      <formula1>"Autônoma,Não autônoma"</formula1>
    </dataValidation>
    <dataValidation sqref="R54" showDropDown="0" showInputMessage="0" showErrorMessage="1" allowBlank="1" type="list" errorStyle="stop">
      <formula1>"Não escolhida,Livre,Aberta"</formula1>
    </dataValidation>
    <dataValidation sqref="R55" showDropDown="0" showInputMessage="0" showErrorMessage="1" allowBlank="1" type="list" errorStyle="stop">
      <formula1>"Não escolhida,Livre,Aberta"</formula1>
    </dataValidation>
    <dataValidation sqref="R56" showDropDown="0" showInputMessage="0" showErrorMessage="1" allowBlank="1" type="list" errorStyle="stop">
      <formula1>"Não escolhida,Livre,Aberta"</formula1>
    </dataValidation>
    <dataValidation sqref="R57" showDropDown="0" showInputMessage="0" showErrorMessage="1" allowBlank="1" type="list" errorStyle="stop">
      <formula1>"Não escolhida,Livre,Aberta"</formula1>
    </dataValidation>
    <dataValidation sqref="R58" showDropDown="0" showInputMessage="0" showErrorMessage="1" allowBlank="1" type="list" errorStyle="stop">
      <formula1>"Não escolhida,Livre,Aberta"</formula1>
    </dataValidation>
    <dataValidation sqref="R59" showDropDown="0" showInputMessage="0" showErrorMessage="1" allowBlank="1" type="list" errorStyle="stop">
      <formula1>"Não escolhida,Livre,Aberta"</formula1>
    </dataValidation>
    <dataValidation sqref="R60" showDropDown="0" showInputMessage="0" showErrorMessage="1" allowBlank="1" type="list" errorStyle="stop">
      <formula1>"Não escolhida,Livre,Aberta"</formula1>
    </dataValidation>
    <dataValidation sqref="R61" showDropDown="0" showInputMessage="0" showErrorMessage="1" allowBlank="1" type="list" errorStyle="stop">
      <formula1>"Não escolhida,Livre,Aberta"</formula1>
    </dataValidation>
    <dataValidation sqref="R62" showDropDown="0" showInputMessage="0" showErrorMessage="1" allowBlank="1" type="list" errorStyle="stop">
      <formula1>"Não escolhida,Livre,Aberta"</formula1>
    </dataValidation>
    <dataValidation sqref="R63" showDropDown="0" showInputMessage="0" showErrorMessage="1" allowBlank="1" type="list" errorStyle="stop">
      <formula1>"Não escolhida,Livre,Aberta"</formula1>
    </dataValidation>
    <dataValidation sqref="R265" showDropDown="0" showInputMessage="0" showErrorMessage="1" allowBlank="1" type="list" errorStyle="stop">
      <formula1>"Não escolhida,Livre,Aberta"</formula1>
    </dataValidation>
    <dataValidation sqref="R266" showDropDown="0" showInputMessage="0" showErrorMessage="1" allowBlank="1" type="list" errorStyle="stop">
      <formula1>"Não escolhida,Livre,Aberta"</formula1>
    </dataValidation>
    <dataValidation sqref="R267" showDropDown="0" showInputMessage="0" showErrorMessage="1" allowBlank="1" type="list" errorStyle="stop">
      <formula1>"Não escolhida,Livre,Aberta"</formula1>
    </dataValidation>
    <dataValidation sqref="R268" showDropDown="0" showInputMessage="0" showErrorMessage="1" allowBlank="1" type="list" errorStyle="stop">
      <formula1>"Não escolhida,Livre,Aberta"</formula1>
    </dataValidation>
    <dataValidation sqref="R269" showDropDown="0" showInputMessage="0" showErrorMessage="1" allowBlank="1" type="list" errorStyle="stop">
      <formula1>"Não escolhida,Livre,Aberta"</formula1>
    </dataValidation>
    <dataValidation sqref="R270" showDropDown="0" showInputMessage="0" showErrorMessage="1" allowBlank="1" type="list" errorStyle="stop">
      <formula1>"Não escolhida,Livre,Aberta"</formula1>
    </dataValidation>
    <dataValidation sqref="R271" showDropDown="0" showInputMessage="0" showErrorMessage="1" allowBlank="1" type="list" errorStyle="stop">
      <formula1>"Não escolhida,Livre,Aberta"</formula1>
    </dataValidation>
    <dataValidation sqref="R272" showDropDown="0" showInputMessage="0" showErrorMessage="1" allowBlank="1" type="list" errorStyle="stop">
      <formula1>"Não escolhida,Livre,Aberta"</formula1>
    </dataValidation>
    <dataValidation sqref="R273" showDropDown="0" showInputMessage="0" showErrorMessage="1" allowBlank="1" type="list" errorStyle="stop">
      <formula1>"Não escolhida,Livre,Aberta"</formula1>
    </dataValidation>
    <dataValidation sqref="R274" showDropDown="0" showInputMessage="0" showErrorMessage="1" allowBlank="1" type="list" errorStyle="stop">
      <formula1>"Não escolhida,Livre,Aberta"</formula1>
    </dataValidation>
    <dataValidation sqref="R476" showDropDown="0" showInputMessage="0" showErrorMessage="1" allowBlank="1" type="list" errorStyle="stop">
      <formula1>"Não escolhida,Livre,Aberta"</formula1>
    </dataValidation>
    <dataValidation sqref="R477" showDropDown="0" showInputMessage="0" showErrorMessage="1" allowBlank="1" type="list" errorStyle="stop">
      <formula1>"Não escolhida,Livre,Aberta"</formula1>
    </dataValidation>
    <dataValidation sqref="R478" showDropDown="0" showInputMessage="0" showErrorMessage="1" allowBlank="1" type="list" errorStyle="stop">
      <formula1>"Não escolhida,Livre,Aberta"</formula1>
    </dataValidation>
    <dataValidation sqref="R479" showDropDown="0" showInputMessage="0" showErrorMessage="1" allowBlank="1" type="list" errorStyle="stop">
      <formula1>"Não escolhida,Livre,Aberta"</formula1>
    </dataValidation>
    <dataValidation sqref="R480" showDropDown="0" showInputMessage="0" showErrorMessage="1" allowBlank="1" type="list" errorStyle="stop">
      <formula1>"Não escolhida,Livre,Aberta"</formula1>
    </dataValidation>
    <dataValidation sqref="R481" showDropDown="0" showInputMessage="0" showErrorMessage="1" allowBlank="1" type="list" errorStyle="stop">
      <formula1>"Não escolhida,Livre,Aberta"</formula1>
    </dataValidation>
    <dataValidation sqref="R482" showDropDown="0" showInputMessage="0" showErrorMessage="1" allowBlank="1" type="list" errorStyle="stop">
      <formula1>"Não escolhida,Livre,Aberta"</formula1>
    </dataValidation>
    <dataValidation sqref="R483" showDropDown="0" showInputMessage="0" showErrorMessage="1" allowBlank="1" type="list" errorStyle="stop">
      <formula1>"Não escolhida,Livre,Aberta"</formula1>
    </dataValidation>
    <dataValidation sqref="R484" showDropDown="0" showInputMessage="0" showErrorMessage="1" allowBlank="1" type="list" errorStyle="stop">
      <formula1>"Não escolhida,Livre,Aberta"</formula1>
    </dataValidation>
    <dataValidation sqref="R485" showDropDown="0" showInputMessage="0" showErrorMessage="1" allowBlank="1" type="list" errorStyle="stop">
      <formula1>"Não escolhida,Livre,Aberta"</formula1>
    </dataValidation>
    <dataValidation sqref="R687" showDropDown="0" showInputMessage="0" showErrorMessage="1" allowBlank="1" type="list" errorStyle="stop">
      <formula1>"Não escolhida,Livre,Aberta"</formula1>
    </dataValidation>
    <dataValidation sqref="R688" showDropDown="0" showInputMessage="0" showErrorMessage="1" allowBlank="1" type="list" errorStyle="stop">
      <formula1>"Não escolhida,Livre,Aberta"</formula1>
    </dataValidation>
    <dataValidation sqref="R689" showDropDown="0" showInputMessage="0" showErrorMessage="1" allowBlank="1" type="list" errorStyle="stop">
      <formula1>"Não escolhida,Livre,Aberta"</formula1>
    </dataValidation>
    <dataValidation sqref="R690" showDropDown="0" showInputMessage="0" showErrorMessage="1" allowBlank="1" type="list" errorStyle="stop">
      <formula1>"Não escolhida,Livre,Aberta"</formula1>
    </dataValidation>
    <dataValidation sqref="R691" showDropDown="0" showInputMessage="0" showErrorMessage="1" allowBlank="1" type="list" errorStyle="stop">
      <formula1>"Não escolhida,Livre,Aberta"</formula1>
    </dataValidation>
    <dataValidation sqref="R692" showDropDown="0" showInputMessage="0" showErrorMessage="1" allowBlank="1" type="list" errorStyle="stop">
      <formula1>"Não escolhida,Livre,Aberta"</formula1>
    </dataValidation>
    <dataValidation sqref="R693" showDropDown="0" showInputMessage="0" showErrorMessage="1" allowBlank="1" type="list" errorStyle="stop">
      <formula1>"Não escolhida,Livre,Aberta"</formula1>
    </dataValidation>
    <dataValidation sqref="R694" showDropDown="0" showInputMessage="0" showErrorMessage="1" allowBlank="1" type="list" errorStyle="stop">
      <formula1>"Não escolhida,Livre,Aberta"</formula1>
    </dataValidation>
    <dataValidation sqref="R695" showDropDown="0" showInputMessage="0" showErrorMessage="1" allowBlank="1" type="list" errorStyle="stop">
      <formula1>"Não escolhida,Livre,Aberta"</formula1>
    </dataValidation>
    <dataValidation sqref="R696" showDropDown="0" showInputMessage="0" showErrorMessage="1" allowBlank="1" type="list" errorStyle="stop">
      <formula1>"Não escolhida,Livre,Aberta"</formula1>
    </dataValidation>
    <dataValidation sqref="R898" showDropDown="0" showInputMessage="0" showErrorMessage="1" allowBlank="1" type="list" errorStyle="stop">
      <formula1>"Não escolhida,Livre,Aberta"</formula1>
    </dataValidation>
    <dataValidation sqref="R899" showDropDown="0" showInputMessage="0" showErrorMessage="1" allowBlank="1" type="list" errorStyle="stop">
      <formula1>"Não escolhida,Livre,Aberta"</formula1>
    </dataValidation>
    <dataValidation sqref="R900" showDropDown="0" showInputMessage="0" showErrorMessage="1" allowBlank="1" type="list" errorStyle="stop">
      <formula1>"Não escolhida,Livre,Aberta"</formula1>
    </dataValidation>
    <dataValidation sqref="R901" showDropDown="0" showInputMessage="0" showErrorMessage="1" allowBlank="1" type="list" errorStyle="stop">
      <formula1>"Não escolhida,Livre,Aberta"</formula1>
    </dataValidation>
    <dataValidation sqref="R902" showDropDown="0" showInputMessage="0" showErrorMessage="1" allowBlank="1" type="list" errorStyle="stop">
      <formula1>"Não escolhida,Livre,Aberta"</formula1>
    </dataValidation>
    <dataValidation sqref="R903" showDropDown="0" showInputMessage="0" showErrorMessage="1" allowBlank="1" type="list" errorStyle="stop">
      <formula1>"Não escolhida,Livre,Aberta"</formula1>
    </dataValidation>
    <dataValidation sqref="R904" showDropDown="0" showInputMessage="0" showErrorMessage="1" allowBlank="1" type="list" errorStyle="stop">
      <formula1>"Não escolhida,Livre,Aberta"</formula1>
    </dataValidation>
    <dataValidation sqref="R905" showDropDown="0" showInputMessage="0" showErrorMessage="1" allowBlank="1" type="list" errorStyle="stop">
      <formula1>"Não escolhida,Livre,Aberta"</formula1>
    </dataValidation>
    <dataValidation sqref="R906" showDropDown="0" showInputMessage="0" showErrorMessage="1" allowBlank="1" type="list" errorStyle="stop">
      <formula1>"Não escolhida,Livre,Aberta"</formula1>
    </dataValidation>
    <dataValidation sqref="R907" showDropDown="0" showInputMessage="0" showErrorMessage="1" allowBlank="1" type="list" errorStyle="stop">
      <formula1>"Não escolhida,Livre,Aberta"</formula1>
    </dataValidation>
    <dataValidation sqref="R1109" showDropDown="0" showInputMessage="0" showErrorMessage="1" allowBlank="1" type="list" errorStyle="stop">
      <formula1>"Não escolhida,Livre,Aberta"</formula1>
    </dataValidation>
    <dataValidation sqref="R1110" showDropDown="0" showInputMessage="0" showErrorMessage="1" allowBlank="1" type="list" errorStyle="stop">
      <formula1>"Não escolhida,Livre,Aberta"</formula1>
    </dataValidation>
    <dataValidation sqref="R1111" showDropDown="0" showInputMessage="0" showErrorMessage="1" allowBlank="1" type="list" errorStyle="stop">
      <formula1>"Não escolhida,Livre,Aberta"</formula1>
    </dataValidation>
    <dataValidation sqref="R1112" showDropDown="0" showInputMessage="0" showErrorMessage="1" allowBlank="1" type="list" errorStyle="stop">
      <formula1>"Não escolhida,Livre,Aberta"</formula1>
    </dataValidation>
    <dataValidation sqref="R1113" showDropDown="0" showInputMessage="0" showErrorMessage="1" allowBlank="1" type="list" errorStyle="stop">
      <formula1>"Não escolhida,Livre,Aberta"</formula1>
    </dataValidation>
    <dataValidation sqref="R1114" showDropDown="0" showInputMessage="0" showErrorMessage="1" allowBlank="1" type="list" errorStyle="stop">
      <formula1>"Não escolhida,Livre,Aberta"</formula1>
    </dataValidation>
    <dataValidation sqref="R1115" showDropDown="0" showInputMessage="0" showErrorMessage="1" allowBlank="1" type="list" errorStyle="stop">
      <formula1>"Não escolhida,Livre,Aberta"</formula1>
    </dataValidation>
    <dataValidation sqref="R1116" showDropDown="0" showInputMessage="0" showErrorMessage="1" allowBlank="1" type="list" errorStyle="stop">
      <formula1>"Não escolhida,Livre,Aberta"</formula1>
    </dataValidation>
    <dataValidation sqref="R1117" showDropDown="0" showInputMessage="0" showErrorMessage="1" allowBlank="1" type="list" errorStyle="stop">
      <formula1>"Não escolhida,Livre,Aberta"</formula1>
    </dataValidation>
    <dataValidation sqref="R1118" showDropDown="0" showInputMessage="0" showErrorMessage="1" allowBlank="1" type="list" errorStyle="stop">
      <formula1>"Não escolhida,Livre,Aberta"</formula1>
    </dataValidation>
    <dataValidation sqref="AK54" showDropDown="0" showInputMessage="0" showErrorMessage="1" allowBlank="1" type="list" errorStyle="stop">
      <formula1>"Não escolhida,Livre,Aberta"</formula1>
    </dataValidation>
    <dataValidation sqref="AK55" showDropDown="0" showInputMessage="0" showErrorMessage="1" allowBlank="1" type="list" errorStyle="stop">
      <formula1>"Não escolhida,Livre,Aberta"</formula1>
    </dataValidation>
    <dataValidation sqref="AK56" showDropDown="0" showInputMessage="0" showErrorMessage="1" allowBlank="1" type="list" errorStyle="stop">
      <formula1>"Não escolhida,Livre,Aberta"</formula1>
    </dataValidation>
    <dataValidation sqref="AK57" showDropDown="0" showInputMessage="0" showErrorMessage="1" allowBlank="1" type="list" errorStyle="stop">
      <formula1>"Não escolhida,Livre,Aberta"</formula1>
    </dataValidation>
    <dataValidation sqref="AK58" showDropDown="0" showInputMessage="0" showErrorMessage="1" allowBlank="1" type="list" errorStyle="stop">
      <formula1>"Não escolhida,Livre,Aberta"</formula1>
    </dataValidation>
    <dataValidation sqref="AK59" showDropDown="0" showInputMessage="0" showErrorMessage="1" allowBlank="1" type="list" errorStyle="stop">
      <formula1>"Não escolhida,Livre,Aberta"</formula1>
    </dataValidation>
    <dataValidation sqref="AK60" showDropDown="0" showInputMessage="0" showErrorMessage="1" allowBlank="1" type="list" errorStyle="stop">
      <formula1>"Não escolhida,Livre,Aberta"</formula1>
    </dataValidation>
    <dataValidation sqref="AK61" showDropDown="0" showInputMessage="0" showErrorMessage="1" allowBlank="1" type="list" errorStyle="stop">
      <formula1>"Não escolhida,Livre,Aberta"</formula1>
    </dataValidation>
    <dataValidation sqref="AK62" showDropDown="0" showInputMessage="0" showErrorMessage="1" allowBlank="1" type="list" errorStyle="stop">
      <formula1>"Não escolhida,Livre,Aberta"</formula1>
    </dataValidation>
    <dataValidation sqref="AK63" showDropDown="0" showInputMessage="0" showErrorMessage="1" allowBlank="1" type="list" errorStyle="stop">
      <formula1>"Não escolhida,Livre,Aberta"</formula1>
    </dataValidation>
    <dataValidation sqref="AK265" showDropDown="0" showInputMessage="0" showErrorMessage="1" allowBlank="1" type="list" errorStyle="stop">
      <formula1>"Não escolhida,Livre,Aberta"</formula1>
    </dataValidation>
    <dataValidation sqref="AK266" showDropDown="0" showInputMessage="0" showErrorMessage="1" allowBlank="1" type="list" errorStyle="stop">
      <formula1>"Não escolhida,Livre,Aberta"</formula1>
    </dataValidation>
    <dataValidation sqref="AK267" showDropDown="0" showInputMessage="0" showErrorMessage="1" allowBlank="1" type="list" errorStyle="stop">
      <formula1>"Não escolhida,Livre,Aberta"</formula1>
    </dataValidation>
    <dataValidation sqref="AK268" showDropDown="0" showInputMessage="0" showErrorMessage="1" allowBlank="1" type="list" errorStyle="stop">
      <formula1>"Não escolhida,Livre,Aberta"</formula1>
    </dataValidation>
    <dataValidation sqref="AK269" showDropDown="0" showInputMessage="0" showErrorMessage="1" allowBlank="1" type="list" errorStyle="stop">
      <formula1>"Não escolhida,Livre,Aberta"</formula1>
    </dataValidation>
    <dataValidation sqref="AK270" showDropDown="0" showInputMessage="0" showErrorMessage="1" allowBlank="1" type="list" errorStyle="stop">
      <formula1>"Não escolhida,Livre,Aberta"</formula1>
    </dataValidation>
    <dataValidation sqref="AK271" showDropDown="0" showInputMessage="0" showErrorMessage="1" allowBlank="1" type="list" errorStyle="stop">
      <formula1>"Não escolhida,Livre,Aberta"</formula1>
    </dataValidation>
    <dataValidation sqref="AK272" showDropDown="0" showInputMessage="0" showErrorMessage="1" allowBlank="1" type="list" errorStyle="stop">
      <formula1>"Não escolhida,Livre,Aberta"</formula1>
    </dataValidation>
    <dataValidation sqref="AK273" showDropDown="0" showInputMessage="0" showErrorMessage="1" allowBlank="1" type="list" errorStyle="stop">
      <formula1>"Não escolhida,Livre,Aberta"</formula1>
    </dataValidation>
    <dataValidation sqref="AK274" showDropDown="0" showInputMessage="0" showErrorMessage="1" allowBlank="1" type="list" errorStyle="stop">
      <formula1>"Não escolhida,Livre,Aberta"</formula1>
    </dataValidation>
    <dataValidation sqref="AK476" showDropDown="0" showInputMessage="0" showErrorMessage="1" allowBlank="1" type="list" errorStyle="stop">
      <formula1>"Não escolhida,Livre,Aberta"</formula1>
    </dataValidation>
    <dataValidation sqref="AK477" showDropDown="0" showInputMessage="0" showErrorMessage="1" allowBlank="1" type="list" errorStyle="stop">
      <formula1>"Não escolhida,Livre,Aberta"</formula1>
    </dataValidation>
    <dataValidation sqref="AK478" showDropDown="0" showInputMessage="0" showErrorMessage="1" allowBlank="1" type="list" errorStyle="stop">
      <formula1>"Não escolhida,Livre,Aberta"</formula1>
    </dataValidation>
    <dataValidation sqref="AK479" showDropDown="0" showInputMessage="0" showErrorMessage="1" allowBlank="1" type="list" errorStyle="stop">
      <formula1>"Não escolhida,Livre,Aberta"</formula1>
    </dataValidation>
    <dataValidation sqref="AK480" showDropDown="0" showInputMessage="0" showErrorMessage="1" allowBlank="1" type="list" errorStyle="stop">
      <formula1>"Não escolhida,Livre,Aberta"</formula1>
    </dataValidation>
    <dataValidation sqref="AK481" showDropDown="0" showInputMessage="0" showErrorMessage="1" allowBlank="1" type="list" errorStyle="stop">
      <formula1>"Não escolhida,Livre,Aberta"</formula1>
    </dataValidation>
    <dataValidation sqref="AK482" showDropDown="0" showInputMessage="0" showErrorMessage="1" allowBlank="1" type="list" errorStyle="stop">
      <formula1>"Não escolhida,Livre,Aberta"</formula1>
    </dataValidation>
    <dataValidation sqref="AK483" showDropDown="0" showInputMessage="0" showErrorMessage="1" allowBlank="1" type="list" errorStyle="stop">
      <formula1>"Não escolhida,Livre,Aberta"</formula1>
    </dataValidation>
    <dataValidation sqref="AK484" showDropDown="0" showInputMessage="0" showErrorMessage="1" allowBlank="1" type="list" errorStyle="stop">
      <formula1>"Não escolhida,Livre,Aberta"</formula1>
    </dataValidation>
    <dataValidation sqref="AK485" showDropDown="0" showInputMessage="0" showErrorMessage="1" allowBlank="1" type="list" errorStyle="stop">
      <formula1>"Não escolhida,Livre,Aberta"</formula1>
    </dataValidation>
    <dataValidation sqref="AK687" showDropDown="0" showInputMessage="0" showErrorMessage="1" allowBlank="1" type="list" errorStyle="stop">
      <formula1>"Não escolhida,Livre,Aberta"</formula1>
    </dataValidation>
    <dataValidation sqref="AK688" showDropDown="0" showInputMessage="0" showErrorMessage="1" allowBlank="1" type="list" errorStyle="stop">
      <formula1>"Não escolhida,Livre,Aberta"</formula1>
    </dataValidation>
    <dataValidation sqref="AK689" showDropDown="0" showInputMessage="0" showErrorMessage="1" allowBlank="1" type="list" errorStyle="stop">
      <formula1>"Não escolhida,Livre,Aberta"</formula1>
    </dataValidation>
    <dataValidation sqref="AK690" showDropDown="0" showInputMessage="0" showErrorMessage="1" allowBlank="1" type="list" errorStyle="stop">
      <formula1>"Não escolhida,Livre,Aberta"</formula1>
    </dataValidation>
    <dataValidation sqref="AK691" showDropDown="0" showInputMessage="0" showErrorMessage="1" allowBlank="1" type="list" errorStyle="stop">
      <formula1>"Não escolhida,Livre,Aberta"</formula1>
    </dataValidation>
    <dataValidation sqref="AK692" showDropDown="0" showInputMessage="0" showErrorMessage="1" allowBlank="1" type="list" errorStyle="stop">
      <formula1>"Não escolhida,Livre,Aberta"</formula1>
    </dataValidation>
    <dataValidation sqref="AK693" showDropDown="0" showInputMessage="0" showErrorMessage="1" allowBlank="1" type="list" errorStyle="stop">
      <formula1>"Não escolhida,Livre,Aberta"</formula1>
    </dataValidation>
    <dataValidation sqref="AK694" showDropDown="0" showInputMessage="0" showErrorMessage="1" allowBlank="1" type="list" errorStyle="stop">
      <formula1>"Não escolhida,Livre,Aberta"</formula1>
    </dataValidation>
    <dataValidation sqref="AK695" showDropDown="0" showInputMessage="0" showErrorMessage="1" allowBlank="1" type="list" errorStyle="stop">
      <formula1>"Não escolhida,Livre,Aberta"</formula1>
    </dataValidation>
    <dataValidation sqref="AK696" showDropDown="0" showInputMessage="0" showErrorMessage="1" allowBlank="1" type="list" errorStyle="stop">
      <formula1>"Não escolhida,Livre,Aberta"</formula1>
    </dataValidation>
    <dataValidation sqref="AK898" showDropDown="0" showInputMessage="0" showErrorMessage="1" allowBlank="1" type="list" errorStyle="stop">
      <formula1>"Não escolhida,Livre,Aberta"</formula1>
    </dataValidation>
    <dataValidation sqref="AK899" showDropDown="0" showInputMessage="0" showErrorMessage="1" allowBlank="1" type="list" errorStyle="stop">
      <formula1>"Não escolhida,Livre,Aberta"</formula1>
    </dataValidation>
    <dataValidation sqref="AK900" showDropDown="0" showInputMessage="0" showErrorMessage="1" allowBlank="1" type="list" errorStyle="stop">
      <formula1>"Não escolhida,Livre,Aberta"</formula1>
    </dataValidation>
    <dataValidation sqref="AK901" showDropDown="0" showInputMessage="0" showErrorMessage="1" allowBlank="1" type="list" errorStyle="stop">
      <formula1>"Não escolhida,Livre,Aberta"</formula1>
    </dataValidation>
    <dataValidation sqref="AK902" showDropDown="0" showInputMessage="0" showErrorMessage="1" allowBlank="1" type="list" errorStyle="stop">
      <formula1>"Não escolhida,Livre,Aberta"</formula1>
    </dataValidation>
    <dataValidation sqref="AK903" showDropDown="0" showInputMessage="0" showErrorMessage="1" allowBlank="1" type="list" errorStyle="stop">
      <formula1>"Não escolhida,Livre,Aberta"</formula1>
    </dataValidation>
    <dataValidation sqref="AK904" showDropDown="0" showInputMessage="0" showErrorMessage="1" allowBlank="1" type="list" errorStyle="stop">
      <formula1>"Não escolhida,Livre,Aberta"</formula1>
    </dataValidation>
    <dataValidation sqref="AK905" showDropDown="0" showInputMessage="0" showErrorMessage="1" allowBlank="1" type="list" errorStyle="stop">
      <formula1>"Não escolhida,Livre,Aberta"</formula1>
    </dataValidation>
    <dataValidation sqref="AK906" showDropDown="0" showInputMessage="0" showErrorMessage="1" allowBlank="1" type="list" errorStyle="stop">
      <formula1>"Não escolhida,Livre,Aberta"</formula1>
    </dataValidation>
    <dataValidation sqref="AK907" showDropDown="0" showInputMessage="0" showErrorMessage="1" allowBlank="1" type="list" errorStyle="stop">
      <formula1>"Não escolhida,Livre,Aberta"</formula1>
    </dataValidation>
    <dataValidation sqref="AK1109" showDropDown="0" showInputMessage="0" showErrorMessage="1" allowBlank="1" type="list" errorStyle="stop">
      <formula1>"Não escolhida,Livre,Aberta"</formula1>
    </dataValidation>
    <dataValidation sqref="AK1110" showDropDown="0" showInputMessage="0" showErrorMessage="1" allowBlank="1" type="list" errorStyle="stop">
      <formula1>"Não escolhida,Livre,Aberta"</formula1>
    </dataValidation>
    <dataValidation sqref="AK1111" showDropDown="0" showInputMessage="0" showErrorMessage="1" allowBlank="1" type="list" errorStyle="stop">
      <formula1>"Não escolhida,Livre,Aberta"</formula1>
    </dataValidation>
    <dataValidation sqref="AK1112" showDropDown="0" showInputMessage="0" showErrorMessage="1" allowBlank="1" type="list" errorStyle="stop">
      <formula1>"Não escolhida,Livre,Aberta"</formula1>
    </dataValidation>
    <dataValidation sqref="AK1113" showDropDown="0" showInputMessage="0" showErrorMessage="1" allowBlank="1" type="list" errorStyle="stop">
      <formula1>"Não escolhida,Livre,Aberta"</formula1>
    </dataValidation>
    <dataValidation sqref="AK1114" showDropDown="0" showInputMessage="0" showErrorMessage="1" allowBlank="1" type="list" errorStyle="stop">
      <formula1>"Não escolhida,Livre,Aberta"</formula1>
    </dataValidation>
    <dataValidation sqref="AK1115" showDropDown="0" showInputMessage="0" showErrorMessage="1" allowBlank="1" type="list" errorStyle="stop">
      <formula1>"Não escolhida,Livre,Aberta"</formula1>
    </dataValidation>
    <dataValidation sqref="AK1116" showDropDown="0" showInputMessage="0" showErrorMessage="1" allowBlank="1" type="list" errorStyle="stop">
      <formula1>"Não escolhida,Livre,Aberta"</formula1>
    </dataValidation>
    <dataValidation sqref="AK1117" showDropDown="0" showInputMessage="0" showErrorMessage="1" allowBlank="1" type="list" errorStyle="stop">
      <formula1>"Não escolhida,Livre,Aberta"</formula1>
    </dataValidation>
    <dataValidation sqref="AK1118" showDropDown="0" showInputMessage="0" showErrorMessage="1" allowBlank="1" type="list" errorStyle="stop">
      <formula1>"Não escolhida,Livre,Aberta"</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BT110"/>
  <sheetViews>
    <sheetView showGridLines="0" workbookViewId="0">
      <selection activeCell="A1" sqref="A1"/>
    </sheetView>
  </sheetViews>
  <sheetFormatPr baseColWidth="8" defaultRowHeight="15.75" customHeight="1"/>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hidden="1" outlineLevel="1" width="4" customWidth="1" min="48" max="48"/>
    <col hidden="1" outlineLevel="1" width="24.625" customWidth="1" min="49" max="49"/>
    <col hidden="1" outlineLevel="1" width="14.125" customWidth="1" min="50" max="50"/>
    <col hidden="1" outlineLevel="1" width="10.625" customWidth="1" min="51" max="51"/>
    <col hidden="1" outlineLevel="1" width="14.125" customWidth="1" min="52" max="52"/>
    <col hidden="1" outlineLevel="1" width="7.125" customWidth="1" min="53" max="53"/>
    <col hidden="1" outlineLevel="1" width="4" customWidth="1" min="54" max="54"/>
    <col hidden="1" outlineLevel="1" width="24.625" customWidth="1" min="55" max="55"/>
    <col hidden="1" outlineLevel="1" width="14.125" customWidth="1" min="56" max="56"/>
    <col hidden="1" outlineLevel="1" width="10.625" customWidth="1" min="57" max="57"/>
    <col hidden="1" outlineLevel="1" width="14.125" customWidth="1" min="58" max="58"/>
    <col hidden="1" outlineLevel="1" width="7.125" customWidth="1" min="59" max="59"/>
    <col hidden="1" outlineLevel="1" width="4" customWidth="1" min="60" max="60"/>
    <col hidden="1" outlineLevel="2" width="24.625" customWidth="1" min="61" max="61"/>
    <col hidden="1" outlineLevel="2" width="14.125" customWidth="1" min="62" max="62"/>
    <col hidden="1" outlineLevel="2" width="10.625" customWidth="1" min="63" max="63"/>
    <col hidden="1" outlineLevel="2" width="14.125" customWidth="1" min="64" max="64"/>
    <col hidden="1" outlineLevel="2" width="7.125" customWidth="1" min="65" max="65"/>
    <col hidden="1" outlineLevel="2" width="4" customWidth="1" min="66" max="66"/>
    <col hidden="1" outlineLevel="2" width="24.625" customWidth="1" min="67" max="67"/>
    <col hidden="1" outlineLevel="2" width="14.125" customWidth="1" min="68" max="68"/>
    <col hidden="1" outlineLevel="2" width="10.625" customWidth="1" min="69" max="69"/>
    <col hidden="1" outlineLevel="2" width="14.125" customWidth="1" min="70" max="70"/>
    <col hidden="1" outlineLevel="2" width="7.125" customWidth="1" min="71" max="71"/>
    <col hidden="1" outlineLevel="2" width="4" customWidth="1" min="72" max="72"/>
  </cols>
  <sheetData>
    <row r="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c r="AG1" s="8" t="n"/>
      <c r="AH1" s="8" t="n"/>
      <c r="AI1" s="8" t="n"/>
      <c r="AJ1" s="8" t="n"/>
      <c r="AK1" s="8" t="n"/>
      <c r="AL1" s="8" t="n"/>
      <c r="AM1" s="8" t="n"/>
      <c r="AN1" s="8" t="n"/>
      <c r="AO1" s="8" t="n"/>
      <c r="AP1" s="8" t="n"/>
      <c r="AQ1" s="8" t="n"/>
      <c r="AR1" s="8" t="n"/>
      <c r="AS1" s="8" t="n"/>
      <c r="AT1" s="8" t="n"/>
      <c r="AU1" s="8" t="n"/>
      <c r="AV1" s="8" t="n"/>
      <c r="AW1" s="8" t="n"/>
      <c r="AX1" s="8" t="n"/>
      <c r="AY1" s="8" t="n"/>
      <c r="AZ1" s="8" t="n"/>
      <c r="BA1" s="8" t="n"/>
      <c r="BB1" s="8" t="n"/>
      <c r="BC1" s="8" t="n"/>
      <c r="BD1" s="8" t="n"/>
      <c r="BE1" s="8" t="n"/>
      <c r="BF1" s="8" t="n"/>
      <c r="BG1" s="8" t="n"/>
      <c r="BH1" s="8" t="n"/>
      <c r="BI1" s="8" t="n"/>
      <c r="BJ1" s="8" t="n"/>
      <c r="BK1" s="8" t="n"/>
      <c r="BL1" s="8" t="n"/>
      <c r="BM1" s="8" t="n"/>
      <c r="BN1" s="8" t="n"/>
      <c r="BO1" s="8" t="n"/>
      <c r="BP1" s="8" t="n"/>
      <c r="BQ1" s="8" t="n"/>
      <c r="BR1" s="8" t="n"/>
      <c r="BS1" s="8" t="n"/>
      <c r="BT1" s="8" t="n"/>
    </row>
    <row r="2">
      <c r="A2" s="8" t="n"/>
      <c r="B2" s="8" t="n"/>
      <c r="C2" s="8" t="n"/>
      <c r="D2" s="43" t="inlineStr">
        <is>
          <t>呪術</t>
        </is>
      </c>
      <c r="H2" s="44" t="inlineStr">
        <is>
          <t>FICHA PESSOAL</t>
        </is>
      </c>
      <c r="AA2" s="8" t="n"/>
      <c r="AB2" s="45">
        <f>IF(OR(CARTEIRA!$O$9="",CARTEIRA!$O$9="Coloque o nome do personagem aqui"),"",CARTEIRA!$O$9)</f>
        <v/>
      </c>
      <c r="AU2" s="8" t="n"/>
      <c r="AV2" s="8" t="n"/>
      <c r="AW2" s="8" t="n"/>
      <c r="AX2" s="8" t="n"/>
      <c r="AY2" s="8" t="n"/>
      <c r="AZ2" s="8" t="n"/>
      <c r="BA2" s="8" t="n"/>
      <c r="BB2" s="8" t="n"/>
      <c r="BC2" s="8" t="n"/>
      <c r="BD2" s="8" t="n"/>
      <c r="BE2" s="8" t="n"/>
      <c r="BF2" s="8" t="n"/>
      <c r="BG2" s="8" t="n"/>
      <c r="BH2" s="8" t="n"/>
      <c r="BI2" s="8" t="n"/>
      <c r="BJ2" s="8" t="n"/>
      <c r="BK2" s="8" t="n"/>
      <c r="BL2" s="8" t="n"/>
      <c r="BM2" s="8" t="n"/>
      <c r="BN2" s="8" t="n"/>
      <c r="BO2" s="8" t="n"/>
      <c r="BP2" s="8" t="n"/>
      <c r="BQ2" s="8" t="n"/>
      <c r="BR2" s="8" t="n"/>
      <c r="BS2" s="8" t="n"/>
      <c r="BT2" s="8" t="n"/>
    </row>
    <row r="3">
      <c r="A3" s="8" t="n"/>
      <c r="B3" s="8" t="n"/>
      <c r="C3" s="8" t="n"/>
      <c r="AA3" s="8" t="n"/>
      <c r="AU3" s="8" t="n"/>
      <c r="AV3" s="8" t="n"/>
      <c r="AW3" s="8" t="n"/>
      <c r="AX3" s="8" t="n"/>
      <c r="AY3" s="8" t="n"/>
      <c r="AZ3" s="8" t="n"/>
      <c r="BA3" s="8" t="n"/>
      <c r="BB3" s="8" t="n"/>
      <c r="BC3" s="8" t="n"/>
      <c r="BD3" s="8" t="n"/>
      <c r="BE3" s="8" t="n"/>
      <c r="BF3" s="8" t="n"/>
      <c r="BG3" s="8" t="n"/>
      <c r="BH3" s="8" t="n"/>
      <c r="BI3" s="8" t="n"/>
      <c r="BJ3" s="8" t="n"/>
      <c r="BK3" s="8" t="n"/>
      <c r="BL3" s="8" t="n"/>
      <c r="BM3" s="8" t="n"/>
      <c r="BN3" s="8" t="n"/>
      <c r="BO3" s="8" t="n"/>
      <c r="BP3" s="8" t="n"/>
      <c r="BQ3" s="8" t="n"/>
      <c r="BR3" s="8" t="n"/>
      <c r="BS3" s="8" t="n"/>
      <c r="BT3" s="8" t="n"/>
    </row>
    <row r="4">
      <c r="A4" s="8" t="n"/>
      <c r="B4" s="8" t="n"/>
      <c r="C4" s="8" t="n"/>
      <c r="H4" s="46">
        <f>DADOS!$F$1&amp;" · pertences e histórico do portador"</f>
        <v/>
      </c>
      <c r="AA4" s="8" t="n"/>
      <c r="AB4" s="47">
        <f>FICHA!AB4</f>
        <v/>
      </c>
      <c r="AU4" s="8" t="n"/>
      <c r="AV4" s="8" t="n"/>
      <c r="AW4" s="8" t="n"/>
      <c r="AX4" s="8" t="n"/>
      <c r="AY4" s="8" t="n"/>
      <c r="AZ4" s="8" t="n"/>
      <c r="BA4" s="8" t="n"/>
      <c r="BB4" s="8" t="n"/>
      <c r="BC4" s="8" t="n"/>
      <c r="BD4" s="8" t="n"/>
      <c r="BE4" s="8" t="n"/>
      <c r="BF4" s="8" t="n"/>
      <c r="BG4" s="8" t="n"/>
      <c r="BH4" s="8" t="n"/>
      <c r="BI4" s="8" t="n"/>
      <c r="BJ4" s="8" t="n"/>
      <c r="BK4" s="8" t="n"/>
      <c r="BL4" s="8" t="n"/>
      <c r="BM4" s="8" t="n"/>
      <c r="BN4" s="8" t="n"/>
      <c r="BO4" s="8" t="n"/>
      <c r="BP4" s="8" t="n"/>
      <c r="BQ4" s="8" t="n"/>
      <c r="BR4" s="8" t="n"/>
      <c r="BS4" s="8" t="n"/>
      <c r="BT4" s="8" t="n"/>
    </row>
    <row r="5">
      <c r="A5" s="8" t="n"/>
      <c r="B5" s="8" t="n"/>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c r="AH5" s="31" t="n"/>
      <c r="AI5" s="31" t="n"/>
      <c r="AJ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c r="BM5" s="31" t="n"/>
      <c r="BN5" s="31" t="n"/>
      <c r="BO5" s="31" t="n"/>
      <c r="BP5" s="31" t="n"/>
      <c r="BQ5" s="31" t="n"/>
      <c r="BR5" s="31" t="n"/>
      <c r="BS5" s="31" t="n"/>
      <c r="BT5" s="31" t="n"/>
    </row>
    <row r="6">
      <c r="A6" s="8" t="n"/>
      <c r="B6" s="14" t="n"/>
      <c r="C6" s="41" t="n"/>
      <c r="AS6" s="41" t="n"/>
      <c r="AT6" s="41" t="n"/>
      <c r="AU6" s="41" t="n"/>
      <c r="AV6" s="137" t="n"/>
      <c r="AW6" s="137" t="n"/>
      <c r="AX6" s="137" t="n"/>
      <c r="AY6" s="137" t="n"/>
      <c r="AZ6" s="137" t="n"/>
      <c r="BA6" s="137" t="n"/>
      <c r="BB6" s="137" t="n"/>
      <c r="BC6" s="137" t="n"/>
      <c r="BD6" s="137" t="n"/>
      <c r="BE6" s="137" t="n"/>
      <c r="BF6" s="137" t="n"/>
      <c r="BG6" s="137" t="n"/>
      <c r="BH6" s="137" t="n"/>
      <c r="BI6" s="137" t="n"/>
      <c r="BJ6" s="137" t="n"/>
      <c r="BK6" s="137" t="n"/>
      <c r="BL6" s="137" t="n"/>
      <c r="BM6" s="137" t="n"/>
      <c r="BN6" s="137" t="n"/>
      <c r="BO6" s="137" t="n"/>
      <c r="BP6" s="137" t="n"/>
      <c r="BQ6" s="137" t="n"/>
      <c r="BR6" s="137" t="n"/>
      <c r="BS6" s="137" t="n"/>
      <c r="BT6" s="137" t="n"/>
    </row>
    <row r="7">
      <c r="A7" s="8" t="n"/>
      <c r="B7" s="14"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41" t="n"/>
      <c r="AH7" s="41" t="n"/>
      <c r="AI7" s="41" t="n"/>
      <c r="AJ7" s="41" t="n"/>
      <c r="AK7" s="41" t="n"/>
      <c r="AL7" s="41" t="n"/>
      <c r="AM7" s="41" t="n"/>
      <c r="AN7" s="41" t="n"/>
      <c r="AO7" s="41" t="n"/>
      <c r="AP7" s="41" t="n"/>
      <c r="AQ7" s="41" t="n"/>
      <c r="AR7" s="41" t="n"/>
      <c r="AS7" s="41" t="n"/>
      <c r="AT7" s="41" t="n"/>
      <c r="AU7" s="137" t="n"/>
      <c r="AV7" s="137" t="n"/>
      <c r="AW7" s="137" t="n"/>
      <c r="AX7" s="137" t="n"/>
      <c r="AY7" s="137" t="n"/>
      <c r="AZ7" s="137" t="n"/>
      <c r="BA7" s="137" t="n"/>
      <c r="BB7" s="137" t="n"/>
      <c r="BC7" s="137" t="n"/>
      <c r="BD7" s="137" t="n"/>
      <c r="BE7" s="137" t="n"/>
      <c r="BF7" s="137" t="n"/>
      <c r="BG7" s="137" t="n"/>
      <c r="BH7" s="137" t="n"/>
      <c r="BI7" s="137" t="n"/>
      <c r="BJ7" s="137" t="n"/>
      <c r="BK7" s="137" t="n"/>
      <c r="BL7" s="137" t="n"/>
      <c r="BM7" s="137" t="n"/>
      <c r="BN7" s="137" t="n"/>
      <c r="BO7" s="137" t="n"/>
      <c r="BP7" s="137" t="n"/>
      <c r="BQ7" s="137" t="n"/>
      <c r="BR7" s="137" t="n"/>
      <c r="BS7" s="137" t="n"/>
      <c r="BT7" s="137" t="n"/>
    </row>
    <row r="8">
      <c r="A8" s="48" t="inlineStr">
        <is>
          <t>CICLO MALDITO</t>
        </is>
      </c>
      <c r="B8" s="22" t="n"/>
      <c r="C8" s="137" t="n"/>
      <c r="D8" s="55" t="inlineStr">
        <is>
          <t>DOSSIÊ</t>
        </is>
      </c>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20" t="n"/>
      <c r="AU8" s="137" t="n"/>
      <c r="AV8" s="137" t="n"/>
      <c r="AW8" s="55" t="inlineStr">
        <is>
          <t>MISSÕES E XP</t>
        </is>
      </c>
      <c r="AX8" s="19" t="n"/>
      <c r="AY8" s="19" t="n"/>
      <c r="AZ8" s="19" t="n"/>
      <c r="BA8" s="19" t="n"/>
      <c r="BB8" s="19" t="n"/>
      <c r="BC8" s="19" t="n"/>
      <c r="BD8" s="19" t="n"/>
      <c r="BE8" s="19" t="n"/>
      <c r="BF8" s="19" t="n"/>
      <c r="BG8" s="20" t="n"/>
      <c r="BH8" s="137" t="n"/>
      <c r="BI8" s="55" t="inlineStr">
        <is>
          <t>MAIS MISSÕES</t>
        </is>
      </c>
      <c r="BJ8" s="19" t="n"/>
      <c r="BK8" s="19" t="n"/>
      <c r="BL8" s="19" t="n"/>
      <c r="BM8" s="19" t="n"/>
      <c r="BN8" s="19" t="n"/>
      <c r="BO8" s="19" t="n"/>
      <c r="BP8" s="19" t="n"/>
      <c r="BQ8" s="19" t="n"/>
      <c r="BR8" s="19" t="n"/>
      <c r="BS8" s="20" t="n"/>
      <c r="BT8" s="137" t="n"/>
    </row>
    <row r="9">
      <c r="B9" s="22" t="n"/>
      <c r="C9" s="137" t="n"/>
      <c r="D9" s="23" t="n"/>
      <c r="E9" s="24" t="n"/>
      <c r="F9" s="24" t="n"/>
      <c r="G9" s="24" t="n"/>
      <c r="H9" s="24" t="n"/>
      <c r="I9" s="24" t="n"/>
      <c r="J9" s="24" t="n"/>
      <c r="K9" s="24" t="n"/>
      <c r="L9" s="24" t="n"/>
      <c r="M9" s="24" t="n"/>
      <c r="N9" s="24" t="n"/>
      <c r="O9" s="24" t="n"/>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4" t="n"/>
      <c r="AL9" s="24" t="n"/>
      <c r="AM9" s="24" t="n"/>
      <c r="AN9" s="24" t="n"/>
      <c r="AO9" s="24" t="n"/>
      <c r="AP9" s="24" t="n"/>
      <c r="AQ9" s="24" t="n"/>
      <c r="AR9" s="24" t="n"/>
      <c r="AS9" s="24" t="n"/>
      <c r="AT9" s="25" t="n"/>
      <c r="AU9" s="137" t="n"/>
      <c r="AV9" s="137" t="n"/>
      <c r="AW9" s="23" t="n"/>
      <c r="AX9" s="24" t="n"/>
      <c r="AY9" s="24" t="n"/>
      <c r="AZ9" s="24" t="n"/>
      <c r="BA9" s="24" t="n"/>
      <c r="BB9" s="24" t="n"/>
      <c r="BC9" s="24" t="n"/>
      <c r="BD9" s="24" t="n"/>
      <c r="BE9" s="24" t="n"/>
      <c r="BF9" s="24" t="n"/>
      <c r="BG9" s="25" t="n"/>
      <c r="BH9" s="137" t="n"/>
      <c r="BI9" s="23" t="n"/>
      <c r="BJ9" s="24" t="n"/>
      <c r="BK9" s="24" t="n"/>
      <c r="BL9" s="24" t="n"/>
      <c r="BM9" s="24" t="n"/>
      <c r="BN9" s="24" t="n"/>
      <c r="BO9" s="24" t="n"/>
      <c r="BP9" s="24" t="n"/>
      <c r="BQ9" s="24" t="n"/>
      <c r="BR9" s="24" t="n"/>
      <c r="BS9" s="25" t="n"/>
      <c r="BT9" s="137" t="n"/>
    </row>
    <row r="10">
      <c r="B10" s="22" t="n"/>
      <c r="C10" s="137" t="n"/>
      <c r="D10" s="157">
        <f>CARTEIRA!$C$8</f>
        <v/>
      </c>
      <c r="E10" s="19" t="n"/>
      <c r="F10" s="19" t="n"/>
      <c r="G10" s="19" t="n"/>
      <c r="H10" s="19" t="n"/>
      <c r="I10" s="19" t="n"/>
      <c r="J10" s="19" t="n"/>
      <c r="K10" s="19" t="n"/>
      <c r="L10" s="19" t="n"/>
      <c r="M10" s="19" t="n"/>
      <c r="N10" s="19" t="n"/>
      <c r="O10" s="20" t="n"/>
      <c r="P10" s="137" t="n"/>
      <c r="Q10" s="56" t="inlineStr">
        <is>
          <t>NOME</t>
        </is>
      </c>
      <c r="R10" s="16" t="n"/>
      <c r="S10" s="16" t="n"/>
      <c r="T10" s="16" t="n"/>
      <c r="U10" s="16" t="n"/>
      <c r="V10" s="16" t="n"/>
      <c r="W10" s="16" t="n"/>
      <c r="X10" s="16" t="n"/>
      <c r="Y10" s="16" t="n"/>
      <c r="Z10" s="17" t="n"/>
      <c r="AA10" s="137" t="n"/>
      <c r="AB10" s="56" t="inlineStr">
        <is>
          <t>GRAU</t>
        </is>
      </c>
      <c r="AC10" s="16" t="n"/>
      <c r="AD10" s="16" t="n"/>
      <c r="AE10" s="16" t="n"/>
      <c r="AF10" s="16" t="n"/>
      <c r="AG10" s="17" t="n"/>
      <c r="AH10" s="137" t="n"/>
      <c r="AI10" s="56" t="inlineStr">
        <is>
          <t>IDADE</t>
        </is>
      </c>
      <c r="AJ10" s="16" t="n"/>
      <c r="AK10" s="16" t="n"/>
      <c r="AL10" s="16" t="n"/>
      <c r="AM10" s="17" t="n"/>
      <c r="AN10" s="137" t="n"/>
      <c r="AO10" s="56" t="inlineStr">
        <is>
          <t>ALTURA</t>
        </is>
      </c>
      <c r="AP10" s="16" t="n"/>
      <c r="AQ10" s="16" t="n"/>
      <c r="AR10" s="16" t="n"/>
      <c r="AS10" s="16" t="n"/>
      <c r="AT10" s="17" t="n"/>
      <c r="AU10" s="137" t="n"/>
      <c r="AV10" s="137" t="n"/>
      <c r="AW10" s="56" t="inlineStr">
        <is>
          <t>XP TOTAL</t>
        </is>
      </c>
      <c r="AX10" s="16" t="n"/>
      <c r="AY10" s="16" t="n"/>
      <c r="AZ10" s="16" t="n"/>
      <c r="BA10" s="17" t="n"/>
      <c r="BB10" s="137" t="n"/>
      <c r="BC10" s="56">
        <f>IF(DADOS!$CZ$48&gt;=30,"NÍVEL MÁXIMO","FALTA PARA O NÍVEL "&amp;(DADOS!$CZ$48+1))</f>
        <v/>
      </c>
      <c r="BD10" s="16" t="n"/>
      <c r="BE10" s="16" t="n"/>
      <c r="BF10" s="16" t="n"/>
      <c r="BG10" s="17" t="n"/>
      <c r="BH10" s="137" t="n"/>
      <c r="BI10" s="137" t="n"/>
      <c r="BJ10" s="137" t="n"/>
      <c r="BK10" s="137" t="n"/>
      <c r="BL10" s="137" t="n"/>
      <c r="BM10" s="137" t="n"/>
      <c r="BN10" s="137" t="n"/>
      <c r="BO10" s="137" t="n"/>
      <c r="BP10" s="137" t="n"/>
      <c r="BQ10" s="137" t="n"/>
      <c r="BR10" s="137" t="n"/>
      <c r="BS10" s="137" t="n"/>
      <c r="BT10" s="137" t="n"/>
    </row>
    <row r="11">
      <c r="B11" s="22" t="n"/>
      <c r="C11" s="137" t="n"/>
      <c r="D11" s="21" t="n"/>
      <c r="O11" s="22" t="n"/>
      <c r="P11" s="137" t="n"/>
      <c r="Q11" s="87">
        <f>FICHA!AB2</f>
        <v/>
      </c>
      <c r="R11" s="19" t="n"/>
      <c r="S11" s="19" t="n"/>
      <c r="T11" s="19" t="n"/>
      <c r="U11" s="19" t="n"/>
      <c r="V11" s="19" t="n"/>
      <c r="W11" s="19" t="n"/>
      <c r="X11" s="19" t="n"/>
      <c r="Y11" s="19" t="n"/>
      <c r="Z11" s="20" t="n"/>
      <c r="AA11" s="137" t="n"/>
      <c r="AB11" s="87" t="inlineStr">
        <is>
          <t>Grau 4</t>
        </is>
      </c>
      <c r="AC11" s="19" t="n"/>
      <c r="AD11" s="19" t="n"/>
      <c r="AE11" s="19" t="n"/>
      <c r="AF11" s="19" t="n"/>
      <c r="AG11" s="20" t="n"/>
      <c r="AH11" s="137" t="n"/>
      <c r="AI11" s="87" t="n"/>
      <c r="AJ11" s="19" t="n"/>
      <c r="AK11" s="19" t="n"/>
      <c r="AL11" s="19" t="n"/>
      <c r="AM11" s="20" t="n"/>
      <c r="AN11" s="137" t="n"/>
      <c r="AO11" s="87" t="n"/>
      <c r="AP11" s="19" t="n"/>
      <c r="AQ11" s="19" t="n"/>
      <c r="AR11" s="19" t="n"/>
      <c r="AS11" s="19" t="n"/>
      <c r="AT11" s="20" t="n"/>
      <c r="AU11" s="137" t="n"/>
      <c r="AV11" s="137" t="n"/>
      <c r="AW11" s="105">
        <f>DADOS!$CZ$47</f>
        <v/>
      </c>
      <c r="AX11" s="19" t="n"/>
      <c r="AY11" s="19" t="n"/>
      <c r="AZ11" s="19" t="n"/>
      <c r="BA11" s="20" t="n"/>
      <c r="BB11" s="137" t="n"/>
      <c r="BC11" s="105">
        <f>IF(DADOS!$CZ$49&amp;""="","—",MAX(0,DADOS!$CZ$49-DADOS!$CZ$47))</f>
        <v/>
      </c>
      <c r="BD11" s="20" t="n"/>
      <c r="BE11" s="144">
        <f>IFERROR(SPARKLINE(MAX(0,DADOS!$CZ$47-DADOS!$CZ$50),{"charttype","bar";"max",MAX(1,N(DADOS!$CZ$49)-DADOS!$CZ$50);"color1",DADOS!$CZ$51}),"")</f>
        <v/>
      </c>
      <c r="BF11" s="19" t="n"/>
      <c r="BG11" s="20" t="n"/>
      <c r="BH11" s="137" t="n"/>
      <c r="BI11" s="137" t="n"/>
      <c r="BJ11" s="137" t="n"/>
      <c r="BK11" s="137" t="n"/>
      <c r="BL11" s="137" t="n"/>
      <c r="BM11" s="137" t="n"/>
      <c r="BN11" s="137" t="n"/>
      <c r="BO11" s="137" t="n"/>
      <c r="BP11" s="137" t="n"/>
      <c r="BQ11" s="137" t="n"/>
      <c r="BR11" s="137" t="n"/>
      <c r="BS11" s="137" t="n"/>
      <c r="BT11" s="137" t="n"/>
    </row>
    <row r="12">
      <c r="B12" s="22" t="n"/>
      <c r="C12" s="137" t="n"/>
      <c r="D12" s="21" t="n"/>
      <c r="O12" s="22" t="n"/>
      <c r="P12" s="137" t="n"/>
      <c r="Q12" s="23" t="n"/>
      <c r="R12" s="24" t="n"/>
      <c r="S12" s="24" t="n"/>
      <c r="T12" s="24" t="n"/>
      <c r="U12" s="24" t="n"/>
      <c r="V12" s="24" t="n"/>
      <c r="W12" s="24" t="n"/>
      <c r="X12" s="24" t="n"/>
      <c r="Y12" s="24" t="n"/>
      <c r="Z12" s="25" t="n"/>
      <c r="AA12" s="137" t="n"/>
      <c r="AB12" s="23" t="n"/>
      <c r="AC12" s="24" t="n"/>
      <c r="AD12" s="24" t="n"/>
      <c r="AE12" s="24" t="n"/>
      <c r="AF12" s="24" t="n"/>
      <c r="AG12" s="25" t="n"/>
      <c r="AH12" s="137" t="n"/>
      <c r="AI12" s="23" t="n"/>
      <c r="AJ12" s="24" t="n"/>
      <c r="AK12" s="24" t="n"/>
      <c r="AL12" s="24" t="n"/>
      <c r="AM12" s="25" t="n"/>
      <c r="AN12" s="137" t="n"/>
      <c r="AO12" s="23" t="n"/>
      <c r="AP12" s="24" t="n"/>
      <c r="AQ12" s="24" t="n"/>
      <c r="AR12" s="24" t="n"/>
      <c r="AS12" s="24" t="n"/>
      <c r="AT12" s="25" t="n"/>
      <c r="AU12" s="137" t="n"/>
      <c r="AV12" s="137" t="n"/>
      <c r="AW12" s="23" t="n"/>
      <c r="AX12" s="24" t="n"/>
      <c r="AY12" s="24" t="n"/>
      <c r="AZ12" s="24" t="n"/>
      <c r="BA12" s="25" t="n"/>
      <c r="BB12" s="137" t="n"/>
      <c r="BC12" s="23" t="n"/>
      <c r="BD12" s="25" t="n"/>
      <c r="BE12" s="23" t="n"/>
      <c r="BF12" s="24" t="n"/>
      <c r="BG12" s="25" t="n"/>
      <c r="BH12" s="137" t="n"/>
      <c r="BI12" s="137" t="n"/>
      <c r="BJ12" s="137" t="n"/>
      <c r="BK12" s="137" t="n"/>
      <c r="BL12" s="137" t="n"/>
      <c r="BM12" s="137" t="n"/>
      <c r="BN12" s="137" t="n"/>
      <c r="BO12" s="137" t="n"/>
      <c r="BP12" s="137" t="n"/>
      <c r="BQ12" s="137" t="n"/>
      <c r="BR12" s="137" t="n"/>
      <c r="BS12" s="137" t="n"/>
      <c r="BT12" s="137" t="n"/>
    </row>
    <row r="13">
      <c r="B13" s="22" t="n"/>
      <c r="C13" s="137" t="n"/>
      <c r="D13" s="21" t="n"/>
      <c r="O13" s="22" t="n"/>
      <c r="P13" s="137" t="n"/>
      <c r="Q13" s="137" t="n"/>
      <c r="R13" s="137" t="n"/>
      <c r="S13" s="137" t="n"/>
      <c r="T13" s="137" t="n"/>
      <c r="U13" s="137" t="n"/>
      <c r="V13" s="137" t="n"/>
      <c r="W13" s="137" t="n"/>
      <c r="X13" s="137" t="n"/>
      <c r="Y13" s="137" t="n"/>
      <c r="Z13" s="137" t="n"/>
      <c r="AA13" s="137" t="n"/>
      <c r="AB13" s="137" t="n"/>
      <c r="AC13" s="137" t="n"/>
      <c r="AD13" s="137" t="n"/>
      <c r="AE13" s="137" t="n"/>
      <c r="AF13" s="137" t="n"/>
      <c r="AG13" s="137" t="n"/>
      <c r="AH13" s="137" t="n"/>
      <c r="AI13" s="137" t="n"/>
      <c r="AJ13" s="137" t="n"/>
      <c r="AK13" s="137" t="n"/>
      <c r="AL13" s="137" t="n"/>
      <c r="AM13" s="137" t="n"/>
      <c r="AN13" s="137" t="n"/>
      <c r="AO13" s="137" t="n"/>
      <c r="AP13" s="137" t="n"/>
      <c r="AQ13" s="137" t="n"/>
      <c r="AR13" s="137" t="n"/>
      <c r="AS13" s="137" t="n"/>
      <c r="AT13" s="137" t="n"/>
      <c r="AU13" s="137" t="n"/>
      <c r="AV13" s="137" t="n"/>
      <c r="AW13" s="137" t="n"/>
      <c r="AX13" s="137" t="n"/>
      <c r="AY13" s="137" t="n"/>
      <c r="AZ13" s="137" t="n"/>
      <c r="BA13" s="137" t="n"/>
      <c r="BB13" s="137" t="n"/>
      <c r="BC13" s="137" t="n"/>
      <c r="BD13" s="137" t="n"/>
      <c r="BE13" s="137" t="n"/>
      <c r="BF13" s="137" t="n"/>
      <c r="BG13" s="137" t="n"/>
      <c r="BH13" s="137" t="n"/>
      <c r="BI13" s="137" t="n"/>
      <c r="BJ13" s="137" t="n"/>
      <c r="BK13" s="137" t="n"/>
      <c r="BL13" s="137" t="n"/>
      <c r="BM13" s="137" t="n"/>
      <c r="BN13" s="137" t="n"/>
      <c r="BO13" s="137" t="n"/>
      <c r="BP13" s="137" t="n"/>
      <c r="BQ13" s="137" t="n"/>
      <c r="BR13" s="137" t="n"/>
      <c r="BS13" s="137" t="n"/>
      <c r="BT13" s="137" t="n"/>
    </row>
    <row r="14">
      <c r="B14" s="22" t="n"/>
      <c r="C14" s="137" t="n"/>
      <c r="D14" s="21" t="n"/>
      <c r="O14" s="22" t="n"/>
      <c r="P14" s="137" t="n"/>
      <c r="Q14" s="56" t="inlineStr">
        <is>
          <t>OLHOS</t>
        </is>
      </c>
      <c r="R14" s="16" t="n"/>
      <c r="S14" s="16" t="n"/>
      <c r="T14" s="16" t="n"/>
      <c r="U14" s="16" t="n"/>
      <c r="V14" s="16" t="n"/>
      <c r="W14" s="17" t="n"/>
      <c r="X14" s="137" t="n"/>
      <c r="Y14" s="56" t="inlineStr">
        <is>
          <t>CABELO</t>
        </is>
      </c>
      <c r="Z14" s="16" t="n"/>
      <c r="AA14" s="16" t="n"/>
      <c r="AB14" s="16" t="n"/>
      <c r="AC14" s="16" t="n"/>
      <c r="AD14" s="16" t="n"/>
      <c r="AE14" s="17" t="n"/>
      <c r="AF14" s="137" t="n"/>
      <c r="AG14" s="56" t="inlineStr">
        <is>
          <t>PELE</t>
        </is>
      </c>
      <c r="AH14" s="16" t="n"/>
      <c r="AI14" s="16" t="n"/>
      <c r="AJ14" s="16" t="n"/>
      <c r="AK14" s="16" t="n"/>
      <c r="AL14" s="16" t="n"/>
      <c r="AM14" s="17" t="n"/>
      <c r="AN14" s="137" t="n"/>
      <c r="AO14" s="56" t="inlineStr">
        <is>
          <t>GÊNERO</t>
        </is>
      </c>
      <c r="AP14" s="16" t="n"/>
      <c r="AQ14" s="16" t="n"/>
      <c r="AR14" s="16" t="n"/>
      <c r="AS14" s="16" t="n"/>
      <c r="AT14" s="17" t="n"/>
      <c r="AU14" s="137" t="n"/>
      <c r="AV14" s="137" t="n"/>
      <c r="AW14" s="56" t="inlineStr">
        <is>
          <t>MISSÃO</t>
        </is>
      </c>
      <c r="AX14" s="56" t="inlineStr">
        <is>
          <t>XP</t>
        </is>
      </c>
      <c r="AY14" s="56" t="inlineStr">
        <is>
          <t>ADICIONAL</t>
        </is>
      </c>
      <c r="AZ14" s="56" t="inlineStr">
        <is>
          <t>DESCONTO</t>
        </is>
      </c>
      <c r="BA14" s="56" t="inlineStr">
        <is>
          <t>TOTAL</t>
        </is>
      </c>
      <c r="BB14" s="137" t="n"/>
      <c r="BC14" s="56" t="inlineStr">
        <is>
          <t>MISSÃO</t>
        </is>
      </c>
      <c r="BD14" s="56" t="inlineStr">
        <is>
          <t>XP</t>
        </is>
      </c>
      <c r="BE14" s="56" t="inlineStr">
        <is>
          <t>ADICIONAL</t>
        </is>
      </c>
      <c r="BF14" s="56" t="inlineStr">
        <is>
          <t>DESCONTO</t>
        </is>
      </c>
      <c r="BG14" s="56" t="inlineStr">
        <is>
          <t>TOTAL</t>
        </is>
      </c>
      <c r="BH14" s="137" t="n"/>
      <c r="BI14" s="56" t="inlineStr">
        <is>
          <t>MISSÃO</t>
        </is>
      </c>
      <c r="BJ14" s="56" t="inlineStr">
        <is>
          <t>XP</t>
        </is>
      </c>
      <c r="BK14" s="56" t="inlineStr">
        <is>
          <t>ADICIONAL</t>
        </is>
      </c>
      <c r="BL14" s="56" t="inlineStr">
        <is>
          <t>DESCONTO</t>
        </is>
      </c>
      <c r="BM14" s="56" t="inlineStr">
        <is>
          <t>TOTAL</t>
        </is>
      </c>
      <c r="BN14" s="137" t="n"/>
      <c r="BO14" s="56" t="inlineStr">
        <is>
          <t>MISSÃO</t>
        </is>
      </c>
      <c r="BP14" s="56" t="inlineStr">
        <is>
          <t>XP</t>
        </is>
      </c>
      <c r="BQ14" s="56" t="inlineStr">
        <is>
          <t>ADICIONAL</t>
        </is>
      </c>
      <c r="BR14" s="56" t="inlineStr">
        <is>
          <t>DESCONTO</t>
        </is>
      </c>
      <c r="BS14" s="56" t="inlineStr">
        <is>
          <t>TOTAL</t>
        </is>
      </c>
      <c r="BT14" s="137" t="n"/>
    </row>
    <row r="15">
      <c r="B15" s="22" t="n"/>
      <c r="C15" s="137" t="n"/>
      <c r="D15" s="21" t="n"/>
      <c r="O15" s="22" t="n"/>
      <c r="P15" s="137" t="n"/>
      <c r="Q15" s="87" t="n"/>
      <c r="R15" s="19" t="n"/>
      <c r="S15" s="19" t="n"/>
      <c r="T15" s="19" t="n"/>
      <c r="U15" s="19" t="n"/>
      <c r="V15" s="19" t="n"/>
      <c r="W15" s="20" t="n"/>
      <c r="X15" s="137" t="n"/>
      <c r="Y15" s="87" t="n"/>
      <c r="Z15" s="19" t="n"/>
      <c r="AA15" s="19" t="n"/>
      <c r="AB15" s="19" t="n"/>
      <c r="AC15" s="19" t="n"/>
      <c r="AD15" s="19" t="n"/>
      <c r="AE15" s="20" t="n"/>
      <c r="AF15" s="137" t="n"/>
      <c r="AG15" s="87" t="n"/>
      <c r="AH15" s="19" t="n"/>
      <c r="AI15" s="19" t="n"/>
      <c r="AJ15" s="19" t="n"/>
      <c r="AK15" s="19" t="n"/>
      <c r="AL15" s="19" t="n"/>
      <c r="AM15" s="20" t="n"/>
      <c r="AN15" s="137" t="n"/>
      <c r="AO15" s="87" t="n"/>
      <c r="AP15" s="19" t="n"/>
      <c r="AQ15" s="19" t="n"/>
      <c r="AR15" s="19" t="n"/>
      <c r="AS15" s="19" t="n"/>
      <c r="AT15" s="20" t="n"/>
      <c r="AU15" s="137" t="n"/>
      <c r="AV15" s="137" t="n"/>
      <c r="AW15" s="144" t="n"/>
      <c r="AX15" s="144" t="n"/>
      <c r="AY15" s="95" t="n"/>
      <c r="AZ15" s="95" t="n"/>
      <c r="BA15" s="95">
        <f>IF($AX15="","",IFERROR(IF(ROUND(VLOOKUP($AX15,DADOS!$CL$5:$CM$10,2,FALSE)*IF($AY15="",1,VLOOKUP($AY15,DADOS!$CO$5:$CP$7,2,FALSE))*IF($AZ15="",1,VLOOKUP($AZ15,DADOS!$CR$5:$CS$15,2,FALSE)),4)&gt;0,MAX(1,FLOOR(ROUND(VLOOKUP($AX15,DADOS!$CL$5:$CM$10,2,FALSE)*IF($AY15="",1,VLOOKUP($AY15,DADOS!$CO$5:$CP$7,2,FALSE))*IF($AZ15="",1,VLOOKUP($AZ15,DADOS!$CR$5:$CS$15,2,FALSE)),4),1)),0),""))</f>
        <v/>
      </c>
      <c r="BB15" s="137" t="n"/>
      <c r="BC15" s="144" t="n"/>
      <c r="BD15" s="144" t="n"/>
      <c r="BE15" s="95" t="n"/>
      <c r="BF15" s="95" t="n"/>
      <c r="BG15" s="95">
        <f>IF($BD15="","",IFERROR(IF(ROUND(VLOOKUP($BD15,DADOS!$CL$5:$CM$10,2,FALSE)*IF($BE15="",1,VLOOKUP($BE15,DADOS!$CO$5:$CP$7,2,FALSE))*IF($BF15="",1,VLOOKUP($BF15,DADOS!$CR$5:$CS$15,2,FALSE)),4)&gt;0,MAX(1,FLOOR(ROUND(VLOOKUP($BD15,DADOS!$CL$5:$CM$10,2,FALSE)*IF($BE15="",1,VLOOKUP($BE15,DADOS!$CO$5:$CP$7,2,FALSE))*IF($BF15="",1,VLOOKUP($BF15,DADOS!$CR$5:$CS$15,2,FALSE)),4),1)),0),""))</f>
        <v/>
      </c>
      <c r="BH15" s="137" t="n"/>
      <c r="BI15" s="144" t="n"/>
      <c r="BJ15" s="144" t="n"/>
      <c r="BK15" s="95" t="n"/>
      <c r="BL15" s="95" t="n"/>
      <c r="BM15" s="95">
        <f>IF($BJ15="","",IFERROR(IF(ROUND(VLOOKUP($BJ15,DADOS!$CL$5:$CM$10,2,FALSE)*IF($BK15="",1,VLOOKUP($BK15,DADOS!$CO$5:$CP$7,2,FALSE))*IF($BL15="",1,VLOOKUP($BL15,DADOS!$CR$5:$CS$15,2,FALSE)),4)&gt;0,MAX(1,FLOOR(ROUND(VLOOKUP($BJ15,DADOS!$CL$5:$CM$10,2,FALSE)*IF($BK15="",1,VLOOKUP($BK15,DADOS!$CO$5:$CP$7,2,FALSE))*IF($BL15="",1,VLOOKUP($BL15,DADOS!$CR$5:$CS$15,2,FALSE)),4),1)),0),""))</f>
        <v/>
      </c>
      <c r="BN15" s="137" t="n"/>
      <c r="BO15" s="144" t="n"/>
      <c r="BP15" s="144" t="n"/>
      <c r="BQ15" s="95" t="n"/>
      <c r="BR15" s="95" t="n"/>
      <c r="BS15" s="95">
        <f>IF($BP15="","",IFERROR(IF(ROUND(VLOOKUP($BP15,DADOS!$CL$5:$CM$10,2,FALSE)*IF($BQ15="",1,VLOOKUP($BQ15,DADOS!$CO$5:$CP$7,2,FALSE))*IF($BR15="",1,VLOOKUP($BR15,DADOS!$CR$5:$CS$15,2,FALSE)),4)&gt;0,MAX(1,FLOOR(ROUND(VLOOKUP($BP15,DADOS!$CL$5:$CM$10,2,FALSE)*IF($BQ15="",1,VLOOKUP($BQ15,DADOS!$CO$5:$CP$7,2,FALSE))*IF($BR15="",1,VLOOKUP($BR15,DADOS!$CR$5:$CS$15,2,FALSE)),4),1)),0),""))</f>
        <v/>
      </c>
      <c r="BT15" s="137" t="n"/>
    </row>
    <row r="16">
      <c r="B16" s="22" t="n"/>
      <c r="C16" s="137" t="n"/>
      <c r="D16" s="21" t="n"/>
      <c r="O16" s="22" t="n"/>
      <c r="P16" s="137" t="n"/>
      <c r="Q16" s="23" t="n"/>
      <c r="R16" s="24" t="n"/>
      <c r="S16" s="24" t="n"/>
      <c r="T16" s="24" t="n"/>
      <c r="U16" s="24" t="n"/>
      <c r="V16" s="24" t="n"/>
      <c r="W16" s="25" t="n"/>
      <c r="X16" s="137" t="n"/>
      <c r="Y16" s="23" t="n"/>
      <c r="Z16" s="24" t="n"/>
      <c r="AA16" s="24" t="n"/>
      <c r="AB16" s="24" t="n"/>
      <c r="AC16" s="24" t="n"/>
      <c r="AD16" s="24" t="n"/>
      <c r="AE16" s="25" t="n"/>
      <c r="AF16" s="137" t="n"/>
      <c r="AG16" s="23" t="n"/>
      <c r="AH16" s="24" t="n"/>
      <c r="AI16" s="24" t="n"/>
      <c r="AJ16" s="24" t="n"/>
      <c r="AK16" s="24" t="n"/>
      <c r="AL16" s="24" t="n"/>
      <c r="AM16" s="25" t="n"/>
      <c r="AN16" s="137" t="n"/>
      <c r="AO16" s="23" t="n"/>
      <c r="AP16" s="24" t="n"/>
      <c r="AQ16" s="24" t="n"/>
      <c r="AR16" s="24" t="n"/>
      <c r="AS16" s="24" t="n"/>
      <c r="AT16" s="25" t="n"/>
      <c r="AU16" s="137" t="n"/>
      <c r="AV16" s="137" t="n"/>
      <c r="AW16" s="144" t="n"/>
      <c r="AX16" s="144" t="n"/>
      <c r="AY16" s="95" t="n"/>
      <c r="AZ16" s="95" t="n"/>
      <c r="BA16" s="95">
        <f>IF($AX16="","",IFERROR(IF(ROUND(VLOOKUP($AX16,DADOS!$CL$5:$CM$10,2,FALSE)*IF($AY16="",1,VLOOKUP($AY16,DADOS!$CO$5:$CP$7,2,FALSE))*IF($AZ16="",1,VLOOKUP($AZ16,DADOS!$CR$5:$CS$15,2,FALSE)),4)&gt;0,MAX(1,FLOOR(ROUND(VLOOKUP($AX16,DADOS!$CL$5:$CM$10,2,FALSE)*IF($AY16="",1,VLOOKUP($AY16,DADOS!$CO$5:$CP$7,2,FALSE))*IF($AZ16="",1,VLOOKUP($AZ16,DADOS!$CR$5:$CS$15,2,FALSE)),4),1)),0),""))</f>
        <v/>
      </c>
      <c r="BB16" s="137" t="n"/>
      <c r="BC16" s="144" t="n"/>
      <c r="BD16" s="144" t="n"/>
      <c r="BE16" s="95" t="n"/>
      <c r="BF16" s="95" t="n"/>
      <c r="BG16" s="95">
        <f>IF($BD16="","",IFERROR(IF(ROUND(VLOOKUP($BD16,DADOS!$CL$5:$CM$10,2,FALSE)*IF($BE16="",1,VLOOKUP($BE16,DADOS!$CO$5:$CP$7,2,FALSE))*IF($BF16="",1,VLOOKUP($BF16,DADOS!$CR$5:$CS$15,2,FALSE)),4)&gt;0,MAX(1,FLOOR(ROUND(VLOOKUP($BD16,DADOS!$CL$5:$CM$10,2,FALSE)*IF($BE16="",1,VLOOKUP($BE16,DADOS!$CO$5:$CP$7,2,FALSE))*IF($BF16="",1,VLOOKUP($BF16,DADOS!$CR$5:$CS$15,2,FALSE)),4),1)),0),""))</f>
        <v/>
      </c>
      <c r="BH16" s="137" t="n"/>
      <c r="BI16" s="144" t="n"/>
      <c r="BJ16" s="144" t="n"/>
      <c r="BK16" s="95" t="n"/>
      <c r="BL16" s="95" t="n"/>
      <c r="BM16" s="95">
        <f>IF($BJ16="","",IFERROR(IF(ROUND(VLOOKUP($BJ16,DADOS!$CL$5:$CM$10,2,FALSE)*IF($BK16="",1,VLOOKUP($BK16,DADOS!$CO$5:$CP$7,2,FALSE))*IF($BL16="",1,VLOOKUP($BL16,DADOS!$CR$5:$CS$15,2,FALSE)),4)&gt;0,MAX(1,FLOOR(ROUND(VLOOKUP($BJ16,DADOS!$CL$5:$CM$10,2,FALSE)*IF($BK16="",1,VLOOKUP($BK16,DADOS!$CO$5:$CP$7,2,FALSE))*IF($BL16="",1,VLOOKUP($BL16,DADOS!$CR$5:$CS$15,2,FALSE)),4),1)),0),""))</f>
        <v/>
      </c>
      <c r="BN16" s="137" t="n"/>
      <c r="BO16" s="144" t="n"/>
      <c r="BP16" s="144" t="n"/>
      <c r="BQ16" s="95" t="n"/>
      <c r="BR16" s="95" t="n"/>
      <c r="BS16" s="95">
        <f>IF($BP16="","",IFERROR(IF(ROUND(VLOOKUP($BP16,DADOS!$CL$5:$CM$10,2,FALSE)*IF($BQ16="",1,VLOOKUP($BQ16,DADOS!$CO$5:$CP$7,2,FALSE))*IF($BR16="",1,VLOOKUP($BR16,DADOS!$CR$5:$CS$15,2,FALSE)),4)&gt;0,MAX(1,FLOOR(ROUND(VLOOKUP($BP16,DADOS!$CL$5:$CM$10,2,FALSE)*IF($BQ16="",1,VLOOKUP($BQ16,DADOS!$CO$5:$CP$7,2,FALSE))*IF($BR16="",1,VLOOKUP($BR16,DADOS!$CR$5:$CS$15,2,FALSE)),4),1)),0),""))</f>
        <v/>
      </c>
      <c r="BT16" s="137" t="n"/>
    </row>
    <row r="17">
      <c r="B17" s="22" t="n"/>
      <c r="C17" s="137" t="n"/>
      <c r="D17" s="21" t="n"/>
      <c r="O17" s="22" t="n"/>
      <c r="P17" s="137" t="n"/>
      <c r="Q17" s="137" t="n"/>
      <c r="R17" s="137" t="n"/>
      <c r="S17" s="137" t="n"/>
      <c r="T17" s="137" t="n"/>
      <c r="U17" s="137" t="n"/>
      <c r="V17" s="137" t="n"/>
      <c r="W17" s="137" t="n"/>
      <c r="X17" s="137" t="n"/>
      <c r="Y17" s="137" t="n"/>
      <c r="Z17" s="137" t="n"/>
      <c r="AA17" s="137" t="n"/>
      <c r="AB17" s="137" t="n"/>
      <c r="AC17" s="137" t="n"/>
      <c r="AD17" s="137" t="n"/>
      <c r="AE17" s="137" t="n"/>
      <c r="AF17" s="137" t="n"/>
      <c r="AG17" s="137" t="n"/>
      <c r="AH17" s="137" t="n"/>
      <c r="AI17" s="137" t="n"/>
      <c r="AJ17" s="137" t="n"/>
      <c r="AK17" s="137" t="n"/>
      <c r="AL17" s="137" t="n"/>
      <c r="AM17" s="137" t="n"/>
      <c r="AN17" s="137" t="n"/>
      <c r="AO17" s="137" t="n"/>
      <c r="AP17" s="137" t="n"/>
      <c r="AQ17" s="137" t="n"/>
      <c r="AR17" s="137" t="n"/>
      <c r="AS17" s="137" t="n"/>
      <c r="AT17" s="137" t="n"/>
      <c r="AU17" s="137" t="n"/>
      <c r="AV17" s="137" t="n"/>
      <c r="AW17" s="144" t="n"/>
      <c r="AX17" s="144" t="n"/>
      <c r="AY17" s="95" t="n"/>
      <c r="AZ17" s="95" t="n"/>
      <c r="BA17" s="95">
        <f>IF($AX17="","",IFERROR(IF(ROUND(VLOOKUP($AX17,DADOS!$CL$5:$CM$10,2,FALSE)*IF($AY17="",1,VLOOKUP($AY17,DADOS!$CO$5:$CP$7,2,FALSE))*IF($AZ17="",1,VLOOKUP($AZ17,DADOS!$CR$5:$CS$15,2,FALSE)),4)&gt;0,MAX(1,FLOOR(ROUND(VLOOKUP($AX17,DADOS!$CL$5:$CM$10,2,FALSE)*IF($AY17="",1,VLOOKUP($AY17,DADOS!$CO$5:$CP$7,2,FALSE))*IF($AZ17="",1,VLOOKUP($AZ17,DADOS!$CR$5:$CS$15,2,FALSE)),4),1)),0),""))</f>
        <v/>
      </c>
      <c r="BB17" s="137" t="n"/>
      <c r="BC17" s="144" t="n"/>
      <c r="BD17" s="144" t="n"/>
      <c r="BE17" s="95" t="n"/>
      <c r="BF17" s="95" t="n"/>
      <c r="BG17" s="95">
        <f>IF($BD17="","",IFERROR(IF(ROUND(VLOOKUP($BD17,DADOS!$CL$5:$CM$10,2,FALSE)*IF($BE17="",1,VLOOKUP($BE17,DADOS!$CO$5:$CP$7,2,FALSE))*IF($BF17="",1,VLOOKUP($BF17,DADOS!$CR$5:$CS$15,2,FALSE)),4)&gt;0,MAX(1,FLOOR(ROUND(VLOOKUP($BD17,DADOS!$CL$5:$CM$10,2,FALSE)*IF($BE17="",1,VLOOKUP($BE17,DADOS!$CO$5:$CP$7,2,FALSE))*IF($BF17="",1,VLOOKUP($BF17,DADOS!$CR$5:$CS$15,2,FALSE)),4),1)),0),""))</f>
        <v/>
      </c>
      <c r="BH17" s="137" t="n"/>
      <c r="BI17" s="144" t="n"/>
      <c r="BJ17" s="144" t="n"/>
      <c r="BK17" s="95" t="n"/>
      <c r="BL17" s="95" t="n"/>
      <c r="BM17" s="95">
        <f>IF($BJ17="","",IFERROR(IF(ROUND(VLOOKUP($BJ17,DADOS!$CL$5:$CM$10,2,FALSE)*IF($BK17="",1,VLOOKUP($BK17,DADOS!$CO$5:$CP$7,2,FALSE))*IF($BL17="",1,VLOOKUP($BL17,DADOS!$CR$5:$CS$15,2,FALSE)),4)&gt;0,MAX(1,FLOOR(ROUND(VLOOKUP($BJ17,DADOS!$CL$5:$CM$10,2,FALSE)*IF($BK17="",1,VLOOKUP($BK17,DADOS!$CO$5:$CP$7,2,FALSE))*IF($BL17="",1,VLOOKUP($BL17,DADOS!$CR$5:$CS$15,2,FALSE)),4),1)),0),""))</f>
        <v/>
      </c>
      <c r="BN17" s="137" t="n"/>
      <c r="BO17" s="144" t="n"/>
      <c r="BP17" s="144" t="n"/>
      <c r="BQ17" s="95" t="n"/>
      <c r="BR17" s="95" t="n"/>
      <c r="BS17" s="95">
        <f>IF($BP17="","",IFERROR(IF(ROUND(VLOOKUP($BP17,DADOS!$CL$5:$CM$10,2,FALSE)*IF($BQ17="",1,VLOOKUP($BQ17,DADOS!$CO$5:$CP$7,2,FALSE))*IF($BR17="",1,VLOOKUP($BR17,DADOS!$CR$5:$CS$15,2,FALSE)),4)&gt;0,MAX(1,FLOOR(ROUND(VLOOKUP($BP17,DADOS!$CL$5:$CM$10,2,FALSE)*IF($BQ17="",1,VLOOKUP($BQ17,DADOS!$CO$5:$CP$7,2,FALSE))*IF($BR17="",1,VLOOKUP($BR17,DADOS!$CR$5:$CS$15,2,FALSE)),4),1)),0),""))</f>
        <v/>
      </c>
      <c r="BT17" s="137" t="n"/>
    </row>
    <row r="18">
      <c r="B18" s="22" t="n"/>
      <c r="C18" s="137" t="n"/>
      <c r="D18" s="21" t="n"/>
      <c r="O18" s="22" t="n"/>
      <c r="P18" s="137" t="n"/>
      <c r="Q18" s="56" t="inlineStr">
        <is>
          <t>APARÊNCIA</t>
        </is>
      </c>
      <c r="R18" s="16" t="n"/>
      <c r="S18" s="16" t="n"/>
      <c r="T18" s="16" t="n"/>
      <c r="U18" s="16" t="n"/>
      <c r="V18" s="16" t="n"/>
      <c r="W18" s="16" t="n"/>
      <c r="X18" s="16" t="n"/>
      <c r="Y18" s="16" t="n"/>
      <c r="Z18" s="16" t="n"/>
      <c r="AA18" s="16" t="n"/>
      <c r="AB18" s="16" t="n"/>
      <c r="AC18" s="16" t="n"/>
      <c r="AD18" s="16" t="n"/>
      <c r="AE18" s="16" t="n"/>
      <c r="AF18" s="16" t="n"/>
      <c r="AG18" s="17" t="n"/>
      <c r="AH18" s="137" t="n"/>
      <c r="AI18" s="56" t="inlineStr">
        <is>
          <t>CICATRIZES</t>
        </is>
      </c>
      <c r="AJ18" s="16" t="n"/>
      <c r="AK18" s="16" t="n"/>
      <c r="AL18" s="16" t="n"/>
      <c r="AM18" s="16" t="n"/>
      <c r="AN18" s="16" t="n"/>
      <c r="AO18" s="16" t="n"/>
      <c r="AP18" s="16" t="n"/>
      <c r="AQ18" s="16" t="n"/>
      <c r="AR18" s="16" t="n"/>
      <c r="AS18" s="16" t="n"/>
      <c r="AT18" s="17" t="n"/>
      <c r="AU18" s="137" t="n"/>
      <c r="AV18" s="137" t="n"/>
      <c r="AW18" s="144" t="n"/>
      <c r="AX18" s="144" t="n"/>
      <c r="AY18" s="95" t="n"/>
      <c r="AZ18" s="95" t="n"/>
      <c r="BA18" s="95">
        <f>IF($AX18="","",IFERROR(IF(ROUND(VLOOKUP($AX18,DADOS!$CL$5:$CM$10,2,FALSE)*IF($AY18="",1,VLOOKUP($AY18,DADOS!$CO$5:$CP$7,2,FALSE))*IF($AZ18="",1,VLOOKUP($AZ18,DADOS!$CR$5:$CS$15,2,FALSE)),4)&gt;0,MAX(1,FLOOR(ROUND(VLOOKUP($AX18,DADOS!$CL$5:$CM$10,2,FALSE)*IF($AY18="",1,VLOOKUP($AY18,DADOS!$CO$5:$CP$7,2,FALSE))*IF($AZ18="",1,VLOOKUP($AZ18,DADOS!$CR$5:$CS$15,2,FALSE)),4),1)),0),""))</f>
        <v/>
      </c>
      <c r="BB18" s="137" t="n"/>
      <c r="BC18" s="144" t="n"/>
      <c r="BD18" s="144" t="n"/>
      <c r="BE18" s="95" t="n"/>
      <c r="BF18" s="95" t="n"/>
      <c r="BG18" s="95">
        <f>IF($BD18="","",IFERROR(IF(ROUND(VLOOKUP($BD18,DADOS!$CL$5:$CM$10,2,FALSE)*IF($BE18="",1,VLOOKUP($BE18,DADOS!$CO$5:$CP$7,2,FALSE))*IF($BF18="",1,VLOOKUP($BF18,DADOS!$CR$5:$CS$15,2,FALSE)),4)&gt;0,MAX(1,FLOOR(ROUND(VLOOKUP($BD18,DADOS!$CL$5:$CM$10,2,FALSE)*IF($BE18="",1,VLOOKUP($BE18,DADOS!$CO$5:$CP$7,2,FALSE))*IF($BF18="",1,VLOOKUP($BF18,DADOS!$CR$5:$CS$15,2,FALSE)),4),1)),0),""))</f>
        <v/>
      </c>
      <c r="BH18" s="137" t="n"/>
      <c r="BI18" s="144" t="n"/>
      <c r="BJ18" s="144" t="n"/>
      <c r="BK18" s="95" t="n"/>
      <c r="BL18" s="95" t="n"/>
      <c r="BM18" s="95">
        <f>IF($BJ18="","",IFERROR(IF(ROUND(VLOOKUP($BJ18,DADOS!$CL$5:$CM$10,2,FALSE)*IF($BK18="",1,VLOOKUP($BK18,DADOS!$CO$5:$CP$7,2,FALSE))*IF($BL18="",1,VLOOKUP($BL18,DADOS!$CR$5:$CS$15,2,FALSE)),4)&gt;0,MAX(1,FLOOR(ROUND(VLOOKUP($BJ18,DADOS!$CL$5:$CM$10,2,FALSE)*IF($BK18="",1,VLOOKUP($BK18,DADOS!$CO$5:$CP$7,2,FALSE))*IF($BL18="",1,VLOOKUP($BL18,DADOS!$CR$5:$CS$15,2,FALSE)),4),1)),0),""))</f>
        <v/>
      </c>
      <c r="BN18" s="137" t="n"/>
      <c r="BO18" s="144" t="n"/>
      <c r="BP18" s="144" t="n"/>
      <c r="BQ18" s="95" t="n"/>
      <c r="BR18" s="95" t="n"/>
      <c r="BS18" s="95">
        <f>IF($BP18="","",IFERROR(IF(ROUND(VLOOKUP($BP18,DADOS!$CL$5:$CM$10,2,FALSE)*IF($BQ18="",1,VLOOKUP($BQ18,DADOS!$CO$5:$CP$7,2,FALSE))*IF($BR18="",1,VLOOKUP($BR18,DADOS!$CR$5:$CS$15,2,FALSE)),4)&gt;0,MAX(1,FLOOR(ROUND(VLOOKUP($BP18,DADOS!$CL$5:$CM$10,2,FALSE)*IF($BQ18="",1,VLOOKUP($BQ18,DADOS!$CO$5:$CP$7,2,FALSE))*IF($BR18="",1,VLOOKUP($BR18,DADOS!$CR$5:$CS$15,2,FALSE)),4),1)),0),""))</f>
        <v/>
      </c>
      <c r="BT18" s="137" t="n"/>
    </row>
    <row r="19">
      <c r="B19" s="22" t="n"/>
      <c r="C19" s="137" t="n"/>
      <c r="D19" s="21" t="n"/>
      <c r="O19" s="22" t="n"/>
      <c r="P19" s="137" t="n"/>
      <c r="Q19" s="61" t="n"/>
      <c r="R19" s="19" t="n"/>
      <c r="S19" s="19" t="n"/>
      <c r="T19" s="19" t="n"/>
      <c r="U19" s="19" t="n"/>
      <c r="V19" s="19" t="n"/>
      <c r="W19" s="19" t="n"/>
      <c r="X19" s="19" t="n"/>
      <c r="Y19" s="19" t="n"/>
      <c r="Z19" s="19" t="n"/>
      <c r="AA19" s="19" t="n"/>
      <c r="AB19" s="19" t="n"/>
      <c r="AC19" s="19" t="n"/>
      <c r="AD19" s="19" t="n"/>
      <c r="AE19" s="19" t="n"/>
      <c r="AF19" s="19" t="n"/>
      <c r="AG19" s="20" t="n"/>
      <c r="AH19" s="137" t="n"/>
      <c r="AI19" s="61" t="n"/>
      <c r="AJ19" s="19" t="n"/>
      <c r="AK19" s="19" t="n"/>
      <c r="AL19" s="19" t="n"/>
      <c r="AM19" s="19" t="n"/>
      <c r="AN19" s="19" t="n"/>
      <c r="AO19" s="19" t="n"/>
      <c r="AP19" s="19" t="n"/>
      <c r="AQ19" s="19" t="n"/>
      <c r="AR19" s="19" t="n"/>
      <c r="AS19" s="19" t="n"/>
      <c r="AT19" s="20" t="n"/>
      <c r="AU19" s="137" t="n"/>
      <c r="AV19" s="137" t="n"/>
      <c r="AW19" s="144" t="n"/>
      <c r="AX19" s="144" t="n"/>
      <c r="AY19" s="95" t="n"/>
      <c r="AZ19" s="95" t="n"/>
      <c r="BA19" s="95">
        <f>IF($AX19="","",IFERROR(IF(ROUND(VLOOKUP($AX19,DADOS!$CL$5:$CM$10,2,FALSE)*IF($AY19="",1,VLOOKUP($AY19,DADOS!$CO$5:$CP$7,2,FALSE))*IF($AZ19="",1,VLOOKUP($AZ19,DADOS!$CR$5:$CS$15,2,FALSE)),4)&gt;0,MAX(1,FLOOR(ROUND(VLOOKUP($AX19,DADOS!$CL$5:$CM$10,2,FALSE)*IF($AY19="",1,VLOOKUP($AY19,DADOS!$CO$5:$CP$7,2,FALSE))*IF($AZ19="",1,VLOOKUP($AZ19,DADOS!$CR$5:$CS$15,2,FALSE)),4),1)),0),""))</f>
        <v/>
      </c>
      <c r="BB19" s="137" t="n"/>
      <c r="BC19" s="144" t="n"/>
      <c r="BD19" s="144" t="n"/>
      <c r="BE19" s="95" t="n"/>
      <c r="BF19" s="95" t="n"/>
      <c r="BG19" s="95">
        <f>IF($BD19="","",IFERROR(IF(ROUND(VLOOKUP($BD19,DADOS!$CL$5:$CM$10,2,FALSE)*IF($BE19="",1,VLOOKUP($BE19,DADOS!$CO$5:$CP$7,2,FALSE))*IF($BF19="",1,VLOOKUP($BF19,DADOS!$CR$5:$CS$15,2,FALSE)),4)&gt;0,MAX(1,FLOOR(ROUND(VLOOKUP($BD19,DADOS!$CL$5:$CM$10,2,FALSE)*IF($BE19="",1,VLOOKUP($BE19,DADOS!$CO$5:$CP$7,2,FALSE))*IF($BF19="",1,VLOOKUP($BF19,DADOS!$CR$5:$CS$15,2,FALSE)),4),1)),0),""))</f>
        <v/>
      </c>
      <c r="BH19" s="137" t="n"/>
      <c r="BI19" s="144" t="n"/>
      <c r="BJ19" s="144" t="n"/>
      <c r="BK19" s="95" t="n"/>
      <c r="BL19" s="95" t="n"/>
      <c r="BM19" s="95">
        <f>IF($BJ19="","",IFERROR(IF(ROUND(VLOOKUP($BJ19,DADOS!$CL$5:$CM$10,2,FALSE)*IF($BK19="",1,VLOOKUP($BK19,DADOS!$CO$5:$CP$7,2,FALSE))*IF($BL19="",1,VLOOKUP($BL19,DADOS!$CR$5:$CS$15,2,FALSE)),4)&gt;0,MAX(1,FLOOR(ROUND(VLOOKUP($BJ19,DADOS!$CL$5:$CM$10,2,FALSE)*IF($BK19="",1,VLOOKUP($BK19,DADOS!$CO$5:$CP$7,2,FALSE))*IF($BL19="",1,VLOOKUP($BL19,DADOS!$CR$5:$CS$15,2,FALSE)),4),1)),0),""))</f>
        <v/>
      </c>
      <c r="BN19" s="137" t="n"/>
      <c r="BO19" s="144" t="n"/>
      <c r="BP19" s="144" t="n"/>
      <c r="BQ19" s="95" t="n"/>
      <c r="BR19" s="95" t="n"/>
      <c r="BS19" s="95">
        <f>IF($BP19="","",IFERROR(IF(ROUND(VLOOKUP($BP19,DADOS!$CL$5:$CM$10,2,FALSE)*IF($BQ19="",1,VLOOKUP($BQ19,DADOS!$CO$5:$CP$7,2,FALSE))*IF($BR19="",1,VLOOKUP($BR19,DADOS!$CR$5:$CS$15,2,FALSE)),4)&gt;0,MAX(1,FLOOR(ROUND(VLOOKUP($BP19,DADOS!$CL$5:$CM$10,2,FALSE)*IF($BQ19="",1,VLOOKUP($BQ19,DADOS!$CO$5:$CP$7,2,FALSE))*IF($BR19="",1,VLOOKUP($BR19,DADOS!$CR$5:$CS$15,2,FALSE)),4),1)),0),""))</f>
        <v/>
      </c>
      <c r="BT19" s="137" t="n"/>
    </row>
    <row r="20">
      <c r="B20" s="22" t="n"/>
      <c r="C20" s="137" t="n"/>
      <c r="D20" s="21" t="n"/>
      <c r="O20" s="22" t="n"/>
      <c r="P20" s="137" t="n"/>
      <c r="Q20" s="23" t="n"/>
      <c r="R20" s="24" t="n"/>
      <c r="S20" s="24" t="n"/>
      <c r="T20" s="24" t="n"/>
      <c r="U20" s="24" t="n"/>
      <c r="V20" s="24" t="n"/>
      <c r="W20" s="24" t="n"/>
      <c r="X20" s="24" t="n"/>
      <c r="Y20" s="24" t="n"/>
      <c r="Z20" s="24" t="n"/>
      <c r="AA20" s="24" t="n"/>
      <c r="AB20" s="24" t="n"/>
      <c r="AC20" s="24" t="n"/>
      <c r="AD20" s="24" t="n"/>
      <c r="AE20" s="24" t="n"/>
      <c r="AF20" s="24" t="n"/>
      <c r="AG20" s="25" t="n"/>
      <c r="AH20" s="137" t="n"/>
      <c r="AI20" s="23" t="n"/>
      <c r="AJ20" s="24" t="n"/>
      <c r="AK20" s="24" t="n"/>
      <c r="AL20" s="24" t="n"/>
      <c r="AM20" s="24" t="n"/>
      <c r="AN20" s="24" t="n"/>
      <c r="AO20" s="24" t="n"/>
      <c r="AP20" s="24" t="n"/>
      <c r="AQ20" s="24" t="n"/>
      <c r="AR20" s="24" t="n"/>
      <c r="AS20" s="24" t="n"/>
      <c r="AT20" s="25" t="n"/>
      <c r="AU20" s="137" t="n"/>
      <c r="AV20" s="137" t="n"/>
      <c r="AW20" s="144" t="n"/>
      <c r="AX20" s="144" t="n"/>
      <c r="AY20" s="95" t="n"/>
      <c r="AZ20" s="95" t="n"/>
      <c r="BA20" s="95">
        <f>IF($AX20="","",IFERROR(IF(ROUND(VLOOKUP($AX20,DADOS!$CL$5:$CM$10,2,FALSE)*IF($AY20="",1,VLOOKUP($AY20,DADOS!$CO$5:$CP$7,2,FALSE))*IF($AZ20="",1,VLOOKUP($AZ20,DADOS!$CR$5:$CS$15,2,FALSE)),4)&gt;0,MAX(1,FLOOR(ROUND(VLOOKUP($AX20,DADOS!$CL$5:$CM$10,2,FALSE)*IF($AY20="",1,VLOOKUP($AY20,DADOS!$CO$5:$CP$7,2,FALSE))*IF($AZ20="",1,VLOOKUP($AZ20,DADOS!$CR$5:$CS$15,2,FALSE)),4),1)),0),""))</f>
        <v/>
      </c>
      <c r="BB20" s="137" t="n"/>
      <c r="BC20" s="144" t="n"/>
      <c r="BD20" s="144" t="n"/>
      <c r="BE20" s="95" t="n"/>
      <c r="BF20" s="95" t="n"/>
      <c r="BG20" s="95">
        <f>IF($BD20="","",IFERROR(IF(ROUND(VLOOKUP($BD20,DADOS!$CL$5:$CM$10,2,FALSE)*IF($BE20="",1,VLOOKUP($BE20,DADOS!$CO$5:$CP$7,2,FALSE))*IF($BF20="",1,VLOOKUP($BF20,DADOS!$CR$5:$CS$15,2,FALSE)),4)&gt;0,MAX(1,FLOOR(ROUND(VLOOKUP($BD20,DADOS!$CL$5:$CM$10,2,FALSE)*IF($BE20="",1,VLOOKUP($BE20,DADOS!$CO$5:$CP$7,2,FALSE))*IF($BF20="",1,VLOOKUP($BF20,DADOS!$CR$5:$CS$15,2,FALSE)),4),1)),0),""))</f>
        <v/>
      </c>
      <c r="BH20" s="137" t="n"/>
      <c r="BI20" s="144" t="n"/>
      <c r="BJ20" s="144" t="n"/>
      <c r="BK20" s="95" t="n"/>
      <c r="BL20" s="95" t="n"/>
      <c r="BM20" s="95">
        <f>IF($BJ20="","",IFERROR(IF(ROUND(VLOOKUP($BJ20,DADOS!$CL$5:$CM$10,2,FALSE)*IF($BK20="",1,VLOOKUP($BK20,DADOS!$CO$5:$CP$7,2,FALSE))*IF($BL20="",1,VLOOKUP($BL20,DADOS!$CR$5:$CS$15,2,FALSE)),4)&gt;0,MAX(1,FLOOR(ROUND(VLOOKUP($BJ20,DADOS!$CL$5:$CM$10,2,FALSE)*IF($BK20="",1,VLOOKUP($BK20,DADOS!$CO$5:$CP$7,2,FALSE))*IF($BL20="",1,VLOOKUP($BL20,DADOS!$CR$5:$CS$15,2,FALSE)),4),1)),0),""))</f>
        <v/>
      </c>
      <c r="BN20" s="137" t="n"/>
      <c r="BO20" s="144" t="n"/>
      <c r="BP20" s="144" t="n"/>
      <c r="BQ20" s="95" t="n"/>
      <c r="BR20" s="95" t="n"/>
      <c r="BS20" s="95">
        <f>IF($BP20="","",IFERROR(IF(ROUND(VLOOKUP($BP20,DADOS!$CL$5:$CM$10,2,FALSE)*IF($BQ20="",1,VLOOKUP($BQ20,DADOS!$CO$5:$CP$7,2,FALSE))*IF($BR20="",1,VLOOKUP($BR20,DADOS!$CR$5:$CS$15,2,FALSE)),4)&gt;0,MAX(1,FLOOR(ROUND(VLOOKUP($BP20,DADOS!$CL$5:$CM$10,2,FALSE)*IF($BQ20="",1,VLOOKUP($BQ20,DADOS!$CO$5:$CP$7,2,FALSE))*IF($BR20="",1,VLOOKUP($BR20,DADOS!$CR$5:$CS$15,2,FALSE)),4),1)),0),""))</f>
        <v/>
      </c>
      <c r="BT20" s="137" t="n"/>
    </row>
    <row r="21">
      <c r="B21" s="22" t="n"/>
      <c r="C21" s="137" t="n"/>
      <c r="D21" s="21" t="n"/>
      <c r="O21" s="22" t="n"/>
      <c r="P21" s="137" t="n"/>
      <c r="Q21" s="137" t="n"/>
      <c r="R21" s="137" t="n"/>
      <c r="S21" s="137" t="n"/>
      <c r="T21" s="137" t="n"/>
      <c r="U21" s="137" t="n"/>
      <c r="V21" s="137" t="n"/>
      <c r="W21" s="137" t="n"/>
      <c r="X21" s="137" t="n"/>
      <c r="Y21" s="137" t="n"/>
      <c r="Z21" s="137" t="n"/>
      <c r="AA21" s="137" t="n"/>
      <c r="AB21" s="137" t="n"/>
      <c r="AC21" s="137" t="n"/>
      <c r="AD21" s="137" t="n"/>
      <c r="AE21" s="137" t="n"/>
      <c r="AF21" s="137" t="n"/>
      <c r="AG21" s="137" t="n"/>
      <c r="AH21" s="137" t="n"/>
      <c r="AI21" s="137" t="n"/>
      <c r="AJ21" s="137" t="n"/>
      <c r="AK21" s="137" t="n"/>
      <c r="AL21" s="137" t="n"/>
      <c r="AM21" s="137" t="n"/>
      <c r="AN21" s="137" t="n"/>
      <c r="AO21" s="137" t="n"/>
      <c r="AP21" s="137" t="n"/>
      <c r="AQ21" s="137" t="n"/>
      <c r="AR21" s="137" t="n"/>
      <c r="AS21" s="137" t="n"/>
      <c r="AT21" s="137" t="n"/>
      <c r="AU21" s="137" t="n"/>
      <c r="AV21" s="137" t="n"/>
      <c r="AW21" s="144" t="n"/>
      <c r="AX21" s="144" t="n"/>
      <c r="AY21" s="95" t="n"/>
      <c r="AZ21" s="95" t="n"/>
      <c r="BA21" s="95">
        <f>IF($AX21="","",IFERROR(IF(ROUND(VLOOKUP($AX21,DADOS!$CL$5:$CM$10,2,FALSE)*IF($AY21="",1,VLOOKUP($AY21,DADOS!$CO$5:$CP$7,2,FALSE))*IF($AZ21="",1,VLOOKUP($AZ21,DADOS!$CR$5:$CS$15,2,FALSE)),4)&gt;0,MAX(1,FLOOR(ROUND(VLOOKUP($AX21,DADOS!$CL$5:$CM$10,2,FALSE)*IF($AY21="",1,VLOOKUP($AY21,DADOS!$CO$5:$CP$7,2,FALSE))*IF($AZ21="",1,VLOOKUP($AZ21,DADOS!$CR$5:$CS$15,2,FALSE)),4),1)),0),""))</f>
        <v/>
      </c>
      <c r="BB21" s="137" t="n"/>
      <c r="BC21" s="144" t="n"/>
      <c r="BD21" s="144" t="n"/>
      <c r="BE21" s="95" t="n"/>
      <c r="BF21" s="95" t="n"/>
      <c r="BG21" s="95">
        <f>IF($BD21="","",IFERROR(IF(ROUND(VLOOKUP($BD21,DADOS!$CL$5:$CM$10,2,FALSE)*IF($BE21="",1,VLOOKUP($BE21,DADOS!$CO$5:$CP$7,2,FALSE))*IF($BF21="",1,VLOOKUP($BF21,DADOS!$CR$5:$CS$15,2,FALSE)),4)&gt;0,MAX(1,FLOOR(ROUND(VLOOKUP($BD21,DADOS!$CL$5:$CM$10,2,FALSE)*IF($BE21="",1,VLOOKUP($BE21,DADOS!$CO$5:$CP$7,2,FALSE))*IF($BF21="",1,VLOOKUP($BF21,DADOS!$CR$5:$CS$15,2,FALSE)),4),1)),0),""))</f>
        <v/>
      </c>
      <c r="BH21" s="137" t="n"/>
      <c r="BI21" s="144" t="n"/>
      <c r="BJ21" s="144" t="n"/>
      <c r="BK21" s="95" t="n"/>
      <c r="BL21" s="95" t="n"/>
      <c r="BM21" s="95">
        <f>IF($BJ21="","",IFERROR(IF(ROUND(VLOOKUP($BJ21,DADOS!$CL$5:$CM$10,2,FALSE)*IF($BK21="",1,VLOOKUP($BK21,DADOS!$CO$5:$CP$7,2,FALSE))*IF($BL21="",1,VLOOKUP($BL21,DADOS!$CR$5:$CS$15,2,FALSE)),4)&gt;0,MAX(1,FLOOR(ROUND(VLOOKUP($BJ21,DADOS!$CL$5:$CM$10,2,FALSE)*IF($BK21="",1,VLOOKUP($BK21,DADOS!$CO$5:$CP$7,2,FALSE))*IF($BL21="",1,VLOOKUP($BL21,DADOS!$CR$5:$CS$15,2,FALSE)),4),1)),0),""))</f>
        <v/>
      </c>
      <c r="BN21" s="137" t="n"/>
      <c r="BO21" s="144" t="n"/>
      <c r="BP21" s="144" t="n"/>
      <c r="BQ21" s="95" t="n"/>
      <c r="BR21" s="95" t="n"/>
      <c r="BS21" s="95">
        <f>IF($BP21="","",IFERROR(IF(ROUND(VLOOKUP($BP21,DADOS!$CL$5:$CM$10,2,FALSE)*IF($BQ21="",1,VLOOKUP($BQ21,DADOS!$CO$5:$CP$7,2,FALSE))*IF($BR21="",1,VLOOKUP($BR21,DADOS!$CR$5:$CS$15,2,FALSE)),4)&gt;0,MAX(1,FLOOR(ROUND(VLOOKUP($BP21,DADOS!$CL$5:$CM$10,2,FALSE)*IF($BQ21="",1,VLOOKUP($BQ21,DADOS!$CO$5:$CP$7,2,FALSE))*IF($BR21="",1,VLOOKUP($BR21,DADOS!$CR$5:$CS$15,2,FALSE)),4),1)),0),""))</f>
        <v/>
      </c>
      <c r="BT21" s="137" t="n"/>
    </row>
    <row r="22">
      <c r="B22" s="22" t="n"/>
      <c r="C22" s="137" t="n"/>
      <c r="D22" s="21" t="n"/>
      <c r="O22" s="22" t="n"/>
      <c r="P22" s="137" t="n"/>
      <c r="Q22" s="56" t="inlineStr">
        <is>
          <t>TRAÇO · UMA FRASE DA SUA HISTÓRIA</t>
        </is>
      </c>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6" t="n"/>
      <c r="AO22" s="16" t="n"/>
      <c r="AP22" s="16" t="n"/>
      <c r="AQ22" s="16" t="n"/>
      <c r="AR22" s="16" t="n"/>
      <c r="AS22" s="16" t="n"/>
      <c r="AT22" s="17" t="n"/>
      <c r="AU22" s="137" t="n"/>
      <c r="AV22" s="137" t="n"/>
      <c r="AW22" s="144" t="n"/>
      <c r="AX22" s="144" t="n"/>
      <c r="AY22" s="95" t="n"/>
      <c r="AZ22" s="95" t="n"/>
      <c r="BA22" s="95">
        <f>IF($AX22="","",IFERROR(IF(ROUND(VLOOKUP($AX22,DADOS!$CL$5:$CM$10,2,FALSE)*IF($AY22="",1,VLOOKUP($AY22,DADOS!$CO$5:$CP$7,2,FALSE))*IF($AZ22="",1,VLOOKUP($AZ22,DADOS!$CR$5:$CS$15,2,FALSE)),4)&gt;0,MAX(1,FLOOR(ROUND(VLOOKUP($AX22,DADOS!$CL$5:$CM$10,2,FALSE)*IF($AY22="",1,VLOOKUP($AY22,DADOS!$CO$5:$CP$7,2,FALSE))*IF($AZ22="",1,VLOOKUP($AZ22,DADOS!$CR$5:$CS$15,2,FALSE)),4),1)),0),""))</f>
        <v/>
      </c>
      <c r="BB22" s="137" t="n"/>
      <c r="BC22" s="144" t="n"/>
      <c r="BD22" s="144" t="n"/>
      <c r="BE22" s="95" t="n"/>
      <c r="BF22" s="95" t="n"/>
      <c r="BG22" s="95">
        <f>IF($BD22="","",IFERROR(IF(ROUND(VLOOKUP($BD22,DADOS!$CL$5:$CM$10,2,FALSE)*IF($BE22="",1,VLOOKUP($BE22,DADOS!$CO$5:$CP$7,2,FALSE))*IF($BF22="",1,VLOOKUP($BF22,DADOS!$CR$5:$CS$15,2,FALSE)),4)&gt;0,MAX(1,FLOOR(ROUND(VLOOKUP($BD22,DADOS!$CL$5:$CM$10,2,FALSE)*IF($BE22="",1,VLOOKUP($BE22,DADOS!$CO$5:$CP$7,2,FALSE))*IF($BF22="",1,VLOOKUP($BF22,DADOS!$CR$5:$CS$15,2,FALSE)),4),1)),0),""))</f>
        <v/>
      </c>
      <c r="BH22" s="137" t="n"/>
      <c r="BI22" s="144" t="n"/>
      <c r="BJ22" s="144" t="n"/>
      <c r="BK22" s="95" t="n"/>
      <c r="BL22" s="95" t="n"/>
      <c r="BM22" s="95">
        <f>IF($BJ22="","",IFERROR(IF(ROUND(VLOOKUP($BJ22,DADOS!$CL$5:$CM$10,2,FALSE)*IF($BK22="",1,VLOOKUP($BK22,DADOS!$CO$5:$CP$7,2,FALSE))*IF($BL22="",1,VLOOKUP($BL22,DADOS!$CR$5:$CS$15,2,FALSE)),4)&gt;0,MAX(1,FLOOR(ROUND(VLOOKUP($BJ22,DADOS!$CL$5:$CM$10,2,FALSE)*IF($BK22="",1,VLOOKUP($BK22,DADOS!$CO$5:$CP$7,2,FALSE))*IF($BL22="",1,VLOOKUP($BL22,DADOS!$CR$5:$CS$15,2,FALSE)),4),1)),0),""))</f>
        <v/>
      </c>
      <c r="BN22" s="137" t="n"/>
      <c r="BO22" s="144" t="n"/>
      <c r="BP22" s="144" t="n"/>
      <c r="BQ22" s="95" t="n"/>
      <c r="BR22" s="95" t="n"/>
      <c r="BS22" s="95">
        <f>IF($BP22="","",IFERROR(IF(ROUND(VLOOKUP($BP22,DADOS!$CL$5:$CM$10,2,FALSE)*IF($BQ22="",1,VLOOKUP($BQ22,DADOS!$CO$5:$CP$7,2,FALSE))*IF($BR22="",1,VLOOKUP($BR22,DADOS!$CR$5:$CS$15,2,FALSE)),4)&gt;0,MAX(1,FLOOR(ROUND(VLOOKUP($BP22,DADOS!$CL$5:$CM$10,2,FALSE)*IF($BQ22="",1,VLOOKUP($BQ22,DADOS!$CO$5:$CP$7,2,FALSE))*IF($BR22="",1,VLOOKUP($BR22,DADOS!$CR$5:$CS$15,2,FALSE)),4),1)),0),""))</f>
        <v/>
      </c>
      <c r="BT22" s="137" t="n"/>
    </row>
    <row r="23">
      <c r="B23" s="22" t="n"/>
      <c r="C23" s="137" t="n"/>
      <c r="D23" s="21" t="n"/>
      <c r="O23" s="22" t="n"/>
      <c r="P23" s="137" t="n"/>
      <c r="Q23" s="61" t="n"/>
      <c r="R23" s="19" t="n"/>
      <c r="S23" s="19" t="n"/>
      <c r="T23" s="19" t="n"/>
      <c r="U23" s="19" t="n"/>
      <c r="V23" s="19" t="n"/>
      <c r="W23" s="19"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20" t="n"/>
      <c r="AU23" s="137" t="n"/>
      <c r="AV23" s="137" t="n"/>
      <c r="AW23" s="144" t="n"/>
      <c r="AX23" s="144" t="n"/>
      <c r="AY23" s="95" t="n"/>
      <c r="AZ23" s="95" t="n"/>
      <c r="BA23" s="95">
        <f>IF($AX23="","",IFERROR(IF(ROUND(VLOOKUP($AX23,DADOS!$CL$5:$CM$10,2,FALSE)*IF($AY23="",1,VLOOKUP($AY23,DADOS!$CO$5:$CP$7,2,FALSE))*IF($AZ23="",1,VLOOKUP($AZ23,DADOS!$CR$5:$CS$15,2,FALSE)),4)&gt;0,MAX(1,FLOOR(ROUND(VLOOKUP($AX23,DADOS!$CL$5:$CM$10,2,FALSE)*IF($AY23="",1,VLOOKUP($AY23,DADOS!$CO$5:$CP$7,2,FALSE))*IF($AZ23="",1,VLOOKUP($AZ23,DADOS!$CR$5:$CS$15,2,FALSE)),4),1)),0),""))</f>
        <v/>
      </c>
      <c r="BB23" s="137" t="n"/>
      <c r="BC23" s="144" t="n"/>
      <c r="BD23" s="144" t="n"/>
      <c r="BE23" s="95" t="n"/>
      <c r="BF23" s="95" t="n"/>
      <c r="BG23" s="95">
        <f>IF($BD23="","",IFERROR(IF(ROUND(VLOOKUP($BD23,DADOS!$CL$5:$CM$10,2,FALSE)*IF($BE23="",1,VLOOKUP($BE23,DADOS!$CO$5:$CP$7,2,FALSE))*IF($BF23="",1,VLOOKUP($BF23,DADOS!$CR$5:$CS$15,2,FALSE)),4)&gt;0,MAX(1,FLOOR(ROUND(VLOOKUP($BD23,DADOS!$CL$5:$CM$10,2,FALSE)*IF($BE23="",1,VLOOKUP($BE23,DADOS!$CO$5:$CP$7,2,FALSE))*IF($BF23="",1,VLOOKUP($BF23,DADOS!$CR$5:$CS$15,2,FALSE)),4),1)),0),""))</f>
        <v/>
      </c>
      <c r="BH23" s="137" t="n"/>
      <c r="BI23" s="144" t="n"/>
      <c r="BJ23" s="144" t="n"/>
      <c r="BK23" s="95" t="n"/>
      <c r="BL23" s="95" t="n"/>
      <c r="BM23" s="95">
        <f>IF($BJ23="","",IFERROR(IF(ROUND(VLOOKUP($BJ23,DADOS!$CL$5:$CM$10,2,FALSE)*IF($BK23="",1,VLOOKUP($BK23,DADOS!$CO$5:$CP$7,2,FALSE))*IF($BL23="",1,VLOOKUP($BL23,DADOS!$CR$5:$CS$15,2,FALSE)),4)&gt;0,MAX(1,FLOOR(ROUND(VLOOKUP($BJ23,DADOS!$CL$5:$CM$10,2,FALSE)*IF($BK23="",1,VLOOKUP($BK23,DADOS!$CO$5:$CP$7,2,FALSE))*IF($BL23="",1,VLOOKUP($BL23,DADOS!$CR$5:$CS$15,2,FALSE)),4),1)),0),""))</f>
        <v/>
      </c>
      <c r="BN23" s="137" t="n"/>
      <c r="BO23" s="144" t="n"/>
      <c r="BP23" s="144" t="n"/>
      <c r="BQ23" s="95" t="n"/>
      <c r="BR23" s="95" t="n"/>
      <c r="BS23" s="95">
        <f>IF($BP23="","",IFERROR(IF(ROUND(VLOOKUP($BP23,DADOS!$CL$5:$CM$10,2,FALSE)*IF($BQ23="",1,VLOOKUP($BQ23,DADOS!$CO$5:$CP$7,2,FALSE))*IF($BR23="",1,VLOOKUP($BR23,DADOS!$CR$5:$CS$15,2,FALSE)),4)&gt;0,MAX(1,FLOOR(ROUND(VLOOKUP($BP23,DADOS!$CL$5:$CM$10,2,FALSE)*IF($BQ23="",1,VLOOKUP($BQ23,DADOS!$CO$5:$CP$7,2,FALSE))*IF($BR23="",1,VLOOKUP($BR23,DADOS!$CR$5:$CS$15,2,FALSE)),4),1)),0),""))</f>
        <v/>
      </c>
      <c r="BT23" s="137" t="n"/>
    </row>
    <row r="24">
      <c r="B24" s="22" t="n"/>
      <c r="C24" s="137" t="n"/>
      <c r="D24" s="21" t="n"/>
      <c r="O24" s="22" t="n"/>
      <c r="P24" s="137" t="n"/>
      <c r="Q24" s="23" t="n"/>
      <c r="R24" s="24" t="n"/>
      <c r="S24" s="24" t="n"/>
      <c r="T24" s="24" t="n"/>
      <c r="U24" s="24" t="n"/>
      <c r="V24" s="24" t="n"/>
      <c r="W24" s="24" t="n"/>
      <c r="X24" s="24" t="n"/>
      <c r="Y24" s="24" t="n"/>
      <c r="Z24" s="24" t="n"/>
      <c r="AA24" s="24" t="n"/>
      <c r="AB24" s="24" t="n"/>
      <c r="AC24" s="24" t="n"/>
      <c r="AD24" s="24" t="n"/>
      <c r="AE24" s="24" t="n"/>
      <c r="AF24" s="24" t="n"/>
      <c r="AG24" s="24" t="n"/>
      <c r="AH24" s="24" t="n"/>
      <c r="AI24" s="24" t="n"/>
      <c r="AJ24" s="24" t="n"/>
      <c r="AK24" s="24" t="n"/>
      <c r="AL24" s="24" t="n"/>
      <c r="AM24" s="24" t="n"/>
      <c r="AN24" s="24" t="n"/>
      <c r="AO24" s="24" t="n"/>
      <c r="AP24" s="24" t="n"/>
      <c r="AQ24" s="24" t="n"/>
      <c r="AR24" s="24" t="n"/>
      <c r="AS24" s="24" t="n"/>
      <c r="AT24" s="25" t="n"/>
      <c r="AU24" s="137" t="n"/>
      <c r="AV24" s="137" t="n"/>
      <c r="AW24" s="144" t="n"/>
      <c r="AX24" s="144" t="n"/>
      <c r="AY24" s="95" t="n"/>
      <c r="AZ24" s="95" t="n"/>
      <c r="BA24" s="95">
        <f>IF($AX24="","",IFERROR(IF(ROUND(VLOOKUP($AX24,DADOS!$CL$5:$CM$10,2,FALSE)*IF($AY24="",1,VLOOKUP($AY24,DADOS!$CO$5:$CP$7,2,FALSE))*IF($AZ24="",1,VLOOKUP($AZ24,DADOS!$CR$5:$CS$15,2,FALSE)),4)&gt;0,MAX(1,FLOOR(ROUND(VLOOKUP($AX24,DADOS!$CL$5:$CM$10,2,FALSE)*IF($AY24="",1,VLOOKUP($AY24,DADOS!$CO$5:$CP$7,2,FALSE))*IF($AZ24="",1,VLOOKUP($AZ24,DADOS!$CR$5:$CS$15,2,FALSE)),4),1)),0),""))</f>
        <v/>
      </c>
      <c r="BB24" s="137" t="n"/>
      <c r="BC24" s="144" t="n"/>
      <c r="BD24" s="144" t="n"/>
      <c r="BE24" s="95" t="n"/>
      <c r="BF24" s="95" t="n"/>
      <c r="BG24" s="95">
        <f>IF($BD24="","",IFERROR(IF(ROUND(VLOOKUP($BD24,DADOS!$CL$5:$CM$10,2,FALSE)*IF($BE24="",1,VLOOKUP($BE24,DADOS!$CO$5:$CP$7,2,FALSE))*IF($BF24="",1,VLOOKUP($BF24,DADOS!$CR$5:$CS$15,2,FALSE)),4)&gt;0,MAX(1,FLOOR(ROUND(VLOOKUP($BD24,DADOS!$CL$5:$CM$10,2,FALSE)*IF($BE24="",1,VLOOKUP($BE24,DADOS!$CO$5:$CP$7,2,FALSE))*IF($BF24="",1,VLOOKUP($BF24,DADOS!$CR$5:$CS$15,2,FALSE)),4),1)),0),""))</f>
        <v/>
      </c>
      <c r="BH24" s="137" t="n"/>
      <c r="BI24" s="144" t="n"/>
      <c r="BJ24" s="144" t="n"/>
      <c r="BK24" s="95" t="n"/>
      <c r="BL24" s="95" t="n"/>
      <c r="BM24" s="95">
        <f>IF($BJ24="","",IFERROR(IF(ROUND(VLOOKUP($BJ24,DADOS!$CL$5:$CM$10,2,FALSE)*IF($BK24="",1,VLOOKUP($BK24,DADOS!$CO$5:$CP$7,2,FALSE))*IF($BL24="",1,VLOOKUP($BL24,DADOS!$CR$5:$CS$15,2,FALSE)),4)&gt;0,MAX(1,FLOOR(ROUND(VLOOKUP($BJ24,DADOS!$CL$5:$CM$10,2,FALSE)*IF($BK24="",1,VLOOKUP($BK24,DADOS!$CO$5:$CP$7,2,FALSE))*IF($BL24="",1,VLOOKUP($BL24,DADOS!$CR$5:$CS$15,2,FALSE)),4),1)),0),""))</f>
        <v/>
      </c>
      <c r="BN24" s="137" t="n"/>
      <c r="BO24" s="144" t="n"/>
      <c r="BP24" s="144" t="n"/>
      <c r="BQ24" s="95" t="n"/>
      <c r="BR24" s="95" t="n"/>
      <c r="BS24" s="95">
        <f>IF($BP24="","",IFERROR(IF(ROUND(VLOOKUP($BP24,DADOS!$CL$5:$CM$10,2,FALSE)*IF($BQ24="",1,VLOOKUP($BQ24,DADOS!$CO$5:$CP$7,2,FALSE))*IF($BR24="",1,VLOOKUP($BR24,DADOS!$CR$5:$CS$15,2,FALSE)),4)&gt;0,MAX(1,FLOOR(ROUND(VLOOKUP($BP24,DADOS!$CL$5:$CM$10,2,FALSE)*IF($BQ24="",1,VLOOKUP($BQ24,DADOS!$CO$5:$CP$7,2,FALSE))*IF($BR24="",1,VLOOKUP($BR24,DADOS!$CR$5:$CS$15,2,FALSE)),4),1)),0),""))</f>
        <v/>
      </c>
      <c r="BT24" s="137" t="n"/>
    </row>
    <row r="25">
      <c r="B25" s="22" t="n"/>
      <c r="C25" s="137" t="n"/>
      <c r="D25" s="21" t="n"/>
      <c r="O25" s="22" t="n"/>
      <c r="P25" s="137" t="n"/>
      <c r="Q25" s="137" t="n"/>
      <c r="R25" s="137" t="n"/>
      <c r="S25" s="137" t="n"/>
      <c r="T25" s="137" t="n"/>
      <c r="U25" s="137" t="n"/>
      <c r="V25" s="137" t="n"/>
      <c r="W25" s="137" t="n"/>
      <c r="X25" s="137" t="n"/>
      <c r="Y25" s="137" t="n"/>
      <c r="Z25" s="137" t="n"/>
      <c r="AA25" s="137" t="n"/>
      <c r="AB25" s="137" t="n"/>
      <c r="AC25" s="137" t="n"/>
      <c r="AD25" s="137" t="n"/>
      <c r="AE25" s="137" t="n"/>
      <c r="AF25" s="137" t="n"/>
      <c r="AG25" s="137" t="n"/>
      <c r="AH25" s="137" t="n"/>
      <c r="AI25" s="137" t="n"/>
      <c r="AJ25" s="137" t="n"/>
      <c r="AK25" s="137" t="n"/>
      <c r="AL25" s="137" t="n"/>
      <c r="AM25" s="137" t="n"/>
      <c r="AN25" s="137" t="n"/>
      <c r="AO25" s="137" t="n"/>
      <c r="AP25" s="137" t="n"/>
      <c r="AQ25" s="137" t="n"/>
      <c r="AR25" s="137" t="n"/>
      <c r="AS25" s="137" t="n"/>
      <c r="AT25" s="137" t="n"/>
      <c r="AU25" s="137" t="n"/>
      <c r="AV25" s="137" t="n"/>
      <c r="AW25" s="144" t="n"/>
      <c r="AX25" s="144" t="n"/>
      <c r="AY25" s="95" t="n"/>
      <c r="AZ25" s="95" t="n"/>
      <c r="BA25" s="95">
        <f>IF($AX25="","",IFERROR(IF(ROUND(VLOOKUP($AX25,DADOS!$CL$5:$CM$10,2,FALSE)*IF($AY25="",1,VLOOKUP($AY25,DADOS!$CO$5:$CP$7,2,FALSE))*IF($AZ25="",1,VLOOKUP($AZ25,DADOS!$CR$5:$CS$15,2,FALSE)),4)&gt;0,MAX(1,FLOOR(ROUND(VLOOKUP($AX25,DADOS!$CL$5:$CM$10,2,FALSE)*IF($AY25="",1,VLOOKUP($AY25,DADOS!$CO$5:$CP$7,2,FALSE))*IF($AZ25="",1,VLOOKUP($AZ25,DADOS!$CR$5:$CS$15,2,FALSE)),4),1)),0),""))</f>
        <v/>
      </c>
      <c r="BB25" s="137" t="n"/>
      <c r="BC25" s="144" t="n"/>
      <c r="BD25" s="144" t="n"/>
      <c r="BE25" s="95" t="n"/>
      <c r="BF25" s="95" t="n"/>
      <c r="BG25" s="95">
        <f>IF($BD25="","",IFERROR(IF(ROUND(VLOOKUP($BD25,DADOS!$CL$5:$CM$10,2,FALSE)*IF($BE25="",1,VLOOKUP($BE25,DADOS!$CO$5:$CP$7,2,FALSE))*IF($BF25="",1,VLOOKUP($BF25,DADOS!$CR$5:$CS$15,2,FALSE)),4)&gt;0,MAX(1,FLOOR(ROUND(VLOOKUP($BD25,DADOS!$CL$5:$CM$10,2,FALSE)*IF($BE25="",1,VLOOKUP($BE25,DADOS!$CO$5:$CP$7,2,FALSE))*IF($BF25="",1,VLOOKUP($BF25,DADOS!$CR$5:$CS$15,2,FALSE)),4),1)),0),""))</f>
        <v/>
      </c>
      <c r="BH25" s="137" t="n"/>
      <c r="BI25" s="144" t="n"/>
      <c r="BJ25" s="144" t="n"/>
      <c r="BK25" s="95" t="n"/>
      <c r="BL25" s="95" t="n"/>
      <c r="BM25" s="95">
        <f>IF($BJ25="","",IFERROR(IF(ROUND(VLOOKUP($BJ25,DADOS!$CL$5:$CM$10,2,FALSE)*IF($BK25="",1,VLOOKUP($BK25,DADOS!$CO$5:$CP$7,2,FALSE))*IF($BL25="",1,VLOOKUP($BL25,DADOS!$CR$5:$CS$15,2,FALSE)),4)&gt;0,MAX(1,FLOOR(ROUND(VLOOKUP($BJ25,DADOS!$CL$5:$CM$10,2,FALSE)*IF($BK25="",1,VLOOKUP($BK25,DADOS!$CO$5:$CP$7,2,FALSE))*IF($BL25="",1,VLOOKUP($BL25,DADOS!$CR$5:$CS$15,2,FALSE)),4),1)),0),""))</f>
        <v/>
      </c>
      <c r="BN25" s="137" t="n"/>
      <c r="BO25" s="144" t="n"/>
      <c r="BP25" s="144" t="n"/>
      <c r="BQ25" s="95" t="n"/>
      <c r="BR25" s="95" t="n"/>
      <c r="BS25" s="95">
        <f>IF($BP25="","",IFERROR(IF(ROUND(VLOOKUP($BP25,DADOS!$CL$5:$CM$10,2,FALSE)*IF($BQ25="",1,VLOOKUP($BQ25,DADOS!$CO$5:$CP$7,2,FALSE))*IF($BR25="",1,VLOOKUP($BR25,DADOS!$CR$5:$CS$15,2,FALSE)),4)&gt;0,MAX(1,FLOOR(ROUND(VLOOKUP($BP25,DADOS!$CL$5:$CM$10,2,FALSE)*IF($BQ25="",1,VLOOKUP($BQ25,DADOS!$CO$5:$CP$7,2,FALSE))*IF($BR25="",1,VLOOKUP($BR25,DADOS!$CR$5:$CS$15,2,FALSE)),4),1)),0),""))</f>
        <v/>
      </c>
      <c r="BT25" s="137" t="n"/>
    </row>
    <row r="26">
      <c r="B26" s="22" t="n"/>
      <c r="C26" s="137" t="n"/>
      <c r="D26" s="21" t="n"/>
      <c r="O26" s="22" t="n"/>
      <c r="P26" s="137" t="n"/>
      <c r="Q26" s="56" t="inlineStr">
        <is>
          <t>HISTÓRIA</t>
        </is>
      </c>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c r="AL26" s="16" t="n"/>
      <c r="AM26" s="16" t="n"/>
      <c r="AN26" s="16" t="n"/>
      <c r="AO26" s="16" t="n"/>
      <c r="AP26" s="16" t="n"/>
      <c r="AQ26" s="16" t="n"/>
      <c r="AR26" s="16" t="n"/>
      <c r="AS26" s="16" t="n"/>
      <c r="AT26" s="17" t="n"/>
      <c r="AU26" s="137" t="n"/>
      <c r="AV26" s="137" t="n"/>
      <c r="AW26" s="144" t="n"/>
      <c r="AX26" s="144" t="n"/>
      <c r="AY26" s="95" t="n"/>
      <c r="AZ26" s="95" t="n"/>
      <c r="BA26" s="95">
        <f>IF($AX26="","",IFERROR(IF(ROUND(VLOOKUP($AX26,DADOS!$CL$5:$CM$10,2,FALSE)*IF($AY26="",1,VLOOKUP($AY26,DADOS!$CO$5:$CP$7,2,FALSE))*IF($AZ26="",1,VLOOKUP($AZ26,DADOS!$CR$5:$CS$15,2,FALSE)),4)&gt;0,MAX(1,FLOOR(ROUND(VLOOKUP($AX26,DADOS!$CL$5:$CM$10,2,FALSE)*IF($AY26="",1,VLOOKUP($AY26,DADOS!$CO$5:$CP$7,2,FALSE))*IF($AZ26="",1,VLOOKUP($AZ26,DADOS!$CR$5:$CS$15,2,FALSE)),4),1)),0),""))</f>
        <v/>
      </c>
      <c r="BB26" s="137" t="n"/>
      <c r="BC26" s="144" t="n"/>
      <c r="BD26" s="144" t="n"/>
      <c r="BE26" s="95" t="n"/>
      <c r="BF26" s="95" t="n"/>
      <c r="BG26" s="95">
        <f>IF($BD26="","",IFERROR(IF(ROUND(VLOOKUP($BD26,DADOS!$CL$5:$CM$10,2,FALSE)*IF($BE26="",1,VLOOKUP($BE26,DADOS!$CO$5:$CP$7,2,FALSE))*IF($BF26="",1,VLOOKUP($BF26,DADOS!$CR$5:$CS$15,2,FALSE)),4)&gt;0,MAX(1,FLOOR(ROUND(VLOOKUP($BD26,DADOS!$CL$5:$CM$10,2,FALSE)*IF($BE26="",1,VLOOKUP($BE26,DADOS!$CO$5:$CP$7,2,FALSE))*IF($BF26="",1,VLOOKUP($BF26,DADOS!$CR$5:$CS$15,2,FALSE)),4),1)),0),""))</f>
        <v/>
      </c>
      <c r="BH26" s="137" t="n"/>
      <c r="BI26" s="144" t="n"/>
      <c r="BJ26" s="144" t="n"/>
      <c r="BK26" s="95" t="n"/>
      <c r="BL26" s="95" t="n"/>
      <c r="BM26" s="95">
        <f>IF($BJ26="","",IFERROR(IF(ROUND(VLOOKUP($BJ26,DADOS!$CL$5:$CM$10,2,FALSE)*IF($BK26="",1,VLOOKUP($BK26,DADOS!$CO$5:$CP$7,2,FALSE))*IF($BL26="",1,VLOOKUP($BL26,DADOS!$CR$5:$CS$15,2,FALSE)),4)&gt;0,MAX(1,FLOOR(ROUND(VLOOKUP($BJ26,DADOS!$CL$5:$CM$10,2,FALSE)*IF($BK26="",1,VLOOKUP($BK26,DADOS!$CO$5:$CP$7,2,FALSE))*IF($BL26="",1,VLOOKUP($BL26,DADOS!$CR$5:$CS$15,2,FALSE)),4),1)),0),""))</f>
        <v/>
      </c>
      <c r="BN26" s="137" t="n"/>
      <c r="BO26" s="144" t="n"/>
      <c r="BP26" s="144" t="n"/>
      <c r="BQ26" s="95" t="n"/>
      <c r="BR26" s="95" t="n"/>
      <c r="BS26" s="95">
        <f>IF($BP26="","",IFERROR(IF(ROUND(VLOOKUP($BP26,DADOS!$CL$5:$CM$10,2,FALSE)*IF($BQ26="",1,VLOOKUP($BQ26,DADOS!$CO$5:$CP$7,2,FALSE))*IF($BR26="",1,VLOOKUP($BR26,DADOS!$CR$5:$CS$15,2,FALSE)),4)&gt;0,MAX(1,FLOOR(ROUND(VLOOKUP($BP26,DADOS!$CL$5:$CM$10,2,FALSE)*IF($BQ26="",1,VLOOKUP($BQ26,DADOS!$CO$5:$CP$7,2,FALSE))*IF($BR26="",1,VLOOKUP($BR26,DADOS!$CR$5:$CS$15,2,FALSE)),4),1)),0),""))</f>
        <v/>
      </c>
      <c r="BT26" s="137" t="n"/>
    </row>
    <row r="27">
      <c r="B27" s="22" t="n"/>
      <c r="C27" s="137" t="n"/>
      <c r="D27" s="21" t="n"/>
      <c r="O27" s="22" t="n"/>
      <c r="P27" s="137" t="n"/>
      <c r="Q27" s="61"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20" t="n"/>
      <c r="AU27" s="137" t="n"/>
      <c r="AV27" s="137" t="n"/>
      <c r="AW27" s="144" t="n"/>
      <c r="AX27" s="144" t="n"/>
      <c r="AY27" s="95" t="n"/>
      <c r="AZ27" s="95" t="n"/>
      <c r="BA27" s="95">
        <f>IF($AX27="","",IFERROR(IF(ROUND(VLOOKUP($AX27,DADOS!$CL$5:$CM$10,2,FALSE)*IF($AY27="",1,VLOOKUP($AY27,DADOS!$CO$5:$CP$7,2,FALSE))*IF($AZ27="",1,VLOOKUP($AZ27,DADOS!$CR$5:$CS$15,2,FALSE)),4)&gt;0,MAX(1,FLOOR(ROUND(VLOOKUP($AX27,DADOS!$CL$5:$CM$10,2,FALSE)*IF($AY27="",1,VLOOKUP($AY27,DADOS!$CO$5:$CP$7,2,FALSE))*IF($AZ27="",1,VLOOKUP($AZ27,DADOS!$CR$5:$CS$15,2,FALSE)),4),1)),0),""))</f>
        <v/>
      </c>
      <c r="BB27" s="137" t="n"/>
      <c r="BC27" s="144" t="n"/>
      <c r="BD27" s="144" t="n"/>
      <c r="BE27" s="95" t="n"/>
      <c r="BF27" s="95" t="n"/>
      <c r="BG27" s="95">
        <f>IF($BD27="","",IFERROR(IF(ROUND(VLOOKUP($BD27,DADOS!$CL$5:$CM$10,2,FALSE)*IF($BE27="",1,VLOOKUP($BE27,DADOS!$CO$5:$CP$7,2,FALSE))*IF($BF27="",1,VLOOKUP($BF27,DADOS!$CR$5:$CS$15,2,FALSE)),4)&gt;0,MAX(1,FLOOR(ROUND(VLOOKUP($BD27,DADOS!$CL$5:$CM$10,2,FALSE)*IF($BE27="",1,VLOOKUP($BE27,DADOS!$CO$5:$CP$7,2,FALSE))*IF($BF27="",1,VLOOKUP($BF27,DADOS!$CR$5:$CS$15,2,FALSE)),4),1)),0),""))</f>
        <v/>
      </c>
      <c r="BH27" s="137" t="n"/>
      <c r="BI27" s="144" t="n"/>
      <c r="BJ27" s="144" t="n"/>
      <c r="BK27" s="95" t="n"/>
      <c r="BL27" s="95" t="n"/>
      <c r="BM27" s="95">
        <f>IF($BJ27="","",IFERROR(IF(ROUND(VLOOKUP($BJ27,DADOS!$CL$5:$CM$10,2,FALSE)*IF($BK27="",1,VLOOKUP($BK27,DADOS!$CO$5:$CP$7,2,FALSE))*IF($BL27="",1,VLOOKUP($BL27,DADOS!$CR$5:$CS$15,2,FALSE)),4)&gt;0,MAX(1,FLOOR(ROUND(VLOOKUP($BJ27,DADOS!$CL$5:$CM$10,2,FALSE)*IF($BK27="",1,VLOOKUP($BK27,DADOS!$CO$5:$CP$7,2,FALSE))*IF($BL27="",1,VLOOKUP($BL27,DADOS!$CR$5:$CS$15,2,FALSE)),4),1)),0),""))</f>
        <v/>
      </c>
      <c r="BN27" s="137" t="n"/>
      <c r="BO27" s="144" t="n"/>
      <c r="BP27" s="144" t="n"/>
      <c r="BQ27" s="95" t="n"/>
      <c r="BR27" s="95" t="n"/>
      <c r="BS27" s="95">
        <f>IF($BP27="","",IFERROR(IF(ROUND(VLOOKUP($BP27,DADOS!$CL$5:$CM$10,2,FALSE)*IF($BQ27="",1,VLOOKUP($BQ27,DADOS!$CO$5:$CP$7,2,FALSE))*IF($BR27="",1,VLOOKUP($BR27,DADOS!$CR$5:$CS$15,2,FALSE)),4)&gt;0,MAX(1,FLOOR(ROUND(VLOOKUP($BP27,DADOS!$CL$5:$CM$10,2,FALSE)*IF($BQ27="",1,VLOOKUP($BQ27,DADOS!$CO$5:$CP$7,2,FALSE))*IF($BR27="",1,VLOOKUP($BR27,DADOS!$CR$5:$CS$15,2,FALSE)),4),1)),0),""))</f>
        <v/>
      </c>
      <c r="BT27" s="137" t="n"/>
    </row>
    <row r="28">
      <c r="B28" s="22" t="n"/>
      <c r="C28" s="137" t="n"/>
      <c r="D28" s="23" t="n"/>
      <c r="E28" s="24" t="n"/>
      <c r="F28" s="24" t="n"/>
      <c r="G28" s="24" t="n"/>
      <c r="H28" s="24" t="n"/>
      <c r="I28" s="24" t="n"/>
      <c r="J28" s="24" t="n"/>
      <c r="K28" s="24" t="n"/>
      <c r="L28" s="24" t="n"/>
      <c r="M28" s="24" t="n"/>
      <c r="N28" s="24" t="n"/>
      <c r="O28" s="25" t="n"/>
      <c r="P28" s="137" t="n"/>
      <c r="Q28" s="21" t="n"/>
      <c r="AT28" s="22" t="n"/>
      <c r="AU28" s="137" t="n"/>
      <c r="AV28" s="137" t="n"/>
      <c r="AW28" s="144" t="n"/>
      <c r="AX28" s="144" t="n"/>
      <c r="AY28" s="95" t="n"/>
      <c r="AZ28" s="95" t="n"/>
      <c r="BA28" s="95">
        <f>IF($AX28="","",IFERROR(IF(ROUND(VLOOKUP($AX28,DADOS!$CL$5:$CM$10,2,FALSE)*IF($AY28="",1,VLOOKUP($AY28,DADOS!$CO$5:$CP$7,2,FALSE))*IF($AZ28="",1,VLOOKUP($AZ28,DADOS!$CR$5:$CS$15,2,FALSE)),4)&gt;0,MAX(1,FLOOR(ROUND(VLOOKUP($AX28,DADOS!$CL$5:$CM$10,2,FALSE)*IF($AY28="",1,VLOOKUP($AY28,DADOS!$CO$5:$CP$7,2,FALSE))*IF($AZ28="",1,VLOOKUP($AZ28,DADOS!$CR$5:$CS$15,2,FALSE)),4),1)),0),""))</f>
        <v/>
      </c>
      <c r="BB28" s="137" t="n"/>
      <c r="BC28" s="144" t="n"/>
      <c r="BD28" s="144" t="n"/>
      <c r="BE28" s="95" t="n"/>
      <c r="BF28" s="95" t="n"/>
      <c r="BG28" s="95">
        <f>IF($BD28="","",IFERROR(IF(ROUND(VLOOKUP($BD28,DADOS!$CL$5:$CM$10,2,FALSE)*IF($BE28="",1,VLOOKUP($BE28,DADOS!$CO$5:$CP$7,2,FALSE))*IF($BF28="",1,VLOOKUP($BF28,DADOS!$CR$5:$CS$15,2,FALSE)),4)&gt;0,MAX(1,FLOOR(ROUND(VLOOKUP($BD28,DADOS!$CL$5:$CM$10,2,FALSE)*IF($BE28="",1,VLOOKUP($BE28,DADOS!$CO$5:$CP$7,2,FALSE))*IF($BF28="",1,VLOOKUP($BF28,DADOS!$CR$5:$CS$15,2,FALSE)),4),1)),0),""))</f>
        <v/>
      </c>
      <c r="BH28" s="137" t="n"/>
      <c r="BI28" s="144" t="n"/>
      <c r="BJ28" s="144" t="n"/>
      <c r="BK28" s="95" t="n"/>
      <c r="BL28" s="95" t="n"/>
      <c r="BM28" s="95">
        <f>IF($BJ28="","",IFERROR(IF(ROUND(VLOOKUP($BJ28,DADOS!$CL$5:$CM$10,2,FALSE)*IF($BK28="",1,VLOOKUP($BK28,DADOS!$CO$5:$CP$7,2,FALSE))*IF($BL28="",1,VLOOKUP($BL28,DADOS!$CR$5:$CS$15,2,FALSE)),4)&gt;0,MAX(1,FLOOR(ROUND(VLOOKUP($BJ28,DADOS!$CL$5:$CM$10,2,FALSE)*IF($BK28="",1,VLOOKUP($BK28,DADOS!$CO$5:$CP$7,2,FALSE))*IF($BL28="",1,VLOOKUP($BL28,DADOS!$CR$5:$CS$15,2,FALSE)),4),1)),0),""))</f>
        <v/>
      </c>
      <c r="BN28" s="137" t="n"/>
      <c r="BO28" s="144" t="n"/>
      <c r="BP28" s="144" t="n"/>
      <c r="BQ28" s="95" t="n"/>
      <c r="BR28" s="95" t="n"/>
      <c r="BS28" s="95">
        <f>IF($BP28="","",IFERROR(IF(ROUND(VLOOKUP($BP28,DADOS!$CL$5:$CM$10,2,FALSE)*IF($BQ28="",1,VLOOKUP($BQ28,DADOS!$CO$5:$CP$7,2,FALSE))*IF($BR28="",1,VLOOKUP($BR28,DADOS!$CR$5:$CS$15,2,FALSE)),4)&gt;0,MAX(1,FLOOR(ROUND(VLOOKUP($BP28,DADOS!$CL$5:$CM$10,2,FALSE)*IF($BQ28="",1,VLOOKUP($BQ28,DADOS!$CO$5:$CP$7,2,FALSE))*IF($BR28="",1,VLOOKUP($BR28,DADOS!$CR$5:$CS$15,2,FALSE)),4),1)),0),""))</f>
        <v/>
      </c>
      <c r="BT28" s="137" t="n"/>
    </row>
    <row r="29">
      <c r="B29" s="22" t="n"/>
      <c r="C29" s="137" t="n"/>
      <c r="D29" s="137" t="n"/>
      <c r="E29" s="137" t="n"/>
      <c r="F29" s="137" t="n"/>
      <c r="G29" s="137" t="n"/>
      <c r="H29" s="137" t="n"/>
      <c r="I29" s="137" t="n"/>
      <c r="J29" s="137" t="n"/>
      <c r="K29" s="137" t="n"/>
      <c r="L29" s="137" t="n"/>
      <c r="M29" s="137" t="n"/>
      <c r="N29" s="137" t="n"/>
      <c r="O29" s="137" t="n"/>
      <c r="P29" s="137" t="n"/>
      <c r="Q29" s="21" t="n"/>
      <c r="AT29" s="22" t="n"/>
      <c r="AU29" s="137" t="n"/>
      <c r="AV29" s="137" t="n"/>
      <c r="AW29" s="144" t="n"/>
      <c r="AX29" s="144" t="n"/>
      <c r="AY29" s="95" t="n"/>
      <c r="AZ29" s="95" t="n"/>
      <c r="BA29" s="95">
        <f>IF($AX29="","",IFERROR(IF(ROUND(VLOOKUP($AX29,DADOS!$CL$5:$CM$10,2,FALSE)*IF($AY29="",1,VLOOKUP($AY29,DADOS!$CO$5:$CP$7,2,FALSE))*IF($AZ29="",1,VLOOKUP($AZ29,DADOS!$CR$5:$CS$15,2,FALSE)),4)&gt;0,MAX(1,FLOOR(ROUND(VLOOKUP($AX29,DADOS!$CL$5:$CM$10,2,FALSE)*IF($AY29="",1,VLOOKUP($AY29,DADOS!$CO$5:$CP$7,2,FALSE))*IF($AZ29="",1,VLOOKUP($AZ29,DADOS!$CR$5:$CS$15,2,FALSE)),4),1)),0),""))</f>
        <v/>
      </c>
      <c r="BB29" s="137" t="n"/>
      <c r="BC29" s="144" t="n"/>
      <c r="BD29" s="144" t="n"/>
      <c r="BE29" s="95" t="n"/>
      <c r="BF29" s="95" t="n"/>
      <c r="BG29" s="95">
        <f>IF($BD29="","",IFERROR(IF(ROUND(VLOOKUP($BD29,DADOS!$CL$5:$CM$10,2,FALSE)*IF($BE29="",1,VLOOKUP($BE29,DADOS!$CO$5:$CP$7,2,FALSE))*IF($BF29="",1,VLOOKUP($BF29,DADOS!$CR$5:$CS$15,2,FALSE)),4)&gt;0,MAX(1,FLOOR(ROUND(VLOOKUP($BD29,DADOS!$CL$5:$CM$10,2,FALSE)*IF($BE29="",1,VLOOKUP($BE29,DADOS!$CO$5:$CP$7,2,FALSE))*IF($BF29="",1,VLOOKUP($BF29,DADOS!$CR$5:$CS$15,2,FALSE)),4),1)),0),""))</f>
        <v/>
      </c>
      <c r="BH29" s="137" t="n"/>
      <c r="BI29" s="144" t="n"/>
      <c r="BJ29" s="144" t="n"/>
      <c r="BK29" s="95" t="n"/>
      <c r="BL29" s="95" t="n"/>
      <c r="BM29" s="95">
        <f>IF($BJ29="","",IFERROR(IF(ROUND(VLOOKUP($BJ29,DADOS!$CL$5:$CM$10,2,FALSE)*IF($BK29="",1,VLOOKUP($BK29,DADOS!$CO$5:$CP$7,2,FALSE))*IF($BL29="",1,VLOOKUP($BL29,DADOS!$CR$5:$CS$15,2,FALSE)),4)&gt;0,MAX(1,FLOOR(ROUND(VLOOKUP($BJ29,DADOS!$CL$5:$CM$10,2,FALSE)*IF($BK29="",1,VLOOKUP($BK29,DADOS!$CO$5:$CP$7,2,FALSE))*IF($BL29="",1,VLOOKUP($BL29,DADOS!$CR$5:$CS$15,2,FALSE)),4),1)),0),""))</f>
        <v/>
      </c>
      <c r="BN29" s="137" t="n"/>
      <c r="BO29" s="144" t="n"/>
      <c r="BP29" s="144" t="n"/>
      <c r="BQ29" s="95" t="n"/>
      <c r="BR29" s="95" t="n"/>
      <c r="BS29" s="95">
        <f>IF($BP29="","",IFERROR(IF(ROUND(VLOOKUP($BP29,DADOS!$CL$5:$CM$10,2,FALSE)*IF($BQ29="",1,VLOOKUP($BQ29,DADOS!$CO$5:$CP$7,2,FALSE))*IF($BR29="",1,VLOOKUP($BR29,DADOS!$CR$5:$CS$15,2,FALSE)),4)&gt;0,MAX(1,FLOOR(ROUND(VLOOKUP($BP29,DADOS!$CL$5:$CM$10,2,FALSE)*IF($BQ29="",1,VLOOKUP($BQ29,DADOS!$CO$5:$CP$7,2,FALSE))*IF($BR29="",1,VLOOKUP($BR29,DADOS!$CR$5:$CS$15,2,FALSE)),4),1)),0),""))</f>
        <v/>
      </c>
      <c r="BT29" s="137" t="n"/>
    </row>
    <row r="30">
      <c r="A30" s="8" t="n"/>
      <c r="B30" s="14" t="n"/>
      <c r="C30" s="137" t="n"/>
      <c r="D30" s="56" t="inlineStr">
        <is>
          <t>PERSONALIDADE</t>
        </is>
      </c>
      <c r="E30" s="16" t="n"/>
      <c r="F30" s="16" t="n"/>
      <c r="G30" s="16" t="n"/>
      <c r="H30" s="16" t="n"/>
      <c r="I30" s="16" t="n"/>
      <c r="J30" s="16" t="n"/>
      <c r="K30" s="16" t="n"/>
      <c r="L30" s="16" t="n"/>
      <c r="M30" s="16" t="n"/>
      <c r="N30" s="16" t="n"/>
      <c r="O30" s="17" t="n"/>
      <c r="P30" s="137" t="n"/>
      <c r="Q30" s="21" t="n"/>
      <c r="AT30" s="22" t="n"/>
      <c r="AU30" s="137" t="n"/>
      <c r="AV30" s="137" t="n"/>
      <c r="AW30" s="144" t="n"/>
      <c r="AX30" s="144" t="n"/>
      <c r="AY30" s="95" t="n"/>
      <c r="AZ30" s="95" t="n"/>
      <c r="BA30" s="95">
        <f>IF($AX30="","",IFERROR(IF(ROUND(VLOOKUP($AX30,DADOS!$CL$5:$CM$10,2,FALSE)*IF($AY30="",1,VLOOKUP($AY30,DADOS!$CO$5:$CP$7,2,FALSE))*IF($AZ30="",1,VLOOKUP($AZ30,DADOS!$CR$5:$CS$15,2,FALSE)),4)&gt;0,MAX(1,FLOOR(ROUND(VLOOKUP($AX30,DADOS!$CL$5:$CM$10,2,FALSE)*IF($AY30="",1,VLOOKUP($AY30,DADOS!$CO$5:$CP$7,2,FALSE))*IF($AZ30="",1,VLOOKUP($AZ30,DADOS!$CR$5:$CS$15,2,FALSE)),4),1)),0),""))</f>
        <v/>
      </c>
      <c r="BB30" s="137" t="n"/>
      <c r="BC30" s="144" t="n"/>
      <c r="BD30" s="144" t="n"/>
      <c r="BE30" s="95" t="n"/>
      <c r="BF30" s="95" t="n"/>
      <c r="BG30" s="95">
        <f>IF($BD30="","",IFERROR(IF(ROUND(VLOOKUP($BD30,DADOS!$CL$5:$CM$10,2,FALSE)*IF($BE30="",1,VLOOKUP($BE30,DADOS!$CO$5:$CP$7,2,FALSE))*IF($BF30="",1,VLOOKUP($BF30,DADOS!$CR$5:$CS$15,2,FALSE)),4)&gt;0,MAX(1,FLOOR(ROUND(VLOOKUP($BD30,DADOS!$CL$5:$CM$10,2,FALSE)*IF($BE30="",1,VLOOKUP($BE30,DADOS!$CO$5:$CP$7,2,FALSE))*IF($BF30="",1,VLOOKUP($BF30,DADOS!$CR$5:$CS$15,2,FALSE)),4),1)),0),""))</f>
        <v/>
      </c>
      <c r="BH30" s="137" t="n"/>
      <c r="BI30" s="144" t="n"/>
      <c r="BJ30" s="144" t="n"/>
      <c r="BK30" s="95" t="n"/>
      <c r="BL30" s="95" t="n"/>
      <c r="BM30" s="95">
        <f>IF($BJ30="","",IFERROR(IF(ROUND(VLOOKUP($BJ30,DADOS!$CL$5:$CM$10,2,FALSE)*IF($BK30="",1,VLOOKUP($BK30,DADOS!$CO$5:$CP$7,2,FALSE))*IF($BL30="",1,VLOOKUP($BL30,DADOS!$CR$5:$CS$15,2,FALSE)),4)&gt;0,MAX(1,FLOOR(ROUND(VLOOKUP($BJ30,DADOS!$CL$5:$CM$10,2,FALSE)*IF($BK30="",1,VLOOKUP($BK30,DADOS!$CO$5:$CP$7,2,FALSE))*IF($BL30="",1,VLOOKUP($BL30,DADOS!$CR$5:$CS$15,2,FALSE)),4),1)),0),""))</f>
        <v/>
      </c>
      <c r="BN30" s="137" t="n"/>
      <c r="BO30" s="144" t="n"/>
      <c r="BP30" s="144" t="n"/>
      <c r="BQ30" s="95" t="n"/>
      <c r="BR30" s="95" t="n"/>
      <c r="BS30" s="95">
        <f>IF($BP30="","",IFERROR(IF(ROUND(VLOOKUP($BP30,DADOS!$CL$5:$CM$10,2,FALSE)*IF($BQ30="",1,VLOOKUP($BQ30,DADOS!$CO$5:$CP$7,2,FALSE))*IF($BR30="",1,VLOOKUP($BR30,DADOS!$CR$5:$CS$15,2,FALSE)),4)&gt;0,MAX(1,FLOOR(ROUND(VLOOKUP($BP30,DADOS!$CL$5:$CM$10,2,FALSE)*IF($BQ30="",1,VLOOKUP($BQ30,DADOS!$CO$5:$CP$7,2,FALSE))*IF($BR30="",1,VLOOKUP($BR30,DADOS!$CR$5:$CS$15,2,FALSE)),4),1)),0),""))</f>
        <v/>
      </c>
      <c r="BT30" s="137" t="n"/>
    </row>
    <row r="31">
      <c r="A31" s="8" t="n"/>
      <c r="B31" s="14" t="n"/>
      <c r="C31" s="137" t="n"/>
      <c r="D31" s="61" t="n"/>
      <c r="E31" s="19" t="n"/>
      <c r="F31" s="19" t="n"/>
      <c r="G31" s="19" t="n"/>
      <c r="H31" s="19" t="n"/>
      <c r="I31" s="19" t="n"/>
      <c r="J31" s="19" t="n"/>
      <c r="K31" s="19" t="n"/>
      <c r="L31" s="19" t="n"/>
      <c r="M31" s="19" t="n"/>
      <c r="N31" s="19" t="n"/>
      <c r="O31" s="20" t="n"/>
      <c r="P31" s="137" t="n"/>
      <c r="Q31" s="21" t="n"/>
      <c r="AT31" s="22" t="n"/>
      <c r="AU31" s="137" t="n"/>
      <c r="AV31" s="137" t="n"/>
      <c r="AW31" s="144" t="n"/>
      <c r="AX31" s="144" t="n"/>
      <c r="AY31" s="95" t="n"/>
      <c r="AZ31" s="95" t="n"/>
      <c r="BA31" s="95">
        <f>IF($AX31="","",IFERROR(IF(ROUND(VLOOKUP($AX31,DADOS!$CL$5:$CM$10,2,FALSE)*IF($AY31="",1,VLOOKUP($AY31,DADOS!$CO$5:$CP$7,2,FALSE))*IF($AZ31="",1,VLOOKUP($AZ31,DADOS!$CR$5:$CS$15,2,FALSE)),4)&gt;0,MAX(1,FLOOR(ROUND(VLOOKUP($AX31,DADOS!$CL$5:$CM$10,2,FALSE)*IF($AY31="",1,VLOOKUP($AY31,DADOS!$CO$5:$CP$7,2,FALSE))*IF($AZ31="",1,VLOOKUP($AZ31,DADOS!$CR$5:$CS$15,2,FALSE)),4),1)),0),""))</f>
        <v/>
      </c>
      <c r="BB31" s="137" t="n"/>
      <c r="BC31" s="144" t="n"/>
      <c r="BD31" s="144" t="n"/>
      <c r="BE31" s="95" t="n"/>
      <c r="BF31" s="95" t="n"/>
      <c r="BG31" s="95">
        <f>IF($BD31="","",IFERROR(IF(ROUND(VLOOKUP($BD31,DADOS!$CL$5:$CM$10,2,FALSE)*IF($BE31="",1,VLOOKUP($BE31,DADOS!$CO$5:$CP$7,2,FALSE))*IF($BF31="",1,VLOOKUP($BF31,DADOS!$CR$5:$CS$15,2,FALSE)),4)&gt;0,MAX(1,FLOOR(ROUND(VLOOKUP($BD31,DADOS!$CL$5:$CM$10,2,FALSE)*IF($BE31="",1,VLOOKUP($BE31,DADOS!$CO$5:$CP$7,2,FALSE))*IF($BF31="",1,VLOOKUP($BF31,DADOS!$CR$5:$CS$15,2,FALSE)),4),1)),0),""))</f>
        <v/>
      </c>
      <c r="BH31" s="137" t="n"/>
      <c r="BI31" s="144" t="n"/>
      <c r="BJ31" s="144" t="n"/>
      <c r="BK31" s="95" t="n"/>
      <c r="BL31" s="95" t="n"/>
      <c r="BM31" s="95">
        <f>IF($BJ31="","",IFERROR(IF(ROUND(VLOOKUP($BJ31,DADOS!$CL$5:$CM$10,2,FALSE)*IF($BK31="",1,VLOOKUP($BK31,DADOS!$CO$5:$CP$7,2,FALSE))*IF($BL31="",1,VLOOKUP($BL31,DADOS!$CR$5:$CS$15,2,FALSE)),4)&gt;0,MAX(1,FLOOR(ROUND(VLOOKUP($BJ31,DADOS!$CL$5:$CM$10,2,FALSE)*IF($BK31="",1,VLOOKUP($BK31,DADOS!$CO$5:$CP$7,2,FALSE))*IF($BL31="",1,VLOOKUP($BL31,DADOS!$CR$5:$CS$15,2,FALSE)),4),1)),0),""))</f>
        <v/>
      </c>
      <c r="BN31" s="137" t="n"/>
      <c r="BO31" s="144" t="n"/>
      <c r="BP31" s="144" t="n"/>
      <c r="BQ31" s="95" t="n"/>
      <c r="BR31" s="95" t="n"/>
      <c r="BS31" s="95">
        <f>IF($BP31="","",IFERROR(IF(ROUND(VLOOKUP($BP31,DADOS!$CL$5:$CM$10,2,FALSE)*IF($BQ31="",1,VLOOKUP($BQ31,DADOS!$CO$5:$CP$7,2,FALSE))*IF($BR31="",1,VLOOKUP($BR31,DADOS!$CR$5:$CS$15,2,FALSE)),4)&gt;0,MAX(1,FLOOR(ROUND(VLOOKUP($BP31,DADOS!$CL$5:$CM$10,2,FALSE)*IF($BQ31="",1,VLOOKUP($BQ31,DADOS!$CO$5:$CP$7,2,FALSE))*IF($BR31="",1,VLOOKUP($BR31,DADOS!$CR$5:$CS$15,2,FALSE)),4),1)),0),""))</f>
        <v/>
      </c>
      <c r="BT31" s="137" t="n"/>
    </row>
    <row r="32">
      <c r="A32" s="8" t="n"/>
      <c r="B32" s="14" t="n"/>
      <c r="C32" s="137" t="n"/>
      <c r="D32" s="21" t="n"/>
      <c r="O32" s="22" t="n"/>
      <c r="P32" s="137" t="n"/>
      <c r="Q32" s="23" t="n"/>
      <c r="R32" s="24" t="n"/>
      <c r="S32" s="24" t="n"/>
      <c r="T32" s="24" t="n"/>
      <c r="U32" s="24" t="n"/>
      <c r="V32" s="24" t="n"/>
      <c r="W32" s="24" t="n"/>
      <c r="X32" s="24" t="n"/>
      <c r="Y32" s="24" t="n"/>
      <c r="Z32" s="24" t="n"/>
      <c r="AA32" s="24" t="n"/>
      <c r="AB32" s="24" t="n"/>
      <c r="AC32" s="24" t="n"/>
      <c r="AD32" s="24" t="n"/>
      <c r="AE32" s="24" t="n"/>
      <c r="AF32" s="24" t="n"/>
      <c r="AG32" s="24" t="n"/>
      <c r="AH32" s="24" t="n"/>
      <c r="AI32" s="24" t="n"/>
      <c r="AJ32" s="24" t="n"/>
      <c r="AK32" s="24" t="n"/>
      <c r="AL32" s="24" t="n"/>
      <c r="AM32" s="24" t="n"/>
      <c r="AN32" s="24" t="n"/>
      <c r="AO32" s="24" t="n"/>
      <c r="AP32" s="24" t="n"/>
      <c r="AQ32" s="24" t="n"/>
      <c r="AR32" s="24" t="n"/>
      <c r="AS32" s="24" t="n"/>
      <c r="AT32" s="25" t="n"/>
      <c r="AU32" s="137" t="n"/>
      <c r="AV32" s="137" t="n"/>
      <c r="AW32" s="144" t="n"/>
      <c r="AX32" s="144" t="n"/>
      <c r="AY32" s="95" t="n"/>
      <c r="AZ32" s="95" t="n"/>
      <c r="BA32" s="95">
        <f>IF($AX32="","",IFERROR(IF(ROUND(VLOOKUP($AX32,DADOS!$CL$5:$CM$10,2,FALSE)*IF($AY32="",1,VLOOKUP($AY32,DADOS!$CO$5:$CP$7,2,FALSE))*IF($AZ32="",1,VLOOKUP($AZ32,DADOS!$CR$5:$CS$15,2,FALSE)),4)&gt;0,MAX(1,FLOOR(ROUND(VLOOKUP($AX32,DADOS!$CL$5:$CM$10,2,FALSE)*IF($AY32="",1,VLOOKUP($AY32,DADOS!$CO$5:$CP$7,2,FALSE))*IF($AZ32="",1,VLOOKUP($AZ32,DADOS!$CR$5:$CS$15,2,FALSE)),4),1)),0),""))</f>
        <v/>
      </c>
      <c r="BB32" s="137" t="n"/>
      <c r="BC32" s="144" t="n"/>
      <c r="BD32" s="144" t="n"/>
      <c r="BE32" s="95" t="n"/>
      <c r="BF32" s="95" t="n"/>
      <c r="BG32" s="95">
        <f>IF($BD32="","",IFERROR(IF(ROUND(VLOOKUP($BD32,DADOS!$CL$5:$CM$10,2,FALSE)*IF($BE32="",1,VLOOKUP($BE32,DADOS!$CO$5:$CP$7,2,FALSE))*IF($BF32="",1,VLOOKUP($BF32,DADOS!$CR$5:$CS$15,2,FALSE)),4)&gt;0,MAX(1,FLOOR(ROUND(VLOOKUP($BD32,DADOS!$CL$5:$CM$10,2,FALSE)*IF($BE32="",1,VLOOKUP($BE32,DADOS!$CO$5:$CP$7,2,FALSE))*IF($BF32="",1,VLOOKUP($BF32,DADOS!$CR$5:$CS$15,2,FALSE)),4),1)),0),""))</f>
        <v/>
      </c>
      <c r="BH32" s="137" t="n"/>
      <c r="BI32" s="144" t="n"/>
      <c r="BJ32" s="144" t="n"/>
      <c r="BK32" s="95" t="n"/>
      <c r="BL32" s="95" t="n"/>
      <c r="BM32" s="95">
        <f>IF($BJ32="","",IFERROR(IF(ROUND(VLOOKUP($BJ32,DADOS!$CL$5:$CM$10,2,FALSE)*IF($BK32="",1,VLOOKUP($BK32,DADOS!$CO$5:$CP$7,2,FALSE))*IF($BL32="",1,VLOOKUP($BL32,DADOS!$CR$5:$CS$15,2,FALSE)),4)&gt;0,MAX(1,FLOOR(ROUND(VLOOKUP($BJ32,DADOS!$CL$5:$CM$10,2,FALSE)*IF($BK32="",1,VLOOKUP($BK32,DADOS!$CO$5:$CP$7,2,FALSE))*IF($BL32="",1,VLOOKUP($BL32,DADOS!$CR$5:$CS$15,2,FALSE)),4),1)),0),""))</f>
        <v/>
      </c>
      <c r="BN32" s="137" t="n"/>
      <c r="BO32" s="144" t="n"/>
      <c r="BP32" s="144" t="n"/>
      <c r="BQ32" s="95" t="n"/>
      <c r="BR32" s="95" t="n"/>
      <c r="BS32" s="95">
        <f>IF($BP32="","",IFERROR(IF(ROUND(VLOOKUP($BP32,DADOS!$CL$5:$CM$10,2,FALSE)*IF($BQ32="",1,VLOOKUP($BQ32,DADOS!$CO$5:$CP$7,2,FALSE))*IF($BR32="",1,VLOOKUP($BR32,DADOS!$CR$5:$CS$15,2,FALSE)),4)&gt;0,MAX(1,FLOOR(ROUND(VLOOKUP($BP32,DADOS!$CL$5:$CM$10,2,FALSE)*IF($BQ32="",1,VLOOKUP($BQ32,DADOS!$CO$5:$CP$7,2,FALSE))*IF($BR32="",1,VLOOKUP($BR32,DADOS!$CR$5:$CS$15,2,FALSE)),4),1)),0),""))</f>
        <v/>
      </c>
      <c r="BT32" s="137" t="n"/>
    </row>
    <row r="33">
      <c r="A33" s="48" t="inlineStr">
        <is>
          <t>FICHA PESSOAL</t>
        </is>
      </c>
      <c r="B33" s="22" t="n"/>
      <c r="C33" s="137" t="n"/>
      <c r="D33" s="21" t="n"/>
      <c r="O33" s="22" t="n"/>
      <c r="P33" s="137" t="n"/>
      <c r="Q33" s="137" t="n"/>
      <c r="R33" s="137" t="n"/>
      <c r="S33" s="137" t="n"/>
      <c r="T33" s="137" t="n"/>
      <c r="U33" s="137" t="n"/>
      <c r="V33" s="137" t="n"/>
      <c r="W33" s="137" t="n"/>
      <c r="X33" s="137" t="n"/>
      <c r="Y33" s="137" t="n"/>
      <c r="Z33" s="137" t="n"/>
      <c r="AA33" s="137" t="n"/>
      <c r="AB33" s="137" t="n"/>
      <c r="AC33" s="137" t="n"/>
      <c r="AD33" s="137" t="n"/>
      <c r="AE33" s="137" t="n"/>
      <c r="AF33" s="137" t="n"/>
      <c r="AG33" s="137" t="n"/>
      <c r="AH33" s="137" t="n"/>
      <c r="AI33" s="137" t="n"/>
      <c r="AJ33" s="137" t="n"/>
      <c r="AK33" s="137" t="n"/>
      <c r="AL33" s="137" t="n"/>
      <c r="AM33" s="137" t="n"/>
      <c r="AN33" s="137" t="n"/>
      <c r="AO33" s="137" t="n"/>
      <c r="AP33" s="137" t="n"/>
      <c r="AQ33" s="137" t="n"/>
      <c r="AR33" s="137" t="n"/>
      <c r="AS33" s="137" t="n"/>
      <c r="AT33" s="137" t="n"/>
      <c r="AU33" s="137" t="n"/>
      <c r="AV33" s="137" t="n"/>
      <c r="AW33" s="144" t="n"/>
      <c r="AX33" s="144" t="n"/>
      <c r="AY33" s="95" t="n"/>
      <c r="AZ33" s="95" t="n"/>
      <c r="BA33" s="95">
        <f>IF($AX33="","",IFERROR(IF(ROUND(VLOOKUP($AX33,DADOS!$CL$5:$CM$10,2,FALSE)*IF($AY33="",1,VLOOKUP($AY33,DADOS!$CO$5:$CP$7,2,FALSE))*IF($AZ33="",1,VLOOKUP($AZ33,DADOS!$CR$5:$CS$15,2,FALSE)),4)&gt;0,MAX(1,FLOOR(ROUND(VLOOKUP($AX33,DADOS!$CL$5:$CM$10,2,FALSE)*IF($AY33="",1,VLOOKUP($AY33,DADOS!$CO$5:$CP$7,2,FALSE))*IF($AZ33="",1,VLOOKUP($AZ33,DADOS!$CR$5:$CS$15,2,FALSE)),4),1)),0),""))</f>
        <v/>
      </c>
      <c r="BB33" s="137" t="n"/>
      <c r="BC33" s="144" t="n"/>
      <c r="BD33" s="144" t="n"/>
      <c r="BE33" s="95" t="n"/>
      <c r="BF33" s="95" t="n"/>
      <c r="BG33" s="95">
        <f>IF($BD33="","",IFERROR(IF(ROUND(VLOOKUP($BD33,DADOS!$CL$5:$CM$10,2,FALSE)*IF($BE33="",1,VLOOKUP($BE33,DADOS!$CO$5:$CP$7,2,FALSE))*IF($BF33="",1,VLOOKUP($BF33,DADOS!$CR$5:$CS$15,2,FALSE)),4)&gt;0,MAX(1,FLOOR(ROUND(VLOOKUP($BD33,DADOS!$CL$5:$CM$10,2,FALSE)*IF($BE33="",1,VLOOKUP($BE33,DADOS!$CO$5:$CP$7,2,FALSE))*IF($BF33="",1,VLOOKUP($BF33,DADOS!$CR$5:$CS$15,2,FALSE)),4),1)),0),""))</f>
        <v/>
      </c>
      <c r="BH33" s="137" t="n"/>
      <c r="BI33" s="144" t="n"/>
      <c r="BJ33" s="144" t="n"/>
      <c r="BK33" s="95" t="n"/>
      <c r="BL33" s="95" t="n"/>
      <c r="BM33" s="95">
        <f>IF($BJ33="","",IFERROR(IF(ROUND(VLOOKUP($BJ33,DADOS!$CL$5:$CM$10,2,FALSE)*IF($BK33="",1,VLOOKUP($BK33,DADOS!$CO$5:$CP$7,2,FALSE))*IF($BL33="",1,VLOOKUP($BL33,DADOS!$CR$5:$CS$15,2,FALSE)),4)&gt;0,MAX(1,FLOOR(ROUND(VLOOKUP($BJ33,DADOS!$CL$5:$CM$10,2,FALSE)*IF($BK33="",1,VLOOKUP($BK33,DADOS!$CO$5:$CP$7,2,FALSE))*IF($BL33="",1,VLOOKUP($BL33,DADOS!$CR$5:$CS$15,2,FALSE)),4),1)),0),""))</f>
        <v/>
      </c>
      <c r="BN33" s="137" t="n"/>
      <c r="BO33" s="144" t="n"/>
      <c r="BP33" s="144" t="n"/>
      <c r="BQ33" s="95" t="n"/>
      <c r="BR33" s="95" t="n"/>
      <c r="BS33" s="95">
        <f>IF($BP33="","",IFERROR(IF(ROUND(VLOOKUP($BP33,DADOS!$CL$5:$CM$10,2,FALSE)*IF($BQ33="",1,VLOOKUP($BQ33,DADOS!$CO$5:$CP$7,2,FALSE))*IF($BR33="",1,VLOOKUP($BR33,DADOS!$CR$5:$CS$15,2,FALSE)),4)&gt;0,MAX(1,FLOOR(ROUND(VLOOKUP($BP33,DADOS!$CL$5:$CM$10,2,FALSE)*IF($BQ33="",1,VLOOKUP($BQ33,DADOS!$CO$5:$CP$7,2,FALSE))*IF($BR33="",1,VLOOKUP($BR33,DADOS!$CR$5:$CS$15,2,FALSE)),4),1)),0),""))</f>
        <v/>
      </c>
      <c r="BT33" s="137" t="n"/>
    </row>
    <row r="34">
      <c r="B34" s="22" t="n"/>
      <c r="C34" s="137" t="n"/>
      <c r="D34" s="21" t="n"/>
      <c r="O34" s="22" t="n"/>
      <c r="P34" s="137" t="n"/>
      <c r="Q34" s="56" t="inlineStr">
        <is>
          <t>LAÇOS E ANOTAÇÕES</t>
        </is>
      </c>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6" t="n"/>
      <c r="AO34" s="16" t="n"/>
      <c r="AP34" s="16" t="n"/>
      <c r="AQ34" s="16" t="n"/>
      <c r="AR34" s="16" t="n"/>
      <c r="AS34" s="16" t="n"/>
      <c r="AT34" s="17" t="n"/>
      <c r="AU34" s="137" t="n"/>
      <c r="AV34" s="137" t="n"/>
      <c r="AW34" s="144" t="n"/>
      <c r="AX34" s="144" t="n"/>
      <c r="AY34" s="95" t="n"/>
      <c r="AZ34" s="95" t="n"/>
      <c r="BA34" s="95">
        <f>IF($AX34="","",IFERROR(IF(ROUND(VLOOKUP($AX34,DADOS!$CL$5:$CM$10,2,FALSE)*IF($AY34="",1,VLOOKUP($AY34,DADOS!$CO$5:$CP$7,2,FALSE))*IF($AZ34="",1,VLOOKUP($AZ34,DADOS!$CR$5:$CS$15,2,FALSE)),4)&gt;0,MAX(1,FLOOR(ROUND(VLOOKUP($AX34,DADOS!$CL$5:$CM$10,2,FALSE)*IF($AY34="",1,VLOOKUP($AY34,DADOS!$CO$5:$CP$7,2,FALSE))*IF($AZ34="",1,VLOOKUP($AZ34,DADOS!$CR$5:$CS$15,2,FALSE)),4),1)),0),""))</f>
        <v/>
      </c>
      <c r="BB34" s="137" t="n"/>
      <c r="BC34" s="144" t="n"/>
      <c r="BD34" s="144" t="n"/>
      <c r="BE34" s="95" t="n"/>
      <c r="BF34" s="95" t="n"/>
      <c r="BG34" s="95">
        <f>IF($BD34="","",IFERROR(IF(ROUND(VLOOKUP($BD34,DADOS!$CL$5:$CM$10,2,FALSE)*IF($BE34="",1,VLOOKUP($BE34,DADOS!$CO$5:$CP$7,2,FALSE))*IF($BF34="",1,VLOOKUP($BF34,DADOS!$CR$5:$CS$15,2,FALSE)),4)&gt;0,MAX(1,FLOOR(ROUND(VLOOKUP($BD34,DADOS!$CL$5:$CM$10,2,FALSE)*IF($BE34="",1,VLOOKUP($BE34,DADOS!$CO$5:$CP$7,2,FALSE))*IF($BF34="",1,VLOOKUP($BF34,DADOS!$CR$5:$CS$15,2,FALSE)),4),1)),0),""))</f>
        <v/>
      </c>
      <c r="BH34" s="137" t="n"/>
      <c r="BI34" s="144" t="n"/>
      <c r="BJ34" s="144" t="n"/>
      <c r="BK34" s="95" t="n"/>
      <c r="BL34" s="95" t="n"/>
      <c r="BM34" s="95">
        <f>IF($BJ34="","",IFERROR(IF(ROUND(VLOOKUP($BJ34,DADOS!$CL$5:$CM$10,2,FALSE)*IF($BK34="",1,VLOOKUP($BK34,DADOS!$CO$5:$CP$7,2,FALSE))*IF($BL34="",1,VLOOKUP($BL34,DADOS!$CR$5:$CS$15,2,FALSE)),4)&gt;0,MAX(1,FLOOR(ROUND(VLOOKUP($BJ34,DADOS!$CL$5:$CM$10,2,FALSE)*IF($BK34="",1,VLOOKUP($BK34,DADOS!$CO$5:$CP$7,2,FALSE))*IF($BL34="",1,VLOOKUP($BL34,DADOS!$CR$5:$CS$15,2,FALSE)),4),1)),0),""))</f>
        <v/>
      </c>
      <c r="BN34" s="137" t="n"/>
      <c r="BO34" s="144" t="n"/>
      <c r="BP34" s="144" t="n"/>
      <c r="BQ34" s="95" t="n"/>
      <c r="BR34" s="95" t="n"/>
      <c r="BS34" s="95">
        <f>IF($BP34="","",IFERROR(IF(ROUND(VLOOKUP($BP34,DADOS!$CL$5:$CM$10,2,FALSE)*IF($BQ34="",1,VLOOKUP($BQ34,DADOS!$CO$5:$CP$7,2,FALSE))*IF($BR34="",1,VLOOKUP($BR34,DADOS!$CR$5:$CS$15,2,FALSE)),4)&gt;0,MAX(1,FLOOR(ROUND(VLOOKUP($BP34,DADOS!$CL$5:$CM$10,2,FALSE)*IF($BQ34="",1,VLOOKUP($BQ34,DADOS!$CO$5:$CP$7,2,FALSE))*IF($BR34="",1,VLOOKUP($BR34,DADOS!$CR$5:$CS$15,2,FALSE)),4),1)),0),""))</f>
        <v/>
      </c>
      <c r="BT34" s="137" t="n"/>
    </row>
    <row r="35">
      <c r="B35" s="22" t="n"/>
      <c r="C35" s="137" t="n"/>
      <c r="D35" s="21" t="n"/>
      <c r="O35" s="22" t="n"/>
      <c r="P35" s="137" t="n"/>
      <c r="Q35" s="61" t="n"/>
      <c r="R35" s="19" t="n"/>
      <c r="S35" s="19" t="n"/>
      <c r="T35" s="19" t="n"/>
      <c r="U35" s="19" t="n"/>
      <c r="V35" s="19" t="n"/>
      <c r="W35" s="19"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20" t="n"/>
      <c r="AU35" s="137" t="n"/>
      <c r="AV35" s="137" t="n"/>
      <c r="AW35" s="144" t="n"/>
      <c r="AX35" s="144" t="n"/>
      <c r="AY35" s="95" t="n"/>
      <c r="AZ35" s="95" t="n"/>
      <c r="BA35" s="95">
        <f>IF($AX35="","",IFERROR(IF(ROUND(VLOOKUP($AX35,DADOS!$CL$5:$CM$10,2,FALSE)*IF($AY35="",1,VLOOKUP($AY35,DADOS!$CO$5:$CP$7,2,FALSE))*IF($AZ35="",1,VLOOKUP($AZ35,DADOS!$CR$5:$CS$15,2,FALSE)),4)&gt;0,MAX(1,FLOOR(ROUND(VLOOKUP($AX35,DADOS!$CL$5:$CM$10,2,FALSE)*IF($AY35="",1,VLOOKUP($AY35,DADOS!$CO$5:$CP$7,2,FALSE))*IF($AZ35="",1,VLOOKUP($AZ35,DADOS!$CR$5:$CS$15,2,FALSE)),4),1)),0),""))</f>
        <v/>
      </c>
      <c r="BB35" s="137" t="n"/>
      <c r="BC35" s="144" t="n"/>
      <c r="BD35" s="144" t="n"/>
      <c r="BE35" s="95" t="n"/>
      <c r="BF35" s="95" t="n"/>
      <c r="BG35" s="95">
        <f>IF($BD35="","",IFERROR(IF(ROUND(VLOOKUP($BD35,DADOS!$CL$5:$CM$10,2,FALSE)*IF($BE35="",1,VLOOKUP($BE35,DADOS!$CO$5:$CP$7,2,FALSE))*IF($BF35="",1,VLOOKUP($BF35,DADOS!$CR$5:$CS$15,2,FALSE)),4)&gt;0,MAX(1,FLOOR(ROUND(VLOOKUP($BD35,DADOS!$CL$5:$CM$10,2,FALSE)*IF($BE35="",1,VLOOKUP($BE35,DADOS!$CO$5:$CP$7,2,FALSE))*IF($BF35="",1,VLOOKUP($BF35,DADOS!$CR$5:$CS$15,2,FALSE)),4),1)),0),""))</f>
        <v/>
      </c>
      <c r="BH35" s="137" t="n"/>
      <c r="BI35" s="144" t="n"/>
      <c r="BJ35" s="144" t="n"/>
      <c r="BK35" s="95" t="n"/>
      <c r="BL35" s="95" t="n"/>
      <c r="BM35" s="95">
        <f>IF($BJ35="","",IFERROR(IF(ROUND(VLOOKUP($BJ35,DADOS!$CL$5:$CM$10,2,FALSE)*IF($BK35="",1,VLOOKUP($BK35,DADOS!$CO$5:$CP$7,2,FALSE))*IF($BL35="",1,VLOOKUP($BL35,DADOS!$CR$5:$CS$15,2,FALSE)),4)&gt;0,MAX(1,FLOOR(ROUND(VLOOKUP($BJ35,DADOS!$CL$5:$CM$10,2,FALSE)*IF($BK35="",1,VLOOKUP($BK35,DADOS!$CO$5:$CP$7,2,FALSE))*IF($BL35="",1,VLOOKUP($BL35,DADOS!$CR$5:$CS$15,2,FALSE)),4),1)),0),""))</f>
        <v/>
      </c>
      <c r="BN35" s="137" t="n"/>
      <c r="BO35" s="144" t="n"/>
      <c r="BP35" s="144" t="n"/>
      <c r="BQ35" s="95" t="n"/>
      <c r="BR35" s="95" t="n"/>
      <c r="BS35" s="95">
        <f>IF($BP35="","",IFERROR(IF(ROUND(VLOOKUP($BP35,DADOS!$CL$5:$CM$10,2,FALSE)*IF($BQ35="",1,VLOOKUP($BQ35,DADOS!$CO$5:$CP$7,2,FALSE))*IF($BR35="",1,VLOOKUP($BR35,DADOS!$CR$5:$CS$15,2,FALSE)),4)&gt;0,MAX(1,FLOOR(ROUND(VLOOKUP($BP35,DADOS!$CL$5:$CM$10,2,FALSE)*IF($BQ35="",1,VLOOKUP($BQ35,DADOS!$CO$5:$CP$7,2,FALSE))*IF($BR35="",1,VLOOKUP($BR35,DADOS!$CR$5:$CS$15,2,FALSE)),4),1)),0),""))</f>
        <v/>
      </c>
      <c r="BT35" s="137" t="n"/>
    </row>
    <row r="36">
      <c r="B36" s="22" t="n"/>
      <c r="C36" s="137" t="n"/>
      <c r="D36" s="21" t="n"/>
      <c r="O36" s="22" t="n"/>
      <c r="P36" s="137" t="n"/>
      <c r="Q36" s="21" t="n"/>
      <c r="AT36" s="22" t="n"/>
      <c r="AU36" s="137" t="n"/>
      <c r="AV36" s="137" t="n"/>
      <c r="AW36" s="144" t="n"/>
      <c r="AX36" s="144" t="n"/>
      <c r="AY36" s="95" t="n"/>
      <c r="AZ36" s="95" t="n"/>
      <c r="BA36" s="95">
        <f>IF($AX36="","",IFERROR(IF(ROUND(VLOOKUP($AX36,DADOS!$CL$5:$CM$10,2,FALSE)*IF($AY36="",1,VLOOKUP($AY36,DADOS!$CO$5:$CP$7,2,FALSE))*IF($AZ36="",1,VLOOKUP($AZ36,DADOS!$CR$5:$CS$15,2,FALSE)),4)&gt;0,MAX(1,FLOOR(ROUND(VLOOKUP($AX36,DADOS!$CL$5:$CM$10,2,FALSE)*IF($AY36="",1,VLOOKUP($AY36,DADOS!$CO$5:$CP$7,2,FALSE))*IF($AZ36="",1,VLOOKUP($AZ36,DADOS!$CR$5:$CS$15,2,FALSE)),4),1)),0),""))</f>
        <v/>
      </c>
      <c r="BB36" s="137" t="n"/>
      <c r="BC36" s="144" t="n"/>
      <c r="BD36" s="144" t="n"/>
      <c r="BE36" s="95" t="n"/>
      <c r="BF36" s="95" t="n"/>
      <c r="BG36" s="95">
        <f>IF($BD36="","",IFERROR(IF(ROUND(VLOOKUP($BD36,DADOS!$CL$5:$CM$10,2,FALSE)*IF($BE36="",1,VLOOKUP($BE36,DADOS!$CO$5:$CP$7,2,FALSE))*IF($BF36="",1,VLOOKUP($BF36,DADOS!$CR$5:$CS$15,2,FALSE)),4)&gt;0,MAX(1,FLOOR(ROUND(VLOOKUP($BD36,DADOS!$CL$5:$CM$10,2,FALSE)*IF($BE36="",1,VLOOKUP($BE36,DADOS!$CO$5:$CP$7,2,FALSE))*IF($BF36="",1,VLOOKUP($BF36,DADOS!$CR$5:$CS$15,2,FALSE)),4),1)),0),""))</f>
        <v/>
      </c>
      <c r="BH36" s="137" t="n"/>
      <c r="BI36" s="144" t="n"/>
      <c r="BJ36" s="144" t="n"/>
      <c r="BK36" s="95" t="n"/>
      <c r="BL36" s="95" t="n"/>
      <c r="BM36" s="95">
        <f>IF($BJ36="","",IFERROR(IF(ROUND(VLOOKUP($BJ36,DADOS!$CL$5:$CM$10,2,FALSE)*IF($BK36="",1,VLOOKUP($BK36,DADOS!$CO$5:$CP$7,2,FALSE))*IF($BL36="",1,VLOOKUP($BL36,DADOS!$CR$5:$CS$15,2,FALSE)),4)&gt;0,MAX(1,FLOOR(ROUND(VLOOKUP($BJ36,DADOS!$CL$5:$CM$10,2,FALSE)*IF($BK36="",1,VLOOKUP($BK36,DADOS!$CO$5:$CP$7,2,FALSE))*IF($BL36="",1,VLOOKUP($BL36,DADOS!$CR$5:$CS$15,2,FALSE)),4),1)),0),""))</f>
        <v/>
      </c>
      <c r="BN36" s="137" t="n"/>
      <c r="BO36" s="144" t="n"/>
      <c r="BP36" s="144" t="n"/>
      <c r="BQ36" s="95" t="n"/>
      <c r="BR36" s="95" t="n"/>
      <c r="BS36" s="95">
        <f>IF($BP36="","",IFERROR(IF(ROUND(VLOOKUP($BP36,DADOS!$CL$5:$CM$10,2,FALSE)*IF($BQ36="",1,VLOOKUP($BQ36,DADOS!$CO$5:$CP$7,2,FALSE))*IF($BR36="",1,VLOOKUP($BR36,DADOS!$CR$5:$CS$15,2,FALSE)),4)&gt;0,MAX(1,FLOOR(ROUND(VLOOKUP($BP36,DADOS!$CL$5:$CM$10,2,FALSE)*IF($BQ36="",1,VLOOKUP($BQ36,DADOS!$CO$5:$CP$7,2,FALSE))*IF($BR36="",1,VLOOKUP($BR36,DADOS!$CR$5:$CS$15,2,FALSE)),4),1)),0),""))</f>
        <v/>
      </c>
      <c r="BT36" s="137" t="n"/>
    </row>
    <row r="37">
      <c r="B37" s="22" t="n"/>
      <c r="C37" s="137" t="n"/>
      <c r="D37" s="21" t="n"/>
      <c r="O37" s="22" t="n"/>
      <c r="P37" s="137" t="n"/>
      <c r="Q37" s="21" t="n"/>
      <c r="AT37" s="22" t="n"/>
      <c r="AU37" s="137" t="n"/>
      <c r="AV37" s="137" t="n"/>
      <c r="AW37" s="144" t="n"/>
      <c r="AX37" s="144" t="n"/>
      <c r="AY37" s="95" t="n"/>
      <c r="AZ37" s="95" t="n"/>
      <c r="BA37" s="95">
        <f>IF($AX37="","",IFERROR(IF(ROUND(VLOOKUP($AX37,DADOS!$CL$5:$CM$10,2,FALSE)*IF($AY37="",1,VLOOKUP($AY37,DADOS!$CO$5:$CP$7,2,FALSE))*IF($AZ37="",1,VLOOKUP($AZ37,DADOS!$CR$5:$CS$15,2,FALSE)),4)&gt;0,MAX(1,FLOOR(ROUND(VLOOKUP($AX37,DADOS!$CL$5:$CM$10,2,FALSE)*IF($AY37="",1,VLOOKUP($AY37,DADOS!$CO$5:$CP$7,2,FALSE))*IF($AZ37="",1,VLOOKUP($AZ37,DADOS!$CR$5:$CS$15,2,FALSE)),4),1)),0),""))</f>
        <v/>
      </c>
      <c r="BB37" s="137" t="n"/>
      <c r="BC37" s="144" t="n"/>
      <c r="BD37" s="144" t="n"/>
      <c r="BE37" s="95" t="n"/>
      <c r="BF37" s="95" t="n"/>
      <c r="BG37" s="95">
        <f>IF($BD37="","",IFERROR(IF(ROUND(VLOOKUP($BD37,DADOS!$CL$5:$CM$10,2,FALSE)*IF($BE37="",1,VLOOKUP($BE37,DADOS!$CO$5:$CP$7,2,FALSE))*IF($BF37="",1,VLOOKUP($BF37,DADOS!$CR$5:$CS$15,2,FALSE)),4)&gt;0,MAX(1,FLOOR(ROUND(VLOOKUP($BD37,DADOS!$CL$5:$CM$10,2,FALSE)*IF($BE37="",1,VLOOKUP($BE37,DADOS!$CO$5:$CP$7,2,FALSE))*IF($BF37="",1,VLOOKUP($BF37,DADOS!$CR$5:$CS$15,2,FALSE)),4),1)),0),""))</f>
        <v/>
      </c>
      <c r="BH37" s="137" t="n"/>
      <c r="BI37" s="144" t="n"/>
      <c r="BJ37" s="144" t="n"/>
      <c r="BK37" s="95" t="n"/>
      <c r="BL37" s="95" t="n"/>
      <c r="BM37" s="95">
        <f>IF($BJ37="","",IFERROR(IF(ROUND(VLOOKUP($BJ37,DADOS!$CL$5:$CM$10,2,FALSE)*IF($BK37="",1,VLOOKUP($BK37,DADOS!$CO$5:$CP$7,2,FALSE))*IF($BL37="",1,VLOOKUP($BL37,DADOS!$CR$5:$CS$15,2,FALSE)),4)&gt;0,MAX(1,FLOOR(ROUND(VLOOKUP($BJ37,DADOS!$CL$5:$CM$10,2,FALSE)*IF($BK37="",1,VLOOKUP($BK37,DADOS!$CO$5:$CP$7,2,FALSE))*IF($BL37="",1,VLOOKUP($BL37,DADOS!$CR$5:$CS$15,2,FALSE)),4),1)),0),""))</f>
        <v/>
      </c>
      <c r="BN37" s="137" t="n"/>
      <c r="BO37" s="144" t="n"/>
      <c r="BP37" s="144" t="n"/>
      <c r="BQ37" s="95" t="n"/>
      <c r="BR37" s="95" t="n"/>
      <c r="BS37" s="95">
        <f>IF($BP37="","",IFERROR(IF(ROUND(VLOOKUP($BP37,DADOS!$CL$5:$CM$10,2,FALSE)*IF($BQ37="",1,VLOOKUP($BQ37,DADOS!$CO$5:$CP$7,2,FALSE))*IF($BR37="",1,VLOOKUP($BR37,DADOS!$CR$5:$CS$15,2,FALSE)),4)&gt;0,MAX(1,FLOOR(ROUND(VLOOKUP($BP37,DADOS!$CL$5:$CM$10,2,FALSE)*IF($BQ37="",1,VLOOKUP($BQ37,DADOS!$CO$5:$CP$7,2,FALSE))*IF($BR37="",1,VLOOKUP($BR37,DADOS!$CR$5:$CS$15,2,FALSE)),4),1)),0),""))</f>
        <v/>
      </c>
      <c r="BT37" s="137" t="n"/>
    </row>
    <row r="38">
      <c r="B38" s="22" t="n"/>
      <c r="C38" s="137" t="n"/>
      <c r="D38" s="23" t="n"/>
      <c r="E38" s="24" t="n"/>
      <c r="F38" s="24" t="n"/>
      <c r="G38" s="24" t="n"/>
      <c r="H38" s="24" t="n"/>
      <c r="I38" s="24" t="n"/>
      <c r="J38" s="24" t="n"/>
      <c r="K38" s="24" t="n"/>
      <c r="L38" s="24" t="n"/>
      <c r="M38" s="24" t="n"/>
      <c r="N38" s="24" t="n"/>
      <c r="O38" s="25" t="n"/>
      <c r="P38" s="137" t="n"/>
      <c r="Q38" s="23"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5" t="n"/>
      <c r="AU38" s="137" t="n"/>
      <c r="AV38" s="137" t="n"/>
      <c r="AW38" s="144" t="n"/>
      <c r="AX38" s="144" t="n"/>
      <c r="AY38" s="95" t="n"/>
      <c r="AZ38" s="95" t="n"/>
      <c r="BA38" s="95">
        <f>IF($AX38="","",IFERROR(IF(ROUND(VLOOKUP($AX38,DADOS!$CL$5:$CM$10,2,FALSE)*IF($AY38="",1,VLOOKUP($AY38,DADOS!$CO$5:$CP$7,2,FALSE))*IF($AZ38="",1,VLOOKUP($AZ38,DADOS!$CR$5:$CS$15,2,FALSE)),4)&gt;0,MAX(1,FLOOR(ROUND(VLOOKUP($AX38,DADOS!$CL$5:$CM$10,2,FALSE)*IF($AY38="",1,VLOOKUP($AY38,DADOS!$CO$5:$CP$7,2,FALSE))*IF($AZ38="",1,VLOOKUP($AZ38,DADOS!$CR$5:$CS$15,2,FALSE)),4),1)),0),""))</f>
        <v/>
      </c>
      <c r="BB38" s="137" t="n"/>
      <c r="BC38" s="144" t="n"/>
      <c r="BD38" s="144" t="n"/>
      <c r="BE38" s="95" t="n"/>
      <c r="BF38" s="95" t="n"/>
      <c r="BG38" s="95">
        <f>IF($BD38="","",IFERROR(IF(ROUND(VLOOKUP($BD38,DADOS!$CL$5:$CM$10,2,FALSE)*IF($BE38="",1,VLOOKUP($BE38,DADOS!$CO$5:$CP$7,2,FALSE))*IF($BF38="",1,VLOOKUP($BF38,DADOS!$CR$5:$CS$15,2,FALSE)),4)&gt;0,MAX(1,FLOOR(ROUND(VLOOKUP($BD38,DADOS!$CL$5:$CM$10,2,FALSE)*IF($BE38="",1,VLOOKUP($BE38,DADOS!$CO$5:$CP$7,2,FALSE))*IF($BF38="",1,VLOOKUP($BF38,DADOS!$CR$5:$CS$15,2,FALSE)),4),1)),0),""))</f>
        <v/>
      </c>
      <c r="BH38" s="137" t="n"/>
      <c r="BI38" s="144" t="n"/>
      <c r="BJ38" s="144" t="n"/>
      <c r="BK38" s="95" t="n"/>
      <c r="BL38" s="95" t="n"/>
      <c r="BM38" s="95">
        <f>IF($BJ38="","",IFERROR(IF(ROUND(VLOOKUP($BJ38,DADOS!$CL$5:$CM$10,2,FALSE)*IF($BK38="",1,VLOOKUP($BK38,DADOS!$CO$5:$CP$7,2,FALSE))*IF($BL38="",1,VLOOKUP($BL38,DADOS!$CR$5:$CS$15,2,FALSE)),4)&gt;0,MAX(1,FLOOR(ROUND(VLOOKUP($BJ38,DADOS!$CL$5:$CM$10,2,FALSE)*IF($BK38="",1,VLOOKUP($BK38,DADOS!$CO$5:$CP$7,2,FALSE))*IF($BL38="",1,VLOOKUP($BL38,DADOS!$CR$5:$CS$15,2,FALSE)),4),1)),0),""))</f>
        <v/>
      </c>
      <c r="BN38" s="137" t="n"/>
      <c r="BO38" s="144" t="n"/>
      <c r="BP38" s="144" t="n"/>
      <c r="BQ38" s="95" t="n"/>
      <c r="BR38" s="95" t="n"/>
      <c r="BS38" s="95">
        <f>IF($BP38="","",IFERROR(IF(ROUND(VLOOKUP($BP38,DADOS!$CL$5:$CM$10,2,FALSE)*IF($BQ38="",1,VLOOKUP($BQ38,DADOS!$CO$5:$CP$7,2,FALSE))*IF($BR38="",1,VLOOKUP($BR38,DADOS!$CR$5:$CS$15,2,FALSE)),4)&gt;0,MAX(1,FLOOR(ROUND(VLOOKUP($BP38,DADOS!$CL$5:$CM$10,2,FALSE)*IF($BQ38="",1,VLOOKUP($BQ38,DADOS!$CO$5:$CP$7,2,FALSE))*IF($BR38="",1,VLOOKUP($BR38,DADOS!$CR$5:$CS$15,2,FALSE)),4),1)),0),""))</f>
        <v/>
      </c>
      <c r="BT38" s="137" t="n"/>
    </row>
    <row r="39">
      <c r="B39" s="22" t="n"/>
      <c r="C39" s="137" t="n"/>
      <c r="D39" s="137" t="n"/>
      <c r="E39" s="137" t="n"/>
      <c r="F39" s="137" t="n"/>
      <c r="G39" s="137" t="n"/>
      <c r="H39" s="137" t="n"/>
      <c r="I39" s="137" t="n"/>
      <c r="J39" s="137" t="n"/>
      <c r="K39" s="137" t="n"/>
      <c r="L39" s="137" t="n"/>
      <c r="M39" s="137" t="n"/>
      <c r="N39" s="137" t="n"/>
      <c r="O39" s="137" t="n"/>
      <c r="P39" s="137" t="n"/>
      <c r="Q39" s="137" t="n"/>
      <c r="R39" s="137" t="n"/>
      <c r="S39" s="137" t="n"/>
      <c r="T39" s="137" t="n"/>
      <c r="U39" s="137" t="n"/>
      <c r="V39" s="137" t="n"/>
      <c r="W39" s="137" t="n"/>
      <c r="X39" s="137" t="n"/>
      <c r="Y39" s="137" t="n"/>
      <c r="Z39" s="137" t="n"/>
      <c r="AA39" s="137" t="n"/>
      <c r="AB39" s="137" t="n"/>
      <c r="AC39" s="137" t="n"/>
      <c r="AD39" s="137" t="n"/>
      <c r="AE39" s="137" t="n"/>
      <c r="AF39" s="137" t="n"/>
      <c r="AG39" s="137" t="n"/>
      <c r="AH39" s="137" t="n"/>
      <c r="AI39" s="137" t="n"/>
      <c r="AJ39" s="137" t="n"/>
      <c r="AK39" s="137" t="n"/>
      <c r="AL39" s="137" t="n"/>
      <c r="AM39" s="137" t="n"/>
      <c r="AN39" s="137" t="n"/>
      <c r="AO39" s="137" t="n"/>
      <c r="AP39" s="137" t="n"/>
      <c r="AQ39" s="137" t="n"/>
      <c r="AR39" s="137" t="n"/>
      <c r="AS39" s="137" t="n"/>
      <c r="AT39" s="137" t="n"/>
      <c r="AU39" s="137" t="n"/>
      <c r="AV39" s="137" t="n"/>
      <c r="AW39" s="144" t="n"/>
      <c r="AX39" s="144" t="n"/>
      <c r="AY39" s="95" t="n"/>
      <c r="AZ39" s="95" t="n"/>
      <c r="BA39" s="95">
        <f>IF($AX39="","",IFERROR(IF(ROUND(VLOOKUP($AX39,DADOS!$CL$5:$CM$10,2,FALSE)*IF($AY39="",1,VLOOKUP($AY39,DADOS!$CO$5:$CP$7,2,FALSE))*IF($AZ39="",1,VLOOKUP($AZ39,DADOS!$CR$5:$CS$15,2,FALSE)),4)&gt;0,MAX(1,FLOOR(ROUND(VLOOKUP($AX39,DADOS!$CL$5:$CM$10,2,FALSE)*IF($AY39="",1,VLOOKUP($AY39,DADOS!$CO$5:$CP$7,2,FALSE))*IF($AZ39="",1,VLOOKUP($AZ39,DADOS!$CR$5:$CS$15,2,FALSE)),4),1)),0),""))</f>
        <v/>
      </c>
      <c r="BB39" s="137" t="n"/>
      <c r="BC39" s="144" t="n"/>
      <c r="BD39" s="144" t="n"/>
      <c r="BE39" s="95" t="n"/>
      <c r="BF39" s="95" t="n"/>
      <c r="BG39" s="95">
        <f>IF($BD39="","",IFERROR(IF(ROUND(VLOOKUP($BD39,DADOS!$CL$5:$CM$10,2,FALSE)*IF($BE39="",1,VLOOKUP($BE39,DADOS!$CO$5:$CP$7,2,FALSE))*IF($BF39="",1,VLOOKUP($BF39,DADOS!$CR$5:$CS$15,2,FALSE)),4)&gt;0,MAX(1,FLOOR(ROUND(VLOOKUP($BD39,DADOS!$CL$5:$CM$10,2,FALSE)*IF($BE39="",1,VLOOKUP($BE39,DADOS!$CO$5:$CP$7,2,FALSE))*IF($BF39="",1,VLOOKUP($BF39,DADOS!$CR$5:$CS$15,2,FALSE)),4),1)),0),""))</f>
        <v/>
      </c>
      <c r="BH39" s="137" t="n"/>
      <c r="BI39" s="144" t="n"/>
      <c r="BJ39" s="144" t="n"/>
      <c r="BK39" s="95" t="n"/>
      <c r="BL39" s="95" t="n"/>
      <c r="BM39" s="95">
        <f>IF($BJ39="","",IFERROR(IF(ROUND(VLOOKUP($BJ39,DADOS!$CL$5:$CM$10,2,FALSE)*IF($BK39="",1,VLOOKUP($BK39,DADOS!$CO$5:$CP$7,2,FALSE))*IF($BL39="",1,VLOOKUP($BL39,DADOS!$CR$5:$CS$15,2,FALSE)),4)&gt;0,MAX(1,FLOOR(ROUND(VLOOKUP($BJ39,DADOS!$CL$5:$CM$10,2,FALSE)*IF($BK39="",1,VLOOKUP($BK39,DADOS!$CO$5:$CP$7,2,FALSE))*IF($BL39="",1,VLOOKUP($BL39,DADOS!$CR$5:$CS$15,2,FALSE)),4),1)),0),""))</f>
        <v/>
      </c>
      <c r="BN39" s="137" t="n"/>
      <c r="BO39" s="144" t="n"/>
      <c r="BP39" s="144" t="n"/>
      <c r="BQ39" s="95" t="n"/>
      <c r="BR39" s="95" t="n"/>
      <c r="BS39" s="95">
        <f>IF($BP39="","",IFERROR(IF(ROUND(VLOOKUP($BP39,DADOS!$CL$5:$CM$10,2,FALSE)*IF($BQ39="",1,VLOOKUP($BQ39,DADOS!$CO$5:$CP$7,2,FALSE))*IF($BR39="",1,VLOOKUP($BR39,DADOS!$CR$5:$CS$15,2,FALSE)),4)&gt;0,MAX(1,FLOOR(ROUND(VLOOKUP($BP39,DADOS!$CL$5:$CM$10,2,FALSE)*IF($BQ39="",1,VLOOKUP($BQ39,DADOS!$CO$5:$CP$7,2,FALSE))*IF($BR39="",1,VLOOKUP($BR39,DADOS!$CR$5:$CS$15,2,FALSE)),4),1)),0),""))</f>
        <v/>
      </c>
      <c r="BT39" s="137" t="n"/>
    </row>
    <row r="40">
      <c r="B40" s="22" t="n"/>
      <c r="C40" s="137" t="n"/>
      <c r="D40" s="56" t="inlineStr">
        <is>
          <t>ORIGEM</t>
        </is>
      </c>
      <c r="E40" s="16" t="n"/>
      <c r="F40" s="16" t="n"/>
      <c r="G40" s="16" t="n"/>
      <c r="H40" s="16" t="n"/>
      <c r="I40" s="16" t="n"/>
      <c r="J40" s="16" t="n"/>
      <c r="K40" s="16" t="n"/>
      <c r="L40" s="16" t="n"/>
      <c r="M40" s="16" t="n"/>
      <c r="N40" s="16" t="n"/>
      <c r="O40" s="16" t="n"/>
      <c r="P40" s="17" t="n"/>
      <c r="Q40" s="137" t="n"/>
      <c r="R40" s="56" t="inlineStr">
        <is>
          <t>PERÍCIA DA ORIGEM · UMA DESTAS</t>
        </is>
      </c>
      <c r="S40" s="16" t="n"/>
      <c r="T40" s="16" t="n"/>
      <c r="U40" s="16" t="n"/>
      <c r="V40" s="16" t="n"/>
      <c r="W40" s="16" t="n"/>
      <c r="X40" s="16" t="n"/>
      <c r="Y40" s="16" t="n"/>
      <c r="Z40" s="16" t="n"/>
      <c r="AA40" s="16" t="n"/>
      <c r="AB40" s="16" t="n"/>
      <c r="AC40" s="16" t="n"/>
      <c r="AD40" s="16" t="n"/>
      <c r="AE40" s="16" t="n"/>
      <c r="AF40" s="17" t="n"/>
      <c r="AG40" s="137" t="n"/>
      <c r="AH40" s="56" t="inlineStr">
        <is>
          <t>ROTA DE CRIAÇÃO</t>
        </is>
      </c>
      <c r="AI40" s="16" t="n"/>
      <c r="AJ40" s="16" t="n"/>
      <c r="AK40" s="16" t="n"/>
      <c r="AL40" s="16" t="n"/>
      <c r="AM40" s="16" t="n"/>
      <c r="AN40" s="16" t="n"/>
      <c r="AO40" s="16" t="n"/>
      <c r="AP40" s="16" t="n"/>
      <c r="AQ40" s="16" t="n"/>
      <c r="AR40" s="16" t="n"/>
      <c r="AS40" s="16" t="n"/>
      <c r="AT40" s="17" t="n"/>
      <c r="AU40" s="137" t="n"/>
      <c r="AV40" s="137" t="n"/>
      <c r="AW40" s="144" t="n"/>
      <c r="AX40" s="144" t="n"/>
      <c r="AY40" s="95" t="n"/>
      <c r="AZ40" s="95" t="n"/>
      <c r="BA40" s="95">
        <f>IF($AX40="","",IFERROR(IF(ROUND(VLOOKUP($AX40,DADOS!$CL$5:$CM$10,2,FALSE)*IF($AY40="",1,VLOOKUP($AY40,DADOS!$CO$5:$CP$7,2,FALSE))*IF($AZ40="",1,VLOOKUP($AZ40,DADOS!$CR$5:$CS$15,2,FALSE)),4)&gt;0,MAX(1,FLOOR(ROUND(VLOOKUP($AX40,DADOS!$CL$5:$CM$10,2,FALSE)*IF($AY40="",1,VLOOKUP($AY40,DADOS!$CO$5:$CP$7,2,FALSE))*IF($AZ40="",1,VLOOKUP($AZ40,DADOS!$CR$5:$CS$15,2,FALSE)),4),1)),0),""))</f>
        <v/>
      </c>
      <c r="BB40" s="137" t="n"/>
      <c r="BC40" s="144" t="n"/>
      <c r="BD40" s="144" t="n"/>
      <c r="BE40" s="95" t="n"/>
      <c r="BF40" s="95" t="n"/>
      <c r="BG40" s="95">
        <f>IF($BD40="","",IFERROR(IF(ROUND(VLOOKUP($BD40,DADOS!$CL$5:$CM$10,2,FALSE)*IF($BE40="",1,VLOOKUP($BE40,DADOS!$CO$5:$CP$7,2,FALSE))*IF($BF40="",1,VLOOKUP($BF40,DADOS!$CR$5:$CS$15,2,FALSE)),4)&gt;0,MAX(1,FLOOR(ROUND(VLOOKUP($BD40,DADOS!$CL$5:$CM$10,2,FALSE)*IF($BE40="",1,VLOOKUP($BE40,DADOS!$CO$5:$CP$7,2,FALSE))*IF($BF40="",1,VLOOKUP($BF40,DADOS!$CR$5:$CS$15,2,FALSE)),4),1)),0),""))</f>
        <v/>
      </c>
      <c r="BH40" s="137" t="n"/>
      <c r="BI40" s="144" t="n"/>
      <c r="BJ40" s="144" t="n"/>
      <c r="BK40" s="95" t="n"/>
      <c r="BL40" s="95" t="n"/>
      <c r="BM40" s="95">
        <f>IF($BJ40="","",IFERROR(IF(ROUND(VLOOKUP($BJ40,DADOS!$CL$5:$CM$10,2,FALSE)*IF($BK40="",1,VLOOKUP($BK40,DADOS!$CO$5:$CP$7,2,FALSE))*IF($BL40="",1,VLOOKUP($BL40,DADOS!$CR$5:$CS$15,2,FALSE)),4)&gt;0,MAX(1,FLOOR(ROUND(VLOOKUP($BJ40,DADOS!$CL$5:$CM$10,2,FALSE)*IF($BK40="",1,VLOOKUP($BK40,DADOS!$CO$5:$CP$7,2,FALSE))*IF($BL40="",1,VLOOKUP($BL40,DADOS!$CR$5:$CS$15,2,FALSE)),4),1)),0),""))</f>
        <v/>
      </c>
      <c r="BN40" s="137" t="n"/>
      <c r="BO40" s="144" t="n"/>
      <c r="BP40" s="144" t="n"/>
      <c r="BQ40" s="95" t="n"/>
      <c r="BR40" s="95" t="n"/>
      <c r="BS40" s="95">
        <f>IF($BP40="","",IFERROR(IF(ROUND(VLOOKUP($BP40,DADOS!$CL$5:$CM$10,2,FALSE)*IF($BQ40="",1,VLOOKUP($BQ40,DADOS!$CO$5:$CP$7,2,FALSE))*IF($BR40="",1,VLOOKUP($BR40,DADOS!$CR$5:$CS$15,2,FALSE)),4)&gt;0,MAX(1,FLOOR(ROUND(VLOOKUP($BP40,DADOS!$CL$5:$CM$10,2,FALSE)*IF($BQ40="",1,VLOOKUP($BQ40,DADOS!$CO$5:$CP$7,2,FALSE))*IF($BR40="",1,VLOOKUP($BR40,DADOS!$CR$5:$CS$15,2,FALSE)),4),1)),0),""))</f>
        <v/>
      </c>
      <c r="BT40" s="137" t="n"/>
    </row>
    <row r="41">
      <c r="B41" s="22" t="n"/>
      <c r="C41" s="137" t="n"/>
      <c r="D41" s="95">
        <f>IF(FICHA!$X$11="","escolha na FICHA",FICHA!$X$11)</f>
        <v/>
      </c>
      <c r="E41" s="16" t="n"/>
      <c r="F41" s="16" t="n"/>
      <c r="G41" s="16" t="n"/>
      <c r="H41" s="16" t="n"/>
      <c r="I41" s="16" t="n"/>
      <c r="J41" s="16" t="n"/>
      <c r="K41" s="16" t="n"/>
      <c r="L41" s="16" t="n"/>
      <c r="M41" s="16" t="n"/>
      <c r="N41" s="16" t="n"/>
      <c r="O41" s="16" t="n"/>
      <c r="P41" s="17" t="n"/>
      <c r="Q41" s="137" t="n"/>
      <c r="R41" s="95">
        <f>IFERROR(VLOOKUP(DADOS!$CZ$52,'DADOS_CUSTOM'!$BG$2:$BI$34,2,FALSE),"—")</f>
        <v/>
      </c>
      <c r="S41" s="16" t="n"/>
      <c r="T41" s="16" t="n"/>
      <c r="U41" s="16" t="n"/>
      <c r="V41" s="16" t="n"/>
      <c r="W41" s="16" t="n"/>
      <c r="X41" s="16" t="n"/>
      <c r="Y41" s="16" t="n"/>
      <c r="Z41" s="16" t="n"/>
      <c r="AA41" s="16" t="n"/>
      <c r="AB41" s="16" t="n"/>
      <c r="AC41" s="16" t="n"/>
      <c r="AD41" s="16" t="n"/>
      <c r="AE41" s="16" t="n"/>
      <c r="AF41" s="17" t="n"/>
      <c r="AG41" s="137" t="n"/>
      <c r="AH41" s="95">
        <f>IF(DADOS!$CZ$53=1,"Manejos (Sem Técnica)",IFERROR(VLOOKUP(DADOS!$CZ$52,'DADOS_CUSTOM'!$BG$2:$BI$34,3,FALSE),"—"))</f>
        <v/>
      </c>
      <c r="AI41" s="16" t="n"/>
      <c r="AJ41" s="16" t="n"/>
      <c r="AK41" s="16" t="n"/>
      <c r="AL41" s="16" t="n"/>
      <c r="AM41" s="16" t="n"/>
      <c r="AN41" s="16" t="n"/>
      <c r="AO41" s="16" t="n"/>
      <c r="AP41" s="16" t="n"/>
      <c r="AQ41" s="16" t="n"/>
      <c r="AR41" s="16" t="n"/>
      <c r="AS41" s="16" t="n"/>
      <c r="AT41" s="17" t="n"/>
      <c r="AU41" s="137" t="n"/>
      <c r="AV41" s="137" t="n"/>
      <c r="AW41" s="144" t="n"/>
      <c r="AX41" s="144" t="n"/>
      <c r="AY41" s="95" t="n"/>
      <c r="AZ41" s="95" t="n"/>
      <c r="BA41" s="95">
        <f>IF($AX41="","",IFERROR(IF(ROUND(VLOOKUP($AX41,DADOS!$CL$5:$CM$10,2,FALSE)*IF($AY41="",1,VLOOKUP($AY41,DADOS!$CO$5:$CP$7,2,FALSE))*IF($AZ41="",1,VLOOKUP($AZ41,DADOS!$CR$5:$CS$15,2,FALSE)),4)&gt;0,MAX(1,FLOOR(ROUND(VLOOKUP($AX41,DADOS!$CL$5:$CM$10,2,FALSE)*IF($AY41="",1,VLOOKUP($AY41,DADOS!$CO$5:$CP$7,2,FALSE))*IF($AZ41="",1,VLOOKUP($AZ41,DADOS!$CR$5:$CS$15,2,FALSE)),4),1)),0),""))</f>
        <v/>
      </c>
      <c r="BB41" s="137" t="n"/>
      <c r="BC41" s="144" t="n"/>
      <c r="BD41" s="144" t="n"/>
      <c r="BE41" s="95" t="n"/>
      <c r="BF41" s="95" t="n"/>
      <c r="BG41" s="95">
        <f>IF($BD41="","",IFERROR(IF(ROUND(VLOOKUP($BD41,DADOS!$CL$5:$CM$10,2,FALSE)*IF($BE41="",1,VLOOKUP($BE41,DADOS!$CO$5:$CP$7,2,FALSE))*IF($BF41="",1,VLOOKUP($BF41,DADOS!$CR$5:$CS$15,2,FALSE)),4)&gt;0,MAX(1,FLOOR(ROUND(VLOOKUP($BD41,DADOS!$CL$5:$CM$10,2,FALSE)*IF($BE41="",1,VLOOKUP($BE41,DADOS!$CO$5:$CP$7,2,FALSE))*IF($BF41="",1,VLOOKUP($BF41,DADOS!$CR$5:$CS$15,2,FALSE)),4),1)),0),""))</f>
        <v/>
      </c>
      <c r="BH41" s="137" t="n"/>
      <c r="BI41" s="144" t="n"/>
      <c r="BJ41" s="144" t="n"/>
      <c r="BK41" s="95" t="n"/>
      <c r="BL41" s="95" t="n"/>
      <c r="BM41" s="95">
        <f>IF($BJ41="","",IFERROR(IF(ROUND(VLOOKUP($BJ41,DADOS!$CL$5:$CM$10,2,FALSE)*IF($BK41="",1,VLOOKUP($BK41,DADOS!$CO$5:$CP$7,2,FALSE))*IF($BL41="",1,VLOOKUP($BL41,DADOS!$CR$5:$CS$15,2,FALSE)),4)&gt;0,MAX(1,FLOOR(ROUND(VLOOKUP($BJ41,DADOS!$CL$5:$CM$10,2,FALSE)*IF($BK41="",1,VLOOKUP($BK41,DADOS!$CO$5:$CP$7,2,FALSE))*IF($BL41="",1,VLOOKUP($BL41,DADOS!$CR$5:$CS$15,2,FALSE)),4),1)),0),""))</f>
        <v/>
      </c>
      <c r="BN41" s="137" t="n"/>
      <c r="BO41" s="144" t="n"/>
      <c r="BP41" s="144" t="n"/>
      <c r="BQ41" s="95" t="n"/>
      <c r="BR41" s="95" t="n"/>
      <c r="BS41" s="95">
        <f>IF($BP41="","",IFERROR(IF(ROUND(VLOOKUP($BP41,DADOS!$CL$5:$CM$10,2,FALSE)*IF($BQ41="",1,VLOOKUP($BQ41,DADOS!$CO$5:$CP$7,2,FALSE))*IF($BR41="",1,VLOOKUP($BR41,DADOS!$CR$5:$CS$15,2,FALSE)),4)&gt;0,MAX(1,FLOOR(ROUND(VLOOKUP($BP41,DADOS!$CL$5:$CM$10,2,FALSE)*IF($BQ41="",1,VLOOKUP($BQ41,DADOS!$CO$5:$CP$7,2,FALSE))*IF($BR41="",1,VLOOKUP($BR41,DADOS!$CR$5:$CS$15,2,FALSE)),4),1)),0),""))</f>
        <v/>
      </c>
      <c r="BT41" s="137" t="n"/>
    </row>
    <row r="42">
      <c r="B42" s="22" t="n"/>
      <c r="C42" s="137" t="n"/>
      <c r="D42" s="143" t="inlineStr">
        <is>
          <t>DESCRIÇÕES RETRÁTEIS · use − para recolher e + para abrir</t>
        </is>
      </c>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6" t="n"/>
      <c r="AO42" s="16" t="n"/>
      <c r="AP42" s="16" t="n"/>
      <c r="AQ42" s="16" t="n"/>
      <c r="AR42" s="16" t="n"/>
      <c r="AS42" s="16" t="n"/>
      <c r="AT42" s="17" t="n"/>
      <c r="AU42" s="137" t="n"/>
      <c r="AV42" s="137" t="n"/>
      <c r="AW42" s="144" t="n"/>
      <c r="AX42" s="144" t="n"/>
      <c r="AY42" s="95" t="n"/>
      <c r="AZ42" s="95" t="n"/>
      <c r="BA42" s="95">
        <f>IF($AX42="","",IFERROR(IF(ROUND(VLOOKUP($AX42,DADOS!$CL$5:$CM$10,2,FALSE)*IF($AY42="",1,VLOOKUP($AY42,DADOS!$CO$5:$CP$7,2,FALSE))*IF($AZ42="",1,VLOOKUP($AZ42,DADOS!$CR$5:$CS$15,2,FALSE)),4)&gt;0,MAX(1,FLOOR(ROUND(VLOOKUP($AX42,DADOS!$CL$5:$CM$10,2,FALSE)*IF($AY42="",1,VLOOKUP($AY42,DADOS!$CO$5:$CP$7,2,FALSE))*IF($AZ42="",1,VLOOKUP($AZ42,DADOS!$CR$5:$CS$15,2,FALSE)),4),1)),0),""))</f>
        <v/>
      </c>
      <c r="BB42" s="137" t="n"/>
      <c r="BC42" s="144" t="n"/>
      <c r="BD42" s="144" t="n"/>
      <c r="BE42" s="95" t="n"/>
      <c r="BF42" s="95" t="n"/>
      <c r="BG42" s="95">
        <f>IF($BD42="","",IFERROR(IF(ROUND(VLOOKUP($BD42,DADOS!$CL$5:$CM$10,2,FALSE)*IF($BE42="",1,VLOOKUP($BE42,DADOS!$CO$5:$CP$7,2,FALSE))*IF($BF42="",1,VLOOKUP($BF42,DADOS!$CR$5:$CS$15,2,FALSE)),4)&gt;0,MAX(1,FLOOR(ROUND(VLOOKUP($BD42,DADOS!$CL$5:$CM$10,2,FALSE)*IF($BE42="",1,VLOOKUP($BE42,DADOS!$CO$5:$CP$7,2,FALSE))*IF($BF42="",1,VLOOKUP($BF42,DADOS!$CR$5:$CS$15,2,FALSE)),4),1)),0),""))</f>
        <v/>
      </c>
      <c r="BH42" s="137" t="n"/>
      <c r="BI42" s="144" t="n"/>
      <c r="BJ42" s="144" t="n"/>
      <c r="BK42" s="95" t="n"/>
      <c r="BL42" s="95" t="n"/>
      <c r="BM42" s="95">
        <f>IF($BJ42="","",IFERROR(IF(ROUND(VLOOKUP($BJ42,DADOS!$CL$5:$CM$10,2,FALSE)*IF($BK42="",1,VLOOKUP($BK42,DADOS!$CO$5:$CP$7,2,FALSE))*IF($BL42="",1,VLOOKUP($BL42,DADOS!$CR$5:$CS$15,2,FALSE)),4)&gt;0,MAX(1,FLOOR(ROUND(VLOOKUP($BJ42,DADOS!$CL$5:$CM$10,2,FALSE)*IF($BK42="",1,VLOOKUP($BK42,DADOS!$CO$5:$CP$7,2,FALSE))*IF($BL42="",1,VLOOKUP($BL42,DADOS!$CR$5:$CS$15,2,FALSE)),4),1)),0),""))</f>
        <v/>
      </c>
      <c r="BN42" s="137" t="n"/>
      <c r="BO42" s="144" t="n"/>
      <c r="BP42" s="144" t="n"/>
      <c r="BQ42" s="95" t="n"/>
      <c r="BR42" s="95" t="n"/>
      <c r="BS42" s="95">
        <f>IF($BP42="","",IFERROR(IF(ROUND(VLOOKUP($BP42,DADOS!$CL$5:$CM$10,2,FALSE)*IF($BQ42="",1,VLOOKUP($BQ42,DADOS!$CO$5:$CP$7,2,FALSE))*IF($BR42="",1,VLOOKUP($BR42,DADOS!$CR$5:$CS$15,2,FALSE)),4)&gt;0,MAX(1,FLOOR(ROUND(VLOOKUP($BP42,DADOS!$CL$5:$CM$10,2,FALSE)*IF($BQ42="",1,VLOOKUP($BQ42,DADOS!$CO$5:$CP$7,2,FALSE))*IF($BR42="",1,VLOOKUP($BR42,DADOS!$CR$5:$CS$15,2,FALSE)),4),1)),0),""))</f>
        <v/>
      </c>
      <c r="BT42" s="137" t="n"/>
    </row>
    <row r="43">
      <c r="B43" s="22" t="n"/>
      <c r="C43" s="137" t="n"/>
      <c r="D43" s="56" t="inlineStr">
        <is>
          <t>MARCANTE</t>
        </is>
      </c>
      <c r="E43" s="16" t="n"/>
      <c r="F43" s="16" t="n"/>
      <c r="G43" s="16" t="n"/>
      <c r="H43" s="16" t="n"/>
      <c r="I43" s="16" t="n"/>
      <c r="J43" s="16" t="n"/>
      <c r="K43" s="16" t="n"/>
      <c r="L43" s="16" t="n"/>
      <c r="M43" s="16" t="n"/>
      <c r="N43" s="16" t="n"/>
      <c r="O43" s="16" t="n"/>
      <c r="P43" s="17" t="n"/>
      <c r="Q43" s="137" t="n"/>
      <c r="R43" s="56" t="inlineStr">
        <is>
          <t>MENOR 1</t>
        </is>
      </c>
      <c r="S43" s="16" t="n"/>
      <c r="T43" s="16" t="n"/>
      <c r="U43" s="16" t="n"/>
      <c r="V43" s="16" t="n"/>
      <c r="W43" s="16" t="n"/>
      <c r="X43" s="16" t="n"/>
      <c r="Y43" s="16" t="n"/>
      <c r="Z43" s="16" t="n"/>
      <c r="AA43" s="16" t="n"/>
      <c r="AB43" s="16" t="n"/>
      <c r="AC43" s="16" t="n"/>
      <c r="AD43" s="16" t="n"/>
      <c r="AE43" s="16" t="n"/>
      <c r="AF43" s="17" t="n"/>
      <c r="AG43" s="137" t="n"/>
      <c r="AH43" s="56" t="inlineStr">
        <is>
          <t>MENOR 2</t>
        </is>
      </c>
      <c r="AI43" s="16" t="n"/>
      <c r="AJ43" s="16" t="n"/>
      <c r="AK43" s="16" t="n"/>
      <c r="AL43" s="16" t="n"/>
      <c r="AM43" s="16" t="n"/>
      <c r="AN43" s="16" t="n"/>
      <c r="AO43" s="16" t="n"/>
      <c r="AP43" s="16" t="n"/>
      <c r="AQ43" s="16" t="n"/>
      <c r="AR43" s="16" t="n"/>
      <c r="AS43" s="16" t="n"/>
      <c r="AT43" s="17" t="n"/>
      <c r="AU43" s="137" t="n"/>
      <c r="AV43" s="137" t="n"/>
      <c r="AW43" s="144" t="n"/>
      <c r="AX43" s="144" t="n"/>
      <c r="AY43" s="95" t="n"/>
      <c r="AZ43" s="95" t="n"/>
      <c r="BA43" s="95">
        <f>IF($AX43="","",IFERROR(IF(ROUND(VLOOKUP($AX43,DADOS!$CL$5:$CM$10,2,FALSE)*IF($AY43="",1,VLOOKUP($AY43,DADOS!$CO$5:$CP$7,2,FALSE))*IF($AZ43="",1,VLOOKUP($AZ43,DADOS!$CR$5:$CS$15,2,FALSE)),4)&gt;0,MAX(1,FLOOR(ROUND(VLOOKUP($AX43,DADOS!$CL$5:$CM$10,2,FALSE)*IF($AY43="",1,VLOOKUP($AY43,DADOS!$CO$5:$CP$7,2,FALSE))*IF($AZ43="",1,VLOOKUP($AZ43,DADOS!$CR$5:$CS$15,2,FALSE)),4),1)),0),""))</f>
        <v/>
      </c>
      <c r="BB43" s="137" t="n"/>
      <c r="BC43" s="144" t="n"/>
      <c r="BD43" s="144" t="n"/>
      <c r="BE43" s="95" t="n"/>
      <c r="BF43" s="95" t="n"/>
      <c r="BG43" s="95">
        <f>IF($BD43="","",IFERROR(IF(ROUND(VLOOKUP($BD43,DADOS!$CL$5:$CM$10,2,FALSE)*IF($BE43="",1,VLOOKUP($BE43,DADOS!$CO$5:$CP$7,2,FALSE))*IF($BF43="",1,VLOOKUP($BF43,DADOS!$CR$5:$CS$15,2,FALSE)),4)&gt;0,MAX(1,FLOOR(ROUND(VLOOKUP($BD43,DADOS!$CL$5:$CM$10,2,FALSE)*IF($BE43="",1,VLOOKUP($BE43,DADOS!$CO$5:$CP$7,2,FALSE))*IF($BF43="",1,VLOOKUP($BF43,DADOS!$CR$5:$CS$15,2,FALSE)),4),1)),0),""))</f>
        <v/>
      </c>
      <c r="BH43" s="137" t="n"/>
      <c r="BI43" s="144" t="n"/>
      <c r="BJ43" s="144" t="n"/>
      <c r="BK43" s="95" t="n"/>
      <c r="BL43" s="95" t="n"/>
      <c r="BM43" s="95">
        <f>IF($BJ43="","",IFERROR(IF(ROUND(VLOOKUP($BJ43,DADOS!$CL$5:$CM$10,2,FALSE)*IF($BK43="",1,VLOOKUP($BK43,DADOS!$CO$5:$CP$7,2,FALSE))*IF($BL43="",1,VLOOKUP($BL43,DADOS!$CR$5:$CS$15,2,FALSE)),4)&gt;0,MAX(1,FLOOR(ROUND(VLOOKUP($BJ43,DADOS!$CL$5:$CM$10,2,FALSE)*IF($BK43="",1,VLOOKUP($BK43,DADOS!$CO$5:$CP$7,2,FALSE))*IF($BL43="",1,VLOOKUP($BL43,DADOS!$CR$5:$CS$15,2,FALSE)),4),1)),0),""))</f>
        <v/>
      </c>
      <c r="BN43" s="137" t="n"/>
      <c r="BO43" s="144" t="n"/>
      <c r="BP43" s="144" t="n"/>
      <c r="BQ43" s="95" t="n"/>
      <c r="BR43" s="95" t="n"/>
      <c r="BS43" s="95">
        <f>IF($BP43="","",IFERROR(IF(ROUND(VLOOKUP($BP43,DADOS!$CL$5:$CM$10,2,FALSE)*IF($BQ43="",1,VLOOKUP($BQ43,DADOS!$CO$5:$CP$7,2,FALSE))*IF($BR43="",1,VLOOKUP($BR43,DADOS!$CR$5:$CS$15,2,FALSE)),4)&gt;0,MAX(1,FLOOR(ROUND(VLOOKUP($BP43,DADOS!$CL$5:$CM$10,2,FALSE)*IF($BQ43="",1,VLOOKUP($BQ43,DADOS!$CO$5:$CP$7,2,FALSE))*IF($BR43="",1,VLOOKUP($BR43,DADOS!$CR$5:$CS$15,2,FALSE)),4),1)),0),""))</f>
        <v/>
      </c>
      <c r="BT43" s="137" t="n"/>
    </row>
    <row r="44">
      <c r="B44" s="22" t="n"/>
      <c r="C44" s="137" t="n"/>
      <c r="D44" s="144" t="n"/>
      <c r="E44" s="16" t="n"/>
      <c r="F44" s="16" t="n"/>
      <c r="G44" s="16" t="n"/>
      <c r="H44" s="16" t="n"/>
      <c r="I44" s="16" t="n"/>
      <c r="J44" s="16" t="n"/>
      <c r="K44" s="16" t="n"/>
      <c r="L44" s="16" t="n"/>
      <c r="M44" s="16" t="n"/>
      <c r="N44" s="16" t="n"/>
      <c r="O44" s="16" t="n"/>
      <c r="P44" s="17" t="n"/>
      <c r="Q44" s="137" t="n"/>
      <c r="R44" s="144" t="n"/>
      <c r="S44" s="16" t="n"/>
      <c r="T44" s="16" t="n"/>
      <c r="U44" s="16" t="n"/>
      <c r="V44" s="16" t="n"/>
      <c r="W44" s="16" t="n"/>
      <c r="X44" s="16" t="n"/>
      <c r="Y44" s="16" t="n"/>
      <c r="Z44" s="16" t="n"/>
      <c r="AA44" s="16" t="n"/>
      <c r="AB44" s="16" t="n"/>
      <c r="AC44" s="16" t="n"/>
      <c r="AD44" s="16" t="n"/>
      <c r="AE44" s="16" t="n"/>
      <c r="AF44" s="17" t="n"/>
      <c r="AG44" s="137" t="n"/>
      <c r="AH44" s="144" t="n"/>
      <c r="AI44" s="16" t="n"/>
      <c r="AJ44" s="16" t="n"/>
      <c r="AK44" s="16" t="n"/>
      <c r="AL44" s="16" t="n"/>
      <c r="AM44" s="16" t="n"/>
      <c r="AN44" s="16" t="n"/>
      <c r="AO44" s="16" t="n"/>
      <c r="AP44" s="16" t="n"/>
      <c r="AQ44" s="16" t="n"/>
      <c r="AR44" s="16" t="n"/>
      <c r="AS44" s="16" t="n"/>
      <c r="AT44" s="17" t="n"/>
      <c r="AU44" s="137" t="n"/>
      <c r="AV44" s="137" t="n"/>
      <c r="AW44" s="144" t="n"/>
      <c r="AX44" s="144" t="n"/>
      <c r="AY44" s="95" t="n"/>
      <c r="AZ44" s="95" t="n"/>
      <c r="BA44" s="95">
        <f>IF($AX44="","",IFERROR(IF(ROUND(VLOOKUP($AX44,DADOS!$CL$5:$CM$10,2,FALSE)*IF($AY44="",1,VLOOKUP($AY44,DADOS!$CO$5:$CP$7,2,FALSE))*IF($AZ44="",1,VLOOKUP($AZ44,DADOS!$CR$5:$CS$15,2,FALSE)),4)&gt;0,MAX(1,FLOOR(ROUND(VLOOKUP($AX44,DADOS!$CL$5:$CM$10,2,FALSE)*IF($AY44="",1,VLOOKUP($AY44,DADOS!$CO$5:$CP$7,2,FALSE))*IF($AZ44="",1,VLOOKUP($AZ44,DADOS!$CR$5:$CS$15,2,FALSE)),4),1)),0),""))</f>
        <v/>
      </c>
      <c r="BB44" s="137" t="n"/>
      <c r="BC44" s="144" t="n"/>
      <c r="BD44" s="144" t="n"/>
      <c r="BE44" s="95" t="n"/>
      <c r="BF44" s="95" t="n"/>
      <c r="BG44" s="95">
        <f>IF($BD44="","",IFERROR(IF(ROUND(VLOOKUP($BD44,DADOS!$CL$5:$CM$10,2,FALSE)*IF($BE44="",1,VLOOKUP($BE44,DADOS!$CO$5:$CP$7,2,FALSE))*IF($BF44="",1,VLOOKUP($BF44,DADOS!$CR$5:$CS$15,2,FALSE)),4)&gt;0,MAX(1,FLOOR(ROUND(VLOOKUP($BD44,DADOS!$CL$5:$CM$10,2,FALSE)*IF($BE44="",1,VLOOKUP($BE44,DADOS!$CO$5:$CP$7,2,FALSE))*IF($BF44="",1,VLOOKUP($BF44,DADOS!$CR$5:$CS$15,2,FALSE)),4),1)),0),""))</f>
        <v/>
      </c>
      <c r="BH44" s="137" t="n"/>
      <c r="BI44" s="144" t="n"/>
      <c r="BJ44" s="144" t="n"/>
      <c r="BK44" s="95" t="n"/>
      <c r="BL44" s="95" t="n"/>
      <c r="BM44" s="95">
        <f>IF($BJ44="","",IFERROR(IF(ROUND(VLOOKUP($BJ44,DADOS!$CL$5:$CM$10,2,FALSE)*IF($BK44="",1,VLOOKUP($BK44,DADOS!$CO$5:$CP$7,2,FALSE))*IF($BL44="",1,VLOOKUP($BL44,DADOS!$CR$5:$CS$15,2,FALSE)),4)&gt;0,MAX(1,FLOOR(ROUND(VLOOKUP($BJ44,DADOS!$CL$5:$CM$10,2,FALSE)*IF($BK44="",1,VLOOKUP($BK44,DADOS!$CO$5:$CP$7,2,FALSE))*IF($BL44="",1,VLOOKUP($BL44,DADOS!$CR$5:$CS$15,2,FALSE)),4),1)),0),""))</f>
        <v/>
      </c>
      <c r="BN44" s="137" t="n"/>
      <c r="BO44" s="144" t="n"/>
      <c r="BP44" s="144" t="n"/>
      <c r="BQ44" s="95" t="n"/>
      <c r="BR44" s="95" t="n"/>
      <c r="BS44" s="95">
        <f>IF($BP44="","",IFERROR(IF(ROUND(VLOOKUP($BP44,DADOS!$CL$5:$CM$10,2,FALSE)*IF($BQ44="",1,VLOOKUP($BQ44,DADOS!$CO$5:$CP$7,2,FALSE))*IF($BR44="",1,VLOOKUP($BR44,DADOS!$CR$5:$CS$15,2,FALSE)),4)&gt;0,MAX(1,FLOOR(ROUND(VLOOKUP($BP44,DADOS!$CL$5:$CM$10,2,FALSE)*IF($BQ44="",1,VLOOKUP($BQ44,DADOS!$CO$5:$CP$7,2,FALSE))*IF($BR44="",1,VLOOKUP($BR44,DADOS!$CR$5:$CS$15,2,FALSE)),4),1)),0),""))</f>
        <v/>
      </c>
      <c r="BT44" s="137" t="n"/>
    </row>
    <row r="45" outlineLevel="1">
      <c r="B45" s="22" t="n"/>
      <c r="C45" s="137" t="n"/>
      <c r="D45" s="61">
        <f>IF(OR($D$44="",$D$44="✎ Criada com o mestre"),"",IFERROR(VLOOKUP($D$44,'DADOS_CUSTOM'!$AZ$2:$BE$107,6,FALSE),""))</f>
        <v/>
      </c>
      <c r="E45" s="19" t="n"/>
      <c r="F45" s="19" t="n"/>
      <c r="G45" s="19" t="n"/>
      <c r="H45" s="19" t="n"/>
      <c r="I45" s="19" t="n"/>
      <c r="J45" s="19" t="n"/>
      <c r="K45" s="19" t="n"/>
      <c r="L45" s="19" t="n"/>
      <c r="M45" s="19" t="n"/>
      <c r="N45" s="19" t="n"/>
      <c r="O45" s="19" t="n"/>
      <c r="P45" s="20" t="n"/>
      <c r="Q45" s="137" t="n"/>
      <c r="R45" s="61">
        <f>IF(OR($R$44="",$R$44="✎ Criada com o mestre"),"",IFERROR(VLOOKUP($R$44,'DADOS_CUSTOM'!$AZ$2:$BE$107,6,FALSE),""))</f>
        <v/>
      </c>
      <c r="S45" s="19" t="n"/>
      <c r="T45" s="19" t="n"/>
      <c r="U45" s="19" t="n"/>
      <c r="V45" s="19" t="n"/>
      <c r="W45" s="19" t="n"/>
      <c r="X45" s="19" t="n"/>
      <c r="Y45" s="19" t="n"/>
      <c r="Z45" s="19" t="n"/>
      <c r="AA45" s="19" t="n"/>
      <c r="AB45" s="19" t="n"/>
      <c r="AC45" s="19" t="n"/>
      <c r="AD45" s="19" t="n"/>
      <c r="AE45" s="19" t="n"/>
      <c r="AF45" s="20" t="n"/>
      <c r="AG45" s="137" t="n"/>
      <c r="AH45" s="61">
        <f>IF(OR($AH$44="",$AH$44="✎ Criada com o mestre"),"",IFERROR(VLOOKUP($AH$44,'DADOS_CUSTOM'!$AZ$2:$BE$107,6,FALSE),""))</f>
        <v/>
      </c>
      <c r="AI45" s="19" t="n"/>
      <c r="AJ45" s="19" t="n"/>
      <c r="AK45" s="19" t="n"/>
      <c r="AL45" s="19" t="n"/>
      <c r="AM45" s="19" t="n"/>
      <c r="AN45" s="19" t="n"/>
      <c r="AO45" s="19" t="n"/>
      <c r="AP45" s="19" t="n"/>
      <c r="AQ45" s="19" t="n"/>
      <c r="AR45" s="19" t="n"/>
      <c r="AS45" s="19" t="n"/>
      <c r="AT45" s="20" t="n"/>
      <c r="AU45" s="137" t="n"/>
      <c r="AV45" s="137" t="n"/>
      <c r="AW45" s="144" t="n"/>
      <c r="AX45" s="144" t="n"/>
      <c r="AY45" s="95" t="n"/>
      <c r="AZ45" s="95" t="n"/>
      <c r="BA45" s="95">
        <f>IF($AX45="","",IFERROR(IF(ROUND(VLOOKUP($AX45,DADOS!$CL$5:$CM$10,2,FALSE)*IF($AY45="",1,VLOOKUP($AY45,DADOS!$CO$5:$CP$7,2,FALSE))*IF($AZ45="",1,VLOOKUP($AZ45,DADOS!$CR$5:$CS$15,2,FALSE)),4)&gt;0,MAX(1,FLOOR(ROUND(VLOOKUP($AX45,DADOS!$CL$5:$CM$10,2,FALSE)*IF($AY45="",1,VLOOKUP($AY45,DADOS!$CO$5:$CP$7,2,FALSE))*IF($AZ45="",1,VLOOKUP($AZ45,DADOS!$CR$5:$CS$15,2,FALSE)),4),1)),0),""))</f>
        <v/>
      </c>
      <c r="BB45" s="137" t="n"/>
      <c r="BC45" s="144" t="n"/>
      <c r="BD45" s="144" t="n"/>
      <c r="BE45" s="95" t="n"/>
      <c r="BF45" s="95" t="n"/>
      <c r="BG45" s="95">
        <f>IF($BD45="","",IFERROR(IF(ROUND(VLOOKUP($BD45,DADOS!$CL$5:$CM$10,2,FALSE)*IF($BE45="",1,VLOOKUP($BE45,DADOS!$CO$5:$CP$7,2,FALSE))*IF($BF45="",1,VLOOKUP($BF45,DADOS!$CR$5:$CS$15,2,FALSE)),4)&gt;0,MAX(1,FLOOR(ROUND(VLOOKUP($BD45,DADOS!$CL$5:$CM$10,2,FALSE)*IF($BE45="",1,VLOOKUP($BE45,DADOS!$CO$5:$CP$7,2,FALSE))*IF($BF45="",1,VLOOKUP($BF45,DADOS!$CR$5:$CS$15,2,FALSE)),4),1)),0),""))</f>
        <v/>
      </c>
      <c r="BH45" s="137" t="n"/>
      <c r="BI45" s="144" t="n"/>
      <c r="BJ45" s="144" t="n"/>
      <c r="BK45" s="95" t="n"/>
      <c r="BL45" s="95" t="n"/>
      <c r="BM45" s="95">
        <f>IF($BJ45="","",IFERROR(IF(ROUND(VLOOKUP($BJ45,DADOS!$CL$5:$CM$10,2,FALSE)*IF($BK45="",1,VLOOKUP($BK45,DADOS!$CO$5:$CP$7,2,FALSE))*IF($BL45="",1,VLOOKUP($BL45,DADOS!$CR$5:$CS$15,2,FALSE)),4)&gt;0,MAX(1,FLOOR(ROUND(VLOOKUP($BJ45,DADOS!$CL$5:$CM$10,2,FALSE)*IF($BK45="",1,VLOOKUP($BK45,DADOS!$CO$5:$CP$7,2,FALSE))*IF($BL45="",1,VLOOKUP($BL45,DADOS!$CR$5:$CS$15,2,FALSE)),4),1)),0),""))</f>
        <v/>
      </c>
      <c r="BN45" s="137" t="n"/>
      <c r="BO45" s="144" t="n"/>
      <c r="BP45" s="144" t="n"/>
      <c r="BQ45" s="95" t="n"/>
      <c r="BR45" s="95" t="n"/>
      <c r="BS45" s="95">
        <f>IF($BP45="","",IFERROR(IF(ROUND(VLOOKUP($BP45,DADOS!$CL$5:$CM$10,2,FALSE)*IF($BQ45="",1,VLOOKUP($BQ45,DADOS!$CO$5:$CP$7,2,FALSE))*IF($BR45="",1,VLOOKUP($BR45,DADOS!$CR$5:$CS$15,2,FALSE)),4)&gt;0,MAX(1,FLOOR(ROUND(VLOOKUP($BP45,DADOS!$CL$5:$CM$10,2,FALSE)*IF($BQ45="",1,VLOOKUP($BQ45,DADOS!$CO$5:$CP$7,2,FALSE))*IF($BR45="",1,VLOOKUP($BR45,DADOS!$CR$5:$CS$15,2,FALSE)),4),1)),0),""))</f>
        <v/>
      </c>
      <c r="BT45" s="137" t="n"/>
    </row>
    <row r="46" outlineLevel="1">
      <c r="B46" s="22" t="n"/>
      <c r="C46" s="137" t="n"/>
      <c r="D46" s="21" t="n"/>
      <c r="P46" s="22" t="n"/>
      <c r="Q46" s="137" t="n"/>
      <c r="R46" s="21" t="n"/>
      <c r="AF46" s="22" t="n"/>
      <c r="AG46" s="137" t="n"/>
      <c r="AH46" s="21" t="n"/>
      <c r="AT46" s="22" t="n"/>
      <c r="AU46" s="137" t="n"/>
      <c r="AV46" s="137" t="n"/>
      <c r="AW46" s="144" t="n"/>
      <c r="AX46" s="144" t="n"/>
      <c r="AY46" s="95" t="n"/>
      <c r="AZ46" s="95" t="n"/>
      <c r="BA46" s="95">
        <f>IF($AX46="","",IFERROR(IF(ROUND(VLOOKUP($AX46,DADOS!$CL$5:$CM$10,2,FALSE)*IF($AY46="",1,VLOOKUP($AY46,DADOS!$CO$5:$CP$7,2,FALSE))*IF($AZ46="",1,VLOOKUP($AZ46,DADOS!$CR$5:$CS$15,2,FALSE)),4)&gt;0,MAX(1,FLOOR(ROUND(VLOOKUP($AX46,DADOS!$CL$5:$CM$10,2,FALSE)*IF($AY46="",1,VLOOKUP($AY46,DADOS!$CO$5:$CP$7,2,FALSE))*IF($AZ46="",1,VLOOKUP($AZ46,DADOS!$CR$5:$CS$15,2,FALSE)),4),1)),0),""))</f>
        <v/>
      </c>
      <c r="BB46" s="137" t="n"/>
      <c r="BC46" s="144" t="n"/>
      <c r="BD46" s="144" t="n"/>
      <c r="BE46" s="95" t="n"/>
      <c r="BF46" s="95" t="n"/>
      <c r="BG46" s="95">
        <f>IF($BD46="","",IFERROR(IF(ROUND(VLOOKUP($BD46,DADOS!$CL$5:$CM$10,2,FALSE)*IF($BE46="",1,VLOOKUP($BE46,DADOS!$CO$5:$CP$7,2,FALSE))*IF($BF46="",1,VLOOKUP($BF46,DADOS!$CR$5:$CS$15,2,FALSE)),4)&gt;0,MAX(1,FLOOR(ROUND(VLOOKUP($BD46,DADOS!$CL$5:$CM$10,2,FALSE)*IF($BE46="",1,VLOOKUP($BE46,DADOS!$CO$5:$CP$7,2,FALSE))*IF($BF46="",1,VLOOKUP($BF46,DADOS!$CR$5:$CS$15,2,FALSE)),4),1)),0),""))</f>
        <v/>
      </c>
      <c r="BH46" s="137" t="n"/>
      <c r="BI46" s="144" t="n"/>
      <c r="BJ46" s="144" t="n"/>
      <c r="BK46" s="95" t="n"/>
      <c r="BL46" s="95" t="n"/>
      <c r="BM46" s="95">
        <f>IF($BJ46="","",IFERROR(IF(ROUND(VLOOKUP($BJ46,DADOS!$CL$5:$CM$10,2,FALSE)*IF($BK46="",1,VLOOKUP($BK46,DADOS!$CO$5:$CP$7,2,FALSE))*IF($BL46="",1,VLOOKUP($BL46,DADOS!$CR$5:$CS$15,2,FALSE)),4)&gt;0,MAX(1,FLOOR(ROUND(VLOOKUP($BJ46,DADOS!$CL$5:$CM$10,2,FALSE)*IF($BK46="",1,VLOOKUP($BK46,DADOS!$CO$5:$CP$7,2,FALSE))*IF($BL46="",1,VLOOKUP($BL46,DADOS!$CR$5:$CS$15,2,FALSE)),4),1)),0),""))</f>
        <v/>
      </c>
      <c r="BN46" s="137" t="n"/>
      <c r="BO46" s="144" t="n"/>
      <c r="BP46" s="144" t="n"/>
      <c r="BQ46" s="95" t="n"/>
      <c r="BR46" s="95" t="n"/>
      <c r="BS46" s="95">
        <f>IF($BP46="","",IFERROR(IF(ROUND(VLOOKUP($BP46,DADOS!$CL$5:$CM$10,2,FALSE)*IF($BQ46="",1,VLOOKUP($BQ46,DADOS!$CO$5:$CP$7,2,FALSE))*IF($BR46="",1,VLOOKUP($BR46,DADOS!$CR$5:$CS$15,2,FALSE)),4)&gt;0,MAX(1,FLOOR(ROUND(VLOOKUP($BP46,DADOS!$CL$5:$CM$10,2,FALSE)*IF($BQ46="",1,VLOOKUP($BQ46,DADOS!$CO$5:$CP$7,2,FALSE))*IF($BR46="",1,VLOOKUP($BR46,DADOS!$CR$5:$CS$15,2,FALSE)),4),1)),0),""))</f>
        <v/>
      </c>
      <c r="BT46" s="137" t="n"/>
    </row>
    <row r="47" outlineLevel="1">
      <c r="B47" s="22" t="n"/>
      <c r="C47" s="137" t="n"/>
      <c r="D47" s="21" t="n"/>
      <c r="P47" s="22" t="n"/>
      <c r="Q47" s="137" t="n"/>
      <c r="R47" s="21" t="n"/>
      <c r="AF47" s="22" t="n"/>
      <c r="AG47" s="137" t="n"/>
      <c r="AH47" s="21" t="n"/>
      <c r="AT47" s="22" t="n"/>
      <c r="AU47" s="137" t="n"/>
      <c r="AV47" s="137" t="n"/>
      <c r="AW47" s="144" t="n"/>
      <c r="AX47" s="144" t="n"/>
      <c r="AY47" s="95" t="n"/>
      <c r="AZ47" s="95" t="n"/>
      <c r="BA47" s="95">
        <f>IF($AX47="","",IFERROR(IF(ROUND(VLOOKUP($AX47,DADOS!$CL$5:$CM$10,2,FALSE)*IF($AY47="",1,VLOOKUP($AY47,DADOS!$CO$5:$CP$7,2,FALSE))*IF($AZ47="",1,VLOOKUP($AZ47,DADOS!$CR$5:$CS$15,2,FALSE)),4)&gt;0,MAX(1,FLOOR(ROUND(VLOOKUP($AX47,DADOS!$CL$5:$CM$10,2,FALSE)*IF($AY47="",1,VLOOKUP($AY47,DADOS!$CO$5:$CP$7,2,FALSE))*IF($AZ47="",1,VLOOKUP($AZ47,DADOS!$CR$5:$CS$15,2,FALSE)),4),1)),0),""))</f>
        <v/>
      </c>
      <c r="BB47" s="137" t="n"/>
      <c r="BC47" s="144" t="n"/>
      <c r="BD47" s="144" t="n"/>
      <c r="BE47" s="95" t="n"/>
      <c r="BF47" s="95" t="n"/>
      <c r="BG47" s="95">
        <f>IF($BD47="","",IFERROR(IF(ROUND(VLOOKUP($BD47,DADOS!$CL$5:$CM$10,2,FALSE)*IF($BE47="",1,VLOOKUP($BE47,DADOS!$CO$5:$CP$7,2,FALSE))*IF($BF47="",1,VLOOKUP($BF47,DADOS!$CR$5:$CS$15,2,FALSE)),4)&gt;0,MAX(1,FLOOR(ROUND(VLOOKUP($BD47,DADOS!$CL$5:$CM$10,2,FALSE)*IF($BE47="",1,VLOOKUP($BE47,DADOS!$CO$5:$CP$7,2,FALSE))*IF($BF47="",1,VLOOKUP($BF47,DADOS!$CR$5:$CS$15,2,FALSE)),4),1)),0),""))</f>
        <v/>
      </c>
      <c r="BH47" s="137" t="n"/>
      <c r="BI47" s="144" t="n"/>
      <c r="BJ47" s="144" t="n"/>
      <c r="BK47" s="95" t="n"/>
      <c r="BL47" s="95" t="n"/>
      <c r="BM47" s="95">
        <f>IF($BJ47="","",IFERROR(IF(ROUND(VLOOKUP($BJ47,DADOS!$CL$5:$CM$10,2,FALSE)*IF($BK47="",1,VLOOKUP($BK47,DADOS!$CO$5:$CP$7,2,FALSE))*IF($BL47="",1,VLOOKUP($BL47,DADOS!$CR$5:$CS$15,2,FALSE)),4)&gt;0,MAX(1,FLOOR(ROUND(VLOOKUP($BJ47,DADOS!$CL$5:$CM$10,2,FALSE)*IF($BK47="",1,VLOOKUP($BK47,DADOS!$CO$5:$CP$7,2,FALSE))*IF($BL47="",1,VLOOKUP($BL47,DADOS!$CR$5:$CS$15,2,FALSE)),4),1)),0),""))</f>
        <v/>
      </c>
      <c r="BN47" s="137" t="n"/>
      <c r="BO47" s="144" t="n"/>
      <c r="BP47" s="144" t="n"/>
      <c r="BQ47" s="95" t="n"/>
      <c r="BR47" s="95" t="n"/>
      <c r="BS47" s="95">
        <f>IF($BP47="","",IFERROR(IF(ROUND(VLOOKUP($BP47,DADOS!$CL$5:$CM$10,2,FALSE)*IF($BQ47="",1,VLOOKUP($BQ47,DADOS!$CO$5:$CP$7,2,FALSE))*IF($BR47="",1,VLOOKUP($BR47,DADOS!$CR$5:$CS$15,2,FALSE)),4)&gt;0,MAX(1,FLOOR(ROUND(VLOOKUP($BP47,DADOS!$CL$5:$CM$10,2,FALSE)*IF($BQ47="",1,VLOOKUP($BQ47,DADOS!$CO$5:$CP$7,2,FALSE))*IF($BR47="",1,VLOOKUP($BR47,DADOS!$CR$5:$CS$15,2,FALSE)),4),1)),0),""))</f>
        <v/>
      </c>
      <c r="BT47" s="137" t="n"/>
    </row>
    <row r="48" outlineLevel="1">
      <c r="B48" s="22" t="n"/>
      <c r="C48" s="137" t="n"/>
      <c r="D48" s="21" t="n"/>
      <c r="P48" s="22" t="n"/>
      <c r="Q48" s="137" t="n"/>
      <c r="R48" s="21" t="n"/>
      <c r="AF48" s="22" t="n"/>
      <c r="AG48" s="137" t="n"/>
      <c r="AH48" s="21" t="n"/>
      <c r="AT48" s="22" t="n"/>
      <c r="AU48" s="137" t="n"/>
      <c r="AV48" s="137" t="n"/>
      <c r="AW48" s="144" t="n"/>
      <c r="AX48" s="144" t="n"/>
      <c r="AY48" s="95" t="n"/>
      <c r="AZ48" s="95" t="n"/>
      <c r="BA48" s="95">
        <f>IF($AX48="","",IFERROR(IF(ROUND(VLOOKUP($AX48,DADOS!$CL$5:$CM$10,2,FALSE)*IF($AY48="",1,VLOOKUP($AY48,DADOS!$CO$5:$CP$7,2,FALSE))*IF($AZ48="",1,VLOOKUP($AZ48,DADOS!$CR$5:$CS$15,2,FALSE)),4)&gt;0,MAX(1,FLOOR(ROUND(VLOOKUP($AX48,DADOS!$CL$5:$CM$10,2,FALSE)*IF($AY48="",1,VLOOKUP($AY48,DADOS!$CO$5:$CP$7,2,FALSE))*IF($AZ48="",1,VLOOKUP($AZ48,DADOS!$CR$5:$CS$15,2,FALSE)),4),1)),0),""))</f>
        <v/>
      </c>
      <c r="BB48" s="137" t="n"/>
      <c r="BC48" s="144" t="n"/>
      <c r="BD48" s="144" t="n"/>
      <c r="BE48" s="95" t="n"/>
      <c r="BF48" s="95" t="n"/>
      <c r="BG48" s="95">
        <f>IF($BD48="","",IFERROR(IF(ROUND(VLOOKUP($BD48,DADOS!$CL$5:$CM$10,2,FALSE)*IF($BE48="",1,VLOOKUP($BE48,DADOS!$CO$5:$CP$7,2,FALSE))*IF($BF48="",1,VLOOKUP($BF48,DADOS!$CR$5:$CS$15,2,FALSE)),4)&gt;0,MAX(1,FLOOR(ROUND(VLOOKUP($BD48,DADOS!$CL$5:$CM$10,2,FALSE)*IF($BE48="",1,VLOOKUP($BE48,DADOS!$CO$5:$CP$7,2,FALSE))*IF($BF48="",1,VLOOKUP($BF48,DADOS!$CR$5:$CS$15,2,FALSE)),4),1)),0),""))</f>
        <v/>
      </c>
      <c r="BH48" s="137" t="n"/>
      <c r="BI48" s="144" t="n"/>
      <c r="BJ48" s="144" t="n"/>
      <c r="BK48" s="95" t="n"/>
      <c r="BL48" s="95" t="n"/>
      <c r="BM48" s="95">
        <f>IF($BJ48="","",IFERROR(IF(ROUND(VLOOKUP($BJ48,DADOS!$CL$5:$CM$10,2,FALSE)*IF($BK48="",1,VLOOKUP($BK48,DADOS!$CO$5:$CP$7,2,FALSE))*IF($BL48="",1,VLOOKUP($BL48,DADOS!$CR$5:$CS$15,2,FALSE)),4)&gt;0,MAX(1,FLOOR(ROUND(VLOOKUP($BJ48,DADOS!$CL$5:$CM$10,2,FALSE)*IF($BK48="",1,VLOOKUP($BK48,DADOS!$CO$5:$CP$7,2,FALSE))*IF($BL48="",1,VLOOKUP($BL48,DADOS!$CR$5:$CS$15,2,FALSE)),4),1)),0),""))</f>
        <v/>
      </c>
      <c r="BN48" s="137" t="n"/>
      <c r="BO48" s="144" t="n"/>
      <c r="BP48" s="144" t="n"/>
      <c r="BQ48" s="95" t="n"/>
      <c r="BR48" s="95" t="n"/>
      <c r="BS48" s="95">
        <f>IF($BP48="","",IFERROR(IF(ROUND(VLOOKUP($BP48,DADOS!$CL$5:$CM$10,2,FALSE)*IF($BQ48="",1,VLOOKUP($BQ48,DADOS!$CO$5:$CP$7,2,FALSE))*IF($BR48="",1,VLOOKUP($BR48,DADOS!$CR$5:$CS$15,2,FALSE)),4)&gt;0,MAX(1,FLOOR(ROUND(VLOOKUP($BP48,DADOS!$CL$5:$CM$10,2,FALSE)*IF($BQ48="",1,VLOOKUP($BQ48,DADOS!$CO$5:$CP$7,2,FALSE))*IF($BR48="",1,VLOOKUP($BR48,DADOS!$CR$5:$CS$15,2,FALSE)),4),1)),0),""))</f>
        <v/>
      </c>
      <c r="BT48" s="137" t="n"/>
    </row>
    <row r="49" outlineLevel="1">
      <c r="B49" s="22" t="n"/>
      <c r="C49" s="137" t="n"/>
      <c r="D49" s="21" t="n"/>
      <c r="P49" s="22" t="n"/>
      <c r="Q49" s="137" t="n"/>
      <c r="R49" s="21" t="n"/>
      <c r="AF49" s="22" t="n"/>
      <c r="AG49" s="137" t="n"/>
      <c r="AH49" s="21" t="n"/>
      <c r="AT49" s="22" t="n"/>
      <c r="AU49" s="137" t="n"/>
      <c r="AV49" s="137" t="n"/>
      <c r="AW49" s="144" t="n"/>
      <c r="AX49" s="144" t="n"/>
      <c r="AY49" s="95" t="n"/>
      <c r="AZ49" s="95" t="n"/>
      <c r="BA49" s="95">
        <f>IF($AX49="","",IFERROR(IF(ROUND(VLOOKUP($AX49,DADOS!$CL$5:$CM$10,2,FALSE)*IF($AY49="",1,VLOOKUP($AY49,DADOS!$CO$5:$CP$7,2,FALSE))*IF($AZ49="",1,VLOOKUP($AZ49,DADOS!$CR$5:$CS$15,2,FALSE)),4)&gt;0,MAX(1,FLOOR(ROUND(VLOOKUP($AX49,DADOS!$CL$5:$CM$10,2,FALSE)*IF($AY49="",1,VLOOKUP($AY49,DADOS!$CO$5:$CP$7,2,FALSE))*IF($AZ49="",1,VLOOKUP($AZ49,DADOS!$CR$5:$CS$15,2,FALSE)),4),1)),0),""))</f>
        <v/>
      </c>
      <c r="BB49" s="137" t="n"/>
      <c r="BC49" s="144" t="n"/>
      <c r="BD49" s="144" t="n"/>
      <c r="BE49" s="95" t="n"/>
      <c r="BF49" s="95" t="n"/>
      <c r="BG49" s="95">
        <f>IF($BD49="","",IFERROR(IF(ROUND(VLOOKUP($BD49,DADOS!$CL$5:$CM$10,2,FALSE)*IF($BE49="",1,VLOOKUP($BE49,DADOS!$CO$5:$CP$7,2,FALSE))*IF($BF49="",1,VLOOKUP($BF49,DADOS!$CR$5:$CS$15,2,FALSE)),4)&gt;0,MAX(1,FLOOR(ROUND(VLOOKUP($BD49,DADOS!$CL$5:$CM$10,2,FALSE)*IF($BE49="",1,VLOOKUP($BE49,DADOS!$CO$5:$CP$7,2,FALSE))*IF($BF49="",1,VLOOKUP($BF49,DADOS!$CR$5:$CS$15,2,FALSE)),4),1)),0),""))</f>
        <v/>
      </c>
      <c r="BH49" s="137" t="n"/>
      <c r="BI49" s="144" t="n"/>
      <c r="BJ49" s="144" t="n"/>
      <c r="BK49" s="95" t="n"/>
      <c r="BL49" s="95" t="n"/>
      <c r="BM49" s="95">
        <f>IF($BJ49="","",IFERROR(IF(ROUND(VLOOKUP($BJ49,DADOS!$CL$5:$CM$10,2,FALSE)*IF($BK49="",1,VLOOKUP($BK49,DADOS!$CO$5:$CP$7,2,FALSE))*IF($BL49="",1,VLOOKUP($BL49,DADOS!$CR$5:$CS$15,2,FALSE)),4)&gt;0,MAX(1,FLOOR(ROUND(VLOOKUP($BJ49,DADOS!$CL$5:$CM$10,2,FALSE)*IF($BK49="",1,VLOOKUP($BK49,DADOS!$CO$5:$CP$7,2,FALSE))*IF($BL49="",1,VLOOKUP($BL49,DADOS!$CR$5:$CS$15,2,FALSE)),4),1)),0),""))</f>
        <v/>
      </c>
      <c r="BN49" s="137" t="n"/>
      <c r="BO49" s="144" t="n"/>
      <c r="BP49" s="144" t="n"/>
      <c r="BQ49" s="95" t="n"/>
      <c r="BR49" s="95" t="n"/>
      <c r="BS49" s="95">
        <f>IF($BP49="","",IFERROR(IF(ROUND(VLOOKUP($BP49,DADOS!$CL$5:$CM$10,2,FALSE)*IF($BQ49="",1,VLOOKUP($BQ49,DADOS!$CO$5:$CP$7,2,FALSE))*IF($BR49="",1,VLOOKUP($BR49,DADOS!$CR$5:$CS$15,2,FALSE)),4)&gt;0,MAX(1,FLOOR(ROUND(VLOOKUP($BP49,DADOS!$CL$5:$CM$10,2,FALSE)*IF($BQ49="",1,VLOOKUP($BQ49,DADOS!$CO$5:$CP$7,2,FALSE))*IF($BR49="",1,VLOOKUP($BR49,DADOS!$CR$5:$CS$15,2,FALSE)),4),1)),0),""))</f>
        <v/>
      </c>
      <c r="BT49" s="137" t="n"/>
    </row>
    <row r="50" outlineLevel="1">
      <c r="B50" s="22" t="n"/>
      <c r="C50" s="137" t="n"/>
      <c r="D50" s="23" t="n"/>
      <c r="E50" s="24" t="n"/>
      <c r="F50" s="24" t="n"/>
      <c r="G50" s="24" t="n"/>
      <c r="H50" s="24" t="n"/>
      <c r="I50" s="24" t="n"/>
      <c r="J50" s="24" t="n"/>
      <c r="K50" s="24" t="n"/>
      <c r="L50" s="24" t="n"/>
      <c r="M50" s="24" t="n"/>
      <c r="N50" s="24" t="n"/>
      <c r="O50" s="24" t="n"/>
      <c r="P50" s="25" t="n"/>
      <c r="Q50" s="137" t="n"/>
      <c r="R50" s="23" t="n"/>
      <c r="S50" s="24" t="n"/>
      <c r="T50" s="24" t="n"/>
      <c r="U50" s="24" t="n"/>
      <c r="V50" s="24" t="n"/>
      <c r="W50" s="24" t="n"/>
      <c r="X50" s="24" t="n"/>
      <c r="Y50" s="24" t="n"/>
      <c r="Z50" s="24" t="n"/>
      <c r="AA50" s="24" t="n"/>
      <c r="AB50" s="24" t="n"/>
      <c r="AC50" s="24" t="n"/>
      <c r="AD50" s="24" t="n"/>
      <c r="AE50" s="24" t="n"/>
      <c r="AF50" s="25" t="n"/>
      <c r="AG50" s="137" t="n"/>
      <c r="AH50" s="23" t="n"/>
      <c r="AI50" s="24" t="n"/>
      <c r="AJ50" s="24" t="n"/>
      <c r="AK50" s="24" t="n"/>
      <c r="AL50" s="24" t="n"/>
      <c r="AM50" s="24" t="n"/>
      <c r="AN50" s="24" t="n"/>
      <c r="AO50" s="24" t="n"/>
      <c r="AP50" s="24" t="n"/>
      <c r="AQ50" s="24" t="n"/>
      <c r="AR50" s="24" t="n"/>
      <c r="AS50" s="24" t="n"/>
      <c r="AT50" s="25" t="n"/>
      <c r="AU50" s="137" t="n"/>
      <c r="AV50" s="137" t="n"/>
      <c r="AW50" s="144" t="n"/>
      <c r="AX50" s="144" t="n"/>
      <c r="AY50" s="95" t="n"/>
      <c r="AZ50" s="95" t="n"/>
      <c r="BA50" s="95">
        <f>IF($AX50="","",IFERROR(IF(ROUND(VLOOKUP($AX50,DADOS!$CL$5:$CM$10,2,FALSE)*IF($AY50="",1,VLOOKUP($AY50,DADOS!$CO$5:$CP$7,2,FALSE))*IF($AZ50="",1,VLOOKUP($AZ50,DADOS!$CR$5:$CS$15,2,FALSE)),4)&gt;0,MAX(1,FLOOR(ROUND(VLOOKUP($AX50,DADOS!$CL$5:$CM$10,2,FALSE)*IF($AY50="",1,VLOOKUP($AY50,DADOS!$CO$5:$CP$7,2,FALSE))*IF($AZ50="",1,VLOOKUP($AZ50,DADOS!$CR$5:$CS$15,2,FALSE)),4),1)),0),""))</f>
        <v/>
      </c>
      <c r="BB50" s="137" t="n"/>
      <c r="BC50" s="144" t="n"/>
      <c r="BD50" s="144" t="n"/>
      <c r="BE50" s="95" t="n"/>
      <c r="BF50" s="95" t="n"/>
      <c r="BG50" s="95">
        <f>IF($BD50="","",IFERROR(IF(ROUND(VLOOKUP($BD50,DADOS!$CL$5:$CM$10,2,FALSE)*IF($BE50="",1,VLOOKUP($BE50,DADOS!$CO$5:$CP$7,2,FALSE))*IF($BF50="",1,VLOOKUP($BF50,DADOS!$CR$5:$CS$15,2,FALSE)),4)&gt;0,MAX(1,FLOOR(ROUND(VLOOKUP($BD50,DADOS!$CL$5:$CM$10,2,FALSE)*IF($BE50="",1,VLOOKUP($BE50,DADOS!$CO$5:$CP$7,2,FALSE))*IF($BF50="",1,VLOOKUP($BF50,DADOS!$CR$5:$CS$15,2,FALSE)),4),1)),0),""))</f>
        <v/>
      </c>
      <c r="BH50" s="137" t="n"/>
      <c r="BI50" s="144" t="n"/>
      <c r="BJ50" s="144" t="n"/>
      <c r="BK50" s="95" t="n"/>
      <c r="BL50" s="95" t="n"/>
      <c r="BM50" s="95">
        <f>IF($BJ50="","",IFERROR(IF(ROUND(VLOOKUP($BJ50,DADOS!$CL$5:$CM$10,2,FALSE)*IF($BK50="",1,VLOOKUP($BK50,DADOS!$CO$5:$CP$7,2,FALSE))*IF($BL50="",1,VLOOKUP($BL50,DADOS!$CR$5:$CS$15,2,FALSE)),4)&gt;0,MAX(1,FLOOR(ROUND(VLOOKUP($BJ50,DADOS!$CL$5:$CM$10,2,FALSE)*IF($BK50="",1,VLOOKUP($BK50,DADOS!$CO$5:$CP$7,2,FALSE))*IF($BL50="",1,VLOOKUP($BL50,DADOS!$CR$5:$CS$15,2,FALSE)),4),1)),0),""))</f>
        <v/>
      </c>
      <c r="BN50" s="137" t="n"/>
      <c r="BO50" s="144" t="n"/>
      <c r="BP50" s="144" t="n"/>
      <c r="BQ50" s="95" t="n"/>
      <c r="BR50" s="95" t="n"/>
      <c r="BS50" s="95">
        <f>IF($BP50="","",IFERROR(IF(ROUND(VLOOKUP($BP50,DADOS!$CL$5:$CM$10,2,FALSE)*IF($BQ50="",1,VLOOKUP($BQ50,DADOS!$CO$5:$CP$7,2,FALSE))*IF($BR50="",1,VLOOKUP($BR50,DADOS!$CR$5:$CS$15,2,FALSE)),4)&gt;0,MAX(1,FLOOR(ROUND(VLOOKUP($BP50,DADOS!$CL$5:$CM$10,2,FALSE)*IF($BQ50="",1,VLOOKUP($BQ50,DADOS!$CO$5:$CP$7,2,FALSE))*IF($BR50="",1,VLOOKUP($BR50,DADOS!$CR$5:$CS$15,2,FALSE)),4),1)),0),""))</f>
        <v/>
      </c>
      <c r="BT50" s="137" t="n"/>
    </row>
    <row r="51">
      <c r="B51" s="22" t="n"/>
      <c r="C51" s="137" t="n"/>
      <c r="D51" s="143">
        <f>IF(AND('FICHA PESSOAL'!$D$44&lt;&gt;"",COUNTIF('DADOS_CUSTOM'!$CP$2:$CP$160,'FICHA PESSOAL'!$D$44)=0),"⚠ Marcante inválida para esta Origem; escolha uma opção do menu.",IF($D$44="","escolha no menu acima",IFERROR(VLOOKUP($D$44,'DADOS_CUSTOM'!$AZ$2:$BE$107,5,FALSE)&amp;IF(COUNTIF('DADOS_CUSTOM'!$C$2:$C$26,VLOOKUP('FICHA PESSOAL'!$D$44,'DADOS_CUSTOM'!$AZ$2:$BE$107,1,FALSE))&gt;0," · custom"," · do livro"),"criada com o mestre · escreva o texto acima")))</f>
        <v/>
      </c>
      <c r="E51" s="16" t="n"/>
      <c r="F51" s="16" t="n"/>
      <c r="G51" s="16" t="n"/>
      <c r="H51" s="16" t="n"/>
      <c r="I51" s="16" t="n"/>
      <c r="J51" s="16" t="n"/>
      <c r="K51" s="16" t="n"/>
      <c r="L51" s="16" t="n"/>
      <c r="M51" s="16" t="n"/>
      <c r="N51" s="16" t="n"/>
      <c r="O51" s="16" t="n"/>
      <c r="P51" s="17" t="n"/>
      <c r="Q51" s="137" t="n"/>
      <c r="R51" s="143">
        <f>IF($R$44="","escolha no menu acima",IFERROR(VLOOKUP($R$44,'DADOS_CUSTOM'!$AZ$2:$BE$107,5,FALSE)&amp;IF(COUNTIF('DADOS_CUSTOM'!$C$2:$C$26,VLOOKUP('FICHA PESSOAL'!$R$44,'DADOS_CUSTOM'!$AZ$2:$BE$107,1,FALSE))&gt;0," · custom"," · do livro"),"criada com o mestre · escreva o texto acima"))</f>
        <v/>
      </c>
      <c r="S51" s="16" t="n"/>
      <c r="T51" s="16" t="n"/>
      <c r="U51" s="16" t="n"/>
      <c r="V51" s="16" t="n"/>
      <c r="W51" s="16" t="n"/>
      <c r="X51" s="16" t="n"/>
      <c r="Y51" s="16" t="n"/>
      <c r="Z51" s="16" t="n"/>
      <c r="AA51" s="16" t="n"/>
      <c r="AB51" s="16" t="n"/>
      <c r="AC51" s="16" t="n"/>
      <c r="AD51" s="16" t="n"/>
      <c r="AE51" s="16" t="n"/>
      <c r="AF51" s="17" t="n"/>
      <c r="AG51" s="137" t="n"/>
      <c r="AH51" s="143">
        <f>IF($AH$44="","escolha no menu acima",IFERROR(VLOOKUP($AH$44,'DADOS_CUSTOM'!$AZ$2:$BE$107,5,FALSE)&amp;IF(COUNTIF('DADOS_CUSTOM'!$C$2:$C$26,VLOOKUP('FICHA PESSOAL'!$AH$44,'DADOS_CUSTOM'!$AZ$2:$BE$107,1,FALSE))&gt;0," · custom"," · do livro"),"criada com o mestre · escreva o texto acima"))</f>
        <v/>
      </c>
      <c r="AI51" s="16" t="n"/>
      <c r="AJ51" s="16" t="n"/>
      <c r="AK51" s="16" t="n"/>
      <c r="AL51" s="16" t="n"/>
      <c r="AM51" s="16" t="n"/>
      <c r="AN51" s="16" t="n"/>
      <c r="AO51" s="16" t="n"/>
      <c r="AP51" s="16" t="n"/>
      <c r="AQ51" s="16" t="n"/>
      <c r="AR51" s="16" t="n"/>
      <c r="AS51" s="16" t="n"/>
      <c r="AT51" s="17" t="n"/>
      <c r="AU51" s="137" t="n"/>
      <c r="AV51" s="137" t="n"/>
      <c r="AW51" s="144" t="n"/>
      <c r="AX51" s="144" t="n"/>
      <c r="AY51" s="95" t="n"/>
      <c r="AZ51" s="95" t="n"/>
      <c r="BA51" s="95">
        <f>IF($AX51="","",IFERROR(IF(ROUND(VLOOKUP($AX51,DADOS!$CL$5:$CM$10,2,FALSE)*IF($AY51="",1,VLOOKUP($AY51,DADOS!$CO$5:$CP$7,2,FALSE))*IF($AZ51="",1,VLOOKUP($AZ51,DADOS!$CR$5:$CS$15,2,FALSE)),4)&gt;0,MAX(1,FLOOR(ROUND(VLOOKUP($AX51,DADOS!$CL$5:$CM$10,2,FALSE)*IF($AY51="",1,VLOOKUP($AY51,DADOS!$CO$5:$CP$7,2,FALSE))*IF($AZ51="",1,VLOOKUP($AZ51,DADOS!$CR$5:$CS$15,2,FALSE)),4),1)),0),""))</f>
        <v/>
      </c>
      <c r="BB51" s="137" t="n"/>
      <c r="BC51" s="144" t="n"/>
      <c r="BD51" s="144" t="n"/>
      <c r="BE51" s="95" t="n"/>
      <c r="BF51" s="95" t="n"/>
      <c r="BG51" s="95">
        <f>IF($BD51="","",IFERROR(IF(ROUND(VLOOKUP($BD51,DADOS!$CL$5:$CM$10,2,FALSE)*IF($BE51="",1,VLOOKUP($BE51,DADOS!$CO$5:$CP$7,2,FALSE))*IF($BF51="",1,VLOOKUP($BF51,DADOS!$CR$5:$CS$15,2,FALSE)),4)&gt;0,MAX(1,FLOOR(ROUND(VLOOKUP($BD51,DADOS!$CL$5:$CM$10,2,FALSE)*IF($BE51="",1,VLOOKUP($BE51,DADOS!$CO$5:$CP$7,2,FALSE))*IF($BF51="",1,VLOOKUP($BF51,DADOS!$CR$5:$CS$15,2,FALSE)),4),1)),0),""))</f>
        <v/>
      </c>
      <c r="BH51" s="137" t="n"/>
      <c r="BI51" s="144" t="n"/>
      <c r="BJ51" s="144" t="n"/>
      <c r="BK51" s="95" t="n"/>
      <c r="BL51" s="95" t="n"/>
      <c r="BM51" s="95">
        <f>IF($BJ51="","",IFERROR(IF(ROUND(VLOOKUP($BJ51,DADOS!$CL$5:$CM$10,2,FALSE)*IF($BK51="",1,VLOOKUP($BK51,DADOS!$CO$5:$CP$7,2,FALSE))*IF($BL51="",1,VLOOKUP($BL51,DADOS!$CR$5:$CS$15,2,FALSE)),4)&gt;0,MAX(1,FLOOR(ROUND(VLOOKUP($BJ51,DADOS!$CL$5:$CM$10,2,FALSE)*IF($BK51="",1,VLOOKUP($BK51,DADOS!$CO$5:$CP$7,2,FALSE))*IF($BL51="",1,VLOOKUP($BL51,DADOS!$CR$5:$CS$15,2,FALSE)),4),1)),0),""))</f>
        <v/>
      </c>
      <c r="BN51" s="137" t="n"/>
      <c r="BO51" s="144" t="n"/>
      <c r="BP51" s="144" t="n"/>
      <c r="BQ51" s="95" t="n"/>
      <c r="BR51" s="95" t="n"/>
      <c r="BS51" s="95">
        <f>IF($BP51="","",IFERROR(IF(ROUND(VLOOKUP($BP51,DADOS!$CL$5:$CM$10,2,FALSE)*IF($BQ51="",1,VLOOKUP($BQ51,DADOS!$CO$5:$CP$7,2,FALSE))*IF($BR51="",1,VLOOKUP($BR51,DADOS!$CR$5:$CS$15,2,FALSE)),4)&gt;0,MAX(1,FLOOR(ROUND(VLOOKUP($BP51,DADOS!$CL$5:$CM$10,2,FALSE)*IF($BQ51="",1,VLOOKUP($BQ51,DADOS!$CO$5:$CP$7,2,FALSE))*IF($BR51="",1,VLOOKUP($BR51,DADOS!$CR$5:$CS$15,2,FALSE)),4),1)),0),""))</f>
        <v/>
      </c>
      <c r="BT51" s="137" t="n"/>
    </row>
    <row r="52">
      <c r="B52" s="22" t="n"/>
      <c r="C52" s="137" t="n"/>
      <c r="D52" s="137" t="n"/>
      <c r="E52" s="137" t="n"/>
      <c r="F52" s="137" t="n"/>
      <c r="G52" s="137" t="n"/>
      <c r="H52" s="137" t="n"/>
      <c r="I52" s="137" t="n"/>
      <c r="J52" s="137" t="n"/>
      <c r="K52" s="137" t="n"/>
      <c r="L52" s="137" t="n"/>
      <c r="M52" s="137" t="n"/>
      <c r="N52" s="137" t="n"/>
      <c r="O52" s="137" t="n"/>
      <c r="P52" s="137" t="n"/>
      <c r="Q52" s="137" t="n"/>
      <c r="R52" s="137" t="n"/>
      <c r="S52" s="137" t="n"/>
      <c r="T52" s="137" t="n"/>
      <c r="U52" s="137" t="n"/>
      <c r="V52" s="137" t="n"/>
      <c r="W52" s="137" t="n"/>
      <c r="X52" s="137" t="n"/>
      <c r="Y52" s="137" t="n"/>
      <c r="Z52" s="137" t="n"/>
      <c r="AA52" s="137" t="n"/>
      <c r="AB52" s="137" t="n"/>
      <c r="AC52" s="137" t="n"/>
      <c r="AD52" s="137" t="n"/>
      <c r="AE52" s="137" t="n"/>
      <c r="AF52" s="137" t="n"/>
      <c r="AG52" s="137" t="n"/>
      <c r="AH52" s="137" t="n"/>
      <c r="AI52" s="137" t="n"/>
      <c r="AJ52" s="137" t="n"/>
      <c r="AK52" s="137" t="n"/>
      <c r="AL52" s="137" t="n"/>
      <c r="AM52" s="137" t="n"/>
      <c r="AN52" s="137" t="n"/>
      <c r="AO52" s="137" t="n"/>
      <c r="AP52" s="137" t="n"/>
      <c r="AQ52" s="137" t="n"/>
      <c r="AR52" s="137" t="n"/>
      <c r="AS52" s="137" t="n"/>
      <c r="AT52" s="137" t="n"/>
      <c r="AU52" s="137" t="n"/>
      <c r="AV52" s="137" t="n"/>
      <c r="AW52" s="144" t="n"/>
      <c r="AX52" s="144" t="n"/>
      <c r="AY52" s="95" t="n"/>
      <c r="AZ52" s="95" t="n"/>
      <c r="BA52" s="95">
        <f>IF($AX52="","",IFERROR(IF(ROUND(VLOOKUP($AX52,DADOS!$CL$5:$CM$10,2,FALSE)*IF($AY52="",1,VLOOKUP($AY52,DADOS!$CO$5:$CP$7,2,FALSE))*IF($AZ52="",1,VLOOKUP($AZ52,DADOS!$CR$5:$CS$15,2,FALSE)),4)&gt;0,MAX(1,FLOOR(ROUND(VLOOKUP($AX52,DADOS!$CL$5:$CM$10,2,FALSE)*IF($AY52="",1,VLOOKUP($AY52,DADOS!$CO$5:$CP$7,2,FALSE))*IF($AZ52="",1,VLOOKUP($AZ52,DADOS!$CR$5:$CS$15,2,FALSE)),4),1)),0),""))</f>
        <v/>
      </c>
      <c r="BB52" s="137" t="n"/>
      <c r="BC52" s="144" t="n"/>
      <c r="BD52" s="144" t="n"/>
      <c r="BE52" s="95" t="n"/>
      <c r="BF52" s="95" t="n"/>
      <c r="BG52" s="95">
        <f>IF($BD52="","",IFERROR(IF(ROUND(VLOOKUP($BD52,DADOS!$CL$5:$CM$10,2,FALSE)*IF($BE52="",1,VLOOKUP($BE52,DADOS!$CO$5:$CP$7,2,FALSE))*IF($BF52="",1,VLOOKUP($BF52,DADOS!$CR$5:$CS$15,2,FALSE)),4)&gt;0,MAX(1,FLOOR(ROUND(VLOOKUP($BD52,DADOS!$CL$5:$CM$10,2,FALSE)*IF($BE52="",1,VLOOKUP($BE52,DADOS!$CO$5:$CP$7,2,FALSE))*IF($BF52="",1,VLOOKUP($BF52,DADOS!$CR$5:$CS$15,2,FALSE)),4),1)),0),""))</f>
        <v/>
      </c>
      <c r="BH52" s="137" t="n"/>
      <c r="BI52" s="144" t="n"/>
      <c r="BJ52" s="144" t="n"/>
      <c r="BK52" s="95" t="n"/>
      <c r="BL52" s="95" t="n"/>
      <c r="BM52" s="95">
        <f>IF($BJ52="","",IFERROR(IF(ROUND(VLOOKUP($BJ52,DADOS!$CL$5:$CM$10,2,FALSE)*IF($BK52="",1,VLOOKUP($BK52,DADOS!$CO$5:$CP$7,2,FALSE))*IF($BL52="",1,VLOOKUP($BL52,DADOS!$CR$5:$CS$15,2,FALSE)),4)&gt;0,MAX(1,FLOOR(ROUND(VLOOKUP($BJ52,DADOS!$CL$5:$CM$10,2,FALSE)*IF($BK52="",1,VLOOKUP($BK52,DADOS!$CO$5:$CP$7,2,FALSE))*IF($BL52="",1,VLOOKUP($BL52,DADOS!$CR$5:$CS$15,2,FALSE)),4),1)),0),""))</f>
        <v/>
      </c>
      <c r="BN52" s="137" t="n"/>
      <c r="BO52" s="144" t="n"/>
      <c r="BP52" s="144" t="n"/>
      <c r="BQ52" s="95" t="n"/>
      <c r="BR52" s="95" t="n"/>
      <c r="BS52" s="95">
        <f>IF($BP52="","",IFERROR(IF(ROUND(VLOOKUP($BP52,DADOS!$CL$5:$CM$10,2,FALSE)*IF($BQ52="",1,VLOOKUP($BQ52,DADOS!$CO$5:$CP$7,2,FALSE))*IF($BR52="",1,VLOOKUP($BR52,DADOS!$CR$5:$CS$15,2,FALSE)),4)&gt;0,MAX(1,FLOOR(ROUND(VLOOKUP($BP52,DADOS!$CL$5:$CM$10,2,FALSE)*IF($BQ52="",1,VLOOKUP($BQ52,DADOS!$CO$5:$CP$7,2,FALSE))*IF($BR52="",1,VLOOKUP($BR52,DADOS!$CR$5:$CS$15,2,FALSE)),4),1)),0),""))</f>
        <v/>
      </c>
      <c r="BT52" s="137" t="n"/>
    </row>
    <row r="53">
      <c r="B53" s="22" t="n"/>
      <c r="C53" s="137" t="n"/>
      <c r="D53" s="56" t="inlineStr">
        <is>
          <t>LEGADOS DE HISTÓRIA · SEM EFEITO NA FICHA</t>
        </is>
      </c>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7" t="n"/>
      <c r="AG53" s="137" t="n"/>
      <c r="AH53" s="56" t="inlineStr">
        <is>
          <t>OFÍCIO COMPATÍVEL</t>
        </is>
      </c>
      <c r="AI53" s="16" t="n"/>
      <c r="AJ53" s="16" t="n"/>
      <c r="AK53" s="16" t="n"/>
      <c r="AL53" s="16" t="n"/>
      <c r="AM53" s="16" t="n"/>
      <c r="AN53" s="16" t="n"/>
      <c r="AO53" s="16" t="n"/>
      <c r="AP53" s="16" t="n"/>
      <c r="AQ53" s="16" t="n"/>
      <c r="AR53" s="16" t="n"/>
      <c r="AS53" s="16" t="n"/>
      <c r="AT53" s="17" t="n"/>
      <c r="AU53" s="137" t="n"/>
      <c r="AV53" s="137" t="n"/>
      <c r="AW53" s="144" t="n"/>
      <c r="AX53" s="144" t="n"/>
      <c r="AY53" s="95" t="n"/>
      <c r="AZ53" s="95" t="n"/>
      <c r="BA53" s="95">
        <f>IF($AX53="","",IFERROR(IF(ROUND(VLOOKUP($AX53,DADOS!$CL$5:$CM$10,2,FALSE)*IF($AY53="",1,VLOOKUP($AY53,DADOS!$CO$5:$CP$7,2,FALSE))*IF($AZ53="",1,VLOOKUP($AZ53,DADOS!$CR$5:$CS$15,2,FALSE)),4)&gt;0,MAX(1,FLOOR(ROUND(VLOOKUP($AX53,DADOS!$CL$5:$CM$10,2,FALSE)*IF($AY53="",1,VLOOKUP($AY53,DADOS!$CO$5:$CP$7,2,FALSE))*IF($AZ53="",1,VLOOKUP($AZ53,DADOS!$CR$5:$CS$15,2,FALSE)),4),1)),0),""))</f>
        <v/>
      </c>
      <c r="BB53" s="137" t="n"/>
      <c r="BC53" s="144" t="n"/>
      <c r="BD53" s="144" t="n"/>
      <c r="BE53" s="95" t="n"/>
      <c r="BF53" s="95" t="n"/>
      <c r="BG53" s="95">
        <f>IF($BD53="","",IFERROR(IF(ROUND(VLOOKUP($BD53,DADOS!$CL$5:$CM$10,2,FALSE)*IF($BE53="",1,VLOOKUP($BE53,DADOS!$CO$5:$CP$7,2,FALSE))*IF($BF53="",1,VLOOKUP($BF53,DADOS!$CR$5:$CS$15,2,FALSE)),4)&gt;0,MAX(1,FLOOR(ROUND(VLOOKUP($BD53,DADOS!$CL$5:$CM$10,2,FALSE)*IF($BE53="",1,VLOOKUP($BE53,DADOS!$CO$5:$CP$7,2,FALSE))*IF($BF53="",1,VLOOKUP($BF53,DADOS!$CR$5:$CS$15,2,FALSE)),4),1)),0),""))</f>
        <v/>
      </c>
      <c r="BH53" s="137" t="n"/>
      <c r="BI53" s="144" t="n"/>
      <c r="BJ53" s="144" t="n"/>
      <c r="BK53" s="95" t="n"/>
      <c r="BL53" s="95" t="n"/>
      <c r="BM53" s="95">
        <f>IF($BJ53="","",IFERROR(IF(ROUND(VLOOKUP($BJ53,DADOS!$CL$5:$CM$10,2,FALSE)*IF($BK53="",1,VLOOKUP($BK53,DADOS!$CO$5:$CP$7,2,FALSE))*IF($BL53="",1,VLOOKUP($BL53,DADOS!$CR$5:$CS$15,2,FALSE)),4)&gt;0,MAX(1,FLOOR(ROUND(VLOOKUP($BJ53,DADOS!$CL$5:$CM$10,2,FALSE)*IF($BK53="",1,VLOOKUP($BK53,DADOS!$CO$5:$CP$7,2,FALSE))*IF($BL53="",1,VLOOKUP($BL53,DADOS!$CR$5:$CS$15,2,FALSE)),4),1)),0),""))</f>
        <v/>
      </c>
      <c r="BN53" s="137" t="n"/>
      <c r="BO53" s="144" t="n"/>
      <c r="BP53" s="144" t="n"/>
      <c r="BQ53" s="95" t="n"/>
      <c r="BR53" s="95" t="n"/>
      <c r="BS53" s="95">
        <f>IF($BP53="","",IFERROR(IF(ROUND(VLOOKUP($BP53,DADOS!$CL$5:$CM$10,2,FALSE)*IF($BQ53="",1,VLOOKUP($BQ53,DADOS!$CO$5:$CP$7,2,FALSE))*IF($BR53="",1,VLOOKUP($BR53,DADOS!$CR$5:$CS$15,2,FALSE)),4)&gt;0,MAX(1,FLOOR(ROUND(VLOOKUP($BP53,DADOS!$CL$5:$CM$10,2,FALSE)*IF($BQ53="",1,VLOOKUP($BQ53,DADOS!$CO$5:$CP$7,2,FALSE))*IF($BR53="",1,VLOOKUP($BR53,DADOS!$CR$5:$CS$15,2,FALSE)),4),1)),0),""))</f>
        <v/>
      </c>
      <c r="BT53" s="137" t="n"/>
    </row>
    <row r="54">
      <c r="B54" s="22" t="n"/>
      <c r="C54" s="137" t="n"/>
      <c r="D54" s="6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9" t="n"/>
      <c r="AD54" s="19" t="n"/>
      <c r="AE54" s="19" t="n"/>
      <c r="AF54" s="20" t="n"/>
      <c r="AG54" s="137" t="n"/>
      <c r="AH54" s="95">
        <f>IF('DADOS_CUSTOM'!$B$121,'DADOS_CUSTOM'!$B$124,"")</f>
        <v/>
      </c>
      <c r="AI54" s="16" t="n"/>
      <c r="AJ54" s="16" t="n"/>
      <c r="AK54" s="16" t="n"/>
      <c r="AL54" s="16" t="n"/>
      <c r="AM54" s="16" t="n"/>
      <c r="AN54" s="16" t="n"/>
      <c r="AO54" s="16" t="n"/>
      <c r="AP54" s="16" t="n"/>
      <c r="AQ54" s="16" t="n"/>
      <c r="AR54" s="16" t="n"/>
      <c r="AS54" s="16" t="n"/>
      <c r="AT54" s="17" t="n"/>
      <c r="AU54" s="137" t="n"/>
      <c r="AV54" s="137" t="n"/>
      <c r="AW54" s="144" t="n"/>
      <c r="AX54" s="144" t="n"/>
      <c r="AY54" s="95" t="n"/>
      <c r="AZ54" s="95" t="n"/>
      <c r="BA54" s="95">
        <f>IF($AX54="","",IFERROR(IF(ROUND(VLOOKUP($AX54,DADOS!$CL$5:$CM$10,2,FALSE)*IF($AY54="",1,VLOOKUP($AY54,DADOS!$CO$5:$CP$7,2,FALSE))*IF($AZ54="",1,VLOOKUP($AZ54,DADOS!$CR$5:$CS$15,2,FALSE)),4)&gt;0,MAX(1,FLOOR(ROUND(VLOOKUP($AX54,DADOS!$CL$5:$CM$10,2,FALSE)*IF($AY54="",1,VLOOKUP($AY54,DADOS!$CO$5:$CP$7,2,FALSE))*IF($AZ54="",1,VLOOKUP($AZ54,DADOS!$CR$5:$CS$15,2,FALSE)),4),1)),0),""))</f>
        <v/>
      </c>
      <c r="BB54" s="137" t="n"/>
      <c r="BC54" s="144" t="n"/>
      <c r="BD54" s="144" t="n"/>
      <c r="BE54" s="95" t="n"/>
      <c r="BF54" s="95" t="n"/>
      <c r="BG54" s="95">
        <f>IF($BD54="","",IFERROR(IF(ROUND(VLOOKUP($BD54,DADOS!$CL$5:$CM$10,2,FALSE)*IF($BE54="",1,VLOOKUP($BE54,DADOS!$CO$5:$CP$7,2,FALSE))*IF($BF54="",1,VLOOKUP($BF54,DADOS!$CR$5:$CS$15,2,FALSE)),4)&gt;0,MAX(1,FLOOR(ROUND(VLOOKUP($BD54,DADOS!$CL$5:$CM$10,2,FALSE)*IF($BE54="",1,VLOOKUP($BE54,DADOS!$CO$5:$CP$7,2,FALSE))*IF($BF54="",1,VLOOKUP($BF54,DADOS!$CR$5:$CS$15,2,FALSE)),4),1)),0),""))</f>
        <v/>
      </c>
      <c r="BH54" s="137" t="n"/>
      <c r="BI54" s="144" t="n"/>
      <c r="BJ54" s="144" t="n"/>
      <c r="BK54" s="95" t="n"/>
      <c r="BL54" s="95" t="n"/>
      <c r="BM54" s="95">
        <f>IF($BJ54="","",IFERROR(IF(ROUND(VLOOKUP($BJ54,DADOS!$CL$5:$CM$10,2,FALSE)*IF($BK54="",1,VLOOKUP($BK54,DADOS!$CO$5:$CP$7,2,FALSE))*IF($BL54="",1,VLOOKUP($BL54,DADOS!$CR$5:$CS$15,2,FALSE)),4)&gt;0,MAX(1,FLOOR(ROUND(VLOOKUP($BJ54,DADOS!$CL$5:$CM$10,2,FALSE)*IF($BK54="",1,VLOOKUP($BK54,DADOS!$CO$5:$CP$7,2,FALSE))*IF($BL54="",1,VLOOKUP($BL54,DADOS!$CR$5:$CS$15,2,FALSE)),4),1)),0),""))</f>
        <v/>
      </c>
      <c r="BN54" s="137" t="n"/>
      <c r="BO54" s="144" t="n"/>
      <c r="BP54" s="144" t="n"/>
      <c r="BQ54" s="95" t="n"/>
      <c r="BR54" s="95" t="n"/>
      <c r="BS54" s="95">
        <f>IF($BP54="","",IFERROR(IF(ROUND(VLOOKUP($BP54,DADOS!$CL$5:$CM$10,2,FALSE)*IF($BQ54="",1,VLOOKUP($BQ54,DADOS!$CO$5:$CP$7,2,FALSE))*IF($BR54="",1,VLOOKUP($BR54,DADOS!$CR$5:$CS$15,2,FALSE)),4)&gt;0,MAX(1,FLOOR(ROUND(VLOOKUP($BP54,DADOS!$CL$5:$CM$10,2,FALSE)*IF($BQ54="",1,VLOOKUP($BQ54,DADOS!$CO$5:$CP$7,2,FALSE))*IF($BR54="",1,VLOOKUP($BR54,DADOS!$CR$5:$CS$15,2,FALSE)),4),1)),0),""))</f>
        <v/>
      </c>
      <c r="BT54" s="137" t="n"/>
    </row>
    <row r="55">
      <c r="B55" s="22" t="n"/>
      <c r="C55" s="137" t="n"/>
      <c r="D55" s="23" t="n"/>
      <c r="E55" s="24" t="n"/>
      <c r="F55" s="24" t="n"/>
      <c r="G55" s="24" t="n"/>
      <c r="H55" s="24" t="n"/>
      <c r="I55" s="24" t="n"/>
      <c r="J55" s="24" t="n"/>
      <c r="K55" s="24" t="n"/>
      <c r="L55" s="24" t="n"/>
      <c r="M55" s="24" t="n"/>
      <c r="N55" s="24" t="n"/>
      <c r="O55" s="24" t="n"/>
      <c r="P55" s="24" t="n"/>
      <c r="Q55" s="24" t="n"/>
      <c r="R55" s="24" t="n"/>
      <c r="S55" s="24" t="n"/>
      <c r="T55" s="24" t="n"/>
      <c r="U55" s="24" t="n"/>
      <c r="V55" s="24" t="n"/>
      <c r="W55" s="24" t="n"/>
      <c r="X55" s="24" t="n"/>
      <c r="Y55" s="24" t="n"/>
      <c r="Z55" s="24" t="n"/>
      <c r="AA55" s="24" t="n"/>
      <c r="AB55" s="24" t="n"/>
      <c r="AC55" s="24" t="n"/>
      <c r="AD55" s="24" t="n"/>
      <c r="AE55" s="24" t="n"/>
      <c r="AF55" s="25" t="n"/>
      <c r="AG55" s="137" t="n"/>
      <c r="AH55" s="143">
        <f>IF('DADOS_CUSTOM'!$B$121,IF('DADOS_CUSTOM'!$B$124="—","sem ofício de reparo definido","ofício definido na CONFIGURAÇÃO"),IF(DADOS!$CZ$52="Corpo Amaldiçoado",IF($AH$54="","escolha o ofício que repara o seu corpo","o que repara o seu corpo"),"só no Corpo Amaldiçoado"))</f>
        <v/>
      </c>
      <c r="AI55" s="16" t="n"/>
      <c r="AJ55" s="16" t="n"/>
      <c r="AK55" s="16" t="n"/>
      <c r="AL55" s="16" t="n"/>
      <c r="AM55" s="16" t="n"/>
      <c r="AN55" s="16" t="n"/>
      <c r="AO55" s="16" t="n"/>
      <c r="AP55" s="16" t="n"/>
      <c r="AQ55" s="16" t="n"/>
      <c r="AR55" s="16" t="n"/>
      <c r="AS55" s="16" t="n"/>
      <c r="AT55" s="17" t="n"/>
      <c r="AU55" s="137" t="n"/>
      <c r="AV55" s="137" t="n"/>
      <c r="AW55" s="144" t="n"/>
      <c r="AX55" s="144" t="n"/>
      <c r="AY55" s="95" t="n"/>
      <c r="AZ55" s="95" t="n"/>
      <c r="BA55" s="95">
        <f>IF($AX55="","",IFERROR(IF(ROUND(VLOOKUP($AX55,DADOS!$CL$5:$CM$10,2,FALSE)*IF($AY55="",1,VLOOKUP($AY55,DADOS!$CO$5:$CP$7,2,FALSE))*IF($AZ55="",1,VLOOKUP($AZ55,DADOS!$CR$5:$CS$15,2,FALSE)),4)&gt;0,MAX(1,FLOOR(ROUND(VLOOKUP($AX55,DADOS!$CL$5:$CM$10,2,FALSE)*IF($AY55="",1,VLOOKUP($AY55,DADOS!$CO$5:$CP$7,2,FALSE))*IF($AZ55="",1,VLOOKUP($AZ55,DADOS!$CR$5:$CS$15,2,FALSE)),4),1)),0),""))</f>
        <v/>
      </c>
      <c r="BB55" s="137" t="n"/>
      <c r="BC55" s="144" t="n"/>
      <c r="BD55" s="144" t="n"/>
      <c r="BE55" s="95" t="n"/>
      <c r="BF55" s="95" t="n"/>
      <c r="BG55" s="95">
        <f>IF($BD55="","",IFERROR(IF(ROUND(VLOOKUP($BD55,DADOS!$CL$5:$CM$10,2,FALSE)*IF($BE55="",1,VLOOKUP($BE55,DADOS!$CO$5:$CP$7,2,FALSE))*IF($BF55="",1,VLOOKUP($BF55,DADOS!$CR$5:$CS$15,2,FALSE)),4)&gt;0,MAX(1,FLOOR(ROUND(VLOOKUP($BD55,DADOS!$CL$5:$CM$10,2,FALSE)*IF($BE55="",1,VLOOKUP($BE55,DADOS!$CO$5:$CP$7,2,FALSE))*IF($BF55="",1,VLOOKUP($BF55,DADOS!$CR$5:$CS$15,2,FALSE)),4),1)),0),""))</f>
        <v/>
      </c>
      <c r="BH55" s="137" t="n"/>
      <c r="BI55" s="144" t="n"/>
      <c r="BJ55" s="144" t="n"/>
      <c r="BK55" s="95" t="n"/>
      <c r="BL55" s="95" t="n"/>
      <c r="BM55" s="95">
        <f>IF($BJ55="","",IFERROR(IF(ROUND(VLOOKUP($BJ55,DADOS!$CL$5:$CM$10,2,FALSE)*IF($BK55="",1,VLOOKUP($BK55,DADOS!$CO$5:$CP$7,2,FALSE))*IF($BL55="",1,VLOOKUP($BL55,DADOS!$CR$5:$CS$15,2,FALSE)),4)&gt;0,MAX(1,FLOOR(ROUND(VLOOKUP($BJ55,DADOS!$CL$5:$CM$10,2,FALSE)*IF($BK55="",1,VLOOKUP($BK55,DADOS!$CO$5:$CP$7,2,FALSE))*IF($BL55="",1,VLOOKUP($BL55,DADOS!$CR$5:$CS$15,2,FALSE)),4),1)),0),""))</f>
        <v/>
      </c>
      <c r="BN55" s="137" t="n"/>
      <c r="BO55" s="144" t="n"/>
      <c r="BP55" s="144" t="n"/>
      <c r="BQ55" s="95" t="n"/>
      <c r="BR55" s="95" t="n"/>
      <c r="BS55" s="95">
        <f>IF($BP55="","",IFERROR(IF(ROUND(VLOOKUP($BP55,DADOS!$CL$5:$CM$10,2,FALSE)*IF($BQ55="",1,VLOOKUP($BQ55,DADOS!$CO$5:$CP$7,2,FALSE))*IF($BR55="",1,VLOOKUP($BR55,DADOS!$CR$5:$CS$15,2,FALSE)),4)&gt;0,MAX(1,FLOOR(ROUND(VLOOKUP($BP55,DADOS!$CL$5:$CM$10,2,FALSE)*IF($BQ55="",1,VLOOKUP($BQ55,DADOS!$CO$5:$CP$7,2,FALSE))*IF($BR55="",1,VLOOKUP($BR55,DADOS!$CR$5:$CS$15,2,FALSE)),4),1)),0),""))</f>
        <v/>
      </c>
      <c r="BT55" s="137" t="n"/>
    </row>
    <row r="56">
      <c r="B56" s="22" t="n"/>
      <c r="C56" s="137" t="n"/>
      <c r="D56" s="137" t="n"/>
      <c r="E56" s="137" t="n"/>
      <c r="F56" s="137" t="n"/>
      <c r="G56" s="137" t="n"/>
      <c r="H56" s="137" t="n"/>
      <c r="I56" s="137" t="n"/>
      <c r="J56" s="137" t="n"/>
      <c r="K56" s="137" t="n"/>
      <c r="L56" s="137" t="n"/>
      <c r="M56" s="137" t="n"/>
      <c r="N56" s="137" t="n"/>
      <c r="O56" s="137" t="n"/>
      <c r="P56" s="137" t="n"/>
      <c r="Q56" s="137" t="n"/>
      <c r="R56" s="137" t="n"/>
      <c r="S56" s="137" t="n"/>
      <c r="T56" s="137" t="n"/>
      <c r="U56" s="137" t="n"/>
      <c r="V56" s="137" t="n"/>
      <c r="W56" s="137" t="n"/>
      <c r="X56" s="137" t="n"/>
      <c r="Y56" s="137" t="n"/>
      <c r="Z56" s="137" t="n"/>
      <c r="AA56" s="137" t="n"/>
      <c r="AB56" s="137" t="n"/>
      <c r="AC56" s="137" t="n"/>
      <c r="AD56" s="137" t="n"/>
      <c r="AE56" s="137" t="n"/>
      <c r="AF56" s="137" t="n"/>
      <c r="AG56" s="137" t="n"/>
      <c r="AH56" s="137" t="n"/>
      <c r="AI56" s="137" t="n"/>
      <c r="AJ56" s="137" t="n"/>
      <c r="AK56" s="137" t="n"/>
      <c r="AL56" s="137" t="n"/>
      <c r="AM56" s="137" t="n"/>
      <c r="AN56" s="137" t="n"/>
      <c r="AO56" s="137" t="n"/>
      <c r="AP56" s="137" t="n"/>
      <c r="AQ56" s="137" t="n"/>
      <c r="AR56" s="137" t="n"/>
      <c r="AS56" s="137" t="n"/>
      <c r="AT56" s="137" t="n"/>
      <c r="AU56" s="137" t="n"/>
      <c r="AV56" s="137" t="n"/>
      <c r="AW56" s="144" t="n"/>
      <c r="AX56" s="144" t="n"/>
      <c r="AY56" s="95" t="n"/>
      <c r="AZ56" s="95" t="n"/>
      <c r="BA56" s="95">
        <f>IF($AX56="","",IFERROR(IF(ROUND(VLOOKUP($AX56,DADOS!$CL$5:$CM$10,2,FALSE)*IF($AY56="",1,VLOOKUP($AY56,DADOS!$CO$5:$CP$7,2,FALSE))*IF($AZ56="",1,VLOOKUP($AZ56,DADOS!$CR$5:$CS$15,2,FALSE)),4)&gt;0,MAX(1,FLOOR(ROUND(VLOOKUP($AX56,DADOS!$CL$5:$CM$10,2,FALSE)*IF($AY56="",1,VLOOKUP($AY56,DADOS!$CO$5:$CP$7,2,FALSE))*IF($AZ56="",1,VLOOKUP($AZ56,DADOS!$CR$5:$CS$15,2,FALSE)),4),1)),0),""))</f>
        <v/>
      </c>
      <c r="BB56" s="137" t="n"/>
      <c r="BC56" s="144" t="n"/>
      <c r="BD56" s="144" t="n"/>
      <c r="BE56" s="95" t="n"/>
      <c r="BF56" s="95" t="n"/>
      <c r="BG56" s="95">
        <f>IF($BD56="","",IFERROR(IF(ROUND(VLOOKUP($BD56,DADOS!$CL$5:$CM$10,2,FALSE)*IF($BE56="",1,VLOOKUP($BE56,DADOS!$CO$5:$CP$7,2,FALSE))*IF($BF56="",1,VLOOKUP($BF56,DADOS!$CR$5:$CS$15,2,FALSE)),4)&gt;0,MAX(1,FLOOR(ROUND(VLOOKUP($BD56,DADOS!$CL$5:$CM$10,2,FALSE)*IF($BE56="",1,VLOOKUP($BE56,DADOS!$CO$5:$CP$7,2,FALSE))*IF($BF56="",1,VLOOKUP($BF56,DADOS!$CR$5:$CS$15,2,FALSE)),4),1)),0),""))</f>
        <v/>
      </c>
      <c r="BH56" s="137" t="n"/>
      <c r="BI56" s="144" t="n"/>
      <c r="BJ56" s="144" t="n"/>
      <c r="BK56" s="95" t="n"/>
      <c r="BL56" s="95" t="n"/>
      <c r="BM56" s="95">
        <f>IF($BJ56="","",IFERROR(IF(ROUND(VLOOKUP($BJ56,DADOS!$CL$5:$CM$10,2,FALSE)*IF($BK56="",1,VLOOKUP($BK56,DADOS!$CO$5:$CP$7,2,FALSE))*IF($BL56="",1,VLOOKUP($BL56,DADOS!$CR$5:$CS$15,2,FALSE)),4)&gt;0,MAX(1,FLOOR(ROUND(VLOOKUP($BJ56,DADOS!$CL$5:$CM$10,2,FALSE)*IF($BK56="",1,VLOOKUP($BK56,DADOS!$CO$5:$CP$7,2,FALSE))*IF($BL56="",1,VLOOKUP($BL56,DADOS!$CR$5:$CS$15,2,FALSE)),4),1)),0),""))</f>
        <v/>
      </c>
      <c r="BN56" s="137" t="n"/>
      <c r="BO56" s="144" t="n"/>
      <c r="BP56" s="144" t="n"/>
      <c r="BQ56" s="95" t="n"/>
      <c r="BR56" s="95" t="n"/>
      <c r="BS56" s="95">
        <f>IF($BP56="","",IFERROR(IF(ROUND(VLOOKUP($BP56,DADOS!$CL$5:$CM$10,2,FALSE)*IF($BQ56="",1,VLOOKUP($BQ56,DADOS!$CO$5:$CP$7,2,FALSE))*IF($BR56="",1,VLOOKUP($BR56,DADOS!$CR$5:$CS$15,2,FALSE)),4)&gt;0,MAX(1,FLOOR(ROUND(VLOOKUP($BP56,DADOS!$CL$5:$CM$10,2,FALSE)*IF($BQ56="",1,VLOOKUP($BQ56,DADOS!$CO$5:$CP$7,2,FALSE))*IF($BR56="",1,VLOOKUP($BR56,DADOS!$CR$5:$CS$15,2,FALSE)),4),1)),0),""))</f>
        <v/>
      </c>
      <c r="BT56" s="137" t="n"/>
    </row>
    <row r="57">
      <c r="B57" s="22" t="n"/>
      <c r="C57" s="137" t="n"/>
      <c r="D57" s="56">
        <f>IF('DADOS_CUSTOM'!$B$121,"TALENTO DE CATEGORIA DE EFEITO 4 · REGISTRO DA ORIGEM CUSTOM","TALENTO DE CATEGORIA DE EFEITO 4 · SÓ NA RESTRIÇÃO CORPORAL")</f>
        <v/>
      </c>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6" t="n"/>
      <c r="AO57" s="16" t="n"/>
      <c r="AP57" s="16" t="n"/>
      <c r="AQ57" s="16" t="n"/>
      <c r="AR57" s="16" t="n"/>
      <c r="AS57" s="16" t="n"/>
      <c r="AT57" s="17" t="n"/>
      <c r="AU57" s="137" t="n"/>
      <c r="AV57" s="137" t="n"/>
      <c r="AW57" s="144" t="n"/>
      <c r="AX57" s="144" t="n"/>
      <c r="AY57" s="95" t="n"/>
      <c r="AZ57" s="95" t="n"/>
      <c r="BA57" s="95">
        <f>IF($AX57="","",IFERROR(IF(ROUND(VLOOKUP($AX57,DADOS!$CL$5:$CM$10,2,FALSE)*IF($AY57="",1,VLOOKUP($AY57,DADOS!$CO$5:$CP$7,2,FALSE))*IF($AZ57="",1,VLOOKUP($AZ57,DADOS!$CR$5:$CS$15,2,FALSE)),4)&gt;0,MAX(1,FLOOR(ROUND(VLOOKUP($AX57,DADOS!$CL$5:$CM$10,2,FALSE)*IF($AY57="",1,VLOOKUP($AY57,DADOS!$CO$5:$CP$7,2,FALSE))*IF($AZ57="",1,VLOOKUP($AZ57,DADOS!$CR$5:$CS$15,2,FALSE)),4),1)),0),""))</f>
        <v/>
      </c>
      <c r="BB57" s="137" t="n"/>
      <c r="BC57" s="144" t="n"/>
      <c r="BD57" s="144" t="n"/>
      <c r="BE57" s="95" t="n"/>
      <c r="BF57" s="95" t="n"/>
      <c r="BG57" s="95">
        <f>IF($BD57="","",IFERROR(IF(ROUND(VLOOKUP($BD57,DADOS!$CL$5:$CM$10,2,FALSE)*IF($BE57="",1,VLOOKUP($BE57,DADOS!$CO$5:$CP$7,2,FALSE))*IF($BF57="",1,VLOOKUP($BF57,DADOS!$CR$5:$CS$15,2,FALSE)),4)&gt;0,MAX(1,FLOOR(ROUND(VLOOKUP($BD57,DADOS!$CL$5:$CM$10,2,FALSE)*IF($BE57="",1,VLOOKUP($BE57,DADOS!$CO$5:$CP$7,2,FALSE))*IF($BF57="",1,VLOOKUP($BF57,DADOS!$CR$5:$CS$15,2,FALSE)),4),1)),0),""))</f>
        <v/>
      </c>
      <c r="BH57" s="137" t="n"/>
      <c r="BI57" s="144" t="n"/>
      <c r="BJ57" s="144" t="n"/>
      <c r="BK57" s="95" t="n"/>
      <c r="BL57" s="95" t="n"/>
      <c r="BM57" s="95">
        <f>IF($BJ57="","",IFERROR(IF(ROUND(VLOOKUP($BJ57,DADOS!$CL$5:$CM$10,2,FALSE)*IF($BK57="",1,VLOOKUP($BK57,DADOS!$CO$5:$CP$7,2,FALSE))*IF($BL57="",1,VLOOKUP($BL57,DADOS!$CR$5:$CS$15,2,FALSE)),4)&gt;0,MAX(1,FLOOR(ROUND(VLOOKUP($BJ57,DADOS!$CL$5:$CM$10,2,FALSE)*IF($BK57="",1,VLOOKUP($BK57,DADOS!$CO$5:$CP$7,2,FALSE))*IF($BL57="",1,VLOOKUP($BL57,DADOS!$CR$5:$CS$15,2,FALSE)),4),1)),0),""))</f>
        <v/>
      </c>
      <c r="BN57" s="137" t="n"/>
      <c r="BO57" s="144" t="n"/>
      <c r="BP57" s="144" t="n"/>
      <c r="BQ57" s="95" t="n"/>
      <c r="BR57" s="95" t="n"/>
      <c r="BS57" s="95">
        <f>IF($BP57="","",IFERROR(IF(ROUND(VLOOKUP($BP57,DADOS!$CL$5:$CM$10,2,FALSE)*IF($BQ57="",1,VLOOKUP($BQ57,DADOS!$CO$5:$CP$7,2,FALSE))*IF($BR57="",1,VLOOKUP($BR57,DADOS!$CR$5:$CS$15,2,FALSE)),4)&gt;0,MAX(1,FLOOR(ROUND(VLOOKUP($BP57,DADOS!$CL$5:$CM$10,2,FALSE)*IF($BQ57="",1,VLOOKUP($BQ57,DADOS!$CO$5:$CP$7,2,FALSE))*IF($BR57="",1,VLOOKUP($BR57,DADOS!$CR$5:$CS$15,2,FALSE)),4),1)),0),""))</f>
        <v/>
      </c>
      <c r="BT57" s="137" t="n"/>
    </row>
    <row r="58">
      <c r="B58" s="22" t="n"/>
      <c r="C58" s="137" t="n"/>
      <c r="D58" s="61">
        <f>IF('DADOS_CUSTOM'!$B$121,'DADOS_CUSTOM'!$B$125,"")</f>
        <v/>
      </c>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20" t="n"/>
      <c r="AU58" s="137" t="n"/>
      <c r="AV58" s="137" t="n"/>
      <c r="AW58" s="144" t="n"/>
      <c r="AX58" s="144" t="n"/>
      <c r="AY58" s="95" t="n"/>
      <c r="AZ58" s="95" t="n"/>
      <c r="BA58" s="95">
        <f>IF($AX58="","",IFERROR(IF(ROUND(VLOOKUP($AX58,DADOS!$CL$5:$CM$10,2,FALSE)*IF($AY58="",1,VLOOKUP($AY58,DADOS!$CO$5:$CP$7,2,FALSE))*IF($AZ58="",1,VLOOKUP($AZ58,DADOS!$CR$5:$CS$15,2,FALSE)),4)&gt;0,MAX(1,FLOOR(ROUND(VLOOKUP($AX58,DADOS!$CL$5:$CM$10,2,FALSE)*IF($AY58="",1,VLOOKUP($AY58,DADOS!$CO$5:$CP$7,2,FALSE))*IF($AZ58="",1,VLOOKUP($AZ58,DADOS!$CR$5:$CS$15,2,FALSE)),4),1)),0),""))</f>
        <v/>
      </c>
      <c r="BB58" s="137" t="n"/>
      <c r="BC58" s="144" t="n"/>
      <c r="BD58" s="144" t="n"/>
      <c r="BE58" s="95" t="n"/>
      <c r="BF58" s="95" t="n"/>
      <c r="BG58" s="95">
        <f>IF($BD58="","",IFERROR(IF(ROUND(VLOOKUP($BD58,DADOS!$CL$5:$CM$10,2,FALSE)*IF($BE58="",1,VLOOKUP($BE58,DADOS!$CO$5:$CP$7,2,FALSE))*IF($BF58="",1,VLOOKUP($BF58,DADOS!$CR$5:$CS$15,2,FALSE)),4)&gt;0,MAX(1,FLOOR(ROUND(VLOOKUP($BD58,DADOS!$CL$5:$CM$10,2,FALSE)*IF($BE58="",1,VLOOKUP($BE58,DADOS!$CO$5:$CP$7,2,FALSE))*IF($BF58="",1,VLOOKUP($BF58,DADOS!$CR$5:$CS$15,2,FALSE)),4),1)),0),""))</f>
        <v/>
      </c>
      <c r="BH58" s="137" t="n"/>
      <c r="BI58" s="144" t="n"/>
      <c r="BJ58" s="144" t="n"/>
      <c r="BK58" s="95" t="n"/>
      <c r="BL58" s="95" t="n"/>
      <c r="BM58" s="95">
        <f>IF($BJ58="","",IFERROR(IF(ROUND(VLOOKUP($BJ58,DADOS!$CL$5:$CM$10,2,FALSE)*IF($BK58="",1,VLOOKUP($BK58,DADOS!$CO$5:$CP$7,2,FALSE))*IF($BL58="",1,VLOOKUP($BL58,DADOS!$CR$5:$CS$15,2,FALSE)),4)&gt;0,MAX(1,FLOOR(ROUND(VLOOKUP($BJ58,DADOS!$CL$5:$CM$10,2,FALSE)*IF($BK58="",1,VLOOKUP($BK58,DADOS!$CO$5:$CP$7,2,FALSE))*IF($BL58="",1,VLOOKUP($BL58,DADOS!$CR$5:$CS$15,2,FALSE)),4),1)),0),""))</f>
        <v/>
      </c>
      <c r="BN58" s="137" t="n"/>
      <c r="BO58" s="144" t="n"/>
      <c r="BP58" s="144" t="n"/>
      <c r="BQ58" s="95" t="n"/>
      <c r="BR58" s="95" t="n"/>
      <c r="BS58" s="95">
        <f>IF($BP58="","",IFERROR(IF(ROUND(VLOOKUP($BP58,DADOS!$CL$5:$CM$10,2,FALSE)*IF($BQ58="",1,VLOOKUP($BQ58,DADOS!$CO$5:$CP$7,2,FALSE))*IF($BR58="",1,VLOOKUP($BR58,DADOS!$CR$5:$CS$15,2,FALSE)),4)&gt;0,MAX(1,FLOOR(ROUND(VLOOKUP($BP58,DADOS!$CL$5:$CM$10,2,FALSE)*IF($BQ58="",1,VLOOKUP($BQ58,DADOS!$CO$5:$CP$7,2,FALSE))*IF($BR58="",1,VLOOKUP($BR58,DADOS!$CR$5:$CS$15,2,FALSE)),4),1)),0),""))</f>
        <v/>
      </c>
      <c r="BT58" s="137" t="n"/>
    </row>
    <row r="59">
      <c r="B59" s="22" t="n"/>
      <c r="C59" s="137" t="n"/>
      <c r="D59" s="23" t="n"/>
      <c r="E59" s="24" t="n"/>
      <c r="F59" s="24" t="n"/>
      <c r="G59" s="24" t="n"/>
      <c r="H59" s="24" t="n"/>
      <c r="I59" s="24" t="n"/>
      <c r="J59" s="24" t="n"/>
      <c r="K59" s="24" t="n"/>
      <c r="L59" s="24" t="n"/>
      <c r="M59" s="24" t="n"/>
      <c r="N59" s="24" t="n"/>
      <c r="O59" s="24" t="n"/>
      <c r="P59" s="24" t="n"/>
      <c r="Q59" s="24" t="n"/>
      <c r="R59" s="24" t="n"/>
      <c r="S59" s="24" t="n"/>
      <c r="T59" s="24" t="n"/>
      <c r="U59" s="24" t="n"/>
      <c r="V59" s="24" t="n"/>
      <c r="W59" s="24" t="n"/>
      <c r="X59" s="24" t="n"/>
      <c r="Y59" s="24" t="n"/>
      <c r="Z59" s="24" t="n"/>
      <c r="AA59" s="24" t="n"/>
      <c r="AB59" s="24" t="n"/>
      <c r="AC59" s="24" t="n"/>
      <c r="AD59" s="24" t="n"/>
      <c r="AE59" s="24" t="n"/>
      <c r="AF59" s="24" t="n"/>
      <c r="AG59" s="24" t="n"/>
      <c r="AH59" s="24" t="n"/>
      <c r="AI59" s="24" t="n"/>
      <c r="AJ59" s="24" t="n"/>
      <c r="AK59" s="24" t="n"/>
      <c r="AL59" s="24" t="n"/>
      <c r="AM59" s="24" t="n"/>
      <c r="AN59" s="24" t="n"/>
      <c r="AO59" s="24" t="n"/>
      <c r="AP59" s="24" t="n"/>
      <c r="AQ59" s="24" t="n"/>
      <c r="AR59" s="24" t="n"/>
      <c r="AS59" s="24" t="n"/>
      <c r="AT59" s="25" t="n"/>
      <c r="AU59" s="137" t="n"/>
      <c r="AV59" s="137" t="n"/>
      <c r="AW59" s="144" t="n"/>
      <c r="AX59" s="144" t="n"/>
      <c r="AY59" s="95" t="n"/>
      <c r="AZ59" s="95" t="n"/>
      <c r="BA59" s="95">
        <f>IF($AX59="","",IFERROR(IF(ROUND(VLOOKUP($AX59,DADOS!$CL$5:$CM$10,2,FALSE)*IF($AY59="",1,VLOOKUP($AY59,DADOS!$CO$5:$CP$7,2,FALSE))*IF($AZ59="",1,VLOOKUP($AZ59,DADOS!$CR$5:$CS$15,2,FALSE)),4)&gt;0,MAX(1,FLOOR(ROUND(VLOOKUP($AX59,DADOS!$CL$5:$CM$10,2,FALSE)*IF($AY59="",1,VLOOKUP($AY59,DADOS!$CO$5:$CP$7,2,FALSE))*IF($AZ59="",1,VLOOKUP($AZ59,DADOS!$CR$5:$CS$15,2,FALSE)),4),1)),0),""))</f>
        <v/>
      </c>
      <c r="BB59" s="137" t="n"/>
      <c r="BC59" s="144" t="n"/>
      <c r="BD59" s="144" t="n"/>
      <c r="BE59" s="95" t="n"/>
      <c r="BF59" s="95" t="n"/>
      <c r="BG59" s="95">
        <f>IF($BD59="","",IFERROR(IF(ROUND(VLOOKUP($BD59,DADOS!$CL$5:$CM$10,2,FALSE)*IF($BE59="",1,VLOOKUP($BE59,DADOS!$CO$5:$CP$7,2,FALSE))*IF($BF59="",1,VLOOKUP($BF59,DADOS!$CR$5:$CS$15,2,FALSE)),4)&gt;0,MAX(1,FLOOR(ROUND(VLOOKUP($BD59,DADOS!$CL$5:$CM$10,2,FALSE)*IF($BE59="",1,VLOOKUP($BE59,DADOS!$CO$5:$CP$7,2,FALSE))*IF($BF59="",1,VLOOKUP($BF59,DADOS!$CR$5:$CS$15,2,FALSE)),4),1)),0),""))</f>
        <v/>
      </c>
      <c r="BH59" s="137" t="n"/>
      <c r="BI59" s="144" t="n"/>
      <c r="BJ59" s="144" t="n"/>
      <c r="BK59" s="95" t="n"/>
      <c r="BL59" s="95" t="n"/>
      <c r="BM59" s="95">
        <f>IF($BJ59="","",IFERROR(IF(ROUND(VLOOKUP($BJ59,DADOS!$CL$5:$CM$10,2,FALSE)*IF($BK59="",1,VLOOKUP($BK59,DADOS!$CO$5:$CP$7,2,FALSE))*IF($BL59="",1,VLOOKUP($BL59,DADOS!$CR$5:$CS$15,2,FALSE)),4)&gt;0,MAX(1,FLOOR(ROUND(VLOOKUP($BJ59,DADOS!$CL$5:$CM$10,2,FALSE)*IF($BK59="",1,VLOOKUP($BK59,DADOS!$CO$5:$CP$7,2,FALSE))*IF($BL59="",1,VLOOKUP($BL59,DADOS!$CR$5:$CS$15,2,FALSE)),4),1)),0),""))</f>
        <v/>
      </c>
      <c r="BN59" s="137" t="n"/>
      <c r="BO59" s="144" t="n"/>
      <c r="BP59" s="144" t="n"/>
      <c r="BQ59" s="95" t="n"/>
      <c r="BR59" s="95" t="n"/>
      <c r="BS59" s="95">
        <f>IF($BP59="","",IFERROR(IF(ROUND(VLOOKUP($BP59,DADOS!$CL$5:$CM$10,2,FALSE)*IF($BQ59="",1,VLOOKUP($BQ59,DADOS!$CO$5:$CP$7,2,FALSE))*IF($BR59="",1,VLOOKUP($BR59,DADOS!$CR$5:$CS$15,2,FALSE)),4)&gt;0,MAX(1,FLOOR(ROUND(VLOOKUP($BP59,DADOS!$CL$5:$CM$10,2,FALSE)*IF($BQ59="",1,VLOOKUP($BQ59,DADOS!$CO$5:$CP$7,2,FALSE))*IF($BR59="",1,VLOOKUP($BR59,DADOS!$CR$5:$CS$15,2,FALSE)),4),1)),0),""))</f>
        <v/>
      </c>
      <c r="BT59" s="137" t="n"/>
    </row>
    <row r="60">
      <c r="B60" s="22" t="n"/>
      <c r="C60" s="137" t="n"/>
      <c r="D60" s="137" t="n"/>
      <c r="E60" s="137" t="n"/>
      <c r="F60" s="137" t="n"/>
      <c r="G60" s="137" t="n"/>
      <c r="H60" s="137" t="n"/>
      <c r="I60" s="137" t="n"/>
      <c r="J60" s="137" t="n"/>
      <c r="K60" s="137" t="n"/>
      <c r="L60" s="137" t="n"/>
      <c r="M60" s="137" t="n"/>
      <c r="N60" s="137" t="n"/>
      <c r="O60" s="137" t="n"/>
      <c r="P60" s="137" t="n"/>
      <c r="Q60" s="137" t="n"/>
      <c r="R60" s="137" t="n"/>
      <c r="S60" s="137" t="n"/>
      <c r="T60" s="137" t="n"/>
      <c r="U60" s="137" t="n"/>
      <c r="V60" s="137" t="n"/>
      <c r="W60" s="137" t="n"/>
      <c r="X60" s="137" t="n"/>
      <c r="Y60" s="137" t="n"/>
      <c r="Z60" s="137" t="n"/>
      <c r="AA60" s="137" t="n"/>
      <c r="AB60" s="137" t="n"/>
      <c r="AC60" s="137" t="n"/>
      <c r="AD60" s="137" t="n"/>
      <c r="AE60" s="137" t="n"/>
      <c r="AF60" s="137" t="n"/>
      <c r="AG60" s="137" t="n"/>
      <c r="AH60" s="137" t="n"/>
      <c r="AI60" s="137" t="n"/>
      <c r="AJ60" s="137" t="n"/>
      <c r="AK60" s="137" t="n"/>
      <c r="AL60" s="137" t="n"/>
      <c r="AM60" s="137" t="n"/>
      <c r="AN60" s="137" t="n"/>
      <c r="AO60" s="137" t="n"/>
      <c r="AP60" s="137" t="n"/>
      <c r="AQ60" s="137" t="n"/>
      <c r="AR60" s="137" t="n"/>
      <c r="AS60" s="137" t="n"/>
      <c r="AT60" s="137" t="n"/>
      <c r="AU60" s="137" t="n"/>
      <c r="AV60" s="137" t="n"/>
      <c r="AW60" s="144" t="n"/>
      <c r="AX60" s="144" t="n"/>
      <c r="AY60" s="95" t="n"/>
      <c r="AZ60" s="95" t="n"/>
      <c r="BA60" s="95">
        <f>IF($AX60="","",IFERROR(IF(ROUND(VLOOKUP($AX60,DADOS!$CL$5:$CM$10,2,FALSE)*IF($AY60="",1,VLOOKUP($AY60,DADOS!$CO$5:$CP$7,2,FALSE))*IF($AZ60="",1,VLOOKUP($AZ60,DADOS!$CR$5:$CS$15,2,FALSE)),4)&gt;0,MAX(1,FLOOR(ROUND(VLOOKUP($AX60,DADOS!$CL$5:$CM$10,2,FALSE)*IF($AY60="",1,VLOOKUP($AY60,DADOS!$CO$5:$CP$7,2,FALSE))*IF($AZ60="",1,VLOOKUP($AZ60,DADOS!$CR$5:$CS$15,2,FALSE)),4),1)),0),""))</f>
        <v/>
      </c>
      <c r="BB60" s="137" t="n"/>
      <c r="BC60" s="144" t="n"/>
      <c r="BD60" s="144" t="n"/>
      <c r="BE60" s="95" t="n"/>
      <c r="BF60" s="95" t="n"/>
      <c r="BG60" s="95">
        <f>IF($BD60="","",IFERROR(IF(ROUND(VLOOKUP($BD60,DADOS!$CL$5:$CM$10,2,FALSE)*IF($BE60="",1,VLOOKUP($BE60,DADOS!$CO$5:$CP$7,2,FALSE))*IF($BF60="",1,VLOOKUP($BF60,DADOS!$CR$5:$CS$15,2,FALSE)),4)&gt;0,MAX(1,FLOOR(ROUND(VLOOKUP($BD60,DADOS!$CL$5:$CM$10,2,FALSE)*IF($BE60="",1,VLOOKUP($BE60,DADOS!$CO$5:$CP$7,2,FALSE))*IF($BF60="",1,VLOOKUP($BF60,DADOS!$CR$5:$CS$15,2,FALSE)),4),1)),0),""))</f>
        <v/>
      </c>
      <c r="BH60" s="137" t="n"/>
      <c r="BI60" s="144" t="n"/>
      <c r="BJ60" s="144" t="n"/>
      <c r="BK60" s="95" t="n"/>
      <c r="BL60" s="95" t="n"/>
      <c r="BM60" s="95">
        <f>IF($BJ60="","",IFERROR(IF(ROUND(VLOOKUP($BJ60,DADOS!$CL$5:$CM$10,2,FALSE)*IF($BK60="",1,VLOOKUP($BK60,DADOS!$CO$5:$CP$7,2,FALSE))*IF($BL60="",1,VLOOKUP($BL60,DADOS!$CR$5:$CS$15,2,FALSE)),4)&gt;0,MAX(1,FLOOR(ROUND(VLOOKUP($BJ60,DADOS!$CL$5:$CM$10,2,FALSE)*IF($BK60="",1,VLOOKUP($BK60,DADOS!$CO$5:$CP$7,2,FALSE))*IF($BL60="",1,VLOOKUP($BL60,DADOS!$CR$5:$CS$15,2,FALSE)),4),1)),0),""))</f>
        <v/>
      </c>
      <c r="BN60" s="137" t="n"/>
      <c r="BO60" s="144" t="n"/>
      <c r="BP60" s="144" t="n"/>
      <c r="BQ60" s="95" t="n"/>
      <c r="BR60" s="95" t="n"/>
      <c r="BS60" s="95">
        <f>IF($BP60="","",IFERROR(IF(ROUND(VLOOKUP($BP60,DADOS!$CL$5:$CM$10,2,FALSE)*IF($BQ60="",1,VLOOKUP($BQ60,DADOS!$CO$5:$CP$7,2,FALSE))*IF($BR60="",1,VLOOKUP($BR60,DADOS!$CR$5:$CS$15,2,FALSE)),4)&gt;0,MAX(1,FLOOR(ROUND(VLOOKUP($BP60,DADOS!$CL$5:$CM$10,2,FALSE)*IF($BQ60="",1,VLOOKUP($BQ60,DADOS!$CO$5:$CP$7,2,FALSE))*IF($BR60="",1,VLOOKUP($BR60,DADOS!$CR$5:$CS$15,2,FALSE)),4),1)),0),""))</f>
        <v/>
      </c>
      <c r="BT60" s="137" t="n"/>
    </row>
    <row r="61">
      <c r="B61" s="22" t="n"/>
      <c r="C61" s="137" t="n"/>
      <c r="D61" s="55" t="inlineStr">
        <is>
          <t>EM USO</t>
        </is>
      </c>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20" t="n"/>
      <c r="AU61" s="137" t="n"/>
      <c r="AV61" s="137" t="n"/>
      <c r="AW61" s="144" t="n"/>
      <c r="AX61" s="144" t="n"/>
      <c r="AY61" s="95" t="n"/>
      <c r="AZ61" s="95" t="n"/>
      <c r="BA61" s="95">
        <f>IF($AX61="","",IFERROR(IF(ROUND(VLOOKUP($AX61,DADOS!$CL$5:$CM$10,2,FALSE)*IF($AY61="",1,VLOOKUP($AY61,DADOS!$CO$5:$CP$7,2,FALSE))*IF($AZ61="",1,VLOOKUP($AZ61,DADOS!$CR$5:$CS$15,2,FALSE)),4)&gt;0,MAX(1,FLOOR(ROUND(VLOOKUP($AX61,DADOS!$CL$5:$CM$10,2,FALSE)*IF($AY61="",1,VLOOKUP($AY61,DADOS!$CO$5:$CP$7,2,FALSE))*IF($AZ61="",1,VLOOKUP($AZ61,DADOS!$CR$5:$CS$15,2,FALSE)),4),1)),0),""))</f>
        <v/>
      </c>
      <c r="BB61" s="137" t="n"/>
      <c r="BC61" s="144" t="n"/>
      <c r="BD61" s="144" t="n"/>
      <c r="BE61" s="95" t="n"/>
      <c r="BF61" s="95" t="n"/>
      <c r="BG61" s="95">
        <f>IF($BD61="","",IFERROR(IF(ROUND(VLOOKUP($BD61,DADOS!$CL$5:$CM$10,2,FALSE)*IF($BE61="",1,VLOOKUP($BE61,DADOS!$CO$5:$CP$7,2,FALSE))*IF($BF61="",1,VLOOKUP($BF61,DADOS!$CR$5:$CS$15,2,FALSE)),4)&gt;0,MAX(1,FLOOR(ROUND(VLOOKUP($BD61,DADOS!$CL$5:$CM$10,2,FALSE)*IF($BE61="",1,VLOOKUP($BE61,DADOS!$CO$5:$CP$7,2,FALSE))*IF($BF61="",1,VLOOKUP($BF61,DADOS!$CR$5:$CS$15,2,FALSE)),4),1)),0),""))</f>
        <v/>
      </c>
      <c r="BH61" s="137" t="n"/>
      <c r="BI61" s="144" t="n"/>
      <c r="BJ61" s="144" t="n"/>
      <c r="BK61" s="95" t="n"/>
      <c r="BL61" s="95" t="n"/>
      <c r="BM61" s="95">
        <f>IF($BJ61="","",IFERROR(IF(ROUND(VLOOKUP($BJ61,DADOS!$CL$5:$CM$10,2,FALSE)*IF($BK61="",1,VLOOKUP($BK61,DADOS!$CO$5:$CP$7,2,FALSE))*IF($BL61="",1,VLOOKUP($BL61,DADOS!$CR$5:$CS$15,2,FALSE)),4)&gt;0,MAX(1,FLOOR(ROUND(VLOOKUP($BJ61,DADOS!$CL$5:$CM$10,2,FALSE)*IF($BK61="",1,VLOOKUP($BK61,DADOS!$CO$5:$CP$7,2,FALSE))*IF($BL61="",1,VLOOKUP($BL61,DADOS!$CR$5:$CS$15,2,FALSE)),4),1)),0),""))</f>
        <v/>
      </c>
      <c r="BN61" s="137" t="n"/>
      <c r="BO61" s="144" t="n"/>
      <c r="BP61" s="144" t="n"/>
      <c r="BQ61" s="95" t="n"/>
      <c r="BR61" s="95" t="n"/>
      <c r="BS61" s="95">
        <f>IF($BP61="","",IFERROR(IF(ROUND(VLOOKUP($BP61,DADOS!$CL$5:$CM$10,2,FALSE)*IF($BQ61="",1,VLOOKUP($BQ61,DADOS!$CO$5:$CP$7,2,FALSE))*IF($BR61="",1,VLOOKUP($BR61,DADOS!$CR$5:$CS$15,2,FALSE)),4)&gt;0,MAX(1,FLOOR(ROUND(VLOOKUP($BP61,DADOS!$CL$5:$CM$10,2,FALSE)*IF($BQ61="",1,VLOOKUP($BQ61,DADOS!$CO$5:$CP$7,2,FALSE))*IF($BR61="",1,VLOOKUP($BR61,DADOS!$CR$5:$CS$15,2,FALSE)),4),1)),0),""))</f>
        <v/>
      </c>
      <c r="BT61" s="137" t="n"/>
    </row>
    <row r="62">
      <c r="B62" s="22" t="n"/>
      <c r="C62" s="137" t="n"/>
      <c r="D62" s="23" t="n"/>
      <c r="E62" s="24" t="n"/>
      <c r="F62" s="24" t="n"/>
      <c r="G62" s="24" t="n"/>
      <c r="H62" s="24" t="n"/>
      <c r="I62" s="24" t="n"/>
      <c r="J62" s="24" t="n"/>
      <c r="K62" s="24" t="n"/>
      <c r="L62" s="24" t="n"/>
      <c r="M62" s="24" t="n"/>
      <c r="N62" s="24" t="n"/>
      <c r="O62" s="24" t="n"/>
      <c r="P62" s="24" t="n"/>
      <c r="Q62" s="24" t="n"/>
      <c r="R62" s="24" t="n"/>
      <c r="S62" s="24" t="n"/>
      <c r="T62" s="24" t="n"/>
      <c r="U62" s="24" t="n"/>
      <c r="V62" s="24" t="n"/>
      <c r="W62" s="24" t="n"/>
      <c r="X62" s="24" t="n"/>
      <c r="Y62" s="24" t="n"/>
      <c r="Z62" s="24" t="n"/>
      <c r="AA62" s="24" t="n"/>
      <c r="AB62" s="24" t="n"/>
      <c r="AC62" s="24" t="n"/>
      <c r="AD62" s="24" t="n"/>
      <c r="AE62" s="24" t="n"/>
      <c r="AF62" s="24" t="n"/>
      <c r="AG62" s="24" t="n"/>
      <c r="AH62" s="24" t="n"/>
      <c r="AI62" s="24" t="n"/>
      <c r="AJ62" s="24" t="n"/>
      <c r="AK62" s="24" t="n"/>
      <c r="AL62" s="24" t="n"/>
      <c r="AM62" s="24" t="n"/>
      <c r="AN62" s="24" t="n"/>
      <c r="AO62" s="24" t="n"/>
      <c r="AP62" s="24" t="n"/>
      <c r="AQ62" s="24" t="n"/>
      <c r="AR62" s="24" t="n"/>
      <c r="AS62" s="24" t="n"/>
      <c r="AT62" s="25" t="n"/>
      <c r="AU62" s="137" t="n"/>
      <c r="AV62" s="137" t="n"/>
      <c r="AW62" s="144" t="n"/>
      <c r="AX62" s="144" t="n"/>
      <c r="AY62" s="95" t="n"/>
      <c r="AZ62" s="95" t="n"/>
      <c r="BA62" s="95">
        <f>IF($AX62="","",IFERROR(IF(ROUND(VLOOKUP($AX62,DADOS!$CL$5:$CM$10,2,FALSE)*IF($AY62="",1,VLOOKUP($AY62,DADOS!$CO$5:$CP$7,2,FALSE))*IF($AZ62="",1,VLOOKUP($AZ62,DADOS!$CR$5:$CS$15,2,FALSE)),4)&gt;0,MAX(1,FLOOR(ROUND(VLOOKUP($AX62,DADOS!$CL$5:$CM$10,2,FALSE)*IF($AY62="",1,VLOOKUP($AY62,DADOS!$CO$5:$CP$7,2,FALSE))*IF($AZ62="",1,VLOOKUP($AZ62,DADOS!$CR$5:$CS$15,2,FALSE)),4),1)),0),""))</f>
        <v/>
      </c>
      <c r="BB62" s="137" t="n"/>
      <c r="BC62" s="144" t="n"/>
      <c r="BD62" s="144" t="n"/>
      <c r="BE62" s="95" t="n"/>
      <c r="BF62" s="95" t="n"/>
      <c r="BG62" s="95">
        <f>IF($BD62="","",IFERROR(IF(ROUND(VLOOKUP($BD62,DADOS!$CL$5:$CM$10,2,FALSE)*IF($BE62="",1,VLOOKUP($BE62,DADOS!$CO$5:$CP$7,2,FALSE))*IF($BF62="",1,VLOOKUP($BF62,DADOS!$CR$5:$CS$15,2,FALSE)),4)&gt;0,MAX(1,FLOOR(ROUND(VLOOKUP($BD62,DADOS!$CL$5:$CM$10,2,FALSE)*IF($BE62="",1,VLOOKUP($BE62,DADOS!$CO$5:$CP$7,2,FALSE))*IF($BF62="",1,VLOOKUP($BF62,DADOS!$CR$5:$CS$15,2,FALSE)),4),1)),0),""))</f>
        <v/>
      </c>
      <c r="BH62" s="137" t="n"/>
      <c r="BI62" s="144" t="n"/>
      <c r="BJ62" s="144" t="n"/>
      <c r="BK62" s="95" t="n"/>
      <c r="BL62" s="95" t="n"/>
      <c r="BM62" s="95">
        <f>IF($BJ62="","",IFERROR(IF(ROUND(VLOOKUP($BJ62,DADOS!$CL$5:$CM$10,2,FALSE)*IF($BK62="",1,VLOOKUP($BK62,DADOS!$CO$5:$CP$7,2,FALSE))*IF($BL62="",1,VLOOKUP($BL62,DADOS!$CR$5:$CS$15,2,FALSE)),4)&gt;0,MAX(1,FLOOR(ROUND(VLOOKUP($BJ62,DADOS!$CL$5:$CM$10,2,FALSE)*IF($BK62="",1,VLOOKUP($BK62,DADOS!$CO$5:$CP$7,2,FALSE))*IF($BL62="",1,VLOOKUP($BL62,DADOS!$CR$5:$CS$15,2,FALSE)),4),1)),0),""))</f>
        <v/>
      </c>
      <c r="BN62" s="137" t="n"/>
      <c r="BO62" s="144" t="n"/>
      <c r="BP62" s="144" t="n"/>
      <c r="BQ62" s="95" t="n"/>
      <c r="BR62" s="95" t="n"/>
      <c r="BS62" s="95">
        <f>IF($BP62="","",IFERROR(IF(ROUND(VLOOKUP($BP62,DADOS!$CL$5:$CM$10,2,FALSE)*IF($BQ62="",1,VLOOKUP($BQ62,DADOS!$CO$5:$CP$7,2,FALSE))*IF($BR62="",1,VLOOKUP($BR62,DADOS!$CR$5:$CS$15,2,FALSE)),4)&gt;0,MAX(1,FLOOR(ROUND(VLOOKUP($BP62,DADOS!$CL$5:$CM$10,2,FALSE)*IF($BQ62="",1,VLOOKUP($BQ62,DADOS!$CO$5:$CP$7,2,FALSE))*IF($BR62="",1,VLOOKUP($BR62,DADOS!$CR$5:$CS$15,2,FALSE)),4),1)),0),""))</f>
        <v/>
      </c>
      <c r="BT62" s="137" t="n"/>
    </row>
    <row r="63">
      <c r="B63" s="22" t="n"/>
      <c r="C63" s="137" t="n"/>
      <c r="D63" s="56" t="inlineStr">
        <is>
          <t>MÃO PRINCIPAL</t>
        </is>
      </c>
      <c r="E63" s="16" t="n"/>
      <c r="F63" s="16" t="n"/>
      <c r="G63" s="16" t="n"/>
      <c r="H63" s="16" t="n"/>
      <c r="I63" s="16" t="n"/>
      <c r="J63" s="16" t="n"/>
      <c r="K63" s="16" t="n"/>
      <c r="L63" s="16" t="n"/>
      <c r="M63" s="16" t="n"/>
      <c r="N63" s="16" t="n"/>
      <c r="O63" s="16" t="n"/>
      <c r="P63" s="16" t="n"/>
      <c r="Q63" s="17" t="n"/>
      <c r="R63" s="137" t="n"/>
      <c r="S63" s="56" t="inlineStr">
        <is>
          <t>MÃO SECUNDÁRIA</t>
        </is>
      </c>
      <c r="T63" s="16" t="n"/>
      <c r="U63" s="16" t="n"/>
      <c r="V63" s="16" t="n"/>
      <c r="W63" s="16" t="n"/>
      <c r="X63" s="16" t="n"/>
      <c r="Y63" s="16" t="n"/>
      <c r="Z63" s="16" t="n"/>
      <c r="AA63" s="16" t="n"/>
      <c r="AB63" s="16" t="n"/>
      <c r="AC63" s="16" t="n"/>
      <c r="AD63" s="16" t="n"/>
      <c r="AE63" s="16" t="n"/>
      <c r="AF63" s="17" t="n"/>
      <c r="AG63" s="137" t="n"/>
      <c r="AH63" s="56" t="inlineStr">
        <is>
          <t>VESTINDO</t>
        </is>
      </c>
      <c r="AI63" s="16" t="n"/>
      <c r="AJ63" s="16" t="n"/>
      <c r="AK63" s="16" t="n"/>
      <c r="AL63" s="16" t="n"/>
      <c r="AM63" s="16" t="n"/>
      <c r="AN63" s="16" t="n"/>
      <c r="AO63" s="16" t="n"/>
      <c r="AP63" s="16" t="n"/>
      <c r="AQ63" s="16" t="n"/>
      <c r="AR63" s="16" t="n"/>
      <c r="AS63" s="16" t="n"/>
      <c r="AT63" s="17" t="n"/>
      <c r="AU63" s="137" t="n"/>
      <c r="AV63" s="137" t="n"/>
      <c r="AW63" s="144" t="n"/>
      <c r="AX63" s="144" t="n"/>
      <c r="AY63" s="95" t="n"/>
      <c r="AZ63" s="95" t="n"/>
      <c r="BA63" s="95">
        <f>IF($AX63="","",IFERROR(IF(ROUND(VLOOKUP($AX63,DADOS!$CL$5:$CM$10,2,FALSE)*IF($AY63="",1,VLOOKUP($AY63,DADOS!$CO$5:$CP$7,2,FALSE))*IF($AZ63="",1,VLOOKUP($AZ63,DADOS!$CR$5:$CS$15,2,FALSE)),4)&gt;0,MAX(1,FLOOR(ROUND(VLOOKUP($AX63,DADOS!$CL$5:$CM$10,2,FALSE)*IF($AY63="",1,VLOOKUP($AY63,DADOS!$CO$5:$CP$7,2,FALSE))*IF($AZ63="",1,VLOOKUP($AZ63,DADOS!$CR$5:$CS$15,2,FALSE)),4),1)),0),""))</f>
        <v/>
      </c>
      <c r="BB63" s="137" t="n"/>
      <c r="BC63" s="144" t="n"/>
      <c r="BD63" s="144" t="n"/>
      <c r="BE63" s="95" t="n"/>
      <c r="BF63" s="95" t="n"/>
      <c r="BG63" s="95">
        <f>IF($BD63="","",IFERROR(IF(ROUND(VLOOKUP($BD63,DADOS!$CL$5:$CM$10,2,FALSE)*IF($BE63="",1,VLOOKUP($BE63,DADOS!$CO$5:$CP$7,2,FALSE))*IF($BF63="",1,VLOOKUP($BF63,DADOS!$CR$5:$CS$15,2,FALSE)),4)&gt;0,MAX(1,FLOOR(ROUND(VLOOKUP($BD63,DADOS!$CL$5:$CM$10,2,FALSE)*IF($BE63="",1,VLOOKUP($BE63,DADOS!$CO$5:$CP$7,2,FALSE))*IF($BF63="",1,VLOOKUP($BF63,DADOS!$CR$5:$CS$15,2,FALSE)),4),1)),0),""))</f>
        <v/>
      </c>
      <c r="BH63" s="137" t="n"/>
      <c r="BI63" s="144" t="n"/>
      <c r="BJ63" s="144" t="n"/>
      <c r="BK63" s="95" t="n"/>
      <c r="BL63" s="95" t="n"/>
      <c r="BM63" s="95">
        <f>IF($BJ63="","",IFERROR(IF(ROUND(VLOOKUP($BJ63,DADOS!$CL$5:$CM$10,2,FALSE)*IF($BK63="",1,VLOOKUP($BK63,DADOS!$CO$5:$CP$7,2,FALSE))*IF($BL63="",1,VLOOKUP($BL63,DADOS!$CR$5:$CS$15,2,FALSE)),4)&gt;0,MAX(1,FLOOR(ROUND(VLOOKUP($BJ63,DADOS!$CL$5:$CM$10,2,FALSE)*IF($BK63="",1,VLOOKUP($BK63,DADOS!$CO$5:$CP$7,2,FALSE))*IF($BL63="",1,VLOOKUP($BL63,DADOS!$CR$5:$CS$15,2,FALSE)),4),1)),0),""))</f>
        <v/>
      </c>
      <c r="BN63" s="137" t="n"/>
      <c r="BO63" s="144" t="n"/>
      <c r="BP63" s="144" t="n"/>
      <c r="BQ63" s="95" t="n"/>
      <c r="BR63" s="95" t="n"/>
      <c r="BS63" s="95">
        <f>IF($BP63="","",IFERROR(IF(ROUND(VLOOKUP($BP63,DADOS!$CL$5:$CM$10,2,FALSE)*IF($BQ63="",1,VLOOKUP($BQ63,DADOS!$CO$5:$CP$7,2,FALSE))*IF($BR63="",1,VLOOKUP($BR63,DADOS!$CR$5:$CS$15,2,FALSE)),4)&gt;0,MAX(1,FLOOR(ROUND(VLOOKUP($BP63,DADOS!$CL$5:$CM$10,2,FALSE)*IF($BQ63="",1,VLOOKUP($BQ63,DADOS!$CO$5:$CP$7,2,FALSE))*IF($BR63="",1,VLOOKUP($BR63,DADOS!$CR$5:$CS$15,2,FALSE)),4),1)),0),""))</f>
        <v/>
      </c>
      <c r="BT63" s="137" t="n"/>
    </row>
    <row r="64">
      <c r="B64" s="22" t="n"/>
      <c r="C64" s="137" t="n"/>
      <c r="D64" s="87" t="inlineStr">
        <is>
          <t>Soco</t>
        </is>
      </c>
      <c r="E64" s="19" t="n"/>
      <c r="F64" s="19" t="n"/>
      <c r="G64" s="19" t="n"/>
      <c r="H64" s="19" t="n"/>
      <c r="I64" s="19" t="n"/>
      <c r="J64" s="19" t="n"/>
      <c r="K64" s="19" t="n"/>
      <c r="L64" s="19" t="n"/>
      <c r="M64" s="19" t="n"/>
      <c r="N64" s="19" t="n"/>
      <c r="O64" s="19" t="n"/>
      <c r="P64" s="19" t="n"/>
      <c r="Q64" s="20" t="n"/>
      <c r="R64" s="137" t="n"/>
      <c r="S64" s="87" t="inlineStr">
        <is>
          <t>—</t>
        </is>
      </c>
      <c r="T64" s="19" t="n"/>
      <c r="U64" s="19" t="n"/>
      <c r="V64" s="19" t="n"/>
      <c r="W64" s="19" t="n"/>
      <c r="X64" s="19" t="n"/>
      <c r="Y64" s="19" t="n"/>
      <c r="Z64" s="19" t="n"/>
      <c r="AA64" s="19" t="n"/>
      <c r="AB64" s="19" t="n"/>
      <c r="AC64" s="19" t="n"/>
      <c r="AD64" s="19" t="n"/>
      <c r="AE64" s="19" t="n"/>
      <c r="AF64" s="20" t="n"/>
      <c r="AG64" s="137" t="n"/>
      <c r="AH64" s="87" t="inlineStr">
        <is>
          <t>Traje 1</t>
        </is>
      </c>
      <c r="AI64" s="19" t="n"/>
      <c r="AJ64" s="19" t="n"/>
      <c r="AK64" s="19" t="n"/>
      <c r="AL64" s="19" t="n"/>
      <c r="AM64" s="19" t="n"/>
      <c r="AN64" s="19" t="n"/>
      <c r="AO64" s="19" t="n"/>
      <c r="AP64" s="19" t="n"/>
      <c r="AQ64" s="19" t="n"/>
      <c r="AR64" s="19" t="n"/>
      <c r="AS64" s="19" t="n"/>
      <c r="AT64" s="20" t="n"/>
      <c r="AU64" s="137" t="n"/>
      <c r="AV64" s="137" t="n"/>
      <c r="AW64" s="144" t="n"/>
      <c r="AX64" s="144" t="n"/>
      <c r="AY64" s="95" t="n"/>
      <c r="AZ64" s="95" t="n"/>
      <c r="BA64" s="95">
        <f>IF($AX64="","",IFERROR(IF(ROUND(VLOOKUP($AX64,DADOS!$CL$5:$CM$10,2,FALSE)*IF($AY64="",1,VLOOKUP($AY64,DADOS!$CO$5:$CP$7,2,FALSE))*IF($AZ64="",1,VLOOKUP($AZ64,DADOS!$CR$5:$CS$15,2,FALSE)),4)&gt;0,MAX(1,FLOOR(ROUND(VLOOKUP($AX64,DADOS!$CL$5:$CM$10,2,FALSE)*IF($AY64="",1,VLOOKUP($AY64,DADOS!$CO$5:$CP$7,2,FALSE))*IF($AZ64="",1,VLOOKUP($AZ64,DADOS!$CR$5:$CS$15,2,FALSE)),4),1)),0),""))</f>
        <v/>
      </c>
      <c r="BB64" s="137" t="n"/>
      <c r="BC64" s="144" t="n"/>
      <c r="BD64" s="144" t="n"/>
      <c r="BE64" s="95" t="n"/>
      <c r="BF64" s="95" t="n"/>
      <c r="BG64" s="95">
        <f>IF($BD64="","",IFERROR(IF(ROUND(VLOOKUP($BD64,DADOS!$CL$5:$CM$10,2,FALSE)*IF($BE64="",1,VLOOKUP($BE64,DADOS!$CO$5:$CP$7,2,FALSE))*IF($BF64="",1,VLOOKUP($BF64,DADOS!$CR$5:$CS$15,2,FALSE)),4)&gt;0,MAX(1,FLOOR(ROUND(VLOOKUP($BD64,DADOS!$CL$5:$CM$10,2,FALSE)*IF($BE64="",1,VLOOKUP($BE64,DADOS!$CO$5:$CP$7,2,FALSE))*IF($BF64="",1,VLOOKUP($BF64,DADOS!$CR$5:$CS$15,2,FALSE)),4),1)),0),""))</f>
        <v/>
      </c>
      <c r="BH64" s="137" t="n"/>
      <c r="BI64" s="144" t="n"/>
      <c r="BJ64" s="144" t="n"/>
      <c r="BK64" s="95" t="n"/>
      <c r="BL64" s="95" t="n"/>
      <c r="BM64" s="95">
        <f>IF($BJ64="","",IFERROR(IF(ROUND(VLOOKUP($BJ64,DADOS!$CL$5:$CM$10,2,FALSE)*IF($BK64="",1,VLOOKUP($BK64,DADOS!$CO$5:$CP$7,2,FALSE))*IF($BL64="",1,VLOOKUP($BL64,DADOS!$CR$5:$CS$15,2,FALSE)),4)&gt;0,MAX(1,FLOOR(ROUND(VLOOKUP($BJ64,DADOS!$CL$5:$CM$10,2,FALSE)*IF($BK64="",1,VLOOKUP($BK64,DADOS!$CO$5:$CP$7,2,FALSE))*IF($BL64="",1,VLOOKUP($BL64,DADOS!$CR$5:$CS$15,2,FALSE)),4),1)),0),""))</f>
        <v/>
      </c>
      <c r="BN64" s="137" t="n"/>
      <c r="BO64" s="144" t="n"/>
      <c r="BP64" s="144" t="n"/>
      <c r="BQ64" s="95" t="n"/>
      <c r="BR64" s="95" t="n"/>
      <c r="BS64" s="95">
        <f>IF($BP64="","",IFERROR(IF(ROUND(VLOOKUP($BP64,DADOS!$CL$5:$CM$10,2,FALSE)*IF($BQ64="",1,VLOOKUP($BQ64,DADOS!$CO$5:$CP$7,2,FALSE))*IF($BR64="",1,VLOOKUP($BR64,DADOS!$CR$5:$CS$15,2,FALSE)),4)&gt;0,MAX(1,FLOOR(ROUND(VLOOKUP($BP64,DADOS!$CL$5:$CM$10,2,FALSE)*IF($BQ64="",1,VLOOKUP($BQ64,DADOS!$CO$5:$CP$7,2,FALSE))*IF($BR64="",1,VLOOKUP($BR64,DADOS!$CR$5:$CS$15,2,FALSE)),4),1)),0),""))</f>
        <v/>
      </c>
      <c r="BT64" s="137" t="n"/>
    </row>
    <row r="65">
      <c r="B65" s="22" t="n"/>
      <c r="C65" s="137" t="n"/>
      <c r="D65" s="23" t="n"/>
      <c r="E65" s="24" t="n"/>
      <c r="F65" s="24" t="n"/>
      <c r="G65" s="24" t="n"/>
      <c r="H65" s="24" t="n"/>
      <c r="I65" s="24" t="n"/>
      <c r="J65" s="24" t="n"/>
      <c r="K65" s="24" t="n"/>
      <c r="L65" s="24" t="n"/>
      <c r="M65" s="24" t="n"/>
      <c r="N65" s="24" t="n"/>
      <c r="O65" s="24" t="n"/>
      <c r="P65" s="24" t="n"/>
      <c r="Q65" s="25" t="n"/>
      <c r="R65" s="137" t="n"/>
      <c r="S65" s="23" t="n"/>
      <c r="T65" s="24" t="n"/>
      <c r="U65" s="24" t="n"/>
      <c r="V65" s="24" t="n"/>
      <c r="W65" s="24" t="n"/>
      <c r="X65" s="24" t="n"/>
      <c r="Y65" s="24" t="n"/>
      <c r="Z65" s="24" t="n"/>
      <c r="AA65" s="24" t="n"/>
      <c r="AB65" s="24" t="n"/>
      <c r="AC65" s="24" t="n"/>
      <c r="AD65" s="24" t="n"/>
      <c r="AE65" s="24" t="n"/>
      <c r="AF65" s="25" t="n"/>
      <c r="AG65" s="137" t="n"/>
      <c r="AH65" s="23" t="n"/>
      <c r="AI65" s="24" t="n"/>
      <c r="AJ65" s="24" t="n"/>
      <c r="AK65" s="24" t="n"/>
      <c r="AL65" s="24" t="n"/>
      <c r="AM65" s="24" t="n"/>
      <c r="AN65" s="24" t="n"/>
      <c r="AO65" s="24" t="n"/>
      <c r="AP65" s="24" t="n"/>
      <c r="AQ65" s="24" t="n"/>
      <c r="AR65" s="24" t="n"/>
      <c r="AS65" s="24" t="n"/>
      <c r="AT65" s="25" t="n"/>
      <c r="AU65" s="137" t="n"/>
      <c r="AV65" s="137" t="n"/>
      <c r="AW65" s="144" t="n"/>
      <c r="AX65" s="144" t="n"/>
      <c r="AY65" s="95" t="n"/>
      <c r="AZ65" s="95" t="n"/>
      <c r="BA65" s="95">
        <f>IF($AX65="","",IFERROR(IF(ROUND(VLOOKUP($AX65,DADOS!$CL$5:$CM$10,2,FALSE)*IF($AY65="",1,VLOOKUP($AY65,DADOS!$CO$5:$CP$7,2,FALSE))*IF($AZ65="",1,VLOOKUP($AZ65,DADOS!$CR$5:$CS$15,2,FALSE)),4)&gt;0,MAX(1,FLOOR(ROUND(VLOOKUP($AX65,DADOS!$CL$5:$CM$10,2,FALSE)*IF($AY65="",1,VLOOKUP($AY65,DADOS!$CO$5:$CP$7,2,FALSE))*IF($AZ65="",1,VLOOKUP($AZ65,DADOS!$CR$5:$CS$15,2,FALSE)),4),1)),0),""))</f>
        <v/>
      </c>
      <c r="BB65" s="137" t="n"/>
      <c r="BC65" s="144" t="n"/>
      <c r="BD65" s="144" t="n"/>
      <c r="BE65" s="95" t="n"/>
      <c r="BF65" s="95" t="n"/>
      <c r="BG65" s="95">
        <f>IF($BD65="","",IFERROR(IF(ROUND(VLOOKUP($BD65,DADOS!$CL$5:$CM$10,2,FALSE)*IF($BE65="",1,VLOOKUP($BE65,DADOS!$CO$5:$CP$7,2,FALSE))*IF($BF65="",1,VLOOKUP($BF65,DADOS!$CR$5:$CS$15,2,FALSE)),4)&gt;0,MAX(1,FLOOR(ROUND(VLOOKUP($BD65,DADOS!$CL$5:$CM$10,2,FALSE)*IF($BE65="",1,VLOOKUP($BE65,DADOS!$CO$5:$CP$7,2,FALSE))*IF($BF65="",1,VLOOKUP($BF65,DADOS!$CR$5:$CS$15,2,FALSE)),4),1)),0),""))</f>
        <v/>
      </c>
      <c r="BH65" s="137" t="n"/>
      <c r="BI65" s="144" t="n"/>
      <c r="BJ65" s="144" t="n"/>
      <c r="BK65" s="95" t="n"/>
      <c r="BL65" s="95" t="n"/>
      <c r="BM65" s="95">
        <f>IF($BJ65="","",IFERROR(IF(ROUND(VLOOKUP($BJ65,DADOS!$CL$5:$CM$10,2,FALSE)*IF($BK65="",1,VLOOKUP($BK65,DADOS!$CO$5:$CP$7,2,FALSE))*IF($BL65="",1,VLOOKUP($BL65,DADOS!$CR$5:$CS$15,2,FALSE)),4)&gt;0,MAX(1,FLOOR(ROUND(VLOOKUP($BJ65,DADOS!$CL$5:$CM$10,2,FALSE)*IF($BK65="",1,VLOOKUP($BK65,DADOS!$CO$5:$CP$7,2,FALSE))*IF($BL65="",1,VLOOKUP($BL65,DADOS!$CR$5:$CS$15,2,FALSE)),4),1)),0),""))</f>
        <v/>
      </c>
      <c r="BN65" s="137" t="n"/>
      <c r="BO65" s="144" t="n"/>
      <c r="BP65" s="144" t="n"/>
      <c r="BQ65" s="95" t="n"/>
      <c r="BR65" s="95" t="n"/>
      <c r="BS65" s="95">
        <f>IF($BP65="","",IFERROR(IF(ROUND(VLOOKUP($BP65,DADOS!$CL$5:$CM$10,2,FALSE)*IF($BQ65="",1,VLOOKUP($BQ65,DADOS!$CO$5:$CP$7,2,FALSE))*IF($BR65="",1,VLOOKUP($BR65,DADOS!$CR$5:$CS$15,2,FALSE)),4)&gt;0,MAX(1,FLOOR(ROUND(VLOOKUP($BP65,DADOS!$CL$5:$CM$10,2,FALSE)*IF($BQ65="",1,VLOOKUP($BQ65,DADOS!$CO$5:$CP$7,2,FALSE))*IF($BR65="",1,VLOOKUP($BR65,DADOS!$CR$5:$CS$15,2,FALSE)),4),1)),0),""))</f>
        <v/>
      </c>
      <c r="BT65" s="137" t="n"/>
    </row>
    <row r="66">
      <c r="B66" s="22" t="n"/>
      <c r="C66" s="137" t="n"/>
      <c r="D66" s="143">
        <f>IF(DADOS!$CZ$6=1,DADOS!$CZ$9&amp;IF(DADOS!$CZ$25=0," · para outra arma, guarde ela nos Equipáveis guardados"," · sem propriedade · o dado sobe com a maestria"),IF(DADOS!$CZ$7="","Não está nos equipáveis guardados",DADOS!$CZ$13&amp;IF(DADOS!$CZ$10&lt;&gt;""," · "&amp;DADOS!$CZ$10,"")&amp;IF(DADOS!$CZ$12=1," · nas duas mãos",IF(DADOS!$CZ$8=2," · duas mãos",""))&amp;IF(DADOS!$CZ$14&lt;&gt;""," · "&amp;DADOS!$CZ$14,"")&amp;IF(DADOS!$CZ$15&lt;&gt;""," · recarga a cada "&amp;DADOS!$CZ$15,"")))</f>
        <v/>
      </c>
      <c r="E66" s="16" t="n"/>
      <c r="F66" s="16" t="n"/>
      <c r="G66" s="16" t="n"/>
      <c r="H66" s="16" t="n"/>
      <c r="I66" s="16" t="n"/>
      <c r="J66" s="16" t="n"/>
      <c r="K66" s="16" t="n"/>
      <c r="L66" s="16" t="n"/>
      <c r="M66" s="16" t="n"/>
      <c r="N66" s="16" t="n"/>
      <c r="O66" s="16" t="n"/>
      <c r="P66" s="16" t="n"/>
      <c r="Q66" s="17" t="n"/>
      <c r="R66" s="137" t="n"/>
      <c r="S66" s="143">
        <f>IF(DADOS!$CZ$8=2,"Ocupada: a arma da outra mão é de duas mãos",IF($S$64="Nas duas mãos",IF(DADOS!$CZ$12=1,"A mesma arma, nas duas mãos","A arma da outra mão não é Versátil"),IF(DADOS!$CZ$17=0,IF(DADOS!$CZ$26=0,"Mão livre · arma de uma mão ou escudo guardado aparece aqui","Mão livre"),IF(DADOS!$CZ$18="","Não está nos equipáveis guardados",IF(DADOS!$CZ$19=1,"Escudo · "&amp;DADOS!$CZ$21,DADOS!$CZ$20&amp;IF(DADOS!$CZ$21&lt;&gt;""," · "&amp;DADOS!$CZ$21,"")&amp;IF(DADOS!$CZ$23&lt;&gt;""," · "&amp;DADOS!$CZ$23,"")&amp;IF(DADOS!$CZ$24&lt;&gt;""," · recarga a cada "&amp;DADOS!$CZ$24,""))))))</f>
        <v/>
      </c>
      <c r="T66" s="16" t="n"/>
      <c r="U66" s="16" t="n"/>
      <c r="V66" s="16" t="n"/>
      <c r="W66" s="16" t="n"/>
      <c r="X66" s="16" t="n"/>
      <c r="Y66" s="16" t="n"/>
      <c r="Z66" s="16" t="n"/>
      <c r="AA66" s="16" t="n"/>
      <c r="AB66" s="16" t="n"/>
      <c r="AC66" s="16" t="n"/>
      <c r="AD66" s="16" t="n"/>
      <c r="AE66" s="16" t="n"/>
      <c r="AF66" s="17" t="n"/>
      <c r="AG66" s="137" t="n"/>
      <c r="AH66" s="143">
        <f>IF(DADOS!$CZ$27=0,"Sem uniforme: vale a proteção do cobrir-se","Proteção "&amp;DADOS!$CZ$28&amp;" · "&amp;IF(DADOS!$CZ$29&amp;""="—","sem teto de Destreza","teto de Destreza "&amp;DADOS!$CZ$29))</f>
        <v/>
      </c>
      <c r="AI66" s="16" t="n"/>
      <c r="AJ66" s="16" t="n"/>
      <c r="AK66" s="16" t="n"/>
      <c r="AL66" s="16" t="n"/>
      <c r="AM66" s="16" t="n"/>
      <c r="AN66" s="16" t="n"/>
      <c r="AO66" s="16" t="n"/>
      <c r="AP66" s="16" t="n"/>
      <c r="AQ66" s="16" t="n"/>
      <c r="AR66" s="16" t="n"/>
      <c r="AS66" s="16" t="n"/>
      <c r="AT66" s="17" t="n"/>
      <c r="AU66" s="137" t="n"/>
      <c r="AV66" s="137" t="n"/>
      <c r="AW66" s="144" t="n"/>
      <c r="AX66" s="144" t="n"/>
      <c r="AY66" s="95" t="n"/>
      <c r="AZ66" s="95" t="n"/>
      <c r="BA66" s="95">
        <f>IF($AX66="","",IFERROR(IF(ROUND(VLOOKUP($AX66,DADOS!$CL$5:$CM$10,2,FALSE)*IF($AY66="",1,VLOOKUP($AY66,DADOS!$CO$5:$CP$7,2,FALSE))*IF($AZ66="",1,VLOOKUP($AZ66,DADOS!$CR$5:$CS$15,2,FALSE)),4)&gt;0,MAX(1,FLOOR(ROUND(VLOOKUP($AX66,DADOS!$CL$5:$CM$10,2,FALSE)*IF($AY66="",1,VLOOKUP($AY66,DADOS!$CO$5:$CP$7,2,FALSE))*IF($AZ66="",1,VLOOKUP($AZ66,DADOS!$CR$5:$CS$15,2,FALSE)),4),1)),0),""))</f>
        <v/>
      </c>
      <c r="BB66" s="137" t="n"/>
      <c r="BC66" s="144" t="n"/>
      <c r="BD66" s="144" t="n"/>
      <c r="BE66" s="95" t="n"/>
      <c r="BF66" s="95" t="n"/>
      <c r="BG66" s="95">
        <f>IF($BD66="","",IFERROR(IF(ROUND(VLOOKUP($BD66,DADOS!$CL$5:$CM$10,2,FALSE)*IF($BE66="",1,VLOOKUP($BE66,DADOS!$CO$5:$CP$7,2,FALSE))*IF($BF66="",1,VLOOKUP($BF66,DADOS!$CR$5:$CS$15,2,FALSE)),4)&gt;0,MAX(1,FLOOR(ROUND(VLOOKUP($BD66,DADOS!$CL$5:$CM$10,2,FALSE)*IF($BE66="",1,VLOOKUP($BE66,DADOS!$CO$5:$CP$7,2,FALSE))*IF($BF66="",1,VLOOKUP($BF66,DADOS!$CR$5:$CS$15,2,FALSE)),4),1)),0),""))</f>
        <v/>
      </c>
      <c r="BH66" s="137" t="n"/>
      <c r="BI66" s="144" t="n"/>
      <c r="BJ66" s="144" t="n"/>
      <c r="BK66" s="95" t="n"/>
      <c r="BL66" s="95" t="n"/>
      <c r="BM66" s="95">
        <f>IF($BJ66="","",IFERROR(IF(ROUND(VLOOKUP($BJ66,DADOS!$CL$5:$CM$10,2,FALSE)*IF($BK66="",1,VLOOKUP($BK66,DADOS!$CO$5:$CP$7,2,FALSE))*IF($BL66="",1,VLOOKUP($BL66,DADOS!$CR$5:$CS$15,2,FALSE)),4)&gt;0,MAX(1,FLOOR(ROUND(VLOOKUP($BJ66,DADOS!$CL$5:$CM$10,2,FALSE)*IF($BK66="",1,VLOOKUP($BK66,DADOS!$CO$5:$CP$7,2,FALSE))*IF($BL66="",1,VLOOKUP($BL66,DADOS!$CR$5:$CS$15,2,FALSE)),4),1)),0),""))</f>
        <v/>
      </c>
      <c r="BN66" s="137" t="n"/>
      <c r="BO66" s="144" t="n"/>
      <c r="BP66" s="144" t="n"/>
      <c r="BQ66" s="95" t="n"/>
      <c r="BR66" s="95" t="n"/>
      <c r="BS66" s="95">
        <f>IF($BP66="","",IFERROR(IF(ROUND(VLOOKUP($BP66,DADOS!$CL$5:$CM$10,2,FALSE)*IF($BQ66="",1,VLOOKUP($BQ66,DADOS!$CO$5:$CP$7,2,FALSE))*IF($BR66="",1,VLOOKUP($BR66,DADOS!$CR$5:$CS$15,2,FALSE)),4)&gt;0,MAX(1,FLOOR(ROUND(VLOOKUP($BP66,DADOS!$CL$5:$CM$10,2,FALSE)*IF($BQ66="",1,VLOOKUP($BQ66,DADOS!$CO$5:$CP$7,2,FALSE))*IF($BR66="",1,VLOOKUP($BR66,DADOS!$CR$5:$CS$15,2,FALSE)),4),1)),0),""))</f>
        <v/>
      </c>
      <c r="BT66" s="137" t="n"/>
    </row>
    <row r="67">
      <c r="B67" s="22" t="n"/>
      <c r="C67" s="137" t="n"/>
      <c r="D67" s="76">
        <f>IF(DADOS!$CZ$16=1,"Treinada","Sem treino: desvantagem")</f>
        <v/>
      </c>
      <c r="E67" s="16" t="n"/>
      <c r="F67" s="16" t="n"/>
      <c r="G67" s="16" t="n"/>
      <c r="H67" s="16" t="n"/>
      <c r="I67" s="16" t="n"/>
      <c r="J67" s="17" t="n"/>
      <c r="K67" s="76">
        <f>IF(DADOS!$CZ$11=0,"Sem requisito de Força",IF(DADOS!$CZ$36=1,"Falta Força: "&amp;DADOS!$CZ$5&amp;" de "&amp;DADOS!$CZ$11,"Força "&amp;DADOS!$CZ$5&amp;" de "&amp;DADOS!$CZ$11))</f>
        <v/>
      </c>
      <c r="L67" s="16" t="n"/>
      <c r="M67" s="16" t="n"/>
      <c r="N67" s="16" t="n"/>
      <c r="O67" s="16" t="n"/>
      <c r="P67" s="16" t="n"/>
      <c r="Q67" s="17" t="n"/>
      <c r="R67" s="137" t="n"/>
      <c r="S67" s="76">
        <f>IF(DADOS!$CZ$17=0,"—",IF(DADOS!$CZ$22=0,"Sem requisito de Força",IF(DADOS!$CZ$37=1,"Falta Força: "&amp;DADOS!$CZ$5&amp;" de "&amp;DADOS!$CZ$22,"Força "&amp;DADOS!$CZ$5&amp;" de "&amp;DADOS!$CZ$22)))</f>
        <v/>
      </c>
      <c r="T67" s="16" t="n"/>
      <c r="U67" s="16" t="n"/>
      <c r="V67" s="16" t="n"/>
      <c r="W67" s="16" t="n"/>
      <c r="X67" s="16" t="n"/>
      <c r="Y67" s="17" t="n"/>
      <c r="Z67" s="76">
        <f>IF(DADOS!$CZ$19=1,"Trava Selo de gesto","Sem escudo")</f>
        <v/>
      </c>
      <c r="AA67" s="16" t="n"/>
      <c r="AB67" s="16" t="n"/>
      <c r="AC67" s="16" t="n"/>
      <c r="AD67" s="16" t="n"/>
      <c r="AE67" s="16" t="n"/>
      <c r="AF67" s="17" t="n"/>
      <c r="AG67" s="137" t="n"/>
      <c r="AH67" s="76">
        <f>IF(DADOS!$CZ$27=0,"—",IF(DADOS!$CZ$35=1,"Liberado no "&amp;$AB$11,"Pede "&amp;DADOS!$CZ$33))</f>
        <v/>
      </c>
      <c r="AI67" s="16" t="n"/>
      <c r="AJ67" s="16" t="n"/>
      <c r="AK67" s="16" t="n"/>
      <c r="AL67" s="16" t="n"/>
      <c r="AM67" s="16" t="n"/>
      <c r="AN67" s="17" t="n"/>
      <c r="AO67" s="76">
        <f>IF(DADOS!$CZ$27=0,"—",IF(DADOS!$CZ$30=0,"Sem requisito de Força",IF(DADOS!$CZ$38=1,"Falta Força: "&amp;DADOS!$CZ$5&amp;" de "&amp;DADOS!$CZ$30,"Força "&amp;DADOS!$CZ$5&amp;" de "&amp;DADOS!$CZ$30)))</f>
        <v/>
      </c>
      <c r="AP67" s="16" t="n"/>
      <c r="AQ67" s="16" t="n"/>
      <c r="AR67" s="16" t="n"/>
      <c r="AS67" s="16" t="n"/>
      <c r="AT67" s="17" t="n"/>
      <c r="AU67" s="137" t="n"/>
      <c r="AV67" s="137" t="n"/>
      <c r="AW67" s="144" t="n"/>
      <c r="AX67" s="144" t="n"/>
      <c r="AY67" s="95" t="n"/>
      <c r="AZ67" s="95" t="n"/>
      <c r="BA67" s="95">
        <f>IF($AX67="","",IFERROR(IF(ROUND(VLOOKUP($AX67,DADOS!$CL$5:$CM$10,2,FALSE)*IF($AY67="",1,VLOOKUP($AY67,DADOS!$CO$5:$CP$7,2,FALSE))*IF($AZ67="",1,VLOOKUP($AZ67,DADOS!$CR$5:$CS$15,2,FALSE)),4)&gt;0,MAX(1,FLOOR(ROUND(VLOOKUP($AX67,DADOS!$CL$5:$CM$10,2,FALSE)*IF($AY67="",1,VLOOKUP($AY67,DADOS!$CO$5:$CP$7,2,FALSE))*IF($AZ67="",1,VLOOKUP($AZ67,DADOS!$CR$5:$CS$15,2,FALSE)),4),1)),0),""))</f>
        <v/>
      </c>
      <c r="BB67" s="137" t="n"/>
      <c r="BC67" s="144" t="n"/>
      <c r="BD67" s="144" t="n"/>
      <c r="BE67" s="95" t="n"/>
      <c r="BF67" s="95" t="n"/>
      <c r="BG67" s="95">
        <f>IF($BD67="","",IFERROR(IF(ROUND(VLOOKUP($BD67,DADOS!$CL$5:$CM$10,2,FALSE)*IF($BE67="",1,VLOOKUP($BE67,DADOS!$CO$5:$CP$7,2,FALSE))*IF($BF67="",1,VLOOKUP($BF67,DADOS!$CR$5:$CS$15,2,FALSE)),4)&gt;0,MAX(1,FLOOR(ROUND(VLOOKUP($BD67,DADOS!$CL$5:$CM$10,2,FALSE)*IF($BE67="",1,VLOOKUP($BE67,DADOS!$CO$5:$CP$7,2,FALSE))*IF($BF67="",1,VLOOKUP($BF67,DADOS!$CR$5:$CS$15,2,FALSE)),4),1)),0),""))</f>
        <v/>
      </c>
      <c r="BH67" s="137" t="n"/>
      <c r="BI67" s="144" t="n"/>
      <c r="BJ67" s="144" t="n"/>
      <c r="BK67" s="95" t="n"/>
      <c r="BL67" s="95" t="n"/>
      <c r="BM67" s="95">
        <f>IF($BJ67="","",IFERROR(IF(ROUND(VLOOKUP($BJ67,DADOS!$CL$5:$CM$10,2,FALSE)*IF($BK67="",1,VLOOKUP($BK67,DADOS!$CO$5:$CP$7,2,FALSE))*IF($BL67="",1,VLOOKUP($BL67,DADOS!$CR$5:$CS$15,2,FALSE)),4)&gt;0,MAX(1,FLOOR(ROUND(VLOOKUP($BJ67,DADOS!$CL$5:$CM$10,2,FALSE)*IF($BK67="",1,VLOOKUP($BK67,DADOS!$CO$5:$CP$7,2,FALSE))*IF($BL67="",1,VLOOKUP($BL67,DADOS!$CR$5:$CS$15,2,FALSE)),4),1)),0),""))</f>
        <v/>
      </c>
      <c r="BN67" s="137" t="n"/>
      <c r="BO67" s="144" t="n"/>
      <c r="BP67" s="144" t="n"/>
      <c r="BQ67" s="95" t="n"/>
      <c r="BR67" s="95" t="n"/>
      <c r="BS67" s="95">
        <f>IF($BP67="","",IFERROR(IF(ROUND(VLOOKUP($BP67,DADOS!$CL$5:$CM$10,2,FALSE)*IF($BQ67="",1,VLOOKUP($BQ67,DADOS!$CO$5:$CP$7,2,FALSE))*IF($BR67="",1,VLOOKUP($BR67,DADOS!$CR$5:$CS$15,2,FALSE)),4)&gt;0,MAX(1,FLOOR(ROUND(VLOOKUP($BP67,DADOS!$CL$5:$CM$10,2,FALSE)*IF($BQ67="",1,VLOOKUP($BQ67,DADOS!$CO$5:$CP$7,2,FALSE))*IF($BR67="",1,VLOOKUP($BR67,DADOS!$CR$5:$CS$15,2,FALSE)),4),1)),0),""))</f>
        <v/>
      </c>
      <c r="BT67" s="137" t="n"/>
    </row>
    <row r="68">
      <c r="A68" s="8" t="n"/>
      <c r="B68" s="14" t="n"/>
      <c r="C68" s="137" t="n"/>
      <c r="D68" s="137" t="n"/>
      <c r="E68" s="137" t="n"/>
      <c r="F68" s="137" t="n"/>
      <c r="G68" s="137" t="n"/>
      <c r="H68" s="137" t="n"/>
      <c r="I68" s="137" t="n"/>
      <c r="J68" s="137" t="n"/>
      <c r="K68" s="137" t="n"/>
      <c r="L68" s="137" t="n"/>
      <c r="M68" s="137" t="n"/>
      <c r="N68" s="137" t="n"/>
      <c r="O68" s="137" t="n"/>
      <c r="P68" s="137" t="n"/>
      <c r="Q68" s="137" t="n"/>
      <c r="R68" s="137" t="n"/>
      <c r="S68" s="137" t="n"/>
      <c r="T68" s="137" t="n"/>
      <c r="U68" s="137" t="n"/>
      <c r="V68" s="137" t="n"/>
      <c r="W68" s="137" t="n"/>
      <c r="X68" s="137" t="n"/>
      <c r="Y68" s="137" t="n"/>
      <c r="Z68" s="137" t="n"/>
      <c r="AA68" s="137" t="n"/>
      <c r="AB68" s="137" t="n"/>
      <c r="AC68" s="137" t="n"/>
      <c r="AD68" s="137" t="n"/>
      <c r="AE68" s="137" t="n"/>
      <c r="AF68" s="137" t="n"/>
      <c r="AG68" s="137" t="n"/>
      <c r="AH68" s="137" t="n"/>
      <c r="AI68" s="137" t="n"/>
      <c r="AJ68" s="137" t="n"/>
      <c r="AK68" s="137" t="n"/>
      <c r="AL68" s="137" t="n"/>
      <c r="AM68" s="137" t="n"/>
      <c r="AN68" s="137" t="n"/>
      <c r="AO68" s="137" t="n"/>
      <c r="AP68" s="137" t="n"/>
      <c r="AQ68" s="137" t="n"/>
      <c r="AR68" s="137" t="n"/>
      <c r="AS68" s="137" t="n"/>
      <c r="AT68" s="137" t="n"/>
      <c r="AU68" s="137" t="n"/>
      <c r="AV68" s="137" t="n"/>
      <c r="AW68" s="144" t="n"/>
      <c r="AX68" s="144" t="n"/>
      <c r="AY68" s="95" t="n"/>
      <c r="AZ68" s="95" t="n"/>
      <c r="BA68" s="95">
        <f>IF($AX68="","",IFERROR(IF(ROUND(VLOOKUP($AX68,DADOS!$CL$5:$CM$10,2,FALSE)*IF($AY68="",1,VLOOKUP($AY68,DADOS!$CO$5:$CP$7,2,FALSE))*IF($AZ68="",1,VLOOKUP($AZ68,DADOS!$CR$5:$CS$15,2,FALSE)),4)&gt;0,MAX(1,FLOOR(ROUND(VLOOKUP($AX68,DADOS!$CL$5:$CM$10,2,FALSE)*IF($AY68="",1,VLOOKUP($AY68,DADOS!$CO$5:$CP$7,2,FALSE))*IF($AZ68="",1,VLOOKUP($AZ68,DADOS!$CR$5:$CS$15,2,FALSE)),4),1)),0),""))</f>
        <v/>
      </c>
      <c r="BB68" s="137" t="n"/>
      <c r="BC68" s="144" t="n"/>
      <c r="BD68" s="144" t="n"/>
      <c r="BE68" s="95" t="n"/>
      <c r="BF68" s="95" t="n"/>
      <c r="BG68" s="95">
        <f>IF($BD68="","",IFERROR(IF(ROUND(VLOOKUP($BD68,DADOS!$CL$5:$CM$10,2,FALSE)*IF($BE68="",1,VLOOKUP($BE68,DADOS!$CO$5:$CP$7,2,FALSE))*IF($BF68="",1,VLOOKUP($BF68,DADOS!$CR$5:$CS$15,2,FALSE)),4)&gt;0,MAX(1,FLOOR(ROUND(VLOOKUP($BD68,DADOS!$CL$5:$CM$10,2,FALSE)*IF($BE68="",1,VLOOKUP($BE68,DADOS!$CO$5:$CP$7,2,FALSE))*IF($BF68="",1,VLOOKUP($BF68,DADOS!$CR$5:$CS$15,2,FALSE)),4),1)),0),""))</f>
        <v/>
      </c>
      <c r="BH68" s="137" t="n"/>
      <c r="BI68" s="144" t="n"/>
      <c r="BJ68" s="144" t="n"/>
      <c r="BK68" s="95" t="n"/>
      <c r="BL68" s="95" t="n"/>
      <c r="BM68" s="95">
        <f>IF($BJ68="","",IFERROR(IF(ROUND(VLOOKUP($BJ68,DADOS!$CL$5:$CM$10,2,FALSE)*IF($BK68="",1,VLOOKUP($BK68,DADOS!$CO$5:$CP$7,2,FALSE))*IF($BL68="",1,VLOOKUP($BL68,DADOS!$CR$5:$CS$15,2,FALSE)),4)&gt;0,MAX(1,FLOOR(ROUND(VLOOKUP($BJ68,DADOS!$CL$5:$CM$10,2,FALSE)*IF($BK68="",1,VLOOKUP($BK68,DADOS!$CO$5:$CP$7,2,FALSE))*IF($BL68="",1,VLOOKUP($BL68,DADOS!$CR$5:$CS$15,2,FALSE)),4),1)),0),""))</f>
        <v/>
      </c>
      <c r="BN68" s="137" t="n"/>
      <c r="BO68" s="144" t="n"/>
      <c r="BP68" s="144" t="n"/>
      <c r="BQ68" s="95" t="n"/>
      <c r="BR68" s="95" t="n"/>
      <c r="BS68" s="95">
        <f>IF($BP68="","",IFERROR(IF(ROUND(VLOOKUP($BP68,DADOS!$CL$5:$CM$10,2,FALSE)*IF($BQ68="",1,VLOOKUP($BQ68,DADOS!$CO$5:$CP$7,2,FALSE))*IF($BR68="",1,VLOOKUP($BR68,DADOS!$CR$5:$CS$15,2,FALSE)),4)&gt;0,MAX(1,FLOOR(ROUND(VLOOKUP($BP68,DADOS!$CL$5:$CM$10,2,FALSE)*IF($BQ68="",1,VLOOKUP($BQ68,DADOS!$CO$5:$CP$7,2,FALSE))*IF($BR68="",1,VLOOKUP($BR68,DADOS!$CR$5:$CS$15,2,FALSE)),4),1)),0),""))</f>
        <v/>
      </c>
      <c r="BT68" s="137" t="n"/>
    </row>
    <row r="69">
      <c r="A69" s="8" t="n"/>
      <c r="B69" s="14" t="n"/>
      <c r="C69" s="137" t="n"/>
      <c r="D69" s="55" t="inlineStr">
        <is>
          <t>TREINO EM ARMAS</t>
        </is>
      </c>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20" t="n"/>
      <c r="AU69" s="137" t="n"/>
      <c r="AV69" s="137" t="n"/>
      <c r="AW69" s="144" t="n"/>
      <c r="AX69" s="144" t="n"/>
      <c r="AY69" s="95" t="n"/>
      <c r="AZ69" s="95" t="n"/>
      <c r="BA69" s="95">
        <f>IF($AX69="","",IFERROR(IF(ROUND(VLOOKUP($AX69,DADOS!$CL$5:$CM$10,2,FALSE)*IF($AY69="",1,VLOOKUP($AY69,DADOS!$CO$5:$CP$7,2,FALSE))*IF($AZ69="",1,VLOOKUP($AZ69,DADOS!$CR$5:$CS$15,2,FALSE)),4)&gt;0,MAX(1,FLOOR(ROUND(VLOOKUP($AX69,DADOS!$CL$5:$CM$10,2,FALSE)*IF($AY69="",1,VLOOKUP($AY69,DADOS!$CO$5:$CP$7,2,FALSE))*IF($AZ69="",1,VLOOKUP($AZ69,DADOS!$CR$5:$CS$15,2,FALSE)),4),1)),0),""))</f>
        <v/>
      </c>
      <c r="BB69" s="137" t="n"/>
      <c r="BC69" s="144" t="n"/>
      <c r="BD69" s="144" t="n"/>
      <c r="BE69" s="95" t="n"/>
      <c r="BF69" s="95" t="n"/>
      <c r="BG69" s="95">
        <f>IF($BD69="","",IFERROR(IF(ROUND(VLOOKUP($BD69,DADOS!$CL$5:$CM$10,2,FALSE)*IF($BE69="",1,VLOOKUP($BE69,DADOS!$CO$5:$CP$7,2,FALSE))*IF($BF69="",1,VLOOKUP($BF69,DADOS!$CR$5:$CS$15,2,FALSE)),4)&gt;0,MAX(1,FLOOR(ROUND(VLOOKUP($BD69,DADOS!$CL$5:$CM$10,2,FALSE)*IF($BE69="",1,VLOOKUP($BE69,DADOS!$CO$5:$CP$7,2,FALSE))*IF($BF69="",1,VLOOKUP($BF69,DADOS!$CR$5:$CS$15,2,FALSE)),4),1)),0),""))</f>
        <v/>
      </c>
      <c r="BH69" s="137" t="n"/>
      <c r="BI69" s="144" t="n"/>
      <c r="BJ69" s="144" t="n"/>
      <c r="BK69" s="95" t="n"/>
      <c r="BL69" s="95" t="n"/>
      <c r="BM69" s="95">
        <f>IF($BJ69="","",IFERROR(IF(ROUND(VLOOKUP($BJ69,DADOS!$CL$5:$CM$10,2,FALSE)*IF($BK69="",1,VLOOKUP($BK69,DADOS!$CO$5:$CP$7,2,FALSE))*IF($BL69="",1,VLOOKUP($BL69,DADOS!$CR$5:$CS$15,2,FALSE)),4)&gt;0,MAX(1,FLOOR(ROUND(VLOOKUP($BJ69,DADOS!$CL$5:$CM$10,2,FALSE)*IF($BK69="",1,VLOOKUP($BK69,DADOS!$CO$5:$CP$7,2,FALSE))*IF($BL69="",1,VLOOKUP($BL69,DADOS!$CR$5:$CS$15,2,FALSE)),4),1)),0),""))</f>
        <v/>
      </c>
      <c r="BN69" s="137" t="n"/>
      <c r="BO69" s="144" t="n"/>
      <c r="BP69" s="144" t="n"/>
      <c r="BQ69" s="95" t="n"/>
      <c r="BR69" s="95" t="n"/>
      <c r="BS69" s="95">
        <f>IF($BP69="","",IFERROR(IF(ROUND(VLOOKUP($BP69,DADOS!$CL$5:$CM$10,2,FALSE)*IF($BQ69="",1,VLOOKUP($BQ69,DADOS!$CO$5:$CP$7,2,FALSE))*IF($BR69="",1,VLOOKUP($BR69,DADOS!$CR$5:$CS$15,2,FALSE)),4)&gt;0,MAX(1,FLOOR(ROUND(VLOOKUP($BP69,DADOS!$CL$5:$CM$10,2,FALSE)*IF($BQ69="",1,VLOOKUP($BQ69,DADOS!$CO$5:$CP$7,2,FALSE))*IF($BR69="",1,VLOOKUP($BR69,DADOS!$CR$5:$CS$15,2,FALSE)),4),1)),0),""))</f>
        <v/>
      </c>
      <c r="BT69" s="137" t="n"/>
    </row>
    <row r="70">
      <c r="A70" s="8" t="n"/>
      <c r="B70" s="14" t="n"/>
      <c r="C70" s="137" t="n"/>
      <c r="D70" s="23" t="n"/>
      <c r="E70" s="24" t="n"/>
      <c r="F70" s="24" t="n"/>
      <c r="G70" s="24" t="n"/>
      <c r="H70" s="24" t="n"/>
      <c r="I70" s="24" t="n"/>
      <c r="J70" s="24" t="n"/>
      <c r="K70" s="24" t="n"/>
      <c r="L70" s="24" t="n"/>
      <c r="M70" s="24" t="n"/>
      <c r="N70" s="24" t="n"/>
      <c r="O70" s="24" t="n"/>
      <c r="P70" s="24" t="n"/>
      <c r="Q70" s="24" t="n"/>
      <c r="R70" s="24" t="n"/>
      <c r="S70" s="24" t="n"/>
      <c r="T70" s="24" t="n"/>
      <c r="U70" s="24" t="n"/>
      <c r="V70" s="24" t="n"/>
      <c r="W70" s="24" t="n"/>
      <c r="X70" s="24" t="n"/>
      <c r="Y70" s="24" t="n"/>
      <c r="Z70" s="24" t="n"/>
      <c r="AA70" s="24" t="n"/>
      <c r="AB70" s="24" t="n"/>
      <c r="AC70" s="24" t="n"/>
      <c r="AD70" s="24" t="n"/>
      <c r="AE70" s="24" t="n"/>
      <c r="AF70" s="24" t="n"/>
      <c r="AG70" s="24" t="n"/>
      <c r="AH70" s="24" t="n"/>
      <c r="AI70" s="24" t="n"/>
      <c r="AJ70" s="24" t="n"/>
      <c r="AK70" s="24" t="n"/>
      <c r="AL70" s="24" t="n"/>
      <c r="AM70" s="24" t="n"/>
      <c r="AN70" s="24" t="n"/>
      <c r="AO70" s="24" t="n"/>
      <c r="AP70" s="24" t="n"/>
      <c r="AQ70" s="24" t="n"/>
      <c r="AR70" s="24" t="n"/>
      <c r="AS70" s="24" t="n"/>
      <c r="AT70" s="25" t="n"/>
      <c r="AU70" s="137" t="n"/>
      <c r="AV70" s="137" t="n"/>
      <c r="AW70" s="144" t="n"/>
      <c r="AX70" s="144" t="n"/>
      <c r="AY70" s="95" t="n"/>
      <c r="AZ70" s="95" t="n"/>
      <c r="BA70" s="95">
        <f>IF($AX70="","",IFERROR(IF(ROUND(VLOOKUP($AX70,DADOS!$CL$5:$CM$10,2,FALSE)*IF($AY70="",1,VLOOKUP($AY70,DADOS!$CO$5:$CP$7,2,FALSE))*IF($AZ70="",1,VLOOKUP($AZ70,DADOS!$CR$5:$CS$15,2,FALSE)),4)&gt;0,MAX(1,FLOOR(ROUND(VLOOKUP($AX70,DADOS!$CL$5:$CM$10,2,FALSE)*IF($AY70="",1,VLOOKUP($AY70,DADOS!$CO$5:$CP$7,2,FALSE))*IF($AZ70="",1,VLOOKUP($AZ70,DADOS!$CR$5:$CS$15,2,FALSE)),4),1)),0),""))</f>
        <v/>
      </c>
      <c r="BB70" s="137" t="n"/>
      <c r="BC70" s="144" t="n"/>
      <c r="BD70" s="144" t="n"/>
      <c r="BE70" s="95" t="n"/>
      <c r="BF70" s="95" t="n"/>
      <c r="BG70" s="95">
        <f>IF($BD70="","",IFERROR(IF(ROUND(VLOOKUP($BD70,DADOS!$CL$5:$CM$10,2,FALSE)*IF($BE70="",1,VLOOKUP($BE70,DADOS!$CO$5:$CP$7,2,FALSE))*IF($BF70="",1,VLOOKUP($BF70,DADOS!$CR$5:$CS$15,2,FALSE)),4)&gt;0,MAX(1,FLOOR(ROUND(VLOOKUP($BD70,DADOS!$CL$5:$CM$10,2,FALSE)*IF($BE70="",1,VLOOKUP($BE70,DADOS!$CO$5:$CP$7,2,FALSE))*IF($BF70="",1,VLOOKUP($BF70,DADOS!$CR$5:$CS$15,2,FALSE)),4),1)),0),""))</f>
        <v/>
      </c>
      <c r="BH70" s="137" t="n"/>
      <c r="BI70" s="144" t="n"/>
      <c r="BJ70" s="144" t="n"/>
      <c r="BK70" s="95" t="n"/>
      <c r="BL70" s="95" t="n"/>
      <c r="BM70" s="95">
        <f>IF($BJ70="","",IFERROR(IF(ROUND(VLOOKUP($BJ70,DADOS!$CL$5:$CM$10,2,FALSE)*IF($BK70="",1,VLOOKUP($BK70,DADOS!$CO$5:$CP$7,2,FALSE))*IF($BL70="",1,VLOOKUP($BL70,DADOS!$CR$5:$CS$15,2,FALSE)),4)&gt;0,MAX(1,FLOOR(ROUND(VLOOKUP($BJ70,DADOS!$CL$5:$CM$10,2,FALSE)*IF($BK70="",1,VLOOKUP($BK70,DADOS!$CO$5:$CP$7,2,FALSE))*IF($BL70="",1,VLOOKUP($BL70,DADOS!$CR$5:$CS$15,2,FALSE)),4),1)),0),""))</f>
        <v/>
      </c>
      <c r="BN70" s="137" t="n"/>
      <c r="BO70" s="144" t="n"/>
      <c r="BP70" s="144" t="n"/>
      <c r="BQ70" s="95" t="n"/>
      <c r="BR70" s="95" t="n"/>
      <c r="BS70" s="95">
        <f>IF($BP70="","",IFERROR(IF(ROUND(VLOOKUP($BP70,DADOS!$CL$5:$CM$10,2,FALSE)*IF($BQ70="",1,VLOOKUP($BQ70,DADOS!$CO$5:$CP$7,2,FALSE))*IF($BR70="",1,VLOOKUP($BR70,DADOS!$CR$5:$CS$15,2,FALSE)),4)&gt;0,MAX(1,FLOOR(ROUND(VLOOKUP($BP70,DADOS!$CL$5:$CM$10,2,FALSE)*IF($BQ70="",1,VLOOKUP($BQ70,DADOS!$CO$5:$CP$7,2,FALSE))*IF($BR70="",1,VLOOKUP($BR70,DADOS!$CR$5:$CS$15,2,FALSE)),4),1)),0),""))</f>
        <v/>
      </c>
      <c r="BT70" s="137" t="n"/>
    </row>
    <row r="71" outlineLevel="1">
      <c r="A71" s="8" t="n"/>
      <c r="B71" s="14" t="n"/>
      <c r="C71" s="137" t="n"/>
      <c r="D71" s="56" t="b">
        <v>0</v>
      </c>
      <c r="E71" s="56" t="inlineStr">
        <is>
          <t>LÂMINA LONGA</t>
        </is>
      </c>
      <c r="F71" s="16" t="n"/>
      <c r="G71" s="16" t="n"/>
      <c r="H71" s="16" t="n"/>
      <c r="I71" s="16" t="n"/>
      <c r="J71" s="16" t="n"/>
      <c r="K71" s="16" t="n"/>
      <c r="L71" s="17" t="n"/>
      <c r="M71" s="56" t="b">
        <v>0</v>
      </c>
      <c r="N71" s="56" t="inlineStr">
        <is>
          <t>ARMA DE FOGO</t>
        </is>
      </c>
      <c r="O71" s="16" t="n"/>
      <c r="P71" s="16" t="n"/>
      <c r="Q71" s="16" t="n"/>
      <c r="R71" s="16" t="n"/>
      <c r="S71" s="16" t="n"/>
      <c r="T71" s="16" t="n"/>
      <c r="U71" s="17" t="n"/>
      <c r="V71" s="56" t="b">
        <v>0</v>
      </c>
      <c r="W71" s="56" t="inlineStr">
        <is>
          <t>PORRETE</t>
        </is>
      </c>
      <c r="X71" s="16" t="n"/>
      <c r="Y71" s="16" t="n"/>
      <c r="Z71" s="16" t="n"/>
      <c r="AA71" s="16" t="n"/>
      <c r="AB71" s="16" t="n"/>
      <c r="AC71" s="16" t="n"/>
      <c r="AD71" s="17" t="n"/>
      <c r="AE71" s="56" t="b">
        <v>0</v>
      </c>
      <c r="AF71" s="56" t="inlineStr">
        <is>
          <t>LÂMINA CURTA</t>
        </is>
      </c>
      <c r="AG71" s="16" t="n"/>
      <c r="AH71" s="16" t="n"/>
      <c r="AI71" s="16" t="n"/>
      <c r="AJ71" s="16" t="n"/>
      <c r="AK71" s="16" t="n"/>
      <c r="AL71" s="17" t="n"/>
      <c r="AM71" s="56" t="b">
        <v>0</v>
      </c>
      <c r="AN71" s="56" t="inlineStr">
        <is>
          <t>MASSA</t>
        </is>
      </c>
      <c r="AO71" s="16" t="n"/>
      <c r="AP71" s="16" t="n"/>
      <c r="AQ71" s="16" t="n"/>
      <c r="AR71" s="16" t="n"/>
      <c r="AS71" s="16" t="n"/>
      <c r="AT71" s="17" t="n"/>
      <c r="AU71" s="137" t="n"/>
      <c r="AV71" s="137" t="n"/>
      <c r="AW71" s="144" t="n"/>
      <c r="AX71" s="144" t="n"/>
      <c r="AY71" s="95" t="n"/>
      <c r="AZ71" s="95" t="n"/>
      <c r="BA71" s="95">
        <f>IF($AX71="","",IFERROR(IF(ROUND(VLOOKUP($AX71,DADOS!$CL$5:$CM$10,2,FALSE)*IF($AY71="",1,VLOOKUP($AY71,DADOS!$CO$5:$CP$7,2,FALSE))*IF($AZ71="",1,VLOOKUP($AZ71,DADOS!$CR$5:$CS$15,2,FALSE)),4)&gt;0,MAX(1,FLOOR(ROUND(VLOOKUP($AX71,DADOS!$CL$5:$CM$10,2,FALSE)*IF($AY71="",1,VLOOKUP($AY71,DADOS!$CO$5:$CP$7,2,FALSE))*IF($AZ71="",1,VLOOKUP($AZ71,DADOS!$CR$5:$CS$15,2,FALSE)),4),1)),0),""))</f>
        <v/>
      </c>
      <c r="BB71" s="137" t="n"/>
      <c r="BC71" s="144" t="n"/>
      <c r="BD71" s="144" t="n"/>
      <c r="BE71" s="95" t="n"/>
      <c r="BF71" s="95" t="n"/>
      <c r="BG71" s="95">
        <f>IF($BD71="","",IFERROR(IF(ROUND(VLOOKUP($BD71,DADOS!$CL$5:$CM$10,2,FALSE)*IF($BE71="",1,VLOOKUP($BE71,DADOS!$CO$5:$CP$7,2,FALSE))*IF($BF71="",1,VLOOKUP($BF71,DADOS!$CR$5:$CS$15,2,FALSE)),4)&gt;0,MAX(1,FLOOR(ROUND(VLOOKUP($BD71,DADOS!$CL$5:$CM$10,2,FALSE)*IF($BE71="",1,VLOOKUP($BE71,DADOS!$CO$5:$CP$7,2,FALSE))*IF($BF71="",1,VLOOKUP($BF71,DADOS!$CR$5:$CS$15,2,FALSE)),4),1)),0),""))</f>
        <v/>
      </c>
      <c r="BH71" s="137" t="n"/>
      <c r="BI71" s="144" t="n"/>
      <c r="BJ71" s="144" t="n"/>
      <c r="BK71" s="95" t="n"/>
      <c r="BL71" s="95" t="n"/>
      <c r="BM71" s="95">
        <f>IF($BJ71="","",IFERROR(IF(ROUND(VLOOKUP($BJ71,DADOS!$CL$5:$CM$10,2,FALSE)*IF($BK71="",1,VLOOKUP($BK71,DADOS!$CO$5:$CP$7,2,FALSE))*IF($BL71="",1,VLOOKUP($BL71,DADOS!$CR$5:$CS$15,2,FALSE)),4)&gt;0,MAX(1,FLOOR(ROUND(VLOOKUP($BJ71,DADOS!$CL$5:$CM$10,2,FALSE)*IF($BK71="",1,VLOOKUP($BK71,DADOS!$CO$5:$CP$7,2,FALSE))*IF($BL71="",1,VLOOKUP($BL71,DADOS!$CR$5:$CS$15,2,FALSE)),4),1)),0),""))</f>
        <v/>
      </c>
      <c r="BN71" s="137" t="n"/>
      <c r="BO71" s="144" t="n"/>
      <c r="BP71" s="144" t="n"/>
      <c r="BQ71" s="95" t="n"/>
      <c r="BR71" s="95" t="n"/>
      <c r="BS71" s="95">
        <f>IF($BP71="","",IFERROR(IF(ROUND(VLOOKUP($BP71,DADOS!$CL$5:$CM$10,2,FALSE)*IF($BQ71="",1,VLOOKUP($BQ71,DADOS!$CO$5:$CP$7,2,FALSE))*IF($BR71="",1,VLOOKUP($BR71,DADOS!$CR$5:$CS$15,2,FALSE)),4)&gt;0,MAX(1,FLOOR(ROUND(VLOOKUP($BP71,DADOS!$CL$5:$CM$10,2,FALSE)*IF($BQ71="",1,VLOOKUP($BQ71,DADOS!$CO$5:$CP$7,2,FALSE))*IF($BR71="",1,VLOOKUP($BR71,DADOS!$CR$5:$CS$15,2,FALSE)),4),1)),0),""))</f>
        <v/>
      </c>
      <c r="BT71" s="137" t="n"/>
    </row>
    <row r="72" outlineLevel="1">
      <c r="A72" s="8" t="n"/>
      <c r="B72" s="14" t="n"/>
      <c r="C72" s="137" t="n"/>
      <c r="D72" s="95" t="b">
        <v>0</v>
      </c>
      <c r="E72" s="144" t="inlineStr">
        <is>
          <t>Espada Longa</t>
        </is>
      </c>
      <c r="F72" s="16" t="n"/>
      <c r="G72" s="16" t="n"/>
      <c r="H72" s="16" t="n"/>
      <c r="I72" s="16" t="n"/>
      <c r="J72" s="16" t="n"/>
      <c r="K72" s="16" t="n"/>
      <c r="L72" s="17" t="n"/>
      <c r="M72" s="95" t="b">
        <v>0</v>
      </c>
      <c r="N72" s="144" t="inlineStr">
        <is>
          <t>Espingarda</t>
        </is>
      </c>
      <c r="O72" s="16" t="n"/>
      <c r="P72" s="16" t="n"/>
      <c r="Q72" s="16" t="n"/>
      <c r="R72" s="16" t="n"/>
      <c r="S72" s="16" t="n"/>
      <c r="T72" s="16" t="n"/>
      <c r="U72" s="17" t="n"/>
      <c r="V72" s="95" t="b">
        <v>0</v>
      </c>
      <c r="W72" s="144" t="inlineStr">
        <is>
          <t>Bastão</t>
        </is>
      </c>
      <c r="X72" s="16" t="n"/>
      <c r="Y72" s="16" t="n"/>
      <c r="Z72" s="16" t="n"/>
      <c r="AA72" s="16" t="n"/>
      <c r="AB72" s="16" t="n"/>
      <c r="AC72" s="16" t="n"/>
      <c r="AD72" s="17" t="n"/>
      <c r="AE72" s="95" t="b">
        <v>0</v>
      </c>
      <c r="AF72" s="144" t="inlineStr">
        <is>
          <t>Canivete</t>
        </is>
      </c>
      <c r="AG72" s="16" t="n"/>
      <c r="AH72" s="16" t="n"/>
      <c r="AI72" s="16" t="n"/>
      <c r="AJ72" s="16" t="n"/>
      <c r="AK72" s="16" t="n"/>
      <c r="AL72" s="17" t="n"/>
      <c r="AM72" s="95" t="b">
        <v>0</v>
      </c>
      <c r="AN72" s="144" t="inlineStr">
        <is>
          <t>Kanabō</t>
        </is>
      </c>
      <c r="AO72" s="16" t="n"/>
      <c r="AP72" s="16" t="n"/>
      <c r="AQ72" s="16" t="n"/>
      <c r="AR72" s="16" t="n"/>
      <c r="AS72" s="16" t="n"/>
      <c r="AT72" s="17" t="n"/>
      <c r="AU72" s="137" t="n"/>
      <c r="AV72" s="137" t="n"/>
      <c r="AW72" s="144" t="n"/>
      <c r="AX72" s="144" t="n"/>
      <c r="AY72" s="95" t="n"/>
      <c r="AZ72" s="95" t="n"/>
      <c r="BA72" s="95">
        <f>IF($AX72="","",IFERROR(IF(ROUND(VLOOKUP($AX72,DADOS!$CL$5:$CM$10,2,FALSE)*IF($AY72="",1,VLOOKUP($AY72,DADOS!$CO$5:$CP$7,2,FALSE))*IF($AZ72="",1,VLOOKUP($AZ72,DADOS!$CR$5:$CS$15,2,FALSE)),4)&gt;0,MAX(1,FLOOR(ROUND(VLOOKUP($AX72,DADOS!$CL$5:$CM$10,2,FALSE)*IF($AY72="",1,VLOOKUP($AY72,DADOS!$CO$5:$CP$7,2,FALSE))*IF($AZ72="",1,VLOOKUP($AZ72,DADOS!$CR$5:$CS$15,2,FALSE)),4),1)),0),""))</f>
        <v/>
      </c>
      <c r="BB72" s="137" t="n"/>
      <c r="BC72" s="144" t="n"/>
      <c r="BD72" s="144" t="n"/>
      <c r="BE72" s="95" t="n"/>
      <c r="BF72" s="95" t="n"/>
      <c r="BG72" s="95">
        <f>IF($BD72="","",IFERROR(IF(ROUND(VLOOKUP($BD72,DADOS!$CL$5:$CM$10,2,FALSE)*IF($BE72="",1,VLOOKUP($BE72,DADOS!$CO$5:$CP$7,2,FALSE))*IF($BF72="",1,VLOOKUP($BF72,DADOS!$CR$5:$CS$15,2,FALSE)),4)&gt;0,MAX(1,FLOOR(ROUND(VLOOKUP($BD72,DADOS!$CL$5:$CM$10,2,FALSE)*IF($BE72="",1,VLOOKUP($BE72,DADOS!$CO$5:$CP$7,2,FALSE))*IF($BF72="",1,VLOOKUP($BF72,DADOS!$CR$5:$CS$15,2,FALSE)),4),1)),0),""))</f>
        <v/>
      </c>
      <c r="BH72" s="137" t="n"/>
      <c r="BI72" s="144" t="n"/>
      <c r="BJ72" s="144" t="n"/>
      <c r="BK72" s="95" t="n"/>
      <c r="BL72" s="95" t="n"/>
      <c r="BM72" s="95">
        <f>IF($BJ72="","",IFERROR(IF(ROUND(VLOOKUP($BJ72,DADOS!$CL$5:$CM$10,2,FALSE)*IF($BK72="",1,VLOOKUP($BK72,DADOS!$CO$5:$CP$7,2,FALSE))*IF($BL72="",1,VLOOKUP($BL72,DADOS!$CR$5:$CS$15,2,FALSE)),4)&gt;0,MAX(1,FLOOR(ROUND(VLOOKUP($BJ72,DADOS!$CL$5:$CM$10,2,FALSE)*IF($BK72="",1,VLOOKUP($BK72,DADOS!$CO$5:$CP$7,2,FALSE))*IF($BL72="",1,VLOOKUP($BL72,DADOS!$CR$5:$CS$15,2,FALSE)),4),1)),0),""))</f>
        <v/>
      </c>
      <c r="BN72" s="137" t="n"/>
      <c r="BO72" s="144" t="n"/>
      <c r="BP72" s="144" t="n"/>
      <c r="BQ72" s="95" t="n"/>
      <c r="BR72" s="95" t="n"/>
      <c r="BS72" s="95">
        <f>IF($BP72="","",IFERROR(IF(ROUND(VLOOKUP($BP72,DADOS!$CL$5:$CM$10,2,FALSE)*IF($BQ72="",1,VLOOKUP($BQ72,DADOS!$CO$5:$CP$7,2,FALSE))*IF($BR72="",1,VLOOKUP($BR72,DADOS!$CR$5:$CS$15,2,FALSE)),4)&gt;0,MAX(1,FLOOR(ROUND(VLOOKUP($BP72,DADOS!$CL$5:$CM$10,2,FALSE)*IF($BQ72="",1,VLOOKUP($BQ72,DADOS!$CO$5:$CP$7,2,FALSE))*IF($BR72="",1,VLOOKUP($BR72,DADOS!$CR$5:$CS$15,2,FALSE)),4),1)),0),""))</f>
        <v/>
      </c>
      <c r="BT72" s="137" t="n"/>
    </row>
    <row r="73" outlineLevel="1">
      <c r="A73" s="8" t="n"/>
      <c r="B73" s="14" t="n"/>
      <c r="C73" s="137" t="n"/>
      <c r="D73" s="95" t="b">
        <v>0</v>
      </c>
      <c r="E73" s="144" t="inlineStr">
        <is>
          <t>Espadão</t>
        </is>
      </c>
      <c r="F73" s="16" t="n"/>
      <c r="G73" s="16" t="n"/>
      <c r="H73" s="16" t="n"/>
      <c r="I73" s="16" t="n"/>
      <c r="J73" s="16" t="n"/>
      <c r="K73" s="16" t="n"/>
      <c r="L73" s="17" t="n"/>
      <c r="M73" s="95" t="b">
        <v>0</v>
      </c>
      <c r="N73" s="144" t="inlineStr">
        <is>
          <t>Metralhadora Pesada</t>
        </is>
      </c>
      <c r="O73" s="16" t="n"/>
      <c r="P73" s="16" t="n"/>
      <c r="Q73" s="16" t="n"/>
      <c r="R73" s="16" t="n"/>
      <c r="S73" s="16" t="n"/>
      <c r="T73" s="16" t="n"/>
      <c r="U73" s="17" t="n"/>
      <c r="V73" s="95" t="b">
        <v>0</v>
      </c>
      <c r="W73" s="144" t="inlineStr">
        <is>
          <t>Bō</t>
        </is>
      </c>
      <c r="X73" s="16" t="n"/>
      <c r="Y73" s="16" t="n"/>
      <c r="Z73" s="16" t="n"/>
      <c r="AA73" s="16" t="n"/>
      <c r="AB73" s="16" t="n"/>
      <c r="AC73" s="16" t="n"/>
      <c r="AD73" s="17" t="n"/>
      <c r="AE73" s="95" t="b">
        <v>0</v>
      </c>
      <c r="AF73" s="144" t="inlineStr">
        <is>
          <t>Faca</t>
        </is>
      </c>
      <c r="AG73" s="16" t="n"/>
      <c r="AH73" s="16" t="n"/>
      <c r="AI73" s="16" t="n"/>
      <c r="AJ73" s="16" t="n"/>
      <c r="AK73" s="16" t="n"/>
      <c r="AL73" s="17" t="n"/>
      <c r="AM73" s="95" t="b">
        <v>0</v>
      </c>
      <c r="AN73" s="144" t="inlineStr">
        <is>
          <t>Marreta</t>
        </is>
      </c>
      <c r="AO73" s="16" t="n"/>
      <c r="AP73" s="16" t="n"/>
      <c r="AQ73" s="16" t="n"/>
      <c r="AR73" s="16" t="n"/>
      <c r="AS73" s="16" t="n"/>
      <c r="AT73" s="17" t="n"/>
      <c r="AU73" s="137" t="n"/>
      <c r="AV73" s="137" t="n"/>
      <c r="AW73" s="144" t="n"/>
      <c r="AX73" s="144" t="n"/>
      <c r="AY73" s="95" t="n"/>
      <c r="AZ73" s="95" t="n"/>
      <c r="BA73" s="95">
        <f>IF($AX73="","",IFERROR(IF(ROUND(VLOOKUP($AX73,DADOS!$CL$5:$CM$10,2,FALSE)*IF($AY73="",1,VLOOKUP($AY73,DADOS!$CO$5:$CP$7,2,FALSE))*IF($AZ73="",1,VLOOKUP($AZ73,DADOS!$CR$5:$CS$15,2,FALSE)),4)&gt;0,MAX(1,FLOOR(ROUND(VLOOKUP($AX73,DADOS!$CL$5:$CM$10,2,FALSE)*IF($AY73="",1,VLOOKUP($AY73,DADOS!$CO$5:$CP$7,2,FALSE))*IF($AZ73="",1,VLOOKUP($AZ73,DADOS!$CR$5:$CS$15,2,FALSE)),4),1)),0),""))</f>
        <v/>
      </c>
      <c r="BB73" s="137" t="n"/>
      <c r="BC73" s="144" t="n"/>
      <c r="BD73" s="144" t="n"/>
      <c r="BE73" s="95" t="n"/>
      <c r="BF73" s="95" t="n"/>
      <c r="BG73" s="95">
        <f>IF($BD73="","",IFERROR(IF(ROUND(VLOOKUP($BD73,DADOS!$CL$5:$CM$10,2,FALSE)*IF($BE73="",1,VLOOKUP($BE73,DADOS!$CO$5:$CP$7,2,FALSE))*IF($BF73="",1,VLOOKUP($BF73,DADOS!$CR$5:$CS$15,2,FALSE)),4)&gt;0,MAX(1,FLOOR(ROUND(VLOOKUP($BD73,DADOS!$CL$5:$CM$10,2,FALSE)*IF($BE73="",1,VLOOKUP($BE73,DADOS!$CO$5:$CP$7,2,FALSE))*IF($BF73="",1,VLOOKUP($BF73,DADOS!$CR$5:$CS$15,2,FALSE)),4),1)),0),""))</f>
        <v/>
      </c>
      <c r="BH73" s="137" t="n"/>
      <c r="BI73" s="144" t="n"/>
      <c r="BJ73" s="144" t="n"/>
      <c r="BK73" s="95" t="n"/>
      <c r="BL73" s="95" t="n"/>
      <c r="BM73" s="95">
        <f>IF($BJ73="","",IFERROR(IF(ROUND(VLOOKUP($BJ73,DADOS!$CL$5:$CM$10,2,FALSE)*IF($BK73="",1,VLOOKUP($BK73,DADOS!$CO$5:$CP$7,2,FALSE))*IF($BL73="",1,VLOOKUP($BL73,DADOS!$CR$5:$CS$15,2,FALSE)),4)&gt;0,MAX(1,FLOOR(ROUND(VLOOKUP($BJ73,DADOS!$CL$5:$CM$10,2,FALSE)*IF($BK73="",1,VLOOKUP($BK73,DADOS!$CO$5:$CP$7,2,FALSE))*IF($BL73="",1,VLOOKUP($BL73,DADOS!$CR$5:$CS$15,2,FALSE)),4),1)),0),""))</f>
        <v/>
      </c>
      <c r="BN73" s="137" t="n"/>
      <c r="BO73" s="144" t="n"/>
      <c r="BP73" s="144" t="n"/>
      <c r="BQ73" s="95" t="n"/>
      <c r="BR73" s="95" t="n"/>
      <c r="BS73" s="95">
        <f>IF($BP73="","",IFERROR(IF(ROUND(VLOOKUP($BP73,DADOS!$CL$5:$CM$10,2,FALSE)*IF($BQ73="",1,VLOOKUP($BQ73,DADOS!$CO$5:$CP$7,2,FALSE))*IF($BR73="",1,VLOOKUP($BR73,DADOS!$CR$5:$CS$15,2,FALSE)),4)&gt;0,MAX(1,FLOOR(ROUND(VLOOKUP($BP73,DADOS!$CL$5:$CM$10,2,FALSE)*IF($BQ73="",1,VLOOKUP($BQ73,DADOS!$CO$5:$CP$7,2,FALSE))*IF($BR73="",1,VLOOKUP($BR73,DADOS!$CR$5:$CS$15,2,FALSE)),4),1)),0),""))</f>
        <v/>
      </c>
      <c r="BT73" s="137" t="n"/>
    </row>
    <row r="74" outlineLevel="1">
      <c r="A74" s="8" t="n"/>
      <c r="B74" s="14" t="n"/>
      <c r="C74" s="137" t="n"/>
      <c r="D74" s="95" t="b">
        <v>0</v>
      </c>
      <c r="E74" s="144" t="inlineStr">
        <is>
          <t>Katana</t>
        </is>
      </c>
      <c r="F74" s="16" t="n"/>
      <c r="G74" s="16" t="n"/>
      <c r="H74" s="16" t="n"/>
      <c r="I74" s="16" t="n"/>
      <c r="J74" s="16" t="n"/>
      <c r="K74" s="16" t="n"/>
      <c r="L74" s="17" t="n"/>
      <c r="M74" s="95" t="b">
        <v>0</v>
      </c>
      <c r="N74" s="144" t="inlineStr">
        <is>
          <t>Pistola</t>
        </is>
      </c>
      <c r="O74" s="16" t="n"/>
      <c r="P74" s="16" t="n"/>
      <c r="Q74" s="16" t="n"/>
      <c r="R74" s="16" t="n"/>
      <c r="S74" s="16" t="n"/>
      <c r="T74" s="16" t="n"/>
      <c r="U74" s="17" t="n"/>
      <c r="V74" s="95" t="b">
        <v>0</v>
      </c>
      <c r="W74" s="144" t="inlineStr">
        <is>
          <t>Cassetete</t>
        </is>
      </c>
      <c r="X74" s="16" t="n"/>
      <c r="Y74" s="16" t="n"/>
      <c r="Z74" s="16" t="n"/>
      <c r="AA74" s="16" t="n"/>
      <c r="AB74" s="16" t="n"/>
      <c r="AC74" s="16" t="n"/>
      <c r="AD74" s="17" t="n"/>
      <c r="AE74" s="95" t="b">
        <v>0</v>
      </c>
      <c r="AF74" s="144" t="inlineStr">
        <is>
          <t>Punhal</t>
        </is>
      </c>
      <c r="AG74" s="16" t="n"/>
      <c r="AH74" s="16" t="n"/>
      <c r="AI74" s="16" t="n"/>
      <c r="AJ74" s="16" t="n"/>
      <c r="AK74" s="16" t="n"/>
      <c r="AL74" s="17" t="n"/>
      <c r="AM74" s="95" t="b">
        <v>0</v>
      </c>
      <c r="AN74" s="144" t="inlineStr">
        <is>
          <t>Maul</t>
        </is>
      </c>
      <c r="AO74" s="16" t="n"/>
      <c r="AP74" s="16" t="n"/>
      <c r="AQ74" s="16" t="n"/>
      <c r="AR74" s="16" t="n"/>
      <c r="AS74" s="16" t="n"/>
      <c r="AT74" s="17" t="n"/>
      <c r="AU74" s="137" t="n"/>
      <c r="AV74" s="137" t="n"/>
      <c r="AW74" s="144" t="n"/>
      <c r="AX74" s="144" t="n"/>
      <c r="AY74" s="95" t="n"/>
      <c r="AZ74" s="95" t="n"/>
      <c r="BA74" s="95">
        <f>IF($AX74="","",IFERROR(IF(ROUND(VLOOKUP($AX74,DADOS!$CL$5:$CM$10,2,FALSE)*IF($AY74="",1,VLOOKUP($AY74,DADOS!$CO$5:$CP$7,2,FALSE))*IF($AZ74="",1,VLOOKUP($AZ74,DADOS!$CR$5:$CS$15,2,FALSE)),4)&gt;0,MAX(1,FLOOR(ROUND(VLOOKUP($AX74,DADOS!$CL$5:$CM$10,2,FALSE)*IF($AY74="",1,VLOOKUP($AY74,DADOS!$CO$5:$CP$7,2,FALSE))*IF($AZ74="",1,VLOOKUP($AZ74,DADOS!$CR$5:$CS$15,2,FALSE)),4),1)),0),""))</f>
        <v/>
      </c>
      <c r="BB74" s="137" t="n"/>
      <c r="BC74" s="144" t="n"/>
      <c r="BD74" s="144" t="n"/>
      <c r="BE74" s="95" t="n"/>
      <c r="BF74" s="95" t="n"/>
      <c r="BG74" s="95">
        <f>IF($BD74="","",IFERROR(IF(ROUND(VLOOKUP($BD74,DADOS!$CL$5:$CM$10,2,FALSE)*IF($BE74="",1,VLOOKUP($BE74,DADOS!$CO$5:$CP$7,2,FALSE))*IF($BF74="",1,VLOOKUP($BF74,DADOS!$CR$5:$CS$15,2,FALSE)),4)&gt;0,MAX(1,FLOOR(ROUND(VLOOKUP($BD74,DADOS!$CL$5:$CM$10,2,FALSE)*IF($BE74="",1,VLOOKUP($BE74,DADOS!$CO$5:$CP$7,2,FALSE))*IF($BF74="",1,VLOOKUP($BF74,DADOS!$CR$5:$CS$15,2,FALSE)),4),1)),0),""))</f>
        <v/>
      </c>
      <c r="BH74" s="137" t="n"/>
      <c r="BI74" s="144" t="n"/>
      <c r="BJ74" s="144" t="n"/>
      <c r="BK74" s="95" t="n"/>
      <c r="BL74" s="95" t="n"/>
      <c r="BM74" s="95">
        <f>IF($BJ74="","",IFERROR(IF(ROUND(VLOOKUP($BJ74,DADOS!$CL$5:$CM$10,2,FALSE)*IF($BK74="",1,VLOOKUP($BK74,DADOS!$CO$5:$CP$7,2,FALSE))*IF($BL74="",1,VLOOKUP($BL74,DADOS!$CR$5:$CS$15,2,FALSE)),4)&gt;0,MAX(1,FLOOR(ROUND(VLOOKUP($BJ74,DADOS!$CL$5:$CM$10,2,FALSE)*IF($BK74="",1,VLOOKUP($BK74,DADOS!$CO$5:$CP$7,2,FALSE))*IF($BL74="",1,VLOOKUP($BL74,DADOS!$CR$5:$CS$15,2,FALSE)),4),1)),0),""))</f>
        <v/>
      </c>
      <c r="BN74" s="137" t="n"/>
      <c r="BO74" s="144" t="n"/>
      <c r="BP74" s="144" t="n"/>
      <c r="BQ74" s="95" t="n"/>
      <c r="BR74" s="95" t="n"/>
      <c r="BS74" s="95">
        <f>IF($BP74="","",IFERROR(IF(ROUND(VLOOKUP($BP74,DADOS!$CL$5:$CM$10,2,FALSE)*IF($BQ74="",1,VLOOKUP($BQ74,DADOS!$CO$5:$CP$7,2,FALSE))*IF($BR74="",1,VLOOKUP($BR74,DADOS!$CR$5:$CS$15,2,FALSE)),4)&gt;0,MAX(1,FLOOR(ROUND(VLOOKUP($BP74,DADOS!$CL$5:$CM$10,2,FALSE)*IF($BQ74="",1,VLOOKUP($BQ74,DADOS!$CO$5:$CP$7,2,FALSE))*IF($BR74="",1,VLOOKUP($BR74,DADOS!$CR$5:$CS$15,2,FALSE)),4),1)),0),""))</f>
        <v/>
      </c>
      <c r="BT74" s="137" t="n"/>
    </row>
    <row r="75" outlineLevel="1">
      <c r="A75" s="8" t="n"/>
      <c r="B75" s="14" t="n"/>
      <c r="C75" s="137" t="n"/>
      <c r="D75" s="95" t="b">
        <v>0</v>
      </c>
      <c r="E75" s="144" t="inlineStr">
        <is>
          <t>Machete</t>
        </is>
      </c>
      <c r="F75" s="16" t="n"/>
      <c r="G75" s="16" t="n"/>
      <c r="H75" s="16" t="n"/>
      <c r="I75" s="16" t="n"/>
      <c r="J75" s="16" t="n"/>
      <c r="K75" s="16" t="n"/>
      <c r="L75" s="17" t="n"/>
      <c r="M75" s="95" t="b">
        <v>0</v>
      </c>
      <c r="N75" s="144" t="inlineStr">
        <is>
          <t>Revólver</t>
        </is>
      </c>
      <c r="O75" s="16" t="n"/>
      <c r="P75" s="16" t="n"/>
      <c r="Q75" s="16" t="n"/>
      <c r="R75" s="16" t="n"/>
      <c r="S75" s="16" t="n"/>
      <c r="T75" s="16" t="n"/>
      <c r="U75" s="17" t="n"/>
      <c r="V75" s="95" t="b">
        <v>0</v>
      </c>
      <c r="W75" s="144" t="inlineStr">
        <is>
          <t>Nunchaku</t>
        </is>
      </c>
      <c r="X75" s="16" t="n"/>
      <c r="Y75" s="16" t="n"/>
      <c r="Z75" s="16" t="n"/>
      <c r="AA75" s="16" t="n"/>
      <c r="AB75" s="16" t="n"/>
      <c r="AC75" s="16" t="n"/>
      <c r="AD75" s="17" t="n"/>
      <c r="AE75" s="95" t="b">
        <v>0</v>
      </c>
      <c r="AF75" s="144" t="inlineStr">
        <is>
          <t>Sai</t>
        </is>
      </c>
      <c r="AG75" s="16" t="n"/>
      <c r="AH75" s="16" t="n"/>
      <c r="AI75" s="16" t="n"/>
      <c r="AJ75" s="16" t="n"/>
      <c r="AK75" s="16" t="n"/>
      <c r="AL75" s="17" t="n"/>
      <c r="AM75" s="95" t="b">
        <v>0</v>
      </c>
      <c r="AN75" s="144" t="inlineStr">
        <is>
          <t>Maça</t>
        </is>
      </c>
      <c r="AO75" s="16" t="n"/>
      <c r="AP75" s="16" t="n"/>
      <c r="AQ75" s="16" t="n"/>
      <c r="AR75" s="16" t="n"/>
      <c r="AS75" s="16" t="n"/>
      <c r="AT75" s="17" t="n"/>
      <c r="AU75" s="137" t="n"/>
      <c r="AV75" s="137" t="n"/>
      <c r="AW75" s="144" t="n"/>
      <c r="AX75" s="144" t="n"/>
      <c r="AY75" s="95" t="n"/>
      <c r="AZ75" s="95" t="n"/>
      <c r="BA75" s="95">
        <f>IF($AX75="","",IFERROR(IF(ROUND(VLOOKUP($AX75,DADOS!$CL$5:$CM$10,2,FALSE)*IF($AY75="",1,VLOOKUP($AY75,DADOS!$CO$5:$CP$7,2,FALSE))*IF($AZ75="",1,VLOOKUP($AZ75,DADOS!$CR$5:$CS$15,2,FALSE)),4)&gt;0,MAX(1,FLOOR(ROUND(VLOOKUP($AX75,DADOS!$CL$5:$CM$10,2,FALSE)*IF($AY75="",1,VLOOKUP($AY75,DADOS!$CO$5:$CP$7,2,FALSE))*IF($AZ75="",1,VLOOKUP($AZ75,DADOS!$CR$5:$CS$15,2,FALSE)),4),1)),0),""))</f>
        <v/>
      </c>
      <c r="BB75" s="137" t="n"/>
      <c r="BC75" s="144" t="n"/>
      <c r="BD75" s="144" t="n"/>
      <c r="BE75" s="95" t="n"/>
      <c r="BF75" s="95" t="n"/>
      <c r="BG75" s="95">
        <f>IF($BD75="","",IFERROR(IF(ROUND(VLOOKUP($BD75,DADOS!$CL$5:$CM$10,2,FALSE)*IF($BE75="",1,VLOOKUP($BE75,DADOS!$CO$5:$CP$7,2,FALSE))*IF($BF75="",1,VLOOKUP($BF75,DADOS!$CR$5:$CS$15,2,FALSE)),4)&gt;0,MAX(1,FLOOR(ROUND(VLOOKUP($BD75,DADOS!$CL$5:$CM$10,2,FALSE)*IF($BE75="",1,VLOOKUP($BE75,DADOS!$CO$5:$CP$7,2,FALSE))*IF($BF75="",1,VLOOKUP($BF75,DADOS!$CR$5:$CS$15,2,FALSE)),4),1)),0),""))</f>
        <v/>
      </c>
      <c r="BH75" s="137" t="n"/>
      <c r="BI75" s="144" t="n"/>
      <c r="BJ75" s="144" t="n"/>
      <c r="BK75" s="95" t="n"/>
      <c r="BL75" s="95" t="n"/>
      <c r="BM75" s="95">
        <f>IF($BJ75="","",IFERROR(IF(ROUND(VLOOKUP($BJ75,DADOS!$CL$5:$CM$10,2,FALSE)*IF($BK75="",1,VLOOKUP($BK75,DADOS!$CO$5:$CP$7,2,FALSE))*IF($BL75="",1,VLOOKUP($BL75,DADOS!$CR$5:$CS$15,2,FALSE)),4)&gt;0,MAX(1,FLOOR(ROUND(VLOOKUP($BJ75,DADOS!$CL$5:$CM$10,2,FALSE)*IF($BK75="",1,VLOOKUP($BK75,DADOS!$CO$5:$CP$7,2,FALSE))*IF($BL75="",1,VLOOKUP($BL75,DADOS!$CR$5:$CS$15,2,FALSE)),4),1)),0),""))</f>
        <v/>
      </c>
      <c r="BN75" s="137" t="n"/>
      <c r="BO75" s="144" t="n"/>
      <c r="BP75" s="144" t="n"/>
      <c r="BQ75" s="95" t="n"/>
      <c r="BR75" s="95" t="n"/>
      <c r="BS75" s="95">
        <f>IF($BP75="","",IFERROR(IF(ROUND(VLOOKUP($BP75,DADOS!$CL$5:$CM$10,2,FALSE)*IF($BQ75="",1,VLOOKUP($BQ75,DADOS!$CO$5:$CP$7,2,FALSE))*IF($BR75="",1,VLOOKUP($BR75,DADOS!$CR$5:$CS$15,2,FALSE)),4)&gt;0,MAX(1,FLOOR(ROUND(VLOOKUP($BP75,DADOS!$CL$5:$CM$10,2,FALSE)*IF($BQ75="",1,VLOOKUP($BQ75,DADOS!$CO$5:$CP$7,2,FALSE))*IF($BR75="",1,VLOOKUP($BR75,DADOS!$CR$5:$CS$15,2,FALSE)),4),1)),0),""))</f>
        <v/>
      </c>
      <c r="BT75" s="137" t="n"/>
    </row>
    <row r="76" outlineLevel="1">
      <c r="A76" s="8" t="n"/>
      <c r="B76" s="14" t="n"/>
      <c r="C76" s="137" t="n"/>
      <c r="D76" s="95" t="b">
        <v>0</v>
      </c>
      <c r="E76" s="144" t="inlineStr">
        <is>
          <t>Nodachi</t>
        </is>
      </c>
      <c r="F76" s="16" t="n"/>
      <c r="G76" s="16" t="n"/>
      <c r="H76" s="16" t="n"/>
      <c r="I76" s="16" t="n"/>
      <c r="J76" s="16" t="n"/>
      <c r="K76" s="16" t="n"/>
      <c r="L76" s="17" t="n"/>
      <c r="M76" s="95" t="b">
        <v>0</v>
      </c>
      <c r="N76" s="144" t="inlineStr">
        <is>
          <t>Rifle</t>
        </is>
      </c>
      <c r="O76" s="16" t="n"/>
      <c r="P76" s="16" t="n"/>
      <c r="Q76" s="16" t="n"/>
      <c r="R76" s="16" t="n"/>
      <c r="S76" s="16" t="n"/>
      <c r="T76" s="16" t="n"/>
      <c r="U76" s="17" t="n"/>
      <c r="V76" s="95" t="b">
        <v>0</v>
      </c>
      <c r="W76" s="144" t="inlineStr">
        <is>
          <t>Tonfa</t>
        </is>
      </c>
      <c r="X76" s="16" t="n"/>
      <c r="Y76" s="16" t="n"/>
      <c r="Z76" s="16" t="n"/>
      <c r="AA76" s="16" t="n"/>
      <c r="AB76" s="16" t="n"/>
      <c r="AC76" s="16" t="n"/>
      <c r="AD76" s="17" t="n"/>
      <c r="AE76" s="95" t="b">
        <v>0</v>
      </c>
      <c r="AF76" s="144" t="inlineStr">
        <is>
          <t>Tanto</t>
        </is>
      </c>
      <c r="AG76" s="16" t="n"/>
      <c r="AH76" s="16" t="n"/>
      <c r="AI76" s="16" t="n"/>
      <c r="AJ76" s="16" t="n"/>
      <c r="AK76" s="16" t="n"/>
      <c r="AL76" s="17" t="n"/>
      <c r="AM76" s="95" t="b">
        <v>0</v>
      </c>
      <c r="AN76" s="144" t="inlineStr">
        <is>
          <t>Taco</t>
        </is>
      </c>
      <c r="AO76" s="16" t="n"/>
      <c r="AP76" s="16" t="n"/>
      <c r="AQ76" s="16" t="n"/>
      <c r="AR76" s="16" t="n"/>
      <c r="AS76" s="16" t="n"/>
      <c r="AT76" s="17" t="n"/>
      <c r="AU76" s="137" t="n"/>
      <c r="AV76" s="137" t="n"/>
      <c r="AW76" s="144" t="n"/>
      <c r="AX76" s="144" t="n"/>
      <c r="AY76" s="95" t="n"/>
      <c r="AZ76" s="95" t="n"/>
      <c r="BA76" s="95">
        <f>IF($AX76="","",IFERROR(IF(ROUND(VLOOKUP($AX76,DADOS!$CL$5:$CM$10,2,FALSE)*IF($AY76="",1,VLOOKUP($AY76,DADOS!$CO$5:$CP$7,2,FALSE))*IF($AZ76="",1,VLOOKUP($AZ76,DADOS!$CR$5:$CS$15,2,FALSE)),4)&gt;0,MAX(1,FLOOR(ROUND(VLOOKUP($AX76,DADOS!$CL$5:$CM$10,2,FALSE)*IF($AY76="",1,VLOOKUP($AY76,DADOS!$CO$5:$CP$7,2,FALSE))*IF($AZ76="",1,VLOOKUP($AZ76,DADOS!$CR$5:$CS$15,2,FALSE)),4),1)),0),""))</f>
        <v/>
      </c>
      <c r="BB76" s="137" t="n"/>
      <c r="BC76" s="144" t="n"/>
      <c r="BD76" s="144" t="n"/>
      <c r="BE76" s="95" t="n"/>
      <c r="BF76" s="95" t="n"/>
      <c r="BG76" s="95">
        <f>IF($BD76="","",IFERROR(IF(ROUND(VLOOKUP($BD76,DADOS!$CL$5:$CM$10,2,FALSE)*IF($BE76="",1,VLOOKUP($BE76,DADOS!$CO$5:$CP$7,2,FALSE))*IF($BF76="",1,VLOOKUP($BF76,DADOS!$CR$5:$CS$15,2,FALSE)),4)&gt;0,MAX(1,FLOOR(ROUND(VLOOKUP($BD76,DADOS!$CL$5:$CM$10,2,FALSE)*IF($BE76="",1,VLOOKUP($BE76,DADOS!$CO$5:$CP$7,2,FALSE))*IF($BF76="",1,VLOOKUP($BF76,DADOS!$CR$5:$CS$15,2,FALSE)),4),1)),0),""))</f>
        <v/>
      </c>
      <c r="BH76" s="137" t="n"/>
      <c r="BI76" s="144" t="n"/>
      <c r="BJ76" s="144" t="n"/>
      <c r="BK76" s="95" t="n"/>
      <c r="BL76" s="95" t="n"/>
      <c r="BM76" s="95">
        <f>IF($BJ76="","",IFERROR(IF(ROUND(VLOOKUP($BJ76,DADOS!$CL$5:$CM$10,2,FALSE)*IF($BK76="",1,VLOOKUP($BK76,DADOS!$CO$5:$CP$7,2,FALSE))*IF($BL76="",1,VLOOKUP($BL76,DADOS!$CR$5:$CS$15,2,FALSE)),4)&gt;0,MAX(1,FLOOR(ROUND(VLOOKUP($BJ76,DADOS!$CL$5:$CM$10,2,FALSE)*IF($BK76="",1,VLOOKUP($BK76,DADOS!$CO$5:$CP$7,2,FALSE))*IF($BL76="",1,VLOOKUP($BL76,DADOS!$CR$5:$CS$15,2,FALSE)),4),1)),0),""))</f>
        <v/>
      </c>
      <c r="BN76" s="137" t="n"/>
      <c r="BO76" s="144" t="n"/>
      <c r="BP76" s="144" t="n"/>
      <c r="BQ76" s="95" t="n"/>
      <c r="BR76" s="95" t="n"/>
      <c r="BS76" s="95">
        <f>IF($BP76="","",IFERROR(IF(ROUND(VLOOKUP($BP76,DADOS!$CL$5:$CM$10,2,FALSE)*IF($BQ76="",1,VLOOKUP($BQ76,DADOS!$CO$5:$CP$7,2,FALSE))*IF($BR76="",1,VLOOKUP($BR76,DADOS!$CR$5:$CS$15,2,FALSE)),4)&gt;0,MAX(1,FLOOR(ROUND(VLOOKUP($BP76,DADOS!$CL$5:$CM$10,2,FALSE)*IF($BQ76="",1,VLOOKUP($BQ76,DADOS!$CO$5:$CP$7,2,FALSE))*IF($BR76="",1,VLOOKUP($BR76,DADOS!$CR$5:$CS$15,2,FALSE)),4),1)),0),""))</f>
        <v/>
      </c>
      <c r="BT76" s="137" t="n"/>
    </row>
    <row r="77" outlineLevel="1">
      <c r="A77" s="8" t="n"/>
      <c r="B77" s="14" t="n"/>
      <c r="C77" s="137" t="n"/>
      <c r="D77" s="95" t="b">
        <v>0</v>
      </c>
      <c r="E77" s="144" t="inlineStr">
        <is>
          <t>Odachi</t>
        </is>
      </c>
      <c r="F77" s="16" t="n"/>
      <c r="G77" s="16" t="n"/>
      <c r="H77" s="16" t="n"/>
      <c r="I77" s="16" t="n"/>
      <c r="J77" s="16" t="n"/>
      <c r="K77" s="16" t="n"/>
      <c r="L77" s="17" t="n"/>
      <c r="M77" s="95" t="b">
        <v>0</v>
      </c>
      <c r="N77" s="144" t="inlineStr">
        <is>
          <t>Rifle de Precisão</t>
        </is>
      </c>
      <c r="O77" s="16" t="n"/>
      <c r="P77" s="16" t="n"/>
      <c r="Q77" s="16" t="n"/>
      <c r="R77" s="16" t="n"/>
      <c r="S77" s="16" t="n"/>
      <c r="T77" s="16" t="n"/>
      <c r="U77" s="17" t="n"/>
      <c r="V77" s="56" t="b">
        <v>0</v>
      </c>
      <c r="W77" s="56" t="inlineStr">
        <is>
          <t>CEIFA</t>
        </is>
      </c>
      <c r="X77" s="16" t="n"/>
      <c r="Y77" s="16" t="n"/>
      <c r="Z77" s="16" t="n"/>
      <c r="AA77" s="16" t="n"/>
      <c r="AB77" s="16" t="n"/>
      <c r="AC77" s="16" t="n"/>
      <c r="AD77" s="17" t="n"/>
      <c r="AE77" s="56" t="b">
        <v>0</v>
      </c>
      <c r="AF77" s="56" t="inlineStr">
        <is>
          <t>FLEXÍVEL</t>
        </is>
      </c>
      <c r="AG77" s="16" t="n"/>
      <c r="AH77" s="16" t="n"/>
      <c r="AI77" s="16" t="n"/>
      <c r="AJ77" s="16" t="n"/>
      <c r="AK77" s="16" t="n"/>
      <c r="AL77" s="17" t="n"/>
      <c r="AM77" s="56" t="b">
        <v>0</v>
      </c>
      <c r="AN77" s="56" t="inlineStr">
        <is>
          <t>ARMAS LONGAS</t>
        </is>
      </c>
      <c r="AO77" s="16" t="n"/>
      <c r="AP77" s="16" t="n"/>
      <c r="AQ77" s="16" t="n"/>
      <c r="AR77" s="16" t="n"/>
      <c r="AS77" s="16" t="n"/>
      <c r="AT77" s="17" t="n"/>
      <c r="AU77" s="137" t="n"/>
      <c r="AV77" s="137" t="n"/>
      <c r="AW77" s="144" t="n"/>
      <c r="AX77" s="144" t="n"/>
      <c r="AY77" s="95" t="n"/>
      <c r="AZ77" s="95" t="n"/>
      <c r="BA77" s="95">
        <f>IF($AX77="","",IFERROR(IF(ROUND(VLOOKUP($AX77,DADOS!$CL$5:$CM$10,2,FALSE)*IF($AY77="",1,VLOOKUP($AY77,DADOS!$CO$5:$CP$7,2,FALSE))*IF($AZ77="",1,VLOOKUP($AZ77,DADOS!$CR$5:$CS$15,2,FALSE)),4)&gt;0,MAX(1,FLOOR(ROUND(VLOOKUP($AX77,DADOS!$CL$5:$CM$10,2,FALSE)*IF($AY77="",1,VLOOKUP($AY77,DADOS!$CO$5:$CP$7,2,FALSE))*IF($AZ77="",1,VLOOKUP($AZ77,DADOS!$CR$5:$CS$15,2,FALSE)),4),1)),0),""))</f>
        <v/>
      </c>
      <c r="BB77" s="137" t="n"/>
      <c r="BC77" s="144" t="n"/>
      <c r="BD77" s="144" t="n"/>
      <c r="BE77" s="95" t="n"/>
      <c r="BF77" s="95" t="n"/>
      <c r="BG77" s="95">
        <f>IF($BD77="","",IFERROR(IF(ROUND(VLOOKUP($BD77,DADOS!$CL$5:$CM$10,2,FALSE)*IF($BE77="",1,VLOOKUP($BE77,DADOS!$CO$5:$CP$7,2,FALSE))*IF($BF77="",1,VLOOKUP($BF77,DADOS!$CR$5:$CS$15,2,FALSE)),4)&gt;0,MAX(1,FLOOR(ROUND(VLOOKUP($BD77,DADOS!$CL$5:$CM$10,2,FALSE)*IF($BE77="",1,VLOOKUP($BE77,DADOS!$CO$5:$CP$7,2,FALSE))*IF($BF77="",1,VLOOKUP($BF77,DADOS!$CR$5:$CS$15,2,FALSE)),4),1)),0),""))</f>
        <v/>
      </c>
      <c r="BH77" s="137" t="n"/>
      <c r="BI77" s="144" t="n"/>
      <c r="BJ77" s="144" t="n"/>
      <c r="BK77" s="95" t="n"/>
      <c r="BL77" s="95" t="n"/>
      <c r="BM77" s="95">
        <f>IF($BJ77="","",IFERROR(IF(ROUND(VLOOKUP($BJ77,DADOS!$CL$5:$CM$10,2,FALSE)*IF($BK77="",1,VLOOKUP($BK77,DADOS!$CO$5:$CP$7,2,FALSE))*IF($BL77="",1,VLOOKUP($BL77,DADOS!$CR$5:$CS$15,2,FALSE)),4)&gt;0,MAX(1,FLOOR(ROUND(VLOOKUP($BJ77,DADOS!$CL$5:$CM$10,2,FALSE)*IF($BK77="",1,VLOOKUP($BK77,DADOS!$CO$5:$CP$7,2,FALSE))*IF($BL77="",1,VLOOKUP($BL77,DADOS!$CR$5:$CS$15,2,FALSE)),4),1)),0),""))</f>
        <v/>
      </c>
      <c r="BN77" s="137" t="n"/>
      <c r="BO77" s="144" t="n"/>
      <c r="BP77" s="144" t="n"/>
      <c r="BQ77" s="95" t="n"/>
      <c r="BR77" s="95" t="n"/>
      <c r="BS77" s="95">
        <f>IF($BP77="","",IFERROR(IF(ROUND(VLOOKUP($BP77,DADOS!$CL$5:$CM$10,2,FALSE)*IF($BQ77="",1,VLOOKUP($BQ77,DADOS!$CO$5:$CP$7,2,FALSE))*IF($BR77="",1,VLOOKUP($BR77,DADOS!$CR$5:$CS$15,2,FALSE)),4)&gt;0,MAX(1,FLOOR(ROUND(VLOOKUP($BP77,DADOS!$CL$5:$CM$10,2,FALSE)*IF($BQ77="",1,VLOOKUP($BQ77,DADOS!$CO$5:$CP$7,2,FALSE))*IF($BR77="",1,VLOOKUP($BR77,DADOS!$CR$5:$CS$15,2,FALSE)),4),1)),0),""))</f>
        <v/>
      </c>
      <c r="BT77" s="137" t="n"/>
    </row>
    <row r="78" outlineLevel="1">
      <c r="A78" s="8" t="n"/>
      <c r="B78" s="14" t="n"/>
      <c r="C78" s="137" t="n"/>
      <c r="D78" s="95" t="b">
        <v>0</v>
      </c>
      <c r="E78" s="144" t="inlineStr">
        <is>
          <t>Rapieira</t>
        </is>
      </c>
      <c r="F78" s="16" t="n"/>
      <c r="G78" s="16" t="n"/>
      <c r="H78" s="16" t="n"/>
      <c r="I78" s="16" t="n"/>
      <c r="J78" s="16" t="n"/>
      <c r="K78" s="16" t="n"/>
      <c r="L78" s="17" t="n"/>
      <c r="M78" s="95" t="b">
        <v>0</v>
      </c>
      <c r="N78" s="144" t="inlineStr">
        <is>
          <t>Submetralhadora</t>
        </is>
      </c>
      <c r="O78" s="16" t="n"/>
      <c r="P78" s="16" t="n"/>
      <c r="Q78" s="16" t="n"/>
      <c r="R78" s="16" t="n"/>
      <c r="S78" s="16" t="n"/>
      <c r="T78" s="16" t="n"/>
      <c r="U78" s="17" t="n"/>
      <c r="V78" s="95" t="b">
        <v>0</v>
      </c>
      <c r="W78" s="144" t="inlineStr">
        <is>
          <t>Foice</t>
        </is>
      </c>
      <c r="X78" s="16" t="n"/>
      <c r="Y78" s="16" t="n"/>
      <c r="Z78" s="16" t="n"/>
      <c r="AA78" s="16" t="n"/>
      <c r="AB78" s="16" t="n"/>
      <c r="AC78" s="16" t="n"/>
      <c r="AD78" s="17" t="n"/>
      <c r="AE78" s="95" t="b">
        <v>0</v>
      </c>
      <c r="AF78" s="144" t="inlineStr">
        <is>
          <t>Chicote</t>
        </is>
      </c>
      <c r="AG78" s="16" t="n"/>
      <c r="AH78" s="16" t="n"/>
      <c r="AI78" s="16" t="n"/>
      <c r="AJ78" s="16" t="n"/>
      <c r="AK78" s="16" t="n"/>
      <c r="AL78" s="17" t="n"/>
      <c r="AM78" s="95" t="b">
        <v>0</v>
      </c>
      <c r="AN78" s="144" t="inlineStr">
        <is>
          <t>Lança</t>
        </is>
      </c>
      <c r="AO78" s="16" t="n"/>
      <c r="AP78" s="16" t="n"/>
      <c r="AQ78" s="16" t="n"/>
      <c r="AR78" s="16" t="n"/>
      <c r="AS78" s="16" t="n"/>
      <c r="AT78" s="17" t="n"/>
      <c r="AU78" s="137" t="n"/>
      <c r="AV78" s="137" t="n"/>
      <c r="AW78" s="144" t="n"/>
      <c r="AX78" s="144" t="n"/>
      <c r="AY78" s="95" t="n"/>
      <c r="AZ78" s="95" t="n"/>
      <c r="BA78" s="95">
        <f>IF($AX78="","",IFERROR(IF(ROUND(VLOOKUP($AX78,DADOS!$CL$5:$CM$10,2,FALSE)*IF($AY78="",1,VLOOKUP($AY78,DADOS!$CO$5:$CP$7,2,FALSE))*IF($AZ78="",1,VLOOKUP($AZ78,DADOS!$CR$5:$CS$15,2,FALSE)),4)&gt;0,MAX(1,FLOOR(ROUND(VLOOKUP($AX78,DADOS!$CL$5:$CM$10,2,FALSE)*IF($AY78="",1,VLOOKUP($AY78,DADOS!$CO$5:$CP$7,2,FALSE))*IF($AZ78="",1,VLOOKUP($AZ78,DADOS!$CR$5:$CS$15,2,FALSE)),4),1)),0),""))</f>
        <v/>
      </c>
      <c r="BB78" s="137" t="n"/>
      <c r="BC78" s="144" t="n"/>
      <c r="BD78" s="144" t="n"/>
      <c r="BE78" s="95" t="n"/>
      <c r="BF78" s="95" t="n"/>
      <c r="BG78" s="95">
        <f>IF($BD78="","",IFERROR(IF(ROUND(VLOOKUP($BD78,DADOS!$CL$5:$CM$10,2,FALSE)*IF($BE78="",1,VLOOKUP($BE78,DADOS!$CO$5:$CP$7,2,FALSE))*IF($BF78="",1,VLOOKUP($BF78,DADOS!$CR$5:$CS$15,2,FALSE)),4)&gt;0,MAX(1,FLOOR(ROUND(VLOOKUP($BD78,DADOS!$CL$5:$CM$10,2,FALSE)*IF($BE78="",1,VLOOKUP($BE78,DADOS!$CO$5:$CP$7,2,FALSE))*IF($BF78="",1,VLOOKUP($BF78,DADOS!$CR$5:$CS$15,2,FALSE)),4),1)),0),""))</f>
        <v/>
      </c>
      <c r="BH78" s="137" t="n"/>
      <c r="BI78" s="144" t="n"/>
      <c r="BJ78" s="144" t="n"/>
      <c r="BK78" s="95" t="n"/>
      <c r="BL78" s="95" t="n"/>
      <c r="BM78" s="95">
        <f>IF($BJ78="","",IFERROR(IF(ROUND(VLOOKUP($BJ78,DADOS!$CL$5:$CM$10,2,FALSE)*IF($BK78="",1,VLOOKUP($BK78,DADOS!$CO$5:$CP$7,2,FALSE))*IF($BL78="",1,VLOOKUP($BL78,DADOS!$CR$5:$CS$15,2,FALSE)),4)&gt;0,MAX(1,FLOOR(ROUND(VLOOKUP($BJ78,DADOS!$CL$5:$CM$10,2,FALSE)*IF($BK78="",1,VLOOKUP($BK78,DADOS!$CO$5:$CP$7,2,FALSE))*IF($BL78="",1,VLOOKUP($BL78,DADOS!$CR$5:$CS$15,2,FALSE)),4),1)),0),""))</f>
        <v/>
      </c>
      <c r="BN78" s="137" t="n"/>
      <c r="BO78" s="144" t="n"/>
      <c r="BP78" s="144" t="n"/>
      <c r="BQ78" s="95" t="n"/>
      <c r="BR78" s="95" t="n"/>
      <c r="BS78" s="95">
        <f>IF($BP78="","",IFERROR(IF(ROUND(VLOOKUP($BP78,DADOS!$CL$5:$CM$10,2,FALSE)*IF($BQ78="",1,VLOOKUP($BQ78,DADOS!$CO$5:$CP$7,2,FALSE))*IF($BR78="",1,VLOOKUP($BR78,DADOS!$CR$5:$CS$15,2,FALSE)),4)&gt;0,MAX(1,FLOOR(ROUND(VLOOKUP($BP78,DADOS!$CL$5:$CM$10,2,FALSE)*IF($BQ78="",1,VLOOKUP($BQ78,DADOS!$CO$5:$CP$7,2,FALSE))*IF($BR78="",1,VLOOKUP($BR78,DADOS!$CR$5:$CS$15,2,FALSE)),4),1)),0),""))</f>
        <v/>
      </c>
      <c r="BT78" s="137" t="n"/>
    </row>
    <row r="79" outlineLevel="1">
      <c r="A79" s="8" t="n"/>
      <c r="B79" s="14" t="n"/>
      <c r="C79" s="137" t="n"/>
      <c r="D79" s="95" t="b">
        <v>0</v>
      </c>
      <c r="E79" s="144" t="inlineStr">
        <is>
          <t>Wakizashi</t>
        </is>
      </c>
      <c r="F79" s="16" t="n"/>
      <c r="G79" s="16" t="n"/>
      <c r="H79" s="16" t="n"/>
      <c r="I79" s="16" t="n"/>
      <c r="J79" s="16" t="n"/>
      <c r="K79" s="16" t="n"/>
      <c r="L79" s="17" t="n"/>
      <c r="M79" s="56" t="b">
        <v>0</v>
      </c>
      <c r="N79" s="56" t="inlineStr">
        <is>
          <t>ARREMESSO</t>
        </is>
      </c>
      <c r="O79" s="16" t="n"/>
      <c r="P79" s="16" t="n"/>
      <c r="Q79" s="16" t="n"/>
      <c r="R79" s="16" t="n"/>
      <c r="S79" s="16" t="n"/>
      <c r="T79" s="16" t="n"/>
      <c r="U79" s="17" t="n"/>
      <c r="V79" s="95" t="b">
        <v>0</v>
      </c>
      <c r="W79" s="144" t="inlineStr">
        <is>
          <t>Kama</t>
        </is>
      </c>
      <c r="X79" s="16" t="n"/>
      <c r="Y79" s="16" t="n"/>
      <c r="Z79" s="16" t="n"/>
      <c r="AA79" s="16" t="n"/>
      <c r="AB79" s="16" t="n"/>
      <c r="AC79" s="16" t="n"/>
      <c r="AD79" s="17" t="n"/>
      <c r="AE79" s="95" t="b">
        <v>0</v>
      </c>
      <c r="AF79" s="144" t="inlineStr">
        <is>
          <t>Corrente</t>
        </is>
      </c>
      <c r="AG79" s="16" t="n"/>
      <c r="AH79" s="16" t="n"/>
      <c r="AI79" s="16" t="n"/>
      <c r="AJ79" s="16" t="n"/>
      <c r="AK79" s="16" t="n"/>
      <c r="AL79" s="17" t="n"/>
      <c r="AM79" s="95" t="b">
        <v>0</v>
      </c>
      <c r="AN79" s="144" t="inlineStr">
        <is>
          <t>Naginata</t>
        </is>
      </c>
      <c r="AO79" s="16" t="n"/>
      <c r="AP79" s="16" t="n"/>
      <c r="AQ79" s="16" t="n"/>
      <c r="AR79" s="16" t="n"/>
      <c r="AS79" s="16" t="n"/>
      <c r="AT79" s="17" t="n"/>
      <c r="AU79" s="137" t="n"/>
      <c r="AV79" s="137" t="n"/>
      <c r="AW79" s="144" t="n"/>
      <c r="AX79" s="144" t="n"/>
      <c r="AY79" s="95" t="n"/>
      <c r="AZ79" s="95" t="n"/>
      <c r="BA79" s="95">
        <f>IF($AX79="","",IFERROR(IF(ROUND(VLOOKUP($AX79,DADOS!$CL$5:$CM$10,2,FALSE)*IF($AY79="",1,VLOOKUP($AY79,DADOS!$CO$5:$CP$7,2,FALSE))*IF($AZ79="",1,VLOOKUP($AZ79,DADOS!$CR$5:$CS$15,2,FALSE)),4)&gt;0,MAX(1,FLOOR(ROUND(VLOOKUP($AX79,DADOS!$CL$5:$CM$10,2,FALSE)*IF($AY79="",1,VLOOKUP($AY79,DADOS!$CO$5:$CP$7,2,FALSE))*IF($AZ79="",1,VLOOKUP($AZ79,DADOS!$CR$5:$CS$15,2,FALSE)),4),1)),0),""))</f>
        <v/>
      </c>
      <c r="BB79" s="137" t="n"/>
      <c r="BC79" s="144" t="n"/>
      <c r="BD79" s="144" t="n"/>
      <c r="BE79" s="95" t="n"/>
      <c r="BF79" s="95" t="n"/>
      <c r="BG79" s="95">
        <f>IF($BD79="","",IFERROR(IF(ROUND(VLOOKUP($BD79,DADOS!$CL$5:$CM$10,2,FALSE)*IF($BE79="",1,VLOOKUP($BE79,DADOS!$CO$5:$CP$7,2,FALSE))*IF($BF79="",1,VLOOKUP($BF79,DADOS!$CR$5:$CS$15,2,FALSE)),4)&gt;0,MAX(1,FLOOR(ROUND(VLOOKUP($BD79,DADOS!$CL$5:$CM$10,2,FALSE)*IF($BE79="",1,VLOOKUP($BE79,DADOS!$CO$5:$CP$7,2,FALSE))*IF($BF79="",1,VLOOKUP($BF79,DADOS!$CR$5:$CS$15,2,FALSE)),4),1)),0),""))</f>
        <v/>
      </c>
      <c r="BH79" s="137" t="n"/>
      <c r="BI79" s="144" t="n"/>
      <c r="BJ79" s="144" t="n"/>
      <c r="BK79" s="95" t="n"/>
      <c r="BL79" s="95" t="n"/>
      <c r="BM79" s="95">
        <f>IF($BJ79="","",IFERROR(IF(ROUND(VLOOKUP($BJ79,DADOS!$CL$5:$CM$10,2,FALSE)*IF($BK79="",1,VLOOKUP($BK79,DADOS!$CO$5:$CP$7,2,FALSE))*IF($BL79="",1,VLOOKUP($BL79,DADOS!$CR$5:$CS$15,2,FALSE)),4)&gt;0,MAX(1,FLOOR(ROUND(VLOOKUP($BJ79,DADOS!$CL$5:$CM$10,2,FALSE)*IF($BK79="",1,VLOOKUP($BK79,DADOS!$CO$5:$CP$7,2,FALSE))*IF($BL79="",1,VLOOKUP($BL79,DADOS!$CR$5:$CS$15,2,FALSE)),4),1)),0),""))</f>
        <v/>
      </c>
      <c r="BN79" s="137" t="n"/>
      <c r="BO79" s="144" t="n"/>
      <c r="BP79" s="144" t="n"/>
      <c r="BQ79" s="95" t="n"/>
      <c r="BR79" s="95" t="n"/>
      <c r="BS79" s="95">
        <f>IF($BP79="","",IFERROR(IF(ROUND(VLOOKUP($BP79,DADOS!$CL$5:$CM$10,2,FALSE)*IF($BQ79="",1,VLOOKUP($BQ79,DADOS!$CO$5:$CP$7,2,FALSE))*IF($BR79="",1,VLOOKUP($BR79,DADOS!$CR$5:$CS$15,2,FALSE)),4)&gt;0,MAX(1,FLOOR(ROUND(VLOOKUP($BP79,DADOS!$CL$5:$CM$10,2,FALSE)*IF($BQ79="",1,VLOOKUP($BQ79,DADOS!$CO$5:$CP$7,2,FALSE))*IF($BR79="",1,VLOOKUP($BR79,DADOS!$CR$5:$CS$15,2,FALSE)),4),1)),0),""))</f>
        <v/>
      </c>
      <c r="BT79" s="137" t="n"/>
    </row>
    <row r="80" outlineLevel="1">
      <c r="A80" s="8" t="n"/>
      <c r="B80" s="14" t="n"/>
      <c r="C80" s="137" t="n"/>
      <c r="D80" s="56" t="b">
        <v>0</v>
      </c>
      <c r="E80" s="56" t="inlineStr">
        <is>
          <t>MACHADO</t>
        </is>
      </c>
      <c r="F80" s="16" t="n"/>
      <c r="G80" s="16" t="n"/>
      <c r="H80" s="16" t="n"/>
      <c r="I80" s="16" t="n"/>
      <c r="J80" s="16" t="n"/>
      <c r="K80" s="16" t="n"/>
      <c r="L80" s="17" t="n"/>
      <c r="M80" s="95" t="b">
        <v>0</v>
      </c>
      <c r="N80" s="144" t="inlineStr">
        <is>
          <t>Chakram</t>
        </is>
      </c>
      <c r="O80" s="16" t="n"/>
      <c r="P80" s="16" t="n"/>
      <c r="Q80" s="16" t="n"/>
      <c r="R80" s="16" t="n"/>
      <c r="S80" s="16" t="n"/>
      <c r="T80" s="16" t="n"/>
      <c r="U80" s="17" t="n"/>
      <c r="V80" s="95" t="b">
        <v>0</v>
      </c>
      <c r="W80" s="144" t="inlineStr">
        <is>
          <t>Kusarigama</t>
        </is>
      </c>
      <c r="X80" s="16" t="n"/>
      <c r="Y80" s="16" t="n"/>
      <c r="Z80" s="16" t="n"/>
      <c r="AA80" s="16" t="n"/>
      <c r="AB80" s="16" t="n"/>
      <c r="AC80" s="16" t="n"/>
      <c r="AD80" s="17" t="n"/>
      <c r="AE80" s="95" t="b">
        <v>0</v>
      </c>
      <c r="AF80" s="144" t="inlineStr">
        <is>
          <t>Manriki</t>
        </is>
      </c>
      <c r="AG80" s="16" t="n"/>
      <c r="AH80" s="16" t="n"/>
      <c r="AI80" s="16" t="n"/>
      <c r="AJ80" s="16" t="n"/>
      <c r="AK80" s="16" t="n"/>
      <c r="AL80" s="17" t="n"/>
      <c r="AM80" s="95" t="b">
        <v>0</v>
      </c>
      <c r="AN80" s="144" t="inlineStr">
        <is>
          <t>Yari</t>
        </is>
      </c>
      <c r="AO80" s="16" t="n"/>
      <c r="AP80" s="16" t="n"/>
      <c r="AQ80" s="16" t="n"/>
      <c r="AR80" s="16" t="n"/>
      <c r="AS80" s="16" t="n"/>
      <c r="AT80" s="17" t="n"/>
      <c r="AU80" s="137" t="n"/>
      <c r="AV80" s="137" t="n"/>
      <c r="AW80" s="144" t="n"/>
      <c r="AX80" s="144" t="n"/>
      <c r="AY80" s="95" t="n"/>
      <c r="AZ80" s="95" t="n"/>
      <c r="BA80" s="95">
        <f>IF($AX80="","",IFERROR(IF(ROUND(VLOOKUP($AX80,DADOS!$CL$5:$CM$10,2,FALSE)*IF($AY80="",1,VLOOKUP($AY80,DADOS!$CO$5:$CP$7,2,FALSE))*IF($AZ80="",1,VLOOKUP($AZ80,DADOS!$CR$5:$CS$15,2,FALSE)),4)&gt;0,MAX(1,FLOOR(ROUND(VLOOKUP($AX80,DADOS!$CL$5:$CM$10,2,FALSE)*IF($AY80="",1,VLOOKUP($AY80,DADOS!$CO$5:$CP$7,2,FALSE))*IF($AZ80="",1,VLOOKUP($AZ80,DADOS!$CR$5:$CS$15,2,FALSE)),4),1)),0),""))</f>
        <v/>
      </c>
      <c r="BB80" s="137" t="n"/>
      <c r="BC80" s="144" t="n"/>
      <c r="BD80" s="144" t="n"/>
      <c r="BE80" s="95" t="n"/>
      <c r="BF80" s="95" t="n"/>
      <c r="BG80" s="95">
        <f>IF($BD80="","",IFERROR(IF(ROUND(VLOOKUP($BD80,DADOS!$CL$5:$CM$10,2,FALSE)*IF($BE80="",1,VLOOKUP($BE80,DADOS!$CO$5:$CP$7,2,FALSE))*IF($BF80="",1,VLOOKUP($BF80,DADOS!$CR$5:$CS$15,2,FALSE)),4)&gt;0,MAX(1,FLOOR(ROUND(VLOOKUP($BD80,DADOS!$CL$5:$CM$10,2,FALSE)*IF($BE80="",1,VLOOKUP($BE80,DADOS!$CO$5:$CP$7,2,FALSE))*IF($BF80="",1,VLOOKUP($BF80,DADOS!$CR$5:$CS$15,2,FALSE)),4),1)),0),""))</f>
        <v/>
      </c>
      <c r="BH80" s="137" t="n"/>
      <c r="BI80" s="144" t="n"/>
      <c r="BJ80" s="144" t="n"/>
      <c r="BK80" s="95" t="n"/>
      <c r="BL80" s="95" t="n"/>
      <c r="BM80" s="95">
        <f>IF($BJ80="","",IFERROR(IF(ROUND(VLOOKUP($BJ80,DADOS!$CL$5:$CM$10,2,FALSE)*IF($BK80="",1,VLOOKUP($BK80,DADOS!$CO$5:$CP$7,2,FALSE))*IF($BL80="",1,VLOOKUP($BL80,DADOS!$CR$5:$CS$15,2,FALSE)),4)&gt;0,MAX(1,FLOOR(ROUND(VLOOKUP($BJ80,DADOS!$CL$5:$CM$10,2,FALSE)*IF($BK80="",1,VLOOKUP($BK80,DADOS!$CO$5:$CP$7,2,FALSE))*IF($BL80="",1,VLOOKUP($BL80,DADOS!$CR$5:$CS$15,2,FALSE)),4),1)),0),""))</f>
        <v/>
      </c>
      <c r="BN80" s="137" t="n"/>
      <c r="BO80" s="144" t="n"/>
      <c r="BP80" s="144" t="n"/>
      <c r="BQ80" s="95" t="n"/>
      <c r="BR80" s="95" t="n"/>
      <c r="BS80" s="95">
        <f>IF($BP80="","",IFERROR(IF(ROUND(VLOOKUP($BP80,DADOS!$CL$5:$CM$10,2,FALSE)*IF($BQ80="",1,VLOOKUP($BQ80,DADOS!$CO$5:$CP$7,2,FALSE))*IF($BR80="",1,VLOOKUP($BR80,DADOS!$CR$5:$CS$15,2,FALSE)),4)&gt;0,MAX(1,FLOOR(ROUND(VLOOKUP($BP80,DADOS!$CL$5:$CM$10,2,FALSE)*IF($BQ80="",1,VLOOKUP($BQ80,DADOS!$CO$5:$CP$7,2,FALSE))*IF($BR80="",1,VLOOKUP($BR80,DADOS!$CR$5:$CS$15,2,FALSE)),4),1)),0),""))</f>
        <v/>
      </c>
      <c r="BT80" s="137" t="n"/>
    </row>
    <row r="81" outlineLevel="1">
      <c r="A81" s="8" t="n"/>
      <c r="B81" s="14" t="n"/>
      <c r="C81" s="137" t="n"/>
      <c r="D81" s="95" t="b">
        <v>0</v>
      </c>
      <c r="E81" s="144" t="inlineStr">
        <is>
          <t>Machadinha</t>
        </is>
      </c>
      <c r="F81" s="16" t="n"/>
      <c r="G81" s="16" t="n"/>
      <c r="H81" s="16" t="n"/>
      <c r="I81" s="16" t="n"/>
      <c r="J81" s="16" t="n"/>
      <c r="K81" s="16" t="n"/>
      <c r="L81" s="17" t="n"/>
      <c r="M81" s="95" t="b">
        <v>0</v>
      </c>
      <c r="N81" s="144" t="inlineStr">
        <is>
          <t>Kunai</t>
        </is>
      </c>
      <c r="O81" s="16" t="n"/>
      <c r="P81" s="16" t="n"/>
      <c r="Q81" s="16" t="n"/>
      <c r="R81" s="16" t="n"/>
      <c r="S81" s="16" t="n"/>
      <c r="T81" s="16" t="n"/>
      <c r="U81" s="17" t="n"/>
      <c r="V81" s="56" t="b">
        <v>0</v>
      </c>
      <c r="W81" s="56" t="inlineStr">
        <is>
          <t>BALESTRA</t>
        </is>
      </c>
      <c r="X81" s="16" t="n"/>
      <c r="Y81" s="16" t="n"/>
      <c r="Z81" s="16" t="n"/>
      <c r="AA81" s="16" t="n"/>
      <c r="AB81" s="16" t="n"/>
      <c r="AC81" s="16" t="n"/>
      <c r="AD81" s="17" t="n"/>
      <c r="AE81" s="56" t="b">
        <v>0</v>
      </c>
      <c r="AF81" s="56" t="inlineStr">
        <is>
          <t>MANOPLA</t>
        </is>
      </c>
      <c r="AG81" s="16" t="n"/>
      <c r="AH81" s="16" t="n"/>
      <c r="AI81" s="16" t="n"/>
      <c r="AJ81" s="16" t="n"/>
      <c r="AK81" s="16" t="n"/>
      <c r="AL81" s="17" t="n"/>
      <c r="AM81" s="56" t="b">
        <v>0</v>
      </c>
      <c r="AN81" s="56" t="inlineStr">
        <is>
          <t>YUMI</t>
        </is>
      </c>
      <c r="AO81" s="16" t="n"/>
      <c r="AP81" s="16" t="n"/>
      <c r="AQ81" s="16" t="n"/>
      <c r="AR81" s="16" t="n"/>
      <c r="AS81" s="16" t="n"/>
      <c r="AT81" s="17" t="n"/>
      <c r="AU81" s="137" t="n"/>
      <c r="AV81" s="137" t="n"/>
      <c r="AW81" s="144" t="n"/>
      <c r="AX81" s="144" t="n"/>
      <c r="AY81" s="95" t="n"/>
      <c r="AZ81" s="95" t="n"/>
      <c r="BA81" s="95">
        <f>IF($AX81="","",IFERROR(IF(ROUND(VLOOKUP($AX81,DADOS!$CL$5:$CM$10,2,FALSE)*IF($AY81="",1,VLOOKUP($AY81,DADOS!$CO$5:$CP$7,2,FALSE))*IF($AZ81="",1,VLOOKUP($AZ81,DADOS!$CR$5:$CS$15,2,FALSE)),4)&gt;0,MAX(1,FLOOR(ROUND(VLOOKUP($AX81,DADOS!$CL$5:$CM$10,2,FALSE)*IF($AY81="",1,VLOOKUP($AY81,DADOS!$CO$5:$CP$7,2,FALSE))*IF($AZ81="",1,VLOOKUP($AZ81,DADOS!$CR$5:$CS$15,2,FALSE)),4),1)),0),""))</f>
        <v/>
      </c>
      <c r="BB81" s="137" t="n"/>
      <c r="BC81" s="144" t="n"/>
      <c r="BD81" s="144" t="n"/>
      <c r="BE81" s="95" t="n"/>
      <c r="BF81" s="95" t="n"/>
      <c r="BG81" s="95">
        <f>IF($BD81="","",IFERROR(IF(ROUND(VLOOKUP($BD81,DADOS!$CL$5:$CM$10,2,FALSE)*IF($BE81="",1,VLOOKUP($BE81,DADOS!$CO$5:$CP$7,2,FALSE))*IF($BF81="",1,VLOOKUP($BF81,DADOS!$CR$5:$CS$15,2,FALSE)),4)&gt;0,MAX(1,FLOOR(ROUND(VLOOKUP($BD81,DADOS!$CL$5:$CM$10,2,FALSE)*IF($BE81="",1,VLOOKUP($BE81,DADOS!$CO$5:$CP$7,2,FALSE))*IF($BF81="",1,VLOOKUP($BF81,DADOS!$CR$5:$CS$15,2,FALSE)),4),1)),0),""))</f>
        <v/>
      </c>
      <c r="BH81" s="137" t="n"/>
      <c r="BI81" s="144" t="n"/>
      <c r="BJ81" s="144" t="n"/>
      <c r="BK81" s="95" t="n"/>
      <c r="BL81" s="95" t="n"/>
      <c r="BM81" s="95">
        <f>IF($BJ81="","",IFERROR(IF(ROUND(VLOOKUP($BJ81,DADOS!$CL$5:$CM$10,2,FALSE)*IF($BK81="",1,VLOOKUP($BK81,DADOS!$CO$5:$CP$7,2,FALSE))*IF($BL81="",1,VLOOKUP($BL81,DADOS!$CR$5:$CS$15,2,FALSE)),4)&gt;0,MAX(1,FLOOR(ROUND(VLOOKUP($BJ81,DADOS!$CL$5:$CM$10,2,FALSE)*IF($BK81="",1,VLOOKUP($BK81,DADOS!$CO$5:$CP$7,2,FALSE))*IF($BL81="",1,VLOOKUP($BL81,DADOS!$CR$5:$CS$15,2,FALSE)),4),1)),0),""))</f>
        <v/>
      </c>
      <c r="BN81" s="137" t="n"/>
      <c r="BO81" s="144" t="n"/>
      <c r="BP81" s="144" t="n"/>
      <c r="BQ81" s="95" t="n"/>
      <c r="BR81" s="95" t="n"/>
      <c r="BS81" s="95">
        <f>IF($BP81="","",IFERROR(IF(ROUND(VLOOKUP($BP81,DADOS!$CL$5:$CM$10,2,FALSE)*IF($BQ81="",1,VLOOKUP($BQ81,DADOS!$CO$5:$CP$7,2,FALSE))*IF($BR81="",1,VLOOKUP($BR81,DADOS!$CR$5:$CS$15,2,FALSE)),4)&gt;0,MAX(1,FLOOR(ROUND(VLOOKUP($BP81,DADOS!$CL$5:$CM$10,2,FALSE)*IF($BQ81="",1,VLOOKUP($BQ81,DADOS!$CO$5:$CP$7,2,FALSE))*IF($BR81="",1,VLOOKUP($BR81,DADOS!$CR$5:$CS$15,2,FALSE)),4),1)),0),""))</f>
        <v/>
      </c>
      <c r="BT81" s="137" t="n"/>
    </row>
    <row r="82" outlineLevel="1">
      <c r="A82" s="8" t="n"/>
      <c r="B82" s="14" t="n"/>
      <c r="C82" s="137" t="n"/>
      <c r="D82" s="95" t="b">
        <v>0</v>
      </c>
      <c r="E82" s="144" t="inlineStr">
        <is>
          <t>Machado</t>
        </is>
      </c>
      <c r="F82" s="16" t="n"/>
      <c r="G82" s="16" t="n"/>
      <c r="H82" s="16" t="n"/>
      <c r="I82" s="16" t="n"/>
      <c r="J82" s="16" t="n"/>
      <c r="K82" s="16" t="n"/>
      <c r="L82" s="17" t="n"/>
      <c r="M82" s="95" t="b">
        <v>0</v>
      </c>
      <c r="N82" s="144" t="inlineStr">
        <is>
          <t>Shuriken</t>
        </is>
      </c>
      <c r="O82" s="16" t="n"/>
      <c r="P82" s="16" t="n"/>
      <c r="Q82" s="16" t="n"/>
      <c r="R82" s="16" t="n"/>
      <c r="S82" s="16" t="n"/>
      <c r="T82" s="16" t="n"/>
      <c r="U82" s="17" t="n"/>
      <c r="V82" s="95" t="b">
        <v>0</v>
      </c>
      <c r="W82" s="144" t="inlineStr">
        <is>
          <t>Besta</t>
        </is>
      </c>
      <c r="X82" s="16" t="n"/>
      <c r="Y82" s="16" t="n"/>
      <c r="Z82" s="16" t="n"/>
      <c r="AA82" s="16" t="n"/>
      <c r="AB82" s="16" t="n"/>
      <c r="AC82" s="16" t="n"/>
      <c r="AD82" s="17" t="n"/>
      <c r="AE82" s="95" t="b">
        <v>0</v>
      </c>
      <c r="AF82" s="144" t="inlineStr">
        <is>
          <t>Soqueira</t>
        </is>
      </c>
      <c r="AG82" s="16" t="n"/>
      <c r="AH82" s="16" t="n"/>
      <c r="AI82" s="16" t="n"/>
      <c r="AJ82" s="16" t="n"/>
      <c r="AK82" s="16" t="n"/>
      <c r="AL82" s="17" t="n"/>
      <c r="AM82" s="95" t="b">
        <v>0</v>
      </c>
      <c r="AN82" s="144" t="inlineStr">
        <is>
          <t>Daikyū</t>
        </is>
      </c>
      <c r="AO82" s="16" t="n"/>
      <c r="AP82" s="16" t="n"/>
      <c r="AQ82" s="16" t="n"/>
      <c r="AR82" s="16" t="n"/>
      <c r="AS82" s="16" t="n"/>
      <c r="AT82" s="17" t="n"/>
      <c r="AU82" s="137" t="n"/>
      <c r="AV82" s="137" t="n"/>
      <c r="AW82" s="144" t="n"/>
      <c r="AX82" s="144" t="n"/>
      <c r="AY82" s="95" t="n"/>
      <c r="AZ82" s="95" t="n"/>
      <c r="BA82" s="95">
        <f>IF($AX82="","",IFERROR(IF(ROUND(VLOOKUP($AX82,DADOS!$CL$5:$CM$10,2,FALSE)*IF($AY82="",1,VLOOKUP($AY82,DADOS!$CO$5:$CP$7,2,FALSE))*IF($AZ82="",1,VLOOKUP($AZ82,DADOS!$CR$5:$CS$15,2,FALSE)),4)&gt;0,MAX(1,FLOOR(ROUND(VLOOKUP($AX82,DADOS!$CL$5:$CM$10,2,FALSE)*IF($AY82="",1,VLOOKUP($AY82,DADOS!$CO$5:$CP$7,2,FALSE))*IF($AZ82="",1,VLOOKUP($AZ82,DADOS!$CR$5:$CS$15,2,FALSE)),4),1)),0),""))</f>
        <v/>
      </c>
      <c r="BB82" s="137" t="n"/>
      <c r="BC82" s="144" t="n"/>
      <c r="BD82" s="144" t="n"/>
      <c r="BE82" s="95" t="n"/>
      <c r="BF82" s="95" t="n"/>
      <c r="BG82" s="95">
        <f>IF($BD82="","",IFERROR(IF(ROUND(VLOOKUP($BD82,DADOS!$CL$5:$CM$10,2,FALSE)*IF($BE82="",1,VLOOKUP($BE82,DADOS!$CO$5:$CP$7,2,FALSE))*IF($BF82="",1,VLOOKUP($BF82,DADOS!$CR$5:$CS$15,2,FALSE)),4)&gt;0,MAX(1,FLOOR(ROUND(VLOOKUP($BD82,DADOS!$CL$5:$CM$10,2,FALSE)*IF($BE82="",1,VLOOKUP($BE82,DADOS!$CO$5:$CP$7,2,FALSE))*IF($BF82="",1,VLOOKUP($BF82,DADOS!$CR$5:$CS$15,2,FALSE)),4),1)),0),""))</f>
        <v/>
      </c>
      <c r="BH82" s="137" t="n"/>
      <c r="BI82" s="144" t="n"/>
      <c r="BJ82" s="144" t="n"/>
      <c r="BK82" s="95" t="n"/>
      <c r="BL82" s="95" t="n"/>
      <c r="BM82" s="95">
        <f>IF($BJ82="","",IFERROR(IF(ROUND(VLOOKUP($BJ82,DADOS!$CL$5:$CM$10,2,FALSE)*IF($BK82="",1,VLOOKUP($BK82,DADOS!$CO$5:$CP$7,2,FALSE))*IF($BL82="",1,VLOOKUP($BL82,DADOS!$CR$5:$CS$15,2,FALSE)),4)&gt;0,MAX(1,FLOOR(ROUND(VLOOKUP($BJ82,DADOS!$CL$5:$CM$10,2,FALSE)*IF($BK82="",1,VLOOKUP($BK82,DADOS!$CO$5:$CP$7,2,FALSE))*IF($BL82="",1,VLOOKUP($BL82,DADOS!$CR$5:$CS$15,2,FALSE)),4),1)),0),""))</f>
        <v/>
      </c>
      <c r="BN82" s="137" t="n"/>
      <c r="BO82" s="144" t="n"/>
      <c r="BP82" s="144" t="n"/>
      <c r="BQ82" s="95" t="n"/>
      <c r="BR82" s="95" t="n"/>
      <c r="BS82" s="95">
        <f>IF($BP82="","",IFERROR(IF(ROUND(VLOOKUP($BP82,DADOS!$CL$5:$CM$10,2,FALSE)*IF($BQ82="",1,VLOOKUP($BQ82,DADOS!$CO$5:$CP$7,2,FALSE))*IF($BR82="",1,VLOOKUP($BR82,DADOS!$CR$5:$CS$15,2,FALSE)),4)&gt;0,MAX(1,FLOOR(ROUND(VLOOKUP($BP82,DADOS!$CL$5:$CM$10,2,FALSE)*IF($BQ82="",1,VLOOKUP($BQ82,DADOS!$CO$5:$CP$7,2,FALSE))*IF($BR82="",1,VLOOKUP($BR82,DADOS!$CR$5:$CS$15,2,FALSE)),4),1)),0),""))</f>
        <v/>
      </c>
      <c r="BT82" s="137" t="n"/>
    </row>
    <row r="83" outlineLevel="1">
      <c r="A83" s="8" t="n"/>
      <c r="B83" s="14" t="n"/>
      <c r="C83" s="137" t="n"/>
      <c r="D83" s="95" t="b">
        <v>0</v>
      </c>
      <c r="E83" s="144" t="inlineStr">
        <is>
          <t>Machado de Guerra</t>
        </is>
      </c>
      <c r="F83" s="16" t="n"/>
      <c r="G83" s="16" t="n"/>
      <c r="H83" s="16" t="n"/>
      <c r="I83" s="16" t="n"/>
      <c r="J83" s="16" t="n"/>
      <c r="K83" s="16" t="n"/>
      <c r="L83" s="17" t="n"/>
      <c r="M83" s="95" t="b">
        <v>0</v>
      </c>
      <c r="N83" s="144" t="inlineStr">
        <is>
          <t>Tessen</t>
        </is>
      </c>
      <c r="O83" s="16" t="n"/>
      <c r="P83" s="16" t="n"/>
      <c r="Q83" s="16" t="n"/>
      <c r="R83" s="16" t="n"/>
      <c r="S83" s="16" t="n"/>
      <c r="T83" s="16" t="n"/>
      <c r="U83" s="17" t="n"/>
      <c r="V83" s="95" t="b">
        <v>0</v>
      </c>
      <c r="W83" s="144" t="inlineStr">
        <is>
          <t>Besta de Uma Mão</t>
        </is>
      </c>
      <c r="X83" s="16" t="n"/>
      <c r="Y83" s="16" t="n"/>
      <c r="Z83" s="16" t="n"/>
      <c r="AA83" s="16" t="n"/>
      <c r="AB83" s="16" t="n"/>
      <c r="AC83" s="16" t="n"/>
      <c r="AD83" s="17" t="n"/>
      <c r="AE83" s="95" t="b">
        <v>0</v>
      </c>
      <c r="AF83" s="144" t="inlineStr">
        <is>
          <t>Tekko</t>
        </is>
      </c>
      <c r="AG83" s="16" t="n"/>
      <c r="AH83" s="16" t="n"/>
      <c r="AI83" s="16" t="n"/>
      <c r="AJ83" s="16" t="n"/>
      <c r="AK83" s="16" t="n"/>
      <c r="AL83" s="17" t="n"/>
      <c r="AM83" s="95" t="b">
        <v>0</v>
      </c>
      <c r="AN83" s="144" t="inlineStr">
        <is>
          <t>Hankyū</t>
        </is>
      </c>
      <c r="AO83" s="16" t="n"/>
      <c r="AP83" s="16" t="n"/>
      <c r="AQ83" s="16" t="n"/>
      <c r="AR83" s="16" t="n"/>
      <c r="AS83" s="16" t="n"/>
      <c r="AT83" s="17" t="n"/>
      <c r="AU83" s="137" t="n"/>
      <c r="AV83" s="137" t="n"/>
      <c r="AW83" s="144" t="n"/>
      <c r="AX83" s="144" t="n"/>
      <c r="AY83" s="95" t="n"/>
      <c r="AZ83" s="95" t="n"/>
      <c r="BA83" s="95">
        <f>IF($AX83="","",IFERROR(IF(ROUND(VLOOKUP($AX83,DADOS!$CL$5:$CM$10,2,FALSE)*IF($AY83="",1,VLOOKUP($AY83,DADOS!$CO$5:$CP$7,2,FALSE))*IF($AZ83="",1,VLOOKUP($AZ83,DADOS!$CR$5:$CS$15,2,FALSE)),4)&gt;0,MAX(1,FLOOR(ROUND(VLOOKUP($AX83,DADOS!$CL$5:$CM$10,2,FALSE)*IF($AY83="",1,VLOOKUP($AY83,DADOS!$CO$5:$CP$7,2,FALSE))*IF($AZ83="",1,VLOOKUP($AZ83,DADOS!$CR$5:$CS$15,2,FALSE)),4),1)),0),""))</f>
        <v/>
      </c>
      <c r="BB83" s="137" t="n"/>
      <c r="BC83" s="144" t="n"/>
      <c r="BD83" s="144" t="n"/>
      <c r="BE83" s="95" t="n"/>
      <c r="BF83" s="95" t="n"/>
      <c r="BG83" s="95">
        <f>IF($BD83="","",IFERROR(IF(ROUND(VLOOKUP($BD83,DADOS!$CL$5:$CM$10,2,FALSE)*IF($BE83="",1,VLOOKUP($BE83,DADOS!$CO$5:$CP$7,2,FALSE))*IF($BF83="",1,VLOOKUP($BF83,DADOS!$CR$5:$CS$15,2,FALSE)),4)&gt;0,MAX(1,FLOOR(ROUND(VLOOKUP($BD83,DADOS!$CL$5:$CM$10,2,FALSE)*IF($BE83="",1,VLOOKUP($BE83,DADOS!$CO$5:$CP$7,2,FALSE))*IF($BF83="",1,VLOOKUP($BF83,DADOS!$CR$5:$CS$15,2,FALSE)),4),1)),0),""))</f>
        <v/>
      </c>
      <c r="BH83" s="137" t="n"/>
      <c r="BI83" s="144" t="n"/>
      <c r="BJ83" s="144" t="n"/>
      <c r="BK83" s="95" t="n"/>
      <c r="BL83" s="95" t="n"/>
      <c r="BM83" s="95">
        <f>IF($BJ83="","",IFERROR(IF(ROUND(VLOOKUP($BJ83,DADOS!$CL$5:$CM$10,2,FALSE)*IF($BK83="",1,VLOOKUP($BK83,DADOS!$CO$5:$CP$7,2,FALSE))*IF($BL83="",1,VLOOKUP($BL83,DADOS!$CR$5:$CS$15,2,FALSE)),4)&gt;0,MAX(1,FLOOR(ROUND(VLOOKUP($BJ83,DADOS!$CL$5:$CM$10,2,FALSE)*IF($BK83="",1,VLOOKUP($BK83,DADOS!$CO$5:$CP$7,2,FALSE))*IF($BL83="",1,VLOOKUP($BL83,DADOS!$CR$5:$CS$15,2,FALSE)),4),1)),0),""))</f>
        <v/>
      </c>
      <c r="BN83" s="137" t="n"/>
      <c r="BO83" s="144" t="n"/>
      <c r="BP83" s="144" t="n"/>
      <c r="BQ83" s="95" t="n"/>
      <c r="BR83" s="95" t="n"/>
      <c r="BS83" s="95">
        <f>IF($BP83="","",IFERROR(IF(ROUND(VLOOKUP($BP83,DADOS!$CL$5:$CM$10,2,FALSE)*IF($BQ83="",1,VLOOKUP($BQ83,DADOS!$CO$5:$CP$7,2,FALSE))*IF($BR83="",1,VLOOKUP($BR83,DADOS!$CR$5:$CS$15,2,FALSE)),4)&gt;0,MAX(1,FLOOR(ROUND(VLOOKUP($BP83,DADOS!$CL$5:$CM$10,2,FALSE)*IF($BQ83="",1,VLOOKUP($BQ83,DADOS!$CO$5:$CP$7,2,FALSE))*IF($BR83="",1,VLOOKUP($BR83,DADOS!$CR$5:$CS$15,2,FALSE)),4),1)),0),""))</f>
        <v/>
      </c>
      <c r="BT83" s="137" t="n"/>
    </row>
    <row r="84">
      <c r="A84" s="8" t="n"/>
      <c r="B84" s="14" t="n"/>
      <c r="C84" s="137" t="n"/>
      <c r="D84" s="137" t="n"/>
      <c r="E84" s="137" t="n"/>
      <c r="F84" s="137" t="n"/>
      <c r="G84" s="137" t="n"/>
      <c r="H84" s="137" t="n"/>
      <c r="I84" s="137" t="n"/>
      <c r="J84" s="137" t="n"/>
      <c r="K84" s="137" t="n"/>
      <c r="L84" s="137" t="n"/>
      <c r="M84" s="137" t="n"/>
      <c r="N84" s="137" t="n"/>
      <c r="O84" s="137" t="n"/>
      <c r="P84" s="137" t="n"/>
      <c r="Q84" s="137" t="n"/>
      <c r="R84" s="137" t="n"/>
      <c r="S84" s="137" t="n"/>
      <c r="T84" s="137" t="n"/>
      <c r="U84" s="137" t="n"/>
      <c r="V84" s="137" t="n"/>
      <c r="W84" s="137" t="n"/>
      <c r="X84" s="137" t="n"/>
      <c r="Y84" s="137" t="n"/>
      <c r="Z84" s="137" t="n"/>
      <c r="AA84" s="137" t="n"/>
      <c r="AB84" s="137" t="n"/>
      <c r="AC84" s="137" t="n"/>
      <c r="AD84" s="137" t="n"/>
      <c r="AE84" s="137" t="n"/>
      <c r="AF84" s="137" t="n"/>
      <c r="AG84" s="137" t="n"/>
      <c r="AH84" s="137" t="n"/>
      <c r="AI84" s="137" t="n"/>
      <c r="AJ84" s="137" t="n"/>
      <c r="AK84" s="137" t="n"/>
      <c r="AL84" s="137" t="n"/>
      <c r="AM84" s="137" t="n"/>
      <c r="AN84" s="137" t="n"/>
      <c r="AO84" s="137" t="n"/>
      <c r="AP84" s="137" t="n"/>
      <c r="AQ84" s="137" t="n"/>
      <c r="AR84" s="137" t="n"/>
      <c r="AS84" s="137" t="n"/>
      <c r="AT84" s="137" t="n"/>
      <c r="AU84" s="137" t="n"/>
      <c r="AV84" s="137" t="n"/>
      <c r="AW84" s="144" t="n"/>
      <c r="AX84" s="144" t="n"/>
      <c r="AY84" s="95" t="n"/>
      <c r="AZ84" s="95" t="n"/>
      <c r="BA84" s="95">
        <f>IF($AX84="","",IFERROR(IF(ROUND(VLOOKUP($AX84,DADOS!$CL$5:$CM$10,2,FALSE)*IF($AY84="",1,VLOOKUP($AY84,DADOS!$CO$5:$CP$7,2,FALSE))*IF($AZ84="",1,VLOOKUP($AZ84,DADOS!$CR$5:$CS$15,2,FALSE)),4)&gt;0,MAX(1,FLOOR(ROUND(VLOOKUP($AX84,DADOS!$CL$5:$CM$10,2,FALSE)*IF($AY84="",1,VLOOKUP($AY84,DADOS!$CO$5:$CP$7,2,FALSE))*IF($AZ84="",1,VLOOKUP($AZ84,DADOS!$CR$5:$CS$15,2,FALSE)),4),1)),0),""))</f>
        <v/>
      </c>
      <c r="BB84" s="137" t="n"/>
      <c r="BC84" s="144" t="n"/>
      <c r="BD84" s="144" t="n"/>
      <c r="BE84" s="95" t="n"/>
      <c r="BF84" s="95" t="n"/>
      <c r="BG84" s="95">
        <f>IF($BD84="","",IFERROR(IF(ROUND(VLOOKUP($BD84,DADOS!$CL$5:$CM$10,2,FALSE)*IF($BE84="",1,VLOOKUP($BE84,DADOS!$CO$5:$CP$7,2,FALSE))*IF($BF84="",1,VLOOKUP($BF84,DADOS!$CR$5:$CS$15,2,FALSE)),4)&gt;0,MAX(1,FLOOR(ROUND(VLOOKUP($BD84,DADOS!$CL$5:$CM$10,2,FALSE)*IF($BE84="",1,VLOOKUP($BE84,DADOS!$CO$5:$CP$7,2,FALSE))*IF($BF84="",1,VLOOKUP($BF84,DADOS!$CR$5:$CS$15,2,FALSE)),4),1)),0),""))</f>
        <v/>
      </c>
      <c r="BH84" s="137" t="n"/>
      <c r="BI84" s="144" t="n"/>
      <c r="BJ84" s="144" t="n"/>
      <c r="BK84" s="95" t="n"/>
      <c r="BL84" s="95" t="n"/>
      <c r="BM84" s="95">
        <f>IF($BJ84="","",IFERROR(IF(ROUND(VLOOKUP($BJ84,DADOS!$CL$5:$CM$10,2,FALSE)*IF($BK84="",1,VLOOKUP($BK84,DADOS!$CO$5:$CP$7,2,FALSE))*IF($BL84="",1,VLOOKUP($BL84,DADOS!$CR$5:$CS$15,2,FALSE)),4)&gt;0,MAX(1,FLOOR(ROUND(VLOOKUP($BJ84,DADOS!$CL$5:$CM$10,2,FALSE)*IF($BK84="",1,VLOOKUP($BK84,DADOS!$CO$5:$CP$7,2,FALSE))*IF($BL84="",1,VLOOKUP($BL84,DADOS!$CR$5:$CS$15,2,FALSE)),4),1)),0),""))</f>
        <v/>
      </c>
      <c r="BN84" s="137" t="n"/>
      <c r="BO84" s="144" t="n"/>
      <c r="BP84" s="144" t="n"/>
      <c r="BQ84" s="95" t="n"/>
      <c r="BR84" s="95" t="n"/>
      <c r="BS84" s="95">
        <f>IF($BP84="","",IFERROR(IF(ROUND(VLOOKUP($BP84,DADOS!$CL$5:$CM$10,2,FALSE)*IF($BQ84="",1,VLOOKUP($BQ84,DADOS!$CO$5:$CP$7,2,FALSE))*IF($BR84="",1,VLOOKUP($BR84,DADOS!$CR$5:$CS$15,2,FALSE)),4)&gt;0,MAX(1,FLOOR(ROUND(VLOOKUP($BP84,DADOS!$CL$5:$CM$10,2,FALSE)*IF($BQ84="",1,VLOOKUP($BQ84,DADOS!$CO$5:$CP$7,2,FALSE))*IF($BR84="",1,VLOOKUP($BR84,DADOS!$CR$5:$CS$15,2,FALSE)),4),1)),0),""))</f>
        <v/>
      </c>
      <c r="BT84" s="137" t="n"/>
    </row>
    <row r="85">
      <c r="A85" s="8" t="n"/>
      <c r="B85" s="14" t="n"/>
      <c r="C85" s="137" t="n"/>
      <c r="D85" s="56" t="inlineStr">
        <is>
          <t>CARGA · LIMITE 5 + FORÇA</t>
        </is>
      </c>
      <c r="E85" s="16" t="n"/>
      <c r="F85" s="16" t="n"/>
      <c r="G85" s="16" t="n"/>
      <c r="H85" s="16" t="n"/>
      <c r="I85" s="16" t="n"/>
      <c r="J85" s="16" t="n"/>
      <c r="K85" s="17" t="n"/>
      <c r="L85" s="56" t="inlineStr">
        <is>
          <t>Buff/Debuff</t>
        </is>
      </c>
      <c r="M85" s="17" t="n"/>
      <c r="N85" s="137" t="n"/>
      <c r="O85" s="56" t="inlineStr">
        <is>
          <t>IENES</t>
        </is>
      </c>
      <c r="P85" s="16" t="n"/>
      <c r="Q85" s="16" t="n"/>
      <c r="R85" s="16" t="n"/>
      <c r="S85" s="16" t="n"/>
      <c r="T85" s="16" t="n"/>
      <c r="U85" s="17" t="n"/>
      <c r="V85" s="137" t="n"/>
      <c r="W85" s="56" t="inlineStr">
        <is>
          <t>SALÁRIO POR MÊS</t>
        </is>
      </c>
      <c r="X85" s="16" t="n"/>
      <c r="Y85" s="16" t="n"/>
      <c r="Z85" s="16" t="n"/>
      <c r="AA85" s="16" t="n"/>
      <c r="AB85" s="16" t="n"/>
      <c r="AC85" s="16" t="n"/>
      <c r="AD85" s="17" t="n"/>
      <c r="AE85" s="137" t="n"/>
      <c r="AF85" s="56" t="inlineStr">
        <is>
          <t>REQUISITO DE FORÇA</t>
        </is>
      </c>
      <c r="AG85" s="16" t="n"/>
      <c r="AH85" s="16" t="n"/>
      <c r="AI85" s="16" t="n"/>
      <c r="AJ85" s="16" t="n"/>
      <c r="AK85" s="16" t="n"/>
      <c r="AL85" s="17" t="n"/>
      <c r="AM85" s="137" t="n"/>
      <c r="AN85" s="56" t="inlineStr">
        <is>
          <t>SITUAÇÃO DO TRAJE</t>
        </is>
      </c>
      <c r="AO85" s="16" t="n"/>
      <c r="AP85" s="16" t="n"/>
      <c r="AQ85" s="16" t="n"/>
      <c r="AR85" s="16" t="n"/>
      <c r="AS85" s="16" t="n"/>
      <c r="AT85" s="17" t="n"/>
      <c r="AU85" s="137" t="n"/>
      <c r="AV85" s="137" t="n"/>
      <c r="AW85" s="144" t="n"/>
      <c r="AX85" s="144" t="n"/>
      <c r="AY85" s="95" t="n"/>
      <c r="AZ85" s="95" t="n"/>
      <c r="BA85" s="95">
        <f>IF($AX85="","",IFERROR(IF(ROUND(VLOOKUP($AX85,DADOS!$CL$5:$CM$10,2,FALSE)*IF($AY85="",1,VLOOKUP($AY85,DADOS!$CO$5:$CP$7,2,FALSE))*IF($AZ85="",1,VLOOKUP($AZ85,DADOS!$CR$5:$CS$15,2,FALSE)),4)&gt;0,MAX(1,FLOOR(ROUND(VLOOKUP($AX85,DADOS!$CL$5:$CM$10,2,FALSE)*IF($AY85="",1,VLOOKUP($AY85,DADOS!$CO$5:$CP$7,2,FALSE))*IF($AZ85="",1,VLOOKUP($AZ85,DADOS!$CR$5:$CS$15,2,FALSE)),4),1)),0),""))</f>
        <v/>
      </c>
      <c r="BB85" s="137" t="n"/>
      <c r="BC85" s="144" t="n"/>
      <c r="BD85" s="144" t="n"/>
      <c r="BE85" s="95" t="n"/>
      <c r="BF85" s="95" t="n"/>
      <c r="BG85" s="95">
        <f>IF($BD85="","",IFERROR(IF(ROUND(VLOOKUP($BD85,DADOS!$CL$5:$CM$10,2,FALSE)*IF($BE85="",1,VLOOKUP($BE85,DADOS!$CO$5:$CP$7,2,FALSE))*IF($BF85="",1,VLOOKUP($BF85,DADOS!$CR$5:$CS$15,2,FALSE)),4)&gt;0,MAX(1,FLOOR(ROUND(VLOOKUP($BD85,DADOS!$CL$5:$CM$10,2,FALSE)*IF($BE85="",1,VLOOKUP($BE85,DADOS!$CO$5:$CP$7,2,FALSE))*IF($BF85="",1,VLOOKUP($BF85,DADOS!$CR$5:$CS$15,2,FALSE)),4),1)),0),""))</f>
        <v/>
      </c>
      <c r="BH85" s="137" t="n"/>
      <c r="BI85" s="144" t="n"/>
      <c r="BJ85" s="144" t="n"/>
      <c r="BK85" s="95" t="n"/>
      <c r="BL85" s="95" t="n"/>
      <c r="BM85" s="95">
        <f>IF($BJ85="","",IFERROR(IF(ROUND(VLOOKUP($BJ85,DADOS!$CL$5:$CM$10,2,FALSE)*IF($BK85="",1,VLOOKUP($BK85,DADOS!$CO$5:$CP$7,2,FALSE))*IF($BL85="",1,VLOOKUP($BL85,DADOS!$CR$5:$CS$15,2,FALSE)),4)&gt;0,MAX(1,FLOOR(ROUND(VLOOKUP($BJ85,DADOS!$CL$5:$CM$10,2,FALSE)*IF($BK85="",1,VLOOKUP($BK85,DADOS!$CO$5:$CP$7,2,FALSE))*IF($BL85="",1,VLOOKUP($BL85,DADOS!$CR$5:$CS$15,2,FALSE)),4),1)),0),""))</f>
        <v/>
      </c>
      <c r="BN85" s="137" t="n"/>
      <c r="BO85" s="144" t="n"/>
      <c r="BP85" s="144" t="n"/>
      <c r="BQ85" s="95" t="n"/>
      <c r="BR85" s="95" t="n"/>
      <c r="BS85" s="95">
        <f>IF($BP85="","",IFERROR(IF(ROUND(VLOOKUP($BP85,DADOS!$CL$5:$CM$10,2,FALSE)*IF($BQ85="",1,VLOOKUP($BQ85,DADOS!$CO$5:$CP$7,2,FALSE))*IF($BR85="",1,VLOOKUP($BR85,DADOS!$CR$5:$CS$15,2,FALSE)),4)&gt;0,MAX(1,FLOOR(ROUND(VLOOKUP($BP85,DADOS!$CL$5:$CM$10,2,FALSE)*IF($BQ85="",1,VLOOKUP($BQ85,DADOS!$CO$5:$CP$7,2,FALSE))*IF($BR85="",1,VLOOKUP($BR85,DADOS!$CR$5:$CS$15,2,FALSE)),4),1)),0),""))</f>
        <v/>
      </c>
      <c r="BT85" s="137" t="n"/>
    </row>
    <row r="86">
      <c r="A86" s="8" t="n"/>
      <c r="B86" s="14" t="n"/>
      <c r="C86" s="137" t="n"/>
      <c r="D86" s="105">
        <f>DADOS!$CZ$40&amp;" de "&amp;DADOS!$CZ$41&amp;IF(DADOS!$CZ$42=1," · acima","")</f>
        <v/>
      </c>
      <c r="E86" s="19" t="n"/>
      <c r="F86" s="19" t="n"/>
      <c r="G86" s="19" t="n"/>
      <c r="H86" s="20" t="n"/>
      <c r="I86" s="144">
        <f>IFERROR(SPARKLINE(MIN(DADOS!$CZ$40,DADOS!$CZ$41),{"charttype","bar";"max",DADOS!$CZ$41;"color1",IF(DADOS!$CZ$42=1,"#C2334D",DADOS!$CZ$51)}),"")</f>
        <v/>
      </c>
      <c r="J86" s="19" t="n"/>
      <c r="K86" s="20" t="n"/>
      <c r="L86" s="105" t="b">
        <v>0</v>
      </c>
      <c r="M86" s="20" t="n"/>
      <c r="N86" s="137" t="n"/>
      <c r="O86" s="158" t="n">
        <v>150000</v>
      </c>
      <c r="P86" s="19" t="n"/>
      <c r="Q86" s="19" t="n"/>
      <c r="R86" s="19" t="n"/>
      <c r="S86" s="19" t="n"/>
      <c r="T86" s="19" t="n"/>
      <c r="U86" s="20" t="n"/>
      <c r="V86" s="137" t="n"/>
      <c r="W86" s="105">
        <f>IFERROR(VLOOKUP($AB$11,DADOS!$CF$5:$CH$9,2,FALSE),"—")</f>
        <v/>
      </c>
      <c r="X86" s="19" t="n"/>
      <c r="Y86" s="19" t="n"/>
      <c r="Z86" s="19" t="n"/>
      <c r="AA86" s="19" t="n"/>
      <c r="AB86" s="19" t="n"/>
      <c r="AC86" s="19" t="n"/>
      <c r="AD86" s="20" t="n"/>
      <c r="AE86" s="137" t="n"/>
      <c r="AF86" s="87">
        <f>IF(DADOS!$CZ$36+DADOS!$CZ$37+DADOS!$CZ$38=0,"Cumprido","Não cumprido")</f>
        <v/>
      </c>
      <c r="AG86" s="19" t="n"/>
      <c r="AH86" s="19" t="n"/>
      <c r="AI86" s="19" t="n"/>
      <c r="AJ86" s="19" t="n"/>
      <c r="AK86" s="19" t="n"/>
      <c r="AL86" s="20" t="n"/>
      <c r="AM86" s="137" t="n"/>
      <c r="AN86" s="87" t="n"/>
      <c r="AO86" s="19" t="n"/>
      <c r="AP86" s="19" t="n"/>
      <c r="AQ86" s="19" t="n"/>
      <c r="AR86" s="19" t="n"/>
      <c r="AS86" s="19" t="n"/>
      <c r="AT86" s="20" t="n"/>
      <c r="AU86" s="137" t="n"/>
      <c r="AV86" s="137" t="n"/>
      <c r="AW86" s="144" t="n"/>
      <c r="AX86" s="144" t="n"/>
      <c r="AY86" s="95" t="n"/>
      <c r="AZ86" s="95" t="n"/>
      <c r="BA86" s="95">
        <f>IF($AX86="","",IFERROR(IF(ROUND(VLOOKUP($AX86,DADOS!$CL$5:$CM$10,2,FALSE)*IF($AY86="",1,VLOOKUP($AY86,DADOS!$CO$5:$CP$7,2,FALSE))*IF($AZ86="",1,VLOOKUP($AZ86,DADOS!$CR$5:$CS$15,2,FALSE)),4)&gt;0,MAX(1,FLOOR(ROUND(VLOOKUP($AX86,DADOS!$CL$5:$CM$10,2,FALSE)*IF($AY86="",1,VLOOKUP($AY86,DADOS!$CO$5:$CP$7,2,FALSE))*IF($AZ86="",1,VLOOKUP($AZ86,DADOS!$CR$5:$CS$15,2,FALSE)),4),1)),0),""))</f>
        <v/>
      </c>
      <c r="BB86" s="137" t="n"/>
      <c r="BC86" s="144" t="n"/>
      <c r="BD86" s="144" t="n"/>
      <c r="BE86" s="95" t="n"/>
      <c r="BF86" s="95" t="n"/>
      <c r="BG86" s="95">
        <f>IF($BD86="","",IFERROR(IF(ROUND(VLOOKUP($BD86,DADOS!$CL$5:$CM$10,2,FALSE)*IF($BE86="",1,VLOOKUP($BE86,DADOS!$CO$5:$CP$7,2,FALSE))*IF($BF86="",1,VLOOKUP($BF86,DADOS!$CR$5:$CS$15,2,FALSE)),4)&gt;0,MAX(1,FLOOR(ROUND(VLOOKUP($BD86,DADOS!$CL$5:$CM$10,2,FALSE)*IF($BE86="",1,VLOOKUP($BE86,DADOS!$CO$5:$CP$7,2,FALSE))*IF($BF86="",1,VLOOKUP($BF86,DADOS!$CR$5:$CS$15,2,FALSE)),4),1)),0),""))</f>
        <v/>
      </c>
      <c r="BH86" s="137" t="n"/>
      <c r="BI86" s="144" t="n"/>
      <c r="BJ86" s="144" t="n"/>
      <c r="BK86" s="95" t="n"/>
      <c r="BL86" s="95" t="n"/>
      <c r="BM86" s="95">
        <f>IF($BJ86="","",IFERROR(IF(ROUND(VLOOKUP($BJ86,DADOS!$CL$5:$CM$10,2,FALSE)*IF($BK86="",1,VLOOKUP($BK86,DADOS!$CO$5:$CP$7,2,FALSE))*IF($BL86="",1,VLOOKUP($BL86,DADOS!$CR$5:$CS$15,2,FALSE)),4)&gt;0,MAX(1,FLOOR(ROUND(VLOOKUP($BJ86,DADOS!$CL$5:$CM$10,2,FALSE)*IF($BK86="",1,VLOOKUP($BK86,DADOS!$CO$5:$CP$7,2,FALSE))*IF($BL86="",1,VLOOKUP($BL86,DADOS!$CR$5:$CS$15,2,FALSE)),4),1)),0),""))</f>
        <v/>
      </c>
      <c r="BN86" s="137" t="n"/>
      <c r="BO86" s="144" t="n"/>
      <c r="BP86" s="144" t="n"/>
      <c r="BQ86" s="95" t="n"/>
      <c r="BR86" s="95" t="n"/>
      <c r="BS86" s="95">
        <f>IF($BP86="","",IFERROR(IF(ROUND(VLOOKUP($BP86,DADOS!$CL$5:$CM$10,2,FALSE)*IF($BQ86="",1,VLOOKUP($BQ86,DADOS!$CO$5:$CP$7,2,FALSE))*IF($BR86="",1,VLOOKUP($BR86,DADOS!$CR$5:$CS$15,2,FALSE)),4)&gt;0,MAX(1,FLOOR(ROUND(VLOOKUP($BP86,DADOS!$CL$5:$CM$10,2,FALSE)*IF($BQ86="",1,VLOOKUP($BQ86,DADOS!$CO$5:$CP$7,2,FALSE))*IF($BR86="",1,VLOOKUP($BR86,DADOS!$CR$5:$CS$15,2,FALSE)),4),1)),0),""))</f>
        <v/>
      </c>
      <c r="BT86" s="137" t="n"/>
    </row>
    <row r="87">
      <c r="A87" s="8" t="n"/>
      <c r="B87" s="14" t="n"/>
      <c r="C87" s="137" t="n"/>
      <c r="D87" s="23" t="n"/>
      <c r="E87" s="24" t="n"/>
      <c r="F87" s="24" t="n"/>
      <c r="G87" s="24" t="n"/>
      <c r="H87" s="25" t="n"/>
      <c r="I87" s="23" t="n"/>
      <c r="J87" s="24" t="n"/>
      <c r="K87" s="25" t="n"/>
      <c r="L87" s="23" t="n"/>
      <c r="M87" s="25" t="n"/>
      <c r="N87" s="137" t="n"/>
      <c r="O87" s="23" t="n"/>
      <c r="P87" s="24" t="n"/>
      <c r="Q87" s="24" t="n"/>
      <c r="R87" s="24" t="n"/>
      <c r="S87" s="24" t="n"/>
      <c r="T87" s="24" t="n"/>
      <c r="U87" s="25" t="n"/>
      <c r="V87" s="137" t="n"/>
      <c r="W87" s="23" t="n"/>
      <c r="X87" s="24" t="n"/>
      <c r="Y87" s="24" t="n"/>
      <c r="Z87" s="24" t="n"/>
      <c r="AA87" s="24" t="n"/>
      <c r="AB87" s="24" t="n"/>
      <c r="AC87" s="24" t="n"/>
      <c r="AD87" s="25" t="n"/>
      <c r="AE87" s="137" t="n"/>
      <c r="AF87" s="23" t="n"/>
      <c r="AG87" s="24" t="n"/>
      <c r="AH87" s="24" t="n"/>
      <c r="AI87" s="24" t="n"/>
      <c r="AJ87" s="24" t="n"/>
      <c r="AK87" s="24" t="n"/>
      <c r="AL87" s="25" t="n"/>
      <c r="AM87" s="137" t="n"/>
      <c r="AN87" s="23" t="n"/>
      <c r="AO87" s="24" t="n"/>
      <c r="AP87" s="24" t="n"/>
      <c r="AQ87" s="24" t="n"/>
      <c r="AR87" s="24" t="n"/>
      <c r="AS87" s="24" t="n"/>
      <c r="AT87" s="25" t="n"/>
      <c r="AU87" s="137" t="n"/>
      <c r="AV87" s="137" t="n"/>
      <c r="AW87" s="144" t="n"/>
      <c r="AX87" s="144" t="n"/>
      <c r="AY87" s="95" t="n"/>
      <c r="AZ87" s="95" t="n"/>
      <c r="BA87" s="95">
        <f>IF($AX87="","",IFERROR(IF(ROUND(VLOOKUP($AX87,DADOS!$CL$5:$CM$10,2,FALSE)*IF($AY87="",1,VLOOKUP($AY87,DADOS!$CO$5:$CP$7,2,FALSE))*IF($AZ87="",1,VLOOKUP($AZ87,DADOS!$CR$5:$CS$15,2,FALSE)),4)&gt;0,MAX(1,FLOOR(ROUND(VLOOKUP($AX87,DADOS!$CL$5:$CM$10,2,FALSE)*IF($AY87="",1,VLOOKUP($AY87,DADOS!$CO$5:$CP$7,2,FALSE))*IF($AZ87="",1,VLOOKUP($AZ87,DADOS!$CR$5:$CS$15,2,FALSE)),4),1)),0),""))</f>
        <v/>
      </c>
      <c r="BB87" s="137" t="n"/>
      <c r="BC87" s="144" t="n"/>
      <c r="BD87" s="144" t="n"/>
      <c r="BE87" s="95" t="n"/>
      <c r="BF87" s="95" t="n"/>
      <c r="BG87" s="95">
        <f>IF($BD87="","",IFERROR(IF(ROUND(VLOOKUP($BD87,DADOS!$CL$5:$CM$10,2,FALSE)*IF($BE87="",1,VLOOKUP($BE87,DADOS!$CO$5:$CP$7,2,FALSE))*IF($BF87="",1,VLOOKUP($BF87,DADOS!$CR$5:$CS$15,2,FALSE)),4)&gt;0,MAX(1,FLOOR(ROUND(VLOOKUP($BD87,DADOS!$CL$5:$CM$10,2,FALSE)*IF($BE87="",1,VLOOKUP($BE87,DADOS!$CO$5:$CP$7,2,FALSE))*IF($BF87="",1,VLOOKUP($BF87,DADOS!$CR$5:$CS$15,2,FALSE)),4),1)),0),""))</f>
        <v/>
      </c>
      <c r="BH87" s="137" t="n"/>
      <c r="BI87" s="144" t="n"/>
      <c r="BJ87" s="144" t="n"/>
      <c r="BK87" s="95" t="n"/>
      <c r="BL87" s="95" t="n"/>
      <c r="BM87" s="95">
        <f>IF($BJ87="","",IFERROR(IF(ROUND(VLOOKUP($BJ87,DADOS!$CL$5:$CM$10,2,FALSE)*IF($BK87="",1,VLOOKUP($BK87,DADOS!$CO$5:$CP$7,2,FALSE))*IF($BL87="",1,VLOOKUP($BL87,DADOS!$CR$5:$CS$15,2,FALSE)),4)&gt;0,MAX(1,FLOOR(ROUND(VLOOKUP($BJ87,DADOS!$CL$5:$CM$10,2,FALSE)*IF($BK87="",1,VLOOKUP($BK87,DADOS!$CO$5:$CP$7,2,FALSE))*IF($BL87="",1,VLOOKUP($BL87,DADOS!$CR$5:$CS$15,2,FALSE)),4),1)),0),""))</f>
        <v/>
      </c>
      <c r="BN87" s="137" t="n"/>
      <c r="BO87" s="144" t="n"/>
      <c r="BP87" s="144" t="n"/>
      <c r="BQ87" s="95" t="n"/>
      <c r="BR87" s="95" t="n"/>
      <c r="BS87" s="95">
        <f>IF($BP87="","",IFERROR(IF(ROUND(VLOOKUP($BP87,DADOS!$CL$5:$CM$10,2,FALSE)*IF($BQ87="",1,VLOOKUP($BQ87,DADOS!$CO$5:$CP$7,2,FALSE))*IF($BR87="",1,VLOOKUP($BR87,DADOS!$CR$5:$CS$15,2,FALSE)),4)&gt;0,MAX(1,FLOOR(ROUND(VLOOKUP($BP87,DADOS!$CL$5:$CM$10,2,FALSE)*IF($BQ87="",1,VLOOKUP($BQ87,DADOS!$CO$5:$CP$7,2,FALSE))*IF($BR87="",1,VLOOKUP($BR87,DADOS!$CR$5:$CS$15,2,FALSE)),4),1)),0),""))</f>
        <v/>
      </c>
      <c r="BT87" s="137" t="n"/>
    </row>
    <row r="88">
      <c r="A88" s="8" t="n"/>
      <c r="B88" s="14" t="n"/>
      <c r="C88" s="137" t="n"/>
      <c r="D88" s="137" t="n"/>
      <c r="E88" s="137" t="n"/>
      <c r="F88" s="137" t="n"/>
      <c r="G88" s="137" t="n"/>
      <c r="H88" s="137" t="n"/>
      <c r="I88" s="137" t="n"/>
      <c r="J88" s="137" t="n"/>
      <c r="K88" s="137" t="n"/>
      <c r="L88" s="137" t="n"/>
      <c r="M88" s="137" t="n"/>
      <c r="N88" s="137" t="n"/>
      <c r="O88" s="137" t="n"/>
      <c r="P88" s="137" t="n"/>
      <c r="Q88" s="137" t="n"/>
      <c r="R88" s="137" t="n"/>
      <c r="S88" s="137" t="n"/>
      <c r="T88" s="137" t="n"/>
      <c r="U88" s="137" t="n"/>
      <c r="V88" s="137" t="n"/>
      <c r="W88" s="137" t="n"/>
      <c r="X88" s="137" t="n"/>
      <c r="Y88" s="137" t="n"/>
      <c r="Z88" s="137" t="n"/>
      <c r="AA88" s="137" t="n"/>
      <c r="AB88" s="137" t="n"/>
      <c r="AC88" s="137" t="n"/>
      <c r="AD88" s="137" t="n"/>
      <c r="AE88" s="137" t="n"/>
      <c r="AF88" s="137" t="n"/>
      <c r="AG88" s="137" t="n"/>
      <c r="AH88" s="137" t="n"/>
      <c r="AI88" s="137" t="n"/>
      <c r="AJ88" s="137" t="n"/>
      <c r="AK88" s="137" t="n"/>
      <c r="AL88" s="137" t="n"/>
      <c r="AM88" s="137" t="n"/>
      <c r="AN88" s="137" t="n"/>
      <c r="AO88" s="137" t="n"/>
      <c r="AP88" s="137" t="n"/>
      <c r="AQ88" s="137" t="n"/>
      <c r="AR88" s="137" t="n"/>
      <c r="AS88" s="137" t="n"/>
      <c r="AT88" s="137" t="n"/>
      <c r="AU88" s="137" t="n"/>
      <c r="AV88" s="137" t="n"/>
      <c r="AW88" s="137" t="n"/>
      <c r="AX88" s="137" t="n"/>
      <c r="AY88" s="137" t="n"/>
      <c r="AZ88" s="137" t="n"/>
      <c r="BA88" s="137" t="n"/>
      <c r="BB88" s="137" t="n"/>
      <c r="BC88" s="137" t="n"/>
      <c r="BD88" s="137" t="n"/>
      <c r="BE88" s="137" t="n"/>
      <c r="BF88" s="137" t="n"/>
      <c r="BG88" s="137" t="n"/>
      <c r="BH88" s="137" t="n"/>
      <c r="BI88" s="137" t="n"/>
      <c r="BJ88" s="137" t="n"/>
      <c r="BK88" s="137" t="n"/>
      <c r="BL88" s="137" t="n"/>
      <c r="BM88" s="137" t="n"/>
      <c r="BN88" s="137" t="n"/>
      <c r="BO88" s="137" t="n"/>
      <c r="BP88" s="137" t="n"/>
      <c r="BQ88" s="137" t="n"/>
      <c r="BR88" s="137" t="n"/>
      <c r="BS88" s="137" t="n"/>
      <c r="BT88" s="137" t="n"/>
    </row>
    <row r="89">
      <c r="A89" s="8" t="n"/>
      <c r="B89" s="14" t="n"/>
      <c r="C89" s="137" t="n"/>
      <c r="D89" s="55" t="inlineStr">
        <is>
          <t>EQUIPÁVEIS GUARDADOS</t>
        </is>
      </c>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20" t="n"/>
      <c r="AU89" s="137" t="n"/>
      <c r="AV89" s="137" t="n"/>
      <c r="AW89" s="55" t="inlineStr">
        <is>
          <t>NÍVEIS</t>
        </is>
      </c>
      <c r="AX89" s="19" t="n"/>
      <c r="AY89" s="19" t="n"/>
      <c r="AZ89" s="19" t="n"/>
      <c r="BA89" s="19" t="n"/>
      <c r="BB89" s="19" t="n"/>
      <c r="BC89" s="19" t="n"/>
      <c r="BD89" s="19" t="n"/>
      <c r="BE89" s="19" t="n"/>
      <c r="BF89" s="19" t="n"/>
      <c r="BG89" s="20" t="n"/>
      <c r="BH89" s="137" t="n"/>
      <c r="BI89" s="137" t="n"/>
      <c r="BJ89" s="137" t="n"/>
      <c r="BK89" s="137" t="n"/>
      <c r="BL89" s="137" t="n"/>
      <c r="BM89" s="137" t="n"/>
      <c r="BN89" s="137" t="n"/>
      <c r="BO89" s="137" t="n"/>
      <c r="BP89" s="137" t="n"/>
      <c r="BQ89" s="137" t="n"/>
      <c r="BR89" s="137" t="n"/>
      <c r="BS89" s="137" t="n"/>
      <c r="BT89" s="137" t="n"/>
    </row>
    <row r="90">
      <c r="A90" s="8" t="n"/>
      <c r="B90" s="14" t="n"/>
      <c r="C90" s="137" t="n"/>
      <c r="D90" s="23" t="n"/>
      <c r="E90" s="24" t="n"/>
      <c r="F90" s="24" t="n"/>
      <c r="G90" s="24" t="n"/>
      <c r="H90" s="24" t="n"/>
      <c r="I90" s="24" t="n"/>
      <c r="J90" s="24" t="n"/>
      <c r="K90" s="24" t="n"/>
      <c r="L90" s="24" t="n"/>
      <c r="M90" s="24" t="n"/>
      <c r="N90" s="24" t="n"/>
      <c r="O90" s="24" t="n"/>
      <c r="P90" s="24" t="n"/>
      <c r="Q90" s="24" t="n"/>
      <c r="R90" s="24" t="n"/>
      <c r="S90" s="24" t="n"/>
      <c r="T90" s="24" t="n"/>
      <c r="U90" s="24" t="n"/>
      <c r="V90" s="24" t="n"/>
      <c r="W90" s="24" t="n"/>
      <c r="X90" s="24" t="n"/>
      <c r="Y90" s="24" t="n"/>
      <c r="Z90" s="24" t="n"/>
      <c r="AA90" s="24" t="n"/>
      <c r="AB90" s="24" t="n"/>
      <c r="AC90" s="24" t="n"/>
      <c r="AD90" s="24" t="n"/>
      <c r="AE90" s="24" t="n"/>
      <c r="AF90" s="24" t="n"/>
      <c r="AG90" s="24" t="n"/>
      <c r="AH90" s="24" t="n"/>
      <c r="AI90" s="24" t="n"/>
      <c r="AJ90" s="24" t="n"/>
      <c r="AK90" s="24" t="n"/>
      <c r="AL90" s="24" t="n"/>
      <c r="AM90" s="24" t="n"/>
      <c r="AN90" s="24" t="n"/>
      <c r="AO90" s="24" t="n"/>
      <c r="AP90" s="24" t="n"/>
      <c r="AQ90" s="24" t="n"/>
      <c r="AR90" s="24" t="n"/>
      <c r="AS90" s="24" t="n"/>
      <c r="AT90" s="25" t="n"/>
      <c r="AU90" s="137" t="n"/>
      <c r="AV90" s="137" t="n"/>
      <c r="AW90" s="23" t="n"/>
      <c r="AX90" s="24" t="n"/>
      <c r="AY90" s="24" t="n"/>
      <c r="AZ90" s="24" t="n"/>
      <c r="BA90" s="24" t="n"/>
      <c r="BB90" s="24" t="n"/>
      <c r="BC90" s="24" t="n"/>
      <c r="BD90" s="24" t="n"/>
      <c r="BE90" s="24" t="n"/>
      <c r="BF90" s="24" t="n"/>
      <c r="BG90" s="25" t="n"/>
      <c r="BH90" s="137" t="n"/>
      <c r="BI90" s="137" t="n"/>
      <c r="BJ90" s="137" t="n"/>
      <c r="BK90" s="137" t="n"/>
      <c r="BL90" s="137" t="n"/>
      <c r="BM90" s="137" t="n"/>
      <c r="BN90" s="137" t="n"/>
      <c r="BO90" s="137" t="n"/>
      <c r="BP90" s="137" t="n"/>
      <c r="BQ90" s="137" t="n"/>
      <c r="BR90" s="137" t="n"/>
      <c r="BS90" s="137" t="n"/>
      <c r="BT90" s="137" t="n"/>
    </row>
    <row r="91">
      <c r="A91" s="8" t="n"/>
      <c r="B91" s="14" t="n"/>
      <c r="C91" s="137" t="n"/>
      <c r="D91" s="56" t="inlineStr">
        <is>
          <t>EQUIPÁVEL</t>
        </is>
      </c>
      <c r="E91" s="16" t="n"/>
      <c r="F91" s="16" t="n"/>
      <c r="G91" s="16" t="n"/>
      <c r="H91" s="16" t="n"/>
      <c r="I91" s="16" t="n"/>
      <c r="J91" s="17" t="n"/>
      <c r="K91" s="56" t="inlineStr">
        <is>
          <t>QTD.</t>
        </is>
      </c>
      <c r="L91" s="17" t="n"/>
      <c r="M91" s="56" t="inlineStr">
        <is>
          <t>CATEGORIA</t>
        </is>
      </c>
      <c r="N91" s="16" t="n"/>
      <c r="O91" s="16" t="n"/>
      <c r="P91" s="16" t="n"/>
      <c r="Q91" s="16" t="n"/>
      <c r="R91" s="17" t="n"/>
      <c r="S91" s="56" t="inlineStr">
        <is>
          <t>MÃO</t>
        </is>
      </c>
      <c r="T91" s="17" t="n"/>
      <c r="U91" s="56" t="inlineStr">
        <is>
          <t>DADO</t>
        </is>
      </c>
      <c r="V91" s="17" t="n"/>
      <c r="W91" s="56" t="inlineStr">
        <is>
          <t>PROPRIEDADES</t>
        </is>
      </c>
      <c r="X91" s="16" t="n"/>
      <c r="Y91" s="16" t="n"/>
      <c r="Z91" s="16" t="n"/>
      <c r="AA91" s="16" t="n"/>
      <c r="AB91" s="16" t="n"/>
      <c r="AC91" s="16" t="n"/>
      <c r="AD91" s="17" t="n"/>
      <c r="AE91" s="56" t="inlineStr">
        <is>
          <t>FORÇA</t>
        </is>
      </c>
      <c r="AF91" s="17" t="n"/>
      <c r="AG91" s="56" t="inlineStr">
        <is>
          <t>VOL.</t>
        </is>
      </c>
      <c r="AH91" s="17" t="n"/>
      <c r="AI91" s="56" t="inlineStr">
        <is>
          <t>GRAU</t>
        </is>
      </c>
      <c r="AJ91" s="17" t="n"/>
      <c r="AK91" s="56" t="inlineStr">
        <is>
          <t>ESTIGMA</t>
        </is>
      </c>
      <c r="AL91" s="16" t="n"/>
      <c r="AM91" s="16" t="n"/>
      <c r="AN91" s="16" t="n"/>
      <c r="AO91" s="16" t="n"/>
      <c r="AP91" s="17" t="n"/>
      <c r="AQ91" s="56" t="inlineStr">
        <is>
          <t>DESGASTE</t>
        </is>
      </c>
      <c r="AR91" s="16" t="n"/>
      <c r="AS91" s="16" t="n"/>
      <c r="AT91" s="17" t="n"/>
      <c r="AU91" s="137" t="n"/>
      <c r="AV91" s="137" t="n"/>
      <c r="AW91" s="56" t="inlineStr">
        <is>
          <t>NÍVEL</t>
        </is>
      </c>
      <c r="AX91" s="56" t="inlineStr">
        <is>
          <t>PARA SUBIR</t>
        </is>
      </c>
      <c r="AY91" s="17" t="n"/>
      <c r="AZ91" s="56" t="inlineStr">
        <is>
          <t>ACUMULADO</t>
        </is>
      </c>
      <c r="BA91" s="17" t="n"/>
      <c r="BB91" s="137" t="n"/>
      <c r="BC91" s="56" t="inlineStr">
        <is>
          <t>NÍVEL</t>
        </is>
      </c>
      <c r="BD91" s="56" t="inlineStr">
        <is>
          <t>PARA SUBIR</t>
        </is>
      </c>
      <c r="BE91" s="17" t="n"/>
      <c r="BF91" s="56" t="inlineStr">
        <is>
          <t>ACUMULADO</t>
        </is>
      </c>
      <c r="BG91" s="17" t="n"/>
      <c r="BH91" s="137" t="n"/>
      <c r="BI91" s="137" t="n"/>
      <c r="BJ91" s="137" t="n"/>
      <c r="BK91" s="137" t="n"/>
      <c r="BL91" s="137" t="n"/>
      <c r="BM91" s="137" t="n"/>
      <c r="BN91" s="137" t="n"/>
      <c r="BO91" s="137" t="n"/>
      <c r="BP91" s="137" t="n"/>
      <c r="BQ91" s="137" t="n"/>
      <c r="BR91" s="137" t="n"/>
      <c r="BS91" s="137" t="n"/>
      <c r="BT91" s="137" t="n"/>
    </row>
    <row r="92">
      <c r="A92" s="8" t="n"/>
      <c r="B92" s="14" t="n"/>
      <c r="C92" s="137" t="n"/>
      <c r="D92" s="144" t="n"/>
      <c r="E92" s="16" t="n"/>
      <c r="F92" s="16" t="n"/>
      <c r="G92" s="16" t="n"/>
      <c r="H92" s="16" t="n"/>
      <c r="I92" s="16" t="n"/>
      <c r="J92" s="17" t="n"/>
      <c r="K92" s="95" t="n"/>
      <c r="L92" s="17" t="n"/>
      <c r="M92" s="144">
        <f>IF($D92="","",IFERROR(VLOOKUP($D92,'DADOS_CUSTOM'!$AA$2:$AK$106,2,FALSE),""))</f>
        <v/>
      </c>
      <c r="N92" s="16" t="n"/>
      <c r="O92" s="16" t="n"/>
      <c r="P92" s="16" t="n"/>
      <c r="Q92" s="16" t="n"/>
      <c r="R92" s="17" t="n"/>
      <c r="S92" s="95">
        <f>IF($D92="","",IFERROR(VLOOKUP($D92,'DADOS_CUSTOM'!$AA$2:$AK$106,3,FALSE),""))</f>
        <v/>
      </c>
      <c r="T92" s="17" t="n"/>
      <c r="U92" s="95">
        <f>IF($D92="","",IFERROR(VLOOKUP($D92,'DADOS_CUSTOM'!$AA$2:$AK$106,4,FALSE),""))</f>
        <v/>
      </c>
      <c r="V92" s="17" t="n"/>
      <c r="W92" s="144">
        <f>IF($D92="","",IFERROR(VLOOKUP($D92,'DADOS_CUSTOM'!$AA$2:$AK$106,5,FALSE),""))</f>
        <v/>
      </c>
      <c r="X92" s="16" t="n"/>
      <c r="Y92" s="16" t="n"/>
      <c r="Z92" s="16" t="n"/>
      <c r="AA92" s="16" t="n"/>
      <c r="AB92" s="16" t="n"/>
      <c r="AC92" s="16" t="n"/>
      <c r="AD92" s="17" t="n"/>
      <c r="AE92" s="95">
        <f>IF($D92="","",IFERROR(VLOOKUP($D92,'DADOS_CUSTOM'!$AA$2:$AK$106,6,FALSE),""))</f>
        <v/>
      </c>
      <c r="AF92" s="17" t="n"/>
      <c r="AG92" s="95">
        <f>IF($D92="","",IFERROR(IF($K92="",1,$K92)*VLOOKUP($D92,'DADOS_CUSTOM'!$AA$2:$AK$106,7,FALSE),""))</f>
        <v/>
      </c>
      <c r="AH92" s="17" t="n"/>
      <c r="AI92" s="95">
        <f>IF($D92="","",IFERROR(VLOOKUP($D92,'DADOS_CUSTOM'!$BM$2:$BU$125,7,FALSE),""))</f>
        <v/>
      </c>
      <c r="AJ92" s="17" t="n"/>
      <c r="AK92" s="144">
        <f>IF($D92="","",IFERROR(VLOOKUP($D92,'DADOS_CUSTOM'!$BM$2:$BU$125,8,FALSE),""))</f>
        <v/>
      </c>
      <c r="AL92" s="16" t="n"/>
      <c r="AM92" s="16" t="n"/>
      <c r="AN92" s="16" t="n"/>
      <c r="AO92" s="16" t="n"/>
      <c r="AP92" s="17" t="n"/>
      <c r="AQ92" s="95">
        <f>IF($D92="","",IFERROR(VLOOKUP($D92,'DADOS_CUSTOM'!$BM$2:$BU$125,9,FALSE),""))</f>
        <v/>
      </c>
      <c r="AR92" s="16" t="n"/>
      <c r="AS92" s="16" t="n"/>
      <c r="AT92" s="17" t="n"/>
      <c r="AU92" s="137" t="n"/>
      <c r="AV92" s="137" t="n"/>
      <c r="AW92" s="95">
        <f>IF(DADOS!$CZ$48=2,"▸ 2",2)</f>
        <v/>
      </c>
      <c r="AX92" s="95" t="inlineStr">
        <is>
          <t>200</t>
        </is>
      </c>
      <c r="AY92" s="17" t="n"/>
      <c r="AZ92" s="95" t="inlineStr">
        <is>
          <t>0</t>
        </is>
      </c>
      <c r="BA92" s="17" t="n"/>
      <c r="BB92" s="137" t="n"/>
      <c r="BC92" s="95">
        <f>IF(DADOS!$CZ$48=17,"▸ 17",17)</f>
        <v/>
      </c>
      <c r="BD92" s="95" t="inlineStr">
        <is>
          <t>1300</t>
        </is>
      </c>
      <c r="BE92" s="17" t="n"/>
      <c r="BF92" s="95" t="inlineStr">
        <is>
          <t>10.400</t>
        </is>
      </c>
      <c r="BG92" s="17" t="n"/>
      <c r="BH92" s="137" t="n"/>
      <c r="BI92" s="137" t="n"/>
      <c r="BJ92" s="137" t="n"/>
      <c r="BK92" s="137" t="n"/>
      <c r="BL92" s="137" t="n"/>
      <c r="BM92" s="137" t="n"/>
      <c r="BN92" s="137" t="n"/>
      <c r="BO92" s="137" t="n"/>
      <c r="BP92" s="137" t="n"/>
      <c r="BQ92" s="137" t="n"/>
      <c r="BR92" s="137" t="n"/>
      <c r="BS92" s="137" t="n"/>
      <c r="BT92" s="137" t="n"/>
    </row>
    <row r="93">
      <c r="A93" s="8" t="n"/>
      <c r="B93" s="14" t="n"/>
      <c r="C93" s="137" t="n"/>
      <c r="D93" s="144" t="n"/>
      <c r="E93" s="16" t="n"/>
      <c r="F93" s="16" t="n"/>
      <c r="G93" s="16" t="n"/>
      <c r="H93" s="16" t="n"/>
      <c r="I93" s="16" t="n"/>
      <c r="J93" s="17" t="n"/>
      <c r="K93" s="95" t="n"/>
      <c r="L93" s="17" t="n"/>
      <c r="M93" s="144">
        <f>IF($D93="","",IFERROR(VLOOKUP($D93,'DADOS_CUSTOM'!$AA$2:$AK$106,2,FALSE),""))</f>
        <v/>
      </c>
      <c r="N93" s="16" t="n"/>
      <c r="O93" s="16" t="n"/>
      <c r="P93" s="16" t="n"/>
      <c r="Q93" s="16" t="n"/>
      <c r="R93" s="17" t="n"/>
      <c r="S93" s="95">
        <f>IF($D93="","",IFERROR(VLOOKUP($D93,'DADOS_CUSTOM'!$AA$2:$AK$106,3,FALSE),""))</f>
        <v/>
      </c>
      <c r="T93" s="17" t="n"/>
      <c r="U93" s="95">
        <f>IF($D93="","",IFERROR(VLOOKUP($D93,'DADOS_CUSTOM'!$AA$2:$AK$106,4,FALSE),""))</f>
        <v/>
      </c>
      <c r="V93" s="17" t="n"/>
      <c r="W93" s="144">
        <f>IF($D93="","",IFERROR(VLOOKUP($D93,'DADOS_CUSTOM'!$AA$2:$AK$106,5,FALSE),""))</f>
        <v/>
      </c>
      <c r="X93" s="16" t="n"/>
      <c r="Y93" s="16" t="n"/>
      <c r="Z93" s="16" t="n"/>
      <c r="AA93" s="16" t="n"/>
      <c r="AB93" s="16" t="n"/>
      <c r="AC93" s="16" t="n"/>
      <c r="AD93" s="17" t="n"/>
      <c r="AE93" s="95">
        <f>IF($D93="","",IFERROR(VLOOKUP($D93,'DADOS_CUSTOM'!$AA$2:$AK$106,6,FALSE),""))</f>
        <v/>
      </c>
      <c r="AF93" s="17" t="n"/>
      <c r="AG93" s="95">
        <f>IF($D93="","",IFERROR(IF($K93="",1,$K93)*VLOOKUP($D93,'DADOS_CUSTOM'!$AA$2:$AK$106,7,FALSE),""))</f>
        <v/>
      </c>
      <c r="AH93" s="17" t="n"/>
      <c r="AI93" s="95">
        <f>IF($D93="","",IFERROR(VLOOKUP($D93,'DADOS_CUSTOM'!$BM$2:$BU$125,7,FALSE),""))</f>
        <v/>
      </c>
      <c r="AJ93" s="17" t="n"/>
      <c r="AK93" s="144">
        <f>IF($D93="","",IFERROR(VLOOKUP($D93,'DADOS_CUSTOM'!$BM$2:$BU$125,8,FALSE),""))</f>
        <v/>
      </c>
      <c r="AL93" s="16" t="n"/>
      <c r="AM93" s="16" t="n"/>
      <c r="AN93" s="16" t="n"/>
      <c r="AO93" s="16" t="n"/>
      <c r="AP93" s="17" t="n"/>
      <c r="AQ93" s="95">
        <f>IF($D93="","",IFERROR(VLOOKUP($D93,'DADOS_CUSTOM'!$BM$2:$BU$125,9,FALSE),""))</f>
        <v/>
      </c>
      <c r="AR93" s="16" t="n"/>
      <c r="AS93" s="16" t="n"/>
      <c r="AT93" s="17" t="n"/>
      <c r="AU93" s="137" t="n"/>
      <c r="AV93" s="137" t="n"/>
      <c r="AW93" s="95">
        <f>IF(DADOS!$CZ$48=3,"▸ 3",3)</f>
        <v/>
      </c>
      <c r="AX93" s="95" t="inlineStr">
        <is>
          <t>300</t>
        </is>
      </c>
      <c r="AY93" s="17" t="n"/>
      <c r="AZ93" s="95" t="inlineStr">
        <is>
          <t>200</t>
        </is>
      </c>
      <c r="BA93" s="17" t="n"/>
      <c r="BB93" s="137" t="n"/>
      <c r="BC93" s="95">
        <f>IF(DADOS!$CZ$48=18,"▸ 18",18)</f>
        <v/>
      </c>
      <c r="BD93" s="95" t="inlineStr">
        <is>
          <t>1300</t>
        </is>
      </c>
      <c r="BE93" s="17" t="n"/>
      <c r="BF93" s="95" t="inlineStr">
        <is>
          <t>11.700</t>
        </is>
      </c>
      <c r="BG93" s="17" t="n"/>
      <c r="BH93" s="137" t="n"/>
      <c r="BI93" s="137" t="n"/>
      <c r="BJ93" s="137" t="n"/>
      <c r="BK93" s="137" t="n"/>
      <c r="BL93" s="137" t="n"/>
      <c r="BM93" s="137" t="n"/>
      <c r="BN93" s="137" t="n"/>
      <c r="BO93" s="137" t="n"/>
      <c r="BP93" s="137" t="n"/>
      <c r="BQ93" s="137" t="n"/>
      <c r="BR93" s="137" t="n"/>
      <c r="BS93" s="137" t="n"/>
      <c r="BT93" s="137" t="n"/>
    </row>
    <row r="94">
      <c r="A94" s="8" t="n"/>
      <c r="B94" s="14" t="n"/>
      <c r="C94" s="137" t="n"/>
      <c r="D94" s="144" t="n"/>
      <c r="E94" s="16" t="n"/>
      <c r="F94" s="16" t="n"/>
      <c r="G94" s="16" t="n"/>
      <c r="H94" s="16" t="n"/>
      <c r="I94" s="16" t="n"/>
      <c r="J94" s="17" t="n"/>
      <c r="K94" s="95" t="n"/>
      <c r="L94" s="17" t="n"/>
      <c r="M94" s="144">
        <f>IF($D94="","",IFERROR(VLOOKUP($D94,'DADOS_CUSTOM'!$AA$2:$AK$106,2,FALSE),""))</f>
        <v/>
      </c>
      <c r="N94" s="16" t="n"/>
      <c r="O94" s="16" t="n"/>
      <c r="P94" s="16" t="n"/>
      <c r="Q94" s="16" t="n"/>
      <c r="R94" s="17" t="n"/>
      <c r="S94" s="95">
        <f>IF($D94="","",IFERROR(VLOOKUP($D94,'DADOS_CUSTOM'!$AA$2:$AK$106,3,FALSE),""))</f>
        <v/>
      </c>
      <c r="T94" s="17" t="n"/>
      <c r="U94" s="95">
        <f>IF($D94="","",IFERROR(VLOOKUP($D94,'DADOS_CUSTOM'!$AA$2:$AK$106,4,FALSE),""))</f>
        <v/>
      </c>
      <c r="V94" s="17" t="n"/>
      <c r="W94" s="144">
        <f>IF($D94="","",IFERROR(VLOOKUP($D94,'DADOS_CUSTOM'!$AA$2:$AK$106,5,FALSE),""))</f>
        <v/>
      </c>
      <c r="X94" s="16" t="n"/>
      <c r="Y94" s="16" t="n"/>
      <c r="Z94" s="16" t="n"/>
      <c r="AA94" s="16" t="n"/>
      <c r="AB94" s="16" t="n"/>
      <c r="AC94" s="16" t="n"/>
      <c r="AD94" s="17" t="n"/>
      <c r="AE94" s="95">
        <f>IF($D94="","",IFERROR(VLOOKUP($D94,'DADOS_CUSTOM'!$AA$2:$AK$106,6,FALSE),""))</f>
        <v/>
      </c>
      <c r="AF94" s="17" t="n"/>
      <c r="AG94" s="95">
        <f>IF($D94="","",IFERROR(IF($K94="",1,$K94)*VLOOKUP($D94,'DADOS_CUSTOM'!$AA$2:$AK$106,7,FALSE),""))</f>
        <v/>
      </c>
      <c r="AH94" s="17" t="n"/>
      <c r="AI94" s="95">
        <f>IF($D94="","",IFERROR(VLOOKUP($D94,'DADOS_CUSTOM'!$BM$2:$BU$125,7,FALSE),""))</f>
        <v/>
      </c>
      <c r="AJ94" s="17" t="n"/>
      <c r="AK94" s="144">
        <f>IF($D94="","",IFERROR(VLOOKUP($D94,'DADOS_CUSTOM'!$BM$2:$BU$125,8,FALSE),""))</f>
        <v/>
      </c>
      <c r="AL94" s="16" t="n"/>
      <c r="AM94" s="16" t="n"/>
      <c r="AN94" s="16" t="n"/>
      <c r="AO94" s="16" t="n"/>
      <c r="AP94" s="17" t="n"/>
      <c r="AQ94" s="95">
        <f>IF($D94="","",IFERROR(VLOOKUP($D94,'DADOS_CUSTOM'!$BM$2:$BU$125,9,FALSE),""))</f>
        <v/>
      </c>
      <c r="AR94" s="16" t="n"/>
      <c r="AS94" s="16" t="n"/>
      <c r="AT94" s="17" t="n"/>
      <c r="AU94" s="137" t="n"/>
      <c r="AV94" s="137" t="n"/>
      <c r="AW94" s="95">
        <f>IF(DADOS!$CZ$48=4,"▸ 4",4)</f>
        <v/>
      </c>
      <c r="AX94" s="95" t="inlineStr">
        <is>
          <t>300</t>
        </is>
      </c>
      <c r="AY94" s="17" t="n"/>
      <c r="AZ94" s="95" t="inlineStr">
        <is>
          <t>500</t>
        </is>
      </c>
      <c r="BA94" s="17" t="n"/>
      <c r="BB94" s="137" t="n"/>
      <c r="BC94" s="95">
        <f>IF(DADOS!$CZ$48=19,"▸ 19",19)</f>
        <v/>
      </c>
      <c r="BD94" s="95" t="inlineStr">
        <is>
          <t>1300</t>
        </is>
      </c>
      <c r="BE94" s="17" t="n"/>
      <c r="BF94" s="95" t="inlineStr">
        <is>
          <t>13.000</t>
        </is>
      </c>
      <c r="BG94" s="17" t="n"/>
      <c r="BH94" s="137" t="n"/>
      <c r="BI94" s="137" t="n"/>
      <c r="BJ94" s="137" t="n"/>
      <c r="BK94" s="137" t="n"/>
      <c r="BL94" s="137" t="n"/>
      <c r="BM94" s="137" t="n"/>
      <c r="BN94" s="137" t="n"/>
      <c r="BO94" s="137" t="n"/>
      <c r="BP94" s="137" t="n"/>
      <c r="BQ94" s="137" t="n"/>
      <c r="BR94" s="137" t="n"/>
      <c r="BS94" s="137" t="n"/>
      <c r="BT94" s="137" t="n"/>
    </row>
    <row r="95">
      <c r="A95" s="8" t="n"/>
      <c r="B95" s="14" t="n"/>
      <c r="C95" s="137" t="n"/>
      <c r="D95" s="144" t="n"/>
      <c r="E95" s="16" t="n"/>
      <c r="F95" s="16" t="n"/>
      <c r="G95" s="16" t="n"/>
      <c r="H95" s="16" t="n"/>
      <c r="I95" s="16" t="n"/>
      <c r="J95" s="17" t="n"/>
      <c r="K95" s="95" t="n"/>
      <c r="L95" s="17" t="n"/>
      <c r="M95" s="144">
        <f>IF($D95="","",IFERROR(VLOOKUP($D95,'DADOS_CUSTOM'!$AA$2:$AK$106,2,FALSE),""))</f>
        <v/>
      </c>
      <c r="N95" s="16" t="n"/>
      <c r="O95" s="16" t="n"/>
      <c r="P95" s="16" t="n"/>
      <c r="Q95" s="16" t="n"/>
      <c r="R95" s="17" t="n"/>
      <c r="S95" s="95">
        <f>IF($D95="","",IFERROR(VLOOKUP($D95,'DADOS_CUSTOM'!$AA$2:$AK$106,3,FALSE),""))</f>
        <v/>
      </c>
      <c r="T95" s="17" t="n"/>
      <c r="U95" s="95">
        <f>IF($D95="","",IFERROR(VLOOKUP($D95,'DADOS_CUSTOM'!$AA$2:$AK$106,4,FALSE),""))</f>
        <v/>
      </c>
      <c r="V95" s="17" t="n"/>
      <c r="W95" s="144">
        <f>IF($D95="","",IFERROR(VLOOKUP($D95,'DADOS_CUSTOM'!$AA$2:$AK$106,5,FALSE),""))</f>
        <v/>
      </c>
      <c r="X95" s="16" t="n"/>
      <c r="Y95" s="16" t="n"/>
      <c r="Z95" s="16" t="n"/>
      <c r="AA95" s="16" t="n"/>
      <c r="AB95" s="16" t="n"/>
      <c r="AC95" s="16" t="n"/>
      <c r="AD95" s="17" t="n"/>
      <c r="AE95" s="95">
        <f>IF($D95="","",IFERROR(VLOOKUP($D95,'DADOS_CUSTOM'!$AA$2:$AK$106,6,FALSE),""))</f>
        <v/>
      </c>
      <c r="AF95" s="17" t="n"/>
      <c r="AG95" s="95">
        <f>IF($D95="","",IFERROR(IF($K95="",1,$K95)*VLOOKUP($D95,'DADOS_CUSTOM'!$AA$2:$AK$106,7,FALSE),""))</f>
        <v/>
      </c>
      <c r="AH95" s="17" t="n"/>
      <c r="AI95" s="95">
        <f>IF($D95="","",IFERROR(VLOOKUP($D95,'DADOS_CUSTOM'!$BM$2:$BU$125,7,FALSE),""))</f>
        <v/>
      </c>
      <c r="AJ95" s="17" t="n"/>
      <c r="AK95" s="144">
        <f>IF($D95="","",IFERROR(VLOOKUP($D95,'DADOS_CUSTOM'!$BM$2:$BU$125,8,FALSE),""))</f>
        <v/>
      </c>
      <c r="AL95" s="16" t="n"/>
      <c r="AM95" s="16" t="n"/>
      <c r="AN95" s="16" t="n"/>
      <c r="AO95" s="16" t="n"/>
      <c r="AP95" s="17" t="n"/>
      <c r="AQ95" s="95">
        <f>IF($D95="","",IFERROR(VLOOKUP($D95,'DADOS_CUSTOM'!$BM$2:$BU$125,9,FALSE),""))</f>
        <v/>
      </c>
      <c r="AR95" s="16" t="n"/>
      <c r="AS95" s="16" t="n"/>
      <c r="AT95" s="17" t="n"/>
      <c r="AU95" s="137" t="n"/>
      <c r="AV95" s="137" t="n"/>
      <c r="AW95" s="95">
        <f>IF(DADOS!$CZ$48=5,"▸ 5",5)</f>
        <v/>
      </c>
      <c r="AX95" s="95" t="inlineStr">
        <is>
          <t>500</t>
        </is>
      </c>
      <c r="AY95" s="17" t="n"/>
      <c r="AZ95" s="95" t="inlineStr">
        <is>
          <t>800</t>
        </is>
      </c>
      <c r="BA95" s="17" t="n"/>
      <c r="BB95" s="137" t="n"/>
      <c r="BC95" s="95">
        <f>IF(DADOS!$CZ$48=20,"▸ 20",20)</f>
        <v/>
      </c>
      <c r="BD95" s="95" t="inlineStr">
        <is>
          <t>1500 e um feito</t>
        </is>
      </c>
      <c r="BE95" s="17" t="n"/>
      <c r="BF95" s="95" t="inlineStr">
        <is>
          <t>14.300</t>
        </is>
      </c>
      <c r="BG95" s="17" t="n"/>
      <c r="BH95" s="137" t="n"/>
      <c r="BI95" s="137" t="n"/>
      <c r="BJ95" s="137" t="n"/>
      <c r="BK95" s="137" t="n"/>
      <c r="BL95" s="137" t="n"/>
      <c r="BM95" s="137" t="n"/>
      <c r="BN95" s="137" t="n"/>
      <c r="BO95" s="137" t="n"/>
      <c r="BP95" s="137" t="n"/>
      <c r="BQ95" s="137" t="n"/>
      <c r="BR95" s="137" t="n"/>
      <c r="BS95" s="137" t="n"/>
      <c r="BT95" s="137" t="n"/>
    </row>
    <row r="96">
      <c r="A96" s="8" t="n"/>
      <c r="B96" s="14" t="n"/>
      <c r="C96" s="137" t="n"/>
      <c r="D96" s="144" t="n"/>
      <c r="E96" s="16" t="n"/>
      <c r="F96" s="16" t="n"/>
      <c r="G96" s="16" t="n"/>
      <c r="H96" s="16" t="n"/>
      <c r="I96" s="16" t="n"/>
      <c r="J96" s="17" t="n"/>
      <c r="K96" s="95" t="n"/>
      <c r="L96" s="17" t="n"/>
      <c r="M96" s="144">
        <f>IF($D96="","",IFERROR(VLOOKUP($D96,'DADOS_CUSTOM'!$AA$2:$AK$106,2,FALSE),""))</f>
        <v/>
      </c>
      <c r="N96" s="16" t="n"/>
      <c r="O96" s="16" t="n"/>
      <c r="P96" s="16" t="n"/>
      <c r="Q96" s="16" t="n"/>
      <c r="R96" s="17" t="n"/>
      <c r="S96" s="95">
        <f>IF($D96="","",IFERROR(VLOOKUP($D96,'DADOS_CUSTOM'!$AA$2:$AK$106,3,FALSE),""))</f>
        <v/>
      </c>
      <c r="T96" s="17" t="n"/>
      <c r="U96" s="95">
        <f>IF($D96="","",IFERROR(VLOOKUP($D96,'DADOS_CUSTOM'!$AA$2:$AK$106,4,FALSE),""))</f>
        <v/>
      </c>
      <c r="V96" s="17" t="n"/>
      <c r="W96" s="144">
        <f>IF($D96="","",IFERROR(VLOOKUP($D96,'DADOS_CUSTOM'!$AA$2:$AK$106,5,FALSE),""))</f>
        <v/>
      </c>
      <c r="X96" s="16" t="n"/>
      <c r="Y96" s="16" t="n"/>
      <c r="Z96" s="16" t="n"/>
      <c r="AA96" s="16" t="n"/>
      <c r="AB96" s="16" t="n"/>
      <c r="AC96" s="16" t="n"/>
      <c r="AD96" s="17" t="n"/>
      <c r="AE96" s="95">
        <f>IF($D96="","",IFERROR(VLOOKUP($D96,'DADOS_CUSTOM'!$AA$2:$AK$106,6,FALSE),""))</f>
        <v/>
      </c>
      <c r="AF96" s="17" t="n"/>
      <c r="AG96" s="95">
        <f>IF($D96="","",IFERROR(IF($K96="",1,$K96)*VLOOKUP($D96,'DADOS_CUSTOM'!$AA$2:$AK$106,7,FALSE),""))</f>
        <v/>
      </c>
      <c r="AH96" s="17" t="n"/>
      <c r="AI96" s="95">
        <f>IF($D96="","",IFERROR(VLOOKUP($D96,'DADOS_CUSTOM'!$BM$2:$BU$125,7,FALSE),""))</f>
        <v/>
      </c>
      <c r="AJ96" s="17" t="n"/>
      <c r="AK96" s="144">
        <f>IF($D96="","",IFERROR(VLOOKUP($D96,'DADOS_CUSTOM'!$BM$2:$BU$125,8,FALSE),""))</f>
        <v/>
      </c>
      <c r="AL96" s="16" t="n"/>
      <c r="AM96" s="16" t="n"/>
      <c r="AN96" s="16" t="n"/>
      <c r="AO96" s="16" t="n"/>
      <c r="AP96" s="17" t="n"/>
      <c r="AQ96" s="95">
        <f>IF($D96="","",IFERROR(VLOOKUP($D96,'DADOS_CUSTOM'!$BM$2:$BU$125,9,FALSE),""))</f>
        <v/>
      </c>
      <c r="AR96" s="16" t="n"/>
      <c r="AS96" s="16" t="n"/>
      <c r="AT96" s="17" t="n"/>
      <c r="AU96" s="137" t="n"/>
      <c r="AV96" s="137" t="n"/>
      <c r="AW96" s="95">
        <f>IF(DADOS!$CZ$48=6,"▸ 6",6)</f>
        <v/>
      </c>
      <c r="AX96" s="95" t="inlineStr">
        <is>
          <t>500</t>
        </is>
      </c>
      <c r="AY96" s="17" t="n"/>
      <c r="AZ96" s="95" t="inlineStr">
        <is>
          <t>1.300</t>
        </is>
      </c>
      <c r="BA96" s="17" t="n"/>
      <c r="BB96" s="137" t="n"/>
      <c r="BC96" s="95">
        <f>IF(DADOS!$CZ$48=21,"▸ 21",21)</f>
        <v/>
      </c>
      <c r="BD96" s="95" t="inlineStr">
        <is>
          <t>1500</t>
        </is>
      </c>
      <c r="BE96" s="17" t="n"/>
      <c r="BF96" s="95" t="inlineStr">
        <is>
          <t>15.800</t>
        </is>
      </c>
      <c r="BG96" s="17" t="n"/>
      <c r="BH96" s="137" t="n"/>
      <c r="BI96" s="137" t="n"/>
      <c r="BJ96" s="137" t="n"/>
      <c r="BK96" s="137" t="n"/>
      <c r="BL96" s="137" t="n"/>
      <c r="BM96" s="137" t="n"/>
      <c r="BN96" s="137" t="n"/>
      <c r="BO96" s="137" t="n"/>
      <c r="BP96" s="137" t="n"/>
      <c r="BQ96" s="137" t="n"/>
      <c r="BR96" s="137" t="n"/>
      <c r="BS96" s="137" t="n"/>
      <c r="BT96" s="137" t="n"/>
    </row>
    <row r="97">
      <c r="A97" s="8" t="n"/>
      <c r="B97" s="14" t="n"/>
      <c r="C97" s="137" t="n"/>
      <c r="D97" s="144" t="n"/>
      <c r="E97" s="16" t="n"/>
      <c r="F97" s="16" t="n"/>
      <c r="G97" s="16" t="n"/>
      <c r="H97" s="16" t="n"/>
      <c r="I97" s="16" t="n"/>
      <c r="J97" s="17" t="n"/>
      <c r="K97" s="95" t="n"/>
      <c r="L97" s="17" t="n"/>
      <c r="M97" s="144">
        <f>IF($D97="","",IFERROR(VLOOKUP($D97,'DADOS_CUSTOM'!$AA$2:$AK$106,2,FALSE),""))</f>
        <v/>
      </c>
      <c r="N97" s="16" t="n"/>
      <c r="O97" s="16" t="n"/>
      <c r="P97" s="16" t="n"/>
      <c r="Q97" s="16" t="n"/>
      <c r="R97" s="17" t="n"/>
      <c r="S97" s="95">
        <f>IF($D97="","",IFERROR(VLOOKUP($D97,'DADOS_CUSTOM'!$AA$2:$AK$106,3,FALSE),""))</f>
        <v/>
      </c>
      <c r="T97" s="17" t="n"/>
      <c r="U97" s="95">
        <f>IF($D97="","",IFERROR(VLOOKUP($D97,'DADOS_CUSTOM'!$AA$2:$AK$106,4,FALSE),""))</f>
        <v/>
      </c>
      <c r="V97" s="17" t="n"/>
      <c r="W97" s="144">
        <f>IF($D97="","",IFERROR(VLOOKUP($D97,'DADOS_CUSTOM'!$AA$2:$AK$106,5,FALSE),""))</f>
        <v/>
      </c>
      <c r="X97" s="16" t="n"/>
      <c r="Y97" s="16" t="n"/>
      <c r="Z97" s="16" t="n"/>
      <c r="AA97" s="16" t="n"/>
      <c r="AB97" s="16" t="n"/>
      <c r="AC97" s="16" t="n"/>
      <c r="AD97" s="17" t="n"/>
      <c r="AE97" s="95">
        <f>IF($D97="","",IFERROR(VLOOKUP($D97,'DADOS_CUSTOM'!$AA$2:$AK$106,6,FALSE),""))</f>
        <v/>
      </c>
      <c r="AF97" s="17" t="n"/>
      <c r="AG97" s="95">
        <f>IF($D97="","",IFERROR(IF($K97="",1,$K97)*VLOOKUP($D97,'DADOS_CUSTOM'!$AA$2:$AK$106,7,FALSE),""))</f>
        <v/>
      </c>
      <c r="AH97" s="17" t="n"/>
      <c r="AI97" s="95">
        <f>IF($D97="","",IFERROR(VLOOKUP($D97,'DADOS_CUSTOM'!$BM$2:$BU$125,7,FALSE),""))</f>
        <v/>
      </c>
      <c r="AJ97" s="17" t="n"/>
      <c r="AK97" s="144">
        <f>IF($D97="","",IFERROR(VLOOKUP($D97,'DADOS_CUSTOM'!$BM$2:$BU$125,8,FALSE),""))</f>
        <v/>
      </c>
      <c r="AL97" s="16" t="n"/>
      <c r="AM97" s="16" t="n"/>
      <c r="AN97" s="16" t="n"/>
      <c r="AO97" s="16" t="n"/>
      <c r="AP97" s="17" t="n"/>
      <c r="AQ97" s="95">
        <f>IF($D97="","",IFERROR(VLOOKUP($D97,'DADOS_CUSTOM'!$BM$2:$BU$125,9,FALSE),""))</f>
        <v/>
      </c>
      <c r="AR97" s="16" t="n"/>
      <c r="AS97" s="16" t="n"/>
      <c r="AT97" s="17" t="n"/>
      <c r="AU97" s="137" t="n"/>
      <c r="AV97" s="137" t="n"/>
      <c r="AW97" s="95">
        <f>IF(DADOS!$CZ$48=7,"▸ 7",7)</f>
        <v/>
      </c>
      <c r="AX97" s="95" t="inlineStr">
        <is>
          <t>500</t>
        </is>
      </c>
      <c r="AY97" s="17" t="n"/>
      <c r="AZ97" s="95" t="inlineStr">
        <is>
          <t>1.800</t>
        </is>
      </c>
      <c r="BA97" s="17" t="n"/>
      <c r="BB97" s="137" t="n"/>
      <c r="BC97" s="95">
        <f>IF(DADOS!$CZ$48=22,"▸ 22",22)</f>
        <v/>
      </c>
      <c r="BD97" s="95" t="inlineStr">
        <is>
          <t>1500</t>
        </is>
      </c>
      <c r="BE97" s="17" t="n"/>
      <c r="BF97" s="95" t="inlineStr">
        <is>
          <t>17.300</t>
        </is>
      </c>
      <c r="BG97" s="17" t="n"/>
      <c r="BH97" s="137" t="n"/>
      <c r="BI97" s="137" t="n"/>
      <c r="BJ97" s="137" t="n"/>
      <c r="BK97" s="137" t="n"/>
      <c r="BL97" s="137" t="n"/>
      <c r="BM97" s="137" t="n"/>
      <c r="BN97" s="137" t="n"/>
      <c r="BO97" s="137" t="n"/>
      <c r="BP97" s="137" t="n"/>
      <c r="BQ97" s="137" t="n"/>
      <c r="BR97" s="137" t="n"/>
      <c r="BS97" s="137" t="n"/>
      <c r="BT97" s="137" t="n"/>
    </row>
    <row r="98">
      <c r="A98" s="8" t="n"/>
      <c r="B98" s="14" t="n"/>
      <c r="C98" s="137" t="n"/>
      <c r="D98" s="144" t="n"/>
      <c r="E98" s="16" t="n"/>
      <c r="F98" s="16" t="n"/>
      <c r="G98" s="16" t="n"/>
      <c r="H98" s="16" t="n"/>
      <c r="I98" s="16" t="n"/>
      <c r="J98" s="17" t="n"/>
      <c r="K98" s="95" t="n"/>
      <c r="L98" s="17" t="n"/>
      <c r="M98" s="144">
        <f>IF($D98="","",IFERROR(VLOOKUP($D98,'DADOS_CUSTOM'!$AA$2:$AK$106,2,FALSE),""))</f>
        <v/>
      </c>
      <c r="N98" s="16" t="n"/>
      <c r="O98" s="16" t="n"/>
      <c r="P98" s="16" t="n"/>
      <c r="Q98" s="16" t="n"/>
      <c r="R98" s="17" t="n"/>
      <c r="S98" s="95">
        <f>IF($D98="","",IFERROR(VLOOKUP($D98,'DADOS_CUSTOM'!$AA$2:$AK$106,3,FALSE),""))</f>
        <v/>
      </c>
      <c r="T98" s="17" t="n"/>
      <c r="U98" s="95">
        <f>IF($D98="","",IFERROR(VLOOKUP($D98,'DADOS_CUSTOM'!$AA$2:$AK$106,4,FALSE),""))</f>
        <v/>
      </c>
      <c r="V98" s="17" t="n"/>
      <c r="W98" s="144">
        <f>IF($D98="","",IFERROR(VLOOKUP($D98,'DADOS_CUSTOM'!$AA$2:$AK$106,5,FALSE),""))</f>
        <v/>
      </c>
      <c r="X98" s="16" t="n"/>
      <c r="Y98" s="16" t="n"/>
      <c r="Z98" s="16" t="n"/>
      <c r="AA98" s="16" t="n"/>
      <c r="AB98" s="16" t="n"/>
      <c r="AC98" s="16" t="n"/>
      <c r="AD98" s="17" t="n"/>
      <c r="AE98" s="95">
        <f>IF($D98="","",IFERROR(VLOOKUP($D98,'DADOS_CUSTOM'!$AA$2:$AK$106,6,FALSE),""))</f>
        <v/>
      </c>
      <c r="AF98" s="17" t="n"/>
      <c r="AG98" s="95">
        <f>IF($D98="","",IFERROR(IF($K98="",1,$K98)*VLOOKUP($D98,'DADOS_CUSTOM'!$AA$2:$AK$106,7,FALSE),""))</f>
        <v/>
      </c>
      <c r="AH98" s="17" t="n"/>
      <c r="AI98" s="95">
        <f>IF($D98="","",IFERROR(VLOOKUP($D98,'DADOS_CUSTOM'!$BM$2:$BU$125,7,FALSE),""))</f>
        <v/>
      </c>
      <c r="AJ98" s="17" t="n"/>
      <c r="AK98" s="144">
        <f>IF($D98="","",IFERROR(VLOOKUP($D98,'DADOS_CUSTOM'!$BM$2:$BU$125,8,FALSE),""))</f>
        <v/>
      </c>
      <c r="AL98" s="16" t="n"/>
      <c r="AM98" s="16" t="n"/>
      <c r="AN98" s="16" t="n"/>
      <c r="AO98" s="16" t="n"/>
      <c r="AP98" s="17" t="n"/>
      <c r="AQ98" s="95">
        <f>IF($D98="","",IFERROR(VLOOKUP($D98,'DADOS_CUSTOM'!$BM$2:$BU$125,9,FALSE),""))</f>
        <v/>
      </c>
      <c r="AR98" s="16" t="n"/>
      <c r="AS98" s="16" t="n"/>
      <c r="AT98" s="17" t="n"/>
      <c r="AU98" s="137" t="n"/>
      <c r="AV98" s="137" t="n"/>
      <c r="AW98" s="95">
        <f>IF(DADOS!$CZ$48=8,"▸ 8",8)</f>
        <v/>
      </c>
      <c r="AX98" s="95" t="inlineStr">
        <is>
          <t>700</t>
        </is>
      </c>
      <c r="AY98" s="17" t="n"/>
      <c r="AZ98" s="95" t="inlineStr">
        <is>
          <t>2.300</t>
        </is>
      </c>
      <c r="BA98" s="17" t="n"/>
      <c r="BB98" s="137" t="n"/>
      <c r="BC98" s="95">
        <f>IF(DADOS!$CZ$48=23,"▸ 23",23)</f>
        <v/>
      </c>
      <c r="BD98" s="95" t="inlineStr">
        <is>
          <t>1700</t>
        </is>
      </c>
      <c r="BE98" s="17" t="n"/>
      <c r="BF98" s="95" t="inlineStr">
        <is>
          <t>18.800</t>
        </is>
      </c>
      <c r="BG98" s="17" t="n"/>
      <c r="BH98" s="137" t="n"/>
      <c r="BI98" s="137" t="n"/>
      <c r="BJ98" s="137" t="n"/>
      <c r="BK98" s="137" t="n"/>
      <c r="BL98" s="137" t="n"/>
      <c r="BM98" s="137" t="n"/>
      <c r="BN98" s="137" t="n"/>
      <c r="BO98" s="137" t="n"/>
      <c r="BP98" s="137" t="n"/>
      <c r="BQ98" s="137" t="n"/>
      <c r="BR98" s="137" t="n"/>
      <c r="BS98" s="137" t="n"/>
      <c r="BT98" s="137" t="n"/>
    </row>
    <row r="99">
      <c r="A99" s="8" t="n"/>
      <c r="B99" s="14" t="n"/>
      <c r="C99" s="137" t="n"/>
      <c r="D99" s="144" t="n"/>
      <c r="E99" s="16" t="n"/>
      <c r="F99" s="16" t="n"/>
      <c r="G99" s="16" t="n"/>
      <c r="H99" s="16" t="n"/>
      <c r="I99" s="16" t="n"/>
      <c r="J99" s="17" t="n"/>
      <c r="K99" s="95" t="n"/>
      <c r="L99" s="17" t="n"/>
      <c r="M99" s="144">
        <f>IF($D99="","",IFERROR(VLOOKUP($D99,'DADOS_CUSTOM'!$AA$2:$AK$106,2,FALSE),""))</f>
        <v/>
      </c>
      <c r="N99" s="16" t="n"/>
      <c r="O99" s="16" t="n"/>
      <c r="P99" s="16" t="n"/>
      <c r="Q99" s="16" t="n"/>
      <c r="R99" s="17" t="n"/>
      <c r="S99" s="95">
        <f>IF($D99="","",IFERROR(VLOOKUP($D99,'DADOS_CUSTOM'!$AA$2:$AK$106,3,FALSE),""))</f>
        <v/>
      </c>
      <c r="T99" s="17" t="n"/>
      <c r="U99" s="95">
        <f>IF($D99="","",IFERROR(VLOOKUP($D99,'DADOS_CUSTOM'!$AA$2:$AK$106,4,FALSE),""))</f>
        <v/>
      </c>
      <c r="V99" s="17" t="n"/>
      <c r="W99" s="144">
        <f>IF($D99="","",IFERROR(VLOOKUP($D99,'DADOS_CUSTOM'!$AA$2:$AK$106,5,FALSE),""))</f>
        <v/>
      </c>
      <c r="X99" s="16" t="n"/>
      <c r="Y99" s="16" t="n"/>
      <c r="Z99" s="16" t="n"/>
      <c r="AA99" s="16" t="n"/>
      <c r="AB99" s="16" t="n"/>
      <c r="AC99" s="16" t="n"/>
      <c r="AD99" s="17" t="n"/>
      <c r="AE99" s="95">
        <f>IF($D99="","",IFERROR(VLOOKUP($D99,'DADOS_CUSTOM'!$AA$2:$AK$106,6,FALSE),""))</f>
        <v/>
      </c>
      <c r="AF99" s="17" t="n"/>
      <c r="AG99" s="95">
        <f>IF($D99="","",IFERROR(IF($K99="",1,$K99)*VLOOKUP($D99,'DADOS_CUSTOM'!$AA$2:$AK$106,7,FALSE),""))</f>
        <v/>
      </c>
      <c r="AH99" s="17" t="n"/>
      <c r="AI99" s="95">
        <f>IF($D99="","",IFERROR(VLOOKUP($D99,'DADOS_CUSTOM'!$BM$2:$BU$125,7,FALSE),""))</f>
        <v/>
      </c>
      <c r="AJ99" s="17" t="n"/>
      <c r="AK99" s="144">
        <f>IF($D99="","",IFERROR(VLOOKUP($D99,'DADOS_CUSTOM'!$BM$2:$BU$125,8,FALSE),""))</f>
        <v/>
      </c>
      <c r="AL99" s="16" t="n"/>
      <c r="AM99" s="16" t="n"/>
      <c r="AN99" s="16" t="n"/>
      <c r="AO99" s="16" t="n"/>
      <c r="AP99" s="17" t="n"/>
      <c r="AQ99" s="95">
        <f>IF($D99="","",IFERROR(VLOOKUP($D99,'DADOS_CUSTOM'!$BM$2:$BU$125,9,FALSE),""))</f>
        <v/>
      </c>
      <c r="AR99" s="16" t="n"/>
      <c r="AS99" s="16" t="n"/>
      <c r="AT99" s="17" t="n"/>
      <c r="AU99" s="137" t="n"/>
      <c r="AV99" s="137" t="n"/>
      <c r="AW99" s="95">
        <f>IF(DADOS!$CZ$48=9,"▸ 9",9)</f>
        <v/>
      </c>
      <c r="AX99" s="95" t="inlineStr">
        <is>
          <t>700</t>
        </is>
      </c>
      <c r="AY99" s="17" t="n"/>
      <c r="AZ99" s="95" t="inlineStr">
        <is>
          <t>3.000</t>
        </is>
      </c>
      <c r="BA99" s="17" t="n"/>
      <c r="BB99" s="137" t="n"/>
      <c r="BC99" s="95">
        <f>IF(DADOS!$CZ$48=24,"▸ 24",24)</f>
        <v/>
      </c>
      <c r="BD99" s="95" t="inlineStr">
        <is>
          <t>1700</t>
        </is>
      </c>
      <c r="BE99" s="17" t="n"/>
      <c r="BF99" s="95" t="inlineStr">
        <is>
          <t>20.500</t>
        </is>
      </c>
      <c r="BG99" s="17" t="n"/>
      <c r="BH99" s="137" t="n"/>
      <c r="BI99" s="137" t="n"/>
      <c r="BJ99" s="137" t="n"/>
      <c r="BK99" s="137" t="n"/>
      <c r="BL99" s="137" t="n"/>
      <c r="BM99" s="137" t="n"/>
      <c r="BN99" s="137" t="n"/>
      <c r="BO99" s="137" t="n"/>
      <c r="BP99" s="137" t="n"/>
      <c r="BQ99" s="137" t="n"/>
      <c r="BR99" s="137" t="n"/>
      <c r="BS99" s="137" t="n"/>
      <c r="BT99" s="137" t="n"/>
    </row>
    <row r="100">
      <c r="A100" s="8" t="n"/>
      <c r="B100" s="14" t="n"/>
      <c r="C100" s="137" t="n"/>
      <c r="D100" s="137" t="n"/>
      <c r="E100" s="137" t="n"/>
      <c r="F100" s="137" t="n"/>
      <c r="G100" s="137" t="n"/>
      <c r="H100" s="137" t="n"/>
      <c r="I100" s="137" t="n"/>
      <c r="J100" s="137" t="n"/>
      <c r="K100" s="137" t="n"/>
      <c r="L100" s="137" t="n"/>
      <c r="M100" s="137" t="n"/>
      <c r="N100" s="137" t="n"/>
      <c r="O100" s="137" t="n"/>
      <c r="P100" s="137" t="n"/>
      <c r="Q100" s="137" t="n"/>
      <c r="R100" s="137" t="n"/>
      <c r="S100" s="137" t="n"/>
      <c r="T100" s="137" t="n"/>
      <c r="U100" s="137" t="n"/>
      <c r="V100" s="137" t="n"/>
      <c r="W100" s="137" t="n"/>
      <c r="X100" s="137" t="n"/>
      <c r="Y100" s="137" t="n"/>
      <c r="Z100" s="137" t="n"/>
      <c r="AA100" s="137" t="n"/>
      <c r="AB100" s="137" t="n"/>
      <c r="AC100" s="137" t="n"/>
      <c r="AD100" s="137" t="n"/>
      <c r="AE100" s="137" t="n"/>
      <c r="AF100" s="137" t="n"/>
      <c r="AG100" s="137" t="n"/>
      <c r="AH100" s="137" t="n"/>
      <c r="AI100" s="137" t="n"/>
      <c r="AJ100" s="137" t="n"/>
      <c r="AK100" s="137" t="n"/>
      <c r="AL100" s="137" t="n"/>
      <c r="AM100" s="137" t="n"/>
      <c r="AN100" s="137" t="n"/>
      <c r="AO100" s="137" t="n"/>
      <c r="AP100" s="137" t="n"/>
      <c r="AQ100" s="137" t="n"/>
      <c r="AR100" s="137" t="n"/>
      <c r="AS100" s="137" t="n"/>
      <c r="AT100" s="137" t="n"/>
      <c r="AU100" s="137" t="n"/>
      <c r="AV100" s="137" t="n"/>
      <c r="AW100" s="95">
        <f>IF(DADOS!$CZ$48=10,"▸ 10",10)</f>
        <v/>
      </c>
      <c r="AX100" s="95" t="inlineStr">
        <is>
          <t>700</t>
        </is>
      </c>
      <c r="AY100" s="17" t="n"/>
      <c r="AZ100" s="95" t="inlineStr">
        <is>
          <t>3.700</t>
        </is>
      </c>
      <c r="BA100" s="17" t="n"/>
      <c r="BB100" s="137" t="n"/>
      <c r="BC100" s="95">
        <f>IF(DADOS!$CZ$48=25,"▸ 25",25)</f>
        <v/>
      </c>
      <c r="BD100" s="95" t="inlineStr">
        <is>
          <t>1700</t>
        </is>
      </c>
      <c r="BE100" s="17" t="n"/>
      <c r="BF100" s="95" t="inlineStr">
        <is>
          <t>22.200</t>
        </is>
      </c>
      <c r="BG100" s="17" t="n"/>
      <c r="BH100" s="137" t="n"/>
      <c r="BI100" s="137" t="n"/>
      <c r="BJ100" s="137" t="n"/>
      <c r="BK100" s="137" t="n"/>
      <c r="BL100" s="137" t="n"/>
      <c r="BM100" s="137" t="n"/>
      <c r="BN100" s="137" t="n"/>
      <c r="BO100" s="137" t="n"/>
      <c r="BP100" s="137" t="n"/>
      <c r="BQ100" s="137" t="n"/>
      <c r="BR100" s="137" t="n"/>
      <c r="BS100" s="137" t="n"/>
      <c r="BT100" s="137" t="n"/>
    </row>
    <row r="101">
      <c r="A101" s="8" t="n"/>
      <c r="B101" s="14" t="n"/>
      <c r="C101" s="137" t="n"/>
      <c r="D101" s="55" t="inlineStr">
        <is>
          <t>ITENS GUARDADOS</t>
        </is>
      </c>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20" t="n"/>
      <c r="AU101" s="137" t="n"/>
      <c r="AV101" s="137" t="n"/>
      <c r="AW101" s="95">
        <f>IF(DADOS!$CZ$48=11,"▸ 11",11)</f>
        <v/>
      </c>
      <c r="AX101" s="95" t="inlineStr">
        <is>
          <t>900</t>
        </is>
      </c>
      <c r="AY101" s="17" t="n"/>
      <c r="AZ101" s="95" t="inlineStr">
        <is>
          <t>4.400</t>
        </is>
      </c>
      <c r="BA101" s="17" t="n"/>
      <c r="BB101" s="137" t="n"/>
      <c r="BC101" s="95">
        <f>IF(DADOS!$CZ$48=26,"▸ 26",26)</f>
        <v/>
      </c>
      <c r="BD101" s="95" t="inlineStr">
        <is>
          <t>1700</t>
        </is>
      </c>
      <c r="BE101" s="17" t="n"/>
      <c r="BF101" s="95" t="inlineStr">
        <is>
          <t>23.900</t>
        </is>
      </c>
      <c r="BG101" s="17" t="n"/>
      <c r="BH101" s="137" t="n"/>
      <c r="BI101" s="137" t="n"/>
      <c r="BJ101" s="137" t="n"/>
      <c r="BK101" s="137" t="n"/>
      <c r="BL101" s="137" t="n"/>
      <c r="BM101" s="137" t="n"/>
      <c r="BN101" s="137" t="n"/>
      <c r="BO101" s="137" t="n"/>
      <c r="BP101" s="137" t="n"/>
      <c r="BQ101" s="137" t="n"/>
      <c r="BR101" s="137" t="n"/>
      <c r="BS101" s="137" t="n"/>
      <c r="BT101" s="137" t="n"/>
    </row>
    <row r="102">
      <c r="A102" s="8" t="n"/>
      <c r="B102" s="14" t="n"/>
      <c r="C102" s="137" t="n"/>
      <c r="D102" s="23" t="n"/>
      <c r="E102" s="24" t="n"/>
      <c r="F102" s="24" t="n"/>
      <c r="G102" s="24" t="n"/>
      <c r="H102" s="24" t="n"/>
      <c r="I102" s="24" t="n"/>
      <c r="J102" s="24" t="n"/>
      <c r="K102" s="24" t="n"/>
      <c r="L102" s="24" t="n"/>
      <c r="M102" s="24" t="n"/>
      <c r="N102" s="24" t="n"/>
      <c r="O102" s="24" t="n"/>
      <c r="P102" s="24" t="n"/>
      <c r="Q102" s="24" t="n"/>
      <c r="R102" s="24" t="n"/>
      <c r="S102" s="24" t="n"/>
      <c r="T102" s="24" t="n"/>
      <c r="U102" s="24" t="n"/>
      <c r="V102" s="24" t="n"/>
      <c r="W102" s="24" t="n"/>
      <c r="X102" s="24" t="n"/>
      <c r="Y102" s="24" t="n"/>
      <c r="Z102" s="24" t="n"/>
      <c r="AA102" s="24" t="n"/>
      <c r="AB102" s="24" t="n"/>
      <c r="AC102" s="24" t="n"/>
      <c r="AD102" s="24" t="n"/>
      <c r="AE102" s="24" t="n"/>
      <c r="AF102" s="24" t="n"/>
      <c r="AG102" s="24" t="n"/>
      <c r="AH102" s="24" t="n"/>
      <c r="AI102" s="24" t="n"/>
      <c r="AJ102" s="24" t="n"/>
      <c r="AK102" s="24" t="n"/>
      <c r="AL102" s="24" t="n"/>
      <c r="AM102" s="24" t="n"/>
      <c r="AN102" s="24" t="n"/>
      <c r="AO102" s="24" t="n"/>
      <c r="AP102" s="24" t="n"/>
      <c r="AQ102" s="24" t="n"/>
      <c r="AR102" s="24" t="n"/>
      <c r="AS102" s="24" t="n"/>
      <c r="AT102" s="25" t="n"/>
      <c r="AU102" s="137" t="n"/>
      <c r="AV102" s="137" t="n"/>
      <c r="AW102" s="95">
        <f>IF(DADOS!$CZ$48=12,"▸ 12",12)</f>
        <v/>
      </c>
      <c r="AX102" s="95" t="inlineStr">
        <is>
          <t>900</t>
        </is>
      </c>
      <c r="AY102" s="17" t="n"/>
      <c r="AZ102" s="95" t="inlineStr">
        <is>
          <t>5.300</t>
        </is>
      </c>
      <c r="BA102" s="17" t="n"/>
      <c r="BB102" s="137" t="n"/>
      <c r="BC102" s="95">
        <f>IF(DADOS!$CZ$48=27,"▸ 27",27)</f>
        <v/>
      </c>
      <c r="BD102" s="95" t="inlineStr">
        <is>
          <t>1700</t>
        </is>
      </c>
      <c r="BE102" s="17" t="n"/>
      <c r="BF102" s="95" t="inlineStr">
        <is>
          <t>25.600</t>
        </is>
      </c>
      <c r="BG102" s="17" t="n"/>
      <c r="BH102" s="137" t="n"/>
      <c r="BI102" s="137" t="n"/>
      <c r="BJ102" s="137" t="n"/>
      <c r="BK102" s="137" t="n"/>
      <c r="BL102" s="137" t="n"/>
      <c r="BM102" s="137" t="n"/>
      <c r="BN102" s="137" t="n"/>
      <c r="BO102" s="137" t="n"/>
      <c r="BP102" s="137" t="n"/>
      <c r="BQ102" s="137" t="n"/>
      <c r="BR102" s="137" t="n"/>
      <c r="BS102" s="137" t="n"/>
      <c r="BT102" s="137" t="n"/>
    </row>
    <row r="103">
      <c r="A103" s="8" t="n"/>
      <c r="B103" s="14" t="n"/>
      <c r="C103" s="137" t="n"/>
      <c r="D103" s="56" t="inlineStr">
        <is>
          <t>ITEM</t>
        </is>
      </c>
      <c r="E103" s="16" t="n"/>
      <c r="F103" s="16" t="n"/>
      <c r="G103" s="16" t="n"/>
      <c r="H103" s="16" t="n"/>
      <c r="I103" s="16" t="n"/>
      <c r="J103" s="16" t="n"/>
      <c r="K103" s="16" t="n"/>
      <c r="L103" s="16" t="n"/>
      <c r="M103" s="16" t="n"/>
      <c r="N103" s="16" t="n"/>
      <c r="O103" s="16" t="n"/>
      <c r="P103" s="16" t="n"/>
      <c r="Q103" s="16" t="n"/>
      <c r="R103" s="16" t="n"/>
      <c r="S103" s="17" t="n"/>
      <c r="T103" s="56" t="inlineStr">
        <is>
          <t>QTD.</t>
        </is>
      </c>
      <c r="U103" s="17" t="n"/>
      <c r="V103" s="56" t="inlineStr">
        <is>
          <t>VOL.</t>
        </is>
      </c>
      <c r="W103" s="16" t="n"/>
      <c r="X103" s="17" t="n"/>
      <c r="Y103" s="137" t="n"/>
      <c r="Z103" s="56" t="inlineStr">
        <is>
          <t>ITEM</t>
        </is>
      </c>
      <c r="AA103" s="16" t="n"/>
      <c r="AB103" s="16" t="n"/>
      <c r="AC103" s="16" t="n"/>
      <c r="AD103" s="16" t="n"/>
      <c r="AE103" s="16" t="n"/>
      <c r="AF103" s="16" t="n"/>
      <c r="AG103" s="16" t="n"/>
      <c r="AH103" s="16" t="n"/>
      <c r="AI103" s="16" t="n"/>
      <c r="AJ103" s="16" t="n"/>
      <c r="AK103" s="16" t="n"/>
      <c r="AL103" s="16" t="n"/>
      <c r="AM103" s="16" t="n"/>
      <c r="AN103" s="16" t="n"/>
      <c r="AO103" s="17" t="n"/>
      <c r="AP103" s="56" t="inlineStr">
        <is>
          <t>QTD.</t>
        </is>
      </c>
      <c r="AQ103" s="17" t="n"/>
      <c r="AR103" s="56" t="inlineStr">
        <is>
          <t>VOL.</t>
        </is>
      </c>
      <c r="AS103" s="16" t="n"/>
      <c r="AT103" s="17" t="n"/>
      <c r="AU103" s="137" t="n"/>
      <c r="AV103" s="137" t="n"/>
      <c r="AW103" s="95">
        <f>IF(DADOS!$CZ$48=13,"▸ 13",13)</f>
        <v/>
      </c>
      <c r="AX103" s="95" t="inlineStr">
        <is>
          <t>900</t>
        </is>
      </c>
      <c r="AY103" s="17" t="n"/>
      <c r="AZ103" s="95" t="inlineStr">
        <is>
          <t>6.200</t>
        </is>
      </c>
      <c r="BA103" s="17" t="n"/>
      <c r="BB103" s="137" t="n"/>
      <c r="BC103" s="95">
        <f>IF(DADOS!$CZ$48=28,"▸ 28",28)</f>
        <v/>
      </c>
      <c r="BD103" s="95" t="inlineStr">
        <is>
          <t>1700</t>
        </is>
      </c>
      <c r="BE103" s="17" t="n"/>
      <c r="BF103" s="95" t="inlineStr">
        <is>
          <t>27.300</t>
        </is>
      </c>
      <c r="BG103" s="17" t="n"/>
      <c r="BH103" s="137" t="n"/>
      <c r="BI103" s="137" t="n"/>
      <c r="BJ103" s="137" t="n"/>
      <c r="BK103" s="137" t="n"/>
      <c r="BL103" s="137" t="n"/>
      <c r="BM103" s="137" t="n"/>
      <c r="BN103" s="137" t="n"/>
      <c r="BO103" s="137" t="n"/>
      <c r="BP103" s="137" t="n"/>
      <c r="BQ103" s="137" t="n"/>
      <c r="BR103" s="137" t="n"/>
      <c r="BS103" s="137" t="n"/>
      <c r="BT103" s="137" t="n"/>
    </row>
    <row r="104">
      <c r="A104" s="8" t="n"/>
      <c r="B104" s="14" t="n"/>
      <c r="C104" s="137" t="n"/>
      <c r="D104" s="144" t="n"/>
      <c r="E104" s="16" t="n"/>
      <c r="F104" s="16" t="n"/>
      <c r="G104" s="16" t="n"/>
      <c r="H104" s="16" t="n"/>
      <c r="I104" s="16" t="n"/>
      <c r="J104" s="16" t="n"/>
      <c r="K104" s="16" t="n"/>
      <c r="L104" s="16" t="n"/>
      <c r="M104" s="16" t="n"/>
      <c r="N104" s="16" t="n"/>
      <c r="O104" s="16" t="n"/>
      <c r="P104" s="16" t="n"/>
      <c r="Q104" s="16" t="n"/>
      <c r="R104" s="16" t="n"/>
      <c r="S104" s="17" t="n"/>
      <c r="T104" s="95" t="n"/>
      <c r="U104" s="17" t="n"/>
      <c r="V104" s="95">
        <f>IF($D104="","",IF($T104="",1,$T104)*IFERROR(VLOOKUP($D104,'DADOS_CUSTOM'!$AU$2:$AX$64,2,FALSE),0.1))</f>
        <v/>
      </c>
      <c r="W104" s="16" t="n"/>
      <c r="X104" s="17" t="n"/>
      <c r="Y104" s="137" t="n"/>
      <c r="Z104" s="144" t="n"/>
      <c r="AA104" s="16" t="n"/>
      <c r="AB104" s="16" t="n"/>
      <c r="AC104" s="16" t="n"/>
      <c r="AD104" s="16" t="n"/>
      <c r="AE104" s="16" t="n"/>
      <c r="AF104" s="16" t="n"/>
      <c r="AG104" s="16" t="n"/>
      <c r="AH104" s="16" t="n"/>
      <c r="AI104" s="16" t="n"/>
      <c r="AJ104" s="16" t="n"/>
      <c r="AK104" s="16" t="n"/>
      <c r="AL104" s="16" t="n"/>
      <c r="AM104" s="16" t="n"/>
      <c r="AN104" s="16" t="n"/>
      <c r="AO104" s="17" t="n"/>
      <c r="AP104" s="95" t="n"/>
      <c r="AQ104" s="17" t="n"/>
      <c r="AR104" s="95">
        <f>IF($Z104="","",IF($AP104="",1,$AP104)*IFERROR(VLOOKUP($Z104,'DADOS_CUSTOM'!$AU$2:$AX$64,2,FALSE),0.1))</f>
        <v/>
      </c>
      <c r="AS104" s="16" t="n"/>
      <c r="AT104" s="17" t="n"/>
      <c r="AU104" s="137" t="n"/>
      <c r="AV104" s="137" t="n"/>
      <c r="AW104" s="95">
        <f>IF(DADOS!$CZ$48=14,"▸ 14",14)</f>
        <v/>
      </c>
      <c r="AX104" s="95" t="inlineStr">
        <is>
          <t>1100</t>
        </is>
      </c>
      <c r="AY104" s="17" t="n"/>
      <c r="AZ104" s="95" t="inlineStr">
        <is>
          <t>7.100</t>
        </is>
      </c>
      <c r="BA104" s="17" t="n"/>
      <c r="BB104" s="137" t="n"/>
      <c r="BC104" s="95">
        <f>IF(DADOS!$CZ$48=29,"▸ 29",29)</f>
        <v/>
      </c>
      <c r="BD104" s="95" t="inlineStr">
        <is>
          <t>1700</t>
        </is>
      </c>
      <c r="BE104" s="17" t="n"/>
      <c r="BF104" s="95" t="inlineStr">
        <is>
          <t>29.000</t>
        </is>
      </c>
      <c r="BG104" s="17" t="n"/>
      <c r="BH104" s="137" t="n"/>
      <c r="BI104" s="137" t="n"/>
      <c r="BJ104" s="137" t="n"/>
      <c r="BK104" s="137" t="n"/>
      <c r="BL104" s="137" t="n"/>
      <c r="BM104" s="137" t="n"/>
      <c r="BN104" s="137" t="n"/>
      <c r="BO104" s="137" t="n"/>
      <c r="BP104" s="137" t="n"/>
      <c r="BQ104" s="137" t="n"/>
      <c r="BR104" s="137" t="n"/>
      <c r="BS104" s="137" t="n"/>
      <c r="BT104" s="137" t="n"/>
    </row>
    <row r="105">
      <c r="A105" s="8" t="n"/>
      <c r="B105" s="14" t="n"/>
      <c r="C105" s="137" t="n"/>
      <c r="D105" s="144" t="n"/>
      <c r="E105" s="16" t="n"/>
      <c r="F105" s="16" t="n"/>
      <c r="G105" s="16" t="n"/>
      <c r="H105" s="16" t="n"/>
      <c r="I105" s="16" t="n"/>
      <c r="J105" s="16" t="n"/>
      <c r="K105" s="16" t="n"/>
      <c r="L105" s="16" t="n"/>
      <c r="M105" s="16" t="n"/>
      <c r="N105" s="16" t="n"/>
      <c r="O105" s="16" t="n"/>
      <c r="P105" s="16" t="n"/>
      <c r="Q105" s="16" t="n"/>
      <c r="R105" s="16" t="n"/>
      <c r="S105" s="17" t="n"/>
      <c r="T105" s="95" t="n"/>
      <c r="U105" s="17" t="n"/>
      <c r="V105" s="95">
        <f>IF($D105="","",IF($T105="",1,$T105)*IFERROR(VLOOKUP($D105,'DADOS_CUSTOM'!$AU$2:$AX$64,2,FALSE),0.1))</f>
        <v/>
      </c>
      <c r="W105" s="16" t="n"/>
      <c r="X105" s="17" t="n"/>
      <c r="Y105" s="137" t="n"/>
      <c r="Z105" s="144" t="n"/>
      <c r="AA105" s="16" t="n"/>
      <c r="AB105" s="16" t="n"/>
      <c r="AC105" s="16" t="n"/>
      <c r="AD105" s="16" t="n"/>
      <c r="AE105" s="16" t="n"/>
      <c r="AF105" s="16" t="n"/>
      <c r="AG105" s="16" t="n"/>
      <c r="AH105" s="16" t="n"/>
      <c r="AI105" s="16" t="n"/>
      <c r="AJ105" s="16" t="n"/>
      <c r="AK105" s="16" t="n"/>
      <c r="AL105" s="16" t="n"/>
      <c r="AM105" s="16" t="n"/>
      <c r="AN105" s="16" t="n"/>
      <c r="AO105" s="17" t="n"/>
      <c r="AP105" s="95" t="n"/>
      <c r="AQ105" s="17" t="n"/>
      <c r="AR105" s="95">
        <f>IF($Z105="","",IF($AP105="",1,$AP105)*IFERROR(VLOOKUP($Z105,'DADOS_CUSTOM'!$AU$2:$AX$64,2,FALSE),0.1))</f>
        <v/>
      </c>
      <c r="AS105" s="16" t="n"/>
      <c r="AT105" s="17" t="n"/>
      <c r="AU105" s="137" t="n"/>
      <c r="AV105" s="137" t="n"/>
      <c r="AW105" s="95">
        <f>IF(DADOS!$CZ$48=15,"▸ 15",15)</f>
        <v/>
      </c>
      <c r="AX105" s="95" t="inlineStr">
        <is>
          <t>1100</t>
        </is>
      </c>
      <c r="AY105" s="17" t="n"/>
      <c r="AZ105" s="95" t="inlineStr">
        <is>
          <t>8.200</t>
        </is>
      </c>
      <c r="BA105" s="17" t="n"/>
      <c r="BB105" s="137" t="n"/>
      <c r="BC105" s="95">
        <f>IF(DADOS!$CZ$48=30,"▸ 30",30)</f>
        <v/>
      </c>
      <c r="BD105" s="95" t="inlineStr">
        <is>
          <t>—</t>
        </is>
      </c>
      <c r="BE105" s="17" t="n"/>
      <c r="BF105" s="95" t="inlineStr">
        <is>
          <t>30.700</t>
        </is>
      </c>
      <c r="BG105" s="17" t="n"/>
      <c r="BH105" s="137" t="n"/>
      <c r="BI105" s="137" t="n"/>
      <c r="BJ105" s="137" t="n"/>
      <c r="BK105" s="137" t="n"/>
      <c r="BL105" s="137" t="n"/>
      <c r="BM105" s="137" t="n"/>
      <c r="BN105" s="137" t="n"/>
      <c r="BO105" s="137" t="n"/>
      <c r="BP105" s="137" t="n"/>
      <c r="BQ105" s="137" t="n"/>
      <c r="BR105" s="137" t="n"/>
      <c r="BS105" s="137" t="n"/>
      <c r="BT105" s="137" t="n"/>
    </row>
    <row r="106">
      <c r="A106" s="8" t="n"/>
      <c r="B106" s="14" t="n"/>
      <c r="C106" s="137" t="n"/>
      <c r="D106" s="144" t="n"/>
      <c r="E106" s="16" t="n"/>
      <c r="F106" s="16" t="n"/>
      <c r="G106" s="16" t="n"/>
      <c r="H106" s="16" t="n"/>
      <c r="I106" s="16" t="n"/>
      <c r="J106" s="16" t="n"/>
      <c r="K106" s="16" t="n"/>
      <c r="L106" s="16" t="n"/>
      <c r="M106" s="16" t="n"/>
      <c r="N106" s="16" t="n"/>
      <c r="O106" s="16" t="n"/>
      <c r="P106" s="16" t="n"/>
      <c r="Q106" s="16" t="n"/>
      <c r="R106" s="16" t="n"/>
      <c r="S106" s="17" t="n"/>
      <c r="T106" s="95" t="n"/>
      <c r="U106" s="17" t="n"/>
      <c r="V106" s="95">
        <f>IF($D106="","",IF($T106="",1,$T106)*IFERROR(VLOOKUP($D106,'DADOS_CUSTOM'!$AU$2:$AX$64,2,FALSE),0.1))</f>
        <v/>
      </c>
      <c r="W106" s="16" t="n"/>
      <c r="X106" s="17" t="n"/>
      <c r="Y106" s="137" t="n"/>
      <c r="Z106" s="144" t="n"/>
      <c r="AA106" s="16" t="n"/>
      <c r="AB106" s="16" t="n"/>
      <c r="AC106" s="16" t="n"/>
      <c r="AD106" s="16" t="n"/>
      <c r="AE106" s="16" t="n"/>
      <c r="AF106" s="16" t="n"/>
      <c r="AG106" s="16" t="n"/>
      <c r="AH106" s="16" t="n"/>
      <c r="AI106" s="16" t="n"/>
      <c r="AJ106" s="16" t="n"/>
      <c r="AK106" s="16" t="n"/>
      <c r="AL106" s="16" t="n"/>
      <c r="AM106" s="16" t="n"/>
      <c r="AN106" s="16" t="n"/>
      <c r="AO106" s="17" t="n"/>
      <c r="AP106" s="95" t="n"/>
      <c r="AQ106" s="17" t="n"/>
      <c r="AR106" s="95">
        <f>IF($Z106="","",IF($AP106="",1,$AP106)*IFERROR(VLOOKUP($Z106,'DADOS_CUSTOM'!$AU$2:$AX$64,2,FALSE),0.1))</f>
        <v/>
      </c>
      <c r="AS106" s="16" t="n"/>
      <c r="AT106" s="17" t="n"/>
      <c r="AU106" s="137" t="n"/>
      <c r="AV106" s="137" t="n"/>
      <c r="AW106" s="95">
        <f>IF(DADOS!$CZ$48=16,"▸ 16",16)</f>
        <v/>
      </c>
      <c r="AX106" s="95" t="inlineStr">
        <is>
          <t>1100</t>
        </is>
      </c>
      <c r="AY106" s="17" t="n"/>
      <c r="AZ106" s="95" t="inlineStr">
        <is>
          <t>9.300</t>
        </is>
      </c>
      <c r="BA106" s="17" t="n"/>
      <c r="BB106" s="137" t="n"/>
      <c r="BC106" s="137" t="n"/>
      <c r="BD106" s="137" t="n"/>
      <c r="BE106" s="137" t="n"/>
      <c r="BF106" s="137" t="n"/>
      <c r="BG106" s="137" t="n"/>
      <c r="BH106" s="137" t="n"/>
      <c r="BI106" s="137" t="n"/>
      <c r="BJ106" s="137" t="n"/>
      <c r="BK106" s="137" t="n"/>
      <c r="BL106" s="137" t="n"/>
      <c r="BM106" s="137" t="n"/>
      <c r="BN106" s="137" t="n"/>
      <c r="BO106" s="137" t="n"/>
      <c r="BP106" s="137" t="n"/>
      <c r="BQ106" s="137" t="n"/>
      <c r="BR106" s="137" t="n"/>
      <c r="BS106" s="137" t="n"/>
      <c r="BT106" s="137" t="n"/>
    </row>
    <row r="107">
      <c r="A107" s="8" t="n"/>
      <c r="B107" s="14" t="n"/>
      <c r="C107" s="137" t="n"/>
      <c r="D107" s="144" t="n"/>
      <c r="E107" s="16" t="n"/>
      <c r="F107" s="16" t="n"/>
      <c r="G107" s="16" t="n"/>
      <c r="H107" s="16" t="n"/>
      <c r="I107" s="16" t="n"/>
      <c r="J107" s="16" t="n"/>
      <c r="K107" s="16" t="n"/>
      <c r="L107" s="16" t="n"/>
      <c r="M107" s="16" t="n"/>
      <c r="N107" s="16" t="n"/>
      <c r="O107" s="16" t="n"/>
      <c r="P107" s="16" t="n"/>
      <c r="Q107" s="16" t="n"/>
      <c r="R107" s="16" t="n"/>
      <c r="S107" s="17" t="n"/>
      <c r="T107" s="95" t="n"/>
      <c r="U107" s="17" t="n"/>
      <c r="V107" s="95">
        <f>IF($D107="","",IF($T107="",1,$T107)*IFERROR(VLOOKUP($D107,'DADOS_CUSTOM'!$AU$2:$AX$64,2,FALSE),0.1))</f>
        <v/>
      </c>
      <c r="W107" s="16" t="n"/>
      <c r="X107" s="17" t="n"/>
      <c r="Y107" s="137" t="n"/>
      <c r="Z107" s="144" t="n"/>
      <c r="AA107" s="16" t="n"/>
      <c r="AB107" s="16" t="n"/>
      <c r="AC107" s="16" t="n"/>
      <c r="AD107" s="16" t="n"/>
      <c r="AE107" s="16" t="n"/>
      <c r="AF107" s="16" t="n"/>
      <c r="AG107" s="16" t="n"/>
      <c r="AH107" s="16" t="n"/>
      <c r="AI107" s="16" t="n"/>
      <c r="AJ107" s="16" t="n"/>
      <c r="AK107" s="16" t="n"/>
      <c r="AL107" s="16" t="n"/>
      <c r="AM107" s="16" t="n"/>
      <c r="AN107" s="16" t="n"/>
      <c r="AO107" s="17" t="n"/>
      <c r="AP107" s="95" t="n"/>
      <c r="AQ107" s="17" t="n"/>
      <c r="AR107" s="95">
        <f>IF($Z107="","",IF($AP107="",1,$AP107)*IFERROR(VLOOKUP($Z107,'DADOS_CUSTOM'!$AU$2:$AX$64,2,FALSE),0.1))</f>
        <v/>
      </c>
      <c r="AS107" s="16" t="n"/>
      <c r="AT107" s="17" t="n"/>
      <c r="AU107" s="137" t="n"/>
      <c r="AV107" s="137" t="n"/>
      <c r="AW107" s="137" t="n"/>
      <c r="AX107" s="137" t="n"/>
      <c r="AY107" s="137" t="n"/>
      <c r="AZ107" s="137" t="n"/>
      <c r="BA107" s="137" t="n"/>
      <c r="BB107" s="137" t="n"/>
      <c r="BC107" s="137" t="n"/>
      <c r="BD107" s="137" t="n"/>
      <c r="BE107" s="137" t="n"/>
      <c r="BF107" s="137" t="n"/>
      <c r="BG107" s="137" t="n"/>
      <c r="BH107" s="137" t="n"/>
      <c r="BI107" s="137" t="n"/>
      <c r="BJ107" s="137" t="n"/>
      <c r="BK107" s="137" t="n"/>
      <c r="BL107" s="137" t="n"/>
      <c r="BM107" s="137" t="n"/>
      <c r="BN107" s="137" t="n"/>
      <c r="BO107" s="137" t="n"/>
      <c r="BP107" s="137" t="n"/>
      <c r="BQ107" s="137" t="n"/>
      <c r="BR107" s="137" t="n"/>
      <c r="BS107" s="137" t="n"/>
      <c r="BT107" s="137" t="n"/>
    </row>
    <row r="108">
      <c r="A108" s="8" t="n"/>
      <c r="B108" s="14" t="n"/>
      <c r="C108" s="137" t="n"/>
      <c r="D108" s="144" t="n"/>
      <c r="E108" s="16" t="n"/>
      <c r="F108" s="16" t="n"/>
      <c r="G108" s="16" t="n"/>
      <c r="H108" s="16" t="n"/>
      <c r="I108" s="16" t="n"/>
      <c r="J108" s="16" t="n"/>
      <c r="K108" s="16" t="n"/>
      <c r="L108" s="16" t="n"/>
      <c r="M108" s="16" t="n"/>
      <c r="N108" s="16" t="n"/>
      <c r="O108" s="16" t="n"/>
      <c r="P108" s="16" t="n"/>
      <c r="Q108" s="16" t="n"/>
      <c r="R108" s="16" t="n"/>
      <c r="S108" s="17" t="n"/>
      <c r="T108" s="95" t="n"/>
      <c r="U108" s="17" t="n"/>
      <c r="V108" s="95">
        <f>IF($D108="","",IF($T108="",1,$T108)*IFERROR(VLOOKUP($D108,'DADOS_CUSTOM'!$AU$2:$AX$64,2,FALSE),0.1))</f>
        <v/>
      </c>
      <c r="W108" s="16" t="n"/>
      <c r="X108" s="17" t="n"/>
      <c r="Y108" s="137" t="n"/>
      <c r="Z108" s="144" t="n"/>
      <c r="AA108" s="16" t="n"/>
      <c r="AB108" s="16" t="n"/>
      <c r="AC108" s="16" t="n"/>
      <c r="AD108" s="16" t="n"/>
      <c r="AE108" s="16" t="n"/>
      <c r="AF108" s="16" t="n"/>
      <c r="AG108" s="16" t="n"/>
      <c r="AH108" s="16" t="n"/>
      <c r="AI108" s="16" t="n"/>
      <c r="AJ108" s="16" t="n"/>
      <c r="AK108" s="16" t="n"/>
      <c r="AL108" s="16" t="n"/>
      <c r="AM108" s="16" t="n"/>
      <c r="AN108" s="16" t="n"/>
      <c r="AO108" s="17" t="n"/>
      <c r="AP108" s="95" t="n"/>
      <c r="AQ108" s="17" t="n"/>
      <c r="AR108" s="95">
        <f>IF($Z108="","",IF($AP108="",1,$AP108)*IFERROR(VLOOKUP($Z108,'DADOS_CUSTOM'!$AU$2:$AX$64,2,FALSE),0.1))</f>
        <v/>
      </c>
      <c r="AS108" s="16" t="n"/>
      <c r="AT108" s="17" t="n"/>
      <c r="AU108" s="137" t="n"/>
      <c r="AV108" s="137" t="n"/>
      <c r="AW108" s="137" t="n"/>
      <c r="AX108" s="137" t="n"/>
      <c r="AY108" s="137" t="n"/>
      <c r="AZ108" s="137" t="n"/>
      <c r="BA108" s="137" t="n"/>
      <c r="BB108" s="137" t="n"/>
      <c r="BC108" s="137" t="n"/>
      <c r="BD108" s="137" t="n"/>
      <c r="BE108" s="137" t="n"/>
      <c r="BF108" s="137" t="n"/>
      <c r="BG108" s="137" t="n"/>
      <c r="BH108" s="137" t="n"/>
      <c r="BI108" s="137" t="n"/>
      <c r="BJ108" s="137" t="n"/>
      <c r="BK108" s="137" t="n"/>
      <c r="BL108" s="137" t="n"/>
      <c r="BM108" s="137" t="n"/>
      <c r="BN108" s="137" t="n"/>
      <c r="BO108" s="137" t="n"/>
      <c r="BP108" s="137" t="n"/>
      <c r="BQ108" s="137" t="n"/>
      <c r="BR108" s="137" t="n"/>
      <c r="BS108" s="137" t="n"/>
      <c r="BT108" s="137" t="n"/>
    </row>
    <row r="109">
      <c r="A109" s="8" t="n"/>
      <c r="B109" s="14" t="n"/>
      <c r="C109" s="137" t="n"/>
      <c r="D109" s="144" t="n"/>
      <c r="E109" s="16" t="n"/>
      <c r="F109" s="16" t="n"/>
      <c r="G109" s="16" t="n"/>
      <c r="H109" s="16" t="n"/>
      <c r="I109" s="16" t="n"/>
      <c r="J109" s="16" t="n"/>
      <c r="K109" s="16" t="n"/>
      <c r="L109" s="16" t="n"/>
      <c r="M109" s="16" t="n"/>
      <c r="N109" s="16" t="n"/>
      <c r="O109" s="16" t="n"/>
      <c r="P109" s="16" t="n"/>
      <c r="Q109" s="16" t="n"/>
      <c r="R109" s="16" t="n"/>
      <c r="S109" s="17" t="n"/>
      <c r="T109" s="95" t="n"/>
      <c r="U109" s="17" t="n"/>
      <c r="V109" s="95">
        <f>IF($D109="","",IF($T109="",1,$T109)*IFERROR(VLOOKUP($D109,'DADOS_CUSTOM'!$AU$2:$AX$64,2,FALSE),0.1))</f>
        <v/>
      </c>
      <c r="W109" s="16" t="n"/>
      <c r="X109" s="17" t="n"/>
      <c r="Y109" s="137" t="n"/>
      <c r="Z109" s="144" t="n"/>
      <c r="AA109" s="16" t="n"/>
      <c r="AB109" s="16" t="n"/>
      <c r="AC109" s="16" t="n"/>
      <c r="AD109" s="16" t="n"/>
      <c r="AE109" s="16" t="n"/>
      <c r="AF109" s="16" t="n"/>
      <c r="AG109" s="16" t="n"/>
      <c r="AH109" s="16" t="n"/>
      <c r="AI109" s="16" t="n"/>
      <c r="AJ109" s="16" t="n"/>
      <c r="AK109" s="16" t="n"/>
      <c r="AL109" s="16" t="n"/>
      <c r="AM109" s="16" t="n"/>
      <c r="AN109" s="16" t="n"/>
      <c r="AO109" s="17" t="n"/>
      <c r="AP109" s="95" t="n"/>
      <c r="AQ109" s="17" t="n"/>
      <c r="AR109" s="95">
        <f>IF($Z109="","",IF($AP109="",1,$AP109)*IFERROR(VLOOKUP($Z109,'DADOS_CUSTOM'!$AU$2:$AX$64,2,FALSE),0.1))</f>
        <v/>
      </c>
      <c r="AS109" s="16" t="n"/>
      <c r="AT109" s="17" t="n"/>
      <c r="AU109" s="137" t="n"/>
      <c r="AV109" s="137" t="n"/>
      <c r="AW109" s="137" t="n"/>
      <c r="AX109" s="137" t="n"/>
      <c r="AY109" s="137" t="n"/>
      <c r="AZ109" s="137" t="n"/>
      <c r="BA109" s="137" t="n"/>
      <c r="BB109" s="137" t="n"/>
      <c r="BC109" s="137" t="n"/>
      <c r="BD109" s="137" t="n"/>
      <c r="BE109" s="137" t="n"/>
      <c r="BF109" s="137" t="n"/>
      <c r="BG109" s="137" t="n"/>
      <c r="BH109" s="137" t="n"/>
      <c r="BI109" s="137" t="n"/>
      <c r="BJ109" s="137" t="n"/>
      <c r="BK109" s="137" t="n"/>
      <c r="BL109" s="137" t="n"/>
      <c r="BM109" s="137" t="n"/>
      <c r="BN109" s="137" t="n"/>
      <c r="BO109" s="137" t="n"/>
      <c r="BP109" s="137" t="n"/>
      <c r="BQ109" s="137" t="n"/>
      <c r="BR109" s="137" t="n"/>
      <c r="BS109" s="137" t="n"/>
      <c r="BT109" s="137" t="n"/>
    </row>
    <row r="110">
      <c r="A110" s="8" t="n"/>
      <c r="B110" s="14" t="n"/>
      <c r="C110" s="137" t="n"/>
      <c r="D110" s="137" t="n"/>
      <c r="E110" s="137" t="n"/>
      <c r="F110" s="137" t="n"/>
      <c r="G110" s="137" t="n"/>
      <c r="H110" s="137" t="n"/>
      <c r="I110" s="137" t="n"/>
      <c r="J110" s="137" t="n"/>
      <c r="K110" s="137" t="n"/>
      <c r="L110" s="137" t="n"/>
      <c r="M110" s="137" t="n"/>
      <c r="N110" s="137" t="n"/>
      <c r="O110" s="137" t="n"/>
      <c r="P110" s="137" t="n"/>
      <c r="Q110" s="137" t="n"/>
      <c r="R110" s="137" t="n"/>
      <c r="S110" s="137" t="n"/>
      <c r="T110" s="137" t="n"/>
      <c r="U110" s="137" t="n"/>
      <c r="V110" s="137" t="n"/>
      <c r="W110" s="137" t="n"/>
      <c r="X110" s="137" t="n"/>
      <c r="Y110" s="137" t="n"/>
      <c r="Z110" s="137" t="n"/>
      <c r="AA110" s="137" t="n"/>
      <c r="AB110" s="137" t="n"/>
      <c r="AC110" s="137" t="n"/>
      <c r="AD110" s="137" t="n"/>
      <c r="AE110" s="137" t="n"/>
      <c r="AF110" s="137" t="n"/>
      <c r="AG110" s="137" t="n"/>
      <c r="AH110" s="137" t="n"/>
      <c r="AI110" s="137" t="n"/>
      <c r="AJ110" s="137" t="n"/>
      <c r="AK110" s="137" t="n"/>
      <c r="AL110" s="137" t="n"/>
      <c r="AM110" s="137" t="n"/>
      <c r="AN110" s="137" t="n"/>
      <c r="AO110" s="137" t="n"/>
      <c r="AP110" s="137" t="n"/>
      <c r="AQ110" s="137" t="n"/>
      <c r="AR110" s="137" t="n"/>
      <c r="AS110" s="137" t="n"/>
      <c r="AT110" s="137" t="n"/>
      <c r="AU110" s="137" t="n"/>
      <c r="AV110" s="137" t="n"/>
      <c r="AW110" s="137" t="n"/>
      <c r="AX110" s="137" t="n"/>
      <c r="AY110" s="137" t="n"/>
      <c r="AZ110" s="137" t="n"/>
      <c r="BA110" s="137" t="n"/>
      <c r="BB110" s="137" t="n"/>
      <c r="BC110" s="137" t="n"/>
      <c r="BD110" s="137" t="n"/>
      <c r="BE110" s="137" t="n"/>
      <c r="BF110" s="137" t="n"/>
      <c r="BG110" s="137" t="n"/>
      <c r="BH110" s="137" t="n"/>
      <c r="BI110" s="137" t="n"/>
      <c r="BJ110" s="137" t="n"/>
      <c r="BK110" s="137" t="n"/>
      <c r="BL110" s="137" t="n"/>
      <c r="BM110" s="137" t="n"/>
      <c r="BN110" s="137" t="n"/>
      <c r="BO110" s="137" t="n"/>
      <c r="BP110" s="137" t="n"/>
      <c r="BQ110" s="137" t="n"/>
      <c r="BR110" s="137" t="n"/>
      <c r="BS110" s="137" t="n"/>
      <c r="BT110" s="137" t="n"/>
    </row>
  </sheetData>
  <mergeCells count="372">
    <mergeCell ref="AF79:AL79"/>
    <mergeCell ref="AZ99:BA99"/>
    <mergeCell ref="D98:J98"/>
    <mergeCell ref="AF81:AL81"/>
    <mergeCell ref="AQ98:AT98"/>
    <mergeCell ref="V103:X103"/>
    <mergeCell ref="BD92:BE92"/>
    <mergeCell ref="AH66:AT66"/>
    <mergeCell ref="K99:L99"/>
    <mergeCell ref="AR109:AT109"/>
    <mergeCell ref="E77:L77"/>
    <mergeCell ref="AN83:AT83"/>
    <mergeCell ref="AX100:AY100"/>
    <mergeCell ref="AX102:AY102"/>
    <mergeCell ref="E72:L72"/>
    <mergeCell ref="AF86:AL87"/>
    <mergeCell ref="Z67:AF67"/>
    <mergeCell ref="K92:L92"/>
    <mergeCell ref="AQ93:AT93"/>
    <mergeCell ref="AG94:AH94"/>
    <mergeCell ref="M99:R99"/>
    <mergeCell ref="A8:B29"/>
    <mergeCell ref="D51:P51"/>
    <mergeCell ref="AH54:AT54"/>
    <mergeCell ref="AX105:AY105"/>
    <mergeCell ref="R51:AF51"/>
    <mergeCell ref="W74:AD74"/>
    <mergeCell ref="AH41:AT41"/>
    <mergeCell ref="E82:L82"/>
    <mergeCell ref="AO10:AT10"/>
    <mergeCell ref="AG95:AH95"/>
    <mergeCell ref="AN78:AT78"/>
    <mergeCell ref="AI95:AJ95"/>
    <mergeCell ref="W76:AD76"/>
    <mergeCell ref="AG97:AH97"/>
    <mergeCell ref="AN80:AT80"/>
    <mergeCell ref="AI97:AJ97"/>
    <mergeCell ref="AZ100:BA100"/>
    <mergeCell ref="AN79:AT79"/>
    <mergeCell ref="AN86:AT87"/>
    <mergeCell ref="AW8:BG9"/>
    <mergeCell ref="AZ102:BA102"/>
    <mergeCell ref="Q11:Z12"/>
    <mergeCell ref="R44:AF44"/>
    <mergeCell ref="BD95:BE95"/>
    <mergeCell ref="S91:T91"/>
    <mergeCell ref="Y15:AE16"/>
    <mergeCell ref="BD97:BE97"/>
    <mergeCell ref="D92:J92"/>
    <mergeCell ref="S93:T93"/>
    <mergeCell ref="V108:X108"/>
    <mergeCell ref="D67:J67"/>
    <mergeCell ref="D94:J94"/>
    <mergeCell ref="D61:AT62"/>
    <mergeCell ref="K97:L97"/>
    <mergeCell ref="AI96:AJ96"/>
    <mergeCell ref="W77:AD77"/>
    <mergeCell ref="W82:AD82"/>
    <mergeCell ref="AG98:AH98"/>
    <mergeCell ref="AN81:AT81"/>
    <mergeCell ref="AI98:AJ98"/>
    <mergeCell ref="AZ103:BA103"/>
    <mergeCell ref="U99:V99"/>
    <mergeCell ref="Q19:AG20"/>
    <mergeCell ref="AW89:BG90"/>
    <mergeCell ref="AO11:AT12"/>
    <mergeCell ref="BD96:BE96"/>
    <mergeCell ref="BF96:BG96"/>
    <mergeCell ref="W95:AD95"/>
    <mergeCell ref="BD98:BE98"/>
    <mergeCell ref="AK96:AP96"/>
    <mergeCell ref="W97:AD97"/>
    <mergeCell ref="W72:AD72"/>
    <mergeCell ref="V109:X109"/>
    <mergeCell ref="E80:L80"/>
    <mergeCell ref="AQ91:AT91"/>
    <mergeCell ref="AK98:AP98"/>
    <mergeCell ref="AH67:AN67"/>
    <mergeCell ref="D108:S108"/>
    <mergeCell ref="U92:V92"/>
    <mergeCell ref="AK91:AP91"/>
    <mergeCell ref="S94:T94"/>
    <mergeCell ref="E81:L81"/>
    <mergeCell ref="U94:V94"/>
    <mergeCell ref="AK93:AP93"/>
    <mergeCell ref="AI11:AM12"/>
    <mergeCell ref="R40:AF40"/>
    <mergeCell ref="BE11:BG12"/>
    <mergeCell ref="BD91:BE91"/>
    <mergeCell ref="BD93:BE93"/>
    <mergeCell ref="W83:AD83"/>
    <mergeCell ref="AF71:AL71"/>
    <mergeCell ref="D42:AT42"/>
    <mergeCell ref="L86:M87"/>
    <mergeCell ref="W85:AD85"/>
    <mergeCell ref="BF101:BG101"/>
    <mergeCell ref="AF73:AL73"/>
    <mergeCell ref="T104:U104"/>
    <mergeCell ref="N82:U82"/>
    <mergeCell ref="AP108:AQ108"/>
    <mergeCell ref="M96:R96"/>
    <mergeCell ref="AG15:AM16"/>
    <mergeCell ref="Z106:AO106"/>
    <mergeCell ref="M98:R98"/>
    <mergeCell ref="T105:U105"/>
    <mergeCell ref="BD104:BE104"/>
    <mergeCell ref="BF104:BG104"/>
    <mergeCell ref="W98:AD98"/>
    <mergeCell ref="T107:U107"/>
    <mergeCell ref="D103:S103"/>
    <mergeCell ref="AH51:AT51"/>
    <mergeCell ref="BD105:BE105"/>
    <mergeCell ref="BF99:BG99"/>
    <mergeCell ref="N75:U75"/>
    <mergeCell ref="I86:K87"/>
    <mergeCell ref="U95:V95"/>
    <mergeCell ref="H2:Z3"/>
    <mergeCell ref="AE92:AF92"/>
    <mergeCell ref="N72:U72"/>
    <mergeCell ref="AR108:AT108"/>
    <mergeCell ref="R41:AF41"/>
    <mergeCell ref="D10:O28"/>
    <mergeCell ref="U97:V97"/>
    <mergeCell ref="Z104:AO104"/>
    <mergeCell ref="W91:AD91"/>
    <mergeCell ref="R43:AF43"/>
    <mergeCell ref="D96:J96"/>
    <mergeCell ref="W93:AD93"/>
    <mergeCell ref="Y14:AE14"/>
    <mergeCell ref="Q14:W14"/>
    <mergeCell ref="AX92:AY92"/>
    <mergeCell ref="AZ92:BA92"/>
    <mergeCell ref="D91:J91"/>
    <mergeCell ref="BF102:BG102"/>
    <mergeCell ref="AF74:AL74"/>
    <mergeCell ref="D58:AT59"/>
    <mergeCell ref="AP103:AQ103"/>
    <mergeCell ref="AX94:AY94"/>
    <mergeCell ref="N83:U83"/>
    <mergeCell ref="D106:S106"/>
    <mergeCell ref="D93:J93"/>
    <mergeCell ref="AF76:AL76"/>
    <mergeCell ref="AI10:AM10"/>
    <mergeCell ref="Z107:AO107"/>
    <mergeCell ref="BF105:BG105"/>
    <mergeCell ref="D45:P50"/>
    <mergeCell ref="AR104:AT104"/>
    <mergeCell ref="D64:Q65"/>
    <mergeCell ref="D109:S109"/>
    <mergeCell ref="Q22:AT22"/>
    <mergeCell ref="AX97:AY97"/>
    <mergeCell ref="D31:O38"/>
    <mergeCell ref="D53:AF53"/>
    <mergeCell ref="D2:G4"/>
    <mergeCell ref="D104:S104"/>
    <mergeCell ref="N78:U78"/>
    <mergeCell ref="M92:R92"/>
    <mergeCell ref="U98:V98"/>
    <mergeCell ref="D8:AT9"/>
    <mergeCell ref="AE95:AF95"/>
    <mergeCell ref="N80:U80"/>
    <mergeCell ref="AH45:AT50"/>
    <mergeCell ref="E75:L75"/>
    <mergeCell ref="N79:U79"/>
    <mergeCell ref="AN71:AT71"/>
    <mergeCell ref="T103:U103"/>
    <mergeCell ref="AN73:AT73"/>
    <mergeCell ref="AG14:AM14"/>
    <mergeCell ref="AX95:AY95"/>
    <mergeCell ref="K94:L94"/>
    <mergeCell ref="AI19:AT20"/>
    <mergeCell ref="Q34:AT34"/>
    <mergeCell ref="AZ95:BA95"/>
    <mergeCell ref="AF77:AL77"/>
    <mergeCell ref="Q15:W16"/>
    <mergeCell ref="D101:AT102"/>
    <mergeCell ref="AZ97:BA97"/>
    <mergeCell ref="AB2:AT3"/>
    <mergeCell ref="AO15:AT16"/>
    <mergeCell ref="AR106:AT106"/>
    <mergeCell ref="AW10:BA10"/>
    <mergeCell ref="AR105:AT105"/>
    <mergeCell ref="AR107:AT107"/>
    <mergeCell ref="Q35:AT38"/>
    <mergeCell ref="M94:R94"/>
    <mergeCell ref="K95:L95"/>
    <mergeCell ref="AE97:AF97"/>
    <mergeCell ref="AF72:AL72"/>
    <mergeCell ref="E83:L83"/>
    <mergeCell ref="A33:B67"/>
    <mergeCell ref="AE96:AF96"/>
    <mergeCell ref="AG96:AH96"/>
    <mergeCell ref="N81:U81"/>
    <mergeCell ref="M95:R95"/>
    <mergeCell ref="AE98:AF98"/>
    <mergeCell ref="M97:R97"/>
    <mergeCell ref="E78:L78"/>
    <mergeCell ref="D66:Q66"/>
    <mergeCell ref="W75:AD75"/>
    <mergeCell ref="AG91:AH91"/>
    <mergeCell ref="AN74:AT74"/>
    <mergeCell ref="AI91:AJ91"/>
    <mergeCell ref="D54:AF55"/>
    <mergeCell ref="AX103:AY103"/>
    <mergeCell ref="S99:T99"/>
    <mergeCell ref="BI8:BS9"/>
    <mergeCell ref="AG93:AH93"/>
    <mergeCell ref="AN76:AT76"/>
    <mergeCell ref="AI93:AJ93"/>
    <mergeCell ref="S92:T92"/>
    <mergeCell ref="AZ96:BA96"/>
    <mergeCell ref="AF83:AL83"/>
    <mergeCell ref="V106:X106"/>
    <mergeCell ref="BF98:BG98"/>
    <mergeCell ref="AX98:AY98"/>
    <mergeCell ref="AZ98:BA98"/>
    <mergeCell ref="V105:X105"/>
    <mergeCell ref="D85:K85"/>
    <mergeCell ref="AN77:AT77"/>
    <mergeCell ref="AF85:AL85"/>
    <mergeCell ref="E71:L71"/>
    <mergeCell ref="V107:X107"/>
    <mergeCell ref="O85:U85"/>
    <mergeCell ref="Z103:AO103"/>
    <mergeCell ref="E79:L79"/>
    <mergeCell ref="E73:L73"/>
    <mergeCell ref="V104:X104"/>
    <mergeCell ref="K96:L96"/>
    <mergeCell ref="AX91:AY91"/>
    <mergeCell ref="E74:L74"/>
    <mergeCell ref="AZ91:BA91"/>
    <mergeCell ref="S97:T97"/>
    <mergeCell ref="K98:L98"/>
    <mergeCell ref="AB4:AT4"/>
    <mergeCell ref="AX93:AY93"/>
    <mergeCell ref="AZ93:BA93"/>
    <mergeCell ref="AB11:AG12"/>
    <mergeCell ref="D86:H87"/>
    <mergeCell ref="K93:L93"/>
    <mergeCell ref="W78:AD78"/>
    <mergeCell ref="AR103:AT103"/>
    <mergeCell ref="AO14:AT14"/>
    <mergeCell ref="AG99:AH99"/>
    <mergeCell ref="AI99:AJ99"/>
    <mergeCell ref="W80:AD80"/>
    <mergeCell ref="AQ99:AT99"/>
    <mergeCell ref="W86:AD87"/>
    <mergeCell ref="AZ104:BA104"/>
    <mergeCell ref="AK99:AP99"/>
    <mergeCell ref="AI94:AJ94"/>
    <mergeCell ref="M91:R91"/>
    <mergeCell ref="AW11:BA12"/>
    <mergeCell ref="M93:R93"/>
    <mergeCell ref="BD99:BE99"/>
    <mergeCell ref="S95:T95"/>
    <mergeCell ref="E76:L76"/>
    <mergeCell ref="BF92:BG92"/>
    <mergeCell ref="BD101:BE101"/>
    <mergeCell ref="AQ92:AT92"/>
    <mergeCell ref="O86:U87"/>
    <mergeCell ref="BD94:BE94"/>
    <mergeCell ref="AK92:AP92"/>
    <mergeCell ref="BF94:BG94"/>
    <mergeCell ref="AQ94:AT94"/>
    <mergeCell ref="AK94:AP94"/>
    <mergeCell ref="W79:AD79"/>
    <mergeCell ref="AH64:AT65"/>
    <mergeCell ref="W81:AD81"/>
    <mergeCell ref="BC11:BD12"/>
    <mergeCell ref="AN85:AT85"/>
    <mergeCell ref="AZ105:BA105"/>
    <mergeCell ref="AP104:AQ104"/>
    <mergeCell ref="K67:Q67"/>
    <mergeCell ref="R45:AF50"/>
    <mergeCell ref="BD100:BE100"/>
    <mergeCell ref="BF100:BG100"/>
    <mergeCell ref="W99:AD99"/>
    <mergeCell ref="S96:T96"/>
    <mergeCell ref="U96:V96"/>
    <mergeCell ref="BD102:BE102"/>
    <mergeCell ref="W92:AD92"/>
    <mergeCell ref="S98:T98"/>
    <mergeCell ref="S64:AF65"/>
    <mergeCell ref="BF95:BG95"/>
    <mergeCell ref="AQ95:AT95"/>
    <mergeCell ref="N71:U71"/>
    <mergeCell ref="AP109:AQ109"/>
    <mergeCell ref="W94:AD94"/>
    <mergeCell ref="Z105:AO105"/>
    <mergeCell ref="D30:O30"/>
    <mergeCell ref="U91:V91"/>
    <mergeCell ref="D99:J99"/>
    <mergeCell ref="AF82:AL82"/>
    <mergeCell ref="AB10:AG10"/>
    <mergeCell ref="AK95:AP95"/>
    <mergeCell ref="BF97:BG97"/>
    <mergeCell ref="AQ97:AT97"/>
    <mergeCell ref="N73:U73"/>
    <mergeCell ref="U93:V93"/>
    <mergeCell ref="AQ96:AT96"/>
    <mergeCell ref="Q23:AT24"/>
    <mergeCell ref="AK97:AP97"/>
    <mergeCell ref="AH44:AT44"/>
    <mergeCell ref="S63:AF63"/>
    <mergeCell ref="AF75:AL75"/>
    <mergeCell ref="AP106:AQ106"/>
    <mergeCell ref="D63:Q63"/>
    <mergeCell ref="Q27:AT32"/>
    <mergeCell ref="Q18:AG18"/>
    <mergeCell ref="T108:U108"/>
    <mergeCell ref="D44:P44"/>
    <mergeCell ref="Z108:AO108"/>
    <mergeCell ref="L85:M85"/>
    <mergeCell ref="H4:Z4"/>
    <mergeCell ref="T109:U109"/>
    <mergeCell ref="BD103:BE103"/>
    <mergeCell ref="D105:S105"/>
    <mergeCell ref="BF103:BG103"/>
    <mergeCell ref="AH53:AT53"/>
    <mergeCell ref="S67:Y67"/>
    <mergeCell ref="Q10:Z10"/>
    <mergeCell ref="D107:S107"/>
    <mergeCell ref="AO67:AT67"/>
    <mergeCell ref="AH55:AT55"/>
    <mergeCell ref="C6:AR6"/>
    <mergeCell ref="D89:AT90"/>
    <mergeCell ref="N74:U74"/>
    <mergeCell ref="AE91:AF91"/>
    <mergeCell ref="D69:AT70"/>
    <mergeCell ref="N76:U76"/>
    <mergeCell ref="AE93:AF93"/>
    <mergeCell ref="AX96:AY96"/>
    <mergeCell ref="T106:U106"/>
    <mergeCell ref="N77:U77"/>
    <mergeCell ref="S66:AF66"/>
    <mergeCell ref="AX104:AY104"/>
    <mergeCell ref="BF91:BG91"/>
    <mergeCell ref="AP105:AQ105"/>
    <mergeCell ref="W96:AD96"/>
    <mergeCell ref="D95:J95"/>
    <mergeCell ref="AF78:AL78"/>
    <mergeCell ref="AX106:AY106"/>
    <mergeCell ref="AZ106:BA106"/>
    <mergeCell ref="BF93:BG93"/>
    <mergeCell ref="AP107:AQ107"/>
    <mergeCell ref="AH43:AT43"/>
    <mergeCell ref="AH63:AT63"/>
    <mergeCell ref="D97:J97"/>
    <mergeCell ref="AF80:AL80"/>
    <mergeCell ref="Z109:AO109"/>
    <mergeCell ref="D57:AT57"/>
    <mergeCell ref="AE94:AF94"/>
    <mergeCell ref="AN82:AT82"/>
    <mergeCell ref="Q26:AT26"/>
    <mergeCell ref="AX99:AY99"/>
    <mergeCell ref="K91:L91"/>
    <mergeCell ref="AX101:AY101"/>
    <mergeCell ref="AI18:AT18"/>
    <mergeCell ref="AZ101:BA101"/>
    <mergeCell ref="D40:P40"/>
    <mergeCell ref="AZ94:BA94"/>
    <mergeCell ref="AE99:AF99"/>
    <mergeCell ref="W71:AD71"/>
    <mergeCell ref="AG92:AH92"/>
    <mergeCell ref="D41:P41"/>
    <mergeCell ref="AN75:AT75"/>
    <mergeCell ref="AI92:AJ92"/>
    <mergeCell ref="W73:AD73"/>
    <mergeCell ref="BC10:BG10"/>
    <mergeCell ref="AH40:AT40"/>
    <mergeCell ref="AN72:AT72"/>
    <mergeCell ref="D43:P43"/>
  </mergeCells>
  <dataValidations count="25">
    <dataValidation sqref="D44" showDropDown="0" showInputMessage="0" showErrorMessage="1" allowBlank="1" type="list" errorStyle="stop">
      <formula1>'DADOS_CUSTOM'!$CP$2:$CP$160</formula1>
    </dataValidation>
    <dataValidation sqref="R44" showDropDown="0" showInputMessage="0" showErrorMessage="0" allowBlank="1" type="list" errorStyle="stop">
      <formula1>'DADOS_CUSTOM'!$CQ$2:$CQ$160</formula1>
    </dataValidation>
    <dataValidation sqref="AH44" showDropDown="0" showInputMessage="0" showErrorMessage="0" allowBlank="1" type="list" errorStyle="stop">
      <formula1>'DADOS_CUSTOM'!$CQ$2:$CQ$160</formula1>
    </dataValidation>
    <dataValidation sqref="AH54" showDropDown="0" showInputMessage="0" showErrorMessage="0" allowBlank="1" type="list" errorStyle="stop">
      <formula1>DADOS!$EG$5:$EG$15</formula1>
    </dataValidation>
    <dataValidation sqref="AB11" showDropDown="0" showInputMessage="0" showErrorMessage="0" allowBlank="1" type="list" errorStyle="stop">
      <formula1>DADOS!$CF$5:$CF$9</formula1>
    </dataValidation>
    <dataValidation sqref="D64" showDropDown="0" showInputMessage="0" showErrorMessage="0" allowBlank="1" type="list" errorStyle="stop">
      <formula1>DADOS!$DB$5:$DB$13</formula1>
    </dataValidation>
    <dataValidation sqref="S64" showDropDown="0" showInputMessage="0" showErrorMessage="0" allowBlank="1" type="list" errorStyle="stop">
      <formula1>DADOS!$DD$5:$DD$14</formula1>
    </dataValidation>
    <dataValidation sqref="AH64" showDropDown="0" showInputMessage="0" showErrorMessage="0" allowBlank="1" type="list" errorStyle="stop">
      <formula1>'DADOS_CUSTOM'!$CR$2:$CR$160</formula1>
    </dataValidation>
    <dataValidation sqref="AN86" showDropDown="0" showInputMessage="0" showErrorMessage="0" allowBlank="1" type="list" errorStyle="stop">
      <formula1>DADOS!$CJ$5:$CJ$13</formula1>
    </dataValidation>
    <dataValidation sqref="AI92:AI99" showDropDown="0" showInputMessage="0" showErrorMessage="0" allowBlank="1" type="list" errorStyle="stop">
      <formula1>DADOS!$CU$5:$CU$10</formula1>
    </dataValidation>
    <dataValidation sqref="AX15:AX87" showDropDown="0" showInputMessage="0" showErrorMessage="0" allowBlank="1" type="list" errorStyle="stop">
      <formula1>DADOS!$CL$5:$CL$10</formula1>
    </dataValidation>
    <dataValidation sqref="AY15:AY87" showDropDown="0" showInputMessage="0" showErrorMessage="0" allowBlank="1" type="list" errorStyle="stop">
      <formula1>DADOS!$CO$5:$CO$7</formula1>
    </dataValidation>
    <dataValidation sqref="AZ15:AZ87" showDropDown="0" showInputMessage="0" showErrorMessage="0" allowBlank="1" type="list" errorStyle="stop">
      <formula1>DADOS!$CR$5:$CR$15</formula1>
    </dataValidation>
    <dataValidation sqref="BD15:BD87" showDropDown="0" showInputMessage="0" showErrorMessage="0" allowBlank="1" type="list" errorStyle="stop">
      <formula1>DADOS!$CL$5:$CL$10</formula1>
    </dataValidation>
    <dataValidation sqref="BE15:BE87" showDropDown="0" showInputMessage="0" showErrorMessage="0" allowBlank="1" type="list" errorStyle="stop">
      <formula1>DADOS!$CO$5:$CO$7</formula1>
    </dataValidation>
    <dataValidation sqref="BF15:BF87" showDropDown="0" showInputMessage="0" showErrorMessage="0" allowBlank="1" type="list" errorStyle="stop">
      <formula1>DADOS!$CR$5:$CR$15</formula1>
    </dataValidation>
    <dataValidation sqref="BJ15:BJ87" showDropDown="0" showInputMessage="0" showErrorMessage="0" allowBlank="1" type="list" errorStyle="stop">
      <formula1>DADOS!$CL$5:$CL$10</formula1>
    </dataValidation>
    <dataValidation sqref="BK15:BK87" showDropDown="0" showInputMessage="0" showErrorMessage="0" allowBlank="1" type="list" errorStyle="stop">
      <formula1>DADOS!$CO$5:$CO$7</formula1>
    </dataValidation>
    <dataValidation sqref="BL15:BL87" showDropDown="0" showInputMessage="0" showErrorMessage="0" allowBlank="1" type="list" errorStyle="stop">
      <formula1>DADOS!$CR$5:$CR$15</formula1>
    </dataValidation>
    <dataValidation sqref="BP15:BP87" showDropDown="0" showInputMessage="0" showErrorMessage="0" allowBlank="1" type="list" errorStyle="stop">
      <formula1>DADOS!$CL$5:$CL$10</formula1>
    </dataValidation>
    <dataValidation sqref="BQ15:BQ87" showDropDown="0" showInputMessage="0" showErrorMessage="0" allowBlank="1" type="list" errorStyle="stop">
      <formula1>DADOS!$CO$5:$CO$7</formula1>
    </dataValidation>
    <dataValidation sqref="BR15:BR87" showDropDown="0" showInputMessage="0" showErrorMessage="0" allowBlank="1" type="list" errorStyle="stop">
      <formula1>DADOS!$CR$5:$CR$15</formula1>
    </dataValidation>
    <dataValidation sqref="D92:D99" showDropDown="0" showInputMessage="0" showErrorMessage="0" allowBlank="1" type="list" errorStyle="stop">
      <formula1>'DADOS_CUSTOM'!$AA$2:$AA$106</formula1>
    </dataValidation>
    <dataValidation sqref="D104:D109" showDropDown="0" showInputMessage="0" showErrorMessage="0" allowBlank="1" type="list" errorStyle="stop">
      <formula1>'DADOS_CUSTOM'!$AU$2:$AU$64</formula1>
    </dataValidation>
    <dataValidation sqref="Z104:Z109" showDropDown="0" showInputMessage="0" showErrorMessage="0" allowBlank="1" type="list" errorStyle="stop">
      <formula1>'DADOS_CUSTOM'!$AU$2:$AU$64</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G98"/>
  <sheetViews>
    <sheetView showGridLines="0" workbookViewId="0">
      <selection activeCell="A1" sqref="A1"/>
    </sheetView>
  </sheetViews>
  <sheetFormatPr baseColWidth="8" defaultRowHeight="15.75" customHeight="1"/>
  <cols>
    <col width="19.38" customWidth="1" min="1" max="1"/>
    <col width="19.38" customWidth="1" min="2" max="2"/>
    <col width="19.38" customWidth="1" min="3" max="3"/>
    <col width="19.38" customWidth="1" min="4" max="4"/>
    <col width="19.38" customWidth="1" min="5" max="5"/>
    <col width="19.38" customWidth="1" min="6" max="6"/>
    <col width="19.38" customWidth="1" min="7" max="7"/>
    <col width="19.38" customWidth="1" min="8" max="8"/>
    <col width="19.38" customWidth="1" min="9" max="9"/>
    <col width="19.38" customWidth="1" min="10" max="10"/>
    <col width="19.38" customWidth="1" min="11" max="11"/>
    <col width="19.38" customWidth="1" min="12" max="12"/>
    <col width="19.38" customWidth="1" min="13" max="13"/>
    <col width="19.38" customWidth="1" min="14" max="14"/>
    <col width="19.38" customWidth="1" min="15" max="15"/>
    <col width="19.38" customWidth="1" min="16" max="16"/>
    <col width="19.38" customWidth="1" min="17" max="17"/>
    <col width="19.38" customWidth="1" min="18" max="18"/>
    <col width="19.38" customWidth="1" min="19" max="19"/>
    <col width="19.38" customWidth="1" min="20" max="20"/>
    <col width="19.38" customWidth="1" min="21" max="21"/>
    <col width="19.38" customWidth="1" min="22" max="22"/>
    <col width="19.38" customWidth="1" min="23" max="23"/>
    <col width="19.38" customWidth="1" min="24" max="24"/>
    <col width="19.38" customWidth="1" min="25" max="25"/>
    <col width="19.38" customWidth="1" min="26" max="26"/>
    <col width="19.38" customWidth="1" min="27" max="27"/>
    <col width="19.38" customWidth="1" min="28" max="28"/>
    <col width="19.38" customWidth="1" min="29" max="29"/>
    <col width="19.38" customWidth="1" min="30" max="30"/>
    <col width="19.38" customWidth="1" min="31" max="31"/>
    <col width="19.38" customWidth="1" min="32" max="32"/>
    <col width="19.38" customWidth="1" min="33" max="33"/>
    <col width="19.38" customWidth="1" min="34" max="34"/>
    <col width="19.38" customWidth="1" min="35" max="35"/>
    <col width="19.38" customWidth="1" min="36" max="36"/>
    <col width="19.38" customWidth="1" min="37" max="37"/>
    <col width="19.38" customWidth="1" min="38" max="38"/>
    <col width="19.38" customWidth="1" min="39" max="39"/>
    <col width="19.38" customWidth="1" min="40" max="40"/>
    <col width="19.38" customWidth="1" min="41" max="41"/>
    <col width="19.38" customWidth="1" min="42" max="42"/>
    <col width="19.38" customWidth="1" min="43" max="43"/>
    <col width="19.38" customWidth="1" min="44" max="44"/>
    <col width="19.38" customWidth="1" min="45" max="45"/>
    <col width="19.38" customWidth="1" min="46" max="46"/>
    <col width="19.38" customWidth="1" min="47" max="47"/>
    <col width="19.38" customWidth="1" min="48" max="48"/>
    <col width="19.38" customWidth="1" min="49" max="49"/>
    <col width="19.38" customWidth="1" min="50" max="50"/>
    <col width="19.38" customWidth="1" min="51" max="51"/>
    <col width="19.38" customWidth="1" min="52" max="52"/>
    <col width="19.38" customWidth="1" min="53" max="53"/>
    <col width="19.38" customWidth="1" min="54" max="54"/>
    <col width="19.38" customWidth="1" min="55" max="55"/>
    <col width="19.38" customWidth="1" min="56" max="56"/>
    <col width="19.38" customWidth="1" min="57" max="57"/>
    <col width="19.38" customWidth="1" min="58" max="58"/>
    <col width="19.38" customWidth="1" min="59" max="59"/>
    <col width="19.38" customWidth="1" min="60" max="60"/>
    <col width="19.38" customWidth="1" min="61" max="61"/>
    <col width="19.38" customWidth="1" min="62" max="62"/>
    <col width="19.38" customWidth="1" min="63" max="63"/>
    <col width="19.38" customWidth="1" min="64" max="64"/>
    <col width="19.38" customWidth="1" min="65" max="65"/>
    <col width="19.38" customWidth="1" min="66" max="66"/>
    <col width="19.38" customWidth="1" min="67" max="67"/>
    <col width="19.38" customWidth="1" min="68" max="68"/>
    <col width="19.38" customWidth="1" min="69" max="69"/>
    <col width="19.38" customWidth="1" min="70" max="70"/>
    <col width="19.38" customWidth="1" min="71" max="71"/>
    <col width="19.38" customWidth="1" min="72" max="72"/>
    <col width="19.38" customWidth="1" min="73" max="73"/>
    <col width="19.38" customWidth="1" min="74" max="74"/>
    <col width="19.38" customWidth="1" min="75" max="75"/>
    <col width="19.38" customWidth="1" min="76" max="76"/>
    <col width="19.38" customWidth="1" min="77" max="77"/>
    <col width="19.38" customWidth="1" min="78" max="78"/>
    <col width="19.38" customWidth="1" min="79" max="79"/>
    <col width="19.38" customWidth="1" min="80" max="80"/>
    <col width="19.38" customWidth="1" min="81" max="81"/>
    <col width="19.38" customWidth="1" min="82" max="82"/>
    <col width="19.38" customWidth="1" min="83" max="83"/>
    <col width="19.38" customWidth="1" min="84" max="84"/>
    <col width="19.38" customWidth="1" min="85" max="85"/>
    <col width="19.38" customWidth="1" min="86" max="86"/>
    <col width="19.38" customWidth="1" min="87" max="87"/>
    <col width="19.38" customWidth="1" min="88" max="88"/>
    <col width="19.38" customWidth="1" min="89" max="89"/>
    <col width="19.38" customWidth="1" min="90" max="90"/>
    <col width="19.38" customWidth="1" min="91" max="91"/>
    <col width="19.38" customWidth="1" min="92" max="92"/>
    <col width="19.38" customWidth="1" min="93" max="93"/>
    <col width="19.38" customWidth="1" min="94" max="94"/>
    <col width="19.38" customWidth="1" min="95" max="95"/>
    <col width="19.38" customWidth="1" min="96" max="96"/>
    <col width="19.38" customWidth="1" min="97" max="97"/>
    <col width="19.38" customWidth="1" min="98" max="98"/>
    <col width="19.38" customWidth="1" min="99" max="99"/>
    <col width="19.38" customWidth="1" min="100" max="100"/>
    <col width="19.38" customWidth="1" min="101" max="101"/>
    <col width="19.38" customWidth="1" min="102" max="102"/>
    <col width="19.38" customWidth="1" min="103" max="103"/>
    <col width="19.38" customWidth="1" min="104" max="104"/>
    <col width="19.38" customWidth="1" min="105" max="105"/>
    <col width="19.38" customWidth="1" min="106" max="106"/>
    <col width="19.38" customWidth="1" min="107" max="107"/>
    <col width="19.38" customWidth="1" min="108" max="108"/>
    <col width="19.38" customWidth="1" min="109" max="109"/>
    <col width="19.38" customWidth="1" min="110" max="110"/>
    <col width="19.38" customWidth="1" min="111" max="111"/>
    <col width="19.38" customWidth="1" min="112" max="112"/>
    <col width="19.38" customWidth="1" min="113" max="113"/>
    <col width="19.38" customWidth="1" min="114" max="114"/>
    <col width="19.38" customWidth="1" min="115" max="115"/>
    <col width="19.38" customWidth="1" min="116" max="116"/>
    <col width="19.38" customWidth="1" min="117" max="117"/>
    <col width="19.38" customWidth="1" min="118" max="118"/>
    <col width="19.38" customWidth="1" min="119" max="119"/>
    <col width="19.38" customWidth="1" min="120" max="120"/>
    <col width="19.38" customWidth="1" min="121" max="121"/>
    <col width="19.38" customWidth="1" min="122" max="122"/>
    <col width="19.38" customWidth="1" min="123" max="123"/>
    <col width="19.38" customWidth="1" min="124" max="124"/>
    <col width="19.38" customWidth="1" min="125" max="125"/>
    <col width="19.38" customWidth="1" min="126" max="126"/>
    <col width="19.38" customWidth="1" min="127" max="127"/>
    <col width="19.38" customWidth="1" min="128" max="128"/>
    <col width="19.38" customWidth="1" min="129" max="129"/>
    <col width="19.38" customWidth="1" min="130" max="130"/>
    <col width="19.38" customWidth="1" min="131" max="131"/>
    <col width="19.38" customWidth="1" min="132" max="132"/>
    <col width="19.38" customWidth="1" min="133" max="133"/>
    <col width="19.38" customWidth="1" min="134" max="134"/>
    <col width="19.38" customWidth="1" min="135" max="135"/>
    <col width="19.38" customWidth="1" min="136" max="136"/>
    <col width="19.38" customWidth="1" min="137" max="137"/>
  </cols>
  <sheetData>
    <row r="1" ht="17.25" customHeight="1">
      <c r="A1" s="159" t="inlineStr">
        <is>
          <t>VERSÃO DO CATÁLOGO</t>
        </is>
      </c>
      <c r="B1" s="160" t="inlineStr">
        <is>
          <t>1.0</t>
        </is>
      </c>
      <c r="C1" s="139" t="inlineStr">
        <is>
          <t>versão corrente (puxada da central)</t>
        </is>
      </c>
      <c r="D1" s="160" t="inlineStr">
        <is>
          <t>1.0</t>
        </is>
      </c>
      <c r="E1" s="41" t="inlineStr">
        <is>
          <t>NOME DO SISTEMA</t>
        </is>
      </c>
      <c r="F1" s="41" t="inlineStr">
        <is>
          <t>Ciclo Maldito</t>
        </is>
      </c>
      <c r="G1" s="41" t="n"/>
      <c r="H1" s="41" t="n"/>
      <c r="I1" s="41" t="n"/>
      <c r="J1" s="41" t="n"/>
      <c r="K1" s="41" t="n"/>
      <c r="L1" s="41" t="n"/>
      <c r="M1" s="41" t="n"/>
      <c r="N1" s="41" t="n"/>
      <c r="O1" s="41" t="n"/>
      <c r="P1" s="41" t="n"/>
      <c r="Q1" s="41" t="n"/>
      <c r="R1" s="41" t="n"/>
      <c r="S1" s="41" t="n"/>
      <c r="T1" s="41" t="n"/>
      <c r="U1" s="41" t="n"/>
      <c r="V1" s="41" t="n"/>
      <c r="W1" s="41" t="n"/>
      <c r="X1" s="41" t="n"/>
      <c r="Y1" s="41" t="n"/>
      <c r="Z1" s="41" t="n"/>
      <c r="AA1" s="41" t="n"/>
      <c r="AB1" s="41" t="n"/>
      <c r="AC1" s="41" t="n"/>
      <c r="AD1" s="41" t="n"/>
      <c r="AE1" s="41" t="n"/>
      <c r="AF1" s="41" t="n"/>
      <c r="AG1" s="41" t="n"/>
      <c r="AH1" s="41" t="n"/>
      <c r="AI1" s="41" t="n"/>
      <c r="AJ1" s="41" t="n"/>
      <c r="AK1" s="41" t="n"/>
      <c r="AL1" s="41" t="n"/>
      <c r="AM1" s="41" t="n"/>
      <c r="AN1" s="41" t="n"/>
      <c r="AO1" s="41" t="n"/>
      <c r="AP1" s="41" t="n"/>
      <c r="AQ1" s="41" t="n"/>
      <c r="AR1" s="41" t="n"/>
      <c r="AS1" s="41" t="n"/>
      <c r="AT1" s="41" t="n"/>
      <c r="AU1" s="41" t="n"/>
      <c r="AV1" s="41" t="n"/>
      <c r="AW1" s="41" t="n"/>
      <c r="AX1" s="41" t="n"/>
      <c r="AY1" s="41" t="n"/>
      <c r="AZ1" s="41" t="n"/>
      <c r="BA1" s="41" t="n"/>
      <c r="BB1" s="41" t="n"/>
    </row>
    <row r="2">
      <c r="A2" s="139" t="inlineStr">
        <is>
          <t>cole aqui o IMPORTRANGE da central em D1 quando ela existir; enquanto não existir, D1 fica igual a B1 e o aviso some</t>
        </is>
      </c>
      <c r="B2" s="41" t="n"/>
      <c r="C2" s="41" t="n"/>
      <c r="D2" s="41" t="n"/>
      <c r="E2" s="41" t="n"/>
      <c r="F2" s="41" t="n"/>
      <c r="G2" s="41" t="n"/>
      <c r="H2" s="41" t="n"/>
      <c r="I2" s="41" t="n"/>
      <c r="J2" s="41" t="n"/>
      <c r="K2" s="41" t="n"/>
      <c r="L2" s="41" t="n"/>
      <c r="M2" s="41" t="n"/>
      <c r="N2" s="41" t="n"/>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c r="AJ2" s="41" t="n"/>
      <c r="AK2" s="41" t="n"/>
      <c r="AL2" s="41" t="n"/>
      <c r="AM2" s="41" t="n"/>
      <c r="AN2" s="41" t="n"/>
      <c r="AO2" s="41" t="n"/>
      <c r="AP2" s="41" t="n"/>
      <c r="AQ2" s="41" t="n"/>
      <c r="AR2" s="41" t="n"/>
      <c r="AS2" s="41" t="n"/>
      <c r="AT2" s="41" t="n"/>
      <c r="AU2" s="41" t="n"/>
      <c r="AV2" s="41" t="n"/>
      <c r="AW2" s="41" t="n"/>
      <c r="AX2" s="41" t="n"/>
      <c r="AY2" s="41" t="n"/>
      <c r="AZ2" s="41" t="n"/>
      <c r="BA2" s="41" t="n"/>
      <c r="BB2" s="41" t="n"/>
    </row>
    <row r="3">
      <c r="A3" s="161" t="inlineStr">
        <is>
          <t>Caminhos</t>
        </is>
      </c>
      <c r="B3" s="161" t="inlineStr">
        <is>
          <t>Perícias</t>
        </is>
      </c>
      <c r="C3" s="161" t="inlineStr">
        <is>
          <t>Ofícios</t>
        </is>
      </c>
      <c r="D3" s="161" t="inlineStr">
        <is>
          <t>Famílias</t>
        </is>
      </c>
      <c r="E3" s="161" t="inlineStr">
        <is>
          <t>Formas</t>
        </is>
      </c>
      <c r="F3" s="161" t="inlineStr">
        <is>
          <t>Melhorias</t>
        </is>
      </c>
      <c r="G3" s="161" t="inlineStr">
        <is>
          <t>Restrições</t>
        </is>
      </c>
      <c r="H3" s="161" t="inlineStr">
        <is>
          <t>Condições</t>
        </is>
      </c>
      <c r="I3" s="161" t="inlineStr">
        <is>
          <t>Origens</t>
        </is>
      </c>
      <c r="J3" s="161" t="inlineStr">
        <is>
          <t>Testes</t>
        </is>
      </c>
      <c r="K3" s="161" t="inlineStr">
        <is>
          <t>Atributos</t>
        </is>
      </c>
      <c r="L3" s="161" t="inlineStr">
        <is>
          <t>Trilhas</t>
        </is>
      </c>
      <c r="M3" s="41" t="n"/>
      <c r="N3" s="161" t="inlineStr">
        <is>
          <t>tabela dos Caminhos</t>
        </is>
      </c>
      <c r="O3" s="41" t="n"/>
      <c r="P3" s="41" t="n"/>
      <c r="Q3" s="41" t="n"/>
      <c r="R3" s="41" t="n"/>
      <c r="S3" s="41" t="n"/>
      <c r="T3" s="41" t="n"/>
      <c r="U3" s="41" t="n"/>
      <c r="V3" s="41" t="n"/>
      <c r="W3" s="41" t="n"/>
      <c r="X3" s="41" t="n"/>
      <c r="Y3" s="41" t="n"/>
      <c r="Z3" s="41" t="n"/>
      <c r="AA3" s="41" t="n"/>
      <c r="AB3" s="41" t="n"/>
      <c r="AC3" s="41" t="n"/>
      <c r="AD3" s="41" t="n"/>
      <c r="AE3" s="41" t="n"/>
      <c r="AF3" s="41" t="n"/>
      <c r="AG3" s="41" t="n"/>
      <c r="AH3" s="41" t="n"/>
      <c r="AI3" s="41" t="n"/>
      <c r="AJ3" s="41" t="n"/>
      <c r="AK3" s="41" t="n"/>
      <c r="AL3" s="41" t="n"/>
      <c r="AM3" s="41" t="n"/>
      <c r="AN3" s="41" t="n"/>
      <c r="AO3" s="41" t="n"/>
      <c r="AP3" s="41" t="n"/>
      <c r="AQ3" s="41" t="n"/>
      <c r="AR3" s="41" t="n"/>
      <c r="AS3" s="41" t="n"/>
      <c r="AT3" s="41" t="n"/>
      <c r="AU3" s="41" t="n"/>
      <c r="AV3" s="41" t="n"/>
      <c r="AW3" s="41" t="n"/>
      <c r="AX3" s="41" t="n"/>
      <c r="AY3" s="41" t="n"/>
      <c r="AZ3" s="41" t="n"/>
      <c r="BA3" s="41" t="n"/>
      <c r="BB3" s="41" t="n"/>
    </row>
    <row r="4" ht="17.25" customHeight="1">
      <c r="A4" s="162" t="inlineStr">
        <is>
          <t>Bastião</t>
        </is>
      </c>
      <c r="B4" s="162" t="inlineStr">
        <is>
          <t>Atletismo</t>
        </is>
      </c>
      <c r="C4" s="162" t="inlineStr">
        <is>
          <t>Condução</t>
        </is>
      </c>
      <c r="D4" s="162" t="inlineStr">
        <is>
          <t>Alcance</t>
        </is>
      </c>
      <c r="E4" s="162" t="inlineStr">
        <is>
          <t>Projétil</t>
        </is>
      </c>
      <c r="F4" s="162" t="inlineStr">
        <is>
          <t>Longe</t>
        </is>
      </c>
      <c r="G4" s="162" t="inlineStr">
        <is>
          <t>Corpo a Corpo</t>
        </is>
      </c>
      <c r="H4" s="162" t="inlineStr">
        <is>
          <t>Lento</t>
        </is>
      </c>
      <c r="I4" s="162" t="inlineStr">
        <is>
          <t>Latente</t>
        </is>
      </c>
      <c r="J4" s="162" t="inlineStr">
        <is>
          <t>Físico</t>
        </is>
      </c>
      <c r="K4" s="162" t="inlineStr">
        <is>
          <t>Força</t>
        </is>
      </c>
      <c r="L4" s="162" t="inlineStr">
        <is>
          <t>Muro</t>
        </is>
      </c>
      <c r="M4" s="41" t="n"/>
      <c r="N4" s="163" t="inlineStr">
        <is>
          <t>Caminho</t>
        </is>
      </c>
      <c r="O4" s="163" t="inlineStr">
        <is>
          <t>atributos naturais</t>
        </is>
      </c>
      <c r="P4" s="163" t="inlineStr">
        <is>
          <t>vida inicial</t>
        </is>
      </c>
      <c r="Q4" s="163" t="inlineStr">
        <is>
          <t>vida por nível</t>
        </is>
      </c>
      <c r="R4" s="163" t="inlineStr">
        <is>
          <t>PE por nível</t>
        </is>
      </c>
      <c r="S4" s="163" t="inlineStr">
        <is>
          <t>perícia fixa 1</t>
        </is>
      </c>
      <c r="T4" s="163" t="inlineStr">
        <is>
          <t>perícia fixa 2</t>
        </is>
      </c>
      <c r="U4" s="163" t="n"/>
      <c r="V4" s="41" t="n"/>
      <c r="W4" s="163" t="inlineStr">
        <is>
          <t>marcos</t>
        </is>
      </c>
      <c r="X4" s="163" t="inlineStr">
        <is>
          <t>maestria</t>
        </is>
      </c>
      <c r="Y4" s="163" t="inlineStr">
        <is>
          <t>classe</t>
        </is>
      </c>
      <c r="Z4" s="163" t="inlineStr">
        <is>
          <t>classe 0</t>
        </is>
      </c>
      <c r="AA4" s="41" t="n"/>
      <c r="AB4" s="163" t="inlineStr">
        <is>
          <t>perícia</t>
        </is>
      </c>
      <c r="AC4" s="163" t="inlineStr">
        <is>
          <t>atributo</t>
        </is>
      </c>
      <c r="AD4" s="41" t="n"/>
      <c r="AE4" s="163" t="inlineStr">
        <is>
          <t>equipamento</t>
        </is>
      </c>
      <c r="AF4" s="163" t="inlineStr">
        <is>
          <t>proteção</t>
        </is>
      </c>
      <c r="AG4" s="163" t="inlineStr">
        <is>
          <t>teto de destreza</t>
        </is>
      </c>
      <c r="AH4" s="163" t="inlineStr">
        <is>
          <t>desliga a passiva</t>
        </is>
      </c>
      <c r="AI4" s="41" t="n"/>
      <c r="AJ4" s="163" t="inlineStr">
        <is>
          <t>contas da ficha</t>
        </is>
      </c>
      <c r="AK4" s="163" t="inlineStr">
        <is>
          <t>valor</t>
        </is>
      </c>
      <c r="AL4" s="41" t="n"/>
      <c r="AM4" s="163" t="inlineStr">
        <is>
          <t>menu de Caminho</t>
        </is>
      </c>
      <c r="AN4" s="163" t="inlineStr">
        <is>
          <t>Trilha</t>
        </is>
      </c>
      <c r="AO4" s="163" t="inlineStr">
        <is>
          <t>Caminho da Trilha</t>
        </is>
      </c>
      <c r="AP4" s="163" t="inlineStr">
        <is>
          <t>menu de Trilha</t>
        </is>
      </c>
      <c r="AQ4" s="163" t="inlineStr">
        <is>
          <t>nível</t>
        </is>
      </c>
      <c r="AR4" s="163" t="inlineStr">
        <is>
          <t>xp acumulado</t>
        </is>
      </c>
      <c r="AS4" s="41" t="n"/>
      <c r="AT4" s="41" t="n"/>
      <c r="AU4" s="41" t="n"/>
      <c r="AV4" s="41" t="n"/>
      <c r="AW4" s="41" t="n"/>
      <c r="AX4" s="41" t="n"/>
      <c r="AY4" s="41" t="n"/>
      <c r="AZ4" s="41" t="n"/>
      <c r="BA4" s="163" t="inlineStr">
        <is>
          <t>campo</t>
        </is>
      </c>
      <c r="BB4" s="163" t="inlineStr">
        <is>
          <t>célula</t>
        </is>
      </c>
      <c r="BD4" s="163" t="inlineStr">
        <is>
          <t>equipável</t>
        </is>
      </c>
      <c r="BE4" s="163" t="inlineStr">
        <is>
          <t>categoria do equipável</t>
        </is>
      </c>
      <c r="BF4" s="163" t="inlineStr">
        <is>
          <t>mão do equipável</t>
        </is>
      </c>
      <c r="BG4" s="163" t="inlineStr">
        <is>
          <t>dado do equipável</t>
        </is>
      </c>
      <c r="BH4" s="163" t="inlineStr">
        <is>
          <t>propriedades do equipável</t>
        </is>
      </c>
      <c r="BI4" s="163" t="inlineStr">
        <is>
          <t>força do equipável</t>
        </is>
      </c>
      <c r="BJ4" s="163" t="inlineStr">
        <is>
          <t>volume do equipável</t>
        </is>
      </c>
      <c r="BK4" s="163" t="inlineStr">
        <is>
          <t>alcance do equipável</t>
        </is>
      </c>
      <c r="BL4" s="163" t="inlineStr">
        <is>
          <t>recarga do equipável</t>
        </is>
      </c>
      <c r="BM4" s="163" t="inlineStr">
        <is>
          <t>treino marcado</t>
        </is>
      </c>
      <c r="BN4" s="163" t="inlineStr">
        <is>
          <t>caixa do treino</t>
        </is>
      </c>
      <c r="BP4" s="163" t="inlineStr">
        <is>
          <t>categoria de arma</t>
        </is>
      </c>
      <c r="BQ4" s="163" t="inlineStr">
        <is>
          <t>lista de treino</t>
        </is>
      </c>
      <c r="BR4" s="163" t="inlineStr">
        <is>
          <t>conjurador treina</t>
        </is>
      </c>
      <c r="BS4" s="163" t="inlineStr">
        <is>
          <t>grupo marcado</t>
        </is>
      </c>
      <c r="BT4" s="163" t="inlineStr">
        <is>
          <t>caixa do grupo</t>
        </is>
      </c>
      <c r="BV4" s="163" t="inlineStr">
        <is>
          <t>Caminho que treina todas as armas</t>
        </is>
      </c>
      <c r="BX4" s="163" t="inlineStr">
        <is>
          <t>uniforme</t>
        </is>
      </c>
      <c r="BY4" s="163" t="inlineStr">
        <is>
          <t>proteção do uniforme</t>
        </is>
      </c>
      <c r="BZ4" s="163" t="inlineStr">
        <is>
          <t>teto do uniforme</t>
        </is>
      </c>
      <c r="CA4" s="163" t="inlineStr">
        <is>
          <t>força do uniforme</t>
        </is>
      </c>
      <c r="CB4" s="163" t="inlineStr">
        <is>
          <t>volume do uniforme</t>
        </is>
      </c>
      <c r="CC4" s="163" t="inlineStr">
        <is>
          <t>ordem do grau mínimo</t>
        </is>
      </c>
      <c r="CD4" s="163" t="inlineStr">
        <is>
          <t>grau mínimo</t>
        </is>
      </c>
      <c r="CF4" s="163" t="inlineStr">
        <is>
          <t>patente</t>
        </is>
      </c>
      <c r="CG4" s="163" t="inlineStr">
        <is>
          <t>salário por mês</t>
        </is>
      </c>
      <c r="CH4" s="163" t="inlineStr">
        <is>
          <t>ordem da patente</t>
        </is>
      </c>
      <c r="CJ4" s="163" t="inlineStr">
        <is>
          <t>situação do traje</t>
        </is>
      </c>
      <c r="CL4" s="163" t="inlineStr">
        <is>
          <t>tipo de missão</t>
        </is>
      </c>
      <c r="CM4" s="163" t="inlineStr">
        <is>
          <t>xp do tipo</t>
        </is>
      </c>
      <c r="CO4" s="163" t="inlineStr">
        <is>
          <t>adicional da missão</t>
        </is>
      </c>
      <c r="CP4" s="163" t="inlineStr">
        <is>
          <t>multiplicador</t>
        </is>
      </c>
      <c r="CR4" s="163" t="inlineStr">
        <is>
          <t>desconto da missão</t>
        </is>
      </c>
      <c r="CS4" s="163" t="inlineStr">
        <is>
          <t>fração paga</t>
        </is>
      </c>
      <c r="CU4" s="163" t="inlineStr">
        <is>
          <t>grau da ferramenta</t>
        </is>
      </c>
      <c r="CW4" s="163" t="inlineStr">
        <is>
          <t>limiar do feito</t>
        </is>
      </c>
      <c r="CY4" s="163" t="inlineStr">
        <is>
          <t>contas da pessoal</t>
        </is>
      </c>
      <c r="CZ4" s="163" t="inlineStr">
        <is>
          <t>valor da pessoal</t>
        </is>
      </c>
      <c r="DB4" s="163" t="inlineStr">
        <is>
          <t>menu da mão principal</t>
        </is>
      </c>
      <c r="DD4" s="163" t="inlineStr">
        <is>
          <t>menu da mão secundária</t>
        </is>
      </c>
      <c r="DF4" s="163" t="inlineStr">
        <is>
          <t>menu do vestindo</t>
        </is>
      </c>
      <c r="DH4" s="163" t="inlineStr">
        <is>
          <t>propriedade de arma</t>
        </is>
      </c>
      <c r="DI4" s="163" t="inlineStr">
        <is>
          <t>o que a propriedade faz</t>
        </is>
      </c>
      <c r="DK4" s="163" t="inlineStr">
        <is>
          <t>nota viva</t>
        </is>
      </c>
      <c r="DL4" s="163" t="inlineStr">
        <is>
          <t>texto da nota</t>
        </is>
      </c>
      <c r="DM4" s="163" t="inlineStr">
        <is>
          <t>caixa da nota</t>
        </is>
      </c>
      <c r="DO4" s="163" t="inlineStr">
        <is>
          <t>campo pessoal</t>
        </is>
      </c>
      <c r="DP4" s="163" t="inlineStr">
        <is>
          <t>célula pessoal</t>
        </is>
      </c>
      <c r="DR4" s="163" t="inlineStr">
        <is>
          <t>capacidade da origem</t>
        </is>
      </c>
      <c r="DS4" s="163" t="inlineStr">
        <is>
          <t>origem da capacidade</t>
        </is>
      </c>
      <c r="DT4" s="163" t="inlineStr">
        <is>
          <t>tipo da capacidade</t>
        </is>
      </c>
      <c r="DU4" s="163" t="inlineStr">
        <is>
          <t>exige</t>
        </is>
      </c>
      <c r="DV4" s="163" t="inlineStr">
        <is>
          <t>frequência da capacidade</t>
        </is>
      </c>
      <c r="DW4" s="163" t="inlineStr">
        <is>
          <t>texto da capacidade</t>
        </is>
      </c>
      <c r="DY4" s="163" t="inlineStr">
        <is>
          <t>origem do dossiê</t>
        </is>
      </c>
      <c r="DZ4" s="163" t="inlineStr">
        <is>
          <t>perícias da origem</t>
        </is>
      </c>
      <c r="EA4" s="163" t="inlineStr">
        <is>
          <t>rota da origem</t>
        </is>
      </c>
      <c r="EC4" s="163" t="inlineStr">
        <is>
          <t>menu da marcante</t>
        </is>
      </c>
      <c r="EE4" s="163" t="inlineStr">
        <is>
          <t>menu das menores</t>
        </is>
      </c>
      <c r="EG4" s="163" t="inlineStr">
        <is>
          <t>ofício compatível</t>
        </is>
      </c>
    </row>
    <row r="5" ht="17.25" customHeight="1">
      <c r="A5" s="162" t="inlineStr">
        <is>
          <t>Vanguarda</t>
        </is>
      </c>
      <c r="B5" s="162" t="inlineStr">
        <is>
          <t>Acrobacia</t>
        </is>
      </c>
      <c r="C5" s="162" t="inlineStr">
        <is>
          <t>Arrombamento</t>
        </is>
      </c>
      <c r="D5" s="162" t="inlineStr">
        <is>
          <t>Área</t>
        </is>
      </c>
      <c r="E5" s="162" t="inlineStr">
        <is>
          <t>Toque</t>
        </is>
      </c>
      <c r="F5" s="162" t="inlineStr">
        <is>
          <t>Muito Longe</t>
        </is>
      </c>
      <c r="G5" s="162" t="inlineStr">
        <is>
          <t>Atrasar</t>
        </is>
      </c>
      <c r="H5" s="162" t="inlineStr">
        <is>
          <t>Guarda Aberta</t>
        </is>
      </c>
      <c r="I5" s="162" t="inlineStr">
        <is>
          <t>Receptáculo</t>
        </is>
      </c>
      <c r="J5" s="162" t="inlineStr">
        <is>
          <t>Vigor</t>
        </is>
      </c>
      <c r="K5" s="162" t="inlineStr">
        <is>
          <t>Destreza</t>
        </is>
      </c>
      <c r="L5" s="162" t="inlineStr">
        <is>
          <t>Punho</t>
        </is>
      </c>
      <c r="M5" s="41" t="n"/>
      <c r="N5" s="162" t="inlineStr">
        <is>
          <t>Bastião</t>
        </is>
      </c>
      <c r="O5" s="162" t="inlineStr">
        <is>
          <t>Força · Constituição</t>
        </is>
      </c>
      <c r="P5" s="162" t="n">
        <v>12</v>
      </c>
      <c r="Q5" s="162" t="n">
        <v>7</v>
      </c>
      <c r="R5" s="162" t="n">
        <v>4</v>
      </c>
      <c r="S5" s="162" t="inlineStr">
        <is>
          <t>Atletismo</t>
        </is>
      </c>
      <c r="T5" s="162" t="inlineStr">
        <is>
          <t>Provocar</t>
        </is>
      </c>
      <c r="U5" s="162" t="n"/>
      <c r="V5" s="41" t="n"/>
      <c r="W5" s="164" t="n">
        <v>6</v>
      </c>
      <c r="X5" s="164" t="n">
        <v>10</v>
      </c>
      <c r="Y5" s="164" t="n">
        <v>1</v>
      </c>
      <c r="Z5" s="164" t="n">
        <v>5</v>
      </c>
      <c r="AA5" s="41" t="n"/>
      <c r="AB5" s="162" t="inlineStr">
        <is>
          <t>Atletismo</t>
        </is>
      </c>
      <c r="AC5" s="162" t="inlineStr">
        <is>
          <t>Força</t>
        </is>
      </c>
      <c r="AD5" s="41" t="n"/>
      <c r="AE5" s="162" t="inlineStr">
        <is>
          <t>Traje 1</t>
        </is>
      </c>
      <c r="AF5" s="164" t="n">
        <v>1</v>
      </c>
      <c r="AG5" s="164" t="inlineStr">
        <is>
          <t>—</t>
        </is>
      </c>
      <c r="AH5" s="164" t="inlineStr">
        <is>
          <t>sim</t>
        </is>
      </c>
      <c r="AI5" s="41" t="n"/>
      <c r="AJ5" s="162" t="inlineStr">
        <is>
          <t>marcos que já passou</t>
        </is>
      </c>
      <c r="AK5" s="164">
        <f>COUNTIF(DADOS!$W$5:$W$11,"&lt;="&amp;FICHA!$AH$11)</f>
        <v/>
      </c>
      <c r="AL5" s="41" t="n"/>
      <c r="AM5" s="162" t="inlineStr">
        <is>
          <t>Escolha seu Caminho</t>
        </is>
      </c>
      <c r="AN5" s="162">
        <f>$L$4</f>
        <v/>
      </c>
      <c r="AO5" s="162" t="inlineStr">
        <is>
          <t>Bastião</t>
        </is>
      </c>
      <c r="AP5" s="162" t="inlineStr">
        <is>
          <t>Escolha sua Trilha</t>
        </is>
      </c>
      <c r="AQ5" s="164" t="n">
        <v>2</v>
      </c>
      <c r="AR5" s="164">
        <f>DADOS_CONFIG!$Z$3</f>
        <v/>
      </c>
      <c r="AS5" s="41" t="n"/>
      <c r="AT5" s="41" t="n"/>
      <c r="AU5" s="41" t="n"/>
      <c r="AV5" s="41" t="n"/>
      <c r="AW5" s="41" t="n"/>
      <c r="AX5" s="41" t="n"/>
      <c r="AY5" s="41" t="n"/>
      <c r="AZ5" s="41" t="n"/>
      <c r="BA5" s="162" t="inlineStr">
        <is>
          <t>nome</t>
        </is>
      </c>
      <c r="BB5" s="162">
        <f>ADDRESS(ROW(FICHA!AB2),COLUMN(FICHA!AB2),4)</f>
        <v/>
      </c>
      <c r="BD5" s="162" t="inlineStr">
        <is>
          <t>Bastão</t>
        </is>
      </c>
      <c r="BE5" s="162" t="inlineStr">
        <is>
          <t>Porrete</t>
        </is>
      </c>
      <c r="BF5" s="164" t="n">
        <v>1</v>
      </c>
      <c r="BG5" s="162" t="inlineStr">
        <is>
          <t>1d6</t>
        </is>
      </c>
      <c r="BH5" s="162" t="inlineStr">
        <is>
          <t>Versátil · Alcance · Rompe</t>
        </is>
      </c>
      <c r="BI5" s="162" t="inlineStr">
        <is>
          <t>—</t>
        </is>
      </c>
      <c r="BJ5" s="164" t="n">
        <v>1</v>
      </c>
      <c r="BM5" s="164">
        <f>'FICHA PESSOAL'!$V$72</f>
        <v/>
      </c>
      <c r="BN5" s="164">
        <f>ADDRESS(ROW('FICHA PESSOAL'!V72),COLUMN('FICHA PESSOAL'!V72),4)</f>
        <v/>
      </c>
      <c r="BP5" s="162" t="inlineStr">
        <is>
          <t>Lâmina Curta</t>
        </is>
      </c>
      <c r="BQ5" s="162" t="inlineStr">
        <is>
          <t>Simples</t>
        </is>
      </c>
      <c r="BR5" s="162" t="inlineStr">
        <is>
          <t>não</t>
        </is>
      </c>
      <c r="BS5" s="164">
        <f>'FICHA PESSOAL'!$AE$71</f>
        <v/>
      </c>
      <c r="BT5" s="164">
        <f>ADDRESS(ROW('FICHA PESSOAL'!AE71),COLUMN('FICHA PESSOAL'!AE71),4)</f>
        <v/>
      </c>
      <c r="BV5" s="162" t="inlineStr">
        <is>
          <t>Bastião</t>
        </is>
      </c>
      <c r="BX5" s="162" t="inlineStr">
        <is>
          <t>Traje 1</t>
        </is>
      </c>
      <c r="BY5" s="164" t="n">
        <v>1</v>
      </c>
      <c r="BZ5" s="162" t="inlineStr">
        <is>
          <t>—</t>
        </is>
      </c>
      <c r="CA5" s="164" t="n">
        <v>0</v>
      </c>
      <c r="CB5" s="164" t="n">
        <v>0.3</v>
      </c>
      <c r="CC5" s="164" t="n">
        <v>1</v>
      </c>
      <c r="CD5" s="162" t="inlineStr">
        <is>
          <t>Grau 4</t>
        </is>
      </c>
      <c r="CF5" s="162" t="inlineStr">
        <is>
          <t>Grau 4</t>
        </is>
      </c>
      <c r="CG5" s="162" t="inlineStr">
        <is>
          <t>¥ 150.000</t>
        </is>
      </c>
      <c r="CH5" s="164" t="n">
        <v>1</v>
      </c>
      <c r="CJ5" s="162" t="inlineStr">
        <is>
          <t>Vão apertado</t>
        </is>
      </c>
      <c r="CL5" s="162" t="inlineStr">
        <is>
          <t>Curta</t>
        </is>
      </c>
      <c r="CM5" s="164" t="n">
        <v>50</v>
      </c>
      <c r="CO5" s="162" t="inlineStr">
        <is>
          <t>1,25x</t>
        </is>
      </c>
      <c r="CP5" s="164" t="n">
        <v>1.25</v>
      </c>
      <c r="CR5" s="162" t="inlineStr">
        <is>
          <t>3ª · 50%</t>
        </is>
      </c>
      <c r="CS5" s="164" t="n">
        <v>0.5</v>
      </c>
      <c r="CU5" s="162" t="inlineStr">
        <is>
          <t>—</t>
        </is>
      </c>
      <c r="CW5" s="164" t="n">
        <v>20</v>
      </c>
      <c r="CY5" s="162" t="inlineStr">
        <is>
          <t>força</t>
        </is>
      </c>
      <c r="CZ5" s="164">
        <f>N(FICHA!$D$19)</f>
        <v/>
      </c>
      <c r="DB5" s="162" t="inlineStr">
        <is>
          <t>Soco</t>
        </is>
      </c>
      <c r="DD5" s="162" t="inlineStr">
        <is>
          <t>—</t>
        </is>
      </c>
      <c r="DF5" s="162" t="inlineStr">
        <is>
          <t>Sem uniforme</t>
        </is>
      </c>
      <c r="DH5" s="162" t="inlineStr">
        <is>
          <t>Leve</t>
        </is>
      </c>
      <c r="DI5" s="162" t="inlineStr">
        <is>
          <t>Atende aos requisitos que peçam arma Leve. Não concede outro ataque, não muda o atributo do golpe nem reduz Volume. Só as armas marcadas na tabela possuem a propriedade.</t>
        </is>
      </c>
      <c r="DK5" s="162" t="inlineStr">
        <is>
          <t>requisito de força</t>
        </is>
      </c>
      <c r="DL5" s="164">
        <f>IF(DADOS!$CZ$36+DADOS!$CZ$37+DADOS!$CZ$38=0,"Tudo o que está em uso cabe na sua Força.",IF(DADOS!$CZ$36=1,'FICHA PESSOAL'!$D$64&amp;" pede Força "&amp;DADOS!$CZ$11&amp;". ","")&amp;IF(DADOS!$CZ$37=1,'FICHA PESSOAL'!$S$64&amp;" pede Força "&amp;DADOS!$CZ$22&amp;". ","")&amp;IF(DADOS!$CZ$38=1,'FICHA PESSOAL'!$AH$64&amp;" pede Força "&amp;DADOS!$CZ$30&amp;". ","")&amp;"Você tem "&amp;DADOS!$CZ$5&amp;"."&amp;IF(OR(DADOS!$CZ$36=1,AND(DADOS!$CZ$37=1,DADOS!$CZ$19=0))," Empunhar uma arma sem a Força dá desvantagem nos ataques com ela e corta o seu deslocamento pela metade.","")&amp;IF(OR(DADOS!$CZ$38=1,AND(DADOS!$CZ$37=1,DADOS!$CZ$19=1))," Sem a Força, o uniforme ou o escudo protege normalmente, mas corta o seu deslocamento pela metade e dá desvantagem em TR Físico.","")&amp;IF(AND(OR(DADOS!$CZ$36=1,AND(DADOS!$CZ$37=1,DADOS!$CZ$19=0)),OR(DADOS!$CZ$38=1,AND(DADOS!$CZ$37=1,DADOS!$CZ$19=1)))," O deslocamento cai pela metade uma vez só.",""))</f>
        <v/>
      </c>
      <c r="DM5" s="164">
        <f>ADDRESS(ROW('FICHA PESSOAL'!AF86),COLUMN('FICHA PESSOAL'!AF86),4)</f>
        <v/>
      </c>
      <c r="DO5" s="162" t="inlineStr">
        <is>
          <t>principal</t>
        </is>
      </c>
      <c r="DP5" s="164">
        <f>ADDRESS(ROW('FICHA PESSOAL'!D64),COLUMN('FICHA PESSOAL'!D64),4)</f>
        <v/>
      </c>
      <c r="DR5" s="162" t="inlineStr">
        <is>
          <t>Tentativa e Erro</t>
        </is>
      </c>
      <c r="DS5" s="162" t="inlineStr">
        <is>
          <t>Latente</t>
        </is>
      </c>
      <c r="DT5" s="162" t="inlineStr">
        <is>
          <t>marcante</t>
        </is>
      </c>
      <c r="DU5" s="162" t="inlineStr"/>
      <c r="DV5" s="162" t="inlineStr">
        <is>
          <t>Uma vez entre um turno seu e o próximo</t>
        </is>
      </c>
      <c r="DW5" s="162" t="inlineStr">
        <is>
          <t>Você arrisca a dosagem de energia para executar um feitiço ou Manejo de Classe 1 ou maior. Uma vez entre o começo de um turno seu e o começo do próximo, antes de pagar a aplicação, pode usar Tentativa e Erro, sem outra ação. Se não tentar, paga o custo normal.
Calcule o custo normal completo, com descontos e acréscimos. A variação é metade da Classe utilizada, arredondada para cima. Você só pode tentar se tiver PE suficientes para pagar o pior resultado possível: o custo completo mais essa variação, respeitado o mínimo de 1 PE. Depois, role 1d20 + Maestria.
Total | Custo
9 ou menos | Desperdício: acrescente a variação.
10 a 13 | Estável: conserve o custo completo.
14 ou mais | Controle: desconte a variação.
O custo final mínimo é 1 PE. Classes 1 e 2 variam 1 PE; 3 e 4, 2 PE; 5 e 6, 3 PE; Classe 7, 4 PE. Pague apenas o resultado obtido. Dano, acerto, CD, alcance, duração e efeitos permanecem iguais.
Esta é uma rolagem própria da capacidade, não um teste. Não recebe vantagem, desvantagem, especialização ou modificadores de testes, salvo regra específica para ela. Também não usa crítico ou sucesso e falha automáticos de outros procedimentos.
Exemplo: um feitiço de Classe 3 custa 6 PE depois dos ajustes. A variação é 2: você precisa ter 8 PE para tentar. Desperdício custa 8, Estável custa 6 e Controle custa 4. Já um feitiço de Classe 1 com custo completo de 1 PE custa 2, 1 ou 1 PE; o desconto nunca o torna gratuito.</t>
        </is>
      </c>
      <c r="DY5" s="162" t="inlineStr">
        <is>
          <t>Latente</t>
        </is>
      </c>
      <c r="DZ5" s="162" t="inlineStr">
        <is>
          <t>Sentir Energia, Sobrevivência, Furtividade ou Intuição</t>
        </is>
      </c>
      <c r="EA5" s="162" t="inlineStr">
        <is>
          <t>Fundamento, ou Manejos se escolher Sem Técnica</t>
        </is>
      </c>
      <c r="EC5" s="162" t="inlineStr">
        <is>
          <t>✎ Criada com o mestre</t>
        </is>
      </c>
      <c r="EE5" s="162" t="inlineStr">
        <is>
          <t>✎ Criada com o mestre</t>
        </is>
      </c>
      <c r="EG5" s="162" t="inlineStr">
        <is>
          <t>Condução</t>
        </is>
      </c>
    </row>
    <row r="6" ht="17.25" customHeight="1">
      <c r="A6" s="162" t="inlineStr">
        <is>
          <t>Guia</t>
        </is>
      </c>
      <c r="B6" s="162" t="inlineStr">
        <is>
          <t>Furtividade</t>
        </is>
      </c>
      <c r="C6" s="162" t="inlineStr">
        <is>
          <t>Herbalismo</t>
        </is>
      </c>
      <c r="D6" s="162" t="inlineStr">
        <is>
          <t>Mira</t>
        </is>
      </c>
      <c r="E6" s="162" t="inlineStr">
        <is>
          <t>Explosão</t>
        </is>
      </c>
      <c r="F6" s="162" t="inlineStr">
        <is>
          <t>Sem Ver</t>
        </is>
      </c>
      <c r="G6" s="162" t="inlineStr">
        <is>
          <t>Parado</t>
        </is>
      </c>
      <c r="H6" s="162" t="inlineStr">
        <is>
          <t>Derrubado</t>
        </is>
      </c>
      <c r="I6" s="162" t="inlineStr">
        <is>
          <t>Descendente</t>
        </is>
      </c>
      <c r="J6" s="162" t="inlineStr">
        <is>
          <t>Intelecto</t>
        </is>
      </c>
      <c r="K6" s="162" t="inlineStr">
        <is>
          <t>Constituição</t>
        </is>
      </c>
      <c r="L6" s="162" t="inlineStr">
        <is>
          <t>Combatente Amaldiçoado</t>
        </is>
      </c>
      <c r="M6" s="41" t="n"/>
      <c r="N6" s="162" t="inlineStr">
        <is>
          <t>Vanguarda</t>
        </is>
      </c>
      <c r="O6" s="162" t="inlineStr">
        <is>
          <t>Destreza · Força</t>
        </is>
      </c>
      <c r="P6" s="162" t="n">
        <v>8</v>
      </c>
      <c r="Q6" s="162" t="n">
        <v>5</v>
      </c>
      <c r="R6" s="162" t="n">
        <v>5</v>
      </c>
      <c r="S6" s="162" t="inlineStr">
        <is>
          <t>Acrobacia</t>
        </is>
      </c>
      <c r="T6" s="162" t="inlineStr">
        <is>
          <t>Percepção</t>
        </is>
      </c>
      <c r="U6" s="162" t="n"/>
      <c r="V6" s="41" t="n"/>
      <c r="W6" s="164" t="n">
        <v>10</v>
      </c>
      <c r="X6" s="164" t="n">
        <v>18</v>
      </c>
      <c r="Y6" s="164" t="n">
        <v>5</v>
      </c>
      <c r="Z6" s="164" t="n">
        <v>11</v>
      </c>
      <c r="AA6" s="41" t="n"/>
      <c r="AB6" s="162" t="inlineStr">
        <is>
          <t>Acrobacia</t>
        </is>
      </c>
      <c r="AC6" s="162" t="inlineStr">
        <is>
          <t>Destreza</t>
        </is>
      </c>
      <c r="AD6" s="41" t="n"/>
      <c r="AE6" s="162" t="inlineStr">
        <is>
          <t>Traje 2</t>
        </is>
      </c>
      <c r="AF6" s="164" t="n">
        <v>2</v>
      </c>
      <c r="AG6" s="164" t="inlineStr">
        <is>
          <t>—</t>
        </is>
      </c>
      <c r="AH6" s="164" t="inlineStr">
        <is>
          <t>sim</t>
        </is>
      </c>
      <c r="AI6" s="41" t="n"/>
      <c r="AJ6" s="162" t="inlineStr">
        <is>
          <t>pontos de atributo</t>
        </is>
      </c>
      <c r="AK6" s="164">
        <f>DADOS_CONFIG!$S$3+DADOS!$AK$5</f>
        <v/>
      </c>
      <c r="AL6" s="41" t="n"/>
      <c r="AM6" s="162">
        <f>$A$4</f>
        <v/>
      </c>
      <c r="AN6" s="162">
        <f>$L$5</f>
        <v/>
      </c>
      <c r="AO6" s="162" t="inlineStr">
        <is>
          <t>Bastião</t>
        </is>
      </c>
      <c r="AP6" s="162">
        <f>IFERROR(FILTER($AN$5:$AN$24,$AO$5:$AO$24=FICHA!$D$11),"")</f>
        <v/>
      </c>
      <c r="AQ6" s="164" t="n">
        <v>3</v>
      </c>
      <c r="AR6" s="164">
        <f>DADOS_CONFIG!$Z$4</f>
        <v/>
      </c>
      <c r="AS6" s="41" t="n"/>
      <c r="AT6" s="41" t="n"/>
      <c r="AU6" s="41" t="n"/>
      <c r="AV6" s="41" t="n"/>
      <c r="AW6" s="41" t="n"/>
      <c r="AX6" s="41" t="n"/>
      <c r="AY6" s="41" t="n"/>
      <c r="AZ6" s="41" t="n"/>
      <c r="BA6" s="162" t="inlineStr">
        <is>
          <t>caminho</t>
        </is>
      </c>
      <c r="BB6" s="162">
        <f>ADDRESS(ROW(FICHA!D11),COLUMN(FICHA!D11),4)</f>
        <v/>
      </c>
      <c r="BD6" s="162" t="inlineStr">
        <is>
          <t>Besta</t>
        </is>
      </c>
      <c r="BE6" s="162" t="inlineStr">
        <is>
          <t>Balestra</t>
        </is>
      </c>
      <c r="BF6" s="164" t="n">
        <v>2</v>
      </c>
      <c r="BG6" s="162" t="inlineStr">
        <is>
          <t>2d8</t>
        </is>
      </c>
      <c r="BH6" s="162" t="inlineStr">
        <is>
          <t>Longo Alcance · Munição · Rompe</t>
        </is>
      </c>
      <c r="BI6" s="164" t="n">
        <v>3</v>
      </c>
      <c r="BJ6" s="164" t="n">
        <v>2</v>
      </c>
      <c r="BK6" s="162" t="inlineStr">
        <is>
          <t>30 m, longa 120 m</t>
        </is>
      </c>
      <c r="BL6" s="164" t="n">
        <v>1</v>
      </c>
      <c r="BM6" s="164">
        <f>'FICHA PESSOAL'!$V$82</f>
        <v/>
      </c>
      <c r="BN6" s="164">
        <f>ADDRESS(ROW('FICHA PESSOAL'!V82),COLUMN('FICHA PESSOAL'!V82),4)</f>
        <v/>
      </c>
      <c r="BP6" s="162" t="inlineStr">
        <is>
          <t>Porrete</t>
        </is>
      </c>
      <c r="BQ6" s="162" t="inlineStr">
        <is>
          <t>Simples</t>
        </is>
      </c>
      <c r="BR6" s="162" t="inlineStr">
        <is>
          <t>não</t>
        </is>
      </c>
      <c r="BS6" s="164">
        <f>'FICHA PESSOAL'!$V$71</f>
        <v/>
      </c>
      <c r="BT6" s="164">
        <f>ADDRESS(ROW('FICHA PESSOAL'!V71),COLUMN('FICHA PESSOAL'!V71),4)</f>
        <v/>
      </c>
      <c r="BV6" s="162" t="inlineStr">
        <is>
          <t>Vanguarda</t>
        </is>
      </c>
      <c r="BX6" s="162" t="inlineStr">
        <is>
          <t>Traje 2</t>
        </is>
      </c>
      <c r="BY6" s="164" t="n">
        <v>2</v>
      </c>
      <c r="BZ6" s="162" t="inlineStr">
        <is>
          <t>—</t>
        </is>
      </c>
      <c r="CA6" s="164" t="n">
        <v>0</v>
      </c>
      <c r="CB6" s="164" t="n">
        <v>1</v>
      </c>
      <c r="CC6" s="164" t="n">
        <v>1</v>
      </c>
      <c r="CD6" s="162" t="inlineStr">
        <is>
          <t>Grau 4</t>
        </is>
      </c>
      <c r="CF6" s="162" t="inlineStr">
        <is>
          <t>Grau 3</t>
        </is>
      </c>
      <c r="CG6" s="162" t="inlineStr">
        <is>
          <t>¥ 300.000</t>
        </is>
      </c>
      <c r="CH6" s="164" t="n">
        <v>2</v>
      </c>
      <c r="CJ6" s="162" t="inlineStr">
        <is>
          <t>Água e chuva</t>
        </is>
      </c>
      <c r="CL6" s="162" t="inlineStr">
        <is>
          <t>Padrão</t>
        </is>
      </c>
      <c r="CM6" s="164" t="n">
        <v>100</v>
      </c>
      <c r="CO6" s="162" t="inlineStr">
        <is>
          <t>1,50x</t>
        </is>
      </c>
      <c r="CP6" s="164" t="n">
        <v>1.5</v>
      </c>
      <c r="CR6" s="162" t="inlineStr">
        <is>
          <t>4ª · 25%</t>
        </is>
      </c>
      <c r="CS6" s="164" t="n">
        <v>0.25</v>
      </c>
      <c r="CU6" s="162" t="inlineStr">
        <is>
          <t>Grau 4</t>
        </is>
      </c>
      <c r="CY6" s="162" t="inlineStr">
        <is>
          <t>soco na principal</t>
        </is>
      </c>
      <c r="CZ6" s="164">
        <f>IF(OR('FICHA PESSOAL'!$D$64="",'FICHA PESSOAL'!$D$64="Soco"),1,0)</f>
        <v/>
      </c>
      <c r="DB6" s="164">
        <f>IF(AND('FICHA PESSOAL'!$D$92&lt;&gt;"",'FICHA PESSOAL'!$M$92&lt;&gt;"Escudo"),'FICHA PESSOAL'!$D$92,"")</f>
        <v/>
      </c>
      <c r="DD6" s="164">
        <f>IF(AND(DADOS!$CZ$8&lt;&gt;2,ISNUMBER(SEARCH("Versátil",DADOS!$CZ$10))),"Nas duas mãos","")</f>
        <v/>
      </c>
      <c r="DF6" s="164">
        <f>IF(DADOS!$CZ$34&gt;=DADOS!$CC$5,DADOS!$BX$5,"")</f>
        <v/>
      </c>
      <c r="DH6" s="162" t="inlineStr">
        <is>
          <t>Fineza</t>
        </is>
      </c>
      <c r="DI6" s="162" t="inlineStr">
        <is>
          <t>Em ataques corpo a corpo, pode usar Destreza no lugar de Força no acerto e no dano.</t>
        </is>
      </c>
      <c r="DK6" s="162" t="inlineStr">
        <is>
          <t>carga</t>
        </is>
      </c>
      <c r="DL6" s="164">
        <f>IF(DADOS!$CZ$46=1,"Você passou do dobro do limite: não pode se deslocar com essa carga. Reduza o que leva antes de andar, nadar, escalar ou voar.",IF(DADOS!$CZ$42=1,"Você passou do limite: o seu deslocamento cai pela metade e você tem desvantagem em TR Físico. Acima de "&amp;2*DADOS!$CZ$41&amp;", o dobro do limite, você não pode se deslocar com a carga.",""))</f>
        <v/>
      </c>
      <c r="DM6" s="164">
        <f>ADDRESS(ROW('FICHA PESSOAL'!D86),COLUMN('FICHA PESSOAL'!D86),4)</f>
        <v/>
      </c>
      <c r="DO6" s="162" t="inlineStr">
        <is>
          <t>secundária</t>
        </is>
      </c>
      <c r="DP6" s="164">
        <f>ADDRESS(ROW('FICHA PESSOAL'!S64),COLUMN('FICHA PESSOAL'!S64),4)</f>
        <v/>
      </c>
      <c r="DR6" s="162" t="inlineStr">
        <is>
          <t>Coexistência</t>
        </is>
      </c>
      <c r="DS6" s="162" t="inlineStr">
        <is>
          <t>Receptáculo</t>
        </is>
      </c>
      <c r="DT6" s="162" t="inlineStr">
        <is>
          <t>marcante</t>
        </is>
      </c>
      <c r="DU6" s="162" t="inlineStr"/>
      <c r="DV6" s="162" t="inlineStr">
        <is>
          <t>Uma vez por cena</t>
        </is>
      </c>
      <c r="DW6" s="162" t="inlineStr">
        <is>
          <t>A presença aceita conscientemente você à frente do corpo. As identidades permanecem distintas e ainda podem discordar. Sua marcante reúne Repertório Compartilhado e Amparo Interior.
Repertório Compartilhado.
Ao receber a marcante, aprenda dois feitiços adicionais, fora dos espaços comuns de repertório. Se for Sem Técnica, receba dois Manejos em seu lugar. Eles seguem a Regra, as Famílias, os requisitos e o limite de Classe da sua rota, com ações e custos normais.
O ganho acontece uma vez. As aplicações permanecem conhecidas e seguem as revisões normais da ficha. Não são espaços livres para Talentos, Domínio ou invocações, não concedem outra Regra e não aumentam a quantidade de Classe 0.
Amparo Interior.
Uma vez por cena, no começo do seu turno, se estiver Atordoado, pode gastar 6 PE para encerrar essa condição em você, sem ação ou teste, antes de perder a Padrão daquele turno. Precisa ter vida e Integridade positivas e PE suficientes.
Amparo não encerra Inconsciente, não recupera reservas nem devolve ações gastas ou perdidas em turnos anteriores. Uma Concentração já interrompida continua encerrada.</t>
        </is>
      </c>
      <c r="DY6" s="162" t="inlineStr">
        <is>
          <t>Receptáculo</t>
        </is>
      </c>
      <c r="DZ6" s="162" t="inlineStr">
        <is>
          <t>Sentir Energia, Ocultismo, Intuição ou Religião</t>
        </is>
      </c>
      <c r="EA6" s="162" t="inlineStr">
        <is>
          <t>Fundamento, ou Manejos se escolher Sem Técnica</t>
        </is>
      </c>
      <c r="EC6" s="164">
        <f>IFERROR(FILTER('DADOS_CUSTOM'!$AZ$2:$AZ$107,'DADOS_CUSTOM'!$BA$2:$BA$107=DADOS!$CZ$52,'DADOS_CUSTOM'!$BB$2:$BB$107="marcante"),"")</f>
        <v/>
      </c>
      <c r="EE6" s="164">
        <f>IFERROR(FILTER('DADOS_CUSTOM'!$AZ$2:$AZ$107,'DADOS_CUSTOM'!$BA$2:$BA$107=DADOS!$CZ$52,'DADOS_CUSTOM'!$BB$2:$BB$107="menor",('DADOS_CUSTOM'!$BC$2:$BC$107="")+('DADOS_CUSTOM'!$BC$2:$BC$107='FICHA PESSOAL'!$D$44)),"")</f>
        <v/>
      </c>
      <c r="EG6" s="162" t="inlineStr">
        <is>
          <t>Arrombamento</t>
        </is>
      </c>
    </row>
    <row r="7" ht="17.25" customHeight="1">
      <c r="A7" s="162" t="inlineStr">
        <is>
          <t>Emanador</t>
        </is>
      </c>
      <c r="B7" s="162" t="inlineStr">
        <is>
          <t>Pontaria</t>
        </is>
      </c>
      <c r="C7" s="162" t="inlineStr">
        <is>
          <t>Forja</t>
        </is>
      </c>
      <c r="D7" s="162" t="inlineStr">
        <is>
          <t>Controle</t>
        </is>
      </c>
      <c r="E7" s="162" t="inlineStr">
        <is>
          <t>Aura</t>
        </is>
      </c>
      <c r="F7" s="162" t="inlineStr">
        <is>
          <t>Perseguir</t>
        </is>
      </c>
      <c r="G7" s="162" t="inlineStr">
        <is>
          <t>Gesto</t>
        </is>
      </c>
      <c r="H7" s="162" t="inlineStr">
        <is>
          <t>Agarrado</t>
        </is>
      </c>
      <c r="I7" s="162" t="inlineStr">
        <is>
          <t>Encarnado</t>
        </is>
      </c>
      <c r="J7" s="162" t="inlineStr">
        <is>
          <t>Espírito</t>
        </is>
      </c>
      <c r="K7" s="162" t="inlineStr">
        <is>
          <t>Inteligência</t>
        </is>
      </c>
      <c r="L7" s="162" t="inlineStr">
        <is>
          <t>Estocada</t>
        </is>
      </c>
      <c r="M7" s="41" t="n"/>
      <c r="N7" s="162" t="inlineStr">
        <is>
          <t>Guia</t>
        </is>
      </c>
      <c r="O7" s="162" t="inlineStr">
        <is>
          <t>Essência</t>
        </is>
      </c>
      <c r="P7" s="162" t="n">
        <v>8</v>
      </c>
      <c r="Q7" s="162" t="n">
        <v>5</v>
      </c>
      <c r="R7" s="162" t="n">
        <v>5</v>
      </c>
      <c r="S7" s="162" t="inlineStr">
        <is>
          <t>Persuasão</t>
        </is>
      </c>
      <c r="T7" s="162" t="inlineStr">
        <is>
          <t>Medicina</t>
        </is>
      </c>
      <c r="U7" s="162" t="n"/>
      <c r="V7" s="41" t="n"/>
      <c r="W7" s="164" t="n">
        <v>14</v>
      </c>
      <c r="X7" s="164" t="n">
        <v>26</v>
      </c>
      <c r="Y7" s="164" t="n">
        <v>9</v>
      </c>
      <c r="Z7" s="164" t="n">
        <v>17</v>
      </c>
      <c r="AA7" s="41" t="n"/>
      <c r="AB7" s="162" t="inlineStr">
        <is>
          <t>Furtividade</t>
        </is>
      </c>
      <c r="AC7" s="162" t="inlineStr">
        <is>
          <t>Destreza</t>
        </is>
      </c>
      <c r="AD7" s="41" t="n"/>
      <c r="AE7" s="162" t="inlineStr">
        <is>
          <t>Traje 3</t>
        </is>
      </c>
      <c r="AF7" s="164" t="n">
        <v>3</v>
      </c>
      <c r="AG7" s="164" t="inlineStr">
        <is>
          <t>—</t>
        </is>
      </c>
      <c r="AH7" s="164" t="inlineStr">
        <is>
          <t>sim</t>
        </is>
      </c>
      <c r="AI7" s="41" t="n"/>
      <c r="AJ7" s="162" t="inlineStr">
        <is>
          <t>pontos distribuídos</t>
        </is>
      </c>
      <c r="AK7" s="164">
        <f>IFERROR(VALUE(FICHA!$D$21&amp;""),0)+IFERROR(VALUE(FICHA!$L$21&amp;""),0)+IFERROR(VALUE(FICHA!$T$21&amp;""),0)+IFERROR(VALUE(FICHA!$AB$21&amp;""),0)+IFERROR(VALUE(FICHA!$AJ$21&amp;""),0)</f>
        <v/>
      </c>
      <c r="AL7" s="41" t="n"/>
      <c r="AM7" s="162">
        <f>$A$5</f>
        <v/>
      </c>
      <c r="AN7" s="162">
        <f>$L$6</f>
        <v/>
      </c>
      <c r="AO7" s="162" t="inlineStr">
        <is>
          <t>Bastião</t>
        </is>
      </c>
      <c r="AP7" s="41" t="n"/>
      <c r="AQ7" s="164" t="n">
        <v>4</v>
      </c>
      <c r="AR7" s="164">
        <f>DADOS_CONFIG!$Z$5</f>
        <v/>
      </c>
      <c r="AS7" s="41" t="n"/>
      <c r="AT7" s="41" t="n"/>
      <c r="AU7" s="41" t="n"/>
      <c r="AV7" s="41" t="n"/>
      <c r="AW7" s="41" t="n"/>
      <c r="AX7" s="41" t="n"/>
      <c r="AY7" s="41" t="n"/>
      <c r="AZ7" s="41" t="n"/>
      <c r="BA7" s="162" t="inlineStr">
        <is>
          <t>trilha</t>
        </is>
      </c>
      <c r="BB7" s="162">
        <f>ADDRESS(ROW(FICHA!N11),COLUMN(FICHA!N11),4)</f>
        <v/>
      </c>
      <c r="BD7" s="162" t="inlineStr">
        <is>
          <t>Besta de Uma Mão</t>
        </is>
      </c>
      <c r="BE7" s="162" t="inlineStr">
        <is>
          <t>Balestra</t>
        </is>
      </c>
      <c r="BF7" s="164" t="n">
        <v>1</v>
      </c>
      <c r="BG7" s="162" t="inlineStr">
        <is>
          <t>1d10</t>
        </is>
      </c>
      <c r="BH7" s="162" t="inlineStr">
        <is>
          <t>Longo Alcance · Munição · Oculta · Leve</t>
        </is>
      </c>
      <c r="BI7" s="162" t="inlineStr">
        <is>
          <t>—</t>
        </is>
      </c>
      <c r="BJ7" s="164" t="n">
        <v>1</v>
      </c>
      <c r="BK7" s="162" t="inlineStr">
        <is>
          <t>9 m, longa 36 m</t>
        </is>
      </c>
      <c r="BL7" s="164" t="n">
        <v>1</v>
      </c>
      <c r="BM7" s="164">
        <f>'FICHA PESSOAL'!$V$83</f>
        <v/>
      </c>
      <c r="BN7" s="164">
        <f>ADDRESS(ROW('FICHA PESSOAL'!V83),COLUMN('FICHA PESSOAL'!V83),4)</f>
        <v/>
      </c>
      <c r="BP7" s="162" t="inlineStr">
        <is>
          <t>Ceifa</t>
        </is>
      </c>
      <c r="BQ7" s="162" t="inlineStr">
        <is>
          <t>Simples</t>
        </is>
      </c>
      <c r="BR7" s="162" t="inlineStr">
        <is>
          <t>não</t>
        </is>
      </c>
      <c r="BS7" s="164">
        <f>'FICHA PESSOAL'!$V$77</f>
        <v/>
      </c>
      <c r="BT7" s="164">
        <f>ADDRESS(ROW('FICHA PESSOAL'!V77),COLUMN('FICHA PESSOAL'!V77),4)</f>
        <v/>
      </c>
      <c r="BV7" s="162" t="inlineStr">
        <is>
          <t>Incursor</t>
        </is>
      </c>
      <c r="BX7" s="162" t="inlineStr">
        <is>
          <t>Traje 3</t>
        </is>
      </c>
      <c r="BY7" s="164" t="n">
        <v>3</v>
      </c>
      <c r="BZ7" s="162" t="inlineStr">
        <is>
          <t>—</t>
        </is>
      </c>
      <c r="CA7" s="164" t="n">
        <v>3</v>
      </c>
      <c r="CB7" s="164" t="n">
        <v>2</v>
      </c>
      <c r="CC7" s="164" t="n">
        <v>1</v>
      </c>
      <c r="CD7" s="162" t="inlineStr">
        <is>
          <t>Grau 4</t>
        </is>
      </c>
      <c r="CF7" s="162" t="inlineStr">
        <is>
          <t>Grau 2</t>
        </is>
      </c>
      <c r="CG7" s="162" t="inlineStr">
        <is>
          <t>¥ 600.000</t>
        </is>
      </c>
      <c r="CH7" s="164" t="n">
        <v>3</v>
      </c>
      <c r="CJ7" s="162" t="inlineStr">
        <is>
          <t>Altura e beirada</t>
        </is>
      </c>
      <c r="CL7" s="162" t="inlineStr">
        <is>
          <t>Longa</t>
        </is>
      </c>
      <c r="CM7" s="164" t="n">
        <v>200</v>
      </c>
      <c r="CO7" s="162" t="inlineStr">
        <is>
          <t>2x</t>
        </is>
      </c>
      <c r="CP7" s="164" t="n">
        <v>2</v>
      </c>
      <c r="CR7" s="162" t="inlineStr">
        <is>
          <t>5ª · 12,5%</t>
        </is>
      </c>
      <c r="CS7" s="164" t="n">
        <v>0.125</v>
      </c>
      <c r="CU7" s="162" t="inlineStr">
        <is>
          <t>Grau 3</t>
        </is>
      </c>
      <c r="CY7" s="162" t="inlineStr">
        <is>
          <t>categoria da principal</t>
        </is>
      </c>
      <c r="CZ7" s="164">
        <f>IF(DADOS!$CZ$6=1,"Soco",IFERROR(VLOOKUP('FICHA PESSOAL'!$D$64,'FICHA PESSOAL'!$D$92:$AH$99,10,FALSE)&amp;"",""))</f>
        <v/>
      </c>
      <c r="DB7" s="164">
        <f>IF(AND('FICHA PESSOAL'!$D$93&lt;&gt;"",'FICHA PESSOAL'!$M$93&lt;&gt;"Escudo"),'FICHA PESSOAL'!$D$93,"")</f>
        <v/>
      </c>
      <c r="DD7" s="164">
        <f>IF(AND(DADOS!$CZ$8&lt;&gt;2,'FICHA PESSOAL'!$D$92&lt;&gt;"",OR('FICHA PESSOAL'!$M$92="Escudo",N('FICHA PESSOAL'!$S$92)=1)),'FICHA PESSOAL'!$D$92,"")</f>
        <v/>
      </c>
      <c r="DF7" s="164">
        <f>IF(DADOS!$CZ$34&gt;=DADOS!$CC$6,DADOS!$BX$6,"")</f>
        <v/>
      </c>
      <c r="DH7" s="162" t="inlineStr">
        <is>
          <t>Versátil</t>
        </is>
      </c>
      <c r="DI7" s="162" t="inlineStr">
        <is>
          <t>Ao atacar com as duas mãos, aumenta o dado: d6 para d8, d8 para d10 ou d10 para d12.</t>
        </is>
      </c>
      <c r="DK7" s="162" t="inlineStr">
        <is>
          <t>situação do traje</t>
        </is>
      </c>
      <c r="DL7" s="164">
        <f>IF(AND(DADOS!$CZ$27=1,LEFT('FICHA PESSOAL'!$AH$64,5)&lt;&gt;"Traje"),"Só o Traje carrega situação. O Revestimento não tem.",IF('FICHA PESSOAL'!$AN$86="","",IF('FICHA PESSOAL'!$AN$86="Outra Situação","Você pode criar a sua, em uma ou duas palavras. O mestre confere três coisas: é condição física que ele já descreveu na cena; não decide o que uma perícia de Destreza já decide; e não acontece toda cena.","Situação “"&amp;LOWER('FICHA PESSOAL'!$AN$86)&amp;"”: quando a cena estiver nessa condição, você tem vantagem no tipo de Teste de Resistência e nas perícias que escolheu para o Traje (tantas quanto a sua maestria).")))</f>
        <v/>
      </c>
      <c r="DM7" s="164">
        <f>ADDRESS(ROW('FICHA PESSOAL'!AN86),COLUMN('FICHA PESSOAL'!AN86),4)</f>
        <v/>
      </c>
      <c r="DO7" s="162" t="inlineStr">
        <is>
          <t>vestindo</t>
        </is>
      </c>
      <c r="DP7" s="164">
        <f>ADDRESS(ROW('FICHA PESSOAL'!AH64),COLUMN('FICHA PESSOAL'!AH64),4)</f>
        <v/>
      </c>
      <c r="DR7" s="162" t="inlineStr">
        <is>
          <t>Conflito</t>
        </is>
      </c>
      <c r="DS7" s="162" t="inlineStr">
        <is>
          <t>Receptáculo</t>
        </is>
      </c>
      <c r="DT7" s="162" t="inlineStr">
        <is>
          <t>marcante</t>
        </is>
      </c>
      <c r="DU7" s="162" t="inlineStr"/>
      <c r="DV7" s="162" t="inlineStr">
        <is>
          <t>Uma vez por dia · Uma vez entre um turno seu e o próximo</t>
        </is>
      </c>
      <c r="DW7" s="162" t="inlineStr">
        <is>
          <t>A presença pretende tomar o corpo, e você a mantém contida. Sua marcante reúne a defesa da alma, Reserva Impregnada e Resposta à Invasão.
Você tem vantagem nos TRs que um efeito permitir para evitar dano de Alma. Isso não cria um teste contra ataques que não o concedam, não amplia o benefício a todo efeito mental ou manipulação da alma e não muda a redução desse dano.
Reserva Impregnada.
Uma vez por dia, use uma Ação Bônus para recuperar PE iguais à metade do seu nível + metade de Essência ou Constituição, escolhida no uso. Arredonde cada metade para baixo, mínimo 1 em cada parcela, sem ultrapassar seus PE máximos.
É recuperação da reserva comum, sem custo de PE ou exigência de vida baixa. Não concede energia temporária.
Resposta à Invasão.
Uma vez entre o começo de um turno seu e o começo do próximo, depois de uma criatura tentar causar dano de Alma ou manipular diretamente sua alma de forma hostil, você pode fazê-la enfrentar a presença que guarda. Resolva a tentativa original normalmente, mesmo que você evite o efeito. Depois, o agressor faz TR de Espírito com desvantagem, CD 8 + sua Maestria + Constituição ou Essência, escolhida no uso.
Na falha, ele fica Amedrontado por você até o fim do próximo turno dele, com o TR normal de saída no fim de cada turno. No sucesso, seja no TR inicial ou numa saída, fica imune à resposta deste Receptáculo até o fim do próximo turno dele. Mantenha a CD da aplicação nas saídas; a desvantagem especial vale para o teste inicial, sem afastar outras fontes que alterem os testes posteriores.
A resposta não gasta ação, Reação ou PE. O limite é total, não um uso por agressor, e é consumido ao exigir o teste inicial. A tentativa original não é desfeita. Dano Psíquico comum, contato físico comum e cura consentida não satisfazem o gatilho por si sós.
Se o efeito começar durante o turno do agressor, “próximo turno” é o seguinte, não o atual. Fora do turno dele, é o primeiro que vier depois. A duração terminar sem sucesso num TR não concede a imunidade; a imunidade recebida não vale contra outras fontes de medo.</t>
        </is>
      </c>
      <c r="DY7" s="162" t="inlineStr">
        <is>
          <t>Descendente</t>
        </is>
      </c>
      <c r="DZ7" s="162" t="inlineStr">
        <is>
          <t>Hierarquia, História, Ocultismo ou Persuasão</t>
        </is>
      </c>
      <c r="EA7" s="162" t="inlineStr">
        <is>
          <t>Fundamento, ou Manejos se escolher Sem Técnica</t>
        </is>
      </c>
      <c r="EG7" s="162" t="inlineStr">
        <is>
          <t>Herbalismo</t>
        </is>
      </c>
    </row>
    <row r="8" ht="17.25" customHeight="1">
      <c r="A8" s="162" t="inlineStr">
        <is>
          <t>Evocador</t>
        </is>
      </c>
      <c r="B8" s="162" t="inlineStr">
        <is>
          <t>Prestidigitação</t>
        </is>
      </c>
      <c r="C8" s="162" t="inlineStr">
        <is>
          <t>Caligrafia</t>
        </is>
      </c>
      <c r="D8" s="162" t="inlineStr">
        <is>
          <t>Auxiliares</t>
        </is>
      </c>
      <c r="E8" s="162" t="inlineStr">
        <is>
          <t>Cone</t>
        </is>
      </c>
      <c r="F8" s="162" t="inlineStr">
        <is>
          <t>Passo</t>
        </is>
      </c>
      <c r="G8" s="162" t="inlineStr">
        <is>
          <t>Carregar</t>
        </is>
      </c>
      <c r="H8" s="162" t="inlineStr">
        <is>
          <t>Desarmado</t>
        </is>
      </c>
      <c r="I8" s="162" t="inlineStr">
        <is>
          <t>Híbrido</t>
        </is>
      </c>
      <c r="J8" s="41" t="n"/>
      <c r="K8" s="162" t="inlineStr">
        <is>
          <t>Essência</t>
        </is>
      </c>
      <c r="L8" s="162" t="inlineStr">
        <is>
          <t>Batedor · Yumi</t>
        </is>
      </c>
      <c r="M8" s="41" t="n"/>
      <c r="N8" s="162" t="inlineStr">
        <is>
          <t>Emanador</t>
        </is>
      </c>
      <c r="O8" s="162" t="inlineStr">
        <is>
          <t>Inteligência · Essência</t>
        </is>
      </c>
      <c r="P8" s="162" t="n">
        <v>6</v>
      </c>
      <c r="Q8" s="162" t="n">
        <v>4</v>
      </c>
      <c r="R8" s="162" t="n">
        <v>6</v>
      </c>
      <c r="S8" s="162" t="inlineStr">
        <is>
          <t>Ocultismo</t>
        </is>
      </c>
      <c r="T8" s="162" t="inlineStr">
        <is>
          <t>Investigação</t>
        </is>
      </c>
      <c r="U8" s="162" t="n"/>
      <c r="V8" s="41" t="n"/>
      <c r="W8" s="164" t="n">
        <v>18</v>
      </c>
      <c r="X8" s="41" t="n"/>
      <c r="Y8" s="164" t="n">
        <v>13</v>
      </c>
      <c r="Z8" s="41" t="n"/>
      <c r="AA8" s="41" t="n"/>
      <c r="AB8" s="162" t="inlineStr">
        <is>
          <t>Pontaria</t>
        </is>
      </c>
      <c r="AC8" s="162" t="inlineStr">
        <is>
          <t>Destreza</t>
        </is>
      </c>
      <c r="AD8" s="41" t="n"/>
      <c r="AE8" s="162" t="inlineStr">
        <is>
          <t>Revestimento 1</t>
        </is>
      </c>
      <c r="AF8" s="164" t="n">
        <v>4</v>
      </c>
      <c r="AG8" s="164" t="n">
        <v>0</v>
      </c>
      <c r="AH8" s="164" t="inlineStr">
        <is>
          <t>sim</t>
        </is>
      </c>
      <c r="AI8" s="41" t="n"/>
      <c r="AJ8" s="162" t="inlineStr">
        <is>
          <t>maior atributo</t>
        </is>
      </c>
      <c r="AK8" s="164">
        <f>MAX(FICHA!$D$19,FICHA!$L$19,FICHA!$T$19,FICHA!$AB$19,FICHA!$AJ$19)</f>
        <v/>
      </c>
      <c r="AL8" s="41" t="n"/>
      <c r="AM8" s="162">
        <f>$A$6</f>
        <v/>
      </c>
      <c r="AN8" s="162">
        <f>$L$7</f>
        <v/>
      </c>
      <c r="AO8" s="162" t="inlineStr">
        <is>
          <t>Vanguarda</t>
        </is>
      </c>
      <c r="AP8" s="41" t="n"/>
      <c r="AQ8" s="164" t="n">
        <v>5</v>
      </c>
      <c r="AR8" s="164">
        <f>DADOS_CONFIG!$Z$6</f>
        <v/>
      </c>
      <c r="AS8" s="41" t="n"/>
      <c r="AT8" s="41" t="n"/>
      <c r="AU8" s="41" t="n"/>
      <c r="AV8" s="41" t="n"/>
      <c r="AW8" s="41" t="n"/>
      <c r="AX8" s="41" t="n"/>
      <c r="AY8" s="41" t="n"/>
      <c r="AZ8" s="41" t="n"/>
      <c r="BA8" s="162" t="inlineStr">
        <is>
          <t>origem</t>
        </is>
      </c>
      <c r="BB8" s="162">
        <f>ADDRESS(ROW(FICHA!X11),COLUMN(FICHA!X11),4)</f>
        <v/>
      </c>
      <c r="BD8" s="162" t="inlineStr">
        <is>
          <t>Bō</t>
        </is>
      </c>
      <c r="BE8" s="162" t="inlineStr">
        <is>
          <t>Porrete</t>
        </is>
      </c>
      <c r="BF8" s="164" t="n">
        <v>2</v>
      </c>
      <c r="BG8" s="162" t="inlineStr">
        <is>
          <t>1d10</t>
        </is>
      </c>
      <c r="BH8" s="162" t="inlineStr">
        <is>
          <t>Alcance · Emaranha</t>
        </is>
      </c>
      <c r="BI8" s="164" t="n">
        <v>3</v>
      </c>
      <c r="BJ8" s="164" t="n">
        <v>2</v>
      </c>
      <c r="BM8" s="164">
        <f>'FICHA PESSOAL'!$V$73</f>
        <v/>
      </c>
      <c r="BN8" s="164">
        <f>ADDRESS(ROW('FICHA PESSOAL'!V73),COLUMN('FICHA PESSOAL'!V73),4)</f>
        <v/>
      </c>
      <c r="BP8" s="162" t="inlineStr">
        <is>
          <t>Arremesso</t>
        </is>
      </c>
      <c r="BQ8" s="162" t="inlineStr">
        <is>
          <t>Simples</t>
        </is>
      </c>
      <c r="BR8" s="162" t="inlineStr">
        <is>
          <t>não</t>
        </is>
      </c>
      <c r="BS8" s="164">
        <f>'FICHA PESSOAL'!$M$79</f>
        <v/>
      </c>
      <c r="BT8" s="164">
        <f>ADDRESS(ROW('FICHA PESSOAL'!M79),COLUMN('FICHA PESSOAL'!M79),4)</f>
        <v/>
      </c>
      <c r="BX8" s="162" t="inlineStr">
        <is>
          <t>Revestimento 1</t>
        </is>
      </c>
      <c r="BY8" s="164" t="n">
        <v>4</v>
      </c>
      <c r="BZ8" s="164" t="n">
        <v>0</v>
      </c>
      <c r="CA8" s="164" t="n">
        <v>3</v>
      </c>
      <c r="CB8" s="164" t="n">
        <v>2</v>
      </c>
      <c r="CC8" s="164" t="n">
        <v>1</v>
      </c>
      <c r="CD8" s="162" t="inlineStr">
        <is>
          <t>Grau 4</t>
        </is>
      </c>
      <c r="CF8" s="162" t="inlineStr">
        <is>
          <t>Grau 1</t>
        </is>
      </c>
      <c r="CG8" s="162" t="inlineStr">
        <is>
          <t>¥ 1.200.000</t>
        </is>
      </c>
      <c r="CH8" s="164" t="n">
        <v>4</v>
      </c>
      <c r="CJ8" s="162" t="inlineStr">
        <is>
          <t>Multidão</t>
        </is>
      </c>
      <c r="CL8" s="162" t="inlineStr">
        <is>
          <t>Final de arco</t>
        </is>
      </c>
      <c r="CM8" s="164" t="n">
        <v>300</v>
      </c>
      <c r="CR8" s="162" t="inlineStr">
        <is>
          <t>6ª · 6,25%</t>
        </is>
      </c>
      <c r="CS8" s="164" t="n">
        <v>0.0625</v>
      </c>
      <c r="CU8" s="162" t="inlineStr">
        <is>
          <t>Grau 2</t>
        </is>
      </c>
      <c r="CY8" s="162" t="inlineStr">
        <is>
          <t>mão da principal</t>
        </is>
      </c>
      <c r="CZ8" s="164">
        <f>IF(DADOS!$CZ$6=1,1,IFERROR(VALUE(VLOOKUP('FICHA PESSOAL'!$D$64,'FICHA PESSOAL'!$D$92:$AH$99,16,FALSE)&amp;""),0))</f>
        <v/>
      </c>
      <c r="DB8" s="164">
        <f>IF(AND('FICHA PESSOAL'!$D$94&lt;&gt;"",'FICHA PESSOAL'!$M$94&lt;&gt;"Escudo"),'FICHA PESSOAL'!$D$94,"")</f>
        <v/>
      </c>
      <c r="DD8" s="164">
        <f>IF(AND(DADOS!$CZ$8&lt;&gt;2,'FICHA PESSOAL'!$D$93&lt;&gt;"",OR('FICHA PESSOAL'!$M$93="Escudo",N('FICHA PESSOAL'!$S$93)=1)),'FICHA PESSOAL'!$D$93,"")</f>
        <v/>
      </c>
      <c r="DF8" s="164">
        <f>IF(DADOS!$CZ$34&gt;=DADOS!$CC$7,DADOS!$BX$7,"")</f>
        <v/>
      </c>
      <c r="DH8" s="162" t="inlineStr">
        <is>
          <t>Par</t>
        </is>
      </c>
      <c r="DI8" s="162" t="inlineStr">
        <is>
          <t>Role duas vezes os dados de dano próprios da arma e use o conjunto de maior soma. Aplique os demais acréscimos uma única vez.</t>
        </is>
      </c>
      <c r="DK8" s="162" t="inlineStr">
        <is>
          <t>arma da principal</t>
        </is>
      </c>
      <c r="DL8" s="164">
        <f>IF(DADOS!$CZ$6=1,"Soco"&amp;CHAR(10)&amp;"O dado desarmado é d4 com maestria 1, d6 com maestria 2, d8 com maestria 3 e d10 com maestria 4.",IF(DADOS!$CZ$7="","",'FICHA PESSOAL'!$D$64&amp;IF(ISNUMBER(SEARCH(" · "&amp;DADOS!$DH$5&amp;" · "," · "&amp;DADOS!$CZ$10&amp;" · ")),CHAR(10)&amp;DADOS!$DH$5&amp;": "&amp;DADOS!$DI$5,"")&amp;IF(ISNUMBER(SEARCH(" · "&amp;DADOS!$DH$6&amp;" · "," · "&amp;DADOS!$CZ$10&amp;" · ")),CHAR(10)&amp;DADOS!$DH$6&amp;": "&amp;DADOS!$DI$6,"")&amp;IF(ISNUMBER(SEARCH(" · "&amp;DADOS!$DH$7&amp;" · "," · "&amp;DADOS!$CZ$10&amp;" · ")),CHAR(10)&amp;DADOS!$DH$7&amp;": "&amp;DADOS!$DI$7,"")&amp;IF(ISNUMBER(SEARCH(" · "&amp;DADOS!$DH$8&amp;" · "," · "&amp;DADOS!$CZ$10&amp;" · ")),CHAR(10)&amp;DADOS!$DH$8&amp;": "&amp;DADOS!$DI$8,"")&amp;IF(ISNUMBER(SEARCH(" · "&amp;DADOS!$DH$9&amp;" · "," · "&amp;DADOS!$CZ$10&amp;" · ")),CHAR(10)&amp;DADOS!$DH$9&amp;": "&amp;DADOS!$DI$9&amp;" Nesta arma: 3 m.","")&amp;IF(ISNUMBER(SEARCH(" · "&amp;DADOS!$DH$10&amp;" · "," · "&amp;DADOS!$CZ$10&amp;" · ")),CHAR(10)&amp;DADOS!$DH$10&amp;": "&amp;DADOS!$DI$10&amp;IF(DADOS!$CZ$14&lt;&gt;""," Nesta arma: "&amp;DADOS!$CZ$14&amp;".",""),"")&amp;IF(DADOS!$CZ$8=2,CHAR(10)&amp;DADOS!$DH$11&amp;": "&amp;DADOS!$DI$11,"")&amp;IF(ISNUMBER(SEARCH(" · "&amp;DADOS!$DH$12&amp;" · "," · "&amp;DADOS!$CZ$10&amp;" · ")),CHAR(10)&amp;DADOS!$DH$12&amp;": "&amp;DADOS!$DI$12,"")&amp;IF(ISNUMBER(SEARCH(" · "&amp;DADOS!$DH$13&amp;" · "," · "&amp;DADOS!$CZ$10&amp;" · ")),CHAR(10)&amp;DADOS!$DH$13&amp;": "&amp;DADOS!$DI$13,"")&amp;IF(ISNUMBER(SEARCH(" · "&amp;DADOS!$DH$14&amp;" · "," · "&amp;DADOS!$CZ$10&amp;" · ")),CHAR(10)&amp;DADOS!$DH$14&amp;": "&amp;DADOS!$DI$14,"")&amp;IF(ISNUMBER(SEARCH(" · "&amp;DADOS!$DH$15&amp;" · "," · "&amp;DADOS!$CZ$10&amp;" · ")),CHAR(10)&amp;DADOS!$DH$15&amp;": "&amp;DADOS!$DI$15,"")&amp;IF(ISNUMBER(SEARCH(" · "&amp;DADOS!$DH$16&amp;" · "," · "&amp;DADOS!$CZ$10&amp;" · ")),CHAR(10)&amp;DADOS!$DH$16&amp;": "&amp;DADOS!$DI$16,"")&amp;IF(ISNUMBER(SEARCH(" · "&amp;DADOS!$DH$17&amp;" · "," · "&amp;DADOS!$CZ$10&amp;" · ")),CHAR(10)&amp;DADOS!$DH$17&amp;": "&amp;DADOS!$DI$17,"")&amp;IF(ISNUMBER(SEARCH(" · "&amp;DADOS!$DH$18&amp;" · "," · "&amp;DADOS!$CZ$10&amp;" · ")),CHAR(10)&amp;DADOS!$DH$18&amp;": "&amp;DADOS!$DI$18&amp;IF(DADOS!$CZ$15&amp;""&lt;&gt;""," Nesta arma: "&amp;DADOS!$CZ$15&amp;IF(DADOS!$CZ$15=1," ataque"," ataques")&amp;" por carga.",""),"")&amp;IF(ISNUMBER(SEARCH(" · "&amp;DADOS!$DH$19&amp;" · "," · "&amp;DADOS!$CZ$10&amp;" · ")),CHAR(10)&amp;DADOS!$DH$19&amp;": "&amp;DADOS!$DI$19,"")&amp;IF(ISNUMBER(SEARCH(" · "&amp;DADOS!$DH$20&amp;" · "," · "&amp;DADOS!$CZ$10&amp;" · ")),CHAR(10)&amp;DADOS!$DH$20&amp;": "&amp;DADOS!$DI$20,"")))</f>
        <v/>
      </c>
      <c r="DM8" s="164">
        <f>ADDRESS(ROW('FICHA PESSOAL'!D66),COLUMN('FICHA PESSOAL'!D66),4)</f>
        <v/>
      </c>
      <c r="DO8" s="162" t="inlineStr">
        <is>
          <t>grau</t>
        </is>
      </c>
      <c r="DP8" s="164">
        <f>ADDRESS(ROW('FICHA PESSOAL'!AB11),COLUMN('FICHA PESSOAL'!AB11),4)</f>
        <v/>
      </c>
      <c r="DR8" s="162" t="inlineStr">
        <is>
          <t>Zenin</t>
        </is>
      </c>
      <c r="DS8" s="162" t="inlineStr">
        <is>
          <t>Descendente</t>
        </is>
      </c>
      <c r="DT8" s="162" t="inlineStr">
        <is>
          <t>marcante</t>
        </is>
      </c>
      <c r="DU8" s="162" t="inlineStr"/>
      <c r="DV8" s="162" t="inlineStr">
        <is>
          <t>Uma vez por dia · Maestria vezes por dia</t>
        </is>
      </c>
      <c r="DW8" s="162" t="inlineStr">
        <is>
          <t>Sua formação prepara postura, movimentos e resistência para enfrentar a pressão de uma luta. Kukuru é a formação Sem Técnica; Akashi integra esse preparo ao uso de uma técnica. Ambas concedem os três componentes abaixo; Disciplina Treinada muda o TR conforme a formação.
Recuperação do Fôlego.
Uma vez por dia, ao concluir um descanso curto válido, pode remover um degrau de Exaustão. Calcule a recuperação normal da pausa antes dessa remoção. A contagem de lutas do dia permanece, assim como as exigências de descanso e ambiente.
Não guarda retiradas futuras, reduz Exaustão abaixo de zero ou recupera Integridade e condições de outras fontes.
Execução Treinada.
Maestria vezes por dia, antes de um teste de Atletismo ou Acrobacia, pode fazê-lo com vantagem, sem ação ou PE adicionais. As duas perícias compartilham os usos. Mantenha modificadores e requisitos; não concede treino nem afeta ataques ou TRs.
Disciplina Treinada.
Uma vez por dia, quando falhar no TR da sua formação, pode repeti-lo antes das consequências e deve aceitar o segundo resultado: Vigor para Kukuru; Espírito para Akashi.
Não exige ação ou PE adicionais. Mantenha modificadores, vantagem e desvantagem aplicáveis. O uso é gasto mesmo na nova falha. Não concede treino, troca o atributo do TR ou permite substituir o teste pedido. Uma interrupção direta sem teste continua acontecendo.
Os três componentes têm estoques independentes. Descanso curto não renova usos por dia.</t>
        </is>
      </c>
      <c r="DY8" s="162" t="inlineStr">
        <is>
          <t>Encarnado</t>
        </is>
      </c>
      <c r="DZ8" s="162" t="inlineStr">
        <is>
          <t>História, Ocultismo, Investigação ou Intimidação</t>
        </is>
      </c>
      <c r="EA8" s="162" t="inlineStr">
        <is>
          <t>Fundamento, ou Manejos se escolher Sem Técnica</t>
        </is>
      </c>
      <c r="EG8" s="162" t="inlineStr">
        <is>
          <t>Forja</t>
        </is>
      </c>
    </row>
    <row r="9" ht="17.25" customHeight="1">
      <c r="A9" s="41" t="inlineStr">
        <is>
          <t>Incursor</t>
        </is>
      </c>
      <c r="B9" s="162" t="inlineStr">
        <is>
          <t>Investigação</t>
        </is>
      </c>
      <c r="C9" s="162" t="inlineStr">
        <is>
          <t>Burocracia</t>
        </is>
      </c>
      <c r="D9" s="162" t="inlineStr">
        <is>
          <t>Castigo</t>
        </is>
      </c>
      <c r="E9" s="162" t="inlineStr">
        <is>
          <t>Linha</t>
        </is>
      </c>
      <c r="F9" s="162" t="inlineStr">
        <is>
          <t>Empurrão</t>
        </is>
      </c>
      <c r="G9" s="162" t="inlineStr">
        <is>
          <t>Sangra</t>
        </is>
      </c>
      <c r="H9" s="162" t="inlineStr">
        <is>
          <t>Surdo</t>
        </is>
      </c>
      <c r="I9" s="162" t="inlineStr">
        <is>
          <t>Restrição Celestial · Restrição corporal</t>
        </is>
      </c>
      <c r="J9" s="41" t="n"/>
      <c r="K9" s="41" t="n"/>
      <c r="L9" s="162" t="inlineStr">
        <is>
          <t>Batedor · Besta</t>
        </is>
      </c>
      <c r="M9" s="41" t="n"/>
      <c r="N9" s="162" t="inlineStr">
        <is>
          <t>Evocador</t>
        </is>
      </c>
      <c r="O9" s="162" t="inlineStr">
        <is>
          <t>Inteligência · Essência</t>
        </is>
      </c>
      <c r="P9" s="162" t="n">
        <v>6</v>
      </c>
      <c r="Q9" s="162" t="n">
        <v>4</v>
      </c>
      <c r="R9" s="162" t="n">
        <v>6</v>
      </c>
      <c r="S9" s="162" t="inlineStr">
        <is>
          <t>Religião</t>
        </is>
      </c>
      <c r="T9" s="162" t="inlineStr">
        <is>
          <t>Lidar com Animais</t>
        </is>
      </c>
      <c r="U9" s="162" t="n"/>
      <c r="V9" s="41" t="n"/>
      <c r="W9" s="164" t="n">
        <v>22</v>
      </c>
      <c r="X9" s="41" t="n"/>
      <c r="Y9" s="164" t="n">
        <v>17</v>
      </c>
      <c r="Z9" s="41" t="n"/>
      <c r="AA9" s="41" t="n"/>
      <c r="AB9" s="162" t="inlineStr">
        <is>
          <t>Prestidigitação</t>
        </is>
      </c>
      <c r="AC9" s="162" t="inlineStr">
        <is>
          <t>Destreza</t>
        </is>
      </c>
      <c r="AD9" s="41" t="n"/>
      <c r="AE9" s="162" t="inlineStr">
        <is>
          <t>Revestimento 2</t>
        </is>
      </c>
      <c r="AF9" s="164" t="n">
        <v>5</v>
      </c>
      <c r="AG9" s="164" t="n">
        <v>0</v>
      </c>
      <c r="AH9" s="164" t="inlineStr">
        <is>
          <t>sim</t>
        </is>
      </c>
      <c r="AI9" s="41" t="n"/>
      <c r="AJ9" s="162" t="inlineStr">
        <is>
          <t>maior atributo pequeno</t>
        </is>
      </c>
      <c r="AK9" s="164">
        <f>MAX(IFERROR(VALUE(FICHA!$D$21&amp;""),0),IFERROR(VALUE(FICHA!$L$21&amp;""),0),IFERROR(VALUE(FICHA!$T$21&amp;""),0),IFERROR(VALUE(FICHA!$AB$21&amp;""),0),IFERROR(VALUE(FICHA!$AJ$21&amp;""),0))</f>
        <v/>
      </c>
      <c r="AL9" s="41" t="n"/>
      <c r="AM9" s="162">
        <f>$A$7</f>
        <v/>
      </c>
      <c r="AN9" s="162">
        <f>$L$8</f>
        <v/>
      </c>
      <c r="AO9" s="162" t="inlineStr">
        <is>
          <t>Vanguarda</t>
        </is>
      </c>
      <c r="AP9" s="41" t="n"/>
      <c r="AQ9" s="164" t="n">
        <v>6</v>
      </c>
      <c r="AR9" s="164">
        <f>DADOS_CONFIG!$Z$7</f>
        <v/>
      </c>
      <c r="AS9" s="41" t="n"/>
      <c r="AT9" s="41" t="n"/>
      <c r="AU9" s="41" t="n"/>
      <c r="AV9" s="41" t="n"/>
      <c r="AW9" s="41" t="n"/>
      <c r="AX9" s="41" t="n"/>
      <c r="AY9" s="41" t="n"/>
      <c r="AZ9" s="41" t="n"/>
      <c r="BA9" s="162" t="inlineStr">
        <is>
          <t>nivel</t>
        </is>
      </c>
      <c r="BB9" s="162">
        <f>ADDRESS(ROW(FICHA!AH11),COLUMN(FICHA!AH11),4)</f>
        <v/>
      </c>
      <c r="BD9" s="162" t="inlineStr">
        <is>
          <t>Broquel</t>
        </is>
      </c>
      <c r="BE9" s="162" t="inlineStr">
        <is>
          <t>Escudo</t>
        </is>
      </c>
      <c r="BF9" s="164" t="n">
        <v>1</v>
      </c>
      <c r="BG9" s="162" t="inlineStr">
        <is>
          <t>—</t>
        </is>
      </c>
      <c r="BH9" s="162" t="inlineStr">
        <is>
          <t>Proteção +1 · teto de Destreza 5</t>
        </is>
      </c>
      <c r="BI9" s="162" t="inlineStr">
        <is>
          <t>—</t>
        </is>
      </c>
      <c r="BJ9" s="164" t="n">
        <v>0.5</v>
      </c>
      <c r="BM9" s="164">
        <f>TRUE</f>
        <v/>
      </c>
      <c r="BP9" s="162" t="inlineStr">
        <is>
          <t>Manopla</t>
        </is>
      </c>
      <c r="BQ9" s="162" t="inlineStr">
        <is>
          <t>Simples</t>
        </is>
      </c>
      <c r="BR9" s="162" t="inlineStr">
        <is>
          <t>não</t>
        </is>
      </c>
      <c r="BS9" s="164">
        <f>'FICHA PESSOAL'!$AE$81</f>
        <v/>
      </c>
      <c r="BT9" s="164">
        <f>ADDRESS(ROW('FICHA PESSOAL'!AE81),COLUMN('FICHA PESSOAL'!AE81),4)</f>
        <v/>
      </c>
      <c r="BX9" s="162" t="inlineStr">
        <is>
          <t>Revestimento 2</t>
        </is>
      </c>
      <c r="BY9" s="164" t="n">
        <v>5</v>
      </c>
      <c r="BZ9" s="164" t="n">
        <v>0</v>
      </c>
      <c r="CA9" s="164" t="n">
        <v>4</v>
      </c>
      <c r="CB9" s="164" t="n">
        <v>3</v>
      </c>
      <c r="CC9" s="164" t="n">
        <v>2</v>
      </c>
      <c r="CD9" s="162" t="inlineStr">
        <is>
          <t>Grau 3</t>
        </is>
      </c>
      <c r="CF9" s="162" t="inlineStr">
        <is>
          <t>Especial</t>
        </is>
      </c>
      <c r="CG9" s="162" t="inlineStr">
        <is>
          <t>¥ 2.400.000</t>
        </is>
      </c>
      <c r="CH9" s="164" t="n">
        <v>5</v>
      </c>
      <c r="CJ9" s="162" t="inlineStr">
        <is>
          <t>Escuro</t>
        </is>
      </c>
      <c r="CL9" s="162" t="inlineStr">
        <is>
          <t>Solo simples</t>
        </is>
      </c>
      <c r="CM9" s="164" t="n">
        <v>75</v>
      </c>
      <c r="CR9" s="162" t="inlineStr">
        <is>
          <t>7ª · 3,125%</t>
        </is>
      </c>
      <c r="CS9" s="164" t="n">
        <v>0.03125</v>
      </c>
      <c r="CU9" s="162" t="inlineStr">
        <is>
          <t>Grau 1</t>
        </is>
      </c>
      <c r="CY9" s="162" t="inlineStr">
        <is>
          <t>dado da principal</t>
        </is>
      </c>
      <c r="CZ9" s="164">
        <f>IF(DADOS!$CZ$6=1,CHOOSE(MIN(4,MAX(1,N(FICHA!$D$67))),"d4","d6","d8","d10"),IFERROR(VLOOKUP('FICHA PESSOAL'!$D$64,'FICHA PESSOAL'!$D$92:$AH$99,18,FALSE)&amp;"",""))</f>
        <v/>
      </c>
      <c r="DB9" s="164">
        <f>IF(AND('FICHA PESSOAL'!$D$95&lt;&gt;"",'FICHA PESSOAL'!$M$95&lt;&gt;"Escudo"),'FICHA PESSOAL'!$D$95,"")</f>
        <v/>
      </c>
      <c r="DD9" s="164">
        <f>IF(AND(DADOS!$CZ$8&lt;&gt;2,'FICHA PESSOAL'!$D$94&lt;&gt;"",OR('FICHA PESSOAL'!$M$94="Escudo",N('FICHA PESSOAL'!$S$94)=1)),'FICHA PESSOAL'!$D$94,"")</f>
        <v/>
      </c>
      <c r="DF9" s="164">
        <f>IF(DADOS!$CZ$34&gt;=DADOS!$CC$8,DADOS!$BX$8,"")</f>
        <v/>
      </c>
      <c r="DH9" s="162" t="inlineStr">
        <is>
          <t>Alcance</t>
        </is>
      </c>
      <c r="DI9" s="162" t="inlineStr">
        <is>
          <t>O alcance corpo a corpo da arma é 3 m. Sem essa propriedade, o alcance comum é 1,5 m.</t>
        </is>
      </c>
      <c r="DK9" s="162" t="inlineStr">
        <is>
          <t>arma da secundária</t>
        </is>
      </c>
      <c r="DL9" s="164">
        <f>IF(OR(DADOS!$CZ$17=0,DADOS!$CZ$18=""),"",IF(DADOS!$CZ$19=1,'FICHA PESSOAL'!$S$64&amp;CHAR(10)&amp;"Some a proteção de um escudo empunhado à proteção que já utiliza, respeitando o teto de Destreza dele.",'FICHA PESSOAL'!$S$64&amp;IF(ISNUMBER(SEARCH(" · "&amp;DADOS!$DH$5&amp;" · "," · "&amp;DADOS!$CZ$21&amp;" · ")),CHAR(10)&amp;DADOS!$DH$5&amp;": "&amp;DADOS!$DI$5,"")&amp;IF(ISNUMBER(SEARCH(" · "&amp;DADOS!$DH$6&amp;" · "," · "&amp;DADOS!$CZ$21&amp;" · ")),CHAR(10)&amp;DADOS!$DH$6&amp;": "&amp;DADOS!$DI$6,"")&amp;IF(ISNUMBER(SEARCH(" · "&amp;DADOS!$DH$7&amp;" · "," · "&amp;DADOS!$CZ$21&amp;" · ")),CHAR(10)&amp;DADOS!$DH$7&amp;": "&amp;DADOS!$DI$7,"")&amp;IF(ISNUMBER(SEARCH(" · "&amp;DADOS!$DH$8&amp;" · "," · "&amp;DADOS!$CZ$21&amp;" · ")),CHAR(10)&amp;DADOS!$DH$8&amp;": "&amp;DADOS!$DI$8,"")&amp;IF(ISNUMBER(SEARCH(" · "&amp;DADOS!$DH$9&amp;" · "," · "&amp;DADOS!$CZ$21&amp;" · ")),CHAR(10)&amp;DADOS!$DH$9&amp;": "&amp;DADOS!$DI$9&amp;" Nesta arma: 3 m.","")&amp;IF(ISNUMBER(SEARCH(" · "&amp;DADOS!$DH$10&amp;" · "," · "&amp;DADOS!$CZ$21&amp;" · ")),CHAR(10)&amp;DADOS!$DH$10&amp;": "&amp;DADOS!$DI$10&amp;IF(DADOS!$CZ$23&lt;&gt;""," Nesta arma: "&amp;DADOS!$CZ$23&amp;".",""),"")&amp;IF(ISNUMBER(SEARCH(" · "&amp;DADOS!$DH$12&amp;" · "," · "&amp;DADOS!$CZ$21&amp;" · ")),CHAR(10)&amp;DADOS!$DH$12&amp;": "&amp;DADOS!$DI$12,"")&amp;IF(ISNUMBER(SEARCH(" · "&amp;DADOS!$DH$13&amp;" · "," · "&amp;DADOS!$CZ$21&amp;" · ")),CHAR(10)&amp;DADOS!$DH$13&amp;": "&amp;DADOS!$DI$13,"")&amp;IF(ISNUMBER(SEARCH(" · "&amp;DADOS!$DH$14&amp;" · "," · "&amp;DADOS!$CZ$21&amp;" · ")),CHAR(10)&amp;DADOS!$DH$14&amp;": "&amp;DADOS!$DI$14,"")&amp;IF(ISNUMBER(SEARCH(" · "&amp;DADOS!$DH$15&amp;" · "," · "&amp;DADOS!$CZ$21&amp;" · ")),CHAR(10)&amp;DADOS!$DH$15&amp;": "&amp;DADOS!$DI$15,"")&amp;IF(ISNUMBER(SEARCH(" · "&amp;DADOS!$DH$16&amp;" · "," · "&amp;DADOS!$CZ$21&amp;" · ")),CHAR(10)&amp;DADOS!$DH$16&amp;": "&amp;DADOS!$DI$16,"")&amp;IF(ISNUMBER(SEARCH(" · "&amp;DADOS!$DH$17&amp;" · "," · "&amp;DADOS!$CZ$21&amp;" · ")),CHAR(10)&amp;DADOS!$DH$17&amp;": "&amp;DADOS!$DI$17,"")&amp;IF(ISNUMBER(SEARCH(" · "&amp;DADOS!$DH$18&amp;" · "," · "&amp;DADOS!$CZ$21&amp;" · ")),CHAR(10)&amp;DADOS!$DH$18&amp;": "&amp;DADOS!$DI$18&amp;IF(DADOS!$CZ$24&amp;""&lt;&gt;""," Nesta arma: "&amp;DADOS!$CZ$24&amp;IF(DADOS!$CZ$24=1," ataque"," ataques")&amp;" por carga.",""),"")&amp;IF(ISNUMBER(SEARCH(" · "&amp;DADOS!$DH$19&amp;" · "," · "&amp;DADOS!$CZ$21&amp;" · ")),CHAR(10)&amp;DADOS!$DH$19&amp;": "&amp;DADOS!$DI$19,"")&amp;IF(ISNUMBER(SEARCH(" · "&amp;DADOS!$DH$20&amp;" · "," · "&amp;DADOS!$CZ$21&amp;" · ")),CHAR(10)&amp;DADOS!$DH$20&amp;": "&amp;DADOS!$DI$20,"")))</f>
        <v/>
      </c>
      <c r="DM9" s="164">
        <f>ADDRESS(ROW('FICHA PESSOAL'!S66),COLUMN('FICHA PESSOAL'!S66),4)</f>
        <v/>
      </c>
      <c r="DO9" s="162" t="inlineStr">
        <is>
          <t>situação do traje</t>
        </is>
      </c>
      <c r="DP9" s="164">
        <f>ADDRESS(ROW('FICHA PESSOAL'!AN86),COLUMN('FICHA PESSOAL'!AN86),4)</f>
        <v/>
      </c>
      <c r="DR9" s="162" t="inlineStr">
        <is>
          <t>Kamo</t>
        </is>
      </c>
      <c r="DS9" s="162" t="inlineStr">
        <is>
          <t>Descendente</t>
        </is>
      </c>
      <c r="DT9" s="162" t="inlineStr">
        <is>
          <t>marcante</t>
        </is>
      </c>
      <c r="DU9" s="162" t="inlineStr"/>
      <c r="DV9" s="162" t="inlineStr">
        <is>
          <t>Maestria vezes por dia</t>
        </is>
      </c>
      <c r="DW9" s="162" t="inlineStr">
        <is>
          <t>Você aprendeu a ensaiar procedimentos e corrigir a execução quando algo sai errado. Sua marcante reúne Execução Ensaiada e Contingência Estudada. A formação não concede Manipulação de Sangue.
Execução Ensaiada.
Ao concluir um descanso longo, escolha duas opções distintas entre perícias, Ofícios e TRs em que seja treinado. Depois role 3d20 e anote os dois maiores resultados. Essa reserva permanece até concluir o próximo descanso longo.
Antes de rolar um teste de uma das opções, pode gastar um resultado anotado para substituir um dos d20 por aquele valor, somando os modificadores normais. No máximo um resultado por teste; cada um só pode ser usado uma vez. Os dois resultados são compartilhados entre as duas competências.
Com vantagem ou desvantagem, role o outro d20 e escolha normalmente o maior ou menor. Se ambas se anularem, substitua o único d20. Declare antes de rolar qualquer dado do teste, sem ação ou PE adicionais. Pode gastar os dois resultados em testes diferentes da mesma competência.
As opções precisam estar treinadas no preparo e no uso. Escolha TRs pelo nome, como Vigor, não por atributo. Ataques, dano e testes de outra criatura ficam fora. A tarefa conserva ferramentas, materiais, ações e demais requisitos; um resultado reservado não garante sucesso.
Os 3d20 do preparo são uma rolagem própria, sem modificadores, vantagem ou repetições de testes. Não produzem crítico ou sucesso ao serem anotados. No próximo descanso longo, resultados não usados expiram e o novo ensaio substitui escolhas e reserva. Descanso curto não renova os dados. Se outra regra permitir repetir o teste posteriormente, o valor reservado já foi consumido e a nova tentativa usa os dados normais.
Exemplo: você escolhe Acrobacia e Vigor, ambos treinados. Rola 5, 12 e 17, guardando 12 e 17. Antes de um teste de Acrobacia, usa o 17 e soma seus bônus. O 12 continua disponível. Com desvantagem, ainda rolaria o outro d20 e ficaria com o menor.
Contingência Estudada.
Maestria vezes por dia, quando errar uma rolagem de acerto que você faça, inclusive a de um feitiço de Acerto, pode repeti-la antes das consequências. Aceite o segundo resultado. Não exige outra ação ou PE e pode ser usada uma vez por tentativa.
Repita o procedimento completo, com os modificadores e vantagem ou desvantagem aplicáveis, sem misturar dados das duas rolagens. Conserve alvo, capacidade, custos pagos e defesa já resolvida. Não repita os outros ataques ou alvos da aplicação.
Não rerrola dano, faz o alvo repetir TR ou modifica feitiço Automático. Não devolve PE nem permite trocar de feitiço. Os usos são independentes dos resultados de Execução Ensaiada e renovam por dia, não por descanso longo.</t>
        </is>
      </c>
      <c r="DY9" s="162" t="inlineStr">
        <is>
          <t>Híbrido</t>
        </is>
      </c>
      <c r="DZ9" s="162" t="inlineStr">
        <is>
          <t>Ocultismo, Medicina, Sentir Energia ou Natureza</t>
        </is>
      </c>
      <c r="EA9" s="162" t="inlineStr">
        <is>
          <t>Fundamento, ou Manejos se escolher Sem Técnica</t>
        </is>
      </c>
      <c r="EG9" s="162" t="inlineStr">
        <is>
          <t>Caligrafia</t>
        </is>
      </c>
    </row>
    <row r="10" ht="17.25" customHeight="1">
      <c r="A10" s="41" t="n"/>
      <c r="B10" s="162" t="inlineStr">
        <is>
          <t>Intuição</t>
        </is>
      </c>
      <c r="C10" s="162" t="inlineStr">
        <is>
          <t>Entalhador</t>
        </is>
      </c>
      <c r="D10" s="162" t="inlineStr">
        <is>
          <t>Tempo</t>
        </is>
      </c>
      <c r="E10" s="162" t="inlineStr">
        <is>
          <t>Cura</t>
        </is>
      </c>
      <c r="F10" s="162" t="inlineStr">
        <is>
          <t>Maior</t>
        </is>
      </c>
      <c r="G10" s="162" t="inlineStr">
        <is>
          <t>Recuo</t>
        </is>
      </c>
      <c r="H10" s="162" t="inlineStr">
        <is>
          <t>Calado</t>
        </is>
      </c>
      <c r="I10" s="162" t="inlineStr">
        <is>
          <t>Latente · Sem Técnica</t>
        </is>
      </c>
      <c r="J10" s="41" t="n"/>
      <c r="K10" s="41" t="n"/>
      <c r="L10" s="162" t="inlineStr">
        <is>
          <t>Batedor · Arma de Fogo</t>
        </is>
      </c>
      <c r="M10" s="41" t="n"/>
      <c r="N10" s="41" t="inlineStr">
        <is>
          <t>Incursor</t>
        </is>
      </c>
      <c r="O10" s="41" t="inlineStr">
        <is>
          <t>Destreza · Força</t>
        </is>
      </c>
      <c r="P10" s="41" t="n">
        <v>6</v>
      </c>
      <c r="Q10" s="41" t="n">
        <v>4</v>
      </c>
      <c r="R10" s="41" t="n">
        <v>6</v>
      </c>
      <c r="S10" s="41" t="inlineStr">
        <is>
          <t>Acrobacia</t>
        </is>
      </c>
      <c r="T10" s="41" t="inlineStr">
        <is>
          <t>Intuição</t>
        </is>
      </c>
      <c r="U10" s="41" t="n"/>
      <c r="V10" s="41" t="n"/>
      <c r="W10" s="164" t="n">
        <v>26</v>
      </c>
      <c r="X10" s="41" t="n"/>
      <c r="Y10" s="164" t="n">
        <v>21</v>
      </c>
      <c r="Z10" s="41" t="n"/>
      <c r="AA10" s="41" t="n"/>
      <c r="AB10" s="162" t="inlineStr">
        <is>
          <t>Investigação</t>
        </is>
      </c>
      <c r="AC10" s="162" t="inlineStr">
        <is>
          <t>Inteligência</t>
        </is>
      </c>
      <c r="AD10" s="41" t="n"/>
      <c r="AE10" s="162" t="inlineStr">
        <is>
          <t>Revestimento 3</t>
        </is>
      </c>
      <c r="AF10" s="164" t="n">
        <v>6</v>
      </c>
      <c r="AG10" s="164" t="n">
        <v>0</v>
      </c>
      <c r="AH10" s="164" t="inlineStr">
        <is>
          <t>sim</t>
        </is>
      </c>
      <c r="AI10" s="41" t="n"/>
      <c r="AJ10" s="162" t="inlineStr">
        <is>
          <t>marcos de Corpo</t>
        </is>
      </c>
      <c r="AK10" s="164">
        <f>IFERROR(VALUE(FICHA!$AQ$56&amp;""),0)</f>
        <v/>
      </c>
      <c r="AL10" s="41" t="n"/>
      <c r="AM10" s="162">
        <f>$A$8</f>
        <v/>
      </c>
      <c r="AN10" s="162">
        <f>$L$9</f>
        <v/>
      </c>
      <c r="AO10" s="162" t="inlineStr">
        <is>
          <t>Vanguarda</t>
        </is>
      </c>
      <c r="AP10" s="41" t="n"/>
      <c r="AQ10" s="164" t="n">
        <v>7</v>
      </c>
      <c r="AR10" s="164">
        <f>DADOS_CONFIG!$Z$8</f>
        <v/>
      </c>
      <c r="AS10" s="41" t="n"/>
      <c r="AT10" s="41" t="n"/>
      <c r="AU10" s="41" t="n"/>
      <c r="AV10" s="41" t="n"/>
      <c r="AW10" s="41" t="n"/>
      <c r="AX10" s="41" t="n"/>
      <c r="AY10" s="41" t="n"/>
      <c r="AZ10" s="41" t="n"/>
      <c r="BA10" s="162" t="inlineStr">
        <is>
          <t>xp</t>
        </is>
      </c>
      <c r="BB10" s="162">
        <f>ADDRESS(ROW(FICHA!AN11),COLUMN(FICHA!AN11),4)</f>
        <v/>
      </c>
      <c r="BD10" s="162" t="inlineStr">
        <is>
          <t>Canivete</t>
        </is>
      </c>
      <c r="BE10" s="162" t="inlineStr">
        <is>
          <t>Lâmina Curta</t>
        </is>
      </c>
      <c r="BF10" s="164" t="n">
        <v>1</v>
      </c>
      <c r="BG10" s="162" t="inlineStr">
        <is>
          <t>1d4</t>
        </is>
      </c>
      <c r="BH10" s="162" t="inlineStr">
        <is>
          <t>Fineza · Oculta · Rompe · Leve</t>
        </is>
      </c>
      <c r="BI10" s="162" t="inlineStr">
        <is>
          <t>—</t>
        </is>
      </c>
      <c r="BJ10" s="164" t="n">
        <v>0.1</v>
      </c>
      <c r="BM10" s="164">
        <f>'FICHA PESSOAL'!$AE$72</f>
        <v/>
      </c>
      <c r="BN10" s="164">
        <f>ADDRESS(ROW('FICHA PESSOAL'!AE72),COLUMN('FICHA PESSOAL'!AE72),4)</f>
        <v/>
      </c>
      <c r="BP10" s="162" t="inlineStr">
        <is>
          <t>Massa</t>
        </is>
      </c>
      <c r="BQ10" s="162" t="inlineStr">
        <is>
          <t>Simples</t>
        </is>
      </c>
      <c r="BR10" s="162" t="inlineStr">
        <is>
          <t>não</t>
        </is>
      </c>
      <c r="BS10" s="164">
        <f>'FICHA PESSOAL'!$AM$71</f>
        <v/>
      </c>
      <c r="BT10" s="164">
        <f>ADDRESS(ROW('FICHA PESSOAL'!AM71),COLUMN('FICHA PESSOAL'!AM71),4)</f>
        <v/>
      </c>
      <c r="BX10" s="162" t="inlineStr">
        <is>
          <t>Revestimento 3</t>
        </is>
      </c>
      <c r="BY10" s="164" t="n">
        <v>6</v>
      </c>
      <c r="BZ10" s="164" t="n">
        <v>0</v>
      </c>
      <c r="CA10" s="164" t="n">
        <v>6</v>
      </c>
      <c r="CB10" s="164" t="n">
        <v>4</v>
      </c>
      <c r="CC10" s="164" t="n">
        <v>3</v>
      </c>
      <c r="CD10" s="162" t="inlineStr">
        <is>
          <t>Grau 2</t>
        </is>
      </c>
      <c r="CJ10" s="162" t="inlineStr">
        <is>
          <t>Terreno instável</t>
        </is>
      </c>
      <c r="CL10" s="162" t="inlineStr">
        <is>
          <t>Solo complexa</t>
        </is>
      </c>
      <c r="CM10" s="164" t="n">
        <v>150</v>
      </c>
      <c r="CR10" s="162" t="inlineStr">
        <is>
          <t>Falha · metade</t>
        </is>
      </c>
      <c r="CS10" s="164" t="n">
        <v>0.5</v>
      </c>
      <c r="CU10" s="162" t="inlineStr">
        <is>
          <t>Especial</t>
        </is>
      </c>
      <c r="CY10" s="162" t="inlineStr">
        <is>
          <t>propriedades da principal</t>
        </is>
      </c>
      <c r="CZ10" s="164">
        <f>IF(DADOS!$CZ$6=1,"",IFERROR(VLOOKUP('FICHA PESSOAL'!$D$64,'FICHA PESSOAL'!$D$92:$AH$99,20,FALSE)&amp;"",""))</f>
        <v/>
      </c>
      <c r="DB10" s="164">
        <f>IF(AND('FICHA PESSOAL'!$D$96&lt;&gt;"",'FICHA PESSOAL'!$M$96&lt;&gt;"Escudo"),'FICHA PESSOAL'!$D$96,"")</f>
        <v/>
      </c>
      <c r="DD10" s="164">
        <f>IF(AND(DADOS!$CZ$8&lt;&gt;2,'FICHA PESSOAL'!$D$95&lt;&gt;"",OR('FICHA PESSOAL'!$M$95="Escudo",N('FICHA PESSOAL'!$S$95)=1)),'FICHA PESSOAL'!$D$95,"")</f>
        <v/>
      </c>
      <c r="DF10" s="164">
        <f>IF(DADOS!$CZ$34&gt;=DADOS!$CC$9,DADOS!$BX$9,"")</f>
        <v/>
      </c>
      <c r="DH10" s="162" t="inlineStr">
        <is>
          <t>Longo Alcance</t>
        </is>
      </c>
      <c r="DI10" s="162" t="inlineStr">
        <is>
          <t>Permite o disparo ou arremesso indicado pela arma. Use suas faixas normal e longa.</t>
        </is>
      </c>
      <c r="DO10" s="162" t="inlineStr">
        <is>
          <t>xp total</t>
        </is>
      </c>
      <c r="DP10" s="164">
        <f>ADDRESS(ROW('FICHA PESSOAL'!AW11),COLUMN('FICHA PESSOAL'!AW11),4)</f>
        <v/>
      </c>
      <c r="DR10" s="162" t="inlineStr">
        <is>
          <t>Gojo</t>
        </is>
      </c>
      <c r="DS10" s="162" t="inlineStr">
        <is>
          <t>Descendente</t>
        </is>
      </c>
      <c r="DT10" s="162" t="inlineStr">
        <is>
          <t>marcante</t>
        </is>
      </c>
      <c r="DU10" s="162" t="inlineStr"/>
      <c r="DV10" s="162" t="inlineStr">
        <is>
          <t>Maestria vezes por dia</t>
        </is>
      </c>
      <c r="DW10" s="162" t="inlineStr">
        <is>
          <t>O estudo da sua técnica inclui execuções reservadas e respostas a capacidades que já conhece. Sua marcante reúne Execução Reservada e Antecipação Estudada. Ela não concede Seis Olhos ou Ilimitado.
Execução Reservada.
Escolha feitiços ou Manejos conhecidos em quantidade total igual à Maestria e registre a lista. Maestria vezes por dia, ao usar uma dessas capacidades, antes dos dados, escolha um benefício:
- Vantagem em uma rolagem de acerto da aplicação.
- Desvantagem no primeiro TR de um único alvo contra a aplicação.
Indique a rolagem ou o alvo antes dos dados. Cada aplicação recebe no máximo um uso, escolhendo apenas um benefício. Não custa ação ou PE adicionais; a capacidade conserva seus custos e requisitos. O uso é gasto ao declarar, mesmo sem resultado favorável.
Os usos formam um estoque compartilhado entre as capacidades. A lista é fixa: se conhecer menos opções que sua Maestria, preencha as vagas restantes quando aprender uma elegível; quando Maestria aumentar, acrescente uma opção conhecida. Se a progressão permitir substituir uma capacidade registrada, a vaga pode acompanhar sua substituta, sem conceder troca extra.
Uma área não impõe desvantagem a todos os alvos. TRs posteriores e os outros ataques da aplicação conservam suas rolagens. Automáticos sem acerto ou TR não oferecem rolagem elegível, e ataques comuns não se tornam elegíveis pela sua Origem. Bloquear continua disponível normalmente, sem desvantagem concedida por esta capacidade.
Antecipação Estudada.
Maestria vezes por dia, depois de falhar em um TR contra feitiço ou Manejo e antes das consequências, pode gastar sua Reação para repetir esse teste, se a capacidade cumprir pelo menos uma condição:
- Pertencer a uma técnica que você tenha estudado; para Manejos, vale o estudo da própria capacidade.
- Você já ter presenciado uma aplicação anterior dela nesta cena.
- Ela já ter sido usada contra você anteriormente.
Aceite o segundo resultado, mantendo modificadores, vantagem e desvantagem, sem misturar dados. Não custa PE e só pode ser usada uma vez por teste. Não cria um TR inexistente, deslocamento ou resistência.
O estudo precisa ser conhecimento estabelecido; ver um feitiço não ensina automaticamente toda a técnica. Execução Reservada e Antecipação Estudada têm reservas diárias independentes, ambas de Maestria usos.</t>
        </is>
      </c>
      <c r="DY10" s="162" t="inlineStr">
        <is>
          <t>Corpo Amaldiçoado</t>
        </is>
      </c>
      <c r="DZ10" s="162" t="inlineStr">
        <is>
          <t>Atletismo, Percepção, Ocultismo ou Intimidação</t>
        </is>
      </c>
      <c r="EA10" s="162" t="inlineStr">
        <is>
          <t>Técnica Marcial, com energia amaldiçoada, PE, Refino e Aptidões</t>
        </is>
      </c>
      <c r="EG10" s="162" t="inlineStr">
        <is>
          <t>Burocracia</t>
        </is>
      </c>
    </row>
    <row r="11" ht="17.25" customHeight="1">
      <c r="A11" s="41" t="n"/>
      <c r="B11" s="162" t="inlineStr">
        <is>
          <t>Ocultismo</t>
        </is>
      </c>
      <c r="C11" s="162" t="inlineStr">
        <is>
          <t>Alfaiate</t>
        </is>
      </c>
      <c r="D11" s="162" t="inlineStr">
        <is>
          <t>Marca</t>
        </is>
      </c>
      <c r="E11" s="162" t="inlineStr">
        <is>
          <t>Apoio</t>
        </is>
      </c>
      <c r="F11" s="162" t="inlineStr">
        <is>
          <t>Muito Maior</t>
        </is>
      </c>
      <c r="G11" s="162" t="inlineStr">
        <is>
          <t>Fraqueza</t>
        </is>
      </c>
      <c r="H11" s="162" t="inlineStr">
        <is>
          <t>Enfeitiçado</t>
        </is>
      </c>
      <c r="I11" s="41" t="inlineStr">
        <is>
          <t>Receptáculo · Sem Técnica</t>
        </is>
      </c>
      <c r="J11" s="41" t="n"/>
      <c r="K11" s="41" t="n"/>
      <c r="L11" s="162" t="inlineStr">
        <is>
          <t>Executor</t>
        </is>
      </c>
      <c r="M11" s="41" t="n"/>
      <c r="N11" s="41" t="n"/>
      <c r="O11" s="41" t="n"/>
      <c r="P11" s="41" t="n"/>
      <c r="Q11" s="41" t="n"/>
      <c r="R11" s="41" t="n"/>
      <c r="S11" s="41" t="n"/>
      <c r="T11" s="41" t="n"/>
      <c r="U11" s="41" t="n"/>
      <c r="V11" s="41" t="n"/>
      <c r="W11" s="164" t="n">
        <v>30</v>
      </c>
      <c r="X11" s="41" t="n"/>
      <c r="Y11" s="164" t="n">
        <v>26</v>
      </c>
      <c r="Z11" s="41" t="n"/>
      <c r="AA11" s="41" t="n"/>
      <c r="AB11" s="162" t="inlineStr">
        <is>
          <t>Intuição</t>
        </is>
      </c>
      <c r="AC11" s="162" t="inlineStr">
        <is>
          <t>Inteligência</t>
        </is>
      </c>
      <c r="AD11" s="41" t="n"/>
      <c r="AE11" s="162" t="inlineStr">
        <is>
          <t>Broquel</t>
        </is>
      </c>
      <c r="AF11" s="164" t="n">
        <v>1</v>
      </c>
      <c r="AG11" s="164" t="n">
        <v>5</v>
      </c>
      <c r="AH11" s="164" t="inlineStr">
        <is>
          <t>não</t>
        </is>
      </c>
      <c r="AI11" s="41" t="n"/>
      <c r="AJ11" s="162" t="inlineStr">
        <is>
          <t>pontos de Corpo usados</t>
        </is>
      </c>
      <c r="AK11" s="164">
        <f>IFERROR(VALUE(FICHA!$AK$15&amp;""),0)+IFERROR(VALUE(FICHA!$AM$15&amp;""),0)+IFERROR(VALUE(FICHA!$AO$15&amp;""),0)+IFERROR(VALUE(FICHA!$AQ$15&amp;""),0)+IFERROR(VALUE(FICHA!$AS$15&amp;""),0)</f>
        <v/>
      </c>
      <c r="AL11" s="41" t="n"/>
      <c r="AM11" s="162">
        <f>$A$9</f>
        <v/>
      </c>
      <c r="AN11" s="162">
        <f>$L$10</f>
        <v/>
      </c>
      <c r="AO11" s="162" t="inlineStr">
        <is>
          <t>Vanguarda</t>
        </is>
      </c>
      <c r="AP11" s="41" t="n"/>
      <c r="AQ11" s="164" t="n">
        <v>8</v>
      </c>
      <c r="AR11" s="164">
        <f>DADOS_CONFIG!$Z$9</f>
        <v/>
      </c>
      <c r="AS11" s="41" t="n"/>
      <c r="AT11" s="41" t="n"/>
      <c r="AU11" s="41" t="n"/>
      <c r="AV11" s="41" t="n"/>
      <c r="AW11" s="41" t="n"/>
      <c r="AX11" s="41" t="n"/>
      <c r="AY11" s="41" t="n"/>
      <c r="AZ11" s="41" t="n"/>
      <c r="BA11" s="162" t="inlineStr">
        <is>
          <t>atr_Força</t>
        </is>
      </c>
      <c r="BB11" s="162">
        <f>ADDRESS(ROW(FICHA!D19),COLUMN(FICHA!D19),4)</f>
        <v/>
      </c>
      <c r="BD11" s="162" t="inlineStr">
        <is>
          <t>Cassetete</t>
        </is>
      </c>
      <c r="BE11" s="162" t="inlineStr">
        <is>
          <t>Porrete</t>
        </is>
      </c>
      <c r="BF11" s="164" t="n">
        <v>1</v>
      </c>
      <c r="BG11" s="162" t="inlineStr">
        <is>
          <t>1d6</t>
        </is>
      </c>
      <c r="BH11" s="162" t="inlineStr">
        <is>
          <t>Oculta · Vestida · Leve</t>
        </is>
      </c>
      <c r="BI11" s="162" t="inlineStr">
        <is>
          <t>—</t>
        </is>
      </c>
      <c r="BJ11" s="164" t="n">
        <v>0.3</v>
      </c>
      <c r="BM11" s="164">
        <f>'FICHA PESSOAL'!$V$74</f>
        <v/>
      </c>
      <c r="BN11" s="164">
        <f>ADDRESS(ROW('FICHA PESSOAL'!V74),COLUMN('FICHA PESSOAL'!V74),4)</f>
        <v/>
      </c>
      <c r="BP11" s="162" t="inlineStr">
        <is>
          <t>Balestra</t>
        </is>
      </c>
      <c r="BQ11" s="162" t="inlineStr">
        <is>
          <t>Simples</t>
        </is>
      </c>
      <c r="BR11" s="162" t="inlineStr">
        <is>
          <t>sim</t>
        </is>
      </c>
      <c r="BS11" s="164">
        <f>'FICHA PESSOAL'!$V$81</f>
        <v/>
      </c>
      <c r="BT11" s="164">
        <f>ADDRESS(ROW('FICHA PESSOAL'!V81),COLUMN('FICHA PESSOAL'!V81),4)</f>
        <v/>
      </c>
      <c r="CJ11" s="162" t="inlineStr">
        <is>
          <t>Superfície ruim</t>
        </is>
      </c>
      <c r="CR11" s="162" t="inlineStr">
        <is>
          <t>3ª · 50% · falha</t>
        </is>
      </c>
      <c r="CS11" s="164" t="n">
        <v>0.25</v>
      </c>
      <c r="CY11" s="162" t="inlineStr">
        <is>
          <t>força da principal</t>
        </is>
      </c>
      <c r="CZ11" s="164">
        <f>IF(DADOS!$CZ$6=1,0,IFERROR(VALUE(VLOOKUP('FICHA PESSOAL'!$D$64,'FICHA PESSOAL'!$D$92:$AH$99,28,FALSE)&amp;""),0))</f>
        <v/>
      </c>
      <c r="DB11" s="164">
        <f>IF(AND('FICHA PESSOAL'!$D$97&lt;&gt;"",'FICHA PESSOAL'!$M$97&lt;&gt;"Escudo"),'FICHA PESSOAL'!$D$97,"")</f>
        <v/>
      </c>
      <c r="DD11" s="164">
        <f>IF(AND(DADOS!$CZ$8&lt;&gt;2,'FICHA PESSOAL'!$D$96&lt;&gt;"",OR('FICHA PESSOAL'!$M$96="Escudo",N('FICHA PESSOAL'!$S$96)=1)),'FICHA PESSOAL'!$D$96,"")</f>
        <v/>
      </c>
      <c r="DF11" s="164">
        <f>IF(DADOS!$CZ$34&gt;=DADOS!$CC$10,DADOS!$BX$10,"")</f>
        <v/>
      </c>
      <c r="DH11" s="162" t="inlineStr">
        <is>
          <t>Duas mãos</t>
        </is>
      </c>
      <c r="DI11" s="162" t="inlineStr">
        <is>
          <t>Exige ambas as mãos para atacar.</t>
        </is>
      </c>
      <c r="DO11" s="162" t="inlineStr">
        <is>
          <t>treino</t>
        </is>
      </c>
      <c r="DP11" s="164">
        <f>ADDRESS(ROW('FICHA PESSOAL'!D71),COLUMN('FICHA PESSOAL'!D71),4)&amp;":"&amp;ADDRESS(ROW('FICHA PESSOAL'!AT83),COLUMN('FICHA PESSOAL'!AT83),4)</f>
        <v/>
      </c>
      <c r="DR11" s="162" t="inlineStr">
        <is>
          <t>Inumaki</t>
        </is>
      </c>
      <c r="DS11" s="162" t="inlineStr">
        <is>
          <t>Descendente</t>
        </is>
      </c>
      <c r="DT11" s="162" t="inlineStr">
        <is>
          <t>marcante</t>
        </is>
      </c>
      <c r="DU11" s="162" t="inlineStr"/>
      <c r="DV11" s="162" t="inlineStr">
        <is>
          <t>Uma vez por cena · Duas vezes por cena</t>
        </is>
      </c>
      <c r="DW11" s="162" t="inlineStr">
        <is>
          <t>Sua família cultiva uma comunicação atenta, feita de poucas palavras e sinais discretos. A imagem da serpente aparece nesse repertório e nos símbolos usados pela casa. Sua marcante reúne Entendimento Tácito e Linguagem da Serpente, com Leitura a Dois.
Essa formação funciona com ou sem Fala Amaldiçoada. Não concede a técnica, obriga você a portar suas marcas ou impede o uso de linguagem comum.
Entendimento Tácito.
Durante um descanso longo, escolha um companheiro. Uma vez por cena, quando ambos fizerem o mesmo tipo de TR Físico ou de Espírito contra a mesma aplicação, podem usar o melhor resultado natural entre os dois, mantendo seus próprios bônus. Precisam estar a até 9 m e perceber um sinal um do outro.
Façam as rolagens normalmente, inclusive vantagem ou desvantagem. Depois de conhecer os resultados, antes das consequências, decida pelo uso. Comparem os d20 efetivamente escolhidos, sem recuperar dados descartados. O benefício não garante sucesso.
Exemplo: vocês obtêm 6 e 15 nos dados. Ambos podem usar 15; com bônus de +2 e +7, os totais ficam 17 e 22.
Linguagem da Serpente.
Durante um descanso longo, ensine aos companheiros que participarem um repertório de palavras comuns e gestos. Quem aprendeu consegue trocar mensagens com os demais participantes sem testes para transmitir ou compreender o sentido pretendido, inclusive mensagens não combinadas individualmente antes.
Quem desconhece o código não compreende o sentido só por ouvir palavras ou ver gestos. A comunicação ainda pode ser percebida, e o código pode ser descoberto. Palavras precisam ser ouvidas; gestos, percebidos. As mensagens levam o tempo normal de comunicação e não substituem exigências verbais de capacidades ou concedem ações.
Aprender o código não torna todos os participantes companheiros de Entendimento Tácito. Escolher outro companheiro também não apaga o código aprendido pelos anteriores.
Leitura a Dois.
Duas vezes por cena, no total, antes de você ou o companheiro escolhido fazer um teste de Investigação, Intuição, Percepção, Persuasão, Enganação ou Intimidação, o executor pode usar o bônus da mesma perícia do outro no lugar do próprio.
Quem oferece o bônus precisa ser treinado na perícia, acompanhar a situação e transmitir suas observações. Vocês devem estar conscientes, a até 9 m, acompanhando a situação e percebendo a comunicação necessária.
O executor conserva seu d20 e as circunstâncias da tarefa. Os bônus não se somam, e o empréstimo não concede treino, especialização, requisitos ou outras capacidades do companheiro. Os dois usos são compartilhados pela dupla, em qualquer direção, e são independentes do uso de Entendimento Tácito.
Exemplo: você acompanha uma negociação e sinaliza quais argumentos usar. Se for treinado em Persuasão, seu companheiro pode trocar o bônus de +2 pelo seu +7. Com 9 no d20 dele, o total é 16, sem somar os dois bônus.
Nenhum componente concede outra ação ou tentativa, cobra PE adicionais ou oferece telepatia e sentidos compartilhados. Mantenha o tempo e os requisitos da tarefa; a orientação não revela pistas que nenhum dos dois percebeu.</t>
        </is>
      </c>
      <c r="DY11" s="162" t="inlineStr">
        <is>
          <t>Restrição Celestial · Sem Energia</t>
        </is>
      </c>
      <c r="DZ11" s="162" t="inlineStr">
        <is>
          <t>Atletismo, Acrobacia, Furtividade ou Pontaria</t>
        </is>
      </c>
      <c r="EA11" s="162" t="inlineStr">
        <is>
          <t>Técnica Marcial, sem energia</t>
        </is>
      </c>
      <c r="EG11" s="162" t="inlineStr">
        <is>
          <t>Entalhador</t>
        </is>
      </c>
    </row>
    <row r="12" ht="17.25" customHeight="1">
      <c r="A12" s="41" t="n"/>
      <c r="B12" s="162" t="inlineStr">
        <is>
          <t>Religião</t>
        </is>
      </c>
      <c r="C12" s="162" t="inlineStr">
        <is>
          <t>Culinária</t>
        </is>
      </c>
      <c r="D12" s="162" t="inlineStr">
        <is>
          <t>Amparo</t>
        </is>
      </c>
      <c r="E12" s="162" t="inlineStr">
        <is>
          <t>Onda</t>
        </is>
      </c>
      <c r="F12" s="162" t="inlineStr">
        <is>
          <t>Escolher</t>
        </is>
      </c>
      <c r="G12" s="162" t="inlineStr">
        <is>
          <t>Peso Morto</t>
        </is>
      </c>
      <c r="H12" s="162" t="inlineStr">
        <is>
          <t>Impedido</t>
        </is>
      </c>
      <c r="I12" s="41" t="inlineStr">
        <is>
          <t>Descendente · Sem Técnica</t>
        </is>
      </c>
      <c r="J12" s="41" t="n"/>
      <c r="K12" s="41" t="n"/>
      <c r="L12" s="162" t="inlineStr">
        <is>
          <t>Arquiteto</t>
        </is>
      </c>
      <c r="M12" s="41" t="n"/>
      <c r="N12" s="41" t="n"/>
      <c r="O12" s="41" t="n"/>
      <c r="P12" s="41" t="n"/>
      <c r="Q12" s="41" t="n"/>
      <c r="R12" s="41" t="n"/>
      <c r="S12" s="41" t="n"/>
      <c r="T12" s="41" t="n"/>
      <c r="U12" s="41" t="n"/>
      <c r="V12" s="41" t="n"/>
      <c r="W12" s="41" t="n"/>
      <c r="X12" s="41" t="n"/>
      <c r="Y12" s="41" t="n"/>
      <c r="Z12" s="41" t="n"/>
      <c r="AA12" s="41" t="n"/>
      <c r="AB12" s="162" t="inlineStr">
        <is>
          <t>Ocultismo</t>
        </is>
      </c>
      <c r="AC12" s="162" t="inlineStr">
        <is>
          <t>Inteligência</t>
        </is>
      </c>
      <c r="AD12" s="41" t="n"/>
      <c r="AE12" s="162" t="inlineStr">
        <is>
          <t>Médio</t>
        </is>
      </c>
      <c r="AF12" s="164" t="n">
        <v>2</v>
      </c>
      <c r="AG12" s="164" t="n">
        <v>3</v>
      </c>
      <c r="AH12" s="164" t="inlineStr">
        <is>
          <t>não</t>
        </is>
      </c>
      <c r="AI12" s="41" t="n"/>
      <c r="AJ12" s="162" t="inlineStr">
        <is>
          <t>marcos escolhidos</t>
        </is>
      </c>
      <c r="AK12" s="164">
        <f>IFERROR(VALUE(FICHA!$AO$56&amp;""),0)+IFERROR(VALUE(FICHA!$AQ$56&amp;""),0)+IFERROR(VALUE(FICHA!$AS$56&amp;""),0)</f>
        <v/>
      </c>
      <c r="AL12" s="41" t="n"/>
      <c r="AM12" s="41" t="n"/>
      <c r="AN12" s="162">
        <f>$L$11</f>
        <v/>
      </c>
      <c r="AO12" s="162" t="inlineStr">
        <is>
          <t>Vanguarda</t>
        </is>
      </c>
      <c r="AP12" s="41" t="n"/>
      <c r="AQ12" s="164" t="n">
        <v>9</v>
      </c>
      <c r="AR12" s="164">
        <f>DADOS_CONFIG!$Z$10</f>
        <v/>
      </c>
      <c r="AS12" s="41" t="n"/>
      <c r="AT12" s="41" t="n"/>
      <c r="AU12" s="41" t="n"/>
      <c r="AV12" s="41" t="n"/>
      <c r="AW12" s="41" t="n"/>
      <c r="AX12" s="41" t="n"/>
      <c r="AY12" s="41" t="n"/>
      <c r="AZ12" s="41" t="n"/>
      <c r="BA12" s="162" t="inlineStr">
        <is>
          <t>atr_Destreza</t>
        </is>
      </c>
      <c r="BB12" s="162">
        <f>ADDRESS(ROW(FICHA!L19),COLUMN(FICHA!L19),4)</f>
        <v/>
      </c>
      <c r="BD12" s="162" t="inlineStr">
        <is>
          <t>Chakram</t>
        </is>
      </c>
      <c r="BE12" s="162" t="inlineStr">
        <is>
          <t>Arremesso</t>
        </is>
      </c>
      <c r="BF12" s="164" t="n">
        <v>1</v>
      </c>
      <c r="BG12" s="162" t="inlineStr">
        <is>
          <t>1d4</t>
        </is>
      </c>
      <c r="BH12" s="162" t="inlineStr">
        <is>
          <t>Longo Alcance · Fineza · Oculta · Leve</t>
        </is>
      </c>
      <c r="BI12" s="162" t="inlineStr">
        <is>
          <t>—</t>
        </is>
      </c>
      <c r="BJ12" s="164" t="n">
        <v>0.2</v>
      </c>
      <c r="BK12" s="162" t="inlineStr">
        <is>
          <t>6 m, longa 18 m</t>
        </is>
      </c>
      <c r="BM12" s="164">
        <f>'FICHA PESSOAL'!$M$80</f>
        <v/>
      </c>
      <c r="BN12" s="164">
        <f>ADDRESS(ROW('FICHA PESSOAL'!M80),COLUMN('FICHA PESSOAL'!M80),4)</f>
        <v/>
      </c>
      <c r="BP12" s="162" t="inlineStr">
        <is>
          <t>Lâmina Longa</t>
        </is>
      </c>
      <c r="BQ12" s="162" t="inlineStr">
        <is>
          <t>Marcial</t>
        </is>
      </c>
      <c r="BR12" s="162" t="inlineStr">
        <is>
          <t>não</t>
        </is>
      </c>
      <c r="BS12" s="164">
        <f>'FICHA PESSOAL'!$D$71</f>
        <v/>
      </c>
      <c r="BT12" s="164">
        <f>ADDRESS(ROW('FICHA PESSOAL'!D71),COLUMN('FICHA PESSOAL'!D71),4)</f>
        <v/>
      </c>
      <c r="CJ12" s="162" t="inlineStr">
        <is>
          <t>Calor e fogo</t>
        </is>
      </c>
      <c r="CR12" s="162" t="inlineStr">
        <is>
          <t>4ª · 25% · falha</t>
        </is>
      </c>
      <c r="CS12" s="164" t="n">
        <v>0.125</v>
      </c>
      <c r="CY12" s="162" t="inlineStr">
        <is>
          <t>nas duas mãos</t>
        </is>
      </c>
      <c r="CZ12" s="164">
        <f>IF(AND(ISNUMBER(SEARCH("Versátil",DADOS!$CZ$10)),'FICHA PESSOAL'!$S$64="Nas duas mãos"),1,0)</f>
        <v/>
      </c>
      <c r="DB12" s="164">
        <f>IF(AND('FICHA PESSOAL'!$D$98&lt;&gt;"",'FICHA PESSOAL'!$M$98&lt;&gt;"Escudo"),'FICHA PESSOAL'!$D$98,"")</f>
        <v/>
      </c>
      <c r="DD12" s="164">
        <f>IF(AND(DADOS!$CZ$8&lt;&gt;2,'FICHA PESSOAL'!$D$97&lt;&gt;"",OR('FICHA PESSOAL'!$M$97="Escudo",N('FICHA PESSOAL'!$S$97)=1)),'FICHA PESSOAL'!$D$97,"")</f>
        <v/>
      </c>
      <c r="DH12" s="162" t="inlineStr">
        <is>
          <t>Vestida</t>
        </is>
      </c>
      <c r="DI12" s="162" t="inlineStr">
        <is>
          <t>A arma equipada não ocupa a mão. O ataque ainda exige as mãos indicadas pela arma, livres de outros objetos ou tarefas.</t>
        </is>
      </c>
      <c r="DO12" s="162" t="inlineStr">
        <is>
          <t>missões 1</t>
        </is>
      </c>
      <c r="DP12" s="164">
        <f>ADDRESS(ROW('FICHA PESSOAL'!AW15),COLUMN('FICHA PESSOAL'!AW15),4)&amp;":"&amp;ADDRESS(ROW('FICHA PESSOAL'!BA87),COLUMN('FICHA PESSOAL'!BA87),4)</f>
        <v/>
      </c>
      <c r="DR12" s="162" t="inlineStr">
        <is>
          <t>Duas Vidas</t>
        </is>
      </c>
      <c r="DS12" s="162" t="inlineStr">
        <is>
          <t>Encarnado</t>
        </is>
      </c>
      <c r="DT12" s="162" t="inlineStr">
        <is>
          <t>marcante</t>
        </is>
      </c>
      <c r="DU12" s="162" t="inlineStr"/>
      <c r="DV12" s="162" t="inlineStr">
        <is>
          <t>Maestria vezes por descanso longo</t>
        </is>
      </c>
      <c r="DW12" s="162" t="inlineStr">
        <is>
          <t>Sua experiência reaparece em gestos, conhecimentos e maneiras de resolver problemas. Receba um treinamento adicional em perícia ou Ofício, novo e permanente, por Conhecimento Reavivado.
Para a Reserva de Experiência, escolha duas perícias ou Ofícios treinados, distintos e fixos. O treino de Conhecimento Reavivado pode ser um deles. Maestria vezes por descanso longo, compartilhadas entre as duas escolhas, depois de rolar um teste de uma delas e antes das consequências, pode rolar 1d4 e somar ao total.
Não custa ação ou PE adicionais. Só pode acrescentar um d4 por teste; o uso é gasto mesmo se o total continuar falhando. Resolva primeiro vantagem ou desvantagem e use o d20 escolhido. O d4 não muda seu resultado natural nem reabre consequências já aplicadas.
A tarefa conserva ações, tempo, materiais e requisitos. A Reserva não vale para ataques, TRs, Iniciativa, Bloquear ou dados de dano e cura. Seu d4 é fixo; Maestria determina os usos, renovados ao concluir um descanso longo. Descanso curto, início de sessão ou dormir durante uma missão não renovam esse estoque.</t>
        </is>
      </c>
      <c r="DY12" s="162" t="inlineStr">
        <is>
          <t>Restrição Celestial · Restrição corporal</t>
        </is>
      </c>
      <c r="DZ12" s="162" t="inlineStr">
        <is>
          <t>Sentir Energia, Tecnologia, Ocultismo ou Percepção</t>
        </is>
      </c>
      <c r="EA12" s="162" t="inlineStr">
        <is>
          <t>Fundamento</t>
        </is>
      </c>
      <c r="EG12" s="162" t="inlineStr">
        <is>
          <t>Alfaiate</t>
        </is>
      </c>
    </row>
    <row r="13" ht="17.25" customHeight="1">
      <c r="A13" s="41" t="n"/>
      <c r="B13" s="162" t="inlineStr">
        <is>
          <t>História</t>
        </is>
      </c>
      <c r="C13" s="162" t="inlineStr">
        <is>
          <t>Instrumento</t>
        </is>
      </c>
      <c r="D13" s="41" t="n"/>
      <c r="E13" s="162" t="inlineStr">
        <is>
          <t>Efeito</t>
        </is>
      </c>
      <c r="F13" s="162" t="inlineStr">
        <is>
          <t>Mais Um</t>
        </is>
      </c>
      <c r="G13" s="162" t="inlineStr">
        <is>
          <t>Frágil</t>
        </is>
      </c>
      <c r="H13" s="162" t="inlineStr">
        <is>
          <t>Cego</t>
        </is>
      </c>
      <c r="I13" s="41" t="inlineStr">
        <is>
          <t>Encarnado · Sem Técnica</t>
        </is>
      </c>
      <c r="J13" s="41" t="n"/>
      <c r="K13" s="41" t="n"/>
      <c r="L13" s="162" t="inlineStr">
        <is>
          <t>Analista</t>
        </is>
      </c>
      <c r="M13" s="41" t="n"/>
      <c r="N13" s="41" t="n"/>
      <c r="O13" s="41" t="n"/>
      <c r="P13" s="41" t="n"/>
      <c r="Q13" s="41" t="n"/>
      <c r="R13" s="41" t="n"/>
      <c r="S13" s="41" t="n"/>
      <c r="T13" s="41" t="n"/>
      <c r="U13" s="41" t="n"/>
      <c r="V13" s="41" t="n"/>
      <c r="W13" s="41" t="n"/>
      <c r="X13" s="41" t="n"/>
      <c r="Y13" s="41" t="n"/>
      <c r="Z13" s="41" t="n"/>
      <c r="AA13" s="41" t="n"/>
      <c r="AB13" s="162" t="inlineStr">
        <is>
          <t>Religião</t>
        </is>
      </c>
      <c r="AC13" s="162" t="inlineStr">
        <is>
          <t>Inteligência</t>
        </is>
      </c>
      <c r="AD13" s="41" t="n"/>
      <c r="AE13" s="162" t="inlineStr">
        <is>
          <t>Torre</t>
        </is>
      </c>
      <c r="AF13" s="164" t="n">
        <v>3</v>
      </c>
      <c r="AG13" s="164" t="n">
        <v>1</v>
      </c>
      <c r="AH13" s="164" t="inlineStr">
        <is>
          <t>não</t>
        </is>
      </c>
      <c r="AI13" s="41" t="n"/>
      <c r="AJ13" s="162" t="inlineStr">
        <is>
          <t>perícias treinadas</t>
        </is>
      </c>
      <c r="AK13" s="164">
        <f>COUNTIF(FICHA!$D$80:$D$90,TRUE)+COUNTIF(FICHA!$T$79:$T$90,TRUE)+SUM('DADOS_PROGRESSAO'!BK2:BK24)</f>
        <v/>
      </c>
      <c r="AL13" s="41" t="n"/>
      <c r="AM13" s="41" t="n"/>
      <c r="AN13" s="162">
        <f>$L$12</f>
        <v/>
      </c>
      <c r="AO13" s="162" t="inlineStr">
        <is>
          <t>Guia</t>
        </is>
      </c>
      <c r="AP13" s="41" t="n"/>
      <c r="AQ13" s="164" t="n">
        <v>10</v>
      </c>
      <c r="AR13" s="164">
        <f>DADOS_CONFIG!$Z$11</f>
        <v/>
      </c>
      <c r="AS13" s="41" t="n"/>
      <c r="AT13" s="41" t="n"/>
      <c r="AU13" s="41" t="n"/>
      <c r="AV13" s="41" t="n"/>
      <c r="AW13" s="41" t="n"/>
      <c r="AX13" s="41" t="n"/>
      <c r="AY13" s="41" t="n"/>
      <c r="AZ13" s="41" t="n"/>
      <c r="BA13" s="162" t="inlineStr">
        <is>
          <t>atr_Constituição</t>
        </is>
      </c>
      <c r="BB13" s="162">
        <f>ADDRESS(ROW(FICHA!T19),COLUMN(FICHA!T19),4)</f>
        <v/>
      </c>
      <c r="BD13" s="162" t="inlineStr">
        <is>
          <t>Chicote</t>
        </is>
      </c>
      <c r="BE13" s="162" t="inlineStr">
        <is>
          <t>Flexível</t>
        </is>
      </c>
      <c r="BF13" s="164" t="n">
        <v>1</v>
      </c>
      <c r="BG13" s="162" t="inlineStr">
        <is>
          <t>1d4</t>
        </is>
      </c>
      <c r="BH13" s="162" t="inlineStr">
        <is>
          <t>Alcance · Emaranha · Oculta · Leve</t>
        </is>
      </c>
      <c r="BI13" s="162" t="inlineStr">
        <is>
          <t>—</t>
        </is>
      </c>
      <c r="BJ13" s="164" t="n">
        <v>0.5</v>
      </c>
      <c r="BM13" s="164">
        <f>'FICHA PESSOAL'!$AE$78</f>
        <v/>
      </c>
      <c r="BN13" s="164">
        <f>ADDRESS(ROW('FICHA PESSOAL'!AE78),COLUMN('FICHA PESSOAL'!AE78),4)</f>
        <v/>
      </c>
      <c r="BP13" s="162" t="inlineStr">
        <is>
          <t>Machado</t>
        </is>
      </c>
      <c r="BQ13" s="162" t="inlineStr">
        <is>
          <t>Marcial</t>
        </is>
      </c>
      <c r="BR13" s="162" t="inlineStr">
        <is>
          <t>não</t>
        </is>
      </c>
      <c r="BS13" s="164">
        <f>'FICHA PESSOAL'!$D$80</f>
        <v/>
      </c>
      <c r="BT13" s="164">
        <f>ADDRESS(ROW('FICHA PESSOAL'!D80),COLUMN('FICHA PESSOAL'!D80),4)</f>
        <v/>
      </c>
      <c r="CJ13" s="162" t="inlineStr">
        <is>
          <t>Outra Situação</t>
        </is>
      </c>
      <c r="CR13" s="162" t="inlineStr">
        <is>
          <t>5ª · 12,5% · falha</t>
        </is>
      </c>
      <c r="CS13" s="164" t="n">
        <v>0.0625</v>
      </c>
      <c r="CY13" s="162" t="inlineStr">
        <is>
          <t>dado em uso</t>
        </is>
      </c>
      <c r="CZ13" s="164">
        <f>IF(DADOS!$CZ$12=1,IF(DADOS!$CZ$9="d6","d8",IF(DADOS!$CZ$9="d8","d10",IF(DADOS!$CZ$9="d10","d12",DADOS!$CZ$9))),DADOS!$CZ$9)</f>
        <v/>
      </c>
      <c r="DB13" s="164">
        <f>IF(AND('FICHA PESSOAL'!$D$99&lt;&gt;"",'FICHA PESSOAL'!$M$99&lt;&gt;"Escudo"),'FICHA PESSOAL'!$D$99,"")</f>
        <v/>
      </c>
      <c r="DD13" s="164">
        <f>IF(AND(DADOS!$CZ$8&lt;&gt;2,'FICHA PESSOAL'!$D$98&lt;&gt;"",OR('FICHA PESSOAL'!$M$98="Escudo",N('FICHA PESSOAL'!$S$98)=1)),'FICHA PESSOAL'!$D$98,"")</f>
        <v/>
      </c>
      <c r="DH13" s="162" t="inlineStr">
        <is>
          <t>Emaranha</t>
        </is>
      </c>
      <c r="DI13" s="162" t="inlineStr">
        <is>
          <t>Permite Agarrar com o alcance corpo a corpo da arma, mantendo teste, custo e limites da manobra. A arma e as mãos necessárias ficam ocupadas na contenção; solte o alvo antes de atacar com ela.</t>
        </is>
      </c>
      <c r="DO13" s="162" t="inlineStr">
        <is>
          <t>missões 2</t>
        </is>
      </c>
      <c r="DP13" s="164">
        <f>ADDRESS(ROW('FICHA PESSOAL'!BC15),COLUMN('FICHA PESSOAL'!BC15),4)&amp;":"&amp;ADDRESS(ROW('FICHA PESSOAL'!BG87),COLUMN('FICHA PESSOAL'!BG87),4)</f>
        <v/>
      </c>
      <c r="DR13" s="162" t="inlineStr">
        <is>
          <t>Regeneração Orgânica</t>
        </is>
      </c>
      <c r="DS13" s="162" t="inlineStr">
        <is>
          <t>Híbrido</t>
        </is>
      </c>
      <c r="DT13" s="162" t="inlineStr">
        <is>
          <t>marcante</t>
        </is>
      </c>
      <c r="DU13" s="162" t="inlineStr"/>
      <c r="DV13" s="162" t="inlineStr">
        <is>
          <t>Constituição ÷ 2 + 1 vezes por cena</t>
        </is>
      </c>
      <c r="DW13" s="162" t="inlineStr">
        <is>
          <t>Quando seus ferimentos se tornam graves, você concentra energia para recompor o próprio corpo. Pode usar esta capacidade metade da Constituição, arredondada para baixo, +1 vezes por cena, no máximo uma vez em cada turno seu.
Enquanto tiver pelo menos 1 PV e até 30% da vida máxima atual, arredondados para baixo, use uma Ação Bônus e gaste de 1 PE até sua maior Classe disponível pelo nível. Escolha e pague antes de rolar: recupere 1d6 PV por PE gasto, até o máximo atual.
Confira a vida ao ativar, sem contar vida temporária. A cura pode ultrapassar os 30%. Cada ativação consome um uso, qualquer que seja o gasto ou o resultado dos dados.
A regeneração cura apenas você. Não recupera Integridade, não remove condições ou Sequelas nem recompõe partes perdidas. Não é Energia Reversa, feitiço ou Manejo, e funciona com Sem Técnica. Impedimentos e modificadores de cura aplicáveis continuam valendo.
Exemplo: com Constituição 3, você tem dois usos por cena. Se a vida máxima atual é 41, o limite para ativar é 12 PV. Com 12 PV e Classe 2 disponível, pode gastar 2 PE e rolar 2d6. Resultados 3 e 5 recuperam 8 PV, levando você a 20. Com 13 PV ou zero, não poderia iniciar essa regeneração.</t>
        </is>
      </c>
      <c r="EG13" s="162" t="inlineStr">
        <is>
          <t>Culinária</t>
        </is>
      </c>
    </row>
    <row r="14" ht="17.25" customHeight="1">
      <c r="A14" s="41" t="n"/>
      <c r="B14" s="162" t="inlineStr">
        <is>
          <t>Hierarquia</t>
        </is>
      </c>
      <c r="C14" s="162" t="inlineStr">
        <is>
          <t>Jogatina</t>
        </is>
      </c>
      <c r="D14" s="41" t="n"/>
      <c r="E14" s="41" t="n"/>
      <c r="F14" s="162" t="inlineStr">
        <is>
          <t>Rajada</t>
        </is>
      </c>
      <c r="G14" s="162" t="inlineStr">
        <is>
          <t>Sem Volta</t>
        </is>
      </c>
      <c r="H14" s="162" t="inlineStr">
        <is>
          <t>Amedrontado</t>
        </is>
      </c>
      <c r="I14" s="41" t="inlineStr">
        <is>
          <t>Híbrido · Sem Técnica</t>
        </is>
      </c>
      <c r="J14" s="41" t="n"/>
      <c r="K14" s="41" t="n"/>
      <c r="L14" s="162" t="inlineStr">
        <is>
          <t>Socorrista</t>
        </is>
      </c>
      <c r="M14" s="41" t="n"/>
      <c r="N14" s="41" t="n"/>
      <c r="O14" s="41" t="n"/>
      <c r="P14" s="41" t="n"/>
      <c r="Q14" s="41" t="n"/>
      <c r="R14" s="41" t="n"/>
      <c r="S14" s="41" t="n"/>
      <c r="T14" s="41" t="n"/>
      <c r="U14" s="41" t="n"/>
      <c r="V14" s="41" t="n"/>
      <c r="W14" s="41" t="n"/>
      <c r="X14" s="41" t="n"/>
      <c r="Y14" s="41" t="n"/>
      <c r="Z14" s="41" t="n"/>
      <c r="AA14" s="41" t="n"/>
      <c r="AB14" s="162" t="inlineStr">
        <is>
          <t>História</t>
        </is>
      </c>
      <c r="AC14" s="162" t="inlineStr">
        <is>
          <t>Inteligência</t>
        </is>
      </c>
      <c r="AD14" s="41" t="n"/>
      <c r="AE14" s="162" t="inlineStr">
        <is>
          <t>Traje 1 + Broquel</t>
        </is>
      </c>
      <c r="AF14" s="164" t="n">
        <v>2</v>
      </c>
      <c r="AG14" s="164" t="n">
        <v>5</v>
      </c>
      <c r="AH14" s="164" t="inlineStr">
        <is>
          <t>sim</t>
        </is>
      </c>
      <c r="AI14" s="41" t="n"/>
      <c r="AJ14" s="162" t="inlineStr">
        <is>
          <t>ofícios treinados</t>
        </is>
      </c>
      <c r="AK14" s="164">
        <f>COUNTIF(FICHA!$D$108:$D$113,TRUE)+COUNTIF(FICHA!$Q$108:$Q$112,TRUE)+SUM('DADOS_PROGRESSAO'!BK25:BK35)</f>
        <v/>
      </c>
      <c r="AL14" s="41" t="n"/>
      <c r="AM14" s="41" t="n"/>
      <c r="AN14" s="162">
        <f>$L$13</f>
        <v/>
      </c>
      <c r="AO14" s="162" t="inlineStr">
        <is>
          <t>Guia</t>
        </is>
      </c>
      <c r="AP14" s="41" t="n"/>
      <c r="AQ14" s="164" t="n">
        <v>11</v>
      </c>
      <c r="AR14" s="164">
        <f>DADOS_CONFIG!$Z$12</f>
        <v/>
      </c>
      <c r="AS14" s="41" t="n"/>
      <c r="AT14" s="41" t="n"/>
      <c r="AU14" s="41" t="n"/>
      <c r="AV14" s="41" t="n"/>
      <c r="AW14" s="41" t="n"/>
      <c r="AX14" s="41" t="n"/>
      <c r="AY14" s="41" t="n"/>
      <c r="AZ14" s="41" t="n"/>
      <c r="BA14" s="162" t="inlineStr">
        <is>
          <t>atr_Inteligência</t>
        </is>
      </c>
      <c r="BB14" s="162">
        <f>ADDRESS(ROW(FICHA!AB19),COLUMN(FICHA!AB19),4)</f>
        <v/>
      </c>
      <c r="BD14" s="162" t="inlineStr">
        <is>
          <t>Corrente</t>
        </is>
      </c>
      <c r="BE14" s="162" t="inlineStr">
        <is>
          <t>Flexível</t>
        </is>
      </c>
      <c r="BF14" s="164" t="n">
        <v>2</v>
      </c>
      <c r="BG14" s="162" t="inlineStr">
        <is>
          <t>1d8</t>
        </is>
      </c>
      <c r="BH14" s="162" t="inlineStr">
        <is>
          <t>Alcance · Emaranha · Rompe</t>
        </is>
      </c>
      <c r="BI14" s="162" t="inlineStr">
        <is>
          <t>—</t>
        </is>
      </c>
      <c r="BJ14" s="164" t="n">
        <v>2</v>
      </c>
      <c r="BM14" s="164">
        <f>'FICHA PESSOAL'!$AE$79</f>
        <v/>
      </c>
      <c r="BN14" s="164">
        <f>ADDRESS(ROW('FICHA PESSOAL'!AE79),COLUMN('FICHA PESSOAL'!AE79),4)</f>
        <v/>
      </c>
      <c r="BP14" s="162" t="inlineStr">
        <is>
          <t>Armas Longas</t>
        </is>
      </c>
      <c r="BQ14" s="162" t="inlineStr">
        <is>
          <t>Marcial</t>
        </is>
      </c>
      <c r="BR14" s="162" t="inlineStr">
        <is>
          <t>não</t>
        </is>
      </c>
      <c r="BS14" s="164">
        <f>'FICHA PESSOAL'!$AM$77</f>
        <v/>
      </c>
      <c r="BT14" s="164">
        <f>ADDRESS(ROW('FICHA PESSOAL'!AM77),COLUMN('FICHA PESSOAL'!AM77),4)</f>
        <v/>
      </c>
      <c r="CR14" s="162" t="inlineStr">
        <is>
          <t>6ª · 6,25% · falha</t>
        </is>
      </c>
      <c r="CS14" s="164" t="n">
        <v>0.03125</v>
      </c>
      <c r="CY14" s="162" t="inlineStr">
        <is>
          <t>alcance da principal</t>
        </is>
      </c>
      <c r="CZ14" s="164">
        <f>IFERROR(VLOOKUP('FICHA PESSOAL'!$D$64,'DADOS_CUSTOM'!$AA$2:$AK$106,8,FALSE)&amp;"","")</f>
        <v/>
      </c>
      <c r="DD14" s="164">
        <f>IF(AND(DADOS!$CZ$8&lt;&gt;2,'FICHA PESSOAL'!$D$99&lt;&gt;"",OR('FICHA PESSOAL'!$M$99="Escudo",N('FICHA PESSOAL'!$S$99)=1)),'FICHA PESSOAL'!$D$99,"")</f>
        <v/>
      </c>
      <c r="DH14" s="162" t="inlineStr">
        <is>
          <t>Rompe</t>
        </is>
      </c>
      <c r="DI14" s="162" t="inlineStr">
        <is>
          <t>Concede vantagem nos ataques contra objetos e estruturas que a arma possa danificar.</t>
        </is>
      </c>
      <c r="DO14" s="162" t="inlineStr">
        <is>
          <t>missões 3</t>
        </is>
      </c>
      <c r="DP14" s="164">
        <f>ADDRESS(ROW('FICHA PESSOAL'!BI15),COLUMN('FICHA PESSOAL'!BI15),4)&amp;":"&amp;ADDRESS(ROW('FICHA PESSOAL'!BM87),COLUMN('FICHA PESSOAL'!BM87),4)</f>
        <v/>
      </c>
      <c r="DR14" s="162" t="inlineStr">
        <is>
          <t>Existência Artificial</t>
        </is>
      </c>
      <c r="DS14" s="162" t="inlineStr">
        <is>
          <t>Corpo Amaldiçoado</t>
        </is>
      </c>
      <c r="DT14" s="162" t="inlineStr">
        <is>
          <t>marcante</t>
        </is>
      </c>
      <c r="DU14" s="162" t="inlineStr"/>
      <c r="DV14" s="162" t="inlineStr">
        <is>
          <t>Uma vez por dia</t>
        </is>
      </c>
      <c r="DW14" s="162" t="inlineStr">
        <is>
          <t>Energia amaldiçoada sustenta a consciência no seu corpo construído. Você não precisa comer, beber, respirar ou dormir, embora possa comer e beber por vontade própria. Não adquire estágios de Exaustão e é imune a Envenenado.
Isso não concede resistência ao dano Veneno ou imunidade a outras condições. Dispensar respiração evita a falta de ar; calor, pressão e substâncias que danifiquem a estrutura continuam funcionando. Uma capacidade ainda pode impor Inconsciente. Dano, Integridade, Sequelas, derrota e morte seguem suas regras.
Repouso.
Qualquer local conta como ambiente propício para seus descansos curtos e longos. Os demais requisitos permanecem: poder parar em segurança no curto e encerrar a missão com oportunidade de repousar no longo. O benefício vale só para você.
Pode permanecer consciente e em vigília passiva durante o repouso, usando seus sentidos normalmente. Isso não oferece detecção automática nem permite trabalhar, combater ou manter tarefas incompatíveis com o descanso. Interrupções seguem as regras gerais.
Para renovar usos por dia, um repouso equivalente ao sono exigido pela regra geral substitui dormir. A mesma pausa não renova habilidades várias vezes nem se torna descanso longo por essa permissão.
Recuperação da estrutura.
Energia Reversa e curas derivadas dela não recuperam sua vida. Efeitos destinados apenas a restaurar tecido vivo também não reparam sua estrutura. Técnicas e capacidades cuja regra alcance explicitamente corpos construídos funcionam dentro de seus limites.
Seu reparo segue Reparo do corpo. Qualquer pessoa treinada no ofício compatível pode fazê-lo, inclusive você, se estiver capaz e tiver ferramentas e materiais adequados. Não precisa ser seu criador ou possuir um vínculo especial. Reparar não restaura um núcleo destruído, não devolve a vida nem fabrica poderes.
Manutenção Precisa.
Uma vez por dia, quando um teste para reparar você durante um descanso curto falhar, quem faz o reparo pode repetir a rolagem e deve aceitar o novo resultado.
É a mesma tentativa. No sucesso, recupere apenas a quantidade prevista pelo reparo, uma única vez. O uso diário pertence a você; trocar de reparador não o renova. Também pode usar o benefício ao reparar a si mesmo, se for qualificado e capaz.</t>
        </is>
      </c>
      <c r="EG14" s="162" t="inlineStr">
        <is>
          <t>Instrumento</t>
        </is>
      </c>
    </row>
    <row r="15" ht="17.25" customHeight="1">
      <c r="A15" s="41" t="n"/>
      <c r="B15" s="162" t="inlineStr">
        <is>
          <t>Medicina</t>
        </is>
      </c>
      <c r="C15" s="41" t="n"/>
      <c r="D15" s="41" t="n"/>
      <c r="E15" s="41" t="n"/>
      <c r="F15" s="162" t="inlineStr">
        <is>
          <t>Fica</t>
        </is>
      </c>
      <c r="G15" s="162" t="inlineStr">
        <is>
          <t>Uma Vez</t>
        </is>
      </c>
      <c r="H15" s="162" t="inlineStr">
        <is>
          <t>Envenenado</t>
        </is>
      </c>
      <c r="I15" s="41" t="inlineStr">
        <is>
          <t>Corpo Amaldiçoado</t>
        </is>
      </c>
      <c r="J15" s="41" t="n"/>
      <c r="K15" s="41" t="n"/>
      <c r="L15" s="162" t="inlineStr">
        <is>
          <t>Condutor Armado</t>
        </is>
      </c>
      <c r="M15" s="41" t="n"/>
      <c r="N15" s="41" t="n"/>
      <c r="O15" s="41" t="n"/>
      <c r="P15" s="41" t="n"/>
      <c r="Q15" s="41" t="n"/>
      <c r="R15" s="41" t="n"/>
      <c r="S15" s="41" t="n"/>
      <c r="T15" s="41" t="n"/>
      <c r="U15" s="41" t="n"/>
      <c r="V15" s="41" t="n"/>
      <c r="W15" s="41" t="n"/>
      <c r="X15" s="41" t="n"/>
      <c r="Y15" s="41" t="n"/>
      <c r="Z15" s="41" t="n"/>
      <c r="AA15" s="41" t="n"/>
      <c r="AB15" s="162" t="inlineStr">
        <is>
          <t>Hierarquia</t>
        </is>
      </c>
      <c r="AC15" s="162" t="inlineStr">
        <is>
          <t>Inteligência</t>
        </is>
      </c>
      <c r="AD15" s="41" t="n"/>
      <c r="AE15" s="162" t="inlineStr">
        <is>
          <t>Traje 1 + Médio</t>
        </is>
      </c>
      <c r="AF15" s="164" t="n">
        <v>3</v>
      </c>
      <c r="AG15" s="164" t="n">
        <v>3</v>
      </c>
      <c r="AH15" s="164" t="inlineStr">
        <is>
          <t>sim</t>
        </is>
      </c>
      <c r="AI15" s="41" t="n"/>
      <c r="AJ15" s="162" t="inlineStr">
        <is>
          <t>especializações</t>
        </is>
      </c>
      <c r="AK15" s="164">
        <f>COUNTIF(FICHA!$E$80:$E$90,TRUE)+COUNTIF(FICHA!$E$108:$E$113,TRUE)+COUNTIF(FICHA!$R$108:$R$112,TRUE)+COUNTIF(FICHA!$U$79:$U$90,TRUE)+SUM('DADOS_PROGRESSAO'!BL2:BL35)</f>
        <v/>
      </c>
      <c r="AL15" s="41" t="n"/>
      <c r="AM15" s="41" t="n"/>
      <c r="AN15" s="162">
        <f>$L$14</f>
        <v/>
      </c>
      <c r="AO15" s="162" t="inlineStr">
        <is>
          <t>Guia</t>
        </is>
      </c>
      <c r="AP15" s="41" t="n"/>
      <c r="AQ15" s="164" t="n">
        <v>12</v>
      </c>
      <c r="AR15" s="164">
        <f>DADOS_CONFIG!$Z$13</f>
        <v/>
      </c>
      <c r="AS15" s="41" t="n"/>
      <c r="AT15" s="41" t="n"/>
      <c r="AU15" s="41" t="n"/>
      <c r="AV15" s="41" t="n"/>
      <c r="AW15" s="41" t="n"/>
      <c r="AX15" s="41" t="n"/>
      <c r="AY15" s="41" t="n"/>
      <c r="AZ15" s="41" t="n"/>
      <c r="BA15" s="162" t="inlineStr">
        <is>
          <t>atr_Essência</t>
        </is>
      </c>
      <c r="BB15" s="162">
        <f>ADDRESS(ROW(FICHA!AJ19),COLUMN(FICHA!AJ19),4)</f>
        <v/>
      </c>
      <c r="BD15" s="162" t="inlineStr">
        <is>
          <t>Daikyū</t>
        </is>
      </c>
      <c r="BE15" s="162" t="inlineStr">
        <is>
          <t>Yumi</t>
        </is>
      </c>
      <c r="BF15" s="164" t="n">
        <v>2</v>
      </c>
      <c r="BG15" s="162" t="inlineStr">
        <is>
          <t>1d10</t>
        </is>
      </c>
      <c r="BH15" s="162" t="inlineStr">
        <is>
          <t>Longo Alcance</t>
        </is>
      </c>
      <c r="BI15" s="162" t="inlineStr">
        <is>
          <t>—</t>
        </is>
      </c>
      <c r="BJ15" s="164" t="n">
        <v>2</v>
      </c>
      <c r="BK15" s="162" t="inlineStr">
        <is>
          <t>45 m, longa 180 m</t>
        </is>
      </c>
      <c r="BM15" s="164">
        <f>'FICHA PESSOAL'!$AM$82</f>
        <v/>
      </c>
      <c r="BN15" s="164">
        <f>ADDRESS(ROW('FICHA PESSOAL'!AM82),COLUMN('FICHA PESSOAL'!AM82),4)</f>
        <v/>
      </c>
      <c r="BP15" s="162" t="inlineStr">
        <is>
          <t>Flexível</t>
        </is>
      </c>
      <c r="BQ15" s="162" t="inlineStr">
        <is>
          <t>Marcial</t>
        </is>
      </c>
      <c r="BR15" s="162" t="inlineStr">
        <is>
          <t>não</t>
        </is>
      </c>
      <c r="BS15" s="164">
        <f>'FICHA PESSOAL'!$AE$77</f>
        <v/>
      </c>
      <c r="BT15" s="164">
        <f>ADDRESS(ROW('FICHA PESSOAL'!AE77),COLUMN('FICHA PESSOAL'!AE77),4)</f>
        <v/>
      </c>
      <c r="CR15" s="162" t="inlineStr">
        <is>
          <t>7ª · 3,125% · falha</t>
        </is>
      </c>
      <c r="CS15" s="164" t="n">
        <v>0.015625</v>
      </c>
      <c r="CY15" s="162" t="inlineStr">
        <is>
          <t>recarga da principal</t>
        </is>
      </c>
      <c r="CZ15" s="164">
        <f>IFERROR(VLOOKUP('FICHA PESSOAL'!$D$64,'DADOS_CUSTOM'!$AA$2:$AK$106,9,FALSE)&amp;"","")</f>
        <v/>
      </c>
      <c r="DH15" s="162" t="inlineStr">
        <is>
          <t>Talha</t>
        </is>
      </c>
      <c r="DI15" s="162" t="inlineStr">
        <is>
          <t>Impõe −1 ao Bloquear feito contra o ataque dessa arma.</t>
        </is>
      </c>
      <c r="DO15" s="162" t="inlineStr">
        <is>
          <t>missões 4</t>
        </is>
      </c>
      <c r="DP15" s="164">
        <f>ADDRESS(ROW('FICHA PESSOAL'!BO15),COLUMN('FICHA PESSOAL'!BO15),4)&amp;":"&amp;ADDRESS(ROW('FICHA PESSOAL'!BS87),COLUMN('FICHA PESSOAL'!BS87),4)</f>
        <v/>
      </c>
      <c r="DR15" s="162" t="inlineStr">
        <is>
          <t>Ataque sem Prenúncio</t>
        </is>
      </c>
      <c r="DS15" s="162" t="inlineStr">
        <is>
          <t>Restrição Celestial · Sem Energia</t>
        </is>
      </c>
      <c r="DT15" s="162" t="inlineStr">
        <is>
          <t>marcante</t>
        </is>
      </c>
      <c r="DU15" s="162" t="inlineStr"/>
      <c r="DV15" s="162" t="inlineStr">
        <is>
          <t>Uma vez por turno seu</t>
        </is>
      </c>
      <c r="DW15" s="162" t="inlineStr">
        <is>
          <t>Seu adversário percebe o golpe, mas não recebe o sinal energético que esperava para antecipá-lo. Uma vez por turno seu, depois de declarar um ataque que já possa realizar e de o defensor escolher entre Defesa e Bloquear, quando essa escolha couber, anuncie Ataque sem Prenúncio e gaste 2 PE adicionais, antes do d20 do ataque, do TR ou da aplicação Automática. Não exige outra ação. Pague também o custo do ataque ou da Kata; errar não devolve os custos.
A marcante abrange ataques comuns corpo a corpo, com arma ou desarmados, e Katas ofensivas por acerto, TR ou resultado Automático, inclusive Katas à distância ou transportadas por um golpe. Escolha um defensor. O benefício direto alcança apenas a primeira resolução ofensiva contra ele naquela execução, sem aplicações automáticas nos outros ataques, alvos ou pulsações. Não concede um ataque novo nem modifica a montagem.
Antecipação e bloqueio.
Se o defensor puder perceber energia amaldiçoada e ainda não reconhecer por estudo essa execução sua:
- O anúncio impede uma Reação do defensor provocada pela declaração dessa execução que seria resolvida antes da rolagem de acerto, do TR escolhido ou da aplicação Automática inicial, conforme o procedimento usado. Se ele já tiver declarado uma Reação dessas contra aquela execução, o anúncio a cancela, sem gastar a Reação dele.
- Se a resolução admitir Bloquear e ele tiver escolhido essa defesa, faz a rolagem com desvantagem, seguindo os dois conjuntos completos e os extremos de Aparar e Brecha.
O TR mantém dado, CD e modificadores. Automáticos não ganham teste nem ignoram imunidades, resistências ou requisitos. Benefícios sem gasto de Reação continuam disponíveis. Numa resolução com acerto seguido de TR, a marcante não acrescenta penalidade ao TR.
Defesa fixa, proteção, efeitos já ativos e respostas posteriores ao erro, acerto ou dano conservam suas regras. Uma ativação impedida não consome a reserva de Reação. A escolha de Defesa ou Bloquear permanece antes do d20 do ataque; o anúncio vem entre essa escolha e o d20. Depois do anúncio, o defensor não pode trocar a escolha.
Intervenções de terceiros continuam disponíveis. Se outra criatura assumir o ataque, confira a suscetibilidade dela, sem desfazer a intervenção já resolvida ou transferir o reconhecimento do alvo anterior.
Estudar a execução.
Depois de ser alvo efetivo de uma execução sua e percebê-la por visão ou sentido equivalente, o adversário pode usar Estudar enquanto consegue observar você. Gasta a ação de Estudar — normalmente Padrão, salvo permissão válida — e faz seu teste inicial, com a perícia e a CD do procedimento. Precisa passar para iniciar o reconhecimento. Não há segunda rolagem para habilitá-lo nem outra informação livre pelo mesmo gasto.
Na falha, a ação foi gasta e o reconhecimento não começa; novas tentativas seguem Estudar. Seus outros usos, inclusive informações evidentes sem teste, permanecem iguais.
A execução pode ter acertado, errado, sido bloqueada ou resistida. Não exige dano nem pagamento de Ataque sem Prenúncio naquela execução. Apenas observar outra pessoa ou receber dano transferido sem ser alvo não equivale a enfrentá-la.
Depois do primeiro Estudar bem-sucedido, o defensor neutraliza a marcante contra as execuções suas que já enfrentou. Cada execução inédita ainda pode receber o benefício na primeira tentativa; depois de enfrentá-la e percebê-la, ele passa a reconhecê-la, sem novo estudo, teste ou limite de Katas por estudo.
Memória entre encontros.
Registre ataques comuns por tipo ou perfil de arma, não por exemplar. Outra cópia equivalente não renova a novidade. Ataques comuns desarmados formam um único perfil: trocar soco por chute não o torna inédito.
Katas são reconhecidas separadamente. Conhecer uma arma não revela as Katas ainda desconhecidas feitas com ela. Mudar apenas números, Classe, custo ou arma compatível não torna a mesma Kata inédita. Uma mudança real de funcionamento pode definir outra aplicação, previamente identificada no repertório e adquirida normalmente.
Cada defensor conserva o estudo e as execuções reconhecidas daquele Restringido entre encontros. Combate, missão ou descanso não apagam o aprendizado, que não se transfere automaticamente a aliados ou a outro Restringido. Reconhecimento protege contra esta marcante, não contra o dano e os demais efeitos da execução.
Exemplo: uma Kata de 3 PE com Ataque sem Prenúncio custa 5 PE. Resolva a Kata normalmente, sem acrescentar dano de arma ou de Estímulo Muscular quando suas fontes não permitirem. Se o adversário já estudou você, mas nunca enfrentou essa Kata, a primeira execução ainda pode receber o benefício; depois de percebê-la, ele a reconhece nos reencontros.</t>
        </is>
      </c>
      <c r="EG15" s="162" t="inlineStr">
        <is>
          <t>Jogatina</t>
        </is>
      </c>
    </row>
    <row r="16" ht="17.25" customHeight="1">
      <c r="A16" s="41" t="n"/>
      <c r="B16" s="162" t="inlineStr">
        <is>
          <t>Sobrevivência</t>
        </is>
      </c>
      <c r="C16" s="41" t="n"/>
      <c r="D16" s="41" t="n"/>
      <c r="E16" s="41" t="n"/>
      <c r="F16" s="162" t="inlineStr">
        <is>
          <t>Salto</t>
        </is>
      </c>
      <c r="G16" s="162" t="inlineStr">
        <is>
          <t>Condicional</t>
        </is>
      </c>
      <c r="H16" s="162" t="inlineStr">
        <is>
          <t>Atordoado</t>
        </is>
      </c>
      <c r="I16" s="41" t="inlineStr">
        <is>
          <t>Restrição Celestial · Sem Energia</t>
        </is>
      </c>
      <c r="J16" s="41" t="n"/>
      <c r="K16" s="41" t="n"/>
      <c r="L16" s="162" t="inlineStr">
        <is>
          <t>Ressonante</t>
        </is>
      </c>
      <c r="M16" s="41" t="n"/>
      <c r="N16" s="41" t="n"/>
      <c r="O16" s="41" t="n"/>
      <c r="P16" s="41" t="n"/>
      <c r="Q16" s="41" t="n"/>
      <c r="R16" s="41" t="n"/>
      <c r="S16" s="41" t="n"/>
      <c r="T16" s="41" t="n"/>
      <c r="U16" s="41" t="n"/>
      <c r="V16" s="41" t="n"/>
      <c r="W16" s="41" t="n"/>
      <c r="X16" s="41" t="n"/>
      <c r="Y16" s="41" t="n"/>
      <c r="Z16" s="41" t="n"/>
      <c r="AA16" s="41" t="n"/>
      <c r="AB16" s="162" t="inlineStr">
        <is>
          <t>Medicina</t>
        </is>
      </c>
      <c r="AC16" s="162" t="inlineStr">
        <is>
          <t>Inteligência</t>
        </is>
      </c>
      <c r="AD16" s="41" t="n"/>
      <c r="AE16" s="162" t="inlineStr">
        <is>
          <t>Traje 1 + Torre</t>
        </is>
      </c>
      <c r="AF16" s="164" t="n">
        <v>4</v>
      </c>
      <c r="AG16" s="164" t="n">
        <v>1</v>
      </c>
      <c r="AH16" s="164" t="inlineStr">
        <is>
          <t>sim</t>
        </is>
      </c>
      <c r="AI16" s="41" t="n"/>
      <c r="AJ16" s="162" t="inlineStr">
        <is>
          <t>Corpo que sobra</t>
        </is>
      </c>
      <c r="AK16" s="164">
        <f>DADOS!$AK$10-DADOS!$AK$15</f>
        <v/>
      </c>
      <c r="AL16" s="41" t="n"/>
      <c r="AM16" s="41" t="n"/>
      <c r="AN16" s="162">
        <f>$L$15</f>
        <v/>
      </c>
      <c r="AO16" s="162" t="inlineStr">
        <is>
          <t>Emanador</t>
        </is>
      </c>
      <c r="AP16" s="41" t="n"/>
      <c r="AQ16" s="164" t="n">
        <v>13</v>
      </c>
      <c r="AR16" s="164">
        <f>DADOS_CONFIG!$Z$14</f>
        <v/>
      </c>
      <c r="AS16" s="41" t="n"/>
      <c r="AT16" s="41" t="n"/>
      <c r="AU16" s="41" t="n"/>
      <c r="AV16" s="41" t="n"/>
      <c r="AW16" s="41" t="n"/>
      <c r="AX16" s="41" t="n"/>
      <c r="AY16" s="41" t="n"/>
      <c r="AZ16" s="41" t="n"/>
      <c r="BA16" s="162" t="inlineStr">
        <is>
          <t>atr_base_Força</t>
        </is>
      </c>
      <c r="BB16" s="162">
        <f>ADDRESS(ROW(FICHA!D21),COLUMN(FICHA!D21),4)</f>
        <v/>
      </c>
      <c r="BD16" s="162" t="inlineStr">
        <is>
          <t>Espada Longa</t>
        </is>
      </c>
      <c r="BE16" s="162" t="inlineStr">
        <is>
          <t>Lâmina Longa</t>
        </is>
      </c>
      <c r="BF16" s="164" t="n">
        <v>1</v>
      </c>
      <c r="BG16" s="162" t="inlineStr">
        <is>
          <t>1d8</t>
        </is>
      </c>
      <c r="BH16" s="162" t="inlineStr">
        <is>
          <t>Versátil · Rompe</t>
        </is>
      </c>
      <c r="BI16" s="162" t="inlineStr">
        <is>
          <t>—</t>
        </is>
      </c>
      <c r="BJ16" s="164" t="n">
        <v>1</v>
      </c>
      <c r="BM16" s="164">
        <f>'FICHA PESSOAL'!$D$72</f>
        <v/>
      </c>
      <c r="BN16" s="164">
        <f>ADDRESS(ROW('FICHA PESSOAL'!D72),COLUMN('FICHA PESSOAL'!D72),4)</f>
        <v/>
      </c>
      <c r="BP16" s="162" t="inlineStr">
        <is>
          <t>Yumi</t>
        </is>
      </c>
      <c r="BQ16" s="162" t="inlineStr">
        <is>
          <t>Marcial</t>
        </is>
      </c>
      <c r="BR16" s="162" t="inlineStr">
        <is>
          <t>não</t>
        </is>
      </c>
      <c r="BS16" s="164">
        <f>'FICHA PESSOAL'!$AM$81</f>
        <v/>
      </c>
      <c r="BT16" s="164">
        <f>ADDRESS(ROW('FICHA PESSOAL'!AM81),COLUMN('FICHA PESSOAL'!AM81),4)</f>
        <v/>
      </c>
      <c r="CY16" s="162" t="inlineStr">
        <is>
          <t>treino da principal</t>
        </is>
      </c>
      <c r="CZ16" s="164">
        <f>IF(DADOS!$CZ$6=1,1,IF(IFERROR(VLOOKUP('FICHA PESSOAL'!$D$64,'DADOS_CUSTOM'!$AA$2:$AK$106,10,FALSE),IFERROR(VLOOKUP(DADOS!$CZ$7,DADOS!$BP$5:$BT$17,4,FALSE),FALSE))=TRUE,1,0))</f>
        <v/>
      </c>
      <c r="DH16" s="162" t="inlineStr">
        <is>
          <t>Oculta</t>
        </is>
      </c>
      <c r="DI16" s="162" t="inlineStr">
        <is>
          <t>Permite esconder a arma nas vestes ou junto ao corpo. Veja Armas escondidas.</t>
        </is>
      </c>
      <c r="DO16" s="162" t="inlineStr">
        <is>
          <t>equipáveis</t>
        </is>
      </c>
      <c r="DP16" s="164">
        <f>ADDRESS(ROW('FICHA PESSOAL'!D92),COLUMN('FICHA PESSOAL'!D92),4)&amp;":"&amp;ADDRESS(ROW('FICHA PESSOAL'!AT99),COLUMN('FICHA PESSOAL'!AT99),4)</f>
        <v/>
      </c>
      <c r="DR16" s="162" t="inlineStr">
        <is>
          <t>Corpo Debilitado</t>
        </is>
      </c>
      <c r="DS16" s="162" t="inlineStr">
        <is>
          <t>Restrição Celestial · Restrição corporal</t>
        </is>
      </c>
      <c r="DT16" s="162" t="inlineStr">
        <is>
          <t>marcante</t>
        </is>
      </c>
      <c r="DU16" s="162" t="inlineStr"/>
      <c r="DV16" s="162" t="inlineStr">
        <is>
          <t>Passiva</t>
        </is>
      </c>
      <c r="DW16" s="162" t="inlineStr">
        <is>
          <t>Sua Restrição comprometeu seu corpo desde o nascimento: o braço direito e as partes das pernas abaixo dos joelhos não se desenvolveram, você não possui sensibilidade abaixo da cintura e convive com dor constante. Sua pele é tão frágil que até o luar pode queimá-la. Este exemplo tem Mechamaru como referência; proteção, cuidados e meios de agir além do corpo fazem parte do cotidiano.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Seu deslocamento próprio é 0 m, e você tem somente uma mão funcional. Depende de transporte, assistência ou recursos adequados para se locomover e realizar tarefas que exijam os membros ausentes. Falha automaticamente nos TRs de Vigor e Físico exigidos do corpo real, inclusive no TR de Concentração após dano: quando ele for exigido, o efeito termina.
Pele e repouso.
Ao final de cada turno seu, se alguma pele estiver exposta à luz do sol ou da lua, sofra 1d4 de dano Radiante, sem TR. Fora de combate, aplique a cada rodada de exposição contínua. Uma cobertura opaca que impeça a luz de alcançar toda a pele exposta evita o dano. Iluminação artificial não aciona essa regra por si só.
Para descansar em ambiente propício, precisa de estrutura protegida, materiais e cuidados adequados, registrados na ficha. Sem eles, use o descanso fora de ambiente propício. Pessoas ou recursos compatíveis da técnica podem prestar a assistência.
Cura e descanso recuperam recursos normalmente, mas não removem as limitações congênitas. As consequências pertencem ao corpo real; não passam automaticamente a marionetes ou intermediários. Um teste exigido de você continua sujeito à penalidade, e os meios de compensá-la seguem suas próprias regras.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row>
    <row r="17" ht="17.25" customHeight="1">
      <c r="A17" s="41" t="n"/>
      <c r="B17" s="162" t="inlineStr">
        <is>
          <t>Natureza</t>
        </is>
      </c>
      <c r="C17" s="41" t="n"/>
      <c r="D17" s="41" t="n"/>
      <c r="E17" s="41" t="n"/>
      <c r="F17" s="162" t="inlineStr">
        <is>
          <t>Contorno</t>
        </is>
      </c>
      <c r="G17" s="162" t="inlineStr">
        <is>
          <t>Aquecer</t>
        </is>
      </c>
      <c r="H17" s="162" t="n"/>
      <c r="I17" s="41" t="n"/>
      <c r="J17" s="41" t="n"/>
      <c r="K17" s="41" t="n"/>
      <c r="L17" s="162" t="inlineStr">
        <is>
          <t>Catalisador</t>
        </is>
      </c>
      <c r="M17" s="41" t="n"/>
      <c r="N17" s="41" t="n"/>
      <c r="O17" s="41" t="n"/>
      <c r="P17" s="41" t="n"/>
      <c r="Q17" s="41" t="n"/>
      <c r="R17" s="41" t="n"/>
      <c r="S17" s="41" t="n"/>
      <c r="T17" s="41" t="n"/>
      <c r="U17" s="41" t="n"/>
      <c r="V17" s="41" t="n"/>
      <c r="W17" s="41" t="n"/>
      <c r="X17" s="41" t="n"/>
      <c r="Y17" s="41" t="n"/>
      <c r="Z17" s="41" t="n"/>
      <c r="AA17" s="41" t="n"/>
      <c r="AB17" s="162" t="inlineStr">
        <is>
          <t>Sobrevivência</t>
        </is>
      </c>
      <c r="AC17" s="162" t="inlineStr">
        <is>
          <t>Inteligência</t>
        </is>
      </c>
      <c r="AD17" s="41" t="n"/>
      <c r="AE17" s="162" t="inlineStr">
        <is>
          <t>Traje 2 + Broquel</t>
        </is>
      </c>
      <c r="AF17" s="164" t="n">
        <v>3</v>
      </c>
      <c r="AG17" s="164" t="n">
        <v>5</v>
      </c>
      <c r="AH17" s="164" t="inlineStr">
        <is>
          <t>sim</t>
        </is>
      </c>
      <c r="AI17" s="41" t="n"/>
      <c r="AJ17" s="162" t="inlineStr">
        <is>
          <t>rota do ofício</t>
        </is>
      </c>
      <c r="AK17" s="164">
        <f>IF((MAX(0,DADOS!$AK$13-DADOS_CONFIG!$S$6)+MAX(0,DADOS!$AK$14-DADOS_CONFIG!$S$7))&lt;=DADOS!$AK$16,1,IF((MAX(0,DADOS!$AK$13-DADOS_CONFIG!$S$8)+MAX(0,DADOS!$AK$14-0))&lt;=DADOS!$AK$16,2,IF((MAX(0,DADOS!$AK$13-DADOS_CONFIG!$S$6)+MAX(0,DADOS!$AK$14-DADOS_CONFIG!$S$7))&lt;=(MAX(0,DADOS!$AK$13-DADOS_CONFIG!$S$8)+MAX(0,DADOS!$AK$14-0)),1,2)))</f>
        <v/>
      </c>
      <c r="AL17" s="41" t="n"/>
      <c r="AM17" s="41" t="n"/>
      <c r="AN17" s="162">
        <f>$L$16</f>
        <v/>
      </c>
      <c r="AO17" s="162" t="inlineStr">
        <is>
          <t>Emanador</t>
        </is>
      </c>
      <c r="AP17" s="41" t="n"/>
      <c r="AQ17" s="164" t="n">
        <v>14</v>
      </c>
      <c r="AR17" s="164">
        <f>DADOS_CONFIG!$Z$15</f>
        <v/>
      </c>
      <c r="AS17" s="41" t="n"/>
      <c r="AT17" s="41" t="n"/>
      <c r="AU17" s="41" t="n"/>
      <c r="AV17" s="41" t="n"/>
      <c r="AW17" s="41" t="n"/>
      <c r="AX17" s="41" t="n"/>
      <c r="AY17" s="41" t="n"/>
      <c r="AZ17" s="41" t="n"/>
      <c r="BA17" s="162" t="inlineStr">
        <is>
          <t>atr_base_Destreza</t>
        </is>
      </c>
      <c r="BB17" s="162">
        <f>ADDRESS(ROW(FICHA!L21),COLUMN(FICHA!L21),4)</f>
        <v/>
      </c>
      <c r="BD17" s="162" t="inlineStr">
        <is>
          <t>Espadão</t>
        </is>
      </c>
      <c r="BE17" s="162" t="inlineStr">
        <is>
          <t>Lâmina Longa</t>
        </is>
      </c>
      <c r="BF17" s="164" t="n">
        <v>2</v>
      </c>
      <c r="BG17" s="162" t="inlineStr">
        <is>
          <t>1d12</t>
        </is>
      </c>
      <c r="BH17" s="162" t="inlineStr">
        <is>
          <t>Alcance</t>
        </is>
      </c>
      <c r="BI17" s="164" t="n">
        <v>3</v>
      </c>
      <c r="BJ17" s="164" t="n">
        <v>2</v>
      </c>
      <c r="BM17" s="164">
        <f>'FICHA PESSOAL'!$D$73</f>
        <v/>
      </c>
      <c r="BN17" s="164">
        <f>ADDRESS(ROW('FICHA PESSOAL'!D73),COLUMN('FICHA PESSOAL'!D73),4)</f>
        <v/>
      </c>
      <c r="BP17" s="162" t="inlineStr">
        <is>
          <t>Arma de Fogo</t>
        </is>
      </c>
      <c r="BQ17" s="162" t="inlineStr">
        <is>
          <t>Arma de Fogo</t>
        </is>
      </c>
      <c r="BR17" s="162" t="inlineStr">
        <is>
          <t>sim</t>
        </is>
      </c>
      <c r="BS17" s="164">
        <f>'FICHA PESSOAL'!$M$71</f>
        <v/>
      </c>
      <c r="BT17" s="164">
        <f>ADDRESS(ROW('FICHA PESSOAL'!M71),COLUMN('FICHA PESSOAL'!M71),4)</f>
        <v/>
      </c>
      <c r="CY17" s="162" t="inlineStr">
        <is>
          <t>secundária vale</t>
        </is>
      </c>
      <c r="CZ17" s="164">
        <f>IF(AND(DADOS!$CZ$8&lt;&gt;2,'FICHA PESSOAL'!$S$64&lt;&gt;"",'FICHA PESSOAL'!$S$64&lt;&gt;"—",'FICHA PESSOAL'!$S$64&lt;&gt;"Nas duas mãos"),1,0)</f>
        <v/>
      </c>
      <c r="DH17" s="162" t="inlineStr">
        <is>
          <t>Discreta</t>
        </is>
      </c>
      <c r="DI17" s="162" t="inlineStr">
        <is>
          <t>Tem aparência de objeto comum. Veja Armas escondidas.</t>
        </is>
      </c>
      <c r="DO17" s="162" t="inlineStr">
        <is>
          <t>itens</t>
        </is>
      </c>
      <c r="DP17" s="164">
        <f>ADDRESS(ROW('FICHA PESSOAL'!D104),COLUMN('FICHA PESSOAL'!D104),4)&amp;":"&amp;ADDRESS(ROW('FICHA PESSOAL'!AT109),COLUMN('FICHA PESSOAL'!AT109),4)</f>
        <v/>
      </c>
      <c r="DR17" s="162" t="inlineStr">
        <is>
          <t>Corpo Quebradiço</t>
        </is>
      </c>
      <c r="DS17" s="162" t="inlineStr">
        <is>
          <t>Restrição Celestial · Restrição corporal</t>
        </is>
      </c>
      <c r="DT17" s="162" t="inlineStr">
        <is>
          <t>marcante</t>
        </is>
      </c>
      <c r="DU17" s="162" t="inlineStr"/>
      <c r="DV17" s="162" t="inlineStr">
        <is>
          <t>Passiva</t>
        </is>
      </c>
      <c r="DW17" s="162" t="inlineStr">
        <is>
          <t>Sua Restrição preservou seus membros, mas deixou a estrutura incapaz de sustentar o próprio peso e o esforço de uma luta. Mesmo saudável, você depende de apoio para acomodar o corpo e de transporte para se deslocar. Ferimentos que outra pessoa suportaria podem colocar sua vida em risco.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Seu deslocamento próprio é 0 m, e sua vida máxima é metade da normal, arredondada para baixo, mínimo 1. A redução também se aplica aos aumentos futuros. Você não consegue caminhar, correr, saltar, escalar ou nadar por esforço próprio.
Falha automaticamente em testes de Força e TRs Físicos exigidos do corpo real. Ataques que dependam do esforço físico desse corpo também falham, mesmo usando Destreza. Seus membros não sustentam seu peso, não empurram nem arrastam cargas pesadas e não carregam outra criatura, mesmo sem rolagem.
As mãos permitem manipulação leve, como escrever, segurar pequenos objetos e fazer gestos de uma técnica compatível. Uma conjuração não falha apenas por usar Força ou Destreza no cálculo. TRs de Vigor seguem normalmente, inclusive os de Concentração.
Cuidados.
Para descansar em ambiente propício, precisa de apoio corporal, materiais e cuidados adequados, registrados na ficha. O atendimento pode ser feito por alguém treinado em Medicina, inclusive você, se estiver treinado, capaz e com os meios necessários. Sem isso, use o descanso fora de ambiente propício.
Cura e descanso recuperam vida normalmente dentro do máximo reduzido, sem remover as limitações congênitas. As consequências pertencem ao corpo real, sem passar automaticamente a marionetes ou intermediários. Transporte e recursos compatíveis seguem suas regras. A fragilidade não acrescenta vulnerabilidade a dano ou queimaduras por luz.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row>
    <row r="18" ht="17.25" customHeight="1">
      <c r="A18" s="41" t="n"/>
      <c r="B18" s="162" t="inlineStr">
        <is>
          <t>Lidar com Animais</t>
        </is>
      </c>
      <c r="C18" s="41" t="n"/>
      <c r="D18" s="41" t="n"/>
      <c r="E18" s="41" t="n"/>
      <c r="F18" s="162" t="inlineStr">
        <is>
          <t>Precisão</t>
        </is>
      </c>
      <c r="G18" s="162" t="inlineStr">
        <is>
          <t>Dívida</t>
        </is>
      </c>
      <c r="H18" s="41" t="n"/>
      <c r="I18" s="41" t="n"/>
      <c r="J18" s="41" t="n"/>
      <c r="K18" s="41" t="n"/>
      <c r="L18" s="162" t="inlineStr">
        <is>
          <t>Invocação Principal</t>
        </is>
      </c>
      <c r="M18" s="41" t="n"/>
      <c r="N18" s="41" t="n"/>
      <c r="O18" s="41" t="n"/>
      <c r="P18" s="41" t="n"/>
      <c r="Q18" s="41" t="n"/>
      <c r="R18" s="41" t="n"/>
      <c r="S18" s="41" t="n"/>
      <c r="T18" s="41" t="n"/>
      <c r="U18" s="41" t="n"/>
      <c r="V18" s="41" t="n"/>
      <c r="W18" s="41" t="n"/>
      <c r="X18" s="41" t="n"/>
      <c r="Y18" s="41" t="n"/>
      <c r="Z18" s="41" t="n"/>
      <c r="AA18" s="41" t="n"/>
      <c r="AB18" s="162" t="inlineStr">
        <is>
          <t>Natureza</t>
        </is>
      </c>
      <c r="AC18" s="162" t="inlineStr">
        <is>
          <t>Inteligência</t>
        </is>
      </c>
      <c r="AD18" s="41" t="n"/>
      <c r="AE18" s="162" t="inlineStr">
        <is>
          <t>Traje 2 + Médio</t>
        </is>
      </c>
      <c r="AF18" s="164" t="n">
        <v>4</v>
      </c>
      <c r="AG18" s="164" t="n">
        <v>3</v>
      </c>
      <c r="AH18" s="164" t="inlineStr">
        <is>
          <t>sim</t>
        </is>
      </c>
      <c r="AI18" s="41" t="n"/>
      <c r="AJ18" s="162" t="inlineStr">
        <is>
          <t>perícias por arma</t>
        </is>
      </c>
      <c r="AK18" s="164">
        <f>IF('DADOS_PROGRESSAO'!$K$5="Sim",IF(FICHA!$AK$81="2 armas (-4 pericias)",4,IF(FICHA!$AK$81="1 arma (-2 pericias)",2,0)),0)</f>
        <v/>
      </c>
      <c r="AL18" s="41" t="n"/>
      <c r="AM18" s="41" t="n"/>
      <c r="AN18" s="162">
        <f>$L$17</f>
        <v/>
      </c>
      <c r="AO18" s="162" t="inlineStr">
        <is>
          <t>Emanador</t>
        </is>
      </c>
      <c r="AP18" s="41" t="n"/>
      <c r="AQ18" s="164" t="n">
        <v>15</v>
      </c>
      <c r="AR18" s="164">
        <f>DADOS_CONFIG!$Z$16</f>
        <v/>
      </c>
      <c r="AS18" s="41" t="n"/>
      <c r="AT18" s="41" t="n"/>
      <c r="AU18" s="41" t="n"/>
      <c r="AV18" s="41" t="n"/>
      <c r="AW18" s="41" t="n"/>
      <c r="AX18" s="41" t="n"/>
      <c r="AY18" s="41" t="n"/>
      <c r="AZ18" s="41" t="n"/>
      <c r="BA18" s="162" t="inlineStr">
        <is>
          <t>atr_base_Constituição</t>
        </is>
      </c>
      <c r="BB18" s="162">
        <f>ADDRESS(ROW(FICHA!T21),COLUMN(FICHA!T21),4)</f>
        <v/>
      </c>
      <c r="BD18" s="162" t="inlineStr">
        <is>
          <t>Espingarda</t>
        </is>
      </c>
      <c r="BE18" s="162" t="inlineStr">
        <is>
          <t>Arma de Fogo</t>
        </is>
      </c>
      <c r="BF18" s="164" t="n">
        <v>2</v>
      </c>
      <c r="BG18" s="162" t="inlineStr">
        <is>
          <t>2d8</t>
        </is>
      </c>
      <c r="BH18" s="162" t="inlineStr">
        <is>
          <t>Longo Alcance · Munição · Rompe</t>
        </is>
      </c>
      <c r="BI18" s="164" t="n">
        <v>1</v>
      </c>
      <c r="BJ18" s="164" t="n">
        <v>2</v>
      </c>
      <c r="BK18" s="162" t="inlineStr">
        <is>
          <t>9 m, longa 27 m</t>
        </is>
      </c>
      <c r="BL18" s="164" t="n">
        <v>2</v>
      </c>
      <c r="BM18" s="164">
        <f>'FICHA PESSOAL'!$M$72</f>
        <v/>
      </c>
      <c r="BN18" s="164">
        <f>ADDRESS(ROW('FICHA PESSOAL'!M72),COLUMN('FICHA PESSOAL'!M72),4)</f>
        <v/>
      </c>
      <c r="CY18" s="162" t="inlineStr">
        <is>
          <t>categoria da secundária</t>
        </is>
      </c>
      <c r="CZ18" s="164">
        <f>IF(DADOS!$CZ$17=1,IFERROR(VLOOKUP('FICHA PESSOAL'!$S$64,'FICHA PESSOAL'!$D$92:$AH$99,10,FALSE)&amp;"",""),"")</f>
        <v/>
      </c>
      <c r="DH18" s="162" t="inlineStr">
        <is>
          <t>Munição</t>
        </is>
      </c>
      <c r="DI18" s="162" t="inlineStr">
        <is>
          <t>Exige recarga. O procedimento, a capacidade e os suprimentos estão em Munição.</t>
        </is>
      </c>
      <c r="DO18" s="162" t="inlineStr">
        <is>
          <t>volume dos itens 1</t>
        </is>
      </c>
      <c r="DP18" s="164">
        <f>ADDRESS(ROW('FICHA PESSOAL'!V104),COLUMN('FICHA PESSOAL'!V104),4)&amp;":"&amp;ADDRESS(ROW('FICHA PESSOAL'!V109),COLUMN('FICHA PESSOAL'!V109),4)</f>
        <v/>
      </c>
      <c r="DR18" s="162" t="inlineStr">
        <is>
          <t>Corpo Exaurido</t>
        </is>
      </c>
      <c r="DS18" s="162" t="inlineStr">
        <is>
          <t>Restrição Celestial · Restrição corporal</t>
        </is>
      </c>
      <c r="DT18" s="162" t="inlineStr">
        <is>
          <t>marcante</t>
        </is>
      </c>
      <c r="DU18" s="162" t="inlineStr"/>
      <c r="DV18" s="162" t="inlineStr">
        <is>
          <t>Passiva</t>
        </is>
      </c>
      <c r="DW18" s="162" t="inlineStr">
        <is>
          <t>Seu organismo permanece debilitado. Você conserva a capacidade de falar, fazer tarefas leves e caminhar devagar, mas não sustenta o esforço de uma luta. Ferimentos consomem a pouca autonomia física que possui, e recuperar-se exige cuidados prolongados.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Falha automaticamente nos TRs de Vigor e Físico exigidos do corpo real, inclusive Concentração quando Vigor for exigido. Testes e ataques que dependam do esforço físico desse corpo também falham automaticamente.
Seu deslocamento próprio é limitado a 4,5 m, em movimento leve no chão. Não consegue correr, saltar, escalar, nadar, sustentar o peso pelos braços, empurrar ou arrastar cargas pesadas, nem carregar outra criatura por esforço próprio, mesmo sem rolagem. Ainda pode escrever, manipular objetos leves e fazer gestos de uma técnica compatível; usar um atributo físico na conjuração não a faz falhar por si só.
Com metade da vida máxima ou menos, arredondada para baixo, seu deslocamento próprio passa a 0 m. Recuperar vida acima do limite devolve o deslocamento permitido. Isso não aplica Atordoado, retira ações ou consciência, nem impede transporte.
Cura e repouso.
Efeitos de cura recuperam metade da vida normal, arredondada para baixo, mínimo 1 quando positiva. Um descanso longo em ambiente propício recupera 25% da vida máxima, arredondados para baixo, mínimo 1, somados à vida atual até o máximo. Fora de ambiente propício, o descanso longo não recupera vida. Os demais recursos e efeitos, inclusive PE, seguem normalmente.
O ambiente propício exige cuidados e meios adequados à sua condição, registrados na ficha. Os 25% do descanso não são divididos novamente; efeitos de cura usados durante ele continuam pela metade. Descanso curto não recupera vida por si só, e uma mesma pausa não pode ser repetida para multiplicar a recuperação.
Cura comum não remove a condição congênita. Exaustão adquirida segue suas regras, sem degrau permanente adicional. As consequências pertencem ao corpo real, sem passar automaticamente a marionetes ou intermediários; testes exigidos de você continuam sujeitos às limitações.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row>
    <row r="19" ht="17.25" customHeight="1">
      <c r="A19" s="41" t="n"/>
      <c r="B19" s="162" t="inlineStr">
        <is>
          <t>Tecnologia</t>
        </is>
      </c>
      <c r="C19" s="41" t="n"/>
      <c r="D19" s="41" t="n"/>
      <c r="E19" s="41" t="n"/>
      <c r="F19" s="162" t="inlineStr">
        <is>
          <t>Certeiro</t>
        </is>
      </c>
      <c r="G19" s="162" t="inlineStr">
        <is>
          <t>Tudo ou Nada</t>
        </is>
      </c>
      <c r="H19" s="41" t="n"/>
      <c r="I19" s="41" t="n"/>
      <c r="J19" s="41" t="n"/>
      <c r="K19" s="41" t="n"/>
      <c r="L19" s="41" t="inlineStr">
        <is>
          <t>Parceria</t>
        </is>
      </c>
      <c r="M19" s="41" t="n"/>
      <c r="N19" s="41" t="n"/>
      <c r="O19" s="41" t="n"/>
      <c r="P19" s="41" t="n"/>
      <c r="Q19" s="41" t="n"/>
      <c r="R19" s="41" t="n"/>
      <c r="S19" s="41" t="n"/>
      <c r="T19" s="41" t="n"/>
      <c r="U19" s="41" t="n"/>
      <c r="V19" s="41" t="n"/>
      <c r="W19" s="41" t="n"/>
      <c r="X19" s="41" t="n"/>
      <c r="Y19" s="41" t="n"/>
      <c r="Z19" s="41" t="n"/>
      <c r="AA19" s="41" t="n"/>
      <c r="AB19" s="162" t="inlineStr">
        <is>
          <t>Lidar com Animais</t>
        </is>
      </c>
      <c r="AC19" s="162" t="inlineStr">
        <is>
          <t>Inteligência</t>
        </is>
      </c>
      <c r="AD19" s="41" t="n"/>
      <c r="AE19" s="162" t="inlineStr">
        <is>
          <t>Traje 2 + Torre</t>
        </is>
      </c>
      <c r="AF19" s="164" t="n">
        <v>5</v>
      </c>
      <c r="AG19" s="164" t="n">
        <v>1</v>
      </c>
      <c r="AH19" s="164" t="inlineStr">
        <is>
          <t>sim</t>
        </is>
      </c>
      <c r="AI19" s="41" t="n"/>
      <c r="AJ19" s="162" t="inlineStr">
        <is>
          <t>perícias da rota</t>
        </is>
      </c>
      <c r="AK19" s="164">
        <f>IF(DADOS!$AK$17=1,DADOS_CONFIG!$S$6,DADOS_CONFIG!$S$8)-DADOS!$AK$18</f>
        <v/>
      </c>
      <c r="AL19" s="41" t="n"/>
      <c r="AM19" s="41" t="n"/>
      <c r="AN19" s="162">
        <f>$L$18</f>
        <v/>
      </c>
      <c r="AO19" s="162" t="inlineStr">
        <is>
          <t>Evocador</t>
        </is>
      </c>
      <c r="AP19" s="41" t="n"/>
      <c r="AQ19" s="164" t="n">
        <v>16</v>
      </c>
      <c r="AR19" s="164">
        <f>DADOS_CONFIG!$Z$17</f>
        <v/>
      </c>
      <c r="AS19" s="41" t="n"/>
      <c r="AT19" s="41" t="n"/>
      <c r="AU19" s="41" t="n"/>
      <c r="AV19" s="41" t="n"/>
      <c r="AW19" s="41" t="n"/>
      <c r="AX19" s="41" t="n"/>
      <c r="AY19" s="41" t="n"/>
      <c r="AZ19" s="41" t="n"/>
      <c r="BA19" s="162" t="inlineStr">
        <is>
          <t>atr_base_Inteligência</t>
        </is>
      </c>
      <c r="BB19" s="162">
        <f>ADDRESS(ROW(FICHA!AB21),COLUMN(FICHA!AB21),4)</f>
        <v/>
      </c>
      <c r="BD19" s="162" t="inlineStr">
        <is>
          <t>Faca</t>
        </is>
      </c>
      <c r="BE19" s="162" t="inlineStr">
        <is>
          <t>Lâmina Curta</t>
        </is>
      </c>
      <c r="BF19" s="164" t="n">
        <v>1</v>
      </c>
      <c r="BG19" s="162" t="inlineStr">
        <is>
          <t>1d6</t>
        </is>
      </c>
      <c r="BH19" s="162" t="inlineStr">
        <is>
          <t>Fineza · Rompe · Leve</t>
        </is>
      </c>
      <c r="BI19" s="162" t="inlineStr">
        <is>
          <t>—</t>
        </is>
      </c>
      <c r="BJ19" s="164" t="n">
        <v>0.2</v>
      </c>
      <c r="BM19" s="164">
        <f>'FICHA PESSOAL'!$AE$73</f>
        <v/>
      </c>
      <c r="BN19" s="164">
        <f>ADDRESS(ROW('FICHA PESSOAL'!AE73),COLUMN('FICHA PESSOAL'!AE73),4)</f>
        <v/>
      </c>
      <c r="CY19" s="162" t="inlineStr">
        <is>
          <t>escudo na secundária</t>
        </is>
      </c>
      <c r="CZ19" s="164">
        <f>IF(AND(DADOS!$CZ$17=1,DADOS!$CZ$18="Escudo"),1,0)</f>
        <v/>
      </c>
      <c r="DH19" s="162" t="inlineStr">
        <is>
          <t>Volumosa</t>
        </is>
      </c>
      <c r="DI19" s="162" t="inlineStr">
        <is>
          <t>Não pode ser escondida e atrapalha em espaços apertados. Se o lugar não permite manejar a arma, você não pode atacar com ela dali. Se houver passagem suficiente para se espremer, aplique as regras de passagens estreitas, sem acrescentar outra penalidade pelo mesmo aperto.</t>
        </is>
      </c>
      <c r="DO19" s="162" t="inlineStr">
        <is>
          <t>volume dos itens 2</t>
        </is>
      </c>
      <c r="DP19" s="164">
        <f>ADDRESS(ROW('FICHA PESSOAL'!AR104),COLUMN('FICHA PESSOAL'!AR104),4)&amp;":"&amp;ADDRESS(ROW('FICHA PESSOAL'!AR109),COLUMN('FICHA PESSOAL'!AR109),4)</f>
        <v/>
      </c>
      <c r="DR19" s="162" t="inlineStr">
        <is>
          <t>Manifestação Instintiva</t>
        </is>
      </c>
      <c r="DS19" s="162" t="inlineStr">
        <is>
          <t>Latente</t>
        </is>
      </c>
      <c r="DT19" s="162" t="inlineStr">
        <is>
          <t>menor</t>
        </is>
      </c>
      <c r="DU19" s="162" t="inlineStr"/>
      <c r="DV19" s="162" t="inlineStr">
        <is>
          <t>Passiva</t>
        </is>
      </c>
      <c r="DW19" s="162" t="inlineStr">
        <is>
          <t>Uma função da sua técnica se manifesta antes de você aprender a desenvolvê-la pelo método comum. Escolha um Talento de Categoria de Efeito 1 do catálogo, compatível com sua técnica ou semente de Sem Técnica, que ainda não possua.
Ele não ocupa espaço conhecido nem conta entre os cinco Talentos pagos. Mantenha seus requisitos, custos e limites. A escolha fica fixa, sem duplicação, evolução gratuita de Categoria ou troca livre. Categoria de Efeito não é Classe de conjuração.</t>
        </is>
      </c>
    </row>
    <row r="20" ht="17.25" customHeight="1">
      <c r="A20" s="41" t="n"/>
      <c r="B20" s="162" t="inlineStr">
        <is>
          <t>Sentir Energia</t>
        </is>
      </c>
      <c r="C20" s="41" t="n"/>
      <c r="D20" s="41" t="n"/>
      <c r="E20" s="41" t="n"/>
      <c r="F20" s="162" t="inlineStr">
        <is>
          <t>Inescapável</t>
        </is>
      </c>
      <c r="G20" s="162" t="inlineStr">
        <is>
          <t>Barulho</t>
        </is>
      </c>
      <c r="H20" s="41" t="n"/>
      <c r="I20" s="41" t="n"/>
      <c r="J20" s="41" t="n"/>
      <c r="K20" s="41" t="n"/>
      <c r="L20" s="41" t="inlineStr">
        <is>
          <t>Múltiplas Invocações</t>
        </is>
      </c>
      <c r="M20" s="41" t="n"/>
      <c r="N20" s="41" t="n"/>
      <c r="O20" s="41" t="n"/>
      <c r="P20" s="41" t="n"/>
      <c r="Q20" s="41" t="n"/>
      <c r="R20" s="41" t="n"/>
      <c r="S20" s="41" t="n"/>
      <c r="T20" s="41" t="n"/>
      <c r="U20" s="41" t="n"/>
      <c r="V20" s="41" t="n"/>
      <c r="W20" s="41" t="n"/>
      <c r="X20" s="41" t="n"/>
      <c r="Y20" s="41" t="n"/>
      <c r="Z20" s="41" t="n"/>
      <c r="AA20" s="41" t="n"/>
      <c r="AB20" s="162" t="inlineStr">
        <is>
          <t>Tecnologia</t>
        </is>
      </c>
      <c r="AC20" s="162" t="inlineStr">
        <is>
          <t>Inteligência</t>
        </is>
      </c>
      <c r="AD20" s="41" t="n"/>
      <c r="AE20" s="162" t="inlineStr">
        <is>
          <t>Traje 3 + Broquel</t>
        </is>
      </c>
      <c r="AF20" s="164" t="n">
        <v>4</v>
      </c>
      <c r="AG20" s="164" t="n">
        <v>5</v>
      </c>
      <c r="AH20" s="164" t="inlineStr">
        <is>
          <t>sim</t>
        </is>
      </c>
      <c r="AI20" s="41" t="n"/>
      <c r="AJ20" s="162" t="inlineStr">
        <is>
          <t>ofícios da rota</t>
        </is>
      </c>
      <c r="AK20" s="164">
        <f>IF(DADOS!$AK$17=1,DADOS_CONFIG!$S$7,0)</f>
        <v/>
      </c>
      <c r="AL20" s="41" t="n"/>
      <c r="AM20" s="41" t="n"/>
      <c r="AN20" s="162">
        <f>$L$19</f>
        <v/>
      </c>
      <c r="AO20" s="162" t="inlineStr">
        <is>
          <t>Evocador</t>
        </is>
      </c>
      <c r="AP20" s="41" t="n"/>
      <c r="AQ20" s="164" t="n">
        <v>17</v>
      </c>
      <c r="AR20" s="164">
        <f>DADOS_CONFIG!$Z$18</f>
        <v/>
      </c>
      <c r="AS20" s="41" t="n"/>
      <c r="AT20" s="41" t="n"/>
      <c r="AU20" s="41" t="n"/>
      <c r="AV20" s="41" t="n"/>
      <c r="AW20" s="41" t="n"/>
      <c r="AX20" s="41" t="n"/>
      <c r="AY20" s="41" t="n"/>
      <c r="AZ20" s="41" t="n"/>
      <c r="BA20" s="162" t="inlineStr">
        <is>
          <t>atr_base_Essência</t>
        </is>
      </c>
      <c r="BB20" s="162">
        <f>ADDRESS(ROW(FICHA!AJ21),COLUMN(FICHA!AJ21),4)</f>
        <v/>
      </c>
      <c r="BD20" s="162" t="inlineStr">
        <is>
          <t>Foice</t>
        </is>
      </c>
      <c r="BE20" s="162" t="inlineStr">
        <is>
          <t>Ceifa</t>
        </is>
      </c>
      <c r="BF20" s="164" t="n">
        <v>2</v>
      </c>
      <c r="BG20" s="162" t="inlineStr">
        <is>
          <t>1d10</t>
        </is>
      </c>
      <c r="BH20" s="162" t="inlineStr">
        <is>
          <t>Emaranha · Talha</t>
        </is>
      </c>
      <c r="BI20" s="164" t="n">
        <v>3</v>
      </c>
      <c r="BJ20" s="164" t="n">
        <v>2</v>
      </c>
      <c r="BM20" s="164">
        <f>'FICHA PESSOAL'!$V$78</f>
        <v/>
      </c>
      <c r="BN20" s="164">
        <f>ADDRESS(ROW('FICHA PESSOAL'!V78),COLUMN('FICHA PESSOAL'!V78),4)</f>
        <v/>
      </c>
      <c r="CY20" s="162" t="inlineStr">
        <is>
          <t>dado da secundária</t>
        </is>
      </c>
      <c r="CZ20" s="164">
        <f>IF(DADOS!$CZ$17=1,IFERROR(VLOOKUP('FICHA PESSOAL'!$S$64,'FICHA PESSOAL'!$D$92:$AH$99,18,FALSE)&amp;"",""),"")</f>
        <v/>
      </c>
      <c r="DH20" s="162" t="inlineStr">
        <is>
          <t>Embainhada</t>
        </is>
      </c>
      <c r="DI20" s="162" t="inlineStr">
        <is>
          <t>Sacar sozinho exige uma Ação de Movimento inteira, mesmo que ainda tenha a manipulação gratuita. No turno de um aliado a até 1,5 m, com a arma ao alcance de ambos, ele pode sacá-la e entregá-la a você. Precisa de uma mão livre e paga uma manipulação pelos custos de Sacar e guardar. Você precisa de uma mão disponível para recebê-la, sem outro custo. Atacar ainda exige as mãos indicadas pela arma. A ajuda não concede ataque nem reutiliza uma manipulação já gasta.</t>
        </is>
      </c>
      <c r="DO20" s="162" t="inlineStr">
        <is>
          <t>em uso</t>
        </is>
      </c>
      <c r="DP20" s="164">
        <f>ADDRESS(ROW('FICHA PESSOAL'!D61),COLUMN('FICHA PESSOAL'!D61),4)&amp;":"&amp;ADDRESS(ROW('FICHA PESSOAL'!AT67),COLUMN('FICHA PESSOAL'!AT67),4)</f>
        <v/>
      </c>
      <c r="DR20" s="162" t="inlineStr">
        <is>
          <t>Prontidão Instintiva</t>
        </is>
      </c>
      <c r="DS20" s="162" t="inlineStr">
        <is>
          <t>Latente</t>
        </is>
      </c>
      <c r="DT20" s="162" t="inlineStr">
        <is>
          <t>menor</t>
        </is>
      </c>
      <c r="DU20" s="162" t="inlineStr"/>
      <c r="DV20" s="162" t="inlineStr">
        <is>
          <t>Passiva</t>
        </is>
      </c>
      <c r="DW20" s="162" t="inlineStr">
        <is>
          <t>Você reage ao perigo antes de organizar uma resposta. Role Iniciativa com vantagem, conservando Destreza e os demais modificadores normais.</t>
        </is>
      </c>
    </row>
    <row r="21" ht="17.25" customHeight="1">
      <c r="A21" s="41" t="n"/>
      <c r="B21" s="162" t="inlineStr">
        <is>
          <t>Percepção</t>
        </is>
      </c>
      <c r="C21" s="41" t="n"/>
      <c r="D21" s="41" t="n"/>
      <c r="E21" s="41" t="n"/>
      <c r="F21" s="162" t="inlineStr">
        <is>
          <t>De Novo</t>
        </is>
      </c>
      <c r="G21" s="162" t="inlineStr">
        <is>
          <t>Assinatura</t>
        </is>
      </c>
      <c r="H21" s="41" t="n"/>
      <c r="I21" s="41" t="n"/>
      <c r="J21" s="41" t="n"/>
      <c r="K21" s="41" t="n"/>
      <c r="L21" s="41" t="inlineStr">
        <is>
          <t>Assassino</t>
        </is>
      </c>
      <c r="M21" s="41" t="n"/>
      <c r="N21" s="41" t="n"/>
      <c r="O21" s="41" t="n"/>
      <c r="P21" s="41" t="n"/>
      <c r="Q21" s="41" t="n"/>
      <c r="R21" s="41" t="n"/>
      <c r="S21" s="41" t="n"/>
      <c r="T21" s="41" t="n"/>
      <c r="U21" s="41" t="n"/>
      <c r="V21" s="41" t="n"/>
      <c r="W21" s="41" t="n"/>
      <c r="X21" s="41" t="n"/>
      <c r="Y21" s="41" t="n"/>
      <c r="Z21" s="41" t="n"/>
      <c r="AA21" s="41" t="n"/>
      <c r="AB21" s="162" t="inlineStr">
        <is>
          <t>Sentir Energia</t>
        </is>
      </c>
      <c r="AC21" s="162" t="inlineStr">
        <is>
          <t>Essência</t>
        </is>
      </c>
      <c r="AD21" s="41" t="n"/>
      <c r="AE21" s="162" t="inlineStr">
        <is>
          <t>Traje 3 + Médio</t>
        </is>
      </c>
      <c r="AF21" s="164" t="n">
        <v>5</v>
      </c>
      <c r="AG21" s="164" t="n">
        <v>3</v>
      </c>
      <c r="AH21" s="164" t="inlineStr">
        <is>
          <t>sim</t>
        </is>
      </c>
      <c r="AI21" s="41" t="n"/>
      <c r="AJ21" s="162" t="inlineStr">
        <is>
          <t>Corpo nas perícias</t>
        </is>
      </c>
      <c r="AK21" s="164">
        <f>MAX(0,DADOS!$AK$13-DADOS!$AK$19)</f>
        <v/>
      </c>
      <c r="AL21" s="41" t="n"/>
      <c r="AM21" s="41" t="n"/>
      <c r="AN21" s="162">
        <f>$L$20</f>
        <v/>
      </c>
      <c r="AO21" s="162" t="inlineStr">
        <is>
          <t>Evocador</t>
        </is>
      </c>
      <c r="AP21" s="41" t="n"/>
      <c r="AQ21" s="164" t="n">
        <v>18</v>
      </c>
      <c r="AR21" s="164">
        <f>DADOS_CONFIG!$Z$19</f>
        <v/>
      </c>
      <c r="AS21" s="41" t="n"/>
      <c r="AT21" s="41" t="n"/>
      <c r="AU21" s="41" t="n"/>
      <c r="AV21" s="41" t="n"/>
      <c r="AW21" s="41" t="n"/>
      <c r="AX21" s="41" t="n"/>
      <c r="AY21" s="41" t="n"/>
      <c r="AZ21" s="41" t="n"/>
      <c r="BA21" s="162" t="inlineStr">
        <is>
          <t>vida</t>
        </is>
      </c>
      <c r="BB21" s="162">
        <f>ADDRESS(ROW(FICHA!D26),COLUMN(FICHA!D26),4)</f>
        <v/>
      </c>
      <c r="BD21" s="162" t="inlineStr">
        <is>
          <t>Hankyū</t>
        </is>
      </c>
      <c r="BE21" s="162" t="inlineStr">
        <is>
          <t>Yumi</t>
        </is>
      </c>
      <c r="BF21" s="164" t="n">
        <v>2</v>
      </c>
      <c r="BG21" s="162" t="inlineStr">
        <is>
          <t>1d8</t>
        </is>
      </c>
      <c r="BH21" s="162" t="inlineStr">
        <is>
          <t>Longo Alcance · Oculta</t>
        </is>
      </c>
      <c r="BI21" s="162" t="inlineStr">
        <is>
          <t>—</t>
        </is>
      </c>
      <c r="BJ21" s="164" t="n">
        <v>1</v>
      </c>
      <c r="BK21" s="162" t="inlineStr">
        <is>
          <t>24 m, longa 96 m</t>
        </is>
      </c>
      <c r="BM21" s="164">
        <f>'FICHA PESSOAL'!$AM$83</f>
        <v/>
      </c>
      <c r="BN21" s="164">
        <f>ADDRESS(ROW('FICHA PESSOAL'!AM83),COLUMN('FICHA PESSOAL'!AM83),4)</f>
        <v/>
      </c>
      <c r="CY21" s="162" t="inlineStr">
        <is>
          <t>propriedades da secundária</t>
        </is>
      </c>
      <c r="CZ21" s="164">
        <f>IF(DADOS!$CZ$17=1,IFERROR(VLOOKUP('FICHA PESSOAL'!$S$64,'FICHA PESSOAL'!$D$92:$AH$99,20,FALSE)&amp;"",""),"")</f>
        <v/>
      </c>
      <c r="DO21" s="162" t="inlineStr">
        <is>
          <t>fileira</t>
        </is>
      </c>
      <c r="DP21" s="164">
        <f>ADDRESS(ROW('FICHA PESSOAL'!D85),COLUMN('FICHA PESSOAL'!D85),4)&amp;":"&amp;ADDRESS(ROW('FICHA PESSOAL'!AT87),COLUMN('FICHA PESSOAL'!AT87),4)</f>
        <v/>
      </c>
      <c r="DR21" s="162" t="inlineStr">
        <is>
          <t>Foco Visceral</t>
        </is>
      </c>
      <c r="DS21" s="162" t="inlineStr">
        <is>
          <t>Latente</t>
        </is>
      </c>
      <c r="DT21" s="162" t="inlineStr">
        <is>
          <t>menor</t>
        </is>
      </c>
      <c r="DU21" s="162" t="inlineStr"/>
      <c r="DV21" s="162" t="inlineStr">
        <is>
          <t>Maestria vezes por cena</t>
        </is>
      </c>
      <c r="DW21" s="162" t="inlineStr">
        <is>
          <t>Você se apega ao que está fazendo, mesmo sob pressão. Maestria vezes por cena, antes de um TR para manter Concentração após sofrer dano, pode obter vantagem nessa rolagem. Cada uso beneficia um TR e é gasto mesmo na falha.</t>
        </is>
      </c>
    </row>
    <row r="22" ht="17.25" customHeight="1">
      <c r="A22" s="41" t="n"/>
      <c r="B22" s="162" t="inlineStr">
        <is>
          <t>Persuasão</t>
        </is>
      </c>
      <c r="C22" s="41" t="n"/>
      <c r="D22" s="41" t="n"/>
      <c r="E22" s="41" t="n"/>
      <c r="F22" s="162" t="inlineStr">
        <is>
          <t>Fura</t>
        </is>
      </c>
      <c r="G22" s="162" t="inlineStr">
        <is>
          <t>Restrição Própria</t>
        </is>
      </c>
      <c r="H22" s="41" t="n"/>
      <c r="I22" s="41" t="n"/>
      <c r="J22" s="41" t="n"/>
      <c r="K22" s="41" t="n"/>
      <c r="L22" s="41" t="inlineStr">
        <is>
          <t>Pugilista</t>
        </is>
      </c>
      <c r="M22" s="41" t="n"/>
      <c r="N22" s="41" t="n"/>
      <c r="O22" s="41" t="n"/>
      <c r="P22" s="41" t="n"/>
      <c r="Q22" s="41" t="n"/>
      <c r="R22" s="41" t="n"/>
      <c r="S22" s="41" t="n"/>
      <c r="T22" s="41" t="n"/>
      <c r="U22" s="41" t="n"/>
      <c r="V22" s="41" t="n"/>
      <c r="W22" s="41" t="n"/>
      <c r="X22" s="41" t="n"/>
      <c r="Y22" s="41" t="n"/>
      <c r="Z22" s="41" t="n"/>
      <c r="AA22" s="41" t="n"/>
      <c r="AB22" s="162" t="inlineStr">
        <is>
          <t>Percepção</t>
        </is>
      </c>
      <c r="AC22" s="162" t="inlineStr">
        <is>
          <t>Essência</t>
        </is>
      </c>
      <c r="AD22" s="41" t="n"/>
      <c r="AE22" s="162" t="inlineStr">
        <is>
          <t>Traje 3 + Torre</t>
        </is>
      </c>
      <c r="AF22" s="164" t="n">
        <v>6</v>
      </c>
      <c r="AG22" s="164" t="n">
        <v>1</v>
      </c>
      <c r="AH22" s="164" t="inlineStr">
        <is>
          <t>sim</t>
        </is>
      </c>
      <c r="AI22" s="41" t="n"/>
      <c r="AJ22" s="162" t="inlineStr">
        <is>
          <t>Corpo nos ofícios</t>
        </is>
      </c>
      <c r="AK22" s="164">
        <f>MAX(0,DADOS!$AK$14-DADOS!$AK$20)</f>
        <v/>
      </c>
      <c r="AL22" s="41" t="n"/>
      <c r="AM22" s="41" t="n"/>
      <c r="AN22" s="162">
        <f>$L$21</f>
        <v/>
      </c>
      <c r="AO22" s="162" t="inlineStr">
        <is>
          <t>Incursor</t>
        </is>
      </c>
      <c r="AP22" s="41" t="n"/>
      <c r="AQ22" s="164" t="n">
        <v>19</v>
      </c>
      <c r="AR22" s="164">
        <f>DADOS_CONFIG!$Z$20</f>
        <v/>
      </c>
      <c r="AS22" s="41" t="n"/>
      <c r="AT22" s="41" t="n"/>
      <c r="AU22" s="41" t="n"/>
      <c r="AV22" s="41" t="n"/>
      <c r="AW22" s="41" t="n"/>
      <c r="AX22" s="41" t="n"/>
      <c r="AY22" s="41" t="n"/>
      <c r="AZ22" s="41" t="n"/>
      <c r="BA22" s="162" t="inlineStr">
        <is>
          <t>vida_max</t>
        </is>
      </c>
      <c r="BB22" s="162">
        <f>ADDRESS(ROW(FICHA!J26),COLUMN(FICHA!J26),4)</f>
        <v/>
      </c>
      <c r="BD22" s="162" t="inlineStr">
        <is>
          <t>Kama</t>
        </is>
      </c>
      <c r="BE22" s="162" t="inlineStr">
        <is>
          <t>Ceifa</t>
        </is>
      </c>
      <c r="BF22" s="164" t="n">
        <v>1</v>
      </c>
      <c r="BG22" s="162" t="inlineStr">
        <is>
          <t>1d6</t>
        </is>
      </c>
      <c r="BH22" s="162" t="inlineStr">
        <is>
          <t>Par · Rompe</t>
        </is>
      </c>
      <c r="BI22" s="162" t="inlineStr">
        <is>
          <t>—</t>
        </is>
      </c>
      <c r="BJ22" s="164" t="n">
        <v>0.5</v>
      </c>
      <c r="BM22" s="164">
        <f>'FICHA PESSOAL'!$V$79</f>
        <v/>
      </c>
      <c r="BN22" s="164">
        <f>ADDRESS(ROW('FICHA PESSOAL'!V79),COLUMN('FICHA PESSOAL'!V79),4)</f>
        <v/>
      </c>
      <c r="CY22" s="162" t="inlineStr">
        <is>
          <t>força da secundária</t>
        </is>
      </c>
      <c r="CZ22" s="164">
        <f>IF(DADOS!$CZ$17=1,IFERROR(VALUE(VLOOKUP('FICHA PESSOAL'!$S$64,'FICHA PESSOAL'!$D$92:$AH$99,28,FALSE)&amp;""),0),0)</f>
        <v/>
      </c>
      <c r="DO22" s="162" t="inlineStr">
        <is>
          <t>cor da barra cheia</t>
        </is>
      </c>
      <c r="DP22" s="164">
        <f>ADDRESS(ROW(DADOS!CZ51),COLUMN(DADOS!CZ51),4)</f>
        <v/>
      </c>
      <c r="DR22" s="162" t="inlineStr">
        <is>
          <t>Aptidão Intuitiva</t>
        </is>
      </c>
      <c r="DS22" s="162" t="inlineStr">
        <is>
          <t>Latente</t>
        </is>
      </c>
      <c r="DT22" s="162" t="inlineStr">
        <is>
          <t>menor</t>
        </is>
      </c>
      <c r="DU22" s="162" t="inlineStr"/>
      <c r="DV22" s="162" t="inlineStr">
        <is>
          <t>Uma vez por cena</t>
        </is>
      </c>
      <c r="DW22" s="162" t="inlineStr">
        <is>
          <t>Você encontra caminhos que ainda não aprendeu a explicar. Uma vez por cena, antes de um teste de perícia em que não tenha treino, acrescente sua Maestria ao resultado. Vale apenas para a tentativa; não concede treino nem dispensa requisitos. Não se aplica a Ofícios, ataques ou TRs.</t>
        </is>
      </c>
    </row>
    <row r="23" ht="17.25" customHeight="1">
      <c r="A23" s="41" t="n"/>
      <c r="B23" s="162" t="inlineStr">
        <is>
          <t>Enganação</t>
        </is>
      </c>
      <c r="C23" s="41" t="n"/>
      <c r="D23" s="41" t="n"/>
      <c r="E23" s="41" t="n"/>
      <c r="F23" s="162" t="inlineStr">
        <is>
          <t>Corrói</t>
        </is>
      </c>
      <c r="G23" s="41" t="n"/>
      <c r="H23" s="41" t="n"/>
      <c r="I23" s="41" t="n"/>
      <c r="J23" s="41" t="n"/>
      <c r="K23" s="41" t="n"/>
      <c r="L23" s="41" t="inlineStr">
        <is>
          <t>Malabarista</t>
        </is>
      </c>
      <c r="M23" s="41" t="n"/>
      <c r="N23" s="41" t="n"/>
      <c r="O23" s="41" t="n"/>
      <c r="P23" s="41" t="n"/>
      <c r="Q23" s="41" t="n"/>
      <c r="R23" s="41" t="n"/>
      <c r="S23" s="41" t="n"/>
      <c r="T23" s="41" t="n"/>
      <c r="U23" s="41" t="n"/>
      <c r="V23" s="41" t="n"/>
      <c r="W23" s="41" t="n"/>
      <c r="X23" s="41" t="n"/>
      <c r="Y23" s="41" t="n"/>
      <c r="Z23" s="41" t="n"/>
      <c r="AA23" s="41" t="n"/>
      <c r="AB23" s="162" t="inlineStr">
        <is>
          <t>Persuasão</t>
        </is>
      </c>
      <c r="AC23" s="162" t="inlineStr">
        <is>
          <t>Essência</t>
        </is>
      </c>
      <c r="AD23" s="41" t="n"/>
      <c r="AE23" s="162" t="inlineStr">
        <is>
          <t>Revestimento 1 + Broquel</t>
        </is>
      </c>
      <c r="AF23" s="164" t="n">
        <v>5</v>
      </c>
      <c r="AG23" s="164" t="n">
        <v>0</v>
      </c>
      <c r="AH23" s="164" t="inlineStr">
        <is>
          <t>sim</t>
        </is>
      </c>
      <c r="AI23" s="41" t="n"/>
      <c r="AJ23" s="162" t="inlineStr">
        <is>
          <t>Corpo por escolher</t>
        </is>
      </c>
      <c r="AK23" s="164">
        <f>DADOS!$AK$16-DADOS!$AK$21-DADOS!$AK$22</f>
        <v/>
      </c>
      <c r="AL23" s="41" t="n"/>
      <c r="AM23" s="41" t="n"/>
      <c r="AN23" s="162">
        <f>$L$22</f>
        <v/>
      </c>
      <c r="AO23" s="162" t="inlineStr">
        <is>
          <t>Incursor</t>
        </is>
      </c>
      <c r="AP23" s="41" t="n"/>
      <c r="AQ23" s="164" t="n">
        <v>20</v>
      </c>
      <c r="AR23" s="164">
        <f>DADOS_CONFIG!$Z$21</f>
        <v/>
      </c>
      <c r="AS23" s="41" t="n"/>
      <c r="AT23" s="41" t="n"/>
      <c r="AU23" s="41" t="n"/>
      <c r="AV23" s="41" t="n"/>
      <c r="AW23" s="41" t="n"/>
      <c r="AX23" s="41" t="n"/>
      <c r="AY23" s="41" t="n"/>
      <c r="AZ23" s="41" t="n"/>
      <c r="BA23" s="162" t="inlineStr">
        <is>
          <t>vida_temp</t>
        </is>
      </c>
      <c r="BB23" s="162">
        <f>ADDRESS(ROW(FICHA!AF26),COLUMN(FICHA!AF26),4)</f>
        <v/>
      </c>
      <c r="BD23" s="162" t="inlineStr">
        <is>
          <t>Kanabō</t>
        </is>
      </c>
      <c r="BE23" s="162" t="inlineStr">
        <is>
          <t>Massa</t>
        </is>
      </c>
      <c r="BF23" s="164" t="n">
        <v>2</v>
      </c>
      <c r="BG23" s="162" t="inlineStr">
        <is>
          <t>1d12</t>
        </is>
      </c>
      <c r="BH23" s="162" t="inlineStr">
        <is>
          <t>Talha</t>
        </is>
      </c>
      <c r="BI23" s="164" t="n">
        <v>3</v>
      </c>
      <c r="BJ23" s="164" t="n">
        <v>3</v>
      </c>
      <c r="BM23" s="164">
        <f>'FICHA PESSOAL'!$AM$72</f>
        <v/>
      </c>
      <c r="BN23" s="164">
        <f>ADDRESS(ROW('FICHA PESSOAL'!AM72),COLUMN('FICHA PESSOAL'!AM72),4)</f>
        <v/>
      </c>
      <c r="CY23" s="162" t="inlineStr">
        <is>
          <t>alcance da secundária</t>
        </is>
      </c>
      <c r="CZ23" s="164">
        <f>IF(DADOS!$CZ$17=1,IFERROR(VLOOKUP('FICHA PESSOAL'!$S$64,'DADOS_CUSTOM'!$AA$2:$AK$106,8,FALSE)&amp;"",""),"")</f>
        <v/>
      </c>
      <c r="DO23" s="162" t="inlineStr">
        <is>
          <t>marcante</t>
        </is>
      </c>
      <c r="DP23" s="164">
        <f>ADDRESS(ROW('FICHA PESSOAL'!D44),COLUMN('FICHA PESSOAL'!D44),4)</f>
        <v/>
      </c>
      <c r="DR23" s="162" t="inlineStr">
        <is>
          <t>Presença Bruta</t>
        </is>
      </c>
      <c r="DS23" s="162" t="inlineStr">
        <is>
          <t>Latente</t>
        </is>
      </c>
      <c r="DT23" s="162" t="inlineStr">
        <is>
          <t>menor</t>
        </is>
      </c>
      <c r="DU23" s="162" t="inlineStr"/>
      <c r="DV23" s="162" t="inlineStr">
        <is>
          <t>Uma vez por cena</t>
        </is>
      </c>
      <c r="DW23" s="162" t="inlineStr">
        <is>
          <t>Sua energia manifesta uma intensidade difícil de ignorar. Uma vez por cena, ao manifestá-la de forma perceptível pelo alvo, declare o uso antes de um teste de Intimidação ou Provocar e acrescente sua Maestria, além do bônus normal. As duas opções compartilham o uso e conservam suas ações e efeitos.</t>
        </is>
      </c>
    </row>
    <row r="24" ht="17.25" customHeight="1">
      <c r="A24" s="41" t="n"/>
      <c r="B24" s="162" t="inlineStr">
        <is>
          <t>Intimidação</t>
        </is>
      </c>
      <c r="C24" s="41" t="n"/>
      <c r="D24" s="41" t="n"/>
      <c r="E24" s="41" t="n"/>
      <c r="F24" s="162" t="inlineStr">
        <is>
          <t>Sem Cobertura</t>
        </is>
      </c>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c r="AA24" s="41" t="n"/>
      <c r="AB24" s="162" t="inlineStr">
        <is>
          <t>Enganação</t>
        </is>
      </c>
      <c r="AC24" s="162" t="inlineStr">
        <is>
          <t>Essência</t>
        </is>
      </c>
      <c r="AD24" s="41" t="n"/>
      <c r="AE24" s="162" t="inlineStr">
        <is>
          <t>Revestimento 1 + Médio</t>
        </is>
      </c>
      <c r="AF24" s="164" t="n">
        <v>6</v>
      </c>
      <c r="AG24" s="164" t="n">
        <v>0</v>
      </c>
      <c r="AH24" s="164" t="inlineStr">
        <is>
          <t>sim</t>
        </is>
      </c>
      <c r="AI24" s="41" t="n"/>
      <c r="AJ24" s="162" t="inlineStr">
        <is>
          <t>treinos a mais</t>
        </is>
      </c>
      <c r="AK24" s="164">
        <f>MAX(0,-DADOS!$AK$23)</f>
        <v/>
      </c>
      <c r="AL24" s="41" t="n"/>
      <c r="AM24" s="41" t="n"/>
      <c r="AN24" s="162">
        <f>$L$23</f>
        <v/>
      </c>
      <c r="AO24" s="162" t="inlineStr">
        <is>
          <t>Incursor</t>
        </is>
      </c>
      <c r="AP24" s="41" t="n"/>
      <c r="AQ24" s="164" t="n">
        <v>21</v>
      </c>
      <c r="AR24" s="164">
        <f>DADOS_CONFIG!$Z$22</f>
        <v/>
      </c>
      <c r="AS24" s="41" t="n"/>
      <c r="AT24" s="41" t="n"/>
      <c r="AU24" s="41" t="n"/>
      <c r="AV24" s="41" t="n"/>
      <c r="AW24" s="41" t="n"/>
      <c r="AX24" s="41" t="n"/>
      <c r="AY24" s="41" t="n"/>
      <c r="AZ24" s="41" t="n"/>
      <c r="BA24" s="162" t="inlineStr">
        <is>
          <t>vida_delta</t>
        </is>
      </c>
      <c r="BB24" s="162">
        <f>ADDRESS(ROW(FICHA!AM26),COLUMN(FICHA!AM26),4)</f>
        <v/>
      </c>
      <c r="BD24" s="162" t="inlineStr">
        <is>
          <t>Katana</t>
        </is>
      </c>
      <c r="BE24" s="162" t="inlineStr">
        <is>
          <t>Lâmina Longa</t>
        </is>
      </c>
      <c r="BF24" s="164" t="n">
        <v>1</v>
      </c>
      <c r="BG24" s="162" t="inlineStr">
        <is>
          <t>1d8</t>
        </is>
      </c>
      <c r="BH24" s="162" t="inlineStr">
        <is>
          <t>Versátil · Fineza</t>
        </is>
      </c>
      <c r="BI24" s="162" t="inlineStr">
        <is>
          <t>—</t>
        </is>
      </c>
      <c r="BJ24" s="164" t="n">
        <v>1</v>
      </c>
      <c r="BM24" s="164">
        <f>'FICHA PESSOAL'!$D$74</f>
        <v/>
      </c>
      <c r="BN24" s="164">
        <f>ADDRESS(ROW('FICHA PESSOAL'!D74),COLUMN('FICHA PESSOAL'!D74),4)</f>
        <v/>
      </c>
      <c r="CY24" s="162" t="inlineStr">
        <is>
          <t>recarga da secundária</t>
        </is>
      </c>
      <c r="CZ24" s="164">
        <f>IF(DADOS!$CZ$17=1,IFERROR(VLOOKUP('FICHA PESSOAL'!$S$64,'DADOS_CUSTOM'!$AA$2:$AK$106,9,FALSE)&amp;"",""),"")</f>
        <v/>
      </c>
      <c r="DO24" s="162" t="inlineStr">
        <is>
          <t>menor 1</t>
        </is>
      </c>
      <c r="DP24" s="164">
        <f>ADDRESS(ROW('FICHA PESSOAL'!R44),COLUMN('FICHA PESSOAL'!R44),4)</f>
        <v/>
      </c>
      <c r="DR24" s="162" t="inlineStr">
        <is>
          <t>Retomar o Controle</t>
        </is>
      </c>
      <c r="DS24" s="162" t="inlineStr">
        <is>
          <t>Latente</t>
        </is>
      </c>
      <c r="DT24" s="162" t="inlineStr">
        <is>
          <t>menor</t>
        </is>
      </c>
      <c r="DU24" s="162" t="inlineStr"/>
      <c r="DV24" s="162" t="inlineStr">
        <is>
          <t>Uma vez por cena</t>
        </is>
      </c>
      <c r="DW24" s="162" t="inlineStr">
        <is>
          <t>Você força seu corpo e sua energia a responder novamente. Uma vez por cena, use uma Ação Bônus para fazer imediatamente, com vantagem, um TR para encerrar uma condição que já permita essa tentativa no fim do seu turno. Escolha uma condição e mantenha CD e modificadores.
Se falhar, conserva a tentativa normal no fim do turno. O benefício não devolve ações já perdidas.</t>
        </is>
      </c>
    </row>
    <row r="25" ht="17.25" customHeight="1">
      <c r="A25" s="41" t="n"/>
      <c r="B25" s="162" t="inlineStr">
        <is>
          <t>Atuação</t>
        </is>
      </c>
      <c r="C25" s="41" t="n"/>
      <c r="D25" s="41" t="n"/>
      <c r="E25" s="41" t="n"/>
      <c r="F25" s="162" t="inlineStr">
        <is>
          <t>Toca a Alma</t>
        </is>
      </c>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c r="AA25" s="41" t="n"/>
      <c r="AB25" s="162" t="inlineStr">
        <is>
          <t>Intimidação</t>
        </is>
      </c>
      <c r="AC25" s="162" t="inlineStr">
        <is>
          <t>Essência</t>
        </is>
      </c>
      <c r="AD25" s="41" t="n"/>
      <c r="AE25" s="162" t="inlineStr">
        <is>
          <t>Revestimento 1 + Torre</t>
        </is>
      </c>
      <c r="AF25" s="164" t="n">
        <v>7</v>
      </c>
      <c r="AG25" s="164" t="n">
        <v>0</v>
      </c>
      <c r="AH25" s="164" t="inlineStr">
        <is>
          <t>sim</t>
        </is>
      </c>
      <c r="AI25" s="41" t="n"/>
      <c r="AJ25" s="162" t="inlineStr">
        <is>
          <t>perícias que faltam</t>
        </is>
      </c>
      <c r="AK25" s="164">
        <f>MAX(0,DADOS!$AK$19-DADOS!$AK$13)</f>
        <v/>
      </c>
      <c r="AL25" s="41" t="n"/>
      <c r="AM25" s="41" t="n"/>
      <c r="AN25" s="41" t="n"/>
      <c r="AO25" s="41" t="n"/>
      <c r="AP25" s="41" t="n"/>
      <c r="AQ25" s="164" t="n">
        <v>22</v>
      </c>
      <c r="AR25" s="164">
        <f>DADOS_CONFIG!$Z$23</f>
        <v/>
      </c>
      <c r="AS25" s="41" t="n"/>
      <c r="AT25" s="41" t="n"/>
      <c r="AU25" s="41" t="n"/>
      <c r="AV25" s="41" t="n"/>
      <c r="AW25" s="41" t="n"/>
      <c r="AX25" s="41" t="n"/>
      <c r="AY25" s="41" t="n"/>
      <c r="AZ25" s="41" t="n"/>
      <c r="BA25" s="162" t="inlineStr">
        <is>
          <t>energia</t>
        </is>
      </c>
      <c r="BB25" s="162">
        <f>ADDRESS(ROW(FICHA!D30),COLUMN(FICHA!D30),4)</f>
        <v/>
      </c>
      <c r="BD25" s="162" t="inlineStr">
        <is>
          <t>Kunai</t>
        </is>
      </c>
      <c r="BE25" s="162" t="inlineStr">
        <is>
          <t>Arremesso</t>
        </is>
      </c>
      <c r="BF25" s="164" t="n">
        <v>1</v>
      </c>
      <c r="BG25" s="162" t="inlineStr">
        <is>
          <t>1d6</t>
        </is>
      </c>
      <c r="BH25" s="162" t="inlineStr">
        <is>
          <t>Longo Alcance · Oculta · Leve</t>
        </is>
      </c>
      <c r="BI25" s="162" t="inlineStr">
        <is>
          <t>—</t>
        </is>
      </c>
      <c r="BJ25" s="164" t="n">
        <v>0.2</v>
      </c>
      <c r="BK25" s="162" t="inlineStr">
        <is>
          <t>6 m, longa 18 m</t>
        </is>
      </c>
      <c r="BM25" s="164">
        <f>'FICHA PESSOAL'!$M$81</f>
        <v/>
      </c>
      <c r="BN25" s="164">
        <f>ADDRESS(ROW('FICHA PESSOAL'!M81),COLUMN('FICHA PESSOAL'!M81),4)</f>
        <v/>
      </c>
      <c r="CY25" s="162" t="inlineStr">
        <is>
          <t>guardados para a principal</t>
        </is>
      </c>
      <c r="CZ25" s="164">
        <f>SUMPRODUCT(--('FICHA PESSOAL'!$D$92:$D$99&lt;&gt;""),--('FICHA PESSOAL'!$M$92:$M$99&lt;&gt;"Escudo"))</f>
        <v/>
      </c>
      <c r="DO25" s="162" t="inlineStr">
        <is>
          <t>menor 2</t>
        </is>
      </c>
      <c r="DP25" s="164">
        <f>ADDRESS(ROW('FICHA PESSOAL'!AH44),COLUMN('FICHA PESSOAL'!AH44),4)</f>
        <v/>
      </c>
      <c r="DR25" s="162" t="inlineStr">
        <is>
          <t>Certeza Momentânea</t>
        </is>
      </c>
      <c r="DS25" s="162" t="inlineStr">
        <is>
          <t>Latente</t>
        </is>
      </c>
      <c r="DT25" s="162" t="inlineStr">
        <is>
          <t>menor</t>
        </is>
      </c>
      <c r="DU25" s="162" t="inlineStr"/>
      <c r="DV25" s="162" t="inlineStr">
        <is>
          <t>Uma vez por dia</t>
        </is>
      </c>
      <c r="DW25" s="162" t="inlineStr">
        <is>
          <t>Por um instante, a hesitação desaparece. Uma vez por dia, antes de rolar um teste de perícia treinada, declare o uso. Se o resultado usado do d20 for menor que 10, trate-o como 10 e some os modificadores normais. O uso é gasto mesmo se o dado já mostrar 10 ou mais. Não se aplica a Ofícios, ataques ou TRs.</t>
        </is>
      </c>
    </row>
    <row r="26" ht="17.25" customHeight="1">
      <c r="A26" s="41" t="n"/>
      <c r="B26" s="162" t="inlineStr">
        <is>
          <t>Provocar</t>
        </is>
      </c>
      <c r="C26" s="41" t="n"/>
      <c r="D26" s="41" t="n"/>
      <c r="E26" s="41" t="n"/>
      <c r="F26" s="162" t="inlineStr">
        <is>
          <t>Condição</t>
        </is>
      </c>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1" t="n"/>
      <c r="AB26" s="162" t="inlineStr">
        <is>
          <t>Atuação</t>
        </is>
      </c>
      <c r="AC26" s="162" t="inlineStr">
        <is>
          <t>Essência</t>
        </is>
      </c>
      <c r="AD26" s="41" t="n"/>
      <c r="AE26" s="162" t="inlineStr">
        <is>
          <t>Revestimento 2 + Broquel</t>
        </is>
      </c>
      <c r="AF26" s="164" t="n">
        <v>6</v>
      </c>
      <c r="AG26" s="164" t="n">
        <v>0</v>
      </c>
      <c r="AH26" s="164" t="inlineStr">
        <is>
          <t>sim</t>
        </is>
      </c>
      <c r="AI26" s="41" t="n"/>
      <c r="AJ26" s="162" t="inlineStr">
        <is>
          <t>ofícios que faltam</t>
        </is>
      </c>
      <c r="AK26" s="164">
        <f>MAX(0,DADOS!$AK$20-DADOS!$AK$14)</f>
        <v/>
      </c>
      <c r="AL26" s="41" t="n"/>
      <c r="AM26" s="41" t="n"/>
      <c r="AN26" s="41" t="n"/>
      <c r="AO26" s="41" t="n"/>
      <c r="AP26" s="41" t="n"/>
      <c r="AQ26" s="164" t="n">
        <v>23</v>
      </c>
      <c r="AR26" s="164">
        <f>DADOS_CONFIG!$Z$24</f>
        <v/>
      </c>
      <c r="AS26" s="41" t="n"/>
      <c r="AT26" s="41" t="n"/>
      <c r="AU26" s="41" t="n"/>
      <c r="AV26" s="41" t="n"/>
      <c r="AW26" s="41" t="n"/>
      <c r="AX26" s="41" t="n"/>
      <c r="AY26" s="41" t="n"/>
      <c r="AZ26" s="41" t="n"/>
      <c r="BA26" s="162" t="inlineStr">
        <is>
          <t>energia_max</t>
        </is>
      </c>
      <c r="BB26" s="162">
        <f>ADDRESS(ROW(FICHA!J30),COLUMN(FICHA!J30),4)</f>
        <v/>
      </c>
      <c r="BD26" s="162" t="inlineStr">
        <is>
          <t>Kusarigama</t>
        </is>
      </c>
      <c r="BE26" s="162" t="inlineStr">
        <is>
          <t>Ceifa</t>
        </is>
      </c>
      <c r="BF26" s="164" t="n">
        <v>2</v>
      </c>
      <c r="BG26" s="162" t="inlineStr">
        <is>
          <t>1d8</t>
        </is>
      </c>
      <c r="BH26" s="162" t="inlineStr">
        <is>
          <t>Alcance · Emaranha · Longo Alcance</t>
        </is>
      </c>
      <c r="BI26" s="162" t="inlineStr">
        <is>
          <t>—</t>
        </is>
      </c>
      <c r="BJ26" s="164" t="n">
        <v>2</v>
      </c>
      <c r="BK26" s="162" t="inlineStr">
        <is>
          <t>6 m, longa 18 m</t>
        </is>
      </c>
      <c r="BM26" s="164">
        <f>'FICHA PESSOAL'!$V$80</f>
        <v/>
      </c>
      <c r="BN26" s="164">
        <f>ADDRESS(ROW('FICHA PESSOAL'!V80),COLUMN('FICHA PESSOAL'!V80),4)</f>
        <v/>
      </c>
      <c r="CY26" s="162" t="inlineStr">
        <is>
          <t>guardados para a secundária</t>
        </is>
      </c>
      <c r="CZ26" s="164">
        <f>SUMPRODUCT(--('FICHA PESSOAL'!$D$92:$D$99&lt;&gt;""),--((('FICHA PESSOAL'!$M$92:$M$99="Escudo")+('FICHA PESSOAL'!$S$92:$S$99=1))&gt;0))</f>
        <v/>
      </c>
      <c r="DO26" s="162" t="inlineStr">
        <is>
          <t>texto da marcante</t>
        </is>
      </c>
      <c r="DP26" s="164">
        <f>ADDRESS(ROW('FICHA PESSOAL'!D45),COLUMN('FICHA PESSOAL'!D45),4)</f>
        <v/>
      </c>
      <c r="DR26" s="162" t="inlineStr">
        <is>
          <t>Gambiarra</t>
        </is>
      </c>
      <c r="DS26" s="162" t="inlineStr">
        <is>
          <t>Latente</t>
        </is>
      </c>
      <c r="DT26" s="162" t="inlineStr">
        <is>
          <t>menor</t>
        </is>
      </c>
      <c r="DU26" s="162" t="inlineStr"/>
      <c r="DV26" s="162" t="inlineStr">
        <is>
          <t>Uma vez por dia</t>
        </is>
      </c>
      <c r="DW26" s="162" t="inlineStr">
        <is>
          <t>Você aprendeu a resolver problemas com o que tinha à mão. Uma vez por dia, antes de um teste de Ofício em que não tenha treino, pode realizar a tentativa como treinado, somando sua Maestria, e usar objetos disponíveis como ferramentas improvisadas adequadas à tarefa.
Mantenha tempo, materiais e demais requisitos. O uso vale para uma tentativa e é gasto mesmo na falha. Não pode criar itens, realizar invocações ou obter aquisições permanentes por este benefício.</t>
        </is>
      </c>
    </row>
    <row r="27" ht="17.25" customHeight="1">
      <c r="A27" s="41" t="n"/>
      <c r="B27" s="41" t="n"/>
      <c r="C27" s="41" t="n"/>
      <c r="D27" s="41" t="n"/>
      <c r="E27" s="41" t="n"/>
      <c r="F27" s="162" t="inlineStr">
        <is>
          <t>Terreno</t>
        </is>
      </c>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c r="AA27" s="41" t="n"/>
      <c r="AB27" s="162" t="inlineStr">
        <is>
          <t>Provocar</t>
        </is>
      </c>
      <c r="AC27" s="162" t="inlineStr">
        <is>
          <t>Essência</t>
        </is>
      </c>
      <c r="AD27" s="41" t="n"/>
      <c r="AE27" s="162" t="inlineStr">
        <is>
          <t>Revestimento 2 + Médio</t>
        </is>
      </c>
      <c r="AF27" s="164" t="n">
        <v>7</v>
      </c>
      <c r="AG27" s="164" t="n">
        <v>0</v>
      </c>
      <c r="AH27" s="164" t="inlineStr">
        <is>
          <t>sim</t>
        </is>
      </c>
      <c r="AI27" s="41" t="n"/>
      <c r="AJ27" s="162" t="inlineStr">
        <is>
          <t>perícias que faltam sem ofício</t>
        </is>
      </c>
      <c r="AK27" s="164">
        <f>MAX(0,DADOS_CONFIG!$S$8-DADOS!$AK$13)</f>
        <v/>
      </c>
      <c r="AL27" s="41" t="n"/>
      <c r="AM27" s="41" t="n"/>
      <c r="AN27" s="41" t="n"/>
      <c r="AO27" s="41" t="n"/>
      <c r="AP27" s="41" t="n"/>
      <c r="AQ27" s="164" t="n">
        <v>24</v>
      </c>
      <c r="AR27" s="164">
        <f>DADOS_CONFIG!$Z$25</f>
        <v/>
      </c>
      <c r="AS27" s="41" t="n"/>
      <c r="AT27" s="41" t="n"/>
      <c r="AU27" s="41" t="n"/>
      <c r="AV27" s="41" t="n"/>
      <c r="AW27" s="41" t="n"/>
      <c r="AX27" s="41" t="n"/>
      <c r="AY27" s="41" t="n"/>
      <c r="AZ27" s="41" t="n"/>
      <c r="BA27" s="162" t="inlineStr">
        <is>
          <t>energia_temp</t>
        </is>
      </c>
      <c r="BB27" s="162">
        <f>ADDRESS(ROW(FICHA!AF30),COLUMN(FICHA!AF30),4)</f>
        <v/>
      </c>
      <c r="BD27" s="162" t="inlineStr">
        <is>
          <t>Lança</t>
        </is>
      </c>
      <c r="BE27" s="162" t="inlineStr">
        <is>
          <t>Armas Longas</t>
        </is>
      </c>
      <c r="BF27" s="164" t="n">
        <v>1</v>
      </c>
      <c r="BG27" s="162" t="inlineStr">
        <is>
          <t>1d6</t>
        </is>
      </c>
      <c r="BH27" s="162" t="inlineStr">
        <is>
          <t>Alcance · Longo Alcance</t>
        </is>
      </c>
      <c r="BI27" s="162" t="inlineStr">
        <is>
          <t>—</t>
        </is>
      </c>
      <c r="BJ27" s="164" t="n">
        <v>2</v>
      </c>
      <c r="BK27" s="162" t="inlineStr">
        <is>
          <t>6 m, longa 18 m</t>
        </is>
      </c>
      <c r="BM27" s="164">
        <f>'FICHA PESSOAL'!$AM$78</f>
        <v/>
      </c>
      <c r="BN27" s="164">
        <f>ADDRESS(ROW('FICHA PESSOAL'!AM78),COLUMN('FICHA PESSOAL'!AM78),4)</f>
        <v/>
      </c>
      <c r="CY27" s="162" t="inlineStr">
        <is>
          <t>uniforme vale</t>
        </is>
      </c>
      <c r="CZ27" s="164">
        <f>IF(ISNUMBER(MATCH('FICHA PESSOAL'!$AH$64,'DADOS_CUSTOM'!$AM$2:$AM$57,0)),1,0)</f>
        <v/>
      </c>
      <c r="DO27" s="162" t="inlineStr">
        <is>
          <t>texto do menor 1</t>
        </is>
      </c>
      <c r="DP27" s="164">
        <f>ADDRESS(ROW('FICHA PESSOAL'!R45),COLUMN('FICHA PESSOAL'!R45),4)</f>
        <v/>
      </c>
      <c r="DR27" s="162" t="inlineStr">
        <is>
          <t>Memória Corporal</t>
        </is>
      </c>
      <c r="DS27" s="162" t="inlineStr">
        <is>
          <t>Receptáculo</t>
        </is>
      </c>
      <c r="DT27" s="162" t="inlineStr">
        <is>
          <t>menor</t>
        </is>
      </c>
      <c r="DU27" s="162" t="inlineStr"/>
      <c r="DV27" s="162" t="inlineStr">
        <is>
          <t>Uma vez por dia</t>
        </is>
      </c>
      <c r="DW27" s="162" t="inlineStr">
        <is>
          <t>Uma vez por dia, use uma Ação Bônus para receber treino em uma perícia até o fim da cena. Não concede especialização, treino permanente ou bônus adicional numa perícia já treinada. Ofícios, TRs e Aptidões ficam fora.</t>
        </is>
      </c>
    </row>
    <row r="28" ht="17.25" customHeight="1">
      <c r="A28" s="41" t="n"/>
      <c r="B28" s="41" t="n"/>
      <c r="C28" s="41" t="n"/>
      <c r="D28" s="41" t="n"/>
      <c r="E28" s="41" t="n"/>
      <c r="F28" s="162" t="inlineStr">
        <is>
          <t>Cerca</t>
        </is>
      </c>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c r="AA28" s="41" t="n"/>
      <c r="AB28" s="41" t="n"/>
      <c r="AC28" s="41" t="n"/>
      <c r="AD28" s="41" t="n"/>
      <c r="AE28" s="162" t="inlineStr">
        <is>
          <t>Revestimento 2 + Torre</t>
        </is>
      </c>
      <c r="AF28" s="164" t="n">
        <v>8</v>
      </c>
      <c r="AG28" s="164" t="n">
        <v>0</v>
      </c>
      <c r="AH28" s="164" t="inlineStr">
        <is>
          <t>sim</t>
        </is>
      </c>
      <c r="AI28" s="41" t="n"/>
      <c r="AJ28" s="162" t="inlineStr">
        <is>
          <t>Corpo por escolher sem ofício</t>
        </is>
      </c>
      <c r="AK28" s="164">
        <f>DADOS!$AK$16-MAX(0,DADOS!$AK$13-DADOS_CONFIG!$S$8)-MAX(0,DADOS!$AK$14-0)</f>
        <v/>
      </c>
      <c r="AL28" s="41" t="n"/>
      <c r="AM28" s="41" t="n"/>
      <c r="AN28" s="41" t="n"/>
      <c r="AO28" s="41" t="n"/>
      <c r="AP28" s="41" t="n"/>
      <c r="AQ28" s="164" t="n">
        <v>25</v>
      </c>
      <c r="AR28" s="164">
        <f>DADOS_CONFIG!$Z$26</f>
        <v/>
      </c>
      <c r="AS28" s="41" t="n"/>
      <c r="AT28" s="41" t="n"/>
      <c r="AU28" s="41" t="n"/>
      <c r="AV28" s="41" t="n"/>
      <c r="AW28" s="41" t="n"/>
      <c r="AX28" s="41" t="n"/>
      <c r="AY28" s="41" t="n"/>
      <c r="AZ28" s="41" t="n"/>
      <c r="BA28" s="162" t="inlineStr">
        <is>
          <t>energia_delta</t>
        </is>
      </c>
      <c r="BB28" s="162">
        <f>ADDRESS(ROW(FICHA!AM30),COLUMN(FICHA!AM30),4)</f>
        <v/>
      </c>
      <c r="BD28" s="162" t="inlineStr">
        <is>
          <t>Maça</t>
        </is>
      </c>
      <c r="BE28" s="162" t="inlineStr">
        <is>
          <t>Massa</t>
        </is>
      </c>
      <c r="BF28" s="164" t="n">
        <v>1</v>
      </c>
      <c r="BG28" s="162" t="inlineStr">
        <is>
          <t>1d8</t>
        </is>
      </c>
      <c r="BH28" s="162" t="inlineStr">
        <is>
          <t>Talha</t>
        </is>
      </c>
      <c r="BI28" s="162" t="inlineStr">
        <is>
          <t>—</t>
        </is>
      </c>
      <c r="BJ28" s="164" t="n">
        <v>1</v>
      </c>
      <c r="BM28" s="164">
        <f>'FICHA PESSOAL'!$AM$75</f>
        <v/>
      </c>
      <c r="BN28" s="164">
        <f>ADDRESS(ROW('FICHA PESSOAL'!AM75),COLUMN('FICHA PESSOAL'!AM75),4)</f>
        <v/>
      </c>
      <c r="CY28" s="162" t="inlineStr">
        <is>
          <t>proteção do uniforme</t>
        </is>
      </c>
      <c r="CZ28" s="164">
        <f>IF(DADOS!$CZ$27=1,VLOOKUP('FICHA PESSOAL'!$AH$64,'DADOS_CUSTOM'!$AM$2:$AS$57,2,FALSE),0)</f>
        <v/>
      </c>
      <c r="DO28" s="162" t="inlineStr">
        <is>
          <t>texto do menor 2</t>
        </is>
      </c>
      <c r="DP28" s="164">
        <f>ADDRESS(ROW('FICHA PESSOAL'!AH45),COLUMN('FICHA PESSOAL'!AH45),4)</f>
        <v/>
      </c>
      <c r="DR28" s="162" t="inlineStr">
        <is>
          <t>Traço Incorporado</t>
        </is>
      </c>
      <c r="DS28" s="162" t="inlineStr">
        <is>
          <t>Receptáculo</t>
        </is>
      </c>
      <c r="DT28" s="162" t="inlineStr">
        <is>
          <t>menor</t>
        </is>
      </c>
      <c r="DU28" s="162" t="inlineStr"/>
      <c r="DV28" s="162" t="inlineStr">
        <is>
          <t>Passiva</t>
        </is>
      </c>
      <c r="DW28" s="162" t="inlineStr">
        <is>
          <t>Receba um Talento passivo de Categoria de Efeito 1, fixo e compatível com sua ficha. Cumpra seus requisitos e limites. Ele fica fora dos espaços conhecidos e dos cinco Talentos pagos, como Manifestação Instintiva, sem duplicação ou evolução gratuita. Não concede uma Aptidão ou outra Regra.</t>
        </is>
      </c>
    </row>
    <row r="29" ht="17.25" customHeight="1">
      <c r="A29" s="41" t="n"/>
      <c r="B29" s="41" t="n"/>
      <c r="C29" s="41" t="n"/>
      <c r="D29" s="41" t="n"/>
      <c r="E29" s="41" t="n"/>
      <c r="F29" s="162" t="inlineStr">
        <is>
          <t>Desarma o Feitiço</t>
        </is>
      </c>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c r="AE29" s="162" t="inlineStr">
        <is>
          <t>Revestimento 3 + Broquel</t>
        </is>
      </c>
      <c r="AF29" s="164" t="n">
        <v>7</v>
      </c>
      <c r="AG29" s="164" t="n">
        <v>0</v>
      </c>
      <c r="AH29" s="164" t="inlineStr">
        <is>
          <t>sim</t>
        </is>
      </c>
      <c r="AI29" s="41" t="n"/>
      <c r="AJ29" s="162" t="inlineStr">
        <is>
          <t>testes treinados</t>
        </is>
      </c>
      <c r="AK29" s="164">
        <f>COUNTIF(FICHA!$AF$108:$AF$111,TRUE)</f>
        <v/>
      </c>
      <c r="AL29" s="41" t="n"/>
      <c r="AM29" s="41" t="n"/>
      <c r="AN29" s="41" t="n"/>
      <c r="AO29" s="41" t="n"/>
      <c r="AP29" s="41" t="n"/>
      <c r="AQ29" s="164" t="n">
        <v>26</v>
      </c>
      <c r="AR29" s="164">
        <f>DADOS_CONFIG!$Z$27</f>
        <v/>
      </c>
      <c r="AS29" s="41" t="n"/>
      <c r="AT29" s="41" t="n"/>
      <c r="AU29" s="41" t="n"/>
      <c r="AV29" s="41" t="n"/>
      <c r="AW29" s="41" t="n"/>
      <c r="AX29" s="41" t="n"/>
      <c r="AY29" s="41" t="n"/>
      <c r="AZ29" s="41" t="n"/>
      <c r="BA29" s="162" t="inlineStr">
        <is>
          <t>integridade</t>
        </is>
      </c>
      <c r="BB29" s="162">
        <f>ADDRESS(ROW(FICHA!D34),COLUMN(FICHA!D34),4)</f>
        <v/>
      </c>
      <c r="BD29" s="162" t="inlineStr">
        <is>
          <t>Machadinha</t>
        </is>
      </c>
      <c r="BE29" s="162" t="inlineStr">
        <is>
          <t>Machado</t>
        </is>
      </c>
      <c r="BF29" s="164" t="n">
        <v>1</v>
      </c>
      <c r="BG29" s="162" t="inlineStr">
        <is>
          <t>1d6</t>
        </is>
      </c>
      <c r="BH29" s="162" t="inlineStr">
        <is>
          <t>Longo Alcance · Rompe</t>
        </is>
      </c>
      <c r="BI29" s="162" t="inlineStr">
        <is>
          <t>—</t>
        </is>
      </c>
      <c r="BJ29" s="164" t="n">
        <v>0.5</v>
      </c>
      <c r="BK29" s="162" t="inlineStr">
        <is>
          <t>6 m, longa 18 m</t>
        </is>
      </c>
      <c r="BM29" s="164">
        <f>'FICHA PESSOAL'!$D$81</f>
        <v/>
      </c>
      <c r="BN29" s="164">
        <f>ADDRESS(ROW('FICHA PESSOAL'!D81),COLUMN('FICHA PESSOAL'!D81),4)</f>
        <v/>
      </c>
      <c r="CY29" s="162" t="inlineStr">
        <is>
          <t>teto do uniforme</t>
        </is>
      </c>
      <c r="CZ29" s="164">
        <f>IF(DADOS!$CZ$27=1,VLOOKUP('FICHA PESSOAL'!$AH$64,'DADOS_CUSTOM'!$AM$2:$AS$57,3,FALSE),"")</f>
        <v/>
      </c>
      <c r="DO29" s="162" t="inlineStr">
        <is>
          <t>legados de história</t>
        </is>
      </c>
      <c r="DP29" s="164">
        <f>ADDRESS(ROW('FICHA PESSOAL'!D54),COLUMN('FICHA PESSOAL'!D54),4)</f>
        <v/>
      </c>
      <c r="DR29" s="162" t="inlineStr">
        <is>
          <t>Voz Intrusa</t>
        </is>
      </c>
      <c r="DS29" s="162" t="inlineStr">
        <is>
          <t>Receptáculo</t>
        </is>
      </c>
      <c r="DT29" s="162" t="inlineStr">
        <is>
          <t>menor</t>
        </is>
      </c>
      <c r="DU29" s="162" t="inlineStr"/>
      <c r="DV29" s="162" t="inlineStr">
        <is>
          <t>Uma vez por cena</t>
        </is>
      </c>
      <c r="DW29" s="162" t="inlineStr">
        <is>
          <t>A outra voz atravessa sua fala e provoca o adversário. Uma vez por cena, durante seu turno, pode usar uma Ação de Movimento para Provocar. Mantenha rolagem, TR do alvo, requisitos, efeitos e riscos da ação. Não recebe deslocamento junto dessa ação; o uso normal de Provocar continua disponível.</t>
        </is>
      </c>
    </row>
    <row r="30" ht="17.25" customHeight="1">
      <c r="A30" s="41" t="n"/>
      <c r="B30" s="41" t="n"/>
      <c r="C30" s="41" t="n"/>
      <c r="D30" s="41" t="n"/>
      <c r="E30" s="41" t="n"/>
      <c r="F30" s="162" t="inlineStr">
        <is>
          <t>Anteparo</t>
        </is>
      </c>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c r="AA30" s="41" t="n"/>
      <c r="AB30" s="41" t="n"/>
      <c r="AC30" s="41" t="n"/>
      <c r="AD30" s="41" t="n"/>
      <c r="AE30" s="162" t="inlineStr">
        <is>
          <t>Revestimento 3 + Médio</t>
        </is>
      </c>
      <c r="AF30" s="164" t="n">
        <v>8</v>
      </c>
      <c r="AG30" s="164" t="n">
        <v>0</v>
      </c>
      <c r="AH30" s="164" t="inlineStr">
        <is>
          <t>sim</t>
        </is>
      </c>
      <c r="AI30" s="41" t="n"/>
      <c r="AJ30" s="162" t="inlineStr">
        <is>
          <t>sem energia</t>
        </is>
      </c>
      <c r="AK30" s="164">
        <f>IF('DADOS_CUSTOM'!$B$121,IF('DADOS_CUSTOM'!$B$122="Técnica Marcial sem energia",1,0),IF(FICHA!$X$11="Restrição Celestial · Sem Energia",1,0))</f>
        <v/>
      </c>
      <c r="AL30" s="41" t="n"/>
      <c r="AM30" s="41" t="n"/>
      <c r="AN30" s="41" t="n"/>
      <c r="AO30" s="41" t="n"/>
      <c r="AP30" s="41" t="n"/>
      <c r="AQ30" s="164" t="n">
        <v>27</v>
      </c>
      <c r="AR30" s="164">
        <f>DADOS_CONFIG!$Z$28</f>
        <v/>
      </c>
      <c r="AS30" s="41" t="n"/>
      <c r="AT30" s="41" t="n"/>
      <c r="AU30" s="41" t="n"/>
      <c r="AV30" s="41" t="n"/>
      <c r="AW30" s="41" t="n"/>
      <c r="AX30" s="41" t="n"/>
      <c r="AY30" s="41" t="n"/>
      <c r="AZ30" s="41" t="n"/>
      <c r="BA30" s="162" t="inlineStr">
        <is>
          <t>integridade_max</t>
        </is>
      </c>
      <c r="BB30" s="162">
        <f>ADDRESS(ROW(FICHA!J34),COLUMN(FICHA!J34),4)</f>
        <v/>
      </c>
      <c r="BD30" s="162" t="inlineStr">
        <is>
          <t>Machado</t>
        </is>
      </c>
      <c r="BE30" s="162" t="inlineStr">
        <is>
          <t>Machado</t>
        </is>
      </c>
      <c r="BF30" s="164" t="n">
        <v>1</v>
      </c>
      <c r="BG30" s="162" t="inlineStr">
        <is>
          <t>1d8</t>
        </is>
      </c>
      <c r="BH30" s="162" t="inlineStr">
        <is>
          <t>Rompe</t>
        </is>
      </c>
      <c r="BI30" s="162" t="inlineStr">
        <is>
          <t>—</t>
        </is>
      </c>
      <c r="BJ30" s="164" t="n">
        <v>1</v>
      </c>
      <c r="BM30" s="164">
        <f>'FICHA PESSOAL'!$D$82</f>
        <v/>
      </c>
      <c r="BN30" s="164">
        <f>ADDRESS(ROW('FICHA PESSOAL'!D82),COLUMN('FICHA PESSOAL'!D82),4)</f>
        <v/>
      </c>
      <c r="CY30" s="162" t="inlineStr">
        <is>
          <t>força do uniforme</t>
        </is>
      </c>
      <c r="CZ30" s="164">
        <f>IF(DADOS!$CZ$27=1,VLOOKUP('FICHA PESSOAL'!$AH$64,'DADOS_CUSTOM'!$AM$2:$AS$57,4,FALSE),0)</f>
        <v/>
      </c>
      <c r="DO30" s="162" t="inlineStr">
        <is>
          <t>ofício compatível</t>
        </is>
      </c>
      <c r="DP30" s="164">
        <f>ADDRESS(ROW('FICHA PESSOAL'!AH54),COLUMN('FICHA PESSOAL'!AH54),4)</f>
        <v/>
      </c>
      <c r="DR30" s="162" t="inlineStr">
        <is>
          <t>Foco Inscrito</t>
        </is>
      </c>
      <c r="DS30" s="162" t="inlineStr">
        <is>
          <t>Receptáculo</t>
        </is>
      </c>
      <c r="DT30" s="162" t="inlineStr">
        <is>
          <t>menor</t>
        </is>
      </c>
      <c r="DU30" s="162" t="inlineStr"/>
      <c r="DV30" s="162" t="inlineStr">
        <is>
          <t>Uma vez por cena</t>
        </is>
      </c>
      <c r="DW30" s="162" t="inlineStr">
        <is>
          <t>Uma vez por cena, após falhar em um TR para manter Concentração por ter sofrido dano, repita o teste e aceite o segundo resultado. Conserve a CD e os modificadores. Não permite duas Concentrações nem restaura um efeito encerrado por outro motivo.</t>
        </is>
      </c>
    </row>
    <row r="31" ht="17.25" customHeight="1">
      <c r="A31" s="41" t="n"/>
      <c r="B31" s="41" t="n"/>
      <c r="C31" s="41" t="n"/>
      <c r="D31" s="41" t="n"/>
      <c r="E31" s="41" t="n"/>
      <c r="F31" s="162" t="inlineStr">
        <is>
          <t>Prende</t>
        </is>
      </c>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c r="AE31" s="162" t="inlineStr">
        <is>
          <t>Revestimento 3 + Torre</t>
        </is>
      </c>
      <c r="AF31" s="164" t="n">
        <v>9</v>
      </c>
      <c r="AG31" s="164" t="n">
        <v>0</v>
      </c>
      <c r="AH31" s="164" t="inlineStr">
        <is>
          <t>sim</t>
        </is>
      </c>
      <c r="AI31" s="41" t="n"/>
      <c r="AJ31" s="162" t="inlineStr">
        <is>
          <t>sem técnica</t>
        </is>
      </c>
      <c r="AK31" s="164">
        <f>IF('DADOS_CUSTOM'!$B$121,IF('DADOS_CUSTOM'!$B$122="Manejos",1,0),IF(ISNUMBER(SEARCH(" · Sem Técnica",FICHA!$X$11)),1,0))</f>
        <v/>
      </c>
      <c r="AL31" s="41" t="n"/>
      <c r="AM31" s="41" t="n"/>
      <c r="AN31" s="41" t="n"/>
      <c r="AO31" s="41" t="n"/>
      <c r="AP31" s="41" t="n"/>
      <c r="AQ31" s="164" t="n">
        <v>28</v>
      </c>
      <c r="AR31" s="164">
        <f>DADOS_CONFIG!$Z$29</f>
        <v/>
      </c>
      <c r="AS31" s="41" t="n"/>
      <c r="AT31" s="41" t="n"/>
      <c r="AU31" s="41" t="n"/>
      <c r="AV31" s="41" t="n"/>
      <c r="AW31" s="41" t="n"/>
      <c r="AX31" s="41" t="n"/>
      <c r="AY31" s="41" t="n"/>
      <c r="AZ31" s="41" t="n"/>
      <c r="BA31" s="162" t="inlineStr">
        <is>
          <t>integridade_temp</t>
        </is>
      </c>
      <c r="BB31" s="162">
        <f>ADDRESS(ROW(FICHA!AF34),COLUMN(FICHA!AF34),4)</f>
        <v/>
      </c>
      <c r="BD31" s="162" t="inlineStr">
        <is>
          <t>Machado de Guerra</t>
        </is>
      </c>
      <c r="BE31" s="162" t="inlineStr">
        <is>
          <t>Machado</t>
        </is>
      </c>
      <c r="BF31" s="164" t="n">
        <v>2</v>
      </c>
      <c r="BG31" s="162" t="inlineStr">
        <is>
          <t>1d12</t>
        </is>
      </c>
      <c r="BH31" s="162" t="inlineStr">
        <is>
          <t>Rompe · Talha · Volumosa</t>
        </is>
      </c>
      <c r="BI31" s="164" t="n">
        <v>3</v>
      </c>
      <c r="BJ31" s="164" t="n">
        <v>2</v>
      </c>
      <c r="BM31" s="164">
        <f>'FICHA PESSOAL'!$D$83</f>
        <v/>
      </c>
      <c r="BN31" s="164">
        <f>ADDRESS(ROW('FICHA PESSOAL'!D83),COLUMN('FICHA PESSOAL'!D83),4)</f>
        <v/>
      </c>
      <c r="CY31" s="162" t="inlineStr">
        <is>
          <t>volume do uniforme</t>
        </is>
      </c>
      <c r="CZ31" s="164">
        <f>IF(DADOS!$CZ$27=1,VLOOKUP('FICHA PESSOAL'!$AH$64,'DADOS_CUSTOM'!$AM$2:$AS$57,5,FALSE),0)</f>
        <v/>
      </c>
      <c r="DO31" s="162" t="inlineStr">
        <is>
          <t>talento de categoria de efeito 4</t>
        </is>
      </c>
      <c r="DP31" s="164">
        <f>ADDRESS(ROW('FICHA PESSOAL'!D58),COLUMN('FICHA PESSOAL'!D58),4)</f>
        <v/>
      </c>
      <c r="DR31" s="162" t="inlineStr">
        <is>
          <t>Reserva Residual</t>
        </is>
      </c>
      <c r="DS31" s="162" t="inlineStr">
        <is>
          <t>Receptáculo</t>
        </is>
      </c>
      <c r="DT31" s="162" t="inlineStr">
        <is>
          <t>menor</t>
        </is>
      </c>
      <c r="DU31" s="162" t="inlineStr"/>
      <c r="DV31" s="162" t="inlineStr">
        <is>
          <t>Uma vez por dia</t>
        </is>
      </c>
      <c r="DW31" s="162" t="inlineStr">
        <is>
          <t>Uma vez por dia, depois de resolver o uso que gastou seus últimos PE comuns e temporários, receba Constituição ou Essência + Maestria em PE temporários, sem ação. Escolha o atributo no uso e use seu valor inteiro. A reserva dura até o fim da cena e respeita o teto de metade dos PE máximos.</t>
        </is>
      </c>
    </row>
    <row r="32" ht="17.25" customHeight="1">
      <c r="A32" s="41" t="n"/>
      <c r="B32" s="41" t="n"/>
      <c r="C32" s="41" t="n"/>
      <c r="D32" s="41" t="n"/>
      <c r="E32" s="41" t="n"/>
      <c r="F32" s="162" t="inlineStr">
        <is>
          <t>Puxa</t>
        </is>
      </c>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c r="AA32" s="41" t="n"/>
      <c r="AB32" s="41" t="n"/>
      <c r="AC32" s="41" t="n"/>
      <c r="AD32" s="41" t="n"/>
      <c r="AE32" s="41" t="n"/>
      <c r="AF32" s="41" t="n"/>
      <c r="AG32" s="41" t="n"/>
      <c r="AH32" s="41" t="n"/>
      <c r="AI32" s="41" t="n"/>
      <c r="AJ32" s="162" t="inlineStr">
        <is>
          <t>técnica marcial</t>
        </is>
      </c>
      <c r="AK32" s="164">
        <f>IF('DADOS_CUSTOM'!$B$121,IF(OR('DADOS_CUSTOM'!$B$122="Técnica Marcial com energia",'DADOS_CUSTOM'!$B$122="Técnica Marcial sem energia"),1,0),IF(OR(FICHA!$X$11="Corpo Amaldiçoado",FICHA!$X$11="Restrição Celestial · Sem Energia"),1,0))</f>
        <v/>
      </c>
      <c r="AL32" s="41" t="n"/>
      <c r="AM32" s="41" t="n"/>
      <c r="AN32" s="41" t="n"/>
      <c r="AO32" s="41" t="n"/>
      <c r="AP32" s="41" t="n"/>
      <c r="AQ32" s="164" t="n">
        <v>29</v>
      </c>
      <c r="AR32" s="164">
        <f>DADOS_CONFIG!$Z$30</f>
        <v/>
      </c>
      <c r="AS32" s="41" t="n"/>
      <c r="AT32" s="41" t="n"/>
      <c r="AU32" s="41" t="n"/>
      <c r="AV32" s="41" t="n"/>
      <c r="AW32" s="41" t="n"/>
      <c r="AX32" s="41" t="n"/>
      <c r="AY32" s="41" t="n"/>
      <c r="AZ32" s="41" t="n"/>
      <c r="BA32" s="162" t="inlineStr">
        <is>
          <t>integridade_delta</t>
        </is>
      </c>
      <c r="BB32" s="162">
        <f>ADDRESS(ROW(FICHA!AM34),COLUMN(FICHA!AM34),4)</f>
        <v/>
      </c>
      <c r="BD32" s="162" t="inlineStr">
        <is>
          <t>Machete</t>
        </is>
      </c>
      <c r="BE32" s="162" t="inlineStr">
        <is>
          <t>Lâmina Longa</t>
        </is>
      </c>
      <c r="BF32" s="164" t="n">
        <v>1</v>
      </c>
      <c r="BG32" s="162" t="inlineStr">
        <is>
          <t>1d8</t>
        </is>
      </c>
      <c r="BH32" s="162" t="inlineStr">
        <is>
          <t>Rompe</t>
        </is>
      </c>
      <c r="BI32" s="162" t="inlineStr">
        <is>
          <t>—</t>
        </is>
      </c>
      <c r="BJ32" s="164" t="n">
        <v>0.5</v>
      </c>
      <c r="BM32" s="164">
        <f>'FICHA PESSOAL'!$D$75</f>
        <v/>
      </c>
      <c r="BN32" s="164">
        <f>ADDRESS(ROW('FICHA PESSOAL'!D75),COLUMN('FICHA PESSOAL'!D75),4)</f>
        <v/>
      </c>
      <c r="CY32" s="162" t="inlineStr">
        <is>
          <t>ordem do grau mínimo</t>
        </is>
      </c>
      <c r="CZ32" s="164">
        <f>IF(DADOS!$CZ$27=1,VLOOKUP('FICHA PESSOAL'!$AH$64,'DADOS_CUSTOM'!$AM$2:$AS$57,6,FALSE),0)</f>
        <v/>
      </c>
      <c r="DR32" s="162" t="inlineStr">
        <is>
          <t>Orientação Instintiva</t>
        </is>
      </c>
      <c r="DS32" s="162" t="inlineStr">
        <is>
          <t>Receptáculo</t>
        </is>
      </c>
      <c r="DT32" s="162" t="inlineStr">
        <is>
          <t>menor</t>
        </is>
      </c>
      <c r="DU32" s="162" t="inlineStr"/>
      <c r="DV32" s="162" t="inlineStr">
        <is>
          <t>Uma vez por dia</t>
        </is>
      </c>
      <c r="DW32" s="162" t="inlineStr">
        <is>
          <t>Uma vez por dia, após falhar em um teste de perícia seu, repita a rolagem com os mesmos modificadores e aceite o segundo resultado. Não exige outra ação e não inclui ataques, TRs ou Ofícios.</t>
        </is>
      </c>
    </row>
    <row r="33" ht="17.25" customHeight="1">
      <c r="A33" s="41" t="n"/>
      <c r="B33" s="41" t="n"/>
      <c r="C33" s="41" t="n"/>
      <c r="D33" s="41" t="n"/>
      <c r="E33" s="41" t="n"/>
      <c r="F33" s="162" t="inlineStr">
        <is>
          <t>Impulso</t>
        </is>
      </c>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c r="AE33" s="41" t="n"/>
      <c r="AF33" s="41" t="n"/>
      <c r="AG33" s="41" t="n"/>
      <c r="AH33" s="41" t="n"/>
      <c r="AI33" s="41" t="n"/>
      <c r="AJ33" s="162" t="inlineStr">
        <is>
          <t>refino escolhido</t>
        </is>
      </c>
      <c r="AK33" s="164">
        <f>MIN(IFERROR(VALUE(FICHA!$AO$56&amp;""),0),DADOS!$AK$5)</f>
        <v/>
      </c>
      <c r="AL33" s="41" t="n"/>
      <c r="AM33" s="41" t="n"/>
      <c r="AN33" s="41" t="n"/>
      <c r="AO33" s="41" t="n"/>
      <c r="AP33" s="41" t="n"/>
      <c r="AQ33" s="164" t="n">
        <v>30</v>
      </c>
      <c r="AR33" s="164">
        <f>DADOS_CONFIG!$Z$31</f>
        <v/>
      </c>
      <c r="AS33" s="41" t="n"/>
      <c r="AT33" s="41" t="n"/>
      <c r="AU33" s="41" t="n"/>
      <c r="AV33" s="41" t="n"/>
      <c r="AW33" s="41" t="n"/>
      <c r="AX33" s="41" t="n"/>
      <c r="AY33" s="41" t="n"/>
      <c r="AZ33" s="41" t="n"/>
      <c r="BA33" s="162" t="inlineStr">
        <is>
          <t>estagio_alma</t>
        </is>
      </c>
      <c r="BB33" s="162">
        <f>ADDRESS(ROW(FICHA!D37),COLUMN(FICHA!D37),4)</f>
        <v/>
      </c>
      <c r="BD33" s="162" t="inlineStr">
        <is>
          <t>Manriki</t>
        </is>
      </c>
      <c r="BE33" s="162" t="inlineStr">
        <is>
          <t>Flexível</t>
        </is>
      </c>
      <c r="BF33" s="164" t="n">
        <v>1</v>
      </c>
      <c r="BG33" s="162" t="inlineStr">
        <is>
          <t>1d6</t>
        </is>
      </c>
      <c r="BH33" s="162" t="inlineStr">
        <is>
          <t>Emaranha · Oculta · Leve</t>
        </is>
      </c>
      <c r="BI33" s="162" t="inlineStr">
        <is>
          <t>—</t>
        </is>
      </c>
      <c r="BJ33" s="164" t="n">
        <v>0.5</v>
      </c>
      <c r="BM33" s="164">
        <f>'FICHA PESSOAL'!$AE$80</f>
        <v/>
      </c>
      <c r="BN33" s="164">
        <f>ADDRESS(ROW('FICHA PESSOAL'!AE80),COLUMN('FICHA PESSOAL'!AE80),4)</f>
        <v/>
      </c>
      <c r="CY33" s="162" t="inlineStr">
        <is>
          <t>grau mínimo</t>
        </is>
      </c>
      <c r="CZ33" s="164">
        <f>IF(DADOS!$CZ$27=1,VLOOKUP('FICHA PESSOAL'!$AH$64,'DADOS_CUSTOM'!$AM$2:$AS$57,7,FALSE),"")</f>
        <v/>
      </c>
      <c r="DR33" s="162" t="inlineStr">
        <is>
          <t>Conselho Interior</t>
        </is>
      </c>
      <c r="DS33" s="162" t="inlineStr">
        <is>
          <t>Receptáculo</t>
        </is>
      </c>
      <c r="DT33" s="162" t="inlineStr">
        <is>
          <t>menor</t>
        </is>
      </c>
      <c r="DU33" s="162" t="inlineStr">
        <is>
          <t>Coexistência</t>
        </is>
      </c>
      <c r="DV33" s="162" t="inlineStr">
        <is>
          <t>Uma vez por cena</t>
        </is>
      </c>
      <c r="DW33" s="162" t="inlineStr">
        <is>
          <t>Requisito: Coexistência. Uma vez por cena, após falhar em Intuição ou Ocultismo, repita o teste e aceite o segundo resultado. As duas perícias compartilham o uso. A presença interpreta os indícios disponíveis; não lê pensamentos nem oferece conhecimento infalível.</t>
        </is>
      </c>
    </row>
    <row r="34" ht="17.25" customHeight="1">
      <c r="A34" s="41" t="n"/>
      <c r="B34" s="41" t="n"/>
      <c r="C34" s="41" t="n"/>
      <c r="D34" s="41" t="n"/>
      <c r="E34" s="41" t="n"/>
      <c r="F34" s="162" t="inlineStr">
        <is>
          <t>Trava</t>
        </is>
      </c>
      <c r="G34" s="41" t="n"/>
      <c r="H34" s="41" t="n"/>
      <c r="I34" s="41" t="n"/>
      <c r="J34" s="41" t="n"/>
      <c r="K34" s="41" t="n"/>
      <c r="L34" s="41" t="n"/>
      <c r="M34" s="41" t="n"/>
      <c r="N34" s="41" t="n"/>
      <c r="O34" s="41" t="n"/>
      <c r="P34" s="41" t="n"/>
      <c r="Q34" s="41" t="n"/>
      <c r="R34" s="41" t="n"/>
      <c r="S34" s="41" t="n"/>
      <c r="T34" s="41" t="n"/>
      <c r="U34" s="41" t="n"/>
      <c r="V34" s="41" t="n"/>
      <c r="W34" s="41" t="n"/>
      <c r="X34" s="41" t="n"/>
      <c r="Y34" s="41" t="n"/>
      <c r="Z34" s="41" t="n"/>
      <c r="AA34" s="41" t="n"/>
      <c r="AB34" s="41" t="n"/>
      <c r="AC34" s="41" t="n"/>
      <c r="AD34" s="41" t="n"/>
      <c r="AE34" s="41" t="n"/>
      <c r="AF34" s="41" t="n"/>
      <c r="AG34" s="41" t="n"/>
      <c r="AH34" s="41" t="n"/>
      <c r="AI34" s="41" t="n"/>
      <c r="AJ34" s="162" t="inlineStr">
        <is>
          <t>refino atual</t>
        </is>
      </c>
      <c r="AK34" s="164">
        <f>MIN(10,FICHA!$O$73+DADOS!$AK$33)</f>
        <v/>
      </c>
      <c r="AL34" s="41" t="n"/>
      <c r="AM34" s="41" t="n"/>
      <c r="AN34" s="41" t="n"/>
      <c r="AO34" s="41" t="n"/>
      <c r="AP34" s="41" t="n"/>
      <c r="AQ34" s="41" t="n"/>
      <c r="AR34" s="41" t="n"/>
      <c r="AS34" s="41" t="n"/>
      <c r="AT34" s="41" t="n"/>
      <c r="AU34" s="41" t="n"/>
      <c r="AV34" s="41" t="n"/>
      <c r="AW34" s="41" t="n"/>
      <c r="AX34" s="41" t="n"/>
      <c r="AY34" s="41" t="n"/>
      <c r="AZ34" s="41" t="n"/>
      <c r="BA34" s="162" t="inlineStr">
        <is>
          <t>defesa</t>
        </is>
      </c>
      <c r="BB34" s="162">
        <f>ADDRESS(ROW(FICHA!D59),COLUMN(FICHA!D59),4)</f>
        <v/>
      </c>
      <c r="BD34" s="162" t="inlineStr">
        <is>
          <t>Marreta</t>
        </is>
      </c>
      <c r="BE34" s="162" t="inlineStr">
        <is>
          <t>Massa</t>
        </is>
      </c>
      <c r="BF34" s="164" t="n">
        <v>2</v>
      </c>
      <c r="BG34" s="162" t="inlineStr">
        <is>
          <t>1d10</t>
        </is>
      </c>
      <c r="BH34" s="162" t="inlineStr">
        <is>
          <t>Rompe · Talha</t>
        </is>
      </c>
      <c r="BI34" s="164" t="n">
        <v>3</v>
      </c>
      <c r="BJ34" s="164" t="n">
        <v>3</v>
      </c>
      <c r="BM34" s="164">
        <f>'FICHA PESSOAL'!$AM$73</f>
        <v/>
      </c>
      <c r="BN34" s="164">
        <f>ADDRESS(ROW('FICHA PESSOAL'!AM73),COLUMN('FICHA PESSOAL'!AM73),4)</f>
        <v/>
      </c>
      <c r="CY34" s="162" t="inlineStr">
        <is>
          <t>ordem do grau</t>
        </is>
      </c>
      <c r="CZ34" s="164">
        <f>IFERROR(VLOOKUP('FICHA PESSOAL'!$AB$11,DADOS!$CF$5:$CH$9,3,FALSE),1)</f>
        <v/>
      </c>
      <c r="DR34" s="162" t="inlineStr">
        <is>
          <t>Vontade de Cárcere</t>
        </is>
      </c>
      <c r="DS34" s="162" t="inlineStr">
        <is>
          <t>Receptáculo</t>
        </is>
      </c>
      <c r="DT34" s="162" t="inlineStr">
        <is>
          <t>menor</t>
        </is>
      </c>
      <c r="DU34" s="162" t="inlineStr">
        <is>
          <t>Conflito</t>
        </is>
      </c>
      <c r="DV34" s="162" t="inlineStr">
        <is>
          <t>Uma vez por cena</t>
        </is>
      </c>
      <c r="DW34" s="162" t="inlineStr">
        <is>
          <t>Requisito: Conflito. Uma vez por cena, após falhar em um TR que o efeito já permita para evitar ou encerrar Enfeitiçado ou Amedrontado, repita o teste e aceite o segundo resultado. As condições compartilham o uso.
Não cria um TR novo, antecipa uma tentativa de saída ou devolve ações consumidas.</t>
        </is>
      </c>
    </row>
    <row r="35" ht="17.25" customHeight="1">
      <c r="A35" s="41" t="n"/>
      <c r="B35" s="41" t="n"/>
      <c r="C35" s="41" t="n"/>
      <c r="D35" s="41" t="n"/>
      <c r="E35" s="41" t="n"/>
      <c r="F35" s="162" t="inlineStr">
        <is>
          <t>Abre Ferida</t>
        </is>
      </c>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c r="AE35" s="41" t="n"/>
      <c r="AF35" s="41" t="n"/>
      <c r="AG35" s="41" t="n"/>
      <c r="AH35" s="41" t="n"/>
      <c r="AI35" s="41" t="n"/>
      <c r="AJ35" s="162" t="inlineStr">
        <is>
          <t>aptidões a mais no teto</t>
        </is>
      </c>
      <c r="AK35" s="164">
        <f>MAX(0,DADOS!$AK$33-MAX(0,CEILING((10-DADOS!$AK$5+DADOS!$AK$33)/2,1)-1))*(2-1)</f>
        <v/>
      </c>
      <c r="AL35" s="41" t="n"/>
      <c r="AM35" s="41" t="n"/>
      <c r="AN35" s="41" t="n"/>
      <c r="AO35" s="41" t="n"/>
      <c r="AP35" s="41" t="n"/>
      <c r="AQ35" s="41" t="n"/>
      <c r="AR35" s="41" t="n"/>
      <c r="AS35" s="41" t="n"/>
      <c r="AT35" s="41" t="n"/>
      <c r="AU35" s="41" t="n"/>
      <c r="AV35" s="41" t="n"/>
      <c r="AW35" s="41" t="n"/>
      <c r="AX35" s="41" t="n"/>
      <c r="AY35" s="41" t="n"/>
      <c r="AZ35" s="41" t="n"/>
      <c r="BA35" s="162" t="inlineStr">
        <is>
          <t>proteção</t>
        </is>
      </c>
      <c r="BB35" s="162">
        <f>ADDRESS(ROW(FICHA!O59),COLUMN(FICHA!O59),4)</f>
        <v/>
      </c>
      <c r="BD35" s="162" t="inlineStr">
        <is>
          <t>Maul</t>
        </is>
      </c>
      <c r="BE35" s="162" t="inlineStr">
        <is>
          <t>Massa</t>
        </is>
      </c>
      <c r="BF35" s="164" t="n">
        <v>2</v>
      </c>
      <c r="BG35" s="162" t="inlineStr">
        <is>
          <t>1d12</t>
        </is>
      </c>
      <c r="BH35" s="162" t="inlineStr">
        <is>
          <t>Rompe</t>
        </is>
      </c>
      <c r="BI35" s="164" t="n">
        <v>3</v>
      </c>
      <c r="BJ35" s="164" t="n">
        <v>3</v>
      </c>
      <c r="BM35" s="164">
        <f>'FICHA PESSOAL'!$AM$74</f>
        <v/>
      </c>
      <c r="BN35" s="164">
        <f>ADDRESS(ROW('FICHA PESSOAL'!AM74),COLUMN('FICHA PESSOAL'!AM74),4)</f>
        <v/>
      </c>
      <c r="CY35" s="162" t="inlineStr">
        <is>
          <t>uniforme liberado</t>
        </is>
      </c>
      <c r="CZ35" s="164">
        <f>IF(OR(DADOS!$CZ$27=0,DADOS!$CZ$34&gt;=DADOS!$CZ$32),1,0)</f>
        <v/>
      </c>
      <c r="DR35" s="162" t="inlineStr">
        <is>
          <t>Cofre da Família</t>
        </is>
      </c>
      <c r="DS35" s="162" t="inlineStr">
        <is>
          <t>Descendente</t>
        </is>
      </c>
      <c r="DT35" s="162" t="inlineStr">
        <is>
          <t>menor</t>
        </is>
      </c>
      <c r="DU35" s="162" t="inlineStr">
        <is>
          <t>Zenin</t>
        </is>
      </c>
      <c r="DV35" s="162" t="inlineStr">
        <is>
          <t>Passiva</t>
        </is>
      </c>
      <c r="DW35" s="162" t="inlineStr">
        <is>
          <t>Exclusiva Zenin. Receba uma ferramenta amaldiçoada emprestada por vez, de grau igual ou inferior à sua patente reconhecida, até grau 1. Para trocar, volte ao cofre e devolva a anterior.
Armas de grau 1 exigem feitos que justifiquem o acesso e autorização do mestre. Ferramentas especiais ficam fora da concessão. Mantenha os requisitos próprios da ferramenta; nível não substitui patente.</t>
        </is>
      </c>
    </row>
    <row r="36" ht="17.25" customHeight="1">
      <c r="A36" s="41" t="n"/>
      <c r="B36" s="41" t="n"/>
      <c r="C36" s="41" t="n"/>
      <c r="D36" s="41" t="n"/>
      <c r="E36" s="41" t="n"/>
      <c r="F36" s="162" t="inlineStr">
        <is>
          <t>Sobrecarga</t>
        </is>
      </c>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c r="AA36" s="41" t="n"/>
      <c r="AB36" s="41" t="n"/>
      <c r="AC36" s="41" t="n"/>
      <c r="AD36" s="41" t="n"/>
      <c r="AE36" s="41" t="n"/>
      <c r="AF36" s="41" t="n"/>
      <c r="AG36" s="41" t="n"/>
      <c r="AH36" s="41" t="n"/>
      <c r="AI36" s="41" t="n"/>
      <c r="AJ36" s="162" t="inlineStr">
        <is>
          <t>máximo de aptidões</t>
        </is>
      </c>
      <c r="AK36" s="164">
        <f>2+1*DADOS!$AK$31+DADOS!$AK$33+DADOS!$AK$35</f>
        <v/>
      </c>
      <c r="AL36" s="41" t="n"/>
      <c r="AM36" s="41" t="n"/>
      <c r="AN36" s="41" t="n"/>
      <c r="AO36" s="41" t="n"/>
      <c r="AP36" s="41" t="n"/>
      <c r="AQ36" s="41" t="n"/>
      <c r="AR36" s="41" t="n"/>
      <c r="AS36" s="41" t="n"/>
      <c r="AT36" s="41" t="n"/>
      <c r="AU36" s="41" t="n"/>
      <c r="AV36" s="41" t="n"/>
      <c r="AW36" s="41" t="n"/>
      <c r="AX36" s="41" t="n"/>
      <c r="AY36" s="41" t="n"/>
      <c r="AZ36" s="41" t="n"/>
      <c r="BA36" s="162" t="inlineStr">
        <is>
          <t>equipamento</t>
        </is>
      </c>
      <c r="BB36" s="162">
        <f>ADDRESS(ROW(FICHA!Z59),COLUMN(FICHA!Z59),4)</f>
        <v/>
      </c>
      <c r="BD36" s="162" t="inlineStr">
        <is>
          <t>Médio</t>
        </is>
      </c>
      <c r="BE36" s="162" t="inlineStr">
        <is>
          <t>Escudo</t>
        </is>
      </c>
      <c r="BF36" s="164" t="n">
        <v>1</v>
      </c>
      <c r="BG36" s="162" t="inlineStr">
        <is>
          <t>—</t>
        </is>
      </c>
      <c r="BH36" s="162" t="inlineStr">
        <is>
          <t>Proteção +2 · teto de Destreza 3</t>
        </is>
      </c>
      <c r="BI36" s="164" t="n">
        <v>3</v>
      </c>
      <c r="BJ36" s="164" t="n">
        <v>1</v>
      </c>
      <c r="BM36" s="164">
        <f>TRUE</f>
        <v/>
      </c>
      <c r="CY36" s="162" t="inlineStr">
        <is>
          <t>falta força na principal</t>
        </is>
      </c>
      <c r="CZ36" s="164">
        <f>IF(DADOS!$CZ$11&gt;DADOS!$CZ$5,1,0)</f>
        <v/>
      </c>
      <c r="DR36" s="162" t="inlineStr">
        <is>
          <t>Ensaio Partilhado</t>
        </is>
      </c>
      <c r="DS36" s="162" t="inlineStr">
        <is>
          <t>Descendente</t>
        </is>
      </c>
      <c r="DT36" s="162" t="inlineStr">
        <is>
          <t>menor</t>
        </is>
      </c>
      <c r="DU36" s="162" t="inlineStr">
        <is>
          <t>Kamo</t>
        </is>
      </c>
      <c r="DV36" s="162" t="inlineStr">
        <is>
          <t>No descanso curto</t>
        </is>
      </c>
      <c r="DW36" s="162" t="inlineStr">
        <is>
          <t>Exclusiva Kamo. Durante um descanso curto, pode rerrolar uma vez cada resultado de Execução Ensaiada ainda disponível, com um d20 por resultado, aceitando os novos valores. Não recupera resultados gastos, repete o ensaio de três dados ou muda as competências escolhidas.
Ao concluir um descanso longo e realizar o ensaio normal, pode entregar um dos resultados a um aliado treinado na perícia ou Ofício ensaiado, que tenha praticado com você. Retire o resultado da sua reserva. O aliado o usa antes da rolagem, substituindo um d20 pelo procedimento do ensaio. Não transmite TR, treino ou a capacidade de rerrolar durante descanso curto.
O resultado é consumido no uso e expira ao fim do dia em jogo ou no próximo descanso longo do Kamo, o que vier primeiro.</t>
        </is>
      </c>
    </row>
    <row r="37" ht="17.25" customHeight="1">
      <c r="A37" s="41" t="n"/>
      <c r="B37" s="41" t="n"/>
      <c r="C37" s="41" t="n"/>
      <c r="D37" s="41" t="n"/>
      <c r="E37" s="41" t="n"/>
      <c r="F37" s="162" t="inlineStr">
        <is>
          <t>Firmeza</t>
        </is>
      </c>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41" t="n"/>
      <c r="AC37" s="41" t="n"/>
      <c r="AD37" s="41" t="n"/>
      <c r="AE37" s="41" t="n"/>
      <c r="AF37" s="41" t="n"/>
      <c r="AG37" s="41" t="n"/>
      <c r="AH37" s="41" t="n"/>
      <c r="AI37" s="41" t="n"/>
      <c r="AJ37" s="162" t="inlineStr">
        <is>
          <t>aptidões anotadas</t>
        </is>
      </c>
      <c r="AK37" s="164">
        <f>DADOS_AM!$HM$25</f>
        <v/>
      </c>
      <c r="AL37" s="41" t="n"/>
      <c r="AM37" s="41" t="n"/>
      <c r="AN37" s="41" t="n"/>
      <c r="AO37" s="41" t="n"/>
      <c r="AP37" s="41" t="n"/>
      <c r="AQ37" s="41" t="n"/>
      <c r="AR37" s="41" t="n"/>
      <c r="AS37" s="41" t="n"/>
      <c r="AT37" s="41" t="n"/>
      <c r="AU37" s="41" t="n"/>
      <c r="AV37" s="41" t="n"/>
      <c r="AW37" s="41" t="n"/>
      <c r="AX37" s="41" t="n"/>
      <c r="AY37" s="41" t="n"/>
      <c r="AZ37" s="41" t="n"/>
      <c r="BA37" s="162" t="inlineStr">
        <is>
          <t>iniciativa</t>
        </is>
      </c>
      <c r="BB37" s="162">
        <f>ADDRESS(ROW(FICHA!AK59),COLUMN(FICHA!AK59),4)</f>
        <v/>
      </c>
      <c r="BD37" s="162" t="inlineStr">
        <is>
          <t>Metralhadora Pesada</t>
        </is>
      </c>
      <c r="BE37" s="162" t="inlineStr">
        <is>
          <t>Arma de Fogo</t>
        </is>
      </c>
      <c r="BF37" s="164" t="n">
        <v>2</v>
      </c>
      <c r="BG37" s="162" t="inlineStr">
        <is>
          <t>2d10</t>
        </is>
      </c>
      <c r="BH37" s="162" t="inlineStr">
        <is>
          <t>Longo Alcance · Munição · Rompe · Volumosa</t>
        </is>
      </c>
      <c r="BI37" s="164" t="n">
        <v>3</v>
      </c>
      <c r="BJ37" s="164" t="n">
        <v>4</v>
      </c>
      <c r="BK37" s="162" t="inlineStr">
        <is>
          <t>24 m, longa 72 m</t>
        </is>
      </c>
      <c r="BL37" s="164" t="n">
        <v>4</v>
      </c>
      <c r="BM37" s="164">
        <f>'FICHA PESSOAL'!$M$73</f>
        <v/>
      </c>
      <c r="BN37" s="164">
        <f>ADDRESS(ROW('FICHA PESSOAL'!M73),COLUMN('FICHA PESSOAL'!M73),4)</f>
        <v/>
      </c>
      <c r="CY37" s="162" t="inlineStr">
        <is>
          <t>falta força na secundária</t>
        </is>
      </c>
      <c r="CZ37" s="164">
        <f>IF(AND(DADOS!$CZ$17=1,DADOS!$CZ$22&gt;DADOS!$CZ$5),1,0)</f>
        <v/>
      </c>
      <c r="DR37" s="162" t="inlineStr">
        <is>
          <t>Método Reescrito</t>
        </is>
      </c>
      <c r="DS37" s="162" t="inlineStr">
        <is>
          <t>Descendente</t>
        </is>
      </c>
      <c r="DT37" s="162" t="inlineStr">
        <is>
          <t>menor</t>
        </is>
      </c>
      <c r="DU37" s="162" t="inlineStr">
        <is>
          <t>Gojo</t>
        </is>
      </c>
      <c r="DV37" s="162" t="inlineStr">
        <is>
          <t>No descanso longo</t>
        </is>
      </c>
      <c r="DW37" s="162" t="inlineStr">
        <is>
          <t>Exclusiva Gojo. Ao concluir um descanso longo, pode substituir uma capacidade da lista de Execução Reservada por outro feitiço ou Manejo já conhecido. Não aprende nova capacidade, amplia a lista ou renova os usos diários por esta menor.</t>
        </is>
      </c>
    </row>
    <row r="38" ht="17.25" customHeight="1">
      <c r="A38" s="41" t="n"/>
      <c r="B38" s="41" t="n"/>
      <c r="C38" s="41" t="n"/>
      <c r="D38" s="41" t="n"/>
      <c r="E38" s="41" t="n"/>
      <c r="F38" s="162" t="inlineStr">
        <is>
          <t>Guarda</t>
        </is>
      </c>
      <c r="G38" s="41" t="n"/>
      <c r="H38" s="41" t="n"/>
      <c r="I38" s="41" t="n"/>
      <c r="J38" s="41" t="n"/>
      <c r="K38" s="41" t="n"/>
      <c r="L38" s="41" t="n"/>
      <c r="M38" s="41" t="n"/>
      <c r="N38" s="41" t="n"/>
      <c r="O38" s="41" t="n"/>
      <c r="P38" s="41" t="n"/>
      <c r="Q38" s="41" t="n"/>
      <c r="R38" s="41" t="n"/>
      <c r="S38" s="41" t="n"/>
      <c r="T38" s="41" t="n"/>
      <c r="U38" s="41" t="n"/>
      <c r="V38" s="41" t="n"/>
      <c r="W38" s="41" t="n"/>
      <c r="X38" s="41" t="n"/>
      <c r="Y38" s="41" t="n"/>
      <c r="Z38" s="41" t="n"/>
      <c r="AA38" s="41" t="n"/>
      <c r="AB38" s="41" t="n"/>
      <c r="AC38" s="41" t="n"/>
      <c r="AD38" s="41" t="n"/>
      <c r="AE38" s="41" t="n"/>
      <c r="AF38" s="41" t="n"/>
      <c r="AG38" s="41" t="n"/>
      <c r="AH38" s="41" t="n"/>
      <c r="AI38" s="41" t="n"/>
      <c r="AJ38" s="162" t="inlineStr">
        <is>
          <t>escolhas de Leque</t>
        </is>
      </c>
      <c r="AK38" s="164">
        <f>IFERROR(VALUE(FICHA!$AS$56&amp;""),0)</f>
        <v/>
      </c>
      <c r="AL38" s="41" t="n"/>
      <c r="AM38" s="41" t="n"/>
      <c r="AN38" s="41" t="n"/>
      <c r="AO38" s="41" t="n"/>
      <c r="AP38" s="41" t="n"/>
      <c r="AQ38" s="41" t="n"/>
      <c r="AR38" s="41" t="n"/>
      <c r="AS38" s="41" t="n"/>
      <c r="AT38" s="41" t="n"/>
      <c r="AU38" s="41" t="n"/>
      <c r="AV38" s="41" t="n"/>
      <c r="AW38" s="41" t="n"/>
      <c r="AX38" s="41" t="n"/>
      <c r="AY38" s="41" t="n"/>
      <c r="AZ38" s="41" t="n"/>
      <c r="BA38" s="162" t="inlineStr">
        <is>
          <t>cd de feitiço</t>
        </is>
      </c>
      <c r="BB38" s="162">
        <f>ADDRESS(ROW(FICHA!D63),COLUMN(FICHA!D63),4)</f>
        <v/>
      </c>
      <c r="BD38" s="162" t="inlineStr">
        <is>
          <t>Naginata</t>
        </is>
      </c>
      <c r="BE38" s="162" t="inlineStr">
        <is>
          <t>Armas Longas</t>
        </is>
      </c>
      <c r="BF38" s="164" t="n">
        <v>2</v>
      </c>
      <c r="BG38" s="162" t="inlineStr">
        <is>
          <t>1d10</t>
        </is>
      </c>
      <c r="BH38" s="162" t="inlineStr">
        <is>
          <t>Alcance · Rompe</t>
        </is>
      </c>
      <c r="BI38" s="164" t="n">
        <v>3</v>
      </c>
      <c r="BJ38" s="164" t="n">
        <v>2</v>
      </c>
      <c r="BM38" s="164">
        <f>'FICHA PESSOAL'!$AM$79</f>
        <v/>
      </c>
      <c r="BN38" s="164">
        <f>ADDRESS(ROW('FICHA PESSOAL'!AM79),COLUMN('FICHA PESSOAL'!AM79),4)</f>
        <v/>
      </c>
      <c r="CY38" s="162" t="inlineStr">
        <is>
          <t>falta força no uniforme</t>
        </is>
      </c>
      <c r="CZ38" s="164">
        <f>IF(AND(DADOS!$CZ$27=1,DADOS!$CZ$30&gt;DADOS!$CZ$5),1,0)</f>
        <v/>
      </c>
      <c r="DR38" s="162" t="inlineStr">
        <is>
          <t>Círculo Íntimo</t>
        </is>
      </c>
      <c r="DS38" s="162" t="inlineStr">
        <is>
          <t>Descendente</t>
        </is>
      </c>
      <c r="DT38" s="162" t="inlineStr">
        <is>
          <t>menor</t>
        </is>
      </c>
      <c r="DU38" s="162" t="inlineStr">
        <is>
          <t>Inumaki</t>
        </is>
      </c>
      <c r="DV38" s="162" t="inlineStr">
        <is>
          <t>No descanso longo</t>
        </is>
      </c>
      <c r="DW38" s="162" t="inlineStr">
        <is>
          <t>Exclusiva Inumaki. No descanso longo, escolha dois companheiros, em vez de um. A cada aplicação da marcante, decida com qual deles cooperar.
Os limites continuam compartilhados: um Entendimento Tácito e duas Leituras a Dois por cena. Você participa de cada dupla; os efeitos não alcançam os três ao mesmo tempo nem os dois companheiros sem você. Mantenha os demais requisitos.</t>
        </is>
      </c>
    </row>
    <row r="39" ht="17.25" customHeight="1">
      <c r="A39" s="41" t="n"/>
      <c r="B39" s="41" t="n"/>
      <c r="C39" s="41" t="n"/>
      <c r="D39" s="41" t="n"/>
      <c r="E39" s="41" t="n"/>
      <c r="F39" s="162" t="inlineStr">
        <is>
          <t>Pressa</t>
        </is>
      </c>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c r="AE39" s="41" t="n"/>
      <c r="AF39" s="41" t="n"/>
      <c r="AG39" s="41" t="n"/>
      <c r="AH39" s="41" t="n"/>
      <c r="AI39" s="41" t="n"/>
      <c r="AJ39" s="162" t="inlineStr">
        <is>
          <t>Passivas do Leque anotadas</t>
        </is>
      </c>
      <c r="AK39" s="164">
        <f>DADOS_AM!$HM$24</f>
        <v/>
      </c>
      <c r="AL39" s="41" t="n"/>
      <c r="AM39" s="41" t="n"/>
      <c r="AN39" s="41" t="n"/>
      <c r="AO39" s="41" t="n"/>
      <c r="AP39" s="41" t="n"/>
      <c r="AQ39" s="41" t="n"/>
      <c r="AR39" s="41" t="n"/>
      <c r="AS39" s="41" t="n"/>
      <c r="AT39" s="41" t="n"/>
      <c r="AU39" s="41" t="n"/>
      <c r="AV39" s="41" t="n"/>
      <c r="AW39" s="41" t="n"/>
      <c r="AX39" s="41" t="n"/>
      <c r="AY39" s="41" t="n"/>
      <c r="AZ39" s="41" t="n"/>
      <c r="BA39" s="162" t="inlineStr">
        <is>
          <t>conjuração</t>
        </is>
      </c>
      <c r="BB39" s="162">
        <f>ADDRESS(ROW(FICHA!O63),COLUMN(FICHA!O63),4)</f>
        <v/>
      </c>
      <c r="BD39" s="162" t="inlineStr">
        <is>
          <t>Nodachi</t>
        </is>
      </c>
      <c r="BE39" s="162" t="inlineStr">
        <is>
          <t>Lâmina Longa</t>
        </is>
      </c>
      <c r="BF39" s="164" t="n">
        <v>2</v>
      </c>
      <c r="BG39" s="162" t="inlineStr">
        <is>
          <t>1d12</t>
        </is>
      </c>
      <c r="BH39" s="162" t="inlineStr">
        <is>
          <t>Alcance · Rompe · Volumosa</t>
        </is>
      </c>
      <c r="BI39" s="164" t="n">
        <v>3</v>
      </c>
      <c r="BJ39" s="164" t="n">
        <v>2</v>
      </c>
      <c r="BM39" s="164">
        <f>'FICHA PESSOAL'!$D$76</f>
        <v/>
      </c>
      <c r="BN39" s="164">
        <f>ADDRESS(ROW('FICHA PESSOAL'!D76),COLUMN('FICHA PESSOAL'!D76),4)</f>
        <v/>
      </c>
      <c r="CY39" s="162" t="inlineStr">
        <is>
          <t>volume guardado</t>
        </is>
      </c>
      <c r="CZ39" s="164">
        <f>SUM('FICHA PESSOAL'!$AG$92:$AG$99)+SUM('FICHA PESSOAL'!$V$104:$V$109)+SUM('FICHA PESSOAL'!$AR$104:$AR$109)</f>
        <v/>
      </c>
      <c r="DR39" s="162" t="inlineStr">
        <is>
          <t>Notas de Família</t>
        </is>
      </c>
      <c r="DS39" s="162" t="inlineStr">
        <is>
          <t>Descendente</t>
        </is>
      </c>
      <c r="DT39" s="162" t="inlineStr">
        <is>
          <t>menor</t>
        </is>
      </c>
      <c r="DU39" s="162" t="inlineStr"/>
      <c r="DV39" s="162" t="inlineStr">
        <is>
          <t>Uma vez por cena</t>
        </is>
      </c>
      <c r="DW39" s="162" t="inlineStr">
        <is>
          <t>Uma vez por cena, depois de falhar em História ou Ocultismo, consulte anotações familiares para obter uma informação verdadeira, mas parcial, pertinente à pergunta e ao conhecimento registrado. A falha no objetivo completo permanece. Não fornece algo que não possa constar das anotações.</t>
        </is>
      </c>
    </row>
    <row r="40" ht="17.25" customHeight="1">
      <c r="A40" s="41" t="n"/>
      <c r="B40" s="41" t="n"/>
      <c r="C40" s="41" t="n"/>
      <c r="D40" s="41" t="n"/>
      <c r="E40" s="41" t="n"/>
      <c r="F40" s="162" t="inlineStr">
        <is>
          <t>Enfraquece</t>
        </is>
      </c>
      <c r="G40" s="41" t="n"/>
      <c r="H40" s="41" t="n"/>
      <c r="I40" s="41" t="n"/>
      <c r="J40" s="41" t="n"/>
      <c r="K40" s="41" t="n"/>
      <c r="L40" s="41" t="n"/>
      <c r="M40" s="41" t="n"/>
      <c r="N40" s="41" t="n"/>
      <c r="O40" s="41" t="n"/>
      <c r="P40" s="41" t="n"/>
      <c r="Q40" s="41" t="n"/>
      <c r="R40" s="41" t="n"/>
      <c r="S40" s="41" t="n"/>
      <c r="T40" s="41" t="n"/>
      <c r="U40" s="41" t="n"/>
      <c r="V40" s="41" t="n"/>
      <c r="W40" s="41" t="n"/>
      <c r="X40" s="41" t="n"/>
      <c r="Y40" s="41" t="n"/>
      <c r="Z40" s="41" t="n"/>
      <c r="AA40" s="41" t="n"/>
      <c r="AB40" s="41" t="n"/>
      <c r="AC40" s="41" t="n"/>
      <c r="AD40" s="41" t="n"/>
      <c r="AE40" s="41" t="n"/>
      <c r="AF40" s="41" t="n"/>
      <c r="AG40" s="41" t="n"/>
      <c r="AH40" s="41" t="n"/>
      <c r="AI40" s="41" t="n"/>
      <c r="AJ40" s="41" t="n"/>
      <c r="AK40" s="41" t="n"/>
      <c r="AL40" s="41" t="n"/>
      <c r="AM40" s="41" t="n"/>
      <c r="AN40" s="41" t="n"/>
      <c r="AO40" s="41" t="n"/>
      <c r="AP40" s="41" t="n"/>
      <c r="AQ40" s="41" t="n"/>
      <c r="AR40" s="41" t="n"/>
      <c r="AS40" s="41" t="n"/>
      <c r="AT40" s="41" t="n"/>
      <c r="AU40" s="41" t="n"/>
      <c r="AV40" s="41" t="n"/>
      <c r="AW40" s="41" t="n"/>
      <c r="AX40" s="41" t="n"/>
      <c r="AY40" s="41" t="n"/>
      <c r="AZ40" s="41" t="n"/>
      <c r="BA40" s="162" t="inlineStr">
        <is>
          <t>corpo a corpo</t>
        </is>
      </c>
      <c r="BB40" s="162">
        <f>ADDRESS(ROW(FICHA!Z63),COLUMN(FICHA!Z63),4)</f>
        <v/>
      </c>
      <c r="BD40" s="162" t="inlineStr">
        <is>
          <t>Nunchaku</t>
        </is>
      </c>
      <c r="BE40" s="162" t="inlineStr">
        <is>
          <t>Porrete</t>
        </is>
      </c>
      <c r="BF40" s="164" t="n">
        <v>1</v>
      </c>
      <c r="BG40" s="162" t="inlineStr">
        <is>
          <t>1d6</t>
        </is>
      </c>
      <c r="BH40" s="162" t="inlineStr">
        <is>
          <t>Par · Emaranha</t>
        </is>
      </c>
      <c r="BI40" s="162" t="inlineStr">
        <is>
          <t>—</t>
        </is>
      </c>
      <c r="BJ40" s="164" t="n">
        <v>0.5</v>
      </c>
      <c r="BM40" s="164">
        <f>'FICHA PESSOAL'!$V$75</f>
        <v/>
      </c>
      <c r="BN40" s="164">
        <f>ADDRESS(ROW('FICHA PESSOAL'!V75),COLUMN('FICHA PESSOAL'!V75),4)</f>
        <v/>
      </c>
      <c r="CY40" s="162" t="inlineStr">
        <is>
          <t>carga</t>
        </is>
      </c>
      <c r="CZ40" s="164">
        <f>ROUND(DADOS!$CZ$39+DADOS!$CZ$31,2)</f>
        <v/>
      </c>
      <c r="DR40" s="162" t="inlineStr">
        <is>
          <t>Autoridade de Berço</t>
        </is>
      </c>
      <c r="DS40" s="162" t="inlineStr">
        <is>
          <t>Descendente</t>
        </is>
      </c>
      <c r="DT40" s="162" t="inlineStr">
        <is>
          <t>menor</t>
        </is>
      </c>
      <c r="DU40" s="162" t="inlineStr"/>
      <c r="DV40" s="162" t="inlineStr">
        <is>
          <t>Uma vez por cena</t>
        </is>
      </c>
      <c r="DW40" s="162" t="inlineStr">
        <is>
          <t>Uma vez por cena, antes de rolar, pode usar Hierarquia no lugar de Persuasão ou Intimidação numa interação do meio jujutsu apoiada em obrigações, precedentes ou relações institucionais. Precisa ser treinado em Hierarquia. Não força obediência.</t>
        </is>
      </c>
    </row>
    <row r="41" ht="17.25" customHeight="1">
      <c r="A41" s="41" t="n"/>
      <c r="B41" s="41" t="n"/>
      <c r="C41" s="41" t="n"/>
      <c r="D41" s="41" t="n"/>
      <c r="E41" s="41" t="n"/>
      <c r="F41" s="162" t="inlineStr">
        <is>
          <t>Ecoa</t>
        </is>
      </c>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1" t="n"/>
      <c r="AC41" s="41" t="n"/>
      <c r="AD41" s="41" t="n"/>
      <c r="AE41" s="41" t="n"/>
      <c r="AF41" s="41" t="n"/>
      <c r="AG41" s="41" t="n"/>
      <c r="AH41" s="41" t="n"/>
      <c r="AI41" s="41" t="n"/>
      <c r="AJ41" s="41" t="n"/>
      <c r="AK41" s="41" t="n"/>
      <c r="AL41" s="41" t="n"/>
      <c r="AM41" s="41" t="n"/>
      <c r="AN41" s="41" t="n"/>
      <c r="AO41" s="41" t="n"/>
      <c r="AP41" s="41" t="n"/>
      <c r="AQ41" s="41" t="n"/>
      <c r="AR41" s="41" t="n"/>
      <c r="AS41" s="41" t="n"/>
      <c r="AT41" s="41" t="n"/>
      <c r="AU41" s="41" t="n"/>
      <c r="AV41" s="41" t="n"/>
      <c r="AW41" s="41" t="n"/>
      <c r="AX41" s="41" t="n"/>
      <c r="AY41" s="41" t="n"/>
      <c r="AZ41" s="41" t="n"/>
      <c r="BA41" s="162" t="inlineStr">
        <is>
          <t>à distância</t>
        </is>
      </c>
      <c r="BB41" s="162">
        <f>ADDRESS(ROW(FICHA!AK63),COLUMN(FICHA!AK63),4)</f>
        <v/>
      </c>
      <c r="BD41" s="162" t="inlineStr">
        <is>
          <t>Odachi</t>
        </is>
      </c>
      <c r="BE41" s="162" t="inlineStr">
        <is>
          <t>Lâmina Longa</t>
        </is>
      </c>
      <c r="BF41" s="164" t="n">
        <v>2</v>
      </c>
      <c r="BG41" s="162" t="inlineStr">
        <is>
          <t>1d12</t>
        </is>
      </c>
      <c r="BH41" s="162" t="inlineStr">
        <is>
          <t>Alcance · Talha · Embainhada</t>
        </is>
      </c>
      <c r="BI41" s="164" t="n">
        <v>3</v>
      </c>
      <c r="BJ41" s="164" t="n">
        <v>2</v>
      </c>
      <c r="BM41" s="164">
        <f>'FICHA PESSOAL'!$D$77</f>
        <v/>
      </c>
      <c r="BN41" s="164">
        <f>ADDRESS(ROW('FICHA PESSOAL'!D77),COLUMN('FICHA PESSOAL'!D77),4)</f>
        <v/>
      </c>
      <c r="CY41" s="162" t="inlineStr">
        <is>
          <t>limite de carga</t>
        </is>
      </c>
      <c r="CZ41" s="164">
        <f>IF(DADOS_CONFIG!$E$13&lt;&gt;"",NA(),IF(DADOS_CONFIG!$C$13=1,DADOS_CONFIG!$D$13,IF(DADOS_CONFIG!$B$13=0,5+DADOS!$CZ$5+N('FICHA PESSOAL'!$L$86),IF((5+DADOS!$CZ$5+N('FICHA PESSOAL'!$L$86))="","",(5+DADOS!$CZ$5+N('FICHA PESSOAL'!$L$86))+DADOS_CONFIG!$B$13))))</f>
        <v/>
      </c>
      <c r="DR41" s="162" t="inlineStr">
        <is>
          <t>Bagagem Prevenida</t>
        </is>
      </c>
      <c r="DS41" s="162" t="inlineStr">
        <is>
          <t>Descendente</t>
        </is>
      </c>
      <c r="DT41" s="162" t="inlineStr">
        <is>
          <t>menor</t>
        </is>
      </c>
      <c r="DU41" s="162" t="inlineStr"/>
      <c r="DV41" s="162" t="inlineStr">
        <is>
          <t>Uma vez na missão</t>
        </is>
      </c>
      <c r="DW41" s="162" t="inlineStr">
        <is>
          <t>Ao preparar uma missão, reserve dinheiro próprio e 0,5 de Volume. Uma vez na missão, revele um item comum comprado no preparo, de até 0,5 de Volume e preço dentro da reserva, descontando-o dela. Não permite armas, proteções, itens amaldiçoados ou restritos.
Grau reconhecido no preparo | Máximo de dinheiro próprio reservado
Grau 4 | ¥10.000
Grau 3 | ¥20.000
Grau 2 | ¥30.000
Grau 1 | ¥40.000
Especial | ¥50.000
O limite acompanha grau ou patente, não nível ou Maestria. Use as equivalências de patentes intermediárias já estabelecidas na campanha. A menor não fornece dinheiro, mais Volume ou usos extras.</t>
        </is>
      </c>
    </row>
    <row r="42" ht="17.25" customHeight="1">
      <c r="A42" s="41" t="n"/>
      <c r="B42" s="41" t="n"/>
      <c r="C42" s="41" t="n"/>
      <c r="D42" s="41" t="n"/>
      <c r="E42" s="41" t="n"/>
      <c r="F42" s="162" t="inlineStr">
        <is>
          <t>Queima</t>
        </is>
      </c>
      <c r="G42" s="41" t="n"/>
      <c r="H42" s="41" t="n"/>
      <c r="I42" s="41" t="n"/>
      <c r="J42" s="41" t="n"/>
      <c r="K42" s="41" t="n"/>
      <c r="L42" s="41" t="n"/>
      <c r="M42" s="41" t="n"/>
      <c r="N42" s="41" t="n"/>
      <c r="O42" s="41" t="n"/>
      <c r="P42" s="41" t="n"/>
      <c r="Q42" s="41" t="n"/>
      <c r="R42" s="41" t="n"/>
      <c r="S42" s="41" t="n"/>
      <c r="T42" s="41" t="n"/>
      <c r="U42" s="41" t="n"/>
      <c r="V42" s="41" t="n"/>
      <c r="W42" s="41" t="n"/>
      <c r="X42" s="41" t="n"/>
      <c r="Y42" s="41" t="n"/>
      <c r="Z42" s="41" t="n"/>
      <c r="AA42" s="41" t="n"/>
      <c r="AB42" s="41" t="n"/>
      <c r="AC42" s="41" t="n"/>
      <c r="AD42" s="41" t="n"/>
      <c r="AE42" s="41" t="n"/>
      <c r="AF42" s="41" t="n"/>
      <c r="AG42" s="41" t="n"/>
      <c r="AH42" s="41" t="n"/>
      <c r="AI42" s="41" t="n"/>
      <c r="AJ42" s="41" t="n"/>
      <c r="AK42" s="41" t="n"/>
      <c r="AL42" s="41" t="n"/>
      <c r="AM42" s="41" t="n"/>
      <c r="AN42" s="41" t="n"/>
      <c r="AO42" s="41" t="n"/>
      <c r="AP42" s="41" t="n"/>
      <c r="AQ42" s="41" t="n"/>
      <c r="AR42" s="41" t="n"/>
      <c r="AS42" s="41" t="n"/>
      <c r="AT42" s="41" t="n"/>
      <c r="AU42" s="41" t="n"/>
      <c r="AV42" s="41" t="n"/>
      <c r="AW42" s="41" t="n"/>
      <c r="AX42" s="41" t="n"/>
      <c r="AY42" s="41" t="n"/>
      <c r="AZ42" s="41" t="n"/>
      <c r="BA42" s="162" t="inlineStr">
        <is>
          <t>maestria</t>
        </is>
      </c>
      <c r="BB42" s="162">
        <f>ADDRESS(ROW(FICHA!D67),COLUMN(FICHA!D67),4)</f>
        <v/>
      </c>
      <c r="BD42" s="162" t="inlineStr">
        <is>
          <t>Pistola</t>
        </is>
      </c>
      <c r="BE42" s="162" t="inlineStr">
        <is>
          <t>Arma de Fogo</t>
        </is>
      </c>
      <c r="BF42" s="164" t="n">
        <v>1</v>
      </c>
      <c r="BG42" s="162" t="inlineStr">
        <is>
          <t>1d10</t>
        </is>
      </c>
      <c r="BH42" s="162" t="inlineStr">
        <is>
          <t>Longo Alcance · Munição · Oculta · Leve</t>
        </is>
      </c>
      <c r="BI42" s="162" t="inlineStr">
        <is>
          <t>—</t>
        </is>
      </c>
      <c r="BJ42" s="164" t="n">
        <v>0.5</v>
      </c>
      <c r="BK42" s="162" t="inlineStr">
        <is>
          <t>9 m, longa 27 m</t>
        </is>
      </c>
      <c r="BL42" s="164" t="n">
        <v>2</v>
      </c>
      <c r="BM42" s="164">
        <f>'FICHA PESSOAL'!$M$74</f>
        <v/>
      </c>
      <c r="BN42" s="164">
        <f>ADDRESS(ROW('FICHA PESSOAL'!M74),COLUMN('FICHA PESSOAL'!M74),4)</f>
        <v/>
      </c>
      <c r="CY42" s="162" t="inlineStr">
        <is>
          <t>carga acima</t>
        </is>
      </c>
      <c r="CZ42" s="164">
        <f>IF(DADOS!$CZ$40&gt;DADOS!$CZ$41,1,0)</f>
        <v/>
      </c>
      <c r="DR42" s="162" t="inlineStr">
        <is>
          <t>Palavra Empenhada</t>
        </is>
      </c>
      <c r="DS42" s="162" t="inlineStr">
        <is>
          <t>Descendente</t>
        </is>
      </c>
      <c r="DT42" s="162" t="inlineStr">
        <is>
          <t>menor</t>
        </is>
      </c>
      <c r="DU42" s="162" t="inlineStr"/>
      <c r="DV42" s="162" t="inlineStr">
        <is>
          <t>Uma vez por descanso longo</t>
        </is>
      </c>
      <c r="DW42" s="162" t="inlineStr">
        <is>
          <t>Uma vez por descanso longo, após falhar em Persuasão numa negociação viável, ofereça sua palavra e reputação como garantia. O mestre apresenta uma condição adicional concreta: pagamento, serviço ou concessão. Você pode aceitar ou recusar; cumprir a condição conclui o acordo sem repetir aquele teste.
Não torna um pedido inviável aceitável nem fornece dinheiro para pagar a condição.</t>
        </is>
      </c>
    </row>
    <row r="43" ht="17.25" customHeight="1">
      <c r="A43" s="41" t="n"/>
      <c r="B43" s="41" t="n"/>
      <c r="C43" s="41" t="n"/>
      <c r="D43" s="41" t="n"/>
      <c r="E43" s="41" t="n"/>
      <c r="F43" s="162" t="inlineStr">
        <is>
          <t>Acúmulo</t>
        </is>
      </c>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41" t="n"/>
      <c r="AC43" s="41" t="n"/>
      <c r="AD43" s="41" t="n"/>
      <c r="AE43" s="41" t="n"/>
      <c r="AF43" s="41" t="n"/>
      <c r="AG43" s="41" t="n"/>
      <c r="AH43" s="41" t="n"/>
      <c r="AI43" s="41" t="n"/>
      <c r="AJ43" s="41" t="n"/>
      <c r="AK43" s="41" t="n"/>
      <c r="AL43" s="41" t="n"/>
      <c r="AM43" s="41" t="n"/>
      <c r="AN43" s="41" t="n"/>
      <c r="AO43" s="41" t="n"/>
      <c r="AP43" s="41" t="n"/>
      <c r="AQ43" s="41" t="n"/>
      <c r="AR43" s="41" t="n"/>
      <c r="AS43" s="41" t="n"/>
      <c r="AT43" s="41" t="n"/>
      <c r="AU43" s="41" t="n"/>
      <c r="AV43" s="41" t="n"/>
      <c r="AW43" s="41" t="n"/>
      <c r="AX43" s="41" t="n"/>
      <c r="AY43" s="41" t="n"/>
      <c r="AZ43" s="41" t="n"/>
      <c r="BA43" s="162" t="inlineStr">
        <is>
          <t>deslocamento</t>
        </is>
      </c>
      <c r="BB43" s="162">
        <f>ADDRESS(ROW(FICHA!O67),COLUMN(FICHA!O67),4)</f>
        <v/>
      </c>
      <c r="BD43" s="162" t="inlineStr">
        <is>
          <t>Punhal</t>
        </is>
      </c>
      <c r="BE43" s="162" t="inlineStr">
        <is>
          <t>Lâmina Curta</t>
        </is>
      </c>
      <c r="BF43" s="164" t="n">
        <v>1</v>
      </c>
      <c r="BG43" s="162" t="inlineStr">
        <is>
          <t>1d6</t>
        </is>
      </c>
      <c r="BH43" s="162" t="inlineStr">
        <is>
          <t>Fineza · Longo Alcance · Leve</t>
        </is>
      </c>
      <c r="BI43" s="162" t="inlineStr">
        <is>
          <t>—</t>
        </is>
      </c>
      <c r="BJ43" s="164" t="n">
        <v>0.3</v>
      </c>
      <c r="BK43" s="162" t="inlineStr">
        <is>
          <t>6 m, longa 18 m</t>
        </is>
      </c>
      <c r="BM43" s="164">
        <f>'FICHA PESSOAL'!$AE$74</f>
        <v/>
      </c>
      <c r="BN43" s="164">
        <f>ADDRESS(ROW('FICHA PESSOAL'!AE74),COLUMN('FICHA PESSOAL'!AE74),4)</f>
        <v/>
      </c>
      <c r="CY43" s="162" t="inlineStr">
        <is>
          <t>arma sem força</t>
        </is>
      </c>
      <c r="CZ43" s="164">
        <f>IF(OR(DADOS!$CZ$36=1,AND(DADOS!$CZ$37=1,DADOS!$CZ$19=0)),1,0)</f>
        <v/>
      </c>
      <c r="DR43" s="162" t="inlineStr">
        <is>
          <t>Fundamento Incorporado</t>
        </is>
      </c>
      <c r="DS43" s="162" t="inlineStr">
        <is>
          <t>Descendente</t>
        </is>
      </c>
      <c r="DT43" s="162" t="inlineStr">
        <is>
          <t>menor</t>
        </is>
      </c>
      <c r="DU43" s="162" t="inlineStr"/>
      <c r="DV43" s="162" t="inlineStr">
        <is>
          <t>Uma vez por dia</t>
        </is>
      </c>
      <c r="DW43" s="162" t="inlineStr">
        <is>
          <t>Uma vez por dia, antes da rolagem, pode usar 10 no lugar de um d20 num teste da perícia recebida pela base da Origem, somando seus bônus. Com vantagem ou desvantagem, role o outro d20 e resolva normalmente.
Não é um piso aplicado depois do resultado. O benefício alcança a perícia escolhida, não todas as opções da base, ataques ou TRs.</t>
        </is>
      </c>
    </row>
    <row r="44" ht="17.25" customHeight="1">
      <c r="A44" s="41" t="n"/>
      <c r="B44" s="41" t="n"/>
      <c r="C44" s="41" t="n"/>
      <c r="D44" s="41" t="n"/>
      <c r="E44" s="41" t="n"/>
      <c r="F44" s="162" t="inlineStr">
        <is>
          <t>Remate</t>
        </is>
      </c>
      <c r="G44" s="41" t="n"/>
      <c r="H44" s="41" t="n"/>
      <c r="I44" s="41" t="n"/>
      <c r="J44" s="41" t="n"/>
      <c r="K44" s="41" t="n"/>
      <c r="L44" s="41" t="n"/>
      <c r="M44" s="41" t="n"/>
      <c r="N44" s="41" t="n"/>
      <c r="O44" s="41" t="n"/>
      <c r="P44" s="41" t="n"/>
      <c r="Q44" s="41" t="n"/>
      <c r="R44" s="41" t="n"/>
      <c r="S44" s="41" t="n"/>
      <c r="T44" s="41" t="n"/>
      <c r="U44" s="41" t="n"/>
      <c r="V44" s="41" t="n"/>
      <c r="W44" s="41" t="n"/>
      <c r="X44" s="41" t="n"/>
      <c r="Y44" s="41" t="n"/>
      <c r="Z44" s="41" t="n"/>
      <c r="AA44" s="41" t="n"/>
      <c r="AB44" s="41" t="n"/>
      <c r="AC44" s="41" t="n"/>
      <c r="AD44" s="41" t="n"/>
      <c r="AE44" s="41" t="n"/>
      <c r="AF44" s="41" t="n"/>
      <c r="AG44" s="41" t="n"/>
      <c r="AH44" s="41" t="n"/>
      <c r="AI44" s="41" t="n"/>
      <c r="AJ44" s="41" t="n"/>
      <c r="AK44" s="41" t="n"/>
      <c r="AL44" s="41" t="n"/>
      <c r="AM44" s="41" t="n"/>
      <c r="AN44" s="41" t="n"/>
      <c r="AO44" s="41" t="n"/>
      <c r="AP44" s="41" t="n"/>
      <c r="AQ44" s="41" t="n"/>
      <c r="AR44" s="41" t="n"/>
      <c r="AS44" s="41" t="n"/>
      <c r="AT44" s="41" t="n"/>
      <c r="AU44" s="41" t="n"/>
      <c r="AV44" s="41" t="n"/>
      <c r="AW44" s="41" t="n"/>
      <c r="AX44" s="41" t="n"/>
      <c r="AY44" s="41" t="n"/>
      <c r="AZ44" s="41" t="n"/>
      <c r="BA44" s="162" t="inlineStr">
        <is>
          <t>espaços de feitiço</t>
        </is>
      </c>
      <c r="BB44" s="162">
        <f>ADDRESS(ROW(FICHA!D73),COLUMN(FICHA!D73),4)</f>
        <v/>
      </c>
      <c r="BD44" s="162" t="inlineStr">
        <is>
          <t>Rapieira</t>
        </is>
      </c>
      <c r="BE44" s="162" t="inlineStr">
        <is>
          <t>Lâmina Longa</t>
        </is>
      </c>
      <c r="BF44" s="164" t="n">
        <v>1</v>
      </c>
      <c r="BG44" s="162" t="inlineStr">
        <is>
          <t>1d6</t>
        </is>
      </c>
      <c r="BH44" s="162" t="inlineStr">
        <is>
          <t>Fineza · Talha</t>
        </is>
      </c>
      <c r="BI44" s="162" t="inlineStr">
        <is>
          <t>—</t>
        </is>
      </c>
      <c r="BJ44" s="164" t="n">
        <v>1</v>
      </c>
      <c r="BM44" s="164">
        <f>'FICHA PESSOAL'!$D$78</f>
        <v/>
      </c>
      <c r="BN44" s="164">
        <f>ADDRESS(ROW('FICHA PESSOAL'!D78),COLUMN('FICHA PESSOAL'!D78),4)</f>
        <v/>
      </c>
      <c r="CY44" s="162" t="inlineStr">
        <is>
          <t>proteção sem força</t>
        </is>
      </c>
      <c r="CZ44" s="164">
        <f>IF(OR(DADOS!$CZ$38=1,AND(DADOS!$CZ$37=1,DADOS!$CZ$19=1)),1,0)</f>
        <v/>
      </c>
      <c r="DR44" s="162" t="inlineStr">
        <is>
          <t>Treino de Armas da Casa</t>
        </is>
      </c>
      <c r="DS44" s="162" t="inlineStr">
        <is>
          <t>Descendente</t>
        </is>
      </c>
      <c r="DT44" s="162" t="inlineStr">
        <is>
          <t>menor</t>
        </is>
      </c>
      <c r="DU44" s="162" t="inlineStr"/>
      <c r="DV44" s="162" t="inlineStr">
        <is>
          <t>Passiva</t>
        </is>
      </c>
      <c r="DW44" s="162" t="inlineStr">
        <is>
          <t>Receba treino permanente em duas categorias de arma à escolha, como Yumi e Lâmina Longa. Não recebe duas listas inteiras de armas simples ou marciais. A menor não fornece equipamento, troca de atributo ou dispensa de requisitos de aquisição.</t>
        </is>
      </c>
    </row>
    <row r="45" ht="17.25" customHeight="1">
      <c r="A45" s="41" t="n"/>
      <c r="B45" s="41" t="n"/>
      <c r="C45" s="41" t="n"/>
      <c r="D45" s="41" t="n"/>
      <c r="E45" s="41" t="n"/>
      <c r="F45" s="162" t="inlineStr">
        <is>
          <t>Estilhaço</t>
        </is>
      </c>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c r="AE45" s="41" t="n"/>
      <c r="AF45" s="41" t="n"/>
      <c r="AG45" s="41" t="n"/>
      <c r="AH45" s="41" t="n"/>
      <c r="AI45" s="41" t="n"/>
      <c r="AJ45" s="41" t="n"/>
      <c r="AK45" s="41" t="n"/>
      <c r="AL45" s="41" t="n"/>
      <c r="AM45" s="41" t="n"/>
      <c r="AN45" s="41" t="n"/>
      <c r="AO45" s="41" t="n"/>
      <c r="AP45" s="41" t="n"/>
      <c r="AQ45" s="41" t="n"/>
      <c r="AR45" s="41" t="n"/>
      <c r="AS45" s="41" t="n"/>
      <c r="AT45" s="41" t="n"/>
      <c r="AU45" s="41" t="n"/>
      <c r="AV45" s="41" t="n"/>
      <c r="AW45" s="41" t="n"/>
      <c r="AX45" s="41" t="n"/>
      <c r="AY45" s="41" t="n"/>
      <c r="AZ45" s="41" t="n"/>
      <c r="BA45" s="162" t="inlineStr">
        <is>
          <t>refino de graça</t>
        </is>
      </c>
      <c r="BB45" s="162">
        <f>ADDRESS(ROW(FICHA!O73),COLUMN(FICHA!O73),4)</f>
        <v/>
      </c>
      <c r="BD45" s="162" t="inlineStr">
        <is>
          <t>Revólver</t>
        </is>
      </c>
      <c r="BE45" s="162" t="inlineStr">
        <is>
          <t>Arma de Fogo</t>
        </is>
      </c>
      <c r="BF45" s="164" t="n">
        <v>1</v>
      </c>
      <c r="BG45" s="162" t="inlineStr">
        <is>
          <t>1d10</t>
        </is>
      </c>
      <c r="BH45" s="162" t="inlineStr">
        <is>
          <t>Longo Alcance · Munição · Oculta · Leve</t>
        </is>
      </c>
      <c r="BI45" s="162" t="inlineStr">
        <is>
          <t>—</t>
        </is>
      </c>
      <c r="BJ45" s="164" t="n">
        <v>0.5</v>
      </c>
      <c r="BK45" s="162" t="inlineStr">
        <is>
          <t>12 m, longa 36 m</t>
        </is>
      </c>
      <c r="BL45" s="164" t="n">
        <v>2</v>
      </c>
      <c r="BM45" s="164">
        <f>'FICHA PESSOAL'!$M$75</f>
        <v/>
      </c>
      <c r="BN45" s="164">
        <f>ADDRESS(ROW('FICHA PESSOAL'!M75),COLUMN('FICHA PESSOAL'!M75),4)</f>
        <v/>
      </c>
      <c r="CY45" s="162" t="inlineStr">
        <is>
          <t>meia marcha</t>
        </is>
      </c>
      <c r="CZ45" s="164">
        <f>IF(OR(DADOS!$CZ$43=1,DADOS!$CZ$44=1,DADOS!$CZ$42=1),1,0)</f>
        <v/>
      </c>
      <c r="DR45" s="162" t="inlineStr">
        <is>
          <t>Especialidade Antiga</t>
        </is>
      </c>
      <c r="DS45" s="162" t="inlineStr">
        <is>
          <t>Encarnado</t>
        </is>
      </c>
      <c r="DT45" s="162" t="inlineStr">
        <is>
          <t>menor</t>
        </is>
      </c>
      <c r="DU45" s="162" t="inlineStr"/>
      <c r="DV45" s="162" t="inlineStr">
        <is>
          <t>Passiva</t>
        </is>
      </c>
      <c r="DW45" s="162" t="inlineStr">
        <is>
          <t>Ao alcançar o nível 10, torne-se especialista na perícia ou Ofício escolhido na criação e recebido por Conhecimento Reavivado, sem precisar escolher Corpo no Marco. Use o bônus normal de especialização: metade da Maestria, arredondada para baixo. Não acumula outra especialização na mesma competência.</t>
        </is>
      </c>
    </row>
    <row r="46" ht="17.25" customHeight="1">
      <c r="A46" s="41" t="n"/>
      <c r="B46" s="41" t="n"/>
      <c r="C46" s="41" t="n"/>
      <c r="D46" s="41" t="n"/>
      <c r="E46" s="41" t="n"/>
      <c r="F46" s="162" t="inlineStr">
        <is>
          <t>Quebra Coisa</t>
        </is>
      </c>
      <c r="G46" s="41" t="n"/>
      <c r="H46" s="41" t="n"/>
      <c r="I46" s="41" t="n"/>
      <c r="J46" s="41" t="n"/>
      <c r="K46" s="41" t="n"/>
      <c r="L46" s="41" t="n"/>
      <c r="M46" s="41" t="n"/>
      <c r="N46" s="41" t="n"/>
      <c r="O46" s="41" t="n"/>
      <c r="P46" s="41" t="n"/>
      <c r="Q46" s="41" t="n"/>
      <c r="R46" s="41" t="n"/>
      <c r="S46" s="41" t="n"/>
      <c r="T46" s="41" t="n"/>
      <c r="U46" s="41" t="n"/>
      <c r="V46" s="41" t="n"/>
      <c r="W46" s="41" t="n"/>
      <c r="X46" s="41" t="n"/>
      <c r="Y46" s="41" t="n"/>
      <c r="Z46" s="41" t="n"/>
      <c r="AA46" s="41" t="n"/>
      <c r="AB46" s="41" t="n"/>
      <c r="AC46" s="41" t="n"/>
      <c r="AD46" s="41" t="n"/>
      <c r="AE46" s="41" t="n"/>
      <c r="AF46" s="41" t="n"/>
      <c r="AG46" s="41" t="n"/>
      <c r="AH46" s="41" t="n"/>
      <c r="AI46" s="41" t="n"/>
      <c r="AJ46" s="41" t="n"/>
      <c r="AK46" s="41" t="n"/>
      <c r="AL46" s="41" t="n"/>
      <c r="AM46" s="41" t="n"/>
      <c r="AN46" s="41" t="n"/>
      <c r="AO46" s="41" t="n"/>
      <c r="AP46" s="41" t="n"/>
      <c r="AQ46" s="41" t="n"/>
      <c r="AR46" s="41" t="n"/>
      <c r="AS46" s="41" t="n"/>
      <c r="AT46" s="41" t="n"/>
      <c r="AU46" s="41" t="n"/>
      <c r="AV46" s="41" t="n"/>
      <c r="AW46" s="41" t="n"/>
      <c r="AX46" s="41" t="n"/>
      <c r="AY46" s="41" t="n"/>
      <c r="AZ46" s="41" t="n"/>
      <c r="BA46" s="162" t="inlineStr">
        <is>
          <t>classe máxima</t>
        </is>
      </c>
      <c r="BB46" s="162">
        <f>ADDRESS(ROW(FICHA!Z73),COLUMN(FICHA!Z73),4)</f>
        <v/>
      </c>
      <c r="BD46" s="162" t="inlineStr">
        <is>
          <t>Rifle</t>
        </is>
      </c>
      <c r="BE46" s="162" t="inlineStr">
        <is>
          <t>Arma de Fogo</t>
        </is>
      </c>
      <c r="BF46" s="164" t="n">
        <v>2</v>
      </c>
      <c r="BG46" s="162" t="inlineStr">
        <is>
          <t>2d8</t>
        </is>
      </c>
      <c r="BH46" s="162" t="inlineStr">
        <is>
          <t>Longo Alcance · Munição · Talha</t>
        </is>
      </c>
      <c r="BI46" s="164" t="n">
        <v>1</v>
      </c>
      <c r="BJ46" s="164" t="n">
        <v>2</v>
      </c>
      <c r="BK46" s="162" t="inlineStr">
        <is>
          <t>24 m, longa 72 m</t>
        </is>
      </c>
      <c r="BL46" s="164" t="n">
        <v>3</v>
      </c>
      <c r="BM46" s="164">
        <f>'FICHA PESSOAL'!$M$76</f>
        <v/>
      </c>
      <c r="BN46" s="164">
        <f>ADDRESS(ROW('FICHA PESSOAL'!M76),COLUMN('FICHA PESSOAL'!M76),4)</f>
        <v/>
      </c>
      <c r="CY46" s="162" t="inlineStr">
        <is>
          <t>parado pela carga</t>
        </is>
      </c>
      <c r="CZ46" s="164">
        <f>IF(DADOS!$CZ$40&gt;2*DADOS!$CZ$41,1,0)</f>
        <v/>
      </c>
      <c r="DR46" s="162" t="inlineStr">
        <is>
          <t>Guarda Reaprendida</t>
        </is>
      </c>
      <c r="DS46" s="162" t="inlineStr">
        <is>
          <t>Encarnado</t>
        </is>
      </c>
      <c r="DT46" s="162" t="inlineStr">
        <is>
          <t>menor</t>
        </is>
      </c>
      <c r="DU46" s="162" t="inlineStr"/>
      <c r="DV46" s="162" t="inlineStr">
        <is>
          <t>Uma vez por cena</t>
        </is>
      </c>
      <c r="DW46" s="162" t="inlineStr">
        <is>
          <t>Uma vez por cena, depois de rolar Bloquear e antes das consequências, pode rerrolar um dos d10, aceitando o novo resultado. Conserve o outro dado e os modificadores; resolva Aparar e Brecha pelos dados finais. Não exige ação, Reação ou PE adicionais.
Com desvantagem, role os dois conjuntos e rerrole um único d10 de um deles antes de selecionar o conjunto final. Depois aplique normalmente desvantagem, Aparar e Brecha.</t>
        </is>
      </c>
    </row>
    <row r="47" ht="17.25" customHeight="1">
      <c r="A47" s="41" t="n"/>
      <c r="B47" s="41" t="n"/>
      <c r="C47" s="41" t="n"/>
      <c r="D47" s="41" t="n"/>
      <c r="E47" s="41" t="n"/>
      <c r="F47" s="162" t="inlineStr">
        <is>
          <t>Rasga Escudo</t>
        </is>
      </c>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41" t="n"/>
      <c r="AC47" s="41" t="n"/>
      <c r="AD47" s="41" t="n"/>
      <c r="AE47" s="41" t="n"/>
      <c r="AF47" s="41" t="n"/>
      <c r="AG47" s="41" t="n"/>
      <c r="AH47" s="41" t="n"/>
      <c r="AI47" s="41" t="n"/>
      <c r="AJ47" s="41" t="n"/>
      <c r="AK47" s="41" t="n"/>
      <c r="AL47" s="41" t="n"/>
      <c r="AM47" s="41" t="n"/>
      <c r="AN47" s="41" t="n"/>
      <c r="AO47" s="41" t="n"/>
      <c r="AP47" s="41" t="n"/>
      <c r="AQ47" s="41" t="n"/>
      <c r="AR47" s="41" t="n"/>
      <c r="AS47" s="41" t="n"/>
      <c r="AT47" s="41" t="n"/>
      <c r="AU47" s="41" t="n"/>
      <c r="AV47" s="41" t="n"/>
      <c r="AW47" s="41" t="n"/>
      <c r="AX47" s="41" t="n"/>
      <c r="AY47" s="41" t="n"/>
      <c r="AZ47" s="41" t="n"/>
      <c r="BA47" s="162" t="inlineStr">
        <is>
          <t>classe 0 grátis</t>
        </is>
      </c>
      <c r="BB47" s="162">
        <f>ADDRESS(ROW(FICHA!AK73),COLUMN(FICHA!AK73),4)</f>
        <v/>
      </c>
      <c r="BD47" s="162" t="inlineStr">
        <is>
          <t>Rifle de Precisão</t>
        </is>
      </c>
      <c r="BE47" s="162" t="inlineStr">
        <is>
          <t>Arma de Fogo</t>
        </is>
      </c>
      <c r="BF47" s="164" t="n">
        <v>2</v>
      </c>
      <c r="BG47" s="162" t="inlineStr">
        <is>
          <t>2d10</t>
        </is>
      </c>
      <c r="BH47" s="162" t="inlineStr">
        <is>
          <t>Longo Alcance · Munição</t>
        </is>
      </c>
      <c r="BI47" s="164" t="n">
        <v>3</v>
      </c>
      <c r="BJ47" s="164" t="n">
        <v>3</v>
      </c>
      <c r="BK47" s="162" t="inlineStr">
        <is>
          <t>24 m, longa 72 m</t>
        </is>
      </c>
      <c r="BL47" s="164" t="n">
        <v>2</v>
      </c>
      <c r="BM47" s="164">
        <f>'FICHA PESSOAL'!$M$77</f>
        <v/>
      </c>
      <c r="BN47" s="164">
        <f>ADDRESS(ROW('FICHA PESSOAL'!M77),COLUMN('FICHA PESSOAL'!M77),4)</f>
        <v/>
      </c>
      <c r="CY47" s="162" t="inlineStr">
        <is>
          <t>xp total</t>
        </is>
      </c>
      <c r="CZ47" s="164">
        <f>SUM('FICHA PESSOAL'!$BA$15:$BA$87)+SUM('FICHA PESSOAL'!$BG$15:$BG$87)+SUM('FICHA PESSOAL'!$BM$15:$BM$87)+SUM('FICHA PESSOAL'!$BS$15:$BS$87)</f>
        <v/>
      </c>
      <c r="DR47" s="162" t="inlineStr">
        <is>
          <t>Percepção de Contorno</t>
        </is>
      </c>
      <c r="DS47" s="162" t="inlineStr">
        <is>
          <t>Encarnado</t>
        </is>
      </c>
      <c r="DT47" s="162" t="inlineStr">
        <is>
          <t>menor</t>
        </is>
      </c>
      <c r="DU47" s="162" t="inlineStr"/>
      <c r="DV47" s="162" t="inlineStr">
        <is>
          <t>Passiva</t>
        </is>
      </c>
      <c r="DW47" s="162" t="inlineStr">
        <is>
          <t>Você tem visão às cegas a 3 m × Maestria, passivamente: 3, 6, 9 ou 12 m. Use esse sentido para perceber e atacar conforme suas regras, sem depender de Sentir Energia.
Obstáculos sólidos continuam bloqueando. Não oferece leitura fina, percepção da alma, ficha de técnica ou dispensa de exigências que peçam especificamente seus olhos. Furtividade continua possível quando os sinais alcançados puderem ser ocultados.</t>
        </is>
      </c>
    </row>
    <row r="48" ht="17.25" customHeight="1">
      <c r="A48" s="41" t="n"/>
      <c r="B48" s="41" t="n"/>
      <c r="C48" s="41" t="n"/>
      <c r="D48" s="41" t="n"/>
      <c r="E48" s="41" t="n"/>
      <c r="F48" s="162" t="inlineStr">
        <is>
          <t>Sem Cura</t>
        </is>
      </c>
      <c r="G48" s="41" t="n"/>
      <c r="H48" s="41" t="n"/>
      <c r="I48" s="41" t="n"/>
      <c r="J48" s="41" t="n"/>
      <c r="K48" s="41" t="n"/>
      <c r="L48" s="41" t="n"/>
      <c r="M48" s="41" t="n"/>
      <c r="N48" s="41" t="n"/>
      <c r="O48" s="41" t="n"/>
      <c r="P48" s="41" t="n"/>
      <c r="Q48" s="41" t="n"/>
      <c r="R48" s="41" t="n"/>
      <c r="S48" s="41" t="n"/>
      <c r="T48" s="41" t="n"/>
      <c r="U48" s="41" t="n"/>
      <c r="V48" s="41" t="n"/>
      <c r="W48" s="41" t="n"/>
      <c r="X48" s="41" t="n"/>
      <c r="Y48" s="41" t="n"/>
      <c r="Z48" s="41" t="n"/>
      <c r="AA48" s="41" t="n"/>
      <c r="AB48" s="41" t="n"/>
      <c r="AC48" s="41" t="n"/>
      <c r="AD48" s="41" t="n"/>
      <c r="AE48" s="41" t="n"/>
      <c r="AF48" s="41" t="n"/>
      <c r="AG48" s="41" t="n"/>
      <c r="AH48" s="41" t="n"/>
      <c r="AI48" s="41" t="n"/>
      <c r="AJ48" s="41" t="n"/>
      <c r="AK48" s="41" t="n"/>
      <c r="AL48" s="41" t="n"/>
      <c r="AM48" s="41" t="n"/>
      <c r="AN48" s="41" t="n"/>
      <c r="AO48" s="41" t="n"/>
      <c r="AP48" s="41" t="n"/>
      <c r="AQ48" s="41" t="n"/>
      <c r="AR48" s="41" t="n"/>
      <c r="AS48" s="41" t="n"/>
      <c r="AT48" s="41" t="n"/>
      <c r="AU48" s="41" t="n"/>
      <c r="AV48" s="41" t="n"/>
      <c r="AW48" s="41" t="n"/>
      <c r="AX48" s="41" t="n"/>
      <c r="AY48" s="41" t="n"/>
      <c r="AZ48" s="41" t="n"/>
      <c r="BA48" s="162" t="inlineStr">
        <is>
          <t>refino escolhido</t>
        </is>
      </c>
      <c r="BB48" s="162">
        <f>ADDRESS(ROW(FICHA!AO56),COLUMN(FICHA!AO56),4)</f>
        <v/>
      </c>
      <c r="BD48" s="162" t="inlineStr">
        <is>
          <t>Sai</t>
        </is>
      </c>
      <c r="BE48" s="162" t="inlineStr">
        <is>
          <t>Lâmina Curta</t>
        </is>
      </c>
      <c r="BF48" s="164" t="n">
        <v>1</v>
      </c>
      <c r="BG48" s="162" t="inlineStr">
        <is>
          <t>1d6</t>
        </is>
      </c>
      <c r="BH48" s="162" t="inlineStr">
        <is>
          <t>Fineza · Par · Leve</t>
        </is>
      </c>
      <c r="BI48" s="162" t="inlineStr">
        <is>
          <t>—</t>
        </is>
      </c>
      <c r="BJ48" s="164" t="n">
        <v>0.5</v>
      </c>
      <c r="BM48" s="164">
        <f>'FICHA PESSOAL'!$AE$75</f>
        <v/>
      </c>
      <c r="BN48" s="164">
        <f>ADDRESS(ROW('FICHA PESSOAL'!AE75),COLUMN('FICHA PESSOAL'!AE75),4)</f>
        <v/>
      </c>
      <c r="CY48" s="162" t="inlineStr">
        <is>
          <t>nível</t>
        </is>
      </c>
      <c r="CZ48" s="164">
        <f>N(FICHA!$AH$11)</f>
        <v/>
      </c>
      <c r="DR48" s="162" t="inlineStr">
        <is>
          <t>Experiência Transmitida</t>
        </is>
      </c>
      <c r="DS48" s="162" t="inlineStr">
        <is>
          <t>Encarnado</t>
        </is>
      </c>
      <c r="DT48" s="162" t="inlineStr">
        <is>
          <t>menor</t>
        </is>
      </c>
      <c r="DU48" s="162" t="inlineStr"/>
      <c r="DV48" s="162" t="inlineStr">
        <is>
          <t>Gasta a Reserva de Experiência</t>
        </is>
      </c>
      <c r="DW48" s="162" t="inlineStr">
        <is>
          <t>Depois de um aliado a até 9 m rolar um teste de qualquer perícia em que você seja treinado, antes das consequências, pode gastar um uso da sua Reserva de Experiência para acrescentar 1d4 ao resultado dele. Ele precisa ouvir e compreender sua orientação. Não exige outra ação ou PE, com no máximo um d4 de Reserva por teste.
A perícia não precisa ser uma das duas escolhidas para seus usos pessoais. O aliado não precisa ter treino, mas continua sujeito aos requisitos da tarefa; a orientação não supre treino obrigatório ausente. Não alcança Ofícios, ataques ou TRs.
Você e os aliados gastam o mesmo estoque de Maestria usos por descanso longo. Seus usos pessoais continuam limitados às duas competências fixas.</t>
        </is>
      </c>
    </row>
    <row r="49" ht="17.25" customHeight="1">
      <c r="A49" s="41" t="n"/>
      <c r="B49" s="41" t="n"/>
      <c r="C49" s="41" t="n"/>
      <c r="D49" s="41" t="n"/>
      <c r="E49" s="41" t="n"/>
      <c r="F49" s="162" t="inlineStr">
        <is>
          <t>Rápido</t>
        </is>
      </c>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41" t="n"/>
      <c r="AC49" s="41" t="n"/>
      <c r="AD49" s="41" t="n"/>
      <c r="AE49" s="41" t="n"/>
      <c r="AF49" s="41" t="n"/>
      <c r="AG49" s="41" t="n"/>
      <c r="AH49" s="41" t="n"/>
      <c r="AI49" s="41" t="n"/>
      <c r="AJ49" s="41" t="n"/>
      <c r="AK49" s="41" t="n"/>
      <c r="AL49" s="41" t="n"/>
      <c r="AM49" s="41" t="n"/>
      <c r="AN49" s="41" t="n"/>
      <c r="AO49" s="41" t="n"/>
      <c r="AP49" s="41" t="n"/>
      <c r="AQ49" s="41" t="n"/>
      <c r="AR49" s="41" t="n"/>
      <c r="AS49" s="41" t="n"/>
      <c r="AT49" s="41" t="n"/>
      <c r="AU49" s="41" t="n"/>
      <c r="AV49" s="41" t="n"/>
      <c r="AW49" s="41" t="n"/>
      <c r="AX49" s="41" t="n"/>
      <c r="AY49" s="41" t="n"/>
      <c r="AZ49" s="41" t="n"/>
      <c r="BA49" s="162" t="inlineStr">
        <is>
          <t>marco corpo</t>
        </is>
      </c>
      <c r="BB49" s="162">
        <f>ADDRESS(ROW(FICHA!AQ56),COLUMN(FICHA!AQ56),4)</f>
        <v/>
      </c>
      <c r="BD49" s="162" t="inlineStr">
        <is>
          <t>Shuriken</t>
        </is>
      </c>
      <c r="BE49" s="162" t="inlineStr">
        <is>
          <t>Arremesso</t>
        </is>
      </c>
      <c r="BF49" s="164" t="n">
        <v>1</v>
      </c>
      <c r="BG49" s="162" t="inlineStr">
        <is>
          <t>1d4</t>
        </is>
      </c>
      <c r="BH49" s="162" t="inlineStr">
        <is>
          <t>Longo Alcance · Oculta · Par · Leve</t>
        </is>
      </c>
      <c r="BI49" s="162" t="inlineStr">
        <is>
          <t>—</t>
        </is>
      </c>
      <c r="BJ49" s="164" t="n">
        <v>0.1</v>
      </c>
      <c r="BK49" s="162" t="inlineStr">
        <is>
          <t>6 m, longa 18 m</t>
        </is>
      </c>
      <c r="BM49" s="164">
        <f>'FICHA PESSOAL'!$M$82</f>
        <v/>
      </c>
      <c r="BN49" s="164">
        <f>ADDRESS(ROW('FICHA PESSOAL'!M82),COLUMN('FICHA PESSOAL'!M82),4)</f>
        <v/>
      </c>
      <c r="CY49" s="162" t="inlineStr">
        <is>
          <t>xp do próximo nível</t>
        </is>
      </c>
      <c r="CZ49" s="164">
        <f>IFERROR(VLOOKUP(DADOS!$CZ$48+1,DADOS!$AQ$5:$AR$33,2,FALSE),"")</f>
        <v/>
      </c>
      <c r="DR49" s="162" t="inlineStr">
        <is>
          <t>Memória Testemunha</t>
        </is>
      </c>
      <c r="DS49" s="162" t="inlineStr">
        <is>
          <t>Encarnado</t>
        </is>
      </c>
      <c r="DT49" s="162" t="inlineStr">
        <is>
          <t>menor</t>
        </is>
      </c>
      <c r="DU49" s="162" t="inlineStr"/>
      <c r="DV49" s="162" t="inlineStr">
        <is>
          <t>Uma vez por dia</t>
        </is>
      </c>
      <c r="DW49" s="162" t="inlineStr">
        <is>
          <t>Uma vez por dia, dedique 1 minuto a revisitar uma cena que você ou seu hospedeiro realmente presenciou. Faça ao mestre até três perguntas sobre detalhes que poderiam ter sido percebidos naquela ocasião, sem teste de lembrança.
As respostas recuperam o que a lembrança permite. Não criam acontecimentos, não revelam algo imperceptível na ocasião nem transformam uma impressão equivocada em conhecimento do que estava oculto. O uso é gasto ao iniciar a consulta; as perguntas pertencem à mesma cena.</t>
        </is>
      </c>
    </row>
    <row r="50" ht="17.25" customHeight="1">
      <c r="A50" s="41" t="n"/>
      <c r="B50" s="41" t="n"/>
      <c r="C50" s="41" t="n"/>
      <c r="D50" s="41" t="n"/>
      <c r="E50" s="41" t="n"/>
      <c r="F50" s="162" t="inlineStr">
        <is>
          <t>Reação</t>
        </is>
      </c>
      <c r="G50" s="41" t="n"/>
      <c r="H50" s="41" t="n"/>
      <c r="I50" s="41" t="n"/>
      <c r="J50" s="41" t="n"/>
      <c r="K50" s="41" t="n"/>
      <c r="L50" s="41" t="n"/>
      <c r="M50" s="41" t="n"/>
      <c r="N50" s="41" t="n"/>
      <c r="O50" s="41" t="n"/>
      <c r="P50" s="41" t="n"/>
      <c r="Q50" s="41" t="n"/>
      <c r="R50" s="41" t="n"/>
      <c r="S50" s="41" t="n"/>
      <c r="T50" s="41" t="n"/>
      <c r="U50" s="41" t="n"/>
      <c r="V50" s="41" t="n"/>
      <c r="W50" s="41" t="n"/>
      <c r="X50" s="41" t="n"/>
      <c r="Y50" s="41" t="n"/>
      <c r="Z50" s="41" t="n"/>
      <c r="AA50" s="41" t="n"/>
      <c r="AB50" s="41" t="n"/>
      <c r="AC50" s="41" t="n"/>
      <c r="AD50" s="41" t="n"/>
      <c r="AE50" s="41" t="n"/>
      <c r="AF50" s="41" t="n"/>
      <c r="AG50" s="41" t="n"/>
      <c r="AH50" s="41" t="n"/>
      <c r="AI50" s="41" t="n"/>
      <c r="AJ50" s="41" t="n"/>
      <c r="AK50" s="41" t="n"/>
      <c r="AL50" s="41" t="n"/>
      <c r="AM50" s="41" t="n"/>
      <c r="AN50" s="41" t="n"/>
      <c r="AO50" s="41" t="n"/>
      <c r="AP50" s="41" t="n"/>
      <c r="AQ50" s="41" t="n"/>
      <c r="AR50" s="41" t="n"/>
      <c r="AS50" s="41" t="n"/>
      <c r="AT50" s="41" t="n"/>
      <c r="AU50" s="41" t="n"/>
      <c r="AV50" s="41" t="n"/>
      <c r="AW50" s="41" t="n"/>
      <c r="AX50" s="41" t="n"/>
      <c r="AY50" s="41" t="n"/>
      <c r="AZ50" s="41" t="n"/>
      <c r="BA50" s="162" t="inlineStr">
        <is>
          <t>marco leque</t>
        </is>
      </c>
      <c r="BB50" s="162">
        <f>ADDRESS(ROW(FICHA!AS56),COLUMN(FICHA!AS56),4)</f>
        <v/>
      </c>
      <c r="BD50" s="162" t="inlineStr">
        <is>
          <t>Soqueira</t>
        </is>
      </c>
      <c r="BE50" s="162" t="inlineStr">
        <is>
          <t>Manopla</t>
        </is>
      </c>
      <c r="BF50" s="164" t="n">
        <v>1</v>
      </c>
      <c r="BG50" s="162" t="inlineStr">
        <is>
          <t>1d4</t>
        </is>
      </c>
      <c r="BH50" s="162" t="inlineStr">
        <is>
          <t>Vestida · Oculta · Par · Leve</t>
        </is>
      </c>
      <c r="BI50" s="162" t="inlineStr">
        <is>
          <t>—</t>
        </is>
      </c>
      <c r="BJ50" s="164" t="n">
        <v>0.2</v>
      </c>
      <c r="BM50" s="164">
        <f>'FICHA PESSOAL'!$AE$82</f>
        <v/>
      </c>
      <c r="BN50" s="164">
        <f>ADDRESS(ROW('FICHA PESSOAL'!AE82),COLUMN('FICHA PESSOAL'!AE82),4)</f>
        <v/>
      </c>
      <c r="CY50" s="162" t="inlineStr">
        <is>
          <t>xp deste nível</t>
        </is>
      </c>
      <c r="CZ50" s="164">
        <f>IFERROR(VLOOKUP(DADOS!$CZ$48,DADOS!$AQ$5:$AR$33,2,FALSE),0)</f>
        <v/>
      </c>
      <c r="DR50" s="162" t="inlineStr">
        <is>
          <t>Vivência de Outra Era</t>
        </is>
      </c>
      <c r="DS50" s="162" t="inlineStr">
        <is>
          <t>Encarnado</t>
        </is>
      </c>
      <c r="DT50" s="162" t="inlineStr">
        <is>
          <t>menor</t>
        </is>
      </c>
      <c r="DU50" s="162" t="inlineStr"/>
      <c r="DV50" s="162" t="inlineStr">
        <is>
          <t>Uma vez por cena</t>
        </is>
      </c>
      <c r="DW50" s="162" t="inlineStr">
        <is>
          <t>Uma vez por cena, antes de um teste da perícia escolhida na base do Encarnado — História, Ocultismo, Investigação ou Intimidação —, pode fazê-lo com vantagem, sem ação ou PE adicionais. A escolha é a registrada na criação e não muda entre usos.</t>
        </is>
      </c>
    </row>
    <row r="51" ht="17.25" customHeight="1">
      <c r="A51" s="41" t="n"/>
      <c r="B51" s="41" t="n"/>
      <c r="C51" s="41" t="n"/>
      <c r="D51" s="41" t="n"/>
      <c r="E51" s="41" t="n"/>
      <c r="F51" s="162" t="inlineStr">
        <is>
          <t>Armado</t>
        </is>
      </c>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41" t="n"/>
      <c r="AC51" s="41" t="n"/>
      <c r="AD51" s="41" t="n"/>
      <c r="AE51" s="41" t="n"/>
      <c r="AF51" s="41" t="n"/>
      <c r="AG51" s="41" t="n"/>
      <c r="AH51" s="41" t="n"/>
      <c r="AI51" s="41" t="n"/>
      <c r="AJ51" s="41" t="n"/>
      <c r="AK51" s="41" t="n"/>
      <c r="AL51" s="41" t="n"/>
      <c r="AM51" s="41" t="n"/>
      <c r="AN51" s="41" t="n"/>
      <c r="AO51" s="41" t="n"/>
      <c r="AP51" s="41" t="n"/>
      <c r="AQ51" s="41" t="n"/>
      <c r="AR51" s="41" t="n"/>
      <c r="AS51" s="41" t="n"/>
      <c r="AT51" s="41" t="n"/>
      <c r="AU51" s="41" t="n"/>
      <c r="AV51" s="41" t="n"/>
      <c r="AW51" s="41" t="n"/>
      <c r="AX51" s="41" t="n"/>
      <c r="AY51" s="41" t="n"/>
      <c r="AZ51" s="41" t="n"/>
      <c r="BA51" s="162" t="inlineStr">
        <is>
          <t>marcos escolhidos</t>
        </is>
      </c>
      <c r="BB51" s="162">
        <f>ADDRESS(ROW(FICHA!AK56),COLUMN(FICHA!AK56),4)</f>
        <v/>
      </c>
      <c r="BD51" s="162" t="inlineStr">
        <is>
          <t>Submetralhadora</t>
        </is>
      </c>
      <c r="BE51" s="162" t="inlineStr">
        <is>
          <t>Arma de Fogo</t>
        </is>
      </c>
      <c r="BF51" s="164" t="n">
        <v>2</v>
      </c>
      <c r="BG51" s="162" t="inlineStr">
        <is>
          <t>2d6</t>
        </is>
      </c>
      <c r="BH51" s="162" t="inlineStr">
        <is>
          <t>Longo Alcance · Munição · Par · Oculta</t>
        </is>
      </c>
      <c r="BI51" s="162" t="inlineStr">
        <is>
          <t>—</t>
        </is>
      </c>
      <c r="BJ51" s="164" t="n">
        <v>2</v>
      </c>
      <c r="BK51" s="162" t="inlineStr">
        <is>
          <t>15 m, longa 45 m</t>
        </is>
      </c>
      <c r="BL51" s="164" t="n">
        <v>3</v>
      </c>
      <c r="BM51" s="164">
        <f>'FICHA PESSOAL'!$M$78</f>
        <v/>
      </c>
      <c r="BN51" s="164">
        <f>ADDRESS(ROW('FICHA PESSOAL'!M78),COLUMN('FICHA PESSOAL'!M78),4)</f>
        <v/>
      </c>
      <c r="CY51" s="162" t="inlineStr">
        <is>
          <t>cor da barra cheia</t>
        </is>
      </c>
      <c r="CZ51" s="164" t="inlineStr">
        <is>
          <t>#E8DCD4</t>
        </is>
      </c>
      <c r="DR51" s="162" t="inlineStr">
        <is>
          <t>Experiência Preservada</t>
        </is>
      </c>
      <c r="DS51" s="162" t="inlineStr">
        <is>
          <t>Encarnado</t>
        </is>
      </c>
      <c r="DT51" s="162" t="inlineStr">
        <is>
          <t>menor</t>
        </is>
      </c>
      <c r="DU51" s="162" t="inlineStr"/>
      <c r="DV51" s="162" t="inlineStr">
        <is>
          <t>Uma vez por cena</t>
        </is>
      </c>
      <c r="DW51" s="162" t="inlineStr">
        <is>
          <t>Uma vez por cena, se usar a Reserva de Experiência num teste próprio e ele continuar falhando depois do d4, esse uso da Reserva não é consumido. A falha e suas consequências acontecem normalmente, sem nova rolagem ou tentativa.
Você precisa ter um uso disponível para empregar a Reserva. A preservação não aumenta o saldo acima do máximo e não vale para o d4 concedido a um aliado.</t>
        </is>
      </c>
    </row>
    <row r="52" ht="17.25" customHeight="1">
      <c r="A52" s="41" t="n"/>
      <c r="B52" s="41" t="n"/>
      <c r="C52" s="41" t="n"/>
      <c r="D52" s="41" t="n"/>
      <c r="E52" s="41" t="n"/>
      <c r="F52" s="162" t="inlineStr">
        <is>
          <t>Silencioso</t>
        </is>
      </c>
      <c r="G52" s="41" t="n"/>
      <c r="H52" s="41" t="n"/>
      <c r="I52" s="41" t="n"/>
      <c r="J52" s="41" t="n"/>
      <c r="K52" s="41" t="n"/>
      <c r="L52" s="41" t="n"/>
      <c r="M52" s="41" t="n"/>
      <c r="N52" s="41" t="n"/>
      <c r="O52" s="41" t="n"/>
      <c r="P52" s="41" t="n"/>
      <c r="Q52" s="41" t="n"/>
      <c r="R52" s="41" t="n"/>
      <c r="S52" s="41" t="n"/>
      <c r="T52" s="41" t="n"/>
      <c r="U52" s="41" t="n"/>
      <c r="V52" s="41" t="n"/>
      <c r="W52" s="41" t="n"/>
      <c r="X52" s="41" t="n"/>
      <c r="Y52" s="41" t="n"/>
      <c r="Z52" s="41" t="n"/>
      <c r="AA52" s="41" t="n"/>
      <c r="AB52" s="41" t="n"/>
      <c r="AC52" s="41" t="n"/>
      <c r="AD52" s="41" t="n"/>
      <c r="AE52" s="41" t="n"/>
      <c r="AF52" s="41" t="n"/>
      <c r="AG52" s="41" t="n"/>
      <c r="AH52" s="41" t="n"/>
      <c r="AI52" s="41" t="n"/>
      <c r="AJ52" s="41" t="n"/>
      <c r="AK52" s="41" t="n"/>
      <c r="AL52" s="41" t="n"/>
      <c r="AM52" s="41" t="n"/>
      <c r="AN52" s="41" t="n"/>
      <c r="AO52" s="41" t="n"/>
      <c r="AP52" s="41" t="n"/>
      <c r="AQ52" s="41" t="n"/>
      <c r="AR52" s="41" t="n"/>
      <c r="AS52" s="41" t="n"/>
      <c r="AT52" s="41" t="n"/>
      <c r="AU52" s="41" t="n"/>
      <c r="AV52" s="41" t="n"/>
      <c r="AW52" s="41" t="n"/>
      <c r="AX52" s="41" t="n"/>
      <c r="AY52" s="41" t="n"/>
      <c r="AZ52" s="41" t="n"/>
      <c r="BA52" s="162" t="inlineStr">
        <is>
          <t>buff de vida</t>
        </is>
      </c>
      <c r="BB52" s="162">
        <f>ADDRESS(ROW(FICHA!P26),COLUMN(FICHA!P26),4)</f>
        <v/>
      </c>
      <c r="BD52" s="162" t="inlineStr">
        <is>
          <t>Taco</t>
        </is>
      </c>
      <c r="BE52" s="162" t="inlineStr">
        <is>
          <t>Massa</t>
        </is>
      </c>
      <c r="BF52" s="164" t="n">
        <v>1</v>
      </c>
      <c r="BG52" s="162" t="inlineStr">
        <is>
          <t>1d8</t>
        </is>
      </c>
      <c r="BH52" s="162" t="inlineStr">
        <is>
          <t>Versátil · Discreta</t>
        </is>
      </c>
      <c r="BI52" s="162" t="inlineStr">
        <is>
          <t>—</t>
        </is>
      </c>
      <c r="BJ52" s="164" t="n">
        <v>1</v>
      </c>
      <c r="BM52" s="164">
        <f>'FICHA PESSOAL'!$AM$76</f>
        <v/>
      </c>
      <c r="BN52" s="164">
        <f>ADDRESS(ROW('FICHA PESSOAL'!AM76),COLUMN('FICHA PESSOAL'!AM76),4)</f>
        <v/>
      </c>
      <c r="CY52" s="162" t="inlineStr">
        <is>
          <t>origem da ficha</t>
        </is>
      </c>
      <c r="CZ52" s="164">
        <f>SUBSTITUTE(FICHA!$X$11," · Sem Técnica","")</f>
        <v/>
      </c>
      <c r="DR52" s="162" t="inlineStr">
        <is>
          <t>Anatomia Suplementar</t>
        </is>
      </c>
      <c r="DS52" s="162" t="inlineStr">
        <is>
          <t>Híbrido</t>
        </is>
      </c>
      <c r="DT52" s="162" t="inlineStr">
        <is>
          <t>menor</t>
        </is>
      </c>
      <c r="DU52" s="162" t="inlineStr"/>
      <c r="DV52" s="162" t="inlineStr">
        <is>
          <t>Passiva</t>
        </is>
      </c>
      <c r="DW52" s="162" t="inlineStr">
        <is>
          <t>Escolha uma alteração:
- Apêndice preênsil: braço auxiliar, cauda ou tentáculo que segura um objeto de até 1 Volume e faz manipulações simples com as ações normais. Deixa as mãos livres, sem conceder ataques, escudo ou gestos adicionais.
- Olho adicional: escolha sua posição. Enquanto estiver exposto, você pode enxergar por ele. A até 9 m, enxerga na penumbra e na escuridão comum sem a penalidade por falta de luz, mas não distingue cores no escuro. Os demais impedimentos de visão continuam valendo.
Uma boca extra usada em combate é representada por Presas ou boca predatória, abaixo.</t>
        </is>
      </c>
    </row>
    <row r="53" ht="17.25" customHeight="1">
      <c r="A53" s="41" t="n"/>
      <c r="B53" s="41" t="n"/>
      <c r="C53" s="41" t="n"/>
      <c r="D53" s="41" t="n"/>
      <c r="E53" s="41" t="n"/>
      <c r="F53" s="162" t="inlineStr">
        <is>
          <t>Adianta</t>
        </is>
      </c>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c r="AE53" s="41" t="n"/>
      <c r="AF53" s="41" t="n"/>
      <c r="AG53" s="41" t="n"/>
      <c r="AH53" s="41" t="n"/>
      <c r="AI53" s="41" t="n"/>
      <c r="AJ53" s="41" t="n"/>
      <c r="AK53" s="41" t="n"/>
      <c r="AL53" s="41" t="n"/>
      <c r="AM53" s="41" t="n"/>
      <c r="AN53" s="41" t="n"/>
      <c r="AO53" s="41" t="n"/>
      <c r="AP53" s="41" t="n"/>
      <c r="AQ53" s="41" t="n"/>
      <c r="AR53" s="41" t="n"/>
      <c r="AS53" s="41" t="n"/>
      <c r="AT53" s="41" t="n"/>
      <c r="AU53" s="41" t="n"/>
      <c r="AV53" s="41" t="n"/>
      <c r="AW53" s="41" t="n"/>
      <c r="AX53" s="41" t="n"/>
      <c r="AY53" s="41" t="n"/>
      <c r="AZ53" s="41" t="n"/>
      <c r="BA53" s="162" t="inlineStr">
        <is>
          <t>buff de energia</t>
        </is>
      </c>
      <c r="BB53" s="162">
        <f>ADDRESS(ROW(FICHA!P30),COLUMN(FICHA!P30),4)</f>
        <v/>
      </c>
      <c r="BD53" s="162" t="inlineStr">
        <is>
          <t>Tanto</t>
        </is>
      </c>
      <c r="BE53" s="162" t="inlineStr">
        <is>
          <t>Lâmina Curta</t>
        </is>
      </c>
      <c r="BF53" s="164" t="n">
        <v>1</v>
      </c>
      <c r="BG53" s="162" t="inlineStr">
        <is>
          <t>1d6</t>
        </is>
      </c>
      <c r="BH53" s="162" t="inlineStr">
        <is>
          <t>Fineza · Oculta · Leve</t>
        </is>
      </c>
      <c r="BI53" s="162" t="inlineStr">
        <is>
          <t>—</t>
        </is>
      </c>
      <c r="BJ53" s="164" t="n">
        <v>0.3</v>
      </c>
      <c r="BM53" s="164">
        <f>'FICHA PESSOAL'!$AE$76</f>
        <v/>
      </c>
      <c r="BN53" s="164">
        <f>ADDRESS(ROW('FICHA PESSOAL'!AE76),COLUMN('FICHA PESSOAL'!AE76),4)</f>
        <v/>
      </c>
      <c r="CY53" s="162" t="inlineStr">
        <is>
          <t>sem técnica</t>
        </is>
      </c>
      <c r="CZ53" s="164">
        <f>IF('DADOS_CUSTOM'!$B$121,IF('DADOS_CUSTOM'!$B$122="Manejos",1,0),IF(ISNUMBER(SEARCH(" · Sem Técnica",FICHA!$X$11)),1,0))</f>
        <v/>
      </c>
      <c r="DR53" s="162" t="inlineStr">
        <is>
          <t>Armamento Orgânico</t>
        </is>
      </c>
      <c r="DS53" s="162" t="inlineStr">
        <is>
          <t>Híbrido</t>
        </is>
      </c>
      <c r="DT53" s="162" t="inlineStr">
        <is>
          <t>menor</t>
        </is>
      </c>
      <c r="DU53" s="162" t="inlineStr"/>
      <c r="DV53" s="162" t="inlineStr">
        <is>
          <t>Passiva</t>
        </is>
      </c>
      <c r="DW53" s="162" t="inlineStr">
        <is>
          <t>Seu corpo oferece uma forma própria de atacar. Cada aquisição dá um perfil, usando seu dado desarmado atual, que acompanha sua evolução, sem acrescentar outro dado.
Perfil | Dano | Benefício
Garras ou lâminas ósseas | Cortante | Fineza: pode usar Destreza no acerto e no dano.
Presas ou boca predatória | Perfurante | Pode Agarrar com a boca, mantendo as mãos livres. Usa a manobra normal, substituindo um ataque e sem causar dano nessa tentativa.
Punhos nodosos ou chifre rombudo | Concussão | Rompe: vantagem contra objetos e estruturas que consiga danificar.
Membro extensível | Concussão | Ataques feitos com esse membro têm alcance permanente de 3 m.
Dois perfis oferecem alternativas; suas propriedades não se somam no mesmo golpe. Membro Extensível vale também para ataques de oportunidade e Reações que já permitam atacar. Não exige outra ação, não concede ataques extras nem exige manter o membro esticado o tempo todo.
O alcance adicional não amplia armas empunhadas ou manobras: Agarrar, Derrubar e Empurrar conservam suas distâncias normais.</t>
        </is>
      </c>
    </row>
    <row r="54" ht="17.25" customHeight="1">
      <c r="A54" s="41" t="n"/>
      <c r="B54" s="41" t="n"/>
      <c r="C54" s="41" t="n"/>
      <c r="D54" s="41" t="n"/>
      <c r="E54" s="41" t="n"/>
      <c r="F54" s="162" t="inlineStr">
        <is>
          <t>Segura</t>
        </is>
      </c>
      <c r="G54" s="41" t="n"/>
      <c r="H54" s="41" t="n"/>
      <c r="I54" s="41" t="n"/>
      <c r="J54" s="41" t="n"/>
      <c r="K54" s="41" t="n"/>
      <c r="L54" s="41" t="n"/>
      <c r="M54" s="41" t="n"/>
      <c r="N54" s="41" t="n"/>
      <c r="O54" s="41" t="n"/>
      <c r="P54" s="41" t="n"/>
      <c r="Q54" s="41" t="n"/>
      <c r="R54" s="41" t="n"/>
      <c r="S54" s="41" t="n"/>
      <c r="T54" s="41" t="n"/>
      <c r="U54" s="41" t="n"/>
      <c r="V54" s="41" t="n"/>
      <c r="W54" s="41" t="n"/>
      <c r="X54" s="41" t="n"/>
      <c r="Y54" s="41" t="n"/>
      <c r="Z54" s="41" t="n"/>
      <c r="AA54" s="41" t="n"/>
      <c r="AB54" s="41" t="n"/>
      <c r="AC54" s="41" t="n"/>
      <c r="AD54" s="41" t="n"/>
      <c r="AE54" s="41" t="n"/>
      <c r="AF54" s="41" t="n"/>
      <c r="AG54" s="41" t="n"/>
      <c r="AH54" s="41" t="n"/>
      <c r="AI54" s="41" t="n"/>
      <c r="AJ54" s="41" t="n"/>
      <c r="AK54" s="41" t="n"/>
      <c r="AL54" s="41" t="n"/>
      <c r="AM54" s="41" t="n"/>
      <c r="AN54" s="41" t="n"/>
      <c r="AO54" s="41" t="n"/>
      <c r="AP54" s="41" t="n"/>
      <c r="AQ54" s="41" t="n"/>
      <c r="AR54" s="41" t="n"/>
      <c r="AS54" s="41" t="n"/>
      <c r="AT54" s="41" t="n"/>
      <c r="AU54" s="41" t="n"/>
      <c r="AV54" s="41" t="n"/>
      <c r="AW54" s="41" t="n"/>
      <c r="AX54" s="41" t="n"/>
      <c r="AY54" s="41" t="n"/>
      <c r="AZ54" s="41" t="n"/>
      <c r="BA54" s="162" t="inlineStr">
        <is>
          <t>buff de integridade</t>
        </is>
      </c>
      <c r="BB54" s="162">
        <f>ADDRESS(ROW(FICHA!P34),COLUMN(FICHA!P34),4)</f>
        <v/>
      </c>
      <c r="BD54" s="162" t="inlineStr">
        <is>
          <t>Tekko</t>
        </is>
      </c>
      <c r="BE54" s="162" t="inlineStr">
        <is>
          <t>Manopla</t>
        </is>
      </c>
      <c r="BF54" s="164" t="n">
        <v>1</v>
      </c>
      <c r="BG54" s="162" t="inlineStr">
        <is>
          <t>1d4</t>
        </is>
      </c>
      <c r="BH54" s="162" t="inlineStr">
        <is>
          <t>Vestida · Par · Oculta · Leve</t>
        </is>
      </c>
      <c r="BI54" s="162" t="inlineStr">
        <is>
          <t>—</t>
        </is>
      </c>
      <c r="BJ54" s="164" t="n">
        <v>0.2</v>
      </c>
      <c r="BM54" s="164">
        <f>'FICHA PESSOAL'!$AE$83</f>
        <v/>
      </c>
      <c r="BN54" s="164">
        <f>ADDRESS(ROW('FICHA PESSOAL'!AE83),COLUMN('FICHA PESSOAL'!AE83),4)</f>
        <v/>
      </c>
      <c r="DR54" s="162" t="inlineStr">
        <is>
          <t>Locomoção Adaptada</t>
        </is>
      </c>
      <c r="DS54" s="162" t="inlineStr">
        <is>
          <t>Híbrido</t>
        </is>
      </c>
      <c r="DT54" s="162" t="inlineStr">
        <is>
          <t>menor</t>
        </is>
      </c>
      <c r="DU54" s="162" t="inlineStr"/>
      <c r="DV54" s="162" t="inlineStr">
        <is>
          <t>Passiva</t>
        </is>
      </c>
      <c r="DW54" s="162" t="inlineStr">
        <is>
          <t>Escolha uma adaptação:
- Aderência: deslocamento de escalada igual ao normal, inclusive em paredes lisas e tetos, com uma mão livre e apoio dos pés.
- Anfíbio: respiração aquática e deslocamento de natação igual ao normal.
- Planagem: use sua Reação ao começar uma queda, com os braços livres, para descer sem dano de altura. Pode avançar horizontalmente até a altura perdida, limitado ao deslocamento normal por queda. Não permite subir ou pairar.</t>
        </is>
      </c>
    </row>
    <row r="55" ht="17.25" customHeight="1">
      <c r="A55" s="41" t="n"/>
      <c r="B55" s="41" t="n"/>
      <c r="C55" s="41" t="n"/>
      <c r="D55" s="41" t="n"/>
      <c r="E55" s="41" t="n"/>
      <c r="F55" s="162" t="inlineStr">
        <is>
          <t>Concentrada</t>
        </is>
      </c>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c r="AE55" s="41" t="n"/>
      <c r="AF55" s="41" t="n"/>
      <c r="AG55" s="41" t="n"/>
      <c r="AH55" s="41" t="n"/>
      <c r="AI55" s="41" t="n"/>
      <c r="AJ55" s="41" t="n"/>
      <c r="AK55" s="41" t="n"/>
      <c r="AL55" s="41" t="n"/>
      <c r="AM55" s="41" t="n"/>
      <c r="AN55" s="41" t="n"/>
      <c r="AO55" s="41" t="n"/>
      <c r="AP55" s="41" t="n"/>
      <c r="AQ55" s="41" t="n"/>
      <c r="AR55" s="41" t="n"/>
      <c r="AS55" s="41" t="n"/>
      <c r="AT55" s="41" t="n"/>
      <c r="AU55" s="41" t="n"/>
      <c r="AV55" s="41" t="n"/>
      <c r="AW55" s="41" t="n"/>
      <c r="AX55" s="41" t="n"/>
      <c r="AY55" s="41" t="n"/>
      <c r="AZ55" s="41" t="n"/>
      <c r="BA55" s="162" t="inlineStr">
        <is>
          <t>buff de defesa</t>
        </is>
      </c>
      <c r="BB55" s="162">
        <f>ADDRESS(ROW(FICHA!L59),COLUMN(FICHA!L59),4)</f>
        <v/>
      </c>
      <c r="BD55" s="162" t="inlineStr">
        <is>
          <t>Tessen</t>
        </is>
      </c>
      <c r="BE55" s="162" t="inlineStr">
        <is>
          <t>Arremesso</t>
        </is>
      </c>
      <c r="BF55" s="164" t="n">
        <v>1</v>
      </c>
      <c r="BG55" s="162" t="inlineStr">
        <is>
          <t>1d4</t>
        </is>
      </c>
      <c r="BH55" s="162" t="inlineStr">
        <is>
          <t>Longo Alcance · Oculta · Vestida · Leve</t>
        </is>
      </c>
      <c r="BI55" s="162" t="inlineStr">
        <is>
          <t>—</t>
        </is>
      </c>
      <c r="BJ55" s="164" t="n">
        <v>0.3</v>
      </c>
      <c r="BK55" s="162" t="inlineStr">
        <is>
          <t>6 m, longa 18 m</t>
        </is>
      </c>
      <c r="BM55" s="164">
        <f>'FICHA PESSOAL'!$M$83</f>
        <v/>
      </c>
      <c r="BN55" s="164">
        <f>ADDRESS(ROW('FICHA PESSOAL'!M83),COLUMN('FICHA PESSOAL'!M83),4)</f>
        <v/>
      </c>
      <c r="DR55" s="162" t="inlineStr">
        <is>
          <t>Bolsa Orgânica</t>
        </is>
      </c>
      <c r="DS55" s="162" t="inlineStr">
        <is>
          <t>Híbrido</t>
        </is>
      </c>
      <c r="DT55" s="162" t="inlineStr">
        <is>
          <t>menor</t>
        </is>
      </c>
      <c r="DU55" s="162" t="inlineStr"/>
      <c r="DV55" s="162" t="inlineStr">
        <is>
          <t>Passiva</t>
        </is>
      </c>
      <c r="DW55" s="162" t="inlineStr">
        <is>
          <t>Sua capacidade de carga aumenta em Maestria Volume; os valores que usam o dobro do limite acompanham esse aumento. Você também pode guardar corporalmente um objeto de até 1 Volume, que continua contando na carga. Guardar e retirar seguem as manipulações normais.</t>
        </is>
      </c>
    </row>
    <row r="56" ht="17.25" customHeight="1">
      <c r="A56" s="41" t="n"/>
      <c r="B56" s="41" t="n"/>
      <c r="C56" s="41" t="n"/>
      <c r="D56" s="41" t="n"/>
      <c r="E56" s="41" t="n"/>
      <c r="F56" s="162" t="inlineStr">
        <is>
          <t>Duradoura</t>
        </is>
      </c>
      <c r="G56" s="41" t="n"/>
      <c r="H56" s="41" t="n"/>
      <c r="I56" s="41" t="n"/>
      <c r="J56" s="41" t="n"/>
      <c r="K56" s="41" t="n"/>
      <c r="L56" s="41" t="n"/>
      <c r="M56" s="41" t="n"/>
      <c r="N56" s="41" t="n"/>
      <c r="O56" s="41" t="n"/>
      <c r="P56" s="41" t="n"/>
      <c r="Q56" s="41" t="n"/>
      <c r="R56" s="41" t="n"/>
      <c r="S56" s="41" t="n"/>
      <c r="T56" s="41" t="n"/>
      <c r="U56" s="41" t="n"/>
      <c r="V56" s="41" t="n"/>
      <c r="W56" s="41" t="n"/>
      <c r="X56" s="41" t="n"/>
      <c r="Y56" s="41" t="n"/>
      <c r="Z56" s="41" t="n"/>
      <c r="AA56" s="41" t="n"/>
      <c r="AB56" s="41" t="n"/>
      <c r="AC56" s="41" t="n"/>
      <c r="AD56" s="41" t="n"/>
      <c r="AE56" s="41" t="n"/>
      <c r="AF56" s="41" t="n"/>
      <c r="AG56" s="41" t="n"/>
      <c r="AH56" s="41" t="n"/>
      <c r="AI56" s="41" t="n"/>
      <c r="AJ56" s="41" t="n"/>
      <c r="AK56" s="41" t="n"/>
      <c r="AL56" s="41" t="n"/>
      <c r="AM56" s="41" t="n"/>
      <c r="AN56" s="41" t="n"/>
      <c r="AO56" s="41" t="n"/>
      <c r="AP56" s="41" t="n"/>
      <c r="AQ56" s="41" t="n"/>
      <c r="AR56" s="41" t="n"/>
      <c r="AS56" s="41" t="n"/>
      <c r="AT56" s="41" t="n"/>
      <c r="AU56" s="41" t="n"/>
      <c r="AV56" s="41" t="n"/>
      <c r="AW56" s="41" t="n"/>
      <c r="AX56" s="41" t="n"/>
      <c r="AY56" s="41" t="n"/>
      <c r="AZ56" s="41" t="n"/>
      <c r="BA56" s="162" t="inlineStr">
        <is>
          <t>buff de proteção</t>
        </is>
      </c>
      <c r="BB56" s="162">
        <f>ADDRESS(ROW(FICHA!W59),COLUMN(FICHA!W59),4)</f>
        <v/>
      </c>
      <c r="BD56" s="162" t="inlineStr">
        <is>
          <t>Tonfa</t>
        </is>
      </c>
      <c r="BE56" s="162" t="inlineStr">
        <is>
          <t>Porrete</t>
        </is>
      </c>
      <c r="BF56" s="164" t="n">
        <v>1</v>
      </c>
      <c r="BG56" s="162" t="inlineStr">
        <is>
          <t>1d6</t>
        </is>
      </c>
      <c r="BH56" s="162" t="inlineStr">
        <is>
          <t>Par · Vestida · Leve</t>
        </is>
      </c>
      <c r="BI56" s="162" t="inlineStr">
        <is>
          <t>—</t>
        </is>
      </c>
      <c r="BJ56" s="164" t="n">
        <v>0.5</v>
      </c>
      <c r="BM56" s="164">
        <f>'FICHA PESSOAL'!$V$76</f>
        <v/>
      </c>
      <c r="BN56" s="164">
        <f>ADDRESS(ROW('FICHA PESSOAL'!V76),COLUMN('FICHA PESSOAL'!V76),4)</f>
        <v/>
      </c>
      <c r="DR56" s="162" t="inlineStr">
        <is>
          <t>Memória da Dor</t>
        </is>
      </c>
      <c r="DS56" s="162" t="inlineStr">
        <is>
          <t>Híbrido</t>
        </is>
      </c>
      <c r="DT56" s="162" t="inlineStr">
        <is>
          <t>menor</t>
        </is>
      </c>
      <c r="DU56" s="162" t="inlineStr"/>
      <c r="DV56" s="162" t="inlineStr">
        <is>
          <t>Uma vez por cena</t>
        </is>
      </c>
      <c r="DW56" s="162" t="inlineStr">
        <is>
          <t>Uma vez por cena, depois de falhar em um TR contra um feitiço, pode marcar aquela ameaça. Receba vantagem no próximo TR contra uma nova conjuração do mesmo feitiço pelo mesmo inimigo, ainda nesta cena.
O benefício acaba nessa rolagem. Não refaz a falha anterior nem melhora saídas de uma condição já aplicada.</t>
        </is>
      </c>
    </row>
    <row r="57" ht="17.25" customHeight="1">
      <c r="A57" s="41" t="n"/>
      <c r="B57" s="41" t="n"/>
      <c r="C57" s="41" t="n"/>
      <c r="D57" s="41" t="n"/>
      <c r="E57" s="41" t="n"/>
      <c r="F57" s="162" t="inlineStr">
        <is>
          <t>Marca</t>
        </is>
      </c>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c r="AE57" s="41" t="n"/>
      <c r="AF57" s="41" t="n"/>
      <c r="AG57" s="41" t="n"/>
      <c r="AH57" s="41" t="n"/>
      <c r="AI57" s="41" t="n"/>
      <c r="AJ57" s="41" t="n"/>
      <c r="AK57" s="41" t="n"/>
      <c r="AL57" s="41" t="n"/>
      <c r="AM57" s="41" t="n"/>
      <c r="AN57" s="41" t="n"/>
      <c r="AO57" s="41" t="n"/>
      <c r="AP57" s="41" t="n"/>
      <c r="AQ57" s="41" t="n"/>
      <c r="AR57" s="41" t="n"/>
      <c r="AS57" s="41" t="n"/>
      <c r="AT57" s="41" t="n"/>
      <c r="AU57" s="41" t="n"/>
      <c r="AV57" s="41" t="n"/>
      <c r="AW57" s="41" t="n"/>
      <c r="AX57" s="41" t="n"/>
      <c r="AY57" s="41" t="n"/>
      <c r="AZ57" s="41" t="n"/>
      <c r="BA57" s="162" t="inlineStr">
        <is>
          <t>buff de iniciativa</t>
        </is>
      </c>
      <c r="BB57" s="162">
        <f>ADDRESS(ROW(FICHA!AS59),COLUMN(FICHA!AS59),4)</f>
        <v/>
      </c>
      <c r="BD57" s="162" t="inlineStr">
        <is>
          <t>Torre</t>
        </is>
      </c>
      <c r="BE57" s="162" t="inlineStr">
        <is>
          <t>Escudo</t>
        </is>
      </c>
      <c r="BF57" s="164" t="n">
        <v>1</v>
      </c>
      <c r="BG57" s="162" t="inlineStr">
        <is>
          <t>—</t>
        </is>
      </c>
      <c r="BH57" s="162" t="inlineStr">
        <is>
          <t>Proteção +3 · teto de Destreza 1</t>
        </is>
      </c>
      <c r="BI57" s="164" t="n">
        <v>5</v>
      </c>
      <c r="BJ57" s="164" t="n">
        <v>2</v>
      </c>
      <c r="BM57" s="164">
        <f>TRUE</f>
        <v/>
      </c>
      <c r="DR57" s="162" t="inlineStr">
        <is>
          <t>Recomposição Precisa</t>
        </is>
      </c>
      <c r="DS57" s="162" t="inlineStr">
        <is>
          <t>Híbrido</t>
        </is>
      </c>
      <c r="DT57" s="162" t="inlineStr">
        <is>
          <t>menor</t>
        </is>
      </c>
      <c r="DU57" s="162" t="inlineStr"/>
      <c r="DV57" s="162" t="inlineStr">
        <is>
          <t>Passiva</t>
        </is>
      </c>
      <c r="DW57" s="162" t="inlineStr">
        <is>
          <t>Por aplicação de cura recebida, pode repetir até metade da Constituição, arredondada para baixo, mínimo 1, dos dados que deram 1. Aceite os novos resultados.
A repetição não cria outra aplicação de cura nem reaplica seus bônus. Uma cura sem dados não ganha dados para repetir.</t>
        </is>
      </c>
    </row>
    <row r="58" ht="17.25" customHeight="1">
      <c r="A58" s="41" t="n"/>
      <c r="B58" s="41" t="n"/>
      <c r="C58" s="41" t="n"/>
      <c r="D58" s="41" t="n"/>
      <c r="E58" s="41" t="n"/>
      <c r="F58" s="162" t="inlineStr">
        <is>
          <t>Alvo de Caça</t>
        </is>
      </c>
      <c r="G58" s="41" t="n"/>
      <c r="H58" s="41" t="n"/>
      <c r="I58" s="41" t="n"/>
      <c r="J58" s="41" t="n"/>
      <c r="K58" s="41" t="n"/>
      <c r="L58" s="41" t="n"/>
      <c r="M58" s="41" t="n"/>
      <c r="N58" s="41" t="n"/>
      <c r="O58" s="41" t="n"/>
      <c r="P58" s="41" t="n"/>
      <c r="Q58" s="41" t="n"/>
      <c r="R58" s="41" t="n"/>
      <c r="S58" s="41" t="n"/>
      <c r="T58" s="41" t="n"/>
      <c r="U58" s="41" t="n"/>
      <c r="V58" s="41" t="n"/>
      <c r="W58" s="41" t="n"/>
      <c r="X58" s="41" t="n"/>
      <c r="Y58" s="41" t="n"/>
      <c r="Z58" s="41" t="n"/>
      <c r="AA58" s="41" t="n"/>
      <c r="AB58" s="41" t="n"/>
      <c r="AC58" s="41" t="n"/>
      <c r="AD58" s="41" t="n"/>
      <c r="AE58" s="41" t="n"/>
      <c r="AF58" s="41" t="n"/>
      <c r="AG58" s="41" t="n"/>
      <c r="AH58" s="41" t="n"/>
      <c r="AI58" s="41" t="n"/>
      <c r="AJ58" s="41" t="n"/>
      <c r="AK58" s="41" t="n"/>
      <c r="AL58" s="41" t="n"/>
      <c r="AM58" s="41" t="n"/>
      <c r="AN58" s="41" t="n"/>
      <c r="AO58" s="41" t="n"/>
      <c r="AP58" s="41" t="n"/>
      <c r="AQ58" s="41" t="n"/>
      <c r="AR58" s="41" t="n"/>
      <c r="AS58" s="41" t="n"/>
      <c r="AT58" s="41" t="n"/>
      <c r="AU58" s="41" t="n"/>
      <c r="AV58" s="41" t="n"/>
      <c r="AW58" s="41" t="n"/>
      <c r="AX58" s="41" t="n"/>
      <c r="AY58" s="41" t="n"/>
      <c r="AZ58" s="41" t="n"/>
      <c r="BA58" s="162" t="inlineStr">
        <is>
          <t>buff de cd de feitiço</t>
        </is>
      </c>
      <c r="BB58" s="162">
        <f>ADDRESS(ROW(FICHA!L63),COLUMN(FICHA!L63),4)</f>
        <v/>
      </c>
      <c r="BD58" s="162" t="inlineStr">
        <is>
          <t>Wakizashi</t>
        </is>
      </c>
      <c r="BE58" s="162" t="inlineStr">
        <is>
          <t>Lâmina Longa</t>
        </is>
      </c>
      <c r="BF58" s="164" t="n">
        <v>1</v>
      </c>
      <c r="BG58" s="162" t="inlineStr">
        <is>
          <t>1d8</t>
        </is>
      </c>
      <c r="BH58" s="162" t="inlineStr">
        <is>
          <t>Oculta · Leve</t>
        </is>
      </c>
      <c r="BI58" s="162" t="inlineStr">
        <is>
          <t>—</t>
        </is>
      </c>
      <c r="BJ58" s="164" t="n">
        <v>0.5</v>
      </c>
      <c r="BM58" s="164">
        <f>'FICHA PESSOAL'!$D$79</f>
        <v/>
      </c>
      <c r="BN58" s="164">
        <f>ADDRESS(ROW('FICHA PESSOAL'!D79),COLUMN('FICHA PESSOAL'!D79),4)</f>
        <v/>
      </c>
      <c r="DR58" s="162" t="inlineStr">
        <is>
          <t>Reserva Orgânica</t>
        </is>
      </c>
      <c r="DS58" s="162" t="inlineStr">
        <is>
          <t>Híbrido</t>
        </is>
      </c>
      <c r="DT58" s="162" t="inlineStr">
        <is>
          <t>menor</t>
        </is>
      </c>
      <c r="DU58" s="162" t="inlineStr"/>
      <c r="DV58" s="162" t="inlineStr">
        <is>
          <t>Passiva</t>
        </is>
      </c>
      <c r="DW58" s="162" t="inlineStr">
        <is>
          <t>Transforme a cura que excederia sua vida máxima em vida temporária, até Constituição, mínimo 1, respeitando o teto geral e sem somar reservas. Isso não altera a exigência de vida para iniciar Regeneração Orgânica.</t>
        </is>
      </c>
    </row>
    <row r="59" ht="17.25" customHeight="1">
      <c r="A59" s="41" t="n"/>
      <c r="B59" s="41" t="n"/>
      <c r="C59" s="41" t="n"/>
      <c r="D59" s="41" t="n"/>
      <c r="E59" s="41" t="n"/>
      <c r="F59" s="162" t="inlineStr">
        <is>
          <t>Rastro</t>
        </is>
      </c>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c r="AE59" s="41" t="n"/>
      <c r="AF59" s="41" t="n"/>
      <c r="AG59" s="41" t="n"/>
      <c r="AH59" s="41" t="n"/>
      <c r="AI59" s="41" t="n"/>
      <c r="AJ59" s="41" t="n"/>
      <c r="AK59" s="41" t="n"/>
      <c r="AL59" s="41" t="n"/>
      <c r="AM59" s="41" t="n"/>
      <c r="AN59" s="41" t="n"/>
      <c r="AO59" s="41" t="n"/>
      <c r="AP59" s="41" t="n"/>
      <c r="AQ59" s="41" t="n"/>
      <c r="AR59" s="41" t="n"/>
      <c r="AS59" s="41" t="n"/>
      <c r="AT59" s="41" t="n"/>
      <c r="AU59" s="41" t="n"/>
      <c r="AV59" s="41" t="n"/>
      <c r="AW59" s="41" t="n"/>
      <c r="AX59" s="41" t="n"/>
      <c r="AY59" s="41" t="n"/>
      <c r="AZ59" s="41" t="n"/>
      <c r="BA59" s="162" t="inlineStr">
        <is>
          <t>buff de conjuração</t>
        </is>
      </c>
      <c r="BB59" s="162">
        <f>ADDRESS(ROW(FICHA!W63),COLUMN(FICHA!W63),4)</f>
        <v/>
      </c>
      <c r="BD59" s="162" t="inlineStr">
        <is>
          <t>Yari</t>
        </is>
      </c>
      <c r="BE59" s="162" t="inlineStr">
        <is>
          <t>Armas Longas</t>
        </is>
      </c>
      <c r="BF59" s="164" t="n">
        <v>2</v>
      </c>
      <c r="BG59" s="162" t="inlineStr">
        <is>
          <t>1d10</t>
        </is>
      </c>
      <c r="BH59" s="162" t="inlineStr">
        <is>
          <t>Alcance · Talha</t>
        </is>
      </c>
      <c r="BI59" s="164" t="n">
        <v>3</v>
      </c>
      <c r="BJ59" s="164" t="n">
        <v>2</v>
      </c>
      <c r="BM59" s="164">
        <f>'FICHA PESSOAL'!$AM$80</f>
        <v/>
      </c>
      <c r="BN59" s="164">
        <f>ADDRESS(ROW('FICHA PESSOAL'!AM80),COLUMN('FICHA PESSOAL'!AM80),4)</f>
        <v/>
      </c>
      <c r="DR59" s="162" t="inlineStr">
        <is>
          <t>Metabolismo Flexível</t>
        </is>
      </c>
      <c r="DS59" s="162" t="inlineStr">
        <is>
          <t>Híbrido</t>
        </is>
      </c>
      <c r="DT59" s="162" t="inlineStr">
        <is>
          <t>menor</t>
        </is>
      </c>
      <c r="DU59" s="162" t="inlineStr"/>
      <c r="DV59" s="162" t="inlineStr">
        <is>
          <t>No descanso curto</t>
        </is>
      </c>
      <c r="DW59" s="162" t="inlineStr">
        <is>
          <t>No descanso curto, pode ceder até sua maior Classe dos PE que efetivamente recuperaria para receber 3 PV por PE cedido. Não gasta PE que já possuía nem recebe os pontos cedidos junto da cura.</t>
        </is>
      </c>
    </row>
    <row r="60" ht="17.25" customHeight="1">
      <c r="A60" s="41" t="n"/>
      <c r="B60" s="41" t="n"/>
      <c r="C60" s="41" t="n"/>
      <c r="D60" s="41" t="n"/>
      <c r="E60" s="41" t="n"/>
      <c r="F60" s="162" t="inlineStr">
        <is>
          <t>Isca</t>
        </is>
      </c>
      <c r="G60" s="41" t="n"/>
      <c r="H60" s="41" t="n"/>
      <c r="I60" s="41" t="n"/>
      <c r="J60" s="41" t="n"/>
      <c r="K60" s="41" t="n"/>
      <c r="L60" s="41" t="n"/>
      <c r="M60" s="41" t="n"/>
      <c r="N60" s="41" t="n"/>
      <c r="O60" s="41" t="n"/>
      <c r="P60" s="41" t="n"/>
      <c r="Q60" s="41" t="n"/>
      <c r="R60" s="41" t="n"/>
      <c r="S60" s="41" t="n"/>
      <c r="T60" s="41" t="n"/>
      <c r="U60" s="41" t="n"/>
      <c r="V60" s="41" t="n"/>
      <c r="W60" s="41" t="n"/>
      <c r="X60" s="41" t="n"/>
      <c r="Y60" s="41" t="n"/>
      <c r="Z60" s="41" t="n"/>
      <c r="AA60" s="41" t="n"/>
      <c r="AB60" s="41" t="n"/>
      <c r="AC60" s="41" t="n"/>
      <c r="AD60" s="41" t="n"/>
      <c r="AE60" s="41" t="n"/>
      <c r="AF60" s="41" t="n"/>
      <c r="AG60" s="41" t="n"/>
      <c r="AH60" s="41" t="n"/>
      <c r="AI60" s="41" t="n"/>
      <c r="AJ60" s="41" t="n"/>
      <c r="AK60" s="41" t="n"/>
      <c r="AL60" s="41" t="n"/>
      <c r="AM60" s="41" t="n"/>
      <c r="AN60" s="41" t="n"/>
      <c r="AO60" s="41" t="n"/>
      <c r="AP60" s="41" t="n"/>
      <c r="AQ60" s="41" t="n"/>
      <c r="AR60" s="41" t="n"/>
      <c r="AS60" s="41" t="n"/>
      <c r="AT60" s="41" t="n"/>
      <c r="AU60" s="41" t="n"/>
      <c r="AV60" s="41" t="n"/>
      <c r="AW60" s="41" t="n"/>
      <c r="AX60" s="41" t="n"/>
      <c r="AY60" s="41" t="n"/>
      <c r="AZ60" s="41" t="n"/>
      <c r="BA60" s="162" t="inlineStr">
        <is>
          <t>buff de corpo a corpo</t>
        </is>
      </c>
      <c r="BB60" s="162">
        <f>ADDRESS(ROW(FICHA!AH63),COLUMN(FICHA!AH63),4)</f>
        <v/>
      </c>
      <c r="DR60" s="162" t="inlineStr">
        <is>
          <t>Ferramentas Integradas</t>
        </is>
      </c>
      <c r="DS60" s="162" t="inlineStr">
        <is>
          <t>Corpo Amaldiçoado</t>
        </is>
      </c>
      <c r="DT60" s="162" t="inlineStr">
        <is>
          <t>menor</t>
        </is>
      </c>
      <c r="DU60" s="162" t="inlineStr"/>
      <c r="DV60" s="162" t="inlineStr">
        <is>
          <t>Uma vez por cena</t>
        </is>
      </c>
      <c r="DW60" s="162" t="inlineStr">
        <is>
          <t>Incorpore à estrutura um conjunto de ferramentas de um Ofício em que seja treinado. O conjunto não ocupa Volume e fica disponível sem sacar ou guardar. Uma vez por cena, antes de um teste desse Ofício que use as ferramentas integradas, receba vantagem.
A isenção não inclui materiais, peças transportadas ou produtos. Você ainda precisa obter o conjunto; a menor não concede ferramentas gratuitas ou o treino. Instalação e troca acompanham a manutenção, sem exigir oficina fixa ou vínculo com o criador. Restrições próprias de um teste continuam valendo, como as fontes de vantagem permitidas em Criação de entidades.</t>
        </is>
      </c>
    </row>
    <row r="61" ht="17.25" customHeight="1">
      <c r="A61" s="41" t="n"/>
      <c r="B61" s="41" t="n"/>
      <c r="C61" s="41" t="n"/>
      <c r="D61" s="41" t="n"/>
      <c r="E61" s="41" t="n"/>
      <c r="F61" s="162" t="inlineStr">
        <is>
          <t>Sugar</t>
        </is>
      </c>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c r="AE61" s="41" t="n"/>
      <c r="AF61" s="41" t="n"/>
      <c r="AG61" s="41" t="n"/>
      <c r="AH61" s="41" t="n"/>
      <c r="AI61" s="41" t="n"/>
      <c r="AJ61" s="41" t="n"/>
      <c r="AK61" s="41" t="n"/>
      <c r="AL61" s="41" t="n"/>
      <c r="AM61" s="41" t="n"/>
      <c r="AN61" s="41" t="n"/>
      <c r="AO61" s="41" t="n"/>
      <c r="AP61" s="41" t="n"/>
      <c r="AQ61" s="41" t="n"/>
      <c r="AR61" s="41" t="n"/>
      <c r="AS61" s="41" t="n"/>
      <c r="AT61" s="41" t="n"/>
      <c r="AU61" s="41" t="n"/>
      <c r="AV61" s="41" t="n"/>
      <c r="AW61" s="41" t="n"/>
      <c r="AX61" s="41" t="n"/>
      <c r="AY61" s="41" t="n"/>
      <c r="AZ61" s="41" t="n"/>
      <c r="BA61" s="162" t="inlineStr">
        <is>
          <t>buff de à distância</t>
        </is>
      </c>
      <c r="BB61" s="162">
        <f>ADDRESS(ROW(FICHA!AS63),COLUMN(FICHA!AS63),4)</f>
        <v/>
      </c>
      <c r="DR61" s="162" t="inlineStr">
        <is>
          <t>Acabamento Trocável</t>
        </is>
      </c>
      <c r="DS61" s="162" t="inlineStr">
        <is>
          <t>Corpo Amaldiçoado</t>
        </is>
      </c>
      <c r="DT61" s="162" t="inlineStr">
        <is>
          <t>menor</t>
        </is>
      </c>
      <c r="DU61" s="162" t="inlineStr"/>
      <c r="DV61" s="162" t="inlineStr">
        <is>
          <t>Uma vez por cena</t>
        </is>
      </c>
      <c r="DW61" s="162" t="inlineStr">
        <is>
          <t>Depois de mudar seu acabamento, escolha duas perícias entre Persuasão, Enganação, Intimidação e Atuação. Uma vez por cena, antes de um teste social de uma delas, receba vantagem. As duas compartilham o uso.
Durante um descanso curto ou longo, pode fazer uma mudança visível com materiais adequados disponíveis, como roupas, tintas ou revestimentos. Ao concluir o descanso, entram em vigor a aparência e a nova escolha de perícias, sem PE ou teste. Isso não renova o uso por cena.
A seleção acompanha a mudança de acabamento, não cada teste. A alteração não modifica automaticamente voz, tamanho, capacidades ou assinatura de energia, nem oferece treino ou sucesso social impossível.</t>
        </is>
      </c>
    </row>
    <row r="62" ht="17.25" customHeight="1">
      <c r="A62" s="41" t="n"/>
      <c r="B62" s="41" t="n"/>
      <c r="C62" s="41" t="n"/>
      <c r="D62" s="41" t="n"/>
      <c r="E62" s="41" t="n"/>
      <c r="F62" s="162" t="inlineStr">
        <is>
          <t>Cobrança</t>
        </is>
      </c>
      <c r="G62" s="41" t="n"/>
      <c r="H62" s="41" t="n"/>
      <c r="I62" s="41" t="n"/>
      <c r="J62" s="41" t="n"/>
      <c r="K62" s="41" t="n"/>
      <c r="L62" s="41" t="n"/>
      <c r="M62" s="41" t="n"/>
      <c r="N62" s="41" t="n"/>
      <c r="O62" s="41" t="n"/>
      <c r="P62" s="41" t="n"/>
      <c r="Q62" s="41" t="n"/>
      <c r="R62" s="41" t="n"/>
      <c r="S62" s="41" t="n"/>
      <c r="T62" s="41" t="n"/>
      <c r="U62" s="41" t="n"/>
      <c r="V62" s="41" t="n"/>
      <c r="W62" s="41" t="n"/>
      <c r="X62" s="41" t="n"/>
      <c r="Y62" s="41" t="n"/>
      <c r="Z62" s="41" t="n"/>
      <c r="AA62" s="41" t="n"/>
      <c r="AB62" s="41" t="n"/>
      <c r="AC62" s="41" t="n"/>
      <c r="AD62" s="41" t="n"/>
      <c r="AE62" s="41" t="n"/>
      <c r="AF62" s="41" t="n"/>
      <c r="AG62" s="41" t="n"/>
      <c r="AH62" s="41" t="n"/>
      <c r="AI62" s="41" t="n"/>
      <c r="AJ62" s="41" t="n"/>
      <c r="AK62" s="41" t="n"/>
      <c r="AL62" s="41" t="n"/>
      <c r="AM62" s="41" t="n"/>
      <c r="AN62" s="41" t="n"/>
      <c r="AO62" s="41" t="n"/>
      <c r="AP62" s="41" t="n"/>
      <c r="AQ62" s="41" t="n"/>
      <c r="AR62" s="41" t="n"/>
      <c r="AS62" s="41" t="n"/>
      <c r="AT62" s="41" t="n"/>
      <c r="AU62" s="41" t="n"/>
      <c r="AV62" s="41" t="n"/>
      <c r="AW62" s="41" t="n"/>
      <c r="AX62" s="41" t="n"/>
      <c r="AY62" s="41" t="n"/>
      <c r="AZ62" s="41" t="n"/>
      <c r="BA62" s="162" t="inlineStr">
        <is>
          <t>buff de deslocamento</t>
        </is>
      </c>
      <c r="BB62" s="162">
        <f>ADDRESS(ROW(FICHA!W67),COLUMN(FICHA!W67),4)</f>
        <v/>
      </c>
      <c r="DR62" s="162" t="inlineStr">
        <is>
          <t>Amortecimento de Queda</t>
        </is>
      </c>
      <c r="DS62" s="162" t="inlineStr">
        <is>
          <t>Corpo Amaldiçoado</t>
        </is>
      </c>
      <c r="DT62" s="162" t="inlineStr">
        <is>
          <t>menor</t>
        </is>
      </c>
      <c r="DU62" s="162" t="inlineStr"/>
      <c r="DV62" s="162" t="inlineStr">
        <is>
          <t>Uma vez por cena</t>
        </is>
      </c>
      <c r="DW62" s="162" t="inlineStr">
        <is>
          <t>Uma vez por cena, estando consciente, use sua Reação para reduzir à metade o dano que sofreria de uma queda, arredondando para baixo depois das defesas aplicáveis.
Não permite voo, planagem ou mudança do local de chegada. Um ataque que cause a queda e a queda em si são eventos distintos.</t>
        </is>
      </c>
    </row>
    <row r="63" ht="17.25" customHeight="1">
      <c r="A63" s="41" t="n"/>
      <c r="B63" s="41" t="n"/>
      <c r="C63" s="41" t="n"/>
      <c r="D63" s="41" t="n"/>
      <c r="E63" s="41" t="n"/>
      <c r="F63" s="162" t="inlineStr">
        <is>
          <t>Identificar Feitiço</t>
        </is>
      </c>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c r="AE63" s="41" t="n"/>
      <c r="AF63" s="41" t="n"/>
      <c r="AG63" s="41" t="n"/>
      <c r="AH63" s="41" t="n"/>
      <c r="AI63" s="41" t="n"/>
      <c r="AJ63" s="41" t="n"/>
      <c r="AK63" s="41" t="n"/>
      <c r="AL63" s="41" t="n"/>
      <c r="AM63" s="41" t="n"/>
      <c r="AN63" s="41" t="n"/>
      <c r="AO63" s="41" t="n"/>
      <c r="AP63" s="41" t="n"/>
      <c r="AQ63" s="41" t="n"/>
      <c r="AR63" s="41" t="n"/>
      <c r="AS63" s="41" t="n"/>
      <c r="AT63" s="41" t="n"/>
      <c r="AU63" s="41" t="n"/>
      <c r="AV63" s="41" t="n"/>
      <c r="AW63" s="41" t="n"/>
      <c r="AX63" s="41" t="n"/>
      <c r="AY63" s="41" t="n"/>
      <c r="AZ63" s="41" t="n"/>
      <c r="BA63" s="162" t="inlineStr">
        <is>
          <t>corpo_Força</t>
        </is>
      </c>
      <c r="BB63" s="162">
        <f>ADDRESS(ROW(FICHA!AK15),COLUMN(FICHA!AK15),4)</f>
        <v/>
      </c>
      <c r="DR63" s="162" t="inlineStr">
        <is>
          <t>Reparo Autônomo</t>
        </is>
      </c>
      <c r="DS63" s="162" t="inlineStr">
        <is>
          <t>Corpo Amaldiçoado</t>
        </is>
      </c>
      <c r="DT63" s="162" t="inlineStr">
        <is>
          <t>menor</t>
        </is>
      </c>
      <c r="DU63" s="162" t="inlineStr"/>
      <c r="DV63" s="162" t="inlineStr">
        <is>
          <t>Uma vez por dia</t>
        </is>
      </c>
      <c r="DW63" s="162" t="inlineStr">
        <is>
          <t>Uma vez por dia, gaste uma Ação Padrão para reparar a si mesmo, inclusive em combate. No sucesso, recupere 30% da vida máxima, arredondados para baixo. Precisa estar consciente e capaz, treinado no ofício compatível, com ferramentas e materiais acessíveis.
Use o teste de Reparar, comparando sua Classe consigo mesma. Esta menor tem sua própria ação, frequência e taxa; não consome uma tentativa de um descanso curto futuro. Manutenção Precisa continua exigindo reparo durante descanso curto.</t>
        </is>
      </c>
    </row>
    <row r="64" ht="17.25" customHeight="1">
      <c r="A64" s="41" t="n"/>
      <c r="B64" s="41" t="n"/>
      <c r="C64" s="41" t="n"/>
      <c r="D64" s="41" t="n"/>
      <c r="E64" s="41" t="n"/>
      <c r="F64" s="162" t="inlineStr">
        <is>
          <t>Limpa</t>
        </is>
      </c>
      <c r="G64" s="41" t="n"/>
      <c r="H64" s="41" t="n"/>
      <c r="I64" s="41" t="n"/>
      <c r="J64" s="41" t="n"/>
      <c r="K64" s="41" t="n"/>
      <c r="L64" s="41" t="n"/>
      <c r="M64" s="41" t="n"/>
      <c r="N64" s="41" t="n"/>
      <c r="O64" s="41" t="n"/>
      <c r="P64" s="41" t="n"/>
      <c r="Q64" s="41" t="n"/>
      <c r="R64" s="41" t="n"/>
      <c r="S64" s="41" t="n"/>
      <c r="T64" s="41" t="n"/>
      <c r="U64" s="41" t="n"/>
      <c r="V64" s="41" t="n"/>
      <c r="W64" s="41" t="n"/>
      <c r="X64" s="41" t="n"/>
      <c r="Y64" s="41" t="n"/>
      <c r="Z64" s="41" t="n"/>
      <c r="AA64" s="41" t="n"/>
      <c r="AB64" s="41" t="n"/>
      <c r="AC64" s="41" t="n"/>
      <c r="AD64" s="41" t="n"/>
      <c r="AE64" s="41" t="n"/>
      <c r="AF64" s="41" t="n"/>
      <c r="AG64" s="41" t="n"/>
      <c r="AH64" s="41" t="n"/>
      <c r="AI64" s="41" t="n"/>
      <c r="AJ64" s="41" t="n"/>
      <c r="AK64" s="41" t="n"/>
      <c r="AL64" s="41" t="n"/>
      <c r="AM64" s="41" t="n"/>
      <c r="AN64" s="41" t="n"/>
      <c r="AO64" s="41" t="n"/>
      <c r="AP64" s="41" t="n"/>
      <c r="AQ64" s="41" t="n"/>
      <c r="AR64" s="41" t="n"/>
      <c r="AS64" s="41" t="n"/>
      <c r="AT64" s="41" t="n"/>
      <c r="AU64" s="41" t="n"/>
      <c r="AV64" s="41" t="n"/>
      <c r="AW64" s="41" t="n"/>
      <c r="AX64" s="41" t="n"/>
      <c r="AY64" s="41" t="n"/>
      <c r="AZ64" s="41" t="n"/>
      <c r="BA64" s="162" t="inlineStr">
        <is>
          <t>corpo_Destreza</t>
        </is>
      </c>
      <c r="BB64" s="162">
        <f>ADDRESS(ROW(FICHA!AM15),COLUMN(FICHA!AM15),4)</f>
        <v/>
      </c>
      <c r="DR64" s="162" t="inlineStr">
        <is>
          <t>Redundância</t>
        </is>
      </c>
      <c r="DS64" s="162" t="inlineStr">
        <is>
          <t>Corpo Amaldiçoado</t>
        </is>
      </c>
      <c r="DT64" s="162" t="inlineStr">
        <is>
          <t>menor</t>
        </is>
      </c>
      <c r="DU64" s="162" t="inlineStr"/>
      <c r="DV64" s="162" t="inlineStr">
        <is>
          <t>Uma vez por cena</t>
        </is>
      </c>
      <c r="DW64" s="162" t="inlineStr">
        <is>
          <t>Escolha Físico, Vigor, Intelecto ou Espírito. Uma vez por cena, quando falhar no TR escolhido, pode repetir a rolagem e deve aceitar o segundo resultado. A escolha é fixa; não exige treino nem o concede. Mantenha os modificadores e requisitos do teste.</t>
        </is>
      </c>
    </row>
    <row r="65" ht="17.25" customHeight="1">
      <c r="A65" s="41" t="n"/>
      <c r="B65" s="41" t="n"/>
      <c r="C65" s="41" t="n"/>
      <c r="D65" s="41" t="n"/>
      <c r="E65" s="41" t="n"/>
      <c r="F65" s="162" t="inlineStr">
        <is>
          <t>Limpa Fundo</t>
        </is>
      </c>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c r="AE65" s="41" t="n"/>
      <c r="AF65" s="41" t="n"/>
      <c r="AG65" s="41" t="n"/>
      <c r="AH65" s="41" t="n"/>
      <c r="AI65" s="41" t="n"/>
      <c r="AJ65" s="41" t="n"/>
      <c r="AK65" s="41" t="n"/>
      <c r="AL65" s="41" t="n"/>
      <c r="AM65" s="41" t="n"/>
      <c r="AN65" s="41" t="n"/>
      <c r="AO65" s="41" t="n"/>
      <c r="AP65" s="41" t="n"/>
      <c r="AQ65" s="41" t="n"/>
      <c r="AR65" s="41" t="n"/>
      <c r="AS65" s="41" t="n"/>
      <c r="AT65" s="41" t="n"/>
      <c r="AU65" s="41" t="n"/>
      <c r="AV65" s="41" t="n"/>
      <c r="AW65" s="41" t="n"/>
      <c r="AX65" s="41" t="n"/>
      <c r="AY65" s="41" t="n"/>
      <c r="AZ65" s="41" t="n"/>
      <c r="BA65" s="162" t="inlineStr">
        <is>
          <t>corpo_Constituição</t>
        </is>
      </c>
      <c r="BB65" s="162">
        <f>ADDRESS(ROW(FICHA!AO15),COLUMN(FICHA!AO15),4)</f>
        <v/>
      </c>
      <c r="DR65" s="162" t="inlineStr">
        <is>
          <t>Carcaça Grande</t>
        </is>
      </c>
      <c r="DS65" s="162" t="inlineStr">
        <is>
          <t>Corpo Amaldiçoado</t>
        </is>
      </c>
      <c r="DT65" s="162" t="inlineStr">
        <is>
          <t>menor</t>
        </is>
      </c>
      <c r="DU65" s="162" t="inlineStr"/>
      <c r="DV65" s="162" t="inlineStr">
        <is>
          <t>Passiva</t>
        </is>
      </c>
      <c r="DW65" s="162" t="inlineStr">
        <is>
          <t>Você é da categoria de tamanho Grande, de forma passiva e permanente. Aplique as regras gerais de tamanho. Não há ativação, custo ou transformação temporária, nem bônus próprio de vida, dano, Força, carga ou alcance concedido por esta menor.</t>
        </is>
      </c>
    </row>
    <row r="66" ht="17.25" customHeight="1">
      <c r="A66" s="41" t="n"/>
      <c r="B66" s="41" t="n"/>
      <c r="C66" s="41" t="n"/>
      <c r="D66" s="41" t="n"/>
      <c r="E66" s="41" t="n"/>
      <c r="F66" s="162" t="inlineStr">
        <is>
          <t>Levanta</t>
        </is>
      </c>
      <c r="G66" s="41" t="n"/>
      <c r="H66" s="41" t="n"/>
      <c r="I66" s="41" t="n"/>
      <c r="J66" s="41" t="n"/>
      <c r="K66" s="41" t="n"/>
      <c r="L66" s="41" t="n"/>
      <c r="M66" s="41" t="n"/>
      <c r="N66" s="41" t="n"/>
      <c r="O66" s="41" t="n"/>
      <c r="P66" s="41" t="n"/>
      <c r="Q66" s="41" t="n"/>
      <c r="R66" s="41" t="n"/>
      <c r="S66" s="41" t="n"/>
      <c r="T66" s="41" t="n"/>
      <c r="U66" s="41" t="n"/>
      <c r="V66" s="41" t="n"/>
      <c r="W66" s="41" t="n"/>
      <c r="X66" s="41" t="n"/>
      <c r="Y66" s="41" t="n"/>
      <c r="Z66" s="41" t="n"/>
      <c r="AA66" s="41" t="n"/>
      <c r="AB66" s="41" t="n"/>
      <c r="AC66" s="41" t="n"/>
      <c r="AD66" s="41" t="n"/>
      <c r="AE66" s="41" t="n"/>
      <c r="AF66" s="41" t="n"/>
      <c r="AG66" s="41" t="n"/>
      <c r="AH66" s="41" t="n"/>
      <c r="AI66" s="41" t="n"/>
      <c r="AJ66" s="41" t="n"/>
      <c r="AK66" s="41" t="n"/>
      <c r="AL66" s="41" t="n"/>
      <c r="AM66" s="41" t="n"/>
      <c r="AN66" s="41" t="n"/>
      <c r="AO66" s="41" t="n"/>
      <c r="AP66" s="41" t="n"/>
      <c r="AQ66" s="41" t="n"/>
      <c r="AR66" s="41" t="n"/>
      <c r="AS66" s="41" t="n"/>
      <c r="AT66" s="41" t="n"/>
      <c r="AU66" s="41" t="n"/>
      <c r="AV66" s="41" t="n"/>
      <c r="AW66" s="41" t="n"/>
      <c r="AX66" s="41" t="n"/>
      <c r="AY66" s="41" t="n"/>
      <c r="AZ66" s="41" t="n"/>
      <c r="BA66" s="162" t="inlineStr">
        <is>
          <t>corpo_Inteligência</t>
        </is>
      </c>
      <c r="BB66" s="162">
        <f>ADDRESS(ROW(FICHA!AQ15),COLUMN(FICHA!AQ15),4)</f>
        <v/>
      </c>
      <c r="DR66" s="162" t="inlineStr">
        <is>
          <t>Construção Especializada</t>
        </is>
      </c>
      <c r="DS66" s="162" t="inlineStr">
        <is>
          <t>Corpo Amaldiçoado</t>
        </is>
      </c>
      <c r="DT66" s="162" t="inlineStr">
        <is>
          <t>menor</t>
        </is>
      </c>
      <c r="DU66" s="162" t="inlineStr"/>
      <c r="DV66" s="162" t="inlineStr">
        <is>
          <t>Passiva</t>
        </is>
      </c>
      <c r="DW66" s="162" t="inlineStr">
        <is>
          <t>Receba um Talento passivo de Categoria de Efeito 1, compatível com sua rota e respeitando os requisitos. Ele representa uma função incorporada ao projeto e fica fora dos espaços conhecidos e dos cinco Talentos pagos.
Escolha na criação, sem duplicação, evolução gratuita ou troca livre durante manutenção. O benefício não concede técnica inata.</t>
        </is>
      </c>
    </row>
    <row r="67" ht="17.25" customHeight="1">
      <c r="A67" s="41" t="n"/>
      <c r="B67" s="41" t="n"/>
      <c r="C67" s="41" t="n"/>
      <c r="D67" s="41" t="n"/>
      <c r="E67" s="41" t="n"/>
      <c r="F67" s="162" t="inlineStr">
        <is>
          <t>Remenda</t>
        </is>
      </c>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c r="AE67" s="41" t="n"/>
      <c r="AF67" s="41" t="n"/>
      <c r="AG67" s="41" t="n"/>
      <c r="AH67" s="41" t="n"/>
      <c r="AI67" s="41" t="n"/>
      <c r="AJ67" s="41" t="n"/>
      <c r="AK67" s="41" t="n"/>
      <c r="AL67" s="41" t="n"/>
      <c r="AM67" s="41" t="n"/>
      <c r="AN67" s="41" t="n"/>
      <c r="AO67" s="41" t="n"/>
      <c r="AP67" s="41" t="n"/>
      <c r="AQ67" s="41" t="n"/>
      <c r="AR67" s="41" t="n"/>
      <c r="AS67" s="41" t="n"/>
      <c r="AT67" s="41" t="n"/>
      <c r="AU67" s="41" t="n"/>
      <c r="AV67" s="41" t="n"/>
      <c r="AW67" s="41" t="n"/>
      <c r="AX67" s="41" t="n"/>
      <c r="AY67" s="41" t="n"/>
      <c r="AZ67" s="41" t="n"/>
      <c r="BA67" s="162" t="inlineStr">
        <is>
          <t>corpo_Essência</t>
        </is>
      </c>
      <c r="BB67" s="162">
        <f>ADDRESS(ROW(FICHA!AS15),COLUMN(FICHA!AS15),4)</f>
        <v/>
      </c>
      <c r="DR67" s="162" t="inlineStr">
        <is>
          <t>Arquivo de Procedimentos</t>
        </is>
      </c>
      <c r="DS67" s="162" t="inlineStr">
        <is>
          <t>Corpo Amaldiçoado</t>
        </is>
      </c>
      <c r="DT67" s="162" t="inlineStr">
        <is>
          <t>menor</t>
        </is>
      </c>
      <c r="DU67" s="162" t="inlineStr"/>
      <c r="DV67" s="162" t="inlineStr">
        <is>
          <t>No descanso curto</t>
        </is>
      </c>
      <c r="DW67" s="162" t="inlineStr">
        <is>
          <t>Registre três perícias ou Ofícios. Você mantém treino em um deles por vez. Durante um descanso curto ou longo, pode trocar uma vez o procedimento ativo; a mudança entra em vigor ao concluir o descanso, sem PE, teste ou material adicional apenas para selecioná-lo.
A lista dos três permanece fixa. Pode trocar o procedimento no mesmo descanso em que muda o acabamento. Mantenha os requisitos de ferramentas, materiais, receitas e conhecimentos da tarefa.
O treino do Arquivo não pode ser aprimorado para especialização nem servir de requisito para adquiri-la. Não soma bônus a um treino já possuído nem concede os três ao mesmo tempo. Treinos e especializações obtidos por fontes independentes conservam suas regras.</t>
        </is>
      </c>
    </row>
    <row r="68" ht="17.25" customHeight="1">
      <c r="A68" s="41" t="n"/>
      <c r="B68" s="41" t="n"/>
      <c r="C68" s="41" t="n"/>
      <c r="D68" s="41" t="n"/>
      <c r="E68" s="41" t="n"/>
      <c r="F68" s="162" t="inlineStr">
        <is>
          <t>Divide</t>
        </is>
      </c>
      <c r="G68" s="41" t="n"/>
      <c r="H68" s="41" t="n"/>
      <c r="I68" s="41" t="n"/>
      <c r="J68" s="41" t="n"/>
      <c r="K68" s="41" t="n"/>
      <c r="L68" s="41" t="n"/>
      <c r="M68" s="41" t="n"/>
      <c r="N68" s="41" t="n"/>
      <c r="O68" s="41" t="n"/>
      <c r="P68" s="41" t="n"/>
      <c r="Q68" s="41" t="n"/>
      <c r="R68" s="41" t="n"/>
      <c r="S68" s="41" t="n"/>
      <c r="T68" s="41" t="n"/>
      <c r="U68" s="41" t="n"/>
      <c r="V68" s="41" t="n"/>
      <c r="W68" s="41" t="n"/>
      <c r="X68" s="41" t="n"/>
      <c r="Y68" s="41" t="n"/>
      <c r="Z68" s="41" t="n"/>
      <c r="AA68" s="41" t="n"/>
      <c r="AB68" s="41" t="n"/>
      <c r="AC68" s="41" t="n"/>
      <c r="AD68" s="41" t="n"/>
      <c r="AE68" s="41" t="n"/>
      <c r="AF68" s="41" t="n"/>
      <c r="AG68" s="41" t="n"/>
      <c r="AH68" s="41" t="n"/>
      <c r="AI68" s="41" t="n"/>
      <c r="AJ68" s="41" t="n"/>
      <c r="AK68" s="41" t="n"/>
      <c r="AL68" s="41" t="n"/>
      <c r="AM68" s="41" t="n"/>
      <c r="AN68" s="41" t="n"/>
      <c r="AO68" s="41" t="n"/>
      <c r="AP68" s="41" t="n"/>
      <c r="AQ68" s="41" t="n"/>
      <c r="AR68" s="41" t="n"/>
      <c r="AS68" s="41" t="n"/>
      <c r="AT68" s="41" t="n"/>
      <c r="AU68" s="41" t="n"/>
      <c r="AV68" s="41" t="n"/>
      <c r="AW68" s="41" t="n"/>
      <c r="AX68" s="41" t="n"/>
      <c r="AY68" s="41" t="n"/>
      <c r="AZ68" s="41" t="n"/>
      <c r="BA68" s="162" t="inlineStr">
        <is>
          <t>pontos de corpo</t>
        </is>
      </c>
      <c r="BB68" s="162">
        <f>ADDRESS(ROW(FICHA!AK14),COLUMN(FICHA!AK14),4)</f>
        <v/>
      </c>
      <c r="DR68" s="162" t="inlineStr">
        <is>
          <t>Núcleo Dependente</t>
        </is>
      </c>
      <c r="DS68" s="162" t="inlineStr">
        <is>
          <t>Corpo Amaldiçoado</t>
        </is>
      </c>
      <c r="DT68" s="162" t="inlineStr">
        <is>
          <t>menor</t>
        </is>
      </c>
      <c r="DU68" s="162" t="inlineStr"/>
      <c r="DV68" s="162" t="inlineStr">
        <is>
          <t>Passiva</t>
        </is>
      </c>
      <c r="DW68" s="162" t="inlineStr">
        <is>
          <t>Sua estrutura depende diretamente da reserva de energia. Aumente seus PE máximos em Essência + quantidade de marcos alcançados × metade da Essência, arredondada para baixo. Conte os marcos dos níveis 6, 10, 14, 18, 22, 26 e 30.
Quando Essência aumentar, recalcule todo o benefício, inclusive as parcelas anteriores. Não use Maestria nessa conta. Alterar o máximo não recupera toda a reserva; o saldo segue a regra geral aplicável à mudança.
Exemplo: com Essência 3 no nível 10, há dois marcos: 3 + 2 × 1 = 5 PE adicionais. Se Essência subir para 4, recalcule: 4 + 2 × 2 = 8 PE adicionais.
Alma e Integridade.
Você não possui barra de Integridade. Dano de Alma que também atinja vida continua causando sua perda de vida. Você é imune ao dano exclusivo à Integridade, que não atinge vida; nenhum desses danos se converte em perda de PE. Os estágios de Integridade não se aplicam, e recuperar Integridade não recupera energia.
Isso não significa ausência de alma ou imunidade a todos os efeitos que a atinjam. Em um efeito misto, resolva os demais componentes aplicáveis. Exigências de recuperar Integridade após derrota só se aplicam a quem possui essa reserva; outras causas de queda ou inconsciência continuam valendo.
Falta de energia.
Você fica inativo quando não resta nenhum PE comum ou temporário. Se gastar os últimos PE numa capacidade, resolva primeiro o efeito pago e fique inativo depois.
Enquanto inativo, permanece consciente, pode falar, perceber o entorno e fazer gestos simples. Seu deslocamento cai à metade. Falha automaticamente em quaisquer testes e não pode realizar outras ações, usar Reações ou Bloquear. Sua Defesa continua normal. Isso não impede inconsciência ou derrota por outros motivos.
Receber pelo menos 1 PE comum ou temporário por uma fonte válida encerra imediatamente a inatividade, sem ação adicional. Não renova ações ou Reações gastas nem remove outros impedimentos. Se a energia temporária acabar ou expirar e não houver PE comuns, você fica inativo novamente.
Recuperação de energia.
Conserve a recuperação normal por descanso, inclusive enquanto inativo: 25% dos PE máximos no curto e até o máximo no longo, com os arredondamentos e requisitos normais. Existência Artificial torna o ambiente propício, mas ainda é preciso uma pausa real e encerrar a missão para o descanso longo.
O fornecedor de energia e o que cobra fazem parte da história. Esta menor não cria consumo automático, doação obrigatória por descanso ou transferência livre de PE entre personagens. Recuperar durante uma cena exige uma fonte que permita fazê-lo. Abastecimento de energia e reparo de vida são procedimentos distintos.</t>
        </is>
      </c>
    </row>
    <row r="69" ht="17.25" customHeight="1">
      <c r="A69" s="41" t="n"/>
      <c r="B69" s="41" t="n"/>
      <c r="C69" s="41" t="n"/>
      <c r="D69" s="41" t="n"/>
      <c r="E69" s="41" t="n"/>
      <c r="F69" s="162" t="inlineStr">
        <is>
          <t>Junto</t>
        </is>
      </c>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c r="AE69" s="41" t="n"/>
      <c r="AF69" s="41" t="n"/>
      <c r="AG69" s="41" t="n"/>
      <c r="AH69" s="41" t="n"/>
      <c r="AI69" s="41" t="n"/>
      <c r="AJ69" s="41" t="n"/>
      <c r="AK69" s="41" t="n"/>
      <c r="AL69" s="41" t="n"/>
      <c r="AM69" s="41" t="n"/>
      <c r="AN69" s="41" t="n"/>
      <c r="AO69" s="41" t="n"/>
      <c r="AP69" s="41" t="n"/>
      <c r="AQ69" s="41" t="n"/>
      <c r="AR69" s="41" t="n"/>
      <c r="AS69" s="41" t="n"/>
      <c r="AT69" s="41" t="n"/>
      <c r="AU69" s="41" t="n"/>
      <c r="AV69" s="41" t="n"/>
      <c r="AW69" s="41" t="n"/>
      <c r="AX69" s="41" t="n"/>
      <c r="AY69" s="41" t="n"/>
      <c r="AZ69" s="41" t="n"/>
      <c r="BA69" s="162" t="inlineStr">
        <is>
          <t>pontos disponíveis</t>
        </is>
      </c>
      <c r="BB69" s="162">
        <f>ADDRESS(ROW(FICHA!Z15),COLUMN(FICHA!Z15),4)</f>
        <v/>
      </c>
      <c r="DR69" s="162" t="inlineStr">
        <is>
          <t>Mente Resguardada</t>
        </is>
      </c>
      <c r="DS69" s="162" t="inlineStr">
        <is>
          <t>Corpo Amaldiçoado</t>
        </is>
      </c>
      <c r="DT69" s="162" t="inlineStr">
        <is>
          <t>menor</t>
        </is>
      </c>
      <c r="DU69" s="162" t="inlineStr"/>
      <c r="DV69" s="162" t="inlineStr">
        <is>
          <t>Passiva</t>
        </is>
      </c>
      <c r="DW69" s="162" t="inlineStr">
        <is>
          <t>Você é imune a Enfeitiçado e Amedrontado. Ao escolher esta menor, escolha permanentemente uma contrapartida:
- Vulnerabilidade a um tipo de dano Físico; ou
- Vulnerabilidade a um tipo de dano Elemental e um tipo de dano Especial.
Escolha tipos individuais dos grupos apresentados em Dano, não grupos inteiros. Use as regras normais de vulnerabilidade. A imunidade não se estende a dano Psíquico, todo TR Mental, ilusões ou outras condições. Você continua tendo emoções, vontade e alma.</t>
        </is>
      </c>
    </row>
    <row r="70">
      <c r="A70" s="41" t="n"/>
      <c r="B70" s="41" t="n"/>
      <c r="C70" s="41" t="n"/>
      <c r="D70" s="41" t="n"/>
      <c r="E70" s="41" t="n"/>
      <c r="F70" s="41" t="inlineStr">
        <is>
          <t>Reserva</t>
        </is>
      </c>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c r="AA70" s="41" t="n"/>
      <c r="AB70" s="41" t="n"/>
      <c r="AC70" s="41" t="n"/>
      <c r="AD70" s="41" t="n"/>
      <c r="AE70" s="41" t="n"/>
      <c r="AF70" s="41" t="n"/>
      <c r="AG70" s="41" t="n"/>
      <c r="AH70" s="41" t="n"/>
      <c r="AI70" s="41" t="n"/>
      <c r="AJ70" s="41" t="n"/>
      <c r="AK70" s="41" t="n"/>
      <c r="AL70" s="41" t="n"/>
      <c r="AM70" s="41" t="n"/>
      <c r="AN70" s="41" t="n"/>
      <c r="AO70" s="41" t="n"/>
      <c r="AP70" s="41" t="n"/>
      <c r="AQ70" s="41" t="n"/>
      <c r="AR70" s="41" t="n"/>
      <c r="AS70" s="41" t="n"/>
      <c r="AT70" s="41" t="n"/>
      <c r="AU70" s="41" t="n"/>
      <c r="AV70" s="41" t="n"/>
      <c r="AW70" s="41" t="n"/>
      <c r="AX70" s="41" t="n"/>
      <c r="AY70" s="41" t="n"/>
      <c r="AZ70" s="41" t="n"/>
      <c r="BA70" s="162" t="inlineStr">
        <is>
          <t>perícias disponíveis</t>
        </is>
      </c>
      <c r="BB70" s="162">
        <f>ADDRESS(ROW(FICHA!AK89),COLUMN(FICHA!AK89),4)</f>
        <v/>
      </c>
      <c r="DR70" s="162" t="inlineStr">
        <is>
          <t>Porte Incomum</t>
        </is>
      </c>
      <c r="DS70" s="162" t="inlineStr">
        <is>
          <t>Restrição Celestial · Sem Energia</t>
        </is>
      </c>
      <c r="DT70" s="162" t="inlineStr">
        <is>
          <t>menor</t>
        </is>
      </c>
      <c r="DU70" s="162" t="inlineStr"/>
      <c r="DV70" s="162" t="inlineStr">
        <is>
          <t>Passiva</t>
        </is>
      </c>
      <c r="DW70" s="162" t="inlineStr">
        <is>
          <t>Seu limite normal de carga aumenta em Volume igual à Maestria. Calcule o dobro a partir do novo limite. Não aumenta Força, tamanho ou dano, nem dispensa requisitos de empunhadura e proteção. Você ainda precisa conseguir segurar e transportar o que carrega.
Exemplo: Força 3 e Maestria 1 dão limite de 5 + 3 + 1 = 9 Volume, com teto de 18 para o excesso permitido. As penalidades de carga continuam valendo.</t>
        </is>
      </c>
    </row>
    <row r="71">
      <c r="A71" s="41" t="n"/>
      <c r="B71" s="41" t="n"/>
      <c r="C71" s="41" t="n"/>
      <c r="D71" s="41" t="n"/>
      <c r="E71" s="41" t="n"/>
      <c r="F71" s="41" t="inlineStr">
        <is>
          <t>Efeito Próprio</t>
        </is>
      </c>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1" t="n"/>
      <c r="AD71" s="41" t="n"/>
      <c r="AE71" s="41" t="n"/>
      <c r="AF71" s="41" t="n"/>
      <c r="AG71" s="41" t="n"/>
      <c r="AH71" s="41" t="n"/>
      <c r="AI71" s="41" t="n"/>
      <c r="AJ71" s="41" t="n"/>
      <c r="AK71" s="41" t="n"/>
      <c r="AL71" s="41" t="n"/>
      <c r="AM71" s="41" t="n"/>
      <c r="AN71" s="41" t="n"/>
      <c r="AO71" s="41" t="n"/>
      <c r="AP71" s="41" t="n"/>
      <c r="AQ71" s="41" t="n"/>
      <c r="AR71" s="41" t="n"/>
      <c r="AS71" s="41" t="n"/>
      <c r="AT71" s="41" t="n"/>
      <c r="AU71" s="41" t="n"/>
      <c r="AV71" s="41" t="n"/>
      <c r="AW71" s="41" t="n"/>
      <c r="AX71" s="41" t="n"/>
      <c r="AY71" s="41" t="n"/>
      <c r="AZ71" s="41" t="n"/>
      <c r="BA71" s="162" t="inlineStr">
        <is>
          <t>ofícios disponíveis</t>
        </is>
      </c>
      <c r="BB71" s="162">
        <f>ADDRESS(ROW(FICHA!AF114),COLUMN(FICHA!AF114),4)</f>
        <v/>
      </c>
      <c r="DR71" s="162" t="inlineStr">
        <is>
          <t>Corpo Flexível</t>
        </is>
      </c>
      <c r="DS71" s="162" t="inlineStr">
        <is>
          <t>Restrição Celestial · Sem Energia</t>
        </is>
      </c>
      <c r="DT71" s="162" t="inlineStr">
        <is>
          <t>menor</t>
        </is>
      </c>
      <c r="DU71" s="162" t="inlineStr"/>
      <c r="DV71" s="162" t="inlineStr">
        <is>
          <t>Passiva</t>
        </is>
      </c>
      <c r="DW71" s="162" t="inlineStr">
        <is>
          <t>Ao se espremer, ignore apenas o custo adicional de movimento da passagem estreita. A abertura ainda precisa comportar corpo e equipamento; penalidades de combate, terreno difícil e rastejar permanecem. Atravessar 3 m de passagem regular custa 3 m em vez de 6 m.</t>
        </is>
      </c>
    </row>
    <row r="72">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c r="AA72" s="41" t="n"/>
      <c r="AB72" s="41" t="n"/>
      <c r="AC72" s="41" t="n"/>
      <c r="AD72" s="41" t="n"/>
      <c r="AE72" s="41" t="n"/>
      <c r="AF72" s="41" t="n"/>
      <c r="AG72" s="41" t="n"/>
      <c r="AH72" s="41" t="n"/>
      <c r="AI72" s="41" t="n"/>
      <c r="AJ72" s="41" t="n"/>
      <c r="AK72" s="41" t="n"/>
      <c r="AL72" s="41" t="n"/>
      <c r="AM72" s="41" t="n"/>
      <c r="AN72" s="41" t="n"/>
      <c r="AO72" s="41" t="n"/>
      <c r="AP72" s="41" t="n"/>
      <c r="AQ72" s="41" t="n"/>
      <c r="AR72" s="41" t="n"/>
      <c r="AS72" s="41" t="n"/>
      <c r="AT72" s="41" t="n"/>
      <c r="AU72" s="41" t="n"/>
      <c r="AV72" s="41" t="n"/>
      <c r="AW72" s="41" t="n"/>
      <c r="AX72" s="41" t="n"/>
      <c r="AY72" s="41" t="n"/>
      <c r="AZ72" s="41" t="n"/>
      <c r="BA72" s="162" t="inlineStr">
        <is>
          <t>testes disponíveis</t>
        </is>
      </c>
      <c r="BB72" s="162">
        <f>ADDRESS(ROW(FICHA!AN114),COLUMN(FICHA!AN114),4)</f>
        <v/>
      </c>
      <c r="DR72" s="162" t="inlineStr">
        <is>
          <t>Mapa Mental</t>
        </is>
      </c>
      <c r="DS72" s="162" t="inlineStr">
        <is>
          <t>Restrição Celestial · Sem Energia</t>
        </is>
      </c>
      <c r="DT72" s="162" t="inlineStr">
        <is>
          <t>menor</t>
        </is>
      </c>
      <c r="DU72" s="162" t="inlineStr"/>
      <c r="DV72" s="162" t="inlineStr">
        <is>
          <t>Passiva</t>
        </is>
      </c>
      <c r="DW72" s="162" t="inlineStr">
        <is>
          <t>Recorde sem teste o percurso que atravessou conscientemente: curvas, bifurcações e a ordem dos marcos percebidos. Não revela atalhos, caminhos desconhecidos, mudanças posteriores ou deslocamentos que não pôde acompanhar. A capacidade preserva trajetos difíceis sem retirar dos outros a memória cotidiana de caminhos simples.</t>
        </is>
      </c>
    </row>
    <row r="73">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1" t="n"/>
      <c r="AD73" s="41" t="n"/>
      <c r="AE73" s="41" t="n"/>
      <c r="AF73" s="41" t="n"/>
      <c r="AG73" s="41" t="n"/>
      <c r="AH73" s="41" t="n"/>
      <c r="AI73" s="41" t="n"/>
      <c r="AJ73" s="41" t="n"/>
      <c r="AK73" s="41" t="n"/>
      <c r="AL73" s="41" t="n"/>
      <c r="AM73" s="41" t="n"/>
      <c r="AN73" s="41" t="n"/>
      <c r="AO73" s="41" t="n"/>
      <c r="AP73" s="41" t="n"/>
      <c r="AQ73" s="41" t="n"/>
      <c r="AR73" s="41" t="n"/>
      <c r="AS73" s="41" t="n"/>
      <c r="AT73" s="41" t="n"/>
      <c r="AU73" s="41" t="n"/>
      <c r="AV73" s="41" t="n"/>
      <c r="AW73" s="41" t="n"/>
      <c r="AX73" s="41" t="n"/>
      <c r="AY73" s="41" t="n"/>
      <c r="AZ73" s="41" t="n"/>
      <c r="BA73" s="162" t="inlineStr">
        <is>
          <t>escolhas de perícia</t>
        </is>
      </c>
      <c r="BB73" s="162">
        <f>ADDRESS(ROW(FICHA!AK105),COLUMN(FICHA!AK105),4)</f>
        <v/>
      </c>
      <c r="DR73" s="162" t="inlineStr">
        <is>
          <t>Aprendizado Complementar</t>
        </is>
      </c>
      <c r="DS73" s="162" t="inlineStr">
        <is>
          <t>Restrição Celestial · Sem Energia</t>
        </is>
      </c>
      <c r="DT73" s="162" t="inlineStr">
        <is>
          <t>menor</t>
        </is>
      </c>
      <c r="DU73" s="162" t="inlineStr"/>
      <c r="DV73" s="162" t="inlineStr">
        <is>
          <t>Passiva</t>
        </is>
      </c>
      <c r="DW73" s="162" t="inlineStr">
        <is>
          <t>Receba treino em uma perícia ou dois Ofícios que ainda não possua e possa aprender pela sua rota. Escolha ao adquirir a menor. Não fornece ferramentas, materiais, idiomas, treino em armas, TR ou especialização. Não libera Sentir Energia.</t>
        </is>
      </c>
    </row>
    <row r="74">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1" t="n"/>
      <c r="AD74" s="41" t="n"/>
      <c r="AE74" s="41" t="n"/>
      <c r="AF74" s="41" t="n"/>
      <c r="AG74" s="41" t="n"/>
      <c r="AH74" s="41" t="n"/>
      <c r="AI74" s="41" t="n"/>
      <c r="AJ74" s="41" t="n"/>
      <c r="AK74" s="41" t="n"/>
      <c r="AL74" s="41" t="n"/>
      <c r="AM74" s="41" t="n"/>
      <c r="AN74" s="41" t="n"/>
      <c r="AO74" s="41" t="n"/>
      <c r="AP74" s="41" t="n"/>
      <c r="AQ74" s="41" t="n"/>
      <c r="AR74" s="41" t="n"/>
      <c r="AS74" s="41" t="n"/>
      <c r="AT74" s="41" t="n"/>
      <c r="AU74" s="41" t="n"/>
      <c r="AV74" s="41" t="n"/>
      <c r="AW74" s="41" t="n"/>
      <c r="AX74" s="41" t="n"/>
      <c r="AY74" s="41" t="n"/>
      <c r="AZ74" s="41" t="n"/>
      <c r="BA74" s="162" t="n"/>
      <c r="BB74" s="162" t="n"/>
      <c r="DR74" s="162" t="inlineStr">
        <is>
          <t>Assistência Técnica</t>
        </is>
      </c>
      <c r="DS74" s="162" t="inlineStr">
        <is>
          <t>Restrição Celestial · Sem Energia</t>
        </is>
      </c>
      <c r="DT74" s="162" t="inlineStr">
        <is>
          <t>menor</t>
        </is>
      </c>
      <c r="DU74" s="162" t="inlineStr"/>
      <c r="DV74" s="162" t="inlineStr">
        <is>
          <t>Passiva</t>
        </is>
      </c>
      <c r="DW74" s="162" t="inlineStr">
        <is>
          <t>Escolha uma perícia ou Ofício em que seja treinado. Quando usar Ajudar no teste correspondente de um aliado, ele recebe bônus igual à sua Maestria, além da vantagem normal da ajuda. O aliado mantém seus próprios modificadores.
Aplique o bônus uma vez no total, não por dado. Uma desvantagem que cancele a vantagem de Ajudar não cancela esse bônus. Mantenha contribuição possível, ação, prazo e limite normal de um ajudante; não supre treino obrigatório, ferramenta ou sentido ausente. Não vale para seu próprio teste, ataques ou TRs.</t>
        </is>
      </c>
    </row>
    <row r="75">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c r="AE75" s="41" t="n"/>
      <c r="AF75" s="41" t="n"/>
      <c r="AG75" s="41" t="n"/>
      <c r="AH75" s="41" t="n"/>
      <c r="AI75" s="41" t="n"/>
      <c r="AJ75" s="41" t="n"/>
      <c r="AK75" s="41" t="n"/>
      <c r="AL75" s="41" t="n"/>
      <c r="AM75" s="41" t="n"/>
      <c r="AN75" s="41" t="n"/>
      <c r="AO75" s="41" t="n"/>
      <c r="AP75" s="41" t="n"/>
      <c r="AQ75" s="41" t="n"/>
      <c r="AR75" s="41" t="n"/>
      <c r="AS75" s="41" t="n"/>
      <c r="AT75" s="41" t="n"/>
      <c r="AU75" s="41" t="n"/>
      <c r="AV75" s="41" t="n"/>
      <c r="AW75" s="41" t="n"/>
      <c r="AX75" s="41" t="n"/>
      <c r="AY75" s="41" t="n"/>
      <c r="AZ75" s="41" t="n"/>
      <c r="BA75" s="162" t="n"/>
      <c r="BB75" s="162" t="n"/>
      <c r="DR75" s="162" t="inlineStr">
        <is>
          <t>Ferramentas Improvisadas</t>
        </is>
      </c>
      <c r="DS75" s="162" t="inlineStr">
        <is>
          <t>Restrição Celestial · Sem Energia</t>
        </is>
      </c>
      <c r="DT75" s="162" t="inlineStr">
        <is>
          <t>menor</t>
        </is>
      </c>
      <c r="DU75" s="162" t="inlineStr"/>
      <c r="DV75" s="162" t="inlineStr">
        <is>
          <t>Passiva</t>
        </is>
      </c>
      <c r="DW75" s="162" t="inlineStr">
        <is>
          <t>Escolha um Ofício treinado. Nas tarefas que exigem apenas ferramentas manuais portáteis desse Ofício, pode substituir o conjunto por objetos que tenha em mãos e consiga usar fisicamente nas funções necessárias. Trate-os como ferramentas adequadas, sem penalidade apenas por serem improvisados.
Não substitui ingredientes, consumíveis, instalações, fonte de calor, diagnóstico eletrônico, proteção necessária ou processos especiais. Também não fornece poderes de ferramenta amaldiçoada ou um Selo. Os objetos precisam existir e cumprir a função.</t>
        </is>
      </c>
    </row>
    <row r="76">
      <c r="A76" s="162" t="n"/>
      <c r="B76" s="162" t="n"/>
      <c r="C76" s="162" t="n"/>
      <c r="D76" s="162" t="n"/>
      <c r="E76" s="162" t="n"/>
      <c r="F76" s="162" t="n"/>
      <c r="G76" s="162" t="n"/>
      <c r="H76" s="162" t="n"/>
      <c r="I76" s="162" t="n"/>
      <c r="J76" s="162" t="n"/>
      <c r="K76" s="162" t="n"/>
      <c r="L76" s="162" t="n"/>
      <c r="M76" s="162" t="n"/>
      <c r="N76" s="162" t="n"/>
      <c r="O76" s="162" t="n"/>
      <c r="P76" s="162" t="n"/>
      <c r="Q76" s="162" t="n"/>
      <c r="R76" s="162" t="n"/>
      <c r="S76" s="162" t="n"/>
      <c r="T76" s="162" t="n"/>
      <c r="U76" s="162" t="n"/>
      <c r="V76" s="162" t="n"/>
      <c r="W76" s="162" t="n"/>
      <c r="X76" s="162" t="n"/>
      <c r="Y76" s="162" t="n"/>
      <c r="Z76" s="162" t="n"/>
      <c r="AA76" s="162" t="n"/>
      <c r="AB76" s="162" t="n"/>
      <c r="AC76" s="162" t="n"/>
      <c r="AD76" s="162" t="n"/>
      <c r="AE76" s="162" t="n"/>
      <c r="AF76" s="162" t="n"/>
      <c r="AG76" s="162" t="n"/>
      <c r="AH76" s="162" t="n"/>
      <c r="AI76" s="162" t="n"/>
      <c r="AJ76" s="162" t="n"/>
      <c r="AK76" s="162" t="n"/>
      <c r="AL76" s="162" t="n"/>
      <c r="AM76" s="162" t="n"/>
      <c r="AN76" s="162" t="n"/>
      <c r="AO76" s="162" t="n"/>
      <c r="AP76" s="162" t="n"/>
      <c r="AQ76" s="162" t="n"/>
      <c r="AR76" s="162" t="n"/>
      <c r="AS76" s="162" t="n"/>
      <c r="AT76" s="162" t="n"/>
      <c r="AU76" s="162" t="n"/>
      <c r="AV76" s="162" t="n"/>
      <c r="AW76" s="162" t="n"/>
      <c r="AX76" s="162" t="n"/>
      <c r="AY76" s="162" t="n"/>
      <c r="AZ76" s="162" t="n"/>
      <c r="BA76" s="162" t="n"/>
      <c r="BB76" s="162" t="n"/>
      <c r="DR76" s="162" t="inlineStr">
        <is>
          <t>Fôlego Recuperado</t>
        </is>
      </c>
      <c r="DS76" s="162" t="inlineStr">
        <is>
          <t>Restrição Celestial · Sem Energia</t>
        </is>
      </c>
      <c r="DT76" s="162" t="inlineStr">
        <is>
          <t>menor</t>
        </is>
      </c>
      <c r="DU76" s="162" t="inlineStr"/>
      <c r="DV76" s="162" t="inlineStr">
        <is>
          <t>No descanso curto</t>
        </is>
      </c>
      <c r="DW76" s="162" t="inlineStr">
        <is>
          <t>Ao concluir um descanso curto que permita recuperar PE, recupere PE adicionais iguais à sua maior Classe disponível, sem ultrapassar o máximo. Calcule a recuperação normal primeiro e acrescente o bônus.
Recuperação expressamente proibida continua zero. A menor não cura vida, recupera Integridade ou retira Exaustão. Uma pausa contínua é um descanso, não várias recuperações. Use a Classe disponível pela progressão, não a maior Kata conhecida ou a última utilizada.</t>
        </is>
      </c>
    </row>
    <row r="77">
      <c r="A77" s="162" t="n"/>
      <c r="B77" s="162" t="n"/>
      <c r="C77" s="162" t="n"/>
      <c r="D77" s="162" t="n"/>
      <c r="E77" s="162" t="n"/>
      <c r="F77" s="162" t="n"/>
      <c r="G77" s="162" t="n"/>
      <c r="H77" s="162" t="n"/>
      <c r="I77" s="162" t="n"/>
      <c r="J77" s="162" t="n"/>
      <c r="K77" s="162" t="n"/>
      <c r="L77" s="162" t="n"/>
      <c r="M77" s="162" t="n"/>
      <c r="N77" s="162" t="n"/>
      <c r="O77" s="162" t="n"/>
      <c r="P77" s="162" t="n"/>
      <c r="Q77" s="162" t="n"/>
      <c r="R77" s="162" t="n"/>
      <c r="S77" s="162" t="n"/>
      <c r="T77" s="162" t="n"/>
      <c r="U77" s="162" t="n"/>
      <c r="V77" s="162" t="n"/>
      <c r="W77" s="162" t="n"/>
      <c r="X77" s="162" t="n"/>
      <c r="Y77" s="162" t="n"/>
      <c r="Z77" s="162" t="n"/>
      <c r="AA77" s="162" t="n"/>
      <c r="AB77" s="162" t="n"/>
      <c r="AC77" s="162" t="n"/>
      <c r="AD77" s="162" t="n"/>
      <c r="AE77" s="162" t="n"/>
      <c r="AF77" s="162" t="n"/>
      <c r="AG77" s="162" t="n"/>
      <c r="AH77" s="162" t="n"/>
      <c r="AI77" s="162" t="n"/>
      <c r="AJ77" s="162" t="n"/>
      <c r="AK77" s="162" t="n"/>
      <c r="AL77" s="162" t="n"/>
      <c r="AM77" s="162" t="n"/>
      <c r="AN77" s="162" t="n"/>
      <c r="AO77" s="162" t="n"/>
      <c r="AP77" s="162" t="n"/>
      <c r="AQ77" s="162" t="n"/>
      <c r="AR77" s="162" t="n"/>
      <c r="AS77" s="162" t="n"/>
      <c r="AT77" s="162" t="n"/>
      <c r="AU77" s="162" t="n"/>
      <c r="AV77" s="162" t="n"/>
      <c r="AW77" s="162" t="n"/>
      <c r="AX77" s="162" t="n"/>
      <c r="AY77" s="162" t="n"/>
      <c r="AZ77" s="162" t="n"/>
      <c r="BA77" s="162" t="n"/>
      <c r="BB77" s="162" t="n"/>
      <c r="DR77" s="162" t="inlineStr">
        <is>
          <t>Contribuição Decisiva</t>
        </is>
      </c>
      <c r="DS77" s="162" t="inlineStr">
        <is>
          <t>Restrição Celestial · Sem Energia</t>
        </is>
      </c>
      <c r="DT77" s="162" t="inlineStr">
        <is>
          <t>menor</t>
        </is>
      </c>
      <c r="DU77" s="162" t="inlineStr"/>
      <c r="DV77" s="162" t="inlineStr">
        <is>
          <t>Uma vez por cena</t>
        </is>
      </c>
      <c r="DW77" s="162" t="inlineStr">
        <is>
          <t>Uma vez por cena, depois das rolagens e antes da consequência de um teste de grupo de uma perícia em que seja treinado, se você passou, pode fazer seu sucesso contar como dois para o resultado coletivo. Não exige ação ou PE além da participação na tarefa.
Cada teste coletivo recebe no máximo uma aplicação, mesmo com vários portadores. Quem não a aplicou conserva seu uso. O grupo mantém o número de participantes e o limiar normal; a contagem ganha uma contribuição de sucesso. Isso não torna outro personagem bem-sucedido para consequências individuais ou transforma uma tarefa individual em teste de grupo.
Exemplo: cinco personagens precisam de três sucessos. Você e um aliado passam, totalizando dois. Sua contribuição passa a valer dois; com a do aliado, o grupo chega a três. Ninguém refaz a rolagem.</t>
        </is>
      </c>
    </row>
    <row r="78">
      <c r="A78" s="162" t="n"/>
      <c r="B78" s="162" t="n"/>
      <c r="C78" s="162" t="n"/>
      <c r="D78" s="162" t="n"/>
      <c r="E78" s="162" t="n"/>
      <c r="F78" s="162" t="n"/>
      <c r="G78" s="162" t="n"/>
      <c r="H78" s="162" t="n"/>
      <c r="I78" s="162" t="n"/>
      <c r="J78" s="162" t="n"/>
      <c r="K78" s="162" t="n"/>
      <c r="L78" s="162" t="n"/>
      <c r="M78" s="162" t="n"/>
      <c r="N78" s="162" t="n"/>
      <c r="O78" s="162" t="n"/>
      <c r="P78" s="162" t="n"/>
      <c r="Q78" s="162" t="n"/>
      <c r="R78" s="162" t="n"/>
      <c r="S78" s="162" t="n"/>
      <c r="T78" s="162" t="n"/>
      <c r="U78" s="162" t="n"/>
      <c r="V78" s="162" t="n"/>
      <c r="W78" s="162" t="n"/>
      <c r="X78" s="162" t="n"/>
      <c r="Y78" s="162" t="n"/>
      <c r="Z78" s="162" t="n"/>
      <c r="AA78" s="162" t="n"/>
      <c r="AB78" s="162" t="n"/>
      <c r="AC78" s="162" t="n"/>
      <c r="AD78" s="162" t="n"/>
      <c r="AE78" s="162" t="n"/>
      <c r="AF78" s="162" t="n"/>
      <c r="AG78" s="162" t="n"/>
      <c r="AH78" s="162" t="n"/>
      <c r="AI78" s="162" t="n"/>
      <c r="AJ78" s="162" t="n"/>
      <c r="AK78" s="162" t="n"/>
      <c r="AL78" s="162" t="n"/>
      <c r="AM78" s="162" t="n"/>
      <c r="AN78" s="162" t="n"/>
      <c r="AO78" s="162" t="n"/>
      <c r="AP78" s="162" t="n"/>
      <c r="AQ78" s="162" t="n"/>
      <c r="AR78" s="162" t="n"/>
      <c r="AS78" s="162" t="n"/>
      <c r="AT78" s="162" t="n"/>
      <c r="AU78" s="162" t="n"/>
      <c r="AV78" s="162" t="n"/>
      <c r="AW78" s="162" t="n"/>
      <c r="AX78" s="162" t="n"/>
      <c r="AY78" s="162" t="n"/>
      <c r="AZ78" s="162" t="n"/>
      <c r="BA78" s="162" t="inlineStr">
        <is>
          <t>sequela 1</t>
        </is>
      </c>
      <c r="BB78" s="162">
        <f>ADDRESS(ROW(FICHA!F48),COLUMN(FICHA!F48),4)</f>
        <v/>
      </c>
      <c r="DR78" s="162" t="inlineStr">
        <is>
          <t>Reserva Condensada</t>
        </is>
      </c>
      <c r="DS78" s="162" t="inlineStr">
        <is>
          <t>Restrição Celestial · Restrição corporal</t>
        </is>
      </c>
      <c r="DT78" s="162" t="inlineStr">
        <is>
          <t>menor</t>
        </is>
      </c>
      <c r="DU78" s="162" t="inlineStr"/>
      <c r="DV78" s="162" t="inlineStr">
        <is>
          <t>Passiva</t>
        </is>
      </c>
      <c r="DW78" s="162" t="inlineStr">
        <is>
          <t>Você aprendeu a preservar uma parcela de sua energia, reunindo aos poucos uma reserva para necessidades futuras. Ela permanece guardada até você decidir recorrer ao que acumulou.
Jogador e mestre definem quanto pode ser guardado em cada ocasião, quando e em quais condições o armazenamento pode ocorrer e o máximo acumulável. Registre esses limites e condições na ficha.</t>
        </is>
      </c>
    </row>
    <row r="79">
      <c r="A79" s="162" t="n"/>
      <c r="B79" s="162" t="n"/>
      <c r="C79" s="162" t="n"/>
      <c r="D79" s="162" t="n"/>
      <c r="E79" s="162" t="n"/>
      <c r="F79" s="162" t="n"/>
      <c r="G79" s="162" t="n"/>
      <c r="H79" s="162" t="n"/>
      <c r="I79" s="162" t="n"/>
      <c r="J79" s="162" t="n"/>
      <c r="K79" s="162" t="n"/>
      <c r="L79" s="162" t="n"/>
      <c r="M79" s="162" t="n"/>
      <c r="N79" s="162" t="n"/>
      <c r="O79" s="162" t="n"/>
      <c r="P79" s="162" t="n"/>
      <c r="Q79" s="162" t="n"/>
      <c r="R79" s="162" t="n"/>
      <c r="S79" s="162" t="n"/>
      <c r="T79" s="162" t="n"/>
      <c r="U79" s="162" t="n"/>
      <c r="V79" s="162" t="n"/>
      <c r="W79" s="162" t="n"/>
      <c r="X79" s="162" t="n"/>
      <c r="Y79" s="162" t="n"/>
      <c r="Z79" s="162" t="n"/>
      <c r="AA79" s="162" t="n"/>
      <c r="AB79" s="162" t="n"/>
      <c r="AC79" s="162" t="n"/>
      <c r="AD79" s="162" t="n"/>
      <c r="AE79" s="162" t="n"/>
      <c r="AF79" s="162" t="n"/>
      <c r="AG79" s="162" t="n"/>
      <c r="AH79" s="162" t="n"/>
      <c r="AI79" s="162" t="n"/>
      <c r="AJ79" s="162" t="n"/>
      <c r="AK79" s="162" t="n"/>
      <c r="AL79" s="162" t="n"/>
      <c r="AM79" s="162" t="n"/>
      <c r="AN79" s="162" t="n"/>
      <c r="AO79" s="162" t="n"/>
      <c r="AP79" s="162" t="n"/>
      <c r="AQ79" s="162" t="n"/>
      <c r="AR79" s="162" t="n"/>
      <c r="AS79" s="162" t="n"/>
      <c r="AT79" s="162" t="n"/>
      <c r="AU79" s="162" t="n"/>
      <c r="AV79" s="162" t="n"/>
      <c r="AW79" s="162" t="n"/>
      <c r="AX79" s="162" t="n"/>
      <c r="AY79" s="162" t="n"/>
      <c r="AZ79" s="162" t="n"/>
      <c r="BA79" s="162" t="inlineStr">
        <is>
          <t>sequela 2</t>
        </is>
      </c>
      <c r="BB79" s="162">
        <f>ADDRESS(ROW(FICHA!H48),COLUMN(FICHA!H48),4)</f>
        <v/>
      </c>
      <c r="DR79" s="162" t="inlineStr">
        <is>
          <t>Reserva Excedente</t>
        </is>
      </c>
      <c r="DS79" s="162" t="inlineStr">
        <is>
          <t>Restrição Celestial · Restrição corporal</t>
        </is>
      </c>
      <c r="DT79" s="162" t="inlineStr">
        <is>
          <t>menor</t>
        </is>
      </c>
      <c r="DU79" s="162" t="inlineStr"/>
      <c r="DV79" s="162" t="inlineStr">
        <is>
          <t>Passiva</t>
        </is>
      </c>
      <c r="DW79" s="162" t="inlineStr">
        <is>
          <t>Seus PE máximos aumentam em 2 × Essência. Atualize o acréscimo quando o atributo mudar. A recuperação desses pontos segue normalmente.</t>
        </is>
      </c>
    </row>
    <row r="80">
      <c r="BA80" s="162" t="inlineStr">
        <is>
          <t>sequela 3</t>
        </is>
      </c>
      <c r="BB80" s="162">
        <f>ADDRESS(ROW(FICHA!J48),COLUMN(FICHA!J48),4)</f>
        <v/>
      </c>
      <c r="DR80" s="162" t="inlineStr">
        <is>
          <t>Recuperação Abundante</t>
        </is>
      </c>
      <c r="DS80" s="162" t="inlineStr">
        <is>
          <t>Restrição Celestial · Restrição corporal</t>
        </is>
      </c>
      <c r="DT80" s="162" t="inlineStr">
        <is>
          <t>menor</t>
        </is>
      </c>
      <c r="DU80" s="162" t="inlineStr"/>
      <c r="DV80" s="162" t="inlineStr">
        <is>
          <t>No descanso curto</t>
        </is>
      </c>
      <c r="DW80" s="162" t="inlineStr">
        <is>
          <t>Num descanso curto em ambiente propício para sua Restrição, recupere 40% dos PE máximos, arredondados para baixo, mínimo 1, sem ultrapassar o máximo.
Os cuidados continuam obrigatórios: estrutura protegida e assistência no Debilitado; apoio e atendimento no Quebradiço; os cuidados registrados no Exaurido. Reduções ou impedimentos específicos à recuperação de PE continuam valendo. Fora de ambiente propício, use a recuperação normal. A redução de cura do Exaurido afeta vida, não esses PE.</t>
        </is>
      </c>
    </row>
    <row r="81">
      <c r="BA81" s="162" t="inlineStr">
        <is>
          <t>exaustão</t>
        </is>
      </c>
      <c r="BB81" s="162">
        <f>ADDRESS(ROW(FICHA!O48),COLUMN(FICHA!O48),4)</f>
        <v/>
      </c>
      <c r="DR81" s="162" t="inlineStr">
        <is>
          <t>Sobrecarga Deliberada</t>
        </is>
      </c>
      <c r="DS81" s="162" t="inlineStr">
        <is>
          <t>Restrição Celestial · Restrição corporal</t>
        </is>
      </c>
      <c r="DT81" s="162" t="inlineStr">
        <is>
          <t>menor</t>
        </is>
      </c>
      <c r="DU81" s="162" t="inlineStr"/>
      <c r="DV81" s="162" t="inlineStr">
        <is>
          <t>Uma vez por cena</t>
        </is>
      </c>
      <c r="DW81" s="162" t="inlineStr">
        <is>
          <t>Uma vez por cena, antes das rolagens de um feitiço comum de Classe 1 ou maior, pague PE adicionais iguais à metade do custo-base, arredondada para cima, e escolha vantagem em uma rolagem de ataque ou desvantagem para um alvo em um TR da aplicação inicial.
Escolha antes do dado. O custo-base é o da Classe utilizada, antes de descontos e acréscimos: base 9 PE cobra 5 PE adicionais, além do custo normal do feitiço. Só aquela rolagem recebe o benefício; não alcança outros ataques, alvos ou TRs posteriores para sair de uma condição. Não vale para Manejos ou Máximas.</t>
        </is>
      </c>
    </row>
    <row r="82">
      <c r="BA82" s="162" t="inlineStr">
        <is>
          <t>resistências</t>
        </is>
      </c>
      <c r="BB82" s="162">
        <f>ADDRESS(ROW(FICHA!Z48),COLUMN(FICHA!Z48),4)</f>
        <v/>
      </c>
      <c r="DR82" s="162" t="inlineStr">
        <is>
          <t>Leitura de Reservas</t>
        </is>
      </c>
      <c r="DS82" s="162" t="inlineStr">
        <is>
          <t>Restrição Celestial · Restrição corporal</t>
        </is>
      </c>
      <c r="DT82" s="162" t="inlineStr">
        <is>
          <t>menor</t>
        </is>
      </c>
      <c r="DU82" s="162" t="inlineStr"/>
      <c r="DV82" s="162" t="inlineStr">
        <is>
          <t>Passiva</t>
        </is>
      </c>
      <c r="DW82" s="162" t="inlineStr">
        <is>
          <t>Ao passar num exame de fluxo com Sentir Energia, descubra também os PE atuais e máximos do alvo naquele momento. Mantenha o procedimento normal; esta é uma informação adicional do exame.</t>
        </is>
      </c>
    </row>
    <row r="83">
      <c r="BA83" s="162" t="inlineStr">
        <is>
          <t>imunidades</t>
        </is>
      </c>
      <c r="BB83" s="162">
        <f>ADDRESS(ROW(FICHA!AK48),COLUMN(FICHA!AK48),4)</f>
        <v/>
      </c>
      <c r="DR83" s="162" t="inlineStr">
        <is>
          <t>Último Fôlego de Energia</t>
        </is>
      </c>
      <c r="DS83" s="162" t="inlineStr">
        <is>
          <t>Restrição Celestial · Restrição corporal</t>
        </is>
      </c>
      <c r="DT83" s="162" t="inlineStr">
        <is>
          <t>menor</t>
        </is>
      </c>
      <c r="DU83" s="162" t="inlineStr"/>
      <c r="DV83" s="162" t="inlineStr">
        <is>
          <t>Uma vez por descanso longo</t>
        </is>
      </c>
      <c r="DW83" s="162" t="inlineStr">
        <is>
          <t>Uma vez por descanso longo, após pagar um feitiço que deixe sua energia em zero, receba PE temporários iguais a 2 × sua maior Classe, respeitando o teto normal. Duram até o fim do próximo turno e não podem ser armazenados na Reserva Condensada.</t>
        </is>
      </c>
    </row>
    <row r="84">
      <c r="BA84" s="162" t="inlineStr">
        <is>
          <t>descanso</t>
        </is>
      </c>
      <c r="BB84" s="162">
        <f>ADDRESS(ROW(FICHA!D45),COLUMN(FICHA!D45),4)</f>
        <v/>
      </c>
      <c r="DR84" s="162" t="inlineStr">
        <is>
          <t>Percepção Estendida</t>
        </is>
      </c>
      <c r="DS84" s="162" t="inlineStr">
        <is>
          <t>Restrição Celestial · Restrição corporal</t>
        </is>
      </c>
      <c r="DT84" s="162" t="inlineStr">
        <is>
          <t>menor</t>
        </is>
      </c>
      <c r="DU84" s="162" t="inlineStr"/>
      <c r="DV84" s="162" t="inlineStr">
        <is>
          <t>Passiva</t>
        </is>
      </c>
      <c r="DW84" s="162" t="inlineStr">
        <is>
          <t>O alcance de Vasculhar com Sentir Energia aumenta de 18 m para 36 m, permanentemente. Mantenha ação, testes e obstáculos normais. Isso não aumenta outros sentidos, procedimentos ou alcances de feitiços.</t>
        </is>
      </c>
    </row>
    <row r="85">
      <c r="BA85" s="162" t="inlineStr">
        <is>
          <t>último descanso</t>
        </is>
      </c>
      <c r="BB85" s="162">
        <f>ADDRESS(ROW(FICHA!O45),COLUMN(FICHA!O45),4)</f>
        <v/>
      </c>
      <c r="DR85" s="162" t="inlineStr">
        <is>
          <t>Prática Cotidiana</t>
        </is>
      </c>
      <c r="DS85" s="162" t="inlineStr">
        <is>
          <t>Restrição Celestial · Restrição corporal</t>
        </is>
      </c>
      <c r="DT85" s="162" t="inlineStr">
        <is>
          <t>menor</t>
        </is>
      </c>
      <c r="DU85" s="162" t="inlineStr"/>
      <c r="DV85" s="162" t="inlineStr">
        <is>
          <t>Passiva</t>
        </is>
      </c>
      <c r="DW85" s="162" t="inlineStr">
        <is>
          <t>Aprenda dois feitiços adicionais de Classe 0, compatíveis com sua técnica, em quaisquer Formas normalmente permitidas nessa Classe. Eles ficam além da quantidade normal conhecida e seguem as demais regras dessas aplicações.
A escolha não se limita a Apoio ou Efeito. Esses feitiços não viram espaços comuns para Talentos ou invocações.</t>
        </is>
      </c>
    </row>
    <row r="86">
      <c r="BA86" s="162" t="inlineStr">
        <is>
          <t>morrendo aguentar</t>
        </is>
      </c>
      <c r="BB86" s="162">
        <f>ADDRESS(ROW(FICHA!D41),COLUMN(FICHA!D41),4)</f>
        <v/>
      </c>
    </row>
    <row r="87">
      <c r="BA87" s="162" t="inlineStr">
        <is>
          <t>morrendo insistir 1</t>
        </is>
      </c>
      <c r="BB87" s="162">
        <f>ADDRESS(ROW(FICHA!O41),COLUMN(FICHA!O41),4)</f>
        <v/>
      </c>
    </row>
    <row r="88">
      <c r="BA88" s="162" t="inlineStr">
        <is>
          <t>morrendo insistir 2</t>
        </is>
      </c>
      <c r="BB88" s="162">
        <f>ADDRESS(ROW(FICHA!Z41),COLUMN(FICHA!Z41),4)</f>
        <v/>
      </c>
    </row>
    <row r="89">
      <c r="BA89" s="162" t="inlineStr">
        <is>
          <t>morrendo prazo</t>
        </is>
      </c>
      <c r="BB89" s="162">
        <f>ADDRESS(ROW(FICHA!AK41),COLUMN(FICHA!AK41),4)</f>
        <v/>
      </c>
    </row>
    <row r="90">
      <c r="BA90" s="162" t="inlineStr">
        <is>
          <t>marcante</t>
        </is>
      </c>
      <c r="BB90" s="162">
        <f>ADDRESS(ROW(FICHA!D52),COLUMN(FICHA!D52),4)</f>
        <v/>
      </c>
    </row>
    <row r="91">
      <c r="BA91" s="162" t="inlineStr">
        <is>
          <t>menor 1</t>
        </is>
      </c>
      <c r="BB91" s="162">
        <f>ADDRESS(ROW(FICHA!S52),COLUMN(FICHA!S52),4)</f>
        <v/>
      </c>
    </row>
    <row r="92">
      <c r="BA92" s="162" t="inlineStr">
        <is>
          <t>menor 2</t>
        </is>
      </c>
      <c r="BB92" s="162">
        <f>ADDRESS(ROW(FICHA!AG52),COLUMN(FICHA!AG52),4)</f>
        <v/>
      </c>
    </row>
    <row r="93">
      <c r="BA93" s="162" t="n"/>
      <c r="BB93" s="162" t="n"/>
    </row>
    <row r="94">
      <c r="BA94" s="162" t="n"/>
      <c r="BB94" s="162" t="n"/>
    </row>
    <row r="95">
      <c r="BA95" s="162" t="inlineStr">
        <is>
          <t>treinado em armas</t>
        </is>
      </c>
      <c r="BB95" s="162">
        <f>ADDRESS(ROW(FICHA!AK79),COLUMN(FICHA!AK79),4)</f>
        <v/>
      </c>
    </row>
    <row r="96">
      <c r="BA96" s="162" t="inlineStr">
        <is>
          <t>trocou por arma</t>
        </is>
      </c>
      <c r="BB96" s="162">
        <f>ADDRESS(ROW(FICHA!AK81),COLUMN(FICHA!AK81),4)</f>
        <v/>
      </c>
    </row>
    <row r="97">
      <c r="BA97" s="162" t="inlineStr">
        <is>
          <t>grupo de arma da trilha</t>
        </is>
      </c>
      <c r="BB97" s="162">
        <f>ADDRESS(ROW(FICHA!AK85),COLUMN(FICHA!AK85),4)</f>
        <v/>
      </c>
    </row>
    <row r="98">
      <c r="BA98" t="inlineStr">
        <is>
          <t>sequela extras</t>
        </is>
      </c>
      <c r="BB98">
        <f>ADDRESS(ROW(FICHA!J50),COLUMN(FICHA!J50),4)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J87"/>
  <sheetViews>
    <sheetView showGridLines="0" workbookViewId="0">
      <selection activeCell="A1" sqref="A1"/>
    </sheetView>
  </sheetViews>
  <sheetFormatPr baseColWidth="8" defaultRowHeight="15.75" customHeight="1"/>
  <cols>
    <col width="19.38" customWidth="1" min="1" max="1"/>
    <col width="19.38" customWidth="1" min="2" max="2"/>
    <col width="19.38" customWidth="1" min="3" max="3"/>
    <col width="19.38" customWidth="1" min="4" max="4"/>
    <col width="19.38" customWidth="1" min="5" max="5"/>
    <col width="19.38" customWidth="1" min="6" max="6"/>
    <col width="19.38" customWidth="1" min="7" max="7"/>
    <col width="19.38" customWidth="1" min="8" max="8"/>
    <col width="19.38" customWidth="1" min="9" max="9"/>
    <col width="19.38" customWidth="1" min="10" max="10"/>
    <col width="19.38" customWidth="1" min="11" max="11"/>
    <col width="19.38" customWidth="1" min="12" max="12"/>
    <col width="19.38" customWidth="1" min="13" max="13"/>
    <col width="19.38" customWidth="1" min="14" max="14"/>
    <col width="19.38" customWidth="1" min="15" max="15"/>
    <col width="19.38" customWidth="1" min="16" max="16"/>
    <col width="19.38" customWidth="1" min="17" max="17"/>
    <col width="19.38" customWidth="1" min="18" max="18"/>
    <col width="19.38" customWidth="1" min="19" max="19"/>
    <col width="19.38" customWidth="1" min="20" max="20"/>
    <col width="19.38" customWidth="1" min="21" max="21"/>
    <col width="19.38" customWidth="1" min="22" max="22"/>
    <col width="19.38" customWidth="1" min="23" max="23"/>
    <col width="19.38" customWidth="1" min="24" max="24"/>
    <col width="19.38" customWidth="1" min="25" max="25"/>
    <col width="19.38" customWidth="1" min="26" max="26"/>
    <col width="19.38" customWidth="1" min="27" max="27"/>
    <col width="19.38" customWidth="1" min="28" max="28"/>
    <col width="19.38" customWidth="1" min="29" max="29"/>
    <col width="19.38" customWidth="1" min="30" max="30"/>
    <col width="19.38" customWidth="1" min="31" max="31"/>
    <col width="19.38" customWidth="1" min="32" max="32"/>
    <col width="19.38" customWidth="1" min="33" max="33"/>
    <col width="19.38" customWidth="1" min="34" max="34"/>
    <col width="19.38" customWidth="1" min="35" max="35"/>
    <col width="19.38" customWidth="1" min="36" max="36"/>
    <col width="19.38" customWidth="1" min="37" max="37"/>
    <col width="19.38" customWidth="1" min="38" max="38"/>
    <col width="19.38" customWidth="1" min="39" max="39"/>
    <col width="19.38" customWidth="1" min="40" max="40"/>
    <col width="19.38" customWidth="1" min="41" max="41"/>
    <col width="19.38" customWidth="1" min="42" max="42"/>
    <col width="19.38" customWidth="1" min="43" max="43"/>
    <col width="19.38" customWidth="1" min="44" max="44"/>
    <col width="19.38" customWidth="1" min="45" max="45"/>
    <col width="19.38" customWidth="1" min="46" max="46"/>
    <col width="19.38" customWidth="1" min="47" max="47"/>
    <col width="19.38" customWidth="1" min="48" max="48"/>
    <col width="19.38" customWidth="1" min="49" max="49"/>
    <col width="19.38" customWidth="1" min="50" max="50"/>
    <col width="19.38" customWidth="1" min="51" max="51"/>
    <col width="19.38" customWidth="1" min="52" max="52"/>
    <col width="19.38" customWidth="1" min="53" max="53"/>
    <col width="19.38" customWidth="1" min="54" max="54"/>
    <col width="19.38" customWidth="1" min="55" max="55"/>
    <col width="19.38" customWidth="1" min="56" max="56"/>
    <col width="19.38" customWidth="1" min="57" max="57"/>
    <col width="19.38" customWidth="1" min="58" max="58"/>
    <col width="19.38" customWidth="1" min="59" max="59"/>
    <col width="19.38" customWidth="1" min="60" max="60"/>
    <col width="19.38" customWidth="1" min="61" max="61"/>
    <col width="19.38" customWidth="1" min="62" max="62"/>
    <col width="19.38" customWidth="1" min="63" max="63"/>
    <col width="19.38" customWidth="1" min="64" max="64"/>
    <col width="19.38" customWidth="1" min="65" max="65"/>
    <col width="19.38" customWidth="1" min="66" max="66"/>
    <col width="19.38" customWidth="1" min="67" max="67"/>
    <col width="19.38" customWidth="1" min="68" max="68"/>
    <col width="19.38" customWidth="1" min="69" max="69"/>
    <col width="19.38" customWidth="1" min="70" max="70"/>
    <col width="19.38" customWidth="1" min="71" max="71"/>
    <col width="19.38" customWidth="1" min="72" max="72"/>
    <col width="19.38" customWidth="1" min="73" max="73"/>
    <col width="19.38" customWidth="1" min="74" max="74"/>
    <col width="19.38" customWidth="1" min="75" max="75"/>
    <col width="19.38" customWidth="1" min="76" max="76"/>
    <col width="19.38" customWidth="1" min="77" max="77"/>
    <col width="19.38" customWidth="1" min="78" max="78"/>
    <col width="19.38" customWidth="1" min="79" max="79"/>
    <col width="19.38" customWidth="1" min="80" max="80"/>
    <col width="19.38" customWidth="1" min="81" max="81"/>
    <col width="19.38" customWidth="1" min="82" max="82"/>
    <col width="19.38" customWidth="1" min="83" max="83"/>
    <col width="19.38" customWidth="1" min="84" max="84"/>
    <col width="19.38" customWidth="1" min="85" max="85"/>
    <col width="19.38" customWidth="1" min="86" max="86"/>
    <col width="19.38" customWidth="1" min="87" max="87"/>
    <col width="19.38" customWidth="1" min="88" max="88"/>
    <col width="19.38" customWidth="1" min="89" max="89"/>
    <col width="19.38" customWidth="1" min="90" max="90"/>
    <col width="19.38" customWidth="1" min="91" max="91"/>
    <col width="19.38" customWidth="1" min="92" max="92"/>
    <col width="19.38" customWidth="1" min="93" max="93"/>
    <col width="19.38" customWidth="1" min="94" max="94"/>
    <col width="19.38" customWidth="1" min="95" max="95"/>
    <col width="19.38" customWidth="1" min="96" max="96"/>
    <col width="19.38" customWidth="1" min="97" max="97"/>
    <col width="19.38" customWidth="1" min="98" max="98"/>
    <col width="19.38" customWidth="1" min="99" max="99"/>
    <col width="19.38" customWidth="1" min="100" max="100"/>
    <col width="19.38" customWidth="1" min="101" max="101"/>
    <col width="19.38" customWidth="1" min="102" max="102"/>
    <col width="19.38" customWidth="1" min="103" max="103"/>
    <col width="19.38" customWidth="1" min="104" max="104"/>
    <col width="19.38" customWidth="1" min="105" max="105"/>
    <col width="19.38" customWidth="1" min="106" max="106"/>
    <col width="19.38" customWidth="1" min="107" max="107"/>
    <col width="19.38" customWidth="1" min="108" max="108"/>
    <col width="19.38" customWidth="1" min="109" max="109"/>
    <col width="19.38" customWidth="1" min="110" max="110"/>
    <col width="19.38" customWidth="1" min="111" max="111"/>
    <col width="19.38" customWidth="1" min="112" max="112"/>
    <col width="19.38" customWidth="1" min="113" max="113"/>
    <col width="19.38" customWidth="1" min="114" max="114"/>
    <col width="19.38" customWidth="1" min="115" max="115"/>
    <col width="19.38" customWidth="1" min="116" max="116"/>
    <col width="19.38" customWidth="1" min="117" max="117"/>
    <col width="19.38" customWidth="1" min="118" max="118"/>
    <col width="19.38" customWidth="1" min="119" max="119"/>
    <col width="19.38" customWidth="1" min="120" max="120"/>
    <col width="19.38" customWidth="1" min="121" max="121"/>
    <col width="19.38" customWidth="1" min="122" max="122"/>
    <col width="19.38" customWidth="1" min="123" max="123"/>
    <col width="19.38" customWidth="1" min="124" max="124"/>
    <col width="19.38" customWidth="1" min="125" max="125"/>
    <col width="19.38" customWidth="1" min="126" max="126"/>
    <col width="19.38" customWidth="1" min="127" max="127"/>
    <col width="19.38" customWidth="1" min="128" max="128"/>
    <col width="19.38" customWidth="1" min="129" max="129"/>
    <col width="19.38" customWidth="1" min="130" max="130"/>
    <col width="19.38" customWidth="1" min="131" max="131"/>
    <col width="19.38" customWidth="1" min="132" max="132"/>
    <col width="19.38" customWidth="1" min="133" max="133"/>
    <col width="19.38" customWidth="1" min="134" max="134"/>
    <col width="19.38" customWidth="1" min="135" max="135"/>
    <col width="19.38" customWidth="1" min="136" max="136"/>
    <col width="19.38" customWidth="1" min="137" max="137"/>
    <col width="19.38" customWidth="1" min="138" max="138"/>
    <col width="19.38" customWidth="1" min="139" max="139"/>
    <col width="19.38" customWidth="1" min="140" max="140"/>
    <col width="19.38" customWidth="1" min="141" max="141"/>
    <col width="19.38" customWidth="1" min="142" max="142"/>
    <col width="19.38" customWidth="1" min="143" max="143"/>
    <col width="19.38" customWidth="1" min="144" max="144"/>
    <col width="19.38" customWidth="1" min="145" max="145"/>
    <col width="19.38" customWidth="1" min="146" max="146"/>
    <col width="19.38" customWidth="1" min="147" max="147"/>
    <col width="19.38" customWidth="1" min="148" max="148"/>
    <col width="19.38" customWidth="1" min="149" max="149"/>
    <col width="19.38" customWidth="1" min="150" max="150"/>
    <col width="19.38" customWidth="1" min="151" max="151"/>
    <col width="19.38" customWidth="1" min="152" max="152"/>
    <col width="19.38" customWidth="1" min="153" max="153"/>
    <col width="19.38" customWidth="1" min="154" max="154"/>
    <col width="19.38" customWidth="1" min="155" max="155"/>
    <col width="19.38" customWidth="1" min="156" max="156"/>
    <col width="19.38" customWidth="1" min="157" max="157"/>
    <col width="19.38" customWidth="1" min="158" max="158"/>
    <col width="19.38" customWidth="1" min="159" max="159"/>
    <col width="19.38" customWidth="1" min="160" max="160"/>
    <col width="19.38" customWidth="1" min="161" max="161"/>
    <col width="19.38" customWidth="1" min="162" max="162"/>
    <col width="19.38" customWidth="1" min="163" max="163"/>
    <col width="19.38" customWidth="1" min="164" max="164"/>
    <col width="19.38" customWidth="1" min="165" max="165"/>
    <col width="19.38" customWidth="1" min="166" max="166"/>
    <col width="19.38" customWidth="1" min="167" max="167"/>
    <col width="19.38" customWidth="1" min="168" max="168"/>
    <col width="19.38" customWidth="1" min="169" max="169"/>
    <col width="19.38" customWidth="1" min="170" max="170"/>
    <col width="19.38" customWidth="1" min="171" max="171"/>
    <col width="19.38" customWidth="1" min="172" max="172"/>
    <col width="19.38" customWidth="1" min="173" max="173"/>
    <col width="19.38" customWidth="1" min="174" max="174"/>
    <col width="19.38" customWidth="1" min="175" max="175"/>
    <col width="19.38" customWidth="1" min="176" max="176"/>
    <col width="19.38" customWidth="1" min="177" max="177"/>
    <col width="19.38" customWidth="1" min="178" max="178"/>
    <col width="19.38" customWidth="1" min="179" max="179"/>
    <col width="19.38" customWidth="1" min="180" max="180"/>
    <col width="19.38" customWidth="1" min="181" max="181"/>
    <col width="19.38" customWidth="1" min="182" max="182"/>
    <col width="19.38" customWidth="1" min="183" max="183"/>
    <col width="19.38" customWidth="1" min="184" max="184"/>
    <col width="19.38" customWidth="1" min="185" max="185"/>
    <col width="19.38" customWidth="1" min="186" max="186"/>
    <col width="19.38" customWidth="1" min="187" max="187"/>
    <col width="19.38" customWidth="1" min="188" max="188"/>
    <col width="19.38" customWidth="1" min="189" max="189"/>
    <col width="19.38" customWidth="1" min="190" max="190"/>
    <col width="19.38" customWidth="1" min="191" max="191"/>
    <col width="19.38" customWidth="1" min="192" max="192"/>
    <col width="19.38" customWidth="1" min="193" max="193"/>
    <col width="19.38" customWidth="1" min="194" max="194"/>
    <col width="19.38" customWidth="1" min="195" max="195"/>
    <col width="19.38" customWidth="1" min="196" max="196"/>
    <col width="19.38" customWidth="1" min="197" max="197"/>
    <col width="19.38" customWidth="1" min="198" max="198"/>
    <col width="19.38" customWidth="1" min="199" max="199"/>
    <col width="19.38" customWidth="1" min="200" max="200"/>
    <col width="19.38" customWidth="1" min="201" max="201"/>
    <col width="19.38" customWidth="1" min="202" max="202"/>
    <col width="19.38" customWidth="1" min="203" max="203"/>
    <col width="19.38" customWidth="1" min="204" max="204"/>
    <col width="19.38" customWidth="1" min="205" max="205"/>
    <col width="19.38" customWidth="1" min="206" max="206"/>
    <col width="19.38" customWidth="1" min="207" max="207"/>
    <col width="19.38" customWidth="1" min="208" max="208"/>
    <col width="19.38" customWidth="1" min="209" max="209"/>
    <col width="19.38" customWidth="1" min="210" max="210"/>
    <col width="19.38" customWidth="1" min="211" max="211"/>
    <col width="19.38" customWidth="1" min="212" max="212"/>
    <col width="19.38" customWidth="1" min="213" max="213"/>
    <col width="19.38" customWidth="1" min="214" max="214"/>
    <col width="19.38" customWidth="1" min="215" max="215"/>
    <col width="19.38" customWidth="1" min="216" max="216"/>
    <col width="19.38" customWidth="1" min="217" max="217"/>
    <col width="19.38" customWidth="1" min="218" max="218"/>
    <col width="19.38" customWidth="1" min="219" max="219"/>
    <col width="19.38" customWidth="1" min="220" max="220"/>
    <col width="19.38" customWidth="1" min="221" max="221"/>
    <col width="19.38" customWidth="1" min="222" max="222"/>
    <col width="19.38" customWidth="1" min="223" max="223"/>
    <col width="19.38" customWidth="1" min="224" max="224"/>
    <col width="19.38" customWidth="1" min="225" max="225"/>
    <col width="19.38" customWidth="1" min="226" max="226"/>
    <col width="19.38" customWidth="1" min="227" max="227"/>
    <col width="19.38" customWidth="1" min="228" max="228"/>
    <col width="19.38" customWidth="1" min="229" max="229"/>
    <col width="19.38" customWidth="1" min="230" max="230"/>
    <col width="19.38" customWidth="1" min="231" max="231"/>
    <col width="19.38" customWidth="1" min="232" max="232"/>
    <col width="19.38" customWidth="1" min="233" max="233"/>
    <col width="19.38" customWidth="1" min="234" max="234"/>
    <col width="19.38" customWidth="1" min="235" max="235"/>
    <col width="19.38" customWidth="1" min="236" max="236"/>
    <col width="19.38" customWidth="1" min="237" max="237"/>
    <col width="19.38" customWidth="1" min="238" max="238"/>
    <col width="19.38" customWidth="1" min="239" max="239"/>
    <col width="19.38" customWidth="1" min="240" max="240"/>
    <col width="19.38" customWidth="1" min="241" max="241"/>
    <col width="19.38" customWidth="1" min="242" max="242"/>
    <col width="19.38" customWidth="1" min="243" max="243"/>
    <col width="19.38" customWidth="1" min="244" max="244"/>
    <col width="19.38" customWidth="1" min="245" max="245"/>
    <col width="19.38" customWidth="1" min="246" max="246"/>
    <col width="19.38" customWidth="1" min="247" max="247"/>
    <col width="19.38" customWidth="1" min="248" max="248"/>
    <col width="19.38" customWidth="1" min="249" max="249"/>
    <col width="19.38" customWidth="1" min="250" max="250"/>
    <col width="19.38" customWidth="1" min="251" max="251"/>
    <col width="19.38" customWidth="1" min="252" max="252"/>
    <col width="19.38" customWidth="1" min="253" max="253"/>
    <col width="19.38" customWidth="1" min="254" max="254"/>
    <col width="19.38" customWidth="1" min="255" max="255"/>
    <col width="19.38" customWidth="1" min="256" max="256"/>
    <col width="19.38" customWidth="1" min="257" max="257"/>
    <col width="19.38" customWidth="1" min="258" max="258"/>
    <col width="19.38" customWidth="1" min="259" max="259"/>
    <col width="19.38" customWidth="1" min="260" max="260"/>
    <col width="19.38" customWidth="1" min="261" max="261"/>
    <col width="19.38" customWidth="1" min="262" max="262"/>
    <col width="19.38" customWidth="1" min="263" max="263"/>
    <col width="19.38" customWidth="1" min="264" max="264"/>
    <col width="19.38" customWidth="1" min="265" max="265"/>
    <col width="19.38" customWidth="1" min="266" max="266"/>
    <col width="19.38" customWidth="1" min="267" max="267"/>
    <col width="19.38" customWidth="1" min="268" max="268"/>
    <col width="19.38" customWidth="1" min="269" max="269"/>
    <col width="19.38" customWidth="1" min="270" max="270"/>
    <col width="19.38" customWidth="1" min="271" max="271"/>
    <col width="19.38" customWidth="1" min="272" max="272"/>
    <col width="19.38" customWidth="1" min="273" max="273"/>
    <col width="19.38" customWidth="1" min="274" max="274"/>
    <col width="19.38" customWidth="1" min="275" max="275"/>
    <col width="19.38" customWidth="1" min="276" max="276"/>
    <col width="19.38" customWidth="1" min="277" max="277"/>
    <col width="19.38" customWidth="1" min="278" max="278"/>
    <col width="19.38" customWidth="1" min="279" max="279"/>
    <col width="19.38" customWidth="1" min="280" max="280"/>
    <col width="19.38" customWidth="1" min="281" max="281"/>
    <col width="19.38" customWidth="1" min="282" max="282"/>
    <col width="19.38" customWidth="1" min="283" max="283"/>
    <col width="19.38" customWidth="1" min="284" max="284"/>
    <col width="19.38" customWidth="1" min="285" max="285"/>
    <col width="19.38" customWidth="1" min="286" max="286"/>
    <col width="19.38" customWidth="1" min="287" max="287"/>
    <col width="19.38" customWidth="1" min="288" max="288"/>
    <col width="19.38" customWidth="1" min="289" max="289"/>
    <col width="19.38" customWidth="1" min="290" max="290"/>
    <col width="19.38" customWidth="1" min="291" max="291"/>
    <col width="19.38" customWidth="1" min="292" max="292"/>
    <col width="19.38" customWidth="1" min="293" max="293"/>
    <col width="19.38" customWidth="1" min="294" max="294"/>
    <col width="19.38" customWidth="1" min="295" max="295"/>
    <col width="19.38" customWidth="1" min="296" max="296"/>
    <col width="19.38" customWidth="1" min="297" max="297"/>
    <col width="19.38" customWidth="1" min="298" max="298"/>
    <col width="19.38" customWidth="1" min="299" max="299"/>
    <col width="19.38" customWidth="1" min="300" max="300"/>
    <col width="19.38" customWidth="1" min="301" max="301"/>
    <col width="19.38" customWidth="1" min="302" max="302"/>
    <col width="19.38" customWidth="1" min="303" max="303"/>
    <col width="19.38" customWidth="1" min="304" max="304"/>
    <col width="19.38" customWidth="1" min="305" max="305"/>
    <col width="19.38" customWidth="1" min="306" max="306"/>
    <col width="19.38" customWidth="1" min="307" max="307"/>
    <col width="19.38" customWidth="1" min="308" max="308"/>
    <col width="19.38" customWidth="1" min="309" max="309"/>
    <col width="19.38" customWidth="1" min="310" max="310"/>
    <col width="19.38" customWidth="1" min="311" max="311"/>
    <col width="19.38" customWidth="1" min="312" max="312"/>
    <col width="19.38" customWidth="1" min="313" max="313"/>
    <col width="19.38" customWidth="1" min="314" max="314"/>
    <col width="19.38" customWidth="1" min="315" max="315"/>
    <col width="19.38" customWidth="1" min="316" max="316"/>
    <col width="19.38" customWidth="1" min="317" max="317"/>
    <col width="19.38" customWidth="1" min="318" max="318"/>
    <col width="19.38" customWidth="1" min="319" max="319"/>
    <col width="19.38" customWidth="1" min="320" max="320"/>
    <col width="19.38" customWidth="1" min="321" max="321"/>
    <col width="19.38" customWidth="1" min="322" max="322"/>
    <col width="19.38" customWidth="1" min="323" max="323"/>
    <col width="19.38" customWidth="1" min="324" max="324"/>
    <col width="19.38" customWidth="1" min="325" max="325"/>
    <col width="19.38" customWidth="1" min="326" max="326"/>
    <col width="19.38" customWidth="1" min="327" max="327"/>
    <col width="19.38" customWidth="1" min="328" max="328"/>
    <col width="19.38" customWidth="1" min="329" max="329"/>
    <col width="19.38" customWidth="1" min="330" max="330"/>
    <col width="19.38" customWidth="1" min="331" max="331"/>
    <col width="19.38" customWidth="1" min="332" max="332"/>
    <col width="19.38" customWidth="1" min="333" max="333"/>
    <col width="19.38" customWidth="1" min="334" max="334"/>
    <col width="19.38" customWidth="1" min="335" max="335"/>
    <col width="19.38" customWidth="1" min="336" max="336"/>
    <col width="19.38" customWidth="1" min="337" max="337"/>
    <col width="19.38" customWidth="1" min="338" max="338"/>
    <col width="19.38" customWidth="1" min="339" max="339"/>
    <col width="19.38" customWidth="1" min="340" max="340"/>
    <col width="19.38" customWidth="1" min="341" max="341"/>
    <col width="19.38" customWidth="1" min="342" max="342"/>
    <col width="19.38" customWidth="1" min="343" max="343"/>
    <col width="19.38" customWidth="1" min="344" max="344"/>
    <col width="19.38" customWidth="1" min="345" max="345"/>
    <col width="19.38" customWidth="1" min="346" max="346"/>
    <col width="19.38" customWidth="1" min="347" max="347"/>
    <col width="19.38" customWidth="1" min="348" max="348"/>
  </cols>
  <sheetData>
    <row r="1">
      <c r="A1" s="163" t="inlineStr">
        <is>
          <t>rota da ficha</t>
        </is>
      </c>
      <c r="C1" s="163" t="inlineStr">
        <is>
          <t>rótulo da rota</t>
        </is>
      </c>
      <c r="D1" s="163" t="inlineStr">
        <is>
          <t>fundamento</t>
        </is>
      </c>
      <c r="E1" s="163" t="inlineStr">
        <is>
          <t>sem técnica</t>
        </is>
      </c>
      <c r="F1" s="163" t="inlineStr">
        <is>
          <t>técnica marcial com energia</t>
        </is>
      </c>
      <c r="G1" s="163" t="inlineStr">
        <is>
          <t>técnica marcial sem energia</t>
        </is>
      </c>
      <c r="I1" s="163" t="inlineStr">
        <is>
          <t>família da técnica</t>
        </is>
      </c>
      <c r="J1" s="163" t="inlineStr">
        <is>
          <t>estado da família</t>
        </is>
      </c>
      <c r="K1" s="163" t="inlineStr">
        <is>
          <t>família livre</t>
        </is>
      </c>
      <c r="L1" s="163" t="inlineStr">
        <is>
          <t>família fechada</t>
        </is>
      </c>
      <c r="N1" s="163" t="inlineStr">
        <is>
          <t>estado de família</t>
        </is>
      </c>
      <c r="P1" s="163" t="inlineStr">
        <is>
          <t>classe do feitiço</t>
        </is>
      </c>
      <c r="Q1" s="163" t="inlineStr">
        <is>
          <t>leve</t>
        </is>
      </c>
      <c r="R1" s="163" t="inlineStr">
        <is>
          <t>média</t>
        </is>
      </c>
      <c r="S1" s="163" t="inlineStr">
        <is>
          <t>pesada</t>
        </is>
      </c>
      <c r="T1" s="163" t="inlineStr">
        <is>
          <t>leve livre</t>
        </is>
      </c>
      <c r="U1" s="163" t="inlineStr">
        <is>
          <t>média livre</t>
        </is>
      </c>
      <c r="V1" s="163" t="inlineStr">
        <is>
          <t>pesada livre</t>
        </is>
      </c>
      <c r="W1" s="163" t="inlineStr">
        <is>
          <t>limite de melhorias</t>
        </is>
      </c>
      <c r="Y1" s="163" t="inlineStr">
        <is>
          <t>forma</t>
        </is>
      </c>
      <c r="Z1" s="163" t="inlineStr">
        <is>
          <t>família da forma</t>
        </is>
      </c>
      <c r="AA1" s="163" t="inlineStr">
        <is>
          <t>peso da forma</t>
        </is>
      </c>
      <c r="AB1" s="163" t="inlineStr">
        <is>
          <t>código de preço da forma</t>
        </is>
      </c>
      <c r="AC1" s="163" t="inlineStr">
        <is>
          <t>forma fechada</t>
        </is>
      </c>
      <c r="AD1" s="163" t="inlineStr">
        <is>
          <t>restrição embutida</t>
        </is>
      </c>
      <c r="AE1" s="163" t="inlineStr">
        <is>
          <t>tipo de dano</t>
        </is>
      </c>
      <c r="AF1" s="163" t="inlineStr">
        <is>
          <t>como resolve</t>
        </is>
      </c>
      <c r="AG1" s="163" t="inlineStr">
        <is>
          <t>resolve por teste</t>
        </is>
      </c>
      <c r="AH1" s="163" t="inlineStr">
        <is>
          <t>degrau da primeira parte</t>
        </is>
      </c>
      <c r="AI1" s="163" t="inlineStr">
        <is>
          <t>degrau da segunda parte</t>
        </is>
      </c>
      <c r="AJ1" s="163" t="inlineStr">
        <is>
          <t>mostra mais alvos</t>
        </is>
      </c>
      <c r="AK1" s="163" t="inlineStr">
        <is>
          <t>existe na classe 0</t>
        </is>
      </c>
      <c r="AL1" s="163" t="inlineStr">
        <is>
          <t>menu de forma</t>
        </is>
      </c>
      <c r="AM1" s="163" t="inlineStr">
        <is>
          <t>menu de forma da classe 0</t>
        </is>
      </c>
      <c r="AO1" s="163" t="inlineStr">
        <is>
          <t>alcance de</t>
        </is>
      </c>
      <c r="AP1" s="163" t="inlineStr">
        <is>
          <t>primeira parte +0</t>
        </is>
      </c>
      <c r="AQ1" s="163" t="inlineStr">
        <is>
          <t>primeira parte +1</t>
        </is>
      </c>
      <c r="AR1" s="163" t="inlineStr">
        <is>
          <t>primeira parte +2</t>
        </is>
      </c>
      <c r="AS1" s="163" t="inlineStr">
        <is>
          <t>primeira parte +3</t>
        </is>
      </c>
      <c r="AT1" s="163" t="inlineStr">
        <is>
          <t>primeira parte +4</t>
        </is>
      </c>
      <c r="AU1" s="163" t="inlineStr">
        <is>
          <t>primeira parte +5</t>
        </is>
      </c>
      <c r="AV1" s="163" t="inlineStr">
        <is>
          <t>segunda parte +0</t>
        </is>
      </c>
      <c r="AW1" s="163" t="inlineStr">
        <is>
          <t>segunda parte +1</t>
        </is>
      </c>
      <c r="AX1" s="163" t="inlineStr">
        <is>
          <t>segunda parte +2</t>
        </is>
      </c>
      <c r="AY1" s="163" t="inlineStr">
        <is>
          <t>segunda parte +3</t>
        </is>
      </c>
      <c r="AZ1" s="163" t="inlineStr">
        <is>
          <t>segunda parte +4</t>
        </is>
      </c>
      <c r="BA1" s="163" t="inlineStr">
        <is>
          <t>segunda parte +5</t>
        </is>
      </c>
      <c r="BC1" s="163" t="inlineStr">
        <is>
          <t>peça</t>
        </is>
      </c>
      <c r="BD1" s="163" t="inlineStr">
        <is>
          <t>família da peça</t>
        </is>
      </c>
      <c r="BE1" s="163" t="inlineStr">
        <is>
          <t>peso da peça</t>
        </is>
      </c>
      <c r="BF1" s="163" t="inlineStr">
        <is>
          <t>código de preço</t>
        </is>
      </c>
      <c r="BG1" s="163" t="inlineStr">
        <is>
          <t>peça fechada</t>
        </is>
      </c>
      <c r="BH1" s="163" t="inlineStr">
        <is>
          <t>peça de controle</t>
        </is>
      </c>
      <c r="BI1" s="163" t="inlineStr">
        <is>
          <t>menu de melhoria</t>
        </is>
      </c>
      <c r="BJ1" s="163" t="inlineStr">
        <is>
          <t>menu de melhoria leve</t>
        </is>
      </c>
      <c r="BK1" s="163" t="inlineStr">
        <is>
          <t>peça que pede TR</t>
        </is>
      </c>
      <c r="BM1" s="163" t="inlineStr">
        <is>
          <t>menu de restrição</t>
        </is>
      </c>
      <c r="BN1" s="163" t="inlineStr">
        <is>
          <t>restrição</t>
        </is>
      </c>
      <c r="BO1" s="163" t="inlineStr">
        <is>
          <t>o que devolve</t>
        </is>
      </c>
      <c r="BP1" s="163" t="inlineStr">
        <is>
          <t>é de frequência</t>
        </is>
      </c>
      <c r="BQ1" s="163" t="inlineStr">
        <is>
          <t>menu de restrição leve</t>
        </is>
      </c>
      <c r="BS1" s="163" t="inlineStr">
        <is>
          <t>passiva</t>
        </is>
      </c>
      <c r="BT1" s="163" t="inlineStr">
        <is>
          <t>classe passiva</t>
        </is>
      </c>
      <c r="BU1" s="163" t="inlineStr">
        <is>
          <t>o que a passiva faz</t>
        </is>
      </c>
      <c r="BV1" s="163" t="inlineStr">
        <is>
          <t>do fundamento</t>
        </is>
      </c>
      <c r="BW1" s="163" t="inlineStr">
        <is>
          <t>da técnica marcial</t>
        </is>
      </c>
      <c r="BX1" s="163" t="inlineStr">
        <is>
          <t>menu de passiva</t>
        </is>
      </c>
      <c r="BY1" s="163" t="inlineStr">
        <is>
          <t>resumo da passiva</t>
        </is>
      </c>
      <c r="CA1" s="163" t="inlineStr">
        <is>
          <t>classe passiva liberada</t>
        </is>
      </c>
      <c r="CB1" s="163" t="inlineStr">
        <is>
          <t>libera no nível</t>
        </is>
      </c>
      <c r="CD1" s="163" t="inlineStr">
        <is>
          <t>aptidão</t>
        </is>
      </c>
      <c r="CE1" s="163" t="inlineStr">
        <is>
          <t>requisito da aptidão</t>
        </is>
      </c>
      <c r="CF1" s="163" t="inlineStr">
        <is>
          <t>classe passiva da aptidão</t>
        </is>
      </c>
      <c r="CG1" s="163" t="inlineStr">
        <is>
          <t>o que o refino escala</t>
        </is>
      </c>
      <c r="CH1" s="163" t="inlineStr">
        <is>
          <t>o que a aptidão faz</t>
        </is>
      </c>
      <c r="CI1" s="163" t="inlineStr">
        <is>
          <t>menu de aptidão</t>
        </is>
      </c>
      <c r="CJ1" s="163" t="inlineStr">
        <is>
          <t>é bênção</t>
        </is>
      </c>
      <c r="CK1" s="163" t="inlineStr">
        <is>
          <t>é a extensão de domínio</t>
        </is>
      </c>
      <c r="CL1" s="163" t="inlineStr">
        <is>
          <t>de graça</t>
        </is>
      </c>
      <c r="CM1" s="163" t="inlineStr">
        <is>
          <t>resumo da aptidão</t>
        </is>
      </c>
      <c r="CO1" s="163" t="inlineStr">
        <is>
          <t>semente</t>
        </is>
      </c>
      <c r="CQ1" s="163" t="inlineStr">
        <is>
          <t>equipamento</t>
        </is>
      </c>
      <c r="CS1" s="163" t="inlineStr">
        <is>
          <t>menu da peça da rota</t>
        </is>
      </c>
      <c r="CU1" s="163" t="inlineStr">
        <is>
          <t>grupo de arma</t>
        </is>
      </c>
      <c r="CV1" s="163" t="inlineStr">
        <is>
          <t>acerta com força</t>
        </is>
      </c>
      <c r="CW1" s="163" t="inlineStr">
        <is>
          <t>acerta com destreza</t>
        </is>
      </c>
      <c r="CX1" s="163" t="inlineStr">
        <is>
          <t>menu de grupo</t>
        </is>
      </c>
      <c r="CZ1" s="163" t="inlineStr">
        <is>
          <t>nível da classe 0</t>
        </is>
      </c>
      <c r="DA1" s="163" t="inlineStr">
        <is>
          <t>quantos de classe 0</t>
        </is>
      </c>
      <c r="DB1" s="163" t="inlineStr">
        <is>
          <t>dados da classe 0</t>
        </is>
      </c>
      <c r="DD1" s="163" t="inlineStr">
        <is>
          <t>nível da liberação</t>
        </is>
      </c>
      <c r="DF1" s="163" t="inlineStr">
        <is>
          <t>classe da liberação</t>
        </is>
      </c>
      <c r="DH1" s="163" t="inlineStr">
        <is>
          <t>nível da técnica máxima</t>
        </is>
      </c>
      <c r="DI1" s="163" t="inlineStr">
        <is>
          <t>dados da técnica máxima</t>
        </is>
      </c>
      <c r="DJ1" s="163" t="inlineStr">
        <is>
          <t>pontos de montagem</t>
        </is>
      </c>
      <c r="DL1" s="163" t="inlineStr">
        <is>
          <t>degrau do domínio</t>
        </is>
      </c>
      <c r="DM1" s="163" t="inlineStr">
        <is>
          <t>espaços do degrau</t>
        </is>
      </c>
      <c r="DN1" s="163" t="inlineStr">
        <is>
          <t>nível do degrau</t>
        </is>
      </c>
      <c r="DO1" s="163" t="inlineStr">
        <is>
          <t>refino do degrau</t>
        </is>
      </c>
      <c r="DP1" s="163" t="inlineStr">
        <is>
          <t>o degrau abre em</t>
        </is>
      </c>
      <c r="DR1" s="163" t="inlineStr">
        <is>
          <t>forma do pacto</t>
        </is>
      </c>
      <c r="DS1" s="163" t="inlineStr">
        <is>
          <t>quando se fecha</t>
        </is>
      </c>
      <c r="DU1" s="163" t="inlineStr">
        <is>
          <t>o pacto modifica</t>
        </is>
      </c>
      <c r="DW1" s="163" t="inlineStr">
        <is>
          <t>tamanho do ganho</t>
        </is>
      </c>
      <c r="DY1" s="163" t="inlineStr">
        <is>
          <t>conta de feitiço</t>
        </is>
      </c>
      <c r="DZ1" s="163" t="inlineStr">
        <is>
          <t>liberação</t>
        </is>
      </c>
      <c r="EA1" s="163" t="inlineStr">
        <is>
          <t>vaga</t>
        </is>
      </c>
      <c r="EB1" s="163" t="inlineStr">
        <is>
          <t>classe</t>
        </is>
      </c>
      <c r="EC1" s="163" t="inlineStr">
        <is>
          <t>nome</t>
        </is>
      </c>
      <c r="ED1" s="163" t="inlineStr">
        <is>
          <t>forma</t>
        </is>
      </c>
      <c r="EE1" s="163" t="inlineStr">
        <is>
          <t>m1</t>
        </is>
      </c>
      <c r="EF1" s="163" t="inlineStr">
        <is>
          <t>m2</t>
        </is>
      </c>
      <c r="EG1" s="163" t="inlineStr">
        <is>
          <t>m3</t>
        </is>
      </c>
      <c r="EH1" s="163" t="inlineStr">
        <is>
          <t>m4</t>
        </is>
      </c>
      <c r="EI1" s="163" t="inlineStr">
        <is>
          <t>r1</t>
        </is>
      </c>
      <c r="EJ1" s="163" t="inlineStr">
        <is>
          <t>r2</t>
        </is>
      </c>
      <c r="EK1" s="163" t="inlineStr">
        <is>
          <t>tem</t>
        </is>
      </c>
      <c r="EL1" s="163" t="inlineStr">
        <is>
          <t>lf</t>
        </is>
      </c>
      <c r="EM1" s="163" t="inlineStr">
        <is>
          <t>k0</t>
        </is>
      </c>
      <c r="EN1" s="163" t="inlineStr">
        <is>
          <t>k1</t>
        </is>
      </c>
      <c r="EO1" s="163" t="inlineStr">
        <is>
          <t>k2</t>
        </is>
      </c>
      <c r="EP1" s="163" t="inlineStr">
        <is>
          <t>k3</t>
        </is>
      </c>
      <c r="EQ1" s="163" t="inlineStr">
        <is>
          <t>k4</t>
        </is>
      </c>
      <c r="ER1" s="163" t="inlineStr">
        <is>
          <t>x0</t>
        </is>
      </c>
      <c r="ES1" s="163" t="inlineStr">
        <is>
          <t>x1</t>
        </is>
      </c>
      <c r="ET1" s="163" t="inlineStr">
        <is>
          <t>x2</t>
        </is>
      </c>
      <c r="EU1" s="163" t="inlineStr">
        <is>
          <t>x3</t>
        </is>
      </c>
      <c r="EV1" s="163" t="inlineStr">
        <is>
          <t>x4</t>
        </is>
      </c>
      <c r="EW1" s="163" t="inlineStr">
        <is>
          <t>ct</t>
        </is>
      </c>
      <c r="EX1" s="163" t="inlineStr">
        <is>
          <t>ptr</t>
        </is>
      </c>
      <c r="EY1" s="163" t="inlineStr">
        <is>
          <t>emb</t>
        </is>
      </c>
      <c r="EZ1" s="163" t="inlineStr">
        <is>
          <t>tp</t>
        </is>
      </c>
      <c r="FA1" s="163" t="inlineStr">
        <is>
          <t>tr</t>
        </is>
      </c>
      <c r="FB1" s="163" t="inlineStr">
        <is>
          <t>c1</t>
        </is>
      </c>
      <c r="FC1" s="163" t="inlineStr">
        <is>
          <t>c2</t>
        </is>
      </c>
      <c r="FD1" s="163" t="inlineStr">
        <is>
          <t>b1</t>
        </is>
      </c>
      <c r="FE1" s="163" t="inlineStr">
        <is>
          <t>b2</t>
        </is>
      </c>
      <c r="FF1" s="163" t="inlineStr">
        <is>
          <t>n1</t>
        </is>
      </c>
      <c r="FG1" s="163" t="inlineStr">
        <is>
          <t>n2</t>
        </is>
      </c>
      <c r="FH1" s="163" t="inlineStr">
        <is>
          <t>n3</t>
        </is>
      </c>
      <c r="FI1" s="163" t="inlineStr">
        <is>
          <t>n4</t>
        </is>
      </c>
      <c r="FJ1" s="163" t="inlineStr">
        <is>
          <t>n5</t>
        </is>
      </c>
      <c r="FK1" s="163" t="inlineStr">
        <is>
          <t>n6</t>
        </is>
      </c>
      <c r="FL1" s="163" t="inlineStr">
        <is>
          <t>dL</t>
        </is>
      </c>
      <c r="FM1" s="163" t="inlineStr">
        <is>
          <t>dM</t>
        </is>
      </c>
      <c r="FN1" s="163" t="inlineStr">
        <is>
          <t>nm</t>
        </is>
      </c>
      <c r="FO1" s="163" t="inlineStr">
        <is>
          <t>nr</t>
        </is>
      </c>
      <c r="FP1" s="163" t="inlineStr">
        <is>
          <t>g</t>
        </is>
      </c>
      <c r="FQ1" s="163" t="inlineStr">
        <is>
          <t>dv0</t>
        </is>
      </c>
      <c r="FR1" s="163" t="inlineStr">
        <is>
          <t>dv</t>
        </is>
      </c>
      <c r="FS1" s="163" t="inlineStr">
        <is>
          <t>usa</t>
        </is>
      </c>
      <c r="FT1" s="163" t="inlineStr">
        <is>
          <t>perde</t>
        </is>
      </c>
      <c r="FU1" s="163" t="inlineStr">
        <is>
          <t>s</t>
        </is>
      </c>
      <c r="FV1" s="163" t="inlineStr">
        <is>
          <t>d</t>
        </is>
      </c>
      <c r="FW1" s="163" t="inlineStr">
        <is>
          <t>dep</t>
        </is>
      </c>
      <c r="FX1" s="163" t="inlineStr">
        <is>
          <t>d1</t>
        </is>
      </c>
      <c r="FY1" s="163" t="inlineStr">
        <is>
          <t>d2</t>
        </is>
      </c>
      <c r="FZ1" s="163" t="inlineStr">
        <is>
          <t>d3</t>
        </is>
      </c>
      <c r="GA1" s="163" t="inlineStr">
        <is>
          <t>d4</t>
        </is>
      </c>
      <c r="GB1" s="163" t="inlineStr">
        <is>
          <t>d5</t>
        </is>
      </c>
      <c r="GC1" s="163" t="inlineStr">
        <is>
          <t>d6</t>
        </is>
      </c>
      <c r="GD1" s="163" t="inlineStr">
        <is>
          <t>d7</t>
        </is>
      </c>
      <c r="GE1" s="163" t="inlineStr">
        <is>
          <t>t1</t>
        </is>
      </c>
      <c r="GF1" s="163" t="inlineStr">
        <is>
          <t>t2</t>
        </is>
      </c>
      <c r="GG1" s="163" t="inlineStr">
        <is>
          <t>t3</t>
        </is>
      </c>
      <c r="GH1" s="163" t="inlineStr">
        <is>
          <t>t4</t>
        </is>
      </c>
      <c r="GI1" s="163" t="inlineStr">
        <is>
          <t>t5</t>
        </is>
      </c>
      <c r="GJ1" s="163" t="inlineStr">
        <is>
          <t>t6</t>
        </is>
      </c>
      <c r="GK1" s="163" t="inlineStr">
        <is>
          <t>t7</t>
        </is>
      </c>
      <c r="GL1" s="163" t="inlineStr">
        <is>
          <t>erros</t>
        </is>
      </c>
      <c r="GM1" s="163" t="inlineStr">
        <is>
          <t>ne</t>
        </is>
      </c>
      <c r="GN1" s="163" t="inlineStr">
        <is>
          <t>avisos</t>
        </is>
      </c>
      <c r="GO1" s="163" t="inlineStr">
        <is>
          <t>na</t>
        </is>
      </c>
      <c r="GP1" s="163" t="inlineStr">
        <is>
          <t>estado</t>
        </is>
      </c>
      <c r="GQ1" s="163" t="inlineStr">
        <is>
          <t>linha</t>
        </is>
      </c>
      <c r="GR1" s="163" t="inlineStr">
        <is>
          <t>pe</t>
        </is>
      </c>
      <c r="GS1" s="163" t="inlineStr">
        <is>
          <t>acao</t>
        </is>
      </c>
      <c r="GT1" s="163" t="inlineStr">
        <is>
          <t>resolve</t>
        </is>
      </c>
      <c r="GU1" s="163" t="inlineStr">
        <is>
          <t>dano</t>
        </is>
      </c>
      <c r="GV1" s="163" t="inlineStr">
        <is>
          <t>lg</t>
        </is>
      </c>
      <c r="GW1" s="163" t="inlineStr">
        <is>
          <t>mr</t>
        </is>
      </c>
      <c r="GX1" s="163" t="inlineStr">
        <is>
          <t>q1</t>
        </is>
      </c>
      <c r="GY1" s="163" t="inlineStr">
        <is>
          <t>q2</t>
        </is>
      </c>
      <c r="GZ1" s="163" t="inlineStr">
        <is>
          <t>alcance</t>
        </is>
      </c>
      <c r="HA1" s="163" t="inlineStr">
        <is>
          <t>conta</t>
        </is>
      </c>
      <c r="HB1" s="163" t="inlineStr">
        <is>
          <t>ampliar</t>
        </is>
      </c>
      <c r="HC1" s="163" t="inlineStr">
        <is>
          <t>pt1</t>
        </is>
      </c>
      <c r="HD1" s="163" t="inlineStr">
        <is>
          <t>pt2</t>
        </is>
      </c>
      <c r="HE1" s="163" t="inlineStr">
        <is>
          <t>pt3</t>
        </is>
      </c>
      <c r="HF1" s="163" t="inlineStr">
        <is>
          <t>pt4</t>
        </is>
      </c>
      <c r="HG1" s="163" t="inlineStr">
        <is>
          <t>dt1</t>
        </is>
      </c>
      <c r="HH1" s="163" t="inlineStr">
        <is>
          <t>dt2</t>
        </is>
      </c>
      <c r="HI1" s="163" t="inlineStr">
        <is>
          <t>como</t>
        </is>
      </c>
      <c r="HJ1" s="163" t="inlineStr">
        <is>
          <t>ordem</t>
        </is>
      </c>
      <c r="HL1" s="163" t="inlineStr">
        <is>
          <t>contas da amaldiçoada</t>
        </is>
      </c>
      <c r="HM1" s="163" t="inlineStr">
        <is>
          <t>valor da amaldiçoada</t>
        </is>
      </c>
      <c r="HO1" s="163" t="inlineStr">
        <is>
          <t>carta de passiva</t>
        </is>
      </c>
      <c r="HP1" s="163" t="inlineStr">
        <is>
          <t>passiva anotada</t>
        </is>
      </c>
      <c r="HQ1" s="163" t="inlineStr">
        <is>
          <t>classe passiva anotada</t>
        </is>
      </c>
      <c r="HR1" s="163" t="inlineStr">
        <is>
          <t>nível que libera</t>
        </is>
      </c>
      <c r="HS1" s="163" t="inlineStr">
        <is>
          <t>o que ela faz</t>
        </is>
      </c>
      <c r="HT1" s="163" t="inlineStr">
        <is>
          <t>classe passiva na carta</t>
        </is>
      </c>
      <c r="HU1" s="163" t="inlineStr">
        <is>
          <t>custo na carta</t>
        </is>
      </c>
      <c r="HV1" s="163" t="inlineStr">
        <is>
          <t>seu texto da passiva</t>
        </is>
      </c>
      <c r="HW1" s="163" t="inlineStr">
        <is>
          <t>ordem da passiva</t>
        </is>
      </c>
      <c r="HY1" s="163" t="inlineStr">
        <is>
          <t>carta de aptidão</t>
        </is>
      </c>
      <c r="HZ1" s="163" t="inlineStr">
        <is>
          <t>aptidão anotada</t>
        </is>
      </c>
      <c r="IA1" s="163" t="inlineStr">
        <is>
          <t>requisito na carta</t>
        </is>
      </c>
      <c r="IB1" s="163" t="inlineStr">
        <is>
          <t>classe passiva na carta de aptidão</t>
        </is>
      </c>
      <c r="IC1" s="163" t="inlineStr">
        <is>
          <t>o refino escala na carta</t>
        </is>
      </c>
      <c r="ID1" s="163" t="inlineStr">
        <is>
          <t>o que a aptidão anotada faz</t>
        </is>
      </c>
      <c r="IE1" s="163" t="inlineStr">
        <is>
          <t>seu texto da aptidão</t>
        </is>
      </c>
      <c r="IF1" s="163" t="inlineStr">
        <is>
          <t>ordem da aptidão</t>
        </is>
      </c>
      <c r="IH1" s="163" t="inlineStr">
        <is>
          <t>classe 0 anotada</t>
        </is>
      </c>
      <c r="II1" s="163" t="inlineStr">
        <is>
          <t>forma da classe 0</t>
        </is>
      </c>
      <c r="IJ1" s="163" t="inlineStr">
        <is>
          <t>melhoria da classe 0</t>
        </is>
      </c>
      <c r="IK1" s="163" t="inlineStr">
        <is>
          <t>restrição da classe 0</t>
        </is>
      </c>
      <c r="IL1" s="163" t="inlineStr">
        <is>
          <t>linha da forma</t>
        </is>
      </c>
      <c r="IM1" s="163" t="inlineStr">
        <is>
          <t>dados dela</t>
        </is>
      </c>
      <c r="IN1" s="163" t="inlineStr">
        <is>
          <t>dano na carta</t>
        </is>
      </c>
      <c r="IO1" s="163" t="inlineStr">
        <is>
          <t>alcance na carta</t>
        </is>
      </c>
      <c r="IQ1" s="163" t="inlineStr">
        <is>
          <t>salto</t>
        </is>
      </c>
      <c r="IR1" s="163" t="inlineStr">
        <is>
          <t>caixa do salto</t>
        </is>
      </c>
      <c r="IS1" s="163" t="inlineStr">
        <is>
          <t>alvo do salto</t>
        </is>
      </c>
      <c r="IT1" s="163" t="inlineStr">
        <is>
          <t>nome do salto</t>
        </is>
      </c>
      <c r="IV1" s="163" t="inlineStr">
        <is>
          <t>habilidade: carta</t>
        </is>
      </c>
      <c r="IW1" s="163" t="inlineStr">
        <is>
          <t>nível da carta</t>
        </is>
      </c>
      <c r="IX1" s="163" t="inlineStr">
        <is>
          <t>etiqueta da carta</t>
        </is>
      </c>
      <c r="IY1" s="163" t="inlineStr">
        <is>
          <t>célula do nome</t>
        </is>
      </c>
      <c r="IZ1" s="163" t="inlineStr">
        <is>
          <t>célula do texto</t>
        </is>
      </c>
      <c r="JB1" s="163" t="inlineStr">
        <is>
          <t>habilidade livre: carta</t>
        </is>
      </c>
      <c r="JC1" s="163" t="inlineStr">
        <is>
          <t>célula do texto livre</t>
        </is>
      </c>
      <c r="JE1" s="163" t="inlineStr">
        <is>
          <t>habilidades: título</t>
        </is>
      </c>
      <c r="JF1" s="163" t="inlineStr">
        <is>
          <t>texto do título</t>
        </is>
      </c>
      <c r="JH1" s="163" t="inlineStr">
        <is>
          <t>menu: feitiço</t>
        </is>
      </c>
      <c r="JI1" s="163" t="inlineStr">
        <is>
          <t>lugar na conta</t>
        </is>
      </c>
      <c r="JJ1" s="163" t="inlineStr">
        <is>
          <t>menu: classe</t>
        </is>
      </c>
      <c r="JK1" s="163" t="inlineStr">
        <is>
          <t>menu: nome</t>
        </is>
      </c>
      <c r="JL1" s="163" t="inlineStr">
        <is>
          <t>menu: pe</t>
        </is>
      </c>
      <c r="JM1" s="163" t="inlineStr">
        <is>
          <t>menu: forma</t>
        </is>
      </c>
      <c r="JN1" s="163" t="inlineStr">
        <is>
          <t>menu: resolve</t>
        </is>
      </c>
      <c r="JO1" s="163" t="inlineStr">
        <is>
          <t>menu: como</t>
        </is>
      </c>
      <c r="JQ1" s="163" t="inlineStr">
        <is>
          <t>menu: liberação</t>
        </is>
      </c>
      <c r="JR1" s="163" t="inlineStr">
        <is>
          <t>menu da liberação: classe</t>
        </is>
      </c>
      <c r="JS1" s="163" t="inlineStr">
        <is>
          <t>menu da liberação: nome</t>
        </is>
      </c>
      <c r="JT1" s="163" t="inlineStr">
        <is>
          <t>menu da liberação: pe</t>
        </is>
      </c>
      <c r="JU1" s="163" t="inlineStr">
        <is>
          <t>menu da liberação: forma</t>
        </is>
      </c>
      <c r="JV1" s="163" t="inlineStr">
        <is>
          <t>menu da liberação: resolve</t>
        </is>
      </c>
      <c r="JW1" s="163" t="inlineStr">
        <is>
          <t>menu da liberação: como</t>
        </is>
      </c>
      <c r="JY1" s="163" t="inlineStr">
        <is>
          <t>menu: carta larga</t>
        </is>
      </c>
      <c r="JZ1" s="163" t="inlineStr">
        <is>
          <t>nome dela</t>
        </is>
      </c>
      <c r="KA1" s="163" t="inlineStr">
        <is>
          <t>pe dela</t>
        </is>
      </c>
      <c r="KB1" s="163" t="inlineStr">
        <is>
          <t>forma dela</t>
        </is>
      </c>
      <c r="KC1" s="163" t="inlineStr">
        <is>
          <t>resolve dela</t>
        </is>
      </c>
      <c r="KD1" s="163" t="inlineStr">
        <is>
          <t>como é dela</t>
        </is>
      </c>
      <c r="KF1" s="163" t="inlineStr">
        <is>
          <t>menu: passiva</t>
        </is>
      </c>
      <c r="KG1" s="163" t="inlineStr">
        <is>
          <t>lugar da passiva</t>
        </is>
      </c>
      <c r="KH1" s="163" t="inlineStr">
        <is>
          <t>classe passiva no menu</t>
        </is>
      </c>
      <c r="KI1" s="163" t="inlineStr">
        <is>
          <t>passiva no menu</t>
        </is>
      </c>
      <c r="KJ1" s="163" t="inlineStr">
        <is>
          <t>texto da passiva no menu</t>
        </is>
      </c>
      <c r="KL1" s="163" t="inlineStr">
        <is>
          <t>menu: aptidão</t>
        </is>
      </c>
      <c r="KM1" s="163" t="inlineStr">
        <is>
          <t>lugar da aptidão</t>
        </is>
      </c>
      <c r="KN1" s="163" t="inlineStr">
        <is>
          <t>classe passiva da aptidão no menu</t>
        </is>
      </c>
      <c r="KO1" s="163" t="inlineStr">
        <is>
          <t>aptidão no menu</t>
        </is>
      </c>
      <c r="KP1" s="163" t="inlineStr">
        <is>
          <t>texto da aptidão no menu</t>
        </is>
      </c>
      <c r="KR1" s="163" t="inlineStr">
        <is>
          <t>menu: rótulo</t>
        </is>
      </c>
      <c r="KS1" s="163" t="inlineStr">
        <is>
          <t>texto do rótulo</t>
        </is>
      </c>
      <c r="KU1" s="163" t="inlineStr">
        <is>
          <t>caixa calculada</t>
        </is>
      </c>
      <c r="KV1" s="163" t="inlineStr">
        <is>
          <t>o que a caixa mostra</t>
        </is>
      </c>
      <c r="KW1" t="inlineStr">
        <is>
          <t>base da melhoria 1</t>
        </is>
      </c>
      <c r="KX1" t="inlineStr">
        <is>
          <t>base da melhoria 2</t>
        </is>
      </c>
      <c r="KY1" t="inlineStr">
        <is>
          <t>base da melhoria 3</t>
        </is>
      </c>
      <c r="KZ1" t="inlineStr">
        <is>
          <t>base da melhoria 4</t>
        </is>
      </c>
      <c r="LA1" t="inlineStr">
        <is>
          <t>base da melhoria da classe 0</t>
        </is>
      </c>
      <c r="LH1" t="inlineStr">
        <is>
          <t>aptidão escolhida</t>
        </is>
      </c>
      <c r="LI1" t="inlineStr">
        <is>
          <t>identidade herdada</t>
        </is>
      </c>
      <c r="LJ1" t="inlineStr">
        <is>
          <t>grupo da aquisição</t>
        </is>
      </c>
      <c r="LK1" t="inlineStr">
        <is>
          <t>avisos de aquisição</t>
        </is>
      </c>
      <c r="LL1" t="inlineStr">
        <is>
          <t>escolhas consumidas</t>
        </is>
      </c>
    </row>
    <row r="2">
      <c r="A2" s="164">
        <f>IF(N(DADOS!$AK$30)=1,4,IF(N(DADOS!$AK$32)=1,3,IF(N(DADOS!$AK$31)=1,2,1)))</f>
        <v/>
      </c>
      <c r="C2" s="162" t="inlineStr">
        <is>
          <t>feitiço</t>
        </is>
      </c>
      <c r="D2" s="162" t="inlineStr">
        <is>
          <t>Feitiço</t>
        </is>
      </c>
      <c r="E2" s="162" t="inlineStr">
        <is>
          <t>Manejo</t>
        </is>
      </c>
      <c r="F2" s="162" t="inlineStr">
        <is>
          <t>Kata</t>
        </is>
      </c>
      <c r="G2" s="162" t="inlineStr">
        <is>
          <t>Kata</t>
        </is>
      </c>
      <c r="I2" s="162" t="inlineStr">
        <is>
          <t>Alcance</t>
        </is>
      </c>
      <c r="J2" s="164">
        <f>'FICHA AMALDIÇOADA'!$D$37&amp;""</f>
        <v/>
      </c>
      <c r="K2" s="164">
        <f>IF($J2="Livre",1,0)</f>
        <v/>
      </c>
      <c r="L2" s="164">
        <f>IF($J2="Fechada",1,0)</f>
        <v/>
      </c>
      <c r="N2" s="162" t="inlineStr">
        <is>
          <t>Livre</t>
        </is>
      </c>
      <c r="P2" s="164" t="n">
        <v>1</v>
      </c>
      <c r="Q2" s="164" t="n">
        <v>1</v>
      </c>
      <c r="R2" s="164" t="n">
        <v>1</v>
      </c>
      <c r="S2" s="164" t="n">
        <v>2</v>
      </c>
      <c r="T2" s="164" t="n">
        <v>1</v>
      </c>
      <c r="U2" s="164" t="n">
        <v>1</v>
      </c>
      <c r="V2" s="164" t="n">
        <v>1</v>
      </c>
      <c r="W2" s="164" t="n">
        <v>2</v>
      </c>
      <c r="Y2" s="162" t="inlineStr">
        <is>
          <t>Projétil</t>
        </is>
      </c>
      <c r="Z2" s="162" t="inlineStr"/>
      <c r="AA2" s="164" t="n">
        <v>0</v>
      </c>
      <c r="AB2" s="164">
        <f>IF($AA2=0,0,$AA2+3*IFERROR(VLOOKUP($Z2,'DADOS_CRIACAO'!$H$2:$K$20,3,FALSE),0))</f>
        <v/>
      </c>
      <c r="AC2" s="164">
        <f>IFERROR(VLOOKUP($Z2,'DADOS_CRIACAO'!$H$2:$K$20,4,FALSE),0)</f>
        <v/>
      </c>
      <c r="AD2" s="164" t="n">
        <v>0</v>
      </c>
      <c r="AE2" s="164" t="n">
        <v>0</v>
      </c>
      <c r="AF2" s="162" t="inlineStr">
        <is>
          <t>Acerto</t>
        </is>
      </c>
      <c r="AG2" s="164" t="n">
        <v>0</v>
      </c>
      <c r="AH2" s="164" t="n">
        <v>1</v>
      </c>
      <c r="AI2" s="164" t="n">
        <v>0</v>
      </c>
      <c r="AJ2" s="164" t="n">
        <v>1</v>
      </c>
      <c r="AK2" s="164" t="n">
        <v>1</v>
      </c>
      <c r="AL2" s="164">
        <f>IF($AC2=1,"",$Y2)</f>
        <v/>
      </c>
      <c r="AM2" s="164">
        <f>IF(AND($AK2=1,$AC2=0),$Y2,"")</f>
        <v/>
      </c>
      <c r="AO2" s="162" t="inlineStr">
        <is>
          <t>Projétil · classe 0</t>
        </is>
      </c>
      <c r="AP2" s="162" t="inlineStr">
        <is>
          <t>9 m, um alvo</t>
        </is>
      </c>
      <c r="AQ2" s="162" t="inlineStr">
        <is>
          <t>18 m, um alvo</t>
        </is>
      </c>
      <c r="AR2" s="162" t="inlineStr">
        <is>
          <t>36 m, um alvo</t>
        </is>
      </c>
      <c r="AS2" s="162" t="inlineStr">
        <is>
          <t>90 m, um alvo</t>
        </is>
      </c>
      <c r="AT2" s="162" t="inlineStr">
        <is>
          <t>Visão a olho nu, um alvo</t>
        </is>
      </c>
      <c r="AU2" s="162" t="inlineStr">
        <is>
          <t>Visão a olho nu, um alvo</t>
        </is>
      </c>
      <c r="AV2" s="162" t="inlineStr"/>
      <c r="AW2" s="162" t="inlineStr"/>
      <c r="AX2" s="162" t="inlineStr"/>
      <c r="AY2" s="162" t="inlineStr"/>
      <c r="AZ2" s="162" t="inlineStr"/>
      <c r="BA2" s="162" t="inlineStr"/>
      <c r="BC2" s="162" t="inlineStr">
        <is>
          <t>Longe</t>
        </is>
      </c>
      <c r="BD2" s="162" t="inlineStr">
        <is>
          <t>Alcance</t>
        </is>
      </c>
      <c r="BE2" s="164" t="n">
        <v>1</v>
      </c>
      <c r="BF2" s="164">
        <f>$BE2+3*IFERROR(VLOOKUP($BD2,'DADOS_CRIACAO'!$H$2:$K$20,3,FALSE),0)</f>
        <v/>
      </c>
      <c r="BG2" s="164">
        <f>IFERROR(VLOOKUP($BD2,'DADOS_CRIACAO'!$H$2:$K$20,4,FALSE),0)</f>
        <v/>
      </c>
      <c r="BH2" s="164" t="n">
        <v>0</v>
      </c>
      <c r="BI2" s="164">
        <f>IF($BG2=1,"",$BC2)</f>
        <v/>
      </c>
      <c r="BJ2" s="164">
        <f>IF(AND($BE2=1,$BG2=0),$BC2,"")</f>
        <v/>
      </c>
      <c r="BK2" s="164" t="n">
        <v>0</v>
      </c>
      <c r="BM2" s="162" t="inlineStr">
        <is>
          <t>Corpo a Corpo</t>
        </is>
      </c>
      <c r="BN2" s="162" t="inlineStr">
        <is>
          <t>Corpo a Corpo</t>
        </is>
      </c>
      <c r="BO2" s="164" t="n">
        <v>2</v>
      </c>
      <c r="BP2" s="164" t="n">
        <v>0</v>
      </c>
      <c r="BQ2" s="162" t="inlineStr"/>
      <c r="BS2" s="162" t="inlineStr">
        <is>
          <t>Leitura</t>
        </is>
      </c>
      <c r="BT2" s="164" t="n">
        <v>1</v>
      </c>
      <c r="BU2" s="162" t="inlineStr">
        <is>
          <t>Você identifica a Classe e a Forma de qualquer feitiço conjurado a até 18 m de você. A informação não fornece a montagem completa, o custo de cada peça ou a localização de um alvo oculto.</t>
        </is>
      </c>
      <c r="BV2" s="164" t="n">
        <v>1</v>
      </c>
      <c r="BW2" s="164" t="n">
        <v>1</v>
      </c>
      <c r="BX2" s="164">
        <f>IF(OR(AND($A$2&lt;=2,$BV2=1),AND($A$2&gt;=2,$BW2=1)),$BS2,"")</f>
        <v/>
      </c>
      <c r="BY2" s="162" t="inlineStr">
        <is>
          <t>Você identifica a Classe e a Forma de qualquer feitiço conjurado a até 18 m de você. A informação não fornece a montagem completa, o custo de cada peça ou a localização de um alvo oculto.</t>
        </is>
      </c>
      <c r="CA2" s="164" t="n">
        <v>1</v>
      </c>
      <c r="CB2" s="164" t="n">
        <v>1</v>
      </c>
      <c r="CD2" s="162" t="inlineStr">
        <is>
          <t>Cobrir-se de Energia</t>
        </is>
      </c>
      <c r="CE2" s="162" t="inlineStr">
        <is>
          <t>Gratuita no Refino 1</t>
        </is>
      </c>
      <c r="CF2" s="162" t="inlineStr">
        <is>
          <t>—</t>
        </is>
      </c>
      <c r="CG2" s="162" t="inlineStr">
        <is>
          <t>Proteção e Redução de Dano da Reação</t>
        </is>
      </c>
      <c r="CH2" s="162" t="inlineStr">
        <is>
          <t>A energia que envolve seu corpo concede proteção e pode ser concentrada para amortecer um golpe. Sem Traje e sem Revestimento, sua proteção é 1 + um terço do Refino, arredondado para baixo. Escudo soma com essa proteção. Vestir Traje ou Revestimento faz você usar a proteção do equipamento, em vez da proteção passiva desta aptidão. Depois de determinar o dano de um golpe contra você, antes de descontá-lo, pode gastar Reação e 2 PE. Reduza esse dano em 1,5 × Refino, arredondado para baixo. A redução pode zerar o dano. Você perde somente a proteção passiva desta aptidão até o fim do seu próximo turno. Traje, Revestimento e escudo continuam dando sua proteção. Conserve os demais componentes da Defesa. Se perder a proteção passiva, atualize também a base de Bloquear para os ataques seguintes. O acerto já resolvido não é recalculado. Esta Reação pode ser usada mesmo vestindo proteção; nesse caso, você paga somente a Reação e os 2 PE. Ela não devolve uma Reação já gasta.</t>
        </is>
      </c>
      <c r="CI2" s="164">
        <f>IF($CL2=1,"",IF($A$2=4,IF($CJ2=1,$CD2,""),IF(OR($CJ2=1,AND($A$2=3,$CK2=1)),"",$CD2)))</f>
        <v/>
      </c>
      <c r="CJ2" s="164" t="n">
        <v>0</v>
      </c>
      <c r="CK2" s="164" t="n">
        <v>0</v>
      </c>
      <c r="CL2" s="164" t="n">
        <v>1</v>
      </c>
      <c r="CM2" s="162" t="inlineStr">
        <is>
          <t>A energia que envolve seu corpo concede proteção e pode ser concentrada para amortecer um golpe.</t>
        </is>
      </c>
      <c r="CO2" s="162" t="inlineStr">
        <is>
          <t>Domínio Simples</t>
        </is>
      </c>
      <c r="CQ2" s="162" t="inlineStr">
        <is>
          <t>Três grupos de arma</t>
        </is>
      </c>
      <c r="CS2" s="164">
        <f>IF($A$2=2,IFERROR(INDEX($CO$2:$CO$5,1),""),IF($A$2&gt;=3,IFERROR(INDEX($CQ$2:$CQ$4,1),""),""))</f>
        <v/>
      </c>
      <c r="CU2" s="162" t="inlineStr">
        <is>
          <t>Porrete</t>
        </is>
      </c>
      <c r="CV2" s="164" t="n">
        <v>1</v>
      </c>
      <c r="CW2" s="164" t="n">
        <v>0</v>
      </c>
      <c r="CX2" s="164">
        <f>IF(AND($A$2&gt;=3,'FICHA AMALDIÇOADA'!$J$16&amp;""="Três grupos de arma"),$CU2,"")</f>
        <v/>
      </c>
      <c r="CZ2" s="164" t="n">
        <v>1</v>
      </c>
      <c r="DA2" s="164" t="n">
        <v>2</v>
      </c>
      <c r="DB2" s="164" t="n">
        <v>2</v>
      </c>
      <c r="DD2" s="164" t="n">
        <v>10</v>
      </c>
      <c r="DF2" s="164" t="n">
        <v>3</v>
      </c>
      <c r="DH2" s="164" t="n">
        <v>17</v>
      </c>
      <c r="DI2" s="164" t="n">
        <v>24</v>
      </c>
      <c r="DJ2" s="164" t="n">
        <v>8</v>
      </c>
      <c r="DL2" s="162" t="inlineStr">
        <is>
          <t>Incompleta</t>
        </is>
      </c>
      <c r="DM2" s="164" t="n">
        <v>2</v>
      </c>
      <c r="DN2" s="164" t="n">
        <v>10</v>
      </c>
      <c r="DO2" s="164" t="n">
        <v>4</v>
      </c>
      <c r="DP2" s="162" t="inlineStr">
        <is>
          <t>Nível 10 e refino 4</t>
        </is>
      </c>
      <c r="DR2" s="162" t="inlineStr">
        <is>
          <t>Permanente</t>
        </is>
      </c>
      <c r="DS2" s="162" t="inlineStr">
        <is>
          <t>Fora de cena, com registro aprovado</t>
        </is>
      </c>
      <c r="DU2" s="162" t="inlineStr">
        <is>
          <t>Um feitiço</t>
        </is>
      </c>
      <c r="DW2" s="162" t="inlineStr">
        <is>
          <t>Pequeno</t>
        </is>
      </c>
      <c r="DY2" s="162" t="inlineStr">
        <is>
          <t>Feitiço 1</t>
        </is>
      </c>
      <c r="DZ2" s="164" t="n">
        <v>0</v>
      </c>
      <c r="EA2" s="164" t="n">
        <v>1</v>
      </c>
      <c r="EB2" s="164">
        <f>MAX(1,MIN(7,N('FICHA AMALDIÇOADA'!$D$64)))</f>
        <v/>
      </c>
      <c r="EC2" s="164">
        <f>'FICHA AMALDIÇOADA'!$E$64&amp;""</f>
        <v/>
      </c>
      <c r="ED2" s="164">
        <f>'FICHA AMALDIÇOADA'!$D$71&amp;""</f>
        <v/>
      </c>
      <c r="EE2" s="164">
        <f>'FICHA AMALDIÇOADA'!$E$73&amp;""</f>
        <v/>
      </c>
      <c r="EF2" s="164">
        <f>'FICHA AMALDIÇOADA'!$E$74&amp;""</f>
        <v/>
      </c>
      <c r="EG2" s="164">
        <f>'FICHA AMALDIÇOADA'!$E$75&amp;""</f>
        <v/>
      </c>
      <c r="EH2" s="164">
        <f>'FICHA AMALDIÇOADA'!$E$76&amp;""</f>
        <v/>
      </c>
      <c r="EI2" s="164">
        <f>'FICHA AMALDIÇOADA'!$E$77&amp;""</f>
        <v/>
      </c>
      <c r="EJ2" s="164">
        <f>'FICHA AMALDIÇOADA'!$E$78&amp;""</f>
        <v/>
      </c>
      <c r="EK2" s="164">
        <f>IF($EC2&lt;&gt;"",1,0)</f>
        <v/>
      </c>
      <c r="EL2" s="164">
        <f>IFERROR(MATCH(SUBSTITUTE(SUBSTITUTE(SUBSTITUTE($ED2,"~","~~"),"*","~*"),"?","~?"),'DADOS_FORMAS'!$FJ$2:$FJ$21,0),0)</f>
        <v/>
      </c>
      <c r="EM2" s="164">
        <f>IF($EL2=0,0,INDEX('DADOS_FORMAS'!$FM$2:$FM$21,$EL2))</f>
        <v/>
      </c>
      <c r="EN2" s="164">
        <f>IFERROR(VLOOKUP(SUBSTITUTE(SUBSTITUTE(SUBSTITUTE($EE2,"~","~~"),"*","~*"),"?","~?"),'DADOS_MELHORIAS'!$O$2:$W$113,4,FALSE),0)</f>
        <v/>
      </c>
      <c r="EO2" s="164">
        <f>IFERROR(VLOOKUP(SUBSTITUTE(SUBSTITUTE(SUBSTITUTE($EF2,"~","~~"),"*","~*"),"?","~?"),'DADOS_MELHORIAS'!$O$2:$W$113,4,FALSE),0)</f>
        <v/>
      </c>
      <c r="EP2" s="164">
        <f>IFERROR(VLOOKUP(SUBSTITUTE(SUBSTITUTE(SUBSTITUTE($EG2,"~","~~"),"*","~*"),"?","~?"),'DADOS_MELHORIAS'!$O$2:$W$113,4,FALSE),0)</f>
        <v/>
      </c>
      <c r="EQ2" s="164">
        <f>IFERROR(VLOOKUP(SUBSTITUTE(SUBSTITUTE(SUBSTITUTE($EH2,"~","~~"),"*","~*"),"?","~?"),'DADOS_MELHORIAS'!$O$2:$W$113,4,FALSE),0)</f>
        <v/>
      </c>
      <c r="ER2" s="164">
        <f>IF($EL2=0,0,INDEX('DADOS_FORMAS'!$FN$2:$FN$21,$EL2))</f>
        <v/>
      </c>
      <c r="ES2" s="164">
        <f>IFERROR(VLOOKUP(SUBSTITUTE(SUBSTITUTE(SUBSTITUTE($EE2,"~","~~"),"*","~*"),"?","~?"),'DADOS_MELHORIAS'!$O$2:$W$113,5,FALSE),0)</f>
        <v/>
      </c>
      <c r="ET2" s="164">
        <f>IFERROR(VLOOKUP(SUBSTITUTE(SUBSTITUTE(SUBSTITUTE($EF2,"~","~~"),"*","~*"),"?","~?"),'DADOS_MELHORIAS'!$O$2:$W$113,5,FALSE),0)</f>
        <v/>
      </c>
      <c r="EU2" s="164">
        <f>IFERROR(VLOOKUP(SUBSTITUTE(SUBSTITUTE(SUBSTITUTE($EG2,"~","~~"),"*","~*"),"?","~?"),'DADOS_MELHORIAS'!$O$2:$W$113,5,FALSE),0)</f>
        <v/>
      </c>
      <c r="EV2" s="164">
        <f>IFERROR(VLOOKUP(SUBSTITUTE(SUBSTITUTE(SUBSTITUTE($EH2,"~","~~"),"*","~*"),"?","~?"),'DADOS_MELHORIAS'!$O$2:$W$113,5,FALSE),0)</f>
        <v/>
      </c>
      <c r="EW2" s="164">
        <f>IFERROR(VLOOKUP(SUBSTITUTE(SUBSTITUTE(SUBSTITUTE($EE2,"~","~~"),"*","~*"),"?","~?"),'DADOS_MELHORIAS'!$O$2:$W$113,6,FALSE),0)+IFERROR(VLOOKUP(SUBSTITUTE(SUBSTITUTE(SUBSTITUTE($EF2,"~","~~"),"*","~*"),"?","~?"),'DADOS_MELHORIAS'!$O$2:$W$113,6,FALSE),0)+IFERROR(VLOOKUP(SUBSTITUTE(SUBSTITUTE(SUBSTITUTE($EG2,"~","~~"),"*","~*"),"?","~?"),'DADOS_MELHORIAS'!$O$2:$W$113,6,FALSE),0)+IFERROR(VLOOKUP(SUBSTITUTE(SUBSTITUTE(SUBSTITUTE($EH2,"~","~~"),"*","~*"),"?","~?"),'DADOS_MELHORIAS'!$O$2:$W$113,6,FALSE),0)</f>
        <v/>
      </c>
      <c r="EX2" s="164">
        <f>IFERROR(VLOOKUP(SUBSTITUTE(SUBSTITUTE(SUBSTITUTE($EE2,"~","~~"),"*","~*"),"?","~?"),'DADOS_MELHORIAS'!$O$2:$W$113,9,FALSE),0)+IFERROR(VLOOKUP(SUBSTITUTE(SUBSTITUTE(SUBSTITUTE($EF2,"~","~~"),"*","~*"),"?","~?"),'DADOS_MELHORIAS'!$O$2:$W$113,9,FALSE),0)+IFERROR(VLOOKUP(SUBSTITUTE(SUBSTITUTE(SUBSTITUTE($EG2,"~","~~"),"*","~*"),"?","~?"),'DADOS_MELHORIAS'!$O$2:$W$113,9,FALSE),0)+IFERROR(VLOOKUP(SUBSTITUTE(SUBSTITUTE(SUBSTITUTE($EH2,"~","~~"),"*","~*"),"?","~?"),'DADOS_MELHORIAS'!$O$2:$W$113,9,FALSE),0)</f>
        <v/>
      </c>
      <c r="EY2" s="164">
        <f>IF($EL2=0,0,INDEX('DADOS_FORMAS'!$FO$2:$FO$21,$EL2))</f>
        <v/>
      </c>
      <c r="EZ2" s="164">
        <f>IF($EL2=0,0,INDEX('DADOS_FORMAS'!$FP$2:$FP$21,$EL2))</f>
        <v/>
      </c>
      <c r="FA2" s="164">
        <f>IF($EL2=0,0,INDEX('DADOS_FORMAS'!$FR$2:$FR$21,$EL2))</f>
        <v/>
      </c>
      <c r="FB2" s="164">
        <f>IFERROR(VLOOKUP(SUBSTITUTE(SUBSTITUTE(SUBSTITUTE($EI2,"~","~~"),"*","~*"),"?","~?"),'DADOS_RESTRICOES'!$M$2:$Q$54,3,FALSE),0)</f>
        <v/>
      </c>
      <c r="FC2" s="164">
        <f>IFERROR(VLOOKUP(SUBSTITUTE(SUBSTITUTE(SUBSTITUTE($EJ2,"~","~~"),"*","~*"),"?","~?"),'DADOS_RESTRICOES'!$M$2:$Q$54,3,FALSE),0)</f>
        <v/>
      </c>
      <c r="FD2" s="164">
        <f>IFERROR(VLOOKUP(SUBSTITUTE(SUBSTITUTE(SUBSTITUTE($EI2,"~","~~"),"*","~*"),"?","~?"),'DADOS_RESTRICOES'!$M$2:$Q$54,2,FALSE),"")</f>
        <v/>
      </c>
      <c r="FE2" s="164">
        <f>IFERROR(VLOOKUP(SUBSTITUTE(SUBSTITUTE(SUBSTITUTE($EJ2,"~","~~"),"*","~*"),"?","~?"),'DADOS_RESTRICOES'!$M$2:$Q$54,2,FALSE),"")</f>
        <v/>
      </c>
      <c r="FF2" s="164">
        <f>COUNTIF($EM2:$EQ2,1)</f>
        <v/>
      </c>
      <c r="FG2" s="164">
        <f>COUNTIF($EM2:$EQ2,2)</f>
        <v/>
      </c>
      <c r="FH2" s="164">
        <f>COUNTIF($EM2:$EQ2,3)</f>
        <v/>
      </c>
      <c r="FI2" s="164">
        <f>COUNTIF($EM2:$EQ2,4)</f>
        <v/>
      </c>
      <c r="FJ2" s="164">
        <f>COUNTIF($EM2:$EQ2,5)</f>
        <v/>
      </c>
      <c r="FK2" s="164">
        <f>COUNTIF($EM2:$EQ2,6)</f>
        <v/>
      </c>
      <c r="FL2" s="164">
        <f>COUNTIF($FB2:$FC2,1)+IF(IFERROR(INDEX('DADOS_FORMAS'!$AS$2:$AS$21,MATCH(SUBSTITUTE(SUBSTITUTE(SUBSTITUTE($ED2,"~","~~"),"*","~*"),"?","~?"),'DADOS_FORMAS'!$AH$2:$AH$21,0)),"")="",0,IFERROR(N(VLOOKUP(SUBSTITUTE(SUBSTITUTE(SUBSTITUTE(IFERROR(INDEX('DADOS_FORMAS'!$AS$2:$AS$21,MATCH(SUBSTITUTE(SUBSTITUTE(SUBSTITUTE($ED2,"~","~~"),"*","~*"),"?","~?"),'DADOS_FORMAS'!$AH$2:$AH$21,0)),""),"~","~~"),"*","~*"),"?","~?"),'DADOS_RESTRICOES'!$M$2:$Q$54,3,FALSE)=1),0))</f>
        <v/>
      </c>
      <c r="FM2" s="164">
        <f>COUNTIF($FB2:$FC2,2)+IF(IFERROR(INDEX('DADOS_FORMAS'!$AS$2:$AS$21,MATCH(SUBSTITUTE(SUBSTITUTE(SUBSTITUTE($ED2,"~","~~"),"*","~*"),"?","~?"),'DADOS_FORMAS'!$AH$2:$AH$21,0)),"")="",0,IFERROR(N(VLOOKUP(SUBSTITUTE(SUBSTITUTE(SUBSTITUTE(IFERROR(INDEX('DADOS_FORMAS'!$AS$2:$AS$21,MATCH(SUBSTITUTE(SUBSTITUTE(SUBSTITUTE($ED2,"~","~~"),"*","~*"),"?","~?"),'DADOS_FORMAS'!$AH$2:$AH$21,0)),""),"~","~~"),"*","~*"),"?","~?"),'DADOS_RESTRICOES'!$M$2:$Q$54,3,FALSE)=2),0))</f>
        <v/>
      </c>
      <c r="FN2" s="164">
        <f>COUNTIF($EE2:$EH2,"?*")</f>
        <v/>
      </c>
      <c r="FO2" s="164">
        <f>COUNTIF($EI2:$EJ2,"?*")+$EY2</f>
        <v/>
      </c>
      <c r="FP2" s="164">
        <f>SUMPRODUCT($FF2:$FK2,INDEX($Q$2:$V$8,$EB2,0))</f>
        <v/>
      </c>
      <c r="FQ2" s="164">
        <f>$FL2*CEILING($EB2/2,1)+$FM2*$EB2</f>
        <v/>
      </c>
      <c r="FR2" s="164">
        <f>MIN(2*$EB2,$FQ2)</f>
        <v/>
      </c>
      <c r="FS2" s="164">
        <f>MIN($FR2,$FP2-IF($EM2=0,0,INDEX($Q$2:$V$8,$EB2,$EM2)))</f>
        <v/>
      </c>
      <c r="FT2" s="164">
        <f>$FR2-$FS2</f>
        <v/>
      </c>
      <c r="FU2" s="164">
        <f>3*$EB2-$FP2+$FS2</f>
        <v/>
      </c>
      <c r="FV2" s="164">
        <f>MAX(0,$FU2)+$DZ2*$EB2</f>
        <v/>
      </c>
      <c r="FW2" s="164">
        <f>(IF(COUNTIF($KW2:$KZ2,"Salto")&gt;0,1,0)+IF(COUNTIF($KW2:$KZ2,"Queima")&gt;0,1,0)+IF(COUNTIF($KW2:$KZ2,"Estilhaço")&gt;0,1,0))*FLOOR($FV2/2,1)</f>
        <v/>
      </c>
      <c r="FX2" s="164">
        <f>MAX(0,3-SUMPRODUCT($FF2:$FK2,$Q$2:$V$2)+MIN(2,$FL2*1+$FM2*1,SUMPRODUCT($FF2:$FK2,$Q$2:$V$2)-IF($EM2=0,0,INDEX($Q$2:$V$2,1,$EM2))))+$DZ2*1</f>
        <v/>
      </c>
      <c r="FY2" s="164">
        <f>MAX(0,6-SUMPRODUCT($FF2:$FK2,$Q$3:$V$3)+MIN(4,$FL2*1+$FM2*2,SUMPRODUCT($FF2:$FK2,$Q$3:$V$3)-IF($EM2=0,0,INDEX($Q$3:$V$3,1,$EM2))))+$DZ2*2</f>
        <v/>
      </c>
      <c r="FZ2" s="164">
        <f>MAX(0,9-SUMPRODUCT($FF2:$FK2,$Q$4:$V$4)+MIN(6,$FL2*2+$FM2*3,SUMPRODUCT($FF2:$FK2,$Q$4:$V$4)-IF($EM2=0,0,INDEX($Q$4:$V$4,1,$EM2))))+$DZ2*3</f>
        <v/>
      </c>
      <c r="GA2" s="164">
        <f>MAX(0,12-SUMPRODUCT($FF2:$FK2,$Q$5:$V$5)+MIN(8,$FL2*2+$FM2*4,SUMPRODUCT($FF2:$FK2,$Q$5:$V$5)-IF($EM2=0,0,INDEX($Q$5:$V$5,1,$EM2))))+$DZ2*4</f>
        <v/>
      </c>
      <c r="GB2" s="164">
        <f>MAX(0,15-SUMPRODUCT($FF2:$FK2,$Q$6:$V$6)+MIN(10,$FL2*3+$FM2*5,SUMPRODUCT($FF2:$FK2,$Q$6:$V$6)-IF($EM2=0,0,INDEX($Q$6:$V$6,1,$EM2))))+$DZ2*5</f>
        <v/>
      </c>
      <c r="GC2" s="164">
        <f>MAX(0,18-SUMPRODUCT($FF2:$FK2,$Q$7:$V$7)+MIN(12,$FL2*3+$FM2*6,SUMPRODUCT($FF2:$FK2,$Q$7:$V$7)-IF($EM2=0,0,INDEX($Q$7:$V$7,1,$EM2))))+$DZ2*6</f>
        <v/>
      </c>
      <c r="GD2" s="164">
        <f>MAX(0,21-SUMPRODUCT($FF2:$FK2,$Q$8:$V$8)+MIN(14,$FL2*4+$FM2*7,SUMPRODUCT($FF2:$FK2,$Q$8:$V$8)-IF($EM2=0,0,INDEX($Q$8:$V$8,1,$EM2))))+$DZ2*7</f>
        <v/>
      </c>
      <c r="GE2" s="164">
        <f>IF($EZ2=2,3*$FX2&amp;" de vida temp.",IF($EZ2=3,"sem dano",IF($FX2=0,IF($EZ2=1,"sem cura","sem dano"),IF($EZ2=1,"cura ","")&amp;$FX2&amp;"d8")))</f>
        <v/>
      </c>
      <c r="GF2" s="164">
        <f>IF($EZ2=2,3*$FY2&amp;" de vida temp.",IF($EZ2=3,"sem dano",IF($FY2=0,IF($EZ2=1,"sem cura","sem dano"),IF($EZ2=1,"cura ","")&amp;$FY2&amp;"d8")))</f>
        <v/>
      </c>
      <c r="GG2" s="164">
        <f>IF($EZ2=2,3*$FZ2&amp;" de vida temp.",IF($EZ2=3,"sem dano",IF($FZ2=0,IF($EZ2=1,"sem cura","sem dano"),IF($EZ2=1,"cura ","")&amp;$FZ2&amp;"d8")))</f>
        <v/>
      </c>
      <c r="GH2" s="164">
        <f>IF($EZ2=2,3*$GA2&amp;" de vida temp.",IF($EZ2=3,"sem dano",IF($GA2=0,IF($EZ2=1,"sem cura","sem dano"),IF($EZ2=1,"cura ","")&amp;$GA2&amp;"d8")))</f>
        <v/>
      </c>
      <c r="GI2" s="164">
        <f>IF($EZ2=2,3*$GB2&amp;" de vida temp.",IF($EZ2=3,"sem dano",IF($GB2=0,IF($EZ2=1,"sem cura","sem dano"),IF($EZ2=1,"cura ","")&amp;$GB2&amp;"d8")))</f>
        <v/>
      </c>
      <c r="GJ2" s="164">
        <f>IF($EZ2=2,3*$GC2&amp;" de vida temp.",IF($EZ2=3,"sem dano",IF($GC2=0,IF($EZ2=1,"sem cura","sem dano"),IF($EZ2=1,"cura ","")&amp;$GC2&amp;"d8")))</f>
        <v/>
      </c>
      <c r="GK2" s="164">
        <f>IF($EZ2=2,3*$GD2&amp;" de vida temp.",IF($EZ2=3,"sem dano",IF($GD2=0,IF($EZ2=1,"sem cura","sem dano"),IF($EZ2=1,"cura ","")&amp;$GD2&amp;"d8")))</f>
        <v/>
      </c>
      <c r="GL2" s="164">
        <f>IF($EK2=0,"",TEXTJOIN(" · ",TRUE,IF($EK2=0,"",TEXTJOIN(" · ",TRUE,IF($EK2=0,"",TEXTJOIN(" · ",TRUE,IF(AND($DZ2=1,$EA2&gt;$HM$9),"O nível "&amp;$HM$2&amp;" dá "&amp;$HM$9&amp;" Liberação Máxima",""),IF($EB2&gt;$HM$4,"Classe "&amp;$EB2&amp;": o nível "&amp;$HM$2&amp;" libera até a "&amp;$HM$4,""),IF($ER2=1,"Família Fechada: a Forma "&amp;$ED2,""),IF($ES2=1,"Família Fechada: "&amp;$EE2,""),IF($ET2=1,"Família Fechada: "&amp;$EF2,""),IF($EU2=1,"Família Fechada: "&amp;$EG2,""),IF($EV2=1,"Família Fechada: "&amp;$EH2,""),IF($FN2&gt;INDEX($W$2:$W$8,$EB2),$FN2&amp;" Melhorias: a Classe "&amp;$EB2&amp;" aceita "&amp;INDEX($W$2:$W$8,$EB2),""),IF($FO2&gt;2,$FO2&amp;" Restrições"&amp;IF($EY2=1,", contando a que a Forma "&amp;$ED2&amp;" já traz","")&amp;": o limite é 2",""),IF($FU2&lt;0,"Orçamento estourado: faltam "&amp;(-$FU2)&amp;IF($FU2&lt;-1," pontos"," ponto"),""),IF(IFERROR(VLOOKUP(SUBSTITUTE(SUBSTITUTE(SUBSTITUTE($EI2,"~","~~"),"*","~*"),"?","~?"),'DADOS_RESTRICOES'!$M$2:$Q$54,4,FALSE),0)+IFERROR(VLOOKUP(SUBSTITUTE(SUBSTITUTE(SUBSTITUTE($EJ2,"~","~~"),"*","~*"),"?","~?"),'DADOS_RESTRICOES'!$M$2:$Q$54,4,FALSE),0)&gt;1,$FD2&amp;" e "&amp;$FE2&amp;" são as duas de frequência",""),IF(AND((COUNTIF($KW2:$KZ2,"Rápido")+COUNTIF($FD2:$FE2,"Rápido"))&gt;0,(COUNTIF($EE2:$EH2,"Atrasar")+COUNTIF($FD2:$FE2,"Atrasar"))&gt;0),"Rápido não entra com Atrasar",""),IF(AND((COUNTIF($KW2:$KZ2,"Reação")+COUNTIF($FD2:$FE2,"Reação"))&gt;0,(COUNTIF($KW2:$KZ2,"Rápido")+COUNTIF($FD2:$FE2,"Rápido"))&gt;0),"Reação não entra com Rápido",""),IF(AND((COUNTIF($KW2:$KZ2,"Reação")+COUNTIF($FD2:$FE2,"Reação"))&gt;0,(COUNTIF($KW2:$KZ2,"Armado")+COUNTIF($FD2:$FE2,"Armado"))&gt;0),"Reação não entra com Armado",""),IF(AND((COUNTIF($KW2:$KZ2,"Reação")+COUNTIF($FD2:$FE2,"Reação"))&gt;0,(COUNTIF($EE2:$EH2,"Atrasar")+COUNTIF($FD2:$FE2,"Atrasar"))&gt;0),"Reação não entra com Atrasar",""),IF(AND((COUNTIF($KW2:$KZ2,"Reação")+COUNTIF($FD2:$FE2,"Reação"))&gt;0,(COUNTIF($EE2:$EH2,"Parado")+COUNTIF($FD2:$FE2,"Parado"))&gt;0),"Reação não entra com Parado",""),IF(AND((COUNTIF($EE2:$EH2,"Atrasar")+COUNTIF($FD2:$FE2,"Atrasar"))&gt;0,(COUNTIF($EE2:$EH2,"Parado")+COUNTIF($FD2:$FE2,"Parado"))&gt;0),"Atrasar não entra com Parado",""),IF(AND((COUNTIF($KW2:$KZ2,"Armado")+COUNTIF($FD2:$FE2,"Armado"))&gt;0,(COUNTIF($EE2:$EH2,"Carregar")+COUNTIF($FD2:$FE2,"Carregar"))&gt;0),"Armado não entra com Carregar",""),IF(AND(COUNTIF($FD2:$FE2,"Corpo a Corpo")&gt;0,$EY2=0,OR($LB2="Cone",$LB2="Linha")),"Corpo a Corpo não entra em "&amp;$ED2,""),IF(AND(COUNTIF($FD2:$FE2,"Corpo a Corpo")&gt;0,$LC2="Corpo a Corpo"),"A Forma "&amp;$ED2&amp;" já traz o Corpo a Corpo",""),IF(AND(COUNTIF($FD2:$FE2,"Tudo ou Nada")&gt;0,$FA2=0),"Tudo ou Nada só entra em feitiço de Teste de Resistência",""),IF(AND(COUNTIF($KW2:$KZ2,"Inescapável")&gt;0,OR($FN2&gt;1,$FO2&gt;0)),"Inescapável não aceita outra peça",""),IF(AND($DZ2=1,$EB2&lt;3),"Liberação Máxima é de Classe 3 ou mais",""),IF(AND($DZ2=1,OR($EZ2=1,$EZ2=2)),"Liberação Máxima não serve para cura",""),IF(AND($DZ2=1,COUNTIF($KW2:$KZ2,"Inescapável")+COUNTIF($KW2:$KZ2,"Toca a Alma")&gt;0),"Esta peça não entra numa Liberação Máxima",""),IF($FV2*IF(COUNTIF($KW2:$KZ2,"Remate")&gt;0,1.25,1)+$FW2&gt;4*$EB2,($FV2*IF(COUNTIF($KW2:$KZ2,"Remate")&gt;0,1.25,1)+$FW2)&amp;" dados somando repetições"&amp;IF(COUNTIF($KW2:$KZ2,"Remate")&gt;0," e o Remate","")&amp;": o teto da Classe "&amp;$EB2&amp;" é "&amp;4*$EB2,""))),IF(AND($EE2&lt;&gt;"",COUNTIF('DADOS_MELHORIAS'!$O$2:$O$113,SUBSTITUTE(SUBSTITUTE(SUBSTITUTE($EE2,"~","~~"),"*","~*"),"?","~?"))=0),"Melhoria não cadastrada ou com erro: "&amp;$EE2,""),IF(AND($EF2&lt;&gt;"",COUNTIF('DADOS_MELHORIAS'!$O$2:$O$113,SUBSTITUTE(SUBSTITUTE(SUBSTITUTE($EF2,"~","~~"),"*","~*"),"?","~?"))=0),"Melhoria não cadastrada ou com erro: "&amp;$EF2,""),IF(AND($EG2&lt;&gt;"",COUNTIF('DADOS_MELHORIAS'!$O$2:$O$113,SUBSTITUTE(SUBSTITUTE(SUBSTITUTE($EG2,"~","~~"),"*","~*"),"?","~?"))=0),"Melhoria não cadastrada ou com erro: "&amp;$EG2,""),IF(AND($EH2&lt;&gt;"",COUNTIF('DADOS_MELHORIAS'!$O$2:$O$113,SUBSTITUTE(SUBSTITUTE(SUBSTITUTE($EH2,"~","~~"),"*","~*"),"?","~?"))=0),"Melhoria não cadastrada ou com erro: "&amp;$EH2,""),IF(AND($EI2&lt;&gt;"",COUNTIF('DADOS_RESTRICOES'!$M$2:$M$54,SUBSTITUTE(SUBSTITUTE(SUBSTITUTE($EI2,"~","~~"),"*","~*"),"?","~?"))=0),"Restrição não cadastrada ou com erro: "&amp;$EI2,""),IF(AND($EJ2&lt;&gt;"",COUNTIF('DADOS_RESTRICOES'!$M$2:$M$54,SUBSTITUTE(SUBSTITUTE(SUBSTITUTE($EJ2,"~","~~"),"*","~*"),"?","~?"))=0),"Restrição não cadastrada ou com erro: "&amp;$EJ2,""))),IF(AND($ED2&lt;&gt;"",COUNTIF('DADOS_FORMAS'!$AH$2:$AH$21,SUBSTITUTE(SUBSTITUTE(SUBSTITUTE($ED2,"~","~~"),"*","~*"),"?","~?"))=0),"Forma não cadastrada ou com erro: "&amp;$ED2,""),IF(AND(IFERROR(INDEX('DADOS_FORMAS'!$AS$2:$AS$21,MATCH(SUBSTITUTE(SUBSTITUTE(SUBSTITUTE($ED2,"~","~~"),"*","~*"),"?","~?"),'DADOS_FORMAS'!$AH$2:$AH$21,0)),"")&lt;&gt;"",OR(IFERROR(VLOOKUP(SUBSTITUTE(SUBSTITUTE(SUBSTITUTE(IFERROR(INDEX('DADOS_FORMAS'!$AS$2:$AS$21,MATCH(SUBSTITUTE(SUBSTITUTE(SUBSTITUTE($ED2,"~","~~"),"*","~*"),"?","~?"),'DADOS_FORMAS'!$AH$2:$AH$21,0)),""),"~","~~"),"*","~*"),"?","~?"),'DADOS_RESTRICOES'!$M$2:$Q$54,2,FALSE),"")=$FD2,IFERROR(VLOOKUP(SUBSTITUTE(SUBSTITUTE(SUBSTITUTE(IFERROR(INDEX('DADOS_FORMAS'!$AS$2:$AS$21,MATCH(SUBSTITUTE(SUBSTITUTE(SUBSTITUTE($ED2,"~","~~"),"*","~*"),"?","~?"),'DADOS_FORMAS'!$AH$2:$AH$21,0)),""),"~","~~"),"*","~*"),"?","~?"),'DADOS_RESTRICOES'!$M$2:$Q$54,2,FALSE),"")=$FE2)),"Restrição repetida, contando a embutida",""),IF(IF(IFERROR(INDEX('DADOS_FORMAS'!$AS$2:$AS$21,MATCH(SUBSTITUTE(SUBSTITUTE(SUBSTITUTE($ED2,"~","~~"),"*","~*"),"?","~?"),'DADOS_FORMAS'!$AH$2:$AH$21,0)),"")="",0,IFERROR(N(VLOOKUP(SUBSTITUTE(SUBSTITUTE(SUBSTITUTE(IFERROR(INDEX('DADOS_FORMAS'!$AS$2:$AS$21,MATCH(SUBSTITUTE(SUBSTITUTE(SUBSTITUTE($ED2,"~","~~"),"*","~*"),"?","~?"),'DADOS_FORMAS'!$AH$2:$AH$21,0)),""),"~","~~"),"*","~*"),"?","~?"),'DADOS_RESTRICOES'!$M$2:$Q$54,4,FALSE)=1),0))+IF($EI2="",0,IFERROR(N(VLOOKUP(SUBSTITUTE(SUBSTITUTE(SUBSTITUTE($EI2,"~","~~"),"*","~*"),"?","~?"),'DADOS_RESTRICOES'!$M$2:$Q$54,4,FALSE)=1),0))+IF($EJ2="",0,IFERROR(N(VLOOKUP(SUBSTITUTE(SUBSTITUTE(SUBSTITUTE($EJ2,"~","~~"),"*","~*"),"?","~?"),'DADOS_RESTRICOES'!$M$2:$Q$54,4,FALSE)=1),0))&gt;1,"Duas Restrições de frequência, contando a embutida",""),IF(AND(IFERROR(VLOOKUP(SUBSTITUTE(SUBSTITUTE(SUBSTITUTE(IFERROR(INDEX('DADOS_FORMAS'!$AS$2:$AS$21,MATCH(SUBSTITUTE(SUBSTITUTE(SUBSTITUTE($ED2,"~","~~"),"*","~*"),"?","~?"),'DADOS_FORMAS'!$AH$2:$AH$21,0)),""),"~","~~"),"*","~*"),"?","~?"),'DADOS_RESTRICOES'!$M$2:$Q$54,2,FALSE),"")="Tudo ou Nada",$FA2=0),"Tudo ou Nada exige TR",""),IF(AND(IFERROR(VLOOKUP(SUBSTITUTE(SUBSTITUTE(SUBSTITUTE(IFERROR(INDEX('DADOS_FORMAS'!$AS$2:$AS$21,MATCH(SUBSTITUTE(SUBSTITUTE(SUBSTITUTE($ED2,"~","~~"),"*","~*"),"?","~?"),'DADOS_FORMAS'!$AH$2:$AH$21,0)),""),"~","~~"),"*","~*"),"?","~?"),'DADOS_RESTRICOES'!$M$2:$Q$54,2,FALSE),"")="Corpo a Corpo",OR($LB2="Cone",$LB2="Linha")),"Corpo a Corpo não entra em Cone/Linha","")))</f>
        <v/>
      </c>
      <c r="GM2" s="164">
        <f>IF($GL2="",0,(LEN($GL2)-LEN(SUBSTITUTE($GL2," · ","")))/3+1)</f>
        <v/>
      </c>
      <c r="GN2" s="164">
        <f>IF($EK2=0,"",TEXTJOIN(" · ",TRUE,IF($FQ2&gt;2*$EB2,"A devolução parou no teto de "&amp;2*$EB2,""),IF($FT2&gt;0,"Devolução perdida: "&amp;$FT2&amp;IF($FT2&gt;1," pontos"," ponto")&amp;" sem Melhoria para pagar",""),IF(AND($EW2&gt;0,$FV2=0),"Controle sem dano: uma rodada a mais e CD +2",""),IF(AND($EW2&gt;0,$FV2&gt;0,$FV2&lt;=$EB2),"Controle com saldo até a Classe: uma rodada a mais","")))</f>
        <v/>
      </c>
      <c r="GO2" s="164">
        <f>IF($GN2="",0,(LEN($GN2)-LEN(SUBSTITUTE($GN2," · ","")))/3+1)</f>
        <v/>
      </c>
      <c r="GP2" s="164">
        <f>IF($EK2=0,IF($FN2+$FO2-$EY2&gt;0,"Dê um nome",""),IF($GM2&gt;0,"⚠ "&amp;$GM2&amp;IF($GM2&gt;1," erros"," erro"),IF($GO2&gt;0,"! "&amp;$GO2&amp;IF($GO2&gt;1," avisos"," aviso"),"Na regra")))</f>
        <v/>
      </c>
      <c r="GQ2" s="164">
        <f>IF($EK2=0,"",IF($GM2+$GO2=0,"Dentro das regras que a ficha confere",$GL2&amp;IF(AND($GM2&gt;0,$GO2&gt;0)," · ","")&amp;$GN2))</f>
        <v/>
      </c>
      <c r="GR2" s="164">
        <f>IF($EK2=0,"",IF($DZ2=1,CEILING(4.5*$EB2,1),3*$EB2)&amp;" PE")</f>
        <v/>
      </c>
      <c r="GS2" s="164">
        <f>IF($EK2=0,"",IF($DZ2=1,"Rodada inteira",IF(COUNTIF($LD2:$LF2,"Atrasar")&gt;0,IF(COUNTIF($LD2:$LF2,"Carregar")&gt;0,"Rodada +1 turno","Rodada inteira"),IF(COUNTIF($KW2:$KZ2,"Rápido")&gt;0,"Bônus",IF(COUNTIF($KW2:$KZ2,"Reação")&gt;0,"Reação","Padrão"))&amp;IF(COUNTIF($LD2:$LF2,"Carregar")&gt;0," +1 turno",""))))</f>
        <v/>
      </c>
      <c r="GT2" s="164">
        <f>IF(OR($EK2=0,$EL2=0),"",IF(COUNTIF($KW2:$KZ2,"Inescapável")&gt;0,"Automático",IF(COUNTIF($KW2:$KZ2,"Certeiro")&gt;0,"TR para metade",IF(AND($EX2&gt;0,$FA2=0,INDEX('DADOS_FORMAS'!$FQ$2:$FQ$21,$EL2)="Acerto"),"Acerto + TR",INDEX('DADOS_FORMAS'!$FQ$2:$FQ$21,$EL2)))))</f>
        <v/>
      </c>
      <c r="GU2" s="164">
        <f>IF(OR($EK2=0,$EL2=0),"",IF(OR($EZ2&gt;=2,$FV2=0),UPPER(LEFT(INDEX($GE2:$GK2,1,$EB2),1))&amp;MID(INDEX($GE2:$GK2,1,$EB2),2,99),UPPER(LEFT(INDEX($GE2:$GK2,1,$EB2),1))&amp;MID(INDEX($GE2:$GK2,1,$EB2),2,99)&amp;" = "&amp;FLOOR($FV2*4.5,1)&amp;IF($FW2&gt;0," · +"&amp;$FW2&amp;"d8","")))</f>
        <v/>
      </c>
      <c r="GV2" s="164">
        <f>COUNTIF($KW2:$KZ2,"Longe")+3*COUNTIF($KW2:$KZ2,"Muito Longe")</f>
        <v/>
      </c>
      <c r="GW2" s="164">
        <f>COUNTIF($KW2:$KZ2,"Maior")+3*COUNTIF($KW2:$KZ2,"Muito Maior")</f>
        <v/>
      </c>
      <c r="GX2" s="164">
        <f>IF($EL2=0,0,CHOOSE(1+INDEX('DADOS_FORMAS'!$FS$2:$FS$21,$EL2),0,$GV2,$GW2,$GV2+$GW2))</f>
        <v/>
      </c>
      <c r="GY2" s="164">
        <f>IF($EL2=0,0,CHOOSE(1+INDEX('DADOS_FORMAS'!$FT$2:$FT$21,$EL2),0,$GV2,$GW2,$GV2+$GW2))</f>
        <v/>
      </c>
      <c r="GZ2" s="164">
        <f>IF(OR($EK2=0,$EL2=0),"",INDEX('DADOS_FORMAS'!$GZ$2:$HE$61,($EL2-1)*3+IF($EB2&gt;=6,3,2),1+MIN(5,$GX2))&amp;INDEX('DADOS_FORMAS'!$HF$2:$HK$61,($EL2-1)*3+IF($EB2&gt;=6,3,2),1+MIN(5,$GY2))&amp;IF(INDEX('DADOS_FORMAS'!$FU$2:$FU$21,$EL2)=1,IF(COUNTIF($KW2:$KZ2,"Mais Um")&gt;0," · +"&amp;COUNTIF($KW2:$KZ2,"Mais Um")&amp;IF(COUNTIF($KW2:$KZ2,"Mais Um")&gt;1," alvos"," alvo"),"")&amp;IF(COUNTIF($KW2:$KZ2,"Rajada")&gt;0," · "&amp;($EB2+1)&amp;" tiros",""),""))</f>
        <v/>
      </c>
      <c r="HA2" s="164">
        <f>IF($EK2=0,"",3*$EB2&amp;" − "&amp;$FP2&amp;" + "&amp;$FS2&amp;IF($DZ2=1," + "&amp;$EB2,"")&amp;" = "&amp;$FV2&amp;"d8 · teto "&amp;4*$EB2&amp;IF($EY2=1," · a Forma devolve "&amp;$EB2,"")&amp;IF($FT2&gt;0," · perde "&amp;$FT2,""))</f>
        <v/>
      </c>
      <c r="HB2" s="164">
        <f>IF($EK2=0,"",IF($EB2&gt;=$HM$4,"Já está na maior Classe que o nível liberou",TEXTJOIN(" · ",TRUE,IF(AND(2&gt;$EB2,2&lt;=$HM$4),"2 → "&amp;$GF2&amp;", "&amp;IF($DZ2=1,9,6)&amp;" PE",""),IF(AND(3&gt;$EB2,3&lt;=$HM$4),"3 → "&amp;$GG2&amp;", "&amp;IF($DZ2=1,14,9)&amp;" PE",""),IF(AND(4&gt;$EB2,4&lt;=$HM$4),"4 → "&amp;$GH2&amp;", "&amp;IF($DZ2=1,18,12)&amp;" PE",""),IF(AND(5&gt;$EB2,5&lt;=$HM$4),"5 → "&amp;$GI2&amp;", "&amp;IF($DZ2=1,23,15)&amp;" PE",""),IF(AND(6&gt;$EB2,6&lt;=$HM$4),"6 → "&amp;$GJ2&amp;", "&amp;IF($DZ2=1,27,18)&amp;" PE",""),IF(AND(7&gt;$EB2,7&lt;=$HM$4),"7 → "&amp;$GK2&amp;", "&amp;IF($DZ2=1,32,21)&amp;" PE",""))))</f>
        <v/>
      </c>
      <c r="HC2" s="164">
        <f>IF(OR($EK2=0,$EN2=0),"","−"&amp;INDEX($Q$2:$V$8,$EB2,$EN2)&amp;" · "&amp;CHOOSE($EN2,"Leve","Média","Pesada","Leve · Livre","Média · Livre","Pesada · Livre"))</f>
        <v/>
      </c>
      <c r="HD2" s="164">
        <f>IF(OR($EK2=0,$EO2=0),"","−"&amp;INDEX($Q$2:$V$8,$EB2,$EO2)&amp;" · "&amp;CHOOSE($EO2,"Leve","Média","Pesada","Leve · Livre","Média · Livre","Pesada · Livre"))</f>
        <v/>
      </c>
      <c r="HE2" s="164">
        <f>IF(OR($EK2=0,$EP2=0),"","−"&amp;INDEX($Q$2:$V$8,$EB2,$EP2)&amp;" · "&amp;CHOOSE($EP2,"Leve","Média","Pesada","Leve · Livre","Média · Livre","Pesada · Livre"))</f>
        <v/>
      </c>
      <c r="HF2" s="164">
        <f>IF(OR($EK2=0,$EQ2=0),"","−"&amp;INDEX($Q$2:$V$8,$EB2,$EQ2)&amp;" · "&amp;CHOOSE($EQ2,"Leve","Média","Pesada","Leve · Livre","Média · Livre","Pesada · Livre"))</f>
        <v/>
      </c>
      <c r="HG2" s="164">
        <f>IF(OR($EK2=0,$EI2=""),"","+"&amp;IF($FB2=1,CEILING($EB2/2,1),$EB2))</f>
        <v/>
      </c>
      <c r="HH2" s="164">
        <f>IF(OR($EK2=0,$EJ2=""),"","+"&amp;IF($FC2=1,CEILING($EB2/2,1),$EB2))</f>
        <v/>
      </c>
      <c r="HI2" s="164">
        <f>'FICHA AMALDIÇOADA'!$D$66&amp;""</f>
        <v/>
      </c>
      <c r="HJ2" s="164">
        <f>IF(AND($EK2=1,$DZ2=0),COUNTIFS($EK$2:$EK2,1,$DZ$2:$DZ2,0),"")</f>
        <v/>
      </c>
      <c r="HL2" s="162" t="inlineStr">
        <is>
          <t>nível</t>
        </is>
      </c>
      <c r="HM2" s="164">
        <f>N(FICHA!$AH$11)</f>
        <v/>
      </c>
      <c r="HO2" s="162" t="inlineStr">
        <is>
          <t>Talento 1</t>
        </is>
      </c>
      <c r="HP2" s="164">
        <f>'FICHA AMALDIÇOADA'!$D$392&amp;""</f>
        <v/>
      </c>
      <c r="HQ2" s="164">
        <f>IFERROR(VLOOKUP(SUBSTITUTE(SUBSTITUTE(SUBSTITUTE($HP2,"~","~~"),"*","~*"),"?","~?"),'DADOS_TALENTOS'!$AQ$2:$AW$34,2,FALSE),0)</f>
        <v/>
      </c>
      <c r="HR2" s="164">
        <f>IFERROR(VLOOKUP($HQ2,$CA$2:$CB$4,2,FALSE),0)</f>
        <v/>
      </c>
      <c r="HS2" s="164">
        <f>IFERROR(VLOOKUP(SUBSTITUTE(SUBSTITUTE(SUBSTITUTE($HP2,"~","~~"),"*","~*"),"?","~?"),'DADOS_TALENTOS'!$AQ$2:$AW$34,3,FALSE),"")</f>
        <v/>
      </c>
      <c r="HT2" s="164">
        <f>IF($HQ2=0,"",IF($HR2&gt;$HM$2,"⚠ Nível "&amp;$HR2,"CE "&amp;$HQ2))&amp;IF('DADOS_AM'!$LO2="",""," · ⚠ "&amp;'DADOS_AM'!$LO2)</f>
        <v/>
      </c>
      <c r="HU2" s="164">
        <f>IF($HQ2=0,"",$HQ2&amp;" esp.")</f>
        <v/>
      </c>
      <c r="HV2" s="164">
        <f>'FICHA AMALDIÇOADA'!$E$397&amp;""</f>
        <v/>
      </c>
      <c r="HW2" s="164">
        <f>IF($HP2="","",COUNTIF($HP$2:$HP2,"?*"))</f>
        <v/>
      </c>
      <c r="HY2" s="162" t="inlineStr">
        <is>
          <t>Aptidão 1</t>
        </is>
      </c>
      <c r="HZ2" s="164">
        <f>'FICHA AMALDIÇOADA'!$D$443&amp;""</f>
        <v/>
      </c>
      <c r="IA2" s="164">
        <f>IF($HZ2="","","Requisito: "&amp;IFERROR(VLOOKUP(SUBSTITUTE(SUBSTITUTE(SUBSTITUTE($HZ2,"~","~~"),"*","~*"),"?","~?"),'DADOS_APTIDOES'!$BF$2:$BO$45,2,FALSE),""))&amp;IF($LK2="",""," · ⚠ "&amp;$LK2)</f>
        <v/>
      </c>
      <c r="IB2" s="164">
        <f>IF($HZ2="","",IFERROR(IF(ISNUMBER(VLOOKUP(SUBSTITUTE(SUBSTITUTE(SUBSTITUTE($HZ2,"~","~~"),"*","~*"),"?","~?"),'DADOS_APTIDOES'!$BF$2:$BO$45,3,FALSE)),"CE "&amp;VLOOKUP(SUBSTITUTE(SUBSTITUTE(SUBSTITUTE($HZ2,"~","~~"),"*","~*"),"?","~?"),'DADOS_APTIDOES'!$BF$2:$BO$45,3,FALSE),VLOOKUP(SUBSTITUTE(SUBSTITUTE(SUBSTITUTE($HZ2,"~","~~"),"*","~*"),"?","~?"),'DADOS_APTIDOES'!$BF$2:$BO$45,3,FALSE)),""))</f>
        <v/>
      </c>
      <c r="IC2" s="164">
        <f>IF($HZ2="","",IFERROR(VLOOKUP(SUBSTITUTE(SUBSTITUTE(SUBSTITUTE($HZ2,"~","~~"),"*","~*"),"?","~?"),'DADOS_APTIDOES'!$BF$2:$BO$45,4,FALSE),""))</f>
        <v/>
      </c>
      <c r="ID2" s="164">
        <f>IF($HZ2="","",IFERROR(VLOOKUP(SUBSTITUTE(SUBSTITUTE(SUBSTITUTE($HZ2,"~","~~"),"*","~*"),"?","~?"),'DADOS_APTIDOES'!$BF$2:$BO$45,5,FALSE),""))</f>
        <v/>
      </c>
      <c r="IE2" s="164">
        <f>'FICHA AMALDIÇOADA'!$E$460&amp;""</f>
        <v/>
      </c>
      <c r="IF2" s="164">
        <f>IF($HZ2="","",COUNTIF($HZ$2:$HZ2,"?*"))</f>
        <v/>
      </c>
      <c r="IH2" s="162" t="inlineStr">
        <is>
          <t>Classe 0 · 1</t>
        </is>
      </c>
      <c r="II2" s="164">
        <f>'FICHA AMALDIÇOADA'!$F$323&amp;""</f>
        <v/>
      </c>
      <c r="IJ2" s="164">
        <f>'FICHA AMALDIÇOADA'!$J$323&amp;""</f>
        <v/>
      </c>
      <c r="IK2" s="164">
        <f>'FICHA AMALDIÇOADA'!$L$323&amp;""</f>
        <v/>
      </c>
      <c r="IL2" s="164">
        <f>IFERROR(MATCH(SUBSTITUTE(SUBSTITUTE(SUBSTITUTE($II2,"~","~~"),"*","~*"),"?","~?"),'DADOS_FORMAS'!$FJ$2:$FJ$21,0),0)</f>
        <v/>
      </c>
      <c r="IM2" s="164">
        <f>$HM$11-IF(AND($IJ2&lt;&gt;"",$IK2=""),1,0)</f>
        <v/>
      </c>
      <c r="IN2" s="164">
        <f>IF(1&gt;$HM$10,"Nível 1",IF($IL2=0,"",IF(INDEX('DADOS_FORMAS'!$FP$2:$FP$21,$IL2)&gt;=2,"—",$IM2&amp;"d8 = "&amp;FLOOR($IM2*4.5,1))))</f>
        <v/>
      </c>
      <c r="IO2" s="164">
        <f>IF(OR(1&gt;$HM$10,$IL2=0),"",INDEX('DADOS_FORMAS'!$GZ$2:$HE$61,($IL2-1)*3+1,1+IF(OR(AND($LA2="Longe",INDEX('DADOS_FORMAS'!$FS$2:$FS$21,$IL2)&lt;&gt;2),AND($LA2="Maior",INDEX('DADOS_FORMAS'!$FS$2:$FS$21,$IL2)&gt;=2)),1,0))&amp;INDEX('DADOS_FORMAS'!$HF$2:$HK$61,($IL2-1)*3+1,1+IF(AND($LA2="Longe",INDEX('DADOS_FORMAS'!$FT$2:$FT$21,$IL2)=1),1,0)))</f>
        <v/>
      </c>
      <c r="IQ2" s="162" t="inlineStr">
        <is>
          <t>Técnica</t>
        </is>
      </c>
      <c r="IR2" s="164">
        <f>ADDRESS(ROW('FICHA AMALDIÇOADA'!D7),COLUMN('FICHA AMALDIÇOADA'!D7),4)</f>
        <v/>
      </c>
      <c r="IS2" s="164">
        <f>ADDRESS(ROW('FICHA AMALDIÇOADA'!D9),COLUMN('FICHA AMALDIÇOADA'!D9),4)</f>
        <v/>
      </c>
      <c r="IT2" s="162" t="inlineStr">
        <is>
          <t>DADOS_AM!$IQ$2</t>
        </is>
      </c>
      <c r="IV2" s="162" t="inlineStr">
        <is>
          <t>Caminho 2</t>
        </is>
      </c>
      <c r="IW2" s="164" t="n">
        <v>2</v>
      </c>
      <c r="IX2" s="164">
        <f>IF($HM$2&gt;=2,"Nível 2","Abre no 2")</f>
        <v/>
      </c>
      <c r="IY2" s="164">
        <f>ADDRESS(ROW(FICHA!G134),COLUMN(FICHA!G134),4)</f>
        <v/>
      </c>
      <c r="IZ2" s="164">
        <f>ADDRESS(ROW(FICHA!D135),COLUMN(FICHA!D135),4)</f>
        <v/>
      </c>
      <c r="JB2" s="162" t="inlineStr">
        <is>
          <t>Caminho · Anotações</t>
        </is>
      </c>
      <c r="JC2" s="164">
        <f>ADDRESS(ROW(FICHA!D165),COLUMN(FICHA!D165),4)</f>
        <v/>
      </c>
      <c r="JE2" s="162" t="inlineStr">
        <is>
          <t>Caminho</t>
        </is>
      </c>
      <c r="JF2" s="164">
        <f>"CAMINHO"&amp;IF(OR(FICHA!$D$11="",LEFT(FICHA!$D$11,7)="Escolha"),"","  ·  "&amp;UPPER(FICHA!$D$11))&amp;"  ·  CINCO NÍVEIS"</f>
        <v/>
      </c>
      <c r="JH2" s="164" t="n">
        <v>1</v>
      </c>
      <c r="JI2" s="164">
        <f>IFERROR(MATCH(1,$HJ$2:$HJ$37,0),0)</f>
        <v/>
      </c>
      <c r="JJ2" s="164">
        <f>IF($JI2=0,"",INDEX($EB$2:$EB$37,$JI2))</f>
        <v/>
      </c>
      <c r="JK2" s="164">
        <f>IF($JI2=0,"",INDEX($EC$2:$EC$37,$JI2))</f>
        <v/>
      </c>
      <c r="JL2" s="164">
        <f>IF($JI2=0,"",INDEX($GR$2:$GR$37,$JI2))</f>
        <v/>
      </c>
      <c r="JM2" s="164">
        <f>IF($JI2=0,"",INDEX($ED$2:$ED$37,$JI2))</f>
        <v/>
      </c>
      <c r="JN2" s="164">
        <f>IF($JI2=0,"",INDEX($GT$2:$GT$37,$JI2))</f>
        <v/>
      </c>
      <c r="JO2" s="164">
        <f>IF($JI2=0,"",INDEX($HI$2:$HI$37,$JI2))</f>
        <v/>
      </c>
      <c r="JQ2" s="164" t="n">
        <v>1</v>
      </c>
      <c r="JR2" s="164">
        <f>IF($EK$38=0,"",$EB$38)</f>
        <v/>
      </c>
      <c r="JS2" s="164">
        <f>IF($EK$38=0,"",$EC$38)</f>
        <v/>
      </c>
      <c r="JT2" s="164">
        <f>IF($EK$38=0,"",$GR$38)</f>
        <v/>
      </c>
      <c r="JU2" s="164">
        <f>IF($EK$38=0,"",$ED$38)</f>
        <v/>
      </c>
      <c r="JV2" s="164">
        <f>IF($EK$38=0,"",$GT$38)</f>
        <v/>
      </c>
      <c r="JW2" s="164">
        <f>IF($EK$38=0,"",$HI$38)</f>
        <v/>
      </c>
      <c r="JY2" s="162" t="inlineStr">
        <is>
          <t>Técnica Máxima</t>
        </is>
      </c>
      <c r="JZ2" s="164">
        <f>'FICHA AMALDIÇOADA'!$D$356&amp;""</f>
        <v/>
      </c>
      <c r="KA2" s="164">
        <f>IF('FICHA AMALDIÇOADA'!$D$356="","",IF(ISNUMBER('FICHA AMALDIÇOADA'!$P$356),'FICHA AMALDIÇOADA'!$P$356&amp;" PE",'FICHA AMALDIÇOADA'!$P$356&amp;""))</f>
        <v/>
      </c>
      <c r="KB2" s="164">
        <f>IF('FICHA AMALDIÇOADA'!$D$356="","",'FICHA AMALDIÇOADA'!$J$356&amp;"")</f>
        <v/>
      </c>
      <c r="KC2" s="164">
        <f>IF('FICHA AMALDIÇOADA'!$D$356="","",IFERROR(VLOOKUP(SUBSTITUTE(SUBSTITUTE(SUBSTITUTE('FICHA AMALDIÇOADA'!$J$356,"~","~~"),"*","~*"),"?","~?"),'DADOS_FORMAS'!$FJ$2:$FX$21,8,FALSE),""))</f>
        <v/>
      </c>
      <c r="KD2" s="164">
        <f>'FICHA AMALDIÇOADA'!$D$362&amp;""</f>
        <v/>
      </c>
      <c r="KF2" s="162" t="inlineStr">
        <is>
          <t>Expressão da técnica</t>
        </is>
      </c>
      <c r="KG2" s="164" t="n">
        <v>0</v>
      </c>
      <c r="KH2" s="162" t="inlineStr">
        <is>
          <t>Livre</t>
        </is>
      </c>
      <c r="KI2" s="162" t="inlineStr">
        <is>
          <t>Expressão da técnica</t>
        </is>
      </c>
      <c r="KJ2" s="164">
        <f>'FICHA AMALDIÇOADA'!$L$29&amp;""</f>
        <v/>
      </c>
      <c r="KL2" s="162" t="inlineStr">
        <is>
          <t>De graça 1</t>
        </is>
      </c>
      <c r="KM2" s="164" t="n">
        <v>0</v>
      </c>
      <c r="KN2" s="162" t="inlineStr">
        <is>
          <t>—</t>
        </is>
      </c>
      <c r="KO2" s="164">
        <f>INDEX($D$9:$G$9,1,$A$2)</f>
        <v/>
      </c>
      <c r="KP2" s="164">
        <f>'FICHA AMALDIÇOADA'!$J$437&amp;" · "&amp;INDEX($D$11:$G$11,1,$A$2)&amp;": "&amp;'FICHA AMALDIÇOADA'!$P$437&amp;". "&amp;"Do livro: "&amp;IFERROR(VLOOKUP(SUBSTITUTE(SUBSTITUTE(SUBSTITUTE($KO2,"~","~~"),"*","~*"),"?","~?"),'DADOS_APTIDOES'!$BF$2:$BO$45,10,FALSE),"")</f>
        <v/>
      </c>
      <c r="KR2" s="162" t="inlineStr">
        <is>
          <t>título</t>
        </is>
      </c>
      <c r="KS2" s="164">
        <f>"MENU RÁPIDO · "&amp;UPPER(INDEX($D$3:$G$3,1,$A$2))&amp;", TALENTOS E "&amp;UPPER(INDEX($D$6:$G$6,1,$A$2))</f>
        <v/>
      </c>
      <c r="KU2" s="162" t="inlineStr">
        <is>
          <t>D12</t>
        </is>
      </c>
      <c r="KV2" s="164">
        <f>CARTEIRA!$O$27&amp;""</f>
        <v/>
      </c>
      <c r="KW2">
        <f>IF($EE2="","",IFERROR(VLOOKUP(SUBSTITUTE(SUBSTITUTE(SUBSTITUTE($EE2,"~","~~"),"*","~*"),"?","~?"),'DADOS_MELHORIAS'!$O$2:$X$113,10,FALSE),$EE2))</f>
        <v/>
      </c>
      <c r="KX2">
        <f>IF($EF2="","",IFERROR(VLOOKUP(SUBSTITUTE(SUBSTITUTE(SUBSTITUTE($EF2,"~","~~"),"*","~*"),"?","~?"),'DADOS_MELHORIAS'!$O$2:$X$113,10,FALSE),$EF2))</f>
        <v/>
      </c>
      <c r="KY2">
        <f>IF($EG2="","",IFERROR(VLOOKUP(SUBSTITUTE(SUBSTITUTE(SUBSTITUTE($EG2,"~","~~"),"*","~*"),"?","~?"),'DADOS_MELHORIAS'!$O$2:$X$113,10,FALSE),$EG2))</f>
        <v/>
      </c>
      <c r="KZ2">
        <f>IF($EH2="","",IFERROR(VLOOKUP(SUBSTITUTE(SUBSTITUTE(SUBSTITUTE($EH2,"~","~~"),"*","~*"),"?","~?"),'DADOS_MELHORIAS'!$O$2:$X$113,10,FALSE),$EH2))</f>
        <v/>
      </c>
      <c r="LA2">
        <f>IF($IJ2="","",IFERROR(VLOOKUP(SUBSTITUTE(SUBSTITUTE(SUBSTITUTE($IJ2,"~","~~"),"*","~*"),"?","~?"),'DADOS_MELHORIAS'!$O$2:$X$113,10,FALSE),$IJ2))</f>
        <v/>
      </c>
      <c r="LB2">
        <f>IFERROR(INDEX('DADOS_FORMAS'!$BJ$2:$BJ$21,MATCH(SUBSTITUTE(SUBSTITUTE(SUBSTITUTE($ED2,"~","~~"),"*","~*"),"?","~?"),'DADOS_FORMAS'!$AH$2:$AH$21,0)),"")</f>
        <v/>
      </c>
      <c r="LC2">
        <f>IFERROR(VLOOKUP(SUBSTITUTE(SUBSTITUTE(SUBSTITUTE(IFERROR(INDEX('DADOS_FORMAS'!$AS$2:$AS$21,MATCH(SUBSTITUTE(SUBSTITUTE(SUBSTITUTE($ED2,"~","~~"),"*","~*"),"?","~?"),'DADOS_FORMAS'!$AH$2:$AH$21,0)),""),"~","~~"),"*","~*"),"?","~?"),'DADOS_RESTRICOES'!$M$2:$Q$54,2,FALSE),"")</f>
        <v/>
      </c>
      <c r="LD2">
        <f>$FD2</f>
        <v/>
      </c>
      <c r="LE2">
        <f>$FE2</f>
        <v/>
      </c>
      <c r="LF2">
        <f>$LC2</f>
        <v/>
      </c>
      <c r="LH2">
        <f>'FICHA AMALDIÇOADA'!$D$443&amp;""</f>
        <v/>
      </c>
      <c r="LI2">
        <f>IF($LH2="","",IF(IFERROR(INDEX('DADOS_APTIDOES'!$X$2:$X$45,MATCH(SUBSTITUTE(SUBSTITUTE(SUBSTITUTE($LH2,"~","~~"),"*","~*"),"?","~?"),'DADOS_APTIDOES'!$O$2:$O$45,0)),"")="",$LH2,IFERROR(INDEX('DADOS_APTIDOES'!$X$2:$X$45,MATCH(SUBSTITUTE(SUBSTITUTE(SUBSTITUTE($LH2,"~","~~"),"*","~*"),"?","~?"),'DADOS_APTIDOES'!$O$2:$O$45,0)),"")))</f>
        <v/>
      </c>
      <c r="LJ2">
        <f>IF(LEFT($LI2,16)="Aptidão Própria (","Aptidão Própria",IF(LEFT($LI2,15)="Bênção Própria (","Bênção Própria",$LI2))</f>
        <v/>
      </c>
      <c r="LK2">
        <f>IF($LH2="","",TEXTJOIN(" · ",TRUE,$LP2:$MI2))</f>
        <v/>
      </c>
      <c r="LL2">
        <f>IF($LH2="",0,IF(IFERROR(INDEX('DADOS_APTIDOES'!$W$2:$W$45,MATCH(SUBSTITUTE(SUBSTITUTE(SUBSTITUTE($LH2,"~","~~"),"*","~*"),"?","~?"),'DADOS_APTIDOES'!$O$2:$O$45,0)),"")="Gratuita",0,1))</f>
        <v/>
      </c>
      <c r="LO2">
        <f>IF('FICHA AMALDIÇOADA'!$D$392="","",TEXTJOIN(" · ",TRUE,IF(COUNTIF('DADOS_TALENTOS'!$M$2:$M$34,SUBSTITUTE(SUBSTITUTE(SUBSTITUTE('FICHA AMALDIÇOADA'!$D$392,"~","~~"),"*","~*"),"?","~?"))=0,"Talento não cadastrado ou com erro",""),IF(COUNTIF('DADOS_TALENTOS'!$AV$2:$AV$34,SUBSTITUTE(SUBSTITUTE(SUBSTITUTE('FICHA AMALDIÇOADA'!$D$392,"~","~~"),"*","~*"),"?","~?"))=0,"Talento incompatível com a rota","")))</f>
        <v/>
      </c>
      <c r="LP2">
        <f>IF(COUNTIF('DADOS_APTIDOES'!$O$2:$O$45,SUBSTITUTE(SUBSTITUTE(SUBSTITUTE($LH2,"~","~~"),"*","~*"),"?","~?"))=0,"Aptidão não cadastrada ou com erro","")</f>
        <v/>
      </c>
      <c r="LQ2">
        <f>IF(COUNTIF('DADOS_APTIDOES'!$BK$2:$BK$45,SUBSTITUTE(SUBSTITUTE(SUBSTITUTE($LH2,"~","~~"),"*","~*"),"?","~?"))=0,"Rota/origem incompatível ou capacidade inicial automática","")</f>
        <v/>
      </c>
      <c r="LR2">
        <f>IF(AND(NOT(OR(FALSE)),DADOS_AM!$HM$2&lt;IFERROR(INDEX('DADOS_APTIDOES'!$U$2:$U$45,MATCH(SUBSTITUTE(SUBSTITUTE(SUBSTITUTE($LH2,"~","~~"),"*","~*"),"?","~?"),'DADOS_APTIDOES'!$O$2:$O$45,0)),1)),"Nível mínimo não atendido","")</f>
        <v/>
      </c>
      <c r="LS2">
        <f>IF(AND(NOT(OR(FALSE)),DADOS_AM!$HM$6&lt;MAX(IF(AND($LI2="Domínio Simples",FALSE,IFERROR(INDEX('DADOS_APTIDOES'!$V$2:$V$45,MATCH(SUBSTITUTE(SUBSTITUTE(SUBSTITUTE($LH2,"~","~~"),"*","~*"),"?","~?"),'DADOS_APTIDOES'!$O$2:$O$45,0)),1)=5),4,IFERROR(INDEX('DADOS_APTIDOES'!$V$2:$V$45,MATCH(SUBSTITUTE(SUBSTITUTE(SUBSTITUTE($LH2,"~","~~"),"*","~*"),"?","~?"),'DADOS_APTIDOES'!$O$2:$O$45,0)),1)),IF(IFERROR(INDEX('DADOS_APTIDOES'!$N$2:$N$45,MATCH(SUBSTITUTE(SUBSTITUTE(SUBSTITUTE($LH2,"~","~~"),"*","~*"),"?","~?"),'DADOS_APTIDOES'!$O$2:$O$45,0)),"")="Bênção",IF(IFERROR(INDEX('DADOS_APTIDOES'!$T$2:$T$45,MATCH(SUBSTITUTE(SUBSTITUTE(SUBSTITUTE($LH2,"~","~~"),"*","~*"),"?","~?"),'DADOS_APTIDOES'!$O$2:$O$45,0)),0)=3,7,IF(IFERROR(INDEX('DADOS_APTIDOES'!$T$2:$T$45,MATCH(SUBSTITUTE(SUBSTITUTE(SUBSTITUTE($LH2,"~","~~"),"*","~*"),"?","~?"),'DADOS_APTIDOES'!$O$2:$O$45,0)),0)=2,4,1)),1))),"Refino/Lapidação mínimo não atendido","")</f>
        <v/>
      </c>
      <c r="LT2">
        <f>IF(AND(NOT(OR(FALSE)),AND($LI2="Circulação",0=0)),"Exige aquisição anterior: Energia Reversa","")</f>
        <v/>
      </c>
      <c r="LU2">
        <f>IF(AND(NOT(OR(FALSE)),AND($LI2="Regravação",0=0)),"Exige aquisição anterior: Circulação","")</f>
        <v/>
      </c>
      <c r="LV2">
        <f>IF(AND(NOT(OR(FALSE)),AND($LI2="Cortina",0=0)),"Exige aquisição anterior: Barreira Simples","")</f>
        <v/>
      </c>
      <c r="LW2">
        <f>IF(AND(NOT(OR(FALSE)),AND($LI2="Ritual",'FICHA'!AB19&lt;5)),"Exige Inteligência 5","")</f>
        <v/>
      </c>
      <c r="LX2">
        <f>IF(AND(NOT(OR(FALSE)),AND($LI2="Ímpeto",'FICHA'!L19&lt;4)),"Exige Destreza 4","")</f>
        <v/>
      </c>
      <c r="LY2">
        <f>IF(AND(NOT(OR(FALSE)),AND($LI2="Casco",'FICHA'!T19&lt;4)),"Exige Constituição 4","")</f>
        <v/>
      </c>
      <c r="LZ2">
        <f>IF(AND(NOT(OR(FALSE)),AND($LI2="Presilha",'FICHA'!D19&lt;4)),"Exige Força 4","")</f>
        <v/>
      </c>
      <c r="MA2">
        <f>IF(AND(NOT(OR(FALSE)),AND($LI2="Antecipar",'FICHA'!AB19&lt;4)),"Exige Inteligência 4","")</f>
        <v/>
      </c>
      <c r="MB2">
        <f>IF(AND(NOT(OR(FALSE)),AND($LI2="Sangue Frio",'FICHA'!T19&lt;4)),"Exige Constituição 4","")</f>
        <v/>
      </c>
      <c r="MC2">
        <f>IF(AND(NOT(OR(FALSE)),AND($LI2="Assombro",'FICHA'!AJ19&lt;4)),"Exige Essência 4","")</f>
        <v/>
      </c>
      <c r="MD2">
        <f>IF(AND(NOT(OR(FALSE)),$LI2="Cesta Oca de Vime"),"Conferir Encarnado ou treino em História","")</f>
        <v/>
      </c>
      <c r="ME2">
        <f>IF(AND(NOT(OR(FALSE)),$LI2="Pétala"),"Conferir Descendente ou aprendizado de clã","")</f>
        <v/>
      </c>
      <c r="MF2">
        <f>IF(AND(NOT(OR(FALSE)),$LI2="Domínio Simples"),"Conferir aprendizado de Domínio Simples","")</f>
        <v/>
      </c>
      <c r="MG2">
        <f>IF(AND(NOT(OR(FALSE)),$LI2="Extensão de Domínio"),"Conferir aprendizado de Extensão de Domínio","")</f>
        <v/>
      </c>
      <c r="MH2">
        <f>IF(AND(NOT(OR(FALSE)),$LI2="Ritual"),"Conferir Técnica Inata","")</f>
        <v/>
      </c>
      <c r="MI2">
        <f>IF(AND(NOT(OR(FALSE)),AND($LI2="Represália",MAX('FICHA'!D19,'FICHA'!L19)&lt;4)),"Exige Força ou Destreza 4","")</f>
        <v/>
      </c>
    </row>
    <row r="3">
      <c r="C3" s="162" t="inlineStr">
        <is>
          <t>feitiços</t>
        </is>
      </c>
      <c r="D3" s="162" t="inlineStr">
        <is>
          <t>Feitiços</t>
        </is>
      </c>
      <c r="E3" s="162" t="inlineStr">
        <is>
          <t>Manejos</t>
        </is>
      </c>
      <c r="F3" s="162" t="inlineStr">
        <is>
          <t>Katas</t>
        </is>
      </c>
      <c r="G3" s="162" t="inlineStr">
        <is>
          <t>Katas</t>
        </is>
      </c>
      <c r="I3" s="162" t="inlineStr">
        <is>
          <t>Área</t>
        </is>
      </c>
      <c r="J3" s="164">
        <f>'FICHA AMALDIÇOADA'!$E$37&amp;""</f>
        <v/>
      </c>
      <c r="K3" s="164">
        <f>IF($J3="Livre",1,0)</f>
        <v/>
      </c>
      <c r="L3" s="164">
        <f>IF($J3="Fechada",1,0)</f>
        <v/>
      </c>
      <c r="N3" s="162" t="inlineStr">
        <is>
          <t>Neutra</t>
        </is>
      </c>
      <c r="P3" s="164" t="n">
        <v>2</v>
      </c>
      <c r="Q3" s="164" t="n">
        <v>1</v>
      </c>
      <c r="R3" s="164" t="n">
        <v>2</v>
      </c>
      <c r="S3" s="164" t="n">
        <v>3</v>
      </c>
      <c r="T3" s="164" t="n">
        <v>1</v>
      </c>
      <c r="U3" s="164" t="n">
        <v>1</v>
      </c>
      <c r="V3" s="164" t="n">
        <v>2</v>
      </c>
      <c r="W3" s="164" t="n">
        <v>2</v>
      </c>
      <c r="Y3" s="162" t="inlineStr">
        <is>
          <t>Toque</t>
        </is>
      </c>
      <c r="Z3" s="162" t="inlineStr"/>
      <c r="AA3" s="164" t="n">
        <v>0</v>
      </c>
      <c r="AB3" s="164">
        <f>IF($AA3=0,0,$AA3+3*IFERROR(VLOOKUP($Z3,'DADOS_CRIACAO'!$H$2:$K$20,3,FALSE),0))</f>
        <v/>
      </c>
      <c r="AC3" s="164">
        <f>IFERROR(VLOOKUP($Z3,'DADOS_CRIACAO'!$H$2:$K$20,4,FALSE),0)</f>
        <v/>
      </c>
      <c r="AD3" s="164" t="n">
        <v>1</v>
      </c>
      <c r="AE3" s="164" t="n">
        <v>0</v>
      </c>
      <c r="AF3" s="162" t="inlineStr">
        <is>
          <t>Acerto</t>
        </is>
      </c>
      <c r="AG3" s="164" t="n">
        <v>0</v>
      </c>
      <c r="AH3" s="164" t="n">
        <v>0</v>
      </c>
      <c r="AI3" s="164" t="n">
        <v>0</v>
      </c>
      <c r="AJ3" s="164" t="n">
        <v>1</v>
      </c>
      <c r="AK3" s="164" t="n">
        <v>1</v>
      </c>
      <c r="AL3" s="164">
        <f>IF($AC3=1,"",$Y3)</f>
        <v/>
      </c>
      <c r="AM3" s="164">
        <f>IF(AND($AK3=1,$AC3=0),$Y3,"")</f>
        <v/>
      </c>
      <c r="AO3" s="162" t="inlineStr">
        <is>
          <t>Projétil · classes 1 a 5</t>
        </is>
      </c>
      <c r="AP3" s="162" t="inlineStr">
        <is>
          <t>18 m, um alvo</t>
        </is>
      </c>
      <c r="AQ3" s="162" t="inlineStr">
        <is>
          <t>36 m, um alvo</t>
        </is>
      </c>
      <c r="AR3" s="162" t="inlineStr">
        <is>
          <t>90 m, um alvo</t>
        </is>
      </c>
      <c r="AS3" s="162" t="inlineStr">
        <is>
          <t>Visão a olho nu, um alvo</t>
        </is>
      </c>
      <c r="AT3" s="162" t="inlineStr">
        <is>
          <t>Visão a olho nu, um alvo</t>
        </is>
      </c>
      <c r="AU3" s="162" t="inlineStr">
        <is>
          <t>Visão a olho nu, um alvo</t>
        </is>
      </c>
      <c r="AV3" s="162" t="inlineStr"/>
      <c r="AW3" s="162" t="inlineStr"/>
      <c r="AX3" s="162" t="inlineStr"/>
      <c r="AY3" s="162" t="inlineStr"/>
      <c r="AZ3" s="162" t="inlineStr"/>
      <c r="BA3" s="162" t="inlineStr"/>
      <c r="BC3" s="162" t="inlineStr">
        <is>
          <t>Muito Longe</t>
        </is>
      </c>
      <c r="BD3" s="162" t="inlineStr">
        <is>
          <t>Alcance</t>
        </is>
      </c>
      <c r="BE3" s="164" t="n">
        <v>2</v>
      </c>
      <c r="BF3" s="164">
        <f>$BE3+3*IFERROR(VLOOKUP($BD3,'DADOS_CRIACAO'!$H$2:$K$20,3,FALSE),0)</f>
        <v/>
      </c>
      <c r="BG3" s="164">
        <f>IFERROR(VLOOKUP($BD3,'DADOS_CRIACAO'!$H$2:$K$20,4,FALSE),0)</f>
        <v/>
      </c>
      <c r="BH3" s="164" t="n">
        <v>0</v>
      </c>
      <c r="BI3" s="164">
        <f>IF($BG3=1,"",$BC3)</f>
        <v/>
      </c>
      <c r="BJ3" s="164">
        <f>IF(AND($BE3=1,$BG3=0),$BC3,"")</f>
        <v/>
      </c>
      <c r="BK3" s="164" t="n">
        <v>0</v>
      </c>
      <c r="BM3" s="162" t="inlineStr">
        <is>
          <t>Atrasar</t>
        </is>
      </c>
      <c r="BN3" s="162" t="inlineStr">
        <is>
          <t>Atrasar</t>
        </is>
      </c>
      <c r="BO3" s="164" t="n">
        <v>2</v>
      </c>
      <c r="BP3" s="164" t="n">
        <v>0</v>
      </c>
      <c r="BQ3" s="162" t="inlineStr"/>
      <c r="BS3" s="162" t="inlineStr">
        <is>
          <t>Instinto</t>
        </is>
      </c>
      <c r="BT3" s="164" t="n">
        <v>1</v>
      </c>
      <c r="BU3" s="162" t="inlineStr">
        <is>
          <t>Você não é pego de surpresa enquanto estiver acordado. Isso não revela criaturas escondidas, não muda sua posição na iniciativa e não concede uma ação adicional.</t>
        </is>
      </c>
      <c r="BV3" s="164" t="n">
        <v>1</v>
      </c>
      <c r="BW3" s="164" t="n">
        <v>0</v>
      </c>
      <c r="BX3" s="164">
        <f>IF(OR(AND($A$2&lt;=2,$BV3=1),AND($A$2&gt;=2,$BW3=1)),$BS3,"")</f>
        <v/>
      </c>
      <c r="BY3" s="162" t="inlineStr">
        <is>
          <t>Você não é pego de surpresa enquanto estiver acordado. Isso não revela criaturas escondidas, não muda sua posição na iniciativa e não concede uma ação adicional.</t>
        </is>
      </c>
      <c r="CA3" s="164" t="n">
        <v>2</v>
      </c>
      <c r="CB3" s="164" t="n">
        <v>7</v>
      </c>
      <c r="CD3" s="162" t="inlineStr">
        <is>
          <t>Canalizar Energia</t>
        </is>
      </c>
      <c r="CE3" s="162" t="inlineStr">
        <is>
          <t>Gratuita no Refino 1</t>
        </is>
      </c>
      <c r="CF3" s="162" t="inlineStr">
        <is>
          <t>—</t>
        </is>
      </c>
      <c r="CG3" s="162" t="inlineStr">
        <is>
          <t>Dados adicionais</t>
        </is>
      </c>
      <c r="CH3" s="162" t="inlineStr">
        <is>
          <t>Você envolve seus golpes em energia amaldiçoada. Atacar com uma arma mundana ou desarmado passa a poder ferir maldições. Esse revestimento não cobra PE nem uma ação separada. Canalizar em Golpe é o dano adicional desta aptidão. Acrescente os dados da tabela a cada ataque com arma ou desarmado que acertar e puder receber esse dano. Esses dados acompanham o tipo de dano do ataque. Revestir uma espada não troca automaticamente Cortante por Força. O revestimento também não muda o alcance, o atributo ou a quantidade de ataques que você pode fazer. Não acrescente esses dados a feitiços, Manejos ou Katas. Se uma habilidade fizer um ataque carregar um feitiço de dano, inclusive de Classe 0, aquele ataque não recebe Canalizar em Golpe. Outro ataque permanece sujeito às próprias regras. Conjurar em outro momento do turno ou da rodada não apaga esse dano dos demais ataques. Ações disponíveis e limites de conjuração continuam valendo. No crítico, dobre os dados básicos da arma ou do ataque desarmado. Os dados adicionais de Canalizar não dobram, salvo uma habilidade que autorize expressamente.</t>
        </is>
      </c>
      <c r="CI3" s="164">
        <f>IF($CL3=1,"",IF($A$2=4,IF($CJ3=1,$CD3,""),IF(OR($CJ3=1,AND($A$2=3,$CK3=1)),"",$CD3)))</f>
        <v/>
      </c>
      <c r="CJ3" s="164" t="n">
        <v>0</v>
      </c>
      <c r="CK3" s="164" t="n">
        <v>0</v>
      </c>
      <c r="CL3" s="164" t="n">
        <v>1</v>
      </c>
      <c r="CM3" s="162" t="inlineStr">
        <is>
          <t>Você envolve seus golpes em energia amaldiçoada.</t>
        </is>
      </c>
      <c r="CO3" s="162" t="inlineStr">
        <is>
          <t>Energia Reversa</t>
        </is>
      </c>
      <c r="CQ3" s="162" t="inlineStr">
        <is>
          <t>Ferramenta de atacar</t>
        </is>
      </c>
      <c r="CS3" s="164">
        <f>IF($A$2=2,IFERROR(INDEX($CO$2:$CO$5,2),""),IF($A$2&gt;=3,IFERROR(INDEX($CQ$2:$CQ$4,2),""),""))</f>
        <v/>
      </c>
      <c r="CU3" s="162" t="inlineStr">
        <is>
          <t>Balestra</t>
        </is>
      </c>
      <c r="CV3" s="164" t="n">
        <v>0</v>
      </c>
      <c r="CW3" s="164" t="n">
        <v>1</v>
      </c>
      <c r="CX3" s="164">
        <f>IF(AND($A$2&gt;=3,'FICHA AMALDIÇOADA'!$J$16&amp;""="Três grupos de arma"),$CU3,"")</f>
        <v/>
      </c>
      <c r="CZ3" s="164" t="n">
        <v>5</v>
      </c>
      <c r="DA3" s="164" t="n">
        <v>3</v>
      </c>
      <c r="DB3" s="164" t="n">
        <v>3</v>
      </c>
      <c r="DD3" s="164" t="n">
        <v>20</v>
      </c>
      <c r="DF3" s="164" t="n">
        <v>4</v>
      </c>
      <c r="DH3" s="164" t="n">
        <v>21</v>
      </c>
      <c r="DI3" s="164" t="n">
        <v>28</v>
      </c>
      <c r="DJ3" s="164" t="n">
        <v>12</v>
      </c>
      <c r="DL3" s="162" t="inlineStr">
        <is>
          <t>Completa</t>
        </is>
      </c>
      <c r="DM3" s="164" t="n">
        <v>3</v>
      </c>
      <c r="DN3" s="164" t="n">
        <v>14</v>
      </c>
      <c r="DO3" s="164" t="n">
        <v>5</v>
      </c>
      <c r="DP3" s="162" t="inlineStr">
        <is>
          <t>Incompleta, nível 14 e refino 5</t>
        </is>
      </c>
      <c r="DR3" s="162" t="inlineStr">
        <is>
          <t>Temporário</t>
        </is>
      </c>
      <c r="DS3" s="162" t="inlineStr">
        <is>
          <t>No seu turno, com Ação Bônus; fora dele, com Reação a um gatilho percebido</t>
        </is>
      </c>
      <c r="DU3" s="162" t="inlineStr">
        <is>
          <t>A energia</t>
        </is>
      </c>
      <c r="DW3" s="162" t="inlineStr">
        <is>
          <t>Médio</t>
        </is>
      </c>
      <c r="DY3" s="162" t="inlineStr">
        <is>
          <t>Feitiço 2</t>
        </is>
      </c>
      <c r="DZ3" s="164" t="n">
        <v>0</v>
      </c>
      <c r="EA3" s="164" t="n">
        <v>2</v>
      </c>
      <c r="EB3" s="164">
        <f>MAX(1,MIN(7,N('FICHA AMALDIÇOADA'!$J$64)))</f>
        <v/>
      </c>
      <c r="EC3" s="164">
        <f>'FICHA AMALDIÇOADA'!$K$64&amp;""</f>
        <v/>
      </c>
      <c r="ED3" s="164">
        <f>'FICHA AMALDIÇOADA'!$J$71&amp;""</f>
        <v/>
      </c>
      <c r="EE3" s="164">
        <f>'FICHA AMALDIÇOADA'!$K$73&amp;""</f>
        <v/>
      </c>
      <c r="EF3" s="164">
        <f>'FICHA AMALDIÇOADA'!$K$74&amp;""</f>
        <v/>
      </c>
      <c r="EG3" s="164">
        <f>'FICHA AMALDIÇOADA'!$K$75&amp;""</f>
        <v/>
      </c>
      <c r="EH3" s="164">
        <f>'FICHA AMALDIÇOADA'!$K$76&amp;""</f>
        <v/>
      </c>
      <c r="EI3" s="164">
        <f>'FICHA AMALDIÇOADA'!$K$77&amp;""</f>
        <v/>
      </c>
      <c r="EJ3" s="164">
        <f>'FICHA AMALDIÇOADA'!$K$78&amp;""</f>
        <v/>
      </c>
      <c r="EK3" s="164">
        <f>IF($EC3&lt;&gt;"",1,0)</f>
        <v/>
      </c>
      <c r="EL3" s="164">
        <f>IFERROR(MATCH(SUBSTITUTE(SUBSTITUTE(SUBSTITUTE($ED3,"~","~~"),"*","~*"),"?","~?"),'DADOS_FORMAS'!$FJ$2:$FJ$21,0),0)</f>
        <v/>
      </c>
      <c r="EM3" s="164">
        <f>IF($EL3=0,0,INDEX('DADOS_FORMAS'!$FM$2:$FM$21,$EL3))</f>
        <v/>
      </c>
      <c r="EN3" s="164">
        <f>IFERROR(VLOOKUP(SUBSTITUTE(SUBSTITUTE(SUBSTITUTE($EE3,"~","~~"),"*","~*"),"?","~?"),'DADOS_MELHORIAS'!$O$2:$W$113,4,FALSE),0)</f>
        <v/>
      </c>
      <c r="EO3" s="164">
        <f>IFERROR(VLOOKUP(SUBSTITUTE(SUBSTITUTE(SUBSTITUTE($EF3,"~","~~"),"*","~*"),"?","~?"),'DADOS_MELHORIAS'!$O$2:$W$113,4,FALSE),0)</f>
        <v/>
      </c>
      <c r="EP3" s="164">
        <f>IFERROR(VLOOKUP(SUBSTITUTE(SUBSTITUTE(SUBSTITUTE($EG3,"~","~~"),"*","~*"),"?","~?"),'DADOS_MELHORIAS'!$O$2:$W$113,4,FALSE),0)</f>
        <v/>
      </c>
      <c r="EQ3" s="164">
        <f>IFERROR(VLOOKUP(SUBSTITUTE(SUBSTITUTE(SUBSTITUTE($EH3,"~","~~"),"*","~*"),"?","~?"),'DADOS_MELHORIAS'!$O$2:$W$113,4,FALSE),0)</f>
        <v/>
      </c>
      <c r="ER3" s="164">
        <f>IF($EL3=0,0,INDEX('DADOS_FORMAS'!$FN$2:$FN$21,$EL3))</f>
        <v/>
      </c>
      <c r="ES3" s="164">
        <f>IFERROR(VLOOKUP(SUBSTITUTE(SUBSTITUTE(SUBSTITUTE($EE3,"~","~~"),"*","~*"),"?","~?"),'DADOS_MELHORIAS'!$O$2:$W$113,5,FALSE),0)</f>
        <v/>
      </c>
      <c r="ET3" s="164">
        <f>IFERROR(VLOOKUP(SUBSTITUTE(SUBSTITUTE(SUBSTITUTE($EF3,"~","~~"),"*","~*"),"?","~?"),'DADOS_MELHORIAS'!$O$2:$W$113,5,FALSE),0)</f>
        <v/>
      </c>
      <c r="EU3" s="164">
        <f>IFERROR(VLOOKUP(SUBSTITUTE(SUBSTITUTE(SUBSTITUTE($EG3,"~","~~"),"*","~*"),"?","~?"),'DADOS_MELHORIAS'!$O$2:$W$113,5,FALSE),0)</f>
        <v/>
      </c>
      <c r="EV3" s="164">
        <f>IFERROR(VLOOKUP(SUBSTITUTE(SUBSTITUTE(SUBSTITUTE($EH3,"~","~~"),"*","~*"),"?","~?"),'DADOS_MELHORIAS'!$O$2:$W$113,5,FALSE),0)</f>
        <v/>
      </c>
      <c r="EW3" s="164">
        <f>IFERROR(VLOOKUP(SUBSTITUTE(SUBSTITUTE(SUBSTITUTE($EE3,"~","~~"),"*","~*"),"?","~?"),'DADOS_MELHORIAS'!$O$2:$W$113,6,FALSE),0)+IFERROR(VLOOKUP(SUBSTITUTE(SUBSTITUTE(SUBSTITUTE($EF3,"~","~~"),"*","~*"),"?","~?"),'DADOS_MELHORIAS'!$O$2:$W$113,6,FALSE),0)+IFERROR(VLOOKUP(SUBSTITUTE(SUBSTITUTE(SUBSTITUTE($EG3,"~","~~"),"*","~*"),"?","~?"),'DADOS_MELHORIAS'!$O$2:$W$113,6,FALSE),0)+IFERROR(VLOOKUP(SUBSTITUTE(SUBSTITUTE(SUBSTITUTE($EH3,"~","~~"),"*","~*"),"?","~?"),'DADOS_MELHORIAS'!$O$2:$W$113,6,FALSE),0)</f>
        <v/>
      </c>
      <c r="EX3" s="164">
        <f>IFERROR(VLOOKUP(SUBSTITUTE(SUBSTITUTE(SUBSTITUTE($EE3,"~","~~"),"*","~*"),"?","~?"),'DADOS_MELHORIAS'!$O$2:$W$113,9,FALSE),0)+IFERROR(VLOOKUP(SUBSTITUTE(SUBSTITUTE(SUBSTITUTE($EF3,"~","~~"),"*","~*"),"?","~?"),'DADOS_MELHORIAS'!$O$2:$W$113,9,FALSE),0)+IFERROR(VLOOKUP(SUBSTITUTE(SUBSTITUTE(SUBSTITUTE($EG3,"~","~~"),"*","~*"),"?","~?"),'DADOS_MELHORIAS'!$O$2:$W$113,9,FALSE),0)+IFERROR(VLOOKUP(SUBSTITUTE(SUBSTITUTE(SUBSTITUTE($EH3,"~","~~"),"*","~*"),"?","~?"),'DADOS_MELHORIAS'!$O$2:$W$113,9,FALSE),0)</f>
        <v/>
      </c>
      <c r="EY3" s="164">
        <f>IF($EL3=0,0,INDEX('DADOS_FORMAS'!$FO$2:$FO$21,$EL3))</f>
        <v/>
      </c>
      <c r="EZ3" s="164">
        <f>IF($EL3=0,0,INDEX('DADOS_FORMAS'!$FP$2:$FP$21,$EL3))</f>
        <v/>
      </c>
      <c r="FA3" s="164">
        <f>IF($EL3=0,0,INDEX('DADOS_FORMAS'!$FR$2:$FR$21,$EL3))</f>
        <v/>
      </c>
      <c r="FB3" s="164">
        <f>IFERROR(VLOOKUP(SUBSTITUTE(SUBSTITUTE(SUBSTITUTE($EI3,"~","~~"),"*","~*"),"?","~?"),'DADOS_RESTRICOES'!$M$2:$Q$54,3,FALSE),0)</f>
        <v/>
      </c>
      <c r="FC3" s="164">
        <f>IFERROR(VLOOKUP(SUBSTITUTE(SUBSTITUTE(SUBSTITUTE($EJ3,"~","~~"),"*","~*"),"?","~?"),'DADOS_RESTRICOES'!$M$2:$Q$54,3,FALSE),0)</f>
        <v/>
      </c>
      <c r="FD3" s="164">
        <f>IFERROR(VLOOKUP(SUBSTITUTE(SUBSTITUTE(SUBSTITUTE($EI3,"~","~~"),"*","~*"),"?","~?"),'DADOS_RESTRICOES'!$M$2:$Q$54,2,FALSE),"")</f>
        <v/>
      </c>
      <c r="FE3" s="164">
        <f>IFERROR(VLOOKUP(SUBSTITUTE(SUBSTITUTE(SUBSTITUTE($EJ3,"~","~~"),"*","~*"),"?","~?"),'DADOS_RESTRICOES'!$M$2:$Q$54,2,FALSE),"")</f>
        <v/>
      </c>
      <c r="FF3" s="164">
        <f>COUNTIF($EM3:$EQ3,1)</f>
        <v/>
      </c>
      <c r="FG3" s="164">
        <f>COUNTIF($EM3:$EQ3,2)</f>
        <v/>
      </c>
      <c r="FH3" s="164">
        <f>COUNTIF($EM3:$EQ3,3)</f>
        <v/>
      </c>
      <c r="FI3" s="164">
        <f>COUNTIF($EM3:$EQ3,4)</f>
        <v/>
      </c>
      <c r="FJ3" s="164">
        <f>COUNTIF($EM3:$EQ3,5)</f>
        <v/>
      </c>
      <c r="FK3" s="164">
        <f>COUNTIF($EM3:$EQ3,6)</f>
        <v/>
      </c>
      <c r="FL3" s="164">
        <f>COUNTIF($FB3:$FC3,1)+IF(IFERROR(INDEX('DADOS_FORMAS'!$AS$2:$AS$21,MATCH(SUBSTITUTE(SUBSTITUTE(SUBSTITUTE($ED3,"~","~~"),"*","~*"),"?","~?"),'DADOS_FORMAS'!$AH$2:$AH$21,0)),"")="",0,IFERROR(N(VLOOKUP(SUBSTITUTE(SUBSTITUTE(SUBSTITUTE(IFERROR(INDEX('DADOS_FORMAS'!$AS$2:$AS$21,MATCH(SUBSTITUTE(SUBSTITUTE(SUBSTITUTE($ED3,"~","~~"),"*","~*"),"?","~?"),'DADOS_FORMAS'!$AH$2:$AH$21,0)),""),"~","~~"),"*","~*"),"?","~?"),'DADOS_RESTRICOES'!$M$2:$Q$54,3,FALSE)=1),0))</f>
        <v/>
      </c>
      <c r="FM3" s="164">
        <f>COUNTIF($FB3:$FC3,2)+IF(IFERROR(INDEX('DADOS_FORMAS'!$AS$2:$AS$21,MATCH(SUBSTITUTE(SUBSTITUTE(SUBSTITUTE($ED3,"~","~~"),"*","~*"),"?","~?"),'DADOS_FORMAS'!$AH$2:$AH$21,0)),"")="",0,IFERROR(N(VLOOKUP(SUBSTITUTE(SUBSTITUTE(SUBSTITUTE(IFERROR(INDEX('DADOS_FORMAS'!$AS$2:$AS$21,MATCH(SUBSTITUTE(SUBSTITUTE(SUBSTITUTE($ED3,"~","~~"),"*","~*"),"?","~?"),'DADOS_FORMAS'!$AH$2:$AH$21,0)),""),"~","~~"),"*","~*"),"?","~?"),'DADOS_RESTRICOES'!$M$2:$Q$54,3,FALSE)=2),0))</f>
        <v/>
      </c>
      <c r="FN3" s="164">
        <f>COUNTIF($EE3:$EH3,"?*")</f>
        <v/>
      </c>
      <c r="FO3" s="164">
        <f>COUNTIF($EI3:$EJ3,"?*")+$EY3</f>
        <v/>
      </c>
      <c r="FP3" s="164">
        <f>SUMPRODUCT($FF3:$FK3,INDEX($Q$2:$V$8,$EB3,0))</f>
        <v/>
      </c>
      <c r="FQ3" s="164">
        <f>$FL3*CEILING($EB3/2,1)+$FM3*$EB3</f>
        <v/>
      </c>
      <c r="FR3" s="164">
        <f>MIN(2*$EB3,$FQ3)</f>
        <v/>
      </c>
      <c r="FS3" s="164">
        <f>MIN($FR3,$FP3-IF($EM3=0,0,INDEX($Q$2:$V$8,$EB3,$EM3)))</f>
        <v/>
      </c>
      <c r="FT3" s="164">
        <f>$FR3-$FS3</f>
        <v/>
      </c>
      <c r="FU3" s="164">
        <f>3*$EB3-$FP3+$FS3</f>
        <v/>
      </c>
      <c r="FV3" s="164">
        <f>MAX(0,$FU3)+$DZ3*$EB3</f>
        <v/>
      </c>
      <c r="FW3" s="164">
        <f>(IF(COUNTIF($KW3:$KZ3,"Salto")&gt;0,1,0)+IF(COUNTIF($KW3:$KZ3,"Queima")&gt;0,1,0)+IF(COUNTIF($KW3:$KZ3,"Estilhaço")&gt;0,1,0))*FLOOR($FV3/2,1)</f>
        <v/>
      </c>
      <c r="FX3" s="164">
        <f>MAX(0,3-SUMPRODUCT($FF3:$FK3,$Q$2:$V$2)+MIN(2,$FL3*1+$FM3*1,SUMPRODUCT($FF3:$FK3,$Q$2:$V$2)-IF($EM3=0,0,INDEX($Q$2:$V$2,1,$EM3))))+$DZ3*1</f>
        <v/>
      </c>
      <c r="FY3" s="164">
        <f>MAX(0,6-SUMPRODUCT($FF3:$FK3,$Q$3:$V$3)+MIN(4,$FL3*1+$FM3*2,SUMPRODUCT($FF3:$FK3,$Q$3:$V$3)-IF($EM3=0,0,INDEX($Q$3:$V$3,1,$EM3))))+$DZ3*2</f>
        <v/>
      </c>
      <c r="FZ3" s="164">
        <f>MAX(0,9-SUMPRODUCT($FF3:$FK3,$Q$4:$V$4)+MIN(6,$FL3*2+$FM3*3,SUMPRODUCT($FF3:$FK3,$Q$4:$V$4)-IF($EM3=0,0,INDEX($Q$4:$V$4,1,$EM3))))+$DZ3*3</f>
        <v/>
      </c>
      <c r="GA3" s="164">
        <f>MAX(0,12-SUMPRODUCT($FF3:$FK3,$Q$5:$V$5)+MIN(8,$FL3*2+$FM3*4,SUMPRODUCT($FF3:$FK3,$Q$5:$V$5)-IF($EM3=0,0,INDEX($Q$5:$V$5,1,$EM3))))+$DZ3*4</f>
        <v/>
      </c>
      <c r="GB3" s="164">
        <f>MAX(0,15-SUMPRODUCT($FF3:$FK3,$Q$6:$V$6)+MIN(10,$FL3*3+$FM3*5,SUMPRODUCT($FF3:$FK3,$Q$6:$V$6)-IF($EM3=0,0,INDEX($Q$6:$V$6,1,$EM3))))+$DZ3*5</f>
        <v/>
      </c>
      <c r="GC3" s="164">
        <f>MAX(0,18-SUMPRODUCT($FF3:$FK3,$Q$7:$V$7)+MIN(12,$FL3*3+$FM3*6,SUMPRODUCT($FF3:$FK3,$Q$7:$V$7)-IF($EM3=0,0,INDEX($Q$7:$V$7,1,$EM3))))+$DZ3*6</f>
        <v/>
      </c>
      <c r="GD3" s="164">
        <f>MAX(0,21-SUMPRODUCT($FF3:$FK3,$Q$8:$V$8)+MIN(14,$FL3*4+$FM3*7,SUMPRODUCT($FF3:$FK3,$Q$8:$V$8)-IF($EM3=0,0,INDEX($Q$8:$V$8,1,$EM3))))+$DZ3*7</f>
        <v/>
      </c>
      <c r="GE3" s="164">
        <f>IF($EZ3=2,3*$FX3&amp;" de vida temp.",IF($EZ3=3,"sem dano",IF($FX3=0,IF($EZ3=1,"sem cura","sem dano"),IF($EZ3=1,"cura ","")&amp;$FX3&amp;"d8")))</f>
        <v/>
      </c>
      <c r="GF3" s="164">
        <f>IF($EZ3=2,3*$FY3&amp;" de vida temp.",IF($EZ3=3,"sem dano",IF($FY3=0,IF($EZ3=1,"sem cura","sem dano"),IF($EZ3=1,"cura ","")&amp;$FY3&amp;"d8")))</f>
        <v/>
      </c>
      <c r="GG3" s="164">
        <f>IF($EZ3=2,3*$FZ3&amp;" de vida temp.",IF($EZ3=3,"sem dano",IF($FZ3=0,IF($EZ3=1,"sem cura","sem dano"),IF($EZ3=1,"cura ","")&amp;$FZ3&amp;"d8")))</f>
        <v/>
      </c>
      <c r="GH3" s="164">
        <f>IF($EZ3=2,3*$GA3&amp;" de vida temp.",IF($EZ3=3,"sem dano",IF($GA3=0,IF($EZ3=1,"sem cura","sem dano"),IF($EZ3=1,"cura ","")&amp;$GA3&amp;"d8")))</f>
        <v/>
      </c>
      <c r="GI3" s="164">
        <f>IF($EZ3=2,3*$GB3&amp;" de vida temp.",IF($EZ3=3,"sem dano",IF($GB3=0,IF($EZ3=1,"sem cura","sem dano"),IF($EZ3=1,"cura ","")&amp;$GB3&amp;"d8")))</f>
        <v/>
      </c>
      <c r="GJ3" s="164">
        <f>IF($EZ3=2,3*$GC3&amp;" de vida temp.",IF($EZ3=3,"sem dano",IF($GC3=0,IF($EZ3=1,"sem cura","sem dano"),IF($EZ3=1,"cura ","")&amp;$GC3&amp;"d8")))</f>
        <v/>
      </c>
      <c r="GK3" s="164">
        <f>IF($EZ3=2,3*$GD3&amp;" de vida temp.",IF($EZ3=3,"sem dano",IF($GD3=0,IF($EZ3=1,"sem cura","sem dano"),IF($EZ3=1,"cura ","")&amp;$GD3&amp;"d8")))</f>
        <v/>
      </c>
      <c r="GL3" s="164">
        <f>IF($EK3=0,"",TEXTJOIN(" · ",TRUE,IF($EK3=0,"",TEXTJOIN(" · ",TRUE,IF($EK3=0,"",TEXTJOIN(" · ",TRUE,IF(AND($DZ3=1,$EA3&gt;$HM$9),"O nível "&amp;$HM$2&amp;" dá "&amp;$HM$9&amp;" Liberação Máxima",""),IF($EB3&gt;$HM$4,"Classe "&amp;$EB3&amp;": o nível "&amp;$HM$2&amp;" libera até a "&amp;$HM$4,""),IF($ER3=1,"Família Fechada: a Forma "&amp;$ED3,""),IF($ES3=1,"Família Fechada: "&amp;$EE3,""),IF($ET3=1,"Família Fechada: "&amp;$EF3,""),IF($EU3=1,"Família Fechada: "&amp;$EG3,""),IF($EV3=1,"Família Fechada: "&amp;$EH3,""),IF($FN3&gt;INDEX($W$2:$W$8,$EB3),$FN3&amp;" Melhorias: a Classe "&amp;$EB3&amp;" aceita "&amp;INDEX($W$2:$W$8,$EB3),""),IF($FO3&gt;2,$FO3&amp;" Restrições"&amp;IF($EY3=1,", contando a que a Forma "&amp;$ED3&amp;" já traz","")&amp;": o limite é 2",""),IF($FU3&lt;0,"Orçamento estourado: faltam "&amp;(-$FU3)&amp;IF($FU3&lt;-1," pontos"," ponto"),""),IF(IFERROR(VLOOKUP(SUBSTITUTE(SUBSTITUTE(SUBSTITUTE($EI3,"~","~~"),"*","~*"),"?","~?"),'DADOS_RESTRICOES'!$M$2:$Q$54,4,FALSE),0)+IFERROR(VLOOKUP(SUBSTITUTE(SUBSTITUTE(SUBSTITUTE($EJ3,"~","~~"),"*","~*"),"?","~?"),'DADOS_RESTRICOES'!$M$2:$Q$54,4,FALSE),0)&gt;1,$FD3&amp;" e "&amp;$FE3&amp;" são as duas de frequência",""),IF(AND((COUNTIF($KW3:$KZ3,"Rápido")+COUNTIF($FD3:$FE3,"Rápido"))&gt;0,(COUNTIF($EE3:$EH3,"Atrasar")+COUNTIF($FD3:$FE3,"Atrasar"))&gt;0),"Rápido não entra com Atrasar",""),IF(AND((COUNTIF($KW3:$KZ3,"Reação")+COUNTIF($FD3:$FE3,"Reação"))&gt;0,(COUNTIF($KW3:$KZ3,"Rápido")+COUNTIF($FD3:$FE3,"Rápido"))&gt;0),"Reação não entra com Rápido",""),IF(AND((COUNTIF($KW3:$KZ3,"Reação")+COUNTIF($FD3:$FE3,"Reação"))&gt;0,(COUNTIF($KW3:$KZ3,"Armado")+COUNTIF($FD3:$FE3,"Armado"))&gt;0),"Reação não entra com Armado",""),IF(AND((COUNTIF($KW3:$KZ3,"Reação")+COUNTIF($FD3:$FE3,"Reação"))&gt;0,(COUNTIF($EE3:$EH3,"Atrasar")+COUNTIF($FD3:$FE3,"Atrasar"))&gt;0),"Reação não entra com Atrasar",""),IF(AND((COUNTIF($KW3:$KZ3,"Reação")+COUNTIF($FD3:$FE3,"Reação"))&gt;0,(COUNTIF($EE3:$EH3,"Parado")+COUNTIF($FD3:$FE3,"Parado"))&gt;0),"Reação não entra com Parado",""),IF(AND((COUNTIF($EE3:$EH3,"Atrasar")+COUNTIF($FD3:$FE3,"Atrasar"))&gt;0,(COUNTIF($EE3:$EH3,"Parado")+COUNTIF($FD3:$FE3,"Parado"))&gt;0),"Atrasar não entra com Parado",""),IF(AND((COUNTIF($KW3:$KZ3,"Armado")+COUNTIF($FD3:$FE3,"Armado"))&gt;0,(COUNTIF($EE3:$EH3,"Carregar")+COUNTIF($FD3:$FE3,"Carregar"))&gt;0),"Armado não entra com Carregar",""),IF(AND(COUNTIF($FD3:$FE3,"Corpo a Corpo")&gt;0,$EY3=0,OR($LB3="Cone",$LB3="Linha")),"Corpo a Corpo não entra em "&amp;$ED3,""),IF(AND(COUNTIF($FD3:$FE3,"Corpo a Corpo")&gt;0,$LC3="Corpo a Corpo"),"A Forma "&amp;$ED3&amp;" já traz o Corpo a Corpo",""),IF(AND(COUNTIF($FD3:$FE3,"Tudo ou Nada")&gt;0,$FA3=0),"Tudo ou Nada só entra em feitiço de Teste de Resistência",""),IF(AND(COUNTIF($KW3:$KZ3,"Inescapável")&gt;0,OR($FN3&gt;1,$FO3&gt;0)),"Inescapável não aceita outra peça",""),IF(AND($DZ3=1,$EB3&lt;3),"Liberação Máxima é de Classe 3 ou mais",""),IF(AND($DZ3=1,OR($EZ3=1,$EZ3=2)),"Liberação Máxima não serve para cura",""),IF(AND($DZ3=1,COUNTIF($KW3:$KZ3,"Inescapável")+COUNTIF($KW3:$KZ3,"Toca a Alma")&gt;0),"Esta peça não entra numa Liberação Máxima",""),IF($FV3*IF(COUNTIF($KW3:$KZ3,"Remate")&gt;0,1.25,1)+$FW3&gt;4*$EB3,($FV3*IF(COUNTIF($KW3:$KZ3,"Remate")&gt;0,1.25,1)+$FW3)&amp;" dados somando repetições"&amp;IF(COUNTIF($KW3:$KZ3,"Remate")&gt;0," e o Remate","")&amp;": o teto da Classe "&amp;$EB3&amp;" é "&amp;4*$EB3,""))),IF(AND($EE3&lt;&gt;"",COUNTIF('DADOS_MELHORIAS'!$O$2:$O$113,SUBSTITUTE(SUBSTITUTE(SUBSTITUTE($EE3,"~","~~"),"*","~*"),"?","~?"))=0),"Melhoria não cadastrada ou com erro: "&amp;$EE3,""),IF(AND($EF3&lt;&gt;"",COUNTIF('DADOS_MELHORIAS'!$O$2:$O$113,SUBSTITUTE(SUBSTITUTE(SUBSTITUTE($EF3,"~","~~"),"*","~*"),"?","~?"))=0),"Melhoria não cadastrada ou com erro: "&amp;$EF3,""),IF(AND($EG3&lt;&gt;"",COUNTIF('DADOS_MELHORIAS'!$O$2:$O$113,SUBSTITUTE(SUBSTITUTE(SUBSTITUTE($EG3,"~","~~"),"*","~*"),"?","~?"))=0),"Melhoria não cadastrada ou com erro: "&amp;$EG3,""),IF(AND($EH3&lt;&gt;"",COUNTIF('DADOS_MELHORIAS'!$O$2:$O$113,SUBSTITUTE(SUBSTITUTE(SUBSTITUTE($EH3,"~","~~"),"*","~*"),"?","~?"))=0),"Melhoria não cadastrada ou com erro: "&amp;$EH3,""),IF(AND($EI3&lt;&gt;"",COUNTIF('DADOS_RESTRICOES'!$M$2:$M$54,SUBSTITUTE(SUBSTITUTE(SUBSTITUTE($EI3,"~","~~"),"*","~*"),"?","~?"))=0),"Restrição não cadastrada ou com erro: "&amp;$EI3,""),IF(AND($EJ3&lt;&gt;"",COUNTIF('DADOS_RESTRICOES'!$M$2:$M$54,SUBSTITUTE(SUBSTITUTE(SUBSTITUTE($EJ3,"~","~~"),"*","~*"),"?","~?"))=0),"Restrição não cadastrada ou com erro: "&amp;$EJ3,""))),IF(AND($ED3&lt;&gt;"",COUNTIF('DADOS_FORMAS'!$AH$2:$AH$21,SUBSTITUTE(SUBSTITUTE(SUBSTITUTE($ED3,"~","~~"),"*","~*"),"?","~?"))=0),"Forma não cadastrada ou com erro: "&amp;$ED3,""),IF(AND(IFERROR(INDEX('DADOS_FORMAS'!$AS$2:$AS$21,MATCH(SUBSTITUTE(SUBSTITUTE(SUBSTITUTE($ED3,"~","~~"),"*","~*"),"?","~?"),'DADOS_FORMAS'!$AH$2:$AH$21,0)),"")&lt;&gt;"",OR(IFERROR(VLOOKUP(SUBSTITUTE(SUBSTITUTE(SUBSTITUTE(IFERROR(INDEX('DADOS_FORMAS'!$AS$2:$AS$21,MATCH(SUBSTITUTE(SUBSTITUTE(SUBSTITUTE($ED3,"~","~~"),"*","~*"),"?","~?"),'DADOS_FORMAS'!$AH$2:$AH$21,0)),""),"~","~~"),"*","~*"),"?","~?"),'DADOS_RESTRICOES'!$M$2:$Q$54,2,FALSE),"")=$FD3,IFERROR(VLOOKUP(SUBSTITUTE(SUBSTITUTE(SUBSTITUTE(IFERROR(INDEX('DADOS_FORMAS'!$AS$2:$AS$21,MATCH(SUBSTITUTE(SUBSTITUTE(SUBSTITUTE($ED3,"~","~~"),"*","~*"),"?","~?"),'DADOS_FORMAS'!$AH$2:$AH$21,0)),""),"~","~~"),"*","~*"),"?","~?"),'DADOS_RESTRICOES'!$M$2:$Q$54,2,FALSE),"")=$FE3)),"Restrição repetida, contando a embutida",""),IF(IF(IFERROR(INDEX('DADOS_FORMAS'!$AS$2:$AS$21,MATCH(SUBSTITUTE(SUBSTITUTE(SUBSTITUTE($ED3,"~","~~"),"*","~*"),"?","~?"),'DADOS_FORMAS'!$AH$2:$AH$21,0)),"")="",0,IFERROR(N(VLOOKUP(SUBSTITUTE(SUBSTITUTE(SUBSTITUTE(IFERROR(INDEX('DADOS_FORMAS'!$AS$2:$AS$21,MATCH(SUBSTITUTE(SUBSTITUTE(SUBSTITUTE($ED3,"~","~~"),"*","~*"),"?","~?"),'DADOS_FORMAS'!$AH$2:$AH$21,0)),""),"~","~~"),"*","~*"),"?","~?"),'DADOS_RESTRICOES'!$M$2:$Q$54,4,FALSE)=1),0))+IF($EI3="",0,IFERROR(N(VLOOKUP(SUBSTITUTE(SUBSTITUTE(SUBSTITUTE($EI3,"~","~~"),"*","~*"),"?","~?"),'DADOS_RESTRICOES'!$M$2:$Q$54,4,FALSE)=1),0))+IF($EJ3="",0,IFERROR(N(VLOOKUP(SUBSTITUTE(SUBSTITUTE(SUBSTITUTE($EJ3,"~","~~"),"*","~*"),"?","~?"),'DADOS_RESTRICOES'!$M$2:$Q$54,4,FALSE)=1),0))&gt;1,"Duas Restrições de frequência, contando a embutida",""),IF(AND(IFERROR(VLOOKUP(SUBSTITUTE(SUBSTITUTE(SUBSTITUTE(IFERROR(INDEX('DADOS_FORMAS'!$AS$2:$AS$21,MATCH(SUBSTITUTE(SUBSTITUTE(SUBSTITUTE($ED3,"~","~~"),"*","~*"),"?","~?"),'DADOS_FORMAS'!$AH$2:$AH$21,0)),""),"~","~~"),"*","~*"),"?","~?"),'DADOS_RESTRICOES'!$M$2:$Q$54,2,FALSE),"")="Tudo ou Nada",$FA3=0),"Tudo ou Nada exige TR",""),IF(AND(IFERROR(VLOOKUP(SUBSTITUTE(SUBSTITUTE(SUBSTITUTE(IFERROR(INDEX('DADOS_FORMAS'!$AS$2:$AS$21,MATCH(SUBSTITUTE(SUBSTITUTE(SUBSTITUTE($ED3,"~","~~"),"*","~*"),"?","~?"),'DADOS_FORMAS'!$AH$2:$AH$21,0)),""),"~","~~"),"*","~*"),"?","~?"),'DADOS_RESTRICOES'!$M$2:$Q$54,2,FALSE),"")="Corpo a Corpo",OR($LB3="Cone",$LB3="Linha")),"Corpo a Corpo não entra em Cone/Linha","")))</f>
        <v/>
      </c>
      <c r="GM3" s="164">
        <f>IF($GL3="",0,(LEN($GL3)-LEN(SUBSTITUTE($GL3," · ","")))/3+1)</f>
        <v/>
      </c>
      <c r="GN3" s="164">
        <f>IF($EK3=0,"",TEXTJOIN(" · ",TRUE,IF($FQ3&gt;2*$EB3,"A devolução parou no teto de "&amp;2*$EB3,""),IF($FT3&gt;0,"Devolução perdida: "&amp;$FT3&amp;IF($FT3&gt;1," pontos"," ponto")&amp;" sem Melhoria para pagar",""),IF(AND($EW3&gt;0,$FV3=0),"Controle sem dano: uma rodada a mais e CD +2",""),IF(AND($EW3&gt;0,$FV3&gt;0,$FV3&lt;=$EB3),"Controle com saldo até a Classe: uma rodada a mais","")))</f>
        <v/>
      </c>
      <c r="GO3" s="164">
        <f>IF($GN3="",0,(LEN($GN3)-LEN(SUBSTITUTE($GN3," · ","")))/3+1)</f>
        <v/>
      </c>
      <c r="GP3" s="164">
        <f>IF($EK3=0,IF($FN3+$FO3-$EY3&gt;0,"Dê um nome",""),IF($GM3&gt;0,"⚠ "&amp;$GM3&amp;IF($GM3&gt;1," erros"," erro"),IF($GO3&gt;0,"! "&amp;$GO3&amp;IF($GO3&gt;1," avisos"," aviso"),"Na regra")))</f>
        <v/>
      </c>
      <c r="GQ3" s="164">
        <f>IF($EK3=0,"",IF($GM3+$GO3=0,"Dentro das regras que a ficha confere",$GL3&amp;IF(AND($GM3&gt;0,$GO3&gt;0)," · ","")&amp;$GN3))</f>
        <v/>
      </c>
      <c r="GR3" s="164">
        <f>IF($EK3=0,"",IF($DZ3=1,CEILING(4.5*$EB3,1),3*$EB3)&amp;" PE")</f>
        <v/>
      </c>
      <c r="GS3" s="164">
        <f>IF($EK3=0,"",IF($DZ3=1,"Rodada inteira",IF(COUNTIF($LD3:$LF3,"Atrasar")&gt;0,IF(COUNTIF($LD3:$LF3,"Carregar")&gt;0,"Rodada +1 turno","Rodada inteira"),IF(COUNTIF($KW3:$KZ3,"Rápido")&gt;0,"Bônus",IF(COUNTIF($KW3:$KZ3,"Reação")&gt;0,"Reação","Padrão"))&amp;IF(COUNTIF($LD3:$LF3,"Carregar")&gt;0," +1 turno",""))))</f>
        <v/>
      </c>
      <c r="GT3" s="164">
        <f>IF(OR($EK3=0,$EL3=0),"",IF(COUNTIF($KW3:$KZ3,"Inescapável")&gt;0,"Automático",IF(COUNTIF($KW3:$KZ3,"Certeiro")&gt;0,"TR para metade",IF(AND($EX3&gt;0,$FA3=0,INDEX('DADOS_FORMAS'!$FQ$2:$FQ$21,$EL3)="Acerto"),"Acerto + TR",INDEX('DADOS_FORMAS'!$FQ$2:$FQ$21,$EL3)))))</f>
        <v/>
      </c>
      <c r="GU3" s="164">
        <f>IF(OR($EK3=0,$EL3=0),"",IF(OR($EZ3&gt;=2,$FV3=0),UPPER(LEFT(INDEX($GE3:$GK3,1,$EB3),1))&amp;MID(INDEX($GE3:$GK3,1,$EB3),2,99),UPPER(LEFT(INDEX($GE3:$GK3,1,$EB3),1))&amp;MID(INDEX($GE3:$GK3,1,$EB3),2,99)&amp;" = "&amp;FLOOR($FV3*4.5,1)&amp;IF($FW3&gt;0," · +"&amp;$FW3&amp;"d8","")))</f>
        <v/>
      </c>
      <c r="GV3" s="164">
        <f>COUNTIF($KW3:$KZ3,"Longe")+3*COUNTIF($KW3:$KZ3,"Muito Longe")</f>
        <v/>
      </c>
      <c r="GW3" s="164">
        <f>COUNTIF($KW3:$KZ3,"Maior")+3*COUNTIF($KW3:$KZ3,"Muito Maior")</f>
        <v/>
      </c>
      <c r="GX3" s="164">
        <f>IF($EL3=0,0,CHOOSE(1+INDEX('DADOS_FORMAS'!$FS$2:$FS$21,$EL3),0,$GV3,$GW3,$GV3+$GW3))</f>
        <v/>
      </c>
      <c r="GY3" s="164">
        <f>IF($EL3=0,0,CHOOSE(1+INDEX('DADOS_FORMAS'!$FT$2:$FT$21,$EL3),0,$GV3,$GW3,$GV3+$GW3))</f>
        <v/>
      </c>
      <c r="GZ3" s="164">
        <f>IF(OR($EK3=0,$EL3=0),"",INDEX('DADOS_FORMAS'!$GZ$2:$HE$61,($EL3-1)*3+IF($EB3&gt;=6,3,2),1+MIN(5,$GX3))&amp;INDEX('DADOS_FORMAS'!$HF$2:$HK$61,($EL3-1)*3+IF($EB3&gt;=6,3,2),1+MIN(5,$GY3))&amp;IF(INDEX('DADOS_FORMAS'!$FU$2:$FU$21,$EL3)=1,IF(COUNTIF($KW3:$KZ3,"Mais Um")&gt;0," · +"&amp;COUNTIF($KW3:$KZ3,"Mais Um")&amp;IF(COUNTIF($KW3:$KZ3,"Mais Um")&gt;1," alvos"," alvo"),"")&amp;IF(COUNTIF($KW3:$KZ3,"Rajada")&gt;0," · "&amp;($EB3+1)&amp;" tiros",""),""))</f>
        <v/>
      </c>
      <c r="HA3" s="164">
        <f>IF($EK3=0,"",3*$EB3&amp;" − "&amp;$FP3&amp;" + "&amp;$FS3&amp;IF($DZ3=1," + "&amp;$EB3,"")&amp;" = "&amp;$FV3&amp;"d8 · teto "&amp;4*$EB3&amp;IF($EY3=1," · a Forma devolve "&amp;$EB3,"")&amp;IF($FT3&gt;0," · perde "&amp;$FT3,""))</f>
        <v/>
      </c>
      <c r="HB3" s="164">
        <f>IF($EK3=0,"",IF($EB3&gt;=$HM$4,"Já está na maior Classe que o nível liberou",TEXTJOIN(" · ",TRUE,IF(AND(2&gt;$EB3,2&lt;=$HM$4),"2 → "&amp;$GF3&amp;", "&amp;IF($DZ3=1,9,6)&amp;" PE",""),IF(AND(3&gt;$EB3,3&lt;=$HM$4),"3 → "&amp;$GG3&amp;", "&amp;IF($DZ3=1,14,9)&amp;" PE",""),IF(AND(4&gt;$EB3,4&lt;=$HM$4),"4 → "&amp;$GH3&amp;", "&amp;IF($DZ3=1,18,12)&amp;" PE",""),IF(AND(5&gt;$EB3,5&lt;=$HM$4),"5 → "&amp;$GI3&amp;", "&amp;IF($DZ3=1,23,15)&amp;" PE",""),IF(AND(6&gt;$EB3,6&lt;=$HM$4),"6 → "&amp;$GJ3&amp;", "&amp;IF($DZ3=1,27,18)&amp;" PE",""),IF(AND(7&gt;$EB3,7&lt;=$HM$4),"7 → "&amp;$GK3&amp;", "&amp;IF($DZ3=1,32,21)&amp;" PE",""))))</f>
        <v/>
      </c>
      <c r="HC3" s="164">
        <f>IF(OR($EK3=0,$EN3=0),"","−"&amp;INDEX($Q$2:$V$8,$EB3,$EN3)&amp;" · "&amp;CHOOSE($EN3,"Leve","Média","Pesada","Leve · Livre","Média · Livre","Pesada · Livre"))</f>
        <v/>
      </c>
      <c r="HD3" s="164">
        <f>IF(OR($EK3=0,$EO3=0),"","−"&amp;INDEX($Q$2:$V$8,$EB3,$EO3)&amp;" · "&amp;CHOOSE($EO3,"Leve","Média","Pesada","Leve · Livre","Média · Livre","Pesada · Livre"))</f>
        <v/>
      </c>
      <c r="HE3" s="164">
        <f>IF(OR($EK3=0,$EP3=0),"","−"&amp;INDEX($Q$2:$V$8,$EB3,$EP3)&amp;" · "&amp;CHOOSE($EP3,"Leve","Média","Pesada","Leve · Livre","Média · Livre","Pesada · Livre"))</f>
        <v/>
      </c>
      <c r="HF3" s="164">
        <f>IF(OR($EK3=0,$EQ3=0),"","−"&amp;INDEX($Q$2:$V$8,$EB3,$EQ3)&amp;" · "&amp;CHOOSE($EQ3,"Leve","Média","Pesada","Leve · Livre","Média · Livre","Pesada · Livre"))</f>
        <v/>
      </c>
      <c r="HG3" s="164">
        <f>IF(OR($EK3=0,$EI3=""),"","+"&amp;IF($FB3=1,CEILING($EB3/2,1),$EB3))</f>
        <v/>
      </c>
      <c r="HH3" s="164">
        <f>IF(OR($EK3=0,$EJ3=""),"","+"&amp;IF($FC3=1,CEILING($EB3/2,1),$EB3))</f>
        <v/>
      </c>
      <c r="HI3" s="164">
        <f>'FICHA AMALDIÇOADA'!$J$66&amp;""</f>
        <v/>
      </c>
      <c r="HJ3" s="164">
        <f>IF(AND($EK3=1,$DZ3=0),COUNTIFS($EK$2:$EK3,1,$DZ$2:$DZ3,0),"")</f>
        <v/>
      </c>
      <c r="HL3" s="162" t="inlineStr">
        <is>
          <t>maestria</t>
        </is>
      </c>
      <c r="HM3" s="164">
        <f>N(FICHA!$D$67)</f>
        <v/>
      </c>
      <c r="HO3" s="162" t="inlineStr">
        <is>
          <t>Talento 2</t>
        </is>
      </c>
      <c r="HP3" s="164">
        <f>'FICHA AMALDIÇOADA'!$J$392&amp;""</f>
        <v/>
      </c>
      <c r="HQ3" s="164">
        <f>IFERROR(VLOOKUP(SUBSTITUTE(SUBSTITUTE(SUBSTITUTE($HP3,"~","~~"),"*","~*"),"?","~?"),'DADOS_TALENTOS'!$AQ$2:$AW$34,2,FALSE),0)</f>
        <v/>
      </c>
      <c r="HR3" s="164">
        <f>IFERROR(VLOOKUP($HQ3,$CA$2:$CB$4,2,FALSE),0)</f>
        <v/>
      </c>
      <c r="HS3" s="164">
        <f>IFERROR(VLOOKUP(SUBSTITUTE(SUBSTITUTE(SUBSTITUTE($HP3,"~","~~"),"*","~*"),"?","~?"),'DADOS_TALENTOS'!$AQ$2:$AW$34,3,FALSE),"")</f>
        <v/>
      </c>
      <c r="HT3" s="164">
        <f>IF($HQ3=0,"",IF($HR3&gt;$HM$2,"⚠ Nível "&amp;$HR3,"CE "&amp;$HQ3))&amp;IF('DADOS_AM'!$LO3="",""," · ⚠ "&amp;'DADOS_AM'!$LO3)</f>
        <v/>
      </c>
      <c r="HU3" s="164">
        <f>IF($HQ3=0,"",$HQ3&amp;" esp.")</f>
        <v/>
      </c>
      <c r="HV3" s="164">
        <f>'FICHA AMALDIÇOADA'!$K$397&amp;""</f>
        <v/>
      </c>
      <c r="HW3" s="164">
        <f>IF($HP3="","",COUNTIF($HP$2:$HP3,"?*"))</f>
        <v/>
      </c>
      <c r="HY3" s="162" t="inlineStr">
        <is>
          <t>Aptidão 2</t>
        </is>
      </c>
      <c r="HZ3" s="164">
        <f>'FICHA AMALDIÇOADA'!$J$443&amp;""</f>
        <v/>
      </c>
      <c r="IA3" s="164">
        <f>IF($HZ3="","","Requisito: "&amp;IFERROR(VLOOKUP(SUBSTITUTE(SUBSTITUTE(SUBSTITUTE($HZ3,"~","~~"),"*","~*"),"?","~?"),'DADOS_APTIDOES'!$BF$2:$BO$45,2,FALSE),""))&amp;IF($LK3="",""," · ⚠ "&amp;$LK3)</f>
        <v/>
      </c>
      <c r="IB3" s="164">
        <f>IF($HZ3="","",IFERROR(IF(ISNUMBER(VLOOKUP(SUBSTITUTE(SUBSTITUTE(SUBSTITUTE($HZ3,"~","~~"),"*","~*"),"?","~?"),'DADOS_APTIDOES'!$BF$2:$BO$45,3,FALSE)),"CE "&amp;VLOOKUP(SUBSTITUTE(SUBSTITUTE(SUBSTITUTE($HZ3,"~","~~"),"*","~*"),"?","~?"),'DADOS_APTIDOES'!$BF$2:$BO$45,3,FALSE),VLOOKUP(SUBSTITUTE(SUBSTITUTE(SUBSTITUTE($HZ3,"~","~~"),"*","~*"),"?","~?"),'DADOS_APTIDOES'!$BF$2:$BO$45,3,FALSE)),""))</f>
        <v/>
      </c>
      <c r="IC3" s="164">
        <f>IF($HZ3="","",IFERROR(VLOOKUP(SUBSTITUTE(SUBSTITUTE(SUBSTITUTE($HZ3,"~","~~"),"*","~*"),"?","~?"),'DADOS_APTIDOES'!$BF$2:$BO$45,4,FALSE),""))</f>
        <v/>
      </c>
      <c r="ID3" s="164">
        <f>IF($HZ3="","",IFERROR(VLOOKUP(SUBSTITUTE(SUBSTITUTE(SUBSTITUTE($HZ3,"~","~~"),"*","~*"),"?","~?"),'DADOS_APTIDOES'!$BF$2:$BO$45,5,FALSE),""))</f>
        <v/>
      </c>
      <c r="IE3" s="164">
        <f>'FICHA AMALDIÇOADA'!$K$460&amp;""</f>
        <v/>
      </c>
      <c r="IF3" s="164">
        <f>IF($HZ3="","",COUNTIF($HZ$2:$HZ3,"?*"))</f>
        <v/>
      </c>
      <c r="IH3" s="162" t="inlineStr">
        <is>
          <t>Classe 0 · 2</t>
        </is>
      </c>
      <c r="II3" s="164">
        <f>'FICHA AMALDIÇOADA'!$F$324&amp;""</f>
        <v/>
      </c>
      <c r="IJ3" s="164">
        <f>'FICHA AMALDIÇOADA'!$J$324&amp;""</f>
        <v/>
      </c>
      <c r="IK3" s="164">
        <f>'FICHA AMALDIÇOADA'!$L$324&amp;""</f>
        <v/>
      </c>
      <c r="IL3" s="164">
        <f>IFERROR(MATCH(SUBSTITUTE(SUBSTITUTE(SUBSTITUTE($II3,"~","~~"),"*","~*"),"?","~?"),'DADOS_FORMAS'!$FJ$2:$FJ$21,0),0)</f>
        <v/>
      </c>
      <c r="IM3" s="164">
        <f>$HM$11-IF(AND($IJ3&lt;&gt;"",$IK3=""),1,0)</f>
        <v/>
      </c>
      <c r="IN3" s="164">
        <f>IF(2&gt;$HM$10,"Nível 1",IF($IL3=0,"",IF(INDEX('DADOS_FORMAS'!$FP$2:$FP$21,$IL3)&gt;=2,"—",$IM3&amp;"d8 = "&amp;FLOOR($IM3*4.5,1))))</f>
        <v/>
      </c>
      <c r="IO3" s="164">
        <f>IF(OR(2&gt;$HM$10,$IL3=0),"",INDEX('DADOS_FORMAS'!$GZ$2:$HE$61,($IL3-1)*3+1,1+IF(OR(AND($LA3="Longe",INDEX('DADOS_FORMAS'!$FS$2:$FS$21,$IL3)&lt;&gt;2),AND($LA3="Maior",INDEX('DADOS_FORMAS'!$FS$2:$FS$21,$IL3)&gt;=2)),1,0))&amp;INDEX('DADOS_FORMAS'!$HF$2:$HK$61,($IL3-1)*3+1,1+IF(AND($LA3="Longe",INDEX('DADOS_FORMAS'!$FT$2:$FT$21,$IL3)=1),1,0)))</f>
        <v/>
      </c>
      <c r="IQ3" s="162" t="inlineStr">
        <is>
          <t>Orçamento</t>
        </is>
      </c>
      <c r="IR3" s="164">
        <f>ADDRESS(ROW('FICHA AMALDIÇOADA'!E7),COLUMN('FICHA AMALDIÇOADA'!E7),4)</f>
        <v/>
      </c>
      <c r="IS3" s="164">
        <f>ADDRESS(ROW('FICHA AMALDIÇOADA'!D52),COLUMN('FICHA AMALDIÇOADA'!D52),4)</f>
        <v/>
      </c>
      <c r="IT3" s="162" t="inlineStr">
        <is>
          <t>DADOS_AM!$IQ$3</t>
        </is>
      </c>
      <c r="IV3" s="162" t="inlineStr">
        <is>
          <t>Caminho 7</t>
        </is>
      </c>
      <c r="IW3" s="164" t="n">
        <v>7</v>
      </c>
      <c r="IX3" s="164">
        <f>IF($HM$2&gt;=7,"Nível 7","Abre no 7")</f>
        <v/>
      </c>
      <c r="IY3" s="164">
        <f>ADDRESS(ROW(FICHA!G140),COLUMN(FICHA!G140),4)</f>
        <v/>
      </c>
      <c r="IZ3" s="164">
        <f>ADDRESS(ROW(FICHA!D141),COLUMN(FICHA!D141),4)</f>
        <v/>
      </c>
      <c r="JB3" s="162" t="inlineStr">
        <is>
          <t>Trilha · Escolhas da Trilha</t>
        </is>
      </c>
      <c r="JC3" s="164">
        <f>ADDRESS(ROW(FICHA!D196),COLUMN(FICHA!D196),4)</f>
        <v/>
      </c>
      <c r="JE3" s="162" t="inlineStr">
        <is>
          <t>Trilha</t>
        </is>
      </c>
      <c r="JF3" s="164">
        <f>"TRILHA"&amp;IF(OR(FICHA!$N$11="",LEFT(FICHA!$N$11,7)="Escolha"),"","  ·  "&amp;UPPER(FICHA!$N$11))&amp;"  ·  QUATRO NÍVEIS"</f>
        <v/>
      </c>
      <c r="JH3" s="164" t="n">
        <v>2</v>
      </c>
      <c r="JI3" s="164">
        <f>IFERROR(MATCH(2,$HJ$2:$HJ$37,0),0)</f>
        <v/>
      </c>
      <c r="JJ3" s="164">
        <f>IF($JI3=0,"",INDEX($EB$2:$EB$37,$JI3))</f>
        <v/>
      </c>
      <c r="JK3" s="164">
        <f>IF($JI3=0,"",INDEX($EC$2:$EC$37,$JI3))</f>
        <v/>
      </c>
      <c r="JL3" s="164">
        <f>IF($JI3=0,"",INDEX($GR$2:$GR$37,$JI3))</f>
        <v/>
      </c>
      <c r="JM3" s="164">
        <f>IF($JI3=0,"",INDEX($ED$2:$ED$37,$JI3))</f>
        <v/>
      </c>
      <c r="JN3" s="164">
        <f>IF($JI3=0,"",INDEX($GT$2:$GT$37,$JI3))</f>
        <v/>
      </c>
      <c r="JO3" s="164">
        <f>IF($JI3=0,"",INDEX($HI$2:$HI$37,$JI3))</f>
        <v/>
      </c>
      <c r="JQ3" s="164" t="n">
        <v>2</v>
      </c>
      <c r="JR3" s="164">
        <f>IF($EK$39=0,"",$EB$39)</f>
        <v/>
      </c>
      <c r="JS3" s="164">
        <f>IF($EK$39=0,"",$EC$39)</f>
        <v/>
      </c>
      <c r="JT3" s="164">
        <f>IF($EK$39=0,"",$GR$39)</f>
        <v/>
      </c>
      <c r="JU3" s="164">
        <f>IF($EK$39=0,"",$ED$39)</f>
        <v/>
      </c>
      <c r="JV3" s="164">
        <f>IF($EK$39=0,"",$GT$39)</f>
        <v/>
      </c>
      <c r="JW3" s="164">
        <f>IF($EK$39=0,"",$HI$39)</f>
        <v/>
      </c>
      <c r="JY3" s="162" t="inlineStr">
        <is>
          <t>Domínio</t>
        </is>
      </c>
      <c r="JZ3" s="164">
        <f>IF(DADOS_AM!$A$2&lt;&gt;1,"Esta rota não tem Expansão de Domínio",'FICHA AMALDIÇOADA'!$P$374&amp;"")</f>
        <v/>
      </c>
      <c r="KA3" s="164">
        <f>IF(OR(DADOS_AM!$A$2&lt;&gt;1,$HM$35=""),"",IF($HM$35="Sem Barreiras",7,6)*$HM$4&amp;" PE")</f>
        <v/>
      </c>
      <c r="KB3" s="164">
        <f>IF(DADOS_AM!$A$2&lt;&gt;1,"",$HM$35)</f>
        <v/>
      </c>
      <c r="KC3" s="164">
        <f>IF(OR(DADOS_AM!$A$2&lt;&gt;1,$HM$35=""),"",IF($HM$35="Incompleta","Rola","Acontece"))</f>
        <v/>
      </c>
      <c r="KD3" s="164">
        <f>IF(DADOS_AM!$A$2&lt;&gt;1,"",'FICHA AMALDIÇOADA'!$D$384&amp;"")</f>
        <v/>
      </c>
      <c r="KF3" s="162" t="inlineStr">
        <is>
          <t>Regra Própria</t>
        </is>
      </c>
      <c r="KG3" s="164" t="n">
        <v>0</v>
      </c>
      <c r="KH3" s="164">
        <f>IF(N('FICHA AMALDIÇOADA'!$P$33)=0,"—","CE "&amp;'FICHA AMALDIÇOADA'!$P$33)</f>
        <v/>
      </c>
      <c r="KI3" s="162" t="inlineStr">
        <is>
          <t>Regra Própria</t>
        </is>
      </c>
      <c r="KJ3" s="164">
        <f>IF('FICHA AMALDIÇOADA'!$D$33="","Esta técnica não tem Regra Própria",'FICHA AMALDIÇOADA'!$D$33&amp;"")</f>
        <v/>
      </c>
      <c r="KL3" s="162" t="inlineStr">
        <is>
          <t>De graça 2</t>
        </is>
      </c>
      <c r="KM3" s="164" t="n">
        <v>0</v>
      </c>
      <c r="KN3" s="162" t="inlineStr">
        <is>
          <t>—</t>
        </is>
      </c>
      <c r="KO3" s="164">
        <f>INDEX($D$10:$G$10,1,$A$2)</f>
        <v/>
      </c>
      <c r="KP3" s="164">
        <f>'FICHA AMALDIÇOADA'!$L$437&amp;". "&amp;"Do livro: "&amp;IFERROR(VLOOKUP(SUBSTITUTE(SUBSTITUTE(SUBSTITUTE($KO3,"~","~~"),"*","~*"),"?","~?"),'DADOS_APTIDOES'!$BF$2:$BO$45,10,FALSE),"")</f>
        <v/>
      </c>
      <c r="KR3" s="162" t="inlineStr">
        <is>
          <t>feitiços</t>
        </is>
      </c>
      <c r="KS3" s="164">
        <f>UPPER(INDEX($D$3:$G$3,1,$A$2))&amp;"  ·  "&amp;$HM$14&amp;" de 36"</f>
        <v/>
      </c>
      <c r="KU3" s="162" t="inlineStr">
        <is>
          <t>L12</t>
        </is>
      </c>
      <c r="KV3" s="164">
        <f>IF(DADOS_AM!$HM$42=1,IF(DADOS_AM!$HM$49=0,"Escolha os grupos",IF(DADOS_AM!$HM$49=1,IF(DADOS_AM!$HM$43&lt;&gt;"",DADOS_AM!$HM$43,IF(DADOS_AM!$HM$44&lt;&gt;"",DADOS_AM!$HM$44,DADOS_AM!$HM$45))&amp;", das armas","Por grupo")),FICHA!$Z$67)</f>
        <v/>
      </c>
      <c r="KW3">
        <f>IF($EE3="","",IFERROR(VLOOKUP(SUBSTITUTE(SUBSTITUTE(SUBSTITUTE($EE3,"~","~~"),"*","~*"),"?","~?"),'DADOS_MELHORIAS'!$O$2:$X$113,10,FALSE),$EE3))</f>
        <v/>
      </c>
      <c r="KX3">
        <f>IF($EF3="","",IFERROR(VLOOKUP(SUBSTITUTE(SUBSTITUTE(SUBSTITUTE($EF3,"~","~~"),"*","~*"),"?","~?"),'DADOS_MELHORIAS'!$O$2:$X$113,10,FALSE),$EF3))</f>
        <v/>
      </c>
      <c r="KY3">
        <f>IF($EG3="","",IFERROR(VLOOKUP(SUBSTITUTE(SUBSTITUTE(SUBSTITUTE($EG3,"~","~~"),"*","~*"),"?","~?"),'DADOS_MELHORIAS'!$O$2:$X$113,10,FALSE),$EG3))</f>
        <v/>
      </c>
      <c r="KZ3">
        <f>IF($EH3="","",IFERROR(VLOOKUP(SUBSTITUTE(SUBSTITUTE(SUBSTITUTE($EH3,"~","~~"),"*","~*"),"?","~?"),'DADOS_MELHORIAS'!$O$2:$X$113,10,FALSE),$EH3))</f>
        <v/>
      </c>
      <c r="LA3">
        <f>IF($IJ3="","",IFERROR(VLOOKUP(SUBSTITUTE(SUBSTITUTE(SUBSTITUTE($IJ3,"~","~~"),"*","~*"),"?","~?"),'DADOS_MELHORIAS'!$O$2:$X$113,10,FALSE),$IJ3))</f>
        <v/>
      </c>
      <c r="LB3">
        <f>IFERROR(INDEX('DADOS_FORMAS'!$BJ$2:$BJ$21,MATCH(SUBSTITUTE(SUBSTITUTE(SUBSTITUTE($ED3,"~","~~"),"*","~*"),"?","~?"),'DADOS_FORMAS'!$AH$2:$AH$21,0)),"")</f>
        <v/>
      </c>
      <c r="LC3">
        <f>IFERROR(VLOOKUP(SUBSTITUTE(SUBSTITUTE(SUBSTITUTE(IFERROR(INDEX('DADOS_FORMAS'!$AS$2:$AS$21,MATCH(SUBSTITUTE(SUBSTITUTE(SUBSTITUTE($ED3,"~","~~"),"*","~*"),"?","~?"),'DADOS_FORMAS'!$AH$2:$AH$21,0)),""),"~","~~"),"*","~*"),"?","~?"),'DADOS_RESTRICOES'!$M$2:$Q$54,2,FALSE),"")</f>
        <v/>
      </c>
      <c r="LD3">
        <f>$FD3</f>
        <v/>
      </c>
      <c r="LE3">
        <f>$FE3</f>
        <v/>
      </c>
      <c r="LF3">
        <f>$LC3</f>
        <v/>
      </c>
      <c r="LH3">
        <f>'FICHA AMALDIÇOADA'!$J$443&amp;""</f>
        <v/>
      </c>
      <c r="LI3">
        <f>IF($LH3="","",IF(IFERROR(INDEX('DADOS_APTIDOES'!$X$2:$X$45,MATCH(SUBSTITUTE(SUBSTITUTE(SUBSTITUTE($LH3,"~","~~"),"*","~*"),"?","~?"),'DADOS_APTIDOES'!$O$2:$O$45,0)),"")="",$LH3,IFERROR(INDEX('DADOS_APTIDOES'!$X$2:$X$45,MATCH(SUBSTITUTE(SUBSTITUTE(SUBSTITUTE($LH3,"~","~~"),"*","~*"),"?","~?"),'DADOS_APTIDOES'!$O$2:$O$45,0)),"")))</f>
        <v/>
      </c>
      <c r="LJ3">
        <f>IF(LEFT($LI3,16)="Aptidão Própria (","Aptidão Própria",IF(LEFT($LI3,15)="Bênção Própria (","Bênção Própria",$LI3))</f>
        <v/>
      </c>
      <c r="LK3">
        <f>IF($LH3="","",TEXTJOIN(" · ",TRUE,$LP3:$MJ3))</f>
        <v/>
      </c>
      <c r="LL3">
        <f>IF($LH3="",0,IF(IFERROR(INDEX('DADOS_APTIDOES'!$W$2:$W$45,MATCH(SUBSTITUTE(SUBSTITUTE(SUBSTITUTE($LH3,"~","~~"),"*","~*"),"?","~?"),'DADOS_APTIDOES'!$O$2:$O$45,0)),"")="Gratuita",0,1))</f>
        <v/>
      </c>
      <c r="LO3">
        <f>IF('FICHA AMALDIÇOADA'!$J$392="","",TEXTJOIN(" · ",TRUE,IF(COUNTIF('DADOS_TALENTOS'!$M$2:$M$34,SUBSTITUTE(SUBSTITUTE(SUBSTITUTE('FICHA AMALDIÇOADA'!$J$392,"~","~~"),"*","~*"),"?","~?"))=0,"Talento não cadastrado ou com erro",""),IF(COUNTIF('DADOS_TALENTOS'!$AV$2:$AV$34,SUBSTITUTE(SUBSTITUTE(SUBSTITUTE('FICHA AMALDIÇOADA'!$J$392,"~","~~"),"*","~*"),"?","~?"))=0,"Talento incompatível com a rota","")))</f>
        <v/>
      </c>
      <c r="LP3">
        <f>IF(COUNTIF('DADOS_APTIDOES'!$O$2:$O$45,SUBSTITUTE(SUBSTITUTE(SUBSTITUTE($LH3,"~","~~"),"*","~*"),"?","~?"))=0,"Aptidão não cadastrada ou com erro","")</f>
        <v/>
      </c>
      <c r="LQ3">
        <f>IF(COUNTIF('DADOS_APTIDOES'!$BK$2:$BK$45,SUBSTITUTE(SUBSTITUTE(SUBSTITUTE($LH3,"~","~~"),"*","~*"),"?","~?"))=0,"Rota/origem incompatível ou capacidade inicial automática","")</f>
        <v/>
      </c>
      <c r="LR3">
        <f>IF(AND(NOT(OR(FALSE)),DADOS_AM!$HM$2&lt;IFERROR(INDEX('DADOS_APTIDOES'!$U$2:$U$45,MATCH(SUBSTITUTE(SUBSTITUTE(SUBSTITUTE($LH3,"~","~~"),"*","~*"),"?","~?"),'DADOS_APTIDOES'!$O$2:$O$45,0)),1)),"Nível mínimo não atendido","")</f>
        <v/>
      </c>
      <c r="LS3">
        <f>IF(AND(NOT(OR(FALSE)),DADOS_AM!$HM$6&lt;MAX(IF(AND($LI3="Domínio Simples",FALSE,IFERROR(INDEX('DADOS_APTIDOES'!$V$2:$V$45,MATCH(SUBSTITUTE(SUBSTITUTE(SUBSTITUTE($LH3,"~","~~"),"*","~*"),"?","~?"),'DADOS_APTIDOES'!$O$2:$O$45,0)),1)=5),4,IFERROR(INDEX('DADOS_APTIDOES'!$V$2:$V$45,MATCH(SUBSTITUTE(SUBSTITUTE(SUBSTITUTE($LH3,"~","~~"),"*","~*"),"?","~?"),'DADOS_APTIDOES'!$O$2:$O$45,0)),1)),IF(IFERROR(INDEX('DADOS_APTIDOES'!$N$2:$N$45,MATCH(SUBSTITUTE(SUBSTITUTE(SUBSTITUTE($LH3,"~","~~"),"*","~*"),"?","~?"),'DADOS_APTIDOES'!$O$2:$O$45,0)),"")="Bênção",IF(IFERROR(INDEX('DADOS_APTIDOES'!$T$2:$T$45,MATCH(SUBSTITUTE(SUBSTITUTE(SUBSTITUTE($LH3,"~","~~"),"*","~*"),"?","~?"),'DADOS_APTIDOES'!$O$2:$O$45,0)),0)=3,7,IF(IFERROR(INDEX('DADOS_APTIDOES'!$T$2:$T$45,MATCH(SUBSTITUTE(SUBSTITUTE(SUBSTITUTE($LH3,"~","~~"),"*","~*"),"?","~?"),'DADOS_APTIDOES'!$O$2:$O$45,0)),0)=2,4,1)),1))),"Refino/Lapidação mínimo não atendido","")</f>
        <v/>
      </c>
      <c r="LT3">
        <f>IF(COUNTIF($LJ$2:$LJ3,SUBSTITUTE(SUBSTITUTE(SUBSTITUTE($LJ3,"~","~~"),"*","~*"),"?","~?"))&gt;1,"Aptidão/Bênção repetida","")</f>
        <v/>
      </c>
      <c r="LU3">
        <f>IF(AND(NOT(OR(FALSE)),AND($LI3="Circulação",COUNTIF($LI$2:$LI2,"Energia Reversa")=0)),"Exige aquisição anterior: Energia Reversa","")</f>
        <v/>
      </c>
      <c r="LV3">
        <f>IF(AND(NOT(OR(FALSE)),AND($LI3="Regravação",COUNTIF($LI$2:$LI2,"Circulação")=0)),"Exige aquisição anterior: Circulação","")</f>
        <v/>
      </c>
      <c r="LW3">
        <f>IF(AND(NOT(OR(FALSE)),AND($LI3="Cortina",COUNTIF($LI$2:$LI2,"Barreira Simples")=0)),"Exige aquisição anterior: Barreira Simples","")</f>
        <v/>
      </c>
      <c r="LX3">
        <f>IF(AND(NOT(OR(FALSE)),AND($LI3="Ritual",'FICHA'!AB19&lt;5)),"Exige Inteligência 5","")</f>
        <v/>
      </c>
      <c r="LY3">
        <f>IF(AND(NOT(OR(FALSE)),AND($LI3="Ímpeto",'FICHA'!L19&lt;4)),"Exige Destreza 4","")</f>
        <v/>
      </c>
      <c r="LZ3">
        <f>IF(AND(NOT(OR(FALSE)),AND($LI3="Casco",'FICHA'!T19&lt;4)),"Exige Constituição 4","")</f>
        <v/>
      </c>
      <c r="MA3">
        <f>IF(AND(NOT(OR(FALSE)),AND($LI3="Presilha",'FICHA'!D19&lt;4)),"Exige Força 4","")</f>
        <v/>
      </c>
      <c r="MB3">
        <f>IF(AND(NOT(OR(FALSE)),AND($LI3="Antecipar",'FICHA'!AB19&lt;4)),"Exige Inteligência 4","")</f>
        <v/>
      </c>
      <c r="MC3">
        <f>IF(AND(NOT(OR(FALSE)),AND($LI3="Sangue Frio",'FICHA'!T19&lt;4)),"Exige Constituição 4","")</f>
        <v/>
      </c>
      <c r="MD3">
        <f>IF(AND(NOT(OR(FALSE)),AND($LI3="Assombro",'FICHA'!AJ19&lt;4)),"Exige Essência 4","")</f>
        <v/>
      </c>
      <c r="ME3">
        <f>IF(AND(NOT(OR(FALSE)),$LI3="Cesta Oca de Vime"),"Conferir Encarnado ou treino em História","")</f>
        <v/>
      </c>
      <c r="MF3">
        <f>IF(AND(NOT(OR(FALSE)),$LI3="Pétala"),"Conferir Descendente ou aprendizado de clã","")</f>
        <v/>
      </c>
      <c r="MG3">
        <f>IF(AND(NOT(OR(FALSE)),$LI3="Domínio Simples"),"Conferir aprendizado de Domínio Simples","")</f>
        <v/>
      </c>
      <c r="MH3">
        <f>IF(AND(NOT(OR(FALSE)),$LI3="Extensão de Domínio"),"Conferir aprendizado de Extensão de Domínio","")</f>
        <v/>
      </c>
      <c r="MI3">
        <f>IF(AND(NOT(OR(FALSE)),$LI3="Ritual"),"Conferir Técnica Inata","")</f>
        <v/>
      </c>
      <c r="MJ3">
        <f>IF(AND(NOT(OR(FALSE)),AND($LI3="Represália",MAX('FICHA'!D19,'FICHA'!L19)&lt;4)),"Exige Força ou Destreza 4","")</f>
        <v/>
      </c>
    </row>
    <row r="4">
      <c r="C4" s="162" t="inlineStr">
        <is>
          <t>liberação</t>
        </is>
      </c>
      <c r="D4" s="162" t="inlineStr">
        <is>
          <t>Liberação Máxima</t>
        </is>
      </c>
      <c r="E4" s="162" t="inlineStr">
        <is>
          <t>Liberação Máxima</t>
        </is>
      </c>
      <c r="F4" s="162" t="inlineStr">
        <is>
          <t>Ruptura</t>
        </is>
      </c>
      <c r="G4" s="162" t="inlineStr">
        <is>
          <t>Ruptura</t>
        </is>
      </c>
      <c r="I4" s="162" t="inlineStr">
        <is>
          <t>Mira</t>
        </is>
      </c>
      <c r="J4" s="164">
        <f>'FICHA AMALDIÇOADA'!$F$37&amp;""</f>
        <v/>
      </c>
      <c r="K4" s="164">
        <f>IF($J4="Livre",1,0)</f>
        <v/>
      </c>
      <c r="L4" s="164">
        <f>IF($J4="Fechada",1,0)</f>
        <v/>
      </c>
      <c r="N4" s="162" t="inlineStr">
        <is>
          <t>Fechada</t>
        </is>
      </c>
      <c r="P4" s="164" t="n">
        <v>3</v>
      </c>
      <c r="Q4" s="164" t="n">
        <v>2</v>
      </c>
      <c r="R4" s="164" t="n">
        <v>3</v>
      </c>
      <c r="S4" s="164" t="n">
        <v>5</v>
      </c>
      <c r="T4" s="164" t="n">
        <v>1</v>
      </c>
      <c r="U4" s="164" t="n">
        <v>1</v>
      </c>
      <c r="V4" s="164" t="n">
        <v>3</v>
      </c>
      <c r="W4" s="164" t="n">
        <v>3</v>
      </c>
      <c r="Y4" s="162" t="inlineStr">
        <is>
          <t>Explosão</t>
        </is>
      </c>
      <c r="Z4" s="162" t="inlineStr">
        <is>
          <t>Área</t>
        </is>
      </c>
      <c r="AA4" s="164" t="n">
        <v>1</v>
      </c>
      <c r="AB4" s="164">
        <f>IF($AA4=0,0,$AA4+3*IFERROR(VLOOKUP($Z4,'DADOS_CRIACAO'!$H$2:$K$20,3,FALSE),0))</f>
        <v/>
      </c>
      <c r="AC4" s="164">
        <f>IFERROR(VLOOKUP($Z4,'DADOS_CRIACAO'!$H$2:$K$20,4,FALSE),0)</f>
        <v/>
      </c>
      <c r="AD4" s="164" t="n">
        <v>0</v>
      </c>
      <c r="AE4" s="164" t="n">
        <v>0</v>
      </c>
      <c r="AF4" s="162" t="inlineStr">
        <is>
          <t>TR, metade</t>
        </is>
      </c>
      <c r="AG4" s="164" t="n">
        <v>1</v>
      </c>
      <c r="AH4" s="164" t="n">
        <v>2</v>
      </c>
      <c r="AI4" s="164" t="n">
        <v>1</v>
      </c>
      <c r="AJ4" s="164" t="n">
        <v>0</v>
      </c>
      <c r="AK4" s="164" t="n">
        <v>1</v>
      </c>
      <c r="AL4" s="164">
        <f>IF($AC4=1,"",$Y4)</f>
        <v/>
      </c>
      <c r="AM4" s="164">
        <f>IF(AND($AK4=1,$AC4=0),$Y4,"")</f>
        <v/>
      </c>
      <c r="AO4" s="162" t="inlineStr">
        <is>
          <t>Projétil · classes 6 e 7</t>
        </is>
      </c>
      <c r="AP4" s="162" t="inlineStr">
        <is>
          <t>36 m, um alvo</t>
        </is>
      </c>
      <c r="AQ4" s="162" t="inlineStr">
        <is>
          <t>90 m, um alvo</t>
        </is>
      </c>
      <c r="AR4" s="162" t="inlineStr">
        <is>
          <t>Visão a olho nu, um alvo</t>
        </is>
      </c>
      <c r="AS4" s="162" t="inlineStr">
        <is>
          <t>Visão a olho nu, um alvo</t>
        </is>
      </c>
      <c r="AT4" s="162" t="inlineStr">
        <is>
          <t>Visão a olho nu, um alvo</t>
        </is>
      </c>
      <c r="AU4" s="162" t="inlineStr">
        <is>
          <t>Visão a olho nu, um alvo</t>
        </is>
      </c>
      <c r="AV4" s="162" t="inlineStr"/>
      <c r="AW4" s="162" t="inlineStr"/>
      <c r="AX4" s="162" t="inlineStr"/>
      <c r="AY4" s="162" t="inlineStr"/>
      <c r="AZ4" s="162" t="inlineStr"/>
      <c r="BA4" s="162" t="inlineStr"/>
      <c r="BC4" s="162" t="inlineStr">
        <is>
          <t>Sem Ver</t>
        </is>
      </c>
      <c r="BD4" s="162" t="inlineStr">
        <is>
          <t>Alcance</t>
        </is>
      </c>
      <c r="BE4" s="164" t="n">
        <v>3</v>
      </c>
      <c r="BF4" s="164">
        <f>$BE4+3*IFERROR(VLOOKUP($BD4,'DADOS_CRIACAO'!$H$2:$K$20,3,FALSE),0)</f>
        <v/>
      </c>
      <c r="BG4" s="164">
        <f>IFERROR(VLOOKUP($BD4,'DADOS_CRIACAO'!$H$2:$K$20,4,FALSE),0)</f>
        <v/>
      </c>
      <c r="BH4" s="164" t="n">
        <v>0</v>
      </c>
      <c r="BI4" s="164">
        <f>IF($BG4=1,"",$BC4)</f>
        <v/>
      </c>
      <c r="BJ4" s="164">
        <f>IF(AND($BE4=1,$BG4=0),$BC4,"")</f>
        <v/>
      </c>
      <c r="BK4" s="164" t="n">
        <v>0</v>
      </c>
      <c r="BM4" s="162" t="inlineStr">
        <is>
          <t>Parado</t>
        </is>
      </c>
      <c r="BN4" s="162" t="inlineStr">
        <is>
          <t>Parado</t>
        </is>
      </c>
      <c r="BO4" s="164" t="n">
        <v>1</v>
      </c>
      <c r="BP4" s="164" t="n">
        <v>0</v>
      </c>
      <c r="BQ4" s="162" t="inlineStr">
        <is>
          <t>Parado</t>
        </is>
      </c>
      <c r="BS4" s="162" t="inlineStr">
        <is>
          <t>Raiz</t>
        </is>
      </c>
      <c r="BT4" s="164" t="n">
        <v>1</v>
      </c>
      <c r="BU4" s="162" t="inlineStr">
        <is>
          <t>Você não é movido à força nem fica Derrubado contra a sua vontade. Pode aceitar um deslocamento ou se deitar por escolha própria. O Talento não impede o dano de um efeito que também empurre ou derrube.</t>
        </is>
      </c>
      <c r="BV4" s="164" t="n">
        <v>1</v>
      </c>
      <c r="BW4" s="164" t="n">
        <v>0</v>
      </c>
      <c r="BX4" s="164">
        <f>IF(OR(AND($A$2&lt;=2,$BV4=1),AND($A$2&gt;=2,$BW4=1)),$BS4,"")</f>
        <v/>
      </c>
      <c r="BY4" s="162" t="inlineStr">
        <is>
          <t>Você não é movido à força nem fica Derrubado contra a sua vontade. Pode aceitar um deslocamento ou se deitar por escolha própria. O Talento não impede o dano de um efeito que também empurre ou derrube.</t>
        </is>
      </c>
      <c r="CA4" s="164" t="n">
        <v>3</v>
      </c>
      <c r="CB4" s="164" t="n">
        <v>13</v>
      </c>
      <c r="CD4" s="162" t="inlineStr">
        <is>
          <t>Projetar Energia</t>
        </is>
      </c>
      <c r="CE4" s="162" t="inlineStr">
        <is>
          <t>Uma escolha de aptidão</t>
        </is>
      </c>
      <c r="CF4" s="162" t="inlineStr">
        <is>
          <t>—</t>
        </is>
      </c>
      <c r="CG4" s="162" t="inlineStr">
        <is>
          <t>—</t>
        </is>
      </c>
      <c r="CH4" s="162" t="inlineStr">
        <is>
          <t>Você dispara energia amaldiçoada pura contra um alvo. Ação Padrão. Escolha quanto gastar, de 1 PE até metade do seu Refino, para baixo, mínimo 1, e pague antes da rolagem. Faça um ataque de conjuração: d20 + atributo de conjuração da ficha + maestria, contra a Defesa. O atributo é o já definido pela técnica ou pelo estilo que você usa para criar suas aplicações. Escolha um alvo que você enxergue, com caminho desimpedido dentro do alcance. No acerto, cause 2d6 de Força por PE gasto. No erro, não cause dano. Os PE ficam gastos em ambos os casos. Projetar é um uso de aptidão, com sua própria Ação Padrão. Não ocupa espaço conhecido, não exige o Selo da técnica e não aceita Melhorias ou Restrições. Ter ataques adicionais na Ação Atacar não acrescenta disparos a esse uso. Os d6 são os dados básicos deste ataque. Em um crítico, eles dobram. Não some Canalizar em Golpe nem o dano de uma arma. Como o ataque é à distância, ele não provoca Kokusen. Sem PE suficiente para pagar ao menos 1, você não pode usar Projetar Energia.</t>
        </is>
      </c>
      <c r="CI4" s="164">
        <f>IF($CL4=1,"",IF($A$2=4,IF($CJ4=1,$CD4,""),IF(OR($CJ4=1,AND($A$2=3,$CK4=1)),"",$CD4)))</f>
        <v/>
      </c>
      <c r="CJ4" s="164" t="n">
        <v>0</v>
      </c>
      <c r="CK4" s="164" t="n">
        <v>0</v>
      </c>
      <c r="CL4" s="164" t="n">
        <v>0</v>
      </c>
      <c r="CM4" s="162" t="inlineStr">
        <is>
          <t>Você dispara energia amaldiçoada pura contra um alvo.</t>
        </is>
      </c>
      <c r="CO4" s="162" t="inlineStr">
        <is>
          <t>Pétala</t>
        </is>
      </c>
      <c r="CQ4" s="162" t="inlineStr">
        <is>
          <t>Ferramenta de carregar</t>
        </is>
      </c>
      <c r="CS4" s="164">
        <f>IF($A$2=2,IFERROR(INDEX($CO$2:$CO$5,3),""),IF($A$2&gt;=3,IFERROR(INDEX($CQ$2:$CQ$4,3),""),""))</f>
        <v/>
      </c>
      <c r="CU4" s="162" t="inlineStr">
        <is>
          <t>Lâmina Curta</t>
        </is>
      </c>
      <c r="CV4" s="164" t="n">
        <v>1</v>
      </c>
      <c r="CW4" s="164" t="n">
        <v>1</v>
      </c>
      <c r="CX4" s="164">
        <f>IF(AND($A$2&gt;=3,'FICHA AMALDIÇOADA'!$J$16&amp;""="Três grupos de arma"),$CU4,"")</f>
        <v/>
      </c>
      <c r="CZ4" s="164" t="n">
        <v>11</v>
      </c>
      <c r="DA4" s="164" t="n">
        <v>4</v>
      </c>
      <c r="DB4" s="164" t="n">
        <v>4</v>
      </c>
      <c r="DD4" s="164" t="n">
        <v>30</v>
      </c>
      <c r="DF4" s="164" t="n">
        <v>5</v>
      </c>
      <c r="DH4" s="164" t="n">
        <v>26</v>
      </c>
      <c r="DI4" s="164" t="n">
        <v>32</v>
      </c>
      <c r="DJ4" s="164" t="n">
        <v>16</v>
      </c>
      <c r="DL4" s="162" t="inlineStr">
        <is>
          <t>Sem Barreiras</t>
        </is>
      </c>
      <c r="DM4" s="164" t="n">
        <v>5</v>
      </c>
      <c r="DN4" s="164" t="n">
        <v>0</v>
      </c>
      <c r="DO4" s="164" t="n">
        <v>10</v>
      </c>
      <c r="DP4" s="162" t="inlineStr">
        <is>
          <t>Completa, refino 10 e especialização em Ocultismo</t>
        </is>
      </c>
      <c r="DR4" s="162" t="inlineStr">
        <is>
          <t>Promessa</t>
        </is>
      </c>
      <c r="DS4" s="162" t="inlineStr">
        <is>
          <t>Quando duas partes capazes de decidir aceitam os termos</t>
        </is>
      </c>
      <c r="DU4" s="162" t="inlineStr">
        <is>
          <t>Uma aptidão</t>
        </is>
      </c>
      <c r="DW4" s="162" t="inlineStr">
        <is>
          <t>Grande</t>
        </is>
      </c>
      <c r="DY4" s="162" t="inlineStr">
        <is>
          <t>Feitiço 3</t>
        </is>
      </c>
      <c r="DZ4" s="164" t="n">
        <v>0</v>
      </c>
      <c r="EA4" s="164" t="n">
        <v>3</v>
      </c>
      <c r="EB4" s="164">
        <f>MAX(1,MIN(7,N('FICHA AMALDIÇOADA'!$P$64)))</f>
        <v/>
      </c>
      <c r="EC4" s="164">
        <f>'FICHA AMALDIÇOADA'!$Q$64&amp;""</f>
        <v/>
      </c>
      <c r="ED4" s="164">
        <f>'FICHA AMALDIÇOADA'!$P$71&amp;""</f>
        <v/>
      </c>
      <c r="EE4" s="164">
        <f>'FICHA AMALDIÇOADA'!$Q$73&amp;""</f>
        <v/>
      </c>
      <c r="EF4" s="164">
        <f>'FICHA AMALDIÇOADA'!$Q$74&amp;""</f>
        <v/>
      </c>
      <c r="EG4" s="164">
        <f>'FICHA AMALDIÇOADA'!$Q$75&amp;""</f>
        <v/>
      </c>
      <c r="EH4" s="164">
        <f>'FICHA AMALDIÇOADA'!$Q$76&amp;""</f>
        <v/>
      </c>
      <c r="EI4" s="164">
        <f>'FICHA AMALDIÇOADA'!$Q$77&amp;""</f>
        <v/>
      </c>
      <c r="EJ4" s="164">
        <f>'FICHA AMALDIÇOADA'!$Q$78&amp;""</f>
        <v/>
      </c>
      <c r="EK4" s="164">
        <f>IF($EC4&lt;&gt;"",1,0)</f>
        <v/>
      </c>
      <c r="EL4" s="164">
        <f>IFERROR(MATCH(SUBSTITUTE(SUBSTITUTE(SUBSTITUTE($ED4,"~","~~"),"*","~*"),"?","~?"),'DADOS_FORMAS'!$FJ$2:$FJ$21,0),0)</f>
        <v/>
      </c>
      <c r="EM4" s="164">
        <f>IF($EL4=0,0,INDEX('DADOS_FORMAS'!$FM$2:$FM$21,$EL4))</f>
        <v/>
      </c>
      <c r="EN4" s="164">
        <f>IFERROR(VLOOKUP(SUBSTITUTE(SUBSTITUTE(SUBSTITUTE($EE4,"~","~~"),"*","~*"),"?","~?"),'DADOS_MELHORIAS'!$O$2:$W$113,4,FALSE),0)</f>
        <v/>
      </c>
      <c r="EO4" s="164">
        <f>IFERROR(VLOOKUP(SUBSTITUTE(SUBSTITUTE(SUBSTITUTE($EF4,"~","~~"),"*","~*"),"?","~?"),'DADOS_MELHORIAS'!$O$2:$W$113,4,FALSE),0)</f>
        <v/>
      </c>
      <c r="EP4" s="164">
        <f>IFERROR(VLOOKUP(SUBSTITUTE(SUBSTITUTE(SUBSTITUTE($EG4,"~","~~"),"*","~*"),"?","~?"),'DADOS_MELHORIAS'!$O$2:$W$113,4,FALSE),0)</f>
        <v/>
      </c>
      <c r="EQ4" s="164">
        <f>IFERROR(VLOOKUP(SUBSTITUTE(SUBSTITUTE(SUBSTITUTE($EH4,"~","~~"),"*","~*"),"?","~?"),'DADOS_MELHORIAS'!$O$2:$W$113,4,FALSE),0)</f>
        <v/>
      </c>
      <c r="ER4" s="164">
        <f>IF($EL4=0,0,INDEX('DADOS_FORMAS'!$FN$2:$FN$21,$EL4))</f>
        <v/>
      </c>
      <c r="ES4" s="164">
        <f>IFERROR(VLOOKUP(SUBSTITUTE(SUBSTITUTE(SUBSTITUTE($EE4,"~","~~"),"*","~*"),"?","~?"),'DADOS_MELHORIAS'!$O$2:$W$113,5,FALSE),0)</f>
        <v/>
      </c>
      <c r="ET4" s="164">
        <f>IFERROR(VLOOKUP(SUBSTITUTE(SUBSTITUTE(SUBSTITUTE($EF4,"~","~~"),"*","~*"),"?","~?"),'DADOS_MELHORIAS'!$O$2:$W$113,5,FALSE),0)</f>
        <v/>
      </c>
      <c r="EU4" s="164">
        <f>IFERROR(VLOOKUP(SUBSTITUTE(SUBSTITUTE(SUBSTITUTE($EG4,"~","~~"),"*","~*"),"?","~?"),'DADOS_MELHORIAS'!$O$2:$W$113,5,FALSE),0)</f>
        <v/>
      </c>
      <c r="EV4" s="164">
        <f>IFERROR(VLOOKUP(SUBSTITUTE(SUBSTITUTE(SUBSTITUTE($EH4,"~","~~"),"*","~*"),"?","~?"),'DADOS_MELHORIAS'!$O$2:$W$113,5,FALSE),0)</f>
        <v/>
      </c>
      <c r="EW4" s="164">
        <f>IFERROR(VLOOKUP(SUBSTITUTE(SUBSTITUTE(SUBSTITUTE($EE4,"~","~~"),"*","~*"),"?","~?"),'DADOS_MELHORIAS'!$O$2:$W$113,6,FALSE),0)+IFERROR(VLOOKUP(SUBSTITUTE(SUBSTITUTE(SUBSTITUTE($EF4,"~","~~"),"*","~*"),"?","~?"),'DADOS_MELHORIAS'!$O$2:$W$113,6,FALSE),0)+IFERROR(VLOOKUP(SUBSTITUTE(SUBSTITUTE(SUBSTITUTE($EG4,"~","~~"),"*","~*"),"?","~?"),'DADOS_MELHORIAS'!$O$2:$W$113,6,FALSE),0)+IFERROR(VLOOKUP(SUBSTITUTE(SUBSTITUTE(SUBSTITUTE($EH4,"~","~~"),"*","~*"),"?","~?"),'DADOS_MELHORIAS'!$O$2:$W$113,6,FALSE),0)</f>
        <v/>
      </c>
      <c r="EX4" s="164">
        <f>IFERROR(VLOOKUP(SUBSTITUTE(SUBSTITUTE(SUBSTITUTE($EE4,"~","~~"),"*","~*"),"?","~?"),'DADOS_MELHORIAS'!$O$2:$W$113,9,FALSE),0)+IFERROR(VLOOKUP(SUBSTITUTE(SUBSTITUTE(SUBSTITUTE($EF4,"~","~~"),"*","~*"),"?","~?"),'DADOS_MELHORIAS'!$O$2:$W$113,9,FALSE),0)+IFERROR(VLOOKUP(SUBSTITUTE(SUBSTITUTE(SUBSTITUTE($EG4,"~","~~"),"*","~*"),"?","~?"),'DADOS_MELHORIAS'!$O$2:$W$113,9,FALSE),0)+IFERROR(VLOOKUP(SUBSTITUTE(SUBSTITUTE(SUBSTITUTE($EH4,"~","~~"),"*","~*"),"?","~?"),'DADOS_MELHORIAS'!$O$2:$W$113,9,FALSE),0)</f>
        <v/>
      </c>
      <c r="EY4" s="164">
        <f>IF($EL4=0,0,INDEX('DADOS_FORMAS'!$FO$2:$FO$21,$EL4))</f>
        <v/>
      </c>
      <c r="EZ4" s="164">
        <f>IF($EL4=0,0,INDEX('DADOS_FORMAS'!$FP$2:$FP$21,$EL4))</f>
        <v/>
      </c>
      <c r="FA4" s="164">
        <f>IF($EL4=0,0,INDEX('DADOS_FORMAS'!$FR$2:$FR$21,$EL4))</f>
        <v/>
      </c>
      <c r="FB4" s="164">
        <f>IFERROR(VLOOKUP(SUBSTITUTE(SUBSTITUTE(SUBSTITUTE($EI4,"~","~~"),"*","~*"),"?","~?"),'DADOS_RESTRICOES'!$M$2:$Q$54,3,FALSE),0)</f>
        <v/>
      </c>
      <c r="FC4" s="164">
        <f>IFERROR(VLOOKUP(SUBSTITUTE(SUBSTITUTE(SUBSTITUTE($EJ4,"~","~~"),"*","~*"),"?","~?"),'DADOS_RESTRICOES'!$M$2:$Q$54,3,FALSE),0)</f>
        <v/>
      </c>
      <c r="FD4" s="164">
        <f>IFERROR(VLOOKUP(SUBSTITUTE(SUBSTITUTE(SUBSTITUTE($EI4,"~","~~"),"*","~*"),"?","~?"),'DADOS_RESTRICOES'!$M$2:$Q$54,2,FALSE),"")</f>
        <v/>
      </c>
      <c r="FE4" s="164">
        <f>IFERROR(VLOOKUP(SUBSTITUTE(SUBSTITUTE(SUBSTITUTE($EJ4,"~","~~"),"*","~*"),"?","~?"),'DADOS_RESTRICOES'!$M$2:$Q$54,2,FALSE),"")</f>
        <v/>
      </c>
      <c r="FF4" s="164">
        <f>COUNTIF($EM4:$EQ4,1)</f>
        <v/>
      </c>
      <c r="FG4" s="164">
        <f>COUNTIF($EM4:$EQ4,2)</f>
        <v/>
      </c>
      <c r="FH4" s="164">
        <f>COUNTIF($EM4:$EQ4,3)</f>
        <v/>
      </c>
      <c r="FI4" s="164">
        <f>COUNTIF($EM4:$EQ4,4)</f>
        <v/>
      </c>
      <c r="FJ4" s="164">
        <f>COUNTIF($EM4:$EQ4,5)</f>
        <v/>
      </c>
      <c r="FK4" s="164">
        <f>COUNTIF($EM4:$EQ4,6)</f>
        <v/>
      </c>
      <c r="FL4" s="164">
        <f>COUNTIF($FB4:$FC4,1)+IF(IFERROR(INDEX('DADOS_FORMAS'!$AS$2:$AS$21,MATCH(SUBSTITUTE(SUBSTITUTE(SUBSTITUTE($ED4,"~","~~"),"*","~*"),"?","~?"),'DADOS_FORMAS'!$AH$2:$AH$21,0)),"")="",0,IFERROR(N(VLOOKUP(SUBSTITUTE(SUBSTITUTE(SUBSTITUTE(IFERROR(INDEX('DADOS_FORMAS'!$AS$2:$AS$21,MATCH(SUBSTITUTE(SUBSTITUTE(SUBSTITUTE($ED4,"~","~~"),"*","~*"),"?","~?"),'DADOS_FORMAS'!$AH$2:$AH$21,0)),""),"~","~~"),"*","~*"),"?","~?"),'DADOS_RESTRICOES'!$M$2:$Q$54,3,FALSE)=1),0))</f>
        <v/>
      </c>
      <c r="FM4" s="164">
        <f>COUNTIF($FB4:$FC4,2)+IF(IFERROR(INDEX('DADOS_FORMAS'!$AS$2:$AS$21,MATCH(SUBSTITUTE(SUBSTITUTE(SUBSTITUTE($ED4,"~","~~"),"*","~*"),"?","~?"),'DADOS_FORMAS'!$AH$2:$AH$21,0)),"")="",0,IFERROR(N(VLOOKUP(SUBSTITUTE(SUBSTITUTE(SUBSTITUTE(IFERROR(INDEX('DADOS_FORMAS'!$AS$2:$AS$21,MATCH(SUBSTITUTE(SUBSTITUTE(SUBSTITUTE($ED4,"~","~~"),"*","~*"),"?","~?"),'DADOS_FORMAS'!$AH$2:$AH$21,0)),""),"~","~~"),"*","~*"),"?","~?"),'DADOS_RESTRICOES'!$M$2:$Q$54,3,FALSE)=2),0))</f>
        <v/>
      </c>
      <c r="FN4" s="164">
        <f>COUNTIF($EE4:$EH4,"?*")</f>
        <v/>
      </c>
      <c r="FO4" s="164">
        <f>COUNTIF($EI4:$EJ4,"?*")+$EY4</f>
        <v/>
      </c>
      <c r="FP4" s="164">
        <f>SUMPRODUCT($FF4:$FK4,INDEX($Q$2:$V$8,$EB4,0))</f>
        <v/>
      </c>
      <c r="FQ4" s="164">
        <f>$FL4*CEILING($EB4/2,1)+$FM4*$EB4</f>
        <v/>
      </c>
      <c r="FR4" s="164">
        <f>MIN(2*$EB4,$FQ4)</f>
        <v/>
      </c>
      <c r="FS4" s="164">
        <f>MIN($FR4,$FP4-IF($EM4=0,0,INDEX($Q$2:$V$8,$EB4,$EM4)))</f>
        <v/>
      </c>
      <c r="FT4" s="164">
        <f>$FR4-$FS4</f>
        <v/>
      </c>
      <c r="FU4" s="164">
        <f>3*$EB4-$FP4+$FS4</f>
        <v/>
      </c>
      <c r="FV4" s="164">
        <f>MAX(0,$FU4)+$DZ4*$EB4</f>
        <v/>
      </c>
      <c r="FW4" s="164">
        <f>(IF(COUNTIF($KW4:$KZ4,"Salto")&gt;0,1,0)+IF(COUNTIF($KW4:$KZ4,"Queima")&gt;0,1,0)+IF(COUNTIF($KW4:$KZ4,"Estilhaço")&gt;0,1,0))*FLOOR($FV4/2,1)</f>
        <v/>
      </c>
      <c r="FX4" s="164">
        <f>MAX(0,3-SUMPRODUCT($FF4:$FK4,$Q$2:$V$2)+MIN(2,$FL4*1+$FM4*1,SUMPRODUCT($FF4:$FK4,$Q$2:$V$2)-IF($EM4=0,0,INDEX($Q$2:$V$2,1,$EM4))))+$DZ4*1</f>
        <v/>
      </c>
      <c r="FY4" s="164">
        <f>MAX(0,6-SUMPRODUCT($FF4:$FK4,$Q$3:$V$3)+MIN(4,$FL4*1+$FM4*2,SUMPRODUCT($FF4:$FK4,$Q$3:$V$3)-IF($EM4=0,0,INDEX($Q$3:$V$3,1,$EM4))))+$DZ4*2</f>
        <v/>
      </c>
      <c r="FZ4" s="164">
        <f>MAX(0,9-SUMPRODUCT($FF4:$FK4,$Q$4:$V$4)+MIN(6,$FL4*2+$FM4*3,SUMPRODUCT($FF4:$FK4,$Q$4:$V$4)-IF($EM4=0,0,INDEX($Q$4:$V$4,1,$EM4))))+$DZ4*3</f>
        <v/>
      </c>
      <c r="GA4" s="164">
        <f>MAX(0,12-SUMPRODUCT($FF4:$FK4,$Q$5:$V$5)+MIN(8,$FL4*2+$FM4*4,SUMPRODUCT($FF4:$FK4,$Q$5:$V$5)-IF($EM4=0,0,INDEX($Q$5:$V$5,1,$EM4))))+$DZ4*4</f>
        <v/>
      </c>
      <c r="GB4" s="164">
        <f>MAX(0,15-SUMPRODUCT($FF4:$FK4,$Q$6:$V$6)+MIN(10,$FL4*3+$FM4*5,SUMPRODUCT($FF4:$FK4,$Q$6:$V$6)-IF($EM4=0,0,INDEX($Q$6:$V$6,1,$EM4))))+$DZ4*5</f>
        <v/>
      </c>
      <c r="GC4" s="164">
        <f>MAX(0,18-SUMPRODUCT($FF4:$FK4,$Q$7:$V$7)+MIN(12,$FL4*3+$FM4*6,SUMPRODUCT($FF4:$FK4,$Q$7:$V$7)-IF($EM4=0,0,INDEX($Q$7:$V$7,1,$EM4))))+$DZ4*6</f>
        <v/>
      </c>
      <c r="GD4" s="164">
        <f>MAX(0,21-SUMPRODUCT($FF4:$FK4,$Q$8:$V$8)+MIN(14,$FL4*4+$FM4*7,SUMPRODUCT($FF4:$FK4,$Q$8:$V$8)-IF($EM4=0,0,INDEX($Q$8:$V$8,1,$EM4))))+$DZ4*7</f>
        <v/>
      </c>
      <c r="GE4" s="164">
        <f>IF($EZ4=2,3*$FX4&amp;" de vida temp.",IF($EZ4=3,"sem dano",IF($FX4=0,IF($EZ4=1,"sem cura","sem dano"),IF($EZ4=1,"cura ","")&amp;$FX4&amp;"d8")))</f>
        <v/>
      </c>
      <c r="GF4" s="164">
        <f>IF($EZ4=2,3*$FY4&amp;" de vida temp.",IF($EZ4=3,"sem dano",IF($FY4=0,IF($EZ4=1,"sem cura","sem dano"),IF($EZ4=1,"cura ","")&amp;$FY4&amp;"d8")))</f>
        <v/>
      </c>
      <c r="GG4" s="164">
        <f>IF($EZ4=2,3*$FZ4&amp;" de vida temp.",IF($EZ4=3,"sem dano",IF($FZ4=0,IF($EZ4=1,"sem cura","sem dano"),IF($EZ4=1,"cura ","")&amp;$FZ4&amp;"d8")))</f>
        <v/>
      </c>
      <c r="GH4" s="164">
        <f>IF($EZ4=2,3*$GA4&amp;" de vida temp.",IF($EZ4=3,"sem dano",IF($GA4=0,IF($EZ4=1,"sem cura","sem dano"),IF($EZ4=1,"cura ","")&amp;$GA4&amp;"d8")))</f>
        <v/>
      </c>
      <c r="GI4" s="164">
        <f>IF($EZ4=2,3*$GB4&amp;" de vida temp.",IF($EZ4=3,"sem dano",IF($GB4=0,IF($EZ4=1,"sem cura","sem dano"),IF($EZ4=1,"cura ","")&amp;$GB4&amp;"d8")))</f>
        <v/>
      </c>
      <c r="GJ4" s="164">
        <f>IF($EZ4=2,3*$GC4&amp;" de vida temp.",IF($EZ4=3,"sem dano",IF($GC4=0,IF($EZ4=1,"sem cura","sem dano"),IF($EZ4=1,"cura ","")&amp;$GC4&amp;"d8")))</f>
        <v/>
      </c>
      <c r="GK4" s="164">
        <f>IF($EZ4=2,3*$GD4&amp;" de vida temp.",IF($EZ4=3,"sem dano",IF($GD4=0,IF($EZ4=1,"sem cura","sem dano"),IF($EZ4=1,"cura ","")&amp;$GD4&amp;"d8")))</f>
        <v/>
      </c>
      <c r="GL4" s="164">
        <f>IF($EK4=0,"",TEXTJOIN(" · ",TRUE,IF($EK4=0,"",TEXTJOIN(" · ",TRUE,IF($EK4=0,"",TEXTJOIN(" · ",TRUE,IF(AND($DZ4=1,$EA4&gt;$HM$9),"O nível "&amp;$HM$2&amp;" dá "&amp;$HM$9&amp;" Liberação Máxima",""),IF($EB4&gt;$HM$4,"Classe "&amp;$EB4&amp;": o nível "&amp;$HM$2&amp;" libera até a "&amp;$HM$4,""),IF($ER4=1,"Família Fechada: a Forma "&amp;$ED4,""),IF($ES4=1,"Família Fechada: "&amp;$EE4,""),IF($ET4=1,"Família Fechada: "&amp;$EF4,""),IF($EU4=1,"Família Fechada: "&amp;$EG4,""),IF($EV4=1,"Família Fechada: "&amp;$EH4,""),IF($FN4&gt;INDEX($W$2:$W$8,$EB4),$FN4&amp;" Melhorias: a Classe "&amp;$EB4&amp;" aceita "&amp;INDEX($W$2:$W$8,$EB4),""),IF($FO4&gt;2,$FO4&amp;" Restrições"&amp;IF($EY4=1,", contando a que a Forma "&amp;$ED4&amp;" já traz","")&amp;": o limite é 2",""),IF($FU4&lt;0,"Orçamento estourado: faltam "&amp;(-$FU4)&amp;IF($FU4&lt;-1," pontos"," ponto"),""),IF(IFERROR(VLOOKUP(SUBSTITUTE(SUBSTITUTE(SUBSTITUTE($EI4,"~","~~"),"*","~*"),"?","~?"),'DADOS_RESTRICOES'!$M$2:$Q$54,4,FALSE),0)+IFERROR(VLOOKUP(SUBSTITUTE(SUBSTITUTE(SUBSTITUTE($EJ4,"~","~~"),"*","~*"),"?","~?"),'DADOS_RESTRICOES'!$M$2:$Q$54,4,FALSE),0)&gt;1,$FD4&amp;" e "&amp;$FE4&amp;" são as duas de frequência",""),IF(AND((COUNTIF($KW4:$KZ4,"Rápido")+COUNTIF($FD4:$FE4,"Rápido"))&gt;0,(COUNTIF($EE4:$EH4,"Atrasar")+COUNTIF($FD4:$FE4,"Atrasar"))&gt;0),"Rápido não entra com Atrasar",""),IF(AND((COUNTIF($KW4:$KZ4,"Reação")+COUNTIF($FD4:$FE4,"Reação"))&gt;0,(COUNTIF($KW4:$KZ4,"Rápido")+COUNTIF($FD4:$FE4,"Rápido"))&gt;0),"Reação não entra com Rápido",""),IF(AND((COUNTIF($KW4:$KZ4,"Reação")+COUNTIF($FD4:$FE4,"Reação"))&gt;0,(COUNTIF($KW4:$KZ4,"Armado")+COUNTIF($FD4:$FE4,"Armado"))&gt;0),"Reação não entra com Armado",""),IF(AND((COUNTIF($KW4:$KZ4,"Reação")+COUNTIF($FD4:$FE4,"Reação"))&gt;0,(COUNTIF($EE4:$EH4,"Atrasar")+COUNTIF($FD4:$FE4,"Atrasar"))&gt;0),"Reação não entra com Atrasar",""),IF(AND((COUNTIF($KW4:$KZ4,"Reação")+COUNTIF($FD4:$FE4,"Reação"))&gt;0,(COUNTIF($EE4:$EH4,"Parado")+COUNTIF($FD4:$FE4,"Parado"))&gt;0),"Reação não entra com Parado",""),IF(AND((COUNTIF($EE4:$EH4,"Atrasar")+COUNTIF($FD4:$FE4,"Atrasar"))&gt;0,(COUNTIF($EE4:$EH4,"Parado")+COUNTIF($FD4:$FE4,"Parado"))&gt;0),"Atrasar não entra com Parado",""),IF(AND((COUNTIF($KW4:$KZ4,"Armado")+COUNTIF($FD4:$FE4,"Armado"))&gt;0,(COUNTIF($EE4:$EH4,"Carregar")+COUNTIF($FD4:$FE4,"Carregar"))&gt;0),"Armado não entra com Carregar",""),IF(AND(COUNTIF($FD4:$FE4,"Corpo a Corpo")&gt;0,$EY4=0,OR($LB4="Cone",$LB4="Linha")),"Corpo a Corpo não entra em "&amp;$ED4,""),IF(AND(COUNTIF($FD4:$FE4,"Corpo a Corpo")&gt;0,$LC4="Corpo a Corpo"),"A Forma "&amp;$ED4&amp;" já traz o Corpo a Corpo",""),IF(AND(COUNTIF($FD4:$FE4,"Tudo ou Nada")&gt;0,$FA4=0),"Tudo ou Nada só entra em feitiço de Teste de Resistência",""),IF(AND(COUNTIF($KW4:$KZ4,"Inescapável")&gt;0,OR($FN4&gt;1,$FO4&gt;0)),"Inescapável não aceita outra peça",""),IF(AND($DZ4=1,$EB4&lt;3),"Liberação Máxima é de Classe 3 ou mais",""),IF(AND($DZ4=1,OR($EZ4=1,$EZ4=2)),"Liberação Máxima não serve para cura",""),IF(AND($DZ4=1,COUNTIF($KW4:$KZ4,"Inescapável")+COUNTIF($KW4:$KZ4,"Toca a Alma")&gt;0),"Esta peça não entra numa Liberação Máxima",""),IF($FV4*IF(COUNTIF($KW4:$KZ4,"Remate")&gt;0,1.25,1)+$FW4&gt;4*$EB4,($FV4*IF(COUNTIF($KW4:$KZ4,"Remate")&gt;0,1.25,1)+$FW4)&amp;" dados somando repetições"&amp;IF(COUNTIF($KW4:$KZ4,"Remate")&gt;0," e o Remate","")&amp;": o teto da Classe "&amp;$EB4&amp;" é "&amp;4*$EB4,""))),IF(AND($EE4&lt;&gt;"",COUNTIF('DADOS_MELHORIAS'!$O$2:$O$113,SUBSTITUTE(SUBSTITUTE(SUBSTITUTE($EE4,"~","~~"),"*","~*"),"?","~?"))=0),"Melhoria não cadastrada ou com erro: "&amp;$EE4,""),IF(AND($EF4&lt;&gt;"",COUNTIF('DADOS_MELHORIAS'!$O$2:$O$113,SUBSTITUTE(SUBSTITUTE(SUBSTITUTE($EF4,"~","~~"),"*","~*"),"?","~?"))=0),"Melhoria não cadastrada ou com erro: "&amp;$EF4,""),IF(AND($EG4&lt;&gt;"",COUNTIF('DADOS_MELHORIAS'!$O$2:$O$113,SUBSTITUTE(SUBSTITUTE(SUBSTITUTE($EG4,"~","~~"),"*","~*"),"?","~?"))=0),"Melhoria não cadastrada ou com erro: "&amp;$EG4,""),IF(AND($EH4&lt;&gt;"",COUNTIF('DADOS_MELHORIAS'!$O$2:$O$113,SUBSTITUTE(SUBSTITUTE(SUBSTITUTE($EH4,"~","~~"),"*","~*"),"?","~?"))=0),"Melhoria não cadastrada ou com erro: "&amp;$EH4,""),IF(AND($EI4&lt;&gt;"",COUNTIF('DADOS_RESTRICOES'!$M$2:$M$54,SUBSTITUTE(SUBSTITUTE(SUBSTITUTE($EI4,"~","~~"),"*","~*"),"?","~?"))=0),"Restrição não cadastrada ou com erro: "&amp;$EI4,""),IF(AND($EJ4&lt;&gt;"",COUNTIF('DADOS_RESTRICOES'!$M$2:$M$54,SUBSTITUTE(SUBSTITUTE(SUBSTITUTE($EJ4,"~","~~"),"*","~*"),"?","~?"))=0),"Restrição não cadastrada ou com erro: "&amp;$EJ4,""))),IF(AND($ED4&lt;&gt;"",COUNTIF('DADOS_FORMAS'!$AH$2:$AH$21,SUBSTITUTE(SUBSTITUTE(SUBSTITUTE($ED4,"~","~~"),"*","~*"),"?","~?"))=0),"Forma não cadastrada ou com erro: "&amp;$ED4,""),IF(AND(IFERROR(INDEX('DADOS_FORMAS'!$AS$2:$AS$21,MATCH(SUBSTITUTE(SUBSTITUTE(SUBSTITUTE($ED4,"~","~~"),"*","~*"),"?","~?"),'DADOS_FORMAS'!$AH$2:$AH$21,0)),"")&lt;&gt;"",OR(IFERROR(VLOOKUP(SUBSTITUTE(SUBSTITUTE(SUBSTITUTE(IFERROR(INDEX('DADOS_FORMAS'!$AS$2:$AS$21,MATCH(SUBSTITUTE(SUBSTITUTE(SUBSTITUTE($ED4,"~","~~"),"*","~*"),"?","~?"),'DADOS_FORMAS'!$AH$2:$AH$21,0)),""),"~","~~"),"*","~*"),"?","~?"),'DADOS_RESTRICOES'!$M$2:$Q$54,2,FALSE),"")=$FD4,IFERROR(VLOOKUP(SUBSTITUTE(SUBSTITUTE(SUBSTITUTE(IFERROR(INDEX('DADOS_FORMAS'!$AS$2:$AS$21,MATCH(SUBSTITUTE(SUBSTITUTE(SUBSTITUTE($ED4,"~","~~"),"*","~*"),"?","~?"),'DADOS_FORMAS'!$AH$2:$AH$21,0)),""),"~","~~"),"*","~*"),"?","~?"),'DADOS_RESTRICOES'!$M$2:$Q$54,2,FALSE),"")=$FE4)),"Restrição repetida, contando a embutida",""),IF(IF(IFERROR(INDEX('DADOS_FORMAS'!$AS$2:$AS$21,MATCH(SUBSTITUTE(SUBSTITUTE(SUBSTITUTE($ED4,"~","~~"),"*","~*"),"?","~?"),'DADOS_FORMAS'!$AH$2:$AH$21,0)),"")="",0,IFERROR(N(VLOOKUP(SUBSTITUTE(SUBSTITUTE(SUBSTITUTE(IFERROR(INDEX('DADOS_FORMAS'!$AS$2:$AS$21,MATCH(SUBSTITUTE(SUBSTITUTE(SUBSTITUTE($ED4,"~","~~"),"*","~*"),"?","~?"),'DADOS_FORMAS'!$AH$2:$AH$21,0)),""),"~","~~"),"*","~*"),"?","~?"),'DADOS_RESTRICOES'!$M$2:$Q$54,4,FALSE)=1),0))+IF($EI4="",0,IFERROR(N(VLOOKUP(SUBSTITUTE(SUBSTITUTE(SUBSTITUTE($EI4,"~","~~"),"*","~*"),"?","~?"),'DADOS_RESTRICOES'!$M$2:$Q$54,4,FALSE)=1),0))+IF($EJ4="",0,IFERROR(N(VLOOKUP(SUBSTITUTE(SUBSTITUTE(SUBSTITUTE($EJ4,"~","~~"),"*","~*"),"?","~?"),'DADOS_RESTRICOES'!$M$2:$Q$54,4,FALSE)=1),0))&gt;1,"Duas Restrições de frequência, contando a embutida",""),IF(AND(IFERROR(VLOOKUP(SUBSTITUTE(SUBSTITUTE(SUBSTITUTE(IFERROR(INDEX('DADOS_FORMAS'!$AS$2:$AS$21,MATCH(SUBSTITUTE(SUBSTITUTE(SUBSTITUTE($ED4,"~","~~"),"*","~*"),"?","~?"),'DADOS_FORMAS'!$AH$2:$AH$21,0)),""),"~","~~"),"*","~*"),"?","~?"),'DADOS_RESTRICOES'!$M$2:$Q$54,2,FALSE),"")="Tudo ou Nada",$FA4=0),"Tudo ou Nada exige TR",""),IF(AND(IFERROR(VLOOKUP(SUBSTITUTE(SUBSTITUTE(SUBSTITUTE(IFERROR(INDEX('DADOS_FORMAS'!$AS$2:$AS$21,MATCH(SUBSTITUTE(SUBSTITUTE(SUBSTITUTE($ED4,"~","~~"),"*","~*"),"?","~?"),'DADOS_FORMAS'!$AH$2:$AH$21,0)),""),"~","~~"),"*","~*"),"?","~?"),'DADOS_RESTRICOES'!$M$2:$Q$54,2,FALSE),"")="Corpo a Corpo",OR($LB4="Cone",$LB4="Linha")),"Corpo a Corpo não entra em Cone/Linha","")))</f>
        <v/>
      </c>
      <c r="GM4" s="164">
        <f>IF($GL4="",0,(LEN($GL4)-LEN(SUBSTITUTE($GL4," · ","")))/3+1)</f>
        <v/>
      </c>
      <c r="GN4" s="164">
        <f>IF($EK4=0,"",TEXTJOIN(" · ",TRUE,IF($FQ4&gt;2*$EB4,"A devolução parou no teto de "&amp;2*$EB4,""),IF($FT4&gt;0,"Devolução perdida: "&amp;$FT4&amp;IF($FT4&gt;1," pontos"," ponto")&amp;" sem Melhoria para pagar",""),IF(AND($EW4&gt;0,$FV4=0),"Controle sem dano: uma rodada a mais e CD +2",""),IF(AND($EW4&gt;0,$FV4&gt;0,$FV4&lt;=$EB4),"Controle com saldo até a Classe: uma rodada a mais","")))</f>
        <v/>
      </c>
      <c r="GO4" s="164">
        <f>IF($GN4="",0,(LEN($GN4)-LEN(SUBSTITUTE($GN4," · ","")))/3+1)</f>
        <v/>
      </c>
      <c r="GP4" s="164">
        <f>IF($EK4=0,IF($FN4+$FO4-$EY4&gt;0,"Dê um nome",""),IF($GM4&gt;0,"⚠ "&amp;$GM4&amp;IF($GM4&gt;1," erros"," erro"),IF($GO4&gt;0,"! "&amp;$GO4&amp;IF($GO4&gt;1," avisos"," aviso"),"Na regra")))</f>
        <v/>
      </c>
      <c r="GQ4" s="164">
        <f>IF($EK4=0,"",IF($GM4+$GO4=0,"Dentro das regras que a ficha confere",$GL4&amp;IF(AND($GM4&gt;0,$GO4&gt;0)," · ","")&amp;$GN4))</f>
        <v/>
      </c>
      <c r="GR4" s="164">
        <f>IF($EK4=0,"",IF($DZ4=1,CEILING(4.5*$EB4,1),3*$EB4)&amp;" PE")</f>
        <v/>
      </c>
      <c r="GS4" s="164">
        <f>IF($EK4=0,"",IF($DZ4=1,"Rodada inteira",IF(COUNTIF($LD4:$LF4,"Atrasar")&gt;0,IF(COUNTIF($LD4:$LF4,"Carregar")&gt;0,"Rodada +1 turno","Rodada inteira"),IF(COUNTIF($KW4:$KZ4,"Rápido")&gt;0,"Bônus",IF(COUNTIF($KW4:$KZ4,"Reação")&gt;0,"Reação","Padrão"))&amp;IF(COUNTIF($LD4:$LF4,"Carregar")&gt;0," +1 turno",""))))</f>
        <v/>
      </c>
      <c r="GT4" s="164">
        <f>IF(OR($EK4=0,$EL4=0),"",IF(COUNTIF($KW4:$KZ4,"Inescapável")&gt;0,"Automático",IF(COUNTIF($KW4:$KZ4,"Certeiro")&gt;0,"TR para metade",IF(AND($EX4&gt;0,$FA4=0,INDEX('DADOS_FORMAS'!$FQ$2:$FQ$21,$EL4)="Acerto"),"Acerto + TR",INDEX('DADOS_FORMAS'!$FQ$2:$FQ$21,$EL4)))))</f>
        <v/>
      </c>
      <c r="GU4" s="164">
        <f>IF(OR($EK4=0,$EL4=0),"",IF(OR($EZ4&gt;=2,$FV4=0),UPPER(LEFT(INDEX($GE4:$GK4,1,$EB4),1))&amp;MID(INDEX($GE4:$GK4,1,$EB4),2,99),UPPER(LEFT(INDEX($GE4:$GK4,1,$EB4),1))&amp;MID(INDEX($GE4:$GK4,1,$EB4),2,99)&amp;" = "&amp;FLOOR($FV4*4.5,1)&amp;IF($FW4&gt;0," · +"&amp;$FW4&amp;"d8","")))</f>
        <v/>
      </c>
      <c r="GV4" s="164">
        <f>COUNTIF($KW4:$KZ4,"Longe")+3*COUNTIF($KW4:$KZ4,"Muito Longe")</f>
        <v/>
      </c>
      <c r="GW4" s="164">
        <f>COUNTIF($KW4:$KZ4,"Maior")+3*COUNTIF($KW4:$KZ4,"Muito Maior")</f>
        <v/>
      </c>
      <c r="GX4" s="164">
        <f>IF($EL4=0,0,CHOOSE(1+INDEX('DADOS_FORMAS'!$FS$2:$FS$21,$EL4),0,$GV4,$GW4,$GV4+$GW4))</f>
        <v/>
      </c>
      <c r="GY4" s="164">
        <f>IF($EL4=0,0,CHOOSE(1+INDEX('DADOS_FORMAS'!$FT$2:$FT$21,$EL4),0,$GV4,$GW4,$GV4+$GW4))</f>
        <v/>
      </c>
      <c r="GZ4" s="164">
        <f>IF(OR($EK4=0,$EL4=0),"",INDEX('DADOS_FORMAS'!$GZ$2:$HE$61,($EL4-1)*3+IF($EB4&gt;=6,3,2),1+MIN(5,$GX4))&amp;INDEX('DADOS_FORMAS'!$HF$2:$HK$61,($EL4-1)*3+IF($EB4&gt;=6,3,2),1+MIN(5,$GY4))&amp;IF(INDEX('DADOS_FORMAS'!$FU$2:$FU$21,$EL4)=1,IF(COUNTIF($KW4:$KZ4,"Mais Um")&gt;0," · +"&amp;COUNTIF($KW4:$KZ4,"Mais Um")&amp;IF(COUNTIF($KW4:$KZ4,"Mais Um")&gt;1," alvos"," alvo"),"")&amp;IF(COUNTIF($KW4:$KZ4,"Rajada")&gt;0," · "&amp;($EB4+1)&amp;" tiros",""),""))</f>
        <v/>
      </c>
      <c r="HA4" s="164">
        <f>IF($EK4=0,"",3*$EB4&amp;" − "&amp;$FP4&amp;" + "&amp;$FS4&amp;IF($DZ4=1," + "&amp;$EB4,"")&amp;" = "&amp;$FV4&amp;"d8 · teto "&amp;4*$EB4&amp;IF($EY4=1," · a Forma devolve "&amp;$EB4,"")&amp;IF($FT4&gt;0," · perde "&amp;$FT4,""))</f>
        <v/>
      </c>
      <c r="HB4" s="164">
        <f>IF($EK4=0,"",IF($EB4&gt;=$HM$4,"Já está na maior Classe que o nível liberou",TEXTJOIN(" · ",TRUE,IF(AND(2&gt;$EB4,2&lt;=$HM$4),"2 → "&amp;$GF4&amp;", "&amp;IF($DZ4=1,9,6)&amp;" PE",""),IF(AND(3&gt;$EB4,3&lt;=$HM$4),"3 → "&amp;$GG4&amp;", "&amp;IF($DZ4=1,14,9)&amp;" PE",""),IF(AND(4&gt;$EB4,4&lt;=$HM$4),"4 → "&amp;$GH4&amp;", "&amp;IF($DZ4=1,18,12)&amp;" PE",""),IF(AND(5&gt;$EB4,5&lt;=$HM$4),"5 → "&amp;$GI4&amp;", "&amp;IF($DZ4=1,23,15)&amp;" PE",""),IF(AND(6&gt;$EB4,6&lt;=$HM$4),"6 → "&amp;$GJ4&amp;", "&amp;IF($DZ4=1,27,18)&amp;" PE",""),IF(AND(7&gt;$EB4,7&lt;=$HM$4),"7 → "&amp;$GK4&amp;", "&amp;IF($DZ4=1,32,21)&amp;" PE",""))))</f>
        <v/>
      </c>
      <c r="HC4" s="164">
        <f>IF(OR($EK4=0,$EN4=0),"","−"&amp;INDEX($Q$2:$V$8,$EB4,$EN4)&amp;" · "&amp;CHOOSE($EN4,"Leve","Média","Pesada","Leve · Livre","Média · Livre","Pesada · Livre"))</f>
        <v/>
      </c>
      <c r="HD4" s="164">
        <f>IF(OR($EK4=0,$EO4=0),"","−"&amp;INDEX($Q$2:$V$8,$EB4,$EO4)&amp;" · "&amp;CHOOSE($EO4,"Leve","Média","Pesada","Leve · Livre","Média · Livre","Pesada · Livre"))</f>
        <v/>
      </c>
      <c r="HE4" s="164">
        <f>IF(OR($EK4=0,$EP4=0),"","−"&amp;INDEX($Q$2:$V$8,$EB4,$EP4)&amp;" · "&amp;CHOOSE($EP4,"Leve","Média","Pesada","Leve · Livre","Média · Livre","Pesada · Livre"))</f>
        <v/>
      </c>
      <c r="HF4" s="164">
        <f>IF(OR($EK4=0,$EQ4=0),"","−"&amp;INDEX($Q$2:$V$8,$EB4,$EQ4)&amp;" · "&amp;CHOOSE($EQ4,"Leve","Média","Pesada","Leve · Livre","Média · Livre","Pesada · Livre"))</f>
        <v/>
      </c>
      <c r="HG4" s="164">
        <f>IF(OR($EK4=0,$EI4=""),"","+"&amp;IF($FB4=1,CEILING($EB4/2,1),$EB4))</f>
        <v/>
      </c>
      <c r="HH4" s="164">
        <f>IF(OR($EK4=0,$EJ4=""),"","+"&amp;IF($FC4=1,CEILING($EB4/2,1),$EB4))</f>
        <v/>
      </c>
      <c r="HI4" s="164">
        <f>'FICHA AMALDIÇOADA'!$P$66&amp;""</f>
        <v/>
      </c>
      <c r="HJ4" s="164">
        <f>IF(AND($EK4=1,$DZ4=0),COUNTIFS($EK$2:$EK4,1,$DZ$2:$DZ4,0),"")</f>
        <v/>
      </c>
      <c r="HL4" s="162" t="inlineStr">
        <is>
          <t>maior classe</t>
        </is>
      </c>
      <c r="HM4" s="164">
        <f>MAX(1,MIN(7,N(FICHA!$Z$73)))</f>
        <v/>
      </c>
      <c r="HO4" s="162" t="inlineStr">
        <is>
          <t>Talento 3</t>
        </is>
      </c>
      <c r="HP4" s="164">
        <f>'FICHA AMALDIÇOADA'!$P$392&amp;""</f>
        <v/>
      </c>
      <c r="HQ4" s="164">
        <f>IFERROR(VLOOKUP(SUBSTITUTE(SUBSTITUTE(SUBSTITUTE($HP4,"~","~~"),"*","~*"),"?","~?"),'DADOS_TALENTOS'!$AQ$2:$AW$34,2,FALSE),0)</f>
        <v/>
      </c>
      <c r="HR4" s="164">
        <f>IFERROR(VLOOKUP($HQ4,$CA$2:$CB$4,2,FALSE),0)</f>
        <v/>
      </c>
      <c r="HS4" s="164">
        <f>IFERROR(VLOOKUP(SUBSTITUTE(SUBSTITUTE(SUBSTITUTE($HP4,"~","~~"),"*","~*"),"?","~?"),'DADOS_TALENTOS'!$AQ$2:$AW$34,3,FALSE),"")</f>
        <v/>
      </c>
      <c r="HT4" s="164">
        <f>IF($HQ4=0,"",IF($HR4&gt;$HM$2,"⚠ Nível "&amp;$HR4,"CE "&amp;$HQ4))&amp;IF('DADOS_AM'!$LO4="",""," · ⚠ "&amp;'DADOS_AM'!$LO4)</f>
        <v/>
      </c>
      <c r="HU4" s="164">
        <f>IF($HQ4=0,"",$HQ4&amp;" esp.")</f>
        <v/>
      </c>
      <c r="HV4" s="164">
        <f>'FICHA AMALDIÇOADA'!$Q$397&amp;""</f>
        <v/>
      </c>
      <c r="HW4" s="164">
        <f>IF($HP4="","",COUNTIF($HP$2:$HP4,"?*"))</f>
        <v/>
      </c>
      <c r="HY4" s="162" t="inlineStr">
        <is>
          <t>Aptidão 3</t>
        </is>
      </c>
      <c r="HZ4" s="164">
        <f>'FICHA AMALDIÇOADA'!$P$443&amp;""</f>
        <v/>
      </c>
      <c r="IA4" s="164">
        <f>IF($HZ4="","","Requisito: "&amp;IFERROR(VLOOKUP(SUBSTITUTE(SUBSTITUTE(SUBSTITUTE($HZ4,"~","~~"),"*","~*"),"?","~?"),'DADOS_APTIDOES'!$BF$2:$BO$45,2,FALSE),""))&amp;IF($LK4="",""," · ⚠ "&amp;$LK4)</f>
        <v/>
      </c>
      <c r="IB4" s="164">
        <f>IF($HZ4="","",IFERROR(IF(ISNUMBER(VLOOKUP(SUBSTITUTE(SUBSTITUTE(SUBSTITUTE($HZ4,"~","~~"),"*","~*"),"?","~?"),'DADOS_APTIDOES'!$BF$2:$BO$45,3,FALSE)),"CE "&amp;VLOOKUP(SUBSTITUTE(SUBSTITUTE(SUBSTITUTE($HZ4,"~","~~"),"*","~*"),"?","~?"),'DADOS_APTIDOES'!$BF$2:$BO$45,3,FALSE),VLOOKUP(SUBSTITUTE(SUBSTITUTE(SUBSTITUTE($HZ4,"~","~~"),"*","~*"),"?","~?"),'DADOS_APTIDOES'!$BF$2:$BO$45,3,FALSE)),""))</f>
        <v/>
      </c>
      <c r="IC4" s="164">
        <f>IF($HZ4="","",IFERROR(VLOOKUP(SUBSTITUTE(SUBSTITUTE(SUBSTITUTE($HZ4,"~","~~"),"*","~*"),"?","~?"),'DADOS_APTIDOES'!$BF$2:$BO$45,4,FALSE),""))</f>
        <v/>
      </c>
      <c r="ID4" s="164">
        <f>IF($HZ4="","",IFERROR(VLOOKUP(SUBSTITUTE(SUBSTITUTE(SUBSTITUTE($HZ4,"~","~~"),"*","~*"),"?","~?"),'DADOS_APTIDOES'!$BF$2:$BO$45,5,FALSE),""))</f>
        <v/>
      </c>
      <c r="IE4" s="164">
        <f>'FICHA AMALDIÇOADA'!$Q$460&amp;""</f>
        <v/>
      </c>
      <c r="IF4" s="164">
        <f>IF($HZ4="","",COUNTIF($HZ$2:$HZ4,"?*"))</f>
        <v/>
      </c>
      <c r="IH4" s="162" t="inlineStr">
        <is>
          <t>Classe 0 · 3</t>
        </is>
      </c>
      <c r="II4" s="164">
        <f>'FICHA AMALDIÇOADA'!$F$325&amp;""</f>
        <v/>
      </c>
      <c r="IJ4" s="164">
        <f>'FICHA AMALDIÇOADA'!$J$325&amp;""</f>
        <v/>
      </c>
      <c r="IK4" s="164">
        <f>'FICHA AMALDIÇOADA'!$L$325&amp;""</f>
        <v/>
      </c>
      <c r="IL4" s="164">
        <f>IFERROR(MATCH(SUBSTITUTE(SUBSTITUTE(SUBSTITUTE($II4,"~","~~"),"*","~*"),"?","~?"),'DADOS_FORMAS'!$FJ$2:$FJ$21,0),0)</f>
        <v/>
      </c>
      <c r="IM4" s="164">
        <f>$HM$11-IF(AND($IJ4&lt;&gt;"",$IK4=""),1,0)</f>
        <v/>
      </c>
      <c r="IN4" s="164">
        <f>IF(3&gt;$HM$10,"Nível 5",IF($IL4=0,"",IF(INDEX('DADOS_FORMAS'!$FP$2:$FP$21,$IL4)&gt;=2,"—",$IM4&amp;"d8 = "&amp;FLOOR($IM4*4.5,1))))</f>
        <v/>
      </c>
      <c r="IO4" s="164">
        <f>IF(OR(3&gt;$HM$10,$IL4=0),"",INDEX('DADOS_FORMAS'!$GZ$2:$HE$61,($IL4-1)*3+1,1+IF(OR(AND($LA4="Longe",INDEX('DADOS_FORMAS'!$FS$2:$FS$21,$IL4)&lt;&gt;2),AND($LA4="Maior",INDEX('DADOS_FORMAS'!$FS$2:$FS$21,$IL4)&gt;=2)),1,0))&amp;INDEX('DADOS_FORMAS'!$HF$2:$HK$61,($IL4-1)*3+1,1+IF(AND($LA4="Longe",INDEX('DADOS_FORMAS'!$FT$2:$FT$21,$IL4)=1),1,0)))</f>
        <v/>
      </c>
      <c r="IQ4" s="164">
        <f>INDEX($D$3:$G$3,1,$A$2)</f>
        <v/>
      </c>
      <c r="IR4" s="164">
        <f>ADDRESS(ROW('FICHA AMALDIÇOADA'!F7),COLUMN('FICHA AMALDIÇOADA'!F7),4)</f>
        <v/>
      </c>
      <c r="IS4" s="164">
        <f>ADDRESS(ROW('FICHA AMALDIÇOADA'!D61),COLUMN('FICHA AMALDIÇOADA'!D61),4)</f>
        <v/>
      </c>
      <c r="IT4" s="162" t="inlineStr">
        <is>
          <t>DADOS_AM!$IQ$4</t>
        </is>
      </c>
      <c r="IV4" s="162" t="inlineStr">
        <is>
          <t>Caminho 15</t>
        </is>
      </c>
      <c r="IW4" s="164" t="n">
        <v>15</v>
      </c>
      <c r="IX4" s="164">
        <f>IF($HM$2&gt;=15,"Nível 15","Abre no 15")</f>
        <v/>
      </c>
      <c r="IY4" s="164">
        <f>ADDRESS(ROW(FICHA!G146),COLUMN(FICHA!G146),4)</f>
        <v/>
      </c>
      <c r="IZ4" s="164">
        <f>ADDRESS(ROW(FICHA!D147),COLUMN(FICHA!D147),4)</f>
        <v/>
      </c>
      <c r="JB4" s="162" t="inlineStr">
        <is>
          <t>Trilha · Anotações</t>
        </is>
      </c>
      <c r="JC4" s="164">
        <f>ADDRESS(ROW(FICHA!D202),COLUMN(FICHA!D202),4)</f>
        <v/>
      </c>
      <c r="JH4" s="164" t="n">
        <v>3</v>
      </c>
      <c r="JI4" s="164">
        <f>IFERROR(MATCH(3,$HJ$2:$HJ$37,0),0)</f>
        <v/>
      </c>
      <c r="JJ4" s="164">
        <f>IF($JI4=0,"",INDEX($EB$2:$EB$37,$JI4))</f>
        <v/>
      </c>
      <c r="JK4" s="164">
        <f>IF($JI4=0,"",INDEX($EC$2:$EC$37,$JI4))</f>
        <v/>
      </c>
      <c r="JL4" s="164">
        <f>IF($JI4=0,"",INDEX($GR$2:$GR$37,$JI4))</f>
        <v/>
      </c>
      <c r="JM4" s="164">
        <f>IF($JI4=0,"",INDEX($ED$2:$ED$37,$JI4))</f>
        <v/>
      </c>
      <c r="JN4" s="164">
        <f>IF($JI4=0,"",INDEX($GT$2:$GT$37,$JI4))</f>
        <v/>
      </c>
      <c r="JO4" s="164">
        <f>IF($JI4=0,"",INDEX($HI$2:$HI$37,$JI4))</f>
        <v/>
      </c>
      <c r="JQ4" s="164" t="n">
        <v>3</v>
      </c>
      <c r="JR4" s="164">
        <f>IF($EK$40=0,"",$EB$40)</f>
        <v/>
      </c>
      <c r="JS4" s="164">
        <f>IF($EK$40=0,"",$EC$40)</f>
        <v/>
      </c>
      <c r="JT4" s="164">
        <f>IF($EK$40=0,"",$GR$40)</f>
        <v/>
      </c>
      <c r="JU4" s="164">
        <f>IF($EK$40=0,"",$ED$40)</f>
        <v/>
      </c>
      <c r="JV4" s="164">
        <f>IF($EK$40=0,"",$GT$40)</f>
        <v/>
      </c>
      <c r="JW4" s="164">
        <f>IF($EK$40=0,"",$HI$40)</f>
        <v/>
      </c>
      <c r="KF4" s="162" t="inlineStr">
        <is>
          <t>Talento 1</t>
        </is>
      </c>
      <c r="KG4" s="164">
        <f>IFERROR(MATCH(1,$HW$2:$HW$13,0),0)</f>
        <v/>
      </c>
      <c r="KH4" s="164">
        <f>IF($KG4=0,"",IF(INDEX($HQ$2:$HQ$13,$KG4)=0,"","CE "&amp;INDEX($HQ$2:$HQ$13,$KG4)))</f>
        <v/>
      </c>
      <c r="KI4" s="164">
        <f>IF($KG4=0,"",INDEX($HP$2:$HP$13,$KG4))</f>
        <v/>
      </c>
      <c r="KJ4" s="164">
        <f>IF($KG4=0,"",IF(INDEX($HV$2:$HV$13,$KG4)&lt;&gt;"",INDEX($HV$2:$HV$13,$KG4),IF(IFERROR(VLOOKUP(SUBSTITUTE(SUBSTITUTE(SUBSTITUTE(INDEX($HP$2:$HP$13,$KG4),"~","~~"),"*","~*"),"?","~?"),'DADOS_TALENTOS'!$AQ$2:$AW$34,7,FALSE),"")&lt;&gt;"","Do livro: "&amp;IFERROR(VLOOKUP(SUBSTITUTE(SUBSTITUTE(SUBSTITUTE(INDEX($HP$2:$HP$13,$KG4),"~","~~"),"*","~*"),"?","~?"),'DADOS_TALENTOS'!$AQ$2:$AW$34,7,FALSE),""),"")))</f>
        <v/>
      </c>
      <c r="KL4" s="162" t="inlineStr">
        <is>
          <t>Aptidão 1</t>
        </is>
      </c>
      <c r="KM4" s="164">
        <f>IFERROR(MATCH(1,$IF$2:$IF$13,0),0)</f>
        <v/>
      </c>
      <c r="KN4" s="164">
        <f>IF($KM4=0,"",INDEX($IB$2:$IB$13,$KM4))</f>
        <v/>
      </c>
      <c r="KO4" s="164">
        <f>IF($KM4=0,"",INDEX($HZ$2:$HZ$13,$KM4))</f>
        <v/>
      </c>
      <c r="KP4" s="164">
        <f>IF($KM4=0,"",IF(INDEX($IE$2:$IE$13,$KM4)&lt;&gt;"",INDEX($IE$2:$IE$13,$KM4),IF(IFERROR(VLOOKUP(SUBSTITUTE(SUBSTITUTE(SUBSTITUTE(INDEX($HZ$2:$HZ$13,$KM4),"~","~~"),"*","~*"),"?","~?"),'DADOS_APTIDOES'!$BF$2:$BO$45,10,FALSE),"")&lt;&gt;"","Do livro: "&amp;IFERROR(VLOOKUP(SUBSTITUTE(SUBSTITUTE(SUBSTITUTE(INDEX($HZ$2:$HZ$13,$KM4),"~","~~"),"*","~*"),"?","~?"),'DADOS_APTIDOES'!$BF$2:$BO$45,10,FALSE),""),"")))</f>
        <v/>
      </c>
      <c r="KR4" s="162" t="inlineStr">
        <is>
          <t>máximas</t>
        </is>
      </c>
      <c r="KS4" s="164">
        <f>UPPER(INDEX($D$4:$G$4,1,$A$2))&amp;", "&amp;UPPER(INDEX($D$5:$G$5,1,$A$2))&amp;IF(DADOS_AM!$A$2=1," E DOMÍNIO","")</f>
        <v/>
      </c>
      <c r="KU4" s="162" t="inlineStr">
        <is>
          <t>P12</t>
        </is>
      </c>
      <c r="KV4" s="164">
        <f>IF(DADOS_AM!$HM$42=1,IF(DADOS_AM!$HM$49=0,"—",IF(DADOS_AM!$HM$49=1,"d20 + "&amp;(DADOS_AM!$HM$3+IF(DADOS_AM!$HM$43&lt;&gt;"",DADOS_AM!$HM$46,IF(DADOS_AM!$HM$44&lt;&gt;"",DADOS_AM!$HM$47,DADOS_AM!$HM$48))+IFERROR(VALUE(FICHA!$W$63&amp;""),0)),"Por grupo")),FICHA!$O$63)</f>
        <v/>
      </c>
      <c r="KW4">
        <f>IF($EE4="","",IFERROR(VLOOKUP(SUBSTITUTE(SUBSTITUTE(SUBSTITUTE($EE4,"~","~~"),"*","~*"),"?","~?"),'DADOS_MELHORIAS'!$O$2:$X$113,10,FALSE),$EE4))</f>
        <v/>
      </c>
      <c r="KX4">
        <f>IF($EF4="","",IFERROR(VLOOKUP(SUBSTITUTE(SUBSTITUTE(SUBSTITUTE($EF4,"~","~~"),"*","~*"),"?","~?"),'DADOS_MELHORIAS'!$O$2:$X$113,10,FALSE),$EF4))</f>
        <v/>
      </c>
      <c r="KY4">
        <f>IF($EG4="","",IFERROR(VLOOKUP(SUBSTITUTE(SUBSTITUTE(SUBSTITUTE($EG4,"~","~~"),"*","~*"),"?","~?"),'DADOS_MELHORIAS'!$O$2:$X$113,10,FALSE),$EG4))</f>
        <v/>
      </c>
      <c r="KZ4">
        <f>IF($EH4="","",IFERROR(VLOOKUP(SUBSTITUTE(SUBSTITUTE(SUBSTITUTE($EH4,"~","~~"),"*","~*"),"?","~?"),'DADOS_MELHORIAS'!$O$2:$X$113,10,FALSE),$EH4))</f>
        <v/>
      </c>
      <c r="LA4">
        <f>IF($IJ4="","",IFERROR(VLOOKUP(SUBSTITUTE(SUBSTITUTE(SUBSTITUTE($IJ4,"~","~~"),"*","~*"),"?","~?"),'DADOS_MELHORIAS'!$O$2:$X$113,10,FALSE),$IJ4))</f>
        <v/>
      </c>
      <c r="LB4">
        <f>IFERROR(INDEX('DADOS_FORMAS'!$BJ$2:$BJ$21,MATCH(SUBSTITUTE(SUBSTITUTE(SUBSTITUTE($ED4,"~","~~"),"*","~*"),"?","~?"),'DADOS_FORMAS'!$AH$2:$AH$21,0)),"")</f>
        <v/>
      </c>
      <c r="LC4">
        <f>IFERROR(VLOOKUP(SUBSTITUTE(SUBSTITUTE(SUBSTITUTE(IFERROR(INDEX('DADOS_FORMAS'!$AS$2:$AS$21,MATCH(SUBSTITUTE(SUBSTITUTE(SUBSTITUTE($ED4,"~","~~"),"*","~*"),"?","~?"),'DADOS_FORMAS'!$AH$2:$AH$21,0)),""),"~","~~"),"*","~*"),"?","~?"),'DADOS_RESTRICOES'!$M$2:$Q$54,2,FALSE),"")</f>
        <v/>
      </c>
      <c r="LD4">
        <f>$FD4</f>
        <v/>
      </c>
      <c r="LE4">
        <f>$FE4</f>
        <v/>
      </c>
      <c r="LF4">
        <f>$LC4</f>
        <v/>
      </c>
      <c r="LH4">
        <f>'FICHA AMALDIÇOADA'!$P$443&amp;""</f>
        <v/>
      </c>
      <c r="LI4">
        <f>IF($LH4="","",IF(IFERROR(INDEX('DADOS_APTIDOES'!$X$2:$X$45,MATCH(SUBSTITUTE(SUBSTITUTE(SUBSTITUTE($LH4,"~","~~"),"*","~*"),"?","~?"),'DADOS_APTIDOES'!$O$2:$O$45,0)),"")="",$LH4,IFERROR(INDEX('DADOS_APTIDOES'!$X$2:$X$45,MATCH(SUBSTITUTE(SUBSTITUTE(SUBSTITUTE($LH4,"~","~~"),"*","~*"),"?","~?"),'DADOS_APTIDOES'!$O$2:$O$45,0)),"")))</f>
        <v/>
      </c>
      <c r="LJ4">
        <f>IF(LEFT($LI4,16)="Aptidão Própria (","Aptidão Própria",IF(LEFT($LI4,15)="Bênção Própria (","Bênção Própria",$LI4))</f>
        <v/>
      </c>
      <c r="LK4">
        <f>IF($LH4="","",TEXTJOIN(" · ",TRUE,$LP4:$MJ4))</f>
        <v/>
      </c>
      <c r="LL4">
        <f>IF($LH4="",0,IF(IFERROR(INDEX('DADOS_APTIDOES'!$W$2:$W$45,MATCH(SUBSTITUTE(SUBSTITUTE(SUBSTITUTE($LH4,"~","~~"),"*","~*"),"?","~?"),'DADOS_APTIDOES'!$O$2:$O$45,0)),"")="Gratuita",0,1))</f>
        <v/>
      </c>
      <c r="LO4">
        <f>IF('FICHA AMALDIÇOADA'!$P$392="","",TEXTJOIN(" · ",TRUE,IF(COUNTIF('DADOS_TALENTOS'!$M$2:$M$34,SUBSTITUTE(SUBSTITUTE(SUBSTITUTE('FICHA AMALDIÇOADA'!$P$392,"~","~~"),"*","~*"),"?","~?"))=0,"Talento não cadastrado ou com erro",""),IF(COUNTIF('DADOS_TALENTOS'!$AV$2:$AV$34,SUBSTITUTE(SUBSTITUTE(SUBSTITUTE('FICHA AMALDIÇOADA'!$P$392,"~","~~"),"*","~*"),"?","~?"))=0,"Talento incompatível com a rota","")))</f>
        <v/>
      </c>
      <c r="LP4">
        <f>IF(COUNTIF('DADOS_APTIDOES'!$O$2:$O$45,SUBSTITUTE(SUBSTITUTE(SUBSTITUTE($LH4,"~","~~"),"*","~*"),"?","~?"))=0,"Aptidão não cadastrada ou com erro","")</f>
        <v/>
      </c>
      <c r="LQ4">
        <f>IF(COUNTIF('DADOS_APTIDOES'!$BK$2:$BK$45,SUBSTITUTE(SUBSTITUTE(SUBSTITUTE($LH4,"~","~~"),"*","~*"),"?","~?"))=0,"Rota/origem incompatível ou capacidade inicial automática","")</f>
        <v/>
      </c>
      <c r="LR4">
        <f>IF(AND(NOT(OR(FALSE)),DADOS_AM!$HM$2&lt;IFERROR(INDEX('DADOS_APTIDOES'!$U$2:$U$45,MATCH(SUBSTITUTE(SUBSTITUTE(SUBSTITUTE($LH4,"~","~~"),"*","~*"),"?","~?"),'DADOS_APTIDOES'!$O$2:$O$45,0)),1)),"Nível mínimo não atendido","")</f>
        <v/>
      </c>
      <c r="LS4">
        <f>IF(AND(NOT(OR(FALSE)),DADOS_AM!$HM$6&lt;MAX(IF(AND($LI4="Domínio Simples",FALSE,IFERROR(INDEX('DADOS_APTIDOES'!$V$2:$V$45,MATCH(SUBSTITUTE(SUBSTITUTE(SUBSTITUTE($LH4,"~","~~"),"*","~*"),"?","~?"),'DADOS_APTIDOES'!$O$2:$O$45,0)),1)=5),4,IFERROR(INDEX('DADOS_APTIDOES'!$V$2:$V$45,MATCH(SUBSTITUTE(SUBSTITUTE(SUBSTITUTE($LH4,"~","~~"),"*","~*"),"?","~?"),'DADOS_APTIDOES'!$O$2:$O$45,0)),1)),IF(IFERROR(INDEX('DADOS_APTIDOES'!$N$2:$N$45,MATCH(SUBSTITUTE(SUBSTITUTE(SUBSTITUTE($LH4,"~","~~"),"*","~*"),"?","~?"),'DADOS_APTIDOES'!$O$2:$O$45,0)),"")="Bênção",IF(IFERROR(INDEX('DADOS_APTIDOES'!$T$2:$T$45,MATCH(SUBSTITUTE(SUBSTITUTE(SUBSTITUTE($LH4,"~","~~"),"*","~*"),"?","~?"),'DADOS_APTIDOES'!$O$2:$O$45,0)),0)=3,7,IF(IFERROR(INDEX('DADOS_APTIDOES'!$T$2:$T$45,MATCH(SUBSTITUTE(SUBSTITUTE(SUBSTITUTE($LH4,"~","~~"),"*","~*"),"?","~?"),'DADOS_APTIDOES'!$O$2:$O$45,0)),0)=2,4,1)),1))),"Refino/Lapidação mínimo não atendido","")</f>
        <v/>
      </c>
      <c r="LT4">
        <f>IF(COUNTIF($LJ$2:$LJ4,SUBSTITUTE(SUBSTITUTE(SUBSTITUTE($LJ4,"~","~~"),"*","~*"),"?","~?"))&gt;1,"Aptidão/Bênção repetida","")</f>
        <v/>
      </c>
      <c r="LU4">
        <f>IF(AND(NOT(OR(FALSE)),AND($LI4="Circulação",COUNTIF($LI$2:$LI3,"Energia Reversa")=0)),"Exige aquisição anterior: Energia Reversa","")</f>
        <v/>
      </c>
      <c r="LV4">
        <f>IF(AND(NOT(OR(FALSE)),AND($LI4="Regravação",COUNTIF($LI$2:$LI3,"Circulação")=0)),"Exige aquisição anterior: Circulação","")</f>
        <v/>
      </c>
      <c r="LW4">
        <f>IF(AND(NOT(OR(FALSE)),AND($LI4="Cortina",COUNTIF($LI$2:$LI3,"Barreira Simples")=0)),"Exige aquisição anterior: Barreira Simples","")</f>
        <v/>
      </c>
      <c r="LX4">
        <f>IF(AND(NOT(OR(FALSE)),AND($LI4="Ritual",'FICHA'!AB19&lt;5)),"Exige Inteligência 5","")</f>
        <v/>
      </c>
      <c r="LY4">
        <f>IF(AND(NOT(OR(FALSE)),AND($LI4="Ímpeto",'FICHA'!L19&lt;4)),"Exige Destreza 4","")</f>
        <v/>
      </c>
      <c r="LZ4">
        <f>IF(AND(NOT(OR(FALSE)),AND($LI4="Casco",'FICHA'!T19&lt;4)),"Exige Constituição 4","")</f>
        <v/>
      </c>
      <c r="MA4">
        <f>IF(AND(NOT(OR(FALSE)),AND($LI4="Presilha",'FICHA'!D19&lt;4)),"Exige Força 4","")</f>
        <v/>
      </c>
      <c r="MB4">
        <f>IF(AND(NOT(OR(FALSE)),AND($LI4="Antecipar",'FICHA'!AB19&lt;4)),"Exige Inteligência 4","")</f>
        <v/>
      </c>
      <c r="MC4">
        <f>IF(AND(NOT(OR(FALSE)),AND($LI4="Sangue Frio",'FICHA'!T19&lt;4)),"Exige Constituição 4","")</f>
        <v/>
      </c>
      <c r="MD4">
        <f>IF(AND(NOT(OR(FALSE)),AND($LI4="Assombro",'FICHA'!AJ19&lt;4)),"Exige Essência 4","")</f>
        <v/>
      </c>
      <c r="ME4">
        <f>IF(AND(NOT(OR(FALSE)),$LI4="Cesta Oca de Vime"),"Conferir Encarnado ou treino em História","")</f>
        <v/>
      </c>
      <c r="MF4">
        <f>IF(AND(NOT(OR(FALSE)),$LI4="Pétala"),"Conferir Descendente ou aprendizado de clã","")</f>
        <v/>
      </c>
      <c r="MG4">
        <f>IF(AND(NOT(OR(FALSE)),$LI4="Domínio Simples"),"Conferir aprendizado de Domínio Simples","")</f>
        <v/>
      </c>
      <c r="MH4">
        <f>IF(AND(NOT(OR(FALSE)),$LI4="Extensão de Domínio"),"Conferir aprendizado de Extensão de Domínio","")</f>
        <v/>
      </c>
      <c r="MI4">
        <f>IF(AND(NOT(OR(FALSE)),$LI4="Ritual"),"Conferir Técnica Inata","")</f>
        <v/>
      </c>
      <c r="MJ4">
        <f>IF(AND(NOT(OR(FALSE)),AND($LI4="Represália",MAX('FICHA'!D19,'FICHA'!L19)&lt;4)),"Exige Força ou Destreza 4","")</f>
        <v/>
      </c>
    </row>
    <row r="5">
      <c r="C5" s="162" t="inlineStr">
        <is>
          <t>técnica máxima</t>
        </is>
      </c>
      <c r="D5" s="162" t="inlineStr">
        <is>
          <t>Técnica Máxima</t>
        </is>
      </c>
      <c r="E5" s="162" t="inlineStr">
        <is>
          <t>Auge</t>
        </is>
      </c>
      <c r="F5" s="162" t="inlineStr">
        <is>
          <t>Ōgi</t>
        </is>
      </c>
      <c r="G5" s="162" t="inlineStr">
        <is>
          <t>Ōgi</t>
        </is>
      </c>
      <c r="I5" s="162" t="inlineStr">
        <is>
          <t>Controle</t>
        </is>
      </c>
      <c r="J5" s="164">
        <f>'FICHA AMALDIÇOADA'!$G$37&amp;""</f>
        <v/>
      </c>
      <c r="K5" s="164">
        <f>IF($J5="Livre",1,0)</f>
        <v/>
      </c>
      <c r="L5" s="164">
        <f>IF($J5="Fechada",1,0)</f>
        <v/>
      </c>
      <c r="P5" s="164" t="n">
        <v>4</v>
      </c>
      <c r="Q5" s="164" t="n">
        <v>2</v>
      </c>
      <c r="R5" s="164" t="n">
        <v>4</v>
      </c>
      <c r="S5" s="164" t="n">
        <v>6</v>
      </c>
      <c r="T5" s="164" t="n">
        <v>1</v>
      </c>
      <c r="U5" s="164" t="n">
        <v>2</v>
      </c>
      <c r="V5" s="164" t="n">
        <v>4</v>
      </c>
      <c r="W5" s="164" t="n">
        <v>3</v>
      </c>
      <c r="Y5" s="162" t="inlineStr">
        <is>
          <t>Aura</t>
        </is>
      </c>
      <c r="Z5" s="162" t="inlineStr">
        <is>
          <t>Área</t>
        </is>
      </c>
      <c r="AA5" s="164" t="n">
        <v>1</v>
      </c>
      <c r="AB5" s="164">
        <f>IF($AA5=0,0,$AA5+3*IFERROR(VLOOKUP($Z5,'DADOS_CRIACAO'!$H$2:$K$20,3,FALSE),0))</f>
        <v/>
      </c>
      <c r="AC5" s="164">
        <f>IFERROR(VLOOKUP($Z5,'DADOS_CRIACAO'!$H$2:$K$20,4,FALSE),0)</f>
        <v/>
      </c>
      <c r="AD5" s="164" t="n">
        <v>1</v>
      </c>
      <c r="AE5" s="164" t="n">
        <v>0</v>
      </c>
      <c r="AF5" s="162" t="inlineStr">
        <is>
          <t>TR, metade</t>
        </is>
      </c>
      <c r="AG5" s="164" t="n">
        <v>1</v>
      </c>
      <c r="AH5" s="164" t="n">
        <v>2</v>
      </c>
      <c r="AI5" s="164" t="n">
        <v>0</v>
      </c>
      <c r="AJ5" s="164" t="n">
        <v>0</v>
      </c>
      <c r="AK5" s="164" t="n">
        <v>1</v>
      </c>
      <c r="AL5" s="164">
        <f>IF($AC5=1,"",$Y5)</f>
        <v/>
      </c>
      <c r="AM5" s="164">
        <f>IF(AND($AK5=1,$AC5=0),$Y5,"")</f>
        <v/>
      </c>
      <c r="AO5" s="162" t="inlineStr">
        <is>
          <t>Toque · classe 0</t>
        </is>
      </c>
      <c r="AP5" s="162" t="inlineStr">
        <is>
          <t>1,5 m, um alvo</t>
        </is>
      </c>
      <c r="AQ5" s="162" t="inlineStr">
        <is>
          <t>1,5 m, um alvo</t>
        </is>
      </c>
      <c r="AR5" s="162" t="inlineStr">
        <is>
          <t>1,5 m, um alvo</t>
        </is>
      </c>
      <c r="AS5" s="162" t="inlineStr">
        <is>
          <t>1,5 m, um alvo</t>
        </is>
      </c>
      <c r="AT5" s="162" t="inlineStr">
        <is>
          <t>1,5 m, um alvo</t>
        </is>
      </c>
      <c r="AU5" s="162" t="inlineStr">
        <is>
          <t>1,5 m, um alvo</t>
        </is>
      </c>
      <c r="AV5" s="162" t="inlineStr"/>
      <c r="AW5" s="162" t="inlineStr"/>
      <c r="AX5" s="162" t="inlineStr"/>
      <c r="AY5" s="162" t="inlineStr"/>
      <c r="AZ5" s="162" t="inlineStr"/>
      <c r="BA5" s="162" t="inlineStr"/>
      <c r="BC5" s="162" t="inlineStr">
        <is>
          <t>Perseguir</t>
        </is>
      </c>
      <c r="BD5" s="162" t="inlineStr">
        <is>
          <t>Alcance</t>
        </is>
      </c>
      <c r="BE5" s="164" t="n">
        <v>2</v>
      </c>
      <c r="BF5" s="164">
        <f>$BE5+3*IFERROR(VLOOKUP($BD5,'DADOS_CRIACAO'!$H$2:$K$20,3,FALSE),0)</f>
        <v/>
      </c>
      <c r="BG5" s="164">
        <f>IFERROR(VLOOKUP($BD5,'DADOS_CRIACAO'!$H$2:$K$20,4,FALSE),0)</f>
        <v/>
      </c>
      <c r="BH5" s="164" t="n">
        <v>0</v>
      </c>
      <c r="BI5" s="164">
        <f>IF($BG5=1,"",$BC5)</f>
        <v/>
      </c>
      <c r="BJ5" s="164">
        <f>IF(AND($BE5=1,$BG5=0),$BC5,"")</f>
        <v/>
      </c>
      <c r="BK5" s="164" t="n">
        <v>0</v>
      </c>
      <c r="BM5" s="162" t="inlineStr">
        <is>
          <t>Gesto</t>
        </is>
      </c>
      <c r="BN5" s="162" t="inlineStr">
        <is>
          <t>Gesto</t>
        </is>
      </c>
      <c r="BO5" s="164" t="n">
        <v>1</v>
      </c>
      <c r="BP5" s="164" t="n">
        <v>0</v>
      </c>
      <c r="BQ5" s="162" t="inlineStr">
        <is>
          <t>Gesto</t>
        </is>
      </c>
      <c r="BS5" s="162" t="inlineStr">
        <is>
          <t>Mão Firme</t>
        </is>
      </c>
      <c r="BT5" s="164" t="n">
        <v>1</v>
      </c>
      <c r="BU5" s="162" t="inlineStr">
        <is>
          <t>Quando uma ocorrência de dano causar 10 pontos ou menos, você não precisa fazer o teste para manter Concentração ou Carregar. Confira o dano de cada ocorrência depois das reduções aplicáveis. Não some todos os golpes da rodada.</t>
        </is>
      </c>
      <c r="BV5" s="164" t="n">
        <v>1</v>
      </c>
      <c r="BW5" s="164" t="n">
        <v>0</v>
      </c>
      <c r="BX5" s="164">
        <f>IF(OR(AND($A$2&lt;=2,$BV5=1),AND($A$2&gt;=2,$BW5=1)),$BS5,"")</f>
        <v/>
      </c>
      <c r="BY5" s="162" t="inlineStr">
        <is>
          <t>Quando uma ocorrência de dano causar 10 pontos ou menos, você não precisa fazer o teste para manter Concentração ou Carregar. Confira o dano de cada ocorrência depois das reduções aplicáveis. Não some todos os golpes da rodada.</t>
        </is>
      </c>
      <c r="CD5" s="162" t="inlineStr">
        <is>
          <t>Energia Reversa</t>
        </is>
      </c>
      <c r="CE5" s="162" t="inlineStr">
        <is>
          <t>Refino 7 e nível 14</t>
        </is>
      </c>
      <c r="CF5" s="164" t="n">
        <v>3</v>
      </c>
      <c r="CG5" s="162" t="inlineStr">
        <is>
          <t>—</t>
        </is>
      </c>
      <c r="CH5" s="162" t="inlineStr">
        <is>
          <t>Você usa energia reversa para restaurar seu próprio corpo. Ação Padrão. Gaste de 1 PE até sua maior Classe e recupere 1d8 de vida por PE gasto. Escolha e pague antes de rolar. A cura não ultrapassa sua vida máxima e não gera vida temporária. As primeiras faixas atendem às concessões específicas que permitem aprender a aptidão antes dos requisitos comuns. A aptidão cura você. Para aplicá-la diretamente a outra criatura, você precisa de uma permissão que altere esse alvo. Aprendê-la não aumenta o alcance de um feitiço de Cura nem substitui sua montagem. O Corpo Amaldiçoado não recupera vida com Energia Reversa nem com cura construída a partir dela. Suas formas de recuperação estão na Origem, com o procedimento compartilhado em Cura e reparo. Outras incompatibilidades de alvo também continuam valendo. Energia Reversa é requisito para usar um feitiço da Forma Cura ofensivamente contra uma maldição. A exceção está em Ferir maldições. A aptidão de autocura, sozinha, não concede um ataque. Requisito: Energia Reversa. Você pode usar um feitiço da Forma Cura contra uma maldição hostil. Essa aplicação usa energia positiva para feri-la, em vez de recuperar vida.</t>
        </is>
      </c>
      <c r="CI5" s="164">
        <f>IF($CL5=1,"",IF($A$2=4,IF($CJ5=1,$CD5,""),IF(OR($CJ5=1,AND($A$2=3,$CK5=1)),"",$CD5)))</f>
        <v/>
      </c>
      <c r="CJ5" s="164" t="n">
        <v>0</v>
      </c>
      <c r="CK5" s="164" t="n">
        <v>0</v>
      </c>
      <c r="CL5" s="164" t="n">
        <v>0</v>
      </c>
      <c r="CM5" s="162" t="inlineStr">
        <is>
          <t>Você usa energia reversa para restaurar seu próprio corpo.</t>
        </is>
      </c>
      <c r="CO5" s="162" t="inlineStr">
        <is>
          <t>Aptidão Própria</t>
        </is>
      </c>
      <c r="CS5" s="164">
        <f>IF($A$2=2,IFERROR(INDEX($CO$2:$CO$5,4),""),IF($A$2&gt;=3,IFERROR(INDEX($CQ$2:$CQ$4,4),""),""))</f>
        <v/>
      </c>
      <c r="CU5" s="162" t="inlineStr">
        <is>
          <t>Arremesso</t>
        </is>
      </c>
      <c r="CV5" s="164" t="n">
        <v>1</v>
      </c>
      <c r="CW5" s="164" t="n">
        <v>1</v>
      </c>
      <c r="CX5" s="164">
        <f>IF(AND($A$2&gt;=3,'FICHA AMALDIÇOADA'!$J$16&amp;""="Três grupos de arma"),$CU5,"")</f>
        <v/>
      </c>
      <c r="CZ5" s="164" t="n">
        <v>17</v>
      </c>
      <c r="DA5" s="164" t="n">
        <v>5</v>
      </c>
      <c r="DB5" s="164" t="n">
        <v>5</v>
      </c>
      <c r="DF5" s="164" t="n">
        <v>6</v>
      </c>
      <c r="DR5" s="162" t="inlineStr">
        <is>
          <t>Pacto de restrição</t>
        </is>
      </c>
      <c r="DS5" s="162" t="inlineStr">
        <is>
          <t>Na criação, com a Origem ou técnica</t>
        </is>
      </c>
      <c r="DU5" s="162" t="inlineStr">
        <is>
          <t>Um Estilo</t>
        </is>
      </c>
      <c r="DW5" s="162" t="inlineStr">
        <is>
          <t>Enorme</t>
        </is>
      </c>
      <c r="DY5" s="162" t="inlineStr">
        <is>
          <t>Feitiço 4</t>
        </is>
      </c>
      <c r="DZ5" s="164" t="n">
        <v>0</v>
      </c>
      <c r="EA5" s="164" t="n">
        <v>4</v>
      </c>
      <c r="EB5" s="164">
        <f>MAX(1,MIN(7,N('FICHA AMALDIÇOADA'!$D$85)))</f>
        <v/>
      </c>
      <c r="EC5" s="164">
        <f>'FICHA AMALDIÇOADA'!$E$85&amp;""</f>
        <v/>
      </c>
      <c r="ED5" s="164">
        <f>'FICHA AMALDIÇOADA'!$D$92&amp;""</f>
        <v/>
      </c>
      <c r="EE5" s="164">
        <f>'FICHA AMALDIÇOADA'!$E$94&amp;""</f>
        <v/>
      </c>
      <c r="EF5" s="164">
        <f>'FICHA AMALDIÇOADA'!$E$95&amp;""</f>
        <v/>
      </c>
      <c r="EG5" s="164">
        <f>'FICHA AMALDIÇOADA'!$E$96&amp;""</f>
        <v/>
      </c>
      <c r="EH5" s="164">
        <f>'FICHA AMALDIÇOADA'!$E$97&amp;""</f>
        <v/>
      </c>
      <c r="EI5" s="164">
        <f>'FICHA AMALDIÇOADA'!$E$98&amp;""</f>
        <v/>
      </c>
      <c r="EJ5" s="164">
        <f>'FICHA AMALDIÇOADA'!$E$99&amp;""</f>
        <v/>
      </c>
      <c r="EK5" s="164">
        <f>IF($EC5&lt;&gt;"",1,0)</f>
        <v/>
      </c>
      <c r="EL5" s="164">
        <f>IFERROR(MATCH(SUBSTITUTE(SUBSTITUTE(SUBSTITUTE($ED5,"~","~~"),"*","~*"),"?","~?"),'DADOS_FORMAS'!$FJ$2:$FJ$21,0),0)</f>
        <v/>
      </c>
      <c r="EM5" s="164">
        <f>IF($EL5=0,0,INDEX('DADOS_FORMAS'!$FM$2:$FM$21,$EL5))</f>
        <v/>
      </c>
      <c r="EN5" s="164">
        <f>IFERROR(VLOOKUP(SUBSTITUTE(SUBSTITUTE(SUBSTITUTE($EE5,"~","~~"),"*","~*"),"?","~?"),'DADOS_MELHORIAS'!$O$2:$W$113,4,FALSE),0)</f>
        <v/>
      </c>
      <c r="EO5" s="164">
        <f>IFERROR(VLOOKUP(SUBSTITUTE(SUBSTITUTE(SUBSTITUTE($EF5,"~","~~"),"*","~*"),"?","~?"),'DADOS_MELHORIAS'!$O$2:$W$113,4,FALSE),0)</f>
        <v/>
      </c>
      <c r="EP5" s="164">
        <f>IFERROR(VLOOKUP(SUBSTITUTE(SUBSTITUTE(SUBSTITUTE($EG5,"~","~~"),"*","~*"),"?","~?"),'DADOS_MELHORIAS'!$O$2:$W$113,4,FALSE),0)</f>
        <v/>
      </c>
      <c r="EQ5" s="164">
        <f>IFERROR(VLOOKUP(SUBSTITUTE(SUBSTITUTE(SUBSTITUTE($EH5,"~","~~"),"*","~*"),"?","~?"),'DADOS_MELHORIAS'!$O$2:$W$113,4,FALSE),0)</f>
        <v/>
      </c>
      <c r="ER5" s="164">
        <f>IF($EL5=0,0,INDEX('DADOS_FORMAS'!$FN$2:$FN$21,$EL5))</f>
        <v/>
      </c>
      <c r="ES5" s="164">
        <f>IFERROR(VLOOKUP(SUBSTITUTE(SUBSTITUTE(SUBSTITUTE($EE5,"~","~~"),"*","~*"),"?","~?"),'DADOS_MELHORIAS'!$O$2:$W$113,5,FALSE),0)</f>
        <v/>
      </c>
      <c r="ET5" s="164">
        <f>IFERROR(VLOOKUP(SUBSTITUTE(SUBSTITUTE(SUBSTITUTE($EF5,"~","~~"),"*","~*"),"?","~?"),'DADOS_MELHORIAS'!$O$2:$W$113,5,FALSE),0)</f>
        <v/>
      </c>
      <c r="EU5" s="164">
        <f>IFERROR(VLOOKUP(SUBSTITUTE(SUBSTITUTE(SUBSTITUTE($EG5,"~","~~"),"*","~*"),"?","~?"),'DADOS_MELHORIAS'!$O$2:$W$113,5,FALSE),0)</f>
        <v/>
      </c>
      <c r="EV5" s="164">
        <f>IFERROR(VLOOKUP(SUBSTITUTE(SUBSTITUTE(SUBSTITUTE($EH5,"~","~~"),"*","~*"),"?","~?"),'DADOS_MELHORIAS'!$O$2:$W$113,5,FALSE),0)</f>
        <v/>
      </c>
      <c r="EW5" s="164">
        <f>IFERROR(VLOOKUP(SUBSTITUTE(SUBSTITUTE(SUBSTITUTE($EE5,"~","~~"),"*","~*"),"?","~?"),'DADOS_MELHORIAS'!$O$2:$W$113,6,FALSE),0)+IFERROR(VLOOKUP(SUBSTITUTE(SUBSTITUTE(SUBSTITUTE($EF5,"~","~~"),"*","~*"),"?","~?"),'DADOS_MELHORIAS'!$O$2:$W$113,6,FALSE),0)+IFERROR(VLOOKUP(SUBSTITUTE(SUBSTITUTE(SUBSTITUTE($EG5,"~","~~"),"*","~*"),"?","~?"),'DADOS_MELHORIAS'!$O$2:$W$113,6,FALSE),0)+IFERROR(VLOOKUP(SUBSTITUTE(SUBSTITUTE(SUBSTITUTE($EH5,"~","~~"),"*","~*"),"?","~?"),'DADOS_MELHORIAS'!$O$2:$W$113,6,FALSE),0)</f>
        <v/>
      </c>
      <c r="EX5" s="164">
        <f>IFERROR(VLOOKUP(SUBSTITUTE(SUBSTITUTE(SUBSTITUTE($EE5,"~","~~"),"*","~*"),"?","~?"),'DADOS_MELHORIAS'!$O$2:$W$113,9,FALSE),0)+IFERROR(VLOOKUP(SUBSTITUTE(SUBSTITUTE(SUBSTITUTE($EF5,"~","~~"),"*","~*"),"?","~?"),'DADOS_MELHORIAS'!$O$2:$W$113,9,FALSE),0)+IFERROR(VLOOKUP(SUBSTITUTE(SUBSTITUTE(SUBSTITUTE($EG5,"~","~~"),"*","~*"),"?","~?"),'DADOS_MELHORIAS'!$O$2:$W$113,9,FALSE),0)+IFERROR(VLOOKUP(SUBSTITUTE(SUBSTITUTE(SUBSTITUTE($EH5,"~","~~"),"*","~*"),"?","~?"),'DADOS_MELHORIAS'!$O$2:$W$113,9,FALSE),0)</f>
        <v/>
      </c>
      <c r="EY5" s="164">
        <f>IF($EL5=0,0,INDEX('DADOS_FORMAS'!$FO$2:$FO$21,$EL5))</f>
        <v/>
      </c>
      <c r="EZ5" s="164">
        <f>IF($EL5=0,0,INDEX('DADOS_FORMAS'!$FP$2:$FP$21,$EL5))</f>
        <v/>
      </c>
      <c r="FA5" s="164">
        <f>IF($EL5=0,0,INDEX('DADOS_FORMAS'!$FR$2:$FR$21,$EL5))</f>
        <v/>
      </c>
      <c r="FB5" s="164">
        <f>IFERROR(VLOOKUP(SUBSTITUTE(SUBSTITUTE(SUBSTITUTE($EI5,"~","~~"),"*","~*"),"?","~?"),'DADOS_RESTRICOES'!$M$2:$Q$54,3,FALSE),0)</f>
        <v/>
      </c>
      <c r="FC5" s="164">
        <f>IFERROR(VLOOKUP(SUBSTITUTE(SUBSTITUTE(SUBSTITUTE($EJ5,"~","~~"),"*","~*"),"?","~?"),'DADOS_RESTRICOES'!$M$2:$Q$54,3,FALSE),0)</f>
        <v/>
      </c>
      <c r="FD5" s="164">
        <f>IFERROR(VLOOKUP(SUBSTITUTE(SUBSTITUTE(SUBSTITUTE($EI5,"~","~~"),"*","~*"),"?","~?"),'DADOS_RESTRICOES'!$M$2:$Q$54,2,FALSE),"")</f>
        <v/>
      </c>
      <c r="FE5" s="164">
        <f>IFERROR(VLOOKUP(SUBSTITUTE(SUBSTITUTE(SUBSTITUTE($EJ5,"~","~~"),"*","~*"),"?","~?"),'DADOS_RESTRICOES'!$M$2:$Q$54,2,FALSE),"")</f>
        <v/>
      </c>
      <c r="FF5" s="164">
        <f>COUNTIF($EM5:$EQ5,1)</f>
        <v/>
      </c>
      <c r="FG5" s="164">
        <f>COUNTIF($EM5:$EQ5,2)</f>
        <v/>
      </c>
      <c r="FH5" s="164">
        <f>COUNTIF($EM5:$EQ5,3)</f>
        <v/>
      </c>
      <c r="FI5" s="164">
        <f>COUNTIF($EM5:$EQ5,4)</f>
        <v/>
      </c>
      <c r="FJ5" s="164">
        <f>COUNTIF($EM5:$EQ5,5)</f>
        <v/>
      </c>
      <c r="FK5" s="164">
        <f>COUNTIF($EM5:$EQ5,6)</f>
        <v/>
      </c>
      <c r="FL5" s="164">
        <f>COUNTIF($FB5:$FC5,1)+IF(IFERROR(INDEX('DADOS_FORMAS'!$AS$2:$AS$21,MATCH(SUBSTITUTE(SUBSTITUTE(SUBSTITUTE($ED5,"~","~~"),"*","~*"),"?","~?"),'DADOS_FORMAS'!$AH$2:$AH$21,0)),"")="",0,IFERROR(N(VLOOKUP(SUBSTITUTE(SUBSTITUTE(SUBSTITUTE(IFERROR(INDEX('DADOS_FORMAS'!$AS$2:$AS$21,MATCH(SUBSTITUTE(SUBSTITUTE(SUBSTITUTE($ED5,"~","~~"),"*","~*"),"?","~?"),'DADOS_FORMAS'!$AH$2:$AH$21,0)),""),"~","~~"),"*","~*"),"?","~?"),'DADOS_RESTRICOES'!$M$2:$Q$54,3,FALSE)=1),0))</f>
        <v/>
      </c>
      <c r="FM5" s="164">
        <f>COUNTIF($FB5:$FC5,2)+IF(IFERROR(INDEX('DADOS_FORMAS'!$AS$2:$AS$21,MATCH(SUBSTITUTE(SUBSTITUTE(SUBSTITUTE($ED5,"~","~~"),"*","~*"),"?","~?"),'DADOS_FORMAS'!$AH$2:$AH$21,0)),"")="",0,IFERROR(N(VLOOKUP(SUBSTITUTE(SUBSTITUTE(SUBSTITUTE(IFERROR(INDEX('DADOS_FORMAS'!$AS$2:$AS$21,MATCH(SUBSTITUTE(SUBSTITUTE(SUBSTITUTE($ED5,"~","~~"),"*","~*"),"?","~?"),'DADOS_FORMAS'!$AH$2:$AH$21,0)),""),"~","~~"),"*","~*"),"?","~?"),'DADOS_RESTRICOES'!$M$2:$Q$54,3,FALSE)=2),0))</f>
        <v/>
      </c>
      <c r="FN5" s="164">
        <f>COUNTIF($EE5:$EH5,"?*")</f>
        <v/>
      </c>
      <c r="FO5" s="164">
        <f>COUNTIF($EI5:$EJ5,"?*")+$EY5</f>
        <v/>
      </c>
      <c r="FP5" s="164">
        <f>SUMPRODUCT($FF5:$FK5,INDEX($Q$2:$V$8,$EB5,0))</f>
        <v/>
      </c>
      <c r="FQ5" s="164">
        <f>$FL5*CEILING($EB5/2,1)+$FM5*$EB5</f>
        <v/>
      </c>
      <c r="FR5" s="164">
        <f>MIN(2*$EB5,$FQ5)</f>
        <v/>
      </c>
      <c r="FS5" s="164">
        <f>MIN($FR5,$FP5-IF($EM5=0,0,INDEX($Q$2:$V$8,$EB5,$EM5)))</f>
        <v/>
      </c>
      <c r="FT5" s="164">
        <f>$FR5-$FS5</f>
        <v/>
      </c>
      <c r="FU5" s="164">
        <f>3*$EB5-$FP5+$FS5</f>
        <v/>
      </c>
      <c r="FV5" s="164">
        <f>MAX(0,$FU5)+$DZ5*$EB5</f>
        <v/>
      </c>
      <c r="FW5" s="164">
        <f>(IF(COUNTIF($KW5:$KZ5,"Salto")&gt;0,1,0)+IF(COUNTIF($KW5:$KZ5,"Queima")&gt;0,1,0)+IF(COUNTIF($KW5:$KZ5,"Estilhaço")&gt;0,1,0))*FLOOR($FV5/2,1)</f>
        <v/>
      </c>
      <c r="FX5" s="164">
        <f>MAX(0,3-SUMPRODUCT($FF5:$FK5,$Q$2:$V$2)+MIN(2,$FL5*1+$FM5*1,SUMPRODUCT($FF5:$FK5,$Q$2:$V$2)-IF($EM5=0,0,INDEX($Q$2:$V$2,1,$EM5))))+$DZ5*1</f>
        <v/>
      </c>
      <c r="FY5" s="164">
        <f>MAX(0,6-SUMPRODUCT($FF5:$FK5,$Q$3:$V$3)+MIN(4,$FL5*1+$FM5*2,SUMPRODUCT($FF5:$FK5,$Q$3:$V$3)-IF($EM5=0,0,INDEX($Q$3:$V$3,1,$EM5))))+$DZ5*2</f>
        <v/>
      </c>
      <c r="FZ5" s="164">
        <f>MAX(0,9-SUMPRODUCT($FF5:$FK5,$Q$4:$V$4)+MIN(6,$FL5*2+$FM5*3,SUMPRODUCT($FF5:$FK5,$Q$4:$V$4)-IF($EM5=0,0,INDEX($Q$4:$V$4,1,$EM5))))+$DZ5*3</f>
        <v/>
      </c>
      <c r="GA5" s="164">
        <f>MAX(0,12-SUMPRODUCT($FF5:$FK5,$Q$5:$V$5)+MIN(8,$FL5*2+$FM5*4,SUMPRODUCT($FF5:$FK5,$Q$5:$V$5)-IF($EM5=0,0,INDEX($Q$5:$V$5,1,$EM5))))+$DZ5*4</f>
        <v/>
      </c>
      <c r="GB5" s="164">
        <f>MAX(0,15-SUMPRODUCT($FF5:$FK5,$Q$6:$V$6)+MIN(10,$FL5*3+$FM5*5,SUMPRODUCT($FF5:$FK5,$Q$6:$V$6)-IF($EM5=0,0,INDEX($Q$6:$V$6,1,$EM5))))+$DZ5*5</f>
        <v/>
      </c>
      <c r="GC5" s="164">
        <f>MAX(0,18-SUMPRODUCT($FF5:$FK5,$Q$7:$V$7)+MIN(12,$FL5*3+$FM5*6,SUMPRODUCT($FF5:$FK5,$Q$7:$V$7)-IF($EM5=0,0,INDEX($Q$7:$V$7,1,$EM5))))+$DZ5*6</f>
        <v/>
      </c>
      <c r="GD5" s="164">
        <f>MAX(0,21-SUMPRODUCT($FF5:$FK5,$Q$8:$V$8)+MIN(14,$FL5*4+$FM5*7,SUMPRODUCT($FF5:$FK5,$Q$8:$V$8)-IF($EM5=0,0,INDEX($Q$8:$V$8,1,$EM5))))+$DZ5*7</f>
        <v/>
      </c>
      <c r="GE5" s="164">
        <f>IF($EZ5=2,3*$FX5&amp;" de vida temp.",IF($EZ5=3,"sem dano",IF($FX5=0,IF($EZ5=1,"sem cura","sem dano"),IF($EZ5=1,"cura ","")&amp;$FX5&amp;"d8")))</f>
        <v/>
      </c>
      <c r="GF5" s="164">
        <f>IF($EZ5=2,3*$FY5&amp;" de vida temp.",IF($EZ5=3,"sem dano",IF($FY5=0,IF($EZ5=1,"sem cura","sem dano"),IF($EZ5=1,"cura ","")&amp;$FY5&amp;"d8")))</f>
        <v/>
      </c>
      <c r="GG5" s="164">
        <f>IF($EZ5=2,3*$FZ5&amp;" de vida temp.",IF($EZ5=3,"sem dano",IF($FZ5=0,IF($EZ5=1,"sem cura","sem dano"),IF($EZ5=1,"cura ","")&amp;$FZ5&amp;"d8")))</f>
        <v/>
      </c>
      <c r="GH5" s="164">
        <f>IF($EZ5=2,3*$GA5&amp;" de vida temp.",IF($EZ5=3,"sem dano",IF($GA5=0,IF($EZ5=1,"sem cura","sem dano"),IF($EZ5=1,"cura ","")&amp;$GA5&amp;"d8")))</f>
        <v/>
      </c>
      <c r="GI5" s="164">
        <f>IF($EZ5=2,3*$GB5&amp;" de vida temp.",IF($EZ5=3,"sem dano",IF($GB5=0,IF($EZ5=1,"sem cura","sem dano"),IF($EZ5=1,"cura ","")&amp;$GB5&amp;"d8")))</f>
        <v/>
      </c>
      <c r="GJ5" s="164">
        <f>IF($EZ5=2,3*$GC5&amp;" de vida temp.",IF($EZ5=3,"sem dano",IF($GC5=0,IF($EZ5=1,"sem cura","sem dano"),IF($EZ5=1,"cura ","")&amp;$GC5&amp;"d8")))</f>
        <v/>
      </c>
      <c r="GK5" s="164">
        <f>IF($EZ5=2,3*$GD5&amp;" de vida temp.",IF($EZ5=3,"sem dano",IF($GD5=0,IF($EZ5=1,"sem cura","sem dano"),IF($EZ5=1,"cura ","")&amp;$GD5&amp;"d8")))</f>
        <v/>
      </c>
      <c r="GL5" s="164">
        <f>IF($EK5=0,"",TEXTJOIN(" · ",TRUE,IF($EK5=0,"",TEXTJOIN(" · ",TRUE,IF($EK5=0,"",TEXTJOIN(" · ",TRUE,IF(AND($DZ5=1,$EA5&gt;$HM$9),"O nível "&amp;$HM$2&amp;" dá "&amp;$HM$9&amp;" Liberação Máxima",""),IF($EB5&gt;$HM$4,"Classe "&amp;$EB5&amp;": o nível "&amp;$HM$2&amp;" libera até a "&amp;$HM$4,""),IF($ER5=1,"Família Fechada: a Forma "&amp;$ED5,""),IF($ES5=1,"Família Fechada: "&amp;$EE5,""),IF($ET5=1,"Família Fechada: "&amp;$EF5,""),IF($EU5=1,"Família Fechada: "&amp;$EG5,""),IF($EV5=1,"Família Fechada: "&amp;$EH5,""),IF($FN5&gt;INDEX($W$2:$W$8,$EB5),$FN5&amp;" Melhorias: a Classe "&amp;$EB5&amp;" aceita "&amp;INDEX($W$2:$W$8,$EB5),""),IF($FO5&gt;2,$FO5&amp;" Restrições"&amp;IF($EY5=1,", contando a que a Forma "&amp;$ED5&amp;" já traz","")&amp;": o limite é 2",""),IF($FU5&lt;0,"Orçamento estourado: faltam "&amp;(-$FU5)&amp;IF($FU5&lt;-1," pontos"," ponto"),""),IF(IFERROR(VLOOKUP(SUBSTITUTE(SUBSTITUTE(SUBSTITUTE($EI5,"~","~~"),"*","~*"),"?","~?"),'DADOS_RESTRICOES'!$M$2:$Q$54,4,FALSE),0)+IFERROR(VLOOKUP(SUBSTITUTE(SUBSTITUTE(SUBSTITUTE($EJ5,"~","~~"),"*","~*"),"?","~?"),'DADOS_RESTRICOES'!$M$2:$Q$54,4,FALSE),0)&gt;1,$FD5&amp;" e "&amp;$FE5&amp;" são as duas de frequência",""),IF(AND((COUNTIF($KW5:$KZ5,"Rápido")+COUNTIF($FD5:$FE5,"Rápido"))&gt;0,(COUNTIF($EE5:$EH5,"Atrasar")+COUNTIF($FD5:$FE5,"Atrasar"))&gt;0),"Rápido não entra com Atrasar",""),IF(AND((COUNTIF($KW5:$KZ5,"Reação")+COUNTIF($FD5:$FE5,"Reação"))&gt;0,(COUNTIF($KW5:$KZ5,"Rápido")+COUNTIF($FD5:$FE5,"Rápido"))&gt;0),"Reação não entra com Rápido",""),IF(AND((COUNTIF($KW5:$KZ5,"Reação")+COUNTIF($FD5:$FE5,"Reação"))&gt;0,(COUNTIF($KW5:$KZ5,"Armado")+COUNTIF($FD5:$FE5,"Armado"))&gt;0),"Reação não entra com Armado",""),IF(AND((COUNTIF($KW5:$KZ5,"Reação")+COUNTIF($FD5:$FE5,"Reação"))&gt;0,(COUNTIF($EE5:$EH5,"Atrasar")+COUNTIF($FD5:$FE5,"Atrasar"))&gt;0),"Reação não entra com Atrasar",""),IF(AND((COUNTIF($KW5:$KZ5,"Reação")+COUNTIF($FD5:$FE5,"Reação"))&gt;0,(COUNTIF($EE5:$EH5,"Parado")+COUNTIF($FD5:$FE5,"Parado"))&gt;0),"Reação não entra com Parado",""),IF(AND((COUNTIF($EE5:$EH5,"Atrasar")+COUNTIF($FD5:$FE5,"Atrasar"))&gt;0,(COUNTIF($EE5:$EH5,"Parado")+COUNTIF($FD5:$FE5,"Parado"))&gt;0),"Atrasar não entra com Parado",""),IF(AND((COUNTIF($KW5:$KZ5,"Armado")+COUNTIF($FD5:$FE5,"Armado"))&gt;0,(COUNTIF($EE5:$EH5,"Carregar")+COUNTIF($FD5:$FE5,"Carregar"))&gt;0),"Armado não entra com Carregar",""),IF(AND(COUNTIF($FD5:$FE5,"Corpo a Corpo")&gt;0,$EY5=0,OR($LB5="Cone",$LB5="Linha")),"Corpo a Corpo não entra em "&amp;$ED5,""),IF(AND(COUNTIF($FD5:$FE5,"Corpo a Corpo")&gt;0,$LC5="Corpo a Corpo"),"A Forma "&amp;$ED5&amp;" já traz o Corpo a Corpo",""),IF(AND(COUNTIF($FD5:$FE5,"Tudo ou Nada")&gt;0,$FA5=0),"Tudo ou Nada só entra em feitiço de Teste de Resistência",""),IF(AND(COUNTIF($KW5:$KZ5,"Inescapável")&gt;0,OR($FN5&gt;1,$FO5&gt;0)),"Inescapável não aceita outra peça",""),IF(AND($DZ5=1,$EB5&lt;3),"Liberação Máxima é de Classe 3 ou mais",""),IF(AND($DZ5=1,OR($EZ5=1,$EZ5=2)),"Liberação Máxima não serve para cura",""),IF(AND($DZ5=1,COUNTIF($KW5:$KZ5,"Inescapável")+COUNTIF($KW5:$KZ5,"Toca a Alma")&gt;0),"Esta peça não entra numa Liberação Máxima",""),IF($FV5*IF(COUNTIF($KW5:$KZ5,"Remate")&gt;0,1.25,1)+$FW5&gt;4*$EB5,($FV5*IF(COUNTIF($KW5:$KZ5,"Remate")&gt;0,1.25,1)+$FW5)&amp;" dados somando repetições"&amp;IF(COUNTIF($KW5:$KZ5,"Remate")&gt;0," e o Remate","")&amp;": o teto da Classe "&amp;$EB5&amp;" é "&amp;4*$EB5,""))),IF(AND($EE5&lt;&gt;"",COUNTIF('DADOS_MELHORIAS'!$O$2:$O$113,SUBSTITUTE(SUBSTITUTE(SUBSTITUTE($EE5,"~","~~"),"*","~*"),"?","~?"))=0),"Melhoria não cadastrada ou com erro: "&amp;$EE5,""),IF(AND($EF5&lt;&gt;"",COUNTIF('DADOS_MELHORIAS'!$O$2:$O$113,SUBSTITUTE(SUBSTITUTE(SUBSTITUTE($EF5,"~","~~"),"*","~*"),"?","~?"))=0),"Melhoria não cadastrada ou com erro: "&amp;$EF5,""),IF(AND($EG5&lt;&gt;"",COUNTIF('DADOS_MELHORIAS'!$O$2:$O$113,SUBSTITUTE(SUBSTITUTE(SUBSTITUTE($EG5,"~","~~"),"*","~*"),"?","~?"))=0),"Melhoria não cadastrada ou com erro: "&amp;$EG5,""),IF(AND($EH5&lt;&gt;"",COUNTIF('DADOS_MELHORIAS'!$O$2:$O$113,SUBSTITUTE(SUBSTITUTE(SUBSTITUTE($EH5,"~","~~"),"*","~*"),"?","~?"))=0),"Melhoria não cadastrada ou com erro: "&amp;$EH5,""),IF(AND($EI5&lt;&gt;"",COUNTIF('DADOS_RESTRICOES'!$M$2:$M$54,SUBSTITUTE(SUBSTITUTE(SUBSTITUTE($EI5,"~","~~"),"*","~*"),"?","~?"))=0),"Restrição não cadastrada ou com erro: "&amp;$EI5,""),IF(AND($EJ5&lt;&gt;"",COUNTIF('DADOS_RESTRICOES'!$M$2:$M$54,SUBSTITUTE(SUBSTITUTE(SUBSTITUTE($EJ5,"~","~~"),"*","~*"),"?","~?"))=0),"Restrição não cadastrada ou com erro: "&amp;$EJ5,""))),IF(AND($ED5&lt;&gt;"",COUNTIF('DADOS_FORMAS'!$AH$2:$AH$21,SUBSTITUTE(SUBSTITUTE(SUBSTITUTE($ED5,"~","~~"),"*","~*"),"?","~?"))=0),"Forma não cadastrada ou com erro: "&amp;$ED5,""),IF(AND(IFERROR(INDEX('DADOS_FORMAS'!$AS$2:$AS$21,MATCH(SUBSTITUTE(SUBSTITUTE(SUBSTITUTE($ED5,"~","~~"),"*","~*"),"?","~?"),'DADOS_FORMAS'!$AH$2:$AH$21,0)),"")&lt;&gt;"",OR(IFERROR(VLOOKUP(SUBSTITUTE(SUBSTITUTE(SUBSTITUTE(IFERROR(INDEX('DADOS_FORMAS'!$AS$2:$AS$21,MATCH(SUBSTITUTE(SUBSTITUTE(SUBSTITUTE($ED5,"~","~~"),"*","~*"),"?","~?"),'DADOS_FORMAS'!$AH$2:$AH$21,0)),""),"~","~~"),"*","~*"),"?","~?"),'DADOS_RESTRICOES'!$M$2:$Q$54,2,FALSE),"")=$FD5,IFERROR(VLOOKUP(SUBSTITUTE(SUBSTITUTE(SUBSTITUTE(IFERROR(INDEX('DADOS_FORMAS'!$AS$2:$AS$21,MATCH(SUBSTITUTE(SUBSTITUTE(SUBSTITUTE($ED5,"~","~~"),"*","~*"),"?","~?"),'DADOS_FORMAS'!$AH$2:$AH$21,0)),""),"~","~~"),"*","~*"),"?","~?"),'DADOS_RESTRICOES'!$M$2:$Q$54,2,FALSE),"")=$FE5)),"Restrição repetida, contando a embutida",""),IF(IF(IFERROR(INDEX('DADOS_FORMAS'!$AS$2:$AS$21,MATCH(SUBSTITUTE(SUBSTITUTE(SUBSTITUTE($ED5,"~","~~"),"*","~*"),"?","~?"),'DADOS_FORMAS'!$AH$2:$AH$21,0)),"")="",0,IFERROR(N(VLOOKUP(SUBSTITUTE(SUBSTITUTE(SUBSTITUTE(IFERROR(INDEX('DADOS_FORMAS'!$AS$2:$AS$21,MATCH(SUBSTITUTE(SUBSTITUTE(SUBSTITUTE($ED5,"~","~~"),"*","~*"),"?","~?"),'DADOS_FORMAS'!$AH$2:$AH$21,0)),""),"~","~~"),"*","~*"),"?","~?"),'DADOS_RESTRICOES'!$M$2:$Q$54,4,FALSE)=1),0))+IF($EI5="",0,IFERROR(N(VLOOKUP(SUBSTITUTE(SUBSTITUTE(SUBSTITUTE($EI5,"~","~~"),"*","~*"),"?","~?"),'DADOS_RESTRICOES'!$M$2:$Q$54,4,FALSE)=1),0))+IF($EJ5="",0,IFERROR(N(VLOOKUP(SUBSTITUTE(SUBSTITUTE(SUBSTITUTE($EJ5,"~","~~"),"*","~*"),"?","~?"),'DADOS_RESTRICOES'!$M$2:$Q$54,4,FALSE)=1),0))&gt;1,"Duas Restrições de frequência, contando a embutida",""),IF(AND(IFERROR(VLOOKUP(SUBSTITUTE(SUBSTITUTE(SUBSTITUTE(IFERROR(INDEX('DADOS_FORMAS'!$AS$2:$AS$21,MATCH(SUBSTITUTE(SUBSTITUTE(SUBSTITUTE($ED5,"~","~~"),"*","~*"),"?","~?"),'DADOS_FORMAS'!$AH$2:$AH$21,0)),""),"~","~~"),"*","~*"),"?","~?"),'DADOS_RESTRICOES'!$M$2:$Q$54,2,FALSE),"")="Tudo ou Nada",$FA5=0),"Tudo ou Nada exige TR",""),IF(AND(IFERROR(VLOOKUP(SUBSTITUTE(SUBSTITUTE(SUBSTITUTE(IFERROR(INDEX('DADOS_FORMAS'!$AS$2:$AS$21,MATCH(SUBSTITUTE(SUBSTITUTE(SUBSTITUTE($ED5,"~","~~"),"*","~*"),"?","~?"),'DADOS_FORMAS'!$AH$2:$AH$21,0)),""),"~","~~"),"*","~*"),"?","~?"),'DADOS_RESTRICOES'!$M$2:$Q$54,2,FALSE),"")="Corpo a Corpo",OR($LB5="Cone",$LB5="Linha")),"Corpo a Corpo não entra em Cone/Linha","")))</f>
        <v/>
      </c>
      <c r="GM5" s="164">
        <f>IF($GL5="",0,(LEN($GL5)-LEN(SUBSTITUTE($GL5," · ","")))/3+1)</f>
        <v/>
      </c>
      <c r="GN5" s="164">
        <f>IF($EK5=0,"",TEXTJOIN(" · ",TRUE,IF($FQ5&gt;2*$EB5,"A devolução parou no teto de "&amp;2*$EB5,""),IF($FT5&gt;0,"Devolução perdida: "&amp;$FT5&amp;IF($FT5&gt;1," pontos"," ponto")&amp;" sem Melhoria para pagar",""),IF(AND($EW5&gt;0,$FV5=0),"Controle sem dano: uma rodada a mais e CD +2",""),IF(AND($EW5&gt;0,$FV5&gt;0,$FV5&lt;=$EB5),"Controle com saldo até a Classe: uma rodada a mais","")))</f>
        <v/>
      </c>
      <c r="GO5" s="164">
        <f>IF($GN5="",0,(LEN($GN5)-LEN(SUBSTITUTE($GN5," · ","")))/3+1)</f>
        <v/>
      </c>
      <c r="GP5" s="164">
        <f>IF($EK5=0,IF($FN5+$FO5-$EY5&gt;0,"Dê um nome",""),IF($GM5&gt;0,"⚠ "&amp;$GM5&amp;IF($GM5&gt;1," erros"," erro"),IF($GO5&gt;0,"! "&amp;$GO5&amp;IF($GO5&gt;1," avisos"," aviso"),"Na regra")))</f>
        <v/>
      </c>
      <c r="GQ5" s="164">
        <f>IF($EK5=0,"",IF($GM5+$GO5=0,"Dentro das regras que a ficha confere",$GL5&amp;IF(AND($GM5&gt;0,$GO5&gt;0)," · ","")&amp;$GN5))</f>
        <v/>
      </c>
      <c r="GR5" s="164">
        <f>IF($EK5=0,"",IF($DZ5=1,CEILING(4.5*$EB5,1),3*$EB5)&amp;" PE")</f>
        <v/>
      </c>
      <c r="GS5" s="164">
        <f>IF($EK5=0,"",IF($DZ5=1,"Rodada inteira",IF(COUNTIF($LD5:$LF5,"Atrasar")&gt;0,IF(COUNTIF($LD5:$LF5,"Carregar")&gt;0,"Rodada +1 turno","Rodada inteira"),IF(COUNTIF($KW5:$KZ5,"Rápido")&gt;0,"Bônus",IF(COUNTIF($KW5:$KZ5,"Reação")&gt;0,"Reação","Padrão"))&amp;IF(COUNTIF($LD5:$LF5,"Carregar")&gt;0," +1 turno",""))))</f>
        <v/>
      </c>
      <c r="GT5" s="164">
        <f>IF(OR($EK5=0,$EL5=0),"",IF(COUNTIF($KW5:$KZ5,"Inescapável")&gt;0,"Automático",IF(COUNTIF($KW5:$KZ5,"Certeiro")&gt;0,"TR para metade",IF(AND($EX5&gt;0,$FA5=0,INDEX('DADOS_FORMAS'!$FQ$2:$FQ$21,$EL5)="Acerto"),"Acerto + TR",INDEX('DADOS_FORMAS'!$FQ$2:$FQ$21,$EL5)))))</f>
        <v/>
      </c>
      <c r="GU5" s="164">
        <f>IF(OR($EK5=0,$EL5=0),"",IF(OR($EZ5&gt;=2,$FV5=0),UPPER(LEFT(INDEX($GE5:$GK5,1,$EB5),1))&amp;MID(INDEX($GE5:$GK5,1,$EB5),2,99),UPPER(LEFT(INDEX($GE5:$GK5,1,$EB5),1))&amp;MID(INDEX($GE5:$GK5,1,$EB5),2,99)&amp;" = "&amp;FLOOR($FV5*4.5,1)&amp;IF($FW5&gt;0," · +"&amp;$FW5&amp;"d8","")))</f>
        <v/>
      </c>
      <c r="GV5" s="164">
        <f>COUNTIF($KW5:$KZ5,"Longe")+3*COUNTIF($KW5:$KZ5,"Muito Longe")</f>
        <v/>
      </c>
      <c r="GW5" s="164">
        <f>COUNTIF($KW5:$KZ5,"Maior")+3*COUNTIF($KW5:$KZ5,"Muito Maior")</f>
        <v/>
      </c>
      <c r="GX5" s="164">
        <f>IF($EL5=0,0,CHOOSE(1+INDEX('DADOS_FORMAS'!$FS$2:$FS$21,$EL5),0,$GV5,$GW5,$GV5+$GW5))</f>
        <v/>
      </c>
      <c r="GY5" s="164">
        <f>IF($EL5=0,0,CHOOSE(1+INDEX('DADOS_FORMAS'!$FT$2:$FT$21,$EL5),0,$GV5,$GW5,$GV5+$GW5))</f>
        <v/>
      </c>
      <c r="GZ5" s="164">
        <f>IF(OR($EK5=0,$EL5=0),"",INDEX('DADOS_FORMAS'!$GZ$2:$HE$61,($EL5-1)*3+IF($EB5&gt;=6,3,2),1+MIN(5,$GX5))&amp;INDEX('DADOS_FORMAS'!$HF$2:$HK$61,($EL5-1)*3+IF($EB5&gt;=6,3,2),1+MIN(5,$GY5))&amp;IF(INDEX('DADOS_FORMAS'!$FU$2:$FU$21,$EL5)=1,IF(COUNTIF($KW5:$KZ5,"Mais Um")&gt;0," · +"&amp;COUNTIF($KW5:$KZ5,"Mais Um")&amp;IF(COUNTIF($KW5:$KZ5,"Mais Um")&gt;1," alvos"," alvo"),"")&amp;IF(COUNTIF($KW5:$KZ5,"Rajada")&gt;0," · "&amp;($EB5+1)&amp;" tiros",""),""))</f>
        <v/>
      </c>
      <c r="HA5" s="164">
        <f>IF($EK5=0,"",3*$EB5&amp;" − "&amp;$FP5&amp;" + "&amp;$FS5&amp;IF($DZ5=1," + "&amp;$EB5,"")&amp;" = "&amp;$FV5&amp;"d8 · teto "&amp;4*$EB5&amp;IF($EY5=1," · a Forma devolve "&amp;$EB5,"")&amp;IF($FT5&gt;0," · perde "&amp;$FT5,""))</f>
        <v/>
      </c>
      <c r="HB5" s="164">
        <f>IF($EK5=0,"",IF($EB5&gt;=$HM$4,"Já está na maior Classe que o nível liberou",TEXTJOIN(" · ",TRUE,IF(AND(2&gt;$EB5,2&lt;=$HM$4),"2 → "&amp;$GF5&amp;", "&amp;IF($DZ5=1,9,6)&amp;" PE",""),IF(AND(3&gt;$EB5,3&lt;=$HM$4),"3 → "&amp;$GG5&amp;", "&amp;IF($DZ5=1,14,9)&amp;" PE",""),IF(AND(4&gt;$EB5,4&lt;=$HM$4),"4 → "&amp;$GH5&amp;", "&amp;IF($DZ5=1,18,12)&amp;" PE",""),IF(AND(5&gt;$EB5,5&lt;=$HM$4),"5 → "&amp;$GI5&amp;", "&amp;IF($DZ5=1,23,15)&amp;" PE",""),IF(AND(6&gt;$EB5,6&lt;=$HM$4),"6 → "&amp;$GJ5&amp;", "&amp;IF($DZ5=1,27,18)&amp;" PE",""),IF(AND(7&gt;$EB5,7&lt;=$HM$4),"7 → "&amp;$GK5&amp;", "&amp;IF($DZ5=1,32,21)&amp;" PE",""))))</f>
        <v/>
      </c>
      <c r="HC5" s="164">
        <f>IF(OR($EK5=0,$EN5=0),"","−"&amp;INDEX($Q$2:$V$8,$EB5,$EN5)&amp;" · "&amp;CHOOSE($EN5,"Leve","Média","Pesada","Leve · Livre","Média · Livre","Pesada · Livre"))</f>
        <v/>
      </c>
      <c r="HD5" s="164">
        <f>IF(OR($EK5=0,$EO5=0),"","−"&amp;INDEX($Q$2:$V$8,$EB5,$EO5)&amp;" · "&amp;CHOOSE($EO5,"Leve","Média","Pesada","Leve · Livre","Média · Livre","Pesada · Livre"))</f>
        <v/>
      </c>
      <c r="HE5" s="164">
        <f>IF(OR($EK5=0,$EP5=0),"","−"&amp;INDEX($Q$2:$V$8,$EB5,$EP5)&amp;" · "&amp;CHOOSE($EP5,"Leve","Média","Pesada","Leve · Livre","Média · Livre","Pesada · Livre"))</f>
        <v/>
      </c>
      <c r="HF5" s="164">
        <f>IF(OR($EK5=0,$EQ5=0),"","−"&amp;INDEX($Q$2:$V$8,$EB5,$EQ5)&amp;" · "&amp;CHOOSE($EQ5,"Leve","Média","Pesada","Leve · Livre","Média · Livre","Pesada · Livre"))</f>
        <v/>
      </c>
      <c r="HG5" s="164">
        <f>IF(OR($EK5=0,$EI5=""),"","+"&amp;IF($FB5=1,CEILING($EB5/2,1),$EB5))</f>
        <v/>
      </c>
      <c r="HH5" s="164">
        <f>IF(OR($EK5=0,$EJ5=""),"","+"&amp;IF($FC5=1,CEILING($EB5/2,1),$EB5))</f>
        <v/>
      </c>
      <c r="HI5" s="164">
        <f>'FICHA AMALDIÇOADA'!$D$87&amp;""</f>
        <v/>
      </c>
      <c r="HJ5" s="164">
        <f>IF(AND($EK5=1,$DZ5=0),COUNTIFS($EK$2:$EK5,1,$DZ$2:$DZ5,0),"")</f>
        <v/>
      </c>
      <c r="HL5" s="162" t="inlineStr">
        <is>
          <t>marcos</t>
        </is>
      </c>
      <c r="HM5" s="164">
        <f>N(DADOS!$AK$5)</f>
        <v/>
      </c>
      <c r="HO5" s="162" t="inlineStr">
        <is>
          <t>Talento 4</t>
        </is>
      </c>
      <c r="HP5" s="164">
        <f>'FICHA AMALDIÇOADA'!$D$400&amp;""</f>
        <v/>
      </c>
      <c r="HQ5" s="164">
        <f>IFERROR(VLOOKUP(SUBSTITUTE(SUBSTITUTE(SUBSTITUTE($HP5,"~","~~"),"*","~*"),"?","~?"),'DADOS_TALENTOS'!$AQ$2:$AW$34,2,FALSE),0)</f>
        <v/>
      </c>
      <c r="HR5" s="164">
        <f>IFERROR(VLOOKUP($HQ5,$CA$2:$CB$4,2,FALSE),0)</f>
        <v/>
      </c>
      <c r="HS5" s="164">
        <f>IFERROR(VLOOKUP(SUBSTITUTE(SUBSTITUTE(SUBSTITUTE($HP5,"~","~~"),"*","~*"),"?","~?"),'DADOS_TALENTOS'!$AQ$2:$AW$34,3,FALSE),"")</f>
        <v/>
      </c>
      <c r="HT5" s="164">
        <f>IF($HQ5=0,"",IF($HR5&gt;$HM$2,"⚠ Nível "&amp;$HR5,"CE "&amp;$HQ5))&amp;IF('DADOS_AM'!$LO5="",""," · ⚠ "&amp;'DADOS_AM'!$LO5)</f>
        <v/>
      </c>
      <c r="HU5" s="164">
        <f>IF($HQ5=0,"",$HQ5&amp;" esp.")</f>
        <v/>
      </c>
      <c r="HV5" s="164">
        <f>'FICHA AMALDIÇOADA'!$E$405&amp;""</f>
        <v/>
      </c>
      <c r="HW5" s="164">
        <f>IF($HP5="","",COUNTIF($HP$2:$HP5,"?*"))</f>
        <v/>
      </c>
      <c r="HY5" s="162" t="inlineStr">
        <is>
          <t>Aptidão 4</t>
        </is>
      </c>
      <c r="HZ5" s="164">
        <f>'FICHA AMALDIÇOADA'!$D$463&amp;""</f>
        <v/>
      </c>
      <c r="IA5" s="164">
        <f>IF($HZ5="","","Requisito: "&amp;IFERROR(VLOOKUP(SUBSTITUTE(SUBSTITUTE(SUBSTITUTE($HZ5,"~","~~"),"*","~*"),"?","~?"),'DADOS_APTIDOES'!$BF$2:$BO$45,2,FALSE),""))&amp;IF($LK5="",""," · ⚠ "&amp;$LK5)</f>
        <v/>
      </c>
      <c r="IB5" s="164">
        <f>IF($HZ5="","",IFERROR(IF(ISNUMBER(VLOOKUP(SUBSTITUTE(SUBSTITUTE(SUBSTITUTE($HZ5,"~","~~"),"*","~*"),"?","~?"),'DADOS_APTIDOES'!$BF$2:$BO$45,3,FALSE)),"CE "&amp;VLOOKUP(SUBSTITUTE(SUBSTITUTE(SUBSTITUTE($HZ5,"~","~~"),"*","~*"),"?","~?"),'DADOS_APTIDOES'!$BF$2:$BO$45,3,FALSE),VLOOKUP(SUBSTITUTE(SUBSTITUTE(SUBSTITUTE($HZ5,"~","~~"),"*","~*"),"?","~?"),'DADOS_APTIDOES'!$BF$2:$BO$45,3,FALSE)),""))</f>
        <v/>
      </c>
      <c r="IC5" s="164">
        <f>IF($HZ5="","",IFERROR(VLOOKUP(SUBSTITUTE(SUBSTITUTE(SUBSTITUTE($HZ5,"~","~~"),"*","~*"),"?","~?"),'DADOS_APTIDOES'!$BF$2:$BO$45,4,FALSE),""))</f>
        <v/>
      </c>
      <c r="ID5" s="164">
        <f>IF($HZ5="","",IFERROR(VLOOKUP(SUBSTITUTE(SUBSTITUTE(SUBSTITUTE($HZ5,"~","~~"),"*","~*"),"?","~?"),'DADOS_APTIDOES'!$BF$2:$BO$45,5,FALSE),""))</f>
        <v/>
      </c>
      <c r="IE5" s="164">
        <f>'FICHA AMALDIÇOADA'!$E$480&amp;""</f>
        <v/>
      </c>
      <c r="IF5" s="164">
        <f>IF($HZ5="","",COUNTIF($HZ$2:$HZ5,"?*"))</f>
        <v/>
      </c>
      <c r="IH5" s="162" t="inlineStr">
        <is>
          <t>Classe 0 · 4</t>
        </is>
      </c>
      <c r="II5" s="164">
        <f>'FICHA AMALDIÇOADA'!$F$326&amp;""</f>
        <v/>
      </c>
      <c r="IJ5" s="164">
        <f>'FICHA AMALDIÇOADA'!$J$326&amp;""</f>
        <v/>
      </c>
      <c r="IK5" s="164">
        <f>'FICHA AMALDIÇOADA'!$L$326&amp;""</f>
        <v/>
      </c>
      <c r="IL5" s="164">
        <f>IFERROR(MATCH(SUBSTITUTE(SUBSTITUTE(SUBSTITUTE($II5,"~","~~"),"*","~*"),"?","~?"),'DADOS_FORMAS'!$FJ$2:$FJ$21,0),0)</f>
        <v/>
      </c>
      <c r="IM5" s="164">
        <f>$HM$11-IF(AND($IJ5&lt;&gt;"",$IK5=""),1,0)</f>
        <v/>
      </c>
      <c r="IN5" s="164">
        <f>IF(4&gt;$HM$10,"Nível 11",IF($IL5=0,"",IF(INDEX('DADOS_FORMAS'!$FP$2:$FP$21,$IL5)&gt;=2,"—",$IM5&amp;"d8 = "&amp;FLOOR($IM5*4.5,1))))</f>
        <v/>
      </c>
      <c r="IO5" s="164">
        <f>IF(OR(4&gt;$HM$10,$IL5=0),"",INDEX('DADOS_FORMAS'!$GZ$2:$HE$61,($IL5-1)*3+1,1+IF(OR(AND($LA5="Longe",INDEX('DADOS_FORMAS'!$FS$2:$FS$21,$IL5)&lt;&gt;2),AND($LA5="Maior",INDEX('DADOS_FORMAS'!$FS$2:$FS$21,$IL5)&gt;=2)),1,0))&amp;INDEX('DADOS_FORMAS'!$HF$2:$HK$61,($IL5-1)*3+1,1+IF(AND($LA5="Longe",INDEX('DADOS_FORMAS'!$FT$2:$FT$21,$IL5)=1),1,0)))</f>
        <v/>
      </c>
      <c r="IQ5" s="162" t="inlineStr">
        <is>
          <t>Classe 0</t>
        </is>
      </c>
      <c r="IR5" s="164">
        <f>ADDRESS(ROW('FICHA AMALDIÇOADA'!G7),COLUMN('FICHA AMALDIÇOADA'!G7),4)</f>
        <v/>
      </c>
      <c r="IS5" s="164">
        <f>ADDRESS(ROW('FICHA AMALDIÇOADA'!D320),COLUMN('FICHA AMALDIÇOADA'!D320),4)</f>
        <v/>
      </c>
      <c r="IT5" s="162" t="inlineStr">
        <is>
          <t>DADOS_AM!$IQ$5</t>
        </is>
      </c>
      <c r="IV5" s="162" t="inlineStr">
        <is>
          <t>Caminho 23</t>
        </is>
      </c>
      <c r="IW5" s="164" t="n">
        <v>23</v>
      </c>
      <c r="IX5" s="164">
        <f>IF($HM$2&gt;=23,"Nível 23","Abre no 23")</f>
        <v/>
      </c>
      <c r="IY5" s="164">
        <f>ADDRESS(ROW(FICHA!G152),COLUMN(FICHA!G152),4)</f>
        <v/>
      </c>
      <c r="IZ5" s="164">
        <f>ADDRESS(ROW(FICHA!D153),COLUMN(FICHA!D153),4)</f>
        <v/>
      </c>
      <c r="JH5" s="164" t="n">
        <v>4</v>
      </c>
      <c r="JI5" s="164">
        <f>IFERROR(MATCH(4,$HJ$2:$HJ$37,0),0)</f>
        <v/>
      </c>
      <c r="JJ5" s="164">
        <f>IF($JI5=0,"",INDEX($EB$2:$EB$37,$JI5))</f>
        <v/>
      </c>
      <c r="JK5" s="164">
        <f>IF($JI5=0,"",INDEX($EC$2:$EC$37,$JI5))</f>
        <v/>
      </c>
      <c r="JL5" s="164">
        <f>IF($JI5=0,"",INDEX($GR$2:$GR$37,$JI5))</f>
        <v/>
      </c>
      <c r="JM5" s="164">
        <f>IF($JI5=0,"",INDEX($ED$2:$ED$37,$JI5))</f>
        <v/>
      </c>
      <c r="JN5" s="164">
        <f>IF($JI5=0,"",INDEX($GT$2:$GT$37,$JI5))</f>
        <v/>
      </c>
      <c r="JO5" s="164">
        <f>IF($JI5=0,"",INDEX($HI$2:$HI$37,$JI5))</f>
        <v/>
      </c>
      <c r="KF5" s="162" t="inlineStr">
        <is>
          <t>Talento 2</t>
        </is>
      </c>
      <c r="KG5" s="164">
        <f>IFERROR(MATCH(2,$HW$2:$HW$13,0),0)</f>
        <v/>
      </c>
      <c r="KH5" s="164">
        <f>IF($KG5=0,"",IF(INDEX($HQ$2:$HQ$13,$KG5)=0,"","CE "&amp;INDEX($HQ$2:$HQ$13,$KG5)))</f>
        <v/>
      </c>
      <c r="KI5" s="164">
        <f>IF($KG5=0,"",INDEX($HP$2:$HP$13,$KG5))</f>
        <v/>
      </c>
      <c r="KJ5" s="164">
        <f>IF($KG5=0,"",IF(INDEX($HV$2:$HV$13,$KG5)&lt;&gt;"",INDEX($HV$2:$HV$13,$KG5),IF(IFERROR(VLOOKUP(SUBSTITUTE(SUBSTITUTE(SUBSTITUTE(INDEX($HP$2:$HP$13,$KG5),"~","~~"),"*","~*"),"?","~?"),'DADOS_TALENTOS'!$AQ$2:$AW$34,7,FALSE),"")&lt;&gt;"","Do livro: "&amp;IFERROR(VLOOKUP(SUBSTITUTE(SUBSTITUTE(SUBSTITUTE(INDEX($HP$2:$HP$13,$KG5),"~","~~"),"*","~*"),"?","~?"),'DADOS_TALENTOS'!$AQ$2:$AW$34,7,FALSE),""),"")))</f>
        <v/>
      </c>
      <c r="KL5" s="162" t="inlineStr">
        <is>
          <t>Aptidão 2</t>
        </is>
      </c>
      <c r="KM5" s="164">
        <f>IFERROR(MATCH(2,$IF$2:$IF$13,0),0)</f>
        <v/>
      </c>
      <c r="KN5" s="164">
        <f>IF($KM5=0,"",INDEX($IB$2:$IB$13,$KM5))</f>
        <v/>
      </c>
      <c r="KO5" s="164">
        <f>IF($KM5=0,"",INDEX($HZ$2:$HZ$13,$KM5))</f>
        <v/>
      </c>
      <c r="KP5" s="164">
        <f>IF($KM5=0,"",IF(INDEX($IE$2:$IE$13,$KM5)&lt;&gt;"",INDEX($IE$2:$IE$13,$KM5),IF(IFERROR(VLOOKUP(SUBSTITUTE(SUBSTITUTE(SUBSTITUTE(INDEX($HZ$2:$HZ$13,$KM5),"~","~~"),"*","~*"),"?","~?"),'DADOS_APTIDOES'!$BF$2:$BO$45,10,FALSE),"")&lt;&gt;"","Do livro: "&amp;IFERROR(VLOOKUP(SUBSTITUTE(SUBSTITUTE(SUBSTITUTE(INDEX($HZ$2:$HZ$13,$KM5),"~","~~"),"*","~*"),"?","~?"),'DADOS_APTIDOES'!$BF$2:$BO$45,10,FALSE),""),"")))</f>
        <v/>
      </c>
      <c r="KR5" s="162" t="inlineStr">
        <is>
          <t>passivas</t>
        </is>
      </c>
      <c r="KS5" s="164">
        <f>"TALENTOS  ·  "&amp;(COUNTIF($KI$2:$KI$15,"?*")-2)&amp;" de 12, mais a Expressão e a Regra Própria"</f>
        <v/>
      </c>
      <c r="KU5" s="162" t="inlineStr">
        <is>
          <t>R12</t>
        </is>
      </c>
      <c r="KV5" s="164">
        <f>IF(DADOS_AM!$HM$42=1,IF(DADOS_AM!$HM$49=0,"—",IF(DADOS_AM!$HM$49=1,(8+DADOS_AM!$HM$3+IF(DADOS_AM!$HM$43&lt;&gt;"",DADOS_AM!$HM$46,IF(DADOS_AM!$HM$44&lt;&gt;"",DADOS_AM!$HM$47,DADOS_AM!$HM$48))+IFERROR(VALUE(FICHA!$L$63&amp;""),0)),"Por grupo")),FICHA!$D$63)</f>
        <v/>
      </c>
      <c r="KW5">
        <f>IF($EE5="","",IFERROR(VLOOKUP(SUBSTITUTE(SUBSTITUTE(SUBSTITUTE($EE5,"~","~~"),"*","~*"),"?","~?"),'DADOS_MELHORIAS'!$O$2:$X$113,10,FALSE),$EE5))</f>
        <v/>
      </c>
      <c r="KX5">
        <f>IF($EF5="","",IFERROR(VLOOKUP(SUBSTITUTE(SUBSTITUTE(SUBSTITUTE($EF5,"~","~~"),"*","~*"),"?","~?"),'DADOS_MELHORIAS'!$O$2:$X$113,10,FALSE),$EF5))</f>
        <v/>
      </c>
      <c r="KY5">
        <f>IF($EG5="","",IFERROR(VLOOKUP(SUBSTITUTE(SUBSTITUTE(SUBSTITUTE($EG5,"~","~~"),"*","~*"),"?","~?"),'DADOS_MELHORIAS'!$O$2:$X$113,10,FALSE),$EG5))</f>
        <v/>
      </c>
      <c r="KZ5">
        <f>IF($EH5="","",IFERROR(VLOOKUP(SUBSTITUTE(SUBSTITUTE(SUBSTITUTE($EH5,"~","~~"),"*","~*"),"?","~?"),'DADOS_MELHORIAS'!$O$2:$X$113,10,FALSE),$EH5))</f>
        <v/>
      </c>
      <c r="LA5">
        <f>IF($IJ5="","",IFERROR(VLOOKUP(SUBSTITUTE(SUBSTITUTE(SUBSTITUTE($IJ5,"~","~~"),"*","~*"),"?","~?"),'DADOS_MELHORIAS'!$O$2:$X$113,10,FALSE),$IJ5))</f>
        <v/>
      </c>
      <c r="LB5">
        <f>IFERROR(INDEX('DADOS_FORMAS'!$BJ$2:$BJ$21,MATCH(SUBSTITUTE(SUBSTITUTE(SUBSTITUTE($ED5,"~","~~"),"*","~*"),"?","~?"),'DADOS_FORMAS'!$AH$2:$AH$21,0)),"")</f>
        <v/>
      </c>
      <c r="LC5">
        <f>IFERROR(VLOOKUP(SUBSTITUTE(SUBSTITUTE(SUBSTITUTE(IFERROR(INDEX('DADOS_FORMAS'!$AS$2:$AS$21,MATCH(SUBSTITUTE(SUBSTITUTE(SUBSTITUTE($ED5,"~","~~"),"*","~*"),"?","~?"),'DADOS_FORMAS'!$AH$2:$AH$21,0)),""),"~","~~"),"*","~*"),"?","~?"),'DADOS_RESTRICOES'!$M$2:$Q$54,2,FALSE),"")</f>
        <v/>
      </c>
      <c r="LD5">
        <f>$FD5</f>
        <v/>
      </c>
      <c r="LE5">
        <f>$FE5</f>
        <v/>
      </c>
      <c r="LF5">
        <f>$LC5</f>
        <v/>
      </c>
      <c r="LH5">
        <f>'FICHA AMALDIÇOADA'!$D$463&amp;""</f>
        <v/>
      </c>
      <c r="LI5">
        <f>IF($LH5="","",IF(IFERROR(INDEX('DADOS_APTIDOES'!$X$2:$X$45,MATCH(SUBSTITUTE(SUBSTITUTE(SUBSTITUTE($LH5,"~","~~"),"*","~*"),"?","~?"),'DADOS_APTIDOES'!$O$2:$O$45,0)),"")="",$LH5,IFERROR(INDEX('DADOS_APTIDOES'!$X$2:$X$45,MATCH(SUBSTITUTE(SUBSTITUTE(SUBSTITUTE($LH5,"~","~~"),"*","~*"),"?","~?"),'DADOS_APTIDOES'!$O$2:$O$45,0)),"")))</f>
        <v/>
      </c>
      <c r="LJ5">
        <f>IF(LEFT($LI5,16)="Aptidão Própria (","Aptidão Própria",IF(LEFT($LI5,15)="Bênção Própria (","Bênção Própria",$LI5))</f>
        <v/>
      </c>
      <c r="LK5">
        <f>IF($LH5="","",TEXTJOIN(" · ",TRUE,$LP5:$MJ5))</f>
        <v/>
      </c>
      <c r="LL5">
        <f>IF($LH5="",0,IF(IFERROR(INDEX('DADOS_APTIDOES'!$W$2:$W$45,MATCH(SUBSTITUTE(SUBSTITUTE(SUBSTITUTE($LH5,"~","~~"),"*","~*"),"?","~?"),'DADOS_APTIDOES'!$O$2:$O$45,0)),"")="Gratuita",0,1))</f>
        <v/>
      </c>
      <c r="LO5">
        <f>IF('FICHA AMALDIÇOADA'!$D$400="","",TEXTJOIN(" · ",TRUE,IF(COUNTIF('DADOS_TALENTOS'!$M$2:$M$34,SUBSTITUTE(SUBSTITUTE(SUBSTITUTE('FICHA AMALDIÇOADA'!$D$400,"~","~~"),"*","~*"),"?","~?"))=0,"Talento não cadastrado ou com erro",""),IF(COUNTIF('DADOS_TALENTOS'!$AV$2:$AV$34,SUBSTITUTE(SUBSTITUTE(SUBSTITUTE('FICHA AMALDIÇOADA'!$D$400,"~","~~"),"*","~*"),"?","~?"))=0,"Talento incompatível com a rota","")))</f>
        <v/>
      </c>
      <c r="LP5">
        <f>IF(COUNTIF('DADOS_APTIDOES'!$O$2:$O$45,SUBSTITUTE(SUBSTITUTE(SUBSTITUTE($LH5,"~","~~"),"*","~*"),"?","~?"))=0,"Aptidão não cadastrada ou com erro","")</f>
        <v/>
      </c>
      <c r="LQ5">
        <f>IF(COUNTIF('DADOS_APTIDOES'!$BK$2:$BK$45,SUBSTITUTE(SUBSTITUTE(SUBSTITUTE($LH5,"~","~~"),"*","~*"),"?","~?"))=0,"Rota/origem incompatível ou capacidade inicial automática","")</f>
        <v/>
      </c>
      <c r="LR5">
        <f>IF(AND(NOT(OR(FALSE)),DADOS_AM!$HM$2&lt;IFERROR(INDEX('DADOS_APTIDOES'!$U$2:$U$45,MATCH(SUBSTITUTE(SUBSTITUTE(SUBSTITUTE($LH5,"~","~~"),"*","~*"),"?","~?"),'DADOS_APTIDOES'!$O$2:$O$45,0)),1)),"Nível mínimo não atendido","")</f>
        <v/>
      </c>
      <c r="LS5">
        <f>IF(AND(NOT(OR(FALSE)),DADOS_AM!$HM$6&lt;MAX(IF(AND($LI5="Domínio Simples",FALSE,IFERROR(INDEX('DADOS_APTIDOES'!$V$2:$V$45,MATCH(SUBSTITUTE(SUBSTITUTE(SUBSTITUTE($LH5,"~","~~"),"*","~*"),"?","~?"),'DADOS_APTIDOES'!$O$2:$O$45,0)),1)=5),4,IFERROR(INDEX('DADOS_APTIDOES'!$V$2:$V$45,MATCH(SUBSTITUTE(SUBSTITUTE(SUBSTITUTE($LH5,"~","~~"),"*","~*"),"?","~?"),'DADOS_APTIDOES'!$O$2:$O$45,0)),1)),IF(IFERROR(INDEX('DADOS_APTIDOES'!$N$2:$N$45,MATCH(SUBSTITUTE(SUBSTITUTE(SUBSTITUTE($LH5,"~","~~"),"*","~*"),"?","~?"),'DADOS_APTIDOES'!$O$2:$O$45,0)),"")="Bênção",IF(IFERROR(INDEX('DADOS_APTIDOES'!$T$2:$T$45,MATCH(SUBSTITUTE(SUBSTITUTE(SUBSTITUTE($LH5,"~","~~"),"*","~*"),"?","~?"),'DADOS_APTIDOES'!$O$2:$O$45,0)),0)=3,7,IF(IFERROR(INDEX('DADOS_APTIDOES'!$T$2:$T$45,MATCH(SUBSTITUTE(SUBSTITUTE(SUBSTITUTE($LH5,"~","~~"),"*","~*"),"?","~?"),'DADOS_APTIDOES'!$O$2:$O$45,0)),0)=2,4,1)),1))),"Refino/Lapidação mínimo não atendido","")</f>
        <v/>
      </c>
      <c r="LT5">
        <f>IF(COUNTIF($LJ$2:$LJ5,SUBSTITUTE(SUBSTITUTE(SUBSTITUTE($LJ5,"~","~~"),"*","~*"),"?","~?"))&gt;1,"Aptidão/Bênção repetida","")</f>
        <v/>
      </c>
      <c r="LU5">
        <f>IF(AND(NOT(OR(FALSE)),AND($LI5="Circulação",COUNTIF($LI$2:$LI4,"Energia Reversa")=0)),"Exige aquisição anterior: Energia Reversa","")</f>
        <v/>
      </c>
      <c r="LV5">
        <f>IF(AND(NOT(OR(FALSE)),AND($LI5="Regravação",COUNTIF($LI$2:$LI4,"Circulação")=0)),"Exige aquisição anterior: Circulação","")</f>
        <v/>
      </c>
      <c r="LW5">
        <f>IF(AND(NOT(OR(FALSE)),AND($LI5="Cortina",COUNTIF($LI$2:$LI4,"Barreira Simples")=0)),"Exige aquisição anterior: Barreira Simples","")</f>
        <v/>
      </c>
      <c r="LX5">
        <f>IF(AND(NOT(OR(FALSE)),AND($LI5="Ritual",'FICHA'!AB19&lt;5)),"Exige Inteligência 5","")</f>
        <v/>
      </c>
      <c r="LY5">
        <f>IF(AND(NOT(OR(FALSE)),AND($LI5="Ímpeto",'FICHA'!L19&lt;4)),"Exige Destreza 4","")</f>
        <v/>
      </c>
      <c r="LZ5">
        <f>IF(AND(NOT(OR(FALSE)),AND($LI5="Casco",'FICHA'!T19&lt;4)),"Exige Constituição 4","")</f>
        <v/>
      </c>
      <c r="MA5">
        <f>IF(AND(NOT(OR(FALSE)),AND($LI5="Presilha",'FICHA'!D19&lt;4)),"Exige Força 4","")</f>
        <v/>
      </c>
      <c r="MB5">
        <f>IF(AND(NOT(OR(FALSE)),AND($LI5="Antecipar",'FICHA'!AB19&lt;4)),"Exige Inteligência 4","")</f>
        <v/>
      </c>
      <c r="MC5">
        <f>IF(AND(NOT(OR(FALSE)),AND($LI5="Sangue Frio",'FICHA'!T19&lt;4)),"Exige Constituição 4","")</f>
        <v/>
      </c>
      <c r="MD5">
        <f>IF(AND(NOT(OR(FALSE)),AND($LI5="Assombro",'FICHA'!AJ19&lt;4)),"Exige Essência 4","")</f>
        <v/>
      </c>
      <c r="ME5">
        <f>IF(AND(NOT(OR(FALSE)),$LI5="Cesta Oca de Vime"),"Conferir Encarnado ou treino em História","")</f>
        <v/>
      </c>
      <c r="MF5">
        <f>IF(AND(NOT(OR(FALSE)),$LI5="Pétala"),"Conferir Descendente ou aprendizado de clã","")</f>
        <v/>
      </c>
      <c r="MG5">
        <f>IF(AND(NOT(OR(FALSE)),$LI5="Domínio Simples"),"Conferir aprendizado de Domínio Simples","")</f>
        <v/>
      </c>
      <c r="MH5">
        <f>IF(AND(NOT(OR(FALSE)),$LI5="Extensão de Domínio"),"Conferir aprendizado de Extensão de Domínio","")</f>
        <v/>
      </c>
      <c r="MI5">
        <f>IF(AND(NOT(OR(FALSE)),$LI5="Ritual"),"Conferir Técnica Inata","")</f>
        <v/>
      </c>
      <c r="MJ5">
        <f>IF(AND(NOT(OR(FALSE)),AND($LI5="Represália",MAX('FICHA'!D19,'FICHA'!L19)&lt;4)),"Exige Força ou Destreza 4","")</f>
        <v/>
      </c>
    </row>
    <row r="6">
      <c r="C6" s="162" t="inlineStr">
        <is>
          <t>aptidões</t>
        </is>
      </c>
      <c r="D6" s="162" t="inlineStr">
        <is>
          <t>Aptidões</t>
        </is>
      </c>
      <c r="E6" s="162" t="inlineStr">
        <is>
          <t>Aptidões</t>
        </is>
      </c>
      <c r="F6" s="162" t="inlineStr">
        <is>
          <t>Aptidões</t>
        </is>
      </c>
      <c r="G6" s="162" t="inlineStr">
        <is>
          <t>Bênçãos</t>
        </is>
      </c>
      <c r="I6" s="162" t="inlineStr">
        <is>
          <t>Auxiliares</t>
        </is>
      </c>
      <c r="J6" s="164">
        <f>'FICHA AMALDIÇOADA'!$J$37&amp;""</f>
        <v/>
      </c>
      <c r="K6" s="164">
        <f>IF($J6="Livre",1,0)</f>
        <v/>
      </c>
      <c r="L6" s="164">
        <f>IF($J6="Fechada",1,0)</f>
        <v/>
      </c>
      <c r="P6" s="164" t="n">
        <v>5</v>
      </c>
      <c r="Q6" s="164" t="n">
        <v>3</v>
      </c>
      <c r="R6" s="164" t="n">
        <v>5</v>
      </c>
      <c r="S6" s="164" t="n">
        <v>8</v>
      </c>
      <c r="T6" s="164" t="n">
        <v>1</v>
      </c>
      <c r="U6" s="164" t="n">
        <v>2</v>
      </c>
      <c r="V6" s="164" t="n">
        <v>5</v>
      </c>
      <c r="W6" s="164" t="n">
        <v>4</v>
      </c>
      <c r="Y6" s="162" t="inlineStr">
        <is>
          <t>Cone</t>
        </is>
      </c>
      <c r="Z6" s="162" t="inlineStr">
        <is>
          <t>Área</t>
        </is>
      </c>
      <c r="AA6" s="164" t="n">
        <v>1</v>
      </c>
      <c r="AB6" s="164">
        <f>IF($AA6=0,0,$AA6+3*IFERROR(VLOOKUP($Z6,'DADOS_CRIACAO'!$H$2:$K$20,3,FALSE),0))</f>
        <v/>
      </c>
      <c r="AC6" s="164">
        <f>IFERROR(VLOOKUP($Z6,'DADOS_CRIACAO'!$H$2:$K$20,4,FALSE),0)</f>
        <v/>
      </c>
      <c r="AD6" s="164" t="n">
        <v>0</v>
      </c>
      <c r="AE6" s="164" t="n">
        <v>0</v>
      </c>
      <c r="AF6" s="162" t="inlineStr">
        <is>
          <t>TR, metade</t>
        </is>
      </c>
      <c r="AG6" s="164" t="n">
        <v>1</v>
      </c>
      <c r="AH6" s="164" t="n">
        <v>3</v>
      </c>
      <c r="AI6" s="164" t="n">
        <v>0</v>
      </c>
      <c r="AJ6" s="164" t="n">
        <v>0</v>
      </c>
      <c r="AK6" s="164" t="n">
        <v>1</v>
      </c>
      <c r="AL6" s="164">
        <f>IF($AC6=1,"",$Y6)</f>
        <v/>
      </c>
      <c r="AM6" s="164">
        <f>IF(AND($AK6=1,$AC6=0),$Y6,"")</f>
        <v/>
      </c>
      <c r="AO6" s="162" t="inlineStr">
        <is>
          <t>Toque · classes 1 a 5</t>
        </is>
      </c>
      <c r="AP6" s="162" t="inlineStr">
        <is>
          <t>1,5 m, um alvo</t>
        </is>
      </c>
      <c r="AQ6" s="162" t="inlineStr">
        <is>
          <t>1,5 m, um alvo</t>
        </is>
      </c>
      <c r="AR6" s="162" t="inlineStr">
        <is>
          <t>1,5 m, um alvo</t>
        </is>
      </c>
      <c r="AS6" s="162" t="inlineStr">
        <is>
          <t>1,5 m, um alvo</t>
        </is>
      </c>
      <c r="AT6" s="162" t="inlineStr">
        <is>
          <t>1,5 m, um alvo</t>
        </is>
      </c>
      <c r="AU6" s="162" t="inlineStr">
        <is>
          <t>1,5 m, um alvo</t>
        </is>
      </c>
      <c r="AV6" s="162" t="inlineStr"/>
      <c r="AW6" s="162" t="inlineStr"/>
      <c r="AX6" s="162" t="inlineStr"/>
      <c r="AY6" s="162" t="inlineStr"/>
      <c r="AZ6" s="162" t="inlineStr"/>
      <c r="BA6" s="162" t="inlineStr"/>
      <c r="BC6" s="162" t="inlineStr">
        <is>
          <t>Passo</t>
        </is>
      </c>
      <c r="BD6" s="162" t="inlineStr">
        <is>
          <t>Alcance</t>
        </is>
      </c>
      <c r="BE6" s="164" t="n">
        <v>1</v>
      </c>
      <c r="BF6" s="164">
        <f>$BE6+3*IFERROR(VLOOKUP($BD6,'DADOS_CRIACAO'!$H$2:$K$20,3,FALSE),0)</f>
        <v/>
      </c>
      <c r="BG6" s="164">
        <f>IFERROR(VLOOKUP($BD6,'DADOS_CRIACAO'!$H$2:$K$20,4,FALSE),0)</f>
        <v/>
      </c>
      <c r="BH6" s="164" t="n">
        <v>0</v>
      </c>
      <c r="BI6" s="164">
        <f>IF($BG6=1,"",$BC6)</f>
        <v/>
      </c>
      <c r="BJ6" s="164">
        <f>IF(AND($BE6=1,$BG6=0),$BC6,"")</f>
        <v/>
      </c>
      <c r="BK6" s="164" t="n">
        <v>0</v>
      </c>
      <c r="BM6" s="162" t="inlineStr">
        <is>
          <t>Carregar</t>
        </is>
      </c>
      <c r="BN6" s="162" t="inlineStr">
        <is>
          <t>Carregar</t>
        </is>
      </c>
      <c r="BO6" s="164" t="n">
        <v>2</v>
      </c>
      <c r="BP6" s="164" t="n">
        <v>0</v>
      </c>
      <c r="BQ6" s="162" t="inlineStr"/>
      <c r="BS6" s="162" t="inlineStr">
        <is>
          <t>Farejador</t>
        </is>
      </c>
      <c r="BT6" s="164" t="n">
        <v>1</v>
      </c>
      <c r="BU6" s="162" t="inlineStr">
        <is>
          <t>Você sente se houve uma conjuração no local onde está nas últimas 24 horas, e identifica a Classe deixada por ela. Se houver vestígios de mais de uma Classe, reconhece essas Classes.</t>
        </is>
      </c>
      <c r="BV6" s="164" t="n">
        <v>1</v>
      </c>
      <c r="BW6" s="164" t="n">
        <v>0</v>
      </c>
      <c r="BX6" s="164">
        <f>IF(OR(AND($A$2&lt;=2,$BV6=1),AND($A$2&gt;=2,$BW6=1)),$BS6,"")</f>
        <v/>
      </c>
      <c r="BY6" s="162" t="inlineStr">
        <is>
          <t>Você sente se houve uma conjuração no local onde está nas últimas 24 horas, e identifica a Classe deixada por ela. Se houver vestígios de mais de uma Classe, reconhece essas Classes.</t>
        </is>
      </c>
      <c r="CD6" s="162" t="inlineStr">
        <is>
          <t>Circulação</t>
        </is>
      </c>
      <c r="CE6" s="162" t="inlineStr">
        <is>
          <t>Energia Reversa e Refino 8</t>
        </is>
      </c>
      <c r="CF6" s="164" t="n">
        <v>3</v>
      </c>
      <c r="CG6" s="162" t="inlineStr">
        <is>
          <t>—</t>
        </is>
      </c>
      <c r="CH6" s="162" t="inlineStr">
        <is>
          <t>Você melhora o uso de Energia Reversa e aprende a reconstruir partes perdidas do corpo. O limite de PE por uso de sua Energia Reversa passa a ser 1,5 × sua maior Classe, arredondado para baixo. Você ainda escolhe quanto gastar antes de rolar. Você pode usar Energia Reversa como Ação Bônus. Nesse uso, cada PE cura 1d4, em vez de 1d8. A mudança de ação não aumenta os alvos permitidos. Como Ação Padrão, gaste o limite inteiro de PE de um uso para recompor uma parte perdida do seu corpo, como um braço ou um olho. Esse uso não recupera pontos de vida. A opção de Ação Bônus serve à cura em d4, não a essa reconstrução. Esta regra desfaz a perda registrada pela mesa. Não cria um procedimento para amputar oponentes nem remove, por si só, uma condição com outra causa. As incompatibilidades de alvo da Energia Reversa continuam valendo.</t>
        </is>
      </c>
      <c r="CI6" s="164">
        <f>IF($CL6=1,"",IF($A$2=4,IF($CJ6=1,$CD6,""),IF(OR($CJ6=1,AND($A$2=3,$CK6=1)),"",$CD6)))</f>
        <v/>
      </c>
      <c r="CJ6" s="164" t="n">
        <v>0</v>
      </c>
      <c r="CK6" s="164" t="n">
        <v>0</v>
      </c>
      <c r="CL6" s="164" t="n">
        <v>0</v>
      </c>
      <c r="CM6" s="162" t="inlineStr">
        <is>
          <t>Você melhora o uso de Energia Reversa e aprende a reconstruir partes perdidas do corpo.</t>
        </is>
      </c>
      <c r="CU6" s="162" t="inlineStr">
        <is>
          <t>Flexível</t>
        </is>
      </c>
      <c r="CV6" s="164" t="n">
        <v>1</v>
      </c>
      <c r="CW6" s="164" t="n">
        <v>0</v>
      </c>
      <c r="CX6" s="164">
        <f>IF(AND($A$2&gt;=3,'FICHA AMALDIÇOADA'!$J$16&amp;""="Três grupos de arma"),$CU6,"")</f>
        <v/>
      </c>
      <c r="CZ6" s="164" t="n">
        <v>25</v>
      </c>
      <c r="DA6" s="164" t="n">
        <v>5</v>
      </c>
      <c r="DB6" s="164" t="n">
        <v>6</v>
      </c>
      <c r="DF6" s="164" t="n">
        <v>7</v>
      </c>
      <c r="DW6" s="162" t="inlineStr">
        <is>
          <t>Sem tamanho (Promessa)</t>
        </is>
      </c>
      <c r="DY6" s="162" t="inlineStr">
        <is>
          <t>Feitiço 5</t>
        </is>
      </c>
      <c r="DZ6" s="164" t="n">
        <v>0</v>
      </c>
      <c r="EA6" s="164" t="n">
        <v>5</v>
      </c>
      <c r="EB6" s="164">
        <f>MAX(1,MIN(7,N('FICHA AMALDIÇOADA'!$J$85)))</f>
        <v/>
      </c>
      <c r="EC6" s="164">
        <f>'FICHA AMALDIÇOADA'!$K$85&amp;""</f>
        <v/>
      </c>
      <c r="ED6" s="164">
        <f>'FICHA AMALDIÇOADA'!$J$92&amp;""</f>
        <v/>
      </c>
      <c r="EE6" s="164">
        <f>'FICHA AMALDIÇOADA'!$K$94&amp;""</f>
        <v/>
      </c>
      <c r="EF6" s="164">
        <f>'FICHA AMALDIÇOADA'!$K$95&amp;""</f>
        <v/>
      </c>
      <c r="EG6" s="164">
        <f>'FICHA AMALDIÇOADA'!$K$96&amp;""</f>
        <v/>
      </c>
      <c r="EH6" s="164">
        <f>'FICHA AMALDIÇOADA'!$K$97&amp;""</f>
        <v/>
      </c>
      <c r="EI6" s="164">
        <f>'FICHA AMALDIÇOADA'!$K$98&amp;""</f>
        <v/>
      </c>
      <c r="EJ6" s="164">
        <f>'FICHA AMALDIÇOADA'!$K$99&amp;""</f>
        <v/>
      </c>
      <c r="EK6" s="164">
        <f>IF($EC6&lt;&gt;"",1,0)</f>
        <v/>
      </c>
      <c r="EL6" s="164">
        <f>IFERROR(MATCH(SUBSTITUTE(SUBSTITUTE(SUBSTITUTE($ED6,"~","~~"),"*","~*"),"?","~?"),'DADOS_FORMAS'!$FJ$2:$FJ$21,0),0)</f>
        <v/>
      </c>
      <c r="EM6" s="164">
        <f>IF($EL6=0,0,INDEX('DADOS_FORMAS'!$FM$2:$FM$21,$EL6))</f>
        <v/>
      </c>
      <c r="EN6" s="164">
        <f>IFERROR(VLOOKUP(SUBSTITUTE(SUBSTITUTE(SUBSTITUTE($EE6,"~","~~"),"*","~*"),"?","~?"),'DADOS_MELHORIAS'!$O$2:$W$113,4,FALSE),0)</f>
        <v/>
      </c>
      <c r="EO6" s="164">
        <f>IFERROR(VLOOKUP(SUBSTITUTE(SUBSTITUTE(SUBSTITUTE($EF6,"~","~~"),"*","~*"),"?","~?"),'DADOS_MELHORIAS'!$O$2:$W$113,4,FALSE),0)</f>
        <v/>
      </c>
      <c r="EP6" s="164">
        <f>IFERROR(VLOOKUP(SUBSTITUTE(SUBSTITUTE(SUBSTITUTE($EG6,"~","~~"),"*","~*"),"?","~?"),'DADOS_MELHORIAS'!$O$2:$W$113,4,FALSE),0)</f>
        <v/>
      </c>
      <c r="EQ6" s="164">
        <f>IFERROR(VLOOKUP(SUBSTITUTE(SUBSTITUTE(SUBSTITUTE($EH6,"~","~~"),"*","~*"),"?","~?"),'DADOS_MELHORIAS'!$O$2:$W$113,4,FALSE),0)</f>
        <v/>
      </c>
      <c r="ER6" s="164">
        <f>IF($EL6=0,0,INDEX('DADOS_FORMAS'!$FN$2:$FN$21,$EL6))</f>
        <v/>
      </c>
      <c r="ES6" s="164">
        <f>IFERROR(VLOOKUP(SUBSTITUTE(SUBSTITUTE(SUBSTITUTE($EE6,"~","~~"),"*","~*"),"?","~?"),'DADOS_MELHORIAS'!$O$2:$W$113,5,FALSE),0)</f>
        <v/>
      </c>
      <c r="ET6" s="164">
        <f>IFERROR(VLOOKUP(SUBSTITUTE(SUBSTITUTE(SUBSTITUTE($EF6,"~","~~"),"*","~*"),"?","~?"),'DADOS_MELHORIAS'!$O$2:$W$113,5,FALSE),0)</f>
        <v/>
      </c>
      <c r="EU6" s="164">
        <f>IFERROR(VLOOKUP(SUBSTITUTE(SUBSTITUTE(SUBSTITUTE($EG6,"~","~~"),"*","~*"),"?","~?"),'DADOS_MELHORIAS'!$O$2:$W$113,5,FALSE),0)</f>
        <v/>
      </c>
      <c r="EV6" s="164">
        <f>IFERROR(VLOOKUP(SUBSTITUTE(SUBSTITUTE(SUBSTITUTE($EH6,"~","~~"),"*","~*"),"?","~?"),'DADOS_MELHORIAS'!$O$2:$W$113,5,FALSE),0)</f>
        <v/>
      </c>
      <c r="EW6" s="164">
        <f>IFERROR(VLOOKUP(SUBSTITUTE(SUBSTITUTE(SUBSTITUTE($EE6,"~","~~"),"*","~*"),"?","~?"),'DADOS_MELHORIAS'!$O$2:$W$113,6,FALSE),0)+IFERROR(VLOOKUP(SUBSTITUTE(SUBSTITUTE(SUBSTITUTE($EF6,"~","~~"),"*","~*"),"?","~?"),'DADOS_MELHORIAS'!$O$2:$W$113,6,FALSE),0)+IFERROR(VLOOKUP(SUBSTITUTE(SUBSTITUTE(SUBSTITUTE($EG6,"~","~~"),"*","~*"),"?","~?"),'DADOS_MELHORIAS'!$O$2:$W$113,6,FALSE),0)+IFERROR(VLOOKUP(SUBSTITUTE(SUBSTITUTE(SUBSTITUTE($EH6,"~","~~"),"*","~*"),"?","~?"),'DADOS_MELHORIAS'!$O$2:$W$113,6,FALSE),0)</f>
        <v/>
      </c>
      <c r="EX6" s="164">
        <f>IFERROR(VLOOKUP(SUBSTITUTE(SUBSTITUTE(SUBSTITUTE($EE6,"~","~~"),"*","~*"),"?","~?"),'DADOS_MELHORIAS'!$O$2:$W$113,9,FALSE),0)+IFERROR(VLOOKUP(SUBSTITUTE(SUBSTITUTE(SUBSTITUTE($EF6,"~","~~"),"*","~*"),"?","~?"),'DADOS_MELHORIAS'!$O$2:$W$113,9,FALSE),0)+IFERROR(VLOOKUP(SUBSTITUTE(SUBSTITUTE(SUBSTITUTE($EG6,"~","~~"),"*","~*"),"?","~?"),'DADOS_MELHORIAS'!$O$2:$W$113,9,FALSE),0)+IFERROR(VLOOKUP(SUBSTITUTE(SUBSTITUTE(SUBSTITUTE($EH6,"~","~~"),"*","~*"),"?","~?"),'DADOS_MELHORIAS'!$O$2:$W$113,9,FALSE),0)</f>
        <v/>
      </c>
      <c r="EY6" s="164">
        <f>IF($EL6=0,0,INDEX('DADOS_FORMAS'!$FO$2:$FO$21,$EL6))</f>
        <v/>
      </c>
      <c r="EZ6" s="164">
        <f>IF($EL6=0,0,INDEX('DADOS_FORMAS'!$FP$2:$FP$21,$EL6))</f>
        <v/>
      </c>
      <c r="FA6" s="164">
        <f>IF($EL6=0,0,INDEX('DADOS_FORMAS'!$FR$2:$FR$21,$EL6))</f>
        <v/>
      </c>
      <c r="FB6" s="164">
        <f>IFERROR(VLOOKUP(SUBSTITUTE(SUBSTITUTE(SUBSTITUTE($EI6,"~","~~"),"*","~*"),"?","~?"),'DADOS_RESTRICOES'!$M$2:$Q$54,3,FALSE),0)</f>
        <v/>
      </c>
      <c r="FC6" s="164">
        <f>IFERROR(VLOOKUP(SUBSTITUTE(SUBSTITUTE(SUBSTITUTE($EJ6,"~","~~"),"*","~*"),"?","~?"),'DADOS_RESTRICOES'!$M$2:$Q$54,3,FALSE),0)</f>
        <v/>
      </c>
      <c r="FD6" s="164">
        <f>IFERROR(VLOOKUP(SUBSTITUTE(SUBSTITUTE(SUBSTITUTE($EI6,"~","~~"),"*","~*"),"?","~?"),'DADOS_RESTRICOES'!$M$2:$Q$54,2,FALSE),"")</f>
        <v/>
      </c>
      <c r="FE6" s="164">
        <f>IFERROR(VLOOKUP(SUBSTITUTE(SUBSTITUTE(SUBSTITUTE($EJ6,"~","~~"),"*","~*"),"?","~?"),'DADOS_RESTRICOES'!$M$2:$Q$54,2,FALSE),"")</f>
        <v/>
      </c>
      <c r="FF6" s="164">
        <f>COUNTIF($EM6:$EQ6,1)</f>
        <v/>
      </c>
      <c r="FG6" s="164">
        <f>COUNTIF($EM6:$EQ6,2)</f>
        <v/>
      </c>
      <c r="FH6" s="164">
        <f>COUNTIF($EM6:$EQ6,3)</f>
        <v/>
      </c>
      <c r="FI6" s="164">
        <f>COUNTIF($EM6:$EQ6,4)</f>
        <v/>
      </c>
      <c r="FJ6" s="164">
        <f>COUNTIF($EM6:$EQ6,5)</f>
        <v/>
      </c>
      <c r="FK6" s="164">
        <f>COUNTIF($EM6:$EQ6,6)</f>
        <v/>
      </c>
      <c r="FL6" s="164">
        <f>COUNTIF($FB6:$FC6,1)+IF(IFERROR(INDEX('DADOS_FORMAS'!$AS$2:$AS$21,MATCH(SUBSTITUTE(SUBSTITUTE(SUBSTITUTE($ED6,"~","~~"),"*","~*"),"?","~?"),'DADOS_FORMAS'!$AH$2:$AH$21,0)),"")="",0,IFERROR(N(VLOOKUP(SUBSTITUTE(SUBSTITUTE(SUBSTITUTE(IFERROR(INDEX('DADOS_FORMAS'!$AS$2:$AS$21,MATCH(SUBSTITUTE(SUBSTITUTE(SUBSTITUTE($ED6,"~","~~"),"*","~*"),"?","~?"),'DADOS_FORMAS'!$AH$2:$AH$21,0)),""),"~","~~"),"*","~*"),"?","~?"),'DADOS_RESTRICOES'!$M$2:$Q$54,3,FALSE)=1),0))</f>
        <v/>
      </c>
      <c r="FM6" s="164">
        <f>COUNTIF($FB6:$FC6,2)+IF(IFERROR(INDEX('DADOS_FORMAS'!$AS$2:$AS$21,MATCH(SUBSTITUTE(SUBSTITUTE(SUBSTITUTE($ED6,"~","~~"),"*","~*"),"?","~?"),'DADOS_FORMAS'!$AH$2:$AH$21,0)),"")="",0,IFERROR(N(VLOOKUP(SUBSTITUTE(SUBSTITUTE(SUBSTITUTE(IFERROR(INDEX('DADOS_FORMAS'!$AS$2:$AS$21,MATCH(SUBSTITUTE(SUBSTITUTE(SUBSTITUTE($ED6,"~","~~"),"*","~*"),"?","~?"),'DADOS_FORMAS'!$AH$2:$AH$21,0)),""),"~","~~"),"*","~*"),"?","~?"),'DADOS_RESTRICOES'!$M$2:$Q$54,3,FALSE)=2),0))</f>
        <v/>
      </c>
      <c r="FN6" s="164">
        <f>COUNTIF($EE6:$EH6,"?*")</f>
        <v/>
      </c>
      <c r="FO6" s="164">
        <f>COUNTIF($EI6:$EJ6,"?*")+$EY6</f>
        <v/>
      </c>
      <c r="FP6" s="164">
        <f>SUMPRODUCT($FF6:$FK6,INDEX($Q$2:$V$8,$EB6,0))</f>
        <v/>
      </c>
      <c r="FQ6" s="164">
        <f>$FL6*CEILING($EB6/2,1)+$FM6*$EB6</f>
        <v/>
      </c>
      <c r="FR6" s="164">
        <f>MIN(2*$EB6,$FQ6)</f>
        <v/>
      </c>
      <c r="FS6" s="164">
        <f>MIN($FR6,$FP6-IF($EM6=0,0,INDEX($Q$2:$V$8,$EB6,$EM6)))</f>
        <v/>
      </c>
      <c r="FT6" s="164">
        <f>$FR6-$FS6</f>
        <v/>
      </c>
      <c r="FU6" s="164">
        <f>3*$EB6-$FP6+$FS6</f>
        <v/>
      </c>
      <c r="FV6" s="164">
        <f>MAX(0,$FU6)+$DZ6*$EB6</f>
        <v/>
      </c>
      <c r="FW6" s="164">
        <f>(IF(COUNTIF($KW6:$KZ6,"Salto")&gt;0,1,0)+IF(COUNTIF($KW6:$KZ6,"Queima")&gt;0,1,0)+IF(COUNTIF($KW6:$KZ6,"Estilhaço")&gt;0,1,0))*FLOOR($FV6/2,1)</f>
        <v/>
      </c>
      <c r="FX6" s="164">
        <f>MAX(0,3-SUMPRODUCT($FF6:$FK6,$Q$2:$V$2)+MIN(2,$FL6*1+$FM6*1,SUMPRODUCT($FF6:$FK6,$Q$2:$V$2)-IF($EM6=0,0,INDEX($Q$2:$V$2,1,$EM6))))+$DZ6*1</f>
        <v/>
      </c>
      <c r="FY6" s="164">
        <f>MAX(0,6-SUMPRODUCT($FF6:$FK6,$Q$3:$V$3)+MIN(4,$FL6*1+$FM6*2,SUMPRODUCT($FF6:$FK6,$Q$3:$V$3)-IF($EM6=0,0,INDEX($Q$3:$V$3,1,$EM6))))+$DZ6*2</f>
        <v/>
      </c>
      <c r="FZ6" s="164">
        <f>MAX(0,9-SUMPRODUCT($FF6:$FK6,$Q$4:$V$4)+MIN(6,$FL6*2+$FM6*3,SUMPRODUCT($FF6:$FK6,$Q$4:$V$4)-IF($EM6=0,0,INDEX($Q$4:$V$4,1,$EM6))))+$DZ6*3</f>
        <v/>
      </c>
      <c r="GA6" s="164">
        <f>MAX(0,12-SUMPRODUCT($FF6:$FK6,$Q$5:$V$5)+MIN(8,$FL6*2+$FM6*4,SUMPRODUCT($FF6:$FK6,$Q$5:$V$5)-IF($EM6=0,0,INDEX($Q$5:$V$5,1,$EM6))))+$DZ6*4</f>
        <v/>
      </c>
      <c r="GB6" s="164">
        <f>MAX(0,15-SUMPRODUCT($FF6:$FK6,$Q$6:$V$6)+MIN(10,$FL6*3+$FM6*5,SUMPRODUCT($FF6:$FK6,$Q$6:$V$6)-IF($EM6=0,0,INDEX($Q$6:$V$6,1,$EM6))))+$DZ6*5</f>
        <v/>
      </c>
      <c r="GC6" s="164">
        <f>MAX(0,18-SUMPRODUCT($FF6:$FK6,$Q$7:$V$7)+MIN(12,$FL6*3+$FM6*6,SUMPRODUCT($FF6:$FK6,$Q$7:$V$7)-IF($EM6=0,0,INDEX($Q$7:$V$7,1,$EM6))))+$DZ6*6</f>
        <v/>
      </c>
      <c r="GD6" s="164">
        <f>MAX(0,21-SUMPRODUCT($FF6:$FK6,$Q$8:$V$8)+MIN(14,$FL6*4+$FM6*7,SUMPRODUCT($FF6:$FK6,$Q$8:$V$8)-IF($EM6=0,0,INDEX($Q$8:$V$8,1,$EM6))))+$DZ6*7</f>
        <v/>
      </c>
      <c r="GE6" s="164">
        <f>IF($EZ6=2,3*$FX6&amp;" de vida temp.",IF($EZ6=3,"sem dano",IF($FX6=0,IF($EZ6=1,"sem cura","sem dano"),IF($EZ6=1,"cura ","")&amp;$FX6&amp;"d8")))</f>
        <v/>
      </c>
      <c r="GF6" s="164">
        <f>IF($EZ6=2,3*$FY6&amp;" de vida temp.",IF($EZ6=3,"sem dano",IF($FY6=0,IF($EZ6=1,"sem cura","sem dano"),IF($EZ6=1,"cura ","")&amp;$FY6&amp;"d8")))</f>
        <v/>
      </c>
      <c r="GG6" s="164">
        <f>IF($EZ6=2,3*$FZ6&amp;" de vida temp.",IF($EZ6=3,"sem dano",IF($FZ6=0,IF($EZ6=1,"sem cura","sem dano"),IF($EZ6=1,"cura ","")&amp;$FZ6&amp;"d8")))</f>
        <v/>
      </c>
      <c r="GH6" s="164">
        <f>IF($EZ6=2,3*$GA6&amp;" de vida temp.",IF($EZ6=3,"sem dano",IF($GA6=0,IF($EZ6=1,"sem cura","sem dano"),IF($EZ6=1,"cura ","")&amp;$GA6&amp;"d8")))</f>
        <v/>
      </c>
      <c r="GI6" s="164">
        <f>IF($EZ6=2,3*$GB6&amp;" de vida temp.",IF($EZ6=3,"sem dano",IF($GB6=0,IF($EZ6=1,"sem cura","sem dano"),IF($EZ6=1,"cura ","")&amp;$GB6&amp;"d8")))</f>
        <v/>
      </c>
      <c r="GJ6" s="164">
        <f>IF($EZ6=2,3*$GC6&amp;" de vida temp.",IF($EZ6=3,"sem dano",IF($GC6=0,IF($EZ6=1,"sem cura","sem dano"),IF($EZ6=1,"cura ","")&amp;$GC6&amp;"d8")))</f>
        <v/>
      </c>
      <c r="GK6" s="164">
        <f>IF($EZ6=2,3*$GD6&amp;" de vida temp.",IF($EZ6=3,"sem dano",IF($GD6=0,IF($EZ6=1,"sem cura","sem dano"),IF($EZ6=1,"cura ","")&amp;$GD6&amp;"d8")))</f>
        <v/>
      </c>
      <c r="GL6" s="164">
        <f>IF($EK6=0,"",TEXTJOIN(" · ",TRUE,IF($EK6=0,"",TEXTJOIN(" · ",TRUE,IF($EK6=0,"",TEXTJOIN(" · ",TRUE,IF(AND($DZ6=1,$EA6&gt;$HM$9),"O nível "&amp;$HM$2&amp;" dá "&amp;$HM$9&amp;" Liberação Máxima",""),IF($EB6&gt;$HM$4,"Classe "&amp;$EB6&amp;": o nível "&amp;$HM$2&amp;" libera até a "&amp;$HM$4,""),IF($ER6=1,"Família Fechada: a Forma "&amp;$ED6,""),IF($ES6=1,"Família Fechada: "&amp;$EE6,""),IF($ET6=1,"Família Fechada: "&amp;$EF6,""),IF($EU6=1,"Família Fechada: "&amp;$EG6,""),IF($EV6=1,"Família Fechada: "&amp;$EH6,""),IF($FN6&gt;INDEX($W$2:$W$8,$EB6),$FN6&amp;" Melhorias: a Classe "&amp;$EB6&amp;" aceita "&amp;INDEX($W$2:$W$8,$EB6),""),IF($FO6&gt;2,$FO6&amp;" Restrições"&amp;IF($EY6=1,", contando a que a Forma "&amp;$ED6&amp;" já traz","")&amp;": o limite é 2",""),IF($FU6&lt;0,"Orçamento estourado: faltam "&amp;(-$FU6)&amp;IF($FU6&lt;-1," pontos"," ponto"),""),IF(IFERROR(VLOOKUP(SUBSTITUTE(SUBSTITUTE(SUBSTITUTE($EI6,"~","~~"),"*","~*"),"?","~?"),'DADOS_RESTRICOES'!$M$2:$Q$54,4,FALSE),0)+IFERROR(VLOOKUP(SUBSTITUTE(SUBSTITUTE(SUBSTITUTE($EJ6,"~","~~"),"*","~*"),"?","~?"),'DADOS_RESTRICOES'!$M$2:$Q$54,4,FALSE),0)&gt;1,$FD6&amp;" e "&amp;$FE6&amp;" são as duas de frequência",""),IF(AND((COUNTIF($KW6:$KZ6,"Rápido")+COUNTIF($FD6:$FE6,"Rápido"))&gt;0,(COUNTIF($EE6:$EH6,"Atrasar")+COUNTIF($FD6:$FE6,"Atrasar"))&gt;0),"Rápido não entra com Atrasar",""),IF(AND((COUNTIF($KW6:$KZ6,"Reação")+COUNTIF($FD6:$FE6,"Reação"))&gt;0,(COUNTIF($KW6:$KZ6,"Rápido")+COUNTIF($FD6:$FE6,"Rápido"))&gt;0),"Reação não entra com Rápido",""),IF(AND((COUNTIF($KW6:$KZ6,"Reação")+COUNTIF($FD6:$FE6,"Reação"))&gt;0,(COUNTIF($KW6:$KZ6,"Armado")+COUNTIF($FD6:$FE6,"Armado"))&gt;0),"Reação não entra com Armado",""),IF(AND((COUNTIF($KW6:$KZ6,"Reação")+COUNTIF($FD6:$FE6,"Reação"))&gt;0,(COUNTIF($EE6:$EH6,"Atrasar")+COUNTIF($FD6:$FE6,"Atrasar"))&gt;0),"Reação não entra com Atrasar",""),IF(AND((COUNTIF($KW6:$KZ6,"Reação")+COUNTIF($FD6:$FE6,"Reação"))&gt;0,(COUNTIF($EE6:$EH6,"Parado")+COUNTIF($FD6:$FE6,"Parado"))&gt;0),"Reação não entra com Parado",""),IF(AND((COUNTIF($EE6:$EH6,"Atrasar")+COUNTIF($FD6:$FE6,"Atrasar"))&gt;0,(COUNTIF($EE6:$EH6,"Parado")+COUNTIF($FD6:$FE6,"Parado"))&gt;0),"Atrasar não entra com Parado",""),IF(AND((COUNTIF($KW6:$KZ6,"Armado")+COUNTIF($FD6:$FE6,"Armado"))&gt;0,(COUNTIF($EE6:$EH6,"Carregar")+COUNTIF($FD6:$FE6,"Carregar"))&gt;0),"Armado não entra com Carregar",""),IF(AND(COUNTIF($FD6:$FE6,"Corpo a Corpo")&gt;0,$EY6=0,OR($LB6="Cone",$LB6="Linha")),"Corpo a Corpo não entra em "&amp;$ED6,""),IF(AND(COUNTIF($FD6:$FE6,"Corpo a Corpo")&gt;0,$LC6="Corpo a Corpo"),"A Forma "&amp;$ED6&amp;" já traz o Corpo a Corpo",""),IF(AND(COUNTIF($FD6:$FE6,"Tudo ou Nada")&gt;0,$FA6=0),"Tudo ou Nada só entra em feitiço de Teste de Resistência",""),IF(AND(COUNTIF($KW6:$KZ6,"Inescapável")&gt;0,OR($FN6&gt;1,$FO6&gt;0)),"Inescapável não aceita outra peça",""),IF(AND($DZ6=1,$EB6&lt;3),"Liberação Máxima é de Classe 3 ou mais",""),IF(AND($DZ6=1,OR($EZ6=1,$EZ6=2)),"Liberação Máxima não serve para cura",""),IF(AND($DZ6=1,COUNTIF($KW6:$KZ6,"Inescapável")+COUNTIF($KW6:$KZ6,"Toca a Alma")&gt;0),"Esta peça não entra numa Liberação Máxima",""),IF($FV6*IF(COUNTIF($KW6:$KZ6,"Remate")&gt;0,1.25,1)+$FW6&gt;4*$EB6,($FV6*IF(COUNTIF($KW6:$KZ6,"Remate")&gt;0,1.25,1)+$FW6)&amp;" dados somando repetições"&amp;IF(COUNTIF($KW6:$KZ6,"Remate")&gt;0," e o Remate","")&amp;": o teto da Classe "&amp;$EB6&amp;" é "&amp;4*$EB6,""))),IF(AND($EE6&lt;&gt;"",COUNTIF('DADOS_MELHORIAS'!$O$2:$O$113,SUBSTITUTE(SUBSTITUTE(SUBSTITUTE($EE6,"~","~~"),"*","~*"),"?","~?"))=0),"Melhoria não cadastrada ou com erro: "&amp;$EE6,""),IF(AND($EF6&lt;&gt;"",COUNTIF('DADOS_MELHORIAS'!$O$2:$O$113,SUBSTITUTE(SUBSTITUTE(SUBSTITUTE($EF6,"~","~~"),"*","~*"),"?","~?"))=0),"Melhoria não cadastrada ou com erro: "&amp;$EF6,""),IF(AND($EG6&lt;&gt;"",COUNTIF('DADOS_MELHORIAS'!$O$2:$O$113,SUBSTITUTE(SUBSTITUTE(SUBSTITUTE($EG6,"~","~~"),"*","~*"),"?","~?"))=0),"Melhoria não cadastrada ou com erro: "&amp;$EG6,""),IF(AND($EH6&lt;&gt;"",COUNTIF('DADOS_MELHORIAS'!$O$2:$O$113,SUBSTITUTE(SUBSTITUTE(SUBSTITUTE($EH6,"~","~~"),"*","~*"),"?","~?"))=0),"Melhoria não cadastrada ou com erro: "&amp;$EH6,""),IF(AND($EI6&lt;&gt;"",COUNTIF('DADOS_RESTRICOES'!$M$2:$M$54,SUBSTITUTE(SUBSTITUTE(SUBSTITUTE($EI6,"~","~~"),"*","~*"),"?","~?"))=0),"Restrição não cadastrada ou com erro: "&amp;$EI6,""),IF(AND($EJ6&lt;&gt;"",COUNTIF('DADOS_RESTRICOES'!$M$2:$M$54,SUBSTITUTE(SUBSTITUTE(SUBSTITUTE($EJ6,"~","~~"),"*","~*"),"?","~?"))=0),"Restrição não cadastrada ou com erro: "&amp;$EJ6,""))),IF(AND($ED6&lt;&gt;"",COUNTIF('DADOS_FORMAS'!$AH$2:$AH$21,SUBSTITUTE(SUBSTITUTE(SUBSTITUTE($ED6,"~","~~"),"*","~*"),"?","~?"))=0),"Forma não cadastrada ou com erro: "&amp;$ED6,""),IF(AND(IFERROR(INDEX('DADOS_FORMAS'!$AS$2:$AS$21,MATCH(SUBSTITUTE(SUBSTITUTE(SUBSTITUTE($ED6,"~","~~"),"*","~*"),"?","~?"),'DADOS_FORMAS'!$AH$2:$AH$21,0)),"")&lt;&gt;"",OR(IFERROR(VLOOKUP(SUBSTITUTE(SUBSTITUTE(SUBSTITUTE(IFERROR(INDEX('DADOS_FORMAS'!$AS$2:$AS$21,MATCH(SUBSTITUTE(SUBSTITUTE(SUBSTITUTE($ED6,"~","~~"),"*","~*"),"?","~?"),'DADOS_FORMAS'!$AH$2:$AH$21,0)),""),"~","~~"),"*","~*"),"?","~?"),'DADOS_RESTRICOES'!$M$2:$Q$54,2,FALSE),"")=$FD6,IFERROR(VLOOKUP(SUBSTITUTE(SUBSTITUTE(SUBSTITUTE(IFERROR(INDEX('DADOS_FORMAS'!$AS$2:$AS$21,MATCH(SUBSTITUTE(SUBSTITUTE(SUBSTITUTE($ED6,"~","~~"),"*","~*"),"?","~?"),'DADOS_FORMAS'!$AH$2:$AH$21,0)),""),"~","~~"),"*","~*"),"?","~?"),'DADOS_RESTRICOES'!$M$2:$Q$54,2,FALSE),"")=$FE6)),"Restrição repetida, contando a embutida",""),IF(IF(IFERROR(INDEX('DADOS_FORMAS'!$AS$2:$AS$21,MATCH(SUBSTITUTE(SUBSTITUTE(SUBSTITUTE($ED6,"~","~~"),"*","~*"),"?","~?"),'DADOS_FORMAS'!$AH$2:$AH$21,0)),"")="",0,IFERROR(N(VLOOKUP(SUBSTITUTE(SUBSTITUTE(SUBSTITUTE(IFERROR(INDEX('DADOS_FORMAS'!$AS$2:$AS$21,MATCH(SUBSTITUTE(SUBSTITUTE(SUBSTITUTE($ED6,"~","~~"),"*","~*"),"?","~?"),'DADOS_FORMAS'!$AH$2:$AH$21,0)),""),"~","~~"),"*","~*"),"?","~?"),'DADOS_RESTRICOES'!$M$2:$Q$54,4,FALSE)=1),0))+IF($EI6="",0,IFERROR(N(VLOOKUP(SUBSTITUTE(SUBSTITUTE(SUBSTITUTE($EI6,"~","~~"),"*","~*"),"?","~?"),'DADOS_RESTRICOES'!$M$2:$Q$54,4,FALSE)=1),0))+IF($EJ6="",0,IFERROR(N(VLOOKUP(SUBSTITUTE(SUBSTITUTE(SUBSTITUTE($EJ6,"~","~~"),"*","~*"),"?","~?"),'DADOS_RESTRICOES'!$M$2:$Q$54,4,FALSE)=1),0))&gt;1,"Duas Restrições de frequência, contando a embutida",""),IF(AND(IFERROR(VLOOKUP(SUBSTITUTE(SUBSTITUTE(SUBSTITUTE(IFERROR(INDEX('DADOS_FORMAS'!$AS$2:$AS$21,MATCH(SUBSTITUTE(SUBSTITUTE(SUBSTITUTE($ED6,"~","~~"),"*","~*"),"?","~?"),'DADOS_FORMAS'!$AH$2:$AH$21,0)),""),"~","~~"),"*","~*"),"?","~?"),'DADOS_RESTRICOES'!$M$2:$Q$54,2,FALSE),"")="Tudo ou Nada",$FA6=0),"Tudo ou Nada exige TR",""),IF(AND(IFERROR(VLOOKUP(SUBSTITUTE(SUBSTITUTE(SUBSTITUTE(IFERROR(INDEX('DADOS_FORMAS'!$AS$2:$AS$21,MATCH(SUBSTITUTE(SUBSTITUTE(SUBSTITUTE($ED6,"~","~~"),"*","~*"),"?","~?"),'DADOS_FORMAS'!$AH$2:$AH$21,0)),""),"~","~~"),"*","~*"),"?","~?"),'DADOS_RESTRICOES'!$M$2:$Q$54,2,FALSE),"")="Corpo a Corpo",OR($LB6="Cone",$LB6="Linha")),"Corpo a Corpo não entra em Cone/Linha","")))</f>
        <v/>
      </c>
      <c r="GM6" s="164">
        <f>IF($GL6="",0,(LEN($GL6)-LEN(SUBSTITUTE($GL6," · ","")))/3+1)</f>
        <v/>
      </c>
      <c r="GN6" s="164">
        <f>IF($EK6=0,"",TEXTJOIN(" · ",TRUE,IF($FQ6&gt;2*$EB6,"A devolução parou no teto de "&amp;2*$EB6,""),IF($FT6&gt;0,"Devolução perdida: "&amp;$FT6&amp;IF($FT6&gt;1," pontos"," ponto")&amp;" sem Melhoria para pagar",""),IF(AND($EW6&gt;0,$FV6=0),"Controle sem dano: uma rodada a mais e CD +2",""),IF(AND($EW6&gt;0,$FV6&gt;0,$FV6&lt;=$EB6),"Controle com saldo até a Classe: uma rodada a mais","")))</f>
        <v/>
      </c>
      <c r="GO6" s="164">
        <f>IF($GN6="",0,(LEN($GN6)-LEN(SUBSTITUTE($GN6," · ","")))/3+1)</f>
        <v/>
      </c>
      <c r="GP6" s="164">
        <f>IF($EK6=0,IF($FN6+$FO6-$EY6&gt;0,"Dê um nome",""),IF($GM6&gt;0,"⚠ "&amp;$GM6&amp;IF($GM6&gt;1," erros"," erro"),IF($GO6&gt;0,"! "&amp;$GO6&amp;IF($GO6&gt;1," avisos"," aviso"),"Na regra")))</f>
        <v/>
      </c>
      <c r="GQ6" s="164">
        <f>IF($EK6=0,"",IF($GM6+$GO6=0,"Dentro das regras que a ficha confere",$GL6&amp;IF(AND($GM6&gt;0,$GO6&gt;0)," · ","")&amp;$GN6))</f>
        <v/>
      </c>
      <c r="GR6" s="164">
        <f>IF($EK6=0,"",IF($DZ6=1,CEILING(4.5*$EB6,1),3*$EB6)&amp;" PE")</f>
        <v/>
      </c>
      <c r="GS6" s="164">
        <f>IF($EK6=0,"",IF($DZ6=1,"Rodada inteira",IF(COUNTIF($LD6:$LF6,"Atrasar")&gt;0,IF(COUNTIF($LD6:$LF6,"Carregar")&gt;0,"Rodada +1 turno","Rodada inteira"),IF(COUNTIF($KW6:$KZ6,"Rápido")&gt;0,"Bônus",IF(COUNTIF($KW6:$KZ6,"Reação")&gt;0,"Reação","Padrão"))&amp;IF(COUNTIF($LD6:$LF6,"Carregar")&gt;0," +1 turno",""))))</f>
        <v/>
      </c>
      <c r="GT6" s="164">
        <f>IF(OR($EK6=0,$EL6=0),"",IF(COUNTIF($KW6:$KZ6,"Inescapável")&gt;0,"Automático",IF(COUNTIF($KW6:$KZ6,"Certeiro")&gt;0,"TR para metade",IF(AND($EX6&gt;0,$FA6=0,INDEX('DADOS_FORMAS'!$FQ$2:$FQ$21,$EL6)="Acerto"),"Acerto + TR",INDEX('DADOS_FORMAS'!$FQ$2:$FQ$21,$EL6)))))</f>
        <v/>
      </c>
      <c r="GU6" s="164">
        <f>IF(OR($EK6=0,$EL6=0),"",IF(OR($EZ6&gt;=2,$FV6=0),UPPER(LEFT(INDEX($GE6:$GK6,1,$EB6),1))&amp;MID(INDEX($GE6:$GK6,1,$EB6),2,99),UPPER(LEFT(INDEX($GE6:$GK6,1,$EB6),1))&amp;MID(INDEX($GE6:$GK6,1,$EB6),2,99)&amp;" = "&amp;FLOOR($FV6*4.5,1)&amp;IF($FW6&gt;0," · +"&amp;$FW6&amp;"d8","")))</f>
        <v/>
      </c>
      <c r="GV6" s="164">
        <f>COUNTIF($KW6:$KZ6,"Longe")+3*COUNTIF($KW6:$KZ6,"Muito Longe")</f>
        <v/>
      </c>
      <c r="GW6" s="164">
        <f>COUNTIF($KW6:$KZ6,"Maior")+3*COUNTIF($KW6:$KZ6,"Muito Maior")</f>
        <v/>
      </c>
      <c r="GX6" s="164">
        <f>IF($EL6=0,0,CHOOSE(1+INDEX('DADOS_FORMAS'!$FS$2:$FS$21,$EL6),0,$GV6,$GW6,$GV6+$GW6))</f>
        <v/>
      </c>
      <c r="GY6" s="164">
        <f>IF($EL6=0,0,CHOOSE(1+INDEX('DADOS_FORMAS'!$FT$2:$FT$21,$EL6),0,$GV6,$GW6,$GV6+$GW6))</f>
        <v/>
      </c>
      <c r="GZ6" s="164">
        <f>IF(OR($EK6=0,$EL6=0),"",INDEX('DADOS_FORMAS'!$GZ$2:$HE$61,($EL6-1)*3+IF($EB6&gt;=6,3,2),1+MIN(5,$GX6))&amp;INDEX('DADOS_FORMAS'!$HF$2:$HK$61,($EL6-1)*3+IF($EB6&gt;=6,3,2),1+MIN(5,$GY6))&amp;IF(INDEX('DADOS_FORMAS'!$FU$2:$FU$21,$EL6)=1,IF(COUNTIF($KW6:$KZ6,"Mais Um")&gt;0," · +"&amp;COUNTIF($KW6:$KZ6,"Mais Um")&amp;IF(COUNTIF($KW6:$KZ6,"Mais Um")&gt;1," alvos"," alvo"),"")&amp;IF(COUNTIF($KW6:$KZ6,"Rajada")&gt;0," · "&amp;($EB6+1)&amp;" tiros",""),""))</f>
        <v/>
      </c>
      <c r="HA6" s="164">
        <f>IF($EK6=0,"",3*$EB6&amp;" − "&amp;$FP6&amp;" + "&amp;$FS6&amp;IF($DZ6=1," + "&amp;$EB6,"")&amp;" = "&amp;$FV6&amp;"d8 · teto "&amp;4*$EB6&amp;IF($EY6=1," · a Forma devolve "&amp;$EB6,"")&amp;IF($FT6&gt;0," · perde "&amp;$FT6,""))</f>
        <v/>
      </c>
      <c r="HB6" s="164">
        <f>IF($EK6=0,"",IF($EB6&gt;=$HM$4,"Já está na maior Classe que o nível liberou",TEXTJOIN(" · ",TRUE,IF(AND(2&gt;$EB6,2&lt;=$HM$4),"2 → "&amp;$GF6&amp;", "&amp;IF($DZ6=1,9,6)&amp;" PE",""),IF(AND(3&gt;$EB6,3&lt;=$HM$4),"3 → "&amp;$GG6&amp;", "&amp;IF($DZ6=1,14,9)&amp;" PE",""),IF(AND(4&gt;$EB6,4&lt;=$HM$4),"4 → "&amp;$GH6&amp;", "&amp;IF($DZ6=1,18,12)&amp;" PE",""),IF(AND(5&gt;$EB6,5&lt;=$HM$4),"5 → "&amp;$GI6&amp;", "&amp;IF($DZ6=1,23,15)&amp;" PE",""),IF(AND(6&gt;$EB6,6&lt;=$HM$4),"6 → "&amp;$GJ6&amp;", "&amp;IF($DZ6=1,27,18)&amp;" PE",""),IF(AND(7&gt;$EB6,7&lt;=$HM$4),"7 → "&amp;$GK6&amp;", "&amp;IF($DZ6=1,32,21)&amp;" PE",""))))</f>
        <v/>
      </c>
      <c r="HC6" s="164">
        <f>IF(OR($EK6=0,$EN6=0),"","−"&amp;INDEX($Q$2:$V$8,$EB6,$EN6)&amp;" · "&amp;CHOOSE($EN6,"Leve","Média","Pesada","Leve · Livre","Média · Livre","Pesada · Livre"))</f>
        <v/>
      </c>
      <c r="HD6" s="164">
        <f>IF(OR($EK6=0,$EO6=0),"","−"&amp;INDEX($Q$2:$V$8,$EB6,$EO6)&amp;" · "&amp;CHOOSE($EO6,"Leve","Média","Pesada","Leve · Livre","Média · Livre","Pesada · Livre"))</f>
        <v/>
      </c>
      <c r="HE6" s="164">
        <f>IF(OR($EK6=0,$EP6=0),"","−"&amp;INDEX($Q$2:$V$8,$EB6,$EP6)&amp;" · "&amp;CHOOSE($EP6,"Leve","Média","Pesada","Leve · Livre","Média · Livre","Pesada · Livre"))</f>
        <v/>
      </c>
      <c r="HF6" s="164">
        <f>IF(OR($EK6=0,$EQ6=0),"","−"&amp;INDEX($Q$2:$V$8,$EB6,$EQ6)&amp;" · "&amp;CHOOSE($EQ6,"Leve","Média","Pesada","Leve · Livre","Média · Livre","Pesada · Livre"))</f>
        <v/>
      </c>
      <c r="HG6" s="164">
        <f>IF(OR($EK6=0,$EI6=""),"","+"&amp;IF($FB6=1,CEILING($EB6/2,1),$EB6))</f>
        <v/>
      </c>
      <c r="HH6" s="164">
        <f>IF(OR($EK6=0,$EJ6=""),"","+"&amp;IF($FC6=1,CEILING($EB6/2,1),$EB6))</f>
        <v/>
      </c>
      <c r="HI6" s="164">
        <f>'FICHA AMALDIÇOADA'!$J$87&amp;""</f>
        <v/>
      </c>
      <c r="HJ6" s="164">
        <f>IF(AND($EK6=1,$DZ6=0),COUNTIFS($EK$2:$EK6,1,$DZ$2:$DZ6,0),"")</f>
        <v/>
      </c>
      <c r="HL6" s="162" t="inlineStr">
        <is>
          <t>refino</t>
        </is>
      </c>
      <c r="HM6" s="164">
        <f>MAX(1,N(DADOS!$AK$34))</f>
        <v/>
      </c>
      <c r="HO6" s="162" t="inlineStr">
        <is>
          <t>Talento 5</t>
        </is>
      </c>
      <c r="HP6" s="164">
        <f>'FICHA AMALDIÇOADA'!$J$400&amp;""</f>
        <v/>
      </c>
      <c r="HQ6" s="164">
        <f>IFERROR(VLOOKUP(SUBSTITUTE(SUBSTITUTE(SUBSTITUTE($HP6,"~","~~"),"*","~*"),"?","~?"),'DADOS_TALENTOS'!$AQ$2:$AW$34,2,FALSE),0)</f>
        <v/>
      </c>
      <c r="HR6" s="164">
        <f>IFERROR(VLOOKUP($HQ6,$CA$2:$CB$4,2,FALSE),0)</f>
        <v/>
      </c>
      <c r="HS6" s="164">
        <f>IFERROR(VLOOKUP(SUBSTITUTE(SUBSTITUTE(SUBSTITUTE($HP6,"~","~~"),"*","~*"),"?","~?"),'DADOS_TALENTOS'!$AQ$2:$AW$34,3,FALSE),"")</f>
        <v/>
      </c>
      <c r="HT6" s="164">
        <f>IF($HQ6=0,"",IF($HR6&gt;$HM$2,"⚠ Nível "&amp;$HR6,"CE "&amp;$HQ6))&amp;IF('DADOS_AM'!$LO6="",""," · ⚠ "&amp;'DADOS_AM'!$LO6)</f>
        <v/>
      </c>
      <c r="HU6" s="164">
        <f>IF($HQ6=0,"",$HQ6&amp;" esp.")</f>
        <v/>
      </c>
      <c r="HV6" s="164">
        <f>'FICHA AMALDIÇOADA'!$K$405&amp;""</f>
        <v/>
      </c>
      <c r="HW6" s="164">
        <f>IF($HP6="","",COUNTIF($HP$2:$HP6,"?*"))</f>
        <v/>
      </c>
      <c r="HY6" s="162" t="inlineStr">
        <is>
          <t>Aptidão 5</t>
        </is>
      </c>
      <c r="HZ6" s="164">
        <f>'FICHA AMALDIÇOADA'!$J$463&amp;""</f>
        <v/>
      </c>
      <c r="IA6" s="164">
        <f>IF($HZ6="","","Requisito: "&amp;IFERROR(VLOOKUP(SUBSTITUTE(SUBSTITUTE(SUBSTITUTE($HZ6,"~","~~"),"*","~*"),"?","~?"),'DADOS_APTIDOES'!$BF$2:$BO$45,2,FALSE),""))&amp;IF($LK6="",""," · ⚠ "&amp;$LK6)</f>
        <v/>
      </c>
      <c r="IB6" s="164">
        <f>IF($HZ6="","",IFERROR(IF(ISNUMBER(VLOOKUP(SUBSTITUTE(SUBSTITUTE(SUBSTITUTE($HZ6,"~","~~"),"*","~*"),"?","~?"),'DADOS_APTIDOES'!$BF$2:$BO$45,3,FALSE)),"CE "&amp;VLOOKUP(SUBSTITUTE(SUBSTITUTE(SUBSTITUTE($HZ6,"~","~~"),"*","~*"),"?","~?"),'DADOS_APTIDOES'!$BF$2:$BO$45,3,FALSE),VLOOKUP(SUBSTITUTE(SUBSTITUTE(SUBSTITUTE($HZ6,"~","~~"),"*","~*"),"?","~?"),'DADOS_APTIDOES'!$BF$2:$BO$45,3,FALSE)),""))</f>
        <v/>
      </c>
      <c r="IC6" s="164">
        <f>IF($HZ6="","",IFERROR(VLOOKUP(SUBSTITUTE(SUBSTITUTE(SUBSTITUTE($HZ6,"~","~~"),"*","~*"),"?","~?"),'DADOS_APTIDOES'!$BF$2:$BO$45,4,FALSE),""))</f>
        <v/>
      </c>
      <c r="ID6" s="164">
        <f>IF($HZ6="","",IFERROR(VLOOKUP(SUBSTITUTE(SUBSTITUTE(SUBSTITUTE($HZ6,"~","~~"),"*","~*"),"?","~?"),'DADOS_APTIDOES'!$BF$2:$BO$45,5,FALSE),""))</f>
        <v/>
      </c>
      <c r="IE6" s="164">
        <f>'FICHA AMALDIÇOADA'!$K$480&amp;""</f>
        <v/>
      </c>
      <c r="IF6" s="164">
        <f>IF($HZ6="","",COUNTIF($HZ$2:$HZ6,"?*"))</f>
        <v/>
      </c>
      <c r="IH6" s="162" t="inlineStr">
        <is>
          <t>Classe 0 · 5</t>
        </is>
      </c>
      <c r="II6" s="164">
        <f>'FICHA AMALDIÇOADA'!$F$327&amp;""</f>
        <v/>
      </c>
      <c r="IJ6" s="164">
        <f>'FICHA AMALDIÇOADA'!$J$327&amp;""</f>
        <v/>
      </c>
      <c r="IK6" s="164">
        <f>'FICHA AMALDIÇOADA'!$L$327&amp;""</f>
        <v/>
      </c>
      <c r="IL6" s="164">
        <f>IFERROR(MATCH(SUBSTITUTE(SUBSTITUTE(SUBSTITUTE($II6,"~","~~"),"*","~*"),"?","~?"),'DADOS_FORMAS'!$FJ$2:$FJ$21,0),0)</f>
        <v/>
      </c>
      <c r="IM6" s="164">
        <f>$HM$11-IF(AND($IJ6&lt;&gt;"",$IK6=""),1,0)</f>
        <v/>
      </c>
      <c r="IN6" s="164">
        <f>IF(5&gt;$HM$10,"Nível 17",IF($IL6=0,"",IF(INDEX('DADOS_FORMAS'!$FP$2:$FP$21,$IL6)&gt;=2,"—",$IM6&amp;"d8 = "&amp;FLOOR($IM6*4.5,1))))</f>
        <v/>
      </c>
      <c r="IO6" s="164">
        <f>IF(OR(5&gt;$HM$10,$IL6=0),"",INDEX('DADOS_FORMAS'!$GZ$2:$HE$61,($IL6-1)*3+1,1+IF(OR(AND($LA6="Longe",INDEX('DADOS_FORMAS'!$FS$2:$FS$21,$IL6)&lt;&gt;2),AND($LA6="Maior",INDEX('DADOS_FORMAS'!$FS$2:$FS$21,$IL6)&gt;=2)),1,0))&amp;INDEX('DADOS_FORMAS'!$HF$2:$HK$61,($IL6-1)*3+1,1+IF(AND($LA6="Longe",INDEX('DADOS_FORMAS'!$FT$2:$FT$21,$IL6)=1),1,0)))</f>
        <v/>
      </c>
      <c r="IQ6" s="164">
        <f>IF($A$2&gt;=3,INDEX($D$4:$G$4,1,$A$2),"Liberação")</f>
        <v/>
      </c>
      <c r="IR6" s="164">
        <f>ADDRESS(ROW('FICHA AMALDIÇOADA'!J7),COLUMN('FICHA AMALDIÇOADA'!J7),4)</f>
        <v/>
      </c>
      <c r="IS6" s="164">
        <f>ADDRESS(ROW('FICHA AMALDIÇOADA'!D329),COLUMN('FICHA AMALDIÇOADA'!D329),4)</f>
        <v/>
      </c>
      <c r="IT6" s="162" t="inlineStr">
        <is>
          <t>DADOS_AM!$IQ$6</t>
        </is>
      </c>
      <c r="IV6" s="162" t="inlineStr">
        <is>
          <t>Caminho 30</t>
        </is>
      </c>
      <c r="IW6" s="164" t="n">
        <v>30</v>
      </c>
      <c r="IX6" s="164">
        <f>IF($HM$2&gt;=30,"Nível 30","Abre no 30")</f>
        <v/>
      </c>
      <c r="IY6" s="164">
        <f>ADDRESS(ROW(FICHA!G158),COLUMN(FICHA!G158),4)</f>
        <v/>
      </c>
      <c r="IZ6" s="164">
        <f>ADDRESS(ROW(FICHA!D159),COLUMN(FICHA!D159),4)</f>
        <v/>
      </c>
      <c r="JH6" s="164" t="n">
        <v>5</v>
      </c>
      <c r="JI6" s="164">
        <f>IFERROR(MATCH(5,$HJ$2:$HJ$37,0),0)</f>
        <v/>
      </c>
      <c r="JJ6" s="164">
        <f>IF($JI6=0,"",INDEX($EB$2:$EB$37,$JI6))</f>
        <v/>
      </c>
      <c r="JK6" s="164">
        <f>IF($JI6=0,"",INDEX($EC$2:$EC$37,$JI6))</f>
        <v/>
      </c>
      <c r="JL6" s="164">
        <f>IF($JI6=0,"",INDEX($GR$2:$GR$37,$JI6))</f>
        <v/>
      </c>
      <c r="JM6" s="164">
        <f>IF($JI6=0,"",INDEX($ED$2:$ED$37,$JI6))</f>
        <v/>
      </c>
      <c r="JN6" s="164">
        <f>IF($JI6=0,"",INDEX($GT$2:$GT$37,$JI6))</f>
        <v/>
      </c>
      <c r="JO6" s="164">
        <f>IF($JI6=0,"",INDEX($HI$2:$HI$37,$JI6))</f>
        <v/>
      </c>
      <c r="KF6" s="162" t="inlineStr">
        <is>
          <t>Talento 3</t>
        </is>
      </c>
      <c r="KG6" s="164">
        <f>IFERROR(MATCH(3,$HW$2:$HW$13,0),0)</f>
        <v/>
      </c>
      <c r="KH6" s="164">
        <f>IF($KG6=0,"",IF(INDEX($HQ$2:$HQ$13,$KG6)=0,"","CE "&amp;INDEX($HQ$2:$HQ$13,$KG6)))</f>
        <v/>
      </c>
      <c r="KI6" s="164">
        <f>IF($KG6=0,"",INDEX($HP$2:$HP$13,$KG6))</f>
        <v/>
      </c>
      <c r="KJ6" s="164">
        <f>IF($KG6=0,"",IF(INDEX($HV$2:$HV$13,$KG6)&lt;&gt;"",INDEX($HV$2:$HV$13,$KG6),IF(IFERROR(VLOOKUP(SUBSTITUTE(SUBSTITUTE(SUBSTITUTE(INDEX($HP$2:$HP$13,$KG6),"~","~~"),"*","~*"),"?","~?"),'DADOS_TALENTOS'!$AQ$2:$AW$34,7,FALSE),"")&lt;&gt;"","Do livro: "&amp;IFERROR(VLOOKUP(SUBSTITUTE(SUBSTITUTE(SUBSTITUTE(INDEX($HP$2:$HP$13,$KG6),"~","~~"),"*","~*"),"?","~?"),'DADOS_TALENTOS'!$AQ$2:$AW$34,7,FALSE),""),"")))</f>
        <v/>
      </c>
      <c r="KL6" s="162" t="inlineStr">
        <is>
          <t>Aptidão 3</t>
        </is>
      </c>
      <c r="KM6" s="164">
        <f>IFERROR(MATCH(3,$IF$2:$IF$13,0),0)</f>
        <v/>
      </c>
      <c r="KN6" s="164">
        <f>IF($KM6=0,"",INDEX($IB$2:$IB$13,$KM6))</f>
        <v/>
      </c>
      <c r="KO6" s="164">
        <f>IF($KM6=0,"",INDEX($HZ$2:$HZ$13,$KM6))</f>
        <v/>
      </c>
      <c r="KP6" s="164">
        <f>IF($KM6=0,"",IF(INDEX($IE$2:$IE$13,$KM6)&lt;&gt;"",INDEX($IE$2:$IE$13,$KM6),IF(IFERROR(VLOOKUP(SUBSTITUTE(SUBSTITUTE(SUBSTITUTE(INDEX($HZ$2:$HZ$13,$KM6),"~","~~"),"*","~*"),"?","~?"),'DADOS_APTIDOES'!$BF$2:$BO$45,10,FALSE),"")&lt;&gt;"","Do livro: "&amp;IFERROR(VLOOKUP(SUBSTITUTE(SUBSTITUTE(SUBSTITUTE(INDEX($HZ$2:$HZ$13,$KM6),"~","~~"),"*","~*"),"?","~?"),'DADOS_APTIDOES'!$BF$2:$BO$45,10,FALSE),""),"")))</f>
        <v/>
      </c>
      <c r="KR6" s="162" t="inlineStr">
        <is>
          <t>aptidões</t>
        </is>
      </c>
      <c r="KS6" s="164">
        <f>UPPER(INDEX($D$6:$G$6,1,$A$2))&amp;"  ·  "&amp;COUNTIF($KO$4:$KO$15,"?*")&amp;" de 12, mais as duas de graça"</f>
        <v/>
      </c>
      <c r="KU6" s="162" t="inlineStr">
        <is>
          <t>J15</t>
        </is>
      </c>
      <c r="KV6" s="164">
        <f>UPPER(INDEX(DADOS_AM!$D$13:$G$13,1,DADOS_AM!$A$2))</f>
        <v/>
      </c>
      <c r="KW6">
        <f>IF($EE6="","",IFERROR(VLOOKUP(SUBSTITUTE(SUBSTITUTE(SUBSTITUTE($EE6,"~","~~"),"*","~*"),"?","~?"),'DADOS_MELHORIAS'!$O$2:$X$113,10,FALSE),$EE6))</f>
        <v/>
      </c>
      <c r="KX6">
        <f>IF($EF6="","",IFERROR(VLOOKUP(SUBSTITUTE(SUBSTITUTE(SUBSTITUTE($EF6,"~","~~"),"*","~*"),"?","~?"),'DADOS_MELHORIAS'!$O$2:$X$113,10,FALSE),$EF6))</f>
        <v/>
      </c>
      <c r="KY6">
        <f>IF($EG6="","",IFERROR(VLOOKUP(SUBSTITUTE(SUBSTITUTE(SUBSTITUTE($EG6,"~","~~"),"*","~*"),"?","~?"),'DADOS_MELHORIAS'!$O$2:$X$113,10,FALSE),$EG6))</f>
        <v/>
      </c>
      <c r="KZ6">
        <f>IF($EH6="","",IFERROR(VLOOKUP(SUBSTITUTE(SUBSTITUTE(SUBSTITUTE($EH6,"~","~~"),"*","~*"),"?","~?"),'DADOS_MELHORIAS'!$O$2:$X$113,10,FALSE),$EH6))</f>
        <v/>
      </c>
      <c r="LA6">
        <f>IF($IJ6="","",IFERROR(VLOOKUP(SUBSTITUTE(SUBSTITUTE(SUBSTITUTE($IJ6,"~","~~"),"*","~*"),"?","~?"),'DADOS_MELHORIAS'!$O$2:$X$113,10,FALSE),$IJ6))</f>
        <v/>
      </c>
      <c r="LB6">
        <f>IFERROR(INDEX('DADOS_FORMAS'!$BJ$2:$BJ$21,MATCH(SUBSTITUTE(SUBSTITUTE(SUBSTITUTE($ED6,"~","~~"),"*","~*"),"?","~?"),'DADOS_FORMAS'!$AH$2:$AH$21,0)),"")</f>
        <v/>
      </c>
      <c r="LC6">
        <f>IFERROR(VLOOKUP(SUBSTITUTE(SUBSTITUTE(SUBSTITUTE(IFERROR(INDEX('DADOS_FORMAS'!$AS$2:$AS$21,MATCH(SUBSTITUTE(SUBSTITUTE(SUBSTITUTE($ED6,"~","~~"),"*","~*"),"?","~?"),'DADOS_FORMAS'!$AH$2:$AH$21,0)),""),"~","~~"),"*","~*"),"?","~?"),'DADOS_RESTRICOES'!$M$2:$Q$54,2,FALSE),"")</f>
        <v/>
      </c>
      <c r="LD6">
        <f>$FD6</f>
        <v/>
      </c>
      <c r="LE6">
        <f>$FE6</f>
        <v/>
      </c>
      <c r="LF6">
        <f>$LC6</f>
        <v/>
      </c>
      <c r="LH6">
        <f>'FICHA AMALDIÇOADA'!$J$463&amp;""</f>
        <v/>
      </c>
      <c r="LI6">
        <f>IF($LH6="","",IF(IFERROR(INDEX('DADOS_APTIDOES'!$X$2:$X$45,MATCH(SUBSTITUTE(SUBSTITUTE(SUBSTITUTE($LH6,"~","~~"),"*","~*"),"?","~?"),'DADOS_APTIDOES'!$O$2:$O$45,0)),"")="",$LH6,IFERROR(INDEX('DADOS_APTIDOES'!$X$2:$X$45,MATCH(SUBSTITUTE(SUBSTITUTE(SUBSTITUTE($LH6,"~","~~"),"*","~*"),"?","~?"),'DADOS_APTIDOES'!$O$2:$O$45,0)),"")))</f>
        <v/>
      </c>
      <c r="LJ6">
        <f>IF(LEFT($LI6,16)="Aptidão Própria (","Aptidão Própria",IF(LEFT($LI6,15)="Bênção Própria (","Bênção Própria",$LI6))</f>
        <v/>
      </c>
      <c r="LK6">
        <f>IF($LH6="","",TEXTJOIN(" · ",TRUE,$LP6:$MJ6))</f>
        <v/>
      </c>
      <c r="LL6">
        <f>IF($LH6="",0,IF(IFERROR(INDEX('DADOS_APTIDOES'!$W$2:$W$45,MATCH(SUBSTITUTE(SUBSTITUTE(SUBSTITUTE($LH6,"~","~~"),"*","~*"),"?","~?"),'DADOS_APTIDOES'!$O$2:$O$45,0)),"")="Gratuita",0,1))</f>
        <v/>
      </c>
      <c r="LO6">
        <f>IF('FICHA AMALDIÇOADA'!$J$400="","",TEXTJOIN(" · ",TRUE,IF(COUNTIF('DADOS_TALENTOS'!$M$2:$M$34,SUBSTITUTE(SUBSTITUTE(SUBSTITUTE('FICHA AMALDIÇOADA'!$J$400,"~","~~"),"*","~*"),"?","~?"))=0,"Talento não cadastrado ou com erro",""),IF(COUNTIF('DADOS_TALENTOS'!$AV$2:$AV$34,SUBSTITUTE(SUBSTITUTE(SUBSTITUTE('FICHA AMALDIÇOADA'!$J$400,"~","~~"),"*","~*"),"?","~?"))=0,"Talento incompatível com a rota","")))</f>
        <v/>
      </c>
      <c r="LP6">
        <f>IF(COUNTIF('DADOS_APTIDOES'!$O$2:$O$45,SUBSTITUTE(SUBSTITUTE(SUBSTITUTE($LH6,"~","~~"),"*","~*"),"?","~?"))=0,"Aptidão não cadastrada ou com erro","")</f>
        <v/>
      </c>
      <c r="LQ6">
        <f>IF(COUNTIF('DADOS_APTIDOES'!$BK$2:$BK$45,SUBSTITUTE(SUBSTITUTE(SUBSTITUTE($LH6,"~","~~"),"*","~*"),"?","~?"))=0,"Rota/origem incompatível ou capacidade inicial automática","")</f>
        <v/>
      </c>
      <c r="LR6">
        <f>IF(AND(NOT(OR(FALSE)),DADOS_AM!$HM$2&lt;IFERROR(INDEX('DADOS_APTIDOES'!$U$2:$U$45,MATCH(SUBSTITUTE(SUBSTITUTE(SUBSTITUTE($LH6,"~","~~"),"*","~*"),"?","~?"),'DADOS_APTIDOES'!$O$2:$O$45,0)),1)),"Nível mínimo não atendido","")</f>
        <v/>
      </c>
      <c r="LS6">
        <f>IF(AND(NOT(OR(FALSE)),DADOS_AM!$HM$6&lt;MAX(IF(AND($LI6="Domínio Simples",FALSE,IFERROR(INDEX('DADOS_APTIDOES'!$V$2:$V$45,MATCH(SUBSTITUTE(SUBSTITUTE(SUBSTITUTE($LH6,"~","~~"),"*","~*"),"?","~?"),'DADOS_APTIDOES'!$O$2:$O$45,0)),1)=5),4,IFERROR(INDEX('DADOS_APTIDOES'!$V$2:$V$45,MATCH(SUBSTITUTE(SUBSTITUTE(SUBSTITUTE($LH6,"~","~~"),"*","~*"),"?","~?"),'DADOS_APTIDOES'!$O$2:$O$45,0)),1)),IF(IFERROR(INDEX('DADOS_APTIDOES'!$N$2:$N$45,MATCH(SUBSTITUTE(SUBSTITUTE(SUBSTITUTE($LH6,"~","~~"),"*","~*"),"?","~?"),'DADOS_APTIDOES'!$O$2:$O$45,0)),"")="Bênção",IF(IFERROR(INDEX('DADOS_APTIDOES'!$T$2:$T$45,MATCH(SUBSTITUTE(SUBSTITUTE(SUBSTITUTE($LH6,"~","~~"),"*","~*"),"?","~?"),'DADOS_APTIDOES'!$O$2:$O$45,0)),0)=3,7,IF(IFERROR(INDEX('DADOS_APTIDOES'!$T$2:$T$45,MATCH(SUBSTITUTE(SUBSTITUTE(SUBSTITUTE($LH6,"~","~~"),"*","~*"),"?","~?"),'DADOS_APTIDOES'!$O$2:$O$45,0)),0)=2,4,1)),1))),"Refino/Lapidação mínimo não atendido","")</f>
        <v/>
      </c>
      <c r="LT6">
        <f>IF(COUNTIF($LJ$2:$LJ6,SUBSTITUTE(SUBSTITUTE(SUBSTITUTE($LJ6,"~","~~"),"*","~*"),"?","~?"))&gt;1,"Aptidão/Bênção repetida","")</f>
        <v/>
      </c>
      <c r="LU6">
        <f>IF(AND(NOT(OR(FALSE)),AND($LI6="Circulação",COUNTIF($LI$2:$LI5,"Energia Reversa")=0)),"Exige aquisição anterior: Energia Reversa","")</f>
        <v/>
      </c>
      <c r="LV6">
        <f>IF(AND(NOT(OR(FALSE)),AND($LI6="Regravação",COUNTIF($LI$2:$LI5,"Circulação")=0)),"Exige aquisição anterior: Circulação","")</f>
        <v/>
      </c>
      <c r="LW6">
        <f>IF(AND(NOT(OR(FALSE)),AND($LI6="Cortina",COUNTIF($LI$2:$LI5,"Barreira Simples")=0)),"Exige aquisição anterior: Barreira Simples","")</f>
        <v/>
      </c>
      <c r="LX6">
        <f>IF(AND(NOT(OR(FALSE)),AND($LI6="Ritual",'FICHA'!AB19&lt;5)),"Exige Inteligência 5","")</f>
        <v/>
      </c>
      <c r="LY6">
        <f>IF(AND(NOT(OR(FALSE)),AND($LI6="Ímpeto",'FICHA'!L19&lt;4)),"Exige Destreza 4","")</f>
        <v/>
      </c>
      <c r="LZ6">
        <f>IF(AND(NOT(OR(FALSE)),AND($LI6="Casco",'FICHA'!T19&lt;4)),"Exige Constituição 4","")</f>
        <v/>
      </c>
      <c r="MA6">
        <f>IF(AND(NOT(OR(FALSE)),AND($LI6="Presilha",'FICHA'!D19&lt;4)),"Exige Força 4","")</f>
        <v/>
      </c>
      <c r="MB6">
        <f>IF(AND(NOT(OR(FALSE)),AND($LI6="Antecipar",'FICHA'!AB19&lt;4)),"Exige Inteligência 4","")</f>
        <v/>
      </c>
      <c r="MC6">
        <f>IF(AND(NOT(OR(FALSE)),AND($LI6="Sangue Frio",'FICHA'!T19&lt;4)),"Exige Constituição 4","")</f>
        <v/>
      </c>
      <c r="MD6">
        <f>IF(AND(NOT(OR(FALSE)),AND($LI6="Assombro",'FICHA'!AJ19&lt;4)),"Exige Essência 4","")</f>
        <v/>
      </c>
      <c r="ME6">
        <f>IF(AND(NOT(OR(FALSE)),$LI6="Cesta Oca de Vime"),"Conferir Encarnado ou treino em História","")</f>
        <v/>
      </c>
      <c r="MF6">
        <f>IF(AND(NOT(OR(FALSE)),$LI6="Pétala"),"Conferir Descendente ou aprendizado de clã","")</f>
        <v/>
      </c>
      <c r="MG6">
        <f>IF(AND(NOT(OR(FALSE)),$LI6="Domínio Simples"),"Conferir aprendizado de Domínio Simples","")</f>
        <v/>
      </c>
      <c r="MH6">
        <f>IF(AND(NOT(OR(FALSE)),$LI6="Extensão de Domínio"),"Conferir aprendizado de Extensão de Domínio","")</f>
        <v/>
      </c>
      <c r="MI6">
        <f>IF(AND(NOT(OR(FALSE)),$LI6="Ritual"),"Conferir Técnica Inata","")</f>
        <v/>
      </c>
      <c r="MJ6">
        <f>IF(AND(NOT(OR(FALSE)),AND($LI6="Represália",MAX('FICHA'!D19,'FICHA'!L19)&lt;4)),"Exige Força ou Destreza 4","")</f>
        <v/>
      </c>
    </row>
    <row r="7">
      <c r="C7" s="162" t="inlineStr">
        <is>
          <t>escala</t>
        </is>
      </c>
      <c r="D7" s="162" t="inlineStr">
        <is>
          <t>Refino</t>
        </is>
      </c>
      <c r="E7" s="162" t="inlineStr">
        <is>
          <t>Refino</t>
        </is>
      </c>
      <c r="F7" s="162" t="inlineStr">
        <is>
          <t>Refino</t>
        </is>
      </c>
      <c r="G7" s="162" t="inlineStr">
        <is>
          <t>Lapidação</t>
        </is>
      </c>
      <c r="I7" s="162" t="inlineStr">
        <is>
          <t>Castigo</t>
        </is>
      </c>
      <c r="J7" s="164">
        <f>'FICHA AMALDIÇOADA'!$K$37&amp;""</f>
        <v/>
      </c>
      <c r="K7" s="164">
        <f>IF($J7="Livre",1,0)</f>
        <v/>
      </c>
      <c r="L7" s="164">
        <f>IF($J7="Fechada",1,0)</f>
        <v/>
      </c>
      <c r="P7" s="164" t="n">
        <v>6</v>
      </c>
      <c r="Q7" s="164" t="n">
        <v>3</v>
      </c>
      <c r="R7" s="164" t="n">
        <v>6</v>
      </c>
      <c r="S7" s="164" t="n">
        <v>9</v>
      </c>
      <c r="T7" s="164" t="n">
        <v>1</v>
      </c>
      <c r="U7" s="164" t="n">
        <v>3</v>
      </c>
      <c r="V7" s="164" t="n">
        <v>6</v>
      </c>
      <c r="W7" s="164" t="n">
        <v>4</v>
      </c>
      <c r="Y7" s="162" t="inlineStr">
        <is>
          <t>Linha</t>
        </is>
      </c>
      <c r="Z7" s="162" t="inlineStr">
        <is>
          <t>Área</t>
        </is>
      </c>
      <c r="AA7" s="164" t="n">
        <v>1</v>
      </c>
      <c r="AB7" s="164">
        <f>IF($AA7=0,0,$AA7+3*IFERROR(VLOOKUP($Z7,'DADOS_CRIACAO'!$H$2:$K$20,3,FALSE),0))</f>
        <v/>
      </c>
      <c r="AC7" s="164">
        <f>IFERROR(VLOOKUP($Z7,'DADOS_CRIACAO'!$H$2:$K$20,4,FALSE),0)</f>
        <v/>
      </c>
      <c r="AD7" s="164" t="n">
        <v>0</v>
      </c>
      <c r="AE7" s="164" t="n">
        <v>0</v>
      </c>
      <c r="AF7" s="162" t="inlineStr">
        <is>
          <t>TR, metade</t>
        </is>
      </c>
      <c r="AG7" s="164" t="n">
        <v>1</v>
      </c>
      <c r="AH7" s="164" t="n">
        <v>3</v>
      </c>
      <c r="AI7" s="164" t="n">
        <v>0</v>
      </c>
      <c r="AJ7" s="164" t="n">
        <v>0</v>
      </c>
      <c r="AK7" s="164" t="n">
        <v>1</v>
      </c>
      <c r="AL7" s="164">
        <f>IF($AC7=1,"",$Y7)</f>
        <v/>
      </c>
      <c r="AM7" s="164">
        <f>IF(AND($AK7=1,$AC7=0),$Y7,"")</f>
        <v/>
      </c>
      <c r="AO7" s="162" t="inlineStr">
        <is>
          <t>Toque · classes 6 e 7</t>
        </is>
      </c>
      <c r="AP7" s="162" t="inlineStr">
        <is>
          <t>1,5 m, um alvo</t>
        </is>
      </c>
      <c r="AQ7" s="162" t="inlineStr">
        <is>
          <t>1,5 m, um alvo</t>
        </is>
      </c>
      <c r="AR7" s="162" t="inlineStr">
        <is>
          <t>1,5 m, um alvo</t>
        </is>
      </c>
      <c r="AS7" s="162" t="inlineStr">
        <is>
          <t>1,5 m, um alvo</t>
        </is>
      </c>
      <c r="AT7" s="162" t="inlineStr">
        <is>
          <t>1,5 m, um alvo</t>
        </is>
      </c>
      <c r="AU7" s="162" t="inlineStr">
        <is>
          <t>1,5 m, um alvo</t>
        </is>
      </c>
      <c r="AV7" s="162" t="inlineStr"/>
      <c r="AW7" s="162" t="inlineStr"/>
      <c r="AX7" s="162" t="inlineStr"/>
      <c r="AY7" s="162" t="inlineStr"/>
      <c r="AZ7" s="162" t="inlineStr"/>
      <c r="BA7" s="162" t="inlineStr"/>
      <c r="BC7" s="162" t="inlineStr">
        <is>
          <t>Empurrão</t>
        </is>
      </c>
      <c r="BD7" s="162" t="inlineStr">
        <is>
          <t>Alcance</t>
        </is>
      </c>
      <c r="BE7" s="164" t="n">
        <v>1</v>
      </c>
      <c r="BF7" s="164">
        <f>$BE7+3*IFERROR(VLOOKUP($BD7,'DADOS_CRIACAO'!$H$2:$K$20,3,FALSE),0)</f>
        <v/>
      </c>
      <c r="BG7" s="164">
        <f>IFERROR(VLOOKUP($BD7,'DADOS_CRIACAO'!$H$2:$K$20,4,FALSE),0)</f>
        <v/>
      </c>
      <c r="BH7" s="164" t="n">
        <v>0</v>
      </c>
      <c r="BI7" s="164">
        <f>IF($BG7=1,"",$BC7)</f>
        <v/>
      </c>
      <c r="BJ7" s="164">
        <f>IF(AND($BE7=1,$BG7=0),$BC7,"")</f>
        <v/>
      </c>
      <c r="BK7" s="164" t="n">
        <v>0</v>
      </c>
      <c r="BM7" s="162" t="inlineStr">
        <is>
          <t>Sangra</t>
        </is>
      </c>
      <c r="BN7" s="162" t="inlineStr">
        <is>
          <t>Sangra</t>
        </is>
      </c>
      <c r="BO7" s="164" t="n">
        <v>2</v>
      </c>
      <c r="BP7" s="164" t="n">
        <v>0</v>
      </c>
      <c r="BQ7" s="162" t="inlineStr"/>
      <c r="BS7" s="162" t="inlineStr">
        <is>
          <t>Leitura de Feitiços</t>
        </is>
      </c>
      <c r="BT7" s="164" t="n">
        <v>1</v>
      </c>
      <c r="BU7" s="162" t="inlineStr">
        <is>
          <t>Ao ter um inimigo à vista, você sabe qual foi o último feitiço que ele usou, mesmo que não tenha presenciado aquela conjuração. Recebe o nome ou uma descrição suficiente para reconhecer a aplicação, não sua ficha completa.</t>
        </is>
      </c>
      <c r="BV7" s="164" t="n">
        <v>1</v>
      </c>
      <c r="BW7" s="164" t="n">
        <v>0</v>
      </c>
      <c r="BX7" s="164">
        <f>IF(OR(AND($A$2&lt;=2,$BV7=1),AND($A$2&gt;=2,$BW7=1)),$BS7,"")</f>
        <v/>
      </c>
      <c r="BY7" s="162" t="inlineStr">
        <is>
          <t>Ao ter um inimigo à vista, você sabe qual foi o último feitiço que ele usou, mesmo que não tenha presenciado aquela conjuração. Recebe o nome ou uma descrição suficiente para reconhecer a aplicação, não sua ficha completa.</t>
        </is>
      </c>
      <c r="CD7" s="162" t="inlineStr">
        <is>
          <t>Regravação</t>
        </is>
      </c>
      <c r="CE7" s="162" t="inlineStr">
        <is>
          <t>Circulação</t>
        </is>
      </c>
      <c r="CF7" s="164" t="n">
        <v>3</v>
      </c>
      <c r="CG7" s="162" t="inlineStr">
        <is>
          <t>—</t>
        </is>
      </c>
      <c r="CH7" s="162" t="inlineStr">
        <is>
          <t>Você pode encerrar o Rescaldo de sua técnica antes do fim da cena, mas usos repetidos impedem novas Expansões de Domínio naquele dia. Ação Bônus, durante seu Rescaldo. Gaste o limite inteiro de PE de sua Energia Reversa, considerando Circulação. O Rescaldo termina e sua técnica volta a responder. Esse uso não cura vida nem recompõe outra parte do corpo. Cada uso acrescenta uma marca de Regravação. As marcas desaparecem no descanso longo. Seu limite é: Metade de Inteligência + metade da maestria, arredondando cada metade para baixo separadamente. Ao alcançar ou ultrapassar esse limite, você não pode abrir uma Expansão de Domínio enquanto as marcas permanecerem. O uso que alcançou o limite ainda encerra o Rescaldo normalmente. Esperar o Rescaldo terminar normalmente não acrescenta marcas e não apaga as existentes. Regravar também não devolve PE, ações ou recursos gastos para abrir a Expansão anterior.</t>
        </is>
      </c>
      <c r="CI7" s="164">
        <f>IF($CL7=1,"",IF($A$2=4,IF($CJ7=1,$CD7,""),IF(OR($CJ7=1,AND($A$2=3,$CK7=1)),"",$CD7)))</f>
        <v/>
      </c>
      <c r="CJ7" s="164" t="n">
        <v>0</v>
      </c>
      <c r="CK7" s="164" t="n">
        <v>0</v>
      </c>
      <c r="CL7" s="164" t="n">
        <v>0</v>
      </c>
      <c r="CM7" s="162" t="inlineStr">
        <is>
          <t>Você pode encerrar o Rescaldo de sua técnica antes do fim da cena, mas usos repetidos impedem novas Expansões de Domínio naquele dia.</t>
        </is>
      </c>
      <c r="CU7" s="162" t="inlineStr">
        <is>
          <t>Yumi</t>
        </is>
      </c>
      <c r="CV7" s="164" t="n">
        <v>0</v>
      </c>
      <c r="CW7" s="164" t="n">
        <v>1</v>
      </c>
      <c r="CX7" s="164">
        <f>IF(AND($A$2&gt;=3,'FICHA AMALDIÇOADA'!$J$16&amp;""="Três grupos de arma"),$CU7,"")</f>
        <v/>
      </c>
      <c r="DY7" s="162" t="inlineStr">
        <is>
          <t>Feitiço 6</t>
        </is>
      </c>
      <c r="DZ7" s="164" t="n">
        <v>0</v>
      </c>
      <c r="EA7" s="164" t="n">
        <v>6</v>
      </c>
      <c r="EB7" s="164">
        <f>MAX(1,MIN(7,N('FICHA AMALDIÇOADA'!$P$85)))</f>
        <v/>
      </c>
      <c r="EC7" s="164">
        <f>'FICHA AMALDIÇOADA'!$Q$85&amp;""</f>
        <v/>
      </c>
      <c r="ED7" s="164">
        <f>'FICHA AMALDIÇOADA'!$P$92&amp;""</f>
        <v/>
      </c>
      <c r="EE7" s="164">
        <f>'FICHA AMALDIÇOADA'!$Q$94&amp;""</f>
        <v/>
      </c>
      <c r="EF7" s="164">
        <f>'FICHA AMALDIÇOADA'!$Q$95&amp;""</f>
        <v/>
      </c>
      <c r="EG7" s="164">
        <f>'FICHA AMALDIÇOADA'!$Q$96&amp;""</f>
        <v/>
      </c>
      <c r="EH7" s="164">
        <f>'FICHA AMALDIÇOADA'!$Q$97&amp;""</f>
        <v/>
      </c>
      <c r="EI7" s="164">
        <f>'FICHA AMALDIÇOADA'!$Q$98&amp;""</f>
        <v/>
      </c>
      <c r="EJ7" s="164">
        <f>'FICHA AMALDIÇOADA'!$Q$99&amp;""</f>
        <v/>
      </c>
      <c r="EK7" s="164">
        <f>IF($EC7&lt;&gt;"",1,0)</f>
        <v/>
      </c>
      <c r="EL7" s="164">
        <f>IFERROR(MATCH(SUBSTITUTE(SUBSTITUTE(SUBSTITUTE($ED7,"~","~~"),"*","~*"),"?","~?"),'DADOS_FORMAS'!$FJ$2:$FJ$21,0),0)</f>
        <v/>
      </c>
      <c r="EM7" s="164">
        <f>IF($EL7=0,0,INDEX('DADOS_FORMAS'!$FM$2:$FM$21,$EL7))</f>
        <v/>
      </c>
      <c r="EN7" s="164">
        <f>IFERROR(VLOOKUP(SUBSTITUTE(SUBSTITUTE(SUBSTITUTE($EE7,"~","~~"),"*","~*"),"?","~?"),'DADOS_MELHORIAS'!$O$2:$W$113,4,FALSE),0)</f>
        <v/>
      </c>
      <c r="EO7" s="164">
        <f>IFERROR(VLOOKUP(SUBSTITUTE(SUBSTITUTE(SUBSTITUTE($EF7,"~","~~"),"*","~*"),"?","~?"),'DADOS_MELHORIAS'!$O$2:$W$113,4,FALSE),0)</f>
        <v/>
      </c>
      <c r="EP7" s="164">
        <f>IFERROR(VLOOKUP(SUBSTITUTE(SUBSTITUTE(SUBSTITUTE($EG7,"~","~~"),"*","~*"),"?","~?"),'DADOS_MELHORIAS'!$O$2:$W$113,4,FALSE),0)</f>
        <v/>
      </c>
      <c r="EQ7" s="164">
        <f>IFERROR(VLOOKUP(SUBSTITUTE(SUBSTITUTE(SUBSTITUTE($EH7,"~","~~"),"*","~*"),"?","~?"),'DADOS_MELHORIAS'!$O$2:$W$113,4,FALSE),0)</f>
        <v/>
      </c>
      <c r="ER7" s="164">
        <f>IF($EL7=0,0,INDEX('DADOS_FORMAS'!$FN$2:$FN$21,$EL7))</f>
        <v/>
      </c>
      <c r="ES7" s="164">
        <f>IFERROR(VLOOKUP(SUBSTITUTE(SUBSTITUTE(SUBSTITUTE($EE7,"~","~~"),"*","~*"),"?","~?"),'DADOS_MELHORIAS'!$O$2:$W$113,5,FALSE),0)</f>
        <v/>
      </c>
      <c r="ET7" s="164">
        <f>IFERROR(VLOOKUP(SUBSTITUTE(SUBSTITUTE(SUBSTITUTE($EF7,"~","~~"),"*","~*"),"?","~?"),'DADOS_MELHORIAS'!$O$2:$W$113,5,FALSE),0)</f>
        <v/>
      </c>
      <c r="EU7" s="164">
        <f>IFERROR(VLOOKUP(SUBSTITUTE(SUBSTITUTE(SUBSTITUTE($EG7,"~","~~"),"*","~*"),"?","~?"),'DADOS_MELHORIAS'!$O$2:$W$113,5,FALSE),0)</f>
        <v/>
      </c>
      <c r="EV7" s="164">
        <f>IFERROR(VLOOKUP(SUBSTITUTE(SUBSTITUTE(SUBSTITUTE($EH7,"~","~~"),"*","~*"),"?","~?"),'DADOS_MELHORIAS'!$O$2:$W$113,5,FALSE),0)</f>
        <v/>
      </c>
      <c r="EW7" s="164">
        <f>IFERROR(VLOOKUP(SUBSTITUTE(SUBSTITUTE(SUBSTITUTE($EE7,"~","~~"),"*","~*"),"?","~?"),'DADOS_MELHORIAS'!$O$2:$W$113,6,FALSE),0)+IFERROR(VLOOKUP(SUBSTITUTE(SUBSTITUTE(SUBSTITUTE($EF7,"~","~~"),"*","~*"),"?","~?"),'DADOS_MELHORIAS'!$O$2:$W$113,6,FALSE),0)+IFERROR(VLOOKUP(SUBSTITUTE(SUBSTITUTE(SUBSTITUTE($EG7,"~","~~"),"*","~*"),"?","~?"),'DADOS_MELHORIAS'!$O$2:$W$113,6,FALSE),0)+IFERROR(VLOOKUP(SUBSTITUTE(SUBSTITUTE(SUBSTITUTE($EH7,"~","~~"),"*","~*"),"?","~?"),'DADOS_MELHORIAS'!$O$2:$W$113,6,FALSE),0)</f>
        <v/>
      </c>
      <c r="EX7" s="164">
        <f>IFERROR(VLOOKUP(SUBSTITUTE(SUBSTITUTE(SUBSTITUTE($EE7,"~","~~"),"*","~*"),"?","~?"),'DADOS_MELHORIAS'!$O$2:$W$113,9,FALSE),0)+IFERROR(VLOOKUP(SUBSTITUTE(SUBSTITUTE(SUBSTITUTE($EF7,"~","~~"),"*","~*"),"?","~?"),'DADOS_MELHORIAS'!$O$2:$W$113,9,FALSE),0)+IFERROR(VLOOKUP(SUBSTITUTE(SUBSTITUTE(SUBSTITUTE($EG7,"~","~~"),"*","~*"),"?","~?"),'DADOS_MELHORIAS'!$O$2:$W$113,9,FALSE),0)+IFERROR(VLOOKUP(SUBSTITUTE(SUBSTITUTE(SUBSTITUTE($EH7,"~","~~"),"*","~*"),"?","~?"),'DADOS_MELHORIAS'!$O$2:$W$113,9,FALSE),0)</f>
        <v/>
      </c>
      <c r="EY7" s="164">
        <f>IF($EL7=0,0,INDEX('DADOS_FORMAS'!$FO$2:$FO$21,$EL7))</f>
        <v/>
      </c>
      <c r="EZ7" s="164">
        <f>IF($EL7=0,0,INDEX('DADOS_FORMAS'!$FP$2:$FP$21,$EL7))</f>
        <v/>
      </c>
      <c r="FA7" s="164">
        <f>IF($EL7=0,0,INDEX('DADOS_FORMAS'!$FR$2:$FR$21,$EL7))</f>
        <v/>
      </c>
      <c r="FB7" s="164">
        <f>IFERROR(VLOOKUP(SUBSTITUTE(SUBSTITUTE(SUBSTITUTE($EI7,"~","~~"),"*","~*"),"?","~?"),'DADOS_RESTRICOES'!$M$2:$Q$54,3,FALSE),0)</f>
        <v/>
      </c>
      <c r="FC7" s="164">
        <f>IFERROR(VLOOKUP(SUBSTITUTE(SUBSTITUTE(SUBSTITUTE($EJ7,"~","~~"),"*","~*"),"?","~?"),'DADOS_RESTRICOES'!$M$2:$Q$54,3,FALSE),0)</f>
        <v/>
      </c>
      <c r="FD7" s="164">
        <f>IFERROR(VLOOKUP(SUBSTITUTE(SUBSTITUTE(SUBSTITUTE($EI7,"~","~~"),"*","~*"),"?","~?"),'DADOS_RESTRICOES'!$M$2:$Q$54,2,FALSE),"")</f>
        <v/>
      </c>
      <c r="FE7" s="164">
        <f>IFERROR(VLOOKUP(SUBSTITUTE(SUBSTITUTE(SUBSTITUTE($EJ7,"~","~~"),"*","~*"),"?","~?"),'DADOS_RESTRICOES'!$M$2:$Q$54,2,FALSE),"")</f>
        <v/>
      </c>
      <c r="FF7" s="164">
        <f>COUNTIF($EM7:$EQ7,1)</f>
        <v/>
      </c>
      <c r="FG7" s="164">
        <f>COUNTIF($EM7:$EQ7,2)</f>
        <v/>
      </c>
      <c r="FH7" s="164">
        <f>COUNTIF($EM7:$EQ7,3)</f>
        <v/>
      </c>
      <c r="FI7" s="164">
        <f>COUNTIF($EM7:$EQ7,4)</f>
        <v/>
      </c>
      <c r="FJ7" s="164">
        <f>COUNTIF($EM7:$EQ7,5)</f>
        <v/>
      </c>
      <c r="FK7" s="164">
        <f>COUNTIF($EM7:$EQ7,6)</f>
        <v/>
      </c>
      <c r="FL7" s="164">
        <f>COUNTIF($FB7:$FC7,1)+IF(IFERROR(INDEX('DADOS_FORMAS'!$AS$2:$AS$21,MATCH(SUBSTITUTE(SUBSTITUTE(SUBSTITUTE($ED7,"~","~~"),"*","~*"),"?","~?"),'DADOS_FORMAS'!$AH$2:$AH$21,0)),"")="",0,IFERROR(N(VLOOKUP(SUBSTITUTE(SUBSTITUTE(SUBSTITUTE(IFERROR(INDEX('DADOS_FORMAS'!$AS$2:$AS$21,MATCH(SUBSTITUTE(SUBSTITUTE(SUBSTITUTE($ED7,"~","~~"),"*","~*"),"?","~?"),'DADOS_FORMAS'!$AH$2:$AH$21,0)),""),"~","~~"),"*","~*"),"?","~?"),'DADOS_RESTRICOES'!$M$2:$Q$54,3,FALSE)=1),0))</f>
        <v/>
      </c>
      <c r="FM7" s="164">
        <f>COUNTIF($FB7:$FC7,2)+IF(IFERROR(INDEX('DADOS_FORMAS'!$AS$2:$AS$21,MATCH(SUBSTITUTE(SUBSTITUTE(SUBSTITUTE($ED7,"~","~~"),"*","~*"),"?","~?"),'DADOS_FORMAS'!$AH$2:$AH$21,0)),"")="",0,IFERROR(N(VLOOKUP(SUBSTITUTE(SUBSTITUTE(SUBSTITUTE(IFERROR(INDEX('DADOS_FORMAS'!$AS$2:$AS$21,MATCH(SUBSTITUTE(SUBSTITUTE(SUBSTITUTE($ED7,"~","~~"),"*","~*"),"?","~?"),'DADOS_FORMAS'!$AH$2:$AH$21,0)),""),"~","~~"),"*","~*"),"?","~?"),'DADOS_RESTRICOES'!$M$2:$Q$54,3,FALSE)=2),0))</f>
        <v/>
      </c>
      <c r="FN7" s="164">
        <f>COUNTIF($EE7:$EH7,"?*")</f>
        <v/>
      </c>
      <c r="FO7" s="164">
        <f>COUNTIF($EI7:$EJ7,"?*")+$EY7</f>
        <v/>
      </c>
      <c r="FP7" s="164">
        <f>SUMPRODUCT($FF7:$FK7,INDEX($Q$2:$V$8,$EB7,0))</f>
        <v/>
      </c>
      <c r="FQ7" s="164">
        <f>$FL7*CEILING($EB7/2,1)+$FM7*$EB7</f>
        <v/>
      </c>
      <c r="FR7" s="164">
        <f>MIN(2*$EB7,$FQ7)</f>
        <v/>
      </c>
      <c r="FS7" s="164">
        <f>MIN($FR7,$FP7-IF($EM7=0,0,INDEX($Q$2:$V$8,$EB7,$EM7)))</f>
        <v/>
      </c>
      <c r="FT7" s="164">
        <f>$FR7-$FS7</f>
        <v/>
      </c>
      <c r="FU7" s="164">
        <f>3*$EB7-$FP7+$FS7</f>
        <v/>
      </c>
      <c r="FV7" s="164">
        <f>MAX(0,$FU7)+$DZ7*$EB7</f>
        <v/>
      </c>
      <c r="FW7" s="164">
        <f>(IF(COUNTIF($KW7:$KZ7,"Salto")&gt;0,1,0)+IF(COUNTIF($KW7:$KZ7,"Queima")&gt;0,1,0)+IF(COUNTIF($KW7:$KZ7,"Estilhaço")&gt;0,1,0))*FLOOR($FV7/2,1)</f>
        <v/>
      </c>
      <c r="FX7" s="164">
        <f>MAX(0,3-SUMPRODUCT($FF7:$FK7,$Q$2:$V$2)+MIN(2,$FL7*1+$FM7*1,SUMPRODUCT($FF7:$FK7,$Q$2:$V$2)-IF($EM7=0,0,INDEX($Q$2:$V$2,1,$EM7))))+$DZ7*1</f>
        <v/>
      </c>
      <c r="FY7" s="164">
        <f>MAX(0,6-SUMPRODUCT($FF7:$FK7,$Q$3:$V$3)+MIN(4,$FL7*1+$FM7*2,SUMPRODUCT($FF7:$FK7,$Q$3:$V$3)-IF($EM7=0,0,INDEX($Q$3:$V$3,1,$EM7))))+$DZ7*2</f>
        <v/>
      </c>
      <c r="FZ7" s="164">
        <f>MAX(0,9-SUMPRODUCT($FF7:$FK7,$Q$4:$V$4)+MIN(6,$FL7*2+$FM7*3,SUMPRODUCT($FF7:$FK7,$Q$4:$V$4)-IF($EM7=0,0,INDEX($Q$4:$V$4,1,$EM7))))+$DZ7*3</f>
        <v/>
      </c>
      <c r="GA7" s="164">
        <f>MAX(0,12-SUMPRODUCT($FF7:$FK7,$Q$5:$V$5)+MIN(8,$FL7*2+$FM7*4,SUMPRODUCT($FF7:$FK7,$Q$5:$V$5)-IF($EM7=0,0,INDEX($Q$5:$V$5,1,$EM7))))+$DZ7*4</f>
        <v/>
      </c>
      <c r="GB7" s="164">
        <f>MAX(0,15-SUMPRODUCT($FF7:$FK7,$Q$6:$V$6)+MIN(10,$FL7*3+$FM7*5,SUMPRODUCT($FF7:$FK7,$Q$6:$V$6)-IF($EM7=0,0,INDEX($Q$6:$V$6,1,$EM7))))+$DZ7*5</f>
        <v/>
      </c>
      <c r="GC7" s="164">
        <f>MAX(0,18-SUMPRODUCT($FF7:$FK7,$Q$7:$V$7)+MIN(12,$FL7*3+$FM7*6,SUMPRODUCT($FF7:$FK7,$Q$7:$V$7)-IF($EM7=0,0,INDEX($Q$7:$V$7,1,$EM7))))+$DZ7*6</f>
        <v/>
      </c>
      <c r="GD7" s="164">
        <f>MAX(0,21-SUMPRODUCT($FF7:$FK7,$Q$8:$V$8)+MIN(14,$FL7*4+$FM7*7,SUMPRODUCT($FF7:$FK7,$Q$8:$V$8)-IF($EM7=0,0,INDEX($Q$8:$V$8,1,$EM7))))+$DZ7*7</f>
        <v/>
      </c>
      <c r="GE7" s="164">
        <f>IF($EZ7=2,3*$FX7&amp;" de vida temp.",IF($EZ7=3,"sem dano",IF($FX7=0,IF($EZ7=1,"sem cura","sem dano"),IF($EZ7=1,"cura ","")&amp;$FX7&amp;"d8")))</f>
        <v/>
      </c>
      <c r="GF7" s="164">
        <f>IF($EZ7=2,3*$FY7&amp;" de vida temp.",IF($EZ7=3,"sem dano",IF($FY7=0,IF($EZ7=1,"sem cura","sem dano"),IF($EZ7=1,"cura ","")&amp;$FY7&amp;"d8")))</f>
        <v/>
      </c>
      <c r="GG7" s="164">
        <f>IF($EZ7=2,3*$FZ7&amp;" de vida temp.",IF($EZ7=3,"sem dano",IF($FZ7=0,IF($EZ7=1,"sem cura","sem dano"),IF($EZ7=1,"cura ","")&amp;$FZ7&amp;"d8")))</f>
        <v/>
      </c>
      <c r="GH7" s="164">
        <f>IF($EZ7=2,3*$GA7&amp;" de vida temp.",IF($EZ7=3,"sem dano",IF($GA7=0,IF($EZ7=1,"sem cura","sem dano"),IF($EZ7=1,"cura ","")&amp;$GA7&amp;"d8")))</f>
        <v/>
      </c>
      <c r="GI7" s="164">
        <f>IF($EZ7=2,3*$GB7&amp;" de vida temp.",IF($EZ7=3,"sem dano",IF($GB7=0,IF($EZ7=1,"sem cura","sem dano"),IF($EZ7=1,"cura ","")&amp;$GB7&amp;"d8")))</f>
        <v/>
      </c>
      <c r="GJ7" s="164">
        <f>IF($EZ7=2,3*$GC7&amp;" de vida temp.",IF($EZ7=3,"sem dano",IF($GC7=0,IF($EZ7=1,"sem cura","sem dano"),IF($EZ7=1,"cura ","")&amp;$GC7&amp;"d8")))</f>
        <v/>
      </c>
      <c r="GK7" s="164">
        <f>IF($EZ7=2,3*$GD7&amp;" de vida temp.",IF($EZ7=3,"sem dano",IF($GD7=0,IF($EZ7=1,"sem cura","sem dano"),IF($EZ7=1,"cura ","")&amp;$GD7&amp;"d8")))</f>
        <v/>
      </c>
      <c r="GL7" s="164">
        <f>IF($EK7=0,"",TEXTJOIN(" · ",TRUE,IF($EK7=0,"",TEXTJOIN(" · ",TRUE,IF($EK7=0,"",TEXTJOIN(" · ",TRUE,IF(AND($DZ7=1,$EA7&gt;$HM$9),"O nível "&amp;$HM$2&amp;" dá "&amp;$HM$9&amp;" Liberação Máxima",""),IF($EB7&gt;$HM$4,"Classe "&amp;$EB7&amp;": o nível "&amp;$HM$2&amp;" libera até a "&amp;$HM$4,""),IF($ER7=1,"Família Fechada: a Forma "&amp;$ED7,""),IF($ES7=1,"Família Fechada: "&amp;$EE7,""),IF($ET7=1,"Família Fechada: "&amp;$EF7,""),IF($EU7=1,"Família Fechada: "&amp;$EG7,""),IF($EV7=1,"Família Fechada: "&amp;$EH7,""),IF($FN7&gt;INDEX($W$2:$W$8,$EB7),$FN7&amp;" Melhorias: a Classe "&amp;$EB7&amp;" aceita "&amp;INDEX($W$2:$W$8,$EB7),""),IF($FO7&gt;2,$FO7&amp;" Restrições"&amp;IF($EY7=1,", contando a que a Forma "&amp;$ED7&amp;" já traz","")&amp;": o limite é 2",""),IF($FU7&lt;0,"Orçamento estourado: faltam "&amp;(-$FU7)&amp;IF($FU7&lt;-1," pontos"," ponto"),""),IF(IFERROR(VLOOKUP(SUBSTITUTE(SUBSTITUTE(SUBSTITUTE($EI7,"~","~~"),"*","~*"),"?","~?"),'DADOS_RESTRICOES'!$M$2:$Q$54,4,FALSE),0)+IFERROR(VLOOKUP(SUBSTITUTE(SUBSTITUTE(SUBSTITUTE($EJ7,"~","~~"),"*","~*"),"?","~?"),'DADOS_RESTRICOES'!$M$2:$Q$54,4,FALSE),0)&gt;1,$FD7&amp;" e "&amp;$FE7&amp;" são as duas de frequência",""),IF(AND((COUNTIF($KW7:$KZ7,"Rápido")+COUNTIF($FD7:$FE7,"Rápido"))&gt;0,(COUNTIF($EE7:$EH7,"Atrasar")+COUNTIF($FD7:$FE7,"Atrasar"))&gt;0),"Rápido não entra com Atrasar",""),IF(AND((COUNTIF($KW7:$KZ7,"Reação")+COUNTIF($FD7:$FE7,"Reação"))&gt;0,(COUNTIF($KW7:$KZ7,"Rápido")+COUNTIF($FD7:$FE7,"Rápido"))&gt;0),"Reação não entra com Rápido",""),IF(AND((COUNTIF($KW7:$KZ7,"Reação")+COUNTIF($FD7:$FE7,"Reação"))&gt;0,(COUNTIF($KW7:$KZ7,"Armado")+COUNTIF($FD7:$FE7,"Armado"))&gt;0),"Reação não entra com Armado",""),IF(AND((COUNTIF($KW7:$KZ7,"Reação")+COUNTIF($FD7:$FE7,"Reação"))&gt;0,(COUNTIF($EE7:$EH7,"Atrasar")+COUNTIF($FD7:$FE7,"Atrasar"))&gt;0),"Reação não entra com Atrasar",""),IF(AND((COUNTIF($KW7:$KZ7,"Reação")+COUNTIF($FD7:$FE7,"Reação"))&gt;0,(COUNTIF($EE7:$EH7,"Parado")+COUNTIF($FD7:$FE7,"Parado"))&gt;0),"Reação não entra com Parado",""),IF(AND((COUNTIF($EE7:$EH7,"Atrasar")+COUNTIF($FD7:$FE7,"Atrasar"))&gt;0,(COUNTIF($EE7:$EH7,"Parado")+COUNTIF($FD7:$FE7,"Parado"))&gt;0),"Atrasar não entra com Parado",""),IF(AND((COUNTIF($KW7:$KZ7,"Armado")+COUNTIF($FD7:$FE7,"Armado"))&gt;0,(COUNTIF($EE7:$EH7,"Carregar")+COUNTIF($FD7:$FE7,"Carregar"))&gt;0),"Armado não entra com Carregar",""),IF(AND(COUNTIF($FD7:$FE7,"Corpo a Corpo")&gt;0,$EY7=0,OR($LB7="Cone",$LB7="Linha")),"Corpo a Corpo não entra em "&amp;$ED7,""),IF(AND(COUNTIF($FD7:$FE7,"Corpo a Corpo")&gt;0,$LC7="Corpo a Corpo"),"A Forma "&amp;$ED7&amp;" já traz o Corpo a Corpo",""),IF(AND(COUNTIF($FD7:$FE7,"Tudo ou Nada")&gt;0,$FA7=0),"Tudo ou Nada só entra em feitiço de Teste de Resistência",""),IF(AND(COUNTIF($KW7:$KZ7,"Inescapável")&gt;0,OR($FN7&gt;1,$FO7&gt;0)),"Inescapável não aceita outra peça",""),IF(AND($DZ7=1,$EB7&lt;3),"Liberação Máxima é de Classe 3 ou mais",""),IF(AND($DZ7=1,OR($EZ7=1,$EZ7=2)),"Liberação Máxima não serve para cura",""),IF(AND($DZ7=1,COUNTIF($KW7:$KZ7,"Inescapável")+COUNTIF($KW7:$KZ7,"Toca a Alma")&gt;0),"Esta peça não entra numa Liberação Máxima",""),IF($FV7*IF(COUNTIF($KW7:$KZ7,"Remate")&gt;0,1.25,1)+$FW7&gt;4*$EB7,($FV7*IF(COUNTIF($KW7:$KZ7,"Remate")&gt;0,1.25,1)+$FW7)&amp;" dados somando repetições"&amp;IF(COUNTIF($KW7:$KZ7,"Remate")&gt;0," e o Remate","")&amp;": o teto da Classe "&amp;$EB7&amp;" é "&amp;4*$EB7,""))),IF(AND($EE7&lt;&gt;"",COUNTIF('DADOS_MELHORIAS'!$O$2:$O$113,SUBSTITUTE(SUBSTITUTE(SUBSTITUTE($EE7,"~","~~"),"*","~*"),"?","~?"))=0),"Melhoria não cadastrada ou com erro: "&amp;$EE7,""),IF(AND($EF7&lt;&gt;"",COUNTIF('DADOS_MELHORIAS'!$O$2:$O$113,SUBSTITUTE(SUBSTITUTE(SUBSTITUTE($EF7,"~","~~"),"*","~*"),"?","~?"))=0),"Melhoria não cadastrada ou com erro: "&amp;$EF7,""),IF(AND($EG7&lt;&gt;"",COUNTIF('DADOS_MELHORIAS'!$O$2:$O$113,SUBSTITUTE(SUBSTITUTE(SUBSTITUTE($EG7,"~","~~"),"*","~*"),"?","~?"))=0),"Melhoria não cadastrada ou com erro: "&amp;$EG7,""),IF(AND($EH7&lt;&gt;"",COUNTIF('DADOS_MELHORIAS'!$O$2:$O$113,SUBSTITUTE(SUBSTITUTE(SUBSTITUTE($EH7,"~","~~"),"*","~*"),"?","~?"))=0),"Melhoria não cadastrada ou com erro: "&amp;$EH7,""),IF(AND($EI7&lt;&gt;"",COUNTIF('DADOS_RESTRICOES'!$M$2:$M$54,SUBSTITUTE(SUBSTITUTE(SUBSTITUTE($EI7,"~","~~"),"*","~*"),"?","~?"))=0),"Restrição não cadastrada ou com erro: "&amp;$EI7,""),IF(AND($EJ7&lt;&gt;"",COUNTIF('DADOS_RESTRICOES'!$M$2:$M$54,SUBSTITUTE(SUBSTITUTE(SUBSTITUTE($EJ7,"~","~~"),"*","~*"),"?","~?"))=0),"Restrição não cadastrada ou com erro: "&amp;$EJ7,""))),IF(AND($ED7&lt;&gt;"",COUNTIF('DADOS_FORMAS'!$AH$2:$AH$21,SUBSTITUTE(SUBSTITUTE(SUBSTITUTE($ED7,"~","~~"),"*","~*"),"?","~?"))=0),"Forma não cadastrada ou com erro: "&amp;$ED7,""),IF(AND(IFERROR(INDEX('DADOS_FORMAS'!$AS$2:$AS$21,MATCH(SUBSTITUTE(SUBSTITUTE(SUBSTITUTE($ED7,"~","~~"),"*","~*"),"?","~?"),'DADOS_FORMAS'!$AH$2:$AH$21,0)),"")&lt;&gt;"",OR(IFERROR(VLOOKUP(SUBSTITUTE(SUBSTITUTE(SUBSTITUTE(IFERROR(INDEX('DADOS_FORMAS'!$AS$2:$AS$21,MATCH(SUBSTITUTE(SUBSTITUTE(SUBSTITUTE($ED7,"~","~~"),"*","~*"),"?","~?"),'DADOS_FORMAS'!$AH$2:$AH$21,0)),""),"~","~~"),"*","~*"),"?","~?"),'DADOS_RESTRICOES'!$M$2:$Q$54,2,FALSE),"")=$FD7,IFERROR(VLOOKUP(SUBSTITUTE(SUBSTITUTE(SUBSTITUTE(IFERROR(INDEX('DADOS_FORMAS'!$AS$2:$AS$21,MATCH(SUBSTITUTE(SUBSTITUTE(SUBSTITUTE($ED7,"~","~~"),"*","~*"),"?","~?"),'DADOS_FORMAS'!$AH$2:$AH$21,0)),""),"~","~~"),"*","~*"),"?","~?"),'DADOS_RESTRICOES'!$M$2:$Q$54,2,FALSE),"")=$FE7)),"Restrição repetida, contando a embutida",""),IF(IF(IFERROR(INDEX('DADOS_FORMAS'!$AS$2:$AS$21,MATCH(SUBSTITUTE(SUBSTITUTE(SUBSTITUTE($ED7,"~","~~"),"*","~*"),"?","~?"),'DADOS_FORMAS'!$AH$2:$AH$21,0)),"")="",0,IFERROR(N(VLOOKUP(SUBSTITUTE(SUBSTITUTE(SUBSTITUTE(IFERROR(INDEX('DADOS_FORMAS'!$AS$2:$AS$21,MATCH(SUBSTITUTE(SUBSTITUTE(SUBSTITUTE($ED7,"~","~~"),"*","~*"),"?","~?"),'DADOS_FORMAS'!$AH$2:$AH$21,0)),""),"~","~~"),"*","~*"),"?","~?"),'DADOS_RESTRICOES'!$M$2:$Q$54,4,FALSE)=1),0))+IF($EI7="",0,IFERROR(N(VLOOKUP(SUBSTITUTE(SUBSTITUTE(SUBSTITUTE($EI7,"~","~~"),"*","~*"),"?","~?"),'DADOS_RESTRICOES'!$M$2:$Q$54,4,FALSE)=1),0))+IF($EJ7="",0,IFERROR(N(VLOOKUP(SUBSTITUTE(SUBSTITUTE(SUBSTITUTE($EJ7,"~","~~"),"*","~*"),"?","~?"),'DADOS_RESTRICOES'!$M$2:$Q$54,4,FALSE)=1),0))&gt;1,"Duas Restrições de frequência, contando a embutida",""),IF(AND(IFERROR(VLOOKUP(SUBSTITUTE(SUBSTITUTE(SUBSTITUTE(IFERROR(INDEX('DADOS_FORMAS'!$AS$2:$AS$21,MATCH(SUBSTITUTE(SUBSTITUTE(SUBSTITUTE($ED7,"~","~~"),"*","~*"),"?","~?"),'DADOS_FORMAS'!$AH$2:$AH$21,0)),""),"~","~~"),"*","~*"),"?","~?"),'DADOS_RESTRICOES'!$M$2:$Q$54,2,FALSE),"")="Tudo ou Nada",$FA7=0),"Tudo ou Nada exige TR",""),IF(AND(IFERROR(VLOOKUP(SUBSTITUTE(SUBSTITUTE(SUBSTITUTE(IFERROR(INDEX('DADOS_FORMAS'!$AS$2:$AS$21,MATCH(SUBSTITUTE(SUBSTITUTE(SUBSTITUTE($ED7,"~","~~"),"*","~*"),"?","~?"),'DADOS_FORMAS'!$AH$2:$AH$21,0)),""),"~","~~"),"*","~*"),"?","~?"),'DADOS_RESTRICOES'!$M$2:$Q$54,2,FALSE),"")="Corpo a Corpo",OR($LB7="Cone",$LB7="Linha")),"Corpo a Corpo não entra em Cone/Linha","")))</f>
        <v/>
      </c>
      <c r="GM7" s="164">
        <f>IF($GL7="",0,(LEN($GL7)-LEN(SUBSTITUTE($GL7," · ","")))/3+1)</f>
        <v/>
      </c>
      <c r="GN7" s="164">
        <f>IF($EK7=0,"",TEXTJOIN(" · ",TRUE,IF($FQ7&gt;2*$EB7,"A devolução parou no teto de "&amp;2*$EB7,""),IF($FT7&gt;0,"Devolução perdida: "&amp;$FT7&amp;IF($FT7&gt;1," pontos"," ponto")&amp;" sem Melhoria para pagar",""),IF(AND($EW7&gt;0,$FV7=0),"Controle sem dano: uma rodada a mais e CD +2",""),IF(AND($EW7&gt;0,$FV7&gt;0,$FV7&lt;=$EB7),"Controle com saldo até a Classe: uma rodada a mais","")))</f>
        <v/>
      </c>
      <c r="GO7" s="164">
        <f>IF($GN7="",0,(LEN($GN7)-LEN(SUBSTITUTE($GN7," · ","")))/3+1)</f>
        <v/>
      </c>
      <c r="GP7" s="164">
        <f>IF($EK7=0,IF($FN7+$FO7-$EY7&gt;0,"Dê um nome",""),IF($GM7&gt;0,"⚠ "&amp;$GM7&amp;IF($GM7&gt;1," erros"," erro"),IF($GO7&gt;0,"! "&amp;$GO7&amp;IF($GO7&gt;1," avisos"," aviso"),"Na regra")))</f>
        <v/>
      </c>
      <c r="GQ7" s="164">
        <f>IF($EK7=0,"",IF($GM7+$GO7=0,"Dentro das regras que a ficha confere",$GL7&amp;IF(AND($GM7&gt;0,$GO7&gt;0)," · ","")&amp;$GN7))</f>
        <v/>
      </c>
      <c r="GR7" s="164">
        <f>IF($EK7=0,"",IF($DZ7=1,CEILING(4.5*$EB7,1),3*$EB7)&amp;" PE")</f>
        <v/>
      </c>
      <c r="GS7" s="164">
        <f>IF($EK7=0,"",IF($DZ7=1,"Rodada inteira",IF(COUNTIF($LD7:$LF7,"Atrasar")&gt;0,IF(COUNTIF($LD7:$LF7,"Carregar")&gt;0,"Rodada +1 turno","Rodada inteira"),IF(COUNTIF($KW7:$KZ7,"Rápido")&gt;0,"Bônus",IF(COUNTIF($KW7:$KZ7,"Reação")&gt;0,"Reação","Padrão"))&amp;IF(COUNTIF($LD7:$LF7,"Carregar")&gt;0," +1 turno",""))))</f>
        <v/>
      </c>
      <c r="GT7" s="164">
        <f>IF(OR($EK7=0,$EL7=0),"",IF(COUNTIF($KW7:$KZ7,"Inescapável")&gt;0,"Automático",IF(COUNTIF($KW7:$KZ7,"Certeiro")&gt;0,"TR para metade",IF(AND($EX7&gt;0,$FA7=0,INDEX('DADOS_FORMAS'!$FQ$2:$FQ$21,$EL7)="Acerto"),"Acerto + TR",INDEX('DADOS_FORMAS'!$FQ$2:$FQ$21,$EL7)))))</f>
        <v/>
      </c>
      <c r="GU7" s="164">
        <f>IF(OR($EK7=0,$EL7=0),"",IF(OR($EZ7&gt;=2,$FV7=0),UPPER(LEFT(INDEX($GE7:$GK7,1,$EB7),1))&amp;MID(INDEX($GE7:$GK7,1,$EB7),2,99),UPPER(LEFT(INDEX($GE7:$GK7,1,$EB7),1))&amp;MID(INDEX($GE7:$GK7,1,$EB7),2,99)&amp;" = "&amp;FLOOR($FV7*4.5,1)&amp;IF($FW7&gt;0," · +"&amp;$FW7&amp;"d8","")))</f>
        <v/>
      </c>
      <c r="GV7" s="164">
        <f>COUNTIF($KW7:$KZ7,"Longe")+3*COUNTIF($KW7:$KZ7,"Muito Longe")</f>
        <v/>
      </c>
      <c r="GW7" s="164">
        <f>COUNTIF($KW7:$KZ7,"Maior")+3*COUNTIF($KW7:$KZ7,"Muito Maior")</f>
        <v/>
      </c>
      <c r="GX7" s="164">
        <f>IF($EL7=0,0,CHOOSE(1+INDEX('DADOS_FORMAS'!$FS$2:$FS$21,$EL7),0,$GV7,$GW7,$GV7+$GW7))</f>
        <v/>
      </c>
      <c r="GY7" s="164">
        <f>IF($EL7=0,0,CHOOSE(1+INDEX('DADOS_FORMAS'!$FT$2:$FT$21,$EL7),0,$GV7,$GW7,$GV7+$GW7))</f>
        <v/>
      </c>
      <c r="GZ7" s="164">
        <f>IF(OR($EK7=0,$EL7=0),"",INDEX('DADOS_FORMAS'!$GZ$2:$HE$61,($EL7-1)*3+IF($EB7&gt;=6,3,2),1+MIN(5,$GX7))&amp;INDEX('DADOS_FORMAS'!$HF$2:$HK$61,($EL7-1)*3+IF($EB7&gt;=6,3,2),1+MIN(5,$GY7))&amp;IF(INDEX('DADOS_FORMAS'!$FU$2:$FU$21,$EL7)=1,IF(COUNTIF($KW7:$KZ7,"Mais Um")&gt;0," · +"&amp;COUNTIF($KW7:$KZ7,"Mais Um")&amp;IF(COUNTIF($KW7:$KZ7,"Mais Um")&gt;1," alvos"," alvo"),"")&amp;IF(COUNTIF($KW7:$KZ7,"Rajada")&gt;0," · "&amp;($EB7+1)&amp;" tiros",""),""))</f>
        <v/>
      </c>
      <c r="HA7" s="164">
        <f>IF($EK7=0,"",3*$EB7&amp;" − "&amp;$FP7&amp;" + "&amp;$FS7&amp;IF($DZ7=1," + "&amp;$EB7,"")&amp;" = "&amp;$FV7&amp;"d8 · teto "&amp;4*$EB7&amp;IF($EY7=1," · a Forma devolve "&amp;$EB7,"")&amp;IF($FT7&gt;0," · perde "&amp;$FT7,""))</f>
        <v/>
      </c>
      <c r="HB7" s="164">
        <f>IF($EK7=0,"",IF($EB7&gt;=$HM$4,"Já está na maior Classe que o nível liberou",TEXTJOIN(" · ",TRUE,IF(AND(2&gt;$EB7,2&lt;=$HM$4),"2 → "&amp;$GF7&amp;", "&amp;IF($DZ7=1,9,6)&amp;" PE",""),IF(AND(3&gt;$EB7,3&lt;=$HM$4),"3 → "&amp;$GG7&amp;", "&amp;IF($DZ7=1,14,9)&amp;" PE",""),IF(AND(4&gt;$EB7,4&lt;=$HM$4),"4 → "&amp;$GH7&amp;", "&amp;IF($DZ7=1,18,12)&amp;" PE",""),IF(AND(5&gt;$EB7,5&lt;=$HM$4),"5 → "&amp;$GI7&amp;", "&amp;IF($DZ7=1,23,15)&amp;" PE",""),IF(AND(6&gt;$EB7,6&lt;=$HM$4),"6 → "&amp;$GJ7&amp;", "&amp;IF($DZ7=1,27,18)&amp;" PE",""),IF(AND(7&gt;$EB7,7&lt;=$HM$4),"7 → "&amp;$GK7&amp;", "&amp;IF($DZ7=1,32,21)&amp;" PE",""))))</f>
        <v/>
      </c>
      <c r="HC7" s="164">
        <f>IF(OR($EK7=0,$EN7=0),"","−"&amp;INDEX($Q$2:$V$8,$EB7,$EN7)&amp;" · "&amp;CHOOSE($EN7,"Leve","Média","Pesada","Leve · Livre","Média · Livre","Pesada · Livre"))</f>
        <v/>
      </c>
      <c r="HD7" s="164">
        <f>IF(OR($EK7=0,$EO7=0),"","−"&amp;INDEX($Q$2:$V$8,$EB7,$EO7)&amp;" · "&amp;CHOOSE($EO7,"Leve","Média","Pesada","Leve · Livre","Média · Livre","Pesada · Livre"))</f>
        <v/>
      </c>
      <c r="HE7" s="164">
        <f>IF(OR($EK7=0,$EP7=0),"","−"&amp;INDEX($Q$2:$V$8,$EB7,$EP7)&amp;" · "&amp;CHOOSE($EP7,"Leve","Média","Pesada","Leve · Livre","Média · Livre","Pesada · Livre"))</f>
        <v/>
      </c>
      <c r="HF7" s="164">
        <f>IF(OR($EK7=0,$EQ7=0),"","−"&amp;INDEX($Q$2:$V$8,$EB7,$EQ7)&amp;" · "&amp;CHOOSE($EQ7,"Leve","Média","Pesada","Leve · Livre","Média · Livre","Pesada · Livre"))</f>
        <v/>
      </c>
      <c r="HG7" s="164">
        <f>IF(OR($EK7=0,$EI7=""),"","+"&amp;IF($FB7=1,CEILING($EB7/2,1),$EB7))</f>
        <v/>
      </c>
      <c r="HH7" s="164">
        <f>IF(OR($EK7=0,$EJ7=""),"","+"&amp;IF($FC7=1,CEILING($EB7/2,1),$EB7))</f>
        <v/>
      </c>
      <c r="HI7" s="164">
        <f>'FICHA AMALDIÇOADA'!$P$87&amp;""</f>
        <v/>
      </c>
      <c r="HJ7" s="164">
        <f>IF(AND($EK7=1,$DZ7=0),COUNTIFS($EK$2:$EK7,1,$DZ$2:$DZ7,0),"")</f>
        <v/>
      </c>
      <c r="HL7" s="162" t="inlineStr">
        <is>
          <t>essência</t>
        </is>
      </c>
      <c r="HM7" s="164">
        <f>N(FICHA!$AJ$19)</f>
        <v/>
      </c>
      <c r="HO7" s="162" t="inlineStr">
        <is>
          <t>Talento 6 · Leque</t>
        </is>
      </c>
      <c r="HP7" s="164">
        <f>'FICHA AMALDIÇOADA'!$D$410&amp;""</f>
        <v/>
      </c>
      <c r="HQ7" s="164">
        <f>IFERROR(VLOOKUP(SUBSTITUTE(SUBSTITUTE(SUBSTITUTE($HP7,"~","~~"),"*","~*"),"?","~?"),'DADOS_TALENTOS'!$AQ$2:$AW$34,2,FALSE),0)</f>
        <v/>
      </c>
      <c r="HR7" s="164">
        <f>IFERROR(VLOOKUP($HQ7,$CA$2:$CB$4,2,FALSE),0)</f>
        <v/>
      </c>
      <c r="HS7" s="164">
        <f>IFERROR(VLOOKUP(SUBSTITUTE(SUBSTITUTE(SUBSTITUTE($HP7,"~","~~"),"*","~*"),"?","~?"),'DADOS_TALENTOS'!$AQ$2:$AW$34,3,FALSE),"")</f>
        <v/>
      </c>
      <c r="HT7" s="164">
        <f>IF($HQ7=0,"",IF($HR7&gt;$HM$2,"⚠ Nível "&amp;$HR7,"CE "&amp;$HQ7))&amp;IF('DADOS_AM'!$LO7="",""," · ⚠ "&amp;'DADOS_AM'!$LO7)</f>
        <v/>
      </c>
      <c r="HU7" s="164">
        <f>IF($HQ7=0,"",IF(1&gt;$HM$8,"⚠ Vaga","Grátis"))</f>
        <v/>
      </c>
      <c r="HV7" s="164">
        <f>'FICHA AMALDIÇOADA'!$E$415&amp;""</f>
        <v/>
      </c>
      <c r="HW7" s="164">
        <f>IF($HP7="","",COUNTIF($HP$2:$HP7,"?*"))</f>
        <v/>
      </c>
      <c r="HY7" s="162" t="inlineStr">
        <is>
          <t>Aptidão 6</t>
        </is>
      </c>
      <c r="HZ7" s="164">
        <f>'FICHA AMALDIÇOADA'!$P$463&amp;""</f>
        <v/>
      </c>
      <c r="IA7" s="164">
        <f>IF($HZ7="","","Requisito: "&amp;IFERROR(VLOOKUP(SUBSTITUTE(SUBSTITUTE(SUBSTITUTE($HZ7,"~","~~"),"*","~*"),"?","~?"),'DADOS_APTIDOES'!$BF$2:$BO$45,2,FALSE),""))&amp;IF($LK7="",""," · ⚠ "&amp;$LK7)</f>
        <v/>
      </c>
      <c r="IB7" s="164">
        <f>IF($HZ7="","",IFERROR(IF(ISNUMBER(VLOOKUP(SUBSTITUTE(SUBSTITUTE(SUBSTITUTE($HZ7,"~","~~"),"*","~*"),"?","~?"),'DADOS_APTIDOES'!$BF$2:$BO$45,3,FALSE)),"CE "&amp;VLOOKUP(SUBSTITUTE(SUBSTITUTE(SUBSTITUTE($HZ7,"~","~~"),"*","~*"),"?","~?"),'DADOS_APTIDOES'!$BF$2:$BO$45,3,FALSE),VLOOKUP(SUBSTITUTE(SUBSTITUTE(SUBSTITUTE($HZ7,"~","~~"),"*","~*"),"?","~?"),'DADOS_APTIDOES'!$BF$2:$BO$45,3,FALSE)),""))</f>
        <v/>
      </c>
      <c r="IC7" s="164">
        <f>IF($HZ7="","",IFERROR(VLOOKUP(SUBSTITUTE(SUBSTITUTE(SUBSTITUTE($HZ7,"~","~~"),"*","~*"),"?","~?"),'DADOS_APTIDOES'!$BF$2:$BO$45,4,FALSE),""))</f>
        <v/>
      </c>
      <c r="ID7" s="164">
        <f>IF($HZ7="","",IFERROR(VLOOKUP(SUBSTITUTE(SUBSTITUTE(SUBSTITUTE($HZ7,"~","~~"),"*","~*"),"?","~?"),'DADOS_APTIDOES'!$BF$2:$BO$45,5,FALSE),""))</f>
        <v/>
      </c>
      <c r="IE7" s="164">
        <f>'FICHA AMALDIÇOADA'!$Q$480&amp;""</f>
        <v/>
      </c>
      <c r="IF7" s="164">
        <f>IF($HZ7="","",COUNTIF($HZ$2:$HZ7,"?*"))</f>
        <v/>
      </c>
      <c r="IQ7" s="164">
        <f>IF($A$2=1,"T. Máxima",INDEX($D$5:$G$5,1,$A$2))</f>
        <v/>
      </c>
      <c r="IR7" s="164">
        <f>ADDRESS(ROW('FICHA AMALDIÇOADA'!K7),COLUMN('FICHA AMALDIÇOADA'!K7),4)</f>
        <v/>
      </c>
      <c r="IS7" s="164">
        <f>ADDRESS(ROW('FICHA AMALDIÇOADA'!D353),COLUMN('FICHA AMALDIÇOADA'!D353),4)</f>
        <v/>
      </c>
      <c r="IT7" s="162" t="inlineStr">
        <is>
          <t>DADOS_AM!$IQ$7</t>
        </is>
      </c>
      <c r="IV7" s="162" t="inlineStr">
        <is>
          <t>Trilha 2</t>
        </is>
      </c>
      <c r="IW7" s="164" t="n">
        <v>2</v>
      </c>
      <c r="IX7" s="164">
        <f>IF($HM$2&gt;=2,"Nível 2","Abre no 2")</f>
        <v/>
      </c>
      <c r="IY7" s="164">
        <f>ADDRESS(ROW(FICHA!G171),COLUMN(FICHA!G171),4)</f>
        <v/>
      </c>
      <c r="IZ7" s="164">
        <f>ADDRESS(ROW(FICHA!D172),COLUMN(FICHA!D172),4)</f>
        <v/>
      </c>
      <c r="JH7" s="164" t="n">
        <v>6</v>
      </c>
      <c r="JI7" s="164">
        <f>IFERROR(MATCH(6,$HJ$2:$HJ$37,0),0)</f>
        <v/>
      </c>
      <c r="JJ7" s="164">
        <f>IF($JI7=0,"",INDEX($EB$2:$EB$37,$JI7))</f>
        <v/>
      </c>
      <c r="JK7" s="164">
        <f>IF($JI7=0,"",INDEX($EC$2:$EC$37,$JI7))</f>
        <v/>
      </c>
      <c r="JL7" s="164">
        <f>IF($JI7=0,"",INDEX($GR$2:$GR$37,$JI7))</f>
        <v/>
      </c>
      <c r="JM7" s="164">
        <f>IF($JI7=0,"",INDEX($ED$2:$ED$37,$JI7))</f>
        <v/>
      </c>
      <c r="JN7" s="164">
        <f>IF($JI7=0,"",INDEX($GT$2:$GT$37,$JI7))</f>
        <v/>
      </c>
      <c r="JO7" s="164">
        <f>IF($JI7=0,"",INDEX($HI$2:$HI$37,$JI7))</f>
        <v/>
      </c>
      <c r="KF7" s="162" t="inlineStr">
        <is>
          <t>Talento 4</t>
        </is>
      </c>
      <c r="KG7" s="164">
        <f>IFERROR(MATCH(4,$HW$2:$HW$13,0),0)</f>
        <v/>
      </c>
      <c r="KH7" s="164">
        <f>IF($KG7=0,"",IF(INDEX($HQ$2:$HQ$13,$KG7)=0,"","CE "&amp;INDEX($HQ$2:$HQ$13,$KG7)))</f>
        <v/>
      </c>
      <c r="KI7" s="164">
        <f>IF($KG7=0,"",INDEX($HP$2:$HP$13,$KG7))</f>
        <v/>
      </c>
      <c r="KJ7" s="164">
        <f>IF($KG7=0,"",IF(INDEX($HV$2:$HV$13,$KG7)&lt;&gt;"",INDEX($HV$2:$HV$13,$KG7),IF(IFERROR(VLOOKUP(SUBSTITUTE(SUBSTITUTE(SUBSTITUTE(INDEX($HP$2:$HP$13,$KG7),"~","~~"),"*","~*"),"?","~?"),'DADOS_TALENTOS'!$AQ$2:$AW$34,7,FALSE),"")&lt;&gt;"","Do livro: "&amp;IFERROR(VLOOKUP(SUBSTITUTE(SUBSTITUTE(SUBSTITUTE(INDEX($HP$2:$HP$13,$KG7),"~","~~"),"*","~*"),"?","~?"),'DADOS_TALENTOS'!$AQ$2:$AW$34,7,FALSE),""),"")))</f>
        <v/>
      </c>
      <c r="KL7" s="162" t="inlineStr">
        <is>
          <t>Aptidão 4</t>
        </is>
      </c>
      <c r="KM7" s="164">
        <f>IFERROR(MATCH(4,$IF$2:$IF$13,0),0)</f>
        <v/>
      </c>
      <c r="KN7" s="164">
        <f>IF($KM7=0,"",INDEX($IB$2:$IB$13,$KM7))</f>
        <v/>
      </c>
      <c r="KO7" s="164">
        <f>IF($KM7=0,"",INDEX($HZ$2:$HZ$13,$KM7))</f>
        <v/>
      </c>
      <c r="KP7" s="164">
        <f>IF($KM7=0,"",IF(INDEX($IE$2:$IE$13,$KM7)&lt;&gt;"",INDEX($IE$2:$IE$13,$KM7),IF(IFERROR(VLOOKUP(SUBSTITUTE(SUBSTITUTE(SUBSTITUTE(INDEX($HZ$2:$HZ$13,$KM7),"~","~~"),"*","~*"),"?","~?"),'DADOS_APTIDOES'!$BF$2:$BO$45,10,FALSE),"")&lt;&gt;"","Do livro: "&amp;IFERROR(VLOOKUP(SUBSTITUTE(SUBSTITUTE(SUBSTITUTE(INDEX($HZ$2:$HZ$13,$KM7),"~","~~"),"*","~*"),"?","~?"),'DADOS_APTIDOES'!$BF$2:$BO$45,10,FALSE),""),"")))</f>
        <v/>
      </c>
      <c r="KR7" s="162" t="inlineStr">
        <is>
          <t>tag lib</t>
        </is>
      </c>
      <c r="KS7" s="164">
        <f>IF(DADOS_AM!$A$2&gt;=3,"Rup","Lib")</f>
        <v/>
      </c>
      <c r="KU7" s="162" t="inlineStr">
        <is>
          <t>P15</t>
        </is>
      </c>
      <c r="KV7" s="164">
        <f>UPPER(INDEX(DADOS_AM!$D$14:$G$14,1,DADOS_AM!$A$2))</f>
        <v/>
      </c>
      <c r="KW7">
        <f>IF($EE7="","",IFERROR(VLOOKUP(SUBSTITUTE(SUBSTITUTE(SUBSTITUTE($EE7,"~","~~"),"*","~*"),"?","~?"),'DADOS_MELHORIAS'!$O$2:$X$113,10,FALSE),$EE7))</f>
        <v/>
      </c>
      <c r="KX7">
        <f>IF($EF7="","",IFERROR(VLOOKUP(SUBSTITUTE(SUBSTITUTE(SUBSTITUTE($EF7,"~","~~"),"*","~*"),"?","~?"),'DADOS_MELHORIAS'!$O$2:$X$113,10,FALSE),$EF7))</f>
        <v/>
      </c>
      <c r="KY7">
        <f>IF($EG7="","",IFERROR(VLOOKUP(SUBSTITUTE(SUBSTITUTE(SUBSTITUTE($EG7,"~","~~"),"*","~*"),"?","~?"),'DADOS_MELHORIAS'!$O$2:$X$113,10,FALSE),$EG7))</f>
        <v/>
      </c>
      <c r="KZ7">
        <f>IF($EH7="","",IFERROR(VLOOKUP(SUBSTITUTE(SUBSTITUTE(SUBSTITUTE($EH7,"~","~~"),"*","~*"),"?","~?"),'DADOS_MELHORIAS'!$O$2:$X$113,10,FALSE),$EH7))</f>
        <v/>
      </c>
      <c r="LB7">
        <f>IFERROR(INDEX('DADOS_FORMAS'!$BJ$2:$BJ$21,MATCH(SUBSTITUTE(SUBSTITUTE(SUBSTITUTE($ED7,"~","~~"),"*","~*"),"?","~?"),'DADOS_FORMAS'!$AH$2:$AH$21,0)),"")</f>
        <v/>
      </c>
      <c r="LC7">
        <f>IFERROR(VLOOKUP(SUBSTITUTE(SUBSTITUTE(SUBSTITUTE(IFERROR(INDEX('DADOS_FORMAS'!$AS$2:$AS$21,MATCH(SUBSTITUTE(SUBSTITUTE(SUBSTITUTE($ED7,"~","~~"),"*","~*"),"?","~?"),'DADOS_FORMAS'!$AH$2:$AH$21,0)),""),"~","~~"),"*","~*"),"?","~?"),'DADOS_RESTRICOES'!$M$2:$Q$54,2,FALSE),"")</f>
        <v/>
      </c>
      <c r="LD7">
        <f>$FD7</f>
        <v/>
      </c>
      <c r="LE7">
        <f>$FE7</f>
        <v/>
      </c>
      <c r="LF7">
        <f>$LC7</f>
        <v/>
      </c>
      <c r="LH7">
        <f>'FICHA AMALDIÇOADA'!$P$463&amp;""</f>
        <v/>
      </c>
      <c r="LI7">
        <f>IF($LH7="","",IF(IFERROR(INDEX('DADOS_APTIDOES'!$X$2:$X$45,MATCH(SUBSTITUTE(SUBSTITUTE(SUBSTITUTE($LH7,"~","~~"),"*","~*"),"?","~?"),'DADOS_APTIDOES'!$O$2:$O$45,0)),"")="",$LH7,IFERROR(INDEX('DADOS_APTIDOES'!$X$2:$X$45,MATCH(SUBSTITUTE(SUBSTITUTE(SUBSTITUTE($LH7,"~","~~"),"*","~*"),"?","~?"),'DADOS_APTIDOES'!$O$2:$O$45,0)),"")))</f>
        <v/>
      </c>
      <c r="LJ7">
        <f>IF(LEFT($LI7,16)="Aptidão Própria (","Aptidão Própria",IF(LEFT($LI7,15)="Bênção Própria (","Bênção Própria",$LI7))</f>
        <v/>
      </c>
      <c r="LK7">
        <f>IF($LH7="","",TEXTJOIN(" · ",TRUE,$LP7:$MJ7))</f>
        <v/>
      </c>
      <c r="LL7">
        <f>IF($LH7="",0,IF(IFERROR(INDEX('DADOS_APTIDOES'!$W$2:$W$45,MATCH(SUBSTITUTE(SUBSTITUTE(SUBSTITUTE($LH7,"~","~~"),"*","~*"),"?","~?"),'DADOS_APTIDOES'!$O$2:$O$45,0)),"")="Gratuita",0,1))</f>
        <v/>
      </c>
      <c r="LO7">
        <f>IF('FICHA AMALDIÇOADA'!$D$410="","",TEXTJOIN(" · ",TRUE,IF(COUNTIF('DADOS_TALENTOS'!$M$2:$M$34,SUBSTITUTE(SUBSTITUTE(SUBSTITUTE('FICHA AMALDIÇOADA'!$D$410,"~","~~"),"*","~*"),"?","~?"))=0,"Talento não cadastrado ou com erro",""),IF(COUNTIF('DADOS_TALENTOS'!$AV$2:$AV$34,SUBSTITUTE(SUBSTITUTE(SUBSTITUTE('FICHA AMALDIÇOADA'!$D$410,"~","~~"),"*","~*"),"?","~?"))=0,"Talento incompatível com a rota","")))</f>
        <v/>
      </c>
      <c r="LP7">
        <f>IF(COUNTIF('DADOS_APTIDOES'!$O$2:$O$45,SUBSTITUTE(SUBSTITUTE(SUBSTITUTE($LH7,"~","~~"),"*","~*"),"?","~?"))=0,"Aptidão não cadastrada ou com erro","")</f>
        <v/>
      </c>
      <c r="LQ7">
        <f>IF(COUNTIF('DADOS_APTIDOES'!$BK$2:$BK$45,SUBSTITUTE(SUBSTITUTE(SUBSTITUTE($LH7,"~","~~"),"*","~*"),"?","~?"))=0,"Rota/origem incompatível ou capacidade inicial automática","")</f>
        <v/>
      </c>
      <c r="LR7">
        <f>IF(AND(NOT(OR(FALSE)),DADOS_AM!$HM$2&lt;IFERROR(INDEX('DADOS_APTIDOES'!$U$2:$U$45,MATCH(SUBSTITUTE(SUBSTITUTE(SUBSTITUTE($LH7,"~","~~"),"*","~*"),"?","~?"),'DADOS_APTIDOES'!$O$2:$O$45,0)),1)),"Nível mínimo não atendido","")</f>
        <v/>
      </c>
      <c r="LS7">
        <f>IF(AND(NOT(OR(FALSE)),DADOS_AM!$HM$6&lt;MAX(IF(AND($LI7="Domínio Simples",FALSE,IFERROR(INDEX('DADOS_APTIDOES'!$V$2:$V$45,MATCH(SUBSTITUTE(SUBSTITUTE(SUBSTITUTE($LH7,"~","~~"),"*","~*"),"?","~?"),'DADOS_APTIDOES'!$O$2:$O$45,0)),1)=5),4,IFERROR(INDEX('DADOS_APTIDOES'!$V$2:$V$45,MATCH(SUBSTITUTE(SUBSTITUTE(SUBSTITUTE($LH7,"~","~~"),"*","~*"),"?","~?"),'DADOS_APTIDOES'!$O$2:$O$45,0)),1)),IF(IFERROR(INDEX('DADOS_APTIDOES'!$N$2:$N$45,MATCH(SUBSTITUTE(SUBSTITUTE(SUBSTITUTE($LH7,"~","~~"),"*","~*"),"?","~?"),'DADOS_APTIDOES'!$O$2:$O$45,0)),"")="Bênção",IF(IFERROR(INDEX('DADOS_APTIDOES'!$T$2:$T$45,MATCH(SUBSTITUTE(SUBSTITUTE(SUBSTITUTE($LH7,"~","~~"),"*","~*"),"?","~?"),'DADOS_APTIDOES'!$O$2:$O$45,0)),0)=3,7,IF(IFERROR(INDEX('DADOS_APTIDOES'!$T$2:$T$45,MATCH(SUBSTITUTE(SUBSTITUTE(SUBSTITUTE($LH7,"~","~~"),"*","~*"),"?","~?"),'DADOS_APTIDOES'!$O$2:$O$45,0)),0)=2,4,1)),1))),"Refino/Lapidação mínimo não atendido","")</f>
        <v/>
      </c>
      <c r="LT7">
        <f>IF(COUNTIF($LJ$2:$LJ7,SUBSTITUTE(SUBSTITUTE(SUBSTITUTE($LJ7,"~","~~"),"*","~*"),"?","~?"))&gt;1,"Aptidão/Bênção repetida","")</f>
        <v/>
      </c>
      <c r="LU7">
        <f>IF(AND(NOT(OR(FALSE)),AND($LI7="Circulação",COUNTIF($LI$2:$LI6,"Energia Reversa")=0)),"Exige aquisição anterior: Energia Reversa","")</f>
        <v/>
      </c>
      <c r="LV7">
        <f>IF(AND(NOT(OR(FALSE)),AND($LI7="Regravação",COUNTIF($LI$2:$LI6,"Circulação")=0)),"Exige aquisição anterior: Circulação","")</f>
        <v/>
      </c>
      <c r="LW7">
        <f>IF(AND(NOT(OR(FALSE)),AND($LI7="Cortina",COUNTIF($LI$2:$LI6,"Barreira Simples")=0)),"Exige aquisição anterior: Barreira Simples","")</f>
        <v/>
      </c>
      <c r="LX7">
        <f>IF(AND(NOT(OR(FALSE)),AND($LI7="Ritual",'FICHA'!AB19&lt;5)),"Exige Inteligência 5","")</f>
        <v/>
      </c>
      <c r="LY7">
        <f>IF(AND(NOT(OR(FALSE)),AND($LI7="Ímpeto",'FICHA'!L19&lt;4)),"Exige Destreza 4","")</f>
        <v/>
      </c>
      <c r="LZ7">
        <f>IF(AND(NOT(OR(FALSE)),AND($LI7="Casco",'FICHA'!T19&lt;4)),"Exige Constituição 4","")</f>
        <v/>
      </c>
      <c r="MA7">
        <f>IF(AND(NOT(OR(FALSE)),AND($LI7="Presilha",'FICHA'!D19&lt;4)),"Exige Força 4","")</f>
        <v/>
      </c>
      <c r="MB7">
        <f>IF(AND(NOT(OR(FALSE)),AND($LI7="Antecipar",'FICHA'!AB19&lt;4)),"Exige Inteligência 4","")</f>
        <v/>
      </c>
      <c r="MC7">
        <f>IF(AND(NOT(OR(FALSE)),AND($LI7="Sangue Frio",'FICHA'!T19&lt;4)),"Exige Constituição 4","")</f>
        <v/>
      </c>
      <c r="MD7">
        <f>IF(AND(NOT(OR(FALSE)),AND($LI7="Assombro",'FICHA'!AJ19&lt;4)),"Exige Essência 4","")</f>
        <v/>
      </c>
      <c r="ME7">
        <f>IF(AND(NOT(OR(FALSE)),$LI7="Cesta Oca de Vime"),"Conferir Encarnado ou treino em História","")</f>
        <v/>
      </c>
      <c r="MF7">
        <f>IF(AND(NOT(OR(FALSE)),$LI7="Pétala"),"Conferir Descendente ou aprendizado de clã","")</f>
        <v/>
      </c>
      <c r="MG7">
        <f>IF(AND(NOT(OR(FALSE)),$LI7="Domínio Simples"),"Conferir aprendizado de Domínio Simples","")</f>
        <v/>
      </c>
      <c r="MH7">
        <f>IF(AND(NOT(OR(FALSE)),$LI7="Extensão de Domínio"),"Conferir aprendizado de Extensão de Domínio","")</f>
        <v/>
      </c>
      <c r="MI7">
        <f>IF(AND(NOT(OR(FALSE)),$LI7="Ritual"),"Conferir Técnica Inata","")</f>
        <v/>
      </c>
      <c r="MJ7">
        <f>IF(AND(NOT(OR(FALSE)),AND($LI7="Represália",MAX('FICHA'!D19,'FICHA'!L19)&lt;4)),"Exige Força ou Destreza 4","")</f>
        <v/>
      </c>
    </row>
    <row r="8">
      <c r="C8" s="162" t="inlineStr">
        <is>
          <t>o que escala</t>
        </is>
      </c>
      <c r="D8" s="162" t="inlineStr">
        <is>
          <t>O refino escala</t>
        </is>
      </c>
      <c r="E8" s="162" t="inlineStr">
        <is>
          <t>O refino escala</t>
        </is>
      </c>
      <c r="F8" s="162" t="inlineStr">
        <is>
          <t>O refino escala</t>
        </is>
      </c>
      <c r="G8" s="162" t="inlineStr">
        <is>
          <t>A Lapidação escala</t>
        </is>
      </c>
      <c r="I8" s="162" t="inlineStr">
        <is>
          <t>Tempo</t>
        </is>
      </c>
      <c r="J8" s="164">
        <f>'FICHA AMALDIÇOADA'!$L$37&amp;""</f>
        <v/>
      </c>
      <c r="K8" s="164">
        <f>IF($J8="Livre",1,0)</f>
        <v/>
      </c>
      <c r="L8" s="164">
        <f>IF($J8="Fechada",1,0)</f>
        <v/>
      </c>
      <c r="P8" s="164" t="n">
        <v>7</v>
      </c>
      <c r="Q8" s="164" t="n">
        <v>4</v>
      </c>
      <c r="R8" s="164" t="n">
        <v>7</v>
      </c>
      <c r="S8" s="164" t="n">
        <v>11</v>
      </c>
      <c r="T8" s="164" t="n">
        <v>1</v>
      </c>
      <c r="U8" s="164" t="n">
        <v>3</v>
      </c>
      <c r="V8" s="164" t="n">
        <v>7</v>
      </c>
      <c r="W8" s="164" t="n">
        <v>4</v>
      </c>
      <c r="Y8" s="162" t="inlineStr">
        <is>
          <t>Cura</t>
        </is>
      </c>
      <c r="Z8" s="162" t="inlineStr">
        <is>
          <t>Amparo</t>
        </is>
      </c>
      <c r="AA8" s="164" t="n">
        <v>2</v>
      </c>
      <c r="AB8" s="164">
        <f>IF($AA8=0,0,$AA8+3*IFERROR(VLOOKUP($Z8,'DADOS_CRIACAO'!$H$2:$K$20,3,FALSE),0))</f>
        <v/>
      </c>
      <c r="AC8" s="164">
        <f>IFERROR(VLOOKUP($Z8,'DADOS_CRIACAO'!$H$2:$K$20,4,FALSE),0)</f>
        <v/>
      </c>
      <c r="AD8" s="164" t="n">
        <v>0</v>
      </c>
      <c r="AE8" s="164" t="n">
        <v>1</v>
      </c>
      <c r="AF8" s="162" t="inlineStr">
        <is>
          <t>Automático</t>
        </is>
      </c>
      <c r="AG8" s="164" t="n">
        <v>0</v>
      </c>
      <c r="AH8" s="164" t="n">
        <v>1</v>
      </c>
      <c r="AI8" s="164" t="n">
        <v>0</v>
      </c>
      <c r="AJ8" s="164" t="n">
        <v>0</v>
      </c>
      <c r="AK8" s="164" t="n">
        <v>0</v>
      </c>
      <c r="AL8" s="164">
        <f>IF($AC8=1,"",$Y8)</f>
        <v/>
      </c>
      <c r="AM8" s="164">
        <f>IF(AND($AK8=1,$AC8=0),$Y8,"")</f>
        <v/>
      </c>
      <c r="AO8" s="162" t="inlineStr">
        <is>
          <t>Explosão · classe 0</t>
        </is>
      </c>
      <c r="AP8" s="162" t="inlineStr">
        <is>
          <t>Raio 3 m</t>
        </is>
      </c>
      <c r="AQ8" s="162" t="inlineStr">
        <is>
          <t>Raio 4,5 m</t>
        </is>
      </c>
      <c r="AR8" s="162" t="inlineStr">
        <is>
          <t>Raio 6 m</t>
        </is>
      </c>
      <c r="AS8" s="162" t="inlineStr">
        <is>
          <t>Raio 9 m</t>
        </is>
      </c>
      <c r="AT8" s="162" t="inlineStr">
        <is>
          <t>Raio 15 m</t>
        </is>
      </c>
      <c r="AU8" s="162" t="inlineStr">
        <is>
          <t>Raio 15 m</t>
        </is>
      </c>
      <c r="AV8" s="162" t="inlineStr">
        <is>
          <t>, a 9 m</t>
        </is>
      </c>
      <c r="AW8" s="162" t="inlineStr">
        <is>
          <t>, a 18 m</t>
        </is>
      </c>
      <c r="AX8" s="162" t="inlineStr">
        <is>
          <t>, a 36 m</t>
        </is>
      </c>
      <c r="AY8" s="162" t="inlineStr">
        <is>
          <t>, a 90 m</t>
        </is>
      </c>
      <c r="AZ8" s="162" t="inlineStr">
        <is>
          <t>, a visão a olho nu</t>
        </is>
      </c>
      <c r="BA8" s="162" t="inlineStr">
        <is>
          <t>, a visão a olho nu</t>
        </is>
      </c>
      <c r="BC8" s="162" t="inlineStr">
        <is>
          <t>Maior</t>
        </is>
      </c>
      <c r="BD8" s="162" t="inlineStr">
        <is>
          <t>Área</t>
        </is>
      </c>
      <c r="BE8" s="164" t="n">
        <v>1</v>
      </c>
      <c r="BF8" s="164">
        <f>$BE8+3*IFERROR(VLOOKUP($BD8,'DADOS_CRIACAO'!$H$2:$K$20,3,FALSE),0)</f>
        <v/>
      </c>
      <c r="BG8" s="164">
        <f>IFERROR(VLOOKUP($BD8,'DADOS_CRIACAO'!$H$2:$K$20,4,FALSE),0)</f>
        <v/>
      </c>
      <c r="BH8" s="164" t="n">
        <v>0</v>
      </c>
      <c r="BI8" s="164">
        <f>IF($BG8=1,"",$BC8)</f>
        <v/>
      </c>
      <c r="BJ8" s="164">
        <f>IF(AND($BE8=1,$BG8=0),$BC8,"")</f>
        <v/>
      </c>
      <c r="BK8" s="164" t="n">
        <v>0</v>
      </c>
      <c r="BM8" s="162" t="inlineStr">
        <is>
          <t>Recuo (Leve)</t>
        </is>
      </c>
      <c r="BN8" s="162" t="inlineStr">
        <is>
          <t>Recuo</t>
        </is>
      </c>
      <c r="BO8" s="164" t="n">
        <v>1</v>
      </c>
      <c r="BP8" s="164" t="n">
        <v>0</v>
      </c>
      <c r="BQ8" s="162" t="inlineStr">
        <is>
          <t>Recuo (Leve)</t>
        </is>
      </c>
      <c r="BS8" s="162" t="inlineStr">
        <is>
          <t>Fluxo</t>
        </is>
      </c>
      <c r="BT8" s="164" t="n">
        <v>2</v>
      </c>
      <c r="BU8" s="162" t="inlineStr">
        <is>
          <t>Ao conjurar um feitiço de Classe 3 ou maior, você recebe 2 × a Classe usada em pontos de vida temporária. Uma conjuração concede a reserva uma vez, mesmo que alcance vários alvos ou produza vários ataques.</t>
        </is>
      </c>
      <c r="BV8" s="164" t="n">
        <v>1</v>
      </c>
      <c r="BW8" s="164" t="n">
        <v>0</v>
      </c>
      <c r="BX8" s="164">
        <f>IF(OR(AND($A$2&lt;=2,$BV8=1),AND($A$2&gt;=2,$BW8=1)),$BS8,"")</f>
        <v/>
      </c>
      <c r="BY8" s="162" t="inlineStr">
        <is>
          <t>Ao conjurar um feitiço de Classe 3 ou maior, você recebe 2 × a Classe usada em pontos de vida temporária. Uma conjuração concede a reserva uma vez, mesmo que alcance vários alvos ou produza vários ataques.</t>
        </is>
      </c>
      <c r="CD8" s="162" t="inlineStr">
        <is>
          <t>Kokusen Melhorado</t>
        </is>
      </c>
      <c r="CE8" s="162" t="inlineStr">
        <is>
          <t>Refino 5 e nível 14</t>
        </is>
      </c>
      <c r="CF8" s="162" t="inlineStr">
        <is>
          <t>—</t>
        </is>
      </c>
      <c r="CG8" s="162" t="inlineStr">
        <is>
          <t>—</t>
        </is>
      </c>
      <c r="CH8" s="162" t="inlineStr">
        <is>
          <t>Em cada teste de Kokusen, role dois d100 e use o menor. Se os dois resultados falharem, acrescente +2 ao bônus acumulado uma vez, não duas.</t>
        </is>
      </c>
      <c r="CI8" s="164">
        <f>IF($CL8=1,"",IF($A$2=4,IF($CJ8=1,$CD8,""),IF(OR($CJ8=1,AND($A$2=3,$CK8=1)),"",$CD8)))</f>
        <v/>
      </c>
      <c r="CJ8" s="164" t="n">
        <v>0</v>
      </c>
      <c r="CK8" s="164" t="n">
        <v>0</v>
      </c>
      <c r="CL8" s="164" t="n">
        <v>0</v>
      </c>
      <c r="CM8" s="162" t="inlineStr">
        <is>
          <t>Em cada teste de Kokusen, role dois d100 e use o menor. Se os dois resultados falharem, acrescente +2 ao bônus acumulado uma vez, não duas.</t>
        </is>
      </c>
      <c r="CU8" s="162" t="inlineStr">
        <is>
          <t>Lâmina Longa</t>
        </is>
      </c>
      <c r="CV8" s="164" t="n">
        <v>1</v>
      </c>
      <c r="CW8" s="164" t="n">
        <v>1</v>
      </c>
      <c r="CX8" s="164">
        <f>IF(AND($A$2&gt;=3,'FICHA AMALDIÇOADA'!$J$16&amp;""="Três grupos de arma"),$CU8,"")</f>
        <v/>
      </c>
      <c r="DY8" s="162" t="inlineStr">
        <is>
          <t>Feitiço 7</t>
        </is>
      </c>
      <c r="DZ8" s="164" t="n">
        <v>0</v>
      </c>
      <c r="EA8" s="164" t="n">
        <v>7</v>
      </c>
      <c r="EB8" s="164">
        <f>MAX(1,MIN(7,N('FICHA AMALDIÇOADA'!$D$106)))</f>
        <v/>
      </c>
      <c r="EC8" s="164">
        <f>'FICHA AMALDIÇOADA'!$E$106&amp;""</f>
        <v/>
      </c>
      <c r="ED8" s="164">
        <f>'FICHA AMALDIÇOADA'!$D$113&amp;""</f>
        <v/>
      </c>
      <c r="EE8" s="164">
        <f>'FICHA AMALDIÇOADA'!$E$115&amp;""</f>
        <v/>
      </c>
      <c r="EF8" s="164">
        <f>'FICHA AMALDIÇOADA'!$E$116&amp;""</f>
        <v/>
      </c>
      <c r="EG8" s="164">
        <f>'FICHA AMALDIÇOADA'!$E$117&amp;""</f>
        <v/>
      </c>
      <c r="EH8" s="164">
        <f>'FICHA AMALDIÇOADA'!$E$118&amp;""</f>
        <v/>
      </c>
      <c r="EI8" s="164">
        <f>'FICHA AMALDIÇOADA'!$E$119&amp;""</f>
        <v/>
      </c>
      <c r="EJ8" s="164">
        <f>'FICHA AMALDIÇOADA'!$E$120&amp;""</f>
        <v/>
      </c>
      <c r="EK8" s="164">
        <f>IF($EC8&lt;&gt;"",1,0)</f>
        <v/>
      </c>
      <c r="EL8" s="164">
        <f>IFERROR(MATCH(SUBSTITUTE(SUBSTITUTE(SUBSTITUTE($ED8,"~","~~"),"*","~*"),"?","~?"),'DADOS_FORMAS'!$FJ$2:$FJ$21,0),0)</f>
        <v/>
      </c>
      <c r="EM8" s="164">
        <f>IF($EL8=0,0,INDEX('DADOS_FORMAS'!$FM$2:$FM$21,$EL8))</f>
        <v/>
      </c>
      <c r="EN8" s="164">
        <f>IFERROR(VLOOKUP(SUBSTITUTE(SUBSTITUTE(SUBSTITUTE($EE8,"~","~~"),"*","~*"),"?","~?"),'DADOS_MELHORIAS'!$O$2:$W$113,4,FALSE),0)</f>
        <v/>
      </c>
      <c r="EO8" s="164">
        <f>IFERROR(VLOOKUP(SUBSTITUTE(SUBSTITUTE(SUBSTITUTE($EF8,"~","~~"),"*","~*"),"?","~?"),'DADOS_MELHORIAS'!$O$2:$W$113,4,FALSE),0)</f>
        <v/>
      </c>
      <c r="EP8" s="164">
        <f>IFERROR(VLOOKUP(SUBSTITUTE(SUBSTITUTE(SUBSTITUTE($EG8,"~","~~"),"*","~*"),"?","~?"),'DADOS_MELHORIAS'!$O$2:$W$113,4,FALSE),0)</f>
        <v/>
      </c>
      <c r="EQ8" s="164">
        <f>IFERROR(VLOOKUP(SUBSTITUTE(SUBSTITUTE(SUBSTITUTE($EH8,"~","~~"),"*","~*"),"?","~?"),'DADOS_MELHORIAS'!$O$2:$W$113,4,FALSE),0)</f>
        <v/>
      </c>
      <c r="ER8" s="164">
        <f>IF($EL8=0,0,INDEX('DADOS_FORMAS'!$FN$2:$FN$21,$EL8))</f>
        <v/>
      </c>
      <c r="ES8" s="164">
        <f>IFERROR(VLOOKUP(SUBSTITUTE(SUBSTITUTE(SUBSTITUTE($EE8,"~","~~"),"*","~*"),"?","~?"),'DADOS_MELHORIAS'!$O$2:$W$113,5,FALSE),0)</f>
        <v/>
      </c>
      <c r="ET8" s="164">
        <f>IFERROR(VLOOKUP(SUBSTITUTE(SUBSTITUTE(SUBSTITUTE($EF8,"~","~~"),"*","~*"),"?","~?"),'DADOS_MELHORIAS'!$O$2:$W$113,5,FALSE),0)</f>
        <v/>
      </c>
      <c r="EU8" s="164">
        <f>IFERROR(VLOOKUP(SUBSTITUTE(SUBSTITUTE(SUBSTITUTE($EG8,"~","~~"),"*","~*"),"?","~?"),'DADOS_MELHORIAS'!$O$2:$W$113,5,FALSE),0)</f>
        <v/>
      </c>
      <c r="EV8" s="164">
        <f>IFERROR(VLOOKUP(SUBSTITUTE(SUBSTITUTE(SUBSTITUTE($EH8,"~","~~"),"*","~*"),"?","~?"),'DADOS_MELHORIAS'!$O$2:$W$113,5,FALSE),0)</f>
        <v/>
      </c>
      <c r="EW8" s="164">
        <f>IFERROR(VLOOKUP(SUBSTITUTE(SUBSTITUTE(SUBSTITUTE($EE8,"~","~~"),"*","~*"),"?","~?"),'DADOS_MELHORIAS'!$O$2:$W$113,6,FALSE),0)+IFERROR(VLOOKUP(SUBSTITUTE(SUBSTITUTE(SUBSTITUTE($EF8,"~","~~"),"*","~*"),"?","~?"),'DADOS_MELHORIAS'!$O$2:$W$113,6,FALSE),0)+IFERROR(VLOOKUP(SUBSTITUTE(SUBSTITUTE(SUBSTITUTE($EG8,"~","~~"),"*","~*"),"?","~?"),'DADOS_MELHORIAS'!$O$2:$W$113,6,FALSE),0)+IFERROR(VLOOKUP(SUBSTITUTE(SUBSTITUTE(SUBSTITUTE($EH8,"~","~~"),"*","~*"),"?","~?"),'DADOS_MELHORIAS'!$O$2:$W$113,6,FALSE),0)</f>
        <v/>
      </c>
      <c r="EX8" s="164">
        <f>IFERROR(VLOOKUP(SUBSTITUTE(SUBSTITUTE(SUBSTITUTE($EE8,"~","~~"),"*","~*"),"?","~?"),'DADOS_MELHORIAS'!$O$2:$W$113,9,FALSE),0)+IFERROR(VLOOKUP(SUBSTITUTE(SUBSTITUTE(SUBSTITUTE($EF8,"~","~~"),"*","~*"),"?","~?"),'DADOS_MELHORIAS'!$O$2:$W$113,9,FALSE),0)+IFERROR(VLOOKUP(SUBSTITUTE(SUBSTITUTE(SUBSTITUTE($EG8,"~","~~"),"*","~*"),"?","~?"),'DADOS_MELHORIAS'!$O$2:$W$113,9,FALSE),0)+IFERROR(VLOOKUP(SUBSTITUTE(SUBSTITUTE(SUBSTITUTE($EH8,"~","~~"),"*","~*"),"?","~?"),'DADOS_MELHORIAS'!$O$2:$W$113,9,FALSE),0)</f>
        <v/>
      </c>
      <c r="EY8" s="164">
        <f>IF($EL8=0,0,INDEX('DADOS_FORMAS'!$FO$2:$FO$21,$EL8))</f>
        <v/>
      </c>
      <c r="EZ8" s="164">
        <f>IF($EL8=0,0,INDEX('DADOS_FORMAS'!$FP$2:$FP$21,$EL8))</f>
        <v/>
      </c>
      <c r="FA8" s="164">
        <f>IF($EL8=0,0,INDEX('DADOS_FORMAS'!$FR$2:$FR$21,$EL8))</f>
        <v/>
      </c>
      <c r="FB8" s="164">
        <f>IFERROR(VLOOKUP(SUBSTITUTE(SUBSTITUTE(SUBSTITUTE($EI8,"~","~~"),"*","~*"),"?","~?"),'DADOS_RESTRICOES'!$M$2:$Q$54,3,FALSE),0)</f>
        <v/>
      </c>
      <c r="FC8" s="164">
        <f>IFERROR(VLOOKUP(SUBSTITUTE(SUBSTITUTE(SUBSTITUTE($EJ8,"~","~~"),"*","~*"),"?","~?"),'DADOS_RESTRICOES'!$M$2:$Q$54,3,FALSE),0)</f>
        <v/>
      </c>
      <c r="FD8" s="164">
        <f>IFERROR(VLOOKUP(SUBSTITUTE(SUBSTITUTE(SUBSTITUTE($EI8,"~","~~"),"*","~*"),"?","~?"),'DADOS_RESTRICOES'!$M$2:$Q$54,2,FALSE),"")</f>
        <v/>
      </c>
      <c r="FE8" s="164">
        <f>IFERROR(VLOOKUP(SUBSTITUTE(SUBSTITUTE(SUBSTITUTE($EJ8,"~","~~"),"*","~*"),"?","~?"),'DADOS_RESTRICOES'!$M$2:$Q$54,2,FALSE),"")</f>
        <v/>
      </c>
      <c r="FF8" s="164">
        <f>COUNTIF($EM8:$EQ8,1)</f>
        <v/>
      </c>
      <c r="FG8" s="164">
        <f>COUNTIF($EM8:$EQ8,2)</f>
        <v/>
      </c>
      <c r="FH8" s="164">
        <f>COUNTIF($EM8:$EQ8,3)</f>
        <v/>
      </c>
      <c r="FI8" s="164">
        <f>COUNTIF($EM8:$EQ8,4)</f>
        <v/>
      </c>
      <c r="FJ8" s="164">
        <f>COUNTIF($EM8:$EQ8,5)</f>
        <v/>
      </c>
      <c r="FK8" s="164">
        <f>COUNTIF($EM8:$EQ8,6)</f>
        <v/>
      </c>
      <c r="FL8" s="164">
        <f>COUNTIF($FB8:$FC8,1)+IF(IFERROR(INDEX('DADOS_FORMAS'!$AS$2:$AS$21,MATCH(SUBSTITUTE(SUBSTITUTE(SUBSTITUTE($ED8,"~","~~"),"*","~*"),"?","~?"),'DADOS_FORMAS'!$AH$2:$AH$21,0)),"")="",0,IFERROR(N(VLOOKUP(SUBSTITUTE(SUBSTITUTE(SUBSTITUTE(IFERROR(INDEX('DADOS_FORMAS'!$AS$2:$AS$21,MATCH(SUBSTITUTE(SUBSTITUTE(SUBSTITUTE($ED8,"~","~~"),"*","~*"),"?","~?"),'DADOS_FORMAS'!$AH$2:$AH$21,0)),""),"~","~~"),"*","~*"),"?","~?"),'DADOS_RESTRICOES'!$M$2:$Q$54,3,FALSE)=1),0))</f>
        <v/>
      </c>
      <c r="FM8" s="164">
        <f>COUNTIF($FB8:$FC8,2)+IF(IFERROR(INDEX('DADOS_FORMAS'!$AS$2:$AS$21,MATCH(SUBSTITUTE(SUBSTITUTE(SUBSTITUTE($ED8,"~","~~"),"*","~*"),"?","~?"),'DADOS_FORMAS'!$AH$2:$AH$21,0)),"")="",0,IFERROR(N(VLOOKUP(SUBSTITUTE(SUBSTITUTE(SUBSTITUTE(IFERROR(INDEX('DADOS_FORMAS'!$AS$2:$AS$21,MATCH(SUBSTITUTE(SUBSTITUTE(SUBSTITUTE($ED8,"~","~~"),"*","~*"),"?","~?"),'DADOS_FORMAS'!$AH$2:$AH$21,0)),""),"~","~~"),"*","~*"),"?","~?"),'DADOS_RESTRICOES'!$M$2:$Q$54,3,FALSE)=2),0))</f>
        <v/>
      </c>
      <c r="FN8" s="164">
        <f>COUNTIF($EE8:$EH8,"?*")</f>
        <v/>
      </c>
      <c r="FO8" s="164">
        <f>COUNTIF($EI8:$EJ8,"?*")+$EY8</f>
        <v/>
      </c>
      <c r="FP8" s="164">
        <f>SUMPRODUCT($FF8:$FK8,INDEX($Q$2:$V$8,$EB8,0))</f>
        <v/>
      </c>
      <c r="FQ8" s="164">
        <f>$FL8*CEILING($EB8/2,1)+$FM8*$EB8</f>
        <v/>
      </c>
      <c r="FR8" s="164">
        <f>MIN(2*$EB8,$FQ8)</f>
        <v/>
      </c>
      <c r="FS8" s="164">
        <f>MIN($FR8,$FP8-IF($EM8=0,0,INDEX($Q$2:$V$8,$EB8,$EM8)))</f>
        <v/>
      </c>
      <c r="FT8" s="164">
        <f>$FR8-$FS8</f>
        <v/>
      </c>
      <c r="FU8" s="164">
        <f>3*$EB8-$FP8+$FS8</f>
        <v/>
      </c>
      <c r="FV8" s="164">
        <f>MAX(0,$FU8)+$DZ8*$EB8</f>
        <v/>
      </c>
      <c r="FW8" s="164">
        <f>(IF(COUNTIF($KW8:$KZ8,"Salto")&gt;0,1,0)+IF(COUNTIF($KW8:$KZ8,"Queima")&gt;0,1,0)+IF(COUNTIF($KW8:$KZ8,"Estilhaço")&gt;0,1,0))*FLOOR($FV8/2,1)</f>
        <v/>
      </c>
      <c r="FX8" s="164">
        <f>MAX(0,3-SUMPRODUCT($FF8:$FK8,$Q$2:$V$2)+MIN(2,$FL8*1+$FM8*1,SUMPRODUCT($FF8:$FK8,$Q$2:$V$2)-IF($EM8=0,0,INDEX($Q$2:$V$2,1,$EM8))))+$DZ8*1</f>
        <v/>
      </c>
      <c r="FY8" s="164">
        <f>MAX(0,6-SUMPRODUCT($FF8:$FK8,$Q$3:$V$3)+MIN(4,$FL8*1+$FM8*2,SUMPRODUCT($FF8:$FK8,$Q$3:$V$3)-IF($EM8=0,0,INDEX($Q$3:$V$3,1,$EM8))))+$DZ8*2</f>
        <v/>
      </c>
      <c r="FZ8" s="164">
        <f>MAX(0,9-SUMPRODUCT($FF8:$FK8,$Q$4:$V$4)+MIN(6,$FL8*2+$FM8*3,SUMPRODUCT($FF8:$FK8,$Q$4:$V$4)-IF($EM8=0,0,INDEX($Q$4:$V$4,1,$EM8))))+$DZ8*3</f>
        <v/>
      </c>
      <c r="GA8" s="164">
        <f>MAX(0,12-SUMPRODUCT($FF8:$FK8,$Q$5:$V$5)+MIN(8,$FL8*2+$FM8*4,SUMPRODUCT($FF8:$FK8,$Q$5:$V$5)-IF($EM8=0,0,INDEX($Q$5:$V$5,1,$EM8))))+$DZ8*4</f>
        <v/>
      </c>
      <c r="GB8" s="164">
        <f>MAX(0,15-SUMPRODUCT($FF8:$FK8,$Q$6:$V$6)+MIN(10,$FL8*3+$FM8*5,SUMPRODUCT($FF8:$FK8,$Q$6:$V$6)-IF($EM8=0,0,INDEX($Q$6:$V$6,1,$EM8))))+$DZ8*5</f>
        <v/>
      </c>
      <c r="GC8" s="164">
        <f>MAX(0,18-SUMPRODUCT($FF8:$FK8,$Q$7:$V$7)+MIN(12,$FL8*3+$FM8*6,SUMPRODUCT($FF8:$FK8,$Q$7:$V$7)-IF($EM8=0,0,INDEX($Q$7:$V$7,1,$EM8))))+$DZ8*6</f>
        <v/>
      </c>
      <c r="GD8" s="164">
        <f>MAX(0,21-SUMPRODUCT($FF8:$FK8,$Q$8:$V$8)+MIN(14,$FL8*4+$FM8*7,SUMPRODUCT($FF8:$FK8,$Q$8:$V$8)-IF($EM8=0,0,INDEX($Q$8:$V$8,1,$EM8))))+$DZ8*7</f>
        <v/>
      </c>
      <c r="GE8" s="164">
        <f>IF($EZ8=2,3*$FX8&amp;" de vida temp.",IF($EZ8=3,"sem dano",IF($FX8=0,IF($EZ8=1,"sem cura","sem dano"),IF($EZ8=1,"cura ","")&amp;$FX8&amp;"d8")))</f>
        <v/>
      </c>
      <c r="GF8" s="164">
        <f>IF($EZ8=2,3*$FY8&amp;" de vida temp.",IF($EZ8=3,"sem dano",IF($FY8=0,IF($EZ8=1,"sem cura","sem dano"),IF($EZ8=1,"cura ","")&amp;$FY8&amp;"d8")))</f>
        <v/>
      </c>
      <c r="GG8" s="164">
        <f>IF($EZ8=2,3*$FZ8&amp;" de vida temp.",IF($EZ8=3,"sem dano",IF($FZ8=0,IF($EZ8=1,"sem cura","sem dano"),IF($EZ8=1,"cura ","")&amp;$FZ8&amp;"d8")))</f>
        <v/>
      </c>
      <c r="GH8" s="164">
        <f>IF($EZ8=2,3*$GA8&amp;" de vida temp.",IF($EZ8=3,"sem dano",IF($GA8=0,IF($EZ8=1,"sem cura","sem dano"),IF($EZ8=1,"cura ","")&amp;$GA8&amp;"d8")))</f>
        <v/>
      </c>
      <c r="GI8" s="164">
        <f>IF($EZ8=2,3*$GB8&amp;" de vida temp.",IF($EZ8=3,"sem dano",IF($GB8=0,IF($EZ8=1,"sem cura","sem dano"),IF($EZ8=1,"cura ","")&amp;$GB8&amp;"d8")))</f>
        <v/>
      </c>
      <c r="GJ8" s="164">
        <f>IF($EZ8=2,3*$GC8&amp;" de vida temp.",IF($EZ8=3,"sem dano",IF($GC8=0,IF($EZ8=1,"sem cura","sem dano"),IF($EZ8=1,"cura ","")&amp;$GC8&amp;"d8")))</f>
        <v/>
      </c>
      <c r="GK8" s="164">
        <f>IF($EZ8=2,3*$GD8&amp;" de vida temp.",IF($EZ8=3,"sem dano",IF($GD8=0,IF($EZ8=1,"sem cura","sem dano"),IF($EZ8=1,"cura ","")&amp;$GD8&amp;"d8")))</f>
        <v/>
      </c>
      <c r="GL8" s="164">
        <f>IF($EK8=0,"",TEXTJOIN(" · ",TRUE,IF($EK8=0,"",TEXTJOIN(" · ",TRUE,IF($EK8=0,"",TEXTJOIN(" · ",TRUE,IF(AND($DZ8=1,$EA8&gt;$HM$9),"O nível "&amp;$HM$2&amp;" dá "&amp;$HM$9&amp;" Liberação Máxima",""),IF($EB8&gt;$HM$4,"Classe "&amp;$EB8&amp;": o nível "&amp;$HM$2&amp;" libera até a "&amp;$HM$4,""),IF($ER8=1,"Família Fechada: a Forma "&amp;$ED8,""),IF($ES8=1,"Família Fechada: "&amp;$EE8,""),IF($ET8=1,"Família Fechada: "&amp;$EF8,""),IF($EU8=1,"Família Fechada: "&amp;$EG8,""),IF($EV8=1,"Família Fechada: "&amp;$EH8,""),IF($FN8&gt;INDEX($W$2:$W$8,$EB8),$FN8&amp;" Melhorias: a Classe "&amp;$EB8&amp;" aceita "&amp;INDEX($W$2:$W$8,$EB8),""),IF($FO8&gt;2,$FO8&amp;" Restrições"&amp;IF($EY8=1,", contando a que a Forma "&amp;$ED8&amp;" já traz","")&amp;": o limite é 2",""),IF($FU8&lt;0,"Orçamento estourado: faltam "&amp;(-$FU8)&amp;IF($FU8&lt;-1," pontos"," ponto"),""),IF(IFERROR(VLOOKUP(SUBSTITUTE(SUBSTITUTE(SUBSTITUTE($EI8,"~","~~"),"*","~*"),"?","~?"),'DADOS_RESTRICOES'!$M$2:$Q$54,4,FALSE),0)+IFERROR(VLOOKUP(SUBSTITUTE(SUBSTITUTE(SUBSTITUTE($EJ8,"~","~~"),"*","~*"),"?","~?"),'DADOS_RESTRICOES'!$M$2:$Q$54,4,FALSE),0)&gt;1,$FD8&amp;" e "&amp;$FE8&amp;" são as duas de frequência",""),IF(AND((COUNTIF($KW8:$KZ8,"Rápido")+COUNTIF($FD8:$FE8,"Rápido"))&gt;0,(COUNTIF($EE8:$EH8,"Atrasar")+COUNTIF($FD8:$FE8,"Atrasar"))&gt;0),"Rápido não entra com Atrasar",""),IF(AND((COUNTIF($KW8:$KZ8,"Reação")+COUNTIF($FD8:$FE8,"Reação"))&gt;0,(COUNTIF($KW8:$KZ8,"Rápido")+COUNTIF($FD8:$FE8,"Rápido"))&gt;0),"Reação não entra com Rápido",""),IF(AND((COUNTIF($KW8:$KZ8,"Reação")+COUNTIF($FD8:$FE8,"Reação"))&gt;0,(COUNTIF($KW8:$KZ8,"Armado")+COUNTIF($FD8:$FE8,"Armado"))&gt;0),"Reação não entra com Armado",""),IF(AND((COUNTIF($KW8:$KZ8,"Reação")+COUNTIF($FD8:$FE8,"Reação"))&gt;0,(COUNTIF($EE8:$EH8,"Atrasar")+COUNTIF($FD8:$FE8,"Atrasar"))&gt;0),"Reação não entra com Atrasar",""),IF(AND((COUNTIF($KW8:$KZ8,"Reação")+COUNTIF($FD8:$FE8,"Reação"))&gt;0,(COUNTIF($EE8:$EH8,"Parado")+COUNTIF($FD8:$FE8,"Parado"))&gt;0),"Reação não entra com Parado",""),IF(AND((COUNTIF($EE8:$EH8,"Atrasar")+COUNTIF($FD8:$FE8,"Atrasar"))&gt;0,(COUNTIF($EE8:$EH8,"Parado")+COUNTIF($FD8:$FE8,"Parado"))&gt;0),"Atrasar não entra com Parado",""),IF(AND((COUNTIF($KW8:$KZ8,"Armado")+COUNTIF($FD8:$FE8,"Armado"))&gt;0,(COUNTIF($EE8:$EH8,"Carregar")+COUNTIF($FD8:$FE8,"Carregar"))&gt;0),"Armado não entra com Carregar",""),IF(AND(COUNTIF($FD8:$FE8,"Corpo a Corpo")&gt;0,$EY8=0,OR($LB8="Cone",$LB8="Linha")),"Corpo a Corpo não entra em "&amp;$ED8,""),IF(AND(COUNTIF($FD8:$FE8,"Corpo a Corpo")&gt;0,$LC8="Corpo a Corpo"),"A Forma "&amp;$ED8&amp;" já traz o Corpo a Corpo",""),IF(AND(COUNTIF($FD8:$FE8,"Tudo ou Nada")&gt;0,$FA8=0),"Tudo ou Nada só entra em feitiço de Teste de Resistência",""),IF(AND(COUNTIF($KW8:$KZ8,"Inescapável")&gt;0,OR($FN8&gt;1,$FO8&gt;0)),"Inescapável não aceita outra peça",""),IF(AND($DZ8=1,$EB8&lt;3),"Liberação Máxima é de Classe 3 ou mais",""),IF(AND($DZ8=1,OR($EZ8=1,$EZ8=2)),"Liberação Máxima não serve para cura",""),IF(AND($DZ8=1,COUNTIF($KW8:$KZ8,"Inescapável")+COUNTIF($KW8:$KZ8,"Toca a Alma")&gt;0),"Esta peça não entra numa Liberação Máxima",""),IF($FV8*IF(COUNTIF($KW8:$KZ8,"Remate")&gt;0,1.25,1)+$FW8&gt;4*$EB8,($FV8*IF(COUNTIF($KW8:$KZ8,"Remate")&gt;0,1.25,1)+$FW8)&amp;" dados somando repetições"&amp;IF(COUNTIF($KW8:$KZ8,"Remate")&gt;0," e o Remate","")&amp;": o teto da Classe "&amp;$EB8&amp;" é "&amp;4*$EB8,""))),IF(AND($EE8&lt;&gt;"",COUNTIF('DADOS_MELHORIAS'!$O$2:$O$113,SUBSTITUTE(SUBSTITUTE(SUBSTITUTE($EE8,"~","~~"),"*","~*"),"?","~?"))=0),"Melhoria não cadastrada ou com erro: "&amp;$EE8,""),IF(AND($EF8&lt;&gt;"",COUNTIF('DADOS_MELHORIAS'!$O$2:$O$113,SUBSTITUTE(SUBSTITUTE(SUBSTITUTE($EF8,"~","~~"),"*","~*"),"?","~?"))=0),"Melhoria não cadastrada ou com erro: "&amp;$EF8,""),IF(AND($EG8&lt;&gt;"",COUNTIF('DADOS_MELHORIAS'!$O$2:$O$113,SUBSTITUTE(SUBSTITUTE(SUBSTITUTE($EG8,"~","~~"),"*","~*"),"?","~?"))=0),"Melhoria não cadastrada ou com erro: "&amp;$EG8,""),IF(AND($EH8&lt;&gt;"",COUNTIF('DADOS_MELHORIAS'!$O$2:$O$113,SUBSTITUTE(SUBSTITUTE(SUBSTITUTE($EH8,"~","~~"),"*","~*"),"?","~?"))=0),"Melhoria não cadastrada ou com erro: "&amp;$EH8,""),IF(AND($EI8&lt;&gt;"",COUNTIF('DADOS_RESTRICOES'!$M$2:$M$54,SUBSTITUTE(SUBSTITUTE(SUBSTITUTE($EI8,"~","~~"),"*","~*"),"?","~?"))=0),"Restrição não cadastrada ou com erro: "&amp;$EI8,""),IF(AND($EJ8&lt;&gt;"",COUNTIF('DADOS_RESTRICOES'!$M$2:$M$54,SUBSTITUTE(SUBSTITUTE(SUBSTITUTE($EJ8,"~","~~"),"*","~*"),"?","~?"))=0),"Restrição não cadastrada ou com erro: "&amp;$EJ8,""))),IF(AND($ED8&lt;&gt;"",COUNTIF('DADOS_FORMAS'!$AH$2:$AH$21,SUBSTITUTE(SUBSTITUTE(SUBSTITUTE($ED8,"~","~~"),"*","~*"),"?","~?"))=0),"Forma não cadastrada ou com erro: "&amp;$ED8,""),IF(AND(IFERROR(INDEX('DADOS_FORMAS'!$AS$2:$AS$21,MATCH(SUBSTITUTE(SUBSTITUTE(SUBSTITUTE($ED8,"~","~~"),"*","~*"),"?","~?"),'DADOS_FORMAS'!$AH$2:$AH$21,0)),"")&lt;&gt;"",OR(IFERROR(VLOOKUP(SUBSTITUTE(SUBSTITUTE(SUBSTITUTE(IFERROR(INDEX('DADOS_FORMAS'!$AS$2:$AS$21,MATCH(SUBSTITUTE(SUBSTITUTE(SUBSTITUTE($ED8,"~","~~"),"*","~*"),"?","~?"),'DADOS_FORMAS'!$AH$2:$AH$21,0)),""),"~","~~"),"*","~*"),"?","~?"),'DADOS_RESTRICOES'!$M$2:$Q$54,2,FALSE),"")=$FD8,IFERROR(VLOOKUP(SUBSTITUTE(SUBSTITUTE(SUBSTITUTE(IFERROR(INDEX('DADOS_FORMAS'!$AS$2:$AS$21,MATCH(SUBSTITUTE(SUBSTITUTE(SUBSTITUTE($ED8,"~","~~"),"*","~*"),"?","~?"),'DADOS_FORMAS'!$AH$2:$AH$21,0)),""),"~","~~"),"*","~*"),"?","~?"),'DADOS_RESTRICOES'!$M$2:$Q$54,2,FALSE),"")=$FE8)),"Restrição repetida, contando a embutida",""),IF(IF(IFERROR(INDEX('DADOS_FORMAS'!$AS$2:$AS$21,MATCH(SUBSTITUTE(SUBSTITUTE(SUBSTITUTE($ED8,"~","~~"),"*","~*"),"?","~?"),'DADOS_FORMAS'!$AH$2:$AH$21,0)),"")="",0,IFERROR(N(VLOOKUP(SUBSTITUTE(SUBSTITUTE(SUBSTITUTE(IFERROR(INDEX('DADOS_FORMAS'!$AS$2:$AS$21,MATCH(SUBSTITUTE(SUBSTITUTE(SUBSTITUTE($ED8,"~","~~"),"*","~*"),"?","~?"),'DADOS_FORMAS'!$AH$2:$AH$21,0)),""),"~","~~"),"*","~*"),"?","~?"),'DADOS_RESTRICOES'!$M$2:$Q$54,4,FALSE)=1),0))+IF($EI8="",0,IFERROR(N(VLOOKUP(SUBSTITUTE(SUBSTITUTE(SUBSTITUTE($EI8,"~","~~"),"*","~*"),"?","~?"),'DADOS_RESTRICOES'!$M$2:$Q$54,4,FALSE)=1),0))+IF($EJ8="",0,IFERROR(N(VLOOKUP(SUBSTITUTE(SUBSTITUTE(SUBSTITUTE($EJ8,"~","~~"),"*","~*"),"?","~?"),'DADOS_RESTRICOES'!$M$2:$Q$54,4,FALSE)=1),0))&gt;1,"Duas Restrições de frequência, contando a embutida",""),IF(AND(IFERROR(VLOOKUP(SUBSTITUTE(SUBSTITUTE(SUBSTITUTE(IFERROR(INDEX('DADOS_FORMAS'!$AS$2:$AS$21,MATCH(SUBSTITUTE(SUBSTITUTE(SUBSTITUTE($ED8,"~","~~"),"*","~*"),"?","~?"),'DADOS_FORMAS'!$AH$2:$AH$21,0)),""),"~","~~"),"*","~*"),"?","~?"),'DADOS_RESTRICOES'!$M$2:$Q$54,2,FALSE),"")="Tudo ou Nada",$FA8=0),"Tudo ou Nada exige TR",""),IF(AND(IFERROR(VLOOKUP(SUBSTITUTE(SUBSTITUTE(SUBSTITUTE(IFERROR(INDEX('DADOS_FORMAS'!$AS$2:$AS$21,MATCH(SUBSTITUTE(SUBSTITUTE(SUBSTITUTE($ED8,"~","~~"),"*","~*"),"?","~?"),'DADOS_FORMAS'!$AH$2:$AH$21,0)),""),"~","~~"),"*","~*"),"?","~?"),'DADOS_RESTRICOES'!$M$2:$Q$54,2,FALSE),"")="Corpo a Corpo",OR($LB8="Cone",$LB8="Linha")),"Corpo a Corpo não entra em Cone/Linha","")))</f>
        <v/>
      </c>
      <c r="GM8" s="164">
        <f>IF($GL8="",0,(LEN($GL8)-LEN(SUBSTITUTE($GL8," · ","")))/3+1)</f>
        <v/>
      </c>
      <c r="GN8" s="164">
        <f>IF($EK8=0,"",TEXTJOIN(" · ",TRUE,IF($FQ8&gt;2*$EB8,"A devolução parou no teto de "&amp;2*$EB8,""),IF($FT8&gt;0,"Devolução perdida: "&amp;$FT8&amp;IF($FT8&gt;1," pontos"," ponto")&amp;" sem Melhoria para pagar",""),IF(AND($EW8&gt;0,$FV8=0),"Controle sem dano: uma rodada a mais e CD +2",""),IF(AND($EW8&gt;0,$FV8&gt;0,$FV8&lt;=$EB8),"Controle com saldo até a Classe: uma rodada a mais","")))</f>
        <v/>
      </c>
      <c r="GO8" s="164">
        <f>IF($GN8="",0,(LEN($GN8)-LEN(SUBSTITUTE($GN8," · ","")))/3+1)</f>
        <v/>
      </c>
      <c r="GP8" s="164">
        <f>IF($EK8=0,IF($FN8+$FO8-$EY8&gt;0,"Dê um nome",""),IF($GM8&gt;0,"⚠ "&amp;$GM8&amp;IF($GM8&gt;1," erros"," erro"),IF($GO8&gt;0,"! "&amp;$GO8&amp;IF($GO8&gt;1," avisos"," aviso"),"Na regra")))</f>
        <v/>
      </c>
      <c r="GQ8" s="164">
        <f>IF($EK8=0,"",IF($GM8+$GO8=0,"Dentro das regras que a ficha confere",$GL8&amp;IF(AND($GM8&gt;0,$GO8&gt;0)," · ","")&amp;$GN8))</f>
        <v/>
      </c>
      <c r="GR8" s="164">
        <f>IF($EK8=0,"",IF($DZ8=1,CEILING(4.5*$EB8,1),3*$EB8)&amp;" PE")</f>
        <v/>
      </c>
      <c r="GS8" s="164">
        <f>IF($EK8=0,"",IF($DZ8=1,"Rodada inteira",IF(COUNTIF($LD8:$LF8,"Atrasar")&gt;0,IF(COUNTIF($LD8:$LF8,"Carregar")&gt;0,"Rodada +1 turno","Rodada inteira"),IF(COUNTIF($KW8:$KZ8,"Rápido")&gt;0,"Bônus",IF(COUNTIF($KW8:$KZ8,"Reação")&gt;0,"Reação","Padrão"))&amp;IF(COUNTIF($LD8:$LF8,"Carregar")&gt;0," +1 turno",""))))</f>
        <v/>
      </c>
      <c r="GT8" s="164">
        <f>IF(OR($EK8=0,$EL8=0),"",IF(COUNTIF($KW8:$KZ8,"Inescapável")&gt;0,"Automático",IF(COUNTIF($KW8:$KZ8,"Certeiro")&gt;0,"TR para metade",IF(AND($EX8&gt;0,$FA8=0,INDEX('DADOS_FORMAS'!$FQ$2:$FQ$21,$EL8)="Acerto"),"Acerto + TR",INDEX('DADOS_FORMAS'!$FQ$2:$FQ$21,$EL8)))))</f>
        <v/>
      </c>
      <c r="GU8" s="164">
        <f>IF(OR($EK8=0,$EL8=0),"",IF(OR($EZ8&gt;=2,$FV8=0),UPPER(LEFT(INDEX($GE8:$GK8,1,$EB8),1))&amp;MID(INDEX($GE8:$GK8,1,$EB8),2,99),UPPER(LEFT(INDEX($GE8:$GK8,1,$EB8),1))&amp;MID(INDEX($GE8:$GK8,1,$EB8),2,99)&amp;" = "&amp;FLOOR($FV8*4.5,1)&amp;IF($FW8&gt;0," · +"&amp;$FW8&amp;"d8","")))</f>
        <v/>
      </c>
      <c r="GV8" s="164">
        <f>COUNTIF($KW8:$KZ8,"Longe")+3*COUNTIF($KW8:$KZ8,"Muito Longe")</f>
        <v/>
      </c>
      <c r="GW8" s="164">
        <f>COUNTIF($KW8:$KZ8,"Maior")+3*COUNTIF($KW8:$KZ8,"Muito Maior")</f>
        <v/>
      </c>
      <c r="GX8" s="164">
        <f>IF($EL8=0,0,CHOOSE(1+INDEX('DADOS_FORMAS'!$FS$2:$FS$21,$EL8),0,$GV8,$GW8,$GV8+$GW8))</f>
        <v/>
      </c>
      <c r="GY8" s="164">
        <f>IF($EL8=0,0,CHOOSE(1+INDEX('DADOS_FORMAS'!$FT$2:$FT$21,$EL8),0,$GV8,$GW8,$GV8+$GW8))</f>
        <v/>
      </c>
      <c r="GZ8" s="164">
        <f>IF(OR($EK8=0,$EL8=0),"",INDEX('DADOS_FORMAS'!$GZ$2:$HE$61,($EL8-1)*3+IF($EB8&gt;=6,3,2),1+MIN(5,$GX8))&amp;INDEX('DADOS_FORMAS'!$HF$2:$HK$61,($EL8-1)*3+IF($EB8&gt;=6,3,2),1+MIN(5,$GY8))&amp;IF(INDEX('DADOS_FORMAS'!$FU$2:$FU$21,$EL8)=1,IF(COUNTIF($KW8:$KZ8,"Mais Um")&gt;0," · +"&amp;COUNTIF($KW8:$KZ8,"Mais Um")&amp;IF(COUNTIF($KW8:$KZ8,"Mais Um")&gt;1," alvos"," alvo"),"")&amp;IF(COUNTIF($KW8:$KZ8,"Rajada")&gt;0," · "&amp;($EB8+1)&amp;" tiros",""),""))</f>
        <v/>
      </c>
      <c r="HA8" s="164">
        <f>IF($EK8=0,"",3*$EB8&amp;" − "&amp;$FP8&amp;" + "&amp;$FS8&amp;IF($DZ8=1," + "&amp;$EB8,"")&amp;" = "&amp;$FV8&amp;"d8 · teto "&amp;4*$EB8&amp;IF($EY8=1," · a Forma devolve "&amp;$EB8,"")&amp;IF($FT8&gt;0," · perde "&amp;$FT8,""))</f>
        <v/>
      </c>
      <c r="HB8" s="164">
        <f>IF($EK8=0,"",IF($EB8&gt;=$HM$4,"Já está na maior Classe que o nível liberou",TEXTJOIN(" · ",TRUE,IF(AND(2&gt;$EB8,2&lt;=$HM$4),"2 → "&amp;$GF8&amp;", "&amp;IF($DZ8=1,9,6)&amp;" PE",""),IF(AND(3&gt;$EB8,3&lt;=$HM$4),"3 → "&amp;$GG8&amp;", "&amp;IF($DZ8=1,14,9)&amp;" PE",""),IF(AND(4&gt;$EB8,4&lt;=$HM$4),"4 → "&amp;$GH8&amp;", "&amp;IF($DZ8=1,18,12)&amp;" PE",""),IF(AND(5&gt;$EB8,5&lt;=$HM$4),"5 → "&amp;$GI8&amp;", "&amp;IF($DZ8=1,23,15)&amp;" PE",""),IF(AND(6&gt;$EB8,6&lt;=$HM$4),"6 → "&amp;$GJ8&amp;", "&amp;IF($DZ8=1,27,18)&amp;" PE",""),IF(AND(7&gt;$EB8,7&lt;=$HM$4),"7 → "&amp;$GK8&amp;", "&amp;IF($DZ8=1,32,21)&amp;" PE",""))))</f>
        <v/>
      </c>
      <c r="HC8" s="164">
        <f>IF(OR($EK8=0,$EN8=0),"","−"&amp;INDEX($Q$2:$V$8,$EB8,$EN8)&amp;" · "&amp;CHOOSE($EN8,"Leve","Média","Pesada","Leve · Livre","Média · Livre","Pesada · Livre"))</f>
        <v/>
      </c>
      <c r="HD8" s="164">
        <f>IF(OR($EK8=0,$EO8=0),"","−"&amp;INDEX($Q$2:$V$8,$EB8,$EO8)&amp;" · "&amp;CHOOSE($EO8,"Leve","Média","Pesada","Leve · Livre","Média · Livre","Pesada · Livre"))</f>
        <v/>
      </c>
      <c r="HE8" s="164">
        <f>IF(OR($EK8=0,$EP8=0),"","−"&amp;INDEX($Q$2:$V$8,$EB8,$EP8)&amp;" · "&amp;CHOOSE($EP8,"Leve","Média","Pesada","Leve · Livre","Média · Livre","Pesada · Livre"))</f>
        <v/>
      </c>
      <c r="HF8" s="164">
        <f>IF(OR($EK8=0,$EQ8=0),"","−"&amp;INDEX($Q$2:$V$8,$EB8,$EQ8)&amp;" · "&amp;CHOOSE($EQ8,"Leve","Média","Pesada","Leve · Livre","Média · Livre","Pesada · Livre"))</f>
        <v/>
      </c>
      <c r="HG8" s="164">
        <f>IF(OR($EK8=0,$EI8=""),"","+"&amp;IF($FB8=1,CEILING($EB8/2,1),$EB8))</f>
        <v/>
      </c>
      <c r="HH8" s="164">
        <f>IF(OR($EK8=0,$EJ8=""),"","+"&amp;IF($FC8=1,CEILING($EB8/2,1),$EB8))</f>
        <v/>
      </c>
      <c r="HI8" s="164">
        <f>'FICHA AMALDIÇOADA'!$D$108&amp;""</f>
        <v/>
      </c>
      <c r="HJ8" s="164">
        <f>IF(AND($EK8=1,$DZ8=0),COUNTIFS($EK$2:$EK8,1,$DZ$2:$DZ8,0),"")</f>
        <v/>
      </c>
      <c r="HL8" s="162" t="inlineStr">
        <is>
          <t>escolhas de Leque</t>
        </is>
      </c>
      <c r="HM8" s="164">
        <f>MIN(N(DADOS!$AK$38),$HM$5)</f>
        <v/>
      </c>
      <c r="HO8" s="162" t="inlineStr">
        <is>
          <t>Talento 7 · Leque</t>
        </is>
      </c>
      <c r="HP8" s="164">
        <f>'FICHA AMALDIÇOADA'!$J$410&amp;""</f>
        <v/>
      </c>
      <c r="HQ8" s="164">
        <f>IFERROR(VLOOKUP(SUBSTITUTE(SUBSTITUTE(SUBSTITUTE($HP8,"~","~~"),"*","~*"),"?","~?"),'DADOS_TALENTOS'!$AQ$2:$AW$34,2,FALSE),0)</f>
        <v/>
      </c>
      <c r="HR8" s="164">
        <f>IFERROR(VLOOKUP($HQ8,$CA$2:$CB$4,2,FALSE),0)</f>
        <v/>
      </c>
      <c r="HS8" s="164">
        <f>IFERROR(VLOOKUP(SUBSTITUTE(SUBSTITUTE(SUBSTITUTE($HP8,"~","~~"),"*","~*"),"?","~?"),'DADOS_TALENTOS'!$AQ$2:$AW$34,3,FALSE),"")</f>
        <v/>
      </c>
      <c r="HT8" s="164">
        <f>IF($HQ8=0,"",IF($HR8&gt;$HM$2,"⚠ Nível "&amp;$HR8,"CE "&amp;$HQ8))&amp;IF('DADOS_AM'!$LO8="",""," · ⚠ "&amp;'DADOS_AM'!$LO8)</f>
        <v/>
      </c>
      <c r="HU8" s="164">
        <f>IF($HQ8=0,"",IF(2&gt;$HM$8,"⚠ Vaga","Grátis"))</f>
        <v/>
      </c>
      <c r="HV8" s="164">
        <f>'FICHA AMALDIÇOADA'!$K$415&amp;""</f>
        <v/>
      </c>
      <c r="HW8" s="164">
        <f>IF($HP8="","",COUNTIF($HP$2:$HP8,"?*"))</f>
        <v/>
      </c>
      <c r="HY8" s="162" t="inlineStr">
        <is>
          <t>Aptidão 7</t>
        </is>
      </c>
      <c r="HZ8" s="164">
        <f>'FICHA AMALDIÇOADA'!$D$485&amp;""</f>
        <v/>
      </c>
      <c r="IA8" s="164">
        <f>IF($HZ8="","","Requisito: "&amp;IFERROR(VLOOKUP(SUBSTITUTE(SUBSTITUTE(SUBSTITUTE($HZ8,"~","~~"),"*","~*"),"?","~?"),'DADOS_APTIDOES'!$BF$2:$BO$45,2,FALSE),""))&amp;IF($LK8="",""," · ⚠ "&amp;$LK8)</f>
        <v/>
      </c>
      <c r="IB8" s="164">
        <f>IF($HZ8="","",IFERROR(IF(ISNUMBER(VLOOKUP(SUBSTITUTE(SUBSTITUTE(SUBSTITUTE($HZ8,"~","~~"),"*","~*"),"?","~?"),'DADOS_APTIDOES'!$BF$2:$BO$45,3,FALSE)),"CE "&amp;VLOOKUP(SUBSTITUTE(SUBSTITUTE(SUBSTITUTE($HZ8,"~","~~"),"*","~*"),"?","~?"),'DADOS_APTIDOES'!$BF$2:$BO$45,3,FALSE),VLOOKUP(SUBSTITUTE(SUBSTITUTE(SUBSTITUTE($HZ8,"~","~~"),"*","~*"),"?","~?"),'DADOS_APTIDOES'!$BF$2:$BO$45,3,FALSE)),""))</f>
        <v/>
      </c>
      <c r="IC8" s="164">
        <f>IF($HZ8="","",IFERROR(VLOOKUP(SUBSTITUTE(SUBSTITUTE(SUBSTITUTE($HZ8,"~","~~"),"*","~*"),"?","~?"),'DADOS_APTIDOES'!$BF$2:$BO$45,4,FALSE),""))</f>
        <v/>
      </c>
      <c r="ID8" s="164">
        <f>IF($HZ8="","",IFERROR(VLOOKUP(SUBSTITUTE(SUBSTITUTE(SUBSTITUTE($HZ8,"~","~~"),"*","~*"),"?","~?"),'DADOS_APTIDOES'!$BF$2:$BO$45,5,FALSE),""))</f>
        <v/>
      </c>
      <c r="IE8" s="164">
        <f>'FICHA AMALDIÇOADA'!$E$502&amp;""</f>
        <v/>
      </c>
      <c r="IF8" s="164">
        <f>IF($HZ8="","",COUNTIF($HZ$2:$HZ8,"?*"))</f>
        <v/>
      </c>
      <c r="IQ8" s="162" t="inlineStr">
        <is>
          <t>Domínio</t>
        </is>
      </c>
      <c r="IR8" s="164">
        <f>ADDRESS(ROW('FICHA AMALDIÇOADA'!L7),COLUMN('FICHA AMALDIÇOADA'!L7),4)</f>
        <v/>
      </c>
      <c r="IS8" s="164">
        <f>ADDRESS(ROW('FICHA AMALDIÇOADA'!D367),COLUMN('FICHA AMALDIÇOADA'!D367),4)</f>
        <v/>
      </c>
      <c r="IT8" s="162" t="inlineStr">
        <is>
          <t>DADOS_AM!$IQ$8</t>
        </is>
      </c>
      <c r="IV8" s="162" t="inlineStr">
        <is>
          <t>Trilha 11</t>
        </is>
      </c>
      <c r="IW8" s="164" t="n">
        <v>11</v>
      </c>
      <c r="IX8" s="164">
        <f>IF($HM$2&gt;=11,"Nível 11","Abre no 11")</f>
        <v/>
      </c>
      <c r="IY8" s="164">
        <f>ADDRESS(ROW(FICHA!G177),COLUMN(FICHA!G177),4)</f>
        <v/>
      </c>
      <c r="IZ8" s="164">
        <f>ADDRESS(ROW(FICHA!D178),COLUMN(FICHA!D178),4)</f>
        <v/>
      </c>
      <c r="JH8" s="164" t="n">
        <v>7</v>
      </c>
      <c r="JI8" s="164">
        <f>IFERROR(MATCH(7,$HJ$2:$HJ$37,0),0)</f>
        <v/>
      </c>
      <c r="JJ8" s="164">
        <f>IF($JI8=0,"",INDEX($EB$2:$EB$37,$JI8))</f>
        <v/>
      </c>
      <c r="JK8" s="164">
        <f>IF($JI8=0,"",INDEX($EC$2:$EC$37,$JI8))</f>
        <v/>
      </c>
      <c r="JL8" s="164">
        <f>IF($JI8=0,"",INDEX($GR$2:$GR$37,$JI8))</f>
        <v/>
      </c>
      <c r="JM8" s="164">
        <f>IF($JI8=0,"",INDEX($ED$2:$ED$37,$JI8))</f>
        <v/>
      </c>
      <c r="JN8" s="164">
        <f>IF($JI8=0,"",INDEX($GT$2:$GT$37,$JI8))</f>
        <v/>
      </c>
      <c r="JO8" s="164">
        <f>IF($JI8=0,"",INDEX($HI$2:$HI$37,$JI8))</f>
        <v/>
      </c>
      <c r="KF8" s="162" t="inlineStr">
        <is>
          <t>Talento 5</t>
        </is>
      </c>
      <c r="KG8" s="164">
        <f>IFERROR(MATCH(5,$HW$2:$HW$13,0),0)</f>
        <v/>
      </c>
      <c r="KH8" s="164">
        <f>IF($KG8=0,"",IF(INDEX($HQ$2:$HQ$13,$KG8)=0,"","CE "&amp;INDEX($HQ$2:$HQ$13,$KG8)))</f>
        <v/>
      </c>
      <c r="KI8" s="164">
        <f>IF($KG8=0,"",INDEX($HP$2:$HP$13,$KG8))</f>
        <v/>
      </c>
      <c r="KJ8" s="164">
        <f>IF($KG8=0,"",IF(INDEX($HV$2:$HV$13,$KG8)&lt;&gt;"",INDEX($HV$2:$HV$13,$KG8),IF(IFERROR(VLOOKUP(SUBSTITUTE(SUBSTITUTE(SUBSTITUTE(INDEX($HP$2:$HP$13,$KG8),"~","~~"),"*","~*"),"?","~?"),'DADOS_TALENTOS'!$AQ$2:$AW$34,7,FALSE),"")&lt;&gt;"","Do livro: "&amp;IFERROR(VLOOKUP(SUBSTITUTE(SUBSTITUTE(SUBSTITUTE(INDEX($HP$2:$HP$13,$KG8),"~","~~"),"*","~*"),"?","~?"),'DADOS_TALENTOS'!$AQ$2:$AW$34,7,FALSE),""),"")))</f>
        <v/>
      </c>
      <c r="KL8" s="162" t="inlineStr">
        <is>
          <t>Aptidão 5</t>
        </is>
      </c>
      <c r="KM8" s="164">
        <f>IFERROR(MATCH(5,$IF$2:$IF$13,0),0)</f>
        <v/>
      </c>
      <c r="KN8" s="164">
        <f>IF($KM8=0,"",INDEX($IB$2:$IB$13,$KM8))</f>
        <v/>
      </c>
      <c r="KO8" s="164">
        <f>IF($KM8=0,"",INDEX($HZ$2:$HZ$13,$KM8))</f>
        <v/>
      </c>
      <c r="KP8" s="164">
        <f>IF($KM8=0,"",IF(INDEX($IE$2:$IE$13,$KM8)&lt;&gt;"",INDEX($IE$2:$IE$13,$KM8),IF(IFERROR(VLOOKUP(SUBSTITUTE(SUBSTITUTE(SUBSTITUTE(INDEX($HZ$2:$HZ$13,$KM8),"~","~~"),"*","~*"),"?","~?"),'DADOS_APTIDOES'!$BF$2:$BO$45,10,FALSE),"")&lt;&gt;"","Do livro: "&amp;IFERROR(VLOOKUP(SUBSTITUTE(SUBSTITUTE(SUBSTITUTE(INDEX($HZ$2:$HZ$13,$KM8),"~","~~"),"*","~*"),"?","~?"),'DADOS_APTIDOES'!$BF$2:$BO$45,10,FALSE),""),"")))</f>
        <v/>
      </c>
      <c r="KR8" s="162" t="inlineStr">
        <is>
          <t>tag tm</t>
        </is>
      </c>
      <c r="KS8" s="164">
        <f>IF(DADOS_AM!$A$2=1,"Máx",IF(DADOS_AM!$A$2=2,"Auge","Ōgi"))</f>
        <v/>
      </c>
      <c r="KU8" s="162" t="inlineStr">
        <is>
          <t>D16</t>
        </is>
      </c>
      <c r="KV8" s="164">
        <f>INDEX(DADOS_AM!$D$17:$G$17,1,DADOS_AM!$A$2)</f>
        <v/>
      </c>
      <c r="KW8">
        <f>IF($EE8="","",IFERROR(VLOOKUP(SUBSTITUTE(SUBSTITUTE(SUBSTITUTE($EE8,"~","~~"),"*","~*"),"?","~?"),'DADOS_MELHORIAS'!$O$2:$X$113,10,FALSE),$EE8))</f>
        <v/>
      </c>
      <c r="KX8">
        <f>IF($EF8="","",IFERROR(VLOOKUP(SUBSTITUTE(SUBSTITUTE(SUBSTITUTE($EF8,"~","~~"),"*","~*"),"?","~?"),'DADOS_MELHORIAS'!$O$2:$X$113,10,FALSE),$EF8))</f>
        <v/>
      </c>
      <c r="KY8">
        <f>IF($EG8="","",IFERROR(VLOOKUP(SUBSTITUTE(SUBSTITUTE(SUBSTITUTE($EG8,"~","~~"),"*","~*"),"?","~?"),'DADOS_MELHORIAS'!$O$2:$X$113,10,FALSE),$EG8))</f>
        <v/>
      </c>
      <c r="KZ8">
        <f>IF($EH8="","",IFERROR(VLOOKUP(SUBSTITUTE(SUBSTITUTE(SUBSTITUTE($EH8,"~","~~"),"*","~*"),"?","~?"),'DADOS_MELHORIAS'!$O$2:$X$113,10,FALSE),$EH8))</f>
        <v/>
      </c>
      <c r="LB8">
        <f>IFERROR(INDEX('DADOS_FORMAS'!$BJ$2:$BJ$21,MATCH(SUBSTITUTE(SUBSTITUTE(SUBSTITUTE($ED8,"~","~~"),"*","~*"),"?","~?"),'DADOS_FORMAS'!$AH$2:$AH$21,0)),"")</f>
        <v/>
      </c>
      <c r="LC8">
        <f>IFERROR(VLOOKUP(SUBSTITUTE(SUBSTITUTE(SUBSTITUTE(IFERROR(INDEX('DADOS_FORMAS'!$AS$2:$AS$21,MATCH(SUBSTITUTE(SUBSTITUTE(SUBSTITUTE($ED8,"~","~~"),"*","~*"),"?","~?"),'DADOS_FORMAS'!$AH$2:$AH$21,0)),""),"~","~~"),"*","~*"),"?","~?"),'DADOS_RESTRICOES'!$M$2:$Q$54,2,FALSE),"")</f>
        <v/>
      </c>
      <c r="LD8">
        <f>$FD8</f>
        <v/>
      </c>
      <c r="LE8">
        <f>$FE8</f>
        <v/>
      </c>
      <c r="LF8">
        <f>$LC8</f>
        <v/>
      </c>
      <c r="LH8">
        <f>'FICHA AMALDIÇOADA'!$D$485&amp;""</f>
        <v/>
      </c>
      <c r="LI8">
        <f>IF($LH8="","",IF(IFERROR(INDEX('DADOS_APTIDOES'!$X$2:$X$45,MATCH(SUBSTITUTE(SUBSTITUTE(SUBSTITUTE($LH8,"~","~~"),"*","~*"),"?","~?"),'DADOS_APTIDOES'!$O$2:$O$45,0)),"")="",$LH8,IFERROR(INDEX('DADOS_APTIDOES'!$X$2:$X$45,MATCH(SUBSTITUTE(SUBSTITUTE(SUBSTITUTE($LH8,"~","~~"),"*","~*"),"?","~?"),'DADOS_APTIDOES'!$O$2:$O$45,0)),"")))</f>
        <v/>
      </c>
      <c r="LJ8">
        <f>IF(LEFT($LI8,16)="Aptidão Própria (","Aptidão Própria",IF(LEFT($LI8,15)="Bênção Própria (","Bênção Própria",$LI8))</f>
        <v/>
      </c>
      <c r="LK8">
        <f>IF($LH8="","",TEXTJOIN(" · ",TRUE,$LP8:$MJ8))</f>
        <v/>
      </c>
      <c r="LL8">
        <f>IF($LH8="",0,IF(IFERROR(INDEX('DADOS_APTIDOES'!$W$2:$W$45,MATCH(SUBSTITUTE(SUBSTITUTE(SUBSTITUTE($LH8,"~","~~"),"*","~*"),"?","~?"),'DADOS_APTIDOES'!$O$2:$O$45,0)),"")="Gratuita",0,1))</f>
        <v/>
      </c>
      <c r="LO8">
        <f>IF('FICHA AMALDIÇOADA'!$J$410="","",TEXTJOIN(" · ",TRUE,IF(COUNTIF('DADOS_TALENTOS'!$M$2:$M$34,SUBSTITUTE(SUBSTITUTE(SUBSTITUTE('FICHA AMALDIÇOADA'!$J$410,"~","~~"),"*","~*"),"?","~?"))=0,"Talento não cadastrado ou com erro",""),IF(COUNTIF('DADOS_TALENTOS'!$AV$2:$AV$34,SUBSTITUTE(SUBSTITUTE(SUBSTITUTE('FICHA AMALDIÇOADA'!$J$410,"~","~~"),"*","~*"),"?","~?"))=0,"Talento incompatível com a rota","")))</f>
        <v/>
      </c>
      <c r="LP8">
        <f>IF(COUNTIF('DADOS_APTIDOES'!$O$2:$O$45,SUBSTITUTE(SUBSTITUTE(SUBSTITUTE($LH8,"~","~~"),"*","~*"),"?","~?"))=0,"Aptidão não cadastrada ou com erro","")</f>
        <v/>
      </c>
      <c r="LQ8">
        <f>IF(COUNTIF('DADOS_APTIDOES'!$BK$2:$BK$45,SUBSTITUTE(SUBSTITUTE(SUBSTITUTE($LH8,"~","~~"),"*","~*"),"?","~?"))=0,"Rota/origem incompatível ou capacidade inicial automática","")</f>
        <v/>
      </c>
      <c r="LR8">
        <f>IF(AND(NOT(OR(FALSE)),DADOS_AM!$HM$2&lt;IFERROR(INDEX('DADOS_APTIDOES'!$U$2:$U$45,MATCH(SUBSTITUTE(SUBSTITUTE(SUBSTITUTE($LH8,"~","~~"),"*","~*"),"?","~?"),'DADOS_APTIDOES'!$O$2:$O$45,0)),1)),"Nível mínimo não atendido","")</f>
        <v/>
      </c>
      <c r="LS8">
        <f>IF(AND(NOT(OR(FALSE)),DADOS_AM!$HM$6&lt;MAX(IF(AND($LI8="Domínio Simples",FALSE,IFERROR(INDEX('DADOS_APTIDOES'!$V$2:$V$45,MATCH(SUBSTITUTE(SUBSTITUTE(SUBSTITUTE($LH8,"~","~~"),"*","~*"),"?","~?"),'DADOS_APTIDOES'!$O$2:$O$45,0)),1)=5),4,IFERROR(INDEX('DADOS_APTIDOES'!$V$2:$V$45,MATCH(SUBSTITUTE(SUBSTITUTE(SUBSTITUTE($LH8,"~","~~"),"*","~*"),"?","~?"),'DADOS_APTIDOES'!$O$2:$O$45,0)),1)),IF(IFERROR(INDEX('DADOS_APTIDOES'!$N$2:$N$45,MATCH(SUBSTITUTE(SUBSTITUTE(SUBSTITUTE($LH8,"~","~~"),"*","~*"),"?","~?"),'DADOS_APTIDOES'!$O$2:$O$45,0)),"")="Bênção",IF(IFERROR(INDEX('DADOS_APTIDOES'!$T$2:$T$45,MATCH(SUBSTITUTE(SUBSTITUTE(SUBSTITUTE($LH8,"~","~~"),"*","~*"),"?","~?"),'DADOS_APTIDOES'!$O$2:$O$45,0)),0)=3,7,IF(IFERROR(INDEX('DADOS_APTIDOES'!$T$2:$T$45,MATCH(SUBSTITUTE(SUBSTITUTE(SUBSTITUTE($LH8,"~","~~"),"*","~*"),"?","~?"),'DADOS_APTIDOES'!$O$2:$O$45,0)),0)=2,4,1)),1))),"Refino/Lapidação mínimo não atendido","")</f>
        <v/>
      </c>
      <c r="LT8">
        <f>IF(COUNTIF($LJ$2:$LJ8,SUBSTITUTE(SUBSTITUTE(SUBSTITUTE($LJ8,"~","~~"),"*","~*"),"?","~?"))&gt;1,"Aptidão/Bênção repetida","")</f>
        <v/>
      </c>
      <c r="LU8">
        <f>IF(AND(NOT(OR(FALSE)),AND($LI8="Circulação",COUNTIF($LI$2:$LI7,"Energia Reversa")=0)),"Exige aquisição anterior: Energia Reversa","")</f>
        <v/>
      </c>
      <c r="LV8">
        <f>IF(AND(NOT(OR(FALSE)),AND($LI8="Regravação",COUNTIF($LI$2:$LI7,"Circulação")=0)),"Exige aquisição anterior: Circulação","")</f>
        <v/>
      </c>
      <c r="LW8">
        <f>IF(AND(NOT(OR(FALSE)),AND($LI8="Cortina",COUNTIF($LI$2:$LI7,"Barreira Simples")=0)),"Exige aquisição anterior: Barreira Simples","")</f>
        <v/>
      </c>
      <c r="LX8">
        <f>IF(AND(NOT(OR(FALSE)),AND($LI8="Ritual",'FICHA'!AB19&lt;5)),"Exige Inteligência 5","")</f>
        <v/>
      </c>
      <c r="LY8">
        <f>IF(AND(NOT(OR(FALSE)),AND($LI8="Ímpeto",'FICHA'!L19&lt;4)),"Exige Destreza 4","")</f>
        <v/>
      </c>
      <c r="LZ8">
        <f>IF(AND(NOT(OR(FALSE)),AND($LI8="Casco",'FICHA'!T19&lt;4)),"Exige Constituição 4","")</f>
        <v/>
      </c>
      <c r="MA8">
        <f>IF(AND(NOT(OR(FALSE)),AND($LI8="Presilha",'FICHA'!D19&lt;4)),"Exige Força 4","")</f>
        <v/>
      </c>
      <c r="MB8">
        <f>IF(AND(NOT(OR(FALSE)),AND($LI8="Antecipar",'FICHA'!AB19&lt;4)),"Exige Inteligência 4","")</f>
        <v/>
      </c>
      <c r="MC8">
        <f>IF(AND(NOT(OR(FALSE)),AND($LI8="Sangue Frio",'FICHA'!T19&lt;4)),"Exige Constituição 4","")</f>
        <v/>
      </c>
      <c r="MD8">
        <f>IF(AND(NOT(OR(FALSE)),AND($LI8="Assombro",'FICHA'!AJ19&lt;4)),"Exige Essência 4","")</f>
        <v/>
      </c>
      <c r="ME8">
        <f>IF(AND(NOT(OR(FALSE)),$LI8="Cesta Oca de Vime"),"Conferir Encarnado ou treino em História","")</f>
        <v/>
      </c>
      <c r="MF8">
        <f>IF(AND(NOT(OR(FALSE)),$LI8="Pétala"),"Conferir Descendente ou aprendizado de clã","")</f>
        <v/>
      </c>
      <c r="MG8">
        <f>IF(AND(NOT(OR(FALSE)),$LI8="Domínio Simples"),"Conferir aprendizado de Domínio Simples","")</f>
        <v/>
      </c>
      <c r="MH8">
        <f>IF(AND(NOT(OR(FALSE)),$LI8="Extensão de Domínio"),"Conferir aprendizado de Extensão de Domínio","")</f>
        <v/>
      </c>
      <c r="MI8">
        <f>IF(AND(NOT(OR(FALSE)),$LI8="Ritual"),"Conferir Técnica Inata","")</f>
        <v/>
      </c>
      <c r="MJ8">
        <f>IF(AND(NOT(OR(FALSE)),AND($LI8="Represália",MAX('FICHA'!D19,'FICHA'!L19)&lt;4)),"Exige Força ou Destreza 4","")</f>
        <v/>
      </c>
    </row>
    <row r="9">
      <c r="C9" s="162" t="inlineStr">
        <is>
          <t>graça 1</t>
        </is>
      </c>
      <c r="D9" s="162" t="inlineStr">
        <is>
          <t>Cobrir-se de Energia</t>
        </is>
      </c>
      <c r="E9" s="162" t="inlineStr">
        <is>
          <t>Cobrir-se de Energia</t>
        </is>
      </c>
      <c r="F9" s="162" t="inlineStr">
        <is>
          <t>Cobrir-se de Energia</t>
        </is>
      </c>
      <c r="G9" s="162" t="inlineStr">
        <is>
          <t>Defesa sem Armadura</t>
        </is>
      </c>
      <c r="I9" s="162" t="inlineStr">
        <is>
          <t>Marca</t>
        </is>
      </c>
      <c r="J9" s="164">
        <f>'FICHA AMALDIÇOADA'!$M$37&amp;""</f>
        <v/>
      </c>
      <c r="K9" s="164">
        <f>IF($J9="Livre",1,0)</f>
        <v/>
      </c>
      <c r="L9" s="164">
        <f>IF($J9="Fechada",1,0)</f>
        <v/>
      </c>
      <c r="Y9" s="162" t="inlineStr">
        <is>
          <t>Apoio</t>
        </is>
      </c>
      <c r="Z9" s="162" t="inlineStr">
        <is>
          <t>Amparo</t>
        </is>
      </c>
      <c r="AA9" s="164" t="n">
        <v>0</v>
      </c>
      <c r="AB9" s="164">
        <f>IF($AA9=0,0,$AA9+3*IFERROR(VLOOKUP($Z9,'DADOS_CRIACAO'!$H$2:$K$20,3,FALSE),0))</f>
        <v/>
      </c>
      <c r="AC9" s="164">
        <f>IFERROR(VLOOKUP($Z9,'DADOS_CRIACAO'!$H$2:$K$20,4,FALSE),0)</f>
        <v/>
      </c>
      <c r="AD9" s="164" t="n">
        <v>0</v>
      </c>
      <c r="AE9" s="164" t="n">
        <v>2</v>
      </c>
      <c r="AF9" s="162" t="inlineStr">
        <is>
          <t>Automático</t>
        </is>
      </c>
      <c r="AG9" s="164" t="n">
        <v>0</v>
      </c>
      <c r="AH9" s="164" t="n">
        <v>1</v>
      </c>
      <c r="AI9" s="164" t="n">
        <v>0</v>
      </c>
      <c r="AJ9" s="164" t="n">
        <v>0</v>
      </c>
      <c r="AK9" s="164" t="n">
        <v>1</v>
      </c>
      <c r="AL9" s="164">
        <f>IF($AC9=1,"",$Y9)</f>
        <v/>
      </c>
      <c r="AM9" s="164">
        <f>IF(AND($AK9=1,$AC9=0),$Y9,"")</f>
        <v/>
      </c>
      <c r="AO9" s="162" t="inlineStr">
        <is>
          <t>Explosão · classes 1 a 5</t>
        </is>
      </c>
      <c r="AP9" s="162" t="inlineStr">
        <is>
          <t>Raio 3 m</t>
        </is>
      </c>
      <c r="AQ9" s="162" t="inlineStr">
        <is>
          <t>Raio 4,5 m</t>
        </is>
      </c>
      <c r="AR9" s="162" t="inlineStr">
        <is>
          <t>Raio 6 m</t>
        </is>
      </c>
      <c r="AS9" s="162" t="inlineStr">
        <is>
          <t>Raio 9 m</t>
        </is>
      </c>
      <c r="AT9" s="162" t="inlineStr">
        <is>
          <t>Raio 15 m</t>
        </is>
      </c>
      <c r="AU9" s="162" t="inlineStr">
        <is>
          <t>Raio 15 m</t>
        </is>
      </c>
      <c r="AV9" s="162" t="inlineStr">
        <is>
          <t>, a 18 m</t>
        </is>
      </c>
      <c r="AW9" s="162" t="inlineStr">
        <is>
          <t>, a 36 m</t>
        </is>
      </c>
      <c r="AX9" s="162" t="inlineStr">
        <is>
          <t>, a 90 m</t>
        </is>
      </c>
      <c r="AY9" s="162" t="inlineStr">
        <is>
          <t>, a visão a olho nu</t>
        </is>
      </c>
      <c r="AZ9" s="162" t="inlineStr">
        <is>
          <t>, a visão a olho nu</t>
        </is>
      </c>
      <c r="BA9" s="162" t="inlineStr">
        <is>
          <t>, a visão a olho nu</t>
        </is>
      </c>
      <c r="BC9" s="162" t="inlineStr">
        <is>
          <t>Muito Maior</t>
        </is>
      </c>
      <c r="BD9" s="162" t="inlineStr">
        <is>
          <t>Área</t>
        </is>
      </c>
      <c r="BE9" s="164" t="n">
        <v>3</v>
      </c>
      <c r="BF9" s="164">
        <f>$BE9+3*IFERROR(VLOOKUP($BD9,'DADOS_CRIACAO'!$H$2:$K$20,3,FALSE),0)</f>
        <v/>
      </c>
      <c r="BG9" s="164">
        <f>IFERROR(VLOOKUP($BD9,'DADOS_CRIACAO'!$H$2:$K$20,4,FALSE),0)</f>
        <v/>
      </c>
      <c r="BH9" s="164" t="n">
        <v>0</v>
      </c>
      <c r="BI9" s="164">
        <f>IF($BG9=1,"",$BC9)</f>
        <v/>
      </c>
      <c r="BJ9" s="164">
        <f>IF(AND($BE9=1,$BG9=0),$BC9,"")</f>
        <v/>
      </c>
      <c r="BK9" s="164" t="n">
        <v>0</v>
      </c>
      <c r="BM9" s="162" t="inlineStr">
        <is>
          <t>Recuo (Média)</t>
        </is>
      </c>
      <c r="BN9" s="162" t="inlineStr">
        <is>
          <t>Recuo</t>
        </is>
      </c>
      <c r="BO9" s="164" t="n">
        <v>2</v>
      </c>
      <c r="BP9" s="164" t="n">
        <v>0</v>
      </c>
      <c r="BQ9" s="162" t="inlineStr"/>
      <c r="BS9" s="162" t="inlineStr">
        <is>
          <t>Recomposição</t>
        </is>
      </c>
      <c r="BT9" s="164" t="n">
        <v>2</v>
      </c>
      <c r="BU9" s="162" t="inlineStr">
        <is>
          <t>Uma vez por descanso curto, use Ação Padrão para recuperar 4 × sua maior Classe em pontos de vida, até sua vida máxima. Não gasta PE. Recuperar vida não remove condições por conta própria.</t>
        </is>
      </c>
      <c r="BV9" s="164" t="n">
        <v>1</v>
      </c>
      <c r="BW9" s="164" t="n">
        <v>0</v>
      </c>
      <c r="BX9" s="164">
        <f>IF(OR(AND($A$2&lt;=2,$BV9=1),AND($A$2&gt;=2,$BW9=1)),$BS9,"")</f>
        <v/>
      </c>
      <c r="BY9" s="162" t="inlineStr">
        <is>
          <t>Uma vez por descanso curto, use Ação Padrão para recuperar 4 × sua maior Classe em pontos de vida, até sua vida máxima. Não gasta PE. Recuperar vida não remove condições por conta própria.</t>
        </is>
      </c>
      <c r="CD9" s="162" t="inlineStr">
        <is>
          <t>Kokusen Constante</t>
        </is>
      </c>
      <c r="CE9" s="162" t="inlineStr">
        <is>
          <t>Refino 5</t>
        </is>
      </c>
      <c r="CF9" s="162" t="inlineStr">
        <is>
          <t>—</t>
        </is>
      </c>
      <c r="CG9" s="162" t="inlineStr">
        <is>
          <t>—</t>
        </is>
      </c>
      <c r="CH9" s="162" t="inlineStr">
        <is>
          <t>O limite básico do teste passa a ser 3 × Refino, antes do bônus por tentativas falhadas. As duas melhorias funcionam juntas. Com Refino 10 e sem bônus acumulado, o limite normal é 20. Constante o leva a 30. Com Melhorado também, basta um dos dois d100 resultar em 30 ou menos.</t>
        </is>
      </c>
      <c r="CI9" s="164">
        <f>IF($CL9=1,"",IF($A$2=4,IF($CJ9=1,$CD9,""),IF(OR($CJ9=1,AND($A$2=3,$CK9=1)),"",$CD9)))</f>
        <v/>
      </c>
      <c r="CJ9" s="164" t="n">
        <v>0</v>
      </c>
      <c r="CK9" s="164" t="n">
        <v>0</v>
      </c>
      <c r="CL9" s="164" t="n">
        <v>0</v>
      </c>
      <c r="CM9" s="162" t="inlineStr">
        <is>
          <t>O limite básico do teste passa a ser 3 × Refino, antes do bônus por tentativas falhadas. As duas melhorias funcionam juntas. Com Refino 10 e sem bônus acumulado, o limite normal é 20. Constante o leva a 30. Com Melhorado também, basta um dos dois d100 resultar em 30 ou menos.</t>
        </is>
      </c>
      <c r="CU9" s="162" t="inlineStr">
        <is>
          <t>Arma de Fogo</t>
        </is>
      </c>
      <c r="CV9" s="164" t="n">
        <v>0</v>
      </c>
      <c r="CW9" s="164" t="n">
        <v>1</v>
      </c>
      <c r="CX9" s="164">
        <f>IF(AND($A$2&gt;=3,'FICHA AMALDIÇOADA'!$J$16&amp;""="Três grupos de arma"),$CU9,"")</f>
        <v/>
      </c>
      <c r="DY9" s="162" t="inlineStr">
        <is>
          <t>Feitiço 8</t>
        </is>
      </c>
      <c r="DZ9" s="164" t="n">
        <v>0</v>
      </c>
      <c r="EA9" s="164" t="n">
        <v>8</v>
      </c>
      <c r="EB9" s="164">
        <f>MAX(1,MIN(7,N('FICHA AMALDIÇOADA'!$J$106)))</f>
        <v/>
      </c>
      <c r="EC9" s="164">
        <f>'FICHA AMALDIÇOADA'!$K$106&amp;""</f>
        <v/>
      </c>
      <c r="ED9" s="164">
        <f>'FICHA AMALDIÇOADA'!$J$113&amp;""</f>
        <v/>
      </c>
      <c r="EE9" s="164">
        <f>'FICHA AMALDIÇOADA'!$K$115&amp;""</f>
        <v/>
      </c>
      <c r="EF9" s="164">
        <f>'FICHA AMALDIÇOADA'!$K$116&amp;""</f>
        <v/>
      </c>
      <c r="EG9" s="164">
        <f>'FICHA AMALDIÇOADA'!$K$117&amp;""</f>
        <v/>
      </c>
      <c r="EH9" s="164">
        <f>'FICHA AMALDIÇOADA'!$K$118&amp;""</f>
        <v/>
      </c>
      <c r="EI9" s="164">
        <f>'FICHA AMALDIÇOADA'!$K$119&amp;""</f>
        <v/>
      </c>
      <c r="EJ9" s="164">
        <f>'FICHA AMALDIÇOADA'!$K$120&amp;""</f>
        <v/>
      </c>
      <c r="EK9" s="164">
        <f>IF($EC9&lt;&gt;"",1,0)</f>
        <v/>
      </c>
      <c r="EL9" s="164">
        <f>IFERROR(MATCH(SUBSTITUTE(SUBSTITUTE(SUBSTITUTE($ED9,"~","~~"),"*","~*"),"?","~?"),'DADOS_FORMAS'!$FJ$2:$FJ$21,0),0)</f>
        <v/>
      </c>
      <c r="EM9" s="164">
        <f>IF($EL9=0,0,INDEX('DADOS_FORMAS'!$FM$2:$FM$21,$EL9))</f>
        <v/>
      </c>
      <c r="EN9" s="164">
        <f>IFERROR(VLOOKUP(SUBSTITUTE(SUBSTITUTE(SUBSTITUTE($EE9,"~","~~"),"*","~*"),"?","~?"),'DADOS_MELHORIAS'!$O$2:$W$113,4,FALSE),0)</f>
        <v/>
      </c>
      <c r="EO9" s="164">
        <f>IFERROR(VLOOKUP(SUBSTITUTE(SUBSTITUTE(SUBSTITUTE($EF9,"~","~~"),"*","~*"),"?","~?"),'DADOS_MELHORIAS'!$O$2:$W$113,4,FALSE),0)</f>
        <v/>
      </c>
      <c r="EP9" s="164">
        <f>IFERROR(VLOOKUP(SUBSTITUTE(SUBSTITUTE(SUBSTITUTE($EG9,"~","~~"),"*","~*"),"?","~?"),'DADOS_MELHORIAS'!$O$2:$W$113,4,FALSE),0)</f>
        <v/>
      </c>
      <c r="EQ9" s="164">
        <f>IFERROR(VLOOKUP(SUBSTITUTE(SUBSTITUTE(SUBSTITUTE($EH9,"~","~~"),"*","~*"),"?","~?"),'DADOS_MELHORIAS'!$O$2:$W$113,4,FALSE),0)</f>
        <v/>
      </c>
      <c r="ER9" s="164">
        <f>IF($EL9=0,0,INDEX('DADOS_FORMAS'!$FN$2:$FN$21,$EL9))</f>
        <v/>
      </c>
      <c r="ES9" s="164">
        <f>IFERROR(VLOOKUP(SUBSTITUTE(SUBSTITUTE(SUBSTITUTE($EE9,"~","~~"),"*","~*"),"?","~?"),'DADOS_MELHORIAS'!$O$2:$W$113,5,FALSE),0)</f>
        <v/>
      </c>
      <c r="ET9" s="164">
        <f>IFERROR(VLOOKUP(SUBSTITUTE(SUBSTITUTE(SUBSTITUTE($EF9,"~","~~"),"*","~*"),"?","~?"),'DADOS_MELHORIAS'!$O$2:$W$113,5,FALSE),0)</f>
        <v/>
      </c>
      <c r="EU9" s="164">
        <f>IFERROR(VLOOKUP(SUBSTITUTE(SUBSTITUTE(SUBSTITUTE($EG9,"~","~~"),"*","~*"),"?","~?"),'DADOS_MELHORIAS'!$O$2:$W$113,5,FALSE),0)</f>
        <v/>
      </c>
      <c r="EV9" s="164">
        <f>IFERROR(VLOOKUP(SUBSTITUTE(SUBSTITUTE(SUBSTITUTE($EH9,"~","~~"),"*","~*"),"?","~?"),'DADOS_MELHORIAS'!$O$2:$W$113,5,FALSE),0)</f>
        <v/>
      </c>
      <c r="EW9" s="164">
        <f>IFERROR(VLOOKUP(SUBSTITUTE(SUBSTITUTE(SUBSTITUTE($EE9,"~","~~"),"*","~*"),"?","~?"),'DADOS_MELHORIAS'!$O$2:$W$113,6,FALSE),0)+IFERROR(VLOOKUP(SUBSTITUTE(SUBSTITUTE(SUBSTITUTE($EF9,"~","~~"),"*","~*"),"?","~?"),'DADOS_MELHORIAS'!$O$2:$W$113,6,FALSE),0)+IFERROR(VLOOKUP(SUBSTITUTE(SUBSTITUTE(SUBSTITUTE($EG9,"~","~~"),"*","~*"),"?","~?"),'DADOS_MELHORIAS'!$O$2:$W$113,6,FALSE),0)+IFERROR(VLOOKUP(SUBSTITUTE(SUBSTITUTE(SUBSTITUTE($EH9,"~","~~"),"*","~*"),"?","~?"),'DADOS_MELHORIAS'!$O$2:$W$113,6,FALSE),0)</f>
        <v/>
      </c>
      <c r="EX9" s="164">
        <f>IFERROR(VLOOKUP(SUBSTITUTE(SUBSTITUTE(SUBSTITUTE($EE9,"~","~~"),"*","~*"),"?","~?"),'DADOS_MELHORIAS'!$O$2:$W$113,9,FALSE),0)+IFERROR(VLOOKUP(SUBSTITUTE(SUBSTITUTE(SUBSTITUTE($EF9,"~","~~"),"*","~*"),"?","~?"),'DADOS_MELHORIAS'!$O$2:$W$113,9,FALSE),0)+IFERROR(VLOOKUP(SUBSTITUTE(SUBSTITUTE(SUBSTITUTE($EG9,"~","~~"),"*","~*"),"?","~?"),'DADOS_MELHORIAS'!$O$2:$W$113,9,FALSE),0)+IFERROR(VLOOKUP(SUBSTITUTE(SUBSTITUTE(SUBSTITUTE($EH9,"~","~~"),"*","~*"),"?","~?"),'DADOS_MELHORIAS'!$O$2:$W$113,9,FALSE),0)</f>
        <v/>
      </c>
      <c r="EY9" s="164">
        <f>IF($EL9=0,0,INDEX('DADOS_FORMAS'!$FO$2:$FO$21,$EL9))</f>
        <v/>
      </c>
      <c r="EZ9" s="164">
        <f>IF($EL9=0,0,INDEX('DADOS_FORMAS'!$FP$2:$FP$21,$EL9))</f>
        <v/>
      </c>
      <c r="FA9" s="164">
        <f>IF($EL9=0,0,INDEX('DADOS_FORMAS'!$FR$2:$FR$21,$EL9))</f>
        <v/>
      </c>
      <c r="FB9" s="164">
        <f>IFERROR(VLOOKUP(SUBSTITUTE(SUBSTITUTE(SUBSTITUTE($EI9,"~","~~"),"*","~*"),"?","~?"),'DADOS_RESTRICOES'!$M$2:$Q$54,3,FALSE),0)</f>
        <v/>
      </c>
      <c r="FC9" s="164">
        <f>IFERROR(VLOOKUP(SUBSTITUTE(SUBSTITUTE(SUBSTITUTE($EJ9,"~","~~"),"*","~*"),"?","~?"),'DADOS_RESTRICOES'!$M$2:$Q$54,3,FALSE),0)</f>
        <v/>
      </c>
      <c r="FD9" s="164">
        <f>IFERROR(VLOOKUP(SUBSTITUTE(SUBSTITUTE(SUBSTITUTE($EI9,"~","~~"),"*","~*"),"?","~?"),'DADOS_RESTRICOES'!$M$2:$Q$54,2,FALSE),"")</f>
        <v/>
      </c>
      <c r="FE9" s="164">
        <f>IFERROR(VLOOKUP(SUBSTITUTE(SUBSTITUTE(SUBSTITUTE($EJ9,"~","~~"),"*","~*"),"?","~?"),'DADOS_RESTRICOES'!$M$2:$Q$54,2,FALSE),"")</f>
        <v/>
      </c>
      <c r="FF9" s="164">
        <f>COUNTIF($EM9:$EQ9,1)</f>
        <v/>
      </c>
      <c r="FG9" s="164">
        <f>COUNTIF($EM9:$EQ9,2)</f>
        <v/>
      </c>
      <c r="FH9" s="164">
        <f>COUNTIF($EM9:$EQ9,3)</f>
        <v/>
      </c>
      <c r="FI9" s="164">
        <f>COUNTIF($EM9:$EQ9,4)</f>
        <v/>
      </c>
      <c r="FJ9" s="164">
        <f>COUNTIF($EM9:$EQ9,5)</f>
        <v/>
      </c>
      <c r="FK9" s="164">
        <f>COUNTIF($EM9:$EQ9,6)</f>
        <v/>
      </c>
      <c r="FL9" s="164">
        <f>COUNTIF($FB9:$FC9,1)+IF(IFERROR(INDEX('DADOS_FORMAS'!$AS$2:$AS$21,MATCH(SUBSTITUTE(SUBSTITUTE(SUBSTITUTE($ED9,"~","~~"),"*","~*"),"?","~?"),'DADOS_FORMAS'!$AH$2:$AH$21,0)),"")="",0,IFERROR(N(VLOOKUP(SUBSTITUTE(SUBSTITUTE(SUBSTITUTE(IFERROR(INDEX('DADOS_FORMAS'!$AS$2:$AS$21,MATCH(SUBSTITUTE(SUBSTITUTE(SUBSTITUTE($ED9,"~","~~"),"*","~*"),"?","~?"),'DADOS_FORMAS'!$AH$2:$AH$21,0)),""),"~","~~"),"*","~*"),"?","~?"),'DADOS_RESTRICOES'!$M$2:$Q$54,3,FALSE)=1),0))</f>
        <v/>
      </c>
      <c r="FM9" s="164">
        <f>COUNTIF($FB9:$FC9,2)+IF(IFERROR(INDEX('DADOS_FORMAS'!$AS$2:$AS$21,MATCH(SUBSTITUTE(SUBSTITUTE(SUBSTITUTE($ED9,"~","~~"),"*","~*"),"?","~?"),'DADOS_FORMAS'!$AH$2:$AH$21,0)),"")="",0,IFERROR(N(VLOOKUP(SUBSTITUTE(SUBSTITUTE(SUBSTITUTE(IFERROR(INDEX('DADOS_FORMAS'!$AS$2:$AS$21,MATCH(SUBSTITUTE(SUBSTITUTE(SUBSTITUTE($ED9,"~","~~"),"*","~*"),"?","~?"),'DADOS_FORMAS'!$AH$2:$AH$21,0)),""),"~","~~"),"*","~*"),"?","~?"),'DADOS_RESTRICOES'!$M$2:$Q$54,3,FALSE)=2),0))</f>
        <v/>
      </c>
      <c r="FN9" s="164">
        <f>COUNTIF($EE9:$EH9,"?*")</f>
        <v/>
      </c>
      <c r="FO9" s="164">
        <f>COUNTIF($EI9:$EJ9,"?*")+$EY9</f>
        <v/>
      </c>
      <c r="FP9" s="164">
        <f>SUMPRODUCT($FF9:$FK9,INDEX($Q$2:$V$8,$EB9,0))</f>
        <v/>
      </c>
      <c r="FQ9" s="164">
        <f>$FL9*CEILING($EB9/2,1)+$FM9*$EB9</f>
        <v/>
      </c>
      <c r="FR9" s="164">
        <f>MIN(2*$EB9,$FQ9)</f>
        <v/>
      </c>
      <c r="FS9" s="164">
        <f>MIN($FR9,$FP9-IF($EM9=0,0,INDEX($Q$2:$V$8,$EB9,$EM9)))</f>
        <v/>
      </c>
      <c r="FT9" s="164">
        <f>$FR9-$FS9</f>
        <v/>
      </c>
      <c r="FU9" s="164">
        <f>3*$EB9-$FP9+$FS9</f>
        <v/>
      </c>
      <c r="FV9" s="164">
        <f>MAX(0,$FU9)+$DZ9*$EB9</f>
        <v/>
      </c>
      <c r="FW9" s="164">
        <f>(IF(COUNTIF($KW9:$KZ9,"Salto")&gt;0,1,0)+IF(COUNTIF($KW9:$KZ9,"Queima")&gt;0,1,0)+IF(COUNTIF($KW9:$KZ9,"Estilhaço")&gt;0,1,0))*FLOOR($FV9/2,1)</f>
        <v/>
      </c>
      <c r="FX9" s="164">
        <f>MAX(0,3-SUMPRODUCT($FF9:$FK9,$Q$2:$V$2)+MIN(2,$FL9*1+$FM9*1,SUMPRODUCT($FF9:$FK9,$Q$2:$V$2)-IF($EM9=0,0,INDEX($Q$2:$V$2,1,$EM9))))+$DZ9*1</f>
        <v/>
      </c>
      <c r="FY9" s="164">
        <f>MAX(0,6-SUMPRODUCT($FF9:$FK9,$Q$3:$V$3)+MIN(4,$FL9*1+$FM9*2,SUMPRODUCT($FF9:$FK9,$Q$3:$V$3)-IF($EM9=0,0,INDEX($Q$3:$V$3,1,$EM9))))+$DZ9*2</f>
        <v/>
      </c>
      <c r="FZ9" s="164">
        <f>MAX(0,9-SUMPRODUCT($FF9:$FK9,$Q$4:$V$4)+MIN(6,$FL9*2+$FM9*3,SUMPRODUCT($FF9:$FK9,$Q$4:$V$4)-IF($EM9=0,0,INDEX($Q$4:$V$4,1,$EM9))))+$DZ9*3</f>
        <v/>
      </c>
      <c r="GA9" s="164">
        <f>MAX(0,12-SUMPRODUCT($FF9:$FK9,$Q$5:$V$5)+MIN(8,$FL9*2+$FM9*4,SUMPRODUCT($FF9:$FK9,$Q$5:$V$5)-IF($EM9=0,0,INDEX($Q$5:$V$5,1,$EM9))))+$DZ9*4</f>
        <v/>
      </c>
      <c r="GB9" s="164">
        <f>MAX(0,15-SUMPRODUCT($FF9:$FK9,$Q$6:$V$6)+MIN(10,$FL9*3+$FM9*5,SUMPRODUCT($FF9:$FK9,$Q$6:$V$6)-IF($EM9=0,0,INDEX($Q$6:$V$6,1,$EM9))))+$DZ9*5</f>
        <v/>
      </c>
      <c r="GC9" s="164">
        <f>MAX(0,18-SUMPRODUCT($FF9:$FK9,$Q$7:$V$7)+MIN(12,$FL9*3+$FM9*6,SUMPRODUCT($FF9:$FK9,$Q$7:$V$7)-IF($EM9=0,0,INDEX($Q$7:$V$7,1,$EM9))))+$DZ9*6</f>
        <v/>
      </c>
      <c r="GD9" s="164">
        <f>MAX(0,21-SUMPRODUCT($FF9:$FK9,$Q$8:$V$8)+MIN(14,$FL9*4+$FM9*7,SUMPRODUCT($FF9:$FK9,$Q$8:$V$8)-IF($EM9=0,0,INDEX($Q$8:$V$8,1,$EM9))))+$DZ9*7</f>
        <v/>
      </c>
      <c r="GE9" s="164">
        <f>IF($EZ9=2,3*$FX9&amp;" de vida temp.",IF($EZ9=3,"sem dano",IF($FX9=0,IF($EZ9=1,"sem cura","sem dano"),IF($EZ9=1,"cura ","")&amp;$FX9&amp;"d8")))</f>
        <v/>
      </c>
      <c r="GF9" s="164">
        <f>IF($EZ9=2,3*$FY9&amp;" de vida temp.",IF($EZ9=3,"sem dano",IF($FY9=0,IF($EZ9=1,"sem cura","sem dano"),IF($EZ9=1,"cura ","")&amp;$FY9&amp;"d8")))</f>
        <v/>
      </c>
      <c r="GG9" s="164">
        <f>IF($EZ9=2,3*$FZ9&amp;" de vida temp.",IF($EZ9=3,"sem dano",IF($FZ9=0,IF($EZ9=1,"sem cura","sem dano"),IF($EZ9=1,"cura ","")&amp;$FZ9&amp;"d8")))</f>
        <v/>
      </c>
      <c r="GH9" s="164">
        <f>IF($EZ9=2,3*$GA9&amp;" de vida temp.",IF($EZ9=3,"sem dano",IF($GA9=0,IF($EZ9=1,"sem cura","sem dano"),IF($EZ9=1,"cura ","")&amp;$GA9&amp;"d8")))</f>
        <v/>
      </c>
      <c r="GI9" s="164">
        <f>IF($EZ9=2,3*$GB9&amp;" de vida temp.",IF($EZ9=3,"sem dano",IF($GB9=0,IF($EZ9=1,"sem cura","sem dano"),IF($EZ9=1,"cura ","")&amp;$GB9&amp;"d8")))</f>
        <v/>
      </c>
      <c r="GJ9" s="164">
        <f>IF($EZ9=2,3*$GC9&amp;" de vida temp.",IF($EZ9=3,"sem dano",IF($GC9=0,IF($EZ9=1,"sem cura","sem dano"),IF($EZ9=1,"cura ","")&amp;$GC9&amp;"d8")))</f>
        <v/>
      </c>
      <c r="GK9" s="164">
        <f>IF($EZ9=2,3*$GD9&amp;" de vida temp.",IF($EZ9=3,"sem dano",IF($GD9=0,IF($EZ9=1,"sem cura","sem dano"),IF($EZ9=1,"cura ","")&amp;$GD9&amp;"d8")))</f>
        <v/>
      </c>
      <c r="GL9" s="164">
        <f>IF($EK9=0,"",TEXTJOIN(" · ",TRUE,IF($EK9=0,"",TEXTJOIN(" · ",TRUE,IF($EK9=0,"",TEXTJOIN(" · ",TRUE,IF(AND($DZ9=1,$EA9&gt;$HM$9),"O nível "&amp;$HM$2&amp;" dá "&amp;$HM$9&amp;" Liberação Máxima",""),IF($EB9&gt;$HM$4,"Classe "&amp;$EB9&amp;": o nível "&amp;$HM$2&amp;" libera até a "&amp;$HM$4,""),IF($ER9=1,"Família Fechada: a Forma "&amp;$ED9,""),IF($ES9=1,"Família Fechada: "&amp;$EE9,""),IF($ET9=1,"Família Fechada: "&amp;$EF9,""),IF($EU9=1,"Família Fechada: "&amp;$EG9,""),IF($EV9=1,"Família Fechada: "&amp;$EH9,""),IF($FN9&gt;INDEX($W$2:$W$8,$EB9),$FN9&amp;" Melhorias: a Classe "&amp;$EB9&amp;" aceita "&amp;INDEX($W$2:$W$8,$EB9),""),IF($FO9&gt;2,$FO9&amp;" Restrições"&amp;IF($EY9=1,", contando a que a Forma "&amp;$ED9&amp;" já traz","")&amp;": o limite é 2",""),IF($FU9&lt;0,"Orçamento estourado: faltam "&amp;(-$FU9)&amp;IF($FU9&lt;-1," pontos"," ponto"),""),IF(IFERROR(VLOOKUP(SUBSTITUTE(SUBSTITUTE(SUBSTITUTE($EI9,"~","~~"),"*","~*"),"?","~?"),'DADOS_RESTRICOES'!$M$2:$Q$54,4,FALSE),0)+IFERROR(VLOOKUP(SUBSTITUTE(SUBSTITUTE(SUBSTITUTE($EJ9,"~","~~"),"*","~*"),"?","~?"),'DADOS_RESTRICOES'!$M$2:$Q$54,4,FALSE),0)&gt;1,$FD9&amp;" e "&amp;$FE9&amp;" são as duas de frequência",""),IF(AND((COUNTIF($KW9:$KZ9,"Rápido")+COUNTIF($FD9:$FE9,"Rápido"))&gt;0,(COUNTIF($EE9:$EH9,"Atrasar")+COUNTIF($FD9:$FE9,"Atrasar"))&gt;0),"Rápido não entra com Atrasar",""),IF(AND((COUNTIF($KW9:$KZ9,"Reação")+COUNTIF($FD9:$FE9,"Reação"))&gt;0,(COUNTIF($KW9:$KZ9,"Rápido")+COUNTIF($FD9:$FE9,"Rápido"))&gt;0),"Reação não entra com Rápido",""),IF(AND((COUNTIF($KW9:$KZ9,"Reação")+COUNTIF($FD9:$FE9,"Reação"))&gt;0,(COUNTIF($KW9:$KZ9,"Armado")+COUNTIF($FD9:$FE9,"Armado"))&gt;0),"Reação não entra com Armado",""),IF(AND((COUNTIF($KW9:$KZ9,"Reação")+COUNTIF($FD9:$FE9,"Reação"))&gt;0,(COUNTIF($EE9:$EH9,"Atrasar")+COUNTIF($FD9:$FE9,"Atrasar"))&gt;0),"Reação não entra com Atrasar",""),IF(AND((COUNTIF($KW9:$KZ9,"Reação")+COUNTIF($FD9:$FE9,"Reação"))&gt;0,(COUNTIF($EE9:$EH9,"Parado")+COUNTIF($FD9:$FE9,"Parado"))&gt;0),"Reação não entra com Parado",""),IF(AND((COUNTIF($EE9:$EH9,"Atrasar")+COUNTIF($FD9:$FE9,"Atrasar"))&gt;0,(COUNTIF($EE9:$EH9,"Parado")+COUNTIF($FD9:$FE9,"Parado"))&gt;0),"Atrasar não entra com Parado",""),IF(AND((COUNTIF($KW9:$KZ9,"Armado")+COUNTIF($FD9:$FE9,"Armado"))&gt;0,(COUNTIF($EE9:$EH9,"Carregar")+COUNTIF($FD9:$FE9,"Carregar"))&gt;0),"Armado não entra com Carregar",""),IF(AND(COUNTIF($FD9:$FE9,"Corpo a Corpo")&gt;0,$EY9=0,OR($LB9="Cone",$LB9="Linha")),"Corpo a Corpo não entra em "&amp;$ED9,""),IF(AND(COUNTIF($FD9:$FE9,"Corpo a Corpo")&gt;0,$LC9="Corpo a Corpo"),"A Forma "&amp;$ED9&amp;" já traz o Corpo a Corpo",""),IF(AND(COUNTIF($FD9:$FE9,"Tudo ou Nada")&gt;0,$FA9=0),"Tudo ou Nada só entra em feitiço de Teste de Resistência",""),IF(AND(COUNTIF($KW9:$KZ9,"Inescapável")&gt;0,OR($FN9&gt;1,$FO9&gt;0)),"Inescapável não aceita outra peça",""),IF(AND($DZ9=1,$EB9&lt;3),"Liberação Máxima é de Classe 3 ou mais",""),IF(AND($DZ9=1,OR($EZ9=1,$EZ9=2)),"Liberação Máxima não serve para cura",""),IF(AND($DZ9=1,COUNTIF($KW9:$KZ9,"Inescapável")+COUNTIF($KW9:$KZ9,"Toca a Alma")&gt;0),"Esta peça não entra numa Liberação Máxima",""),IF($FV9*IF(COUNTIF($KW9:$KZ9,"Remate")&gt;0,1.25,1)+$FW9&gt;4*$EB9,($FV9*IF(COUNTIF($KW9:$KZ9,"Remate")&gt;0,1.25,1)+$FW9)&amp;" dados somando repetições"&amp;IF(COUNTIF($KW9:$KZ9,"Remate")&gt;0," e o Remate","")&amp;": o teto da Classe "&amp;$EB9&amp;" é "&amp;4*$EB9,""))),IF(AND($EE9&lt;&gt;"",COUNTIF('DADOS_MELHORIAS'!$O$2:$O$113,SUBSTITUTE(SUBSTITUTE(SUBSTITUTE($EE9,"~","~~"),"*","~*"),"?","~?"))=0),"Melhoria não cadastrada ou com erro: "&amp;$EE9,""),IF(AND($EF9&lt;&gt;"",COUNTIF('DADOS_MELHORIAS'!$O$2:$O$113,SUBSTITUTE(SUBSTITUTE(SUBSTITUTE($EF9,"~","~~"),"*","~*"),"?","~?"))=0),"Melhoria não cadastrada ou com erro: "&amp;$EF9,""),IF(AND($EG9&lt;&gt;"",COUNTIF('DADOS_MELHORIAS'!$O$2:$O$113,SUBSTITUTE(SUBSTITUTE(SUBSTITUTE($EG9,"~","~~"),"*","~*"),"?","~?"))=0),"Melhoria não cadastrada ou com erro: "&amp;$EG9,""),IF(AND($EH9&lt;&gt;"",COUNTIF('DADOS_MELHORIAS'!$O$2:$O$113,SUBSTITUTE(SUBSTITUTE(SUBSTITUTE($EH9,"~","~~"),"*","~*"),"?","~?"))=0),"Melhoria não cadastrada ou com erro: "&amp;$EH9,""),IF(AND($EI9&lt;&gt;"",COUNTIF('DADOS_RESTRICOES'!$M$2:$M$54,SUBSTITUTE(SUBSTITUTE(SUBSTITUTE($EI9,"~","~~"),"*","~*"),"?","~?"))=0),"Restrição não cadastrada ou com erro: "&amp;$EI9,""),IF(AND($EJ9&lt;&gt;"",COUNTIF('DADOS_RESTRICOES'!$M$2:$M$54,SUBSTITUTE(SUBSTITUTE(SUBSTITUTE($EJ9,"~","~~"),"*","~*"),"?","~?"))=0),"Restrição não cadastrada ou com erro: "&amp;$EJ9,""))),IF(AND($ED9&lt;&gt;"",COUNTIF('DADOS_FORMAS'!$AH$2:$AH$21,SUBSTITUTE(SUBSTITUTE(SUBSTITUTE($ED9,"~","~~"),"*","~*"),"?","~?"))=0),"Forma não cadastrada ou com erro: "&amp;$ED9,""),IF(AND(IFERROR(INDEX('DADOS_FORMAS'!$AS$2:$AS$21,MATCH(SUBSTITUTE(SUBSTITUTE(SUBSTITUTE($ED9,"~","~~"),"*","~*"),"?","~?"),'DADOS_FORMAS'!$AH$2:$AH$21,0)),"")&lt;&gt;"",OR(IFERROR(VLOOKUP(SUBSTITUTE(SUBSTITUTE(SUBSTITUTE(IFERROR(INDEX('DADOS_FORMAS'!$AS$2:$AS$21,MATCH(SUBSTITUTE(SUBSTITUTE(SUBSTITUTE($ED9,"~","~~"),"*","~*"),"?","~?"),'DADOS_FORMAS'!$AH$2:$AH$21,0)),""),"~","~~"),"*","~*"),"?","~?"),'DADOS_RESTRICOES'!$M$2:$Q$54,2,FALSE),"")=$FD9,IFERROR(VLOOKUP(SUBSTITUTE(SUBSTITUTE(SUBSTITUTE(IFERROR(INDEX('DADOS_FORMAS'!$AS$2:$AS$21,MATCH(SUBSTITUTE(SUBSTITUTE(SUBSTITUTE($ED9,"~","~~"),"*","~*"),"?","~?"),'DADOS_FORMAS'!$AH$2:$AH$21,0)),""),"~","~~"),"*","~*"),"?","~?"),'DADOS_RESTRICOES'!$M$2:$Q$54,2,FALSE),"")=$FE9)),"Restrição repetida, contando a embutida",""),IF(IF(IFERROR(INDEX('DADOS_FORMAS'!$AS$2:$AS$21,MATCH(SUBSTITUTE(SUBSTITUTE(SUBSTITUTE($ED9,"~","~~"),"*","~*"),"?","~?"),'DADOS_FORMAS'!$AH$2:$AH$21,0)),"")="",0,IFERROR(N(VLOOKUP(SUBSTITUTE(SUBSTITUTE(SUBSTITUTE(IFERROR(INDEX('DADOS_FORMAS'!$AS$2:$AS$21,MATCH(SUBSTITUTE(SUBSTITUTE(SUBSTITUTE($ED9,"~","~~"),"*","~*"),"?","~?"),'DADOS_FORMAS'!$AH$2:$AH$21,0)),""),"~","~~"),"*","~*"),"?","~?"),'DADOS_RESTRICOES'!$M$2:$Q$54,4,FALSE)=1),0))+IF($EI9="",0,IFERROR(N(VLOOKUP(SUBSTITUTE(SUBSTITUTE(SUBSTITUTE($EI9,"~","~~"),"*","~*"),"?","~?"),'DADOS_RESTRICOES'!$M$2:$Q$54,4,FALSE)=1),0))+IF($EJ9="",0,IFERROR(N(VLOOKUP(SUBSTITUTE(SUBSTITUTE(SUBSTITUTE($EJ9,"~","~~"),"*","~*"),"?","~?"),'DADOS_RESTRICOES'!$M$2:$Q$54,4,FALSE)=1),0))&gt;1,"Duas Restrições de frequência, contando a embutida",""),IF(AND(IFERROR(VLOOKUP(SUBSTITUTE(SUBSTITUTE(SUBSTITUTE(IFERROR(INDEX('DADOS_FORMAS'!$AS$2:$AS$21,MATCH(SUBSTITUTE(SUBSTITUTE(SUBSTITUTE($ED9,"~","~~"),"*","~*"),"?","~?"),'DADOS_FORMAS'!$AH$2:$AH$21,0)),""),"~","~~"),"*","~*"),"?","~?"),'DADOS_RESTRICOES'!$M$2:$Q$54,2,FALSE),"")="Tudo ou Nada",$FA9=0),"Tudo ou Nada exige TR",""),IF(AND(IFERROR(VLOOKUP(SUBSTITUTE(SUBSTITUTE(SUBSTITUTE(IFERROR(INDEX('DADOS_FORMAS'!$AS$2:$AS$21,MATCH(SUBSTITUTE(SUBSTITUTE(SUBSTITUTE($ED9,"~","~~"),"*","~*"),"?","~?"),'DADOS_FORMAS'!$AH$2:$AH$21,0)),""),"~","~~"),"*","~*"),"?","~?"),'DADOS_RESTRICOES'!$M$2:$Q$54,2,FALSE),"")="Corpo a Corpo",OR($LB9="Cone",$LB9="Linha")),"Corpo a Corpo não entra em Cone/Linha","")))</f>
        <v/>
      </c>
      <c r="GM9" s="164">
        <f>IF($GL9="",0,(LEN($GL9)-LEN(SUBSTITUTE($GL9," · ","")))/3+1)</f>
        <v/>
      </c>
      <c r="GN9" s="164">
        <f>IF($EK9=0,"",TEXTJOIN(" · ",TRUE,IF($FQ9&gt;2*$EB9,"A devolução parou no teto de "&amp;2*$EB9,""),IF($FT9&gt;0,"Devolução perdida: "&amp;$FT9&amp;IF($FT9&gt;1," pontos"," ponto")&amp;" sem Melhoria para pagar",""),IF(AND($EW9&gt;0,$FV9=0),"Controle sem dano: uma rodada a mais e CD +2",""),IF(AND($EW9&gt;0,$FV9&gt;0,$FV9&lt;=$EB9),"Controle com saldo até a Classe: uma rodada a mais","")))</f>
        <v/>
      </c>
      <c r="GO9" s="164">
        <f>IF($GN9="",0,(LEN($GN9)-LEN(SUBSTITUTE($GN9," · ","")))/3+1)</f>
        <v/>
      </c>
      <c r="GP9" s="164">
        <f>IF($EK9=0,IF($FN9+$FO9-$EY9&gt;0,"Dê um nome",""),IF($GM9&gt;0,"⚠ "&amp;$GM9&amp;IF($GM9&gt;1," erros"," erro"),IF($GO9&gt;0,"! "&amp;$GO9&amp;IF($GO9&gt;1," avisos"," aviso"),"Na regra")))</f>
        <v/>
      </c>
      <c r="GQ9" s="164">
        <f>IF($EK9=0,"",IF($GM9+$GO9=0,"Dentro das regras que a ficha confere",$GL9&amp;IF(AND($GM9&gt;0,$GO9&gt;0)," · ","")&amp;$GN9))</f>
        <v/>
      </c>
      <c r="GR9" s="164">
        <f>IF($EK9=0,"",IF($DZ9=1,CEILING(4.5*$EB9,1),3*$EB9)&amp;" PE")</f>
        <v/>
      </c>
      <c r="GS9" s="164">
        <f>IF($EK9=0,"",IF($DZ9=1,"Rodada inteira",IF(COUNTIF($LD9:$LF9,"Atrasar")&gt;0,IF(COUNTIF($LD9:$LF9,"Carregar")&gt;0,"Rodada +1 turno","Rodada inteira"),IF(COUNTIF($KW9:$KZ9,"Rápido")&gt;0,"Bônus",IF(COUNTIF($KW9:$KZ9,"Reação")&gt;0,"Reação","Padrão"))&amp;IF(COUNTIF($LD9:$LF9,"Carregar")&gt;0," +1 turno",""))))</f>
        <v/>
      </c>
      <c r="GT9" s="164">
        <f>IF(OR($EK9=0,$EL9=0),"",IF(COUNTIF($KW9:$KZ9,"Inescapável")&gt;0,"Automático",IF(COUNTIF($KW9:$KZ9,"Certeiro")&gt;0,"TR para metade",IF(AND($EX9&gt;0,$FA9=0,INDEX('DADOS_FORMAS'!$FQ$2:$FQ$21,$EL9)="Acerto"),"Acerto + TR",INDEX('DADOS_FORMAS'!$FQ$2:$FQ$21,$EL9)))))</f>
        <v/>
      </c>
      <c r="GU9" s="164">
        <f>IF(OR($EK9=0,$EL9=0),"",IF(OR($EZ9&gt;=2,$FV9=0),UPPER(LEFT(INDEX($GE9:$GK9,1,$EB9),1))&amp;MID(INDEX($GE9:$GK9,1,$EB9),2,99),UPPER(LEFT(INDEX($GE9:$GK9,1,$EB9),1))&amp;MID(INDEX($GE9:$GK9,1,$EB9),2,99)&amp;" = "&amp;FLOOR($FV9*4.5,1)&amp;IF($FW9&gt;0," · +"&amp;$FW9&amp;"d8","")))</f>
        <v/>
      </c>
      <c r="GV9" s="164">
        <f>COUNTIF($KW9:$KZ9,"Longe")+3*COUNTIF($KW9:$KZ9,"Muito Longe")</f>
        <v/>
      </c>
      <c r="GW9" s="164">
        <f>COUNTIF($KW9:$KZ9,"Maior")+3*COUNTIF($KW9:$KZ9,"Muito Maior")</f>
        <v/>
      </c>
      <c r="GX9" s="164">
        <f>IF($EL9=0,0,CHOOSE(1+INDEX('DADOS_FORMAS'!$FS$2:$FS$21,$EL9),0,$GV9,$GW9,$GV9+$GW9))</f>
        <v/>
      </c>
      <c r="GY9" s="164">
        <f>IF($EL9=0,0,CHOOSE(1+INDEX('DADOS_FORMAS'!$FT$2:$FT$21,$EL9),0,$GV9,$GW9,$GV9+$GW9))</f>
        <v/>
      </c>
      <c r="GZ9" s="164">
        <f>IF(OR($EK9=0,$EL9=0),"",INDEX('DADOS_FORMAS'!$GZ$2:$HE$61,($EL9-1)*3+IF($EB9&gt;=6,3,2),1+MIN(5,$GX9))&amp;INDEX('DADOS_FORMAS'!$HF$2:$HK$61,($EL9-1)*3+IF($EB9&gt;=6,3,2),1+MIN(5,$GY9))&amp;IF(INDEX('DADOS_FORMAS'!$FU$2:$FU$21,$EL9)=1,IF(COUNTIF($KW9:$KZ9,"Mais Um")&gt;0," · +"&amp;COUNTIF($KW9:$KZ9,"Mais Um")&amp;IF(COUNTIF($KW9:$KZ9,"Mais Um")&gt;1," alvos"," alvo"),"")&amp;IF(COUNTIF($KW9:$KZ9,"Rajada")&gt;0," · "&amp;($EB9+1)&amp;" tiros",""),""))</f>
        <v/>
      </c>
      <c r="HA9" s="164">
        <f>IF($EK9=0,"",3*$EB9&amp;" − "&amp;$FP9&amp;" + "&amp;$FS9&amp;IF($DZ9=1," + "&amp;$EB9,"")&amp;" = "&amp;$FV9&amp;"d8 · teto "&amp;4*$EB9&amp;IF($EY9=1," · a Forma devolve "&amp;$EB9,"")&amp;IF($FT9&gt;0," · perde "&amp;$FT9,""))</f>
        <v/>
      </c>
      <c r="HB9" s="164">
        <f>IF($EK9=0,"",IF($EB9&gt;=$HM$4,"Já está na maior Classe que o nível liberou",TEXTJOIN(" · ",TRUE,IF(AND(2&gt;$EB9,2&lt;=$HM$4),"2 → "&amp;$GF9&amp;", "&amp;IF($DZ9=1,9,6)&amp;" PE",""),IF(AND(3&gt;$EB9,3&lt;=$HM$4),"3 → "&amp;$GG9&amp;", "&amp;IF($DZ9=1,14,9)&amp;" PE",""),IF(AND(4&gt;$EB9,4&lt;=$HM$4),"4 → "&amp;$GH9&amp;", "&amp;IF($DZ9=1,18,12)&amp;" PE",""),IF(AND(5&gt;$EB9,5&lt;=$HM$4),"5 → "&amp;$GI9&amp;", "&amp;IF($DZ9=1,23,15)&amp;" PE",""),IF(AND(6&gt;$EB9,6&lt;=$HM$4),"6 → "&amp;$GJ9&amp;", "&amp;IF($DZ9=1,27,18)&amp;" PE",""),IF(AND(7&gt;$EB9,7&lt;=$HM$4),"7 → "&amp;$GK9&amp;", "&amp;IF($DZ9=1,32,21)&amp;" PE",""))))</f>
        <v/>
      </c>
      <c r="HC9" s="164">
        <f>IF(OR($EK9=0,$EN9=0),"","−"&amp;INDEX($Q$2:$V$8,$EB9,$EN9)&amp;" · "&amp;CHOOSE($EN9,"Leve","Média","Pesada","Leve · Livre","Média · Livre","Pesada · Livre"))</f>
        <v/>
      </c>
      <c r="HD9" s="164">
        <f>IF(OR($EK9=0,$EO9=0),"","−"&amp;INDEX($Q$2:$V$8,$EB9,$EO9)&amp;" · "&amp;CHOOSE($EO9,"Leve","Média","Pesada","Leve · Livre","Média · Livre","Pesada · Livre"))</f>
        <v/>
      </c>
      <c r="HE9" s="164">
        <f>IF(OR($EK9=0,$EP9=0),"","−"&amp;INDEX($Q$2:$V$8,$EB9,$EP9)&amp;" · "&amp;CHOOSE($EP9,"Leve","Média","Pesada","Leve · Livre","Média · Livre","Pesada · Livre"))</f>
        <v/>
      </c>
      <c r="HF9" s="164">
        <f>IF(OR($EK9=0,$EQ9=0),"","−"&amp;INDEX($Q$2:$V$8,$EB9,$EQ9)&amp;" · "&amp;CHOOSE($EQ9,"Leve","Média","Pesada","Leve · Livre","Média · Livre","Pesada · Livre"))</f>
        <v/>
      </c>
      <c r="HG9" s="164">
        <f>IF(OR($EK9=0,$EI9=""),"","+"&amp;IF($FB9=1,CEILING($EB9/2,1),$EB9))</f>
        <v/>
      </c>
      <c r="HH9" s="164">
        <f>IF(OR($EK9=0,$EJ9=""),"","+"&amp;IF($FC9=1,CEILING($EB9/2,1),$EB9))</f>
        <v/>
      </c>
      <c r="HI9" s="164">
        <f>'FICHA AMALDIÇOADA'!$J$108&amp;""</f>
        <v/>
      </c>
      <c r="HJ9" s="164">
        <f>IF(AND($EK9=1,$DZ9=0),COUNTIFS($EK$2:$EK9,1,$DZ$2:$DZ9,0),"")</f>
        <v/>
      </c>
      <c r="HL9" s="162" t="inlineStr">
        <is>
          <t>liberações</t>
        </is>
      </c>
      <c r="HM9" s="164">
        <f>COUNTIF($DD$2:$DD$4,"&lt;="&amp;$HM$2)</f>
        <v/>
      </c>
      <c r="HO9" s="162" t="inlineStr">
        <is>
          <t>Talento 8 · Leque</t>
        </is>
      </c>
      <c r="HP9" s="164">
        <f>'FICHA AMALDIÇOADA'!$P$410&amp;""</f>
        <v/>
      </c>
      <c r="HQ9" s="164">
        <f>IFERROR(VLOOKUP(SUBSTITUTE(SUBSTITUTE(SUBSTITUTE($HP9,"~","~~"),"*","~*"),"?","~?"),'DADOS_TALENTOS'!$AQ$2:$AW$34,2,FALSE),0)</f>
        <v/>
      </c>
      <c r="HR9" s="164">
        <f>IFERROR(VLOOKUP($HQ9,$CA$2:$CB$4,2,FALSE),0)</f>
        <v/>
      </c>
      <c r="HS9" s="164">
        <f>IFERROR(VLOOKUP(SUBSTITUTE(SUBSTITUTE(SUBSTITUTE($HP9,"~","~~"),"*","~*"),"?","~?"),'DADOS_TALENTOS'!$AQ$2:$AW$34,3,FALSE),"")</f>
        <v/>
      </c>
      <c r="HT9" s="164">
        <f>IF($HQ9=0,"",IF($HR9&gt;$HM$2,"⚠ Nível "&amp;$HR9,"CE "&amp;$HQ9))&amp;IF('DADOS_AM'!$LO9="",""," · ⚠ "&amp;'DADOS_AM'!$LO9)</f>
        <v/>
      </c>
      <c r="HU9" s="164">
        <f>IF($HQ9=0,"",IF(3&gt;$HM$8,"⚠ Vaga","Grátis"))</f>
        <v/>
      </c>
      <c r="HV9" s="164">
        <f>'FICHA AMALDIÇOADA'!$Q$415&amp;""</f>
        <v/>
      </c>
      <c r="HW9" s="164">
        <f>IF($HP9="","",COUNTIF($HP$2:$HP9,"?*"))</f>
        <v/>
      </c>
      <c r="HY9" s="162" t="inlineStr">
        <is>
          <t>Aptidão 8</t>
        </is>
      </c>
      <c r="HZ9" s="164">
        <f>'FICHA AMALDIÇOADA'!$J$485&amp;""</f>
        <v/>
      </c>
      <c r="IA9" s="164">
        <f>IF($HZ9="","","Requisito: "&amp;IFERROR(VLOOKUP(SUBSTITUTE(SUBSTITUTE(SUBSTITUTE($HZ9,"~","~~"),"*","~*"),"?","~?"),'DADOS_APTIDOES'!$BF$2:$BO$45,2,FALSE),""))&amp;IF($LK9="",""," · ⚠ "&amp;$LK9)</f>
        <v/>
      </c>
      <c r="IB9" s="164">
        <f>IF($HZ9="","",IFERROR(IF(ISNUMBER(VLOOKUP(SUBSTITUTE(SUBSTITUTE(SUBSTITUTE($HZ9,"~","~~"),"*","~*"),"?","~?"),'DADOS_APTIDOES'!$BF$2:$BO$45,3,FALSE)),"CE "&amp;VLOOKUP(SUBSTITUTE(SUBSTITUTE(SUBSTITUTE($HZ9,"~","~~"),"*","~*"),"?","~?"),'DADOS_APTIDOES'!$BF$2:$BO$45,3,FALSE),VLOOKUP(SUBSTITUTE(SUBSTITUTE(SUBSTITUTE($HZ9,"~","~~"),"*","~*"),"?","~?"),'DADOS_APTIDOES'!$BF$2:$BO$45,3,FALSE)),""))</f>
        <v/>
      </c>
      <c r="IC9" s="164">
        <f>IF($HZ9="","",IFERROR(VLOOKUP(SUBSTITUTE(SUBSTITUTE(SUBSTITUTE($HZ9,"~","~~"),"*","~*"),"?","~?"),'DADOS_APTIDOES'!$BF$2:$BO$45,4,FALSE),""))</f>
        <v/>
      </c>
      <c r="ID9" s="164">
        <f>IF($HZ9="","",IFERROR(VLOOKUP(SUBSTITUTE(SUBSTITUTE(SUBSTITUTE($HZ9,"~","~~"),"*","~*"),"?","~?"),'DADOS_APTIDOES'!$BF$2:$BO$45,5,FALSE),""))</f>
        <v/>
      </c>
      <c r="IE9" s="164">
        <f>'FICHA AMALDIÇOADA'!$K$502&amp;""</f>
        <v/>
      </c>
      <c r="IF9" s="164">
        <f>IF($HZ9="","",COUNTIF($HZ$2:$HZ9,"?*"))</f>
        <v/>
      </c>
      <c r="IQ9" s="162" t="inlineStr">
        <is>
          <t>Talentos</t>
        </is>
      </c>
      <c r="IR9" s="164">
        <f>ADDRESS(ROW('FICHA AMALDIÇOADA'!M7),COLUMN('FICHA AMALDIÇOADA'!M7),4)</f>
        <v/>
      </c>
      <c r="IS9" s="164">
        <f>ADDRESS(ROW('FICHA AMALDIÇOADA'!D389),COLUMN('FICHA AMALDIÇOADA'!D389),4)</f>
        <v/>
      </c>
      <c r="IT9" s="162" t="inlineStr">
        <is>
          <t>DADOS_AM!$IQ$9</t>
        </is>
      </c>
      <c r="IV9" s="162" t="inlineStr">
        <is>
          <t>Trilha 19</t>
        </is>
      </c>
      <c r="IW9" s="164" t="n">
        <v>19</v>
      </c>
      <c r="IX9" s="164">
        <f>IF($HM$2&gt;=19,"Nível 19","Abre no 19")</f>
        <v/>
      </c>
      <c r="IY9" s="164">
        <f>ADDRESS(ROW(FICHA!G183),COLUMN(FICHA!G183),4)</f>
        <v/>
      </c>
      <c r="IZ9" s="164">
        <f>ADDRESS(ROW(FICHA!D184),COLUMN(FICHA!D184),4)</f>
        <v/>
      </c>
      <c r="JH9" s="164" t="n">
        <v>8</v>
      </c>
      <c r="JI9" s="164">
        <f>IFERROR(MATCH(8,$HJ$2:$HJ$37,0),0)</f>
        <v/>
      </c>
      <c r="JJ9" s="164">
        <f>IF($JI9=0,"",INDEX($EB$2:$EB$37,$JI9))</f>
        <v/>
      </c>
      <c r="JK9" s="164">
        <f>IF($JI9=0,"",INDEX($EC$2:$EC$37,$JI9))</f>
        <v/>
      </c>
      <c r="JL9" s="164">
        <f>IF($JI9=0,"",INDEX($GR$2:$GR$37,$JI9))</f>
        <v/>
      </c>
      <c r="JM9" s="164">
        <f>IF($JI9=0,"",INDEX($ED$2:$ED$37,$JI9))</f>
        <v/>
      </c>
      <c r="JN9" s="164">
        <f>IF($JI9=0,"",INDEX($GT$2:$GT$37,$JI9))</f>
        <v/>
      </c>
      <c r="JO9" s="164">
        <f>IF($JI9=0,"",INDEX($HI$2:$HI$37,$JI9))</f>
        <v/>
      </c>
      <c r="KF9" s="162" t="inlineStr">
        <is>
          <t>Talento 6</t>
        </is>
      </c>
      <c r="KG9" s="164">
        <f>IFERROR(MATCH(6,$HW$2:$HW$13,0),0)</f>
        <v/>
      </c>
      <c r="KH9" s="164">
        <f>IF($KG9=0,"",IF(INDEX($HQ$2:$HQ$13,$KG9)=0,"","CE "&amp;INDEX($HQ$2:$HQ$13,$KG9)))</f>
        <v/>
      </c>
      <c r="KI9" s="164">
        <f>IF($KG9=0,"",INDEX($HP$2:$HP$13,$KG9))</f>
        <v/>
      </c>
      <c r="KJ9" s="164">
        <f>IF($KG9=0,"",IF(INDEX($HV$2:$HV$13,$KG9)&lt;&gt;"",INDEX($HV$2:$HV$13,$KG9),IF(IFERROR(VLOOKUP(SUBSTITUTE(SUBSTITUTE(SUBSTITUTE(INDEX($HP$2:$HP$13,$KG9),"~","~~"),"*","~*"),"?","~?"),'DADOS_TALENTOS'!$AQ$2:$AW$34,7,FALSE),"")&lt;&gt;"","Do livro: "&amp;IFERROR(VLOOKUP(SUBSTITUTE(SUBSTITUTE(SUBSTITUTE(INDEX($HP$2:$HP$13,$KG9),"~","~~"),"*","~*"),"?","~?"),'DADOS_TALENTOS'!$AQ$2:$AW$34,7,FALSE),""),"")))</f>
        <v/>
      </c>
      <c r="KL9" s="162" t="inlineStr">
        <is>
          <t>Aptidão 6</t>
        </is>
      </c>
      <c r="KM9" s="164">
        <f>IFERROR(MATCH(6,$IF$2:$IF$13,0),0)</f>
        <v/>
      </c>
      <c r="KN9" s="164">
        <f>IF($KM9=0,"",INDEX($IB$2:$IB$13,$KM9))</f>
        <v/>
      </c>
      <c r="KO9" s="164">
        <f>IF($KM9=0,"",INDEX($HZ$2:$HZ$13,$KM9))</f>
        <v/>
      </c>
      <c r="KP9" s="164">
        <f>IF($KM9=0,"",IF(INDEX($IE$2:$IE$13,$KM9)&lt;&gt;"",INDEX($IE$2:$IE$13,$KM9),IF(IFERROR(VLOOKUP(SUBSTITUTE(SUBSTITUTE(SUBSTITUTE(INDEX($HZ$2:$HZ$13,$KM9),"~","~~"),"*","~*"),"?","~?"),'DADOS_APTIDOES'!$BF$2:$BO$45,10,FALSE),"")&lt;&gt;"","Do livro: "&amp;IFERROR(VLOOKUP(SUBSTITUTE(SUBSTITUTE(SUBSTITUTE(INDEX($HZ$2:$HZ$13,$KM9),"~","~~"),"*","~*"),"?","~?"),'DADOS_APTIDOES'!$BF$2:$BO$45,10,FALSE),""),"")))</f>
        <v/>
      </c>
      <c r="KR9" s="162" t="inlineStr">
        <is>
          <t>tag dom</t>
        </is>
      </c>
      <c r="KS9" s="164">
        <f>"Dom"</f>
        <v/>
      </c>
      <c r="KU9" s="162" t="inlineStr">
        <is>
          <t>P16</t>
        </is>
      </c>
      <c r="KV9" s="164">
        <f>IF(DADOS_AM!$A$2=2,IF(DADOS_AM!$HM$41="","","Aberta, sem os gates de nível e de refino · conta como uma aptidão a mais"),IF(DADOS_AM!$A$2=3,"Fere maldição: o Corpo Amaldiçoado tem Canalizar Energia",IF(DADOS_AM!$A$2=4,IF(DADOS_AM!$HM$41="","",IF(DADOS_AM!$HM$41="Ferramenta de carregar","Não fere maldição: só as Katas ferem","Fere maldição")),"—")))</f>
        <v/>
      </c>
      <c r="KW9">
        <f>IF($EE9="","",IFERROR(VLOOKUP(SUBSTITUTE(SUBSTITUTE(SUBSTITUTE($EE9,"~","~~"),"*","~*"),"?","~?"),'DADOS_MELHORIAS'!$O$2:$X$113,10,FALSE),$EE9))</f>
        <v/>
      </c>
      <c r="KX9">
        <f>IF($EF9="","",IFERROR(VLOOKUP(SUBSTITUTE(SUBSTITUTE(SUBSTITUTE($EF9,"~","~~"),"*","~*"),"?","~?"),'DADOS_MELHORIAS'!$O$2:$X$113,10,FALSE),$EF9))</f>
        <v/>
      </c>
      <c r="KY9">
        <f>IF($EG9="","",IFERROR(VLOOKUP(SUBSTITUTE(SUBSTITUTE(SUBSTITUTE($EG9,"~","~~"),"*","~*"),"?","~?"),'DADOS_MELHORIAS'!$O$2:$X$113,10,FALSE),$EG9))</f>
        <v/>
      </c>
      <c r="KZ9">
        <f>IF($EH9="","",IFERROR(VLOOKUP(SUBSTITUTE(SUBSTITUTE(SUBSTITUTE($EH9,"~","~~"),"*","~*"),"?","~?"),'DADOS_MELHORIAS'!$O$2:$X$113,10,FALSE),$EH9))</f>
        <v/>
      </c>
      <c r="LB9">
        <f>IFERROR(INDEX('DADOS_FORMAS'!$BJ$2:$BJ$21,MATCH(SUBSTITUTE(SUBSTITUTE(SUBSTITUTE($ED9,"~","~~"),"*","~*"),"?","~?"),'DADOS_FORMAS'!$AH$2:$AH$21,0)),"")</f>
        <v/>
      </c>
      <c r="LC9">
        <f>IFERROR(VLOOKUP(SUBSTITUTE(SUBSTITUTE(SUBSTITUTE(IFERROR(INDEX('DADOS_FORMAS'!$AS$2:$AS$21,MATCH(SUBSTITUTE(SUBSTITUTE(SUBSTITUTE($ED9,"~","~~"),"*","~*"),"?","~?"),'DADOS_FORMAS'!$AH$2:$AH$21,0)),""),"~","~~"),"*","~*"),"?","~?"),'DADOS_RESTRICOES'!$M$2:$Q$54,2,FALSE),"")</f>
        <v/>
      </c>
      <c r="LD9">
        <f>$FD9</f>
        <v/>
      </c>
      <c r="LE9">
        <f>$FE9</f>
        <v/>
      </c>
      <c r="LF9">
        <f>$LC9</f>
        <v/>
      </c>
      <c r="LH9">
        <f>'FICHA AMALDIÇOADA'!$J$485&amp;""</f>
        <v/>
      </c>
      <c r="LI9">
        <f>IF($LH9="","",IF(IFERROR(INDEX('DADOS_APTIDOES'!$X$2:$X$45,MATCH(SUBSTITUTE(SUBSTITUTE(SUBSTITUTE($LH9,"~","~~"),"*","~*"),"?","~?"),'DADOS_APTIDOES'!$O$2:$O$45,0)),"")="",$LH9,IFERROR(INDEX('DADOS_APTIDOES'!$X$2:$X$45,MATCH(SUBSTITUTE(SUBSTITUTE(SUBSTITUTE($LH9,"~","~~"),"*","~*"),"?","~?"),'DADOS_APTIDOES'!$O$2:$O$45,0)),"")))</f>
        <v/>
      </c>
      <c r="LJ9">
        <f>IF(LEFT($LI9,16)="Aptidão Própria (","Aptidão Própria",IF(LEFT($LI9,15)="Bênção Própria (","Bênção Própria",$LI9))</f>
        <v/>
      </c>
      <c r="LK9">
        <f>IF($LH9="","",TEXTJOIN(" · ",TRUE,$LP9:$MJ9))</f>
        <v/>
      </c>
      <c r="LL9">
        <f>IF($LH9="",0,IF(IFERROR(INDEX('DADOS_APTIDOES'!$W$2:$W$45,MATCH(SUBSTITUTE(SUBSTITUTE(SUBSTITUTE($LH9,"~","~~"),"*","~*"),"?","~?"),'DADOS_APTIDOES'!$O$2:$O$45,0)),"")="Gratuita",0,1))</f>
        <v/>
      </c>
      <c r="LO9">
        <f>IF('FICHA AMALDIÇOADA'!$P$410="","",TEXTJOIN(" · ",TRUE,IF(COUNTIF('DADOS_TALENTOS'!$M$2:$M$34,SUBSTITUTE(SUBSTITUTE(SUBSTITUTE('FICHA AMALDIÇOADA'!$P$410,"~","~~"),"*","~*"),"?","~?"))=0,"Talento não cadastrado ou com erro",""),IF(COUNTIF('DADOS_TALENTOS'!$AV$2:$AV$34,SUBSTITUTE(SUBSTITUTE(SUBSTITUTE('FICHA AMALDIÇOADA'!$P$410,"~","~~"),"*","~*"),"?","~?"))=0,"Talento incompatível com a rota","")))</f>
        <v/>
      </c>
      <c r="LP9">
        <f>IF(COUNTIF('DADOS_APTIDOES'!$O$2:$O$45,SUBSTITUTE(SUBSTITUTE(SUBSTITUTE($LH9,"~","~~"),"*","~*"),"?","~?"))=0,"Aptidão não cadastrada ou com erro","")</f>
        <v/>
      </c>
      <c r="LQ9">
        <f>IF(COUNTIF('DADOS_APTIDOES'!$BK$2:$BK$45,SUBSTITUTE(SUBSTITUTE(SUBSTITUTE($LH9,"~","~~"),"*","~*"),"?","~?"))=0,"Rota/origem incompatível ou capacidade inicial automática","")</f>
        <v/>
      </c>
      <c r="LR9">
        <f>IF(AND(NOT(OR(FALSE)),DADOS_AM!$HM$2&lt;IFERROR(INDEX('DADOS_APTIDOES'!$U$2:$U$45,MATCH(SUBSTITUTE(SUBSTITUTE(SUBSTITUTE($LH9,"~","~~"),"*","~*"),"?","~?"),'DADOS_APTIDOES'!$O$2:$O$45,0)),1)),"Nível mínimo não atendido","")</f>
        <v/>
      </c>
      <c r="LS9">
        <f>IF(AND(NOT(OR(FALSE)),DADOS_AM!$HM$6&lt;MAX(IF(AND($LI9="Domínio Simples",FALSE,IFERROR(INDEX('DADOS_APTIDOES'!$V$2:$V$45,MATCH(SUBSTITUTE(SUBSTITUTE(SUBSTITUTE($LH9,"~","~~"),"*","~*"),"?","~?"),'DADOS_APTIDOES'!$O$2:$O$45,0)),1)=5),4,IFERROR(INDEX('DADOS_APTIDOES'!$V$2:$V$45,MATCH(SUBSTITUTE(SUBSTITUTE(SUBSTITUTE($LH9,"~","~~"),"*","~*"),"?","~?"),'DADOS_APTIDOES'!$O$2:$O$45,0)),1)),IF(IFERROR(INDEX('DADOS_APTIDOES'!$N$2:$N$45,MATCH(SUBSTITUTE(SUBSTITUTE(SUBSTITUTE($LH9,"~","~~"),"*","~*"),"?","~?"),'DADOS_APTIDOES'!$O$2:$O$45,0)),"")="Bênção",IF(IFERROR(INDEX('DADOS_APTIDOES'!$T$2:$T$45,MATCH(SUBSTITUTE(SUBSTITUTE(SUBSTITUTE($LH9,"~","~~"),"*","~*"),"?","~?"),'DADOS_APTIDOES'!$O$2:$O$45,0)),0)=3,7,IF(IFERROR(INDEX('DADOS_APTIDOES'!$T$2:$T$45,MATCH(SUBSTITUTE(SUBSTITUTE(SUBSTITUTE($LH9,"~","~~"),"*","~*"),"?","~?"),'DADOS_APTIDOES'!$O$2:$O$45,0)),0)=2,4,1)),1))),"Refino/Lapidação mínimo não atendido","")</f>
        <v/>
      </c>
      <c r="LT9">
        <f>IF(COUNTIF($LJ$2:$LJ9,SUBSTITUTE(SUBSTITUTE(SUBSTITUTE($LJ9,"~","~~"),"*","~*"),"?","~?"))&gt;1,"Aptidão/Bênção repetida","")</f>
        <v/>
      </c>
      <c r="LU9">
        <f>IF(AND(NOT(OR(FALSE)),AND($LI9="Circulação",COUNTIF($LI$2:$LI8,"Energia Reversa")=0)),"Exige aquisição anterior: Energia Reversa","")</f>
        <v/>
      </c>
      <c r="LV9">
        <f>IF(AND(NOT(OR(FALSE)),AND($LI9="Regravação",COUNTIF($LI$2:$LI8,"Circulação")=0)),"Exige aquisição anterior: Circulação","")</f>
        <v/>
      </c>
      <c r="LW9">
        <f>IF(AND(NOT(OR(FALSE)),AND($LI9="Cortina",COUNTIF($LI$2:$LI8,"Barreira Simples")=0)),"Exige aquisição anterior: Barreira Simples","")</f>
        <v/>
      </c>
      <c r="LX9">
        <f>IF(AND(NOT(OR(FALSE)),AND($LI9="Ritual",'FICHA'!AB19&lt;5)),"Exige Inteligência 5","")</f>
        <v/>
      </c>
      <c r="LY9">
        <f>IF(AND(NOT(OR(FALSE)),AND($LI9="Ímpeto",'FICHA'!L19&lt;4)),"Exige Destreza 4","")</f>
        <v/>
      </c>
      <c r="LZ9">
        <f>IF(AND(NOT(OR(FALSE)),AND($LI9="Casco",'FICHA'!T19&lt;4)),"Exige Constituição 4","")</f>
        <v/>
      </c>
      <c r="MA9">
        <f>IF(AND(NOT(OR(FALSE)),AND($LI9="Presilha",'FICHA'!D19&lt;4)),"Exige Força 4","")</f>
        <v/>
      </c>
      <c r="MB9">
        <f>IF(AND(NOT(OR(FALSE)),AND($LI9="Antecipar",'FICHA'!AB19&lt;4)),"Exige Inteligência 4","")</f>
        <v/>
      </c>
      <c r="MC9">
        <f>IF(AND(NOT(OR(FALSE)),AND($LI9="Sangue Frio",'FICHA'!T19&lt;4)),"Exige Constituição 4","")</f>
        <v/>
      </c>
      <c r="MD9">
        <f>IF(AND(NOT(OR(FALSE)),AND($LI9="Assombro",'FICHA'!AJ19&lt;4)),"Exige Essência 4","")</f>
        <v/>
      </c>
      <c r="ME9">
        <f>IF(AND(NOT(OR(FALSE)),$LI9="Cesta Oca de Vime"),"Conferir Encarnado ou treino em História","")</f>
        <v/>
      </c>
      <c r="MF9">
        <f>IF(AND(NOT(OR(FALSE)),$LI9="Pétala"),"Conferir Descendente ou aprendizado de clã","")</f>
        <v/>
      </c>
      <c r="MG9">
        <f>IF(AND(NOT(OR(FALSE)),$LI9="Domínio Simples"),"Conferir aprendizado de Domínio Simples","")</f>
        <v/>
      </c>
      <c r="MH9">
        <f>IF(AND(NOT(OR(FALSE)),$LI9="Extensão de Domínio"),"Conferir aprendizado de Extensão de Domínio","")</f>
        <v/>
      </c>
      <c r="MI9">
        <f>IF(AND(NOT(OR(FALSE)),$LI9="Ritual"),"Conferir Técnica Inata","")</f>
        <v/>
      </c>
      <c r="MJ9">
        <f>IF(AND(NOT(OR(FALSE)),AND($LI9="Represália",MAX('FICHA'!D19,'FICHA'!L19)&lt;4)),"Exige Força ou Destreza 4","")</f>
        <v/>
      </c>
    </row>
    <row r="10">
      <c r="C10" s="162" t="inlineStr">
        <is>
          <t>graça 2</t>
        </is>
      </c>
      <c r="D10" s="162" t="inlineStr">
        <is>
          <t>Canalizar Energia</t>
        </is>
      </c>
      <c r="E10" s="162" t="inlineStr">
        <is>
          <t>Canalizar Energia</t>
        </is>
      </c>
      <c r="F10" s="162" t="inlineStr">
        <is>
          <t>Canalizar Energia</t>
        </is>
      </c>
      <c r="G10" s="162" t="inlineStr">
        <is>
          <t>Estímulo Muscular</t>
        </is>
      </c>
      <c r="I10" s="162" t="inlineStr">
        <is>
          <t>Amparo</t>
        </is>
      </c>
      <c r="J10" s="164">
        <f>'FICHA AMALDIÇOADA'!$P$37&amp;""</f>
        <v/>
      </c>
      <c r="K10" s="164">
        <f>IF($J10="Livre",1,0)</f>
        <v/>
      </c>
      <c r="L10" s="164">
        <f>IF($J10="Fechada",1,0)</f>
        <v/>
      </c>
      <c r="Y10" s="162" t="inlineStr">
        <is>
          <t>Onda</t>
        </is>
      </c>
      <c r="Z10" s="162" t="inlineStr">
        <is>
          <t>Amparo</t>
        </is>
      </c>
      <c r="AA10" s="164" t="n">
        <v>3</v>
      </c>
      <c r="AB10" s="164">
        <f>IF($AA10=0,0,$AA10+3*IFERROR(VLOOKUP($Z10,'DADOS_CRIACAO'!$H$2:$K$20,3,FALSE),0))</f>
        <v/>
      </c>
      <c r="AC10" s="164">
        <f>IFERROR(VLOOKUP($Z10,'DADOS_CRIACAO'!$H$2:$K$20,4,FALSE),0)</f>
        <v/>
      </c>
      <c r="AD10" s="164" t="n">
        <v>0</v>
      </c>
      <c r="AE10" s="164" t="n">
        <v>1</v>
      </c>
      <c r="AF10" s="162" t="inlineStr">
        <is>
          <t>Automático</t>
        </is>
      </c>
      <c r="AG10" s="164" t="n">
        <v>0</v>
      </c>
      <c r="AH10" s="164" t="n">
        <v>2</v>
      </c>
      <c r="AI10" s="164" t="n">
        <v>0</v>
      </c>
      <c r="AJ10" s="164" t="n">
        <v>0</v>
      </c>
      <c r="AK10" s="164" t="n">
        <v>0</v>
      </c>
      <c r="AL10" s="164">
        <f>IF($AC10=1,"",$Y10)</f>
        <v/>
      </c>
      <c r="AM10" s="164">
        <f>IF(AND($AK10=1,$AC10=0),$Y10,"")</f>
        <v/>
      </c>
      <c r="AO10" s="162" t="inlineStr">
        <is>
          <t>Explosão · classes 6 e 7</t>
        </is>
      </c>
      <c r="AP10" s="162" t="inlineStr">
        <is>
          <t>Raio 4,5 m</t>
        </is>
      </c>
      <c r="AQ10" s="162" t="inlineStr">
        <is>
          <t>Raio 6 m</t>
        </is>
      </c>
      <c r="AR10" s="162" t="inlineStr">
        <is>
          <t>Raio 9 m</t>
        </is>
      </c>
      <c r="AS10" s="162" t="inlineStr">
        <is>
          <t>Raio 15 m</t>
        </is>
      </c>
      <c r="AT10" s="162" t="inlineStr">
        <is>
          <t>Raio 15 m</t>
        </is>
      </c>
      <c r="AU10" s="162" t="inlineStr">
        <is>
          <t>Raio 15 m</t>
        </is>
      </c>
      <c r="AV10" s="162" t="inlineStr">
        <is>
          <t>, a 36 m</t>
        </is>
      </c>
      <c r="AW10" s="162" t="inlineStr">
        <is>
          <t>, a 90 m</t>
        </is>
      </c>
      <c r="AX10" s="162" t="inlineStr">
        <is>
          <t>, a visão a olho nu</t>
        </is>
      </c>
      <c r="AY10" s="162" t="inlineStr">
        <is>
          <t>, a visão a olho nu</t>
        </is>
      </c>
      <c r="AZ10" s="162" t="inlineStr">
        <is>
          <t>, a visão a olho nu</t>
        </is>
      </c>
      <c r="BA10" s="162" t="inlineStr">
        <is>
          <t>, a visão a olho nu</t>
        </is>
      </c>
      <c r="BC10" s="162" t="inlineStr">
        <is>
          <t>Escolher</t>
        </is>
      </c>
      <c r="BD10" s="162" t="inlineStr">
        <is>
          <t>Área</t>
        </is>
      </c>
      <c r="BE10" s="164" t="n">
        <v>2</v>
      </c>
      <c r="BF10" s="164">
        <f>$BE10+3*IFERROR(VLOOKUP($BD10,'DADOS_CRIACAO'!$H$2:$K$20,3,FALSE),0)</f>
        <v/>
      </c>
      <c r="BG10" s="164">
        <f>IFERROR(VLOOKUP($BD10,'DADOS_CRIACAO'!$H$2:$K$20,4,FALSE),0)</f>
        <v/>
      </c>
      <c r="BH10" s="164" t="n">
        <v>0</v>
      </c>
      <c r="BI10" s="164">
        <f>IF($BG10=1,"",$BC10)</f>
        <v/>
      </c>
      <c r="BJ10" s="164">
        <f>IF(AND($BE10=1,$BG10=0),$BC10,"")</f>
        <v/>
      </c>
      <c r="BK10" s="164" t="n">
        <v>0</v>
      </c>
      <c r="BM10" s="162" t="inlineStr">
        <is>
          <t>Fraqueza (Leve)</t>
        </is>
      </c>
      <c r="BN10" s="162" t="inlineStr">
        <is>
          <t>Fraqueza</t>
        </is>
      </c>
      <c r="BO10" s="164" t="n">
        <v>1</v>
      </c>
      <c r="BP10" s="164" t="n">
        <v>0</v>
      </c>
      <c r="BQ10" s="162" t="inlineStr">
        <is>
          <t>Fraqueza (Leve)</t>
        </is>
      </c>
      <c r="BS10" s="162" t="inlineStr">
        <is>
          <t>Segunda Natureza</t>
        </is>
      </c>
      <c r="BT10" s="164" t="n">
        <v>2</v>
      </c>
      <c r="BU10" s="162" t="inlineStr">
        <is>
          <t>Uma vez por dia, você pode conjurar um feitiço conhecido de Classe até metade da sua maior Classe, arredondada para baixo, sem pagar seu custo normal de PE. Declare o uso antes de conjurar.</t>
        </is>
      </c>
      <c r="BV10" s="164" t="n">
        <v>1</v>
      </c>
      <c r="BW10" s="164" t="n">
        <v>0</v>
      </c>
      <c r="BX10" s="164">
        <f>IF(OR(AND($A$2&lt;=2,$BV10=1),AND($A$2&gt;=2,$BW10=1)),$BS10,"")</f>
        <v/>
      </c>
      <c r="BY10" s="162" t="inlineStr">
        <is>
          <t>Uma vez por dia, você pode conjurar um feitiço conhecido de Classe até metade da sua maior Classe, arredondada para baixo, sem pagar seu custo normal de PE. Declare o uso antes de conjurar.</t>
        </is>
      </c>
      <c r="CD10" s="162" t="inlineStr">
        <is>
          <t>Cesta Oca de Vime</t>
        </is>
      </c>
      <c r="CE10" s="162" t="inlineStr">
        <is>
          <t>Ser Encarnado ou treinado em História</t>
        </is>
      </c>
      <c r="CF10" s="164" t="n">
        <v>1</v>
      </c>
      <c r="CG10" s="162" t="inlineStr">
        <is>
          <t>—</t>
        </is>
      </c>
      <c r="CH10" s="162" t="inlineStr">
        <is>
          <t>Você forma um símbolo com as duas mãos e cria uma barreira em volta de si. Use a ativação de Proteção contra domínios. A Cesta não cobra manutenção. Ela anula o Acerto garantido contra você, mas não o Efeito da Expansão. Enquanto mantém as duas mãos no símbolo, pode agir, mover-se e atacar com partes livres do corpo. Não pode usar essas mãos para empunhar arma ou escudo, agarrar ou realizar um gesto exigido por outra ação. Soltar o símbolo libera suas mãos e não encerra imediatamente a Cesta. Enquanto o símbolo estiver solto, cada Acerto de dano impedido pela Cesta acrescenta uma falha, no máximo uma dessas falhas por rodada. Um Acerto que não causa dano não acrescenta essa falha automática. Retomar o símbolo interrompe esse desgaste, sem apagar as falhas anteriores. Cada golpe que acertar você exige TR Espírito contra a CD de quem o atingiu, mesmo se o dano for reduzido a zero. Uma falha acrescenta uma falha à Cesta. O Acerto já anulado pela própria Cesta não é um golpe recebido para esse teste. Ela cai quando acumula metade de sua Essência em falhas, arredondada para baixo, mínimo 1. O teste é próprio da Cesta: não ocupa Concentração e não recebe a dispensa de Mão Firme.</t>
        </is>
      </c>
      <c r="CI10" s="164">
        <f>IF($CL10=1,"",IF($A$2=4,IF($CJ10=1,$CD10,""),IF(OR($CJ10=1,AND($A$2=3,$CK10=1)),"",$CD10)))</f>
        <v/>
      </c>
      <c r="CJ10" s="164" t="n">
        <v>0</v>
      </c>
      <c r="CK10" s="164" t="n">
        <v>0</v>
      </c>
      <c r="CL10" s="164" t="n">
        <v>0</v>
      </c>
      <c r="CM10" s="162" t="inlineStr">
        <is>
          <t>Você forma um símbolo com as duas mãos e cria uma barreira em volta de si.</t>
        </is>
      </c>
      <c r="CU10" s="162" t="inlineStr">
        <is>
          <t>Ceifa</t>
        </is>
      </c>
      <c r="CV10" s="164" t="n">
        <v>1</v>
      </c>
      <c r="CW10" s="164" t="n">
        <v>1</v>
      </c>
      <c r="CX10" s="164">
        <f>IF(AND($A$2&gt;=3,'FICHA AMALDIÇOADA'!$J$16&amp;""="Três grupos de arma"),$CU10,"")</f>
        <v/>
      </c>
      <c r="DY10" s="162" t="inlineStr">
        <is>
          <t>Feitiço 9</t>
        </is>
      </c>
      <c r="DZ10" s="164" t="n">
        <v>0</v>
      </c>
      <c r="EA10" s="164" t="n">
        <v>9</v>
      </c>
      <c r="EB10" s="164">
        <f>MAX(1,MIN(7,N('FICHA AMALDIÇOADA'!$P$106)))</f>
        <v/>
      </c>
      <c r="EC10" s="164">
        <f>'FICHA AMALDIÇOADA'!$Q$106&amp;""</f>
        <v/>
      </c>
      <c r="ED10" s="164">
        <f>'FICHA AMALDIÇOADA'!$P$113&amp;""</f>
        <v/>
      </c>
      <c r="EE10" s="164">
        <f>'FICHA AMALDIÇOADA'!$Q$115&amp;""</f>
        <v/>
      </c>
      <c r="EF10" s="164">
        <f>'FICHA AMALDIÇOADA'!$Q$116&amp;""</f>
        <v/>
      </c>
      <c r="EG10" s="164">
        <f>'FICHA AMALDIÇOADA'!$Q$117&amp;""</f>
        <v/>
      </c>
      <c r="EH10" s="164">
        <f>'FICHA AMALDIÇOADA'!$Q$118&amp;""</f>
        <v/>
      </c>
      <c r="EI10" s="164">
        <f>'FICHA AMALDIÇOADA'!$Q$119&amp;""</f>
        <v/>
      </c>
      <c r="EJ10" s="164">
        <f>'FICHA AMALDIÇOADA'!$Q$120&amp;""</f>
        <v/>
      </c>
      <c r="EK10" s="164">
        <f>IF($EC10&lt;&gt;"",1,0)</f>
        <v/>
      </c>
      <c r="EL10" s="164">
        <f>IFERROR(MATCH(SUBSTITUTE(SUBSTITUTE(SUBSTITUTE($ED10,"~","~~"),"*","~*"),"?","~?"),'DADOS_FORMAS'!$FJ$2:$FJ$21,0),0)</f>
        <v/>
      </c>
      <c r="EM10" s="164">
        <f>IF($EL10=0,0,INDEX('DADOS_FORMAS'!$FM$2:$FM$21,$EL10))</f>
        <v/>
      </c>
      <c r="EN10" s="164">
        <f>IFERROR(VLOOKUP(SUBSTITUTE(SUBSTITUTE(SUBSTITUTE($EE10,"~","~~"),"*","~*"),"?","~?"),'DADOS_MELHORIAS'!$O$2:$W$113,4,FALSE),0)</f>
        <v/>
      </c>
      <c r="EO10" s="164">
        <f>IFERROR(VLOOKUP(SUBSTITUTE(SUBSTITUTE(SUBSTITUTE($EF10,"~","~~"),"*","~*"),"?","~?"),'DADOS_MELHORIAS'!$O$2:$W$113,4,FALSE),0)</f>
        <v/>
      </c>
      <c r="EP10" s="164">
        <f>IFERROR(VLOOKUP(SUBSTITUTE(SUBSTITUTE(SUBSTITUTE($EG10,"~","~~"),"*","~*"),"?","~?"),'DADOS_MELHORIAS'!$O$2:$W$113,4,FALSE),0)</f>
        <v/>
      </c>
      <c r="EQ10" s="164">
        <f>IFERROR(VLOOKUP(SUBSTITUTE(SUBSTITUTE(SUBSTITUTE($EH10,"~","~~"),"*","~*"),"?","~?"),'DADOS_MELHORIAS'!$O$2:$W$113,4,FALSE),0)</f>
        <v/>
      </c>
      <c r="ER10" s="164">
        <f>IF($EL10=0,0,INDEX('DADOS_FORMAS'!$FN$2:$FN$21,$EL10))</f>
        <v/>
      </c>
      <c r="ES10" s="164">
        <f>IFERROR(VLOOKUP(SUBSTITUTE(SUBSTITUTE(SUBSTITUTE($EE10,"~","~~"),"*","~*"),"?","~?"),'DADOS_MELHORIAS'!$O$2:$W$113,5,FALSE),0)</f>
        <v/>
      </c>
      <c r="ET10" s="164">
        <f>IFERROR(VLOOKUP(SUBSTITUTE(SUBSTITUTE(SUBSTITUTE($EF10,"~","~~"),"*","~*"),"?","~?"),'DADOS_MELHORIAS'!$O$2:$W$113,5,FALSE),0)</f>
        <v/>
      </c>
      <c r="EU10" s="164">
        <f>IFERROR(VLOOKUP(SUBSTITUTE(SUBSTITUTE(SUBSTITUTE($EG10,"~","~~"),"*","~*"),"?","~?"),'DADOS_MELHORIAS'!$O$2:$W$113,5,FALSE),0)</f>
        <v/>
      </c>
      <c r="EV10" s="164">
        <f>IFERROR(VLOOKUP(SUBSTITUTE(SUBSTITUTE(SUBSTITUTE($EH10,"~","~~"),"*","~*"),"?","~?"),'DADOS_MELHORIAS'!$O$2:$W$113,5,FALSE),0)</f>
        <v/>
      </c>
      <c r="EW10" s="164">
        <f>IFERROR(VLOOKUP(SUBSTITUTE(SUBSTITUTE(SUBSTITUTE($EE10,"~","~~"),"*","~*"),"?","~?"),'DADOS_MELHORIAS'!$O$2:$W$113,6,FALSE),0)+IFERROR(VLOOKUP(SUBSTITUTE(SUBSTITUTE(SUBSTITUTE($EF10,"~","~~"),"*","~*"),"?","~?"),'DADOS_MELHORIAS'!$O$2:$W$113,6,FALSE),0)+IFERROR(VLOOKUP(SUBSTITUTE(SUBSTITUTE(SUBSTITUTE($EG10,"~","~~"),"*","~*"),"?","~?"),'DADOS_MELHORIAS'!$O$2:$W$113,6,FALSE),0)+IFERROR(VLOOKUP(SUBSTITUTE(SUBSTITUTE(SUBSTITUTE($EH10,"~","~~"),"*","~*"),"?","~?"),'DADOS_MELHORIAS'!$O$2:$W$113,6,FALSE),0)</f>
        <v/>
      </c>
      <c r="EX10" s="164">
        <f>IFERROR(VLOOKUP(SUBSTITUTE(SUBSTITUTE(SUBSTITUTE($EE10,"~","~~"),"*","~*"),"?","~?"),'DADOS_MELHORIAS'!$O$2:$W$113,9,FALSE),0)+IFERROR(VLOOKUP(SUBSTITUTE(SUBSTITUTE(SUBSTITUTE($EF10,"~","~~"),"*","~*"),"?","~?"),'DADOS_MELHORIAS'!$O$2:$W$113,9,FALSE),0)+IFERROR(VLOOKUP(SUBSTITUTE(SUBSTITUTE(SUBSTITUTE($EG10,"~","~~"),"*","~*"),"?","~?"),'DADOS_MELHORIAS'!$O$2:$W$113,9,FALSE),0)+IFERROR(VLOOKUP(SUBSTITUTE(SUBSTITUTE(SUBSTITUTE($EH10,"~","~~"),"*","~*"),"?","~?"),'DADOS_MELHORIAS'!$O$2:$W$113,9,FALSE),0)</f>
        <v/>
      </c>
      <c r="EY10" s="164">
        <f>IF($EL10=0,0,INDEX('DADOS_FORMAS'!$FO$2:$FO$21,$EL10))</f>
        <v/>
      </c>
      <c r="EZ10" s="164">
        <f>IF($EL10=0,0,INDEX('DADOS_FORMAS'!$FP$2:$FP$21,$EL10))</f>
        <v/>
      </c>
      <c r="FA10" s="164">
        <f>IF($EL10=0,0,INDEX('DADOS_FORMAS'!$FR$2:$FR$21,$EL10))</f>
        <v/>
      </c>
      <c r="FB10" s="164">
        <f>IFERROR(VLOOKUP(SUBSTITUTE(SUBSTITUTE(SUBSTITUTE($EI10,"~","~~"),"*","~*"),"?","~?"),'DADOS_RESTRICOES'!$M$2:$Q$54,3,FALSE),0)</f>
        <v/>
      </c>
      <c r="FC10" s="164">
        <f>IFERROR(VLOOKUP(SUBSTITUTE(SUBSTITUTE(SUBSTITUTE($EJ10,"~","~~"),"*","~*"),"?","~?"),'DADOS_RESTRICOES'!$M$2:$Q$54,3,FALSE),0)</f>
        <v/>
      </c>
      <c r="FD10" s="164">
        <f>IFERROR(VLOOKUP(SUBSTITUTE(SUBSTITUTE(SUBSTITUTE($EI10,"~","~~"),"*","~*"),"?","~?"),'DADOS_RESTRICOES'!$M$2:$Q$54,2,FALSE),"")</f>
        <v/>
      </c>
      <c r="FE10" s="164">
        <f>IFERROR(VLOOKUP(SUBSTITUTE(SUBSTITUTE(SUBSTITUTE($EJ10,"~","~~"),"*","~*"),"?","~?"),'DADOS_RESTRICOES'!$M$2:$Q$54,2,FALSE),"")</f>
        <v/>
      </c>
      <c r="FF10" s="164">
        <f>COUNTIF($EM10:$EQ10,1)</f>
        <v/>
      </c>
      <c r="FG10" s="164">
        <f>COUNTIF($EM10:$EQ10,2)</f>
        <v/>
      </c>
      <c r="FH10" s="164">
        <f>COUNTIF($EM10:$EQ10,3)</f>
        <v/>
      </c>
      <c r="FI10" s="164">
        <f>COUNTIF($EM10:$EQ10,4)</f>
        <v/>
      </c>
      <c r="FJ10" s="164">
        <f>COUNTIF($EM10:$EQ10,5)</f>
        <v/>
      </c>
      <c r="FK10" s="164">
        <f>COUNTIF($EM10:$EQ10,6)</f>
        <v/>
      </c>
      <c r="FL10" s="164">
        <f>COUNTIF($FB10:$FC10,1)+IF(IFERROR(INDEX('DADOS_FORMAS'!$AS$2:$AS$21,MATCH(SUBSTITUTE(SUBSTITUTE(SUBSTITUTE($ED10,"~","~~"),"*","~*"),"?","~?"),'DADOS_FORMAS'!$AH$2:$AH$21,0)),"")="",0,IFERROR(N(VLOOKUP(SUBSTITUTE(SUBSTITUTE(SUBSTITUTE(IFERROR(INDEX('DADOS_FORMAS'!$AS$2:$AS$21,MATCH(SUBSTITUTE(SUBSTITUTE(SUBSTITUTE($ED10,"~","~~"),"*","~*"),"?","~?"),'DADOS_FORMAS'!$AH$2:$AH$21,0)),""),"~","~~"),"*","~*"),"?","~?"),'DADOS_RESTRICOES'!$M$2:$Q$54,3,FALSE)=1),0))</f>
        <v/>
      </c>
      <c r="FM10" s="164">
        <f>COUNTIF($FB10:$FC10,2)+IF(IFERROR(INDEX('DADOS_FORMAS'!$AS$2:$AS$21,MATCH(SUBSTITUTE(SUBSTITUTE(SUBSTITUTE($ED10,"~","~~"),"*","~*"),"?","~?"),'DADOS_FORMAS'!$AH$2:$AH$21,0)),"")="",0,IFERROR(N(VLOOKUP(SUBSTITUTE(SUBSTITUTE(SUBSTITUTE(IFERROR(INDEX('DADOS_FORMAS'!$AS$2:$AS$21,MATCH(SUBSTITUTE(SUBSTITUTE(SUBSTITUTE($ED10,"~","~~"),"*","~*"),"?","~?"),'DADOS_FORMAS'!$AH$2:$AH$21,0)),""),"~","~~"),"*","~*"),"?","~?"),'DADOS_RESTRICOES'!$M$2:$Q$54,3,FALSE)=2),0))</f>
        <v/>
      </c>
      <c r="FN10" s="164">
        <f>COUNTIF($EE10:$EH10,"?*")</f>
        <v/>
      </c>
      <c r="FO10" s="164">
        <f>COUNTIF($EI10:$EJ10,"?*")+$EY10</f>
        <v/>
      </c>
      <c r="FP10" s="164">
        <f>SUMPRODUCT($FF10:$FK10,INDEX($Q$2:$V$8,$EB10,0))</f>
        <v/>
      </c>
      <c r="FQ10" s="164">
        <f>$FL10*CEILING($EB10/2,1)+$FM10*$EB10</f>
        <v/>
      </c>
      <c r="FR10" s="164">
        <f>MIN(2*$EB10,$FQ10)</f>
        <v/>
      </c>
      <c r="FS10" s="164">
        <f>MIN($FR10,$FP10-IF($EM10=0,0,INDEX($Q$2:$V$8,$EB10,$EM10)))</f>
        <v/>
      </c>
      <c r="FT10" s="164">
        <f>$FR10-$FS10</f>
        <v/>
      </c>
      <c r="FU10" s="164">
        <f>3*$EB10-$FP10+$FS10</f>
        <v/>
      </c>
      <c r="FV10" s="164">
        <f>MAX(0,$FU10)+$DZ10*$EB10</f>
        <v/>
      </c>
      <c r="FW10" s="164">
        <f>(IF(COUNTIF($KW10:$KZ10,"Salto")&gt;0,1,0)+IF(COUNTIF($KW10:$KZ10,"Queima")&gt;0,1,0)+IF(COUNTIF($KW10:$KZ10,"Estilhaço")&gt;0,1,0))*FLOOR($FV10/2,1)</f>
        <v/>
      </c>
      <c r="FX10" s="164">
        <f>MAX(0,3-SUMPRODUCT($FF10:$FK10,$Q$2:$V$2)+MIN(2,$FL10*1+$FM10*1,SUMPRODUCT($FF10:$FK10,$Q$2:$V$2)-IF($EM10=0,0,INDEX($Q$2:$V$2,1,$EM10))))+$DZ10*1</f>
        <v/>
      </c>
      <c r="FY10" s="164">
        <f>MAX(0,6-SUMPRODUCT($FF10:$FK10,$Q$3:$V$3)+MIN(4,$FL10*1+$FM10*2,SUMPRODUCT($FF10:$FK10,$Q$3:$V$3)-IF($EM10=0,0,INDEX($Q$3:$V$3,1,$EM10))))+$DZ10*2</f>
        <v/>
      </c>
      <c r="FZ10" s="164">
        <f>MAX(0,9-SUMPRODUCT($FF10:$FK10,$Q$4:$V$4)+MIN(6,$FL10*2+$FM10*3,SUMPRODUCT($FF10:$FK10,$Q$4:$V$4)-IF($EM10=0,0,INDEX($Q$4:$V$4,1,$EM10))))+$DZ10*3</f>
        <v/>
      </c>
      <c r="GA10" s="164">
        <f>MAX(0,12-SUMPRODUCT($FF10:$FK10,$Q$5:$V$5)+MIN(8,$FL10*2+$FM10*4,SUMPRODUCT($FF10:$FK10,$Q$5:$V$5)-IF($EM10=0,0,INDEX($Q$5:$V$5,1,$EM10))))+$DZ10*4</f>
        <v/>
      </c>
      <c r="GB10" s="164">
        <f>MAX(0,15-SUMPRODUCT($FF10:$FK10,$Q$6:$V$6)+MIN(10,$FL10*3+$FM10*5,SUMPRODUCT($FF10:$FK10,$Q$6:$V$6)-IF($EM10=0,0,INDEX($Q$6:$V$6,1,$EM10))))+$DZ10*5</f>
        <v/>
      </c>
      <c r="GC10" s="164">
        <f>MAX(0,18-SUMPRODUCT($FF10:$FK10,$Q$7:$V$7)+MIN(12,$FL10*3+$FM10*6,SUMPRODUCT($FF10:$FK10,$Q$7:$V$7)-IF($EM10=0,0,INDEX($Q$7:$V$7,1,$EM10))))+$DZ10*6</f>
        <v/>
      </c>
      <c r="GD10" s="164">
        <f>MAX(0,21-SUMPRODUCT($FF10:$FK10,$Q$8:$V$8)+MIN(14,$FL10*4+$FM10*7,SUMPRODUCT($FF10:$FK10,$Q$8:$V$8)-IF($EM10=0,0,INDEX($Q$8:$V$8,1,$EM10))))+$DZ10*7</f>
        <v/>
      </c>
      <c r="GE10" s="164">
        <f>IF($EZ10=2,3*$FX10&amp;" de vida temp.",IF($EZ10=3,"sem dano",IF($FX10=0,IF($EZ10=1,"sem cura","sem dano"),IF($EZ10=1,"cura ","")&amp;$FX10&amp;"d8")))</f>
        <v/>
      </c>
      <c r="GF10" s="164">
        <f>IF($EZ10=2,3*$FY10&amp;" de vida temp.",IF($EZ10=3,"sem dano",IF($FY10=0,IF($EZ10=1,"sem cura","sem dano"),IF($EZ10=1,"cura ","")&amp;$FY10&amp;"d8")))</f>
        <v/>
      </c>
      <c r="GG10" s="164">
        <f>IF($EZ10=2,3*$FZ10&amp;" de vida temp.",IF($EZ10=3,"sem dano",IF($FZ10=0,IF($EZ10=1,"sem cura","sem dano"),IF($EZ10=1,"cura ","")&amp;$FZ10&amp;"d8")))</f>
        <v/>
      </c>
      <c r="GH10" s="164">
        <f>IF($EZ10=2,3*$GA10&amp;" de vida temp.",IF($EZ10=3,"sem dano",IF($GA10=0,IF($EZ10=1,"sem cura","sem dano"),IF($EZ10=1,"cura ","")&amp;$GA10&amp;"d8")))</f>
        <v/>
      </c>
      <c r="GI10" s="164">
        <f>IF($EZ10=2,3*$GB10&amp;" de vida temp.",IF($EZ10=3,"sem dano",IF($GB10=0,IF($EZ10=1,"sem cura","sem dano"),IF($EZ10=1,"cura ","")&amp;$GB10&amp;"d8")))</f>
        <v/>
      </c>
      <c r="GJ10" s="164">
        <f>IF($EZ10=2,3*$GC10&amp;" de vida temp.",IF($EZ10=3,"sem dano",IF($GC10=0,IF($EZ10=1,"sem cura","sem dano"),IF($EZ10=1,"cura ","")&amp;$GC10&amp;"d8")))</f>
        <v/>
      </c>
      <c r="GK10" s="164">
        <f>IF($EZ10=2,3*$GD10&amp;" de vida temp.",IF($EZ10=3,"sem dano",IF($GD10=0,IF($EZ10=1,"sem cura","sem dano"),IF($EZ10=1,"cura ","")&amp;$GD10&amp;"d8")))</f>
        <v/>
      </c>
      <c r="GL10" s="164">
        <f>IF($EK10=0,"",TEXTJOIN(" · ",TRUE,IF($EK10=0,"",TEXTJOIN(" · ",TRUE,IF($EK10=0,"",TEXTJOIN(" · ",TRUE,IF(AND($DZ10=1,$EA10&gt;$HM$9),"O nível "&amp;$HM$2&amp;" dá "&amp;$HM$9&amp;" Liberação Máxima",""),IF($EB10&gt;$HM$4,"Classe "&amp;$EB10&amp;": o nível "&amp;$HM$2&amp;" libera até a "&amp;$HM$4,""),IF($ER10=1,"Família Fechada: a Forma "&amp;$ED10,""),IF($ES10=1,"Família Fechada: "&amp;$EE10,""),IF($ET10=1,"Família Fechada: "&amp;$EF10,""),IF($EU10=1,"Família Fechada: "&amp;$EG10,""),IF($EV10=1,"Família Fechada: "&amp;$EH10,""),IF($FN10&gt;INDEX($W$2:$W$8,$EB10),$FN10&amp;" Melhorias: a Classe "&amp;$EB10&amp;" aceita "&amp;INDEX($W$2:$W$8,$EB10),""),IF($FO10&gt;2,$FO10&amp;" Restrições"&amp;IF($EY10=1,", contando a que a Forma "&amp;$ED10&amp;" já traz","")&amp;": o limite é 2",""),IF($FU10&lt;0,"Orçamento estourado: faltam "&amp;(-$FU10)&amp;IF($FU10&lt;-1," pontos"," ponto"),""),IF(IFERROR(VLOOKUP(SUBSTITUTE(SUBSTITUTE(SUBSTITUTE($EI10,"~","~~"),"*","~*"),"?","~?"),'DADOS_RESTRICOES'!$M$2:$Q$54,4,FALSE),0)+IFERROR(VLOOKUP(SUBSTITUTE(SUBSTITUTE(SUBSTITUTE($EJ10,"~","~~"),"*","~*"),"?","~?"),'DADOS_RESTRICOES'!$M$2:$Q$54,4,FALSE),0)&gt;1,$FD10&amp;" e "&amp;$FE10&amp;" são as duas de frequência",""),IF(AND((COUNTIF($KW10:$KZ10,"Rápido")+COUNTIF($FD10:$FE10,"Rápido"))&gt;0,(COUNTIF($EE10:$EH10,"Atrasar")+COUNTIF($FD10:$FE10,"Atrasar"))&gt;0),"Rápido não entra com Atrasar",""),IF(AND((COUNTIF($KW10:$KZ10,"Reação")+COUNTIF($FD10:$FE10,"Reação"))&gt;0,(COUNTIF($KW10:$KZ10,"Rápido")+COUNTIF($FD10:$FE10,"Rápido"))&gt;0),"Reação não entra com Rápido",""),IF(AND((COUNTIF($KW10:$KZ10,"Reação")+COUNTIF($FD10:$FE10,"Reação"))&gt;0,(COUNTIF($KW10:$KZ10,"Armado")+COUNTIF($FD10:$FE10,"Armado"))&gt;0),"Reação não entra com Armado",""),IF(AND((COUNTIF($KW10:$KZ10,"Reação")+COUNTIF($FD10:$FE10,"Reação"))&gt;0,(COUNTIF($EE10:$EH10,"Atrasar")+COUNTIF($FD10:$FE10,"Atrasar"))&gt;0),"Reação não entra com Atrasar",""),IF(AND((COUNTIF($KW10:$KZ10,"Reação")+COUNTIF($FD10:$FE10,"Reação"))&gt;0,(COUNTIF($EE10:$EH10,"Parado")+COUNTIF($FD10:$FE10,"Parado"))&gt;0),"Reação não entra com Parado",""),IF(AND((COUNTIF($EE10:$EH10,"Atrasar")+COUNTIF($FD10:$FE10,"Atrasar"))&gt;0,(COUNTIF($EE10:$EH10,"Parado")+COUNTIF($FD10:$FE10,"Parado"))&gt;0),"Atrasar não entra com Parado",""),IF(AND((COUNTIF($KW10:$KZ10,"Armado")+COUNTIF($FD10:$FE10,"Armado"))&gt;0,(COUNTIF($EE10:$EH10,"Carregar")+COUNTIF($FD10:$FE10,"Carregar"))&gt;0),"Armado não entra com Carregar",""),IF(AND(COUNTIF($FD10:$FE10,"Corpo a Corpo")&gt;0,$EY10=0,OR($LB10="Cone",$LB10="Linha")),"Corpo a Corpo não entra em "&amp;$ED10,""),IF(AND(COUNTIF($FD10:$FE10,"Corpo a Corpo")&gt;0,$LC10="Corpo a Corpo"),"A Forma "&amp;$ED10&amp;" já traz o Corpo a Corpo",""),IF(AND(COUNTIF($FD10:$FE10,"Tudo ou Nada")&gt;0,$FA10=0),"Tudo ou Nada só entra em feitiço de Teste de Resistência",""),IF(AND(COUNTIF($KW10:$KZ10,"Inescapável")&gt;0,OR($FN10&gt;1,$FO10&gt;0)),"Inescapável não aceita outra peça",""),IF(AND($DZ10=1,$EB10&lt;3),"Liberação Máxima é de Classe 3 ou mais",""),IF(AND($DZ10=1,OR($EZ10=1,$EZ10=2)),"Liberação Máxima não serve para cura",""),IF(AND($DZ10=1,COUNTIF($KW10:$KZ10,"Inescapável")+COUNTIF($KW10:$KZ10,"Toca a Alma")&gt;0),"Esta peça não entra numa Liberação Máxima",""),IF($FV10*IF(COUNTIF($KW10:$KZ10,"Remate")&gt;0,1.25,1)+$FW10&gt;4*$EB10,($FV10*IF(COUNTIF($KW10:$KZ10,"Remate")&gt;0,1.25,1)+$FW10)&amp;" dados somando repetições"&amp;IF(COUNTIF($KW10:$KZ10,"Remate")&gt;0," e o Remate","")&amp;": o teto da Classe "&amp;$EB10&amp;" é "&amp;4*$EB10,""))),IF(AND($EE10&lt;&gt;"",COUNTIF('DADOS_MELHORIAS'!$O$2:$O$113,SUBSTITUTE(SUBSTITUTE(SUBSTITUTE($EE10,"~","~~"),"*","~*"),"?","~?"))=0),"Melhoria não cadastrada ou com erro: "&amp;$EE10,""),IF(AND($EF10&lt;&gt;"",COUNTIF('DADOS_MELHORIAS'!$O$2:$O$113,SUBSTITUTE(SUBSTITUTE(SUBSTITUTE($EF10,"~","~~"),"*","~*"),"?","~?"))=0),"Melhoria não cadastrada ou com erro: "&amp;$EF10,""),IF(AND($EG10&lt;&gt;"",COUNTIF('DADOS_MELHORIAS'!$O$2:$O$113,SUBSTITUTE(SUBSTITUTE(SUBSTITUTE($EG10,"~","~~"),"*","~*"),"?","~?"))=0),"Melhoria não cadastrada ou com erro: "&amp;$EG10,""),IF(AND($EH10&lt;&gt;"",COUNTIF('DADOS_MELHORIAS'!$O$2:$O$113,SUBSTITUTE(SUBSTITUTE(SUBSTITUTE($EH10,"~","~~"),"*","~*"),"?","~?"))=0),"Melhoria não cadastrada ou com erro: "&amp;$EH10,""),IF(AND($EI10&lt;&gt;"",COUNTIF('DADOS_RESTRICOES'!$M$2:$M$54,SUBSTITUTE(SUBSTITUTE(SUBSTITUTE($EI10,"~","~~"),"*","~*"),"?","~?"))=0),"Restrição não cadastrada ou com erro: "&amp;$EI10,""),IF(AND($EJ10&lt;&gt;"",COUNTIF('DADOS_RESTRICOES'!$M$2:$M$54,SUBSTITUTE(SUBSTITUTE(SUBSTITUTE($EJ10,"~","~~"),"*","~*"),"?","~?"))=0),"Restrição não cadastrada ou com erro: "&amp;$EJ10,""))),IF(AND($ED10&lt;&gt;"",COUNTIF('DADOS_FORMAS'!$AH$2:$AH$21,SUBSTITUTE(SUBSTITUTE(SUBSTITUTE($ED10,"~","~~"),"*","~*"),"?","~?"))=0),"Forma não cadastrada ou com erro: "&amp;$ED10,""),IF(AND(IFERROR(INDEX('DADOS_FORMAS'!$AS$2:$AS$21,MATCH(SUBSTITUTE(SUBSTITUTE(SUBSTITUTE($ED10,"~","~~"),"*","~*"),"?","~?"),'DADOS_FORMAS'!$AH$2:$AH$21,0)),"")&lt;&gt;"",OR(IFERROR(VLOOKUP(SUBSTITUTE(SUBSTITUTE(SUBSTITUTE(IFERROR(INDEX('DADOS_FORMAS'!$AS$2:$AS$21,MATCH(SUBSTITUTE(SUBSTITUTE(SUBSTITUTE($ED10,"~","~~"),"*","~*"),"?","~?"),'DADOS_FORMAS'!$AH$2:$AH$21,0)),""),"~","~~"),"*","~*"),"?","~?"),'DADOS_RESTRICOES'!$M$2:$Q$54,2,FALSE),"")=$FD10,IFERROR(VLOOKUP(SUBSTITUTE(SUBSTITUTE(SUBSTITUTE(IFERROR(INDEX('DADOS_FORMAS'!$AS$2:$AS$21,MATCH(SUBSTITUTE(SUBSTITUTE(SUBSTITUTE($ED10,"~","~~"),"*","~*"),"?","~?"),'DADOS_FORMAS'!$AH$2:$AH$21,0)),""),"~","~~"),"*","~*"),"?","~?"),'DADOS_RESTRICOES'!$M$2:$Q$54,2,FALSE),"")=$FE10)),"Restrição repetida, contando a embutida",""),IF(IF(IFERROR(INDEX('DADOS_FORMAS'!$AS$2:$AS$21,MATCH(SUBSTITUTE(SUBSTITUTE(SUBSTITUTE($ED10,"~","~~"),"*","~*"),"?","~?"),'DADOS_FORMAS'!$AH$2:$AH$21,0)),"")="",0,IFERROR(N(VLOOKUP(SUBSTITUTE(SUBSTITUTE(SUBSTITUTE(IFERROR(INDEX('DADOS_FORMAS'!$AS$2:$AS$21,MATCH(SUBSTITUTE(SUBSTITUTE(SUBSTITUTE($ED10,"~","~~"),"*","~*"),"?","~?"),'DADOS_FORMAS'!$AH$2:$AH$21,0)),""),"~","~~"),"*","~*"),"?","~?"),'DADOS_RESTRICOES'!$M$2:$Q$54,4,FALSE)=1),0))+IF($EI10="",0,IFERROR(N(VLOOKUP(SUBSTITUTE(SUBSTITUTE(SUBSTITUTE($EI10,"~","~~"),"*","~*"),"?","~?"),'DADOS_RESTRICOES'!$M$2:$Q$54,4,FALSE)=1),0))+IF($EJ10="",0,IFERROR(N(VLOOKUP(SUBSTITUTE(SUBSTITUTE(SUBSTITUTE($EJ10,"~","~~"),"*","~*"),"?","~?"),'DADOS_RESTRICOES'!$M$2:$Q$54,4,FALSE)=1),0))&gt;1,"Duas Restrições de frequência, contando a embutida",""),IF(AND(IFERROR(VLOOKUP(SUBSTITUTE(SUBSTITUTE(SUBSTITUTE(IFERROR(INDEX('DADOS_FORMAS'!$AS$2:$AS$21,MATCH(SUBSTITUTE(SUBSTITUTE(SUBSTITUTE($ED10,"~","~~"),"*","~*"),"?","~?"),'DADOS_FORMAS'!$AH$2:$AH$21,0)),""),"~","~~"),"*","~*"),"?","~?"),'DADOS_RESTRICOES'!$M$2:$Q$54,2,FALSE),"")="Tudo ou Nada",$FA10=0),"Tudo ou Nada exige TR",""),IF(AND(IFERROR(VLOOKUP(SUBSTITUTE(SUBSTITUTE(SUBSTITUTE(IFERROR(INDEX('DADOS_FORMAS'!$AS$2:$AS$21,MATCH(SUBSTITUTE(SUBSTITUTE(SUBSTITUTE($ED10,"~","~~"),"*","~*"),"?","~?"),'DADOS_FORMAS'!$AH$2:$AH$21,0)),""),"~","~~"),"*","~*"),"?","~?"),'DADOS_RESTRICOES'!$M$2:$Q$54,2,FALSE),"")="Corpo a Corpo",OR($LB10="Cone",$LB10="Linha")),"Corpo a Corpo não entra em Cone/Linha","")))</f>
        <v/>
      </c>
      <c r="GM10" s="164">
        <f>IF($GL10="",0,(LEN($GL10)-LEN(SUBSTITUTE($GL10," · ","")))/3+1)</f>
        <v/>
      </c>
      <c r="GN10" s="164">
        <f>IF($EK10=0,"",TEXTJOIN(" · ",TRUE,IF($FQ10&gt;2*$EB10,"A devolução parou no teto de "&amp;2*$EB10,""),IF($FT10&gt;0,"Devolução perdida: "&amp;$FT10&amp;IF($FT10&gt;1," pontos"," ponto")&amp;" sem Melhoria para pagar",""),IF(AND($EW10&gt;0,$FV10=0),"Controle sem dano: uma rodada a mais e CD +2",""),IF(AND($EW10&gt;0,$FV10&gt;0,$FV10&lt;=$EB10),"Controle com saldo até a Classe: uma rodada a mais","")))</f>
        <v/>
      </c>
      <c r="GO10" s="164">
        <f>IF($GN10="",0,(LEN($GN10)-LEN(SUBSTITUTE($GN10," · ","")))/3+1)</f>
        <v/>
      </c>
      <c r="GP10" s="164">
        <f>IF($EK10=0,IF($FN10+$FO10-$EY10&gt;0,"Dê um nome",""),IF($GM10&gt;0,"⚠ "&amp;$GM10&amp;IF($GM10&gt;1," erros"," erro"),IF($GO10&gt;0,"! "&amp;$GO10&amp;IF($GO10&gt;1," avisos"," aviso"),"Na regra")))</f>
        <v/>
      </c>
      <c r="GQ10" s="164">
        <f>IF($EK10=0,"",IF($GM10+$GO10=0,"Dentro das regras que a ficha confere",$GL10&amp;IF(AND($GM10&gt;0,$GO10&gt;0)," · ","")&amp;$GN10))</f>
        <v/>
      </c>
      <c r="GR10" s="164">
        <f>IF($EK10=0,"",IF($DZ10=1,CEILING(4.5*$EB10,1),3*$EB10)&amp;" PE")</f>
        <v/>
      </c>
      <c r="GS10" s="164">
        <f>IF($EK10=0,"",IF($DZ10=1,"Rodada inteira",IF(COUNTIF($LD10:$LF10,"Atrasar")&gt;0,IF(COUNTIF($LD10:$LF10,"Carregar")&gt;0,"Rodada +1 turno","Rodada inteira"),IF(COUNTIF($KW10:$KZ10,"Rápido")&gt;0,"Bônus",IF(COUNTIF($KW10:$KZ10,"Reação")&gt;0,"Reação","Padrão"))&amp;IF(COUNTIF($LD10:$LF10,"Carregar")&gt;0," +1 turno",""))))</f>
        <v/>
      </c>
      <c r="GT10" s="164">
        <f>IF(OR($EK10=0,$EL10=0),"",IF(COUNTIF($KW10:$KZ10,"Inescapável")&gt;0,"Automático",IF(COUNTIF($KW10:$KZ10,"Certeiro")&gt;0,"TR para metade",IF(AND($EX10&gt;0,$FA10=0,INDEX('DADOS_FORMAS'!$FQ$2:$FQ$21,$EL10)="Acerto"),"Acerto + TR",INDEX('DADOS_FORMAS'!$FQ$2:$FQ$21,$EL10)))))</f>
        <v/>
      </c>
      <c r="GU10" s="164">
        <f>IF(OR($EK10=0,$EL10=0),"",IF(OR($EZ10&gt;=2,$FV10=0),UPPER(LEFT(INDEX($GE10:$GK10,1,$EB10),1))&amp;MID(INDEX($GE10:$GK10,1,$EB10),2,99),UPPER(LEFT(INDEX($GE10:$GK10,1,$EB10),1))&amp;MID(INDEX($GE10:$GK10,1,$EB10),2,99)&amp;" = "&amp;FLOOR($FV10*4.5,1)&amp;IF($FW10&gt;0," · +"&amp;$FW10&amp;"d8","")))</f>
        <v/>
      </c>
      <c r="GV10" s="164">
        <f>COUNTIF($KW10:$KZ10,"Longe")+3*COUNTIF($KW10:$KZ10,"Muito Longe")</f>
        <v/>
      </c>
      <c r="GW10" s="164">
        <f>COUNTIF($KW10:$KZ10,"Maior")+3*COUNTIF($KW10:$KZ10,"Muito Maior")</f>
        <v/>
      </c>
      <c r="GX10" s="164">
        <f>IF($EL10=0,0,CHOOSE(1+INDEX('DADOS_FORMAS'!$FS$2:$FS$21,$EL10),0,$GV10,$GW10,$GV10+$GW10))</f>
        <v/>
      </c>
      <c r="GY10" s="164">
        <f>IF($EL10=0,0,CHOOSE(1+INDEX('DADOS_FORMAS'!$FT$2:$FT$21,$EL10),0,$GV10,$GW10,$GV10+$GW10))</f>
        <v/>
      </c>
      <c r="GZ10" s="164">
        <f>IF(OR($EK10=0,$EL10=0),"",INDEX('DADOS_FORMAS'!$GZ$2:$HE$61,($EL10-1)*3+IF($EB10&gt;=6,3,2),1+MIN(5,$GX10))&amp;INDEX('DADOS_FORMAS'!$HF$2:$HK$61,($EL10-1)*3+IF($EB10&gt;=6,3,2),1+MIN(5,$GY10))&amp;IF(INDEX('DADOS_FORMAS'!$FU$2:$FU$21,$EL10)=1,IF(COUNTIF($KW10:$KZ10,"Mais Um")&gt;0," · +"&amp;COUNTIF($KW10:$KZ10,"Mais Um")&amp;IF(COUNTIF($KW10:$KZ10,"Mais Um")&gt;1," alvos"," alvo"),"")&amp;IF(COUNTIF($KW10:$KZ10,"Rajada")&gt;0," · "&amp;($EB10+1)&amp;" tiros",""),""))</f>
        <v/>
      </c>
      <c r="HA10" s="164">
        <f>IF($EK10=0,"",3*$EB10&amp;" − "&amp;$FP10&amp;" + "&amp;$FS10&amp;IF($DZ10=1," + "&amp;$EB10,"")&amp;" = "&amp;$FV10&amp;"d8 · teto "&amp;4*$EB10&amp;IF($EY10=1," · a Forma devolve "&amp;$EB10,"")&amp;IF($FT10&gt;0," · perde "&amp;$FT10,""))</f>
        <v/>
      </c>
      <c r="HB10" s="164">
        <f>IF($EK10=0,"",IF($EB10&gt;=$HM$4,"Já está na maior Classe que o nível liberou",TEXTJOIN(" · ",TRUE,IF(AND(2&gt;$EB10,2&lt;=$HM$4),"2 → "&amp;$GF10&amp;", "&amp;IF($DZ10=1,9,6)&amp;" PE",""),IF(AND(3&gt;$EB10,3&lt;=$HM$4),"3 → "&amp;$GG10&amp;", "&amp;IF($DZ10=1,14,9)&amp;" PE",""),IF(AND(4&gt;$EB10,4&lt;=$HM$4),"4 → "&amp;$GH10&amp;", "&amp;IF($DZ10=1,18,12)&amp;" PE",""),IF(AND(5&gt;$EB10,5&lt;=$HM$4),"5 → "&amp;$GI10&amp;", "&amp;IF($DZ10=1,23,15)&amp;" PE",""),IF(AND(6&gt;$EB10,6&lt;=$HM$4),"6 → "&amp;$GJ10&amp;", "&amp;IF($DZ10=1,27,18)&amp;" PE",""),IF(AND(7&gt;$EB10,7&lt;=$HM$4),"7 → "&amp;$GK10&amp;", "&amp;IF($DZ10=1,32,21)&amp;" PE",""))))</f>
        <v/>
      </c>
      <c r="HC10" s="164">
        <f>IF(OR($EK10=0,$EN10=0),"","−"&amp;INDEX($Q$2:$V$8,$EB10,$EN10)&amp;" · "&amp;CHOOSE($EN10,"Leve","Média","Pesada","Leve · Livre","Média · Livre","Pesada · Livre"))</f>
        <v/>
      </c>
      <c r="HD10" s="164">
        <f>IF(OR($EK10=0,$EO10=0),"","−"&amp;INDEX($Q$2:$V$8,$EB10,$EO10)&amp;" · "&amp;CHOOSE($EO10,"Leve","Média","Pesada","Leve · Livre","Média · Livre","Pesada · Livre"))</f>
        <v/>
      </c>
      <c r="HE10" s="164">
        <f>IF(OR($EK10=0,$EP10=0),"","−"&amp;INDEX($Q$2:$V$8,$EB10,$EP10)&amp;" · "&amp;CHOOSE($EP10,"Leve","Média","Pesada","Leve · Livre","Média · Livre","Pesada · Livre"))</f>
        <v/>
      </c>
      <c r="HF10" s="164">
        <f>IF(OR($EK10=0,$EQ10=0),"","−"&amp;INDEX($Q$2:$V$8,$EB10,$EQ10)&amp;" · "&amp;CHOOSE($EQ10,"Leve","Média","Pesada","Leve · Livre","Média · Livre","Pesada · Livre"))</f>
        <v/>
      </c>
      <c r="HG10" s="164">
        <f>IF(OR($EK10=0,$EI10=""),"","+"&amp;IF($FB10=1,CEILING($EB10/2,1),$EB10))</f>
        <v/>
      </c>
      <c r="HH10" s="164">
        <f>IF(OR($EK10=0,$EJ10=""),"","+"&amp;IF($FC10=1,CEILING($EB10/2,1),$EB10))</f>
        <v/>
      </c>
      <c r="HI10" s="164">
        <f>'FICHA AMALDIÇOADA'!$P$108&amp;""</f>
        <v/>
      </c>
      <c r="HJ10" s="164">
        <f>IF(AND($EK10=1,$DZ10=0),COUNTIFS($EK$2:$EK10,1,$DZ$2:$DZ10,0),"")</f>
        <v/>
      </c>
      <c r="HL10" s="162" t="inlineStr">
        <is>
          <t>classe 0 quantos</t>
        </is>
      </c>
      <c r="HM10" s="164">
        <f>IFERROR(INDEX($DA$2:$DA$6,MATCH($HM$2,$CZ$2:$CZ$6,1)),0)</f>
        <v/>
      </c>
      <c r="HO10" s="162" t="inlineStr">
        <is>
          <t>Talento 9 · Leque</t>
        </is>
      </c>
      <c r="HP10" s="164">
        <f>'FICHA AMALDIÇOADA'!$D$418&amp;""</f>
        <v/>
      </c>
      <c r="HQ10" s="164">
        <f>IFERROR(VLOOKUP(SUBSTITUTE(SUBSTITUTE(SUBSTITUTE($HP10,"~","~~"),"*","~*"),"?","~?"),'DADOS_TALENTOS'!$AQ$2:$AW$34,2,FALSE),0)</f>
        <v/>
      </c>
      <c r="HR10" s="164">
        <f>IFERROR(VLOOKUP($HQ10,$CA$2:$CB$4,2,FALSE),0)</f>
        <v/>
      </c>
      <c r="HS10" s="164">
        <f>IFERROR(VLOOKUP(SUBSTITUTE(SUBSTITUTE(SUBSTITUTE($HP10,"~","~~"),"*","~*"),"?","~?"),'DADOS_TALENTOS'!$AQ$2:$AW$34,3,FALSE),"")</f>
        <v/>
      </c>
      <c r="HT10" s="164">
        <f>IF($HQ10=0,"",IF($HR10&gt;$HM$2,"⚠ Nível "&amp;$HR10,"CE "&amp;$HQ10))&amp;IF('DADOS_AM'!$LO10="",""," · ⚠ "&amp;'DADOS_AM'!$LO10)</f>
        <v/>
      </c>
      <c r="HU10" s="164">
        <f>IF($HQ10=0,"",IF(4&gt;$HM$8,"⚠ Vaga","Grátis"))</f>
        <v/>
      </c>
      <c r="HV10" s="164">
        <f>'FICHA AMALDIÇOADA'!$E$423&amp;""</f>
        <v/>
      </c>
      <c r="HW10" s="164">
        <f>IF($HP10="","",COUNTIF($HP$2:$HP10,"?*"))</f>
        <v/>
      </c>
      <c r="HY10" s="162" t="inlineStr">
        <is>
          <t>Aptidão 9</t>
        </is>
      </c>
      <c r="HZ10" s="164">
        <f>'FICHA AMALDIÇOADA'!$P$485&amp;""</f>
        <v/>
      </c>
      <c r="IA10" s="164">
        <f>IF($HZ10="","","Requisito: "&amp;IFERROR(VLOOKUP(SUBSTITUTE(SUBSTITUTE(SUBSTITUTE($HZ10,"~","~~"),"*","~*"),"?","~?"),'DADOS_APTIDOES'!$BF$2:$BO$45,2,FALSE),""))&amp;IF($LK10="",""," · ⚠ "&amp;$LK10)</f>
        <v/>
      </c>
      <c r="IB10" s="164">
        <f>IF($HZ10="","",IFERROR(IF(ISNUMBER(VLOOKUP(SUBSTITUTE(SUBSTITUTE(SUBSTITUTE($HZ10,"~","~~"),"*","~*"),"?","~?"),'DADOS_APTIDOES'!$BF$2:$BO$45,3,FALSE)),"CE "&amp;VLOOKUP(SUBSTITUTE(SUBSTITUTE(SUBSTITUTE($HZ10,"~","~~"),"*","~*"),"?","~?"),'DADOS_APTIDOES'!$BF$2:$BO$45,3,FALSE),VLOOKUP(SUBSTITUTE(SUBSTITUTE(SUBSTITUTE($HZ10,"~","~~"),"*","~*"),"?","~?"),'DADOS_APTIDOES'!$BF$2:$BO$45,3,FALSE)),""))</f>
        <v/>
      </c>
      <c r="IC10" s="164">
        <f>IF($HZ10="","",IFERROR(VLOOKUP(SUBSTITUTE(SUBSTITUTE(SUBSTITUTE($HZ10,"~","~~"),"*","~*"),"?","~?"),'DADOS_APTIDOES'!$BF$2:$BO$45,4,FALSE),""))</f>
        <v/>
      </c>
      <c r="ID10" s="164">
        <f>IF($HZ10="","",IFERROR(VLOOKUP(SUBSTITUTE(SUBSTITUTE(SUBSTITUTE($HZ10,"~","~~"),"*","~*"),"?","~?"),'DADOS_APTIDOES'!$BF$2:$BO$45,5,FALSE),""))</f>
        <v/>
      </c>
      <c r="IE10" s="164">
        <f>'FICHA AMALDIÇOADA'!$Q$502&amp;""</f>
        <v/>
      </c>
      <c r="IF10" s="164">
        <f>IF($HZ10="","",COUNTIF($HZ$2:$HZ10,"?*"))</f>
        <v/>
      </c>
      <c r="IQ10" s="164">
        <f>INDEX($D$6:$G$6,1,$A$2)</f>
        <v/>
      </c>
      <c r="IR10" s="164">
        <f>ADDRESS(ROW('FICHA AMALDIÇOADA'!P7),COLUMN('FICHA AMALDIÇOADA'!P7),4)</f>
        <v/>
      </c>
      <c r="IS10" s="164">
        <f>ADDRESS(ROW('FICHA AMALDIÇOADA'!D434),COLUMN('FICHA AMALDIÇOADA'!D434),4)</f>
        <v/>
      </c>
      <c r="IT10" s="162" t="inlineStr">
        <is>
          <t>DADOS_AM!$IQ$10</t>
        </is>
      </c>
      <c r="IV10" s="162" t="inlineStr">
        <is>
          <t>Trilha 27</t>
        </is>
      </c>
      <c r="IW10" s="164" t="n">
        <v>27</v>
      </c>
      <c r="IX10" s="164">
        <f>IF($HM$2&gt;=27,"Nível 27","Abre no 27")</f>
        <v/>
      </c>
      <c r="IY10" s="164">
        <f>ADDRESS(ROW(FICHA!G189),COLUMN(FICHA!G189),4)</f>
        <v/>
      </c>
      <c r="IZ10" s="164">
        <f>ADDRESS(ROW(FICHA!D190),COLUMN(FICHA!D190),4)</f>
        <v/>
      </c>
      <c r="JH10" s="164" t="n">
        <v>9</v>
      </c>
      <c r="JI10" s="164">
        <f>IFERROR(MATCH(9,$HJ$2:$HJ$37,0),0)</f>
        <v/>
      </c>
      <c r="JJ10" s="164">
        <f>IF($JI10=0,"",INDEX($EB$2:$EB$37,$JI10))</f>
        <v/>
      </c>
      <c r="JK10" s="164">
        <f>IF($JI10=0,"",INDEX($EC$2:$EC$37,$JI10))</f>
        <v/>
      </c>
      <c r="JL10" s="164">
        <f>IF($JI10=0,"",INDEX($GR$2:$GR$37,$JI10))</f>
        <v/>
      </c>
      <c r="JM10" s="164">
        <f>IF($JI10=0,"",INDEX($ED$2:$ED$37,$JI10))</f>
        <v/>
      </c>
      <c r="JN10" s="164">
        <f>IF($JI10=0,"",INDEX($GT$2:$GT$37,$JI10))</f>
        <v/>
      </c>
      <c r="JO10" s="164">
        <f>IF($JI10=0,"",INDEX($HI$2:$HI$37,$JI10))</f>
        <v/>
      </c>
      <c r="KF10" s="162" t="inlineStr">
        <is>
          <t>Talento 7</t>
        </is>
      </c>
      <c r="KG10" s="164">
        <f>IFERROR(MATCH(7,$HW$2:$HW$13,0),0)</f>
        <v/>
      </c>
      <c r="KH10" s="164">
        <f>IF($KG10=0,"",IF(INDEX($HQ$2:$HQ$13,$KG10)=0,"","CE "&amp;INDEX($HQ$2:$HQ$13,$KG10)))</f>
        <v/>
      </c>
      <c r="KI10" s="164">
        <f>IF($KG10=0,"",INDEX($HP$2:$HP$13,$KG10))</f>
        <v/>
      </c>
      <c r="KJ10" s="164">
        <f>IF($KG10=0,"",IF(INDEX($HV$2:$HV$13,$KG10)&lt;&gt;"",INDEX($HV$2:$HV$13,$KG10),IF(IFERROR(VLOOKUP(SUBSTITUTE(SUBSTITUTE(SUBSTITUTE(INDEX($HP$2:$HP$13,$KG10),"~","~~"),"*","~*"),"?","~?"),'DADOS_TALENTOS'!$AQ$2:$AW$34,7,FALSE),"")&lt;&gt;"","Do livro: "&amp;IFERROR(VLOOKUP(SUBSTITUTE(SUBSTITUTE(SUBSTITUTE(INDEX($HP$2:$HP$13,$KG10),"~","~~"),"*","~*"),"?","~?"),'DADOS_TALENTOS'!$AQ$2:$AW$34,7,FALSE),""),"")))</f>
        <v/>
      </c>
      <c r="KL10" s="162" t="inlineStr">
        <is>
          <t>Aptidão 7</t>
        </is>
      </c>
      <c r="KM10" s="164">
        <f>IFERROR(MATCH(7,$IF$2:$IF$13,0),0)</f>
        <v/>
      </c>
      <c r="KN10" s="164">
        <f>IF($KM10=0,"",INDEX($IB$2:$IB$13,$KM10))</f>
        <v/>
      </c>
      <c r="KO10" s="164">
        <f>IF($KM10=0,"",INDEX($HZ$2:$HZ$13,$KM10))</f>
        <v/>
      </c>
      <c r="KP10" s="164">
        <f>IF($KM10=0,"",IF(INDEX($IE$2:$IE$13,$KM10)&lt;&gt;"",INDEX($IE$2:$IE$13,$KM10),IF(IFERROR(VLOOKUP(SUBSTITUTE(SUBSTITUTE(SUBSTITUTE(INDEX($HZ$2:$HZ$13,$KM10),"~","~~"),"*","~*"),"?","~?"),'DADOS_APTIDOES'!$BF$2:$BO$45,10,FALSE),"")&lt;&gt;"","Do livro: "&amp;IFERROR(VLOOKUP(SUBSTITUTE(SUBSTITUTE(SUBSTITUTE(INDEX($HZ$2:$HZ$13,$KM10),"~","~~"),"*","~*"),"?","~?"),'DADOS_APTIDOES'!$BF$2:$BO$45,10,FALSE),""),"")))</f>
        <v/>
      </c>
      <c r="KR10" s="162" t="inlineStr">
        <is>
          <t>par 2</t>
        </is>
      </c>
      <c r="KS10" s="164">
        <f>UPPER(INDEX($D$3:$G$3,1,$A$2))&amp;" 7 A 12"</f>
        <v/>
      </c>
      <c r="KU10" s="162" t="inlineStr">
        <is>
          <t>D17</t>
        </is>
      </c>
      <c r="KV10" s="164">
        <f>IF(DADOS_AM!$HM$42=1,"GRUPO 1","—")</f>
        <v/>
      </c>
      <c r="KW10">
        <f>IF($EE10="","",IFERROR(VLOOKUP(SUBSTITUTE(SUBSTITUTE(SUBSTITUTE($EE10,"~","~~"),"*","~*"),"?","~?"),'DADOS_MELHORIAS'!$O$2:$X$113,10,FALSE),$EE10))</f>
        <v/>
      </c>
      <c r="KX10">
        <f>IF($EF10="","",IFERROR(VLOOKUP(SUBSTITUTE(SUBSTITUTE(SUBSTITUTE($EF10,"~","~~"),"*","~*"),"?","~?"),'DADOS_MELHORIAS'!$O$2:$X$113,10,FALSE),$EF10))</f>
        <v/>
      </c>
      <c r="KY10">
        <f>IF($EG10="","",IFERROR(VLOOKUP(SUBSTITUTE(SUBSTITUTE(SUBSTITUTE($EG10,"~","~~"),"*","~*"),"?","~?"),'DADOS_MELHORIAS'!$O$2:$X$113,10,FALSE),$EG10))</f>
        <v/>
      </c>
      <c r="KZ10">
        <f>IF($EH10="","",IFERROR(VLOOKUP(SUBSTITUTE(SUBSTITUTE(SUBSTITUTE($EH10,"~","~~"),"*","~*"),"?","~?"),'DADOS_MELHORIAS'!$O$2:$X$113,10,FALSE),$EH10))</f>
        <v/>
      </c>
      <c r="LB10">
        <f>IFERROR(INDEX('DADOS_FORMAS'!$BJ$2:$BJ$21,MATCH(SUBSTITUTE(SUBSTITUTE(SUBSTITUTE($ED10,"~","~~"),"*","~*"),"?","~?"),'DADOS_FORMAS'!$AH$2:$AH$21,0)),"")</f>
        <v/>
      </c>
      <c r="LC10">
        <f>IFERROR(VLOOKUP(SUBSTITUTE(SUBSTITUTE(SUBSTITUTE(IFERROR(INDEX('DADOS_FORMAS'!$AS$2:$AS$21,MATCH(SUBSTITUTE(SUBSTITUTE(SUBSTITUTE($ED10,"~","~~"),"*","~*"),"?","~?"),'DADOS_FORMAS'!$AH$2:$AH$21,0)),""),"~","~~"),"*","~*"),"?","~?"),'DADOS_RESTRICOES'!$M$2:$Q$54,2,FALSE),"")</f>
        <v/>
      </c>
      <c r="LD10">
        <f>$FD10</f>
        <v/>
      </c>
      <c r="LE10">
        <f>$FE10</f>
        <v/>
      </c>
      <c r="LF10">
        <f>$LC10</f>
        <v/>
      </c>
      <c r="LH10">
        <f>'FICHA AMALDIÇOADA'!$P$485&amp;""</f>
        <v/>
      </c>
      <c r="LI10">
        <f>IF($LH10="","",IF(IFERROR(INDEX('DADOS_APTIDOES'!$X$2:$X$45,MATCH(SUBSTITUTE(SUBSTITUTE(SUBSTITUTE($LH10,"~","~~"),"*","~*"),"?","~?"),'DADOS_APTIDOES'!$O$2:$O$45,0)),"")="",$LH10,IFERROR(INDEX('DADOS_APTIDOES'!$X$2:$X$45,MATCH(SUBSTITUTE(SUBSTITUTE(SUBSTITUTE($LH10,"~","~~"),"*","~*"),"?","~?"),'DADOS_APTIDOES'!$O$2:$O$45,0)),"")))</f>
        <v/>
      </c>
      <c r="LJ10">
        <f>IF(LEFT($LI10,16)="Aptidão Própria (","Aptidão Própria",IF(LEFT($LI10,15)="Bênção Própria (","Bênção Própria",$LI10))</f>
        <v/>
      </c>
      <c r="LK10">
        <f>IF($LH10="","",TEXTJOIN(" · ",TRUE,$LP10:$MJ10))</f>
        <v/>
      </c>
      <c r="LL10">
        <f>IF($LH10="",0,IF(IFERROR(INDEX('DADOS_APTIDOES'!$W$2:$W$45,MATCH(SUBSTITUTE(SUBSTITUTE(SUBSTITUTE($LH10,"~","~~"),"*","~*"),"?","~?"),'DADOS_APTIDOES'!$O$2:$O$45,0)),"")="Gratuita",0,1))</f>
        <v/>
      </c>
      <c r="LO10">
        <f>IF('FICHA AMALDIÇOADA'!$D$418="","",TEXTJOIN(" · ",TRUE,IF(COUNTIF('DADOS_TALENTOS'!$M$2:$M$34,SUBSTITUTE(SUBSTITUTE(SUBSTITUTE('FICHA AMALDIÇOADA'!$D$418,"~","~~"),"*","~*"),"?","~?"))=0,"Talento não cadastrado ou com erro",""),IF(COUNTIF('DADOS_TALENTOS'!$AV$2:$AV$34,SUBSTITUTE(SUBSTITUTE(SUBSTITUTE('FICHA AMALDIÇOADA'!$D$418,"~","~~"),"*","~*"),"?","~?"))=0,"Talento incompatível com a rota","")))</f>
        <v/>
      </c>
      <c r="LP10">
        <f>IF(COUNTIF('DADOS_APTIDOES'!$O$2:$O$45,SUBSTITUTE(SUBSTITUTE(SUBSTITUTE($LH10,"~","~~"),"*","~*"),"?","~?"))=0,"Aptidão não cadastrada ou com erro","")</f>
        <v/>
      </c>
      <c r="LQ10">
        <f>IF(COUNTIF('DADOS_APTIDOES'!$BK$2:$BK$45,SUBSTITUTE(SUBSTITUTE(SUBSTITUTE($LH10,"~","~~"),"*","~*"),"?","~?"))=0,"Rota/origem incompatível ou capacidade inicial automática","")</f>
        <v/>
      </c>
      <c r="LR10">
        <f>IF(AND(NOT(OR(FALSE)),DADOS_AM!$HM$2&lt;IFERROR(INDEX('DADOS_APTIDOES'!$U$2:$U$45,MATCH(SUBSTITUTE(SUBSTITUTE(SUBSTITUTE($LH10,"~","~~"),"*","~*"),"?","~?"),'DADOS_APTIDOES'!$O$2:$O$45,0)),1)),"Nível mínimo não atendido","")</f>
        <v/>
      </c>
      <c r="LS10">
        <f>IF(AND(NOT(OR(FALSE)),DADOS_AM!$HM$6&lt;MAX(IF(AND($LI10="Domínio Simples",FALSE,IFERROR(INDEX('DADOS_APTIDOES'!$V$2:$V$45,MATCH(SUBSTITUTE(SUBSTITUTE(SUBSTITUTE($LH10,"~","~~"),"*","~*"),"?","~?"),'DADOS_APTIDOES'!$O$2:$O$45,0)),1)=5),4,IFERROR(INDEX('DADOS_APTIDOES'!$V$2:$V$45,MATCH(SUBSTITUTE(SUBSTITUTE(SUBSTITUTE($LH10,"~","~~"),"*","~*"),"?","~?"),'DADOS_APTIDOES'!$O$2:$O$45,0)),1)),IF(IFERROR(INDEX('DADOS_APTIDOES'!$N$2:$N$45,MATCH(SUBSTITUTE(SUBSTITUTE(SUBSTITUTE($LH10,"~","~~"),"*","~*"),"?","~?"),'DADOS_APTIDOES'!$O$2:$O$45,0)),"")="Bênção",IF(IFERROR(INDEX('DADOS_APTIDOES'!$T$2:$T$45,MATCH(SUBSTITUTE(SUBSTITUTE(SUBSTITUTE($LH10,"~","~~"),"*","~*"),"?","~?"),'DADOS_APTIDOES'!$O$2:$O$45,0)),0)=3,7,IF(IFERROR(INDEX('DADOS_APTIDOES'!$T$2:$T$45,MATCH(SUBSTITUTE(SUBSTITUTE(SUBSTITUTE($LH10,"~","~~"),"*","~*"),"?","~?"),'DADOS_APTIDOES'!$O$2:$O$45,0)),0)=2,4,1)),1))),"Refino/Lapidação mínimo não atendido","")</f>
        <v/>
      </c>
      <c r="LT10">
        <f>IF(COUNTIF($LJ$2:$LJ10,SUBSTITUTE(SUBSTITUTE(SUBSTITUTE($LJ10,"~","~~"),"*","~*"),"?","~?"))&gt;1,"Aptidão/Bênção repetida","")</f>
        <v/>
      </c>
      <c r="LU10">
        <f>IF(AND(NOT(OR(FALSE)),AND($LI10="Circulação",COUNTIF($LI$2:$LI9,"Energia Reversa")=0)),"Exige aquisição anterior: Energia Reversa","")</f>
        <v/>
      </c>
      <c r="LV10">
        <f>IF(AND(NOT(OR(FALSE)),AND($LI10="Regravação",COUNTIF($LI$2:$LI9,"Circulação")=0)),"Exige aquisição anterior: Circulação","")</f>
        <v/>
      </c>
      <c r="LW10">
        <f>IF(AND(NOT(OR(FALSE)),AND($LI10="Cortina",COUNTIF($LI$2:$LI9,"Barreira Simples")=0)),"Exige aquisição anterior: Barreira Simples","")</f>
        <v/>
      </c>
      <c r="LX10">
        <f>IF(AND(NOT(OR(FALSE)),AND($LI10="Ritual",'FICHA'!AB19&lt;5)),"Exige Inteligência 5","")</f>
        <v/>
      </c>
      <c r="LY10">
        <f>IF(AND(NOT(OR(FALSE)),AND($LI10="Ímpeto",'FICHA'!L19&lt;4)),"Exige Destreza 4","")</f>
        <v/>
      </c>
      <c r="LZ10">
        <f>IF(AND(NOT(OR(FALSE)),AND($LI10="Casco",'FICHA'!T19&lt;4)),"Exige Constituição 4","")</f>
        <v/>
      </c>
      <c r="MA10">
        <f>IF(AND(NOT(OR(FALSE)),AND($LI10="Presilha",'FICHA'!D19&lt;4)),"Exige Força 4","")</f>
        <v/>
      </c>
      <c r="MB10">
        <f>IF(AND(NOT(OR(FALSE)),AND($LI10="Antecipar",'FICHA'!AB19&lt;4)),"Exige Inteligência 4","")</f>
        <v/>
      </c>
      <c r="MC10">
        <f>IF(AND(NOT(OR(FALSE)),AND($LI10="Sangue Frio",'FICHA'!T19&lt;4)),"Exige Constituição 4","")</f>
        <v/>
      </c>
      <c r="MD10">
        <f>IF(AND(NOT(OR(FALSE)),AND($LI10="Assombro",'FICHA'!AJ19&lt;4)),"Exige Essência 4","")</f>
        <v/>
      </c>
      <c r="ME10">
        <f>IF(AND(NOT(OR(FALSE)),$LI10="Cesta Oca de Vime"),"Conferir Encarnado ou treino em História","")</f>
        <v/>
      </c>
      <c r="MF10">
        <f>IF(AND(NOT(OR(FALSE)),$LI10="Pétala"),"Conferir Descendente ou aprendizado de clã","")</f>
        <v/>
      </c>
      <c r="MG10">
        <f>IF(AND(NOT(OR(FALSE)),$LI10="Domínio Simples"),"Conferir aprendizado de Domínio Simples","")</f>
        <v/>
      </c>
      <c r="MH10">
        <f>IF(AND(NOT(OR(FALSE)),$LI10="Extensão de Domínio"),"Conferir aprendizado de Extensão de Domínio","")</f>
        <v/>
      </c>
      <c r="MI10">
        <f>IF(AND(NOT(OR(FALSE)),$LI10="Ritual"),"Conferir Técnica Inata","")</f>
        <v/>
      </c>
      <c r="MJ10">
        <f>IF(AND(NOT(OR(FALSE)),AND($LI10="Represália",MAX('FICHA'!D19,'FICHA'!L19)&lt;4)),"Exige Força ou Destreza 4","")</f>
        <v/>
      </c>
    </row>
    <row r="11">
      <c r="C11" s="162" t="inlineStr">
        <is>
          <t>reação</t>
        </is>
      </c>
      <c r="D11" s="162" t="inlineStr">
        <is>
          <t>Reação de Cobrir-se</t>
        </is>
      </c>
      <c r="E11" s="162" t="inlineStr">
        <is>
          <t>Reação de Cobrir-se</t>
        </is>
      </c>
      <c r="F11" s="162" t="inlineStr">
        <is>
          <t>Reação de Cobrir-se</t>
        </is>
      </c>
      <c r="G11" s="162" t="inlineStr">
        <is>
          <t>Reação da Defesa</t>
        </is>
      </c>
      <c r="Y11" s="162" t="inlineStr">
        <is>
          <t>Efeito</t>
        </is>
      </c>
      <c r="Z11" s="162" t="inlineStr"/>
      <c r="AA11" s="164" t="n">
        <v>0</v>
      </c>
      <c r="AB11" s="164">
        <f>IF($AA11=0,0,$AA11+3*IFERROR(VLOOKUP($Z11,'DADOS_CRIACAO'!$H$2:$K$20,3,FALSE),0))</f>
        <v/>
      </c>
      <c r="AC11" s="164">
        <f>IFERROR(VLOOKUP($Z11,'DADOS_CRIACAO'!$H$2:$K$20,4,FALSE),0)</f>
        <v/>
      </c>
      <c r="AD11" s="164" t="n">
        <v>0</v>
      </c>
      <c r="AE11" s="164" t="n">
        <v>3</v>
      </c>
      <c r="AF11" s="162" t="inlineStr">
        <is>
          <t>Automático</t>
        </is>
      </c>
      <c r="AG11" s="164" t="n">
        <v>0</v>
      </c>
      <c r="AH11" s="164" t="n">
        <v>0</v>
      </c>
      <c r="AI11" s="164" t="n">
        <v>0</v>
      </c>
      <c r="AJ11" s="164" t="n">
        <v>0</v>
      </c>
      <c r="AK11" s="164" t="n">
        <v>1</v>
      </c>
      <c r="AL11" s="164">
        <f>IF($AC11=1,"",$Y11)</f>
        <v/>
      </c>
      <c r="AM11" s="164">
        <f>IF(AND($AK11=1,$AC11=0),$Y11,"")</f>
        <v/>
      </c>
      <c r="AO11" s="162" t="inlineStr">
        <is>
          <t>Aura · classe 0</t>
        </is>
      </c>
      <c r="AP11" s="162" t="inlineStr">
        <is>
          <t>Raio 3 m, em você</t>
        </is>
      </c>
      <c r="AQ11" s="162" t="inlineStr">
        <is>
          <t>Raio 4,5 m, em você</t>
        </is>
      </c>
      <c r="AR11" s="162" t="inlineStr">
        <is>
          <t>Raio 6 m, em você</t>
        </is>
      </c>
      <c r="AS11" s="162" t="inlineStr">
        <is>
          <t>Raio 9 m, em você</t>
        </is>
      </c>
      <c r="AT11" s="162" t="inlineStr">
        <is>
          <t>Raio 15 m, em você</t>
        </is>
      </c>
      <c r="AU11" s="162" t="inlineStr">
        <is>
          <t>Raio 15 m, em você</t>
        </is>
      </c>
      <c r="AV11" s="162" t="inlineStr"/>
      <c r="AW11" s="162" t="inlineStr"/>
      <c r="AX11" s="162" t="inlineStr"/>
      <c r="AY11" s="162" t="inlineStr"/>
      <c r="AZ11" s="162" t="inlineStr"/>
      <c r="BA11" s="162" t="inlineStr"/>
      <c r="BC11" s="162" t="inlineStr">
        <is>
          <t>Mais Um</t>
        </is>
      </c>
      <c r="BD11" s="162" t="inlineStr">
        <is>
          <t>Área</t>
        </is>
      </c>
      <c r="BE11" s="164" t="n">
        <v>1</v>
      </c>
      <c r="BF11" s="164">
        <f>$BE11+3*IFERROR(VLOOKUP($BD11,'DADOS_CRIACAO'!$H$2:$K$20,3,FALSE),0)</f>
        <v/>
      </c>
      <c r="BG11" s="164">
        <f>IFERROR(VLOOKUP($BD11,'DADOS_CRIACAO'!$H$2:$K$20,4,FALSE),0)</f>
        <v/>
      </c>
      <c r="BH11" s="164" t="n">
        <v>0</v>
      </c>
      <c r="BI11" s="164">
        <f>IF($BG11=1,"",$BC11)</f>
        <v/>
      </c>
      <c r="BJ11" s="164">
        <f>IF(AND($BE11=1,$BG11=0),$BC11,"")</f>
        <v/>
      </c>
      <c r="BK11" s="164" t="n">
        <v>0</v>
      </c>
      <c r="BM11" s="162" t="inlineStr">
        <is>
          <t>Fraqueza (Média)</t>
        </is>
      </c>
      <c r="BN11" s="162" t="inlineStr">
        <is>
          <t>Fraqueza</t>
        </is>
      </c>
      <c r="BO11" s="164" t="n">
        <v>2</v>
      </c>
      <c r="BP11" s="164" t="n">
        <v>0</v>
      </c>
      <c r="BQ11" s="162" t="inlineStr"/>
      <c r="BS11" s="162" t="inlineStr">
        <is>
          <t>Eco</t>
        </is>
      </c>
      <c r="BT11" s="164" t="n">
        <v>2</v>
      </c>
      <c r="BU11" s="162" t="inlineStr">
        <is>
          <t>Quando um feitiço seu reduzir um inimigo a 0 pontos de vida, o próximo feitiço que você conjurar nesta cena custa metade do seu PE normal, arredondada para cima. Derrubado, a condição, não ativa Eco.</t>
        </is>
      </c>
      <c r="BV11" s="164" t="n">
        <v>1</v>
      </c>
      <c r="BW11" s="164" t="n">
        <v>0</v>
      </c>
      <c r="BX11" s="164">
        <f>IF(OR(AND($A$2&lt;=2,$BV11=1),AND($A$2&gt;=2,$BW11=1)),$BS11,"")</f>
        <v/>
      </c>
      <c r="BY11" s="162" t="inlineStr">
        <is>
          <t>Quando um feitiço seu reduzir um inimigo a 0 pontos de vida, o próximo feitiço que você conjurar nesta cena custa metade do seu PE normal, arredondada para cima. Derrubado, a condição, não ativa Eco.</t>
        </is>
      </c>
      <c r="CD11" s="162" t="inlineStr">
        <is>
          <t>Domínio Simples</t>
        </is>
      </c>
      <c r="CE11" s="162" t="inlineStr">
        <is>
          <t>Refino 5, ou 4 com o voto do iniciante; aprendizado registrado</t>
        </is>
      </c>
      <c r="CF11" s="164" t="n">
        <v>2</v>
      </c>
      <c r="CG11" s="162" t="inlineStr">
        <is>
          <t>Raio</t>
        </is>
      </c>
      <c r="CH11" s="162" t="inlineStr">
        <is>
          <t>Você precisa ter visto um Domínio Simples sendo usado ou ter aprendido com alguém. Registre essa origem do aprendizado. Você cria uma área ao seu redor que protege quem estiver nela. Ative conforme Proteção contra domínios e pague 2 PE de manutenção. As faixas inferiores servem a concessões específicas da criação. O raio acompanha você, salvo o voto abaixo. A proteção alcança todas as criaturas dentro dele, sem uma lista escolhida de aliados. Dentro do raio, uma Expansão com Acerto garantido não aplica seu Acerto nem seu Efeito às criaturas ou ao lugar protegido. Os benefícios do dono continuam com ele. Seus ataques e feitiços comuns ainda podem entrar na área, usando suas resoluções normais. Com Refino abaixo de 5, quando uma regra permitir adquirir esta aptidão, o Domínio Simples fica fixo no ponto de ativação. Se seus dois pés saírem desse ponto, por movimento próprio ou imposto, ele termina. Ao chegar a Refino 5, você pode abandonar esse voto. Se terminar pelo voto, por encerramento voluntário, falta de manutenção ou inconsciência enquanto segurava uma Expansão, quem perdeu essa proteção recebe um Acerto adicional imediatamente, além dos Acertos normais que ainda virão. O fim por esgotar a capacidade segue Duração do Domínio Simples.</t>
        </is>
      </c>
      <c r="CI11" s="164">
        <f>IF($CL11=1,"",IF($A$2=4,IF($CJ11=1,$CD11,""),IF(OR($CJ11=1,AND($A$2=3,$CK11=1)),"",$CD11)))</f>
        <v/>
      </c>
      <c r="CJ11" s="164" t="n">
        <v>0</v>
      </c>
      <c r="CK11" s="164" t="n">
        <v>0</v>
      </c>
      <c r="CL11" s="164" t="n">
        <v>0</v>
      </c>
      <c r="CM11" s="162" t="inlineStr">
        <is>
          <t>Você precisa ter visto um Domínio Simples sendo usado ou ter aprendido com alguém.</t>
        </is>
      </c>
      <c r="CU11" s="162" t="inlineStr">
        <is>
          <t>Massa</t>
        </is>
      </c>
      <c r="CV11" s="164" t="n">
        <v>1</v>
      </c>
      <c r="CW11" s="164" t="n">
        <v>0</v>
      </c>
      <c r="CX11" s="164">
        <f>IF(AND($A$2&gt;=3,'FICHA AMALDIÇOADA'!$J$16&amp;""="Três grupos de arma"),$CU11,"")</f>
        <v/>
      </c>
      <c r="DY11" s="162" t="inlineStr">
        <is>
          <t>Feitiço 10</t>
        </is>
      </c>
      <c r="DZ11" s="164" t="n">
        <v>0</v>
      </c>
      <c r="EA11" s="164" t="n">
        <v>10</v>
      </c>
      <c r="EB11" s="164">
        <f>MAX(1,MIN(7,N('FICHA AMALDIÇOADA'!$D$127)))</f>
        <v/>
      </c>
      <c r="EC11" s="164">
        <f>'FICHA AMALDIÇOADA'!$E$127&amp;""</f>
        <v/>
      </c>
      <c r="ED11" s="164">
        <f>'FICHA AMALDIÇOADA'!$D$134&amp;""</f>
        <v/>
      </c>
      <c r="EE11" s="164">
        <f>'FICHA AMALDIÇOADA'!$E$136&amp;""</f>
        <v/>
      </c>
      <c r="EF11" s="164">
        <f>'FICHA AMALDIÇOADA'!$E$137&amp;""</f>
        <v/>
      </c>
      <c r="EG11" s="164">
        <f>'FICHA AMALDIÇOADA'!$E$138&amp;""</f>
        <v/>
      </c>
      <c r="EH11" s="164">
        <f>'FICHA AMALDIÇOADA'!$E$139&amp;""</f>
        <v/>
      </c>
      <c r="EI11" s="164">
        <f>'FICHA AMALDIÇOADA'!$E$140&amp;""</f>
        <v/>
      </c>
      <c r="EJ11" s="164">
        <f>'FICHA AMALDIÇOADA'!$E$141&amp;""</f>
        <v/>
      </c>
      <c r="EK11" s="164">
        <f>IF($EC11&lt;&gt;"",1,0)</f>
        <v/>
      </c>
      <c r="EL11" s="164">
        <f>IFERROR(MATCH(SUBSTITUTE(SUBSTITUTE(SUBSTITUTE($ED11,"~","~~"),"*","~*"),"?","~?"),'DADOS_FORMAS'!$FJ$2:$FJ$21,0),0)</f>
        <v/>
      </c>
      <c r="EM11" s="164">
        <f>IF($EL11=0,0,INDEX('DADOS_FORMAS'!$FM$2:$FM$21,$EL11))</f>
        <v/>
      </c>
      <c r="EN11" s="164">
        <f>IFERROR(VLOOKUP(SUBSTITUTE(SUBSTITUTE(SUBSTITUTE($EE11,"~","~~"),"*","~*"),"?","~?"),'DADOS_MELHORIAS'!$O$2:$W$113,4,FALSE),0)</f>
        <v/>
      </c>
      <c r="EO11" s="164">
        <f>IFERROR(VLOOKUP(SUBSTITUTE(SUBSTITUTE(SUBSTITUTE($EF11,"~","~~"),"*","~*"),"?","~?"),'DADOS_MELHORIAS'!$O$2:$W$113,4,FALSE),0)</f>
        <v/>
      </c>
      <c r="EP11" s="164">
        <f>IFERROR(VLOOKUP(SUBSTITUTE(SUBSTITUTE(SUBSTITUTE($EG11,"~","~~"),"*","~*"),"?","~?"),'DADOS_MELHORIAS'!$O$2:$W$113,4,FALSE),0)</f>
        <v/>
      </c>
      <c r="EQ11" s="164">
        <f>IFERROR(VLOOKUP(SUBSTITUTE(SUBSTITUTE(SUBSTITUTE($EH11,"~","~~"),"*","~*"),"?","~?"),'DADOS_MELHORIAS'!$O$2:$W$113,4,FALSE),0)</f>
        <v/>
      </c>
      <c r="ER11" s="164">
        <f>IF($EL11=0,0,INDEX('DADOS_FORMAS'!$FN$2:$FN$21,$EL11))</f>
        <v/>
      </c>
      <c r="ES11" s="164">
        <f>IFERROR(VLOOKUP(SUBSTITUTE(SUBSTITUTE(SUBSTITUTE($EE11,"~","~~"),"*","~*"),"?","~?"),'DADOS_MELHORIAS'!$O$2:$W$113,5,FALSE),0)</f>
        <v/>
      </c>
      <c r="ET11" s="164">
        <f>IFERROR(VLOOKUP(SUBSTITUTE(SUBSTITUTE(SUBSTITUTE($EF11,"~","~~"),"*","~*"),"?","~?"),'DADOS_MELHORIAS'!$O$2:$W$113,5,FALSE),0)</f>
        <v/>
      </c>
      <c r="EU11" s="164">
        <f>IFERROR(VLOOKUP(SUBSTITUTE(SUBSTITUTE(SUBSTITUTE($EG11,"~","~~"),"*","~*"),"?","~?"),'DADOS_MELHORIAS'!$O$2:$W$113,5,FALSE),0)</f>
        <v/>
      </c>
      <c r="EV11" s="164">
        <f>IFERROR(VLOOKUP(SUBSTITUTE(SUBSTITUTE(SUBSTITUTE($EH11,"~","~~"),"*","~*"),"?","~?"),'DADOS_MELHORIAS'!$O$2:$W$113,5,FALSE),0)</f>
        <v/>
      </c>
      <c r="EW11" s="164">
        <f>IFERROR(VLOOKUP(SUBSTITUTE(SUBSTITUTE(SUBSTITUTE($EE11,"~","~~"),"*","~*"),"?","~?"),'DADOS_MELHORIAS'!$O$2:$W$113,6,FALSE),0)+IFERROR(VLOOKUP(SUBSTITUTE(SUBSTITUTE(SUBSTITUTE($EF11,"~","~~"),"*","~*"),"?","~?"),'DADOS_MELHORIAS'!$O$2:$W$113,6,FALSE),0)+IFERROR(VLOOKUP(SUBSTITUTE(SUBSTITUTE(SUBSTITUTE($EG11,"~","~~"),"*","~*"),"?","~?"),'DADOS_MELHORIAS'!$O$2:$W$113,6,FALSE),0)+IFERROR(VLOOKUP(SUBSTITUTE(SUBSTITUTE(SUBSTITUTE($EH11,"~","~~"),"*","~*"),"?","~?"),'DADOS_MELHORIAS'!$O$2:$W$113,6,FALSE),0)</f>
        <v/>
      </c>
      <c r="EX11" s="164">
        <f>IFERROR(VLOOKUP(SUBSTITUTE(SUBSTITUTE(SUBSTITUTE($EE11,"~","~~"),"*","~*"),"?","~?"),'DADOS_MELHORIAS'!$O$2:$W$113,9,FALSE),0)+IFERROR(VLOOKUP(SUBSTITUTE(SUBSTITUTE(SUBSTITUTE($EF11,"~","~~"),"*","~*"),"?","~?"),'DADOS_MELHORIAS'!$O$2:$W$113,9,FALSE),0)+IFERROR(VLOOKUP(SUBSTITUTE(SUBSTITUTE(SUBSTITUTE($EG11,"~","~~"),"*","~*"),"?","~?"),'DADOS_MELHORIAS'!$O$2:$W$113,9,FALSE),0)+IFERROR(VLOOKUP(SUBSTITUTE(SUBSTITUTE(SUBSTITUTE($EH11,"~","~~"),"*","~*"),"?","~?"),'DADOS_MELHORIAS'!$O$2:$W$113,9,FALSE),0)</f>
        <v/>
      </c>
      <c r="EY11" s="164">
        <f>IF($EL11=0,0,INDEX('DADOS_FORMAS'!$FO$2:$FO$21,$EL11))</f>
        <v/>
      </c>
      <c r="EZ11" s="164">
        <f>IF($EL11=0,0,INDEX('DADOS_FORMAS'!$FP$2:$FP$21,$EL11))</f>
        <v/>
      </c>
      <c r="FA11" s="164">
        <f>IF($EL11=0,0,INDEX('DADOS_FORMAS'!$FR$2:$FR$21,$EL11))</f>
        <v/>
      </c>
      <c r="FB11" s="164">
        <f>IFERROR(VLOOKUP(SUBSTITUTE(SUBSTITUTE(SUBSTITUTE($EI11,"~","~~"),"*","~*"),"?","~?"),'DADOS_RESTRICOES'!$M$2:$Q$54,3,FALSE),0)</f>
        <v/>
      </c>
      <c r="FC11" s="164">
        <f>IFERROR(VLOOKUP(SUBSTITUTE(SUBSTITUTE(SUBSTITUTE($EJ11,"~","~~"),"*","~*"),"?","~?"),'DADOS_RESTRICOES'!$M$2:$Q$54,3,FALSE),0)</f>
        <v/>
      </c>
      <c r="FD11" s="164">
        <f>IFERROR(VLOOKUP(SUBSTITUTE(SUBSTITUTE(SUBSTITUTE($EI11,"~","~~"),"*","~*"),"?","~?"),'DADOS_RESTRICOES'!$M$2:$Q$54,2,FALSE),"")</f>
        <v/>
      </c>
      <c r="FE11" s="164">
        <f>IFERROR(VLOOKUP(SUBSTITUTE(SUBSTITUTE(SUBSTITUTE($EJ11,"~","~~"),"*","~*"),"?","~?"),'DADOS_RESTRICOES'!$M$2:$Q$54,2,FALSE),"")</f>
        <v/>
      </c>
      <c r="FF11" s="164">
        <f>COUNTIF($EM11:$EQ11,1)</f>
        <v/>
      </c>
      <c r="FG11" s="164">
        <f>COUNTIF($EM11:$EQ11,2)</f>
        <v/>
      </c>
      <c r="FH11" s="164">
        <f>COUNTIF($EM11:$EQ11,3)</f>
        <v/>
      </c>
      <c r="FI11" s="164">
        <f>COUNTIF($EM11:$EQ11,4)</f>
        <v/>
      </c>
      <c r="FJ11" s="164">
        <f>COUNTIF($EM11:$EQ11,5)</f>
        <v/>
      </c>
      <c r="FK11" s="164">
        <f>COUNTIF($EM11:$EQ11,6)</f>
        <v/>
      </c>
      <c r="FL11" s="164">
        <f>COUNTIF($FB11:$FC11,1)+IF(IFERROR(INDEX('DADOS_FORMAS'!$AS$2:$AS$21,MATCH(SUBSTITUTE(SUBSTITUTE(SUBSTITUTE($ED11,"~","~~"),"*","~*"),"?","~?"),'DADOS_FORMAS'!$AH$2:$AH$21,0)),"")="",0,IFERROR(N(VLOOKUP(SUBSTITUTE(SUBSTITUTE(SUBSTITUTE(IFERROR(INDEX('DADOS_FORMAS'!$AS$2:$AS$21,MATCH(SUBSTITUTE(SUBSTITUTE(SUBSTITUTE($ED11,"~","~~"),"*","~*"),"?","~?"),'DADOS_FORMAS'!$AH$2:$AH$21,0)),""),"~","~~"),"*","~*"),"?","~?"),'DADOS_RESTRICOES'!$M$2:$Q$54,3,FALSE)=1),0))</f>
        <v/>
      </c>
      <c r="FM11" s="164">
        <f>COUNTIF($FB11:$FC11,2)+IF(IFERROR(INDEX('DADOS_FORMAS'!$AS$2:$AS$21,MATCH(SUBSTITUTE(SUBSTITUTE(SUBSTITUTE($ED11,"~","~~"),"*","~*"),"?","~?"),'DADOS_FORMAS'!$AH$2:$AH$21,0)),"")="",0,IFERROR(N(VLOOKUP(SUBSTITUTE(SUBSTITUTE(SUBSTITUTE(IFERROR(INDEX('DADOS_FORMAS'!$AS$2:$AS$21,MATCH(SUBSTITUTE(SUBSTITUTE(SUBSTITUTE($ED11,"~","~~"),"*","~*"),"?","~?"),'DADOS_FORMAS'!$AH$2:$AH$21,0)),""),"~","~~"),"*","~*"),"?","~?"),'DADOS_RESTRICOES'!$M$2:$Q$54,3,FALSE)=2),0))</f>
        <v/>
      </c>
      <c r="FN11" s="164">
        <f>COUNTIF($EE11:$EH11,"?*")</f>
        <v/>
      </c>
      <c r="FO11" s="164">
        <f>COUNTIF($EI11:$EJ11,"?*")+$EY11</f>
        <v/>
      </c>
      <c r="FP11" s="164">
        <f>SUMPRODUCT($FF11:$FK11,INDEX($Q$2:$V$8,$EB11,0))</f>
        <v/>
      </c>
      <c r="FQ11" s="164">
        <f>$FL11*CEILING($EB11/2,1)+$FM11*$EB11</f>
        <v/>
      </c>
      <c r="FR11" s="164">
        <f>MIN(2*$EB11,$FQ11)</f>
        <v/>
      </c>
      <c r="FS11" s="164">
        <f>MIN($FR11,$FP11-IF($EM11=0,0,INDEX($Q$2:$V$8,$EB11,$EM11)))</f>
        <v/>
      </c>
      <c r="FT11" s="164">
        <f>$FR11-$FS11</f>
        <v/>
      </c>
      <c r="FU11" s="164">
        <f>3*$EB11-$FP11+$FS11</f>
        <v/>
      </c>
      <c r="FV11" s="164">
        <f>MAX(0,$FU11)+$DZ11*$EB11</f>
        <v/>
      </c>
      <c r="FW11" s="164">
        <f>(IF(COUNTIF($KW11:$KZ11,"Salto")&gt;0,1,0)+IF(COUNTIF($KW11:$KZ11,"Queima")&gt;0,1,0)+IF(COUNTIF($KW11:$KZ11,"Estilhaço")&gt;0,1,0))*FLOOR($FV11/2,1)</f>
        <v/>
      </c>
      <c r="FX11" s="164">
        <f>MAX(0,3-SUMPRODUCT($FF11:$FK11,$Q$2:$V$2)+MIN(2,$FL11*1+$FM11*1,SUMPRODUCT($FF11:$FK11,$Q$2:$V$2)-IF($EM11=0,0,INDEX($Q$2:$V$2,1,$EM11))))+$DZ11*1</f>
        <v/>
      </c>
      <c r="FY11" s="164">
        <f>MAX(0,6-SUMPRODUCT($FF11:$FK11,$Q$3:$V$3)+MIN(4,$FL11*1+$FM11*2,SUMPRODUCT($FF11:$FK11,$Q$3:$V$3)-IF($EM11=0,0,INDEX($Q$3:$V$3,1,$EM11))))+$DZ11*2</f>
        <v/>
      </c>
      <c r="FZ11" s="164">
        <f>MAX(0,9-SUMPRODUCT($FF11:$FK11,$Q$4:$V$4)+MIN(6,$FL11*2+$FM11*3,SUMPRODUCT($FF11:$FK11,$Q$4:$V$4)-IF($EM11=0,0,INDEX($Q$4:$V$4,1,$EM11))))+$DZ11*3</f>
        <v/>
      </c>
      <c r="GA11" s="164">
        <f>MAX(0,12-SUMPRODUCT($FF11:$FK11,$Q$5:$V$5)+MIN(8,$FL11*2+$FM11*4,SUMPRODUCT($FF11:$FK11,$Q$5:$V$5)-IF($EM11=0,0,INDEX($Q$5:$V$5,1,$EM11))))+$DZ11*4</f>
        <v/>
      </c>
      <c r="GB11" s="164">
        <f>MAX(0,15-SUMPRODUCT($FF11:$FK11,$Q$6:$V$6)+MIN(10,$FL11*3+$FM11*5,SUMPRODUCT($FF11:$FK11,$Q$6:$V$6)-IF($EM11=0,0,INDEX($Q$6:$V$6,1,$EM11))))+$DZ11*5</f>
        <v/>
      </c>
      <c r="GC11" s="164">
        <f>MAX(0,18-SUMPRODUCT($FF11:$FK11,$Q$7:$V$7)+MIN(12,$FL11*3+$FM11*6,SUMPRODUCT($FF11:$FK11,$Q$7:$V$7)-IF($EM11=0,0,INDEX($Q$7:$V$7,1,$EM11))))+$DZ11*6</f>
        <v/>
      </c>
      <c r="GD11" s="164">
        <f>MAX(0,21-SUMPRODUCT($FF11:$FK11,$Q$8:$V$8)+MIN(14,$FL11*4+$FM11*7,SUMPRODUCT($FF11:$FK11,$Q$8:$V$8)-IF($EM11=0,0,INDEX($Q$8:$V$8,1,$EM11))))+$DZ11*7</f>
        <v/>
      </c>
      <c r="GE11" s="164">
        <f>IF($EZ11=2,3*$FX11&amp;" de vida temp.",IF($EZ11=3,"sem dano",IF($FX11=0,IF($EZ11=1,"sem cura","sem dano"),IF($EZ11=1,"cura ","")&amp;$FX11&amp;"d8")))</f>
        <v/>
      </c>
      <c r="GF11" s="164">
        <f>IF($EZ11=2,3*$FY11&amp;" de vida temp.",IF($EZ11=3,"sem dano",IF($FY11=0,IF($EZ11=1,"sem cura","sem dano"),IF($EZ11=1,"cura ","")&amp;$FY11&amp;"d8")))</f>
        <v/>
      </c>
      <c r="GG11" s="164">
        <f>IF($EZ11=2,3*$FZ11&amp;" de vida temp.",IF($EZ11=3,"sem dano",IF($FZ11=0,IF($EZ11=1,"sem cura","sem dano"),IF($EZ11=1,"cura ","")&amp;$FZ11&amp;"d8")))</f>
        <v/>
      </c>
      <c r="GH11" s="164">
        <f>IF($EZ11=2,3*$GA11&amp;" de vida temp.",IF($EZ11=3,"sem dano",IF($GA11=0,IF($EZ11=1,"sem cura","sem dano"),IF($EZ11=1,"cura ","")&amp;$GA11&amp;"d8")))</f>
        <v/>
      </c>
      <c r="GI11" s="164">
        <f>IF($EZ11=2,3*$GB11&amp;" de vida temp.",IF($EZ11=3,"sem dano",IF($GB11=0,IF($EZ11=1,"sem cura","sem dano"),IF($EZ11=1,"cura ","")&amp;$GB11&amp;"d8")))</f>
        <v/>
      </c>
      <c r="GJ11" s="164">
        <f>IF($EZ11=2,3*$GC11&amp;" de vida temp.",IF($EZ11=3,"sem dano",IF($GC11=0,IF($EZ11=1,"sem cura","sem dano"),IF($EZ11=1,"cura ","")&amp;$GC11&amp;"d8")))</f>
        <v/>
      </c>
      <c r="GK11" s="164">
        <f>IF($EZ11=2,3*$GD11&amp;" de vida temp.",IF($EZ11=3,"sem dano",IF($GD11=0,IF($EZ11=1,"sem cura","sem dano"),IF($EZ11=1,"cura ","")&amp;$GD11&amp;"d8")))</f>
        <v/>
      </c>
      <c r="GL11" s="164">
        <f>IF($EK11=0,"",TEXTJOIN(" · ",TRUE,IF($EK11=0,"",TEXTJOIN(" · ",TRUE,IF($EK11=0,"",TEXTJOIN(" · ",TRUE,IF(AND($DZ11=1,$EA11&gt;$HM$9),"O nível "&amp;$HM$2&amp;" dá "&amp;$HM$9&amp;" Liberação Máxima",""),IF($EB11&gt;$HM$4,"Classe "&amp;$EB11&amp;": o nível "&amp;$HM$2&amp;" libera até a "&amp;$HM$4,""),IF($ER11=1,"Família Fechada: a Forma "&amp;$ED11,""),IF($ES11=1,"Família Fechada: "&amp;$EE11,""),IF($ET11=1,"Família Fechada: "&amp;$EF11,""),IF($EU11=1,"Família Fechada: "&amp;$EG11,""),IF($EV11=1,"Família Fechada: "&amp;$EH11,""),IF($FN11&gt;INDEX($W$2:$W$8,$EB11),$FN11&amp;" Melhorias: a Classe "&amp;$EB11&amp;" aceita "&amp;INDEX($W$2:$W$8,$EB11),""),IF($FO11&gt;2,$FO11&amp;" Restrições"&amp;IF($EY11=1,", contando a que a Forma "&amp;$ED11&amp;" já traz","")&amp;": o limite é 2",""),IF($FU11&lt;0,"Orçamento estourado: faltam "&amp;(-$FU11)&amp;IF($FU11&lt;-1," pontos"," ponto"),""),IF(IFERROR(VLOOKUP(SUBSTITUTE(SUBSTITUTE(SUBSTITUTE($EI11,"~","~~"),"*","~*"),"?","~?"),'DADOS_RESTRICOES'!$M$2:$Q$54,4,FALSE),0)+IFERROR(VLOOKUP(SUBSTITUTE(SUBSTITUTE(SUBSTITUTE($EJ11,"~","~~"),"*","~*"),"?","~?"),'DADOS_RESTRICOES'!$M$2:$Q$54,4,FALSE),0)&gt;1,$FD11&amp;" e "&amp;$FE11&amp;" são as duas de frequência",""),IF(AND((COUNTIF($KW11:$KZ11,"Rápido")+COUNTIF($FD11:$FE11,"Rápido"))&gt;0,(COUNTIF($EE11:$EH11,"Atrasar")+COUNTIF($FD11:$FE11,"Atrasar"))&gt;0),"Rápido não entra com Atrasar",""),IF(AND((COUNTIF($KW11:$KZ11,"Reação")+COUNTIF($FD11:$FE11,"Reação"))&gt;0,(COUNTIF($KW11:$KZ11,"Rápido")+COUNTIF($FD11:$FE11,"Rápido"))&gt;0),"Reação não entra com Rápido",""),IF(AND((COUNTIF($KW11:$KZ11,"Reação")+COUNTIF($FD11:$FE11,"Reação"))&gt;0,(COUNTIF($KW11:$KZ11,"Armado")+COUNTIF($FD11:$FE11,"Armado"))&gt;0),"Reação não entra com Armado",""),IF(AND((COUNTIF($KW11:$KZ11,"Reação")+COUNTIF($FD11:$FE11,"Reação"))&gt;0,(COUNTIF($EE11:$EH11,"Atrasar")+COUNTIF($FD11:$FE11,"Atrasar"))&gt;0),"Reação não entra com Atrasar",""),IF(AND((COUNTIF($KW11:$KZ11,"Reação")+COUNTIF($FD11:$FE11,"Reação"))&gt;0,(COUNTIF($EE11:$EH11,"Parado")+COUNTIF($FD11:$FE11,"Parado"))&gt;0),"Reação não entra com Parado",""),IF(AND((COUNTIF($EE11:$EH11,"Atrasar")+COUNTIF($FD11:$FE11,"Atrasar"))&gt;0,(COUNTIF($EE11:$EH11,"Parado")+COUNTIF($FD11:$FE11,"Parado"))&gt;0),"Atrasar não entra com Parado",""),IF(AND((COUNTIF($KW11:$KZ11,"Armado")+COUNTIF($FD11:$FE11,"Armado"))&gt;0,(COUNTIF($EE11:$EH11,"Carregar")+COUNTIF($FD11:$FE11,"Carregar"))&gt;0),"Armado não entra com Carregar",""),IF(AND(COUNTIF($FD11:$FE11,"Corpo a Corpo")&gt;0,$EY11=0,OR($LB11="Cone",$LB11="Linha")),"Corpo a Corpo não entra em "&amp;$ED11,""),IF(AND(COUNTIF($FD11:$FE11,"Corpo a Corpo")&gt;0,$LC11="Corpo a Corpo"),"A Forma "&amp;$ED11&amp;" já traz o Corpo a Corpo",""),IF(AND(COUNTIF($FD11:$FE11,"Tudo ou Nada")&gt;0,$FA11=0),"Tudo ou Nada só entra em feitiço de Teste de Resistência",""),IF(AND(COUNTIF($KW11:$KZ11,"Inescapável")&gt;0,OR($FN11&gt;1,$FO11&gt;0)),"Inescapável não aceita outra peça",""),IF(AND($DZ11=1,$EB11&lt;3),"Liberação Máxima é de Classe 3 ou mais",""),IF(AND($DZ11=1,OR($EZ11=1,$EZ11=2)),"Liberação Máxima não serve para cura",""),IF(AND($DZ11=1,COUNTIF($KW11:$KZ11,"Inescapável")+COUNTIF($KW11:$KZ11,"Toca a Alma")&gt;0),"Esta peça não entra numa Liberação Máxima",""),IF($FV11*IF(COUNTIF($KW11:$KZ11,"Remate")&gt;0,1.25,1)+$FW11&gt;4*$EB11,($FV11*IF(COUNTIF($KW11:$KZ11,"Remate")&gt;0,1.25,1)+$FW11)&amp;" dados somando repetições"&amp;IF(COUNTIF($KW11:$KZ11,"Remate")&gt;0," e o Remate","")&amp;": o teto da Classe "&amp;$EB11&amp;" é "&amp;4*$EB11,""))),IF(AND($EE11&lt;&gt;"",COUNTIF('DADOS_MELHORIAS'!$O$2:$O$113,SUBSTITUTE(SUBSTITUTE(SUBSTITUTE($EE11,"~","~~"),"*","~*"),"?","~?"))=0),"Melhoria não cadastrada ou com erro: "&amp;$EE11,""),IF(AND($EF11&lt;&gt;"",COUNTIF('DADOS_MELHORIAS'!$O$2:$O$113,SUBSTITUTE(SUBSTITUTE(SUBSTITUTE($EF11,"~","~~"),"*","~*"),"?","~?"))=0),"Melhoria não cadastrada ou com erro: "&amp;$EF11,""),IF(AND($EG11&lt;&gt;"",COUNTIF('DADOS_MELHORIAS'!$O$2:$O$113,SUBSTITUTE(SUBSTITUTE(SUBSTITUTE($EG11,"~","~~"),"*","~*"),"?","~?"))=0),"Melhoria não cadastrada ou com erro: "&amp;$EG11,""),IF(AND($EH11&lt;&gt;"",COUNTIF('DADOS_MELHORIAS'!$O$2:$O$113,SUBSTITUTE(SUBSTITUTE(SUBSTITUTE($EH11,"~","~~"),"*","~*"),"?","~?"))=0),"Melhoria não cadastrada ou com erro: "&amp;$EH11,""),IF(AND($EI11&lt;&gt;"",COUNTIF('DADOS_RESTRICOES'!$M$2:$M$54,SUBSTITUTE(SUBSTITUTE(SUBSTITUTE($EI11,"~","~~"),"*","~*"),"?","~?"))=0),"Restrição não cadastrada ou com erro: "&amp;$EI11,""),IF(AND($EJ11&lt;&gt;"",COUNTIF('DADOS_RESTRICOES'!$M$2:$M$54,SUBSTITUTE(SUBSTITUTE(SUBSTITUTE($EJ11,"~","~~"),"*","~*"),"?","~?"))=0),"Restrição não cadastrada ou com erro: "&amp;$EJ11,""))),IF(AND($ED11&lt;&gt;"",COUNTIF('DADOS_FORMAS'!$AH$2:$AH$21,SUBSTITUTE(SUBSTITUTE(SUBSTITUTE($ED11,"~","~~"),"*","~*"),"?","~?"))=0),"Forma não cadastrada ou com erro: "&amp;$ED11,""),IF(AND(IFERROR(INDEX('DADOS_FORMAS'!$AS$2:$AS$21,MATCH(SUBSTITUTE(SUBSTITUTE(SUBSTITUTE($ED11,"~","~~"),"*","~*"),"?","~?"),'DADOS_FORMAS'!$AH$2:$AH$21,0)),"")&lt;&gt;"",OR(IFERROR(VLOOKUP(SUBSTITUTE(SUBSTITUTE(SUBSTITUTE(IFERROR(INDEX('DADOS_FORMAS'!$AS$2:$AS$21,MATCH(SUBSTITUTE(SUBSTITUTE(SUBSTITUTE($ED11,"~","~~"),"*","~*"),"?","~?"),'DADOS_FORMAS'!$AH$2:$AH$21,0)),""),"~","~~"),"*","~*"),"?","~?"),'DADOS_RESTRICOES'!$M$2:$Q$54,2,FALSE),"")=$FD11,IFERROR(VLOOKUP(SUBSTITUTE(SUBSTITUTE(SUBSTITUTE(IFERROR(INDEX('DADOS_FORMAS'!$AS$2:$AS$21,MATCH(SUBSTITUTE(SUBSTITUTE(SUBSTITUTE($ED11,"~","~~"),"*","~*"),"?","~?"),'DADOS_FORMAS'!$AH$2:$AH$21,0)),""),"~","~~"),"*","~*"),"?","~?"),'DADOS_RESTRICOES'!$M$2:$Q$54,2,FALSE),"")=$FE11)),"Restrição repetida, contando a embutida",""),IF(IF(IFERROR(INDEX('DADOS_FORMAS'!$AS$2:$AS$21,MATCH(SUBSTITUTE(SUBSTITUTE(SUBSTITUTE($ED11,"~","~~"),"*","~*"),"?","~?"),'DADOS_FORMAS'!$AH$2:$AH$21,0)),"")="",0,IFERROR(N(VLOOKUP(SUBSTITUTE(SUBSTITUTE(SUBSTITUTE(IFERROR(INDEX('DADOS_FORMAS'!$AS$2:$AS$21,MATCH(SUBSTITUTE(SUBSTITUTE(SUBSTITUTE($ED11,"~","~~"),"*","~*"),"?","~?"),'DADOS_FORMAS'!$AH$2:$AH$21,0)),""),"~","~~"),"*","~*"),"?","~?"),'DADOS_RESTRICOES'!$M$2:$Q$54,4,FALSE)=1),0))+IF($EI11="",0,IFERROR(N(VLOOKUP(SUBSTITUTE(SUBSTITUTE(SUBSTITUTE($EI11,"~","~~"),"*","~*"),"?","~?"),'DADOS_RESTRICOES'!$M$2:$Q$54,4,FALSE)=1),0))+IF($EJ11="",0,IFERROR(N(VLOOKUP(SUBSTITUTE(SUBSTITUTE(SUBSTITUTE($EJ11,"~","~~"),"*","~*"),"?","~?"),'DADOS_RESTRICOES'!$M$2:$Q$54,4,FALSE)=1),0))&gt;1,"Duas Restrições de frequência, contando a embutida",""),IF(AND(IFERROR(VLOOKUP(SUBSTITUTE(SUBSTITUTE(SUBSTITUTE(IFERROR(INDEX('DADOS_FORMAS'!$AS$2:$AS$21,MATCH(SUBSTITUTE(SUBSTITUTE(SUBSTITUTE($ED11,"~","~~"),"*","~*"),"?","~?"),'DADOS_FORMAS'!$AH$2:$AH$21,0)),""),"~","~~"),"*","~*"),"?","~?"),'DADOS_RESTRICOES'!$M$2:$Q$54,2,FALSE),"")="Tudo ou Nada",$FA11=0),"Tudo ou Nada exige TR",""),IF(AND(IFERROR(VLOOKUP(SUBSTITUTE(SUBSTITUTE(SUBSTITUTE(IFERROR(INDEX('DADOS_FORMAS'!$AS$2:$AS$21,MATCH(SUBSTITUTE(SUBSTITUTE(SUBSTITUTE($ED11,"~","~~"),"*","~*"),"?","~?"),'DADOS_FORMAS'!$AH$2:$AH$21,0)),""),"~","~~"),"*","~*"),"?","~?"),'DADOS_RESTRICOES'!$M$2:$Q$54,2,FALSE),"")="Corpo a Corpo",OR($LB11="Cone",$LB11="Linha")),"Corpo a Corpo não entra em Cone/Linha","")))</f>
        <v/>
      </c>
      <c r="GM11" s="164">
        <f>IF($GL11="",0,(LEN($GL11)-LEN(SUBSTITUTE($GL11," · ","")))/3+1)</f>
        <v/>
      </c>
      <c r="GN11" s="164">
        <f>IF($EK11=0,"",TEXTJOIN(" · ",TRUE,IF($FQ11&gt;2*$EB11,"A devolução parou no teto de "&amp;2*$EB11,""),IF($FT11&gt;0,"Devolução perdida: "&amp;$FT11&amp;IF($FT11&gt;1," pontos"," ponto")&amp;" sem Melhoria para pagar",""),IF(AND($EW11&gt;0,$FV11=0),"Controle sem dano: uma rodada a mais e CD +2",""),IF(AND($EW11&gt;0,$FV11&gt;0,$FV11&lt;=$EB11),"Controle com saldo até a Classe: uma rodada a mais","")))</f>
        <v/>
      </c>
      <c r="GO11" s="164">
        <f>IF($GN11="",0,(LEN($GN11)-LEN(SUBSTITUTE($GN11," · ","")))/3+1)</f>
        <v/>
      </c>
      <c r="GP11" s="164">
        <f>IF($EK11=0,IF($FN11+$FO11-$EY11&gt;0,"Dê um nome",""),IF($GM11&gt;0,"⚠ "&amp;$GM11&amp;IF($GM11&gt;1," erros"," erro"),IF($GO11&gt;0,"! "&amp;$GO11&amp;IF($GO11&gt;1," avisos"," aviso"),"Na regra")))</f>
        <v/>
      </c>
      <c r="GQ11" s="164">
        <f>IF($EK11=0,"",IF($GM11+$GO11=0,"Dentro das regras que a ficha confere",$GL11&amp;IF(AND($GM11&gt;0,$GO11&gt;0)," · ","")&amp;$GN11))</f>
        <v/>
      </c>
      <c r="GR11" s="164">
        <f>IF($EK11=0,"",IF($DZ11=1,CEILING(4.5*$EB11,1),3*$EB11)&amp;" PE")</f>
        <v/>
      </c>
      <c r="GS11" s="164">
        <f>IF($EK11=0,"",IF($DZ11=1,"Rodada inteira",IF(COUNTIF($LD11:$LF11,"Atrasar")&gt;0,IF(COUNTIF($LD11:$LF11,"Carregar")&gt;0,"Rodada +1 turno","Rodada inteira"),IF(COUNTIF($KW11:$KZ11,"Rápido")&gt;0,"Bônus",IF(COUNTIF($KW11:$KZ11,"Reação")&gt;0,"Reação","Padrão"))&amp;IF(COUNTIF($LD11:$LF11,"Carregar")&gt;0," +1 turno",""))))</f>
        <v/>
      </c>
      <c r="GT11" s="164">
        <f>IF(OR($EK11=0,$EL11=0),"",IF(COUNTIF($KW11:$KZ11,"Inescapável")&gt;0,"Automático",IF(COUNTIF($KW11:$KZ11,"Certeiro")&gt;0,"TR para metade",IF(AND($EX11&gt;0,$FA11=0,INDEX('DADOS_FORMAS'!$FQ$2:$FQ$21,$EL11)="Acerto"),"Acerto + TR",INDEX('DADOS_FORMAS'!$FQ$2:$FQ$21,$EL11)))))</f>
        <v/>
      </c>
      <c r="GU11" s="164">
        <f>IF(OR($EK11=0,$EL11=0),"",IF(OR($EZ11&gt;=2,$FV11=0),UPPER(LEFT(INDEX($GE11:$GK11,1,$EB11),1))&amp;MID(INDEX($GE11:$GK11,1,$EB11),2,99),UPPER(LEFT(INDEX($GE11:$GK11,1,$EB11),1))&amp;MID(INDEX($GE11:$GK11,1,$EB11),2,99)&amp;" = "&amp;FLOOR($FV11*4.5,1)&amp;IF($FW11&gt;0," · +"&amp;$FW11&amp;"d8","")))</f>
        <v/>
      </c>
      <c r="GV11" s="164">
        <f>COUNTIF($KW11:$KZ11,"Longe")+3*COUNTIF($KW11:$KZ11,"Muito Longe")</f>
        <v/>
      </c>
      <c r="GW11" s="164">
        <f>COUNTIF($KW11:$KZ11,"Maior")+3*COUNTIF($KW11:$KZ11,"Muito Maior")</f>
        <v/>
      </c>
      <c r="GX11" s="164">
        <f>IF($EL11=0,0,CHOOSE(1+INDEX('DADOS_FORMAS'!$FS$2:$FS$21,$EL11),0,$GV11,$GW11,$GV11+$GW11))</f>
        <v/>
      </c>
      <c r="GY11" s="164">
        <f>IF($EL11=0,0,CHOOSE(1+INDEX('DADOS_FORMAS'!$FT$2:$FT$21,$EL11),0,$GV11,$GW11,$GV11+$GW11))</f>
        <v/>
      </c>
      <c r="GZ11" s="164">
        <f>IF(OR($EK11=0,$EL11=0),"",INDEX('DADOS_FORMAS'!$GZ$2:$HE$61,($EL11-1)*3+IF($EB11&gt;=6,3,2),1+MIN(5,$GX11))&amp;INDEX('DADOS_FORMAS'!$HF$2:$HK$61,($EL11-1)*3+IF($EB11&gt;=6,3,2),1+MIN(5,$GY11))&amp;IF(INDEX('DADOS_FORMAS'!$FU$2:$FU$21,$EL11)=1,IF(COUNTIF($KW11:$KZ11,"Mais Um")&gt;0," · +"&amp;COUNTIF($KW11:$KZ11,"Mais Um")&amp;IF(COUNTIF($KW11:$KZ11,"Mais Um")&gt;1," alvos"," alvo"),"")&amp;IF(COUNTIF($KW11:$KZ11,"Rajada")&gt;0," · "&amp;($EB11+1)&amp;" tiros",""),""))</f>
        <v/>
      </c>
      <c r="HA11" s="164">
        <f>IF($EK11=0,"",3*$EB11&amp;" − "&amp;$FP11&amp;" + "&amp;$FS11&amp;IF($DZ11=1," + "&amp;$EB11,"")&amp;" = "&amp;$FV11&amp;"d8 · teto "&amp;4*$EB11&amp;IF($EY11=1," · a Forma devolve "&amp;$EB11,"")&amp;IF($FT11&gt;0," · perde "&amp;$FT11,""))</f>
        <v/>
      </c>
      <c r="HB11" s="164">
        <f>IF($EK11=0,"",IF($EB11&gt;=$HM$4,"Já está na maior Classe que o nível liberou",TEXTJOIN(" · ",TRUE,IF(AND(2&gt;$EB11,2&lt;=$HM$4),"2 → "&amp;$GF11&amp;", "&amp;IF($DZ11=1,9,6)&amp;" PE",""),IF(AND(3&gt;$EB11,3&lt;=$HM$4),"3 → "&amp;$GG11&amp;", "&amp;IF($DZ11=1,14,9)&amp;" PE",""),IF(AND(4&gt;$EB11,4&lt;=$HM$4),"4 → "&amp;$GH11&amp;", "&amp;IF($DZ11=1,18,12)&amp;" PE",""),IF(AND(5&gt;$EB11,5&lt;=$HM$4),"5 → "&amp;$GI11&amp;", "&amp;IF($DZ11=1,23,15)&amp;" PE",""),IF(AND(6&gt;$EB11,6&lt;=$HM$4),"6 → "&amp;$GJ11&amp;", "&amp;IF($DZ11=1,27,18)&amp;" PE",""),IF(AND(7&gt;$EB11,7&lt;=$HM$4),"7 → "&amp;$GK11&amp;", "&amp;IF($DZ11=1,32,21)&amp;" PE",""))))</f>
        <v/>
      </c>
      <c r="HC11" s="164">
        <f>IF(OR($EK11=0,$EN11=0),"","−"&amp;INDEX($Q$2:$V$8,$EB11,$EN11)&amp;" · "&amp;CHOOSE($EN11,"Leve","Média","Pesada","Leve · Livre","Média · Livre","Pesada · Livre"))</f>
        <v/>
      </c>
      <c r="HD11" s="164">
        <f>IF(OR($EK11=0,$EO11=0),"","−"&amp;INDEX($Q$2:$V$8,$EB11,$EO11)&amp;" · "&amp;CHOOSE($EO11,"Leve","Média","Pesada","Leve · Livre","Média · Livre","Pesada · Livre"))</f>
        <v/>
      </c>
      <c r="HE11" s="164">
        <f>IF(OR($EK11=0,$EP11=0),"","−"&amp;INDEX($Q$2:$V$8,$EB11,$EP11)&amp;" · "&amp;CHOOSE($EP11,"Leve","Média","Pesada","Leve · Livre","Média · Livre","Pesada · Livre"))</f>
        <v/>
      </c>
      <c r="HF11" s="164">
        <f>IF(OR($EK11=0,$EQ11=0),"","−"&amp;INDEX($Q$2:$V$8,$EB11,$EQ11)&amp;" · "&amp;CHOOSE($EQ11,"Leve","Média","Pesada","Leve · Livre","Média · Livre","Pesada · Livre"))</f>
        <v/>
      </c>
      <c r="HG11" s="164">
        <f>IF(OR($EK11=0,$EI11=""),"","+"&amp;IF($FB11=1,CEILING($EB11/2,1),$EB11))</f>
        <v/>
      </c>
      <c r="HH11" s="164">
        <f>IF(OR($EK11=0,$EJ11=""),"","+"&amp;IF($FC11=1,CEILING($EB11/2,1),$EB11))</f>
        <v/>
      </c>
      <c r="HI11" s="164">
        <f>'FICHA AMALDIÇOADA'!$D$129&amp;""</f>
        <v/>
      </c>
      <c r="HJ11" s="164">
        <f>IF(AND($EK11=1,$DZ11=0),COUNTIFS($EK$2:$EK11,1,$DZ$2:$DZ11,0),"")</f>
        <v/>
      </c>
      <c r="HL11" s="162" t="inlineStr">
        <is>
          <t>classe 0 dados</t>
        </is>
      </c>
      <c r="HM11" s="164">
        <f>IFERROR(INDEX($DB$2:$DB$6,MATCH($HM$2,$CZ$2:$CZ$6,1)),0)</f>
        <v/>
      </c>
      <c r="HO11" s="162" t="inlineStr">
        <is>
          <t>Talento 10 · Leque</t>
        </is>
      </c>
      <c r="HP11" s="164">
        <f>'FICHA AMALDIÇOADA'!$J$418&amp;""</f>
        <v/>
      </c>
      <c r="HQ11" s="164">
        <f>IFERROR(VLOOKUP(SUBSTITUTE(SUBSTITUTE(SUBSTITUTE($HP11,"~","~~"),"*","~*"),"?","~?"),'DADOS_TALENTOS'!$AQ$2:$AW$34,2,FALSE),0)</f>
        <v/>
      </c>
      <c r="HR11" s="164">
        <f>IFERROR(VLOOKUP($HQ11,$CA$2:$CB$4,2,FALSE),0)</f>
        <v/>
      </c>
      <c r="HS11" s="164">
        <f>IFERROR(VLOOKUP(SUBSTITUTE(SUBSTITUTE(SUBSTITUTE($HP11,"~","~~"),"*","~*"),"?","~?"),'DADOS_TALENTOS'!$AQ$2:$AW$34,3,FALSE),"")</f>
        <v/>
      </c>
      <c r="HT11" s="164">
        <f>IF($HQ11=0,"",IF($HR11&gt;$HM$2,"⚠ Nível "&amp;$HR11,"CE "&amp;$HQ11))&amp;IF('DADOS_AM'!$LO11="",""," · ⚠ "&amp;'DADOS_AM'!$LO11)</f>
        <v/>
      </c>
      <c r="HU11" s="164">
        <f>IF($HQ11=0,"",IF(5&gt;$HM$8,"⚠ Vaga","Grátis"))</f>
        <v/>
      </c>
      <c r="HV11" s="164">
        <f>'FICHA AMALDIÇOADA'!$K$423&amp;""</f>
        <v/>
      </c>
      <c r="HW11" s="164">
        <f>IF($HP11="","",COUNTIF($HP$2:$HP11,"?*"))</f>
        <v/>
      </c>
      <c r="HY11" s="162" t="inlineStr">
        <is>
          <t>Aptidão 10</t>
        </is>
      </c>
      <c r="HZ11" s="164">
        <f>'FICHA AMALDIÇOADA'!$D$505&amp;""</f>
        <v/>
      </c>
      <c r="IA11" s="164">
        <f>IF($HZ11="","","Requisito: "&amp;IFERROR(VLOOKUP(SUBSTITUTE(SUBSTITUTE(SUBSTITUTE($HZ11,"~","~~"),"*","~*"),"?","~?"),'DADOS_APTIDOES'!$BF$2:$BO$45,2,FALSE),""))&amp;IF($LK11="",""," · ⚠ "&amp;$LK11)</f>
        <v/>
      </c>
      <c r="IB11" s="164">
        <f>IF($HZ11="","",IFERROR(IF(ISNUMBER(VLOOKUP(SUBSTITUTE(SUBSTITUTE(SUBSTITUTE($HZ11,"~","~~"),"*","~*"),"?","~?"),'DADOS_APTIDOES'!$BF$2:$BO$45,3,FALSE)),"CE "&amp;VLOOKUP(SUBSTITUTE(SUBSTITUTE(SUBSTITUTE($HZ11,"~","~~"),"*","~*"),"?","~?"),'DADOS_APTIDOES'!$BF$2:$BO$45,3,FALSE),VLOOKUP(SUBSTITUTE(SUBSTITUTE(SUBSTITUTE($HZ11,"~","~~"),"*","~*"),"?","~?"),'DADOS_APTIDOES'!$BF$2:$BO$45,3,FALSE)),""))</f>
        <v/>
      </c>
      <c r="IC11" s="164">
        <f>IF($HZ11="","",IFERROR(VLOOKUP(SUBSTITUTE(SUBSTITUTE(SUBSTITUTE($HZ11,"~","~~"),"*","~*"),"?","~?"),'DADOS_APTIDOES'!$BF$2:$BO$45,4,FALSE),""))</f>
        <v/>
      </c>
      <c r="ID11" s="164">
        <f>IF($HZ11="","",IFERROR(VLOOKUP(SUBSTITUTE(SUBSTITUTE(SUBSTITUTE($HZ11,"~","~~"),"*","~*"),"?","~?"),'DADOS_APTIDOES'!$BF$2:$BO$45,5,FALSE),""))</f>
        <v/>
      </c>
      <c r="IE11" s="164">
        <f>'FICHA AMALDIÇOADA'!$E$522&amp;""</f>
        <v/>
      </c>
      <c r="IF11" s="164">
        <f>IF($HZ11="","",COUNTIF($HZ$2:$HZ11,"?*"))</f>
        <v/>
      </c>
      <c r="IQ11" s="162" t="inlineStr">
        <is>
          <t>Pactos</t>
        </is>
      </c>
      <c r="IR11" s="164">
        <f>ADDRESS(ROW('FICHA AMALDIÇOADA'!Q7),COLUMN('FICHA AMALDIÇOADA'!Q7),4)</f>
        <v/>
      </c>
      <c r="IS11" s="164">
        <f>ADDRESS(ROW('FICHA AMALDIÇOADA'!D525),COLUMN('FICHA AMALDIÇOADA'!D525),4)</f>
        <v/>
      </c>
      <c r="IT11" s="162" t="inlineStr">
        <is>
          <t>DADOS_AM!$IQ$11</t>
        </is>
      </c>
      <c r="JH11" s="164" t="n">
        <v>10</v>
      </c>
      <c r="JI11" s="164">
        <f>IFERROR(MATCH(10,$HJ$2:$HJ$37,0),0)</f>
        <v/>
      </c>
      <c r="JJ11" s="164">
        <f>IF($JI11=0,"",INDEX($EB$2:$EB$37,$JI11))</f>
        <v/>
      </c>
      <c r="JK11" s="164">
        <f>IF($JI11=0,"",INDEX($EC$2:$EC$37,$JI11))</f>
        <v/>
      </c>
      <c r="JL11" s="164">
        <f>IF($JI11=0,"",INDEX($GR$2:$GR$37,$JI11))</f>
        <v/>
      </c>
      <c r="JM11" s="164">
        <f>IF($JI11=0,"",INDEX($ED$2:$ED$37,$JI11))</f>
        <v/>
      </c>
      <c r="JN11" s="164">
        <f>IF($JI11=0,"",INDEX($GT$2:$GT$37,$JI11))</f>
        <v/>
      </c>
      <c r="JO11" s="164">
        <f>IF($JI11=0,"",INDEX($HI$2:$HI$37,$JI11))</f>
        <v/>
      </c>
      <c r="KF11" s="162" t="inlineStr">
        <is>
          <t>Talento 8</t>
        </is>
      </c>
      <c r="KG11" s="164">
        <f>IFERROR(MATCH(8,$HW$2:$HW$13,0),0)</f>
        <v/>
      </c>
      <c r="KH11" s="164">
        <f>IF($KG11=0,"",IF(INDEX($HQ$2:$HQ$13,$KG11)=0,"","CE "&amp;INDEX($HQ$2:$HQ$13,$KG11)))</f>
        <v/>
      </c>
      <c r="KI11" s="164">
        <f>IF($KG11=0,"",INDEX($HP$2:$HP$13,$KG11))</f>
        <v/>
      </c>
      <c r="KJ11" s="164">
        <f>IF($KG11=0,"",IF(INDEX($HV$2:$HV$13,$KG11)&lt;&gt;"",INDEX($HV$2:$HV$13,$KG11),IF(IFERROR(VLOOKUP(SUBSTITUTE(SUBSTITUTE(SUBSTITUTE(INDEX($HP$2:$HP$13,$KG11),"~","~~"),"*","~*"),"?","~?"),'DADOS_TALENTOS'!$AQ$2:$AW$34,7,FALSE),"")&lt;&gt;"","Do livro: "&amp;IFERROR(VLOOKUP(SUBSTITUTE(SUBSTITUTE(SUBSTITUTE(INDEX($HP$2:$HP$13,$KG11),"~","~~"),"*","~*"),"?","~?"),'DADOS_TALENTOS'!$AQ$2:$AW$34,7,FALSE),""),"")))</f>
        <v/>
      </c>
      <c r="KL11" s="162" t="inlineStr">
        <is>
          <t>Aptidão 8</t>
        </is>
      </c>
      <c r="KM11" s="164">
        <f>IFERROR(MATCH(8,$IF$2:$IF$13,0),0)</f>
        <v/>
      </c>
      <c r="KN11" s="164">
        <f>IF($KM11=0,"",INDEX($IB$2:$IB$13,$KM11))</f>
        <v/>
      </c>
      <c r="KO11" s="164">
        <f>IF($KM11=0,"",INDEX($HZ$2:$HZ$13,$KM11))</f>
        <v/>
      </c>
      <c r="KP11" s="164">
        <f>IF($KM11=0,"",IF(INDEX($IE$2:$IE$13,$KM11)&lt;&gt;"",INDEX($IE$2:$IE$13,$KM11),IF(IFERROR(VLOOKUP(SUBSTITUTE(SUBSTITUTE(SUBSTITUTE(INDEX($HZ$2:$HZ$13,$KM11),"~","~~"),"*","~*"),"?","~?"),'DADOS_APTIDOES'!$BF$2:$BO$45,10,FALSE),"")&lt;&gt;"","Do livro: "&amp;IFERROR(VLOOKUP(SUBSTITUTE(SUBSTITUTE(SUBSTITUTE(INDEX($HZ$2:$HZ$13,$KM11),"~","~~"),"*","~*"),"?","~?"),'DADOS_APTIDOES'!$BF$2:$BO$45,10,FALSE),""),"")))</f>
        <v/>
      </c>
      <c r="KR11" s="162" t="inlineStr">
        <is>
          <t>par 4</t>
        </is>
      </c>
      <c r="KS11" s="164">
        <f>UPPER(INDEX($D$3:$G$3,1,$A$2))&amp;" 13 A 18"</f>
        <v/>
      </c>
      <c r="KU11" s="162" t="inlineStr">
        <is>
          <t>D19</t>
        </is>
      </c>
      <c r="KV11" s="164">
        <f>IF(DADOS_AM!$HM$43="","",DADOS_AM!$HM$43&amp;" · "&amp;"d20 + "&amp;(DADOS_AM!$HM$3+DADOS_AM!$HM$46+IFERROR(VALUE(FICHA!$W$63&amp;""),0))&amp;" · CD "&amp;(8+DADOS_AM!$HM$3+DADOS_AM!$HM$46+IFERROR(VALUE(FICHA!$L$63&amp;""),0)))</f>
        <v/>
      </c>
      <c r="KW11">
        <f>IF($EE11="","",IFERROR(VLOOKUP(SUBSTITUTE(SUBSTITUTE(SUBSTITUTE($EE11,"~","~~"),"*","~*"),"?","~?"),'DADOS_MELHORIAS'!$O$2:$X$113,10,FALSE),$EE11))</f>
        <v/>
      </c>
      <c r="KX11">
        <f>IF($EF11="","",IFERROR(VLOOKUP(SUBSTITUTE(SUBSTITUTE(SUBSTITUTE($EF11,"~","~~"),"*","~*"),"?","~?"),'DADOS_MELHORIAS'!$O$2:$X$113,10,FALSE),$EF11))</f>
        <v/>
      </c>
      <c r="KY11">
        <f>IF($EG11="","",IFERROR(VLOOKUP(SUBSTITUTE(SUBSTITUTE(SUBSTITUTE($EG11,"~","~~"),"*","~*"),"?","~?"),'DADOS_MELHORIAS'!$O$2:$X$113,10,FALSE),$EG11))</f>
        <v/>
      </c>
      <c r="KZ11">
        <f>IF($EH11="","",IFERROR(VLOOKUP(SUBSTITUTE(SUBSTITUTE(SUBSTITUTE($EH11,"~","~~"),"*","~*"),"?","~?"),'DADOS_MELHORIAS'!$O$2:$X$113,10,FALSE),$EH11))</f>
        <v/>
      </c>
      <c r="LB11">
        <f>IFERROR(INDEX('DADOS_FORMAS'!$BJ$2:$BJ$21,MATCH(SUBSTITUTE(SUBSTITUTE(SUBSTITUTE($ED11,"~","~~"),"*","~*"),"?","~?"),'DADOS_FORMAS'!$AH$2:$AH$21,0)),"")</f>
        <v/>
      </c>
      <c r="LC11">
        <f>IFERROR(VLOOKUP(SUBSTITUTE(SUBSTITUTE(SUBSTITUTE(IFERROR(INDEX('DADOS_FORMAS'!$AS$2:$AS$21,MATCH(SUBSTITUTE(SUBSTITUTE(SUBSTITUTE($ED11,"~","~~"),"*","~*"),"?","~?"),'DADOS_FORMAS'!$AH$2:$AH$21,0)),""),"~","~~"),"*","~*"),"?","~?"),'DADOS_RESTRICOES'!$M$2:$Q$54,2,FALSE),"")</f>
        <v/>
      </c>
      <c r="LD11">
        <f>$FD11</f>
        <v/>
      </c>
      <c r="LE11">
        <f>$FE11</f>
        <v/>
      </c>
      <c r="LF11">
        <f>$LC11</f>
        <v/>
      </c>
      <c r="LH11">
        <f>'FICHA AMALDIÇOADA'!$D$505&amp;""</f>
        <v/>
      </c>
      <c r="LI11">
        <f>IF($LH11="","",IF(IFERROR(INDEX('DADOS_APTIDOES'!$X$2:$X$45,MATCH(SUBSTITUTE(SUBSTITUTE(SUBSTITUTE($LH11,"~","~~"),"*","~*"),"?","~?"),'DADOS_APTIDOES'!$O$2:$O$45,0)),"")="",$LH11,IFERROR(INDEX('DADOS_APTIDOES'!$X$2:$X$45,MATCH(SUBSTITUTE(SUBSTITUTE(SUBSTITUTE($LH11,"~","~~"),"*","~*"),"?","~?"),'DADOS_APTIDOES'!$O$2:$O$45,0)),"")))</f>
        <v/>
      </c>
      <c r="LJ11">
        <f>IF(LEFT($LI11,16)="Aptidão Própria (","Aptidão Própria",IF(LEFT($LI11,15)="Bênção Própria (","Bênção Própria",$LI11))</f>
        <v/>
      </c>
      <c r="LK11">
        <f>IF($LH11="","",TEXTJOIN(" · ",TRUE,$LP11:$MJ11))</f>
        <v/>
      </c>
      <c r="LL11">
        <f>IF($LH11="",0,IF(IFERROR(INDEX('DADOS_APTIDOES'!$W$2:$W$45,MATCH(SUBSTITUTE(SUBSTITUTE(SUBSTITUTE($LH11,"~","~~"),"*","~*"),"?","~?"),'DADOS_APTIDOES'!$O$2:$O$45,0)),"")="Gratuita",0,1))</f>
        <v/>
      </c>
      <c r="LO11">
        <f>IF('FICHA AMALDIÇOADA'!$J$418="","",TEXTJOIN(" · ",TRUE,IF(COUNTIF('DADOS_TALENTOS'!$M$2:$M$34,SUBSTITUTE(SUBSTITUTE(SUBSTITUTE('FICHA AMALDIÇOADA'!$J$418,"~","~~"),"*","~*"),"?","~?"))=0,"Talento não cadastrado ou com erro",""),IF(COUNTIF('DADOS_TALENTOS'!$AV$2:$AV$34,SUBSTITUTE(SUBSTITUTE(SUBSTITUTE('FICHA AMALDIÇOADA'!$J$418,"~","~~"),"*","~*"),"?","~?"))=0,"Talento incompatível com a rota","")))</f>
        <v/>
      </c>
      <c r="LP11">
        <f>IF(COUNTIF('DADOS_APTIDOES'!$O$2:$O$45,SUBSTITUTE(SUBSTITUTE(SUBSTITUTE($LH11,"~","~~"),"*","~*"),"?","~?"))=0,"Aptidão não cadastrada ou com erro","")</f>
        <v/>
      </c>
      <c r="LQ11">
        <f>IF(COUNTIF('DADOS_APTIDOES'!$BK$2:$BK$45,SUBSTITUTE(SUBSTITUTE(SUBSTITUTE($LH11,"~","~~"),"*","~*"),"?","~?"))=0,"Rota/origem incompatível ou capacidade inicial automática","")</f>
        <v/>
      </c>
      <c r="LR11">
        <f>IF(AND(NOT(OR(FALSE)),DADOS_AM!$HM$2&lt;IFERROR(INDEX('DADOS_APTIDOES'!$U$2:$U$45,MATCH(SUBSTITUTE(SUBSTITUTE(SUBSTITUTE($LH11,"~","~~"),"*","~*"),"?","~?"),'DADOS_APTIDOES'!$O$2:$O$45,0)),1)),"Nível mínimo não atendido","")</f>
        <v/>
      </c>
      <c r="LS11">
        <f>IF(AND(NOT(OR(FALSE)),DADOS_AM!$HM$6&lt;MAX(IF(AND($LI11="Domínio Simples",FALSE,IFERROR(INDEX('DADOS_APTIDOES'!$V$2:$V$45,MATCH(SUBSTITUTE(SUBSTITUTE(SUBSTITUTE($LH11,"~","~~"),"*","~*"),"?","~?"),'DADOS_APTIDOES'!$O$2:$O$45,0)),1)=5),4,IFERROR(INDEX('DADOS_APTIDOES'!$V$2:$V$45,MATCH(SUBSTITUTE(SUBSTITUTE(SUBSTITUTE($LH11,"~","~~"),"*","~*"),"?","~?"),'DADOS_APTIDOES'!$O$2:$O$45,0)),1)),IF(IFERROR(INDEX('DADOS_APTIDOES'!$N$2:$N$45,MATCH(SUBSTITUTE(SUBSTITUTE(SUBSTITUTE($LH11,"~","~~"),"*","~*"),"?","~?"),'DADOS_APTIDOES'!$O$2:$O$45,0)),"")="Bênção",IF(IFERROR(INDEX('DADOS_APTIDOES'!$T$2:$T$45,MATCH(SUBSTITUTE(SUBSTITUTE(SUBSTITUTE($LH11,"~","~~"),"*","~*"),"?","~?"),'DADOS_APTIDOES'!$O$2:$O$45,0)),0)=3,7,IF(IFERROR(INDEX('DADOS_APTIDOES'!$T$2:$T$45,MATCH(SUBSTITUTE(SUBSTITUTE(SUBSTITUTE($LH11,"~","~~"),"*","~*"),"?","~?"),'DADOS_APTIDOES'!$O$2:$O$45,0)),0)=2,4,1)),1))),"Refino/Lapidação mínimo não atendido","")</f>
        <v/>
      </c>
      <c r="LT11">
        <f>IF(COUNTIF($LJ$2:$LJ11,SUBSTITUTE(SUBSTITUTE(SUBSTITUTE($LJ11,"~","~~"),"*","~*"),"?","~?"))&gt;1,"Aptidão/Bênção repetida","")</f>
        <v/>
      </c>
      <c r="LU11">
        <f>IF(AND(NOT(OR(FALSE)),AND($LI11="Circulação",COUNTIF($LI$2:$LI10,"Energia Reversa")=0)),"Exige aquisição anterior: Energia Reversa","")</f>
        <v/>
      </c>
      <c r="LV11">
        <f>IF(AND(NOT(OR(FALSE)),AND($LI11="Regravação",COUNTIF($LI$2:$LI10,"Circulação")=0)),"Exige aquisição anterior: Circulação","")</f>
        <v/>
      </c>
      <c r="LW11">
        <f>IF(AND(NOT(OR(FALSE)),AND($LI11="Cortina",COUNTIF($LI$2:$LI10,"Barreira Simples")=0)),"Exige aquisição anterior: Barreira Simples","")</f>
        <v/>
      </c>
      <c r="LX11">
        <f>IF(AND(NOT(OR(FALSE)),AND($LI11="Ritual",'FICHA'!AB19&lt;5)),"Exige Inteligência 5","")</f>
        <v/>
      </c>
      <c r="LY11">
        <f>IF(AND(NOT(OR(FALSE)),AND($LI11="Ímpeto",'FICHA'!L19&lt;4)),"Exige Destreza 4","")</f>
        <v/>
      </c>
      <c r="LZ11">
        <f>IF(AND(NOT(OR(FALSE)),AND($LI11="Casco",'FICHA'!T19&lt;4)),"Exige Constituição 4","")</f>
        <v/>
      </c>
      <c r="MA11">
        <f>IF(AND(NOT(OR(FALSE)),AND($LI11="Presilha",'FICHA'!D19&lt;4)),"Exige Força 4","")</f>
        <v/>
      </c>
      <c r="MB11">
        <f>IF(AND(NOT(OR(FALSE)),AND($LI11="Antecipar",'FICHA'!AB19&lt;4)),"Exige Inteligência 4","")</f>
        <v/>
      </c>
      <c r="MC11">
        <f>IF(AND(NOT(OR(FALSE)),AND($LI11="Sangue Frio",'FICHA'!T19&lt;4)),"Exige Constituição 4","")</f>
        <v/>
      </c>
      <c r="MD11">
        <f>IF(AND(NOT(OR(FALSE)),AND($LI11="Assombro",'FICHA'!AJ19&lt;4)),"Exige Essência 4","")</f>
        <v/>
      </c>
      <c r="ME11">
        <f>IF(AND(NOT(OR(FALSE)),$LI11="Cesta Oca de Vime"),"Conferir Encarnado ou treino em História","")</f>
        <v/>
      </c>
      <c r="MF11">
        <f>IF(AND(NOT(OR(FALSE)),$LI11="Pétala"),"Conferir Descendente ou aprendizado de clã","")</f>
        <v/>
      </c>
      <c r="MG11">
        <f>IF(AND(NOT(OR(FALSE)),$LI11="Domínio Simples"),"Conferir aprendizado de Domínio Simples","")</f>
        <v/>
      </c>
      <c r="MH11">
        <f>IF(AND(NOT(OR(FALSE)),$LI11="Extensão de Domínio"),"Conferir aprendizado de Extensão de Domínio","")</f>
        <v/>
      </c>
      <c r="MI11">
        <f>IF(AND(NOT(OR(FALSE)),$LI11="Ritual"),"Conferir Técnica Inata","")</f>
        <v/>
      </c>
      <c r="MJ11">
        <f>IF(AND(NOT(OR(FALSE)),AND($LI11="Represália",MAX('FICHA'!D19,'FICHA'!L19)&lt;4)),"Exige Força ou Destreza 4","")</f>
        <v/>
      </c>
    </row>
    <row r="12">
      <c r="C12" s="162" t="inlineStr">
        <is>
          <t>selo</t>
        </is>
      </c>
      <c r="D12" s="162" t="inlineStr">
        <is>
          <t>Selo</t>
        </is>
      </c>
      <c r="E12" s="162" t="inlineStr">
        <is>
          <t>Selo</t>
        </is>
      </c>
      <c r="F12" s="162" t="inlineStr">
        <is>
          <t>Selo · ter o equipamento em uso</t>
        </is>
      </c>
      <c r="G12" s="162" t="inlineStr">
        <is>
          <t>Selo · ter o equipamento em uso</t>
        </is>
      </c>
      <c r="AO12" s="162" t="inlineStr">
        <is>
          <t>Aura · classes 1 a 5</t>
        </is>
      </c>
      <c r="AP12" s="162" t="inlineStr">
        <is>
          <t>Raio 3 m, em você</t>
        </is>
      </c>
      <c r="AQ12" s="162" t="inlineStr">
        <is>
          <t>Raio 4,5 m, em você</t>
        </is>
      </c>
      <c r="AR12" s="162" t="inlineStr">
        <is>
          <t>Raio 6 m, em você</t>
        </is>
      </c>
      <c r="AS12" s="162" t="inlineStr">
        <is>
          <t>Raio 9 m, em você</t>
        </is>
      </c>
      <c r="AT12" s="162" t="inlineStr">
        <is>
          <t>Raio 15 m, em você</t>
        </is>
      </c>
      <c r="AU12" s="162" t="inlineStr">
        <is>
          <t>Raio 15 m, em você</t>
        </is>
      </c>
      <c r="AV12" s="162" t="inlineStr"/>
      <c r="AW12" s="162" t="inlineStr"/>
      <c r="AX12" s="162" t="inlineStr"/>
      <c r="AY12" s="162" t="inlineStr"/>
      <c r="AZ12" s="162" t="inlineStr"/>
      <c r="BA12" s="162" t="inlineStr"/>
      <c r="BC12" s="162" t="inlineStr">
        <is>
          <t>Rajada</t>
        </is>
      </c>
      <c r="BD12" s="162" t="inlineStr">
        <is>
          <t>Área</t>
        </is>
      </c>
      <c r="BE12" s="164" t="n">
        <v>1</v>
      </c>
      <c r="BF12" s="164">
        <f>$BE12+3*IFERROR(VLOOKUP($BD12,'DADOS_CRIACAO'!$H$2:$K$20,3,FALSE),0)</f>
        <v/>
      </c>
      <c r="BG12" s="164">
        <f>IFERROR(VLOOKUP($BD12,'DADOS_CRIACAO'!$H$2:$K$20,4,FALSE),0)</f>
        <v/>
      </c>
      <c r="BH12" s="164" t="n">
        <v>0</v>
      </c>
      <c r="BI12" s="164">
        <f>IF($BG12=1,"",$BC12)</f>
        <v/>
      </c>
      <c r="BJ12" s="164">
        <f>IF(AND($BE12=1,$BG12=0),$BC12,"")</f>
        <v/>
      </c>
      <c r="BK12" s="164" t="n">
        <v>0</v>
      </c>
      <c r="BM12" s="162" t="inlineStr">
        <is>
          <t>Peso Morto</t>
        </is>
      </c>
      <c r="BN12" s="162" t="inlineStr">
        <is>
          <t>Peso Morto</t>
        </is>
      </c>
      <c r="BO12" s="164" t="n">
        <v>1</v>
      </c>
      <c r="BP12" s="164" t="n">
        <v>0</v>
      </c>
      <c r="BQ12" s="162" t="inlineStr">
        <is>
          <t>Peso Morto</t>
        </is>
      </c>
      <c r="BS12" s="162" t="inlineStr">
        <is>
          <t>Costura</t>
        </is>
      </c>
      <c r="BT12" s="164" t="n">
        <v>2</v>
      </c>
      <c r="BU12" s="162" t="inlineStr">
        <is>
          <t>Uma vez por cena, quando um aliado a até 9 m sofreria uma redução de seus pontos de vida a 0, você pode fazer com que ele permaneça com 1 ponto de vida. Não exige ação nem Reação.</t>
        </is>
      </c>
      <c r="BV12" s="164" t="n">
        <v>1</v>
      </c>
      <c r="BW12" s="164" t="n">
        <v>0</v>
      </c>
      <c r="BX12" s="164">
        <f>IF(OR(AND($A$2&lt;=2,$BV12=1),AND($A$2&gt;=2,$BW12=1)),$BS12,"")</f>
        <v/>
      </c>
      <c r="BY12" s="162" t="inlineStr">
        <is>
          <t>Uma vez por cena, quando um aliado a até 9 m sofreria uma redução de seus pontos de vida a 0, você pode fazer com que ele permaneça com 1 ponto de vida. Não exige ação nem Reação.</t>
        </is>
      </c>
      <c r="CD12" s="162" t="inlineStr">
        <is>
          <t>Pétala</t>
        </is>
      </c>
      <c r="CE12" s="162" t="inlineStr">
        <is>
          <t>Refino 4 e nível 10; ser Descendente ou aprendizado com alguém de um clã</t>
        </is>
      </c>
      <c r="CF12" s="164" t="n">
        <v>2</v>
      </c>
      <c r="CG12" s="162" t="inlineStr">
        <is>
          <t>—</t>
        </is>
      </c>
      <c r="CH12" s="162" t="inlineStr">
        <is>
          <t>Sua energia reage ao contato do Acerto de uma Expansão. Ative conforme Proteção contra domínios. A manutenção custa 1 PE. Quando o Acerto garantido chega ao seu corpo por contato, compare sua Essência com a do dono da Expansão. Cortes, chamas ou criaturas que atingem seu corpo são formas de contato. Uma informação ou regra aplicada sem contato não é impedida por Pétala. Os efeitos do Acerto por contato que não sejam dano, como uma condição ou marca, são anulados nos três casos. A fração da tabela é o dano que passa. Aplique as demais defesas e o arredondamento pelas regras de Dano. A proteção não reduz um golpe comum só porque ele foi realizado dentro de uma Expansão. Cada golpe que acertar você exige TR Espírito contra a CD de quem o atingiu. Isso inclui um Acerto por contato que ainda lhe cause dano após Pétala. Um Acerto inteiramente anulado por ela não exige o teste. Acumule as falhas. Com metade de sua Essência em falhas, para baixo, mínimo 1, Pétala termina. Esse teste não ocupa Concentração e não é dispensado por Mão Firme. Sua queda não causa um Acerto adicional. Você pode erguer novamente com Ação Bônus e novo pagamento, zerando as falhas.</t>
        </is>
      </c>
      <c r="CI12" s="164">
        <f>IF($CL12=1,"",IF($A$2=4,IF($CJ12=1,$CD12,""),IF(OR($CJ12=1,AND($A$2=3,$CK12=1)),"",$CD12)))</f>
        <v/>
      </c>
      <c r="CJ12" s="164" t="n">
        <v>0</v>
      </c>
      <c r="CK12" s="164" t="n">
        <v>0</v>
      </c>
      <c r="CL12" s="164" t="n">
        <v>0</v>
      </c>
      <c r="CM12" s="162" t="inlineStr">
        <is>
          <t>Sua energia reage ao contato do Acerto de uma Expansão.</t>
        </is>
      </c>
      <c r="CU12" s="162" t="inlineStr">
        <is>
          <t>Armas Longas</t>
        </is>
      </c>
      <c r="CV12" s="164" t="n">
        <v>1</v>
      </c>
      <c r="CW12" s="164" t="n">
        <v>1</v>
      </c>
      <c r="CX12" s="164">
        <f>IF(AND($A$2&gt;=3,'FICHA AMALDIÇOADA'!$J$16&amp;""="Três grupos de arma"),$CU12,"")</f>
        <v/>
      </c>
      <c r="DY12" s="162" t="inlineStr">
        <is>
          <t>Feitiço 11</t>
        </is>
      </c>
      <c r="DZ12" s="164" t="n">
        <v>0</v>
      </c>
      <c r="EA12" s="164" t="n">
        <v>11</v>
      </c>
      <c r="EB12" s="164">
        <f>MAX(1,MIN(7,N('FICHA AMALDIÇOADA'!$J$127)))</f>
        <v/>
      </c>
      <c r="EC12" s="164">
        <f>'FICHA AMALDIÇOADA'!$K$127&amp;""</f>
        <v/>
      </c>
      <c r="ED12" s="164">
        <f>'FICHA AMALDIÇOADA'!$J$134&amp;""</f>
        <v/>
      </c>
      <c r="EE12" s="164">
        <f>'FICHA AMALDIÇOADA'!$K$136&amp;""</f>
        <v/>
      </c>
      <c r="EF12" s="164">
        <f>'FICHA AMALDIÇOADA'!$K$137&amp;""</f>
        <v/>
      </c>
      <c r="EG12" s="164">
        <f>'FICHA AMALDIÇOADA'!$K$138&amp;""</f>
        <v/>
      </c>
      <c r="EH12" s="164">
        <f>'FICHA AMALDIÇOADA'!$K$139&amp;""</f>
        <v/>
      </c>
      <c r="EI12" s="164">
        <f>'FICHA AMALDIÇOADA'!$K$140&amp;""</f>
        <v/>
      </c>
      <c r="EJ12" s="164">
        <f>'FICHA AMALDIÇOADA'!$K$141&amp;""</f>
        <v/>
      </c>
      <c r="EK12" s="164">
        <f>IF($EC12&lt;&gt;"",1,0)</f>
        <v/>
      </c>
      <c r="EL12" s="164">
        <f>IFERROR(MATCH(SUBSTITUTE(SUBSTITUTE(SUBSTITUTE($ED12,"~","~~"),"*","~*"),"?","~?"),'DADOS_FORMAS'!$FJ$2:$FJ$21,0),0)</f>
        <v/>
      </c>
      <c r="EM12" s="164">
        <f>IF($EL12=0,0,INDEX('DADOS_FORMAS'!$FM$2:$FM$21,$EL12))</f>
        <v/>
      </c>
      <c r="EN12" s="164">
        <f>IFERROR(VLOOKUP(SUBSTITUTE(SUBSTITUTE(SUBSTITUTE($EE12,"~","~~"),"*","~*"),"?","~?"),'DADOS_MELHORIAS'!$O$2:$W$113,4,FALSE),0)</f>
        <v/>
      </c>
      <c r="EO12" s="164">
        <f>IFERROR(VLOOKUP(SUBSTITUTE(SUBSTITUTE(SUBSTITUTE($EF12,"~","~~"),"*","~*"),"?","~?"),'DADOS_MELHORIAS'!$O$2:$W$113,4,FALSE),0)</f>
        <v/>
      </c>
      <c r="EP12" s="164">
        <f>IFERROR(VLOOKUP(SUBSTITUTE(SUBSTITUTE(SUBSTITUTE($EG12,"~","~~"),"*","~*"),"?","~?"),'DADOS_MELHORIAS'!$O$2:$W$113,4,FALSE),0)</f>
        <v/>
      </c>
      <c r="EQ12" s="164">
        <f>IFERROR(VLOOKUP(SUBSTITUTE(SUBSTITUTE(SUBSTITUTE($EH12,"~","~~"),"*","~*"),"?","~?"),'DADOS_MELHORIAS'!$O$2:$W$113,4,FALSE),0)</f>
        <v/>
      </c>
      <c r="ER12" s="164">
        <f>IF($EL12=0,0,INDEX('DADOS_FORMAS'!$FN$2:$FN$21,$EL12))</f>
        <v/>
      </c>
      <c r="ES12" s="164">
        <f>IFERROR(VLOOKUP(SUBSTITUTE(SUBSTITUTE(SUBSTITUTE($EE12,"~","~~"),"*","~*"),"?","~?"),'DADOS_MELHORIAS'!$O$2:$W$113,5,FALSE),0)</f>
        <v/>
      </c>
      <c r="ET12" s="164">
        <f>IFERROR(VLOOKUP(SUBSTITUTE(SUBSTITUTE(SUBSTITUTE($EF12,"~","~~"),"*","~*"),"?","~?"),'DADOS_MELHORIAS'!$O$2:$W$113,5,FALSE),0)</f>
        <v/>
      </c>
      <c r="EU12" s="164">
        <f>IFERROR(VLOOKUP(SUBSTITUTE(SUBSTITUTE(SUBSTITUTE($EG12,"~","~~"),"*","~*"),"?","~?"),'DADOS_MELHORIAS'!$O$2:$W$113,5,FALSE),0)</f>
        <v/>
      </c>
      <c r="EV12" s="164">
        <f>IFERROR(VLOOKUP(SUBSTITUTE(SUBSTITUTE(SUBSTITUTE($EH12,"~","~~"),"*","~*"),"?","~?"),'DADOS_MELHORIAS'!$O$2:$W$113,5,FALSE),0)</f>
        <v/>
      </c>
      <c r="EW12" s="164">
        <f>IFERROR(VLOOKUP(SUBSTITUTE(SUBSTITUTE(SUBSTITUTE($EE12,"~","~~"),"*","~*"),"?","~?"),'DADOS_MELHORIAS'!$O$2:$W$113,6,FALSE),0)+IFERROR(VLOOKUP(SUBSTITUTE(SUBSTITUTE(SUBSTITUTE($EF12,"~","~~"),"*","~*"),"?","~?"),'DADOS_MELHORIAS'!$O$2:$W$113,6,FALSE),0)+IFERROR(VLOOKUP(SUBSTITUTE(SUBSTITUTE(SUBSTITUTE($EG12,"~","~~"),"*","~*"),"?","~?"),'DADOS_MELHORIAS'!$O$2:$W$113,6,FALSE),0)+IFERROR(VLOOKUP(SUBSTITUTE(SUBSTITUTE(SUBSTITUTE($EH12,"~","~~"),"*","~*"),"?","~?"),'DADOS_MELHORIAS'!$O$2:$W$113,6,FALSE),0)</f>
        <v/>
      </c>
      <c r="EX12" s="164">
        <f>IFERROR(VLOOKUP(SUBSTITUTE(SUBSTITUTE(SUBSTITUTE($EE12,"~","~~"),"*","~*"),"?","~?"),'DADOS_MELHORIAS'!$O$2:$W$113,9,FALSE),0)+IFERROR(VLOOKUP(SUBSTITUTE(SUBSTITUTE(SUBSTITUTE($EF12,"~","~~"),"*","~*"),"?","~?"),'DADOS_MELHORIAS'!$O$2:$W$113,9,FALSE),0)+IFERROR(VLOOKUP(SUBSTITUTE(SUBSTITUTE(SUBSTITUTE($EG12,"~","~~"),"*","~*"),"?","~?"),'DADOS_MELHORIAS'!$O$2:$W$113,9,FALSE),0)+IFERROR(VLOOKUP(SUBSTITUTE(SUBSTITUTE(SUBSTITUTE($EH12,"~","~~"),"*","~*"),"?","~?"),'DADOS_MELHORIAS'!$O$2:$W$113,9,FALSE),0)</f>
        <v/>
      </c>
      <c r="EY12" s="164">
        <f>IF($EL12=0,0,INDEX('DADOS_FORMAS'!$FO$2:$FO$21,$EL12))</f>
        <v/>
      </c>
      <c r="EZ12" s="164">
        <f>IF($EL12=0,0,INDEX('DADOS_FORMAS'!$FP$2:$FP$21,$EL12))</f>
        <v/>
      </c>
      <c r="FA12" s="164">
        <f>IF($EL12=0,0,INDEX('DADOS_FORMAS'!$FR$2:$FR$21,$EL12))</f>
        <v/>
      </c>
      <c r="FB12" s="164">
        <f>IFERROR(VLOOKUP(SUBSTITUTE(SUBSTITUTE(SUBSTITUTE($EI12,"~","~~"),"*","~*"),"?","~?"),'DADOS_RESTRICOES'!$M$2:$Q$54,3,FALSE),0)</f>
        <v/>
      </c>
      <c r="FC12" s="164">
        <f>IFERROR(VLOOKUP(SUBSTITUTE(SUBSTITUTE(SUBSTITUTE($EJ12,"~","~~"),"*","~*"),"?","~?"),'DADOS_RESTRICOES'!$M$2:$Q$54,3,FALSE),0)</f>
        <v/>
      </c>
      <c r="FD12" s="164">
        <f>IFERROR(VLOOKUP(SUBSTITUTE(SUBSTITUTE(SUBSTITUTE($EI12,"~","~~"),"*","~*"),"?","~?"),'DADOS_RESTRICOES'!$M$2:$Q$54,2,FALSE),"")</f>
        <v/>
      </c>
      <c r="FE12" s="164">
        <f>IFERROR(VLOOKUP(SUBSTITUTE(SUBSTITUTE(SUBSTITUTE($EJ12,"~","~~"),"*","~*"),"?","~?"),'DADOS_RESTRICOES'!$M$2:$Q$54,2,FALSE),"")</f>
        <v/>
      </c>
      <c r="FF12" s="164">
        <f>COUNTIF($EM12:$EQ12,1)</f>
        <v/>
      </c>
      <c r="FG12" s="164">
        <f>COUNTIF($EM12:$EQ12,2)</f>
        <v/>
      </c>
      <c r="FH12" s="164">
        <f>COUNTIF($EM12:$EQ12,3)</f>
        <v/>
      </c>
      <c r="FI12" s="164">
        <f>COUNTIF($EM12:$EQ12,4)</f>
        <v/>
      </c>
      <c r="FJ12" s="164">
        <f>COUNTIF($EM12:$EQ12,5)</f>
        <v/>
      </c>
      <c r="FK12" s="164">
        <f>COUNTIF($EM12:$EQ12,6)</f>
        <v/>
      </c>
      <c r="FL12" s="164">
        <f>COUNTIF($FB12:$FC12,1)+IF(IFERROR(INDEX('DADOS_FORMAS'!$AS$2:$AS$21,MATCH(SUBSTITUTE(SUBSTITUTE(SUBSTITUTE($ED12,"~","~~"),"*","~*"),"?","~?"),'DADOS_FORMAS'!$AH$2:$AH$21,0)),"")="",0,IFERROR(N(VLOOKUP(SUBSTITUTE(SUBSTITUTE(SUBSTITUTE(IFERROR(INDEX('DADOS_FORMAS'!$AS$2:$AS$21,MATCH(SUBSTITUTE(SUBSTITUTE(SUBSTITUTE($ED12,"~","~~"),"*","~*"),"?","~?"),'DADOS_FORMAS'!$AH$2:$AH$21,0)),""),"~","~~"),"*","~*"),"?","~?"),'DADOS_RESTRICOES'!$M$2:$Q$54,3,FALSE)=1),0))</f>
        <v/>
      </c>
      <c r="FM12" s="164">
        <f>COUNTIF($FB12:$FC12,2)+IF(IFERROR(INDEX('DADOS_FORMAS'!$AS$2:$AS$21,MATCH(SUBSTITUTE(SUBSTITUTE(SUBSTITUTE($ED12,"~","~~"),"*","~*"),"?","~?"),'DADOS_FORMAS'!$AH$2:$AH$21,0)),"")="",0,IFERROR(N(VLOOKUP(SUBSTITUTE(SUBSTITUTE(SUBSTITUTE(IFERROR(INDEX('DADOS_FORMAS'!$AS$2:$AS$21,MATCH(SUBSTITUTE(SUBSTITUTE(SUBSTITUTE($ED12,"~","~~"),"*","~*"),"?","~?"),'DADOS_FORMAS'!$AH$2:$AH$21,0)),""),"~","~~"),"*","~*"),"?","~?"),'DADOS_RESTRICOES'!$M$2:$Q$54,3,FALSE)=2),0))</f>
        <v/>
      </c>
      <c r="FN12" s="164">
        <f>COUNTIF($EE12:$EH12,"?*")</f>
        <v/>
      </c>
      <c r="FO12" s="164">
        <f>COUNTIF($EI12:$EJ12,"?*")+$EY12</f>
        <v/>
      </c>
      <c r="FP12" s="164">
        <f>SUMPRODUCT($FF12:$FK12,INDEX($Q$2:$V$8,$EB12,0))</f>
        <v/>
      </c>
      <c r="FQ12" s="164">
        <f>$FL12*CEILING($EB12/2,1)+$FM12*$EB12</f>
        <v/>
      </c>
      <c r="FR12" s="164">
        <f>MIN(2*$EB12,$FQ12)</f>
        <v/>
      </c>
      <c r="FS12" s="164">
        <f>MIN($FR12,$FP12-IF($EM12=0,0,INDEX($Q$2:$V$8,$EB12,$EM12)))</f>
        <v/>
      </c>
      <c r="FT12" s="164">
        <f>$FR12-$FS12</f>
        <v/>
      </c>
      <c r="FU12" s="164">
        <f>3*$EB12-$FP12+$FS12</f>
        <v/>
      </c>
      <c r="FV12" s="164">
        <f>MAX(0,$FU12)+$DZ12*$EB12</f>
        <v/>
      </c>
      <c r="FW12" s="164">
        <f>(IF(COUNTIF($KW12:$KZ12,"Salto")&gt;0,1,0)+IF(COUNTIF($KW12:$KZ12,"Queima")&gt;0,1,0)+IF(COUNTIF($KW12:$KZ12,"Estilhaço")&gt;0,1,0))*FLOOR($FV12/2,1)</f>
        <v/>
      </c>
      <c r="FX12" s="164">
        <f>MAX(0,3-SUMPRODUCT($FF12:$FK12,$Q$2:$V$2)+MIN(2,$FL12*1+$FM12*1,SUMPRODUCT($FF12:$FK12,$Q$2:$V$2)-IF($EM12=0,0,INDEX($Q$2:$V$2,1,$EM12))))+$DZ12*1</f>
        <v/>
      </c>
      <c r="FY12" s="164">
        <f>MAX(0,6-SUMPRODUCT($FF12:$FK12,$Q$3:$V$3)+MIN(4,$FL12*1+$FM12*2,SUMPRODUCT($FF12:$FK12,$Q$3:$V$3)-IF($EM12=0,0,INDEX($Q$3:$V$3,1,$EM12))))+$DZ12*2</f>
        <v/>
      </c>
      <c r="FZ12" s="164">
        <f>MAX(0,9-SUMPRODUCT($FF12:$FK12,$Q$4:$V$4)+MIN(6,$FL12*2+$FM12*3,SUMPRODUCT($FF12:$FK12,$Q$4:$V$4)-IF($EM12=0,0,INDEX($Q$4:$V$4,1,$EM12))))+$DZ12*3</f>
        <v/>
      </c>
      <c r="GA12" s="164">
        <f>MAX(0,12-SUMPRODUCT($FF12:$FK12,$Q$5:$V$5)+MIN(8,$FL12*2+$FM12*4,SUMPRODUCT($FF12:$FK12,$Q$5:$V$5)-IF($EM12=0,0,INDEX($Q$5:$V$5,1,$EM12))))+$DZ12*4</f>
        <v/>
      </c>
      <c r="GB12" s="164">
        <f>MAX(0,15-SUMPRODUCT($FF12:$FK12,$Q$6:$V$6)+MIN(10,$FL12*3+$FM12*5,SUMPRODUCT($FF12:$FK12,$Q$6:$V$6)-IF($EM12=0,0,INDEX($Q$6:$V$6,1,$EM12))))+$DZ12*5</f>
        <v/>
      </c>
      <c r="GC12" s="164">
        <f>MAX(0,18-SUMPRODUCT($FF12:$FK12,$Q$7:$V$7)+MIN(12,$FL12*3+$FM12*6,SUMPRODUCT($FF12:$FK12,$Q$7:$V$7)-IF($EM12=0,0,INDEX($Q$7:$V$7,1,$EM12))))+$DZ12*6</f>
        <v/>
      </c>
      <c r="GD12" s="164">
        <f>MAX(0,21-SUMPRODUCT($FF12:$FK12,$Q$8:$V$8)+MIN(14,$FL12*4+$FM12*7,SUMPRODUCT($FF12:$FK12,$Q$8:$V$8)-IF($EM12=0,0,INDEX($Q$8:$V$8,1,$EM12))))+$DZ12*7</f>
        <v/>
      </c>
      <c r="GE12" s="164">
        <f>IF($EZ12=2,3*$FX12&amp;" de vida temp.",IF($EZ12=3,"sem dano",IF($FX12=0,IF($EZ12=1,"sem cura","sem dano"),IF($EZ12=1,"cura ","")&amp;$FX12&amp;"d8")))</f>
        <v/>
      </c>
      <c r="GF12" s="164">
        <f>IF($EZ12=2,3*$FY12&amp;" de vida temp.",IF($EZ12=3,"sem dano",IF($FY12=0,IF($EZ12=1,"sem cura","sem dano"),IF($EZ12=1,"cura ","")&amp;$FY12&amp;"d8")))</f>
        <v/>
      </c>
      <c r="GG12" s="164">
        <f>IF($EZ12=2,3*$FZ12&amp;" de vida temp.",IF($EZ12=3,"sem dano",IF($FZ12=0,IF($EZ12=1,"sem cura","sem dano"),IF($EZ12=1,"cura ","")&amp;$FZ12&amp;"d8")))</f>
        <v/>
      </c>
      <c r="GH12" s="164">
        <f>IF($EZ12=2,3*$GA12&amp;" de vida temp.",IF($EZ12=3,"sem dano",IF($GA12=0,IF($EZ12=1,"sem cura","sem dano"),IF($EZ12=1,"cura ","")&amp;$GA12&amp;"d8")))</f>
        <v/>
      </c>
      <c r="GI12" s="164">
        <f>IF($EZ12=2,3*$GB12&amp;" de vida temp.",IF($EZ12=3,"sem dano",IF($GB12=0,IF($EZ12=1,"sem cura","sem dano"),IF($EZ12=1,"cura ","")&amp;$GB12&amp;"d8")))</f>
        <v/>
      </c>
      <c r="GJ12" s="164">
        <f>IF($EZ12=2,3*$GC12&amp;" de vida temp.",IF($EZ12=3,"sem dano",IF($GC12=0,IF($EZ12=1,"sem cura","sem dano"),IF($EZ12=1,"cura ","")&amp;$GC12&amp;"d8")))</f>
        <v/>
      </c>
      <c r="GK12" s="164">
        <f>IF($EZ12=2,3*$GD12&amp;" de vida temp.",IF($EZ12=3,"sem dano",IF($GD12=0,IF($EZ12=1,"sem cura","sem dano"),IF($EZ12=1,"cura ","")&amp;$GD12&amp;"d8")))</f>
        <v/>
      </c>
      <c r="GL12" s="164">
        <f>IF($EK12=0,"",TEXTJOIN(" · ",TRUE,IF($EK12=0,"",TEXTJOIN(" · ",TRUE,IF($EK12=0,"",TEXTJOIN(" · ",TRUE,IF(AND($DZ12=1,$EA12&gt;$HM$9),"O nível "&amp;$HM$2&amp;" dá "&amp;$HM$9&amp;" Liberação Máxima",""),IF($EB12&gt;$HM$4,"Classe "&amp;$EB12&amp;": o nível "&amp;$HM$2&amp;" libera até a "&amp;$HM$4,""),IF($ER12=1,"Família Fechada: a Forma "&amp;$ED12,""),IF($ES12=1,"Família Fechada: "&amp;$EE12,""),IF($ET12=1,"Família Fechada: "&amp;$EF12,""),IF($EU12=1,"Família Fechada: "&amp;$EG12,""),IF($EV12=1,"Família Fechada: "&amp;$EH12,""),IF($FN12&gt;INDEX($W$2:$W$8,$EB12),$FN12&amp;" Melhorias: a Classe "&amp;$EB12&amp;" aceita "&amp;INDEX($W$2:$W$8,$EB12),""),IF($FO12&gt;2,$FO12&amp;" Restrições"&amp;IF($EY12=1,", contando a que a Forma "&amp;$ED12&amp;" já traz","")&amp;": o limite é 2",""),IF($FU12&lt;0,"Orçamento estourado: faltam "&amp;(-$FU12)&amp;IF($FU12&lt;-1," pontos"," ponto"),""),IF(IFERROR(VLOOKUP(SUBSTITUTE(SUBSTITUTE(SUBSTITUTE($EI12,"~","~~"),"*","~*"),"?","~?"),'DADOS_RESTRICOES'!$M$2:$Q$54,4,FALSE),0)+IFERROR(VLOOKUP(SUBSTITUTE(SUBSTITUTE(SUBSTITUTE($EJ12,"~","~~"),"*","~*"),"?","~?"),'DADOS_RESTRICOES'!$M$2:$Q$54,4,FALSE),0)&gt;1,$FD12&amp;" e "&amp;$FE12&amp;" são as duas de frequência",""),IF(AND((COUNTIF($KW12:$KZ12,"Rápido")+COUNTIF($FD12:$FE12,"Rápido"))&gt;0,(COUNTIF($EE12:$EH12,"Atrasar")+COUNTIF($FD12:$FE12,"Atrasar"))&gt;0),"Rápido não entra com Atrasar",""),IF(AND((COUNTIF($KW12:$KZ12,"Reação")+COUNTIF($FD12:$FE12,"Reação"))&gt;0,(COUNTIF($KW12:$KZ12,"Rápido")+COUNTIF($FD12:$FE12,"Rápido"))&gt;0),"Reação não entra com Rápido",""),IF(AND((COUNTIF($KW12:$KZ12,"Reação")+COUNTIF($FD12:$FE12,"Reação"))&gt;0,(COUNTIF($KW12:$KZ12,"Armado")+COUNTIF($FD12:$FE12,"Armado"))&gt;0),"Reação não entra com Armado",""),IF(AND((COUNTIF($KW12:$KZ12,"Reação")+COUNTIF($FD12:$FE12,"Reação"))&gt;0,(COUNTIF($EE12:$EH12,"Atrasar")+COUNTIF($FD12:$FE12,"Atrasar"))&gt;0),"Reação não entra com Atrasar",""),IF(AND((COUNTIF($KW12:$KZ12,"Reação")+COUNTIF($FD12:$FE12,"Reação"))&gt;0,(COUNTIF($EE12:$EH12,"Parado")+COUNTIF($FD12:$FE12,"Parado"))&gt;0),"Reação não entra com Parado",""),IF(AND((COUNTIF($EE12:$EH12,"Atrasar")+COUNTIF($FD12:$FE12,"Atrasar"))&gt;0,(COUNTIF($EE12:$EH12,"Parado")+COUNTIF($FD12:$FE12,"Parado"))&gt;0),"Atrasar não entra com Parado",""),IF(AND((COUNTIF($KW12:$KZ12,"Armado")+COUNTIF($FD12:$FE12,"Armado"))&gt;0,(COUNTIF($EE12:$EH12,"Carregar")+COUNTIF($FD12:$FE12,"Carregar"))&gt;0),"Armado não entra com Carregar",""),IF(AND(COUNTIF($FD12:$FE12,"Corpo a Corpo")&gt;0,$EY12=0,OR($LB12="Cone",$LB12="Linha")),"Corpo a Corpo não entra em "&amp;$ED12,""),IF(AND(COUNTIF($FD12:$FE12,"Corpo a Corpo")&gt;0,$LC12="Corpo a Corpo"),"A Forma "&amp;$ED12&amp;" já traz o Corpo a Corpo",""),IF(AND(COUNTIF($FD12:$FE12,"Tudo ou Nada")&gt;0,$FA12=0),"Tudo ou Nada só entra em feitiço de Teste de Resistência",""),IF(AND(COUNTIF($KW12:$KZ12,"Inescapável")&gt;0,OR($FN12&gt;1,$FO12&gt;0)),"Inescapável não aceita outra peça",""),IF(AND($DZ12=1,$EB12&lt;3),"Liberação Máxima é de Classe 3 ou mais",""),IF(AND($DZ12=1,OR($EZ12=1,$EZ12=2)),"Liberação Máxima não serve para cura",""),IF(AND($DZ12=1,COUNTIF($KW12:$KZ12,"Inescapável")+COUNTIF($KW12:$KZ12,"Toca a Alma")&gt;0),"Esta peça não entra numa Liberação Máxima",""),IF($FV12*IF(COUNTIF($KW12:$KZ12,"Remate")&gt;0,1.25,1)+$FW12&gt;4*$EB12,($FV12*IF(COUNTIF($KW12:$KZ12,"Remate")&gt;0,1.25,1)+$FW12)&amp;" dados somando repetições"&amp;IF(COUNTIF($KW12:$KZ12,"Remate")&gt;0," e o Remate","")&amp;": o teto da Classe "&amp;$EB12&amp;" é "&amp;4*$EB12,""))),IF(AND($EE12&lt;&gt;"",COUNTIF('DADOS_MELHORIAS'!$O$2:$O$113,SUBSTITUTE(SUBSTITUTE(SUBSTITUTE($EE12,"~","~~"),"*","~*"),"?","~?"))=0),"Melhoria não cadastrada ou com erro: "&amp;$EE12,""),IF(AND($EF12&lt;&gt;"",COUNTIF('DADOS_MELHORIAS'!$O$2:$O$113,SUBSTITUTE(SUBSTITUTE(SUBSTITUTE($EF12,"~","~~"),"*","~*"),"?","~?"))=0),"Melhoria não cadastrada ou com erro: "&amp;$EF12,""),IF(AND($EG12&lt;&gt;"",COUNTIF('DADOS_MELHORIAS'!$O$2:$O$113,SUBSTITUTE(SUBSTITUTE(SUBSTITUTE($EG12,"~","~~"),"*","~*"),"?","~?"))=0),"Melhoria não cadastrada ou com erro: "&amp;$EG12,""),IF(AND($EH12&lt;&gt;"",COUNTIF('DADOS_MELHORIAS'!$O$2:$O$113,SUBSTITUTE(SUBSTITUTE(SUBSTITUTE($EH12,"~","~~"),"*","~*"),"?","~?"))=0),"Melhoria não cadastrada ou com erro: "&amp;$EH12,""),IF(AND($EI12&lt;&gt;"",COUNTIF('DADOS_RESTRICOES'!$M$2:$M$54,SUBSTITUTE(SUBSTITUTE(SUBSTITUTE($EI12,"~","~~"),"*","~*"),"?","~?"))=0),"Restrição não cadastrada ou com erro: "&amp;$EI12,""),IF(AND($EJ12&lt;&gt;"",COUNTIF('DADOS_RESTRICOES'!$M$2:$M$54,SUBSTITUTE(SUBSTITUTE(SUBSTITUTE($EJ12,"~","~~"),"*","~*"),"?","~?"))=0),"Restrição não cadastrada ou com erro: "&amp;$EJ12,""))),IF(AND($ED12&lt;&gt;"",COUNTIF('DADOS_FORMAS'!$AH$2:$AH$21,SUBSTITUTE(SUBSTITUTE(SUBSTITUTE($ED12,"~","~~"),"*","~*"),"?","~?"))=0),"Forma não cadastrada ou com erro: "&amp;$ED12,""),IF(AND(IFERROR(INDEX('DADOS_FORMAS'!$AS$2:$AS$21,MATCH(SUBSTITUTE(SUBSTITUTE(SUBSTITUTE($ED12,"~","~~"),"*","~*"),"?","~?"),'DADOS_FORMAS'!$AH$2:$AH$21,0)),"")&lt;&gt;"",OR(IFERROR(VLOOKUP(SUBSTITUTE(SUBSTITUTE(SUBSTITUTE(IFERROR(INDEX('DADOS_FORMAS'!$AS$2:$AS$21,MATCH(SUBSTITUTE(SUBSTITUTE(SUBSTITUTE($ED12,"~","~~"),"*","~*"),"?","~?"),'DADOS_FORMAS'!$AH$2:$AH$21,0)),""),"~","~~"),"*","~*"),"?","~?"),'DADOS_RESTRICOES'!$M$2:$Q$54,2,FALSE),"")=$FD12,IFERROR(VLOOKUP(SUBSTITUTE(SUBSTITUTE(SUBSTITUTE(IFERROR(INDEX('DADOS_FORMAS'!$AS$2:$AS$21,MATCH(SUBSTITUTE(SUBSTITUTE(SUBSTITUTE($ED12,"~","~~"),"*","~*"),"?","~?"),'DADOS_FORMAS'!$AH$2:$AH$21,0)),""),"~","~~"),"*","~*"),"?","~?"),'DADOS_RESTRICOES'!$M$2:$Q$54,2,FALSE),"")=$FE12)),"Restrição repetida, contando a embutida",""),IF(IF(IFERROR(INDEX('DADOS_FORMAS'!$AS$2:$AS$21,MATCH(SUBSTITUTE(SUBSTITUTE(SUBSTITUTE($ED12,"~","~~"),"*","~*"),"?","~?"),'DADOS_FORMAS'!$AH$2:$AH$21,0)),"")="",0,IFERROR(N(VLOOKUP(SUBSTITUTE(SUBSTITUTE(SUBSTITUTE(IFERROR(INDEX('DADOS_FORMAS'!$AS$2:$AS$21,MATCH(SUBSTITUTE(SUBSTITUTE(SUBSTITUTE($ED12,"~","~~"),"*","~*"),"?","~?"),'DADOS_FORMAS'!$AH$2:$AH$21,0)),""),"~","~~"),"*","~*"),"?","~?"),'DADOS_RESTRICOES'!$M$2:$Q$54,4,FALSE)=1),0))+IF($EI12="",0,IFERROR(N(VLOOKUP(SUBSTITUTE(SUBSTITUTE(SUBSTITUTE($EI12,"~","~~"),"*","~*"),"?","~?"),'DADOS_RESTRICOES'!$M$2:$Q$54,4,FALSE)=1),0))+IF($EJ12="",0,IFERROR(N(VLOOKUP(SUBSTITUTE(SUBSTITUTE(SUBSTITUTE($EJ12,"~","~~"),"*","~*"),"?","~?"),'DADOS_RESTRICOES'!$M$2:$Q$54,4,FALSE)=1),0))&gt;1,"Duas Restrições de frequência, contando a embutida",""),IF(AND(IFERROR(VLOOKUP(SUBSTITUTE(SUBSTITUTE(SUBSTITUTE(IFERROR(INDEX('DADOS_FORMAS'!$AS$2:$AS$21,MATCH(SUBSTITUTE(SUBSTITUTE(SUBSTITUTE($ED12,"~","~~"),"*","~*"),"?","~?"),'DADOS_FORMAS'!$AH$2:$AH$21,0)),""),"~","~~"),"*","~*"),"?","~?"),'DADOS_RESTRICOES'!$M$2:$Q$54,2,FALSE),"")="Tudo ou Nada",$FA12=0),"Tudo ou Nada exige TR",""),IF(AND(IFERROR(VLOOKUP(SUBSTITUTE(SUBSTITUTE(SUBSTITUTE(IFERROR(INDEX('DADOS_FORMAS'!$AS$2:$AS$21,MATCH(SUBSTITUTE(SUBSTITUTE(SUBSTITUTE($ED12,"~","~~"),"*","~*"),"?","~?"),'DADOS_FORMAS'!$AH$2:$AH$21,0)),""),"~","~~"),"*","~*"),"?","~?"),'DADOS_RESTRICOES'!$M$2:$Q$54,2,FALSE),"")="Corpo a Corpo",OR($LB12="Cone",$LB12="Linha")),"Corpo a Corpo não entra em Cone/Linha","")))</f>
        <v/>
      </c>
      <c r="GM12" s="164">
        <f>IF($GL12="",0,(LEN($GL12)-LEN(SUBSTITUTE($GL12," · ","")))/3+1)</f>
        <v/>
      </c>
      <c r="GN12" s="164">
        <f>IF($EK12=0,"",TEXTJOIN(" · ",TRUE,IF($FQ12&gt;2*$EB12,"A devolução parou no teto de "&amp;2*$EB12,""),IF($FT12&gt;0,"Devolução perdida: "&amp;$FT12&amp;IF($FT12&gt;1," pontos"," ponto")&amp;" sem Melhoria para pagar",""),IF(AND($EW12&gt;0,$FV12=0),"Controle sem dano: uma rodada a mais e CD +2",""),IF(AND($EW12&gt;0,$FV12&gt;0,$FV12&lt;=$EB12),"Controle com saldo até a Classe: uma rodada a mais","")))</f>
        <v/>
      </c>
      <c r="GO12" s="164">
        <f>IF($GN12="",0,(LEN($GN12)-LEN(SUBSTITUTE($GN12," · ","")))/3+1)</f>
        <v/>
      </c>
      <c r="GP12" s="164">
        <f>IF($EK12=0,IF($FN12+$FO12-$EY12&gt;0,"Dê um nome",""),IF($GM12&gt;0,"⚠ "&amp;$GM12&amp;IF($GM12&gt;1," erros"," erro"),IF($GO12&gt;0,"! "&amp;$GO12&amp;IF($GO12&gt;1," avisos"," aviso"),"Na regra")))</f>
        <v/>
      </c>
      <c r="GQ12" s="164">
        <f>IF($EK12=0,"",IF($GM12+$GO12=0,"Dentro das regras que a ficha confere",$GL12&amp;IF(AND($GM12&gt;0,$GO12&gt;0)," · ","")&amp;$GN12))</f>
        <v/>
      </c>
      <c r="GR12" s="164">
        <f>IF($EK12=0,"",IF($DZ12=1,CEILING(4.5*$EB12,1),3*$EB12)&amp;" PE")</f>
        <v/>
      </c>
      <c r="GS12" s="164">
        <f>IF($EK12=0,"",IF($DZ12=1,"Rodada inteira",IF(COUNTIF($LD12:$LF12,"Atrasar")&gt;0,IF(COUNTIF($LD12:$LF12,"Carregar")&gt;0,"Rodada +1 turno","Rodada inteira"),IF(COUNTIF($KW12:$KZ12,"Rápido")&gt;0,"Bônus",IF(COUNTIF($KW12:$KZ12,"Reação")&gt;0,"Reação","Padrão"))&amp;IF(COUNTIF($LD12:$LF12,"Carregar")&gt;0," +1 turno",""))))</f>
        <v/>
      </c>
      <c r="GT12" s="164">
        <f>IF(OR($EK12=0,$EL12=0),"",IF(COUNTIF($KW12:$KZ12,"Inescapável")&gt;0,"Automático",IF(COUNTIF($KW12:$KZ12,"Certeiro")&gt;0,"TR para metade",IF(AND($EX12&gt;0,$FA12=0,INDEX('DADOS_FORMAS'!$FQ$2:$FQ$21,$EL12)="Acerto"),"Acerto + TR",INDEX('DADOS_FORMAS'!$FQ$2:$FQ$21,$EL12)))))</f>
        <v/>
      </c>
      <c r="GU12" s="164">
        <f>IF(OR($EK12=0,$EL12=0),"",IF(OR($EZ12&gt;=2,$FV12=0),UPPER(LEFT(INDEX($GE12:$GK12,1,$EB12),1))&amp;MID(INDEX($GE12:$GK12,1,$EB12),2,99),UPPER(LEFT(INDEX($GE12:$GK12,1,$EB12),1))&amp;MID(INDEX($GE12:$GK12,1,$EB12),2,99)&amp;" = "&amp;FLOOR($FV12*4.5,1)&amp;IF($FW12&gt;0," · +"&amp;$FW12&amp;"d8","")))</f>
        <v/>
      </c>
      <c r="GV12" s="164">
        <f>COUNTIF($KW12:$KZ12,"Longe")+3*COUNTIF($KW12:$KZ12,"Muito Longe")</f>
        <v/>
      </c>
      <c r="GW12" s="164">
        <f>COUNTIF($KW12:$KZ12,"Maior")+3*COUNTIF($KW12:$KZ12,"Muito Maior")</f>
        <v/>
      </c>
      <c r="GX12" s="164">
        <f>IF($EL12=0,0,CHOOSE(1+INDEX('DADOS_FORMAS'!$FS$2:$FS$21,$EL12),0,$GV12,$GW12,$GV12+$GW12))</f>
        <v/>
      </c>
      <c r="GY12" s="164">
        <f>IF($EL12=0,0,CHOOSE(1+INDEX('DADOS_FORMAS'!$FT$2:$FT$21,$EL12),0,$GV12,$GW12,$GV12+$GW12))</f>
        <v/>
      </c>
      <c r="GZ12" s="164">
        <f>IF(OR($EK12=0,$EL12=0),"",INDEX('DADOS_FORMAS'!$GZ$2:$HE$61,($EL12-1)*3+IF($EB12&gt;=6,3,2),1+MIN(5,$GX12))&amp;INDEX('DADOS_FORMAS'!$HF$2:$HK$61,($EL12-1)*3+IF($EB12&gt;=6,3,2),1+MIN(5,$GY12))&amp;IF(INDEX('DADOS_FORMAS'!$FU$2:$FU$21,$EL12)=1,IF(COUNTIF($KW12:$KZ12,"Mais Um")&gt;0," · +"&amp;COUNTIF($KW12:$KZ12,"Mais Um")&amp;IF(COUNTIF($KW12:$KZ12,"Mais Um")&gt;1," alvos"," alvo"),"")&amp;IF(COUNTIF($KW12:$KZ12,"Rajada")&gt;0," · "&amp;($EB12+1)&amp;" tiros",""),""))</f>
        <v/>
      </c>
      <c r="HA12" s="164">
        <f>IF($EK12=0,"",3*$EB12&amp;" − "&amp;$FP12&amp;" + "&amp;$FS12&amp;IF($DZ12=1," + "&amp;$EB12,"")&amp;" = "&amp;$FV12&amp;"d8 · teto "&amp;4*$EB12&amp;IF($EY12=1," · a Forma devolve "&amp;$EB12,"")&amp;IF($FT12&gt;0," · perde "&amp;$FT12,""))</f>
        <v/>
      </c>
      <c r="HB12" s="164">
        <f>IF($EK12=0,"",IF($EB12&gt;=$HM$4,"Já está na maior Classe que o nível liberou",TEXTJOIN(" · ",TRUE,IF(AND(2&gt;$EB12,2&lt;=$HM$4),"2 → "&amp;$GF12&amp;", "&amp;IF($DZ12=1,9,6)&amp;" PE",""),IF(AND(3&gt;$EB12,3&lt;=$HM$4),"3 → "&amp;$GG12&amp;", "&amp;IF($DZ12=1,14,9)&amp;" PE",""),IF(AND(4&gt;$EB12,4&lt;=$HM$4),"4 → "&amp;$GH12&amp;", "&amp;IF($DZ12=1,18,12)&amp;" PE",""),IF(AND(5&gt;$EB12,5&lt;=$HM$4),"5 → "&amp;$GI12&amp;", "&amp;IF($DZ12=1,23,15)&amp;" PE",""),IF(AND(6&gt;$EB12,6&lt;=$HM$4),"6 → "&amp;$GJ12&amp;", "&amp;IF($DZ12=1,27,18)&amp;" PE",""),IF(AND(7&gt;$EB12,7&lt;=$HM$4),"7 → "&amp;$GK12&amp;", "&amp;IF($DZ12=1,32,21)&amp;" PE",""))))</f>
        <v/>
      </c>
      <c r="HC12" s="164">
        <f>IF(OR($EK12=0,$EN12=0),"","−"&amp;INDEX($Q$2:$V$8,$EB12,$EN12)&amp;" · "&amp;CHOOSE($EN12,"Leve","Média","Pesada","Leve · Livre","Média · Livre","Pesada · Livre"))</f>
        <v/>
      </c>
      <c r="HD12" s="164">
        <f>IF(OR($EK12=0,$EO12=0),"","−"&amp;INDEX($Q$2:$V$8,$EB12,$EO12)&amp;" · "&amp;CHOOSE($EO12,"Leve","Média","Pesada","Leve · Livre","Média · Livre","Pesada · Livre"))</f>
        <v/>
      </c>
      <c r="HE12" s="164">
        <f>IF(OR($EK12=0,$EP12=0),"","−"&amp;INDEX($Q$2:$V$8,$EB12,$EP12)&amp;" · "&amp;CHOOSE($EP12,"Leve","Média","Pesada","Leve · Livre","Média · Livre","Pesada · Livre"))</f>
        <v/>
      </c>
      <c r="HF12" s="164">
        <f>IF(OR($EK12=0,$EQ12=0),"","−"&amp;INDEX($Q$2:$V$8,$EB12,$EQ12)&amp;" · "&amp;CHOOSE($EQ12,"Leve","Média","Pesada","Leve · Livre","Média · Livre","Pesada · Livre"))</f>
        <v/>
      </c>
      <c r="HG12" s="164">
        <f>IF(OR($EK12=0,$EI12=""),"","+"&amp;IF($FB12=1,CEILING($EB12/2,1),$EB12))</f>
        <v/>
      </c>
      <c r="HH12" s="164">
        <f>IF(OR($EK12=0,$EJ12=""),"","+"&amp;IF($FC12=1,CEILING($EB12/2,1),$EB12))</f>
        <v/>
      </c>
      <c r="HI12" s="164">
        <f>'FICHA AMALDIÇOADA'!$J$129&amp;""</f>
        <v/>
      </c>
      <c r="HJ12" s="164">
        <f>IF(AND($EK12=1,$DZ12=0),COUNTIFS($EK$2:$EK12,1,$DZ$2:$DZ12,0),"")</f>
        <v/>
      </c>
      <c r="HL12" s="162" t="inlineStr">
        <is>
          <t>espaços do nível</t>
        </is>
      </c>
      <c r="HM12" s="164">
        <f>2+INT($HM$2/2)+$HM$5</f>
        <v/>
      </c>
      <c r="HO12" s="162" t="inlineStr">
        <is>
          <t>Talento 11 · Leque</t>
        </is>
      </c>
      <c r="HP12" s="164">
        <f>'FICHA AMALDIÇOADA'!$P$418&amp;""</f>
        <v/>
      </c>
      <c r="HQ12" s="164">
        <f>IFERROR(VLOOKUP(SUBSTITUTE(SUBSTITUTE(SUBSTITUTE($HP12,"~","~~"),"*","~*"),"?","~?"),'DADOS_TALENTOS'!$AQ$2:$AW$34,2,FALSE),0)</f>
        <v/>
      </c>
      <c r="HR12" s="164">
        <f>IFERROR(VLOOKUP($HQ12,$CA$2:$CB$4,2,FALSE),0)</f>
        <v/>
      </c>
      <c r="HS12" s="164">
        <f>IFERROR(VLOOKUP(SUBSTITUTE(SUBSTITUTE(SUBSTITUTE($HP12,"~","~~"),"*","~*"),"?","~?"),'DADOS_TALENTOS'!$AQ$2:$AW$34,3,FALSE),"")</f>
        <v/>
      </c>
      <c r="HT12" s="164">
        <f>IF($HQ12=0,"",IF($HR12&gt;$HM$2,"⚠ Nível "&amp;$HR12,"CE "&amp;$HQ12))&amp;IF('DADOS_AM'!$LO12="",""," · ⚠ "&amp;'DADOS_AM'!$LO12)</f>
        <v/>
      </c>
      <c r="HU12" s="164">
        <f>IF($HQ12=0,"",IF(6&gt;$HM$8,"⚠ Vaga","Grátis"))</f>
        <v/>
      </c>
      <c r="HV12" s="164">
        <f>'FICHA AMALDIÇOADA'!$Q$423&amp;""</f>
        <v/>
      </c>
      <c r="HW12" s="164">
        <f>IF($HP12="","",COUNTIF($HP$2:$HP12,"?*"))</f>
        <v/>
      </c>
      <c r="HY12" s="162" t="inlineStr">
        <is>
          <t>Aptidão 11</t>
        </is>
      </c>
      <c r="HZ12" s="164">
        <f>'FICHA AMALDIÇOADA'!$J$505&amp;""</f>
        <v/>
      </c>
      <c r="IA12" s="164">
        <f>IF($HZ12="","","Requisito: "&amp;IFERROR(VLOOKUP(SUBSTITUTE(SUBSTITUTE(SUBSTITUTE($HZ12,"~","~~"),"*","~*"),"?","~?"),'DADOS_APTIDOES'!$BF$2:$BO$45,2,FALSE),""))&amp;IF($LK12="",""," · ⚠ "&amp;$LK12)</f>
        <v/>
      </c>
      <c r="IB12" s="164">
        <f>IF($HZ12="","",IFERROR(IF(ISNUMBER(VLOOKUP(SUBSTITUTE(SUBSTITUTE(SUBSTITUTE($HZ12,"~","~~"),"*","~*"),"?","~?"),'DADOS_APTIDOES'!$BF$2:$BO$45,3,FALSE)),"CE "&amp;VLOOKUP(SUBSTITUTE(SUBSTITUTE(SUBSTITUTE($HZ12,"~","~~"),"*","~*"),"?","~?"),'DADOS_APTIDOES'!$BF$2:$BO$45,3,FALSE),VLOOKUP(SUBSTITUTE(SUBSTITUTE(SUBSTITUTE($HZ12,"~","~~"),"*","~*"),"?","~?"),'DADOS_APTIDOES'!$BF$2:$BO$45,3,FALSE)),""))</f>
        <v/>
      </c>
      <c r="IC12" s="164">
        <f>IF($HZ12="","",IFERROR(VLOOKUP(SUBSTITUTE(SUBSTITUTE(SUBSTITUTE($HZ12,"~","~~"),"*","~*"),"?","~?"),'DADOS_APTIDOES'!$BF$2:$BO$45,4,FALSE),""))</f>
        <v/>
      </c>
      <c r="ID12" s="164">
        <f>IF($HZ12="","",IFERROR(VLOOKUP(SUBSTITUTE(SUBSTITUTE(SUBSTITUTE($HZ12,"~","~~"),"*","~*"),"?","~?"),'DADOS_APTIDOES'!$BF$2:$BO$45,5,FALSE),""))</f>
        <v/>
      </c>
      <c r="IE12" s="164">
        <f>'FICHA AMALDIÇOADA'!$K$522&amp;""</f>
        <v/>
      </c>
      <c r="IF12" s="164">
        <f>IF($HZ12="","",COUNTIF($HZ$2:$HZ12,"?*"))</f>
        <v/>
      </c>
      <c r="JH12" s="164" t="n">
        <v>11</v>
      </c>
      <c r="JI12" s="164">
        <f>IFERROR(MATCH(11,$HJ$2:$HJ$37,0),0)</f>
        <v/>
      </c>
      <c r="JJ12" s="164">
        <f>IF($JI12=0,"",INDEX($EB$2:$EB$37,$JI12))</f>
        <v/>
      </c>
      <c r="JK12" s="164">
        <f>IF($JI12=0,"",INDEX($EC$2:$EC$37,$JI12))</f>
        <v/>
      </c>
      <c r="JL12" s="164">
        <f>IF($JI12=0,"",INDEX($GR$2:$GR$37,$JI12))</f>
        <v/>
      </c>
      <c r="JM12" s="164">
        <f>IF($JI12=0,"",INDEX($ED$2:$ED$37,$JI12))</f>
        <v/>
      </c>
      <c r="JN12" s="164">
        <f>IF($JI12=0,"",INDEX($GT$2:$GT$37,$JI12))</f>
        <v/>
      </c>
      <c r="JO12" s="164">
        <f>IF($JI12=0,"",INDEX($HI$2:$HI$37,$JI12))</f>
        <v/>
      </c>
      <c r="KF12" s="162" t="inlineStr">
        <is>
          <t>Talento 9</t>
        </is>
      </c>
      <c r="KG12" s="164">
        <f>IFERROR(MATCH(9,$HW$2:$HW$13,0),0)</f>
        <v/>
      </c>
      <c r="KH12" s="164">
        <f>IF($KG12=0,"",IF(INDEX($HQ$2:$HQ$13,$KG12)=0,"","CE "&amp;INDEX($HQ$2:$HQ$13,$KG12)))</f>
        <v/>
      </c>
      <c r="KI12" s="164">
        <f>IF($KG12=0,"",INDEX($HP$2:$HP$13,$KG12))</f>
        <v/>
      </c>
      <c r="KJ12" s="164">
        <f>IF($KG12=0,"",IF(INDEX($HV$2:$HV$13,$KG12)&lt;&gt;"",INDEX($HV$2:$HV$13,$KG12),IF(IFERROR(VLOOKUP(SUBSTITUTE(SUBSTITUTE(SUBSTITUTE(INDEX($HP$2:$HP$13,$KG12),"~","~~"),"*","~*"),"?","~?"),'DADOS_TALENTOS'!$AQ$2:$AW$34,7,FALSE),"")&lt;&gt;"","Do livro: "&amp;IFERROR(VLOOKUP(SUBSTITUTE(SUBSTITUTE(SUBSTITUTE(INDEX($HP$2:$HP$13,$KG12),"~","~~"),"*","~*"),"?","~?"),'DADOS_TALENTOS'!$AQ$2:$AW$34,7,FALSE),""),"")))</f>
        <v/>
      </c>
      <c r="KL12" s="162" t="inlineStr">
        <is>
          <t>Aptidão 9</t>
        </is>
      </c>
      <c r="KM12" s="164">
        <f>IFERROR(MATCH(9,$IF$2:$IF$13,0),0)</f>
        <v/>
      </c>
      <c r="KN12" s="164">
        <f>IF($KM12=0,"",INDEX($IB$2:$IB$13,$KM12))</f>
        <v/>
      </c>
      <c r="KO12" s="164">
        <f>IF($KM12=0,"",INDEX($HZ$2:$HZ$13,$KM12))</f>
        <v/>
      </c>
      <c r="KP12" s="164">
        <f>IF($KM12=0,"",IF(INDEX($IE$2:$IE$13,$KM12)&lt;&gt;"",INDEX($IE$2:$IE$13,$KM12),IF(IFERROR(VLOOKUP(SUBSTITUTE(SUBSTITUTE(SUBSTITUTE(INDEX($HZ$2:$HZ$13,$KM12),"~","~~"),"*","~*"),"?","~?"),'DADOS_APTIDOES'!$BF$2:$BO$45,10,FALSE),"")&lt;&gt;"","Do livro: "&amp;IFERROR(VLOOKUP(SUBSTITUTE(SUBSTITUTE(SUBSTITUTE(INDEX($HZ$2:$HZ$13,$KM12),"~","~~"),"*","~*"),"?","~?"),'DADOS_APTIDOES'!$BF$2:$BO$45,10,FALSE),""),"")))</f>
        <v/>
      </c>
      <c r="KR12" s="162" t="inlineStr">
        <is>
          <t>par 6</t>
        </is>
      </c>
      <c r="KS12" s="164">
        <f>UPPER(INDEX($D$3:$G$3,1,$A$2))&amp;" 19 A 24"</f>
        <v/>
      </c>
      <c r="KU12" s="162" t="inlineStr">
        <is>
          <t>J17</t>
        </is>
      </c>
      <c r="KV12" s="164">
        <f>IF(DADOS_AM!$HM$42=1,"GRUPO 2","—")</f>
        <v/>
      </c>
      <c r="KW12">
        <f>IF($EE12="","",IFERROR(VLOOKUP(SUBSTITUTE(SUBSTITUTE(SUBSTITUTE($EE12,"~","~~"),"*","~*"),"?","~?"),'DADOS_MELHORIAS'!$O$2:$X$113,10,FALSE),$EE12))</f>
        <v/>
      </c>
      <c r="KX12">
        <f>IF($EF12="","",IFERROR(VLOOKUP(SUBSTITUTE(SUBSTITUTE(SUBSTITUTE($EF12,"~","~~"),"*","~*"),"?","~?"),'DADOS_MELHORIAS'!$O$2:$X$113,10,FALSE),$EF12))</f>
        <v/>
      </c>
      <c r="KY12">
        <f>IF($EG12="","",IFERROR(VLOOKUP(SUBSTITUTE(SUBSTITUTE(SUBSTITUTE($EG12,"~","~~"),"*","~*"),"?","~?"),'DADOS_MELHORIAS'!$O$2:$X$113,10,FALSE),$EG12))</f>
        <v/>
      </c>
      <c r="KZ12">
        <f>IF($EH12="","",IFERROR(VLOOKUP(SUBSTITUTE(SUBSTITUTE(SUBSTITUTE($EH12,"~","~~"),"*","~*"),"?","~?"),'DADOS_MELHORIAS'!$O$2:$X$113,10,FALSE),$EH12))</f>
        <v/>
      </c>
      <c r="LB12">
        <f>IFERROR(INDEX('DADOS_FORMAS'!$BJ$2:$BJ$21,MATCH(SUBSTITUTE(SUBSTITUTE(SUBSTITUTE($ED12,"~","~~"),"*","~*"),"?","~?"),'DADOS_FORMAS'!$AH$2:$AH$21,0)),"")</f>
        <v/>
      </c>
      <c r="LC12">
        <f>IFERROR(VLOOKUP(SUBSTITUTE(SUBSTITUTE(SUBSTITUTE(IFERROR(INDEX('DADOS_FORMAS'!$AS$2:$AS$21,MATCH(SUBSTITUTE(SUBSTITUTE(SUBSTITUTE($ED12,"~","~~"),"*","~*"),"?","~?"),'DADOS_FORMAS'!$AH$2:$AH$21,0)),""),"~","~~"),"*","~*"),"?","~?"),'DADOS_RESTRICOES'!$M$2:$Q$54,2,FALSE),"")</f>
        <v/>
      </c>
      <c r="LD12">
        <f>$FD12</f>
        <v/>
      </c>
      <c r="LE12">
        <f>$FE12</f>
        <v/>
      </c>
      <c r="LF12">
        <f>$LC12</f>
        <v/>
      </c>
      <c r="LH12">
        <f>'FICHA AMALDIÇOADA'!$J$505&amp;""</f>
        <v/>
      </c>
      <c r="LI12">
        <f>IF($LH12="","",IF(IFERROR(INDEX('DADOS_APTIDOES'!$X$2:$X$45,MATCH(SUBSTITUTE(SUBSTITUTE(SUBSTITUTE($LH12,"~","~~"),"*","~*"),"?","~?"),'DADOS_APTIDOES'!$O$2:$O$45,0)),"")="",$LH12,IFERROR(INDEX('DADOS_APTIDOES'!$X$2:$X$45,MATCH(SUBSTITUTE(SUBSTITUTE(SUBSTITUTE($LH12,"~","~~"),"*","~*"),"?","~?"),'DADOS_APTIDOES'!$O$2:$O$45,0)),"")))</f>
        <v/>
      </c>
      <c r="LJ12">
        <f>IF(LEFT($LI12,16)="Aptidão Própria (","Aptidão Própria",IF(LEFT($LI12,15)="Bênção Própria (","Bênção Própria",$LI12))</f>
        <v/>
      </c>
      <c r="LK12">
        <f>IF($LH12="","",TEXTJOIN(" · ",TRUE,$LP12:$MJ12))</f>
        <v/>
      </c>
      <c r="LL12">
        <f>IF($LH12="",0,IF(IFERROR(INDEX('DADOS_APTIDOES'!$W$2:$W$45,MATCH(SUBSTITUTE(SUBSTITUTE(SUBSTITUTE($LH12,"~","~~"),"*","~*"),"?","~?"),'DADOS_APTIDOES'!$O$2:$O$45,0)),"")="Gratuita",0,1))</f>
        <v/>
      </c>
      <c r="LO12">
        <f>IF('FICHA AMALDIÇOADA'!$P$418="","",TEXTJOIN(" · ",TRUE,IF(COUNTIF('DADOS_TALENTOS'!$M$2:$M$34,SUBSTITUTE(SUBSTITUTE(SUBSTITUTE('FICHA AMALDIÇOADA'!$P$418,"~","~~"),"*","~*"),"?","~?"))=0,"Talento não cadastrado ou com erro",""),IF(COUNTIF('DADOS_TALENTOS'!$AV$2:$AV$34,SUBSTITUTE(SUBSTITUTE(SUBSTITUTE('FICHA AMALDIÇOADA'!$P$418,"~","~~"),"*","~*"),"?","~?"))=0,"Talento incompatível com a rota","")))</f>
        <v/>
      </c>
      <c r="LP12">
        <f>IF(COUNTIF('DADOS_APTIDOES'!$O$2:$O$45,SUBSTITUTE(SUBSTITUTE(SUBSTITUTE($LH12,"~","~~"),"*","~*"),"?","~?"))=0,"Aptidão não cadastrada ou com erro","")</f>
        <v/>
      </c>
      <c r="LQ12">
        <f>IF(COUNTIF('DADOS_APTIDOES'!$BK$2:$BK$45,SUBSTITUTE(SUBSTITUTE(SUBSTITUTE($LH12,"~","~~"),"*","~*"),"?","~?"))=0,"Rota/origem incompatível ou capacidade inicial automática","")</f>
        <v/>
      </c>
      <c r="LR12">
        <f>IF(AND(NOT(OR(FALSE)),DADOS_AM!$HM$2&lt;IFERROR(INDEX('DADOS_APTIDOES'!$U$2:$U$45,MATCH(SUBSTITUTE(SUBSTITUTE(SUBSTITUTE($LH12,"~","~~"),"*","~*"),"?","~?"),'DADOS_APTIDOES'!$O$2:$O$45,0)),1)),"Nível mínimo não atendido","")</f>
        <v/>
      </c>
      <c r="LS12">
        <f>IF(AND(NOT(OR(FALSE)),DADOS_AM!$HM$6&lt;MAX(IF(AND($LI12="Domínio Simples",FALSE,IFERROR(INDEX('DADOS_APTIDOES'!$V$2:$V$45,MATCH(SUBSTITUTE(SUBSTITUTE(SUBSTITUTE($LH12,"~","~~"),"*","~*"),"?","~?"),'DADOS_APTIDOES'!$O$2:$O$45,0)),1)=5),4,IFERROR(INDEX('DADOS_APTIDOES'!$V$2:$V$45,MATCH(SUBSTITUTE(SUBSTITUTE(SUBSTITUTE($LH12,"~","~~"),"*","~*"),"?","~?"),'DADOS_APTIDOES'!$O$2:$O$45,0)),1)),IF(IFERROR(INDEX('DADOS_APTIDOES'!$N$2:$N$45,MATCH(SUBSTITUTE(SUBSTITUTE(SUBSTITUTE($LH12,"~","~~"),"*","~*"),"?","~?"),'DADOS_APTIDOES'!$O$2:$O$45,0)),"")="Bênção",IF(IFERROR(INDEX('DADOS_APTIDOES'!$T$2:$T$45,MATCH(SUBSTITUTE(SUBSTITUTE(SUBSTITUTE($LH12,"~","~~"),"*","~*"),"?","~?"),'DADOS_APTIDOES'!$O$2:$O$45,0)),0)=3,7,IF(IFERROR(INDEX('DADOS_APTIDOES'!$T$2:$T$45,MATCH(SUBSTITUTE(SUBSTITUTE(SUBSTITUTE($LH12,"~","~~"),"*","~*"),"?","~?"),'DADOS_APTIDOES'!$O$2:$O$45,0)),0)=2,4,1)),1))),"Refino/Lapidação mínimo não atendido","")</f>
        <v/>
      </c>
      <c r="LT12">
        <f>IF(COUNTIF($LJ$2:$LJ12,SUBSTITUTE(SUBSTITUTE(SUBSTITUTE($LJ12,"~","~~"),"*","~*"),"?","~?"))&gt;1,"Aptidão/Bênção repetida","")</f>
        <v/>
      </c>
      <c r="LU12">
        <f>IF(AND(NOT(OR(FALSE)),AND($LI12="Circulação",COUNTIF($LI$2:$LI11,"Energia Reversa")=0)),"Exige aquisição anterior: Energia Reversa","")</f>
        <v/>
      </c>
      <c r="LV12">
        <f>IF(AND(NOT(OR(FALSE)),AND($LI12="Regravação",COUNTIF($LI$2:$LI11,"Circulação")=0)),"Exige aquisição anterior: Circulação","")</f>
        <v/>
      </c>
      <c r="LW12">
        <f>IF(AND(NOT(OR(FALSE)),AND($LI12="Cortina",COUNTIF($LI$2:$LI11,"Barreira Simples")=0)),"Exige aquisição anterior: Barreira Simples","")</f>
        <v/>
      </c>
      <c r="LX12">
        <f>IF(AND(NOT(OR(FALSE)),AND($LI12="Ritual",'FICHA'!AB19&lt;5)),"Exige Inteligência 5","")</f>
        <v/>
      </c>
      <c r="LY12">
        <f>IF(AND(NOT(OR(FALSE)),AND($LI12="Ímpeto",'FICHA'!L19&lt;4)),"Exige Destreza 4","")</f>
        <v/>
      </c>
      <c r="LZ12">
        <f>IF(AND(NOT(OR(FALSE)),AND($LI12="Casco",'FICHA'!T19&lt;4)),"Exige Constituição 4","")</f>
        <v/>
      </c>
      <c r="MA12">
        <f>IF(AND(NOT(OR(FALSE)),AND($LI12="Presilha",'FICHA'!D19&lt;4)),"Exige Força 4","")</f>
        <v/>
      </c>
      <c r="MB12">
        <f>IF(AND(NOT(OR(FALSE)),AND($LI12="Antecipar",'FICHA'!AB19&lt;4)),"Exige Inteligência 4","")</f>
        <v/>
      </c>
      <c r="MC12">
        <f>IF(AND(NOT(OR(FALSE)),AND($LI12="Sangue Frio",'FICHA'!T19&lt;4)),"Exige Constituição 4","")</f>
        <v/>
      </c>
      <c r="MD12">
        <f>IF(AND(NOT(OR(FALSE)),AND($LI12="Assombro",'FICHA'!AJ19&lt;4)),"Exige Essência 4","")</f>
        <v/>
      </c>
      <c r="ME12">
        <f>IF(AND(NOT(OR(FALSE)),$LI12="Cesta Oca de Vime"),"Conferir Encarnado ou treino em História","")</f>
        <v/>
      </c>
      <c r="MF12">
        <f>IF(AND(NOT(OR(FALSE)),$LI12="Pétala"),"Conferir Descendente ou aprendizado de clã","")</f>
        <v/>
      </c>
      <c r="MG12">
        <f>IF(AND(NOT(OR(FALSE)),$LI12="Domínio Simples"),"Conferir aprendizado de Domínio Simples","")</f>
        <v/>
      </c>
      <c r="MH12">
        <f>IF(AND(NOT(OR(FALSE)),$LI12="Extensão de Domínio"),"Conferir aprendizado de Extensão de Domínio","")</f>
        <v/>
      </c>
      <c r="MI12">
        <f>IF(AND(NOT(OR(FALSE)),$LI12="Ritual"),"Conferir Técnica Inata","")</f>
        <v/>
      </c>
      <c r="MJ12">
        <f>IF(AND(NOT(OR(FALSE)),AND($LI12="Represália",MAX('FICHA'!D19,'FICHA'!L19)&lt;4)),"Exige Força ou Destreza 4","")</f>
        <v/>
      </c>
    </row>
    <row r="13">
      <c r="C13" s="162" t="inlineStr">
        <is>
          <t>peça da rota</t>
        </is>
      </c>
      <c r="D13" s="162" t="inlineStr">
        <is>
          <t>—</t>
        </is>
      </c>
      <c r="E13" s="162" t="inlineStr">
        <is>
          <t>Semente</t>
        </is>
      </c>
      <c r="F13" s="162" t="inlineStr">
        <is>
          <t>Equipamento</t>
        </is>
      </c>
      <c r="G13" s="162" t="inlineStr">
        <is>
          <t>Equipamento</t>
        </is>
      </c>
      <c r="AO13" s="162" t="inlineStr">
        <is>
          <t>Aura · classes 6 e 7</t>
        </is>
      </c>
      <c r="AP13" s="162" t="inlineStr">
        <is>
          <t>Raio 4,5 m, em você</t>
        </is>
      </c>
      <c r="AQ13" s="162" t="inlineStr">
        <is>
          <t>Raio 6 m, em você</t>
        </is>
      </c>
      <c r="AR13" s="162" t="inlineStr">
        <is>
          <t>Raio 9 m, em você</t>
        </is>
      </c>
      <c r="AS13" s="162" t="inlineStr">
        <is>
          <t>Raio 15 m, em você</t>
        </is>
      </c>
      <c r="AT13" s="162" t="inlineStr">
        <is>
          <t>Raio 15 m, em você</t>
        </is>
      </c>
      <c r="AU13" s="162" t="inlineStr">
        <is>
          <t>Raio 15 m, em você</t>
        </is>
      </c>
      <c r="AV13" s="162" t="inlineStr"/>
      <c r="AW13" s="162" t="inlineStr"/>
      <c r="AX13" s="162" t="inlineStr"/>
      <c r="AY13" s="162" t="inlineStr"/>
      <c r="AZ13" s="162" t="inlineStr"/>
      <c r="BA13" s="162" t="inlineStr"/>
      <c r="BC13" s="162" t="inlineStr">
        <is>
          <t>Fica</t>
        </is>
      </c>
      <c r="BD13" s="162" t="inlineStr">
        <is>
          <t>Área</t>
        </is>
      </c>
      <c r="BE13" s="164" t="n">
        <v>2</v>
      </c>
      <c r="BF13" s="164">
        <f>$BE13+3*IFERROR(VLOOKUP($BD13,'DADOS_CRIACAO'!$H$2:$K$20,3,FALSE),0)</f>
        <v/>
      </c>
      <c r="BG13" s="164">
        <f>IFERROR(VLOOKUP($BD13,'DADOS_CRIACAO'!$H$2:$K$20,4,FALSE),0)</f>
        <v/>
      </c>
      <c r="BH13" s="164" t="n">
        <v>0</v>
      </c>
      <c r="BI13" s="164">
        <f>IF($BG13=1,"",$BC13)</f>
        <v/>
      </c>
      <c r="BJ13" s="164">
        <f>IF(AND($BE13=1,$BG13=0),$BC13,"")</f>
        <v/>
      </c>
      <c r="BK13" s="164" t="n">
        <v>0</v>
      </c>
      <c r="BM13" s="162" t="inlineStr">
        <is>
          <t>Frágil</t>
        </is>
      </c>
      <c r="BN13" s="162" t="inlineStr">
        <is>
          <t>Frágil</t>
        </is>
      </c>
      <c r="BO13" s="164" t="n">
        <v>1</v>
      </c>
      <c r="BP13" s="164" t="n">
        <v>0</v>
      </c>
      <c r="BQ13" s="162" t="inlineStr">
        <is>
          <t>Frágil</t>
        </is>
      </c>
      <c r="BS13" s="162" t="inlineStr">
        <is>
          <t>Contramedida</t>
        </is>
      </c>
      <c r="BT13" s="164" t="n">
        <v>2</v>
      </c>
      <c r="BU13" s="162" t="inlineStr">
        <is>
          <t>Quando outra criatura a até 9 m conjurar um feitiço, você pode gastar sua Reação e 2 PE para aumentar a CD desse feitiço em 2. Declare depois que a conjuração for anunciada e antes dos TR. O aumento vale para os TR contra aquela aplicação enquanto ela durar.</t>
        </is>
      </c>
      <c r="BV13" s="164" t="n">
        <v>1</v>
      </c>
      <c r="BW13" s="164" t="n">
        <v>0</v>
      </c>
      <c r="BX13" s="164">
        <f>IF(OR(AND($A$2&lt;=2,$BV13=1),AND($A$2&gt;=2,$BW13=1)),$BS13,"")</f>
        <v/>
      </c>
      <c r="BY13" s="162" t="inlineStr">
        <is>
          <t>Quando outra criatura a até 9 m conjurar um feitiço, você pode gastar sua Reação e 2 PE para aumentar a CD desse feitiço em 2. Declare depois que a conjuração for anunciada e antes dos TR. O aumento vale para os TR contra aquela aplicação enquanto ela durar.</t>
        </is>
      </c>
      <c r="CD13" s="162" t="inlineStr">
        <is>
          <t>Extensão de Domínio</t>
        </is>
      </c>
      <c r="CE13" s="162" t="inlineStr">
        <is>
          <t>Refino 7 e nível 18; aprendizado registrado; indisponível ao Corpo Amaldiçoado</t>
        </is>
      </c>
      <c r="CF13" s="164" t="n">
        <v>3</v>
      </c>
      <c r="CG13" s="162" t="inlineStr">
        <is>
          <t>—</t>
        </is>
      </c>
      <c r="CH13" s="162" t="inlineStr">
        <is>
          <t>Você precisa ter visto uma Extensão em uso, estudado seu funcionamento ou aprendido com alguém. Registre isso na ficha. Corpo Amaldiçoado não pode adquirir esta aptidão. Você se envolve em uma camada de domínio que neutraliza técnicas. Ative conforme Proteção contra domínios. A manutenção custa 1,5 × sua maior Classe em PE, arredondado para cima. A ativação e sua primeira manutenção cobrem o período até o começo do seu próximo turno. Depois, você pode pagar até Refino − 1 manutenções adicionais, uma no começo de cada turno. A Extensão termina no começo do turno seguinte à última manutenção, ou antes se for encerrada. Golpes não a derrubam. Enquanto ativa, ela impede que o Acerto e o Efeito de qualquer Expansão atinjam você, inclusive incompleta ou sem barreiras. A barreira ainda prende você, e os benefícios do dono permanecem. Uma técnica que encostar na Extensão é anulada, naquele contato, se sua Classe, Categoria de Efeito ou escala de Regra Própria for de até 1 + um terço de seu Refino, para baixo. O limite é 3 com Refino 7–8 e 4 com Refino 9–10. Isso não apaga a técnica de quem a criou nem seus efeitos longe de você.</t>
        </is>
      </c>
      <c r="CI13" s="164">
        <f>IF($CL13=1,"",IF($A$2=4,IF($CJ13=1,$CD13,""),IF(OR($CJ13=1,AND($A$2=3,$CK13=1)),"",$CD13)))</f>
        <v/>
      </c>
      <c r="CJ13" s="164" t="n">
        <v>0</v>
      </c>
      <c r="CK13" s="164" t="n">
        <v>1</v>
      </c>
      <c r="CL13" s="164" t="n">
        <v>0</v>
      </c>
      <c r="CM13" s="162" t="inlineStr">
        <is>
          <t>Você precisa ter visto uma Extensão em uso, estudado seu funcionamento ou aprendido com alguém.</t>
        </is>
      </c>
      <c r="CU13" s="162" t="inlineStr">
        <is>
          <t>Machado</t>
        </is>
      </c>
      <c r="CV13" s="164" t="n">
        <v>1</v>
      </c>
      <c r="CW13" s="164" t="n">
        <v>1</v>
      </c>
      <c r="CX13" s="164">
        <f>IF(AND($A$2&gt;=3,'FICHA AMALDIÇOADA'!$J$16&amp;""="Três grupos de arma"),$CU13,"")</f>
        <v/>
      </c>
      <c r="DY13" s="162" t="inlineStr">
        <is>
          <t>Feitiço 12</t>
        </is>
      </c>
      <c r="DZ13" s="164" t="n">
        <v>0</v>
      </c>
      <c r="EA13" s="164" t="n">
        <v>12</v>
      </c>
      <c r="EB13" s="164">
        <f>MAX(1,MIN(7,N('FICHA AMALDIÇOADA'!$P$127)))</f>
        <v/>
      </c>
      <c r="EC13" s="164">
        <f>'FICHA AMALDIÇOADA'!$Q$127&amp;""</f>
        <v/>
      </c>
      <c r="ED13" s="164">
        <f>'FICHA AMALDIÇOADA'!$P$134&amp;""</f>
        <v/>
      </c>
      <c r="EE13" s="164">
        <f>'FICHA AMALDIÇOADA'!$Q$136&amp;""</f>
        <v/>
      </c>
      <c r="EF13" s="164">
        <f>'FICHA AMALDIÇOADA'!$Q$137&amp;""</f>
        <v/>
      </c>
      <c r="EG13" s="164">
        <f>'FICHA AMALDIÇOADA'!$Q$138&amp;""</f>
        <v/>
      </c>
      <c r="EH13" s="164">
        <f>'FICHA AMALDIÇOADA'!$Q$139&amp;""</f>
        <v/>
      </c>
      <c r="EI13" s="164">
        <f>'FICHA AMALDIÇOADA'!$Q$140&amp;""</f>
        <v/>
      </c>
      <c r="EJ13" s="164">
        <f>'FICHA AMALDIÇOADA'!$Q$141&amp;""</f>
        <v/>
      </c>
      <c r="EK13" s="164">
        <f>IF($EC13&lt;&gt;"",1,0)</f>
        <v/>
      </c>
      <c r="EL13" s="164">
        <f>IFERROR(MATCH(SUBSTITUTE(SUBSTITUTE(SUBSTITUTE($ED13,"~","~~"),"*","~*"),"?","~?"),'DADOS_FORMAS'!$FJ$2:$FJ$21,0),0)</f>
        <v/>
      </c>
      <c r="EM13" s="164">
        <f>IF($EL13=0,0,INDEX('DADOS_FORMAS'!$FM$2:$FM$21,$EL13))</f>
        <v/>
      </c>
      <c r="EN13" s="164">
        <f>IFERROR(VLOOKUP(SUBSTITUTE(SUBSTITUTE(SUBSTITUTE($EE13,"~","~~"),"*","~*"),"?","~?"),'DADOS_MELHORIAS'!$O$2:$W$113,4,FALSE),0)</f>
        <v/>
      </c>
      <c r="EO13" s="164">
        <f>IFERROR(VLOOKUP(SUBSTITUTE(SUBSTITUTE(SUBSTITUTE($EF13,"~","~~"),"*","~*"),"?","~?"),'DADOS_MELHORIAS'!$O$2:$W$113,4,FALSE),0)</f>
        <v/>
      </c>
      <c r="EP13" s="164">
        <f>IFERROR(VLOOKUP(SUBSTITUTE(SUBSTITUTE(SUBSTITUTE($EG13,"~","~~"),"*","~*"),"?","~?"),'DADOS_MELHORIAS'!$O$2:$W$113,4,FALSE),0)</f>
        <v/>
      </c>
      <c r="EQ13" s="164">
        <f>IFERROR(VLOOKUP(SUBSTITUTE(SUBSTITUTE(SUBSTITUTE($EH13,"~","~~"),"*","~*"),"?","~?"),'DADOS_MELHORIAS'!$O$2:$W$113,4,FALSE),0)</f>
        <v/>
      </c>
      <c r="ER13" s="164">
        <f>IF($EL13=0,0,INDEX('DADOS_FORMAS'!$FN$2:$FN$21,$EL13))</f>
        <v/>
      </c>
      <c r="ES13" s="164">
        <f>IFERROR(VLOOKUP(SUBSTITUTE(SUBSTITUTE(SUBSTITUTE($EE13,"~","~~"),"*","~*"),"?","~?"),'DADOS_MELHORIAS'!$O$2:$W$113,5,FALSE),0)</f>
        <v/>
      </c>
      <c r="ET13" s="164">
        <f>IFERROR(VLOOKUP(SUBSTITUTE(SUBSTITUTE(SUBSTITUTE($EF13,"~","~~"),"*","~*"),"?","~?"),'DADOS_MELHORIAS'!$O$2:$W$113,5,FALSE),0)</f>
        <v/>
      </c>
      <c r="EU13" s="164">
        <f>IFERROR(VLOOKUP(SUBSTITUTE(SUBSTITUTE(SUBSTITUTE($EG13,"~","~~"),"*","~*"),"?","~?"),'DADOS_MELHORIAS'!$O$2:$W$113,5,FALSE),0)</f>
        <v/>
      </c>
      <c r="EV13" s="164">
        <f>IFERROR(VLOOKUP(SUBSTITUTE(SUBSTITUTE(SUBSTITUTE($EH13,"~","~~"),"*","~*"),"?","~?"),'DADOS_MELHORIAS'!$O$2:$W$113,5,FALSE),0)</f>
        <v/>
      </c>
      <c r="EW13" s="164">
        <f>IFERROR(VLOOKUP(SUBSTITUTE(SUBSTITUTE(SUBSTITUTE($EE13,"~","~~"),"*","~*"),"?","~?"),'DADOS_MELHORIAS'!$O$2:$W$113,6,FALSE),0)+IFERROR(VLOOKUP(SUBSTITUTE(SUBSTITUTE(SUBSTITUTE($EF13,"~","~~"),"*","~*"),"?","~?"),'DADOS_MELHORIAS'!$O$2:$W$113,6,FALSE),0)+IFERROR(VLOOKUP(SUBSTITUTE(SUBSTITUTE(SUBSTITUTE($EG13,"~","~~"),"*","~*"),"?","~?"),'DADOS_MELHORIAS'!$O$2:$W$113,6,FALSE),0)+IFERROR(VLOOKUP(SUBSTITUTE(SUBSTITUTE(SUBSTITUTE($EH13,"~","~~"),"*","~*"),"?","~?"),'DADOS_MELHORIAS'!$O$2:$W$113,6,FALSE),0)</f>
        <v/>
      </c>
      <c r="EX13" s="164">
        <f>IFERROR(VLOOKUP(SUBSTITUTE(SUBSTITUTE(SUBSTITUTE($EE13,"~","~~"),"*","~*"),"?","~?"),'DADOS_MELHORIAS'!$O$2:$W$113,9,FALSE),0)+IFERROR(VLOOKUP(SUBSTITUTE(SUBSTITUTE(SUBSTITUTE($EF13,"~","~~"),"*","~*"),"?","~?"),'DADOS_MELHORIAS'!$O$2:$W$113,9,FALSE),0)+IFERROR(VLOOKUP(SUBSTITUTE(SUBSTITUTE(SUBSTITUTE($EG13,"~","~~"),"*","~*"),"?","~?"),'DADOS_MELHORIAS'!$O$2:$W$113,9,FALSE),0)+IFERROR(VLOOKUP(SUBSTITUTE(SUBSTITUTE(SUBSTITUTE($EH13,"~","~~"),"*","~*"),"?","~?"),'DADOS_MELHORIAS'!$O$2:$W$113,9,FALSE),0)</f>
        <v/>
      </c>
      <c r="EY13" s="164">
        <f>IF($EL13=0,0,INDEX('DADOS_FORMAS'!$FO$2:$FO$21,$EL13))</f>
        <v/>
      </c>
      <c r="EZ13" s="164">
        <f>IF($EL13=0,0,INDEX('DADOS_FORMAS'!$FP$2:$FP$21,$EL13))</f>
        <v/>
      </c>
      <c r="FA13" s="164">
        <f>IF($EL13=0,0,INDEX('DADOS_FORMAS'!$FR$2:$FR$21,$EL13))</f>
        <v/>
      </c>
      <c r="FB13" s="164">
        <f>IFERROR(VLOOKUP(SUBSTITUTE(SUBSTITUTE(SUBSTITUTE($EI13,"~","~~"),"*","~*"),"?","~?"),'DADOS_RESTRICOES'!$M$2:$Q$54,3,FALSE),0)</f>
        <v/>
      </c>
      <c r="FC13" s="164">
        <f>IFERROR(VLOOKUP(SUBSTITUTE(SUBSTITUTE(SUBSTITUTE($EJ13,"~","~~"),"*","~*"),"?","~?"),'DADOS_RESTRICOES'!$M$2:$Q$54,3,FALSE),0)</f>
        <v/>
      </c>
      <c r="FD13" s="164">
        <f>IFERROR(VLOOKUP(SUBSTITUTE(SUBSTITUTE(SUBSTITUTE($EI13,"~","~~"),"*","~*"),"?","~?"),'DADOS_RESTRICOES'!$M$2:$Q$54,2,FALSE),"")</f>
        <v/>
      </c>
      <c r="FE13" s="164">
        <f>IFERROR(VLOOKUP(SUBSTITUTE(SUBSTITUTE(SUBSTITUTE($EJ13,"~","~~"),"*","~*"),"?","~?"),'DADOS_RESTRICOES'!$M$2:$Q$54,2,FALSE),"")</f>
        <v/>
      </c>
      <c r="FF13" s="164">
        <f>COUNTIF($EM13:$EQ13,1)</f>
        <v/>
      </c>
      <c r="FG13" s="164">
        <f>COUNTIF($EM13:$EQ13,2)</f>
        <v/>
      </c>
      <c r="FH13" s="164">
        <f>COUNTIF($EM13:$EQ13,3)</f>
        <v/>
      </c>
      <c r="FI13" s="164">
        <f>COUNTIF($EM13:$EQ13,4)</f>
        <v/>
      </c>
      <c r="FJ13" s="164">
        <f>COUNTIF($EM13:$EQ13,5)</f>
        <v/>
      </c>
      <c r="FK13" s="164">
        <f>COUNTIF($EM13:$EQ13,6)</f>
        <v/>
      </c>
      <c r="FL13" s="164">
        <f>COUNTIF($FB13:$FC13,1)+IF(IFERROR(INDEX('DADOS_FORMAS'!$AS$2:$AS$21,MATCH(SUBSTITUTE(SUBSTITUTE(SUBSTITUTE($ED13,"~","~~"),"*","~*"),"?","~?"),'DADOS_FORMAS'!$AH$2:$AH$21,0)),"")="",0,IFERROR(N(VLOOKUP(SUBSTITUTE(SUBSTITUTE(SUBSTITUTE(IFERROR(INDEX('DADOS_FORMAS'!$AS$2:$AS$21,MATCH(SUBSTITUTE(SUBSTITUTE(SUBSTITUTE($ED13,"~","~~"),"*","~*"),"?","~?"),'DADOS_FORMAS'!$AH$2:$AH$21,0)),""),"~","~~"),"*","~*"),"?","~?"),'DADOS_RESTRICOES'!$M$2:$Q$54,3,FALSE)=1),0))</f>
        <v/>
      </c>
      <c r="FM13" s="164">
        <f>COUNTIF($FB13:$FC13,2)+IF(IFERROR(INDEX('DADOS_FORMAS'!$AS$2:$AS$21,MATCH(SUBSTITUTE(SUBSTITUTE(SUBSTITUTE($ED13,"~","~~"),"*","~*"),"?","~?"),'DADOS_FORMAS'!$AH$2:$AH$21,0)),"")="",0,IFERROR(N(VLOOKUP(SUBSTITUTE(SUBSTITUTE(SUBSTITUTE(IFERROR(INDEX('DADOS_FORMAS'!$AS$2:$AS$21,MATCH(SUBSTITUTE(SUBSTITUTE(SUBSTITUTE($ED13,"~","~~"),"*","~*"),"?","~?"),'DADOS_FORMAS'!$AH$2:$AH$21,0)),""),"~","~~"),"*","~*"),"?","~?"),'DADOS_RESTRICOES'!$M$2:$Q$54,3,FALSE)=2),0))</f>
        <v/>
      </c>
      <c r="FN13" s="164">
        <f>COUNTIF($EE13:$EH13,"?*")</f>
        <v/>
      </c>
      <c r="FO13" s="164">
        <f>COUNTIF($EI13:$EJ13,"?*")+$EY13</f>
        <v/>
      </c>
      <c r="FP13" s="164">
        <f>SUMPRODUCT($FF13:$FK13,INDEX($Q$2:$V$8,$EB13,0))</f>
        <v/>
      </c>
      <c r="FQ13" s="164">
        <f>$FL13*CEILING($EB13/2,1)+$FM13*$EB13</f>
        <v/>
      </c>
      <c r="FR13" s="164">
        <f>MIN(2*$EB13,$FQ13)</f>
        <v/>
      </c>
      <c r="FS13" s="164">
        <f>MIN($FR13,$FP13-IF($EM13=0,0,INDEX($Q$2:$V$8,$EB13,$EM13)))</f>
        <v/>
      </c>
      <c r="FT13" s="164">
        <f>$FR13-$FS13</f>
        <v/>
      </c>
      <c r="FU13" s="164">
        <f>3*$EB13-$FP13+$FS13</f>
        <v/>
      </c>
      <c r="FV13" s="164">
        <f>MAX(0,$FU13)+$DZ13*$EB13</f>
        <v/>
      </c>
      <c r="FW13" s="164">
        <f>(IF(COUNTIF($KW13:$KZ13,"Salto")&gt;0,1,0)+IF(COUNTIF($KW13:$KZ13,"Queima")&gt;0,1,0)+IF(COUNTIF($KW13:$KZ13,"Estilhaço")&gt;0,1,0))*FLOOR($FV13/2,1)</f>
        <v/>
      </c>
      <c r="FX13" s="164">
        <f>MAX(0,3-SUMPRODUCT($FF13:$FK13,$Q$2:$V$2)+MIN(2,$FL13*1+$FM13*1,SUMPRODUCT($FF13:$FK13,$Q$2:$V$2)-IF($EM13=0,0,INDEX($Q$2:$V$2,1,$EM13))))+$DZ13*1</f>
        <v/>
      </c>
      <c r="FY13" s="164">
        <f>MAX(0,6-SUMPRODUCT($FF13:$FK13,$Q$3:$V$3)+MIN(4,$FL13*1+$FM13*2,SUMPRODUCT($FF13:$FK13,$Q$3:$V$3)-IF($EM13=0,0,INDEX($Q$3:$V$3,1,$EM13))))+$DZ13*2</f>
        <v/>
      </c>
      <c r="FZ13" s="164">
        <f>MAX(0,9-SUMPRODUCT($FF13:$FK13,$Q$4:$V$4)+MIN(6,$FL13*2+$FM13*3,SUMPRODUCT($FF13:$FK13,$Q$4:$V$4)-IF($EM13=0,0,INDEX($Q$4:$V$4,1,$EM13))))+$DZ13*3</f>
        <v/>
      </c>
      <c r="GA13" s="164">
        <f>MAX(0,12-SUMPRODUCT($FF13:$FK13,$Q$5:$V$5)+MIN(8,$FL13*2+$FM13*4,SUMPRODUCT($FF13:$FK13,$Q$5:$V$5)-IF($EM13=0,0,INDEX($Q$5:$V$5,1,$EM13))))+$DZ13*4</f>
        <v/>
      </c>
      <c r="GB13" s="164">
        <f>MAX(0,15-SUMPRODUCT($FF13:$FK13,$Q$6:$V$6)+MIN(10,$FL13*3+$FM13*5,SUMPRODUCT($FF13:$FK13,$Q$6:$V$6)-IF($EM13=0,0,INDEX($Q$6:$V$6,1,$EM13))))+$DZ13*5</f>
        <v/>
      </c>
      <c r="GC13" s="164">
        <f>MAX(0,18-SUMPRODUCT($FF13:$FK13,$Q$7:$V$7)+MIN(12,$FL13*3+$FM13*6,SUMPRODUCT($FF13:$FK13,$Q$7:$V$7)-IF($EM13=0,0,INDEX($Q$7:$V$7,1,$EM13))))+$DZ13*6</f>
        <v/>
      </c>
      <c r="GD13" s="164">
        <f>MAX(0,21-SUMPRODUCT($FF13:$FK13,$Q$8:$V$8)+MIN(14,$FL13*4+$FM13*7,SUMPRODUCT($FF13:$FK13,$Q$8:$V$8)-IF($EM13=0,0,INDEX($Q$8:$V$8,1,$EM13))))+$DZ13*7</f>
        <v/>
      </c>
      <c r="GE13" s="164">
        <f>IF($EZ13=2,3*$FX13&amp;" de vida temp.",IF($EZ13=3,"sem dano",IF($FX13=0,IF($EZ13=1,"sem cura","sem dano"),IF($EZ13=1,"cura ","")&amp;$FX13&amp;"d8")))</f>
        <v/>
      </c>
      <c r="GF13" s="164">
        <f>IF($EZ13=2,3*$FY13&amp;" de vida temp.",IF($EZ13=3,"sem dano",IF($FY13=0,IF($EZ13=1,"sem cura","sem dano"),IF($EZ13=1,"cura ","")&amp;$FY13&amp;"d8")))</f>
        <v/>
      </c>
      <c r="GG13" s="164">
        <f>IF($EZ13=2,3*$FZ13&amp;" de vida temp.",IF($EZ13=3,"sem dano",IF($FZ13=0,IF($EZ13=1,"sem cura","sem dano"),IF($EZ13=1,"cura ","")&amp;$FZ13&amp;"d8")))</f>
        <v/>
      </c>
      <c r="GH13" s="164">
        <f>IF($EZ13=2,3*$GA13&amp;" de vida temp.",IF($EZ13=3,"sem dano",IF($GA13=0,IF($EZ13=1,"sem cura","sem dano"),IF($EZ13=1,"cura ","")&amp;$GA13&amp;"d8")))</f>
        <v/>
      </c>
      <c r="GI13" s="164">
        <f>IF($EZ13=2,3*$GB13&amp;" de vida temp.",IF($EZ13=3,"sem dano",IF($GB13=0,IF($EZ13=1,"sem cura","sem dano"),IF($EZ13=1,"cura ","")&amp;$GB13&amp;"d8")))</f>
        <v/>
      </c>
      <c r="GJ13" s="164">
        <f>IF($EZ13=2,3*$GC13&amp;" de vida temp.",IF($EZ13=3,"sem dano",IF($GC13=0,IF($EZ13=1,"sem cura","sem dano"),IF($EZ13=1,"cura ","")&amp;$GC13&amp;"d8")))</f>
        <v/>
      </c>
      <c r="GK13" s="164">
        <f>IF($EZ13=2,3*$GD13&amp;" de vida temp.",IF($EZ13=3,"sem dano",IF($GD13=0,IF($EZ13=1,"sem cura","sem dano"),IF($EZ13=1,"cura ","")&amp;$GD13&amp;"d8")))</f>
        <v/>
      </c>
      <c r="GL13" s="164">
        <f>IF($EK13=0,"",TEXTJOIN(" · ",TRUE,IF($EK13=0,"",TEXTJOIN(" · ",TRUE,IF($EK13=0,"",TEXTJOIN(" · ",TRUE,IF(AND($DZ13=1,$EA13&gt;$HM$9),"O nível "&amp;$HM$2&amp;" dá "&amp;$HM$9&amp;" Liberação Máxima",""),IF($EB13&gt;$HM$4,"Classe "&amp;$EB13&amp;": o nível "&amp;$HM$2&amp;" libera até a "&amp;$HM$4,""),IF($ER13=1,"Família Fechada: a Forma "&amp;$ED13,""),IF($ES13=1,"Família Fechada: "&amp;$EE13,""),IF($ET13=1,"Família Fechada: "&amp;$EF13,""),IF($EU13=1,"Família Fechada: "&amp;$EG13,""),IF($EV13=1,"Família Fechada: "&amp;$EH13,""),IF($FN13&gt;INDEX($W$2:$W$8,$EB13),$FN13&amp;" Melhorias: a Classe "&amp;$EB13&amp;" aceita "&amp;INDEX($W$2:$W$8,$EB13),""),IF($FO13&gt;2,$FO13&amp;" Restrições"&amp;IF($EY13=1,", contando a que a Forma "&amp;$ED13&amp;" já traz","")&amp;": o limite é 2",""),IF($FU13&lt;0,"Orçamento estourado: faltam "&amp;(-$FU13)&amp;IF($FU13&lt;-1," pontos"," ponto"),""),IF(IFERROR(VLOOKUP(SUBSTITUTE(SUBSTITUTE(SUBSTITUTE($EI13,"~","~~"),"*","~*"),"?","~?"),'DADOS_RESTRICOES'!$M$2:$Q$54,4,FALSE),0)+IFERROR(VLOOKUP(SUBSTITUTE(SUBSTITUTE(SUBSTITUTE($EJ13,"~","~~"),"*","~*"),"?","~?"),'DADOS_RESTRICOES'!$M$2:$Q$54,4,FALSE),0)&gt;1,$FD13&amp;" e "&amp;$FE13&amp;" são as duas de frequência",""),IF(AND((COUNTIF($KW13:$KZ13,"Rápido")+COUNTIF($FD13:$FE13,"Rápido"))&gt;0,(COUNTIF($EE13:$EH13,"Atrasar")+COUNTIF($FD13:$FE13,"Atrasar"))&gt;0),"Rápido não entra com Atrasar",""),IF(AND((COUNTIF($KW13:$KZ13,"Reação")+COUNTIF($FD13:$FE13,"Reação"))&gt;0,(COUNTIF($KW13:$KZ13,"Rápido")+COUNTIF($FD13:$FE13,"Rápido"))&gt;0),"Reação não entra com Rápido",""),IF(AND((COUNTIF($KW13:$KZ13,"Reação")+COUNTIF($FD13:$FE13,"Reação"))&gt;0,(COUNTIF($KW13:$KZ13,"Armado")+COUNTIF($FD13:$FE13,"Armado"))&gt;0),"Reação não entra com Armado",""),IF(AND((COUNTIF($KW13:$KZ13,"Reação")+COUNTIF($FD13:$FE13,"Reação"))&gt;0,(COUNTIF($EE13:$EH13,"Atrasar")+COUNTIF($FD13:$FE13,"Atrasar"))&gt;0),"Reação não entra com Atrasar",""),IF(AND((COUNTIF($KW13:$KZ13,"Reação")+COUNTIF($FD13:$FE13,"Reação"))&gt;0,(COUNTIF($EE13:$EH13,"Parado")+COUNTIF($FD13:$FE13,"Parado"))&gt;0),"Reação não entra com Parado",""),IF(AND((COUNTIF($EE13:$EH13,"Atrasar")+COUNTIF($FD13:$FE13,"Atrasar"))&gt;0,(COUNTIF($EE13:$EH13,"Parado")+COUNTIF($FD13:$FE13,"Parado"))&gt;0),"Atrasar não entra com Parado",""),IF(AND((COUNTIF($KW13:$KZ13,"Armado")+COUNTIF($FD13:$FE13,"Armado"))&gt;0,(COUNTIF($EE13:$EH13,"Carregar")+COUNTIF($FD13:$FE13,"Carregar"))&gt;0),"Armado não entra com Carregar",""),IF(AND(COUNTIF($FD13:$FE13,"Corpo a Corpo")&gt;0,$EY13=0,OR($LB13="Cone",$LB13="Linha")),"Corpo a Corpo não entra em "&amp;$ED13,""),IF(AND(COUNTIF($FD13:$FE13,"Corpo a Corpo")&gt;0,$LC13="Corpo a Corpo"),"A Forma "&amp;$ED13&amp;" já traz o Corpo a Corpo",""),IF(AND(COUNTIF($FD13:$FE13,"Tudo ou Nada")&gt;0,$FA13=0),"Tudo ou Nada só entra em feitiço de Teste de Resistência",""),IF(AND(COUNTIF($KW13:$KZ13,"Inescapável")&gt;0,OR($FN13&gt;1,$FO13&gt;0)),"Inescapável não aceita outra peça",""),IF(AND($DZ13=1,$EB13&lt;3),"Liberação Máxima é de Classe 3 ou mais",""),IF(AND($DZ13=1,OR($EZ13=1,$EZ13=2)),"Liberação Máxima não serve para cura",""),IF(AND($DZ13=1,COUNTIF($KW13:$KZ13,"Inescapável")+COUNTIF($KW13:$KZ13,"Toca a Alma")&gt;0),"Esta peça não entra numa Liberação Máxima",""),IF($FV13*IF(COUNTIF($KW13:$KZ13,"Remate")&gt;0,1.25,1)+$FW13&gt;4*$EB13,($FV13*IF(COUNTIF($KW13:$KZ13,"Remate")&gt;0,1.25,1)+$FW13)&amp;" dados somando repetições"&amp;IF(COUNTIF($KW13:$KZ13,"Remate")&gt;0," e o Remate","")&amp;": o teto da Classe "&amp;$EB13&amp;" é "&amp;4*$EB13,""))),IF(AND($EE13&lt;&gt;"",COUNTIF('DADOS_MELHORIAS'!$O$2:$O$113,SUBSTITUTE(SUBSTITUTE(SUBSTITUTE($EE13,"~","~~"),"*","~*"),"?","~?"))=0),"Melhoria não cadastrada ou com erro: "&amp;$EE13,""),IF(AND($EF13&lt;&gt;"",COUNTIF('DADOS_MELHORIAS'!$O$2:$O$113,SUBSTITUTE(SUBSTITUTE(SUBSTITUTE($EF13,"~","~~"),"*","~*"),"?","~?"))=0),"Melhoria não cadastrada ou com erro: "&amp;$EF13,""),IF(AND($EG13&lt;&gt;"",COUNTIF('DADOS_MELHORIAS'!$O$2:$O$113,SUBSTITUTE(SUBSTITUTE(SUBSTITUTE($EG13,"~","~~"),"*","~*"),"?","~?"))=0),"Melhoria não cadastrada ou com erro: "&amp;$EG13,""),IF(AND($EH13&lt;&gt;"",COUNTIF('DADOS_MELHORIAS'!$O$2:$O$113,SUBSTITUTE(SUBSTITUTE(SUBSTITUTE($EH13,"~","~~"),"*","~*"),"?","~?"))=0),"Melhoria não cadastrada ou com erro: "&amp;$EH13,""),IF(AND($EI13&lt;&gt;"",COUNTIF('DADOS_RESTRICOES'!$M$2:$M$54,SUBSTITUTE(SUBSTITUTE(SUBSTITUTE($EI13,"~","~~"),"*","~*"),"?","~?"))=0),"Restrição não cadastrada ou com erro: "&amp;$EI13,""),IF(AND($EJ13&lt;&gt;"",COUNTIF('DADOS_RESTRICOES'!$M$2:$M$54,SUBSTITUTE(SUBSTITUTE(SUBSTITUTE($EJ13,"~","~~"),"*","~*"),"?","~?"))=0),"Restrição não cadastrada ou com erro: "&amp;$EJ13,""))),IF(AND($ED13&lt;&gt;"",COUNTIF('DADOS_FORMAS'!$AH$2:$AH$21,SUBSTITUTE(SUBSTITUTE(SUBSTITUTE($ED13,"~","~~"),"*","~*"),"?","~?"))=0),"Forma não cadastrada ou com erro: "&amp;$ED13,""),IF(AND(IFERROR(INDEX('DADOS_FORMAS'!$AS$2:$AS$21,MATCH(SUBSTITUTE(SUBSTITUTE(SUBSTITUTE($ED13,"~","~~"),"*","~*"),"?","~?"),'DADOS_FORMAS'!$AH$2:$AH$21,0)),"")&lt;&gt;"",OR(IFERROR(VLOOKUP(SUBSTITUTE(SUBSTITUTE(SUBSTITUTE(IFERROR(INDEX('DADOS_FORMAS'!$AS$2:$AS$21,MATCH(SUBSTITUTE(SUBSTITUTE(SUBSTITUTE($ED13,"~","~~"),"*","~*"),"?","~?"),'DADOS_FORMAS'!$AH$2:$AH$21,0)),""),"~","~~"),"*","~*"),"?","~?"),'DADOS_RESTRICOES'!$M$2:$Q$54,2,FALSE),"")=$FD13,IFERROR(VLOOKUP(SUBSTITUTE(SUBSTITUTE(SUBSTITUTE(IFERROR(INDEX('DADOS_FORMAS'!$AS$2:$AS$21,MATCH(SUBSTITUTE(SUBSTITUTE(SUBSTITUTE($ED13,"~","~~"),"*","~*"),"?","~?"),'DADOS_FORMAS'!$AH$2:$AH$21,0)),""),"~","~~"),"*","~*"),"?","~?"),'DADOS_RESTRICOES'!$M$2:$Q$54,2,FALSE),"")=$FE13)),"Restrição repetida, contando a embutida",""),IF(IF(IFERROR(INDEX('DADOS_FORMAS'!$AS$2:$AS$21,MATCH(SUBSTITUTE(SUBSTITUTE(SUBSTITUTE($ED13,"~","~~"),"*","~*"),"?","~?"),'DADOS_FORMAS'!$AH$2:$AH$21,0)),"")="",0,IFERROR(N(VLOOKUP(SUBSTITUTE(SUBSTITUTE(SUBSTITUTE(IFERROR(INDEX('DADOS_FORMAS'!$AS$2:$AS$21,MATCH(SUBSTITUTE(SUBSTITUTE(SUBSTITUTE($ED13,"~","~~"),"*","~*"),"?","~?"),'DADOS_FORMAS'!$AH$2:$AH$21,0)),""),"~","~~"),"*","~*"),"?","~?"),'DADOS_RESTRICOES'!$M$2:$Q$54,4,FALSE)=1),0))+IF($EI13="",0,IFERROR(N(VLOOKUP(SUBSTITUTE(SUBSTITUTE(SUBSTITUTE($EI13,"~","~~"),"*","~*"),"?","~?"),'DADOS_RESTRICOES'!$M$2:$Q$54,4,FALSE)=1),0))+IF($EJ13="",0,IFERROR(N(VLOOKUP(SUBSTITUTE(SUBSTITUTE(SUBSTITUTE($EJ13,"~","~~"),"*","~*"),"?","~?"),'DADOS_RESTRICOES'!$M$2:$Q$54,4,FALSE)=1),0))&gt;1,"Duas Restrições de frequência, contando a embutida",""),IF(AND(IFERROR(VLOOKUP(SUBSTITUTE(SUBSTITUTE(SUBSTITUTE(IFERROR(INDEX('DADOS_FORMAS'!$AS$2:$AS$21,MATCH(SUBSTITUTE(SUBSTITUTE(SUBSTITUTE($ED13,"~","~~"),"*","~*"),"?","~?"),'DADOS_FORMAS'!$AH$2:$AH$21,0)),""),"~","~~"),"*","~*"),"?","~?"),'DADOS_RESTRICOES'!$M$2:$Q$54,2,FALSE),"")="Tudo ou Nada",$FA13=0),"Tudo ou Nada exige TR",""),IF(AND(IFERROR(VLOOKUP(SUBSTITUTE(SUBSTITUTE(SUBSTITUTE(IFERROR(INDEX('DADOS_FORMAS'!$AS$2:$AS$21,MATCH(SUBSTITUTE(SUBSTITUTE(SUBSTITUTE($ED13,"~","~~"),"*","~*"),"?","~?"),'DADOS_FORMAS'!$AH$2:$AH$21,0)),""),"~","~~"),"*","~*"),"?","~?"),'DADOS_RESTRICOES'!$M$2:$Q$54,2,FALSE),"")="Corpo a Corpo",OR($LB13="Cone",$LB13="Linha")),"Corpo a Corpo não entra em Cone/Linha","")))</f>
        <v/>
      </c>
      <c r="GM13" s="164">
        <f>IF($GL13="",0,(LEN($GL13)-LEN(SUBSTITUTE($GL13," · ","")))/3+1)</f>
        <v/>
      </c>
      <c r="GN13" s="164">
        <f>IF($EK13=0,"",TEXTJOIN(" · ",TRUE,IF($FQ13&gt;2*$EB13,"A devolução parou no teto de "&amp;2*$EB13,""),IF($FT13&gt;0,"Devolução perdida: "&amp;$FT13&amp;IF($FT13&gt;1," pontos"," ponto")&amp;" sem Melhoria para pagar",""),IF(AND($EW13&gt;0,$FV13=0),"Controle sem dano: uma rodada a mais e CD +2",""),IF(AND($EW13&gt;0,$FV13&gt;0,$FV13&lt;=$EB13),"Controle com saldo até a Classe: uma rodada a mais","")))</f>
        <v/>
      </c>
      <c r="GO13" s="164">
        <f>IF($GN13="",0,(LEN($GN13)-LEN(SUBSTITUTE($GN13," · ","")))/3+1)</f>
        <v/>
      </c>
      <c r="GP13" s="164">
        <f>IF($EK13=0,IF($FN13+$FO13-$EY13&gt;0,"Dê um nome",""),IF($GM13&gt;0,"⚠ "&amp;$GM13&amp;IF($GM13&gt;1," erros"," erro"),IF($GO13&gt;0,"! "&amp;$GO13&amp;IF($GO13&gt;1," avisos"," aviso"),"Na regra")))</f>
        <v/>
      </c>
      <c r="GQ13" s="164">
        <f>IF($EK13=0,"",IF($GM13+$GO13=0,"Dentro das regras que a ficha confere",$GL13&amp;IF(AND($GM13&gt;0,$GO13&gt;0)," · ","")&amp;$GN13))</f>
        <v/>
      </c>
      <c r="GR13" s="164">
        <f>IF($EK13=0,"",IF($DZ13=1,CEILING(4.5*$EB13,1),3*$EB13)&amp;" PE")</f>
        <v/>
      </c>
      <c r="GS13" s="164">
        <f>IF($EK13=0,"",IF($DZ13=1,"Rodada inteira",IF(COUNTIF($LD13:$LF13,"Atrasar")&gt;0,IF(COUNTIF($LD13:$LF13,"Carregar")&gt;0,"Rodada +1 turno","Rodada inteira"),IF(COUNTIF($KW13:$KZ13,"Rápido")&gt;0,"Bônus",IF(COUNTIF($KW13:$KZ13,"Reação")&gt;0,"Reação","Padrão"))&amp;IF(COUNTIF($LD13:$LF13,"Carregar")&gt;0," +1 turno",""))))</f>
        <v/>
      </c>
      <c r="GT13" s="164">
        <f>IF(OR($EK13=0,$EL13=0),"",IF(COUNTIF($KW13:$KZ13,"Inescapável")&gt;0,"Automático",IF(COUNTIF($KW13:$KZ13,"Certeiro")&gt;0,"TR para metade",IF(AND($EX13&gt;0,$FA13=0,INDEX('DADOS_FORMAS'!$FQ$2:$FQ$21,$EL13)="Acerto"),"Acerto + TR",INDEX('DADOS_FORMAS'!$FQ$2:$FQ$21,$EL13)))))</f>
        <v/>
      </c>
      <c r="GU13" s="164">
        <f>IF(OR($EK13=0,$EL13=0),"",IF(OR($EZ13&gt;=2,$FV13=0),UPPER(LEFT(INDEX($GE13:$GK13,1,$EB13),1))&amp;MID(INDEX($GE13:$GK13,1,$EB13),2,99),UPPER(LEFT(INDEX($GE13:$GK13,1,$EB13),1))&amp;MID(INDEX($GE13:$GK13,1,$EB13),2,99)&amp;" = "&amp;FLOOR($FV13*4.5,1)&amp;IF($FW13&gt;0," · +"&amp;$FW13&amp;"d8","")))</f>
        <v/>
      </c>
      <c r="GV13" s="164">
        <f>COUNTIF($KW13:$KZ13,"Longe")+3*COUNTIF($KW13:$KZ13,"Muito Longe")</f>
        <v/>
      </c>
      <c r="GW13" s="164">
        <f>COUNTIF($KW13:$KZ13,"Maior")+3*COUNTIF($KW13:$KZ13,"Muito Maior")</f>
        <v/>
      </c>
      <c r="GX13" s="164">
        <f>IF($EL13=0,0,CHOOSE(1+INDEX('DADOS_FORMAS'!$FS$2:$FS$21,$EL13),0,$GV13,$GW13,$GV13+$GW13))</f>
        <v/>
      </c>
      <c r="GY13" s="164">
        <f>IF($EL13=0,0,CHOOSE(1+INDEX('DADOS_FORMAS'!$FT$2:$FT$21,$EL13),0,$GV13,$GW13,$GV13+$GW13))</f>
        <v/>
      </c>
      <c r="GZ13" s="164">
        <f>IF(OR($EK13=0,$EL13=0),"",INDEX('DADOS_FORMAS'!$GZ$2:$HE$61,($EL13-1)*3+IF($EB13&gt;=6,3,2),1+MIN(5,$GX13))&amp;INDEX('DADOS_FORMAS'!$HF$2:$HK$61,($EL13-1)*3+IF($EB13&gt;=6,3,2),1+MIN(5,$GY13))&amp;IF(INDEX('DADOS_FORMAS'!$FU$2:$FU$21,$EL13)=1,IF(COUNTIF($KW13:$KZ13,"Mais Um")&gt;0," · +"&amp;COUNTIF($KW13:$KZ13,"Mais Um")&amp;IF(COUNTIF($KW13:$KZ13,"Mais Um")&gt;1," alvos"," alvo"),"")&amp;IF(COUNTIF($KW13:$KZ13,"Rajada")&gt;0," · "&amp;($EB13+1)&amp;" tiros",""),""))</f>
        <v/>
      </c>
      <c r="HA13" s="164">
        <f>IF($EK13=0,"",3*$EB13&amp;" − "&amp;$FP13&amp;" + "&amp;$FS13&amp;IF($DZ13=1," + "&amp;$EB13,"")&amp;" = "&amp;$FV13&amp;"d8 · teto "&amp;4*$EB13&amp;IF($EY13=1," · a Forma devolve "&amp;$EB13,"")&amp;IF($FT13&gt;0," · perde "&amp;$FT13,""))</f>
        <v/>
      </c>
      <c r="HB13" s="164">
        <f>IF($EK13=0,"",IF($EB13&gt;=$HM$4,"Já está na maior Classe que o nível liberou",TEXTJOIN(" · ",TRUE,IF(AND(2&gt;$EB13,2&lt;=$HM$4),"2 → "&amp;$GF13&amp;", "&amp;IF($DZ13=1,9,6)&amp;" PE",""),IF(AND(3&gt;$EB13,3&lt;=$HM$4),"3 → "&amp;$GG13&amp;", "&amp;IF($DZ13=1,14,9)&amp;" PE",""),IF(AND(4&gt;$EB13,4&lt;=$HM$4),"4 → "&amp;$GH13&amp;", "&amp;IF($DZ13=1,18,12)&amp;" PE",""),IF(AND(5&gt;$EB13,5&lt;=$HM$4),"5 → "&amp;$GI13&amp;", "&amp;IF($DZ13=1,23,15)&amp;" PE",""),IF(AND(6&gt;$EB13,6&lt;=$HM$4),"6 → "&amp;$GJ13&amp;", "&amp;IF($DZ13=1,27,18)&amp;" PE",""),IF(AND(7&gt;$EB13,7&lt;=$HM$4),"7 → "&amp;$GK13&amp;", "&amp;IF($DZ13=1,32,21)&amp;" PE",""))))</f>
        <v/>
      </c>
      <c r="HC13" s="164">
        <f>IF(OR($EK13=0,$EN13=0),"","−"&amp;INDEX($Q$2:$V$8,$EB13,$EN13)&amp;" · "&amp;CHOOSE($EN13,"Leve","Média","Pesada","Leve · Livre","Média · Livre","Pesada · Livre"))</f>
        <v/>
      </c>
      <c r="HD13" s="164">
        <f>IF(OR($EK13=0,$EO13=0),"","−"&amp;INDEX($Q$2:$V$8,$EB13,$EO13)&amp;" · "&amp;CHOOSE($EO13,"Leve","Média","Pesada","Leve · Livre","Média · Livre","Pesada · Livre"))</f>
        <v/>
      </c>
      <c r="HE13" s="164">
        <f>IF(OR($EK13=0,$EP13=0),"","−"&amp;INDEX($Q$2:$V$8,$EB13,$EP13)&amp;" · "&amp;CHOOSE($EP13,"Leve","Média","Pesada","Leve · Livre","Média · Livre","Pesada · Livre"))</f>
        <v/>
      </c>
      <c r="HF13" s="164">
        <f>IF(OR($EK13=0,$EQ13=0),"","−"&amp;INDEX($Q$2:$V$8,$EB13,$EQ13)&amp;" · "&amp;CHOOSE($EQ13,"Leve","Média","Pesada","Leve · Livre","Média · Livre","Pesada · Livre"))</f>
        <v/>
      </c>
      <c r="HG13" s="164">
        <f>IF(OR($EK13=0,$EI13=""),"","+"&amp;IF($FB13=1,CEILING($EB13/2,1),$EB13))</f>
        <v/>
      </c>
      <c r="HH13" s="164">
        <f>IF(OR($EK13=0,$EJ13=""),"","+"&amp;IF($FC13=1,CEILING($EB13/2,1),$EB13))</f>
        <v/>
      </c>
      <c r="HI13" s="164">
        <f>'FICHA AMALDIÇOADA'!$P$129&amp;""</f>
        <v/>
      </c>
      <c r="HJ13" s="164">
        <f>IF(AND($EK13=1,$DZ13=0),COUNTIFS($EK$2:$EK13,1,$DZ$2:$DZ13,0),"")</f>
        <v/>
      </c>
      <c r="HL13" s="162" t="inlineStr">
        <is>
          <t>espaços</t>
        </is>
      </c>
      <c r="HM13" s="164">
        <f>$HM$12</f>
        <v/>
      </c>
      <c r="HO13" s="162" t="inlineStr">
        <is>
          <t>Talento 12 · Leque</t>
        </is>
      </c>
      <c r="HP13" s="164">
        <f>'FICHA AMALDIÇOADA'!$D$426&amp;""</f>
        <v/>
      </c>
      <c r="HQ13" s="164">
        <f>IFERROR(VLOOKUP(SUBSTITUTE(SUBSTITUTE(SUBSTITUTE($HP13,"~","~~"),"*","~*"),"?","~?"),'DADOS_TALENTOS'!$AQ$2:$AW$34,2,FALSE),0)</f>
        <v/>
      </c>
      <c r="HR13" s="164">
        <f>IFERROR(VLOOKUP($HQ13,$CA$2:$CB$4,2,FALSE),0)</f>
        <v/>
      </c>
      <c r="HS13" s="164">
        <f>IFERROR(VLOOKUP(SUBSTITUTE(SUBSTITUTE(SUBSTITUTE($HP13,"~","~~"),"*","~*"),"?","~?"),'DADOS_TALENTOS'!$AQ$2:$AW$34,3,FALSE),"")</f>
        <v/>
      </c>
      <c r="HT13" s="164">
        <f>IF($HQ13=0,"",IF($HR13&gt;$HM$2,"⚠ Nível "&amp;$HR13,"CE "&amp;$HQ13))&amp;IF('DADOS_AM'!$LO13="",""," · ⚠ "&amp;'DADOS_AM'!$LO13)</f>
        <v/>
      </c>
      <c r="HU13" s="164">
        <f>IF($HQ13=0,"",IF(7&gt;$HM$8,"⚠ Vaga","Grátis"))</f>
        <v/>
      </c>
      <c r="HV13" s="164">
        <f>'FICHA AMALDIÇOADA'!$E$431&amp;""</f>
        <v/>
      </c>
      <c r="HW13" s="164">
        <f>IF($HP13="","",COUNTIF($HP$2:$HP13,"?*"))</f>
        <v/>
      </c>
      <c r="HY13" s="162" t="inlineStr">
        <is>
          <t>Aptidão 12</t>
        </is>
      </c>
      <c r="HZ13" s="164">
        <f>'FICHA AMALDIÇOADA'!$P$505&amp;""</f>
        <v/>
      </c>
      <c r="IA13" s="164">
        <f>IF($HZ13="","","Requisito: "&amp;IFERROR(VLOOKUP(SUBSTITUTE(SUBSTITUTE(SUBSTITUTE($HZ13,"~","~~"),"*","~*"),"?","~?"),'DADOS_APTIDOES'!$BF$2:$BO$45,2,FALSE),""))&amp;IF($LK13="",""," · ⚠ "&amp;$LK13)</f>
        <v/>
      </c>
      <c r="IB13" s="164">
        <f>IF($HZ13="","",IFERROR(IF(ISNUMBER(VLOOKUP(SUBSTITUTE(SUBSTITUTE(SUBSTITUTE($HZ13,"~","~~"),"*","~*"),"?","~?"),'DADOS_APTIDOES'!$BF$2:$BO$45,3,FALSE)),"CE "&amp;VLOOKUP(SUBSTITUTE(SUBSTITUTE(SUBSTITUTE($HZ13,"~","~~"),"*","~*"),"?","~?"),'DADOS_APTIDOES'!$BF$2:$BO$45,3,FALSE),VLOOKUP(SUBSTITUTE(SUBSTITUTE(SUBSTITUTE($HZ13,"~","~~"),"*","~*"),"?","~?"),'DADOS_APTIDOES'!$BF$2:$BO$45,3,FALSE)),""))</f>
        <v/>
      </c>
      <c r="IC13" s="164">
        <f>IF($HZ13="","",IFERROR(VLOOKUP(SUBSTITUTE(SUBSTITUTE(SUBSTITUTE($HZ13,"~","~~"),"*","~*"),"?","~?"),'DADOS_APTIDOES'!$BF$2:$BO$45,4,FALSE),""))</f>
        <v/>
      </c>
      <c r="ID13" s="164">
        <f>IF($HZ13="","",IFERROR(VLOOKUP(SUBSTITUTE(SUBSTITUTE(SUBSTITUTE($HZ13,"~","~~"),"*","~*"),"?","~?"),'DADOS_APTIDOES'!$BF$2:$BO$45,5,FALSE),""))</f>
        <v/>
      </c>
      <c r="IE13" s="164">
        <f>'FICHA AMALDIÇOADA'!$Q$522&amp;""</f>
        <v/>
      </c>
      <c r="IF13" s="164">
        <f>IF($HZ13="","",COUNTIF($HZ$2:$HZ13,"?*"))</f>
        <v/>
      </c>
      <c r="JH13" s="164" t="n">
        <v>12</v>
      </c>
      <c r="JI13" s="164">
        <f>IFERROR(MATCH(12,$HJ$2:$HJ$37,0),0)</f>
        <v/>
      </c>
      <c r="JJ13" s="164">
        <f>IF($JI13=0,"",INDEX($EB$2:$EB$37,$JI13))</f>
        <v/>
      </c>
      <c r="JK13" s="164">
        <f>IF($JI13=0,"",INDEX($EC$2:$EC$37,$JI13))</f>
        <v/>
      </c>
      <c r="JL13" s="164">
        <f>IF($JI13=0,"",INDEX($GR$2:$GR$37,$JI13))</f>
        <v/>
      </c>
      <c r="JM13" s="164">
        <f>IF($JI13=0,"",INDEX($ED$2:$ED$37,$JI13))</f>
        <v/>
      </c>
      <c r="JN13" s="164">
        <f>IF($JI13=0,"",INDEX($GT$2:$GT$37,$JI13))</f>
        <v/>
      </c>
      <c r="JO13" s="164">
        <f>IF($JI13=0,"",INDEX($HI$2:$HI$37,$JI13))</f>
        <v/>
      </c>
      <c r="KF13" s="162" t="inlineStr">
        <is>
          <t>Talento 10</t>
        </is>
      </c>
      <c r="KG13" s="164">
        <f>IFERROR(MATCH(10,$HW$2:$HW$13,0),0)</f>
        <v/>
      </c>
      <c r="KH13" s="164">
        <f>IF($KG13=0,"",IF(INDEX($HQ$2:$HQ$13,$KG13)=0,"","CE "&amp;INDEX($HQ$2:$HQ$13,$KG13)))</f>
        <v/>
      </c>
      <c r="KI13" s="164">
        <f>IF($KG13=0,"",INDEX($HP$2:$HP$13,$KG13))</f>
        <v/>
      </c>
      <c r="KJ13" s="164">
        <f>IF($KG13=0,"",IF(INDEX($HV$2:$HV$13,$KG13)&lt;&gt;"",INDEX($HV$2:$HV$13,$KG13),IF(IFERROR(VLOOKUP(SUBSTITUTE(SUBSTITUTE(SUBSTITUTE(INDEX($HP$2:$HP$13,$KG13),"~","~~"),"*","~*"),"?","~?"),'DADOS_TALENTOS'!$AQ$2:$AW$34,7,FALSE),"")&lt;&gt;"","Do livro: "&amp;IFERROR(VLOOKUP(SUBSTITUTE(SUBSTITUTE(SUBSTITUTE(INDEX($HP$2:$HP$13,$KG13),"~","~~"),"*","~*"),"?","~?"),'DADOS_TALENTOS'!$AQ$2:$AW$34,7,FALSE),""),"")))</f>
        <v/>
      </c>
      <c r="KL13" s="162" t="inlineStr">
        <is>
          <t>Aptidão 10</t>
        </is>
      </c>
      <c r="KM13" s="164">
        <f>IFERROR(MATCH(10,$IF$2:$IF$13,0),0)</f>
        <v/>
      </c>
      <c r="KN13" s="164">
        <f>IF($KM13=0,"",INDEX($IB$2:$IB$13,$KM13))</f>
        <v/>
      </c>
      <c r="KO13" s="164">
        <f>IF($KM13=0,"",INDEX($HZ$2:$HZ$13,$KM13))</f>
        <v/>
      </c>
      <c r="KP13" s="164">
        <f>IF($KM13=0,"",IF(INDEX($IE$2:$IE$13,$KM13)&lt;&gt;"",INDEX($IE$2:$IE$13,$KM13),IF(IFERROR(VLOOKUP(SUBSTITUTE(SUBSTITUTE(SUBSTITUTE(INDEX($HZ$2:$HZ$13,$KM13),"~","~~"),"*","~*"),"?","~?"),'DADOS_APTIDOES'!$BF$2:$BO$45,10,FALSE),"")&lt;&gt;"","Do livro: "&amp;IFERROR(VLOOKUP(SUBSTITUTE(SUBSTITUTE(SUBSTITUTE(INDEX($HZ$2:$HZ$13,$KM13),"~","~~"),"*","~*"),"?","~?"),'DADOS_APTIDOES'!$BF$2:$BO$45,10,FALSE),""),"")))</f>
        <v/>
      </c>
      <c r="KR13" s="162" t="inlineStr">
        <is>
          <t>par 8</t>
        </is>
      </c>
      <c r="KS13" s="164">
        <f>UPPER(INDEX($D$3:$G$3,1,$A$2))&amp;" 25 A 30"</f>
        <v/>
      </c>
      <c r="KU13" s="162" t="inlineStr">
        <is>
          <t>J19</t>
        </is>
      </c>
      <c r="KV13" s="164">
        <f>IF(DADOS_AM!$HM$44="","",DADOS_AM!$HM$44&amp;" · "&amp;"d20 + "&amp;(DADOS_AM!$HM$3+DADOS_AM!$HM$47+IFERROR(VALUE(FICHA!$W$63&amp;""),0))&amp;" · CD "&amp;(8+DADOS_AM!$HM$3+DADOS_AM!$HM$47+IFERROR(VALUE(FICHA!$L$63&amp;""),0)))</f>
        <v/>
      </c>
      <c r="KW13">
        <f>IF($EE13="","",IFERROR(VLOOKUP(SUBSTITUTE(SUBSTITUTE(SUBSTITUTE($EE13,"~","~~"),"*","~*"),"?","~?"),'DADOS_MELHORIAS'!$O$2:$X$113,10,FALSE),$EE13))</f>
        <v/>
      </c>
      <c r="KX13">
        <f>IF($EF13="","",IFERROR(VLOOKUP(SUBSTITUTE(SUBSTITUTE(SUBSTITUTE($EF13,"~","~~"),"*","~*"),"?","~?"),'DADOS_MELHORIAS'!$O$2:$X$113,10,FALSE),$EF13))</f>
        <v/>
      </c>
      <c r="KY13">
        <f>IF($EG13="","",IFERROR(VLOOKUP(SUBSTITUTE(SUBSTITUTE(SUBSTITUTE($EG13,"~","~~"),"*","~*"),"?","~?"),'DADOS_MELHORIAS'!$O$2:$X$113,10,FALSE),$EG13))</f>
        <v/>
      </c>
      <c r="KZ13">
        <f>IF($EH13="","",IFERROR(VLOOKUP(SUBSTITUTE(SUBSTITUTE(SUBSTITUTE($EH13,"~","~~"),"*","~*"),"?","~?"),'DADOS_MELHORIAS'!$O$2:$X$113,10,FALSE),$EH13))</f>
        <v/>
      </c>
      <c r="LB13">
        <f>IFERROR(INDEX('DADOS_FORMAS'!$BJ$2:$BJ$21,MATCH(SUBSTITUTE(SUBSTITUTE(SUBSTITUTE($ED13,"~","~~"),"*","~*"),"?","~?"),'DADOS_FORMAS'!$AH$2:$AH$21,0)),"")</f>
        <v/>
      </c>
      <c r="LC13">
        <f>IFERROR(VLOOKUP(SUBSTITUTE(SUBSTITUTE(SUBSTITUTE(IFERROR(INDEX('DADOS_FORMAS'!$AS$2:$AS$21,MATCH(SUBSTITUTE(SUBSTITUTE(SUBSTITUTE($ED13,"~","~~"),"*","~*"),"?","~?"),'DADOS_FORMAS'!$AH$2:$AH$21,0)),""),"~","~~"),"*","~*"),"?","~?"),'DADOS_RESTRICOES'!$M$2:$Q$54,2,FALSE),"")</f>
        <v/>
      </c>
      <c r="LD13">
        <f>$FD13</f>
        <v/>
      </c>
      <c r="LE13">
        <f>$FE13</f>
        <v/>
      </c>
      <c r="LF13">
        <f>$LC13</f>
        <v/>
      </c>
      <c r="LH13">
        <f>'FICHA AMALDIÇOADA'!$P$505&amp;""</f>
        <v/>
      </c>
      <c r="LI13">
        <f>IF($LH13="","",IF(IFERROR(INDEX('DADOS_APTIDOES'!$X$2:$X$45,MATCH(SUBSTITUTE(SUBSTITUTE(SUBSTITUTE($LH13,"~","~~"),"*","~*"),"?","~?"),'DADOS_APTIDOES'!$O$2:$O$45,0)),"")="",$LH13,IFERROR(INDEX('DADOS_APTIDOES'!$X$2:$X$45,MATCH(SUBSTITUTE(SUBSTITUTE(SUBSTITUTE($LH13,"~","~~"),"*","~*"),"?","~?"),'DADOS_APTIDOES'!$O$2:$O$45,0)),"")))</f>
        <v/>
      </c>
      <c r="LJ13">
        <f>IF(LEFT($LI13,16)="Aptidão Própria (","Aptidão Própria",IF(LEFT($LI13,15)="Bênção Própria (","Bênção Própria",$LI13))</f>
        <v/>
      </c>
      <c r="LK13">
        <f>IF($LH13="","",TEXTJOIN(" · ",TRUE,$LP13:$MJ13))</f>
        <v/>
      </c>
      <c r="LL13">
        <f>IF($LH13="",0,IF(IFERROR(INDEX('DADOS_APTIDOES'!$W$2:$W$45,MATCH(SUBSTITUTE(SUBSTITUTE(SUBSTITUTE($LH13,"~","~~"),"*","~*"),"?","~?"),'DADOS_APTIDOES'!$O$2:$O$45,0)),"")="Gratuita",0,1))</f>
        <v/>
      </c>
      <c r="LO13">
        <f>IF('FICHA AMALDIÇOADA'!$D$426="","",TEXTJOIN(" · ",TRUE,IF(COUNTIF('DADOS_TALENTOS'!$M$2:$M$34,SUBSTITUTE(SUBSTITUTE(SUBSTITUTE('FICHA AMALDIÇOADA'!$D$426,"~","~~"),"*","~*"),"?","~?"))=0,"Talento não cadastrado ou com erro",""),IF(COUNTIF('DADOS_TALENTOS'!$AV$2:$AV$34,SUBSTITUTE(SUBSTITUTE(SUBSTITUTE('FICHA AMALDIÇOADA'!$D$426,"~","~~"),"*","~*"),"?","~?"))=0,"Talento incompatível com a rota","")))</f>
        <v/>
      </c>
      <c r="LP13">
        <f>IF(COUNTIF('DADOS_APTIDOES'!$O$2:$O$45,SUBSTITUTE(SUBSTITUTE(SUBSTITUTE($LH13,"~","~~"),"*","~*"),"?","~?"))=0,"Aptidão não cadastrada ou com erro","")</f>
        <v/>
      </c>
      <c r="LQ13">
        <f>IF(COUNTIF('DADOS_APTIDOES'!$BK$2:$BK$45,SUBSTITUTE(SUBSTITUTE(SUBSTITUTE($LH13,"~","~~"),"*","~*"),"?","~?"))=0,"Rota/origem incompatível ou capacidade inicial automática","")</f>
        <v/>
      </c>
      <c r="LR13">
        <f>IF(AND(NOT(OR(FALSE)),DADOS_AM!$HM$2&lt;IFERROR(INDEX('DADOS_APTIDOES'!$U$2:$U$45,MATCH(SUBSTITUTE(SUBSTITUTE(SUBSTITUTE($LH13,"~","~~"),"*","~*"),"?","~?"),'DADOS_APTIDOES'!$O$2:$O$45,0)),1)),"Nível mínimo não atendido","")</f>
        <v/>
      </c>
      <c r="LS13">
        <f>IF(AND(NOT(OR(FALSE)),DADOS_AM!$HM$6&lt;MAX(IF(AND($LI13="Domínio Simples",FALSE,IFERROR(INDEX('DADOS_APTIDOES'!$V$2:$V$45,MATCH(SUBSTITUTE(SUBSTITUTE(SUBSTITUTE($LH13,"~","~~"),"*","~*"),"?","~?"),'DADOS_APTIDOES'!$O$2:$O$45,0)),1)=5),4,IFERROR(INDEX('DADOS_APTIDOES'!$V$2:$V$45,MATCH(SUBSTITUTE(SUBSTITUTE(SUBSTITUTE($LH13,"~","~~"),"*","~*"),"?","~?"),'DADOS_APTIDOES'!$O$2:$O$45,0)),1)),IF(IFERROR(INDEX('DADOS_APTIDOES'!$N$2:$N$45,MATCH(SUBSTITUTE(SUBSTITUTE(SUBSTITUTE($LH13,"~","~~"),"*","~*"),"?","~?"),'DADOS_APTIDOES'!$O$2:$O$45,0)),"")="Bênção",IF(IFERROR(INDEX('DADOS_APTIDOES'!$T$2:$T$45,MATCH(SUBSTITUTE(SUBSTITUTE(SUBSTITUTE($LH13,"~","~~"),"*","~*"),"?","~?"),'DADOS_APTIDOES'!$O$2:$O$45,0)),0)=3,7,IF(IFERROR(INDEX('DADOS_APTIDOES'!$T$2:$T$45,MATCH(SUBSTITUTE(SUBSTITUTE(SUBSTITUTE($LH13,"~","~~"),"*","~*"),"?","~?"),'DADOS_APTIDOES'!$O$2:$O$45,0)),0)=2,4,1)),1))),"Refino/Lapidação mínimo não atendido","")</f>
        <v/>
      </c>
      <c r="LT13">
        <f>IF(COUNTIF($LJ$2:$LJ13,SUBSTITUTE(SUBSTITUTE(SUBSTITUTE($LJ13,"~","~~"),"*","~*"),"?","~?"))&gt;1,"Aptidão/Bênção repetida","")</f>
        <v/>
      </c>
      <c r="LU13">
        <f>IF(AND(NOT(OR(FALSE)),AND($LI13="Circulação",COUNTIF($LI$2:$LI12,"Energia Reversa")=0)),"Exige aquisição anterior: Energia Reversa","")</f>
        <v/>
      </c>
      <c r="LV13">
        <f>IF(AND(NOT(OR(FALSE)),AND($LI13="Regravação",COUNTIF($LI$2:$LI12,"Circulação")=0)),"Exige aquisição anterior: Circulação","")</f>
        <v/>
      </c>
      <c r="LW13">
        <f>IF(AND(NOT(OR(FALSE)),AND($LI13="Cortina",COUNTIF($LI$2:$LI12,"Barreira Simples")=0)),"Exige aquisição anterior: Barreira Simples","")</f>
        <v/>
      </c>
      <c r="LX13">
        <f>IF(AND(NOT(OR(FALSE)),AND($LI13="Ritual",'FICHA'!AB19&lt;5)),"Exige Inteligência 5","")</f>
        <v/>
      </c>
      <c r="LY13">
        <f>IF(AND(NOT(OR(FALSE)),AND($LI13="Ímpeto",'FICHA'!L19&lt;4)),"Exige Destreza 4","")</f>
        <v/>
      </c>
      <c r="LZ13">
        <f>IF(AND(NOT(OR(FALSE)),AND($LI13="Casco",'FICHA'!T19&lt;4)),"Exige Constituição 4","")</f>
        <v/>
      </c>
      <c r="MA13">
        <f>IF(AND(NOT(OR(FALSE)),AND($LI13="Presilha",'FICHA'!D19&lt;4)),"Exige Força 4","")</f>
        <v/>
      </c>
      <c r="MB13">
        <f>IF(AND(NOT(OR(FALSE)),AND($LI13="Antecipar",'FICHA'!AB19&lt;4)),"Exige Inteligência 4","")</f>
        <v/>
      </c>
      <c r="MC13">
        <f>IF(AND(NOT(OR(FALSE)),AND($LI13="Sangue Frio",'FICHA'!T19&lt;4)),"Exige Constituição 4","")</f>
        <v/>
      </c>
      <c r="MD13">
        <f>IF(AND(NOT(OR(FALSE)),AND($LI13="Assombro",'FICHA'!AJ19&lt;4)),"Exige Essência 4","")</f>
        <v/>
      </c>
      <c r="ME13">
        <f>IF(AND(NOT(OR(FALSE)),$LI13="Cesta Oca de Vime"),"Conferir Encarnado ou treino em História","")</f>
        <v/>
      </c>
      <c r="MF13">
        <f>IF(AND(NOT(OR(FALSE)),$LI13="Pétala"),"Conferir Descendente ou aprendizado de clã","")</f>
        <v/>
      </c>
      <c r="MG13">
        <f>IF(AND(NOT(OR(FALSE)),$LI13="Domínio Simples"),"Conferir aprendizado de Domínio Simples","")</f>
        <v/>
      </c>
      <c r="MH13">
        <f>IF(AND(NOT(OR(FALSE)),$LI13="Extensão de Domínio"),"Conferir aprendizado de Extensão de Domínio","")</f>
        <v/>
      </c>
      <c r="MI13">
        <f>IF(AND(NOT(OR(FALSE)),$LI13="Ritual"),"Conferir Técnica Inata","")</f>
        <v/>
      </c>
      <c r="MJ13">
        <f>IF(AND(NOT(OR(FALSE)),AND($LI13="Represália",MAX('FICHA'!D19,'FICHA'!L19)&lt;4)),"Exige Força ou Destreza 4","")</f>
        <v/>
      </c>
    </row>
    <row r="14">
      <c r="C14" s="162" t="inlineStr">
        <is>
          <t>o que ela dá</t>
        </is>
      </c>
      <c r="D14" s="162" t="inlineStr">
        <is>
          <t>—</t>
        </is>
      </c>
      <c r="E14" s="162" t="inlineStr">
        <is>
          <t>O que a semente dá</t>
        </is>
      </c>
      <c r="F14" s="162" t="inlineStr">
        <is>
          <t>Golpe simples</t>
        </is>
      </c>
      <c r="G14" s="162" t="inlineStr">
        <is>
          <t>Golpe simples</t>
        </is>
      </c>
      <c r="AO14" s="162" t="inlineStr">
        <is>
          <t>Cone · classe 0</t>
        </is>
      </c>
      <c r="AP14" s="162" t="inlineStr">
        <is>
          <t>Cone de 3 m</t>
        </is>
      </c>
      <c r="AQ14" s="162" t="inlineStr">
        <is>
          <t>Cone de 4,5 m</t>
        </is>
      </c>
      <c r="AR14" s="162" t="inlineStr">
        <is>
          <t>Cone de 9 m</t>
        </is>
      </c>
      <c r="AS14" s="162" t="inlineStr">
        <is>
          <t>Cone de 18 m</t>
        </is>
      </c>
      <c r="AT14" s="162" t="inlineStr">
        <is>
          <t>Cone de 30 m</t>
        </is>
      </c>
      <c r="AU14" s="162" t="inlineStr">
        <is>
          <t>Cone de 60 m</t>
        </is>
      </c>
      <c r="AV14" s="162" t="inlineStr"/>
      <c r="AW14" s="162" t="inlineStr"/>
      <c r="AX14" s="162" t="inlineStr"/>
      <c r="AY14" s="162" t="inlineStr"/>
      <c r="AZ14" s="162" t="inlineStr"/>
      <c r="BA14" s="162" t="inlineStr"/>
      <c r="BC14" s="162" t="inlineStr">
        <is>
          <t>Salto</t>
        </is>
      </c>
      <c r="BD14" s="162" t="inlineStr">
        <is>
          <t>Área</t>
        </is>
      </c>
      <c r="BE14" s="164" t="n">
        <v>2</v>
      </c>
      <c r="BF14" s="164">
        <f>$BE14+3*IFERROR(VLOOKUP($BD14,'DADOS_CRIACAO'!$H$2:$K$20,3,FALSE),0)</f>
        <v/>
      </c>
      <c r="BG14" s="164">
        <f>IFERROR(VLOOKUP($BD14,'DADOS_CRIACAO'!$H$2:$K$20,4,FALSE),0)</f>
        <v/>
      </c>
      <c r="BH14" s="164" t="n">
        <v>0</v>
      </c>
      <c r="BI14" s="164">
        <f>IF($BG14=1,"",$BC14)</f>
        <v/>
      </c>
      <c r="BJ14" s="164">
        <f>IF(AND($BE14=1,$BG14=0),$BC14,"")</f>
        <v/>
      </c>
      <c r="BK14" s="164" t="n">
        <v>0</v>
      </c>
      <c r="BM14" s="162" t="inlineStr">
        <is>
          <t>Sem Volta</t>
        </is>
      </c>
      <c r="BN14" s="162" t="inlineStr">
        <is>
          <t>Sem Volta</t>
        </is>
      </c>
      <c r="BO14" s="164" t="n">
        <v>2</v>
      </c>
      <c r="BP14" s="164" t="n">
        <v>0</v>
      </c>
      <c r="BQ14" s="162" t="inlineStr"/>
      <c r="BS14" s="162" t="inlineStr">
        <is>
          <t>Peso da Presença</t>
        </is>
      </c>
      <c r="BT14" s="164" t="n">
        <v>2</v>
      </c>
      <c r="BU14" s="162" t="inlineStr">
        <is>
          <t>Um inimigo da categoria Capanga que comece o turno a até 6 m de você faz um TR Espírito contra a CD da sua técnica. Se falhar, fica Amedrontado por você até o começo do próximo turno dele. Como Amedrontado é uma condição Pesada, ele repete o TR no fim do turno e encerra essa aplicação se passar. Se permanecer na área, faz o teste do novo turno normalmente.</t>
        </is>
      </c>
      <c r="BV14" s="164" t="n">
        <v>1</v>
      </c>
      <c r="BW14" s="164" t="n">
        <v>0</v>
      </c>
      <c r="BX14" s="164">
        <f>IF(OR(AND($A$2&lt;=2,$BV14=1),AND($A$2&gt;=2,$BW14=1)),$BS14,"")</f>
        <v/>
      </c>
      <c r="BY14" s="162" t="inlineStr">
        <is>
          <t>Um inimigo da categoria Capanga que comece o turno a até 6 m de você faz um TR Espírito contra a CD da sua técnica.</t>
        </is>
      </c>
      <c r="CD14" s="162" t="inlineStr">
        <is>
          <t>Barreira Simples</t>
        </is>
      </c>
      <c r="CE14" s="162" t="inlineStr">
        <is>
          <t>Uma escolha de aptidão</t>
        </is>
      </c>
      <c r="CF14" s="162" t="inlineStr">
        <is>
          <t>—</t>
        </is>
      </c>
      <c r="CG14" s="162" t="inlineStr">
        <is>
          <t>—</t>
        </is>
      </c>
      <c r="CH14" s="162" t="inlineStr">
        <is>
          <t>Você ergue um domo fixo para impedir a passagem por um lugar. Permaneça no ponto escolhido enquanto prepara a barreira. Em combate, isso exige dez turnos consecutivos dedicando a Ação Padrão, sem usar outra Ação Padrão para tarefa diferente. Se deixar o ponto, não puder agir ou abandonar a preparação, recomece o minuto. Sofrer dano, sozinho, não interrompe esse trabalho. A barreira surge inteira ao terminar. Não empurra nem corta criaturas ou objetos. Pode se apoiar nos limites físicos do lugar para fechar uma passagem, sem destruir o que já existia ali. O solo ou a estrutura de apoio fecha a base protegida. O domo permanece no lugar. Você pode se afastar e agir normalmente. Ele não ocupa Concentração. Uma única reserva de vida vale para toda a barreira: destruir um trecho desfaz o domo inteiro. Ela não recupera vida com cura destinada a criaturas. Um ataque capaz de alcançar sua superfície acerta automaticamente, sem crítico, pagando suas ações e recursos normais. Se um efeito que possa ferir barreiras exigir TR, ela falha automaticamente. Não recebe condições de criaturas. Ataques que não possam afetar uma barreira não ganham essa capacidade por acertar.</t>
        </is>
      </c>
      <c r="CI14" s="164">
        <f>IF($CL14=1,"",IF($A$2=4,IF($CJ14=1,$CD14,""),IF(OR($CJ14=1,AND($A$2=3,$CK14=1)),"",$CD14)))</f>
        <v/>
      </c>
      <c r="CJ14" s="164" t="n">
        <v>0</v>
      </c>
      <c r="CK14" s="164" t="n">
        <v>0</v>
      </c>
      <c r="CL14" s="164" t="n">
        <v>0</v>
      </c>
      <c r="CM14" s="162" t="inlineStr">
        <is>
          <t>Você ergue um domo fixo para impedir a passagem por um lugar.</t>
        </is>
      </c>
      <c r="CU14" s="162" t="inlineStr">
        <is>
          <t>Manopla</t>
        </is>
      </c>
      <c r="CV14" s="164" t="n">
        <v>1</v>
      </c>
      <c r="CW14" s="164" t="n">
        <v>0</v>
      </c>
      <c r="CX14" s="164">
        <f>IF(AND($A$2&gt;=3,'FICHA AMALDIÇOADA'!$J$16&amp;""="Três grupos de arma"),$CU14,"")</f>
        <v/>
      </c>
      <c r="DY14" s="162" t="inlineStr">
        <is>
          <t>Feitiço 13</t>
        </is>
      </c>
      <c r="DZ14" s="164" t="n">
        <v>0</v>
      </c>
      <c r="EA14" s="164" t="n">
        <v>13</v>
      </c>
      <c r="EB14" s="164">
        <f>MAX(1,MIN(7,N('FICHA AMALDIÇOADA'!$D$150)))</f>
        <v/>
      </c>
      <c r="EC14" s="164">
        <f>'FICHA AMALDIÇOADA'!$E$150&amp;""</f>
        <v/>
      </c>
      <c r="ED14" s="164">
        <f>'FICHA AMALDIÇOADA'!$D$157&amp;""</f>
        <v/>
      </c>
      <c r="EE14" s="164">
        <f>'FICHA AMALDIÇOADA'!$E$159&amp;""</f>
        <v/>
      </c>
      <c r="EF14" s="164">
        <f>'FICHA AMALDIÇOADA'!$E$160&amp;""</f>
        <v/>
      </c>
      <c r="EG14" s="164">
        <f>'FICHA AMALDIÇOADA'!$E$161&amp;""</f>
        <v/>
      </c>
      <c r="EH14" s="164">
        <f>'FICHA AMALDIÇOADA'!$E$162&amp;""</f>
        <v/>
      </c>
      <c r="EI14" s="164">
        <f>'FICHA AMALDIÇOADA'!$E$163&amp;""</f>
        <v/>
      </c>
      <c r="EJ14" s="164">
        <f>'FICHA AMALDIÇOADA'!$E$164&amp;""</f>
        <v/>
      </c>
      <c r="EK14" s="164">
        <f>IF($EC14&lt;&gt;"",1,0)</f>
        <v/>
      </c>
      <c r="EL14" s="164">
        <f>IFERROR(MATCH(SUBSTITUTE(SUBSTITUTE(SUBSTITUTE($ED14,"~","~~"),"*","~*"),"?","~?"),'DADOS_FORMAS'!$FJ$2:$FJ$21,0),0)</f>
        <v/>
      </c>
      <c r="EM14" s="164">
        <f>IF($EL14=0,0,INDEX('DADOS_FORMAS'!$FM$2:$FM$21,$EL14))</f>
        <v/>
      </c>
      <c r="EN14" s="164">
        <f>IFERROR(VLOOKUP(SUBSTITUTE(SUBSTITUTE(SUBSTITUTE($EE14,"~","~~"),"*","~*"),"?","~?"),'DADOS_MELHORIAS'!$O$2:$W$113,4,FALSE),0)</f>
        <v/>
      </c>
      <c r="EO14" s="164">
        <f>IFERROR(VLOOKUP(SUBSTITUTE(SUBSTITUTE(SUBSTITUTE($EF14,"~","~~"),"*","~*"),"?","~?"),'DADOS_MELHORIAS'!$O$2:$W$113,4,FALSE),0)</f>
        <v/>
      </c>
      <c r="EP14" s="164">
        <f>IFERROR(VLOOKUP(SUBSTITUTE(SUBSTITUTE(SUBSTITUTE($EG14,"~","~~"),"*","~*"),"?","~?"),'DADOS_MELHORIAS'!$O$2:$W$113,4,FALSE),0)</f>
        <v/>
      </c>
      <c r="EQ14" s="164">
        <f>IFERROR(VLOOKUP(SUBSTITUTE(SUBSTITUTE(SUBSTITUTE($EH14,"~","~~"),"*","~*"),"?","~?"),'DADOS_MELHORIAS'!$O$2:$W$113,4,FALSE),0)</f>
        <v/>
      </c>
      <c r="ER14" s="164">
        <f>IF($EL14=0,0,INDEX('DADOS_FORMAS'!$FN$2:$FN$21,$EL14))</f>
        <v/>
      </c>
      <c r="ES14" s="164">
        <f>IFERROR(VLOOKUP(SUBSTITUTE(SUBSTITUTE(SUBSTITUTE($EE14,"~","~~"),"*","~*"),"?","~?"),'DADOS_MELHORIAS'!$O$2:$W$113,5,FALSE),0)</f>
        <v/>
      </c>
      <c r="ET14" s="164">
        <f>IFERROR(VLOOKUP(SUBSTITUTE(SUBSTITUTE(SUBSTITUTE($EF14,"~","~~"),"*","~*"),"?","~?"),'DADOS_MELHORIAS'!$O$2:$W$113,5,FALSE),0)</f>
        <v/>
      </c>
      <c r="EU14" s="164">
        <f>IFERROR(VLOOKUP(SUBSTITUTE(SUBSTITUTE(SUBSTITUTE($EG14,"~","~~"),"*","~*"),"?","~?"),'DADOS_MELHORIAS'!$O$2:$W$113,5,FALSE),0)</f>
        <v/>
      </c>
      <c r="EV14" s="164">
        <f>IFERROR(VLOOKUP(SUBSTITUTE(SUBSTITUTE(SUBSTITUTE($EH14,"~","~~"),"*","~*"),"?","~?"),'DADOS_MELHORIAS'!$O$2:$W$113,5,FALSE),0)</f>
        <v/>
      </c>
      <c r="EW14" s="164">
        <f>IFERROR(VLOOKUP(SUBSTITUTE(SUBSTITUTE(SUBSTITUTE($EE14,"~","~~"),"*","~*"),"?","~?"),'DADOS_MELHORIAS'!$O$2:$W$113,6,FALSE),0)+IFERROR(VLOOKUP(SUBSTITUTE(SUBSTITUTE(SUBSTITUTE($EF14,"~","~~"),"*","~*"),"?","~?"),'DADOS_MELHORIAS'!$O$2:$W$113,6,FALSE),0)+IFERROR(VLOOKUP(SUBSTITUTE(SUBSTITUTE(SUBSTITUTE($EG14,"~","~~"),"*","~*"),"?","~?"),'DADOS_MELHORIAS'!$O$2:$W$113,6,FALSE),0)+IFERROR(VLOOKUP(SUBSTITUTE(SUBSTITUTE(SUBSTITUTE($EH14,"~","~~"),"*","~*"),"?","~?"),'DADOS_MELHORIAS'!$O$2:$W$113,6,FALSE),0)</f>
        <v/>
      </c>
      <c r="EX14" s="164">
        <f>IFERROR(VLOOKUP(SUBSTITUTE(SUBSTITUTE(SUBSTITUTE($EE14,"~","~~"),"*","~*"),"?","~?"),'DADOS_MELHORIAS'!$O$2:$W$113,9,FALSE),0)+IFERROR(VLOOKUP(SUBSTITUTE(SUBSTITUTE(SUBSTITUTE($EF14,"~","~~"),"*","~*"),"?","~?"),'DADOS_MELHORIAS'!$O$2:$W$113,9,FALSE),0)+IFERROR(VLOOKUP(SUBSTITUTE(SUBSTITUTE(SUBSTITUTE($EG14,"~","~~"),"*","~*"),"?","~?"),'DADOS_MELHORIAS'!$O$2:$W$113,9,FALSE),0)+IFERROR(VLOOKUP(SUBSTITUTE(SUBSTITUTE(SUBSTITUTE($EH14,"~","~~"),"*","~*"),"?","~?"),'DADOS_MELHORIAS'!$O$2:$W$113,9,FALSE),0)</f>
        <v/>
      </c>
      <c r="EY14" s="164">
        <f>IF($EL14=0,0,INDEX('DADOS_FORMAS'!$FO$2:$FO$21,$EL14))</f>
        <v/>
      </c>
      <c r="EZ14" s="164">
        <f>IF($EL14=0,0,INDEX('DADOS_FORMAS'!$FP$2:$FP$21,$EL14))</f>
        <v/>
      </c>
      <c r="FA14" s="164">
        <f>IF($EL14=0,0,INDEX('DADOS_FORMAS'!$FR$2:$FR$21,$EL14))</f>
        <v/>
      </c>
      <c r="FB14" s="164">
        <f>IFERROR(VLOOKUP(SUBSTITUTE(SUBSTITUTE(SUBSTITUTE($EI14,"~","~~"),"*","~*"),"?","~?"),'DADOS_RESTRICOES'!$M$2:$Q$54,3,FALSE),0)</f>
        <v/>
      </c>
      <c r="FC14" s="164">
        <f>IFERROR(VLOOKUP(SUBSTITUTE(SUBSTITUTE(SUBSTITUTE($EJ14,"~","~~"),"*","~*"),"?","~?"),'DADOS_RESTRICOES'!$M$2:$Q$54,3,FALSE),0)</f>
        <v/>
      </c>
      <c r="FD14" s="164">
        <f>IFERROR(VLOOKUP(SUBSTITUTE(SUBSTITUTE(SUBSTITUTE($EI14,"~","~~"),"*","~*"),"?","~?"),'DADOS_RESTRICOES'!$M$2:$Q$54,2,FALSE),"")</f>
        <v/>
      </c>
      <c r="FE14" s="164">
        <f>IFERROR(VLOOKUP(SUBSTITUTE(SUBSTITUTE(SUBSTITUTE($EJ14,"~","~~"),"*","~*"),"?","~?"),'DADOS_RESTRICOES'!$M$2:$Q$54,2,FALSE),"")</f>
        <v/>
      </c>
      <c r="FF14" s="164">
        <f>COUNTIF($EM14:$EQ14,1)</f>
        <v/>
      </c>
      <c r="FG14" s="164">
        <f>COUNTIF($EM14:$EQ14,2)</f>
        <v/>
      </c>
      <c r="FH14" s="164">
        <f>COUNTIF($EM14:$EQ14,3)</f>
        <v/>
      </c>
      <c r="FI14" s="164">
        <f>COUNTIF($EM14:$EQ14,4)</f>
        <v/>
      </c>
      <c r="FJ14" s="164">
        <f>COUNTIF($EM14:$EQ14,5)</f>
        <v/>
      </c>
      <c r="FK14" s="164">
        <f>COUNTIF($EM14:$EQ14,6)</f>
        <v/>
      </c>
      <c r="FL14" s="164">
        <f>COUNTIF($FB14:$FC14,1)+IF(IFERROR(INDEX('DADOS_FORMAS'!$AS$2:$AS$21,MATCH(SUBSTITUTE(SUBSTITUTE(SUBSTITUTE($ED14,"~","~~"),"*","~*"),"?","~?"),'DADOS_FORMAS'!$AH$2:$AH$21,0)),"")="",0,IFERROR(N(VLOOKUP(SUBSTITUTE(SUBSTITUTE(SUBSTITUTE(IFERROR(INDEX('DADOS_FORMAS'!$AS$2:$AS$21,MATCH(SUBSTITUTE(SUBSTITUTE(SUBSTITUTE($ED14,"~","~~"),"*","~*"),"?","~?"),'DADOS_FORMAS'!$AH$2:$AH$21,0)),""),"~","~~"),"*","~*"),"?","~?"),'DADOS_RESTRICOES'!$M$2:$Q$54,3,FALSE)=1),0))</f>
        <v/>
      </c>
      <c r="FM14" s="164">
        <f>COUNTIF($FB14:$FC14,2)+IF(IFERROR(INDEX('DADOS_FORMAS'!$AS$2:$AS$21,MATCH(SUBSTITUTE(SUBSTITUTE(SUBSTITUTE($ED14,"~","~~"),"*","~*"),"?","~?"),'DADOS_FORMAS'!$AH$2:$AH$21,0)),"")="",0,IFERROR(N(VLOOKUP(SUBSTITUTE(SUBSTITUTE(SUBSTITUTE(IFERROR(INDEX('DADOS_FORMAS'!$AS$2:$AS$21,MATCH(SUBSTITUTE(SUBSTITUTE(SUBSTITUTE($ED14,"~","~~"),"*","~*"),"?","~?"),'DADOS_FORMAS'!$AH$2:$AH$21,0)),""),"~","~~"),"*","~*"),"?","~?"),'DADOS_RESTRICOES'!$M$2:$Q$54,3,FALSE)=2),0))</f>
        <v/>
      </c>
      <c r="FN14" s="164">
        <f>COUNTIF($EE14:$EH14,"?*")</f>
        <v/>
      </c>
      <c r="FO14" s="164">
        <f>COUNTIF($EI14:$EJ14,"?*")+$EY14</f>
        <v/>
      </c>
      <c r="FP14" s="164">
        <f>SUMPRODUCT($FF14:$FK14,INDEX($Q$2:$V$8,$EB14,0))</f>
        <v/>
      </c>
      <c r="FQ14" s="164">
        <f>$FL14*CEILING($EB14/2,1)+$FM14*$EB14</f>
        <v/>
      </c>
      <c r="FR14" s="164">
        <f>MIN(2*$EB14,$FQ14)</f>
        <v/>
      </c>
      <c r="FS14" s="164">
        <f>MIN($FR14,$FP14-IF($EM14=0,0,INDEX($Q$2:$V$8,$EB14,$EM14)))</f>
        <v/>
      </c>
      <c r="FT14" s="164">
        <f>$FR14-$FS14</f>
        <v/>
      </c>
      <c r="FU14" s="164">
        <f>3*$EB14-$FP14+$FS14</f>
        <v/>
      </c>
      <c r="FV14" s="164">
        <f>MAX(0,$FU14)+$DZ14*$EB14</f>
        <v/>
      </c>
      <c r="FW14" s="164">
        <f>(IF(COUNTIF($KW14:$KZ14,"Salto")&gt;0,1,0)+IF(COUNTIF($KW14:$KZ14,"Queima")&gt;0,1,0)+IF(COUNTIF($KW14:$KZ14,"Estilhaço")&gt;0,1,0))*FLOOR($FV14/2,1)</f>
        <v/>
      </c>
      <c r="FX14" s="164">
        <f>MAX(0,3-SUMPRODUCT($FF14:$FK14,$Q$2:$V$2)+MIN(2,$FL14*1+$FM14*1,SUMPRODUCT($FF14:$FK14,$Q$2:$V$2)-IF($EM14=0,0,INDEX($Q$2:$V$2,1,$EM14))))+$DZ14*1</f>
        <v/>
      </c>
      <c r="FY14" s="164">
        <f>MAX(0,6-SUMPRODUCT($FF14:$FK14,$Q$3:$V$3)+MIN(4,$FL14*1+$FM14*2,SUMPRODUCT($FF14:$FK14,$Q$3:$V$3)-IF($EM14=0,0,INDEX($Q$3:$V$3,1,$EM14))))+$DZ14*2</f>
        <v/>
      </c>
      <c r="FZ14" s="164">
        <f>MAX(0,9-SUMPRODUCT($FF14:$FK14,$Q$4:$V$4)+MIN(6,$FL14*2+$FM14*3,SUMPRODUCT($FF14:$FK14,$Q$4:$V$4)-IF($EM14=0,0,INDEX($Q$4:$V$4,1,$EM14))))+$DZ14*3</f>
        <v/>
      </c>
      <c r="GA14" s="164">
        <f>MAX(0,12-SUMPRODUCT($FF14:$FK14,$Q$5:$V$5)+MIN(8,$FL14*2+$FM14*4,SUMPRODUCT($FF14:$FK14,$Q$5:$V$5)-IF($EM14=0,0,INDEX($Q$5:$V$5,1,$EM14))))+$DZ14*4</f>
        <v/>
      </c>
      <c r="GB14" s="164">
        <f>MAX(0,15-SUMPRODUCT($FF14:$FK14,$Q$6:$V$6)+MIN(10,$FL14*3+$FM14*5,SUMPRODUCT($FF14:$FK14,$Q$6:$V$6)-IF($EM14=0,0,INDEX($Q$6:$V$6,1,$EM14))))+$DZ14*5</f>
        <v/>
      </c>
      <c r="GC14" s="164">
        <f>MAX(0,18-SUMPRODUCT($FF14:$FK14,$Q$7:$V$7)+MIN(12,$FL14*3+$FM14*6,SUMPRODUCT($FF14:$FK14,$Q$7:$V$7)-IF($EM14=0,0,INDEX($Q$7:$V$7,1,$EM14))))+$DZ14*6</f>
        <v/>
      </c>
      <c r="GD14" s="164">
        <f>MAX(0,21-SUMPRODUCT($FF14:$FK14,$Q$8:$V$8)+MIN(14,$FL14*4+$FM14*7,SUMPRODUCT($FF14:$FK14,$Q$8:$V$8)-IF($EM14=0,0,INDEX($Q$8:$V$8,1,$EM14))))+$DZ14*7</f>
        <v/>
      </c>
      <c r="GE14" s="164">
        <f>IF($EZ14=2,3*$FX14&amp;" de vida temp.",IF($EZ14=3,"sem dano",IF($FX14=0,IF($EZ14=1,"sem cura","sem dano"),IF($EZ14=1,"cura ","")&amp;$FX14&amp;"d8")))</f>
        <v/>
      </c>
      <c r="GF14" s="164">
        <f>IF($EZ14=2,3*$FY14&amp;" de vida temp.",IF($EZ14=3,"sem dano",IF($FY14=0,IF($EZ14=1,"sem cura","sem dano"),IF($EZ14=1,"cura ","")&amp;$FY14&amp;"d8")))</f>
        <v/>
      </c>
      <c r="GG14" s="164">
        <f>IF($EZ14=2,3*$FZ14&amp;" de vida temp.",IF($EZ14=3,"sem dano",IF($FZ14=0,IF($EZ14=1,"sem cura","sem dano"),IF($EZ14=1,"cura ","")&amp;$FZ14&amp;"d8")))</f>
        <v/>
      </c>
      <c r="GH14" s="164">
        <f>IF($EZ14=2,3*$GA14&amp;" de vida temp.",IF($EZ14=3,"sem dano",IF($GA14=0,IF($EZ14=1,"sem cura","sem dano"),IF($EZ14=1,"cura ","")&amp;$GA14&amp;"d8")))</f>
        <v/>
      </c>
      <c r="GI14" s="164">
        <f>IF($EZ14=2,3*$GB14&amp;" de vida temp.",IF($EZ14=3,"sem dano",IF($GB14=0,IF($EZ14=1,"sem cura","sem dano"),IF($EZ14=1,"cura ","")&amp;$GB14&amp;"d8")))</f>
        <v/>
      </c>
      <c r="GJ14" s="164">
        <f>IF($EZ14=2,3*$GC14&amp;" de vida temp.",IF($EZ14=3,"sem dano",IF($GC14=0,IF($EZ14=1,"sem cura","sem dano"),IF($EZ14=1,"cura ","")&amp;$GC14&amp;"d8")))</f>
        <v/>
      </c>
      <c r="GK14" s="164">
        <f>IF($EZ14=2,3*$GD14&amp;" de vida temp.",IF($EZ14=3,"sem dano",IF($GD14=0,IF($EZ14=1,"sem cura","sem dano"),IF($EZ14=1,"cura ","")&amp;$GD14&amp;"d8")))</f>
        <v/>
      </c>
      <c r="GL14" s="164">
        <f>IF($EK14=0,"",TEXTJOIN(" · ",TRUE,IF($EK14=0,"",TEXTJOIN(" · ",TRUE,IF($EK14=0,"",TEXTJOIN(" · ",TRUE,IF(AND($DZ14=1,$EA14&gt;$HM$9),"O nível "&amp;$HM$2&amp;" dá "&amp;$HM$9&amp;" Liberação Máxima",""),IF($EB14&gt;$HM$4,"Classe "&amp;$EB14&amp;": o nível "&amp;$HM$2&amp;" libera até a "&amp;$HM$4,""),IF($ER14=1,"Família Fechada: a Forma "&amp;$ED14,""),IF($ES14=1,"Família Fechada: "&amp;$EE14,""),IF($ET14=1,"Família Fechada: "&amp;$EF14,""),IF($EU14=1,"Família Fechada: "&amp;$EG14,""),IF($EV14=1,"Família Fechada: "&amp;$EH14,""),IF($FN14&gt;INDEX($W$2:$W$8,$EB14),$FN14&amp;" Melhorias: a Classe "&amp;$EB14&amp;" aceita "&amp;INDEX($W$2:$W$8,$EB14),""),IF($FO14&gt;2,$FO14&amp;" Restrições"&amp;IF($EY14=1,", contando a que a Forma "&amp;$ED14&amp;" já traz","")&amp;": o limite é 2",""),IF($FU14&lt;0,"Orçamento estourado: faltam "&amp;(-$FU14)&amp;IF($FU14&lt;-1," pontos"," ponto"),""),IF(IFERROR(VLOOKUP(SUBSTITUTE(SUBSTITUTE(SUBSTITUTE($EI14,"~","~~"),"*","~*"),"?","~?"),'DADOS_RESTRICOES'!$M$2:$Q$54,4,FALSE),0)+IFERROR(VLOOKUP(SUBSTITUTE(SUBSTITUTE(SUBSTITUTE($EJ14,"~","~~"),"*","~*"),"?","~?"),'DADOS_RESTRICOES'!$M$2:$Q$54,4,FALSE),0)&gt;1,$FD14&amp;" e "&amp;$FE14&amp;" são as duas de frequência",""),IF(AND((COUNTIF($KW14:$KZ14,"Rápido")+COUNTIF($FD14:$FE14,"Rápido"))&gt;0,(COUNTIF($EE14:$EH14,"Atrasar")+COUNTIF($FD14:$FE14,"Atrasar"))&gt;0),"Rápido não entra com Atrasar",""),IF(AND((COUNTIF($KW14:$KZ14,"Reação")+COUNTIF($FD14:$FE14,"Reação"))&gt;0,(COUNTIF($KW14:$KZ14,"Rápido")+COUNTIF($FD14:$FE14,"Rápido"))&gt;0),"Reação não entra com Rápido",""),IF(AND((COUNTIF($KW14:$KZ14,"Reação")+COUNTIF($FD14:$FE14,"Reação"))&gt;0,(COUNTIF($KW14:$KZ14,"Armado")+COUNTIF($FD14:$FE14,"Armado"))&gt;0),"Reação não entra com Armado",""),IF(AND((COUNTIF($KW14:$KZ14,"Reação")+COUNTIF($FD14:$FE14,"Reação"))&gt;0,(COUNTIF($EE14:$EH14,"Atrasar")+COUNTIF($FD14:$FE14,"Atrasar"))&gt;0),"Reação não entra com Atrasar",""),IF(AND((COUNTIF($KW14:$KZ14,"Reação")+COUNTIF($FD14:$FE14,"Reação"))&gt;0,(COUNTIF($EE14:$EH14,"Parado")+COUNTIF($FD14:$FE14,"Parado"))&gt;0),"Reação não entra com Parado",""),IF(AND((COUNTIF($EE14:$EH14,"Atrasar")+COUNTIF($FD14:$FE14,"Atrasar"))&gt;0,(COUNTIF($EE14:$EH14,"Parado")+COUNTIF($FD14:$FE14,"Parado"))&gt;0),"Atrasar não entra com Parado",""),IF(AND((COUNTIF($KW14:$KZ14,"Armado")+COUNTIF($FD14:$FE14,"Armado"))&gt;0,(COUNTIF($EE14:$EH14,"Carregar")+COUNTIF($FD14:$FE14,"Carregar"))&gt;0),"Armado não entra com Carregar",""),IF(AND(COUNTIF($FD14:$FE14,"Corpo a Corpo")&gt;0,$EY14=0,OR($LB14="Cone",$LB14="Linha")),"Corpo a Corpo não entra em "&amp;$ED14,""),IF(AND(COUNTIF($FD14:$FE14,"Corpo a Corpo")&gt;0,$LC14="Corpo a Corpo"),"A Forma "&amp;$ED14&amp;" já traz o Corpo a Corpo",""),IF(AND(COUNTIF($FD14:$FE14,"Tudo ou Nada")&gt;0,$FA14=0),"Tudo ou Nada só entra em feitiço de Teste de Resistência",""),IF(AND(COUNTIF($KW14:$KZ14,"Inescapável")&gt;0,OR($FN14&gt;1,$FO14&gt;0)),"Inescapável não aceita outra peça",""),IF(AND($DZ14=1,$EB14&lt;3),"Liberação Máxima é de Classe 3 ou mais",""),IF(AND($DZ14=1,OR($EZ14=1,$EZ14=2)),"Liberação Máxima não serve para cura",""),IF(AND($DZ14=1,COUNTIF($KW14:$KZ14,"Inescapável")+COUNTIF($KW14:$KZ14,"Toca a Alma")&gt;0),"Esta peça não entra numa Liberação Máxima",""),IF($FV14*IF(COUNTIF($KW14:$KZ14,"Remate")&gt;0,1.25,1)+$FW14&gt;4*$EB14,($FV14*IF(COUNTIF($KW14:$KZ14,"Remate")&gt;0,1.25,1)+$FW14)&amp;" dados somando repetições"&amp;IF(COUNTIF($KW14:$KZ14,"Remate")&gt;0," e o Remate","")&amp;": o teto da Classe "&amp;$EB14&amp;" é "&amp;4*$EB14,""))),IF(AND($EE14&lt;&gt;"",COUNTIF('DADOS_MELHORIAS'!$O$2:$O$113,SUBSTITUTE(SUBSTITUTE(SUBSTITUTE($EE14,"~","~~"),"*","~*"),"?","~?"))=0),"Melhoria não cadastrada ou com erro: "&amp;$EE14,""),IF(AND($EF14&lt;&gt;"",COUNTIF('DADOS_MELHORIAS'!$O$2:$O$113,SUBSTITUTE(SUBSTITUTE(SUBSTITUTE($EF14,"~","~~"),"*","~*"),"?","~?"))=0),"Melhoria não cadastrada ou com erro: "&amp;$EF14,""),IF(AND($EG14&lt;&gt;"",COUNTIF('DADOS_MELHORIAS'!$O$2:$O$113,SUBSTITUTE(SUBSTITUTE(SUBSTITUTE($EG14,"~","~~"),"*","~*"),"?","~?"))=0),"Melhoria não cadastrada ou com erro: "&amp;$EG14,""),IF(AND($EH14&lt;&gt;"",COUNTIF('DADOS_MELHORIAS'!$O$2:$O$113,SUBSTITUTE(SUBSTITUTE(SUBSTITUTE($EH14,"~","~~"),"*","~*"),"?","~?"))=0),"Melhoria não cadastrada ou com erro: "&amp;$EH14,""),IF(AND($EI14&lt;&gt;"",COUNTIF('DADOS_RESTRICOES'!$M$2:$M$54,SUBSTITUTE(SUBSTITUTE(SUBSTITUTE($EI14,"~","~~"),"*","~*"),"?","~?"))=0),"Restrição não cadastrada ou com erro: "&amp;$EI14,""),IF(AND($EJ14&lt;&gt;"",COUNTIF('DADOS_RESTRICOES'!$M$2:$M$54,SUBSTITUTE(SUBSTITUTE(SUBSTITUTE($EJ14,"~","~~"),"*","~*"),"?","~?"))=0),"Restrição não cadastrada ou com erro: "&amp;$EJ14,""))),IF(AND($ED14&lt;&gt;"",COUNTIF('DADOS_FORMAS'!$AH$2:$AH$21,SUBSTITUTE(SUBSTITUTE(SUBSTITUTE($ED14,"~","~~"),"*","~*"),"?","~?"))=0),"Forma não cadastrada ou com erro: "&amp;$ED14,""),IF(AND(IFERROR(INDEX('DADOS_FORMAS'!$AS$2:$AS$21,MATCH(SUBSTITUTE(SUBSTITUTE(SUBSTITUTE($ED14,"~","~~"),"*","~*"),"?","~?"),'DADOS_FORMAS'!$AH$2:$AH$21,0)),"")&lt;&gt;"",OR(IFERROR(VLOOKUP(SUBSTITUTE(SUBSTITUTE(SUBSTITUTE(IFERROR(INDEX('DADOS_FORMAS'!$AS$2:$AS$21,MATCH(SUBSTITUTE(SUBSTITUTE(SUBSTITUTE($ED14,"~","~~"),"*","~*"),"?","~?"),'DADOS_FORMAS'!$AH$2:$AH$21,0)),""),"~","~~"),"*","~*"),"?","~?"),'DADOS_RESTRICOES'!$M$2:$Q$54,2,FALSE),"")=$FD14,IFERROR(VLOOKUP(SUBSTITUTE(SUBSTITUTE(SUBSTITUTE(IFERROR(INDEX('DADOS_FORMAS'!$AS$2:$AS$21,MATCH(SUBSTITUTE(SUBSTITUTE(SUBSTITUTE($ED14,"~","~~"),"*","~*"),"?","~?"),'DADOS_FORMAS'!$AH$2:$AH$21,0)),""),"~","~~"),"*","~*"),"?","~?"),'DADOS_RESTRICOES'!$M$2:$Q$54,2,FALSE),"")=$FE14)),"Restrição repetida, contando a embutida",""),IF(IF(IFERROR(INDEX('DADOS_FORMAS'!$AS$2:$AS$21,MATCH(SUBSTITUTE(SUBSTITUTE(SUBSTITUTE($ED14,"~","~~"),"*","~*"),"?","~?"),'DADOS_FORMAS'!$AH$2:$AH$21,0)),"")="",0,IFERROR(N(VLOOKUP(SUBSTITUTE(SUBSTITUTE(SUBSTITUTE(IFERROR(INDEX('DADOS_FORMAS'!$AS$2:$AS$21,MATCH(SUBSTITUTE(SUBSTITUTE(SUBSTITUTE($ED14,"~","~~"),"*","~*"),"?","~?"),'DADOS_FORMAS'!$AH$2:$AH$21,0)),""),"~","~~"),"*","~*"),"?","~?"),'DADOS_RESTRICOES'!$M$2:$Q$54,4,FALSE)=1),0))+IF($EI14="",0,IFERROR(N(VLOOKUP(SUBSTITUTE(SUBSTITUTE(SUBSTITUTE($EI14,"~","~~"),"*","~*"),"?","~?"),'DADOS_RESTRICOES'!$M$2:$Q$54,4,FALSE)=1),0))+IF($EJ14="",0,IFERROR(N(VLOOKUP(SUBSTITUTE(SUBSTITUTE(SUBSTITUTE($EJ14,"~","~~"),"*","~*"),"?","~?"),'DADOS_RESTRICOES'!$M$2:$Q$54,4,FALSE)=1),0))&gt;1,"Duas Restrições de frequência, contando a embutida",""),IF(AND(IFERROR(VLOOKUP(SUBSTITUTE(SUBSTITUTE(SUBSTITUTE(IFERROR(INDEX('DADOS_FORMAS'!$AS$2:$AS$21,MATCH(SUBSTITUTE(SUBSTITUTE(SUBSTITUTE($ED14,"~","~~"),"*","~*"),"?","~?"),'DADOS_FORMAS'!$AH$2:$AH$21,0)),""),"~","~~"),"*","~*"),"?","~?"),'DADOS_RESTRICOES'!$M$2:$Q$54,2,FALSE),"")="Tudo ou Nada",$FA14=0),"Tudo ou Nada exige TR",""),IF(AND(IFERROR(VLOOKUP(SUBSTITUTE(SUBSTITUTE(SUBSTITUTE(IFERROR(INDEX('DADOS_FORMAS'!$AS$2:$AS$21,MATCH(SUBSTITUTE(SUBSTITUTE(SUBSTITUTE($ED14,"~","~~"),"*","~*"),"?","~?"),'DADOS_FORMAS'!$AH$2:$AH$21,0)),""),"~","~~"),"*","~*"),"?","~?"),'DADOS_RESTRICOES'!$M$2:$Q$54,2,FALSE),"")="Corpo a Corpo",OR($LB14="Cone",$LB14="Linha")),"Corpo a Corpo não entra em Cone/Linha","")))</f>
        <v/>
      </c>
      <c r="GM14" s="164">
        <f>IF($GL14="",0,(LEN($GL14)-LEN(SUBSTITUTE($GL14," · ","")))/3+1)</f>
        <v/>
      </c>
      <c r="GN14" s="164">
        <f>IF($EK14=0,"",TEXTJOIN(" · ",TRUE,IF($FQ14&gt;2*$EB14,"A devolução parou no teto de "&amp;2*$EB14,""),IF($FT14&gt;0,"Devolução perdida: "&amp;$FT14&amp;IF($FT14&gt;1," pontos"," ponto")&amp;" sem Melhoria para pagar",""),IF(AND($EW14&gt;0,$FV14=0),"Controle sem dano: uma rodada a mais e CD +2",""),IF(AND($EW14&gt;0,$FV14&gt;0,$FV14&lt;=$EB14),"Controle com saldo até a Classe: uma rodada a mais","")))</f>
        <v/>
      </c>
      <c r="GO14" s="164">
        <f>IF($GN14="",0,(LEN($GN14)-LEN(SUBSTITUTE($GN14," · ","")))/3+1)</f>
        <v/>
      </c>
      <c r="GP14" s="164">
        <f>IF($EK14=0,IF($FN14+$FO14-$EY14&gt;0,"Dê um nome",""),IF($GM14&gt;0,"⚠ "&amp;$GM14&amp;IF($GM14&gt;1," erros"," erro"),IF($GO14&gt;0,"! "&amp;$GO14&amp;IF($GO14&gt;1," avisos"," aviso"),"Na regra")))</f>
        <v/>
      </c>
      <c r="GQ14" s="164">
        <f>IF($EK14=0,"",IF($GM14+$GO14=0,"Dentro das regras que a ficha confere",$GL14&amp;IF(AND($GM14&gt;0,$GO14&gt;0)," · ","")&amp;$GN14))</f>
        <v/>
      </c>
      <c r="GR14" s="164">
        <f>IF($EK14=0,"",IF($DZ14=1,CEILING(4.5*$EB14,1),3*$EB14)&amp;" PE")</f>
        <v/>
      </c>
      <c r="GS14" s="164">
        <f>IF($EK14=0,"",IF($DZ14=1,"Rodada inteira",IF(COUNTIF($LD14:$LF14,"Atrasar")&gt;0,IF(COUNTIF($LD14:$LF14,"Carregar")&gt;0,"Rodada +1 turno","Rodada inteira"),IF(COUNTIF($KW14:$KZ14,"Rápido")&gt;0,"Bônus",IF(COUNTIF($KW14:$KZ14,"Reação")&gt;0,"Reação","Padrão"))&amp;IF(COUNTIF($LD14:$LF14,"Carregar")&gt;0," +1 turno",""))))</f>
        <v/>
      </c>
      <c r="GT14" s="164">
        <f>IF(OR($EK14=0,$EL14=0),"",IF(COUNTIF($KW14:$KZ14,"Inescapável")&gt;0,"Automático",IF(COUNTIF($KW14:$KZ14,"Certeiro")&gt;0,"TR para metade",IF(AND($EX14&gt;0,$FA14=0,INDEX('DADOS_FORMAS'!$FQ$2:$FQ$21,$EL14)="Acerto"),"Acerto + TR",INDEX('DADOS_FORMAS'!$FQ$2:$FQ$21,$EL14)))))</f>
        <v/>
      </c>
      <c r="GU14" s="164">
        <f>IF(OR($EK14=0,$EL14=0),"",IF(OR($EZ14&gt;=2,$FV14=0),UPPER(LEFT(INDEX($GE14:$GK14,1,$EB14),1))&amp;MID(INDEX($GE14:$GK14,1,$EB14),2,99),UPPER(LEFT(INDEX($GE14:$GK14,1,$EB14),1))&amp;MID(INDEX($GE14:$GK14,1,$EB14),2,99)&amp;" = "&amp;FLOOR($FV14*4.5,1)&amp;IF($FW14&gt;0," · +"&amp;$FW14&amp;"d8","")))</f>
        <v/>
      </c>
      <c r="GV14" s="164">
        <f>COUNTIF($KW14:$KZ14,"Longe")+3*COUNTIF($KW14:$KZ14,"Muito Longe")</f>
        <v/>
      </c>
      <c r="GW14" s="164">
        <f>COUNTIF($KW14:$KZ14,"Maior")+3*COUNTIF($KW14:$KZ14,"Muito Maior")</f>
        <v/>
      </c>
      <c r="GX14" s="164">
        <f>IF($EL14=0,0,CHOOSE(1+INDEX('DADOS_FORMAS'!$FS$2:$FS$21,$EL14),0,$GV14,$GW14,$GV14+$GW14))</f>
        <v/>
      </c>
      <c r="GY14" s="164">
        <f>IF($EL14=0,0,CHOOSE(1+INDEX('DADOS_FORMAS'!$FT$2:$FT$21,$EL14),0,$GV14,$GW14,$GV14+$GW14))</f>
        <v/>
      </c>
      <c r="GZ14" s="164">
        <f>IF(OR($EK14=0,$EL14=0),"",INDEX('DADOS_FORMAS'!$GZ$2:$HE$61,($EL14-1)*3+IF($EB14&gt;=6,3,2),1+MIN(5,$GX14))&amp;INDEX('DADOS_FORMAS'!$HF$2:$HK$61,($EL14-1)*3+IF($EB14&gt;=6,3,2),1+MIN(5,$GY14))&amp;IF(INDEX('DADOS_FORMAS'!$FU$2:$FU$21,$EL14)=1,IF(COUNTIF($KW14:$KZ14,"Mais Um")&gt;0," · +"&amp;COUNTIF($KW14:$KZ14,"Mais Um")&amp;IF(COUNTIF($KW14:$KZ14,"Mais Um")&gt;1," alvos"," alvo"),"")&amp;IF(COUNTIF($KW14:$KZ14,"Rajada")&gt;0," · "&amp;($EB14+1)&amp;" tiros",""),""))</f>
        <v/>
      </c>
      <c r="HA14" s="164">
        <f>IF($EK14=0,"",3*$EB14&amp;" − "&amp;$FP14&amp;" + "&amp;$FS14&amp;IF($DZ14=1," + "&amp;$EB14,"")&amp;" = "&amp;$FV14&amp;"d8 · teto "&amp;4*$EB14&amp;IF($EY14=1," · a Forma devolve "&amp;$EB14,"")&amp;IF($FT14&gt;0," · perde "&amp;$FT14,""))</f>
        <v/>
      </c>
      <c r="HB14" s="164">
        <f>IF($EK14=0,"",IF($EB14&gt;=$HM$4,"Já está na maior Classe que o nível liberou",TEXTJOIN(" · ",TRUE,IF(AND(2&gt;$EB14,2&lt;=$HM$4),"2 → "&amp;$GF14&amp;", "&amp;IF($DZ14=1,9,6)&amp;" PE",""),IF(AND(3&gt;$EB14,3&lt;=$HM$4),"3 → "&amp;$GG14&amp;", "&amp;IF($DZ14=1,14,9)&amp;" PE",""),IF(AND(4&gt;$EB14,4&lt;=$HM$4),"4 → "&amp;$GH14&amp;", "&amp;IF($DZ14=1,18,12)&amp;" PE",""),IF(AND(5&gt;$EB14,5&lt;=$HM$4),"5 → "&amp;$GI14&amp;", "&amp;IF($DZ14=1,23,15)&amp;" PE",""),IF(AND(6&gt;$EB14,6&lt;=$HM$4),"6 → "&amp;$GJ14&amp;", "&amp;IF($DZ14=1,27,18)&amp;" PE",""),IF(AND(7&gt;$EB14,7&lt;=$HM$4),"7 → "&amp;$GK14&amp;", "&amp;IF($DZ14=1,32,21)&amp;" PE",""))))</f>
        <v/>
      </c>
      <c r="HC14" s="164">
        <f>IF(OR($EK14=0,$EN14=0),"","−"&amp;INDEX($Q$2:$V$8,$EB14,$EN14)&amp;" · "&amp;CHOOSE($EN14,"Leve","Média","Pesada","Leve · Livre","Média · Livre","Pesada · Livre"))</f>
        <v/>
      </c>
      <c r="HD14" s="164">
        <f>IF(OR($EK14=0,$EO14=0),"","−"&amp;INDEX($Q$2:$V$8,$EB14,$EO14)&amp;" · "&amp;CHOOSE($EO14,"Leve","Média","Pesada","Leve · Livre","Média · Livre","Pesada · Livre"))</f>
        <v/>
      </c>
      <c r="HE14" s="164">
        <f>IF(OR($EK14=0,$EP14=0),"","−"&amp;INDEX($Q$2:$V$8,$EB14,$EP14)&amp;" · "&amp;CHOOSE($EP14,"Leve","Média","Pesada","Leve · Livre","Média · Livre","Pesada · Livre"))</f>
        <v/>
      </c>
      <c r="HF14" s="164">
        <f>IF(OR($EK14=0,$EQ14=0),"","−"&amp;INDEX($Q$2:$V$8,$EB14,$EQ14)&amp;" · "&amp;CHOOSE($EQ14,"Leve","Média","Pesada","Leve · Livre","Média · Livre","Pesada · Livre"))</f>
        <v/>
      </c>
      <c r="HG14" s="164">
        <f>IF(OR($EK14=0,$EI14=""),"","+"&amp;IF($FB14=1,CEILING($EB14/2,1),$EB14))</f>
        <v/>
      </c>
      <c r="HH14" s="164">
        <f>IF(OR($EK14=0,$EJ14=""),"","+"&amp;IF($FC14=1,CEILING($EB14/2,1),$EB14))</f>
        <v/>
      </c>
      <c r="HI14" s="164">
        <f>'FICHA AMALDIÇOADA'!$D$152&amp;""</f>
        <v/>
      </c>
      <c r="HJ14" s="164">
        <f>IF(AND($EK14=1,$DZ14=0),COUNTIFS($EK$2:$EK14,1,$DZ$2:$DZ14,0),"")</f>
        <v/>
      </c>
      <c r="HL14" s="162" t="inlineStr">
        <is>
          <t>feitiços montados</t>
        </is>
      </c>
      <c r="HM14" s="164">
        <f>SUM($EK$2:$EK$37)</f>
        <v/>
      </c>
      <c r="JH14" s="164" t="n">
        <v>13</v>
      </c>
      <c r="JI14" s="164">
        <f>IFERROR(MATCH(13,$HJ$2:$HJ$37,0),0)</f>
        <v/>
      </c>
      <c r="JJ14" s="164">
        <f>IF($JI14=0,"",INDEX($EB$2:$EB$37,$JI14))</f>
        <v/>
      </c>
      <c r="JK14" s="164">
        <f>IF($JI14=0,"",INDEX($EC$2:$EC$37,$JI14))</f>
        <v/>
      </c>
      <c r="JL14" s="164">
        <f>IF($JI14=0,"",INDEX($GR$2:$GR$37,$JI14))</f>
        <v/>
      </c>
      <c r="JM14" s="164">
        <f>IF($JI14=0,"",INDEX($ED$2:$ED$37,$JI14))</f>
        <v/>
      </c>
      <c r="JN14" s="164">
        <f>IF($JI14=0,"",INDEX($GT$2:$GT$37,$JI14))</f>
        <v/>
      </c>
      <c r="JO14" s="164">
        <f>IF($JI14=0,"",INDEX($HI$2:$HI$37,$JI14))</f>
        <v/>
      </c>
      <c r="KF14" s="162" t="inlineStr">
        <is>
          <t>Talento 11</t>
        </is>
      </c>
      <c r="KG14" s="164">
        <f>IFERROR(MATCH(11,$HW$2:$HW$13,0),0)</f>
        <v/>
      </c>
      <c r="KH14" s="164">
        <f>IF($KG14=0,"",IF(INDEX($HQ$2:$HQ$13,$KG14)=0,"","CE "&amp;INDEX($HQ$2:$HQ$13,$KG14)))</f>
        <v/>
      </c>
      <c r="KI14" s="164">
        <f>IF($KG14=0,"",INDEX($HP$2:$HP$13,$KG14))</f>
        <v/>
      </c>
      <c r="KJ14" s="164">
        <f>IF($KG14=0,"",IF(INDEX($HV$2:$HV$13,$KG14)&lt;&gt;"",INDEX($HV$2:$HV$13,$KG14),IF(IFERROR(VLOOKUP(SUBSTITUTE(SUBSTITUTE(SUBSTITUTE(INDEX($HP$2:$HP$13,$KG14),"~","~~"),"*","~*"),"?","~?"),'DADOS_TALENTOS'!$AQ$2:$AW$34,7,FALSE),"")&lt;&gt;"","Do livro: "&amp;IFERROR(VLOOKUP(SUBSTITUTE(SUBSTITUTE(SUBSTITUTE(INDEX($HP$2:$HP$13,$KG14),"~","~~"),"*","~*"),"?","~?"),'DADOS_TALENTOS'!$AQ$2:$AW$34,7,FALSE),""),"")))</f>
        <v/>
      </c>
      <c r="KL14" s="162" t="inlineStr">
        <is>
          <t>Aptidão 11</t>
        </is>
      </c>
      <c r="KM14" s="164">
        <f>IFERROR(MATCH(11,$IF$2:$IF$13,0),0)</f>
        <v/>
      </c>
      <c r="KN14" s="164">
        <f>IF($KM14=0,"",INDEX($IB$2:$IB$13,$KM14))</f>
        <v/>
      </c>
      <c r="KO14" s="164">
        <f>IF($KM14=0,"",INDEX($HZ$2:$HZ$13,$KM14))</f>
        <v/>
      </c>
      <c r="KP14" s="164">
        <f>IF($KM14=0,"",IF(INDEX($IE$2:$IE$13,$KM14)&lt;&gt;"",INDEX($IE$2:$IE$13,$KM14),IF(IFERROR(VLOOKUP(SUBSTITUTE(SUBSTITUTE(SUBSTITUTE(INDEX($HZ$2:$HZ$13,$KM14),"~","~~"),"*","~*"),"?","~?"),'DADOS_APTIDOES'!$BF$2:$BO$45,10,FALSE),"")&lt;&gt;"","Do livro: "&amp;IFERROR(VLOOKUP(SUBSTITUTE(SUBSTITUTE(SUBSTITUTE(INDEX($HZ$2:$HZ$13,$KM14),"~","~~"),"*","~*"),"?","~?"),'DADOS_APTIDOES'!$BF$2:$BO$45,10,FALSE),""),"")))</f>
        <v/>
      </c>
      <c r="KR14" s="162" t="inlineStr">
        <is>
          <t>par 10</t>
        </is>
      </c>
      <c r="KS14" s="164">
        <f>UPPER(INDEX($D$3:$G$3,1,$A$2))&amp;" 31 A 36"</f>
        <v/>
      </c>
      <c r="KU14" s="162" t="inlineStr">
        <is>
          <t>P17</t>
        </is>
      </c>
      <c r="KV14" s="164">
        <f>IF(DADOS_AM!$HM$42=1,"GRUPO 3","—")</f>
        <v/>
      </c>
      <c r="KW14">
        <f>IF($EE14="","",IFERROR(VLOOKUP(SUBSTITUTE(SUBSTITUTE(SUBSTITUTE($EE14,"~","~~"),"*","~*"),"?","~?"),'DADOS_MELHORIAS'!$O$2:$X$113,10,FALSE),$EE14))</f>
        <v/>
      </c>
      <c r="KX14">
        <f>IF($EF14="","",IFERROR(VLOOKUP(SUBSTITUTE(SUBSTITUTE(SUBSTITUTE($EF14,"~","~~"),"*","~*"),"?","~?"),'DADOS_MELHORIAS'!$O$2:$X$113,10,FALSE),$EF14))</f>
        <v/>
      </c>
      <c r="KY14">
        <f>IF($EG14="","",IFERROR(VLOOKUP(SUBSTITUTE(SUBSTITUTE(SUBSTITUTE($EG14,"~","~~"),"*","~*"),"?","~?"),'DADOS_MELHORIAS'!$O$2:$X$113,10,FALSE),$EG14))</f>
        <v/>
      </c>
      <c r="KZ14">
        <f>IF($EH14="","",IFERROR(VLOOKUP(SUBSTITUTE(SUBSTITUTE(SUBSTITUTE($EH14,"~","~~"),"*","~*"),"?","~?"),'DADOS_MELHORIAS'!$O$2:$X$113,10,FALSE),$EH14))</f>
        <v/>
      </c>
      <c r="LB14">
        <f>IFERROR(INDEX('DADOS_FORMAS'!$BJ$2:$BJ$21,MATCH(SUBSTITUTE(SUBSTITUTE(SUBSTITUTE($ED14,"~","~~"),"*","~*"),"?","~?"),'DADOS_FORMAS'!$AH$2:$AH$21,0)),"")</f>
        <v/>
      </c>
      <c r="LC14">
        <f>IFERROR(VLOOKUP(SUBSTITUTE(SUBSTITUTE(SUBSTITUTE(IFERROR(INDEX('DADOS_FORMAS'!$AS$2:$AS$21,MATCH(SUBSTITUTE(SUBSTITUTE(SUBSTITUTE($ED14,"~","~~"),"*","~*"),"?","~?"),'DADOS_FORMAS'!$AH$2:$AH$21,0)),""),"~","~~"),"*","~*"),"?","~?"),'DADOS_RESTRICOES'!$M$2:$Q$54,2,FALSE),"")</f>
        <v/>
      </c>
      <c r="LD14">
        <f>$FD14</f>
        <v/>
      </c>
      <c r="LE14">
        <f>$FE14</f>
        <v/>
      </c>
      <c r="LF14">
        <f>$LC14</f>
        <v/>
      </c>
    </row>
    <row r="15">
      <c r="C15" s="162" t="inlineStr">
        <is>
          <t>grupo</t>
        </is>
      </c>
      <c r="D15" s="162" t="inlineStr">
        <is>
          <t>—</t>
        </is>
      </c>
      <c r="E15" s="162" t="inlineStr">
        <is>
          <t>—</t>
        </is>
      </c>
      <c r="F15" s="162" t="inlineStr">
        <is>
          <t>Grupo</t>
        </is>
      </c>
      <c r="G15" s="162" t="inlineStr">
        <is>
          <t>Grupo</t>
        </is>
      </c>
      <c r="AO15" s="162" t="inlineStr">
        <is>
          <t>Cone · classes 1 a 5</t>
        </is>
      </c>
      <c r="AP15" s="162" t="inlineStr">
        <is>
          <t>Cone de 4,5 m</t>
        </is>
      </c>
      <c r="AQ15" s="162" t="inlineStr">
        <is>
          <t>Cone de 9 m</t>
        </is>
      </c>
      <c r="AR15" s="162" t="inlineStr">
        <is>
          <t>Cone de 18 m</t>
        </is>
      </c>
      <c r="AS15" s="162" t="inlineStr">
        <is>
          <t>Cone de 30 m</t>
        </is>
      </c>
      <c r="AT15" s="162" t="inlineStr">
        <is>
          <t>Cone de 60 m</t>
        </is>
      </c>
      <c r="AU15" s="162" t="inlineStr">
        <is>
          <t>Cone de 60 m</t>
        </is>
      </c>
      <c r="AV15" s="162" t="inlineStr"/>
      <c r="AW15" s="162" t="inlineStr"/>
      <c r="AX15" s="162" t="inlineStr"/>
      <c r="AY15" s="162" t="inlineStr"/>
      <c r="AZ15" s="162" t="inlineStr"/>
      <c r="BA15" s="162" t="inlineStr"/>
      <c r="BC15" s="162" t="inlineStr">
        <is>
          <t>Contorno</t>
        </is>
      </c>
      <c r="BD15" s="162" t="inlineStr">
        <is>
          <t>Área</t>
        </is>
      </c>
      <c r="BE15" s="164" t="n">
        <v>1</v>
      </c>
      <c r="BF15" s="164">
        <f>$BE15+3*IFERROR(VLOOKUP($BD15,'DADOS_CRIACAO'!$H$2:$K$20,3,FALSE),0)</f>
        <v/>
      </c>
      <c r="BG15" s="164">
        <f>IFERROR(VLOOKUP($BD15,'DADOS_CRIACAO'!$H$2:$K$20,4,FALSE),0)</f>
        <v/>
      </c>
      <c r="BH15" s="164" t="n">
        <v>0</v>
      </c>
      <c r="BI15" s="164">
        <f>IF($BG15=1,"",$BC15)</f>
        <v/>
      </c>
      <c r="BJ15" s="164">
        <f>IF(AND($BE15=1,$BG15=0),$BC15,"")</f>
        <v/>
      </c>
      <c r="BK15" s="164" t="n">
        <v>0</v>
      </c>
      <c r="BM15" s="162" t="inlineStr">
        <is>
          <t>Uma Vez</t>
        </is>
      </c>
      <c r="BN15" s="162" t="inlineStr">
        <is>
          <t>Uma Vez</t>
        </is>
      </c>
      <c r="BO15" s="164" t="n">
        <v>1</v>
      </c>
      <c r="BP15" s="164" t="n">
        <v>1</v>
      </c>
      <c r="BQ15" s="162" t="inlineStr">
        <is>
          <t>Uma Vez</t>
        </is>
      </c>
      <c r="BS15" s="162" t="inlineStr">
        <is>
          <t>Escama</t>
        </is>
      </c>
      <c r="BT15" s="164" t="n">
        <v>3</v>
      </c>
      <c r="BU15" s="162" t="inlineStr">
        <is>
          <t>Escolha um tipo de dano que a Regra da sua técnica justifique. Você tem resistência a esse tipo: sofre metade do dano, com o arredondamento das regras de dano.</t>
        </is>
      </c>
      <c r="BV15" s="164" t="n">
        <v>1</v>
      </c>
      <c r="BW15" s="164" t="n">
        <v>0</v>
      </c>
      <c r="BX15" s="164">
        <f>IF(OR(AND($A$2&lt;=2,$BV15=1),AND($A$2&gt;=2,$BW15=1)),$BS15,"")</f>
        <v/>
      </c>
      <c r="BY15" s="162" t="inlineStr">
        <is>
          <t>Escolha um tipo de dano que a Regra da sua técnica justifique. Você tem resistência a esse tipo: sofre metade do dano, com o arredondamento das regras de dano.</t>
        </is>
      </c>
      <c r="CD15" s="162" t="inlineStr">
        <is>
          <t>Cortina</t>
        </is>
      </c>
      <c r="CE15" s="162" t="inlineStr">
        <is>
          <t>Barreira Simples</t>
        </is>
      </c>
      <c r="CF15" s="162" t="inlineStr">
        <is>
          <t>—</t>
        </is>
      </c>
      <c r="CG15" s="162" t="inlineStr">
        <is>
          <t>Teto de 150 m no 1 a 3 · 300 m no 4 a 6 · 400 m no 7 ou mais</t>
        </is>
      </c>
      <c r="CH15" s="162" t="inlineStr">
        <is>
          <t>Você delimita uma área para esconder seu interior de pessoas que não são feiticeiras e controlar a passagem por suas bordas. A preparação segue Barreira Simples: 1 minuto, sem custo em PE. Antes de começar, registre o lugar e suas bordas: um prédio, uma escola, uma quadra ou outro local contínuo. Ao concluir, a distância de você até o ponto mais distante da borda não pode ultrapassar o teto do seu Refino. O lugar e as bordas continuam definidos pela descrição; a medida limita a Cortina inteira, não cada trecho isolado. A Cortina tem 40 × Refino pontos de vida, compartilhados por toda a superfície. Sofre ataques e TRs pelo procedimento de Barreira Simples. Fica ancorada no lugar e termina com vida zero, se você ficar Inconsciente ou se decidir encerrá-la. Ela compartilha o limite de uma barreira mantida com Barreira Simples: concluir uma substitui a outra. Ao preparar, escreva uma condição verificável sobre quem pode atravessar e em qual sentido. Ela vale até a Cortina terminar. As bordas escolhidas não se movem. A condição regula a travessia das criaturas que ela identifica. Não cria a vedação completa da Barreira Simples: ataques e efeitos ainda seguem seu alcance, sua trajetória e a visibilidade disponível. Uma criatura impedida de atravessar pode tentar destruir a Cortina.</t>
        </is>
      </c>
      <c r="CI15" s="164">
        <f>IF($CL15=1,"",IF($A$2=4,IF($CJ15=1,$CD15,""),IF(OR($CJ15=1,AND($A$2=3,$CK15=1)),"",$CD15)))</f>
        <v/>
      </c>
      <c r="CJ15" s="164" t="n">
        <v>0</v>
      </c>
      <c r="CK15" s="164" t="n">
        <v>0</v>
      </c>
      <c r="CL15" s="164" t="n">
        <v>0</v>
      </c>
      <c r="CM15" s="162" t="inlineStr">
        <is>
          <t>Você delimita uma área para esconder seu interior de pessoas que não são feiticeiras e controlar a passagem por suas bordas.</t>
        </is>
      </c>
      <c r="DY15" s="162" t="inlineStr">
        <is>
          <t>Feitiço 14</t>
        </is>
      </c>
      <c r="DZ15" s="164" t="n">
        <v>0</v>
      </c>
      <c r="EA15" s="164" t="n">
        <v>14</v>
      </c>
      <c r="EB15" s="164">
        <f>MAX(1,MIN(7,N('FICHA AMALDIÇOADA'!$J$150)))</f>
        <v/>
      </c>
      <c r="EC15" s="164">
        <f>'FICHA AMALDIÇOADA'!$K$150&amp;""</f>
        <v/>
      </c>
      <c r="ED15" s="164">
        <f>'FICHA AMALDIÇOADA'!$J$157&amp;""</f>
        <v/>
      </c>
      <c r="EE15" s="164">
        <f>'FICHA AMALDIÇOADA'!$K$159&amp;""</f>
        <v/>
      </c>
      <c r="EF15" s="164">
        <f>'FICHA AMALDIÇOADA'!$K$160&amp;""</f>
        <v/>
      </c>
      <c r="EG15" s="164">
        <f>'FICHA AMALDIÇOADA'!$K$161&amp;""</f>
        <v/>
      </c>
      <c r="EH15" s="164">
        <f>'FICHA AMALDIÇOADA'!$K$162&amp;""</f>
        <v/>
      </c>
      <c r="EI15" s="164">
        <f>'FICHA AMALDIÇOADA'!$K$163&amp;""</f>
        <v/>
      </c>
      <c r="EJ15" s="164">
        <f>'FICHA AMALDIÇOADA'!$K$164&amp;""</f>
        <v/>
      </c>
      <c r="EK15" s="164">
        <f>IF($EC15&lt;&gt;"",1,0)</f>
        <v/>
      </c>
      <c r="EL15" s="164">
        <f>IFERROR(MATCH(SUBSTITUTE(SUBSTITUTE(SUBSTITUTE($ED15,"~","~~"),"*","~*"),"?","~?"),'DADOS_FORMAS'!$FJ$2:$FJ$21,0),0)</f>
        <v/>
      </c>
      <c r="EM15" s="164">
        <f>IF($EL15=0,0,INDEX('DADOS_FORMAS'!$FM$2:$FM$21,$EL15))</f>
        <v/>
      </c>
      <c r="EN15" s="164">
        <f>IFERROR(VLOOKUP(SUBSTITUTE(SUBSTITUTE(SUBSTITUTE($EE15,"~","~~"),"*","~*"),"?","~?"),'DADOS_MELHORIAS'!$O$2:$W$113,4,FALSE),0)</f>
        <v/>
      </c>
      <c r="EO15" s="164">
        <f>IFERROR(VLOOKUP(SUBSTITUTE(SUBSTITUTE(SUBSTITUTE($EF15,"~","~~"),"*","~*"),"?","~?"),'DADOS_MELHORIAS'!$O$2:$W$113,4,FALSE),0)</f>
        <v/>
      </c>
      <c r="EP15" s="164">
        <f>IFERROR(VLOOKUP(SUBSTITUTE(SUBSTITUTE(SUBSTITUTE($EG15,"~","~~"),"*","~*"),"?","~?"),'DADOS_MELHORIAS'!$O$2:$W$113,4,FALSE),0)</f>
        <v/>
      </c>
      <c r="EQ15" s="164">
        <f>IFERROR(VLOOKUP(SUBSTITUTE(SUBSTITUTE(SUBSTITUTE($EH15,"~","~~"),"*","~*"),"?","~?"),'DADOS_MELHORIAS'!$O$2:$W$113,4,FALSE),0)</f>
        <v/>
      </c>
      <c r="ER15" s="164">
        <f>IF($EL15=0,0,INDEX('DADOS_FORMAS'!$FN$2:$FN$21,$EL15))</f>
        <v/>
      </c>
      <c r="ES15" s="164">
        <f>IFERROR(VLOOKUP(SUBSTITUTE(SUBSTITUTE(SUBSTITUTE($EE15,"~","~~"),"*","~*"),"?","~?"),'DADOS_MELHORIAS'!$O$2:$W$113,5,FALSE),0)</f>
        <v/>
      </c>
      <c r="ET15" s="164">
        <f>IFERROR(VLOOKUP(SUBSTITUTE(SUBSTITUTE(SUBSTITUTE($EF15,"~","~~"),"*","~*"),"?","~?"),'DADOS_MELHORIAS'!$O$2:$W$113,5,FALSE),0)</f>
        <v/>
      </c>
      <c r="EU15" s="164">
        <f>IFERROR(VLOOKUP(SUBSTITUTE(SUBSTITUTE(SUBSTITUTE($EG15,"~","~~"),"*","~*"),"?","~?"),'DADOS_MELHORIAS'!$O$2:$W$113,5,FALSE),0)</f>
        <v/>
      </c>
      <c r="EV15" s="164">
        <f>IFERROR(VLOOKUP(SUBSTITUTE(SUBSTITUTE(SUBSTITUTE($EH15,"~","~~"),"*","~*"),"?","~?"),'DADOS_MELHORIAS'!$O$2:$W$113,5,FALSE),0)</f>
        <v/>
      </c>
      <c r="EW15" s="164">
        <f>IFERROR(VLOOKUP(SUBSTITUTE(SUBSTITUTE(SUBSTITUTE($EE15,"~","~~"),"*","~*"),"?","~?"),'DADOS_MELHORIAS'!$O$2:$W$113,6,FALSE),0)+IFERROR(VLOOKUP(SUBSTITUTE(SUBSTITUTE(SUBSTITUTE($EF15,"~","~~"),"*","~*"),"?","~?"),'DADOS_MELHORIAS'!$O$2:$W$113,6,FALSE),0)+IFERROR(VLOOKUP(SUBSTITUTE(SUBSTITUTE(SUBSTITUTE($EG15,"~","~~"),"*","~*"),"?","~?"),'DADOS_MELHORIAS'!$O$2:$W$113,6,FALSE),0)+IFERROR(VLOOKUP(SUBSTITUTE(SUBSTITUTE(SUBSTITUTE($EH15,"~","~~"),"*","~*"),"?","~?"),'DADOS_MELHORIAS'!$O$2:$W$113,6,FALSE),0)</f>
        <v/>
      </c>
      <c r="EX15" s="164">
        <f>IFERROR(VLOOKUP(SUBSTITUTE(SUBSTITUTE(SUBSTITUTE($EE15,"~","~~"),"*","~*"),"?","~?"),'DADOS_MELHORIAS'!$O$2:$W$113,9,FALSE),0)+IFERROR(VLOOKUP(SUBSTITUTE(SUBSTITUTE(SUBSTITUTE($EF15,"~","~~"),"*","~*"),"?","~?"),'DADOS_MELHORIAS'!$O$2:$W$113,9,FALSE),0)+IFERROR(VLOOKUP(SUBSTITUTE(SUBSTITUTE(SUBSTITUTE($EG15,"~","~~"),"*","~*"),"?","~?"),'DADOS_MELHORIAS'!$O$2:$W$113,9,FALSE),0)+IFERROR(VLOOKUP(SUBSTITUTE(SUBSTITUTE(SUBSTITUTE($EH15,"~","~~"),"*","~*"),"?","~?"),'DADOS_MELHORIAS'!$O$2:$W$113,9,FALSE),0)</f>
        <v/>
      </c>
      <c r="EY15" s="164">
        <f>IF($EL15=0,0,INDEX('DADOS_FORMAS'!$FO$2:$FO$21,$EL15))</f>
        <v/>
      </c>
      <c r="EZ15" s="164">
        <f>IF($EL15=0,0,INDEX('DADOS_FORMAS'!$FP$2:$FP$21,$EL15))</f>
        <v/>
      </c>
      <c r="FA15" s="164">
        <f>IF($EL15=0,0,INDEX('DADOS_FORMAS'!$FR$2:$FR$21,$EL15))</f>
        <v/>
      </c>
      <c r="FB15" s="164">
        <f>IFERROR(VLOOKUP(SUBSTITUTE(SUBSTITUTE(SUBSTITUTE($EI15,"~","~~"),"*","~*"),"?","~?"),'DADOS_RESTRICOES'!$M$2:$Q$54,3,FALSE),0)</f>
        <v/>
      </c>
      <c r="FC15" s="164">
        <f>IFERROR(VLOOKUP(SUBSTITUTE(SUBSTITUTE(SUBSTITUTE($EJ15,"~","~~"),"*","~*"),"?","~?"),'DADOS_RESTRICOES'!$M$2:$Q$54,3,FALSE),0)</f>
        <v/>
      </c>
      <c r="FD15" s="164">
        <f>IFERROR(VLOOKUP(SUBSTITUTE(SUBSTITUTE(SUBSTITUTE($EI15,"~","~~"),"*","~*"),"?","~?"),'DADOS_RESTRICOES'!$M$2:$Q$54,2,FALSE),"")</f>
        <v/>
      </c>
      <c r="FE15" s="164">
        <f>IFERROR(VLOOKUP(SUBSTITUTE(SUBSTITUTE(SUBSTITUTE($EJ15,"~","~~"),"*","~*"),"?","~?"),'DADOS_RESTRICOES'!$M$2:$Q$54,2,FALSE),"")</f>
        <v/>
      </c>
      <c r="FF15" s="164">
        <f>COUNTIF($EM15:$EQ15,1)</f>
        <v/>
      </c>
      <c r="FG15" s="164">
        <f>COUNTIF($EM15:$EQ15,2)</f>
        <v/>
      </c>
      <c r="FH15" s="164">
        <f>COUNTIF($EM15:$EQ15,3)</f>
        <v/>
      </c>
      <c r="FI15" s="164">
        <f>COUNTIF($EM15:$EQ15,4)</f>
        <v/>
      </c>
      <c r="FJ15" s="164">
        <f>COUNTIF($EM15:$EQ15,5)</f>
        <v/>
      </c>
      <c r="FK15" s="164">
        <f>COUNTIF($EM15:$EQ15,6)</f>
        <v/>
      </c>
      <c r="FL15" s="164">
        <f>COUNTIF($FB15:$FC15,1)+IF(IFERROR(INDEX('DADOS_FORMAS'!$AS$2:$AS$21,MATCH(SUBSTITUTE(SUBSTITUTE(SUBSTITUTE($ED15,"~","~~"),"*","~*"),"?","~?"),'DADOS_FORMAS'!$AH$2:$AH$21,0)),"")="",0,IFERROR(N(VLOOKUP(SUBSTITUTE(SUBSTITUTE(SUBSTITUTE(IFERROR(INDEX('DADOS_FORMAS'!$AS$2:$AS$21,MATCH(SUBSTITUTE(SUBSTITUTE(SUBSTITUTE($ED15,"~","~~"),"*","~*"),"?","~?"),'DADOS_FORMAS'!$AH$2:$AH$21,0)),""),"~","~~"),"*","~*"),"?","~?"),'DADOS_RESTRICOES'!$M$2:$Q$54,3,FALSE)=1),0))</f>
        <v/>
      </c>
      <c r="FM15" s="164">
        <f>COUNTIF($FB15:$FC15,2)+IF(IFERROR(INDEX('DADOS_FORMAS'!$AS$2:$AS$21,MATCH(SUBSTITUTE(SUBSTITUTE(SUBSTITUTE($ED15,"~","~~"),"*","~*"),"?","~?"),'DADOS_FORMAS'!$AH$2:$AH$21,0)),"")="",0,IFERROR(N(VLOOKUP(SUBSTITUTE(SUBSTITUTE(SUBSTITUTE(IFERROR(INDEX('DADOS_FORMAS'!$AS$2:$AS$21,MATCH(SUBSTITUTE(SUBSTITUTE(SUBSTITUTE($ED15,"~","~~"),"*","~*"),"?","~?"),'DADOS_FORMAS'!$AH$2:$AH$21,0)),""),"~","~~"),"*","~*"),"?","~?"),'DADOS_RESTRICOES'!$M$2:$Q$54,3,FALSE)=2),0))</f>
        <v/>
      </c>
      <c r="FN15" s="164">
        <f>COUNTIF($EE15:$EH15,"?*")</f>
        <v/>
      </c>
      <c r="FO15" s="164">
        <f>COUNTIF($EI15:$EJ15,"?*")+$EY15</f>
        <v/>
      </c>
      <c r="FP15" s="164">
        <f>SUMPRODUCT($FF15:$FK15,INDEX($Q$2:$V$8,$EB15,0))</f>
        <v/>
      </c>
      <c r="FQ15" s="164">
        <f>$FL15*CEILING($EB15/2,1)+$FM15*$EB15</f>
        <v/>
      </c>
      <c r="FR15" s="164">
        <f>MIN(2*$EB15,$FQ15)</f>
        <v/>
      </c>
      <c r="FS15" s="164">
        <f>MIN($FR15,$FP15-IF($EM15=0,0,INDEX($Q$2:$V$8,$EB15,$EM15)))</f>
        <v/>
      </c>
      <c r="FT15" s="164">
        <f>$FR15-$FS15</f>
        <v/>
      </c>
      <c r="FU15" s="164">
        <f>3*$EB15-$FP15+$FS15</f>
        <v/>
      </c>
      <c r="FV15" s="164">
        <f>MAX(0,$FU15)+$DZ15*$EB15</f>
        <v/>
      </c>
      <c r="FW15" s="164">
        <f>(IF(COUNTIF($KW15:$KZ15,"Salto")&gt;0,1,0)+IF(COUNTIF($KW15:$KZ15,"Queima")&gt;0,1,0)+IF(COUNTIF($KW15:$KZ15,"Estilhaço")&gt;0,1,0))*FLOOR($FV15/2,1)</f>
        <v/>
      </c>
      <c r="FX15" s="164">
        <f>MAX(0,3-SUMPRODUCT($FF15:$FK15,$Q$2:$V$2)+MIN(2,$FL15*1+$FM15*1,SUMPRODUCT($FF15:$FK15,$Q$2:$V$2)-IF($EM15=0,0,INDEX($Q$2:$V$2,1,$EM15))))+$DZ15*1</f>
        <v/>
      </c>
      <c r="FY15" s="164">
        <f>MAX(0,6-SUMPRODUCT($FF15:$FK15,$Q$3:$V$3)+MIN(4,$FL15*1+$FM15*2,SUMPRODUCT($FF15:$FK15,$Q$3:$V$3)-IF($EM15=0,0,INDEX($Q$3:$V$3,1,$EM15))))+$DZ15*2</f>
        <v/>
      </c>
      <c r="FZ15" s="164">
        <f>MAX(0,9-SUMPRODUCT($FF15:$FK15,$Q$4:$V$4)+MIN(6,$FL15*2+$FM15*3,SUMPRODUCT($FF15:$FK15,$Q$4:$V$4)-IF($EM15=0,0,INDEX($Q$4:$V$4,1,$EM15))))+$DZ15*3</f>
        <v/>
      </c>
      <c r="GA15" s="164">
        <f>MAX(0,12-SUMPRODUCT($FF15:$FK15,$Q$5:$V$5)+MIN(8,$FL15*2+$FM15*4,SUMPRODUCT($FF15:$FK15,$Q$5:$V$5)-IF($EM15=0,0,INDEX($Q$5:$V$5,1,$EM15))))+$DZ15*4</f>
        <v/>
      </c>
      <c r="GB15" s="164">
        <f>MAX(0,15-SUMPRODUCT($FF15:$FK15,$Q$6:$V$6)+MIN(10,$FL15*3+$FM15*5,SUMPRODUCT($FF15:$FK15,$Q$6:$V$6)-IF($EM15=0,0,INDEX($Q$6:$V$6,1,$EM15))))+$DZ15*5</f>
        <v/>
      </c>
      <c r="GC15" s="164">
        <f>MAX(0,18-SUMPRODUCT($FF15:$FK15,$Q$7:$V$7)+MIN(12,$FL15*3+$FM15*6,SUMPRODUCT($FF15:$FK15,$Q$7:$V$7)-IF($EM15=0,0,INDEX($Q$7:$V$7,1,$EM15))))+$DZ15*6</f>
        <v/>
      </c>
      <c r="GD15" s="164">
        <f>MAX(0,21-SUMPRODUCT($FF15:$FK15,$Q$8:$V$8)+MIN(14,$FL15*4+$FM15*7,SUMPRODUCT($FF15:$FK15,$Q$8:$V$8)-IF($EM15=0,0,INDEX($Q$8:$V$8,1,$EM15))))+$DZ15*7</f>
        <v/>
      </c>
      <c r="GE15" s="164">
        <f>IF($EZ15=2,3*$FX15&amp;" de vida temp.",IF($EZ15=3,"sem dano",IF($FX15=0,IF($EZ15=1,"sem cura","sem dano"),IF($EZ15=1,"cura ","")&amp;$FX15&amp;"d8")))</f>
        <v/>
      </c>
      <c r="GF15" s="164">
        <f>IF($EZ15=2,3*$FY15&amp;" de vida temp.",IF($EZ15=3,"sem dano",IF($FY15=0,IF($EZ15=1,"sem cura","sem dano"),IF($EZ15=1,"cura ","")&amp;$FY15&amp;"d8")))</f>
        <v/>
      </c>
      <c r="GG15" s="164">
        <f>IF($EZ15=2,3*$FZ15&amp;" de vida temp.",IF($EZ15=3,"sem dano",IF($FZ15=0,IF($EZ15=1,"sem cura","sem dano"),IF($EZ15=1,"cura ","")&amp;$FZ15&amp;"d8")))</f>
        <v/>
      </c>
      <c r="GH15" s="164">
        <f>IF($EZ15=2,3*$GA15&amp;" de vida temp.",IF($EZ15=3,"sem dano",IF($GA15=0,IF($EZ15=1,"sem cura","sem dano"),IF($EZ15=1,"cura ","")&amp;$GA15&amp;"d8")))</f>
        <v/>
      </c>
      <c r="GI15" s="164">
        <f>IF($EZ15=2,3*$GB15&amp;" de vida temp.",IF($EZ15=3,"sem dano",IF($GB15=0,IF($EZ15=1,"sem cura","sem dano"),IF($EZ15=1,"cura ","")&amp;$GB15&amp;"d8")))</f>
        <v/>
      </c>
      <c r="GJ15" s="164">
        <f>IF($EZ15=2,3*$GC15&amp;" de vida temp.",IF($EZ15=3,"sem dano",IF($GC15=0,IF($EZ15=1,"sem cura","sem dano"),IF($EZ15=1,"cura ","")&amp;$GC15&amp;"d8")))</f>
        <v/>
      </c>
      <c r="GK15" s="164">
        <f>IF($EZ15=2,3*$GD15&amp;" de vida temp.",IF($EZ15=3,"sem dano",IF($GD15=0,IF($EZ15=1,"sem cura","sem dano"),IF($EZ15=1,"cura ","")&amp;$GD15&amp;"d8")))</f>
        <v/>
      </c>
      <c r="GL15" s="164">
        <f>IF($EK15=0,"",TEXTJOIN(" · ",TRUE,IF($EK15=0,"",TEXTJOIN(" · ",TRUE,IF($EK15=0,"",TEXTJOIN(" · ",TRUE,IF(AND($DZ15=1,$EA15&gt;$HM$9),"O nível "&amp;$HM$2&amp;" dá "&amp;$HM$9&amp;" Liberação Máxima",""),IF($EB15&gt;$HM$4,"Classe "&amp;$EB15&amp;": o nível "&amp;$HM$2&amp;" libera até a "&amp;$HM$4,""),IF($ER15=1,"Família Fechada: a Forma "&amp;$ED15,""),IF($ES15=1,"Família Fechada: "&amp;$EE15,""),IF($ET15=1,"Família Fechada: "&amp;$EF15,""),IF($EU15=1,"Família Fechada: "&amp;$EG15,""),IF($EV15=1,"Família Fechada: "&amp;$EH15,""),IF($FN15&gt;INDEX($W$2:$W$8,$EB15),$FN15&amp;" Melhorias: a Classe "&amp;$EB15&amp;" aceita "&amp;INDEX($W$2:$W$8,$EB15),""),IF($FO15&gt;2,$FO15&amp;" Restrições"&amp;IF($EY15=1,", contando a que a Forma "&amp;$ED15&amp;" já traz","")&amp;": o limite é 2",""),IF($FU15&lt;0,"Orçamento estourado: faltam "&amp;(-$FU15)&amp;IF($FU15&lt;-1," pontos"," ponto"),""),IF(IFERROR(VLOOKUP(SUBSTITUTE(SUBSTITUTE(SUBSTITUTE($EI15,"~","~~"),"*","~*"),"?","~?"),'DADOS_RESTRICOES'!$M$2:$Q$54,4,FALSE),0)+IFERROR(VLOOKUP(SUBSTITUTE(SUBSTITUTE(SUBSTITUTE($EJ15,"~","~~"),"*","~*"),"?","~?"),'DADOS_RESTRICOES'!$M$2:$Q$54,4,FALSE),0)&gt;1,$FD15&amp;" e "&amp;$FE15&amp;" são as duas de frequência",""),IF(AND((COUNTIF($KW15:$KZ15,"Rápido")+COUNTIF($FD15:$FE15,"Rápido"))&gt;0,(COUNTIF($EE15:$EH15,"Atrasar")+COUNTIF($FD15:$FE15,"Atrasar"))&gt;0),"Rápido não entra com Atrasar",""),IF(AND((COUNTIF($KW15:$KZ15,"Reação")+COUNTIF($FD15:$FE15,"Reação"))&gt;0,(COUNTIF($KW15:$KZ15,"Rápido")+COUNTIF($FD15:$FE15,"Rápido"))&gt;0),"Reação não entra com Rápido",""),IF(AND((COUNTIF($KW15:$KZ15,"Reação")+COUNTIF($FD15:$FE15,"Reação"))&gt;0,(COUNTIF($KW15:$KZ15,"Armado")+COUNTIF($FD15:$FE15,"Armado"))&gt;0),"Reação não entra com Armado",""),IF(AND((COUNTIF($KW15:$KZ15,"Reação")+COUNTIF($FD15:$FE15,"Reação"))&gt;0,(COUNTIF($EE15:$EH15,"Atrasar")+COUNTIF($FD15:$FE15,"Atrasar"))&gt;0),"Reação não entra com Atrasar",""),IF(AND((COUNTIF($KW15:$KZ15,"Reação")+COUNTIF($FD15:$FE15,"Reação"))&gt;0,(COUNTIF($EE15:$EH15,"Parado")+COUNTIF($FD15:$FE15,"Parado"))&gt;0),"Reação não entra com Parado",""),IF(AND((COUNTIF($EE15:$EH15,"Atrasar")+COUNTIF($FD15:$FE15,"Atrasar"))&gt;0,(COUNTIF($EE15:$EH15,"Parado")+COUNTIF($FD15:$FE15,"Parado"))&gt;0),"Atrasar não entra com Parado",""),IF(AND((COUNTIF($KW15:$KZ15,"Armado")+COUNTIF($FD15:$FE15,"Armado"))&gt;0,(COUNTIF($EE15:$EH15,"Carregar")+COUNTIF($FD15:$FE15,"Carregar"))&gt;0),"Armado não entra com Carregar",""),IF(AND(COUNTIF($FD15:$FE15,"Corpo a Corpo")&gt;0,$EY15=0,OR($LB15="Cone",$LB15="Linha")),"Corpo a Corpo não entra em "&amp;$ED15,""),IF(AND(COUNTIF($FD15:$FE15,"Corpo a Corpo")&gt;0,$LC15="Corpo a Corpo"),"A Forma "&amp;$ED15&amp;" já traz o Corpo a Corpo",""),IF(AND(COUNTIF($FD15:$FE15,"Tudo ou Nada")&gt;0,$FA15=0),"Tudo ou Nada só entra em feitiço de Teste de Resistência",""),IF(AND(COUNTIF($KW15:$KZ15,"Inescapável")&gt;0,OR($FN15&gt;1,$FO15&gt;0)),"Inescapável não aceita outra peça",""),IF(AND($DZ15=1,$EB15&lt;3),"Liberação Máxima é de Classe 3 ou mais",""),IF(AND($DZ15=1,OR($EZ15=1,$EZ15=2)),"Liberação Máxima não serve para cura",""),IF(AND($DZ15=1,COUNTIF($KW15:$KZ15,"Inescapável")+COUNTIF($KW15:$KZ15,"Toca a Alma")&gt;0),"Esta peça não entra numa Liberação Máxima",""),IF($FV15*IF(COUNTIF($KW15:$KZ15,"Remate")&gt;0,1.25,1)+$FW15&gt;4*$EB15,($FV15*IF(COUNTIF($KW15:$KZ15,"Remate")&gt;0,1.25,1)+$FW15)&amp;" dados somando repetições"&amp;IF(COUNTIF($KW15:$KZ15,"Remate")&gt;0," e o Remate","")&amp;": o teto da Classe "&amp;$EB15&amp;" é "&amp;4*$EB15,""))),IF(AND($EE15&lt;&gt;"",COUNTIF('DADOS_MELHORIAS'!$O$2:$O$113,SUBSTITUTE(SUBSTITUTE(SUBSTITUTE($EE15,"~","~~"),"*","~*"),"?","~?"))=0),"Melhoria não cadastrada ou com erro: "&amp;$EE15,""),IF(AND($EF15&lt;&gt;"",COUNTIF('DADOS_MELHORIAS'!$O$2:$O$113,SUBSTITUTE(SUBSTITUTE(SUBSTITUTE($EF15,"~","~~"),"*","~*"),"?","~?"))=0),"Melhoria não cadastrada ou com erro: "&amp;$EF15,""),IF(AND($EG15&lt;&gt;"",COUNTIF('DADOS_MELHORIAS'!$O$2:$O$113,SUBSTITUTE(SUBSTITUTE(SUBSTITUTE($EG15,"~","~~"),"*","~*"),"?","~?"))=0),"Melhoria não cadastrada ou com erro: "&amp;$EG15,""),IF(AND($EH15&lt;&gt;"",COUNTIF('DADOS_MELHORIAS'!$O$2:$O$113,SUBSTITUTE(SUBSTITUTE(SUBSTITUTE($EH15,"~","~~"),"*","~*"),"?","~?"))=0),"Melhoria não cadastrada ou com erro: "&amp;$EH15,""),IF(AND($EI15&lt;&gt;"",COUNTIF('DADOS_RESTRICOES'!$M$2:$M$54,SUBSTITUTE(SUBSTITUTE(SUBSTITUTE($EI15,"~","~~"),"*","~*"),"?","~?"))=0),"Restrição não cadastrada ou com erro: "&amp;$EI15,""),IF(AND($EJ15&lt;&gt;"",COUNTIF('DADOS_RESTRICOES'!$M$2:$M$54,SUBSTITUTE(SUBSTITUTE(SUBSTITUTE($EJ15,"~","~~"),"*","~*"),"?","~?"))=0),"Restrição não cadastrada ou com erro: "&amp;$EJ15,""))),IF(AND($ED15&lt;&gt;"",COUNTIF('DADOS_FORMAS'!$AH$2:$AH$21,SUBSTITUTE(SUBSTITUTE(SUBSTITUTE($ED15,"~","~~"),"*","~*"),"?","~?"))=0),"Forma não cadastrada ou com erro: "&amp;$ED15,""),IF(AND(IFERROR(INDEX('DADOS_FORMAS'!$AS$2:$AS$21,MATCH(SUBSTITUTE(SUBSTITUTE(SUBSTITUTE($ED15,"~","~~"),"*","~*"),"?","~?"),'DADOS_FORMAS'!$AH$2:$AH$21,0)),"")&lt;&gt;"",OR(IFERROR(VLOOKUP(SUBSTITUTE(SUBSTITUTE(SUBSTITUTE(IFERROR(INDEX('DADOS_FORMAS'!$AS$2:$AS$21,MATCH(SUBSTITUTE(SUBSTITUTE(SUBSTITUTE($ED15,"~","~~"),"*","~*"),"?","~?"),'DADOS_FORMAS'!$AH$2:$AH$21,0)),""),"~","~~"),"*","~*"),"?","~?"),'DADOS_RESTRICOES'!$M$2:$Q$54,2,FALSE),"")=$FD15,IFERROR(VLOOKUP(SUBSTITUTE(SUBSTITUTE(SUBSTITUTE(IFERROR(INDEX('DADOS_FORMAS'!$AS$2:$AS$21,MATCH(SUBSTITUTE(SUBSTITUTE(SUBSTITUTE($ED15,"~","~~"),"*","~*"),"?","~?"),'DADOS_FORMAS'!$AH$2:$AH$21,0)),""),"~","~~"),"*","~*"),"?","~?"),'DADOS_RESTRICOES'!$M$2:$Q$54,2,FALSE),"")=$FE15)),"Restrição repetida, contando a embutida",""),IF(IF(IFERROR(INDEX('DADOS_FORMAS'!$AS$2:$AS$21,MATCH(SUBSTITUTE(SUBSTITUTE(SUBSTITUTE($ED15,"~","~~"),"*","~*"),"?","~?"),'DADOS_FORMAS'!$AH$2:$AH$21,0)),"")="",0,IFERROR(N(VLOOKUP(SUBSTITUTE(SUBSTITUTE(SUBSTITUTE(IFERROR(INDEX('DADOS_FORMAS'!$AS$2:$AS$21,MATCH(SUBSTITUTE(SUBSTITUTE(SUBSTITUTE($ED15,"~","~~"),"*","~*"),"?","~?"),'DADOS_FORMAS'!$AH$2:$AH$21,0)),""),"~","~~"),"*","~*"),"?","~?"),'DADOS_RESTRICOES'!$M$2:$Q$54,4,FALSE)=1),0))+IF($EI15="",0,IFERROR(N(VLOOKUP(SUBSTITUTE(SUBSTITUTE(SUBSTITUTE($EI15,"~","~~"),"*","~*"),"?","~?"),'DADOS_RESTRICOES'!$M$2:$Q$54,4,FALSE)=1),0))+IF($EJ15="",0,IFERROR(N(VLOOKUP(SUBSTITUTE(SUBSTITUTE(SUBSTITUTE($EJ15,"~","~~"),"*","~*"),"?","~?"),'DADOS_RESTRICOES'!$M$2:$Q$54,4,FALSE)=1),0))&gt;1,"Duas Restrições de frequência, contando a embutida",""),IF(AND(IFERROR(VLOOKUP(SUBSTITUTE(SUBSTITUTE(SUBSTITUTE(IFERROR(INDEX('DADOS_FORMAS'!$AS$2:$AS$21,MATCH(SUBSTITUTE(SUBSTITUTE(SUBSTITUTE($ED15,"~","~~"),"*","~*"),"?","~?"),'DADOS_FORMAS'!$AH$2:$AH$21,0)),""),"~","~~"),"*","~*"),"?","~?"),'DADOS_RESTRICOES'!$M$2:$Q$54,2,FALSE),"")="Tudo ou Nada",$FA15=0),"Tudo ou Nada exige TR",""),IF(AND(IFERROR(VLOOKUP(SUBSTITUTE(SUBSTITUTE(SUBSTITUTE(IFERROR(INDEX('DADOS_FORMAS'!$AS$2:$AS$21,MATCH(SUBSTITUTE(SUBSTITUTE(SUBSTITUTE($ED15,"~","~~"),"*","~*"),"?","~?"),'DADOS_FORMAS'!$AH$2:$AH$21,0)),""),"~","~~"),"*","~*"),"?","~?"),'DADOS_RESTRICOES'!$M$2:$Q$54,2,FALSE),"")="Corpo a Corpo",OR($LB15="Cone",$LB15="Linha")),"Corpo a Corpo não entra em Cone/Linha","")))</f>
        <v/>
      </c>
      <c r="GM15" s="164">
        <f>IF($GL15="",0,(LEN($GL15)-LEN(SUBSTITUTE($GL15," · ","")))/3+1)</f>
        <v/>
      </c>
      <c r="GN15" s="164">
        <f>IF($EK15=0,"",TEXTJOIN(" · ",TRUE,IF($FQ15&gt;2*$EB15,"A devolução parou no teto de "&amp;2*$EB15,""),IF($FT15&gt;0,"Devolução perdida: "&amp;$FT15&amp;IF($FT15&gt;1," pontos"," ponto")&amp;" sem Melhoria para pagar",""),IF(AND($EW15&gt;0,$FV15=0),"Controle sem dano: uma rodada a mais e CD +2",""),IF(AND($EW15&gt;0,$FV15&gt;0,$FV15&lt;=$EB15),"Controle com saldo até a Classe: uma rodada a mais","")))</f>
        <v/>
      </c>
      <c r="GO15" s="164">
        <f>IF($GN15="",0,(LEN($GN15)-LEN(SUBSTITUTE($GN15," · ","")))/3+1)</f>
        <v/>
      </c>
      <c r="GP15" s="164">
        <f>IF($EK15=0,IF($FN15+$FO15-$EY15&gt;0,"Dê um nome",""),IF($GM15&gt;0,"⚠ "&amp;$GM15&amp;IF($GM15&gt;1," erros"," erro"),IF($GO15&gt;0,"! "&amp;$GO15&amp;IF($GO15&gt;1," avisos"," aviso"),"Na regra")))</f>
        <v/>
      </c>
      <c r="GQ15" s="164">
        <f>IF($EK15=0,"",IF($GM15+$GO15=0,"Dentro das regras que a ficha confere",$GL15&amp;IF(AND($GM15&gt;0,$GO15&gt;0)," · ","")&amp;$GN15))</f>
        <v/>
      </c>
      <c r="GR15" s="164">
        <f>IF($EK15=0,"",IF($DZ15=1,CEILING(4.5*$EB15,1),3*$EB15)&amp;" PE")</f>
        <v/>
      </c>
      <c r="GS15" s="164">
        <f>IF($EK15=0,"",IF($DZ15=1,"Rodada inteira",IF(COUNTIF($LD15:$LF15,"Atrasar")&gt;0,IF(COUNTIF($LD15:$LF15,"Carregar")&gt;0,"Rodada +1 turno","Rodada inteira"),IF(COUNTIF($KW15:$KZ15,"Rápido")&gt;0,"Bônus",IF(COUNTIF($KW15:$KZ15,"Reação")&gt;0,"Reação","Padrão"))&amp;IF(COUNTIF($LD15:$LF15,"Carregar")&gt;0," +1 turno",""))))</f>
        <v/>
      </c>
      <c r="GT15" s="164">
        <f>IF(OR($EK15=0,$EL15=0),"",IF(COUNTIF($KW15:$KZ15,"Inescapável")&gt;0,"Automático",IF(COUNTIF($KW15:$KZ15,"Certeiro")&gt;0,"TR para metade",IF(AND($EX15&gt;0,$FA15=0,INDEX('DADOS_FORMAS'!$FQ$2:$FQ$21,$EL15)="Acerto"),"Acerto + TR",INDEX('DADOS_FORMAS'!$FQ$2:$FQ$21,$EL15)))))</f>
        <v/>
      </c>
      <c r="GU15" s="164">
        <f>IF(OR($EK15=0,$EL15=0),"",IF(OR($EZ15&gt;=2,$FV15=0),UPPER(LEFT(INDEX($GE15:$GK15,1,$EB15),1))&amp;MID(INDEX($GE15:$GK15,1,$EB15),2,99),UPPER(LEFT(INDEX($GE15:$GK15,1,$EB15),1))&amp;MID(INDEX($GE15:$GK15,1,$EB15),2,99)&amp;" = "&amp;FLOOR($FV15*4.5,1)&amp;IF($FW15&gt;0," · +"&amp;$FW15&amp;"d8","")))</f>
        <v/>
      </c>
      <c r="GV15" s="164">
        <f>COUNTIF($KW15:$KZ15,"Longe")+3*COUNTIF($KW15:$KZ15,"Muito Longe")</f>
        <v/>
      </c>
      <c r="GW15" s="164">
        <f>COUNTIF($KW15:$KZ15,"Maior")+3*COUNTIF($KW15:$KZ15,"Muito Maior")</f>
        <v/>
      </c>
      <c r="GX15" s="164">
        <f>IF($EL15=0,0,CHOOSE(1+INDEX('DADOS_FORMAS'!$FS$2:$FS$21,$EL15),0,$GV15,$GW15,$GV15+$GW15))</f>
        <v/>
      </c>
      <c r="GY15" s="164">
        <f>IF($EL15=0,0,CHOOSE(1+INDEX('DADOS_FORMAS'!$FT$2:$FT$21,$EL15),0,$GV15,$GW15,$GV15+$GW15))</f>
        <v/>
      </c>
      <c r="GZ15" s="164">
        <f>IF(OR($EK15=0,$EL15=0),"",INDEX('DADOS_FORMAS'!$GZ$2:$HE$61,($EL15-1)*3+IF($EB15&gt;=6,3,2),1+MIN(5,$GX15))&amp;INDEX('DADOS_FORMAS'!$HF$2:$HK$61,($EL15-1)*3+IF($EB15&gt;=6,3,2),1+MIN(5,$GY15))&amp;IF(INDEX('DADOS_FORMAS'!$FU$2:$FU$21,$EL15)=1,IF(COUNTIF($KW15:$KZ15,"Mais Um")&gt;0," · +"&amp;COUNTIF($KW15:$KZ15,"Mais Um")&amp;IF(COUNTIF($KW15:$KZ15,"Mais Um")&gt;1," alvos"," alvo"),"")&amp;IF(COUNTIF($KW15:$KZ15,"Rajada")&gt;0," · "&amp;($EB15+1)&amp;" tiros",""),""))</f>
        <v/>
      </c>
      <c r="HA15" s="164">
        <f>IF($EK15=0,"",3*$EB15&amp;" − "&amp;$FP15&amp;" + "&amp;$FS15&amp;IF($DZ15=1," + "&amp;$EB15,"")&amp;" = "&amp;$FV15&amp;"d8 · teto "&amp;4*$EB15&amp;IF($EY15=1," · a Forma devolve "&amp;$EB15,"")&amp;IF($FT15&gt;0," · perde "&amp;$FT15,""))</f>
        <v/>
      </c>
      <c r="HB15" s="164">
        <f>IF($EK15=0,"",IF($EB15&gt;=$HM$4,"Já está na maior Classe que o nível liberou",TEXTJOIN(" · ",TRUE,IF(AND(2&gt;$EB15,2&lt;=$HM$4),"2 → "&amp;$GF15&amp;", "&amp;IF($DZ15=1,9,6)&amp;" PE",""),IF(AND(3&gt;$EB15,3&lt;=$HM$4),"3 → "&amp;$GG15&amp;", "&amp;IF($DZ15=1,14,9)&amp;" PE",""),IF(AND(4&gt;$EB15,4&lt;=$HM$4),"4 → "&amp;$GH15&amp;", "&amp;IF($DZ15=1,18,12)&amp;" PE",""),IF(AND(5&gt;$EB15,5&lt;=$HM$4),"5 → "&amp;$GI15&amp;", "&amp;IF($DZ15=1,23,15)&amp;" PE",""),IF(AND(6&gt;$EB15,6&lt;=$HM$4),"6 → "&amp;$GJ15&amp;", "&amp;IF($DZ15=1,27,18)&amp;" PE",""),IF(AND(7&gt;$EB15,7&lt;=$HM$4),"7 → "&amp;$GK15&amp;", "&amp;IF($DZ15=1,32,21)&amp;" PE",""))))</f>
        <v/>
      </c>
      <c r="HC15" s="164">
        <f>IF(OR($EK15=0,$EN15=0),"","−"&amp;INDEX($Q$2:$V$8,$EB15,$EN15)&amp;" · "&amp;CHOOSE($EN15,"Leve","Média","Pesada","Leve · Livre","Média · Livre","Pesada · Livre"))</f>
        <v/>
      </c>
      <c r="HD15" s="164">
        <f>IF(OR($EK15=0,$EO15=0),"","−"&amp;INDEX($Q$2:$V$8,$EB15,$EO15)&amp;" · "&amp;CHOOSE($EO15,"Leve","Média","Pesada","Leve · Livre","Média · Livre","Pesada · Livre"))</f>
        <v/>
      </c>
      <c r="HE15" s="164">
        <f>IF(OR($EK15=0,$EP15=0),"","−"&amp;INDEX($Q$2:$V$8,$EB15,$EP15)&amp;" · "&amp;CHOOSE($EP15,"Leve","Média","Pesada","Leve · Livre","Média · Livre","Pesada · Livre"))</f>
        <v/>
      </c>
      <c r="HF15" s="164">
        <f>IF(OR($EK15=0,$EQ15=0),"","−"&amp;INDEX($Q$2:$V$8,$EB15,$EQ15)&amp;" · "&amp;CHOOSE($EQ15,"Leve","Média","Pesada","Leve · Livre","Média · Livre","Pesada · Livre"))</f>
        <v/>
      </c>
      <c r="HG15" s="164">
        <f>IF(OR($EK15=0,$EI15=""),"","+"&amp;IF($FB15=1,CEILING($EB15/2,1),$EB15))</f>
        <v/>
      </c>
      <c r="HH15" s="164">
        <f>IF(OR($EK15=0,$EJ15=""),"","+"&amp;IF($FC15=1,CEILING($EB15/2,1),$EB15))</f>
        <v/>
      </c>
      <c r="HI15" s="164">
        <f>'FICHA AMALDIÇOADA'!$J$152&amp;""</f>
        <v/>
      </c>
      <c r="HJ15" s="164">
        <f>IF(AND($EK15=1,$DZ15=0),COUNTIFS($EK$2:$EK15,1,$DZ$2:$DZ15,0),"")</f>
        <v/>
      </c>
      <c r="HL15" s="162" t="inlineStr">
        <is>
          <t>classe passiva da regra própria</t>
        </is>
      </c>
      <c r="HM15" s="164">
        <f>N('FICHA AMALDIÇOADA'!$P$33)</f>
        <v/>
      </c>
      <c r="JH15" s="164" t="n">
        <v>14</v>
      </c>
      <c r="JI15" s="164">
        <f>IFERROR(MATCH(14,$HJ$2:$HJ$37,0),0)</f>
        <v/>
      </c>
      <c r="JJ15" s="164">
        <f>IF($JI15=0,"",INDEX($EB$2:$EB$37,$JI15))</f>
        <v/>
      </c>
      <c r="JK15" s="164">
        <f>IF($JI15=0,"",INDEX($EC$2:$EC$37,$JI15))</f>
        <v/>
      </c>
      <c r="JL15" s="164">
        <f>IF($JI15=0,"",INDEX($GR$2:$GR$37,$JI15))</f>
        <v/>
      </c>
      <c r="JM15" s="164">
        <f>IF($JI15=0,"",INDEX($ED$2:$ED$37,$JI15))</f>
        <v/>
      </c>
      <c r="JN15" s="164">
        <f>IF($JI15=0,"",INDEX($GT$2:$GT$37,$JI15))</f>
        <v/>
      </c>
      <c r="JO15" s="164">
        <f>IF($JI15=0,"",INDEX($HI$2:$HI$37,$JI15))</f>
        <v/>
      </c>
      <c r="KF15" s="162" t="inlineStr">
        <is>
          <t>Talento 12</t>
        </is>
      </c>
      <c r="KG15" s="164">
        <f>IFERROR(MATCH(12,$HW$2:$HW$13,0),0)</f>
        <v/>
      </c>
      <c r="KH15" s="164">
        <f>IF($KG15=0,"",IF(INDEX($HQ$2:$HQ$13,$KG15)=0,"","CE "&amp;INDEX($HQ$2:$HQ$13,$KG15)))</f>
        <v/>
      </c>
      <c r="KI15" s="164">
        <f>IF($KG15=0,"",INDEX($HP$2:$HP$13,$KG15))</f>
        <v/>
      </c>
      <c r="KJ15" s="164">
        <f>IF($KG15=0,"",IF(INDEX($HV$2:$HV$13,$KG15)&lt;&gt;"",INDEX($HV$2:$HV$13,$KG15),IF(IFERROR(VLOOKUP(SUBSTITUTE(SUBSTITUTE(SUBSTITUTE(INDEX($HP$2:$HP$13,$KG15),"~","~~"),"*","~*"),"?","~?"),'DADOS_TALENTOS'!$AQ$2:$AW$34,7,FALSE),"")&lt;&gt;"","Do livro: "&amp;IFERROR(VLOOKUP(SUBSTITUTE(SUBSTITUTE(SUBSTITUTE(INDEX($HP$2:$HP$13,$KG15),"~","~~"),"*","~*"),"?","~?"),'DADOS_TALENTOS'!$AQ$2:$AW$34,7,FALSE),""),"")))</f>
        <v/>
      </c>
      <c r="KL15" s="162" t="inlineStr">
        <is>
          <t>Aptidão 12</t>
        </is>
      </c>
      <c r="KM15" s="164">
        <f>IFERROR(MATCH(12,$IF$2:$IF$13,0),0)</f>
        <v/>
      </c>
      <c r="KN15" s="164">
        <f>IF($KM15=0,"",INDEX($IB$2:$IB$13,$KM15))</f>
        <v/>
      </c>
      <c r="KO15" s="164">
        <f>IF($KM15=0,"",INDEX($HZ$2:$HZ$13,$KM15))</f>
        <v/>
      </c>
      <c r="KP15" s="164">
        <f>IF($KM15=0,"",IF(INDEX($IE$2:$IE$13,$KM15)&lt;&gt;"",INDEX($IE$2:$IE$13,$KM15),IF(IFERROR(VLOOKUP(SUBSTITUTE(SUBSTITUTE(SUBSTITUTE(INDEX($HZ$2:$HZ$13,$KM15),"~","~~"),"*","~*"),"?","~?"),'DADOS_APTIDOES'!$BF$2:$BO$45,10,FALSE),"")&lt;&gt;"","Do livro: "&amp;IFERROR(VLOOKUP(SUBSTITUTE(SUBSTITUTE(SUBSTITUTE(INDEX($HZ$2:$HZ$13,$KM15),"~","~~"),"*","~*"),"?","~?"),'DADOS_APTIDOES'!$BF$2:$BO$45,10,FALSE),""),"")))</f>
        <v/>
      </c>
      <c r="KR15" s="162" t="inlineStr">
        <is>
          <t>par passivas 2</t>
        </is>
      </c>
      <c r="KS15" s="164">
        <f>"TALENTOS 7 A 12"</f>
        <v/>
      </c>
      <c r="KU15" s="162" t="inlineStr">
        <is>
          <t>P19</t>
        </is>
      </c>
      <c r="KV15" s="164">
        <f>IF(DADOS_AM!$HM$45="","",DADOS_AM!$HM$45&amp;" · "&amp;"d20 + "&amp;(DADOS_AM!$HM$3+DADOS_AM!$HM$48+IFERROR(VALUE(FICHA!$W$63&amp;""),0))&amp;" · CD "&amp;(8+DADOS_AM!$HM$3+DADOS_AM!$HM$48+IFERROR(VALUE(FICHA!$L$63&amp;""),0)))</f>
        <v/>
      </c>
      <c r="KW15">
        <f>IF($EE15="","",IFERROR(VLOOKUP(SUBSTITUTE(SUBSTITUTE(SUBSTITUTE($EE15,"~","~~"),"*","~*"),"?","~?"),'DADOS_MELHORIAS'!$O$2:$X$113,10,FALSE),$EE15))</f>
        <v/>
      </c>
      <c r="KX15">
        <f>IF($EF15="","",IFERROR(VLOOKUP(SUBSTITUTE(SUBSTITUTE(SUBSTITUTE($EF15,"~","~~"),"*","~*"),"?","~?"),'DADOS_MELHORIAS'!$O$2:$X$113,10,FALSE),$EF15))</f>
        <v/>
      </c>
      <c r="KY15">
        <f>IF($EG15="","",IFERROR(VLOOKUP(SUBSTITUTE(SUBSTITUTE(SUBSTITUTE($EG15,"~","~~"),"*","~*"),"?","~?"),'DADOS_MELHORIAS'!$O$2:$X$113,10,FALSE),$EG15))</f>
        <v/>
      </c>
      <c r="KZ15">
        <f>IF($EH15="","",IFERROR(VLOOKUP(SUBSTITUTE(SUBSTITUTE(SUBSTITUTE($EH15,"~","~~"),"*","~*"),"?","~?"),'DADOS_MELHORIAS'!$O$2:$X$113,10,FALSE),$EH15))</f>
        <v/>
      </c>
      <c r="LB15">
        <f>IFERROR(INDEX('DADOS_FORMAS'!$BJ$2:$BJ$21,MATCH(SUBSTITUTE(SUBSTITUTE(SUBSTITUTE($ED15,"~","~~"),"*","~*"),"?","~?"),'DADOS_FORMAS'!$AH$2:$AH$21,0)),"")</f>
        <v/>
      </c>
      <c r="LC15">
        <f>IFERROR(VLOOKUP(SUBSTITUTE(SUBSTITUTE(SUBSTITUTE(IFERROR(INDEX('DADOS_FORMAS'!$AS$2:$AS$21,MATCH(SUBSTITUTE(SUBSTITUTE(SUBSTITUTE($ED15,"~","~~"),"*","~*"),"?","~?"),'DADOS_FORMAS'!$AH$2:$AH$21,0)),""),"~","~~"),"*","~*"),"?","~?"),'DADOS_RESTRICOES'!$M$2:$Q$54,2,FALSE),"")</f>
        <v/>
      </c>
      <c r="LD15">
        <f>$FD15</f>
        <v/>
      </c>
      <c r="LE15">
        <f>$FE15</f>
        <v/>
      </c>
      <c r="LF15">
        <f>$LC15</f>
        <v/>
      </c>
    </row>
    <row r="16">
      <c r="C16" s="162" t="inlineStr">
        <is>
          <t>estímulo</t>
        </is>
      </c>
      <c r="D16" s="162" t="inlineStr">
        <is>
          <t>—</t>
        </is>
      </c>
      <c r="E16" s="162" t="inlineStr">
        <is>
          <t>—</t>
        </is>
      </c>
      <c r="F16" s="162" t="inlineStr">
        <is>
          <t>—</t>
        </is>
      </c>
      <c r="G16" s="162" t="inlineStr">
        <is>
          <t>Estímulo Muscular</t>
        </is>
      </c>
      <c r="AO16" s="162" t="inlineStr">
        <is>
          <t>Cone · classes 6 e 7</t>
        </is>
      </c>
      <c r="AP16" s="162" t="inlineStr">
        <is>
          <t>Cone de 9 m</t>
        </is>
      </c>
      <c r="AQ16" s="162" t="inlineStr">
        <is>
          <t>Cone de 18 m</t>
        </is>
      </c>
      <c r="AR16" s="162" t="inlineStr">
        <is>
          <t>Cone de 30 m</t>
        </is>
      </c>
      <c r="AS16" s="162" t="inlineStr">
        <is>
          <t>Cone de 60 m</t>
        </is>
      </c>
      <c r="AT16" s="162" t="inlineStr">
        <is>
          <t>Cone de 60 m</t>
        </is>
      </c>
      <c r="AU16" s="162" t="inlineStr">
        <is>
          <t>Cone de 60 m</t>
        </is>
      </c>
      <c r="AV16" s="162" t="inlineStr"/>
      <c r="AW16" s="162" t="inlineStr"/>
      <c r="AX16" s="162" t="inlineStr"/>
      <c r="AY16" s="162" t="inlineStr"/>
      <c r="AZ16" s="162" t="inlineStr"/>
      <c r="BA16" s="162" t="inlineStr"/>
      <c r="BC16" s="162" t="inlineStr">
        <is>
          <t>Precisão</t>
        </is>
      </c>
      <c r="BD16" s="162" t="inlineStr">
        <is>
          <t>Mira</t>
        </is>
      </c>
      <c r="BE16" s="164" t="n">
        <v>1</v>
      </c>
      <c r="BF16" s="164">
        <f>$BE16+3*IFERROR(VLOOKUP($BD16,'DADOS_CRIACAO'!$H$2:$K$20,3,FALSE),0)</f>
        <v/>
      </c>
      <c r="BG16" s="164">
        <f>IFERROR(VLOOKUP($BD16,'DADOS_CRIACAO'!$H$2:$K$20,4,FALSE),0)</f>
        <v/>
      </c>
      <c r="BH16" s="164" t="n">
        <v>0</v>
      </c>
      <c r="BI16" s="164">
        <f>IF($BG16=1,"",$BC16)</f>
        <v/>
      </c>
      <c r="BJ16" s="164">
        <f>IF(AND($BE16=1,$BG16=0),$BC16,"")</f>
        <v/>
      </c>
      <c r="BK16" s="164" t="n">
        <v>0</v>
      </c>
      <c r="BM16" s="162" t="inlineStr">
        <is>
          <t>Condicional (Leve)</t>
        </is>
      </c>
      <c r="BN16" s="162" t="inlineStr">
        <is>
          <t>Condicional</t>
        </is>
      </c>
      <c r="BO16" s="164" t="n">
        <v>1</v>
      </c>
      <c r="BP16" s="164" t="n">
        <v>1</v>
      </c>
      <c r="BQ16" s="162" t="inlineStr">
        <is>
          <t>Condicional (Leve)</t>
        </is>
      </c>
      <c r="BS16" s="162" t="inlineStr">
        <is>
          <t>Afinidade</t>
        </is>
      </c>
      <c r="BT16" s="164" t="n">
        <v>3</v>
      </c>
      <c r="BU16" s="162" t="inlineStr">
        <is>
          <t>Escolha um tema presente na Regra da sua técnica. Seus feitiços desse tema ignoram cobertura Parcial e resistência ao tipo de dano que causam.</t>
        </is>
      </c>
      <c r="BV16" s="164" t="n">
        <v>1</v>
      </c>
      <c r="BW16" s="164" t="n">
        <v>0</v>
      </c>
      <c r="BX16" s="164">
        <f>IF(OR(AND($A$2&lt;=2,$BV16=1),AND($A$2&gt;=2,$BW16=1)),$BS16,"")</f>
        <v/>
      </c>
      <c r="BY16" s="162" t="inlineStr">
        <is>
          <t>Escolha um tema presente na Regra da sua técnica. Seus feitiços desse tema ignoram cobertura Parcial e resistência ao tipo de dano que causam.</t>
        </is>
      </c>
      <c r="CD16" s="162" t="inlineStr">
        <is>
          <t>Ritual</t>
        </is>
      </c>
      <c r="CE16" s="162" t="inlineStr">
        <is>
          <t>Inteligência 5, nível 10 e Técnica Inata. Regras em Ritual e Pactos</t>
        </is>
      </c>
      <c r="CF16" s="162" t="inlineStr">
        <is>
          <t>—</t>
        </is>
      </c>
      <c r="CG16" s="162" t="inlineStr">
        <is>
          <t>—</t>
        </is>
      </c>
      <c r="CH16" s="162" t="inlineStr">
        <is>
          <t>Um Ritual reforça um feitiço com gestos e recitação. Você escolhe quanto tempo dedicar à conjuração e quais benefícios procura. O feitiço continua sendo aquele registrado na ficha, com seus alvos, efeito e custo de energia. Ritual é uma aptidão. Requisitos: Inteligência 5, nível 10 e Técnica Inata. Ela usa uma escolha de aptidão. Técnica Marcial e Sem Técnica não podem adquiri-la nem auxiliar um Ritual. A rota sem energia amaldiçoada também não tem acesso. Escolha um feitiço de Classe 1 ou maior, a modalidade de Ritual e as Melhorias de Ritual antes de fazer qualquer rolagem. Confira se consegue cumprir todos os gestos, recitar e pagar o custo normal. Cada conjuração recebe apenas um Ritual. Você precisa falar, ter pelo menos uma mão livre para os gestos e cumprir qualquer exigência adicional de mãos da sua técnica. Calado impede Ritual. Silencioso não dispensa seus gestos ou sua voz. Um Selo mais discreto também não esconde a recitação. Atacar sem revelar sua posição exige outra capacidade que expressamente inclua essas circunstâncias. Ação Completa compromete a Padrão, a Bônus e o Movimento do turno, conservando a Reação. O Ritual breve só pode ser usado se a ficha do feitiço permitir Ação Padrão. Ele não abrevia uma Liberação ou Técnica Máxima.</t>
        </is>
      </c>
      <c r="CI16" s="164">
        <f>IF($CL16=1,"",IF($A$2=4,IF($CJ16=1,$CD16,""),IF(OR($CJ16=1,AND($A$2=3,$CK16=1)),"",$CD16)))</f>
        <v/>
      </c>
      <c r="CJ16" s="164" t="n">
        <v>0</v>
      </c>
      <c r="CK16" s="164" t="n">
        <v>0</v>
      </c>
      <c r="CL16" s="164" t="n">
        <v>0</v>
      </c>
      <c r="CM16" s="162" t="inlineStr">
        <is>
          <t>Um Ritual reforça um feitiço com gestos e recitação.</t>
        </is>
      </c>
      <c r="DY16" s="162" t="inlineStr">
        <is>
          <t>Feitiço 15</t>
        </is>
      </c>
      <c r="DZ16" s="164" t="n">
        <v>0</v>
      </c>
      <c r="EA16" s="164" t="n">
        <v>15</v>
      </c>
      <c r="EB16" s="164">
        <f>MAX(1,MIN(7,N('FICHA AMALDIÇOADA'!$P$150)))</f>
        <v/>
      </c>
      <c r="EC16" s="164">
        <f>'FICHA AMALDIÇOADA'!$Q$150&amp;""</f>
        <v/>
      </c>
      <c r="ED16" s="164">
        <f>'FICHA AMALDIÇOADA'!$P$157&amp;""</f>
        <v/>
      </c>
      <c r="EE16" s="164">
        <f>'FICHA AMALDIÇOADA'!$Q$159&amp;""</f>
        <v/>
      </c>
      <c r="EF16" s="164">
        <f>'FICHA AMALDIÇOADA'!$Q$160&amp;""</f>
        <v/>
      </c>
      <c r="EG16" s="164">
        <f>'FICHA AMALDIÇOADA'!$Q$161&amp;""</f>
        <v/>
      </c>
      <c r="EH16" s="164">
        <f>'FICHA AMALDIÇOADA'!$Q$162&amp;""</f>
        <v/>
      </c>
      <c r="EI16" s="164">
        <f>'FICHA AMALDIÇOADA'!$Q$163&amp;""</f>
        <v/>
      </c>
      <c r="EJ16" s="164">
        <f>'FICHA AMALDIÇOADA'!$Q$164&amp;""</f>
        <v/>
      </c>
      <c r="EK16" s="164">
        <f>IF($EC16&lt;&gt;"",1,0)</f>
        <v/>
      </c>
      <c r="EL16" s="164">
        <f>IFERROR(MATCH(SUBSTITUTE(SUBSTITUTE(SUBSTITUTE($ED16,"~","~~"),"*","~*"),"?","~?"),'DADOS_FORMAS'!$FJ$2:$FJ$21,0),0)</f>
        <v/>
      </c>
      <c r="EM16" s="164">
        <f>IF($EL16=0,0,INDEX('DADOS_FORMAS'!$FM$2:$FM$21,$EL16))</f>
        <v/>
      </c>
      <c r="EN16" s="164">
        <f>IFERROR(VLOOKUP(SUBSTITUTE(SUBSTITUTE(SUBSTITUTE($EE16,"~","~~"),"*","~*"),"?","~?"),'DADOS_MELHORIAS'!$O$2:$W$113,4,FALSE),0)</f>
        <v/>
      </c>
      <c r="EO16" s="164">
        <f>IFERROR(VLOOKUP(SUBSTITUTE(SUBSTITUTE(SUBSTITUTE($EF16,"~","~~"),"*","~*"),"?","~?"),'DADOS_MELHORIAS'!$O$2:$W$113,4,FALSE),0)</f>
        <v/>
      </c>
      <c r="EP16" s="164">
        <f>IFERROR(VLOOKUP(SUBSTITUTE(SUBSTITUTE(SUBSTITUTE($EG16,"~","~~"),"*","~*"),"?","~?"),'DADOS_MELHORIAS'!$O$2:$W$113,4,FALSE),0)</f>
        <v/>
      </c>
      <c r="EQ16" s="164">
        <f>IFERROR(VLOOKUP(SUBSTITUTE(SUBSTITUTE(SUBSTITUTE($EH16,"~","~~"),"*","~*"),"?","~?"),'DADOS_MELHORIAS'!$O$2:$W$113,4,FALSE),0)</f>
        <v/>
      </c>
      <c r="ER16" s="164">
        <f>IF($EL16=0,0,INDEX('DADOS_FORMAS'!$FN$2:$FN$21,$EL16))</f>
        <v/>
      </c>
      <c r="ES16" s="164">
        <f>IFERROR(VLOOKUP(SUBSTITUTE(SUBSTITUTE(SUBSTITUTE($EE16,"~","~~"),"*","~*"),"?","~?"),'DADOS_MELHORIAS'!$O$2:$W$113,5,FALSE),0)</f>
        <v/>
      </c>
      <c r="ET16" s="164">
        <f>IFERROR(VLOOKUP(SUBSTITUTE(SUBSTITUTE(SUBSTITUTE($EF16,"~","~~"),"*","~*"),"?","~?"),'DADOS_MELHORIAS'!$O$2:$W$113,5,FALSE),0)</f>
        <v/>
      </c>
      <c r="EU16" s="164">
        <f>IFERROR(VLOOKUP(SUBSTITUTE(SUBSTITUTE(SUBSTITUTE($EG16,"~","~~"),"*","~*"),"?","~?"),'DADOS_MELHORIAS'!$O$2:$W$113,5,FALSE),0)</f>
        <v/>
      </c>
      <c r="EV16" s="164">
        <f>IFERROR(VLOOKUP(SUBSTITUTE(SUBSTITUTE(SUBSTITUTE($EH16,"~","~~"),"*","~*"),"?","~?"),'DADOS_MELHORIAS'!$O$2:$W$113,5,FALSE),0)</f>
        <v/>
      </c>
      <c r="EW16" s="164">
        <f>IFERROR(VLOOKUP(SUBSTITUTE(SUBSTITUTE(SUBSTITUTE($EE16,"~","~~"),"*","~*"),"?","~?"),'DADOS_MELHORIAS'!$O$2:$W$113,6,FALSE),0)+IFERROR(VLOOKUP(SUBSTITUTE(SUBSTITUTE(SUBSTITUTE($EF16,"~","~~"),"*","~*"),"?","~?"),'DADOS_MELHORIAS'!$O$2:$W$113,6,FALSE),0)+IFERROR(VLOOKUP(SUBSTITUTE(SUBSTITUTE(SUBSTITUTE($EG16,"~","~~"),"*","~*"),"?","~?"),'DADOS_MELHORIAS'!$O$2:$W$113,6,FALSE),0)+IFERROR(VLOOKUP(SUBSTITUTE(SUBSTITUTE(SUBSTITUTE($EH16,"~","~~"),"*","~*"),"?","~?"),'DADOS_MELHORIAS'!$O$2:$W$113,6,FALSE),0)</f>
        <v/>
      </c>
      <c r="EX16" s="164">
        <f>IFERROR(VLOOKUP(SUBSTITUTE(SUBSTITUTE(SUBSTITUTE($EE16,"~","~~"),"*","~*"),"?","~?"),'DADOS_MELHORIAS'!$O$2:$W$113,9,FALSE),0)+IFERROR(VLOOKUP(SUBSTITUTE(SUBSTITUTE(SUBSTITUTE($EF16,"~","~~"),"*","~*"),"?","~?"),'DADOS_MELHORIAS'!$O$2:$W$113,9,FALSE),0)+IFERROR(VLOOKUP(SUBSTITUTE(SUBSTITUTE(SUBSTITUTE($EG16,"~","~~"),"*","~*"),"?","~?"),'DADOS_MELHORIAS'!$O$2:$W$113,9,FALSE),0)+IFERROR(VLOOKUP(SUBSTITUTE(SUBSTITUTE(SUBSTITUTE($EH16,"~","~~"),"*","~*"),"?","~?"),'DADOS_MELHORIAS'!$O$2:$W$113,9,FALSE),0)</f>
        <v/>
      </c>
      <c r="EY16" s="164">
        <f>IF($EL16=0,0,INDEX('DADOS_FORMAS'!$FO$2:$FO$21,$EL16))</f>
        <v/>
      </c>
      <c r="EZ16" s="164">
        <f>IF($EL16=0,0,INDEX('DADOS_FORMAS'!$FP$2:$FP$21,$EL16))</f>
        <v/>
      </c>
      <c r="FA16" s="164">
        <f>IF($EL16=0,0,INDEX('DADOS_FORMAS'!$FR$2:$FR$21,$EL16))</f>
        <v/>
      </c>
      <c r="FB16" s="164">
        <f>IFERROR(VLOOKUP(SUBSTITUTE(SUBSTITUTE(SUBSTITUTE($EI16,"~","~~"),"*","~*"),"?","~?"),'DADOS_RESTRICOES'!$M$2:$Q$54,3,FALSE),0)</f>
        <v/>
      </c>
      <c r="FC16" s="164">
        <f>IFERROR(VLOOKUP(SUBSTITUTE(SUBSTITUTE(SUBSTITUTE($EJ16,"~","~~"),"*","~*"),"?","~?"),'DADOS_RESTRICOES'!$M$2:$Q$54,3,FALSE),0)</f>
        <v/>
      </c>
      <c r="FD16" s="164">
        <f>IFERROR(VLOOKUP(SUBSTITUTE(SUBSTITUTE(SUBSTITUTE($EI16,"~","~~"),"*","~*"),"?","~?"),'DADOS_RESTRICOES'!$M$2:$Q$54,2,FALSE),"")</f>
        <v/>
      </c>
      <c r="FE16" s="164">
        <f>IFERROR(VLOOKUP(SUBSTITUTE(SUBSTITUTE(SUBSTITUTE($EJ16,"~","~~"),"*","~*"),"?","~?"),'DADOS_RESTRICOES'!$M$2:$Q$54,2,FALSE),"")</f>
        <v/>
      </c>
      <c r="FF16" s="164">
        <f>COUNTIF($EM16:$EQ16,1)</f>
        <v/>
      </c>
      <c r="FG16" s="164">
        <f>COUNTIF($EM16:$EQ16,2)</f>
        <v/>
      </c>
      <c r="FH16" s="164">
        <f>COUNTIF($EM16:$EQ16,3)</f>
        <v/>
      </c>
      <c r="FI16" s="164">
        <f>COUNTIF($EM16:$EQ16,4)</f>
        <v/>
      </c>
      <c r="FJ16" s="164">
        <f>COUNTIF($EM16:$EQ16,5)</f>
        <v/>
      </c>
      <c r="FK16" s="164">
        <f>COUNTIF($EM16:$EQ16,6)</f>
        <v/>
      </c>
      <c r="FL16" s="164">
        <f>COUNTIF($FB16:$FC16,1)+IF(IFERROR(INDEX('DADOS_FORMAS'!$AS$2:$AS$21,MATCH(SUBSTITUTE(SUBSTITUTE(SUBSTITUTE($ED16,"~","~~"),"*","~*"),"?","~?"),'DADOS_FORMAS'!$AH$2:$AH$21,0)),"")="",0,IFERROR(N(VLOOKUP(SUBSTITUTE(SUBSTITUTE(SUBSTITUTE(IFERROR(INDEX('DADOS_FORMAS'!$AS$2:$AS$21,MATCH(SUBSTITUTE(SUBSTITUTE(SUBSTITUTE($ED16,"~","~~"),"*","~*"),"?","~?"),'DADOS_FORMAS'!$AH$2:$AH$21,0)),""),"~","~~"),"*","~*"),"?","~?"),'DADOS_RESTRICOES'!$M$2:$Q$54,3,FALSE)=1),0))</f>
        <v/>
      </c>
      <c r="FM16" s="164">
        <f>COUNTIF($FB16:$FC16,2)+IF(IFERROR(INDEX('DADOS_FORMAS'!$AS$2:$AS$21,MATCH(SUBSTITUTE(SUBSTITUTE(SUBSTITUTE($ED16,"~","~~"),"*","~*"),"?","~?"),'DADOS_FORMAS'!$AH$2:$AH$21,0)),"")="",0,IFERROR(N(VLOOKUP(SUBSTITUTE(SUBSTITUTE(SUBSTITUTE(IFERROR(INDEX('DADOS_FORMAS'!$AS$2:$AS$21,MATCH(SUBSTITUTE(SUBSTITUTE(SUBSTITUTE($ED16,"~","~~"),"*","~*"),"?","~?"),'DADOS_FORMAS'!$AH$2:$AH$21,0)),""),"~","~~"),"*","~*"),"?","~?"),'DADOS_RESTRICOES'!$M$2:$Q$54,3,FALSE)=2),0))</f>
        <v/>
      </c>
      <c r="FN16" s="164">
        <f>COUNTIF($EE16:$EH16,"?*")</f>
        <v/>
      </c>
      <c r="FO16" s="164">
        <f>COUNTIF($EI16:$EJ16,"?*")+$EY16</f>
        <v/>
      </c>
      <c r="FP16" s="164">
        <f>SUMPRODUCT($FF16:$FK16,INDEX($Q$2:$V$8,$EB16,0))</f>
        <v/>
      </c>
      <c r="FQ16" s="164">
        <f>$FL16*CEILING($EB16/2,1)+$FM16*$EB16</f>
        <v/>
      </c>
      <c r="FR16" s="164">
        <f>MIN(2*$EB16,$FQ16)</f>
        <v/>
      </c>
      <c r="FS16" s="164">
        <f>MIN($FR16,$FP16-IF($EM16=0,0,INDEX($Q$2:$V$8,$EB16,$EM16)))</f>
        <v/>
      </c>
      <c r="FT16" s="164">
        <f>$FR16-$FS16</f>
        <v/>
      </c>
      <c r="FU16" s="164">
        <f>3*$EB16-$FP16+$FS16</f>
        <v/>
      </c>
      <c r="FV16" s="164">
        <f>MAX(0,$FU16)+$DZ16*$EB16</f>
        <v/>
      </c>
      <c r="FW16" s="164">
        <f>(IF(COUNTIF($KW16:$KZ16,"Salto")&gt;0,1,0)+IF(COUNTIF($KW16:$KZ16,"Queima")&gt;0,1,0)+IF(COUNTIF($KW16:$KZ16,"Estilhaço")&gt;0,1,0))*FLOOR($FV16/2,1)</f>
        <v/>
      </c>
      <c r="FX16" s="164">
        <f>MAX(0,3-SUMPRODUCT($FF16:$FK16,$Q$2:$V$2)+MIN(2,$FL16*1+$FM16*1,SUMPRODUCT($FF16:$FK16,$Q$2:$V$2)-IF($EM16=0,0,INDEX($Q$2:$V$2,1,$EM16))))+$DZ16*1</f>
        <v/>
      </c>
      <c r="FY16" s="164">
        <f>MAX(0,6-SUMPRODUCT($FF16:$FK16,$Q$3:$V$3)+MIN(4,$FL16*1+$FM16*2,SUMPRODUCT($FF16:$FK16,$Q$3:$V$3)-IF($EM16=0,0,INDEX($Q$3:$V$3,1,$EM16))))+$DZ16*2</f>
        <v/>
      </c>
      <c r="FZ16" s="164">
        <f>MAX(0,9-SUMPRODUCT($FF16:$FK16,$Q$4:$V$4)+MIN(6,$FL16*2+$FM16*3,SUMPRODUCT($FF16:$FK16,$Q$4:$V$4)-IF($EM16=0,0,INDEX($Q$4:$V$4,1,$EM16))))+$DZ16*3</f>
        <v/>
      </c>
      <c r="GA16" s="164">
        <f>MAX(0,12-SUMPRODUCT($FF16:$FK16,$Q$5:$V$5)+MIN(8,$FL16*2+$FM16*4,SUMPRODUCT($FF16:$FK16,$Q$5:$V$5)-IF($EM16=0,0,INDEX($Q$5:$V$5,1,$EM16))))+$DZ16*4</f>
        <v/>
      </c>
      <c r="GB16" s="164">
        <f>MAX(0,15-SUMPRODUCT($FF16:$FK16,$Q$6:$V$6)+MIN(10,$FL16*3+$FM16*5,SUMPRODUCT($FF16:$FK16,$Q$6:$V$6)-IF($EM16=0,0,INDEX($Q$6:$V$6,1,$EM16))))+$DZ16*5</f>
        <v/>
      </c>
      <c r="GC16" s="164">
        <f>MAX(0,18-SUMPRODUCT($FF16:$FK16,$Q$7:$V$7)+MIN(12,$FL16*3+$FM16*6,SUMPRODUCT($FF16:$FK16,$Q$7:$V$7)-IF($EM16=0,0,INDEX($Q$7:$V$7,1,$EM16))))+$DZ16*6</f>
        <v/>
      </c>
      <c r="GD16" s="164">
        <f>MAX(0,21-SUMPRODUCT($FF16:$FK16,$Q$8:$V$8)+MIN(14,$FL16*4+$FM16*7,SUMPRODUCT($FF16:$FK16,$Q$8:$V$8)-IF($EM16=0,0,INDEX($Q$8:$V$8,1,$EM16))))+$DZ16*7</f>
        <v/>
      </c>
      <c r="GE16" s="164">
        <f>IF($EZ16=2,3*$FX16&amp;" de vida temp.",IF($EZ16=3,"sem dano",IF($FX16=0,IF($EZ16=1,"sem cura","sem dano"),IF($EZ16=1,"cura ","")&amp;$FX16&amp;"d8")))</f>
        <v/>
      </c>
      <c r="GF16" s="164">
        <f>IF($EZ16=2,3*$FY16&amp;" de vida temp.",IF($EZ16=3,"sem dano",IF($FY16=0,IF($EZ16=1,"sem cura","sem dano"),IF($EZ16=1,"cura ","")&amp;$FY16&amp;"d8")))</f>
        <v/>
      </c>
      <c r="GG16" s="164">
        <f>IF($EZ16=2,3*$FZ16&amp;" de vida temp.",IF($EZ16=3,"sem dano",IF($FZ16=0,IF($EZ16=1,"sem cura","sem dano"),IF($EZ16=1,"cura ","")&amp;$FZ16&amp;"d8")))</f>
        <v/>
      </c>
      <c r="GH16" s="164">
        <f>IF($EZ16=2,3*$GA16&amp;" de vida temp.",IF($EZ16=3,"sem dano",IF($GA16=0,IF($EZ16=1,"sem cura","sem dano"),IF($EZ16=1,"cura ","")&amp;$GA16&amp;"d8")))</f>
        <v/>
      </c>
      <c r="GI16" s="164">
        <f>IF($EZ16=2,3*$GB16&amp;" de vida temp.",IF($EZ16=3,"sem dano",IF($GB16=0,IF($EZ16=1,"sem cura","sem dano"),IF($EZ16=1,"cura ","")&amp;$GB16&amp;"d8")))</f>
        <v/>
      </c>
      <c r="GJ16" s="164">
        <f>IF($EZ16=2,3*$GC16&amp;" de vida temp.",IF($EZ16=3,"sem dano",IF($GC16=0,IF($EZ16=1,"sem cura","sem dano"),IF($EZ16=1,"cura ","")&amp;$GC16&amp;"d8")))</f>
        <v/>
      </c>
      <c r="GK16" s="164">
        <f>IF($EZ16=2,3*$GD16&amp;" de vida temp.",IF($EZ16=3,"sem dano",IF($GD16=0,IF($EZ16=1,"sem cura","sem dano"),IF($EZ16=1,"cura ","")&amp;$GD16&amp;"d8")))</f>
        <v/>
      </c>
      <c r="GL16" s="164">
        <f>IF($EK16=0,"",TEXTJOIN(" · ",TRUE,IF($EK16=0,"",TEXTJOIN(" · ",TRUE,IF($EK16=0,"",TEXTJOIN(" · ",TRUE,IF(AND($DZ16=1,$EA16&gt;$HM$9),"O nível "&amp;$HM$2&amp;" dá "&amp;$HM$9&amp;" Liberação Máxima",""),IF($EB16&gt;$HM$4,"Classe "&amp;$EB16&amp;": o nível "&amp;$HM$2&amp;" libera até a "&amp;$HM$4,""),IF($ER16=1,"Família Fechada: a Forma "&amp;$ED16,""),IF($ES16=1,"Família Fechada: "&amp;$EE16,""),IF($ET16=1,"Família Fechada: "&amp;$EF16,""),IF($EU16=1,"Família Fechada: "&amp;$EG16,""),IF($EV16=1,"Família Fechada: "&amp;$EH16,""),IF($FN16&gt;INDEX($W$2:$W$8,$EB16),$FN16&amp;" Melhorias: a Classe "&amp;$EB16&amp;" aceita "&amp;INDEX($W$2:$W$8,$EB16),""),IF($FO16&gt;2,$FO16&amp;" Restrições"&amp;IF($EY16=1,", contando a que a Forma "&amp;$ED16&amp;" já traz","")&amp;": o limite é 2",""),IF($FU16&lt;0,"Orçamento estourado: faltam "&amp;(-$FU16)&amp;IF($FU16&lt;-1," pontos"," ponto"),""),IF(IFERROR(VLOOKUP(SUBSTITUTE(SUBSTITUTE(SUBSTITUTE($EI16,"~","~~"),"*","~*"),"?","~?"),'DADOS_RESTRICOES'!$M$2:$Q$54,4,FALSE),0)+IFERROR(VLOOKUP(SUBSTITUTE(SUBSTITUTE(SUBSTITUTE($EJ16,"~","~~"),"*","~*"),"?","~?"),'DADOS_RESTRICOES'!$M$2:$Q$54,4,FALSE),0)&gt;1,$FD16&amp;" e "&amp;$FE16&amp;" são as duas de frequência",""),IF(AND((COUNTIF($KW16:$KZ16,"Rápido")+COUNTIF($FD16:$FE16,"Rápido"))&gt;0,(COUNTIF($EE16:$EH16,"Atrasar")+COUNTIF($FD16:$FE16,"Atrasar"))&gt;0),"Rápido não entra com Atrasar",""),IF(AND((COUNTIF($KW16:$KZ16,"Reação")+COUNTIF($FD16:$FE16,"Reação"))&gt;0,(COUNTIF($KW16:$KZ16,"Rápido")+COUNTIF($FD16:$FE16,"Rápido"))&gt;0),"Reação não entra com Rápido",""),IF(AND((COUNTIF($KW16:$KZ16,"Reação")+COUNTIF($FD16:$FE16,"Reação"))&gt;0,(COUNTIF($KW16:$KZ16,"Armado")+COUNTIF($FD16:$FE16,"Armado"))&gt;0),"Reação não entra com Armado",""),IF(AND((COUNTIF($KW16:$KZ16,"Reação")+COUNTIF($FD16:$FE16,"Reação"))&gt;0,(COUNTIF($EE16:$EH16,"Atrasar")+COUNTIF($FD16:$FE16,"Atrasar"))&gt;0),"Reação não entra com Atrasar",""),IF(AND((COUNTIF($KW16:$KZ16,"Reação")+COUNTIF($FD16:$FE16,"Reação"))&gt;0,(COUNTIF($EE16:$EH16,"Parado")+COUNTIF($FD16:$FE16,"Parado"))&gt;0),"Reação não entra com Parado",""),IF(AND((COUNTIF($EE16:$EH16,"Atrasar")+COUNTIF($FD16:$FE16,"Atrasar"))&gt;0,(COUNTIF($EE16:$EH16,"Parado")+COUNTIF($FD16:$FE16,"Parado"))&gt;0),"Atrasar não entra com Parado",""),IF(AND((COUNTIF($KW16:$KZ16,"Armado")+COUNTIF($FD16:$FE16,"Armado"))&gt;0,(COUNTIF($EE16:$EH16,"Carregar")+COUNTIF($FD16:$FE16,"Carregar"))&gt;0),"Armado não entra com Carregar",""),IF(AND(COUNTIF($FD16:$FE16,"Corpo a Corpo")&gt;0,$EY16=0,OR($LB16="Cone",$LB16="Linha")),"Corpo a Corpo não entra em "&amp;$ED16,""),IF(AND(COUNTIF($FD16:$FE16,"Corpo a Corpo")&gt;0,$LC16="Corpo a Corpo"),"A Forma "&amp;$ED16&amp;" já traz o Corpo a Corpo",""),IF(AND(COUNTIF($FD16:$FE16,"Tudo ou Nada")&gt;0,$FA16=0),"Tudo ou Nada só entra em feitiço de Teste de Resistência",""),IF(AND(COUNTIF($KW16:$KZ16,"Inescapável")&gt;0,OR($FN16&gt;1,$FO16&gt;0)),"Inescapável não aceita outra peça",""),IF(AND($DZ16=1,$EB16&lt;3),"Liberação Máxima é de Classe 3 ou mais",""),IF(AND($DZ16=1,OR($EZ16=1,$EZ16=2)),"Liberação Máxima não serve para cura",""),IF(AND($DZ16=1,COUNTIF($KW16:$KZ16,"Inescapável")+COUNTIF($KW16:$KZ16,"Toca a Alma")&gt;0),"Esta peça não entra numa Liberação Máxima",""),IF($FV16*IF(COUNTIF($KW16:$KZ16,"Remate")&gt;0,1.25,1)+$FW16&gt;4*$EB16,($FV16*IF(COUNTIF($KW16:$KZ16,"Remate")&gt;0,1.25,1)+$FW16)&amp;" dados somando repetições"&amp;IF(COUNTIF($KW16:$KZ16,"Remate")&gt;0," e o Remate","")&amp;": o teto da Classe "&amp;$EB16&amp;" é "&amp;4*$EB16,""))),IF(AND($EE16&lt;&gt;"",COUNTIF('DADOS_MELHORIAS'!$O$2:$O$113,SUBSTITUTE(SUBSTITUTE(SUBSTITUTE($EE16,"~","~~"),"*","~*"),"?","~?"))=0),"Melhoria não cadastrada ou com erro: "&amp;$EE16,""),IF(AND($EF16&lt;&gt;"",COUNTIF('DADOS_MELHORIAS'!$O$2:$O$113,SUBSTITUTE(SUBSTITUTE(SUBSTITUTE($EF16,"~","~~"),"*","~*"),"?","~?"))=0),"Melhoria não cadastrada ou com erro: "&amp;$EF16,""),IF(AND($EG16&lt;&gt;"",COUNTIF('DADOS_MELHORIAS'!$O$2:$O$113,SUBSTITUTE(SUBSTITUTE(SUBSTITUTE($EG16,"~","~~"),"*","~*"),"?","~?"))=0),"Melhoria não cadastrada ou com erro: "&amp;$EG16,""),IF(AND($EH16&lt;&gt;"",COUNTIF('DADOS_MELHORIAS'!$O$2:$O$113,SUBSTITUTE(SUBSTITUTE(SUBSTITUTE($EH16,"~","~~"),"*","~*"),"?","~?"))=0),"Melhoria não cadastrada ou com erro: "&amp;$EH16,""),IF(AND($EI16&lt;&gt;"",COUNTIF('DADOS_RESTRICOES'!$M$2:$M$54,SUBSTITUTE(SUBSTITUTE(SUBSTITUTE($EI16,"~","~~"),"*","~*"),"?","~?"))=0),"Restrição não cadastrada ou com erro: "&amp;$EI16,""),IF(AND($EJ16&lt;&gt;"",COUNTIF('DADOS_RESTRICOES'!$M$2:$M$54,SUBSTITUTE(SUBSTITUTE(SUBSTITUTE($EJ16,"~","~~"),"*","~*"),"?","~?"))=0),"Restrição não cadastrada ou com erro: "&amp;$EJ16,""))),IF(AND($ED16&lt;&gt;"",COUNTIF('DADOS_FORMAS'!$AH$2:$AH$21,SUBSTITUTE(SUBSTITUTE(SUBSTITUTE($ED16,"~","~~"),"*","~*"),"?","~?"))=0),"Forma não cadastrada ou com erro: "&amp;$ED16,""),IF(AND(IFERROR(INDEX('DADOS_FORMAS'!$AS$2:$AS$21,MATCH(SUBSTITUTE(SUBSTITUTE(SUBSTITUTE($ED16,"~","~~"),"*","~*"),"?","~?"),'DADOS_FORMAS'!$AH$2:$AH$21,0)),"")&lt;&gt;"",OR(IFERROR(VLOOKUP(SUBSTITUTE(SUBSTITUTE(SUBSTITUTE(IFERROR(INDEX('DADOS_FORMAS'!$AS$2:$AS$21,MATCH(SUBSTITUTE(SUBSTITUTE(SUBSTITUTE($ED16,"~","~~"),"*","~*"),"?","~?"),'DADOS_FORMAS'!$AH$2:$AH$21,0)),""),"~","~~"),"*","~*"),"?","~?"),'DADOS_RESTRICOES'!$M$2:$Q$54,2,FALSE),"")=$FD16,IFERROR(VLOOKUP(SUBSTITUTE(SUBSTITUTE(SUBSTITUTE(IFERROR(INDEX('DADOS_FORMAS'!$AS$2:$AS$21,MATCH(SUBSTITUTE(SUBSTITUTE(SUBSTITUTE($ED16,"~","~~"),"*","~*"),"?","~?"),'DADOS_FORMAS'!$AH$2:$AH$21,0)),""),"~","~~"),"*","~*"),"?","~?"),'DADOS_RESTRICOES'!$M$2:$Q$54,2,FALSE),"")=$FE16)),"Restrição repetida, contando a embutida",""),IF(IF(IFERROR(INDEX('DADOS_FORMAS'!$AS$2:$AS$21,MATCH(SUBSTITUTE(SUBSTITUTE(SUBSTITUTE($ED16,"~","~~"),"*","~*"),"?","~?"),'DADOS_FORMAS'!$AH$2:$AH$21,0)),"")="",0,IFERROR(N(VLOOKUP(SUBSTITUTE(SUBSTITUTE(SUBSTITUTE(IFERROR(INDEX('DADOS_FORMAS'!$AS$2:$AS$21,MATCH(SUBSTITUTE(SUBSTITUTE(SUBSTITUTE($ED16,"~","~~"),"*","~*"),"?","~?"),'DADOS_FORMAS'!$AH$2:$AH$21,0)),""),"~","~~"),"*","~*"),"?","~?"),'DADOS_RESTRICOES'!$M$2:$Q$54,4,FALSE)=1),0))+IF($EI16="",0,IFERROR(N(VLOOKUP(SUBSTITUTE(SUBSTITUTE(SUBSTITUTE($EI16,"~","~~"),"*","~*"),"?","~?"),'DADOS_RESTRICOES'!$M$2:$Q$54,4,FALSE)=1),0))+IF($EJ16="",0,IFERROR(N(VLOOKUP(SUBSTITUTE(SUBSTITUTE(SUBSTITUTE($EJ16,"~","~~"),"*","~*"),"?","~?"),'DADOS_RESTRICOES'!$M$2:$Q$54,4,FALSE)=1),0))&gt;1,"Duas Restrições de frequência, contando a embutida",""),IF(AND(IFERROR(VLOOKUP(SUBSTITUTE(SUBSTITUTE(SUBSTITUTE(IFERROR(INDEX('DADOS_FORMAS'!$AS$2:$AS$21,MATCH(SUBSTITUTE(SUBSTITUTE(SUBSTITUTE($ED16,"~","~~"),"*","~*"),"?","~?"),'DADOS_FORMAS'!$AH$2:$AH$21,0)),""),"~","~~"),"*","~*"),"?","~?"),'DADOS_RESTRICOES'!$M$2:$Q$54,2,FALSE),"")="Tudo ou Nada",$FA16=0),"Tudo ou Nada exige TR",""),IF(AND(IFERROR(VLOOKUP(SUBSTITUTE(SUBSTITUTE(SUBSTITUTE(IFERROR(INDEX('DADOS_FORMAS'!$AS$2:$AS$21,MATCH(SUBSTITUTE(SUBSTITUTE(SUBSTITUTE($ED16,"~","~~"),"*","~*"),"?","~?"),'DADOS_FORMAS'!$AH$2:$AH$21,0)),""),"~","~~"),"*","~*"),"?","~?"),'DADOS_RESTRICOES'!$M$2:$Q$54,2,FALSE),"")="Corpo a Corpo",OR($LB16="Cone",$LB16="Linha")),"Corpo a Corpo não entra em Cone/Linha","")))</f>
        <v/>
      </c>
      <c r="GM16" s="164">
        <f>IF($GL16="",0,(LEN($GL16)-LEN(SUBSTITUTE($GL16," · ","")))/3+1)</f>
        <v/>
      </c>
      <c r="GN16" s="164">
        <f>IF($EK16=0,"",TEXTJOIN(" · ",TRUE,IF($FQ16&gt;2*$EB16,"A devolução parou no teto de "&amp;2*$EB16,""),IF($FT16&gt;0,"Devolução perdida: "&amp;$FT16&amp;IF($FT16&gt;1," pontos"," ponto")&amp;" sem Melhoria para pagar",""),IF(AND($EW16&gt;0,$FV16=0),"Controle sem dano: uma rodada a mais e CD +2",""),IF(AND($EW16&gt;0,$FV16&gt;0,$FV16&lt;=$EB16),"Controle com saldo até a Classe: uma rodada a mais","")))</f>
        <v/>
      </c>
      <c r="GO16" s="164">
        <f>IF($GN16="",0,(LEN($GN16)-LEN(SUBSTITUTE($GN16," · ","")))/3+1)</f>
        <v/>
      </c>
      <c r="GP16" s="164">
        <f>IF($EK16=0,IF($FN16+$FO16-$EY16&gt;0,"Dê um nome",""),IF($GM16&gt;0,"⚠ "&amp;$GM16&amp;IF($GM16&gt;1," erros"," erro"),IF($GO16&gt;0,"! "&amp;$GO16&amp;IF($GO16&gt;1," avisos"," aviso"),"Na regra")))</f>
        <v/>
      </c>
      <c r="GQ16" s="164">
        <f>IF($EK16=0,"",IF($GM16+$GO16=0,"Dentro das regras que a ficha confere",$GL16&amp;IF(AND($GM16&gt;0,$GO16&gt;0)," · ","")&amp;$GN16))</f>
        <v/>
      </c>
      <c r="GR16" s="164">
        <f>IF($EK16=0,"",IF($DZ16=1,CEILING(4.5*$EB16,1),3*$EB16)&amp;" PE")</f>
        <v/>
      </c>
      <c r="GS16" s="164">
        <f>IF($EK16=0,"",IF($DZ16=1,"Rodada inteira",IF(COUNTIF($LD16:$LF16,"Atrasar")&gt;0,IF(COUNTIF($LD16:$LF16,"Carregar")&gt;0,"Rodada +1 turno","Rodada inteira"),IF(COUNTIF($KW16:$KZ16,"Rápido")&gt;0,"Bônus",IF(COUNTIF($KW16:$KZ16,"Reação")&gt;0,"Reação","Padrão"))&amp;IF(COUNTIF($LD16:$LF16,"Carregar")&gt;0," +1 turno",""))))</f>
        <v/>
      </c>
      <c r="GT16" s="164">
        <f>IF(OR($EK16=0,$EL16=0),"",IF(COUNTIF($KW16:$KZ16,"Inescapável")&gt;0,"Automático",IF(COUNTIF($KW16:$KZ16,"Certeiro")&gt;0,"TR para metade",IF(AND($EX16&gt;0,$FA16=0,INDEX('DADOS_FORMAS'!$FQ$2:$FQ$21,$EL16)="Acerto"),"Acerto + TR",INDEX('DADOS_FORMAS'!$FQ$2:$FQ$21,$EL16)))))</f>
        <v/>
      </c>
      <c r="GU16" s="164">
        <f>IF(OR($EK16=0,$EL16=0),"",IF(OR($EZ16&gt;=2,$FV16=0),UPPER(LEFT(INDEX($GE16:$GK16,1,$EB16),1))&amp;MID(INDEX($GE16:$GK16,1,$EB16),2,99),UPPER(LEFT(INDEX($GE16:$GK16,1,$EB16),1))&amp;MID(INDEX($GE16:$GK16,1,$EB16),2,99)&amp;" = "&amp;FLOOR($FV16*4.5,1)&amp;IF($FW16&gt;0," · +"&amp;$FW16&amp;"d8","")))</f>
        <v/>
      </c>
      <c r="GV16" s="164">
        <f>COUNTIF($KW16:$KZ16,"Longe")+3*COUNTIF($KW16:$KZ16,"Muito Longe")</f>
        <v/>
      </c>
      <c r="GW16" s="164">
        <f>COUNTIF($KW16:$KZ16,"Maior")+3*COUNTIF($KW16:$KZ16,"Muito Maior")</f>
        <v/>
      </c>
      <c r="GX16" s="164">
        <f>IF($EL16=0,0,CHOOSE(1+INDEX('DADOS_FORMAS'!$FS$2:$FS$21,$EL16),0,$GV16,$GW16,$GV16+$GW16))</f>
        <v/>
      </c>
      <c r="GY16" s="164">
        <f>IF($EL16=0,0,CHOOSE(1+INDEX('DADOS_FORMAS'!$FT$2:$FT$21,$EL16),0,$GV16,$GW16,$GV16+$GW16))</f>
        <v/>
      </c>
      <c r="GZ16" s="164">
        <f>IF(OR($EK16=0,$EL16=0),"",INDEX('DADOS_FORMAS'!$GZ$2:$HE$61,($EL16-1)*3+IF($EB16&gt;=6,3,2),1+MIN(5,$GX16))&amp;INDEX('DADOS_FORMAS'!$HF$2:$HK$61,($EL16-1)*3+IF($EB16&gt;=6,3,2),1+MIN(5,$GY16))&amp;IF(INDEX('DADOS_FORMAS'!$FU$2:$FU$21,$EL16)=1,IF(COUNTIF($KW16:$KZ16,"Mais Um")&gt;0," · +"&amp;COUNTIF($KW16:$KZ16,"Mais Um")&amp;IF(COUNTIF($KW16:$KZ16,"Mais Um")&gt;1," alvos"," alvo"),"")&amp;IF(COUNTIF($KW16:$KZ16,"Rajada")&gt;0," · "&amp;($EB16+1)&amp;" tiros",""),""))</f>
        <v/>
      </c>
      <c r="HA16" s="164">
        <f>IF($EK16=0,"",3*$EB16&amp;" − "&amp;$FP16&amp;" + "&amp;$FS16&amp;IF($DZ16=1," + "&amp;$EB16,"")&amp;" = "&amp;$FV16&amp;"d8 · teto "&amp;4*$EB16&amp;IF($EY16=1," · a Forma devolve "&amp;$EB16,"")&amp;IF($FT16&gt;0," · perde "&amp;$FT16,""))</f>
        <v/>
      </c>
      <c r="HB16" s="164">
        <f>IF($EK16=0,"",IF($EB16&gt;=$HM$4,"Já está na maior Classe que o nível liberou",TEXTJOIN(" · ",TRUE,IF(AND(2&gt;$EB16,2&lt;=$HM$4),"2 → "&amp;$GF16&amp;", "&amp;IF($DZ16=1,9,6)&amp;" PE",""),IF(AND(3&gt;$EB16,3&lt;=$HM$4),"3 → "&amp;$GG16&amp;", "&amp;IF($DZ16=1,14,9)&amp;" PE",""),IF(AND(4&gt;$EB16,4&lt;=$HM$4),"4 → "&amp;$GH16&amp;", "&amp;IF($DZ16=1,18,12)&amp;" PE",""),IF(AND(5&gt;$EB16,5&lt;=$HM$4),"5 → "&amp;$GI16&amp;", "&amp;IF($DZ16=1,23,15)&amp;" PE",""),IF(AND(6&gt;$EB16,6&lt;=$HM$4),"6 → "&amp;$GJ16&amp;", "&amp;IF($DZ16=1,27,18)&amp;" PE",""),IF(AND(7&gt;$EB16,7&lt;=$HM$4),"7 → "&amp;$GK16&amp;", "&amp;IF($DZ16=1,32,21)&amp;" PE",""))))</f>
        <v/>
      </c>
      <c r="HC16" s="164">
        <f>IF(OR($EK16=0,$EN16=0),"","−"&amp;INDEX($Q$2:$V$8,$EB16,$EN16)&amp;" · "&amp;CHOOSE($EN16,"Leve","Média","Pesada","Leve · Livre","Média · Livre","Pesada · Livre"))</f>
        <v/>
      </c>
      <c r="HD16" s="164">
        <f>IF(OR($EK16=0,$EO16=0),"","−"&amp;INDEX($Q$2:$V$8,$EB16,$EO16)&amp;" · "&amp;CHOOSE($EO16,"Leve","Média","Pesada","Leve · Livre","Média · Livre","Pesada · Livre"))</f>
        <v/>
      </c>
      <c r="HE16" s="164">
        <f>IF(OR($EK16=0,$EP16=0),"","−"&amp;INDEX($Q$2:$V$8,$EB16,$EP16)&amp;" · "&amp;CHOOSE($EP16,"Leve","Média","Pesada","Leve · Livre","Média · Livre","Pesada · Livre"))</f>
        <v/>
      </c>
      <c r="HF16" s="164">
        <f>IF(OR($EK16=0,$EQ16=0),"","−"&amp;INDEX($Q$2:$V$8,$EB16,$EQ16)&amp;" · "&amp;CHOOSE($EQ16,"Leve","Média","Pesada","Leve · Livre","Média · Livre","Pesada · Livre"))</f>
        <v/>
      </c>
      <c r="HG16" s="164">
        <f>IF(OR($EK16=0,$EI16=""),"","+"&amp;IF($FB16=1,CEILING($EB16/2,1),$EB16))</f>
        <v/>
      </c>
      <c r="HH16" s="164">
        <f>IF(OR($EK16=0,$EJ16=""),"","+"&amp;IF($FC16=1,CEILING($EB16/2,1),$EB16))</f>
        <v/>
      </c>
      <c r="HI16" s="164">
        <f>'FICHA AMALDIÇOADA'!$P$152&amp;""</f>
        <v/>
      </c>
      <c r="HJ16" s="164">
        <f>IF(AND($EK16=1,$DZ16=0),COUNTIFS($EK$2:$EK16,1,$DZ$2:$DZ16,0),"")</f>
        <v/>
      </c>
      <c r="HL16" s="162" t="inlineStr">
        <is>
          <t>espaços da regra própria</t>
        </is>
      </c>
      <c r="HM16" s="164">
        <f>MAX(0,$HM$15-1)</f>
        <v/>
      </c>
      <c r="JH16" s="164" t="n">
        <v>15</v>
      </c>
      <c r="JI16" s="164">
        <f>IFERROR(MATCH(15,$HJ$2:$HJ$37,0),0)</f>
        <v/>
      </c>
      <c r="JJ16" s="164">
        <f>IF($JI16=0,"",INDEX($EB$2:$EB$37,$JI16))</f>
        <v/>
      </c>
      <c r="JK16" s="164">
        <f>IF($JI16=0,"",INDEX($EC$2:$EC$37,$JI16))</f>
        <v/>
      </c>
      <c r="JL16" s="164">
        <f>IF($JI16=0,"",INDEX($GR$2:$GR$37,$JI16))</f>
        <v/>
      </c>
      <c r="JM16" s="164">
        <f>IF($JI16=0,"",INDEX($ED$2:$ED$37,$JI16))</f>
        <v/>
      </c>
      <c r="JN16" s="164">
        <f>IF($JI16=0,"",INDEX($GT$2:$GT$37,$JI16))</f>
        <v/>
      </c>
      <c r="JO16" s="164">
        <f>IF($JI16=0,"",INDEX($HI$2:$HI$37,$JI16))</f>
        <v/>
      </c>
      <c r="KR16" s="162" t="inlineStr">
        <is>
          <t>par passivas 4</t>
        </is>
      </c>
      <c r="KS16" s="164">
        <f>"TALENTOS 13 A 14"</f>
        <v/>
      </c>
      <c r="KU16" s="162" t="inlineStr">
        <is>
          <t>L25</t>
        </is>
      </c>
      <c r="KV16" s="164">
        <f>UPPER(INDEX(DADOS_AM!$D$12:$G$12,1,DADOS_AM!$A$2))</f>
        <v/>
      </c>
      <c r="KW16">
        <f>IF($EE16="","",IFERROR(VLOOKUP(SUBSTITUTE(SUBSTITUTE(SUBSTITUTE($EE16,"~","~~"),"*","~*"),"?","~?"),'DADOS_MELHORIAS'!$O$2:$X$113,10,FALSE),$EE16))</f>
        <v/>
      </c>
      <c r="KX16">
        <f>IF($EF16="","",IFERROR(VLOOKUP(SUBSTITUTE(SUBSTITUTE(SUBSTITUTE($EF16,"~","~~"),"*","~*"),"?","~?"),'DADOS_MELHORIAS'!$O$2:$X$113,10,FALSE),$EF16))</f>
        <v/>
      </c>
      <c r="KY16">
        <f>IF($EG16="","",IFERROR(VLOOKUP(SUBSTITUTE(SUBSTITUTE(SUBSTITUTE($EG16,"~","~~"),"*","~*"),"?","~?"),'DADOS_MELHORIAS'!$O$2:$X$113,10,FALSE),$EG16))</f>
        <v/>
      </c>
      <c r="KZ16">
        <f>IF($EH16="","",IFERROR(VLOOKUP(SUBSTITUTE(SUBSTITUTE(SUBSTITUTE($EH16,"~","~~"),"*","~*"),"?","~?"),'DADOS_MELHORIAS'!$O$2:$X$113,10,FALSE),$EH16))</f>
        <v/>
      </c>
      <c r="LB16">
        <f>IFERROR(INDEX('DADOS_FORMAS'!$BJ$2:$BJ$21,MATCH(SUBSTITUTE(SUBSTITUTE(SUBSTITUTE($ED16,"~","~~"),"*","~*"),"?","~?"),'DADOS_FORMAS'!$AH$2:$AH$21,0)),"")</f>
        <v/>
      </c>
      <c r="LC16">
        <f>IFERROR(VLOOKUP(SUBSTITUTE(SUBSTITUTE(SUBSTITUTE(IFERROR(INDEX('DADOS_FORMAS'!$AS$2:$AS$21,MATCH(SUBSTITUTE(SUBSTITUTE(SUBSTITUTE($ED16,"~","~~"),"*","~*"),"?","~?"),'DADOS_FORMAS'!$AH$2:$AH$21,0)),""),"~","~~"),"*","~*"),"?","~?"),'DADOS_RESTRICOES'!$M$2:$Q$54,2,FALSE),"")</f>
        <v/>
      </c>
      <c r="LD16">
        <f>$FD16</f>
        <v/>
      </c>
      <c r="LE16">
        <f>$FE16</f>
        <v/>
      </c>
      <c r="LF16">
        <f>$LC16</f>
        <v/>
      </c>
    </row>
    <row r="17">
      <c r="C17" s="162" t="inlineStr">
        <is>
          <t>nome da rota</t>
        </is>
      </c>
      <c r="D17" s="162" t="inlineStr">
        <is>
          <t>Fundamento</t>
        </is>
      </c>
      <c r="E17" s="162" t="inlineStr">
        <is>
          <t>Sem Técnica</t>
        </is>
      </c>
      <c r="F17" s="162" t="inlineStr">
        <is>
          <t>Técnica Marcial com energia</t>
        </is>
      </c>
      <c r="G17" s="162" t="inlineStr">
        <is>
          <t>Técnica Marcial sem energia</t>
        </is>
      </c>
      <c r="AO17" s="162" t="inlineStr">
        <is>
          <t>Linha · classe 0</t>
        </is>
      </c>
      <c r="AP17" s="162" t="inlineStr">
        <is>
          <t>Linha de 9 m por 1,5 m</t>
        </is>
      </c>
      <c r="AQ17" s="162" t="inlineStr">
        <is>
          <t>Linha de 18 m por 1,5 m</t>
        </is>
      </c>
      <c r="AR17" s="162" t="inlineStr">
        <is>
          <t>Linha de 30 m por 1,5 m</t>
        </is>
      </c>
      <c r="AS17" s="162" t="inlineStr">
        <is>
          <t>Linha de 60 m por 1,5 m</t>
        </is>
      </c>
      <c r="AT17" s="162" t="inlineStr">
        <is>
          <t>Linha de 60 m por 1,5 m</t>
        </is>
      </c>
      <c r="AU17" s="162" t="inlineStr">
        <is>
          <t>Linha de 60 m por 1,5 m</t>
        </is>
      </c>
      <c r="AV17" s="162" t="inlineStr"/>
      <c r="AW17" s="162" t="inlineStr"/>
      <c r="AX17" s="162" t="inlineStr"/>
      <c r="AY17" s="162" t="inlineStr"/>
      <c r="AZ17" s="162" t="inlineStr"/>
      <c r="BA17" s="162" t="inlineStr"/>
      <c r="BC17" s="162" t="inlineStr">
        <is>
          <t>Certeiro</t>
        </is>
      </c>
      <c r="BD17" s="162" t="inlineStr">
        <is>
          <t>Mira</t>
        </is>
      </c>
      <c r="BE17" s="164" t="n">
        <v>2</v>
      </c>
      <c r="BF17" s="164">
        <f>$BE17+3*IFERROR(VLOOKUP($BD17,'DADOS_CRIACAO'!$H$2:$K$20,3,FALSE),0)</f>
        <v/>
      </c>
      <c r="BG17" s="164">
        <f>IFERROR(VLOOKUP($BD17,'DADOS_CRIACAO'!$H$2:$K$20,4,FALSE),0)</f>
        <v/>
      </c>
      <c r="BH17" s="164" t="n">
        <v>0</v>
      </c>
      <c r="BI17" s="164">
        <f>IF($BG17=1,"",$BC17)</f>
        <v/>
      </c>
      <c r="BJ17" s="164">
        <f>IF(AND($BE17=1,$BG17=0),$BC17,"")</f>
        <v/>
      </c>
      <c r="BK17" s="164" t="n">
        <v>0</v>
      </c>
      <c r="BM17" s="162" t="inlineStr">
        <is>
          <t>Condicional (Média)</t>
        </is>
      </c>
      <c r="BN17" s="162" t="inlineStr">
        <is>
          <t>Condicional</t>
        </is>
      </c>
      <c r="BO17" s="164" t="n">
        <v>2</v>
      </c>
      <c r="BP17" s="164" t="n">
        <v>1</v>
      </c>
      <c r="BQ17" s="162" t="inlineStr"/>
      <c r="BS17" s="162" t="inlineStr">
        <is>
          <t>Reserva Profunda</t>
        </is>
      </c>
      <c r="BT17" s="164" t="n">
        <v>3</v>
      </c>
      <c r="BU17" s="162" t="inlineStr">
        <is>
          <t>Seu PE máximo aumenta em 3 × sua maior Classe. Atualize esse acréscimo quando sua maior Classe aumentar.</t>
        </is>
      </c>
      <c r="BV17" s="164" t="n">
        <v>1</v>
      </c>
      <c r="BW17" s="164" t="n">
        <v>0</v>
      </c>
      <c r="BX17" s="164">
        <f>IF(OR(AND($A$2&lt;=2,$BV17=1),AND($A$2&gt;=2,$BW17=1)),$BS17,"")</f>
        <v/>
      </c>
      <c r="BY17" s="162" t="inlineStr">
        <is>
          <t>Seu PE máximo aumenta em 3 × sua maior Classe. Atualize esse acréscimo quando sua maior Classe aumentar.</t>
        </is>
      </c>
      <c r="CD17" s="162" t="inlineStr">
        <is>
          <t>Aptidão Própria (CE 1)</t>
        </is>
      </c>
      <c r="CE17" s="162" t="inlineStr">
        <is>
          <t>Uma única vez na ficha</t>
        </is>
      </c>
      <c r="CF17" s="164" t="n">
        <v>1</v>
      </c>
      <c r="CG17" s="162" t="inlineStr">
        <is>
          <t>—</t>
        </is>
      </c>
      <c r="CH17" s="162" t="inlineStr">
        <is>
          <t>Você cria uma aptidão com o mestre antes da sessão; ele define o tamanho do efeito. Ela representa um aprendizado específico de energia que o catálogo ainda não cobre. Escreva uma frase de regra. Ela precisa dizer quando funciona, quem afeta e o que permite fazer. Acrescente ação, custo, distância e encerramento quando forem necessários. A descrição pode ser curta, mas deve bastar para outra mesa aplicar a mesma regra. A proposta não pode copiar uma aptidão existente com outro nome, dispensar seus requisitos ou acrescentar dados de dano. Aptidão Própria de Categoria de Efeito 2 também precisa de um limite por cena. Avalie a frequência real de uso no tipo de missão da campanha. Compare também a magnitude, o custo de ação, os alvos e o alcance com os Talentos da mesma Categoria de Efeito. Efeitos pequenos ou de informação costumam caber na Categoria 1. Intervenções mais relevantes podem exigir Categoria 2 e seu limite por cena. Permanência, sozinha, não transforma um benefício pequeno em Categoria 3. Efeitos que precisem dessa terceira Categoria ficam fora desta opção. A comparação abaixo serve como apoio. Quem define o tamanho da Aptidão Própria é o mestre. Escreva a sua na caixa de baixo.</t>
        </is>
      </c>
      <c r="CI17" s="164">
        <f>IF($CL17=1,"",IF($A$2=4,IF($CJ17=1,$CD17,""),IF(OR($CJ17=1,AND($A$2=3,$CK17=1)),"",$CD17)))</f>
        <v/>
      </c>
      <c r="CJ17" s="164" t="n">
        <v>0</v>
      </c>
      <c r="CK17" s="164" t="n">
        <v>0</v>
      </c>
      <c r="CL17" s="164" t="n">
        <v>0</v>
      </c>
      <c r="CM17" s="162" t="inlineStr">
        <is>
          <t>Você cria uma aptidão com o mestre antes da sessão; ele define o tamanho do efeito.</t>
        </is>
      </c>
      <c r="DY17" s="162" t="inlineStr">
        <is>
          <t>Feitiço 16</t>
        </is>
      </c>
      <c r="DZ17" s="164" t="n">
        <v>0</v>
      </c>
      <c r="EA17" s="164" t="n">
        <v>16</v>
      </c>
      <c r="EB17" s="164">
        <f>MAX(1,MIN(7,N('FICHA AMALDIÇOADA'!$D$171)))</f>
        <v/>
      </c>
      <c r="EC17" s="164">
        <f>'FICHA AMALDIÇOADA'!$E$171&amp;""</f>
        <v/>
      </c>
      <c r="ED17" s="164">
        <f>'FICHA AMALDIÇOADA'!$D$178&amp;""</f>
        <v/>
      </c>
      <c r="EE17" s="164">
        <f>'FICHA AMALDIÇOADA'!$E$180&amp;""</f>
        <v/>
      </c>
      <c r="EF17" s="164">
        <f>'FICHA AMALDIÇOADA'!$E$181&amp;""</f>
        <v/>
      </c>
      <c r="EG17" s="164">
        <f>'FICHA AMALDIÇOADA'!$E$182&amp;""</f>
        <v/>
      </c>
      <c r="EH17" s="164">
        <f>'FICHA AMALDIÇOADA'!$E$183&amp;""</f>
        <v/>
      </c>
      <c r="EI17" s="164">
        <f>'FICHA AMALDIÇOADA'!$E$184&amp;""</f>
        <v/>
      </c>
      <c r="EJ17" s="164">
        <f>'FICHA AMALDIÇOADA'!$E$185&amp;""</f>
        <v/>
      </c>
      <c r="EK17" s="164">
        <f>IF($EC17&lt;&gt;"",1,0)</f>
        <v/>
      </c>
      <c r="EL17" s="164">
        <f>IFERROR(MATCH(SUBSTITUTE(SUBSTITUTE(SUBSTITUTE($ED17,"~","~~"),"*","~*"),"?","~?"),'DADOS_FORMAS'!$FJ$2:$FJ$21,0),0)</f>
        <v/>
      </c>
      <c r="EM17" s="164">
        <f>IF($EL17=0,0,INDEX('DADOS_FORMAS'!$FM$2:$FM$21,$EL17))</f>
        <v/>
      </c>
      <c r="EN17" s="164">
        <f>IFERROR(VLOOKUP(SUBSTITUTE(SUBSTITUTE(SUBSTITUTE($EE17,"~","~~"),"*","~*"),"?","~?"),'DADOS_MELHORIAS'!$O$2:$W$113,4,FALSE),0)</f>
        <v/>
      </c>
      <c r="EO17" s="164">
        <f>IFERROR(VLOOKUP(SUBSTITUTE(SUBSTITUTE(SUBSTITUTE($EF17,"~","~~"),"*","~*"),"?","~?"),'DADOS_MELHORIAS'!$O$2:$W$113,4,FALSE),0)</f>
        <v/>
      </c>
      <c r="EP17" s="164">
        <f>IFERROR(VLOOKUP(SUBSTITUTE(SUBSTITUTE(SUBSTITUTE($EG17,"~","~~"),"*","~*"),"?","~?"),'DADOS_MELHORIAS'!$O$2:$W$113,4,FALSE),0)</f>
        <v/>
      </c>
      <c r="EQ17" s="164">
        <f>IFERROR(VLOOKUP(SUBSTITUTE(SUBSTITUTE(SUBSTITUTE($EH17,"~","~~"),"*","~*"),"?","~?"),'DADOS_MELHORIAS'!$O$2:$W$113,4,FALSE),0)</f>
        <v/>
      </c>
      <c r="ER17" s="164">
        <f>IF($EL17=0,0,INDEX('DADOS_FORMAS'!$FN$2:$FN$21,$EL17))</f>
        <v/>
      </c>
      <c r="ES17" s="164">
        <f>IFERROR(VLOOKUP(SUBSTITUTE(SUBSTITUTE(SUBSTITUTE($EE17,"~","~~"),"*","~*"),"?","~?"),'DADOS_MELHORIAS'!$O$2:$W$113,5,FALSE),0)</f>
        <v/>
      </c>
      <c r="ET17" s="164">
        <f>IFERROR(VLOOKUP(SUBSTITUTE(SUBSTITUTE(SUBSTITUTE($EF17,"~","~~"),"*","~*"),"?","~?"),'DADOS_MELHORIAS'!$O$2:$W$113,5,FALSE),0)</f>
        <v/>
      </c>
      <c r="EU17" s="164">
        <f>IFERROR(VLOOKUP(SUBSTITUTE(SUBSTITUTE(SUBSTITUTE($EG17,"~","~~"),"*","~*"),"?","~?"),'DADOS_MELHORIAS'!$O$2:$W$113,5,FALSE),0)</f>
        <v/>
      </c>
      <c r="EV17" s="164">
        <f>IFERROR(VLOOKUP(SUBSTITUTE(SUBSTITUTE(SUBSTITUTE($EH17,"~","~~"),"*","~*"),"?","~?"),'DADOS_MELHORIAS'!$O$2:$W$113,5,FALSE),0)</f>
        <v/>
      </c>
      <c r="EW17" s="164">
        <f>IFERROR(VLOOKUP(SUBSTITUTE(SUBSTITUTE(SUBSTITUTE($EE17,"~","~~"),"*","~*"),"?","~?"),'DADOS_MELHORIAS'!$O$2:$W$113,6,FALSE),0)+IFERROR(VLOOKUP(SUBSTITUTE(SUBSTITUTE(SUBSTITUTE($EF17,"~","~~"),"*","~*"),"?","~?"),'DADOS_MELHORIAS'!$O$2:$W$113,6,FALSE),0)+IFERROR(VLOOKUP(SUBSTITUTE(SUBSTITUTE(SUBSTITUTE($EG17,"~","~~"),"*","~*"),"?","~?"),'DADOS_MELHORIAS'!$O$2:$W$113,6,FALSE),0)+IFERROR(VLOOKUP(SUBSTITUTE(SUBSTITUTE(SUBSTITUTE($EH17,"~","~~"),"*","~*"),"?","~?"),'DADOS_MELHORIAS'!$O$2:$W$113,6,FALSE),0)</f>
        <v/>
      </c>
      <c r="EX17" s="164">
        <f>IFERROR(VLOOKUP(SUBSTITUTE(SUBSTITUTE(SUBSTITUTE($EE17,"~","~~"),"*","~*"),"?","~?"),'DADOS_MELHORIAS'!$O$2:$W$113,9,FALSE),0)+IFERROR(VLOOKUP(SUBSTITUTE(SUBSTITUTE(SUBSTITUTE($EF17,"~","~~"),"*","~*"),"?","~?"),'DADOS_MELHORIAS'!$O$2:$W$113,9,FALSE),0)+IFERROR(VLOOKUP(SUBSTITUTE(SUBSTITUTE(SUBSTITUTE($EG17,"~","~~"),"*","~*"),"?","~?"),'DADOS_MELHORIAS'!$O$2:$W$113,9,FALSE),0)+IFERROR(VLOOKUP(SUBSTITUTE(SUBSTITUTE(SUBSTITUTE($EH17,"~","~~"),"*","~*"),"?","~?"),'DADOS_MELHORIAS'!$O$2:$W$113,9,FALSE),0)</f>
        <v/>
      </c>
      <c r="EY17" s="164">
        <f>IF($EL17=0,0,INDEX('DADOS_FORMAS'!$FO$2:$FO$21,$EL17))</f>
        <v/>
      </c>
      <c r="EZ17" s="164">
        <f>IF($EL17=0,0,INDEX('DADOS_FORMAS'!$FP$2:$FP$21,$EL17))</f>
        <v/>
      </c>
      <c r="FA17" s="164">
        <f>IF($EL17=0,0,INDEX('DADOS_FORMAS'!$FR$2:$FR$21,$EL17))</f>
        <v/>
      </c>
      <c r="FB17" s="164">
        <f>IFERROR(VLOOKUP(SUBSTITUTE(SUBSTITUTE(SUBSTITUTE($EI17,"~","~~"),"*","~*"),"?","~?"),'DADOS_RESTRICOES'!$M$2:$Q$54,3,FALSE),0)</f>
        <v/>
      </c>
      <c r="FC17" s="164">
        <f>IFERROR(VLOOKUP(SUBSTITUTE(SUBSTITUTE(SUBSTITUTE($EJ17,"~","~~"),"*","~*"),"?","~?"),'DADOS_RESTRICOES'!$M$2:$Q$54,3,FALSE),0)</f>
        <v/>
      </c>
      <c r="FD17" s="164">
        <f>IFERROR(VLOOKUP(SUBSTITUTE(SUBSTITUTE(SUBSTITUTE($EI17,"~","~~"),"*","~*"),"?","~?"),'DADOS_RESTRICOES'!$M$2:$Q$54,2,FALSE),"")</f>
        <v/>
      </c>
      <c r="FE17" s="164">
        <f>IFERROR(VLOOKUP(SUBSTITUTE(SUBSTITUTE(SUBSTITUTE($EJ17,"~","~~"),"*","~*"),"?","~?"),'DADOS_RESTRICOES'!$M$2:$Q$54,2,FALSE),"")</f>
        <v/>
      </c>
      <c r="FF17" s="164">
        <f>COUNTIF($EM17:$EQ17,1)</f>
        <v/>
      </c>
      <c r="FG17" s="164">
        <f>COUNTIF($EM17:$EQ17,2)</f>
        <v/>
      </c>
      <c r="FH17" s="164">
        <f>COUNTIF($EM17:$EQ17,3)</f>
        <v/>
      </c>
      <c r="FI17" s="164">
        <f>COUNTIF($EM17:$EQ17,4)</f>
        <v/>
      </c>
      <c r="FJ17" s="164">
        <f>COUNTIF($EM17:$EQ17,5)</f>
        <v/>
      </c>
      <c r="FK17" s="164">
        <f>COUNTIF($EM17:$EQ17,6)</f>
        <v/>
      </c>
      <c r="FL17" s="164">
        <f>COUNTIF($FB17:$FC17,1)+IF(IFERROR(INDEX('DADOS_FORMAS'!$AS$2:$AS$21,MATCH(SUBSTITUTE(SUBSTITUTE(SUBSTITUTE($ED17,"~","~~"),"*","~*"),"?","~?"),'DADOS_FORMAS'!$AH$2:$AH$21,0)),"")="",0,IFERROR(N(VLOOKUP(SUBSTITUTE(SUBSTITUTE(SUBSTITUTE(IFERROR(INDEX('DADOS_FORMAS'!$AS$2:$AS$21,MATCH(SUBSTITUTE(SUBSTITUTE(SUBSTITUTE($ED17,"~","~~"),"*","~*"),"?","~?"),'DADOS_FORMAS'!$AH$2:$AH$21,0)),""),"~","~~"),"*","~*"),"?","~?"),'DADOS_RESTRICOES'!$M$2:$Q$54,3,FALSE)=1),0))</f>
        <v/>
      </c>
      <c r="FM17" s="164">
        <f>COUNTIF($FB17:$FC17,2)+IF(IFERROR(INDEX('DADOS_FORMAS'!$AS$2:$AS$21,MATCH(SUBSTITUTE(SUBSTITUTE(SUBSTITUTE($ED17,"~","~~"),"*","~*"),"?","~?"),'DADOS_FORMAS'!$AH$2:$AH$21,0)),"")="",0,IFERROR(N(VLOOKUP(SUBSTITUTE(SUBSTITUTE(SUBSTITUTE(IFERROR(INDEX('DADOS_FORMAS'!$AS$2:$AS$21,MATCH(SUBSTITUTE(SUBSTITUTE(SUBSTITUTE($ED17,"~","~~"),"*","~*"),"?","~?"),'DADOS_FORMAS'!$AH$2:$AH$21,0)),""),"~","~~"),"*","~*"),"?","~?"),'DADOS_RESTRICOES'!$M$2:$Q$54,3,FALSE)=2),0))</f>
        <v/>
      </c>
      <c r="FN17" s="164">
        <f>COUNTIF($EE17:$EH17,"?*")</f>
        <v/>
      </c>
      <c r="FO17" s="164">
        <f>COUNTIF($EI17:$EJ17,"?*")+$EY17</f>
        <v/>
      </c>
      <c r="FP17" s="164">
        <f>SUMPRODUCT($FF17:$FK17,INDEX($Q$2:$V$8,$EB17,0))</f>
        <v/>
      </c>
      <c r="FQ17" s="164">
        <f>$FL17*CEILING($EB17/2,1)+$FM17*$EB17</f>
        <v/>
      </c>
      <c r="FR17" s="164">
        <f>MIN(2*$EB17,$FQ17)</f>
        <v/>
      </c>
      <c r="FS17" s="164">
        <f>MIN($FR17,$FP17-IF($EM17=0,0,INDEX($Q$2:$V$8,$EB17,$EM17)))</f>
        <v/>
      </c>
      <c r="FT17" s="164">
        <f>$FR17-$FS17</f>
        <v/>
      </c>
      <c r="FU17" s="164">
        <f>3*$EB17-$FP17+$FS17</f>
        <v/>
      </c>
      <c r="FV17" s="164">
        <f>MAX(0,$FU17)+$DZ17*$EB17</f>
        <v/>
      </c>
      <c r="FW17" s="164">
        <f>(IF(COUNTIF($KW17:$KZ17,"Salto")&gt;0,1,0)+IF(COUNTIF($KW17:$KZ17,"Queima")&gt;0,1,0)+IF(COUNTIF($KW17:$KZ17,"Estilhaço")&gt;0,1,0))*FLOOR($FV17/2,1)</f>
        <v/>
      </c>
      <c r="FX17" s="164">
        <f>MAX(0,3-SUMPRODUCT($FF17:$FK17,$Q$2:$V$2)+MIN(2,$FL17*1+$FM17*1,SUMPRODUCT($FF17:$FK17,$Q$2:$V$2)-IF($EM17=0,0,INDEX($Q$2:$V$2,1,$EM17))))+$DZ17*1</f>
        <v/>
      </c>
      <c r="FY17" s="164">
        <f>MAX(0,6-SUMPRODUCT($FF17:$FK17,$Q$3:$V$3)+MIN(4,$FL17*1+$FM17*2,SUMPRODUCT($FF17:$FK17,$Q$3:$V$3)-IF($EM17=0,0,INDEX($Q$3:$V$3,1,$EM17))))+$DZ17*2</f>
        <v/>
      </c>
      <c r="FZ17" s="164">
        <f>MAX(0,9-SUMPRODUCT($FF17:$FK17,$Q$4:$V$4)+MIN(6,$FL17*2+$FM17*3,SUMPRODUCT($FF17:$FK17,$Q$4:$V$4)-IF($EM17=0,0,INDEX($Q$4:$V$4,1,$EM17))))+$DZ17*3</f>
        <v/>
      </c>
      <c r="GA17" s="164">
        <f>MAX(0,12-SUMPRODUCT($FF17:$FK17,$Q$5:$V$5)+MIN(8,$FL17*2+$FM17*4,SUMPRODUCT($FF17:$FK17,$Q$5:$V$5)-IF($EM17=0,0,INDEX($Q$5:$V$5,1,$EM17))))+$DZ17*4</f>
        <v/>
      </c>
      <c r="GB17" s="164">
        <f>MAX(0,15-SUMPRODUCT($FF17:$FK17,$Q$6:$V$6)+MIN(10,$FL17*3+$FM17*5,SUMPRODUCT($FF17:$FK17,$Q$6:$V$6)-IF($EM17=0,0,INDEX($Q$6:$V$6,1,$EM17))))+$DZ17*5</f>
        <v/>
      </c>
      <c r="GC17" s="164">
        <f>MAX(0,18-SUMPRODUCT($FF17:$FK17,$Q$7:$V$7)+MIN(12,$FL17*3+$FM17*6,SUMPRODUCT($FF17:$FK17,$Q$7:$V$7)-IF($EM17=0,0,INDEX($Q$7:$V$7,1,$EM17))))+$DZ17*6</f>
        <v/>
      </c>
      <c r="GD17" s="164">
        <f>MAX(0,21-SUMPRODUCT($FF17:$FK17,$Q$8:$V$8)+MIN(14,$FL17*4+$FM17*7,SUMPRODUCT($FF17:$FK17,$Q$8:$V$8)-IF($EM17=0,0,INDEX($Q$8:$V$8,1,$EM17))))+$DZ17*7</f>
        <v/>
      </c>
      <c r="GE17" s="164">
        <f>IF($EZ17=2,3*$FX17&amp;" de vida temp.",IF($EZ17=3,"sem dano",IF($FX17=0,IF($EZ17=1,"sem cura","sem dano"),IF($EZ17=1,"cura ","")&amp;$FX17&amp;"d8")))</f>
        <v/>
      </c>
      <c r="GF17" s="164">
        <f>IF($EZ17=2,3*$FY17&amp;" de vida temp.",IF($EZ17=3,"sem dano",IF($FY17=0,IF($EZ17=1,"sem cura","sem dano"),IF($EZ17=1,"cura ","")&amp;$FY17&amp;"d8")))</f>
        <v/>
      </c>
      <c r="GG17" s="164">
        <f>IF($EZ17=2,3*$FZ17&amp;" de vida temp.",IF($EZ17=3,"sem dano",IF($FZ17=0,IF($EZ17=1,"sem cura","sem dano"),IF($EZ17=1,"cura ","")&amp;$FZ17&amp;"d8")))</f>
        <v/>
      </c>
      <c r="GH17" s="164">
        <f>IF($EZ17=2,3*$GA17&amp;" de vida temp.",IF($EZ17=3,"sem dano",IF($GA17=0,IF($EZ17=1,"sem cura","sem dano"),IF($EZ17=1,"cura ","")&amp;$GA17&amp;"d8")))</f>
        <v/>
      </c>
      <c r="GI17" s="164">
        <f>IF($EZ17=2,3*$GB17&amp;" de vida temp.",IF($EZ17=3,"sem dano",IF($GB17=0,IF($EZ17=1,"sem cura","sem dano"),IF($EZ17=1,"cura ","")&amp;$GB17&amp;"d8")))</f>
        <v/>
      </c>
      <c r="GJ17" s="164">
        <f>IF($EZ17=2,3*$GC17&amp;" de vida temp.",IF($EZ17=3,"sem dano",IF($GC17=0,IF($EZ17=1,"sem cura","sem dano"),IF($EZ17=1,"cura ","")&amp;$GC17&amp;"d8")))</f>
        <v/>
      </c>
      <c r="GK17" s="164">
        <f>IF($EZ17=2,3*$GD17&amp;" de vida temp.",IF($EZ17=3,"sem dano",IF($GD17=0,IF($EZ17=1,"sem cura","sem dano"),IF($EZ17=1,"cura ","")&amp;$GD17&amp;"d8")))</f>
        <v/>
      </c>
      <c r="GL17" s="164">
        <f>IF($EK17=0,"",TEXTJOIN(" · ",TRUE,IF($EK17=0,"",TEXTJOIN(" · ",TRUE,IF($EK17=0,"",TEXTJOIN(" · ",TRUE,IF(AND($DZ17=1,$EA17&gt;$HM$9),"O nível "&amp;$HM$2&amp;" dá "&amp;$HM$9&amp;" Liberação Máxima",""),IF($EB17&gt;$HM$4,"Classe "&amp;$EB17&amp;": o nível "&amp;$HM$2&amp;" libera até a "&amp;$HM$4,""),IF($ER17=1,"Família Fechada: a Forma "&amp;$ED17,""),IF($ES17=1,"Família Fechada: "&amp;$EE17,""),IF($ET17=1,"Família Fechada: "&amp;$EF17,""),IF($EU17=1,"Família Fechada: "&amp;$EG17,""),IF($EV17=1,"Família Fechada: "&amp;$EH17,""),IF($FN17&gt;INDEX($W$2:$W$8,$EB17),$FN17&amp;" Melhorias: a Classe "&amp;$EB17&amp;" aceita "&amp;INDEX($W$2:$W$8,$EB17),""),IF($FO17&gt;2,$FO17&amp;" Restrições"&amp;IF($EY17=1,", contando a que a Forma "&amp;$ED17&amp;" já traz","")&amp;": o limite é 2",""),IF($FU17&lt;0,"Orçamento estourado: faltam "&amp;(-$FU17)&amp;IF($FU17&lt;-1," pontos"," ponto"),""),IF(IFERROR(VLOOKUP(SUBSTITUTE(SUBSTITUTE(SUBSTITUTE($EI17,"~","~~"),"*","~*"),"?","~?"),'DADOS_RESTRICOES'!$M$2:$Q$54,4,FALSE),0)+IFERROR(VLOOKUP(SUBSTITUTE(SUBSTITUTE(SUBSTITUTE($EJ17,"~","~~"),"*","~*"),"?","~?"),'DADOS_RESTRICOES'!$M$2:$Q$54,4,FALSE),0)&gt;1,$FD17&amp;" e "&amp;$FE17&amp;" são as duas de frequência",""),IF(AND((COUNTIF($KW17:$KZ17,"Rápido")+COUNTIF($FD17:$FE17,"Rápido"))&gt;0,(COUNTIF($EE17:$EH17,"Atrasar")+COUNTIF($FD17:$FE17,"Atrasar"))&gt;0),"Rápido não entra com Atrasar",""),IF(AND((COUNTIF($KW17:$KZ17,"Reação")+COUNTIF($FD17:$FE17,"Reação"))&gt;0,(COUNTIF($KW17:$KZ17,"Rápido")+COUNTIF($FD17:$FE17,"Rápido"))&gt;0),"Reação não entra com Rápido",""),IF(AND((COUNTIF($KW17:$KZ17,"Reação")+COUNTIF($FD17:$FE17,"Reação"))&gt;0,(COUNTIF($KW17:$KZ17,"Armado")+COUNTIF($FD17:$FE17,"Armado"))&gt;0),"Reação não entra com Armado",""),IF(AND((COUNTIF($KW17:$KZ17,"Reação")+COUNTIF($FD17:$FE17,"Reação"))&gt;0,(COUNTIF($EE17:$EH17,"Atrasar")+COUNTIF($FD17:$FE17,"Atrasar"))&gt;0),"Reação não entra com Atrasar",""),IF(AND((COUNTIF($KW17:$KZ17,"Reação")+COUNTIF($FD17:$FE17,"Reação"))&gt;0,(COUNTIF($EE17:$EH17,"Parado")+COUNTIF($FD17:$FE17,"Parado"))&gt;0),"Reação não entra com Parado",""),IF(AND((COUNTIF($EE17:$EH17,"Atrasar")+COUNTIF($FD17:$FE17,"Atrasar"))&gt;0,(COUNTIF($EE17:$EH17,"Parado")+COUNTIF($FD17:$FE17,"Parado"))&gt;0),"Atrasar não entra com Parado",""),IF(AND((COUNTIF($KW17:$KZ17,"Armado")+COUNTIF($FD17:$FE17,"Armado"))&gt;0,(COUNTIF($EE17:$EH17,"Carregar")+COUNTIF($FD17:$FE17,"Carregar"))&gt;0),"Armado não entra com Carregar",""),IF(AND(COUNTIF($FD17:$FE17,"Corpo a Corpo")&gt;0,$EY17=0,OR($LB17="Cone",$LB17="Linha")),"Corpo a Corpo não entra em "&amp;$ED17,""),IF(AND(COUNTIF($FD17:$FE17,"Corpo a Corpo")&gt;0,$LC17="Corpo a Corpo"),"A Forma "&amp;$ED17&amp;" já traz o Corpo a Corpo",""),IF(AND(COUNTIF($FD17:$FE17,"Tudo ou Nada")&gt;0,$FA17=0),"Tudo ou Nada só entra em feitiço de Teste de Resistência",""),IF(AND(COUNTIF($KW17:$KZ17,"Inescapável")&gt;0,OR($FN17&gt;1,$FO17&gt;0)),"Inescapável não aceita outra peça",""),IF(AND($DZ17=1,$EB17&lt;3),"Liberação Máxima é de Classe 3 ou mais",""),IF(AND($DZ17=1,OR($EZ17=1,$EZ17=2)),"Liberação Máxima não serve para cura",""),IF(AND($DZ17=1,COUNTIF($KW17:$KZ17,"Inescapável")+COUNTIF($KW17:$KZ17,"Toca a Alma")&gt;0),"Esta peça não entra numa Liberação Máxima",""),IF($FV17*IF(COUNTIF($KW17:$KZ17,"Remate")&gt;0,1.25,1)+$FW17&gt;4*$EB17,($FV17*IF(COUNTIF($KW17:$KZ17,"Remate")&gt;0,1.25,1)+$FW17)&amp;" dados somando repetições"&amp;IF(COUNTIF($KW17:$KZ17,"Remate")&gt;0," e o Remate","")&amp;": o teto da Classe "&amp;$EB17&amp;" é "&amp;4*$EB17,""))),IF(AND($EE17&lt;&gt;"",COUNTIF('DADOS_MELHORIAS'!$O$2:$O$113,SUBSTITUTE(SUBSTITUTE(SUBSTITUTE($EE17,"~","~~"),"*","~*"),"?","~?"))=0),"Melhoria não cadastrada ou com erro: "&amp;$EE17,""),IF(AND($EF17&lt;&gt;"",COUNTIF('DADOS_MELHORIAS'!$O$2:$O$113,SUBSTITUTE(SUBSTITUTE(SUBSTITUTE($EF17,"~","~~"),"*","~*"),"?","~?"))=0),"Melhoria não cadastrada ou com erro: "&amp;$EF17,""),IF(AND($EG17&lt;&gt;"",COUNTIF('DADOS_MELHORIAS'!$O$2:$O$113,SUBSTITUTE(SUBSTITUTE(SUBSTITUTE($EG17,"~","~~"),"*","~*"),"?","~?"))=0),"Melhoria não cadastrada ou com erro: "&amp;$EG17,""),IF(AND($EH17&lt;&gt;"",COUNTIF('DADOS_MELHORIAS'!$O$2:$O$113,SUBSTITUTE(SUBSTITUTE(SUBSTITUTE($EH17,"~","~~"),"*","~*"),"?","~?"))=0),"Melhoria não cadastrada ou com erro: "&amp;$EH17,""),IF(AND($EI17&lt;&gt;"",COUNTIF('DADOS_RESTRICOES'!$M$2:$M$54,SUBSTITUTE(SUBSTITUTE(SUBSTITUTE($EI17,"~","~~"),"*","~*"),"?","~?"))=0),"Restrição não cadastrada ou com erro: "&amp;$EI17,""),IF(AND($EJ17&lt;&gt;"",COUNTIF('DADOS_RESTRICOES'!$M$2:$M$54,SUBSTITUTE(SUBSTITUTE(SUBSTITUTE($EJ17,"~","~~"),"*","~*"),"?","~?"))=0),"Restrição não cadastrada ou com erro: "&amp;$EJ17,""))),IF(AND($ED17&lt;&gt;"",COUNTIF('DADOS_FORMAS'!$AH$2:$AH$21,SUBSTITUTE(SUBSTITUTE(SUBSTITUTE($ED17,"~","~~"),"*","~*"),"?","~?"))=0),"Forma não cadastrada ou com erro: "&amp;$ED17,""),IF(AND(IFERROR(INDEX('DADOS_FORMAS'!$AS$2:$AS$21,MATCH(SUBSTITUTE(SUBSTITUTE(SUBSTITUTE($ED17,"~","~~"),"*","~*"),"?","~?"),'DADOS_FORMAS'!$AH$2:$AH$21,0)),"")&lt;&gt;"",OR(IFERROR(VLOOKUP(SUBSTITUTE(SUBSTITUTE(SUBSTITUTE(IFERROR(INDEX('DADOS_FORMAS'!$AS$2:$AS$21,MATCH(SUBSTITUTE(SUBSTITUTE(SUBSTITUTE($ED17,"~","~~"),"*","~*"),"?","~?"),'DADOS_FORMAS'!$AH$2:$AH$21,0)),""),"~","~~"),"*","~*"),"?","~?"),'DADOS_RESTRICOES'!$M$2:$Q$54,2,FALSE),"")=$FD17,IFERROR(VLOOKUP(SUBSTITUTE(SUBSTITUTE(SUBSTITUTE(IFERROR(INDEX('DADOS_FORMAS'!$AS$2:$AS$21,MATCH(SUBSTITUTE(SUBSTITUTE(SUBSTITUTE($ED17,"~","~~"),"*","~*"),"?","~?"),'DADOS_FORMAS'!$AH$2:$AH$21,0)),""),"~","~~"),"*","~*"),"?","~?"),'DADOS_RESTRICOES'!$M$2:$Q$54,2,FALSE),"")=$FE17)),"Restrição repetida, contando a embutida",""),IF(IF(IFERROR(INDEX('DADOS_FORMAS'!$AS$2:$AS$21,MATCH(SUBSTITUTE(SUBSTITUTE(SUBSTITUTE($ED17,"~","~~"),"*","~*"),"?","~?"),'DADOS_FORMAS'!$AH$2:$AH$21,0)),"")="",0,IFERROR(N(VLOOKUP(SUBSTITUTE(SUBSTITUTE(SUBSTITUTE(IFERROR(INDEX('DADOS_FORMAS'!$AS$2:$AS$21,MATCH(SUBSTITUTE(SUBSTITUTE(SUBSTITUTE($ED17,"~","~~"),"*","~*"),"?","~?"),'DADOS_FORMAS'!$AH$2:$AH$21,0)),""),"~","~~"),"*","~*"),"?","~?"),'DADOS_RESTRICOES'!$M$2:$Q$54,4,FALSE)=1),0))+IF($EI17="",0,IFERROR(N(VLOOKUP(SUBSTITUTE(SUBSTITUTE(SUBSTITUTE($EI17,"~","~~"),"*","~*"),"?","~?"),'DADOS_RESTRICOES'!$M$2:$Q$54,4,FALSE)=1),0))+IF($EJ17="",0,IFERROR(N(VLOOKUP(SUBSTITUTE(SUBSTITUTE(SUBSTITUTE($EJ17,"~","~~"),"*","~*"),"?","~?"),'DADOS_RESTRICOES'!$M$2:$Q$54,4,FALSE)=1),0))&gt;1,"Duas Restrições de frequência, contando a embutida",""),IF(AND(IFERROR(VLOOKUP(SUBSTITUTE(SUBSTITUTE(SUBSTITUTE(IFERROR(INDEX('DADOS_FORMAS'!$AS$2:$AS$21,MATCH(SUBSTITUTE(SUBSTITUTE(SUBSTITUTE($ED17,"~","~~"),"*","~*"),"?","~?"),'DADOS_FORMAS'!$AH$2:$AH$21,0)),""),"~","~~"),"*","~*"),"?","~?"),'DADOS_RESTRICOES'!$M$2:$Q$54,2,FALSE),"")="Tudo ou Nada",$FA17=0),"Tudo ou Nada exige TR",""),IF(AND(IFERROR(VLOOKUP(SUBSTITUTE(SUBSTITUTE(SUBSTITUTE(IFERROR(INDEX('DADOS_FORMAS'!$AS$2:$AS$21,MATCH(SUBSTITUTE(SUBSTITUTE(SUBSTITUTE($ED17,"~","~~"),"*","~*"),"?","~?"),'DADOS_FORMAS'!$AH$2:$AH$21,0)),""),"~","~~"),"*","~*"),"?","~?"),'DADOS_RESTRICOES'!$M$2:$Q$54,2,FALSE),"")="Corpo a Corpo",OR($LB17="Cone",$LB17="Linha")),"Corpo a Corpo não entra em Cone/Linha","")))</f>
        <v/>
      </c>
      <c r="GM17" s="164">
        <f>IF($GL17="",0,(LEN($GL17)-LEN(SUBSTITUTE($GL17," · ","")))/3+1)</f>
        <v/>
      </c>
      <c r="GN17" s="164">
        <f>IF($EK17=0,"",TEXTJOIN(" · ",TRUE,IF($FQ17&gt;2*$EB17,"A devolução parou no teto de "&amp;2*$EB17,""),IF($FT17&gt;0,"Devolução perdida: "&amp;$FT17&amp;IF($FT17&gt;1," pontos"," ponto")&amp;" sem Melhoria para pagar",""),IF(AND($EW17&gt;0,$FV17=0),"Controle sem dano: uma rodada a mais e CD +2",""),IF(AND($EW17&gt;0,$FV17&gt;0,$FV17&lt;=$EB17),"Controle com saldo até a Classe: uma rodada a mais","")))</f>
        <v/>
      </c>
      <c r="GO17" s="164">
        <f>IF($GN17="",0,(LEN($GN17)-LEN(SUBSTITUTE($GN17," · ","")))/3+1)</f>
        <v/>
      </c>
      <c r="GP17" s="164">
        <f>IF($EK17=0,IF($FN17+$FO17-$EY17&gt;0,"Dê um nome",""),IF($GM17&gt;0,"⚠ "&amp;$GM17&amp;IF($GM17&gt;1," erros"," erro"),IF($GO17&gt;0,"! "&amp;$GO17&amp;IF($GO17&gt;1," avisos"," aviso"),"Na regra")))</f>
        <v/>
      </c>
      <c r="GQ17" s="164">
        <f>IF($EK17=0,"",IF($GM17+$GO17=0,"Dentro das regras que a ficha confere",$GL17&amp;IF(AND($GM17&gt;0,$GO17&gt;0)," · ","")&amp;$GN17))</f>
        <v/>
      </c>
      <c r="GR17" s="164">
        <f>IF($EK17=0,"",IF($DZ17=1,CEILING(4.5*$EB17,1),3*$EB17)&amp;" PE")</f>
        <v/>
      </c>
      <c r="GS17" s="164">
        <f>IF($EK17=0,"",IF($DZ17=1,"Rodada inteira",IF(COUNTIF($LD17:$LF17,"Atrasar")&gt;0,IF(COUNTIF($LD17:$LF17,"Carregar")&gt;0,"Rodada +1 turno","Rodada inteira"),IF(COUNTIF($KW17:$KZ17,"Rápido")&gt;0,"Bônus",IF(COUNTIF($KW17:$KZ17,"Reação")&gt;0,"Reação","Padrão"))&amp;IF(COUNTIF($LD17:$LF17,"Carregar")&gt;0," +1 turno",""))))</f>
        <v/>
      </c>
      <c r="GT17" s="164">
        <f>IF(OR($EK17=0,$EL17=0),"",IF(COUNTIF($KW17:$KZ17,"Inescapável")&gt;0,"Automático",IF(COUNTIF($KW17:$KZ17,"Certeiro")&gt;0,"TR para metade",IF(AND($EX17&gt;0,$FA17=0,INDEX('DADOS_FORMAS'!$FQ$2:$FQ$21,$EL17)="Acerto"),"Acerto + TR",INDEX('DADOS_FORMAS'!$FQ$2:$FQ$21,$EL17)))))</f>
        <v/>
      </c>
      <c r="GU17" s="164">
        <f>IF(OR($EK17=0,$EL17=0),"",IF(OR($EZ17&gt;=2,$FV17=0),UPPER(LEFT(INDEX($GE17:$GK17,1,$EB17),1))&amp;MID(INDEX($GE17:$GK17,1,$EB17),2,99),UPPER(LEFT(INDEX($GE17:$GK17,1,$EB17),1))&amp;MID(INDEX($GE17:$GK17,1,$EB17),2,99)&amp;" = "&amp;FLOOR($FV17*4.5,1)&amp;IF($FW17&gt;0," · +"&amp;$FW17&amp;"d8","")))</f>
        <v/>
      </c>
      <c r="GV17" s="164">
        <f>COUNTIF($KW17:$KZ17,"Longe")+3*COUNTIF($KW17:$KZ17,"Muito Longe")</f>
        <v/>
      </c>
      <c r="GW17" s="164">
        <f>COUNTIF($KW17:$KZ17,"Maior")+3*COUNTIF($KW17:$KZ17,"Muito Maior")</f>
        <v/>
      </c>
      <c r="GX17" s="164">
        <f>IF($EL17=0,0,CHOOSE(1+INDEX('DADOS_FORMAS'!$FS$2:$FS$21,$EL17),0,$GV17,$GW17,$GV17+$GW17))</f>
        <v/>
      </c>
      <c r="GY17" s="164">
        <f>IF($EL17=0,0,CHOOSE(1+INDEX('DADOS_FORMAS'!$FT$2:$FT$21,$EL17),0,$GV17,$GW17,$GV17+$GW17))</f>
        <v/>
      </c>
      <c r="GZ17" s="164">
        <f>IF(OR($EK17=0,$EL17=0),"",INDEX('DADOS_FORMAS'!$GZ$2:$HE$61,($EL17-1)*3+IF($EB17&gt;=6,3,2),1+MIN(5,$GX17))&amp;INDEX('DADOS_FORMAS'!$HF$2:$HK$61,($EL17-1)*3+IF($EB17&gt;=6,3,2),1+MIN(5,$GY17))&amp;IF(INDEX('DADOS_FORMAS'!$FU$2:$FU$21,$EL17)=1,IF(COUNTIF($KW17:$KZ17,"Mais Um")&gt;0," · +"&amp;COUNTIF($KW17:$KZ17,"Mais Um")&amp;IF(COUNTIF($KW17:$KZ17,"Mais Um")&gt;1," alvos"," alvo"),"")&amp;IF(COUNTIF($KW17:$KZ17,"Rajada")&gt;0," · "&amp;($EB17+1)&amp;" tiros",""),""))</f>
        <v/>
      </c>
      <c r="HA17" s="164">
        <f>IF($EK17=0,"",3*$EB17&amp;" − "&amp;$FP17&amp;" + "&amp;$FS17&amp;IF($DZ17=1," + "&amp;$EB17,"")&amp;" = "&amp;$FV17&amp;"d8 · teto "&amp;4*$EB17&amp;IF($EY17=1," · a Forma devolve "&amp;$EB17,"")&amp;IF($FT17&gt;0," · perde "&amp;$FT17,""))</f>
        <v/>
      </c>
      <c r="HB17" s="164">
        <f>IF($EK17=0,"",IF($EB17&gt;=$HM$4,"Já está na maior Classe que o nível liberou",TEXTJOIN(" · ",TRUE,IF(AND(2&gt;$EB17,2&lt;=$HM$4),"2 → "&amp;$GF17&amp;", "&amp;IF($DZ17=1,9,6)&amp;" PE",""),IF(AND(3&gt;$EB17,3&lt;=$HM$4),"3 → "&amp;$GG17&amp;", "&amp;IF($DZ17=1,14,9)&amp;" PE",""),IF(AND(4&gt;$EB17,4&lt;=$HM$4),"4 → "&amp;$GH17&amp;", "&amp;IF($DZ17=1,18,12)&amp;" PE",""),IF(AND(5&gt;$EB17,5&lt;=$HM$4),"5 → "&amp;$GI17&amp;", "&amp;IF($DZ17=1,23,15)&amp;" PE",""),IF(AND(6&gt;$EB17,6&lt;=$HM$4),"6 → "&amp;$GJ17&amp;", "&amp;IF($DZ17=1,27,18)&amp;" PE",""),IF(AND(7&gt;$EB17,7&lt;=$HM$4),"7 → "&amp;$GK17&amp;", "&amp;IF($DZ17=1,32,21)&amp;" PE",""))))</f>
        <v/>
      </c>
      <c r="HC17" s="164">
        <f>IF(OR($EK17=0,$EN17=0),"","−"&amp;INDEX($Q$2:$V$8,$EB17,$EN17)&amp;" · "&amp;CHOOSE($EN17,"Leve","Média","Pesada","Leve · Livre","Média · Livre","Pesada · Livre"))</f>
        <v/>
      </c>
      <c r="HD17" s="164">
        <f>IF(OR($EK17=0,$EO17=0),"","−"&amp;INDEX($Q$2:$V$8,$EB17,$EO17)&amp;" · "&amp;CHOOSE($EO17,"Leve","Média","Pesada","Leve · Livre","Média · Livre","Pesada · Livre"))</f>
        <v/>
      </c>
      <c r="HE17" s="164">
        <f>IF(OR($EK17=0,$EP17=0),"","−"&amp;INDEX($Q$2:$V$8,$EB17,$EP17)&amp;" · "&amp;CHOOSE($EP17,"Leve","Média","Pesada","Leve · Livre","Média · Livre","Pesada · Livre"))</f>
        <v/>
      </c>
      <c r="HF17" s="164">
        <f>IF(OR($EK17=0,$EQ17=0),"","−"&amp;INDEX($Q$2:$V$8,$EB17,$EQ17)&amp;" · "&amp;CHOOSE($EQ17,"Leve","Média","Pesada","Leve · Livre","Média · Livre","Pesada · Livre"))</f>
        <v/>
      </c>
      <c r="HG17" s="164">
        <f>IF(OR($EK17=0,$EI17=""),"","+"&amp;IF($FB17=1,CEILING($EB17/2,1),$EB17))</f>
        <v/>
      </c>
      <c r="HH17" s="164">
        <f>IF(OR($EK17=0,$EJ17=""),"","+"&amp;IF($FC17=1,CEILING($EB17/2,1),$EB17))</f>
        <v/>
      </c>
      <c r="HI17" s="164">
        <f>'FICHA AMALDIÇOADA'!$D$173&amp;""</f>
        <v/>
      </c>
      <c r="HJ17" s="164">
        <f>IF(AND($EK17=1,$DZ17=0),COUNTIFS($EK$2:$EK17,1,$DZ$2:$DZ17,0),"")</f>
        <v/>
      </c>
      <c r="HL17" s="162" t="inlineStr">
        <is>
          <t>espaços em passivas</t>
        </is>
      </c>
      <c r="HM17" s="164">
        <f>IFERROR(VLOOKUP(SUBSTITUTE(SUBSTITUTE(SUBSTITUTE('FICHA AMALDIÇOADA'!$D$392,"~","~~"),"*","~*"),"?","~?"),'DADOS_TALENTOS'!$AQ$2:$AW$34,2,FALSE),0)+IFERROR(VLOOKUP(SUBSTITUTE(SUBSTITUTE(SUBSTITUTE('FICHA AMALDIÇOADA'!$J$392,"~","~~"),"*","~*"),"?","~?"),'DADOS_TALENTOS'!$AQ$2:$AW$34,2,FALSE),0)+IFERROR(VLOOKUP(SUBSTITUTE(SUBSTITUTE(SUBSTITUTE('FICHA AMALDIÇOADA'!$P$392,"~","~~"),"*","~*"),"?","~?"),'DADOS_TALENTOS'!$AQ$2:$AW$34,2,FALSE),0)+IFERROR(VLOOKUP(SUBSTITUTE(SUBSTITUTE(SUBSTITUTE('FICHA AMALDIÇOADA'!$D$400,"~","~~"),"*","~*"),"?","~?"),'DADOS_TALENTOS'!$AQ$2:$AW$34,2,FALSE),0)+IFERROR(VLOOKUP(SUBSTITUTE(SUBSTITUTE(SUBSTITUTE('FICHA AMALDIÇOADA'!$J$400,"~","~~"),"*","~*"),"?","~?"),'DADOS_TALENTOS'!$AQ$2:$AW$34,2,FALSE),0)+$HM$16</f>
        <v/>
      </c>
      <c r="JH17" s="164" t="n">
        <v>16</v>
      </c>
      <c r="JI17" s="164">
        <f>IFERROR(MATCH(16,$HJ$2:$HJ$37,0),0)</f>
        <v/>
      </c>
      <c r="JJ17" s="164">
        <f>IF($JI17=0,"",INDEX($EB$2:$EB$37,$JI17))</f>
        <v/>
      </c>
      <c r="JK17" s="164">
        <f>IF($JI17=0,"",INDEX($EC$2:$EC$37,$JI17))</f>
        <v/>
      </c>
      <c r="JL17" s="164">
        <f>IF($JI17=0,"",INDEX($GR$2:$GR$37,$JI17))</f>
        <v/>
      </c>
      <c r="JM17" s="164">
        <f>IF($JI17=0,"",INDEX($ED$2:$ED$37,$JI17))</f>
        <v/>
      </c>
      <c r="JN17" s="164">
        <f>IF($JI17=0,"",INDEX($GT$2:$GT$37,$JI17))</f>
        <v/>
      </c>
      <c r="JO17" s="164">
        <f>IF($JI17=0,"",INDEX($HI$2:$HI$37,$JI17))</f>
        <v/>
      </c>
      <c r="KR17" s="162" t="inlineStr">
        <is>
          <t>par aptidões 2</t>
        </is>
      </c>
      <c r="KS17" s="164">
        <f>UPPER(INDEX($D$6:$G$6,1,$A$2))&amp;" 7 A 12"</f>
        <v/>
      </c>
      <c r="KU17" s="162" t="inlineStr">
        <is>
          <t>R33</t>
        </is>
      </c>
      <c r="KV17" s="164">
        <f>IF(DADOS_AM!$HM$15=0,"—",IF(IFERROR(VLOOKUP(DADOS_AM!$HM$15,DADOS_AM!$CA$2:$CB$4,2,FALSE),0)&gt;DADOS_AM!$HM$2,"⚠ Nível "&amp;VLOOKUP(DADOS_AM!$HM$15,DADOS_AM!$CA$2:$CB$4,2,FALSE),IF(DADOS_AM!$HM$15&gt;1,DADOS_AM!$HM$15-1,"De graça")))</f>
        <v/>
      </c>
      <c r="KW17">
        <f>IF($EE17="","",IFERROR(VLOOKUP(SUBSTITUTE(SUBSTITUTE(SUBSTITUTE($EE17,"~","~~"),"*","~*"),"?","~?"),'DADOS_MELHORIAS'!$O$2:$X$113,10,FALSE),$EE17))</f>
        <v/>
      </c>
      <c r="KX17">
        <f>IF($EF17="","",IFERROR(VLOOKUP(SUBSTITUTE(SUBSTITUTE(SUBSTITUTE($EF17,"~","~~"),"*","~*"),"?","~?"),'DADOS_MELHORIAS'!$O$2:$X$113,10,FALSE),$EF17))</f>
        <v/>
      </c>
      <c r="KY17">
        <f>IF($EG17="","",IFERROR(VLOOKUP(SUBSTITUTE(SUBSTITUTE(SUBSTITUTE($EG17,"~","~~"),"*","~*"),"?","~?"),'DADOS_MELHORIAS'!$O$2:$X$113,10,FALSE),$EG17))</f>
        <v/>
      </c>
      <c r="KZ17">
        <f>IF($EH17="","",IFERROR(VLOOKUP(SUBSTITUTE(SUBSTITUTE(SUBSTITUTE($EH17,"~","~~"),"*","~*"),"?","~?"),'DADOS_MELHORIAS'!$O$2:$X$113,10,FALSE),$EH17))</f>
        <v/>
      </c>
      <c r="LB17">
        <f>IFERROR(INDEX('DADOS_FORMAS'!$BJ$2:$BJ$21,MATCH(SUBSTITUTE(SUBSTITUTE(SUBSTITUTE($ED17,"~","~~"),"*","~*"),"?","~?"),'DADOS_FORMAS'!$AH$2:$AH$21,0)),"")</f>
        <v/>
      </c>
      <c r="LC17">
        <f>IFERROR(VLOOKUP(SUBSTITUTE(SUBSTITUTE(SUBSTITUTE(IFERROR(INDEX('DADOS_FORMAS'!$AS$2:$AS$21,MATCH(SUBSTITUTE(SUBSTITUTE(SUBSTITUTE($ED17,"~","~~"),"*","~*"),"?","~?"),'DADOS_FORMAS'!$AH$2:$AH$21,0)),""),"~","~~"),"*","~*"),"?","~?"),'DADOS_RESTRICOES'!$M$2:$Q$54,2,FALSE),"")</f>
        <v/>
      </c>
      <c r="LD17">
        <f>$FD17</f>
        <v/>
      </c>
      <c r="LE17">
        <f>$FE17</f>
        <v/>
      </c>
      <c r="LF17">
        <f>$LC17</f>
        <v/>
      </c>
    </row>
    <row r="18">
      <c r="AO18" s="162" t="inlineStr">
        <is>
          <t>Linha · classes 1 a 5</t>
        </is>
      </c>
      <c r="AP18" s="162" t="inlineStr">
        <is>
          <t>Linha de 18 m por 1,5 m</t>
        </is>
      </c>
      <c r="AQ18" s="162" t="inlineStr">
        <is>
          <t>Linha de 30 m por 1,5 m</t>
        </is>
      </c>
      <c r="AR18" s="162" t="inlineStr">
        <is>
          <t>Linha de 60 m por 1,5 m</t>
        </is>
      </c>
      <c r="AS18" s="162" t="inlineStr">
        <is>
          <t>Linha de 60 m por 1,5 m</t>
        </is>
      </c>
      <c r="AT18" s="162" t="inlineStr">
        <is>
          <t>Linha de 60 m por 1,5 m</t>
        </is>
      </c>
      <c r="AU18" s="162" t="inlineStr">
        <is>
          <t>Linha de 60 m por 1,5 m</t>
        </is>
      </c>
      <c r="AV18" s="162" t="inlineStr"/>
      <c r="AW18" s="162" t="inlineStr"/>
      <c r="AX18" s="162" t="inlineStr"/>
      <c r="AY18" s="162" t="inlineStr"/>
      <c r="AZ18" s="162" t="inlineStr"/>
      <c r="BA18" s="162" t="inlineStr"/>
      <c r="BC18" s="162" t="inlineStr">
        <is>
          <t>Inescapável</t>
        </is>
      </c>
      <c r="BD18" s="162" t="inlineStr">
        <is>
          <t>Mira</t>
        </is>
      </c>
      <c r="BE18" s="164" t="n">
        <v>2</v>
      </c>
      <c r="BF18" s="164">
        <f>$BE18+3*IFERROR(VLOOKUP($BD18,'DADOS_CRIACAO'!$H$2:$K$20,3,FALSE),0)</f>
        <v/>
      </c>
      <c r="BG18" s="164">
        <f>IFERROR(VLOOKUP($BD18,'DADOS_CRIACAO'!$H$2:$K$20,4,FALSE),0)</f>
        <v/>
      </c>
      <c r="BH18" s="164" t="n">
        <v>0</v>
      </c>
      <c r="BI18" s="164">
        <f>IF($BG18=1,"",$BC18)</f>
        <v/>
      </c>
      <c r="BJ18" s="164">
        <f>IF(AND($BE18=1,$BG18=0),$BC18,"")</f>
        <v/>
      </c>
      <c r="BK18" s="164" t="n">
        <v>0</v>
      </c>
      <c r="BM18" s="162" t="inlineStr">
        <is>
          <t>Aquecer</t>
        </is>
      </c>
      <c r="BN18" s="162" t="inlineStr">
        <is>
          <t>Aquecer</t>
        </is>
      </c>
      <c r="BO18" s="164" t="n">
        <v>1</v>
      </c>
      <c r="BP18" s="164" t="n">
        <v>1</v>
      </c>
      <c r="BQ18" s="162" t="inlineStr">
        <is>
          <t>Aquecer</t>
        </is>
      </c>
      <c r="BS18" s="162" t="inlineStr">
        <is>
          <t>Talento Próprio (CE 1)</t>
        </is>
      </c>
      <c r="BT18" s="164" t="n">
        <v>1</v>
      </c>
      <c r="BU18" s="162"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BV18" s="164" t="n">
        <v>1</v>
      </c>
      <c r="BW18" s="164" t="n">
        <v>1</v>
      </c>
      <c r="BX18" s="164">
        <f>IF(OR(AND($A$2&lt;=2,$BV18=1),AND($A$2&gt;=2,$BW18=1)),$BS18,"")</f>
        <v/>
      </c>
      <c r="BY18" s="162" t="inlineStr">
        <is>
          <t>Categoria de Efeito 1, 2 ou 3. Custos e níveis da Categoria escolhida. Se o catálogo não representar a ideia, escreva o efeito com o mestre antes da sessão. Ele ocupa os espaços correspondentes e conta no máximo de cinco Talentos pagos.</t>
        </is>
      </c>
      <c r="CD18" s="162" t="inlineStr">
        <is>
          <t>Aptidão Própria (CE 2)</t>
        </is>
      </c>
      <c r="CE18" s="162" t="inlineStr">
        <is>
          <t>Uma única vez na ficha</t>
        </is>
      </c>
      <c r="CF18" s="164" t="n">
        <v>2</v>
      </c>
      <c r="CG18" s="162" t="inlineStr">
        <is>
          <t>—</t>
        </is>
      </c>
      <c r="CH18" s="162" t="inlineStr">
        <is>
          <t>Você cria uma aptidão com o mestre antes da sessão; ele define o tamanho do efeito. Ela representa um aprendizado específico de energia que o catálogo ainda não cobre. Escreva uma frase de regra. Ela precisa dizer quando funciona, quem afeta e o que permite fazer. Acrescente ação, custo, distância e encerramento quando forem necessários. A descrição pode ser curta, mas deve bastar para outra mesa aplicar a mesma regra. A proposta não pode copiar uma aptidão existente com outro nome, dispensar seus requisitos ou acrescentar dados de dano. Aptidão Própria de Categoria de Efeito 2 também precisa de um limite por cena. Avalie a frequência real de uso no tipo de missão da campanha. Compare também a magnitude, o custo de ação, os alvos e o alcance com os Talentos da mesma Categoria de Efeito. Efeitos pequenos ou de informação costumam caber na Categoria 1. Intervenções mais relevantes podem exigir Categoria 2 e seu limite por cena. Permanência, sozinha, não transforma um benefício pequeno em Categoria 3. Efeitos que precisem dessa terceira Categoria ficam fora desta opção. A comparação abaixo serve como apoio. Quem define o tamanho da Aptidão Própria é o mestre. Escreva a sua na caixa de baixo.</t>
        </is>
      </c>
      <c r="CI18" s="164">
        <f>IF($CL18=1,"",IF($A$2=4,IF($CJ18=1,$CD18,""),IF(OR($CJ18=1,AND($A$2=3,$CK18=1)),"",$CD18)))</f>
        <v/>
      </c>
      <c r="CJ18" s="164" t="n">
        <v>0</v>
      </c>
      <c r="CK18" s="164" t="n">
        <v>0</v>
      </c>
      <c r="CL18" s="164" t="n">
        <v>0</v>
      </c>
      <c r="CM18" s="162" t="inlineStr">
        <is>
          <t>Você cria uma aptidão com o mestre antes da sessão; ele define o tamanho do efeito.</t>
        </is>
      </c>
      <c r="DY18" s="162" t="inlineStr">
        <is>
          <t>Feitiço 17</t>
        </is>
      </c>
      <c r="DZ18" s="164" t="n">
        <v>0</v>
      </c>
      <c r="EA18" s="164" t="n">
        <v>17</v>
      </c>
      <c r="EB18" s="164">
        <f>MAX(1,MIN(7,N('FICHA AMALDIÇOADA'!$J$171)))</f>
        <v/>
      </c>
      <c r="EC18" s="164">
        <f>'FICHA AMALDIÇOADA'!$K$171&amp;""</f>
        <v/>
      </c>
      <c r="ED18" s="164">
        <f>'FICHA AMALDIÇOADA'!$J$178&amp;""</f>
        <v/>
      </c>
      <c r="EE18" s="164">
        <f>'FICHA AMALDIÇOADA'!$K$180&amp;""</f>
        <v/>
      </c>
      <c r="EF18" s="164">
        <f>'FICHA AMALDIÇOADA'!$K$181&amp;""</f>
        <v/>
      </c>
      <c r="EG18" s="164">
        <f>'FICHA AMALDIÇOADA'!$K$182&amp;""</f>
        <v/>
      </c>
      <c r="EH18" s="164">
        <f>'FICHA AMALDIÇOADA'!$K$183&amp;""</f>
        <v/>
      </c>
      <c r="EI18" s="164">
        <f>'FICHA AMALDIÇOADA'!$K$184&amp;""</f>
        <v/>
      </c>
      <c r="EJ18" s="164">
        <f>'FICHA AMALDIÇOADA'!$K$185&amp;""</f>
        <v/>
      </c>
      <c r="EK18" s="164">
        <f>IF($EC18&lt;&gt;"",1,0)</f>
        <v/>
      </c>
      <c r="EL18" s="164">
        <f>IFERROR(MATCH(SUBSTITUTE(SUBSTITUTE(SUBSTITUTE($ED18,"~","~~"),"*","~*"),"?","~?"),'DADOS_FORMAS'!$FJ$2:$FJ$21,0),0)</f>
        <v/>
      </c>
      <c r="EM18" s="164">
        <f>IF($EL18=0,0,INDEX('DADOS_FORMAS'!$FM$2:$FM$21,$EL18))</f>
        <v/>
      </c>
      <c r="EN18" s="164">
        <f>IFERROR(VLOOKUP(SUBSTITUTE(SUBSTITUTE(SUBSTITUTE($EE18,"~","~~"),"*","~*"),"?","~?"),'DADOS_MELHORIAS'!$O$2:$W$113,4,FALSE),0)</f>
        <v/>
      </c>
      <c r="EO18" s="164">
        <f>IFERROR(VLOOKUP(SUBSTITUTE(SUBSTITUTE(SUBSTITUTE($EF18,"~","~~"),"*","~*"),"?","~?"),'DADOS_MELHORIAS'!$O$2:$W$113,4,FALSE),0)</f>
        <v/>
      </c>
      <c r="EP18" s="164">
        <f>IFERROR(VLOOKUP(SUBSTITUTE(SUBSTITUTE(SUBSTITUTE($EG18,"~","~~"),"*","~*"),"?","~?"),'DADOS_MELHORIAS'!$O$2:$W$113,4,FALSE),0)</f>
        <v/>
      </c>
      <c r="EQ18" s="164">
        <f>IFERROR(VLOOKUP(SUBSTITUTE(SUBSTITUTE(SUBSTITUTE($EH18,"~","~~"),"*","~*"),"?","~?"),'DADOS_MELHORIAS'!$O$2:$W$113,4,FALSE),0)</f>
        <v/>
      </c>
      <c r="ER18" s="164">
        <f>IF($EL18=0,0,INDEX('DADOS_FORMAS'!$FN$2:$FN$21,$EL18))</f>
        <v/>
      </c>
      <c r="ES18" s="164">
        <f>IFERROR(VLOOKUP(SUBSTITUTE(SUBSTITUTE(SUBSTITUTE($EE18,"~","~~"),"*","~*"),"?","~?"),'DADOS_MELHORIAS'!$O$2:$W$113,5,FALSE),0)</f>
        <v/>
      </c>
      <c r="ET18" s="164">
        <f>IFERROR(VLOOKUP(SUBSTITUTE(SUBSTITUTE(SUBSTITUTE($EF18,"~","~~"),"*","~*"),"?","~?"),'DADOS_MELHORIAS'!$O$2:$W$113,5,FALSE),0)</f>
        <v/>
      </c>
      <c r="EU18" s="164">
        <f>IFERROR(VLOOKUP(SUBSTITUTE(SUBSTITUTE(SUBSTITUTE($EG18,"~","~~"),"*","~*"),"?","~?"),'DADOS_MELHORIAS'!$O$2:$W$113,5,FALSE),0)</f>
        <v/>
      </c>
      <c r="EV18" s="164">
        <f>IFERROR(VLOOKUP(SUBSTITUTE(SUBSTITUTE(SUBSTITUTE($EH18,"~","~~"),"*","~*"),"?","~?"),'DADOS_MELHORIAS'!$O$2:$W$113,5,FALSE),0)</f>
        <v/>
      </c>
      <c r="EW18" s="164">
        <f>IFERROR(VLOOKUP(SUBSTITUTE(SUBSTITUTE(SUBSTITUTE($EE18,"~","~~"),"*","~*"),"?","~?"),'DADOS_MELHORIAS'!$O$2:$W$113,6,FALSE),0)+IFERROR(VLOOKUP(SUBSTITUTE(SUBSTITUTE(SUBSTITUTE($EF18,"~","~~"),"*","~*"),"?","~?"),'DADOS_MELHORIAS'!$O$2:$W$113,6,FALSE),0)+IFERROR(VLOOKUP(SUBSTITUTE(SUBSTITUTE(SUBSTITUTE($EG18,"~","~~"),"*","~*"),"?","~?"),'DADOS_MELHORIAS'!$O$2:$W$113,6,FALSE),0)+IFERROR(VLOOKUP(SUBSTITUTE(SUBSTITUTE(SUBSTITUTE($EH18,"~","~~"),"*","~*"),"?","~?"),'DADOS_MELHORIAS'!$O$2:$W$113,6,FALSE),0)</f>
        <v/>
      </c>
      <c r="EX18" s="164">
        <f>IFERROR(VLOOKUP(SUBSTITUTE(SUBSTITUTE(SUBSTITUTE($EE18,"~","~~"),"*","~*"),"?","~?"),'DADOS_MELHORIAS'!$O$2:$W$113,9,FALSE),0)+IFERROR(VLOOKUP(SUBSTITUTE(SUBSTITUTE(SUBSTITUTE($EF18,"~","~~"),"*","~*"),"?","~?"),'DADOS_MELHORIAS'!$O$2:$W$113,9,FALSE),0)+IFERROR(VLOOKUP(SUBSTITUTE(SUBSTITUTE(SUBSTITUTE($EG18,"~","~~"),"*","~*"),"?","~?"),'DADOS_MELHORIAS'!$O$2:$W$113,9,FALSE),0)+IFERROR(VLOOKUP(SUBSTITUTE(SUBSTITUTE(SUBSTITUTE($EH18,"~","~~"),"*","~*"),"?","~?"),'DADOS_MELHORIAS'!$O$2:$W$113,9,FALSE),0)</f>
        <v/>
      </c>
      <c r="EY18" s="164">
        <f>IF($EL18=0,0,INDEX('DADOS_FORMAS'!$FO$2:$FO$21,$EL18))</f>
        <v/>
      </c>
      <c r="EZ18" s="164">
        <f>IF($EL18=0,0,INDEX('DADOS_FORMAS'!$FP$2:$FP$21,$EL18))</f>
        <v/>
      </c>
      <c r="FA18" s="164">
        <f>IF($EL18=0,0,INDEX('DADOS_FORMAS'!$FR$2:$FR$21,$EL18))</f>
        <v/>
      </c>
      <c r="FB18" s="164">
        <f>IFERROR(VLOOKUP(SUBSTITUTE(SUBSTITUTE(SUBSTITUTE($EI18,"~","~~"),"*","~*"),"?","~?"),'DADOS_RESTRICOES'!$M$2:$Q$54,3,FALSE),0)</f>
        <v/>
      </c>
      <c r="FC18" s="164">
        <f>IFERROR(VLOOKUP(SUBSTITUTE(SUBSTITUTE(SUBSTITUTE($EJ18,"~","~~"),"*","~*"),"?","~?"),'DADOS_RESTRICOES'!$M$2:$Q$54,3,FALSE),0)</f>
        <v/>
      </c>
      <c r="FD18" s="164">
        <f>IFERROR(VLOOKUP(SUBSTITUTE(SUBSTITUTE(SUBSTITUTE($EI18,"~","~~"),"*","~*"),"?","~?"),'DADOS_RESTRICOES'!$M$2:$Q$54,2,FALSE),"")</f>
        <v/>
      </c>
      <c r="FE18" s="164">
        <f>IFERROR(VLOOKUP(SUBSTITUTE(SUBSTITUTE(SUBSTITUTE($EJ18,"~","~~"),"*","~*"),"?","~?"),'DADOS_RESTRICOES'!$M$2:$Q$54,2,FALSE),"")</f>
        <v/>
      </c>
      <c r="FF18" s="164">
        <f>COUNTIF($EM18:$EQ18,1)</f>
        <v/>
      </c>
      <c r="FG18" s="164">
        <f>COUNTIF($EM18:$EQ18,2)</f>
        <v/>
      </c>
      <c r="FH18" s="164">
        <f>COUNTIF($EM18:$EQ18,3)</f>
        <v/>
      </c>
      <c r="FI18" s="164">
        <f>COUNTIF($EM18:$EQ18,4)</f>
        <v/>
      </c>
      <c r="FJ18" s="164">
        <f>COUNTIF($EM18:$EQ18,5)</f>
        <v/>
      </c>
      <c r="FK18" s="164">
        <f>COUNTIF($EM18:$EQ18,6)</f>
        <v/>
      </c>
      <c r="FL18" s="164">
        <f>COUNTIF($FB18:$FC18,1)+IF(IFERROR(INDEX('DADOS_FORMAS'!$AS$2:$AS$21,MATCH(SUBSTITUTE(SUBSTITUTE(SUBSTITUTE($ED18,"~","~~"),"*","~*"),"?","~?"),'DADOS_FORMAS'!$AH$2:$AH$21,0)),"")="",0,IFERROR(N(VLOOKUP(SUBSTITUTE(SUBSTITUTE(SUBSTITUTE(IFERROR(INDEX('DADOS_FORMAS'!$AS$2:$AS$21,MATCH(SUBSTITUTE(SUBSTITUTE(SUBSTITUTE($ED18,"~","~~"),"*","~*"),"?","~?"),'DADOS_FORMAS'!$AH$2:$AH$21,0)),""),"~","~~"),"*","~*"),"?","~?"),'DADOS_RESTRICOES'!$M$2:$Q$54,3,FALSE)=1),0))</f>
        <v/>
      </c>
      <c r="FM18" s="164">
        <f>COUNTIF($FB18:$FC18,2)+IF(IFERROR(INDEX('DADOS_FORMAS'!$AS$2:$AS$21,MATCH(SUBSTITUTE(SUBSTITUTE(SUBSTITUTE($ED18,"~","~~"),"*","~*"),"?","~?"),'DADOS_FORMAS'!$AH$2:$AH$21,0)),"")="",0,IFERROR(N(VLOOKUP(SUBSTITUTE(SUBSTITUTE(SUBSTITUTE(IFERROR(INDEX('DADOS_FORMAS'!$AS$2:$AS$21,MATCH(SUBSTITUTE(SUBSTITUTE(SUBSTITUTE($ED18,"~","~~"),"*","~*"),"?","~?"),'DADOS_FORMAS'!$AH$2:$AH$21,0)),""),"~","~~"),"*","~*"),"?","~?"),'DADOS_RESTRICOES'!$M$2:$Q$54,3,FALSE)=2),0))</f>
        <v/>
      </c>
      <c r="FN18" s="164">
        <f>COUNTIF($EE18:$EH18,"?*")</f>
        <v/>
      </c>
      <c r="FO18" s="164">
        <f>COUNTIF($EI18:$EJ18,"?*")+$EY18</f>
        <v/>
      </c>
      <c r="FP18" s="164">
        <f>SUMPRODUCT($FF18:$FK18,INDEX($Q$2:$V$8,$EB18,0))</f>
        <v/>
      </c>
      <c r="FQ18" s="164">
        <f>$FL18*CEILING($EB18/2,1)+$FM18*$EB18</f>
        <v/>
      </c>
      <c r="FR18" s="164">
        <f>MIN(2*$EB18,$FQ18)</f>
        <v/>
      </c>
      <c r="FS18" s="164">
        <f>MIN($FR18,$FP18-IF($EM18=0,0,INDEX($Q$2:$V$8,$EB18,$EM18)))</f>
        <v/>
      </c>
      <c r="FT18" s="164">
        <f>$FR18-$FS18</f>
        <v/>
      </c>
      <c r="FU18" s="164">
        <f>3*$EB18-$FP18+$FS18</f>
        <v/>
      </c>
      <c r="FV18" s="164">
        <f>MAX(0,$FU18)+$DZ18*$EB18</f>
        <v/>
      </c>
      <c r="FW18" s="164">
        <f>(IF(COUNTIF($KW18:$KZ18,"Salto")&gt;0,1,0)+IF(COUNTIF($KW18:$KZ18,"Queima")&gt;0,1,0)+IF(COUNTIF($KW18:$KZ18,"Estilhaço")&gt;0,1,0))*FLOOR($FV18/2,1)</f>
        <v/>
      </c>
      <c r="FX18" s="164">
        <f>MAX(0,3-SUMPRODUCT($FF18:$FK18,$Q$2:$V$2)+MIN(2,$FL18*1+$FM18*1,SUMPRODUCT($FF18:$FK18,$Q$2:$V$2)-IF($EM18=0,0,INDEX($Q$2:$V$2,1,$EM18))))+$DZ18*1</f>
        <v/>
      </c>
      <c r="FY18" s="164">
        <f>MAX(0,6-SUMPRODUCT($FF18:$FK18,$Q$3:$V$3)+MIN(4,$FL18*1+$FM18*2,SUMPRODUCT($FF18:$FK18,$Q$3:$V$3)-IF($EM18=0,0,INDEX($Q$3:$V$3,1,$EM18))))+$DZ18*2</f>
        <v/>
      </c>
      <c r="FZ18" s="164">
        <f>MAX(0,9-SUMPRODUCT($FF18:$FK18,$Q$4:$V$4)+MIN(6,$FL18*2+$FM18*3,SUMPRODUCT($FF18:$FK18,$Q$4:$V$4)-IF($EM18=0,0,INDEX($Q$4:$V$4,1,$EM18))))+$DZ18*3</f>
        <v/>
      </c>
      <c r="GA18" s="164">
        <f>MAX(0,12-SUMPRODUCT($FF18:$FK18,$Q$5:$V$5)+MIN(8,$FL18*2+$FM18*4,SUMPRODUCT($FF18:$FK18,$Q$5:$V$5)-IF($EM18=0,0,INDEX($Q$5:$V$5,1,$EM18))))+$DZ18*4</f>
        <v/>
      </c>
      <c r="GB18" s="164">
        <f>MAX(0,15-SUMPRODUCT($FF18:$FK18,$Q$6:$V$6)+MIN(10,$FL18*3+$FM18*5,SUMPRODUCT($FF18:$FK18,$Q$6:$V$6)-IF($EM18=0,0,INDEX($Q$6:$V$6,1,$EM18))))+$DZ18*5</f>
        <v/>
      </c>
      <c r="GC18" s="164">
        <f>MAX(0,18-SUMPRODUCT($FF18:$FK18,$Q$7:$V$7)+MIN(12,$FL18*3+$FM18*6,SUMPRODUCT($FF18:$FK18,$Q$7:$V$7)-IF($EM18=0,0,INDEX($Q$7:$V$7,1,$EM18))))+$DZ18*6</f>
        <v/>
      </c>
      <c r="GD18" s="164">
        <f>MAX(0,21-SUMPRODUCT($FF18:$FK18,$Q$8:$V$8)+MIN(14,$FL18*4+$FM18*7,SUMPRODUCT($FF18:$FK18,$Q$8:$V$8)-IF($EM18=0,0,INDEX($Q$8:$V$8,1,$EM18))))+$DZ18*7</f>
        <v/>
      </c>
      <c r="GE18" s="164">
        <f>IF($EZ18=2,3*$FX18&amp;" de vida temp.",IF($EZ18=3,"sem dano",IF($FX18=0,IF($EZ18=1,"sem cura","sem dano"),IF($EZ18=1,"cura ","")&amp;$FX18&amp;"d8")))</f>
        <v/>
      </c>
      <c r="GF18" s="164">
        <f>IF($EZ18=2,3*$FY18&amp;" de vida temp.",IF($EZ18=3,"sem dano",IF($FY18=0,IF($EZ18=1,"sem cura","sem dano"),IF($EZ18=1,"cura ","")&amp;$FY18&amp;"d8")))</f>
        <v/>
      </c>
      <c r="GG18" s="164">
        <f>IF($EZ18=2,3*$FZ18&amp;" de vida temp.",IF($EZ18=3,"sem dano",IF($FZ18=0,IF($EZ18=1,"sem cura","sem dano"),IF($EZ18=1,"cura ","")&amp;$FZ18&amp;"d8")))</f>
        <v/>
      </c>
      <c r="GH18" s="164">
        <f>IF($EZ18=2,3*$GA18&amp;" de vida temp.",IF($EZ18=3,"sem dano",IF($GA18=0,IF($EZ18=1,"sem cura","sem dano"),IF($EZ18=1,"cura ","")&amp;$GA18&amp;"d8")))</f>
        <v/>
      </c>
      <c r="GI18" s="164">
        <f>IF($EZ18=2,3*$GB18&amp;" de vida temp.",IF($EZ18=3,"sem dano",IF($GB18=0,IF($EZ18=1,"sem cura","sem dano"),IF($EZ18=1,"cura ","")&amp;$GB18&amp;"d8")))</f>
        <v/>
      </c>
      <c r="GJ18" s="164">
        <f>IF($EZ18=2,3*$GC18&amp;" de vida temp.",IF($EZ18=3,"sem dano",IF($GC18=0,IF($EZ18=1,"sem cura","sem dano"),IF($EZ18=1,"cura ","")&amp;$GC18&amp;"d8")))</f>
        <v/>
      </c>
      <c r="GK18" s="164">
        <f>IF($EZ18=2,3*$GD18&amp;" de vida temp.",IF($EZ18=3,"sem dano",IF($GD18=0,IF($EZ18=1,"sem cura","sem dano"),IF($EZ18=1,"cura ","")&amp;$GD18&amp;"d8")))</f>
        <v/>
      </c>
      <c r="GL18" s="164">
        <f>IF($EK18=0,"",TEXTJOIN(" · ",TRUE,IF($EK18=0,"",TEXTJOIN(" · ",TRUE,IF($EK18=0,"",TEXTJOIN(" · ",TRUE,IF(AND($DZ18=1,$EA18&gt;$HM$9),"O nível "&amp;$HM$2&amp;" dá "&amp;$HM$9&amp;" Liberação Máxima",""),IF($EB18&gt;$HM$4,"Classe "&amp;$EB18&amp;": o nível "&amp;$HM$2&amp;" libera até a "&amp;$HM$4,""),IF($ER18=1,"Família Fechada: a Forma "&amp;$ED18,""),IF($ES18=1,"Família Fechada: "&amp;$EE18,""),IF($ET18=1,"Família Fechada: "&amp;$EF18,""),IF($EU18=1,"Família Fechada: "&amp;$EG18,""),IF($EV18=1,"Família Fechada: "&amp;$EH18,""),IF($FN18&gt;INDEX($W$2:$W$8,$EB18),$FN18&amp;" Melhorias: a Classe "&amp;$EB18&amp;" aceita "&amp;INDEX($W$2:$W$8,$EB18),""),IF($FO18&gt;2,$FO18&amp;" Restrições"&amp;IF($EY18=1,", contando a que a Forma "&amp;$ED18&amp;" já traz","")&amp;": o limite é 2",""),IF($FU18&lt;0,"Orçamento estourado: faltam "&amp;(-$FU18)&amp;IF($FU18&lt;-1," pontos"," ponto"),""),IF(IFERROR(VLOOKUP(SUBSTITUTE(SUBSTITUTE(SUBSTITUTE($EI18,"~","~~"),"*","~*"),"?","~?"),'DADOS_RESTRICOES'!$M$2:$Q$54,4,FALSE),0)+IFERROR(VLOOKUP(SUBSTITUTE(SUBSTITUTE(SUBSTITUTE($EJ18,"~","~~"),"*","~*"),"?","~?"),'DADOS_RESTRICOES'!$M$2:$Q$54,4,FALSE),0)&gt;1,$FD18&amp;" e "&amp;$FE18&amp;" são as duas de frequência",""),IF(AND((COUNTIF($KW18:$KZ18,"Rápido")+COUNTIF($FD18:$FE18,"Rápido"))&gt;0,(COUNTIF($EE18:$EH18,"Atrasar")+COUNTIF($FD18:$FE18,"Atrasar"))&gt;0),"Rápido não entra com Atrasar",""),IF(AND((COUNTIF($KW18:$KZ18,"Reação")+COUNTIF($FD18:$FE18,"Reação"))&gt;0,(COUNTIF($KW18:$KZ18,"Rápido")+COUNTIF($FD18:$FE18,"Rápido"))&gt;0),"Reação não entra com Rápido",""),IF(AND((COUNTIF($KW18:$KZ18,"Reação")+COUNTIF($FD18:$FE18,"Reação"))&gt;0,(COUNTIF($KW18:$KZ18,"Armado")+COUNTIF($FD18:$FE18,"Armado"))&gt;0),"Reação não entra com Armado",""),IF(AND((COUNTIF($KW18:$KZ18,"Reação")+COUNTIF($FD18:$FE18,"Reação"))&gt;0,(COUNTIF($EE18:$EH18,"Atrasar")+COUNTIF($FD18:$FE18,"Atrasar"))&gt;0),"Reação não entra com Atrasar",""),IF(AND((COUNTIF($KW18:$KZ18,"Reação")+COUNTIF($FD18:$FE18,"Reação"))&gt;0,(COUNTIF($EE18:$EH18,"Parado")+COUNTIF($FD18:$FE18,"Parado"))&gt;0),"Reação não entra com Parado",""),IF(AND((COUNTIF($EE18:$EH18,"Atrasar")+COUNTIF($FD18:$FE18,"Atrasar"))&gt;0,(COUNTIF($EE18:$EH18,"Parado")+COUNTIF($FD18:$FE18,"Parado"))&gt;0),"Atrasar não entra com Parado",""),IF(AND((COUNTIF($KW18:$KZ18,"Armado")+COUNTIF($FD18:$FE18,"Armado"))&gt;0,(COUNTIF($EE18:$EH18,"Carregar")+COUNTIF($FD18:$FE18,"Carregar"))&gt;0),"Armado não entra com Carregar",""),IF(AND(COUNTIF($FD18:$FE18,"Corpo a Corpo")&gt;0,$EY18=0,OR($LB18="Cone",$LB18="Linha")),"Corpo a Corpo não entra em "&amp;$ED18,""),IF(AND(COUNTIF($FD18:$FE18,"Corpo a Corpo")&gt;0,$LC18="Corpo a Corpo"),"A Forma "&amp;$ED18&amp;" já traz o Corpo a Corpo",""),IF(AND(COUNTIF($FD18:$FE18,"Tudo ou Nada")&gt;0,$FA18=0),"Tudo ou Nada só entra em feitiço de Teste de Resistência",""),IF(AND(COUNTIF($KW18:$KZ18,"Inescapável")&gt;0,OR($FN18&gt;1,$FO18&gt;0)),"Inescapável não aceita outra peça",""),IF(AND($DZ18=1,$EB18&lt;3),"Liberação Máxima é de Classe 3 ou mais",""),IF(AND($DZ18=1,OR($EZ18=1,$EZ18=2)),"Liberação Máxima não serve para cura",""),IF(AND($DZ18=1,COUNTIF($KW18:$KZ18,"Inescapável")+COUNTIF($KW18:$KZ18,"Toca a Alma")&gt;0),"Esta peça não entra numa Liberação Máxima",""),IF($FV18*IF(COUNTIF($KW18:$KZ18,"Remate")&gt;0,1.25,1)+$FW18&gt;4*$EB18,($FV18*IF(COUNTIF($KW18:$KZ18,"Remate")&gt;0,1.25,1)+$FW18)&amp;" dados somando repetições"&amp;IF(COUNTIF($KW18:$KZ18,"Remate")&gt;0," e o Remate","")&amp;": o teto da Classe "&amp;$EB18&amp;" é "&amp;4*$EB18,""))),IF(AND($EE18&lt;&gt;"",COUNTIF('DADOS_MELHORIAS'!$O$2:$O$113,SUBSTITUTE(SUBSTITUTE(SUBSTITUTE($EE18,"~","~~"),"*","~*"),"?","~?"))=0),"Melhoria não cadastrada ou com erro: "&amp;$EE18,""),IF(AND($EF18&lt;&gt;"",COUNTIF('DADOS_MELHORIAS'!$O$2:$O$113,SUBSTITUTE(SUBSTITUTE(SUBSTITUTE($EF18,"~","~~"),"*","~*"),"?","~?"))=0),"Melhoria não cadastrada ou com erro: "&amp;$EF18,""),IF(AND($EG18&lt;&gt;"",COUNTIF('DADOS_MELHORIAS'!$O$2:$O$113,SUBSTITUTE(SUBSTITUTE(SUBSTITUTE($EG18,"~","~~"),"*","~*"),"?","~?"))=0),"Melhoria não cadastrada ou com erro: "&amp;$EG18,""),IF(AND($EH18&lt;&gt;"",COUNTIF('DADOS_MELHORIAS'!$O$2:$O$113,SUBSTITUTE(SUBSTITUTE(SUBSTITUTE($EH18,"~","~~"),"*","~*"),"?","~?"))=0),"Melhoria não cadastrada ou com erro: "&amp;$EH18,""),IF(AND($EI18&lt;&gt;"",COUNTIF('DADOS_RESTRICOES'!$M$2:$M$54,SUBSTITUTE(SUBSTITUTE(SUBSTITUTE($EI18,"~","~~"),"*","~*"),"?","~?"))=0),"Restrição não cadastrada ou com erro: "&amp;$EI18,""),IF(AND($EJ18&lt;&gt;"",COUNTIF('DADOS_RESTRICOES'!$M$2:$M$54,SUBSTITUTE(SUBSTITUTE(SUBSTITUTE($EJ18,"~","~~"),"*","~*"),"?","~?"))=0),"Restrição não cadastrada ou com erro: "&amp;$EJ18,""))),IF(AND($ED18&lt;&gt;"",COUNTIF('DADOS_FORMAS'!$AH$2:$AH$21,SUBSTITUTE(SUBSTITUTE(SUBSTITUTE($ED18,"~","~~"),"*","~*"),"?","~?"))=0),"Forma não cadastrada ou com erro: "&amp;$ED18,""),IF(AND(IFERROR(INDEX('DADOS_FORMAS'!$AS$2:$AS$21,MATCH(SUBSTITUTE(SUBSTITUTE(SUBSTITUTE($ED18,"~","~~"),"*","~*"),"?","~?"),'DADOS_FORMAS'!$AH$2:$AH$21,0)),"")&lt;&gt;"",OR(IFERROR(VLOOKUP(SUBSTITUTE(SUBSTITUTE(SUBSTITUTE(IFERROR(INDEX('DADOS_FORMAS'!$AS$2:$AS$21,MATCH(SUBSTITUTE(SUBSTITUTE(SUBSTITUTE($ED18,"~","~~"),"*","~*"),"?","~?"),'DADOS_FORMAS'!$AH$2:$AH$21,0)),""),"~","~~"),"*","~*"),"?","~?"),'DADOS_RESTRICOES'!$M$2:$Q$54,2,FALSE),"")=$FD18,IFERROR(VLOOKUP(SUBSTITUTE(SUBSTITUTE(SUBSTITUTE(IFERROR(INDEX('DADOS_FORMAS'!$AS$2:$AS$21,MATCH(SUBSTITUTE(SUBSTITUTE(SUBSTITUTE($ED18,"~","~~"),"*","~*"),"?","~?"),'DADOS_FORMAS'!$AH$2:$AH$21,0)),""),"~","~~"),"*","~*"),"?","~?"),'DADOS_RESTRICOES'!$M$2:$Q$54,2,FALSE),"")=$FE18)),"Restrição repetida, contando a embutida",""),IF(IF(IFERROR(INDEX('DADOS_FORMAS'!$AS$2:$AS$21,MATCH(SUBSTITUTE(SUBSTITUTE(SUBSTITUTE($ED18,"~","~~"),"*","~*"),"?","~?"),'DADOS_FORMAS'!$AH$2:$AH$21,0)),"")="",0,IFERROR(N(VLOOKUP(SUBSTITUTE(SUBSTITUTE(SUBSTITUTE(IFERROR(INDEX('DADOS_FORMAS'!$AS$2:$AS$21,MATCH(SUBSTITUTE(SUBSTITUTE(SUBSTITUTE($ED18,"~","~~"),"*","~*"),"?","~?"),'DADOS_FORMAS'!$AH$2:$AH$21,0)),""),"~","~~"),"*","~*"),"?","~?"),'DADOS_RESTRICOES'!$M$2:$Q$54,4,FALSE)=1),0))+IF($EI18="",0,IFERROR(N(VLOOKUP(SUBSTITUTE(SUBSTITUTE(SUBSTITUTE($EI18,"~","~~"),"*","~*"),"?","~?"),'DADOS_RESTRICOES'!$M$2:$Q$54,4,FALSE)=1),0))+IF($EJ18="",0,IFERROR(N(VLOOKUP(SUBSTITUTE(SUBSTITUTE(SUBSTITUTE($EJ18,"~","~~"),"*","~*"),"?","~?"),'DADOS_RESTRICOES'!$M$2:$Q$54,4,FALSE)=1),0))&gt;1,"Duas Restrições de frequência, contando a embutida",""),IF(AND(IFERROR(VLOOKUP(SUBSTITUTE(SUBSTITUTE(SUBSTITUTE(IFERROR(INDEX('DADOS_FORMAS'!$AS$2:$AS$21,MATCH(SUBSTITUTE(SUBSTITUTE(SUBSTITUTE($ED18,"~","~~"),"*","~*"),"?","~?"),'DADOS_FORMAS'!$AH$2:$AH$21,0)),""),"~","~~"),"*","~*"),"?","~?"),'DADOS_RESTRICOES'!$M$2:$Q$54,2,FALSE),"")="Tudo ou Nada",$FA18=0),"Tudo ou Nada exige TR",""),IF(AND(IFERROR(VLOOKUP(SUBSTITUTE(SUBSTITUTE(SUBSTITUTE(IFERROR(INDEX('DADOS_FORMAS'!$AS$2:$AS$21,MATCH(SUBSTITUTE(SUBSTITUTE(SUBSTITUTE($ED18,"~","~~"),"*","~*"),"?","~?"),'DADOS_FORMAS'!$AH$2:$AH$21,0)),""),"~","~~"),"*","~*"),"?","~?"),'DADOS_RESTRICOES'!$M$2:$Q$54,2,FALSE),"")="Corpo a Corpo",OR($LB18="Cone",$LB18="Linha")),"Corpo a Corpo não entra em Cone/Linha","")))</f>
        <v/>
      </c>
      <c r="GM18" s="164">
        <f>IF($GL18="",0,(LEN($GL18)-LEN(SUBSTITUTE($GL18," · ","")))/3+1)</f>
        <v/>
      </c>
      <c r="GN18" s="164">
        <f>IF($EK18=0,"",TEXTJOIN(" · ",TRUE,IF($FQ18&gt;2*$EB18,"A devolução parou no teto de "&amp;2*$EB18,""),IF($FT18&gt;0,"Devolução perdida: "&amp;$FT18&amp;IF($FT18&gt;1," pontos"," ponto")&amp;" sem Melhoria para pagar",""),IF(AND($EW18&gt;0,$FV18=0),"Controle sem dano: uma rodada a mais e CD +2",""),IF(AND($EW18&gt;0,$FV18&gt;0,$FV18&lt;=$EB18),"Controle com saldo até a Classe: uma rodada a mais","")))</f>
        <v/>
      </c>
      <c r="GO18" s="164">
        <f>IF($GN18="",0,(LEN($GN18)-LEN(SUBSTITUTE($GN18," · ","")))/3+1)</f>
        <v/>
      </c>
      <c r="GP18" s="164">
        <f>IF($EK18=0,IF($FN18+$FO18-$EY18&gt;0,"Dê um nome",""),IF($GM18&gt;0,"⚠ "&amp;$GM18&amp;IF($GM18&gt;1," erros"," erro"),IF($GO18&gt;0,"! "&amp;$GO18&amp;IF($GO18&gt;1," avisos"," aviso"),"Na regra")))</f>
        <v/>
      </c>
      <c r="GQ18" s="164">
        <f>IF($EK18=0,"",IF($GM18+$GO18=0,"Dentro das regras que a ficha confere",$GL18&amp;IF(AND($GM18&gt;0,$GO18&gt;0)," · ","")&amp;$GN18))</f>
        <v/>
      </c>
      <c r="GR18" s="164">
        <f>IF($EK18=0,"",IF($DZ18=1,CEILING(4.5*$EB18,1),3*$EB18)&amp;" PE")</f>
        <v/>
      </c>
      <c r="GS18" s="164">
        <f>IF($EK18=0,"",IF($DZ18=1,"Rodada inteira",IF(COUNTIF($LD18:$LF18,"Atrasar")&gt;0,IF(COUNTIF($LD18:$LF18,"Carregar")&gt;0,"Rodada +1 turno","Rodada inteira"),IF(COUNTIF($KW18:$KZ18,"Rápido")&gt;0,"Bônus",IF(COUNTIF($KW18:$KZ18,"Reação")&gt;0,"Reação","Padrão"))&amp;IF(COUNTIF($LD18:$LF18,"Carregar")&gt;0," +1 turno",""))))</f>
        <v/>
      </c>
      <c r="GT18" s="164">
        <f>IF(OR($EK18=0,$EL18=0),"",IF(COUNTIF($KW18:$KZ18,"Inescapável")&gt;0,"Automático",IF(COUNTIF($KW18:$KZ18,"Certeiro")&gt;0,"TR para metade",IF(AND($EX18&gt;0,$FA18=0,INDEX('DADOS_FORMAS'!$FQ$2:$FQ$21,$EL18)="Acerto"),"Acerto + TR",INDEX('DADOS_FORMAS'!$FQ$2:$FQ$21,$EL18)))))</f>
        <v/>
      </c>
      <c r="GU18" s="164">
        <f>IF(OR($EK18=0,$EL18=0),"",IF(OR($EZ18&gt;=2,$FV18=0),UPPER(LEFT(INDEX($GE18:$GK18,1,$EB18),1))&amp;MID(INDEX($GE18:$GK18,1,$EB18),2,99),UPPER(LEFT(INDEX($GE18:$GK18,1,$EB18),1))&amp;MID(INDEX($GE18:$GK18,1,$EB18),2,99)&amp;" = "&amp;FLOOR($FV18*4.5,1)&amp;IF($FW18&gt;0," · +"&amp;$FW18&amp;"d8","")))</f>
        <v/>
      </c>
      <c r="GV18" s="164">
        <f>COUNTIF($KW18:$KZ18,"Longe")+3*COUNTIF($KW18:$KZ18,"Muito Longe")</f>
        <v/>
      </c>
      <c r="GW18" s="164">
        <f>COUNTIF($KW18:$KZ18,"Maior")+3*COUNTIF($KW18:$KZ18,"Muito Maior")</f>
        <v/>
      </c>
      <c r="GX18" s="164">
        <f>IF($EL18=0,0,CHOOSE(1+INDEX('DADOS_FORMAS'!$FS$2:$FS$21,$EL18),0,$GV18,$GW18,$GV18+$GW18))</f>
        <v/>
      </c>
      <c r="GY18" s="164">
        <f>IF($EL18=0,0,CHOOSE(1+INDEX('DADOS_FORMAS'!$FT$2:$FT$21,$EL18),0,$GV18,$GW18,$GV18+$GW18))</f>
        <v/>
      </c>
      <c r="GZ18" s="164">
        <f>IF(OR($EK18=0,$EL18=0),"",INDEX('DADOS_FORMAS'!$GZ$2:$HE$61,($EL18-1)*3+IF($EB18&gt;=6,3,2),1+MIN(5,$GX18))&amp;INDEX('DADOS_FORMAS'!$HF$2:$HK$61,($EL18-1)*3+IF($EB18&gt;=6,3,2),1+MIN(5,$GY18))&amp;IF(INDEX('DADOS_FORMAS'!$FU$2:$FU$21,$EL18)=1,IF(COUNTIF($KW18:$KZ18,"Mais Um")&gt;0," · +"&amp;COUNTIF($KW18:$KZ18,"Mais Um")&amp;IF(COUNTIF($KW18:$KZ18,"Mais Um")&gt;1," alvos"," alvo"),"")&amp;IF(COUNTIF($KW18:$KZ18,"Rajada")&gt;0," · "&amp;($EB18+1)&amp;" tiros",""),""))</f>
        <v/>
      </c>
      <c r="HA18" s="164">
        <f>IF($EK18=0,"",3*$EB18&amp;" − "&amp;$FP18&amp;" + "&amp;$FS18&amp;IF($DZ18=1," + "&amp;$EB18,"")&amp;" = "&amp;$FV18&amp;"d8 · teto "&amp;4*$EB18&amp;IF($EY18=1," · a Forma devolve "&amp;$EB18,"")&amp;IF($FT18&gt;0," · perde "&amp;$FT18,""))</f>
        <v/>
      </c>
      <c r="HB18" s="164">
        <f>IF($EK18=0,"",IF($EB18&gt;=$HM$4,"Já está na maior Classe que o nível liberou",TEXTJOIN(" · ",TRUE,IF(AND(2&gt;$EB18,2&lt;=$HM$4),"2 → "&amp;$GF18&amp;", "&amp;IF($DZ18=1,9,6)&amp;" PE",""),IF(AND(3&gt;$EB18,3&lt;=$HM$4),"3 → "&amp;$GG18&amp;", "&amp;IF($DZ18=1,14,9)&amp;" PE",""),IF(AND(4&gt;$EB18,4&lt;=$HM$4),"4 → "&amp;$GH18&amp;", "&amp;IF($DZ18=1,18,12)&amp;" PE",""),IF(AND(5&gt;$EB18,5&lt;=$HM$4),"5 → "&amp;$GI18&amp;", "&amp;IF($DZ18=1,23,15)&amp;" PE",""),IF(AND(6&gt;$EB18,6&lt;=$HM$4),"6 → "&amp;$GJ18&amp;", "&amp;IF($DZ18=1,27,18)&amp;" PE",""),IF(AND(7&gt;$EB18,7&lt;=$HM$4),"7 → "&amp;$GK18&amp;", "&amp;IF($DZ18=1,32,21)&amp;" PE",""))))</f>
        <v/>
      </c>
      <c r="HC18" s="164">
        <f>IF(OR($EK18=0,$EN18=0),"","−"&amp;INDEX($Q$2:$V$8,$EB18,$EN18)&amp;" · "&amp;CHOOSE($EN18,"Leve","Média","Pesada","Leve · Livre","Média · Livre","Pesada · Livre"))</f>
        <v/>
      </c>
      <c r="HD18" s="164">
        <f>IF(OR($EK18=0,$EO18=0),"","−"&amp;INDEX($Q$2:$V$8,$EB18,$EO18)&amp;" · "&amp;CHOOSE($EO18,"Leve","Média","Pesada","Leve · Livre","Média · Livre","Pesada · Livre"))</f>
        <v/>
      </c>
      <c r="HE18" s="164">
        <f>IF(OR($EK18=0,$EP18=0),"","−"&amp;INDEX($Q$2:$V$8,$EB18,$EP18)&amp;" · "&amp;CHOOSE($EP18,"Leve","Média","Pesada","Leve · Livre","Média · Livre","Pesada · Livre"))</f>
        <v/>
      </c>
      <c r="HF18" s="164">
        <f>IF(OR($EK18=0,$EQ18=0),"","−"&amp;INDEX($Q$2:$V$8,$EB18,$EQ18)&amp;" · "&amp;CHOOSE($EQ18,"Leve","Média","Pesada","Leve · Livre","Média · Livre","Pesada · Livre"))</f>
        <v/>
      </c>
      <c r="HG18" s="164">
        <f>IF(OR($EK18=0,$EI18=""),"","+"&amp;IF($FB18=1,CEILING($EB18/2,1),$EB18))</f>
        <v/>
      </c>
      <c r="HH18" s="164">
        <f>IF(OR($EK18=0,$EJ18=""),"","+"&amp;IF($FC18=1,CEILING($EB18/2,1),$EB18))</f>
        <v/>
      </c>
      <c r="HI18" s="164">
        <f>'FICHA AMALDIÇOADA'!$J$173&amp;""</f>
        <v/>
      </c>
      <c r="HJ18" s="164">
        <f>IF(AND($EK18=1,$DZ18=0),COUNTIFS($EK$2:$EK18,1,$DZ$2:$DZ18,0),"")</f>
        <v/>
      </c>
      <c r="HL18" s="162" t="inlineStr">
        <is>
          <t>espaços no domínio</t>
        </is>
      </c>
      <c r="HM18" s="164">
        <f>IF($A$2&lt;&gt;1,0,IFERROR(VLOOKUP($HM$35,$DL$2:$DP$4,2,FALSE),0))</f>
        <v/>
      </c>
      <c r="JH18" s="164" t="n">
        <v>17</v>
      </c>
      <c r="JI18" s="164">
        <f>IFERROR(MATCH(17,$HJ$2:$HJ$37,0),0)</f>
        <v/>
      </c>
      <c r="JJ18" s="164">
        <f>IF($JI18=0,"",INDEX($EB$2:$EB$37,$JI18))</f>
        <v/>
      </c>
      <c r="JK18" s="164">
        <f>IF($JI18=0,"",INDEX($EC$2:$EC$37,$JI18))</f>
        <v/>
      </c>
      <c r="JL18" s="164">
        <f>IF($JI18=0,"",INDEX($GR$2:$GR$37,$JI18))</f>
        <v/>
      </c>
      <c r="JM18" s="164">
        <f>IF($JI18=0,"",INDEX($ED$2:$ED$37,$JI18))</f>
        <v/>
      </c>
      <c r="JN18" s="164">
        <f>IF($JI18=0,"",INDEX($GT$2:$GT$37,$JI18))</f>
        <v/>
      </c>
      <c r="JO18" s="164">
        <f>IF($JI18=0,"",INDEX($HI$2:$HI$37,$JI18))</f>
        <v/>
      </c>
      <c r="KR18" s="162" t="inlineStr">
        <is>
          <t>par aptidões 4</t>
        </is>
      </c>
      <c r="KS18" s="164">
        <f>UPPER(INDEX($D$6:$G$6,1,$A$2))&amp;" 13 A 14"</f>
        <v/>
      </c>
      <c r="KU18" s="162" t="inlineStr">
        <is>
          <t>Q37</t>
        </is>
      </c>
      <c r="KV18" s="164">
        <f>IF(OR(DADOS_AM!$HM$31&lt;&gt;'CONFIGURAÇÃO'!$H$157,DADOS_AM!$HM$32&lt;&gt;'CONFIGURAÇÃO'!$H$158,'CONFIGURAÇÃO'!$H$159&lt;0),"⚠ ","")&amp;DADOS_AM!$HM$31&amp;" de "&amp;'CONFIGURAÇÃO'!$H$157&amp;" · "&amp;DADOS_AM!$HM$32&amp;" de "&amp;'CONFIGURAÇÃO'!$H$158</f>
        <v/>
      </c>
      <c r="KW18">
        <f>IF($EE18="","",IFERROR(VLOOKUP(SUBSTITUTE(SUBSTITUTE(SUBSTITUTE($EE18,"~","~~"),"*","~*"),"?","~?"),'DADOS_MELHORIAS'!$O$2:$X$113,10,FALSE),$EE18))</f>
        <v/>
      </c>
      <c r="KX18">
        <f>IF($EF18="","",IFERROR(VLOOKUP(SUBSTITUTE(SUBSTITUTE(SUBSTITUTE($EF18,"~","~~"),"*","~*"),"?","~?"),'DADOS_MELHORIAS'!$O$2:$X$113,10,FALSE),$EF18))</f>
        <v/>
      </c>
      <c r="KY18">
        <f>IF($EG18="","",IFERROR(VLOOKUP(SUBSTITUTE(SUBSTITUTE(SUBSTITUTE($EG18,"~","~~"),"*","~*"),"?","~?"),'DADOS_MELHORIAS'!$O$2:$X$113,10,FALSE),$EG18))</f>
        <v/>
      </c>
      <c r="KZ18">
        <f>IF($EH18="","",IFERROR(VLOOKUP(SUBSTITUTE(SUBSTITUTE(SUBSTITUTE($EH18,"~","~~"),"*","~*"),"?","~?"),'DADOS_MELHORIAS'!$O$2:$X$113,10,FALSE),$EH18))</f>
        <v/>
      </c>
      <c r="LB18">
        <f>IFERROR(INDEX('DADOS_FORMAS'!$BJ$2:$BJ$21,MATCH(SUBSTITUTE(SUBSTITUTE(SUBSTITUTE($ED18,"~","~~"),"*","~*"),"?","~?"),'DADOS_FORMAS'!$AH$2:$AH$21,0)),"")</f>
        <v/>
      </c>
      <c r="LC18">
        <f>IFERROR(VLOOKUP(SUBSTITUTE(SUBSTITUTE(SUBSTITUTE(IFERROR(INDEX('DADOS_FORMAS'!$AS$2:$AS$21,MATCH(SUBSTITUTE(SUBSTITUTE(SUBSTITUTE($ED18,"~","~~"),"*","~*"),"?","~?"),'DADOS_FORMAS'!$AH$2:$AH$21,0)),""),"~","~~"),"*","~*"),"?","~?"),'DADOS_RESTRICOES'!$M$2:$Q$54,2,FALSE),"")</f>
        <v/>
      </c>
      <c r="LD18">
        <f>$FD18</f>
        <v/>
      </c>
      <c r="LE18">
        <f>$FE18</f>
        <v/>
      </c>
      <c r="LF18">
        <f>$LC18</f>
        <v/>
      </c>
    </row>
    <row r="19">
      <c r="AO19" s="162" t="inlineStr">
        <is>
          <t>Linha · classes 6 e 7</t>
        </is>
      </c>
      <c r="AP19" s="162" t="inlineStr">
        <is>
          <t>Linha de 30 m por 1,5 m</t>
        </is>
      </c>
      <c r="AQ19" s="162" t="inlineStr">
        <is>
          <t>Linha de 60 m por 1,5 m</t>
        </is>
      </c>
      <c r="AR19" s="162" t="inlineStr">
        <is>
          <t>Linha de 60 m por 1,5 m</t>
        </is>
      </c>
      <c r="AS19" s="162" t="inlineStr">
        <is>
          <t>Linha de 60 m por 1,5 m</t>
        </is>
      </c>
      <c r="AT19" s="162" t="inlineStr">
        <is>
          <t>Linha de 60 m por 1,5 m</t>
        </is>
      </c>
      <c r="AU19" s="162" t="inlineStr">
        <is>
          <t>Linha de 60 m por 1,5 m</t>
        </is>
      </c>
      <c r="AV19" s="162" t="inlineStr"/>
      <c r="AW19" s="162" t="inlineStr"/>
      <c r="AX19" s="162" t="inlineStr"/>
      <c r="AY19" s="162" t="inlineStr"/>
      <c r="AZ19" s="162" t="inlineStr"/>
      <c r="BA19" s="162" t="inlineStr"/>
      <c r="BC19" s="162" t="inlineStr">
        <is>
          <t>De Novo</t>
        </is>
      </c>
      <c r="BD19" s="162" t="inlineStr">
        <is>
          <t>Mira</t>
        </is>
      </c>
      <c r="BE19" s="164" t="n">
        <v>3</v>
      </c>
      <c r="BF19" s="164">
        <f>$BE19+3*IFERROR(VLOOKUP($BD19,'DADOS_CRIACAO'!$H$2:$K$20,3,FALSE),0)</f>
        <v/>
      </c>
      <c r="BG19" s="164">
        <f>IFERROR(VLOOKUP($BD19,'DADOS_CRIACAO'!$H$2:$K$20,4,FALSE),0)</f>
        <v/>
      </c>
      <c r="BH19" s="164" t="n">
        <v>0</v>
      </c>
      <c r="BI19" s="164">
        <f>IF($BG19=1,"",$BC19)</f>
        <v/>
      </c>
      <c r="BJ19" s="164">
        <f>IF(AND($BE19=1,$BG19=0),$BC19,"")</f>
        <v/>
      </c>
      <c r="BK19" s="164" t="n">
        <v>0</v>
      </c>
      <c r="BM19" s="162" t="inlineStr">
        <is>
          <t>Dívida</t>
        </is>
      </c>
      <c r="BN19" s="162" t="inlineStr">
        <is>
          <t>Dívida</t>
        </is>
      </c>
      <c r="BO19" s="164" t="n">
        <v>2</v>
      </c>
      <c r="BP19" s="164" t="n">
        <v>1</v>
      </c>
      <c r="BQ19" s="162" t="inlineStr"/>
      <c r="BS19" s="162" t="inlineStr">
        <is>
          <t>Talento Próprio (CE 2)</t>
        </is>
      </c>
      <c r="BT19" s="164" t="n">
        <v>2</v>
      </c>
      <c r="BU19" s="162"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BV19" s="164" t="n">
        <v>1</v>
      </c>
      <c r="BW19" s="164" t="n">
        <v>1</v>
      </c>
      <c r="BX19" s="164">
        <f>IF(OR(AND($A$2&lt;=2,$BV19=1),AND($A$2&gt;=2,$BW19=1)),$BS19,"")</f>
        <v/>
      </c>
      <c r="BY19" s="162" t="inlineStr">
        <is>
          <t>Categoria de Efeito 1, 2 ou 3. Custos e níveis da Categoria escolhida. Se o catálogo não representar a ideia, escreva o efeito com o mestre antes da sessão. Ele ocupa os espaços correspondentes e conta no máximo de cinco Talentos pagos.</t>
        </is>
      </c>
      <c r="CD19" s="162" t="inlineStr">
        <is>
          <t>Defesa sem Armadura</t>
        </is>
      </c>
      <c r="CE19" s="162" t="inlineStr">
        <is>
          <t>Gratuita na Lapidação 1</t>
        </is>
      </c>
      <c r="CF19" s="162" t="inlineStr">
        <is>
          <t>—</t>
        </is>
      </c>
      <c r="CG19" s="162" t="inlineStr">
        <is>
          <t>Proteção</t>
        </is>
      </c>
      <c r="CH19" s="162" t="inlineStr">
        <is>
          <t>Enquanto não usar Traje nem Revestimento, você recebe proteção igual a um terço da Lapidação, arredondado para baixo, +1. Um escudo pode ser somado conforme suas regras. Quando sofrer dano de um golpe, depois das defesas aplicáveis e antes de descontar vida, você pode gastar sua Reação e 2 PE para reduzi-lo em 1,5 × Lapidação, arredondado para baixo. Depois, perde somente a proteção passiva desta Bênção até o fim do seu próximo turno. Traje, Revestimento e escudo continuam dando sua proteção. Você pode usar essa redução mesmo com equipamento de proteção ou enquanto estiver sem proteção, pagando somente a Reação e os 2 PE em cada uso. O novo uso mantém a perda da proteção passiva até o fim do próximo turno correspondente. Outros valores da Defesa seguem suas regras. Pelas regras desta Origem, Barreira Simples e Cortina não reconhecem nem impedem seu corpo pela energia amaldiçoada. O Acerto garantido de uma Expansão completa também não seleciona você por esse critério. Os efeitos que acontecem no ambiente e os ataques de uma Expansão incompleta continuam usando suas regras.</t>
        </is>
      </c>
      <c r="CI19" s="164">
        <f>IF($CL19=1,"",IF($A$2=4,IF($CJ19=1,$CD19,""),IF(OR($CJ19=1,AND($A$2=3,$CK19=1)),"",$CD19)))</f>
        <v/>
      </c>
      <c r="CJ19" s="164" t="n">
        <v>1</v>
      </c>
      <c r="CK19" s="164" t="n">
        <v>0</v>
      </c>
      <c r="CL19" s="164" t="n">
        <v>1</v>
      </c>
      <c r="CM19" s="162" t="inlineStr">
        <is>
          <t>Enquanto não usar Traje nem Revestimento, você recebe proteção igual a um terço da Lapidação, arredondado para baixo, +1.</t>
        </is>
      </c>
      <c r="DY19" s="162" t="inlineStr">
        <is>
          <t>Feitiço 18</t>
        </is>
      </c>
      <c r="DZ19" s="164" t="n">
        <v>0</v>
      </c>
      <c r="EA19" s="164" t="n">
        <v>18</v>
      </c>
      <c r="EB19" s="164">
        <f>MAX(1,MIN(7,N('FICHA AMALDIÇOADA'!$P$171)))</f>
        <v/>
      </c>
      <c r="EC19" s="164">
        <f>'FICHA AMALDIÇOADA'!$Q$171&amp;""</f>
        <v/>
      </c>
      <c r="ED19" s="164">
        <f>'FICHA AMALDIÇOADA'!$P$178&amp;""</f>
        <v/>
      </c>
      <c r="EE19" s="164">
        <f>'FICHA AMALDIÇOADA'!$Q$180&amp;""</f>
        <v/>
      </c>
      <c r="EF19" s="164">
        <f>'FICHA AMALDIÇOADA'!$Q$181&amp;""</f>
        <v/>
      </c>
      <c r="EG19" s="164">
        <f>'FICHA AMALDIÇOADA'!$Q$182&amp;""</f>
        <v/>
      </c>
      <c r="EH19" s="164">
        <f>'FICHA AMALDIÇOADA'!$Q$183&amp;""</f>
        <v/>
      </c>
      <c r="EI19" s="164">
        <f>'FICHA AMALDIÇOADA'!$Q$184&amp;""</f>
        <v/>
      </c>
      <c r="EJ19" s="164">
        <f>'FICHA AMALDIÇOADA'!$Q$185&amp;""</f>
        <v/>
      </c>
      <c r="EK19" s="164">
        <f>IF($EC19&lt;&gt;"",1,0)</f>
        <v/>
      </c>
      <c r="EL19" s="164">
        <f>IFERROR(MATCH(SUBSTITUTE(SUBSTITUTE(SUBSTITUTE($ED19,"~","~~"),"*","~*"),"?","~?"),'DADOS_FORMAS'!$FJ$2:$FJ$21,0),0)</f>
        <v/>
      </c>
      <c r="EM19" s="164">
        <f>IF($EL19=0,0,INDEX('DADOS_FORMAS'!$FM$2:$FM$21,$EL19))</f>
        <v/>
      </c>
      <c r="EN19" s="164">
        <f>IFERROR(VLOOKUP(SUBSTITUTE(SUBSTITUTE(SUBSTITUTE($EE19,"~","~~"),"*","~*"),"?","~?"),'DADOS_MELHORIAS'!$O$2:$W$113,4,FALSE),0)</f>
        <v/>
      </c>
      <c r="EO19" s="164">
        <f>IFERROR(VLOOKUP(SUBSTITUTE(SUBSTITUTE(SUBSTITUTE($EF19,"~","~~"),"*","~*"),"?","~?"),'DADOS_MELHORIAS'!$O$2:$W$113,4,FALSE),0)</f>
        <v/>
      </c>
      <c r="EP19" s="164">
        <f>IFERROR(VLOOKUP(SUBSTITUTE(SUBSTITUTE(SUBSTITUTE($EG19,"~","~~"),"*","~*"),"?","~?"),'DADOS_MELHORIAS'!$O$2:$W$113,4,FALSE),0)</f>
        <v/>
      </c>
      <c r="EQ19" s="164">
        <f>IFERROR(VLOOKUP(SUBSTITUTE(SUBSTITUTE(SUBSTITUTE($EH19,"~","~~"),"*","~*"),"?","~?"),'DADOS_MELHORIAS'!$O$2:$W$113,4,FALSE),0)</f>
        <v/>
      </c>
      <c r="ER19" s="164">
        <f>IF($EL19=0,0,INDEX('DADOS_FORMAS'!$FN$2:$FN$21,$EL19))</f>
        <v/>
      </c>
      <c r="ES19" s="164">
        <f>IFERROR(VLOOKUP(SUBSTITUTE(SUBSTITUTE(SUBSTITUTE($EE19,"~","~~"),"*","~*"),"?","~?"),'DADOS_MELHORIAS'!$O$2:$W$113,5,FALSE),0)</f>
        <v/>
      </c>
      <c r="ET19" s="164">
        <f>IFERROR(VLOOKUP(SUBSTITUTE(SUBSTITUTE(SUBSTITUTE($EF19,"~","~~"),"*","~*"),"?","~?"),'DADOS_MELHORIAS'!$O$2:$W$113,5,FALSE),0)</f>
        <v/>
      </c>
      <c r="EU19" s="164">
        <f>IFERROR(VLOOKUP(SUBSTITUTE(SUBSTITUTE(SUBSTITUTE($EG19,"~","~~"),"*","~*"),"?","~?"),'DADOS_MELHORIAS'!$O$2:$W$113,5,FALSE),0)</f>
        <v/>
      </c>
      <c r="EV19" s="164">
        <f>IFERROR(VLOOKUP(SUBSTITUTE(SUBSTITUTE(SUBSTITUTE($EH19,"~","~~"),"*","~*"),"?","~?"),'DADOS_MELHORIAS'!$O$2:$W$113,5,FALSE),0)</f>
        <v/>
      </c>
      <c r="EW19" s="164">
        <f>IFERROR(VLOOKUP(SUBSTITUTE(SUBSTITUTE(SUBSTITUTE($EE19,"~","~~"),"*","~*"),"?","~?"),'DADOS_MELHORIAS'!$O$2:$W$113,6,FALSE),0)+IFERROR(VLOOKUP(SUBSTITUTE(SUBSTITUTE(SUBSTITUTE($EF19,"~","~~"),"*","~*"),"?","~?"),'DADOS_MELHORIAS'!$O$2:$W$113,6,FALSE),0)+IFERROR(VLOOKUP(SUBSTITUTE(SUBSTITUTE(SUBSTITUTE($EG19,"~","~~"),"*","~*"),"?","~?"),'DADOS_MELHORIAS'!$O$2:$W$113,6,FALSE),0)+IFERROR(VLOOKUP(SUBSTITUTE(SUBSTITUTE(SUBSTITUTE($EH19,"~","~~"),"*","~*"),"?","~?"),'DADOS_MELHORIAS'!$O$2:$W$113,6,FALSE),0)</f>
        <v/>
      </c>
      <c r="EX19" s="164">
        <f>IFERROR(VLOOKUP(SUBSTITUTE(SUBSTITUTE(SUBSTITUTE($EE19,"~","~~"),"*","~*"),"?","~?"),'DADOS_MELHORIAS'!$O$2:$W$113,9,FALSE),0)+IFERROR(VLOOKUP(SUBSTITUTE(SUBSTITUTE(SUBSTITUTE($EF19,"~","~~"),"*","~*"),"?","~?"),'DADOS_MELHORIAS'!$O$2:$W$113,9,FALSE),0)+IFERROR(VLOOKUP(SUBSTITUTE(SUBSTITUTE(SUBSTITUTE($EG19,"~","~~"),"*","~*"),"?","~?"),'DADOS_MELHORIAS'!$O$2:$W$113,9,FALSE),0)+IFERROR(VLOOKUP(SUBSTITUTE(SUBSTITUTE(SUBSTITUTE($EH19,"~","~~"),"*","~*"),"?","~?"),'DADOS_MELHORIAS'!$O$2:$W$113,9,FALSE),0)</f>
        <v/>
      </c>
      <c r="EY19" s="164">
        <f>IF($EL19=0,0,INDEX('DADOS_FORMAS'!$FO$2:$FO$21,$EL19))</f>
        <v/>
      </c>
      <c r="EZ19" s="164">
        <f>IF($EL19=0,0,INDEX('DADOS_FORMAS'!$FP$2:$FP$21,$EL19))</f>
        <v/>
      </c>
      <c r="FA19" s="164">
        <f>IF($EL19=0,0,INDEX('DADOS_FORMAS'!$FR$2:$FR$21,$EL19))</f>
        <v/>
      </c>
      <c r="FB19" s="164">
        <f>IFERROR(VLOOKUP(SUBSTITUTE(SUBSTITUTE(SUBSTITUTE($EI19,"~","~~"),"*","~*"),"?","~?"),'DADOS_RESTRICOES'!$M$2:$Q$54,3,FALSE),0)</f>
        <v/>
      </c>
      <c r="FC19" s="164">
        <f>IFERROR(VLOOKUP(SUBSTITUTE(SUBSTITUTE(SUBSTITUTE($EJ19,"~","~~"),"*","~*"),"?","~?"),'DADOS_RESTRICOES'!$M$2:$Q$54,3,FALSE),0)</f>
        <v/>
      </c>
      <c r="FD19" s="164">
        <f>IFERROR(VLOOKUP(SUBSTITUTE(SUBSTITUTE(SUBSTITUTE($EI19,"~","~~"),"*","~*"),"?","~?"),'DADOS_RESTRICOES'!$M$2:$Q$54,2,FALSE),"")</f>
        <v/>
      </c>
      <c r="FE19" s="164">
        <f>IFERROR(VLOOKUP(SUBSTITUTE(SUBSTITUTE(SUBSTITUTE($EJ19,"~","~~"),"*","~*"),"?","~?"),'DADOS_RESTRICOES'!$M$2:$Q$54,2,FALSE),"")</f>
        <v/>
      </c>
      <c r="FF19" s="164">
        <f>COUNTIF($EM19:$EQ19,1)</f>
        <v/>
      </c>
      <c r="FG19" s="164">
        <f>COUNTIF($EM19:$EQ19,2)</f>
        <v/>
      </c>
      <c r="FH19" s="164">
        <f>COUNTIF($EM19:$EQ19,3)</f>
        <v/>
      </c>
      <c r="FI19" s="164">
        <f>COUNTIF($EM19:$EQ19,4)</f>
        <v/>
      </c>
      <c r="FJ19" s="164">
        <f>COUNTIF($EM19:$EQ19,5)</f>
        <v/>
      </c>
      <c r="FK19" s="164">
        <f>COUNTIF($EM19:$EQ19,6)</f>
        <v/>
      </c>
      <c r="FL19" s="164">
        <f>COUNTIF($FB19:$FC19,1)+IF(IFERROR(INDEX('DADOS_FORMAS'!$AS$2:$AS$21,MATCH(SUBSTITUTE(SUBSTITUTE(SUBSTITUTE($ED19,"~","~~"),"*","~*"),"?","~?"),'DADOS_FORMAS'!$AH$2:$AH$21,0)),"")="",0,IFERROR(N(VLOOKUP(SUBSTITUTE(SUBSTITUTE(SUBSTITUTE(IFERROR(INDEX('DADOS_FORMAS'!$AS$2:$AS$21,MATCH(SUBSTITUTE(SUBSTITUTE(SUBSTITUTE($ED19,"~","~~"),"*","~*"),"?","~?"),'DADOS_FORMAS'!$AH$2:$AH$21,0)),""),"~","~~"),"*","~*"),"?","~?"),'DADOS_RESTRICOES'!$M$2:$Q$54,3,FALSE)=1),0))</f>
        <v/>
      </c>
      <c r="FM19" s="164">
        <f>COUNTIF($FB19:$FC19,2)+IF(IFERROR(INDEX('DADOS_FORMAS'!$AS$2:$AS$21,MATCH(SUBSTITUTE(SUBSTITUTE(SUBSTITUTE($ED19,"~","~~"),"*","~*"),"?","~?"),'DADOS_FORMAS'!$AH$2:$AH$21,0)),"")="",0,IFERROR(N(VLOOKUP(SUBSTITUTE(SUBSTITUTE(SUBSTITUTE(IFERROR(INDEX('DADOS_FORMAS'!$AS$2:$AS$21,MATCH(SUBSTITUTE(SUBSTITUTE(SUBSTITUTE($ED19,"~","~~"),"*","~*"),"?","~?"),'DADOS_FORMAS'!$AH$2:$AH$21,0)),""),"~","~~"),"*","~*"),"?","~?"),'DADOS_RESTRICOES'!$M$2:$Q$54,3,FALSE)=2),0))</f>
        <v/>
      </c>
      <c r="FN19" s="164">
        <f>COUNTIF($EE19:$EH19,"?*")</f>
        <v/>
      </c>
      <c r="FO19" s="164">
        <f>COUNTIF($EI19:$EJ19,"?*")+$EY19</f>
        <v/>
      </c>
      <c r="FP19" s="164">
        <f>SUMPRODUCT($FF19:$FK19,INDEX($Q$2:$V$8,$EB19,0))</f>
        <v/>
      </c>
      <c r="FQ19" s="164">
        <f>$FL19*CEILING($EB19/2,1)+$FM19*$EB19</f>
        <v/>
      </c>
      <c r="FR19" s="164">
        <f>MIN(2*$EB19,$FQ19)</f>
        <v/>
      </c>
      <c r="FS19" s="164">
        <f>MIN($FR19,$FP19-IF($EM19=0,0,INDEX($Q$2:$V$8,$EB19,$EM19)))</f>
        <v/>
      </c>
      <c r="FT19" s="164">
        <f>$FR19-$FS19</f>
        <v/>
      </c>
      <c r="FU19" s="164">
        <f>3*$EB19-$FP19+$FS19</f>
        <v/>
      </c>
      <c r="FV19" s="164">
        <f>MAX(0,$FU19)+$DZ19*$EB19</f>
        <v/>
      </c>
      <c r="FW19" s="164">
        <f>(IF(COUNTIF($KW19:$KZ19,"Salto")&gt;0,1,0)+IF(COUNTIF($KW19:$KZ19,"Queima")&gt;0,1,0)+IF(COUNTIF($KW19:$KZ19,"Estilhaço")&gt;0,1,0))*FLOOR($FV19/2,1)</f>
        <v/>
      </c>
      <c r="FX19" s="164">
        <f>MAX(0,3-SUMPRODUCT($FF19:$FK19,$Q$2:$V$2)+MIN(2,$FL19*1+$FM19*1,SUMPRODUCT($FF19:$FK19,$Q$2:$V$2)-IF($EM19=0,0,INDEX($Q$2:$V$2,1,$EM19))))+$DZ19*1</f>
        <v/>
      </c>
      <c r="FY19" s="164">
        <f>MAX(0,6-SUMPRODUCT($FF19:$FK19,$Q$3:$V$3)+MIN(4,$FL19*1+$FM19*2,SUMPRODUCT($FF19:$FK19,$Q$3:$V$3)-IF($EM19=0,0,INDEX($Q$3:$V$3,1,$EM19))))+$DZ19*2</f>
        <v/>
      </c>
      <c r="FZ19" s="164">
        <f>MAX(0,9-SUMPRODUCT($FF19:$FK19,$Q$4:$V$4)+MIN(6,$FL19*2+$FM19*3,SUMPRODUCT($FF19:$FK19,$Q$4:$V$4)-IF($EM19=0,0,INDEX($Q$4:$V$4,1,$EM19))))+$DZ19*3</f>
        <v/>
      </c>
      <c r="GA19" s="164">
        <f>MAX(0,12-SUMPRODUCT($FF19:$FK19,$Q$5:$V$5)+MIN(8,$FL19*2+$FM19*4,SUMPRODUCT($FF19:$FK19,$Q$5:$V$5)-IF($EM19=0,0,INDEX($Q$5:$V$5,1,$EM19))))+$DZ19*4</f>
        <v/>
      </c>
      <c r="GB19" s="164">
        <f>MAX(0,15-SUMPRODUCT($FF19:$FK19,$Q$6:$V$6)+MIN(10,$FL19*3+$FM19*5,SUMPRODUCT($FF19:$FK19,$Q$6:$V$6)-IF($EM19=0,0,INDEX($Q$6:$V$6,1,$EM19))))+$DZ19*5</f>
        <v/>
      </c>
      <c r="GC19" s="164">
        <f>MAX(0,18-SUMPRODUCT($FF19:$FK19,$Q$7:$V$7)+MIN(12,$FL19*3+$FM19*6,SUMPRODUCT($FF19:$FK19,$Q$7:$V$7)-IF($EM19=0,0,INDEX($Q$7:$V$7,1,$EM19))))+$DZ19*6</f>
        <v/>
      </c>
      <c r="GD19" s="164">
        <f>MAX(0,21-SUMPRODUCT($FF19:$FK19,$Q$8:$V$8)+MIN(14,$FL19*4+$FM19*7,SUMPRODUCT($FF19:$FK19,$Q$8:$V$8)-IF($EM19=0,0,INDEX($Q$8:$V$8,1,$EM19))))+$DZ19*7</f>
        <v/>
      </c>
      <c r="GE19" s="164">
        <f>IF($EZ19=2,3*$FX19&amp;" de vida temp.",IF($EZ19=3,"sem dano",IF($FX19=0,IF($EZ19=1,"sem cura","sem dano"),IF($EZ19=1,"cura ","")&amp;$FX19&amp;"d8")))</f>
        <v/>
      </c>
      <c r="GF19" s="164">
        <f>IF($EZ19=2,3*$FY19&amp;" de vida temp.",IF($EZ19=3,"sem dano",IF($FY19=0,IF($EZ19=1,"sem cura","sem dano"),IF($EZ19=1,"cura ","")&amp;$FY19&amp;"d8")))</f>
        <v/>
      </c>
      <c r="GG19" s="164">
        <f>IF($EZ19=2,3*$FZ19&amp;" de vida temp.",IF($EZ19=3,"sem dano",IF($FZ19=0,IF($EZ19=1,"sem cura","sem dano"),IF($EZ19=1,"cura ","")&amp;$FZ19&amp;"d8")))</f>
        <v/>
      </c>
      <c r="GH19" s="164">
        <f>IF($EZ19=2,3*$GA19&amp;" de vida temp.",IF($EZ19=3,"sem dano",IF($GA19=0,IF($EZ19=1,"sem cura","sem dano"),IF($EZ19=1,"cura ","")&amp;$GA19&amp;"d8")))</f>
        <v/>
      </c>
      <c r="GI19" s="164">
        <f>IF($EZ19=2,3*$GB19&amp;" de vida temp.",IF($EZ19=3,"sem dano",IF($GB19=0,IF($EZ19=1,"sem cura","sem dano"),IF($EZ19=1,"cura ","")&amp;$GB19&amp;"d8")))</f>
        <v/>
      </c>
      <c r="GJ19" s="164">
        <f>IF($EZ19=2,3*$GC19&amp;" de vida temp.",IF($EZ19=3,"sem dano",IF($GC19=0,IF($EZ19=1,"sem cura","sem dano"),IF($EZ19=1,"cura ","")&amp;$GC19&amp;"d8")))</f>
        <v/>
      </c>
      <c r="GK19" s="164">
        <f>IF($EZ19=2,3*$GD19&amp;" de vida temp.",IF($EZ19=3,"sem dano",IF($GD19=0,IF($EZ19=1,"sem cura","sem dano"),IF($EZ19=1,"cura ","")&amp;$GD19&amp;"d8")))</f>
        <v/>
      </c>
      <c r="GL19" s="164">
        <f>IF($EK19=0,"",TEXTJOIN(" · ",TRUE,IF($EK19=0,"",TEXTJOIN(" · ",TRUE,IF($EK19=0,"",TEXTJOIN(" · ",TRUE,IF(AND($DZ19=1,$EA19&gt;$HM$9),"O nível "&amp;$HM$2&amp;" dá "&amp;$HM$9&amp;" Liberação Máxima",""),IF($EB19&gt;$HM$4,"Classe "&amp;$EB19&amp;": o nível "&amp;$HM$2&amp;" libera até a "&amp;$HM$4,""),IF($ER19=1,"Família Fechada: a Forma "&amp;$ED19,""),IF($ES19=1,"Família Fechada: "&amp;$EE19,""),IF($ET19=1,"Família Fechada: "&amp;$EF19,""),IF($EU19=1,"Família Fechada: "&amp;$EG19,""),IF($EV19=1,"Família Fechada: "&amp;$EH19,""),IF($FN19&gt;INDEX($W$2:$W$8,$EB19),$FN19&amp;" Melhorias: a Classe "&amp;$EB19&amp;" aceita "&amp;INDEX($W$2:$W$8,$EB19),""),IF($FO19&gt;2,$FO19&amp;" Restrições"&amp;IF($EY19=1,", contando a que a Forma "&amp;$ED19&amp;" já traz","")&amp;": o limite é 2",""),IF($FU19&lt;0,"Orçamento estourado: faltam "&amp;(-$FU19)&amp;IF($FU19&lt;-1," pontos"," ponto"),""),IF(IFERROR(VLOOKUP(SUBSTITUTE(SUBSTITUTE(SUBSTITUTE($EI19,"~","~~"),"*","~*"),"?","~?"),'DADOS_RESTRICOES'!$M$2:$Q$54,4,FALSE),0)+IFERROR(VLOOKUP(SUBSTITUTE(SUBSTITUTE(SUBSTITUTE($EJ19,"~","~~"),"*","~*"),"?","~?"),'DADOS_RESTRICOES'!$M$2:$Q$54,4,FALSE),0)&gt;1,$FD19&amp;" e "&amp;$FE19&amp;" são as duas de frequência",""),IF(AND((COUNTIF($KW19:$KZ19,"Rápido")+COUNTIF($FD19:$FE19,"Rápido"))&gt;0,(COUNTIF($EE19:$EH19,"Atrasar")+COUNTIF($FD19:$FE19,"Atrasar"))&gt;0),"Rápido não entra com Atrasar",""),IF(AND((COUNTIF($KW19:$KZ19,"Reação")+COUNTIF($FD19:$FE19,"Reação"))&gt;0,(COUNTIF($KW19:$KZ19,"Rápido")+COUNTIF($FD19:$FE19,"Rápido"))&gt;0),"Reação não entra com Rápido",""),IF(AND((COUNTIF($KW19:$KZ19,"Reação")+COUNTIF($FD19:$FE19,"Reação"))&gt;0,(COUNTIF($KW19:$KZ19,"Armado")+COUNTIF($FD19:$FE19,"Armado"))&gt;0),"Reação não entra com Armado",""),IF(AND((COUNTIF($KW19:$KZ19,"Reação")+COUNTIF($FD19:$FE19,"Reação"))&gt;0,(COUNTIF($EE19:$EH19,"Atrasar")+COUNTIF($FD19:$FE19,"Atrasar"))&gt;0),"Reação não entra com Atrasar",""),IF(AND((COUNTIF($KW19:$KZ19,"Reação")+COUNTIF($FD19:$FE19,"Reação"))&gt;0,(COUNTIF($EE19:$EH19,"Parado")+COUNTIF($FD19:$FE19,"Parado"))&gt;0),"Reação não entra com Parado",""),IF(AND((COUNTIF($EE19:$EH19,"Atrasar")+COUNTIF($FD19:$FE19,"Atrasar"))&gt;0,(COUNTIF($EE19:$EH19,"Parado")+COUNTIF($FD19:$FE19,"Parado"))&gt;0),"Atrasar não entra com Parado",""),IF(AND((COUNTIF($KW19:$KZ19,"Armado")+COUNTIF($FD19:$FE19,"Armado"))&gt;0,(COUNTIF($EE19:$EH19,"Carregar")+COUNTIF($FD19:$FE19,"Carregar"))&gt;0),"Armado não entra com Carregar",""),IF(AND(COUNTIF($FD19:$FE19,"Corpo a Corpo")&gt;0,$EY19=0,OR($LB19="Cone",$LB19="Linha")),"Corpo a Corpo não entra em "&amp;$ED19,""),IF(AND(COUNTIF($FD19:$FE19,"Corpo a Corpo")&gt;0,$LC19="Corpo a Corpo"),"A Forma "&amp;$ED19&amp;" já traz o Corpo a Corpo",""),IF(AND(COUNTIF($FD19:$FE19,"Tudo ou Nada")&gt;0,$FA19=0),"Tudo ou Nada só entra em feitiço de Teste de Resistência",""),IF(AND(COUNTIF($KW19:$KZ19,"Inescapável")&gt;0,OR($FN19&gt;1,$FO19&gt;0)),"Inescapável não aceita outra peça",""),IF(AND($DZ19=1,$EB19&lt;3),"Liberação Máxima é de Classe 3 ou mais",""),IF(AND($DZ19=1,OR($EZ19=1,$EZ19=2)),"Liberação Máxima não serve para cura",""),IF(AND($DZ19=1,COUNTIF($KW19:$KZ19,"Inescapável")+COUNTIF($KW19:$KZ19,"Toca a Alma")&gt;0),"Esta peça não entra numa Liberação Máxima",""),IF($FV19*IF(COUNTIF($KW19:$KZ19,"Remate")&gt;0,1.25,1)+$FW19&gt;4*$EB19,($FV19*IF(COUNTIF($KW19:$KZ19,"Remate")&gt;0,1.25,1)+$FW19)&amp;" dados somando repetições"&amp;IF(COUNTIF($KW19:$KZ19,"Remate")&gt;0," e o Remate","")&amp;": o teto da Classe "&amp;$EB19&amp;" é "&amp;4*$EB19,""))),IF(AND($EE19&lt;&gt;"",COUNTIF('DADOS_MELHORIAS'!$O$2:$O$113,SUBSTITUTE(SUBSTITUTE(SUBSTITUTE($EE19,"~","~~"),"*","~*"),"?","~?"))=0),"Melhoria não cadastrada ou com erro: "&amp;$EE19,""),IF(AND($EF19&lt;&gt;"",COUNTIF('DADOS_MELHORIAS'!$O$2:$O$113,SUBSTITUTE(SUBSTITUTE(SUBSTITUTE($EF19,"~","~~"),"*","~*"),"?","~?"))=0),"Melhoria não cadastrada ou com erro: "&amp;$EF19,""),IF(AND($EG19&lt;&gt;"",COUNTIF('DADOS_MELHORIAS'!$O$2:$O$113,SUBSTITUTE(SUBSTITUTE(SUBSTITUTE($EG19,"~","~~"),"*","~*"),"?","~?"))=0),"Melhoria não cadastrada ou com erro: "&amp;$EG19,""),IF(AND($EH19&lt;&gt;"",COUNTIF('DADOS_MELHORIAS'!$O$2:$O$113,SUBSTITUTE(SUBSTITUTE(SUBSTITUTE($EH19,"~","~~"),"*","~*"),"?","~?"))=0),"Melhoria não cadastrada ou com erro: "&amp;$EH19,""),IF(AND($EI19&lt;&gt;"",COUNTIF('DADOS_RESTRICOES'!$M$2:$M$54,SUBSTITUTE(SUBSTITUTE(SUBSTITUTE($EI19,"~","~~"),"*","~*"),"?","~?"))=0),"Restrição não cadastrada ou com erro: "&amp;$EI19,""),IF(AND($EJ19&lt;&gt;"",COUNTIF('DADOS_RESTRICOES'!$M$2:$M$54,SUBSTITUTE(SUBSTITUTE(SUBSTITUTE($EJ19,"~","~~"),"*","~*"),"?","~?"))=0),"Restrição não cadastrada ou com erro: "&amp;$EJ19,""))),IF(AND($ED19&lt;&gt;"",COUNTIF('DADOS_FORMAS'!$AH$2:$AH$21,SUBSTITUTE(SUBSTITUTE(SUBSTITUTE($ED19,"~","~~"),"*","~*"),"?","~?"))=0),"Forma não cadastrada ou com erro: "&amp;$ED19,""),IF(AND(IFERROR(INDEX('DADOS_FORMAS'!$AS$2:$AS$21,MATCH(SUBSTITUTE(SUBSTITUTE(SUBSTITUTE($ED19,"~","~~"),"*","~*"),"?","~?"),'DADOS_FORMAS'!$AH$2:$AH$21,0)),"")&lt;&gt;"",OR(IFERROR(VLOOKUP(SUBSTITUTE(SUBSTITUTE(SUBSTITUTE(IFERROR(INDEX('DADOS_FORMAS'!$AS$2:$AS$21,MATCH(SUBSTITUTE(SUBSTITUTE(SUBSTITUTE($ED19,"~","~~"),"*","~*"),"?","~?"),'DADOS_FORMAS'!$AH$2:$AH$21,0)),""),"~","~~"),"*","~*"),"?","~?"),'DADOS_RESTRICOES'!$M$2:$Q$54,2,FALSE),"")=$FD19,IFERROR(VLOOKUP(SUBSTITUTE(SUBSTITUTE(SUBSTITUTE(IFERROR(INDEX('DADOS_FORMAS'!$AS$2:$AS$21,MATCH(SUBSTITUTE(SUBSTITUTE(SUBSTITUTE($ED19,"~","~~"),"*","~*"),"?","~?"),'DADOS_FORMAS'!$AH$2:$AH$21,0)),""),"~","~~"),"*","~*"),"?","~?"),'DADOS_RESTRICOES'!$M$2:$Q$54,2,FALSE),"")=$FE19)),"Restrição repetida, contando a embutida",""),IF(IF(IFERROR(INDEX('DADOS_FORMAS'!$AS$2:$AS$21,MATCH(SUBSTITUTE(SUBSTITUTE(SUBSTITUTE($ED19,"~","~~"),"*","~*"),"?","~?"),'DADOS_FORMAS'!$AH$2:$AH$21,0)),"")="",0,IFERROR(N(VLOOKUP(SUBSTITUTE(SUBSTITUTE(SUBSTITUTE(IFERROR(INDEX('DADOS_FORMAS'!$AS$2:$AS$21,MATCH(SUBSTITUTE(SUBSTITUTE(SUBSTITUTE($ED19,"~","~~"),"*","~*"),"?","~?"),'DADOS_FORMAS'!$AH$2:$AH$21,0)),""),"~","~~"),"*","~*"),"?","~?"),'DADOS_RESTRICOES'!$M$2:$Q$54,4,FALSE)=1),0))+IF($EI19="",0,IFERROR(N(VLOOKUP(SUBSTITUTE(SUBSTITUTE(SUBSTITUTE($EI19,"~","~~"),"*","~*"),"?","~?"),'DADOS_RESTRICOES'!$M$2:$Q$54,4,FALSE)=1),0))+IF($EJ19="",0,IFERROR(N(VLOOKUP(SUBSTITUTE(SUBSTITUTE(SUBSTITUTE($EJ19,"~","~~"),"*","~*"),"?","~?"),'DADOS_RESTRICOES'!$M$2:$Q$54,4,FALSE)=1),0))&gt;1,"Duas Restrições de frequência, contando a embutida",""),IF(AND(IFERROR(VLOOKUP(SUBSTITUTE(SUBSTITUTE(SUBSTITUTE(IFERROR(INDEX('DADOS_FORMAS'!$AS$2:$AS$21,MATCH(SUBSTITUTE(SUBSTITUTE(SUBSTITUTE($ED19,"~","~~"),"*","~*"),"?","~?"),'DADOS_FORMAS'!$AH$2:$AH$21,0)),""),"~","~~"),"*","~*"),"?","~?"),'DADOS_RESTRICOES'!$M$2:$Q$54,2,FALSE),"")="Tudo ou Nada",$FA19=0),"Tudo ou Nada exige TR",""),IF(AND(IFERROR(VLOOKUP(SUBSTITUTE(SUBSTITUTE(SUBSTITUTE(IFERROR(INDEX('DADOS_FORMAS'!$AS$2:$AS$21,MATCH(SUBSTITUTE(SUBSTITUTE(SUBSTITUTE($ED19,"~","~~"),"*","~*"),"?","~?"),'DADOS_FORMAS'!$AH$2:$AH$21,0)),""),"~","~~"),"*","~*"),"?","~?"),'DADOS_RESTRICOES'!$M$2:$Q$54,2,FALSE),"")="Corpo a Corpo",OR($LB19="Cone",$LB19="Linha")),"Corpo a Corpo não entra em Cone/Linha","")))</f>
        <v/>
      </c>
      <c r="GM19" s="164">
        <f>IF($GL19="",0,(LEN($GL19)-LEN(SUBSTITUTE($GL19," · ","")))/3+1)</f>
        <v/>
      </c>
      <c r="GN19" s="164">
        <f>IF($EK19=0,"",TEXTJOIN(" · ",TRUE,IF($FQ19&gt;2*$EB19,"A devolução parou no teto de "&amp;2*$EB19,""),IF($FT19&gt;0,"Devolução perdida: "&amp;$FT19&amp;IF($FT19&gt;1," pontos"," ponto")&amp;" sem Melhoria para pagar",""),IF(AND($EW19&gt;0,$FV19=0),"Controle sem dano: uma rodada a mais e CD +2",""),IF(AND($EW19&gt;0,$FV19&gt;0,$FV19&lt;=$EB19),"Controle com saldo até a Classe: uma rodada a mais","")))</f>
        <v/>
      </c>
      <c r="GO19" s="164">
        <f>IF($GN19="",0,(LEN($GN19)-LEN(SUBSTITUTE($GN19," · ","")))/3+1)</f>
        <v/>
      </c>
      <c r="GP19" s="164">
        <f>IF($EK19=0,IF($FN19+$FO19-$EY19&gt;0,"Dê um nome",""),IF($GM19&gt;0,"⚠ "&amp;$GM19&amp;IF($GM19&gt;1," erros"," erro"),IF($GO19&gt;0,"! "&amp;$GO19&amp;IF($GO19&gt;1," avisos"," aviso"),"Na regra")))</f>
        <v/>
      </c>
      <c r="GQ19" s="164">
        <f>IF($EK19=0,"",IF($GM19+$GO19=0,"Dentro das regras que a ficha confere",$GL19&amp;IF(AND($GM19&gt;0,$GO19&gt;0)," · ","")&amp;$GN19))</f>
        <v/>
      </c>
      <c r="GR19" s="164">
        <f>IF($EK19=0,"",IF($DZ19=1,CEILING(4.5*$EB19,1),3*$EB19)&amp;" PE")</f>
        <v/>
      </c>
      <c r="GS19" s="164">
        <f>IF($EK19=0,"",IF($DZ19=1,"Rodada inteira",IF(COUNTIF($LD19:$LF19,"Atrasar")&gt;0,IF(COUNTIF($LD19:$LF19,"Carregar")&gt;0,"Rodada +1 turno","Rodada inteira"),IF(COUNTIF($KW19:$KZ19,"Rápido")&gt;0,"Bônus",IF(COUNTIF($KW19:$KZ19,"Reação")&gt;0,"Reação","Padrão"))&amp;IF(COUNTIF($LD19:$LF19,"Carregar")&gt;0," +1 turno",""))))</f>
        <v/>
      </c>
      <c r="GT19" s="164">
        <f>IF(OR($EK19=0,$EL19=0),"",IF(COUNTIF($KW19:$KZ19,"Inescapável")&gt;0,"Automático",IF(COUNTIF($KW19:$KZ19,"Certeiro")&gt;0,"TR para metade",IF(AND($EX19&gt;0,$FA19=0,INDEX('DADOS_FORMAS'!$FQ$2:$FQ$21,$EL19)="Acerto"),"Acerto + TR",INDEX('DADOS_FORMAS'!$FQ$2:$FQ$21,$EL19)))))</f>
        <v/>
      </c>
      <c r="GU19" s="164">
        <f>IF(OR($EK19=0,$EL19=0),"",IF(OR($EZ19&gt;=2,$FV19=0),UPPER(LEFT(INDEX($GE19:$GK19,1,$EB19),1))&amp;MID(INDEX($GE19:$GK19,1,$EB19),2,99),UPPER(LEFT(INDEX($GE19:$GK19,1,$EB19),1))&amp;MID(INDEX($GE19:$GK19,1,$EB19),2,99)&amp;" = "&amp;FLOOR($FV19*4.5,1)&amp;IF($FW19&gt;0," · +"&amp;$FW19&amp;"d8","")))</f>
        <v/>
      </c>
      <c r="GV19" s="164">
        <f>COUNTIF($KW19:$KZ19,"Longe")+3*COUNTIF($KW19:$KZ19,"Muito Longe")</f>
        <v/>
      </c>
      <c r="GW19" s="164">
        <f>COUNTIF($KW19:$KZ19,"Maior")+3*COUNTIF($KW19:$KZ19,"Muito Maior")</f>
        <v/>
      </c>
      <c r="GX19" s="164">
        <f>IF($EL19=0,0,CHOOSE(1+INDEX('DADOS_FORMAS'!$FS$2:$FS$21,$EL19),0,$GV19,$GW19,$GV19+$GW19))</f>
        <v/>
      </c>
      <c r="GY19" s="164">
        <f>IF($EL19=0,0,CHOOSE(1+INDEX('DADOS_FORMAS'!$FT$2:$FT$21,$EL19),0,$GV19,$GW19,$GV19+$GW19))</f>
        <v/>
      </c>
      <c r="GZ19" s="164">
        <f>IF(OR($EK19=0,$EL19=0),"",INDEX('DADOS_FORMAS'!$GZ$2:$HE$61,($EL19-1)*3+IF($EB19&gt;=6,3,2),1+MIN(5,$GX19))&amp;INDEX('DADOS_FORMAS'!$HF$2:$HK$61,($EL19-1)*3+IF($EB19&gt;=6,3,2),1+MIN(5,$GY19))&amp;IF(INDEX('DADOS_FORMAS'!$FU$2:$FU$21,$EL19)=1,IF(COUNTIF($KW19:$KZ19,"Mais Um")&gt;0," · +"&amp;COUNTIF($KW19:$KZ19,"Mais Um")&amp;IF(COUNTIF($KW19:$KZ19,"Mais Um")&gt;1," alvos"," alvo"),"")&amp;IF(COUNTIF($KW19:$KZ19,"Rajada")&gt;0," · "&amp;($EB19+1)&amp;" tiros",""),""))</f>
        <v/>
      </c>
      <c r="HA19" s="164">
        <f>IF($EK19=0,"",3*$EB19&amp;" − "&amp;$FP19&amp;" + "&amp;$FS19&amp;IF($DZ19=1," + "&amp;$EB19,"")&amp;" = "&amp;$FV19&amp;"d8 · teto "&amp;4*$EB19&amp;IF($EY19=1," · a Forma devolve "&amp;$EB19,"")&amp;IF($FT19&gt;0," · perde "&amp;$FT19,""))</f>
        <v/>
      </c>
      <c r="HB19" s="164">
        <f>IF($EK19=0,"",IF($EB19&gt;=$HM$4,"Já está na maior Classe que o nível liberou",TEXTJOIN(" · ",TRUE,IF(AND(2&gt;$EB19,2&lt;=$HM$4),"2 → "&amp;$GF19&amp;", "&amp;IF($DZ19=1,9,6)&amp;" PE",""),IF(AND(3&gt;$EB19,3&lt;=$HM$4),"3 → "&amp;$GG19&amp;", "&amp;IF($DZ19=1,14,9)&amp;" PE",""),IF(AND(4&gt;$EB19,4&lt;=$HM$4),"4 → "&amp;$GH19&amp;", "&amp;IF($DZ19=1,18,12)&amp;" PE",""),IF(AND(5&gt;$EB19,5&lt;=$HM$4),"5 → "&amp;$GI19&amp;", "&amp;IF($DZ19=1,23,15)&amp;" PE",""),IF(AND(6&gt;$EB19,6&lt;=$HM$4),"6 → "&amp;$GJ19&amp;", "&amp;IF($DZ19=1,27,18)&amp;" PE",""),IF(AND(7&gt;$EB19,7&lt;=$HM$4),"7 → "&amp;$GK19&amp;", "&amp;IF($DZ19=1,32,21)&amp;" PE",""))))</f>
        <v/>
      </c>
      <c r="HC19" s="164">
        <f>IF(OR($EK19=0,$EN19=0),"","−"&amp;INDEX($Q$2:$V$8,$EB19,$EN19)&amp;" · "&amp;CHOOSE($EN19,"Leve","Média","Pesada","Leve · Livre","Média · Livre","Pesada · Livre"))</f>
        <v/>
      </c>
      <c r="HD19" s="164">
        <f>IF(OR($EK19=0,$EO19=0),"","−"&amp;INDEX($Q$2:$V$8,$EB19,$EO19)&amp;" · "&amp;CHOOSE($EO19,"Leve","Média","Pesada","Leve · Livre","Média · Livre","Pesada · Livre"))</f>
        <v/>
      </c>
      <c r="HE19" s="164">
        <f>IF(OR($EK19=0,$EP19=0),"","−"&amp;INDEX($Q$2:$V$8,$EB19,$EP19)&amp;" · "&amp;CHOOSE($EP19,"Leve","Média","Pesada","Leve · Livre","Média · Livre","Pesada · Livre"))</f>
        <v/>
      </c>
      <c r="HF19" s="164">
        <f>IF(OR($EK19=0,$EQ19=0),"","−"&amp;INDEX($Q$2:$V$8,$EB19,$EQ19)&amp;" · "&amp;CHOOSE($EQ19,"Leve","Média","Pesada","Leve · Livre","Média · Livre","Pesada · Livre"))</f>
        <v/>
      </c>
      <c r="HG19" s="164">
        <f>IF(OR($EK19=0,$EI19=""),"","+"&amp;IF($FB19=1,CEILING($EB19/2,1),$EB19))</f>
        <v/>
      </c>
      <c r="HH19" s="164">
        <f>IF(OR($EK19=0,$EJ19=""),"","+"&amp;IF($FC19=1,CEILING($EB19/2,1),$EB19))</f>
        <v/>
      </c>
      <c r="HI19" s="164">
        <f>'FICHA AMALDIÇOADA'!$P$173&amp;""</f>
        <v/>
      </c>
      <c r="HJ19" s="164">
        <f>IF(AND($EK19=1,$DZ19=0),COUNTIFS($EK$2:$EK19,1,$DZ$2:$DZ19,0),"")</f>
        <v/>
      </c>
      <c r="HL19" s="162" t="inlineStr">
        <is>
          <t>espaços em invocações</t>
        </is>
      </c>
      <c r="HM19" s="164">
        <f>IFERROR(INDEX(DADOS_INVOC!$2:$2,MATCH("espaços por invocação",DADOS_INVOC!$1:$1,0)),0)</f>
        <v/>
      </c>
      <c r="JH19" s="164" t="n">
        <v>18</v>
      </c>
      <c r="JI19" s="164">
        <f>IFERROR(MATCH(18,$HJ$2:$HJ$37,0),0)</f>
        <v/>
      </c>
      <c r="JJ19" s="164">
        <f>IF($JI19=0,"",INDEX($EB$2:$EB$37,$JI19))</f>
        <v/>
      </c>
      <c r="JK19" s="164">
        <f>IF($JI19=0,"",INDEX($EC$2:$EC$37,$JI19))</f>
        <v/>
      </c>
      <c r="JL19" s="164">
        <f>IF($JI19=0,"",INDEX($GR$2:$GR$37,$JI19))</f>
        <v/>
      </c>
      <c r="JM19" s="164">
        <f>IF($JI19=0,"",INDEX($ED$2:$ED$37,$JI19))</f>
        <v/>
      </c>
      <c r="JN19" s="164">
        <f>IF($JI19=0,"",INDEX($GT$2:$GT$37,$JI19))</f>
        <v/>
      </c>
      <c r="JO19" s="164">
        <f>IF($JI19=0,"",INDEX($HI$2:$HI$37,$JI19))</f>
        <v/>
      </c>
      <c r="KU19" s="162" t="inlineStr">
        <is>
          <t>J55</t>
        </is>
      </c>
      <c r="KV19" s="164">
        <f>"+"&amp;DADOS_AM!$HM$8</f>
        <v/>
      </c>
      <c r="KW19">
        <f>IF($EE19="","",IFERROR(VLOOKUP(SUBSTITUTE(SUBSTITUTE(SUBSTITUTE($EE19,"~","~~"),"*","~*"),"?","~?"),'DADOS_MELHORIAS'!$O$2:$X$113,10,FALSE),$EE19))</f>
        <v/>
      </c>
      <c r="KX19">
        <f>IF($EF19="","",IFERROR(VLOOKUP(SUBSTITUTE(SUBSTITUTE(SUBSTITUTE($EF19,"~","~~"),"*","~*"),"?","~?"),'DADOS_MELHORIAS'!$O$2:$X$113,10,FALSE),$EF19))</f>
        <v/>
      </c>
      <c r="KY19">
        <f>IF($EG19="","",IFERROR(VLOOKUP(SUBSTITUTE(SUBSTITUTE(SUBSTITUTE($EG19,"~","~~"),"*","~*"),"?","~?"),'DADOS_MELHORIAS'!$O$2:$X$113,10,FALSE),$EG19))</f>
        <v/>
      </c>
      <c r="KZ19">
        <f>IF($EH19="","",IFERROR(VLOOKUP(SUBSTITUTE(SUBSTITUTE(SUBSTITUTE($EH19,"~","~~"),"*","~*"),"?","~?"),'DADOS_MELHORIAS'!$O$2:$X$113,10,FALSE),$EH19))</f>
        <v/>
      </c>
      <c r="LB19">
        <f>IFERROR(INDEX('DADOS_FORMAS'!$BJ$2:$BJ$21,MATCH(SUBSTITUTE(SUBSTITUTE(SUBSTITUTE($ED19,"~","~~"),"*","~*"),"?","~?"),'DADOS_FORMAS'!$AH$2:$AH$21,0)),"")</f>
        <v/>
      </c>
      <c r="LC19">
        <f>IFERROR(VLOOKUP(SUBSTITUTE(SUBSTITUTE(SUBSTITUTE(IFERROR(INDEX('DADOS_FORMAS'!$AS$2:$AS$21,MATCH(SUBSTITUTE(SUBSTITUTE(SUBSTITUTE($ED19,"~","~~"),"*","~*"),"?","~?"),'DADOS_FORMAS'!$AH$2:$AH$21,0)),""),"~","~~"),"*","~*"),"?","~?"),'DADOS_RESTRICOES'!$M$2:$Q$54,2,FALSE),"")</f>
        <v/>
      </c>
      <c r="LD19">
        <f>$FD19</f>
        <v/>
      </c>
      <c r="LE19">
        <f>$FE19</f>
        <v/>
      </c>
      <c r="LF19">
        <f>$LC19</f>
        <v/>
      </c>
    </row>
    <row r="20">
      <c r="AO20" s="162" t="inlineStr">
        <is>
          <t>Cura · classe 0</t>
        </is>
      </c>
      <c r="AP20" s="162" t="inlineStr">
        <is>
          <t>—</t>
        </is>
      </c>
      <c r="AQ20" s="162" t="inlineStr">
        <is>
          <t>—</t>
        </is>
      </c>
      <c r="AR20" s="162" t="inlineStr">
        <is>
          <t>—</t>
        </is>
      </c>
      <c r="AS20" s="162" t="inlineStr">
        <is>
          <t>—</t>
        </is>
      </c>
      <c r="AT20" s="162" t="inlineStr">
        <is>
          <t>—</t>
        </is>
      </c>
      <c r="AU20" s="162" t="inlineStr">
        <is>
          <t>—</t>
        </is>
      </c>
      <c r="AV20" s="162" t="inlineStr"/>
      <c r="AW20" s="162" t="inlineStr"/>
      <c r="AX20" s="162" t="inlineStr"/>
      <c r="AY20" s="162" t="inlineStr"/>
      <c r="AZ20" s="162" t="inlineStr"/>
      <c r="BA20" s="162" t="inlineStr"/>
      <c r="BC20" s="162" t="inlineStr">
        <is>
          <t>Fura</t>
        </is>
      </c>
      <c r="BD20" s="162" t="inlineStr">
        <is>
          <t>Mira</t>
        </is>
      </c>
      <c r="BE20" s="164" t="n">
        <v>2</v>
      </c>
      <c r="BF20" s="164">
        <f>$BE20+3*IFERROR(VLOOKUP($BD20,'DADOS_CRIACAO'!$H$2:$K$20,3,FALSE),0)</f>
        <v/>
      </c>
      <c r="BG20" s="164">
        <f>IFERROR(VLOOKUP($BD20,'DADOS_CRIACAO'!$H$2:$K$20,4,FALSE),0)</f>
        <v/>
      </c>
      <c r="BH20" s="164" t="n">
        <v>0</v>
      </c>
      <c r="BI20" s="164">
        <f>IF($BG20=1,"",$BC20)</f>
        <v/>
      </c>
      <c r="BJ20" s="164">
        <f>IF(AND($BE20=1,$BG20=0),$BC20,"")</f>
        <v/>
      </c>
      <c r="BK20" s="164" t="n">
        <v>0</v>
      </c>
      <c r="BM20" s="162" t="inlineStr">
        <is>
          <t>Tudo ou Nada</t>
        </is>
      </c>
      <c r="BN20" s="162" t="inlineStr">
        <is>
          <t>Tudo ou Nada</t>
        </is>
      </c>
      <c r="BO20" s="164" t="n">
        <v>1</v>
      </c>
      <c r="BP20" s="164" t="n">
        <v>0</v>
      </c>
      <c r="BQ20" s="162" t="inlineStr">
        <is>
          <t>Tudo ou Nada</t>
        </is>
      </c>
      <c r="BS20" s="162" t="inlineStr">
        <is>
          <t>Talento Próprio (CE 3)</t>
        </is>
      </c>
      <c r="BT20" s="164" t="n">
        <v>3</v>
      </c>
      <c r="BU20" s="162"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BV20" s="164" t="n">
        <v>1</v>
      </c>
      <c r="BW20" s="164" t="n">
        <v>1</v>
      </c>
      <c r="BX20" s="164">
        <f>IF(OR(AND($A$2&lt;=2,$BV20=1),AND($A$2&gt;=2,$BW20=1)),$BS20,"")</f>
        <v/>
      </c>
      <c r="BY20" s="162" t="inlineStr">
        <is>
          <t>Categoria de Efeito 1, 2 ou 3. Custos e níveis da Categoria escolhida. Se o catálogo não representar a ideia, escreva o efeito com o mestre antes da sessão. Ele ocupa os espaços correspondentes e conta no máximo de cinco Talentos pagos.</t>
        </is>
      </c>
      <c r="CD20" s="162" t="inlineStr">
        <is>
          <t>Estímulo Muscular</t>
        </is>
      </c>
      <c r="CE20" s="162" t="inlineStr">
        <is>
          <t>Gratuita na Lapidação 1</t>
        </is>
      </c>
      <c r="CF20" s="162" t="inlineStr">
        <is>
          <t>—</t>
        </is>
      </c>
      <c r="CG20" s="162" t="inlineStr">
        <is>
          <t>Dano adicional</t>
        </is>
      </c>
      <c r="CH20" s="162" t="inlineStr">
        <is>
          <t>Escolha uma perícia e um Teste de Resistência na criação. As escolhas são permanentes. Uma vez por cena, antes de rolar um deles, você pode receber vantagem naquela rolagem. No máximo de Lapidação 10, passa a ter dois usos por cena, compartilhados entre a perícia e o TR escolhidos. A perícia não precisa usar Força ou Destreza. Você pode escolher Ocultismo e TR de Intelecto, por exemplo. A Bênção não fornece treinamento nem muda o atributo utilizado nesses testes. Seus ataques com arma ou desarmados recebem os dados abaixo. Cada ataque válido aplica esse adicional uma vez, do mesmo tipo de dano do golpe. Os dados adicionais não são dobrados por crítico, salvo uma habilidade que permita isso expressamente. O adicional não entra no dano de Katas. Se o mesmo ataque transportar uma Kata de dano de Classe 0 ou maior, use a montagem dela sem acrescentar estes dados. Outro ataque da rodada que não transporte essa Kata continua elegível. Uma manobra que substitui um ataque sem causar dano não recebe o adicional. Empurrar alguém ou agarrá-lo não se transforma num golpe com dados por causa da Bênção.</t>
        </is>
      </c>
      <c r="CI20" s="164">
        <f>IF($CL20=1,"",IF($A$2=4,IF($CJ20=1,$CD20,""),IF(OR($CJ20=1,AND($A$2=3,$CK20=1)),"",$CD20)))</f>
        <v/>
      </c>
      <c r="CJ20" s="164" t="n">
        <v>1</v>
      </c>
      <c r="CK20" s="164" t="n">
        <v>0</v>
      </c>
      <c r="CL20" s="164" t="n">
        <v>1</v>
      </c>
      <c r="CM20" s="162" t="inlineStr">
        <is>
          <t>Escolha uma perícia e um Teste de Resistência na criação.</t>
        </is>
      </c>
      <c r="DY20" s="162" t="inlineStr">
        <is>
          <t>Feitiço 19</t>
        </is>
      </c>
      <c r="DZ20" s="164" t="n">
        <v>0</v>
      </c>
      <c r="EA20" s="164" t="n">
        <v>19</v>
      </c>
      <c r="EB20" s="164">
        <f>MAX(1,MIN(7,N('FICHA AMALDIÇOADA'!$D$192)))</f>
        <v/>
      </c>
      <c r="EC20" s="164">
        <f>'FICHA AMALDIÇOADA'!$E$192&amp;""</f>
        <v/>
      </c>
      <c r="ED20" s="164">
        <f>'FICHA AMALDIÇOADA'!$D$199&amp;""</f>
        <v/>
      </c>
      <c r="EE20" s="164">
        <f>'FICHA AMALDIÇOADA'!$E$201&amp;""</f>
        <v/>
      </c>
      <c r="EF20" s="164">
        <f>'FICHA AMALDIÇOADA'!$E$202&amp;""</f>
        <v/>
      </c>
      <c r="EG20" s="164">
        <f>'FICHA AMALDIÇOADA'!$E$203&amp;""</f>
        <v/>
      </c>
      <c r="EH20" s="164">
        <f>'FICHA AMALDIÇOADA'!$E$204&amp;""</f>
        <v/>
      </c>
      <c r="EI20" s="164">
        <f>'FICHA AMALDIÇOADA'!$E$205&amp;""</f>
        <v/>
      </c>
      <c r="EJ20" s="164">
        <f>'FICHA AMALDIÇOADA'!$E$206&amp;""</f>
        <v/>
      </c>
      <c r="EK20" s="164">
        <f>IF($EC20&lt;&gt;"",1,0)</f>
        <v/>
      </c>
      <c r="EL20" s="164">
        <f>IFERROR(MATCH(SUBSTITUTE(SUBSTITUTE(SUBSTITUTE($ED20,"~","~~"),"*","~*"),"?","~?"),'DADOS_FORMAS'!$FJ$2:$FJ$21,0),0)</f>
        <v/>
      </c>
      <c r="EM20" s="164">
        <f>IF($EL20=0,0,INDEX('DADOS_FORMAS'!$FM$2:$FM$21,$EL20))</f>
        <v/>
      </c>
      <c r="EN20" s="164">
        <f>IFERROR(VLOOKUP(SUBSTITUTE(SUBSTITUTE(SUBSTITUTE($EE20,"~","~~"),"*","~*"),"?","~?"),'DADOS_MELHORIAS'!$O$2:$W$113,4,FALSE),0)</f>
        <v/>
      </c>
      <c r="EO20" s="164">
        <f>IFERROR(VLOOKUP(SUBSTITUTE(SUBSTITUTE(SUBSTITUTE($EF20,"~","~~"),"*","~*"),"?","~?"),'DADOS_MELHORIAS'!$O$2:$W$113,4,FALSE),0)</f>
        <v/>
      </c>
      <c r="EP20" s="164">
        <f>IFERROR(VLOOKUP(SUBSTITUTE(SUBSTITUTE(SUBSTITUTE($EG20,"~","~~"),"*","~*"),"?","~?"),'DADOS_MELHORIAS'!$O$2:$W$113,4,FALSE),0)</f>
        <v/>
      </c>
      <c r="EQ20" s="164">
        <f>IFERROR(VLOOKUP(SUBSTITUTE(SUBSTITUTE(SUBSTITUTE($EH20,"~","~~"),"*","~*"),"?","~?"),'DADOS_MELHORIAS'!$O$2:$W$113,4,FALSE),0)</f>
        <v/>
      </c>
      <c r="ER20" s="164">
        <f>IF($EL20=0,0,INDEX('DADOS_FORMAS'!$FN$2:$FN$21,$EL20))</f>
        <v/>
      </c>
      <c r="ES20" s="164">
        <f>IFERROR(VLOOKUP(SUBSTITUTE(SUBSTITUTE(SUBSTITUTE($EE20,"~","~~"),"*","~*"),"?","~?"),'DADOS_MELHORIAS'!$O$2:$W$113,5,FALSE),0)</f>
        <v/>
      </c>
      <c r="ET20" s="164">
        <f>IFERROR(VLOOKUP(SUBSTITUTE(SUBSTITUTE(SUBSTITUTE($EF20,"~","~~"),"*","~*"),"?","~?"),'DADOS_MELHORIAS'!$O$2:$W$113,5,FALSE),0)</f>
        <v/>
      </c>
      <c r="EU20" s="164">
        <f>IFERROR(VLOOKUP(SUBSTITUTE(SUBSTITUTE(SUBSTITUTE($EG20,"~","~~"),"*","~*"),"?","~?"),'DADOS_MELHORIAS'!$O$2:$W$113,5,FALSE),0)</f>
        <v/>
      </c>
      <c r="EV20" s="164">
        <f>IFERROR(VLOOKUP(SUBSTITUTE(SUBSTITUTE(SUBSTITUTE($EH20,"~","~~"),"*","~*"),"?","~?"),'DADOS_MELHORIAS'!$O$2:$W$113,5,FALSE),0)</f>
        <v/>
      </c>
      <c r="EW20" s="164">
        <f>IFERROR(VLOOKUP(SUBSTITUTE(SUBSTITUTE(SUBSTITUTE($EE20,"~","~~"),"*","~*"),"?","~?"),'DADOS_MELHORIAS'!$O$2:$W$113,6,FALSE),0)+IFERROR(VLOOKUP(SUBSTITUTE(SUBSTITUTE(SUBSTITUTE($EF20,"~","~~"),"*","~*"),"?","~?"),'DADOS_MELHORIAS'!$O$2:$W$113,6,FALSE),0)+IFERROR(VLOOKUP(SUBSTITUTE(SUBSTITUTE(SUBSTITUTE($EG20,"~","~~"),"*","~*"),"?","~?"),'DADOS_MELHORIAS'!$O$2:$W$113,6,FALSE),0)+IFERROR(VLOOKUP(SUBSTITUTE(SUBSTITUTE(SUBSTITUTE($EH20,"~","~~"),"*","~*"),"?","~?"),'DADOS_MELHORIAS'!$O$2:$W$113,6,FALSE),0)</f>
        <v/>
      </c>
      <c r="EX20" s="164">
        <f>IFERROR(VLOOKUP(SUBSTITUTE(SUBSTITUTE(SUBSTITUTE($EE20,"~","~~"),"*","~*"),"?","~?"),'DADOS_MELHORIAS'!$O$2:$W$113,9,FALSE),0)+IFERROR(VLOOKUP(SUBSTITUTE(SUBSTITUTE(SUBSTITUTE($EF20,"~","~~"),"*","~*"),"?","~?"),'DADOS_MELHORIAS'!$O$2:$W$113,9,FALSE),0)+IFERROR(VLOOKUP(SUBSTITUTE(SUBSTITUTE(SUBSTITUTE($EG20,"~","~~"),"*","~*"),"?","~?"),'DADOS_MELHORIAS'!$O$2:$W$113,9,FALSE),0)+IFERROR(VLOOKUP(SUBSTITUTE(SUBSTITUTE(SUBSTITUTE($EH20,"~","~~"),"*","~*"),"?","~?"),'DADOS_MELHORIAS'!$O$2:$W$113,9,FALSE),0)</f>
        <v/>
      </c>
      <c r="EY20" s="164">
        <f>IF($EL20=0,0,INDEX('DADOS_FORMAS'!$FO$2:$FO$21,$EL20))</f>
        <v/>
      </c>
      <c r="EZ20" s="164">
        <f>IF($EL20=0,0,INDEX('DADOS_FORMAS'!$FP$2:$FP$21,$EL20))</f>
        <v/>
      </c>
      <c r="FA20" s="164">
        <f>IF($EL20=0,0,INDEX('DADOS_FORMAS'!$FR$2:$FR$21,$EL20))</f>
        <v/>
      </c>
      <c r="FB20" s="164">
        <f>IFERROR(VLOOKUP(SUBSTITUTE(SUBSTITUTE(SUBSTITUTE($EI20,"~","~~"),"*","~*"),"?","~?"),'DADOS_RESTRICOES'!$M$2:$Q$54,3,FALSE),0)</f>
        <v/>
      </c>
      <c r="FC20" s="164">
        <f>IFERROR(VLOOKUP(SUBSTITUTE(SUBSTITUTE(SUBSTITUTE($EJ20,"~","~~"),"*","~*"),"?","~?"),'DADOS_RESTRICOES'!$M$2:$Q$54,3,FALSE),0)</f>
        <v/>
      </c>
      <c r="FD20" s="164">
        <f>IFERROR(VLOOKUP(SUBSTITUTE(SUBSTITUTE(SUBSTITUTE($EI20,"~","~~"),"*","~*"),"?","~?"),'DADOS_RESTRICOES'!$M$2:$Q$54,2,FALSE),"")</f>
        <v/>
      </c>
      <c r="FE20" s="164">
        <f>IFERROR(VLOOKUP(SUBSTITUTE(SUBSTITUTE(SUBSTITUTE($EJ20,"~","~~"),"*","~*"),"?","~?"),'DADOS_RESTRICOES'!$M$2:$Q$54,2,FALSE),"")</f>
        <v/>
      </c>
      <c r="FF20" s="164">
        <f>COUNTIF($EM20:$EQ20,1)</f>
        <v/>
      </c>
      <c r="FG20" s="164">
        <f>COUNTIF($EM20:$EQ20,2)</f>
        <v/>
      </c>
      <c r="FH20" s="164">
        <f>COUNTIF($EM20:$EQ20,3)</f>
        <v/>
      </c>
      <c r="FI20" s="164">
        <f>COUNTIF($EM20:$EQ20,4)</f>
        <v/>
      </c>
      <c r="FJ20" s="164">
        <f>COUNTIF($EM20:$EQ20,5)</f>
        <v/>
      </c>
      <c r="FK20" s="164">
        <f>COUNTIF($EM20:$EQ20,6)</f>
        <v/>
      </c>
      <c r="FL20" s="164">
        <f>COUNTIF($FB20:$FC20,1)+IF(IFERROR(INDEX('DADOS_FORMAS'!$AS$2:$AS$21,MATCH(SUBSTITUTE(SUBSTITUTE(SUBSTITUTE($ED20,"~","~~"),"*","~*"),"?","~?"),'DADOS_FORMAS'!$AH$2:$AH$21,0)),"")="",0,IFERROR(N(VLOOKUP(SUBSTITUTE(SUBSTITUTE(SUBSTITUTE(IFERROR(INDEX('DADOS_FORMAS'!$AS$2:$AS$21,MATCH(SUBSTITUTE(SUBSTITUTE(SUBSTITUTE($ED20,"~","~~"),"*","~*"),"?","~?"),'DADOS_FORMAS'!$AH$2:$AH$21,0)),""),"~","~~"),"*","~*"),"?","~?"),'DADOS_RESTRICOES'!$M$2:$Q$54,3,FALSE)=1),0))</f>
        <v/>
      </c>
      <c r="FM20" s="164">
        <f>COUNTIF($FB20:$FC20,2)+IF(IFERROR(INDEX('DADOS_FORMAS'!$AS$2:$AS$21,MATCH(SUBSTITUTE(SUBSTITUTE(SUBSTITUTE($ED20,"~","~~"),"*","~*"),"?","~?"),'DADOS_FORMAS'!$AH$2:$AH$21,0)),"")="",0,IFERROR(N(VLOOKUP(SUBSTITUTE(SUBSTITUTE(SUBSTITUTE(IFERROR(INDEX('DADOS_FORMAS'!$AS$2:$AS$21,MATCH(SUBSTITUTE(SUBSTITUTE(SUBSTITUTE($ED20,"~","~~"),"*","~*"),"?","~?"),'DADOS_FORMAS'!$AH$2:$AH$21,0)),""),"~","~~"),"*","~*"),"?","~?"),'DADOS_RESTRICOES'!$M$2:$Q$54,3,FALSE)=2),0))</f>
        <v/>
      </c>
      <c r="FN20" s="164">
        <f>COUNTIF($EE20:$EH20,"?*")</f>
        <v/>
      </c>
      <c r="FO20" s="164">
        <f>COUNTIF($EI20:$EJ20,"?*")+$EY20</f>
        <v/>
      </c>
      <c r="FP20" s="164">
        <f>SUMPRODUCT($FF20:$FK20,INDEX($Q$2:$V$8,$EB20,0))</f>
        <v/>
      </c>
      <c r="FQ20" s="164">
        <f>$FL20*CEILING($EB20/2,1)+$FM20*$EB20</f>
        <v/>
      </c>
      <c r="FR20" s="164">
        <f>MIN(2*$EB20,$FQ20)</f>
        <v/>
      </c>
      <c r="FS20" s="164">
        <f>MIN($FR20,$FP20-IF($EM20=0,0,INDEX($Q$2:$V$8,$EB20,$EM20)))</f>
        <v/>
      </c>
      <c r="FT20" s="164">
        <f>$FR20-$FS20</f>
        <v/>
      </c>
      <c r="FU20" s="164">
        <f>3*$EB20-$FP20+$FS20</f>
        <v/>
      </c>
      <c r="FV20" s="164">
        <f>MAX(0,$FU20)+$DZ20*$EB20</f>
        <v/>
      </c>
      <c r="FW20" s="164">
        <f>(IF(COUNTIF($KW20:$KZ20,"Salto")&gt;0,1,0)+IF(COUNTIF($KW20:$KZ20,"Queima")&gt;0,1,0)+IF(COUNTIF($KW20:$KZ20,"Estilhaço")&gt;0,1,0))*FLOOR($FV20/2,1)</f>
        <v/>
      </c>
      <c r="FX20" s="164">
        <f>MAX(0,3-SUMPRODUCT($FF20:$FK20,$Q$2:$V$2)+MIN(2,$FL20*1+$FM20*1,SUMPRODUCT($FF20:$FK20,$Q$2:$V$2)-IF($EM20=0,0,INDEX($Q$2:$V$2,1,$EM20))))+$DZ20*1</f>
        <v/>
      </c>
      <c r="FY20" s="164">
        <f>MAX(0,6-SUMPRODUCT($FF20:$FK20,$Q$3:$V$3)+MIN(4,$FL20*1+$FM20*2,SUMPRODUCT($FF20:$FK20,$Q$3:$V$3)-IF($EM20=0,0,INDEX($Q$3:$V$3,1,$EM20))))+$DZ20*2</f>
        <v/>
      </c>
      <c r="FZ20" s="164">
        <f>MAX(0,9-SUMPRODUCT($FF20:$FK20,$Q$4:$V$4)+MIN(6,$FL20*2+$FM20*3,SUMPRODUCT($FF20:$FK20,$Q$4:$V$4)-IF($EM20=0,0,INDEX($Q$4:$V$4,1,$EM20))))+$DZ20*3</f>
        <v/>
      </c>
      <c r="GA20" s="164">
        <f>MAX(0,12-SUMPRODUCT($FF20:$FK20,$Q$5:$V$5)+MIN(8,$FL20*2+$FM20*4,SUMPRODUCT($FF20:$FK20,$Q$5:$V$5)-IF($EM20=0,0,INDEX($Q$5:$V$5,1,$EM20))))+$DZ20*4</f>
        <v/>
      </c>
      <c r="GB20" s="164">
        <f>MAX(0,15-SUMPRODUCT($FF20:$FK20,$Q$6:$V$6)+MIN(10,$FL20*3+$FM20*5,SUMPRODUCT($FF20:$FK20,$Q$6:$V$6)-IF($EM20=0,0,INDEX($Q$6:$V$6,1,$EM20))))+$DZ20*5</f>
        <v/>
      </c>
      <c r="GC20" s="164">
        <f>MAX(0,18-SUMPRODUCT($FF20:$FK20,$Q$7:$V$7)+MIN(12,$FL20*3+$FM20*6,SUMPRODUCT($FF20:$FK20,$Q$7:$V$7)-IF($EM20=0,0,INDEX($Q$7:$V$7,1,$EM20))))+$DZ20*6</f>
        <v/>
      </c>
      <c r="GD20" s="164">
        <f>MAX(0,21-SUMPRODUCT($FF20:$FK20,$Q$8:$V$8)+MIN(14,$FL20*4+$FM20*7,SUMPRODUCT($FF20:$FK20,$Q$8:$V$8)-IF($EM20=0,0,INDEX($Q$8:$V$8,1,$EM20))))+$DZ20*7</f>
        <v/>
      </c>
      <c r="GE20" s="164">
        <f>IF($EZ20=2,3*$FX20&amp;" de vida temp.",IF($EZ20=3,"sem dano",IF($FX20=0,IF($EZ20=1,"sem cura","sem dano"),IF($EZ20=1,"cura ","")&amp;$FX20&amp;"d8")))</f>
        <v/>
      </c>
      <c r="GF20" s="164">
        <f>IF($EZ20=2,3*$FY20&amp;" de vida temp.",IF($EZ20=3,"sem dano",IF($FY20=0,IF($EZ20=1,"sem cura","sem dano"),IF($EZ20=1,"cura ","")&amp;$FY20&amp;"d8")))</f>
        <v/>
      </c>
      <c r="GG20" s="164">
        <f>IF($EZ20=2,3*$FZ20&amp;" de vida temp.",IF($EZ20=3,"sem dano",IF($FZ20=0,IF($EZ20=1,"sem cura","sem dano"),IF($EZ20=1,"cura ","")&amp;$FZ20&amp;"d8")))</f>
        <v/>
      </c>
      <c r="GH20" s="164">
        <f>IF($EZ20=2,3*$GA20&amp;" de vida temp.",IF($EZ20=3,"sem dano",IF($GA20=0,IF($EZ20=1,"sem cura","sem dano"),IF($EZ20=1,"cura ","")&amp;$GA20&amp;"d8")))</f>
        <v/>
      </c>
      <c r="GI20" s="164">
        <f>IF($EZ20=2,3*$GB20&amp;" de vida temp.",IF($EZ20=3,"sem dano",IF($GB20=0,IF($EZ20=1,"sem cura","sem dano"),IF($EZ20=1,"cura ","")&amp;$GB20&amp;"d8")))</f>
        <v/>
      </c>
      <c r="GJ20" s="164">
        <f>IF($EZ20=2,3*$GC20&amp;" de vida temp.",IF($EZ20=3,"sem dano",IF($GC20=0,IF($EZ20=1,"sem cura","sem dano"),IF($EZ20=1,"cura ","")&amp;$GC20&amp;"d8")))</f>
        <v/>
      </c>
      <c r="GK20" s="164">
        <f>IF($EZ20=2,3*$GD20&amp;" de vida temp.",IF($EZ20=3,"sem dano",IF($GD20=0,IF($EZ20=1,"sem cura","sem dano"),IF($EZ20=1,"cura ","")&amp;$GD20&amp;"d8")))</f>
        <v/>
      </c>
      <c r="GL20" s="164">
        <f>IF($EK20=0,"",TEXTJOIN(" · ",TRUE,IF($EK20=0,"",TEXTJOIN(" · ",TRUE,IF($EK20=0,"",TEXTJOIN(" · ",TRUE,IF(AND($DZ20=1,$EA20&gt;$HM$9),"O nível "&amp;$HM$2&amp;" dá "&amp;$HM$9&amp;" Liberação Máxima",""),IF($EB20&gt;$HM$4,"Classe "&amp;$EB20&amp;": o nível "&amp;$HM$2&amp;" libera até a "&amp;$HM$4,""),IF($ER20=1,"Família Fechada: a Forma "&amp;$ED20,""),IF($ES20=1,"Família Fechada: "&amp;$EE20,""),IF($ET20=1,"Família Fechada: "&amp;$EF20,""),IF($EU20=1,"Família Fechada: "&amp;$EG20,""),IF($EV20=1,"Família Fechada: "&amp;$EH20,""),IF($FN20&gt;INDEX($W$2:$W$8,$EB20),$FN20&amp;" Melhorias: a Classe "&amp;$EB20&amp;" aceita "&amp;INDEX($W$2:$W$8,$EB20),""),IF($FO20&gt;2,$FO20&amp;" Restrições"&amp;IF($EY20=1,", contando a que a Forma "&amp;$ED20&amp;" já traz","")&amp;": o limite é 2",""),IF($FU20&lt;0,"Orçamento estourado: faltam "&amp;(-$FU20)&amp;IF($FU20&lt;-1," pontos"," ponto"),""),IF(IFERROR(VLOOKUP(SUBSTITUTE(SUBSTITUTE(SUBSTITUTE($EI20,"~","~~"),"*","~*"),"?","~?"),'DADOS_RESTRICOES'!$M$2:$Q$54,4,FALSE),0)+IFERROR(VLOOKUP(SUBSTITUTE(SUBSTITUTE(SUBSTITUTE($EJ20,"~","~~"),"*","~*"),"?","~?"),'DADOS_RESTRICOES'!$M$2:$Q$54,4,FALSE),0)&gt;1,$FD20&amp;" e "&amp;$FE20&amp;" são as duas de frequência",""),IF(AND((COUNTIF($KW20:$KZ20,"Rápido")+COUNTIF($FD20:$FE20,"Rápido"))&gt;0,(COUNTIF($EE20:$EH20,"Atrasar")+COUNTIF($FD20:$FE20,"Atrasar"))&gt;0),"Rápido não entra com Atrasar",""),IF(AND((COUNTIF($KW20:$KZ20,"Reação")+COUNTIF($FD20:$FE20,"Reação"))&gt;0,(COUNTIF($KW20:$KZ20,"Rápido")+COUNTIF($FD20:$FE20,"Rápido"))&gt;0),"Reação não entra com Rápido",""),IF(AND((COUNTIF($KW20:$KZ20,"Reação")+COUNTIF($FD20:$FE20,"Reação"))&gt;0,(COUNTIF($KW20:$KZ20,"Armado")+COUNTIF($FD20:$FE20,"Armado"))&gt;0),"Reação não entra com Armado",""),IF(AND((COUNTIF($KW20:$KZ20,"Reação")+COUNTIF($FD20:$FE20,"Reação"))&gt;0,(COUNTIF($EE20:$EH20,"Atrasar")+COUNTIF($FD20:$FE20,"Atrasar"))&gt;0),"Reação não entra com Atrasar",""),IF(AND((COUNTIF($KW20:$KZ20,"Reação")+COUNTIF($FD20:$FE20,"Reação"))&gt;0,(COUNTIF($EE20:$EH20,"Parado")+COUNTIF($FD20:$FE20,"Parado"))&gt;0),"Reação não entra com Parado",""),IF(AND((COUNTIF($EE20:$EH20,"Atrasar")+COUNTIF($FD20:$FE20,"Atrasar"))&gt;0,(COUNTIF($EE20:$EH20,"Parado")+COUNTIF($FD20:$FE20,"Parado"))&gt;0),"Atrasar não entra com Parado",""),IF(AND((COUNTIF($KW20:$KZ20,"Armado")+COUNTIF($FD20:$FE20,"Armado"))&gt;0,(COUNTIF($EE20:$EH20,"Carregar")+COUNTIF($FD20:$FE20,"Carregar"))&gt;0),"Armado não entra com Carregar",""),IF(AND(COUNTIF($FD20:$FE20,"Corpo a Corpo")&gt;0,$EY20=0,OR($LB20="Cone",$LB20="Linha")),"Corpo a Corpo não entra em "&amp;$ED20,""),IF(AND(COUNTIF($FD20:$FE20,"Corpo a Corpo")&gt;0,$LC20="Corpo a Corpo"),"A Forma "&amp;$ED20&amp;" já traz o Corpo a Corpo",""),IF(AND(COUNTIF($FD20:$FE20,"Tudo ou Nada")&gt;0,$FA20=0),"Tudo ou Nada só entra em feitiço de Teste de Resistência",""),IF(AND(COUNTIF($KW20:$KZ20,"Inescapável")&gt;0,OR($FN20&gt;1,$FO20&gt;0)),"Inescapável não aceita outra peça",""),IF(AND($DZ20=1,$EB20&lt;3),"Liberação Máxima é de Classe 3 ou mais",""),IF(AND($DZ20=1,OR($EZ20=1,$EZ20=2)),"Liberação Máxima não serve para cura",""),IF(AND($DZ20=1,COUNTIF($KW20:$KZ20,"Inescapável")+COUNTIF($KW20:$KZ20,"Toca a Alma")&gt;0),"Esta peça não entra numa Liberação Máxima",""),IF($FV20*IF(COUNTIF($KW20:$KZ20,"Remate")&gt;0,1.25,1)+$FW20&gt;4*$EB20,($FV20*IF(COUNTIF($KW20:$KZ20,"Remate")&gt;0,1.25,1)+$FW20)&amp;" dados somando repetições"&amp;IF(COUNTIF($KW20:$KZ20,"Remate")&gt;0," e o Remate","")&amp;": o teto da Classe "&amp;$EB20&amp;" é "&amp;4*$EB20,""))),IF(AND($EE20&lt;&gt;"",COUNTIF('DADOS_MELHORIAS'!$O$2:$O$113,SUBSTITUTE(SUBSTITUTE(SUBSTITUTE($EE20,"~","~~"),"*","~*"),"?","~?"))=0),"Melhoria não cadastrada ou com erro: "&amp;$EE20,""),IF(AND($EF20&lt;&gt;"",COUNTIF('DADOS_MELHORIAS'!$O$2:$O$113,SUBSTITUTE(SUBSTITUTE(SUBSTITUTE($EF20,"~","~~"),"*","~*"),"?","~?"))=0),"Melhoria não cadastrada ou com erro: "&amp;$EF20,""),IF(AND($EG20&lt;&gt;"",COUNTIF('DADOS_MELHORIAS'!$O$2:$O$113,SUBSTITUTE(SUBSTITUTE(SUBSTITUTE($EG20,"~","~~"),"*","~*"),"?","~?"))=0),"Melhoria não cadastrada ou com erro: "&amp;$EG20,""),IF(AND($EH20&lt;&gt;"",COUNTIF('DADOS_MELHORIAS'!$O$2:$O$113,SUBSTITUTE(SUBSTITUTE(SUBSTITUTE($EH20,"~","~~"),"*","~*"),"?","~?"))=0),"Melhoria não cadastrada ou com erro: "&amp;$EH20,""),IF(AND($EI20&lt;&gt;"",COUNTIF('DADOS_RESTRICOES'!$M$2:$M$54,SUBSTITUTE(SUBSTITUTE(SUBSTITUTE($EI20,"~","~~"),"*","~*"),"?","~?"))=0),"Restrição não cadastrada ou com erro: "&amp;$EI20,""),IF(AND($EJ20&lt;&gt;"",COUNTIF('DADOS_RESTRICOES'!$M$2:$M$54,SUBSTITUTE(SUBSTITUTE(SUBSTITUTE($EJ20,"~","~~"),"*","~*"),"?","~?"))=0),"Restrição não cadastrada ou com erro: "&amp;$EJ20,""))),IF(AND($ED20&lt;&gt;"",COUNTIF('DADOS_FORMAS'!$AH$2:$AH$21,SUBSTITUTE(SUBSTITUTE(SUBSTITUTE($ED20,"~","~~"),"*","~*"),"?","~?"))=0),"Forma não cadastrada ou com erro: "&amp;$ED20,""),IF(AND(IFERROR(INDEX('DADOS_FORMAS'!$AS$2:$AS$21,MATCH(SUBSTITUTE(SUBSTITUTE(SUBSTITUTE($ED20,"~","~~"),"*","~*"),"?","~?"),'DADOS_FORMAS'!$AH$2:$AH$21,0)),"")&lt;&gt;"",OR(IFERROR(VLOOKUP(SUBSTITUTE(SUBSTITUTE(SUBSTITUTE(IFERROR(INDEX('DADOS_FORMAS'!$AS$2:$AS$21,MATCH(SUBSTITUTE(SUBSTITUTE(SUBSTITUTE($ED20,"~","~~"),"*","~*"),"?","~?"),'DADOS_FORMAS'!$AH$2:$AH$21,0)),""),"~","~~"),"*","~*"),"?","~?"),'DADOS_RESTRICOES'!$M$2:$Q$54,2,FALSE),"")=$FD20,IFERROR(VLOOKUP(SUBSTITUTE(SUBSTITUTE(SUBSTITUTE(IFERROR(INDEX('DADOS_FORMAS'!$AS$2:$AS$21,MATCH(SUBSTITUTE(SUBSTITUTE(SUBSTITUTE($ED20,"~","~~"),"*","~*"),"?","~?"),'DADOS_FORMAS'!$AH$2:$AH$21,0)),""),"~","~~"),"*","~*"),"?","~?"),'DADOS_RESTRICOES'!$M$2:$Q$54,2,FALSE),"")=$FE20)),"Restrição repetida, contando a embutida",""),IF(IF(IFERROR(INDEX('DADOS_FORMAS'!$AS$2:$AS$21,MATCH(SUBSTITUTE(SUBSTITUTE(SUBSTITUTE($ED20,"~","~~"),"*","~*"),"?","~?"),'DADOS_FORMAS'!$AH$2:$AH$21,0)),"")="",0,IFERROR(N(VLOOKUP(SUBSTITUTE(SUBSTITUTE(SUBSTITUTE(IFERROR(INDEX('DADOS_FORMAS'!$AS$2:$AS$21,MATCH(SUBSTITUTE(SUBSTITUTE(SUBSTITUTE($ED20,"~","~~"),"*","~*"),"?","~?"),'DADOS_FORMAS'!$AH$2:$AH$21,0)),""),"~","~~"),"*","~*"),"?","~?"),'DADOS_RESTRICOES'!$M$2:$Q$54,4,FALSE)=1),0))+IF($EI20="",0,IFERROR(N(VLOOKUP(SUBSTITUTE(SUBSTITUTE(SUBSTITUTE($EI20,"~","~~"),"*","~*"),"?","~?"),'DADOS_RESTRICOES'!$M$2:$Q$54,4,FALSE)=1),0))+IF($EJ20="",0,IFERROR(N(VLOOKUP(SUBSTITUTE(SUBSTITUTE(SUBSTITUTE($EJ20,"~","~~"),"*","~*"),"?","~?"),'DADOS_RESTRICOES'!$M$2:$Q$54,4,FALSE)=1),0))&gt;1,"Duas Restrições de frequência, contando a embutida",""),IF(AND(IFERROR(VLOOKUP(SUBSTITUTE(SUBSTITUTE(SUBSTITUTE(IFERROR(INDEX('DADOS_FORMAS'!$AS$2:$AS$21,MATCH(SUBSTITUTE(SUBSTITUTE(SUBSTITUTE($ED20,"~","~~"),"*","~*"),"?","~?"),'DADOS_FORMAS'!$AH$2:$AH$21,0)),""),"~","~~"),"*","~*"),"?","~?"),'DADOS_RESTRICOES'!$M$2:$Q$54,2,FALSE),"")="Tudo ou Nada",$FA20=0),"Tudo ou Nada exige TR",""),IF(AND(IFERROR(VLOOKUP(SUBSTITUTE(SUBSTITUTE(SUBSTITUTE(IFERROR(INDEX('DADOS_FORMAS'!$AS$2:$AS$21,MATCH(SUBSTITUTE(SUBSTITUTE(SUBSTITUTE($ED20,"~","~~"),"*","~*"),"?","~?"),'DADOS_FORMAS'!$AH$2:$AH$21,0)),""),"~","~~"),"*","~*"),"?","~?"),'DADOS_RESTRICOES'!$M$2:$Q$54,2,FALSE),"")="Corpo a Corpo",OR($LB20="Cone",$LB20="Linha")),"Corpo a Corpo não entra em Cone/Linha","")))</f>
        <v/>
      </c>
      <c r="GM20" s="164">
        <f>IF($GL20="",0,(LEN($GL20)-LEN(SUBSTITUTE($GL20," · ","")))/3+1)</f>
        <v/>
      </c>
      <c r="GN20" s="164">
        <f>IF($EK20=0,"",TEXTJOIN(" · ",TRUE,IF($FQ20&gt;2*$EB20,"A devolução parou no teto de "&amp;2*$EB20,""),IF($FT20&gt;0,"Devolução perdida: "&amp;$FT20&amp;IF($FT20&gt;1," pontos"," ponto")&amp;" sem Melhoria para pagar",""),IF(AND($EW20&gt;0,$FV20=0),"Controle sem dano: uma rodada a mais e CD +2",""),IF(AND($EW20&gt;0,$FV20&gt;0,$FV20&lt;=$EB20),"Controle com saldo até a Classe: uma rodada a mais","")))</f>
        <v/>
      </c>
      <c r="GO20" s="164">
        <f>IF($GN20="",0,(LEN($GN20)-LEN(SUBSTITUTE($GN20," · ","")))/3+1)</f>
        <v/>
      </c>
      <c r="GP20" s="164">
        <f>IF($EK20=0,IF($FN20+$FO20-$EY20&gt;0,"Dê um nome",""),IF($GM20&gt;0,"⚠ "&amp;$GM20&amp;IF($GM20&gt;1," erros"," erro"),IF($GO20&gt;0,"! "&amp;$GO20&amp;IF($GO20&gt;1," avisos"," aviso"),"Na regra")))</f>
        <v/>
      </c>
      <c r="GQ20" s="164">
        <f>IF($EK20=0,"",IF($GM20+$GO20=0,"Dentro das regras que a ficha confere",$GL20&amp;IF(AND($GM20&gt;0,$GO20&gt;0)," · ","")&amp;$GN20))</f>
        <v/>
      </c>
      <c r="GR20" s="164">
        <f>IF($EK20=0,"",IF($DZ20=1,CEILING(4.5*$EB20,1),3*$EB20)&amp;" PE")</f>
        <v/>
      </c>
      <c r="GS20" s="164">
        <f>IF($EK20=0,"",IF($DZ20=1,"Rodada inteira",IF(COUNTIF($LD20:$LF20,"Atrasar")&gt;0,IF(COUNTIF($LD20:$LF20,"Carregar")&gt;0,"Rodada +1 turno","Rodada inteira"),IF(COUNTIF($KW20:$KZ20,"Rápido")&gt;0,"Bônus",IF(COUNTIF($KW20:$KZ20,"Reação")&gt;0,"Reação","Padrão"))&amp;IF(COUNTIF($LD20:$LF20,"Carregar")&gt;0," +1 turno",""))))</f>
        <v/>
      </c>
      <c r="GT20" s="164">
        <f>IF(OR($EK20=0,$EL20=0),"",IF(COUNTIF($KW20:$KZ20,"Inescapável")&gt;0,"Automático",IF(COUNTIF($KW20:$KZ20,"Certeiro")&gt;0,"TR para metade",IF(AND($EX20&gt;0,$FA20=0,INDEX('DADOS_FORMAS'!$FQ$2:$FQ$21,$EL20)="Acerto"),"Acerto + TR",INDEX('DADOS_FORMAS'!$FQ$2:$FQ$21,$EL20)))))</f>
        <v/>
      </c>
      <c r="GU20" s="164">
        <f>IF(OR($EK20=0,$EL20=0),"",IF(OR($EZ20&gt;=2,$FV20=0),UPPER(LEFT(INDEX($GE20:$GK20,1,$EB20),1))&amp;MID(INDEX($GE20:$GK20,1,$EB20),2,99),UPPER(LEFT(INDEX($GE20:$GK20,1,$EB20),1))&amp;MID(INDEX($GE20:$GK20,1,$EB20),2,99)&amp;" = "&amp;FLOOR($FV20*4.5,1)&amp;IF($FW20&gt;0," · +"&amp;$FW20&amp;"d8","")))</f>
        <v/>
      </c>
      <c r="GV20" s="164">
        <f>COUNTIF($KW20:$KZ20,"Longe")+3*COUNTIF($KW20:$KZ20,"Muito Longe")</f>
        <v/>
      </c>
      <c r="GW20" s="164">
        <f>COUNTIF($KW20:$KZ20,"Maior")+3*COUNTIF($KW20:$KZ20,"Muito Maior")</f>
        <v/>
      </c>
      <c r="GX20" s="164">
        <f>IF($EL20=0,0,CHOOSE(1+INDEX('DADOS_FORMAS'!$FS$2:$FS$21,$EL20),0,$GV20,$GW20,$GV20+$GW20))</f>
        <v/>
      </c>
      <c r="GY20" s="164">
        <f>IF($EL20=0,0,CHOOSE(1+INDEX('DADOS_FORMAS'!$FT$2:$FT$21,$EL20),0,$GV20,$GW20,$GV20+$GW20))</f>
        <v/>
      </c>
      <c r="GZ20" s="164">
        <f>IF(OR($EK20=0,$EL20=0),"",INDEX('DADOS_FORMAS'!$GZ$2:$HE$61,($EL20-1)*3+IF($EB20&gt;=6,3,2),1+MIN(5,$GX20))&amp;INDEX('DADOS_FORMAS'!$HF$2:$HK$61,($EL20-1)*3+IF($EB20&gt;=6,3,2),1+MIN(5,$GY20))&amp;IF(INDEX('DADOS_FORMAS'!$FU$2:$FU$21,$EL20)=1,IF(COUNTIF($KW20:$KZ20,"Mais Um")&gt;0," · +"&amp;COUNTIF($KW20:$KZ20,"Mais Um")&amp;IF(COUNTIF($KW20:$KZ20,"Mais Um")&gt;1," alvos"," alvo"),"")&amp;IF(COUNTIF($KW20:$KZ20,"Rajada")&gt;0," · "&amp;($EB20+1)&amp;" tiros",""),""))</f>
        <v/>
      </c>
      <c r="HA20" s="164">
        <f>IF($EK20=0,"",3*$EB20&amp;" − "&amp;$FP20&amp;" + "&amp;$FS20&amp;IF($DZ20=1," + "&amp;$EB20,"")&amp;" = "&amp;$FV20&amp;"d8 · teto "&amp;4*$EB20&amp;IF($EY20=1," · a Forma devolve "&amp;$EB20,"")&amp;IF($FT20&gt;0," · perde "&amp;$FT20,""))</f>
        <v/>
      </c>
      <c r="HB20" s="164">
        <f>IF($EK20=0,"",IF($EB20&gt;=$HM$4,"Já está na maior Classe que o nível liberou",TEXTJOIN(" · ",TRUE,IF(AND(2&gt;$EB20,2&lt;=$HM$4),"2 → "&amp;$GF20&amp;", "&amp;IF($DZ20=1,9,6)&amp;" PE",""),IF(AND(3&gt;$EB20,3&lt;=$HM$4),"3 → "&amp;$GG20&amp;", "&amp;IF($DZ20=1,14,9)&amp;" PE",""),IF(AND(4&gt;$EB20,4&lt;=$HM$4),"4 → "&amp;$GH20&amp;", "&amp;IF($DZ20=1,18,12)&amp;" PE",""),IF(AND(5&gt;$EB20,5&lt;=$HM$4),"5 → "&amp;$GI20&amp;", "&amp;IF($DZ20=1,23,15)&amp;" PE",""),IF(AND(6&gt;$EB20,6&lt;=$HM$4),"6 → "&amp;$GJ20&amp;", "&amp;IF($DZ20=1,27,18)&amp;" PE",""),IF(AND(7&gt;$EB20,7&lt;=$HM$4),"7 → "&amp;$GK20&amp;", "&amp;IF($DZ20=1,32,21)&amp;" PE",""))))</f>
        <v/>
      </c>
      <c r="HC20" s="164">
        <f>IF(OR($EK20=0,$EN20=0),"","−"&amp;INDEX($Q$2:$V$8,$EB20,$EN20)&amp;" · "&amp;CHOOSE($EN20,"Leve","Média","Pesada","Leve · Livre","Média · Livre","Pesada · Livre"))</f>
        <v/>
      </c>
      <c r="HD20" s="164">
        <f>IF(OR($EK20=0,$EO20=0),"","−"&amp;INDEX($Q$2:$V$8,$EB20,$EO20)&amp;" · "&amp;CHOOSE($EO20,"Leve","Média","Pesada","Leve · Livre","Média · Livre","Pesada · Livre"))</f>
        <v/>
      </c>
      <c r="HE20" s="164">
        <f>IF(OR($EK20=0,$EP20=0),"","−"&amp;INDEX($Q$2:$V$8,$EB20,$EP20)&amp;" · "&amp;CHOOSE($EP20,"Leve","Média","Pesada","Leve · Livre","Média · Livre","Pesada · Livre"))</f>
        <v/>
      </c>
      <c r="HF20" s="164">
        <f>IF(OR($EK20=0,$EQ20=0),"","−"&amp;INDEX($Q$2:$V$8,$EB20,$EQ20)&amp;" · "&amp;CHOOSE($EQ20,"Leve","Média","Pesada","Leve · Livre","Média · Livre","Pesada · Livre"))</f>
        <v/>
      </c>
      <c r="HG20" s="164">
        <f>IF(OR($EK20=0,$EI20=""),"","+"&amp;IF($FB20=1,CEILING($EB20/2,1),$EB20))</f>
        <v/>
      </c>
      <c r="HH20" s="164">
        <f>IF(OR($EK20=0,$EJ20=""),"","+"&amp;IF($FC20=1,CEILING($EB20/2,1),$EB20))</f>
        <v/>
      </c>
      <c r="HI20" s="164">
        <f>'FICHA AMALDIÇOADA'!$D$194&amp;""</f>
        <v/>
      </c>
      <c r="HJ20" s="164">
        <f>IF(AND($EK20=1,$DZ20=0),COUNTIFS($EK$2:$EK20,1,$DZ$2:$DZ20,0),"")</f>
        <v/>
      </c>
      <c r="HL20" s="162" t="inlineStr">
        <is>
          <t>sem espaço</t>
        </is>
      </c>
      <c r="HM20" s="164">
        <f>IF($HM$17+$HM$18+$HM$19&gt;$HM$13,1,0)</f>
        <v/>
      </c>
      <c r="JH20" s="164" t="n">
        <v>19</v>
      </c>
      <c r="JI20" s="164">
        <f>IFERROR(MATCH(19,$HJ$2:$HJ$37,0),0)</f>
        <v/>
      </c>
      <c r="JJ20" s="164">
        <f>IF($JI20=0,"",INDEX($EB$2:$EB$37,$JI20))</f>
        <v/>
      </c>
      <c r="JK20" s="164">
        <f>IF($JI20=0,"",INDEX($EC$2:$EC$37,$JI20))</f>
        <v/>
      </c>
      <c r="JL20" s="164">
        <f>IF($JI20=0,"",INDEX($GR$2:$GR$37,$JI20))</f>
        <v/>
      </c>
      <c r="JM20" s="164">
        <f>IF($JI20=0,"",INDEX($ED$2:$ED$37,$JI20))</f>
        <v/>
      </c>
      <c r="JN20" s="164">
        <f>IF($JI20=0,"",INDEX($GT$2:$GT$37,$JI20))</f>
        <v/>
      </c>
      <c r="JO20" s="164">
        <f>IF($JI20=0,"",INDEX($HI$2:$HI$37,$JI20))</f>
        <v/>
      </c>
      <c r="KU20" s="162" t="inlineStr">
        <is>
          <t>L54</t>
        </is>
      </c>
      <c r="KV20" s="164">
        <f>"EM "&amp;UPPER(INDEX(DADOS_AM!$D$3:$G$3,1,DADOS_AM!$A$2))</f>
        <v/>
      </c>
      <c r="KW20">
        <f>IF($EE20="","",IFERROR(VLOOKUP(SUBSTITUTE(SUBSTITUTE(SUBSTITUTE($EE20,"~","~~"),"*","~*"),"?","~?"),'DADOS_MELHORIAS'!$O$2:$X$113,10,FALSE),$EE20))</f>
        <v/>
      </c>
      <c r="KX20">
        <f>IF($EF20="","",IFERROR(VLOOKUP(SUBSTITUTE(SUBSTITUTE(SUBSTITUTE($EF20,"~","~~"),"*","~*"),"?","~?"),'DADOS_MELHORIAS'!$O$2:$X$113,10,FALSE),$EF20))</f>
        <v/>
      </c>
      <c r="KY20">
        <f>IF($EG20="","",IFERROR(VLOOKUP(SUBSTITUTE(SUBSTITUTE(SUBSTITUTE($EG20,"~","~~"),"*","~*"),"?","~?"),'DADOS_MELHORIAS'!$O$2:$X$113,10,FALSE),$EG20))</f>
        <v/>
      </c>
      <c r="KZ20">
        <f>IF($EH20="","",IFERROR(VLOOKUP(SUBSTITUTE(SUBSTITUTE(SUBSTITUTE($EH20,"~","~~"),"*","~*"),"?","~?"),'DADOS_MELHORIAS'!$O$2:$X$113,10,FALSE),$EH20))</f>
        <v/>
      </c>
      <c r="LB20">
        <f>IFERROR(INDEX('DADOS_FORMAS'!$BJ$2:$BJ$21,MATCH(SUBSTITUTE(SUBSTITUTE(SUBSTITUTE($ED20,"~","~~"),"*","~*"),"?","~?"),'DADOS_FORMAS'!$AH$2:$AH$21,0)),"")</f>
        <v/>
      </c>
      <c r="LC20">
        <f>IFERROR(VLOOKUP(SUBSTITUTE(SUBSTITUTE(SUBSTITUTE(IFERROR(INDEX('DADOS_FORMAS'!$AS$2:$AS$21,MATCH(SUBSTITUTE(SUBSTITUTE(SUBSTITUTE($ED20,"~","~~"),"*","~*"),"?","~?"),'DADOS_FORMAS'!$AH$2:$AH$21,0)),""),"~","~~"),"*","~*"),"?","~?"),'DADOS_RESTRICOES'!$M$2:$Q$54,2,FALSE),"")</f>
        <v/>
      </c>
      <c r="LD20">
        <f>$FD20</f>
        <v/>
      </c>
      <c r="LE20">
        <f>$FE20</f>
        <v/>
      </c>
      <c r="LF20">
        <f>$LC20</f>
        <v/>
      </c>
    </row>
    <row r="21">
      <c r="AO21" s="162" t="inlineStr">
        <is>
          <t>Cura · classes 1 a 5</t>
        </is>
      </c>
      <c r="AP21" s="162" t="inlineStr">
        <is>
          <t>Um aliado a 9 m</t>
        </is>
      </c>
      <c r="AQ21" s="162" t="inlineStr">
        <is>
          <t>Um aliado a 18 m</t>
        </is>
      </c>
      <c r="AR21" s="162" t="inlineStr">
        <is>
          <t>Um aliado a 36 m</t>
        </is>
      </c>
      <c r="AS21" s="162" t="inlineStr">
        <is>
          <t>Um aliado a 90 m</t>
        </is>
      </c>
      <c r="AT21" s="162" t="inlineStr">
        <is>
          <t>Um aliado a visão a olho nu</t>
        </is>
      </c>
      <c r="AU21" s="162" t="inlineStr">
        <is>
          <t>Um aliado a visão a olho nu</t>
        </is>
      </c>
      <c r="AV21" s="162" t="inlineStr"/>
      <c r="AW21" s="162" t="inlineStr"/>
      <c r="AX21" s="162" t="inlineStr"/>
      <c r="AY21" s="162" t="inlineStr"/>
      <c r="AZ21" s="162" t="inlineStr"/>
      <c r="BA21" s="162" t="inlineStr"/>
      <c r="BC21" s="162" t="inlineStr">
        <is>
          <t>Corrói</t>
        </is>
      </c>
      <c r="BD21" s="162" t="inlineStr">
        <is>
          <t>Mira</t>
        </is>
      </c>
      <c r="BE21" s="164" t="n">
        <v>3</v>
      </c>
      <c r="BF21" s="164">
        <f>$BE21+3*IFERROR(VLOOKUP($BD21,'DADOS_CRIACAO'!$H$2:$K$20,3,FALSE),0)</f>
        <v/>
      </c>
      <c r="BG21" s="164">
        <f>IFERROR(VLOOKUP($BD21,'DADOS_CRIACAO'!$H$2:$K$20,4,FALSE),0)</f>
        <v/>
      </c>
      <c r="BH21" s="164" t="n">
        <v>0</v>
      </c>
      <c r="BI21" s="164">
        <f>IF($BG21=1,"",$BC21)</f>
        <v/>
      </c>
      <c r="BJ21" s="164">
        <f>IF(AND($BE21=1,$BG21=0),$BC21,"")</f>
        <v/>
      </c>
      <c r="BK21" s="164" t="n">
        <v>0</v>
      </c>
      <c r="BM21" s="162" t="inlineStr">
        <is>
          <t>Barulho</t>
        </is>
      </c>
      <c r="BN21" s="162" t="inlineStr">
        <is>
          <t>Barulho</t>
        </is>
      </c>
      <c r="BO21" s="164" t="n">
        <v>1</v>
      </c>
      <c r="BP21" s="164" t="n">
        <v>0</v>
      </c>
      <c r="BQ21" s="162" t="inlineStr">
        <is>
          <t>Barulho</t>
        </is>
      </c>
      <c r="BS21" s="162" t="inlineStr">
        <is>
          <t>Maldição do Inventário</t>
        </is>
      </c>
      <c r="BT21" s="164" t="n">
        <v>1</v>
      </c>
      <c r="BU21" s="162" t="inlineStr">
        <is>
          <t>Uma pequena maldição vinculada ao seu estilo guarda o equipamento entregue a ela. Pode encolher para ser abrigada em seu corpo. Você pode sacar ou guardar até dois itens gratuitamente por turno, em vez de um. Interações adicionais usam a ação normal.</t>
        </is>
      </c>
      <c r="BV21" s="164" t="n">
        <v>0</v>
      </c>
      <c r="BW21" s="164" t="n">
        <v>1</v>
      </c>
      <c r="BX21" s="164">
        <f>IF(OR(AND($A$2&lt;=2,$BV21=1),AND($A$2&gt;=2,$BW21=1)),$BS21,"")</f>
        <v/>
      </c>
      <c r="BY21" s="162" t="inlineStr">
        <is>
          <t>Uma pequena maldição vinculada ao seu estilo guarda o equipamento entregue a ela. Pode encolher para ser abrigada em seu corpo. Você pode sacar ou guardar até dois itens gratuitamente por turno, em vez de um. Interações adicionais usam a ação normal.</t>
        </is>
      </c>
      <c r="CD21" s="162" t="inlineStr">
        <is>
          <t>Ímpeto</t>
        </is>
      </c>
      <c r="CE21" s="162" t="inlineStr">
        <is>
          <t>Lapidação 4 e Destreza 4</t>
        </is>
      </c>
      <c r="CF21" s="164" t="n">
        <v>2</v>
      </c>
      <c r="CG21" s="162" t="inlineStr">
        <is>
          <t>—</t>
        </is>
      </c>
      <c r="CH21" s="162" t="inlineStr">
        <is>
          <t>Como Ação Bônus, mova-se até seu deslocamento sem provocar ataques de oportunidade. Durante esse movimento, você pode percorrer paredes, líquidos e o ar. Ao terminar o movimento sem um apoio que o sustente, você cai. Essa travessia não concede permanência no ar. Carga, terreno e condições que alterem seu deslocamento continuam valendo. Você precisa dispor da Ação Bônus para iniciar cada uso.</t>
        </is>
      </c>
      <c r="CI21" s="164">
        <f>IF($CL21=1,"",IF($A$2=4,IF($CJ21=1,$CD21,""),IF(OR($CJ21=1,AND($A$2=3,$CK21=1)),"",$CD21)))</f>
        <v/>
      </c>
      <c r="CJ21" s="164" t="n">
        <v>1</v>
      </c>
      <c r="CK21" s="164" t="n">
        <v>0</v>
      </c>
      <c r="CL21" s="164" t="n">
        <v>0</v>
      </c>
      <c r="CM21" s="162" t="inlineStr">
        <is>
          <t>Como Ação Bônus, mova-se até seu deslocamento sem provocar ataques de oportunidade.</t>
        </is>
      </c>
      <c r="DY21" s="162" t="inlineStr">
        <is>
          <t>Feitiço 20</t>
        </is>
      </c>
      <c r="DZ21" s="164" t="n">
        <v>0</v>
      </c>
      <c r="EA21" s="164" t="n">
        <v>20</v>
      </c>
      <c r="EB21" s="164">
        <f>MAX(1,MIN(7,N('FICHA AMALDIÇOADA'!$J$192)))</f>
        <v/>
      </c>
      <c r="EC21" s="164">
        <f>'FICHA AMALDIÇOADA'!$K$192&amp;""</f>
        <v/>
      </c>
      <c r="ED21" s="164">
        <f>'FICHA AMALDIÇOADA'!$J$199&amp;""</f>
        <v/>
      </c>
      <c r="EE21" s="164">
        <f>'FICHA AMALDIÇOADA'!$K$201&amp;""</f>
        <v/>
      </c>
      <c r="EF21" s="164">
        <f>'FICHA AMALDIÇOADA'!$K$202&amp;""</f>
        <v/>
      </c>
      <c r="EG21" s="164">
        <f>'FICHA AMALDIÇOADA'!$K$203&amp;""</f>
        <v/>
      </c>
      <c r="EH21" s="164">
        <f>'FICHA AMALDIÇOADA'!$K$204&amp;""</f>
        <v/>
      </c>
      <c r="EI21" s="164">
        <f>'FICHA AMALDIÇOADA'!$K$205&amp;""</f>
        <v/>
      </c>
      <c r="EJ21" s="164">
        <f>'FICHA AMALDIÇOADA'!$K$206&amp;""</f>
        <v/>
      </c>
      <c r="EK21" s="164">
        <f>IF($EC21&lt;&gt;"",1,0)</f>
        <v/>
      </c>
      <c r="EL21" s="164">
        <f>IFERROR(MATCH(SUBSTITUTE(SUBSTITUTE(SUBSTITUTE($ED21,"~","~~"),"*","~*"),"?","~?"),'DADOS_FORMAS'!$FJ$2:$FJ$21,0),0)</f>
        <v/>
      </c>
      <c r="EM21" s="164">
        <f>IF($EL21=0,0,INDEX('DADOS_FORMAS'!$FM$2:$FM$21,$EL21))</f>
        <v/>
      </c>
      <c r="EN21" s="164">
        <f>IFERROR(VLOOKUP(SUBSTITUTE(SUBSTITUTE(SUBSTITUTE($EE21,"~","~~"),"*","~*"),"?","~?"),'DADOS_MELHORIAS'!$O$2:$W$113,4,FALSE),0)</f>
        <v/>
      </c>
      <c r="EO21" s="164">
        <f>IFERROR(VLOOKUP(SUBSTITUTE(SUBSTITUTE(SUBSTITUTE($EF21,"~","~~"),"*","~*"),"?","~?"),'DADOS_MELHORIAS'!$O$2:$W$113,4,FALSE),0)</f>
        <v/>
      </c>
      <c r="EP21" s="164">
        <f>IFERROR(VLOOKUP(SUBSTITUTE(SUBSTITUTE(SUBSTITUTE($EG21,"~","~~"),"*","~*"),"?","~?"),'DADOS_MELHORIAS'!$O$2:$W$113,4,FALSE),0)</f>
        <v/>
      </c>
      <c r="EQ21" s="164">
        <f>IFERROR(VLOOKUP(SUBSTITUTE(SUBSTITUTE(SUBSTITUTE($EH21,"~","~~"),"*","~*"),"?","~?"),'DADOS_MELHORIAS'!$O$2:$W$113,4,FALSE),0)</f>
        <v/>
      </c>
      <c r="ER21" s="164">
        <f>IF($EL21=0,0,INDEX('DADOS_FORMAS'!$FN$2:$FN$21,$EL21))</f>
        <v/>
      </c>
      <c r="ES21" s="164">
        <f>IFERROR(VLOOKUP(SUBSTITUTE(SUBSTITUTE(SUBSTITUTE($EE21,"~","~~"),"*","~*"),"?","~?"),'DADOS_MELHORIAS'!$O$2:$W$113,5,FALSE),0)</f>
        <v/>
      </c>
      <c r="ET21" s="164">
        <f>IFERROR(VLOOKUP(SUBSTITUTE(SUBSTITUTE(SUBSTITUTE($EF21,"~","~~"),"*","~*"),"?","~?"),'DADOS_MELHORIAS'!$O$2:$W$113,5,FALSE),0)</f>
        <v/>
      </c>
      <c r="EU21" s="164">
        <f>IFERROR(VLOOKUP(SUBSTITUTE(SUBSTITUTE(SUBSTITUTE($EG21,"~","~~"),"*","~*"),"?","~?"),'DADOS_MELHORIAS'!$O$2:$W$113,5,FALSE),0)</f>
        <v/>
      </c>
      <c r="EV21" s="164">
        <f>IFERROR(VLOOKUP(SUBSTITUTE(SUBSTITUTE(SUBSTITUTE($EH21,"~","~~"),"*","~*"),"?","~?"),'DADOS_MELHORIAS'!$O$2:$W$113,5,FALSE),0)</f>
        <v/>
      </c>
      <c r="EW21" s="164">
        <f>IFERROR(VLOOKUP(SUBSTITUTE(SUBSTITUTE(SUBSTITUTE($EE21,"~","~~"),"*","~*"),"?","~?"),'DADOS_MELHORIAS'!$O$2:$W$113,6,FALSE),0)+IFERROR(VLOOKUP(SUBSTITUTE(SUBSTITUTE(SUBSTITUTE($EF21,"~","~~"),"*","~*"),"?","~?"),'DADOS_MELHORIAS'!$O$2:$W$113,6,FALSE),0)+IFERROR(VLOOKUP(SUBSTITUTE(SUBSTITUTE(SUBSTITUTE($EG21,"~","~~"),"*","~*"),"?","~?"),'DADOS_MELHORIAS'!$O$2:$W$113,6,FALSE),0)+IFERROR(VLOOKUP(SUBSTITUTE(SUBSTITUTE(SUBSTITUTE($EH21,"~","~~"),"*","~*"),"?","~?"),'DADOS_MELHORIAS'!$O$2:$W$113,6,FALSE),0)</f>
        <v/>
      </c>
      <c r="EX21" s="164">
        <f>IFERROR(VLOOKUP(SUBSTITUTE(SUBSTITUTE(SUBSTITUTE($EE21,"~","~~"),"*","~*"),"?","~?"),'DADOS_MELHORIAS'!$O$2:$W$113,9,FALSE),0)+IFERROR(VLOOKUP(SUBSTITUTE(SUBSTITUTE(SUBSTITUTE($EF21,"~","~~"),"*","~*"),"?","~?"),'DADOS_MELHORIAS'!$O$2:$W$113,9,FALSE),0)+IFERROR(VLOOKUP(SUBSTITUTE(SUBSTITUTE(SUBSTITUTE($EG21,"~","~~"),"*","~*"),"?","~?"),'DADOS_MELHORIAS'!$O$2:$W$113,9,FALSE),0)+IFERROR(VLOOKUP(SUBSTITUTE(SUBSTITUTE(SUBSTITUTE($EH21,"~","~~"),"*","~*"),"?","~?"),'DADOS_MELHORIAS'!$O$2:$W$113,9,FALSE),0)</f>
        <v/>
      </c>
      <c r="EY21" s="164">
        <f>IF($EL21=0,0,INDEX('DADOS_FORMAS'!$FO$2:$FO$21,$EL21))</f>
        <v/>
      </c>
      <c r="EZ21" s="164">
        <f>IF($EL21=0,0,INDEX('DADOS_FORMAS'!$FP$2:$FP$21,$EL21))</f>
        <v/>
      </c>
      <c r="FA21" s="164">
        <f>IF($EL21=0,0,INDEX('DADOS_FORMAS'!$FR$2:$FR$21,$EL21))</f>
        <v/>
      </c>
      <c r="FB21" s="164">
        <f>IFERROR(VLOOKUP(SUBSTITUTE(SUBSTITUTE(SUBSTITUTE($EI21,"~","~~"),"*","~*"),"?","~?"),'DADOS_RESTRICOES'!$M$2:$Q$54,3,FALSE),0)</f>
        <v/>
      </c>
      <c r="FC21" s="164">
        <f>IFERROR(VLOOKUP(SUBSTITUTE(SUBSTITUTE(SUBSTITUTE($EJ21,"~","~~"),"*","~*"),"?","~?"),'DADOS_RESTRICOES'!$M$2:$Q$54,3,FALSE),0)</f>
        <v/>
      </c>
      <c r="FD21" s="164">
        <f>IFERROR(VLOOKUP(SUBSTITUTE(SUBSTITUTE(SUBSTITUTE($EI21,"~","~~"),"*","~*"),"?","~?"),'DADOS_RESTRICOES'!$M$2:$Q$54,2,FALSE),"")</f>
        <v/>
      </c>
      <c r="FE21" s="164">
        <f>IFERROR(VLOOKUP(SUBSTITUTE(SUBSTITUTE(SUBSTITUTE($EJ21,"~","~~"),"*","~*"),"?","~?"),'DADOS_RESTRICOES'!$M$2:$Q$54,2,FALSE),"")</f>
        <v/>
      </c>
      <c r="FF21" s="164">
        <f>COUNTIF($EM21:$EQ21,1)</f>
        <v/>
      </c>
      <c r="FG21" s="164">
        <f>COUNTIF($EM21:$EQ21,2)</f>
        <v/>
      </c>
      <c r="FH21" s="164">
        <f>COUNTIF($EM21:$EQ21,3)</f>
        <v/>
      </c>
      <c r="FI21" s="164">
        <f>COUNTIF($EM21:$EQ21,4)</f>
        <v/>
      </c>
      <c r="FJ21" s="164">
        <f>COUNTIF($EM21:$EQ21,5)</f>
        <v/>
      </c>
      <c r="FK21" s="164">
        <f>COUNTIF($EM21:$EQ21,6)</f>
        <v/>
      </c>
      <c r="FL21" s="164">
        <f>COUNTIF($FB21:$FC21,1)+IF(IFERROR(INDEX('DADOS_FORMAS'!$AS$2:$AS$21,MATCH(SUBSTITUTE(SUBSTITUTE(SUBSTITUTE($ED21,"~","~~"),"*","~*"),"?","~?"),'DADOS_FORMAS'!$AH$2:$AH$21,0)),"")="",0,IFERROR(N(VLOOKUP(SUBSTITUTE(SUBSTITUTE(SUBSTITUTE(IFERROR(INDEX('DADOS_FORMAS'!$AS$2:$AS$21,MATCH(SUBSTITUTE(SUBSTITUTE(SUBSTITUTE($ED21,"~","~~"),"*","~*"),"?","~?"),'DADOS_FORMAS'!$AH$2:$AH$21,0)),""),"~","~~"),"*","~*"),"?","~?"),'DADOS_RESTRICOES'!$M$2:$Q$54,3,FALSE)=1),0))</f>
        <v/>
      </c>
      <c r="FM21" s="164">
        <f>COUNTIF($FB21:$FC21,2)+IF(IFERROR(INDEX('DADOS_FORMAS'!$AS$2:$AS$21,MATCH(SUBSTITUTE(SUBSTITUTE(SUBSTITUTE($ED21,"~","~~"),"*","~*"),"?","~?"),'DADOS_FORMAS'!$AH$2:$AH$21,0)),"")="",0,IFERROR(N(VLOOKUP(SUBSTITUTE(SUBSTITUTE(SUBSTITUTE(IFERROR(INDEX('DADOS_FORMAS'!$AS$2:$AS$21,MATCH(SUBSTITUTE(SUBSTITUTE(SUBSTITUTE($ED21,"~","~~"),"*","~*"),"?","~?"),'DADOS_FORMAS'!$AH$2:$AH$21,0)),""),"~","~~"),"*","~*"),"?","~?"),'DADOS_RESTRICOES'!$M$2:$Q$54,3,FALSE)=2),0))</f>
        <v/>
      </c>
      <c r="FN21" s="164">
        <f>COUNTIF($EE21:$EH21,"?*")</f>
        <v/>
      </c>
      <c r="FO21" s="164">
        <f>COUNTIF($EI21:$EJ21,"?*")+$EY21</f>
        <v/>
      </c>
      <c r="FP21" s="164">
        <f>SUMPRODUCT($FF21:$FK21,INDEX($Q$2:$V$8,$EB21,0))</f>
        <v/>
      </c>
      <c r="FQ21" s="164">
        <f>$FL21*CEILING($EB21/2,1)+$FM21*$EB21</f>
        <v/>
      </c>
      <c r="FR21" s="164">
        <f>MIN(2*$EB21,$FQ21)</f>
        <v/>
      </c>
      <c r="FS21" s="164">
        <f>MIN($FR21,$FP21-IF($EM21=0,0,INDEX($Q$2:$V$8,$EB21,$EM21)))</f>
        <v/>
      </c>
      <c r="FT21" s="164">
        <f>$FR21-$FS21</f>
        <v/>
      </c>
      <c r="FU21" s="164">
        <f>3*$EB21-$FP21+$FS21</f>
        <v/>
      </c>
      <c r="FV21" s="164">
        <f>MAX(0,$FU21)+$DZ21*$EB21</f>
        <v/>
      </c>
      <c r="FW21" s="164">
        <f>(IF(COUNTIF($KW21:$KZ21,"Salto")&gt;0,1,0)+IF(COUNTIF($KW21:$KZ21,"Queima")&gt;0,1,0)+IF(COUNTIF($KW21:$KZ21,"Estilhaço")&gt;0,1,0))*FLOOR($FV21/2,1)</f>
        <v/>
      </c>
      <c r="FX21" s="164">
        <f>MAX(0,3-SUMPRODUCT($FF21:$FK21,$Q$2:$V$2)+MIN(2,$FL21*1+$FM21*1,SUMPRODUCT($FF21:$FK21,$Q$2:$V$2)-IF($EM21=0,0,INDEX($Q$2:$V$2,1,$EM21))))+$DZ21*1</f>
        <v/>
      </c>
      <c r="FY21" s="164">
        <f>MAX(0,6-SUMPRODUCT($FF21:$FK21,$Q$3:$V$3)+MIN(4,$FL21*1+$FM21*2,SUMPRODUCT($FF21:$FK21,$Q$3:$V$3)-IF($EM21=0,0,INDEX($Q$3:$V$3,1,$EM21))))+$DZ21*2</f>
        <v/>
      </c>
      <c r="FZ21" s="164">
        <f>MAX(0,9-SUMPRODUCT($FF21:$FK21,$Q$4:$V$4)+MIN(6,$FL21*2+$FM21*3,SUMPRODUCT($FF21:$FK21,$Q$4:$V$4)-IF($EM21=0,0,INDEX($Q$4:$V$4,1,$EM21))))+$DZ21*3</f>
        <v/>
      </c>
      <c r="GA21" s="164">
        <f>MAX(0,12-SUMPRODUCT($FF21:$FK21,$Q$5:$V$5)+MIN(8,$FL21*2+$FM21*4,SUMPRODUCT($FF21:$FK21,$Q$5:$V$5)-IF($EM21=0,0,INDEX($Q$5:$V$5,1,$EM21))))+$DZ21*4</f>
        <v/>
      </c>
      <c r="GB21" s="164">
        <f>MAX(0,15-SUMPRODUCT($FF21:$FK21,$Q$6:$V$6)+MIN(10,$FL21*3+$FM21*5,SUMPRODUCT($FF21:$FK21,$Q$6:$V$6)-IF($EM21=0,0,INDEX($Q$6:$V$6,1,$EM21))))+$DZ21*5</f>
        <v/>
      </c>
      <c r="GC21" s="164">
        <f>MAX(0,18-SUMPRODUCT($FF21:$FK21,$Q$7:$V$7)+MIN(12,$FL21*3+$FM21*6,SUMPRODUCT($FF21:$FK21,$Q$7:$V$7)-IF($EM21=0,0,INDEX($Q$7:$V$7,1,$EM21))))+$DZ21*6</f>
        <v/>
      </c>
      <c r="GD21" s="164">
        <f>MAX(0,21-SUMPRODUCT($FF21:$FK21,$Q$8:$V$8)+MIN(14,$FL21*4+$FM21*7,SUMPRODUCT($FF21:$FK21,$Q$8:$V$8)-IF($EM21=0,0,INDEX($Q$8:$V$8,1,$EM21))))+$DZ21*7</f>
        <v/>
      </c>
      <c r="GE21" s="164">
        <f>IF($EZ21=2,3*$FX21&amp;" de vida temp.",IF($EZ21=3,"sem dano",IF($FX21=0,IF($EZ21=1,"sem cura","sem dano"),IF($EZ21=1,"cura ","")&amp;$FX21&amp;"d8")))</f>
        <v/>
      </c>
      <c r="GF21" s="164">
        <f>IF($EZ21=2,3*$FY21&amp;" de vida temp.",IF($EZ21=3,"sem dano",IF($FY21=0,IF($EZ21=1,"sem cura","sem dano"),IF($EZ21=1,"cura ","")&amp;$FY21&amp;"d8")))</f>
        <v/>
      </c>
      <c r="GG21" s="164">
        <f>IF($EZ21=2,3*$FZ21&amp;" de vida temp.",IF($EZ21=3,"sem dano",IF($FZ21=0,IF($EZ21=1,"sem cura","sem dano"),IF($EZ21=1,"cura ","")&amp;$FZ21&amp;"d8")))</f>
        <v/>
      </c>
      <c r="GH21" s="164">
        <f>IF($EZ21=2,3*$GA21&amp;" de vida temp.",IF($EZ21=3,"sem dano",IF($GA21=0,IF($EZ21=1,"sem cura","sem dano"),IF($EZ21=1,"cura ","")&amp;$GA21&amp;"d8")))</f>
        <v/>
      </c>
      <c r="GI21" s="164">
        <f>IF($EZ21=2,3*$GB21&amp;" de vida temp.",IF($EZ21=3,"sem dano",IF($GB21=0,IF($EZ21=1,"sem cura","sem dano"),IF($EZ21=1,"cura ","")&amp;$GB21&amp;"d8")))</f>
        <v/>
      </c>
      <c r="GJ21" s="164">
        <f>IF($EZ21=2,3*$GC21&amp;" de vida temp.",IF($EZ21=3,"sem dano",IF($GC21=0,IF($EZ21=1,"sem cura","sem dano"),IF($EZ21=1,"cura ","")&amp;$GC21&amp;"d8")))</f>
        <v/>
      </c>
      <c r="GK21" s="164">
        <f>IF($EZ21=2,3*$GD21&amp;" de vida temp.",IF($EZ21=3,"sem dano",IF($GD21=0,IF($EZ21=1,"sem cura","sem dano"),IF($EZ21=1,"cura ","")&amp;$GD21&amp;"d8")))</f>
        <v/>
      </c>
      <c r="GL21" s="164">
        <f>IF($EK21=0,"",TEXTJOIN(" · ",TRUE,IF($EK21=0,"",TEXTJOIN(" · ",TRUE,IF($EK21=0,"",TEXTJOIN(" · ",TRUE,IF(AND($DZ21=1,$EA21&gt;$HM$9),"O nível "&amp;$HM$2&amp;" dá "&amp;$HM$9&amp;" Liberação Máxima",""),IF($EB21&gt;$HM$4,"Classe "&amp;$EB21&amp;": o nível "&amp;$HM$2&amp;" libera até a "&amp;$HM$4,""),IF($ER21=1,"Família Fechada: a Forma "&amp;$ED21,""),IF($ES21=1,"Família Fechada: "&amp;$EE21,""),IF($ET21=1,"Família Fechada: "&amp;$EF21,""),IF($EU21=1,"Família Fechada: "&amp;$EG21,""),IF($EV21=1,"Família Fechada: "&amp;$EH21,""),IF($FN21&gt;INDEX($W$2:$W$8,$EB21),$FN21&amp;" Melhorias: a Classe "&amp;$EB21&amp;" aceita "&amp;INDEX($W$2:$W$8,$EB21),""),IF($FO21&gt;2,$FO21&amp;" Restrições"&amp;IF($EY21=1,", contando a que a Forma "&amp;$ED21&amp;" já traz","")&amp;": o limite é 2",""),IF($FU21&lt;0,"Orçamento estourado: faltam "&amp;(-$FU21)&amp;IF($FU21&lt;-1," pontos"," ponto"),""),IF(IFERROR(VLOOKUP(SUBSTITUTE(SUBSTITUTE(SUBSTITUTE($EI21,"~","~~"),"*","~*"),"?","~?"),'DADOS_RESTRICOES'!$M$2:$Q$54,4,FALSE),0)+IFERROR(VLOOKUP(SUBSTITUTE(SUBSTITUTE(SUBSTITUTE($EJ21,"~","~~"),"*","~*"),"?","~?"),'DADOS_RESTRICOES'!$M$2:$Q$54,4,FALSE),0)&gt;1,$FD21&amp;" e "&amp;$FE21&amp;" são as duas de frequência",""),IF(AND((COUNTIF($KW21:$KZ21,"Rápido")+COUNTIF($FD21:$FE21,"Rápido"))&gt;0,(COUNTIF($EE21:$EH21,"Atrasar")+COUNTIF($FD21:$FE21,"Atrasar"))&gt;0),"Rápido não entra com Atrasar",""),IF(AND((COUNTIF($KW21:$KZ21,"Reação")+COUNTIF($FD21:$FE21,"Reação"))&gt;0,(COUNTIF($KW21:$KZ21,"Rápido")+COUNTIF($FD21:$FE21,"Rápido"))&gt;0),"Reação não entra com Rápido",""),IF(AND((COUNTIF($KW21:$KZ21,"Reação")+COUNTIF($FD21:$FE21,"Reação"))&gt;0,(COUNTIF($KW21:$KZ21,"Armado")+COUNTIF($FD21:$FE21,"Armado"))&gt;0),"Reação não entra com Armado",""),IF(AND((COUNTIF($KW21:$KZ21,"Reação")+COUNTIF($FD21:$FE21,"Reação"))&gt;0,(COUNTIF($EE21:$EH21,"Atrasar")+COUNTIF($FD21:$FE21,"Atrasar"))&gt;0),"Reação não entra com Atrasar",""),IF(AND((COUNTIF($KW21:$KZ21,"Reação")+COUNTIF($FD21:$FE21,"Reação"))&gt;0,(COUNTIF($EE21:$EH21,"Parado")+COUNTIF($FD21:$FE21,"Parado"))&gt;0),"Reação não entra com Parado",""),IF(AND((COUNTIF($EE21:$EH21,"Atrasar")+COUNTIF($FD21:$FE21,"Atrasar"))&gt;0,(COUNTIF($EE21:$EH21,"Parado")+COUNTIF($FD21:$FE21,"Parado"))&gt;0),"Atrasar não entra com Parado",""),IF(AND((COUNTIF($KW21:$KZ21,"Armado")+COUNTIF($FD21:$FE21,"Armado"))&gt;0,(COUNTIF($EE21:$EH21,"Carregar")+COUNTIF($FD21:$FE21,"Carregar"))&gt;0),"Armado não entra com Carregar",""),IF(AND(COUNTIF($FD21:$FE21,"Corpo a Corpo")&gt;0,$EY21=0,OR($LB21="Cone",$LB21="Linha")),"Corpo a Corpo não entra em "&amp;$ED21,""),IF(AND(COUNTIF($FD21:$FE21,"Corpo a Corpo")&gt;0,$LC21="Corpo a Corpo"),"A Forma "&amp;$ED21&amp;" já traz o Corpo a Corpo",""),IF(AND(COUNTIF($FD21:$FE21,"Tudo ou Nada")&gt;0,$FA21=0),"Tudo ou Nada só entra em feitiço de Teste de Resistência",""),IF(AND(COUNTIF($KW21:$KZ21,"Inescapável")&gt;0,OR($FN21&gt;1,$FO21&gt;0)),"Inescapável não aceita outra peça",""),IF(AND($DZ21=1,$EB21&lt;3),"Liberação Máxima é de Classe 3 ou mais",""),IF(AND($DZ21=1,OR($EZ21=1,$EZ21=2)),"Liberação Máxima não serve para cura",""),IF(AND($DZ21=1,COUNTIF($KW21:$KZ21,"Inescapável")+COUNTIF($KW21:$KZ21,"Toca a Alma")&gt;0),"Esta peça não entra numa Liberação Máxima",""),IF($FV21*IF(COUNTIF($KW21:$KZ21,"Remate")&gt;0,1.25,1)+$FW21&gt;4*$EB21,($FV21*IF(COUNTIF($KW21:$KZ21,"Remate")&gt;0,1.25,1)+$FW21)&amp;" dados somando repetições"&amp;IF(COUNTIF($KW21:$KZ21,"Remate")&gt;0," e o Remate","")&amp;": o teto da Classe "&amp;$EB21&amp;" é "&amp;4*$EB21,""))),IF(AND($EE21&lt;&gt;"",COUNTIF('DADOS_MELHORIAS'!$O$2:$O$113,SUBSTITUTE(SUBSTITUTE(SUBSTITUTE($EE21,"~","~~"),"*","~*"),"?","~?"))=0),"Melhoria não cadastrada ou com erro: "&amp;$EE21,""),IF(AND($EF21&lt;&gt;"",COUNTIF('DADOS_MELHORIAS'!$O$2:$O$113,SUBSTITUTE(SUBSTITUTE(SUBSTITUTE($EF21,"~","~~"),"*","~*"),"?","~?"))=0),"Melhoria não cadastrada ou com erro: "&amp;$EF21,""),IF(AND($EG21&lt;&gt;"",COUNTIF('DADOS_MELHORIAS'!$O$2:$O$113,SUBSTITUTE(SUBSTITUTE(SUBSTITUTE($EG21,"~","~~"),"*","~*"),"?","~?"))=0),"Melhoria não cadastrada ou com erro: "&amp;$EG21,""),IF(AND($EH21&lt;&gt;"",COUNTIF('DADOS_MELHORIAS'!$O$2:$O$113,SUBSTITUTE(SUBSTITUTE(SUBSTITUTE($EH21,"~","~~"),"*","~*"),"?","~?"))=0),"Melhoria não cadastrada ou com erro: "&amp;$EH21,""),IF(AND($EI21&lt;&gt;"",COUNTIF('DADOS_RESTRICOES'!$M$2:$M$54,SUBSTITUTE(SUBSTITUTE(SUBSTITUTE($EI21,"~","~~"),"*","~*"),"?","~?"))=0),"Restrição não cadastrada ou com erro: "&amp;$EI21,""),IF(AND($EJ21&lt;&gt;"",COUNTIF('DADOS_RESTRICOES'!$M$2:$M$54,SUBSTITUTE(SUBSTITUTE(SUBSTITUTE($EJ21,"~","~~"),"*","~*"),"?","~?"))=0),"Restrição não cadastrada ou com erro: "&amp;$EJ21,""))),IF(AND($ED21&lt;&gt;"",COUNTIF('DADOS_FORMAS'!$AH$2:$AH$21,SUBSTITUTE(SUBSTITUTE(SUBSTITUTE($ED21,"~","~~"),"*","~*"),"?","~?"))=0),"Forma não cadastrada ou com erro: "&amp;$ED21,""),IF(AND(IFERROR(INDEX('DADOS_FORMAS'!$AS$2:$AS$21,MATCH(SUBSTITUTE(SUBSTITUTE(SUBSTITUTE($ED21,"~","~~"),"*","~*"),"?","~?"),'DADOS_FORMAS'!$AH$2:$AH$21,0)),"")&lt;&gt;"",OR(IFERROR(VLOOKUP(SUBSTITUTE(SUBSTITUTE(SUBSTITUTE(IFERROR(INDEX('DADOS_FORMAS'!$AS$2:$AS$21,MATCH(SUBSTITUTE(SUBSTITUTE(SUBSTITUTE($ED21,"~","~~"),"*","~*"),"?","~?"),'DADOS_FORMAS'!$AH$2:$AH$21,0)),""),"~","~~"),"*","~*"),"?","~?"),'DADOS_RESTRICOES'!$M$2:$Q$54,2,FALSE),"")=$FD21,IFERROR(VLOOKUP(SUBSTITUTE(SUBSTITUTE(SUBSTITUTE(IFERROR(INDEX('DADOS_FORMAS'!$AS$2:$AS$21,MATCH(SUBSTITUTE(SUBSTITUTE(SUBSTITUTE($ED21,"~","~~"),"*","~*"),"?","~?"),'DADOS_FORMAS'!$AH$2:$AH$21,0)),""),"~","~~"),"*","~*"),"?","~?"),'DADOS_RESTRICOES'!$M$2:$Q$54,2,FALSE),"")=$FE21)),"Restrição repetida, contando a embutida",""),IF(IF(IFERROR(INDEX('DADOS_FORMAS'!$AS$2:$AS$21,MATCH(SUBSTITUTE(SUBSTITUTE(SUBSTITUTE($ED21,"~","~~"),"*","~*"),"?","~?"),'DADOS_FORMAS'!$AH$2:$AH$21,0)),"")="",0,IFERROR(N(VLOOKUP(SUBSTITUTE(SUBSTITUTE(SUBSTITUTE(IFERROR(INDEX('DADOS_FORMAS'!$AS$2:$AS$21,MATCH(SUBSTITUTE(SUBSTITUTE(SUBSTITUTE($ED21,"~","~~"),"*","~*"),"?","~?"),'DADOS_FORMAS'!$AH$2:$AH$21,0)),""),"~","~~"),"*","~*"),"?","~?"),'DADOS_RESTRICOES'!$M$2:$Q$54,4,FALSE)=1),0))+IF($EI21="",0,IFERROR(N(VLOOKUP(SUBSTITUTE(SUBSTITUTE(SUBSTITUTE($EI21,"~","~~"),"*","~*"),"?","~?"),'DADOS_RESTRICOES'!$M$2:$Q$54,4,FALSE)=1),0))+IF($EJ21="",0,IFERROR(N(VLOOKUP(SUBSTITUTE(SUBSTITUTE(SUBSTITUTE($EJ21,"~","~~"),"*","~*"),"?","~?"),'DADOS_RESTRICOES'!$M$2:$Q$54,4,FALSE)=1),0))&gt;1,"Duas Restrições de frequência, contando a embutida",""),IF(AND(IFERROR(VLOOKUP(SUBSTITUTE(SUBSTITUTE(SUBSTITUTE(IFERROR(INDEX('DADOS_FORMAS'!$AS$2:$AS$21,MATCH(SUBSTITUTE(SUBSTITUTE(SUBSTITUTE($ED21,"~","~~"),"*","~*"),"?","~?"),'DADOS_FORMAS'!$AH$2:$AH$21,0)),""),"~","~~"),"*","~*"),"?","~?"),'DADOS_RESTRICOES'!$M$2:$Q$54,2,FALSE),"")="Tudo ou Nada",$FA21=0),"Tudo ou Nada exige TR",""),IF(AND(IFERROR(VLOOKUP(SUBSTITUTE(SUBSTITUTE(SUBSTITUTE(IFERROR(INDEX('DADOS_FORMAS'!$AS$2:$AS$21,MATCH(SUBSTITUTE(SUBSTITUTE(SUBSTITUTE($ED21,"~","~~"),"*","~*"),"?","~?"),'DADOS_FORMAS'!$AH$2:$AH$21,0)),""),"~","~~"),"*","~*"),"?","~?"),'DADOS_RESTRICOES'!$M$2:$Q$54,2,FALSE),"")="Corpo a Corpo",OR($LB21="Cone",$LB21="Linha")),"Corpo a Corpo não entra em Cone/Linha","")))</f>
        <v/>
      </c>
      <c r="GM21" s="164">
        <f>IF($GL21="",0,(LEN($GL21)-LEN(SUBSTITUTE($GL21," · ","")))/3+1)</f>
        <v/>
      </c>
      <c r="GN21" s="164">
        <f>IF($EK21=0,"",TEXTJOIN(" · ",TRUE,IF($FQ21&gt;2*$EB21,"A devolução parou no teto de "&amp;2*$EB21,""),IF($FT21&gt;0,"Devolução perdida: "&amp;$FT21&amp;IF($FT21&gt;1," pontos"," ponto")&amp;" sem Melhoria para pagar",""),IF(AND($EW21&gt;0,$FV21=0),"Controle sem dano: uma rodada a mais e CD +2",""),IF(AND($EW21&gt;0,$FV21&gt;0,$FV21&lt;=$EB21),"Controle com saldo até a Classe: uma rodada a mais","")))</f>
        <v/>
      </c>
      <c r="GO21" s="164">
        <f>IF($GN21="",0,(LEN($GN21)-LEN(SUBSTITUTE($GN21," · ","")))/3+1)</f>
        <v/>
      </c>
      <c r="GP21" s="164">
        <f>IF($EK21=0,IF($FN21+$FO21-$EY21&gt;0,"Dê um nome",""),IF($GM21&gt;0,"⚠ "&amp;$GM21&amp;IF($GM21&gt;1," erros"," erro"),IF($GO21&gt;0,"! "&amp;$GO21&amp;IF($GO21&gt;1," avisos"," aviso"),"Na regra")))</f>
        <v/>
      </c>
      <c r="GQ21" s="164">
        <f>IF($EK21=0,"",IF($GM21+$GO21=0,"Dentro das regras que a ficha confere",$GL21&amp;IF(AND($GM21&gt;0,$GO21&gt;0)," · ","")&amp;$GN21))</f>
        <v/>
      </c>
      <c r="GR21" s="164">
        <f>IF($EK21=0,"",IF($DZ21=1,CEILING(4.5*$EB21,1),3*$EB21)&amp;" PE")</f>
        <v/>
      </c>
      <c r="GS21" s="164">
        <f>IF($EK21=0,"",IF($DZ21=1,"Rodada inteira",IF(COUNTIF($LD21:$LF21,"Atrasar")&gt;0,IF(COUNTIF($LD21:$LF21,"Carregar")&gt;0,"Rodada +1 turno","Rodada inteira"),IF(COUNTIF($KW21:$KZ21,"Rápido")&gt;0,"Bônus",IF(COUNTIF($KW21:$KZ21,"Reação")&gt;0,"Reação","Padrão"))&amp;IF(COUNTIF($LD21:$LF21,"Carregar")&gt;0," +1 turno",""))))</f>
        <v/>
      </c>
      <c r="GT21" s="164">
        <f>IF(OR($EK21=0,$EL21=0),"",IF(COUNTIF($KW21:$KZ21,"Inescapável")&gt;0,"Automático",IF(COUNTIF($KW21:$KZ21,"Certeiro")&gt;0,"TR para metade",IF(AND($EX21&gt;0,$FA21=0,INDEX('DADOS_FORMAS'!$FQ$2:$FQ$21,$EL21)="Acerto"),"Acerto + TR",INDEX('DADOS_FORMAS'!$FQ$2:$FQ$21,$EL21)))))</f>
        <v/>
      </c>
      <c r="GU21" s="164">
        <f>IF(OR($EK21=0,$EL21=0),"",IF(OR($EZ21&gt;=2,$FV21=0),UPPER(LEFT(INDEX($GE21:$GK21,1,$EB21),1))&amp;MID(INDEX($GE21:$GK21,1,$EB21),2,99),UPPER(LEFT(INDEX($GE21:$GK21,1,$EB21),1))&amp;MID(INDEX($GE21:$GK21,1,$EB21),2,99)&amp;" = "&amp;FLOOR($FV21*4.5,1)&amp;IF($FW21&gt;0," · +"&amp;$FW21&amp;"d8","")))</f>
        <v/>
      </c>
      <c r="GV21" s="164">
        <f>COUNTIF($KW21:$KZ21,"Longe")+3*COUNTIF($KW21:$KZ21,"Muito Longe")</f>
        <v/>
      </c>
      <c r="GW21" s="164">
        <f>COUNTIF($KW21:$KZ21,"Maior")+3*COUNTIF($KW21:$KZ21,"Muito Maior")</f>
        <v/>
      </c>
      <c r="GX21" s="164">
        <f>IF($EL21=0,0,CHOOSE(1+INDEX('DADOS_FORMAS'!$FS$2:$FS$21,$EL21),0,$GV21,$GW21,$GV21+$GW21))</f>
        <v/>
      </c>
      <c r="GY21" s="164">
        <f>IF($EL21=0,0,CHOOSE(1+INDEX('DADOS_FORMAS'!$FT$2:$FT$21,$EL21),0,$GV21,$GW21,$GV21+$GW21))</f>
        <v/>
      </c>
      <c r="GZ21" s="164">
        <f>IF(OR($EK21=0,$EL21=0),"",INDEX('DADOS_FORMAS'!$GZ$2:$HE$61,($EL21-1)*3+IF($EB21&gt;=6,3,2),1+MIN(5,$GX21))&amp;INDEX('DADOS_FORMAS'!$HF$2:$HK$61,($EL21-1)*3+IF($EB21&gt;=6,3,2),1+MIN(5,$GY21))&amp;IF(INDEX('DADOS_FORMAS'!$FU$2:$FU$21,$EL21)=1,IF(COUNTIF($KW21:$KZ21,"Mais Um")&gt;0," · +"&amp;COUNTIF($KW21:$KZ21,"Mais Um")&amp;IF(COUNTIF($KW21:$KZ21,"Mais Um")&gt;1," alvos"," alvo"),"")&amp;IF(COUNTIF($KW21:$KZ21,"Rajada")&gt;0," · "&amp;($EB21+1)&amp;" tiros",""),""))</f>
        <v/>
      </c>
      <c r="HA21" s="164">
        <f>IF($EK21=0,"",3*$EB21&amp;" − "&amp;$FP21&amp;" + "&amp;$FS21&amp;IF($DZ21=1," + "&amp;$EB21,"")&amp;" = "&amp;$FV21&amp;"d8 · teto "&amp;4*$EB21&amp;IF($EY21=1," · a Forma devolve "&amp;$EB21,"")&amp;IF($FT21&gt;0," · perde "&amp;$FT21,""))</f>
        <v/>
      </c>
      <c r="HB21" s="164">
        <f>IF($EK21=0,"",IF($EB21&gt;=$HM$4,"Já está na maior Classe que o nível liberou",TEXTJOIN(" · ",TRUE,IF(AND(2&gt;$EB21,2&lt;=$HM$4),"2 → "&amp;$GF21&amp;", "&amp;IF($DZ21=1,9,6)&amp;" PE",""),IF(AND(3&gt;$EB21,3&lt;=$HM$4),"3 → "&amp;$GG21&amp;", "&amp;IF($DZ21=1,14,9)&amp;" PE",""),IF(AND(4&gt;$EB21,4&lt;=$HM$4),"4 → "&amp;$GH21&amp;", "&amp;IF($DZ21=1,18,12)&amp;" PE",""),IF(AND(5&gt;$EB21,5&lt;=$HM$4),"5 → "&amp;$GI21&amp;", "&amp;IF($DZ21=1,23,15)&amp;" PE",""),IF(AND(6&gt;$EB21,6&lt;=$HM$4),"6 → "&amp;$GJ21&amp;", "&amp;IF($DZ21=1,27,18)&amp;" PE",""),IF(AND(7&gt;$EB21,7&lt;=$HM$4),"7 → "&amp;$GK21&amp;", "&amp;IF($DZ21=1,32,21)&amp;" PE",""))))</f>
        <v/>
      </c>
      <c r="HC21" s="164">
        <f>IF(OR($EK21=0,$EN21=0),"","−"&amp;INDEX($Q$2:$V$8,$EB21,$EN21)&amp;" · "&amp;CHOOSE($EN21,"Leve","Média","Pesada","Leve · Livre","Média · Livre","Pesada · Livre"))</f>
        <v/>
      </c>
      <c r="HD21" s="164">
        <f>IF(OR($EK21=0,$EO21=0),"","−"&amp;INDEX($Q$2:$V$8,$EB21,$EO21)&amp;" · "&amp;CHOOSE($EO21,"Leve","Média","Pesada","Leve · Livre","Média · Livre","Pesada · Livre"))</f>
        <v/>
      </c>
      <c r="HE21" s="164">
        <f>IF(OR($EK21=0,$EP21=0),"","−"&amp;INDEX($Q$2:$V$8,$EB21,$EP21)&amp;" · "&amp;CHOOSE($EP21,"Leve","Média","Pesada","Leve · Livre","Média · Livre","Pesada · Livre"))</f>
        <v/>
      </c>
      <c r="HF21" s="164">
        <f>IF(OR($EK21=0,$EQ21=0),"","−"&amp;INDEX($Q$2:$V$8,$EB21,$EQ21)&amp;" · "&amp;CHOOSE($EQ21,"Leve","Média","Pesada","Leve · Livre","Média · Livre","Pesada · Livre"))</f>
        <v/>
      </c>
      <c r="HG21" s="164">
        <f>IF(OR($EK21=0,$EI21=""),"","+"&amp;IF($FB21=1,CEILING($EB21/2,1),$EB21))</f>
        <v/>
      </c>
      <c r="HH21" s="164">
        <f>IF(OR($EK21=0,$EJ21=""),"","+"&amp;IF($FC21=1,CEILING($EB21/2,1),$EB21))</f>
        <v/>
      </c>
      <c r="HI21" s="164">
        <f>'FICHA AMALDIÇOADA'!$J$194&amp;""</f>
        <v/>
      </c>
      <c r="HJ21" s="164">
        <f>IF(AND($EK21=1,$DZ21=0),COUNTIFS($EK$2:$EK21,1,$DZ$2:$DZ21,0),"")</f>
        <v/>
      </c>
      <c r="HL21" s="162" t="inlineStr">
        <is>
          <t>cabem</t>
        </is>
      </c>
      <c r="HM21" s="164">
        <f>$HM$13+$HM$8-$HM$17-$HM$18-$HM$19</f>
        <v/>
      </c>
      <c r="JH21" s="164" t="n">
        <v>20</v>
      </c>
      <c r="JI21" s="164">
        <f>IFERROR(MATCH(20,$HJ$2:$HJ$37,0),0)</f>
        <v/>
      </c>
      <c r="JJ21" s="164">
        <f>IF($JI21=0,"",INDEX($EB$2:$EB$37,$JI21))</f>
        <v/>
      </c>
      <c r="JK21" s="164">
        <f>IF($JI21=0,"",INDEX($EC$2:$EC$37,$JI21))</f>
        <v/>
      </c>
      <c r="JL21" s="164">
        <f>IF($JI21=0,"",INDEX($GR$2:$GR$37,$JI21))</f>
        <v/>
      </c>
      <c r="JM21" s="164">
        <f>IF($JI21=0,"",INDEX($ED$2:$ED$37,$JI21))</f>
        <v/>
      </c>
      <c r="JN21" s="164">
        <f>IF($JI21=0,"",INDEX($GT$2:$GT$37,$JI21))</f>
        <v/>
      </c>
      <c r="JO21" s="164">
        <f>IF($JI21=0,"",INDEX($HI$2:$HI$37,$JI21))</f>
        <v/>
      </c>
      <c r="KU21" s="162" t="inlineStr">
        <is>
          <t>P55</t>
        </is>
      </c>
      <c r="KV21" s="164">
        <f>IF(DADOS_AM!$HM$20=1,"⚠ ","")&amp;DADOS_AM!$HM$17</f>
        <v/>
      </c>
      <c r="KW21">
        <f>IF($EE21="","",IFERROR(VLOOKUP(SUBSTITUTE(SUBSTITUTE(SUBSTITUTE($EE21,"~","~~"),"*","~*"),"?","~?"),'DADOS_MELHORIAS'!$O$2:$X$113,10,FALSE),$EE21))</f>
        <v/>
      </c>
      <c r="KX21">
        <f>IF($EF21="","",IFERROR(VLOOKUP(SUBSTITUTE(SUBSTITUTE(SUBSTITUTE($EF21,"~","~~"),"*","~*"),"?","~?"),'DADOS_MELHORIAS'!$O$2:$X$113,10,FALSE),$EF21))</f>
        <v/>
      </c>
      <c r="KY21">
        <f>IF($EG21="","",IFERROR(VLOOKUP(SUBSTITUTE(SUBSTITUTE(SUBSTITUTE($EG21,"~","~~"),"*","~*"),"?","~?"),'DADOS_MELHORIAS'!$O$2:$X$113,10,FALSE),$EG21))</f>
        <v/>
      </c>
      <c r="KZ21">
        <f>IF($EH21="","",IFERROR(VLOOKUP(SUBSTITUTE(SUBSTITUTE(SUBSTITUTE($EH21,"~","~~"),"*","~*"),"?","~?"),'DADOS_MELHORIAS'!$O$2:$X$113,10,FALSE),$EH21))</f>
        <v/>
      </c>
      <c r="LB21">
        <f>IFERROR(INDEX('DADOS_FORMAS'!$BJ$2:$BJ$21,MATCH(SUBSTITUTE(SUBSTITUTE(SUBSTITUTE($ED21,"~","~~"),"*","~*"),"?","~?"),'DADOS_FORMAS'!$AH$2:$AH$21,0)),"")</f>
        <v/>
      </c>
      <c r="LC21">
        <f>IFERROR(VLOOKUP(SUBSTITUTE(SUBSTITUTE(SUBSTITUTE(IFERROR(INDEX('DADOS_FORMAS'!$AS$2:$AS$21,MATCH(SUBSTITUTE(SUBSTITUTE(SUBSTITUTE($ED21,"~","~~"),"*","~*"),"?","~?"),'DADOS_FORMAS'!$AH$2:$AH$21,0)),""),"~","~~"),"*","~*"),"?","~?"),'DADOS_RESTRICOES'!$M$2:$Q$54,2,FALSE),"")</f>
        <v/>
      </c>
      <c r="LD21">
        <f>$FD21</f>
        <v/>
      </c>
      <c r="LE21">
        <f>$FE21</f>
        <v/>
      </c>
      <c r="LF21">
        <f>$LC21</f>
        <v/>
      </c>
    </row>
    <row r="22">
      <c r="AO22" s="162" t="inlineStr">
        <is>
          <t>Cura · classes 6 e 7</t>
        </is>
      </c>
      <c r="AP22" s="162" t="inlineStr">
        <is>
          <t>Um aliado a 18 m</t>
        </is>
      </c>
      <c r="AQ22" s="162" t="inlineStr">
        <is>
          <t>Um aliado a 36 m</t>
        </is>
      </c>
      <c r="AR22" s="162" t="inlineStr">
        <is>
          <t>Um aliado a 90 m</t>
        </is>
      </c>
      <c r="AS22" s="162" t="inlineStr">
        <is>
          <t>Um aliado a visão a olho nu</t>
        </is>
      </c>
      <c r="AT22" s="162" t="inlineStr">
        <is>
          <t>Um aliado a visão a olho nu</t>
        </is>
      </c>
      <c r="AU22" s="162" t="inlineStr">
        <is>
          <t>Um aliado a visão a olho nu</t>
        </is>
      </c>
      <c r="AV22" s="162" t="inlineStr"/>
      <c r="AW22" s="162" t="inlineStr"/>
      <c r="AX22" s="162" t="inlineStr"/>
      <c r="AY22" s="162" t="inlineStr"/>
      <c r="AZ22" s="162" t="inlineStr"/>
      <c r="BA22" s="162" t="inlineStr"/>
      <c r="BC22" s="162" t="inlineStr">
        <is>
          <t>Sem Cobertura</t>
        </is>
      </c>
      <c r="BD22" s="162" t="inlineStr">
        <is>
          <t>Mira</t>
        </is>
      </c>
      <c r="BE22" s="164" t="n">
        <v>1</v>
      </c>
      <c r="BF22" s="164">
        <f>$BE22+3*IFERROR(VLOOKUP($BD22,'DADOS_CRIACAO'!$H$2:$K$20,3,FALSE),0)</f>
        <v/>
      </c>
      <c r="BG22" s="164">
        <f>IFERROR(VLOOKUP($BD22,'DADOS_CRIACAO'!$H$2:$K$20,4,FALSE),0)</f>
        <v/>
      </c>
      <c r="BH22" s="164" t="n">
        <v>0</v>
      </c>
      <c r="BI22" s="164">
        <f>IF($BG22=1,"",$BC22)</f>
        <v/>
      </c>
      <c r="BJ22" s="164">
        <f>IF(AND($BE22=1,$BG22=0),$BC22,"")</f>
        <v/>
      </c>
      <c r="BK22" s="164" t="n">
        <v>0</v>
      </c>
      <c r="BM22" s="162" t="inlineStr">
        <is>
          <t>Assinatura</t>
        </is>
      </c>
      <c r="BN22" s="162" t="inlineStr">
        <is>
          <t>Assinatura</t>
        </is>
      </c>
      <c r="BO22" s="164" t="n">
        <v>1</v>
      </c>
      <c r="BP22" s="164" t="n">
        <v>0</v>
      </c>
      <c r="BQ22" s="162" t="inlineStr">
        <is>
          <t>Assinatura</t>
        </is>
      </c>
      <c r="BS22" s="162" t="inlineStr">
        <is>
          <t>Segundo Fôlego</t>
        </is>
      </c>
      <c r="BT22" s="164" t="n">
        <v>2</v>
      </c>
      <c r="BU22" s="162" t="inlineStr">
        <is>
          <t>Uma vez por descanso longo, ao escolher Insistir, você pode usar 1/4 do máximo de referência, arredondado para cima, como tratamento necessário naquela queda, em vez do requisito normal de Insistir. Anuncie nessa escolha. O uso continua contando como uma escolha de Insistir na cena. O requisito de 1/4 permanece até a queda terminar, mesmo que depois passe a Aguentar.</t>
        </is>
      </c>
      <c r="BV22" s="164" t="n">
        <v>0</v>
      </c>
      <c r="BW22" s="164" t="n">
        <v>1</v>
      </c>
      <c r="BX22" s="164">
        <f>IF(OR(AND($A$2&lt;=2,$BV22=1),AND($A$2&gt;=2,$BW22=1)),$BS22,"")</f>
        <v/>
      </c>
      <c r="BY22" s="162" t="inlineStr">
        <is>
          <t>Uma vez por descanso longo, ao escolher Insistir, você pode usar 1/4 do máximo de referência, arredondado para cima, como tratamento necessário naquela queda, em vez do requisito normal de Insistir.</t>
        </is>
      </c>
      <c r="CD22" s="162" t="inlineStr">
        <is>
          <t>Casco</t>
        </is>
      </c>
      <c r="CE22" s="162" t="inlineStr">
        <is>
          <t>Lapidação 7 e Constituição 4</t>
        </is>
      </c>
      <c r="CF22" s="164" t="n">
        <v>3</v>
      </c>
      <c r="CG22" s="162" t="inlineStr">
        <is>
          <t>—</t>
        </is>
      </c>
      <c r="CH22" s="162" t="inlineStr">
        <is>
          <t>Seu máximo de pontos de vida aumenta em metade do seu nível, arredondada para baixo. Recalcule ao subir de nível. Você também recebe +1 nos TRs de Vigor. No nível 14, o aumento é 7 pontos de vida. No nível 30, é 15. O benefício não recupera vida perdida por si só nem aumenta Integridade.</t>
        </is>
      </c>
      <c r="CI22" s="164">
        <f>IF($CL22=1,"",IF($A$2=4,IF($CJ22=1,$CD22,""),IF(OR($CJ22=1,AND($A$2=3,$CK22=1)),"",$CD22)))</f>
        <v/>
      </c>
      <c r="CJ22" s="164" t="n">
        <v>1</v>
      </c>
      <c r="CK22" s="164" t="n">
        <v>0</v>
      </c>
      <c r="CL22" s="164" t="n">
        <v>0</v>
      </c>
      <c r="CM22" s="162" t="inlineStr">
        <is>
          <t>Seu máximo de pontos de vida aumenta em metade do seu nível, arredondada para baixo. Recalcule ao subir de nível. Você também recebe +1 nos TRs de Vigor. No nível 14, o aumento é 7 pontos de vida. No nível 30, é 15. O benefício não recupera vida perdida por si só nem aumenta Integridade.</t>
        </is>
      </c>
      <c r="DY22" s="162" t="inlineStr">
        <is>
          <t>Feitiço 21</t>
        </is>
      </c>
      <c r="DZ22" s="164" t="n">
        <v>0</v>
      </c>
      <c r="EA22" s="164" t="n">
        <v>21</v>
      </c>
      <c r="EB22" s="164">
        <f>MAX(1,MIN(7,N('FICHA AMALDIÇOADA'!$P$192)))</f>
        <v/>
      </c>
      <c r="EC22" s="164">
        <f>'FICHA AMALDIÇOADA'!$Q$192&amp;""</f>
        <v/>
      </c>
      <c r="ED22" s="164">
        <f>'FICHA AMALDIÇOADA'!$P$199&amp;""</f>
        <v/>
      </c>
      <c r="EE22" s="164">
        <f>'FICHA AMALDIÇOADA'!$Q$201&amp;""</f>
        <v/>
      </c>
      <c r="EF22" s="164">
        <f>'FICHA AMALDIÇOADA'!$Q$202&amp;""</f>
        <v/>
      </c>
      <c r="EG22" s="164">
        <f>'FICHA AMALDIÇOADA'!$Q$203&amp;""</f>
        <v/>
      </c>
      <c r="EH22" s="164">
        <f>'FICHA AMALDIÇOADA'!$Q$204&amp;""</f>
        <v/>
      </c>
      <c r="EI22" s="164">
        <f>'FICHA AMALDIÇOADA'!$Q$205&amp;""</f>
        <v/>
      </c>
      <c r="EJ22" s="164">
        <f>'FICHA AMALDIÇOADA'!$Q$206&amp;""</f>
        <v/>
      </c>
      <c r="EK22" s="164">
        <f>IF($EC22&lt;&gt;"",1,0)</f>
        <v/>
      </c>
      <c r="EL22" s="164">
        <f>IFERROR(MATCH(SUBSTITUTE(SUBSTITUTE(SUBSTITUTE($ED22,"~","~~"),"*","~*"),"?","~?"),'DADOS_FORMAS'!$FJ$2:$FJ$21,0),0)</f>
        <v/>
      </c>
      <c r="EM22" s="164">
        <f>IF($EL22=0,0,INDEX('DADOS_FORMAS'!$FM$2:$FM$21,$EL22))</f>
        <v/>
      </c>
      <c r="EN22" s="164">
        <f>IFERROR(VLOOKUP(SUBSTITUTE(SUBSTITUTE(SUBSTITUTE($EE22,"~","~~"),"*","~*"),"?","~?"),'DADOS_MELHORIAS'!$O$2:$W$113,4,FALSE),0)</f>
        <v/>
      </c>
      <c r="EO22" s="164">
        <f>IFERROR(VLOOKUP(SUBSTITUTE(SUBSTITUTE(SUBSTITUTE($EF22,"~","~~"),"*","~*"),"?","~?"),'DADOS_MELHORIAS'!$O$2:$W$113,4,FALSE),0)</f>
        <v/>
      </c>
      <c r="EP22" s="164">
        <f>IFERROR(VLOOKUP(SUBSTITUTE(SUBSTITUTE(SUBSTITUTE($EG22,"~","~~"),"*","~*"),"?","~?"),'DADOS_MELHORIAS'!$O$2:$W$113,4,FALSE),0)</f>
        <v/>
      </c>
      <c r="EQ22" s="164">
        <f>IFERROR(VLOOKUP(SUBSTITUTE(SUBSTITUTE(SUBSTITUTE($EH22,"~","~~"),"*","~*"),"?","~?"),'DADOS_MELHORIAS'!$O$2:$W$113,4,FALSE),0)</f>
        <v/>
      </c>
      <c r="ER22" s="164">
        <f>IF($EL22=0,0,INDEX('DADOS_FORMAS'!$FN$2:$FN$21,$EL22))</f>
        <v/>
      </c>
      <c r="ES22" s="164">
        <f>IFERROR(VLOOKUP(SUBSTITUTE(SUBSTITUTE(SUBSTITUTE($EE22,"~","~~"),"*","~*"),"?","~?"),'DADOS_MELHORIAS'!$O$2:$W$113,5,FALSE),0)</f>
        <v/>
      </c>
      <c r="ET22" s="164">
        <f>IFERROR(VLOOKUP(SUBSTITUTE(SUBSTITUTE(SUBSTITUTE($EF22,"~","~~"),"*","~*"),"?","~?"),'DADOS_MELHORIAS'!$O$2:$W$113,5,FALSE),0)</f>
        <v/>
      </c>
      <c r="EU22" s="164">
        <f>IFERROR(VLOOKUP(SUBSTITUTE(SUBSTITUTE(SUBSTITUTE($EG22,"~","~~"),"*","~*"),"?","~?"),'DADOS_MELHORIAS'!$O$2:$W$113,5,FALSE),0)</f>
        <v/>
      </c>
      <c r="EV22" s="164">
        <f>IFERROR(VLOOKUP(SUBSTITUTE(SUBSTITUTE(SUBSTITUTE($EH22,"~","~~"),"*","~*"),"?","~?"),'DADOS_MELHORIAS'!$O$2:$W$113,5,FALSE),0)</f>
        <v/>
      </c>
      <c r="EW22" s="164">
        <f>IFERROR(VLOOKUP(SUBSTITUTE(SUBSTITUTE(SUBSTITUTE($EE22,"~","~~"),"*","~*"),"?","~?"),'DADOS_MELHORIAS'!$O$2:$W$113,6,FALSE),0)+IFERROR(VLOOKUP(SUBSTITUTE(SUBSTITUTE(SUBSTITUTE($EF22,"~","~~"),"*","~*"),"?","~?"),'DADOS_MELHORIAS'!$O$2:$W$113,6,FALSE),0)+IFERROR(VLOOKUP(SUBSTITUTE(SUBSTITUTE(SUBSTITUTE($EG22,"~","~~"),"*","~*"),"?","~?"),'DADOS_MELHORIAS'!$O$2:$W$113,6,FALSE),0)+IFERROR(VLOOKUP(SUBSTITUTE(SUBSTITUTE(SUBSTITUTE($EH22,"~","~~"),"*","~*"),"?","~?"),'DADOS_MELHORIAS'!$O$2:$W$113,6,FALSE),0)</f>
        <v/>
      </c>
      <c r="EX22" s="164">
        <f>IFERROR(VLOOKUP(SUBSTITUTE(SUBSTITUTE(SUBSTITUTE($EE22,"~","~~"),"*","~*"),"?","~?"),'DADOS_MELHORIAS'!$O$2:$W$113,9,FALSE),0)+IFERROR(VLOOKUP(SUBSTITUTE(SUBSTITUTE(SUBSTITUTE($EF22,"~","~~"),"*","~*"),"?","~?"),'DADOS_MELHORIAS'!$O$2:$W$113,9,FALSE),0)+IFERROR(VLOOKUP(SUBSTITUTE(SUBSTITUTE(SUBSTITUTE($EG22,"~","~~"),"*","~*"),"?","~?"),'DADOS_MELHORIAS'!$O$2:$W$113,9,FALSE),0)+IFERROR(VLOOKUP(SUBSTITUTE(SUBSTITUTE(SUBSTITUTE($EH22,"~","~~"),"*","~*"),"?","~?"),'DADOS_MELHORIAS'!$O$2:$W$113,9,FALSE),0)</f>
        <v/>
      </c>
      <c r="EY22" s="164">
        <f>IF($EL22=0,0,INDEX('DADOS_FORMAS'!$FO$2:$FO$21,$EL22))</f>
        <v/>
      </c>
      <c r="EZ22" s="164">
        <f>IF($EL22=0,0,INDEX('DADOS_FORMAS'!$FP$2:$FP$21,$EL22))</f>
        <v/>
      </c>
      <c r="FA22" s="164">
        <f>IF($EL22=0,0,INDEX('DADOS_FORMAS'!$FR$2:$FR$21,$EL22))</f>
        <v/>
      </c>
      <c r="FB22" s="164">
        <f>IFERROR(VLOOKUP(SUBSTITUTE(SUBSTITUTE(SUBSTITUTE($EI22,"~","~~"),"*","~*"),"?","~?"),'DADOS_RESTRICOES'!$M$2:$Q$54,3,FALSE),0)</f>
        <v/>
      </c>
      <c r="FC22" s="164">
        <f>IFERROR(VLOOKUP(SUBSTITUTE(SUBSTITUTE(SUBSTITUTE($EJ22,"~","~~"),"*","~*"),"?","~?"),'DADOS_RESTRICOES'!$M$2:$Q$54,3,FALSE),0)</f>
        <v/>
      </c>
      <c r="FD22" s="164">
        <f>IFERROR(VLOOKUP(SUBSTITUTE(SUBSTITUTE(SUBSTITUTE($EI22,"~","~~"),"*","~*"),"?","~?"),'DADOS_RESTRICOES'!$M$2:$Q$54,2,FALSE),"")</f>
        <v/>
      </c>
      <c r="FE22" s="164">
        <f>IFERROR(VLOOKUP(SUBSTITUTE(SUBSTITUTE(SUBSTITUTE($EJ22,"~","~~"),"*","~*"),"?","~?"),'DADOS_RESTRICOES'!$M$2:$Q$54,2,FALSE),"")</f>
        <v/>
      </c>
      <c r="FF22" s="164">
        <f>COUNTIF($EM22:$EQ22,1)</f>
        <v/>
      </c>
      <c r="FG22" s="164">
        <f>COUNTIF($EM22:$EQ22,2)</f>
        <v/>
      </c>
      <c r="FH22" s="164">
        <f>COUNTIF($EM22:$EQ22,3)</f>
        <v/>
      </c>
      <c r="FI22" s="164">
        <f>COUNTIF($EM22:$EQ22,4)</f>
        <v/>
      </c>
      <c r="FJ22" s="164">
        <f>COUNTIF($EM22:$EQ22,5)</f>
        <v/>
      </c>
      <c r="FK22" s="164">
        <f>COUNTIF($EM22:$EQ22,6)</f>
        <v/>
      </c>
      <c r="FL22" s="164">
        <f>COUNTIF($FB22:$FC22,1)+IF(IFERROR(INDEX('DADOS_FORMAS'!$AS$2:$AS$21,MATCH(SUBSTITUTE(SUBSTITUTE(SUBSTITUTE($ED22,"~","~~"),"*","~*"),"?","~?"),'DADOS_FORMAS'!$AH$2:$AH$21,0)),"")="",0,IFERROR(N(VLOOKUP(SUBSTITUTE(SUBSTITUTE(SUBSTITUTE(IFERROR(INDEX('DADOS_FORMAS'!$AS$2:$AS$21,MATCH(SUBSTITUTE(SUBSTITUTE(SUBSTITUTE($ED22,"~","~~"),"*","~*"),"?","~?"),'DADOS_FORMAS'!$AH$2:$AH$21,0)),""),"~","~~"),"*","~*"),"?","~?"),'DADOS_RESTRICOES'!$M$2:$Q$54,3,FALSE)=1),0))</f>
        <v/>
      </c>
      <c r="FM22" s="164">
        <f>COUNTIF($FB22:$FC22,2)+IF(IFERROR(INDEX('DADOS_FORMAS'!$AS$2:$AS$21,MATCH(SUBSTITUTE(SUBSTITUTE(SUBSTITUTE($ED22,"~","~~"),"*","~*"),"?","~?"),'DADOS_FORMAS'!$AH$2:$AH$21,0)),"")="",0,IFERROR(N(VLOOKUP(SUBSTITUTE(SUBSTITUTE(SUBSTITUTE(IFERROR(INDEX('DADOS_FORMAS'!$AS$2:$AS$21,MATCH(SUBSTITUTE(SUBSTITUTE(SUBSTITUTE($ED22,"~","~~"),"*","~*"),"?","~?"),'DADOS_FORMAS'!$AH$2:$AH$21,0)),""),"~","~~"),"*","~*"),"?","~?"),'DADOS_RESTRICOES'!$M$2:$Q$54,3,FALSE)=2),0))</f>
        <v/>
      </c>
      <c r="FN22" s="164">
        <f>COUNTIF($EE22:$EH22,"?*")</f>
        <v/>
      </c>
      <c r="FO22" s="164">
        <f>COUNTIF($EI22:$EJ22,"?*")+$EY22</f>
        <v/>
      </c>
      <c r="FP22" s="164">
        <f>SUMPRODUCT($FF22:$FK22,INDEX($Q$2:$V$8,$EB22,0))</f>
        <v/>
      </c>
      <c r="FQ22" s="164">
        <f>$FL22*CEILING($EB22/2,1)+$FM22*$EB22</f>
        <v/>
      </c>
      <c r="FR22" s="164">
        <f>MIN(2*$EB22,$FQ22)</f>
        <v/>
      </c>
      <c r="FS22" s="164">
        <f>MIN($FR22,$FP22-IF($EM22=0,0,INDEX($Q$2:$V$8,$EB22,$EM22)))</f>
        <v/>
      </c>
      <c r="FT22" s="164">
        <f>$FR22-$FS22</f>
        <v/>
      </c>
      <c r="FU22" s="164">
        <f>3*$EB22-$FP22+$FS22</f>
        <v/>
      </c>
      <c r="FV22" s="164">
        <f>MAX(0,$FU22)+$DZ22*$EB22</f>
        <v/>
      </c>
      <c r="FW22" s="164">
        <f>(IF(COUNTIF($KW22:$KZ22,"Salto")&gt;0,1,0)+IF(COUNTIF($KW22:$KZ22,"Queima")&gt;0,1,0)+IF(COUNTIF($KW22:$KZ22,"Estilhaço")&gt;0,1,0))*FLOOR($FV22/2,1)</f>
        <v/>
      </c>
      <c r="FX22" s="164">
        <f>MAX(0,3-SUMPRODUCT($FF22:$FK22,$Q$2:$V$2)+MIN(2,$FL22*1+$FM22*1,SUMPRODUCT($FF22:$FK22,$Q$2:$V$2)-IF($EM22=0,0,INDEX($Q$2:$V$2,1,$EM22))))+$DZ22*1</f>
        <v/>
      </c>
      <c r="FY22" s="164">
        <f>MAX(0,6-SUMPRODUCT($FF22:$FK22,$Q$3:$V$3)+MIN(4,$FL22*1+$FM22*2,SUMPRODUCT($FF22:$FK22,$Q$3:$V$3)-IF($EM22=0,0,INDEX($Q$3:$V$3,1,$EM22))))+$DZ22*2</f>
        <v/>
      </c>
      <c r="FZ22" s="164">
        <f>MAX(0,9-SUMPRODUCT($FF22:$FK22,$Q$4:$V$4)+MIN(6,$FL22*2+$FM22*3,SUMPRODUCT($FF22:$FK22,$Q$4:$V$4)-IF($EM22=0,0,INDEX($Q$4:$V$4,1,$EM22))))+$DZ22*3</f>
        <v/>
      </c>
      <c r="GA22" s="164">
        <f>MAX(0,12-SUMPRODUCT($FF22:$FK22,$Q$5:$V$5)+MIN(8,$FL22*2+$FM22*4,SUMPRODUCT($FF22:$FK22,$Q$5:$V$5)-IF($EM22=0,0,INDEX($Q$5:$V$5,1,$EM22))))+$DZ22*4</f>
        <v/>
      </c>
      <c r="GB22" s="164">
        <f>MAX(0,15-SUMPRODUCT($FF22:$FK22,$Q$6:$V$6)+MIN(10,$FL22*3+$FM22*5,SUMPRODUCT($FF22:$FK22,$Q$6:$V$6)-IF($EM22=0,0,INDEX($Q$6:$V$6,1,$EM22))))+$DZ22*5</f>
        <v/>
      </c>
      <c r="GC22" s="164">
        <f>MAX(0,18-SUMPRODUCT($FF22:$FK22,$Q$7:$V$7)+MIN(12,$FL22*3+$FM22*6,SUMPRODUCT($FF22:$FK22,$Q$7:$V$7)-IF($EM22=0,0,INDEX($Q$7:$V$7,1,$EM22))))+$DZ22*6</f>
        <v/>
      </c>
      <c r="GD22" s="164">
        <f>MAX(0,21-SUMPRODUCT($FF22:$FK22,$Q$8:$V$8)+MIN(14,$FL22*4+$FM22*7,SUMPRODUCT($FF22:$FK22,$Q$8:$V$8)-IF($EM22=0,0,INDEX($Q$8:$V$8,1,$EM22))))+$DZ22*7</f>
        <v/>
      </c>
      <c r="GE22" s="164">
        <f>IF($EZ22=2,3*$FX22&amp;" de vida temp.",IF($EZ22=3,"sem dano",IF($FX22=0,IF($EZ22=1,"sem cura","sem dano"),IF($EZ22=1,"cura ","")&amp;$FX22&amp;"d8")))</f>
        <v/>
      </c>
      <c r="GF22" s="164">
        <f>IF($EZ22=2,3*$FY22&amp;" de vida temp.",IF($EZ22=3,"sem dano",IF($FY22=0,IF($EZ22=1,"sem cura","sem dano"),IF($EZ22=1,"cura ","")&amp;$FY22&amp;"d8")))</f>
        <v/>
      </c>
      <c r="GG22" s="164">
        <f>IF($EZ22=2,3*$FZ22&amp;" de vida temp.",IF($EZ22=3,"sem dano",IF($FZ22=0,IF($EZ22=1,"sem cura","sem dano"),IF($EZ22=1,"cura ","")&amp;$FZ22&amp;"d8")))</f>
        <v/>
      </c>
      <c r="GH22" s="164">
        <f>IF($EZ22=2,3*$GA22&amp;" de vida temp.",IF($EZ22=3,"sem dano",IF($GA22=0,IF($EZ22=1,"sem cura","sem dano"),IF($EZ22=1,"cura ","")&amp;$GA22&amp;"d8")))</f>
        <v/>
      </c>
      <c r="GI22" s="164">
        <f>IF($EZ22=2,3*$GB22&amp;" de vida temp.",IF($EZ22=3,"sem dano",IF($GB22=0,IF($EZ22=1,"sem cura","sem dano"),IF($EZ22=1,"cura ","")&amp;$GB22&amp;"d8")))</f>
        <v/>
      </c>
      <c r="GJ22" s="164">
        <f>IF($EZ22=2,3*$GC22&amp;" de vida temp.",IF($EZ22=3,"sem dano",IF($GC22=0,IF($EZ22=1,"sem cura","sem dano"),IF($EZ22=1,"cura ","")&amp;$GC22&amp;"d8")))</f>
        <v/>
      </c>
      <c r="GK22" s="164">
        <f>IF($EZ22=2,3*$GD22&amp;" de vida temp.",IF($EZ22=3,"sem dano",IF($GD22=0,IF($EZ22=1,"sem cura","sem dano"),IF($EZ22=1,"cura ","")&amp;$GD22&amp;"d8")))</f>
        <v/>
      </c>
      <c r="GL22" s="164">
        <f>IF($EK22=0,"",TEXTJOIN(" · ",TRUE,IF($EK22=0,"",TEXTJOIN(" · ",TRUE,IF($EK22=0,"",TEXTJOIN(" · ",TRUE,IF(AND($DZ22=1,$EA22&gt;$HM$9),"O nível "&amp;$HM$2&amp;" dá "&amp;$HM$9&amp;" Liberação Máxima",""),IF($EB22&gt;$HM$4,"Classe "&amp;$EB22&amp;": o nível "&amp;$HM$2&amp;" libera até a "&amp;$HM$4,""),IF($ER22=1,"Família Fechada: a Forma "&amp;$ED22,""),IF($ES22=1,"Família Fechada: "&amp;$EE22,""),IF($ET22=1,"Família Fechada: "&amp;$EF22,""),IF($EU22=1,"Família Fechada: "&amp;$EG22,""),IF($EV22=1,"Família Fechada: "&amp;$EH22,""),IF($FN22&gt;INDEX($W$2:$W$8,$EB22),$FN22&amp;" Melhorias: a Classe "&amp;$EB22&amp;" aceita "&amp;INDEX($W$2:$W$8,$EB22),""),IF($FO22&gt;2,$FO22&amp;" Restrições"&amp;IF($EY22=1,", contando a que a Forma "&amp;$ED22&amp;" já traz","")&amp;": o limite é 2",""),IF($FU22&lt;0,"Orçamento estourado: faltam "&amp;(-$FU22)&amp;IF($FU22&lt;-1," pontos"," ponto"),""),IF(IFERROR(VLOOKUP(SUBSTITUTE(SUBSTITUTE(SUBSTITUTE($EI22,"~","~~"),"*","~*"),"?","~?"),'DADOS_RESTRICOES'!$M$2:$Q$54,4,FALSE),0)+IFERROR(VLOOKUP(SUBSTITUTE(SUBSTITUTE(SUBSTITUTE($EJ22,"~","~~"),"*","~*"),"?","~?"),'DADOS_RESTRICOES'!$M$2:$Q$54,4,FALSE),0)&gt;1,$FD22&amp;" e "&amp;$FE22&amp;" são as duas de frequência",""),IF(AND((COUNTIF($KW22:$KZ22,"Rápido")+COUNTIF($FD22:$FE22,"Rápido"))&gt;0,(COUNTIF($EE22:$EH22,"Atrasar")+COUNTIF($FD22:$FE22,"Atrasar"))&gt;0),"Rápido não entra com Atrasar",""),IF(AND((COUNTIF($KW22:$KZ22,"Reação")+COUNTIF($FD22:$FE22,"Reação"))&gt;0,(COUNTIF($KW22:$KZ22,"Rápido")+COUNTIF($FD22:$FE22,"Rápido"))&gt;0),"Reação não entra com Rápido",""),IF(AND((COUNTIF($KW22:$KZ22,"Reação")+COUNTIF($FD22:$FE22,"Reação"))&gt;0,(COUNTIF($KW22:$KZ22,"Armado")+COUNTIF($FD22:$FE22,"Armado"))&gt;0),"Reação não entra com Armado",""),IF(AND((COUNTIF($KW22:$KZ22,"Reação")+COUNTIF($FD22:$FE22,"Reação"))&gt;0,(COUNTIF($EE22:$EH22,"Atrasar")+COUNTIF($FD22:$FE22,"Atrasar"))&gt;0),"Reação não entra com Atrasar",""),IF(AND((COUNTIF($KW22:$KZ22,"Reação")+COUNTIF($FD22:$FE22,"Reação"))&gt;0,(COUNTIF($EE22:$EH22,"Parado")+COUNTIF($FD22:$FE22,"Parado"))&gt;0),"Reação não entra com Parado",""),IF(AND((COUNTIF($EE22:$EH22,"Atrasar")+COUNTIF($FD22:$FE22,"Atrasar"))&gt;0,(COUNTIF($EE22:$EH22,"Parado")+COUNTIF($FD22:$FE22,"Parado"))&gt;0),"Atrasar não entra com Parado",""),IF(AND((COUNTIF($KW22:$KZ22,"Armado")+COUNTIF($FD22:$FE22,"Armado"))&gt;0,(COUNTIF($EE22:$EH22,"Carregar")+COUNTIF($FD22:$FE22,"Carregar"))&gt;0),"Armado não entra com Carregar",""),IF(AND(COUNTIF($FD22:$FE22,"Corpo a Corpo")&gt;0,$EY22=0,OR($LB22="Cone",$LB22="Linha")),"Corpo a Corpo não entra em "&amp;$ED22,""),IF(AND(COUNTIF($FD22:$FE22,"Corpo a Corpo")&gt;0,$LC22="Corpo a Corpo"),"A Forma "&amp;$ED22&amp;" já traz o Corpo a Corpo",""),IF(AND(COUNTIF($FD22:$FE22,"Tudo ou Nada")&gt;0,$FA22=0),"Tudo ou Nada só entra em feitiço de Teste de Resistência",""),IF(AND(COUNTIF($KW22:$KZ22,"Inescapável")&gt;0,OR($FN22&gt;1,$FO22&gt;0)),"Inescapável não aceita outra peça",""),IF(AND($DZ22=1,$EB22&lt;3),"Liberação Máxima é de Classe 3 ou mais",""),IF(AND($DZ22=1,OR($EZ22=1,$EZ22=2)),"Liberação Máxima não serve para cura",""),IF(AND($DZ22=1,COUNTIF($KW22:$KZ22,"Inescapável")+COUNTIF($KW22:$KZ22,"Toca a Alma")&gt;0),"Esta peça não entra numa Liberação Máxima",""),IF($FV22*IF(COUNTIF($KW22:$KZ22,"Remate")&gt;0,1.25,1)+$FW22&gt;4*$EB22,($FV22*IF(COUNTIF($KW22:$KZ22,"Remate")&gt;0,1.25,1)+$FW22)&amp;" dados somando repetições"&amp;IF(COUNTIF($KW22:$KZ22,"Remate")&gt;0," e o Remate","")&amp;": o teto da Classe "&amp;$EB22&amp;" é "&amp;4*$EB22,""))),IF(AND($EE22&lt;&gt;"",COUNTIF('DADOS_MELHORIAS'!$O$2:$O$113,SUBSTITUTE(SUBSTITUTE(SUBSTITUTE($EE22,"~","~~"),"*","~*"),"?","~?"))=0),"Melhoria não cadastrada ou com erro: "&amp;$EE22,""),IF(AND($EF22&lt;&gt;"",COUNTIF('DADOS_MELHORIAS'!$O$2:$O$113,SUBSTITUTE(SUBSTITUTE(SUBSTITUTE($EF22,"~","~~"),"*","~*"),"?","~?"))=0),"Melhoria não cadastrada ou com erro: "&amp;$EF22,""),IF(AND($EG22&lt;&gt;"",COUNTIF('DADOS_MELHORIAS'!$O$2:$O$113,SUBSTITUTE(SUBSTITUTE(SUBSTITUTE($EG22,"~","~~"),"*","~*"),"?","~?"))=0),"Melhoria não cadastrada ou com erro: "&amp;$EG22,""),IF(AND($EH22&lt;&gt;"",COUNTIF('DADOS_MELHORIAS'!$O$2:$O$113,SUBSTITUTE(SUBSTITUTE(SUBSTITUTE($EH22,"~","~~"),"*","~*"),"?","~?"))=0),"Melhoria não cadastrada ou com erro: "&amp;$EH22,""),IF(AND($EI22&lt;&gt;"",COUNTIF('DADOS_RESTRICOES'!$M$2:$M$54,SUBSTITUTE(SUBSTITUTE(SUBSTITUTE($EI22,"~","~~"),"*","~*"),"?","~?"))=0),"Restrição não cadastrada ou com erro: "&amp;$EI22,""),IF(AND($EJ22&lt;&gt;"",COUNTIF('DADOS_RESTRICOES'!$M$2:$M$54,SUBSTITUTE(SUBSTITUTE(SUBSTITUTE($EJ22,"~","~~"),"*","~*"),"?","~?"))=0),"Restrição não cadastrada ou com erro: "&amp;$EJ22,""))),IF(AND($ED22&lt;&gt;"",COUNTIF('DADOS_FORMAS'!$AH$2:$AH$21,SUBSTITUTE(SUBSTITUTE(SUBSTITUTE($ED22,"~","~~"),"*","~*"),"?","~?"))=0),"Forma não cadastrada ou com erro: "&amp;$ED22,""),IF(AND(IFERROR(INDEX('DADOS_FORMAS'!$AS$2:$AS$21,MATCH(SUBSTITUTE(SUBSTITUTE(SUBSTITUTE($ED22,"~","~~"),"*","~*"),"?","~?"),'DADOS_FORMAS'!$AH$2:$AH$21,0)),"")&lt;&gt;"",OR(IFERROR(VLOOKUP(SUBSTITUTE(SUBSTITUTE(SUBSTITUTE(IFERROR(INDEX('DADOS_FORMAS'!$AS$2:$AS$21,MATCH(SUBSTITUTE(SUBSTITUTE(SUBSTITUTE($ED22,"~","~~"),"*","~*"),"?","~?"),'DADOS_FORMAS'!$AH$2:$AH$21,0)),""),"~","~~"),"*","~*"),"?","~?"),'DADOS_RESTRICOES'!$M$2:$Q$54,2,FALSE),"")=$FD22,IFERROR(VLOOKUP(SUBSTITUTE(SUBSTITUTE(SUBSTITUTE(IFERROR(INDEX('DADOS_FORMAS'!$AS$2:$AS$21,MATCH(SUBSTITUTE(SUBSTITUTE(SUBSTITUTE($ED22,"~","~~"),"*","~*"),"?","~?"),'DADOS_FORMAS'!$AH$2:$AH$21,0)),""),"~","~~"),"*","~*"),"?","~?"),'DADOS_RESTRICOES'!$M$2:$Q$54,2,FALSE),"")=$FE22)),"Restrição repetida, contando a embutida",""),IF(IF(IFERROR(INDEX('DADOS_FORMAS'!$AS$2:$AS$21,MATCH(SUBSTITUTE(SUBSTITUTE(SUBSTITUTE($ED22,"~","~~"),"*","~*"),"?","~?"),'DADOS_FORMAS'!$AH$2:$AH$21,0)),"")="",0,IFERROR(N(VLOOKUP(SUBSTITUTE(SUBSTITUTE(SUBSTITUTE(IFERROR(INDEX('DADOS_FORMAS'!$AS$2:$AS$21,MATCH(SUBSTITUTE(SUBSTITUTE(SUBSTITUTE($ED22,"~","~~"),"*","~*"),"?","~?"),'DADOS_FORMAS'!$AH$2:$AH$21,0)),""),"~","~~"),"*","~*"),"?","~?"),'DADOS_RESTRICOES'!$M$2:$Q$54,4,FALSE)=1),0))+IF($EI22="",0,IFERROR(N(VLOOKUP(SUBSTITUTE(SUBSTITUTE(SUBSTITUTE($EI22,"~","~~"),"*","~*"),"?","~?"),'DADOS_RESTRICOES'!$M$2:$Q$54,4,FALSE)=1),0))+IF($EJ22="",0,IFERROR(N(VLOOKUP(SUBSTITUTE(SUBSTITUTE(SUBSTITUTE($EJ22,"~","~~"),"*","~*"),"?","~?"),'DADOS_RESTRICOES'!$M$2:$Q$54,4,FALSE)=1),0))&gt;1,"Duas Restrições de frequência, contando a embutida",""),IF(AND(IFERROR(VLOOKUP(SUBSTITUTE(SUBSTITUTE(SUBSTITUTE(IFERROR(INDEX('DADOS_FORMAS'!$AS$2:$AS$21,MATCH(SUBSTITUTE(SUBSTITUTE(SUBSTITUTE($ED22,"~","~~"),"*","~*"),"?","~?"),'DADOS_FORMAS'!$AH$2:$AH$21,0)),""),"~","~~"),"*","~*"),"?","~?"),'DADOS_RESTRICOES'!$M$2:$Q$54,2,FALSE),"")="Tudo ou Nada",$FA22=0),"Tudo ou Nada exige TR",""),IF(AND(IFERROR(VLOOKUP(SUBSTITUTE(SUBSTITUTE(SUBSTITUTE(IFERROR(INDEX('DADOS_FORMAS'!$AS$2:$AS$21,MATCH(SUBSTITUTE(SUBSTITUTE(SUBSTITUTE($ED22,"~","~~"),"*","~*"),"?","~?"),'DADOS_FORMAS'!$AH$2:$AH$21,0)),""),"~","~~"),"*","~*"),"?","~?"),'DADOS_RESTRICOES'!$M$2:$Q$54,2,FALSE),"")="Corpo a Corpo",OR($LB22="Cone",$LB22="Linha")),"Corpo a Corpo não entra em Cone/Linha","")))</f>
        <v/>
      </c>
      <c r="GM22" s="164">
        <f>IF($GL22="",0,(LEN($GL22)-LEN(SUBSTITUTE($GL22," · ","")))/3+1)</f>
        <v/>
      </c>
      <c r="GN22" s="164">
        <f>IF($EK22=0,"",TEXTJOIN(" · ",TRUE,IF($FQ22&gt;2*$EB22,"A devolução parou no teto de "&amp;2*$EB22,""),IF($FT22&gt;0,"Devolução perdida: "&amp;$FT22&amp;IF($FT22&gt;1," pontos"," ponto")&amp;" sem Melhoria para pagar",""),IF(AND($EW22&gt;0,$FV22=0),"Controle sem dano: uma rodada a mais e CD +2",""),IF(AND($EW22&gt;0,$FV22&gt;0,$FV22&lt;=$EB22),"Controle com saldo até a Classe: uma rodada a mais","")))</f>
        <v/>
      </c>
      <c r="GO22" s="164">
        <f>IF($GN22="",0,(LEN($GN22)-LEN(SUBSTITUTE($GN22," · ","")))/3+1)</f>
        <v/>
      </c>
      <c r="GP22" s="164">
        <f>IF($EK22=0,IF($FN22+$FO22-$EY22&gt;0,"Dê um nome",""),IF($GM22&gt;0,"⚠ "&amp;$GM22&amp;IF($GM22&gt;1," erros"," erro"),IF($GO22&gt;0,"! "&amp;$GO22&amp;IF($GO22&gt;1," avisos"," aviso"),"Na regra")))</f>
        <v/>
      </c>
      <c r="GQ22" s="164">
        <f>IF($EK22=0,"",IF($GM22+$GO22=0,"Dentro das regras que a ficha confere",$GL22&amp;IF(AND($GM22&gt;0,$GO22&gt;0)," · ","")&amp;$GN22))</f>
        <v/>
      </c>
      <c r="GR22" s="164">
        <f>IF($EK22=0,"",IF($DZ22=1,CEILING(4.5*$EB22,1),3*$EB22)&amp;" PE")</f>
        <v/>
      </c>
      <c r="GS22" s="164">
        <f>IF($EK22=0,"",IF($DZ22=1,"Rodada inteira",IF(COUNTIF($LD22:$LF22,"Atrasar")&gt;0,IF(COUNTIF($LD22:$LF22,"Carregar")&gt;0,"Rodada +1 turno","Rodada inteira"),IF(COUNTIF($KW22:$KZ22,"Rápido")&gt;0,"Bônus",IF(COUNTIF($KW22:$KZ22,"Reação")&gt;0,"Reação","Padrão"))&amp;IF(COUNTIF($LD22:$LF22,"Carregar")&gt;0," +1 turno",""))))</f>
        <v/>
      </c>
      <c r="GT22" s="164">
        <f>IF(OR($EK22=0,$EL22=0),"",IF(COUNTIF($KW22:$KZ22,"Inescapável")&gt;0,"Automático",IF(COUNTIF($KW22:$KZ22,"Certeiro")&gt;0,"TR para metade",IF(AND($EX22&gt;0,$FA22=0,INDEX('DADOS_FORMAS'!$FQ$2:$FQ$21,$EL22)="Acerto"),"Acerto + TR",INDEX('DADOS_FORMAS'!$FQ$2:$FQ$21,$EL22)))))</f>
        <v/>
      </c>
      <c r="GU22" s="164">
        <f>IF(OR($EK22=0,$EL22=0),"",IF(OR($EZ22&gt;=2,$FV22=0),UPPER(LEFT(INDEX($GE22:$GK22,1,$EB22),1))&amp;MID(INDEX($GE22:$GK22,1,$EB22),2,99),UPPER(LEFT(INDEX($GE22:$GK22,1,$EB22),1))&amp;MID(INDEX($GE22:$GK22,1,$EB22),2,99)&amp;" = "&amp;FLOOR($FV22*4.5,1)&amp;IF($FW22&gt;0," · +"&amp;$FW22&amp;"d8","")))</f>
        <v/>
      </c>
      <c r="GV22" s="164">
        <f>COUNTIF($KW22:$KZ22,"Longe")+3*COUNTIF($KW22:$KZ22,"Muito Longe")</f>
        <v/>
      </c>
      <c r="GW22" s="164">
        <f>COUNTIF($KW22:$KZ22,"Maior")+3*COUNTIF($KW22:$KZ22,"Muito Maior")</f>
        <v/>
      </c>
      <c r="GX22" s="164">
        <f>IF($EL22=0,0,CHOOSE(1+INDEX('DADOS_FORMAS'!$FS$2:$FS$21,$EL22),0,$GV22,$GW22,$GV22+$GW22))</f>
        <v/>
      </c>
      <c r="GY22" s="164">
        <f>IF($EL22=0,0,CHOOSE(1+INDEX('DADOS_FORMAS'!$FT$2:$FT$21,$EL22),0,$GV22,$GW22,$GV22+$GW22))</f>
        <v/>
      </c>
      <c r="GZ22" s="164">
        <f>IF(OR($EK22=0,$EL22=0),"",INDEX('DADOS_FORMAS'!$GZ$2:$HE$61,($EL22-1)*3+IF($EB22&gt;=6,3,2),1+MIN(5,$GX22))&amp;INDEX('DADOS_FORMAS'!$HF$2:$HK$61,($EL22-1)*3+IF($EB22&gt;=6,3,2),1+MIN(5,$GY22))&amp;IF(INDEX('DADOS_FORMAS'!$FU$2:$FU$21,$EL22)=1,IF(COUNTIF($KW22:$KZ22,"Mais Um")&gt;0," · +"&amp;COUNTIF($KW22:$KZ22,"Mais Um")&amp;IF(COUNTIF($KW22:$KZ22,"Mais Um")&gt;1," alvos"," alvo"),"")&amp;IF(COUNTIF($KW22:$KZ22,"Rajada")&gt;0," · "&amp;($EB22+1)&amp;" tiros",""),""))</f>
        <v/>
      </c>
      <c r="HA22" s="164">
        <f>IF($EK22=0,"",3*$EB22&amp;" − "&amp;$FP22&amp;" + "&amp;$FS22&amp;IF($DZ22=1," + "&amp;$EB22,"")&amp;" = "&amp;$FV22&amp;"d8 · teto "&amp;4*$EB22&amp;IF($EY22=1," · a Forma devolve "&amp;$EB22,"")&amp;IF($FT22&gt;0," · perde "&amp;$FT22,""))</f>
        <v/>
      </c>
      <c r="HB22" s="164">
        <f>IF($EK22=0,"",IF($EB22&gt;=$HM$4,"Já está na maior Classe que o nível liberou",TEXTJOIN(" · ",TRUE,IF(AND(2&gt;$EB22,2&lt;=$HM$4),"2 → "&amp;$GF22&amp;", "&amp;IF($DZ22=1,9,6)&amp;" PE",""),IF(AND(3&gt;$EB22,3&lt;=$HM$4),"3 → "&amp;$GG22&amp;", "&amp;IF($DZ22=1,14,9)&amp;" PE",""),IF(AND(4&gt;$EB22,4&lt;=$HM$4),"4 → "&amp;$GH22&amp;", "&amp;IF($DZ22=1,18,12)&amp;" PE",""),IF(AND(5&gt;$EB22,5&lt;=$HM$4),"5 → "&amp;$GI22&amp;", "&amp;IF($DZ22=1,23,15)&amp;" PE",""),IF(AND(6&gt;$EB22,6&lt;=$HM$4),"6 → "&amp;$GJ22&amp;", "&amp;IF($DZ22=1,27,18)&amp;" PE",""),IF(AND(7&gt;$EB22,7&lt;=$HM$4),"7 → "&amp;$GK22&amp;", "&amp;IF($DZ22=1,32,21)&amp;" PE",""))))</f>
        <v/>
      </c>
      <c r="HC22" s="164">
        <f>IF(OR($EK22=0,$EN22=0),"","−"&amp;INDEX($Q$2:$V$8,$EB22,$EN22)&amp;" · "&amp;CHOOSE($EN22,"Leve","Média","Pesada","Leve · Livre","Média · Livre","Pesada · Livre"))</f>
        <v/>
      </c>
      <c r="HD22" s="164">
        <f>IF(OR($EK22=0,$EO22=0),"","−"&amp;INDEX($Q$2:$V$8,$EB22,$EO22)&amp;" · "&amp;CHOOSE($EO22,"Leve","Média","Pesada","Leve · Livre","Média · Livre","Pesada · Livre"))</f>
        <v/>
      </c>
      <c r="HE22" s="164">
        <f>IF(OR($EK22=0,$EP22=0),"","−"&amp;INDEX($Q$2:$V$8,$EB22,$EP22)&amp;" · "&amp;CHOOSE($EP22,"Leve","Média","Pesada","Leve · Livre","Média · Livre","Pesada · Livre"))</f>
        <v/>
      </c>
      <c r="HF22" s="164">
        <f>IF(OR($EK22=0,$EQ22=0),"","−"&amp;INDEX($Q$2:$V$8,$EB22,$EQ22)&amp;" · "&amp;CHOOSE($EQ22,"Leve","Média","Pesada","Leve · Livre","Média · Livre","Pesada · Livre"))</f>
        <v/>
      </c>
      <c r="HG22" s="164">
        <f>IF(OR($EK22=0,$EI22=""),"","+"&amp;IF($FB22=1,CEILING($EB22/2,1),$EB22))</f>
        <v/>
      </c>
      <c r="HH22" s="164">
        <f>IF(OR($EK22=0,$EJ22=""),"","+"&amp;IF($FC22=1,CEILING($EB22/2,1),$EB22))</f>
        <v/>
      </c>
      <c r="HI22" s="164">
        <f>'FICHA AMALDIÇOADA'!$P$194&amp;""</f>
        <v/>
      </c>
      <c r="HJ22" s="164">
        <f>IF(AND($EK22=1,$DZ22=0),COUNTIFS($EK$2:$EK22,1,$DZ$2:$DZ22,0),"")</f>
        <v/>
      </c>
      <c r="HL22" s="162" t="inlineStr">
        <is>
          <t>livres</t>
        </is>
      </c>
      <c r="HM22" s="164">
        <f>$HM$21-$HM$14</f>
        <v/>
      </c>
      <c r="JH22" s="164" t="n">
        <v>21</v>
      </c>
      <c r="JI22" s="164">
        <f>IFERROR(MATCH(21,$HJ$2:$HJ$37,0),0)</f>
        <v/>
      </c>
      <c r="JJ22" s="164">
        <f>IF($JI22=0,"",INDEX($EB$2:$EB$37,$JI22))</f>
        <v/>
      </c>
      <c r="JK22" s="164">
        <f>IF($JI22=0,"",INDEX($EC$2:$EC$37,$JI22))</f>
        <v/>
      </c>
      <c r="JL22" s="164">
        <f>IF($JI22=0,"",INDEX($GR$2:$GR$37,$JI22))</f>
        <v/>
      </c>
      <c r="JM22" s="164">
        <f>IF($JI22=0,"",INDEX($ED$2:$ED$37,$JI22))</f>
        <v/>
      </c>
      <c r="JN22" s="164">
        <f>IF($JI22=0,"",INDEX($GT$2:$GT$37,$JI22))</f>
        <v/>
      </c>
      <c r="JO22" s="164">
        <f>IF($JI22=0,"",INDEX($HI$2:$HI$37,$JI22))</f>
        <v/>
      </c>
      <c r="KU22" s="162" t="inlineStr">
        <is>
          <t>Q55</t>
        </is>
      </c>
      <c r="KV22" s="164">
        <f>IF(DADOS_AM!$HM$20=1,"⚠ ","")&amp;DADOS_AM!$HM$18</f>
        <v/>
      </c>
      <c r="KW22">
        <f>IF($EE22="","",IFERROR(VLOOKUP(SUBSTITUTE(SUBSTITUTE(SUBSTITUTE($EE22,"~","~~"),"*","~*"),"?","~?"),'DADOS_MELHORIAS'!$O$2:$X$113,10,FALSE),$EE22))</f>
        <v/>
      </c>
      <c r="KX22">
        <f>IF($EF22="","",IFERROR(VLOOKUP(SUBSTITUTE(SUBSTITUTE(SUBSTITUTE($EF22,"~","~~"),"*","~*"),"?","~?"),'DADOS_MELHORIAS'!$O$2:$X$113,10,FALSE),$EF22))</f>
        <v/>
      </c>
      <c r="KY22">
        <f>IF($EG22="","",IFERROR(VLOOKUP(SUBSTITUTE(SUBSTITUTE(SUBSTITUTE($EG22,"~","~~"),"*","~*"),"?","~?"),'DADOS_MELHORIAS'!$O$2:$X$113,10,FALSE),$EG22))</f>
        <v/>
      </c>
      <c r="KZ22">
        <f>IF($EH22="","",IFERROR(VLOOKUP(SUBSTITUTE(SUBSTITUTE(SUBSTITUTE($EH22,"~","~~"),"*","~*"),"?","~?"),'DADOS_MELHORIAS'!$O$2:$X$113,10,FALSE),$EH22))</f>
        <v/>
      </c>
      <c r="LB22">
        <f>IFERROR(INDEX('DADOS_FORMAS'!$BJ$2:$BJ$21,MATCH(SUBSTITUTE(SUBSTITUTE(SUBSTITUTE($ED22,"~","~~"),"*","~*"),"?","~?"),'DADOS_FORMAS'!$AH$2:$AH$21,0)),"")</f>
        <v/>
      </c>
      <c r="LC22">
        <f>IFERROR(VLOOKUP(SUBSTITUTE(SUBSTITUTE(SUBSTITUTE(IFERROR(INDEX('DADOS_FORMAS'!$AS$2:$AS$21,MATCH(SUBSTITUTE(SUBSTITUTE(SUBSTITUTE($ED22,"~","~~"),"*","~*"),"?","~?"),'DADOS_FORMAS'!$AH$2:$AH$21,0)),""),"~","~~"),"*","~*"),"?","~?"),'DADOS_RESTRICOES'!$M$2:$Q$54,2,FALSE),"")</f>
        <v/>
      </c>
      <c r="LD22">
        <f>$FD22</f>
        <v/>
      </c>
      <c r="LE22">
        <f>$FE22</f>
        <v/>
      </c>
      <c r="LF22">
        <f>$LC22</f>
        <v/>
      </c>
    </row>
    <row r="23">
      <c r="AO23" s="162" t="inlineStr">
        <is>
          <t>Apoio · classe 0</t>
        </is>
      </c>
      <c r="AP23" s="162" t="inlineStr">
        <is>
          <t>Um aliado a 4,5 m</t>
        </is>
      </c>
      <c r="AQ23" s="162" t="inlineStr">
        <is>
          <t>Um aliado a 9 m</t>
        </is>
      </c>
      <c r="AR23" s="162" t="inlineStr">
        <is>
          <t>Um aliado a 18 m</t>
        </is>
      </c>
      <c r="AS23" s="162" t="inlineStr">
        <is>
          <t>Um aliado a 36 m</t>
        </is>
      </c>
      <c r="AT23" s="162" t="inlineStr">
        <is>
          <t>Um aliado a 90 m</t>
        </is>
      </c>
      <c r="AU23" s="162" t="inlineStr">
        <is>
          <t>Um aliado a visão a olho nu</t>
        </is>
      </c>
      <c r="AV23" s="162" t="inlineStr"/>
      <c r="AW23" s="162" t="inlineStr"/>
      <c r="AX23" s="162" t="inlineStr"/>
      <c r="AY23" s="162" t="inlineStr"/>
      <c r="AZ23" s="162" t="inlineStr"/>
      <c r="BA23" s="162" t="inlineStr"/>
      <c r="BC23" s="162" t="inlineStr">
        <is>
          <t>Toca a Alma</t>
        </is>
      </c>
      <c r="BD23" s="162" t="inlineStr">
        <is>
          <t>Mira</t>
        </is>
      </c>
      <c r="BE23" s="164" t="n">
        <v>1</v>
      </c>
      <c r="BF23" s="164">
        <f>$BE23+3*IFERROR(VLOOKUP($BD23,'DADOS_CRIACAO'!$H$2:$K$20,3,FALSE),0)</f>
        <v/>
      </c>
      <c r="BG23" s="164">
        <f>IFERROR(VLOOKUP($BD23,'DADOS_CRIACAO'!$H$2:$K$20,4,FALSE),0)</f>
        <v/>
      </c>
      <c r="BH23" s="164" t="n">
        <v>0</v>
      </c>
      <c r="BI23" s="164">
        <f>IF($BG23=1,"",$BC23)</f>
        <v/>
      </c>
      <c r="BJ23" s="164">
        <f>IF(AND($BE23=1,$BG23=0),$BC23,"")</f>
        <v/>
      </c>
      <c r="BK23" s="164" t="n">
        <v>0</v>
      </c>
      <c r="BM23" s="162" t="inlineStr">
        <is>
          <t>Restrição Própria (Leve)</t>
        </is>
      </c>
      <c r="BN23" s="162" t="inlineStr">
        <is>
          <t>Restrição Própria</t>
        </is>
      </c>
      <c r="BO23" s="164" t="n">
        <v>1</v>
      </c>
      <c r="BP23" s="164" t="n">
        <v>0</v>
      </c>
      <c r="BQ23" s="162" t="inlineStr">
        <is>
          <t>Restrição Própria (Leve)</t>
        </is>
      </c>
      <c r="BS23" s="162" t="inlineStr">
        <is>
          <t>Contragolpe</t>
        </is>
      </c>
      <c r="BT23" s="164" t="n">
        <v>2</v>
      </c>
      <c r="BU23" s="162" t="inlineStr">
        <is>
          <t>Quando uma criatura errar um ataque corpo a corpo contra você, pode guardar uma resposta contra ela. Sua próxima rolagem de ataque de uma Kata contra essa criatura tem vantagem. O benefício termina depois dessa rolagem ou ao fim da cena.</t>
        </is>
      </c>
      <c r="BV23" s="164" t="n">
        <v>0</v>
      </c>
      <c r="BW23" s="164" t="n">
        <v>1</v>
      </c>
      <c r="BX23" s="164">
        <f>IF(OR(AND($A$2&lt;=2,$BV23=1),AND($A$2&gt;=2,$BW23=1)),$BS23,"")</f>
        <v/>
      </c>
      <c r="BY23" s="162" t="inlineStr">
        <is>
          <t>Quando uma criatura errar um ataque corpo a corpo contra você, pode guardar uma resposta contra ela. Sua próxima rolagem de ataque de uma Kata contra essa criatura tem vantagem. O benefício termina depois dessa rolagem ou ao fim da cena.</t>
        </is>
      </c>
      <c r="CD23" s="162" t="inlineStr">
        <is>
          <t>Presilha</t>
        </is>
      </c>
      <c r="CE23" s="162" t="inlineStr">
        <is>
          <t>Lapidação 4 e Força 4</t>
        </is>
      </c>
      <c r="CF23" s="164" t="n">
        <v>2</v>
      </c>
      <c r="CG23" s="162" t="inlineStr">
        <is>
          <t>—</t>
        </is>
      </c>
      <c r="CH23" s="162" t="inlineStr">
        <is>
          <t>Uma vez por rodada, quando uma criatura passar num TR para evitar que você a agarre, derrube ou mova à força, pode obrigá-la a repetir esse TR. Use o novo resultado. Faça a repetição antes de resolver as consequências daquele TR, sem gastar outra ação. Preserve a mesma CD e os modificadores. O benefício não permite uma tentativa proibida por tamanho, alcance ou imunidade. Se um único TR também decidir o dano, mantenha o resultado original para o dano e use a repetição somente para a manobra ou o deslocamento.</t>
        </is>
      </c>
      <c r="CI23" s="164">
        <f>IF($CL23=1,"",IF($A$2=4,IF($CJ23=1,$CD23,""),IF(OR($CJ23=1,AND($A$2=3,$CK23=1)),"",$CD23)))</f>
        <v/>
      </c>
      <c r="CJ23" s="164" t="n">
        <v>1</v>
      </c>
      <c r="CK23" s="164" t="n">
        <v>0</v>
      </c>
      <c r="CL23" s="164" t="n">
        <v>0</v>
      </c>
      <c r="CM23" s="162" t="inlineStr">
        <is>
          <t>Uma vez por rodada, quando uma criatura passar num TR para evitar que você a agarre, derrube ou mova à força, pode obrigá-la a repetir esse TR.</t>
        </is>
      </c>
      <c r="DY23" s="162" t="inlineStr">
        <is>
          <t>Feitiço 22</t>
        </is>
      </c>
      <c r="DZ23" s="164" t="n">
        <v>0</v>
      </c>
      <c r="EA23" s="164" t="n">
        <v>22</v>
      </c>
      <c r="EB23" s="164">
        <f>MAX(1,MIN(7,N('FICHA AMALDIÇOADA'!$D$213)))</f>
        <v/>
      </c>
      <c r="EC23" s="164">
        <f>'FICHA AMALDIÇOADA'!$E$213&amp;""</f>
        <v/>
      </c>
      <c r="ED23" s="164">
        <f>'FICHA AMALDIÇOADA'!$D$220&amp;""</f>
        <v/>
      </c>
      <c r="EE23" s="164">
        <f>'FICHA AMALDIÇOADA'!$E$222&amp;""</f>
        <v/>
      </c>
      <c r="EF23" s="164">
        <f>'FICHA AMALDIÇOADA'!$E$223&amp;""</f>
        <v/>
      </c>
      <c r="EG23" s="164">
        <f>'FICHA AMALDIÇOADA'!$E$224&amp;""</f>
        <v/>
      </c>
      <c r="EH23" s="164">
        <f>'FICHA AMALDIÇOADA'!$E$225&amp;""</f>
        <v/>
      </c>
      <c r="EI23" s="164">
        <f>'FICHA AMALDIÇOADA'!$E$226&amp;""</f>
        <v/>
      </c>
      <c r="EJ23" s="164">
        <f>'FICHA AMALDIÇOADA'!$E$227&amp;""</f>
        <v/>
      </c>
      <c r="EK23" s="164">
        <f>IF($EC23&lt;&gt;"",1,0)</f>
        <v/>
      </c>
      <c r="EL23" s="164">
        <f>IFERROR(MATCH(SUBSTITUTE(SUBSTITUTE(SUBSTITUTE($ED23,"~","~~"),"*","~*"),"?","~?"),'DADOS_FORMAS'!$FJ$2:$FJ$21,0),0)</f>
        <v/>
      </c>
      <c r="EM23" s="164">
        <f>IF($EL23=0,0,INDEX('DADOS_FORMAS'!$FM$2:$FM$21,$EL23))</f>
        <v/>
      </c>
      <c r="EN23" s="164">
        <f>IFERROR(VLOOKUP(SUBSTITUTE(SUBSTITUTE(SUBSTITUTE($EE23,"~","~~"),"*","~*"),"?","~?"),'DADOS_MELHORIAS'!$O$2:$W$113,4,FALSE),0)</f>
        <v/>
      </c>
      <c r="EO23" s="164">
        <f>IFERROR(VLOOKUP(SUBSTITUTE(SUBSTITUTE(SUBSTITUTE($EF23,"~","~~"),"*","~*"),"?","~?"),'DADOS_MELHORIAS'!$O$2:$W$113,4,FALSE),0)</f>
        <v/>
      </c>
      <c r="EP23" s="164">
        <f>IFERROR(VLOOKUP(SUBSTITUTE(SUBSTITUTE(SUBSTITUTE($EG23,"~","~~"),"*","~*"),"?","~?"),'DADOS_MELHORIAS'!$O$2:$W$113,4,FALSE),0)</f>
        <v/>
      </c>
      <c r="EQ23" s="164">
        <f>IFERROR(VLOOKUP(SUBSTITUTE(SUBSTITUTE(SUBSTITUTE($EH23,"~","~~"),"*","~*"),"?","~?"),'DADOS_MELHORIAS'!$O$2:$W$113,4,FALSE),0)</f>
        <v/>
      </c>
      <c r="ER23" s="164">
        <f>IF($EL23=0,0,INDEX('DADOS_FORMAS'!$FN$2:$FN$21,$EL23))</f>
        <v/>
      </c>
      <c r="ES23" s="164">
        <f>IFERROR(VLOOKUP(SUBSTITUTE(SUBSTITUTE(SUBSTITUTE($EE23,"~","~~"),"*","~*"),"?","~?"),'DADOS_MELHORIAS'!$O$2:$W$113,5,FALSE),0)</f>
        <v/>
      </c>
      <c r="ET23" s="164">
        <f>IFERROR(VLOOKUP(SUBSTITUTE(SUBSTITUTE(SUBSTITUTE($EF23,"~","~~"),"*","~*"),"?","~?"),'DADOS_MELHORIAS'!$O$2:$W$113,5,FALSE),0)</f>
        <v/>
      </c>
      <c r="EU23" s="164">
        <f>IFERROR(VLOOKUP(SUBSTITUTE(SUBSTITUTE(SUBSTITUTE($EG23,"~","~~"),"*","~*"),"?","~?"),'DADOS_MELHORIAS'!$O$2:$W$113,5,FALSE),0)</f>
        <v/>
      </c>
      <c r="EV23" s="164">
        <f>IFERROR(VLOOKUP(SUBSTITUTE(SUBSTITUTE(SUBSTITUTE($EH23,"~","~~"),"*","~*"),"?","~?"),'DADOS_MELHORIAS'!$O$2:$W$113,5,FALSE),0)</f>
        <v/>
      </c>
      <c r="EW23" s="164">
        <f>IFERROR(VLOOKUP(SUBSTITUTE(SUBSTITUTE(SUBSTITUTE($EE23,"~","~~"),"*","~*"),"?","~?"),'DADOS_MELHORIAS'!$O$2:$W$113,6,FALSE),0)+IFERROR(VLOOKUP(SUBSTITUTE(SUBSTITUTE(SUBSTITUTE($EF23,"~","~~"),"*","~*"),"?","~?"),'DADOS_MELHORIAS'!$O$2:$W$113,6,FALSE),0)+IFERROR(VLOOKUP(SUBSTITUTE(SUBSTITUTE(SUBSTITUTE($EG23,"~","~~"),"*","~*"),"?","~?"),'DADOS_MELHORIAS'!$O$2:$W$113,6,FALSE),0)+IFERROR(VLOOKUP(SUBSTITUTE(SUBSTITUTE(SUBSTITUTE($EH23,"~","~~"),"*","~*"),"?","~?"),'DADOS_MELHORIAS'!$O$2:$W$113,6,FALSE),0)</f>
        <v/>
      </c>
      <c r="EX23" s="164">
        <f>IFERROR(VLOOKUP(SUBSTITUTE(SUBSTITUTE(SUBSTITUTE($EE23,"~","~~"),"*","~*"),"?","~?"),'DADOS_MELHORIAS'!$O$2:$W$113,9,FALSE),0)+IFERROR(VLOOKUP(SUBSTITUTE(SUBSTITUTE(SUBSTITUTE($EF23,"~","~~"),"*","~*"),"?","~?"),'DADOS_MELHORIAS'!$O$2:$W$113,9,FALSE),0)+IFERROR(VLOOKUP(SUBSTITUTE(SUBSTITUTE(SUBSTITUTE($EG23,"~","~~"),"*","~*"),"?","~?"),'DADOS_MELHORIAS'!$O$2:$W$113,9,FALSE),0)+IFERROR(VLOOKUP(SUBSTITUTE(SUBSTITUTE(SUBSTITUTE($EH23,"~","~~"),"*","~*"),"?","~?"),'DADOS_MELHORIAS'!$O$2:$W$113,9,FALSE),0)</f>
        <v/>
      </c>
      <c r="EY23" s="164">
        <f>IF($EL23=0,0,INDEX('DADOS_FORMAS'!$FO$2:$FO$21,$EL23))</f>
        <v/>
      </c>
      <c r="EZ23" s="164">
        <f>IF($EL23=0,0,INDEX('DADOS_FORMAS'!$FP$2:$FP$21,$EL23))</f>
        <v/>
      </c>
      <c r="FA23" s="164">
        <f>IF($EL23=0,0,INDEX('DADOS_FORMAS'!$FR$2:$FR$21,$EL23))</f>
        <v/>
      </c>
      <c r="FB23" s="164">
        <f>IFERROR(VLOOKUP(SUBSTITUTE(SUBSTITUTE(SUBSTITUTE($EI23,"~","~~"),"*","~*"),"?","~?"),'DADOS_RESTRICOES'!$M$2:$Q$54,3,FALSE),0)</f>
        <v/>
      </c>
      <c r="FC23" s="164">
        <f>IFERROR(VLOOKUP(SUBSTITUTE(SUBSTITUTE(SUBSTITUTE($EJ23,"~","~~"),"*","~*"),"?","~?"),'DADOS_RESTRICOES'!$M$2:$Q$54,3,FALSE),0)</f>
        <v/>
      </c>
      <c r="FD23" s="164">
        <f>IFERROR(VLOOKUP(SUBSTITUTE(SUBSTITUTE(SUBSTITUTE($EI23,"~","~~"),"*","~*"),"?","~?"),'DADOS_RESTRICOES'!$M$2:$Q$54,2,FALSE),"")</f>
        <v/>
      </c>
      <c r="FE23" s="164">
        <f>IFERROR(VLOOKUP(SUBSTITUTE(SUBSTITUTE(SUBSTITUTE($EJ23,"~","~~"),"*","~*"),"?","~?"),'DADOS_RESTRICOES'!$M$2:$Q$54,2,FALSE),"")</f>
        <v/>
      </c>
      <c r="FF23" s="164">
        <f>COUNTIF($EM23:$EQ23,1)</f>
        <v/>
      </c>
      <c r="FG23" s="164">
        <f>COUNTIF($EM23:$EQ23,2)</f>
        <v/>
      </c>
      <c r="FH23" s="164">
        <f>COUNTIF($EM23:$EQ23,3)</f>
        <v/>
      </c>
      <c r="FI23" s="164">
        <f>COUNTIF($EM23:$EQ23,4)</f>
        <v/>
      </c>
      <c r="FJ23" s="164">
        <f>COUNTIF($EM23:$EQ23,5)</f>
        <v/>
      </c>
      <c r="FK23" s="164">
        <f>COUNTIF($EM23:$EQ23,6)</f>
        <v/>
      </c>
      <c r="FL23" s="164">
        <f>COUNTIF($FB23:$FC23,1)+IF(IFERROR(INDEX('DADOS_FORMAS'!$AS$2:$AS$21,MATCH(SUBSTITUTE(SUBSTITUTE(SUBSTITUTE($ED23,"~","~~"),"*","~*"),"?","~?"),'DADOS_FORMAS'!$AH$2:$AH$21,0)),"")="",0,IFERROR(N(VLOOKUP(SUBSTITUTE(SUBSTITUTE(SUBSTITUTE(IFERROR(INDEX('DADOS_FORMAS'!$AS$2:$AS$21,MATCH(SUBSTITUTE(SUBSTITUTE(SUBSTITUTE($ED23,"~","~~"),"*","~*"),"?","~?"),'DADOS_FORMAS'!$AH$2:$AH$21,0)),""),"~","~~"),"*","~*"),"?","~?"),'DADOS_RESTRICOES'!$M$2:$Q$54,3,FALSE)=1),0))</f>
        <v/>
      </c>
      <c r="FM23" s="164">
        <f>COUNTIF($FB23:$FC23,2)+IF(IFERROR(INDEX('DADOS_FORMAS'!$AS$2:$AS$21,MATCH(SUBSTITUTE(SUBSTITUTE(SUBSTITUTE($ED23,"~","~~"),"*","~*"),"?","~?"),'DADOS_FORMAS'!$AH$2:$AH$21,0)),"")="",0,IFERROR(N(VLOOKUP(SUBSTITUTE(SUBSTITUTE(SUBSTITUTE(IFERROR(INDEX('DADOS_FORMAS'!$AS$2:$AS$21,MATCH(SUBSTITUTE(SUBSTITUTE(SUBSTITUTE($ED23,"~","~~"),"*","~*"),"?","~?"),'DADOS_FORMAS'!$AH$2:$AH$21,0)),""),"~","~~"),"*","~*"),"?","~?"),'DADOS_RESTRICOES'!$M$2:$Q$54,3,FALSE)=2),0))</f>
        <v/>
      </c>
      <c r="FN23" s="164">
        <f>COUNTIF($EE23:$EH23,"?*")</f>
        <v/>
      </c>
      <c r="FO23" s="164">
        <f>COUNTIF($EI23:$EJ23,"?*")+$EY23</f>
        <v/>
      </c>
      <c r="FP23" s="164">
        <f>SUMPRODUCT($FF23:$FK23,INDEX($Q$2:$V$8,$EB23,0))</f>
        <v/>
      </c>
      <c r="FQ23" s="164">
        <f>$FL23*CEILING($EB23/2,1)+$FM23*$EB23</f>
        <v/>
      </c>
      <c r="FR23" s="164">
        <f>MIN(2*$EB23,$FQ23)</f>
        <v/>
      </c>
      <c r="FS23" s="164">
        <f>MIN($FR23,$FP23-IF($EM23=0,0,INDEX($Q$2:$V$8,$EB23,$EM23)))</f>
        <v/>
      </c>
      <c r="FT23" s="164">
        <f>$FR23-$FS23</f>
        <v/>
      </c>
      <c r="FU23" s="164">
        <f>3*$EB23-$FP23+$FS23</f>
        <v/>
      </c>
      <c r="FV23" s="164">
        <f>MAX(0,$FU23)+$DZ23*$EB23</f>
        <v/>
      </c>
      <c r="FW23" s="164">
        <f>(IF(COUNTIF($KW23:$KZ23,"Salto")&gt;0,1,0)+IF(COUNTIF($KW23:$KZ23,"Queima")&gt;0,1,0)+IF(COUNTIF($KW23:$KZ23,"Estilhaço")&gt;0,1,0))*FLOOR($FV23/2,1)</f>
        <v/>
      </c>
      <c r="FX23" s="164">
        <f>MAX(0,3-SUMPRODUCT($FF23:$FK23,$Q$2:$V$2)+MIN(2,$FL23*1+$FM23*1,SUMPRODUCT($FF23:$FK23,$Q$2:$V$2)-IF($EM23=0,0,INDEX($Q$2:$V$2,1,$EM23))))+$DZ23*1</f>
        <v/>
      </c>
      <c r="FY23" s="164">
        <f>MAX(0,6-SUMPRODUCT($FF23:$FK23,$Q$3:$V$3)+MIN(4,$FL23*1+$FM23*2,SUMPRODUCT($FF23:$FK23,$Q$3:$V$3)-IF($EM23=0,0,INDEX($Q$3:$V$3,1,$EM23))))+$DZ23*2</f>
        <v/>
      </c>
      <c r="FZ23" s="164">
        <f>MAX(0,9-SUMPRODUCT($FF23:$FK23,$Q$4:$V$4)+MIN(6,$FL23*2+$FM23*3,SUMPRODUCT($FF23:$FK23,$Q$4:$V$4)-IF($EM23=0,0,INDEX($Q$4:$V$4,1,$EM23))))+$DZ23*3</f>
        <v/>
      </c>
      <c r="GA23" s="164">
        <f>MAX(0,12-SUMPRODUCT($FF23:$FK23,$Q$5:$V$5)+MIN(8,$FL23*2+$FM23*4,SUMPRODUCT($FF23:$FK23,$Q$5:$V$5)-IF($EM23=0,0,INDEX($Q$5:$V$5,1,$EM23))))+$DZ23*4</f>
        <v/>
      </c>
      <c r="GB23" s="164">
        <f>MAX(0,15-SUMPRODUCT($FF23:$FK23,$Q$6:$V$6)+MIN(10,$FL23*3+$FM23*5,SUMPRODUCT($FF23:$FK23,$Q$6:$V$6)-IF($EM23=0,0,INDEX($Q$6:$V$6,1,$EM23))))+$DZ23*5</f>
        <v/>
      </c>
      <c r="GC23" s="164">
        <f>MAX(0,18-SUMPRODUCT($FF23:$FK23,$Q$7:$V$7)+MIN(12,$FL23*3+$FM23*6,SUMPRODUCT($FF23:$FK23,$Q$7:$V$7)-IF($EM23=0,0,INDEX($Q$7:$V$7,1,$EM23))))+$DZ23*6</f>
        <v/>
      </c>
      <c r="GD23" s="164">
        <f>MAX(0,21-SUMPRODUCT($FF23:$FK23,$Q$8:$V$8)+MIN(14,$FL23*4+$FM23*7,SUMPRODUCT($FF23:$FK23,$Q$8:$V$8)-IF($EM23=0,0,INDEX($Q$8:$V$8,1,$EM23))))+$DZ23*7</f>
        <v/>
      </c>
      <c r="GE23" s="164">
        <f>IF($EZ23=2,3*$FX23&amp;" de vida temp.",IF($EZ23=3,"sem dano",IF($FX23=0,IF($EZ23=1,"sem cura","sem dano"),IF($EZ23=1,"cura ","")&amp;$FX23&amp;"d8")))</f>
        <v/>
      </c>
      <c r="GF23" s="164">
        <f>IF($EZ23=2,3*$FY23&amp;" de vida temp.",IF($EZ23=3,"sem dano",IF($FY23=0,IF($EZ23=1,"sem cura","sem dano"),IF($EZ23=1,"cura ","")&amp;$FY23&amp;"d8")))</f>
        <v/>
      </c>
      <c r="GG23" s="164">
        <f>IF($EZ23=2,3*$FZ23&amp;" de vida temp.",IF($EZ23=3,"sem dano",IF($FZ23=0,IF($EZ23=1,"sem cura","sem dano"),IF($EZ23=1,"cura ","")&amp;$FZ23&amp;"d8")))</f>
        <v/>
      </c>
      <c r="GH23" s="164">
        <f>IF($EZ23=2,3*$GA23&amp;" de vida temp.",IF($EZ23=3,"sem dano",IF($GA23=0,IF($EZ23=1,"sem cura","sem dano"),IF($EZ23=1,"cura ","")&amp;$GA23&amp;"d8")))</f>
        <v/>
      </c>
      <c r="GI23" s="164">
        <f>IF($EZ23=2,3*$GB23&amp;" de vida temp.",IF($EZ23=3,"sem dano",IF($GB23=0,IF($EZ23=1,"sem cura","sem dano"),IF($EZ23=1,"cura ","")&amp;$GB23&amp;"d8")))</f>
        <v/>
      </c>
      <c r="GJ23" s="164">
        <f>IF($EZ23=2,3*$GC23&amp;" de vida temp.",IF($EZ23=3,"sem dano",IF($GC23=0,IF($EZ23=1,"sem cura","sem dano"),IF($EZ23=1,"cura ","")&amp;$GC23&amp;"d8")))</f>
        <v/>
      </c>
      <c r="GK23" s="164">
        <f>IF($EZ23=2,3*$GD23&amp;" de vida temp.",IF($EZ23=3,"sem dano",IF($GD23=0,IF($EZ23=1,"sem cura","sem dano"),IF($EZ23=1,"cura ","")&amp;$GD23&amp;"d8")))</f>
        <v/>
      </c>
      <c r="GL23" s="164">
        <f>IF($EK23=0,"",TEXTJOIN(" · ",TRUE,IF($EK23=0,"",TEXTJOIN(" · ",TRUE,IF($EK23=0,"",TEXTJOIN(" · ",TRUE,IF(AND($DZ23=1,$EA23&gt;$HM$9),"O nível "&amp;$HM$2&amp;" dá "&amp;$HM$9&amp;" Liberação Máxima",""),IF($EB23&gt;$HM$4,"Classe "&amp;$EB23&amp;": o nível "&amp;$HM$2&amp;" libera até a "&amp;$HM$4,""),IF($ER23=1,"Família Fechada: a Forma "&amp;$ED23,""),IF($ES23=1,"Família Fechada: "&amp;$EE23,""),IF($ET23=1,"Família Fechada: "&amp;$EF23,""),IF($EU23=1,"Família Fechada: "&amp;$EG23,""),IF($EV23=1,"Família Fechada: "&amp;$EH23,""),IF($FN23&gt;INDEX($W$2:$W$8,$EB23),$FN23&amp;" Melhorias: a Classe "&amp;$EB23&amp;" aceita "&amp;INDEX($W$2:$W$8,$EB23),""),IF($FO23&gt;2,$FO23&amp;" Restrições"&amp;IF($EY23=1,", contando a que a Forma "&amp;$ED23&amp;" já traz","")&amp;": o limite é 2",""),IF($FU23&lt;0,"Orçamento estourado: faltam "&amp;(-$FU23)&amp;IF($FU23&lt;-1," pontos"," ponto"),""),IF(IFERROR(VLOOKUP(SUBSTITUTE(SUBSTITUTE(SUBSTITUTE($EI23,"~","~~"),"*","~*"),"?","~?"),'DADOS_RESTRICOES'!$M$2:$Q$54,4,FALSE),0)+IFERROR(VLOOKUP(SUBSTITUTE(SUBSTITUTE(SUBSTITUTE($EJ23,"~","~~"),"*","~*"),"?","~?"),'DADOS_RESTRICOES'!$M$2:$Q$54,4,FALSE),0)&gt;1,$FD23&amp;" e "&amp;$FE23&amp;" são as duas de frequência",""),IF(AND((COUNTIF($KW23:$KZ23,"Rápido")+COUNTIF($FD23:$FE23,"Rápido"))&gt;0,(COUNTIF($EE23:$EH23,"Atrasar")+COUNTIF($FD23:$FE23,"Atrasar"))&gt;0),"Rápido não entra com Atrasar",""),IF(AND((COUNTIF($KW23:$KZ23,"Reação")+COUNTIF($FD23:$FE23,"Reação"))&gt;0,(COUNTIF($KW23:$KZ23,"Rápido")+COUNTIF($FD23:$FE23,"Rápido"))&gt;0),"Reação não entra com Rápido",""),IF(AND((COUNTIF($KW23:$KZ23,"Reação")+COUNTIF($FD23:$FE23,"Reação"))&gt;0,(COUNTIF($KW23:$KZ23,"Armado")+COUNTIF($FD23:$FE23,"Armado"))&gt;0),"Reação não entra com Armado",""),IF(AND((COUNTIF($KW23:$KZ23,"Reação")+COUNTIF($FD23:$FE23,"Reação"))&gt;0,(COUNTIF($EE23:$EH23,"Atrasar")+COUNTIF($FD23:$FE23,"Atrasar"))&gt;0),"Reação não entra com Atrasar",""),IF(AND((COUNTIF($KW23:$KZ23,"Reação")+COUNTIF($FD23:$FE23,"Reação"))&gt;0,(COUNTIF($EE23:$EH23,"Parado")+COUNTIF($FD23:$FE23,"Parado"))&gt;0),"Reação não entra com Parado",""),IF(AND((COUNTIF($EE23:$EH23,"Atrasar")+COUNTIF($FD23:$FE23,"Atrasar"))&gt;0,(COUNTIF($EE23:$EH23,"Parado")+COUNTIF($FD23:$FE23,"Parado"))&gt;0),"Atrasar não entra com Parado",""),IF(AND((COUNTIF($KW23:$KZ23,"Armado")+COUNTIF($FD23:$FE23,"Armado"))&gt;0,(COUNTIF($EE23:$EH23,"Carregar")+COUNTIF($FD23:$FE23,"Carregar"))&gt;0),"Armado não entra com Carregar",""),IF(AND(COUNTIF($FD23:$FE23,"Corpo a Corpo")&gt;0,$EY23=0,OR($LB23="Cone",$LB23="Linha")),"Corpo a Corpo não entra em "&amp;$ED23,""),IF(AND(COUNTIF($FD23:$FE23,"Corpo a Corpo")&gt;0,$LC23="Corpo a Corpo"),"A Forma "&amp;$ED23&amp;" já traz o Corpo a Corpo",""),IF(AND(COUNTIF($FD23:$FE23,"Tudo ou Nada")&gt;0,$FA23=0),"Tudo ou Nada só entra em feitiço de Teste de Resistência",""),IF(AND(COUNTIF($KW23:$KZ23,"Inescapável")&gt;0,OR($FN23&gt;1,$FO23&gt;0)),"Inescapável não aceita outra peça",""),IF(AND($DZ23=1,$EB23&lt;3),"Liberação Máxima é de Classe 3 ou mais",""),IF(AND($DZ23=1,OR($EZ23=1,$EZ23=2)),"Liberação Máxima não serve para cura",""),IF(AND($DZ23=1,COUNTIF($KW23:$KZ23,"Inescapável")+COUNTIF($KW23:$KZ23,"Toca a Alma")&gt;0),"Esta peça não entra numa Liberação Máxima",""),IF($FV23*IF(COUNTIF($KW23:$KZ23,"Remate")&gt;0,1.25,1)+$FW23&gt;4*$EB23,($FV23*IF(COUNTIF($KW23:$KZ23,"Remate")&gt;0,1.25,1)+$FW23)&amp;" dados somando repetições"&amp;IF(COUNTIF($KW23:$KZ23,"Remate")&gt;0," e o Remate","")&amp;": o teto da Classe "&amp;$EB23&amp;" é "&amp;4*$EB23,""))),IF(AND($EE23&lt;&gt;"",COUNTIF('DADOS_MELHORIAS'!$O$2:$O$113,SUBSTITUTE(SUBSTITUTE(SUBSTITUTE($EE23,"~","~~"),"*","~*"),"?","~?"))=0),"Melhoria não cadastrada ou com erro: "&amp;$EE23,""),IF(AND($EF23&lt;&gt;"",COUNTIF('DADOS_MELHORIAS'!$O$2:$O$113,SUBSTITUTE(SUBSTITUTE(SUBSTITUTE($EF23,"~","~~"),"*","~*"),"?","~?"))=0),"Melhoria não cadastrada ou com erro: "&amp;$EF23,""),IF(AND($EG23&lt;&gt;"",COUNTIF('DADOS_MELHORIAS'!$O$2:$O$113,SUBSTITUTE(SUBSTITUTE(SUBSTITUTE($EG23,"~","~~"),"*","~*"),"?","~?"))=0),"Melhoria não cadastrada ou com erro: "&amp;$EG23,""),IF(AND($EH23&lt;&gt;"",COUNTIF('DADOS_MELHORIAS'!$O$2:$O$113,SUBSTITUTE(SUBSTITUTE(SUBSTITUTE($EH23,"~","~~"),"*","~*"),"?","~?"))=0),"Melhoria não cadastrada ou com erro: "&amp;$EH23,""),IF(AND($EI23&lt;&gt;"",COUNTIF('DADOS_RESTRICOES'!$M$2:$M$54,SUBSTITUTE(SUBSTITUTE(SUBSTITUTE($EI23,"~","~~"),"*","~*"),"?","~?"))=0),"Restrição não cadastrada ou com erro: "&amp;$EI23,""),IF(AND($EJ23&lt;&gt;"",COUNTIF('DADOS_RESTRICOES'!$M$2:$M$54,SUBSTITUTE(SUBSTITUTE(SUBSTITUTE($EJ23,"~","~~"),"*","~*"),"?","~?"))=0),"Restrição não cadastrada ou com erro: "&amp;$EJ23,""))),IF(AND($ED23&lt;&gt;"",COUNTIF('DADOS_FORMAS'!$AH$2:$AH$21,SUBSTITUTE(SUBSTITUTE(SUBSTITUTE($ED23,"~","~~"),"*","~*"),"?","~?"))=0),"Forma não cadastrada ou com erro: "&amp;$ED23,""),IF(AND(IFERROR(INDEX('DADOS_FORMAS'!$AS$2:$AS$21,MATCH(SUBSTITUTE(SUBSTITUTE(SUBSTITUTE($ED23,"~","~~"),"*","~*"),"?","~?"),'DADOS_FORMAS'!$AH$2:$AH$21,0)),"")&lt;&gt;"",OR(IFERROR(VLOOKUP(SUBSTITUTE(SUBSTITUTE(SUBSTITUTE(IFERROR(INDEX('DADOS_FORMAS'!$AS$2:$AS$21,MATCH(SUBSTITUTE(SUBSTITUTE(SUBSTITUTE($ED23,"~","~~"),"*","~*"),"?","~?"),'DADOS_FORMAS'!$AH$2:$AH$21,0)),""),"~","~~"),"*","~*"),"?","~?"),'DADOS_RESTRICOES'!$M$2:$Q$54,2,FALSE),"")=$FD23,IFERROR(VLOOKUP(SUBSTITUTE(SUBSTITUTE(SUBSTITUTE(IFERROR(INDEX('DADOS_FORMAS'!$AS$2:$AS$21,MATCH(SUBSTITUTE(SUBSTITUTE(SUBSTITUTE($ED23,"~","~~"),"*","~*"),"?","~?"),'DADOS_FORMAS'!$AH$2:$AH$21,0)),""),"~","~~"),"*","~*"),"?","~?"),'DADOS_RESTRICOES'!$M$2:$Q$54,2,FALSE),"")=$FE23)),"Restrição repetida, contando a embutida",""),IF(IF(IFERROR(INDEX('DADOS_FORMAS'!$AS$2:$AS$21,MATCH(SUBSTITUTE(SUBSTITUTE(SUBSTITUTE($ED23,"~","~~"),"*","~*"),"?","~?"),'DADOS_FORMAS'!$AH$2:$AH$21,0)),"")="",0,IFERROR(N(VLOOKUP(SUBSTITUTE(SUBSTITUTE(SUBSTITUTE(IFERROR(INDEX('DADOS_FORMAS'!$AS$2:$AS$21,MATCH(SUBSTITUTE(SUBSTITUTE(SUBSTITUTE($ED23,"~","~~"),"*","~*"),"?","~?"),'DADOS_FORMAS'!$AH$2:$AH$21,0)),""),"~","~~"),"*","~*"),"?","~?"),'DADOS_RESTRICOES'!$M$2:$Q$54,4,FALSE)=1),0))+IF($EI23="",0,IFERROR(N(VLOOKUP(SUBSTITUTE(SUBSTITUTE(SUBSTITUTE($EI23,"~","~~"),"*","~*"),"?","~?"),'DADOS_RESTRICOES'!$M$2:$Q$54,4,FALSE)=1),0))+IF($EJ23="",0,IFERROR(N(VLOOKUP(SUBSTITUTE(SUBSTITUTE(SUBSTITUTE($EJ23,"~","~~"),"*","~*"),"?","~?"),'DADOS_RESTRICOES'!$M$2:$Q$54,4,FALSE)=1),0))&gt;1,"Duas Restrições de frequência, contando a embutida",""),IF(AND(IFERROR(VLOOKUP(SUBSTITUTE(SUBSTITUTE(SUBSTITUTE(IFERROR(INDEX('DADOS_FORMAS'!$AS$2:$AS$21,MATCH(SUBSTITUTE(SUBSTITUTE(SUBSTITUTE($ED23,"~","~~"),"*","~*"),"?","~?"),'DADOS_FORMAS'!$AH$2:$AH$21,0)),""),"~","~~"),"*","~*"),"?","~?"),'DADOS_RESTRICOES'!$M$2:$Q$54,2,FALSE),"")="Tudo ou Nada",$FA23=0),"Tudo ou Nada exige TR",""),IF(AND(IFERROR(VLOOKUP(SUBSTITUTE(SUBSTITUTE(SUBSTITUTE(IFERROR(INDEX('DADOS_FORMAS'!$AS$2:$AS$21,MATCH(SUBSTITUTE(SUBSTITUTE(SUBSTITUTE($ED23,"~","~~"),"*","~*"),"?","~?"),'DADOS_FORMAS'!$AH$2:$AH$21,0)),""),"~","~~"),"*","~*"),"?","~?"),'DADOS_RESTRICOES'!$M$2:$Q$54,2,FALSE),"")="Corpo a Corpo",OR($LB23="Cone",$LB23="Linha")),"Corpo a Corpo não entra em Cone/Linha","")))</f>
        <v/>
      </c>
      <c r="GM23" s="164">
        <f>IF($GL23="",0,(LEN($GL23)-LEN(SUBSTITUTE($GL23," · ","")))/3+1)</f>
        <v/>
      </c>
      <c r="GN23" s="164">
        <f>IF($EK23=0,"",TEXTJOIN(" · ",TRUE,IF($FQ23&gt;2*$EB23,"A devolução parou no teto de "&amp;2*$EB23,""),IF($FT23&gt;0,"Devolução perdida: "&amp;$FT23&amp;IF($FT23&gt;1," pontos"," ponto")&amp;" sem Melhoria para pagar",""),IF(AND($EW23&gt;0,$FV23=0),"Controle sem dano: uma rodada a mais e CD +2",""),IF(AND($EW23&gt;0,$FV23&gt;0,$FV23&lt;=$EB23),"Controle com saldo até a Classe: uma rodada a mais","")))</f>
        <v/>
      </c>
      <c r="GO23" s="164">
        <f>IF($GN23="",0,(LEN($GN23)-LEN(SUBSTITUTE($GN23," · ","")))/3+1)</f>
        <v/>
      </c>
      <c r="GP23" s="164">
        <f>IF($EK23=0,IF($FN23+$FO23-$EY23&gt;0,"Dê um nome",""),IF($GM23&gt;0,"⚠ "&amp;$GM23&amp;IF($GM23&gt;1," erros"," erro"),IF($GO23&gt;0,"! "&amp;$GO23&amp;IF($GO23&gt;1," avisos"," aviso"),"Na regra")))</f>
        <v/>
      </c>
      <c r="GQ23" s="164">
        <f>IF($EK23=0,"",IF($GM23+$GO23=0,"Dentro das regras que a ficha confere",$GL23&amp;IF(AND($GM23&gt;0,$GO23&gt;0)," · ","")&amp;$GN23))</f>
        <v/>
      </c>
      <c r="GR23" s="164">
        <f>IF($EK23=0,"",IF($DZ23=1,CEILING(4.5*$EB23,1),3*$EB23)&amp;" PE")</f>
        <v/>
      </c>
      <c r="GS23" s="164">
        <f>IF($EK23=0,"",IF($DZ23=1,"Rodada inteira",IF(COUNTIF($LD23:$LF23,"Atrasar")&gt;0,IF(COUNTIF($LD23:$LF23,"Carregar")&gt;0,"Rodada +1 turno","Rodada inteira"),IF(COUNTIF($KW23:$KZ23,"Rápido")&gt;0,"Bônus",IF(COUNTIF($KW23:$KZ23,"Reação")&gt;0,"Reação","Padrão"))&amp;IF(COUNTIF($LD23:$LF23,"Carregar")&gt;0," +1 turno",""))))</f>
        <v/>
      </c>
      <c r="GT23" s="164">
        <f>IF(OR($EK23=0,$EL23=0),"",IF(COUNTIF($KW23:$KZ23,"Inescapável")&gt;0,"Automático",IF(COUNTIF($KW23:$KZ23,"Certeiro")&gt;0,"TR para metade",IF(AND($EX23&gt;0,$FA23=0,INDEX('DADOS_FORMAS'!$FQ$2:$FQ$21,$EL23)="Acerto"),"Acerto + TR",INDEX('DADOS_FORMAS'!$FQ$2:$FQ$21,$EL23)))))</f>
        <v/>
      </c>
      <c r="GU23" s="164">
        <f>IF(OR($EK23=0,$EL23=0),"",IF(OR($EZ23&gt;=2,$FV23=0),UPPER(LEFT(INDEX($GE23:$GK23,1,$EB23),1))&amp;MID(INDEX($GE23:$GK23,1,$EB23),2,99),UPPER(LEFT(INDEX($GE23:$GK23,1,$EB23),1))&amp;MID(INDEX($GE23:$GK23,1,$EB23),2,99)&amp;" = "&amp;FLOOR($FV23*4.5,1)&amp;IF($FW23&gt;0," · +"&amp;$FW23&amp;"d8","")))</f>
        <v/>
      </c>
      <c r="GV23" s="164">
        <f>COUNTIF($KW23:$KZ23,"Longe")+3*COUNTIF($KW23:$KZ23,"Muito Longe")</f>
        <v/>
      </c>
      <c r="GW23" s="164">
        <f>COUNTIF($KW23:$KZ23,"Maior")+3*COUNTIF($KW23:$KZ23,"Muito Maior")</f>
        <v/>
      </c>
      <c r="GX23" s="164">
        <f>IF($EL23=0,0,CHOOSE(1+INDEX('DADOS_FORMAS'!$FS$2:$FS$21,$EL23),0,$GV23,$GW23,$GV23+$GW23))</f>
        <v/>
      </c>
      <c r="GY23" s="164">
        <f>IF($EL23=0,0,CHOOSE(1+INDEX('DADOS_FORMAS'!$FT$2:$FT$21,$EL23),0,$GV23,$GW23,$GV23+$GW23))</f>
        <v/>
      </c>
      <c r="GZ23" s="164">
        <f>IF(OR($EK23=0,$EL23=0),"",INDEX('DADOS_FORMAS'!$GZ$2:$HE$61,($EL23-1)*3+IF($EB23&gt;=6,3,2),1+MIN(5,$GX23))&amp;INDEX('DADOS_FORMAS'!$HF$2:$HK$61,($EL23-1)*3+IF($EB23&gt;=6,3,2),1+MIN(5,$GY23))&amp;IF(INDEX('DADOS_FORMAS'!$FU$2:$FU$21,$EL23)=1,IF(COUNTIF($KW23:$KZ23,"Mais Um")&gt;0," · +"&amp;COUNTIF($KW23:$KZ23,"Mais Um")&amp;IF(COUNTIF($KW23:$KZ23,"Mais Um")&gt;1," alvos"," alvo"),"")&amp;IF(COUNTIF($KW23:$KZ23,"Rajada")&gt;0," · "&amp;($EB23+1)&amp;" tiros",""),""))</f>
        <v/>
      </c>
      <c r="HA23" s="164">
        <f>IF($EK23=0,"",3*$EB23&amp;" − "&amp;$FP23&amp;" + "&amp;$FS23&amp;IF($DZ23=1," + "&amp;$EB23,"")&amp;" = "&amp;$FV23&amp;"d8 · teto "&amp;4*$EB23&amp;IF($EY23=1," · a Forma devolve "&amp;$EB23,"")&amp;IF($FT23&gt;0," · perde "&amp;$FT23,""))</f>
        <v/>
      </c>
      <c r="HB23" s="164">
        <f>IF($EK23=0,"",IF($EB23&gt;=$HM$4,"Já está na maior Classe que o nível liberou",TEXTJOIN(" · ",TRUE,IF(AND(2&gt;$EB23,2&lt;=$HM$4),"2 → "&amp;$GF23&amp;", "&amp;IF($DZ23=1,9,6)&amp;" PE",""),IF(AND(3&gt;$EB23,3&lt;=$HM$4),"3 → "&amp;$GG23&amp;", "&amp;IF($DZ23=1,14,9)&amp;" PE",""),IF(AND(4&gt;$EB23,4&lt;=$HM$4),"4 → "&amp;$GH23&amp;", "&amp;IF($DZ23=1,18,12)&amp;" PE",""),IF(AND(5&gt;$EB23,5&lt;=$HM$4),"5 → "&amp;$GI23&amp;", "&amp;IF($DZ23=1,23,15)&amp;" PE",""),IF(AND(6&gt;$EB23,6&lt;=$HM$4),"6 → "&amp;$GJ23&amp;", "&amp;IF($DZ23=1,27,18)&amp;" PE",""),IF(AND(7&gt;$EB23,7&lt;=$HM$4),"7 → "&amp;$GK23&amp;", "&amp;IF($DZ23=1,32,21)&amp;" PE",""))))</f>
        <v/>
      </c>
      <c r="HC23" s="164">
        <f>IF(OR($EK23=0,$EN23=0),"","−"&amp;INDEX($Q$2:$V$8,$EB23,$EN23)&amp;" · "&amp;CHOOSE($EN23,"Leve","Média","Pesada","Leve · Livre","Média · Livre","Pesada · Livre"))</f>
        <v/>
      </c>
      <c r="HD23" s="164">
        <f>IF(OR($EK23=0,$EO23=0),"","−"&amp;INDEX($Q$2:$V$8,$EB23,$EO23)&amp;" · "&amp;CHOOSE($EO23,"Leve","Média","Pesada","Leve · Livre","Média · Livre","Pesada · Livre"))</f>
        <v/>
      </c>
      <c r="HE23" s="164">
        <f>IF(OR($EK23=0,$EP23=0),"","−"&amp;INDEX($Q$2:$V$8,$EB23,$EP23)&amp;" · "&amp;CHOOSE($EP23,"Leve","Média","Pesada","Leve · Livre","Média · Livre","Pesada · Livre"))</f>
        <v/>
      </c>
      <c r="HF23" s="164">
        <f>IF(OR($EK23=0,$EQ23=0),"","−"&amp;INDEX($Q$2:$V$8,$EB23,$EQ23)&amp;" · "&amp;CHOOSE($EQ23,"Leve","Média","Pesada","Leve · Livre","Média · Livre","Pesada · Livre"))</f>
        <v/>
      </c>
      <c r="HG23" s="164">
        <f>IF(OR($EK23=0,$EI23=""),"","+"&amp;IF($FB23=1,CEILING($EB23/2,1),$EB23))</f>
        <v/>
      </c>
      <c r="HH23" s="164">
        <f>IF(OR($EK23=0,$EJ23=""),"","+"&amp;IF($FC23=1,CEILING($EB23/2,1),$EB23))</f>
        <v/>
      </c>
      <c r="HI23" s="164">
        <f>'FICHA AMALDIÇOADA'!$D$215&amp;""</f>
        <v/>
      </c>
      <c r="HJ23" s="164">
        <f>IF(AND($EK23=1,$DZ23=0),COUNTIFS($EK$2:$EK23,1,$DZ$2:$DZ23,0),"")</f>
        <v/>
      </c>
      <c r="HL23" s="162" t="inlineStr">
        <is>
          <t>passivas pagas</t>
        </is>
      </c>
      <c r="HM23" s="164">
        <f>IF('FICHA AMALDIÇOADA'!$D$392&lt;&gt;"",1,0)+IF('FICHA AMALDIÇOADA'!$J$392&lt;&gt;"",1,0)+IF('FICHA AMALDIÇOADA'!$P$392&lt;&gt;"",1,0)+IF('FICHA AMALDIÇOADA'!$D$400&lt;&gt;"",1,0)+IF('FICHA AMALDIÇOADA'!$J$400&lt;&gt;"",1,0)</f>
        <v/>
      </c>
      <c r="JH23" s="164" t="n">
        <v>22</v>
      </c>
      <c r="JI23" s="164">
        <f>IFERROR(MATCH(22,$HJ$2:$HJ$37,0),0)</f>
        <v/>
      </c>
      <c r="JJ23" s="164">
        <f>IF($JI23=0,"",INDEX($EB$2:$EB$37,$JI23))</f>
        <v/>
      </c>
      <c r="JK23" s="164">
        <f>IF($JI23=0,"",INDEX($EC$2:$EC$37,$JI23))</f>
        <v/>
      </c>
      <c r="JL23" s="164">
        <f>IF($JI23=0,"",INDEX($GR$2:$GR$37,$JI23))</f>
        <v/>
      </c>
      <c r="JM23" s="164">
        <f>IF($JI23=0,"",INDEX($ED$2:$ED$37,$JI23))</f>
        <v/>
      </c>
      <c r="JN23" s="164">
        <f>IF($JI23=0,"",INDEX($GT$2:$GT$37,$JI23))</f>
        <v/>
      </c>
      <c r="JO23" s="164">
        <f>IF($JI23=0,"",INDEX($HI$2:$HI$37,$JI23))</f>
        <v/>
      </c>
      <c r="KU23" s="162" t="inlineStr">
        <is>
          <t>R55</t>
        </is>
      </c>
      <c r="KV23" s="164">
        <f>IF(DADOS_AM!$HM$20=1,"⚠ ","")&amp;DADOS_AM!$HM$19</f>
        <v/>
      </c>
      <c r="KW23">
        <f>IF($EE23="","",IFERROR(VLOOKUP(SUBSTITUTE(SUBSTITUTE(SUBSTITUTE($EE23,"~","~~"),"*","~*"),"?","~?"),'DADOS_MELHORIAS'!$O$2:$X$113,10,FALSE),$EE23))</f>
        <v/>
      </c>
      <c r="KX23">
        <f>IF($EF23="","",IFERROR(VLOOKUP(SUBSTITUTE(SUBSTITUTE(SUBSTITUTE($EF23,"~","~~"),"*","~*"),"?","~?"),'DADOS_MELHORIAS'!$O$2:$X$113,10,FALSE),$EF23))</f>
        <v/>
      </c>
      <c r="KY23">
        <f>IF($EG23="","",IFERROR(VLOOKUP(SUBSTITUTE(SUBSTITUTE(SUBSTITUTE($EG23,"~","~~"),"*","~*"),"?","~?"),'DADOS_MELHORIAS'!$O$2:$X$113,10,FALSE),$EG23))</f>
        <v/>
      </c>
      <c r="KZ23">
        <f>IF($EH23="","",IFERROR(VLOOKUP(SUBSTITUTE(SUBSTITUTE(SUBSTITUTE($EH23,"~","~~"),"*","~*"),"?","~?"),'DADOS_MELHORIAS'!$O$2:$X$113,10,FALSE),$EH23))</f>
        <v/>
      </c>
      <c r="LB23">
        <f>IFERROR(INDEX('DADOS_FORMAS'!$BJ$2:$BJ$21,MATCH(SUBSTITUTE(SUBSTITUTE(SUBSTITUTE($ED23,"~","~~"),"*","~*"),"?","~?"),'DADOS_FORMAS'!$AH$2:$AH$21,0)),"")</f>
        <v/>
      </c>
      <c r="LC23">
        <f>IFERROR(VLOOKUP(SUBSTITUTE(SUBSTITUTE(SUBSTITUTE(IFERROR(INDEX('DADOS_FORMAS'!$AS$2:$AS$21,MATCH(SUBSTITUTE(SUBSTITUTE(SUBSTITUTE($ED23,"~","~~"),"*","~*"),"?","~?"),'DADOS_FORMAS'!$AH$2:$AH$21,0)),""),"~","~~"),"*","~*"),"?","~?"),'DADOS_RESTRICOES'!$M$2:$Q$54,2,FALSE),"")</f>
        <v/>
      </c>
      <c r="LD23">
        <f>$FD23</f>
        <v/>
      </c>
      <c r="LE23">
        <f>$FE23</f>
        <v/>
      </c>
      <c r="LF23">
        <f>$LC23</f>
        <v/>
      </c>
    </row>
    <row r="24">
      <c r="AO24" s="162" t="inlineStr">
        <is>
          <t>Apoio · classes 1 a 5</t>
        </is>
      </c>
      <c r="AP24" s="162" t="inlineStr">
        <is>
          <t>Um aliado a 9 m</t>
        </is>
      </c>
      <c r="AQ24" s="162" t="inlineStr">
        <is>
          <t>Um aliado a 18 m</t>
        </is>
      </c>
      <c r="AR24" s="162" t="inlineStr">
        <is>
          <t>Um aliado a 36 m</t>
        </is>
      </c>
      <c r="AS24" s="162" t="inlineStr">
        <is>
          <t>Um aliado a 90 m</t>
        </is>
      </c>
      <c r="AT24" s="162" t="inlineStr">
        <is>
          <t>Um aliado a visão a olho nu</t>
        </is>
      </c>
      <c r="AU24" s="162" t="inlineStr">
        <is>
          <t>Um aliado a visão a olho nu</t>
        </is>
      </c>
      <c r="AV24" s="162" t="inlineStr"/>
      <c r="AW24" s="162" t="inlineStr"/>
      <c r="AX24" s="162" t="inlineStr"/>
      <c r="AY24" s="162" t="inlineStr"/>
      <c r="AZ24" s="162" t="inlineStr"/>
      <c r="BA24" s="162" t="inlineStr"/>
      <c r="BC24" s="162" t="inlineStr">
        <is>
          <t>Lento</t>
        </is>
      </c>
      <c r="BD24" s="162" t="inlineStr">
        <is>
          <t>Controle</t>
        </is>
      </c>
      <c r="BE24" s="164" t="n">
        <v>1</v>
      </c>
      <c r="BF24" s="164">
        <f>$BE24+3*IFERROR(VLOOKUP($BD24,'DADOS_CRIACAO'!$H$2:$K$20,3,FALSE),0)</f>
        <v/>
      </c>
      <c r="BG24" s="164">
        <f>IFERROR(VLOOKUP($BD24,'DADOS_CRIACAO'!$H$2:$K$20,4,FALSE),0)</f>
        <v/>
      </c>
      <c r="BH24" s="164" t="n">
        <v>1</v>
      </c>
      <c r="BI24" s="164">
        <f>IF($BG24=1,"",$BC24)</f>
        <v/>
      </c>
      <c r="BJ24" s="164">
        <f>IF(AND($BE24=1,$BG24=0),$BC24,"")</f>
        <v/>
      </c>
      <c r="BK24" s="164" t="n">
        <v>1</v>
      </c>
      <c r="BM24" s="162" t="inlineStr">
        <is>
          <t>Restrição Própria (Média)</t>
        </is>
      </c>
      <c r="BN24" s="162" t="inlineStr">
        <is>
          <t>Restrição Própria</t>
        </is>
      </c>
      <c r="BO24" s="164" t="n">
        <v>2</v>
      </c>
      <c r="BP24" s="164" t="n">
        <v>0</v>
      </c>
      <c r="BQ24" s="162" t="inlineStr"/>
      <c r="BS24" s="162" t="inlineStr">
        <is>
          <t>Aliança</t>
        </is>
      </c>
      <c r="BT24" s="164" t="n">
        <v>3</v>
      </c>
      <c r="BU24" s="162" t="inlineStr">
        <is>
          <t>Escolha uma de suas armas ao adquirir este Talento. Ela não pode ser desarmada contra sua vontade e somente você pode empunhá-la para utilizá-la.</t>
        </is>
      </c>
      <c r="BV24" s="164" t="n">
        <v>0</v>
      </c>
      <c r="BW24" s="164" t="n">
        <v>1</v>
      </c>
      <c r="BX24" s="164">
        <f>IF(OR(AND($A$2&lt;=2,$BV24=1),AND($A$2&gt;=2,$BW24=1)),$BS24,"")</f>
        <v/>
      </c>
      <c r="BY24" s="162" t="inlineStr">
        <is>
          <t>Escolha uma de suas armas ao adquirir este Talento. Ela não pode ser desarmada contra sua vontade e somente você pode empunhá-la para utilizá-la.</t>
        </is>
      </c>
      <c r="CD24" s="162" t="inlineStr">
        <is>
          <t>Vigília</t>
        </is>
      </c>
      <c r="CE24" s="162" t="inlineStr">
        <is>
          <t>Lapidação 4</t>
        </is>
      </c>
      <c r="CF24" s="164" t="n">
        <v>2</v>
      </c>
      <c r="CG24" s="162" t="inlineStr">
        <is>
          <t>—</t>
        </is>
      </c>
      <c r="CH24" s="162" t="inlineStr">
        <is>
          <t>Ao aplicar as consequências de Exaustão, conte um estágio a menos, até o mínimo de zero. Mantenha na ficha o estágio real: ganhar nova Exaustão e removê-la pelo descanso continua usando esse valor. Ter Exaustão 1 elimina suas consequências enquanto a Bênção estiver ativa. Ter Exaustão 3 aplica as consequências do estágio 2. A Bênção não remove o estágio marcado.</t>
        </is>
      </c>
      <c r="CI24" s="164">
        <f>IF($CL24=1,"",IF($A$2=4,IF($CJ24=1,$CD24,""),IF(OR($CJ24=1,AND($A$2=3,$CK24=1)),"",$CD24)))</f>
        <v/>
      </c>
      <c r="CJ24" s="164" t="n">
        <v>1</v>
      </c>
      <c r="CK24" s="164" t="n">
        <v>0</v>
      </c>
      <c r="CL24" s="164" t="n">
        <v>0</v>
      </c>
      <c r="CM24" s="162" t="inlineStr">
        <is>
          <t>Ao aplicar as consequências de Exaustão, conte um estágio a menos, até o mínimo de zero.</t>
        </is>
      </c>
      <c r="DY24" s="162" t="inlineStr">
        <is>
          <t>Feitiço 23</t>
        </is>
      </c>
      <c r="DZ24" s="164" t="n">
        <v>0</v>
      </c>
      <c r="EA24" s="164" t="n">
        <v>23</v>
      </c>
      <c r="EB24" s="164">
        <f>MAX(1,MIN(7,N('FICHA AMALDIÇOADA'!$J$213)))</f>
        <v/>
      </c>
      <c r="EC24" s="164">
        <f>'FICHA AMALDIÇOADA'!$K$213&amp;""</f>
        <v/>
      </c>
      <c r="ED24" s="164">
        <f>'FICHA AMALDIÇOADA'!$J$220&amp;""</f>
        <v/>
      </c>
      <c r="EE24" s="164">
        <f>'FICHA AMALDIÇOADA'!$K$222&amp;""</f>
        <v/>
      </c>
      <c r="EF24" s="164">
        <f>'FICHA AMALDIÇOADA'!$K$223&amp;""</f>
        <v/>
      </c>
      <c r="EG24" s="164">
        <f>'FICHA AMALDIÇOADA'!$K$224&amp;""</f>
        <v/>
      </c>
      <c r="EH24" s="164">
        <f>'FICHA AMALDIÇOADA'!$K$225&amp;""</f>
        <v/>
      </c>
      <c r="EI24" s="164">
        <f>'FICHA AMALDIÇOADA'!$K$226&amp;""</f>
        <v/>
      </c>
      <c r="EJ24" s="164">
        <f>'FICHA AMALDIÇOADA'!$K$227&amp;""</f>
        <v/>
      </c>
      <c r="EK24" s="164">
        <f>IF($EC24&lt;&gt;"",1,0)</f>
        <v/>
      </c>
      <c r="EL24" s="164">
        <f>IFERROR(MATCH(SUBSTITUTE(SUBSTITUTE(SUBSTITUTE($ED24,"~","~~"),"*","~*"),"?","~?"),'DADOS_FORMAS'!$FJ$2:$FJ$21,0),0)</f>
        <v/>
      </c>
      <c r="EM24" s="164">
        <f>IF($EL24=0,0,INDEX('DADOS_FORMAS'!$FM$2:$FM$21,$EL24))</f>
        <v/>
      </c>
      <c r="EN24" s="164">
        <f>IFERROR(VLOOKUP(SUBSTITUTE(SUBSTITUTE(SUBSTITUTE($EE24,"~","~~"),"*","~*"),"?","~?"),'DADOS_MELHORIAS'!$O$2:$W$113,4,FALSE),0)</f>
        <v/>
      </c>
      <c r="EO24" s="164">
        <f>IFERROR(VLOOKUP(SUBSTITUTE(SUBSTITUTE(SUBSTITUTE($EF24,"~","~~"),"*","~*"),"?","~?"),'DADOS_MELHORIAS'!$O$2:$W$113,4,FALSE),0)</f>
        <v/>
      </c>
      <c r="EP24" s="164">
        <f>IFERROR(VLOOKUP(SUBSTITUTE(SUBSTITUTE(SUBSTITUTE($EG24,"~","~~"),"*","~*"),"?","~?"),'DADOS_MELHORIAS'!$O$2:$W$113,4,FALSE),0)</f>
        <v/>
      </c>
      <c r="EQ24" s="164">
        <f>IFERROR(VLOOKUP(SUBSTITUTE(SUBSTITUTE(SUBSTITUTE($EH24,"~","~~"),"*","~*"),"?","~?"),'DADOS_MELHORIAS'!$O$2:$W$113,4,FALSE),0)</f>
        <v/>
      </c>
      <c r="ER24" s="164">
        <f>IF($EL24=0,0,INDEX('DADOS_FORMAS'!$FN$2:$FN$21,$EL24))</f>
        <v/>
      </c>
      <c r="ES24" s="164">
        <f>IFERROR(VLOOKUP(SUBSTITUTE(SUBSTITUTE(SUBSTITUTE($EE24,"~","~~"),"*","~*"),"?","~?"),'DADOS_MELHORIAS'!$O$2:$W$113,5,FALSE),0)</f>
        <v/>
      </c>
      <c r="ET24" s="164">
        <f>IFERROR(VLOOKUP(SUBSTITUTE(SUBSTITUTE(SUBSTITUTE($EF24,"~","~~"),"*","~*"),"?","~?"),'DADOS_MELHORIAS'!$O$2:$W$113,5,FALSE),0)</f>
        <v/>
      </c>
      <c r="EU24" s="164">
        <f>IFERROR(VLOOKUP(SUBSTITUTE(SUBSTITUTE(SUBSTITUTE($EG24,"~","~~"),"*","~*"),"?","~?"),'DADOS_MELHORIAS'!$O$2:$W$113,5,FALSE),0)</f>
        <v/>
      </c>
      <c r="EV24" s="164">
        <f>IFERROR(VLOOKUP(SUBSTITUTE(SUBSTITUTE(SUBSTITUTE($EH24,"~","~~"),"*","~*"),"?","~?"),'DADOS_MELHORIAS'!$O$2:$W$113,5,FALSE),0)</f>
        <v/>
      </c>
      <c r="EW24" s="164">
        <f>IFERROR(VLOOKUP(SUBSTITUTE(SUBSTITUTE(SUBSTITUTE($EE24,"~","~~"),"*","~*"),"?","~?"),'DADOS_MELHORIAS'!$O$2:$W$113,6,FALSE),0)+IFERROR(VLOOKUP(SUBSTITUTE(SUBSTITUTE(SUBSTITUTE($EF24,"~","~~"),"*","~*"),"?","~?"),'DADOS_MELHORIAS'!$O$2:$W$113,6,FALSE),0)+IFERROR(VLOOKUP(SUBSTITUTE(SUBSTITUTE(SUBSTITUTE($EG24,"~","~~"),"*","~*"),"?","~?"),'DADOS_MELHORIAS'!$O$2:$W$113,6,FALSE),0)+IFERROR(VLOOKUP(SUBSTITUTE(SUBSTITUTE(SUBSTITUTE($EH24,"~","~~"),"*","~*"),"?","~?"),'DADOS_MELHORIAS'!$O$2:$W$113,6,FALSE),0)</f>
        <v/>
      </c>
      <c r="EX24" s="164">
        <f>IFERROR(VLOOKUP(SUBSTITUTE(SUBSTITUTE(SUBSTITUTE($EE24,"~","~~"),"*","~*"),"?","~?"),'DADOS_MELHORIAS'!$O$2:$W$113,9,FALSE),0)+IFERROR(VLOOKUP(SUBSTITUTE(SUBSTITUTE(SUBSTITUTE($EF24,"~","~~"),"*","~*"),"?","~?"),'DADOS_MELHORIAS'!$O$2:$W$113,9,FALSE),0)+IFERROR(VLOOKUP(SUBSTITUTE(SUBSTITUTE(SUBSTITUTE($EG24,"~","~~"),"*","~*"),"?","~?"),'DADOS_MELHORIAS'!$O$2:$W$113,9,FALSE),0)+IFERROR(VLOOKUP(SUBSTITUTE(SUBSTITUTE(SUBSTITUTE($EH24,"~","~~"),"*","~*"),"?","~?"),'DADOS_MELHORIAS'!$O$2:$W$113,9,FALSE),0)</f>
        <v/>
      </c>
      <c r="EY24" s="164">
        <f>IF($EL24=0,0,INDEX('DADOS_FORMAS'!$FO$2:$FO$21,$EL24))</f>
        <v/>
      </c>
      <c r="EZ24" s="164">
        <f>IF($EL24=0,0,INDEX('DADOS_FORMAS'!$FP$2:$FP$21,$EL24))</f>
        <v/>
      </c>
      <c r="FA24" s="164">
        <f>IF($EL24=0,0,INDEX('DADOS_FORMAS'!$FR$2:$FR$21,$EL24))</f>
        <v/>
      </c>
      <c r="FB24" s="164">
        <f>IFERROR(VLOOKUP(SUBSTITUTE(SUBSTITUTE(SUBSTITUTE($EI24,"~","~~"),"*","~*"),"?","~?"),'DADOS_RESTRICOES'!$M$2:$Q$54,3,FALSE),0)</f>
        <v/>
      </c>
      <c r="FC24" s="164">
        <f>IFERROR(VLOOKUP(SUBSTITUTE(SUBSTITUTE(SUBSTITUTE($EJ24,"~","~~"),"*","~*"),"?","~?"),'DADOS_RESTRICOES'!$M$2:$Q$54,3,FALSE),0)</f>
        <v/>
      </c>
      <c r="FD24" s="164">
        <f>IFERROR(VLOOKUP(SUBSTITUTE(SUBSTITUTE(SUBSTITUTE($EI24,"~","~~"),"*","~*"),"?","~?"),'DADOS_RESTRICOES'!$M$2:$Q$54,2,FALSE),"")</f>
        <v/>
      </c>
      <c r="FE24" s="164">
        <f>IFERROR(VLOOKUP(SUBSTITUTE(SUBSTITUTE(SUBSTITUTE($EJ24,"~","~~"),"*","~*"),"?","~?"),'DADOS_RESTRICOES'!$M$2:$Q$54,2,FALSE),"")</f>
        <v/>
      </c>
      <c r="FF24" s="164">
        <f>COUNTIF($EM24:$EQ24,1)</f>
        <v/>
      </c>
      <c r="FG24" s="164">
        <f>COUNTIF($EM24:$EQ24,2)</f>
        <v/>
      </c>
      <c r="FH24" s="164">
        <f>COUNTIF($EM24:$EQ24,3)</f>
        <v/>
      </c>
      <c r="FI24" s="164">
        <f>COUNTIF($EM24:$EQ24,4)</f>
        <v/>
      </c>
      <c r="FJ24" s="164">
        <f>COUNTIF($EM24:$EQ24,5)</f>
        <v/>
      </c>
      <c r="FK24" s="164">
        <f>COUNTIF($EM24:$EQ24,6)</f>
        <v/>
      </c>
      <c r="FL24" s="164">
        <f>COUNTIF($FB24:$FC24,1)+IF(IFERROR(INDEX('DADOS_FORMAS'!$AS$2:$AS$21,MATCH(SUBSTITUTE(SUBSTITUTE(SUBSTITUTE($ED24,"~","~~"),"*","~*"),"?","~?"),'DADOS_FORMAS'!$AH$2:$AH$21,0)),"")="",0,IFERROR(N(VLOOKUP(SUBSTITUTE(SUBSTITUTE(SUBSTITUTE(IFERROR(INDEX('DADOS_FORMAS'!$AS$2:$AS$21,MATCH(SUBSTITUTE(SUBSTITUTE(SUBSTITUTE($ED24,"~","~~"),"*","~*"),"?","~?"),'DADOS_FORMAS'!$AH$2:$AH$21,0)),""),"~","~~"),"*","~*"),"?","~?"),'DADOS_RESTRICOES'!$M$2:$Q$54,3,FALSE)=1),0))</f>
        <v/>
      </c>
      <c r="FM24" s="164">
        <f>COUNTIF($FB24:$FC24,2)+IF(IFERROR(INDEX('DADOS_FORMAS'!$AS$2:$AS$21,MATCH(SUBSTITUTE(SUBSTITUTE(SUBSTITUTE($ED24,"~","~~"),"*","~*"),"?","~?"),'DADOS_FORMAS'!$AH$2:$AH$21,0)),"")="",0,IFERROR(N(VLOOKUP(SUBSTITUTE(SUBSTITUTE(SUBSTITUTE(IFERROR(INDEX('DADOS_FORMAS'!$AS$2:$AS$21,MATCH(SUBSTITUTE(SUBSTITUTE(SUBSTITUTE($ED24,"~","~~"),"*","~*"),"?","~?"),'DADOS_FORMAS'!$AH$2:$AH$21,0)),""),"~","~~"),"*","~*"),"?","~?"),'DADOS_RESTRICOES'!$M$2:$Q$54,3,FALSE)=2),0))</f>
        <v/>
      </c>
      <c r="FN24" s="164">
        <f>COUNTIF($EE24:$EH24,"?*")</f>
        <v/>
      </c>
      <c r="FO24" s="164">
        <f>COUNTIF($EI24:$EJ24,"?*")+$EY24</f>
        <v/>
      </c>
      <c r="FP24" s="164">
        <f>SUMPRODUCT($FF24:$FK24,INDEX($Q$2:$V$8,$EB24,0))</f>
        <v/>
      </c>
      <c r="FQ24" s="164">
        <f>$FL24*CEILING($EB24/2,1)+$FM24*$EB24</f>
        <v/>
      </c>
      <c r="FR24" s="164">
        <f>MIN(2*$EB24,$FQ24)</f>
        <v/>
      </c>
      <c r="FS24" s="164">
        <f>MIN($FR24,$FP24-IF($EM24=0,0,INDEX($Q$2:$V$8,$EB24,$EM24)))</f>
        <v/>
      </c>
      <c r="FT24" s="164">
        <f>$FR24-$FS24</f>
        <v/>
      </c>
      <c r="FU24" s="164">
        <f>3*$EB24-$FP24+$FS24</f>
        <v/>
      </c>
      <c r="FV24" s="164">
        <f>MAX(0,$FU24)+$DZ24*$EB24</f>
        <v/>
      </c>
      <c r="FW24" s="164">
        <f>(IF(COUNTIF($KW24:$KZ24,"Salto")&gt;0,1,0)+IF(COUNTIF($KW24:$KZ24,"Queima")&gt;0,1,0)+IF(COUNTIF($KW24:$KZ24,"Estilhaço")&gt;0,1,0))*FLOOR($FV24/2,1)</f>
        <v/>
      </c>
      <c r="FX24" s="164">
        <f>MAX(0,3-SUMPRODUCT($FF24:$FK24,$Q$2:$V$2)+MIN(2,$FL24*1+$FM24*1,SUMPRODUCT($FF24:$FK24,$Q$2:$V$2)-IF($EM24=0,0,INDEX($Q$2:$V$2,1,$EM24))))+$DZ24*1</f>
        <v/>
      </c>
      <c r="FY24" s="164">
        <f>MAX(0,6-SUMPRODUCT($FF24:$FK24,$Q$3:$V$3)+MIN(4,$FL24*1+$FM24*2,SUMPRODUCT($FF24:$FK24,$Q$3:$V$3)-IF($EM24=0,0,INDEX($Q$3:$V$3,1,$EM24))))+$DZ24*2</f>
        <v/>
      </c>
      <c r="FZ24" s="164">
        <f>MAX(0,9-SUMPRODUCT($FF24:$FK24,$Q$4:$V$4)+MIN(6,$FL24*2+$FM24*3,SUMPRODUCT($FF24:$FK24,$Q$4:$V$4)-IF($EM24=0,0,INDEX($Q$4:$V$4,1,$EM24))))+$DZ24*3</f>
        <v/>
      </c>
      <c r="GA24" s="164">
        <f>MAX(0,12-SUMPRODUCT($FF24:$FK24,$Q$5:$V$5)+MIN(8,$FL24*2+$FM24*4,SUMPRODUCT($FF24:$FK24,$Q$5:$V$5)-IF($EM24=0,0,INDEX($Q$5:$V$5,1,$EM24))))+$DZ24*4</f>
        <v/>
      </c>
      <c r="GB24" s="164">
        <f>MAX(0,15-SUMPRODUCT($FF24:$FK24,$Q$6:$V$6)+MIN(10,$FL24*3+$FM24*5,SUMPRODUCT($FF24:$FK24,$Q$6:$V$6)-IF($EM24=0,0,INDEX($Q$6:$V$6,1,$EM24))))+$DZ24*5</f>
        <v/>
      </c>
      <c r="GC24" s="164">
        <f>MAX(0,18-SUMPRODUCT($FF24:$FK24,$Q$7:$V$7)+MIN(12,$FL24*3+$FM24*6,SUMPRODUCT($FF24:$FK24,$Q$7:$V$7)-IF($EM24=0,0,INDEX($Q$7:$V$7,1,$EM24))))+$DZ24*6</f>
        <v/>
      </c>
      <c r="GD24" s="164">
        <f>MAX(0,21-SUMPRODUCT($FF24:$FK24,$Q$8:$V$8)+MIN(14,$FL24*4+$FM24*7,SUMPRODUCT($FF24:$FK24,$Q$8:$V$8)-IF($EM24=0,0,INDEX($Q$8:$V$8,1,$EM24))))+$DZ24*7</f>
        <v/>
      </c>
      <c r="GE24" s="164">
        <f>IF($EZ24=2,3*$FX24&amp;" de vida temp.",IF($EZ24=3,"sem dano",IF($FX24=0,IF($EZ24=1,"sem cura","sem dano"),IF($EZ24=1,"cura ","")&amp;$FX24&amp;"d8")))</f>
        <v/>
      </c>
      <c r="GF24" s="164">
        <f>IF($EZ24=2,3*$FY24&amp;" de vida temp.",IF($EZ24=3,"sem dano",IF($FY24=0,IF($EZ24=1,"sem cura","sem dano"),IF($EZ24=1,"cura ","")&amp;$FY24&amp;"d8")))</f>
        <v/>
      </c>
      <c r="GG24" s="164">
        <f>IF($EZ24=2,3*$FZ24&amp;" de vida temp.",IF($EZ24=3,"sem dano",IF($FZ24=0,IF($EZ24=1,"sem cura","sem dano"),IF($EZ24=1,"cura ","")&amp;$FZ24&amp;"d8")))</f>
        <v/>
      </c>
      <c r="GH24" s="164">
        <f>IF($EZ24=2,3*$GA24&amp;" de vida temp.",IF($EZ24=3,"sem dano",IF($GA24=0,IF($EZ24=1,"sem cura","sem dano"),IF($EZ24=1,"cura ","")&amp;$GA24&amp;"d8")))</f>
        <v/>
      </c>
      <c r="GI24" s="164">
        <f>IF($EZ24=2,3*$GB24&amp;" de vida temp.",IF($EZ24=3,"sem dano",IF($GB24=0,IF($EZ24=1,"sem cura","sem dano"),IF($EZ24=1,"cura ","")&amp;$GB24&amp;"d8")))</f>
        <v/>
      </c>
      <c r="GJ24" s="164">
        <f>IF($EZ24=2,3*$GC24&amp;" de vida temp.",IF($EZ24=3,"sem dano",IF($GC24=0,IF($EZ24=1,"sem cura","sem dano"),IF($EZ24=1,"cura ","")&amp;$GC24&amp;"d8")))</f>
        <v/>
      </c>
      <c r="GK24" s="164">
        <f>IF($EZ24=2,3*$GD24&amp;" de vida temp.",IF($EZ24=3,"sem dano",IF($GD24=0,IF($EZ24=1,"sem cura","sem dano"),IF($EZ24=1,"cura ","")&amp;$GD24&amp;"d8")))</f>
        <v/>
      </c>
      <c r="GL24" s="164">
        <f>IF($EK24=0,"",TEXTJOIN(" · ",TRUE,IF($EK24=0,"",TEXTJOIN(" · ",TRUE,IF($EK24=0,"",TEXTJOIN(" · ",TRUE,IF(AND($DZ24=1,$EA24&gt;$HM$9),"O nível "&amp;$HM$2&amp;" dá "&amp;$HM$9&amp;" Liberação Máxima",""),IF($EB24&gt;$HM$4,"Classe "&amp;$EB24&amp;": o nível "&amp;$HM$2&amp;" libera até a "&amp;$HM$4,""),IF($ER24=1,"Família Fechada: a Forma "&amp;$ED24,""),IF($ES24=1,"Família Fechada: "&amp;$EE24,""),IF($ET24=1,"Família Fechada: "&amp;$EF24,""),IF($EU24=1,"Família Fechada: "&amp;$EG24,""),IF($EV24=1,"Família Fechada: "&amp;$EH24,""),IF($FN24&gt;INDEX($W$2:$W$8,$EB24),$FN24&amp;" Melhorias: a Classe "&amp;$EB24&amp;" aceita "&amp;INDEX($W$2:$W$8,$EB24),""),IF($FO24&gt;2,$FO24&amp;" Restrições"&amp;IF($EY24=1,", contando a que a Forma "&amp;$ED24&amp;" já traz","")&amp;": o limite é 2",""),IF($FU24&lt;0,"Orçamento estourado: faltam "&amp;(-$FU24)&amp;IF($FU24&lt;-1," pontos"," ponto"),""),IF(IFERROR(VLOOKUP(SUBSTITUTE(SUBSTITUTE(SUBSTITUTE($EI24,"~","~~"),"*","~*"),"?","~?"),'DADOS_RESTRICOES'!$M$2:$Q$54,4,FALSE),0)+IFERROR(VLOOKUP(SUBSTITUTE(SUBSTITUTE(SUBSTITUTE($EJ24,"~","~~"),"*","~*"),"?","~?"),'DADOS_RESTRICOES'!$M$2:$Q$54,4,FALSE),0)&gt;1,$FD24&amp;" e "&amp;$FE24&amp;" são as duas de frequência",""),IF(AND((COUNTIF($KW24:$KZ24,"Rápido")+COUNTIF($FD24:$FE24,"Rápido"))&gt;0,(COUNTIF($EE24:$EH24,"Atrasar")+COUNTIF($FD24:$FE24,"Atrasar"))&gt;0),"Rápido não entra com Atrasar",""),IF(AND((COUNTIF($KW24:$KZ24,"Reação")+COUNTIF($FD24:$FE24,"Reação"))&gt;0,(COUNTIF($KW24:$KZ24,"Rápido")+COUNTIF($FD24:$FE24,"Rápido"))&gt;0),"Reação não entra com Rápido",""),IF(AND((COUNTIF($KW24:$KZ24,"Reação")+COUNTIF($FD24:$FE24,"Reação"))&gt;0,(COUNTIF($KW24:$KZ24,"Armado")+COUNTIF($FD24:$FE24,"Armado"))&gt;0),"Reação não entra com Armado",""),IF(AND((COUNTIF($KW24:$KZ24,"Reação")+COUNTIF($FD24:$FE24,"Reação"))&gt;0,(COUNTIF($EE24:$EH24,"Atrasar")+COUNTIF($FD24:$FE24,"Atrasar"))&gt;0),"Reação não entra com Atrasar",""),IF(AND((COUNTIF($KW24:$KZ24,"Reação")+COUNTIF($FD24:$FE24,"Reação"))&gt;0,(COUNTIF($EE24:$EH24,"Parado")+COUNTIF($FD24:$FE24,"Parado"))&gt;0),"Reação não entra com Parado",""),IF(AND((COUNTIF($EE24:$EH24,"Atrasar")+COUNTIF($FD24:$FE24,"Atrasar"))&gt;0,(COUNTIF($EE24:$EH24,"Parado")+COUNTIF($FD24:$FE24,"Parado"))&gt;0),"Atrasar não entra com Parado",""),IF(AND((COUNTIF($KW24:$KZ24,"Armado")+COUNTIF($FD24:$FE24,"Armado"))&gt;0,(COUNTIF($EE24:$EH24,"Carregar")+COUNTIF($FD24:$FE24,"Carregar"))&gt;0),"Armado não entra com Carregar",""),IF(AND(COUNTIF($FD24:$FE24,"Corpo a Corpo")&gt;0,$EY24=0,OR($LB24="Cone",$LB24="Linha")),"Corpo a Corpo não entra em "&amp;$ED24,""),IF(AND(COUNTIF($FD24:$FE24,"Corpo a Corpo")&gt;0,$LC24="Corpo a Corpo"),"A Forma "&amp;$ED24&amp;" já traz o Corpo a Corpo",""),IF(AND(COUNTIF($FD24:$FE24,"Tudo ou Nada")&gt;0,$FA24=0),"Tudo ou Nada só entra em feitiço de Teste de Resistência",""),IF(AND(COUNTIF($KW24:$KZ24,"Inescapável")&gt;0,OR($FN24&gt;1,$FO24&gt;0)),"Inescapável não aceita outra peça",""),IF(AND($DZ24=1,$EB24&lt;3),"Liberação Máxima é de Classe 3 ou mais",""),IF(AND($DZ24=1,OR($EZ24=1,$EZ24=2)),"Liberação Máxima não serve para cura",""),IF(AND($DZ24=1,COUNTIF($KW24:$KZ24,"Inescapável")+COUNTIF($KW24:$KZ24,"Toca a Alma")&gt;0),"Esta peça não entra numa Liberação Máxima",""),IF($FV24*IF(COUNTIF($KW24:$KZ24,"Remate")&gt;0,1.25,1)+$FW24&gt;4*$EB24,($FV24*IF(COUNTIF($KW24:$KZ24,"Remate")&gt;0,1.25,1)+$FW24)&amp;" dados somando repetições"&amp;IF(COUNTIF($KW24:$KZ24,"Remate")&gt;0," e o Remate","")&amp;": o teto da Classe "&amp;$EB24&amp;" é "&amp;4*$EB24,""))),IF(AND($EE24&lt;&gt;"",COUNTIF('DADOS_MELHORIAS'!$O$2:$O$113,SUBSTITUTE(SUBSTITUTE(SUBSTITUTE($EE24,"~","~~"),"*","~*"),"?","~?"))=0),"Melhoria não cadastrada ou com erro: "&amp;$EE24,""),IF(AND($EF24&lt;&gt;"",COUNTIF('DADOS_MELHORIAS'!$O$2:$O$113,SUBSTITUTE(SUBSTITUTE(SUBSTITUTE($EF24,"~","~~"),"*","~*"),"?","~?"))=0),"Melhoria não cadastrada ou com erro: "&amp;$EF24,""),IF(AND($EG24&lt;&gt;"",COUNTIF('DADOS_MELHORIAS'!$O$2:$O$113,SUBSTITUTE(SUBSTITUTE(SUBSTITUTE($EG24,"~","~~"),"*","~*"),"?","~?"))=0),"Melhoria não cadastrada ou com erro: "&amp;$EG24,""),IF(AND($EH24&lt;&gt;"",COUNTIF('DADOS_MELHORIAS'!$O$2:$O$113,SUBSTITUTE(SUBSTITUTE(SUBSTITUTE($EH24,"~","~~"),"*","~*"),"?","~?"))=0),"Melhoria não cadastrada ou com erro: "&amp;$EH24,""),IF(AND($EI24&lt;&gt;"",COUNTIF('DADOS_RESTRICOES'!$M$2:$M$54,SUBSTITUTE(SUBSTITUTE(SUBSTITUTE($EI24,"~","~~"),"*","~*"),"?","~?"))=0),"Restrição não cadastrada ou com erro: "&amp;$EI24,""),IF(AND($EJ24&lt;&gt;"",COUNTIF('DADOS_RESTRICOES'!$M$2:$M$54,SUBSTITUTE(SUBSTITUTE(SUBSTITUTE($EJ24,"~","~~"),"*","~*"),"?","~?"))=0),"Restrição não cadastrada ou com erro: "&amp;$EJ24,""))),IF(AND($ED24&lt;&gt;"",COUNTIF('DADOS_FORMAS'!$AH$2:$AH$21,SUBSTITUTE(SUBSTITUTE(SUBSTITUTE($ED24,"~","~~"),"*","~*"),"?","~?"))=0),"Forma não cadastrada ou com erro: "&amp;$ED24,""),IF(AND(IFERROR(INDEX('DADOS_FORMAS'!$AS$2:$AS$21,MATCH(SUBSTITUTE(SUBSTITUTE(SUBSTITUTE($ED24,"~","~~"),"*","~*"),"?","~?"),'DADOS_FORMAS'!$AH$2:$AH$21,0)),"")&lt;&gt;"",OR(IFERROR(VLOOKUP(SUBSTITUTE(SUBSTITUTE(SUBSTITUTE(IFERROR(INDEX('DADOS_FORMAS'!$AS$2:$AS$21,MATCH(SUBSTITUTE(SUBSTITUTE(SUBSTITUTE($ED24,"~","~~"),"*","~*"),"?","~?"),'DADOS_FORMAS'!$AH$2:$AH$21,0)),""),"~","~~"),"*","~*"),"?","~?"),'DADOS_RESTRICOES'!$M$2:$Q$54,2,FALSE),"")=$FD24,IFERROR(VLOOKUP(SUBSTITUTE(SUBSTITUTE(SUBSTITUTE(IFERROR(INDEX('DADOS_FORMAS'!$AS$2:$AS$21,MATCH(SUBSTITUTE(SUBSTITUTE(SUBSTITUTE($ED24,"~","~~"),"*","~*"),"?","~?"),'DADOS_FORMAS'!$AH$2:$AH$21,0)),""),"~","~~"),"*","~*"),"?","~?"),'DADOS_RESTRICOES'!$M$2:$Q$54,2,FALSE),"")=$FE24)),"Restrição repetida, contando a embutida",""),IF(IF(IFERROR(INDEX('DADOS_FORMAS'!$AS$2:$AS$21,MATCH(SUBSTITUTE(SUBSTITUTE(SUBSTITUTE($ED24,"~","~~"),"*","~*"),"?","~?"),'DADOS_FORMAS'!$AH$2:$AH$21,0)),"")="",0,IFERROR(N(VLOOKUP(SUBSTITUTE(SUBSTITUTE(SUBSTITUTE(IFERROR(INDEX('DADOS_FORMAS'!$AS$2:$AS$21,MATCH(SUBSTITUTE(SUBSTITUTE(SUBSTITUTE($ED24,"~","~~"),"*","~*"),"?","~?"),'DADOS_FORMAS'!$AH$2:$AH$21,0)),""),"~","~~"),"*","~*"),"?","~?"),'DADOS_RESTRICOES'!$M$2:$Q$54,4,FALSE)=1),0))+IF($EI24="",0,IFERROR(N(VLOOKUP(SUBSTITUTE(SUBSTITUTE(SUBSTITUTE($EI24,"~","~~"),"*","~*"),"?","~?"),'DADOS_RESTRICOES'!$M$2:$Q$54,4,FALSE)=1),0))+IF($EJ24="",0,IFERROR(N(VLOOKUP(SUBSTITUTE(SUBSTITUTE(SUBSTITUTE($EJ24,"~","~~"),"*","~*"),"?","~?"),'DADOS_RESTRICOES'!$M$2:$Q$54,4,FALSE)=1),0))&gt;1,"Duas Restrições de frequência, contando a embutida",""),IF(AND(IFERROR(VLOOKUP(SUBSTITUTE(SUBSTITUTE(SUBSTITUTE(IFERROR(INDEX('DADOS_FORMAS'!$AS$2:$AS$21,MATCH(SUBSTITUTE(SUBSTITUTE(SUBSTITUTE($ED24,"~","~~"),"*","~*"),"?","~?"),'DADOS_FORMAS'!$AH$2:$AH$21,0)),""),"~","~~"),"*","~*"),"?","~?"),'DADOS_RESTRICOES'!$M$2:$Q$54,2,FALSE),"")="Tudo ou Nada",$FA24=0),"Tudo ou Nada exige TR",""),IF(AND(IFERROR(VLOOKUP(SUBSTITUTE(SUBSTITUTE(SUBSTITUTE(IFERROR(INDEX('DADOS_FORMAS'!$AS$2:$AS$21,MATCH(SUBSTITUTE(SUBSTITUTE(SUBSTITUTE($ED24,"~","~~"),"*","~*"),"?","~?"),'DADOS_FORMAS'!$AH$2:$AH$21,0)),""),"~","~~"),"*","~*"),"?","~?"),'DADOS_RESTRICOES'!$M$2:$Q$54,2,FALSE),"")="Corpo a Corpo",OR($LB24="Cone",$LB24="Linha")),"Corpo a Corpo não entra em Cone/Linha","")))</f>
        <v/>
      </c>
      <c r="GM24" s="164">
        <f>IF($GL24="",0,(LEN($GL24)-LEN(SUBSTITUTE($GL24," · ","")))/3+1)</f>
        <v/>
      </c>
      <c r="GN24" s="164">
        <f>IF($EK24=0,"",TEXTJOIN(" · ",TRUE,IF($FQ24&gt;2*$EB24,"A devolução parou no teto de "&amp;2*$EB24,""),IF($FT24&gt;0,"Devolução perdida: "&amp;$FT24&amp;IF($FT24&gt;1," pontos"," ponto")&amp;" sem Melhoria para pagar",""),IF(AND($EW24&gt;0,$FV24=0),"Controle sem dano: uma rodada a mais e CD +2",""),IF(AND($EW24&gt;0,$FV24&gt;0,$FV24&lt;=$EB24),"Controle com saldo até a Classe: uma rodada a mais","")))</f>
        <v/>
      </c>
      <c r="GO24" s="164">
        <f>IF($GN24="",0,(LEN($GN24)-LEN(SUBSTITUTE($GN24," · ","")))/3+1)</f>
        <v/>
      </c>
      <c r="GP24" s="164">
        <f>IF($EK24=0,IF($FN24+$FO24-$EY24&gt;0,"Dê um nome",""),IF($GM24&gt;0,"⚠ "&amp;$GM24&amp;IF($GM24&gt;1," erros"," erro"),IF($GO24&gt;0,"! "&amp;$GO24&amp;IF($GO24&gt;1," avisos"," aviso"),"Na regra")))</f>
        <v/>
      </c>
      <c r="GQ24" s="164">
        <f>IF($EK24=0,"",IF($GM24+$GO24=0,"Dentro das regras que a ficha confere",$GL24&amp;IF(AND($GM24&gt;0,$GO24&gt;0)," · ","")&amp;$GN24))</f>
        <v/>
      </c>
      <c r="GR24" s="164">
        <f>IF($EK24=0,"",IF($DZ24=1,CEILING(4.5*$EB24,1),3*$EB24)&amp;" PE")</f>
        <v/>
      </c>
      <c r="GS24" s="164">
        <f>IF($EK24=0,"",IF($DZ24=1,"Rodada inteira",IF(COUNTIF($LD24:$LF24,"Atrasar")&gt;0,IF(COUNTIF($LD24:$LF24,"Carregar")&gt;0,"Rodada +1 turno","Rodada inteira"),IF(COUNTIF($KW24:$KZ24,"Rápido")&gt;0,"Bônus",IF(COUNTIF($KW24:$KZ24,"Reação")&gt;0,"Reação","Padrão"))&amp;IF(COUNTIF($LD24:$LF24,"Carregar")&gt;0," +1 turno",""))))</f>
        <v/>
      </c>
      <c r="GT24" s="164">
        <f>IF(OR($EK24=0,$EL24=0),"",IF(COUNTIF($KW24:$KZ24,"Inescapável")&gt;0,"Automático",IF(COUNTIF($KW24:$KZ24,"Certeiro")&gt;0,"TR para metade",IF(AND($EX24&gt;0,$FA24=0,INDEX('DADOS_FORMAS'!$FQ$2:$FQ$21,$EL24)="Acerto"),"Acerto + TR",INDEX('DADOS_FORMAS'!$FQ$2:$FQ$21,$EL24)))))</f>
        <v/>
      </c>
      <c r="GU24" s="164">
        <f>IF(OR($EK24=0,$EL24=0),"",IF(OR($EZ24&gt;=2,$FV24=0),UPPER(LEFT(INDEX($GE24:$GK24,1,$EB24),1))&amp;MID(INDEX($GE24:$GK24,1,$EB24),2,99),UPPER(LEFT(INDEX($GE24:$GK24,1,$EB24),1))&amp;MID(INDEX($GE24:$GK24,1,$EB24),2,99)&amp;" = "&amp;FLOOR($FV24*4.5,1)&amp;IF($FW24&gt;0," · +"&amp;$FW24&amp;"d8","")))</f>
        <v/>
      </c>
      <c r="GV24" s="164">
        <f>COUNTIF($KW24:$KZ24,"Longe")+3*COUNTIF($KW24:$KZ24,"Muito Longe")</f>
        <v/>
      </c>
      <c r="GW24" s="164">
        <f>COUNTIF($KW24:$KZ24,"Maior")+3*COUNTIF($KW24:$KZ24,"Muito Maior")</f>
        <v/>
      </c>
      <c r="GX24" s="164">
        <f>IF($EL24=0,0,CHOOSE(1+INDEX('DADOS_FORMAS'!$FS$2:$FS$21,$EL24),0,$GV24,$GW24,$GV24+$GW24))</f>
        <v/>
      </c>
      <c r="GY24" s="164">
        <f>IF($EL24=0,0,CHOOSE(1+INDEX('DADOS_FORMAS'!$FT$2:$FT$21,$EL24),0,$GV24,$GW24,$GV24+$GW24))</f>
        <v/>
      </c>
      <c r="GZ24" s="164">
        <f>IF(OR($EK24=0,$EL24=0),"",INDEX('DADOS_FORMAS'!$GZ$2:$HE$61,($EL24-1)*3+IF($EB24&gt;=6,3,2),1+MIN(5,$GX24))&amp;INDEX('DADOS_FORMAS'!$HF$2:$HK$61,($EL24-1)*3+IF($EB24&gt;=6,3,2),1+MIN(5,$GY24))&amp;IF(INDEX('DADOS_FORMAS'!$FU$2:$FU$21,$EL24)=1,IF(COUNTIF($KW24:$KZ24,"Mais Um")&gt;0," · +"&amp;COUNTIF($KW24:$KZ24,"Mais Um")&amp;IF(COUNTIF($KW24:$KZ24,"Mais Um")&gt;1," alvos"," alvo"),"")&amp;IF(COUNTIF($KW24:$KZ24,"Rajada")&gt;0," · "&amp;($EB24+1)&amp;" tiros",""),""))</f>
        <v/>
      </c>
      <c r="HA24" s="164">
        <f>IF($EK24=0,"",3*$EB24&amp;" − "&amp;$FP24&amp;" + "&amp;$FS24&amp;IF($DZ24=1," + "&amp;$EB24,"")&amp;" = "&amp;$FV24&amp;"d8 · teto "&amp;4*$EB24&amp;IF($EY24=1," · a Forma devolve "&amp;$EB24,"")&amp;IF($FT24&gt;0," · perde "&amp;$FT24,""))</f>
        <v/>
      </c>
      <c r="HB24" s="164">
        <f>IF($EK24=0,"",IF($EB24&gt;=$HM$4,"Já está na maior Classe que o nível liberou",TEXTJOIN(" · ",TRUE,IF(AND(2&gt;$EB24,2&lt;=$HM$4),"2 → "&amp;$GF24&amp;", "&amp;IF($DZ24=1,9,6)&amp;" PE",""),IF(AND(3&gt;$EB24,3&lt;=$HM$4),"3 → "&amp;$GG24&amp;", "&amp;IF($DZ24=1,14,9)&amp;" PE",""),IF(AND(4&gt;$EB24,4&lt;=$HM$4),"4 → "&amp;$GH24&amp;", "&amp;IF($DZ24=1,18,12)&amp;" PE",""),IF(AND(5&gt;$EB24,5&lt;=$HM$4),"5 → "&amp;$GI24&amp;", "&amp;IF($DZ24=1,23,15)&amp;" PE",""),IF(AND(6&gt;$EB24,6&lt;=$HM$4),"6 → "&amp;$GJ24&amp;", "&amp;IF($DZ24=1,27,18)&amp;" PE",""),IF(AND(7&gt;$EB24,7&lt;=$HM$4),"7 → "&amp;$GK24&amp;", "&amp;IF($DZ24=1,32,21)&amp;" PE",""))))</f>
        <v/>
      </c>
      <c r="HC24" s="164">
        <f>IF(OR($EK24=0,$EN24=0),"","−"&amp;INDEX($Q$2:$V$8,$EB24,$EN24)&amp;" · "&amp;CHOOSE($EN24,"Leve","Média","Pesada","Leve · Livre","Média · Livre","Pesada · Livre"))</f>
        <v/>
      </c>
      <c r="HD24" s="164">
        <f>IF(OR($EK24=0,$EO24=0),"","−"&amp;INDEX($Q$2:$V$8,$EB24,$EO24)&amp;" · "&amp;CHOOSE($EO24,"Leve","Média","Pesada","Leve · Livre","Média · Livre","Pesada · Livre"))</f>
        <v/>
      </c>
      <c r="HE24" s="164">
        <f>IF(OR($EK24=0,$EP24=0),"","−"&amp;INDEX($Q$2:$V$8,$EB24,$EP24)&amp;" · "&amp;CHOOSE($EP24,"Leve","Média","Pesada","Leve · Livre","Média · Livre","Pesada · Livre"))</f>
        <v/>
      </c>
      <c r="HF24" s="164">
        <f>IF(OR($EK24=0,$EQ24=0),"","−"&amp;INDEX($Q$2:$V$8,$EB24,$EQ24)&amp;" · "&amp;CHOOSE($EQ24,"Leve","Média","Pesada","Leve · Livre","Média · Livre","Pesada · Livre"))</f>
        <v/>
      </c>
      <c r="HG24" s="164">
        <f>IF(OR($EK24=0,$EI24=""),"","+"&amp;IF($FB24=1,CEILING($EB24/2,1),$EB24))</f>
        <v/>
      </c>
      <c r="HH24" s="164">
        <f>IF(OR($EK24=0,$EJ24=""),"","+"&amp;IF($FC24=1,CEILING($EB24/2,1),$EB24))</f>
        <v/>
      </c>
      <c r="HI24" s="164">
        <f>'FICHA AMALDIÇOADA'!$J$215&amp;""</f>
        <v/>
      </c>
      <c r="HJ24" s="164">
        <f>IF(AND($EK24=1,$DZ24=0),COUNTIFS($EK$2:$EK24,1,$DZ$2:$DZ24,0),"")</f>
        <v/>
      </c>
      <c r="HL24" s="162" t="inlineStr">
        <is>
          <t>passivas do Leque</t>
        </is>
      </c>
      <c r="HM24" s="164">
        <f>IF('FICHA AMALDIÇOADA'!$D$410&lt;&gt;"",1,0)+IF('FICHA AMALDIÇOADA'!$J$410&lt;&gt;"",1,0)+IF('FICHA AMALDIÇOADA'!$P$410&lt;&gt;"",1,0)+IF('FICHA AMALDIÇOADA'!$D$418&lt;&gt;"",1,0)+IF('FICHA AMALDIÇOADA'!$J$418&lt;&gt;"",1,0)+IF('FICHA AMALDIÇOADA'!$P$418&lt;&gt;"",1,0)+IF('FICHA AMALDIÇOADA'!$D$426&lt;&gt;"",1,0)</f>
        <v/>
      </c>
      <c r="JH24" s="164" t="n">
        <v>23</v>
      </c>
      <c r="JI24" s="164">
        <f>IFERROR(MATCH(23,$HJ$2:$HJ$37,0),0)</f>
        <v/>
      </c>
      <c r="JJ24" s="164">
        <f>IF($JI24=0,"",INDEX($EB$2:$EB$37,$JI24))</f>
        <v/>
      </c>
      <c r="JK24" s="164">
        <f>IF($JI24=0,"",INDEX($EC$2:$EC$37,$JI24))</f>
        <v/>
      </c>
      <c r="JL24" s="164">
        <f>IF($JI24=0,"",INDEX($GR$2:$GR$37,$JI24))</f>
        <v/>
      </c>
      <c r="JM24" s="164">
        <f>IF($JI24=0,"",INDEX($ED$2:$ED$37,$JI24))</f>
        <v/>
      </c>
      <c r="JN24" s="164">
        <f>IF($JI24=0,"",INDEX($GT$2:$GT$37,$JI24))</f>
        <v/>
      </c>
      <c r="JO24" s="164">
        <f>IF($JI24=0,"",INDEX($HI$2:$HI$37,$JI24))</f>
        <v/>
      </c>
      <c r="KU24" s="162" t="inlineStr">
        <is>
          <t>S55</t>
        </is>
      </c>
      <c r="KV24" s="164">
        <f>IF(DADOS_AM!$HM$22&lt;0,"⚠ ","")&amp;DADOS_AM!$HM$22</f>
        <v/>
      </c>
      <c r="KW24">
        <f>IF($EE24="","",IFERROR(VLOOKUP(SUBSTITUTE(SUBSTITUTE(SUBSTITUTE($EE24,"~","~~"),"*","~*"),"?","~?"),'DADOS_MELHORIAS'!$O$2:$X$113,10,FALSE),$EE24))</f>
        <v/>
      </c>
      <c r="KX24">
        <f>IF($EF24="","",IFERROR(VLOOKUP(SUBSTITUTE(SUBSTITUTE(SUBSTITUTE($EF24,"~","~~"),"*","~*"),"?","~?"),'DADOS_MELHORIAS'!$O$2:$X$113,10,FALSE),$EF24))</f>
        <v/>
      </c>
      <c r="KY24">
        <f>IF($EG24="","",IFERROR(VLOOKUP(SUBSTITUTE(SUBSTITUTE(SUBSTITUTE($EG24,"~","~~"),"*","~*"),"?","~?"),'DADOS_MELHORIAS'!$O$2:$X$113,10,FALSE),$EG24))</f>
        <v/>
      </c>
      <c r="KZ24">
        <f>IF($EH24="","",IFERROR(VLOOKUP(SUBSTITUTE(SUBSTITUTE(SUBSTITUTE($EH24,"~","~~"),"*","~*"),"?","~?"),'DADOS_MELHORIAS'!$O$2:$X$113,10,FALSE),$EH24))</f>
        <v/>
      </c>
      <c r="LB24">
        <f>IFERROR(INDEX('DADOS_FORMAS'!$BJ$2:$BJ$21,MATCH(SUBSTITUTE(SUBSTITUTE(SUBSTITUTE($ED24,"~","~~"),"*","~*"),"?","~?"),'DADOS_FORMAS'!$AH$2:$AH$21,0)),"")</f>
        <v/>
      </c>
      <c r="LC24">
        <f>IFERROR(VLOOKUP(SUBSTITUTE(SUBSTITUTE(SUBSTITUTE(IFERROR(INDEX('DADOS_FORMAS'!$AS$2:$AS$21,MATCH(SUBSTITUTE(SUBSTITUTE(SUBSTITUTE($ED24,"~","~~"),"*","~*"),"?","~?"),'DADOS_FORMAS'!$AH$2:$AH$21,0)),""),"~","~~"),"*","~*"),"?","~?"),'DADOS_RESTRICOES'!$M$2:$Q$54,2,FALSE),"")</f>
        <v/>
      </c>
      <c r="LD24">
        <f>$FD24</f>
        <v/>
      </c>
      <c r="LE24">
        <f>$FE24</f>
        <v/>
      </c>
      <c r="LF24">
        <f>$LC24</f>
        <v/>
      </c>
    </row>
    <row r="25">
      <c r="AO25" s="162" t="inlineStr">
        <is>
          <t>Apoio · classes 6 e 7</t>
        </is>
      </c>
      <c r="AP25" s="162" t="inlineStr">
        <is>
          <t>Um aliado a 18 m</t>
        </is>
      </c>
      <c r="AQ25" s="162" t="inlineStr">
        <is>
          <t>Um aliado a 36 m</t>
        </is>
      </c>
      <c r="AR25" s="162" t="inlineStr">
        <is>
          <t>Um aliado a 90 m</t>
        </is>
      </c>
      <c r="AS25" s="162" t="inlineStr">
        <is>
          <t>Um aliado a visão a olho nu</t>
        </is>
      </c>
      <c r="AT25" s="162" t="inlineStr">
        <is>
          <t>Um aliado a visão a olho nu</t>
        </is>
      </c>
      <c r="AU25" s="162" t="inlineStr">
        <is>
          <t>Um aliado a visão a olho nu</t>
        </is>
      </c>
      <c r="AV25" s="162" t="inlineStr"/>
      <c r="AW25" s="162" t="inlineStr"/>
      <c r="AX25" s="162" t="inlineStr"/>
      <c r="AY25" s="162" t="inlineStr"/>
      <c r="AZ25" s="162" t="inlineStr"/>
      <c r="BA25" s="162" t="inlineStr"/>
      <c r="BC25" s="162" t="inlineStr">
        <is>
          <t>Guarda Aberta</t>
        </is>
      </c>
      <c r="BD25" s="162" t="inlineStr">
        <is>
          <t>Controle</t>
        </is>
      </c>
      <c r="BE25" s="164" t="n">
        <v>1</v>
      </c>
      <c r="BF25" s="164">
        <f>$BE25+3*IFERROR(VLOOKUP($BD25,'DADOS_CRIACAO'!$H$2:$K$20,3,FALSE),0)</f>
        <v/>
      </c>
      <c r="BG25" s="164">
        <f>IFERROR(VLOOKUP($BD25,'DADOS_CRIACAO'!$H$2:$K$20,4,FALSE),0)</f>
        <v/>
      </c>
      <c r="BH25" s="164" t="n">
        <v>1</v>
      </c>
      <c r="BI25" s="164">
        <f>IF($BG25=1,"",$BC25)</f>
        <v/>
      </c>
      <c r="BJ25" s="164">
        <f>IF(AND($BE25=1,$BG25=0),$BC25,"")</f>
        <v/>
      </c>
      <c r="BK25" s="164" t="n">
        <v>1</v>
      </c>
      <c r="CD25" s="162" t="inlineStr">
        <is>
          <t>Faro</t>
        </is>
      </c>
      <c r="CE25" s="162" t="inlineStr">
        <is>
          <t>Lapidação 1</t>
        </is>
      </c>
      <c r="CF25" s="164" t="n">
        <v>1</v>
      </c>
      <c r="CG25" s="162" t="inlineStr">
        <is>
          <t>—</t>
        </is>
      </c>
      <c r="CH25" s="162" t="inlineStr">
        <is>
          <t>Você pode seguir feiticeiros e maldições pelos vestígios físicos que deixaram: cheiro, marcas e objetos fora do lugar. A Bênção permite perceber essas pistas sem Sentir Energia. Ao tocar uma marca deixada por uma técnica, reconhece superficialmente o que aconteceu ali, como um corte, um impacto ou a deformação de um material. Não identifica o autor, sua localização atual, a montagem da técnica ou detalhes ausentes no vestígio.</t>
        </is>
      </c>
      <c r="CI25" s="164">
        <f>IF($CL25=1,"",IF($A$2=4,IF($CJ25=1,$CD25,""),IF(OR($CJ25=1,AND($A$2=3,$CK25=1)),"",$CD25)))</f>
        <v/>
      </c>
      <c r="CJ25" s="164" t="n">
        <v>1</v>
      </c>
      <c r="CK25" s="164" t="n">
        <v>0</v>
      </c>
      <c r="CL25" s="164" t="n">
        <v>0</v>
      </c>
      <c r="CM25" s="162" t="inlineStr">
        <is>
          <t>Você pode seguir feiticeiros e maldições pelos vestígios físicos que deixaram: cheiro, marcas e objetos fora do lugar.</t>
        </is>
      </c>
      <c r="DY25" s="162" t="inlineStr">
        <is>
          <t>Feitiço 24</t>
        </is>
      </c>
      <c r="DZ25" s="164" t="n">
        <v>0</v>
      </c>
      <c r="EA25" s="164" t="n">
        <v>24</v>
      </c>
      <c r="EB25" s="164">
        <f>MAX(1,MIN(7,N('FICHA AMALDIÇOADA'!$P$213)))</f>
        <v/>
      </c>
      <c r="EC25" s="164">
        <f>'FICHA AMALDIÇOADA'!$Q$213&amp;""</f>
        <v/>
      </c>
      <c r="ED25" s="164">
        <f>'FICHA AMALDIÇOADA'!$P$220&amp;""</f>
        <v/>
      </c>
      <c r="EE25" s="164">
        <f>'FICHA AMALDIÇOADA'!$Q$222&amp;""</f>
        <v/>
      </c>
      <c r="EF25" s="164">
        <f>'FICHA AMALDIÇOADA'!$Q$223&amp;""</f>
        <v/>
      </c>
      <c r="EG25" s="164">
        <f>'FICHA AMALDIÇOADA'!$Q$224&amp;""</f>
        <v/>
      </c>
      <c r="EH25" s="164">
        <f>'FICHA AMALDIÇOADA'!$Q$225&amp;""</f>
        <v/>
      </c>
      <c r="EI25" s="164">
        <f>'FICHA AMALDIÇOADA'!$Q$226&amp;""</f>
        <v/>
      </c>
      <c r="EJ25" s="164">
        <f>'FICHA AMALDIÇOADA'!$Q$227&amp;""</f>
        <v/>
      </c>
      <c r="EK25" s="164">
        <f>IF($EC25&lt;&gt;"",1,0)</f>
        <v/>
      </c>
      <c r="EL25" s="164">
        <f>IFERROR(MATCH(SUBSTITUTE(SUBSTITUTE(SUBSTITUTE($ED25,"~","~~"),"*","~*"),"?","~?"),'DADOS_FORMAS'!$FJ$2:$FJ$21,0),0)</f>
        <v/>
      </c>
      <c r="EM25" s="164">
        <f>IF($EL25=0,0,INDEX('DADOS_FORMAS'!$FM$2:$FM$21,$EL25))</f>
        <v/>
      </c>
      <c r="EN25" s="164">
        <f>IFERROR(VLOOKUP(SUBSTITUTE(SUBSTITUTE(SUBSTITUTE($EE25,"~","~~"),"*","~*"),"?","~?"),'DADOS_MELHORIAS'!$O$2:$W$113,4,FALSE),0)</f>
        <v/>
      </c>
      <c r="EO25" s="164">
        <f>IFERROR(VLOOKUP(SUBSTITUTE(SUBSTITUTE(SUBSTITUTE($EF25,"~","~~"),"*","~*"),"?","~?"),'DADOS_MELHORIAS'!$O$2:$W$113,4,FALSE),0)</f>
        <v/>
      </c>
      <c r="EP25" s="164">
        <f>IFERROR(VLOOKUP(SUBSTITUTE(SUBSTITUTE(SUBSTITUTE($EG25,"~","~~"),"*","~*"),"?","~?"),'DADOS_MELHORIAS'!$O$2:$W$113,4,FALSE),0)</f>
        <v/>
      </c>
      <c r="EQ25" s="164">
        <f>IFERROR(VLOOKUP(SUBSTITUTE(SUBSTITUTE(SUBSTITUTE($EH25,"~","~~"),"*","~*"),"?","~?"),'DADOS_MELHORIAS'!$O$2:$W$113,4,FALSE),0)</f>
        <v/>
      </c>
      <c r="ER25" s="164">
        <f>IF($EL25=0,0,INDEX('DADOS_FORMAS'!$FN$2:$FN$21,$EL25))</f>
        <v/>
      </c>
      <c r="ES25" s="164">
        <f>IFERROR(VLOOKUP(SUBSTITUTE(SUBSTITUTE(SUBSTITUTE($EE25,"~","~~"),"*","~*"),"?","~?"),'DADOS_MELHORIAS'!$O$2:$W$113,5,FALSE),0)</f>
        <v/>
      </c>
      <c r="ET25" s="164">
        <f>IFERROR(VLOOKUP(SUBSTITUTE(SUBSTITUTE(SUBSTITUTE($EF25,"~","~~"),"*","~*"),"?","~?"),'DADOS_MELHORIAS'!$O$2:$W$113,5,FALSE),0)</f>
        <v/>
      </c>
      <c r="EU25" s="164">
        <f>IFERROR(VLOOKUP(SUBSTITUTE(SUBSTITUTE(SUBSTITUTE($EG25,"~","~~"),"*","~*"),"?","~?"),'DADOS_MELHORIAS'!$O$2:$W$113,5,FALSE),0)</f>
        <v/>
      </c>
      <c r="EV25" s="164">
        <f>IFERROR(VLOOKUP(SUBSTITUTE(SUBSTITUTE(SUBSTITUTE($EH25,"~","~~"),"*","~*"),"?","~?"),'DADOS_MELHORIAS'!$O$2:$W$113,5,FALSE),0)</f>
        <v/>
      </c>
      <c r="EW25" s="164">
        <f>IFERROR(VLOOKUP(SUBSTITUTE(SUBSTITUTE(SUBSTITUTE($EE25,"~","~~"),"*","~*"),"?","~?"),'DADOS_MELHORIAS'!$O$2:$W$113,6,FALSE),0)+IFERROR(VLOOKUP(SUBSTITUTE(SUBSTITUTE(SUBSTITUTE($EF25,"~","~~"),"*","~*"),"?","~?"),'DADOS_MELHORIAS'!$O$2:$W$113,6,FALSE),0)+IFERROR(VLOOKUP(SUBSTITUTE(SUBSTITUTE(SUBSTITUTE($EG25,"~","~~"),"*","~*"),"?","~?"),'DADOS_MELHORIAS'!$O$2:$W$113,6,FALSE),0)+IFERROR(VLOOKUP(SUBSTITUTE(SUBSTITUTE(SUBSTITUTE($EH25,"~","~~"),"*","~*"),"?","~?"),'DADOS_MELHORIAS'!$O$2:$W$113,6,FALSE),0)</f>
        <v/>
      </c>
      <c r="EX25" s="164">
        <f>IFERROR(VLOOKUP(SUBSTITUTE(SUBSTITUTE(SUBSTITUTE($EE25,"~","~~"),"*","~*"),"?","~?"),'DADOS_MELHORIAS'!$O$2:$W$113,9,FALSE),0)+IFERROR(VLOOKUP(SUBSTITUTE(SUBSTITUTE(SUBSTITUTE($EF25,"~","~~"),"*","~*"),"?","~?"),'DADOS_MELHORIAS'!$O$2:$W$113,9,FALSE),0)+IFERROR(VLOOKUP(SUBSTITUTE(SUBSTITUTE(SUBSTITUTE($EG25,"~","~~"),"*","~*"),"?","~?"),'DADOS_MELHORIAS'!$O$2:$W$113,9,FALSE),0)+IFERROR(VLOOKUP(SUBSTITUTE(SUBSTITUTE(SUBSTITUTE($EH25,"~","~~"),"*","~*"),"?","~?"),'DADOS_MELHORIAS'!$O$2:$W$113,9,FALSE),0)</f>
        <v/>
      </c>
      <c r="EY25" s="164">
        <f>IF($EL25=0,0,INDEX('DADOS_FORMAS'!$FO$2:$FO$21,$EL25))</f>
        <v/>
      </c>
      <c r="EZ25" s="164">
        <f>IF($EL25=0,0,INDEX('DADOS_FORMAS'!$FP$2:$FP$21,$EL25))</f>
        <v/>
      </c>
      <c r="FA25" s="164">
        <f>IF($EL25=0,0,INDEX('DADOS_FORMAS'!$FR$2:$FR$21,$EL25))</f>
        <v/>
      </c>
      <c r="FB25" s="164">
        <f>IFERROR(VLOOKUP(SUBSTITUTE(SUBSTITUTE(SUBSTITUTE($EI25,"~","~~"),"*","~*"),"?","~?"),'DADOS_RESTRICOES'!$M$2:$Q$54,3,FALSE),0)</f>
        <v/>
      </c>
      <c r="FC25" s="164">
        <f>IFERROR(VLOOKUP(SUBSTITUTE(SUBSTITUTE(SUBSTITUTE($EJ25,"~","~~"),"*","~*"),"?","~?"),'DADOS_RESTRICOES'!$M$2:$Q$54,3,FALSE),0)</f>
        <v/>
      </c>
      <c r="FD25" s="164">
        <f>IFERROR(VLOOKUP(SUBSTITUTE(SUBSTITUTE(SUBSTITUTE($EI25,"~","~~"),"*","~*"),"?","~?"),'DADOS_RESTRICOES'!$M$2:$Q$54,2,FALSE),"")</f>
        <v/>
      </c>
      <c r="FE25" s="164">
        <f>IFERROR(VLOOKUP(SUBSTITUTE(SUBSTITUTE(SUBSTITUTE($EJ25,"~","~~"),"*","~*"),"?","~?"),'DADOS_RESTRICOES'!$M$2:$Q$54,2,FALSE),"")</f>
        <v/>
      </c>
      <c r="FF25" s="164">
        <f>COUNTIF($EM25:$EQ25,1)</f>
        <v/>
      </c>
      <c r="FG25" s="164">
        <f>COUNTIF($EM25:$EQ25,2)</f>
        <v/>
      </c>
      <c r="FH25" s="164">
        <f>COUNTIF($EM25:$EQ25,3)</f>
        <v/>
      </c>
      <c r="FI25" s="164">
        <f>COUNTIF($EM25:$EQ25,4)</f>
        <v/>
      </c>
      <c r="FJ25" s="164">
        <f>COUNTIF($EM25:$EQ25,5)</f>
        <v/>
      </c>
      <c r="FK25" s="164">
        <f>COUNTIF($EM25:$EQ25,6)</f>
        <v/>
      </c>
      <c r="FL25" s="164">
        <f>COUNTIF($FB25:$FC25,1)+IF(IFERROR(INDEX('DADOS_FORMAS'!$AS$2:$AS$21,MATCH(SUBSTITUTE(SUBSTITUTE(SUBSTITUTE($ED25,"~","~~"),"*","~*"),"?","~?"),'DADOS_FORMAS'!$AH$2:$AH$21,0)),"")="",0,IFERROR(N(VLOOKUP(SUBSTITUTE(SUBSTITUTE(SUBSTITUTE(IFERROR(INDEX('DADOS_FORMAS'!$AS$2:$AS$21,MATCH(SUBSTITUTE(SUBSTITUTE(SUBSTITUTE($ED25,"~","~~"),"*","~*"),"?","~?"),'DADOS_FORMAS'!$AH$2:$AH$21,0)),""),"~","~~"),"*","~*"),"?","~?"),'DADOS_RESTRICOES'!$M$2:$Q$54,3,FALSE)=1),0))</f>
        <v/>
      </c>
      <c r="FM25" s="164">
        <f>COUNTIF($FB25:$FC25,2)+IF(IFERROR(INDEX('DADOS_FORMAS'!$AS$2:$AS$21,MATCH(SUBSTITUTE(SUBSTITUTE(SUBSTITUTE($ED25,"~","~~"),"*","~*"),"?","~?"),'DADOS_FORMAS'!$AH$2:$AH$21,0)),"")="",0,IFERROR(N(VLOOKUP(SUBSTITUTE(SUBSTITUTE(SUBSTITUTE(IFERROR(INDEX('DADOS_FORMAS'!$AS$2:$AS$21,MATCH(SUBSTITUTE(SUBSTITUTE(SUBSTITUTE($ED25,"~","~~"),"*","~*"),"?","~?"),'DADOS_FORMAS'!$AH$2:$AH$21,0)),""),"~","~~"),"*","~*"),"?","~?"),'DADOS_RESTRICOES'!$M$2:$Q$54,3,FALSE)=2),0))</f>
        <v/>
      </c>
      <c r="FN25" s="164">
        <f>COUNTIF($EE25:$EH25,"?*")</f>
        <v/>
      </c>
      <c r="FO25" s="164">
        <f>COUNTIF($EI25:$EJ25,"?*")+$EY25</f>
        <v/>
      </c>
      <c r="FP25" s="164">
        <f>SUMPRODUCT($FF25:$FK25,INDEX($Q$2:$V$8,$EB25,0))</f>
        <v/>
      </c>
      <c r="FQ25" s="164">
        <f>$FL25*CEILING($EB25/2,1)+$FM25*$EB25</f>
        <v/>
      </c>
      <c r="FR25" s="164">
        <f>MIN(2*$EB25,$FQ25)</f>
        <v/>
      </c>
      <c r="FS25" s="164">
        <f>MIN($FR25,$FP25-IF($EM25=0,0,INDEX($Q$2:$V$8,$EB25,$EM25)))</f>
        <v/>
      </c>
      <c r="FT25" s="164">
        <f>$FR25-$FS25</f>
        <v/>
      </c>
      <c r="FU25" s="164">
        <f>3*$EB25-$FP25+$FS25</f>
        <v/>
      </c>
      <c r="FV25" s="164">
        <f>MAX(0,$FU25)+$DZ25*$EB25</f>
        <v/>
      </c>
      <c r="FW25" s="164">
        <f>(IF(COUNTIF($KW25:$KZ25,"Salto")&gt;0,1,0)+IF(COUNTIF($KW25:$KZ25,"Queima")&gt;0,1,0)+IF(COUNTIF($KW25:$KZ25,"Estilhaço")&gt;0,1,0))*FLOOR($FV25/2,1)</f>
        <v/>
      </c>
      <c r="FX25" s="164">
        <f>MAX(0,3-SUMPRODUCT($FF25:$FK25,$Q$2:$V$2)+MIN(2,$FL25*1+$FM25*1,SUMPRODUCT($FF25:$FK25,$Q$2:$V$2)-IF($EM25=0,0,INDEX($Q$2:$V$2,1,$EM25))))+$DZ25*1</f>
        <v/>
      </c>
      <c r="FY25" s="164">
        <f>MAX(0,6-SUMPRODUCT($FF25:$FK25,$Q$3:$V$3)+MIN(4,$FL25*1+$FM25*2,SUMPRODUCT($FF25:$FK25,$Q$3:$V$3)-IF($EM25=0,0,INDEX($Q$3:$V$3,1,$EM25))))+$DZ25*2</f>
        <v/>
      </c>
      <c r="FZ25" s="164">
        <f>MAX(0,9-SUMPRODUCT($FF25:$FK25,$Q$4:$V$4)+MIN(6,$FL25*2+$FM25*3,SUMPRODUCT($FF25:$FK25,$Q$4:$V$4)-IF($EM25=0,0,INDEX($Q$4:$V$4,1,$EM25))))+$DZ25*3</f>
        <v/>
      </c>
      <c r="GA25" s="164">
        <f>MAX(0,12-SUMPRODUCT($FF25:$FK25,$Q$5:$V$5)+MIN(8,$FL25*2+$FM25*4,SUMPRODUCT($FF25:$FK25,$Q$5:$V$5)-IF($EM25=0,0,INDEX($Q$5:$V$5,1,$EM25))))+$DZ25*4</f>
        <v/>
      </c>
      <c r="GB25" s="164">
        <f>MAX(0,15-SUMPRODUCT($FF25:$FK25,$Q$6:$V$6)+MIN(10,$FL25*3+$FM25*5,SUMPRODUCT($FF25:$FK25,$Q$6:$V$6)-IF($EM25=0,0,INDEX($Q$6:$V$6,1,$EM25))))+$DZ25*5</f>
        <v/>
      </c>
      <c r="GC25" s="164">
        <f>MAX(0,18-SUMPRODUCT($FF25:$FK25,$Q$7:$V$7)+MIN(12,$FL25*3+$FM25*6,SUMPRODUCT($FF25:$FK25,$Q$7:$V$7)-IF($EM25=0,0,INDEX($Q$7:$V$7,1,$EM25))))+$DZ25*6</f>
        <v/>
      </c>
      <c r="GD25" s="164">
        <f>MAX(0,21-SUMPRODUCT($FF25:$FK25,$Q$8:$V$8)+MIN(14,$FL25*4+$FM25*7,SUMPRODUCT($FF25:$FK25,$Q$8:$V$8)-IF($EM25=0,0,INDEX($Q$8:$V$8,1,$EM25))))+$DZ25*7</f>
        <v/>
      </c>
      <c r="GE25" s="164">
        <f>IF($EZ25=2,3*$FX25&amp;" de vida temp.",IF($EZ25=3,"sem dano",IF($FX25=0,IF($EZ25=1,"sem cura","sem dano"),IF($EZ25=1,"cura ","")&amp;$FX25&amp;"d8")))</f>
        <v/>
      </c>
      <c r="GF25" s="164">
        <f>IF($EZ25=2,3*$FY25&amp;" de vida temp.",IF($EZ25=3,"sem dano",IF($FY25=0,IF($EZ25=1,"sem cura","sem dano"),IF($EZ25=1,"cura ","")&amp;$FY25&amp;"d8")))</f>
        <v/>
      </c>
      <c r="GG25" s="164">
        <f>IF($EZ25=2,3*$FZ25&amp;" de vida temp.",IF($EZ25=3,"sem dano",IF($FZ25=0,IF($EZ25=1,"sem cura","sem dano"),IF($EZ25=1,"cura ","")&amp;$FZ25&amp;"d8")))</f>
        <v/>
      </c>
      <c r="GH25" s="164">
        <f>IF($EZ25=2,3*$GA25&amp;" de vida temp.",IF($EZ25=3,"sem dano",IF($GA25=0,IF($EZ25=1,"sem cura","sem dano"),IF($EZ25=1,"cura ","")&amp;$GA25&amp;"d8")))</f>
        <v/>
      </c>
      <c r="GI25" s="164">
        <f>IF($EZ25=2,3*$GB25&amp;" de vida temp.",IF($EZ25=3,"sem dano",IF($GB25=0,IF($EZ25=1,"sem cura","sem dano"),IF($EZ25=1,"cura ","")&amp;$GB25&amp;"d8")))</f>
        <v/>
      </c>
      <c r="GJ25" s="164">
        <f>IF($EZ25=2,3*$GC25&amp;" de vida temp.",IF($EZ25=3,"sem dano",IF($GC25=0,IF($EZ25=1,"sem cura","sem dano"),IF($EZ25=1,"cura ","")&amp;$GC25&amp;"d8")))</f>
        <v/>
      </c>
      <c r="GK25" s="164">
        <f>IF($EZ25=2,3*$GD25&amp;" de vida temp.",IF($EZ25=3,"sem dano",IF($GD25=0,IF($EZ25=1,"sem cura","sem dano"),IF($EZ25=1,"cura ","")&amp;$GD25&amp;"d8")))</f>
        <v/>
      </c>
      <c r="GL25" s="164">
        <f>IF($EK25=0,"",TEXTJOIN(" · ",TRUE,IF($EK25=0,"",TEXTJOIN(" · ",TRUE,IF($EK25=0,"",TEXTJOIN(" · ",TRUE,IF(AND($DZ25=1,$EA25&gt;$HM$9),"O nível "&amp;$HM$2&amp;" dá "&amp;$HM$9&amp;" Liberação Máxima",""),IF($EB25&gt;$HM$4,"Classe "&amp;$EB25&amp;": o nível "&amp;$HM$2&amp;" libera até a "&amp;$HM$4,""),IF($ER25=1,"Família Fechada: a Forma "&amp;$ED25,""),IF($ES25=1,"Família Fechada: "&amp;$EE25,""),IF($ET25=1,"Família Fechada: "&amp;$EF25,""),IF($EU25=1,"Família Fechada: "&amp;$EG25,""),IF($EV25=1,"Família Fechada: "&amp;$EH25,""),IF($FN25&gt;INDEX($W$2:$W$8,$EB25),$FN25&amp;" Melhorias: a Classe "&amp;$EB25&amp;" aceita "&amp;INDEX($W$2:$W$8,$EB25),""),IF($FO25&gt;2,$FO25&amp;" Restrições"&amp;IF($EY25=1,", contando a que a Forma "&amp;$ED25&amp;" já traz","")&amp;": o limite é 2",""),IF($FU25&lt;0,"Orçamento estourado: faltam "&amp;(-$FU25)&amp;IF($FU25&lt;-1," pontos"," ponto"),""),IF(IFERROR(VLOOKUP(SUBSTITUTE(SUBSTITUTE(SUBSTITUTE($EI25,"~","~~"),"*","~*"),"?","~?"),'DADOS_RESTRICOES'!$M$2:$Q$54,4,FALSE),0)+IFERROR(VLOOKUP(SUBSTITUTE(SUBSTITUTE(SUBSTITUTE($EJ25,"~","~~"),"*","~*"),"?","~?"),'DADOS_RESTRICOES'!$M$2:$Q$54,4,FALSE),0)&gt;1,$FD25&amp;" e "&amp;$FE25&amp;" são as duas de frequência",""),IF(AND((COUNTIF($KW25:$KZ25,"Rápido")+COUNTIF($FD25:$FE25,"Rápido"))&gt;0,(COUNTIF($EE25:$EH25,"Atrasar")+COUNTIF($FD25:$FE25,"Atrasar"))&gt;0),"Rápido não entra com Atrasar",""),IF(AND((COUNTIF($KW25:$KZ25,"Reação")+COUNTIF($FD25:$FE25,"Reação"))&gt;0,(COUNTIF($KW25:$KZ25,"Rápido")+COUNTIF($FD25:$FE25,"Rápido"))&gt;0),"Reação não entra com Rápido",""),IF(AND((COUNTIF($KW25:$KZ25,"Reação")+COUNTIF($FD25:$FE25,"Reação"))&gt;0,(COUNTIF($KW25:$KZ25,"Armado")+COUNTIF($FD25:$FE25,"Armado"))&gt;0),"Reação não entra com Armado",""),IF(AND((COUNTIF($KW25:$KZ25,"Reação")+COUNTIF($FD25:$FE25,"Reação"))&gt;0,(COUNTIF($EE25:$EH25,"Atrasar")+COUNTIF($FD25:$FE25,"Atrasar"))&gt;0),"Reação não entra com Atrasar",""),IF(AND((COUNTIF($KW25:$KZ25,"Reação")+COUNTIF($FD25:$FE25,"Reação"))&gt;0,(COUNTIF($EE25:$EH25,"Parado")+COUNTIF($FD25:$FE25,"Parado"))&gt;0),"Reação não entra com Parado",""),IF(AND((COUNTIF($EE25:$EH25,"Atrasar")+COUNTIF($FD25:$FE25,"Atrasar"))&gt;0,(COUNTIF($EE25:$EH25,"Parado")+COUNTIF($FD25:$FE25,"Parado"))&gt;0),"Atrasar não entra com Parado",""),IF(AND((COUNTIF($KW25:$KZ25,"Armado")+COUNTIF($FD25:$FE25,"Armado"))&gt;0,(COUNTIF($EE25:$EH25,"Carregar")+COUNTIF($FD25:$FE25,"Carregar"))&gt;0),"Armado não entra com Carregar",""),IF(AND(COUNTIF($FD25:$FE25,"Corpo a Corpo")&gt;0,$EY25=0,OR($LB25="Cone",$LB25="Linha")),"Corpo a Corpo não entra em "&amp;$ED25,""),IF(AND(COUNTIF($FD25:$FE25,"Corpo a Corpo")&gt;0,$LC25="Corpo a Corpo"),"A Forma "&amp;$ED25&amp;" já traz o Corpo a Corpo",""),IF(AND(COUNTIF($FD25:$FE25,"Tudo ou Nada")&gt;0,$FA25=0),"Tudo ou Nada só entra em feitiço de Teste de Resistência",""),IF(AND(COUNTIF($KW25:$KZ25,"Inescapável")&gt;0,OR($FN25&gt;1,$FO25&gt;0)),"Inescapável não aceita outra peça",""),IF(AND($DZ25=1,$EB25&lt;3),"Liberação Máxima é de Classe 3 ou mais",""),IF(AND($DZ25=1,OR($EZ25=1,$EZ25=2)),"Liberação Máxima não serve para cura",""),IF(AND($DZ25=1,COUNTIF($KW25:$KZ25,"Inescapável")+COUNTIF($KW25:$KZ25,"Toca a Alma")&gt;0),"Esta peça não entra numa Liberação Máxima",""),IF($FV25*IF(COUNTIF($KW25:$KZ25,"Remate")&gt;0,1.25,1)+$FW25&gt;4*$EB25,($FV25*IF(COUNTIF($KW25:$KZ25,"Remate")&gt;0,1.25,1)+$FW25)&amp;" dados somando repetições"&amp;IF(COUNTIF($KW25:$KZ25,"Remate")&gt;0," e o Remate","")&amp;": o teto da Classe "&amp;$EB25&amp;" é "&amp;4*$EB25,""))),IF(AND($EE25&lt;&gt;"",COUNTIF('DADOS_MELHORIAS'!$O$2:$O$113,SUBSTITUTE(SUBSTITUTE(SUBSTITUTE($EE25,"~","~~"),"*","~*"),"?","~?"))=0),"Melhoria não cadastrada ou com erro: "&amp;$EE25,""),IF(AND($EF25&lt;&gt;"",COUNTIF('DADOS_MELHORIAS'!$O$2:$O$113,SUBSTITUTE(SUBSTITUTE(SUBSTITUTE($EF25,"~","~~"),"*","~*"),"?","~?"))=0),"Melhoria não cadastrada ou com erro: "&amp;$EF25,""),IF(AND($EG25&lt;&gt;"",COUNTIF('DADOS_MELHORIAS'!$O$2:$O$113,SUBSTITUTE(SUBSTITUTE(SUBSTITUTE($EG25,"~","~~"),"*","~*"),"?","~?"))=0),"Melhoria não cadastrada ou com erro: "&amp;$EG25,""),IF(AND($EH25&lt;&gt;"",COUNTIF('DADOS_MELHORIAS'!$O$2:$O$113,SUBSTITUTE(SUBSTITUTE(SUBSTITUTE($EH25,"~","~~"),"*","~*"),"?","~?"))=0),"Melhoria não cadastrada ou com erro: "&amp;$EH25,""),IF(AND($EI25&lt;&gt;"",COUNTIF('DADOS_RESTRICOES'!$M$2:$M$54,SUBSTITUTE(SUBSTITUTE(SUBSTITUTE($EI25,"~","~~"),"*","~*"),"?","~?"))=0),"Restrição não cadastrada ou com erro: "&amp;$EI25,""),IF(AND($EJ25&lt;&gt;"",COUNTIF('DADOS_RESTRICOES'!$M$2:$M$54,SUBSTITUTE(SUBSTITUTE(SUBSTITUTE($EJ25,"~","~~"),"*","~*"),"?","~?"))=0),"Restrição não cadastrada ou com erro: "&amp;$EJ25,""))),IF(AND($ED25&lt;&gt;"",COUNTIF('DADOS_FORMAS'!$AH$2:$AH$21,SUBSTITUTE(SUBSTITUTE(SUBSTITUTE($ED25,"~","~~"),"*","~*"),"?","~?"))=0),"Forma não cadastrada ou com erro: "&amp;$ED25,""),IF(AND(IFERROR(INDEX('DADOS_FORMAS'!$AS$2:$AS$21,MATCH(SUBSTITUTE(SUBSTITUTE(SUBSTITUTE($ED25,"~","~~"),"*","~*"),"?","~?"),'DADOS_FORMAS'!$AH$2:$AH$21,0)),"")&lt;&gt;"",OR(IFERROR(VLOOKUP(SUBSTITUTE(SUBSTITUTE(SUBSTITUTE(IFERROR(INDEX('DADOS_FORMAS'!$AS$2:$AS$21,MATCH(SUBSTITUTE(SUBSTITUTE(SUBSTITUTE($ED25,"~","~~"),"*","~*"),"?","~?"),'DADOS_FORMAS'!$AH$2:$AH$21,0)),""),"~","~~"),"*","~*"),"?","~?"),'DADOS_RESTRICOES'!$M$2:$Q$54,2,FALSE),"")=$FD25,IFERROR(VLOOKUP(SUBSTITUTE(SUBSTITUTE(SUBSTITUTE(IFERROR(INDEX('DADOS_FORMAS'!$AS$2:$AS$21,MATCH(SUBSTITUTE(SUBSTITUTE(SUBSTITUTE($ED25,"~","~~"),"*","~*"),"?","~?"),'DADOS_FORMAS'!$AH$2:$AH$21,0)),""),"~","~~"),"*","~*"),"?","~?"),'DADOS_RESTRICOES'!$M$2:$Q$54,2,FALSE),"")=$FE25)),"Restrição repetida, contando a embutida",""),IF(IF(IFERROR(INDEX('DADOS_FORMAS'!$AS$2:$AS$21,MATCH(SUBSTITUTE(SUBSTITUTE(SUBSTITUTE($ED25,"~","~~"),"*","~*"),"?","~?"),'DADOS_FORMAS'!$AH$2:$AH$21,0)),"")="",0,IFERROR(N(VLOOKUP(SUBSTITUTE(SUBSTITUTE(SUBSTITUTE(IFERROR(INDEX('DADOS_FORMAS'!$AS$2:$AS$21,MATCH(SUBSTITUTE(SUBSTITUTE(SUBSTITUTE($ED25,"~","~~"),"*","~*"),"?","~?"),'DADOS_FORMAS'!$AH$2:$AH$21,0)),""),"~","~~"),"*","~*"),"?","~?"),'DADOS_RESTRICOES'!$M$2:$Q$54,4,FALSE)=1),0))+IF($EI25="",0,IFERROR(N(VLOOKUP(SUBSTITUTE(SUBSTITUTE(SUBSTITUTE($EI25,"~","~~"),"*","~*"),"?","~?"),'DADOS_RESTRICOES'!$M$2:$Q$54,4,FALSE)=1),0))+IF($EJ25="",0,IFERROR(N(VLOOKUP(SUBSTITUTE(SUBSTITUTE(SUBSTITUTE($EJ25,"~","~~"),"*","~*"),"?","~?"),'DADOS_RESTRICOES'!$M$2:$Q$54,4,FALSE)=1),0))&gt;1,"Duas Restrições de frequência, contando a embutida",""),IF(AND(IFERROR(VLOOKUP(SUBSTITUTE(SUBSTITUTE(SUBSTITUTE(IFERROR(INDEX('DADOS_FORMAS'!$AS$2:$AS$21,MATCH(SUBSTITUTE(SUBSTITUTE(SUBSTITUTE($ED25,"~","~~"),"*","~*"),"?","~?"),'DADOS_FORMAS'!$AH$2:$AH$21,0)),""),"~","~~"),"*","~*"),"?","~?"),'DADOS_RESTRICOES'!$M$2:$Q$54,2,FALSE),"")="Tudo ou Nada",$FA25=0),"Tudo ou Nada exige TR",""),IF(AND(IFERROR(VLOOKUP(SUBSTITUTE(SUBSTITUTE(SUBSTITUTE(IFERROR(INDEX('DADOS_FORMAS'!$AS$2:$AS$21,MATCH(SUBSTITUTE(SUBSTITUTE(SUBSTITUTE($ED25,"~","~~"),"*","~*"),"?","~?"),'DADOS_FORMAS'!$AH$2:$AH$21,0)),""),"~","~~"),"*","~*"),"?","~?"),'DADOS_RESTRICOES'!$M$2:$Q$54,2,FALSE),"")="Corpo a Corpo",OR($LB25="Cone",$LB25="Linha")),"Corpo a Corpo não entra em Cone/Linha","")))</f>
        <v/>
      </c>
      <c r="GM25" s="164">
        <f>IF($GL25="",0,(LEN($GL25)-LEN(SUBSTITUTE($GL25," · ","")))/3+1)</f>
        <v/>
      </c>
      <c r="GN25" s="164">
        <f>IF($EK25=0,"",TEXTJOIN(" · ",TRUE,IF($FQ25&gt;2*$EB25,"A devolução parou no teto de "&amp;2*$EB25,""),IF($FT25&gt;0,"Devolução perdida: "&amp;$FT25&amp;IF($FT25&gt;1," pontos"," ponto")&amp;" sem Melhoria para pagar",""),IF(AND($EW25&gt;0,$FV25=0),"Controle sem dano: uma rodada a mais e CD +2",""),IF(AND($EW25&gt;0,$FV25&gt;0,$FV25&lt;=$EB25),"Controle com saldo até a Classe: uma rodada a mais","")))</f>
        <v/>
      </c>
      <c r="GO25" s="164">
        <f>IF($GN25="",0,(LEN($GN25)-LEN(SUBSTITUTE($GN25," · ","")))/3+1)</f>
        <v/>
      </c>
      <c r="GP25" s="164">
        <f>IF($EK25=0,IF($FN25+$FO25-$EY25&gt;0,"Dê um nome",""),IF($GM25&gt;0,"⚠ "&amp;$GM25&amp;IF($GM25&gt;1," erros"," erro"),IF($GO25&gt;0,"! "&amp;$GO25&amp;IF($GO25&gt;1," avisos"," aviso"),"Na regra")))</f>
        <v/>
      </c>
      <c r="GQ25" s="164">
        <f>IF($EK25=0,"",IF($GM25+$GO25=0,"Dentro das regras que a ficha confere",$GL25&amp;IF(AND($GM25&gt;0,$GO25&gt;0)," · ","")&amp;$GN25))</f>
        <v/>
      </c>
      <c r="GR25" s="164">
        <f>IF($EK25=0,"",IF($DZ25=1,CEILING(4.5*$EB25,1),3*$EB25)&amp;" PE")</f>
        <v/>
      </c>
      <c r="GS25" s="164">
        <f>IF($EK25=0,"",IF($DZ25=1,"Rodada inteira",IF(COUNTIF($LD25:$LF25,"Atrasar")&gt;0,IF(COUNTIF($LD25:$LF25,"Carregar")&gt;0,"Rodada +1 turno","Rodada inteira"),IF(COUNTIF($KW25:$KZ25,"Rápido")&gt;0,"Bônus",IF(COUNTIF($KW25:$KZ25,"Reação")&gt;0,"Reação","Padrão"))&amp;IF(COUNTIF($LD25:$LF25,"Carregar")&gt;0," +1 turno",""))))</f>
        <v/>
      </c>
      <c r="GT25" s="164">
        <f>IF(OR($EK25=0,$EL25=0),"",IF(COUNTIF($KW25:$KZ25,"Inescapável")&gt;0,"Automático",IF(COUNTIF($KW25:$KZ25,"Certeiro")&gt;0,"TR para metade",IF(AND($EX25&gt;0,$FA25=0,INDEX('DADOS_FORMAS'!$FQ$2:$FQ$21,$EL25)="Acerto"),"Acerto + TR",INDEX('DADOS_FORMAS'!$FQ$2:$FQ$21,$EL25)))))</f>
        <v/>
      </c>
      <c r="GU25" s="164">
        <f>IF(OR($EK25=0,$EL25=0),"",IF(OR($EZ25&gt;=2,$FV25=0),UPPER(LEFT(INDEX($GE25:$GK25,1,$EB25),1))&amp;MID(INDEX($GE25:$GK25,1,$EB25),2,99),UPPER(LEFT(INDEX($GE25:$GK25,1,$EB25),1))&amp;MID(INDEX($GE25:$GK25,1,$EB25),2,99)&amp;" = "&amp;FLOOR($FV25*4.5,1)&amp;IF($FW25&gt;0," · +"&amp;$FW25&amp;"d8","")))</f>
        <v/>
      </c>
      <c r="GV25" s="164">
        <f>COUNTIF($KW25:$KZ25,"Longe")+3*COUNTIF($KW25:$KZ25,"Muito Longe")</f>
        <v/>
      </c>
      <c r="GW25" s="164">
        <f>COUNTIF($KW25:$KZ25,"Maior")+3*COUNTIF($KW25:$KZ25,"Muito Maior")</f>
        <v/>
      </c>
      <c r="GX25" s="164">
        <f>IF($EL25=0,0,CHOOSE(1+INDEX('DADOS_FORMAS'!$FS$2:$FS$21,$EL25),0,$GV25,$GW25,$GV25+$GW25))</f>
        <v/>
      </c>
      <c r="GY25" s="164">
        <f>IF($EL25=0,0,CHOOSE(1+INDEX('DADOS_FORMAS'!$FT$2:$FT$21,$EL25),0,$GV25,$GW25,$GV25+$GW25))</f>
        <v/>
      </c>
      <c r="GZ25" s="164">
        <f>IF(OR($EK25=0,$EL25=0),"",INDEX('DADOS_FORMAS'!$GZ$2:$HE$61,($EL25-1)*3+IF($EB25&gt;=6,3,2),1+MIN(5,$GX25))&amp;INDEX('DADOS_FORMAS'!$HF$2:$HK$61,($EL25-1)*3+IF($EB25&gt;=6,3,2),1+MIN(5,$GY25))&amp;IF(INDEX('DADOS_FORMAS'!$FU$2:$FU$21,$EL25)=1,IF(COUNTIF($KW25:$KZ25,"Mais Um")&gt;0," · +"&amp;COUNTIF($KW25:$KZ25,"Mais Um")&amp;IF(COUNTIF($KW25:$KZ25,"Mais Um")&gt;1," alvos"," alvo"),"")&amp;IF(COUNTIF($KW25:$KZ25,"Rajada")&gt;0," · "&amp;($EB25+1)&amp;" tiros",""),""))</f>
        <v/>
      </c>
      <c r="HA25" s="164">
        <f>IF($EK25=0,"",3*$EB25&amp;" − "&amp;$FP25&amp;" + "&amp;$FS25&amp;IF($DZ25=1," + "&amp;$EB25,"")&amp;" = "&amp;$FV25&amp;"d8 · teto "&amp;4*$EB25&amp;IF($EY25=1," · a Forma devolve "&amp;$EB25,"")&amp;IF($FT25&gt;0," · perde "&amp;$FT25,""))</f>
        <v/>
      </c>
      <c r="HB25" s="164">
        <f>IF($EK25=0,"",IF($EB25&gt;=$HM$4,"Já está na maior Classe que o nível liberou",TEXTJOIN(" · ",TRUE,IF(AND(2&gt;$EB25,2&lt;=$HM$4),"2 → "&amp;$GF25&amp;", "&amp;IF($DZ25=1,9,6)&amp;" PE",""),IF(AND(3&gt;$EB25,3&lt;=$HM$4),"3 → "&amp;$GG25&amp;", "&amp;IF($DZ25=1,14,9)&amp;" PE",""),IF(AND(4&gt;$EB25,4&lt;=$HM$4),"4 → "&amp;$GH25&amp;", "&amp;IF($DZ25=1,18,12)&amp;" PE",""),IF(AND(5&gt;$EB25,5&lt;=$HM$4),"5 → "&amp;$GI25&amp;", "&amp;IF($DZ25=1,23,15)&amp;" PE",""),IF(AND(6&gt;$EB25,6&lt;=$HM$4),"6 → "&amp;$GJ25&amp;", "&amp;IF($DZ25=1,27,18)&amp;" PE",""),IF(AND(7&gt;$EB25,7&lt;=$HM$4),"7 → "&amp;$GK25&amp;", "&amp;IF($DZ25=1,32,21)&amp;" PE",""))))</f>
        <v/>
      </c>
      <c r="HC25" s="164">
        <f>IF(OR($EK25=0,$EN25=0),"","−"&amp;INDEX($Q$2:$V$8,$EB25,$EN25)&amp;" · "&amp;CHOOSE($EN25,"Leve","Média","Pesada","Leve · Livre","Média · Livre","Pesada · Livre"))</f>
        <v/>
      </c>
      <c r="HD25" s="164">
        <f>IF(OR($EK25=0,$EO25=0),"","−"&amp;INDEX($Q$2:$V$8,$EB25,$EO25)&amp;" · "&amp;CHOOSE($EO25,"Leve","Média","Pesada","Leve · Livre","Média · Livre","Pesada · Livre"))</f>
        <v/>
      </c>
      <c r="HE25" s="164">
        <f>IF(OR($EK25=0,$EP25=0),"","−"&amp;INDEX($Q$2:$V$8,$EB25,$EP25)&amp;" · "&amp;CHOOSE($EP25,"Leve","Média","Pesada","Leve · Livre","Média · Livre","Pesada · Livre"))</f>
        <v/>
      </c>
      <c r="HF25" s="164">
        <f>IF(OR($EK25=0,$EQ25=0),"","−"&amp;INDEX($Q$2:$V$8,$EB25,$EQ25)&amp;" · "&amp;CHOOSE($EQ25,"Leve","Média","Pesada","Leve · Livre","Média · Livre","Pesada · Livre"))</f>
        <v/>
      </c>
      <c r="HG25" s="164">
        <f>IF(OR($EK25=0,$EI25=""),"","+"&amp;IF($FB25=1,CEILING($EB25/2,1),$EB25))</f>
        <v/>
      </c>
      <c r="HH25" s="164">
        <f>IF(OR($EK25=0,$EJ25=""),"","+"&amp;IF($FC25=1,CEILING($EB25/2,1),$EB25))</f>
        <v/>
      </c>
      <c r="HI25" s="164">
        <f>'FICHA AMALDIÇOADA'!$P$215&amp;""</f>
        <v/>
      </c>
      <c r="HJ25" s="164">
        <f>IF(AND($EK25=1,$DZ25=0),COUNTIFS($EK$2:$EK25,1,$DZ$2:$DZ25,0),"")</f>
        <v/>
      </c>
      <c r="HL25" s="162" t="inlineStr">
        <is>
          <t>aptidões anotadas</t>
        </is>
      </c>
      <c r="HM25" s="164">
        <f>IF('FICHA AMALDIÇOADA'!$D$443="",0,IFERROR(1-VLOOKUP(SUBSTITUTE(SUBSTITUTE(SUBSTITUTE('FICHA AMALDIÇOADA'!$D$443,"~","~~"),"*","~*"),"?","~?"),'DADOS_APTIDOES'!$BF$2:$BO$45,9,FALSE),1))+IF('FICHA AMALDIÇOADA'!$J$443="",0,IFERROR(1-VLOOKUP(SUBSTITUTE(SUBSTITUTE(SUBSTITUTE('FICHA AMALDIÇOADA'!$J$443,"~","~~"),"*","~*"),"?","~?"),'DADOS_APTIDOES'!$BF$2:$BO$45,9,FALSE),1))+IF('FICHA AMALDIÇOADA'!$P$443="",0,IFERROR(1-VLOOKUP(SUBSTITUTE(SUBSTITUTE(SUBSTITUTE('FICHA AMALDIÇOADA'!$P$443,"~","~~"),"*","~*"),"?","~?"),'DADOS_APTIDOES'!$BF$2:$BO$45,9,FALSE),1))+IF('FICHA AMALDIÇOADA'!$D$463="",0,IFERROR(1-VLOOKUP(SUBSTITUTE(SUBSTITUTE(SUBSTITUTE('FICHA AMALDIÇOADA'!$D$463,"~","~~"),"*","~*"),"?","~?"),'DADOS_APTIDOES'!$BF$2:$BO$45,9,FALSE),1))+IF('FICHA AMALDIÇOADA'!$J$463="",0,IFERROR(1-VLOOKUP(SUBSTITUTE(SUBSTITUTE(SUBSTITUTE('FICHA AMALDIÇOADA'!$J$463,"~","~~"),"*","~*"),"?","~?"),'DADOS_APTIDOES'!$BF$2:$BO$45,9,FALSE),1))+IF('FICHA AMALDIÇOADA'!$P$463="",0,IFERROR(1-VLOOKUP(SUBSTITUTE(SUBSTITUTE(SUBSTITUTE('FICHA AMALDIÇOADA'!$P$463,"~","~~"),"*","~*"),"?","~?"),'DADOS_APTIDOES'!$BF$2:$BO$45,9,FALSE),1))+IF('FICHA AMALDIÇOADA'!$D$485="",0,IFERROR(1-VLOOKUP(SUBSTITUTE(SUBSTITUTE(SUBSTITUTE('FICHA AMALDIÇOADA'!$D$485,"~","~~"),"*","~*"),"?","~?"),'DADOS_APTIDOES'!$BF$2:$BO$45,9,FALSE),1))+IF('FICHA AMALDIÇOADA'!$J$485="",0,IFERROR(1-VLOOKUP(SUBSTITUTE(SUBSTITUTE(SUBSTITUTE('FICHA AMALDIÇOADA'!$J$485,"~","~~"),"*","~*"),"?","~?"),'DADOS_APTIDOES'!$BF$2:$BO$45,9,FALSE),1))+IF('FICHA AMALDIÇOADA'!$P$485="",0,IFERROR(1-VLOOKUP(SUBSTITUTE(SUBSTITUTE(SUBSTITUTE('FICHA AMALDIÇOADA'!$P$485,"~","~~"),"*","~*"),"?","~?"),'DADOS_APTIDOES'!$BF$2:$BO$45,9,FALSE),1))+IF('FICHA AMALDIÇOADA'!$D$505="",0,IFERROR(1-VLOOKUP(SUBSTITUTE(SUBSTITUTE(SUBSTITUTE('FICHA AMALDIÇOADA'!$D$505,"~","~~"),"*","~*"),"?","~?"),'DADOS_APTIDOES'!$BF$2:$BO$45,9,FALSE),1))+IF('FICHA AMALDIÇOADA'!$J$505="",0,IFERROR(1-VLOOKUP(SUBSTITUTE(SUBSTITUTE(SUBSTITUTE('FICHA AMALDIÇOADA'!$J$505,"~","~~"),"*","~*"),"?","~?"),'DADOS_APTIDOES'!$BF$2:$BO$45,9,FALSE),1))+IF('FICHA AMALDIÇOADA'!$P$505="",0,IFERROR(1-VLOOKUP(SUBSTITUTE(SUBSTITUTE(SUBSTITUTE('FICHA AMALDIÇOADA'!$P$505,"~","~~"),"*","~*"),"?","~?"),'DADOS_APTIDOES'!$BF$2:$BO$45,9,FALSE),1))</f>
        <v/>
      </c>
      <c r="JH25" s="164" t="n">
        <v>24</v>
      </c>
      <c r="JI25" s="164">
        <f>IFERROR(MATCH(24,$HJ$2:$HJ$37,0),0)</f>
        <v/>
      </c>
      <c r="JJ25" s="164">
        <f>IF($JI25=0,"",INDEX($EB$2:$EB$37,$JI25))</f>
        <v/>
      </c>
      <c r="JK25" s="164">
        <f>IF($JI25=0,"",INDEX($EC$2:$EC$37,$JI25))</f>
        <v/>
      </c>
      <c r="JL25" s="164">
        <f>IF($JI25=0,"",INDEX($GR$2:$GR$37,$JI25))</f>
        <v/>
      </c>
      <c r="JM25" s="164">
        <f>IF($JI25=0,"",INDEX($ED$2:$ED$37,$JI25))</f>
        <v/>
      </c>
      <c r="JN25" s="164">
        <f>IF($JI25=0,"",INDEX($GT$2:$GT$37,$JI25))</f>
        <v/>
      </c>
      <c r="JO25" s="164">
        <f>IF($JI25=0,"",INDEX($HI$2:$HI$37,$JI25))</f>
        <v/>
      </c>
      <c r="KU25" s="162" t="inlineStr">
        <is>
          <t>E59</t>
        </is>
      </c>
      <c r="KV25" s="164">
        <f>3*DADOS_AM!$HM$30</f>
        <v/>
      </c>
      <c r="KW25">
        <f>IF($EE25="","",IFERROR(VLOOKUP(SUBSTITUTE(SUBSTITUTE(SUBSTITUTE($EE25,"~","~~"),"*","~*"),"?","~?"),'DADOS_MELHORIAS'!$O$2:$X$113,10,FALSE),$EE25))</f>
        <v/>
      </c>
      <c r="KX25">
        <f>IF($EF25="","",IFERROR(VLOOKUP(SUBSTITUTE(SUBSTITUTE(SUBSTITUTE($EF25,"~","~~"),"*","~*"),"?","~?"),'DADOS_MELHORIAS'!$O$2:$X$113,10,FALSE),$EF25))</f>
        <v/>
      </c>
      <c r="KY25">
        <f>IF($EG25="","",IFERROR(VLOOKUP(SUBSTITUTE(SUBSTITUTE(SUBSTITUTE($EG25,"~","~~"),"*","~*"),"?","~?"),'DADOS_MELHORIAS'!$O$2:$X$113,10,FALSE),$EG25))</f>
        <v/>
      </c>
      <c r="KZ25">
        <f>IF($EH25="","",IFERROR(VLOOKUP(SUBSTITUTE(SUBSTITUTE(SUBSTITUTE($EH25,"~","~~"),"*","~*"),"?","~?"),'DADOS_MELHORIAS'!$O$2:$X$113,10,FALSE),$EH25))</f>
        <v/>
      </c>
      <c r="LB25">
        <f>IFERROR(INDEX('DADOS_FORMAS'!$BJ$2:$BJ$21,MATCH(SUBSTITUTE(SUBSTITUTE(SUBSTITUTE($ED25,"~","~~"),"*","~*"),"?","~?"),'DADOS_FORMAS'!$AH$2:$AH$21,0)),"")</f>
        <v/>
      </c>
      <c r="LC25">
        <f>IFERROR(VLOOKUP(SUBSTITUTE(SUBSTITUTE(SUBSTITUTE(IFERROR(INDEX('DADOS_FORMAS'!$AS$2:$AS$21,MATCH(SUBSTITUTE(SUBSTITUTE(SUBSTITUTE($ED25,"~","~~"),"*","~*"),"?","~?"),'DADOS_FORMAS'!$AH$2:$AH$21,0)),""),"~","~~"),"*","~*"),"?","~?"),'DADOS_RESTRICOES'!$M$2:$Q$54,2,FALSE),"")</f>
        <v/>
      </c>
      <c r="LD25">
        <f>$FD25</f>
        <v/>
      </c>
      <c r="LE25">
        <f>$FE25</f>
        <v/>
      </c>
      <c r="LF25">
        <f>$LC25</f>
        <v/>
      </c>
    </row>
    <row r="26">
      <c r="AO26" s="162" t="inlineStr">
        <is>
          <t>Onda · classe 0</t>
        </is>
      </c>
      <c r="AP26" s="162" t="inlineStr">
        <is>
          <t>—</t>
        </is>
      </c>
      <c r="AQ26" s="162" t="inlineStr">
        <is>
          <t>—</t>
        </is>
      </c>
      <c r="AR26" s="162" t="inlineStr">
        <is>
          <t>—</t>
        </is>
      </c>
      <c r="AS26" s="162" t="inlineStr">
        <is>
          <t>—</t>
        </is>
      </c>
      <c r="AT26" s="162" t="inlineStr">
        <is>
          <t>—</t>
        </is>
      </c>
      <c r="AU26" s="162" t="inlineStr">
        <is>
          <t>—</t>
        </is>
      </c>
      <c r="AV26" s="162" t="inlineStr"/>
      <c r="AW26" s="162" t="inlineStr"/>
      <c r="AX26" s="162" t="inlineStr"/>
      <c r="AY26" s="162" t="inlineStr"/>
      <c r="AZ26" s="162" t="inlineStr"/>
      <c r="BA26" s="162" t="inlineStr"/>
      <c r="BC26" s="162" t="inlineStr">
        <is>
          <t>Derrubado</t>
        </is>
      </c>
      <c r="BD26" s="162" t="inlineStr">
        <is>
          <t>Controle</t>
        </is>
      </c>
      <c r="BE26" s="164" t="n">
        <v>1</v>
      </c>
      <c r="BF26" s="164">
        <f>$BE26+3*IFERROR(VLOOKUP($BD26,'DADOS_CRIACAO'!$H$2:$K$20,3,FALSE),0)</f>
        <v/>
      </c>
      <c r="BG26" s="164">
        <f>IFERROR(VLOOKUP($BD26,'DADOS_CRIACAO'!$H$2:$K$20,4,FALSE),0)</f>
        <v/>
      </c>
      <c r="BH26" s="164" t="n">
        <v>1</v>
      </c>
      <c r="BI26" s="164">
        <f>IF($BG26=1,"",$BC26)</f>
        <v/>
      </c>
      <c r="BJ26" s="164">
        <f>IF(AND($BE26=1,$BG26=0),$BC26,"")</f>
        <v/>
      </c>
      <c r="BK26" s="164" t="n">
        <v>1</v>
      </c>
      <c r="CD26" s="162" t="inlineStr">
        <is>
          <t>Sem Pegada</t>
        </is>
      </c>
      <c r="CE26" s="162" t="inlineStr">
        <is>
          <t>Lapidação 1</t>
        </is>
      </c>
      <c r="CF26" s="164" t="n">
        <v>1</v>
      </c>
      <c r="CG26" s="162" t="inlineStr">
        <is>
          <t>—</t>
        </is>
      </c>
      <c r="CH26" s="162" t="inlineStr">
        <is>
          <t>Sua passagem não deixa pegadas, cheiro, marcas ou som de passos que possam servir de rastro. Faro, animais e técnicas que dependam desses vestígios não conseguem seguir seu caminho por eles. Uma testemunha ainda pode enxergar você. Voz, armas e objetos que você manipule continuam produzindo seus próprios sons. Esconder-se segue a ação e os requisitos de Furtividade. A Bênção não concede um teste gratuito para se ocultar nem mantém oculto um ataque que revele sua posição.</t>
        </is>
      </c>
      <c r="CI26" s="164">
        <f>IF($CL26=1,"",IF($A$2=4,IF($CJ26=1,$CD26,""),IF(OR($CJ26=1,AND($A$2=3,$CK26=1)),"",$CD26)))</f>
        <v/>
      </c>
      <c r="CJ26" s="164" t="n">
        <v>1</v>
      </c>
      <c r="CK26" s="164" t="n">
        <v>0</v>
      </c>
      <c r="CL26" s="164" t="n">
        <v>0</v>
      </c>
      <c r="CM26" s="162" t="inlineStr">
        <is>
          <t>Sua passagem não deixa pegadas, cheiro, marcas ou som de passos que possam servir de rastro.</t>
        </is>
      </c>
      <c r="DY26" s="162" t="inlineStr">
        <is>
          <t>Feitiço 25</t>
        </is>
      </c>
      <c r="DZ26" s="164" t="n">
        <v>0</v>
      </c>
      <c r="EA26" s="164" t="n">
        <v>25</v>
      </c>
      <c r="EB26" s="164">
        <f>MAX(1,MIN(7,N('FICHA AMALDIÇOADA'!$D$236)))</f>
        <v/>
      </c>
      <c r="EC26" s="164">
        <f>'FICHA AMALDIÇOADA'!$E$236&amp;""</f>
        <v/>
      </c>
      <c r="ED26" s="164">
        <f>'FICHA AMALDIÇOADA'!$D$243&amp;""</f>
        <v/>
      </c>
      <c r="EE26" s="164">
        <f>'FICHA AMALDIÇOADA'!$E$245&amp;""</f>
        <v/>
      </c>
      <c r="EF26" s="164">
        <f>'FICHA AMALDIÇOADA'!$E$246&amp;""</f>
        <v/>
      </c>
      <c r="EG26" s="164">
        <f>'FICHA AMALDIÇOADA'!$E$247&amp;""</f>
        <v/>
      </c>
      <c r="EH26" s="164">
        <f>'FICHA AMALDIÇOADA'!$E$248&amp;""</f>
        <v/>
      </c>
      <c r="EI26" s="164">
        <f>'FICHA AMALDIÇOADA'!$E$249&amp;""</f>
        <v/>
      </c>
      <c r="EJ26" s="164">
        <f>'FICHA AMALDIÇOADA'!$E$250&amp;""</f>
        <v/>
      </c>
      <c r="EK26" s="164">
        <f>IF($EC26&lt;&gt;"",1,0)</f>
        <v/>
      </c>
      <c r="EL26" s="164">
        <f>IFERROR(MATCH(SUBSTITUTE(SUBSTITUTE(SUBSTITUTE($ED26,"~","~~"),"*","~*"),"?","~?"),'DADOS_FORMAS'!$FJ$2:$FJ$21,0),0)</f>
        <v/>
      </c>
      <c r="EM26" s="164">
        <f>IF($EL26=0,0,INDEX('DADOS_FORMAS'!$FM$2:$FM$21,$EL26))</f>
        <v/>
      </c>
      <c r="EN26" s="164">
        <f>IFERROR(VLOOKUP(SUBSTITUTE(SUBSTITUTE(SUBSTITUTE($EE26,"~","~~"),"*","~*"),"?","~?"),'DADOS_MELHORIAS'!$O$2:$W$113,4,FALSE),0)</f>
        <v/>
      </c>
      <c r="EO26" s="164">
        <f>IFERROR(VLOOKUP(SUBSTITUTE(SUBSTITUTE(SUBSTITUTE($EF26,"~","~~"),"*","~*"),"?","~?"),'DADOS_MELHORIAS'!$O$2:$W$113,4,FALSE),0)</f>
        <v/>
      </c>
      <c r="EP26" s="164">
        <f>IFERROR(VLOOKUP(SUBSTITUTE(SUBSTITUTE(SUBSTITUTE($EG26,"~","~~"),"*","~*"),"?","~?"),'DADOS_MELHORIAS'!$O$2:$W$113,4,FALSE),0)</f>
        <v/>
      </c>
      <c r="EQ26" s="164">
        <f>IFERROR(VLOOKUP(SUBSTITUTE(SUBSTITUTE(SUBSTITUTE($EH26,"~","~~"),"*","~*"),"?","~?"),'DADOS_MELHORIAS'!$O$2:$W$113,4,FALSE),0)</f>
        <v/>
      </c>
      <c r="ER26" s="164">
        <f>IF($EL26=0,0,INDEX('DADOS_FORMAS'!$FN$2:$FN$21,$EL26))</f>
        <v/>
      </c>
      <c r="ES26" s="164">
        <f>IFERROR(VLOOKUP(SUBSTITUTE(SUBSTITUTE(SUBSTITUTE($EE26,"~","~~"),"*","~*"),"?","~?"),'DADOS_MELHORIAS'!$O$2:$W$113,5,FALSE),0)</f>
        <v/>
      </c>
      <c r="ET26" s="164">
        <f>IFERROR(VLOOKUP(SUBSTITUTE(SUBSTITUTE(SUBSTITUTE($EF26,"~","~~"),"*","~*"),"?","~?"),'DADOS_MELHORIAS'!$O$2:$W$113,5,FALSE),0)</f>
        <v/>
      </c>
      <c r="EU26" s="164">
        <f>IFERROR(VLOOKUP(SUBSTITUTE(SUBSTITUTE(SUBSTITUTE($EG26,"~","~~"),"*","~*"),"?","~?"),'DADOS_MELHORIAS'!$O$2:$W$113,5,FALSE),0)</f>
        <v/>
      </c>
      <c r="EV26" s="164">
        <f>IFERROR(VLOOKUP(SUBSTITUTE(SUBSTITUTE(SUBSTITUTE($EH26,"~","~~"),"*","~*"),"?","~?"),'DADOS_MELHORIAS'!$O$2:$W$113,5,FALSE),0)</f>
        <v/>
      </c>
      <c r="EW26" s="164">
        <f>IFERROR(VLOOKUP(SUBSTITUTE(SUBSTITUTE(SUBSTITUTE($EE26,"~","~~"),"*","~*"),"?","~?"),'DADOS_MELHORIAS'!$O$2:$W$113,6,FALSE),0)+IFERROR(VLOOKUP(SUBSTITUTE(SUBSTITUTE(SUBSTITUTE($EF26,"~","~~"),"*","~*"),"?","~?"),'DADOS_MELHORIAS'!$O$2:$W$113,6,FALSE),0)+IFERROR(VLOOKUP(SUBSTITUTE(SUBSTITUTE(SUBSTITUTE($EG26,"~","~~"),"*","~*"),"?","~?"),'DADOS_MELHORIAS'!$O$2:$W$113,6,FALSE),0)+IFERROR(VLOOKUP(SUBSTITUTE(SUBSTITUTE(SUBSTITUTE($EH26,"~","~~"),"*","~*"),"?","~?"),'DADOS_MELHORIAS'!$O$2:$W$113,6,FALSE),0)</f>
        <v/>
      </c>
      <c r="EX26" s="164">
        <f>IFERROR(VLOOKUP(SUBSTITUTE(SUBSTITUTE(SUBSTITUTE($EE26,"~","~~"),"*","~*"),"?","~?"),'DADOS_MELHORIAS'!$O$2:$W$113,9,FALSE),0)+IFERROR(VLOOKUP(SUBSTITUTE(SUBSTITUTE(SUBSTITUTE($EF26,"~","~~"),"*","~*"),"?","~?"),'DADOS_MELHORIAS'!$O$2:$W$113,9,FALSE),0)+IFERROR(VLOOKUP(SUBSTITUTE(SUBSTITUTE(SUBSTITUTE($EG26,"~","~~"),"*","~*"),"?","~?"),'DADOS_MELHORIAS'!$O$2:$W$113,9,FALSE),0)+IFERROR(VLOOKUP(SUBSTITUTE(SUBSTITUTE(SUBSTITUTE($EH26,"~","~~"),"*","~*"),"?","~?"),'DADOS_MELHORIAS'!$O$2:$W$113,9,FALSE),0)</f>
        <v/>
      </c>
      <c r="EY26" s="164">
        <f>IF($EL26=0,0,INDEX('DADOS_FORMAS'!$FO$2:$FO$21,$EL26))</f>
        <v/>
      </c>
      <c r="EZ26" s="164">
        <f>IF($EL26=0,0,INDEX('DADOS_FORMAS'!$FP$2:$FP$21,$EL26))</f>
        <v/>
      </c>
      <c r="FA26" s="164">
        <f>IF($EL26=0,0,INDEX('DADOS_FORMAS'!$FR$2:$FR$21,$EL26))</f>
        <v/>
      </c>
      <c r="FB26" s="164">
        <f>IFERROR(VLOOKUP(SUBSTITUTE(SUBSTITUTE(SUBSTITUTE($EI26,"~","~~"),"*","~*"),"?","~?"),'DADOS_RESTRICOES'!$M$2:$Q$54,3,FALSE),0)</f>
        <v/>
      </c>
      <c r="FC26" s="164">
        <f>IFERROR(VLOOKUP(SUBSTITUTE(SUBSTITUTE(SUBSTITUTE($EJ26,"~","~~"),"*","~*"),"?","~?"),'DADOS_RESTRICOES'!$M$2:$Q$54,3,FALSE),0)</f>
        <v/>
      </c>
      <c r="FD26" s="164">
        <f>IFERROR(VLOOKUP(SUBSTITUTE(SUBSTITUTE(SUBSTITUTE($EI26,"~","~~"),"*","~*"),"?","~?"),'DADOS_RESTRICOES'!$M$2:$Q$54,2,FALSE),"")</f>
        <v/>
      </c>
      <c r="FE26" s="164">
        <f>IFERROR(VLOOKUP(SUBSTITUTE(SUBSTITUTE(SUBSTITUTE($EJ26,"~","~~"),"*","~*"),"?","~?"),'DADOS_RESTRICOES'!$M$2:$Q$54,2,FALSE),"")</f>
        <v/>
      </c>
      <c r="FF26" s="164">
        <f>COUNTIF($EM26:$EQ26,1)</f>
        <v/>
      </c>
      <c r="FG26" s="164">
        <f>COUNTIF($EM26:$EQ26,2)</f>
        <v/>
      </c>
      <c r="FH26" s="164">
        <f>COUNTIF($EM26:$EQ26,3)</f>
        <v/>
      </c>
      <c r="FI26" s="164">
        <f>COUNTIF($EM26:$EQ26,4)</f>
        <v/>
      </c>
      <c r="FJ26" s="164">
        <f>COUNTIF($EM26:$EQ26,5)</f>
        <v/>
      </c>
      <c r="FK26" s="164">
        <f>COUNTIF($EM26:$EQ26,6)</f>
        <v/>
      </c>
      <c r="FL26" s="164">
        <f>COUNTIF($FB26:$FC26,1)+IF(IFERROR(INDEX('DADOS_FORMAS'!$AS$2:$AS$21,MATCH(SUBSTITUTE(SUBSTITUTE(SUBSTITUTE($ED26,"~","~~"),"*","~*"),"?","~?"),'DADOS_FORMAS'!$AH$2:$AH$21,0)),"")="",0,IFERROR(N(VLOOKUP(SUBSTITUTE(SUBSTITUTE(SUBSTITUTE(IFERROR(INDEX('DADOS_FORMAS'!$AS$2:$AS$21,MATCH(SUBSTITUTE(SUBSTITUTE(SUBSTITUTE($ED26,"~","~~"),"*","~*"),"?","~?"),'DADOS_FORMAS'!$AH$2:$AH$21,0)),""),"~","~~"),"*","~*"),"?","~?"),'DADOS_RESTRICOES'!$M$2:$Q$54,3,FALSE)=1),0))</f>
        <v/>
      </c>
      <c r="FM26" s="164">
        <f>COUNTIF($FB26:$FC26,2)+IF(IFERROR(INDEX('DADOS_FORMAS'!$AS$2:$AS$21,MATCH(SUBSTITUTE(SUBSTITUTE(SUBSTITUTE($ED26,"~","~~"),"*","~*"),"?","~?"),'DADOS_FORMAS'!$AH$2:$AH$21,0)),"")="",0,IFERROR(N(VLOOKUP(SUBSTITUTE(SUBSTITUTE(SUBSTITUTE(IFERROR(INDEX('DADOS_FORMAS'!$AS$2:$AS$21,MATCH(SUBSTITUTE(SUBSTITUTE(SUBSTITUTE($ED26,"~","~~"),"*","~*"),"?","~?"),'DADOS_FORMAS'!$AH$2:$AH$21,0)),""),"~","~~"),"*","~*"),"?","~?"),'DADOS_RESTRICOES'!$M$2:$Q$54,3,FALSE)=2),0))</f>
        <v/>
      </c>
      <c r="FN26" s="164">
        <f>COUNTIF($EE26:$EH26,"?*")</f>
        <v/>
      </c>
      <c r="FO26" s="164">
        <f>COUNTIF($EI26:$EJ26,"?*")+$EY26</f>
        <v/>
      </c>
      <c r="FP26" s="164">
        <f>SUMPRODUCT($FF26:$FK26,INDEX($Q$2:$V$8,$EB26,0))</f>
        <v/>
      </c>
      <c r="FQ26" s="164">
        <f>$FL26*CEILING($EB26/2,1)+$FM26*$EB26</f>
        <v/>
      </c>
      <c r="FR26" s="164">
        <f>MIN(2*$EB26,$FQ26)</f>
        <v/>
      </c>
      <c r="FS26" s="164">
        <f>MIN($FR26,$FP26-IF($EM26=0,0,INDEX($Q$2:$V$8,$EB26,$EM26)))</f>
        <v/>
      </c>
      <c r="FT26" s="164">
        <f>$FR26-$FS26</f>
        <v/>
      </c>
      <c r="FU26" s="164">
        <f>3*$EB26-$FP26+$FS26</f>
        <v/>
      </c>
      <c r="FV26" s="164">
        <f>MAX(0,$FU26)+$DZ26*$EB26</f>
        <v/>
      </c>
      <c r="FW26" s="164">
        <f>(IF(COUNTIF($KW26:$KZ26,"Salto")&gt;0,1,0)+IF(COUNTIF($KW26:$KZ26,"Queima")&gt;0,1,0)+IF(COUNTIF($KW26:$KZ26,"Estilhaço")&gt;0,1,0))*FLOOR($FV26/2,1)</f>
        <v/>
      </c>
      <c r="FX26" s="164">
        <f>MAX(0,3-SUMPRODUCT($FF26:$FK26,$Q$2:$V$2)+MIN(2,$FL26*1+$FM26*1,SUMPRODUCT($FF26:$FK26,$Q$2:$V$2)-IF($EM26=0,0,INDEX($Q$2:$V$2,1,$EM26))))+$DZ26*1</f>
        <v/>
      </c>
      <c r="FY26" s="164">
        <f>MAX(0,6-SUMPRODUCT($FF26:$FK26,$Q$3:$V$3)+MIN(4,$FL26*1+$FM26*2,SUMPRODUCT($FF26:$FK26,$Q$3:$V$3)-IF($EM26=0,0,INDEX($Q$3:$V$3,1,$EM26))))+$DZ26*2</f>
        <v/>
      </c>
      <c r="FZ26" s="164">
        <f>MAX(0,9-SUMPRODUCT($FF26:$FK26,$Q$4:$V$4)+MIN(6,$FL26*2+$FM26*3,SUMPRODUCT($FF26:$FK26,$Q$4:$V$4)-IF($EM26=0,0,INDEX($Q$4:$V$4,1,$EM26))))+$DZ26*3</f>
        <v/>
      </c>
      <c r="GA26" s="164">
        <f>MAX(0,12-SUMPRODUCT($FF26:$FK26,$Q$5:$V$5)+MIN(8,$FL26*2+$FM26*4,SUMPRODUCT($FF26:$FK26,$Q$5:$V$5)-IF($EM26=0,0,INDEX($Q$5:$V$5,1,$EM26))))+$DZ26*4</f>
        <v/>
      </c>
      <c r="GB26" s="164">
        <f>MAX(0,15-SUMPRODUCT($FF26:$FK26,$Q$6:$V$6)+MIN(10,$FL26*3+$FM26*5,SUMPRODUCT($FF26:$FK26,$Q$6:$V$6)-IF($EM26=0,0,INDEX($Q$6:$V$6,1,$EM26))))+$DZ26*5</f>
        <v/>
      </c>
      <c r="GC26" s="164">
        <f>MAX(0,18-SUMPRODUCT($FF26:$FK26,$Q$7:$V$7)+MIN(12,$FL26*3+$FM26*6,SUMPRODUCT($FF26:$FK26,$Q$7:$V$7)-IF($EM26=0,0,INDEX($Q$7:$V$7,1,$EM26))))+$DZ26*6</f>
        <v/>
      </c>
      <c r="GD26" s="164">
        <f>MAX(0,21-SUMPRODUCT($FF26:$FK26,$Q$8:$V$8)+MIN(14,$FL26*4+$FM26*7,SUMPRODUCT($FF26:$FK26,$Q$8:$V$8)-IF($EM26=0,0,INDEX($Q$8:$V$8,1,$EM26))))+$DZ26*7</f>
        <v/>
      </c>
      <c r="GE26" s="164">
        <f>IF($EZ26=2,3*$FX26&amp;" de vida temp.",IF($EZ26=3,"sem dano",IF($FX26=0,IF($EZ26=1,"sem cura","sem dano"),IF($EZ26=1,"cura ","")&amp;$FX26&amp;"d8")))</f>
        <v/>
      </c>
      <c r="GF26" s="164">
        <f>IF($EZ26=2,3*$FY26&amp;" de vida temp.",IF($EZ26=3,"sem dano",IF($FY26=0,IF($EZ26=1,"sem cura","sem dano"),IF($EZ26=1,"cura ","")&amp;$FY26&amp;"d8")))</f>
        <v/>
      </c>
      <c r="GG26" s="164">
        <f>IF($EZ26=2,3*$FZ26&amp;" de vida temp.",IF($EZ26=3,"sem dano",IF($FZ26=0,IF($EZ26=1,"sem cura","sem dano"),IF($EZ26=1,"cura ","")&amp;$FZ26&amp;"d8")))</f>
        <v/>
      </c>
      <c r="GH26" s="164">
        <f>IF($EZ26=2,3*$GA26&amp;" de vida temp.",IF($EZ26=3,"sem dano",IF($GA26=0,IF($EZ26=1,"sem cura","sem dano"),IF($EZ26=1,"cura ","")&amp;$GA26&amp;"d8")))</f>
        <v/>
      </c>
      <c r="GI26" s="164">
        <f>IF($EZ26=2,3*$GB26&amp;" de vida temp.",IF($EZ26=3,"sem dano",IF($GB26=0,IF($EZ26=1,"sem cura","sem dano"),IF($EZ26=1,"cura ","")&amp;$GB26&amp;"d8")))</f>
        <v/>
      </c>
      <c r="GJ26" s="164">
        <f>IF($EZ26=2,3*$GC26&amp;" de vida temp.",IF($EZ26=3,"sem dano",IF($GC26=0,IF($EZ26=1,"sem cura","sem dano"),IF($EZ26=1,"cura ","")&amp;$GC26&amp;"d8")))</f>
        <v/>
      </c>
      <c r="GK26" s="164">
        <f>IF($EZ26=2,3*$GD26&amp;" de vida temp.",IF($EZ26=3,"sem dano",IF($GD26=0,IF($EZ26=1,"sem cura","sem dano"),IF($EZ26=1,"cura ","")&amp;$GD26&amp;"d8")))</f>
        <v/>
      </c>
      <c r="GL26" s="164">
        <f>IF($EK26=0,"",TEXTJOIN(" · ",TRUE,IF($EK26=0,"",TEXTJOIN(" · ",TRUE,IF($EK26=0,"",TEXTJOIN(" · ",TRUE,IF(AND($DZ26=1,$EA26&gt;$HM$9),"O nível "&amp;$HM$2&amp;" dá "&amp;$HM$9&amp;" Liberação Máxima",""),IF($EB26&gt;$HM$4,"Classe "&amp;$EB26&amp;": o nível "&amp;$HM$2&amp;" libera até a "&amp;$HM$4,""),IF($ER26=1,"Família Fechada: a Forma "&amp;$ED26,""),IF($ES26=1,"Família Fechada: "&amp;$EE26,""),IF($ET26=1,"Família Fechada: "&amp;$EF26,""),IF($EU26=1,"Família Fechada: "&amp;$EG26,""),IF($EV26=1,"Família Fechada: "&amp;$EH26,""),IF($FN26&gt;INDEX($W$2:$W$8,$EB26),$FN26&amp;" Melhorias: a Classe "&amp;$EB26&amp;" aceita "&amp;INDEX($W$2:$W$8,$EB26),""),IF($FO26&gt;2,$FO26&amp;" Restrições"&amp;IF($EY26=1,", contando a que a Forma "&amp;$ED26&amp;" já traz","")&amp;": o limite é 2",""),IF($FU26&lt;0,"Orçamento estourado: faltam "&amp;(-$FU26)&amp;IF($FU26&lt;-1," pontos"," ponto"),""),IF(IFERROR(VLOOKUP(SUBSTITUTE(SUBSTITUTE(SUBSTITUTE($EI26,"~","~~"),"*","~*"),"?","~?"),'DADOS_RESTRICOES'!$M$2:$Q$54,4,FALSE),0)+IFERROR(VLOOKUP(SUBSTITUTE(SUBSTITUTE(SUBSTITUTE($EJ26,"~","~~"),"*","~*"),"?","~?"),'DADOS_RESTRICOES'!$M$2:$Q$54,4,FALSE),0)&gt;1,$FD26&amp;" e "&amp;$FE26&amp;" são as duas de frequência",""),IF(AND((COUNTIF($KW26:$KZ26,"Rápido")+COUNTIF($FD26:$FE26,"Rápido"))&gt;0,(COUNTIF($EE26:$EH26,"Atrasar")+COUNTIF($FD26:$FE26,"Atrasar"))&gt;0),"Rápido não entra com Atrasar",""),IF(AND((COUNTIF($KW26:$KZ26,"Reação")+COUNTIF($FD26:$FE26,"Reação"))&gt;0,(COUNTIF($KW26:$KZ26,"Rápido")+COUNTIF($FD26:$FE26,"Rápido"))&gt;0),"Reação não entra com Rápido",""),IF(AND((COUNTIF($KW26:$KZ26,"Reação")+COUNTIF($FD26:$FE26,"Reação"))&gt;0,(COUNTIF($KW26:$KZ26,"Armado")+COUNTIF($FD26:$FE26,"Armado"))&gt;0),"Reação não entra com Armado",""),IF(AND((COUNTIF($KW26:$KZ26,"Reação")+COUNTIF($FD26:$FE26,"Reação"))&gt;0,(COUNTIF($EE26:$EH26,"Atrasar")+COUNTIF($FD26:$FE26,"Atrasar"))&gt;0),"Reação não entra com Atrasar",""),IF(AND((COUNTIF($KW26:$KZ26,"Reação")+COUNTIF($FD26:$FE26,"Reação"))&gt;0,(COUNTIF($EE26:$EH26,"Parado")+COUNTIF($FD26:$FE26,"Parado"))&gt;0),"Reação não entra com Parado",""),IF(AND((COUNTIF($EE26:$EH26,"Atrasar")+COUNTIF($FD26:$FE26,"Atrasar"))&gt;0,(COUNTIF($EE26:$EH26,"Parado")+COUNTIF($FD26:$FE26,"Parado"))&gt;0),"Atrasar não entra com Parado",""),IF(AND((COUNTIF($KW26:$KZ26,"Armado")+COUNTIF($FD26:$FE26,"Armado"))&gt;0,(COUNTIF($EE26:$EH26,"Carregar")+COUNTIF($FD26:$FE26,"Carregar"))&gt;0),"Armado não entra com Carregar",""),IF(AND(COUNTIF($FD26:$FE26,"Corpo a Corpo")&gt;0,$EY26=0,OR($LB26="Cone",$LB26="Linha")),"Corpo a Corpo não entra em "&amp;$ED26,""),IF(AND(COUNTIF($FD26:$FE26,"Corpo a Corpo")&gt;0,$LC26="Corpo a Corpo"),"A Forma "&amp;$ED26&amp;" já traz o Corpo a Corpo",""),IF(AND(COUNTIF($FD26:$FE26,"Tudo ou Nada")&gt;0,$FA26=0),"Tudo ou Nada só entra em feitiço de Teste de Resistência",""),IF(AND(COUNTIF($KW26:$KZ26,"Inescapável")&gt;0,OR($FN26&gt;1,$FO26&gt;0)),"Inescapável não aceita outra peça",""),IF(AND($DZ26=1,$EB26&lt;3),"Liberação Máxima é de Classe 3 ou mais",""),IF(AND($DZ26=1,OR($EZ26=1,$EZ26=2)),"Liberação Máxima não serve para cura",""),IF(AND($DZ26=1,COUNTIF($KW26:$KZ26,"Inescapável")+COUNTIF($KW26:$KZ26,"Toca a Alma")&gt;0),"Esta peça não entra numa Liberação Máxima",""),IF($FV26*IF(COUNTIF($KW26:$KZ26,"Remate")&gt;0,1.25,1)+$FW26&gt;4*$EB26,($FV26*IF(COUNTIF($KW26:$KZ26,"Remate")&gt;0,1.25,1)+$FW26)&amp;" dados somando repetições"&amp;IF(COUNTIF($KW26:$KZ26,"Remate")&gt;0," e o Remate","")&amp;": o teto da Classe "&amp;$EB26&amp;" é "&amp;4*$EB26,""))),IF(AND($EE26&lt;&gt;"",COUNTIF('DADOS_MELHORIAS'!$O$2:$O$113,SUBSTITUTE(SUBSTITUTE(SUBSTITUTE($EE26,"~","~~"),"*","~*"),"?","~?"))=0),"Melhoria não cadastrada ou com erro: "&amp;$EE26,""),IF(AND($EF26&lt;&gt;"",COUNTIF('DADOS_MELHORIAS'!$O$2:$O$113,SUBSTITUTE(SUBSTITUTE(SUBSTITUTE($EF26,"~","~~"),"*","~*"),"?","~?"))=0),"Melhoria não cadastrada ou com erro: "&amp;$EF26,""),IF(AND($EG26&lt;&gt;"",COUNTIF('DADOS_MELHORIAS'!$O$2:$O$113,SUBSTITUTE(SUBSTITUTE(SUBSTITUTE($EG26,"~","~~"),"*","~*"),"?","~?"))=0),"Melhoria não cadastrada ou com erro: "&amp;$EG26,""),IF(AND($EH26&lt;&gt;"",COUNTIF('DADOS_MELHORIAS'!$O$2:$O$113,SUBSTITUTE(SUBSTITUTE(SUBSTITUTE($EH26,"~","~~"),"*","~*"),"?","~?"))=0),"Melhoria não cadastrada ou com erro: "&amp;$EH26,""),IF(AND($EI26&lt;&gt;"",COUNTIF('DADOS_RESTRICOES'!$M$2:$M$54,SUBSTITUTE(SUBSTITUTE(SUBSTITUTE($EI26,"~","~~"),"*","~*"),"?","~?"))=0),"Restrição não cadastrada ou com erro: "&amp;$EI26,""),IF(AND($EJ26&lt;&gt;"",COUNTIF('DADOS_RESTRICOES'!$M$2:$M$54,SUBSTITUTE(SUBSTITUTE(SUBSTITUTE($EJ26,"~","~~"),"*","~*"),"?","~?"))=0),"Restrição não cadastrada ou com erro: "&amp;$EJ26,""))),IF(AND($ED26&lt;&gt;"",COUNTIF('DADOS_FORMAS'!$AH$2:$AH$21,SUBSTITUTE(SUBSTITUTE(SUBSTITUTE($ED26,"~","~~"),"*","~*"),"?","~?"))=0),"Forma não cadastrada ou com erro: "&amp;$ED26,""),IF(AND(IFERROR(INDEX('DADOS_FORMAS'!$AS$2:$AS$21,MATCH(SUBSTITUTE(SUBSTITUTE(SUBSTITUTE($ED26,"~","~~"),"*","~*"),"?","~?"),'DADOS_FORMAS'!$AH$2:$AH$21,0)),"")&lt;&gt;"",OR(IFERROR(VLOOKUP(SUBSTITUTE(SUBSTITUTE(SUBSTITUTE(IFERROR(INDEX('DADOS_FORMAS'!$AS$2:$AS$21,MATCH(SUBSTITUTE(SUBSTITUTE(SUBSTITUTE($ED26,"~","~~"),"*","~*"),"?","~?"),'DADOS_FORMAS'!$AH$2:$AH$21,0)),""),"~","~~"),"*","~*"),"?","~?"),'DADOS_RESTRICOES'!$M$2:$Q$54,2,FALSE),"")=$FD26,IFERROR(VLOOKUP(SUBSTITUTE(SUBSTITUTE(SUBSTITUTE(IFERROR(INDEX('DADOS_FORMAS'!$AS$2:$AS$21,MATCH(SUBSTITUTE(SUBSTITUTE(SUBSTITUTE($ED26,"~","~~"),"*","~*"),"?","~?"),'DADOS_FORMAS'!$AH$2:$AH$21,0)),""),"~","~~"),"*","~*"),"?","~?"),'DADOS_RESTRICOES'!$M$2:$Q$54,2,FALSE),"")=$FE26)),"Restrição repetida, contando a embutida",""),IF(IF(IFERROR(INDEX('DADOS_FORMAS'!$AS$2:$AS$21,MATCH(SUBSTITUTE(SUBSTITUTE(SUBSTITUTE($ED26,"~","~~"),"*","~*"),"?","~?"),'DADOS_FORMAS'!$AH$2:$AH$21,0)),"")="",0,IFERROR(N(VLOOKUP(SUBSTITUTE(SUBSTITUTE(SUBSTITUTE(IFERROR(INDEX('DADOS_FORMAS'!$AS$2:$AS$21,MATCH(SUBSTITUTE(SUBSTITUTE(SUBSTITUTE($ED26,"~","~~"),"*","~*"),"?","~?"),'DADOS_FORMAS'!$AH$2:$AH$21,0)),""),"~","~~"),"*","~*"),"?","~?"),'DADOS_RESTRICOES'!$M$2:$Q$54,4,FALSE)=1),0))+IF($EI26="",0,IFERROR(N(VLOOKUP(SUBSTITUTE(SUBSTITUTE(SUBSTITUTE($EI26,"~","~~"),"*","~*"),"?","~?"),'DADOS_RESTRICOES'!$M$2:$Q$54,4,FALSE)=1),0))+IF($EJ26="",0,IFERROR(N(VLOOKUP(SUBSTITUTE(SUBSTITUTE(SUBSTITUTE($EJ26,"~","~~"),"*","~*"),"?","~?"),'DADOS_RESTRICOES'!$M$2:$Q$54,4,FALSE)=1),0))&gt;1,"Duas Restrições de frequência, contando a embutida",""),IF(AND(IFERROR(VLOOKUP(SUBSTITUTE(SUBSTITUTE(SUBSTITUTE(IFERROR(INDEX('DADOS_FORMAS'!$AS$2:$AS$21,MATCH(SUBSTITUTE(SUBSTITUTE(SUBSTITUTE($ED26,"~","~~"),"*","~*"),"?","~?"),'DADOS_FORMAS'!$AH$2:$AH$21,0)),""),"~","~~"),"*","~*"),"?","~?"),'DADOS_RESTRICOES'!$M$2:$Q$54,2,FALSE),"")="Tudo ou Nada",$FA26=0),"Tudo ou Nada exige TR",""),IF(AND(IFERROR(VLOOKUP(SUBSTITUTE(SUBSTITUTE(SUBSTITUTE(IFERROR(INDEX('DADOS_FORMAS'!$AS$2:$AS$21,MATCH(SUBSTITUTE(SUBSTITUTE(SUBSTITUTE($ED26,"~","~~"),"*","~*"),"?","~?"),'DADOS_FORMAS'!$AH$2:$AH$21,0)),""),"~","~~"),"*","~*"),"?","~?"),'DADOS_RESTRICOES'!$M$2:$Q$54,2,FALSE),"")="Corpo a Corpo",OR($LB26="Cone",$LB26="Linha")),"Corpo a Corpo não entra em Cone/Linha","")))</f>
        <v/>
      </c>
      <c r="GM26" s="164">
        <f>IF($GL26="",0,(LEN($GL26)-LEN(SUBSTITUTE($GL26," · ","")))/3+1)</f>
        <v/>
      </c>
      <c r="GN26" s="164">
        <f>IF($EK26=0,"",TEXTJOIN(" · ",TRUE,IF($FQ26&gt;2*$EB26,"A devolução parou no teto de "&amp;2*$EB26,""),IF($FT26&gt;0,"Devolução perdida: "&amp;$FT26&amp;IF($FT26&gt;1," pontos"," ponto")&amp;" sem Melhoria para pagar",""),IF(AND($EW26&gt;0,$FV26=0),"Controle sem dano: uma rodada a mais e CD +2",""),IF(AND($EW26&gt;0,$FV26&gt;0,$FV26&lt;=$EB26),"Controle com saldo até a Classe: uma rodada a mais","")))</f>
        <v/>
      </c>
      <c r="GO26" s="164">
        <f>IF($GN26="",0,(LEN($GN26)-LEN(SUBSTITUTE($GN26," · ","")))/3+1)</f>
        <v/>
      </c>
      <c r="GP26" s="164">
        <f>IF($EK26=0,IF($FN26+$FO26-$EY26&gt;0,"Dê um nome",""),IF($GM26&gt;0,"⚠ "&amp;$GM26&amp;IF($GM26&gt;1," erros"," erro"),IF($GO26&gt;0,"! "&amp;$GO26&amp;IF($GO26&gt;1," avisos"," aviso"),"Na regra")))</f>
        <v/>
      </c>
      <c r="GQ26" s="164">
        <f>IF($EK26=0,"",IF($GM26+$GO26=0,"Dentro das regras que a ficha confere",$GL26&amp;IF(AND($GM26&gt;0,$GO26&gt;0)," · ","")&amp;$GN26))</f>
        <v/>
      </c>
      <c r="GR26" s="164">
        <f>IF($EK26=0,"",IF($DZ26=1,CEILING(4.5*$EB26,1),3*$EB26)&amp;" PE")</f>
        <v/>
      </c>
      <c r="GS26" s="164">
        <f>IF($EK26=0,"",IF($DZ26=1,"Rodada inteira",IF(COUNTIF($LD26:$LF26,"Atrasar")&gt;0,IF(COUNTIF($LD26:$LF26,"Carregar")&gt;0,"Rodada +1 turno","Rodada inteira"),IF(COUNTIF($KW26:$KZ26,"Rápido")&gt;0,"Bônus",IF(COUNTIF($KW26:$KZ26,"Reação")&gt;0,"Reação","Padrão"))&amp;IF(COUNTIF($LD26:$LF26,"Carregar")&gt;0," +1 turno",""))))</f>
        <v/>
      </c>
      <c r="GT26" s="164">
        <f>IF(OR($EK26=0,$EL26=0),"",IF(COUNTIF($KW26:$KZ26,"Inescapável")&gt;0,"Automático",IF(COUNTIF($KW26:$KZ26,"Certeiro")&gt;0,"TR para metade",IF(AND($EX26&gt;0,$FA26=0,INDEX('DADOS_FORMAS'!$FQ$2:$FQ$21,$EL26)="Acerto"),"Acerto + TR",INDEX('DADOS_FORMAS'!$FQ$2:$FQ$21,$EL26)))))</f>
        <v/>
      </c>
      <c r="GU26" s="164">
        <f>IF(OR($EK26=0,$EL26=0),"",IF(OR($EZ26&gt;=2,$FV26=0),UPPER(LEFT(INDEX($GE26:$GK26,1,$EB26),1))&amp;MID(INDEX($GE26:$GK26,1,$EB26),2,99),UPPER(LEFT(INDEX($GE26:$GK26,1,$EB26),1))&amp;MID(INDEX($GE26:$GK26,1,$EB26),2,99)&amp;" = "&amp;FLOOR($FV26*4.5,1)&amp;IF($FW26&gt;0," · +"&amp;$FW26&amp;"d8","")))</f>
        <v/>
      </c>
      <c r="GV26" s="164">
        <f>COUNTIF($KW26:$KZ26,"Longe")+3*COUNTIF($KW26:$KZ26,"Muito Longe")</f>
        <v/>
      </c>
      <c r="GW26" s="164">
        <f>COUNTIF($KW26:$KZ26,"Maior")+3*COUNTIF($KW26:$KZ26,"Muito Maior")</f>
        <v/>
      </c>
      <c r="GX26" s="164">
        <f>IF($EL26=0,0,CHOOSE(1+INDEX('DADOS_FORMAS'!$FS$2:$FS$21,$EL26),0,$GV26,$GW26,$GV26+$GW26))</f>
        <v/>
      </c>
      <c r="GY26" s="164">
        <f>IF($EL26=0,0,CHOOSE(1+INDEX('DADOS_FORMAS'!$FT$2:$FT$21,$EL26),0,$GV26,$GW26,$GV26+$GW26))</f>
        <v/>
      </c>
      <c r="GZ26" s="164">
        <f>IF(OR($EK26=0,$EL26=0),"",INDEX('DADOS_FORMAS'!$GZ$2:$HE$61,($EL26-1)*3+IF($EB26&gt;=6,3,2),1+MIN(5,$GX26))&amp;INDEX('DADOS_FORMAS'!$HF$2:$HK$61,($EL26-1)*3+IF($EB26&gt;=6,3,2),1+MIN(5,$GY26))&amp;IF(INDEX('DADOS_FORMAS'!$FU$2:$FU$21,$EL26)=1,IF(COUNTIF($KW26:$KZ26,"Mais Um")&gt;0," · +"&amp;COUNTIF($KW26:$KZ26,"Mais Um")&amp;IF(COUNTIF($KW26:$KZ26,"Mais Um")&gt;1," alvos"," alvo"),"")&amp;IF(COUNTIF($KW26:$KZ26,"Rajada")&gt;0," · "&amp;($EB26+1)&amp;" tiros",""),""))</f>
        <v/>
      </c>
      <c r="HA26" s="164">
        <f>IF($EK26=0,"",3*$EB26&amp;" − "&amp;$FP26&amp;" + "&amp;$FS26&amp;IF($DZ26=1," + "&amp;$EB26,"")&amp;" = "&amp;$FV26&amp;"d8 · teto "&amp;4*$EB26&amp;IF($EY26=1," · a Forma devolve "&amp;$EB26,"")&amp;IF($FT26&gt;0," · perde "&amp;$FT26,""))</f>
        <v/>
      </c>
      <c r="HB26" s="164">
        <f>IF($EK26=0,"",IF($EB26&gt;=$HM$4,"Já está na maior Classe que o nível liberou",TEXTJOIN(" · ",TRUE,IF(AND(2&gt;$EB26,2&lt;=$HM$4),"2 → "&amp;$GF26&amp;", "&amp;IF($DZ26=1,9,6)&amp;" PE",""),IF(AND(3&gt;$EB26,3&lt;=$HM$4),"3 → "&amp;$GG26&amp;", "&amp;IF($DZ26=1,14,9)&amp;" PE",""),IF(AND(4&gt;$EB26,4&lt;=$HM$4),"4 → "&amp;$GH26&amp;", "&amp;IF($DZ26=1,18,12)&amp;" PE",""),IF(AND(5&gt;$EB26,5&lt;=$HM$4),"5 → "&amp;$GI26&amp;", "&amp;IF($DZ26=1,23,15)&amp;" PE",""),IF(AND(6&gt;$EB26,6&lt;=$HM$4),"6 → "&amp;$GJ26&amp;", "&amp;IF($DZ26=1,27,18)&amp;" PE",""),IF(AND(7&gt;$EB26,7&lt;=$HM$4),"7 → "&amp;$GK26&amp;", "&amp;IF($DZ26=1,32,21)&amp;" PE",""))))</f>
        <v/>
      </c>
      <c r="HC26" s="164">
        <f>IF(OR($EK26=0,$EN26=0),"","−"&amp;INDEX($Q$2:$V$8,$EB26,$EN26)&amp;" · "&amp;CHOOSE($EN26,"Leve","Média","Pesada","Leve · Livre","Média · Livre","Pesada · Livre"))</f>
        <v/>
      </c>
      <c r="HD26" s="164">
        <f>IF(OR($EK26=0,$EO26=0),"","−"&amp;INDEX($Q$2:$V$8,$EB26,$EO26)&amp;" · "&amp;CHOOSE($EO26,"Leve","Média","Pesada","Leve · Livre","Média · Livre","Pesada · Livre"))</f>
        <v/>
      </c>
      <c r="HE26" s="164">
        <f>IF(OR($EK26=0,$EP26=0),"","−"&amp;INDEX($Q$2:$V$8,$EB26,$EP26)&amp;" · "&amp;CHOOSE($EP26,"Leve","Média","Pesada","Leve · Livre","Média · Livre","Pesada · Livre"))</f>
        <v/>
      </c>
      <c r="HF26" s="164">
        <f>IF(OR($EK26=0,$EQ26=0),"","−"&amp;INDEX($Q$2:$V$8,$EB26,$EQ26)&amp;" · "&amp;CHOOSE($EQ26,"Leve","Média","Pesada","Leve · Livre","Média · Livre","Pesada · Livre"))</f>
        <v/>
      </c>
      <c r="HG26" s="164">
        <f>IF(OR($EK26=0,$EI26=""),"","+"&amp;IF($FB26=1,CEILING($EB26/2,1),$EB26))</f>
        <v/>
      </c>
      <c r="HH26" s="164">
        <f>IF(OR($EK26=0,$EJ26=""),"","+"&amp;IF($FC26=1,CEILING($EB26/2,1),$EB26))</f>
        <v/>
      </c>
      <c r="HI26" s="164">
        <f>'FICHA AMALDIÇOADA'!$D$238&amp;""</f>
        <v/>
      </c>
      <c r="HJ26" s="164">
        <f>IF(AND($EK26=1,$DZ26=0),COUNTIFS($EK$2:$EK26,1,$DZ$2:$DZ26,0),"")</f>
        <v/>
      </c>
      <c r="HL26" s="162" t="inlineStr">
        <is>
          <t>aptidões compráveis</t>
        </is>
      </c>
      <c r="HM26" s="164">
        <f>MAX(0,N(DADOS!$AK$36)-2)</f>
        <v/>
      </c>
      <c r="JH26" s="164" t="n">
        <v>25</v>
      </c>
      <c r="JI26" s="164">
        <f>IFERROR(MATCH(25,$HJ$2:$HJ$37,0),0)</f>
        <v/>
      </c>
      <c r="JJ26" s="164">
        <f>IF($JI26=0,"",INDEX($EB$2:$EB$37,$JI26))</f>
        <v/>
      </c>
      <c r="JK26" s="164">
        <f>IF($JI26=0,"",INDEX($EC$2:$EC$37,$JI26))</f>
        <v/>
      </c>
      <c r="JL26" s="164">
        <f>IF($JI26=0,"",INDEX($GR$2:$GR$37,$JI26))</f>
        <v/>
      </c>
      <c r="JM26" s="164">
        <f>IF($JI26=0,"",INDEX($ED$2:$ED$37,$JI26))</f>
        <v/>
      </c>
      <c r="JN26" s="164">
        <f>IF($JI26=0,"",INDEX($GT$2:$GT$37,$JI26))</f>
        <v/>
      </c>
      <c r="JO26" s="164">
        <f>IF($JI26=0,"",INDEX($HI$2:$HI$37,$JI26))</f>
        <v/>
      </c>
      <c r="KU26" s="162" t="inlineStr">
        <is>
          <t>F59</t>
        </is>
      </c>
      <c r="KV26" s="164">
        <f>INDEX(DADOS_AM!$P$2:$W$8,DADOS_AM!$HM$30,2)</f>
        <v/>
      </c>
      <c r="KW26">
        <f>IF($EE26="","",IFERROR(VLOOKUP(SUBSTITUTE(SUBSTITUTE(SUBSTITUTE($EE26,"~","~~"),"*","~*"),"?","~?"),'DADOS_MELHORIAS'!$O$2:$X$113,10,FALSE),$EE26))</f>
        <v/>
      </c>
      <c r="KX26">
        <f>IF($EF26="","",IFERROR(VLOOKUP(SUBSTITUTE(SUBSTITUTE(SUBSTITUTE($EF26,"~","~~"),"*","~*"),"?","~?"),'DADOS_MELHORIAS'!$O$2:$X$113,10,FALSE),$EF26))</f>
        <v/>
      </c>
      <c r="KY26">
        <f>IF($EG26="","",IFERROR(VLOOKUP(SUBSTITUTE(SUBSTITUTE(SUBSTITUTE($EG26,"~","~~"),"*","~*"),"?","~?"),'DADOS_MELHORIAS'!$O$2:$X$113,10,FALSE),$EG26))</f>
        <v/>
      </c>
      <c r="KZ26">
        <f>IF($EH26="","",IFERROR(VLOOKUP(SUBSTITUTE(SUBSTITUTE(SUBSTITUTE($EH26,"~","~~"),"*","~*"),"?","~?"),'DADOS_MELHORIAS'!$O$2:$X$113,10,FALSE),$EH26))</f>
        <v/>
      </c>
      <c r="LB26">
        <f>IFERROR(INDEX('DADOS_FORMAS'!$BJ$2:$BJ$21,MATCH(SUBSTITUTE(SUBSTITUTE(SUBSTITUTE($ED26,"~","~~"),"*","~*"),"?","~?"),'DADOS_FORMAS'!$AH$2:$AH$21,0)),"")</f>
        <v/>
      </c>
      <c r="LC26">
        <f>IFERROR(VLOOKUP(SUBSTITUTE(SUBSTITUTE(SUBSTITUTE(IFERROR(INDEX('DADOS_FORMAS'!$AS$2:$AS$21,MATCH(SUBSTITUTE(SUBSTITUTE(SUBSTITUTE($ED26,"~","~~"),"*","~*"),"?","~?"),'DADOS_FORMAS'!$AH$2:$AH$21,0)),""),"~","~~"),"*","~*"),"?","~?"),'DADOS_RESTRICOES'!$M$2:$Q$54,2,FALSE),"")</f>
        <v/>
      </c>
      <c r="LD26">
        <f>$FD26</f>
        <v/>
      </c>
      <c r="LE26">
        <f>$FE26</f>
        <v/>
      </c>
      <c r="LF26">
        <f>$LC26</f>
        <v/>
      </c>
    </row>
    <row r="27">
      <c r="AO27" s="162" t="inlineStr">
        <is>
          <t>Onda · classes 1 a 5</t>
        </is>
      </c>
      <c r="AP27" s="162" t="inlineStr">
        <is>
          <t>Raio 3 m, em você</t>
        </is>
      </c>
      <c r="AQ27" s="162" t="inlineStr">
        <is>
          <t>Raio 4,5 m, em você</t>
        </is>
      </c>
      <c r="AR27" s="162" t="inlineStr">
        <is>
          <t>Raio 6 m, em você</t>
        </is>
      </c>
      <c r="AS27" s="162" t="inlineStr">
        <is>
          <t>Raio 9 m, em você</t>
        </is>
      </c>
      <c r="AT27" s="162" t="inlineStr">
        <is>
          <t>Raio 15 m, em você</t>
        </is>
      </c>
      <c r="AU27" s="162" t="inlineStr">
        <is>
          <t>Raio 15 m, em você</t>
        </is>
      </c>
      <c r="AV27" s="162" t="inlineStr"/>
      <c r="AW27" s="162" t="inlineStr"/>
      <c r="AX27" s="162" t="inlineStr"/>
      <c r="AY27" s="162" t="inlineStr"/>
      <c r="AZ27" s="162" t="inlineStr"/>
      <c r="BA27" s="162" t="inlineStr"/>
      <c r="BC27" s="162" t="inlineStr">
        <is>
          <t>Agarrado</t>
        </is>
      </c>
      <c r="BD27" s="162" t="inlineStr">
        <is>
          <t>Controle</t>
        </is>
      </c>
      <c r="BE27" s="164" t="n">
        <v>1</v>
      </c>
      <c r="BF27" s="164">
        <f>$BE27+3*IFERROR(VLOOKUP($BD27,'DADOS_CRIACAO'!$H$2:$K$20,3,FALSE),0)</f>
        <v/>
      </c>
      <c r="BG27" s="164">
        <f>IFERROR(VLOOKUP($BD27,'DADOS_CRIACAO'!$H$2:$K$20,4,FALSE),0)</f>
        <v/>
      </c>
      <c r="BH27" s="164" t="n">
        <v>1</v>
      </c>
      <c r="BI27" s="164">
        <f>IF($BG27=1,"",$BC27)</f>
        <v/>
      </c>
      <c r="BJ27" s="164">
        <f>IF(AND($BE27=1,$BG27=0),$BC27,"")</f>
        <v/>
      </c>
      <c r="BK27" s="164" t="n">
        <v>1</v>
      </c>
      <c r="CD27" s="162" t="inlineStr">
        <is>
          <t>Vulto</t>
        </is>
      </c>
      <c r="CE27" s="162" t="inlineStr">
        <is>
          <t>Lapidação 4</t>
        </is>
      </c>
      <c r="CF27" s="164" t="n">
        <v>2</v>
      </c>
      <c r="CG27" s="162" t="inlineStr">
        <is>
          <t>—</t>
        </is>
      </c>
      <c r="CH27" s="162" t="inlineStr">
        <is>
          <t>Você possui visão às cegas a até 1,5 m × metade da Lapidação, arredondada para baixo. Percebe criaturas e objetos nessa área por som e movimento, mesmo sem usar os olhos. Um obstáculo sólido bloqueia essa percepção. Vulto não revela o interior de uma sala fechada. Se a cena impedir tanto som quanto sinais de movimento de chegarem até você, esses sinais deixam de fornecer percepção. Com Lapidação 4 ou 5, o alcance é 3 m. Com Lapidação 10, é 7,5 m. Fora dessa distância, use seus outros sentidos normalmente. A percepção não altera o alcance de seus ataques ou Katas.</t>
        </is>
      </c>
      <c r="CI27" s="164">
        <f>IF($CL27=1,"",IF($A$2=4,IF($CJ27=1,$CD27,""),IF(OR($CJ27=1,AND($A$2=3,$CK27=1)),"",$CD27)))</f>
        <v/>
      </c>
      <c r="CJ27" s="164" t="n">
        <v>1</v>
      </c>
      <c r="CK27" s="164" t="n">
        <v>0</v>
      </c>
      <c r="CL27" s="164" t="n">
        <v>0</v>
      </c>
      <c r="CM27" s="162" t="inlineStr">
        <is>
          <t>Você possui visão às cegas a até 1,5 m × metade da Lapidação, arredondada para baixo.</t>
        </is>
      </c>
      <c r="DY27" s="162" t="inlineStr">
        <is>
          <t>Feitiço 26</t>
        </is>
      </c>
      <c r="DZ27" s="164" t="n">
        <v>0</v>
      </c>
      <c r="EA27" s="164" t="n">
        <v>26</v>
      </c>
      <c r="EB27" s="164">
        <f>MAX(1,MIN(7,N('FICHA AMALDIÇOADA'!$J$236)))</f>
        <v/>
      </c>
      <c r="EC27" s="164">
        <f>'FICHA AMALDIÇOADA'!$K$236&amp;""</f>
        <v/>
      </c>
      <c r="ED27" s="164">
        <f>'FICHA AMALDIÇOADA'!$J$243&amp;""</f>
        <v/>
      </c>
      <c r="EE27" s="164">
        <f>'FICHA AMALDIÇOADA'!$K$245&amp;""</f>
        <v/>
      </c>
      <c r="EF27" s="164">
        <f>'FICHA AMALDIÇOADA'!$K$246&amp;""</f>
        <v/>
      </c>
      <c r="EG27" s="164">
        <f>'FICHA AMALDIÇOADA'!$K$247&amp;""</f>
        <v/>
      </c>
      <c r="EH27" s="164">
        <f>'FICHA AMALDIÇOADA'!$K$248&amp;""</f>
        <v/>
      </c>
      <c r="EI27" s="164">
        <f>'FICHA AMALDIÇOADA'!$K$249&amp;""</f>
        <v/>
      </c>
      <c r="EJ27" s="164">
        <f>'FICHA AMALDIÇOADA'!$K$250&amp;""</f>
        <v/>
      </c>
      <c r="EK27" s="164">
        <f>IF($EC27&lt;&gt;"",1,0)</f>
        <v/>
      </c>
      <c r="EL27" s="164">
        <f>IFERROR(MATCH(SUBSTITUTE(SUBSTITUTE(SUBSTITUTE($ED27,"~","~~"),"*","~*"),"?","~?"),'DADOS_FORMAS'!$FJ$2:$FJ$21,0),0)</f>
        <v/>
      </c>
      <c r="EM27" s="164">
        <f>IF($EL27=0,0,INDEX('DADOS_FORMAS'!$FM$2:$FM$21,$EL27))</f>
        <v/>
      </c>
      <c r="EN27" s="164">
        <f>IFERROR(VLOOKUP(SUBSTITUTE(SUBSTITUTE(SUBSTITUTE($EE27,"~","~~"),"*","~*"),"?","~?"),'DADOS_MELHORIAS'!$O$2:$W$113,4,FALSE),0)</f>
        <v/>
      </c>
      <c r="EO27" s="164">
        <f>IFERROR(VLOOKUP(SUBSTITUTE(SUBSTITUTE(SUBSTITUTE($EF27,"~","~~"),"*","~*"),"?","~?"),'DADOS_MELHORIAS'!$O$2:$W$113,4,FALSE),0)</f>
        <v/>
      </c>
      <c r="EP27" s="164">
        <f>IFERROR(VLOOKUP(SUBSTITUTE(SUBSTITUTE(SUBSTITUTE($EG27,"~","~~"),"*","~*"),"?","~?"),'DADOS_MELHORIAS'!$O$2:$W$113,4,FALSE),0)</f>
        <v/>
      </c>
      <c r="EQ27" s="164">
        <f>IFERROR(VLOOKUP(SUBSTITUTE(SUBSTITUTE(SUBSTITUTE($EH27,"~","~~"),"*","~*"),"?","~?"),'DADOS_MELHORIAS'!$O$2:$W$113,4,FALSE),0)</f>
        <v/>
      </c>
      <c r="ER27" s="164">
        <f>IF($EL27=0,0,INDEX('DADOS_FORMAS'!$FN$2:$FN$21,$EL27))</f>
        <v/>
      </c>
      <c r="ES27" s="164">
        <f>IFERROR(VLOOKUP(SUBSTITUTE(SUBSTITUTE(SUBSTITUTE($EE27,"~","~~"),"*","~*"),"?","~?"),'DADOS_MELHORIAS'!$O$2:$W$113,5,FALSE),0)</f>
        <v/>
      </c>
      <c r="ET27" s="164">
        <f>IFERROR(VLOOKUP(SUBSTITUTE(SUBSTITUTE(SUBSTITUTE($EF27,"~","~~"),"*","~*"),"?","~?"),'DADOS_MELHORIAS'!$O$2:$W$113,5,FALSE),0)</f>
        <v/>
      </c>
      <c r="EU27" s="164">
        <f>IFERROR(VLOOKUP(SUBSTITUTE(SUBSTITUTE(SUBSTITUTE($EG27,"~","~~"),"*","~*"),"?","~?"),'DADOS_MELHORIAS'!$O$2:$W$113,5,FALSE),0)</f>
        <v/>
      </c>
      <c r="EV27" s="164">
        <f>IFERROR(VLOOKUP(SUBSTITUTE(SUBSTITUTE(SUBSTITUTE($EH27,"~","~~"),"*","~*"),"?","~?"),'DADOS_MELHORIAS'!$O$2:$W$113,5,FALSE),0)</f>
        <v/>
      </c>
      <c r="EW27" s="164">
        <f>IFERROR(VLOOKUP(SUBSTITUTE(SUBSTITUTE(SUBSTITUTE($EE27,"~","~~"),"*","~*"),"?","~?"),'DADOS_MELHORIAS'!$O$2:$W$113,6,FALSE),0)+IFERROR(VLOOKUP(SUBSTITUTE(SUBSTITUTE(SUBSTITUTE($EF27,"~","~~"),"*","~*"),"?","~?"),'DADOS_MELHORIAS'!$O$2:$W$113,6,FALSE),0)+IFERROR(VLOOKUP(SUBSTITUTE(SUBSTITUTE(SUBSTITUTE($EG27,"~","~~"),"*","~*"),"?","~?"),'DADOS_MELHORIAS'!$O$2:$W$113,6,FALSE),0)+IFERROR(VLOOKUP(SUBSTITUTE(SUBSTITUTE(SUBSTITUTE($EH27,"~","~~"),"*","~*"),"?","~?"),'DADOS_MELHORIAS'!$O$2:$W$113,6,FALSE),0)</f>
        <v/>
      </c>
      <c r="EX27" s="164">
        <f>IFERROR(VLOOKUP(SUBSTITUTE(SUBSTITUTE(SUBSTITUTE($EE27,"~","~~"),"*","~*"),"?","~?"),'DADOS_MELHORIAS'!$O$2:$W$113,9,FALSE),0)+IFERROR(VLOOKUP(SUBSTITUTE(SUBSTITUTE(SUBSTITUTE($EF27,"~","~~"),"*","~*"),"?","~?"),'DADOS_MELHORIAS'!$O$2:$W$113,9,FALSE),0)+IFERROR(VLOOKUP(SUBSTITUTE(SUBSTITUTE(SUBSTITUTE($EG27,"~","~~"),"*","~*"),"?","~?"),'DADOS_MELHORIAS'!$O$2:$W$113,9,FALSE),0)+IFERROR(VLOOKUP(SUBSTITUTE(SUBSTITUTE(SUBSTITUTE($EH27,"~","~~"),"*","~*"),"?","~?"),'DADOS_MELHORIAS'!$O$2:$W$113,9,FALSE),0)</f>
        <v/>
      </c>
      <c r="EY27" s="164">
        <f>IF($EL27=0,0,INDEX('DADOS_FORMAS'!$FO$2:$FO$21,$EL27))</f>
        <v/>
      </c>
      <c r="EZ27" s="164">
        <f>IF($EL27=0,0,INDEX('DADOS_FORMAS'!$FP$2:$FP$21,$EL27))</f>
        <v/>
      </c>
      <c r="FA27" s="164">
        <f>IF($EL27=0,0,INDEX('DADOS_FORMAS'!$FR$2:$FR$21,$EL27))</f>
        <v/>
      </c>
      <c r="FB27" s="164">
        <f>IFERROR(VLOOKUP(SUBSTITUTE(SUBSTITUTE(SUBSTITUTE($EI27,"~","~~"),"*","~*"),"?","~?"),'DADOS_RESTRICOES'!$M$2:$Q$54,3,FALSE),0)</f>
        <v/>
      </c>
      <c r="FC27" s="164">
        <f>IFERROR(VLOOKUP(SUBSTITUTE(SUBSTITUTE(SUBSTITUTE($EJ27,"~","~~"),"*","~*"),"?","~?"),'DADOS_RESTRICOES'!$M$2:$Q$54,3,FALSE),0)</f>
        <v/>
      </c>
      <c r="FD27" s="164">
        <f>IFERROR(VLOOKUP(SUBSTITUTE(SUBSTITUTE(SUBSTITUTE($EI27,"~","~~"),"*","~*"),"?","~?"),'DADOS_RESTRICOES'!$M$2:$Q$54,2,FALSE),"")</f>
        <v/>
      </c>
      <c r="FE27" s="164">
        <f>IFERROR(VLOOKUP(SUBSTITUTE(SUBSTITUTE(SUBSTITUTE($EJ27,"~","~~"),"*","~*"),"?","~?"),'DADOS_RESTRICOES'!$M$2:$Q$54,2,FALSE),"")</f>
        <v/>
      </c>
      <c r="FF27" s="164">
        <f>COUNTIF($EM27:$EQ27,1)</f>
        <v/>
      </c>
      <c r="FG27" s="164">
        <f>COUNTIF($EM27:$EQ27,2)</f>
        <v/>
      </c>
      <c r="FH27" s="164">
        <f>COUNTIF($EM27:$EQ27,3)</f>
        <v/>
      </c>
      <c r="FI27" s="164">
        <f>COUNTIF($EM27:$EQ27,4)</f>
        <v/>
      </c>
      <c r="FJ27" s="164">
        <f>COUNTIF($EM27:$EQ27,5)</f>
        <v/>
      </c>
      <c r="FK27" s="164">
        <f>COUNTIF($EM27:$EQ27,6)</f>
        <v/>
      </c>
      <c r="FL27" s="164">
        <f>COUNTIF($FB27:$FC27,1)+IF(IFERROR(INDEX('DADOS_FORMAS'!$AS$2:$AS$21,MATCH(SUBSTITUTE(SUBSTITUTE(SUBSTITUTE($ED27,"~","~~"),"*","~*"),"?","~?"),'DADOS_FORMAS'!$AH$2:$AH$21,0)),"")="",0,IFERROR(N(VLOOKUP(SUBSTITUTE(SUBSTITUTE(SUBSTITUTE(IFERROR(INDEX('DADOS_FORMAS'!$AS$2:$AS$21,MATCH(SUBSTITUTE(SUBSTITUTE(SUBSTITUTE($ED27,"~","~~"),"*","~*"),"?","~?"),'DADOS_FORMAS'!$AH$2:$AH$21,0)),""),"~","~~"),"*","~*"),"?","~?"),'DADOS_RESTRICOES'!$M$2:$Q$54,3,FALSE)=1),0))</f>
        <v/>
      </c>
      <c r="FM27" s="164">
        <f>COUNTIF($FB27:$FC27,2)+IF(IFERROR(INDEX('DADOS_FORMAS'!$AS$2:$AS$21,MATCH(SUBSTITUTE(SUBSTITUTE(SUBSTITUTE($ED27,"~","~~"),"*","~*"),"?","~?"),'DADOS_FORMAS'!$AH$2:$AH$21,0)),"")="",0,IFERROR(N(VLOOKUP(SUBSTITUTE(SUBSTITUTE(SUBSTITUTE(IFERROR(INDEX('DADOS_FORMAS'!$AS$2:$AS$21,MATCH(SUBSTITUTE(SUBSTITUTE(SUBSTITUTE($ED27,"~","~~"),"*","~*"),"?","~?"),'DADOS_FORMAS'!$AH$2:$AH$21,0)),""),"~","~~"),"*","~*"),"?","~?"),'DADOS_RESTRICOES'!$M$2:$Q$54,3,FALSE)=2),0))</f>
        <v/>
      </c>
      <c r="FN27" s="164">
        <f>COUNTIF($EE27:$EH27,"?*")</f>
        <v/>
      </c>
      <c r="FO27" s="164">
        <f>COUNTIF($EI27:$EJ27,"?*")+$EY27</f>
        <v/>
      </c>
      <c r="FP27" s="164">
        <f>SUMPRODUCT($FF27:$FK27,INDEX($Q$2:$V$8,$EB27,0))</f>
        <v/>
      </c>
      <c r="FQ27" s="164">
        <f>$FL27*CEILING($EB27/2,1)+$FM27*$EB27</f>
        <v/>
      </c>
      <c r="FR27" s="164">
        <f>MIN(2*$EB27,$FQ27)</f>
        <v/>
      </c>
      <c r="FS27" s="164">
        <f>MIN($FR27,$FP27-IF($EM27=0,0,INDEX($Q$2:$V$8,$EB27,$EM27)))</f>
        <v/>
      </c>
      <c r="FT27" s="164">
        <f>$FR27-$FS27</f>
        <v/>
      </c>
      <c r="FU27" s="164">
        <f>3*$EB27-$FP27+$FS27</f>
        <v/>
      </c>
      <c r="FV27" s="164">
        <f>MAX(0,$FU27)+$DZ27*$EB27</f>
        <v/>
      </c>
      <c r="FW27" s="164">
        <f>(IF(COUNTIF($KW27:$KZ27,"Salto")&gt;0,1,0)+IF(COUNTIF($KW27:$KZ27,"Queima")&gt;0,1,0)+IF(COUNTIF($KW27:$KZ27,"Estilhaço")&gt;0,1,0))*FLOOR($FV27/2,1)</f>
        <v/>
      </c>
      <c r="FX27" s="164">
        <f>MAX(0,3-SUMPRODUCT($FF27:$FK27,$Q$2:$V$2)+MIN(2,$FL27*1+$FM27*1,SUMPRODUCT($FF27:$FK27,$Q$2:$V$2)-IF($EM27=0,0,INDEX($Q$2:$V$2,1,$EM27))))+$DZ27*1</f>
        <v/>
      </c>
      <c r="FY27" s="164">
        <f>MAX(0,6-SUMPRODUCT($FF27:$FK27,$Q$3:$V$3)+MIN(4,$FL27*1+$FM27*2,SUMPRODUCT($FF27:$FK27,$Q$3:$V$3)-IF($EM27=0,0,INDEX($Q$3:$V$3,1,$EM27))))+$DZ27*2</f>
        <v/>
      </c>
      <c r="FZ27" s="164">
        <f>MAX(0,9-SUMPRODUCT($FF27:$FK27,$Q$4:$V$4)+MIN(6,$FL27*2+$FM27*3,SUMPRODUCT($FF27:$FK27,$Q$4:$V$4)-IF($EM27=0,0,INDEX($Q$4:$V$4,1,$EM27))))+$DZ27*3</f>
        <v/>
      </c>
      <c r="GA27" s="164">
        <f>MAX(0,12-SUMPRODUCT($FF27:$FK27,$Q$5:$V$5)+MIN(8,$FL27*2+$FM27*4,SUMPRODUCT($FF27:$FK27,$Q$5:$V$5)-IF($EM27=0,0,INDEX($Q$5:$V$5,1,$EM27))))+$DZ27*4</f>
        <v/>
      </c>
      <c r="GB27" s="164">
        <f>MAX(0,15-SUMPRODUCT($FF27:$FK27,$Q$6:$V$6)+MIN(10,$FL27*3+$FM27*5,SUMPRODUCT($FF27:$FK27,$Q$6:$V$6)-IF($EM27=0,0,INDEX($Q$6:$V$6,1,$EM27))))+$DZ27*5</f>
        <v/>
      </c>
      <c r="GC27" s="164">
        <f>MAX(0,18-SUMPRODUCT($FF27:$FK27,$Q$7:$V$7)+MIN(12,$FL27*3+$FM27*6,SUMPRODUCT($FF27:$FK27,$Q$7:$V$7)-IF($EM27=0,0,INDEX($Q$7:$V$7,1,$EM27))))+$DZ27*6</f>
        <v/>
      </c>
      <c r="GD27" s="164">
        <f>MAX(0,21-SUMPRODUCT($FF27:$FK27,$Q$8:$V$8)+MIN(14,$FL27*4+$FM27*7,SUMPRODUCT($FF27:$FK27,$Q$8:$V$8)-IF($EM27=0,0,INDEX($Q$8:$V$8,1,$EM27))))+$DZ27*7</f>
        <v/>
      </c>
      <c r="GE27" s="164">
        <f>IF($EZ27=2,3*$FX27&amp;" de vida temp.",IF($EZ27=3,"sem dano",IF($FX27=0,IF($EZ27=1,"sem cura","sem dano"),IF($EZ27=1,"cura ","")&amp;$FX27&amp;"d8")))</f>
        <v/>
      </c>
      <c r="GF27" s="164">
        <f>IF($EZ27=2,3*$FY27&amp;" de vida temp.",IF($EZ27=3,"sem dano",IF($FY27=0,IF($EZ27=1,"sem cura","sem dano"),IF($EZ27=1,"cura ","")&amp;$FY27&amp;"d8")))</f>
        <v/>
      </c>
      <c r="GG27" s="164">
        <f>IF($EZ27=2,3*$FZ27&amp;" de vida temp.",IF($EZ27=3,"sem dano",IF($FZ27=0,IF($EZ27=1,"sem cura","sem dano"),IF($EZ27=1,"cura ","")&amp;$FZ27&amp;"d8")))</f>
        <v/>
      </c>
      <c r="GH27" s="164">
        <f>IF($EZ27=2,3*$GA27&amp;" de vida temp.",IF($EZ27=3,"sem dano",IF($GA27=0,IF($EZ27=1,"sem cura","sem dano"),IF($EZ27=1,"cura ","")&amp;$GA27&amp;"d8")))</f>
        <v/>
      </c>
      <c r="GI27" s="164">
        <f>IF($EZ27=2,3*$GB27&amp;" de vida temp.",IF($EZ27=3,"sem dano",IF($GB27=0,IF($EZ27=1,"sem cura","sem dano"),IF($EZ27=1,"cura ","")&amp;$GB27&amp;"d8")))</f>
        <v/>
      </c>
      <c r="GJ27" s="164">
        <f>IF($EZ27=2,3*$GC27&amp;" de vida temp.",IF($EZ27=3,"sem dano",IF($GC27=0,IF($EZ27=1,"sem cura","sem dano"),IF($EZ27=1,"cura ","")&amp;$GC27&amp;"d8")))</f>
        <v/>
      </c>
      <c r="GK27" s="164">
        <f>IF($EZ27=2,3*$GD27&amp;" de vida temp.",IF($EZ27=3,"sem dano",IF($GD27=0,IF($EZ27=1,"sem cura","sem dano"),IF($EZ27=1,"cura ","")&amp;$GD27&amp;"d8")))</f>
        <v/>
      </c>
      <c r="GL27" s="164">
        <f>IF($EK27=0,"",TEXTJOIN(" · ",TRUE,IF($EK27=0,"",TEXTJOIN(" · ",TRUE,IF($EK27=0,"",TEXTJOIN(" · ",TRUE,IF(AND($DZ27=1,$EA27&gt;$HM$9),"O nível "&amp;$HM$2&amp;" dá "&amp;$HM$9&amp;" Liberação Máxima",""),IF($EB27&gt;$HM$4,"Classe "&amp;$EB27&amp;": o nível "&amp;$HM$2&amp;" libera até a "&amp;$HM$4,""),IF($ER27=1,"Família Fechada: a Forma "&amp;$ED27,""),IF($ES27=1,"Família Fechada: "&amp;$EE27,""),IF($ET27=1,"Família Fechada: "&amp;$EF27,""),IF($EU27=1,"Família Fechada: "&amp;$EG27,""),IF($EV27=1,"Família Fechada: "&amp;$EH27,""),IF($FN27&gt;INDEX($W$2:$W$8,$EB27),$FN27&amp;" Melhorias: a Classe "&amp;$EB27&amp;" aceita "&amp;INDEX($W$2:$W$8,$EB27),""),IF($FO27&gt;2,$FO27&amp;" Restrições"&amp;IF($EY27=1,", contando a que a Forma "&amp;$ED27&amp;" já traz","")&amp;": o limite é 2",""),IF($FU27&lt;0,"Orçamento estourado: faltam "&amp;(-$FU27)&amp;IF($FU27&lt;-1," pontos"," ponto"),""),IF(IFERROR(VLOOKUP(SUBSTITUTE(SUBSTITUTE(SUBSTITUTE($EI27,"~","~~"),"*","~*"),"?","~?"),'DADOS_RESTRICOES'!$M$2:$Q$54,4,FALSE),0)+IFERROR(VLOOKUP(SUBSTITUTE(SUBSTITUTE(SUBSTITUTE($EJ27,"~","~~"),"*","~*"),"?","~?"),'DADOS_RESTRICOES'!$M$2:$Q$54,4,FALSE),0)&gt;1,$FD27&amp;" e "&amp;$FE27&amp;" são as duas de frequência",""),IF(AND((COUNTIF($KW27:$KZ27,"Rápido")+COUNTIF($FD27:$FE27,"Rápido"))&gt;0,(COUNTIF($EE27:$EH27,"Atrasar")+COUNTIF($FD27:$FE27,"Atrasar"))&gt;0),"Rápido não entra com Atrasar",""),IF(AND((COUNTIF($KW27:$KZ27,"Reação")+COUNTIF($FD27:$FE27,"Reação"))&gt;0,(COUNTIF($KW27:$KZ27,"Rápido")+COUNTIF($FD27:$FE27,"Rápido"))&gt;0),"Reação não entra com Rápido",""),IF(AND((COUNTIF($KW27:$KZ27,"Reação")+COUNTIF($FD27:$FE27,"Reação"))&gt;0,(COUNTIF($KW27:$KZ27,"Armado")+COUNTIF($FD27:$FE27,"Armado"))&gt;0),"Reação não entra com Armado",""),IF(AND((COUNTIF($KW27:$KZ27,"Reação")+COUNTIF($FD27:$FE27,"Reação"))&gt;0,(COUNTIF($EE27:$EH27,"Atrasar")+COUNTIF($FD27:$FE27,"Atrasar"))&gt;0),"Reação não entra com Atrasar",""),IF(AND((COUNTIF($KW27:$KZ27,"Reação")+COUNTIF($FD27:$FE27,"Reação"))&gt;0,(COUNTIF($EE27:$EH27,"Parado")+COUNTIF($FD27:$FE27,"Parado"))&gt;0),"Reação não entra com Parado",""),IF(AND((COUNTIF($EE27:$EH27,"Atrasar")+COUNTIF($FD27:$FE27,"Atrasar"))&gt;0,(COUNTIF($EE27:$EH27,"Parado")+COUNTIF($FD27:$FE27,"Parado"))&gt;0),"Atrasar não entra com Parado",""),IF(AND((COUNTIF($KW27:$KZ27,"Armado")+COUNTIF($FD27:$FE27,"Armado"))&gt;0,(COUNTIF($EE27:$EH27,"Carregar")+COUNTIF($FD27:$FE27,"Carregar"))&gt;0),"Armado não entra com Carregar",""),IF(AND(COUNTIF($FD27:$FE27,"Corpo a Corpo")&gt;0,$EY27=0,OR($LB27="Cone",$LB27="Linha")),"Corpo a Corpo não entra em "&amp;$ED27,""),IF(AND(COUNTIF($FD27:$FE27,"Corpo a Corpo")&gt;0,$LC27="Corpo a Corpo"),"A Forma "&amp;$ED27&amp;" já traz o Corpo a Corpo",""),IF(AND(COUNTIF($FD27:$FE27,"Tudo ou Nada")&gt;0,$FA27=0),"Tudo ou Nada só entra em feitiço de Teste de Resistência",""),IF(AND(COUNTIF($KW27:$KZ27,"Inescapável")&gt;0,OR($FN27&gt;1,$FO27&gt;0)),"Inescapável não aceita outra peça",""),IF(AND($DZ27=1,$EB27&lt;3),"Liberação Máxima é de Classe 3 ou mais",""),IF(AND($DZ27=1,OR($EZ27=1,$EZ27=2)),"Liberação Máxima não serve para cura",""),IF(AND($DZ27=1,COUNTIF($KW27:$KZ27,"Inescapável")+COUNTIF($KW27:$KZ27,"Toca a Alma")&gt;0),"Esta peça não entra numa Liberação Máxima",""),IF($FV27*IF(COUNTIF($KW27:$KZ27,"Remate")&gt;0,1.25,1)+$FW27&gt;4*$EB27,($FV27*IF(COUNTIF($KW27:$KZ27,"Remate")&gt;0,1.25,1)+$FW27)&amp;" dados somando repetições"&amp;IF(COUNTIF($KW27:$KZ27,"Remate")&gt;0," e o Remate","")&amp;": o teto da Classe "&amp;$EB27&amp;" é "&amp;4*$EB27,""))),IF(AND($EE27&lt;&gt;"",COUNTIF('DADOS_MELHORIAS'!$O$2:$O$113,SUBSTITUTE(SUBSTITUTE(SUBSTITUTE($EE27,"~","~~"),"*","~*"),"?","~?"))=0),"Melhoria não cadastrada ou com erro: "&amp;$EE27,""),IF(AND($EF27&lt;&gt;"",COUNTIF('DADOS_MELHORIAS'!$O$2:$O$113,SUBSTITUTE(SUBSTITUTE(SUBSTITUTE($EF27,"~","~~"),"*","~*"),"?","~?"))=0),"Melhoria não cadastrada ou com erro: "&amp;$EF27,""),IF(AND($EG27&lt;&gt;"",COUNTIF('DADOS_MELHORIAS'!$O$2:$O$113,SUBSTITUTE(SUBSTITUTE(SUBSTITUTE($EG27,"~","~~"),"*","~*"),"?","~?"))=0),"Melhoria não cadastrada ou com erro: "&amp;$EG27,""),IF(AND($EH27&lt;&gt;"",COUNTIF('DADOS_MELHORIAS'!$O$2:$O$113,SUBSTITUTE(SUBSTITUTE(SUBSTITUTE($EH27,"~","~~"),"*","~*"),"?","~?"))=0),"Melhoria não cadastrada ou com erro: "&amp;$EH27,""),IF(AND($EI27&lt;&gt;"",COUNTIF('DADOS_RESTRICOES'!$M$2:$M$54,SUBSTITUTE(SUBSTITUTE(SUBSTITUTE($EI27,"~","~~"),"*","~*"),"?","~?"))=0),"Restrição não cadastrada ou com erro: "&amp;$EI27,""),IF(AND($EJ27&lt;&gt;"",COUNTIF('DADOS_RESTRICOES'!$M$2:$M$54,SUBSTITUTE(SUBSTITUTE(SUBSTITUTE($EJ27,"~","~~"),"*","~*"),"?","~?"))=0),"Restrição não cadastrada ou com erro: "&amp;$EJ27,""))),IF(AND($ED27&lt;&gt;"",COUNTIF('DADOS_FORMAS'!$AH$2:$AH$21,SUBSTITUTE(SUBSTITUTE(SUBSTITUTE($ED27,"~","~~"),"*","~*"),"?","~?"))=0),"Forma não cadastrada ou com erro: "&amp;$ED27,""),IF(AND(IFERROR(INDEX('DADOS_FORMAS'!$AS$2:$AS$21,MATCH(SUBSTITUTE(SUBSTITUTE(SUBSTITUTE($ED27,"~","~~"),"*","~*"),"?","~?"),'DADOS_FORMAS'!$AH$2:$AH$21,0)),"")&lt;&gt;"",OR(IFERROR(VLOOKUP(SUBSTITUTE(SUBSTITUTE(SUBSTITUTE(IFERROR(INDEX('DADOS_FORMAS'!$AS$2:$AS$21,MATCH(SUBSTITUTE(SUBSTITUTE(SUBSTITUTE($ED27,"~","~~"),"*","~*"),"?","~?"),'DADOS_FORMAS'!$AH$2:$AH$21,0)),""),"~","~~"),"*","~*"),"?","~?"),'DADOS_RESTRICOES'!$M$2:$Q$54,2,FALSE),"")=$FD27,IFERROR(VLOOKUP(SUBSTITUTE(SUBSTITUTE(SUBSTITUTE(IFERROR(INDEX('DADOS_FORMAS'!$AS$2:$AS$21,MATCH(SUBSTITUTE(SUBSTITUTE(SUBSTITUTE($ED27,"~","~~"),"*","~*"),"?","~?"),'DADOS_FORMAS'!$AH$2:$AH$21,0)),""),"~","~~"),"*","~*"),"?","~?"),'DADOS_RESTRICOES'!$M$2:$Q$54,2,FALSE),"")=$FE27)),"Restrição repetida, contando a embutida",""),IF(IF(IFERROR(INDEX('DADOS_FORMAS'!$AS$2:$AS$21,MATCH(SUBSTITUTE(SUBSTITUTE(SUBSTITUTE($ED27,"~","~~"),"*","~*"),"?","~?"),'DADOS_FORMAS'!$AH$2:$AH$21,0)),"")="",0,IFERROR(N(VLOOKUP(SUBSTITUTE(SUBSTITUTE(SUBSTITUTE(IFERROR(INDEX('DADOS_FORMAS'!$AS$2:$AS$21,MATCH(SUBSTITUTE(SUBSTITUTE(SUBSTITUTE($ED27,"~","~~"),"*","~*"),"?","~?"),'DADOS_FORMAS'!$AH$2:$AH$21,0)),""),"~","~~"),"*","~*"),"?","~?"),'DADOS_RESTRICOES'!$M$2:$Q$54,4,FALSE)=1),0))+IF($EI27="",0,IFERROR(N(VLOOKUP(SUBSTITUTE(SUBSTITUTE(SUBSTITUTE($EI27,"~","~~"),"*","~*"),"?","~?"),'DADOS_RESTRICOES'!$M$2:$Q$54,4,FALSE)=1),0))+IF($EJ27="",0,IFERROR(N(VLOOKUP(SUBSTITUTE(SUBSTITUTE(SUBSTITUTE($EJ27,"~","~~"),"*","~*"),"?","~?"),'DADOS_RESTRICOES'!$M$2:$Q$54,4,FALSE)=1),0))&gt;1,"Duas Restrições de frequência, contando a embutida",""),IF(AND(IFERROR(VLOOKUP(SUBSTITUTE(SUBSTITUTE(SUBSTITUTE(IFERROR(INDEX('DADOS_FORMAS'!$AS$2:$AS$21,MATCH(SUBSTITUTE(SUBSTITUTE(SUBSTITUTE($ED27,"~","~~"),"*","~*"),"?","~?"),'DADOS_FORMAS'!$AH$2:$AH$21,0)),""),"~","~~"),"*","~*"),"?","~?"),'DADOS_RESTRICOES'!$M$2:$Q$54,2,FALSE),"")="Tudo ou Nada",$FA27=0),"Tudo ou Nada exige TR",""),IF(AND(IFERROR(VLOOKUP(SUBSTITUTE(SUBSTITUTE(SUBSTITUTE(IFERROR(INDEX('DADOS_FORMAS'!$AS$2:$AS$21,MATCH(SUBSTITUTE(SUBSTITUTE(SUBSTITUTE($ED27,"~","~~"),"*","~*"),"?","~?"),'DADOS_FORMAS'!$AH$2:$AH$21,0)),""),"~","~~"),"*","~*"),"?","~?"),'DADOS_RESTRICOES'!$M$2:$Q$54,2,FALSE),"")="Corpo a Corpo",OR($LB27="Cone",$LB27="Linha")),"Corpo a Corpo não entra em Cone/Linha","")))</f>
        <v/>
      </c>
      <c r="GM27" s="164">
        <f>IF($GL27="",0,(LEN($GL27)-LEN(SUBSTITUTE($GL27," · ","")))/3+1)</f>
        <v/>
      </c>
      <c r="GN27" s="164">
        <f>IF($EK27=0,"",TEXTJOIN(" · ",TRUE,IF($FQ27&gt;2*$EB27,"A devolução parou no teto de "&amp;2*$EB27,""),IF($FT27&gt;0,"Devolução perdida: "&amp;$FT27&amp;IF($FT27&gt;1," pontos"," ponto")&amp;" sem Melhoria para pagar",""),IF(AND($EW27&gt;0,$FV27=0),"Controle sem dano: uma rodada a mais e CD +2",""),IF(AND($EW27&gt;0,$FV27&gt;0,$FV27&lt;=$EB27),"Controle com saldo até a Classe: uma rodada a mais","")))</f>
        <v/>
      </c>
      <c r="GO27" s="164">
        <f>IF($GN27="",0,(LEN($GN27)-LEN(SUBSTITUTE($GN27," · ","")))/3+1)</f>
        <v/>
      </c>
      <c r="GP27" s="164">
        <f>IF($EK27=0,IF($FN27+$FO27-$EY27&gt;0,"Dê um nome",""),IF($GM27&gt;0,"⚠ "&amp;$GM27&amp;IF($GM27&gt;1," erros"," erro"),IF($GO27&gt;0,"! "&amp;$GO27&amp;IF($GO27&gt;1," avisos"," aviso"),"Na regra")))</f>
        <v/>
      </c>
      <c r="GQ27" s="164">
        <f>IF($EK27=0,"",IF($GM27+$GO27=0,"Dentro das regras que a ficha confere",$GL27&amp;IF(AND($GM27&gt;0,$GO27&gt;0)," · ","")&amp;$GN27))</f>
        <v/>
      </c>
      <c r="GR27" s="164">
        <f>IF($EK27=0,"",IF($DZ27=1,CEILING(4.5*$EB27,1),3*$EB27)&amp;" PE")</f>
        <v/>
      </c>
      <c r="GS27" s="164">
        <f>IF($EK27=0,"",IF($DZ27=1,"Rodada inteira",IF(COUNTIF($LD27:$LF27,"Atrasar")&gt;0,IF(COUNTIF($LD27:$LF27,"Carregar")&gt;0,"Rodada +1 turno","Rodada inteira"),IF(COUNTIF($KW27:$KZ27,"Rápido")&gt;0,"Bônus",IF(COUNTIF($KW27:$KZ27,"Reação")&gt;0,"Reação","Padrão"))&amp;IF(COUNTIF($LD27:$LF27,"Carregar")&gt;0," +1 turno",""))))</f>
        <v/>
      </c>
      <c r="GT27" s="164">
        <f>IF(OR($EK27=0,$EL27=0),"",IF(COUNTIF($KW27:$KZ27,"Inescapável")&gt;0,"Automático",IF(COUNTIF($KW27:$KZ27,"Certeiro")&gt;0,"TR para metade",IF(AND($EX27&gt;0,$FA27=0,INDEX('DADOS_FORMAS'!$FQ$2:$FQ$21,$EL27)="Acerto"),"Acerto + TR",INDEX('DADOS_FORMAS'!$FQ$2:$FQ$21,$EL27)))))</f>
        <v/>
      </c>
      <c r="GU27" s="164">
        <f>IF(OR($EK27=0,$EL27=0),"",IF(OR($EZ27&gt;=2,$FV27=0),UPPER(LEFT(INDEX($GE27:$GK27,1,$EB27),1))&amp;MID(INDEX($GE27:$GK27,1,$EB27),2,99),UPPER(LEFT(INDEX($GE27:$GK27,1,$EB27),1))&amp;MID(INDEX($GE27:$GK27,1,$EB27),2,99)&amp;" = "&amp;FLOOR($FV27*4.5,1)&amp;IF($FW27&gt;0," · +"&amp;$FW27&amp;"d8","")))</f>
        <v/>
      </c>
      <c r="GV27" s="164">
        <f>COUNTIF($KW27:$KZ27,"Longe")+3*COUNTIF($KW27:$KZ27,"Muito Longe")</f>
        <v/>
      </c>
      <c r="GW27" s="164">
        <f>COUNTIF($KW27:$KZ27,"Maior")+3*COUNTIF($KW27:$KZ27,"Muito Maior")</f>
        <v/>
      </c>
      <c r="GX27" s="164">
        <f>IF($EL27=0,0,CHOOSE(1+INDEX('DADOS_FORMAS'!$FS$2:$FS$21,$EL27),0,$GV27,$GW27,$GV27+$GW27))</f>
        <v/>
      </c>
      <c r="GY27" s="164">
        <f>IF($EL27=0,0,CHOOSE(1+INDEX('DADOS_FORMAS'!$FT$2:$FT$21,$EL27),0,$GV27,$GW27,$GV27+$GW27))</f>
        <v/>
      </c>
      <c r="GZ27" s="164">
        <f>IF(OR($EK27=0,$EL27=0),"",INDEX('DADOS_FORMAS'!$GZ$2:$HE$61,($EL27-1)*3+IF($EB27&gt;=6,3,2),1+MIN(5,$GX27))&amp;INDEX('DADOS_FORMAS'!$HF$2:$HK$61,($EL27-1)*3+IF($EB27&gt;=6,3,2),1+MIN(5,$GY27))&amp;IF(INDEX('DADOS_FORMAS'!$FU$2:$FU$21,$EL27)=1,IF(COUNTIF($KW27:$KZ27,"Mais Um")&gt;0," · +"&amp;COUNTIF($KW27:$KZ27,"Mais Um")&amp;IF(COUNTIF($KW27:$KZ27,"Mais Um")&gt;1," alvos"," alvo"),"")&amp;IF(COUNTIF($KW27:$KZ27,"Rajada")&gt;0," · "&amp;($EB27+1)&amp;" tiros",""),""))</f>
        <v/>
      </c>
      <c r="HA27" s="164">
        <f>IF($EK27=0,"",3*$EB27&amp;" − "&amp;$FP27&amp;" + "&amp;$FS27&amp;IF($DZ27=1," + "&amp;$EB27,"")&amp;" = "&amp;$FV27&amp;"d8 · teto "&amp;4*$EB27&amp;IF($EY27=1," · a Forma devolve "&amp;$EB27,"")&amp;IF($FT27&gt;0," · perde "&amp;$FT27,""))</f>
        <v/>
      </c>
      <c r="HB27" s="164">
        <f>IF($EK27=0,"",IF($EB27&gt;=$HM$4,"Já está na maior Classe que o nível liberou",TEXTJOIN(" · ",TRUE,IF(AND(2&gt;$EB27,2&lt;=$HM$4),"2 → "&amp;$GF27&amp;", "&amp;IF($DZ27=1,9,6)&amp;" PE",""),IF(AND(3&gt;$EB27,3&lt;=$HM$4),"3 → "&amp;$GG27&amp;", "&amp;IF($DZ27=1,14,9)&amp;" PE",""),IF(AND(4&gt;$EB27,4&lt;=$HM$4),"4 → "&amp;$GH27&amp;", "&amp;IF($DZ27=1,18,12)&amp;" PE",""),IF(AND(5&gt;$EB27,5&lt;=$HM$4),"5 → "&amp;$GI27&amp;", "&amp;IF($DZ27=1,23,15)&amp;" PE",""),IF(AND(6&gt;$EB27,6&lt;=$HM$4),"6 → "&amp;$GJ27&amp;", "&amp;IF($DZ27=1,27,18)&amp;" PE",""),IF(AND(7&gt;$EB27,7&lt;=$HM$4),"7 → "&amp;$GK27&amp;", "&amp;IF($DZ27=1,32,21)&amp;" PE",""))))</f>
        <v/>
      </c>
      <c r="HC27" s="164">
        <f>IF(OR($EK27=0,$EN27=0),"","−"&amp;INDEX($Q$2:$V$8,$EB27,$EN27)&amp;" · "&amp;CHOOSE($EN27,"Leve","Média","Pesada","Leve · Livre","Média · Livre","Pesada · Livre"))</f>
        <v/>
      </c>
      <c r="HD27" s="164">
        <f>IF(OR($EK27=0,$EO27=0),"","−"&amp;INDEX($Q$2:$V$8,$EB27,$EO27)&amp;" · "&amp;CHOOSE($EO27,"Leve","Média","Pesada","Leve · Livre","Média · Livre","Pesada · Livre"))</f>
        <v/>
      </c>
      <c r="HE27" s="164">
        <f>IF(OR($EK27=0,$EP27=0),"","−"&amp;INDEX($Q$2:$V$8,$EB27,$EP27)&amp;" · "&amp;CHOOSE($EP27,"Leve","Média","Pesada","Leve · Livre","Média · Livre","Pesada · Livre"))</f>
        <v/>
      </c>
      <c r="HF27" s="164">
        <f>IF(OR($EK27=0,$EQ27=0),"","−"&amp;INDEX($Q$2:$V$8,$EB27,$EQ27)&amp;" · "&amp;CHOOSE($EQ27,"Leve","Média","Pesada","Leve · Livre","Média · Livre","Pesada · Livre"))</f>
        <v/>
      </c>
      <c r="HG27" s="164">
        <f>IF(OR($EK27=0,$EI27=""),"","+"&amp;IF($FB27=1,CEILING($EB27/2,1),$EB27))</f>
        <v/>
      </c>
      <c r="HH27" s="164">
        <f>IF(OR($EK27=0,$EJ27=""),"","+"&amp;IF($FC27=1,CEILING($EB27/2,1),$EB27))</f>
        <v/>
      </c>
      <c r="HI27" s="164">
        <f>'FICHA AMALDIÇOADA'!$J$238&amp;""</f>
        <v/>
      </c>
      <c r="HJ27" s="164">
        <f>IF(AND($EK27=1,$DZ27=0),COUNTIFS($EK$2:$EK27,1,$DZ$2:$DZ27,0),"")</f>
        <v/>
      </c>
      <c r="HL27" s="162" t="inlineStr">
        <is>
          <t>pactos permanentes</t>
        </is>
      </c>
      <c r="HM27" s="164">
        <f>IF('FICHA AMALDIÇOADA'!$L$531="Permanente",1,0)+IF('FICHA AMALDIÇOADA'!$L$541="Permanente",1,0)+IF('FICHA AMALDIÇOADA'!$L$551="Permanente",1,0)</f>
        <v/>
      </c>
      <c r="JH27" s="164" t="n">
        <v>26</v>
      </c>
      <c r="JI27" s="164">
        <f>IFERROR(MATCH(26,$HJ$2:$HJ$37,0),0)</f>
        <v/>
      </c>
      <c r="JJ27" s="164">
        <f>IF($JI27=0,"",INDEX($EB$2:$EB$37,$JI27))</f>
        <v/>
      </c>
      <c r="JK27" s="164">
        <f>IF($JI27=0,"",INDEX($EC$2:$EC$37,$JI27))</f>
        <v/>
      </c>
      <c r="JL27" s="164">
        <f>IF($JI27=0,"",INDEX($GR$2:$GR$37,$JI27))</f>
        <v/>
      </c>
      <c r="JM27" s="164">
        <f>IF($JI27=0,"",INDEX($ED$2:$ED$37,$JI27))</f>
        <v/>
      </c>
      <c r="JN27" s="164">
        <f>IF($JI27=0,"",INDEX($GT$2:$GT$37,$JI27))</f>
        <v/>
      </c>
      <c r="JO27" s="164">
        <f>IF($JI27=0,"",INDEX($HI$2:$HI$37,$JI27))</f>
        <v/>
      </c>
      <c r="KU27" s="162" t="inlineStr">
        <is>
          <t>G59</t>
        </is>
      </c>
      <c r="KV27" s="164">
        <f>INDEX(DADOS_AM!$P$2:$W$8,DADOS_AM!$HM$30,3)</f>
        <v/>
      </c>
      <c r="KW27">
        <f>IF($EE27="","",IFERROR(VLOOKUP(SUBSTITUTE(SUBSTITUTE(SUBSTITUTE($EE27,"~","~~"),"*","~*"),"?","~?"),'DADOS_MELHORIAS'!$O$2:$X$113,10,FALSE),$EE27))</f>
        <v/>
      </c>
      <c r="KX27">
        <f>IF($EF27="","",IFERROR(VLOOKUP(SUBSTITUTE(SUBSTITUTE(SUBSTITUTE($EF27,"~","~~"),"*","~*"),"?","~?"),'DADOS_MELHORIAS'!$O$2:$X$113,10,FALSE),$EF27))</f>
        <v/>
      </c>
      <c r="KY27">
        <f>IF($EG27="","",IFERROR(VLOOKUP(SUBSTITUTE(SUBSTITUTE(SUBSTITUTE($EG27,"~","~~"),"*","~*"),"?","~?"),'DADOS_MELHORIAS'!$O$2:$X$113,10,FALSE),$EG27))</f>
        <v/>
      </c>
      <c r="KZ27">
        <f>IF($EH27="","",IFERROR(VLOOKUP(SUBSTITUTE(SUBSTITUTE(SUBSTITUTE($EH27,"~","~~"),"*","~*"),"?","~?"),'DADOS_MELHORIAS'!$O$2:$X$113,10,FALSE),$EH27))</f>
        <v/>
      </c>
      <c r="LB27">
        <f>IFERROR(INDEX('DADOS_FORMAS'!$BJ$2:$BJ$21,MATCH(SUBSTITUTE(SUBSTITUTE(SUBSTITUTE($ED27,"~","~~"),"*","~*"),"?","~?"),'DADOS_FORMAS'!$AH$2:$AH$21,0)),"")</f>
        <v/>
      </c>
      <c r="LC27">
        <f>IFERROR(VLOOKUP(SUBSTITUTE(SUBSTITUTE(SUBSTITUTE(IFERROR(INDEX('DADOS_FORMAS'!$AS$2:$AS$21,MATCH(SUBSTITUTE(SUBSTITUTE(SUBSTITUTE($ED27,"~","~~"),"*","~*"),"?","~?"),'DADOS_FORMAS'!$AH$2:$AH$21,0)),""),"~","~~"),"*","~*"),"?","~?"),'DADOS_RESTRICOES'!$M$2:$Q$54,2,FALSE),"")</f>
        <v/>
      </c>
      <c r="LD27">
        <f>$FD27</f>
        <v/>
      </c>
      <c r="LE27">
        <f>$FE27</f>
        <v/>
      </c>
      <c r="LF27">
        <f>$LC27</f>
        <v/>
      </c>
    </row>
    <row r="28">
      <c r="AO28" s="162" t="inlineStr">
        <is>
          <t>Onda · classes 6 e 7</t>
        </is>
      </c>
      <c r="AP28" s="162" t="inlineStr">
        <is>
          <t>Raio 4,5 m, em você</t>
        </is>
      </c>
      <c r="AQ28" s="162" t="inlineStr">
        <is>
          <t>Raio 6 m, em você</t>
        </is>
      </c>
      <c r="AR28" s="162" t="inlineStr">
        <is>
          <t>Raio 9 m, em você</t>
        </is>
      </c>
      <c r="AS28" s="162" t="inlineStr">
        <is>
          <t>Raio 15 m, em você</t>
        </is>
      </c>
      <c r="AT28" s="162" t="inlineStr">
        <is>
          <t>Raio 15 m, em você</t>
        </is>
      </c>
      <c r="AU28" s="162" t="inlineStr">
        <is>
          <t>Raio 15 m, em você</t>
        </is>
      </c>
      <c r="AV28" s="162" t="inlineStr"/>
      <c r="AW28" s="162" t="inlineStr"/>
      <c r="AX28" s="162" t="inlineStr"/>
      <c r="AY28" s="162" t="inlineStr"/>
      <c r="AZ28" s="162" t="inlineStr"/>
      <c r="BA28" s="162" t="inlineStr"/>
      <c r="BC28" s="162" t="inlineStr">
        <is>
          <t>Desarmado</t>
        </is>
      </c>
      <c r="BD28" s="162" t="inlineStr">
        <is>
          <t>Controle</t>
        </is>
      </c>
      <c r="BE28" s="164" t="n">
        <v>1</v>
      </c>
      <c r="BF28" s="164">
        <f>$BE28+3*IFERROR(VLOOKUP($BD28,'DADOS_CRIACAO'!$H$2:$K$20,3,FALSE),0)</f>
        <v/>
      </c>
      <c r="BG28" s="164">
        <f>IFERROR(VLOOKUP($BD28,'DADOS_CRIACAO'!$H$2:$K$20,4,FALSE),0)</f>
        <v/>
      </c>
      <c r="BH28" s="164" t="n">
        <v>1</v>
      </c>
      <c r="BI28" s="164">
        <f>IF($BG28=1,"",$BC28)</f>
        <v/>
      </c>
      <c r="BJ28" s="164">
        <f>IF(AND($BE28=1,$BG28=0),$BC28,"")</f>
        <v/>
      </c>
      <c r="BK28" s="164" t="n">
        <v>1</v>
      </c>
      <c r="CD28" s="162" t="inlineStr">
        <is>
          <t>Esteio</t>
        </is>
      </c>
      <c r="CE28" s="162" t="inlineStr">
        <is>
          <t>Lapidação 7</t>
        </is>
      </c>
      <c r="CF28" s="164" t="n">
        <v>3</v>
      </c>
      <c r="CG28" s="162" t="inlineStr">
        <is>
          <t>—</t>
        </is>
      </c>
      <c r="CH28" s="162" t="inlineStr">
        <is>
          <t>Ao adquirir a Bênção, escolha um TR: Físico, Vigor, Intelecto ou Espírito. O menor resultado do d20 nesse TR passa a ser sua Lapidação, limitada ao atributo do TR +2. No Físico, use Força ou Destreza conforme a escolha fixa da sua ficha. Vigor usa Constituição, Intelecto usa Inteligência e Espírito usa Essência. Some os modificadores normais depois de aplicar o piso. O piso não modifica o número efetivamente rolado para uma regra que exija um resultado natural. Com Lapidação 7 e atributo 4, o piso é 6. Com Lapidação 10 e atributo 6, é 8. Um resultado maior permanece como foi rolado.</t>
        </is>
      </c>
      <c r="CI28" s="164">
        <f>IF($CL28=1,"",IF($A$2=4,IF($CJ28=1,$CD28,""),IF(OR($CJ28=1,AND($A$2=3,$CK28=1)),"",$CD28)))</f>
        <v/>
      </c>
      <c r="CJ28" s="164" t="n">
        <v>1</v>
      </c>
      <c r="CK28" s="164" t="n">
        <v>0</v>
      </c>
      <c r="CL28" s="164" t="n">
        <v>0</v>
      </c>
      <c r="CM28" s="162" t="inlineStr">
        <is>
          <t>Ao adquirir a Bênção, escolha um TR: Físico, Vigor, Intelecto ou Espírito.</t>
        </is>
      </c>
      <c r="DY28" s="162" t="inlineStr">
        <is>
          <t>Feitiço 27</t>
        </is>
      </c>
      <c r="DZ28" s="164" t="n">
        <v>0</v>
      </c>
      <c r="EA28" s="164" t="n">
        <v>27</v>
      </c>
      <c r="EB28" s="164">
        <f>MAX(1,MIN(7,N('FICHA AMALDIÇOADA'!$P$236)))</f>
        <v/>
      </c>
      <c r="EC28" s="164">
        <f>'FICHA AMALDIÇOADA'!$Q$236&amp;""</f>
        <v/>
      </c>
      <c r="ED28" s="164">
        <f>'FICHA AMALDIÇOADA'!$P$243&amp;""</f>
        <v/>
      </c>
      <c r="EE28" s="164">
        <f>'FICHA AMALDIÇOADA'!$Q$245&amp;""</f>
        <v/>
      </c>
      <c r="EF28" s="164">
        <f>'FICHA AMALDIÇOADA'!$Q$246&amp;""</f>
        <v/>
      </c>
      <c r="EG28" s="164">
        <f>'FICHA AMALDIÇOADA'!$Q$247&amp;""</f>
        <v/>
      </c>
      <c r="EH28" s="164">
        <f>'FICHA AMALDIÇOADA'!$Q$248&amp;""</f>
        <v/>
      </c>
      <c r="EI28" s="164">
        <f>'FICHA AMALDIÇOADA'!$Q$249&amp;""</f>
        <v/>
      </c>
      <c r="EJ28" s="164">
        <f>'FICHA AMALDIÇOADA'!$Q$250&amp;""</f>
        <v/>
      </c>
      <c r="EK28" s="164">
        <f>IF($EC28&lt;&gt;"",1,0)</f>
        <v/>
      </c>
      <c r="EL28" s="164">
        <f>IFERROR(MATCH(SUBSTITUTE(SUBSTITUTE(SUBSTITUTE($ED28,"~","~~"),"*","~*"),"?","~?"),'DADOS_FORMAS'!$FJ$2:$FJ$21,0),0)</f>
        <v/>
      </c>
      <c r="EM28" s="164">
        <f>IF($EL28=0,0,INDEX('DADOS_FORMAS'!$FM$2:$FM$21,$EL28))</f>
        <v/>
      </c>
      <c r="EN28" s="164">
        <f>IFERROR(VLOOKUP(SUBSTITUTE(SUBSTITUTE(SUBSTITUTE($EE28,"~","~~"),"*","~*"),"?","~?"),'DADOS_MELHORIAS'!$O$2:$W$113,4,FALSE),0)</f>
        <v/>
      </c>
      <c r="EO28" s="164">
        <f>IFERROR(VLOOKUP(SUBSTITUTE(SUBSTITUTE(SUBSTITUTE($EF28,"~","~~"),"*","~*"),"?","~?"),'DADOS_MELHORIAS'!$O$2:$W$113,4,FALSE),0)</f>
        <v/>
      </c>
      <c r="EP28" s="164">
        <f>IFERROR(VLOOKUP(SUBSTITUTE(SUBSTITUTE(SUBSTITUTE($EG28,"~","~~"),"*","~*"),"?","~?"),'DADOS_MELHORIAS'!$O$2:$W$113,4,FALSE),0)</f>
        <v/>
      </c>
      <c r="EQ28" s="164">
        <f>IFERROR(VLOOKUP(SUBSTITUTE(SUBSTITUTE(SUBSTITUTE($EH28,"~","~~"),"*","~*"),"?","~?"),'DADOS_MELHORIAS'!$O$2:$W$113,4,FALSE),0)</f>
        <v/>
      </c>
      <c r="ER28" s="164">
        <f>IF($EL28=0,0,INDEX('DADOS_FORMAS'!$FN$2:$FN$21,$EL28))</f>
        <v/>
      </c>
      <c r="ES28" s="164">
        <f>IFERROR(VLOOKUP(SUBSTITUTE(SUBSTITUTE(SUBSTITUTE($EE28,"~","~~"),"*","~*"),"?","~?"),'DADOS_MELHORIAS'!$O$2:$W$113,5,FALSE),0)</f>
        <v/>
      </c>
      <c r="ET28" s="164">
        <f>IFERROR(VLOOKUP(SUBSTITUTE(SUBSTITUTE(SUBSTITUTE($EF28,"~","~~"),"*","~*"),"?","~?"),'DADOS_MELHORIAS'!$O$2:$W$113,5,FALSE),0)</f>
        <v/>
      </c>
      <c r="EU28" s="164">
        <f>IFERROR(VLOOKUP(SUBSTITUTE(SUBSTITUTE(SUBSTITUTE($EG28,"~","~~"),"*","~*"),"?","~?"),'DADOS_MELHORIAS'!$O$2:$W$113,5,FALSE),0)</f>
        <v/>
      </c>
      <c r="EV28" s="164">
        <f>IFERROR(VLOOKUP(SUBSTITUTE(SUBSTITUTE(SUBSTITUTE($EH28,"~","~~"),"*","~*"),"?","~?"),'DADOS_MELHORIAS'!$O$2:$W$113,5,FALSE),0)</f>
        <v/>
      </c>
      <c r="EW28" s="164">
        <f>IFERROR(VLOOKUP(SUBSTITUTE(SUBSTITUTE(SUBSTITUTE($EE28,"~","~~"),"*","~*"),"?","~?"),'DADOS_MELHORIAS'!$O$2:$W$113,6,FALSE),0)+IFERROR(VLOOKUP(SUBSTITUTE(SUBSTITUTE(SUBSTITUTE($EF28,"~","~~"),"*","~*"),"?","~?"),'DADOS_MELHORIAS'!$O$2:$W$113,6,FALSE),0)+IFERROR(VLOOKUP(SUBSTITUTE(SUBSTITUTE(SUBSTITUTE($EG28,"~","~~"),"*","~*"),"?","~?"),'DADOS_MELHORIAS'!$O$2:$W$113,6,FALSE),0)+IFERROR(VLOOKUP(SUBSTITUTE(SUBSTITUTE(SUBSTITUTE($EH28,"~","~~"),"*","~*"),"?","~?"),'DADOS_MELHORIAS'!$O$2:$W$113,6,FALSE),0)</f>
        <v/>
      </c>
      <c r="EX28" s="164">
        <f>IFERROR(VLOOKUP(SUBSTITUTE(SUBSTITUTE(SUBSTITUTE($EE28,"~","~~"),"*","~*"),"?","~?"),'DADOS_MELHORIAS'!$O$2:$W$113,9,FALSE),0)+IFERROR(VLOOKUP(SUBSTITUTE(SUBSTITUTE(SUBSTITUTE($EF28,"~","~~"),"*","~*"),"?","~?"),'DADOS_MELHORIAS'!$O$2:$W$113,9,FALSE),0)+IFERROR(VLOOKUP(SUBSTITUTE(SUBSTITUTE(SUBSTITUTE($EG28,"~","~~"),"*","~*"),"?","~?"),'DADOS_MELHORIAS'!$O$2:$W$113,9,FALSE),0)+IFERROR(VLOOKUP(SUBSTITUTE(SUBSTITUTE(SUBSTITUTE($EH28,"~","~~"),"*","~*"),"?","~?"),'DADOS_MELHORIAS'!$O$2:$W$113,9,FALSE),0)</f>
        <v/>
      </c>
      <c r="EY28" s="164">
        <f>IF($EL28=0,0,INDEX('DADOS_FORMAS'!$FO$2:$FO$21,$EL28))</f>
        <v/>
      </c>
      <c r="EZ28" s="164">
        <f>IF($EL28=0,0,INDEX('DADOS_FORMAS'!$FP$2:$FP$21,$EL28))</f>
        <v/>
      </c>
      <c r="FA28" s="164">
        <f>IF($EL28=0,0,INDEX('DADOS_FORMAS'!$FR$2:$FR$21,$EL28))</f>
        <v/>
      </c>
      <c r="FB28" s="164">
        <f>IFERROR(VLOOKUP(SUBSTITUTE(SUBSTITUTE(SUBSTITUTE($EI28,"~","~~"),"*","~*"),"?","~?"),'DADOS_RESTRICOES'!$M$2:$Q$54,3,FALSE),0)</f>
        <v/>
      </c>
      <c r="FC28" s="164">
        <f>IFERROR(VLOOKUP(SUBSTITUTE(SUBSTITUTE(SUBSTITUTE($EJ28,"~","~~"),"*","~*"),"?","~?"),'DADOS_RESTRICOES'!$M$2:$Q$54,3,FALSE),0)</f>
        <v/>
      </c>
      <c r="FD28" s="164">
        <f>IFERROR(VLOOKUP(SUBSTITUTE(SUBSTITUTE(SUBSTITUTE($EI28,"~","~~"),"*","~*"),"?","~?"),'DADOS_RESTRICOES'!$M$2:$Q$54,2,FALSE),"")</f>
        <v/>
      </c>
      <c r="FE28" s="164">
        <f>IFERROR(VLOOKUP(SUBSTITUTE(SUBSTITUTE(SUBSTITUTE($EJ28,"~","~~"),"*","~*"),"?","~?"),'DADOS_RESTRICOES'!$M$2:$Q$54,2,FALSE),"")</f>
        <v/>
      </c>
      <c r="FF28" s="164">
        <f>COUNTIF($EM28:$EQ28,1)</f>
        <v/>
      </c>
      <c r="FG28" s="164">
        <f>COUNTIF($EM28:$EQ28,2)</f>
        <v/>
      </c>
      <c r="FH28" s="164">
        <f>COUNTIF($EM28:$EQ28,3)</f>
        <v/>
      </c>
      <c r="FI28" s="164">
        <f>COUNTIF($EM28:$EQ28,4)</f>
        <v/>
      </c>
      <c r="FJ28" s="164">
        <f>COUNTIF($EM28:$EQ28,5)</f>
        <v/>
      </c>
      <c r="FK28" s="164">
        <f>COUNTIF($EM28:$EQ28,6)</f>
        <v/>
      </c>
      <c r="FL28" s="164">
        <f>COUNTIF($FB28:$FC28,1)+IF(IFERROR(INDEX('DADOS_FORMAS'!$AS$2:$AS$21,MATCH(SUBSTITUTE(SUBSTITUTE(SUBSTITUTE($ED28,"~","~~"),"*","~*"),"?","~?"),'DADOS_FORMAS'!$AH$2:$AH$21,0)),"")="",0,IFERROR(N(VLOOKUP(SUBSTITUTE(SUBSTITUTE(SUBSTITUTE(IFERROR(INDEX('DADOS_FORMAS'!$AS$2:$AS$21,MATCH(SUBSTITUTE(SUBSTITUTE(SUBSTITUTE($ED28,"~","~~"),"*","~*"),"?","~?"),'DADOS_FORMAS'!$AH$2:$AH$21,0)),""),"~","~~"),"*","~*"),"?","~?"),'DADOS_RESTRICOES'!$M$2:$Q$54,3,FALSE)=1),0))</f>
        <v/>
      </c>
      <c r="FM28" s="164">
        <f>COUNTIF($FB28:$FC28,2)+IF(IFERROR(INDEX('DADOS_FORMAS'!$AS$2:$AS$21,MATCH(SUBSTITUTE(SUBSTITUTE(SUBSTITUTE($ED28,"~","~~"),"*","~*"),"?","~?"),'DADOS_FORMAS'!$AH$2:$AH$21,0)),"")="",0,IFERROR(N(VLOOKUP(SUBSTITUTE(SUBSTITUTE(SUBSTITUTE(IFERROR(INDEX('DADOS_FORMAS'!$AS$2:$AS$21,MATCH(SUBSTITUTE(SUBSTITUTE(SUBSTITUTE($ED28,"~","~~"),"*","~*"),"?","~?"),'DADOS_FORMAS'!$AH$2:$AH$21,0)),""),"~","~~"),"*","~*"),"?","~?"),'DADOS_RESTRICOES'!$M$2:$Q$54,3,FALSE)=2),0))</f>
        <v/>
      </c>
      <c r="FN28" s="164">
        <f>COUNTIF($EE28:$EH28,"?*")</f>
        <v/>
      </c>
      <c r="FO28" s="164">
        <f>COUNTIF($EI28:$EJ28,"?*")+$EY28</f>
        <v/>
      </c>
      <c r="FP28" s="164">
        <f>SUMPRODUCT($FF28:$FK28,INDEX($Q$2:$V$8,$EB28,0))</f>
        <v/>
      </c>
      <c r="FQ28" s="164">
        <f>$FL28*CEILING($EB28/2,1)+$FM28*$EB28</f>
        <v/>
      </c>
      <c r="FR28" s="164">
        <f>MIN(2*$EB28,$FQ28)</f>
        <v/>
      </c>
      <c r="FS28" s="164">
        <f>MIN($FR28,$FP28-IF($EM28=0,0,INDEX($Q$2:$V$8,$EB28,$EM28)))</f>
        <v/>
      </c>
      <c r="FT28" s="164">
        <f>$FR28-$FS28</f>
        <v/>
      </c>
      <c r="FU28" s="164">
        <f>3*$EB28-$FP28+$FS28</f>
        <v/>
      </c>
      <c r="FV28" s="164">
        <f>MAX(0,$FU28)+$DZ28*$EB28</f>
        <v/>
      </c>
      <c r="FW28" s="164">
        <f>(IF(COUNTIF($KW28:$KZ28,"Salto")&gt;0,1,0)+IF(COUNTIF($KW28:$KZ28,"Queima")&gt;0,1,0)+IF(COUNTIF($KW28:$KZ28,"Estilhaço")&gt;0,1,0))*FLOOR($FV28/2,1)</f>
        <v/>
      </c>
      <c r="FX28" s="164">
        <f>MAX(0,3-SUMPRODUCT($FF28:$FK28,$Q$2:$V$2)+MIN(2,$FL28*1+$FM28*1,SUMPRODUCT($FF28:$FK28,$Q$2:$V$2)-IF($EM28=0,0,INDEX($Q$2:$V$2,1,$EM28))))+$DZ28*1</f>
        <v/>
      </c>
      <c r="FY28" s="164">
        <f>MAX(0,6-SUMPRODUCT($FF28:$FK28,$Q$3:$V$3)+MIN(4,$FL28*1+$FM28*2,SUMPRODUCT($FF28:$FK28,$Q$3:$V$3)-IF($EM28=0,0,INDEX($Q$3:$V$3,1,$EM28))))+$DZ28*2</f>
        <v/>
      </c>
      <c r="FZ28" s="164">
        <f>MAX(0,9-SUMPRODUCT($FF28:$FK28,$Q$4:$V$4)+MIN(6,$FL28*2+$FM28*3,SUMPRODUCT($FF28:$FK28,$Q$4:$V$4)-IF($EM28=0,0,INDEX($Q$4:$V$4,1,$EM28))))+$DZ28*3</f>
        <v/>
      </c>
      <c r="GA28" s="164">
        <f>MAX(0,12-SUMPRODUCT($FF28:$FK28,$Q$5:$V$5)+MIN(8,$FL28*2+$FM28*4,SUMPRODUCT($FF28:$FK28,$Q$5:$V$5)-IF($EM28=0,0,INDEX($Q$5:$V$5,1,$EM28))))+$DZ28*4</f>
        <v/>
      </c>
      <c r="GB28" s="164">
        <f>MAX(0,15-SUMPRODUCT($FF28:$FK28,$Q$6:$V$6)+MIN(10,$FL28*3+$FM28*5,SUMPRODUCT($FF28:$FK28,$Q$6:$V$6)-IF($EM28=0,0,INDEX($Q$6:$V$6,1,$EM28))))+$DZ28*5</f>
        <v/>
      </c>
      <c r="GC28" s="164">
        <f>MAX(0,18-SUMPRODUCT($FF28:$FK28,$Q$7:$V$7)+MIN(12,$FL28*3+$FM28*6,SUMPRODUCT($FF28:$FK28,$Q$7:$V$7)-IF($EM28=0,0,INDEX($Q$7:$V$7,1,$EM28))))+$DZ28*6</f>
        <v/>
      </c>
      <c r="GD28" s="164">
        <f>MAX(0,21-SUMPRODUCT($FF28:$FK28,$Q$8:$V$8)+MIN(14,$FL28*4+$FM28*7,SUMPRODUCT($FF28:$FK28,$Q$8:$V$8)-IF($EM28=0,0,INDEX($Q$8:$V$8,1,$EM28))))+$DZ28*7</f>
        <v/>
      </c>
      <c r="GE28" s="164">
        <f>IF($EZ28=2,3*$FX28&amp;" de vida temp.",IF($EZ28=3,"sem dano",IF($FX28=0,IF($EZ28=1,"sem cura","sem dano"),IF($EZ28=1,"cura ","")&amp;$FX28&amp;"d8")))</f>
        <v/>
      </c>
      <c r="GF28" s="164">
        <f>IF($EZ28=2,3*$FY28&amp;" de vida temp.",IF($EZ28=3,"sem dano",IF($FY28=0,IF($EZ28=1,"sem cura","sem dano"),IF($EZ28=1,"cura ","")&amp;$FY28&amp;"d8")))</f>
        <v/>
      </c>
      <c r="GG28" s="164">
        <f>IF($EZ28=2,3*$FZ28&amp;" de vida temp.",IF($EZ28=3,"sem dano",IF($FZ28=0,IF($EZ28=1,"sem cura","sem dano"),IF($EZ28=1,"cura ","")&amp;$FZ28&amp;"d8")))</f>
        <v/>
      </c>
      <c r="GH28" s="164">
        <f>IF($EZ28=2,3*$GA28&amp;" de vida temp.",IF($EZ28=3,"sem dano",IF($GA28=0,IF($EZ28=1,"sem cura","sem dano"),IF($EZ28=1,"cura ","")&amp;$GA28&amp;"d8")))</f>
        <v/>
      </c>
      <c r="GI28" s="164">
        <f>IF($EZ28=2,3*$GB28&amp;" de vida temp.",IF($EZ28=3,"sem dano",IF($GB28=0,IF($EZ28=1,"sem cura","sem dano"),IF($EZ28=1,"cura ","")&amp;$GB28&amp;"d8")))</f>
        <v/>
      </c>
      <c r="GJ28" s="164">
        <f>IF($EZ28=2,3*$GC28&amp;" de vida temp.",IF($EZ28=3,"sem dano",IF($GC28=0,IF($EZ28=1,"sem cura","sem dano"),IF($EZ28=1,"cura ","")&amp;$GC28&amp;"d8")))</f>
        <v/>
      </c>
      <c r="GK28" s="164">
        <f>IF($EZ28=2,3*$GD28&amp;" de vida temp.",IF($EZ28=3,"sem dano",IF($GD28=0,IF($EZ28=1,"sem cura","sem dano"),IF($EZ28=1,"cura ","")&amp;$GD28&amp;"d8")))</f>
        <v/>
      </c>
      <c r="GL28" s="164">
        <f>IF($EK28=0,"",TEXTJOIN(" · ",TRUE,IF($EK28=0,"",TEXTJOIN(" · ",TRUE,IF($EK28=0,"",TEXTJOIN(" · ",TRUE,IF(AND($DZ28=1,$EA28&gt;$HM$9),"O nível "&amp;$HM$2&amp;" dá "&amp;$HM$9&amp;" Liberação Máxima",""),IF($EB28&gt;$HM$4,"Classe "&amp;$EB28&amp;": o nível "&amp;$HM$2&amp;" libera até a "&amp;$HM$4,""),IF($ER28=1,"Família Fechada: a Forma "&amp;$ED28,""),IF($ES28=1,"Família Fechada: "&amp;$EE28,""),IF($ET28=1,"Família Fechada: "&amp;$EF28,""),IF($EU28=1,"Família Fechada: "&amp;$EG28,""),IF($EV28=1,"Família Fechada: "&amp;$EH28,""),IF($FN28&gt;INDEX($W$2:$W$8,$EB28),$FN28&amp;" Melhorias: a Classe "&amp;$EB28&amp;" aceita "&amp;INDEX($W$2:$W$8,$EB28),""),IF($FO28&gt;2,$FO28&amp;" Restrições"&amp;IF($EY28=1,", contando a que a Forma "&amp;$ED28&amp;" já traz","")&amp;": o limite é 2",""),IF($FU28&lt;0,"Orçamento estourado: faltam "&amp;(-$FU28)&amp;IF($FU28&lt;-1," pontos"," ponto"),""),IF(IFERROR(VLOOKUP(SUBSTITUTE(SUBSTITUTE(SUBSTITUTE($EI28,"~","~~"),"*","~*"),"?","~?"),'DADOS_RESTRICOES'!$M$2:$Q$54,4,FALSE),0)+IFERROR(VLOOKUP(SUBSTITUTE(SUBSTITUTE(SUBSTITUTE($EJ28,"~","~~"),"*","~*"),"?","~?"),'DADOS_RESTRICOES'!$M$2:$Q$54,4,FALSE),0)&gt;1,$FD28&amp;" e "&amp;$FE28&amp;" são as duas de frequência",""),IF(AND((COUNTIF($KW28:$KZ28,"Rápido")+COUNTIF($FD28:$FE28,"Rápido"))&gt;0,(COUNTIF($EE28:$EH28,"Atrasar")+COUNTIF($FD28:$FE28,"Atrasar"))&gt;0),"Rápido não entra com Atrasar",""),IF(AND((COUNTIF($KW28:$KZ28,"Reação")+COUNTIF($FD28:$FE28,"Reação"))&gt;0,(COUNTIF($KW28:$KZ28,"Rápido")+COUNTIF($FD28:$FE28,"Rápido"))&gt;0),"Reação não entra com Rápido",""),IF(AND((COUNTIF($KW28:$KZ28,"Reação")+COUNTIF($FD28:$FE28,"Reação"))&gt;0,(COUNTIF($KW28:$KZ28,"Armado")+COUNTIF($FD28:$FE28,"Armado"))&gt;0),"Reação não entra com Armado",""),IF(AND((COUNTIF($KW28:$KZ28,"Reação")+COUNTIF($FD28:$FE28,"Reação"))&gt;0,(COUNTIF($EE28:$EH28,"Atrasar")+COUNTIF($FD28:$FE28,"Atrasar"))&gt;0),"Reação não entra com Atrasar",""),IF(AND((COUNTIF($KW28:$KZ28,"Reação")+COUNTIF($FD28:$FE28,"Reação"))&gt;0,(COUNTIF($EE28:$EH28,"Parado")+COUNTIF($FD28:$FE28,"Parado"))&gt;0),"Reação não entra com Parado",""),IF(AND((COUNTIF($EE28:$EH28,"Atrasar")+COUNTIF($FD28:$FE28,"Atrasar"))&gt;0,(COUNTIF($EE28:$EH28,"Parado")+COUNTIF($FD28:$FE28,"Parado"))&gt;0),"Atrasar não entra com Parado",""),IF(AND((COUNTIF($KW28:$KZ28,"Armado")+COUNTIF($FD28:$FE28,"Armado"))&gt;0,(COUNTIF($EE28:$EH28,"Carregar")+COUNTIF($FD28:$FE28,"Carregar"))&gt;0),"Armado não entra com Carregar",""),IF(AND(COUNTIF($FD28:$FE28,"Corpo a Corpo")&gt;0,$EY28=0,OR($LB28="Cone",$LB28="Linha")),"Corpo a Corpo não entra em "&amp;$ED28,""),IF(AND(COUNTIF($FD28:$FE28,"Corpo a Corpo")&gt;0,$LC28="Corpo a Corpo"),"A Forma "&amp;$ED28&amp;" já traz o Corpo a Corpo",""),IF(AND(COUNTIF($FD28:$FE28,"Tudo ou Nada")&gt;0,$FA28=0),"Tudo ou Nada só entra em feitiço de Teste de Resistência",""),IF(AND(COUNTIF($KW28:$KZ28,"Inescapável")&gt;0,OR($FN28&gt;1,$FO28&gt;0)),"Inescapável não aceita outra peça",""),IF(AND($DZ28=1,$EB28&lt;3),"Liberação Máxima é de Classe 3 ou mais",""),IF(AND($DZ28=1,OR($EZ28=1,$EZ28=2)),"Liberação Máxima não serve para cura",""),IF(AND($DZ28=1,COUNTIF($KW28:$KZ28,"Inescapável")+COUNTIF($KW28:$KZ28,"Toca a Alma")&gt;0),"Esta peça não entra numa Liberação Máxima",""),IF($FV28*IF(COUNTIF($KW28:$KZ28,"Remate")&gt;0,1.25,1)+$FW28&gt;4*$EB28,($FV28*IF(COUNTIF($KW28:$KZ28,"Remate")&gt;0,1.25,1)+$FW28)&amp;" dados somando repetições"&amp;IF(COUNTIF($KW28:$KZ28,"Remate")&gt;0," e o Remate","")&amp;": o teto da Classe "&amp;$EB28&amp;" é "&amp;4*$EB28,""))),IF(AND($EE28&lt;&gt;"",COUNTIF('DADOS_MELHORIAS'!$O$2:$O$113,SUBSTITUTE(SUBSTITUTE(SUBSTITUTE($EE28,"~","~~"),"*","~*"),"?","~?"))=0),"Melhoria não cadastrada ou com erro: "&amp;$EE28,""),IF(AND($EF28&lt;&gt;"",COUNTIF('DADOS_MELHORIAS'!$O$2:$O$113,SUBSTITUTE(SUBSTITUTE(SUBSTITUTE($EF28,"~","~~"),"*","~*"),"?","~?"))=0),"Melhoria não cadastrada ou com erro: "&amp;$EF28,""),IF(AND($EG28&lt;&gt;"",COUNTIF('DADOS_MELHORIAS'!$O$2:$O$113,SUBSTITUTE(SUBSTITUTE(SUBSTITUTE($EG28,"~","~~"),"*","~*"),"?","~?"))=0),"Melhoria não cadastrada ou com erro: "&amp;$EG28,""),IF(AND($EH28&lt;&gt;"",COUNTIF('DADOS_MELHORIAS'!$O$2:$O$113,SUBSTITUTE(SUBSTITUTE(SUBSTITUTE($EH28,"~","~~"),"*","~*"),"?","~?"))=0),"Melhoria não cadastrada ou com erro: "&amp;$EH28,""),IF(AND($EI28&lt;&gt;"",COUNTIF('DADOS_RESTRICOES'!$M$2:$M$54,SUBSTITUTE(SUBSTITUTE(SUBSTITUTE($EI28,"~","~~"),"*","~*"),"?","~?"))=0),"Restrição não cadastrada ou com erro: "&amp;$EI28,""),IF(AND($EJ28&lt;&gt;"",COUNTIF('DADOS_RESTRICOES'!$M$2:$M$54,SUBSTITUTE(SUBSTITUTE(SUBSTITUTE($EJ28,"~","~~"),"*","~*"),"?","~?"))=0),"Restrição não cadastrada ou com erro: "&amp;$EJ28,""))),IF(AND($ED28&lt;&gt;"",COUNTIF('DADOS_FORMAS'!$AH$2:$AH$21,SUBSTITUTE(SUBSTITUTE(SUBSTITUTE($ED28,"~","~~"),"*","~*"),"?","~?"))=0),"Forma não cadastrada ou com erro: "&amp;$ED28,""),IF(AND(IFERROR(INDEX('DADOS_FORMAS'!$AS$2:$AS$21,MATCH(SUBSTITUTE(SUBSTITUTE(SUBSTITUTE($ED28,"~","~~"),"*","~*"),"?","~?"),'DADOS_FORMAS'!$AH$2:$AH$21,0)),"")&lt;&gt;"",OR(IFERROR(VLOOKUP(SUBSTITUTE(SUBSTITUTE(SUBSTITUTE(IFERROR(INDEX('DADOS_FORMAS'!$AS$2:$AS$21,MATCH(SUBSTITUTE(SUBSTITUTE(SUBSTITUTE($ED28,"~","~~"),"*","~*"),"?","~?"),'DADOS_FORMAS'!$AH$2:$AH$21,0)),""),"~","~~"),"*","~*"),"?","~?"),'DADOS_RESTRICOES'!$M$2:$Q$54,2,FALSE),"")=$FD28,IFERROR(VLOOKUP(SUBSTITUTE(SUBSTITUTE(SUBSTITUTE(IFERROR(INDEX('DADOS_FORMAS'!$AS$2:$AS$21,MATCH(SUBSTITUTE(SUBSTITUTE(SUBSTITUTE($ED28,"~","~~"),"*","~*"),"?","~?"),'DADOS_FORMAS'!$AH$2:$AH$21,0)),""),"~","~~"),"*","~*"),"?","~?"),'DADOS_RESTRICOES'!$M$2:$Q$54,2,FALSE),"")=$FE28)),"Restrição repetida, contando a embutida",""),IF(IF(IFERROR(INDEX('DADOS_FORMAS'!$AS$2:$AS$21,MATCH(SUBSTITUTE(SUBSTITUTE(SUBSTITUTE($ED28,"~","~~"),"*","~*"),"?","~?"),'DADOS_FORMAS'!$AH$2:$AH$21,0)),"")="",0,IFERROR(N(VLOOKUP(SUBSTITUTE(SUBSTITUTE(SUBSTITUTE(IFERROR(INDEX('DADOS_FORMAS'!$AS$2:$AS$21,MATCH(SUBSTITUTE(SUBSTITUTE(SUBSTITUTE($ED28,"~","~~"),"*","~*"),"?","~?"),'DADOS_FORMAS'!$AH$2:$AH$21,0)),""),"~","~~"),"*","~*"),"?","~?"),'DADOS_RESTRICOES'!$M$2:$Q$54,4,FALSE)=1),0))+IF($EI28="",0,IFERROR(N(VLOOKUP(SUBSTITUTE(SUBSTITUTE(SUBSTITUTE($EI28,"~","~~"),"*","~*"),"?","~?"),'DADOS_RESTRICOES'!$M$2:$Q$54,4,FALSE)=1),0))+IF($EJ28="",0,IFERROR(N(VLOOKUP(SUBSTITUTE(SUBSTITUTE(SUBSTITUTE($EJ28,"~","~~"),"*","~*"),"?","~?"),'DADOS_RESTRICOES'!$M$2:$Q$54,4,FALSE)=1),0))&gt;1,"Duas Restrições de frequência, contando a embutida",""),IF(AND(IFERROR(VLOOKUP(SUBSTITUTE(SUBSTITUTE(SUBSTITUTE(IFERROR(INDEX('DADOS_FORMAS'!$AS$2:$AS$21,MATCH(SUBSTITUTE(SUBSTITUTE(SUBSTITUTE($ED28,"~","~~"),"*","~*"),"?","~?"),'DADOS_FORMAS'!$AH$2:$AH$21,0)),""),"~","~~"),"*","~*"),"?","~?"),'DADOS_RESTRICOES'!$M$2:$Q$54,2,FALSE),"")="Tudo ou Nada",$FA28=0),"Tudo ou Nada exige TR",""),IF(AND(IFERROR(VLOOKUP(SUBSTITUTE(SUBSTITUTE(SUBSTITUTE(IFERROR(INDEX('DADOS_FORMAS'!$AS$2:$AS$21,MATCH(SUBSTITUTE(SUBSTITUTE(SUBSTITUTE($ED28,"~","~~"),"*","~*"),"?","~?"),'DADOS_FORMAS'!$AH$2:$AH$21,0)),""),"~","~~"),"*","~*"),"?","~?"),'DADOS_RESTRICOES'!$M$2:$Q$54,2,FALSE),"")="Corpo a Corpo",OR($LB28="Cone",$LB28="Linha")),"Corpo a Corpo não entra em Cone/Linha","")))</f>
        <v/>
      </c>
      <c r="GM28" s="164">
        <f>IF($GL28="",0,(LEN($GL28)-LEN(SUBSTITUTE($GL28," · ","")))/3+1)</f>
        <v/>
      </c>
      <c r="GN28" s="164">
        <f>IF($EK28=0,"",TEXTJOIN(" · ",TRUE,IF($FQ28&gt;2*$EB28,"A devolução parou no teto de "&amp;2*$EB28,""),IF($FT28&gt;0,"Devolução perdida: "&amp;$FT28&amp;IF($FT28&gt;1," pontos"," ponto")&amp;" sem Melhoria para pagar",""),IF(AND($EW28&gt;0,$FV28=0),"Controle sem dano: uma rodada a mais e CD +2",""),IF(AND($EW28&gt;0,$FV28&gt;0,$FV28&lt;=$EB28),"Controle com saldo até a Classe: uma rodada a mais","")))</f>
        <v/>
      </c>
      <c r="GO28" s="164">
        <f>IF($GN28="",0,(LEN($GN28)-LEN(SUBSTITUTE($GN28," · ","")))/3+1)</f>
        <v/>
      </c>
      <c r="GP28" s="164">
        <f>IF($EK28=0,IF($FN28+$FO28-$EY28&gt;0,"Dê um nome",""),IF($GM28&gt;0,"⚠ "&amp;$GM28&amp;IF($GM28&gt;1," erros"," erro"),IF($GO28&gt;0,"! "&amp;$GO28&amp;IF($GO28&gt;1," avisos"," aviso"),"Na regra")))</f>
        <v/>
      </c>
      <c r="GQ28" s="164">
        <f>IF($EK28=0,"",IF($GM28+$GO28=0,"Dentro das regras que a ficha confere",$GL28&amp;IF(AND($GM28&gt;0,$GO28&gt;0)," · ","")&amp;$GN28))</f>
        <v/>
      </c>
      <c r="GR28" s="164">
        <f>IF($EK28=0,"",IF($DZ28=1,CEILING(4.5*$EB28,1),3*$EB28)&amp;" PE")</f>
        <v/>
      </c>
      <c r="GS28" s="164">
        <f>IF($EK28=0,"",IF($DZ28=1,"Rodada inteira",IF(COUNTIF($LD28:$LF28,"Atrasar")&gt;0,IF(COUNTIF($LD28:$LF28,"Carregar")&gt;0,"Rodada +1 turno","Rodada inteira"),IF(COUNTIF($KW28:$KZ28,"Rápido")&gt;0,"Bônus",IF(COUNTIF($KW28:$KZ28,"Reação")&gt;0,"Reação","Padrão"))&amp;IF(COUNTIF($LD28:$LF28,"Carregar")&gt;0," +1 turno",""))))</f>
        <v/>
      </c>
      <c r="GT28" s="164">
        <f>IF(OR($EK28=0,$EL28=0),"",IF(COUNTIF($KW28:$KZ28,"Inescapável")&gt;0,"Automático",IF(COUNTIF($KW28:$KZ28,"Certeiro")&gt;0,"TR para metade",IF(AND($EX28&gt;0,$FA28=0,INDEX('DADOS_FORMAS'!$FQ$2:$FQ$21,$EL28)="Acerto"),"Acerto + TR",INDEX('DADOS_FORMAS'!$FQ$2:$FQ$21,$EL28)))))</f>
        <v/>
      </c>
      <c r="GU28" s="164">
        <f>IF(OR($EK28=0,$EL28=0),"",IF(OR($EZ28&gt;=2,$FV28=0),UPPER(LEFT(INDEX($GE28:$GK28,1,$EB28),1))&amp;MID(INDEX($GE28:$GK28,1,$EB28),2,99),UPPER(LEFT(INDEX($GE28:$GK28,1,$EB28),1))&amp;MID(INDEX($GE28:$GK28,1,$EB28),2,99)&amp;" = "&amp;FLOOR($FV28*4.5,1)&amp;IF($FW28&gt;0," · +"&amp;$FW28&amp;"d8","")))</f>
        <v/>
      </c>
      <c r="GV28" s="164">
        <f>COUNTIF($KW28:$KZ28,"Longe")+3*COUNTIF($KW28:$KZ28,"Muito Longe")</f>
        <v/>
      </c>
      <c r="GW28" s="164">
        <f>COUNTIF($KW28:$KZ28,"Maior")+3*COUNTIF($KW28:$KZ28,"Muito Maior")</f>
        <v/>
      </c>
      <c r="GX28" s="164">
        <f>IF($EL28=0,0,CHOOSE(1+INDEX('DADOS_FORMAS'!$FS$2:$FS$21,$EL28),0,$GV28,$GW28,$GV28+$GW28))</f>
        <v/>
      </c>
      <c r="GY28" s="164">
        <f>IF($EL28=0,0,CHOOSE(1+INDEX('DADOS_FORMAS'!$FT$2:$FT$21,$EL28),0,$GV28,$GW28,$GV28+$GW28))</f>
        <v/>
      </c>
      <c r="GZ28" s="164">
        <f>IF(OR($EK28=0,$EL28=0),"",INDEX('DADOS_FORMAS'!$GZ$2:$HE$61,($EL28-1)*3+IF($EB28&gt;=6,3,2),1+MIN(5,$GX28))&amp;INDEX('DADOS_FORMAS'!$HF$2:$HK$61,($EL28-1)*3+IF($EB28&gt;=6,3,2),1+MIN(5,$GY28))&amp;IF(INDEX('DADOS_FORMAS'!$FU$2:$FU$21,$EL28)=1,IF(COUNTIF($KW28:$KZ28,"Mais Um")&gt;0," · +"&amp;COUNTIF($KW28:$KZ28,"Mais Um")&amp;IF(COUNTIF($KW28:$KZ28,"Mais Um")&gt;1," alvos"," alvo"),"")&amp;IF(COUNTIF($KW28:$KZ28,"Rajada")&gt;0," · "&amp;($EB28+1)&amp;" tiros",""),""))</f>
        <v/>
      </c>
      <c r="HA28" s="164">
        <f>IF($EK28=0,"",3*$EB28&amp;" − "&amp;$FP28&amp;" + "&amp;$FS28&amp;IF($DZ28=1," + "&amp;$EB28,"")&amp;" = "&amp;$FV28&amp;"d8 · teto "&amp;4*$EB28&amp;IF($EY28=1," · a Forma devolve "&amp;$EB28,"")&amp;IF($FT28&gt;0," · perde "&amp;$FT28,""))</f>
        <v/>
      </c>
      <c r="HB28" s="164">
        <f>IF($EK28=0,"",IF($EB28&gt;=$HM$4,"Já está na maior Classe que o nível liberou",TEXTJOIN(" · ",TRUE,IF(AND(2&gt;$EB28,2&lt;=$HM$4),"2 → "&amp;$GF28&amp;", "&amp;IF($DZ28=1,9,6)&amp;" PE",""),IF(AND(3&gt;$EB28,3&lt;=$HM$4),"3 → "&amp;$GG28&amp;", "&amp;IF($DZ28=1,14,9)&amp;" PE",""),IF(AND(4&gt;$EB28,4&lt;=$HM$4),"4 → "&amp;$GH28&amp;", "&amp;IF($DZ28=1,18,12)&amp;" PE",""),IF(AND(5&gt;$EB28,5&lt;=$HM$4),"5 → "&amp;$GI28&amp;", "&amp;IF($DZ28=1,23,15)&amp;" PE",""),IF(AND(6&gt;$EB28,6&lt;=$HM$4),"6 → "&amp;$GJ28&amp;", "&amp;IF($DZ28=1,27,18)&amp;" PE",""),IF(AND(7&gt;$EB28,7&lt;=$HM$4),"7 → "&amp;$GK28&amp;", "&amp;IF($DZ28=1,32,21)&amp;" PE",""))))</f>
        <v/>
      </c>
      <c r="HC28" s="164">
        <f>IF(OR($EK28=0,$EN28=0),"","−"&amp;INDEX($Q$2:$V$8,$EB28,$EN28)&amp;" · "&amp;CHOOSE($EN28,"Leve","Média","Pesada","Leve · Livre","Média · Livre","Pesada · Livre"))</f>
        <v/>
      </c>
      <c r="HD28" s="164">
        <f>IF(OR($EK28=0,$EO28=0),"","−"&amp;INDEX($Q$2:$V$8,$EB28,$EO28)&amp;" · "&amp;CHOOSE($EO28,"Leve","Média","Pesada","Leve · Livre","Média · Livre","Pesada · Livre"))</f>
        <v/>
      </c>
      <c r="HE28" s="164">
        <f>IF(OR($EK28=0,$EP28=0),"","−"&amp;INDEX($Q$2:$V$8,$EB28,$EP28)&amp;" · "&amp;CHOOSE($EP28,"Leve","Média","Pesada","Leve · Livre","Média · Livre","Pesada · Livre"))</f>
        <v/>
      </c>
      <c r="HF28" s="164">
        <f>IF(OR($EK28=0,$EQ28=0),"","−"&amp;INDEX($Q$2:$V$8,$EB28,$EQ28)&amp;" · "&amp;CHOOSE($EQ28,"Leve","Média","Pesada","Leve · Livre","Média · Livre","Pesada · Livre"))</f>
        <v/>
      </c>
      <c r="HG28" s="164">
        <f>IF(OR($EK28=0,$EI28=""),"","+"&amp;IF($FB28=1,CEILING($EB28/2,1),$EB28))</f>
        <v/>
      </c>
      <c r="HH28" s="164">
        <f>IF(OR($EK28=0,$EJ28=""),"","+"&amp;IF($FC28=1,CEILING($EB28/2,1),$EB28))</f>
        <v/>
      </c>
      <c r="HI28" s="164">
        <f>'FICHA AMALDIÇOADA'!$P$238&amp;""</f>
        <v/>
      </c>
      <c r="HJ28" s="164">
        <f>IF(AND($EK28=1,$DZ28=0),COUNTIFS($EK$2:$EK28,1,$DZ$2:$DZ28,0),"")</f>
        <v/>
      </c>
      <c r="HL28" s="162" t="inlineStr">
        <is>
          <t>pactos com vaga</t>
        </is>
      </c>
      <c r="HM28" s="164">
        <f>IF(OR('FICHA AMALDIÇOADA'!$L$531="Permanente",'FICHA AMALDIÇOADA'!$L$531="Pacto de restrição"),1,0)+IF(OR('FICHA AMALDIÇOADA'!$L$541="Permanente",'FICHA AMALDIÇOADA'!$L$541="Pacto de restrição"),1,0)+IF(OR('FICHA AMALDIÇOADA'!$L$551="Permanente",'FICHA AMALDIÇOADA'!$L$551="Pacto de restrição"),1,0)</f>
        <v/>
      </c>
      <c r="JH28" s="164" t="n">
        <v>27</v>
      </c>
      <c r="JI28" s="164">
        <f>IFERROR(MATCH(27,$HJ$2:$HJ$37,0),0)</f>
        <v/>
      </c>
      <c r="JJ28" s="164">
        <f>IF($JI28=0,"",INDEX($EB$2:$EB$37,$JI28))</f>
        <v/>
      </c>
      <c r="JK28" s="164">
        <f>IF($JI28=0,"",INDEX($EC$2:$EC$37,$JI28))</f>
        <v/>
      </c>
      <c r="JL28" s="164">
        <f>IF($JI28=0,"",INDEX($GR$2:$GR$37,$JI28))</f>
        <v/>
      </c>
      <c r="JM28" s="164">
        <f>IF($JI28=0,"",INDEX($ED$2:$ED$37,$JI28))</f>
        <v/>
      </c>
      <c r="JN28" s="164">
        <f>IF($JI28=0,"",INDEX($GT$2:$GT$37,$JI28))</f>
        <v/>
      </c>
      <c r="JO28" s="164">
        <f>IF($JI28=0,"",INDEX($HI$2:$HI$37,$JI28))</f>
        <v/>
      </c>
      <c r="KU28" s="162" t="inlineStr">
        <is>
          <t>J59</t>
        </is>
      </c>
      <c r="KV28" s="164">
        <f>INDEX(DADOS_AM!$P$2:$W$8,DADOS_AM!$HM$30,4)</f>
        <v/>
      </c>
      <c r="KW28">
        <f>IF($EE28="","",IFERROR(VLOOKUP(SUBSTITUTE(SUBSTITUTE(SUBSTITUTE($EE28,"~","~~"),"*","~*"),"?","~?"),'DADOS_MELHORIAS'!$O$2:$X$113,10,FALSE),$EE28))</f>
        <v/>
      </c>
      <c r="KX28">
        <f>IF($EF28="","",IFERROR(VLOOKUP(SUBSTITUTE(SUBSTITUTE(SUBSTITUTE($EF28,"~","~~"),"*","~*"),"?","~?"),'DADOS_MELHORIAS'!$O$2:$X$113,10,FALSE),$EF28))</f>
        <v/>
      </c>
      <c r="KY28">
        <f>IF($EG28="","",IFERROR(VLOOKUP(SUBSTITUTE(SUBSTITUTE(SUBSTITUTE($EG28,"~","~~"),"*","~*"),"?","~?"),'DADOS_MELHORIAS'!$O$2:$X$113,10,FALSE),$EG28))</f>
        <v/>
      </c>
      <c r="KZ28">
        <f>IF($EH28="","",IFERROR(VLOOKUP(SUBSTITUTE(SUBSTITUTE(SUBSTITUTE($EH28,"~","~~"),"*","~*"),"?","~?"),'DADOS_MELHORIAS'!$O$2:$X$113,10,FALSE),$EH28))</f>
        <v/>
      </c>
      <c r="LB28">
        <f>IFERROR(INDEX('DADOS_FORMAS'!$BJ$2:$BJ$21,MATCH(SUBSTITUTE(SUBSTITUTE(SUBSTITUTE($ED28,"~","~~"),"*","~*"),"?","~?"),'DADOS_FORMAS'!$AH$2:$AH$21,0)),"")</f>
        <v/>
      </c>
      <c r="LC28">
        <f>IFERROR(VLOOKUP(SUBSTITUTE(SUBSTITUTE(SUBSTITUTE(IFERROR(INDEX('DADOS_FORMAS'!$AS$2:$AS$21,MATCH(SUBSTITUTE(SUBSTITUTE(SUBSTITUTE($ED28,"~","~~"),"*","~*"),"?","~?"),'DADOS_FORMAS'!$AH$2:$AH$21,0)),""),"~","~~"),"*","~*"),"?","~?"),'DADOS_RESTRICOES'!$M$2:$Q$54,2,FALSE),"")</f>
        <v/>
      </c>
      <c r="LD28">
        <f>$FD28</f>
        <v/>
      </c>
      <c r="LE28">
        <f>$FE28</f>
        <v/>
      </c>
      <c r="LF28">
        <f>$LC28</f>
        <v/>
      </c>
    </row>
    <row r="29">
      <c r="AO29" s="162" t="inlineStr">
        <is>
          <t>Efeito · classe 0</t>
        </is>
      </c>
      <c r="AP29" s="162" t="inlineStr">
        <is>
          <t>Fora de combate</t>
        </is>
      </c>
      <c r="AQ29" s="162" t="inlineStr">
        <is>
          <t>Fora de combate</t>
        </is>
      </c>
      <c r="AR29" s="162" t="inlineStr">
        <is>
          <t>Fora de combate</t>
        </is>
      </c>
      <c r="AS29" s="162" t="inlineStr">
        <is>
          <t>Fora de combate</t>
        </is>
      </c>
      <c r="AT29" s="162" t="inlineStr">
        <is>
          <t>Fora de combate</t>
        </is>
      </c>
      <c r="AU29" s="162" t="inlineStr">
        <is>
          <t>Fora de combate</t>
        </is>
      </c>
      <c r="AV29" s="162" t="inlineStr"/>
      <c r="AW29" s="162" t="inlineStr"/>
      <c r="AX29" s="162" t="inlineStr"/>
      <c r="AY29" s="162" t="inlineStr"/>
      <c r="AZ29" s="162" t="inlineStr"/>
      <c r="BA29" s="162" t="inlineStr"/>
      <c r="BC29" s="162" t="inlineStr">
        <is>
          <t>Surdo</t>
        </is>
      </c>
      <c r="BD29" s="162" t="inlineStr">
        <is>
          <t>Controle</t>
        </is>
      </c>
      <c r="BE29" s="164" t="n">
        <v>1</v>
      </c>
      <c r="BF29" s="164">
        <f>$BE29+3*IFERROR(VLOOKUP($BD29,'DADOS_CRIACAO'!$H$2:$K$20,3,FALSE),0)</f>
        <v/>
      </c>
      <c r="BG29" s="164">
        <f>IFERROR(VLOOKUP($BD29,'DADOS_CRIACAO'!$H$2:$K$20,4,FALSE),0)</f>
        <v/>
      </c>
      <c r="BH29" s="164" t="n">
        <v>1</v>
      </c>
      <c r="BI29" s="164">
        <f>IF($BG29=1,"",$BC29)</f>
        <v/>
      </c>
      <c r="BJ29" s="164">
        <f>IF(AND($BE29=1,$BG29=0),$BC29,"")</f>
        <v/>
      </c>
      <c r="BK29" s="164" t="n">
        <v>1</v>
      </c>
      <c r="CD29" s="162" t="inlineStr">
        <is>
          <t>Antecipar</t>
        </is>
      </c>
      <c r="CE29" s="162" t="inlineStr">
        <is>
          <t>Lapidação 4 e Inteligência 4</t>
        </is>
      </c>
      <c r="CF29" s="164" t="n">
        <v>2</v>
      </c>
      <c r="CG29" s="162" t="inlineStr">
        <is>
          <t>—</t>
        </is>
      </c>
      <c r="CH29" s="162" t="inlineStr">
        <is>
          <t>Depois de falhar num TR contra um efeito, você recebe vantagem nos próximos TRs contra esse mesmo efeito, produzido pela mesma fonte, até o fim da cena. Uma nova aplicação daquela mesma capacidade pela mesma criatura mantém o benefício. Um efeito diferente, outra criatura ou outra fonte exige sua própria falha anterior. A vantagem não refaz o TR que ativou a Bênção.</t>
        </is>
      </c>
      <c r="CI29" s="164">
        <f>IF($CL29=1,"",IF($A$2=4,IF($CJ29=1,$CD29,""),IF(OR($CJ29=1,AND($A$2=3,$CK29=1)),"",$CD29)))</f>
        <v/>
      </c>
      <c r="CJ29" s="164" t="n">
        <v>1</v>
      </c>
      <c r="CK29" s="164" t="n">
        <v>0</v>
      </c>
      <c r="CL29" s="164" t="n">
        <v>0</v>
      </c>
      <c r="CM29" s="162" t="inlineStr">
        <is>
          <t>Depois de falhar num TR contra um efeito, você recebe vantagem nos próximos TRs contra esse mesmo efeito, produzido pela mesma fonte, até o fim da cena.</t>
        </is>
      </c>
      <c r="DY29" s="162" t="inlineStr">
        <is>
          <t>Feitiço 28</t>
        </is>
      </c>
      <c r="DZ29" s="164" t="n">
        <v>0</v>
      </c>
      <c r="EA29" s="164" t="n">
        <v>28</v>
      </c>
      <c r="EB29" s="164">
        <f>MAX(1,MIN(7,N('FICHA AMALDIÇOADA'!$D$257)))</f>
        <v/>
      </c>
      <c r="EC29" s="164">
        <f>'FICHA AMALDIÇOADA'!$E$257&amp;""</f>
        <v/>
      </c>
      <c r="ED29" s="164">
        <f>'FICHA AMALDIÇOADA'!$D$264&amp;""</f>
        <v/>
      </c>
      <c r="EE29" s="164">
        <f>'FICHA AMALDIÇOADA'!$E$266&amp;""</f>
        <v/>
      </c>
      <c r="EF29" s="164">
        <f>'FICHA AMALDIÇOADA'!$E$267&amp;""</f>
        <v/>
      </c>
      <c r="EG29" s="164">
        <f>'FICHA AMALDIÇOADA'!$E$268&amp;""</f>
        <v/>
      </c>
      <c r="EH29" s="164">
        <f>'FICHA AMALDIÇOADA'!$E$269&amp;""</f>
        <v/>
      </c>
      <c r="EI29" s="164">
        <f>'FICHA AMALDIÇOADA'!$E$270&amp;""</f>
        <v/>
      </c>
      <c r="EJ29" s="164">
        <f>'FICHA AMALDIÇOADA'!$E$271&amp;""</f>
        <v/>
      </c>
      <c r="EK29" s="164">
        <f>IF($EC29&lt;&gt;"",1,0)</f>
        <v/>
      </c>
      <c r="EL29" s="164">
        <f>IFERROR(MATCH(SUBSTITUTE(SUBSTITUTE(SUBSTITUTE($ED29,"~","~~"),"*","~*"),"?","~?"),'DADOS_FORMAS'!$FJ$2:$FJ$21,0),0)</f>
        <v/>
      </c>
      <c r="EM29" s="164">
        <f>IF($EL29=0,0,INDEX('DADOS_FORMAS'!$FM$2:$FM$21,$EL29))</f>
        <v/>
      </c>
      <c r="EN29" s="164">
        <f>IFERROR(VLOOKUP(SUBSTITUTE(SUBSTITUTE(SUBSTITUTE($EE29,"~","~~"),"*","~*"),"?","~?"),'DADOS_MELHORIAS'!$O$2:$W$113,4,FALSE),0)</f>
        <v/>
      </c>
      <c r="EO29" s="164">
        <f>IFERROR(VLOOKUP(SUBSTITUTE(SUBSTITUTE(SUBSTITUTE($EF29,"~","~~"),"*","~*"),"?","~?"),'DADOS_MELHORIAS'!$O$2:$W$113,4,FALSE),0)</f>
        <v/>
      </c>
      <c r="EP29" s="164">
        <f>IFERROR(VLOOKUP(SUBSTITUTE(SUBSTITUTE(SUBSTITUTE($EG29,"~","~~"),"*","~*"),"?","~?"),'DADOS_MELHORIAS'!$O$2:$W$113,4,FALSE),0)</f>
        <v/>
      </c>
      <c r="EQ29" s="164">
        <f>IFERROR(VLOOKUP(SUBSTITUTE(SUBSTITUTE(SUBSTITUTE($EH29,"~","~~"),"*","~*"),"?","~?"),'DADOS_MELHORIAS'!$O$2:$W$113,4,FALSE),0)</f>
        <v/>
      </c>
      <c r="ER29" s="164">
        <f>IF($EL29=0,0,INDEX('DADOS_FORMAS'!$FN$2:$FN$21,$EL29))</f>
        <v/>
      </c>
      <c r="ES29" s="164">
        <f>IFERROR(VLOOKUP(SUBSTITUTE(SUBSTITUTE(SUBSTITUTE($EE29,"~","~~"),"*","~*"),"?","~?"),'DADOS_MELHORIAS'!$O$2:$W$113,5,FALSE),0)</f>
        <v/>
      </c>
      <c r="ET29" s="164">
        <f>IFERROR(VLOOKUP(SUBSTITUTE(SUBSTITUTE(SUBSTITUTE($EF29,"~","~~"),"*","~*"),"?","~?"),'DADOS_MELHORIAS'!$O$2:$W$113,5,FALSE),0)</f>
        <v/>
      </c>
      <c r="EU29" s="164">
        <f>IFERROR(VLOOKUP(SUBSTITUTE(SUBSTITUTE(SUBSTITUTE($EG29,"~","~~"),"*","~*"),"?","~?"),'DADOS_MELHORIAS'!$O$2:$W$113,5,FALSE),0)</f>
        <v/>
      </c>
      <c r="EV29" s="164">
        <f>IFERROR(VLOOKUP(SUBSTITUTE(SUBSTITUTE(SUBSTITUTE($EH29,"~","~~"),"*","~*"),"?","~?"),'DADOS_MELHORIAS'!$O$2:$W$113,5,FALSE),0)</f>
        <v/>
      </c>
      <c r="EW29" s="164">
        <f>IFERROR(VLOOKUP(SUBSTITUTE(SUBSTITUTE(SUBSTITUTE($EE29,"~","~~"),"*","~*"),"?","~?"),'DADOS_MELHORIAS'!$O$2:$W$113,6,FALSE),0)+IFERROR(VLOOKUP(SUBSTITUTE(SUBSTITUTE(SUBSTITUTE($EF29,"~","~~"),"*","~*"),"?","~?"),'DADOS_MELHORIAS'!$O$2:$W$113,6,FALSE),0)+IFERROR(VLOOKUP(SUBSTITUTE(SUBSTITUTE(SUBSTITUTE($EG29,"~","~~"),"*","~*"),"?","~?"),'DADOS_MELHORIAS'!$O$2:$W$113,6,FALSE),0)+IFERROR(VLOOKUP(SUBSTITUTE(SUBSTITUTE(SUBSTITUTE($EH29,"~","~~"),"*","~*"),"?","~?"),'DADOS_MELHORIAS'!$O$2:$W$113,6,FALSE),0)</f>
        <v/>
      </c>
      <c r="EX29" s="164">
        <f>IFERROR(VLOOKUP(SUBSTITUTE(SUBSTITUTE(SUBSTITUTE($EE29,"~","~~"),"*","~*"),"?","~?"),'DADOS_MELHORIAS'!$O$2:$W$113,9,FALSE),0)+IFERROR(VLOOKUP(SUBSTITUTE(SUBSTITUTE(SUBSTITUTE($EF29,"~","~~"),"*","~*"),"?","~?"),'DADOS_MELHORIAS'!$O$2:$W$113,9,FALSE),0)+IFERROR(VLOOKUP(SUBSTITUTE(SUBSTITUTE(SUBSTITUTE($EG29,"~","~~"),"*","~*"),"?","~?"),'DADOS_MELHORIAS'!$O$2:$W$113,9,FALSE),0)+IFERROR(VLOOKUP(SUBSTITUTE(SUBSTITUTE(SUBSTITUTE($EH29,"~","~~"),"*","~*"),"?","~?"),'DADOS_MELHORIAS'!$O$2:$W$113,9,FALSE),0)</f>
        <v/>
      </c>
      <c r="EY29" s="164">
        <f>IF($EL29=0,0,INDEX('DADOS_FORMAS'!$FO$2:$FO$21,$EL29))</f>
        <v/>
      </c>
      <c r="EZ29" s="164">
        <f>IF($EL29=0,0,INDEX('DADOS_FORMAS'!$FP$2:$FP$21,$EL29))</f>
        <v/>
      </c>
      <c r="FA29" s="164">
        <f>IF($EL29=0,0,INDEX('DADOS_FORMAS'!$FR$2:$FR$21,$EL29))</f>
        <v/>
      </c>
      <c r="FB29" s="164">
        <f>IFERROR(VLOOKUP(SUBSTITUTE(SUBSTITUTE(SUBSTITUTE($EI29,"~","~~"),"*","~*"),"?","~?"),'DADOS_RESTRICOES'!$M$2:$Q$54,3,FALSE),0)</f>
        <v/>
      </c>
      <c r="FC29" s="164">
        <f>IFERROR(VLOOKUP(SUBSTITUTE(SUBSTITUTE(SUBSTITUTE($EJ29,"~","~~"),"*","~*"),"?","~?"),'DADOS_RESTRICOES'!$M$2:$Q$54,3,FALSE),0)</f>
        <v/>
      </c>
      <c r="FD29" s="164">
        <f>IFERROR(VLOOKUP(SUBSTITUTE(SUBSTITUTE(SUBSTITUTE($EI29,"~","~~"),"*","~*"),"?","~?"),'DADOS_RESTRICOES'!$M$2:$Q$54,2,FALSE),"")</f>
        <v/>
      </c>
      <c r="FE29" s="164">
        <f>IFERROR(VLOOKUP(SUBSTITUTE(SUBSTITUTE(SUBSTITUTE($EJ29,"~","~~"),"*","~*"),"?","~?"),'DADOS_RESTRICOES'!$M$2:$Q$54,2,FALSE),"")</f>
        <v/>
      </c>
      <c r="FF29" s="164">
        <f>COUNTIF($EM29:$EQ29,1)</f>
        <v/>
      </c>
      <c r="FG29" s="164">
        <f>COUNTIF($EM29:$EQ29,2)</f>
        <v/>
      </c>
      <c r="FH29" s="164">
        <f>COUNTIF($EM29:$EQ29,3)</f>
        <v/>
      </c>
      <c r="FI29" s="164">
        <f>COUNTIF($EM29:$EQ29,4)</f>
        <v/>
      </c>
      <c r="FJ29" s="164">
        <f>COUNTIF($EM29:$EQ29,5)</f>
        <v/>
      </c>
      <c r="FK29" s="164">
        <f>COUNTIF($EM29:$EQ29,6)</f>
        <v/>
      </c>
      <c r="FL29" s="164">
        <f>COUNTIF($FB29:$FC29,1)+IF(IFERROR(INDEX('DADOS_FORMAS'!$AS$2:$AS$21,MATCH(SUBSTITUTE(SUBSTITUTE(SUBSTITUTE($ED29,"~","~~"),"*","~*"),"?","~?"),'DADOS_FORMAS'!$AH$2:$AH$21,0)),"")="",0,IFERROR(N(VLOOKUP(SUBSTITUTE(SUBSTITUTE(SUBSTITUTE(IFERROR(INDEX('DADOS_FORMAS'!$AS$2:$AS$21,MATCH(SUBSTITUTE(SUBSTITUTE(SUBSTITUTE($ED29,"~","~~"),"*","~*"),"?","~?"),'DADOS_FORMAS'!$AH$2:$AH$21,0)),""),"~","~~"),"*","~*"),"?","~?"),'DADOS_RESTRICOES'!$M$2:$Q$54,3,FALSE)=1),0))</f>
        <v/>
      </c>
      <c r="FM29" s="164">
        <f>COUNTIF($FB29:$FC29,2)+IF(IFERROR(INDEX('DADOS_FORMAS'!$AS$2:$AS$21,MATCH(SUBSTITUTE(SUBSTITUTE(SUBSTITUTE($ED29,"~","~~"),"*","~*"),"?","~?"),'DADOS_FORMAS'!$AH$2:$AH$21,0)),"")="",0,IFERROR(N(VLOOKUP(SUBSTITUTE(SUBSTITUTE(SUBSTITUTE(IFERROR(INDEX('DADOS_FORMAS'!$AS$2:$AS$21,MATCH(SUBSTITUTE(SUBSTITUTE(SUBSTITUTE($ED29,"~","~~"),"*","~*"),"?","~?"),'DADOS_FORMAS'!$AH$2:$AH$21,0)),""),"~","~~"),"*","~*"),"?","~?"),'DADOS_RESTRICOES'!$M$2:$Q$54,3,FALSE)=2),0))</f>
        <v/>
      </c>
      <c r="FN29" s="164">
        <f>COUNTIF($EE29:$EH29,"?*")</f>
        <v/>
      </c>
      <c r="FO29" s="164">
        <f>COUNTIF($EI29:$EJ29,"?*")+$EY29</f>
        <v/>
      </c>
      <c r="FP29" s="164">
        <f>SUMPRODUCT($FF29:$FK29,INDEX($Q$2:$V$8,$EB29,0))</f>
        <v/>
      </c>
      <c r="FQ29" s="164">
        <f>$FL29*CEILING($EB29/2,1)+$FM29*$EB29</f>
        <v/>
      </c>
      <c r="FR29" s="164">
        <f>MIN(2*$EB29,$FQ29)</f>
        <v/>
      </c>
      <c r="FS29" s="164">
        <f>MIN($FR29,$FP29-IF($EM29=0,0,INDEX($Q$2:$V$8,$EB29,$EM29)))</f>
        <v/>
      </c>
      <c r="FT29" s="164">
        <f>$FR29-$FS29</f>
        <v/>
      </c>
      <c r="FU29" s="164">
        <f>3*$EB29-$FP29+$FS29</f>
        <v/>
      </c>
      <c r="FV29" s="164">
        <f>MAX(0,$FU29)+$DZ29*$EB29</f>
        <v/>
      </c>
      <c r="FW29" s="164">
        <f>(IF(COUNTIF($KW29:$KZ29,"Salto")&gt;0,1,0)+IF(COUNTIF($KW29:$KZ29,"Queima")&gt;0,1,0)+IF(COUNTIF($KW29:$KZ29,"Estilhaço")&gt;0,1,0))*FLOOR($FV29/2,1)</f>
        <v/>
      </c>
      <c r="FX29" s="164">
        <f>MAX(0,3-SUMPRODUCT($FF29:$FK29,$Q$2:$V$2)+MIN(2,$FL29*1+$FM29*1,SUMPRODUCT($FF29:$FK29,$Q$2:$V$2)-IF($EM29=0,0,INDEX($Q$2:$V$2,1,$EM29))))+$DZ29*1</f>
        <v/>
      </c>
      <c r="FY29" s="164">
        <f>MAX(0,6-SUMPRODUCT($FF29:$FK29,$Q$3:$V$3)+MIN(4,$FL29*1+$FM29*2,SUMPRODUCT($FF29:$FK29,$Q$3:$V$3)-IF($EM29=0,0,INDEX($Q$3:$V$3,1,$EM29))))+$DZ29*2</f>
        <v/>
      </c>
      <c r="FZ29" s="164">
        <f>MAX(0,9-SUMPRODUCT($FF29:$FK29,$Q$4:$V$4)+MIN(6,$FL29*2+$FM29*3,SUMPRODUCT($FF29:$FK29,$Q$4:$V$4)-IF($EM29=0,0,INDEX($Q$4:$V$4,1,$EM29))))+$DZ29*3</f>
        <v/>
      </c>
      <c r="GA29" s="164">
        <f>MAX(0,12-SUMPRODUCT($FF29:$FK29,$Q$5:$V$5)+MIN(8,$FL29*2+$FM29*4,SUMPRODUCT($FF29:$FK29,$Q$5:$V$5)-IF($EM29=0,0,INDEX($Q$5:$V$5,1,$EM29))))+$DZ29*4</f>
        <v/>
      </c>
      <c r="GB29" s="164">
        <f>MAX(0,15-SUMPRODUCT($FF29:$FK29,$Q$6:$V$6)+MIN(10,$FL29*3+$FM29*5,SUMPRODUCT($FF29:$FK29,$Q$6:$V$6)-IF($EM29=0,0,INDEX($Q$6:$V$6,1,$EM29))))+$DZ29*5</f>
        <v/>
      </c>
      <c r="GC29" s="164">
        <f>MAX(0,18-SUMPRODUCT($FF29:$FK29,$Q$7:$V$7)+MIN(12,$FL29*3+$FM29*6,SUMPRODUCT($FF29:$FK29,$Q$7:$V$7)-IF($EM29=0,0,INDEX($Q$7:$V$7,1,$EM29))))+$DZ29*6</f>
        <v/>
      </c>
      <c r="GD29" s="164">
        <f>MAX(0,21-SUMPRODUCT($FF29:$FK29,$Q$8:$V$8)+MIN(14,$FL29*4+$FM29*7,SUMPRODUCT($FF29:$FK29,$Q$8:$V$8)-IF($EM29=0,0,INDEX($Q$8:$V$8,1,$EM29))))+$DZ29*7</f>
        <v/>
      </c>
      <c r="GE29" s="164">
        <f>IF($EZ29=2,3*$FX29&amp;" de vida temp.",IF($EZ29=3,"sem dano",IF($FX29=0,IF($EZ29=1,"sem cura","sem dano"),IF($EZ29=1,"cura ","")&amp;$FX29&amp;"d8")))</f>
        <v/>
      </c>
      <c r="GF29" s="164">
        <f>IF($EZ29=2,3*$FY29&amp;" de vida temp.",IF($EZ29=3,"sem dano",IF($FY29=0,IF($EZ29=1,"sem cura","sem dano"),IF($EZ29=1,"cura ","")&amp;$FY29&amp;"d8")))</f>
        <v/>
      </c>
      <c r="GG29" s="164">
        <f>IF($EZ29=2,3*$FZ29&amp;" de vida temp.",IF($EZ29=3,"sem dano",IF($FZ29=0,IF($EZ29=1,"sem cura","sem dano"),IF($EZ29=1,"cura ","")&amp;$FZ29&amp;"d8")))</f>
        <v/>
      </c>
      <c r="GH29" s="164">
        <f>IF($EZ29=2,3*$GA29&amp;" de vida temp.",IF($EZ29=3,"sem dano",IF($GA29=0,IF($EZ29=1,"sem cura","sem dano"),IF($EZ29=1,"cura ","")&amp;$GA29&amp;"d8")))</f>
        <v/>
      </c>
      <c r="GI29" s="164">
        <f>IF($EZ29=2,3*$GB29&amp;" de vida temp.",IF($EZ29=3,"sem dano",IF($GB29=0,IF($EZ29=1,"sem cura","sem dano"),IF($EZ29=1,"cura ","")&amp;$GB29&amp;"d8")))</f>
        <v/>
      </c>
      <c r="GJ29" s="164">
        <f>IF($EZ29=2,3*$GC29&amp;" de vida temp.",IF($EZ29=3,"sem dano",IF($GC29=0,IF($EZ29=1,"sem cura","sem dano"),IF($EZ29=1,"cura ","")&amp;$GC29&amp;"d8")))</f>
        <v/>
      </c>
      <c r="GK29" s="164">
        <f>IF($EZ29=2,3*$GD29&amp;" de vida temp.",IF($EZ29=3,"sem dano",IF($GD29=0,IF($EZ29=1,"sem cura","sem dano"),IF($EZ29=1,"cura ","")&amp;$GD29&amp;"d8")))</f>
        <v/>
      </c>
      <c r="GL29" s="164">
        <f>IF($EK29=0,"",TEXTJOIN(" · ",TRUE,IF($EK29=0,"",TEXTJOIN(" · ",TRUE,IF($EK29=0,"",TEXTJOIN(" · ",TRUE,IF(AND($DZ29=1,$EA29&gt;$HM$9),"O nível "&amp;$HM$2&amp;" dá "&amp;$HM$9&amp;" Liberação Máxima",""),IF($EB29&gt;$HM$4,"Classe "&amp;$EB29&amp;": o nível "&amp;$HM$2&amp;" libera até a "&amp;$HM$4,""),IF($ER29=1,"Família Fechada: a Forma "&amp;$ED29,""),IF($ES29=1,"Família Fechada: "&amp;$EE29,""),IF($ET29=1,"Família Fechada: "&amp;$EF29,""),IF($EU29=1,"Família Fechada: "&amp;$EG29,""),IF($EV29=1,"Família Fechada: "&amp;$EH29,""),IF($FN29&gt;INDEX($W$2:$W$8,$EB29),$FN29&amp;" Melhorias: a Classe "&amp;$EB29&amp;" aceita "&amp;INDEX($W$2:$W$8,$EB29),""),IF($FO29&gt;2,$FO29&amp;" Restrições"&amp;IF($EY29=1,", contando a que a Forma "&amp;$ED29&amp;" já traz","")&amp;": o limite é 2",""),IF($FU29&lt;0,"Orçamento estourado: faltam "&amp;(-$FU29)&amp;IF($FU29&lt;-1," pontos"," ponto"),""),IF(IFERROR(VLOOKUP(SUBSTITUTE(SUBSTITUTE(SUBSTITUTE($EI29,"~","~~"),"*","~*"),"?","~?"),'DADOS_RESTRICOES'!$M$2:$Q$54,4,FALSE),0)+IFERROR(VLOOKUP(SUBSTITUTE(SUBSTITUTE(SUBSTITUTE($EJ29,"~","~~"),"*","~*"),"?","~?"),'DADOS_RESTRICOES'!$M$2:$Q$54,4,FALSE),0)&gt;1,$FD29&amp;" e "&amp;$FE29&amp;" são as duas de frequência",""),IF(AND((COUNTIF($KW29:$KZ29,"Rápido")+COUNTIF($FD29:$FE29,"Rápido"))&gt;0,(COUNTIF($EE29:$EH29,"Atrasar")+COUNTIF($FD29:$FE29,"Atrasar"))&gt;0),"Rápido não entra com Atrasar",""),IF(AND((COUNTIF($KW29:$KZ29,"Reação")+COUNTIF($FD29:$FE29,"Reação"))&gt;0,(COUNTIF($KW29:$KZ29,"Rápido")+COUNTIF($FD29:$FE29,"Rápido"))&gt;0),"Reação não entra com Rápido",""),IF(AND((COUNTIF($KW29:$KZ29,"Reação")+COUNTIF($FD29:$FE29,"Reação"))&gt;0,(COUNTIF($KW29:$KZ29,"Armado")+COUNTIF($FD29:$FE29,"Armado"))&gt;0),"Reação não entra com Armado",""),IF(AND((COUNTIF($KW29:$KZ29,"Reação")+COUNTIF($FD29:$FE29,"Reação"))&gt;0,(COUNTIF($EE29:$EH29,"Atrasar")+COUNTIF($FD29:$FE29,"Atrasar"))&gt;0),"Reação não entra com Atrasar",""),IF(AND((COUNTIF($KW29:$KZ29,"Reação")+COUNTIF($FD29:$FE29,"Reação"))&gt;0,(COUNTIF($EE29:$EH29,"Parado")+COUNTIF($FD29:$FE29,"Parado"))&gt;0),"Reação não entra com Parado",""),IF(AND((COUNTIF($EE29:$EH29,"Atrasar")+COUNTIF($FD29:$FE29,"Atrasar"))&gt;0,(COUNTIF($EE29:$EH29,"Parado")+COUNTIF($FD29:$FE29,"Parado"))&gt;0),"Atrasar não entra com Parado",""),IF(AND((COUNTIF($KW29:$KZ29,"Armado")+COUNTIF($FD29:$FE29,"Armado"))&gt;0,(COUNTIF($EE29:$EH29,"Carregar")+COUNTIF($FD29:$FE29,"Carregar"))&gt;0),"Armado não entra com Carregar",""),IF(AND(COUNTIF($FD29:$FE29,"Corpo a Corpo")&gt;0,$EY29=0,OR($LB29="Cone",$LB29="Linha")),"Corpo a Corpo não entra em "&amp;$ED29,""),IF(AND(COUNTIF($FD29:$FE29,"Corpo a Corpo")&gt;0,$LC29="Corpo a Corpo"),"A Forma "&amp;$ED29&amp;" já traz o Corpo a Corpo",""),IF(AND(COUNTIF($FD29:$FE29,"Tudo ou Nada")&gt;0,$FA29=0),"Tudo ou Nada só entra em feitiço de Teste de Resistência",""),IF(AND(COUNTIF($KW29:$KZ29,"Inescapável")&gt;0,OR($FN29&gt;1,$FO29&gt;0)),"Inescapável não aceita outra peça",""),IF(AND($DZ29=1,$EB29&lt;3),"Liberação Máxima é de Classe 3 ou mais",""),IF(AND($DZ29=1,OR($EZ29=1,$EZ29=2)),"Liberação Máxima não serve para cura",""),IF(AND($DZ29=1,COUNTIF($KW29:$KZ29,"Inescapável")+COUNTIF($KW29:$KZ29,"Toca a Alma")&gt;0),"Esta peça não entra numa Liberação Máxima",""),IF($FV29*IF(COUNTIF($KW29:$KZ29,"Remate")&gt;0,1.25,1)+$FW29&gt;4*$EB29,($FV29*IF(COUNTIF($KW29:$KZ29,"Remate")&gt;0,1.25,1)+$FW29)&amp;" dados somando repetições"&amp;IF(COUNTIF($KW29:$KZ29,"Remate")&gt;0," e o Remate","")&amp;": o teto da Classe "&amp;$EB29&amp;" é "&amp;4*$EB29,""))),IF(AND($EE29&lt;&gt;"",COUNTIF('DADOS_MELHORIAS'!$O$2:$O$113,SUBSTITUTE(SUBSTITUTE(SUBSTITUTE($EE29,"~","~~"),"*","~*"),"?","~?"))=0),"Melhoria não cadastrada ou com erro: "&amp;$EE29,""),IF(AND($EF29&lt;&gt;"",COUNTIF('DADOS_MELHORIAS'!$O$2:$O$113,SUBSTITUTE(SUBSTITUTE(SUBSTITUTE($EF29,"~","~~"),"*","~*"),"?","~?"))=0),"Melhoria não cadastrada ou com erro: "&amp;$EF29,""),IF(AND($EG29&lt;&gt;"",COUNTIF('DADOS_MELHORIAS'!$O$2:$O$113,SUBSTITUTE(SUBSTITUTE(SUBSTITUTE($EG29,"~","~~"),"*","~*"),"?","~?"))=0),"Melhoria não cadastrada ou com erro: "&amp;$EG29,""),IF(AND($EH29&lt;&gt;"",COUNTIF('DADOS_MELHORIAS'!$O$2:$O$113,SUBSTITUTE(SUBSTITUTE(SUBSTITUTE($EH29,"~","~~"),"*","~*"),"?","~?"))=0),"Melhoria não cadastrada ou com erro: "&amp;$EH29,""),IF(AND($EI29&lt;&gt;"",COUNTIF('DADOS_RESTRICOES'!$M$2:$M$54,SUBSTITUTE(SUBSTITUTE(SUBSTITUTE($EI29,"~","~~"),"*","~*"),"?","~?"))=0),"Restrição não cadastrada ou com erro: "&amp;$EI29,""),IF(AND($EJ29&lt;&gt;"",COUNTIF('DADOS_RESTRICOES'!$M$2:$M$54,SUBSTITUTE(SUBSTITUTE(SUBSTITUTE($EJ29,"~","~~"),"*","~*"),"?","~?"))=0),"Restrição não cadastrada ou com erro: "&amp;$EJ29,""))),IF(AND($ED29&lt;&gt;"",COUNTIF('DADOS_FORMAS'!$AH$2:$AH$21,SUBSTITUTE(SUBSTITUTE(SUBSTITUTE($ED29,"~","~~"),"*","~*"),"?","~?"))=0),"Forma não cadastrada ou com erro: "&amp;$ED29,""),IF(AND(IFERROR(INDEX('DADOS_FORMAS'!$AS$2:$AS$21,MATCH(SUBSTITUTE(SUBSTITUTE(SUBSTITUTE($ED29,"~","~~"),"*","~*"),"?","~?"),'DADOS_FORMAS'!$AH$2:$AH$21,0)),"")&lt;&gt;"",OR(IFERROR(VLOOKUP(SUBSTITUTE(SUBSTITUTE(SUBSTITUTE(IFERROR(INDEX('DADOS_FORMAS'!$AS$2:$AS$21,MATCH(SUBSTITUTE(SUBSTITUTE(SUBSTITUTE($ED29,"~","~~"),"*","~*"),"?","~?"),'DADOS_FORMAS'!$AH$2:$AH$21,0)),""),"~","~~"),"*","~*"),"?","~?"),'DADOS_RESTRICOES'!$M$2:$Q$54,2,FALSE),"")=$FD29,IFERROR(VLOOKUP(SUBSTITUTE(SUBSTITUTE(SUBSTITUTE(IFERROR(INDEX('DADOS_FORMAS'!$AS$2:$AS$21,MATCH(SUBSTITUTE(SUBSTITUTE(SUBSTITUTE($ED29,"~","~~"),"*","~*"),"?","~?"),'DADOS_FORMAS'!$AH$2:$AH$21,0)),""),"~","~~"),"*","~*"),"?","~?"),'DADOS_RESTRICOES'!$M$2:$Q$54,2,FALSE),"")=$FE29)),"Restrição repetida, contando a embutida",""),IF(IF(IFERROR(INDEX('DADOS_FORMAS'!$AS$2:$AS$21,MATCH(SUBSTITUTE(SUBSTITUTE(SUBSTITUTE($ED29,"~","~~"),"*","~*"),"?","~?"),'DADOS_FORMAS'!$AH$2:$AH$21,0)),"")="",0,IFERROR(N(VLOOKUP(SUBSTITUTE(SUBSTITUTE(SUBSTITUTE(IFERROR(INDEX('DADOS_FORMAS'!$AS$2:$AS$21,MATCH(SUBSTITUTE(SUBSTITUTE(SUBSTITUTE($ED29,"~","~~"),"*","~*"),"?","~?"),'DADOS_FORMAS'!$AH$2:$AH$21,0)),""),"~","~~"),"*","~*"),"?","~?"),'DADOS_RESTRICOES'!$M$2:$Q$54,4,FALSE)=1),0))+IF($EI29="",0,IFERROR(N(VLOOKUP(SUBSTITUTE(SUBSTITUTE(SUBSTITUTE($EI29,"~","~~"),"*","~*"),"?","~?"),'DADOS_RESTRICOES'!$M$2:$Q$54,4,FALSE)=1),0))+IF($EJ29="",0,IFERROR(N(VLOOKUP(SUBSTITUTE(SUBSTITUTE(SUBSTITUTE($EJ29,"~","~~"),"*","~*"),"?","~?"),'DADOS_RESTRICOES'!$M$2:$Q$54,4,FALSE)=1),0))&gt;1,"Duas Restrições de frequência, contando a embutida",""),IF(AND(IFERROR(VLOOKUP(SUBSTITUTE(SUBSTITUTE(SUBSTITUTE(IFERROR(INDEX('DADOS_FORMAS'!$AS$2:$AS$21,MATCH(SUBSTITUTE(SUBSTITUTE(SUBSTITUTE($ED29,"~","~~"),"*","~*"),"?","~?"),'DADOS_FORMAS'!$AH$2:$AH$21,0)),""),"~","~~"),"*","~*"),"?","~?"),'DADOS_RESTRICOES'!$M$2:$Q$54,2,FALSE),"")="Tudo ou Nada",$FA29=0),"Tudo ou Nada exige TR",""),IF(AND(IFERROR(VLOOKUP(SUBSTITUTE(SUBSTITUTE(SUBSTITUTE(IFERROR(INDEX('DADOS_FORMAS'!$AS$2:$AS$21,MATCH(SUBSTITUTE(SUBSTITUTE(SUBSTITUTE($ED29,"~","~~"),"*","~*"),"?","~?"),'DADOS_FORMAS'!$AH$2:$AH$21,0)),""),"~","~~"),"*","~*"),"?","~?"),'DADOS_RESTRICOES'!$M$2:$Q$54,2,FALSE),"")="Corpo a Corpo",OR($LB29="Cone",$LB29="Linha")),"Corpo a Corpo não entra em Cone/Linha","")))</f>
        <v/>
      </c>
      <c r="GM29" s="164">
        <f>IF($GL29="",0,(LEN($GL29)-LEN(SUBSTITUTE($GL29," · ","")))/3+1)</f>
        <v/>
      </c>
      <c r="GN29" s="164">
        <f>IF($EK29=0,"",TEXTJOIN(" · ",TRUE,IF($FQ29&gt;2*$EB29,"A devolução parou no teto de "&amp;2*$EB29,""),IF($FT29&gt;0,"Devolução perdida: "&amp;$FT29&amp;IF($FT29&gt;1," pontos"," ponto")&amp;" sem Melhoria para pagar",""),IF(AND($EW29&gt;0,$FV29=0),"Controle sem dano: uma rodada a mais e CD +2",""),IF(AND($EW29&gt;0,$FV29&gt;0,$FV29&lt;=$EB29),"Controle com saldo até a Classe: uma rodada a mais","")))</f>
        <v/>
      </c>
      <c r="GO29" s="164">
        <f>IF($GN29="",0,(LEN($GN29)-LEN(SUBSTITUTE($GN29," · ","")))/3+1)</f>
        <v/>
      </c>
      <c r="GP29" s="164">
        <f>IF($EK29=0,IF($FN29+$FO29-$EY29&gt;0,"Dê um nome",""),IF($GM29&gt;0,"⚠ "&amp;$GM29&amp;IF($GM29&gt;1," erros"," erro"),IF($GO29&gt;0,"! "&amp;$GO29&amp;IF($GO29&gt;1," avisos"," aviso"),"Na regra")))</f>
        <v/>
      </c>
      <c r="GQ29" s="164">
        <f>IF($EK29=0,"",IF($GM29+$GO29=0,"Dentro das regras que a ficha confere",$GL29&amp;IF(AND($GM29&gt;0,$GO29&gt;0)," · ","")&amp;$GN29))</f>
        <v/>
      </c>
      <c r="GR29" s="164">
        <f>IF($EK29=0,"",IF($DZ29=1,CEILING(4.5*$EB29,1),3*$EB29)&amp;" PE")</f>
        <v/>
      </c>
      <c r="GS29" s="164">
        <f>IF($EK29=0,"",IF($DZ29=1,"Rodada inteira",IF(COUNTIF($LD29:$LF29,"Atrasar")&gt;0,IF(COUNTIF($LD29:$LF29,"Carregar")&gt;0,"Rodada +1 turno","Rodada inteira"),IF(COUNTIF($KW29:$KZ29,"Rápido")&gt;0,"Bônus",IF(COUNTIF($KW29:$KZ29,"Reação")&gt;0,"Reação","Padrão"))&amp;IF(COUNTIF($LD29:$LF29,"Carregar")&gt;0," +1 turno",""))))</f>
        <v/>
      </c>
      <c r="GT29" s="164">
        <f>IF(OR($EK29=0,$EL29=0),"",IF(COUNTIF($KW29:$KZ29,"Inescapável")&gt;0,"Automático",IF(COUNTIF($KW29:$KZ29,"Certeiro")&gt;0,"TR para metade",IF(AND($EX29&gt;0,$FA29=0,INDEX('DADOS_FORMAS'!$FQ$2:$FQ$21,$EL29)="Acerto"),"Acerto + TR",INDEX('DADOS_FORMAS'!$FQ$2:$FQ$21,$EL29)))))</f>
        <v/>
      </c>
      <c r="GU29" s="164">
        <f>IF(OR($EK29=0,$EL29=0),"",IF(OR($EZ29&gt;=2,$FV29=0),UPPER(LEFT(INDEX($GE29:$GK29,1,$EB29),1))&amp;MID(INDEX($GE29:$GK29,1,$EB29),2,99),UPPER(LEFT(INDEX($GE29:$GK29,1,$EB29),1))&amp;MID(INDEX($GE29:$GK29,1,$EB29),2,99)&amp;" = "&amp;FLOOR($FV29*4.5,1)&amp;IF($FW29&gt;0," · +"&amp;$FW29&amp;"d8","")))</f>
        <v/>
      </c>
      <c r="GV29" s="164">
        <f>COUNTIF($KW29:$KZ29,"Longe")+3*COUNTIF($KW29:$KZ29,"Muito Longe")</f>
        <v/>
      </c>
      <c r="GW29" s="164">
        <f>COUNTIF($KW29:$KZ29,"Maior")+3*COUNTIF($KW29:$KZ29,"Muito Maior")</f>
        <v/>
      </c>
      <c r="GX29" s="164">
        <f>IF($EL29=0,0,CHOOSE(1+INDEX('DADOS_FORMAS'!$FS$2:$FS$21,$EL29),0,$GV29,$GW29,$GV29+$GW29))</f>
        <v/>
      </c>
      <c r="GY29" s="164">
        <f>IF($EL29=0,0,CHOOSE(1+INDEX('DADOS_FORMAS'!$FT$2:$FT$21,$EL29),0,$GV29,$GW29,$GV29+$GW29))</f>
        <v/>
      </c>
      <c r="GZ29" s="164">
        <f>IF(OR($EK29=0,$EL29=0),"",INDEX('DADOS_FORMAS'!$GZ$2:$HE$61,($EL29-1)*3+IF($EB29&gt;=6,3,2),1+MIN(5,$GX29))&amp;INDEX('DADOS_FORMAS'!$HF$2:$HK$61,($EL29-1)*3+IF($EB29&gt;=6,3,2),1+MIN(5,$GY29))&amp;IF(INDEX('DADOS_FORMAS'!$FU$2:$FU$21,$EL29)=1,IF(COUNTIF($KW29:$KZ29,"Mais Um")&gt;0," · +"&amp;COUNTIF($KW29:$KZ29,"Mais Um")&amp;IF(COUNTIF($KW29:$KZ29,"Mais Um")&gt;1," alvos"," alvo"),"")&amp;IF(COUNTIF($KW29:$KZ29,"Rajada")&gt;0," · "&amp;($EB29+1)&amp;" tiros",""),""))</f>
        <v/>
      </c>
      <c r="HA29" s="164">
        <f>IF($EK29=0,"",3*$EB29&amp;" − "&amp;$FP29&amp;" + "&amp;$FS29&amp;IF($DZ29=1," + "&amp;$EB29,"")&amp;" = "&amp;$FV29&amp;"d8 · teto "&amp;4*$EB29&amp;IF($EY29=1," · a Forma devolve "&amp;$EB29,"")&amp;IF($FT29&gt;0," · perde "&amp;$FT29,""))</f>
        <v/>
      </c>
      <c r="HB29" s="164">
        <f>IF($EK29=0,"",IF($EB29&gt;=$HM$4,"Já está na maior Classe que o nível liberou",TEXTJOIN(" · ",TRUE,IF(AND(2&gt;$EB29,2&lt;=$HM$4),"2 → "&amp;$GF29&amp;", "&amp;IF($DZ29=1,9,6)&amp;" PE",""),IF(AND(3&gt;$EB29,3&lt;=$HM$4),"3 → "&amp;$GG29&amp;", "&amp;IF($DZ29=1,14,9)&amp;" PE",""),IF(AND(4&gt;$EB29,4&lt;=$HM$4),"4 → "&amp;$GH29&amp;", "&amp;IF($DZ29=1,18,12)&amp;" PE",""),IF(AND(5&gt;$EB29,5&lt;=$HM$4),"5 → "&amp;$GI29&amp;", "&amp;IF($DZ29=1,23,15)&amp;" PE",""),IF(AND(6&gt;$EB29,6&lt;=$HM$4),"6 → "&amp;$GJ29&amp;", "&amp;IF($DZ29=1,27,18)&amp;" PE",""),IF(AND(7&gt;$EB29,7&lt;=$HM$4),"7 → "&amp;$GK29&amp;", "&amp;IF($DZ29=1,32,21)&amp;" PE",""))))</f>
        <v/>
      </c>
      <c r="HC29" s="164">
        <f>IF(OR($EK29=0,$EN29=0),"","−"&amp;INDEX($Q$2:$V$8,$EB29,$EN29)&amp;" · "&amp;CHOOSE($EN29,"Leve","Média","Pesada","Leve · Livre","Média · Livre","Pesada · Livre"))</f>
        <v/>
      </c>
      <c r="HD29" s="164">
        <f>IF(OR($EK29=0,$EO29=0),"","−"&amp;INDEX($Q$2:$V$8,$EB29,$EO29)&amp;" · "&amp;CHOOSE($EO29,"Leve","Média","Pesada","Leve · Livre","Média · Livre","Pesada · Livre"))</f>
        <v/>
      </c>
      <c r="HE29" s="164">
        <f>IF(OR($EK29=0,$EP29=0),"","−"&amp;INDEX($Q$2:$V$8,$EB29,$EP29)&amp;" · "&amp;CHOOSE($EP29,"Leve","Média","Pesada","Leve · Livre","Média · Livre","Pesada · Livre"))</f>
        <v/>
      </c>
      <c r="HF29" s="164">
        <f>IF(OR($EK29=0,$EQ29=0),"","−"&amp;INDEX($Q$2:$V$8,$EB29,$EQ29)&amp;" · "&amp;CHOOSE($EQ29,"Leve","Média","Pesada","Leve · Livre","Média · Livre","Pesada · Livre"))</f>
        <v/>
      </c>
      <c r="HG29" s="164">
        <f>IF(OR($EK29=0,$EI29=""),"","+"&amp;IF($FB29=1,CEILING($EB29/2,1),$EB29))</f>
        <v/>
      </c>
      <c r="HH29" s="164">
        <f>IF(OR($EK29=0,$EJ29=""),"","+"&amp;IF($FC29=1,CEILING($EB29/2,1),$EB29))</f>
        <v/>
      </c>
      <c r="HI29" s="164">
        <f>'FICHA AMALDIÇOADA'!$D$259&amp;""</f>
        <v/>
      </c>
      <c r="HJ29" s="164">
        <f>IF(AND($EK29=1,$DZ29=0),COUNTIFS($EK$2:$EK29,1,$DZ$2:$DZ29,0),"")</f>
        <v/>
      </c>
      <c r="HL29" s="162" t="inlineStr">
        <is>
          <t>teto de pactos</t>
        </is>
      </c>
      <c r="HM29" s="164">
        <f>FLOOR($HM$7/2,1)</f>
        <v/>
      </c>
      <c r="JH29" s="164" t="n">
        <v>28</v>
      </c>
      <c r="JI29" s="164">
        <f>IFERROR(MATCH(28,$HJ$2:$HJ$37,0),0)</f>
        <v/>
      </c>
      <c r="JJ29" s="164">
        <f>IF($JI29=0,"",INDEX($EB$2:$EB$37,$JI29))</f>
        <v/>
      </c>
      <c r="JK29" s="164">
        <f>IF($JI29=0,"",INDEX($EC$2:$EC$37,$JI29))</f>
        <v/>
      </c>
      <c r="JL29" s="164">
        <f>IF($JI29=0,"",INDEX($GR$2:$GR$37,$JI29))</f>
        <v/>
      </c>
      <c r="JM29" s="164">
        <f>IF($JI29=0,"",INDEX($ED$2:$ED$37,$JI29))</f>
        <v/>
      </c>
      <c r="JN29" s="164">
        <f>IF($JI29=0,"",INDEX($GT$2:$GT$37,$JI29))</f>
        <v/>
      </c>
      <c r="JO29" s="164">
        <f>IF($JI29=0,"",INDEX($HI$2:$HI$37,$JI29))</f>
        <v/>
      </c>
      <c r="KU29" s="162" t="inlineStr">
        <is>
          <t>K59</t>
        </is>
      </c>
      <c r="KV29" s="164">
        <f>2*DADOS_AM!$HM$30</f>
        <v/>
      </c>
      <c r="KW29">
        <f>IF($EE29="","",IFERROR(VLOOKUP(SUBSTITUTE(SUBSTITUTE(SUBSTITUTE($EE29,"~","~~"),"*","~*"),"?","~?"),'DADOS_MELHORIAS'!$O$2:$X$113,10,FALSE),$EE29))</f>
        <v/>
      </c>
      <c r="KX29">
        <f>IF($EF29="","",IFERROR(VLOOKUP(SUBSTITUTE(SUBSTITUTE(SUBSTITUTE($EF29,"~","~~"),"*","~*"),"?","~?"),'DADOS_MELHORIAS'!$O$2:$X$113,10,FALSE),$EF29))</f>
        <v/>
      </c>
      <c r="KY29">
        <f>IF($EG29="","",IFERROR(VLOOKUP(SUBSTITUTE(SUBSTITUTE(SUBSTITUTE($EG29,"~","~~"),"*","~*"),"?","~?"),'DADOS_MELHORIAS'!$O$2:$X$113,10,FALSE),$EG29))</f>
        <v/>
      </c>
      <c r="KZ29">
        <f>IF($EH29="","",IFERROR(VLOOKUP(SUBSTITUTE(SUBSTITUTE(SUBSTITUTE($EH29,"~","~~"),"*","~*"),"?","~?"),'DADOS_MELHORIAS'!$O$2:$X$113,10,FALSE),$EH29))</f>
        <v/>
      </c>
      <c r="LB29">
        <f>IFERROR(INDEX('DADOS_FORMAS'!$BJ$2:$BJ$21,MATCH(SUBSTITUTE(SUBSTITUTE(SUBSTITUTE($ED29,"~","~~"),"*","~*"),"?","~?"),'DADOS_FORMAS'!$AH$2:$AH$21,0)),"")</f>
        <v/>
      </c>
      <c r="LC29">
        <f>IFERROR(VLOOKUP(SUBSTITUTE(SUBSTITUTE(SUBSTITUTE(IFERROR(INDEX('DADOS_FORMAS'!$AS$2:$AS$21,MATCH(SUBSTITUTE(SUBSTITUTE(SUBSTITUTE($ED29,"~","~~"),"*","~*"),"?","~?"),'DADOS_FORMAS'!$AH$2:$AH$21,0)),""),"~","~~"),"*","~*"),"?","~?"),'DADOS_RESTRICOES'!$M$2:$Q$54,2,FALSE),"")</f>
        <v/>
      </c>
      <c r="LD29">
        <f>$FD29</f>
        <v/>
      </c>
      <c r="LE29">
        <f>$FE29</f>
        <v/>
      </c>
      <c r="LF29">
        <f>$LC29</f>
        <v/>
      </c>
    </row>
    <row r="30">
      <c r="AO30" s="162" t="inlineStr">
        <is>
          <t>Efeito · classes 1 a 5</t>
        </is>
      </c>
      <c r="AP30" s="162" t="inlineStr">
        <is>
          <t>Fora de combate</t>
        </is>
      </c>
      <c r="AQ30" s="162" t="inlineStr">
        <is>
          <t>Fora de combate</t>
        </is>
      </c>
      <c r="AR30" s="162" t="inlineStr">
        <is>
          <t>Fora de combate</t>
        </is>
      </c>
      <c r="AS30" s="162" t="inlineStr">
        <is>
          <t>Fora de combate</t>
        </is>
      </c>
      <c r="AT30" s="162" t="inlineStr">
        <is>
          <t>Fora de combate</t>
        </is>
      </c>
      <c r="AU30" s="162" t="inlineStr">
        <is>
          <t>Fora de combate</t>
        </is>
      </c>
      <c r="AV30" s="162" t="inlineStr"/>
      <c r="AW30" s="162" t="inlineStr"/>
      <c r="AX30" s="162" t="inlineStr"/>
      <c r="AY30" s="162" t="inlineStr"/>
      <c r="AZ30" s="162" t="inlineStr"/>
      <c r="BA30" s="162" t="inlineStr"/>
      <c r="BC30" s="162" t="inlineStr">
        <is>
          <t>Calado</t>
        </is>
      </c>
      <c r="BD30" s="162" t="inlineStr">
        <is>
          <t>Controle</t>
        </is>
      </c>
      <c r="BE30" s="164" t="n">
        <v>2</v>
      </c>
      <c r="BF30" s="164">
        <f>$BE30+3*IFERROR(VLOOKUP($BD30,'DADOS_CRIACAO'!$H$2:$K$20,3,FALSE),0)</f>
        <v/>
      </c>
      <c r="BG30" s="164">
        <f>IFERROR(VLOOKUP($BD30,'DADOS_CRIACAO'!$H$2:$K$20,4,FALSE),0)</f>
        <v/>
      </c>
      <c r="BH30" s="164" t="n">
        <v>1</v>
      </c>
      <c r="BI30" s="164">
        <f>IF($BG30=1,"",$BC30)</f>
        <v/>
      </c>
      <c r="BJ30" s="164">
        <f>IF(AND($BE30=1,$BG30=0),$BC30,"")</f>
        <v/>
      </c>
      <c r="BK30" s="164" t="n">
        <v>1</v>
      </c>
      <c r="CD30" s="162" t="inlineStr">
        <is>
          <t>Represália</t>
        </is>
      </c>
      <c r="CE30" s="162" t="inlineStr">
        <is>
          <t>Lapidação 4 e Força 4 ou Destreza 4</t>
        </is>
      </c>
      <c r="CF30" s="164" t="n">
        <v>2</v>
      </c>
      <c r="CG30" s="162" t="inlineStr">
        <is>
          <t>—</t>
        </is>
      </c>
      <c r="CH30" s="162" t="inlineStr">
        <is>
          <t>Fora do seu turno, quando uma criatura que você enxerga ou acompanha por um sentido equivalente à visão usa uma aptidão que custe ação ou Reação, ou conjura um feitiço a até 1,5 m de você, pode gastar sua Reação para realizar um ataque corpo a corpo com arma ou desarmado contra ela. Aptidões e benefícios passivos não contam. Resolva o ataque depois do uso que provocou a resposta. A criatura precisa continuar a até 1,5 m e ao alcance do ataque escolhido. A Reação não interrompe nem desfaz a aptidão ou o feitiço. Manter um efeito já ativo não oferece um novo gatilho. Abrir ou manter uma Expansão de Domínio e o Acerto de uma Expansão incompleta não ativam esta Bênção; feitiços conjurados dentro de um domínio continuam contando normalmente.</t>
        </is>
      </c>
      <c r="CI30" s="164">
        <f>IF($CL30=1,"",IF($A$2=4,IF($CJ30=1,$CD30,""),IF(OR($CJ30=1,AND($A$2=3,$CK30=1)),"",$CD30)))</f>
        <v/>
      </c>
      <c r="CJ30" s="164" t="n">
        <v>1</v>
      </c>
      <c r="CK30" s="164" t="n">
        <v>0</v>
      </c>
      <c r="CL30" s="164" t="n">
        <v>0</v>
      </c>
      <c r="CM30" s="162" t="inlineStr">
        <is>
          <t>Fora do seu turno, quando uma criatura que você enxerga ou acompanha por um sentido equivalente à visão usa uma aptidão que custe ação ou Reação, ou conjura um feitiço a até 1,5 m de você, pode gastar sua Reação para realizar um ataque corpo a corpo com arma ou desarmado contra ela.</t>
        </is>
      </c>
      <c r="DY30" s="162" t="inlineStr">
        <is>
          <t>Feitiço 29</t>
        </is>
      </c>
      <c r="DZ30" s="164" t="n">
        <v>0</v>
      </c>
      <c r="EA30" s="164" t="n">
        <v>29</v>
      </c>
      <c r="EB30" s="164">
        <f>MAX(1,MIN(7,N('FICHA AMALDIÇOADA'!$J$257)))</f>
        <v/>
      </c>
      <c r="EC30" s="164">
        <f>'FICHA AMALDIÇOADA'!$K$257&amp;""</f>
        <v/>
      </c>
      <c r="ED30" s="164">
        <f>'FICHA AMALDIÇOADA'!$J$264&amp;""</f>
        <v/>
      </c>
      <c r="EE30" s="164">
        <f>'FICHA AMALDIÇOADA'!$K$266&amp;""</f>
        <v/>
      </c>
      <c r="EF30" s="164">
        <f>'FICHA AMALDIÇOADA'!$K$267&amp;""</f>
        <v/>
      </c>
      <c r="EG30" s="164">
        <f>'FICHA AMALDIÇOADA'!$K$268&amp;""</f>
        <v/>
      </c>
      <c r="EH30" s="164">
        <f>'FICHA AMALDIÇOADA'!$K$269&amp;""</f>
        <v/>
      </c>
      <c r="EI30" s="164">
        <f>'FICHA AMALDIÇOADA'!$K$270&amp;""</f>
        <v/>
      </c>
      <c r="EJ30" s="164">
        <f>'FICHA AMALDIÇOADA'!$K$271&amp;""</f>
        <v/>
      </c>
      <c r="EK30" s="164">
        <f>IF($EC30&lt;&gt;"",1,0)</f>
        <v/>
      </c>
      <c r="EL30" s="164">
        <f>IFERROR(MATCH(SUBSTITUTE(SUBSTITUTE(SUBSTITUTE($ED30,"~","~~"),"*","~*"),"?","~?"),'DADOS_FORMAS'!$FJ$2:$FJ$21,0),0)</f>
        <v/>
      </c>
      <c r="EM30" s="164">
        <f>IF($EL30=0,0,INDEX('DADOS_FORMAS'!$FM$2:$FM$21,$EL30))</f>
        <v/>
      </c>
      <c r="EN30" s="164">
        <f>IFERROR(VLOOKUP(SUBSTITUTE(SUBSTITUTE(SUBSTITUTE($EE30,"~","~~"),"*","~*"),"?","~?"),'DADOS_MELHORIAS'!$O$2:$W$113,4,FALSE),0)</f>
        <v/>
      </c>
      <c r="EO30" s="164">
        <f>IFERROR(VLOOKUP(SUBSTITUTE(SUBSTITUTE(SUBSTITUTE($EF30,"~","~~"),"*","~*"),"?","~?"),'DADOS_MELHORIAS'!$O$2:$W$113,4,FALSE),0)</f>
        <v/>
      </c>
      <c r="EP30" s="164">
        <f>IFERROR(VLOOKUP(SUBSTITUTE(SUBSTITUTE(SUBSTITUTE($EG30,"~","~~"),"*","~*"),"?","~?"),'DADOS_MELHORIAS'!$O$2:$W$113,4,FALSE),0)</f>
        <v/>
      </c>
      <c r="EQ30" s="164">
        <f>IFERROR(VLOOKUP(SUBSTITUTE(SUBSTITUTE(SUBSTITUTE($EH30,"~","~~"),"*","~*"),"?","~?"),'DADOS_MELHORIAS'!$O$2:$W$113,4,FALSE),0)</f>
        <v/>
      </c>
      <c r="ER30" s="164">
        <f>IF($EL30=0,0,INDEX('DADOS_FORMAS'!$FN$2:$FN$21,$EL30))</f>
        <v/>
      </c>
      <c r="ES30" s="164">
        <f>IFERROR(VLOOKUP(SUBSTITUTE(SUBSTITUTE(SUBSTITUTE($EE30,"~","~~"),"*","~*"),"?","~?"),'DADOS_MELHORIAS'!$O$2:$W$113,5,FALSE),0)</f>
        <v/>
      </c>
      <c r="ET30" s="164">
        <f>IFERROR(VLOOKUP(SUBSTITUTE(SUBSTITUTE(SUBSTITUTE($EF30,"~","~~"),"*","~*"),"?","~?"),'DADOS_MELHORIAS'!$O$2:$W$113,5,FALSE),0)</f>
        <v/>
      </c>
      <c r="EU30" s="164">
        <f>IFERROR(VLOOKUP(SUBSTITUTE(SUBSTITUTE(SUBSTITUTE($EG30,"~","~~"),"*","~*"),"?","~?"),'DADOS_MELHORIAS'!$O$2:$W$113,5,FALSE),0)</f>
        <v/>
      </c>
      <c r="EV30" s="164">
        <f>IFERROR(VLOOKUP(SUBSTITUTE(SUBSTITUTE(SUBSTITUTE($EH30,"~","~~"),"*","~*"),"?","~?"),'DADOS_MELHORIAS'!$O$2:$W$113,5,FALSE),0)</f>
        <v/>
      </c>
      <c r="EW30" s="164">
        <f>IFERROR(VLOOKUP(SUBSTITUTE(SUBSTITUTE(SUBSTITUTE($EE30,"~","~~"),"*","~*"),"?","~?"),'DADOS_MELHORIAS'!$O$2:$W$113,6,FALSE),0)+IFERROR(VLOOKUP(SUBSTITUTE(SUBSTITUTE(SUBSTITUTE($EF30,"~","~~"),"*","~*"),"?","~?"),'DADOS_MELHORIAS'!$O$2:$W$113,6,FALSE),0)+IFERROR(VLOOKUP(SUBSTITUTE(SUBSTITUTE(SUBSTITUTE($EG30,"~","~~"),"*","~*"),"?","~?"),'DADOS_MELHORIAS'!$O$2:$W$113,6,FALSE),0)+IFERROR(VLOOKUP(SUBSTITUTE(SUBSTITUTE(SUBSTITUTE($EH30,"~","~~"),"*","~*"),"?","~?"),'DADOS_MELHORIAS'!$O$2:$W$113,6,FALSE),0)</f>
        <v/>
      </c>
      <c r="EX30" s="164">
        <f>IFERROR(VLOOKUP(SUBSTITUTE(SUBSTITUTE(SUBSTITUTE($EE30,"~","~~"),"*","~*"),"?","~?"),'DADOS_MELHORIAS'!$O$2:$W$113,9,FALSE),0)+IFERROR(VLOOKUP(SUBSTITUTE(SUBSTITUTE(SUBSTITUTE($EF30,"~","~~"),"*","~*"),"?","~?"),'DADOS_MELHORIAS'!$O$2:$W$113,9,FALSE),0)+IFERROR(VLOOKUP(SUBSTITUTE(SUBSTITUTE(SUBSTITUTE($EG30,"~","~~"),"*","~*"),"?","~?"),'DADOS_MELHORIAS'!$O$2:$W$113,9,FALSE),0)+IFERROR(VLOOKUP(SUBSTITUTE(SUBSTITUTE(SUBSTITUTE($EH30,"~","~~"),"*","~*"),"?","~?"),'DADOS_MELHORIAS'!$O$2:$W$113,9,FALSE),0)</f>
        <v/>
      </c>
      <c r="EY30" s="164">
        <f>IF($EL30=0,0,INDEX('DADOS_FORMAS'!$FO$2:$FO$21,$EL30))</f>
        <v/>
      </c>
      <c r="EZ30" s="164">
        <f>IF($EL30=0,0,INDEX('DADOS_FORMAS'!$FP$2:$FP$21,$EL30))</f>
        <v/>
      </c>
      <c r="FA30" s="164">
        <f>IF($EL30=0,0,INDEX('DADOS_FORMAS'!$FR$2:$FR$21,$EL30))</f>
        <v/>
      </c>
      <c r="FB30" s="164">
        <f>IFERROR(VLOOKUP(SUBSTITUTE(SUBSTITUTE(SUBSTITUTE($EI30,"~","~~"),"*","~*"),"?","~?"),'DADOS_RESTRICOES'!$M$2:$Q$54,3,FALSE),0)</f>
        <v/>
      </c>
      <c r="FC30" s="164">
        <f>IFERROR(VLOOKUP(SUBSTITUTE(SUBSTITUTE(SUBSTITUTE($EJ30,"~","~~"),"*","~*"),"?","~?"),'DADOS_RESTRICOES'!$M$2:$Q$54,3,FALSE),0)</f>
        <v/>
      </c>
      <c r="FD30" s="164">
        <f>IFERROR(VLOOKUP(SUBSTITUTE(SUBSTITUTE(SUBSTITUTE($EI30,"~","~~"),"*","~*"),"?","~?"),'DADOS_RESTRICOES'!$M$2:$Q$54,2,FALSE),"")</f>
        <v/>
      </c>
      <c r="FE30" s="164">
        <f>IFERROR(VLOOKUP(SUBSTITUTE(SUBSTITUTE(SUBSTITUTE($EJ30,"~","~~"),"*","~*"),"?","~?"),'DADOS_RESTRICOES'!$M$2:$Q$54,2,FALSE),"")</f>
        <v/>
      </c>
      <c r="FF30" s="164">
        <f>COUNTIF($EM30:$EQ30,1)</f>
        <v/>
      </c>
      <c r="FG30" s="164">
        <f>COUNTIF($EM30:$EQ30,2)</f>
        <v/>
      </c>
      <c r="FH30" s="164">
        <f>COUNTIF($EM30:$EQ30,3)</f>
        <v/>
      </c>
      <c r="FI30" s="164">
        <f>COUNTIF($EM30:$EQ30,4)</f>
        <v/>
      </c>
      <c r="FJ30" s="164">
        <f>COUNTIF($EM30:$EQ30,5)</f>
        <v/>
      </c>
      <c r="FK30" s="164">
        <f>COUNTIF($EM30:$EQ30,6)</f>
        <v/>
      </c>
      <c r="FL30" s="164">
        <f>COUNTIF($FB30:$FC30,1)+IF(IFERROR(INDEX('DADOS_FORMAS'!$AS$2:$AS$21,MATCH(SUBSTITUTE(SUBSTITUTE(SUBSTITUTE($ED30,"~","~~"),"*","~*"),"?","~?"),'DADOS_FORMAS'!$AH$2:$AH$21,0)),"")="",0,IFERROR(N(VLOOKUP(SUBSTITUTE(SUBSTITUTE(SUBSTITUTE(IFERROR(INDEX('DADOS_FORMAS'!$AS$2:$AS$21,MATCH(SUBSTITUTE(SUBSTITUTE(SUBSTITUTE($ED30,"~","~~"),"*","~*"),"?","~?"),'DADOS_FORMAS'!$AH$2:$AH$21,0)),""),"~","~~"),"*","~*"),"?","~?"),'DADOS_RESTRICOES'!$M$2:$Q$54,3,FALSE)=1),0))</f>
        <v/>
      </c>
      <c r="FM30" s="164">
        <f>COUNTIF($FB30:$FC30,2)+IF(IFERROR(INDEX('DADOS_FORMAS'!$AS$2:$AS$21,MATCH(SUBSTITUTE(SUBSTITUTE(SUBSTITUTE($ED30,"~","~~"),"*","~*"),"?","~?"),'DADOS_FORMAS'!$AH$2:$AH$21,0)),"")="",0,IFERROR(N(VLOOKUP(SUBSTITUTE(SUBSTITUTE(SUBSTITUTE(IFERROR(INDEX('DADOS_FORMAS'!$AS$2:$AS$21,MATCH(SUBSTITUTE(SUBSTITUTE(SUBSTITUTE($ED30,"~","~~"),"*","~*"),"?","~?"),'DADOS_FORMAS'!$AH$2:$AH$21,0)),""),"~","~~"),"*","~*"),"?","~?"),'DADOS_RESTRICOES'!$M$2:$Q$54,3,FALSE)=2),0))</f>
        <v/>
      </c>
      <c r="FN30" s="164">
        <f>COUNTIF($EE30:$EH30,"?*")</f>
        <v/>
      </c>
      <c r="FO30" s="164">
        <f>COUNTIF($EI30:$EJ30,"?*")+$EY30</f>
        <v/>
      </c>
      <c r="FP30" s="164">
        <f>SUMPRODUCT($FF30:$FK30,INDEX($Q$2:$V$8,$EB30,0))</f>
        <v/>
      </c>
      <c r="FQ30" s="164">
        <f>$FL30*CEILING($EB30/2,1)+$FM30*$EB30</f>
        <v/>
      </c>
      <c r="FR30" s="164">
        <f>MIN(2*$EB30,$FQ30)</f>
        <v/>
      </c>
      <c r="FS30" s="164">
        <f>MIN($FR30,$FP30-IF($EM30=0,0,INDEX($Q$2:$V$8,$EB30,$EM30)))</f>
        <v/>
      </c>
      <c r="FT30" s="164">
        <f>$FR30-$FS30</f>
        <v/>
      </c>
      <c r="FU30" s="164">
        <f>3*$EB30-$FP30+$FS30</f>
        <v/>
      </c>
      <c r="FV30" s="164">
        <f>MAX(0,$FU30)+$DZ30*$EB30</f>
        <v/>
      </c>
      <c r="FW30" s="164">
        <f>(IF(COUNTIF($KW30:$KZ30,"Salto")&gt;0,1,0)+IF(COUNTIF($KW30:$KZ30,"Queima")&gt;0,1,0)+IF(COUNTIF($KW30:$KZ30,"Estilhaço")&gt;0,1,0))*FLOOR($FV30/2,1)</f>
        <v/>
      </c>
      <c r="FX30" s="164">
        <f>MAX(0,3-SUMPRODUCT($FF30:$FK30,$Q$2:$V$2)+MIN(2,$FL30*1+$FM30*1,SUMPRODUCT($FF30:$FK30,$Q$2:$V$2)-IF($EM30=0,0,INDEX($Q$2:$V$2,1,$EM30))))+$DZ30*1</f>
        <v/>
      </c>
      <c r="FY30" s="164">
        <f>MAX(0,6-SUMPRODUCT($FF30:$FK30,$Q$3:$V$3)+MIN(4,$FL30*1+$FM30*2,SUMPRODUCT($FF30:$FK30,$Q$3:$V$3)-IF($EM30=0,0,INDEX($Q$3:$V$3,1,$EM30))))+$DZ30*2</f>
        <v/>
      </c>
      <c r="FZ30" s="164">
        <f>MAX(0,9-SUMPRODUCT($FF30:$FK30,$Q$4:$V$4)+MIN(6,$FL30*2+$FM30*3,SUMPRODUCT($FF30:$FK30,$Q$4:$V$4)-IF($EM30=0,0,INDEX($Q$4:$V$4,1,$EM30))))+$DZ30*3</f>
        <v/>
      </c>
      <c r="GA30" s="164">
        <f>MAX(0,12-SUMPRODUCT($FF30:$FK30,$Q$5:$V$5)+MIN(8,$FL30*2+$FM30*4,SUMPRODUCT($FF30:$FK30,$Q$5:$V$5)-IF($EM30=0,0,INDEX($Q$5:$V$5,1,$EM30))))+$DZ30*4</f>
        <v/>
      </c>
      <c r="GB30" s="164">
        <f>MAX(0,15-SUMPRODUCT($FF30:$FK30,$Q$6:$V$6)+MIN(10,$FL30*3+$FM30*5,SUMPRODUCT($FF30:$FK30,$Q$6:$V$6)-IF($EM30=0,0,INDEX($Q$6:$V$6,1,$EM30))))+$DZ30*5</f>
        <v/>
      </c>
      <c r="GC30" s="164">
        <f>MAX(0,18-SUMPRODUCT($FF30:$FK30,$Q$7:$V$7)+MIN(12,$FL30*3+$FM30*6,SUMPRODUCT($FF30:$FK30,$Q$7:$V$7)-IF($EM30=0,0,INDEX($Q$7:$V$7,1,$EM30))))+$DZ30*6</f>
        <v/>
      </c>
      <c r="GD30" s="164">
        <f>MAX(0,21-SUMPRODUCT($FF30:$FK30,$Q$8:$V$8)+MIN(14,$FL30*4+$FM30*7,SUMPRODUCT($FF30:$FK30,$Q$8:$V$8)-IF($EM30=0,0,INDEX($Q$8:$V$8,1,$EM30))))+$DZ30*7</f>
        <v/>
      </c>
      <c r="GE30" s="164">
        <f>IF($EZ30=2,3*$FX30&amp;" de vida temp.",IF($EZ30=3,"sem dano",IF($FX30=0,IF($EZ30=1,"sem cura","sem dano"),IF($EZ30=1,"cura ","")&amp;$FX30&amp;"d8")))</f>
        <v/>
      </c>
      <c r="GF30" s="164">
        <f>IF($EZ30=2,3*$FY30&amp;" de vida temp.",IF($EZ30=3,"sem dano",IF($FY30=0,IF($EZ30=1,"sem cura","sem dano"),IF($EZ30=1,"cura ","")&amp;$FY30&amp;"d8")))</f>
        <v/>
      </c>
      <c r="GG30" s="164">
        <f>IF($EZ30=2,3*$FZ30&amp;" de vida temp.",IF($EZ30=3,"sem dano",IF($FZ30=0,IF($EZ30=1,"sem cura","sem dano"),IF($EZ30=1,"cura ","")&amp;$FZ30&amp;"d8")))</f>
        <v/>
      </c>
      <c r="GH30" s="164">
        <f>IF($EZ30=2,3*$GA30&amp;" de vida temp.",IF($EZ30=3,"sem dano",IF($GA30=0,IF($EZ30=1,"sem cura","sem dano"),IF($EZ30=1,"cura ","")&amp;$GA30&amp;"d8")))</f>
        <v/>
      </c>
      <c r="GI30" s="164">
        <f>IF($EZ30=2,3*$GB30&amp;" de vida temp.",IF($EZ30=3,"sem dano",IF($GB30=0,IF($EZ30=1,"sem cura","sem dano"),IF($EZ30=1,"cura ","")&amp;$GB30&amp;"d8")))</f>
        <v/>
      </c>
      <c r="GJ30" s="164">
        <f>IF($EZ30=2,3*$GC30&amp;" de vida temp.",IF($EZ30=3,"sem dano",IF($GC30=0,IF($EZ30=1,"sem cura","sem dano"),IF($EZ30=1,"cura ","")&amp;$GC30&amp;"d8")))</f>
        <v/>
      </c>
      <c r="GK30" s="164">
        <f>IF($EZ30=2,3*$GD30&amp;" de vida temp.",IF($EZ30=3,"sem dano",IF($GD30=0,IF($EZ30=1,"sem cura","sem dano"),IF($EZ30=1,"cura ","")&amp;$GD30&amp;"d8")))</f>
        <v/>
      </c>
      <c r="GL30" s="164">
        <f>IF($EK30=0,"",TEXTJOIN(" · ",TRUE,IF($EK30=0,"",TEXTJOIN(" · ",TRUE,IF($EK30=0,"",TEXTJOIN(" · ",TRUE,IF(AND($DZ30=1,$EA30&gt;$HM$9),"O nível "&amp;$HM$2&amp;" dá "&amp;$HM$9&amp;" Liberação Máxima",""),IF($EB30&gt;$HM$4,"Classe "&amp;$EB30&amp;": o nível "&amp;$HM$2&amp;" libera até a "&amp;$HM$4,""),IF($ER30=1,"Família Fechada: a Forma "&amp;$ED30,""),IF($ES30=1,"Família Fechada: "&amp;$EE30,""),IF($ET30=1,"Família Fechada: "&amp;$EF30,""),IF($EU30=1,"Família Fechada: "&amp;$EG30,""),IF($EV30=1,"Família Fechada: "&amp;$EH30,""),IF($FN30&gt;INDEX($W$2:$W$8,$EB30),$FN30&amp;" Melhorias: a Classe "&amp;$EB30&amp;" aceita "&amp;INDEX($W$2:$W$8,$EB30),""),IF($FO30&gt;2,$FO30&amp;" Restrições"&amp;IF($EY30=1,", contando a que a Forma "&amp;$ED30&amp;" já traz","")&amp;": o limite é 2",""),IF($FU30&lt;0,"Orçamento estourado: faltam "&amp;(-$FU30)&amp;IF($FU30&lt;-1," pontos"," ponto"),""),IF(IFERROR(VLOOKUP(SUBSTITUTE(SUBSTITUTE(SUBSTITUTE($EI30,"~","~~"),"*","~*"),"?","~?"),'DADOS_RESTRICOES'!$M$2:$Q$54,4,FALSE),0)+IFERROR(VLOOKUP(SUBSTITUTE(SUBSTITUTE(SUBSTITUTE($EJ30,"~","~~"),"*","~*"),"?","~?"),'DADOS_RESTRICOES'!$M$2:$Q$54,4,FALSE),0)&gt;1,$FD30&amp;" e "&amp;$FE30&amp;" são as duas de frequência",""),IF(AND((COUNTIF($KW30:$KZ30,"Rápido")+COUNTIF($FD30:$FE30,"Rápido"))&gt;0,(COUNTIF($EE30:$EH30,"Atrasar")+COUNTIF($FD30:$FE30,"Atrasar"))&gt;0),"Rápido não entra com Atrasar",""),IF(AND((COUNTIF($KW30:$KZ30,"Reação")+COUNTIF($FD30:$FE30,"Reação"))&gt;0,(COUNTIF($KW30:$KZ30,"Rápido")+COUNTIF($FD30:$FE30,"Rápido"))&gt;0),"Reação não entra com Rápido",""),IF(AND((COUNTIF($KW30:$KZ30,"Reação")+COUNTIF($FD30:$FE30,"Reação"))&gt;0,(COUNTIF($KW30:$KZ30,"Armado")+COUNTIF($FD30:$FE30,"Armado"))&gt;0),"Reação não entra com Armado",""),IF(AND((COUNTIF($KW30:$KZ30,"Reação")+COUNTIF($FD30:$FE30,"Reação"))&gt;0,(COUNTIF($EE30:$EH30,"Atrasar")+COUNTIF($FD30:$FE30,"Atrasar"))&gt;0),"Reação não entra com Atrasar",""),IF(AND((COUNTIF($KW30:$KZ30,"Reação")+COUNTIF($FD30:$FE30,"Reação"))&gt;0,(COUNTIF($EE30:$EH30,"Parado")+COUNTIF($FD30:$FE30,"Parado"))&gt;0),"Reação não entra com Parado",""),IF(AND((COUNTIF($EE30:$EH30,"Atrasar")+COUNTIF($FD30:$FE30,"Atrasar"))&gt;0,(COUNTIF($EE30:$EH30,"Parado")+COUNTIF($FD30:$FE30,"Parado"))&gt;0),"Atrasar não entra com Parado",""),IF(AND((COUNTIF($KW30:$KZ30,"Armado")+COUNTIF($FD30:$FE30,"Armado"))&gt;0,(COUNTIF($EE30:$EH30,"Carregar")+COUNTIF($FD30:$FE30,"Carregar"))&gt;0),"Armado não entra com Carregar",""),IF(AND(COUNTIF($FD30:$FE30,"Corpo a Corpo")&gt;0,$EY30=0,OR($LB30="Cone",$LB30="Linha")),"Corpo a Corpo não entra em "&amp;$ED30,""),IF(AND(COUNTIF($FD30:$FE30,"Corpo a Corpo")&gt;0,$LC30="Corpo a Corpo"),"A Forma "&amp;$ED30&amp;" já traz o Corpo a Corpo",""),IF(AND(COUNTIF($FD30:$FE30,"Tudo ou Nada")&gt;0,$FA30=0),"Tudo ou Nada só entra em feitiço de Teste de Resistência",""),IF(AND(COUNTIF($KW30:$KZ30,"Inescapável")&gt;0,OR($FN30&gt;1,$FO30&gt;0)),"Inescapável não aceita outra peça",""),IF(AND($DZ30=1,$EB30&lt;3),"Liberação Máxima é de Classe 3 ou mais",""),IF(AND($DZ30=1,OR($EZ30=1,$EZ30=2)),"Liberação Máxima não serve para cura",""),IF(AND($DZ30=1,COUNTIF($KW30:$KZ30,"Inescapável")+COUNTIF($KW30:$KZ30,"Toca a Alma")&gt;0),"Esta peça não entra numa Liberação Máxima",""),IF($FV30*IF(COUNTIF($KW30:$KZ30,"Remate")&gt;0,1.25,1)+$FW30&gt;4*$EB30,($FV30*IF(COUNTIF($KW30:$KZ30,"Remate")&gt;0,1.25,1)+$FW30)&amp;" dados somando repetições"&amp;IF(COUNTIF($KW30:$KZ30,"Remate")&gt;0," e o Remate","")&amp;": o teto da Classe "&amp;$EB30&amp;" é "&amp;4*$EB30,""))),IF(AND($EE30&lt;&gt;"",COUNTIF('DADOS_MELHORIAS'!$O$2:$O$113,SUBSTITUTE(SUBSTITUTE(SUBSTITUTE($EE30,"~","~~"),"*","~*"),"?","~?"))=0),"Melhoria não cadastrada ou com erro: "&amp;$EE30,""),IF(AND($EF30&lt;&gt;"",COUNTIF('DADOS_MELHORIAS'!$O$2:$O$113,SUBSTITUTE(SUBSTITUTE(SUBSTITUTE($EF30,"~","~~"),"*","~*"),"?","~?"))=0),"Melhoria não cadastrada ou com erro: "&amp;$EF30,""),IF(AND($EG30&lt;&gt;"",COUNTIF('DADOS_MELHORIAS'!$O$2:$O$113,SUBSTITUTE(SUBSTITUTE(SUBSTITUTE($EG30,"~","~~"),"*","~*"),"?","~?"))=0),"Melhoria não cadastrada ou com erro: "&amp;$EG30,""),IF(AND($EH30&lt;&gt;"",COUNTIF('DADOS_MELHORIAS'!$O$2:$O$113,SUBSTITUTE(SUBSTITUTE(SUBSTITUTE($EH30,"~","~~"),"*","~*"),"?","~?"))=0),"Melhoria não cadastrada ou com erro: "&amp;$EH30,""),IF(AND($EI30&lt;&gt;"",COUNTIF('DADOS_RESTRICOES'!$M$2:$M$54,SUBSTITUTE(SUBSTITUTE(SUBSTITUTE($EI30,"~","~~"),"*","~*"),"?","~?"))=0),"Restrição não cadastrada ou com erro: "&amp;$EI30,""),IF(AND($EJ30&lt;&gt;"",COUNTIF('DADOS_RESTRICOES'!$M$2:$M$54,SUBSTITUTE(SUBSTITUTE(SUBSTITUTE($EJ30,"~","~~"),"*","~*"),"?","~?"))=0),"Restrição não cadastrada ou com erro: "&amp;$EJ30,""))),IF(AND($ED30&lt;&gt;"",COUNTIF('DADOS_FORMAS'!$AH$2:$AH$21,SUBSTITUTE(SUBSTITUTE(SUBSTITUTE($ED30,"~","~~"),"*","~*"),"?","~?"))=0),"Forma não cadastrada ou com erro: "&amp;$ED30,""),IF(AND(IFERROR(INDEX('DADOS_FORMAS'!$AS$2:$AS$21,MATCH(SUBSTITUTE(SUBSTITUTE(SUBSTITUTE($ED30,"~","~~"),"*","~*"),"?","~?"),'DADOS_FORMAS'!$AH$2:$AH$21,0)),"")&lt;&gt;"",OR(IFERROR(VLOOKUP(SUBSTITUTE(SUBSTITUTE(SUBSTITUTE(IFERROR(INDEX('DADOS_FORMAS'!$AS$2:$AS$21,MATCH(SUBSTITUTE(SUBSTITUTE(SUBSTITUTE($ED30,"~","~~"),"*","~*"),"?","~?"),'DADOS_FORMAS'!$AH$2:$AH$21,0)),""),"~","~~"),"*","~*"),"?","~?"),'DADOS_RESTRICOES'!$M$2:$Q$54,2,FALSE),"")=$FD30,IFERROR(VLOOKUP(SUBSTITUTE(SUBSTITUTE(SUBSTITUTE(IFERROR(INDEX('DADOS_FORMAS'!$AS$2:$AS$21,MATCH(SUBSTITUTE(SUBSTITUTE(SUBSTITUTE($ED30,"~","~~"),"*","~*"),"?","~?"),'DADOS_FORMAS'!$AH$2:$AH$21,0)),""),"~","~~"),"*","~*"),"?","~?"),'DADOS_RESTRICOES'!$M$2:$Q$54,2,FALSE),"")=$FE30)),"Restrição repetida, contando a embutida",""),IF(IF(IFERROR(INDEX('DADOS_FORMAS'!$AS$2:$AS$21,MATCH(SUBSTITUTE(SUBSTITUTE(SUBSTITUTE($ED30,"~","~~"),"*","~*"),"?","~?"),'DADOS_FORMAS'!$AH$2:$AH$21,0)),"")="",0,IFERROR(N(VLOOKUP(SUBSTITUTE(SUBSTITUTE(SUBSTITUTE(IFERROR(INDEX('DADOS_FORMAS'!$AS$2:$AS$21,MATCH(SUBSTITUTE(SUBSTITUTE(SUBSTITUTE($ED30,"~","~~"),"*","~*"),"?","~?"),'DADOS_FORMAS'!$AH$2:$AH$21,0)),""),"~","~~"),"*","~*"),"?","~?"),'DADOS_RESTRICOES'!$M$2:$Q$54,4,FALSE)=1),0))+IF($EI30="",0,IFERROR(N(VLOOKUP(SUBSTITUTE(SUBSTITUTE(SUBSTITUTE($EI30,"~","~~"),"*","~*"),"?","~?"),'DADOS_RESTRICOES'!$M$2:$Q$54,4,FALSE)=1),0))+IF($EJ30="",0,IFERROR(N(VLOOKUP(SUBSTITUTE(SUBSTITUTE(SUBSTITUTE($EJ30,"~","~~"),"*","~*"),"?","~?"),'DADOS_RESTRICOES'!$M$2:$Q$54,4,FALSE)=1),0))&gt;1,"Duas Restrições de frequência, contando a embutida",""),IF(AND(IFERROR(VLOOKUP(SUBSTITUTE(SUBSTITUTE(SUBSTITUTE(IFERROR(INDEX('DADOS_FORMAS'!$AS$2:$AS$21,MATCH(SUBSTITUTE(SUBSTITUTE(SUBSTITUTE($ED30,"~","~~"),"*","~*"),"?","~?"),'DADOS_FORMAS'!$AH$2:$AH$21,0)),""),"~","~~"),"*","~*"),"?","~?"),'DADOS_RESTRICOES'!$M$2:$Q$54,2,FALSE),"")="Tudo ou Nada",$FA30=0),"Tudo ou Nada exige TR",""),IF(AND(IFERROR(VLOOKUP(SUBSTITUTE(SUBSTITUTE(SUBSTITUTE(IFERROR(INDEX('DADOS_FORMAS'!$AS$2:$AS$21,MATCH(SUBSTITUTE(SUBSTITUTE(SUBSTITUTE($ED30,"~","~~"),"*","~*"),"?","~?"),'DADOS_FORMAS'!$AH$2:$AH$21,0)),""),"~","~~"),"*","~*"),"?","~?"),'DADOS_RESTRICOES'!$M$2:$Q$54,2,FALSE),"")="Corpo a Corpo",OR($LB30="Cone",$LB30="Linha")),"Corpo a Corpo não entra em Cone/Linha","")))</f>
        <v/>
      </c>
      <c r="GM30" s="164">
        <f>IF($GL30="",0,(LEN($GL30)-LEN(SUBSTITUTE($GL30," · ","")))/3+1)</f>
        <v/>
      </c>
      <c r="GN30" s="164">
        <f>IF($EK30=0,"",TEXTJOIN(" · ",TRUE,IF($FQ30&gt;2*$EB30,"A devolução parou no teto de "&amp;2*$EB30,""),IF($FT30&gt;0,"Devolução perdida: "&amp;$FT30&amp;IF($FT30&gt;1," pontos"," ponto")&amp;" sem Melhoria para pagar",""),IF(AND($EW30&gt;0,$FV30=0),"Controle sem dano: uma rodada a mais e CD +2",""),IF(AND($EW30&gt;0,$FV30&gt;0,$FV30&lt;=$EB30),"Controle com saldo até a Classe: uma rodada a mais","")))</f>
        <v/>
      </c>
      <c r="GO30" s="164">
        <f>IF($GN30="",0,(LEN($GN30)-LEN(SUBSTITUTE($GN30," · ","")))/3+1)</f>
        <v/>
      </c>
      <c r="GP30" s="164">
        <f>IF($EK30=0,IF($FN30+$FO30-$EY30&gt;0,"Dê um nome",""),IF($GM30&gt;0,"⚠ "&amp;$GM30&amp;IF($GM30&gt;1," erros"," erro"),IF($GO30&gt;0,"! "&amp;$GO30&amp;IF($GO30&gt;1," avisos"," aviso"),"Na regra")))</f>
        <v/>
      </c>
      <c r="GQ30" s="164">
        <f>IF($EK30=0,"",IF($GM30+$GO30=0,"Dentro das regras que a ficha confere",$GL30&amp;IF(AND($GM30&gt;0,$GO30&gt;0)," · ","")&amp;$GN30))</f>
        <v/>
      </c>
      <c r="GR30" s="164">
        <f>IF($EK30=0,"",IF($DZ30=1,CEILING(4.5*$EB30,1),3*$EB30)&amp;" PE")</f>
        <v/>
      </c>
      <c r="GS30" s="164">
        <f>IF($EK30=0,"",IF($DZ30=1,"Rodada inteira",IF(COUNTIF($LD30:$LF30,"Atrasar")&gt;0,IF(COUNTIF($LD30:$LF30,"Carregar")&gt;0,"Rodada +1 turno","Rodada inteira"),IF(COUNTIF($KW30:$KZ30,"Rápido")&gt;0,"Bônus",IF(COUNTIF($KW30:$KZ30,"Reação")&gt;0,"Reação","Padrão"))&amp;IF(COUNTIF($LD30:$LF30,"Carregar")&gt;0," +1 turno",""))))</f>
        <v/>
      </c>
      <c r="GT30" s="164">
        <f>IF(OR($EK30=0,$EL30=0),"",IF(COUNTIF($KW30:$KZ30,"Inescapável")&gt;0,"Automático",IF(COUNTIF($KW30:$KZ30,"Certeiro")&gt;0,"TR para metade",IF(AND($EX30&gt;0,$FA30=0,INDEX('DADOS_FORMAS'!$FQ$2:$FQ$21,$EL30)="Acerto"),"Acerto + TR",INDEX('DADOS_FORMAS'!$FQ$2:$FQ$21,$EL30)))))</f>
        <v/>
      </c>
      <c r="GU30" s="164">
        <f>IF(OR($EK30=0,$EL30=0),"",IF(OR($EZ30&gt;=2,$FV30=0),UPPER(LEFT(INDEX($GE30:$GK30,1,$EB30),1))&amp;MID(INDEX($GE30:$GK30,1,$EB30),2,99),UPPER(LEFT(INDEX($GE30:$GK30,1,$EB30),1))&amp;MID(INDEX($GE30:$GK30,1,$EB30),2,99)&amp;" = "&amp;FLOOR($FV30*4.5,1)&amp;IF($FW30&gt;0," · +"&amp;$FW30&amp;"d8","")))</f>
        <v/>
      </c>
      <c r="GV30" s="164">
        <f>COUNTIF($KW30:$KZ30,"Longe")+3*COUNTIF($KW30:$KZ30,"Muito Longe")</f>
        <v/>
      </c>
      <c r="GW30" s="164">
        <f>COUNTIF($KW30:$KZ30,"Maior")+3*COUNTIF($KW30:$KZ30,"Muito Maior")</f>
        <v/>
      </c>
      <c r="GX30" s="164">
        <f>IF($EL30=0,0,CHOOSE(1+INDEX('DADOS_FORMAS'!$FS$2:$FS$21,$EL30),0,$GV30,$GW30,$GV30+$GW30))</f>
        <v/>
      </c>
      <c r="GY30" s="164">
        <f>IF($EL30=0,0,CHOOSE(1+INDEX('DADOS_FORMAS'!$FT$2:$FT$21,$EL30),0,$GV30,$GW30,$GV30+$GW30))</f>
        <v/>
      </c>
      <c r="GZ30" s="164">
        <f>IF(OR($EK30=0,$EL30=0),"",INDEX('DADOS_FORMAS'!$GZ$2:$HE$61,($EL30-1)*3+IF($EB30&gt;=6,3,2),1+MIN(5,$GX30))&amp;INDEX('DADOS_FORMAS'!$HF$2:$HK$61,($EL30-1)*3+IF($EB30&gt;=6,3,2),1+MIN(5,$GY30))&amp;IF(INDEX('DADOS_FORMAS'!$FU$2:$FU$21,$EL30)=1,IF(COUNTIF($KW30:$KZ30,"Mais Um")&gt;0," · +"&amp;COUNTIF($KW30:$KZ30,"Mais Um")&amp;IF(COUNTIF($KW30:$KZ30,"Mais Um")&gt;1," alvos"," alvo"),"")&amp;IF(COUNTIF($KW30:$KZ30,"Rajada")&gt;0," · "&amp;($EB30+1)&amp;" tiros",""),""))</f>
        <v/>
      </c>
      <c r="HA30" s="164">
        <f>IF($EK30=0,"",3*$EB30&amp;" − "&amp;$FP30&amp;" + "&amp;$FS30&amp;IF($DZ30=1," + "&amp;$EB30,"")&amp;" = "&amp;$FV30&amp;"d8 · teto "&amp;4*$EB30&amp;IF($EY30=1," · a Forma devolve "&amp;$EB30,"")&amp;IF($FT30&gt;0," · perde "&amp;$FT30,""))</f>
        <v/>
      </c>
      <c r="HB30" s="164">
        <f>IF($EK30=0,"",IF($EB30&gt;=$HM$4,"Já está na maior Classe que o nível liberou",TEXTJOIN(" · ",TRUE,IF(AND(2&gt;$EB30,2&lt;=$HM$4),"2 → "&amp;$GF30&amp;", "&amp;IF($DZ30=1,9,6)&amp;" PE",""),IF(AND(3&gt;$EB30,3&lt;=$HM$4),"3 → "&amp;$GG30&amp;", "&amp;IF($DZ30=1,14,9)&amp;" PE",""),IF(AND(4&gt;$EB30,4&lt;=$HM$4),"4 → "&amp;$GH30&amp;", "&amp;IF($DZ30=1,18,12)&amp;" PE",""),IF(AND(5&gt;$EB30,5&lt;=$HM$4),"5 → "&amp;$GI30&amp;", "&amp;IF($DZ30=1,23,15)&amp;" PE",""),IF(AND(6&gt;$EB30,6&lt;=$HM$4),"6 → "&amp;$GJ30&amp;", "&amp;IF($DZ30=1,27,18)&amp;" PE",""),IF(AND(7&gt;$EB30,7&lt;=$HM$4),"7 → "&amp;$GK30&amp;", "&amp;IF($DZ30=1,32,21)&amp;" PE",""))))</f>
        <v/>
      </c>
      <c r="HC30" s="164">
        <f>IF(OR($EK30=0,$EN30=0),"","−"&amp;INDEX($Q$2:$V$8,$EB30,$EN30)&amp;" · "&amp;CHOOSE($EN30,"Leve","Média","Pesada","Leve · Livre","Média · Livre","Pesada · Livre"))</f>
        <v/>
      </c>
      <c r="HD30" s="164">
        <f>IF(OR($EK30=0,$EO30=0),"","−"&amp;INDEX($Q$2:$V$8,$EB30,$EO30)&amp;" · "&amp;CHOOSE($EO30,"Leve","Média","Pesada","Leve · Livre","Média · Livre","Pesada · Livre"))</f>
        <v/>
      </c>
      <c r="HE30" s="164">
        <f>IF(OR($EK30=0,$EP30=0),"","−"&amp;INDEX($Q$2:$V$8,$EB30,$EP30)&amp;" · "&amp;CHOOSE($EP30,"Leve","Média","Pesada","Leve · Livre","Média · Livre","Pesada · Livre"))</f>
        <v/>
      </c>
      <c r="HF30" s="164">
        <f>IF(OR($EK30=0,$EQ30=0),"","−"&amp;INDEX($Q$2:$V$8,$EB30,$EQ30)&amp;" · "&amp;CHOOSE($EQ30,"Leve","Média","Pesada","Leve · Livre","Média · Livre","Pesada · Livre"))</f>
        <v/>
      </c>
      <c r="HG30" s="164">
        <f>IF(OR($EK30=0,$EI30=""),"","+"&amp;IF($FB30=1,CEILING($EB30/2,1),$EB30))</f>
        <v/>
      </c>
      <c r="HH30" s="164">
        <f>IF(OR($EK30=0,$EJ30=""),"","+"&amp;IF($FC30=1,CEILING($EB30/2,1),$EB30))</f>
        <v/>
      </c>
      <c r="HI30" s="164">
        <f>'FICHA AMALDIÇOADA'!$J$259&amp;""</f>
        <v/>
      </c>
      <c r="HJ30" s="164">
        <f>IF(AND($EK30=1,$DZ30=0),COUNTIFS($EK$2:$EK30,1,$DZ$2:$DZ30,0),"")</f>
        <v/>
      </c>
      <c r="HL30" s="162" t="inlineStr">
        <is>
          <t>classe do índice</t>
        </is>
      </c>
      <c r="HM30" s="164">
        <f>IF(N('FICHA AMALDIÇOADA'!$D$59)&lt;1,$HM$4,MIN(7,N('FICHA AMALDIÇOADA'!$D$59)))</f>
        <v/>
      </c>
      <c r="JH30" s="164" t="n">
        <v>29</v>
      </c>
      <c r="JI30" s="164">
        <f>IFERROR(MATCH(29,$HJ$2:$HJ$37,0),0)</f>
        <v/>
      </c>
      <c r="JJ30" s="164">
        <f>IF($JI30=0,"",INDEX($EB$2:$EB$37,$JI30))</f>
        <v/>
      </c>
      <c r="JK30" s="164">
        <f>IF($JI30=0,"",INDEX($EC$2:$EC$37,$JI30))</f>
        <v/>
      </c>
      <c r="JL30" s="164">
        <f>IF($JI30=0,"",INDEX($GR$2:$GR$37,$JI30))</f>
        <v/>
      </c>
      <c r="JM30" s="164">
        <f>IF($JI30=0,"",INDEX($ED$2:$ED$37,$JI30))</f>
        <v/>
      </c>
      <c r="JN30" s="164">
        <f>IF($JI30=0,"",INDEX($GT$2:$GT$37,$JI30))</f>
        <v/>
      </c>
      <c r="JO30" s="164">
        <f>IF($JI30=0,"",INDEX($HI$2:$HI$37,$JI30))</f>
        <v/>
      </c>
      <c r="KU30" s="162" t="inlineStr">
        <is>
          <t>L59</t>
        </is>
      </c>
      <c r="KV30" s="164">
        <f>4*DADOS_AM!$HM$30</f>
        <v/>
      </c>
      <c r="KW30">
        <f>IF($EE30="","",IFERROR(VLOOKUP(SUBSTITUTE(SUBSTITUTE(SUBSTITUTE($EE30,"~","~~"),"*","~*"),"?","~?"),'DADOS_MELHORIAS'!$O$2:$X$113,10,FALSE),$EE30))</f>
        <v/>
      </c>
      <c r="KX30">
        <f>IF($EF30="","",IFERROR(VLOOKUP(SUBSTITUTE(SUBSTITUTE(SUBSTITUTE($EF30,"~","~~"),"*","~*"),"?","~?"),'DADOS_MELHORIAS'!$O$2:$X$113,10,FALSE),$EF30))</f>
        <v/>
      </c>
      <c r="KY30">
        <f>IF($EG30="","",IFERROR(VLOOKUP(SUBSTITUTE(SUBSTITUTE(SUBSTITUTE($EG30,"~","~~"),"*","~*"),"?","~?"),'DADOS_MELHORIAS'!$O$2:$X$113,10,FALSE),$EG30))</f>
        <v/>
      </c>
      <c r="KZ30">
        <f>IF($EH30="","",IFERROR(VLOOKUP(SUBSTITUTE(SUBSTITUTE(SUBSTITUTE($EH30,"~","~~"),"*","~*"),"?","~?"),'DADOS_MELHORIAS'!$O$2:$X$113,10,FALSE),$EH30))</f>
        <v/>
      </c>
      <c r="LB30">
        <f>IFERROR(INDEX('DADOS_FORMAS'!$BJ$2:$BJ$21,MATCH(SUBSTITUTE(SUBSTITUTE(SUBSTITUTE($ED30,"~","~~"),"*","~*"),"?","~?"),'DADOS_FORMAS'!$AH$2:$AH$21,0)),"")</f>
        <v/>
      </c>
      <c r="LC30">
        <f>IFERROR(VLOOKUP(SUBSTITUTE(SUBSTITUTE(SUBSTITUTE(IFERROR(INDEX('DADOS_FORMAS'!$AS$2:$AS$21,MATCH(SUBSTITUTE(SUBSTITUTE(SUBSTITUTE($ED30,"~","~~"),"*","~*"),"?","~?"),'DADOS_FORMAS'!$AH$2:$AH$21,0)),""),"~","~~"),"*","~*"),"?","~?"),'DADOS_RESTRICOES'!$M$2:$Q$54,2,FALSE),"")</f>
        <v/>
      </c>
      <c r="LD30">
        <f>$FD30</f>
        <v/>
      </c>
      <c r="LE30">
        <f>$FE30</f>
        <v/>
      </c>
      <c r="LF30">
        <f>$LC30</f>
        <v/>
      </c>
    </row>
    <row r="31">
      <c r="AO31" s="162" t="inlineStr">
        <is>
          <t>Efeito · classes 6 e 7</t>
        </is>
      </c>
      <c r="AP31" s="162" t="inlineStr">
        <is>
          <t>Fora de combate</t>
        </is>
      </c>
      <c r="AQ31" s="162" t="inlineStr">
        <is>
          <t>Fora de combate</t>
        </is>
      </c>
      <c r="AR31" s="162" t="inlineStr">
        <is>
          <t>Fora de combate</t>
        </is>
      </c>
      <c r="AS31" s="162" t="inlineStr">
        <is>
          <t>Fora de combate</t>
        </is>
      </c>
      <c r="AT31" s="162" t="inlineStr">
        <is>
          <t>Fora de combate</t>
        </is>
      </c>
      <c r="AU31" s="162" t="inlineStr">
        <is>
          <t>Fora de combate</t>
        </is>
      </c>
      <c r="AV31" s="162" t="inlineStr"/>
      <c r="AW31" s="162" t="inlineStr"/>
      <c r="AX31" s="162" t="inlineStr"/>
      <c r="AY31" s="162" t="inlineStr"/>
      <c r="AZ31" s="162" t="inlineStr"/>
      <c r="BA31" s="162" t="inlineStr"/>
      <c r="BC31" s="162" t="inlineStr">
        <is>
          <t>Enfeitiçado</t>
        </is>
      </c>
      <c r="BD31" s="162" t="inlineStr">
        <is>
          <t>Controle</t>
        </is>
      </c>
      <c r="BE31" s="164" t="n">
        <v>2</v>
      </c>
      <c r="BF31" s="164">
        <f>$BE31+3*IFERROR(VLOOKUP($BD31,'DADOS_CRIACAO'!$H$2:$K$20,3,FALSE),0)</f>
        <v/>
      </c>
      <c r="BG31" s="164">
        <f>IFERROR(VLOOKUP($BD31,'DADOS_CRIACAO'!$H$2:$K$20,4,FALSE),0)</f>
        <v/>
      </c>
      <c r="BH31" s="164" t="n">
        <v>1</v>
      </c>
      <c r="BI31" s="164">
        <f>IF($BG31=1,"",$BC31)</f>
        <v/>
      </c>
      <c r="BJ31" s="164">
        <f>IF(AND($BE31=1,$BG31=0),$BC31,"")</f>
        <v/>
      </c>
      <c r="BK31" s="164" t="n">
        <v>1</v>
      </c>
      <c r="CD31" s="162" t="inlineStr">
        <is>
          <t>Sangue Frio</t>
        </is>
      </c>
      <c r="CE31" s="162" t="inlineStr">
        <is>
          <t>Lapidação 7 e Constituição 4</t>
        </is>
      </c>
      <c r="CF31" s="164" t="n">
        <v>3</v>
      </c>
      <c r="CG31" s="162" t="inlineStr">
        <is>
          <t>—</t>
        </is>
      </c>
      <c r="CH31" s="162" t="inlineStr">
        <is>
          <t>Você tem vantagem nos TRs contra feitiços e contra aptidões que custem ação ou Reação produzidos por uma criatura a até 3 m de você. Confira a distância até essa criatura no momento de cada TR. Aptidões e benefícios passivos não contam. Uma vez por cena, depois de falhar em um desses TRs e antes de sofrer suas consequências, pode repetir a rolagem, sem gastar ação. Role um único d20, sem a vantagem desta Bênção, e mantenha a CD e os modificadores. O novo resultado é obrigatório. A repetição também exige que a criatura esteja a até 3 m. A vantagem e a repetição não se aplicam à abertura ou manutenção de uma Expansão de Domínio, nem ao Acerto de uma Expansão incompleta; feitiços conjurados dentro de um domínio continuam contando normalmente.</t>
        </is>
      </c>
      <c r="CI31" s="164">
        <f>IF($CL31=1,"",IF($A$2=4,IF($CJ31=1,$CD31,""),IF(OR($CJ31=1,AND($A$2=3,$CK31=1)),"",$CD31)))</f>
        <v/>
      </c>
      <c r="CJ31" s="164" t="n">
        <v>1</v>
      </c>
      <c r="CK31" s="164" t="n">
        <v>0</v>
      </c>
      <c r="CL31" s="164" t="n">
        <v>0</v>
      </c>
      <c r="CM31" s="162" t="inlineStr">
        <is>
          <t>Você tem vantagem nos TRs contra feitiços e contra aptidões que custem ação ou Reação produzidos por uma criatura a até 3 m de você.</t>
        </is>
      </c>
      <c r="DY31" s="162" t="inlineStr">
        <is>
          <t>Feitiço 30</t>
        </is>
      </c>
      <c r="DZ31" s="164" t="n">
        <v>0</v>
      </c>
      <c r="EA31" s="164" t="n">
        <v>30</v>
      </c>
      <c r="EB31" s="164">
        <f>MAX(1,MIN(7,N('FICHA AMALDIÇOADA'!$P$257)))</f>
        <v/>
      </c>
      <c r="EC31" s="164">
        <f>'FICHA AMALDIÇOADA'!$Q$257&amp;""</f>
        <v/>
      </c>
      <c r="ED31" s="164">
        <f>'FICHA AMALDIÇOADA'!$P$264&amp;""</f>
        <v/>
      </c>
      <c r="EE31" s="164">
        <f>'FICHA AMALDIÇOADA'!$Q$266&amp;""</f>
        <v/>
      </c>
      <c r="EF31" s="164">
        <f>'FICHA AMALDIÇOADA'!$Q$267&amp;""</f>
        <v/>
      </c>
      <c r="EG31" s="164">
        <f>'FICHA AMALDIÇOADA'!$Q$268&amp;""</f>
        <v/>
      </c>
      <c r="EH31" s="164">
        <f>'FICHA AMALDIÇOADA'!$Q$269&amp;""</f>
        <v/>
      </c>
      <c r="EI31" s="164">
        <f>'FICHA AMALDIÇOADA'!$Q$270&amp;""</f>
        <v/>
      </c>
      <c r="EJ31" s="164">
        <f>'FICHA AMALDIÇOADA'!$Q$271&amp;""</f>
        <v/>
      </c>
      <c r="EK31" s="164">
        <f>IF($EC31&lt;&gt;"",1,0)</f>
        <v/>
      </c>
      <c r="EL31" s="164">
        <f>IFERROR(MATCH(SUBSTITUTE(SUBSTITUTE(SUBSTITUTE($ED31,"~","~~"),"*","~*"),"?","~?"),'DADOS_FORMAS'!$FJ$2:$FJ$21,0),0)</f>
        <v/>
      </c>
      <c r="EM31" s="164">
        <f>IF($EL31=0,0,INDEX('DADOS_FORMAS'!$FM$2:$FM$21,$EL31))</f>
        <v/>
      </c>
      <c r="EN31" s="164">
        <f>IFERROR(VLOOKUP(SUBSTITUTE(SUBSTITUTE(SUBSTITUTE($EE31,"~","~~"),"*","~*"),"?","~?"),'DADOS_MELHORIAS'!$O$2:$W$113,4,FALSE),0)</f>
        <v/>
      </c>
      <c r="EO31" s="164">
        <f>IFERROR(VLOOKUP(SUBSTITUTE(SUBSTITUTE(SUBSTITUTE($EF31,"~","~~"),"*","~*"),"?","~?"),'DADOS_MELHORIAS'!$O$2:$W$113,4,FALSE),0)</f>
        <v/>
      </c>
      <c r="EP31" s="164">
        <f>IFERROR(VLOOKUP(SUBSTITUTE(SUBSTITUTE(SUBSTITUTE($EG31,"~","~~"),"*","~*"),"?","~?"),'DADOS_MELHORIAS'!$O$2:$W$113,4,FALSE),0)</f>
        <v/>
      </c>
      <c r="EQ31" s="164">
        <f>IFERROR(VLOOKUP(SUBSTITUTE(SUBSTITUTE(SUBSTITUTE($EH31,"~","~~"),"*","~*"),"?","~?"),'DADOS_MELHORIAS'!$O$2:$W$113,4,FALSE),0)</f>
        <v/>
      </c>
      <c r="ER31" s="164">
        <f>IF($EL31=0,0,INDEX('DADOS_FORMAS'!$FN$2:$FN$21,$EL31))</f>
        <v/>
      </c>
      <c r="ES31" s="164">
        <f>IFERROR(VLOOKUP(SUBSTITUTE(SUBSTITUTE(SUBSTITUTE($EE31,"~","~~"),"*","~*"),"?","~?"),'DADOS_MELHORIAS'!$O$2:$W$113,5,FALSE),0)</f>
        <v/>
      </c>
      <c r="ET31" s="164">
        <f>IFERROR(VLOOKUP(SUBSTITUTE(SUBSTITUTE(SUBSTITUTE($EF31,"~","~~"),"*","~*"),"?","~?"),'DADOS_MELHORIAS'!$O$2:$W$113,5,FALSE),0)</f>
        <v/>
      </c>
      <c r="EU31" s="164">
        <f>IFERROR(VLOOKUP(SUBSTITUTE(SUBSTITUTE(SUBSTITUTE($EG31,"~","~~"),"*","~*"),"?","~?"),'DADOS_MELHORIAS'!$O$2:$W$113,5,FALSE),0)</f>
        <v/>
      </c>
      <c r="EV31" s="164">
        <f>IFERROR(VLOOKUP(SUBSTITUTE(SUBSTITUTE(SUBSTITUTE($EH31,"~","~~"),"*","~*"),"?","~?"),'DADOS_MELHORIAS'!$O$2:$W$113,5,FALSE),0)</f>
        <v/>
      </c>
      <c r="EW31" s="164">
        <f>IFERROR(VLOOKUP(SUBSTITUTE(SUBSTITUTE(SUBSTITUTE($EE31,"~","~~"),"*","~*"),"?","~?"),'DADOS_MELHORIAS'!$O$2:$W$113,6,FALSE),0)+IFERROR(VLOOKUP(SUBSTITUTE(SUBSTITUTE(SUBSTITUTE($EF31,"~","~~"),"*","~*"),"?","~?"),'DADOS_MELHORIAS'!$O$2:$W$113,6,FALSE),0)+IFERROR(VLOOKUP(SUBSTITUTE(SUBSTITUTE(SUBSTITUTE($EG31,"~","~~"),"*","~*"),"?","~?"),'DADOS_MELHORIAS'!$O$2:$W$113,6,FALSE),0)+IFERROR(VLOOKUP(SUBSTITUTE(SUBSTITUTE(SUBSTITUTE($EH31,"~","~~"),"*","~*"),"?","~?"),'DADOS_MELHORIAS'!$O$2:$W$113,6,FALSE),0)</f>
        <v/>
      </c>
      <c r="EX31" s="164">
        <f>IFERROR(VLOOKUP(SUBSTITUTE(SUBSTITUTE(SUBSTITUTE($EE31,"~","~~"),"*","~*"),"?","~?"),'DADOS_MELHORIAS'!$O$2:$W$113,9,FALSE),0)+IFERROR(VLOOKUP(SUBSTITUTE(SUBSTITUTE(SUBSTITUTE($EF31,"~","~~"),"*","~*"),"?","~?"),'DADOS_MELHORIAS'!$O$2:$W$113,9,FALSE),0)+IFERROR(VLOOKUP(SUBSTITUTE(SUBSTITUTE(SUBSTITUTE($EG31,"~","~~"),"*","~*"),"?","~?"),'DADOS_MELHORIAS'!$O$2:$W$113,9,FALSE),0)+IFERROR(VLOOKUP(SUBSTITUTE(SUBSTITUTE(SUBSTITUTE($EH31,"~","~~"),"*","~*"),"?","~?"),'DADOS_MELHORIAS'!$O$2:$W$113,9,FALSE),0)</f>
        <v/>
      </c>
      <c r="EY31" s="164">
        <f>IF($EL31=0,0,INDEX('DADOS_FORMAS'!$FO$2:$FO$21,$EL31))</f>
        <v/>
      </c>
      <c r="EZ31" s="164">
        <f>IF($EL31=0,0,INDEX('DADOS_FORMAS'!$FP$2:$FP$21,$EL31))</f>
        <v/>
      </c>
      <c r="FA31" s="164">
        <f>IF($EL31=0,0,INDEX('DADOS_FORMAS'!$FR$2:$FR$21,$EL31))</f>
        <v/>
      </c>
      <c r="FB31" s="164">
        <f>IFERROR(VLOOKUP(SUBSTITUTE(SUBSTITUTE(SUBSTITUTE($EI31,"~","~~"),"*","~*"),"?","~?"),'DADOS_RESTRICOES'!$M$2:$Q$54,3,FALSE),0)</f>
        <v/>
      </c>
      <c r="FC31" s="164">
        <f>IFERROR(VLOOKUP(SUBSTITUTE(SUBSTITUTE(SUBSTITUTE($EJ31,"~","~~"),"*","~*"),"?","~?"),'DADOS_RESTRICOES'!$M$2:$Q$54,3,FALSE),0)</f>
        <v/>
      </c>
      <c r="FD31" s="164">
        <f>IFERROR(VLOOKUP(SUBSTITUTE(SUBSTITUTE(SUBSTITUTE($EI31,"~","~~"),"*","~*"),"?","~?"),'DADOS_RESTRICOES'!$M$2:$Q$54,2,FALSE),"")</f>
        <v/>
      </c>
      <c r="FE31" s="164">
        <f>IFERROR(VLOOKUP(SUBSTITUTE(SUBSTITUTE(SUBSTITUTE($EJ31,"~","~~"),"*","~*"),"?","~?"),'DADOS_RESTRICOES'!$M$2:$Q$54,2,FALSE),"")</f>
        <v/>
      </c>
      <c r="FF31" s="164">
        <f>COUNTIF($EM31:$EQ31,1)</f>
        <v/>
      </c>
      <c r="FG31" s="164">
        <f>COUNTIF($EM31:$EQ31,2)</f>
        <v/>
      </c>
      <c r="FH31" s="164">
        <f>COUNTIF($EM31:$EQ31,3)</f>
        <v/>
      </c>
      <c r="FI31" s="164">
        <f>COUNTIF($EM31:$EQ31,4)</f>
        <v/>
      </c>
      <c r="FJ31" s="164">
        <f>COUNTIF($EM31:$EQ31,5)</f>
        <v/>
      </c>
      <c r="FK31" s="164">
        <f>COUNTIF($EM31:$EQ31,6)</f>
        <v/>
      </c>
      <c r="FL31" s="164">
        <f>COUNTIF($FB31:$FC31,1)+IF(IFERROR(INDEX('DADOS_FORMAS'!$AS$2:$AS$21,MATCH(SUBSTITUTE(SUBSTITUTE(SUBSTITUTE($ED31,"~","~~"),"*","~*"),"?","~?"),'DADOS_FORMAS'!$AH$2:$AH$21,0)),"")="",0,IFERROR(N(VLOOKUP(SUBSTITUTE(SUBSTITUTE(SUBSTITUTE(IFERROR(INDEX('DADOS_FORMAS'!$AS$2:$AS$21,MATCH(SUBSTITUTE(SUBSTITUTE(SUBSTITUTE($ED31,"~","~~"),"*","~*"),"?","~?"),'DADOS_FORMAS'!$AH$2:$AH$21,0)),""),"~","~~"),"*","~*"),"?","~?"),'DADOS_RESTRICOES'!$M$2:$Q$54,3,FALSE)=1),0))</f>
        <v/>
      </c>
      <c r="FM31" s="164">
        <f>COUNTIF($FB31:$FC31,2)+IF(IFERROR(INDEX('DADOS_FORMAS'!$AS$2:$AS$21,MATCH(SUBSTITUTE(SUBSTITUTE(SUBSTITUTE($ED31,"~","~~"),"*","~*"),"?","~?"),'DADOS_FORMAS'!$AH$2:$AH$21,0)),"")="",0,IFERROR(N(VLOOKUP(SUBSTITUTE(SUBSTITUTE(SUBSTITUTE(IFERROR(INDEX('DADOS_FORMAS'!$AS$2:$AS$21,MATCH(SUBSTITUTE(SUBSTITUTE(SUBSTITUTE($ED31,"~","~~"),"*","~*"),"?","~?"),'DADOS_FORMAS'!$AH$2:$AH$21,0)),""),"~","~~"),"*","~*"),"?","~?"),'DADOS_RESTRICOES'!$M$2:$Q$54,3,FALSE)=2),0))</f>
        <v/>
      </c>
      <c r="FN31" s="164">
        <f>COUNTIF($EE31:$EH31,"?*")</f>
        <v/>
      </c>
      <c r="FO31" s="164">
        <f>COUNTIF($EI31:$EJ31,"?*")+$EY31</f>
        <v/>
      </c>
      <c r="FP31" s="164">
        <f>SUMPRODUCT($FF31:$FK31,INDEX($Q$2:$V$8,$EB31,0))</f>
        <v/>
      </c>
      <c r="FQ31" s="164">
        <f>$FL31*CEILING($EB31/2,1)+$FM31*$EB31</f>
        <v/>
      </c>
      <c r="FR31" s="164">
        <f>MIN(2*$EB31,$FQ31)</f>
        <v/>
      </c>
      <c r="FS31" s="164">
        <f>MIN($FR31,$FP31-IF($EM31=0,0,INDEX($Q$2:$V$8,$EB31,$EM31)))</f>
        <v/>
      </c>
      <c r="FT31" s="164">
        <f>$FR31-$FS31</f>
        <v/>
      </c>
      <c r="FU31" s="164">
        <f>3*$EB31-$FP31+$FS31</f>
        <v/>
      </c>
      <c r="FV31" s="164">
        <f>MAX(0,$FU31)+$DZ31*$EB31</f>
        <v/>
      </c>
      <c r="FW31" s="164">
        <f>(IF(COUNTIF($KW31:$KZ31,"Salto")&gt;0,1,0)+IF(COUNTIF($KW31:$KZ31,"Queima")&gt;0,1,0)+IF(COUNTIF($KW31:$KZ31,"Estilhaço")&gt;0,1,0))*FLOOR($FV31/2,1)</f>
        <v/>
      </c>
      <c r="FX31" s="164">
        <f>MAX(0,3-SUMPRODUCT($FF31:$FK31,$Q$2:$V$2)+MIN(2,$FL31*1+$FM31*1,SUMPRODUCT($FF31:$FK31,$Q$2:$V$2)-IF($EM31=0,0,INDEX($Q$2:$V$2,1,$EM31))))+$DZ31*1</f>
        <v/>
      </c>
      <c r="FY31" s="164">
        <f>MAX(0,6-SUMPRODUCT($FF31:$FK31,$Q$3:$V$3)+MIN(4,$FL31*1+$FM31*2,SUMPRODUCT($FF31:$FK31,$Q$3:$V$3)-IF($EM31=0,0,INDEX($Q$3:$V$3,1,$EM31))))+$DZ31*2</f>
        <v/>
      </c>
      <c r="FZ31" s="164">
        <f>MAX(0,9-SUMPRODUCT($FF31:$FK31,$Q$4:$V$4)+MIN(6,$FL31*2+$FM31*3,SUMPRODUCT($FF31:$FK31,$Q$4:$V$4)-IF($EM31=0,0,INDEX($Q$4:$V$4,1,$EM31))))+$DZ31*3</f>
        <v/>
      </c>
      <c r="GA31" s="164">
        <f>MAX(0,12-SUMPRODUCT($FF31:$FK31,$Q$5:$V$5)+MIN(8,$FL31*2+$FM31*4,SUMPRODUCT($FF31:$FK31,$Q$5:$V$5)-IF($EM31=0,0,INDEX($Q$5:$V$5,1,$EM31))))+$DZ31*4</f>
        <v/>
      </c>
      <c r="GB31" s="164">
        <f>MAX(0,15-SUMPRODUCT($FF31:$FK31,$Q$6:$V$6)+MIN(10,$FL31*3+$FM31*5,SUMPRODUCT($FF31:$FK31,$Q$6:$V$6)-IF($EM31=0,0,INDEX($Q$6:$V$6,1,$EM31))))+$DZ31*5</f>
        <v/>
      </c>
      <c r="GC31" s="164">
        <f>MAX(0,18-SUMPRODUCT($FF31:$FK31,$Q$7:$V$7)+MIN(12,$FL31*3+$FM31*6,SUMPRODUCT($FF31:$FK31,$Q$7:$V$7)-IF($EM31=0,0,INDEX($Q$7:$V$7,1,$EM31))))+$DZ31*6</f>
        <v/>
      </c>
      <c r="GD31" s="164">
        <f>MAX(0,21-SUMPRODUCT($FF31:$FK31,$Q$8:$V$8)+MIN(14,$FL31*4+$FM31*7,SUMPRODUCT($FF31:$FK31,$Q$8:$V$8)-IF($EM31=0,0,INDEX($Q$8:$V$8,1,$EM31))))+$DZ31*7</f>
        <v/>
      </c>
      <c r="GE31" s="164">
        <f>IF($EZ31=2,3*$FX31&amp;" de vida temp.",IF($EZ31=3,"sem dano",IF($FX31=0,IF($EZ31=1,"sem cura","sem dano"),IF($EZ31=1,"cura ","")&amp;$FX31&amp;"d8")))</f>
        <v/>
      </c>
      <c r="GF31" s="164">
        <f>IF($EZ31=2,3*$FY31&amp;" de vida temp.",IF($EZ31=3,"sem dano",IF($FY31=0,IF($EZ31=1,"sem cura","sem dano"),IF($EZ31=1,"cura ","")&amp;$FY31&amp;"d8")))</f>
        <v/>
      </c>
      <c r="GG31" s="164">
        <f>IF($EZ31=2,3*$FZ31&amp;" de vida temp.",IF($EZ31=3,"sem dano",IF($FZ31=0,IF($EZ31=1,"sem cura","sem dano"),IF($EZ31=1,"cura ","")&amp;$FZ31&amp;"d8")))</f>
        <v/>
      </c>
      <c r="GH31" s="164">
        <f>IF($EZ31=2,3*$GA31&amp;" de vida temp.",IF($EZ31=3,"sem dano",IF($GA31=0,IF($EZ31=1,"sem cura","sem dano"),IF($EZ31=1,"cura ","")&amp;$GA31&amp;"d8")))</f>
        <v/>
      </c>
      <c r="GI31" s="164">
        <f>IF($EZ31=2,3*$GB31&amp;" de vida temp.",IF($EZ31=3,"sem dano",IF($GB31=0,IF($EZ31=1,"sem cura","sem dano"),IF($EZ31=1,"cura ","")&amp;$GB31&amp;"d8")))</f>
        <v/>
      </c>
      <c r="GJ31" s="164">
        <f>IF($EZ31=2,3*$GC31&amp;" de vida temp.",IF($EZ31=3,"sem dano",IF($GC31=0,IF($EZ31=1,"sem cura","sem dano"),IF($EZ31=1,"cura ","")&amp;$GC31&amp;"d8")))</f>
        <v/>
      </c>
      <c r="GK31" s="164">
        <f>IF($EZ31=2,3*$GD31&amp;" de vida temp.",IF($EZ31=3,"sem dano",IF($GD31=0,IF($EZ31=1,"sem cura","sem dano"),IF($EZ31=1,"cura ","")&amp;$GD31&amp;"d8")))</f>
        <v/>
      </c>
      <c r="GL31" s="164">
        <f>IF($EK31=0,"",TEXTJOIN(" · ",TRUE,IF($EK31=0,"",TEXTJOIN(" · ",TRUE,IF($EK31=0,"",TEXTJOIN(" · ",TRUE,IF(AND($DZ31=1,$EA31&gt;$HM$9),"O nível "&amp;$HM$2&amp;" dá "&amp;$HM$9&amp;" Liberação Máxima",""),IF($EB31&gt;$HM$4,"Classe "&amp;$EB31&amp;": o nível "&amp;$HM$2&amp;" libera até a "&amp;$HM$4,""),IF($ER31=1,"Família Fechada: a Forma "&amp;$ED31,""),IF($ES31=1,"Família Fechada: "&amp;$EE31,""),IF($ET31=1,"Família Fechada: "&amp;$EF31,""),IF($EU31=1,"Família Fechada: "&amp;$EG31,""),IF($EV31=1,"Família Fechada: "&amp;$EH31,""),IF($FN31&gt;INDEX($W$2:$W$8,$EB31),$FN31&amp;" Melhorias: a Classe "&amp;$EB31&amp;" aceita "&amp;INDEX($W$2:$W$8,$EB31),""),IF($FO31&gt;2,$FO31&amp;" Restrições"&amp;IF($EY31=1,", contando a que a Forma "&amp;$ED31&amp;" já traz","")&amp;": o limite é 2",""),IF($FU31&lt;0,"Orçamento estourado: faltam "&amp;(-$FU31)&amp;IF($FU31&lt;-1," pontos"," ponto"),""),IF(IFERROR(VLOOKUP(SUBSTITUTE(SUBSTITUTE(SUBSTITUTE($EI31,"~","~~"),"*","~*"),"?","~?"),'DADOS_RESTRICOES'!$M$2:$Q$54,4,FALSE),0)+IFERROR(VLOOKUP(SUBSTITUTE(SUBSTITUTE(SUBSTITUTE($EJ31,"~","~~"),"*","~*"),"?","~?"),'DADOS_RESTRICOES'!$M$2:$Q$54,4,FALSE),0)&gt;1,$FD31&amp;" e "&amp;$FE31&amp;" são as duas de frequência",""),IF(AND((COUNTIF($KW31:$KZ31,"Rápido")+COUNTIF($FD31:$FE31,"Rápido"))&gt;0,(COUNTIF($EE31:$EH31,"Atrasar")+COUNTIF($FD31:$FE31,"Atrasar"))&gt;0),"Rápido não entra com Atrasar",""),IF(AND((COUNTIF($KW31:$KZ31,"Reação")+COUNTIF($FD31:$FE31,"Reação"))&gt;0,(COUNTIF($KW31:$KZ31,"Rápido")+COUNTIF($FD31:$FE31,"Rápido"))&gt;0),"Reação não entra com Rápido",""),IF(AND((COUNTIF($KW31:$KZ31,"Reação")+COUNTIF($FD31:$FE31,"Reação"))&gt;0,(COUNTIF($KW31:$KZ31,"Armado")+COUNTIF($FD31:$FE31,"Armado"))&gt;0),"Reação não entra com Armado",""),IF(AND((COUNTIF($KW31:$KZ31,"Reação")+COUNTIF($FD31:$FE31,"Reação"))&gt;0,(COUNTIF($EE31:$EH31,"Atrasar")+COUNTIF($FD31:$FE31,"Atrasar"))&gt;0),"Reação não entra com Atrasar",""),IF(AND((COUNTIF($KW31:$KZ31,"Reação")+COUNTIF($FD31:$FE31,"Reação"))&gt;0,(COUNTIF($EE31:$EH31,"Parado")+COUNTIF($FD31:$FE31,"Parado"))&gt;0),"Reação não entra com Parado",""),IF(AND((COUNTIF($EE31:$EH31,"Atrasar")+COUNTIF($FD31:$FE31,"Atrasar"))&gt;0,(COUNTIF($EE31:$EH31,"Parado")+COUNTIF($FD31:$FE31,"Parado"))&gt;0),"Atrasar não entra com Parado",""),IF(AND((COUNTIF($KW31:$KZ31,"Armado")+COUNTIF($FD31:$FE31,"Armado"))&gt;0,(COUNTIF($EE31:$EH31,"Carregar")+COUNTIF($FD31:$FE31,"Carregar"))&gt;0),"Armado não entra com Carregar",""),IF(AND(COUNTIF($FD31:$FE31,"Corpo a Corpo")&gt;0,$EY31=0,OR($LB31="Cone",$LB31="Linha")),"Corpo a Corpo não entra em "&amp;$ED31,""),IF(AND(COUNTIF($FD31:$FE31,"Corpo a Corpo")&gt;0,$LC31="Corpo a Corpo"),"A Forma "&amp;$ED31&amp;" já traz o Corpo a Corpo",""),IF(AND(COUNTIF($FD31:$FE31,"Tudo ou Nada")&gt;0,$FA31=0),"Tudo ou Nada só entra em feitiço de Teste de Resistência",""),IF(AND(COUNTIF($KW31:$KZ31,"Inescapável")&gt;0,OR($FN31&gt;1,$FO31&gt;0)),"Inescapável não aceita outra peça",""),IF(AND($DZ31=1,$EB31&lt;3),"Liberação Máxima é de Classe 3 ou mais",""),IF(AND($DZ31=1,OR($EZ31=1,$EZ31=2)),"Liberação Máxima não serve para cura",""),IF(AND($DZ31=1,COUNTIF($KW31:$KZ31,"Inescapável")+COUNTIF($KW31:$KZ31,"Toca a Alma")&gt;0),"Esta peça não entra numa Liberação Máxima",""),IF($FV31*IF(COUNTIF($KW31:$KZ31,"Remate")&gt;0,1.25,1)+$FW31&gt;4*$EB31,($FV31*IF(COUNTIF($KW31:$KZ31,"Remate")&gt;0,1.25,1)+$FW31)&amp;" dados somando repetições"&amp;IF(COUNTIF($KW31:$KZ31,"Remate")&gt;0," e o Remate","")&amp;": o teto da Classe "&amp;$EB31&amp;" é "&amp;4*$EB31,""))),IF(AND($EE31&lt;&gt;"",COUNTIF('DADOS_MELHORIAS'!$O$2:$O$113,SUBSTITUTE(SUBSTITUTE(SUBSTITUTE($EE31,"~","~~"),"*","~*"),"?","~?"))=0),"Melhoria não cadastrada ou com erro: "&amp;$EE31,""),IF(AND($EF31&lt;&gt;"",COUNTIF('DADOS_MELHORIAS'!$O$2:$O$113,SUBSTITUTE(SUBSTITUTE(SUBSTITUTE($EF31,"~","~~"),"*","~*"),"?","~?"))=0),"Melhoria não cadastrada ou com erro: "&amp;$EF31,""),IF(AND($EG31&lt;&gt;"",COUNTIF('DADOS_MELHORIAS'!$O$2:$O$113,SUBSTITUTE(SUBSTITUTE(SUBSTITUTE($EG31,"~","~~"),"*","~*"),"?","~?"))=0),"Melhoria não cadastrada ou com erro: "&amp;$EG31,""),IF(AND($EH31&lt;&gt;"",COUNTIF('DADOS_MELHORIAS'!$O$2:$O$113,SUBSTITUTE(SUBSTITUTE(SUBSTITUTE($EH31,"~","~~"),"*","~*"),"?","~?"))=0),"Melhoria não cadastrada ou com erro: "&amp;$EH31,""),IF(AND($EI31&lt;&gt;"",COUNTIF('DADOS_RESTRICOES'!$M$2:$M$54,SUBSTITUTE(SUBSTITUTE(SUBSTITUTE($EI31,"~","~~"),"*","~*"),"?","~?"))=0),"Restrição não cadastrada ou com erro: "&amp;$EI31,""),IF(AND($EJ31&lt;&gt;"",COUNTIF('DADOS_RESTRICOES'!$M$2:$M$54,SUBSTITUTE(SUBSTITUTE(SUBSTITUTE($EJ31,"~","~~"),"*","~*"),"?","~?"))=0),"Restrição não cadastrada ou com erro: "&amp;$EJ31,""))),IF(AND($ED31&lt;&gt;"",COUNTIF('DADOS_FORMAS'!$AH$2:$AH$21,SUBSTITUTE(SUBSTITUTE(SUBSTITUTE($ED31,"~","~~"),"*","~*"),"?","~?"))=0),"Forma não cadastrada ou com erro: "&amp;$ED31,""),IF(AND(IFERROR(INDEX('DADOS_FORMAS'!$AS$2:$AS$21,MATCH(SUBSTITUTE(SUBSTITUTE(SUBSTITUTE($ED31,"~","~~"),"*","~*"),"?","~?"),'DADOS_FORMAS'!$AH$2:$AH$21,0)),"")&lt;&gt;"",OR(IFERROR(VLOOKUP(SUBSTITUTE(SUBSTITUTE(SUBSTITUTE(IFERROR(INDEX('DADOS_FORMAS'!$AS$2:$AS$21,MATCH(SUBSTITUTE(SUBSTITUTE(SUBSTITUTE($ED31,"~","~~"),"*","~*"),"?","~?"),'DADOS_FORMAS'!$AH$2:$AH$21,0)),""),"~","~~"),"*","~*"),"?","~?"),'DADOS_RESTRICOES'!$M$2:$Q$54,2,FALSE),"")=$FD31,IFERROR(VLOOKUP(SUBSTITUTE(SUBSTITUTE(SUBSTITUTE(IFERROR(INDEX('DADOS_FORMAS'!$AS$2:$AS$21,MATCH(SUBSTITUTE(SUBSTITUTE(SUBSTITUTE($ED31,"~","~~"),"*","~*"),"?","~?"),'DADOS_FORMAS'!$AH$2:$AH$21,0)),""),"~","~~"),"*","~*"),"?","~?"),'DADOS_RESTRICOES'!$M$2:$Q$54,2,FALSE),"")=$FE31)),"Restrição repetida, contando a embutida",""),IF(IF(IFERROR(INDEX('DADOS_FORMAS'!$AS$2:$AS$21,MATCH(SUBSTITUTE(SUBSTITUTE(SUBSTITUTE($ED31,"~","~~"),"*","~*"),"?","~?"),'DADOS_FORMAS'!$AH$2:$AH$21,0)),"")="",0,IFERROR(N(VLOOKUP(SUBSTITUTE(SUBSTITUTE(SUBSTITUTE(IFERROR(INDEX('DADOS_FORMAS'!$AS$2:$AS$21,MATCH(SUBSTITUTE(SUBSTITUTE(SUBSTITUTE($ED31,"~","~~"),"*","~*"),"?","~?"),'DADOS_FORMAS'!$AH$2:$AH$21,0)),""),"~","~~"),"*","~*"),"?","~?"),'DADOS_RESTRICOES'!$M$2:$Q$54,4,FALSE)=1),0))+IF($EI31="",0,IFERROR(N(VLOOKUP(SUBSTITUTE(SUBSTITUTE(SUBSTITUTE($EI31,"~","~~"),"*","~*"),"?","~?"),'DADOS_RESTRICOES'!$M$2:$Q$54,4,FALSE)=1),0))+IF($EJ31="",0,IFERROR(N(VLOOKUP(SUBSTITUTE(SUBSTITUTE(SUBSTITUTE($EJ31,"~","~~"),"*","~*"),"?","~?"),'DADOS_RESTRICOES'!$M$2:$Q$54,4,FALSE)=1),0))&gt;1,"Duas Restrições de frequência, contando a embutida",""),IF(AND(IFERROR(VLOOKUP(SUBSTITUTE(SUBSTITUTE(SUBSTITUTE(IFERROR(INDEX('DADOS_FORMAS'!$AS$2:$AS$21,MATCH(SUBSTITUTE(SUBSTITUTE(SUBSTITUTE($ED31,"~","~~"),"*","~*"),"?","~?"),'DADOS_FORMAS'!$AH$2:$AH$21,0)),""),"~","~~"),"*","~*"),"?","~?"),'DADOS_RESTRICOES'!$M$2:$Q$54,2,FALSE),"")="Tudo ou Nada",$FA31=0),"Tudo ou Nada exige TR",""),IF(AND(IFERROR(VLOOKUP(SUBSTITUTE(SUBSTITUTE(SUBSTITUTE(IFERROR(INDEX('DADOS_FORMAS'!$AS$2:$AS$21,MATCH(SUBSTITUTE(SUBSTITUTE(SUBSTITUTE($ED31,"~","~~"),"*","~*"),"?","~?"),'DADOS_FORMAS'!$AH$2:$AH$21,0)),""),"~","~~"),"*","~*"),"?","~?"),'DADOS_RESTRICOES'!$M$2:$Q$54,2,FALSE),"")="Corpo a Corpo",OR($LB31="Cone",$LB31="Linha")),"Corpo a Corpo não entra em Cone/Linha","")))</f>
        <v/>
      </c>
      <c r="GM31" s="164">
        <f>IF($GL31="",0,(LEN($GL31)-LEN(SUBSTITUTE($GL31," · ","")))/3+1)</f>
        <v/>
      </c>
      <c r="GN31" s="164">
        <f>IF($EK31=0,"",TEXTJOIN(" · ",TRUE,IF($FQ31&gt;2*$EB31,"A devolução parou no teto de "&amp;2*$EB31,""),IF($FT31&gt;0,"Devolução perdida: "&amp;$FT31&amp;IF($FT31&gt;1," pontos"," ponto")&amp;" sem Melhoria para pagar",""),IF(AND($EW31&gt;0,$FV31=0),"Controle sem dano: uma rodada a mais e CD +2",""),IF(AND($EW31&gt;0,$FV31&gt;0,$FV31&lt;=$EB31),"Controle com saldo até a Classe: uma rodada a mais","")))</f>
        <v/>
      </c>
      <c r="GO31" s="164">
        <f>IF($GN31="",0,(LEN($GN31)-LEN(SUBSTITUTE($GN31," · ","")))/3+1)</f>
        <v/>
      </c>
      <c r="GP31" s="164">
        <f>IF($EK31=0,IF($FN31+$FO31-$EY31&gt;0,"Dê um nome",""),IF($GM31&gt;0,"⚠ "&amp;$GM31&amp;IF($GM31&gt;1," erros"," erro"),IF($GO31&gt;0,"! "&amp;$GO31&amp;IF($GO31&gt;1," avisos"," aviso"),"Na regra")))</f>
        <v/>
      </c>
      <c r="GQ31" s="164">
        <f>IF($EK31=0,"",IF($GM31+$GO31=0,"Dentro das regras que a ficha confere",$GL31&amp;IF(AND($GM31&gt;0,$GO31&gt;0)," · ","")&amp;$GN31))</f>
        <v/>
      </c>
      <c r="GR31" s="164">
        <f>IF($EK31=0,"",IF($DZ31=1,CEILING(4.5*$EB31,1),3*$EB31)&amp;" PE")</f>
        <v/>
      </c>
      <c r="GS31" s="164">
        <f>IF($EK31=0,"",IF($DZ31=1,"Rodada inteira",IF(COUNTIF($LD31:$LF31,"Atrasar")&gt;0,IF(COUNTIF($LD31:$LF31,"Carregar")&gt;0,"Rodada +1 turno","Rodada inteira"),IF(COUNTIF($KW31:$KZ31,"Rápido")&gt;0,"Bônus",IF(COUNTIF($KW31:$KZ31,"Reação")&gt;0,"Reação","Padrão"))&amp;IF(COUNTIF($LD31:$LF31,"Carregar")&gt;0," +1 turno",""))))</f>
        <v/>
      </c>
      <c r="GT31" s="164">
        <f>IF(OR($EK31=0,$EL31=0),"",IF(COUNTIF($KW31:$KZ31,"Inescapável")&gt;0,"Automático",IF(COUNTIF($KW31:$KZ31,"Certeiro")&gt;0,"TR para metade",IF(AND($EX31&gt;0,$FA31=0,INDEX('DADOS_FORMAS'!$FQ$2:$FQ$21,$EL31)="Acerto"),"Acerto + TR",INDEX('DADOS_FORMAS'!$FQ$2:$FQ$21,$EL31)))))</f>
        <v/>
      </c>
      <c r="GU31" s="164">
        <f>IF(OR($EK31=0,$EL31=0),"",IF(OR($EZ31&gt;=2,$FV31=0),UPPER(LEFT(INDEX($GE31:$GK31,1,$EB31),1))&amp;MID(INDEX($GE31:$GK31,1,$EB31),2,99),UPPER(LEFT(INDEX($GE31:$GK31,1,$EB31),1))&amp;MID(INDEX($GE31:$GK31,1,$EB31),2,99)&amp;" = "&amp;FLOOR($FV31*4.5,1)&amp;IF($FW31&gt;0," · +"&amp;$FW31&amp;"d8","")))</f>
        <v/>
      </c>
      <c r="GV31" s="164">
        <f>COUNTIF($KW31:$KZ31,"Longe")+3*COUNTIF($KW31:$KZ31,"Muito Longe")</f>
        <v/>
      </c>
      <c r="GW31" s="164">
        <f>COUNTIF($KW31:$KZ31,"Maior")+3*COUNTIF($KW31:$KZ31,"Muito Maior")</f>
        <v/>
      </c>
      <c r="GX31" s="164">
        <f>IF($EL31=0,0,CHOOSE(1+INDEX('DADOS_FORMAS'!$FS$2:$FS$21,$EL31),0,$GV31,$GW31,$GV31+$GW31))</f>
        <v/>
      </c>
      <c r="GY31" s="164">
        <f>IF($EL31=0,0,CHOOSE(1+INDEX('DADOS_FORMAS'!$FT$2:$FT$21,$EL31),0,$GV31,$GW31,$GV31+$GW31))</f>
        <v/>
      </c>
      <c r="GZ31" s="164">
        <f>IF(OR($EK31=0,$EL31=0),"",INDEX('DADOS_FORMAS'!$GZ$2:$HE$61,($EL31-1)*3+IF($EB31&gt;=6,3,2),1+MIN(5,$GX31))&amp;INDEX('DADOS_FORMAS'!$HF$2:$HK$61,($EL31-1)*3+IF($EB31&gt;=6,3,2),1+MIN(5,$GY31))&amp;IF(INDEX('DADOS_FORMAS'!$FU$2:$FU$21,$EL31)=1,IF(COUNTIF($KW31:$KZ31,"Mais Um")&gt;0," · +"&amp;COUNTIF($KW31:$KZ31,"Mais Um")&amp;IF(COUNTIF($KW31:$KZ31,"Mais Um")&gt;1," alvos"," alvo"),"")&amp;IF(COUNTIF($KW31:$KZ31,"Rajada")&gt;0," · "&amp;($EB31+1)&amp;" tiros",""),""))</f>
        <v/>
      </c>
      <c r="HA31" s="164">
        <f>IF($EK31=0,"",3*$EB31&amp;" − "&amp;$FP31&amp;" + "&amp;$FS31&amp;IF($DZ31=1," + "&amp;$EB31,"")&amp;" = "&amp;$FV31&amp;"d8 · teto "&amp;4*$EB31&amp;IF($EY31=1," · a Forma devolve "&amp;$EB31,"")&amp;IF($FT31&gt;0," · perde "&amp;$FT31,""))</f>
        <v/>
      </c>
      <c r="HB31" s="164">
        <f>IF($EK31=0,"",IF($EB31&gt;=$HM$4,"Já está na maior Classe que o nível liberou",TEXTJOIN(" · ",TRUE,IF(AND(2&gt;$EB31,2&lt;=$HM$4),"2 → "&amp;$GF31&amp;", "&amp;IF($DZ31=1,9,6)&amp;" PE",""),IF(AND(3&gt;$EB31,3&lt;=$HM$4),"3 → "&amp;$GG31&amp;", "&amp;IF($DZ31=1,14,9)&amp;" PE",""),IF(AND(4&gt;$EB31,4&lt;=$HM$4),"4 → "&amp;$GH31&amp;", "&amp;IF($DZ31=1,18,12)&amp;" PE",""),IF(AND(5&gt;$EB31,5&lt;=$HM$4),"5 → "&amp;$GI31&amp;", "&amp;IF($DZ31=1,23,15)&amp;" PE",""),IF(AND(6&gt;$EB31,6&lt;=$HM$4),"6 → "&amp;$GJ31&amp;", "&amp;IF($DZ31=1,27,18)&amp;" PE",""),IF(AND(7&gt;$EB31,7&lt;=$HM$4),"7 → "&amp;$GK31&amp;", "&amp;IF($DZ31=1,32,21)&amp;" PE",""))))</f>
        <v/>
      </c>
      <c r="HC31" s="164">
        <f>IF(OR($EK31=0,$EN31=0),"","−"&amp;INDEX($Q$2:$V$8,$EB31,$EN31)&amp;" · "&amp;CHOOSE($EN31,"Leve","Média","Pesada","Leve · Livre","Média · Livre","Pesada · Livre"))</f>
        <v/>
      </c>
      <c r="HD31" s="164">
        <f>IF(OR($EK31=0,$EO31=0),"","−"&amp;INDEX($Q$2:$V$8,$EB31,$EO31)&amp;" · "&amp;CHOOSE($EO31,"Leve","Média","Pesada","Leve · Livre","Média · Livre","Pesada · Livre"))</f>
        <v/>
      </c>
      <c r="HE31" s="164">
        <f>IF(OR($EK31=0,$EP31=0),"","−"&amp;INDEX($Q$2:$V$8,$EB31,$EP31)&amp;" · "&amp;CHOOSE($EP31,"Leve","Média","Pesada","Leve · Livre","Média · Livre","Pesada · Livre"))</f>
        <v/>
      </c>
      <c r="HF31" s="164">
        <f>IF(OR($EK31=0,$EQ31=0),"","−"&amp;INDEX($Q$2:$V$8,$EB31,$EQ31)&amp;" · "&amp;CHOOSE($EQ31,"Leve","Média","Pesada","Leve · Livre","Média · Livre","Pesada · Livre"))</f>
        <v/>
      </c>
      <c r="HG31" s="164">
        <f>IF(OR($EK31=0,$EI31=""),"","+"&amp;IF($FB31=1,CEILING($EB31/2,1),$EB31))</f>
        <v/>
      </c>
      <c r="HH31" s="164">
        <f>IF(OR($EK31=0,$EJ31=""),"","+"&amp;IF($FC31=1,CEILING($EB31/2,1),$EB31))</f>
        <v/>
      </c>
      <c r="HI31" s="164">
        <f>'FICHA AMALDIÇOADA'!$P$259&amp;""</f>
        <v/>
      </c>
      <c r="HJ31" s="164">
        <f>IF(AND($EK31=1,$DZ31=0),COUNTIFS($EK$2:$EK31,1,$DZ$2:$DZ31,0),"")</f>
        <v/>
      </c>
      <c r="HL31" s="162" t="inlineStr">
        <is>
          <t>famílias livres</t>
        </is>
      </c>
      <c r="HM31" s="164">
        <f>COUNTIF('DADOS_CRIACAO'!$I$2:$I$20,"Livre")</f>
        <v/>
      </c>
      <c r="JH31" s="164" t="n">
        <v>30</v>
      </c>
      <c r="JI31" s="164">
        <f>IFERROR(MATCH(30,$HJ$2:$HJ$37,0),0)</f>
        <v/>
      </c>
      <c r="JJ31" s="164">
        <f>IF($JI31=0,"",INDEX($EB$2:$EB$37,$JI31))</f>
        <v/>
      </c>
      <c r="JK31" s="164">
        <f>IF($JI31=0,"",INDEX($EC$2:$EC$37,$JI31))</f>
        <v/>
      </c>
      <c r="JL31" s="164">
        <f>IF($JI31=0,"",INDEX($GR$2:$GR$37,$JI31))</f>
        <v/>
      </c>
      <c r="JM31" s="164">
        <f>IF($JI31=0,"",INDEX($ED$2:$ED$37,$JI31))</f>
        <v/>
      </c>
      <c r="JN31" s="164">
        <f>IF($JI31=0,"",INDEX($GT$2:$GT$37,$JI31))</f>
        <v/>
      </c>
      <c r="JO31" s="164">
        <f>IF($JI31=0,"",INDEX($HI$2:$HI$37,$JI31))</f>
        <v/>
      </c>
      <c r="KU31" s="162" t="inlineStr">
        <is>
          <t>M59</t>
        </is>
      </c>
      <c r="KV31" s="164">
        <f>INDEX(DADOS_AM!$P$2:$W$8,DADOS_AM!$HM$30,8)</f>
        <v/>
      </c>
      <c r="KW31">
        <f>IF($EE31="","",IFERROR(VLOOKUP(SUBSTITUTE(SUBSTITUTE(SUBSTITUTE($EE31,"~","~~"),"*","~*"),"?","~?"),'DADOS_MELHORIAS'!$O$2:$X$113,10,FALSE),$EE31))</f>
        <v/>
      </c>
      <c r="KX31">
        <f>IF($EF31="","",IFERROR(VLOOKUP(SUBSTITUTE(SUBSTITUTE(SUBSTITUTE($EF31,"~","~~"),"*","~*"),"?","~?"),'DADOS_MELHORIAS'!$O$2:$X$113,10,FALSE),$EF31))</f>
        <v/>
      </c>
      <c r="KY31">
        <f>IF($EG31="","",IFERROR(VLOOKUP(SUBSTITUTE(SUBSTITUTE(SUBSTITUTE($EG31,"~","~~"),"*","~*"),"?","~?"),'DADOS_MELHORIAS'!$O$2:$X$113,10,FALSE),$EG31))</f>
        <v/>
      </c>
      <c r="KZ31">
        <f>IF($EH31="","",IFERROR(VLOOKUP(SUBSTITUTE(SUBSTITUTE(SUBSTITUTE($EH31,"~","~~"),"*","~*"),"?","~?"),'DADOS_MELHORIAS'!$O$2:$X$113,10,FALSE),$EH31))</f>
        <v/>
      </c>
      <c r="LB31">
        <f>IFERROR(INDEX('DADOS_FORMAS'!$BJ$2:$BJ$21,MATCH(SUBSTITUTE(SUBSTITUTE(SUBSTITUTE($ED31,"~","~~"),"*","~*"),"?","~?"),'DADOS_FORMAS'!$AH$2:$AH$21,0)),"")</f>
        <v/>
      </c>
      <c r="LC31">
        <f>IFERROR(VLOOKUP(SUBSTITUTE(SUBSTITUTE(SUBSTITUTE(IFERROR(INDEX('DADOS_FORMAS'!$AS$2:$AS$21,MATCH(SUBSTITUTE(SUBSTITUTE(SUBSTITUTE($ED31,"~","~~"),"*","~*"),"?","~?"),'DADOS_FORMAS'!$AH$2:$AH$21,0)),""),"~","~~"),"*","~*"),"?","~?"),'DADOS_RESTRICOES'!$M$2:$Q$54,2,FALSE),"")</f>
        <v/>
      </c>
      <c r="LD31">
        <f>$FD31</f>
        <v/>
      </c>
      <c r="LE31">
        <f>$FE31</f>
        <v/>
      </c>
      <c r="LF31">
        <f>$LC31</f>
        <v/>
      </c>
    </row>
    <row r="32">
      <c r="BC32" s="162" t="inlineStr">
        <is>
          <t>Impedido</t>
        </is>
      </c>
      <c r="BD32" s="162" t="inlineStr">
        <is>
          <t>Controle</t>
        </is>
      </c>
      <c r="BE32" s="164" t="n">
        <v>3</v>
      </c>
      <c r="BF32" s="164">
        <f>$BE32+3*IFERROR(VLOOKUP($BD32,'DADOS_CRIACAO'!$H$2:$K$20,3,FALSE),0)</f>
        <v/>
      </c>
      <c r="BG32" s="164">
        <f>IFERROR(VLOOKUP($BD32,'DADOS_CRIACAO'!$H$2:$K$20,4,FALSE),0)</f>
        <v/>
      </c>
      <c r="BH32" s="164" t="n">
        <v>1</v>
      </c>
      <c r="BI32" s="164">
        <f>IF($BG32=1,"",$BC32)</f>
        <v/>
      </c>
      <c r="BJ32" s="164">
        <f>IF(AND($BE32=1,$BG32=0),$BC32,"")</f>
        <v/>
      </c>
      <c r="BK32" s="164" t="n">
        <v>1</v>
      </c>
      <c r="CD32" s="162" t="inlineStr">
        <is>
          <t>Campo</t>
        </is>
      </c>
      <c r="CE32" s="162" t="inlineStr">
        <is>
          <t>Lapidação 1</t>
        </is>
      </c>
      <c r="CF32" s="164" t="n">
        <v>1</v>
      </c>
      <c r="CG32" s="162" t="inlineStr">
        <is>
          <t>—</t>
        </is>
      </c>
      <c r="CH32" s="162" t="inlineStr">
        <is>
          <t>Uma vez por cena, você pode realizar Estudar como Ação Bônus, em vez de Ação Padrão. Use a ação descrita em Ações — Estudar, com seus alvos, testes e informações disponíveis.</t>
        </is>
      </c>
      <c r="CI32" s="164">
        <f>IF($CL32=1,"",IF($A$2=4,IF($CJ32=1,$CD32,""),IF(OR($CJ32=1,AND($A$2=3,$CK32=1)),"",$CD32)))</f>
        <v/>
      </c>
      <c r="CJ32" s="164" t="n">
        <v>1</v>
      </c>
      <c r="CK32" s="164" t="n">
        <v>0</v>
      </c>
      <c r="CL32" s="164" t="n">
        <v>0</v>
      </c>
      <c r="CM32" s="162" t="inlineStr">
        <is>
          <t>Uma vez por cena, você pode realizar Estudar como Ação Bônus, em vez de Ação Padrão. Use a ação descrita em Ações — Estudar, com seus alvos, testes e informações disponíveis.</t>
        </is>
      </c>
      <c r="DY32" s="162" t="inlineStr">
        <is>
          <t>Feitiço 31</t>
        </is>
      </c>
      <c r="DZ32" s="164" t="n">
        <v>0</v>
      </c>
      <c r="EA32" s="164" t="n">
        <v>31</v>
      </c>
      <c r="EB32" s="164">
        <f>MAX(1,MIN(7,N('FICHA AMALDIÇOADA'!$D$278)))</f>
        <v/>
      </c>
      <c r="EC32" s="164">
        <f>'FICHA AMALDIÇOADA'!$E$278&amp;""</f>
        <v/>
      </c>
      <c r="ED32" s="164">
        <f>'FICHA AMALDIÇOADA'!$D$285&amp;""</f>
        <v/>
      </c>
      <c r="EE32" s="164">
        <f>'FICHA AMALDIÇOADA'!$E$287&amp;""</f>
        <v/>
      </c>
      <c r="EF32" s="164">
        <f>'FICHA AMALDIÇOADA'!$E$288&amp;""</f>
        <v/>
      </c>
      <c r="EG32" s="164">
        <f>'FICHA AMALDIÇOADA'!$E$289&amp;""</f>
        <v/>
      </c>
      <c r="EH32" s="164">
        <f>'FICHA AMALDIÇOADA'!$E$290&amp;""</f>
        <v/>
      </c>
      <c r="EI32" s="164">
        <f>'FICHA AMALDIÇOADA'!$E$291&amp;""</f>
        <v/>
      </c>
      <c r="EJ32" s="164">
        <f>'FICHA AMALDIÇOADA'!$E$292&amp;""</f>
        <v/>
      </c>
      <c r="EK32" s="164">
        <f>IF($EC32&lt;&gt;"",1,0)</f>
        <v/>
      </c>
      <c r="EL32" s="164">
        <f>IFERROR(MATCH(SUBSTITUTE(SUBSTITUTE(SUBSTITUTE($ED32,"~","~~"),"*","~*"),"?","~?"),'DADOS_FORMAS'!$FJ$2:$FJ$21,0),0)</f>
        <v/>
      </c>
      <c r="EM32" s="164">
        <f>IF($EL32=0,0,INDEX('DADOS_FORMAS'!$FM$2:$FM$21,$EL32))</f>
        <v/>
      </c>
      <c r="EN32" s="164">
        <f>IFERROR(VLOOKUP(SUBSTITUTE(SUBSTITUTE(SUBSTITUTE($EE32,"~","~~"),"*","~*"),"?","~?"),'DADOS_MELHORIAS'!$O$2:$W$113,4,FALSE),0)</f>
        <v/>
      </c>
      <c r="EO32" s="164">
        <f>IFERROR(VLOOKUP(SUBSTITUTE(SUBSTITUTE(SUBSTITUTE($EF32,"~","~~"),"*","~*"),"?","~?"),'DADOS_MELHORIAS'!$O$2:$W$113,4,FALSE),0)</f>
        <v/>
      </c>
      <c r="EP32" s="164">
        <f>IFERROR(VLOOKUP(SUBSTITUTE(SUBSTITUTE(SUBSTITUTE($EG32,"~","~~"),"*","~*"),"?","~?"),'DADOS_MELHORIAS'!$O$2:$W$113,4,FALSE),0)</f>
        <v/>
      </c>
      <c r="EQ32" s="164">
        <f>IFERROR(VLOOKUP(SUBSTITUTE(SUBSTITUTE(SUBSTITUTE($EH32,"~","~~"),"*","~*"),"?","~?"),'DADOS_MELHORIAS'!$O$2:$W$113,4,FALSE),0)</f>
        <v/>
      </c>
      <c r="ER32" s="164">
        <f>IF($EL32=0,0,INDEX('DADOS_FORMAS'!$FN$2:$FN$21,$EL32))</f>
        <v/>
      </c>
      <c r="ES32" s="164">
        <f>IFERROR(VLOOKUP(SUBSTITUTE(SUBSTITUTE(SUBSTITUTE($EE32,"~","~~"),"*","~*"),"?","~?"),'DADOS_MELHORIAS'!$O$2:$W$113,5,FALSE),0)</f>
        <v/>
      </c>
      <c r="ET32" s="164">
        <f>IFERROR(VLOOKUP(SUBSTITUTE(SUBSTITUTE(SUBSTITUTE($EF32,"~","~~"),"*","~*"),"?","~?"),'DADOS_MELHORIAS'!$O$2:$W$113,5,FALSE),0)</f>
        <v/>
      </c>
      <c r="EU32" s="164">
        <f>IFERROR(VLOOKUP(SUBSTITUTE(SUBSTITUTE(SUBSTITUTE($EG32,"~","~~"),"*","~*"),"?","~?"),'DADOS_MELHORIAS'!$O$2:$W$113,5,FALSE),0)</f>
        <v/>
      </c>
      <c r="EV32" s="164">
        <f>IFERROR(VLOOKUP(SUBSTITUTE(SUBSTITUTE(SUBSTITUTE($EH32,"~","~~"),"*","~*"),"?","~?"),'DADOS_MELHORIAS'!$O$2:$W$113,5,FALSE),0)</f>
        <v/>
      </c>
      <c r="EW32" s="164">
        <f>IFERROR(VLOOKUP(SUBSTITUTE(SUBSTITUTE(SUBSTITUTE($EE32,"~","~~"),"*","~*"),"?","~?"),'DADOS_MELHORIAS'!$O$2:$W$113,6,FALSE),0)+IFERROR(VLOOKUP(SUBSTITUTE(SUBSTITUTE(SUBSTITUTE($EF32,"~","~~"),"*","~*"),"?","~?"),'DADOS_MELHORIAS'!$O$2:$W$113,6,FALSE),0)+IFERROR(VLOOKUP(SUBSTITUTE(SUBSTITUTE(SUBSTITUTE($EG32,"~","~~"),"*","~*"),"?","~?"),'DADOS_MELHORIAS'!$O$2:$W$113,6,FALSE),0)+IFERROR(VLOOKUP(SUBSTITUTE(SUBSTITUTE(SUBSTITUTE($EH32,"~","~~"),"*","~*"),"?","~?"),'DADOS_MELHORIAS'!$O$2:$W$113,6,FALSE),0)</f>
        <v/>
      </c>
      <c r="EX32" s="164">
        <f>IFERROR(VLOOKUP(SUBSTITUTE(SUBSTITUTE(SUBSTITUTE($EE32,"~","~~"),"*","~*"),"?","~?"),'DADOS_MELHORIAS'!$O$2:$W$113,9,FALSE),0)+IFERROR(VLOOKUP(SUBSTITUTE(SUBSTITUTE(SUBSTITUTE($EF32,"~","~~"),"*","~*"),"?","~?"),'DADOS_MELHORIAS'!$O$2:$W$113,9,FALSE),0)+IFERROR(VLOOKUP(SUBSTITUTE(SUBSTITUTE(SUBSTITUTE($EG32,"~","~~"),"*","~*"),"?","~?"),'DADOS_MELHORIAS'!$O$2:$W$113,9,FALSE),0)+IFERROR(VLOOKUP(SUBSTITUTE(SUBSTITUTE(SUBSTITUTE($EH32,"~","~~"),"*","~*"),"?","~?"),'DADOS_MELHORIAS'!$O$2:$W$113,9,FALSE),0)</f>
        <v/>
      </c>
      <c r="EY32" s="164">
        <f>IF($EL32=0,0,INDEX('DADOS_FORMAS'!$FO$2:$FO$21,$EL32))</f>
        <v/>
      </c>
      <c r="EZ32" s="164">
        <f>IF($EL32=0,0,INDEX('DADOS_FORMAS'!$FP$2:$FP$21,$EL32))</f>
        <v/>
      </c>
      <c r="FA32" s="164">
        <f>IF($EL32=0,0,INDEX('DADOS_FORMAS'!$FR$2:$FR$21,$EL32))</f>
        <v/>
      </c>
      <c r="FB32" s="164">
        <f>IFERROR(VLOOKUP(SUBSTITUTE(SUBSTITUTE(SUBSTITUTE($EI32,"~","~~"),"*","~*"),"?","~?"),'DADOS_RESTRICOES'!$M$2:$Q$54,3,FALSE),0)</f>
        <v/>
      </c>
      <c r="FC32" s="164">
        <f>IFERROR(VLOOKUP(SUBSTITUTE(SUBSTITUTE(SUBSTITUTE($EJ32,"~","~~"),"*","~*"),"?","~?"),'DADOS_RESTRICOES'!$M$2:$Q$54,3,FALSE),0)</f>
        <v/>
      </c>
      <c r="FD32" s="164">
        <f>IFERROR(VLOOKUP(SUBSTITUTE(SUBSTITUTE(SUBSTITUTE($EI32,"~","~~"),"*","~*"),"?","~?"),'DADOS_RESTRICOES'!$M$2:$Q$54,2,FALSE),"")</f>
        <v/>
      </c>
      <c r="FE32" s="164">
        <f>IFERROR(VLOOKUP(SUBSTITUTE(SUBSTITUTE(SUBSTITUTE($EJ32,"~","~~"),"*","~*"),"?","~?"),'DADOS_RESTRICOES'!$M$2:$Q$54,2,FALSE),"")</f>
        <v/>
      </c>
      <c r="FF32" s="164">
        <f>COUNTIF($EM32:$EQ32,1)</f>
        <v/>
      </c>
      <c r="FG32" s="164">
        <f>COUNTIF($EM32:$EQ32,2)</f>
        <v/>
      </c>
      <c r="FH32" s="164">
        <f>COUNTIF($EM32:$EQ32,3)</f>
        <v/>
      </c>
      <c r="FI32" s="164">
        <f>COUNTIF($EM32:$EQ32,4)</f>
        <v/>
      </c>
      <c r="FJ32" s="164">
        <f>COUNTIF($EM32:$EQ32,5)</f>
        <v/>
      </c>
      <c r="FK32" s="164">
        <f>COUNTIF($EM32:$EQ32,6)</f>
        <v/>
      </c>
      <c r="FL32" s="164">
        <f>COUNTIF($FB32:$FC32,1)+IF(IFERROR(INDEX('DADOS_FORMAS'!$AS$2:$AS$21,MATCH(SUBSTITUTE(SUBSTITUTE(SUBSTITUTE($ED32,"~","~~"),"*","~*"),"?","~?"),'DADOS_FORMAS'!$AH$2:$AH$21,0)),"")="",0,IFERROR(N(VLOOKUP(SUBSTITUTE(SUBSTITUTE(SUBSTITUTE(IFERROR(INDEX('DADOS_FORMAS'!$AS$2:$AS$21,MATCH(SUBSTITUTE(SUBSTITUTE(SUBSTITUTE($ED32,"~","~~"),"*","~*"),"?","~?"),'DADOS_FORMAS'!$AH$2:$AH$21,0)),""),"~","~~"),"*","~*"),"?","~?"),'DADOS_RESTRICOES'!$M$2:$Q$54,3,FALSE)=1),0))</f>
        <v/>
      </c>
      <c r="FM32" s="164">
        <f>COUNTIF($FB32:$FC32,2)+IF(IFERROR(INDEX('DADOS_FORMAS'!$AS$2:$AS$21,MATCH(SUBSTITUTE(SUBSTITUTE(SUBSTITUTE($ED32,"~","~~"),"*","~*"),"?","~?"),'DADOS_FORMAS'!$AH$2:$AH$21,0)),"")="",0,IFERROR(N(VLOOKUP(SUBSTITUTE(SUBSTITUTE(SUBSTITUTE(IFERROR(INDEX('DADOS_FORMAS'!$AS$2:$AS$21,MATCH(SUBSTITUTE(SUBSTITUTE(SUBSTITUTE($ED32,"~","~~"),"*","~*"),"?","~?"),'DADOS_FORMAS'!$AH$2:$AH$21,0)),""),"~","~~"),"*","~*"),"?","~?"),'DADOS_RESTRICOES'!$M$2:$Q$54,3,FALSE)=2),0))</f>
        <v/>
      </c>
      <c r="FN32" s="164">
        <f>COUNTIF($EE32:$EH32,"?*")</f>
        <v/>
      </c>
      <c r="FO32" s="164">
        <f>COUNTIF($EI32:$EJ32,"?*")+$EY32</f>
        <v/>
      </c>
      <c r="FP32" s="164">
        <f>SUMPRODUCT($FF32:$FK32,INDEX($Q$2:$V$8,$EB32,0))</f>
        <v/>
      </c>
      <c r="FQ32" s="164">
        <f>$FL32*CEILING($EB32/2,1)+$FM32*$EB32</f>
        <v/>
      </c>
      <c r="FR32" s="164">
        <f>MIN(2*$EB32,$FQ32)</f>
        <v/>
      </c>
      <c r="FS32" s="164">
        <f>MIN($FR32,$FP32-IF($EM32=0,0,INDEX($Q$2:$V$8,$EB32,$EM32)))</f>
        <v/>
      </c>
      <c r="FT32" s="164">
        <f>$FR32-$FS32</f>
        <v/>
      </c>
      <c r="FU32" s="164">
        <f>3*$EB32-$FP32+$FS32</f>
        <v/>
      </c>
      <c r="FV32" s="164">
        <f>MAX(0,$FU32)+$DZ32*$EB32</f>
        <v/>
      </c>
      <c r="FW32" s="164">
        <f>(IF(COUNTIF($KW32:$KZ32,"Salto")&gt;0,1,0)+IF(COUNTIF($KW32:$KZ32,"Queima")&gt;0,1,0)+IF(COUNTIF($KW32:$KZ32,"Estilhaço")&gt;0,1,0))*FLOOR($FV32/2,1)</f>
        <v/>
      </c>
      <c r="FX32" s="164">
        <f>MAX(0,3-SUMPRODUCT($FF32:$FK32,$Q$2:$V$2)+MIN(2,$FL32*1+$FM32*1,SUMPRODUCT($FF32:$FK32,$Q$2:$V$2)-IF($EM32=0,0,INDEX($Q$2:$V$2,1,$EM32))))+$DZ32*1</f>
        <v/>
      </c>
      <c r="FY32" s="164">
        <f>MAX(0,6-SUMPRODUCT($FF32:$FK32,$Q$3:$V$3)+MIN(4,$FL32*1+$FM32*2,SUMPRODUCT($FF32:$FK32,$Q$3:$V$3)-IF($EM32=0,0,INDEX($Q$3:$V$3,1,$EM32))))+$DZ32*2</f>
        <v/>
      </c>
      <c r="FZ32" s="164">
        <f>MAX(0,9-SUMPRODUCT($FF32:$FK32,$Q$4:$V$4)+MIN(6,$FL32*2+$FM32*3,SUMPRODUCT($FF32:$FK32,$Q$4:$V$4)-IF($EM32=0,0,INDEX($Q$4:$V$4,1,$EM32))))+$DZ32*3</f>
        <v/>
      </c>
      <c r="GA32" s="164">
        <f>MAX(0,12-SUMPRODUCT($FF32:$FK32,$Q$5:$V$5)+MIN(8,$FL32*2+$FM32*4,SUMPRODUCT($FF32:$FK32,$Q$5:$V$5)-IF($EM32=0,0,INDEX($Q$5:$V$5,1,$EM32))))+$DZ32*4</f>
        <v/>
      </c>
      <c r="GB32" s="164">
        <f>MAX(0,15-SUMPRODUCT($FF32:$FK32,$Q$6:$V$6)+MIN(10,$FL32*3+$FM32*5,SUMPRODUCT($FF32:$FK32,$Q$6:$V$6)-IF($EM32=0,0,INDEX($Q$6:$V$6,1,$EM32))))+$DZ32*5</f>
        <v/>
      </c>
      <c r="GC32" s="164">
        <f>MAX(0,18-SUMPRODUCT($FF32:$FK32,$Q$7:$V$7)+MIN(12,$FL32*3+$FM32*6,SUMPRODUCT($FF32:$FK32,$Q$7:$V$7)-IF($EM32=0,0,INDEX($Q$7:$V$7,1,$EM32))))+$DZ32*6</f>
        <v/>
      </c>
      <c r="GD32" s="164">
        <f>MAX(0,21-SUMPRODUCT($FF32:$FK32,$Q$8:$V$8)+MIN(14,$FL32*4+$FM32*7,SUMPRODUCT($FF32:$FK32,$Q$8:$V$8)-IF($EM32=0,0,INDEX($Q$8:$V$8,1,$EM32))))+$DZ32*7</f>
        <v/>
      </c>
      <c r="GE32" s="164">
        <f>IF($EZ32=2,3*$FX32&amp;" de vida temp.",IF($EZ32=3,"sem dano",IF($FX32=0,IF($EZ32=1,"sem cura","sem dano"),IF($EZ32=1,"cura ","")&amp;$FX32&amp;"d8")))</f>
        <v/>
      </c>
      <c r="GF32" s="164">
        <f>IF($EZ32=2,3*$FY32&amp;" de vida temp.",IF($EZ32=3,"sem dano",IF($FY32=0,IF($EZ32=1,"sem cura","sem dano"),IF($EZ32=1,"cura ","")&amp;$FY32&amp;"d8")))</f>
        <v/>
      </c>
      <c r="GG32" s="164">
        <f>IF($EZ32=2,3*$FZ32&amp;" de vida temp.",IF($EZ32=3,"sem dano",IF($FZ32=0,IF($EZ32=1,"sem cura","sem dano"),IF($EZ32=1,"cura ","")&amp;$FZ32&amp;"d8")))</f>
        <v/>
      </c>
      <c r="GH32" s="164">
        <f>IF($EZ32=2,3*$GA32&amp;" de vida temp.",IF($EZ32=3,"sem dano",IF($GA32=0,IF($EZ32=1,"sem cura","sem dano"),IF($EZ32=1,"cura ","")&amp;$GA32&amp;"d8")))</f>
        <v/>
      </c>
      <c r="GI32" s="164">
        <f>IF($EZ32=2,3*$GB32&amp;" de vida temp.",IF($EZ32=3,"sem dano",IF($GB32=0,IF($EZ32=1,"sem cura","sem dano"),IF($EZ32=1,"cura ","")&amp;$GB32&amp;"d8")))</f>
        <v/>
      </c>
      <c r="GJ32" s="164">
        <f>IF($EZ32=2,3*$GC32&amp;" de vida temp.",IF($EZ32=3,"sem dano",IF($GC32=0,IF($EZ32=1,"sem cura","sem dano"),IF($EZ32=1,"cura ","")&amp;$GC32&amp;"d8")))</f>
        <v/>
      </c>
      <c r="GK32" s="164">
        <f>IF($EZ32=2,3*$GD32&amp;" de vida temp.",IF($EZ32=3,"sem dano",IF($GD32=0,IF($EZ32=1,"sem cura","sem dano"),IF($EZ32=1,"cura ","")&amp;$GD32&amp;"d8")))</f>
        <v/>
      </c>
      <c r="GL32" s="164">
        <f>IF($EK32=0,"",TEXTJOIN(" · ",TRUE,IF($EK32=0,"",TEXTJOIN(" · ",TRUE,IF($EK32=0,"",TEXTJOIN(" · ",TRUE,IF(AND($DZ32=1,$EA32&gt;$HM$9),"O nível "&amp;$HM$2&amp;" dá "&amp;$HM$9&amp;" Liberação Máxima",""),IF($EB32&gt;$HM$4,"Classe "&amp;$EB32&amp;": o nível "&amp;$HM$2&amp;" libera até a "&amp;$HM$4,""),IF($ER32=1,"Família Fechada: a Forma "&amp;$ED32,""),IF($ES32=1,"Família Fechada: "&amp;$EE32,""),IF($ET32=1,"Família Fechada: "&amp;$EF32,""),IF($EU32=1,"Família Fechada: "&amp;$EG32,""),IF($EV32=1,"Família Fechada: "&amp;$EH32,""),IF($FN32&gt;INDEX($W$2:$W$8,$EB32),$FN32&amp;" Melhorias: a Classe "&amp;$EB32&amp;" aceita "&amp;INDEX($W$2:$W$8,$EB32),""),IF($FO32&gt;2,$FO32&amp;" Restrições"&amp;IF($EY32=1,", contando a que a Forma "&amp;$ED32&amp;" já traz","")&amp;": o limite é 2",""),IF($FU32&lt;0,"Orçamento estourado: faltam "&amp;(-$FU32)&amp;IF($FU32&lt;-1," pontos"," ponto"),""),IF(IFERROR(VLOOKUP(SUBSTITUTE(SUBSTITUTE(SUBSTITUTE($EI32,"~","~~"),"*","~*"),"?","~?"),'DADOS_RESTRICOES'!$M$2:$Q$54,4,FALSE),0)+IFERROR(VLOOKUP(SUBSTITUTE(SUBSTITUTE(SUBSTITUTE($EJ32,"~","~~"),"*","~*"),"?","~?"),'DADOS_RESTRICOES'!$M$2:$Q$54,4,FALSE),0)&gt;1,$FD32&amp;" e "&amp;$FE32&amp;" são as duas de frequência",""),IF(AND((COUNTIF($KW32:$KZ32,"Rápido")+COUNTIF($FD32:$FE32,"Rápido"))&gt;0,(COUNTIF($EE32:$EH32,"Atrasar")+COUNTIF($FD32:$FE32,"Atrasar"))&gt;0),"Rápido não entra com Atrasar",""),IF(AND((COUNTIF($KW32:$KZ32,"Reação")+COUNTIF($FD32:$FE32,"Reação"))&gt;0,(COUNTIF($KW32:$KZ32,"Rápido")+COUNTIF($FD32:$FE32,"Rápido"))&gt;0),"Reação não entra com Rápido",""),IF(AND((COUNTIF($KW32:$KZ32,"Reação")+COUNTIF($FD32:$FE32,"Reação"))&gt;0,(COUNTIF($KW32:$KZ32,"Armado")+COUNTIF($FD32:$FE32,"Armado"))&gt;0),"Reação não entra com Armado",""),IF(AND((COUNTIF($KW32:$KZ32,"Reação")+COUNTIF($FD32:$FE32,"Reação"))&gt;0,(COUNTIF($EE32:$EH32,"Atrasar")+COUNTIF($FD32:$FE32,"Atrasar"))&gt;0),"Reação não entra com Atrasar",""),IF(AND((COUNTIF($KW32:$KZ32,"Reação")+COUNTIF($FD32:$FE32,"Reação"))&gt;0,(COUNTIF($EE32:$EH32,"Parado")+COUNTIF($FD32:$FE32,"Parado"))&gt;0),"Reação não entra com Parado",""),IF(AND((COUNTIF($EE32:$EH32,"Atrasar")+COUNTIF($FD32:$FE32,"Atrasar"))&gt;0,(COUNTIF($EE32:$EH32,"Parado")+COUNTIF($FD32:$FE32,"Parado"))&gt;0),"Atrasar não entra com Parado",""),IF(AND((COUNTIF($KW32:$KZ32,"Armado")+COUNTIF($FD32:$FE32,"Armado"))&gt;0,(COUNTIF($EE32:$EH32,"Carregar")+COUNTIF($FD32:$FE32,"Carregar"))&gt;0),"Armado não entra com Carregar",""),IF(AND(COUNTIF($FD32:$FE32,"Corpo a Corpo")&gt;0,$EY32=0,OR($LB32="Cone",$LB32="Linha")),"Corpo a Corpo não entra em "&amp;$ED32,""),IF(AND(COUNTIF($FD32:$FE32,"Corpo a Corpo")&gt;0,$LC32="Corpo a Corpo"),"A Forma "&amp;$ED32&amp;" já traz o Corpo a Corpo",""),IF(AND(COUNTIF($FD32:$FE32,"Tudo ou Nada")&gt;0,$FA32=0),"Tudo ou Nada só entra em feitiço de Teste de Resistência",""),IF(AND(COUNTIF($KW32:$KZ32,"Inescapável")&gt;0,OR($FN32&gt;1,$FO32&gt;0)),"Inescapável não aceita outra peça",""),IF(AND($DZ32=1,$EB32&lt;3),"Liberação Máxima é de Classe 3 ou mais",""),IF(AND($DZ32=1,OR($EZ32=1,$EZ32=2)),"Liberação Máxima não serve para cura",""),IF(AND($DZ32=1,COUNTIF($KW32:$KZ32,"Inescapável")+COUNTIF($KW32:$KZ32,"Toca a Alma")&gt;0),"Esta peça não entra numa Liberação Máxima",""),IF($FV32*IF(COUNTIF($KW32:$KZ32,"Remate")&gt;0,1.25,1)+$FW32&gt;4*$EB32,($FV32*IF(COUNTIF($KW32:$KZ32,"Remate")&gt;0,1.25,1)+$FW32)&amp;" dados somando repetições"&amp;IF(COUNTIF($KW32:$KZ32,"Remate")&gt;0," e o Remate","")&amp;": o teto da Classe "&amp;$EB32&amp;" é "&amp;4*$EB32,""))),IF(AND($EE32&lt;&gt;"",COUNTIF('DADOS_MELHORIAS'!$O$2:$O$113,SUBSTITUTE(SUBSTITUTE(SUBSTITUTE($EE32,"~","~~"),"*","~*"),"?","~?"))=0),"Melhoria não cadastrada ou com erro: "&amp;$EE32,""),IF(AND($EF32&lt;&gt;"",COUNTIF('DADOS_MELHORIAS'!$O$2:$O$113,SUBSTITUTE(SUBSTITUTE(SUBSTITUTE($EF32,"~","~~"),"*","~*"),"?","~?"))=0),"Melhoria não cadastrada ou com erro: "&amp;$EF32,""),IF(AND($EG32&lt;&gt;"",COUNTIF('DADOS_MELHORIAS'!$O$2:$O$113,SUBSTITUTE(SUBSTITUTE(SUBSTITUTE($EG32,"~","~~"),"*","~*"),"?","~?"))=0),"Melhoria não cadastrada ou com erro: "&amp;$EG32,""),IF(AND($EH32&lt;&gt;"",COUNTIF('DADOS_MELHORIAS'!$O$2:$O$113,SUBSTITUTE(SUBSTITUTE(SUBSTITUTE($EH32,"~","~~"),"*","~*"),"?","~?"))=0),"Melhoria não cadastrada ou com erro: "&amp;$EH32,""),IF(AND($EI32&lt;&gt;"",COUNTIF('DADOS_RESTRICOES'!$M$2:$M$54,SUBSTITUTE(SUBSTITUTE(SUBSTITUTE($EI32,"~","~~"),"*","~*"),"?","~?"))=0),"Restrição não cadastrada ou com erro: "&amp;$EI32,""),IF(AND($EJ32&lt;&gt;"",COUNTIF('DADOS_RESTRICOES'!$M$2:$M$54,SUBSTITUTE(SUBSTITUTE(SUBSTITUTE($EJ32,"~","~~"),"*","~*"),"?","~?"))=0),"Restrição não cadastrada ou com erro: "&amp;$EJ32,""))),IF(AND($ED32&lt;&gt;"",COUNTIF('DADOS_FORMAS'!$AH$2:$AH$21,SUBSTITUTE(SUBSTITUTE(SUBSTITUTE($ED32,"~","~~"),"*","~*"),"?","~?"))=0),"Forma não cadastrada ou com erro: "&amp;$ED32,""),IF(AND(IFERROR(INDEX('DADOS_FORMAS'!$AS$2:$AS$21,MATCH(SUBSTITUTE(SUBSTITUTE(SUBSTITUTE($ED32,"~","~~"),"*","~*"),"?","~?"),'DADOS_FORMAS'!$AH$2:$AH$21,0)),"")&lt;&gt;"",OR(IFERROR(VLOOKUP(SUBSTITUTE(SUBSTITUTE(SUBSTITUTE(IFERROR(INDEX('DADOS_FORMAS'!$AS$2:$AS$21,MATCH(SUBSTITUTE(SUBSTITUTE(SUBSTITUTE($ED32,"~","~~"),"*","~*"),"?","~?"),'DADOS_FORMAS'!$AH$2:$AH$21,0)),""),"~","~~"),"*","~*"),"?","~?"),'DADOS_RESTRICOES'!$M$2:$Q$54,2,FALSE),"")=$FD32,IFERROR(VLOOKUP(SUBSTITUTE(SUBSTITUTE(SUBSTITUTE(IFERROR(INDEX('DADOS_FORMAS'!$AS$2:$AS$21,MATCH(SUBSTITUTE(SUBSTITUTE(SUBSTITUTE($ED32,"~","~~"),"*","~*"),"?","~?"),'DADOS_FORMAS'!$AH$2:$AH$21,0)),""),"~","~~"),"*","~*"),"?","~?"),'DADOS_RESTRICOES'!$M$2:$Q$54,2,FALSE),"")=$FE32)),"Restrição repetida, contando a embutida",""),IF(IF(IFERROR(INDEX('DADOS_FORMAS'!$AS$2:$AS$21,MATCH(SUBSTITUTE(SUBSTITUTE(SUBSTITUTE($ED32,"~","~~"),"*","~*"),"?","~?"),'DADOS_FORMAS'!$AH$2:$AH$21,0)),"")="",0,IFERROR(N(VLOOKUP(SUBSTITUTE(SUBSTITUTE(SUBSTITUTE(IFERROR(INDEX('DADOS_FORMAS'!$AS$2:$AS$21,MATCH(SUBSTITUTE(SUBSTITUTE(SUBSTITUTE($ED32,"~","~~"),"*","~*"),"?","~?"),'DADOS_FORMAS'!$AH$2:$AH$21,0)),""),"~","~~"),"*","~*"),"?","~?"),'DADOS_RESTRICOES'!$M$2:$Q$54,4,FALSE)=1),0))+IF($EI32="",0,IFERROR(N(VLOOKUP(SUBSTITUTE(SUBSTITUTE(SUBSTITUTE($EI32,"~","~~"),"*","~*"),"?","~?"),'DADOS_RESTRICOES'!$M$2:$Q$54,4,FALSE)=1),0))+IF($EJ32="",0,IFERROR(N(VLOOKUP(SUBSTITUTE(SUBSTITUTE(SUBSTITUTE($EJ32,"~","~~"),"*","~*"),"?","~?"),'DADOS_RESTRICOES'!$M$2:$Q$54,4,FALSE)=1),0))&gt;1,"Duas Restrições de frequência, contando a embutida",""),IF(AND(IFERROR(VLOOKUP(SUBSTITUTE(SUBSTITUTE(SUBSTITUTE(IFERROR(INDEX('DADOS_FORMAS'!$AS$2:$AS$21,MATCH(SUBSTITUTE(SUBSTITUTE(SUBSTITUTE($ED32,"~","~~"),"*","~*"),"?","~?"),'DADOS_FORMAS'!$AH$2:$AH$21,0)),""),"~","~~"),"*","~*"),"?","~?"),'DADOS_RESTRICOES'!$M$2:$Q$54,2,FALSE),"")="Tudo ou Nada",$FA32=0),"Tudo ou Nada exige TR",""),IF(AND(IFERROR(VLOOKUP(SUBSTITUTE(SUBSTITUTE(SUBSTITUTE(IFERROR(INDEX('DADOS_FORMAS'!$AS$2:$AS$21,MATCH(SUBSTITUTE(SUBSTITUTE(SUBSTITUTE($ED32,"~","~~"),"*","~*"),"?","~?"),'DADOS_FORMAS'!$AH$2:$AH$21,0)),""),"~","~~"),"*","~*"),"?","~?"),'DADOS_RESTRICOES'!$M$2:$Q$54,2,FALSE),"")="Corpo a Corpo",OR($LB32="Cone",$LB32="Linha")),"Corpo a Corpo não entra em Cone/Linha","")))</f>
        <v/>
      </c>
      <c r="GM32" s="164">
        <f>IF($GL32="",0,(LEN($GL32)-LEN(SUBSTITUTE($GL32," · ","")))/3+1)</f>
        <v/>
      </c>
      <c r="GN32" s="164">
        <f>IF($EK32=0,"",TEXTJOIN(" · ",TRUE,IF($FQ32&gt;2*$EB32,"A devolução parou no teto de "&amp;2*$EB32,""),IF($FT32&gt;0,"Devolução perdida: "&amp;$FT32&amp;IF($FT32&gt;1," pontos"," ponto")&amp;" sem Melhoria para pagar",""),IF(AND($EW32&gt;0,$FV32=0),"Controle sem dano: uma rodada a mais e CD +2",""),IF(AND($EW32&gt;0,$FV32&gt;0,$FV32&lt;=$EB32),"Controle com saldo até a Classe: uma rodada a mais","")))</f>
        <v/>
      </c>
      <c r="GO32" s="164">
        <f>IF($GN32="",0,(LEN($GN32)-LEN(SUBSTITUTE($GN32," · ","")))/3+1)</f>
        <v/>
      </c>
      <c r="GP32" s="164">
        <f>IF($EK32=0,IF($FN32+$FO32-$EY32&gt;0,"Dê um nome",""),IF($GM32&gt;0,"⚠ "&amp;$GM32&amp;IF($GM32&gt;1," erros"," erro"),IF($GO32&gt;0,"! "&amp;$GO32&amp;IF($GO32&gt;1," avisos"," aviso"),"Na regra")))</f>
        <v/>
      </c>
      <c r="GQ32" s="164">
        <f>IF($EK32=0,"",IF($GM32+$GO32=0,"Dentro das regras que a ficha confere",$GL32&amp;IF(AND($GM32&gt;0,$GO32&gt;0)," · ","")&amp;$GN32))</f>
        <v/>
      </c>
      <c r="GR32" s="164">
        <f>IF($EK32=0,"",IF($DZ32=1,CEILING(4.5*$EB32,1),3*$EB32)&amp;" PE")</f>
        <v/>
      </c>
      <c r="GS32" s="164">
        <f>IF($EK32=0,"",IF($DZ32=1,"Rodada inteira",IF(COUNTIF($LD32:$LF32,"Atrasar")&gt;0,IF(COUNTIF($LD32:$LF32,"Carregar")&gt;0,"Rodada +1 turno","Rodada inteira"),IF(COUNTIF($KW32:$KZ32,"Rápido")&gt;0,"Bônus",IF(COUNTIF($KW32:$KZ32,"Reação")&gt;0,"Reação","Padrão"))&amp;IF(COUNTIF($LD32:$LF32,"Carregar")&gt;0," +1 turno",""))))</f>
        <v/>
      </c>
      <c r="GT32" s="164">
        <f>IF(OR($EK32=0,$EL32=0),"",IF(COUNTIF($KW32:$KZ32,"Inescapável")&gt;0,"Automático",IF(COUNTIF($KW32:$KZ32,"Certeiro")&gt;0,"TR para metade",IF(AND($EX32&gt;0,$FA32=0,INDEX('DADOS_FORMAS'!$FQ$2:$FQ$21,$EL32)="Acerto"),"Acerto + TR",INDEX('DADOS_FORMAS'!$FQ$2:$FQ$21,$EL32)))))</f>
        <v/>
      </c>
      <c r="GU32" s="164">
        <f>IF(OR($EK32=0,$EL32=0),"",IF(OR($EZ32&gt;=2,$FV32=0),UPPER(LEFT(INDEX($GE32:$GK32,1,$EB32),1))&amp;MID(INDEX($GE32:$GK32,1,$EB32),2,99),UPPER(LEFT(INDEX($GE32:$GK32,1,$EB32),1))&amp;MID(INDEX($GE32:$GK32,1,$EB32),2,99)&amp;" = "&amp;FLOOR($FV32*4.5,1)&amp;IF($FW32&gt;0," · +"&amp;$FW32&amp;"d8","")))</f>
        <v/>
      </c>
      <c r="GV32" s="164">
        <f>COUNTIF($KW32:$KZ32,"Longe")+3*COUNTIF($KW32:$KZ32,"Muito Longe")</f>
        <v/>
      </c>
      <c r="GW32" s="164">
        <f>COUNTIF($KW32:$KZ32,"Maior")+3*COUNTIF($KW32:$KZ32,"Muito Maior")</f>
        <v/>
      </c>
      <c r="GX32" s="164">
        <f>IF($EL32=0,0,CHOOSE(1+INDEX('DADOS_FORMAS'!$FS$2:$FS$21,$EL32),0,$GV32,$GW32,$GV32+$GW32))</f>
        <v/>
      </c>
      <c r="GY32" s="164">
        <f>IF($EL32=0,0,CHOOSE(1+INDEX('DADOS_FORMAS'!$FT$2:$FT$21,$EL32),0,$GV32,$GW32,$GV32+$GW32))</f>
        <v/>
      </c>
      <c r="GZ32" s="164">
        <f>IF(OR($EK32=0,$EL32=0),"",INDEX('DADOS_FORMAS'!$GZ$2:$HE$61,($EL32-1)*3+IF($EB32&gt;=6,3,2),1+MIN(5,$GX32))&amp;INDEX('DADOS_FORMAS'!$HF$2:$HK$61,($EL32-1)*3+IF($EB32&gt;=6,3,2),1+MIN(5,$GY32))&amp;IF(INDEX('DADOS_FORMAS'!$FU$2:$FU$21,$EL32)=1,IF(COUNTIF($KW32:$KZ32,"Mais Um")&gt;0," · +"&amp;COUNTIF($KW32:$KZ32,"Mais Um")&amp;IF(COUNTIF($KW32:$KZ32,"Mais Um")&gt;1," alvos"," alvo"),"")&amp;IF(COUNTIF($KW32:$KZ32,"Rajada")&gt;0," · "&amp;($EB32+1)&amp;" tiros",""),""))</f>
        <v/>
      </c>
      <c r="HA32" s="164">
        <f>IF($EK32=0,"",3*$EB32&amp;" − "&amp;$FP32&amp;" + "&amp;$FS32&amp;IF($DZ32=1," + "&amp;$EB32,"")&amp;" = "&amp;$FV32&amp;"d8 · teto "&amp;4*$EB32&amp;IF($EY32=1," · a Forma devolve "&amp;$EB32,"")&amp;IF($FT32&gt;0," · perde "&amp;$FT32,""))</f>
        <v/>
      </c>
      <c r="HB32" s="164">
        <f>IF($EK32=0,"",IF($EB32&gt;=$HM$4,"Já está na maior Classe que o nível liberou",TEXTJOIN(" · ",TRUE,IF(AND(2&gt;$EB32,2&lt;=$HM$4),"2 → "&amp;$GF32&amp;", "&amp;IF($DZ32=1,9,6)&amp;" PE",""),IF(AND(3&gt;$EB32,3&lt;=$HM$4),"3 → "&amp;$GG32&amp;", "&amp;IF($DZ32=1,14,9)&amp;" PE",""),IF(AND(4&gt;$EB32,4&lt;=$HM$4),"4 → "&amp;$GH32&amp;", "&amp;IF($DZ32=1,18,12)&amp;" PE",""),IF(AND(5&gt;$EB32,5&lt;=$HM$4),"5 → "&amp;$GI32&amp;", "&amp;IF($DZ32=1,23,15)&amp;" PE",""),IF(AND(6&gt;$EB32,6&lt;=$HM$4),"6 → "&amp;$GJ32&amp;", "&amp;IF($DZ32=1,27,18)&amp;" PE",""),IF(AND(7&gt;$EB32,7&lt;=$HM$4),"7 → "&amp;$GK32&amp;", "&amp;IF($DZ32=1,32,21)&amp;" PE",""))))</f>
        <v/>
      </c>
      <c r="HC32" s="164">
        <f>IF(OR($EK32=0,$EN32=0),"","−"&amp;INDEX($Q$2:$V$8,$EB32,$EN32)&amp;" · "&amp;CHOOSE($EN32,"Leve","Média","Pesada","Leve · Livre","Média · Livre","Pesada · Livre"))</f>
        <v/>
      </c>
      <c r="HD32" s="164">
        <f>IF(OR($EK32=0,$EO32=0),"","−"&amp;INDEX($Q$2:$V$8,$EB32,$EO32)&amp;" · "&amp;CHOOSE($EO32,"Leve","Média","Pesada","Leve · Livre","Média · Livre","Pesada · Livre"))</f>
        <v/>
      </c>
      <c r="HE32" s="164">
        <f>IF(OR($EK32=0,$EP32=0),"","−"&amp;INDEX($Q$2:$V$8,$EB32,$EP32)&amp;" · "&amp;CHOOSE($EP32,"Leve","Média","Pesada","Leve · Livre","Média · Livre","Pesada · Livre"))</f>
        <v/>
      </c>
      <c r="HF32" s="164">
        <f>IF(OR($EK32=0,$EQ32=0),"","−"&amp;INDEX($Q$2:$V$8,$EB32,$EQ32)&amp;" · "&amp;CHOOSE($EQ32,"Leve","Média","Pesada","Leve · Livre","Média · Livre","Pesada · Livre"))</f>
        <v/>
      </c>
      <c r="HG32" s="164">
        <f>IF(OR($EK32=0,$EI32=""),"","+"&amp;IF($FB32=1,CEILING($EB32/2,1),$EB32))</f>
        <v/>
      </c>
      <c r="HH32" s="164">
        <f>IF(OR($EK32=0,$EJ32=""),"","+"&amp;IF($FC32=1,CEILING($EB32/2,1),$EB32))</f>
        <v/>
      </c>
      <c r="HI32" s="164">
        <f>'FICHA AMALDIÇOADA'!$D$280&amp;""</f>
        <v/>
      </c>
      <c r="HJ32" s="164">
        <f>IF(AND($EK32=1,$DZ32=0),COUNTIFS($EK$2:$EK32,1,$DZ$2:$DZ32,0),"")</f>
        <v/>
      </c>
      <c r="HL32" s="162" t="inlineStr">
        <is>
          <t>famílias fechadas</t>
        </is>
      </c>
      <c r="HM32" s="164">
        <f>COUNTIF('DADOS_CRIACAO'!$I$2:$I$20,"Fechada")</f>
        <v/>
      </c>
      <c r="JH32" s="164" t="n">
        <v>31</v>
      </c>
      <c r="JI32" s="164">
        <f>IFERROR(MATCH(31,$HJ$2:$HJ$37,0),0)</f>
        <v/>
      </c>
      <c r="JJ32" s="164">
        <f>IF($JI32=0,"",INDEX($EB$2:$EB$37,$JI32))</f>
        <v/>
      </c>
      <c r="JK32" s="164">
        <f>IF($JI32=0,"",INDEX($EC$2:$EC$37,$JI32))</f>
        <v/>
      </c>
      <c r="JL32" s="164">
        <f>IF($JI32=0,"",INDEX($GR$2:$GR$37,$JI32))</f>
        <v/>
      </c>
      <c r="JM32" s="164">
        <f>IF($JI32=0,"",INDEX($ED$2:$ED$37,$JI32))</f>
        <v/>
      </c>
      <c r="JN32" s="164">
        <f>IF($JI32=0,"",INDEX($GT$2:$GT$37,$JI32))</f>
        <v/>
      </c>
      <c r="JO32" s="164">
        <f>IF($JI32=0,"",INDEX($HI$2:$HI$37,$JI32))</f>
        <v/>
      </c>
      <c r="KU32" s="162" t="inlineStr">
        <is>
          <t>P59</t>
        </is>
      </c>
      <c r="KV32" s="164">
        <f>DADOS_AM!$HM$10&amp;" feitiços grátis · "&amp;DADOS_AM!$HM$11&amp;"d8 cada"</f>
        <v/>
      </c>
      <c r="KW32">
        <f>IF($EE32="","",IFERROR(VLOOKUP(SUBSTITUTE(SUBSTITUTE(SUBSTITUTE($EE32,"~","~~"),"*","~*"),"?","~?"),'DADOS_MELHORIAS'!$O$2:$X$113,10,FALSE),$EE32))</f>
        <v/>
      </c>
      <c r="KX32">
        <f>IF($EF32="","",IFERROR(VLOOKUP(SUBSTITUTE(SUBSTITUTE(SUBSTITUTE($EF32,"~","~~"),"*","~*"),"?","~?"),'DADOS_MELHORIAS'!$O$2:$X$113,10,FALSE),$EF32))</f>
        <v/>
      </c>
      <c r="KY32">
        <f>IF($EG32="","",IFERROR(VLOOKUP(SUBSTITUTE(SUBSTITUTE(SUBSTITUTE($EG32,"~","~~"),"*","~*"),"?","~?"),'DADOS_MELHORIAS'!$O$2:$X$113,10,FALSE),$EG32))</f>
        <v/>
      </c>
      <c r="KZ32">
        <f>IF($EH32="","",IFERROR(VLOOKUP(SUBSTITUTE(SUBSTITUTE(SUBSTITUTE($EH32,"~","~~"),"*","~*"),"?","~?"),'DADOS_MELHORIAS'!$O$2:$X$113,10,FALSE),$EH32))</f>
        <v/>
      </c>
      <c r="LB32">
        <f>IFERROR(INDEX('DADOS_FORMAS'!$BJ$2:$BJ$21,MATCH(SUBSTITUTE(SUBSTITUTE(SUBSTITUTE($ED32,"~","~~"),"*","~*"),"?","~?"),'DADOS_FORMAS'!$AH$2:$AH$21,0)),"")</f>
        <v/>
      </c>
      <c r="LC32">
        <f>IFERROR(VLOOKUP(SUBSTITUTE(SUBSTITUTE(SUBSTITUTE(IFERROR(INDEX('DADOS_FORMAS'!$AS$2:$AS$21,MATCH(SUBSTITUTE(SUBSTITUTE(SUBSTITUTE($ED32,"~","~~"),"*","~*"),"?","~?"),'DADOS_FORMAS'!$AH$2:$AH$21,0)),""),"~","~~"),"*","~*"),"?","~?"),'DADOS_RESTRICOES'!$M$2:$Q$54,2,FALSE),"")</f>
        <v/>
      </c>
      <c r="LD32">
        <f>$FD32</f>
        <v/>
      </c>
      <c r="LE32">
        <f>$FE32</f>
        <v/>
      </c>
      <c r="LF32">
        <f>$LC32</f>
        <v/>
      </c>
    </row>
    <row r="33">
      <c r="BC33" s="162" t="inlineStr">
        <is>
          <t>Cego</t>
        </is>
      </c>
      <c r="BD33" s="162" t="inlineStr">
        <is>
          <t>Controle</t>
        </is>
      </c>
      <c r="BE33" s="164" t="n">
        <v>3</v>
      </c>
      <c r="BF33" s="164">
        <f>$BE33+3*IFERROR(VLOOKUP($BD33,'DADOS_CRIACAO'!$H$2:$K$20,3,FALSE),0)</f>
        <v/>
      </c>
      <c r="BG33" s="164">
        <f>IFERROR(VLOOKUP($BD33,'DADOS_CRIACAO'!$H$2:$K$20,4,FALSE),0)</f>
        <v/>
      </c>
      <c r="BH33" s="164" t="n">
        <v>1</v>
      </c>
      <c r="BI33" s="164">
        <f>IF($BG33=1,"",$BC33)</f>
        <v/>
      </c>
      <c r="BJ33" s="164">
        <f>IF(AND($BE33=1,$BG33=0),$BC33,"")</f>
        <v/>
      </c>
      <c r="BK33" s="164" t="n">
        <v>1</v>
      </c>
      <c r="CD33" s="162" t="inlineStr">
        <is>
          <t>Assombro</t>
        </is>
      </c>
      <c r="CE33" s="162" t="inlineStr">
        <is>
          <t>Lapidação 1 e Essência 4</t>
        </is>
      </c>
      <c r="CF33" s="164" t="n">
        <v>1</v>
      </c>
      <c r="CG33" s="162" t="inlineStr">
        <is>
          <t>—</t>
        </is>
      </c>
      <c r="CH33" s="162" t="inlineStr">
        <is>
          <t>Uma vez por cena, ao entrar nela ou ser visto pela primeira vez, escolha até metade de sua Lapidação, arredondada para baixo, mínimo 1, entre as criaturas presentes que enxerguem você. Cada uma faz TR de Espírito contra CD 8 + sua Essência + sua maestria. Na falha, fica Amedrontada até o fim do próximo turno dela. A presença do personagem provoca o efeito, sem exigir arma ou ferramenta em uso. Essência entra uma única vez na CD. O requisito de acesso não acrescenta um segundo bônus.</t>
        </is>
      </c>
      <c r="CI33" s="164">
        <f>IF($CL33=1,"",IF($A$2=4,IF($CJ33=1,$CD33,""),IF(OR($CJ33=1,AND($A$2=3,$CK33=1)),"",$CD33)))</f>
        <v/>
      </c>
      <c r="CJ33" s="164" t="n">
        <v>1</v>
      </c>
      <c r="CK33" s="164" t="n">
        <v>0</v>
      </c>
      <c r="CL33" s="164" t="n">
        <v>0</v>
      </c>
      <c r="CM33" s="162" t="inlineStr">
        <is>
          <t>Uma vez por cena, ao entrar nela ou ser visto pela primeira vez, escolha até metade de sua Lapidação, arredondada para baixo, mínimo 1, entre as criaturas presentes que enxerguem você.</t>
        </is>
      </c>
      <c r="DY33" s="162" t="inlineStr">
        <is>
          <t>Feitiço 32</t>
        </is>
      </c>
      <c r="DZ33" s="164" t="n">
        <v>0</v>
      </c>
      <c r="EA33" s="164" t="n">
        <v>32</v>
      </c>
      <c r="EB33" s="164">
        <f>MAX(1,MIN(7,N('FICHA AMALDIÇOADA'!$J$278)))</f>
        <v/>
      </c>
      <c r="EC33" s="164">
        <f>'FICHA AMALDIÇOADA'!$K$278&amp;""</f>
        <v/>
      </c>
      <c r="ED33" s="164">
        <f>'FICHA AMALDIÇOADA'!$J$285&amp;""</f>
        <v/>
      </c>
      <c r="EE33" s="164">
        <f>'FICHA AMALDIÇOADA'!$K$287&amp;""</f>
        <v/>
      </c>
      <c r="EF33" s="164">
        <f>'FICHA AMALDIÇOADA'!$K$288&amp;""</f>
        <v/>
      </c>
      <c r="EG33" s="164">
        <f>'FICHA AMALDIÇOADA'!$K$289&amp;""</f>
        <v/>
      </c>
      <c r="EH33" s="164">
        <f>'FICHA AMALDIÇOADA'!$K$290&amp;""</f>
        <v/>
      </c>
      <c r="EI33" s="164">
        <f>'FICHA AMALDIÇOADA'!$K$291&amp;""</f>
        <v/>
      </c>
      <c r="EJ33" s="164">
        <f>'FICHA AMALDIÇOADA'!$K$292&amp;""</f>
        <v/>
      </c>
      <c r="EK33" s="164">
        <f>IF($EC33&lt;&gt;"",1,0)</f>
        <v/>
      </c>
      <c r="EL33" s="164">
        <f>IFERROR(MATCH(SUBSTITUTE(SUBSTITUTE(SUBSTITUTE($ED33,"~","~~"),"*","~*"),"?","~?"),'DADOS_FORMAS'!$FJ$2:$FJ$21,0),0)</f>
        <v/>
      </c>
      <c r="EM33" s="164">
        <f>IF($EL33=0,0,INDEX('DADOS_FORMAS'!$FM$2:$FM$21,$EL33))</f>
        <v/>
      </c>
      <c r="EN33" s="164">
        <f>IFERROR(VLOOKUP(SUBSTITUTE(SUBSTITUTE(SUBSTITUTE($EE33,"~","~~"),"*","~*"),"?","~?"),'DADOS_MELHORIAS'!$O$2:$W$113,4,FALSE),0)</f>
        <v/>
      </c>
      <c r="EO33" s="164">
        <f>IFERROR(VLOOKUP(SUBSTITUTE(SUBSTITUTE(SUBSTITUTE($EF33,"~","~~"),"*","~*"),"?","~?"),'DADOS_MELHORIAS'!$O$2:$W$113,4,FALSE),0)</f>
        <v/>
      </c>
      <c r="EP33" s="164">
        <f>IFERROR(VLOOKUP(SUBSTITUTE(SUBSTITUTE(SUBSTITUTE($EG33,"~","~~"),"*","~*"),"?","~?"),'DADOS_MELHORIAS'!$O$2:$W$113,4,FALSE),0)</f>
        <v/>
      </c>
      <c r="EQ33" s="164">
        <f>IFERROR(VLOOKUP(SUBSTITUTE(SUBSTITUTE(SUBSTITUTE($EH33,"~","~~"),"*","~*"),"?","~?"),'DADOS_MELHORIAS'!$O$2:$W$113,4,FALSE),0)</f>
        <v/>
      </c>
      <c r="ER33" s="164">
        <f>IF($EL33=0,0,INDEX('DADOS_FORMAS'!$FN$2:$FN$21,$EL33))</f>
        <v/>
      </c>
      <c r="ES33" s="164">
        <f>IFERROR(VLOOKUP(SUBSTITUTE(SUBSTITUTE(SUBSTITUTE($EE33,"~","~~"),"*","~*"),"?","~?"),'DADOS_MELHORIAS'!$O$2:$W$113,5,FALSE),0)</f>
        <v/>
      </c>
      <c r="ET33" s="164">
        <f>IFERROR(VLOOKUP(SUBSTITUTE(SUBSTITUTE(SUBSTITUTE($EF33,"~","~~"),"*","~*"),"?","~?"),'DADOS_MELHORIAS'!$O$2:$W$113,5,FALSE),0)</f>
        <v/>
      </c>
      <c r="EU33" s="164">
        <f>IFERROR(VLOOKUP(SUBSTITUTE(SUBSTITUTE(SUBSTITUTE($EG33,"~","~~"),"*","~*"),"?","~?"),'DADOS_MELHORIAS'!$O$2:$W$113,5,FALSE),0)</f>
        <v/>
      </c>
      <c r="EV33" s="164">
        <f>IFERROR(VLOOKUP(SUBSTITUTE(SUBSTITUTE(SUBSTITUTE($EH33,"~","~~"),"*","~*"),"?","~?"),'DADOS_MELHORIAS'!$O$2:$W$113,5,FALSE),0)</f>
        <v/>
      </c>
      <c r="EW33" s="164">
        <f>IFERROR(VLOOKUP(SUBSTITUTE(SUBSTITUTE(SUBSTITUTE($EE33,"~","~~"),"*","~*"),"?","~?"),'DADOS_MELHORIAS'!$O$2:$W$113,6,FALSE),0)+IFERROR(VLOOKUP(SUBSTITUTE(SUBSTITUTE(SUBSTITUTE($EF33,"~","~~"),"*","~*"),"?","~?"),'DADOS_MELHORIAS'!$O$2:$W$113,6,FALSE),0)+IFERROR(VLOOKUP(SUBSTITUTE(SUBSTITUTE(SUBSTITUTE($EG33,"~","~~"),"*","~*"),"?","~?"),'DADOS_MELHORIAS'!$O$2:$W$113,6,FALSE),0)+IFERROR(VLOOKUP(SUBSTITUTE(SUBSTITUTE(SUBSTITUTE($EH33,"~","~~"),"*","~*"),"?","~?"),'DADOS_MELHORIAS'!$O$2:$W$113,6,FALSE),0)</f>
        <v/>
      </c>
      <c r="EX33" s="164">
        <f>IFERROR(VLOOKUP(SUBSTITUTE(SUBSTITUTE(SUBSTITUTE($EE33,"~","~~"),"*","~*"),"?","~?"),'DADOS_MELHORIAS'!$O$2:$W$113,9,FALSE),0)+IFERROR(VLOOKUP(SUBSTITUTE(SUBSTITUTE(SUBSTITUTE($EF33,"~","~~"),"*","~*"),"?","~?"),'DADOS_MELHORIAS'!$O$2:$W$113,9,FALSE),0)+IFERROR(VLOOKUP(SUBSTITUTE(SUBSTITUTE(SUBSTITUTE($EG33,"~","~~"),"*","~*"),"?","~?"),'DADOS_MELHORIAS'!$O$2:$W$113,9,FALSE),0)+IFERROR(VLOOKUP(SUBSTITUTE(SUBSTITUTE(SUBSTITUTE($EH33,"~","~~"),"*","~*"),"?","~?"),'DADOS_MELHORIAS'!$O$2:$W$113,9,FALSE),0)</f>
        <v/>
      </c>
      <c r="EY33" s="164">
        <f>IF($EL33=0,0,INDEX('DADOS_FORMAS'!$FO$2:$FO$21,$EL33))</f>
        <v/>
      </c>
      <c r="EZ33" s="164">
        <f>IF($EL33=0,0,INDEX('DADOS_FORMAS'!$FP$2:$FP$21,$EL33))</f>
        <v/>
      </c>
      <c r="FA33" s="164">
        <f>IF($EL33=0,0,INDEX('DADOS_FORMAS'!$FR$2:$FR$21,$EL33))</f>
        <v/>
      </c>
      <c r="FB33" s="164">
        <f>IFERROR(VLOOKUP(SUBSTITUTE(SUBSTITUTE(SUBSTITUTE($EI33,"~","~~"),"*","~*"),"?","~?"),'DADOS_RESTRICOES'!$M$2:$Q$54,3,FALSE),0)</f>
        <v/>
      </c>
      <c r="FC33" s="164">
        <f>IFERROR(VLOOKUP(SUBSTITUTE(SUBSTITUTE(SUBSTITUTE($EJ33,"~","~~"),"*","~*"),"?","~?"),'DADOS_RESTRICOES'!$M$2:$Q$54,3,FALSE),0)</f>
        <v/>
      </c>
      <c r="FD33" s="164">
        <f>IFERROR(VLOOKUP(SUBSTITUTE(SUBSTITUTE(SUBSTITUTE($EI33,"~","~~"),"*","~*"),"?","~?"),'DADOS_RESTRICOES'!$M$2:$Q$54,2,FALSE),"")</f>
        <v/>
      </c>
      <c r="FE33" s="164">
        <f>IFERROR(VLOOKUP(SUBSTITUTE(SUBSTITUTE(SUBSTITUTE($EJ33,"~","~~"),"*","~*"),"?","~?"),'DADOS_RESTRICOES'!$M$2:$Q$54,2,FALSE),"")</f>
        <v/>
      </c>
      <c r="FF33" s="164">
        <f>COUNTIF($EM33:$EQ33,1)</f>
        <v/>
      </c>
      <c r="FG33" s="164">
        <f>COUNTIF($EM33:$EQ33,2)</f>
        <v/>
      </c>
      <c r="FH33" s="164">
        <f>COUNTIF($EM33:$EQ33,3)</f>
        <v/>
      </c>
      <c r="FI33" s="164">
        <f>COUNTIF($EM33:$EQ33,4)</f>
        <v/>
      </c>
      <c r="FJ33" s="164">
        <f>COUNTIF($EM33:$EQ33,5)</f>
        <v/>
      </c>
      <c r="FK33" s="164">
        <f>COUNTIF($EM33:$EQ33,6)</f>
        <v/>
      </c>
      <c r="FL33" s="164">
        <f>COUNTIF($FB33:$FC33,1)+IF(IFERROR(INDEX('DADOS_FORMAS'!$AS$2:$AS$21,MATCH(SUBSTITUTE(SUBSTITUTE(SUBSTITUTE($ED33,"~","~~"),"*","~*"),"?","~?"),'DADOS_FORMAS'!$AH$2:$AH$21,0)),"")="",0,IFERROR(N(VLOOKUP(SUBSTITUTE(SUBSTITUTE(SUBSTITUTE(IFERROR(INDEX('DADOS_FORMAS'!$AS$2:$AS$21,MATCH(SUBSTITUTE(SUBSTITUTE(SUBSTITUTE($ED33,"~","~~"),"*","~*"),"?","~?"),'DADOS_FORMAS'!$AH$2:$AH$21,0)),""),"~","~~"),"*","~*"),"?","~?"),'DADOS_RESTRICOES'!$M$2:$Q$54,3,FALSE)=1),0))</f>
        <v/>
      </c>
      <c r="FM33" s="164">
        <f>COUNTIF($FB33:$FC33,2)+IF(IFERROR(INDEX('DADOS_FORMAS'!$AS$2:$AS$21,MATCH(SUBSTITUTE(SUBSTITUTE(SUBSTITUTE($ED33,"~","~~"),"*","~*"),"?","~?"),'DADOS_FORMAS'!$AH$2:$AH$21,0)),"")="",0,IFERROR(N(VLOOKUP(SUBSTITUTE(SUBSTITUTE(SUBSTITUTE(IFERROR(INDEX('DADOS_FORMAS'!$AS$2:$AS$21,MATCH(SUBSTITUTE(SUBSTITUTE(SUBSTITUTE($ED33,"~","~~"),"*","~*"),"?","~?"),'DADOS_FORMAS'!$AH$2:$AH$21,0)),""),"~","~~"),"*","~*"),"?","~?"),'DADOS_RESTRICOES'!$M$2:$Q$54,3,FALSE)=2),0))</f>
        <v/>
      </c>
      <c r="FN33" s="164">
        <f>COUNTIF($EE33:$EH33,"?*")</f>
        <v/>
      </c>
      <c r="FO33" s="164">
        <f>COUNTIF($EI33:$EJ33,"?*")+$EY33</f>
        <v/>
      </c>
      <c r="FP33" s="164">
        <f>SUMPRODUCT($FF33:$FK33,INDEX($Q$2:$V$8,$EB33,0))</f>
        <v/>
      </c>
      <c r="FQ33" s="164">
        <f>$FL33*CEILING($EB33/2,1)+$FM33*$EB33</f>
        <v/>
      </c>
      <c r="FR33" s="164">
        <f>MIN(2*$EB33,$FQ33)</f>
        <v/>
      </c>
      <c r="FS33" s="164">
        <f>MIN($FR33,$FP33-IF($EM33=0,0,INDEX($Q$2:$V$8,$EB33,$EM33)))</f>
        <v/>
      </c>
      <c r="FT33" s="164">
        <f>$FR33-$FS33</f>
        <v/>
      </c>
      <c r="FU33" s="164">
        <f>3*$EB33-$FP33+$FS33</f>
        <v/>
      </c>
      <c r="FV33" s="164">
        <f>MAX(0,$FU33)+$DZ33*$EB33</f>
        <v/>
      </c>
      <c r="FW33" s="164">
        <f>(IF(COUNTIF($KW33:$KZ33,"Salto")&gt;0,1,0)+IF(COUNTIF($KW33:$KZ33,"Queima")&gt;0,1,0)+IF(COUNTIF($KW33:$KZ33,"Estilhaço")&gt;0,1,0))*FLOOR($FV33/2,1)</f>
        <v/>
      </c>
      <c r="FX33" s="164">
        <f>MAX(0,3-SUMPRODUCT($FF33:$FK33,$Q$2:$V$2)+MIN(2,$FL33*1+$FM33*1,SUMPRODUCT($FF33:$FK33,$Q$2:$V$2)-IF($EM33=0,0,INDEX($Q$2:$V$2,1,$EM33))))+$DZ33*1</f>
        <v/>
      </c>
      <c r="FY33" s="164">
        <f>MAX(0,6-SUMPRODUCT($FF33:$FK33,$Q$3:$V$3)+MIN(4,$FL33*1+$FM33*2,SUMPRODUCT($FF33:$FK33,$Q$3:$V$3)-IF($EM33=0,0,INDEX($Q$3:$V$3,1,$EM33))))+$DZ33*2</f>
        <v/>
      </c>
      <c r="FZ33" s="164">
        <f>MAX(0,9-SUMPRODUCT($FF33:$FK33,$Q$4:$V$4)+MIN(6,$FL33*2+$FM33*3,SUMPRODUCT($FF33:$FK33,$Q$4:$V$4)-IF($EM33=0,0,INDEX($Q$4:$V$4,1,$EM33))))+$DZ33*3</f>
        <v/>
      </c>
      <c r="GA33" s="164">
        <f>MAX(0,12-SUMPRODUCT($FF33:$FK33,$Q$5:$V$5)+MIN(8,$FL33*2+$FM33*4,SUMPRODUCT($FF33:$FK33,$Q$5:$V$5)-IF($EM33=0,0,INDEX($Q$5:$V$5,1,$EM33))))+$DZ33*4</f>
        <v/>
      </c>
      <c r="GB33" s="164">
        <f>MAX(0,15-SUMPRODUCT($FF33:$FK33,$Q$6:$V$6)+MIN(10,$FL33*3+$FM33*5,SUMPRODUCT($FF33:$FK33,$Q$6:$V$6)-IF($EM33=0,0,INDEX($Q$6:$V$6,1,$EM33))))+$DZ33*5</f>
        <v/>
      </c>
      <c r="GC33" s="164">
        <f>MAX(0,18-SUMPRODUCT($FF33:$FK33,$Q$7:$V$7)+MIN(12,$FL33*3+$FM33*6,SUMPRODUCT($FF33:$FK33,$Q$7:$V$7)-IF($EM33=0,0,INDEX($Q$7:$V$7,1,$EM33))))+$DZ33*6</f>
        <v/>
      </c>
      <c r="GD33" s="164">
        <f>MAX(0,21-SUMPRODUCT($FF33:$FK33,$Q$8:$V$8)+MIN(14,$FL33*4+$FM33*7,SUMPRODUCT($FF33:$FK33,$Q$8:$V$8)-IF($EM33=0,0,INDEX($Q$8:$V$8,1,$EM33))))+$DZ33*7</f>
        <v/>
      </c>
      <c r="GE33" s="164">
        <f>IF($EZ33=2,3*$FX33&amp;" de vida temp.",IF($EZ33=3,"sem dano",IF($FX33=0,IF($EZ33=1,"sem cura","sem dano"),IF($EZ33=1,"cura ","")&amp;$FX33&amp;"d8")))</f>
        <v/>
      </c>
      <c r="GF33" s="164">
        <f>IF($EZ33=2,3*$FY33&amp;" de vida temp.",IF($EZ33=3,"sem dano",IF($FY33=0,IF($EZ33=1,"sem cura","sem dano"),IF($EZ33=1,"cura ","")&amp;$FY33&amp;"d8")))</f>
        <v/>
      </c>
      <c r="GG33" s="164">
        <f>IF($EZ33=2,3*$FZ33&amp;" de vida temp.",IF($EZ33=3,"sem dano",IF($FZ33=0,IF($EZ33=1,"sem cura","sem dano"),IF($EZ33=1,"cura ","")&amp;$FZ33&amp;"d8")))</f>
        <v/>
      </c>
      <c r="GH33" s="164">
        <f>IF($EZ33=2,3*$GA33&amp;" de vida temp.",IF($EZ33=3,"sem dano",IF($GA33=0,IF($EZ33=1,"sem cura","sem dano"),IF($EZ33=1,"cura ","")&amp;$GA33&amp;"d8")))</f>
        <v/>
      </c>
      <c r="GI33" s="164">
        <f>IF($EZ33=2,3*$GB33&amp;" de vida temp.",IF($EZ33=3,"sem dano",IF($GB33=0,IF($EZ33=1,"sem cura","sem dano"),IF($EZ33=1,"cura ","")&amp;$GB33&amp;"d8")))</f>
        <v/>
      </c>
      <c r="GJ33" s="164">
        <f>IF($EZ33=2,3*$GC33&amp;" de vida temp.",IF($EZ33=3,"sem dano",IF($GC33=0,IF($EZ33=1,"sem cura","sem dano"),IF($EZ33=1,"cura ","")&amp;$GC33&amp;"d8")))</f>
        <v/>
      </c>
      <c r="GK33" s="164">
        <f>IF($EZ33=2,3*$GD33&amp;" de vida temp.",IF($EZ33=3,"sem dano",IF($GD33=0,IF($EZ33=1,"sem cura","sem dano"),IF($EZ33=1,"cura ","")&amp;$GD33&amp;"d8")))</f>
        <v/>
      </c>
      <c r="GL33" s="164">
        <f>IF($EK33=0,"",TEXTJOIN(" · ",TRUE,IF($EK33=0,"",TEXTJOIN(" · ",TRUE,IF($EK33=0,"",TEXTJOIN(" · ",TRUE,IF(AND($DZ33=1,$EA33&gt;$HM$9),"O nível "&amp;$HM$2&amp;" dá "&amp;$HM$9&amp;" Liberação Máxima",""),IF($EB33&gt;$HM$4,"Classe "&amp;$EB33&amp;": o nível "&amp;$HM$2&amp;" libera até a "&amp;$HM$4,""),IF($ER33=1,"Família Fechada: a Forma "&amp;$ED33,""),IF($ES33=1,"Família Fechada: "&amp;$EE33,""),IF($ET33=1,"Família Fechada: "&amp;$EF33,""),IF($EU33=1,"Família Fechada: "&amp;$EG33,""),IF($EV33=1,"Família Fechada: "&amp;$EH33,""),IF($FN33&gt;INDEX($W$2:$W$8,$EB33),$FN33&amp;" Melhorias: a Classe "&amp;$EB33&amp;" aceita "&amp;INDEX($W$2:$W$8,$EB33),""),IF($FO33&gt;2,$FO33&amp;" Restrições"&amp;IF($EY33=1,", contando a que a Forma "&amp;$ED33&amp;" já traz","")&amp;": o limite é 2",""),IF($FU33&lt;0,"Orçamento estourado: faltam "&amp;(-$FU33)&amp;IF($FU33&lt;-1," pontos"," ponto"),""),IF(IFERROR(VLOOKUP(SUBSTITUTE(SUBSTITUTE(SUBSTITUTE($EI33,"~","~~"),"*","~*"),"?","~?"),'DADOS_RESTRICOES'!$M$2:$Q$54,4,FALSE),0)+IFERROR(VLOOKUP(SUBSTITUTE(SUBSTITUTE(SUBSTITUTE($EJ33,"~","~~"),"*","~*"),"?","~?"),'DADOS_RESTRICOES'!$M$2:$Q$54,4,FALSE),0)&gt;1,$FD33&amp;" e "&amp;$FE33&amp;" são as duas de frequência",""),IF(AND((COUNTIF($KW33:$KZ33,"Rápido")+COUNTIF($FD33:$FE33,"Rápido"))&gt;0,(COUNTIF($EE33:$EH33,"Atrasar")+COUNTIF($FD33:$FE33,"Atrasar"))&gt;0),"Rápido não entra com Atrasar",""),IF(AND((COUNTIF($KW33:$KZ33,"Reação")+COUNTIF($FD33:$FE33,"Reação"))&gt;0,(COUNTIF($KW33:$KZ33,"Rápido")+COUNTIF($FD33:$FE33,"Rápido"))&gt;0),"Reação não entra com Rápido",""),IF(AND((COUNTIF($KW33:$KZ33,"Reação")+COUNTIF($FD33:$FE33,"Reação"))&gt;0,(COUNTIF($KW33:$KZ33,"Armado")+COUNTIF($FD33:$FE33,"Armado"))&gt;0),"Reação não entra com Armado",""),IF(AND((COUNTIF($KW33:$KZ33,"Reação")+COUNTIF($FD33:$FE33,"Reação"))&gt;0,(COUNTIF($EE33:$EH33,"Atrasar")+COUNTIF($FD33:$FE33,"Atrasar"))&gt;0),"Reação não entra com Atrasar",""),IF(AND((COUNTIF($KW33:$KZ33,"Reação")+COUNTIF($FD33:$FE33,"Reação"))&gt;0,(COUNTIF($EE33:$EH33,"Parado")+COUNTIF($FD33:$FE33,"Parado"))&gt;0),"Reação não entra com Parado",""),IF(AND((COUNTIF($EE33:$EH33,"Atrasar")+COUNTIF($FD33:$FE33,"Atrasar"))&gt;0,(COUNTIF($EE33:$EH33,"Parado")+COUNTIF($FD33:$FE33,"Parado"))&gt;0),"Atrasar não entra com Parado",""),IF(AND((COUNTIF($KW33:$KZ33,"Armado")+COUNTIF($FD33:$FE33,"Armado"))&gt;0,(COUNTIF($EE33:$EH33,"Carregar")+COUNTIF($FD33:$FE33,"Carregar"))&gt;0),"Armado não entra com Carregar",""),IF(AND(COUNTIF($FD33:$FE33,"Corpo a Corpo")&gt;0,$EY33=0,OR($LB33="Cone",$LB33="Linha")),"Corpo a Corpo não entra em "&amp;$ED33,""),IF(AND(COUNTIF($FD33:$FE33,"Corpo a Corpo")&gt;0,$LC33="Corpo a Corpo"),"A Forma "&amp;$ED33&amp;" já traz o Corpo a Corpo",""),IF(AND(COUNTIF($FD33:$FE33,"Tudo ou Nada")&gt;0,$FA33=0),"Tudo ou Nada só entra em feitiço de Teste de Resistência",""),IF(AND(COUNTIF($KW33:$KZ33,"Inescapável")&gt;0,OR($FN33&gt;1,$FO33&gt;0)),"Inescapável não aceita outra peça",""),IF(AND($DZ33=1,$EB33&lt;3),"Liberação Máxima é de Classe 3 ou mais",""),IF(AND($DZ33=1,OR($EZ33=1,$EZ33=2)),"Liberação Máxima não serve para cura",""),IF(AND($DZ33=1,COUNTIF($KW33:$KZ33,"Inescapável")+COUNTIF($KW33:$KZ33,"Toca a Alma")&gt;0),"Esta peça não entra numa Liberação Máxima",""),IF($FV33*IF(COUNTIF($KW33:$KZ33,"Remate")&gt;0,1.25,1)+$FW33&gt;4*$EB33,($FV33*IF(COUNTIF($KW33:$KZ33,"Remate")&gt;0,1.25,1)+$FW33)&amp;" dados somando repetições"&amp;IF(COUNTIF($KW33:$KZ33,"Remate")&gt;0," e o Remate","")&amp;": o teto da Classe "&amp;$EB33&amp;" é "&amp;4*$EB33,""))),IF(AND($EE33&lt;&gt;"",COUNTIF('DADOS_MELHORIAS'!$O$2:$O$113,SUBSTITUTE(SUBSTITUTE(SUBSTITUTE($EE33,"~","~~"),"*","~*"),"?","~?"))=0),"Melhoria não cadastrada ou com erro: "&amp;$EE33,""),IF(AND($EF33&lt;&gt;"",COUNTIF('DADOS_MELHORIAS'!$O$2:$O$113,SUBSTITUTE(SUBSTITUTE(SUBSTITUTE($EF33,"~","~~"),"*","~*"),"?","~?"))=0),"Melhoria não cadastrada ou com erro: "&amp;$EF33,""),IF(AND($EG33&lt;&gt;"",COUNTIF('DADOS_MELHORIAS'!$O$2:$O$113,SUBSTITUTE(SUBSTITUTE(SUBSTITUTE($EG33,"~","~~"),"*","~*"),"?","~?"))=0),"Melhoria não cadastrada ou com erro: "&amp;$EG33,""),IF(AND($EH33&lt;&gt;"",COUNTIF('DADOS_MELHORIAS'!$O$2:$O$113,SUBSTITUTE(SUBSTITUTE(SUBSTITUTE($EH33,"~","~~"),"*","~*"),"?","~?"))=0),"Melhoria não cadastrada ou com erro: "&amp;$EH33,""),IF(AND($EI33&lt;&gt;"",COUNTIF('DADOS_RESTRICOES'!$M$2:$M$54,SUBSTITUTE(SUBSTITUTE(SUBSTITUTE($EI33,"~","~~"),"*","~*"),"?","~?"))=0),"Restrição não cadastrada ou com erro: "&amp;$EI33,""),IF(AND($EJ33&lt;&gt;"",COUNTIF('DADOS_RESTRICOES'!$M$2:$M$54,SUBSTITUTE(SUBSTITUTE(SUBSTITUTE($EJ33,"~","~~"),"*","~*"),"?","~?"))=0),"Restrição não cadastrada ou com erro: "&amp;$EJ33,""))),IF(AND($ED33&lt;&gt;"",COUNTIF('DADOS_FORMAS'!$AH$2:$AH$21,SUBSTITUTE(SUBSTITUTE(SUBSTITUTE($ED33,"~","~~"),"*","~*"),"?","~?"))=0),"Forma não cadastrada ou com erro: "&amp;$ED33,""),IF(AND(IFERROR(INDEX('DADOS_FORMAS'!$AS$2:$AS$21,MATCH(SUBSTITUTE(SUBSTITUTE(SUBSTITUTE($ED33,"~","~~"),"*","~*"),"?","~?"),'DADOS_FORMAS'!$AH$2:$AH$21,0)),"")&lt;&gt;"",OR(IFERROR(VLOOKUP(SUBSTITUTE(SUBSTITUTE(SUBSTITUTE(IFERROR(INDEX('DADOS_FORMAS'!$AS$2:$AS$21,MATCH(SUBSTITUTE(SUBSTITUTE(SUBSTITUTE($ED33,"~","~~"),"*","~*"),"?","~?"),'DADOS_FORMAS'!$AH$2:$AH$21,0)),""),"~","~~"),"*","~*"),"?","~?"),'DADOS_RESTRICOES'!$M$2:$Q$54,2,FALSE),"")=$FD33,IFERROR(VLOOKUP(SUBSTITUTE(SUBSTITUTE(SUBSTITUTE(IFERROR(INDEX('DADOS_FORMAS'!$AS$2:$AS$21,MATCH(SUBSTITUTE(SUBSTITUTE(SUBSTITUTE($ED33,"~","~~"),"*","~*"),"?","~?"),'DADOS_FORMAS'!$AH$2:$AH$21,0)),""),"~","~~"),"*","~*"),"?","~?"),'DADOS_RESTRICOES'!$M$2:$Q$54,2,FALSE),"")=$FE33)),"Restrição repetida, contando a embutida",""),IF(IF(IFERROR(INDEX('DADOS_FORMAS'!$AS$2:$AS$21,MATCH(SUBSTITUTE(SUBSTITUTE(SUBSTITUTE($ED33,"~","~~"),"*","~*"),"?","~?"),'DADOS_FORMAS'!$AH$2:$AH$21,0)),"")="",0,IFERROR(N(VLOOKUP(SUBSTITUTE(SUBSTITUTE(SUBSTITUTE(IFERROR(INDEX('DADOS_FORMAS'!$AS$2:$AS$21,MATCH(SUBSTITUTE(SUBSTITUTE(SUBSTITUTE($ED33,"~","~~"),"*","~*"),"?","~?"),'DADOS_FORMAS'!$AH$2:$AH$21,0)),""),"~","~~"),"*","~*"),"?","~?"),'DADOS_RESTRICOES'!$M$2:$Q$54,4,FALSE)=1),0))+IF($EI33="",0,IFERROR(N(VLOOKUP(SUBSTITUTE(SUBSTITUTE(SUBSTITUTE($EI33,"~","~~"),"*","~*"),"?","~?"),'DADOS_RESTRICOES'!$M$2:$Q$54,4,FALSE)=1),0))+IF($EJ33="",0,IFERROR(N(VLOOKUP(SUBSTITUTE(SUBSTITUTE(SUBSTITUTE($EJ33,"~","~~"),"*","~*"),"?","~?"),'DADOS_RESTRICOES'!$M$2:$Q$54,4,FALSE)=1),0))&gt;1,"Duas Restrições de frequência, contando a embutida",""),IF(AND(IFERROR(VLOOKUP(SUBSTITUTE(SUBSTITUTE(SUBSTITUTE(IFERROR(INDEX('DADOS_FORMAS'!$AS$2:$AS$21,MATCH(SUBSTITUTE(SUBSTITUTE(SUBSTITUTE($ED33,"~","~~"),"*","~*"),"?","~?"),'DADOS_FORMAS'!$AH$2:$AH$21,0)),""),"~","~~"),"*","~*"),"?","~?"),'DADOS_RESTRICOES'!$M$2:$Q$54,2,FALSE),"")="Tudo ou Nada",$FA33=0),"Tudo ou Nada exige TR",""),IF(AND(IFERROR(VLOOKUP(SUBSTITUTE(SUBSTITUTE(SUBSTITUTE(IFERROR(INDEX('DADOS_FORMAS'!$AS$2:$AS$21,MATCH(SUBSTITUTE(SUBSTITUTE(SUBSTITUTE($ED33,"~","~~"),"*","~*"),"?","~?"),'DADOS_FORMAS'!$AH$2:$AH$21,0)),""),"~","~~"),"*","~*"),"?","~?"),'DADOS_RESTRICOES'!$M$2:$Q$54,2,FALSE),"")="Corpo a Corpo",OR($LB33="Cone",$LB33="Linha")),"Corpo a Corpo não entra em Cone/Linha","")))</f>
        <v/>
      </c>
      <c r="GM33" s="164">
        <f>IF($GL33="",0,(LEN($GL33)-LEN(SUBSTITUTE($GL33," · ","")))/3+1)</f>
        <v/>
      </c>
      <c r="GN33" s="164">
        <f>IF($EK33=0,"",TEXTJOIN(" · ",TRUE,IF($FQ33&gt;2*$EB33,"A devolução parou no teto de "&amp;2*$EB33,""),IF($FT33&gt;0,"Devolução perdida: "&amp;$FT33&amp;IF($FT33&gt;1," pontos"," ponto")&amp;" sem Melhoria para pagar",""),IF(AND($EW33&gt;0,$FV33=0),"Controle sem dano: uma rodada a mais e CD +2",""),IF(AND($EW33&gt;0,$FV33&gt;0,$FV33&lt;=$EB33),"Controle com saldo até a Classe: uma rodada a mais","")))</f>
        <v/>
      </c>
      <c r="GO33" s="164">
        <f>IF($GN33="",0,(LEN($GN33)-LEN(SUBSTITUTE($GN33," · ","")))/3+1)</f>
        <v/>
      </c>
      <c r="GP33" s="164">
        <f>IF($EK33=0,IF($FN33+$FO33-$EY33&gt;0,"Dê um nome",""),IF($GM33&gt;0,"⚠ "&amp;$GM33&amp;IF($GM33&gt;1," erros"," erro"),IF($GO33&gt;0,"! "&amp;$GO33&amp;IF($GO33&gt;1," avisos"," aviso"),"Na regra")))</f>
        <v/>
      </c>
      <c r="GQ33" s="164">
        <f>IF($EK33=0,"",IF($GM33+$GO33=0,"Dentro das regras que a ficha confere",$GL33&amp;IF(AND($GM33&gt;0,$GO33&gt;0)," · ","")&amp;$GN33))</f>
        <v/>
      </c>
      <c r="GR33" s="164">
        <f>IF($EK33=0,"",IF($DZ33=1,CEILING(4.5*$EB33,1),3*$EB33)&amp;" PE")</f>
        <v/>
      </c>
      <c r="GS33" s="164">
        <f>IF($EK33=0,"",IF($DZ33=1,"Rodada inteira",IF(COUNTIF($LD33:$LF33,"Atrasar")&gt;0,IF(COUNTIF($LD33:$LF33,"Carregar")&gt;0,"Rodada +1 turno","Rodada inteira"),IF(COUNTIF($KW33:$KZ33,"Rápido")&gt;0,"Bônus",IF(COUNTIF($KW33:$KZ33,"Reação")&gt;0,"Reação","Padrão"))&amp;IF(COUNTIF($LD33:$LF33,"Carregar")&gt;0," +1 turno",""))))</f>
        <v/>
      </c>
      <c r="GT33" s="164">
        <f>IF(OR($EK33=0,$EL33=0),"",IF(COUNTIF($KW33:$KZ33,"Inescapável")&gt;0,"Automático",IF(COUNTIF($KW33:$KZ33,"Certeiro")&gt;0,"TR para metade",IF(AND($EX33&gt;0,$FA33=0,INDEX('DADOS_FORMAS'!$FQ$2:$FQ$21,$EL33)="Acerto"),"Acerto + TR",INDEX('DADOS_FORMAS'!$FQ$2:$FQ$21,$EL33)))))</f>
        <v/>
      </c>
      <c r="GU33" s="164">
        <f>IF(OR($EK33=0,$EL33=0),"",IF(OR($EZ33&gt;=2,$FV33=0),UPPER(LEFT(INDEX($GE33:$GK33,1,$EB33),1))&amp;MID(INDEX($GE33:$GK33,1,$EB33),2,99),UPPER(LEFT(INDEX($GE33:$GK33,1,$EB33),1))&amp;MID(INDEX($GE33:$GK33,1,$EB33),2,99)&amp;" = "&amp;FLOOR($FV33*4.5,1)&amp;IF($FW33&gt;0," · +"&amp;$FW33&amp;"d8","")))</f>
        <v/>
      </c>
      <c r="GV33" s="164">
        <f>COUNTIF($KW33:$KZ33,"Longe")+3*COUNTIF($KW33:$KZ33,"Muito Longe")</f>
        <v/>
      </c>
      <c r="GW33" s="164">
        <f>COUNTIF($KW33:$KZ33,"Maior")+3*COUNTIF($KW33:$KZ33,"Muito Maior")</f>
        <v/>
      </c>
      <c r="GX33" s="164">
        <f>IF($EL33=0,0,CHOOSE(1+INDEX('DADOS_FORMAS'!$FS$2:$FS$21,$EL33),0,$GV33,$GW33,$GV33+$GW33))</f>
        <v/>
      </c>
      <c r="GY33" s="164">
        <f>IF($EL33=0,0,CHOOSE(1+INDEX('DADOS_FORMAS'!$FT$2:$FT$21,$EL33),0,$GV33,$GW33,$GV33+$GW33))</f>
        <v/>
      </c>
      <c r="GZ33" s="164">
        <f>IF(OR($EK33=0,$EL33=0),"",INDEX('DADOS_FORMAS'!$GZ$2:$HE$61,($EL33-1)*3+IF($EB33&gt;=6,3,2),1+MIN(5,$GX33))&amp;INDEX('DADOS_FORMAS'!$HF$2:$HK$61,($EL33-1)*3+IF($EB33&gt;=6,3,2),1+MIN(5,$GY33))&amp;IF(INDEX('DADOS_FORMAS'!$FU$2:$FU$21,$EL33)=1,IF(COUNTIF($KW33:$KZ33,"Mais Um")&gt;0," · +"&amp;COUNTIF($KW33:$KZ33,"Mais Um")&amp;IF(COUNTIF($KW33:$KZ33,"Mais Um")&gt;1," alvos"," alvo"),"")&amp;IF(COUNTIF($KW33:$KZ33,"Rajada")&gt;0," · "&amp;($EB33+1)&amp;" tiros",""),""))</f>
        <v/>
      </c>
      <c r="HA33" s="164">
        <f>IF($EK33=0,"",3*$EB33&amp;" − "&amp;$FP33&amp;" + "&amp;$FS33&amp;IF($DZ33=1," + "&amp;$EB33,"")&amp;" = "&amp;$FV33&amp;"d8 · teto "&amp;4*$EB33&amp;IF($EY33=1," · a Forma devolve "&amp;$EB33,"")&amp;IF($FT33&gt;0," · perde "&amp;$FT33,""))</f>
        <v/>
      </c>
      <c r="HB33" s="164">
        <f>IF($EK33=0,"",IF($EB33&gt;=$HM$4,"Já está na maior Classe que o nível liberou",TEXTJOIN(" · ",TRUE,IF(AND(2&gt;$EB33,2&lt;=$HM$4),"2 → "&amp;$GF33&amp;", "&amp;IF($DZ33=1,9,6)&amp;" PE",""),IF(AND(3&gt;$EB33,3&lt;=$HM$4),"3 → "&amp;$GG33&amp;", "&amp;IF($DZ33=1,14,9)&amp;" PE",""),IF(AND(4&gt;$EB33,4&lt;=$HM$4),"4 → "&amp;$GH33&amp;", "&amp;IF($DZ33=1,18,12)&amp;" PE",""),IF(AND(5&gt;$EB33,5&lt;=$HM$4),"5 → "&amp;$GI33&amp;", "&amp;IF($DZ33=1,23,15)&amp;" PE",""),IF(AND(6&gt;$EB33,6&lt;=$HM$4),"6 → "&amp;$GJ33&amp;", "&amp;IF($DZ33=1,27,18)&amp;" PE",""),IF(AND(7&gt;$EB33,7&lt;=$HM$4),"7 → "&amp;$GK33&amp;", "&amp;IF($DZ33=1,32,21)&amp;" PE",""))))</f>
        <v/>
      </c>
      <c r="HC33" s="164">
        <f>IF(OR($EK33=0,$EN33=0),"","−"&amp;INDEX($Q$2:$V$8,$EB33,$EN33)&amp;" · "&amp;CHOOSE($EN33,"Leve","Média","Pesada","Leve · Livre","Média · Livre","Pesada · Livre"))</f>
        <v/>
      </c>
      <c r="HD33" s="164">
        <f>IF(OR($EK33=0,$EO33=0),"","−"&amp;INDEX($Q$2:$V$8,$EB33,$EO33)&amp;" · "&amp;CHOOSE($EO33,"Leve","Média","Pesada","Leve · Livre","Média · Livre","Pesada · Livre"))</f>
        <v/>
      </c>
      <c r="HE33" s="164">
        <f>IF(OR($EK33=0,$EP33=0),"","−"&amp;INDEX($Q$2:$V$8,$EB33,$EP33)&amp;" · "&amp;CHOOSE($EP33,"Leve","Média","Pesada","Leve · Livre","Média · Livre","Pesada · Livre"))</f>
        <v/>
      </c>
      <c r="HF33" s="164">
        <f>IF(OR($EK33=0,$EQ33=0),"","−"&amp;INDEX($Q$2:$V$8,$EB33,$EQ33)&amp;" · "&amp;CHOOSE($EQ33,"Leve","Média","Pesada","Leve · Livre","Média · Livre","Pesada · Livre"))</f>
        <v/>
      </c>
      <c r="HG33" s="164">
        <f>IF(OR($EK33=0,$EI33=""),"","+"&amp;IF($FB33=1,CEILING($EB33/2,1),$EB33))</f>
        <v/>
      </c>
      <c r="HH33" s="164">
        <f>IF(OR($EK33=0,$EJ33=""),"","+"&amp;IF($FC33=1,CEILING($EB33/2,1),$EB33))</f>
        <v/>
      </c>
      <c r="HI33" s="164">
        <f>'FICHA AMALDIÇOADA'!$J$280&amp;""</f>
        <v/>
      </c>
      <c r="HJ33" s="164">
        <f>IF(AND($EK33=1,$DZ33=0),COUNTIFS($EK$2:$EK33,1,$DZ$2:$DZ33,0),"")</f>
        <v/>
      </c>
      <c r="HL33" s="162" t="inlineStr">
        <is>
          <t>metade do refino</t>
        </is>
      </c>
      <c r="HM33" s="164">
        <f>MAX(1,FLOOR($HM$6/2,1))</f>
        <v/>
      </c>
      <c r="JH33" s="164" t="n">
        <v>32</v>
      </c>
      <c r="JI33" s="164">
        <f>IFERROR(MATCH(32,$HJ$2:$HJ$37,0),0)</f>
        <v/>
      </c>
      <c r="JJ33" s="164">
        <f>IF($JI33=0,"",INDEX($EB$2:$EB$37,$JI33))</f>
        <v/>
      </c>
      <c r="JK33" s="164">
        <f>IF($JI33=0,"",INDEX($EC$2:$EC$37,$JI33))</f>
        <v/>
      </c>
      <c r="JL33" s="164">
        <f>IF($JI33=0,"",INDEX($GR$2:$GR$37,$JI33))</f>
        <v/>
      </c>
      <c r="JM33" s="164">
        <f>IF($JI33=0,"",INDEX($ED$2:$ED$37,$JI33))</f>
        <v/>
      </c>
      <c r="JN33" s="164">
        <f>IF($JI33=0,"",INDEX($GT$2:$GT$37,$JI33))</f>
        <v/>
      </c>
      <c r="JO33" s="164">
        <f>IF($JI33=0,"",INDEX($HI$2:$HI$37,$JI33))</f>
        <v/>
      </c>
      <c r="KU33" s="162" t="inlineStr">
        <is>
          <t>D61</t>
        </is>
      </c>
      <c r="KV33" s="164">
        <f>UPPER(INDEX(DADOS_AM!$D$3:$G$3,1,DADOS_AM!$A$2))</f>
        <v/>
      </c>
      <c r="KW33">
        <f>IF($EE33="","",IFERROR(VLOOKUP(SUBSTITUTE(SUBSTITUTE(SUBSTITUTE($EE33,"~","~~"),"*","~*"),"?","~?"),'DADOS_MELHORIAS'!$O$2:$X$113,10,FALSE),$EE33))</f>
        <v/>
      </c>
      <c r="KX33">
        <f>IF($EF33="","",IFERROR(VLOOKUP(SUBSTITUTE(SUBSTITUTE(SUBSTITUTE($EF33,"~","~~"),"*","~*"),"?","~?"),'DADOS_MELHORIAS'!$O$2:$X$113,10,FALSE),$EF33))</f>
        <v/>
      </c>
      <c r="KY33">
        <f>IF($EG33="","",IFERROR(VLOOKUP(SUBSTITUTE(SUBSTITUTE(SUBSTITUTE($EG33,"~","~~"),"*","~*"),"?","~?"),'DADOS_MELHORIAS'!$O$2:$X$113,10,FALSE),$EG33))</f>
        <v/>
      </c>
      <c r="KZ33">
        <f>IF($EH33="","",IFERROR(VLOOKUP(SUBSTITUTE(SUBSTITUTE(SUBSTITUTE($EH33,"~","~~"),"*","~*"),"?","~?"),'DADOS_MELHORIAS'!$O$2:$X$113,10,FALSE),$EH33))</f>
        <v/>
      </c>
      <c r="LB33">
        <f>IFERROR(INDEX('DADOS_FORMAS'!$BJ$2:$BJ$21,MATCH(SUBSTITUTE(SUBSTITUTE(SUBSTITUTE($ED33,"~","~~"),"*","~*"),"?","~?"),'DADOS_FORMAS'!$AH$2:$AH$21,0)),"")</f>
        <v/>
      </c>
      <c r="LC33">
        <f>IFERROR(VLOOKUP(SUBSTITUTE(SUBSTITUTE(SUBSTITUTE(IFERROR(INDEX('DADOS_FORMAS'!$AS$2:$AS$21,MATCH(SUBSTITUTE(SUBSTITUTE(SUBSTITUTE($ED33,"~","~~"),"*","~*"),"?","~?"),'DADOS_FORMAS'!$AH$2:$AH$21,0)),""),"~","~~"),"*","~*"),"?","~?"),'DADOS_RESTRICOES'!$M$2:$Q$54,2,FALSE),"")</f>
        <v/>
      </c>
      <c r="LD33">
        <f>$FD33</f>
        <v/>
      </c>
      <c r="LE33">
        <f>$FE33</f>
        <v/>
      </c>
      <c r="LF33">
        <f>$LC33</f>
        <v/>
      </c>
    </row>
    <row r="34">
      <c r="BC34" s="162" t="inlineStr">
        <is>
          <t>Amedrontado</t>
        </is>
      </c>
      <c r="BD34" s="162" t="inlineStr">
        <is>
          <t>Controle</t>
        </is>
      </c>
      <c r="BE34" s="164" t="n">
        <v>3</v>
      </c>
      <c r="BF34" s="164">
        <f>$BE34+3*IFERROR(VLOOKUP($BD34,'DADOS_CRIACAO'!$H$2:$K$20,3,FALSE),0)</f>
        <v/>
      </c>
      <c r="BG34" s="164">
        <f>IFERROR(VLOOKUP($BD34,'DADOS_CRIACAO'!$H$2:$K$20,4,FALSE),0)</f>
        <v/>
      </c>
      <c r="BH34" s="164" t="n">
        <v>1</v>
      </c>
      <c r="BI34" s="164">
        <f>IF($BG34=1,"",$BC34)</f>
        <v/>
      </c>
      <c r="BJ34" s="164">
        <f>IF(AND($BE34=1,$BG34=0),$BC34,"")</f>
        <v/>
      </c>
      <c r="BK34" s="164" t="n">
        <v>1</v>
      </c>
      <c r="CD34" s="162" t="inlineStr">
        <is>
          <t>Bênção Própria (CE 1)</t>
        </is>
      </c>
      <c r="CE34" s="162" t="inlineStr">
        <is>
          <t>Uma por personagem</t>
        </is>
      </c>
      <c r="CF34" s="164" t="n">
        <v>1</v>
      </c>
      <c r="CG34" s="162" t="inlineStr">
        <is>
          <t>—</t>
        </is>
      </c>
      <c r="CH34" s="162" t="inlineStr">
        <is>
          <t>Você pode desenvolver uma Bênção Própria por personagem, de Categoria de Efeito 1 ou 2. Crie-a com o mestre antes da sessão e adquira-a por uma escolha de Bênção, respeitando a Lapidação mínima da Categoria de Efeito. Escreva primeiro uma frase que diga o que o corpo consegue fazer. Depois, registre gatilho, alcance, duração e limites necessários. A mesa deve conseguir decidir quando o efeito aconteceu sem discutir novamente a proposta a cada uso. A Bênção segue a orientação de Aptidões e Refino — Aptidão Própria. Ela não acrescenta dados de dano. Se for Categoria de Efeito 2, precisa de um limite por cena. Não pode copiar uma Bênção existente ou fornecer uma capacidade cujo requisito você não alcançou. Uma proposta com requisito de Força ou Constituição deve conceder um feito corporal específico, ligado à sobrevivência, à recuperação ou a outra capacidade física. Bônus, vantagem ou repetição de uma perícia não bastam para representar esse feito. Efeitos de Categoria de Efeito 3 ficam fora desta opção. Se a mesa não conseguir limitar a proposta à Categoria de Efeito 1 ou 2, reduza seu alcance ou escolha outra ideia. Escreva a sua na caixa de baixo.</t>
        </is>
      </c>
      <c r="CI34" s="164">
        <f>IF($CL34=1,"",IF($A$2=4,IF($CJ34=1,$CD34,""),IF(OR($CJ34=1,AND($A$2=3,$CK34=1)),"",$CD34)))</f>
        <v/>
      </c>
      <c r="CJ34" s="164" t="n">
        <v>1</v>
      </c>
      <c r="CK34" s="164" t="n">
        <v>0</v>
      </c>
      <c r="CL34" s="164" t="n">
        <v>0</v>
      </c>
      <c r="CM34" s="162" t="inlineStr">
        <is>
          <t>Você pode desenvolver uma Bênção Própria por personagem, de Categoria de Efeito 1 ou 2.</t>
        </is>
      </c>
      <c r="DY34" s="162" t="inlineStr">
        <is>
          <t>Feitiço 33</t>
        </is>
      </c>
      <c r="DZ34" s="164" t="n">
        <v>0</v>
      </c>
      <c r="EA34" s="164" t="n">
        <v>33</v>
      </c>
      <c r="EB34" s="164">
        <f>MAX(1,MIN(7,N('FICHA AMALDIÇOADA'!$P$278)))</f>
        <v/>
      </c>
      <c r="EC34" s="164">
        <f>'FICHA AMALDIÇOADA'!$Q$278&amp;""</f>
        <v/>
      </c>
      <c r="ED34" s="164">
        <f>'FICHA AMALDIÇOADA'!$P$285&amp;""</f>
        <v/>
      </c>
      <c r="EE34" s="164">
        <f>'FICHA AMALDIÇOADA'!$Q$287&amp;""</f>
        <v/>
      </c>
      <c r="EF34" s="164">
        <f>'FICHA AMALDIÇOADA'!$Q$288&amp;""</f>
        <v/>
      </c>
      <c r="EG34" s="164">
        <f>'FICHA AMALDIÇOADA'!$Q$289&amp;""</f>
        <v/>
      </c>
      <c r="EH34" s="164">
        <f>'FICHA AMALDIÇOADA'!$Q$290&amp;""</f>
        <v/>
      </c>
      <c r="EI34" s="164">
        <f>'FICHA AMALDIÇOADA'!$Q$291&amp;""</f>
        <v/>
      </c>
      <c r="EJ34" s="164">
        <f>'FICHA AMALDIÇOADA'!$Q$292&amp;""</f>
        <v/>
      </c>
      <c r="EK34" s="164">
        <f>IF($EC34&lt;&gt;"",1,0)</f>
        <v/>
      </c>
      <c r="EL34" s="164">
        <f>IFERROR(MATCH(SUBSTITUTE(SUBSTITUTE(SUBSTITUTE($ED34,"~","~~"),"*","~*"),"?","~?"),'DADOS_FORMAS'!$FJ$2:$FJ$21,0),0)</f>
        <v/>
      </c>
      <c r="EM34" s="164">
        <f>IF($EL34=0,0,INDEX('DADOS_FORMAS'!$FM$2:$FM$21,$EL34))</f>
        <v/>
      </c>
      <c r="EN34" s="164">
        <f>IFERROR(VLOOKUP(SUBSTITUTE(SUBSTITUTE(SUBSTITUTE($EE34,"~","~~"),"*","~*"),"?","~?"),'DADOS_MELHORIAS'!$O$2:$W$113,4,FALSE),0)</f>
        <v/>
      </c>
      <c r="EO34" s="164">
        <f>IFERROR(VLOOKUP(SUBSTITUTE(SUBSTITUTE(SUBSTITUTE($EF34,"~","~~"),"*","~*"),"?","~?"),'DADOS_MELHORIAS'!$O$2:$W$113,4,FALSE),0)</f>
        <v/>
      </c>
      <c r="EP34" s="164">
        <f>IFERROR(VLOOKUP(SUBSTITUTE(SUBSTITUTE(SUBSTITUTE($EG34,"~","~~"),"*","~*"),"?","~?"),'DADOS_MELHORIAS'!$O$2:$W$113,4,FALSE),0)</f>
        <v/>
      </c>
      <c r="EQ34" s="164">
        <f>IFERROR(VLOOKUP(SUBSTITUTE(SUBSTITUTE(SUBSTITUTE($EH34,"~","~~"),"*","~*"),"?","~?"),'DADOS_MELHORIAS'!$O$2:$W$113,4,FALSE),0)</f>
        <v/>
      </c>
      <c r="ER34" s="164">
        <f>IF($EL34=0,0,INDEX('DADOS_FORMAS'!$FN$2:$FN$21,$EL34))</f>
        <v/>
      </c>
      <c r="ES34" s="164">
        <f>IFERROR(VLOOKUP(SUBSTITUTE(SUBSTITUTE(SUBSTITUTE($EE34,"~","~~"),"*","~*"),"?","~?"),'DADOS_MELHORIAS'!$O$2:$W$113,5,FALSE),0)</f>
        <v/>
      </c>
      <c r="ET34" s="164">
        <f>IFERROR(VLOOKUP(SUBSTITUTE(SUBSTITUTE(SUBSTITUTE($EF34,"~","~~"),"*","~*"),"?","~?"),'DADOS_MELHORIAS'!$O$2:$W$113,5,FALSE),0)</f>
        <v/>
      </c>
      <c r="EU34" s="164">
        <f>IFERROR(VLOOKUP(SUBSTITUTE(SUBSTITUTE(SUBSTITUTE($EG34,"~","~~"),"*","~*"),"?","~?"),'DADOS_MELHORIAS'!$O$2:$W$113,5,FALSE),0)</f>
        <v/>
      </c>
      <c r="EV34" s="164">
        <f>IFERROR(VLOOKUP(SUBSTITUTE(SUBSTITUTE(SUBSTITUTE($EH34,"~","~~"),"*","~*"),"?","~?"),'DADOS_MELHORIAS'!$O$2:$W$113,5,FALSE),0)</f>
        <v/>
      </c>
      <c r="EW34" s="164">
        <f>IFERROR(VLOOKUP(SUBSTITUTE(SUBSTITUTE(SUBSTITUTE($EE34,"~","~~"),"*","~*"),"?","~?"),'DADOS_MELHORIAS'!$O$2:$W$113,6,FALSE),0)+IFERROR(VLOOKUP(SUBSTITUTE(SUBSTITUTE(SUBSTITUTE($EF34,"~","~~"),"*","~*"),"?","~?"),'DADOS_MELHORIAS'!$O$2:$W$113,6,FALSE),0)+IFERROR(VLOOKUP(SUBSTITUTE(SUBSTITUTE(SUBSTITUTE($EG34,"~","~~"),"*","~*"),"?","~?"),'DADOS_MELHORIAS'!$O$2:$W$113,6,FALSE),0)+IFERROR(VLOOKUP(SUBSTITUTE(SUBSTITUTE(SUBSTITUTE($EH34,"~","~~"),"*","~*"),"?","~?"),'DADOS_MELHORIAS'!$O$2:$W$113,6,FALSE),0)</f>
        <v/>
      </c>
      <c r="EX34" s="164">
        <f>IFERROR(VLOOKUP(SUBSTITUTE(SUBSTITUTE(SUBSTITUTE($EE34,"~","~~"),"*","~*"),"?","~?"),'DADOS_MELHORIAS'!$O$2:$W$113,9,FALSE),0)+IFERROR(VLOOKUP(SUBSTITUTE(SUBSTITUTE(SUBSTITUTE($EF34,"~","~~"),"*","~*"),"?","~?"),'DADOS_MELHORIAS'!$O$2:$W$113,9,FALSE),0)+IFERROR(VLOOKUP(SUBSTITUTE(SUBSTITUTE(SUBSTITUTE($EG34,"~","~~"),"*","~*"),"?","~?"),'DADOS_MELHORIAS'!$O$2:$W$113,9,FALSE),0)+IFERROR(VLOOKUP(SUBSTITUTE(SUBSTITUTE(SUBSTITUTE($EH34,"~","~~"),"*","~*"),"?","~?"),'DADOS_MELHORIAS'!$O$2:$W$113,9,FALSE),0)</f>
        <v/>
      </c>
      <c r="EY34" s="164">
        <f>IF($EL34=0,0,INDEX('DADOS_FORMAS'!$FO$2:$FO$21,$EL34))</f>
        <v/>
      </c>
      <c r="EZ34" s="164">
        <f>IF($EL34=0,0,INDEX('DADOS_FORMAS'!$FP$2:$FP$21,$EL34))</f>
        <v/>
      </c>
      <c r="FA34" s="164">
        <f>IF($EL34=0,0,INDEX('DADOS_FORMAS'!$FR$2:$FR$21,$EL34))</f>
        <v/>
      </c>
      <c r="FB34" s="164">
        <f>IFERROR(VLOOKUP(SUBSTITUTE(SUBSTITUTE(SUBSTITUTE($EI34,"~","~~"),"*","~*"),"?","~?"),'DADOS_RESTRICOES'!$M$2:$Q$54,3,FALSE),0)</f>
        <v/>
      </c>
      <c r="FC34" s="164">
        <f>IFERROR(VLOOKUP(SUBSTITUTE(SUBSTITUTE(SUBSTITUTE($EJ34,"~","~~"),"*","~*"),"?","~?"),'DADOS_RESTRICOES'!$M$2:$Q$54,3,FALSE),0)</f>
        <v/>
      </c>
      <c r="FD34" s="164">
        <f>IFERROR(VLOOKUP(SUBSTITUTE(SUBSTITUTE(SUBSTITUTE($EI34,"~","~~"),"*","~*"),"?","~?"),'DADOS_RESTRICOES'!$M$2:$Q$54,2,FALSE),"")</f>
        <v/>
      </c>
      <c r="FE34" s="164">
        <f>IFERROR(VLOOKUP(SUBSTITUTE(SUBSTITUTE(SUBSTITUTE($EJ34,"~","~~"),"*","~*"),"?","~?"),'DADOS_RESTRICOES'!$M$2:$Q$54,2,FALSE),"")</f>
        <v/>
      </c>
      <c r="FF34" s="164">
        <f>COUNTIF($EM34:$EQ34,1)</f>
        <v/>
      </c>
      <c r="FG34" s="164">
        <f>COUNTIF($EM34:$EQ34,2)</f>
        <v/>
      </c>
      <c r="FH34" s="164">
        <f>COUNTIF($EM34:$EQ34,3)</f>
        <v/>
      </c>
      <c r="FI34" s="164">
        <f>COUNTIF($EM34:$EQ34,4)</f>
        <v/>
      </c>
      <c r="FJ34" s="164">
        <f>COUNTIF($EM34:$EQ34,5)</f>
        <v/>
      </c>
      <c r="FK34" s="164">
        <f>COUNTIF($EM34:$EQ34,6)</f>
        <v/>
      </c>
      <c r="FL34" s="164">
        <f>COUNTIF($FB34:$FC34,1)+IF(IFERROR(INDEX('DADOS_FORMAS'!$AS$2:$AS$21,MATCH(SUBSTITUTE(SUBSTITUTE(SUBSTITUTE($ED34,"~","~~"),"*","~*"),"?","~?"),'DADOS_FORMAS'!$AH$2:$AH$21,0)),"")="",0,IFERROR(N(VLOOKUP(SUBSTITUTE(SUBSTITUTE(SUBSTITUTE(IFERROR(INDEX('DADOS_FORMAS'!$AS$2:$AS$21,MATCH(SUBSTITUTE(SUBSTITUTE(SUBSTITUTE($ED34,"~","~~"),"*","~*"),"?","~?"),'DADOS_FORMAS'!$AH$2:$AH$21,0)),""),"~","~~"),"*","~*"),"?","~?"),'DADOS_RESTRICOES'!$M$2:$Q$54,3,FALSE)=1),0))</f>
        <v/>
      </c>
      <c r="FM34" s="164">
        <f>COUNTIF($FB34:$FC34,2)+IF(IFERROR(INDEX('DADOS_FORMAS'!$AS$2:$AS$21,MATCH(SUBSTITUTE(SUBSTITUTE(SUBSTITUTE($ED34,"~","~~"),"*","~*"),"?","~?"),'DADOS_FORMAS'!$AH$2:$AH$21,0)),"")="",0,IFERROR(N(VLOOKUP(SUBSTITUTE(SUBSTITUTE(SUBSTITUTE(IFERROR(INDEX('DADOS_FORMAS'!$AS$2:$AS$21,MATCH(SUBSTITUTE(SUBSTITUTE(SUBSTITUTE($ED34,"~","~~"),"*","~*"),"?","~?"),'DADOS_FORMAS'!$AH$2:$AH$21,0)),""),"~","~~"),"*","~*"),"?","~?"),'DADOS_RESTRICOES'!$M$2:$Q$54,3,FALSE)=2),0))</f>
        <v/>
      </c>
      <c r="FN34" s="164">
        <f>COUNTIF($EE34:$EH34,"?*")</f>
        <v/>
      </c>
      <c r="FO34" s="164">
        <f>COUNTIF($EI34:$EJ34,"?*")+$EY34</f>
        <v/>
      </c>
      <c r="FP34" s="164">
        <f>SUMPRODUCT($FF34:$FK34,INDEX($Q$2:$V$8,$EB34,0))</f>
        <v/>
      </c>
      <c r="FQ34" s="164">
        <f>$FL34*CEILING($EB34/2,1)+$FM34*$EB34</f>
        <v/>
      </c>
      <c r="FR34" s="164">
        <f>MIN(2*$EB34,$FQ34)</f>
        <v/>
      </c>
      <c r="FS34" s="164">
        <f>MIN($FR34,$FP34-IF($EM34=0,0,INDEX($Q$2:$V$8,$EB34,$EM34)))</f>
        <v/>
      </c>
      <c r="FT34" s="164">
        <f>$FR34-$FS34</f>
        <v/>
      </c>
      <c r="FU34" s="164">
        <f>3*$EB34-$FP34+$FS34</f>
        <v/>
      </c>
      <c r="FV34" s="164">
        <f>MAX(0,$FU34)+$DZ34*$EB34</f>
        <v/>
      </c>
      <c r="FW34" s="164">
        <f>(IF(COUNTIF($KW34:$KZ34,"Salto")&gt;0,1,0)+IF(COUNTIF($KW34:$KZ34,"Queima")&gt;0,1,0)+IF(COUNTIF($KW34:$KZ34,"Estilhaço")&gt;0,1,0))*FLOOR($FV34/2,1)</f>
        <v/>
      </c>
      <c r="FX34" s="164">
        <f>MAX(0,3-SUMPRODUCT($FF34:$FK34,$Q$2:$V$2)+MIN(2,$FL34*1+$FM34*1,SUMPRODUCT($FF34:$FK34,$Q$2:$V$2)-IF($EM34=0,0,INDEX($Q$2:$V$2,1,$EM34))))+$DZ34*1</f>
        <v/>
      </c>
      <c r="FY34" s="164">
        <f>MAX(0,6-SUMPRODUCT($FF34:$FK34,$Q$3:$V$3)+MIN(4,$FL34*1+$FM34*2,SUMPRODUCT($FF34:$FK34,$Q$3:$V$3)-IF($EM34=0,0,INDEX($Q$3:$V$3,1,$EM34))))+$DZ34*2</f>
        <v/>
      </c>
      <c r="FZ34" s="164">
        <f>MAX(0,9-SUMPRODUCT($FF34:$FK34,$Q$4:$V$4)+MIN(6,$FL34*2+$FM34*3,SUMPRODUCT($FF34:$FK34,$Q$4:$V$4)-IF($EM34=0,0,INDEX($Q$4:$V$4,1,$EM34))))+$DZ34*3</f>
        <v/>
      </c>
      <c r="GA34" s="164">
        <f>MAX(0,12-SUMPRODUCT($FF34:$FK34,$Q$5:$V$5)+MIN(8,$FL34*2+$FM34*4,SUMPRODUCT($FF34:$FK34,$Q$5:$V$5)-IF($EM34=0,0,INDEX($Q$5:$V$5,1,$EM34))))+$DZ34*4</f>
        <v/>
      </c>
      <c r="GB34" s="164">
        <f>MAX(0,15-SUMPRODUCT($FF34:$FK34,$Q$6:$V$6)+MIN(10,$FL34*3+$FM34*5,SUMPRODUCT($FF34:$FK34,$Q$6:$V$6)-IF($EM34=0,0,INDEX($Q$6:$V$6,1,$EM34))))+$DZ34*5</f>
        <v/>
      </c>
      <c r="GC34" s="164">
        <f>MAX(0,18-SUMPRODUCT($FF34:$FK34,$Q$7:$V$7)+MIN(12,$FL34*3+$FM34*6,SUMPRODUCT($FF34:$FK34,$Q$7:$V$7)-IF($EM34=0,0,INDEX($Q$7:$V$7,1,$EM34))))+$DZ34*6</f>
        <v/>
      </c>
      <c r="GD34" s="164">
        <f>MAX(0,21-SUMPRODUCT($FF34:$FK34,$Q$8:$V$8)+MIN(14,$FL34*4+$FM34*7,SUMPRODUCT($FF34:$FK34,$Q$8:$V$8)-IF($EM34=0,0,INDEX($Q$8:$V$8,1,$EM34))))+$DZ34*7</f>
        <v/>
      </c>
      <c r="GE34" s="164">
        <f>IF($EZ34=2,3*$FX34&amp;" de vida temp.",IF($EZ34=3,"sem dano",IF($FX34=0,IF($EZ34=1,"sem cura","sem dano"),IF($EZ34=1,"cura ","")&amp;$FX34&amp;"d8")))</f>
        <v/>
      </c>
      <c r="GF34" s="164">
        <f>IF($EZ34=2,3*$FY34&amp;" de vida temp.",IF($EZ34=3,"sem dano",IF($FY34=0,IF($EZ34=1,"sem cura","sem dano"),IF($EZ34=1,"cura ","")&amp;$FY34&amp;"d8")))</f>
        <v/>
      </c>
      <c r="GG34" s="164">
        <f>IF($EZ34=2,3*$FZ34&amp;" de vida temp.",IF($EZ34=3,"sem dano",IF($FZ34=0,IF($EZ34=1,"sem cura","sem dano"),IF($EZ34=1,"cura ","")&amp;$FZ34&amp;"d8")))</f>
        <v/>
      </c>
      <c r="GH34" s="164">
        <f>IF($EZ34=2,3*$GA34&amp;" de vida temp.",IF($EZ34=3,"sem dano",IF($GA34=0,IF($EZ34=1,"sem cura","sem dano"),IF($EZ34=1,"cura ","")&amp;$GA34&amp;"d8")))</f>
        <v/>
      </c>
      <c r="GI34" s="164">
        <f>IF($EZ34=2,3*$GB34&amp;" de vida temp.",IF($EZ34=3,"sem dano",IF($GB34=0,IF($EZ34=1,"sem cura","sem dano"),IF($EZ34=1,"cura ","")&amp;$GB34&amp;"d8")))</f>
        <v/>
      </c>
      <c r="GJ34" s="164">
        <f>IF($EZ34=2,3*$GC34&amp;" de vida temp.",IF($EZ34=3,"sem dano",IF($GC34=0,IF($EZ34=1,"sem cura","sem dano"),IF($EZ34=1,"cura ","")&amp;$GC34&amp;"d8")))</f>
        <v/>
      </c>
      <c r="GK34" s="164">
        <f>IF($EZ34=2,3*$GD34&amp;" de vida temp.",IF($EZ34=3,"sem dano",IF($GD34=0,IF($EZ34=1,"sem cura","sem dano"),IF($EZ34=1,"cura ","")&amp;$GD34&amp;"d8")))</f>
        <v/>
      </c>
      <c r="GL34" s="164">
        <f>IF($EK34=0,"",TEXTJOIN(" · ",TRUE,IF($EK34=0,"",TEXTJOIN(" · ",TRUE,IF($EK34=0,"",TEXTJOIN(" · ",TRUE,IF(AND($DZ34=1,$EA34&gt;$HM$9),"O nível "&amp;$HM$2&amp;" dá "&amp;$HM$9&amp;" Liberação Máxima",""),IF($EB34&gt;$HM$4,"Classe "&amp;$EB34&amp;": o nível "&amp;$HM$2&amp;" libera até a "&amp;$HM$4,""),IF($ER34=1,"Família Fechada: a Forma "&amp;$ED34,""),IF($ES34=1,"Família Fechada: "&amp;$EE34,""),IF($ET34=1,"Família Fechada: "&amp;$EF34,""),IF($EU34=1,"Família Fechada: "&amp;$EG34,""),IF($EV34=1,"Família Fechada: "&amp;$EH34,""),IF($FN34&gt;INDEX($W$2:$W$8,$EB34),$FN34&amp;" Melhorias: a Classe "&amp;$EB34&amp;" aceita "&amp;INDEX($W$2:$W$8,$EB34),""),IF($FO34&gt;2,$FO34&amp;" Restrições"&amp;IF($EY34=1,", contando a que a Forma "&amp;$ED34&amp;" já traz","")&amp;": o limite é 2",""),IF($FU34&lt;0,"Orçamento estourado: faltam "&amp;(-$FU34)&amp;IF($FU34&lt;-1," pontos"," ponto"),""),IF(IFERROR(VLOOKUP(SUBSTITUTE(SUBSTITUTE(SUBSTITUTE($EI34,"~","~~"),"*","~*"),"?","~?"),'DADOS_RESTRICOES'!$M$2:$Q$54,4,FALSE),0)+IFERROR(VLOOKUP(SUBSTITUTE(SUBSTITUTE(SUBSTITUTE($EJ34,"~","~~"),"*","~*"),"?","~?"),'DADOS_RESTRICOES'!$M$2:$Q$54,4,FALSE),0)&gt;1,$FD34&amp;" e "&amp;$FE34&amp;" são as duas de frequência",""),IF(AND((COUNTIF($KW34:$KZ34,"Rápido")+COUNTIF($FD34:$FE34,"Rápido"))&gt;0,(COUNTIF($EE34:$EH34,"Atrasar")+COUNTIF($FD34:$FE34,"Atrasar"))&gt;0),"Rápido não entra com Atrasar",""),IF(AND((COUNTIF($KW34:$KZ34,"Reação")+COUNTIF($FD34:$FE34,"Reação"))&gt;0,(COUNTIF($KW34:$KZ34,"Rápido")+COUNTIF($FD34:$FE34,"Rápido"))&gt;0),"Reação não entra com Rápido",""),IF(AND((COUNTIF($KW34:$KZ34,"Reação")+COUNTIF($FD34:$FE34,"Reação"))&gt;0,(COUNTIF($KW34:$KZ34,"Armado")+COUNTIF($FD34:$FE34,"Armado"))&gt;0),"Reação não entra com Armado",""),IF(AND((COUNTIF($KW34:$KZ34,"Reação")+COUNTIF($FD34:$FE34,"Reação"))&gt;0,(COUNTIF($EE34:$EH34,"Atrasar")+COUNTIF($FD34:$FE34,"Atrasar"))&gt;0),"Reação não entra com Atrasar",""),IF(AND((COUNTIF($KW34:$KZ34,"Reação")+COUNTIF($FD34:$FE34,"Reação"))&gt;0,(COUNTIF($EE34:$EH34,"Parado")+COUNTIF($FD34:$FE34,"Parado"))&gt;0),"Reação não entra com Parado",""),IF(AND((COUNTIF($EE34:$EH34,"Atrasar")+COUNTIF($FD34:$FE34,"Atrasar"))&gt;0,(COUNTIF($EE34:$EH34,"Parado")+COUNTIF($FD34:$FE34,"Parado"))&gt;0),"Atrasar não entra com Parado",""),IF(AND((COUNTIF($KW34:$KZ34,"Armado")+COUNTIF($FD34:$FE34,"Armado"))&gt;0,(COUNTIF($EE34:$EH34,"Carregar")+COUNTIF($FD34:$FE34,"Carregar"))&gt;0),"Armado não entra com Carregar",""),IF(AND(COUNTIF($FD34:$FE34,"Corpo a Corpo")&gt;0,$EY34=0,OR($LB34="Cone",$LB34="Linha")),"Corpo a Corpo não entra em "&amp;$ED34,""),IF(AND(COUNTIF($FD34:$FE34,"Corpo a Corpo")&gt;0,$LC34="Corpo a Corpo"),"A Forma "&amp;$ED34&amp;" já traz o Corpo a Corpo",""),IF(AND(COUNTIF($FD34:$FE34,"Tudo ou Nada")&gt;0,$FA34=0),"Tudo ou Nada só entra em feitiço de Teste de Resistência",""),IF(AND(COUNTIF($KW34:$KZ34,"Inescapável")&gt;0,OR($FN34&gt;1,$FO34&gt;0)),"Inescapável não aceita outra peça",""),IF(AND($DZ34=1,$EB34&lt;3),"Liberação Máxima é de Classe 3 ou mais",""),IF(AND($DZ34=1,OR($EZ34=1,$EZ34=2)),"Liberação Máxima não serve para cura",""),IF(AND($DZ34=1,COUNTIF($KW34:$KZ34,"Inescapável")+COUNTIF($KW34:$KZ34,"Toca a Alma")&gt;0),"Esta peça não entra numa Liberação Máxima",""),IF($FV34*IF(COUNTIF($KW34:$KZ34,"Remate")&gt;0,1.25,1)+$FW34&gt;4*$EB34,($FV34*IF(COUNTIF($KW34:$KZ34,"Remate")&gt;0,1.25,1)+$FW34)&amp;" dados somando repetições"&amp;IF(COUNTIF($KW34:$KZ34,"Remate")&gt;0," e o Remate","")&amp;": o teto da Classe "&amp;$EB34&amp;" é "&amp;4*$EB34,""))),IF(AND($EE34&lt;&gt;"",COUNTIF('DADOS_MELHORIAS'!$O$2:$O$113,SUBSTITUTE(SUBSTITUTE(SUBSTITUTE($EE34,"~","~~"),"*","~*"),"?","~?"))=0),"Melhoria não cadastrada ou com erro: "&amp;$EE34,""),IF(AND($EF34&lt;&gt;"",COUNTIF('DADOS_MELHORIAS'!$O$2:$O$113,SUBSTITUTE(SUBSTITUTE(SUBSTITUTE($EF34,"~","~~"),"*","~*"),"?","~?"))=0),"Melhoria não cadastrada ou com erro: "&amp;$EF34,""),IF(AND($EG34&lt;&gt;"",COUNTIF('DADOS_MELHORIAS'!$O$2:$O$113,SUBSTITUTE(SUBSTITUTE(SUBSTITUTE($EG34,"~","~~"),"*","~*"),"?","~?"))=0),"Melhoria não cadastrada ou com erro: "&amp;$EG34,""),IF(AND($EH34&lt;&gt;"",COUNTIF('DADOS_MELHORIAS'!$O$2:$O$113,SUBSTITUTE(SUBSTITUTE(SUBSTITUTE($EH34,"~","~~"),"*","~*"),"?","~?"))=0),"Melhoria não cadastrada ou com erro: "&amp;$EH34,""),IF(AND($EI34&lt;&gt;"",COUNTIF('DADOS_RESTRICOES'!$M$2:$M$54,SUBSTITUTE(SUBSTITUTE(SUBSTITUTE($EI34,"~","~~"),"*","~*"),"?","~?"))=0),"Restrição não cadastrada ou com erro: "&amp;$EI34,""),IF(AND($EJ34&lt;&gt;"",COUNTIF('DADOS_RESTRICOES'!$M$2:$M$54,SUBSTITUTE(SUBSTITUTE(SUBSTITUTE($EJ34,"~","~~"),"*","~*"),"?","~?"))=0),"Restrição não cadastrada ou com erro: "&amp;$EJ34,""))),IF(AND($ED34&lt;&gt;"",COUNTIF('DADOS_FORMAS'!$AH$2:$AH$21,SUBSTITUTE(SUBSTITUTE(SUBSTITUTE($ED34,"~","~~"),"*","~*"),"?","~?"))=0),"Forma não cadastrada ou com erro: "&amp;$ED34,""),IF(AND(IFERROR(INDEX('DADOS_FORMAS'!$AS$2:$AS$21,MATCH(SUBSTITUTE(SUBSTITUTE(SUBSTITUTE($ED34,"~","~~"),"*","~*"),"?","~?"),'DADOS_FORMAS'!$AH$2:$AH$21,0)),"")&lt;&gt;"",OR(IFERROR(VLOOKUP(SUBSTITUTE(SUBSTITUTE(SUBSTITUTE(IFERROR(INDEX('DADOS_FORMAS'!$AS$2:$AS$21,MATCH(SUBSTITUTE(SUBSTITUTE(SUBSTITUTE($ED34,"~","~~"),"*","~*"),"?","~?"),'DADOS_FORMAS'!$AH$2:$AH$21,0)),""),"~","~~"),"*","~*"),"?","~?"),'DADOS_RESTRICOES'!$M$2:$Q$54,2,FALSE),"")=$FD34,IFERROR(VLOOKUP(SUBSTITUTE(SUBSTITUTE(SUBSTITUTE(IFERROR(INDEX('DADOS_FORMAS'!$AS$2:$AS$21,MATCH(SUBSTITUTE(SUBSTITUTE(SUBSTITUTE($ED34,"~","~~"),"*","~*"),"?","~?"),'DADOS_FORMAS'!$AH$2:$AH$21,0)),""),"~","~~"),"*","~*"),"?","~?"),'DADOS_RESTRICOES'!$M$2:$Q$54,2,FALSE),"")=$FE34)),"Restrição repetida, contando a embutida",""),IF(IF(IFERROR(INDEX('DADOS_FORMAS'!$AS$2:$AS$21,MATCH(SUBSTITUTE(SUBSTITUTE(SUBSTITUTE($ED34,"~","~~"),"*","~*"),"?","~?"),'DADOS_FORMAS'!$AH$2:$AH$21,0)),"")="",0,IFERROR(N(VLOOKUP(SUBSTITUTE(SUBSTITUTE(SUBSTITUTE(IFERROR(INDEX('DADOS_FORMAS'!$AS$2:$AS$21,MATCH(SUBSTITUTE(SUBSTITUTE(SUBSTITUTE($ED34,"~","~~"),"*","~*"),"?","~?"),'DADOS_FORMAS'!$AH$2:$AH$21,0)),""),"~","~~"),"*","~*"),"?","~?"),'DADOS_RESTRICOES'!$M$2:$Q$54,4,FALSE)=1),0))+IF($EI34="",0,IFERROR(N(VLOOKUP(SUBSTITUTE(SUBSTITUTE(SUBSTITUTE($EI34,"~","~~"),"*","~*"),"?","~?"),'DADOS_RESTRICOES'!$M$2:$Q$54,4,FALSE)=1),0))+IF($EJ34="",0,IFERROR(N(VLOOKUP(SUBSTITUTE(SUBSTITUTE(SUBSTITUTE($EJ34,"~","~~"),"*","~*"),"?","~?"),'DADOS_RESTRICOES'!$M$2:$Q$54,4,FALSE)=1),0))&gt;1,"Duas Restrições de frequência, contando a embutida",""),IF(AND(IFERROR(VLOOKUP(SUBSTITUTE(SUBSTITUTE(SUBSTITUTE(IFERROR(INDEX('DADOS_FORMAS'!$AS$2:$AS$21,MATCH(SUBSTITUTE(SUBSTITUTE(SUBSTITUTE($ED34,"~","~~"),"*","~*"),"?","~?"),'DADOS_FORMAS'!$AH$2:$AH$21,0)),""),"~","~~"),"*","~*"),"?","~?"),'DADOS_RESTRICOES'!$M$2:$Q$54,2,FALSE),"")="Tudo ou Nada",$FA34=0),"Tudo ou Nada exige TR",""),IF(AND(IFERROR(VLOOKUP(SUBSTITUTE(SUBSTITUTE(SUBSTITUTE(IFERROR(INDEX('DADOS_FORMAS'!$AS$2:$AS$21,MATCH(SUBSTITUTE(SUBSTITUTE(SUBSTITUTE($ED34,"~","~~"),"*","~*"),"?","~?"),'DADOS_FORMAS'!$AH$2:$AH$21,0)),""),"~","~~"),"*","~*"),"?","~?"),'DADOS_RESTRICOES'!$M$2:$Q$54,2,FALSE),"")="Corpo a Corpo",OR($LB34="Cone",$LB34="Linha")),"Corpo a Corpo não entra em Cone/Linha","")))</f>
        <v/>
      </c>
      <c r="GM34" s="164">
        <f>IF($GL34="",0,(LEN($GL34)-LEN(SUBSTITUTE($GL34," · ","")))/3+1)</f>
        <v/>
      </c>
      <c r="GN34" s="164">
        <f>IF($EK34=0,"",TEXTJOIN(" · ",TRUE,IF($FQ34&gt;2*$EB34,"A devolução parou no teto de "&amp;2*$EB34,""),IF($FT34&gt;0,"Devolução perdida: "&amp;$FT34&amp;IF($FT34&gt;1," pontos"," ponto")&amp;" sem Melhoria para pagar",""),IF(AND($EW34&gt;0,$FV34=0),"Controle sem dano: uma rodada a mais e CD +2",""),IF(AND($EW34&gt;0,$FV34&gt;0,$FV34&lt;=$EB34),"Controle com saldo até a Classe: uma rodada a mais","")))</f>
        <v/>
      </c>
      <c r="GO34" s="164">
        <f>IF($GN34="",0,(LEN($GN34)-LEN(SUBSTITUTE($GN34," · ","")))/3+1)</f>
        <v/>
      </c>
      <c r="GP34" s="164">
        <f>IF($EK34=0,IF($FN34+$FO34-$EY34&gt;0,"Dê um nome",""),IF($GM34&gt;0,"⚠ "&amp;$GM34&amp;IF($GM34&gt;1," erros"," erro"),IF($GO34&gt;0,"! "&amp;$GO34&amp;IF($GO34&gt;1," avisos"," aviso"),"Na regra")))</f>
        <v/>
      </c>
      <c r="GQ34" s="164">
        <f>IF($EK34=0,"",IF($GM34+$GO34=0,"Dentro das regras que a ficha confere",$GL34&amp;IF(AND($GM34&gt;0,$GO34&gt;0)," · ","")&amp;$GN34))</f>
        <v/>
      </c>
      <c r="GR34" s="164">
        <f>IF($EK34=0,"",IF($DZ34=1,CEILING(4.5*$EB34,1),3*$EB34)&amp;" PE")</f>
        <v/>
      </c>
      <c r="GS34" s="164">
        <f>IF($EK34=0,"",IF($DZ34=1,"Rodada inteira",IF(COUNTIF($LD34:$LF34,"Atrasar")&gt;0,IF(COUNTIF($LD34:$LF34,"Carregar")&gt;0,"Rodada +1 turno","Rodada inteira"),IF(COUNTIF($KW34:$KZ34,"Rápido")&gt;0,"Bônus",IF(COUNTIF($KW34:$KZ34,"Reação")&gt;0,"Reação","Padrão"))&amp;IF(COUNTIF($LD34:$LF34,"Carregar")&gt;0," +1 turno",""))))</f>
        <v/>
      </c>
      <c r="GT34" s="164">
        <f>IF(OR($EK34=0,$EL34=0),"",IF(COUNTIF($KW34:$KZ34,"Inescapável")&gt;0,"Automático",IF(COUNTIF($KW34:$KZ34,"Certeiro")&gt;0,"TR para metade",IF(AND($EX34&gt;0,$FA34=0,INDEX('DADOS_FORMAS'!$FQ$2:$FQ$21,$EL34)="Acerto"),"Acerto + TR",INDEX('DADOS_FORMAS'!$FQ$2:$FQ$21,$EL34)))))</f>
        <v/>
      </c>
      <c r="GU34" s="164">
        <f>IF(OR($EK34=0,$EL34=0),"",IF(OR($EZ34&gt;=2,$FV34=0),UPPER(LEFT(INDEX($GE34:$GK34,1,$EB34),1))&amp;MID(INDEX($GE34:$GK34,1,$EB34),2,99),UPPER(LEFT(INDEX($GE34:$GK34,1,$EB34),1))&amp;MID(INDEX($GE34:$GK34,1,$EB34),2,99)&amp;" = "&amp;FLOOR($FV34*4.5,1)&amp;IF($FW34&gt;0," · +"&amp;$FW34&amp;"d8","")))</f>
        <v/>
      </c>
      <c r="GV34" s="164">
        <f>COUNTIF($KW34:$KZ34,"Longe")+3*COUNTIF($KW34:$KZ34,"Muito Longe")</f>
        <v/>
      </c>
      <c r="GW34" s="164">
        <f>COUNTIF($KW34:$KZ34,"Maior")+3*COUNTIF($KW34:$KZ34,"Muito Maior")</f>
        <v/>
      </c>
      <c r="GX34" s="164">
        <f>IF($EL34=0,0,CHOOSE(1+INDEX('DADOS_FORMAS'!$FS$2:$FS$21,$EL34),0,$GV34,$GW34,$GV34+$GW34))</f>
        <v/>
      </c>
      <c r="GY34" s="164">
        <f>IF($EL34=0,0,CHOOSE(1+INDEX('DADOS_FORMAS'!$FT$2:$FT$21,$EL34),0,$GV34,$GW34,$GV34+$GW34))</f>
        <v/>
      </c>
      <c r="GZ34" s="164">
        <f>IF(OR($EK34=0,$EL34=0),"",INDEX('DADOS_FORMAS'!$GZ$2:$HE$61,($EL34-1)*3+IF($EB34&gt;=6,3,2),1+MIN(5,$GX34))&amp;INDEX('DADOS_FORMAS'!$HF$2:$HK$61,($EL34-1)*3+IF($EB34&gt;=6,3,2),1+MIN(5,$GY34))&amp;IF(INDEX('DADOS_FORMAS'!$FU$2:$FU$21,$EL34)=1,IF(COUNTIF($KW34:$KZ34,"Mais Um")&gt;0," · +"&amp;COUNTIF($KW34:$KZ34,"Mais Um")&amp;IF(COUNTIF($KW34:$KZ34,"Mais Um")&gt;1," alvos"," alvo"),"")&amp;IF(COUNTIF($KW34:$KZ34,"Rajada")&gt;0," · "&amp;($EB34+1)&amp;" tiros",""),""))</f>
        <v/>
      </c>
      <c r="HA34" s="164">
        <f>IF($EK34=0,"",3*$EB34&amp;" − "&amp;$FP34&amp;" + "&amp;$FS34&amp;IF($DZ34=1," + "&amp;$EB34,"")&amp;" = "&amp;$FV34&amp;"d8 · teto "&amp;4*$EB34&amp;IF($EY34=1," · a Forma devolve "&amp;$EB34,"")&amp;IF($FT34&gt;0," · perde "&amp;$FT34,""))</f>
        <v/>
      </c>
      <c r="HB34" s="164">
        <f>IF($EK34=0,"",IF($EB34&gt;=$HM$4,"Já está na maior Classe que o nível liberou",TEXTJOIN(" · ",TRUE,IF(AND(2&gt;$EB34,2&lt;=$HM$4),"2 → "&amp;$GF34&amp;", "&amp;IF($DZ34=1,9,6)&amp;" PE",""),IF(AND(3&gt;$EB34,3&lt;=$HM$4),"3 → "&amp;$GG34&amp;", "&amp;IF($DZ34=1,14,9)&amp;" PE",""),IF(AND(4&gt;$EB34,4&lt;=$HM$4),"4 → "&amp;$GH34&amp;", "&amp;IF($DZ34=1,18,12)&amp;" PE",""),IF(AND(5&gt;$EB34,5&lt;=$HM$4),"5 → "&amp;$GI34&amp;", "&amp;IF($DZ34=1,23,15)&amp;" PE",""),IF(AND(6&gt;$EB34,6&lt;=$HM$4),"6 → "&amp;$GJ34&amp;", "&amp;IF($DZ34=1,27,18)&amp;" PE",""),IF(AND(7&gt;$EB34,7&lt;=$HM$4),"7 → "&amp;$GK34&amp;", "&amp;IF($DZ34=1,32,21)&amp;" PE",""))))</f>
        <v/>
      </c>
      <c r="HC34" s="164">
        <f>IF(OR($EK34=0,$EN34=0),"","−"&amp;INDEX($Q$2:$V$8,$EB34,$EN34)&amp;" · "&amp;CHOOSE($EN34,"Leve","Média","Pesada","Leve · Livre","Média · Livre","Pesada · Livre"))</f>
        <v/>
      </c>
      <c r="HD34" s="164">
        <f>IF(OR($EK34=0,$EO34=0),"","−"&amp;INDEX($Q$2:$V$8,$EB34,$EO34)&amp;" · "&amp;CHOOSE($EO34,"Leve","Média","Pesada","Leve · Livre","Média · Livre","Pesada · Livre"))</f>
        <v/>
      </c>
      <c r="HE34" s="164">
        <f>IF(OR($EK34=0,$EP34=0),"","−"&amp;INDEX($Q$2:$V$8,$EB34,$EP34)&amp;" · "&amp;CHOOSE($EP34,"Leve","Média","Pesada","Leve · Livre","Média · Livre","Pesada · Livre"))</f>
        <v/>
      </c>
      <c r="HF34" s="164">
        <f>IF(OR($EK34=0,$EQ34=0),"","−"&amp;INDEX($Q$2:$V$8,$EB34,$EQ34)&amp;" · "&amp;CHOOSE($EQ34,"Leve","Média","Pesada","Leve · Livre","Média · Livre","Pesada · Livre"))</f>
        <v/>
      </c>
      <c r="HG34" s="164">
        <f>IF(OR($EK34=0,$EI34=""),"","+"&amp;IF($FB34=1,CEILING($EB34/2,1),$EB34))</f>
        <v/>
      </c>
      <c r="HH34" s="164">
        <f>IF(OR($EK34=0,$EJ34=""),"","+"&amp;IF($FC34=1,CEILING($EB34/2,1),$EB34))</f>
        <v/>
      </c>
      <c r="HI34" s="164">
        <f>'FICHA AMALDIÇOADA'!$P$280&amp;""</f>
        <v/>
      </c>
      <c r="HJ34" s="164">
        <f>IF(AND($EK34=1,$DZ34=0),COUNTIFS($EK$2:$EK34,1,$DZ$2:$DZ34,0),"")</f>
        <v/>
      </c>
      <c r="HL34" s="162" t="inlineStr">
        <is>
          <t>terço do refino</t>
        </is>
      </c>
      <c r="HM34" s="164">
        <f>MAX(1,FLOOR($HM$6/3,1))</f>
        <v/>
      </c>
      <c r="JH34" s="164" t="n">
        <v>33</v>
      </c>
      <c r="JI34" s="164">
        <f>IFERROR(MATCH(33,$HJ$2:$HJ$37,0),0)</f>
        <v/>
      </c>
      <c r="JJ34" s="164">
        <f>IF($JI34=0,"",INDEX($EB$2:$EB$37,$JI34))</f>
        <v/>
      </c>
      <c r="JK34" s="164">
        <f>IF($JI34=0,"",INDEX($EC$2:$EC$37,$JI34))</f>
        <v/>
      </c>
      <c r="JL34" s="164">
        <f>IF($JI34=0,"",INDEX($GR$2:$GR$37,$JI34))</f>
        <v/>
      </c>
      <c r="JM34" s="164">
        <f>IF($JI34=0,"",INDEX($ED$2:$ED$37,$JI34))</f>
        <v/>
      </c>
      <c r="JN34" s="164">
        <f>IF($JI34=0,"",INDEX($GT$2:$GT$37,$JI34))</f>
        <v/>
      </c>
      <c r="JO34" s="164">
        <f>IF($JI34=0,"",INDEX($HI$2:$HI$37,$JI34))</f>
        <v/>
      </c>
      <c r="KU34" s="162" t="inlineStr">
        <is>
          <t>D148</t>
        </is>
      </c>
      <c r="KV34" s="164">
        <f>UPPER(INDEX(DADOS_AM!$D$3:$G$3,1,DADOS_AM!$A$2))&amp;" 13 A 24 · abra quando faltar lugar"</f>
        <v/>
      </c>
      <c r="KW34">
        <f>IF($EE34="","",IFERROR(VLOOKUP(SUBSTITUTE(SUBSTITUTE(SUBSTITUTE($EE34,"~","~~"),"*","~*"),"?","~?"),'DADOS_MELHORIAS'!$O$2:$X$113,10,FALSE),$EE34))</f>
        <v/>
      </c>
      <c r="KX34">
        <f>IF($EF34="","",IFERROR(VLOOKUP(SUBSTITUTE(SUBSTITUTE(SUBSTITUTE($EF34,"~","~~"),"*","~*"),"?","~?"),'DADOS_MELHORIAS'!$O$2:$X$113,10,FALSE),$EF34))</f>
        <v/>
      </c>
      <c r="KY34">
        <f>IF($EG34="","",IFERROR(VLOOKUP(SUBSTITUTE(SUBSTITUTE(SUBSTITUTE($EG34,"~","~~"),"*","~*"),"?","~?"),'DADOS_MELHORIAS'!$O$2:$X$113,10,FALSE),$EG34))</f>
        <v/>
      </c>
      <c r="KZ34">
        <f>IF($EH34="","",IFERROR(VLOOKUP(SUBSTITUTE(SUBSTITUTE(SUBSTITUTE($EH34,"~","~~"),"*","~*"),"?","~?"),'DADOS_MELHORIAS'!$O$2:$X$113,10,FALSE),$EH34))</f>
        <v/>
      </c>
      <c r="LB34">
        <f>IFERROR(INDEX('DADOS_FORMAS'!$BJ$2:$BJ$21,MATCH(SUBSTITUTE(SUBSTITUTE(SUBSTITUTE($ED34,"~","~~"),"*","~*"),"?","~?"),'DADOS_FORMAS'!$AH$2:$AH$21,0)),"")</f>
        <v/>
      </c>
      <c r="LC34">
        <f>IFERROR(VLOOKUP(SUBSTITUTE(SUBSTITUTE(SUBSTITUTE(IFERROR(INDEX('DADOS_FORMAS'!$AS$2:$AS$21,MATCH(SUBSTITUTE(SUBSTITUTE(SUBSTITUTE($ED34,"~","~~"),"*","~*"),"?","~?"),'DADOS_FORMAS'!$AH$2:$AH$21,0)),""),"~","~~"),"*","~*"),"?","~?"),'DADOS_RESTRICOES'!$M$2:$Q$54,2,FALSE),"")</f>
        <v/>
      </c>
      <c r="LD34">
        <f>$FD34</f>
        <v/>
      </c>
      <c r="LE34">
        <f>$FE34</f>
        <v/>
      </c>
      <c r="LF34">
        <f>$LC34</f>
        <v/>
      </c>
    </row>
    <row r="35">
      <c r="BC35" s="162" t="inlineStr">
        <is>
          <t>Envenenado</t>
        </is>
      </c>
      <c r="BD35" s="162" t="inlineStr">
        <is>
          <t>Controle</t>
        </is>
      </c>
      <c r="BE35" s="164" t="n">
        <v>3</v>
      </c>
      <c r="BF35" s="164">
        <f>$BE35+3*IFERROR(VLOOKUP($BD35,'DADOS_CRIACAO'!$H$2:$K$20,3,FALSE),0)</f>
        <v/>
      </c>
      <c r="BG35" s="164">
        <f>IFERROR(VLOOKUP($BD35,'DADOS_CRIACAO'!$H$2:$K$20,4,FALSE),0)</f>
        <v/>
      </c>
      <c r="BH35" s="164" t="n">
        <v>1</v>
      </c>
      <c r="BI35" s="164">
        <f>IF($BG35=1,"",$BC35)</f>
        <v/>
      </c>
      <c r="BJ35" s="164">
        <f>IF(AND($BE35=1,$BG35=0),$BC35,"")</f>
        <v/>
      </c>
      <c r="BK35" s="164" t="n">
        <v>1</v>
      </c>
      <c r="CD35" s="162" t="inlineStr">
        <is>
          <t>Bênção Própria (CE 2)</t>
        </is>
      </c>
      <c r="CE35" s="162" t="inlineStr">
        <is>
          <t>Uma por personagem</t>
        </is>
      </c>
      <c r="CF35" s="164" t="n">
        <v>2</v>
      </c>
      <c r="CG35" s="162" t="inlineStr">
        <is>
          <t>—</t>
        </is>
      </c>
      <c r="CH35" s="162" t="inlineStr">
        <is>
          <t>Você pode desenvolver uma Bênção Própria por personagem, de Categoria de Efeito 1 ou 2. Crie-a com o mestre antes da sessão e adquira-a por uma escolha de Bênção, respeitando a Lapidação mínima da Categoria de Efeito. Escreva primeiro uma frase que diga o que o corpo consegue fazer. Depois, registre gatilho, alcance, duração e limites necessários. A mesa deve conseguir decidir quando o efeito aconteceu sem discutir novamente a proposta a cada uso. A Bênção segue a orientação de Aptidões e Refino — Aptidão Própria. Ela não acrescenta dados de dano. Se for Categoria de Efeito 2, precisa de um limite por cena. Não pode copiar uma Bênção existente ou fornecer uma capacidade cujo requisito você não alcançou. Uma proposta com requisito de Força ou Constituição deve conceder um feito corporal específico, ligado à sobrevivência, à recuperação ou a outra capacidade física. Bônus, vantagem ou repetição de uma perícia não bastam para representar esse feito. Efeitos de Categoria de Efeito 3 ficam fora desta opção. Se a mesa não conseguir limitar a proposta à Categoria de Efeito 1 ou 2, reduza seu alcance ou escolha outra ideia. Escreva a sua na caixa de baixo.</t>
        </is>
      </c>
      <c r="CI35" s="164">
        <f>IF($CL35=1,"",IF($A$2=4,IF($CJ35=1,$CD35,""),IF(OR($CJ35=1,AND($A$2=3,$CK35=1)),"",$CD35)))</f>
        <v/>
      </c>
      <c r="CJ35" s="164" t="n">
        <v>1</v>
      </c>
      <c r="CK35" s="164" t="n">
        <v>0</v>
      </c>
      <c r="CL35" s="164" t="n">
        <v>0</v>
      </c>
      <c r="CM35" s="162" t="inlineStr">
        <is>
          <t>Você pode desenvolver uma Bênção Própria por personagem, de Categoria de Efeito 1 ou 2.</t>
        </is>
      </c>
      <c r="DY35" s="162" t="inlineStr">
        <is>
          <t>Feitiço 34</t>
        </is>
      </c>
      <c r="DZ35" s="164" t="n">
        <v>0</v>
      </c>
      <c r="EA35" s="164" t="n">
        <v>34</v>
      </c>
      <c r="EB35" s="164">
        <f>MAX(1,MIN(7,N('FICHA AMALDIÇOADA'!$D$299)))</f>
        <v/>
      </c>
      <c r="EC35" s="164">
        <f>'FICHA AMALDIÇOADA'!$E$299&amp;""</f>
        <v/>
      </c>
      <c r="ED35" s="164">
        <f>'FICHA AMALDIÇOADA'!$D$306&amp;""</f>
        <v/>
      </c>
      <c r="EE35" s="164">
        <f>'FICHA AMALDIÇOADA'!$E$308&amp;""</f>
        <v/>
      </c>
      <c r="EF35" s="164">
        <f>'FICHA AMALDIÇOADA'!$E$309&amp;""</f>
        <v/>
      </c>
      <c r="EG35" s="164">
        <f>'FICHA AMALDIÇOADA'!$E$310&amp;""</f>
        <v/>
      </c>
      <c r="EH35" s="164">
        <f>'FICHA AMALDIÇOADA'!$E$311&amp;""</f>
        <v/>
      </c>
      <c r="EI35" s="164">
        <f>'FICHA AMALDIÇOADA'!$E$312&amp;""</f>
        <v/>
      </c>
      <c r="EJ35" s="164">
        <f>'FICHA AMALDIÇOADA'!$E$313&amp;""</f>
        <v/>
      </c>
      <c r="EK35" s="164">
        <f>IF($EC35&lt;&gt;"",1,0)</f>
        <v/>
      </c>
      <c r="EL35" s="164">
        <f>IFERROR(MATCH(SUBSTITUTE(SUBSTITUTE(SUBSTITUTE($ED35,"~","~~"),"*","~*"),"?","~?"),'DADOS_FORMAS'!$FJ$2:$FJ$21,0),0)</f>
        <v/>
      </c>
      <c r="EM35" s="164">
        <f>IF($EL35=0,0,INDEX('DADOS_FORMAS'!$FM$2:$FM$21,$EL35))</f>
        <v/>
      </c>
      <c r="EN35" s="164">
        <f>IFERROR(VLOOKUP(SUBSTITUTE(SUBSTITUTE(SUBSTITUTE($EE35,"~","~~"),"*","~*"),"?","~?"),'DADOS_MELHORIAS'!$O$2:$W$113,4,FALSE),0)</f>
        <v/>
      </c>
      <c r="EO35" s="164">
        <f>IFERROR(VLOOKUP(SUBSTITUTE(SUBSTITUTE(SUBSTITUTE($EF35,"~","~~"),"*","~*"),"?","~?"),'DADOS_MELHORIAS'!$O$2:$W$113,4,FALSE),0)</f>
        <v/>
      </c>
      <c r="EP35" s="164">
        <f>IFERROR(VLOOKUP(SUBSTITUTE(SUBSTITUTE(SUBSTITUTE($EG35,"~","~~"),"*","~*"),"?","~?"),'DADOS_MELHORIAS'!$O$2:$W$113,4,FALSE),0)</f>
        <v/>
      </c>
      <c r="EQ35" s="164">
        <f>IFERROR(VLOOKUP(SUBSTITUTE(SUBSTITUTE(SUBSTITUTE($EH35,"~","~~"),"*","~*"),"?","~?"),'DADOS_MELHORIAS'!$O$2:$W$113,4,FALSE),0)</f>
        <v/>
      </c>
      <c r="ER35" s="164">
        <f>IF($EL35=0,0,INDEX('DADOS_FORMAS'!$FN$2:$FN$21,$EL35))</f>
        <v/>
      </c>
      <c r="ES35" s="164">
        <f>IFERROR(VLOOKUP(SUBSTITUTE(SUBSTITUTE(SUBSTITUTE($EE35,"~","~~"),"*","~*"),"?","~?"),'DADOS_MELHORIAS'!$O$2:$W$113,5,FALSE),0)</f>
        <v/>
      </c>
      <c r="ET35" s="164">
        <f>IFERROR(VLOOKUP(SUBSTITUTE(SUBSTITUTE(SUBSTITUTE($EF35,"~","~~"),"*","~*"),"?","~?"),'DADOS_MELHORIAS'!$O$2:$W$113,5,FALSE),0)</f>
        <v/>
      </c>
      <c r="EU35" s="164">
        <f>IFERROR(VLOOKUP(SUBSTITUTE(SUBSTITUTE(SUBSTITUTE($EG35,"~","~~"),"*","~*"),"?","~?"),'DADOS_MELHORIAS'!$O$2:$W$113,5,FALSE),0)</f>
        <v/>
      </c>
      <c r="EV35" s="164">
        <f>IFERROR(VLOOKUP(SUBSTITUTE(SUBSTITUTE(SUBSTITUTE($EH35,"~","~~"),"*","~*"),"?","~?"),'DADOS_MELHORIAS'!$O$2:$W$113,5,FALSE),0)</f>
        <v/>
      </c>
      <c r="EW35" s="164">
        <f>IFERROR(VLOOKUP(SUBSTITUTE(SUBSTITUTE(SUBSTITUTE($EE35,"~","~~"),"*","~*"),"?","~?"),'DADOS_MELHORIAS'!$O$2:$W$113,6,FALSE),0)+IFERROR(VLOOKUP(SUBSTITUTE(SUBSTITUTE(SUBSTITUTE($EF35,"~","~~"),"*","~*"),"?","~?"),'DADOS_MELHORIAS'!$O$2:$W$113,6,FALSE),0)+IFERROR(VLOOKUP(SUBSTITUTE(SUBSTITUTE(SUBSTITUTE($EG35,"~","~~"),"*","~*"),"?","~?"),'DADOS_MELHORIAS'!$O$2:$W$113,6,FALSE),0)+IFERROR(VLOOKUP(SUBSTITUTE(SUBSTITUTE(SUBSTITUTE($EH35,"~","~~"),"*","~*"),"?","~?"),'DADOS_MELHORIAS'!$O$2:$W$113,6,FALSE),0)</f>
        <v/>
      </c>
      <c r="EX35" s="164">
        <f>IFERROR(VLOOKUP(SUBSTITUTE(SUBSTITUTE(SUBSTITUTE($EE35,"~","~~"),"*","~*"),"?","~?"),'DADOS_MELHORIAS'!$O$2:$W$113,9,FALSE),0)+IFERROR(VLOOKUP(SUBSTITUTE(SUBSTITUTE(SUBSTITUTE($EF35,"~","~~"),"*","~*"),"?","~?"),'DADOS_MELHORIAS'!$O$2:$W$113,9,FALSE),0)+IFERROR(VLOOKUP(SUBSTITUTE(SUBSTITUTE(SUBSTITUTE($EG35,"~","~~"),"*","~*"),"?","~?"),'DADOS_MELHORIAS'!$O$2:$W$113,9,FALSE),0)+IFERROR(VLOOKUP(SUBSTITUTE(SUBSTITUTE(SUBSTITUTE($EH35,"~","~~"),"*","~*"),"?","~?"),'DADOS_MELHORIAS'!$O$2:$W$113,9,FALSE),0)</f>
        <v/>
      </c>
      <c r="EY35" s="164">
        <f>IF($EL35=0,0,INDEX('DADOS_FORMAS'!$FO$2:$FO$21,$EL35))</f>
        <v/>
      </c>
      <c r="EZ35" s="164">
        <f>IF($EL35=0,0,INDEX('DADOS_FORMAS'!$FP$2:$FP$21,$EL35))</f>
        <v/>
      </c>
      <c r="FA35" s="164">
        <f>IF($EL35=0,0,INDEX('DADOS_FORMAS'!$FR$2:$FR$21,$EL35))</f>
        <v/>
      </c>
      <c r="FB35" s="164">
        <f>IFERROR(VLOOKUP(SUBSTITUTE(SUBSTITUTE(SUBSTITUTE($EI35,"~","~~"),"*","~*"),"?","~?"),'DADOS_RESTRICOES'!$M$2:$Q$54,3,FALSE),0)</f>
        <v/>
      </c>
      <c r="FC35" s="164">
        <f>IFERROR(VLOOKUP(SUBSTITUTE(SUBSTITUTE(SUBSTITUTE($EJ35,"~","~~"),"*","~*"),"?","~?"),'DADOS_RESTRICOES'!$M$2:$Q$54,3,FALSE),0)</f>
        <v/>
      </c>
      <c r="FD35" s="164">
        <f>IFERROR(VLOOKUP(SUBSTITUTE(SUBSTITUTE(SUBSTITUTE($EI35,"~","~~"),"*","~*"),"?","~?"),'DADOS_RESTRICOES'!$M$2:$Q$54,2,FALSE),"")</f>
        <v/>
      </c>
      <c r="FE35" s="164">
        <f>IFERROR(VLOOKUP(SUBSTITUTE(SUBSTITUTE(SUBSTITUTE($EJ35,"~","~~"),"*","~*"),"?","~?"),'DADOS_RESTRICOES'!$M$2:$Q$54,2,FALSE),"")</f>
        <v/>
      </c>
      <c r="FF35" s="164">
        <f>COUNTIF($EM35:$EQ35,1)</f>
        <v/>
      </c>
      <c r="FG35" s="164">
        <f>COUNTIF($EM35:$EQ35,2)</f>
        <v/>
      </c>
      <c r="FH35" s="164">
        <f>COUNTIF($EM35:$EQ35,3)</f>
        <v/>
      </c>
      <c r="FI35" s="164">
        <f>COUNTIF($EM35:$EQ35,4)</f>
        <v/>
      </c>
      <c r="FJ35" s="164">
        <f>COUNTIF($EM35:$EQ35,5)</f>
        <v/>
      </c>
      <c r="FK35" s="164">
        <f>COUNTIF($EM35:$EQ35,6)</f>
        <v/>
      </c>
      <c r="FL35" s="164">
        <f>COUNTIF($FB35:$FC35,1)+IF(IFERROR(INDEX('DADOS_FORMAS'!$AS$2:$AS$21,MATCH(SUBSTITUTE(SUBSTITUTE(SUBSTITUTE($ED35,"~","~~"),"*","~*"),"?","~?"),'DADOS_FORMAS'!$AH$2:$AH$21,0)),"")="",0,IFERROR(N(VLOOKUP(SUBSTITUTE(SUBSTITUTE(SUBSTITUTE(IFERROR(INDEX('DADOS_FORMAS'!$AS$2:$AS$21,MATCH(SUBSTITUTE(SUBSTITUTE(SUBSTITUTE($ED35,"~","~~"),"*","~*"),"?","~?"),'DADOS_FORMAS'!$AH$2:$AH$21,0)),""),"~","~~"),"*","~*"),"?","~?"),'DADOS_RESTRICOES'!$M$2:$Q$54,3,FALSE)=1),0))</f>
        <v/>
      </c>
      <c r="FM35" s="164">
        <f>COUNTIF($FB35:$FC35,2)+IF(IFERROR(INDEX('DADOS_FORMAS'!$AS$2:$AS$21,MATCH(SUBSTITUTE(SUBSTITUTE(SUBSTITUTE($ED35,"~","~~"),"*","~*"),"?","~?"),'DADOS_FORMAS'!$AH$2:$AH$21,0)),"")="",0,IFERROR(N(VLOOKUP(SUBSTITUTE(SUBSTITUTE(SUBSTITUTE(IFERROR(INDEX('DADOS_FORMAS'!$AS$2:$AS$21,MATCH(SUBSTITUTE(SUBSTITUTE(SUBSTITUTE($ED35,"~","~~"),"*","~*"),"?","~?"),'DADOS_FORMAS'!$AH$2:$AH$21,0)),""),"~","~~"),"*","~*"),"?","~?"),'DADOS_RESTRICOES'!$M$2:$Q$54,3,FALSE)=2),0))</f>
        <v/>
      </c>
      <c r="FN35" s="164">
        <f>COUNTIF($EE35:$EH35,"?*")</f>
        <v/>
      </c>
      <c r="FO35" s="164">
        <f>COUNTIF($EI35:$EJ35,"?*")+$EY35</f>
        <v/>
      </c>
      <c r="FP35" s="164">
        <f>SUMPRODUCT($FF35:$FK35,INDEX($Q$2:$V$8,$EB35,0))</f>
        <v/>
      </c>
      <c r="FQ35" s="164">
        <f>$FL35*CEILING($EB35/2,1)+$FM35*$EB35</f>
        <v/>
      </c>
      <c r="FR35" s="164">
        <f>MIN(2*$EB35,$FQ35)</f>
        <v/>
      </c>
      <c r="FS35" s="164">
        <f>MIN($FR35,$FP35-IF($EM35=0,0,INDEX($Q$2:$V$8,$EB35,$EM35)))</f>
        <v/>
      </c>
      <c r="FT35" s="164">
        <f>$FR35-$FS35</f>
        <v/>
      </c>
      <c r="FU35" s="164">
        <f>3*$EB35-$FP35+$FS35</f>
        <v/>
      </c>
      <c r="FV35" s="164">
        <f>MAX(0,$FU35)+$DZ35*$EB35</f>
        <v/>
      </c>
      <c r="FW35" s="164">
        <f>(IF(COUNTIF($KW35:$KZ35,"Salto")&gt;0,1,0)+IF(COUNTIF($KW35:$KZ35,"Queima")&gt;0,1,0)+IF(COUNTIF($KW35:$KZ35,"Estilhaço")&gt;0,1,0))*FLOOR($FV35/2,1)</f>
        <v/>
      </c>
      <c r="FX35" s="164">
        <f>MAX(0,3-SUMPRODUCT($FF35:$FK35,$Q$2:$V$2)+MIN(2,$FL35*1+$FM35*1,SUMPRODUCT($FF35:$FK35,$Q$2:$V$2)-IF($EM35=0,0,INDEX($Q$2:$V$2,1,$EM35))))+$DZ35*1</f>
        <v/>
      </c>
      <c r="FY35" s="164">
        <f>MAX(0,6-SUMPRODUCT($FF35:$FK35,$Q$3:$V$3)+MIN(4,$FL35*1+$FM35*2,SUMPRODUCT($FF35:$FK35,$Q$3:$V$3)-IF($EM35=0,0,INDEX($Q$3:$V$3,1,$EM35))))+$DZ35*2</f>
        <v/>
      </c>
      <c r="FZ35" s="164">
        <f>MAX(0,9-SUMPRODUCT($FF35:$FK35,$Q$4:$V$4)+MIN(6,$FL35*2+$FM35*3,SUMPRODUCT($FF35:$FK35,$Q$4:$V$4)-IF($EM35=0,0,INDEX($Q$4:$V$4,1,$EM35))))+$DZ35*3</f>
        <v/>
      </c>
      <c r="GA35" s="164">
        <f>MAX(0,12-SUMPRODUCT($FF35:$FK35,$Q$5:$V$5)+MIN(8,$FL35*2+$FM35*4,SUMPRODUCT($FF35:$FK35,$Q$5:$V$5)-IF($EM35=0,0,INDEX($Q$5:$V$5,1,$EM35))))+$DZ35*4</f>
        <v/>
      </c>
      <c r="GB35" s="164">
        <f>MAX(0,15-SUMPRODUCT($FF35:$FK35,$Q$6:$V$6)+MIN(10,$FL35*3+$FM35*5,SUMPRODUCT($FF35:$FK35,$Q$6:$V$6)-IF($EM35=0,0,INDEX($Q$6:$V$6,1,$EM35))))+$DZ35*5</f>
        <v/>
      </c>
      <c r="GC35" s="164">
        <f>MAX(0,18-SUMPRODUCT($FF35:$FK35,$Q$7:$V$7)+MIN(12,$FL35*3+$FM35*6,SUMPRODUCT($FF35:$FK35,$Q$7:$V$7)-IF($EM35=0,0,INDEX($Q$7:$V$7,1,$EM35))))+$DZ35*6</f>
        <v/>
      </c>
      <c r="GD35" s="164">
        <f>MAX(0,21-SUMPRODUCT($FF35:$FK35,$Q$8:$V$8)+MIN(14,$FL35*4+$FM35*7,SUMPRODUCT($FF35:$FK35,$Q$8:$V$8)-IF($EM35=0,0,INDEX($Q$8:$V$8,1,$EM35))))+$DZ35*7</f>
        <v/>
      </c>
      <c r="GE35" s="164">
        <f>IF($EZ35=2,3*$FX35&amp;" de vida temp.",IF($EZ35=3,"sem dano",IF($FX35=0,IF($EZ35=1,"sem cura","sem dano"),IF($EZ35=1,"cura ","")&amp;$FX35&amp;"d8")))</f>
        <v/>
      </c>
      <c r="GF35" s="164">
        <f>IF($EZ35=2,3*$FY35&amp;" de vida temp.",IF($EZ35=3,"sem dano",IF($FY35=0,IF($EZ35=1,"sem cura","sem dano"),IF($EZ35=1,"cura ","")&amp;$FY35&amp;"d8")))</f>
        <v/>
      </c>
      <c r="GG35" s="164">
        <f>IF($EZ35=2,3*$FZ35&amp;" de vida temp.",IF($EZ35=3,"sem dano",IF($FZ35=0,IF($EZ35=1,"sem cura","sem dano"),IF($EZ35=1,"cura ","")&amp;$FZ35&amp;"d8")))</f>
        <v/>
      </c>
      <c r="GH35" s="164">
        <f>IF($EZ35=2,3*$GA35&amp;" de vida temp.",IF($EZ35=3,"sem dano",IF($GA35=0,IF($EZ35=1,"sem cura","sem dano"),IF($EZ35=1,"cura ","")&amp;$GA35&amp;"d8")))</f>
        <v/>
      </c>
      <c r="GI35" s="164">
        <f>IF($EZ35=2,3*$GB35&amp;" de vida temp.",IF($EZ35=3,"sem dano",IF($GB35=0,IF($EZ35=1,"sem cura","sem dano"),IF($EZ35=1,"cura ","")&amp;$GB35&amp;"d8")))</f>
        <v/>
      </c>
      <c r="GJ35" s="164">
        <f>IF($EZ35=2,3*$GC35&amp;" de vida temp.",IF($EZ35=3,"sem dano",IF($GC35=0,IF($EZ35=1,"sem cura","sem dano"),IF($EZ35=1,"cura ","")&amp;$GC35&amp;"d8")))</f>
        <v/>
      </c>
      <c r="GK35" s="164">
        <f>IF($EZ35=2,3*$GD35&amp;" de vida temp.",IF($EZ35=3,"sem dano",IF($GD35=0,IF($EZ35=1,"sem cura","sem dano"),IF($EZ35=1,"cura ","")&amp;$GD35&amp;"d8")))</f>
        <v/>
      </c>
      <c r="GL35" s="164">
        <f>IF($EK35=0,"",TEXTJOIN(" · ",TRUE,IF($EK35=0,"",TEXTJOIN(" · ",TRUE,IF($EK35=0,"",TEXTJOIN(" · ",TRUE,IF(AND($DZ35=1,$EA35&gt;$HM$9),"O nível "&amp;$HM$2&amp;" dá "&amp;$HM$9&amp;" Liberação Máxima",""),IF($EB35&gt;$HM$4,"Classe "&amp;$EB35&amp;": o nível "&amp;$HM$2&amp;" libera até a "&amp;$HM$4,""),IF($ER35=1,"Família Fechada: a Forma "&amp;$ED35,""),IF($ES35=1,"Família Fechada: "&amp;$EE35,""),IF($ET35=1,"Família Fechada: "&amp;$EF35,""),IF($EU35=1,"Família Fechada: "&amp;$EG35,""),IF($EV35=1,"Família Fechada: "&amp;$EH35,""),IF($FN35&gt;INDEX($W$2:$W$8,$EB35),$FN35&amp;" Melhorias: a Classe "&amp;$EB35&amp;" aceita "&amp;INDEX($W$2:$W$8,$EB35),""),IF($FO35&gt;2,$FO35&amp;" Restrições"&amp;IF($EY35=1,", contando a que a Forma "&amp;$ED35&amp;" já traz","")&amp;": o limite é 2",""),IF($FU35&lt;0,"Orçamento estourado: faltam "&amp;(-$FU35)&amp;IF($FU35&lt;-1," pontos"," ponto"),""),IF(IFERROR(VLOOKUP(SUBSTITUTE(SUBSTITUTE(SUBSTITUTE($EI35,"~","~~"),"*","~*"),"?","~?"),'DADOS_RESTRICOES'!$M$2:$Q$54,4,FALSE),0)+IFERROR(VLOOKUP(SUBSTITUTE(SUBSTITUTE(SUBSTITUTE($EJ35,"~","~~"),"*","~*"),"?","~?"),'DADOS_RESTRICOES'!$M$2:$Q$54,4,FALSE),0)&gt;1,$FD35&amp;" e "&amp;$FE35&amp;" são as duas de frequência",""),IF(AND((COUNTIF($KW35:$KZ35,"Rápido")+COUNTIF($FD35:$FE35,"Rápido"))&gt;0,(COUNTIF($EE35:$EH35,"Atrasar")+COUNTIF($FD35:$FE35,"Atrasar"))&gt;0),"Rápido não entra com Atrasar",""),IF(AND((COUNTIF($KW35:$KZ35,"Reação")+COUNTIF($FD35:$FE35,"Reação"))&gt;0,(COUNTIF($KW35:$KZ35,"Rápido")+COUNTIF($FD35:$FE35,"Rápido"))&gt;0),"Reação não entra com Rápido",""),IF(AND((COUNTIF($KW35:$KZ35,"Reação")+COUNTIF($FD35:$FE35,"Reação"))&gt;0,(COUNTIF($KW35:$KZ35,"Armado")+COUNTIF($FD35:$FE35,"Armado"))&gt;0),"Reação não entra com Armado",""),IF(AND((COUNTIF($KW35:$KZ35,"Reação")+COUNTIF($FD35:$FE35,"Reação"))&gt;0,(COUNTIF($EE35:$EH35,"Atrasar")+COUNTIF($FD35:$FE35,"Atrasar"))&gt;0),"Reação não entra com Atrasar",""),IF(AND((COUNTIF($KW35:$KZ35,"Reação")+COUNTIF($FD35:$FE35,"Reação"))&gt;0,(COUNTIF($EE35:$EH35,"Parado")+COUNTIF($FD35:$FE35,"Parado"))&gt;0),"Reação não entra com Parado",""),IF(AND((COUNTIF($EE35:$EH35,"Atrasar")+COUNTIF($FD35:$FE35,"Atrasar"))&gt;0,(COUNTIF($EE35:$EH35,"Parado")+COUNTIF($FD35:$FE35,"Parado"))&gt;0),"Atrasar não entra com Parado",""),IF(AND((COUNTIF($KW35:$KZ35,"Armado")+COUNTIF($FD35:$FE35,"Armado"))&gt;0,(COUNTIF($EE35:$EH35,"Carregar")+COUNTIF($FD35:$FE35,"Carregar"))&gt;0),"Armado não entra com Carregar",""),IF(AND(COUNTIF($FD35:$FE35,"Corpo a Corpo")&gt;0,$EY35=0,OR($LB35="Cone",$LB35="Linha")),"Corpo a Corpo não entra em "&amp;$ED35,""),IF(AND(COUNTIF($FD35:$FE35,"Corpo a Corpo")&gt;0,$LC35="Corpo a Corpo"),"A Forma "&amp;$ED35&amp;" já traz o Corpo a Corpo",""),IF(AND(COUNTIF($FD35:$FE35,"Tudo ou Nada")&gt;0,$FA35=0),"Tudo ou Nada só entra em feitiço de Teste de Resistência",""),IF(AND(COUNTIF($KW35:$KZ35,"Inescapável")&gt;0,OR($FN35&gt;1,$FO35&gt;0)),"Inescapável não aceita outra peça",""),IF(AND($DZ35=1,$EB35&lt;3),"Liberação Máxima é de Classe 3 ou mais",""),IF(AND($DZ35=1,OR($EZ35=1,$EZ35=2)),"Liberação Máxima não serve para cura",""),IF(AND($DZ35=1,COUNTIF($KW35:$KZ35,"Inescapável")+COUNTIF($KW35:$KZ35,"Toca a Alma")&gt;0),"Esta peça não entra numa Liberação Máxima",""),IF($FV35*IF(COUNTIF($KW35:$KZ35,"Remate")&gt;0,1.25,1)+$FW35&gt;4*$EB35,($FV35*IF(COUNTIF($KW35:$KZ35,"Remate")&gt;0,1.25,1)+$FW35)&amp;" dados somando repetições"&amp;IF(COUNTIF($KW35:$KZ35,"Remate")&gt;0," e o Remate","")&amp;": o teto da Classe "&amp;$EB35&amp;" é "&amp;4*$EB35,""))),IF(AND($EE35&lt;&gt;"",COUNTIF('DADOS_MELHORIAS'!$O$2:$O$113,SUBSTITUTE(SUBSTITUTE(SUBSTITUTE($EE35,"~","~~"),"*","~*"),"?","~?"))=0),"Melhoria não cadastrada ou com erro: "&amp;$EE35,""),IF(AND($EF35&lt;&gt;"",COUNTIF('DADOS_MELHORIAS'!$O$2:$O$113,SUBSTITUTE(SUBSTITUTE(SUBSTITUTE($EF35,"~","~~"),"*","~*"),"?","~?"))=0),"Melhoria não cadastrada ou com erro: "&amp;$EF35,""),IF(AND($EG35&lt;&gt;"",COUNTIF('DADOS_MELHORIAS'!$O$2:$O$113,SUBSTITUTE(SUBSTITUTE(SUBSTITUTE($EG35,"~","~~"),"*","~*"),"?","~?"))=0),"Melhoria não cadastrada ou com erro: "&amp;$EG35,""),IF(AND($EH35&lt;&gt;"",COUNTIF('DADOS_MELHORIAS'!$O$2:$O$113,SUBSTITUTE(SUBSTITUTE(SUBSTITUTE($EH35,"~","~~"),"*","~*"),"?","~?"))=0),"Melhoria não cadastrada ou com erro: "&amp;$EH35,""),IF(AND($EI35&lt;&gt;"",COUNTIF('DADOS_RESTRICOES'!$M$2:$M$54,SUBSTITUTE(SUBSTITUTE(SUBSTITUTE($EI35,"~","~~"),"*","~*"),"?","~?"))=0),"Restrição não cadastrada ou com erro: "&amp;$EI35,""),IF(AND($EJ35&lt;&gt;"",COUNTIF('DADOS_RESTRICOES'!$M$2:$M$54,SUBSTITUTE(SUBSTITUTE(SUBSTITUTE($EJ35,"~","~~"),"*","~*"),"?","~?"))=0),"Restrição não cadastrada ou com erro: "&amp;$EJ35,""))),IF(AND($ED35&lt;&gt;"",COUNTIF('DADOS_FORMAS'!$AH$2:$AH$21,SUBSTITUTE(SUBSTITUTE(SUBSTITUTE($ED35,"~","~~"),"*","~*"),"?","~?"))=0),"Forma não cadastrada ou com erro: "&amp;$ED35,""),IF(AND(IFERROR(INDEX('DADOS_FORMAS'!$AS$2:$AS$21,MATCH(SUBSTITUTE(SUBSTITUTE(SUBSTITUTE($ED35,"~","~~"),"*","~*"),"?","~?"),'DADOS_FORMAS'!$AH$2:$AH$21,0)),"")&lt;&gt;"",OR(IFERROR(VLOOKUP(SUBSTITUTE(SUBSTITUTE(SUBSTITUTE(IFERROR(INDEX('DADOS_FORMAS'!$AS$2:$AS$21,MATCH(SUBSTITUTE(SUBSTITUTE(SUBSTITUTE($ED35,"~","~~"),"*","~*"),"?","~?"),'DADOS_FORMAS'!$AH$2:$AH$21,0)),""),"~","~~"),"*","~*"),"?","~?"),'DADOS_RESTRICOES'!$M$2:$Q$54,2,FALSE),"")=$FD35,IFERROR(VLOOKUP(SUBSTITUTE(SUBSTITUTE(SUBSTITUTE(IFERROR(INDEX('DADOS_FORMAS'!$AS$2:$AS$21,MATCH(SUBSTITUTE(SUBSTITUTE(SUBSTITUTE($ED35,"~","~~"),"*","~*"),"?","~?"),'DADOS_FORMAS'!$AH$2:$AH$21,0)),""),"~","~~"),"*","~*"),"?","~?"),'DADOS_RESTRICOES'!$M$2:$Q$54,2,FALSE),"")=$FE35)),"Restrição repetida, contando a embutida",""),IF(IF(IFERROR(INDEX('DADOS_FORMAS'!$AS$2:$AS$21,MATCH(SUBSTITUTE(SUBSTITUTE(SUBSTITUTE($ED35,"~","~~"),"*","~*"),"?","~?"),'DADOS_FORMAS'!$AH$2:$AH$21,0)),"")="",0,IFERROR(N(VLOOKUP(SUBSTITUTE(SUBSTITUTE(SUBSTITUTE(IFERROR(INDEX('DADOS_FORMAS'!$AS$2:$AS$21,MATCH(SUBSTITUTE(SUBSTITUTE(SUBSTITUTE($ED35,"~","~~"),"*","~*"),"?","~?"),'DADOS_FORMAS'!$AH$2:$AH$21,0)),""),"~","~~"),"*","~*"),"?","~?"),'DADOS_RESTRICOES'!$M$2:$Q$54,4,FALSE)=1),0))+IF($EI35="",0,IFERROR(N(VLOOKUP(SUBSTITUTE(SUBSTITUTE(SUBSTITUTE($EI35,"~","~~"),"*","~*"),"?","~?"),'DADOS_RESTRICOES'!$M$2:$Q$54,4,FALSE)=1),0))+IF($EJ35="",0,IFERROR(N(VLOOKUP(SUBSTITUTE(SUBSTITUTE(SUBSTITUTE($EJ35,"~","~~"),"*","~*"),"?","~?"),'DADOS_RESTRICOES'!$M$2:$Q$54,4,FALSE)=1),0))&gt;1,"Duas Restrições de frequência, contando a embutida",""),IF(AND(IFERROR(VLOOKUP(SUBSTITUTE(SUBSTITUTE(SUBSTITUTE(IFERROR(INDEX('DADOS_FORMAS'!$AS$2:$AS$21,MATCH(SUBSTITUTE(SUBSTITUTE(SUBSTITUTE($ED35,"~","~~"),"*","~*"),"?","~?"),'DADOS_FORMAS'!$AH$2:$AH$21,0)),""),"~","~~"),"*","~*"),"?","~?"),'DADOS_RESTRICOES'!$M$2:$Q$54,2,FALSE),"")="Tudo ou Nada",$FA35=0),"Tudo ou Nada exige TR",""),IF(AND(IFERROR(VLOOKUP(SUBSTITUTE(SUBSTITUTE(SUBSTITUTE(IFERROR(INDEX('DADOS_FORMAS'!$AS$2:$AS$21,MATCH(SUBSTITUTE(SUBSTITUTE(SUBSTITUTE($ED35,"~","~~"),"*","~*"),"?","~?"),'DADOS_FORMAS'!$AH$2:$AH$21,0)),""),"~","~~"),"*","~*"),"?","~?"),'DADOS_RESTRICOES'!$M$2:$Q$54,2,FALSE),"")="Corpo a Corpo",OR($LB35="Cone",$LB35="Linha")),"Corpo a Corpo não entra em Cone/Linha","")))</f>
        <v/>
      </c>
      <c r="GM35" s="164">
        <f>IF($GL35="",0,(LEN($GL35)-LEN(SUBSTITUTE($GL35," · ","")))/3+1)</f>
        <v/>
      </c>
      <c r="GN35" s="164">
        <f>IF($EK35=0,"",TEXTJOIN(" · ",TRUE,IF($FQ35&gt;2*$EB35,"A devolução parou no teto de "&amp;2*$EB35,""),IF($FT35&gt;0,"Devolução perdida: "&amp;$FT35&amp;IF($FT35&gt;1," pontos"," ponto")&amp;" sem Melhoria para pagar",""),IF(AND($EW35&gt;0,$FV35=0),"Controle sem dano: uma rodada a mais e CD +2",""),IF(AND($EW35&gt;0,$FV35&gt;0,$FV35&lt;=$EB35),"Controle com saldo até a Classe: uma rodada a mais","")))</f>
        <v/>
      </c>
      <c r="GO35" s="164">
        <f>IF($GN35="",0,(LEN($GN35)-LEN(SUBSTITUTE($GN35," · ","")))/3+1)</f>
        <v/>
      </c>
      <c r="GP35" s="164">
        <f>IF($EK35=0,IF($FN35+$FO35-$EY35&gt;0,"Dê um nome",""),IF($GM35&gt;0,"⚠ "&amp;$GM35&amp;IF($GM35&gt;1," erros"," erro"),IF($GO35&gt;0,"! "&amp;$GO35&amp;IF($GO35&gt;1," avisos"," aviso"),"Na regra")))</f>
        <v/>
      </c>
      <c r="GQ35" s="164">
        <f>IF($EK35=0,"",IF($GM35+$GO35=0,"Dentro das regras que a ficha confere",$GL35&amp;IF(AND($GM35&gt;0,$GO35&gt;0)," · ","")&amp;$GN35))</f>
        <v/>
      </c>
      <c r="GR35" s="164">
        <f>IF($EK35=0,"",IF($DZ35=1,CEILING(4.5*$EB35,1),3*$EB35)&amp;" PE")</f>
        <v/>
      </c>
      <c r="GS35" s="164">
        <f>IF($EK35=0,"",IF($DZ35=1,"Rodada inteira",IF(COUNTIF($LD35:$LF35,"Atrasar")&gt;0,IF(COUNTIF($LD35:$LF35,"Carregar")&gt;0,"Rodada +1 turno","Rodada inteira"),IF(COUNTIF($KW35:$KZ35,"Rápido")&gt;0,"Bônus",IF(COUNTIF($KW35:$KZ35,"Reação")&gt;0,"Reação","Padrão"))&amp;IF(COUNTIF($LD35:$LF35,"Carregar")&gt;0," +1 turno",""))))</f>
        <v/>
      </c>
      <c r="GT35" s="164">
        <f>IF(OR($EK35=0,$EL35=0),"",IF(COUNTIF($KW35:$KZ35,"Inescapável")&gt;0,"Automático",IF(COUNTIF($KW35:$KZ35,"Certeiro")&gt;0,"TR para metade",IF(AND($EX35&gt;0,$FA35=0,INDEX('DADOS_FORMAS'!$FQ$2:$FQ$21,$EL35)="Acerto"),"Acerto + TR",INDEX('DADOS_FORMAS'!$FQ$2:$FQ$21,$EL35)))))</f>
        <v/>
      </c>
      <c r="GU35" s="164">
        <f>IF(OR($EK35=0,$EL35=0),"",IF(OR($EZ35&gt;=2,$FV35=0),UPPER(LEFT(INDEX($GE35:$GK35,1,$EB35),1))&amp;MID(INDEX($GE35:$GK35,1,$EB35),2,99),UPPER(LEFT(INDEX($GE35:$GK35,1,$EB35),1))&amp;MID(INDEX($GE35:$GK35,1,$EB35),2,99)&amp;" = "&amp;FLOOR($FV35*4.5,1)&amp;IF($FW35&gt;0," · +"&amp;$FW35&amp;"d8","")))</f>
        <v/>
      </c>
      <c r="GV35" s="164">
        <f>COUNTIF($KW35:$KZ35,"Longe")+3*COUNTIF($KW35:$KZ35,"Muito Longe")</f>
        <v/>
      </c>
      <c r="GW35" s="164">
        <f>COUNTIF($KW35:$KZ35,"Maior")+3*COUNTIF($KW35:$KZ35,"Muito Maior")</f>
        <v/>
      </c>
      <c r="GX35" s="164">
        <f>IF($EL35=0,0,CHOOSE(1+INDEX('DADOS_FORMAS'!$FS$2:$FS$21,$EL35),0,$GV35,$GW35,$GV35+$GW35))</f>
        <v/>
      </c>
      <c r="GY35" s="164">
        <f>IF($EL35=0,0,CHOOSE(1+INDEX('DADOS_FORMAS'!$FT$2:$FT$21,$EL35),0,$GV35,$GW35,$GV35+$GW35))</f>
        <v/>
      </c>
      <c r="GZ35" s="164">
        <f>IF(OR($EK35=0,$EL35=0),"",INDEX('DADOS_FORMAS'!$GZ$2:$HE$61,($EL35-1)*3+IF($EB35&gt;=6,3,2),1+MIN(5,$GX35))&amp;INDEX('DADOS_FORMAS'!$HF$2:$HK$61,($EL35-1)*3+IF($EB35&gt;=6,3,2),1+MIN(5,$GY35))&amp;IF(INDEX('DADOS_FORMAS'!$FU$2:$FU$21,$EL35)=1,IF(COUNTIF($KW35:$KZ35,"Mais Um")&gt;0," · +"&amp;COUNTIF($KW35:$KZ35,"Mais Um")&amp;IF(COUNTIF($KW35:$KZ35,"Mais Um")&gt;1," alvos"," alvo"),"")&amp;IF(COUNTIF($KW35:$KZ35,"Rajada")&gt;0," · "&amp;($EB35+1)&amp;" tiros",""),""))</f>
        <v/>
      </c>
      <c r="HA35" s="164">
        <f>IF($EK35=0,"",3*$EB35&amp;" − "&amp;$FP35&amp;" + "&amp;$FS35&amp;IF($DZ35=1," + "&amp;$EB35,"")&amp;" = "&amp;$FV35&amp;"d8 · teto "&amp;4*$EB35&amp;IF($EY35=1," · a Forma devolve "&amp;$EB35,"")&amp;IF($FT35&gt;0," · perde "&amp;$FT35,""))</f>
        <v/>
      </c>
      <c r="HB35" s="164">
        <f>IF($EK35=0,"",IF($EB35&gt;=$HM$4,"Já está na maior Classe que o nível liberou",TEXTJOIN(" · ",TRUE,IF(AND(2&gt;$EB35,2&lt;=$HM$4),"2 → "&amp;$GF35&amp;", "&amp;IF($DZ35=1,9,6)&amp;" PE",""),IF(AND(3&gt;$EB35,3&lt;=$HM$4),"3 → "&amp;$GG35&amp;", "&amp;IF($DZ35=1,14,9)&amp;" PE",""),IF(AND(4&gt;$EB35,4&lt;=$HM$4),"4 → "&amp;$GH35&amp;", "&amp;IF($DZ35=1,18,12)&amp;" PE",""),IF(AND(5&gt;$EB35,5&lt;=$HM$4),"5 → "&amp;$GI35&amp;", "&amp;IF($DZ35=1,23,15)&amp;" PE",""),IF(AND(6&gt;$EB35,6&lt;=$HM$4),"6 → "&amp;$GJ35&amp;", "&amp;IF($DZ35=1,27,18)&amp;" PE",""),IF(AND(7&gt;$EB35,7&lt;=$HM$4),"7 → "&amp;$GK35&amp;", "&amp;IF($DZ35=1,32,21)&amp;" PE",""))))</f>
        <v/>
      </c>
      <c r="HC35" s="164">
        <f>IF(OR($EK35=0,$EN35=0),"","−"&amp;INDEX($Q$2:$V$8,$EB35,$EN35)&amp;" · "&amp;CHOOSE($EN35,"Leve","Média","Pesada","Leve · Livre","Média · Livre","Pesada · Livre"))</f>
        <v/>
      </c>
      <c r="HD35" s="164">
        <f>IF(OR($EK35=0,$EO35=0),"","−"&amp;INDEX($Q$2:$V$8,$EB35,$EO35)&amp;" · "&amp;CHOOSE($EO35,"Leve","Média","Pesada","Leve · Livre","Média · Livre","Pesada · Livre"))</f>
        <v/>
      </c>
      <c r="HE35" s="164">
        <f>IF(OR($EK35=0,$EP35=0),"","−"&amp;INDEX($Q$2:$V$8,$EB35,$EP35)&amp;" · "&amp;CHOOSE($EP35,"Leve","Média","Pesada","Leve · Livre","Média · Livre","Pesada · Livre"))</f>
        <v/>
      </c>
      <c r="HF35" s="164">
        <f>IF(OR($EK35=0,$EQ35=0),"","−"&amp;INDEX($Q$2:$V$8,$EB35,$EQ35)&amp;" · "&amp;CHOOSE($EQ35,"Leve","Média","Pesada","Leve · Livre","Média · Livre","Pesada · Livre"))</f>
        <v/>
      </c>
      <c r="HG35" s="164">
        <f>IF(OR($EK35=0,$EI35=""),"","+"&amp;IF($FB35=1,CEILING($EB35/2,1),$EB35))</f>
        <v/>
      </c>
      <c r="HH35" s="164">
        <f>IF(OR($EK35=0,$EJ35=""),"","+"&amp;IF($FC35=1,CEILING($EB35/2,1),$EB35))</f>
        <v/>
      </c>
      <c r="HI35" s="164">
        <f>'FICHA AMALDIÇOADA'!$D$301&amp;""</f>
        <v/>
      </c>
      <c r="HJ35" s="164">
        <f>IF(AND($EK35=1,$DZ35=0),COUNTIFS($EK$2:$EK35,1,$DZ$2:$DZ35,0),"")</f>
        <v/>
      </c>
      <c r="HL35" s="162" t="inlineStr">
        <is>
          <t>degrau do domínio</t>
        </is>
      </c>
      <c r="HM35" s="164">
        <f>'FICHA AMALDIÇOADA'!$D$370&amp;""</f>
        <v/>
      </c>
      <c r="JH35" s="164" t="n">
        <v>34</v>
      </c>
      <c r="JI35" s="164">
        <f>IFERROR(MATCH(34,$HJ$2:$HJ$37,0),0)</f>
        <v/>
      </c>
      <c r="JJ35" s="164">
        <f>IF($JI35=0,"",INDEX($EB$2:$EB$37,$JI35))</f>
        <v/>
      </c>
      <c r="JK35" s="164">
        <f>IF($JI35=0,"",INDEX($EC$2:$EC$37,$JI35))</f>
        <v/>
      </c>
      <c r="JL35" s="164">
        <f>IF($JI35=0,"",INDEX($GR$2:$GR$37,$JI35))</f>
        <v/>
      </c>
      <c r="JM35" s="164">
        <f>IF($JI35=0,"",INDEX($ED$2:$ED$37,$JI35))</f>
        <v/>
      </c>
      <c r="JN35" s="164">
        <f>IF($JI35=0,"",INDEX($GT$2:$GT$37,$JI35))</f>
        <v/>
      </c>
      <c r="JO35" s="164">
        <f>IF($JI35=0,"",INDEX($HI$2:$HI$37,$JI35))</f>
        <v/>
      </c>
      <c r="KU35" s="162" t="inlineStr">
        <is>
          <t>D234</t>
        </is>
      </c>
      <c r="KV35" s="164">
        <f>UPPER(INDEX(DADOS_AM!$D$3:$G$3,1,DADOS_AM!$A$2))&amp;" 25 A 36 · abra quando faltar lugar"</f>
        <v/>
      </c>
      <c r="KW35">
        <f>IF($EE35="","",IFERROR(VLOOKUP(SUBSTITUTE(SUBSTITUTE(SUBSTITUTE($EE35,"~","~~"),"*","~*"),"?","~?"),'DADOS_MELHORIAS'!$O$2:$X$113,10,FALSE),$EE35))</f>
        <v/>
      </c>
      <c r="KX35">
        <f>IF($EF35="","",IFERROR(VLOOKUP(SUBSTITUTE(SUBSTITUTE(SUBSTITUTE($EF35,"~","~~"),"*","~*"),"?","~?"),'DADOS_MELHORIAS'!$O$2:$X$113,10,FALSE),$EF35))</f>
        <v/>
      </c>
      <c r="KY35">
        <f>IF($EG35="","",IFERROR(VLOOKUP(SUBSTITUTE(SUBSTITUTE(SUBSTITUTE($EG35,"~","~~"),"*","~*"),"?","~?"),'DADOS_MELHORIAS'!$O$2:$X$113,10,FALSE),$EG35))</f>
        <v/>
      </c>
      <c r="KZ35">
        <f>IF($EH35="","",IFERROR(VLOOKUP(SUBSTITUTE(SUBSTITUTE(SUBSTITUTE($EH35,"~","~~"),"*","~*"),"?","~?"),'DADOS_MELHORIAS'!$O$2:$X$113,10,FALSE),$EH35))</f>
        <v/>
      </c>
      <c r="LB35">
        <f>IFERROR(INDEX('DADOS_FORMAS'!$BJ$2:$BJ$21,MATCH(SUBSTITUTE(SUBSTITUTE(SUBSTITUTE($ED35,"~","~~"),"*","~*"),"?","~?"),'DADOS_FORMAS'!$AH$2:$AH$21,0)),"")</f>
        <v/>
      </c>
      <c r="LC35">
        <f>IFERROR(VLOOKUP(SUBSTITUTE(SUBSTITUTE(SUBSTITUTE(IFERROR(INDEX('DADOS_FORMAS'!$AS$2:$AS$21,MATCH(SUBSTITUTE(SUBSTITUTE(SUBSTITUTE($ED35,"~","~~"),"*","~*"),"?","~?"),'DADOS_FORMAS'!$AH$2:$AH$21,0)),""),"~","~~"),"*","~*"),"?","~?"),'DADOS_RESTRICOES'!$M$2:$Q$54,2,FALSE),"")</f>
        <v/>
      </c>
      <c r="LD35">
        <f>$FD35</f>
        <v/>
      </c>
      <c r="LE35">
        <f>$FE35</f>
        <v/>
      </c>
      <c r="LF35">
        <f>$LC35</f>
        <v/>
      </c>
    </row>
    <row r="36">
      <c r="BC36" s="162" t="inlineStr">
        <is>
          <t>Atordoado</t>
        </is>
      </c>
      <c r="BD36" s="162" t="inlineStr">
        <is>
          <t>Controle</t>
        </is>
      </c>
      <c r="BE36" s="164" t="n">
        <v>3</v>
      </c>
      <c r="BF36" s="164">
        <f>$BE36+3*IFERROR(VLOOKUP($BD36,'DADOS_CRIACAO'!$H$2:$K$20,3,FALSE),0)</f>
        <v/>
      </c>
      <c r="BG36" s="164">
        <f>IFERROR(VLOOKUP($BD36,'DADOS_CRIACAO'!$H$2:$K$20,4,FALSE),0)</f>
        <v/>
      </c>
      <c r="BH36" s="164" t="n">
        <v>1</v>
      </c>
      <c r="BI36" s="164">
        <f>IF($BG36=1,"",$BC36)</f>
        <v/>
      </c>
      <c r="BJ36" s="164">
        <f>IF(AND($BE36=1,$BG36=0),$BC36,"")</f>
        <v/>
      </c>
      <c r="BK36" s="164" t="n">
        <v>1</v>
      </c>
      <c r="DY36" s="162" t="inlineStr">
        <is>
          <t>Feitiço 35</t>
        </is>
      </c>
      <c r="DZ36" s="164" t="n">
        <v>0</v>
      </c>
      <c r="EA36" s="164" t="n">
        <v>35</v>
      </c>
      <c r="EB36" s="164">
        <f>MAX(1,MIN(7,N('FICHA AMALDIÇOADA'!$J$299)))</f>
        <v/>
      </c>
      <c r="EC36" s="164">
        <f>'FICHA AMALDIÇOADA'!$K$299&amp;""</f>
        <v/>
      </c>
      <c r="ED36" s="164">
        <f>'FICHA AMALDIÇOADA'!$J$306&amp;""</f>
        <v/>
      </c>
      <c r="EE36" s="164">
        <f>'FICHA AMALDIÇOADA'!$K$308&amp;""</f>
        <v/>
      </c>
      <c r="EF36" s="164">
        <f>'FICHA AMALDIÇOADA'!$K$309&amp;""</f>
        <v/>
      </c>
      <c r="EG36" s="164">
        <f>'FICHA AMALDIÇOADA'!$K$310&amp;""</f>
        <v/>
      </c>
      <c r="EH36" s="164">
        <f>'FICHA AMALDIÇOADA'!$K$311&amp;""</f>
        <v/>
      </c>
      <c r="EI36" s="164">
        <f>'FICHA AMALDIÇOADA'!$K$312&amp;""</f>
        <v/>
      </c>
      <c r="EJ36" s="164">
        <f>'FICHA AMALDIÇOADA'!$K$313&amp;""</f>
        <v/>
      </c>
      <c r="EK36" s="164">
        <f>IF($EC36&lt;&gt;"",1,0)</f>
        <v/>
      </c>
      <c r="EL36" s="164">
        <f>IFERROR(MATCH(SUBSTITUTE(SUBSTITUTE(SUBSTITUTE($ED36,"~","~~"),"*","~*"),"?","~?"),'DADOS_FORMAS'!$FJ$2:$FJ$21,0),0)</f>
        <v/>
      </c>
      <c r="EM36" s="164">
        <f>IF($EL36=0,0,INDEX('DADOS_FORMAS'!$FM$2:$FM$21,$EL36))</f>
        <v/>
      </c>
      <c r="EN36" s="164">
        <f>IFERROR(VLOOKUP(SUBSTITUTE(SUBSTITUTE(SUBSTITUTE($EE36,"~","~~"),"*","~*"),"?","~?"),'DADOS_MELHORIAS'!$O$2:$W$113,4,FALSE),0)</f>
        <v/>
      </c>
      <c r="EO36" s="164">
        <f>IFERROR(VLOOKUP(SUBSTITUTE(SUBSTITUTE(SUBSTITUTE($EF36,"~","~~"),"*","~*"),"?","~?"),'DADOS_MELHORIAS'!$O$2:$W$113,4,FALSE),0)</f>
        <v/>
      </c>
      <c r="EP36" s="164">
        <f>IFERROR(VLOOKUP(SUBSTITUTE(SUBSTITUTE(SUBSTITUTE($EG36,"~","~~"),"*","~*"),"?","~?"),'DADOS_MELHORIAS'!$O$2:$W$113,4,FALSE),0)</f>
        <v/>
      </c>
      <c r="EQ36" s="164">
        <f>IFERROR(VLOOKUP(SUBSTITUTE(SUBSTITUTE(SUBSTITUTE($EH36,"~","~~"),"*","~*"),"?","~?"),'DADOS_MELHORIAS'!$O$2:$W$113,4,FALSE),0)</f>
        <v/>
      </c>
      <c r="ER36" s="164">
        <f>IF($EL36=0,0,INDEX('DADOS_FORMAS'!$FN$2:$FN$21,$EL36))</f>
        <v/>
      </c>
      <c r="ES36" s="164">
        <f>IFERROR(VLOOKUP(SUBSTITUTE(SUBSTITUTE(SUBSTITUTE($EE36,"~","~~"),"*","~*"),"?","~?"),'DADOS_MELHORIAS'!$O$2:$W$113,5,FALSE),0)</f>
        <v/>
      </c>
      <c r="ET36" s="164">
        <f>IFERROR(VLOOKUP(SUBSTITUTE(SUBSTITUTE(SUBSTITUTE($EF36,"~","~~"),"*","~*"),"?","~?"),'DADOS_MELHORIAS'!$O$2:$W$113,5,FALSE),0)</f>
        <v/>
      </c>
      <c r="EU36" s="164">
        <f>IFERROR(VLOOKUP(SUBSTITUTE(SUBSTITUTE(SUBSTITUTE($EG36,"~","~~"),"*","~*"),"?","~?"),'DADOS_MELHORIAS'!$O$2:$W$113,5,FALSE),0)</f>
        <v/>
      </c>
      <c r="EV36" s="164">
        <f>IFERROR(VLOOKUP(SUBSTITUTE(SUBSTITUTE(SUBSTITUTE($EH36,"~","~~"),"*","~*"),"?","~?"),'DADOS_MELHORIAS'!$O$2:$W$113,5,FALSE),0)</f>
        <v/>
      </c>
      <c r="EW36" s="164">
        <f>IFERROR(VLOOKUP(SUBSTITUTE(SUBSTITUTE(SUBSTITUTE($EE36,"~","~~"),"*","~*"),"?","~?"),'DADOS_MELHORIAS'!$O$2:$W$113,6,FALSE),0)+IFERROR(VLOOKUP(SUBSTITUTE(SUBSTITUTE(SUBSTITUTE($EF36,"~","~~"),"*","~*"),"?","~?"),'DADOS_MELHORIAS'!$O$2:$W$113,6,FALSE),0)+IFERROR(VLOOKUP(SUBSTITUTE(SUBSTITUTE(SUBSTITUTE($EG36,"~","~~"),"*","~*"),"?","~?"),'DADOS_MELHORIAS'!$O$2:$W$113,6,FALSE),0)+IFERROR(VLOOKUP(SUBSTITUTE(SUBSTITUTE(SUBSTITUTE($EH36,"~","~~"),"*","~*"),"?","~?"),'DADOS_MELHORIAS'!$O$2:$W$113,6,FALSE),0)</f>
        <v/>
      </c>
      <c r="EX36" s="164">
        <f>IFERROR(VLOOKUP(SUBSTITUTE(SUBSTITUTE(SUBSTITUTE($EE36,"~","~~"),"*","~*"),"?","~?"),'DADOS_MELHORIAS'!$O$2:$W$113,9,FALSE),0)+IFERROR(VLOOKUP(SUBSTITUTE(SUBSTITUTE(SUBSTITUTE($EF36,"~","~~"),"*","~*"),"?","~?"),'DADOS_MELHORIAS'!$O$2:$W$113,9,FALSE),0)+IFERROR(VLOOKUP(SUBSTITUTE(SUBSTITUTE(SUBSTITUTE($EG36,"~","~~"),"*","~*"),"?","~?"),'DADOS_MELHORIAS'!$O$2:$W$113,9,FALSE),0)+IFERROR(VLOOKUP(SUBSTITUTE(SUBSTITUTE(SUBSTITUTE($EH36,"~","~~"),"*","~*"),"?","~?"),'DADOS_MELHORIAS'!$O$2:$W$113,9,FALSE),0)</f>
        <v/>
      </c>
      <c r="EY36" s="164">
        <f>IF($EL36=0,0,INDEX('DADOS_FORMAS'!$FO$2:$FO$21,$EL36))</f>
        <v/>
      </c>
      <c r="EZ36" s="164">
        <f>IF($EL36=0,0,INDEX('DADOS_FORMAS'!$FP$2:$FP$21,$EL36))</f>
        <v/>
      </c>
      <c r="FA36" s="164">
        <f>IF($EL36=0,0,INDEX('DADOS_FORMAS'!$FR$2:$FR$21,$EL36))</f>
        <v/>
      </c>
      <c r="FB36" s="164">
        <f>IFERROR(VLOOKUP(SUBSTITUTE(SUBSTITUTE(SUBSTITUTE($EI36,"~","~~"),"*","~*"),"?","~?"),'DADOS_RESTRICOES'!$M$2:$Q$54,3,FALSE),0)</f>
        <v/>
      </c>
      <c r="FC36" s="164">
        <f>IFERROR(VLOOKUP(SUBSTITUTE(SUBSTITUTE(SUBSTITUTE($EJ36,"~","~~"),"*","~*"),"?","~?"),'DADOS_RESTRICOES'!$M$2:$Q$54,3,FALSE),0)</f>
        <v/>
      </c>
      <c r="FD36" s="164">
        <f>IFERROR(VLOOKUP(SUBSTITUTE(SUBSTITUTE(SUBSTITUTE($EI36,"~","~~"),"*","~*"),"?","~?"),'DADOS_RESTRICOES'!$M$2:$Q$54,2,FALSE),"")</f>
        <v/>
      </c>
      <c r="FE36" s="164">
        <f>IFERROR(VLOOKUP(SUBSTITUTE(SUBSTITUTE(SUBSTITUTE($EJ36,"~","~~"),"*","~*"),"?","~?"),'DADOS_RESTRICOES'!$M$2:$Q$54,2,FALSE),"")</f>
        <v/>
      </c>
      <c r="FF36" s="164">
        <f>COUNTIF($EM36:$EQ36,1)</f>
        <v/>
      </c>
      <c r="FG36" s="164">
        <f>COUNTIF($EM36:$EQ36,2)</f>
        <v/>
      </c>
      <c r="FH36" s="164">
        <f>COUNTIF($EM36:$EQ36,3)</f>
        <v/>
      </c>
      <c r="FI36" s="164">
        <f>COUNTIF($EM36:$EQ36,4)</f>
        <v/>
      </c>
      <c r="FJ36" s="164">
        <f>COUNTIF($EM36:$EQ36,5)</f>
        <v/>
      </c>
      <c r="FK36" s="164">
        <f>COUNTIF($EM36:$EQ36,6)</f>
        <v/>
      </c>
      <c r="FL36" s="164">
        <f>COUNTIF($FB36:$FC36,1)+IF(IFERROR(INDEX('DADOS_FORMAS'!$AS$2:$AS$21,MATCH(SUBSTITUTE(SUBSTITUTE(SUBSTITUTE($ED36,"~","~~"),"*","~*"),"?","~?"),'DADOS_FORMAS'!$AH$2:$AH$21,0)),"")="",0,IFERROR(N(VLOOKUP(SUBSTITUTE(SUBSTITUTE(SUBSTITUTE(IFERROR(INDEX('DADOS_FORMAS'!$AS$2:$AS$21,MATCH(SUBSTITUTE(SUBSTITUTE(SUBSTITUTE($ED36,"~","~~"),"*","~*"),"?","~?"),'DADOS_FORMAS'!$AH$2:$AH$21,0)),""),"~","~~"),"*","~*"),"?","~?"),'DADOS_RESTRICOES'!$M$2:$Q$54,3,FALSE)=1),0))</f>
        <v/>
      </c>
      <c r="FM36" s="164">
        <f>COUNTIF($FB36:$FC36,2)+IF(IFERROR(INDEX('DADOS_FORMAS'!$AS$2:$AS$21,MATCH(SUBSTITUTE(SUBSTITUTE(SUBSTITUTE($ED36,"~","~~"),"*","~*"),"?","~?"),'DADOS_FORMAS'!$AH$2:$AH$21,0)),"")="",0,IFERROR(N(VLOOKUP(SUBSTITUTE(SUBSTITUTE(SUBSTITUTE(IFERROR(INDEX('DADOS_FORMAS'!$AS$2:$AS$21,MATCH(SUBSTITUTE(SUBSTITUTE(SUBSTITUTE($ED36,"~","~~"),"*","~*"),"?","~?"),'DADOS_FORMAS'!$AH$2:$AH$21,0)),""),"~","~~"),"*","~*"),"?","~?"),'DADOS_RESTRICOES'!$M$2:$Q$54,3,FALSE)=2),0))</f>
        <v/>
      </c>
      <c r="FN36" s="164">
        <f>COUNTIF($EE36:$EH36,"?*")</f>
        <v/>
      </c>
      <c r="FO36" s="164">
        <f>COUNTIF($EI36:$EJ36,"?*")+$EY36</f>
        <v/>
      </c>
      <c r="FP36" s="164">
        <f>SUMPRODUCT($FF36:$FK36,INDEX($Q$2:$V$8,$EB36,0))</f>
        <v/>
      </c>
      <c r="FQ36" s="164">
        <f>$FL36*CEILING($EB36/2,1)+$FM36*$EB36</f>
        <v/>
      </c>
      <c r="FR36" s="164">
        <f>MIN(2*$EB36,$FQ36)</f>
        <v/>
      </c>
      <c r="FS36" s="164">
        <f>MIN($FR36,$FP36-IF($EM36=0,0,INDEX($Q$2:$V$8,$EB36,$EM36)))</f>
        <v/>
      </c>
      <c r="FT36" s="164">
        <f>$FR36-$FS36</f>
        <v/>
      </c>
      <c r="FU36" s="164">
        <f>3*$EB36-$FP36+$FS36</f>
        <v/>
      </c>
      <c r="FV36" s="164">
        <f>MAX(0,$FU36)+$DZ36*$EB36</f>
        <v/>
      </c>
      <c r="FW36" s="164">
        <f>(IF(COUNTIF($KW36:$KZ36,"Salto")&gt;0,1,0)+IF(COUNTIF($KW36:$KZ36,"Queima")&gt;0,1,0)+IF(COUNTIF($KW36:$KZ36,"Estilhaço")&gt;0,1,0))*FLOOR($FV36/2,1)</f>
        <v/>
      </c>
      <c r="FX36" s="164">
        <f>MAX(0,3-SUMPRODUCT($FF36:$FK36,$Q$2:$V$2)+MIN(2,$FL36*1+$FM36*1,SUMPRODUCT($FF36:$FK36,$Q$2:$V$2)-IF($EM36=0,0,INDEX($Q$2:$V$2,1,$EM36))))+$DZ36*1</f>
        <v/>
      </c>
      <c r="FY36" s="164">
        <f>MAX(0,6-SUMPRODUCT($FF36:$FK36,$Q$3:$V$3)+MIN(4,$FL36*1+$FM36*2,SUMPRODUCT($FF36:$FK36,$Q$3:$V$3)-IF($EM36=0,0,INDEX($Q$3:$V$3,1,$EM36))))+$DZ36*2</f>
        <v/>
      </c>
      <c r="FZ36" s="164">
        <f>MAX(0,9-SUMPRODUCT($FF36:$FK36,$Q$4:$V$4)+MIN(6,$FL36*2+$FM36*3,SUMPRODUCT($FF36:$FK36,$Q$4:$V$4)-IF($EM36=0,0,INDEX($Q$4:$V$4,1,$EM36))))+$DZ36*3</f>
        <v/>
      </c>
      <c r="GA36" s="164">
        <f>MAX(0,12-SUMPRODUCT($FF36:$FK36,$Q$5:$V$5)+MIN(8,$FL36*2+$FM36*4,SUMPRODUCT($FF36:$FK36,$Q$5:$V$5)-IF($EM36=0,0,INDEX($Q$5:$V$5,1,$EM36))))+$DZ36*4</f>
        <v/>
      </c>
      <c r="GB36" s="164">
        <f>MAX(0,15-SUMPRODUCT($FF36:$FK36,$Q$6:$V$6)+MIN(10,$FL36*3+$FM36*5,SUMPRODUCT($FF36:$FK36,$Q$6:$V$6)-IF($EM36=0,0,INDEX($Q$6:$V$6,1,$EM36))))+$DZ36*5</f>
        <v/>
      </c>
      <c r="GC36" s="164">
        <f>MAX(0,18-SUMPRODUCT($FF36:$FK36,$Q$7:$V$7)+MIN(12,$FL36*3+$FM36*6,SUMPRODUCT($FF36:$FK36,$Q$7:$V$7)-IF($EM36=0,0,INDEX($Q$7:$V$7,1,$EM36))))+$DZ36*6</f>
        <v/>
      </c>
      <c r="GD36" s="164">
        <f>MAX(0,21-SUMPRODUCT($FF36:$FK36,$Q$8:$V$8)+MIN(14,$FL36*4+$FM36*7,SUMPRODUCT($FF36:$FK36,$Q$8:$V$8)-IF($EM36=0,0,INDEX($Q$8:$V$8,1,$EM36))))+$DZ36*7</f>
        <v/>
      </c>
      <c r="GE36" s="164">
        <f>IF($EZ36=2,3*$FX36&amp;" de vida temp.",IF($EZ36=3,"sem dano",IF($FX36=0,IF($EZ36=1,"sem cura","sem dano"),IF($EZ36=1,"cura ","")&amp;$FX36&amp;"d8")))</f>
        <v/>
      </c>
      <c r="GF36" s="164">
        <f>IF($EZ36=2,3*$FY36&amp;" de vida temp.",IF($EZ36=3,"sem dano",IF($FY36=0,IF($EZ36=1,"sem cura","sem dano"),IF($EZ36=1,"cura ","")&amp;$FY36&amp;"d8")))</f>
        <v/>
      </c>
      <c r="GG36" s="164">
        <f>IF($EZ36=2,3*$FZ36&amp;" de vida temp.",IF($EZ36=3,"sem dano",IF($FZ36=0,IF($EZ36=1,"sem cura","sem dano"),IF($EZ36=1,"cura ","")&amp;$FZ36&amp;"d8")))</f>
        <v/>
      </c>
      <c r="GH36" s="164">
        <f>IF($EZ36=2,3*$GA36&amp;" de vida temp.",IF($EZ36=3,"sem dano",IF($GA36=0,IF($EZ36=1,"sem cura","sem dano"),IF($EZ36=1,"cura ","")&amp;$GA36&amp;"d8")))</f>
        <v/>
      </c>
      <c r="GI36" s="164">
        <f>IF($EZ36=2,3*$GB36&amp;" de vida temp.",IF($EZ36=3,"sem dano",IF($GB36=0,IF($EZ36=1,"sem cura","sem dano"),IF($EZ36=1,"cura ","")&amp;$GB36&amp;"d8")))</f>
        <v/>
      </c>
      <c r="GJ36" s="164">
        <f>IF($EZ36=2,3*$GC36&amp;" de vida temp.",IF($EZ36=3,"sem dano",IF($GC36=0,IF($EZ36=1,"sem cura","sem dano"),IF($EZ36=1,"cura ","")&amp;$GC36&amp;"d8")))</f>
        <v/>
      </c>
      <c r="GK36" s="164">
        <f>IF($EZ36=2,3*$GD36&amp;" de vida temp.",IF($EZ36=3,"sem dano",IF($GD36=0,IF($EZ36=1,"sem cura","sem dano"),IF($EZ36=1,"cura ","")&amp;$GD36&amp;"d8")))</f>
        <v/>
      </c>
      <c r="GL36" s="164">
        <f>IF($EK36=0,"",TEXTJOIN(" · ",TRUE,IF($EK36=0,"",TEXTJOIN(" · ",TRUE,IF($EK36=0,"",TEXTJOIN(" · ",TRUE,IF(AND($DZ36=1,$EA36&gt;$HM$9),"O nível "&amp;$HM$2&amp;" dá "&amp;$HM$9&amp;" Liberação Máxima",""),IF($EB36&gt;$HM$4,"Classe "&amp;$EB36&amp;": o nível "&amp;$HM$2&amp;" libera até a "&amp;$HM$4,""),IF($ER36=1,"Família Fechada: a Forma "&amp;$ED36,""),IF($ES36=1,"Família Fechada: "&amp;$EE36,""),IF($ET36=1,"Família Fechada: "&amp;$EF36,""),IF($EU36=1,"Família Fechada: "&amp;$EG36,""),IF($EV36=1,"Família Fechada: "&amp;$EH36,""),IF($FN36&gt;INDEX($W$2:$W$8,$EB36),$FN36&amp;" Melhorias: a Classe "&amp;$EB36&amp;" aceita "&amp;INDEX($W$2:$W$8,$EB36),""),IF($FO36&gt;2,$FO36&amp;" Restrições"&amp;IF($EY36=1,", contando a que a Forma "&amp;$ED36&amp;" já traz","")&amp;": o limite é 2",""),IF($FU36&lt;0,"Orçamento estourado: faltam "&amp;(-$FU36)&amp;IF($FU36&lt;-1," pontos"," ponto"),""),IF(IFERROR(VLOOKUP(SUBSTITUTE(SUBSTITUTE(SUBSTITUTE($EI36,"~","~~"),"*","~*"),"?","~?"),'DADOS_RESTRICOES'!$M$2:$Q$54,4,FALSE),0)+IFERROR(VLOOKUP(SUBSTITUTE(SUBSTITUTE(SUBSTITUTE($EJ36,"~","~~"),"*","~*"),"?","~?"),'DADOS_RESTRICOES'!$M$2:$Q$54,4,FALSE),0)&gt;1,$FD36&amp;" e "&amp;$FE36&amp;" são as duas de frequência",""),IF(AND((COUNTIF($KW36:$KZ36,"Rápido")+COUNTIF($FD36:$FE36,"Rápido"))&gt;0,(COUNTIF($EE36:$EH36,"Atrasar")+COUNTIF($FD36:$FE36,"Atrasar"))&gt;0),"Rápido não entra com Atrasar",""),IF(AND((COUNTIF($KW36:$KZ36,"Reação")+COUNTIF($FD36:$FE36,"Reação"))&gt;0,(COUNTIF($KW36:$KZ36,"Rápido")+COUNTIF($FD36:$FE36,"Rápido"))&gt;0),"Reação não entra com Rápido",""),IF(AND((COUNTIF($KW36:$KZ36,"Reação")+COUNTIF($FD36:$FE36,"Reação"))&gt;0,(COUNTIF($KW36:$KZ36,"Armado")+COUNTIF($FD36:$FE36,"Armado"))&gt;0),"Reação não entra com Armado",""),IF(AND((COUNTIF($KW36:$KZ36,"Reação")+COUNTIF($FD36:$FE36,"Reação"))&gt;0,(COUNTIF($EE36:$EH36,"Atrasar")+COUNTIF($FD36:$FE36,"Atrasar"))&gt;0),"Reação não entra com Atrasar",""),IF(AND((COUNTIF($KW36:$KZ36,"Reação")+COUNTIF($FD36:$FE36,"Reação"))&gt;0,(COUNTIF($EE36:$EH36,"Parado")+COUNTIF($FD36:$FE36,"Parado"))&gt;0),"Reação não entra com Parado",""),IF(AND((COUNTIF($EE36:$EH36,"Atrasar")+COUNTIF($FD36:$FE36,"Atrasar"))&gt;0,(COUNTIF($EE36:$EH36,"Parado")+COUNTIF($FD36:$FE36,"Parado"))&gt;0),"Atrasar não entra com Parado",""),IF(AND((COUNTIF($KW36:$KZ36,"Armado")+COUNTIF($FD36:$FE36,"Armado"))&gt;0,(COUNTIF($EE36:$EH36,"Carregar")+COUNTIF($FD36:$FE36,"Carregar"))&gt;0),"Armado não entra com Carregar",""),IF(AND(COUNTIF($FD36:$FE36,"Corpo a Corpo")&gt;0,$EY36=0,OR($LB36="Cone",$LB36="Linha")),"Corpo a Corpo não entra em "&amp;$ED36,""),IF(AND(COUNTIF($FD36:$FE36,"Corpo a Corpo")&gt;0,$LC36="Corpo a Corpo"),"A Forma "&amp;$ED36&amp;" já traz o Corpo a Corpo",""),IF(AND(COUNTIF($FD36:$FE36,"Tudo ou Nada")&gt;0,$FA36=0),"Tudo ou Nada só entra em feitiço de Teste de Resistência",""),IF(AND(COUNTIF($KW36:$KZ36,"Inescapável")&gt;0,OR($FN36&gt;1,$FO36&gt;0)),"Inescapável não aceita outra peça",""),IF(AND($DZ36=1,$EB36&lt;3),"Liberação Máxima é de Classe 3 ou mais",""),IF(AND($DZ36=1,OR($EZ36=1,$EZ36=2)),"Liberação Máxima não serve para cura",""),IF(AND($DZ36=1,COUNTIF($KW36:$KZ36,"Inescapável")+COUNTIF($KW36:$KZ36,"Toca a Alma")&gt;0),"Esta peça não entra numa Liberação Máxima",""),IF($FV36*IF(COUNTIF($KW36:$KZ36,"Remate")&gt;0,1.25,1)+$FW36&gt;4*$EB36,($FV36*IF(COUNTIF($KW36:$KZ36,"Remate")&gt;0,1.25,1)+$FW36)&amp;" dados somando repetições"&amp;IF(COUNTIF($KW36:$KZ36,"Remate")&gt;0," e o Remate","")&amp;": o teto da Classe "&amp;$EB36&amp;" é "&amp;4*$EB36,""))),IF(AND($EE36&lt;&gt;"",COUNTIF('DADOS_MELHORIAS'!$O$2:$O$113,SUBSTITUTE(SUBSTITUTE(SUBSTITUTE($EE36,"~","~~"),"*","~*"),"?","~?"))=0),"Melhoria não cadastrada ou com erro: "&amp;$EE36,""),IF(AND($EF36&lt;&gt;"",COUNTIF('DADOS_MELHORIAS'!$O$2:$O$113,SUBSTITUTE(SUBSTITUTE(SUBSTITUTE($EF36,"~","~~"),"*","~*"),"?","~?"))=0),"Melhoria não cadastrada ou com erro: "&amp;$EF36,""),IF(AND($EG36&lt;&gt;"",COUNTIF('DADOS_MELHORIAS'!$O$2:$O$113,SUBSTITUTE(SUBSTITUTE(SUBSTITUTE($EG36,"~","~~"),"*","~*"),"?","~?"))=0),"Melhoria não cadastrada ou com erro: "&amp;$EG36,""),IF(AND($EH36&lt;&gt;"",COUNTIF('DADOS_MELHORIAS'!$O$2:$O$113,SUBSTITUTE(SUBSTITUTE(SUBSTITUTE($EH36,"~","~~"),"*","~*"),"?","~?"))=0),"Melhoria não cadastrada ou com erro: "&amp;$EH36,""),IF(AND($EI36&lt;&gt;"",COUNTIF('DADOS_RESTRICOES'!$M$2:$M$54,SUBSTITUTE(SUBSTITUTE(SUBSTITUTE($EI36,"~","~~"),"*","~*"),"?","~?"))=0),"Restrição não cadastrada ou com erro: "&amp;$EI36,""),IF(AND($EJ36&lt;&gt;"",COUNTIF('DADOS_RESTRICOES'!$M$2:$M$54,SUBSTITUTE(SUBSTITUTE(SUBSTITUTE($EJ36,"~","~~"),"*","~*"),"?","~?"))=0),"Restrição não cadastrada ou com erro: "&amp;$EJ36,""))),IF(AND($ED36&lt;&gt;"",COUNTIF('DADOS_FORMAS'!$AH$2:$AH$21,SUBSTITUTE(SUBSTITUTE(SUBSTITUTE($ED36,"~","~~"),"*","~*"),"?","~?"))=0),"Forma não cadastrada ou com erro: "&amp;$ED36,""),IF(AND(IFERROR(INDEX('DADOS_FORMAS'!$AS$2:$AS$21,MATCH(SUBSTITUTE(SUBSTITUTE(SUBSTITUTE($ED36,"~","~~"),"*","~*"),"?","~?"),'DADOS_FORMAS'!$AH$2:$AH$21,0)),"")&lt;&gt;"",OR(IFERROR(VLOOKUP(SUBSTITUTE(SUBSTITUTE(SUBSTITUTE(IFERROR(INDEX('DADOS_FORMAS'!$AS$2:$AS$21,MATCH(SUBSTITUTE(SUBSTITUTE(SUBSTITUTE($ED36,"~","~~"),"*","~*"),"?","~?"),'DADOS_FORMAS'!$AH$2:$AH$21,0)),""),"~","~~"),"*","~*"),"?","~?"),'DADOS_RESTRICOES'!$M$2:$Q$54,2,FALSE),"")=$FD36,IFERROR(VLOOKUP(SUBSTITUTE(SUBSTITUTE(SUBSTITUTE(IFERROR(INDEX('DADOS_FORMAS'!$AS$2:$AS$21,MATCH(SUBSTITUTE(SUBSTITUTE(SUBSTITUTE($ED36,"~","~~"),"*","~*"),"?","~?"),'DADOS_FORMAS'!$AH$2:$AH$21,0)),""),"~","~~"),"*","~*"),"?","~?"),'DADOS_RESTRICOES'!$M$2:$Q$54,2,FALSE),"")=$FE36)),"Restrição repetida, contando a embutida",""),IF(IF(IFERROR(INDEX('DADOS_FORMAS'!$AS$2:$AS$21,MATCH(SUBSTITUTE(SUBSTITUTE(SUBSTITUTE($ED36,"~","~~"),"*","~*"),"?","~?"),'DADOS_FORMAS'!$AH$2:$AH$21,0)),"")="",0,IFERROR(N(VLOOKUP(SUBSTITUTE(SUBSTITUTE(SUBSTITUTE(IFERROR(INDEX('DADOS_FORMAS'!$AS$2:$AS$21,MATCH(SUBSTITUTE(SUBSTITUTE(SUBSTITUTE($ED36,"~","~~"),"*","~*"),"?","~?"),'DADOS_FORMAS'!$AH$2:$AH$21,0)),""),"~","~~"),"*","~*"),"?","~?"),'DADOS_RESTRICOES'!$M$2:$Q$54,4,FALSE)=1),0))+IF($EI36="",0,IFERROR(N(VLOOKUP(SUBSTITUTE(SUBSTITUTE(SUBSTITUTE($EI36,"~","~~"),"*","~*"),"?","~?"),'DADOS_RESTRICOES'!$M$2:$Q$54,4,FALSE)=1),0))+IF($EJ36="",0,IFERROR(N(VLOOKUP(SUBSTITUTE(SUBSTITUTE(SUBSTITUTE($EJ36,"~","~~"),"*","~*"),"?","~?"),'DADOS_RESTRICOES'!$M$2:$Q$54,4,FALSE)=1),0))&gt;1,"Duas Restrições de frequência, contando a embutida",""),IF(AND(IFERROR(VLOOKUP(SUBSTITUTE(SUBSTITUTE(SUBSTITUTE(IFERROR(INDEX('DADOS_FORMAS'!$AS$2:$AS$21,MATCH(SUBSTITUTE(SUBSTITUTE(SUBSTITUTE($ED36,"~","~~"),"*","~*"),"?","~?"),'DADOS_FORMAS'!$AH$2:$AH$21,0)),""),"~","~~"),"*","~*"),"?","~?"),'DADOS_RESTRICOES'!$M$2:$Q$54,2,FALSE),"")="Tudo ou Nada",$FA36=0),"Tudo ou Nada exige TR",""),IF(AND(IFERROR(VLOOKUP(SUBSTITUTE(SUBSTITUTE(SUBSTITUTE(IFERROR(INDEX('DADOS_FORMAS'!$AS$2:$AS$21,MATCH(SUBSTITUTE(SUBSTITUTE(SUBSTITUTE($ED36,"~","~~"),"*","~*"),"?","~?"),'DADOS_FORMAS'!$AH$2:$AH$21,0)),""),"~","~~"),"*","~*"),"?","~?"),'DADOS_RESTRICOES'!$M$2:$Q$54,2,FALSE),"")="Corpo a Corpo",OR($LB36="Cone",$LB36="Linha")),"Corpo a Corpo não entra em Cone/Linha","")))</f>
        <v/>
      </c>
      <c r="GM36" s="164">
        <f>IF($GL36="",0,(LEN($GL36)-LEN(SUBSTITUTE($GL36," · ","")))/3+1)</f>
        <v/>
      </c>
      <c r="GN36" s="164">
        <f>IF($EK36=0,"",TEXTJOIN(" · ",TRUE,IF($FQ36&gt;2*$EB36,"A devolução parou no teto de "&amp;2*$EB36,""),IF($FT36&gt;0,"Devolução perdida: "&amp;$FT36&amp;IF($FT36&gt;1," pontos"," ponto")&amp;" sem Melhoria para pagar",""),IF(AND($EW36&gt;0,$FV36=0),"Controle sem dano: uma rodada a mais e CD +2",""),IF(AND($EW36&gt;0,$FV36&gt;0,$FV36&lt;=$EB36),"Controle com saldo até a Classe: uma rodada a mais","")))</f>
        <v/>
      </c>
      <c r="GO36" s="164">
        <f>IF($GN36="",0,(LEN($GN36)-LEN(SUBSTITUTE($GN36," · ","")))/3+1)</f>
        <v/>
      </c>
      <c r="GP36" s="164">
        <f>IF($EK36=0,IF($FN36+$FO36-$EY36&gt;0,"Dê um nome",""),IF($GM36&gt;0,"⚠ "&amp;$GM36&amp;IF($GM36&gt;1," erros"," erro"),IF($GO36&gt;0,"! "&amp;$GO36&amp;IF($GO36&gt;1," avisos"," aviso"),"Na regra")))</f>
        <v/>
      </c>
      <c r="GQ36" s="164">
        <f>IF($EK36=0,"",IF($GM36+$GO36=0,"Dentro das regras que a ficha confere",$GL36&amp;IF(AND($GM36&gt;0,$GO36&gt;0)," · ","")&amp;$GN36))</f>
        <v/>
      </c>
      <c r="GR36" s="164">
        <f>IF($EK36=0,"",IF($DZ36=1,CEILING(4.5*$EB36,1),3*$EB36)&amp;" PE")</f>
        <v/>
      </c>
      <c r="GS36" s="164">
        <f>IF($EK36=0,"",IF($DZ36=1,"Rodada inteira",IF(COUNTIF($LD36:$LF36,"Atrasar")&gt;0,IF(COUNTIF($LD36:$LF36,"Carregar")&gt;0,"Rodada +1 turno","Rodada inteira"),IF(COUNTIF($KW36:$KZ36,"Rápido")&gt;0,"Bônus",IF(COUNTIF($KW36:$KZ36,"Reação")&gt;0,"Reação","Padrão"))&amp;IF(COUNTIF($LD36:$LF36,"Carregar")&gt;0," +1 turno",""))))</f>
        <v/>
      </c>
      <c r="GT36" s="164">
        <f>IF(OR($EK36=0,$EL36=0),"",IF(COUNTIF($KW36:$KZ36,"Inescapável")&gt;0,"Automático",IF(COUNTIF($KW36:$KZ36,"Certeiro")&gt;0,"TR para metade",IF(AND($EX36&gt;0,$FA36=0,INDEX('DADOS_FORMAS'!$FQ$2:$FQ$21,$EL36)="Acerto"),"Acerto + TR",INDEX('DADOS_FORMAS'!$FQ$2:$FQ$21,$EL36)))))</f>
        <v/>
      </c>
      <c r="GU36" s="164">
        <f>IF(OR($EK36=0,$EL36=0),"",IF(OR($EZ36&gt;=2,$FV36=0),UPPER(LEFT(INDEX($GE36:$GK36,1,$EB36),1))&amp;MID(INDEX($GE36:$GK36,1,$EB36),2,99),UPPER(LEFT(INDEX($GE36:$GK36,1,$EB36),1))&amp;MID(INDEX($GE36:$GK36,1,$EB36),2,99)&amp;" = "&amp;FLOOR($FV36*4.5,1)&amp;IF($FW36&gt;0," · +"&amp;$FW36&amp;"d8","")))</f>
        <v/>
      </c>
      <c r="GV36" s="164">
        <f>COUNTIF($KW36:$KZ36,"Longe")+3*COUNTIF($KW36:$KZ36,"Muito Longe")</f>
        <v/>
      </c>
      <c r="GW36" s="164">
        <f>COUNTIF($KW36:$KZ36,"Maior")+3*COUNTIF($KW36:$KZ36,"Muito Maior")</f>
        <v/>
      </c>
      <c r="GX36" s="164">
        <f>IF($EL36=0,0,CHOOSE(1+INDEX('DADOS_FORMAS'!$FS$2:$FS$21,$EL36),0,$GV36,$GW36,$GV36+$GW36))</f>
        <v/>
      </c>
      <c r="GY36" s="164">
        <f>IF($EL36=0,0,CHOOSE(1+INDEX('DADOS_FORMAS'!$FT$2:$FT$21,$EL36),0,$GV36,$GW36,$GV36+$GW36))</f>
        <v/>
      </c>
      <c r="GZ36" s="164">
        <f>IF(OR($EK36=0,$EL36=0),"",INDEX('DADOS_FORMAS'!$GZ$2:$HE$61,($EL36-1)*3+IF($EB36&gt;=6,3,2),1+MIN(5,$GX36))&amp;INDEX('DADOS_FORMAS'!$HF$2:$HK$61,($EL36-1)*3+IF($EB36&gt;=6,3,2),1+MIN(5,$GY36))&amp;IF(INDEX('DADOS_FORMAS'!$FU$2:$FU$21,$EL36)=1,IF(COUNTIF($KW36:$KZ36,"Mais Um")&gt;0," · +"&amp;COUNTIF($KW36:$KZ36,"Mais Um")&amp;IF(COUNTIF($KW36:$KZ36,"Mais Um")&gt;1," alvos"," alvo"),"")&amp;IF(COUNTIF($KW36:$KZ36,"Rajada")&gt;0," · "&amp;($EB36+1)&amp;" tiros",""),""))</f>
        <v/>
      </c>
      <c r="HA36" s="164">
        <f>IF($EK36=0,"",3*$EB36&amp;" − "&amp;$FP36&amp;" + "&amp;$FS36&amp;IF($DZ36=1," + "&amp;$EB36,"")&amp;" = "&amp;$FV36&amp;"d8 · teto "&amp;4*$EB36&amp;IF($EY36=1," · a Forma devolve "&amp;$EB36,"")&amp;IF($FT36&gt;0," · perde "&amp;$FT36,""))</f>
        <v/>
      </c>
      <c r="HB36" s="164">
        <f>IF($EK36=0,"",IF($EB36&gt;=$HM$4,"Já está na maior Classe que o nível liberou",TEXTJOIN(" · ",TRUE,IF(AND(2&gt;$EB36,2&lt;=$HM$4),"2 → "&amp;$GF36&amp;", "&amp;IF($DZ36=1,9,6)&amp;" PE",""),IF(AND(3&gt;$EB36,3&lt;=$HM$4),"3 → "&amp;$GG36&amp;", "&amp;IF($DZ36=1,14,9)&amp;" PE",""),IF(AND(4&gt;$EB36,4&lt;=$HM$4),"4 → "&amp;$GH36&amp;", "&amp;IF($DZ36=1,18,12)&amp;" PE",""),IF(AND(5&gt;$EB36,5&lt;=$HM$4),"5 → "&amp;$GI36&amp;", "&amp;IF($DZ36=1,23,15)&amp;" PE",""),IF(AND(6&gt;$EB36,6&lt;=$HM$4),"6 → "&amp;$GJ36&amp;", "&amp;IF($DZ36=1,27,18)&amp;" PE",""),IF(AND(7&gt;$EB36,7&lt;=$HM$4),"7 → "&amp;$GK36&amp;", "&amp;IF($DZ36=1,32,21)&amp;" PE",""))))</f>
        <v/>
      </c>
      <c r="HC36" s="164">
        <f>IF(OR($EK36=0,$EN36=0),"","−"&amp;INDEX($Q$2:$V$8,$EB36,$EN36)&amp;" · "&amp;CHOOSE($EN36,"Leve","Média","Pesada","Leve · Livre","Média · Livre","Pesada · Livre"))</f>
        <v/>
      </c>
      <c r="HD36" s="164">
        <f>IF(OR($EK36=0,$EO36=0),"","−"&amp;INDEX($Q$2:$V$8,$EB36,$EO36)&amp;" · "&amp;CHOOSE($EO36,"Leve","Média","Pesada","Leve · Livre","Média · Livre","Pesada · Livre"))</f>
        <v/>
      </c>
      <c r="HE36" s="164">
        <f>IF(OR($EK36=0,$EP36=0),"","−"&amp;INDEX($Q$2:$V$8,$EB36,$EP36)&amp;" · "&amp;CHOOSE($EP36,"Leve","Média","Pesada","Leve · Livre","Média · Livre","Pesada · Livre"))</f>
        <v/>
      </c>
      <c r="HF36" s="164">
        <f>IF(OR($EK36=0,$EQ36=0),"","−"&amp;INDEX($Q$2:$V$8,$EB36,$EQ36)&amp;" · "&amp;CHOOSE($EQ36,"Leve","Média","Pesada","Leve · Livre","Média · Livre","Pesada · Livre"))</f>
        <v/>
      </c>
      <c r="HG36" s="164">
        <f>IF(OR($EK36=0,$EI36=""),"","+"&amp;IF($FB36=1,CEILING($EB36/2,1),$EB36))</f>
        <v/>
      </c>
      <c r="HH36" s="164">
        <f>IF(OR($EK36=0,$EJ36=""),"","+"&amp;IF($FC36=1,CEILING($EB36/2,1),$EB36))</f>
        <v/>
      </c>
      <c r="HI36" s="164">
        <f>'FICHA AMALDIÇOADA'!$J$301&amp;""</f>
        <v/>
      </c>
      <c r="HJ36" s="164">
        <f>IF(AND($EK36=1,$DZ36=0),COUNTIFS($EK$2:$EK36,1,$DZ$2:$DZ36,0),"")</f>
        <v/>
      </c>
      <c r="HL36" s="162" t="inlineStr">
        <is>
          <t>dados da técnica máxima</t>
        </is>
      </c>
      <c r="HM36" s="164">
        <f>IFERROR(VLOOKUP($HM$2,$DH$2:$DJ$4,2,TRUE),0)</f>
        <v/>
      </c>
      <c r="JH36" s="164" t="n">
        <v>35</v>
      </c>
      <c r="JI36" s="164">
        <f>IFERROR(MATCH(35,$HJ$2:$HJ$37,0),0)</f>
        <v/>
      </c>
      <c r="JJ36" s="164">
        <f>IF($JI36=0,"",INDEX($EB$2:$EB$37,$JI36))</f>
        <v/>
      </c>
      <c r="JK36" s="164">
        <f>IF($JI36=0,"",INDEX($EC$2:$EC$37,$JI36))</f>
        <v/>
      </c>
      <c r="JL36" s="164">
        <f>IF($JI36=0,"",INDEX($GR$2:$GR$37,$JI36))</f>
        <v/>
      </c>
      <c r="JM36" s="164">
        <f>IF($JI36=0,"",INDEX($ED$2:$ED$37,$JI36))</f>
        <v/>
      </c>
      <c r="JN36" s="164">
        <f>IF($JI36=0,"",INDEX($GT$2:$GT$37,$JI36))</f>
        <v/>
      </c>
      <c r="JO36" s="164">
        <f>IF($JI36=0,"",INDEX($HI$2:$HI$37,$JI36))</f>
        <v/>
      </c>
      <c r="KU36" s="162" t="inlineStr">
        <is>
          <t>D329</t>
        </is>
      </c>
      <c r="KV36" s="164">
        <f>UPPER(INDEX(DADOS_AM!$D$4:$G$4,1,DADOS_AM!$A$2))</f>
        <v/>
      </c>
      <c r="KW36">
        <f>IF($EE36="","",IFERROR(VLOOKUP(SUBSTITUTE(SUBSTITUTE(SUBSTITUTE($EE36,"~","~~"),"*","~*"),"?","~?"),'DADOS_MELHORIAS'!$O$2:$X$113,10,FALSE),$EE36))</f>
        <v/>
      </c>
      <c r="KX36">
        <f>IF($EF36="","",IFERROR(VLOOKUP(SUBSTITUTE(SUBSTITUTE(SUBSTITUTE($EF36,"~","~~"),"*","~*"),"?","~?"),'DADOS_MELHORIAS'!$O$2:$X$113,10,FALSE),$EF36))</f>
        <v/>
      </c>
      <c r="KY36">
        <f>IF($EG36="","",IFERROR(VLOOKUP(SUBSTITUTE(SUBSTITUTE(SUBSTITUTE($EG36,"~","~~"),"*","~*"),"?","~?"),'DADOS_MELHORIAS'!$O$2:$X$113,10,FALSE),$EG36))</f>
        <v/>
      </c>
      <c r="KZ36">
        <f>IF($EH36="","",IFERROR(VLOOKUP(SUBSTITUTE(SUBSTITUTE(SUBSTITUTE($EH36,"~","~~"),"*","~*"),"?","~?"),'DADOS_MELHORIAS'!$O$2:$X$113,10,FALSE),$EH36))</f>
        <v/>
      </c>
      <c r="LB36">
        <f>IFERROR(INDEX('DADOS_FORMAS'!$BJ$2:$BJ$21,MATCH(SUBSTITUTE(SUBSTITUTE(SUBSTITUTE($ED36,"~","~~"),"*","~*"),"?","~?"),'DADOS_FORMAS'!$AH$2:$AH$21,0)),"")</f>
        <v/>
      </c>
      <c r="LC36">
        <f>IFERROR(VLOOKUP(SUBSTITUTE(SUBSTITUTE(SUBSTITUTE(IFERROR(INDEX('DADOS_FORMAS'!$AS$2:$AS$21,MATCH(SUBSTITUTE(SUBSTITUTE(SUBSTITUTE($ED36,"~","~~"),"*","~*"),"?","~?"),'DADOS_FORMAS'!$AH$2:$AH$21,0)),""),"~","~~"),"*","~*"),"?","~?"),'DADOS_RESTRICOES'!$M$2:$Q$54,2,FALSE),"")</f>
        <v/>
      </c>
      <c r="LD36">
        <f>$FD36</f>
        <v/>
      </c>
      <c r="LE36">
        <f>$FE36</f>
        <v/>
      </c>
      <c r="LF36">
        <f>$LC36</f>
        <v/>
      </c>
    </row>
    <row r="37">
      <c r="BC37" s="162" t="inlineStr">
        <is>
          <t>Terreno</t>
        </is>
      </c>
      <c r="BD37" s="162" t="inlineStr">
        <is>
          <t>Controle</t>
        </is>
      </c>
      <c r="BE37" s="164" t="n">
        <v>1</v>
      </c>
      <c r="BF37" s="164">
        <f>$BE37+3*IFERROR(VLOOKUP($BD37,'DADOS_CRIACAO'!$H$2:$K$20,3,FALSE),0)</f>
        <v/>
      </c>
      <c r="BG37" s="164">
        <f>IFERROR(VLOOKUP($BD37,'DADOS_CRIACAO'!$H$2:$K$20,4,FALSE),0)</f>
        <v/>
      </c>
      <c r="BH37" s="164" t="n">
        <v>1</v>
      </c>
      <c r="BI37" s="164">
        <f>IF($BG37=1,"",$BC37)</f>
        <v/>
      </c>
      <c r="BJ37" s="164">
        <f>IF(AND($BE37=1,$BG37=0),$BC37,"")</f>
        <v/>
      </c>
      <c r="BK37" s="164" t="n">
        <v>0</v>
      </c>
      <c r="DY37" s="162" t="inlineStr">
        <is>
          <t>Feitiço 36</t>
        </is>
      </c>
      <c r="DZ37" s="164" t="n">
        <v>0</v>
      </c>
      <c r="EA37" s="164" t="n">
        <v>36</v>
      </c>
      <c r="EB37" s="164">
        <f>MAX(1,MIN(7,N('FICHA AMALDIÇOADA'!$P$299)))</f>
        <v/>
      </c>
      <c r="EC37" s="164">
        <f>'FICHA AMALDIÇOADA'!$Q$299&amp;""</f>
        <v/>
      </c>
      <c r="ED37" s="164">
        <f>'FICHA AMALDIÇOADA'!$P$306&amp;""</f>
        <v/>
      </c>
      <c r="EE37" s="164">
        <f>'FICHA AMALDIÇOADA'!$Q$308&amp;""</f>
        <v/>
      </c>
      <c r="EF37" s="164">
        <f>'FICHA AMALDIÇOADA'!$Q$309&amp;""</f>
        <v/>
      </c>
      <c r="EG37" s="164">
        <f>'FICHA AMALDIÇOADA'!$Q$310&amp;""</f>
        <v/>
      </c>
      <c r="EH37" s="164">
        <f>'FICHA AMALDIÇOADA'!$Q$311&amp;""</f>
        <v/>
      </c>
      <c r="EI37" s="164">
        <f>'FICHA AMALDIÇOADA'!$Q$312&amp;""</f>
        <v/>
      </c>
      <c r="EJ37" s="164">
        <f>'FICHA AMALDIÇOADA'!$Q$313&amp;""</f>
        <v/>
      </c>
      <c r="EK37" s="164">
        <f>IF($EC37&lt;&gt;"",1,0)</f>
        <v/>
      </c>
      <c r="EL37" s="164">
        <f>IFERROR(MATCH(SUBSTITUTE(SUBSTITUTE(SUBSTITUTE($ED37,"~","~~"),"*","~*"),"?","~?"),'DADOS_FORMAS'!$FJ$2:$FJ$21,0),0)</f>
        <v/>
      </c>
      <c r="EM37" s="164">
        <f>IF($EL37=0,0,INDEX('DADOS_FORMAS'!$FM$2:$FM$21,$EL37))</f>
        <v/>
      </c>
      <c r="EN37" s="164">
        <f>IFERROR(VLOOKUP(SUBSTITUTE(SUBSTITUTE(SUBSTITUTE($EE37,"~","~~"),"*","~*"),"?","~?"),'DADOS_MELHORIAS'!$O$2:$W$113,4,FALSE),0)</f>
        <v/>
      </c>
      <c r="EO37" s="164">
        <f>IFERROR(VLOOKUP(SUBSTITUTE(SUBSTITUTE(SUBSTITUTE($EF37,"~","~~"),"*","~*"),"?","~?"),'DADOS_MELHORIAS'!$O$2:$W$113,4,FALSE),0)</f>
        <v/>
      </c>
      <c r="EP37" s="164">
        <f>IFERROR(VLOOKUP(SUBSTITUTE(SUBSTITUTE(SUBSTITUTE($EG37,"~","~~"),"*","~*"),"?","~?"),'DADOS_MELHORIAS'!$O$2:$W$113,4,FALSE),0)</f>
        <v/>
      </c>
      <c r="EQ37" s="164">
        <f>IFERROR(VLOOKUP(SUBSTITUTE(SUBSTITUTE(SUBSTITUTE($EH37,"~","~~"),"*","~*"),"?","~?"),'DADOS_MELHORIAS'!$O$2:$W$113,4,FALSE),0)</f>
        <v/>
      </c>
      <c r="ER37" s="164">
        <f>IF($EL37=0,0,INDEX('DADOS_FORMAS'!$FN$2:$FN$21,$EL37))</f>
        <v/>
      </c>
      <c r="ES37" s="164">
        <f>IFERROR(VLOOKUP(SUBSTITUTE(SUBSTITUTE(SUBSTITUTE($EE37,"~","~~"),"*","~*"),"?","~?"),'DADOS_MELHORIAS'!$O$2:$W$113,5,FALSE),0)</f>
        <v/>
      </c>
      <c r="ET37" s="164">
        <f>IFERROR(VLOOKUP(SUBSTITUTE(SUBSTITUTE(SUBSTITUTE($EF37,"~","~~"),"*","~*"),"?","~?"),'DADOS_MELHORIAS'!$O$2:$W$113,5,FALSE),0)</f>
        <v/>
      </c>
      <c r="EU37" s="164">
        <f>IFERROR(VLOOKUP(SUBSTITUTE(SUBSTITUTE(SUBSTITUTE($EG37,"~","~~"),"*","~*"),"?","~?"),'DADOS_MELHORIAS'!$O$2:$W$113,5,FALSE),0)</f>
        <v/>
      </c>
      <c r="EV37" s="164">
        <f>IFERROR(VLOOKUP(SUBSTITUTE(SUBSTITUTE(SUBSTITUTE($EH37,"~","~~"),"*","~*"),"?","~?"),'DADOS_MELHORIAS'!$O$2:$W$113,5,FALSE),0)</f>
        <v/>
      </c>
      <c r="EW37" s="164">
        <f>IFERROR(VLOOKUP(SUBSTITUTE(SUBSTITUTE(SUBSTITUTE($EE37,"~","~~"),"*","~*"),"?","~?"),'DADOS_MELHORIAS'!$O$2:$W$113,6,FALSE),0)+IFERROR(VLOOKUP(SUBSTITUTE(SUBSTITUTE(SUBSTITUTE($EF37,"~","~~"),"*","~*"),"?","~?"),'DADOS_MELHORIAS'!$O$2:$W$113,6,FALSE),0)+IFERROR(VLOOKUP(SUBSTITUTE(SUBSTITUTE(SUBSTITUTE($EG37,"~","~~"),"*","~*"),"?","~?"),'DADOS_MELHORIAS'!$O$2:$W$113,6,FALSE),0)+IFERROR(VLOOKUP(SUBSTITUTE(SUBSTITUTE(SUBSTITUTE($EH37,"~","~~"),"*","~*"),"?","~?"),'DADOS_MELHORIAS'!$O$2:$W$113,6,FALSE),0)</f>
        <v/>
      </c>
      <c r="EX37" s="164">
        <f>IFERROR(VLOOKUP(SUBSTITUTE(SUBSTITUTE(SUBSTITUTE($EE37,"~","~~"),"*","~*"),"?","~?"),'DADOS_MELHORIAS'!$O$2:$W$113,9,FALSE),0)+IFERROR(VLOOKUP(SUBSTITUTE(SUBSTITUTE(SUBSTITUTE($EF37,"~","~~"),"*","~*"),"?","~?"),'DADOS_MELHORIAS'!$O$2:$W$113,9,FALSE),0)+IFERROR(VLOOKUP(SUBSTITUTE(SUBSTITUTE(SUBSTITUTE($EG37,"~","~~"),"*","~*"),"?","~?"),'DADOS_MELHORIAS'!$O$2:$W$113,9,FALSE),0)+IFERROR(VLOOKUP(SUBSTITUTE(SUBSTITUTE(SUBSTITUTE($EH37,"~","~~"),"*","~*"),"?","~?"),'DADOS_MELHORIAS'!$O$2:$W$113,9,FALSE),0)</f>
        <v/>
      </c>
      <c r="EY37" s="164">
        <f>IF($EL37=0,0,INDEX('DADOS_FORMAS'!$FO$2:$FO$21,$EL37))</f>
        <v/>
      </c>
      <c r="EZ37" s="164">
        <f>IF($EL37=0,0,INDEX('DADOS_FORMAS'!$FP$2:$FP$21,$EL37))</f>
        <v/>
      </c>
      <c r="FA37" s="164">
        <f>IF($EL37=0,0,INDEX('DADOS_FORMAS'!$FR$2:$FR$21,$EL37))</f>
        <v/>
      </c>
      <c r="FB37" s="164">
        <f>IFERROR(VLOOKUP(SUBSTITUTE(SUBSTITUTE(SUBSTITUTE($EI37,"~","~~"),"*","~*"),"?","~?"),'DADOS_RESTRICOES'!$M$2:$Q$54,3,FALSE),0)</f>
        <v/>
      </c>
      <c r="FC37" s="164">
        <f>IFERROR(VLOOKUP(SUBSTITUTE(SUBSTITUTE(SUBSTITUTE($EJ37,"~","~~"),"*","~*"),"?","~?"),'DADOS_RESTRICOES'!$M$2:$Q$54,3,FALSE),0)</f>
        <v/>
      </c>
      <c r="FD37" s="164">
        <f>IFERROR(VLOOKUP(SUBSTITUTE(SUBSTITUTE(SUBSTITUTE($EI37,"~","~~"),"*","~*"),"?","~?"),'DADOS_RESTRICOES'!$M$2:$Q$54,2,FALSE),"")</f>
        <v/>
      </c>
      <c r="FE37" s="164">
        <f>IFERROR(VLOOKUP(SUBSTITUTE(SUBSTITUTE(SUBSTITUTE($EJ37,"~","~~"),"*","~*"),"?","~?"),'DADOS_RESTRICOES'!$M$2:$Q$54,2,FALSE),"")</f>
        <v/>
      </c>
      <c r="FF37" s="164">
        <f>COUNTIF($EM37:$EQ37,1)</f>
        <v/>
      </c>
      <c r="FG37" s="164">
        <f>COUNTIF($EM37:$EQ37,2)</f>
        <v/>
      </c>
      <c r="FH37" s="164">
        <f>COUNTIF($EM37:$EQ37,3)</f>
        <v/>
      </c>
      <c r="FI37" s="164">
        <f>COUNTIF($EM37:$EQ37,4)</f>
        <v/>
      </c>
      <c r="FJ37" s="164">
        <f>COUNTIF($EM37:$EQ37,5)</f>
        <v/>
      </c>
      <c r="FK37" s="164">
        <f>COUNTIF($EM37:$EQ37,6)</f>
        <v/>
      </c>
      <c r="FL37" s="164">
        <f>COUNTIF($FB37:$FC37,1)+IF(IFERROR(INDEX('DADOS_FORMAS'!$AS$2:$AS$21,MATCH(SUBSTITUTE(SUBSTITUTE(SUBSTITUTE($ED37,"~","~~"),"*","~*"),"?","~?"),'DADOS_FORMAS'!$AH$2:$AH$21,0)),"")="",0,IFERROR(N(VLOOKUP(SUBSTITUTE(SUBSTITUTE(SUBSTITUTE(IFERROR(INDEX('DADOS_FORMAS'!$AS$2:$AS$21,MATCH(SUBSTITUTE(SUBSTITUTE(SUBSTITUTE($ED37,"~","~~"),"*","~*"),"?","~?"),'DADOS_FORMAS'!$AH$2:$AH$21,0)),""),"~","~~"),"*","~*"),"?","~?"),'DADOS_RESTRICOES'!$M$2:$Q$54,3,FALSE)=1),0))</f>
        <v/>
      </c>
      <c r="FM37" s="164">
        <f>COUNTIF($FB37:$FC37,2)+IF(IFERROR(INDEX('DADOS_FORMAS'!$AS$2:$AS$21,MATCH(SUBSTITUTE(SUBSTITUTE(SUBSTITUTE($ED37,"~","~~"),"*","~*"),"?","~?"),'DADOS_FORMAS'!$AH$2:$AH$21,0)),"")="",0,IFERROR(N(VLOOKUP(SUBSTITUTE(SUBSTITUTE(SUBSTITUTE(IFERROR(INDEX('DADOS_FORMAS'!$AS$2:$AS$21,MATCH(SUBSTITUTE(SUBSTITUTE(SUBSTITUTE($ED37,"~","~~"),"*","~*"),"?","~?"),'DADOS_FORMAS'!$AH$2:$AH$21,0)),""),"~","~~"),"*","~*"),"?","~?"),'DADOS_RESTRICOES'!$M$2:$Q$54,3,FALSE)=2),0))</f>
        <v/>
      </c>
      <c r="FN37" s="164">
        <f>COUNTIF($EE37:$EH37,"?*")</f>
        <v/>
      </c>
      <c r="FO37" s="164">
        <f>COUNTIF($EI37:$EJ37,"?*")+$EY37</f>
        <v/>
      </c>
      <c r="FP37" s="164">
        <f>SUMPRODUCT($FF37:$FK37,INDEX($Q$2:$V$8,$EB37,0))</f>
        <v/>
      </c>
      <c r="FQ37" s="164">
        <f>$FL37*CEILING($EB37/2,1)+$FM37*$EB37</f>
        <v/>
      </c>
      <c r="FR37" s="164">
        <f>MIN(2*$EB37,$FQ37)</f>
        <v/>
      </c>
      <c r="FS37" s="164">
        <f>MIN($FR37,$FP37-IF($EM37=0,0,INDEX($Q$2:$V$8,$EB37,$EM37)))</f>
        <v/>
      </c>
      <c r="FT37" s="164">
        <f>$FR37-$FS37</f>
        <v/>
      </c>
      <c r="FU37" s="164">
        <f>3*$EB37-$FP37+$FS37</f>
        <v/>
      </c>
      <c r="FV37" s="164">
        <f>MAX(0,$FU37)+$DZ37*$EB37</f>
        <v/>
      </c>
      <c r="FW37" s="164">
        <f>(IF(COUNTIF($KW37:$KZ37,"Salto")&gt;0,1,0)+IF(COUNTIF($KW37:$KZ37,"Queima")&gt;0,1,0)+IF(COUNTIF($KW37:$KZ37,"Estilhaço")&gt;0,1,0))*FLOOR($FV37/2,1)</f>
        <v/>
      </c>
      <c r="FX37" s="164">
        <f>MAX(0,3-SUMPRODUCT($FF37:$FK37,$Q$2:$V$2)+MIN(2,$FL37*1+$FM37*1,SUMPRODUCT($FF37:$FK37,$Q$2:$V$2)-IF($EM37=0,0,INDEX($Q$2:$V$2,1,$EM37))))+$DZ37*1</f>
        <v/>
      </c>
      <c r="FY37" s="164">
        <f>MAX(0,6-SUMPRODUCT($FF37:$FK37,$Q$3:$V$3)+MIN(4,$FL37*1+$FM37*2,SUMPRODUCT($FF37:$FK37,$Q$3:$V$3)-IF($EM37=0,0,INDEX($Q$3:$V$3,1,$EM37))))+$DZ37*2</f>
        <v/>
      </c>
      <c r="FZ37" s="164">
        <f>MAX(0,9-SUMPRODUCT($FF37:$FK37,$Q$4:$V$4)+MIN(6,$FL37*2+$FM37*3,SUMPRODUCT($FF37:$FK37,$Q$4:$V$4)-IF($EM37=0,0,INDEX($Q$4:$V$4,1,$EM37))))+$DZ37*3</f>
        <v/>
      </c>
      <c r="GA37" s="164">
        <f>MAX(0,12-SUMPRODUCT($FF37:$FK37,$Q$5:$V$5)+MIN(8,$FL37*2+$FM37*4,SUMPRODUCT($FF37:$FK37,$Q$5:$V$5)-IF($EM37=0,0,INDEX($Q$5:$V$5,1,$EM37))))+$DZ37*4</f>
        <v/>
      </c>
      <c r="GB37" s="164">
        <f>MAX(0,15-SUMPRODUCT($FF37:$FK37,$Q$6:$V$6)+MIN(10,$FL37*3+$FM37*5,SUMPRODUCT($FF37:$FK37,$Q$6:$V$6)-IF($EM37=0,0,INDEX($Q$6:$V$6,1,$EM37))))+$DZ37*5</f>
        <v/>
      </c>
      <c r="GC37" s="164">
        <f>MAX(0,18-SUMPRODUCT($FF37:$FK37,$Q$7:$V$7)+MIN(12,$FL37*3+$FM37*6,SUMPRODUCT($FF37:$FK37,$Q$7:$V$7)-IF($EM37=0,0,INDEX($Q$7:$V$7,1,$EM37))))+$DZ37*6</f>
        <v/>
      </c>
      <c r="GD37" s="164">
        <f>MAX(0,21-SUMPRODUCT($FF37:$FK37,$Q$8:$V$8)+MIN(14,$FL37*4+$FM37*7,SUMPRODUCT($FF37:$FK37,$Q$8:$V$8)-IF($EM37=0,0,INDEX($Q$8:$V$8,1,$EM37))))+$DZ37*7</f>
        <v/>
      </c>
      <c r="GE37" s="164">
        <f>IF($EZ37=2,3*$FX37&amp;" de vida temp.",IF($EZ37=3,"sem dano",IF($FX37=0,IF($EZ37=1,"sem cura","sem dano"),IF($EZ37=1,"cura ","")&amp;$FX37&amp;"d8")))</f>
        <v/>
      </c>
      <c r="GF37" s="164">
        <f>IF($EZ37=2,3*$FY37&amp;" de vida temp.",IF($EZ37=3,"sem dano",IF($FY37=0,IF($EZ37=1,"sem cura","sem dano"),IF($EZ37=1,"cura ","")&amp;$FY37&amp;"d8")))</f>
        <v/>
      </c>
      <c r="GG37" s="164">
        <f>IF($EZ37=2,3*$FZ37&amp;" de vida temp.",IF($EZ37=3,"sem dano",IF($FZ37=0,IF($EZ37=1,"sem cura","sem dano"),IF($EZ37=1,"cura ","")&amp;$FZ37&amp;"d8")))</f>
        <v/>
      </c>
      <c r="GH37" s="164">
        <f>IF($EZ37=2,3*$GA37&amp;" de vida temp.",IF($EZ37=3,"sem dano",IF($GA37=0,IF($EZ37=1,"sem cura","sem dano"),IF($EZ37=1,"cura ","")&amp;$GA37&amp;"d8")))</f>
        <v/>
      </c>
      <c r="GI37" s="164">
        <f>IF($EZ37=2,3*$GB37&amp;" de vida temp.",IF($EZ37=3,"sem dano",IF($GB37=0,IF($EZ37=1,"sem cura","sem dano"),IF($EZ37=1,"cura ","")&amp;$GB37&amp;"d8")))</f>
        <v/>
      </c>
      <c r="GJ37" s="164">
        <f>IF($EZ37=2,3*$GC37&amp;" de vida temp.",IF($EZ37=3,"sem dano",IF($GC37=0,IF($EZ37=1,"sem cura","sem dano"),IF($EZ37=1,"cura ","")&amp;$GC37&amp;"d8")))</f>
        <v/>
      </c>
      <c r="GK37" s="164">
        <f>IF($EZ37=2,3*$GD37&amp;" de vida temp.",IF($EZ37=3,"sem dano",IF($GD37=0,IF($EZ37=1,"sem cura","sem dano"),IF($EZ37=1,"cura ","")&amp;$GD37&amp;"d8")))</f>
        <v/>
      </c>
      <c r="GL37" s="164">
        <f>IF($EK37=0,"",TEXTJOIN(" · ",TRUE,IF($EK37=0,"",TEXTJOIN(" · ",TRUE,IF($EK37=0,"",TEXTJOIN(" · ",TRUE,IF(AND($DZ37=1,$EA37&gt;$HM$9),"O nível "&amp;$HM$2&amp;" dá "&amp;$HM$9&amp;" Liberação Máxima",""),IF($EB37&gt;$HM$4,"Classe "&amp;$EB37&amp;": o nível "&amp;$HM$2&amp;" libera até a "&amp;$HM$4,""),IF($ER37=1,"Família Fechada: a Forma "&amp;$ED37,""),IF($ES37=1,"Família Fechada: "&amp;$EE37,""),IF($ET37=1,"Família Fechada: "&amp;$EF37,""),IF($EU37=1,"Família Fechada: "&amp;$EG37,""),IF($EV37=1,"Família Fechada: "&amp;$EH37,""),IF($FN37&gt;INDEX($W$2:$W$8,$EB37),$FN37&amp;" Melhorias: a Classe "&amp;$EB37&amp;" aceita "&amp;INDEX($W$2:$W$8,$EB37),""),IF($FO37&gt;2,$FO37&amp;" Restrições"&amp;IF($EY37=1,", contando a que a Forma "&amp;$ED37&amp;" já traz","")&amp;": o limite é 2",""),IF($FU37&lt;0,"Orçamento estourado: faltam "&amp;(-$FU37)&amp;IF($FU37&lt;-1," pontos"," ponto"),""),IF(IFERROR(VLOOKUP(SUBSTITUTE(SUBSTITUTE(SUBSTITUTE($EI37,"~","~~"),"*","~*"),"?","~?"),'DADOS_RESTRICOES'!$M$2:$Q$54,4,FALSE),0)+IFERROR(VLOOKUP(SUBSTITUTE(SUBSTITUTE(SUBSTITUTE($EJ37,"~","~~"),"*","~*"),"?","~?"),'DADOS_RESTRICOES'!$M$2:$Q$54,4,FALSE),0)&gt;1,$FD37&amp;" e "&amp;$FE37&amp;" são as duas de frequência",""),IF(AND((COUNTIF($KW37:$KZ37,"Rápido")+COUNTIF($FD37:$FE37,"Rápido"))&gt;0,(COUNTIF($EE37:$EH37,"Atrasar")+COUNTIF($FD37:$FE37,"Atrasar"))&gt;0),"Rápido não entra com Atrasar",""),IF(AND((COUNTIF($KW37:$KZ37,"Reação")+COUNTIF($FD37:$FE37,"Reação"))&gt;0,(COUNTIF($KW37:$KZ37,"Rápido")+COUNTIF($FD37:$FE37,"Rápido"))&gt;0),"Reação não entra com Rápido",""),IF(AND((COUNTIF($KW37:$KZ37,"Reação")+COUNTIF($FD37:$FE37,"Reação"))&gt;0,(COUNTIF($KW37:$KZ37,"Armado")+COUNTIF($FD37:$FE37,"Armado"))&gt;0),"Reação não entra com Armado",""),IF(AND((COUNTIF($KW37:$KZ37,"Reação")+COUNTIF($FD37:$FE37,"Reação"))&gt;0,(COUNTIF($EE37:$EH37,"Atrasar")+COUNTIF($FD37:$FE37,"Atrasar"))&gt;0),"Reação não entra com Atrasar",""),IF(AND((COUNTIF($KW37:$KZ37,"Reação")+COUNTIF($FD37:$FE37,"Reação"))&gt;0,(COUNTIF($EE37:$EH37,"Parado")+COUNTIF($FD37:$FE37,"Parado"))&gt;0),"Reação não entra com Parado",""),IF(AND((COUNTIF($EE37:$EH37,"Atrasar")+COUNTIF($FD37:$FE37,"Atrasar"))&gt;0,(COUNTIF($EE37:$EH37,"Parado")+COUNTIF($FD37:$FE37,"Parado"))&gt;0),"Atrasar não entra com Parado",""),IF(AND((COUNTIF($KW37:$KZ37,"Armado")+COUNTIF($FD37:$FE37,"Armado"))&gt;0,(COUNTIF($EE37:$EH37,"Carregar")+COUNTIF($FD37:$FE37,"Carregar"))&gt;0),"Armado não entra com Carregar",""),IF(AND(COUNTIF($FD37:$FE37,"Corpo a Corpo")&gt;0,$EY37=0,OR($LB37="Cone",$LB37="Linha")),"Corpo a Corpo não entra em "&amp;$ED37,""),IF(AND(COUNTIF($FD37:$FE37,"Corpo a Corpo")&gt;0,$LC37="Corpo a Corpo"),"A Forma "&amp;$ED37&amp;" já traz o Corpo a Corpo",""),IF(AND(COUNTIF($FD37:$FE37,"Tudo ou Nada")&gt;0,$FA37=0),"Tudo ou Nada só entra em feitiço de Teste de Resistência",""),IF(AND(COUNTIF($KW37:$KZ37,"Inescapável")&gt;0,OR($FN37&gt;1,$FO37&gt;0)),"Inescapável não aceita outra peça",""),IF(AND($DZ37=1,$EB37&lt;3),"Liberação Máxima é de Classe 3 ou mais",""),IF(AND($DZ37=1,OR($EZ37=1,$EZ37=2)),"Liberação Máxima não serve para cura",""),IF(AND($DZ37=1,COUNTIF($KW37:$KZ37,"Inescapável")+COUNTIF($KW37:$KZ37,"Toca a Alma")&gt;0),"Esta peça não entra numa Liberação Máxima",""),IF($FV37*IF(COUNTIF($KW37:$KZ37,"Remate")&gt;0,1.25,1)+$FW37&gt;4*$EB37,($FV37*IF(COUNTIF($KW37:$KZ37,"Remate")&gt;0,1.25,1)+$FW37)&amp;" dados somando repetições"&amp;IF(COUNTIF($KW37:$KZ37,"Remate")&gt;0," e o Remate","")&amp;": o teto da Classe "&amp;$EB37&amp;" é "&amp;4*$EB37,""))),IF(AND($EE37&lt;&gt;"",COUNTIF('DADOS_MELHORIAS'!$O$2:$O$113,SUBSTITUTE(SUBSTITUTE(SUBSTITUTE($EE37,"~","~~"),"*","~*"),"?","~?"))=0),"Melhoria não cadastrada ou com erro: "&amp;$EE37,""),IF(AND($EF37&lt;&gt;"",COUNTIF('DADOS_MELHORIAS'!$O$2:$O$113,SUBSTITUTE(SUBSTITUTE(SUBSTITUTE($EF37,"~","~~"),"*","~*"),"?","~?"))=0),"Melhoria não cadastrada ou com erro: "&amp;$EF37,""),IF(AND($EG37&lt;&gt;"",COUNTIF('DADOS_MELHORIAS'!$O$2:$O$113,SUBSTITUTE(SUBSTITUTE(SUBSTITUTE($EG37,"~","~~"),"*","~*"),"?","~?"))=0),"Melhoria não cadastrada ou com erro: "&amp;$EG37,""),IF(AND($EH37&lt;&gt;"",COUNTIF('DADOS_MELHORIAS'!$O$2:$O$113,SUBSTITUTE(SUBSTITUTE(SUBSTITUTE($EH37,"~","~~"),"*","~*"),"?","~?"))=0),"Melhoria não cadastrada ou com erro: "&amp;$EH37,""),IF(AND($EI37&lt;&gt;"",COUNTIF('DADOS_RESTRICOES'!$M$2:$M$54,SUBSTITUTE(SUBSTITUTE(SUBSTITUTE($EI37,"~","~~"),"*","~*"),"?","~?"))=0),"Restrição não cadastrada ou com erro: "&amp;$EI37,""),IF(AND($EJ37&lt;&gt;"",COUNTIF('DADOS_RESTRICOES'!$M$2:$M$54,SUBSTITUTE(SUBSTITUTE(SUBSTITUTE($EJ37,"~","~~"),"*","~*"),"?","~?"))=0),"Restrição não cadastrada ou com erro: "&amp;$EJ37,""))),IF(AND($ED37&lt;&gt;"",COUNTIF('DADOS_FORMAS'!$AH$2:$AH$21,SUBSTITUTE(SUBSTITUTE(SUBSTITUTE($ED37,"~","~~"),"*","~*"),"?","~?"))=0),"Forma não cadastrada ou com erro: "&amp;$ED37,""),IF(AND(IFERROR(INDEX('DADOS_FORMAS'!$AS$2:$AS$21,MATCH(SUBSTITUTE(SUBSTITUTE(SUBSTITUTE($ED37,"~","~~"),"*","~*"),"?","~?"),'DADOS_FORMAS'!$AH$2:$AH$21,0)),"")&lt;&gt;"",OR(IFERROR(VLOOKUP(SUBSTITUTE(SUBSTITUTE(SUBSTITUTE(IFERROR(INDEX('DADOS_FORMAS'!$AS$2:$AS$21,MATCH(SUBSTITUTE(SUBSTITUTE(SUBSTITUTE($ED37,"~","~~"),"*","~*"),"?","~?"),'DADOS_FORMAS'!$AH$2:$AH$21,0)),""),"~","~~"),"*","~*"),"?","~?"),'DADOS_RESTRICOES'!$M$2:$Q$54,2,FALSE),"")=$FD37,IFERROR(VLOOKUP(SUBSTITUTE(SUBSTITUTE(SUBSTITUTE(IFERROR(INDEX('DADOS_FORMAS'!$AS$2:$AS$21,MATCH(SUBSTITUTE(SUBSTITUTE(SUBSTITUTE($ED37,"~","~~"),"*","~*"),"?","~?"),'DADOS_FORMAS'!$AH$2:$AH$21,0)),""),"~","~~"),"*","~*"),"?","~?"),'DADOS_RESTRICOES'!$M$2:$Q$54,2,FALSE),"")=$FE37)),"Restrição repetida, contando a embutida",""),IF(IF(IFERROR(INDEX('DADOS_FORMAS'!$AS$2:$AS$21,MATCH(SUBSTITUTE(SUBSTITUTE(SUBSTITUTE($ED37,"~","~~"),"*","~*"),"?","~?"),'DADOS_FORMAS'!$AH$2:$AH$21,0)),"")="",0,IFERROR(N(VLOOKUP(SUBSTITUTE(SUBSTITUTE(SUBSTITUTE(IFERROR(INDEX('DADOS_FORMAS'!$AS$2:$AS$21,MATCH(SUBSTITUTE(SUBSTITUTE(SUBSTITUTE($ED37,"~","~~"),"*","~*"),"?","~?"),'DADOS_FORMAS'!$AH$2:$AH$21,0)),""),"~","~~"),"*","~*"),"?","~?"),'DADOS_RESTRICOES'!$M$2:$Q$54,4,FALSE)=1),0))+IF($EI37="",0,IFERROR(N(VLOOKUP(SUBSTITUTE(SUBSTITUTE(SUBSTITUTE($EI37,"~","~~"),"*","~*"),"?","~?"),'DADOS_RESTRICOES'!$M$2:$Q$54,4,FALSE)=1),0))+IF($EJ37="",0,IFERROR(N(VLOOKUP(SUBSTITUTE(SUBSTITUTE(SUBSTITUTE($EJ37,"~","~~"),"*","~*"),"?","~?"),'DADOS_RESTRICOES'!$M$2:$Q$54,4,FALSE)=1),0))&gt;1,"Duas Restrições de frequência, contando a embutida",""),IF(AND(IFERROR(VLOOKUP(SUBSTITUTE(SUBSTITUTE(SUBSTITUTE(IFERROR(INDEX('DADOS_FORMAS'!$AS$2:$AS$21,MATCH(SUBSTITUTE(SUBSTITUTE(SUBSTITUTE($ED37,"~","~~"),"*","~*"),"?","~?"),'DADOS_FORMAS'!$AH$2:$AH$21,0)),""),"~","~~"),"*","~*"),"?","~?"),'DADOS_RESTRICOES'!$M$2:$Q$54,2,FALSE),"")="Tudo ou Nada",$FA37=0),"Tudo ou Nada exige TR",""),IF(AND(IFERROR(VLOOKUP(SUBSTITUTE(SUBSTITUTE(SUBSTITUTE(IFERROR(INDEX('DADOS_FORMAS'!$AS$2:$AS$21,MATCH(SUBSTITUTE(SUBSTITUTE(SUBSTITUTE($ED37,"~","~~"),"*","~*"),"?","~?"),'DADOS_FORMAS'!$AH$2:$AH$21,0)),""),"~","~~"),"*","~*"),"?","~?"),'DADOS_RESTRICOES'!$M$2:$Q$54,2,FALSE),"")="Corpo a Corpo",OR($LB37="Cone",$LB37="Linha")),"Corpo a Corpo não entra em Cone/Linha","")))</f>
        <v/>
      </c>
      <c r="GM37" s="164">
        <f>IF($GL37="",0,(LEN($GL37)-LEN(SUBSTITUTE($GL37," · ","")))/3+1)</f>
        <v/>
      </c>
      <c r="GN37" s="164">
        <f>IF($EK37=0,"",TEXTJOIN(" · ",TRUE,IF($FQ37&gt;2*$EB37,"A devolução parou no teto de "&amp;2*$EB37,""),IF($FT37&gt;0,"Devolução perdida: "&amp;$FT37&amp;IF($FT37&gt;1," pontos"," ponto")&amp;" sem Melhoria para pagar",""),IF(AND($EW37&gt;0,$FV37=0),"Controle sem dano: uma rodada a mais e CD +2",""),IF(AND($EW37&gt;0,$FV37&gt;0,$FV37&lt;=$EB37),"Controle com saldo até a Classe: uma rodada a mais","")))</f>
        <v/>
      </c>
      <c r="GO37" s="164">
        <f>IF($GN37="",0,(LEN($GN37)-LEN(SUBSTITUTE($GN37," · ","")))/3+1)</f>
        <v/>
      </c>
      <c r="GP37" s="164">
        <f>IF($EK37=0,IF($FN37+$FO37-$EY37&gt;0,"Dê um nome",""),IF($GM37&gt;0,"⚠ "&amp;$GM37&amp;IF($GM37&gt;1," erros"," erro"),IF($GO37&gt;0,"! "&amp;$GO37&amp;IF($GO37&gt;1," avisos"," aviso"),"Na regra")))</f>
        <v/>
      </c>
      <c r="GQ37" s="164">
        <f>IF($EK37=0,"",IF($GM37+$GO37=0,"Dentro das regras que a ficha confere",$GL37&amp;IF(AND($GM37&gt;0,$GO37&gt;0)," · ","")&amp;$GN37))</f>
        <v/>
      </c>
      <c r="GR37" s="164">
        <f>IF($EK37=0,"",IF($DZ37=1,CEILING(4.5*$EB37,1),3*$EB37)&amp;" PE")</f>
        <v/>
      </c>
      <c r="GS37" s="164">
        <f>IF($EK37=0,"",IF($DZ37=1,"Rodada inteira",IF(COUNTIF($LD37:$LF37,"Atrasar")&gt;0,IF(COUNTIF($LD37:$LF37,"Carregar")&gt;0,"Rodada +1 turno","Rodada inteira"),IF(COUNTIF($KW37:$KZ37,"Rápido")&gt;0,"Bônus",IF(COUNTIF($KW37:$KZ37,"Reação")&gt;0,"Reação","Padrão"))&amp;IF(COUNTIF($LD37:$LF37,"Carregar")&gt;0," +1 turno",""))))</f>
        <v/>
      </c>
      <c r="GT37" s="164">
        <f>IF(OR($EK37=0,$EL37=0),"",IF(COUNTIF($KW37:$KZ37,"Inescapável")&gt;0,"Automático",IF(COUNTIF($KW37:$KZ37,"Certeiro")&gt;0,"TR para metade",IF(AND($EX37&gt;0,$FA37=0,INDEX('DADOS_FORMAS'!$FQ$2:$FQ$21,$EL37)="Acerto"),"Acerto + TR",INDEX('DADOS_FORMAS'!$FQ$2:$FQ$21,$EL37)))))</f>
        <v/>
      </c>
      <c r="GU37" s="164">
        <f>IF(OR($EK37=0,$EL37=0),"",IF(OR($EZ37&gt;=2,$FV37=0),UPPER(LEFT(INDEX($GE37:$GK37,1,$EB37),1))&amp;MID(INDEX($GE37:$GK37,1,$EB37),2,99),UPPER(LEFT(INDEX($GE37:$GK37,1,$EB37),1))&amp;MID(INDEX($GE37:$GK37,1,$EB37),2,99)&amp;" = "&amp;FLOOR($FV37*4.5,1)&amp;IF($FW37&gt;0," · +"&amp;$FW37&amp;"d8","")))</f>
        <v/>
      </c>
      <c r="GV37" s="164">
        <f>COUNTIF($KW37:$KZ37,"Longe")+3*COUNTIF($KW37:$KZ37,"Muito Longe")</f>
        <v/>
      </c>
      <c r="GW37" s="164">
        <f>COUNTIF($KW37:$KZ37,"Maior")+3*COUNTIF($KW37:$KZ37,"Muito Maior")</f>
        <v/>
      </c>
      <c r="GX37" s="164">
        <f>IF($EL37=0,0,CHOOSE(1+INDEX('DADOS_FORMAS'!$FS$2:$FS$21,$EL37),0,$GV37,$GW37,$GV37+$GW37))</f>
        <v/>
      </c>
      <c r="GY37" s="164">
        <f>IF($EL37=0,0,CHOOSE(1+INDEX('DADOS_FORMAS'!$FT$2:$FT$21,$EL37),0,$GV37,$GW37,$GV37+$GW37))</f>
        <v/>
      </c>
      <c r="GZ37" s="164">
        <f>IF(OR($EK37=0,$EL37=0),"",INDEX('DADOS_FORMAS'!$GZ$2:$HE$61,($EL37-1)*3+IF($EB37&gt;=6,3,2),1+MIN(5,$GX37))&amp;INDEX('DADOS_FORMAS'!$HF$2:$HK$61,($EL37-1)*3+IF($EB37&gt;=6,3,2),1+MIN(5,$GY37))&amp;IF(INDEX('DADOS_FORMAS'!$FU$2:$FU$21,$EL37)=1,IF(COUNTIF($KW37:$KZ37,"Mais Um")&gt;0," · +"&amp;COUNTIF($KW37:$KZ37,"Mais Um")&amp;IF(COUNTIF($KW37:$KZ37,"Mais Um")&gt;1," alvos"," alvo"),"")&amp;IF(COUNTIF($KW37:$KZ37,"Rajada")&gt;0," · "&amp;($EB37+1)&amp;" tiros",""),""))</f>
        <v/>
      </c>
      <c r="HA37" s="164">
        <f>IF($EK37=0,"",3*$EB37&amp;" − "&amp;$FP37&amp;" + "&amp;$FS37&amp;IF($DZ37=1," + "&amp;$EB37,"")&amp;" = "&amp;$FV37&amp;"d8 · teto "&amp;4*$EB37&amp;IF($EY37=1," · a Forma devolve "&amp;$EB37,"")&amp;IF($FT37&gt;0," · perde "&amp;$FT37,""))</f>
        <v/>
      </c>
      <c r="HB37" s="164">
        <f>IF($EK37=0,"",IF($EB37&gt;=$HM$4,"Já está na maior Classe que o nível liberou",TEXTJOIN(" · ",TRUE,IF(AND(2&gt;$EB37,2&lt;=$HM$4),"2 → "&amp;$GF37&amp;", "&amp;IF($DZ37=1,9,6)&amp;" PE",""),IF(AND(3&gt;$EB37,3&lt;=$HM$4),"3 → "&amp;$GG37&amp;", "&amp;IF($DZ37=1,14,9)&amp;" PE",""),IF(AND(4&gt;$EB37,4&lt;=$HM$4),"4 → "&amp;$GH37&amp;", "&amp;IF($DZ37=1,18,12)&amp;" PE",""),IF(AND(5&gt;$EB37,5&lt;=$HM$4),"5 → "&amp;$GI37&amp;", "&amp;IF($DZ37=1,23,15)&amp;" PE",""),IF(AND(6&gt;$EB37,6&lt;=$HM$4),"6 → "&amp;$GJ37&amp;", "&amp;IF($DZ37=1,27,18)&amp;" PE",""),IF(AND(7&gt;$EB37,7&lt;=$HM$4),"7 → "&amp;$GK37&amp;", "&amp;IF($DZ37=1,32,21)&amp;" PE",""))))</f>
        <v/>
      </c>
      <c r="HC37" s="164">
        <f>IF(OR($EK37=0,$EN37=0),"","−"&amp;INDEX($Q$2:$V$8,$EB37,$EN37)&amp;" · "&amp;CHOOSE($EN37,"Leve","Média","Pesada","Leve · Livre","Média · Livre","Pesada · Livre"))</f>
        <v/>
      </c>
      <c r="HD37" s="164">
        <f>IF(OR($EK37=0,$EO37=0),"","−"&amp;INDEX($Q$2:$V$8,$EB37,$EO37)&amp;" · "&amp;CHOOSE($EO37,"Leve","Média","Pesada","Leve · Livre","Média · Livre","Pesada · Livre"))</f>
        <v/>
      </c>
      <c r="HE37" s="164">
        <f>IF(OR($EK37=0,$EP37=0),"","−"&amp;INDEX($Q$2:$V$8,$EB37,$EP37)&amp;" · "&amp;CHOOSE($EP37,"Leve","Média","Pesada","Leve · Livre","Média · Livre","Pesada · Livre"))</f>
        <v/>
      </c>
      <c r="HF37" s="164">
        <f>IF(OR($EK37=0,$EQ37=0),"","−"&amp;INDEX($Q$2:$V$8,$EB37,$EQ37)&amp;" · "&amp;CHOOSE($EQ37,"Leve","Média","Pesada","Leve · Livre","Média · Livre","Pesada · Livre"))</f>
        <v/>
      </c>
      <c r="HG37" s="164">
        <f>IF(OR($EK37=0,$EI37=""),"","+"&amp;IF($FB37=1,CEILING($EB37/2,1),$EB37))</f>
        <v/>
      </c>
      <c r="HH37" s="164">
        <f>IF(OR($EK37=0,$EJ37=""),"","+"&amp;IF($FC37=1,CEILING($EB37/2,1),$EB37))</f>
        <v/>
      </c>
      <c r="HI37" s="164">
        <f>'FICHA AMALDIÇOADA'!$P$301&amp;""</f>
        <v/>
      </c>
      <c r="HJ37" s="164">
        <f>IF(AND($EK37=1,$DZ37=0),COUNTIFS($EK$2:$EK37,1,$DZ$2:$DZ37,0),"")</f>
        <v/>
      </c>
      <c r="HL37" s="162" t="inlineStr">
        <is>
          <t>montagem da técnica máxima</t>
        </is>
      </c>
      <c r="HM37" s="164">
        <f>IFERROR(VLOOKUP($HM$2,$DH$2:$DJ$4,3,TRUE),0)</f>
        <v/>
      </c>
      <c r="JH37" s="164" t="n">
        <v>36</v>
      </c>
      <c r="JI37" s="164">
        <f>IFERROR(MATCH(36,$HJ$2:$HJ$37,0),0)</f>
        <v/>
      </c>
      <c r="JJ37" s="164">
        <f>IF($JI37=0,"",INDEX($EB$2:$EB$37,$JI37))</f>
        <v/>
      </c>
      <c r="JK37" s="164">
        <f>IF($JI37=0,"",INDEX($EC$2:$EC$37,$JI37))</f>
        <v/>
      </c>
      <c r="JL37" s="164">
        <f>IF($JI37=0,"",INDEX($GR$2:$GR$37,$JI37))</f>
        <v/>
      </c>
      <c r="JM37" s="164">
        <f>IF($JI37=0,"",INDEX($ED$2:$ED$37,$JI37))</f>
        <v/>
      </c>
      <c r="JN37" s="164">
        <f>IF($JI37=0,"",INDEX($GT$2:$GT$37,$JI37))</f>
        <v/>
      </c>
      <c r="JO37" s="164">
        <f>IF($JI37=0,"",INDEX($HI$2:$HI$37,$JI37))</f>
        <v/>
      </c>
      <c r="KU37" s="162" t="inlineStr">
        <is>
          <t>D353</t>
        </is>
      </c>
      <c r="KV37" s="164">
        <f>UPPER(INDEX(DADOS_AM!$D$5:$G$5,1,DADOS_AM!$A$2))</f>
        <v/>
      </c>
      <c r="KW37">
        <f>IF($EE37="","",IFERROR(VLOOKUP(SUBSTITUTE(SUBSTITUTE(SUBSTITUTE($EE37,"~","~~"),"*","~*"),"?","~?"),'DADOS_MELHORIAS'!$O$2:$X$113,10,FALSE),$EE37))</f>
        <v/>
      </c>
      <c r="KX37">
        <f>IF($EF37="","",IFERROR(VLOOKUP(SUBSTITUTE(SUBSTITUTE(SUBSTITUTE($EF37,"~","~~"),"*","~*"),"?","~?"),'DADOS_MELHORIAS'!$O$2:$X$113,10,FALSE),$EF37))</f>
        <v/>
      </c>
      <c r="KY37">
        <f>IF($EG37="","",IFERROR(VLOOKUP(SUBSTITUTE(SUBSTITUTE(SUBSTITUTE($EG37,"~","~~"),"*","~*"),"?","~?"),'DADOS_MELHORIAS'!$O$2:$X$113,10,FALSE),$EG37))</f>
        <v/>
      </c>
      <c r="KZ37">
        <f>IF($EH37="","",IFERROR(VLOOKUP(SUBSTITUTE(SUBSTITUTE(SUBSTITUTE($EH37,"~","~~"),"*","~*"),"?","~?"),'DADOS_MELHORIAS'!$O$2:$X$113,10,FALSE),$EH37))</f>
        <v/>
      </c>
      <c r="LB37">
        <f>IFERROR(INDEX('DADOS_FORMAS'!$BJ$2:$BJ$21,MATCH(SUBSTITUTE(SUBSTITUTE(SUBSTITUTE($ED37,"~","~~"),"*","~*"),"?","~?"),'DADOS_FORMAS'!$AH$2:$AH$21,0)),"")</f>
        <v/>
      </c>
      <c r="LC37">
        <f>IFERROR(VLOOKUP(SUBSTITUTE(SUBSTITUTE(SUBSTITUTE(IFERROR(INDEX('DADOS_FORMAS'!$AS$2:$AS$21,MATCH(SUBSTITUTE(SUBSTITUTE(SUBSTITUTE($ED37,"~","~~"),"*","~*"),"?","~?"),'DADOS_FORMAS'!$AH$2:$AH$21,0)),""),"~","~~"),"*","~*"),"?","~?"),'DADOS_RESTRICOES'!$M$2:$Q$54,2,FALSE),"")</f>
        <v/>
      </c>
      <c r="LD37">
        <f>$FD37</f>
        <v/>
      </c>
      <c r="LE37">
        <f>$FE37</f>
        <v/>
      </c>
      <c r="LF37">
        <f>$LC37</f>
        <v/>
      </c>
    </row>
    <row r="38">
      <c r="BC38" s="162" t="inlineStr">
        <is>
          <t>Cerca</t>
        </is>
      </c>
      <c r="BD38" s="162" t="inlineStr">
        <is>
          <t>Controle</t>
        </is>
      </c>
      <c r="BE38" s="164" t="n">
        <v>1</v>
      </c>
      <c r="BF38" s="164">
        <f>$BE38+3*IFERROR(VLOOKUP($BD38,'DADOS_CRIACAO'!$H$2:$K$20,3,FALSE),0)</f>
        <v/>
      </c>
      <c r="BG38" s="164">
        <f>IFERROR(VLOOKUP($BD38,'DADOS_CRIACAO'!$H$2:$K$20,4,FALSE),0)</f>
        <v/>
      </c>
      <c r="BH38" s="164" t="n">
        <v>1</v>
      </c>
      <c r="BI38" s="164">
        <f>IF($BG38=1,"",$BC38)</f>
        <v/>
      </c>
      <c r="BJ38" s="164">
        <f>IF(AND($BE38=1,$BG38=0),$BC38,"")</f>
        <v/>
      </c>
      <c r="BK38" s="164" t="n">
        <v>1</v>
      </c>
      <c r="DY38" s="162" t="inlineStr">
        <is>
          <t>Liberação 1</t>
        </is>
      </c>
      <c r="DZ38" s="164" t="n">
        <v>1</v>
      </c>
      <c r="EA38" s="164" t="n">
        <v>1</v>
      </c>
      <c r="EB38" s="164">
        <f>MAX(1,MIN(7,N('FICHA AMALDIÇOADA'!$D$332)))</f>
        <v/>
      </c>
      <c r="EC38" s="164">
        <f>'FICHA AMALDIÇOADA'!$E$332&amp;""</f>
        <v/>
      </c>
      <c r="ED38" s="164">
        <f>'FICHA AMALDIÇOADA'!$D$339&amp;""</f>
        <v/>
      </c>
      <c r="EE38" s="164">
        <f>'FICHA AMALDIÇOADA'!$E$341&amp;""</f>
        <v/>
      </c>
      <c r="EF38" s="164">
        <f>'FICHA AMALDIÇOADA'!$E$342&amp;""</f>
        <v/>
      </c>
      <c r="EG38" s="164">
        <f>'FICHA AMALDIÇOADA'!$E$343&amp;""</f>
        <v/>
      </c>
      <c r="EH38" s="164">
        <f>'FICHA AMALDIÇOADA'!$E$344&amp;""</f>
        <v/>
      </c>
      <c r="EI38" s="164">
        <f>'FICHA AMALDIÇOADA'!$E$345&amp;""</f>
        <v/>
      </c>
      <c r="EJ38" s="164">
        <f>'FICHA AMALDIÇOADA'!$E$346&amp;""</f>
        <v/>
      </c>
      <c r="EK38" s="164">
        <f>IF($EC38&lt;&gt;"",1,0)</f>
        <v/>
      </c>
      <c r="EL38" s="164">
        <f>IFERROR(MATCH(SUBSTITUTE(SUBSTITUTE(SUBSTITUTE($ED38,"~","~~"),"*","~*"),"?","~?"),'DADOS_FORMAS'!$FJ$2:$FJ$21,0),0)</f>
        <v/>
      </c>
      <c r="EM38" s="164">
        <f>IF($EL38=0,0,INDEX('DADOS_FORMAS'!$FM$2:$FM$21,$EL38))</f>
        <v/>
      </c>
      <c r="EN38" s="164">
        <f>IFERROR(VLOOKUP(SUBSTITUTE(SUBSTITUTE(SUBSTITUTE($EE38,"~","~~"),"*","~*"),"?","~?"),'DADOS_MELHORIAS'!$O$2:$W$113,4,FALSE),0)</f>
        <v/>
      </c>
      <c r="EO38" s="164">
        <f>IFERROR(VLOOKUP(SUBSTITUTE(SUBSTITUTE(SUBSTITUTE($EF38,"~","~~"),"*","~*"),"?","~?"),'DADOS_MELHORIAS'!$O$2:$W$113,4,FALSE),0)</f>
        <v/>
      </c>
      <c r="EP38" s="164">
        <f>IFERROR(VLOOKUP(SUBSTITUTE(SUBSTITUTE(SUBSTITUTE($EG38,"~","~~"),"*","~*"),"?","~?"),'DADOS_MELHORIAS'!$O$2:$W$113,4,FALSE),0)</f>
        <v/>
      </c>
      <c r="EQ38" s="164">
        <f>IFERROR(VLOOKUP(SUBSTITUTE(SUBSTITUTE(SUBSTITUTE($EH38,"~","~~"),"*","~*"),"?","~?"),'DADOS_MELHORIAS'!$O$2:$W$113,4,FALSE),0)</f>
        <v/>
      </c>
      <c r="ER38" s="164">
        <f>IF($EL38=0,0,INDEX('DADOS_FORMAS'!$FN$2:$FN$21,$EL38))</f>
        <v/>
      </c>
      <c r="ES38" s="164">
        <f>IFERROR(VLOOKUP(SUBSTITUTE(SUBSTITUTE(SUBSTITUTE($EE38,"~","~~"),"*","~*"),"?","~?"),'DADOS_MELHORIAS'!$O$2:$W$113,5,FALSE),0)</f>
        <v/>
      </c>
      <c r="ET38" s="164">
        <f>IFERROR(VLOOKUP(SUBSTITUTE(SUBSTITUTE(SUBSTITUTE($EF38,"~","~~"),"*","~*"),"?","~?"),'DADOS_MELHORIAS'!$O$2:$W$113,5,FALSE),0)</f>
        <v/>
      </c>
      <c r="EU38" s="164">
        <f>IFERROR(VLOOKUP(SUBSTITUTE(SUBSTITUTE(SUBSTITUTE($EG38,"~","~~"),"*","~*"),"?","~?"),'DADOS_MELHORIAS'!$O$2:$W$113,5,FALSE),0)</f>
        <v/>
      </c>
      <c r="EV38" s="164">
        <f>IFERROR(VLOOKUP(SUBSTITUTE(SUBSTITUTE(SUBSTITUTE($EH38,"~","~~"),"*","~*"),"?","~?"),'DADOS_MELHORIAS'!$O$2:$W$113,5,FALSE),0)</f>
        <v/>
      </c>
      <c r="EW38" s="164">
        <f>IFERROR(VLOOKUP(SUBSTITUTE(SUBSTITUTE(SUBSTITUTE($EE38,"~","~~"),"*","~*"),"?","~?"),'DADOS_MELHORIAS'!$O$2:$W$113,6,FALSE),0)+IFERROR(VLOOKUP(SUBSTITUTE(SUBSTITUTE(SUBSTITUTE($EF38,"~","~~"),"*","~*"),"?","~?"),'DADOS_MELHORIAS'!$O$2:$W$113,6,FALSE),0)+IFERROR(VLOOKUP(SUBSTITUTE(SUBSTITUTE(SUBSTITUTE($EG38,"~","~~"),"*","~*"),"?","~?"),'DADOS_MELHORIAS'!$O$2:$W$113,6,FALSE),0)+IFERROR(VLOOKUP(SUBSTITUTE(SUBSTITUTE(SUBSTITUTE($EH38,"~","~~"),"*","~*"),"?","~?"),'DADOS_MELHORIAS'!$O$2:$W$113,6,FALSE),0)</f>
        <v/>
      </c>
      <c r="EX38" s="164">
        <f>IFERROR(VLOOKUP(SUBSTITUTE(SUBSTITUTE(SUBSTITUTE($EE38,"~","~~"),"*","~*"),"?","~?"),'DADOS_MELHORIAS'!$O$2:$W$113,9,FALSE),0)+IFERROR(VLOOKUP(SUBSTITUTE(SUBSTITUTE(SUBSTITUTE($EF38,"~","~~"),"*","~*"),"?","~?"),'DADOS_MELHORIAS'!$O$2:$W$113,9,FALSE),0)+IFERROR(VLOOKUP(SUBSTITUTE(SUBSTITUTE(SUBSTITUTE($EG38,"~","~~"),"*","~*"),"?","~?"),'DADOS_MELHORIAS'!$O$2:$W$113,9,FALSE),0)+IFERROR(VLOOKUP(SUBSTITUTE(SUBSTITUTE(SUBSTITUTE($EH38,"~","~~"),"*","~*"),"?","~?"),'DADOS_MELHORIAS'!$O$2:$W$113,9,FALSE),0)</f>
        <v/>
      </c>
      <c r="EY38" s="164">
        <f>IF($EL38=0,0,INDEX('DADOS_FORMAS'!$FO$2:$FO$21,$EL38))</f>
        <v/>
      </c>
      <c r="EZ38" s="164">
        <f>IF($EL38=0,0,INDEX('DADOS_FORMAS'!$FP$2:$FP$21,$EL38))</f>
        <v/>
      </c>
      <c r="FA38" s="164">
        <f>IF($EL38=0,0,INDEX('DADOS_FORMAS'!$FR$2:$FR$21,$EL38))</f>
        <v/>
      </c>
      <c r="FB38" s="164">
        <f>IFERROR(VLOOKUP(SUBSTITUTE(SUBSTITUTE(SUBSTITUTE($EI38,"~","~~"),"*","~*"),"?","~?"),'DADOS_RESTRICOES'!$M$2:$Q$54,3,FALSE),0)</f>
        <v/>
      </c>
      <c r="FC38" s="164">
        <f>IFERROR(VLOOKUP(SUBSTITUTE(SUBSTITUTE(SUBSTITUTE($EJ38,"~","~~"),"*","~*"),"?","~?"),'DADOS_RESTRICOES'!$M$2:$Q$54,3,FALSE),0)</f>
        <v/>
      </c>
      <c r="FD38" s="164">
        <f>IFERROR(VLOOKUP(SUBSTITUTE(SUBSTITUTE(SUBSTITUTE($EI38,"~","~~"),"*","~*"),"?","~?"),'DADOS_RESTRICOES'!$M$2:$Q$54,2,FALSE),"")</f>
        <v/>
      </c>
      <c r="FE38" s="164">
        <f>IFERROR(VLOOKUP(SUBSTITUTE(SUBSTITUTE(SUBSTITUTE($EJ38,"~","~~"),"*","~*"),"?","~?"),'DADOS_RESTRICOES'!$M$2:$Q$54,2,FALSE),"")</f>
        <v/>
      </c>
      <c r="FF38" s="164">
        <f>COUNTIF($EM38:$EQ38,1)</f>
        <v/>
      </c>
      <c r="FG38" s="164">
        <f>COUNTIF($EM38:$EQ38,2)</f>
        <v/>
      </c>
      <c r="FH38" s="164">
        <f>COUNTIF($EM38:$EQ38,3)</f>
        <v/>
      </c>
      <c r="FI38" s="164">
        <f>COUNTIF($EM38:$EQ38,4)</f>
        <v/>
      </c>
      <c r="FJ38" s="164">
        <f>COUNTIF($EM38:$EQ38,5)</f>
        <v/>
      </c>
      <c r="FK38" s="164">
        <f>COUNTIF($EM38:$EQ38,6)</f>
        <v/>
      </c>
      <c r="FL38" s="164">
        <f>COUNTIF($FB38:$FC38,1)+IF(IFERROR(INDEX('DADOS_FORMAS'!$AS$2:$AS$21,MATCH(SUBSTITUTE(SUBSTITUTE(SUBSTITUTE($ED38,"~","~~"),"*","~*"),"?","~?"),'DADOS_FORMAS'!$AH$2:$AH$21,0)),"")="",0,IFERROR(N(VLOOKUP(SUBSTITUTE(SUBSTITUTE(SUBSTITUTE(IFERROR(INDEX('DADOS_FORMAS'!$AS$2:$AS$21,MATCH(SUBSTITUTE(SUBSTITUTE(SUBSTITUTE($ED38,"~","~~"),"*","~*"),"?","~?"),'DADOS_FORMAS'!$AH$2:$AH$21,0)),""),"~","~~"),"*","~*"),"?","~?"),'DADOS_RESTRICOES'!$M$2:$Q$54,3,FALSE)=1),0))</f>
        <v/>
      </c>
      <c r="FM38" s="164">
        <f>COUNTIF($FB38:$FC38,2)+IF(IFERROR(INDEX('DADOS_FORMAS'!$AS$2:$AS$21,MATCH(SUBSTITUTE(SUBSTITUTE(SUBSTITUTE($ED38,"~","~~"),"*","~*"),"?","~?"),'DADOS_FORMAS'!$AH$2:$AH$21,0)),"")="",0,IFERROR(N(VLOOKUP(SUBSTITUTE(SUBSTITUTE(SUBSTITUTE(IFERROR(INDEX('DADOS_FORMAS'!$AS$2:$AS$21,MATCH(SUBSTITUTE(SUBSTITUTE(SUBSTITUTE($ED38,"~","~~"),"*","~*"),"?","~?"),'DADOS_FORMAS'!$AH$2:$AH$21,0)),""),"~","~~"),"*","~*"),"?","~?"),'DADOS_RESTRICOES'!$M$2:$Q$54,3,FALSE)=2),0))</f>
        <v/>
      </c>
      <c r="FN38" s="164">
        <f>COUNTIF($EE38:$EH38,"?*")</f>
        <v/>
      </c>
      <c r="FO38" s="164">
        <f>COUNTIF($EI38:$EJ38,"?*")+$EY38</f>
        <v/>
      </c>
      <c r="FP38" s="164">
        <f>SUMPRODUCT($FF38:$FK38,INDEX($Q$2:$V$8,$EB38,0))</f>
        <v/>
      </c>
      <c r="FQ38" s="164">
        <f>$FL38*CEILING($EB38/2,1)+$FM38*$EB38</f>
        <v/>
      </c>
      <c r="FR38" s="164">
        <f>MIN(2*$EB38,$FQ38)</f>
        <v/>
      </c>
      <c r="FS38" s="164">
        <f>MIN($FR38,$FP38-IF($EM38=0,0,INDEX($Q$2:$V$8,$EB38,$EM38)))</f>
        <v/>
      </c>
      <c r="FT38" s="164">
        <f>$FR38-$FS38</f>
        <v/>
      </c>
      <c r="FU38" s="164">
        <f>3*$EB38-$FP38+$FS38</f>
        <v/>
      </c>
      <c r="FV38" s="164">
        <f>MAX(0,$FU38)+$DZ38*$EB38</f>
        <v/>
      </c>
      <c r="FW38" s="164">
        <f>(IF(COUNTIF($KW38:$KZ38,"Salto")&gt;0,1,0)+IF(COUNTIF($KW38:$KZ38,"Queima")&gt;0,1,0)+IF(COUNTIF($KW38:$KZ38,"Estilhaço")&gt;0,1,0))*FLOOR($FV38/2,1)</f>
        <v/>
      </c>
      <c r="FX38" s="164">
        <f>MAX(0,3-SUMPRODUCT($FF38:$FK38,$Q$2:$V$2)+MIN(2,$FL38*1+$FM38*1,SUMPRODUCT($FF38:$FK38,$Q$2:$V$2)-IF($EM38=0,0,INDEX($Q$2:$V$2,1,$EM38))))+$DZ38*1</f>
        <v/>
      </c>
      <c r="FY38" s="164">
        <f>MAX(0,6-SUMPRODUCT($FF38:$FK38,$Q$3:$V$3)+MIN(4,$FL38*1+$FM38*2,SUMPRODUCT($FF38:$FK38,$Q$3:$V$3)-IF($EM38=0,0,INDEX($Q$3:$V$3,1,$EM38))))+$DZ38*2</f>
        <v/>
      </c>
      <c r="FZ38" s="164">
        <f>MAX(0,9-SUMPRODUCT($FF38:$FK38,$Q$4:$V$4)+MIN(6,$FL38*2+$FM38*3,SUMPRODUCT($FF38:$FK38,$Q$4:$V$4)-IF($EM38=0,0,INDEX($Q$4:$V$4,1,$EM38))))+$DZ38*3</f>
        <v/>
      </c>
      <c r="GA38" s="164">
        <f>MAX(0,12-SUMPRODUCT($FF38:$FK38,$Q$5:$V$5)+MIN(8,$FL38*2+$FM38*4,SUMPRODUCT($FF38:$FK38,$Q$5:$V$5)-IF($EM38=0,0,INDEX($Q$5:$V$5,1,$EM38))))+$DZ38*4</f>
        <v/>
      </c>
      <c r="GB38" s="164">
        <f>MAX(0,15-SUMPRODUCT($FF38:$FK38,$Q$6:$V$6)+MIN(10,$FL38*3+$FM38*5,SUMPRODUCT($FF38:$FK38,$Q$6:$V$6)-IF($EM38=0,0,INDEX($Q$6:$V$6,1,$EM38))))+$DZ38*5</f>
        <v/>
      </c>
      <c r="GC38" s="164">
        <f>MAX(0,18-SUMPRODUCT($FF38:$FK38,$Q$7:$V$7)+MIN(12,$FL38*3+$FM38*6,SUMPRODUCT($FF38:$FK38,$Q$7:$V$7)-IF($EM38=0,0,INDEX($Q$7:$V$7,1,$EM38))))+$DZ38*6</f>
        <v/>
      </c>
      <c r="GD38" s="164">
        <f>MAX(0,21-SUMPRODUCT($FF38:$FK38,$Q$8:$V$8)+MIN(14,$FL38*4+$FM38*7,SUMPRODUCT($FF38:$FK38,$Q$8:$V$8)-IF($EM38=0,0,INDEX($Q$8:$V$8,1,$EM38))))+$DZ38*7</f>
        <v/>
      </c>
      <c r="GE38" s="164">
        <f>IF($EZ38=2,3*$FX38&amp;" de vida temp.",IF($EZ38=3,"sem dano",IF($FX38=0,IF($EZ38=1,"sem cura","sem dano"),IF($EZ38=1,"cura ","")&amp;$FX38&amp;"d8")))</f>
        <v/>
      </c>
      <c r="GF38" s="164">
        <f>IF($EZ38=2,3*$FY38&amp;" de vida temp.",IF($EZ38=3,"sem dano",IF($FY38=0,IF($EZ38=1,"sem cura","sem dano"),IF($EZ38=1,"cura ","")&amp;$FY38&amp;"d8")))</f>
        <v/>
      </c>
      <c r="GG38" s="164">
        <f>IF($EZ38=2,3*$FZ38&amp;" de vida temp.",IF($EZ38=3,"sem dano",IF($FZ38=0,IF($EZ38=1,"sem cura","sem dano"),IF($EZ38=1,"cura ","")&amp;$FZ38&amp;"d8")))</f>
        <v/>
      </c>
      <c r="GH38" s="164">
        <f>IF($EZ38=2,3*$GA38&amp;" de vida temp.",IF($EZ38=3,"sem dano",IF($GA38=0,IF($EZ38=1,"sem cura","sem dano"),IF($EZ38=1,"cura ","")&amp;$GA38&amp;"d8")))</f>
        <v/>
      </c>
      <c r="GI38" s="164">
        <f>IF($EZ38=2,3*$GB38&amp;" de vida temp.",IF($EZ38=3,"sem dano",IF($GB38=0,IF($EZ38=1,"sem cura","sem dano"),IF($EZ38=1,"cura ","")&amp;$GB38&amp;"d8")))</f>
        <v/>
      </c>
      <c r="GJ38" s="164">
        <f>IF($EZ38=2,3*$GC38&amp;" de vida temp.",IF($EZ38=3,"sem dano",IF($GC38=0,IF($EZ38=1,"sem cura","sem dano"),IF($EZ38=1,"cura ","")&amp;$GC38&amp;"d8")))</f>
        <v/>
      </c>
      <c r="GK38" s="164">
        <f>IF($EZ38=2,3*$GD38&amp;" de vida temp.",IF($EZ38=3,"sem dano",IF($GD38=0,IF($EZ38=1,"sem cura","sem dano"),IF($EZ38=1,"cura ","")&amp;$GD38&amp;"d8")))</f>
        <v/>
      </c>
      <c r="GL38" s="164">
        <f>IF($EK38=0,"",TEXTJOIN(" · ",TRUE,IF($EK38=0,"",TEXTJOIN(" · ",TRUE,IF($EK38=0,"",TEXTJOIN(" · ",TRUE,IF(AND($DZ38=1,$EA38&gt;$HM$9),"O nível "&amp;$HM$2&amp;" dá "&amp;$HM$9&amp;" Liberação Máxima",""),IF($EB38&gt;$HM$4,"Classe "&amp;$EB38&amp;": o nível "&amp;$HM$2&amp;" libera até a "&amp;$HM$4,""),IF($ER38=1,"Família Fechada: a Forma "&amp;$ED38,""),IF($ES38=1,"Família Fechada: "&amp;$EE38,""),IF($ET38=1,"Família Fechada: "&amp;$EF38,""),IF($EU38=1,"Família Fechada: "&amp;$EG38,""),IF($EV38=1,"Família Fechada: "&amp;$EH38,""),IF($FN38&gt;INDEX($W$2:$W$8,$EB38),$FN38&amp;" Melhorias: a Classe "&amp;$EB38&amp;" aceita "&amp;INDEX($W$2:$W$8,$EB38),""),IF($FO38&gt;2,$FO38&amp;" Restrições"&amp;IF($EY38=1,", contando a que a Forma "&amp;$ED38&amp;" já traz","")&amp;": o limite é 2",""),IF($FU38&lt;0,"Orçamento estourado: faltam "&amp;(-$FU38)&amp;IF($FU38&lt;-1," pontos"," ponto"),""),IF(IFERROR(VLOOKUP(SUBSTITUTE(SUBSTITUTE(SUBSTITUTE($EI38,"~","~~"),"*","~*"),"?","~?"),'DADOS_RESTRICOES'!$M$2:$Q$54,4,FALSE),0)+IFERROR(VLOOKUP(SUBSTITUTE(SUBSTITUTE(SUBSTITUTE($EJ38,"~","~~"),"*","~*"),"?","~?"),'DADOS_RESTRICOES'!$M$2:$Q$54,4,FALSE),0)&gt;1,$FD38&amp;" e "&amp;$FE38&amp;" são as duas de frequência",""),IF(AND((COUNTIF($KW38:$KZ38,"Rápido")+COUNTIF($FD38:$FE38,"Rápido"))&gt;0,(COUNTIF($EE38:$EH38,"Atrasar")+COUNTIF($FD38:$FE38,"Atrasar"))&gt;0),"Rápido não entra com Atrasar",""),IF(AND((COUNTIF($KW38:$KZ38,"Reação")+COUNTIF($FD38:$FE38,"Reação"))&gt;0,(COUNTIF($KW38:$KZ38,"Rápido")+COUNTIF($FD38:$FE38,"Rápido"))&gt;0),"Reação não entra com Rápido",""),IF(AND((COUNTIF($KW38:$KZ38,"Reação")+COUNTIF($FD38:$FE38,"Reação"))&gt;0,(COUNTIF($KW38:$KZ38,"Armado")+COUNTIF($FD38:$FE38,"Armado"))&gt;0),"Reação não entra com Armado",""),IF(AND((COUNTIF($KW38:$KZ38,"Reação")+COUNTIF($FD38:$FE38,"Reação"))&gt;0,(COUNTIF($EE38:$EH38,"Atrasar")+COUNTIF($FD38:$FE38,"Atrasar"))&gt;0),"Reação não entra com Atrasar",""),IF(AND((COUNTIF($KW38:$KZ38,"Reação")+COUNTIF($FD38:$FE38,"Reação"))&gt;0,(COUNTIF($EE38:$EH38,"Parado")+COUNTIF($FD38:$FE38,"Parado"))&gt;0),"Reação não entra com Parado",""),IF(AND((COUNTIF($EE38:$EH38,"Atrasar")+COUNTIF($FD38:$FE38,"Atrasar"))&gt;0,(COUNTIF($EE38:$EH38,"Parado")+COUNTIF($FD38:$FE38,"Parado"))&gt;0),"Atrasar não entra com Parado",""),IF(AND((COUNTIF($KW38:$KZ38,"Armado")+COUNTIF($FD38:$FE38,"Armado"))&gt;0,(COUNTIF($EE38:$EH38,"Carregar")+COUNTIF($FD38:$FE38,"Carregar"))&gt;0),"Armado não entra com Carregar",""),IF(AND(COUNTIF($FD38:$FE38,"Corpo a Corpo")&gt;0,$EY38=0,OR($LB38="Cone",$LB38="Linha")),"Corpo a Corpo não entra em "&amp;$ED38,""),IF(AND(COUNTIF($FD38:$FE38,"Corpo a Corpo")&gt;0,$LC38="Corpo a Corpo"),"A Forma "&amp;$ED38&amp;" já traz o Corpo a Corpo",""),IF(AND(COUNTIF($FD38:$FE38,"Tudo ou Nada")&gt;0,$FA38=0),"Tudo ou Nada só entra em feitiço de Teste de Resistência",""),IF(AND(COUNTIF($KW38:$KZ38,"Inescapável")&gt;0,OR($FN38&gt;1,$FO38&gt;0)),"Inescapável não aceita outra peça",""),IF(AND($DZ38=1,$EB38&lt;3),"Liberação Máxima é de Classe 3 ou mais",""),IF(AND($DZ38=1,OR($EZ38=1,$EZ38=2)),"Liberação Máxima não serve para cura",""),IF(AND($DZ38=1,COUNTIF($KW38:$KZ38,"Inescapável")+COUNTIF($KW38:$KZ38,"Toca a Alma")&gt;0),"Esta peça não entra numa Liberação Máxima",""),IF($FV38*IF(COUNTIF($KW38:$KZ38,"Remate")&gt;0,1.25,1)+$FW38&gt;4*$EB38,($FV38*IF(COUNTIF($KW38:$KZ38,"Remate")&gt;0,1.25,1)+$FW38)&amp;" dados somando repetições"&amp;IF(COUNTIF($KW38:$KZ38,"Remate")&gt;0," e o Remate","")&amp;": o teto da Classe "&amp;$EB38&amp;" é "&amp;4*$EB38,""))),IF(AND($EE38&lt;&gt;"",COUNTIF('DADOS_MELHORIAS'!$O$2:$O$113,SUBSTITUTE(SUBSTITUTE(SUBSTITUTE($EE38,"~","~~"),"*","~*"),"?","~?"))=0),"Melhoria não cadastrada ou com erro: "&amp;$EE38,""),IF(AND($EF38&lt;&gt;"",COUNTIF('DADOS_MELHORIAS'!$O$2:$O$113,SUBSTITUTE(SUBSTITUTE(SUBSTITUTE($EF38,"~","~~"),"*","~*"),"?","~?"))=0),"Melhoria não cadastrada ou com erro: "&amp;$EF38,""),IF(AND($EG38&lt;&gt;"",COUNTIF('DADOS_MELHORIAS'!$O$2:$O$113,SUBSTITUTE(SUBSTITUTE(SUBSTITUTE($EG38,"~","~~"),"*","~*"),"?","~?"))=0),"Melhoria não cadastrada ou com erro: "&amp;$EG38,""),IF(AND($EH38&lt;&gt;"",COUNTIF('DADOS_MELHORIAS'!$O$2:$O$113,SUBSTITUTE(SUBSTITUTE(SUBSTITUTE($EH38,"~","~~"),"*","~*"),"?","~?"))=0),"Melhoria não cadastrada ou com erro: "&amp;$EH38,""),IF(AND($EI38&lt;&gt;"",COUNTIF('DADOS_RESTRICOES'!$M$2:$M$54,SUBSTITUTE(SUBSTITUTE(SUBSTITUTE($EI38,"~","~~"),"*","~*"),"?","~?"))=0),"Restrição não cadastrada ou com erro: "&amp;$EI38,""),IF(AND($EJ38&lt;&gt;"",COUNTIF('DADOS_RESTRICOES'!$M$2:$M$54,SUBSTITUTE(SUBSTITUTE(SUBSTITUTE($EJ38,"~","~~"),"*","~*"),"?","~?"))=0),"Restrição não cadastrada ou com erro: "&amp;$EJ38,""))),IF(AND($ED38&lt;&gt;"",COUNTIF('DADOS_FORMAS'!$AH$2:$AH$21,SUBSTITUTE(SUBSTITUTE(SUBSTITUTE($ED38,"~","~~"),"*","~*"),"?","~?"))=0),"Forma não cadastrada ou com erro: "&amp;$ED38,""),IF(AND(IFERROR(INDEX('DADOS_FORMAS'!$AS$2:$AS$21,MATCH(SUBSTITUTE(SUBSTITUTE(SUBSTITUTE($ED38,"~","~~"),"*","~*"),"?","~?"),'DADOS_FORMAS'!$AH$2:$AH$21,0)),"")&lt;&gt;"",OR(IFERROR(VLOOKUP(SUBSTITUTE(SUBSTITUTE(SUBSTITUTE(IFERROR(INDEX('DADOS_FORMAS'!$AS$2:$AS$21,MATCH(SUBSTITUTE(SUBSTITUTE(SUBSTITUTE($ED38,"~","~~"),"*","~*"),"?","~?"),'DADOS_FORMAS'!$AH$2:$AH$21,0)),""),"~","~~"),"*","~*"),"?","~?"),'DADOS_RESTRICOES'!$M$2:$Q$54,2,FALSE),"")=$FD38,IFERROR(VLOOKUP(SUBSTITUTE(SUBSTITUTE(SUBSTITUTE(IFERROR(INDEX('DADOS_FORMAS'!$AS$2:$AS$21,MATCH(SUBSTITUTE(SUBSTITUTE(SUBSTITUTE($ED38,"~","~~"),"*","~*"),"?","~?"),'DADOS_FORMAS'!$AH$2:$AH$21,0)),""),"~","~~"),"*","~*"),"?","~?"),'DADOS_RESTRICOES'!$M$2:$Q$54,2,FALSE),"")=$FE38)),"Restrição repetida, contando a embutida",""),IF(IF(IFERROR(INDEX('DADOS_FORMAS'!$AS$2:$AS$21,MATCH(SUBSTITUTE(SUBSTITUTE(SUBSTITUTE($ED38,"~","~~"),"*","~*"),"?","~?"),'DADOS_FORMAS'!$AH$2:$AH$21,0)),"")="",0,IFERROR(N(VLOOKUP(SUBSTITUTE(SUBSTITUTE(SUBSTITUTE(IFERROR(INDEX('DADOS_FORMAS'!$AS$2:$AS$21,MATCH(SUBSTITUTE(SUBSTITUTE(SUBSTITUTE($ED38,"~","~~"),"*","~*"),"?","~?"),'DADOS_FORMAS'!$AH$2:$AH$21,0)),""),"~","~~"),"*","~*"),"?","~?"),'DADOS_RESTRICOES'!$M$2:$Q$54,4,FALSE)=1),0))+IF($EI38="",0,IFERROR(N(VLOOKUP(SUBSTITUTE(SUBSTITUTE(SUBSTITUTE($EI38,"~","~~"),"*","~*"),"?","~?"),'DADOS_RESTRICOES'!$M$2:$Q$54,4,FALSE)=1),0))+IF($EJ38="",0,IFERROR(N(VLOOKUP(SUBSTITUTE(SUBSTITUTE(SUBSTITUTE($EJ38,"~","~~"),"*","~*"),"?","~?"),'DADOS_RESTRICOES'!$M$2:$Q$54,4,FALSE)=1),0))&gt;1,"Duas Restrições de frequência, contando a embutida",""),IF(AND(IFERROR(VLOOKUP(SUBSTITUTE(SUBSTITUTE(SUBSTITUTE(IFERROR(INDEX('DADOS_FORMAS'!$AS$2:$AS$21,MATCH(SUBSTITUTE(SUBSTITUTE(SUBSTITUTE($ED38,"~","~~"),"*","~*"),"?","~?"),'DADOS_FORMAS'!$AH$2:$AH$21,0)),""),"~","~~"),"*","~*"),"?","~?"),'DADOS_RESTRICOES'!$M$2:$Q$54,2,FALSE),"")="Tudo ou Nada",$FA38=0),"Tudo ou Nada exige TR",""),IF(AND(IFERROR(VLOOKUP(SUBSTITUTE(SUBSTITUTE(SUBSTITUTE(IFERROR(INDEX('DADOS_FORMAS'!$AS$2:$AS$21,MATCH(SUBSTITUTE(SUBSTITUTE(SUBSTITUTE($ED38,"~","~~"),"*","~*"),"?","~?"),'DADOS_FORMAS'!$AH$2:$AH$21,0)),""),"~","~~"),"*","~*"),"?","~?"),'DADOS_RESTRICOES'!$M$2:$Q$54,2,FALSE),"")="Corpo a Corpo",OR($LB38="Cone",$LB38="Linha")),"Corpo a Corpo não entra em Cone/Linha","")))</f>
        <v/>
      </c>
      <c r="GM38" s="164">
        <f>IF($GL38="",0,(LEN($GL38)-LEN(SUBSTITUTE($GL38," · ","")))/3+1)</f>
        <v/>
      </c>
      <c r="GN38" s="164">
        <f>IF($EK38=0,"",TEXTJOIN(" · ",TRUE,IF($FQ38&gt;2*$EB38,"A devolução parou no teto de "&amp;2*$EB38,""),IF($FT38&gt;0,"Devolução perdida: "&amp;$FT38&amp;IF($FT38&gt;1," pontos"," ponto")&amp;" sem Melhoria para pagar",""),IF(AND($EW38&gt;0,$FV38=0),"Controle sem dano: uma rodada a mais e CD +2",""),IF(AND($EW38&gt;0,$FV38&gt;0,$FV38&lt;=$EB38),"Controle com saldo até a Classe: uma rodada a mais","")))</f>
        <v/>
      </c>
      <c r="GO38" s="164">
        <f>IF($GN38="",0,(LEN($GN38)-LEN(SUBSTITUTE($GN38," · ","")))/3+1)</f>
        <v/>
      </c>
      <c r="GP38" s="164">
        <f>IF($EK38=0,IF($FN38+$FO38-$EY38&gt;0,"Dê um nome",""),IF($GM38&gt;0,"⚠ "&amp;$GM38&amp;IF($GM38&gt;1," erros"," erro"),IF($GO38&gt;0,"! "&amp;$GO38&amp;IF($GO38&gt;1," avisos"," aviso"),"Na regra")))</f>
        <v/>
      </c>
      <c r="GQ38" s="164">
        <f>IF($EK38=0,"",IF($GM38+$GO38=0,"Dentro das regras que a ficha confere",$GL38&amp;IF(AND($GM38&gt;0,$GO38&gt;0)," · ","")&amp;$GN38))</f>
        <v/>
      </c>
      <c r="GR38" s="164">
        <f>IF($EK38=0,"",IF($DZ38=1,CEILING(4.5*$EB38,1),3*$EB38)&amp;" PE")</f>
        <v/>
      </c>
      <c r="GS38" s="164">
        <f>IF($EK38=0,"",IF($DZ38=1,"Rodada inteira",IF(COUNTIF($LD38:$LF38,"Atrasar")&gt;0,IF(COUNTIF($LD38:$LF38,"Carregar")&gt;0,"Rodada +1 turno","Rodada inteira"),IF(COUNTIF($KW38:$KZ38,"Rápido")&gt;0,"Bônus",IF(COUNTIF($KW38:$KZ38,"Reação")&gt;0,"Reação","Padrão"))&amp;IF(COUNTIF($LD38:$LF38,"Carregar")&gt;0," +1 turno",""))))</f>
        <v/>
      </c>
      <c r="GT38" s="164">
        <f>IF(OR($EK38=0,$EL38=0),"",IF(COUNTIF($KW38:$KZ38,"Inescapável")&gt;0,"Automático",IF(COUNTIF($KW38:$KZ38,"Certeiro")&gt;0,"TR para metade",IF(AND($EX38&gt;0,$FA38=0,INDEX('DADOS_FORMAS'!$FQ$2:$FQ$21,$EL38)="Acerto"),"Acerto + TR",INDEX('DADOS_FORMAS'!$FQ$2:$FQ$21,$EL38)))))</f>
        <v/>
      </c>
      <c r="GU38" s="164">
        <f>IF(OR($EK38=0,$EL38=0),"",IF(OR($EZ38&gt;=2,$FV38=0),UPPER(LEFT(INDEX($GE38:$GK38,1,$EB38),1))&amp;MID(INDEX($GE38:$GK38,1,$EB38),2,99),UPPER(LEFT(INDEX($GE38:$GK38,1,$EB38),1))&amp;MID(INDEX($GE38:$GK38,1,$EB38),2,99)&amp;" = "&amp;FLOOR($FV38*4.5,1)&amp;IF($FW38&gt;0," · +"&amp;$FW38&amp;"d8","")))</f>
        <v/>
      </c>
      <c r="GV38" s="164">
        <f>COUNTIF($KW38:$KZ38,"Longe")+3*COUNTIF($KW38:$KZ38,"Muito Longe")</f>
        <v/>
      </c>
      <c r="GW38" s="164">
        <f>COUNTIF($KW38:$KZ38,"Maior")+3*COUNTIF($KW38:$KZ38,"Muito Maior")</f>
        <v/>
      </c>
      <c r="GX38" s="164">
        <f>IF($EL38=0,0,CHOOSE(1+INDEX('DADOS_FORMAS'!$FS$2:$FS$21,$EL38),0,$GV38,$GW38,$GV38+$GW38))</f>
        <v/>
      </c>
      <c r="GY38" s="164">
        <f>IF($EL38=0,0,CHOOSE(1+INDEX('DADOS_FORMAS'!$FT$2:$FT$21,$EL38),0,$GV38,$GW38,$GV38+$GW38))</f>
        <v/>
      </c>
      <c r="GZ38" s="164">
        <f>IF(OR($EK38=0,$EL38=0),"",INDEX('DADOS_FORMAS'!$GZ$2:$HE$61,($EL38-1)*3+IF($EB38&gt;=6,3,2),1+MIN(5,$GX38))&amp;INDEX('DADOS_FORMAS'!$HF$2:$HK$61,($EL38-1)*3+IF($EB38&gt;=6,3,2),1+MIN(5,$GY38))&amp;IF(INDEX('DADOS_FORMAS'!$FU$2:$FU$21,$EL38)=1,IF(COUNTIF($KW38:$KZ38,"Mais Um")&gt;0," · +"&amp;COUNTIF($KW38:$KZ38,"Mais Um")&amp;IF(COUNTIF($KW38:$KZ38,"Mais Um")&gt;1," alvos"," alvo"),"")&amp;IF(COUNTIF($KW38:$KZ38,"Rajada")&gt;0," · "&amp;($EB38+1)&amp;" tiros",""),""))</f>
        <v/>
      </c>
      <c r="HA38" s="164">
        <f>IF($EK38=0,"",3*$EB38&amp;" − "&amp;$FP38&amp;" + "&amp;$FS38&amp;IF($DZ38=1," + "&amp;$EB38,"")&amp;" = "&amp;$FV38&amp;"d8 · teto "&amp;4*$EB38&amp;IF($EY38=1," · a Forma devolve "&amp;$EB38,"")&amp;IF($FT38&gt;0," · perde "&amp;$FT38,""))</f>
        <v/>
      </c>
      <c r="HB38" s="164">
        <f>IF($EK38=0,"",IF($EB38&gt;=$HM$4,"Já está na maior Classe que o nível liberou",TEXTJOIN(" · ",TRUE,IF(AND(2&gt;$EB38,2&lt;=$HM$4),"2 → "&amp;$GF38&amp;", "&amp;IF($DZ38=1,9,6)&amp;" PE",""),IF(AND(3&gt;$EB38,3&lt;=$HM$4),"3 → "&amp;$GG38&amp;", "&amp;IF($DZ38=1,14,9)&amp;" PE",""),IF(AND(4&gt;$EB38,4&lt;=$HM$4),"4 → "&amp;$GH38&amp;", "&amp;IF($DZ38=1,18,12)&amp;" PE",""),IF(AND(5&gt;$EB38,5&lt;=$HM$4),"5 → "&amp;$GI38&amp;", "&amp;IF($DZ38=1,23,15)&amp;" PE",""),IF(AND(6&gt;$EB38,6&lt;=$HM$4),"6 → "&amp;$GJ38&amp;", "&amp;IF($DZ38=1,27,18)&amp;" PE",""),IF(AND(7&gt;$EB38,7&lt;=$HM$4),"7 → "&amp;$GK38&amp;", "&amp;IF($DZ38=1,32,21)&amp;" PE",""))))</f>
        <v/>
      </c>
      <c r="HC38" s="164">
        <f>IF(OR($EK38=0,$EN38=0),"","−"&amp;INDEX($Q$2:$V$8,$EB38,$EN38)&amp;" · "&amp;CHOOSE($EN38,"Leve","Média","Pesada","Leve · Livre","Média · Livre","Pesada · Livre"))</f>
        <v/>
      </c>
      <c r="HD38" s="164">
        <f>IF(OR($EK38=0,$EO38=0),"","−"&amp;INDEX($Q$2:$V$8,$EB38,$EO38)&amp;" · "&amp;CHOOSE($EO38,"Leve","Média","Pesada","Leve · Livre","Média · Livre","Pesada · Livre"))</f>
        <v/>
      </c>
      <c r="HE38" s="164">
        <f>IF(OR($EK38=0,$EP38=0),"","−"&amp;INDEX($Q$2:$V$8,$EB38,$EP38)&amp;" · "&amp;CHOOSE($EP38,"Leve","Média","Pesada","Leve · Livre","Média · Livre","Pesada · Livre"))</f>
        <v/>
      </c>
      <c r="HF38" s="164">
        <f>IF(OR($EK38=0,$EQ38=0),"","−"&amp;INDEX($Q$2:$V$8,$EB38,$EQ38)&amp;" · "&amp;CHOOSE($EQ38,"Leve","Média","Pesada","Leve · Livre","Média · Livre","Pesada · Livre"))</f>
        <v/>
      </c>
      <c r="HG38" s="164">
        <f>IF(OR($EK38=0,$EI38=""),"","+"&amp;IF($FB38=1,CEILING($EB38/2,1),$EB38))</f>
        <v/>
      </c>
      <c r="HH38" s="164">
        <f>IF(OR($EK38=0,$EJ38=""),"","+"&amp;IF($FC38=1,CEILING($EB38/2,1),$EB38))</f>
        <v/>
      </c>
      <c r="HI38" s="164">
        <f>'FICHA AMALDIÇOADA'!$D$334&amp;""</f>
        <v/>
      </c>
      <c r="HJ38" s="164">
        <f>IF(AND($EK38=1,$DZ38=0),COUNTIFS($EK$2:$EK38,1,$DZ$2:$DZ38,0),"")</f>
        <v/>
      </c>
      <c r="HL38" s="162" t="inlineStr">
        <is>
          <t>gasto da técnica máxima</t>
        </is>
      </c>
      <c r="HM38" s="164">
        <f>IF(IFERROR(VLOOKUP(SUBSTITUTE(SUBSTITUTE(SUBSTITUTE('FICHA AMALDIÇOADA'!$J$356,"~","~~"),"*","~*"),"?","~?"),'DADOS_FORMAS'!$FJ$2:$FM$21,4,FALSE),0)=0,0,INDEX($Q$2:$V$8,$HM$4,IFERROR(VLOOKUP(SUBSTITUTE(SUBSTITUTE(SUBSTITUTE('FICHA AMALDIÇOADA'!$J$356,"~","~~"),"*","~*"),"?","~?"),'DADOS_FORMAS'!$FJ$2:$FM$21,4,FALSE),0)))+IF(IFERROR(VLOOKUP(SUBSTITUTE(SUBSTITUTE(SUBSTITUTE('FICHA AMALDIÇOADA'!$J$359,"~","~~"),"*","~*"),"?","~?"),'DADOS_MELHORIAS'!$O$2:$W$113,4,FALSE),0)=0,0,INDEX($Q$2:$V$8,$HM$4,IFERROR(VLOOKUP(SUBSTITUTE(SUBSTITUTE(SUBSTITUTE('FICHA AMALDIÇOADA'!$J$359,"~","~~"),"*","~*"),"?","~?"),'DADOS_MELHORIAS'!$O$2:$W$113,4,FALSE),0)))+IF(IFERROR(VLOOKUP(SUBSTITUTE(SUBSTITUTE(SUBSTITUTE('FICHA AMALDIÇOADA'!$L$359,"~","~~"),"*","~*"),"?","~?"),'DADOS_MELHORIAS'!$O$2:$W$113,4,FALSE),0)=0,0,INDEX($Q$2:$V$8,$HM$4,IFERROR(VLOOKUP(SUBSTITUTE(SUBSTITUTE(SUBSTITUTE('FICHA AMALDIÇOADA'!$L$359,"~","~~"),"*","~*"),"?","~?"),'DADOS_MELHORIAS'!$O$2:$W$113,4,FALSE),0)))+IF(IFERROR(VLOOKUP(SUBSTITUTE(SUBSTITUTE(SUBSTITUTE('FICHA AMALDIÇOADA'!$P$359,"~","~~"),"*","~*"),"?","~?"),'DADOS_MELHORIAS'!$O$2:$W$113,4,FALSE),0)=0,0,INDEX($Q$2:$V$8,$HM$4,IFERROR(VLOOKUP(SUBSTITUTE(SUBSTITUTE(SUBSTITUTE('FICHA AMALDIÇOADA'!$P$359,"~","~~"),"*","~*"),"?","~?"),'DADOS_MELHORIAS'!$O$2:$W$113,4,FALSE),0)))+IF(IFERROR(VLOOKUP(SUBSTITUTE(SUBSTITUTE(SUBSTITUTE('FICHA AMALDIÇOADA'!$R$359,"~","~~"),"*","~*"),"?","~?"),'DADOS_MELHORIAS'!$O$2:$W$113,4,FALSE),0)=0,0,INDEX($Q$2:$V$8,$HM$4,IFERROR(VLOOKUP(SUBSTITUTE(SUBSTITUTE(SUBSTITUTE('FICHA AMALDIÇOADA'!$R$359,"~","~~"),"*","~*"),"?","~?"),'DADOS_MELHORIAS'!$O$2:$W$113,4,FALSE),0)))</f>
        <v/>
      </c>
      <c r="KU38" s="162" t="inlineStr">
        <is>
          <t>L356</t>
        </is>
      </c>
      <c r="KV38" s="164">
        <f>IF(DADOS_AM!$HM$36=0,"Nível 17",DADOS_AM!$HM$36&amp;"d8 = "&amp;FLOOR(DADOS_AM!$HM$36*4.5,1))</f>
        <v/>
      </c>
      <c r="KW38">
        <f>IF($EE38="","",IFERROR(VLOOKUP(SUBSTITUTE(SUBSTITUTE(SUBSTITUTE($EE38,"~","~~"),"*","~*"),"?","~?"),'DADOS_MELHORIAS'!$O$2:$X$113,10,FALSE),$EE38))</f>
        <v/>
      </c>
      <c r="KX38">
        <f>IF($EF38="","",IFERROR(VLOOKUP(SUBSTITUTE(SUBSTITUTE(SUBSTITUTE($EF38,"~","~~"),"*","~*"),"?","~?"),'DADOS_MELHORIAS'!$O$2:$X$113,10,FALSE),$EF38))</f>
        <v/>
      </c>
      <c r="KY38">
        <f>IF($EG38="","",IFERROR(VLOOKUP(SUBSTITUTE(SUBSTITUTE(SUBSTITUTE($EG38,"~","~~"),"*","~*"),"?","~?"),'DADOS_MELHORIAS'!$O$2:$X$113,10,FALSE),$EG38))</f>
        <v/>
      </c>
      <c r="KZ38">
        <f>IF($EH38="","",IFERROR(VLOOKUP(SUBSTITUTE(SUBSTITUTE(SUBSTITUTE($EH38,"~","~~"),"*","~*"),"?","~?"),'DADOS_MELHORIAS'!$O$2:$X$113,10,FALSE),$EH38))</f>
        <v/>
      </c>
      <c r="LB38">
        <f>IFERROR(INDEX('DADOS_FORMAS'!$BJ$2:$BJ$21,MATCH(SUBSTITUTE(SUBSTITUTE(SUBSTITUTE($ED38,"~","~~"),"*","~*"),"?","~?"),'DADOS_FORMAS'!$AH$2:$AH$21,0)),"")</f>
        <v/>
      </c>
      <c r="LC38">
        <f>IFERROR(VLOOKUP(SUBSTITUTE(SUBSTITUTE(SUBSTITUTE(IFERROR(INDEX('DADOS_FORMAS'!$AS$2:$AS$21,MATCH(SUBSTITUTE(SUBSTITUTE(SUBSTITUTE($ED38,"~","~~"),"*","~*"),"?","~?"),'DADOS_FORMAS'!$AH$2:$AH$21,0)),""),"~","~~"),"*","~*"),"?","~?"),'DADOS_RESTRICOES'!$M$2:$Q$54,2,FALSE),"")</f>
        <v/>
      </c>
      <c r="LD38">
        <f>$FD38</f>
        <v/>
      </c>
      <c r="LE38">
        <f>$FE38</f>
        <v/>
      </c>
      <c r="LF38">
        <f>$LC38</f>
        <v/>
      </c>
    </row>
    <row r="39">
      <c r="BC39" s="162" t="inlineStr">
        <is>
          <t>Desarma o Feitiço</t>
        </is>
      </c>
      <c r="BD39" s="162" t="inlineStr">
        <is>
          <t>Controle</t>
        </is>
      </c>
      <c r="BE39" s="164" t="n">
        <v>2</v>
      </c>
      <c r="BF39" s="164">
        <f>$BE39+3*IFERROR(VLOOKUP($BD39,'DADOS_CRIACAO'!$H$2:$K$20,3,FALSE),0)</f>
        <v/>
      </c>
      <c r="BG39" s="164">
        <f>IFERROR(VLOOKUP($BD39,'DADOS_CRIACAO'!$H$2:$K$20,4,FALSE),0)</f>
        <v/>
      </c>
      <c r="BH39" s="164" t="n">
        <v>1</v>
      </c>
      <c r="BI39" s="164">
        <f>IF($BG39=1,"",$BC39)</f>
        <v/>
      </c>
      <c r="BJ39" s="164">
        <f>IF(AND($BE39=1,$BG39=0),$BC39,"")</f>
        <v/>
      </c>
      <c r="BK39" s="164" t="n">
        <v>0</v>
      </c>
      <c r="DY39" s="162" t="inlineStr">
        <is>
          <t>Liberação 2</t>
        </is>
      </c>
      <c r="DZ39" s="164" t="n">
        <v>1</v>
      </c>
      <c r="EA39" s="164" t="n">
        <v>2</v>
      </c>
      <c r="EB39" s="164">
        <f>MAX(1,MIN(7,N('FICHA AMALDIÇOADA'!$J$332)))</f>
        <v/>
      </c>
      <c r="EC39" s="164">
        <f>'FICHA AMALDIÇOADA'!$K$332&amp;""</f>
        <v/>
      </c>
      <c r="ED39" s="164">
        <f>'FICHA AMALDIÇOADA'!$J$339&amp;""</f>
        <v/>
      </c>
      <c r="EE39" s="164">
        <f>'FICHA AMALDIÇOADA'!$K$341&amp;""</f>
        <v/>
      </c>
      <c r="EF39" s="164">
        <f>'FICHA AMALDIÇOADA'!$K$342&amp;""</f>
        <v/>
      </c>
      <c r="EG39" s="164">
        <f>'FICHA AMALDIÇOADA'!$K$343&amp;""</f>
        <v/>
      </c>
      <c r="EH39" s="164">
        <f>'FICHA AMALDIÇOADA'!$K$344&amp;""</f>
        <v/>
      </c>
      <c r="EI39" s="164">
        <f>'FICHA AMALDIÇOADA'!$K$345&amp;""</f>
        <v/>
      </c>
      <c r="EJ39" s="164">
        <f>'FICHA AMALDIÇOADA'!$K$346&amp;""</f>
        <v/>
      </c>
      <c r="EK39" s="164">
        <f>IF($EC39&lt;&gt;"",1,0)</f>
        <v/>
      </c>
      <c r="EL39" s="164">
        <f>IFERROR(MATCH(SUBSTITUTE(SUBSTITUTE(SUBSTITUTE($ED39,"~","~~"),"*","~*"),"?","~?"),'DADOS_FORMAS'!$FJ$2:$FJ$21,0),0)</f>
        <v/>
      </c>
      <c r="EM39" s="164">
        <f>IF($EL39=0,0,INDEX('DADOS_FORMAS'!$FM$2:$FM$21,$EL39))</f>
        <v/>
      </c>
      <c r="EN39" s="164">
        <f>IFERROR(VLOOKUP(SUBSTITUTE(SUBSTITUTE(SUBSTITUTE($EE39,"~","~~"),"*","~*"),"?","~?"),'DADOS_MELHORIAS'!$O$2:$W$113,4,FALSE),0)</f>
        <v/>
      </c>
      <c r="EO39" s="164">
        <f>IFERROR(VLOOKUP(SUBSTITUTE(SUBSTITUTE(SUBSTITUTE($EF39,"~","~~"),"*","~*"),"?","~?"),'DADOS_MELHORIAS'!$O$2:$W$113,4,FALSE),0)</f>
        <v/>
      </c>
      <c r="EP39" s="164">
        <f>IFERROR(VLOOKUP(SUBSTITUTE(SUBSTITUTE(SUBSTITUTE($EG39,"~","~~"),"*","~*"),"?","~?"),'DADOS_MELHORIAS'!$O$2:$W$113,4,FALSE),0)</f>
        <v/>
      </c>
      <c r="EQ39" s="164">
        <f>IFERROR(VLOOKUP(SUBSTITUTE(SUBSTITUTE(SUBSTITUTE($EH39,"~","~~"),"*","~*"),"?","~?"),'DADOS_MELHORIAS'!$O$2:$W$113,4,FALSE),0)</f>
        <v/>
      </c>
      <c r="ER39" s="164">
        <f>IF($EL39=0,0,INDEX('DADOS_FORMAS'!$FN$2:$FN$21,$EL39))</f>
        <v/>
      </c>
      <c r="ES39" s="164">
        <f>IFERROR(VLOOKUP(SUBSTITUTE(SUBSTITUTE(SUBSTITUTE($EE39,"~","~~"),"*","~*"),"?","~?"),'DADOS_MELHORIAS'!$O$2:$W$113,5,FALSE),0)</f>
        <v/>
      </c>
      <c r="ET39" s="164">
        <f>IFERROR(VLOOKUP(SUBSTITUTE(SUBSTITUTE(SUBSTITUTE($EF39,"~","~~"),"*","~*"),"?","~?"),'DADOS_MELHORIAS'!$O$2:$W$113,5,FALSE),0)</f>
        <v/>
      </c>
      <c r="EU39" s="164">
        <f>IFERROR(VLOOKUP(SUBSTITUTE(SUBSTITUTE(SUBSTITUTE($EG39,"~","~~"),"*","~*"),"?","~?"),'DADOS_MELHORIAS'!$O$2:$W$113,5,FALSE),0)</f>
        <v/>
      </c>
      <c r="EV39" s="164">
        <f>IFERROR(VLOOKUP(SUBSTITUTE(SUBSTITUTE(SUBSTITUTE($EH39,"~","~~"),"*","~*"),"?","~?"),'DADOS_MELHORIAS'!$O$2:$W$113,5,FALSE),0)</f>
        <v/>
      </c>
      <c r="EW39" s="164">
        <f>IFERROR(VLOOKUP(SUBSTITUTE(SUBSTITUTE(SUBSTITUTE($EE39,"~","~~"),"*","~*"),"?","~?"),'DADOS_MELHORIAS'!$O$2:$W$113,6,FALSE),0)+IFERROR(VLOOKUP(SUBSTITUTE(SUBSTITUTE(SUBSTITUTE($EF39,"~","~~"),"*","~*"),"?","~?"),'DADOS_MELHORIAS'!$O$2:$W$113,6,FALSE),0)+IFERROR(VLOOKUP(SUBSTITUTE(SUBSTITUTE(SUBSTITUTE($EG39,"~","~~"),"*","~*"),"?","~?"),'DADOS_MELHORIAS'!$O$2:$W$113,6,FALSE),0)+IFERROR(VLOOKUP(SUBSTITUTE(SUBSTITUTE(SUBSTITUTE($EH39,"~","~~"),"*","~*"),"?","~?"),'DADOS_MELHORIAS'!$O$2:$W$113,6,FALSE),0)</f>
        <v/>
      </c>
      <c r="EX39" s="164">
        <f>IFERROR(VLOOKUP(SUBSTITUTE(SUBSTITUTE(SUBSTITUTE($EE39,"~","~~"),"*","~*"),"?","~?"),'DADOS_MELHORIAS'!$O$2:$W$113,9,FALSE),0)+IFERROR(VLOOKUP(SUBSTITUTE(SUBSTITUTE(SUBSTITUTE($EF39,"~","~~"),"*","~*"),"?","~?"),'DADOS_MELHORIAS'!$O$2:$W$113,9,FALSE),0)+IFERROR(VLOOKUP(SUBSTITUTE(SUBSTITUTE(SUBSTITUTE($EG39,"~","~~"),"*","~*"),"?","~?"),'DADOS_MELHORIAS'!$O$2:$W$113,9,FALSE),0)+IFERROR(VLOOKUP(SUBSTITUTE(SUBSTITUTE(SUBSTITUTE($EH39,"~","~~"),"*","~*"),"?","~?"),'DADOS_MELHORIAS'!$O$2:$W$113,9,FALSE),0)</f>
        <v/>
      </c>
      <c r="EY39" s="164">
        <f>IF($EL39=0,0,INDEX('DADOS_FORMAS'!$FO$2:$FO$21,$EL39))</f>
        <v/>
      </c>
      <c r="EZ39" s="164">
        <f>IF($EL39=0,0,INDEX('DADOS_FORMAS'!$FP$2:$FP$21,$EL39))</f>
        <v/>
      </c>
      <c r="FA39" s="164">
        <f>IF($EL39=0,0,INDEX('DADOS_FORMAS'!$FR$2:$FR$21,$EL39))</f>
        <v/>
      </c>
      <c r="FB39" s="164">
        <f>IFERROR(VLOOKUP(SUBSTITUTE(SUBSTITUTE(SUBSTITUTE($EI39,"~","~~"),"*","~*"),"?","~?"),'DADOS_RESTRICOES'!$M$2:$Q$54,3,FALSE),0)</f>
        <v/>
      </c>
      <c r="FC39" s="164">
        <f>IFERROR(VLOOKUP(SUBSTITUTE(SUBSTITUTE(SUBSTITUTE($EJ39,"~","~~"),"*","~*"),"?","~?"),'DADOS_RESTRICOES'!$M$2:$Q$54,3,FALSE),0)</f>
        <v/>
      </c>
      <c r="FD39" s="164">
        <f>IFERROR(VLOOKUP(SUBSTITUTE(SUBSTITUTE(SUBSTITUTE($EI39,"~","~~"),"*","~*"),"?","~?"),'DADOS_RESTRICOES'!$M$2:$Q$54,2,FALSE),"")</f>
        <v/>
      </c>
      <c r="FE39" s="164">
        <f>IFERROR(VLOOKUP(SUBSTITUTE(SUBSTITUTE(SUBSTITUTE($EJ39,"~","~~"),"*","~*"),"?","~?"),'DADOS_RESTRICOES'!$M$2:$Q$54,2,FALSE),"")</f>
        <v/>
      </c>
      <c r="FF39" s="164">
        <f>COUNTIF($EM39:$EQ39,1)</f>
        <v/>
      </c>
      <c r="FG39" s="164">
        <f>COUNTIF($EM39:$EQ39,2)</f>
        <v/>
      </c>
      <c r="FH39" s="164">
        <f>COUNTIF($EM39:$EQ39,3)</f>
        <v/>
      </c>
      <c r="FI39" s="164">
        <f>COUNTIF($EM39:$EQ39,4)</f>
        <v/>
      </c>
      <c r="FJ39" s="164">
        <f>COUNTIF($EM39:$EQ39,5)</f>
        <v/>
      </c>
      <c r="FK39" s="164">
        <f>COUNTIF($EM39:$EQ39,6)</f>
        <v/>
      </c>
      <c r="FL39" s="164">
        <f>COUNTIF($FB39:$FC39,1)+IF(IFERROR(INDEX('DADOS_FORMAS'!$AS$2:$AS$21,MATCH(SUBSTITUTE(SUBSTITUTE(SUBSTITUTE($ED39,"~","~~"),"*","~*"),"?","~?"),'DADOS_FORMAS'!$AH$2:$AH$21,0)),"")="",0,IFERROR(N(VLOOKUP(SUBSTITUTE(SUBSTITUTE(SUBSTITUTE(IFERROR(INDEX('DADOS_FORMAS'!$AS$2:$AS$21,MATCH(SUBSTITUTE(SUBSTITUTE(SUBSTITUTE($ED39,"~","~~"),"*","~*"),"?","~?"),'DADOS_FORMAS'!$AH$2:$AH$21,0)),""),"~","~~"),"*","~*"),"?","~?"),'DADOS_RESTRICOES'!$M$2:$Q$54,3,FALSE)=1),0))</f>
        <v/>
      </c>
      <c r="FM39" s="164">
        <f>COUNTIF($FB39:$FC39,2)+IF(IFERROR(INDEX('DADOS_FORMAS'!$AS$2:$AS$21,MATCH(SUBSTITUTE(SUBSTITUTE(SUBSTITUTE($ED39,"~","~~"),"*","~*"),"?","~?"),'DADOS_FORMAS'!$AH$2:$AH$21,0)),"")="",0,IFERROR(N(VLOOKUP(SUBSTITUTE(SUBSTITUTE(SUBSTITUTE(IFERROR(INDEX('DADOS_FORMAS'!$AS$2:$AS$21,MATCH(SUBSTITUTE(SUBSTITUTE(SUBSTITUTE($ED39,"~","~~"),"*","~*"),"?","~?"),'DADOS_FORMAS'!$AH$2:$AH$21,0)),""),"~","~~"),"*","~*"),"?","~?"),'DADOS_RESTRICOES'!$M$2:$Q$54,3,FALSE)=2),0))</f>
        <v/>
      </c>
      <c r="FN39" s="164">
        <f>COUNTIF($EE39:$EH39,"?*")</f>
        <v/>
      </c>
      <c r="FO39" s="164">
        <f>COUNTIF($EI39:$EJ39,"?*")+$EY39</f>
        <v/>
      </c>
      <c r="FP39" s="164">
        <f>SUMPRODUCT($FF39:$FK39,INDEX($Q$2:$V$8,$EB39,0))</f>
        <v/>
      </c>
      <c r="FQ39" s="164">
        <f>$FL39*CEILING($EB39/2,1)+$FM39*$EB39</f>
        <v/>
      </c>
      <c r="FR39" s="164">
        <f>MIN(2*$EB39,$FQ39)</f>
        <v/>
      </c>
      <c r="FS39" s="164">
        <f>MIN($FR39,$FP39-IF($EM39=0,0,INDEX($Q$2:$V$8,$EB39,$EM39)))</f>
        <v/>
      </c>
      <c r="FT39" s="164">
        <f>$FR39-$FS39</f>
        <v/>
      </c>
      <c r="FU39" s="164">
        <f>3*$EB39-$FP39+$FS39</f>
        <v/>
      </c>
      <c r="FV39" s="164">
        <f>MAX(0,$FU39)+$DZ39*$EB39</f>
        <v/>
      </c>
      <c r="FW39" s="164">
        <f>(IF(COUNTIF($KW39:$KZ39,"Salto")&gt;0,1,0)+IF(COUNTIF($KW39:$KZ39,"Queima")&gt;0,1,0)+IF(COUNTIF($KW39:$KZ39,"Estilhaço")&gt;0,1,0))*FLOOR($FV39/2,1)</f>
        <v/>
      </c>
      <c r="FX39" s="164">
        <f>MAX(0,3-SUMPRODUCT($FF39:$FK39,$Q$2:$V$2)+MIN(2,$FL39*1+$FM39*1,SUMPRODUCT($FF39:$FK39,$Q$2:$V$2)-IF($EM39=0,0,INDEX($Q$2:$V$2,1,$EM39))))+$DZ39*1</f>
        <v/>
      </c>
      <c r="FY39" s="164">
        <f>MAX(0,6-SUMPRODUCT($FF39:$FK39,$Q$3:$V$3)+MIN(4,$FL39*1+$FM39*2,SUMPRODUCT($FF39:$FK39,$Q$3:$V$3)-IF($EM39=0,0,INDEX($Q$3:$V$3,1,$EM39))))+$DZ39*2</f>
        <v/>
      </c>
      <c r="FZ39" s="164">
        <f>MAX(0,9-SUMPRODUCT($FF39:$FK39,$Q$4:$V$4)+MIN(6,$FL39*2+$FM39*3,SUMPRODUCT($FF39:$FK39,$Q$4:$V$4)-IF($EM39=0,0,INDEX($Q$4:$V$4,1,$EM39))))+$DZ39*3</f>
        <v/>
      </c>
      <c r="GA39" s="164">
        <f>MAX(0,12-SUMPRODUCT($FF39:$FK39,$Q$5:$V$5)+MIN(8,$FL39*2+$FM39*4,SUMPRODUCT($FF39:$FK39,$Q$5:$V$5)-IF($EM39=0,0,INDEX($Q$5:$V$5,1,$EM39))))+$DZ39*4</f>
        <v/>
      </c>
      <c r="GB39" s="164">
        <f>MAX(0,15-SUMPRODUCT($FF39:$FK39,$Q$6:$V$6)+MIN(10,$FL39*3+$FM39*5,SUMPRODUCT($FF39:$FK39,$Q$6:$V$6)-IF($EM39=0,0,INDEX($Q$6:$V$6,1,$EM39))))+$DZ39*5</f>
        <v/>
      </c>
      <c r="GC39" s="164">
        <f>MAX(0,18-SUMPRODUCT($FF39:$FK39,$Q$7:$V$7)+MIN(12,$FL39*3+$FM39*6,SUMPRODUCT($FF39:$FK39,$Q$7:$V$7)-IF($EM39=0,0,INDEX($Q$7:$V$7,1,$EM39))))+$DZ39*6</f>
        <v/>
      </c>
      <c r="GD39" s="164">
        <f>MAX(0,21-SUMPRODUCT($FF39:$FK39,$Q$8:$V$8)+MIN(14,$FL39*4+$FM39*7,SUMPRODUCT($FF39:$FK39,$Q$8:$V$8)-IF($EM39=0,0,INDEX($Q$8:$V$8,1,$EM39))))+$DZ39*7</f>
        <v/>
      </c>
      <c r="GE39" s="164">
        <f>IF($EZ39=2,3*$FX39&amp;" de vida temp.",IF($EZ39=3,"sem dano",IF($FX39=0,IF($EZ39=1,"sem cura","sem dano"),IF($EZ39=1,"cura ","")&amp;$FX39&amp;"d8")))</f>
        <v/>
      </c>
      <c r="GF39" s="164">
        <f>IF($EZ39=2,3*$FY39&amp;" de vida temp.",IF($EZ39=3,"sem dano",IF($FY39=0,IF($EZ39=1,"sem cura","sem dano"),IF($EZ39=1,"cura ","")&amp;$FY39&amp;"d8")))</f>
        <v/>
      </c>
      <c r="GG39" s="164">
        <f>IF($EZ39=2,3*$FZ39&amp;" de vida temp.",IF($EZ39=3,"sem dano",IF($FZ39=0,IF($EZ39=1,"sem cura","sem dano"),IF($EZ39=1,"cura ","")&amp;$FZ39&amp;"d8")))</f>
        <v/>
      </c>
      <c r="GH39" s="164">
        <f>IF($EZ39=2,3*$GA39&amp;" de vida temp.",IF($EZ39=3,"sem dano",IF($GA39=0,IF($EZ39=1,"sem cura","sem dano"),IF($EZ39=1,"cura ","")&amp;$GA39&amp;"d8")))</f>
        <v/>
      </c>
      <c r="GI39" s="164">
        <f>IF($EZ39=2,3*$GB39&amp;" de vida temp.",IF($EZ39=3,"sem dano",IF($GB39=0,IF($EZ39=1,"sem cura","sem dano"),IF($EZ39=1,"cura ","")&amp;$GB39&amp;"d8")))</f>
        <v/>
      </c>
      <c r="GJ39" s="164">
        <f>IF($EZ39=2,3*$GC39&amp;" de vida temp.",IF($EZ39=3,"sem dano",IF($GC39=0,IF($EZ39=1,"sem cura","sem dano"),IF($EZ39=1,"cura ","")&amp;$GC39&amp;"d8")))</f>
        <v/>
      </c>
      <c r="GK39" s="164">
        <f>IF($EZ39=2,3*$GD39&amp;" de vida temp.",IF($EZ39=3,"sem dano",IF($GD39=0,IF($EZ39=1,"sem cura","sem dano"),IF($EZ39=1,"cura ","")&amp;$GD39&amp;"d8")))</f>
        <v/>
      </c>
      <c r="GL39" s="164">
        <f>IF($EK39=0,"",TEXTJOIN(" · ",TRUE,IF($EK39=0,"",TEXTJOIN(" · ",TRUE,IF($EK39=0,"",TEXTJOIN(" · ",TRUE,IF(AND($DZ39=1,$EA39&gt;$HM$9),"O nível "&amp;$HM$2&amp;" dá "&amp;$HM$9&amp;" Liberação Máxima",""),IF($EB39&gt;$HM$4,"Classe "&amp;$EB39&amp;": o nível "&amp;$HM$2&amp;" libera até a "&amp;$HM$4,""),IF($ER39=1,"Família Fechada: a Forma "&amp;$ED39,""),IF($ES39=1,"Família Fechada: "&amp;$EE39,""),IF($ET39=1,"Família Fechada: "&amp;$EF39,""),IF($EU39=1,"Família Fechada: "&amp;$EG39,""),IF($EV39=1,"Família Fechada: "&amp;$EH39,""),IF($FN39&gt;INDEX($W$2:$W$8,$EB39),$FN39&amp;" Melhorias: a Classe "&amp;$EB39&amp;" aceita "&amp;INDEX($W$2:$W$8,$EB39),""),IF($FO39&gt;2,$FO39&amp;" Restrições"&amp;IF($EY39=1,", contando a que a Forma "&amp;$ED39&amp;" já traz","")&amp;": o limite é 2",""),IF($FU39&lt;0,"Orçamento estourado: faltam "&amp;(-$FU39)&amp;IF($FU39&lt;-1," pontos"," ponto"),""),IF(IFERROR(VLOOKUP(SUBSTITUTE(SUBSTITUTE(SUBSTITUTE($EI39,"~","~~"),"*","~*"),"?","~?"),'DADOS_RESTRICOES'!$M$2:$Q$54,4,FALSE),0)+IFERROR(VLOOKUP(SUBSTITUTE(SUBSTITUTE(SUBSTITUTE($EJ39,"~","~~"),"*","~*"),"?","~?"),'DADOS_RESTRICOES'!$M$2:$Q$54,4,FALSE),0)&gt;1,$FD39&amp;" e "&amp;$FE39&amp;" são as duas de frequência",""),IF(AND((COUNTIF($KW39:$KZ39,"Rápido")+COUNTIF($FD39:$FE39,"Rápido"))&gt;0,(COUNTIF($EE39:$EH39,"Atrasar")+COUNTIF($FD39:$FE39,"Atrasar"))&gt;0),"Rápido não entra com Atrasar",""),IF(AND((COUNTIF($KW39:$KZ39,"Reação")+COUNTIF($FD39:$FE39,"Reação"))&gt;0,(COUNTIF($KW39:$KZ39,"Rápido")+COUNTIF($FD39:$FE39,"Rápido"))&gt;0),"Reação não entra com Rápido",""),IF(AND((COUNTIF($KW39:$KZ39,"Reação")+COUNTIF($FD39:$FE39,"Reação"))&gt;0,(COUNTIF($KW39:$KZ39,"Armado")+COUNTIF($FD39:$FE39,"Armado"))&gt;0),"Reação não entra com Armado",""),IF(AND((COUNTIF($KW39:$KZ39,"Reação")+COUNTIF($FD39:$FE39,"Reação"))&gt;0,(COUNTIF($EE39:$EH39,"Atrasar")+COUNTIF($FD39:$FE39,"Atrasar"))&gt;0),"Reação não entra com Atrasar",""),IF(AND((COUNTIF($KW39:$KZ39,"Reação")+COUNTIF($FD39:$FE39,"Reação"))&gt;0,(COUNTIF($EE39:$EH39,"Parado")+COUNTIF($FD39:$FE39,"Parado"))&gt;0),"Reação não entra com Parado",""),IF(AND((COUNTIF($EE39:$EH39,"Atrasar")+COUNTIF($FD39:$FE39,"Atrasar"))&gt;0,(COUNTIF($EE39:$EH39,"Parado")+COUNTIF($FD39:$FE39,"Parado"))&gt;0),"Atrasar não entra com Parado",""),IF(AND((COUNTIF($KW39:$KZ39,"Armado")+COUNTIF($FD39:$FE39,"Armado"))&gt;0,(COUNTIF($EE39:$EH39,"Carregar")+COUNTIF($FD39:$FE39,"Carregar"))&gt;0),"Armado não entra com Carregar",""),IF(AND(COUNTIF($FD39:$FE39,"Corpo a Corpo")&gt;0,$EY39=0,OR($LB39="Cone",$LB39="Linha")),"Corpo a Corpo não entra em "&amp;$ED39,""),IF(AND(COUNTIF($FD39:$FE39,"Corpo a Corpo")&gt;0,$LC39="Corpo a Corpo"),"A Forma "&amp;$ED39&amp;" já traz o Corpo a Corpo",""),IF(AND(COUNTIF($FD39:$FE39,"Tudo ou Nada")&gt;0,$FA39=0),"Tudo ou Nada só entra em feitiço de Teste de Resistência",""),IF(AND(COUNTIF($KW39:$KZ39,"Inescapável")&gt;0,OR($FN39&gt;1,$FO39&gt;0)),"Inescapável não aceita outra peça",""),IF(AND($DZ39=1,$EB39&lt;3),"Liberação Máxima é de Classe 3 ou mais",""),IF(AND($DZ39=1,OR($EZ39=1,$EZ39=2)),"Liberação Máxima não serve para cura",""),IF(AND($DZ39=1,COUNTIF($KW39:$KZ39,"Inescapável")+COUNTIF($KW39:$KZ39,"Toca a Alma")&gt;0),"Esta peça não entra numa Liberação Máxima",""),IF($FV39*IF(COUNTIF($KW39:$KZ39,"Remate")&gt;0,1.25,1)+$FW39&gt;4*$EB39,($FV39*IF(COUNTIF($KW39:$KZ39,"Remate")&gt;0,1.25,1)+$FW39)&amp;" dados somando repetições"&amp;IF(COUNTIF($KW39:$KZ39,"Remate")&gt;0," e o Remate","")&amp;": o teto da Classe "&amp;$EB39&amp;" é "&amp;4*$EB39,""))),IF(AND($EE39&lt;&gt;"",COUNTIF('DADOS_MELHORIAS'!$O$2:$O$113,SUBSTITUTE(SUBSTITUTE(SUBSTITUTE($EE39,"~","~~"),"*","~*"),"?","~?"))=0),"Melhoria não cadastrada ou com erro: "&amp;$EE39,""),IF(AND($EF39&lt;&gt;"",COUNTIF('DADOS_MELHORIAS'!$O$2:$O$113,SUBSTITUTE(SUBSTITUTE(SUBSTITUTE($EF39,"~","~~"),"*","~*"),"?","~?"))=0),"Melhoria não cadastrada ou com erro: "&amp;$EF39,""),IF(AND($EG39&lt;&gt;"",COUNTIF('DADOS_MELHORIAS'!$O$2:$O$113,SUBSTITUTE(SUBSTITUTE(SUBSTITUTE($EG39,"~","~~"),"*","~*"),"?","~?"))=0),"Melhoria não cadastrada ou com erro: "&amp;$EG39,""),IF(AND($EH39&lt;&gt;"",COUNTIF('DADOS_MELHORIAS'!$O$2:$O$113,SUBSTITUTE(SUBSTITUTE(SUBSTITUTE($EH39,"~","~~"),"*","~*"),"?","~?"))=0),"Melhoria não cadastrada ou com erro: "&amp;$EH39,""),IF(AND($EI39&lt;&gt;"",COUNTIF('DADOS_RESTRICOES'!$M$2:$M$54,SUBSTITUTE(SUBSTITUTE(SUBSTITUTE($EI39,"~","~~"),"*","~*"),"?","~?"))=0),"Restrição não cadastrada ou com erro: "&amp;$EI39,""),IF(AND($EJ39&lt;&gt;"",COUNTIF('DADOS_RESTRICOES'!$M$2:$M$54,SUBSTITUTE(SUBSTITUTE(SUBSTITUTE($EJ39,"~","~~"),"*","~*"),"?","~?"))=0),"Restrição não cadastrada ou com erro: "&amp;$EJ39,""))),IF(AND($ED39&lt;&gt;"",COUNTIF('DADOS_FORMAS'!$AH$2:$AH$21,SUBSTITUTE(SUBSTITUTE(SUBSTITUTE($ED39,"~","~~"),"*","~*"),"?","~?"))=0),"Forma não cadastrada ou com erro: "&amp;$ED39,""),IF(AND(IFERROR(INDEX('DADOS_FORMAS'!$AS$2:$AS$21,MATCH(SUBSTITUTE(SUBSTITUTE(SUBSTITUTE($ED39,"~","~~"),"*","~*"),"?","~?"),'DADOS_FORMAS'!$AH$2:$AH$21,0)),"")&lt;&gt;"",OR(IFERROR(VLOOKUP(SUBSTITUTE(SUBSTITUTE(SUBSTITUTE(IFERROR(INDEX('DADOS_FORMAS'!$AS$2:$AS$21,MATCH(SUBSTITUTE(SUBSTITUTE(SUBSTITUTE($ED39,"~","~~"),"*","~*"),"?","~?"),'DADOS_FORMAS'!$AH$2:$AH$21,0)),""),"~","~~"),"*","~*"),"?","~?"),'DADOS_RESTRICOES'!$M$2:$Q$54,2,FALSE),"")=$FD39,IFERROR(VLOOKUP(SUBSTITUTE(SUBSTITUTE(SUBSTITUTE(IFERROR(INDEX('DADOS_FORMAS'!$AS$2:$AS$21,MATCH(SUBSTITUTE(SUBSTITUTE(SUBSTITUTE($ED39,"~","~~"),"*","~*"),"?","~?"),'DADOS_FORMAS'!$AH$2:$AH$21,0)),""),"~","~~"),"*","~*"),"?","~?"),'DADOS_RESTRICOES'!$M$2:$Q$54,2,FALSE),"")=$FE39)),"Restrição repetida, contando a embutida",""),IF(IF(IFERROR(INDEX('DADOS_FORMAS'!$AS$2:$AS$21,MATCH(SUBSTITUTE(SUBSTITUTE(SUBSTITUTE($ED39,"~","~~"),"*","~*"),"?","~?"),'DADOS_FORMAS'!$AH$2:$AH$21,0)),"")="",0,IFERROR(N(VLOOKUP(SUBSTITUTE(SUBSTITUTE(SUBSTITUTE(IFERROR(INDEX('DADOS_FORMAS'!$AS$2:$AS$21,MATCH(SUBSTITUTE(SUBSTITUTE(SUBSTITUTE($ED39,"~","~~"),"*","~*"),"?","~?"),'DADOS_FORMAS'!$AH$2:$AH$21,0)),""),"~","~~"),"*","~*"),"?","~?"),'DADOS_RESTRICOES'!$M$2:$Q$54,4,FALSE)=1),0))+IF($EI39="",0,IFERROR(N(VLOOKUP(SUBSTITUTE(SUBSTITUTE(SUBSTITUTE($EI39,"~","~~"),"*","~*"),"?","~?"),'DADOS_RESTRICOES'!$M$2:$Q$54,4,FALSE)=1),0))+IF($EJ39="",0,IFERROR(N(VLOOKUP(SUBSTITUTE(SUBSTITUTE(SUBSTITUTE($EJ39,"~","~~"),"*","~*"),"?","~?"),'DADOS_RESTRICOES'!$M$2:$Q$54,4,FALSE)=1),0))&gt;1,"Duas Restrições de frequência, contando a embutida",""),IF(AND(IFERROR(VLOOKUP(SUBSTITUTE(SUBSTITUTE(SUBSTITUTE(IFERROR(INDEX('DADOS_FORMAS'!$AS$2:$AS$21,MATCH(SUBSTITUTE(SUBSTITUTE(SUBSTITUTE($ED39,"~","~~"),"*","~*"),"?","~?"),'DADOS_FORMAS'!$AH$2:$AH$21,0)),""),"~","~~"),"*","~*"),"?","~?"),'DADOS_RESTRICOES'!$M$2:$Q$54,2,FALSE),"")="Tudo ou Nada",$FA39=0),"Tudo ou Nada exige TR",""),IF(AND(IFERROR(VLOOKUP(SUBSTITUTE(SUBSTITUTE(SUBSTITUTE(IFERROR(INDEX('DADOS_FORMAS'!$AS$2:$AS$21,MATCH(SUBSTITUTE(SUBSTITUTE(SUBSTITUTE($ED39,"~","~~"),"*","~*"),"?","~?"),'DADOS_FORMAS'!$AH$2:$AH$21,0)),""),"~","~~"),"*","~*"),"?","~?"),'DADOS_RESTRICOES'!$M$2:$Q$54,2,FALSE),"")="Corpo a Corpo",OR($LB39="Cone",$LB39="Linha")),"Corpo a Corpo não entra em Cone/Linha","")))</f>
        <v/>
      </c>
      <c r="GM39" s="164">
        <f>IF($GL39="",0,(LEN($GL39)-LEN(SUBSTITUTE($GL39," · ","")))/3+1)</f>
        <v/>
      </c>
      <c r="GN39" s="164">
        <f>IF($EK39=0,"",TEXTJOIN(" · ",TRUE,IF($FQ39&gt;2*$EB39,"A devolução parou no teto de "&amp;2*$EB39,""),IF($FT39&gt;0,"Devolução perdida: "&amp;$FT39&amp;IF($FT39&gt;1," pontos"," ponto")&amp;" sem Melhoria para pagar",""),IF(AND($EW39&gt;0,$FV39=0),"Controle sem dano: uma rodada a mais e CD +2",""),IF(AND($EW39&gt;0,$FV39&gt;0,$FV39&lt;=$EB39),"Controle com saldo até a Classe: uma rodada a mais","")))</f>
        <v/>
      </c>
      <c r="GO39" s="164">
        <f>IF($GN39="",0,(LEN($GN39)-LEN(SUBSTITUTE($GN39," · ","")))/3+1)</f>
        <v/>
      </c>
      <c r="GP39" s="164">
        <f>IF($EK39=0,IF($FN39+$FO39-$EY39&gt;0,"Dê um nome",""),IF($GM39&gt;0,"⚠ "&amp;$GM39&amp;IF($GM39&gt;1," erros"," erro"),IF($GO39&gt;0,"! "&amp;$GO39&amp;IF($GO39&gt;1," avisos"," aviso"),"Na regra")))</f>
        <v/>
      </c>
      <c r="GQ39" s="164">
        <f>IF($EK39=0,"",IF($GM39+$GO39=0,"Dentro das regras que a ficha confere",$GL39&amp;IF(AND($GM39&gt;0,$GO39&gt;0)," · ","")&amp;$GN39))</f>
        <v/>
      </c>
      <c r="GR39" s="164">
        <f>IF($EK39=0,"",IF($DZ39=1,CEILING(4.5*$EB39,1),3*$EB39)&amp;" PE")</f>
        <v/>
      </c>
      <c r="GS39" s="164">
        <f>IF($EK39=0,"",IF($DZ39=1,"Rodada inteira",IF(COUNTIF($LD39:$LF39,"Atrasar")&gt;0,IF(COUNTIF($LD39:$LF39,"Carregar")&gt;0,"Rodada +1 turno","Rodada inteira"),IF(COUNTIF($KW39:$KZ39,"Rápido")&gt;0,"Bônus",IF(COUNTIF($KW39:$KZ39,"Reação")&gt;0,"Reação","Padrão"))&amp;IF(COUNTIF($LD39:$LF39,"Carregar")&gt;0," +1 turno",""))))</f>
        <v/>
      </c>
      <c r="GT39" s="164">
        <f>IF(OR($EK39=0,$EL39=0),"",IF(COUNTIF($KW39:$KZ39,"Inescapável")&gt;0,"Automático",IF(COUNTIF($KW39:$KZ39,"Certeiro")&gt;0,"TR para metade",IF(AND($EX39&gt;0,$FA39=0,INDEX('DADOS_FORMAS'!$FQ$2:$FQ$21,$EL39)="Acerto"),"Acerto + TR",INDEX('DADOS_FORMAS'!$FQ$2:$FQ$21,$EL39)))))</f>
        <v/>
      </c>
      <c r="GU39" s="164">
        <f>IF(OR($EK39=0,$EL39=0),"",IF(OR($EZ39&gt;=2,$FV39=0),UPPER(LEFT(INDEX($GE39:$GK39,1,$EB39),1))&amp;MID(INDEX($GE39:$GK39,1,$EB39),2,99),UPPER(LEFT(INDEX($GE39:$GK39,1,$EB39),1))&amp;MID(INDEX($GE39:$GK39,1,$EB39),2,99)&amp;" = "&amp;FLOOR($FV39*4.5,1)&amp;IF($FW39&gt;0," · +"&amp;$FW39&amp;"d8","")))</f>
        <v/>
      </c>
      <c r="GV39" s="164">
        <f>COUNTIF($KW39:$KZ39,"Longe")+3*COUNTIF($KW39:$KZ39,"Muito Longe")</f>
        <v/>
      </c>
      <c r="GW39" s="164">
        <f>COUNTIF($KW39:$KZ39,"Maior")+3*COUNTIF($KW39:$KZ39,"Muito Maior")</f>
        <v/>
      </c>
      <c r="GX39" s="164">
        <f>IF($EL39=0,0,CHOOSE(1+INDEX('DADOS_FORMAS'!$FS$2:$FS$21,$EL39),0,$GV39,$GW39,$GV39+$GW39))</f>
        <v/>
      </c>
      <c r="GY39" s="164">
        <f>IF($EL39=0,0,CHOOSE(1+INDEX('DADOS_FORMAS'!$FT$2:$FT$21,$EL39),0,$GV39,$GW39,$GV39+$GW39))</f>
        <v/>
      </c>
      <c r="GZ39" s="164">
        <f>IF(OR($EK39=0,$EL39=0),"",INDEX('DADOS_FORMAS'!$GZ$2:$HE$61,($EL39-1)*3+IF($EB39&gt;=6,3,2),1+MIN(5,$GX39))&amp;INDEX('DADOS_FORMAS'!$HF$2:$HK$61,($EL39-1)*3+IF($EB39&gt;=6,3,2),1+MIN(5,$GY39))&amp;IF(INDEX('DADOS_FORMAS'!$FU$2:$FU$21,$EL39)=1,IF(COUNTIF($KW39:$KZ39,"Mais Um")&gt;0," · +"&amp;COUNTIF($KW39:$KZ39,"Mais Um")&amp;IF(COUNTIF($KW39:$KZ39,"Mais Um")&gt;1," alvos"," alvo"),"")&amp;IF(COUNTIF($KW39:$KZ39,"Rajada")&gt;0," · "&amp;($EB39+1)&amp;" tiros",""),""))</f>
        <v/>
      </c>
      <c r="HA39" s="164">
        <f>IF($EK39=0,"",3*$EB39&amp;" − "&amp;$FP39&amp;" + "&amp;$FS39&amp;IF($DZ39=1," + "&amp;$EB39,"")&amp;" = "&amp;$FV39&amp;"d8 · teto "&amp;4*$EB39&amp;IF($EY39=1," · a Forma devolve "&amp;$EB39,"")&amp;IF($FT39&gt;0," · perde "&amp;$FT39,""))</f>
        <v/>
      </c>
      <c r="HB39" s="164">
        <f>IF($EK39=0,"",IF($EB39&gt;=$HM$4,"Já está na maior Classe que o nível liberou",TEXTJOIN(" · ",TRUE,IF(AND(2&gt;$EB39,2&lt;=$HM$4),"2 → "&amp;$GF39&amp;", "&amp;IF($DZ39=1,9,6)&amp;" PE",""),IF(AND(3&gt;$EB39,3&lt;=$HM$4),"3 → "&amp;$GG39&amp;", "&amp;IF($DZ39=1,14,9)&amp;" PE",""),IF(AND(4&gt;$EB39,4&lt;=$HM$4),"4 → "&amp;$GH39&amp;", "&amp;IF($DZ39=1,18,12)&amp;" PE",""),IF(AND(5&gt;$EB39,5&lt;=$HM$4),"5 → "&amp;$GI39&amp;", "&amp;IF($DZ39=1,23,15)&amp;" PE",""),IF(AND(6&gt;$EB39,6&lt;=$HM$4),"6 → "&amp;$GJ39&amp;", "&amp;IF($DZ39=1,27,18)&amp;" PE",""),IF(AND(7&gt;$EB39,7&lt;=$HM$4),"7 → "&amp;$GK39&amp;", "&amp;IF($DZ39=1,32,21)&amp;" PE",""))))</f>
        <v/>
      </c>
      <c r="HC39" s="164">
        <f>IF(OR($EK39=0,$EN39=0),"","−"&amp;INDEX($Q$2:$V$8,$EB39,$EN39)&amp;" · "&amp;CHOOSE($EN39,"Leve","Média","Pesada","Leve · Livre","Média · Livre","Pesada · Livre"))</f>
        <v/>
      </c>
      <c r="HD39" s="164">
        <f>IF(OR($EK39=0,$EO39=0),"","−"&amp;INDEX($Q$2:$V$8,$EB39,$EO39)&amp;" · "&amp;CHOOSE($EO39,"Leve","Média","Pesada","Leve · Livre","Média · Livre","Pesada · Livre"))</f>
        <v/>
      </c>
      <c r="HE39" s="164">
        <f>IF(OR($EK39=0,$EP39=0),"","−"&amp;INDEX($Q$2:$V$8,$EB39,$EP39)&amp;" · "&amp;CHOOSE($EP39,"Leve","Média","Pesada","Leve · Livre","Média · Livre","Pesada · Livre"))</f>
        <v/>
      </c>
      <c r="HF39" s="164">
        <f>IF(OR($EK39=0,$EQ39=0),"","−"&amp;INDEX($Q$2:$V$8,$EB39,$EQ39)&amp;" · "&amp;CHOOSE($EQ39,"Leve","Média","Pesada","Leve · Livre","Média · Livre","Pesada · Livre"))</f>
        <v/>
      </c>
      <c r="HG39" s="164">
        <f>IF(OR($EK39=0,$EI39=""),"","+"&amp;IF($FB39=1,CEILING($EB39/2,1),$EB39))</f>
        <v/>
      </c>
      <c r="HH39" s="164">
        <f>IF(OR($EK39=0,$EJ39=""),"","+"&amp;IF($FC39=1,CEILING($EB39/2,1),$EB39))</f>
        <v/>
      </c>
      <c r="HI39" s="164">
        <f>'FICHA AMALDIÇOADA'!$J$334&amp;""</f>
        <v/>
      </c>
      <c r="HJ39" s="164">
        <f>IF(AND($EK39=1,$DZ39=0),COUNTIFS($EK$2:$EK39,1,$DZ$2:$DZ39,0),"")</f>
        <v/>
      </c>
      <c r="HL39" s="162" t="inlineStr">
        <is>
          <t>fechada na técnica máxima</t>
        </is>
      </c>
      <c r="HM39" s="164">
        <f>IFERROR(VLOOKUP(SUBSTITUTE(SUBSTITUTE(SUBSTITUTE('FICHA AMALDIÇOADA'!$J$356,"~","~~"),"*","~*"),"?","~?"),'DADOS_FORMAS'!$FJ$2:$FN$21,5,FALSE),0)+IFERROR(VLOOKUP(SUBSTITUTE(SUBSTITUTE(SUBSTITUTE('FICHA AMALDIÇOADA'!$J$359,"~","~~"),"*","~*"),"?","~?"),'DADOS_MELHORIAS'!$O$2:$W$113,5,FALSE),0)+IFERROR(VLOOKUP(SUBSTITUTE(SUBSTITUTE(SUBSTITUTE('FICHA AMALDIÇOADA'!$L$359,"~","~~"),"*","~*"),"?","~?"),'DADOS_MELHORIAS'!$O$2:$W$113,5,FALSE),0)+IFERROR(VLOOKUP(SUBSTITUTE(SUBSTITUTE(SUBSTITUTE('FICHA AMALDIÇOADA'!$P$359,"~","~~"),"*","~*"),"?","~?"),'DADOS_MELHORIAS'!$O$2:$W$113,5,FALSE),0)+IFERROR(VLOOKUP(SUBSTITUTE(SUBSTITUTE(SUBSTITUTE('FICHA AMALDIÇOADA'!$R$359,"~","~~"),"*","~*"),"?","~?"),'DADOS_MELHORIAS'!$O$2:$W$113,5,FALSE),0)</f>
        <v/>
      </c>
      <c r="KU39" s="162" t="inlineStr">
        <is>
          <t>P356</t>
        </is>
      </c>
      <c r="KV39" s="164">
        <f>IF(DADOS_AM!$HM$36=0,"—",5*DADOS_AM!$HM$4)</f>
        <v/>
      </c>
      <c r="KW39">
        <f>IF($EE39="","",IFERROR(VLOOKUP(SUBSTITUTE(SUBSTITUTE(SUBSTITUTE($EE39,"~","~~"),"*","~*"),"?","~?"),'DADOS_MELHORIAS'!$O$2:$X$113,10,FALSE),$EE39))</f>
        <v/>
      </c>
      <c r="KX39">
        <f>IF($EF39="","",IFERROR(VLOOKUP(SUBSTITUTE(SUBSTITUTE(SUBSTITUTE($EF39,"~","~~"),"*","~*"),"?","~?"),'DADOS_MELHORIAS'!$O$2:$X$113,10,FALSE),$EF39))</f>
        <v/>
      </c>
      <c r="KY39">
        <f>IF($EG39="","",IFERROR(VLOOKUP(SUBSTITUTE(SUBSTITUTE(SUBSTITUTE($EG39,"~","~~"),"*","~*"),"?","~?"),'DADOS_MELHORIAS'!$O$2:$X$113,10,FALSE),$EG39))</f>
        <v/>
      </c>
      <c r="KZ39">
        <f>IF($EH39="","",IFERROR(VLOOKUP(SUBSTITUTE(SUBSTITUTE(SUBSTITUTE($EH39,"~","~~"),"*","~*"),"?","~?"),'DADOS_MELHORIAS'!$O$2:$X$113,10,FALSE),$EH39))</f>
        <v/>
      </c>
      <c r="LB39">
        <f>IFERROR(INDEX('DADOS_FORMAS'!$BJ$2:$BJ$21,MATCH(SUBSTITUTE(SUBSTITUTE(SUBSTITUTE($ED39,"~","~~"),"*","~*"),"?","~?"),'DADOS_FORMAS'!$AH$2:$AH$21,0)),"")</f>
        <v/>
      </c>
      <c r="LC39">
        <f>IFERROR(VLOOKUP(SUBSTITUTE(SUBSTITUTE(SUBSTITUTE(IFERROR(INDEX('DADOS_FORMAS'!$AS$2:$AS$21,MATCH(SUBSTITUTE(SUBSTITUTE(SUBSTITUTE($ED39,"~","~~"),"*","~*"),"?","~?"),'DADOS_FORMAS'!$AH$2:$AH$21,0)),""),"~","~~"),"*","~*"),"?","~?"),'DADOS_RESTRICOES'!$M$2:$Q$54,2,FALSE),"")</f>
        <v/>
      </c>
      <c r="LD39">
        <f>$FD39</f>
        <v/>
      </c>
      <c r="LE39">
        <f>$FE39</f>
        <v/>
      </c>
      <c r="LF39">
        <f>$LC39</f>
        <v/>
      </c>
    </row>
    <row r="40">
      <c r="BC40" s="162" t="inlineStr">
        <is>
          <t>Anteparo</t>
        </is>
      </c>
      <c r="BD40" s="162" t="inlineStr">
        <is>
          <t>Controle</t>
        </is>
      </c>
      <c r="BE40" s="164" t="n">
        <v>2</v>
      </c>
      <c r="BF40" s="164">
        <f>$BE40+3*IFERROR(VLOOKUP($BD40,'DADOS_CRIACAO'!$H$2:$K$20,3,FALSE),0)</f>
        <v/>
      </c>
      <c r="BG40" s="164">
        <f>IFERROR(VLOOKUP($BD40,'DADOS_CRIACAO'!$H$2:$K$20,4,FALSE),0)</f>
        <v/>
      </c>
      <c r="BH40" s="164" t="n">
        <v>1</v>
      </c>
      <c r="BI40" s="164">
        <f>IF($BG40=1,"",$BC40)</f>
        <v/>
      </c>
      <c r="BJ40" s="164">
        <f>IF(AND($BE40=1,$BG40=0),$BC40,"")</f>
        <v/>
      </c>
      <c r="BK40" s="164" t="n">
        <v>0</v>
      </c>
      <c r="DY40" s="162" t="inlineStr">
        <is>
          <t>Liberação 3</t>
        </is>
      </c>
      <c r="DZ40" s="164" t="n">
        <v>1</v>
      </c>
      <c r="EA40" s="164" t="n">
        <v>3</v>
      </c>
      <c r="EB40" s="164">
        <f>MAX(1,MIN(7,N('FICHA AMALDIÇOADA'!$P$332)))</f>
        <v/>
      </c>
      <c r="EC40" s="164">
        <f>'FICHA AMALDIÇOADA'!$Q$332&amp;""</f>
        <v/>
      </c>
      <c r="ED40" s="164">
        <f>'FICHA AMALDIÇOADA'!$P$339&amp;""</f>
        <v/>
      </c>
      <c r="EE40" s="164">
        <f>'FICHA AMALDIÇOADA'!$Q$341&amp;""</f>
        <v/>
      </c>
      <c r="EF40" s="164">
        <f>'FICHA AMALDIÇOADA'!$Q$342&amp;""</f>
        <v/>
      </c>
      <c r="EG40" s="164">
        <f>'FICHA AMALDIÇOADA'!$Q$343&amp;""</f>
        <v/>
      </c>
      <c r="EH40" s="164">
        <f>'FICHA AMALDIÇOADA'!$Q$344&amp;""</f>
        <v/>
      </c>
      <c r="EI40" s="164">
        <f>'FICHA AMALDIÇOADA'!$Q$345&amp;""</f>
        <v/>
      </c>
      <c r="EJ40" s="164">
        <f>'FICHA AMALDIÇOADA'!$Q$346&amp;""</f>
        <v/>
      </c>
      <c r="EK40" s="164">
        <f>IF($EC40&lt;&gt;"",1,0)</f>
        <v/>
      </c>
      <c r="EL40" s="164">
        <f>IFERROR(MATCH(SUBSTITUTE(SUBSTITUTE(SUBSTITUTE($ED40,"~","~~"),"*","~*"),"?","~?"),'DADOS_FORMAS'!$FJ$2:$FJ$21,0),0)</f>
        <v/>
      </c>
      <c r="EM40" s="164">
        <f>IF($EL40=0,0,INDEX('DADOS_FORMAS'!$FM$2:$FM$21,$EL40))</f>
        <v/>
      </c>
      <c r="EN40" s="164">
        <f>IFERROR(VLOOKUP(SUBSTITUTE(SUBSTITUTE(SUBSTITUTE($EE40,"~","~~"),"*","~*"),"?","~?"),'DADOS_MELHORIAS'!$O$2:$W$113,4,FALSE),0)</f>
        <v/>
      </c>
      <c r="EO40" s="164">
        <f>IFERROR(VLOOKUP(SUBSTITUTE(SUBSTITUTE(SUBSTITUTE($EF40,"~","~~"),"*","~*"),"?","~?"),'DADOS_MELHORIAS'!$O$2:$W$113,4,FALSE),0)</f>
        <v/>
      </c>
      <c r="EP40" s="164">
        <f>IFERROR(VLOOKUP(SUBSTITUTE(SUBSTITUTE(SUBSTITUTE($EG40,"~","~~"),"*","~*"),"?","~?"),'DADOS_MELHORIAS'!$O$2:$W$113,4,FALSE),0)</f>
        <v/>
      </c>
      <c r="EQ40" s="164">
        <f>IFERROR(VLOOKUP(SUBSTITUTE(SUBSTITUTE(SUBSTITUTE($EH40,"~","~~"),"*","~*"),"?","~?"),'DADOS_MELHORIAS'!$O$2:$W$113,4,FALSE),0)</f>
        <v/>
      </c>
      <c r="ER40" s="164">
        <f>IF($EL40=0,0,INDEX('DADOS_FORMAS'!$FN$2:$FN$21,$EL40))</f>
        <v/>
      </c>
      <c r="ES40" s="164">
        <f>IFERROR(VLOOKUP(SUBSTITUTE(SUBSTITUTE(SUBSTITUTE($EE40,"~","~~"),"*","~*"),"?","~?"),'DADOS_MELHORIAS'!$O$2:$W$113,5,FALSE),0)</f>
        <v/>
      </c>
      <c r="ET40" s="164">
        <f>IFERROR(VLOOKUP(SUBSTITUTE(SUBSTITUTE(SUBSTITUTE($EF40,"~","~~"),"*","~*"),"?","~?"),'DADOS_MELHORIAS'!$O$2:$W$113,5,FALSE),0)</f>
        <v/>
      </c>
      <c r="EU40" s="164">
        <f>IFERROR(VLOOKUP(SUBSTITUTE(SUBSTITUTE(SUBSTITUTE($EG40,"~","~~"),"*","~*"),"?","~?"),'DADOS_MELHORIAS'!$O$2:$W$113,5,FALSE),0)</f>
        <v/>
      </c>
      <c r="EV40" s="164">
        <f>IFERROR(VLOOKUP(SUBSTITUTE(SUBSTITUTE(SUBSTITUTE($EH40,"~","~~"),"*","~*"),"?","~?"),'DADOS_MELHORIAS'!$O$2:$W$113,5,FALSE),0)</f>
        <v/>
      </c>
      <c r="EW40" s="164">
        <f>IFERROR(VLOOKUP(SUBSTITUTE(SUBSTITUTE(SUBSTITUTE($EE40,"~","~~"),"*","~*"),"?","~?"),'DADOS_MELHORIAS'!$O$2:$W$113,6,FALSE),0)+IFERROR(VLOOKUP(SUBSTITUTE(SUBSTITUTE(SUBSTITUTE($EF40,"~","~~"),"*","~*"),"?","~?"),'DADOS_MELHORIAS'!$O$2:$W$113,6,FALSE),0)+IFERROR(VLOOKUP(SUBSTITUTE(SUBSTITUTE(SUBSTITUTE($EG40,"~","~~"),"*","~*"),"?","~?"),'DADOS_MELHORIAS'!$O$2:$W$113,6,FALSE),0)+IFERROR(VLOOKUP(SUBSTITUTE(SUBSTITUTE(SUBSTITUTE($EH40,"~","~~"),"*","~*"),"?","~?"),'DADOS_MELHORIAS'!$O$2:$W$113,6,FALSE),0)</f>
        <v/>
      </c>
      <c r="EX40" s="164">
        <f>IFERROR(VLOOKUP(SUBSTITUTE(SUBSTITUTE(SUBSTITUTE($EE40,"~","~~"),"*","~*"),"?","~?"),'DADOS_MELHORIAS'!$O$2:$W$113,9,FALSE),0)+IFERROR(VLOOKUP(SUBSTITUTE(SUBSTITUTE(SUBSTITUTE($EF40,"~","~~"),"*","~*"),"?","~?"),'DADOS_MELHORIAS'!$O$2:$W$113,9,FALSE),0)+IFERROR(VLOOKUP(SUBSTITUTE(SUBSTITUTE(SUBSTITUTE($EG40,"~","~~"),"*","~*"),"?","~?"),'DADOS_MELHORIAS'!$O$2:$W$113,9,FALSE),0)+IFERROR(VLOOKUP(SUBSTITUTE(SUBSTITUTE(SUBSTITUTE($EH40,"~","~~"),"*","~*"),"?","~?"),'DADOS_MELHORIAS'!$O$2:$W$113,9,FALSE),0)</f>
        <v/>
      </c>
      <c r="EY40" s="164">
        <f>IF($EL40=0,0,INDEX('DADOS_FORMAS'!$FO$2:$FO$21,$EL40))</f>
        <v/>
      </c>
      <c r="EZ40" s="164">
        <f>IF($EL40=0,0,INDEX('DADOS_FORMAS'!$FP$2:$FP$21,$EL40))</f>
        <v/>
      </c>
      <c r="FA40" s="164">
        <f>IF($EL40=0,0,INDEX('DADOS_FORMAS'!$FR$2:$FR$21,$EL40))</f>
        <v/>
      </c>
      <c r="FB40" s="164">
        <f>IFERROR(VLOOKUP(SUBSTITUTE(SUBSTITUTE(SUBSTITUTE($EI40,"~","~~"),"*","~*"),"?","~?"),'DADOS_RESTRICOES'!$M$2:$Q$54,3,FALSE),0)</f>
        <v/>
      </c>
      <c r="FC40" s="164">
        <f>IFERROR(VLOOKUP(SUBSTITUTE(SUBSTITUTE(SUBSTITUTE($EJ40,"~","~~"),"*","~*"),"?","~?"),'DADOS_RESTRICOES'!$M$2:$Q$54,3,FALSE),0)</f>
        <v/>
      </c>
      <c r="FD40" s="164">
        <f>IFERROR(VLOOKUP(SUBSTITUTE(SUBSTITUTE(SUBSTITUTE($EI40,"~","~~"),"*","~*"),"?","~?"),'DADOS_RESTRICOES'!$M$2:$Q$54,2,FALSE),"")</f>
        <v/>
      </c>
      <c r="FE40" s="164">
        <f>IFERROR(VLOOKUP(SUBSTITUTE(SUBSTITUTE(SUBSTITUTE($EJ40,"~","~~"),"*","~*"),"?","~?"),'DADOS_RESTRICOES'!$M$2:$Q$54,2,FALSE),"")</f>
        <v/>
      </c>
      <c r="FF40" s="164">
        <f>COUNTIF($EM40:$EQ40,1)</f>
        <v/>
      </c>
      <c r="FG40" s="164">
        <f>COUNTIF($EM40:$EQ40,2)</f>
        <v/>
      </c>
      <c r="FH40" s="164">
        <f>COUNTIF($EM40:$EQ40,3)</f>
        <v/>
      </c>
      <c r="FI40" s="164">
        <f>COUNTIF($EM40:$EQ40,4)</f>
        <v/>
      </c>
      <c r="FJ40" s="164">
        <f>COUNTIF($EM40:$EQ40,5)</f>
        <v/>
      </c>
      <c r="FK40" s="164">
        <f>COUNTIF($EM40:$EQ40,6)</f>
        <v/>
      </c>
      <c r="FL40" s="164">
        <f>COUNTIF($FB40:$FC40,1)+IF(IFERROR(INDEX('DADOS_FORMAS'!$AS$2:$AS$21,MATCH(SUBSTITUTE(SUBSTITUTE(SUBSTITUTE($ED40,"~","~~"),"*","~*"),"?","~?"),'DADOS_FORMAS'!$AH$2:$AH$21,0)),"")="",0,IFERROR(N(VLOOKUP(SUBSTITUTE(SUBSTITUTE(SUBSTITUTE(IFERROR(INDEX('DADOS_FORMAS'!$AS$2:$AS$21,MATCH(SUBSTITUTE(SUBSTITUTE(SUBSTITUTE($ED40,"~","~~"),"*","~*"),"?","~?"),'DADOS_FORMAS'!$AH$2:$AH$21,0)),""),"~","~~"),"*","~*"),"?","~?"),'DADOS_RESTRICOES'!$M$2:$Q$54,3,FALSE)=1),0))</f>
        <v/>
      </c>
      <c r="FM40" s="164">
        <f>COUNTIF($FB40:$FC40,2)+IF(IFERROR(INDEX('DADOS_FORMAS'!$AS$2:$AS$21,MATCH(SUBSTITUTE(SUBSTITUTE(SUBSTITUTE($ED40,"~","~~"),"*","~*"),"?","~?"),'DADOS_FORMAS'!$AH$2:$AH$21,0)),"")="",0,IFERROR(N(VLOOKUP(SUBSTITUTE(SUBSTITUTE(SUBSTITUTE(IFERROR(INDEX('DADOS_FORMAS'!$AS$2:$AS$21,MATCH(SUBSTITUTE(SUBSTITUTE(SUBSTITUTE($ED40,"~","~~"),"*","~*"),"?","~?"),'DADOS_FORMAS'!$AH$2:$AH$21,0)),""),"~","~~"),"*","~*"),"?","~?"),'DADOS_RESTRICOES'!$M$2:$Q$54,3,FALSE)=2),0))</f>
        <v/>
      </c>
      <c r="FN40" s="164">
        <f>COUNTIF($EE40:$EH40,"?*")</f>
        <v/>
      </c>
      <c r="FO40" s="164">
        <f>COUNTIF($EI40:$EJ40,"?*")+$EY40</f>
        <v/>
      </c>
      <c r="FP40" s="164">
        <f>SUMPRODUCT($FF40:$FK40,INDEX($Q$2:$V$8,$EB40,0))</f>
        <v/>
      </c>
      <c r="FQ40" s="164">
        <f>$FL40*CEILING($EB40/2,1)+$FM40*$EB40</f>
        <v/>
      </c>
      <c r="FR40" s="164">
        <f>MIN(2*$EB40,$FQ40)</f>
        <v/>
      </c>
      <c r="FS40" s="164">
        <f>MIN($FR40,$FP40-IF($EM40=0,0,INDEX($Q$2:$V$8,$EB40,$EM40)))</f>
        <v/>
      </c>
      <c r="FT40" s="164">
        <f>$FR40-$FS40</f>
        <v/>
      </c>
      <c r="FU40" s="164">
        <f>3*$EB40-$FP40+$FS40</f>
        <v/>
      </c>
      <c r="FV40" s="164">
        <f>MAX(0,$FU40)+$DZ40*$EB40</f>
        <v/>
      </c>
      <c r="FW40" s="164">
        <f>(IF(COUNTIF($KW40:$KZ40,"Salto")&gt;0,1,0)+IF(COUNTIF($KW40:$KZ40,"Queima")&gt;0,1,0)+IF(COUNTIF($KW40:$KZ40,"Estilhaço")&gt;0,1,0))*FLOOR($FV40/2,1)</f>
        <v/>
      </c>
      <c r="FX40" s="164">
        <f>MAX(0,3-SUMPRODUCT($FF40:$FK40,$Q$2:$V$2)+MIN(2,$FL40*1+$FM40*1,SUMPRODUCT($FF40:$FK40,$Q$2:$V$2)-IF($EM40=0,0,INDEX($Q$2:$V$2,1,$EM40))))+$DZ40*1</f>
        <v/>
      </c>
      <c r="FY40" s="164">
        <f>MAX(0,6-SUMPRODUCT($FF40:$FK40,$Q$3:$V$3)+MIN(4,$FL40*1+$FM40*2,SUMPRODUCT($FF40:$FK40,$Q$3:$V$3)-IF($EM40=0,0,INDEX($Q$3:$V$3,1,$EM40))))+$DZ40*2</f>
        <v/>
      </c>
      <c r="FZ40" s="164">
        <f>MAX(0,9-SUMPRODUCT($FF40:$FK40,$Q$4:$V$4)+MIN(6,$FL40*2+$FM40*3,SUMPRODUCT($FF40:$FK40,$Q$4:$V$4)-IF($EM40=0,0,INDEX($Q$4:$V$4,1,$EM40))))+$DZ40*3</f>
        <v/>
      </c>
      <c r="GA40" s="164">
        <f>MAX(0,12-SUMPRODUCT($FF40:$FK40,$Q$5:$V$5)+MIN(8,$FL40*2+$FM40*4,SUMPRODUCT($FF40:$FK40,$Q$5:$V$5)-IF($EM40=0,0,INDEX($Q$5:$V$5,1,$EM40))))+$DZ40*4</f>
        <v/>
      </c>
      <c r="GB40" s="164">
        <f>MAX(0,15-SUMPRODUCT($FF40:$FK40,$Q$6:$V$6)+MIN(10,$FL40*3+$FM40*5,SUMPRODUCT($FF40:$FK40,$Q$6:$V$6)-IF($EM40=0,0,INDEX($Q$6:$V$6,1,$EM40))))+$DZ40*5</f>
        <v/>
      </c>
      <c r="GC40" s="164">
        <f>MAX(0,18-SUMPRODUCT($FF40:$FK40,$Q$7:$V$7)+MIN(12,$FL40*3+$FM40*6,SUMPRODUCT($FF40:$FK40,$Q$7:$V$7)-IF($EM40=0,0,INDEX($Q$7:$V$7,1,$EM40))))+$DZ40*6</f>
        <v/>
      </c>
      <c r="GD40" s="164">
        <f>MAX(0,21-SUMPRODUCT($FF40:$FK40,$Q$8:$V$8)+MIN(14,$FL40*4+$FM40*7,SUMPRODUCT($FF40:$FK40,$Q$8:$V$8)-IF($EM40=0,0,INDEX($Q$8:$V$8,1,$EM40))))+$DZ40*7</f>
        <v/>
      </c>
      <c r="GE40" s="164">
        <f>IF($EZ40=2,3*$FX40&amp;" de vida temp.",IF($EZ40=3,"sem dano",IF($FX40=0,IF($EZ40=1,"sem cura","sem dano"),IF($EZ40=1,"cura ","")&amp;$FX40&amp;"d8")))</f>
        <v/>
      </c>
      <c r="GF40" s="164">
        <f>IF($EZ40=2,3*$FY40&amp;" de vida temp.",IF($EZ40=3,"sem dano",IF($FY40=0,IF($EZ40=1,"sem cura","sem dano"),IF($EZ40=1,"cura ","")&amp;$FY40&amp;"d8")))</f>
        <v/>
      </c>
      <c r="GG40" s="164">
        <f>IF($EZ40=2,3*$FZ40&amp;" de vida temp.",IF($EZ40=3,"sem dano",IF($FZ40=0,IF($EZ40=1,"sem cura","sem dano"),IF($EZ40=1,"cura ","")&amp;$FZ40&amp;"d8")))</f>
        <v/>
      </c>
      <c r="GH40" s="164">
        <f>IF($EZ40=2,3*$GA40&amp;" de vida temp.",IF($EZ40=3,"sem dano",IF($GA40=0,IF($EZ40=1,"sem cura","sem dano"),IF($EZ40=1,"cura ","")&amp;$GA40&amp;"d8")))</f>
        <v/>
      </c>
      <c r="GI40" s="164">
        <f>IF($EZ40=2,3*$GB40&amp;" de vida temp.",IF($EZ40=3,"sem dano",IF($GB40=0,IF($EZ40=1,"sem cura","sem dano"),IF($EZ40=1,"cura ","")&amp;$GB40&amp;"d8")))</f>
        <v/>
      </c>
      <c r="GJ40" s="164">
        <f>IF($EZ40=2,3*$GC40&amp;" de vida temp.",IF($EZ40=3,"sem dano",IF($GC40=0,IF($EZ40=1,"sem cura","sem dano"),IF($EZ40=1,"cura ","")&amp;$GC40&amp;"d8")))</f>
        <v/>
      </c>
      <c r="GK40" s="164">
        <f>IF($EZ40=2,3*$GD40&amp;" de vida temp.",IF($EZ40=3,"sem dano",IF($GD40=0,IF($EZ40=1,"sem cura","sem dano"),IF($EZ40=1,"cura ","")&amp;$GD40&amp;"d8")))</f>
        <v/>
      </c>
      <c r="GL40" s="164">
        <f>IF($EK40=0,"",TEXTJOIN(" · ",TRUE,IF($EK40=0,"",TEXTJOIN(" · ",TRUE,IF($EK40=0,"",TEXTJOIN(" · ",TRUE,IF(AND($DZ40=1,$EA40&gt;$HM$9),"O nível "&amp;$HM$2&amp;" dá "&amp;$HM$9&amp;" Liberação Máxima",""),IF($EB40&gt;$HM$4,"Classe "&amp;$EB40&amp;": o nível "&amp;$HM$2&amp;" libera até a "&amp;$HM$4,""),IF($ER40=1,"Família Fechada: a Forma "&amp;$ED40,""),IF($ES40=1,"Família Fechada: "&amp;$EE40,""),IF($ET40=1,"Família Fechada: "&amp;$EF40,""),IF($EU40=1,"Família Fechada: "&amp;$EG40,""),IF($EV40=1,"Família Fechada: "&amp;$EH40,""),IF($FN40&gt;INDEX($W$2:$W$8,$EB40),$FN40&amp;" Melhorias: a Classe "&amp;$EB40&amp;" aceita "&amp;INDEX($W$2:$W$8,$EB40),""),IF($FO40&gt;2,$FO40&amp;" Restrições"&amp;IF($EY40=1,", contando a que a Forma "&amp;$ED40&amp;" já traz","")&amp;": o limite é 2",""),IF($FU40&lt;0,"Orçamento estourado: faltam "&amp;(-$FU40)&amp;IF($FU40&lt;-1," pontos"," ponto"),""),IF(IFERROR(VLOOKUP(SUBSTITUTE(SUBSTITUTE(SUBSTITUTE($EI40,"~","~~"),"*","~*"),"?","~?"),'DADOS_RESTRICOES'!$M$2:$Q$54,4,FALSE),0)+IFERROR(VLOOKUP(SUBSTITUTE(SUBSTITUTE(SUBSTITUTE($EJ40,"~","~~"),"*","~*"),"?","~?"),'DADOS_RESTRICOES'!$M$2:$Q$54,4,FALSE),0)&gt;1,$FD40&amp;" e "&amp;$FE40&amp;" são as duas de frequência",""),IF(AND((COUNTIF($KW40:$KZ40,"Rápido")+COUNTIF($FD40:$FE40,"Rápido"))&gt;0,(COUNTIF($EE40:$EH40,"Atrasar")+COUNTIF($FD40:$FE40,"Atrasar"))&gt;0),"Rápido não entra com Atrasar",""),IF(AND((COUNTIF($KW40:$KZ40,"Reação")+COUNTIF($FD40:$FE40,"Reação"))&gt;0,(COUNTIF($KW40:$KZ40,"Rápido")+COUNTIF($FD40:$FE40,"Rápido"))&gt;0),"Reação não entra com Rápido",""),IF(AND((COUNTIF($KW40:$KZ40,"Reação")+COUNTIF($FD40:$FE40,"Reação"))&gt;0,(COUNTIF($KW40:$KZ40,"Armado")+COUNTIF($FD40:$FE40,"Armado"))&gt;0),"Reação não entra com Armado",""),IF(AND((COUNTIF($KW40:$KZ40,"Reação")+COUNTIF($FD40:$FE40,"Reação"))&gt;0,(COUNTIF($EE40:$EH40,"Atrasar")+COUNTIF($FD40:$FE40,"Atrasar"))&gt;0),"Reação não entra com Atrasar",""),IF(AND((COUNTIF($KW40:$KZ40,"Reação")+COUNTIF($FD40:$FE40,"Reação"))&gt;0,(COUNTIF($EE40:$EH40,"Parado")+COUNTIF($FD40:$FE40,"Parado"))&gt;0),"Reação não entra com Parado",""),IF(AND((COUNTIF($EE40:$EH40,"Atrasar")+COUNTIF($FD40:$FE40,"Atrasar"))&gt;0,(COUNTIF($EE40:$EH40,"Parado")+COUNTIF($FD40:$FE40,"Parado"))&gt;0),"Atrasar não entra com Parado",""),IF(AND((COUNTIF($KW40:$KZ40,"Armado")+COUNTIF($FD40:$FE40,"Armado"))&gt;0,(COUNTIF($EE40:$EH40,"Carregar")+COUNTIF($FD40:$FE40,"Carregar"))&gt;0),"Armado não entra com Carregar",""),IF(AND(COUNTIF($FD40:$FE40,"Corpo a Corpo")&gt;0,$EY40=0,OR($LB40="Cone",$LB40="Linha")),"Corpo a Corpo não entra em "&amp;$ED40,""),IF(AND(COUNTIF($FD40:$FE40,"Corpo a Corpo")&gt;0,$LC40="Corpo a Corpo"),"A Forma "&amp;$ED40&amp;" já traz o Corpo a Corpo",""),IF(AND(COUNTIF($FD40:$FE40,"Tudo ou Nada")&gt;0,$FA40=0),"Tudo ou Nada só entra em feitiço de Teste de Resistência",""),IF(AND(COUNTIF($KW40:$KZ40,"Inescapável")&gt;0,OR($FN40&gt;1,$FO40&gt;0)),"Inescapável não aceita outra peça",""),IF(AND($DZ40=1,$EB40&lt;3),"Liberação Máxima é de Classe 3 ou mais",""),IF(AND($DZ40=1,OR($EZ40=1,$EZ40=2)),"Liberação Máxima não serve para cura",""),IF(AND($DZ40=1,COUNTIF($KW40:$KZ40,"Inescapável")+COUNTIF($KW40:$KZ40,"Toca a Alma")&gt;0),"Esta peça não entra numa Liberação Máxima",""),IF($FV40*IF(COUNTIF($KW40:$KZ40,"Remate")&gt;0,1.25,1)+$FW40&gt;4*$EB40,($FV40*IF(COUNTIF($KW40:$KZ40,"Remate")&gt;0,1.25,1)+$FW40)&amp;" dados somando repetições"&amp;IF(COUNTIF($KW40:$KZ40,"Remate")&gt;0," e o Remate","")&amp;": o teto da Classe "&amp;$EB40&amp;" é "&amp;4*$EB40,""))),IF(AND($EE40&lt;&gt;"",COUNTIF('DADOS_MELHORIAS'!$O$2:$O$113,SUBSTITUTE(SUBSTITUTE(SUBSTITUTE($EE40,"~","~~"),"*","~*"),"?","~?"))=0),"Melhoria não cadastrada ou com erro: "&amp;$EE40,""),IF(AND($EF40&lt;&gt;"",COUNTIF('DADOS_MELHORIAS'!$O$2:$O$113,SUBSTITUTE(SUBSTITUTE(SUBSTITUTE($EF40,"~","~~"),"*","~*"),"?","~?"))=0),"Melhoria não cadastrada ou com erro: "&amp;$EF40,""),IF(AND($EG40&lt;&gt;"",COUNTIF('DADOS_MELHORIAS'!$O$2:$O$113,SUBSTITUTE(SUBSTITUTE(SUBSTITUTE($EG40,"~","~~"),"*","~*"),"?","~?"))=0),"Melhoria não cadastrada ou com erro: "&amp;$EG40,""),IF(AND($EH40&lt;&gt;"",COUNTIF('DADOS_MELHORIAS'!$O$2:$O$113,SUBSTITUTE(SUBSTITUTE(SUBSTITUTE($EH40,"~","~~"),"*","~*"),"?","~?"))=0),"Melhoria não cadastrada ou com erro: "&amp;$EH40,""),IF(AND($EI40&lt;&gt;"",COUNTIF('DADOS_RESTRICOES'!$M$2:$M$54,SUBSTITUTE(SUBSTITUTE(SUBSTITUTE($EI40,"~","~~"),"*","~*"),"?","~?"))=0),"Restrição não cadastrada ou com erro: "&amp;$EI40,""),IF(AND($EJ40&lt;&gt;"",COUNTIF('DADOS_RESTRICOES'!$M$2:$M$54,SUBSTITUTE(SUBSTITUTE(SUBSTITUTE($EJ40,"~","~~"),"*","~*"),"?","~?"))=0),"Restrição não cadastrada ou com erro: "&amp;$EJ40,""))),IF(AND($ED40&lt;&gt;"",COUNTIF('DADOS_FORMAS'!$AH$2:$AH$21,SUBSTITUTE(SUBSTITUTE(SUBSTITUTE($ED40,"~","~~"),"*","~*"),"?","~?"))=0),"Forma não cadastrada ou com erro: "&amp;$ED40,""),IF(AND(IFERROR(INDEX('DADOS_FORMAS'!$AS$2:$AS$21,MATCH(SUBSTITUTE(SUBSTITUTE(SUBSTITUTE($ED40,"~","~~"),"*","~*"),"?","~?"),'DADOS_FORMAS'!$AH$2:$AH$21,0)),"")&lt;&gt;"",OR(IFERROR(VLOOKUP(SUBSTITUTE(SUBSTITUTE(SUBSTITUTE(IFERROR(INDEX('DADOS_FORMAS'!$AS$2:$AS$21,MATCH(SUBSTITUTE(SUBSTITUTE(SUBSTITUTE($ED40,"~","~~"),"*","~*"),"?","~?"),'DADOS_FORMAS'!$AH$2:$AH$21,0)),""),"~","~~"),"*","~*"),"?","~?"),'DADOS_RESTRICOES'!$M$2:$Q$54,2,FALSE),"")=$FD40,IFERROR(VLOOKUP(SUBSTITUTE(SUBSTITUTE(SUBSTITUTE(IFERROR(INDEX('DADOS_FORMAS'!$AS$2:$AS$21,MATCH(SUBSTITUTE(SUBSTITUTE(SUBSTITUTE($ED40,"~","~~"),"*","~*"),"?","~?"),'DADOS_FORMAS'!$AH$2:$AH$21,0)),""),"~","~~"),"*","~*"),"?","~?"),'DADOS_RESTRICOES'!$M$2:$Q$54,2,FALSE),"")=$FE40)),"Restrição repetida, contando a embutida",""),IF(IF(IFERROR(INDEX('DADOS_FORMAS'!$AS$2:$AS$21,MATCH(SUBSTITUTE(SUBSTITUTE(SUBSTITUTE($ED40,"~","~~"),"*","~*"),"?","~?"),'DADOS_FORMAS'!$AH$2:$AH$21,0)),"")="",0,IFERROR(N(VLOOKUP(SUBSTITUTE(SUBSTITUTE(SUBSTITUTE(IFERROR(INDEX('DADOS_FORMAS'!$AS$2:$AS$21,MATCH(SUBSTITUTE(SUBSTITUTE(SUBSTITUTE($ED40,"~","~~"),"*","~*"),"?","~?"),'DADOS_FORMAS'!$AH$2:$AH$21,0)),""),"~","~~"),"*","~*"),"?","~?"),'DADOS_RESTRICOES'!$M$2:$Q$54,4,FALSE)=1),0))+IF($EI40="",0,IFERROR(N(VLOOKUP(SUBSTITUTE(SUBSTITUTE(SUBSTITUTE($EI40,"~","~~"),"*","~*"),"?","~?"),'DADOS_RESTRICOES'!$M$2:$Q$54,4,FALSE)=1),0))+IF($EJ40="",0,IFERROR(N(VLOOKUP(SUBSTITUTE(SUBSTITUTE(SUBSTITUTE($EJ40,"~","~~"),"*","~*"),"?","~?"),'DADOS_RESTRICOES'!$M$2:$Q$54,4,FALSE)=1),0))&gt;1,"Duas Restrições de frequência, contando a embutida",""),IF(AND(IFERROR(VLOOKUP(SUBSTITUTE(SUBSTITUTE(SUBSTITUTE(IFERROR(INDEX('DADOS_FORMAS'!$AS$2:$AS$21,MATCH(SUBSTITUTE(SUBSTITUTE(SUBSTITUTE($ED40,"~","~~"),"*","~*"),"?","~?"),'DADOS_FORMAS'!$AH$2:$AH$21,0)),""),"~","~~"),"*","~*"),"?","~?"),'DADOS_RESTRICOES'!$M$2:$Q$54,2,FALSE),"")="Tudo ou Nada",$FA40=0),"Tudo ou Nada exige TR",""),IF(AND(IFERROR(VLOOKUP(SUBSTITUTE(SUBSTITUTE(SUBSTITUTE(IFERROR(INDEX('DADOS_FORMAS'!$AS$2:$AS$21,MATCH(SUBSTITUTE(SUBSTITUTE(SUBSTITUTE($ED40,"~","~~"),"*","~*"),"?","~?"),'DADOS_FORMAS'!$AH$2:$AH$21,0)),""),"~","~~"),"*","~*"),"?","~?"),'DADOS_RESTRICOES'!$M$2:$Q$54,2,FALSE),"")="Corpo a Corpo",OR($LB40="Cone",$LB40="Linha")),"Corpo a Corpo não entra em Cone/Linha","")))</f>
        <v/>
      </c>
      <c r="GM40" s="164">
        <f>IF($GL40="",0,(LEN($GL40)-LEN(SUBSTITUTE($GL40," · ","")))/3+1)</f>
        <v/>
      </c>
      <c r="GN40" s="164">
        <f>IF($EK40=0,"",TEXTJOIN(" · ",TRUE,IF($FQ40&gt;2*$EB40,"A devolução parou no teto de "&amp;2*$EB40,""),IF($FT40&gt;0,"Devolução perdida: "&amp;$FT40&amp;IF($FT40&gt;1," pontos"," ponto")&amp;" sem Melhoria para pagar",""),IF(AND($EW40&gt;0,$FV40=0),"Controle sem dano: uma rodada a mais e CD +2",""),IF(AND($EW40&gt;0,$FV40&gt;0,$FV40&lt;=$EB40),"Controle com saldo até a Classe: uma rodada a mais","")))</f>
        <v/>
      </c>
      <c r="GO40" s="164">
        <f>IF($GN40="",0,(LEN($GN40)-LEN(SUBSTITUTE($GN40," · ","")))/3+1)</f>
        <v/>
      </c>
      <c r="GP40" s="164">
        <f>IF($EK40=0,IF($FN40+$FO40-$EY40&gt;0,"Dê um nome",""),IF($GM40&gt;0,"⚠ "&amp;$GM40&amp;IF($GM40&gt;1," erros"," erro"),IF($GO40&gt;0,"! "&amp;$GO40&amp;IF($GO40&gt;1," avisos"," aviso"),"Na regra")))</f>
        <v/>
      </c>
      <c r="GQ40" s="164">
        <f>IF($EK40=0,"",IF($GM40+$GO40=0,"Dentro das regras que a ficha confere",$GL40&amp;IF(AND($GM40&gt;0,$GO40&gt;0)," · ","")&amp;$GN40))</f>
        <v/>
      </c>
      <c r="GR40" s="164">
        <f>IF($EK40=0,"",IF($DZ40=1,CEILING(4.5*$EB40,1),3*$EB40)&amp;" PE")</f>
        <v/>
      </c>
      <c r="GS40" s="164">
        <f>IF($EK40=0,"",IF($DZ40=1,"Rodada inteira",IF(COUNTIF($LD40:$LF40,"Atrasar")&gt;0,IF(COUNTIF($LD40:$LF40,"Carregar")&gt;0,"Rodada +1 turno","Rodada inteira"),IF(COUNTIF($KW40:$KZ40,"Rápido")&gt;0,"Bônus",IF(COUNTIF($KW40:$KZ40,"Reação")&gt;0,"Reação","Padrão"))&amp;IF(COUNTIF($LD40:$LF40,"Carregar")&gt;0," +1 turno",""))))</f>
        <v/>
      </c>
      <c r="GT40" s="164">
        <f>IF(OR($EK40=0,$EL40=0),"",IF(COUNTIF($KW40:$KZ40,"Inescapável")&gt;0,"Automático",IF(COUNTIF($KW40:$KZ40,"Certeiro")&gt;0,"TR para metade",IF(AND($EX40&gt;0,$FA40=0,INDEX('DADOS_FORMAS'!$FQ$2:$FQ$21,$EL40)="Acerto"),"Acerto + TR",INDEX('DADOS_FORMAS'!$FQ$2:$FQ$21,$EL40)))))</f>
        <v/>
      </c>
      <c r="GU40" s="164">
        <f>IF(OR($EK40=0,$EL40=0),"",IF(OR($EZ40&gt;=2,$FV40=0),UPPER(LEFT(INDEX($GE40:$GK40,1,$EB40),1))&amp;MID(INDEX($GE40:$GK40,1,$EB40),2,99),UPPER(LEFT(INDEX($GE40:$GK40,1,$EB40),1))&amp;MID(INDEX($GE40:$GK40,1,$EB40),2,99)&amp;" = "&amp;FLOOR($FV40*4.5,1)&amp;IF($FW40&gt;0," · +"&amp;$FW40&amp;"d8","")))</f>
        <v/>
      </c>
      <c r="GV40" s="164">
        <f>COUNTIF($KW40:$KZ40,"Longe")+3*COUNTIF($KW40:$KZ40,"Muito Longe")</f>
        <v/>
      </c>
      <c r="GW40" s="164">
        <f>COUNTIF($KW40:$KZ40,"Maior")+3*COUNTIF($KW40:$KZ40,"Muito Maior")</f>
        <v/>
      </c>
      <c r="GX40" s="164">
        <f>IF($EL40=0,0,CHOOSE(1+INDEX('DADOS_FORMAS'!$FS$2:$FS$21,$EL40),0,$GV40,$GW40,$GV40+$GW40))</f>
        <v/>
      </c>
      <c r="GY40" s="164">
        <f>IF($EL40=0,0,CHOOSE(1+INDEX('DADOS_FORMAS'!$FT$2:$FT$21,$EL40),0,$GV40,$GW40,$GV40+$GW40))</f>
        <v/>
      </c>
      <c r="GZ40" s="164">
        <f>IF(OR($EK40=0,$EL40=0),"",INDEX('DADOS_FORMAS'!$GZ$2:$HE$61,($EL40-1)*3+IF($EB40&gt;=6,3,2),1+MIN(5,$GX40))&amp;INDEX('DADOS_FORMAS'!$HF$2:$HK$61,($EL40-1)*3+IF($EB40&gt;=6,3,2),1+MIN(5,$GY40))&amp;IF(INDEX('DADOS_FORMAS'!$FU$2:$FU$21,$EL40)=1,IF(COUNTIF($KW40:$KZ40,"Mais Um")&gt;0," · +"&amp;COUNTIF($KW40:$KZ40,"Mais Um")&amp;IF(COUNTIF($KW40:$KZ40,"Mais Um")&gt;1," alvos"," alvo"),"")&amp;IF(COUNTIF($KW40:$KZ40,"Rajada")&gt;0," · "&amp;($EB40+1)&amp;" tiros",""),""))</f>
        <v/>
      </c>
      <c r="HA40" s="164">
        <f>IF($EK40=0,"",3*$EB40&amp;" − "&amp;$FP40&amp;" + "&amp;$FS40&amp;IF($DZ40=1," + "&amp;$EB40,"")&amp;" = "&amp;$FV40&amp;"d8 · teto "&amp;4*$EB40&amp;IF($EY40=1," · a Forma devolve "&amp;$EB40,"")&amp;IF($FT40&gt;0," · perde "&amp;$FT40,""))</f>
        <v/>
      </c>
      <c r="HB40" s="164">
        <f>IF($EK40=0,"",IF($EB40&gt;=$HM$4,"Já está na maior Classe que o nível liberou",TEXTJOIN(" · ",TRUE,IF(AND(2&gt;$EB40,2&lt;=$HM$4),"2 → "&amp;$GF40&amp;", "&amp;IF($DZ40=1,9,6)&amp;" PE",""),IF(AND(3&gt;$EB40,3&lt;=$HM$4),"3 → "&amp;$GG40&amp;", "&amp;IF($DZ40=1,14,9)&amp;" PE",""),IF(AND(4&gt;$EB40,4&lt;=$HM$4),"4 → "&amp;$GH40&amp;", "&amp;IF($DZ40=1,18,12)&amp;" PE",""),IF(AND(5&gt;$EB40,5&lt;=$HM$4),"5 → "&amp;$GI40&amp;", "&amp;IF($DZ40=1,23,15)&amp;" PE",""),IF(AND(6&gt;$EB40,6&lt;=$HM$4),"6 → "&amp;$GJ40&amp;", "&amp;IF($DZ40=1,27,18)&amp;" PE",""),IF(AND(7&gt;$EB40,7&lt;=$HM$4),"7 → "&amp;$GK40&amp;", "&amp;IF($DZ40=1,32,21)&amp;" PE",""))))</f>
        <v/>
      </c>
      <c r="HC40" s="164">
        <f>IF(OR($EK40=0,$EN40=0),"","−"&amp;INDEX($Q$2:$V$8,$EB40,$EN40)&amp;" · "&amp;CHOOSE($EN40,"Leve","Média","Pesada","Leve · Livre","Média · Livre","Pesada · Livre"))</f>
        <v/>
      </c>
      <c r="HD40" s="164">
        <f>IF(OR($EK40=0,$EO40=0),"","−"&amp;INDEX($Q$2:$V$8,$EB40,$EO40)&amp;" · "&amp;CHOOSE($EO40,"Leve","Média","Pesada","Leve · Livre","Média · Livre","Pesada · Livre"))</f>
        <v/>
      </c>
      <c r="HE40" s="164">
        <f>IF(OR($EK40=0,$EP40=0),"","−"&amp;INDEX($Q$2:$V$8,$EB40,$EP40)&amp;" · "&amp;CHOOSE($EP40,"Leve","Média","Pesada","Leve · Livre","Média · Livre","Pesada · Livre"))</f>
        <v/>
      </c>
      <c r="HF40" s="164">
        <f>IF(OR($EK40=0,$EQ40=0),"","−"&amp;INDEX($Q$2:$V$8,$EB40,$EQ40)&amp;" · "&amp;CHOOSE($EQ40,"Leve","Média","Pesada","Leve · Livre","Média · Livre","Pesada · Livre"))</f>
        <v/>
      </c>
      <c r="HG40" s="164">
        <f>IF(OR($EK40=0,$EI40=""),"","+"&amp;IF($FB40=1,CEILING($EB40/2,1),$EB40))</f>
        <v/>
      </c>
      <c r="HH40" s="164">
        <f>IF(OR($EK40=0,$EJ40=""),"","+"&amp;IF($FC40=1,CEILING($EB40/2,1),$EB40))</f>
        <v/>
      </c>
      <c r="HI40" s="164">
        <f>'FICHA AMALDIÇOADA'!$P$334&amp;""</f>
        <v/>
      </c>
      <c r="HJ40" s="164">
        <f>IF(AND($EK40=1,$DZ40=0),COUNTIFS($EK$2:$EK40,1,$DZ$2:$DZ40,0),"")</f>
        <v/>
      </c>
      <c r="HL40" s="162" t="inlineStr">
        <is>
          <t>rota</t>
        </is>
      </c>
      <c r="HM40" s="164">
        <f>$A$2</f>
        <v/>
      </c>
      <c r="KU40" s="162" t="inlineStr">
        <is>
          <t>R356</t>
        </is>
      </c>
      <c r="KV40" s="164">
        <f>IF(DADOS_AM!$HM$36=0,"—",IF(OR(DADOS_AM!$HM$38&gt;DADOS_AM!$HM$37,DADOS_AM!$HM$39&gt;0),"⚠ ","")&amp;DADOS_AM!$HM$38&amp;" de "&amp;DADOS_AM!$HM$37&amp;IF(DADOS_AM!$HM$39&gt;0," · Família Fechada",""))</f>
        <v/>
      </c>
      <c r="KW40">
        <f>IF($EE40="","",IFERROR(VLOOKUP(SUBSTITUTE(SUBSTITUTE(SUBSTITUTE($EE40,"~","~~"),"*","~*"),"?","~?"),'DADOS_MELHORIAS'!$O$2:$X$113,10,FALSE),$EE40))</f>
        <v/>
      </c>
      <c r="KX40">
        <f>IF($EF40="","",IFERROR(VLOOKUP(SUBSTITUTE(SUBSTITUTE(SUBSTITUTE($EF40,"~","~~"),"*","~*"),"?","~?"),'DADOS_MELHORIAS'!$O$2:$X$113,10,FALSE),$EF40))</f>
        <v/>
      </c>
      <c r="KY40">
        <f>IF($EG40="","",IFERROR(VLOOKUP(SUBSTITUTE(SUBSTITUTE(SUBSTITUTE($EG40,"~","~~"),"*","~*"),"?","~?"),'DADOS_MELHORIAS'!$O$2:$X$113,10,FALSE),$EG40))</f>
        <v/>
      </c>
      <c r="KZ40">
        <f>IF($EH40="","",IFERROR(VLOOKUP(SUBSTITUTE(SUBSTITUTE(SUBSTITUTE($EH40,"~","~~"),"*","~*"),"?","~?"),'DADOS_MELHORIAS'!$O$2:$X$113,10,FALSE),$EH40))</f>
        <v/>
      </c>
      <c r="LB40">
        <f>IFERROR(INDEX('DADOS_FORMAS'!$BJ$2:$BJ$21,MATCH(SUBSTITUTE(SUBSTITUTE(SUBSTITUTE($ED40,"~","~~"),"*","~*"),"?","~?"),'DADOS_FORMAS'!$AH$2:$AH$21,0)),"")</f>
        <v/>
      </c>
      <c r="LC40">
        <f>IFERROR(VLOOKUP(SUBSTITUTE(SUBSTITUTE(SUBSTITUTE(IFERROR(INDEX('DADOS_FORMAS'!$AS$2:$AS$21,MATCH(SUBSTITUTE(SUBSTITUTE(SUBSTITUTE($ED40,"~","~~"),"*","~*"),"?","~?"),'DADOS_FORMAS'!$AH$2:$AH$21,0)),""),"~","~~"),"*","~*"),"?","~?"),'DADOS_RESTRICOES'!$M$2:$Q$54,2,FALSE),"")</f>
        <v/>
      </c>
      <c r="LD40">
        <f>$FD40</f>
        <v/>
      </c>
      <c r="LE40">
        <f>$FE40</f>
        <v/>
      </c>
      <c r="LF40">
        <f>$LC40</f>
        <v/>
      </c>
    </row>
    <row r="41">
      <c r="BC41" s="162" t="inlineStr">
        <is>
          <t>Prende</t>
        </is>
      </c>
      <c r="BD41" s="162" t="inlineStr">
        <is>
          <t>Controle</t>
        </is>
      </c>
      <c r="BE41" s="164" t="n">
        <v>2</v>
      </c>
      <c r="BF41" s="164">
        <f>$BE41+3*IFERROR(VLOOKUP($BD41,'DADOS_CRIACAO'!$H$2:$K$20,3,FALSE),0)</f>
        <v/>
      </c>
      <c r="BG41" s="164">
        <f>IFERROR(VLOOKUP($BD41,'DADOS_CRIACAO'!$H$2:$K$20,4,FALSE),0)</f>
        <v/>
      </c>
      <c r="BH41" s="164" t="n">
        <v>1</v>
      </c>
      <c r="BI41" s="164">
        <f>IF($BG41=1,"",$BC41)</f>
        <v/>
      </c>
      <c r="BJ41" s="164">
        <f>IF(AND($BE41=1,$BG41=0),$BC41,"")</f>
        <v/>
      </c>
      <c r="BK41" s="164" t="n">
        <v>1</v>
      </c>
      <c r="HL41" s="162" t="inlineStr">
        <is>
          <t>equipamento</t>
        </is>
      </c>
      <c r="HM41" s="164">
        <f>'FICHA AMALDIÇOADA'!$J$16&amp;""</f>
        <v/>
      </c>
      <c r="KU41" s="162" t="inlineStr">
        <is>
          <t>D367</t>
        </is>
      </c>
      <c r="KV41" s="164">
        <f>IF(DADOS_AM!$A$2=1,"EXPANSÃO DE DOMÍNIO","EXPANSÃO DE DOMÍNIO · ESTA ROTA NÃO TEM")</f>
        <v/>
      </c>
    </row>
    <row r="42">
      <c r="BC42" s="162" t="inlineStr">
        <is>
          <t>Puxa</t>
        </is>
      </c>
      <c r="BD42" s="162" t="inlineStr">
        <is>
          <t>Controle</t>
        </is>
      </c>
      <c r="BE42" s="164" t="n">
        <v>2</v>
      </c>
      <c r="BF42" s="164">
        <f>$BE42+3*IFERROR(VLOOKUP($BD42,'DADOS_CRIACAO'!$H$2:$K$20,3,FALSE),0)</f>
        <v/>
      </c>
      <c r="BG42" s="164">
        <f>IFERROR(VLOOKUP($BD42,'DADOS_CRIACAO'!$H$2:$K$20,4,FALSE),0)</f>
        <v/>
      </c>
      <c r="BH42" s="164" t="n">
        <v>1</v>
      </c>
      <c r="BI42" s="164">
        <f>IF($BG42=1,"",$BC42)</f>
        <v/>
      </c>
      <c r="BJ42" s="164">
        <f>IF(AND($BE42=1,$BG42=0),$BC42,"")</f>
        <v/>
      </c>
      <c r="BK42" s="164" t="n">
        <v>0</v>
      </c>
      <c r="HL42" s="162" t="inlineStr">
        <is>
          <t>arma</t>
        </is>
      </c>
      <c r="HM42" s="164">
        <f>IF(AND($A$2&gt;=3,'FICHA AMALDIÇOADA'!$J$16&amp;""="Três grupos de arma"),1,0)</f>
        <v/>
      </c>
      <c r="KU42" s="162" t="inlineStr">
        <is>
          <t>F370</t>
        </is>
      </c>
      <c r="KV42" s="164">
        <f>IF(OR(DADOS_AM!$A$2&lt;&gt;1,DADOS_AM!$HM$35=""),"—",DADOS_AM!$HM$18&amp;" espaços")</f>
        <v/>
      </c>
    </row>
    <row r="43">
      <c r="BC43" s="162" t="inlineStr">
        <is>
          <t>Impulso</t>
        </is>
      </c>
      <c r="BD43" s="162" t="inlineStr">
        <is>
          <t>Auxiliares</t>
        </is>
      </c>
      <c r="BE43" s="164" t="n">
        <v>1</v>
      </c>
      <c r="BF43" s="164">
        <f>$BE43+3*IFERROR(VLOOKUP($BD43,'DADOS_CRIACAO'!$H$2:$K$20,3,FALSE),0)</f>
        <v/>
      </c>
      <c r="BG43" s="164">
        <f>IFERROR(VLOOKUP($BD43,'DADOS_CRIACAO'!$H$2:$K$20,4,FALSE),0)</f>
        <v/>
      </c>
      <c r="BH43" s="164" t="n">
        <v>0</v>
      </c>
      <c r="BI43" s="164">
        <f>IF($BG43=1,"",$BC43)</f>
        <v/>
      </c>
      <c r="BJ43" s="164">
        <f>IF(AND($BE43=1,$BG43=0),$BC43,"")</f>
        <v/>
      </c>
      <c r="BK43" s="164" t="n">
        <v>0</v>
      </c>
      <c r="HL43" s="162" t="inlineStr">
        <is>
          <t>atributo do grupo 1</t>
        </is>
      </c>
      <c r="HM43" s="164">
        <f>IF(OR($HM$42=0,'FICHA AMALDIÇOADA'!$D$18=""),"",IF(IFERROR(VLOOKUP('FICHA AMALDIÇOADA'!$D$18,$CU$2:$CX$14,2,FALSE),0)=1,IF(AND(IFERROR(VLOOKUP('FICHA AMALDIÇOADA'!$D$18,$CU$2:$CX$14,3,FALSE),0)=1,N(FICHA!$L$19)&gt;N(FICHA!$D$19)),"Destreza","Força"),"Destreza"))</f>
        <v/>
      </c>
      <c r="KU43" s="162" t="inlineStr">
        <is>
          <t>J370</t>
        </is>
      </c>
      <c r="KV43" s="164">
        <f>IF(DADOS_AM!$A$2&lt;&gt;1,"Só o Fundamento tem",IF(DADOS_AM!$HM$35="","—",IF(AND(DADOS_AM!$HM$2&gt;=IFERROR(VLOOKUP(DADOS_AM!$HM$35,DADOS_AM!$DL$2:$DP$4,3,FALSE),0),DADOS_AM!$HM$6&gt;=IFERROR(VLOOKUP(DADOS_AM!$HM$35,DADOS_AM!$DL$2:$DP$4,4,FALSE),0)),"","⚠ ")&amp;IFERROR(VLOOKUP(DADOS_AM!$HM$35,DADOS_AM!$DL$2:$DP$4,5,FALSE),"")))</f>
        <v/>
      </c>
    </row>
    <row r="44">
      <c r="BC44" s="162" t="inlineStr">
        <is>
          <t>Trava</t>
        </is>
      </c>
      <c r="BD44" s="162" t="inlineStr">
        <is>
          <t>Auxiliares</t>
        </is>
      </c>
      <c r="BE44" s="164" t="n">
        <v>1</v>
      </c>
      <c r="BF44" s="164">
        <f>$BE44+3*IFERROR(VLOOKUP($BD44,'DADOS_CRIACAO'!$H$2:$K$20,3,FALSE),0)</f>
        <v/>
      </c>
      <c r="BG44" s="164">
        <f>IFERROR(VLOOKUP($BD44,'DADOS_CRIACAO'!$H$2:$K$20,4,FALSE),0)</f>
        <v/>
      </c>
      <c r="BH44" s="164" t="n">
        <v>0</v>
      </c>
      <c r="BI44" s="164">
        <f>IF($BG44=1,"",$BC44)</f>
        <v/>
      </c>
      <c r="BJ44" s="164">
        <f>IF(AND($BE44=1,$BG44=0),$BC44,"")</f>
        <v/>
      </c>
      <c r="BK44" s="164" t="n">
        <v>0</v>
      </c>
      <c r="HL44" s="162" t="inlineStr">
        <is>
          <t>atributo do grupo 2</t>
        </is>
      </c>
      <c r="HM44" s="164">
        <f>IF(OR($HM$42=0,'FICHA AMALDIÇOADA'!$J$18=""),"",IF(IFERROR(VLOOKUP('FICHA AMALDIÇOADA'!$J$18,$CU$2:$CX$14,2,FALSE),0)=1,IF(AND(IFERROR(VLOOKUP('FICHA AMALDIÇOADA'!$J$18,$CU$2:$CX$14,3,FALSE),0)=1,N(FICHA!$L$19)&gt;N(FICHA!$D$19)),"Destreza","Força"),"Destreza"))</f>
        <v/>
      </c>
      <c r="KU44" s="162" t="inlineStr">
        <is>
          <t>P370</t>
        </is>
      </c>
      <c r="KV44" s="164">
        <f>IF(DADOS_AM!$A$2&lt;&gt;1,"—",DADOS_AM!$HM$6)</f>
        <v/>
      </c>
    </row>
    <row r="45">
      <c r="BC45" s="162" t="inlineStr">
        <is>
          <t>Abre Ferida</t>
        </is>
      </c>
      <c r="BD45" s="162" t="inlineStr">
        <is>
          <t>Auxiliares</t>
        </is>
      </c>
      <c r="BE45" s="164" t="n">
        <v>1</v>
      </c>
      <c r="BF45" s="164">
        <f>$BE45+3*IFERROR(VLOOKUP($BD45,'DADOS_CRIACAO'!$H$2:$K$20,3,FALSE),0)</f>
        <v/>
      </c>
      <c r="BG45" s="164">
        <f>IFERROR(VLOOKUP($BD45,'DADOS_CRIACAO'!$H$2:$K$20,4,FALSE),0)</f>
        <v/>
      </c>
      <c r="BH45" s="164" t="n">
        <v>0</v>
      </c>
      <c r="BI45" s="164">
        <f>IF($BG45=1,"",$BC45)</f>
        <v/>
      </c>
      <c r="BJ45" s="164">
        <f>IF(AND($BE45=1,$BG45=0),$BC45,"")</f>
        <v/>
      </c>
      <c r="BK45" s="164" t="n">
        <v>0</v>
      </c>
      <c r="HL45" s="162" t="inlineStr">
        <is>
          <t>atributo do grupo 3</t>
        </is>
      </c>
      <c r="HM45" s="164">
        <f>IF(OR($HM$42=0,'FICHA AMALDIÇOADA'!$P$18=""),"",IF(IFERROR(VLOOKUP('FICHA AMALDIÇOADA'!$P$18,$CU$2:$CX$14,2,FALSE),0)=1,IF(AND(IFERROR(VLOOKUP('FICHA AMALDIÇOADA'!$P$18,$CU$2:$CX$14,3,FALSE),0)=1,N(FICHA!$L$19)&gt;N(FICHA!$D$19)),"Destreza","Força"),"Destreza"))</f>
        <v/>
      </c>
      <c r="KU45" s="162" t="inlineStr">
        <is>
          <t>R370</t>
        </is>
      </c>
      <c r="KV45" s="164">
        <f>IF(DADOS_AM!$A$2&lt;&gt;1,"—","Cai na "&amp;MAX(1,FLOOR(DADOS_AM!$HM$7/2,1))&amp;"ª falha")</f>
        <v/>
      </c>
    </row>
    <row r="46">
      <c r="BC46" s="162" t="inlineStr">
        <is>
          <t>Sobrecarga</t>
        </is>
      </c>
      <c r="BD46" s="162" t="inlineStr">
        <is>
          <t>Auxiliares</t>
        </is>
      </c>
      <c r="BE46" s="164" t="n">
        <v>1</v>
      </c>
      <c r="BF46" s="164">
        <f>$BE46+3*IFERROR(VLOOKUP($BD46,'DADOS_CRIACAO'!$H$2:$K$20,3,FALSE),0)</f>
        <v/>
      </c>
      <c r="BG46" s="164">
        <f>IFERROR(VLOOKUP($BD46,'DADOS_CRIACAO'!$H$2:$K$20,4,FALSE),0)</f>
        <v/>
      </c>
      <c r="BH46" s="164" t="n">
        <v>0</v>
      </c>
      <c r="BI46" s="164">
        <f>IF($BG46=1,"",$BC46)</f>
        <v/>
      </c>
      <c r="BJ46" s="164">
        <f>IF(AND($BE46=1,$BG46=0),$BC46,"")</f>
        <v/>
      </c>
      <c r="BK46" s="164" t="n">
        <v>0</v>
      </c>
      <c r="HL46" s="162" t="inlineStr">
        <is>
          <t>valor do grupo 1</t>
        </is>
      </c>
      <c r="HM46" s="164">
        <f>IF($HM$43="",0,IF($HM$43="Força",N(FICHA!$D$19),N(FICHA!$L$19)))</f>
        <v/>
      </c>
      <c r="KU46" s="162" t="inlineStr">
        <is>
          <t>D374</t>
        </is>
      </c>
      <c r="KV46" s="164">
        <f>IF(DADOS_AM!$A$2&lt;&gt;1,"—","Incompleta"&amp;IF(DADOS_AM!$HM$35="Incompleta"," · a sua",""))</f>
        <v/>
      </c>
    </row>
    <row r="47">
      <c r="BC47" s="162" t="inlineStr">
        <is>
          <t>Firmeza</t>
        </is>
      </c>
      <c r="BD47" s="162" t="inlineStr">
        <is>
          <t>Auxiliares</t>
        </is>
      </c>
      <c r="BE47" s="164" t="n">
        <v>2</v>
      </c>
      <c r="BF47" s="164">
        <f>$BE47+3*IFERROR(VLOOKUP($BD47,'DADOS_CRIACAO'!$H$2:$K$20,3,FALSE),0)</f>
        <v/>
      </c>
      <c r="BG47" s="164">
        <f>IFERROR(VLOOKUP($BD47,'DADOS_CRIACAO'!$H$2:$K$20,4,FALSE),0)</f>
        <v/>
      </c>
      <c r="BH47" s="164" t="n">
        <v>0</v>
      </c>
      <c r="BI47" s="164">
        <f>IF($BG47=1,"",$BC47)</f>
        <v/>
      </c>
      <c r="BJ47" s="164">
        <f>IF(AND($BE47=1,$BG47=0),$BC47,"")</f>
        <v/>
      </c>
      <c r="BK47" s="164" t="n">
        <v>0</v>
      </c>
      <c r="HL47" s="162" t="inlineStr">
        <is>
          <t>valor do grupo 2</t>
        </is>
      </c>
      <c r="HM47" s="164">
        <f>IF($HM$44="",0,IF($HM$44="Força",N(FICHA!$D$19),N(FICHA!$L$19)))</f>
        <v/>
      </c>
      <c r="KU47" s="162" t="inlineStr">
        <is>
          <t>F374</t>
        </is>
      </c>
      <c r="KV47" s="164">
        <f>IF(DADOS_AM!$A$2&lt;&gt;1,"—",6*DADOS_AM!$HM$4)</f>
        <v/>
      </c>
    </row>
    <row r="48">
      <c r="BC48" s="162" t="inlineStr">
        <is>
          <t>Guarda</t>
        </is>
      </c>
      <c r="BD48" s="162" t="inlineStr">
        <is>
          <t>Auxiliares</t>
        </is>
      </c>
      <c r="BE48" s="164" t="n">
        <v>2</v>
      </c>
      <c r="BF48" s="164">
        <f>$BE48+3*IFERROR(VLOOKUP($BD48,'DADOS_CRIACAO'!$H$2:$K$20,3,FALSE),0)</f>
        <v/>
      </c>
      <c r="BG48" s="164">
        <f>IFERROR(VLOOKUP($BD48,'DADOS_CRIACAO'!$H$2:$K$20,4,FALSE),0)</f>
        <v/>
      </c>
      <c r="BH48" s="164" t="n">
        <v>0</v>
      </c>
      <c r="BI48" s="164">
        <f>IF($BG48=1,"",$BC48)</f>
        <v/>
      </c>
      <c r="BJ48" s="164">
        <f>IF(AND($BE48=1,$BG48=0),$BC48,"")</f>
        <v/>
      </c>
      <c r="BK48" s="164" t="n">
        <v>0</v>
      </c>
      <c r="HL48" s="162" t="inlineStr">
        <is>
          <t>valor do grupo 3</t>
        </is>
      </c>
      <c r="HM48" s="164">
        <f>IF($HM$45="",0,IF($HM$45="Força",N(FICHA!$D$19),N(FICHA!$L$19)))</f>
        <v/>
      </c>
      <c r="KU48" s="162" t="inlineStr">
        <is>
          <t>G374</t>
        </is>
      </c>
      <c r="KV48" s="164">
        <f>IF(DADOS_AM!$A$2&lt;&gt;1,"—",DADOS_AM!$HM$33&amp;IF(DADOS_AM!$HM$33&gt;1," rodadas"," rodada"))</f>
        <v/>
      </c>
    </row>
    <row r="49">
      <c r="BC49" s="162" t="inlineStr">
        <is>
          <t>Pressa</t>
        </is>
      </c>
      <c r="BD49" s="162" t="inlineStr">
        <is>
          <t>Auxiliares</t>
        </is>
      </c>
      <c r="BE49" s="164" t="n">
        <v>2</v>
      </c>
      <c r="BF49" s="164">
        <f>$BE49+3*IFERROR(VLOOKUP($BD49,'DADOS_CRIACAO'!$H$2:$K$20,3,FALSE),0)</f>
        <v/>
      </c>
      <c r="BG49" s="164">
        <f>IFERROR(VLOOKUP($BD49,'DADOS_CRIACAO'!$H$2:$K$20,4,FALSE),0)</f>
        <v/>
      </c>
      <c r="BH49" s="164" t="n">
        <v>0</v>
      </c>
      <c r="BI49" s="164">
        <f>IF($BG49=1,"",$BC49)</f>
        <v/>
      </c>
      <c r="BJ49" s="164">
        <f>IF(AND($BE49=1,$BG49=0),$BC49,"")</f>
        <v/>
      </c>
      <c r="BK49" s="164" t="n">
        <v>0</v>
      </c>
      <c r="HL49" s="162" t="inlineStr">
        <is>
          <t>atributos dos grupos</t>
        </is>
      </c>
      <c r="HM49" s="164">
        <f>IF(AND($HM$43&lt;&gt;""),1,0)+IF(AND($HM$44&lt;&gt;"",$HM$44&lt;&gt;$HM$43),1,0)+IF(AND($HM$45&lt;&gt;"",$HM$45&lt;&gt;$HM$43,$HM$45&lt;&gt;$HM$44),1,0)</f>
        <v/>
      </c>
      <c r="KU49" s="162" t="inlineStr">
        <is>
          <t>J374</t>
        </is>
      </c>
      <c r="KV49" s="164">
        <f>IF(DADOS_AM!$A$2&lt;&gt;1,"—",SUBSTITUTE(MIN(7.5,1.5*DADOS_AM!$HM$6)&amp;" m",".",","))</f>
        <v/>
      </c>
    </row>
    <row r="50">
      <c r="BC50" s="162" t="inlineStr">
        <is>
          <t>Enfraquece</t>
        </is>
      </c>
      <c r="BD50" s="162" t="inlineStr">
        <is>
          <t>Auxiliares</t>
        </is>
      </c>
      <c r="BE50" s="164" t="n">
        <v>2</v>
      </c>
      <c r="BF50" s="164">
        <f>$BE50+3*IFERROR(VLOOKUP($BD50,'DADOS_CRIACAO'!$H$2:$K$20,3,FALSE),0)</f>
        <v/>
      </c>
      <c r="BG50" s="164">
        <f>IFERROR(VLOOKUP($BD50,'DADOS_CRIACAO'!$H$2:$K$20,4,FALSE),0)</f>
        <v/>
      </c>
      <c r="BH50" s="164" t="n">
        <v>0</v>
      </c>
      <c r="BI50" s="164">
        <f>IF($BG50=1,"",$BC50)</f>
        <v/>
      </c>
      <c r="BJ50" s="164">
        <f>IF(AND($BE50=1,$BG50=0),$BC50,"")</f>
        <v/>
      </c>
      <c r="BK50" s="164" t="n">
        <v>0</v>
      </c>
      <c r="HL50" s="162" t="inlineStr">
        <is>
          <t>usos do estímulo</t>
        </is>
      </c>
      <c r="HM50" s="164">
        <f>IF($HM$6&gt;=10,2,1)&amp;"× por cena"</f>
        <v/>
      </c>
      <c r="KU50" s="162" t="inlineStr">
        <is>
          <t>K374</t>
        </is>
      </c>
      <c r="KV50" s="164">
        <f>IF(DADOS_AM!$A$2&lt;&gt;1,"—","−"&amp;DADOS_AM!$HM$34&amp;" PE")</f>
        <v/>
      </c>
    </row>
    <row r="51">
      <c r="BC51" s="162" t="inlineStr">
        <is>
          <t>Ecoa</t>
        </is>
      </c>
      <c r="BD51" s="162" t="inlineStr">
        <is>
          <t>Auxiliares</t>
        </is>
      </c>
      <c r="BE51" s="164" t="n">
        <v>2</v>
      </c>
      <c r="BF51" s="164">
        <f>$BE51+3*IFERROR(VLOOKUP($BD51,'DADOS_CRIACAO'!$H$2:$K$20,3,FALSE),0)</f>
        <v/>
      </c>
      <c r="BG51" s="164">
        <f>IFERROR(VLOOKUP($BD51,'DADOS_CRIACAO'!$H$2:$K$20,4,FALSE),0)</f>
        <v/>
      </c>
      <c r="BH51" s="164" t="n">
        <v>0</v>
      </c>
      <c r="BI51" s="164">
        <f>IF($BG51=1,"",$BC51)</f>
        <v/>
      </c>
      <c r="BJ51" s="164">
        <f>IF(AND($BE51=1,$BG51=0),$BC51,"")</f>
        <v/>
      </c>
      <c r="BK51" s="164" t="n">
        <v>0</v>
      </c>
      <c r="KU51" s="162" t="inlineStr">
        <is>
          <t>D375</t>
        </is>
      </c>
      <c r="KV51" s="164">
        <f>IF(DADOS_AM!$A$2&lt;&gt;1,"—","Completa"&amp;IF(OR(DADOS_AM!$HM$35="Completa",DADOS_AM!$HM$35="Sem Barreiras")," · a sua",""))</f>
        <v/>
      </c>
    </row>
    <row r="52">
      <c r="BC52" s="162" t="inlineStr">
        <is>
          <t>Queima</t>
        </is>
      </c>
      <c r="BD52" s="162" t="inlineStr">
        <is>
          <t>Castigo</t>
        </is>
      </c>
      <c r="BE52" s="164" t="n">
        <v>2</v>
      </c>
      <c r="BF52" s="164">
        <f>$BE52+3*IFERROR(VLOOKUP($BD52,'DADOS_CRIACAO'!$H$2:$K$20,3,FALSE),0)</f>
        <v/>
      </c>
      <c r="BG52" s="164">
        <f>IFERROR(VLOOKUP($BD52,'DADOS_CRIACAO'!$H$2:$K$20,4,FALSE),0)</f>
        <v/>
      </c>
      <c r="BH52" s="164" t="n">
        <v>0</v>
      </c>
      <c r="BI52" s="164">
        <f>IF($BG52=1,"",$BC52)</f>
        <v/>
      </c>
      <c r="BJ52" s="164">
        <f>IF(AND($BE52=1,$BG52=0),$BC52,"")</f>
        <v/>
      </c>
      <c r="BK52" s="164" t="n">
        <v>0</v>
      </c>
      <c r="KU52" s="162" t="inlineStr">
        <is>
          <t>F375</t>
        </is>
      </c>
      <c r="KV52" s="164">
        <f>IF(DADOS_AM!$A$2&lt;&gt;1,"—",6*DADOS_AM!$HM$4)</f>
        <v/>
      </c>
    </row>
    <row r="53">
      <c r="BC53" s="162" t="inlineStr">
        <is>
          <t>Acúmulo</t>
        </is>
      </c>
      <c r="BD53" s="162" t="inlineStr">
        <is>
          <t>Castigo</t>
        </is>
      </c>
      <c r="BE53" s="164" t="n">
        <v>2</v>
      </c>
      <c r="BF53" s="164">
        <f>$BE53+3*IFERROR(VLOOKUP($BD53,'DADOS_CRIACAO'!$H$2:$K$20,3,FALSE),0)</f>
        <v/>
      </c>
      <c r="BG53" s="164">
        <f>IFERROR(VLOOKUP($BD53,'DADOS_CRIACAO'!$H$2:$K$20,4,FALSE),0)</f>
        <v/>
      </c>
      <c r="BH53" s="164" t="n">
        <v>0</v>
      </c>
      <c r="BI53" s="164">
        <f>IF($BG53=1,"",$BC53)</f>
        <v/>
      </c>
      <c r="BJ53" s="164">
        <f>IF(AND($BE53=1,$BG53=0),$BC53,"")</f>
        <v/>
      </c>
      <c r="BK53" s="164" t="n">
        <v>0</v>
      </c>
      <c r="KU53" s="162" t="inlineStr">
        <is>
          <t>G375</t>
        </is>
      </c>
      <c r="KV53" s="164">
        <f>IF(DADOS_AM!$A$2&lt;&gt;1,"—",DADOS_AM!$HM$33&amp;IF(DADOS_AM!$HM$33&gt;1," rodadas"," rodada"))</f>
        <v/>
      </c>
    </row>
    <row r="54">
      <c r="BC54" s="162" t="inlineStr">
        <is>
          <t>Remate</t>
        </is>
      </c>
      <c r="BD54" s="162" t="inlineStr">
        <is>
          <t>Castigo</t>
        </is>
      </c>
      <c r="BE54" s="164" t="n">
        <v>2</v>
      </c>
      <c r="BF54" s="164">
        <f>$BE54+3*IFERROR(VLOOKUP($BD54,'DADOS_CRIACAO'!$H$2:$K$20,3,FALSE),0)</f>
        <v/>
      </c>
      <c r="BG54" s="164">
        <f>IFERROR(VLOOKUP($BD54,'DADOS_CRIACAO'!$H$2:$K$20,4,FALSE),0)</f>
        <v/>
      </c>
      <c r="BH54" s="164" t="n">
        <v>0</v>
      </c>
      <c r="BI54" s="164">
        <f>IF($BG54=1,"",$BC54)</f>
        <v/>
      </c>
      <c r="BJ54" s="164">
        <f>IF(AND($BE54=1,$BG54=0),$BC54,"")</f>
        <v/>
      </c>
      <c r="BK54" s="164" t="n">
        <v>0</v>
      </c>
      <c r="KU54" s="162" t="inlineStr">
        <is>
          <t>J375</t>
        </is>
      </c>
      <c r="KV54" s="164">
        <f>IF(DADOS_AM!$A$2&lt;&gt;1,"—",SUBSTITUTE(1.5*DADOS_AM!$HM$6&amp;" m",".",","))</f>
        <v/>
      </c>
    </row>
    <row r="55">
      <c r="BC55" s="162" t="inlineStr">
        <is>
          <t>Estilhaço</t>
        </is>
      </c>
      <c r="BD55" s="162" t="inlineStr">
        <is>
          <t>Castigo</t>
        </is>
      </c>
      <c r="BE55" s="164" t="n">
        <v>1</v>
      </c>
      <c r="BF55" s="164">
        <f>$BE55+3*IFERROR(VLOOKUP($BD55,'DADOS_CRIACAO'!$H$2:$K$20,3,FALSE),0)</f>
        <v/>
      </c>
      <c r="BG55" s="164">
        <f>IFERROR(VLOOKUP($BD55,'DADOS_CRIACAO'!$H$2:$K$20,4,FALSE),0)</f>
        <v/>
      </c>
      <c r="BH55" s="164" t="n">
        <v>0</v>
      </c>
      <c r="BI55" s="164">
        <f>IF($BG55=1,"",$BC55)</f>
        <v/>
      </c>
      <c r="BJ55" s="164">
        <f>IF(AND($BE55=1,$BG55=0),$BC55,"")</f>
        <v/>
      </c>
      <c r="BK55" s="164" t="n">
        <v>0</v>
      </c>
      <c r="KU55" s="162" t="inlineStr">
        <is>
          <t>K375</t>
        </is>
      </c>
      <c r="KV55" s="164">
        <f>IF(DADOS_AM!$A$2&lt;&gt;1,"—","−"&amp;DADOS_AM!$HM$33&amp;" PE")</f>
        <v/>
      </c>
    </row>
    <row r="56">
      <c r="BC56" s="162" t="inlineStr">
        <is>
          <t>Quebra Coisa</t>
        </is>
      </c>
      <c r="BD56" s="162" t="inlineStr">
        <is>
          <t>Castigo</t>
        </is>
      </c>
      <c r="BE56" s="164" t="n">
        <v>1</v>
      </c>
      <c r="BF56" s="164">
        <f>$BE56+3*IFERROR(VLOOKUP($BD56,'DADOS_CRIACAO'!$H$2:$K$20,3,FALSE),0)</f>
        <v/>
      </c>
      <c r="BG56" s="164">
        <f>IFERROR(VLOOKUP($BD56,'DADOS_CRIACAO'!$H$2:$K$20,4,FALSE),0)</f>
        <v/>
      </c>
      <c r="BH56" s="164" t="n">
        <v>0</v>
      </c>
      <c r="BI56" s="164">
        <f>IF($BG56=1,"",$BC56)</f>
        <v/>
      </c>
      <c r="BJ56" s="164">
        <f>IF(AND($BE56=1,$BG56=0),$BC56,"")</f>
        <v/>
      </c>
      <c r="BK56" s="164" t="n">
        <v>0</v>
      </c>
      <c r="KU56" s="162" t="inlineStr">
        <is>
          <t>L375</t>
        </is>
      </c>
      <c r="KV56" s="164">
        <f>IF(DADOS_AM!$A$2&lt;&gt;1,"—",50*DADOS_AM!$HM$33&amp;" de vida")</f>
        <v/>
      </c>
    </row>
    <row r="57">
      <c r="BC57" s="162" t="inlineStr">
        <is>
          <t>Rasga Escudo</t>
        </is>
      </c>
      <c r="BD57" s="162" t="inlineStr">
        <is>
          <t>Castigo</t>
        </is>
      </c>
      <c r="BE57" s="164" t="n">
        <v>2</v>
      </c>
      <c r="BF57" s="164">
        <f>$BE57+3*IFERROR(VLOOKUP($BD57,'DADOS_CRIACAO'!$H$2:$K$20,3,FALSE),0)</f>
        <v/>
      </c>
      <c r="BG57" s="164">
        <f>IFERROR(VLOOKUP($BD57,'DADOS_CRIACAO'!$H$2:$K$20,4,FALSE),0)</f>
        <v/>
      </c>
      <c r="BH57" s="164" t="n">
        <v>0</v>
      </c>
      <c r="BI57" s="164">
        <f>IF($BG57=1,"",$BC57)</f>
        <v/>
      </c>
      <c r="BJ57" s="164">
        <f>IF(AND($BE57=1,$BG57=0),$BC57,"")</f>
        <v/>
      </c>
      <c r="BK57" s="164" t="n">
        <v>0</v>
      </c>
      <c r="KU57" s="162" t="inlineStr">
        <is>
          <t>D376</t>
        </is>
      </c>
      <c r="KV57" s="164">
        <f>IF(DADOS_AM!$A$2&lt;&gt;1,"—","Sem barreira"&amp;IF(DADOS_AM!$HM$35="Sem Barreiras"," · a sua",""))</f>
        <v/>
      </c>
    </row>
    <row r="58">
      <c r="BC58" s="162" t="inlineStr">
        <is>
          <t>Sem Cura</t>
        </is>
      </c>
      <c r="BD58" s="162" t="inlineStr">
        <is>
          <t>Castigo</t>
        </is>
      </c>
      <c r="BE58" s="164" t="n">
        <v>2</v>
      </c>
      <c r="BF58" s="164">
        <f>$BE58+3*IFERROR(VLOOKUP($BD58,'DADOS_CRIACAO'!$H$2:$K$20,3,FALSE),0)</f>
        <v/>
      </c>
      <c r="BG58" s="164">
        <f>IFERROR(VLOOKUP($BD58,'DADOS_CRIACAO'!$H$2:$K$20,4,FALSE),0)</f>
        <v/>
      </c>
      <c r="BH58" s="164" t="n">
        <v>0</v>
      </c>
      <c r="BI58" s="164">
        <f>IF($BG58=1,"",$BC58)</f>
        <v/>
      </c>
      <c r="BJ58" s="164">
        <f>IF(AND($BE58=1,$BG58=0),$BC58,"")</f>
        <v/>
      </c>
      <c r="BK58" s="164" t="n">
        <v>0</v>
      </c>
      <c r="KU58" s="162" t="inlineStr">
        <is>
          <t>F376</t>
        </is>
      </c>
      <c r="KV58" s="164">
        <f>IF(DADOS_AM!$A$2&lt;&gt;1,"—",7*DADOS_AM!$HM$4)</f>
        <v/>
      </c>
    </row>
    <row r="59">
      <c r="BC59" s="162" t="inlineStr">
        <is>
          <t>Rápido</t>
        </is>
      </c>
      <c r="BD59" s="162" t="inlineStr">
        <is>
          <t>Tempo</t>
        </is>
      </c>
      <c r="BE59" s="164" t="n">
        <v>3</v>
      </c>
      <c r="BF59" s="164">
        <f>$BE59+3*IFERROR(VLOOKUP($BD59,'DADOS_CRIACAO'!$H$2:$K$20,3,FALSE),0)</f>
        <v/>
      </c>
      <c r="BG59" s="164">
        <f>IFERROR(VLOOKUP($BD59,'DADOS_CRIACAO'!$H$2:$K$20,4,FALSE),0)</f>
        <v/>
      </c>
      <c r="BH59" s="164" t="n">
        <v>0</v>
      </c>
      <c r="BI59" s="164">
        <f>IF($BG59=1,"",$BC59)</f>
        <v/>
      </c>
      <c r="BJ59" s="164">
        <f>IF(AND($BE59=1,$BG59=0),$BC59,"")</f>
        <v/>
      </c>
      <c r="BK59" s="164" t="n">
        <v>0</v>
      </c>
      <c r="KU59" s="162" t="inlineStr">
        <is>
          <t>G376</t>
        </is>
      </c>
      <c r="KV59" s="164">
        <f>IF(DADOS_AM!$A$2&lt;&gt;1,"—",DADOS_AM!$HM$33&amp;IF(DADOS_AM!$HM$33&gt;1," rodadas"," rodada"))</f>
        <v/>
      </c>
    </row>
    <row r="60">
      <c r="BC60" s="162" t="inlineStr">
        <is>
          <t>Reação</t>
        </is>
      </c>
      <c r="BD60" s="162" t="inlineStr">
        <is>
          <t>Tempo</t>
        </is>
      </c>
      <c r="BE60" s="164" t="n">
        <v>3</v>
      </c>
      <c r="BF60" s="164">
        <f>$BE60+3*IFERROR(VLOOKUP($BD60,'DADOS_CRIACAO'!$H$2:$K$20,3,FALSE),0)</f>
        <v/>
      </c>
      <c r="BG60" s="164">
        <f>IFERROR(VLOOKUP($BD60,'DADOS_CRIACAO'!$H$2:$K$20,4,FALSE),0)</f>
        <v/>
      </c>
      <c r="BH60" s="164" t="n">
        <v>0</v>
      </c>
      <c r="BI60" s="164">
        <f>IF($BG60=1,"",$BC60)</f>
        <v/>
      </c>
      <c r="BJ60" s="164">
        <f>IF(AND($BE60=1,$BG60=0),$BC60,"")</f>
        <v/>
      </c>
      <c r="BK60" s="164" t="n">
        <v>0</v>
      </c>
      <c r="KU60" s="162" t="inlineStr">
        <is>
          <t>K376</t>
        </is>
      </c>
      <c r="KV60" s="164">
        <f>IF(DADOS_AM!$A$2&lt;&gt;1,"—","−"&amp;2*DADOS_AM!$HM$3&amp;" PE")</f>
        <v/>
      </c>
    </row>
    <row r="61">
      <c r="BC61" s="162" t="inlineStr">
        <is>
          <t>Armado</t>
        </is>
      </c>
      <c r="BD61" s="162" t="inlineStr">
        <is>
          <t>Tempo</t>
        </is>
      </c>
      <c r="BE61" s="164" t="n">
        <v>1</v>
      </c>
      <c r="BF61" s="164">
        <f>$BE61+3*IFERROR(VLOOKUP($BD61,'DADOS_CRIACAO'!$H$2:$K$20,3,FALSE),0)</f>
        <v/>
      </c>
      <c r="BG61" s="164">
        <f>IFERROR(VLOOKUP($BD61,'DADOS_CRIACAO'!$H$2:$K$20,4,FALSE),0)</f>
        <v/>
      </c>
      <c r="BH61" s="164" t="n">
        <v>0</v>
      </c>
      <c r="BI61" s="164">
        <f>IF($BG61=1,"",$BC61)</f>
        <v/>
      </c>
      <c r="BJ61" s="164">
        <f>IF(AND($BE61=1,$BG61=0),$BC61,"")</f>
        <v/>
      </c>
      <c r="BK61" s="164" t="n">
        <v>0</v>
      </c>
      <c r="KU61" s="162" t="inlineStr">
        <is>
          <t>D434</t>
        </is>
      </c>
      <c r="KV61" s="164">
        <f>UPPER(INDEX(DADOS_AM!$D$6:$G$6,1,DADOS_AM!$A$2)&amp;" e "&amp;INDEX(DADOS_AM!$D$7:$G$7,1,DADOS_AM!$A$2))</f>
        <v/>
      </c>
    </row>
    <row r="62">
      <c r="BC62" s="162" t="inlineStr">
        <is>
          <t>Silencioso</t>
        </is>
      </c>
      <c r="BD62" s="162" t="inlineStr">
        <is>
          <t>Tempo</t>
        </is>
      </c>
      <c r="BE62" s="164" t="n">
        <v>1</v>
      </c>
      <c r="BF62" s="164">
        <f>$BE62+3*IFERROR(VLOOKUP($BD62,'DADOS_CRIACAO'!$H$2:$K$20,3,FALSE),0)</f>
        <v/>
      </c>
      <c r="BG62" s="164">
        <f>IFERROR(VLOOKUP($BD62,'DADOS_CRIACAO'!$H$2:$K$20,4,FALSE),0)</f>
        <v/>
      </c>
      <c r="BH62" s="164" t="n">
        <v>0</v>
      </c>
      <c r="BI62" s="164">
        <f>IF($BG62=1,"",$BC62)</f>
        <v/>
      </c>
      <c r="BJ62" s="164">
        <f>IF(AND($BE62=1,$BG62=0),$BC62,"")</f>
        <v/>
      </c>
      <c r="BK62" s="164" t="n">
        <v>0</v>
      </c>
      <c r="KU62" s="162" t="inlineStr">
        <is>
          <t>D436</t>
        </is>
      </c>
      <c r="KV62" s="164">
        <f>UPPER(INDEX(DADOS_AM!$D$7:$G$7,1,DADOS_AM!$A$2))</f>
        <v/>
      </c>
    </row>
    <row r="63">
      <c r="BC63" s="162" t="inlineStr">
        <is>
          <t>Adianta</t>
        </is>
      </c>
      <c r="BD63" s="162" t="inlineStr">
        <is>
          <t>Tempo</t>
        </is>
      </c>
      <c r="BE63" s="164" t="n">
        <v>2</v>
      </c>
      <c r="BF63" s="164">
        <f>$BE63+3*IFERROR(VLOOKUP($BD63,'DADOS_CRIACAO'!$H$2:$K$20,3,FALSE),0)</f>
        <v/>
      </c>
      <c r="BG63" s="164">
        <f>IFERROR(VLOOKUP($BD63,'DADOS_CRIACAO'!$H$2:$K$20,4,FALSE),0)</f>
        <v/>
      </c>
      <c r="BH63" s="164" t="n">
        <v>0</v>
      </c>
      <c r="BI63" s="164">
        <f>IF($BG63=1,"",$BC63)</f>
        <v/>
      </c>
      <c r="BJ63" s="164">
        <f>IF(AND($BE63=1,$BG63=0),$BC63,"")</f>
        <v/>
      </c>
      <c r="BK63" s="164" t="n">
        <v>0</v>
      </c>
      <c r="KU63" s="162" t="inlineStr">
        <is>
          <t>F437</t>
        </is>
      </c>
      <c r="KV63" s="164">
        <f>IF(DADOS_AM!$HM$25&gt;DADOS_AM!$HM$26,"⚠ ","")&amp;DADOS_AM!$HM$25&amp;" de "&amp;DADOS_AM!$HM$26</f>
        <v/>
      </c>
    </row>
    <row r="64">
      <c r="BC64" s="162" t="inlineStr">
        <is>
          <t>Segura</t>
        </is>
      </c>
      <c r="BD64" s="162" t="inlineStr">
        <is>
          <t>Tempo</t>
        </is>
      </c>
      <c r="BE64" s="164" t="n">
        <v>1</v>
      </c>
      <c r="BF64" s="164">
        <f>$BE64+3*IFERROR(VLOOKUP($BD64,'DADOS_CRIACAO'!$H$2:$K$20,3,FALSE),0)</f>
        <v/>
      </c>
      <c r="BG64" s="164">
        <f>IFERROR(VLOOKUP($BD64,'DADOS_CRIACAO'!$H$2:$K$20,4,FALSE),0)</f>
        <v/>
      </c>
      <c r="BH64" s="164" t="n">
        <v>0</v>
      </c>
      <c r="BI64" s="164">
        <f>IF($BG64=1,"",$BC64)</f>
        <v/>
      </c>
      <c r="BJ64" s="164">
        <f>IF(AND($BE64=1,$BG64=0),$BC64,"")</f>
        <v/>
      </c>
      <c r="BK64" s="164" t="n">
        <v>0</v>
      </c>
      <c r="KU64" s="162" t="inlineStr">
        <is>
          <t>J436</t>
        </is>
      </c>
      <c r="KV64" s="164">
        <f>UPPER(INDEX(DADOS_AM!$D$9:$G$9,1,DADOS_AM!$A$2))</f>
        <v/>
      </c>
    </row>
    <row r="65">
      <c r="BC65" s="162" t="inlineStr">
        <is>
          <t>Concentrada</t>
        </is>
      </c>
      <c r="BD65" s="162" t="inlineStr">
        <is>
          <t>Tempo</t>
        </is>
      </c>
      <c r="BE65" s="164" t="n">
        <v>1</v>
      </c>
      <c r="BF65" s="164">
        <f>$BE65+3*IFERROR(VLOOKUP($BD65,'DADOS_CRIACAO'!$H$2:$K$20,3,FALSE),0)</f>
        <v/>
      </c>
      <c r="BG65" s="164">
        <f>IFERROR(VLOOKUP($BD65,'DADOS_CRIACAO'!$H$2:$K$20,4,FALSE),0)</f>
        <v/>
      </c>
      <c r="BH65" s="164" t="n">
        <v>0</v>
      </c>
      <c r="BI65" s="164">
        <f>IF($BG65=1,"",$BC65)</f>
        <v/>
      </c>
      <c r="BJ65" s="164">
        <f>IF(AND($BE65=1,$BG65=0),$BC65,"")</f>
        <v/>
      </c>
      <c r="BK65" s="164" t="n">
        <v>0</v>
      </c>
      <c r="KU65" s="162" t="inlineStr">
        <is>
          <t>J437</t>
        </is>
      </c>
      <c r="KV65" s="164">
        <f>"Proteção "&amp;(FLOOR(DADOS_AM!$HM$6/3,1)+1)</f>
        <v/>
      </c>
    </row>
    <row r="66">
      <c r="BC66" s="162" t="inlineStr">
        <is>
          <t>Duradoura</t>
        </is>
      </c>
      <c r="BD66" s="162" t="inlineStr">
        <is>
          <t>Tempo</t>
        </is>
      </c>
      <c r="BE66" s="164" t="n">
        <v>2</v>
      </c>
      <c r="BF66" s="164">
        <f>$BE66+3*IFERROR(VLOOKUP($BD66,'DADOS_CRIACAO'!$H$2:$K$20,3,FALSE),0)</f>
        <v/>
      </c>
      <c r="BG66" s="164">
        <f>IFERROR(VLOOKUP($BD66,'DADOS_CRIACAO'!$H$2:$K$20,4,FALSE),0)</f>
        <v/>
      </c>
      <c r="BH66" s="164" t="n">
        <v>0</v>
      </c>
      <c r="BI66" s="164">
        <f>IF($BG66=1,"",$BC66)</f>
        <v/>
      </c>
      <c r="BJ66" s="164">
        <f>IF(AND($BE66=1,$BG66=0),$BC66,"")</f>
        <v/>
      </c>
      <c r="BK66" s="164" t="n">
        <v>0</v>
      </c>
      <c r="KU66" s="162" t="inlineStr">
        <is>
          <t>L436</t>
        </is>
      </c>
      <c r="KV66" s="164">
        <f>UPPER(INDEX(DADOS_AM!$D$10:$G$10,1,DADOS_AM!$A$2))</f>
        <v/>
      </c>
    </row>
    <row r="67">
      <c r="BC67" s="162" t="inlineStr">
        <is>
          <t>Marca</t>
        </is>
      </c>
      <c r="BD67" s="162" t="inlineStr">
        <is>
          <t>Marca</t>
        </is>
      </c>
      <c r="BE67" s="164" t="n">
        <v>1</v>
      </c>
      <c r="BF67" s="164">
        <f>$BE67+3*IFERROR(VLOOKUP($BD67,'DADOS_CRIACAO'!$H$2:$K$20,3,FALSE),0)</f>
        <v/>
      </c>
      <c r="BG67" s="164">
        <f>IFERROR(VLOOKUP($BD67,'DADOS_CRIACAO'!$H$2:$K$20,4,FALSE),0)</f>
        <v/>
      </c>
      <c r="BH67" s="164" t="n">
        <v>0</v>
      </c>
      <c r="BI67" s="164">
        <f>IF($BG67=1,"",$BC67)</f>
        <v/>
      </c>
      <c r="BJ67" s="164">
        <f>IF(AND($BE67=1,$BG67=0),$BC67,"")</f>
        <v/>
      </c>
      <c r="BK67" s="164" t="n">
        <v>0</v>
      </c>
      <c r="KU67" s="162" t="inlineStr">
        <is>
          <t>L437</t>
        </is>
      </c>
      <c r="KV67" s="164">
        <f>"+"&amp;IF(DADOS_AM!$HM$6&gt;=9,4,IF(DADOS_AM!$HM$6&gt;=6,3,IF(DADOS_AM!$HM$6&gt;=3,2,1)))&amp;IF(DADOS_AM!$HM$6&gt;=10,"d6","d4")&amp;" na arma"</f>
        <v/>
      </c>
    </row>
    <row r="68">
      <c r="BC68" s="162" t="inlineStr">
        <is>
          <t>Alvo de Caça</t>
        </is>
      </c>
      <c r="BD68" s="162" t="inlineStr">
        <is>
          <t>Marca</t>
        </is>
      </c>
      <c r="BE68" s="164" t="n">
        <v>1</v>
      </c>
      <c r="BF68" s="164">
        <f>$BE68+3*IFERROR(VLOOKUP($BD68,'DADOS_CRIACAO'!$H$2:$K$20,3,FALSE),0)</f>
        <v/>
      </c>
      <c r="BG68" s="164">
        <f>IFERROR(VLOOKUP($BD68,'DADOS_CRIACAO'!$H$2:$K$20,4,FALSE),0)</f>
        <v/>
      </c>
      <c r="BH68" s="164" t="n">
        <v>0</v>
      </c>
      <c r="BI68" s="164">
        <f>IF($BG68=1,"",$BC68)</f>
        <v/>
      </c>
      <c r="BJ68" s="164">
        <f>IF(AND($BE68=1,$BG68=0),$BC68,"")</f>
        <v/>
      </c>
      <c r="BK68" s="164" t="n">
        <v>0</v>
      </c>
      <c r="KU68" s="162" t="inlineStr">
        <is>
          <t>P436</t>
        </is>
      </c>
      <c r="KV68" s="164">
        <f>UPPER(INDEX(DADOS_AM!$D$11:$G$11,1,DADOS_AM!$A$2))</f>
        <v/>
      </c>
    </row>
    <row r="69">
      <c r="BC69" s="162" t="inlineStr">
        <is>
          <t>Rastro</t>
        </is>
      </c>
      <c r="BD69" s="162" t="inlineStr">
        <is>
          <t>Marca</t>
        </is>
      </c>
      <c r="BE69" s="164" t="n">
        <v>1</v>
      </c>
      <c r="BF69" s="164">
        <f>$BE69+3*IFERROR(VLOOKUP($BD69,'DADOS_CRIACAO'!$H$2:$K$20,3,FALSE),0)</f>
        <v/>
      </c>
      <c r="BG69" s="164">
        <f>IFERROR(VLOOKUP($BD69,'DADOS_CRIACAO'!$H$2:$K$20,4,FALSE),0)</f>
        <v/>
      </c>
      <c r="BH69" s="164" t="n">
        <v>0</v>
      </c>
      <c r="BI69" s="164">
        <f>IF($BG69=1,"",$BC69)</f>
        <v/>
      </c>
      <c r="BJ69" s="164">
        <f>IF(AND($BE69=1,$BG69=0),$BC69,"")</f>
        <v/>
      </c>
      <c r="BK69" s="164" t="n">
        <v>0</v>
      </c>
      <c r="KU69" s="162" t="inlineStr">
        <is>
          <t>P437</t>
        </is>
      </c>
      <c r="KV69" s="164">
        <f>"RD "&amp;FLOOR(1.5*DADOS_AM!$HM$6,1)&amp;" por 2 PE"</f>
        <v/>
      </c>
    </row>
    <row r="70">
      <c r="BC70" s="162" t="inlineStr">
        <is>
          <t>Isca</t>
        </is>
      </c>
      <c r="BD70" s="162" t="inlineStr">
        <is>
          <t>Marca</t>
        </is>
      </c>
      <c r="BE70" s="164" t="n">
        <v>1</v>
      </c>
      <c r="BF70" s="164">
        <f>$BE70+3*IFERROR(VLOOKUP($BD70,'DADOS_CRIACAO'!$H$2:$K$20,3,FALSE),0)</f>
        <v/>
      </c>
      <c r="BG70" s="164">
        <f>IFERROR(VLOOKUP($BD70,'DADOS_CRIACAO'!$H$2:$K$20,4,FALSE),0)</f>
        <v/>
      </c>
      <c r="BH70" s="164" t="n">
        <v>0</v>
      </c>
      <c r="BI70" s="164">
        <f>IF($BG70=1,"",$BC70)</f>
        <v/>
      </c>
      <c r="BJ70" s="164">
        <f>IF(AND($BE70=1,$BG70=0),$BC70,"")</f>
        <v/>
      </c>
      <c r="BK70" s="164" t="n">
        <v>0</v>
      </c>
      <c r="KU70" s="162" t="inlineStr">
        <is>
          <t>D440</t>
        </is>
      </c>
      <c r="KV70" s="164">
        <f>IF(DADOS_AM!$A$2=4,"ESTÍMULO: PERÍCIA","—")</f>
        <v/>
      </c>
    </row>
    <row r="71">
      <c r="BC71" s="162" t="inlineStr">
        <is>
          <t>Sugar</t>
        </is>
      </c>
      <c r="BD71" s="162" t="inlineStr">
        <is>
          <t>Marca</t>
        </is>
      </c>
      <c r="BE71" s="164" t="n">
        <v>2</v>
      </c>
      <c r="BF71" s="164">
        <f>$BE71+3*IFERROR(VLOOKUP($BD71,'DADOS_CRIACAO'!$H$2:$K$20,3,FALSE),0)</f>
        <v/>
      </c>
      <c r="BG71" s="164">
        <f>IFERROR(VLOOKUP($BD71,'DADOS_CRIACAO'!$H$2:$K$20,4,FALSE),0)</f>
        <v/>
      </c>
      <c r="BH71" s="164" t="n">
        <v>0</v>
      </c>
      <c r="BI71" s="164">
        <f>IF($BG71=1,"",$BC71)</f>
        <v/>
      </c>
      <c r="BJ71" s="164">
        <f>IF(AND($BE71=1,$BG71=0),$BC71,"")</f>
        <v/>
      </c>
      <c r="BK71" s="164" t="n">
        <v>0</v>
      </c>
      <c r="KU71" s="162" t="inlineStr">
        <is>
          <t>J440</t>
        </is>
      </c>
      <c r="KV71" s="164">
        <f>IF(DADOS_AM!$A$2=4,"ESTÍMULO: TESTE DE RESISTÊNCIA","—")</f>
        <v/>
      </c>
    </row>
    <row r="72">
      <c r="BC72" s="162" t="inlineStr">
        <is>
          <t>Cobrança</t>
        </is>
      </c>
      <c r="BD72" s="162" t="inlineStr">
        <is>
          <t>Marca</t>
        </is>
      </c>
      <c r="BE72" s="164" t="n">
        <v>2</v>
      </c>
      <c r="BF72" s="164">
        <f>$BE72+3*IFERROR(VLOOKUP($BD72,'DADOS_CRIACAO'!$H$2:$K$20,3,FALSE),0)</f>
        <v/>
      </c>
      <c r="BG72" s="164">
        <f>IFERROR(VLOOKUP($BD72,'DADOS_CRIACAO'!$H$2:$K$20,4,FALSE),0)</f>
        <v/>
      </c>
      <c r="BH72" s="164" t="n">
        <v>0</v>
      </c>
      <c r="BI72" s="164">
        <f>IF($BG72=1,"",$BC72)</f>
        <v/>
      </c>
      <c r="BJ72" s="164">
        <f>IF(AND($BE72=1,$BG72=0),$BC72,"")</f>
        <v/>
      </c>
      <c r="BK72" s="164" t="n">
        <v>0</v>
      </c>
      <c r="KU72" s="162" t="inlineStr">
        <is>
          <t>P440</t>
        </is>
      </c>
      <c r="KV72" s="164">
        <f>IF(DADOS_AM!$A$2=4,"ESTÍMULO: USOS","—")</f>
        <v/>
      </c>
    </row>
    <row r="73">
      <c r="BC73" s="162" t="inlineStr">
        <is>
          <t>Identificar Feitiço</t>
        </is>
      </c>
      <c r="BD73" s="162" t="inlineStr">
        <is>
          <t>Marca</t>
        </is>
      </c>
      <c r="BE73" s="164" t="n">
        <v>1</v>
      </c>
      <c r="BF73" s="164">
        <f>$BE73+3*IFERROR(VLOOKUP($BD73,'DADOS_CRIACAO'!$H$2:$K$20,3,FALSE),0)</f>
        <v/>
      </c>
      <c r="BG73" s="164">
        <f>IFERROR(VLOOKUP($BD73,'DADOS_CRIACAO'!$H$2:$K$20,4,FALSE),0)</f>
        <v/>
      </c>
      <c r="BH73" s="164" t="n">
        <v>0</v>
      </c>
      <c r="BI73" s="164">
        <f>IF($BG73=1,"",$BC73)</f>
        <v/>
      </c>
      <c r="BJ73" s="164">
        <f>IF(AND($BE73=1,$BG73=0),$BC73,"")</f>
        <v/>
      </c>
      <c r="BK73" s="164" t="n">
        <v>0</v>
      </c>
      <c r="KU73" s="162" t="inlineStr">
        <is>
          <t>P441</t>
        </is>
      </c>
      <c r="KV73" s="164">
        <f>IF(DADOS_AM!$A$2=4,DADOS_AM!$HM$50,"—")</f>
        <v/>
      </c>
    </row>
    <row r="74">
      <c r="BC74" s="162" t="inlineStr">
        <is>
          <t>Limpa</t>
        </is>
      </c>
      <c r="BD74" s="162" t="inlineStr">
        <is>
          <t>Amparo</t>
        </is>
      </c>
      <c r="BE74" s="164" t="n">
        <v>2</v>
      </c>
      <c r="BF74" s="164">
        <f>$BE74+3*IFERROR(VLOOKUP($BD74,'DADOS_CRIACAO'!$H$2:$K$20,3,FALSE),0)</f>
        <v/>
      </c>
      <c r="BG74" s="164">
        <f>IFERROR(VLOOKUP($BD74,'DADOS_CRIACAO'!$H$2:$K$20,4,FALSE),0)</f>
        <v/>
      </c>
      <c r="BH74" s="164" t="n">
        <v>0</v>
      </c>
      <c r="BI74" s="164">
        <f>IF($BG74=1,"",$BC74)</f>
        <v/>
      </c>
      <c r="BJ74" s="164">
        <f>IF(AND($BE74=1,$BG74=0),$BC74,"")</f>
        <v/>
      </c>
      <c r="BK74" s="164" t="n">
        <v>0</v>
      </c>
      <c r="KU74" s="162" t="inlineStr">
        <is>
          <t>D459</t>
        </is>
      </c>
      <c r="KV74" s="164">
        <f>UPPER(INDEX(DADOS_AM!$D$8:$G$8,1,DADOS_AM!$A$2))</f>
        <v/>
      </c>
    </row>
    <row r="75">
      <c r="BC75" s="162" t="inlineStr">
        <is>
          <t>Limpa Fundo</t>
        </is>
      </c>
      <c r="BD75" s="162" t="inlineStr">
        <is>
          <t>Amparo</t>
        </is>
      </c>
      <c r="BE75" s="164" t="n">
        <v>3</v>
      </c>
      <c r="BF75" s="164">
        <f>$BE75+3*IFERROR(VLOOKUP($BD75,'DADOS_CRIACAO'!$H$2:$K$20,3,FALSE),0)</f>
        <v/>
      </c>
      <c r="BG75" s="164">
        <f>IFERROR(VLOOKUP($BD75,'DADOS_CRIACAO'!$H$2:$K$20,4,FALSE),0)</f>
        <v/>
      </c>
      <c r="BH75" s="164" t="n">
        <v>0</v>
      </c>
      <c r="BI75" s="164">
        <f>IF($BG75=1,"",$BC75)</f>
        <v/>
      </c>
      <c r="BJ75" s="164">
        <f>IF(AND($BE75=1,$BG75=0),$BC75,"")</f>
        <v/>
      </c>
      <c r="BK75" s="164" t="n">
        <v>0</v>
      </c>
      <c r="KU75" s="162" t="inlineStr">
        <is>
          <t>J459</t>
        </is>
      </c>
      <c r="KV75" s="164">
        <f>UPPER(INDEX(DADOS_AM!$D$8:$G$8,1,DADOS_AM!$A$2))</f>
        <v/>
      </c>
    </row>
    <row r="76">
      <c r="BC76" s="162" t="inlineStr">
        <is>
          <t>Levanta</t>
        </is>
      </c>
      <c r="BD76" s="162" t="inlineStr">
        <is>
          <t>Amparo</t>
        </is>
      </c>
      <c r="BE76" s="164" t="n">
        <v>3</v>
      </c>
      <c r="BF76" s="164">
        <f>$BE76+3*IFERROR(VLOOKUP($BD76,'DADOS_CRIACAO'!$H$2:$K$20,3,FALSE),0)</f>
        <v/>
      </c>
      <c r="BG76" s="164">
        <f>IFERROR(VLOOKUP($BD76,'DADOS_CRIACAO'!$H$2:$K$20,4,FALSE),0)</f>
        <v/>
      </c>
      <c r="BH76" s="164" t="n">
        <v>0</v>
      </c>
      <c r="BI76" s="164">
        <f>IF($BG76=1,"",$BC76)</f>
        <v/>
      </c>
      <c r="BJ76" s="164">
        <f>IF(AND($BE76=1,$BG76=0),$BC76,"")</f>
        <v/>
      </c>
      <c r="BK76" s="164" t="n">
        <v>0</v>
      </c>
      <c r="KU76" s="162" t="inlineStr">
        <is>
          <t>P459</t>
        </is>
      </c>
      <c r="KV76" s="164">
        <f>UPPER(INDEX(DADOS_AM!$D$8:$G$8,1,DADOS_AM!$A$2))</f>
        <v/>
      </c>
    </row>
    <row r="77">
      <c r="BC77" s="162" t="inlineStr">
        <is>
          <t>Remenda</t>
        </is>
      </c>
      <c r="BD77" s="162" t="inlineStr">
        <is>
          <t>Amparo</t>
        </is>
      </c>
      <c r="BE77" s="164" t="n">
        <v>3</v>
      </c>
      <c r="BF77" s="164">
        <f>$BE77+3*IFERROR(VLOOKUP($BD77,'DADOS_CRIACAO'!$H$2:$K$20,3,FALSE),0)</f>
        <v/>
      </c>
      <c r="BG77" s="164">
        <f>IFERROR(VLOOKUP($BD77,'DADOS_CRIACAO'!$H$2:$K$20,4,FALSE),0)</f>
        <v/>
      </c>
      <c r="BH77" s="164" t="n">
        <v>0</v>
      </c>
      <c r="BI77" s="164">
        <f>IF($BG77=1,"",$BC77)</f>
        <v/>
      </c>
      <c r="BJ77" s="164">
        <f>IF(AND($BE77=1,$BG77=0),$BC77,"")</f>
        <v/>
      </c>
      <c r="BK77" s="164" t="n">
        <v>0</v>
      </c>
      <c r="KU77" s="162" t="inlineStr">
        <is>
          <t>D479</t>
        </is>
      </c>
      <c r="KV77" s="164">
        <f>UPPER(INDEX(DADOS_AM!$D$8:$G$8,1,DADOS_AM!$A$2))</f>
        <v/>
      </c>
    </row>
    <row r="78">
      <c r="BC78" s="162" t="inlineStr">
        <is>
          <t>Divide</t>
        </is>
      </c>
      <c r="BD78" s="162" t="inlineStr">
        <is>
          <t>Amparo</t>
        </is>
      </c>
      <c r="BE78" s="164" t="n">
        <v>2</v>
      </c>
      <c r="BF78" s="164">
        <f>$BE78+3*IFERROR(VLOOKUP($BD78,'DADOS_CRIACAO'!$H$2:$K$20,3,FALSE),0)</f>
        <v/>
      </c>
      <c r="BG78" s="164">
        <f>IFERROR(VLOOKUP($BD78,'DADOS_CRIACAO'!$H$2:$K$20,4,FALSE),0)</f>
        <v/>
      </c>
      <c r="BH78" s="164" t="n">
        <v>0</v>
      </c>
      <c r="BI78" s="164">
        <f>IF($BG78=1,"",$BC78)</f>
        <v/>
      </c>
      <c r="BJ78" s="164">
        <f>IF(AND($BE78=1,$BG78=0),$BC78,"")</f>
        <v/>
      </c>
      <c r="BK78" s="164" t="n">
        <v>0</v>
      </c>
      <c r="KU78" s="162" t="inlineStr">
        <is>
          <t>J479</t>
        </is>
      </c>
      <c r="KV78" s="164">
        <f>UPPER(INDEX(DADOS_AM!$D$8:$G$8,1,DADOS_AM!$A$2))</f>
        <v/>
      </c>
    </row>
    <row r="79">
      <c r="BC79" s="162" t="inlineStr">
        <is>
          <t>Junto</t>
        </is>
      </c>
      <c r="BD79" s="162" t="inlineStr">
        <is>
          <t>Amparo</t>
        </is>
      </c>
      <c r="BE79" s="164" t="n">
        <v>1</v>
      </c>
      <c r="BF79" s="164">
        <f>$BE79+3*IFERROR(VLOOKUP($BD79,'DADOS_CRIACAO'!$H$2:$K$20,3,FALSE),0)</f>
        <v/>
      </c>
      <c r="BG79" s="164">
        <f>IFERROR(VLOOKUP($BD79,'DADOS_CRIACAO'!$H$2:$K$20,4,FALSE),0)</f>
        <v/>
      </c>
      <c r="BH79" s="164" t="n">
        <v>0</v>
      </c>
      <c r="BI79" s="164">
        <f>IF($BG79=1,"",$BC79)</f>
        <v/>
      </c>
      <c r="BJ79" s="164">
        <f>IF(AND($BE79=1,$BG79=0),$BC79,"")</f>
        <v/>
      </c>
      <c r="BK79" s="164" t="n">
        <v>0</v>
      </c>
      <c r="KU79" s="162" t="inlineStr">
        <is>
          <t>P479</t>
        </is>
      </c>
      <c r="KV79" s="164">
        <f>UPPER(INDEX(DADOS_AM!$D$8:$G$8,1,DADOS_AM!$A$2))</f>
        <v/>
      </c>
    </row>
    <row r="80">
      <c r="BC80" s="162" t="inlineStr">
        <is>
          <t>Reserva</t>
        </is>
      </c>
      <c r="BD80" s="162" t="inlineStr">
        <is>
          <t>Amparo</t>
        </is>
      </c>
      <c r="BE80" s="164" t="n">
        <v>2</v>
      </c>
      <c r="BF80" s="164">
        <f>$BE80+3*IFERROR(VLOOKUP($BD80,'DADOS_CRIACAO'!$H$2:$K$20,3,FALSE),0)</f>
        <v/>
      </c>
      <c r="BG80" s="164">
        <f>IFERROR(VLOOKUP($BD80,'DADOS_CRIACAO'!$H$2:$K$20,4,FALSE),0)</f>
        <v/>
      </c>
      <c r="BH80" s="164" t="n">
        <v>0</v>
      </c>
      <c r="BI80" s="164">
        <f>IF($BG80=1,"",$BC80)</f>
        <v/>
      </c>
      <c r="BJ80" s="164">
        <f>IF(AND($BE80=1,$BG80=0),$BC80,"")</f>
        <v/>
      </c>
      <c r="BK80" s="164" t="n">
        <v>0</v>
      </c>
      <c r="KU80" s="162" t="inlineStr">
        <is>
          <t>D501</t>
        </is>
      </c>
      <c r="KV80" s="164">
        <f>UPPER(INDEX(DADOS_AM!$D$8:$G$8,1,DADOS_AM!$A$2))</f>
        <v/>
      </c>
    </row>
    <row r="81">
      <c r="BC81" s="162" t="inlineStr">
        <is>
          <t>Efeito Próprio (Leve)</t>
        </is>
      </c>
      <c r="BD81" s="162" t="inlineStr"/>
      <c r="BE81" s="164" t="n">
        <v>1</v>
      </c>
      <c r="BF81" s="164">
        <f>$BE81+3*IFERROR(VLOOKUP($BD81,'DADOS_CRIACAO'!$H$2:$K$20,3,FALSE),0)</f>
        <v/>
      </c>
      <c r="BG81" s="164">
        <f>IFERROR(VLOOKUP($BD81,'DADOS_CRIACAO'!$H$2:$K$20,4,FALSE),0)</f>
        <v/>
      </c>
      <c r="BH81" s="164" t="n">
        <v>0</v>
      </c>
      <c r="BI81" s="164">
        <f>IF($BG81=1,"",$BC81)</f>
        <v/>
      </c>
      <c r="BJ81" s="164">
        <f>IF(AND($BE81=1,$BG81=0),$BC81,"")</f>
        <v/>
      </c>
      <c r="BK81" s="164" t="n">
        <v>0</v>
      </c>
      <c r="KU81" s="162" t="inlineStr">
        <is>
          <t>J501</t>
        </is>
      </c>
      <c r="KV81" s="164">
        <f>UPPER(INDEX(DADOS_AM!$D$8:$G$8,1,DADOS_AM!$A$2))</f>
        <v/>
      </c>
    </row>
    <row r="82">
      <c r="BC82" s="162" t="inlineStr">
        <is>
          <t>Efeito Próprio (Média)</t>
        </is>
      </c>
      <c r="BD82" s="162" t="inlineStr"/>
      <c r="BE82" s="164" t="n">
        <v>2</v>
      </c>
      <c r="BF82" s="164">
        <f>$BE82+3*IFERROR(VLOOKUP($BD82,'DADOS_CRIACAO'!$H$2:$K$20,3,FALSE),0)</f>
        <v/>
      </c>
      <c r="BG82" s="164">
        <f>IFERROR(VLOOKUP($BD82,'DADOS_CRIACAO'!$H$2:$K$20,4,FALSE),0)</f>
        <v/>
      </c>
      <c r="BH82" s="164" t="n">
        <v>0</v>
      </c>
      <c r="BI82" s="164">
        <f>IF($BG82=1,"",$BC82)</f>
        <v/>
      </c>
      <c r="BJ82" s="164">
        <f>IF(AND($BE82=1,$BG82=0),$BC82,"")</f>
        <v/>
      </c>
      <c r="BK82" s="164" t="n">
        <v>0</v>
      </c>
      <c r="KU82" s="162" t="inlineStr">
        <is>
          <t>P501</t>
        </is>
      </c>
      <c r="KV82" s="164">
        <f>UPPER(INDEX(DADOS_AM!$D$8:$G$8,1,DADOS_AM!$A$2))</f>
        <v/>
      </c>
    </row>
    <row r="83">
      <c r="BC83" s="162" t="inlineStr">
        <is>
          <t>Efeito Próprio (Pesada)</t>
        </is>
      </c>
      <c r="BD83" s="162" t="inlineStr"/>
      <c r="BE83" s="164" t="n">
        <v>3</v>
      </c>
      <c r="BF83" s="164">
        <f>$BE83+3*IFERROR(VLOOKUP($BD83,'DADOS_CRIACAO'!$H$2:$K$20,3,FALSE),0)</f>
        <v/>
      </c>
      <c r="BG83" s="164">
        <f>IFERROR(VLOOKUP($BD83,'DADOS_CRIACAO'!$H$2:$K$20,4,FALSE),0)</f>
        <v/>
      </c>
      <c r="BH83" s="164" t="n">
        <v>0</v>
      </c>
      <c r="BI83" s="164">
        <f>IF($BG83=1,"",$BC83)</f>
        <v/>
      </c>
      <c r="BJ83" s="164">
        <f>IF(AND($BE83=1,$BG83=0),$BC83,"")</f>
        <v/>
      </c>
      <c r="BK83" s="164" t="n">
        <v>0</v>
      </c>
      <c r="KU83" s="162" t="inlineStr">
        <is>
          <t>D521</t>
        </is>
      </c>
      <c r="KV83" s="164">
        <f>UPPER(INDEX(DADOS_AM!$D$8:$G$8,1,DADOS_AM!$A$2))</f>
        <v/>
      </c>
    </row>
    <row r="84">
      <c r="KU84" s="162" t="inlineStr">
        <is>
          <t>J521</t>
        </is>
      </c>
      <c r="KV84" s="164">
        <f>UPPER(INDEX(DADOS_AM!$D$8:$G$8,1,DADOS_AM!$A$2))</f>
        <v/>
      </c>
    </row>
    <row r="85">
      <c r="KU85" s="162" t="inlineStr">
        <is>
          <t>P521</t>
        </is>
      </c>
      <c r="KV85" s="164">
        <f>UPPER(INDEX(DADOS_AM!$D$8:$G$8,1,DADOS_AM!$A$2))</f>
        <v/>
      </c>
    </row>
    <row r="86">
      <c r="KU86" s="162" t="inlineStr">
        <is>
          <t>D483</t>
        </is>
      </c>
      <c r="KV86" s="164">
        <f>UPPER(INDEX(DADOS_AM!$D$6:$G$6,1,DADOS_AM!$A$2))&amp;" 7 A 12 · abra quando faltar lugar"</f>
        <v/>
      </c>
    </row>
    <row r="87">
      <c r="KU87" s="162" t="inlineStr">
        <is>
          <t>D528</t>
        </is>
      </c>
      <c r="KV87" s="164">
        <f>IF(AND(DADOS_AM!$HM$27&gt;0,DADOS_AM!$HM$28&gt;DADOS_AM!$HM$29),"⚠ ","")&amp;DADOS_AM!$HM$28&amp;" de "&amp;DADOS_AM!$HM$29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S157"/>
  <sheetViews>
    <sheetView showGridLines="0" workbookViewId="0">
      <selection activeCell="A1" sqref="A1"/>
    </sheetView>
  </sheetViews>
  <sheetFormatPr baseColWidth="8" defaultRowHeight="15.75" customHeight="1"/>
  <cols>
    <col width="19.38" customWidth="1" min="1" max="1"/>
    <col width="19.38" customWidth="1" min="2" max="2"/>
    <col width="19.38" customWidth="1" min="3" max="3"/>
    <col width="19.38" customWidth="1" min="4" max="4"/>
    <col width="19.38" customWidth="1" min="5" max="5"/>
    <col width="19.38" customWidth="1" min="6" max="6"/>
    <col width="19.38" customWidth="1" min="7" max="7"/>
    <col width="19.38" customWidth="1" min="8" max="8"/>
    <col width="19.38" customWidth="1" min="9" max="9"/>
    <col width="19.38" customWidth="1" min="10" max="10"/>
    <col width="19.38" customWidth="1" min="11" max="11"/>
    <col width="19.38" customWidth="1" min="12" max="12"/>
    <col width="19.38" customWidth="1" min="13" max="13"/>
    <col width="19.38" customWidth="1" min="14" max="14"/>
    <col width="19.38" customWidth="1" min="15" max="15"/>
    <col width="19.38" customWidth="1" min="16" max="16"/>
    <col width="19.38" customWidth="1" min="17" max="17"/>
    <col width="19.38" customWidth="1" min="18" max="18"/>
    <col width="19.38" customWidth="1" min="19" max="19"/>
    <col width="19.38" customWidth="1" min="20" max="20"/>
    <col width="19.38" customWidth="1" min="21" max="21"/>
    <col width="19.38" customWidth="1" min="22" max="22"/>
    <col width="19.38" customWidth="1" min="23" max="23"/>
    <col width="19.38" customWidth="1" min="24" max="24"/>
    <col width="19.38" customWidth="1" min="25" max="25"/>
    <col width="19.38" customWidth="1" min="26" max="26"/>
    <col width="19.38" customWidth="1" min="27" max="27"/>
    <col width="19.38" customWidth="1" min="28" max="28"/>
    <col width="19.38" customWidth="1" min="29" max="29"/>
    <col width="19.38" customWidth="1" min="30" max="30"/>
    <col width="19.38" customWidth="1" min="31" max="31"/>
    <col width="19.38" customWidth="1" min="32" max="32"/>
    <col width="19.38" customWidth="1" min="33" max="33"/>
    <col width="19.38" customWidth="1" min="34" max="34"/>
    <col width="19.38" customWidth="1" min="35" max="35"/>
    <col width="19.38" customWidth="1" min="36" max="36"/>
    <col width="19.38" customWidth="1" min="37" max="37"/>
    <col width="19.38" customWidth="1" min="38" max="38"/>
    <col width="19.38" customWidth="1" min="39" max="39"/>
    <col width="19.38" customWidth="1" min="40" max="40"/>
    <col width="19.38" customWidth="1" min="41" max="41"/>
    <col width="19.38" customWidth="1" min="42" max="42"/>
    <col width="19.38" customWidth="1" min="43" max="43"/>
    <col width="19.38" customWidth="1" min="44" max="44"/>
    <col width="19.38" customWidth="1" min="45" max="45"/>
    <col width="19.38" customWidth="1" min="46" max="46"/>
    <col width="19.38" customWidth="1" min="47" max="47"/>
    <col width="19.38" customWidth="1" min="48" max="48"/>
    <col width="19.38" customWidth="1" min="49" max="49"/>
    <col width="19.38" customWidth="1" min="50" max="50"/>
    <col width="19.38" customWidth="1" min="51" max="51"/>
    <col width="19.38" customWidth="1" min="52" max="52"/>
    <col width="19.38" customWidth="1" min="53" max="53"/>
    <col width="19.38" customWidth="1" min="54" max="54"/>
    <col width="19.38" customWidth="1" min="55" max="55"/>
    <col width="19.38" customWidth="1" min="56" max="56"/>
    <col width="19.38" customWidth="1" min="57" max="57"/>
    <col width="19.38" customWidth="1" min="58" max="58"/>
    <col width="19.38" customWidth="1" min="59" max="59"/>
    <col width="19.38" customWidth="1" min="60" max="60"/>
    <col width="19.38" customWidth="1" min="61" max="61"/>
    <col width="19.38" customWidth="1" min="62" max="62"/>
    <col width="19.38" customWidth="1" min="63" max="63"/>
    <col width="19.38" customWidth="1" min="64" max="64"/>
    <col width="19.38" customWidth="1" min="65" max="65"/>
    <col width="19.38" customWidth="1" min="66" max="66"/>
    <col width="19.38" customWidth="1" min="67" max="67"/>
    <col width="19.38" customWidth="1" min="68" max="68"/>
    <col width="19.38" customWidth="1" min="69" max="69"/>
    <col width="19.38" customWidth="1" min="70" max="70"/>
    <col width="19.38" customWidth="1" min="71" max="71"/>
    <col width="19.38" customWidth="1" min="72" max="72"/>
    <col width="19.38" customWidth="1" min="73" max="73"/>
    <col width="19.38" customWidth="1" min="74" max="74"/>
    <col width="19.38" customWidth="1" min="75" max="75"/>
    <col width="19.38" customWidth="1" min="76" max="76"/>
    <col width="19.38" customWidth="1" min="77" max="77"/>
    <col width="19.38" customWidth="1" min="78" max="78"/>
    <col width="19.38" customWidth="1" min="79" max="79"/>
    <col width="19.38" customWidth="1" min="80" max="80"/>
    <col width="19.38" customWidth="1" min="81" max="81"/>
    <col width="19.38" customWidth="1" min="82" max="82"/>
    <col width="19.38" customWidth="1" min="83" max="83"/>
    <col width="19.38" customWidth="1" min="84" max="84"/>
    <col width="19.38" customWidth="1" min="85" max="85"/>
    <col width="19.38" customWidth="1" min="86" max="86"/>
    <col width="19.38" customWidth="1" min="87" max="87"/>
    <col width="19.38" customWidth="1" min="88" max="88"/>
    <col width="19.38" customWidth="1" min="89" max="89"/>
    <col width="19.38" customWidth="1" min="90" max="90"/>
    <col width="19.38" customWidth="1" min="91" max="91"/>
    <col width="19.38" customWidth="1" min="92" max="92"/>
    <col width="19.38" customWidth="1" min="93" max="93"/>
    <col width="19.38" customWidth="1" min="94" max="94"/>
    <col width="19.38" customWidth="1" min="95" max="95"/>
    <col width="19.38" customWidth="1" min="96" max="96"/>
    <col width="19.38" customWidth="1" min="97" max="97"/>
    <col width="19.38" customWidth="1" min="98" max="98"/>
    <col width="19.38" customWidth="1" min="99" max="99"/>
    <col width="19.38" customWidth="1" min="100" max="100"/>
    <col width="19.38" customWidth="1" min="101" max="101"/>
    <col width="19.38" customWidth="1" min="102" max="102"/>
    <col width="19.38" customWidth="1" min="103" max="103"/>
    <col width="19.38" customWidth="1" min="104" max="104"/>
    <col width="19.38" customWidth="1" min="105" max="105"/>
    <col width="19.38" customWidth="1" min="106" max="106"/>
    <col width="19.38" customWidth="1" min="107" max="107"/>
    <col width="19.38" customWidth="1" min="108" max="108"/>
    <col width="19.38" customWidth="1" min="109" max="109"/>
    <col width="19.38" customWidth="1" min="110" max="110"/>
    <col width="19.38" customWidth="1" min="111" max="111"/>
    <col width="19.38" customWidth="1" min="112" max="112"/>
    <col width="19.38" customWidth="1" min="113" max="113"/>
    <col width="19.38" customWidth="1" min="114" max="114"/>
    <col width="19.38" customWidth="1" min="115" max="115"/>
    <col width="19.38" customWidth="1" min="116" max="116"/>
    <col width="19.38" customWidth="1" min="117" max="117"/>
    <col width="19.38" customWidth="1" min="118" max="118"/>
    <col width="19.38" customWidth="1" min="119" max="119"/>
    <col width="19.38" customWidth="1" min="120" max="120"/>
    <col width="19.38" customWidth="1" min="121" max="121"/>
    <col width="19.38" customWidth="1" min="122" max="122"/>
    <col width="19.38" customWidth="1" min="123" max="123"/>
    <col width="19.38" customWidth="1" min="124" max="124"/>
    <col width="19.38" customWidth="1" min="125" max="125"/>
    <col width="19.38" customWidth="1" min="126" max="126"/>
    <col width="19.38" customWidth="1" min="127" max="127"/>
    <col width="19.38" customWidth="1" min="128" max="128"/>
    <col width="19.38" customWidth="1" min="129" max="129"/>
    <col width="19.38" customWidth="1" min="130" max="130"/>
    <col width="19.38" customWidth="1" min="131" max="131"/>
    <col width="19.38" customWidth="1" min="132" max="132"/>
    <col width="19.38" customWidth="1" min="133" max="133"/>
    <col width="19.38" customWidth="1" min="134" max="134"/>
    <col width="19.38" customWidth="1" min="135" max="135"/>
    <col width="19.38" customWidth="1" min="136" max="136"/>
    <col width="19.38" customWidth="1" min="137" max="137"/>
    <col width="19.38" customWidth="1" min="138" max="138"/>
    <col width="19.38" customWidth="1" min="139" max="139"/>
    <col width="19.38" customWidth="1" min="140" max="140"/>
    <col width="19.38" customWidth="1" min="141" max="141"/>
    <col width="19.38" customWidth="1" min="142" max="142"/>
    <col width="19.38" customWidth="1" min="143" max="143"/>
    <col width="19.38" customWidth="1" min="144" max="144"/>
    <col width="19.38" customWidth="1" min="145" max="145"/>
    <col width="19.38" customWidth="1" min="146" max="146"/>
    <col width="19.38" customWidth="1" min="147" max="147"/>
    <col width="19.38" customWidth="1" min="148" max="148"/>
    <col width="19.38" customWidth="1" min="149" max="149"/>
    <col width="19.38" customWidth="1" min="150" max="150"/>
    <col width="19.38" customWidth="1" min="151" max="151"/>
    <col width="19.38" customWidth="1" min="152" max="152"/>
    <col width="19.38" customWidth="1" min="153" max="153"/>
    <col width="19.38" customWidth="1" min="154" max="154"/>
    <col width="19.38" customWidth="1" min="155" max="155"/>
    <col width="19.38" customWidth="1" min="156" max="156"/>
    <col width="19.38" customWidth="1" min="157" max="157"/>
    <col width="19.38" customWidth="1" min="158" max="158"/>
    <col width="19.38" customWidth="1" min="159" max="159"/>
    <col width="19.38" customWidth="1" min="160" max="160"/>
    <col width="19.38" customWidth="1" min="161" max="161"/>
    <col width="19.38" customWidth="1" min="162" max="162"/>
    <col width="19.38" customWidth="1" min="163" max="163"/>
    <col width="19.38" customWidth="1" min="164" max="164"/>
    <col width="19.38" customWidth="1" min="165" max="165"/>
    <col width="19.38" customWidth="1" min="166" max="166"/>
    <col width="19.38" customWidth="1" min="167" max="167"/>
    <col width="19.38" customWidth="1" min="168" max="168"/>
    <col width="19.38" customWidth="1" min="169" max="169"/>
    <col width="19.38" customWidth="1" min="170" max="170"/>
    <col width="19.38" customWidth="1" min="171" max="171"/>
    <col width="19.38" customWidth="1" min="172" max="172"/>
    <col width="19.38" customWidth="1" min="173" max="173"/>
    <col width="19.38" customWidth="1" min="174" max="174"/>
    <col width="19.38" customWidth="1" min="175" max="175"/>
    <col width="19.38" customWidth="1" min="176" max="176"/>
    <col width="19.38" customWidth="1" min="177" max="177"/>
    <col width="19.38" customWidth="1" min="178" max="178"/>
    <col width="19.38" customWidth="1" min="179" max="179"/>
    <col width="19.38" customWidth="1" min="180" max="180"/>
    <col width="19.38" customWidth="1" min="181" max="181"/>
    <col width="19.38" customWidth="1" min="182" max="182"/>
    <col width="19.38" customWidth="1" min="183" max="183"/>
    <col width="19.38" customWidth="1" min="184" max="184"/>
    <col width="19.38" customWidth="1" min="185" max="185"/>
    <col width="19.38" customWidth="1" min="186" max="186"/>
    <col width="19.38" customWidth="1" min="187" max="187"/>
    <col width="19.38" customWidth="1" min="188" max="188"/>
    <col width="19.38" customWidth="1" min="189" max="189"/>
    <col width="19.38" customWidth="1" min="190" max="190"/>
    <col width="19.38" customWidth="1" min="191" max="191"/>
    <col width="19.38" customWidth="1" min="192" max="192"/>
    <col width="19.38" customWidth="1" min="193" max="193"/>
    <col width="19.38" customWidth="1" min="194" max="194"/>
    <col width="19.38" customWidth="1" min="195" max="195"/>
    <col width="19.38" customWidth="1" min="196" max="196"/>
    <col width="19.38" customWidth="1" min="197" max="197"/>
    <col width="19.38" customWidth="1" min="198" max="198"/>
    <col width="19.38" customWidth="1" min="199" max="199"/>
    <col width="19.38" customWidth="1" min="200" max="200"/>
    <col width="19.38" customWidth="1" min="201" max="201"/>
    <col width="19.38" customWidth="1" min="202" max="202"/>
    <col width="19.38" customWidth="1" min="203" max="203"/>
    <col width="19.38" customWidth="1" min="204" max="204"/>
    <col width="19.38" customWidth="1" min="205" max="205"/>
    <col width="19.38" customWidth="1" min="206" max="206"/>
    <col width="19.38" customWidth="1" min="207" max="207"/>
    <col width="19.38" customWidth="1" min="208" max="208"/>
    <col width="19.38" customWidth="1" min="209" max="209"/>
    <col width="19.38" customWidth="1" min="210" max="210"/>
    <col width="19.38" customWidth="1" min="211" max="211"/>
    <col width="19.38" customWidth="1" min="212" max="212"/>
    <col width="19.38" customWidth="1" min="213" max="213"/>
    <col width="19.38" customWidth="1" min="214" max="214"/>
    <col width="19.38" customWidth="1" min="215" max="215"/>
    <col width="19.38" customWidth="1" min="216" max="216"/>
    <col width="19.38" customWidth="1" min="217" max="217"/>
    <col width="19.38" customWidth="1" min="218" max="218"/>
    <col width="19.38" customWidth="1" min="219" max="219"/>
    <col width="19.38" customWidth="1" min="220" max="220"/>
    <col width="19.38" customWidth="1" min="221" max="221"/>
    <col width="19.38" customWidth="1" min="222" max="222"/>
    <col width="19.38" customWidth="1" min="223" max="223"/>
    <col width="19.38" customWidth="1" min="224" max="224"/>
    <col width="19.38" customWidth="1" min="225" max="225"/>
    <col width="19.38" customWidth="1" min="226" max="226"/>
    <col width="19.38" customWidth="1" min="227" max="227"/>
    <col width="19.38" customWidth="1" min="228" max="228"/>
    <col width="19.38" customWidth="1" min="229" max="229"/>
    <col width="19.38" customWidth="1" min="230" max="230"/>
    <col width="19.38" customWidth="1" min="231" max="231"/>
    <col width="19.38" customWidth="1" min="232" max="232"/>
    <col width="19.38" customWidth="1" min="233" max="233"/>
    <col width="19.38" customWidth="1" min="234" max="234"/>
    <col width="19.38" customWidth="1" min="235" max="235"/>
    <col width="19.38" customWidth="1" min="236" max="236"/>
    <col width="19.38" customWidth="1" min="237" max="237"/>
    <col width="19.38" customWidth="1" min="238" max="238"/>
    <col width="19.38" customWidth="1" min="239" max="239"/>
    <col width="19.38" customWidth="1" min="240" max="240"/>
    <col width="19.38" customWidth="1" min="241" max="241"/>
    <col width="19.38" customWidth="1" min="242" max="242"/>
    <col width="19.38" customWidth="1" min="243" max="243"/>
    <col width="19.38" customWidth="1" min="244" max="244"/>
    <col width="19.38" customWidth="1" min="245" max="245"/>
    <col width="19.38" customWidth="1" min="246" max="246"/>
    <col width="19.38" customWidth="1" min="247" max="247"/>
    <col width="19.38" customWidth="1" min="248" max="248"/>
    <col width="19.38" customWidth="1" min="249" max="249"/>
    <col width="19.38" customWidth="1" min="250" max="250"/>
    <col width="19.38" customWidth="1" min="251" max="251"/>
    <col width="19.38" customWidth="1" min="252" max="252"/>
    <col width="19.38" customWidth="1" min="253" max="253"/>
    <col width="19.38" customWidth="1" min="254" max="254"/>
    <col width="19.38" customWidth="1" min="255" max="255"/>
    <col width="19.38" customWidth="1" min="256" max="256"/>
    <col width="19.38" customWidth="1" min="257" max="257"/>
    <col width="19.38" customWidth="1" min="258" max="258"/>
    <col width="19.38" customWidth="1" min="259" max="259"/>
    <col width="19.38" customWidth="1" min="260" max="260"/>
    <col width="19.38" customWidth="1" min="261" max="261"/>
    <col width="19.38" customWidth="1" min="262" max="262"/>
    <col width="19.38" customWidth="1" min="263" max="263"/>
    <col width="19.38" customWidth="1" min="264" max="264"/>
    <col width="19.38" customWidth="1" min="265" max="265"/>
    <col width="19.38" customWidth="1" min="266" max="266"/>
    <col width="19.38" customWidth="1" min="267" max="267"/>
    <col width="19.38" customWidth="1" min="268" max="268"/>
    <col width="19.38" customWidth="1" min="269" max="269"/>
    <col width="19.38" customWidth="1" min="270" max="270"/>
    <col width="19.38" customWidth="1" min="271" max="271"/>
    <col width="19.38" customWidth="1" min="272" max="272"/>
    <col width="19.38" customWidth="1" min="273" max="273"/>
    <col width="19.38" customWidth="1" min="274" max="274"/>
    <col width="19.38" customWidth="1" min="275" max="275"/>
    <col width="19.38" customWidth="1" min="276" max="276"/>
    <col width="19.38" customWidth="1" min="277" max="277"/>
    <col width="19.38" customWidth="1" min="278" max="278"/>
    <col width="19.38" customWidth="1" min="279" max="279"/>
    <col width="19.38" customWidth="1" min="280" max="280"/>
    <col width="19.38" customWidth="1" min="281" max="281"/>
    <col width="19.38" customWidth="1" min="282" max="282"/>
    <col width="19.38" customWidth="1" min="283" max="283"/>
    <col width="19.38" customWidth="1" min="284" max="284"/>
    <col width="19.38" customWidth="1" min="285" max="285"/>
    <col width="19.38" customWidth="1" min="286" max="286"/>
    <col width="19.38" customWidth="1" min="287" max="287"/>
    <col width="19.38" customWidth="1" min="288" max="288"/>
    <col width="19.38" customWidth="1" min="289" max="289"/>
    <col width="19.38" customWidth="1" min="290" max="290"/>
    <col width="19.38" customWidth="1" min="291" max="291"/>
    <col width="19.38" customWidth="1" min="292" max="292"/>
    <col width="19.38" customWidth="1" min="293" max="293"/>
    <col width="19.38" customWidth="1" min="294" max="294"/>
    <col width="19.38" customWidth="1" min="295" max="295"/>
    <col width="19.38" customWidth="1" min="296" max="296"/>
    <col width="19.38" customWidth="1" min="297" max="297"/>
    <col width="19.38" customWidth="1" min="298" max="298"/>
    <col width="19.38" customWidth="1" min="299" max="299"/>
    <col width="19.38" customWidth="1" min="300" max="300"/>
    <col width="19.38" customWidth="1" min="301" max="301"/>
    <col width="19.38" customWidth="1" min="302" max="302"/>
    <col width="19.38" customWidth="1" min="303" max="303"/>
    <col width="19.38" customWidth="1" min="304" max="304"/>
    <col width="19.38" customWidth="1" min="305" max="305"/>
    <col width="19.38" customWidth="1" min="306" max="306"/>
    <col width="19.38" customWidth="1" min="307" max="307"/>
    <col width="19.38" customWidth="1" min="308" max="308"/>
    <col width="19.38" customWidth="1" min="309" max="309"/>
    <col width="19.38" customWidth="1" min="310" max="310"/>
    <col width="19.38" customWidth="1" min="311" max="311"/>
    <col width="19.38" customWidth="1" min="312" max="312"/>
    <col width="19.38" customWidth="1" min="313" max="313"/>
    <col width="19.38" customWidth="1" min="314" max="314"/>
    <col width="19.38" customWidth="1" min="315" max="315"/>
    <col width="19.38" customWidth="1" min="316" max="316"/>
    <col width="19.38" customWidth="1" min="317" max="317"/>
    <col width="19.38" customWidth="1" min="318" max="318"/>
    <col width="19.38" customWidth="1" min="319" max="319"/>
    <col width="19.38" customWidth="1" min="320" max="320"/>
    <col width="19.38" customWidth="1" min="321" max="321"/>
    <col width="19.38" customWidth="1" min="322" max="322"/>
    <col width="19.38" customWidth="1" min="323" max="323"/>
    <col width="19.38" customWidth="1" min="324" max="324"/>
    <col width="19.38" customWidth="1" min="325" max="325"/>
    <col width="19.38" customWidth="1" min="326" max="326"/>
    <col width="19.38" customWidth="1" min="327" max="327"/>
    <col width="19.38" customWidth="1" min="328" max="328"/>
    <col width="19.38" customWidth="1" min="329" max="329"/>
    <col width="19.38" customWidth="1" min="330" max="330"/>
    <col width="19.38" customWidth="1" min="331" max="331"/>
    <col width="19.38" customWidth="1" min="332" max="332"/>
    <col width="19.38" customWidth="1" min="333" max="333"/>
    <col width="19.38" customWidth="1" min="334" max="334"/>
    <col width="19.38" customWidth="1" min="335" max="335"/>
    <col width="19.38" customWidth="1" min="336" max="336"/>
    <col width="19.38" customWidth="1" min="337" max="337"/>
    <col width="19.38" customWidth="1" min="338" max="338"/>
    <col width="19.38" customWidth="1" min="339" max="339"/>
    <col width="19.38" customWidth="1" min="340" max="340"/>
    <col width="19.38" customWidth="1" min="341" max="341"/>
    <col width="19.38" customWidth="1" min="342" max="342"/>
    <col width="19.38" customWidth="1" min="343" max="343"/>
    <col width="19.38" customWidth="1" min="344" max="344"/>
    <col width="19.38" customWidth="1" min="345" max="345"/>
    <col width="19.38" customWidth="1" min="346" max="346"/>
    <col width="19.38" customWidth="1" min="347" max="347"/>
    <col width="19.38" customWidth="1" min="348" max="348"/>
    <col width="19.38" customWidth="1" min="349" max="349"/>
    <col width="19.38" customWidth="1" min="350" max="350"/>
    <col width="19.38" customWidth="1" min="351" max="351"/>
    <col width="19.38" customWidth="1" min="352" max="352"/>
    <col width="19.38" customWidth="1" min="353" max="353"/>
    <col width="19.38" customWidth="1" min="354" max="354"/>
    <col width="19.38" customWidth="1" min="355" max="355"/>
    <col width="19.38" customWidth="1" min="356" max="356"/>
    <col width="19.38" customWidth="1" min="357" max="357"/>
    <col width="19.38" customWidth="1" min="358" max="358"/>
    <col width="19.38" customWidth="1" min="359" max="359"/>
    <col width="19.38" customWidth="1" min="360" max="360"/>
    <col width="19.38" customWidth="1" min="361" max="361"/>
    <col width="19.38" customWidth="1" min="362" max="362"/>
    <col width="19.38" customWidth="1" min="363" max="363"/>
    <col width="19.38" customWidth="1" min="364" max="364"/>
    <col width="19.38" customWidth="1" min="365" max="365"/>
    <col width="19.38" customWidth="1" min="366" max="366"/>
    <col width="19.38" customWidth="1" min="367" max="367"/>
    <col width="19.38" customWidth="1" min="368" max="368"/>
    <col width="19.38" customWidth="1" min="369" max="369"/>
    <col width="19.38" customWidth="1" min="370" max="370"/>
    <col width="19.38" customWidth="1" min="371" max="371"/>
    <col width="19.38" customWidth="1" min="372" max="372"/>
    <col width="19.38" customWidth="1" min="373" max="373"/>
    <col width="19.38" customWidth="1" min="374" max="374"/>
    <col width="19.38" customWidth="1" min="375" max="375"/>
    <col width="19.38" customWidth="1" min="376" max="376"/>
    <col width="19.38" customWidth="1" min="377" max="377"/>
    <col width="19.38" customWidth="1" min="378" max="378"/>
    <col width="19.38" customWidth="1" min="379" max="379"/>
    <col width="19.38" customWidth="1" min="380" max="380"/>
    <col width="19.38" customWidth="1" min="381" max="381"/>
    <col width="19.38" customWidth="1" min="382" max="382"/>
    <col width="19.38" customWidth="1" min="383" max="383"/>
    <col width="19.38" customWidth="1" min="384" max="384"/>
    <col width="19.38" customWidth="1" min="385" max="385"/>
    <col width="19.38" customWidth="1" min="386" max="386"/>
    <col width="19.38" customWidth="1" min="387" max="387"/>
    <col width="19.38" customWidth="1" min="388" max="388"/>
    <col width="19.38" customWidth="1" min="389" max="389"/>
    <col width="19.38" customWidth="1" min="390" max="390"/>
    <col width="19.38" customWidth="1" min="391" max="391"/>
    <col width="19.38" customWidth="1" min="392" max="392"/>
    <col width="19.38" customWidth="1" min="393" max="393"/>
    <col width="19.38" customWidth="1" min="394" max="394"/>
    <col width="19.38" customWidth="1" min="395" max="395"/>
    <col width="19.38" customWidth="1" min="396" max="396"/>
    <col width="19.38" customWidth="1" min="397" max="397"/>
    <col width="19.38" customWidth="1" min="398" max="398"/>
    <col width="19.38" customWidth="1" min="399" max="399"/>
    <col width="19.38" customWidth="1" min="400" max="400"/>
    <col width="19.38" customWidth="1" min="401" max="401"/>
    <col width="19.38" customWidth="1" min="402" max="402"/>
    <col width="19.38" customWidth="1" min="403" max="403"/>
    <col width="19.38" customWidth="1" min="404" max="404"/>
    <col width="19.38" customWidth="1" min="405" max="405"/>
    <col width="19.38" customWidth="1" min="406" max="406"/>
    <col width="19.38" customWidth="1" min="407" max="407"/>
    <col width="19.38" customWidth="1" min="408" max="408"/>
    <col width="19.38" customWidth="1" min="409" max="409"/>
    <col width="19.38" customWidth="1" min="410" max="410"/>
    <col width="19.38" customWidth="1" min="411" max="411"/>
    <col width="19.38" customWidth="1" min="412" max="412"/>
    <col width="19.38" customWidth="1" min="413" max="413"/>
    <col width="19.38" customWidth="1" min="414" max="414"/>
    <col width="19.38" customWidth="1" min="415" max="415"/>
    <col width="19.38" customWidth="1" min="416" max="416"/>
    <col width="19.38" customWidth="1" min="417" max="417"/>
    <col width="19.38" customWidth="1" min="418" max="418"/>
    <col width="19.38" customWidth="1" min="419" max="419"/>
    <col width="19.38" customWidth="1" min="420" max="420"/>
    <col width="19.38" customWidth="1" min="421" max="421"/>
    <col width="19.38" customWidth="1" min="422" max="422"/>
    <col width="19.38" customWidth="1" min="423" max="423"/>
    <col width="19.38" customWidth="1" min="424" max="424"/>
    <col width="19.38" customWidth="1" min="425" max="425"/>
    <col width="19.38" customWidth="1" min="426" max="426"/>
    <col width="19.38" customWidth="1" min="427" max="427"/>
    <col width="19.38" customWidth="1" min="428" max="428"/>
    <col width="19.38" customWidth="1" min="429" max="429"/>
    <col width="19.38" customWidth="1" min="430" max="430"/>
    <col width="19.38" customWidth="1" min="431" max="431"/>
    <col width="19.38" customWidth="1" min="432" max="432"/>
    <col width="19.38" customWidth="1" min="433" max="433"/>
    <col width="19.38" customWidth="1" min="434" max="434"/>
    <col width="19.38" customWidth="1" min="435" max="435"/>
    <col width="19.38" customWidth="1" min="436" max="436"/>
    <col width="19.38" customWidth="1" min="437" max="437"/>
    <col width="19.38" customWidth="1" min="438" max="438"/>
    <col width="19.38" customWidth="1" min="439" max="439"/>
    <col width="19.38" customWidth="1" min="440" max="440"/>
    <col width="19.38" customWidth="1" min="441" max="441"/>
    <col width="19.38" customWidth="1" min="442" max="442"/>
    <col width="19.38" customWidth="1" min="443" max="443"/>
    <col width="19.38" customWidth="1" min="444" max="444"/>
    <col width="19.38" customWidth="1" min="445" max="445"/>
    <col width="19.38" customWidth="1" min="446" max="446"/>
    <col width="19.38" customWidth="1" min="447" max="447"/>
    <col width="19.38" customWidth="1" min="448" max="448"/>
    <col width="19.38" customWidth="1" min="449" max="449"/>
    <col width="19.38" customWidth="1" min="450" max="450"/>
    <col width="19.38" customWidth="1" min="451" max="451"/>
    <col width="19.38" customWidth="1" min="452" max="452"/>
    <col width="19.38" customWidth="1" min="453" max="453"/>
    <col width="19.38" customWidth="1" min="454" max="454"/>
    <col width="19.38" customWidth="1" min="455" max="455"/>
    <col width="19.38" customWidth="1" min="456" max="456"/>
    <col width="19.38" customWidth="1" min="457" max="457"/>
    <col width="19.38" customWidth="1" min="458" max="458"/>
    <col width="19.38" customWidth="1" min="459" max="459"/>
    <col width="19.38" customWidth="1" min="460" max="460"/>
    <col width="19.38" customWidth="1" min="461" max="461"/>
    <col width="19.38" customWidth="1" min="462" max="462"/>
    <col width="19.38" customWidth="1" min="463" max="463"/>
    <col width="19.38" customWidth="1" min="464" max="464"/>
    <col width="19.38" customWidth="1" min="465" max="465"/>
    <col width="19.38" customWidth="1" min="466" max="466"/>
    <col width="19.38" customWidth="1" min="467" max="467"/>
    <col width="19.38" customWidth="1" min="468" max="468"/>
    <col width="19.38" customWidth="1" min="469" max="469"/>
    <col width="19.38" customWidth="1" min="470" max="470"/>
    <col width="19.38" customWidth="1" min="471" max="471"/>
    <col width="19.38" customWidth="1" min="472" max="472"/>
    <col width="19.38" customWidth="1" min="473" max="473"/>
    <col width="19.38" customWidth="1" min="474" max="474"/>
    <col width="19.38" customWidth="1" min="475" max="475"/>
    <col width="19.38" customWidth="1" min="476" max="476"/>
    <col width="19.38" customWidth="1" min="477" max="477"/>
    <col width="19.38" customWidth="1" min="478" max="478"/>
    <col width="19.38" customWidth="1" min="479" max="479"/>
    <col width="19.38" customWidth="1" min="480" max="480"/>
    <col width="19.38" customWidth="1" min="481" max="481"/>
    <col width="19.38" customWidth="1" min="482" max="482"/>
    <col width="19.38" customWidth="1" min="483" max="483"/>
    <col width="19.38" customWidth="1" min="484" max="484"/>
    <col width="19.38" customWidth="1" min="485" max="485"/>
    <col width="19.38" customWidth="1" min="486" max="486"/>
    <col width="19.38" customWidth="1" min="487" max="487"/>
  </cols>
  <sheetData>
    <row r="1">
      <c r="A1" s="163" t="inlineStr">
        <is>
          <t>nível da entidade</t>
        </is>
      </c>
      <c r="B1" s="163" t="inlineStr">
        <is>
          <t>classe máxima da entidade</t>
        </is>
      </c>
      <c r="C1" s="163" t="inlineStr">
        <is>
          <t>dados da básica</t>
        </is>
      </c>
      <c r="D1" s="163" t="inlineStr">
        <is>
          <t>pontos da especial</t>
        </is>
      </c>
      <c r="F1" s="163" t="inlineStr">
        <is>
          <t>marco de atributo</t>
        </is>
      </c>
      <c r="H1" s="163" t="inlineStr">
        <is>
          <t>classe da especial</t>
        </is>
      </c>
      <c r="I1" s="163" t="inlineStr">
        <is>
          <t>leve</t>
        </is>
      </c>
      <c r="J1" s="163" t="inlineStr">
        <is>
          <t>média</t>
        </is>
      </c>
      <c r="K1" s="163" t="inlineStr">
        <is>
          <t>pesada</t>
        </is>
      </c>
      <c r="L1" s="163" t="inlineStr">
        <is>
          <t>leve livre</t>
        </is>
      </c>
      <c r="M1" s="163" t="inlineStr">
        <is>
          <t>média livre</t>
        </is>
      </c>
      <c r="N1" s="163" t="inlineStr">
        <is>
          <t>pesada livre</t>
        </is>
      </c>
      <c r="O1" s="163" t="inlineStr">
        <is>
          <t>limite de melhorias</t>
        </is>
      </c>
      <c r="P1" s="163" t="inlineStr">
        <is>
          <t>pontos da classe</t>
        </is>
      </c>
      <c r="R1" s="163" t="inlineStr">
        <is>
          <t>classe da escolha da trilha</t>
        </is>
      </c>
      <c r="T1" s="163" t="inlineStr">
        <is>
          <t>classe da liberação</t>
        </is>
      </c>
      <c r="V1" s="163" t="inlineStr">
        <is>
          <t>forma</t>
        </is>
      </c>
      <c r="W1" s="163" t="inlineStr">
        <is>
          <t>a forma exige</t>
        </is>
      </c>
      <c r="X1" s="163" t="inlineStr">
        <is>
          <t>peso da forma</t>
        </is>
      </c>
      <c r="Y1" s="163" t="inlineStr">
        <is>
          <t>restrição embutida</t>
        </is>
      </c>
      <c r="Z1" s="163" t="inlineStr">
        <is>
          <t>tipo de dano da forma</t>
        </is>
      </c>
      <c r="AA1" s="163" t="inlineStr">
        <is>
          <t>como resolve</t>
        </is>
      </c>
      <c r="AB1" s="163" t="inlineStr">
        <is>
          <t>resolve por teste</t>
        </is>
      </c>
      <c r="AC1" s="163" t="inlineStr">
        <is>
          <t>degrau da primeira parte</t>
        </is>
      </c>
      <c r="AD1" s="163" t="inlineStr">
        <is>
          <t>degrau da segunda parte</t>
        </is>
      </c>
      <c r="AE1" s="163" t="inlineStr">
        <is>
          <t>mostra mais alvos</t>
        </is>
      </c>
      <c r="AF1" s="163" t="inlineStr">
        <is>
          <t>existe na classe 0</t>
        </is>
      </c>
      <c r="AH1" s="163" t="inlineStr">
        <is>
          <t>alcance de</t>
        </is>
      </c>
      <c r="AI1" s="163" t="inlineStr">
        <is>
          <t>primeira parte +0</t>
        </is>
      </c>
      <c r="AJ1" s="163" t="inlineStr">
        <is>
          <t>primeira parte +1</t>
        </is>
      </c>
      <c r="AK1" s="163" t="inlineStr">
        <is>
          <t>primeira parte +2</t>
        </is>
      </c>
      <c r="AL1" s="163" t="inlineStr">
        <is>
          <t>primeira parte +3</t>
        </is>
      </c>
      <c r="AM1" s="163" t="inlineStr">
        <is>
          <t>primeira parte +4</t>
        </is>
      </c>
      <c r="AN1" s="163" t="inlineStr">
        <is>
          <t>primeira parte +5</t>
        </is>
      </c>
      <c r="AO1" s="163" t="inlineStr">
        <is>
          <t>segunda parte +0</t>
        </is>
      </c>
      <c r="AP1" s="163" t="inlineStr">
        <is>
          <t>segunda parte +1</t>
        </is>
      </c>
      <c r="AQ1" s="163" t="inlineStr">
        <is>
          <t>segunda parte +2</t>
        </is>
      </c>
      <c r="AR1" s="163" t="inlineStr">
        <is>
          <t>segunda parte +3</t>
        </is>
      </c>
      <c r="AS1" s="163" t="inlineStr">
        <is>
          <t>segunda parte +4</t>
        </is>
      </c>
      <c r="AT1" s="163" t="inlineStr">
        <is>
          <t>segunda parte +5</t>
        </is>
      </c>
      <c r="AV1" s="163" t="inlineStr">
        <is>
          <t>peça</t>
        </is>
      </c>
      <c r="AW1" s="163" t="inlineStr">
        <is>
          <t>família da peça</t>
        </is>
      </c>
      <c r="AX1" s="163" t="inlineStr">
        <is>
          <t>peso da peça</t>
        </is>
      </c>
      <c r="AY1" s="163" t="inlineStr">
        <is>
          <t>peça de controle</t>
        </is>
      </c>
      <c r="AZ1" s="163" t="inlineStr">
        <is>
          <t>efeito pela classe reduzida</t>
        </is>
      </c>
      <c r="BA1" s="163" t="inlineStr">
        <is>
          <t>peça que pede TR</t>
        </is>
      </c>
      <c r="BC1" s="163" t="inlineStr">
        <is>
          <t>menu de restrição</t>
        </is>
      </c>
      <c r="BD1" s="163" t="inlineStr">
        <is>
          <t>restrição</t>
        </is>
      </c>
      <c r="BE1" s="163" t="inlineStr">
        <is>
          <t>o que devolve</t>
        </is>
      </c>
      <c r="BF1" s="163" t="inlineStr">
        <is>
          <t>é de frequência</t>
        </is>
      </c>
      <c r="BG1" s="163" t="inlineStr">
        <is>
          <t>menu de restrição leve</t>
        </is>
      </c>
      <c r="BI1" s="163" t="inlineStr">
        <is>
          <t>talento</t>
        </is>
      </c>
      <c r="BJ1" s="163" t="inlineStr">
        <is>
          <t>categoria de efeito</t>
        </is>
      </c>
      <c r="BK1" s="163" t="inlineStr">
        <is>
          <t>o que o talento faz</t>
        </is>
      </c>
      <c r="BL1" s="163" t="inlineStr">
        <is>
          <t>menu de talento da trilha</t>
        </is>
      </c>
      <c r="BN1" s="163" t="inlineStr">
        <is>
          <t>tipo de entidade</t>
        </is>
      </c>
      <c r="BP1" s="163" t="inlineStr">
        <is>
          <t>aquisição</t>
        </is>
      </c>
      <c r="BQ1" s="163" t="inlineStr">
        <is>
          <t>acompanha o nível</t>
        </is>
      </c>
      <c r="BS1" s="163" t="inlineStr">
        <is>
          <t>família</t>
        </is>
      </c>
      <c r="BU1" s="163" t="inlineStr">
        <is>
          <t>atributo</t>
        </is>
      </c>
      <c r="BW1" s="163" t="inlineStr">
        <is>
          <t>teste de resistência</t>
        </is>
      </c>
      <c r="BY1" s="163" t="inlineStr">
        <is>
          <t>físico usa</t>
        </is>
      </c>
      <c r="CA1" s="163" t="inlineStr">
        <is>
          <t>a alma da entidade</t>
        </is>
      </c>
      <c r="CC1" s="163" t="inlineStr">
        <is>
          <t>perícia</t>
        </is>
      </c>
      <c r="CD1" s="163" t="inlineStr">
        <is>
          <t>atributo da perícia</t>
        </is>
      </c>
      <c r="CF1" s="163" t="inlineStr">
        <is>
          <t>carga do talismã</t>
        </is>
      </c>
      <c r="CH1" s="163" t="inlineStr">
        <is>
          <t>ofício compatível</t>
        </is>
      </c>
      <c r="CJ1" s="163" t="inlineStr">
        <is>
          <t>tipo de dano</t>
        </is>
      </c>
      <c r="CL1" s="163" t="inlineStr">
        <is>
          <t>resolução</t>
        </is>
      </c>
      <c r="CN1" s="163" t="inlineStr">
        <is>
          <t>pontos no atributo</t>
        </is>
      </c>
      <c r="CP1" s="163" t="inlineStr">
        <is>
          <t>nível da técnica máxima</t>
        </is>
      </c>
      <c r="CQ1" s="163" t="inlineStr">
        <is>
          <t>dados fixos</t>
        </is>
      </c>
      <c r="CR1" s="163" t="inlineStr">
        <is>
          <t>pontos de montagem da máxima</t>
        </is>
      </c>
      <c r="CS1" s="163" t="inlineStr">
        <is>
          <t>pe da máxima</t>
        </is>
      </c>
      <c r="CU1" s="163" t="inlineStr">
        <is>
          <t>degrau da expansão</t>
        </is>
      </c>
      <c r="CV1" s="163" t="inlineStr">
        <is>
          <t>aquisição do degrau</t>
        </is>
      </c>
      <c r="CW1" s="163" t="inlineStr">
        <is>
          <t>requisito do degrau</t>
        </is>
      </c>
      <c r="CY1" s="163" t="inlineStr">
        <is>
          <t>a defesa usa</t>
        </is>
      </c>
      <c r="DA1" s="163" t="inlineStr">
        <is>
          <t>contas do conjunto</t>
        </is>
      </c>
      <c r="DB1" s="163" t="inlineStr">
        <is>
          <t>valor do conjunto</t>
        </is>
      </c>
      <c r="DD1" s="163" t="inlineStr">
        <is>
          <t>conta de ficha</t>
        </is>
      </c>
      <c r="DE1" s="163" t="inlineStr">
        <is>
          <t>nome</t>
        </is>
      </c>
      <c r="DF1" s="163" t="inlineStr">
        <is>
          <t>tipo</t>
        </is>
      </c>
      <c r="DG1" s="163" t="inlineStr">
        <is>
          <t>aquis</t>
        </is>
      </c>
      <c r="DH1" s="163" t="inlineStr">
        <is>
          <t>nfixo</t>
        </is>
      </c>
      <c r="DI1" s="163" t="inlineStr">
        <is>
          <t>talisma</t>
        </is>
      </c>
      <c r="DJ1" s="163" t="inlineStr">
        <is>
          <t>p0</t>
        </is>
      </c>
      <c r="DK1" s="163" t="inlineStr">
        <is>
          <t>p1</t>
        </is>
      </c>
      <c r="DL1" s="163" t="inlineStr">
        <is>
          <t>p2</t>
        </is>
      </c>
      <c r="DM1" s="163" t="inlineStr">
        <is>
          <t>p3</t>
        </is>
      </c>
      <c r="DN1" s="163" t="inlineStr">
        <is>
          <t>p4</t>
        </is>
      </c>
      <c r="DO1" s="163" t="inlineStr">
        <is>
          <t>u0</t>
        </is>
      </c>
      <c r="DP1" s="163" t="inlineStr">
        <is>
          <t>u1</t>
        </is>
      </c>
      <c r="DQ1" s="163" t="inlineStr">
        <is>
          <t>u2</t>
        </is>
      </c>
      <c r="DR1" s="163" t="inlineStr">
        <is>
          <t>u3</t>
        </is>
      </c>
      <c r="DS1" s="163" t="inlineStr">
        <is>
          <t>u4</t>
        </is>
      </c>
      <c r="DT1" s="163" t="inlineStr">
        <is>
          <t>acerto</t>
        </is>
      </c>
      <c r="DU1" s="163" t="inlineStr">
        <is>
          <t>fis</t>
        </is>
      </c>
      <c r="DV1" s="163" t="inlineStr">
        <is>
          <t>trT</t>
        </is>
      </c>
      <c r="DW1" s="163" t="inlineStr">
        <is>
          <t>us0</t>
        </is>
      </c>
      <c r="DX1" s="163" t="inlineStr">
        <is>
          <t>us1</t>
        </is>
      </c>
      <c r="DY1" s="163" t="inlineStr">
        <is>
          <t>us2</t>
        </is>
      </c>
      <c r="DZ1" s="163" t="inlineStr">
        <is>
          <t>us3</t>
        </is>
      </c>
      <c r="EA1" s="163" t="inlineStr">
        <is>
          <t>us4</t>
        </is>
      </c>
      <c r="EB1" s="163" t="inlineStr">
        <is>
          <t>ut0</t>
        </is>
      </c>
      <c r="EC1" s="163" t="inlineStr">
        <is>
          <t>ut1</t>
        </is>
      </c>
      <c r="ED1" s="163" t="inlineStr">
        <is>
          <t>ut2</t>
        </is>
      </c>
      <c r="EE1" s="163" t="inlineStr">
        <is>
          <t>ut3</t>
        </is>
      </c>
      <c r="EF1" s="163" t="inlineStr">
        <is>
          <t>vida_c</t>
        </is>
      </c>
      <c r="EG1" s="163" t="inlineStr">
        <is>
          <t>temp</t>
        </is>
      </c>
      <c r="EH1" s="163" t="inlineStr">
        <is>
          <t>reserva</t>
        </is>
      </c>
      <c r="EI1" s="163" t="inlineStr">
        <is>
          <t>evol</t>
        </is>
      </c>
      <c r="EJ1" s="163" t="inlineStr">
        <is>
          <t>alma</t>
        </is>
      </c>
      <c r="EK1" s="163" t="inlineStr">
        <is>
          <t>integ_c</t>
        </is>
      </c>
      <c r="EL1" s="163" t="inlineStr">
        <is>
          <t>f0</t>
        </is>
      </c>
      <c r="EM1" s="163" t="inlineStr">
        <is>
          <t>f1</t>
        </is>
      </c>
      <c r="EN1" s="163" t="inlineStr">
        <is>
          <t>f2</t>
        </is>
      </c>
      <c r="EO1" s="163" t="inlineStr">
        <is>
          <t>f3</t>
        </is>
      </c>
      <c r="EP1" s="163" t="inlineStr">
        <is>
          <t>f4</t>
        </is>
      </c>
      <c r="EQ1" s="163" t="inlineStr">
        <is>
          <t>per0</t>
        </is>
      </c>
      <c r="ER1" s="163" t="inlineStr">
        <is>
          <t>per1</t>
        </is>
      </c>
      <c r="ES1" s="163" t="inlineStr">
        <is>
          <t>per2</t>
        </is>
      </c>
      <c r="ET1" s="163" t="inlineStr">
        <is>
          <t>per3</t>
        </is>
      </c>
      <c r="EU1" s="163" t="inlineStr">
        <is>
          <t>per4</t>
        </is>
      </c>
      <c r="EV1" s="163" t="inlineStr">
        <is>
          <t>per5</t>
        </is>
      </c>
      <c r="EW1" s="163" t="inlineStr">
        <is>
          <t>per6</t>
        </is>
      </c>
      <c r="EX1" s="163" t="inlineStr">
        <is>
          <t>tal0</t>
        </is>
      </c>
      <c r="EY1" s="163" t="inlineStr">
        <is>
          <t>tal1</t>
        </is>
      </c>
      <c r="EZ1" s="163" t="inlineStr">
        <is>
          <t>tal2</t>
        </is>
      </c>
      <c r="FA1" s="163" t="inlineStr">
        <is>
          <t>tal3</t>
        </is>
      </c>
      <c r="FB1" s="163" t="inlineStr">
        <is>
          <t>tal4</t>
        </is>
      </c>
      <c r="FC1" s="163" t="inlineStr">
        <is>
          <t>tal5</t>
        </is>
      </c>
      <c r="FD1" s="163" t="inlineStr">
        <is>
          <t>tal6</t>
        </is>
      </c>
      <c r="FE1" s="163" t="inlineStr">
        <is>
          <t>tal7</t>
        </is>
      </c>
      <c r="FF1" s="163" t="inlineStr">
        <is>
          <t>tx0</t>
        </is>
      </c>
      <c r="FG1" s="163" t="inlineStr">
        <is>
          <t>tx1</t>
        </is>
      </c>
      <c r="FH1" s="163" t="inlineStr">
        <is>
          <t>tx2</t>
        </is>
      </c>
      <c r="FI1" s="163" t="inlineStr">
        <is>
          <t>lc0</t>
        </is>
      </c>
      <c r="FJ1" s="163" t="inlineStr">
        <is>
          <t>lc1</t>
        </is>
      </c>
      <c r="FK1" s="163" t="inlineStr">
        <is>
          <t>lc2</t>
        </is>
      </c>
      <c r="FL1" s="163" t="inlineStr">
        <is>
          <t>exp</t>
        </is>
      </c>
      <c r="FM1" s="163" t="inlineStr">
        <is>
          <t>tem</t>
        </is>
      </c>
      <c r="FN1" s="163" t="inlineStr">
        <is>
          <t>acomp</t>
        </is>
      </c>
      <c r="FO1" s="163" t="inlineStr">
        <is>
          <t>n</t>
        </is>
      </c>
      <c r="FP1" s="163" t="inlineStr">
        <is>
          <t>cl</t>
        </is>
      </c>
      <c r="FQ1" s="163" t="inlineStr">
        <is>
          <t>db</t>
        </is>
      </c>
      <c r="FR1" s="163" t="inlineStr">
        <is>
          <t>t0</t>
        </is>
      </c>
      <c r="FS1" s="163" t="inlineStr">
        <is>
          <t>t1</t>
        </is>
      </c>
      <c r="FT1" s="163" t="inlineStr">
        <is>
          <t>t2</t>
        </is>
      </c>
      <c r="FU1" s="163" t="inlineStr">
        <is>
          <t>t3</t>
        </is>
      </c>
      <c r="FV1" s="163" t="inlineStr">
        <is>
          <t>t4</t>
        </is>
      </c>
      <c r="FW1" s="163" t="inlineStr">
        <is>
          <t>gastos</t>
        </is>
      </c>
      <c r="FX1" s="163" t="inlineStr">
        <is>
          <t>disp</t>
        </is>
      </c>
      <c r="FY1" s="163" t="inlineStr">
        <is>
          <t>marc</t>
        </is>
      </c>
      <c r="FZ1" s="163" t="inlineStr">
        <is>
          <t>acima</t>
        </is>
      </c>
      <c r="GA1" s="163" t="inlineStr">
        <is>
          <t>va</t>
        </is>
      </c>
      <c r="GB1" s="163" t="inlineStr">
        <is>
          <t>atq</t>
        </is>
      </c>
      <c r="GC1" s="163" t="inlineStr">
        <is>
          <t>cd</t>
        </is>
      </c>
      <c r="GD1" s="163" t="inlineStr">
        <is>
          <t>def</t>
        </is>
      </c>
      <c r="GE1" s="163" t="inlineStr">
        <is>
          <t>cri</t>
        </is>
      </c>
      <c r="GF1" s="163" t="inlineStr">
        <is>
          <t>vida</t>
        </is>
      </c>
      <c r="GG1" s="163" t="inlineStr">
        <is>
          <t>vida0</t>
        </is>
      </c>
      <c r="GH1" s="163" t="inlineStr">
        <is>
          <t>atual</t>
        </is>
      </c>
      <c r="GI1" s="163" t="inlineStr">
        <is>
          <t>imax</t>
        </is>
      </c>
      <c r="GJ1" s="163" t="inlineStr">
        <is>
          <t>integ0</t>
        </is>
      </c>
      <c r="GK1" s="163" t="inlineStr">
        <is>
          <t>iatual</t>
        </is>
      </c>
      <c r="GL1" s="163" t="inlineStr">
        <is>
          <t>d_imax</t>
        </is>
      </c>
      <c r="GM1" s="163" t="inlineStr">
        <is>
          <t>d_est</t>
        </is>
      </c>
      <c r="GN1" s="163" t="inlineStr">
        <is>
          <t>desl</t>
        </is>
      </c>
      <c r="GO1" s="163" t="inlineStr">
        <is>
          <t>vf</t>
        </is>
      </c>
      <c r="GP1" s="163" t="inlineStr">
        <is>
          <t>tr0</t>
        </is>
      </c>
      <c r="GQ1" s="163" t="inlineStr">
        <is>
          <t>tr1</t>
        </is>
      </c>
      <c r="GR1" s="163" t="inlineStr">
        <is>
          <t>tr2</t>
        </is>
      </c>
      <c r="GS1" s="163" t="inlineStr">
        <is>
          <t>tr3</t>
        </is>
      </c>
      <c r="GT1" s="163" t="inlineStr">
        <is>
          <t>nper</t>
        </is>
      </c>
      <c r="GU1" s="163" t="inlineStr">
        <is>
          <t>tper</t>
        </is>
      </c>
      <c r="GV1" s="163" t="inlineStr">
        <is>
          <t>esp</t>
        </is>
      </c>
      <c r="GW1" s="163" t="inlineStr">
        <is>
          <t>nbas</t>
        </is>
      </c>
      <c r="GX1" s="163" t="inlineStr">
        <is>
          <t>ntal</t>
        </is>
      </c>
      <c r="GY1" s="163" t="inlineStr">
        <is>
          <t>ttal</t>
        </is>
      </c>
      <c r="GZ1" s="163" t="inlineStr">
        <is>
          <t>ent</t>
        </is>
      </c>
      <c r="HA1" s="163" t="inlineStr">
        <is>
          <t>ret</t>
        </is>
      </c>
      <c r="HB1" s="163" t="inlineStr">
        <is>
          <t>resmax</t>
        </is>
      </c>
      <c r="HC1" s="163" t="inlineStr">
        <is>
          <t>carga</t>
        </is>
      </c>
      <c r="HD1" s="163" t="inlineStr">
        <is>
          <t>nfam</t>
        </is>
      </c>
      <c r="HE1" s="163" t="inlineStr">
        <is>
          <t>rep</t>
        </is>
      </c>
      <c r="HF1" s="163" t="inlineStr">
        <is>
          <t>maxfam</t>
        </is>
      </c>
      <c r="HG1" s="163" t="inlineStr">
        <is>
          <t>d_titulo</t>
        </is>
      </c>
      <c r="HH1" s="163" t="inlineStr">
        <is>
          <t>d_lomb</t>
        </is>
      </c>
      <c r="HI1" s="163" t="inlineStr">
        <is>
          <t>d_mae</t>
        </is>
      </c>
      <c r="HJ1" s="163" t="inlineStr">
        <is>
          <t>d_ent</t>
        </is>
      </c>
      <c r="HK1" s="163" t="inlineStr">
        <is>
          <t>d_ret</t>
        </is>
      </c>
      <c r="HL1" s="163" t="inlineStr">
        <is>
          <t>d_pontos</t>
        </is>
      </c>
      <c r="HM1" s="163" t="inlineStr">
        <is>
          <t>d_atq</t>
        </is>
      </c>
      <c r="HN1" s="163" t="inlineStr">
        <is>
          <t>d_cd</t>
        </is>
      </c>
      <c r="HO1" s="163" t="inlineStr">
        <is>
          <t>d_desl</t>
        </is>
      </c>
      <c r="HP1" s="163" t="inlineStr">
        <is>
          <t>d_tr0</t>
        </is>
      </c>
      <c r="HQ1" s="163" t="inlineStr">
        <is>
          <t>d_tr1</t>
        </is>
      </c>
      <c r="HR1" s="163" t="inlineStr">
        <is>
          <t>d_tr2</t>
        </is>
      </c>
      <c r="HS1" s="163" t="inlineStr">
        <is>
          <t>d_tr3</t>
        </is>
      </c>
      <c r="HT1" s="163" t="inlineStr">
        <is>
          <t>d_per</t>
        </is>
      </c>
      <c r="HU1" s="163" t="inlineStr">
        <is>
          <t>d_pb0</t>
        </is>
      </c>
      <c r="HV1" s="163" t="inlineStr">
        <is>
          <t>d_pb1</t>
        </is>
      </c>
      <c r="HW1" s="163" t="inlineStr">
        <is>
          <t>d_pb2</t>
        </is>
      </c>
      <c r="HX1" s="163" t="inlineStr">
        <is>
          <t>d_pb3</t>
        </is>
      </c>
      <c r="HY1" s="163" t="inlineStr">
        <is>
          <t>d_pb4</t>
        </is>
      </c>
      <c r="HZ1" s="163" t="inlineStr">
        <is>
          <t>d_pb5</t>
        </is>
      </c>
      <c r="IA1" s="163" t="inlineStr">
        <is>
          <t>d_pb6</t>
        </is>
      </c>
      <c r="IB1" s="163" t="inlineStr">
        <is>
          <t>d_res</t>
        </is>
      </c>
      <c r="IC1" s="163" t="inlineStr">
        <is>
          <t>d_equip</t>
        </is>
      </c>
      <c r="ID1" s="163" t="inlineStr">
        <is>
          <t>d_fam</t>
        </is>
      </c>
      <c r="IE1" s="163" t="inlineStr">
        <is>
          <t>d_hab</t>
        </is>
      </c>
      <c r="IF1" s="163" t="inlineStr">
        <is>
          <t>d_tal</t>
        </is>
      </c>
      <c r="IG1" s="163" t="inlineStr">
        <is>
          <t>ce0</t>
        </is>
      </c>
      <c r="IH1" s="163" t="inlineStr">
        <is>
          <t>ce1</t>
        </is>
      </c>
      <c r="II1" s="163" t="inlineStr">
        <is>
          <t>ce2</t>
        </is>
      </c>
      <c r="IJ1" s="163" t="inlineStr">
        <is>
          <t>ce3</t>
        </is>
      </c>
      <c r="IK1" s="163" t="inlineStr">
        <is>
          <t>ce4</t>
        </is>
      </c>
      <c r="IL1" s="163" t="inlineStr">
        <is>
          <t>ce5</t>
        </is>
      </c>
      <c r="IM1" s="163" t="inlineStr">
        <is>
          <t>ce6</t>
        </is>
      </c>
      <c r="IN1" s="163" t="inlineStr">
        <is>
          <t>ce7</t>
        </is>
      </c>
      <c r="IO1" s="163" t="inlineStr">
        <is>
          <t>d_tt0</t>
        </is>
      </c>
      <c r="IP1" s="163" t="inlineStr">
        <is>
          <t>d_tt1</t>
        </is>
      </c>
      <c r="IQ1" s="163" t="inlineStr">
        <is>
          <t>d_tt2</t>
        </is>
      </c>
      <c r="IR1" s="163" t="inlineStr">
        <is>
          <t>d_tt3</t>
        </is>
      </c>
      <c r="IS1" s="163" t="inlineStr">
        <is>
          <t>d_tt4</t>
        </is>
      </c>
      <c r="IT1" s="163" t="inlineStr">
        <is>
          <t>d_tt5</t>
        </is>
      </c>
      <c r="IU1" s="163" t="inlineStr">
        <is>
          <t>d_tt6</t>
        </is>
      </c>
      <c r="IV1" s="163" t="inlineStr">
        <is>
          <t>d_tt7</t>
        </is>
      </c>
      <c r="IW1" s="163" t="inlineStr">
        <is>
          <t>d_xt0</t>
        </is>
      </c>
      <c r="IX1" s="163" t="inlineStr">
        <is>
          <t>d_xt1</t>
        </is>
      </c>
      <c r="IY1" s="163" t="inlineStr">
        <is>
          <t>d_xt2</t>
        </is>
      </c>
      <c r="IZ1" s="163" t="inlineStr">
        <is>
          <t>d_lp0</t>
        </is>
      </c>
      <c r="JA1" s="163" t="inlineStr">
        <is>
          <t>d_lp1</t>
        </is>
      </c>
      <c r="JB1" s="163" t="inlineStr">
        <is>
          <t>d_lp2</t>
        </is>
      </c>
      <c r="JC1" s="163" t="inlineStr">
        <is>
          <t>d_ld0</t>
        </is>
      </c>
      <c r="JD1" s="163" t="inlineStr">
        <is>
          <t>d_ld1</t>
        </is>
      </c>
      <c r="JE1" s="163" t="inlineStr">
        <is>
          <t>d_ld2</t>
        </is>
      </c>
      <c r="JF1" s="163" t="inlineStr">
        <is>
          <t>d_mp</t>
        </is>
      </c>
      <c r="JG1" s="163" t="inlineStr">
        <is>
          <t>d_md</t>
        </is>
      </c>
      <c r="JH1" s="163" t="inlineStr">
        <is>
          <t>d_ep</t>
        </is>
      </c>
      <c r="JI1" s="163" t="inlineStr">
        <is>
          <t>d_ea</t>
        </is>
      </c>
      <c r="JJ1" s="163" t="inlineStr">
        <is>
          <t>d_er</t>
        </is>
      </c>
      <c r="JK1" s="163" t="inlineStr">
        <is>
          <t>d_rol</t>
        </is>
      </c>
      <c r="JM1" s="163" t="inlineStr">
        <is>
          <t>espaços por invocação</t>
        </is>
      </c>
      <c r="JO1" s="163" t="inlineStr">
        <is>
          <t>salto</t>
        </is>
      </c>
      <c r="JP1" s="163" t="inlineStr">
        <is>
          <t>caixa do salto</t>
        </is>
      </c>
      <c r="JQ1" s="163" t="inlineStr">
        <is>
          <t>alvo do salto</t>
        </is>
      </c>
      <c r="JR1" s="163" t="inlineStr">
        <is>
          <t>nome do salto</t>
        </is>
      </c>
      <c r="JT1" s="163" t="inlineStr">
        <is>
          <t>menu de melhoria da ficha 1</t>
        </is>
      </c>
      <c r="JU1" s="163" t="inlineStr">
        <is>
          <t>menu de melhoria leve da ficha 1</t>
        </is>
      </c>
      <c r="JW1" s="163" t="inlineStr">
        <is>
          <t>menu de forma da ficha 1</t>
        </is>
      </c>
      <c r="JX1" s="163" t="inlineStr">
        <is>
          <t>menu de forma da classe 0 da ficha 1</t>
        </is>
      </c>
      <c r="JZ1" s="163" t="inlineStr">
        <is>
          <t>menu de melhoria da ficha 2</t>
        </is>
      </c>
      <c r="KA1" s="163" t="inlineStr">
        <is>
          <t>menu de melhoria leve da ficha 2</t>
        </is>
      </c>
      <c r="KC1" s="163" t="inlineStr">
        <is>
          <t>menu de forma da ficha 2</t>
        </is>
      </c>
      <c r="KD1" s="163" t="inlineStr">
        <is>
          <t>menu de forma da classe 0 da ficha 2</t>
        </is>
      </c>
      <c r="KF1" s="163" t="inlineStr">
        <is>
          <t>menu de melhoria da ficha 3</t>
        </is>
      </c>
      <c r="KG1" s="163" t="inlineStr">
        <is>
          <t>menu de melhoria leve da ficha 3</t>
        </is>
      </c>
      <c r="KI1" s="163" t="inlineStr">
        <is>
          <t>menu de forma da ficha 3</t>
        </is>
      </c>
      <c r="KJ1" s="163" t="inlineStr">
        <is>
          <t>menu de forma da classe 0 da ficha 3</t>
        </is>
      </c>
      <c r="KL1" s="163" t="inlineStr">
        <is>
          <t>menu de melhoria da ficha 4</t>
        </is>
      </c>
      <c r="KM1" s="163" t="inlineStr">
        <is>
          <t>menu de melhoria leve da ficha 4</t>
        </is>
      </c>
      <c r="KO1" s="163" t="inlineStr">
        <is>
          <t>menu de forma da ficha 4</t>
        </is>
      </c>
      <c r="KP1" s="163" t="inlineStr">
        <is>
          <t>menu de forma da classe 0 da ficha 4</t>
        </is>
      </c>
      <c r="KR1" s="163" t="inlineStr">
        <is>
          <t>menu de melhoria da ficha 5</t>
        </is>
      </c>
      <c r="KS1" s="163" t="inlineStr">
        <is>
          <t>menu de melhoria leve da ficha 5</t>
        </is>
      </c>
      <c r="KU1" s="163" t="inlineStr">
        <is>
          <t>menu de forma da ficha 5</t>
        </is>
      </c>
      <c r="KV1" s="163" t="inlineStr">
        <is>
          <t>menu de forma da classe 0 da ficha 5</t>
        </is>
      </c>
      <c r="KX1" s="163" t="inlineStr">
        <is>
          <t>menu de melhoria da ficha 6</t>
        </is>
      </c>
      <c r="KY1" s="163" t="inlineStr">
        <is>
          <t>menu de melhoria leve da ficha 6</t>
        </is>
      </c>
      <c r="LA1" s="163" t="inlineStr">
        <is>
          <t>menu de forma da ficha 6</t>
        </is>
      </c>
      <c r="LB1" s="163" t="inlineStr">
        <is>
          <t>menu de forma da classe 0 da ficha 6</t>
        </is>
      </c>
      <c r="LD1" s="163" t="inlineStr">
        <is>
          <t>menu de melhoria da ficha 7</t>
        </is>
      </c>
      <c r="LE1" s="163" t="inlineStr">
        <is>
          <t>menu de melhoria leve da ficha 7</t>
        </is>
      </c>
      <c r="LG1" s="163" t="inlineStr">
        <is>
          <t>menu de forma da ficha 7</t>
        </is>
      </c>
      <c r="LH1" s="163" t="inlineStr">
        <is>
          <t>menu de forma da classe 0 da ficha 7</t>
        </is>
      </c>
      <c r="LJ1" s="163" t="inlineStr">
        <is>
          <t>menu de melhoria da ficha 8</t>
        </is>
      </c>
      <c r="LK1" s="163" t="inlineStr">
        <is>
          <t>menu de melhoria leve da ficha 8</t>
        </is>
      </c>
      <c r="LM1" s="163" t="inlineStr">
        <is>
          <t>menu de forma da ficha 8</t>
        </is>
      </c>
      <c r="LN1" s="163" t="inlineStr">
        <is>
          <t>menu de forma da classe 0 da ficha 8</t>
        </is>
      </c>
      <c r="LP1" s="163" t="inlineStr">
        <is>
          <t>menu de melhoria da ficha 9</t>
        </is>
      </c>
      <c r="LQ1" s="163" t="inlineStr">
        <is>
          <t>menu de melhoria leve da ficha 9</t>
        </is>
      </c>
      <c r="LS1" s="163" t="inlineStr">
        <is>
          <t>menu de forma da ficha 9</t>
        </is>
      </c>
      <c r="LT1" s="163" t="inlineStr">
        <is>
          <t>menu de forma da classe 0 da ficha 9</t>
        </is>
      </c>
      <c r="LV1" s="163" t="inlineStr">
        <is>
          <t>menu de melhoria da ficha 10</t>
        </is>
      </c>
      <c r="LW1" s="163" t="inlineStr">
        <is>
          <t>menu de melhoria leve da ficha 10</t>
        </is>
      </c>
      <c r="LY1" s="163" t="inlineStr">
        <is>
          <t>menu de forma da ficha 10</t>
        </is>
      </c>
      <c r="LZ1" s="163" t="inlineStr">
        <is>
          <t>menu de forma da classe 0 da ficha 10</t>
        </is>
      </c>
      <c r="MB1" s="163" t="inlineStr">
        <is>
          <t>menu de melhoria da ficha 11</t>
        </is>
      </c>
      <c r="MC1" s="163" t="inlineStr">
        <is>
          <t>menu de melhoria leve da ficha 11</t>
        </is>
      </c>
      <c r="ME1" s="163" t="inlineStr">
        <is>
          <t>menu de forma da ficha 11</t>
        </is>
      </c>
      <c r="MF1" s="163" t="inlineStr">
        <is>
          <t>menu de forma da classe 0 da ficha 11</t>
        </is>
      </c>
      <c r="MH1" s="163" t="inlineStr">
        <is>
          <t>menu de melhoria da ficha 12</t>
        </is>
      </c>
      <c r="MI1" s="163" t="inlineStr">
        <is>
          <t>menu de melhoria leve da ficha 12</t>
        </is>
      </c>
      <c r="MK1" s="163" t="inlineStr">
        <is>
          <t>menu de forma da ficha 12</t>
        </is>
      </c>
      <c r="ML1" s="163" t="inlineStr">
        <is>
          <t>menu de forma da classe 0 da ficha 12</t>
        </is>
      </c>
      <c r="MN1" s="163" t="inlineStr">
        <is>
          <t>conta de habilidade</t>
        </is>
      </c>
      <c r="MO1" s="163" t="inlineStr">
        <is>
          <t>ficha</t>
        </is>
      </c>
      <c r="MP1" s="163" t="inlineStr">
        <is>
          <t>tipo</t>
        </is>
      </c>
      <c r="MQ1" s="163" t="inlineStr">
        <is>
          <t>abre</t>
        </is>
      </c>
      <c r="MR1" s="163" t="inlineStr">
        <is>
          <t>tit</t>
        </is>
      </c>
      <c r="MS1" s="163" t="inlineStr">
        <is>
          <t>classe</t>
        </is>
      </c>
      <c r="MT1" s="163" t="inlineStr">
        <is>
          <t>nome</t>
        </is>
      </c>
      <c r="MU1" s="163" t="inlineStr">
        <is>
          <t>forma</t>
        </is>
      </c>
      <c r="MV1" s="163" t="inlineStr">
        <is>
          <t>tdano</t>
        </is>
      </c>
      <c r="MW1" s="163" t="inlineStr">
        <is>
          <t>rmenu</t>
        </is>
      </c>
      <c r="MX1" s="163" t="inlineStr">
        <is>
          <t>m1</t>
        </is>
      </c>
      <c r="MY1" s="163" t="inlineStr">
        <is>
          <t>m2</t>
        </is>
      </c>
      <c r="MZ1" s="163" t="inlineStr">
        <is>
          <t>m3</t>
        </is>
      </c>
      <c r="NA1" s="163" t="inlineStr">
        <is>
          <t>m4</t>
        </is>
      </c>
      <c r="NB1" s="163" t="inlineStr">
        <is>
          <t>r1</t>
        </is>
      </c>
      <c r="NC1" s="163" t="inlineStr">
        <is>
          <t>r2</t>
        </is>
      </c>
      <c r="ND1" s="163" t="inlineStr">
        <is>
          <t>tem</t>
        </is>
      </c>
      <c r="NE1" s="163" t="inlineStr">
        <is>
          <t>nv</t>
        </is>
      </c>
      <c r="NF1" s="163" t="inlineStr">
        <is>
          <t>mx</t>
        </is>
      </c>
      <c r="NG1" s="163" t="inlineStr">
        <is>
          <t>db</t>
        </is>
      </c>
      <c r="NH1" s="163" t="inlineStr">
        <is>
          <t>atk</t>
        </is>
      </c>
      <c r="NI1" s="163" t="inlineStr">
        <is>
          <t>cdf</t>
        </is>
      </c>
      <c r="NJ1" s="163" t="inlineStr">
        <is>
          <t>lf</t>
        </is>
      </c>
      <c r="NK1" s="163" t="inlineStr">
        <is>
          <t>f1</t>
        </is>
      </c>
      <c r="NL1" s="163" t="inlineStr">
        <is>
          <t>f2</t>
        </is>
      </c>
      <c r="NM1" s="163" t="inlineStr">
        <is>
          <t>f3</t>
        </is>
      </c>
      <c r="NN1" s="163" t="inlineStr">
        <is>
          <t>f4</t>
        </is>
      </c>
      <c r="NO1" s="163" t="inlineStr">
        <is>
          <t>w1</t>
        </is>
      </c>
      <c r="NP1" s="163" t="inlineStr">
        <is>
          <t>w2</t>
        </is>
      </c>
      <c r="NQ1" s="163" t="inlineStr">
        <is>
          <t>w3</t>
        </is>
      </c>
      <c r="NR1" s="163" t="inlineStr">
        <is>
          <t>w4</t>
        </is>
      </c>
      <c r="NS1" s="163" t="inlineStr">
        <is>
          <t>k0</t>
        </is>
      </c>
      <c r="NT1" s="163" t="inlineStr">
        <is>
          <t>k1</t>
        </is>
      </c>
      <c r="NU1" s="163" t="inlineStr">
        <is>
          <t>k2</t>
        </is>
      </c>
      <c r="NV1" s="163" t="inlineStr">
        <is>
          <t>k3</t>
        </is>
      </c>
      <c r="NW1" s="163" t="inlineStr">
        <is>
          <t>k4</t>
        </is>
      </c>
      <c r="NX1" s="163" t="inlineStr">
        <is>
          <t>x0</t>
        </is>
      </c>
      <c r="NY1" s="163" t="inlineStr">
        <is>
          <t>x1</t>
        </is>
      </c>
      <c r="NZ1" s="163" t="inlineStr">
        <is>
          <t>x2</t>
        </is>
      </c>
      <c r="OA1" s="163" t="inlineStr">
        <is>
          <t>x3</t>
        </is>
      </c>
      <c r="OB1" s="163" t="inlineStr">
        <is>
          <t>x4</t>
        </is>
      </c>
      <c r="OC1" s="163" t="inlineStr">
        <is>
          <t>ct</t>
        </is>
      </c>
      <c r="OD1" s="163" t="inlineStr">
        <is>
          <t>ptr</t>
        </is>
      </c>
      <c r="OE1" s="163" t="inlineStr">
        <is>
          <t>rdz</t>
        </is>
      </c>
      <c r="OF1" s="163" t="inlineStr">
        <is>
          <t>emb</t>
        </is>
      </c>
      <c r="OG1" s="163" t="inlineStr">
        <is>
          <t>tp</t>
        </is>
      </c>
      <c r="OH1" s="163" t="inlineStr">
        <is>
          <t>tr</t>
        </is>
      </c>
      <c r="OI1" s="163" t="inlineStr">
        <is>
          <t>c1</t>
        </is>
      </c>
      <c r="OJ1" s="163" t="inlineStr">
        <is>
          <t>c2</t>
        </is>
      </c>
      <c r="OK1" s="163" t="inlineStr">
        <is>
          <t>b1</t>
        </is>
      </c>
      <c r="OL1" s="163" t="inlineStr">
        <is>
          <t>b2</t>
        </is>
      </c>
      <c r="OM1" s="163" t="inlineStr">
        <is>
          <t>n1</t>
        </is>
      </c>
      <c r="ON1" s="163" t="inlineStr">
        <is>
          <t>n2</t>
        </is>
      </c>
      <c r="OO1" s="163" t="inlineStr">
        <is>
          <t>n3</t>
        </is>
      </c>
      <c r="OP1" s="163" t="inlineStr">
        <is>
          <t>n4</t>
        </is>
      </c>
      <c r="OQ1" s="163" t="inlineStr">
        <is>
          <t>n5</t>
        </is>
      </c>
      <c r="OR1" s="163" t="inlineStr">
        <is>
          <t>n6</t>
        </is>
      </c>
      <c r="OS1" s="163" t="inlineStr">
        <is>
          <t>dL</t>
        </is>
      </c>
      <c r="OT1" s="163" t="inlineStr">
        <is>
          <t>dM</t>
        </is>
      </c>
      <c r="OU1" s="163" t="inlineStr">
        <is>
          <t>nm</t>
        </is>
      </c>
      <c r="OV1" s="163" t="inlineStr">
        <is>
          <t>nr</t>
        </is>
      </c>
      <c r="OW1" s="163" t="inlineStr">
        <is>
          <t>g</t>
        </is>
      </c>
      <c r="OX1" s="163" t="inlineStr">
        <is>
          <t>dv0</t>
        </is>
      </c>
      <c r="OY1" s="163" t="inlineStr">
        <is>
          <t>dv</t>
        </is>
      </c>
      <c r="OZ1" s="163" t="inlineStr">
        <is>
          <t>usa</t>
        </is>
      </c>
      <c r="PA1" s="163" t="inlineStr">
        <is>
          <t>perde</t>
        </is>
      </c>
      <c r="PB1" s="163" t="inlineStr">
        <is>
          <t>pts</t>
        </is>
      </c>
      <c r="PC1" s="163" t="inlineStr">
        <is>
          <t>s</t>
        </is>
      </c>
      <c r="PD1" s="163" t="inlineStr">
        <is>
          <t>d</t>
        </is>
      </c>
      <c r="PE1" s="163" t="inlineStr">
        <is>
          <t>dep</t>
        </is>
      </c>
      <c r="PF1" s="163" t="inlineStr">
        <is>
          <t>d1</t>
        </is>
      </c>
      <c r="PG1" s="163" t="inlineStr">
        <is>
          <t>d2</t>
        </is>
      </c>
      <c r="PH1" s="163" t="inlineStr">
        <is>
          <t>d3</t>
        </is>
      </c>
      <c r="PI1" s="163" t="inlineStr">
        <is>
          <t>d4</t>
        </is>
      </c>
      <c r="PJ1" s="163" t="inlineStr">
        <is>
          <t>d5</t>
        </is>
      </c>
      <c r="PK1" s="163" t="inlineStr">
        <is>
          <t>d6</t>
        </is>
      </c>
      <c r="PL1" s="163" t="inlineStr">
        <is>
          <t>d7</t>
        </is>
      </c>
      <c r="PM1" s="163" t="inlineStr">
        <is>
          <t>t1</t>
        </is>
      </c>
      <c r="PN1" s="163" t="inlineStr">
        <is>
          <t>t2</t>
        </is>
      </c>
      <c r="PO1" s="163" t="inlineStr">
        <is>
          <t>t3</t>
        </is>
      </c>
      <c r="PP1" s="163" t="inlineStr">
        <is>
          <t>t4</t>
        </is>
      </c>
      <c r="PQ1" s="163" t="inlineStr">
        <is>
          <t>t5</t>
        </is>
      </c>
      <c r="PR1" s="163" t="inlineStr">
        <is>
          <t>t6</t>
        </is>
      </c>
      <c r="PS1" s="163" t="inlineStr">
        <is>
          <t>t7</t>
        </is>
      </c>
      <c r="PT1" s="163" t="inlineStr">
        <is>
          <t>erros</t>
        </is>
      </c>
      <c r="PU1" s="163" t="inlineStr">
        <is>
          <t>ne</t>
        </is>
      </c>
      <c r="PV1" s="163" t="inlineStr">
        <is>
          <t>avisos</t>
        </is>
      </c>
      <c r="PW1" s="163" t="inlineStr">
        <is>
          <t>na</t>
        </is>
      </c>
      <c r="PX1" s="163" t="inlineStr">
        <is>
          <t>estado</t>
        </is>
      </c>
      <c r="PY1" s="163" t="inlineStr">
        <is>
          <t>linha</t>
        </is>
      </c>
      <c r="PZ1" s="163" t="inlineStr">
        <is>
          <t>titulo</t>
        </is>
      </c>
      <c r="QA1" s="163" t="inlineStr">
        <is>
          <t>pe</t>
        </is>
      </c>
      <c r="QB1" s="163" t="inlineStr">
        <is>
          <t>acao</t>
        </is>
      </c>
      <c r="QC1" s="163" t="inlineStr">
        <is>
          <t>rs</t>
        </is>
      </c>
      <c r="QD1" s="163" t="inlineStr">
        <is>
          <t>resolve</t>
        </is>
      </c>
      <c r="QE1" s="163" t="inlineStr">
        <is>
          <t>dano</t>
        </is>
      </c>
      <c r="QF1" s="163" t="inlineStr">
        <is>
          <t>lg</t>
        </is>
      </c>
      <c r="QG1" s="163" t="inlineStr">
        <is>
          <t>mr</t>
        </is>
      </c>
      <c r="QH1" s="163" t="inlineStr">
        <is>
          <t>q1</t>
        </is>
      </c>
      <c r="QI1" s="163" t="inlineStr">
        <is>
          <t>q2</t>
        </is>
      </c>
      <c r="QJ1" s="163" t="inlineStr">
        <is>
          <t>alcance</t>
        </is>
      </c>
      <c r="QK1" s="163" t="inlineStr">
        <is>
          <t>conta</t>
        </is>
      </c>
      <c r="QL1" s="163" t="inlineStr">
        <is>
          <t>ampliar</t>
        </is>
      </c>
      <c r="QM1" s="163" t="inlineStr">
        <is>
          <t>pt1</t>
        </is>
      </c>
      <c r="QN1" s="163" t="inlineStr">
        <is>
          <t>pt2</t>
        </is>
      </c>
      <c r="QO1" s="163" t="inlineStr">
        <is>
          <t>pt3</t>
        </is>
      </c>
      <c r="QP1" s="163" t="inlineStr">
        <is>
          <t>pt4</t>
        </is>
      </c>
      <c r="QQ1" s="163" t="inlineStr">
        <is>
          <t>dt1</t>
        </is>
      </c>
      <c r="QR1" s="163" t="inlineStr">
        <is>
          <t>dt2</t>
        </is>
      </c>
      <c r="QT1" s="163" t="inlineStr">
        <is>
          <t>caixa calculada</t>
        </is>
      </c>
      <c r="QU1" s="163" t="inlineStr">
        <is>
          <t>o que a caixa mostra</t>
        </is>
      </c>
      <c r="QV1" t="inlineStr">
        <is>
          <t>família extra 6</t>
        </is>
      </c>
      <c r="QW1" t="inlineStr">
        <is>
          <t>família extra 7</t>
        </is>
      </c>
      <c r="QX1" t="inlineStr">
        <is>
          <t>família extra 8</t>
        </is>
      </c>
      <c r="QY1" t="inlineStr">
        <is>
          <t>família extra 9</t>
        </is>
      </c>
      <c r="QZ1" t="inlineStr">
        <is>
          <t>autonomia efetiva</t>
        </is>
      </c>
      <c r="RA1" t="inlineStr">
        <is>
          <t>limite de Famílias Livres</t>
        </is>
      </c>
      <c r="RB1" t="inlineStr">
        <is>
          <t>Família Livre efetiva 1</t>
        </is>
      </c>
      <c r="RC1" t="inlineStr">
        <is>
          <t>Família Livre efetiva 2</t>
        </is>
      </c>
      <c r="RD1" t="inlineStr">
        <is>
          <t>Família Livre efetiva 3</t>
        </is>
      </c>
      <c r="RE1" t="inlineStr">
        <is>
          <t>Família Livre efetiva 4</t>
        </is>
      </c>
      <c r="RF1" t="inlineStr">
        <is>
          <t>Família Livre efetiva 5</t>
        </is>
      </c>
      <c r="RG1" t="inlineStr">
        <is>
          <t>Família Livre efetiva 6</t>
        </is>
      </c>
      <c r="RH1" t="inlineStr">
        <is>
          <t>Família Livre efetiva 7</t>
        </is>
      </c>
      <c r="RI1" t="inlineStr">
        <is>
          <t>Família Livre efetiva 8</t>
        </is>
      </c>
      <c r="RJ1" t="inlineStr">
        <is>
          <t>Família Livre efetiva 9</t>
        </is>
      </c>
      <c r="RK1" t="inlineStr">
        <is>
          <t>base da melhoria 1</t>
        </is>
      </c>
      <c r="RL1" t="inlineStr">
        <is>
          <t>base da melhoria 2</t>
        </is>
      </c>
      <c r="RM1" t="inlineStr">
        <is>
          <t>base da melhoria 3</t>
        </is>
      </c>
      <c r="RN1" t="inlineStr">
        <is>
          <t>base da melhoria 4</t>
        </is>
      </c>
    </row>
    <row r="2">
      <c r="A2" s="164" t="n">
        <v>1</v>
      </c>
      <c r="B2" s="164" t="n">
        <v>1</v>
      </c>
      <c r="C2" s="164" t="n">
        <v>1</v>
      </c>
      <c r="D2" s="164" t="n">
        <v>2</v>
      </c>
      <c r="F2" s="164" t="n">
        <v>6</v>
      </c>
      <c r="H2" s="164" t="n">
        <v>1</v>
      </c>
      <c r="I2" s="164" t="n">
        <v>1</v>
      </c>
      <c r="J2" s="164" t="n">
        <v>1</v>
      </c>
      <c r="K2" s="164" t="n">
        <v>2</v>
      </c>
      <c r="L2" s="164" t="n">
        <v>1</v>
      </c>
      <c r="M2" s="164" t="n">
        <v>1</v>
      </c>
      <c r="N2" s="164" t="n">
        <v>1</v>
      </c>
      <c r="O2" s="164" t="n">
        <v>2</v>
      </c>
      <c r="P2" s="164" t="n">
        <v>2</v>
      </c>
      <c r="R2" s="164" t="n">
        <v>0</v>
      </c>
      <c r="T2" s="164" t="n">
        <v>3</v>
      </c>
      <c r="V2" s="162" t="inlineStr">
        <is>
          <t>Projétil</t>
        </is>
      </c>
      <c r="W2" s="162" t="inlineStr"/>
      <c r="X2" s="164" t="n">
        <v>0</v>
      </c>
      <c r="Y2" s="164" t="n">
        <v>0</v>
      </c>
      <c r="Z2" s="164" t="n">
        <v>0</v>
      </c>
      <c r="AA2" s="162" t="inlineStr">
        <is>
          <t>Ataque</t>
        </is>
      </c>
      <c r="AB2" s="164" t="n">
        <v>0</v>
      </c>
      <c r="AC2" s="164" t="n">
        <v>1</v>
      </c>
      <c r="AD2" s="164" t="n">
        <v>0</v>
      </c>
      <c r="AE2" s="164" t="n">
        <v>1</v>
      </c>
      <c r="AF2" s="164" t="n">
        <v>1</v>
      </c>
      <c r="AH2" s="162" t="inlineStr">
        <is>
          <t>Projétil · classe 0</t>
        </is>
      </c>
      <c r="AI2" s="162" t="inlineStr">
        <is>
          <t>9 m, um alvo</t>
        </is>
      </c>
      <c r="AJ2" s="162" t="inlineStr">
        <is>
          <t>18 m, um alvo</t>
        </is>
      </c>
      <c r="AK2" s="162" t="inlineStr">
        <is>
          <t>36 m, um alvo</t>
        </is>
      </c>
      <c r="AL2" s="162" t="inlineStr">
        <is>
          <t>90 m, um alvo</t>
        </is>
      </c>
      <c r="AM2" s="162" t="inlineStr">
        <is>
          <t>Visão a olho nu, um alvo</t>
        </is>
      </c>
      <c r="AN2" s="162" t="inlineStr">
        <is>
          <t>Visão a olho nu, um alvo</t>
        </is>
      </c>
      <c r="AO2" s="162" t="inlineStr"/>
      <c r="AP2" s="162" t="inlineStr"/>
      <c r="AQ2" s="162" t="inlineStr"/>
      <c r="AR2" s="162" t="inlineStr"/>
      <c r="AS2" s="162" t="inlineStr"/>
      <c r="AT2" s="162" t="inlineStr"/>
      <c r="AV2" s="162" t="inlineStr">
        <is>
          <t>Longe</t>
        </is>
      </c>
      <c r="AW2" s="162" t="inlineStr">
        <is>
          <t>Alcance</t>
        </is>
      </c>
      <c r="AX2" s="164" t="n">
        <v>1</v>
      </c>
      <c r="AY2" s="164" t="n">
        <v>0</v>
      </c>
      <c r="AZ2" s="164" t="n">
        <v>0</v>
      </c>
      <c r="BA2" s="164" t="n">
        <v>0</v>
      </c>
      <c r="BC2" s="162" t="inlineStr">
        <is>
          <t>Corpo a Corpo</t>
        </is>
      </c>
      <c r="BD2" s="162" t="inlineStr">
        <is>
          <t>Corpo a Corpo</t>
        </is>
      </c>
      <c r="BE2" s="164" t="n">
        <v>2</v>
      </c>
      <c r="BF2" s="164" t="n">
        <v>0</v>
      </c>
      <c r="BG2" s="162" t="inlineStr"/>
      <c r="BI2" s="162" t="inlineStr">
        <is>
          <t>Leitura</t>
        </is>
      </c>
      <c r="BJ2" s="164" t="n">
        <v>1</v>
      </c>
      <c r="BK2" s="162" t="inlineStr">
        <is>
          <t>Você identifica a Classe e a Forma de qualquer feitiço conjurado a até 18 m de você. A informação não fornece a montagem completa, o custo de cada peça ou a localização de um alvo oculto.</t>
        </is>
      </c>
      <c r="BL2" s="162" t="inlineStr">
        <is>
          <t>Leitura</t>
        </is>
      </c>
      <c r="BN2" s="162" t="inlineStr">
        <is>
          <t>Shikigami de técnica</t>
        </is>
      </c>
      <c r="BP2" s="162" t="inlineStr">
        <is>
          <t>Espaço conhecido</t>
        </is>
      </c>
      <c r="BQ2" s="164" t="n">
        <v>1</v>
      </c>
      <c r="BS2" s="162" t="inlineStr">
        <is>
          <t>Alcance</t>
        </is>
      </c>
      <c r="BU2" s="162" t="inlineStr">
        <is>
          <t>Força</t>
        </is>
      </c>
      <c r="BW2" s="162" t="inlineStr">
        <is>
          <t>Físico</t>
        </is>
      </c>
      <c r="BY2" s="162" t="inlineStr">
        <is>
          <t>Força</t>
        </is>
      </c>
      <c r="CA2" s="162" t="inlineStr">
        <is>
          <t>Com alma</t>
        </is>
      </c>
      <c r="CC2" s="162" t="inlineStr">
        <is>
          <t>Atletismo</t>
        </is>
      </c>
      <c r="CD2" s="162" t="inlineStr">
        <is>
          <t>Força</t>
        </is>
      </c>
      <c r="CF2" s="162" t="inlineStr">
        <is>
          <t>Sem carga</t>
        </is>
      </c>
      <c r="CH2" s="162" t="inlineStr">
        <is>
          <t>Condução</t>
        </is>
      </c>
      <c r="CJ2" s="162" t="inlineStr">
        <is>
          <t>Cortante</t>
        </is>
      </c>
      <c r="CL2" s="162" t="inlineStr">
        <is>
          <t>Ataque</t>
        </is>
      </c>
      <c r="CN2" s="164" t="n">
        <v>0</v>
      </c>
      <c r="CP2" s="164" t="n">
        <v>17</v>
      </c>
      <c r="CQ2" s="162" t="inlineStr">
        <is>
          <t>19d8</t>
        </is>
      </c>
      <c r="CR2" s="164" t="n">
        <v>8</v>
      </c>
      <c r="CS2" s="164" t="n">
        <v>25</v>
      </c>
      <c r="CU2" s="162" t="inlineStr">
        <is>
          <t>Incompleta</t>
        </is>
      </c>
      <c r="CV2" s="162" t="inlineStr">
        <is>
          <t>2 espaços.</t>
        </is>
      </c>
      <c r="CW2" s="162" t="inlineStr">
        <is>
          <t>Nível 10 dela e seu refino 4.</t>
        </is>
      </c>
      <c r="CY2" s="162" t="inlineStr">
        <is>
          <t>Essência</t>
        </is>
      </c>
      <c r="DA2" s="162" t="inlineStr">
        <is>
          <t>nível</t>
        </is>
      </c>
      <c r="DB2" s="164">
        <f>MAX(1,N(FICHA!$AH$11))</f>
        <v/>
      </c>
      <c r="DD2" s="164" t="n">
        <v>1</v>
      </c>
      <c r="DE2" s="164">
        <f>'INVOCAÇÕES'!$I$13&amp;""</f>
        <v/>
      </c>
      <c r="DF2" s="164">
        <f>'INVOCAÇÕES'!$I$43&amp;""</f>
        <v/>
      </c>
      <c r="DG2" s="164">
        <f>'INVOCAÇÕES'!$I$47&amp;""</f>
        <v/>
      </c>
      <c r="DH2" s="164">
        <f>N('INVOCAÇÕES'!$K$47)</f>
        <v/>
      </c>
      <c r="DI2" s="164">
        <f>'INVOCAÇÕES'!$L$47&amp;""</f>
        <v/>
      </c>
      <c r="DJ2" s="164">
        <f>N('INVOCAÇÕES'!$O$20)</f>
        <v/>
      </c>
      <c r="DK2" s="164">
        <f>N('INVOCAÇÕES'!$P$20)</f>
        <v/>
      </c>
      <c r="DL2" s="164">
        <f>N('INVOCAÇÕES'!$Q$20)</f>
        <v/>
      </c>
      <c r="DM2" s="164">
        <f>N('INVOCAÇÕES'!$R$20)</f>
        <v/>
      </c>
      <c r="DN2" s="164">
        <f>N('INVOCAÇÕES'!$S$20)</f>
        <v/>
      </c>
      <c r="DO2" s="164">
        <f>N('INVOCAÇÕES'!$O$21)</f>
        <v/>
      </c>
      <c r="DP2" s="164">
        <f>N('INVOCAÇÕES'!$P$21)</f>
        <v/>
      </c>
      <c r="DQ2" s="164">
        <f>N('INVOCAÇÕES'!$Q$21)</f>
        <v/>
      </c>
      <c r="DR2" s="164">
        <f>N('INVOCAÇÕES'!$R$21)</f>
        <v/>
      </c>
      <c r="DS2" s="164">
        <f>N('INVOCAÇÕES'!$S$21)</f>
        <v/>
      </c>
      <c r="DT2" s="164">
        <f>'INVOCAÇÕES'!$O$34&amp;""</f>
        <v/>
      </c>
      <c r="DU2" s="164">
        <f>'INVOCAÇÕES'!$R$34&amp;""</f>
        <v/>
      </c>
      <c r="DV2" s="164">
        <f>'INVOCAÇÕES'!$S$29&amp;""</f>
        <v/>
      </c>
      <c r="DW2" s="164">
        <f>N('INVOCAÇÕES'!$O$26)</f>
        <v/>
      </c>
      <c r="DX2" s="164">
        <f>N('INVOCAÇÕES'!$P$26)</f>
        <v/>
      </c>
      <c r="DY2" s="164">
        <f>N('INVOCAÇÕES'!$Q$26)</f>
        <v/>
      </c>
      <c r="DZ2" s="164">
        <f>N('INVOCAÇÕES'!$R$26)</f>
        <v/>
      </c>
      <c r="EA2" s="164">
        <f>N('INVOCAÇÕES'!$S$26)</f>
        <v/>
      </c>
      <c r="EB2" s="164">
        <f>N('INVOCAÇÕES'!$O$31)</f>
        <v/>
      </c>
      <c r="EC2" s="164">
        <f>N('INVOCAÇÕES'!$P$31)</f>
        <v/>
      </c>
      <c r="ED2" s="164">
        <f>N('INVOCAÇÕES'!$Q$31)</f>
        <v/>
      </c>
      <c r="EE2" s="164">
        <f>N('INVOCAÇÕES'!$R$31)</f>
        <v/>
      </c>
      <c r="EF2" s="164">
        <f>'INVOCAÇÕES'!$U$13&amp;""</f>
        <v/>
      </c>
      <c r="EG2" s="164">
        <f>N('INVOCAÇÕES'!$W$13)</f>
        <v/>
      </c>
      <c r="EH2" s="164">
        <f>'INVOCAÇÕES'!$Y$13&amp;""</f>
        <v/>
      </c>
      <c r="EI2" s="164">
        <f>SUM('INVOCAÇÕES'!$Y$33:'INVOCAÇÕES'!$Y$35,'INVOCAÇÕES'!$Y$37:'INVOCAÇÕES'!$Y$42)</f>
        <v/>
      </c>
      <c r="EJ2" s="164">
        <f>'INVOCAÇÕES'!$U$18&amp;""</f>
        <v/>
      </c>
      <c r="EK2" s="164">
        <f>'INVOCAÇÕES'!$V$18&amp;""</f>
        <v/>
      </c>
      <c r="EL2" s="164">
        <f>'INVOCAÇÕES'!$O$48&amp;""</f>
        <v/>
      </c>
      <c r="EM2" s="164">
        <f>'INVOCAÇÕES'!$P$48&amp;""</f>
        <v/>
      </c>
      <c r="EN2" s="164">
        <f>'INVOCAÇÕES'!$Q$48&amp;""</f>
        <v/>
      </c>
      <c r="EO2" s="164">
        <f>'INVOCAÇÕES'!$R$48&amp;""</f>
        <v/>
      </c>
      <c r="EP2" s="164">
        <f>'INVOCAÇÕES'!$S$48&amp;""</f>
        <v/>
      </c>
      <c r="EQ2" s="164">
        <f>'INVOCAÇÕES'!$O$38&amp;""</f>
        <v/>
      </c>
      <c r="ER2" s="164">
        <f>'INVOCAÇÕES'!$O$39&amp;""</f>
        <v/>
      </c>
      <c r="ES2" s="164">
        <f>'INVOCAÇÕES'!$O$40&amp;""</f>
        <v/>
      </c>
      <c r="ET2" s="164">
        <f>'INVOCAÇÕES'!$O$41&amp;""</f>
        <v/>
      </c>
      <c r="EU2" s="164">
        <f>'INVOCAÇÕES'!$O$42&amp;""</f>
        <v/>
      </c>
      <c r="EV2" s="164">
        <f>'INVOCAÇÕES'!$O$43&amp;""</f>
        <v/>
      </c>
      <c r="EW2" s="164">
        <f>'INVOCAÇÕES'!$O$44&amp;""</f>
        <v/>
      </c>
      <c r="EX2" s="164">
        <f>'INVOCAÇÕES'!$J$93&amp;""</f>
        <v/>
      </c>
      <c r="EY2" s="164">
        <f>'INVOCAÇÕES'!$J$94&amp;""</f>
        <v/>
      </c>
      <c r="EZ2" s="164">
        <f>'INVOCAÇÕES'!$J$95&amp;""</f>
        <v/>
      </c>
      <c r="FA2" s="164">
        <f>'INVOCAÇÕES'!$J$96&amp;""</f>
        <v/>
      </c>
      <c r="FB2" s="164">
        <f>'INVOCAÇÕES'!$J$97&amp;""</f>
        <v/>
      </c>
      <c r="FC2" s="164">
        <f>'INVOCAÇÕES'!$J$98&amp;""</f>
        <v/>
      </c>
      <c r="FD2" s="164">
        <f>'INVOCAÇÕES'!$J$99&amp;""</f>
        <v/>
      </c>
      <c r="FE2" s="164">
        <f>'INVOCAÇÕES'!$J$100&amp;""</f>
        <v/>
      </c>
      <c r="FF2" s="164">
        <f>'INVOCAÇÕES'!$J$195&amp;""</f>
        <v/>
      </c>
      <c r="FG2" s="164">
        <f>'INVOCAÇÕES'!$J$196&amp;""</f>
        <v/>
      </c>
      <c r="FH2" s="164">
        <f>'INVOCAÇÕES'!$J$197&amp;""</f>
        <v/>
      </c>
      <c r="FI2" s="164">
        <f>MAX(3,MIN(7,N('INVOCAÇÕES'!$I$202)))</f>
        <v/>
      </c>
      <c r="FJ2" s="164">
        <f>MAX(3,MIN(7,N('INVOCAÇÕES'!$O$202)))</f>
        <v/>
      </c>
      <c r="FK2" s="164">
        <f>MAX(3,MIN(7,N('INVOCAÇÕES'!$U$202)))</f>
        <v/>
      </c>
      <c r="FL2" s="164">
        <f>'INVOCAÇÕES'!$O$216&amp;""</f>
        <v/>
      </c>
      <c r="FM2" s="164">
        <f>IF($DE2&lt;&gt;"",1,0)</f>
        <v/>
      </c>
      <c r="FN2" s="164">
        <f>IFERROR(VLOOKUP($DG2,$BP$2:$BQ$5,2,FALSE),1)</f>
        <v/>
      </c>
      <c r="FO2" s="164">
        <f>IF($FN2=1,$DB$2,IF($FN2=2,MIN($DB$2,IF(MAX(1,MIN($DB$2,IF($DH2=0,$DB$2,$DH2)))&lt;=4,4,IF(MAX(1,MIN($DB$2,IF($DH2=0,$DB$2,$DH2)))&lt;=8,8,IF(MAX(1,MIN($DB$2,IF($DH2=0,$DB$2,$DH2)))&lt;=12,12,IF(MAX(1,MIN($DB$2,IF($DH2=0,$DB$2,$DH2)))&lt;=16,16,IF(MAX(1,MIN($DB$2,IF($DH2=0,$DB$2,$DH2)))&lt;=20,20,IF(MAX(1,MIN($DB$2,IF($DH2=0,$DB$2,$DH2)))&lt;=25,25,IF(MAX(1,MIN($DB$2,IF($DH2=0,$DB$2,$DH2)))&lt;=30,30,30)))))))),MAX(1,MIN($DB$2,IF($DH2=0,$DB$2,$DH2)))))</f>
        <v/>
      </c>
      <c r="FP2" s="164">
        <f>VLOOKUP(MAX(1,$FO2),$A$2:$D$8,2,TRUE)</f>
        <v/>
      </c>
      <c r="FQ2" s="164">
        <f>VLOOKUP(MAX(1,$FO2),$A$2:$D$8,3,TRUE)</f>
        <v/>
      </c>
      <c r="FR2" s="164">
        <f>$DJ2+$DO2</f>
        <v/>
      </c>
      <c r="FS2" s="164">
        <f>$DK2+$DP2</f>
        <v/>
      </c>
      <c r="FT2" s="164">
        <f>$DL2+$DQ2</f>
        <v/>
      </c>
      <c r="FU2" s="164">
        <f>$DM2+$DR2</f>
        <v/>
      </c>
      <c r="FV2" s="164">
        <f>$DN2+$DS2</f>
        <v/>
      </c>
      <c r="FW2" s="164">
        <f>SUM($DJ2:$DN2)</f>
        <v/>
      </c>
      <c r="FX2" s="164">
        <f>9+$FY2</f>
        <v/>
      </c>
      <c r="FY2" s="164">
        <f>COUNTIF($F$2:$F$8,"&lt;="&amp;$FO2)</f>
        <v/>
      </c>
      <c r="FZ2" s="164">
        <f>MAX(0,$DJ2-3)+MAX(0,$DK2-3)+MAX(0,$DL2-3)+MAX(0,$DM2-3)+MAX(0,$DN2-3)</f>
        <v/>
      </c>
      <c r="GA2" s="164">
        <f>IFERROR(INDEX($FR2:$FV2,1,MATCH($DT2,$BU$2:$BU$6,0)),"")</f>
        <v/>
      </c>
      <c r="GB2" s="164">
        <f>IF($GA2="","",$GA2+$DB$3+$DW2)</f>
        <v/>
      </c>
      <c r="GC2" s="164">
        <f>IF($GA2="","",8+$GA2+$DB$3+$DX2)</f>
        <v/>
      </c>
      <c r="GD2" s="164">
        <f>10+$FS2+$DB$7+$DY2</f>
        <v/>
      </c>
      <c r="GE2" s="164">
        <f>IF(IFERROR(VLOOKUP(SUBSTITUTE(SUBSTITUTE(SUBSTITUTE($DF2,"~","~~"),"*","~*"),"?","~?"),'DADOS_ENTIDADES'!$M$2:$P$16,2,FALSE),0)=1,1,0)</f>
        <v/>
      </c>
      <c r="GF2" s="164">
        <f>5+$FT2+(3+$GE2+$FT2)*($FO2-1)+$DZ2</f>
        <v/>
      </c>
      <c r="GG2" s="164">
        <f>IF($FM2=0,"",$GF2)</f>
        <v/>
      </c>
      <c r="GH2" s="164">
        <f>IF($EF2="",$GF2,MAX(0,MIN(IFERROR(VALUE($EF2),$GF2),$GF2)))</f>
        <v/>
      </c>
      <c r="GI2" s="164">
        <f>IF(AND($FM2=1,$EJ2&lt;&gt;"Sem alma"),MAX(1,INT($GF2/2)),"")</f>
        <v/>
      </c>
      <c r="GJ2" s="164">
        <f>$GI2</f>
        <v/>
      </c>
      <c r="GK2" s="164">
        <f>IF($GI2="","",IF($EK2="",$GI2,MAX(0,MIN(IFERROR(VALUE($EK2),$GI2),$GI2))))</f>
        <v/>
      </c>
      <c r="GL2" s="164">
        <f>IF($FM2=0,"",IF($GI2="","—",$GI2))</f>
        <v/>
      </c>
      <c r="GM2" s="164">
        <f>IF($FM2=0,"",IF($GI2="","Sem alma · imune a dano de Alma",IF($GK2&lt;=0,"Estágio 4 · caída, como a zero de vida",IF($GK2&lt;=$GI2/4,"Estágio 3 · desvantagem em ataques e TRs, Classe pela metade",IF($GK2&lt;=$GI2/2,"Estágio 2 · metade do deslocamento, +1 PE por Classe",IF($GK2&lt;=$GI2*3/4,"Estágio 1 · desvantagem em perícias","Alma inteira"))))))</f>
        <v/>
      </c>
      <c r="GN2" s="164">
        <f>9+$EA2</f>
        <v/>
      </c>
      <c r="GO2" s="164">
        <f>IF($DU2="Destreza",$FS2,$FR2)</f>
        <v/>
      </c>
      <c r="GP2" s="164">
        <f>$GO2+IF($DV2="Físico",$DB$3,0)+$EB2</f>
        <v/>
      </c>
      <c r="GQ2" s="164">
        <f>$FT2+IF($DV2="Vigor",$DB$3,0)+$EC2</f>
        <v/>
      </c>
      <c r="GR2" s="164">
        <f>$FU2+IF($DV2="Intelecto",$DB$3,0)+$ED2</f>
        <v/>
      </c>
      <c r="GS2" s="164">
        <f>$FV2+IF($DV2="Espírito",$DB$3,0)+$EE2</f>
        <v/>
      </c>
      <c r="GT2" s="164">
        <f>4+INT($DM2/2)</f>
        <v/>
      </c>
      <c r="GU2" s="164">
        <f>COUNTIF($EQ2:$EW2,"?*")</f>
        <v/>
      </c>
      <c r="GV2" s="164">
        <f>INT((2+$FO2/2)/2)</f>
        <v/>
      </c>
      <c r="GW2" s="164">
        <f>IF($FO2&gt;=11,2,1)</f>
        <v/>
      </c>
      <c r="GX2" s="164">
        <f>1+$FY2</f>
        <v/>
      </c>
      <c r="GY2" s="164">
        <f>COUNTIF($EX2:$FE2,"?*")</f>
        <v/>
      </c>
      <c r="GZ2" s="164">
        <f>IF(AND(IFERROR(VLOOKUP(SUBSTITUTE(SUBSTITUTE(SUBSTITUTE($DF2,"~","~~"),"*","~*"),"?","~?"),'DADOS_ENTIDADES'!$M$2:$P$16,3,FALSE),0)=1,$DI2="Com carga"),MAX(1,CEILING($FP2/2,1)),$FP2)</f>
        <v/>
      </c>
      <c r="HA2" s="164">
        <f>2*$FP2</f>
        <v/>
      </c>
      <c r="HB2" s="164">
        <f>$FO2*(1+INT($DN2/3))</f>
        <v/>
      </c>
      <c r="HC2" s="164">
        <f>5+$FR2</f>
        <v/>
      </c>
      <c r="HD2" s="164">
        <f>(COUNTIF($EL2:$EP2,"?*")+COUNTIF($QV2:$QY2,"?*"))</f>
        <v/>
      </c>
      <c r="HE2" s="164">
        <f>IF($EL2="",0,IF((COUNTIF($EL2:$EP2,$EL2)+COUNTIF($QV2:$QY2,$EL2))&gt;1,1,0))+IF($EM2="",0,IF((COUNTIF($EL2:$EP2,$EM2)+COUNTIF($QV2:$QY2,$EM2))&gt;1,1,0))+IF($EN2="",0,IF((COUNTIF($EL2:$EP2,$EN2)+COUNTIF($QV2:$QY2,$EN2))&gt;1,1,0))+IF($EO2="",0,IF((COUNTIF($EL2:$EP2,$EO2)+COUNTIF($QV2:$QY2,$EO2))&gt;1,1,0))+IF($EP2="",0,IF((COUNTIF($EL2:$EP2,$EP2)+COUNTIF($QV2:$QY2,$EP2))&gt;1,1,0))+IF($QV$2="",0,IF(COUNTIF($EL2:$EP2,$QV$2)+COUNTIF($QV2:$QY2,$QV$2)&gt;1,1,0))+IF($QW$2="",0,IF(COUNTIF($EL2:$EP2,$QW$2)+COUNTIF($QV2:$QY2,$QW$2)&gt;1,1,0))+IF($QX$2="",0,IF(COUNTIF($EL2:$EP2,$QX$2)+COUNTIF($QV2:$QY2,$QX$2)&gt;1,1,0))+IF($QY$2="",0,IF(COUNTIF($EL2:$EP2,$QY$2)+COUNTIF($QV2:$QY2,$QY$2)&gt;1,1,0))</f>
        <v/>
      </c>
      <c r="HF2" s="164">
        <f>IF(DADOS_INVOC!$DB$4="Invocação Principal",'CONFIGURAÇÃO'!$H$143,IF(OR(DADOS_INVOC!$DB$4="Parceria",DADOS_INVOC!$DB$4="Múltiplas Invocações"),'CONFIGURAÇÃO'!$H$141,'CONFIGURAÇÃO'!$H$139))+IF($QZ$2="Não autônoma",'CONFIGURAÇÃO'!$H$145,0)</f>
        <v/>
      </c>
      <c r="HG2" s="164">
        <f>IF($FM2=0,"INVOCAÇÃO 1 · lugar vazio",$DE2&amp;" · "&amp;$DF2&amp;" · nível "&amp;$FO2&amp;" · vida "&amp;$GH2&amp;" de "&amp;$GF2)</f>
        <v/>
      </c>
      <c r="HH2" s="164">
        <f>IF($FM2=0,"VAZIA",UPPER($DE2))</f>
        <v/>
      </c>
      <c r="HI2" s="164">
        <f>IF($DB$3&gt;=0,"+","−")&amp;ABS($DB$3)</f>
        <v/>
      </c>
      <c r="HJ2" s="164">
        <f>$GZ2&amp;" PE"</f>
        <v/>
      </c>
      <c r="HK2" s="164">
        <f>$HA2&amp;" PE"</f>
        <v/>
      </c>
      <c r="HL2" s="164">
        <f>IF(OR($FW2&gt;$FX2,$FZ2&gt;$FY2),"⚠ ",IF(AND($FM2=1,$FW2&lt;$FX2),"! ",""))&amp;"ATRIBUTOS · "&amp;$FW2&amp;" DE "&amp;$FX2&amp;" PONTOS"&amp;IF($FZ2&gt;$FY2," · ACIMA DE 3 SÓ COM MARCO","")</f>
        <v/>
      </c>
      <c r="HM2" s="164">
        <f>IF($GB2="","",IF($GB2&gt;=0,"+","−")&amp;ABS($GB2))</f>
        <v/>
      </c>
      <c r="HN2" s="164">
        <f>IF($GC2="","",$GC2)</f>
        <v/>
      </c>
      <c r="HO2" s="164">
        <f>SUBSTITUTE(IF($EI2&gt;2*$HC2,0,IF($EI2&gt;$HC2,$GN2/2,$GN2))&amp;" m",".",",")</f>
        <v/>
      </c>
      <c r="HP2" s="164">
        <f>IF($GP2&gt;=0,"+","−")&amp;ABS($GP2)</f>
        <v/>
      </c>
      <c r="HQ2" s="164">
        <f>IF($GQ2&gt;=0,"+","−")&amp;ABS($GQ2)</f>
        <v/>
      </c>
      <c r="HR2" s="164">
        <f>IF($GR2&gt;=0,"+","−")&amp;ABS($GR2)</f>
        <v/>
      </c>
      <c r="HS2" s="164">
        <f>IF($GS2&gt;=0,"+","−")&amp;ABS($GS2)</f>
        <v/>
      </c>
      <c r="HT2" s="164">
        <f>IF($GU2&gt;$GT2,"⚠ ","")&amp;"PERÍCIAS · "&amp;$GU2&amp;" DE "&amp;$GT2</f>
        <v/>
      </c>
      <c r="HU2" s="164">
        <f>IF($EQ2="","",IFERROR(IF((INDEX($FR2:$FV2,1,MATCH(VLOOKUP(SUBSTITUTE(SUBSTITUTE(SUBSTITUTE($EQ2,"~","~~"),"*","~*"),"?","~?"),'DADOS_PROGRESSAO'!$AG$2:$AH$34,2,FALSE),$BU$2:$BU$6,0))+$DB$3)&gt;=0,"+","−")&amp;ABS((INDEX($FR2:$FV2,1,MATCH(VLOOKUP(SUBSTITUTE(SUBSTITUTE(SUBSTITUTE($EQ2,"~","~~"),"*","~*"),"?","~?"),'DADOS_PROGRESSAO'!$AG$2:$AH$34,2,FALSE),$BU$2:$BU$6,0))+$DB$3)),""))</f>
        <v/>
      </c>
      <c r="HV2" s="164">
        <f>IF($ER2="","",IFERROR(IF((INDEX($FR2:$FV2,1,MATCH(VLOOKUP(SUBSTITUTE(SUBSTITUTE(SUBSTITUTE($ER2,"~","~~"),"*","~*"),"?","~?"),'DADOS_PROGRESSAO'!$AG$2:$AH$34,2,FALSE),$BU$2:$BU$6,0))+$DB$3)&gt;=0,"+","−")&amp;ABS((INDEX($FR2:$FV2,1,MATCH(VLOOKUP(SUBSTITUTE(SUBSTITUTE(SUBSTITUTE($ER2,"~","~~"),"*","~*"),"?","~?"),'DADOS_PROGRESSAO'!$AG$2:$AH$34,2,FALSE),$BU$2:$BU$6,0))+$DB$3)),""))</f>
        <v/>
      </c>
      <c r="HW2" s="164">
        <f>IF($ES2="","",IFERROR(IF((INDEX($FR2:$FV2,1,MATCH(VLOOKUP(SUBSTITUTE(SUBSTITUTE(SUBSTITUTE($ES2,"~","~~"),"*","~*"),"?","~?"),'DADOS_PROGRESSAO'!$AG$2:$AH$34,2,FALSE),$BU$2:$BU$6,0))+$DB$3)&gt;=0,"+","−")&amp;ABS((INDEX($FR2:$FV2,1,MATCH(VLOOKUP(SUBSTITUTE(SUBSTITUTE(SUBSTITUTE($ES2,"~","~~"),"*","~*"),"?","~?"),'DADOS_PROGRESSAO'!$AG$2:$AH$34,2,FALSE),$BU$2:$BU$6,0))+$DB$3)),""))</f>
        <v/>
      </c>
      <c r="HX2" s="164">
        <f>IF($ET2="","",IFERROR(IF((INDEX($FR2:$FV2,1,MATCH(VLOOKUP(SUBSTITUTE(SUBSTITUTE(SUBSTITUTE($ET2,"~","~~"),"*","~*"),"?","~?"),'DADOS_PROGRESSAO'!$AG$2:$AH$34,2,FALSE),$BU$2:$BU$6,0))+$DB$3)&gt;=0,"+","−")&amp;ABS((INDEX($FR2:$FV2,1,MATCH(VLOOKUP(SUBSTITUTE(SUBSTITUTE(SUBSTITUTE($ET2,"~","~~"),"*","~*"),"?","~?"),'DADOS_PROGRESSAO'!$AG$2:$AH$34,2,FALSE),$BU$2:$BU$6,0))+$DB$3)),""))</f>
        <v/>
      </c>
      <c r="HY2" s="164">
        <f>IF($EU2="","",IFERROR(IF((INDEX($FR2:$FV2,1,MATCH(VLOOKUP(SUBSTITUTE(SUBSTITUTE(SUBSTITUTE($EU2,"~","~~"),"*","~*"),"?","~?"),'DADOS_PROGRESSAO'!$AG$2:$AH$34,2,FALSE),$BU$2:$BU$6,0))+$DB$3)&gt;=0,"+","−")&amp;ABS((INDEX($FR2:$FV2,1,MATCH(VLOOKUP(SUBSTITUTE(SUBSTITUTE(SUBSTITUTE($EU2,"~","~~"),"*","~*"),"?","~?"),'DADOS_PROGRESSAO'!$AG$2:$AH$34,2,FALSE),$BU$2:$BU$6,0))+$DB$3)),""))</f>
        <v/>
      </c>
      <c r="HZ2" s="164">
        <f>IF($EV2="","",IFERROR(IF((INDEX($FR2:$FV2,1,MATCH(VLOOKUP(SUBSTITUTE(SUBSTITUTE(SUBSTITUTE($EV2,"~","~~"),"*","~*"),"?","~?"),'DADOS_PROGRESSAO'!$AG$2:$AH$34,2,FALSE),$BU$2:$BU$6,0))+$DB$3)&gt;=0,"+","−")&amp;ABS((INDEX($FR2:$FV2,1,MATCH(VLOOKUP(SUBSTITUTE(SUBSTITUTE(SUBSTITUTE($EV2,"~","~~"),"*","~*"),"?","~?"),'DADOS_PROGRESSAO'!$AG$2:$AH$34,2,FALSE),$BU$2:$BU$6,0))+$DB$3)),""))</f>
        <v/>
      </c>
      <c r="IA2" s="164">
        <f>IF($EW2="","",IFERROR(IF((INDEX($FR2:$FV2,1,MATCH(VLOOKUP(SUBSTITUTE(SUBSTITUTE(SUBSTITUTE($EW2,"~","~~"),"*","~*"),"?","~?"),'DADOS_PROGRESSAO'!$AG$2:$AH$34,2,FALSE),$BU$2:$BU$6,0))+$DB$3)&gt;=0,"+","−")&amp;ABS((INDEX($FR2:$FV2,1,MATCH(VLOOKUP(SUBSTITUTE(SUBSTITUTE(SUBSTITUTE($EW2,"~","~~"),"*","~*"),"?","~?"),'DADOS_PROGRESSAO'!$AG$2:$AH$34,2,FALSE),$BU$2:$BU$6,0))+$DB$3)),""))</f>
        <v/>
      </c>
      <c r="IB2" s="164">
        <f>IF(IFERROR(VLOOKUP(SUBSTITUTE(SUBSTITUTE(SUBSTITUTE($DF2,"~","~~"),"*","~*"),"?","~?"),'DADOS_ENTIDADES'!$M$2:$P$16,4,FALSE),0)=1,"RESERVA · MÁX. "&amp;$HB2,"RESERVA DE PE")</f>
        <v/>
      </c>
      <c r="IC2" s="164">
        <f>IF($EI2&gt;2*$HC2,"⚠ ",IF($EI2&gt;$HC2,"! ",""))&amp;"EQUIPAMENTO · "&amp;$EI2&amp;" DE "&amp;$HC2&amp;" DE VOLUME"&amp;IF($EI2&gt;2*$HC2," · PASSOU DO DOBRO",IF($EI2&gt;$HC2," · ACIMA DO LIMITE",""))</f>
        <v/>
      </c>
      <c r="ID2" s="164">
        <f>IF(OR($HE2&gt;0,$HD2&gt;$HF2),"⚠ ","")&amp;"FAMÍLIAS · "&amp;$HD2&amp;" ABERTAS"&amp;IF($HE2&gt;0," · REPETIDA","")&amp;IF($HD2&gt;$HF2," · O LIMITE É "&amp;$HF2,"")&amp;IF(OR($RA$2&gt;$HF$2,$HF$2&gt;9)," · LIMITES INCOMPATÍVEIS","")</f>
        <v/>
      </c>
      <c r="IE2" s="164">
        <f>"HABILIDADES · básica de "&amp;$FQ2&amp;"d6 · "&amp;$GV2&amp;IF($GV2&gt;1," espaços"," espaço")&amp;" de especial até a Classe "&amp;$FP2&amp;" · "&amp;$GX2&amp;IF($GX2&gt;1," talentos"," talento")</f>
        <v/>
      </c>
      <c r="IF2" s="164">
        <f>IF($GY2&gt;$GX2,"⚠ ","")&amp;"TALENTOS · "&amp;$GY2&amp;" DE "&amp;$GX2</f>
        <v/>
      </c>
      <c r="IG2" s="164">
        <f>IFERROR(VLOOKUP(SUBSTITUTE(SUBSTITUTE(SUBSTITUTE($EX2,"~","~~"),"*","~*"),"?","~?"),'DADOS_ENTIDADES'!$AI$2:$AL$35,2,FALSE),0)</f>
        <v/>
      </c>
      <c r="IH2" s="164">
        <f>IFERROR(VLOOKUP(SUBSTITUTE(SUBSTITUTE(SUBSTITUTE($EY2,"~","~~"),"*","~*"),"?","~?"),'DADOS_ENTIDADES'!$AI$2:$AL$35,2,FALSE),0)</f>
        <v/>
      </c>
      <c r="II2" s="164">
        <f>IFERROR(VLOOKUP(SUBSTITUTE(SUBSTITUTE(SUBSTITUTE($EZ2,"~","~~"),"*","~*"),"?","~?"),'DADOS_ENTIDADES'!$AI$2:$AL$35,2,FALSE),0)</f>
        <v/>
      </c>
      <c r="IJ2" s="164">
        <f>IFERROR(VLOOKUP(SUBSTITUTE(SUBSTITUTE(SUBSTITUTE($FA2,"~","~~"),"*","~*"),"?","~?"),'DADOS_ENTIDADES'!$AI$2:$AL$35,2,FALSE),0)</f>
        <v/>
      </c>
      <c r="IK2" s="164">
        <f>IFERROR(VLOOKUP(SUBSTITUTE(SUBSTITUTE(SUBSTITUTE($FB2,"~","~~"),"*","~*"),"?","~?"),'DADOS_ENTIDADES'!$AI$2:$AL$35,2,FALSE),0)</f>
        <v/>
      </c>
      <c r="IL2" s="164">
        <f>IFERROR(VLOOKUP(SUBSTITUTE(SUBSTITUTE(SUBSTITUTE($FC2,"~","~~"),"*","~*"),"?","~?"),'DADOS_ENTIDADES'!$AI$2:$AL$35,2,FALSE),0)</f>
        <v/>
      </c>
      <c r="IM2" s="164">
        <f>IFERROR(VLOOKUP(SUBSTITUTE(SUBSTITUTE(SUBSTITUTE($FD2,"~","~~"),"*","~*"),"?","~?"),'DADOS_ENTIDADES'!$AI$2:$AL$35,2,FALSE),0)</f>
        <v/>
      </c>
      <c r="IN2" s="164">
        <f>IFERROR(VLOOKUP(SUBSTITUTE(SUBSTITUTE(SUBSTITUTE($FE2,"~","~~"),"*","~*"),"?","~?"),'DADOS_ENTIDADES'!$AI$2:$AL$35,2,FALSE),0)</f>
        <v/>
      </c>
      <c r="IO2" s="164">
        <f>IF($EX2="","",IF(1&gt;$FO2,"⚠ Este talento abre no nível 1",IF($IG2&gt;1,"⚠ Categoria "&amp;$IG2&amp;": este ganho vai até a 1 · ","")&amp;IFERROR(VLOOKUP(SUBSTITUTE(SUBSTITUTE(SUBSTITUTE($EX2,"~","~~"),"*","~*"),"?","~?"),'DADOS_ENTIDADES'!$AI$2:$AL$35,3,FALSE),"")))</f>
        <v/>
      </c>
      <c r="IP2" s="164">
        <f>IF($EY2="","",IF(6&gt;$FO2,"⚠ Este talento abre no nível 6",IF($IH2&gt;1,"⚠ Categoria "&amp;$IH2&amp;": este ganho vai até a 1 · ","")&amp;IFERROR(VLOOKUP(SUBSTITUTE(SUBSTITUTE(SUBSTITUTE($EY2,"~","~~"),"*","~*"),"?","~?"),'DADOS_ENTIDADES'!$AI$2:$AL$35,3,FALSE),"")))</f>
        <v/>
      </c>
      <c r="IQ2" s="164">
        <f>IF($EZ2="","",IF(10&gt;$FO2,"⚠ Este talento abre no nível 10",IF($II2&gt;2,"⚠ Categoria "&amp;$II2&amp;": este ganho vai até a 2 · ","")&amp;IFERROR(VLOOKUP(SUBSTITUTE(SUBSTITUTE(SUBSTITUTE($EZ2,"~","~~"),"*","~*"),"?","~?"),'DADOS_ENTIDADES'!$AI$2:$AL$35,3,FALSE),"")))</f>
        <v/>
      </c>
      <c r="IR2" s="164">
        <f>IF($FA2="","",IF(14&gt;$FO2,"⚠ Este talento abre no nível 14",IF($IJ2&gt;3,"⚠ Categoria "&amp;$IJ2&amp;": este ganho vai até a 3 · ","")&amp;IFERROR(VLOOKUP(SUBSTITUTE(SUBSTITUTE(SUBSTITUTE($FA2,"~","~~"),"*","~*"),"?","~?"),'DADOS_ENTIDADES'!$AI$2:$AL$35,3,FALSE),"")))</f>
        <v/>
      </c>
      <c r="IS2" s="164">
        <f>IF($FB2="","",IF(18&gt;$FO2,"⚠ Este talento abre no nível 18",IF($IK2&gt;3,"⚠ Categoria "&amp;$IK2&amp;": este ganho vai até a 3 · ","")&amp;IFERROR(VLOOKUP(SUBSTITUTE(SUBSTITUTE(SUBSTITUTE($FB2,"~","~~"),"*","~*"),"?","~?"),'DADOS_ENTIDADES'!$AI$2:$AL$35,3,FALSE),"")))</f>
        <v/>
      </c>
      <c r="IT2" s="164">
        <f>IF($FC2="","",IF(22&gt;$FO2,"⚠ Este talento abre no nível 22",IF($IL2&gt;3,"⚠ Categoria "&amp;$IL2&amp;": este ganho vai até a 3 · ","")&amp;IFERROR(VLOOKUP(SUBSTITUTE(SUBSTITUTE(SUBSTITUTE($FC2,"~","~~"),"*","~*"),"?","~?"),'DADOS_ENTIDADES'!$AI$2:$AL$35,3,FALSE),"")))</f>
        <v/>
      </c>
      <c r="IU2" s="164">
        <f>IF($FD2="","",IF(26&gt;$FO2,"⚠ Este talento abre no nível 26",IF($IM2&gt;3,"⚠ Categoria "&amp;$IM2&amp;": este ganho vai até a 3 · ","")&amp;IFERROR(VLOOKUP(SUBSTITUTE(SUBSTITUTE(SUBSTITUTE($FD2,"~","~~"),"*","~*"),"?","~?"),'DADOS_ENTIDADES'!$AI$2:$AL$35,3,FALSE),"")))</f>
        <v/>
      </c>
      <c r="IV2" s="164">
        <f>IF($FE2="","",IF(30&gt;$FO2,"⚠ Este talento abre no nível 30",IF($IN2&gt;3,"⚠ Categoria "&amp;$IN2&amp;": este ganho vai até a 3 · ","")&amp;IFERROR(VLOOKUP(SUBSTITUTE(SUBSTITUTE(SUBSTITUTE($FE2,"~","~~"),"*","~*"),"?","~?"),'DADOS_ENTIDADES'!$AI$2:$AL$35,3,FALSE),"")))</f>
        <v/>
      </c>
      <c r="IW2" s="164">
        <f>IF($FF2="","",IFERROR(VLOOKUP(SUBSTITUTE(SUBSTITUTE(SUBSTITUTE($FF2,"~","~~"),"*","~*"),"?","~?"),'DADOS_ENTIDADES'!$AI$2:$AL$35,3,FALSE),""))</f>
        <v/>
      </c>
      <c r="IX2" s="164">
        <f>IF($FG2="","",IFERROR(VLOOKUP(SUBSTITUTE(SUBSTITUTE(SUBSTITUTE($FG2,"~","~~"),"*","~*"),"?","~?"),'DADOS_ENTIDADES'!$AI$2:$AL$35,3,FALSE),""))</f>
        <v/>
      </c>
      <c r="IY2" s="164">
        <f>IF($FH2="","",IFERROR(VLOOKUP(SUBSTITUTE(SUBSTITUTE(SUBSTITUTE($FH2,"~","~~"),"*","~*"),"?","~?"),'DADOS_ENTIDADES'!$AI$2:$AL$35,3,FALSE),""))</f>
        <v/>
      </c>
      <c r="IZ2" s="164">
        <f>CEILING(4.5*$FI2,1)&amp;" PE"</f>
        <v/>
      </c>
      <c r="JA2" s="164">
        <f>CEILING(4.5*$FJ2,1)&amp;" PE"</f>
        <v/>
      </c>
      <c r="JB2" s="164">
        <f>CEILING(4.5*$FK2,1)&amp;" PE"</f>
        <v/>
      </c>
      <c r="JC2" s="164">
        <f>INDEX($P$2:$P$8,$FI2)&amp;" pontos + "&amp;$FI2&amp;"d8"</f>
        <v/>
      </c>
      <c r="JD2" s="164">
        <f>INDEX($P$2:$P$8,$FJ2)&amp;" pontos + "&amp;$FJ2&amp;"d8"</f>
        <v/>
      </c>
      <c r="JE2" s="164">
        <f>INDEX($P$2:$P$8,$FK2)&amp;" pontos + "&amp;$FK2&amp;"d8"</f>
        <v/>
      </c>
      <c r="JF2" s="164">
        <f>IF($FO2&lt;17,"—",VLOOKUP($FO2,$CP$2:$CS$4,4,TRUE)&amp;" PE")</f>
        <v/>
      </c>
      <c r="JG2" s="164">
        <f>IF($FO2&lt;17,"Abre no nível 17",VLOOKUP($FO2,$CP$2:$CS$4,2,TRUE)&amp;" fixos · "&amp;VLOOKUP($FO2,$CP$2:$CS$4,3,TRUE)&amp;" pontos")</f>
        <v/>
      </c>
      <c r="JH2" s="164">
        <f>IF($FL2="Sem Barreiras",7,6)*$FP2&amp;" PE"</f>
        <v/>
      </c>
      <c r="JI2" s="164">
        <f>"Acerto "&amp;MAX(0,INDEX($P$2:$P$8,$FP2)-INDEX($I$2:$N$8,$FP2,2+3*IF(AND(IFERROR(VLOOKUP(SUBSTITUTE(SUBSTITUTE(SUBSTITUTE("Inescapável","~","~~"),"*","~*"),"?","~?"),'DADOS_MELHORIAS'!$AG$2:$AL$113,2,FALSE),"")&lt;&gt;"",COUNTIF($RB$2:$RJ$2,IFERROR(VLOOKUP(SUBSTITUTE(SUBSTITUTE(SUBSTITUTE("Inescapável","~","~~"),"*","~*"),"?","~?"),'DADOS_MELHORIAS'!$AG$2:$AL$113,2,FALSE),""))&gt;0),1,0)))&amp;"d8"</f>
        <v/>
      </c>
      <c r="JJ2" s="164">
        <f>IFERROR(VLOOKUP($FL2,$CU$2:$CW$4,3,FALSE),"Escolha o degrau")</f>
        <v/>
      </c>
      <c r="JK2" s="164">
        <f>1&amp;" · "&amp;IF($FM2=0,"vazia",$DE2&amp;" · nv "&amp;$FO2&amp;" · "&amp;$GH2&amp;"/"&amp;$GF2)</f>
        <v/>
      </c>
      <c r="JM2" s="164">
        <f>COUNTIFS($FM$2:$FM$13,1,$DG$2:$DG$13,"Espaço conhecido")</f>
        <v/>
      </c>
      <c r="JO2" s="162" t="inlineStr">
        <is>
          <t>Invocação 1</t>
        </is>
      </c>
      <c r="JP2" s="164">
        <f>ADDRESS(ROW('INVOCAÇÕES'!D21),COLUMN('INVOCAÇÕES'!D21),4)</f>
        <v/>
      </c>
      <c r="JQ2" s="164">
        <f>ADDRESS(ROW('INVOCAÇÕES'!H9),COLUMN('INVOCAÇÕES'!H9),4)</f>
        <v/>
      </c>
      <c r="JR2" s="162" t="inlineStr">
        <is>
          <t>DADOS_INVOC!$JK$2</t>
        </is>
      </c>
      <c r="JT2" s="164">
        <f>IF(OR($AW2="",(COUNTIF($EL$2:$EP$2,$AW2)+COUNTIF($QV$2:$QY$2,$AW2))&gt;0),$AV2,"")</f>
        <v/>
      </c>
      <c r="JU2" s="164">
        <f>IF(AND($AX2=1,OR($AW2="",(COUNTIF($EL$2:$EP$2,$AW2)+COUNTIF($QV$2:$QY$2,$AW2))&gt;0)),$AV2,"")</f>
        <v/>
      </c>
      <c r="JW2" s="164">
        <f>IF(OR($W2="",(COUNTIF($EL$2:$EP$2,$W2)+COUNTIF($QV$2:$QY$2,$W2))&gt;0),$V2,"")</f>
        <v/>
      </c>
      <c r="JX2" s="164">
        <f>IF(AND($AF2=1,OR($W2="",(COUNTIF($EL$2:$EP$2,$W2)+COUNTIF($QV$2:$QY$2,$W2))&gt;0)),$V2,"")</f>
        <v/>
      </c>
      <c r="JZ2" s="164">
        <f>IF(OR($AW2="",(COUNTIF($EL$3:$EP$3,$AW2)+COUNTIF($QV$3:$QY$3,$AW2))&gt;0),$AV2,"")</f>
        <v/>
      </c>
      <c r="KA2" s="164">
        <f>IF(AND($AX2=1,OR($AW2="",(COUNTIF($EL$3:$EP$3,$AW2)+COUNTIF($QV$3:$QY$3,$AW2))&gt;0)),$AV2,"")</f>
        <v/>
      </c>
      <c r="KC2" s="164">
        <f>IF(OR($W2="",(COUNTIF($EL$3:$EP$3,$W2)+COUNTIF($QV$3:$QY$3,$W2))&gt;0),$V2,"")</f>
        <v/>
      </c>
      <c r="KD2" s="164">
        <f>IF(AND($AF2=1,OR($W2="",(COUNTIF($EL$3:$EP$3,$W2)+COUNTIF($QV$3:$QY$3,$W2))&gt;0)),$V2,"")</f>
        <v/>
      </c>
      <c r="KF2" s="164">
        <f>IF(OR($AW2="",(COUNTIF($EL$4:$EP$4,$AW2)+COUNTIF($QV$4:$QY$4,$AW2))&gt;0),$AV2,"")</f>
        <v/>
      </c>
      <c r="KG2" s="164">
        <f>IF(AND($AX2=1,OR($AW2="",(COUNTIF($EL$4:$EP$4,$AW2)+COUNTIF($QV$4:$QY$4,$AW2))&gt;0)),$AV2,"")</f>
        <v/>
      </c>
      <c r="KI2" s="164">
        <f>IF(OR($W2="",(COUNTIF($EL$4:$EP$4,$W2)+COUNTIF($QV$4:$QY$4,$W2))&gt;0),$V2,"")</f>
        <v/>
      </c>
      <c r="KJ2" s="164">
        <f>IF(AND($AF2=1,OR($W2="",(COUNTIF($EL$4:$EP$4,$W2)+COUNTIF($QV$4:$QY$4,$W2))&gt;0)),$V2,"")</f>
        <v/>
      </c>
      <c r="KL2" s="164">
        <f>IF(OR($AW2="",(COUNTIF($EL$5:$EP$5,$AW2)+COUNTIF($QV$5:$QY$5,$AW2))&gt;0),$AV2,"")</f>
        <v/>
      </c>
      <c r="KM2" s="164">
        <f>IF(AND($AX2=1,OR($AW2="",(COUNTIF($EL$5:$EP$5,$AW2)+COUNTIF($QV$5:$QY$5,$AW2))&gt;0)),$AV2,"")</f>
        <v/>
      </c>
      <c r="KO2" s="164">
        <f>IF(OR($W2="",(COUNTIF($EL$5:$EP$5,$W2)+COUNTIF($QV$5:$QY$5,$W2))&gt;0),$V2,"")</f>
        <v/>
      </c>
      <c r="KP2" s="164">
        <f>IF(AND($AF2=1,OR($W2="",(COUNTIF($EL$5:$EP$5,$W2)+COUNTIF($QV$5:$QY$5,$W2))&gt;0)),$V2,"")</f>
        <v/>
      </c>
      <c r="KR2" s="164">
        <f>IF(OR($AW2="",(COUNTIF($EL$6:$EP$6,$AW2)+COUNTIF($QV$6:$QY$6,$AW2))&gt;0),$AV2,"")</f>
        <v/>
      </c>
      <c r="KS2" s="164">
        <f>IF(AND($AX2=1,OR($AW2="",(COUNTIF($EL$6:$EP$6,$AW2)+COUNTIF($QV$6:$QY$6,$AW2))&gt;0)),$AV2,"")</f>
        <v/>
      </c>
      <c r="KU2" s="164">
        <f>IF(OR($W2="",(COUNTIF($EL$6:$EP$6,$W2)+COUNTIF($QV$6:$QY$6,$W2))&gt;0),$V2,"")</f>
        <v/>
      </c>
      <c r="KV2" s="164">
        <f>IF(AND($AF2=1,OR($W2="",(COUNTIF($EL$6:$EP$6,$W2)+COUNTIF($QV$6:$QY$6,$W2))&gt;0)),$V2,"")</f>
        <v/>
      </c>
      <c r="KX2" s="164">
        <f>IF(OR($AW2="",(COUNTIF($EL$7:$EP$7,$AW2)+COUNTIF($QV$7:$QY$7,$AW2))&gt;0),$AV2,"")</f>
        <v/>
      </c>
      <c r="KY2" s="164">
        <f>IF(AND($AX2=1,OR($AW2="",(COUNTIF($EL$7:$EP$7,$AW2)+COUNTIF($QV$7:$QY$7,$AW2))&gt;0)),$AV2,"")</f>
        <v/>
      </c>
      <c r="LA2" s="164">
        <f>IF(OR($W2="",(COUNTIF($EL$7:$EP$7,$W2)+COUNTIF($QV$7:$QY$7,$W2))&gt;0),$V2,"")</f>
        <v/>
      </c>
      <c r="LB2" s="164">
        <f>IF(AND($AF2=1,OR($W2="",(COUNTIF($EL$7:$EP$7,$W2)+COUNTIF($QV$7:$QY$7,$W2))&gt;0)),$V2,"")</f>
        <v/>
      </c>
      <c r="LD2" s="164">
        <f>IF(OR($AW2="",(COUNTIF($EL$8:$EP$8,$AW2)+COUNTIF($QV$8:$QY$8,$AW2))&gt;0),$AV2,"")</f>
        <v/>
      </c>
      <c r="LE2" s="164">
        <f>IF(AND($AX2=1,OR($AW2="",(COUNTIF($EL$8:$EP$8,$AW2)+COUNTIF($QV$8:$QY$8,$AW2))&gt;0)),$AV2,"")</f>
        <v/>
      </c>
      <c r="LG2" s="164">
        <f>IF(OR($W2="",(COUNTIF($EL$8:$EP$8,$W2)+COUNTIF($QV$8:$QY$8,$W2))&gt;0),$V2,"")</f>
        <v/>
      </c>
      <c r="LH2" s="164">
        <f>IF(AND($AF2=1,OR($W2="",(COUNTIF($EL$8:$EP$8,$W2)+COUNTIF($QV$8:$QY$8,$W2))&gt;0)),$V2,"")</f>
        <v/>
      </c>
      <c r="LJ2" s="164">
        <f>IF(OR($AW2="",(COUNTIF($EL$9:$EP$9,$AW2)+COUNTIF($QV$9:$QY$9,$AW2))&gt;0),$AV2,"")</f>
        <v/>
      </c>
      <c r="LK2" s="164">
        <f>IF(AND($AX2=1,OR($AW2="",(COUNTIF($EL$9:$EP$9,$AW2)+COUNTIF($QV$9:$QY$9,$AW2))&gt;0)),$AV2,"")</f>
        <v/>
      </c>
      <c r="LM2" s="164">
        <f>IF(OR($W2="",(COUNTIF($EL$9:$EP$9,$W2)+COUNTIF($QV$9:$QY$9,$W2))&gt;0),$V2,"")</f>
        <v/>
      </c>
      <c r="LN2" s="164">
        <f>IF(AND($AF2=1,OR($W2="",(COUNTIF($EL$9:$EP$9,$W2)+COUNTIF($QV$9:$QY$9,$W2))&gt;0)),$V2,"")</f>
        <v/>
      </c>
      <c r="LP2" s="164">
        <f>IF(OR($AW2="",(COUNTIF($EL$10:$EP$10,$AW2)+COUNTIF($QV$10:$QY$10,$AW2))&gt;0),$AV2,"")</f>
        <v/>
      </c>
      <c r="LQ2" s="164">
        <f>IF(AND($AX2=1,OR($AW2="",(COUNTIF($EL$10:$EP$10,$AW2)+COUNTIF($QV$10:$QY$10,$AW2))&gt;0)),$AV2,"")</f>
        <v/>
      </c>
      <c r="LS2" s="164">
        <f>IF(OR($W2="",(COUNTIF($EL$10:$EP$10,$W2)+COUNTIF($QV$10:$QY$10,$W2))&gt;0),$V2,"")</f>
        <v/>
      </c>
      <c r="LT2" s="164">
        <f>IF(AND($AF2=1,OR($W2="",(COUNTIF($EL$10:$EP$10,$W2)+COUNTIF($QV$10:$QY$10,$W2))&gt;0)),$V2,"")</f>
        <v/>
      </c>
      <c r="LV2" s="164">
        <f>IF(OR($AW2="",(COUNTIF($EL$11:$EP$11,$AW2)+COUNTIF($QV$11:$QY$11,$AW2))&gt;0),$AV2,"")</f>
        <v/>
      </c>
      <c r="LW2" s="164">
        <f>IF(AND($AX2=1,OR($AW2="",(COUNTIF($EL$11:$EP$11,$AW2)+COUNTIF($QV$11:$QY$11,$AW2))&gt;0)),$AV2,"")</f>
        <v/>
      </c>
      <c r="LY2" s="164">
        <f>IF(OR($W2="",(COUNTIF($EL$11:$EP$11,$W2)+COUNTIF($QV$11:$QY$11,$W2))&gt;0),$V2,"")</f>
        <v/>
      </c>
      <c r="LZ2" s="164">
        <f>IF(AND($AF2=1,OR($W2="",(COUNTIF($EL$11:$EP$11,$W2)+COUNTIF($QV$11:$QY$11,$W2))&gt;0)),$V2,"")</f>
        <v/>
      </c>
      <c r="MB2" s="164">
        <f>IF(OR($AW2="",(COUNTIF($EL$12:$EP$12,$AW2)+COUNTIF($QV$12:$QY$12,$AW2))&gt;0),$AV2,"")</f>
        <v/>
      </c>
      <c r="MC2" s="164">
        <f>IF(AND($AX2=1,OR($AW2="",(COUNTIF($EL$12:$EP$12,$AW2)+COUNTIF($QV$12:$QY$12,$AW2))&gt;0)),$AV2,"")</f>
        <v/>
      </c>
      <c r="ME2" s="164">
        <f>IF(OR($W2="",(COUNTIF($EL$12:$EP$12,$W2)+COUNTIF($QV$12:$QY$12,$W2))&gt;0),$V2,"")</f>
        <v/>
      </c>
      <c r="MF2" s="164">
        <f>IF(AND($AF2=1,OR($W2="",(COUNTIF($EL$12:$EP$12,$W2)+COUNTIF($QV$12:$QY$12,$W2))&gt;0)),$V2,"")</f>
        <v/>
      </c>
      <c r="MH2" s="164">
        <f>IF(OR($AW2="",(COUNTIF($EL$13:$EP$13,$AW2)+COUNTIF($QV$13:$QY$13,$AW2))&gt;0),$AV2,"")</f>
        <v/>
      </c>
      <c r="MI2" s="164">
        <f>IF(AND($AX2=1,OR($AW2="",(COUNTIF($EL$13:$EP$13,$AW2)+COUNTIF($QV$13:$QY$13,$AW2))&gt;0)),$AV2,"")</f>
        <v/>
      </c>
      <c r="MK2" s="164">
        <f>IF(OR($W2="",(COUNTIF($EL$13:$EP$13,$W2)+COUNTIF($QV$13:$QY$13,$W2))&gt;0),$V2,"")</f>
        <v/>
      </c>
      <c r="ML2" s="164">
        <f>IF(AND($AF2=1,OR($W2="",(COUNTIF($EL$13:$EP$13,$W2)+COUNTIF($QV$13:$QY$13,$W2))&gt;0)),$V2,"")</f>
        <v/>
      </c>
      <c r="MN2" s="162" t="inlineStr">
        <is>
          <t>Ficha 1 · Básica 1</t>
        </is>
      </c>
      <c r="MO2" s="164" t="n">
        <v>1</v>
      </c>
      <c r="MP2" s="164" t="n">
        <v>0</v>
      </c>
      <c r="MQ2" s="164" t="n">
        <v>1</v>
      </c>
      <c r="MR2" s="162" t="inlineStr">
        <is>
          <t>BÁSICA 1</t>
        </is>
      </c>
      <c r="MS2" s="164" t="n">
        <v>0</v>
      </c>
      <c r="MT2" s="164">
        <f>'INVOCAÇÕES'!$J$71&amp;""</f>
        <v/>
      </c>
      <c r="MU2" s="164">
        <f>'INVOCAÇÕES'!$I$76&amp;""</f>
        <v/>
      </c>
      <c r="MV2" s="164">
        <f>'INVOCAÇÕES'!$I$77&amp;""</f>
        <v/>
      </c>
      <c r="MW2" s="164">
        <f>'INVOCAÇÕES'!$K$77&amp;""</f>
        <v/>
      </c>
      <c r="MX2" s="164">
        <f>'INVOCAÇÕES'!$J$80&amp;""</f>
        <v/>
      </c>
      <c r="MY2" s="164">
        <f>'INVOCAÇÕES'!$J$81&amp;""</f>
        <v/>
      </c>
      <c r="MZ2" s="164">
        <f>'INVOCAÇÕES'!$J$82&amp;""</f>
        <v/>
      </c>
      <c r="NA2" s="164">
        <f>'INVOCAÇÕES'!$J$83&amp;""</f>
        <v/>
      </c>
      <c r="NB2" s="164">
        <f>'INVOCAÇÕES'!$J$84&amp;""</f>
        <v/>
      </c>
      <c r="NC2" s="164">
        <f>'INVOCAÇÕES'!$J$85&amp;""</f>
        <v/>
      </c>
      <c r="ND2" s="164">
        <f>IF($MT2&lt;&gt;"",1,0)</f>
        <v/>
      </c>
      <c r="NE2" s="164">
        <f>INDEX($FO$2:$FO$13,$MO2)</f>
        <v/>
      </c>
      <c r="NF2" s="164">
        <f>INDEX($FP$2:$FP$13,$MO2)</f>
        <v/>
      </c>
      <c r="NG2" s="164">
        <f>INDEX($FQ$2:$FQ$13,$MO2)</f>
        <v/>
      </c>
      <c r="NH2" s="164">
        <f>INDEX($GB$2:$GB$13,$MO2)</f>
        <v/>
      </c>
      <c r="NI2" s="164">
        <f>INDEX($GC$2:$GC$13,$MO2)</f>
        <v/>
      </c>
      <c r="NJ2" s="164">
        <f>IFERROR(MATCH(SUBSTITUTE(SUBSTITUTE(SUBSTITUTE($MU2,"~","~~"),"*","~*"),"?","~?"),'DADOS_FORMAS'!$FZ$2:$FZ$21,0),0)</f>
        <v/>
      </c>
      <c r="NK2" s="164">
        <f>IFERROR(VLOOKUP(SUBSTITUTE(SUBSTITUTE(SUBSTITUTE($MX2,"~","~~"),"*","~*"),"?","~?"),'DADOS_MELHORIAS'!$AG$2:$AL$113,2,FALSE),"")</f>
        <v/>
      </c>
      <c r="NL2" s="164">
        <f>IFERROR(VLOOKUP(SUBSTITUTE(SUBSTITUTE(SUBSTITUTE($MY2,"~","~~"),"*","~*"),"?","~?"),'DADOS_MELHORIAS'!$AG$2:$AL$113,2,FALSE),"")</f>
        <v/>
      </c>
      <c r="NM2" s="164">
        <f>IFERROR(VLOOKUP(SUBSTITUTE(SUBSTITUTE(SUBSTITUTE($MZ2,"~","~~"),"*","~*"),"?","~?"),'DADOS_MELHORIAS'!$AG$2:$AL$113,2,FALSE),"")</f>
        <v/>
      </c>
      <c r="NN2" s="164">
        <f>IFERROR(VLOOKUP(SUBSTITUTE(SUBSTITUTE(SUBSTITUTE($NA2,"~","~~"),"*","~*"),"?","~?"),'DADOS_MELHORIAS'!$AG$2:$AL$113,2,FALSE),"")</f>
        <v/>
      </c>
      <c r="NO2" s="164">
        <f>IFERROR(VLOOKUP(SUBSTITUTE(SUBSTITUTE(SUBSTITUTE($MX2,"~","~~"),"*","~*"),"?","~?"),'DADOS_MELHORIAS'!$AG$2:$AL$113,3,FALSE),0)</f>
        <v/>
      </c>
      <c r="NP2" s="164">
        <f>IFERROR(VLOOKUP(SUBSTITUTE(SUBSTITUTE(SUBSTITUTE($MY2,"~","~~"),"*","~*"),"?","~?"),'DADOS_MELHORIAS'!$AG$2:$AL$113,3,FALSE),0)</f>
        <v/>
      </c>
      <c r="NQ2" s="164">
        <f>IFERROR(VLOOKUP(SUBSTITUTE(SUBSTITUTE(SUBSTITUTE($MZ2,"~","~~"),"*","~*"),"?","~?"),'DADOS_MELHORIAS'!$AG$2:$AL$113,3,FALSE),0)</f>
        <v/>
      </c>
      <c r="NR2" s="164">
        <f>IFERROR(VLOOKUP(SUBSTITUTE(SUBSTITUTE(SUBSTITUTE($NA2,"~","~~"),"*","~*"),"?","~?"),'DADOS_MELHORIAS'!$AG$2:$AL$113,3,FALSE),0)</f>
        <v/>
      </c>
      <c r="NS2" s="164">
        <f>IF($MS2=0,0,IF($NJ2=0,0,INDEX('DADOS_FORMAS'!$GB$2:$GB$21,$NJ2)))</f>
        <v/>
      </c>
      <c r="NT2" s="164">
        <f>IF(OR($NO2=0,$MS2=0),0,$NO2+3*IF(AND($NK2&lt;&gt;"",COUNTIF(INDEX($RB$2:$RJ$13,$MO2,0),$NK2)&gt;0),1,0))</f>
        <v/>
      </c>
      <c r="NU2" s="164">
        <f>IF(OR($NP2=0,$MS2=0),0,$NP2+3*IF(AND($NL2&lt;&gt;"",COUNTIF(INDEX($RB$2:$RJ$13,$MO2,0),$NL2)&gt;0),1,0))</f>
        <v/>
      </c>
      <c r="NV2" s="164">
        <f>IF(OR($NQ2=0,$MS2=0),0,$NQ2+3*IF(AND($NM2&lt;&gt;"",COUNTIF(INDEX($RB$2:$RJ$13,$MO2,0),$NM2)&gt;0),1,0))</f>
        <v/>
      </c>
      <c r="NW2" s="164">
        <f>IF(OR($NR2=0,$MS2=0),0,$NR2+3*IF(AND($NN2&lt;&gt;"",COUNTIF(INDEX($RB$2:$RJ$13,$MO2,0),$NN2)&gt;0),1,0))</f>
        <v/>
      </c>
      <c r="NX2" s="164">
        <f>IF($NJ2=0,0,IF(INDEX('DADOS_FORMAS'!$GA$2:$GA$21,$NJ2)="",0,IF((COUNTIF(INDEX($EL$2:$EP$13,$MO2,0),INDEX('DADOS_FORMAS'!$GA$2:$GA$21,$NJ2))+COUNTIF(INDEX($QV$2:$QY$13,$MO2,0),INDEX('DADOS_FORMAS'!$GA$2:$GA$21,$NJ2)))=0,1,0)))</f>
        <v/>
      </c>
      <c r="NY2" s="164">
        <f>IF(OR($NO2=0,$NK2=""),0,IF((COUNTIF(INDEX($EL$2:$EP$13,$MO2,0),$NK2)+COUNTIF(INDEX($QV$2:$QY$13,$MO2,0),$NK2))=0,1,0))</f>
        <v/>
      </c>
      <c r="NZ2" s="164">
        <f>IF(OR($NP2=0,$NL2=""),0,IF((COUNTIF(INDEX($EL$2:$EP$13,$MO2,0),$NL2)+COUNTIF(INDEX($QV$2:$QY$13,$MO2,0),$NL2))=0,1,0))</f>
        <v/>
      </c>
      <c r="OA2" s="164">
        <f>IF(OR($NQ2=0,$NM2=""),0,IF((COUNTIF(INDEX($EL$2:$EP$13,$MO2,0),$NM2)+COUNTIF(INDEX($QV$2:$QY$13,$MO2,0),$NM2))=0,1,0))</f>
        <v/>
      </c>
      <c r="OB2" s="164">
        <f>IF(OR($NR2=0,$NN2=""),0,IF((COUNTIF(INDEX($EL$2:$EP$13,$MO2,0),$NN2)+COUNTIF(INDEX($QV$2:$QY$13,$MO2,0),$NN2))=0,1,0))</f>
        <v/>
      </c>
      <c r="OC2" s="164">
        <f>IFERROR(VLOOKUP(SUBSTITUTE(SUBSTITUTE(SUBSTITUTE($MX2,"~","~~"),"*","~*"),"?","~?"),'DADOS_MELHORIAS'!$AG$2:$AL$113,4,FALSE),0)+IFERROR(VLOOKUP(SUBSTITUTE(SUBSTITUTE(SUBSTITUTE($MY2,"~","~~"),"*","~*"),"?","~?"),'DADOS_MELHORIAS'!$AG$2:$AL$113,4,FALSE),0)+IFERROR(VLOOKUP(SUBSTITUTE(SUBSTITUTE(SUBSTITUTE($MZ2,"~","~~"),"*","~*"),"?","~?"),'DADOS_MELHORIAS'!$AG$2:$AL$113,4,FALSE),0)+IFERROR(VLOOKUP(SUBSTITUTE(SUBSTITUTE(SUBSTITUTE($NA2,"~","~~"),"*","~*"),"?","~?"),'DADOS_MELHORIAS'!$AG$2:$AL$113,4,FALSE),0)</f>
        <v/>
      </c>
      <c r="OD2" s="164">
        <f>IFERROR(VLOOKUP(SUBSTITUTE(SUBSTITUTE(SUBSTITUTE($MX2,"~","~~"),"*","~*"),"?","~?"),'DADOS_MELHORIAS'!$AG$2:$AL$113,6,FALSE),0)+IFERROR(VLOOKUP(SUBSTITUTE(SUBSTITUTE(SUBSTITUTE($MY2,"~","~~"),"*","~*"),"?","~?"),'DADOS_MELHORIAS'!$AG$2:$AL$113,6,FALSE),0)+IFERROR(VLOOKUP(SUBSTITUTE(SUBSTITUTE(SUBSTITUTE($MZ2,"~","~~"),"*","~*"),"?","~?"),'DADOS_MELHORIAS'!$AG$2:$AL$113,6,FALSE),0)+IFERROR(VLOOKUP(SUBSTITUTE(SUBSTITUTE(SUBSTITUTE($NA2,"~","~~"),"*","~*"),"?","~?"),'DADOS_MELHORIAS'!$AG$2:$AL$113,6,FALSE),0)+IFERROR(N(AND(INDEX('DADOS_FORMAS'!$AO$2:$AO$21,MATCH(SUBSTITUTE(SUBSTITUTE(SUBSTITUTE($MU2,"~","~~"),"*","~*"),"?","~?"),'DADOS_FORMAS'!$AH$2:$AH$21,0))="Acerto",$OH2=1)),0)</f>
        <v/>
      </c>
      <c r="OE2" s="164">
        <f>TEXTJOIN(", ",TRUE,IF(IFERROR(VLOOKUP(SUBSTITUTE(SUBSTITUTE(SUBSTITUTE($MX2,"~","~~"),"*","~*"),"?","~?"),'DADOS_MELHORIAS'!$AG$2:$AL$113,5,FALSE),0)=1,$MX2,""),IF(IFERROR(VLOOKUP(SUBSTITUTE(SUBSTITUTE(SUBSTITUTE($MY2,"~","~~"),"*","~*"),"?","~?"),'DADOS_MELHORIAS'!$AG$2:$AL$113,5,FALSE),0)=1,$MY2,""),IF(IFERROR(VLOOKUP(SUBSTITUTE(SUBSTITUTE(SUBSTITUTE($MZ2,"~","~~"),"*","~*"),"?","~?"),'DADOS_MELHORIAS'!$AG$2:$AL$113,5,FALSE),0)=1,$MZ2,""),IF(IFERROR(VLOOKUP(SUBSTITUTE(SUBSTITUTE(SUBSTITUTE($NA2,"~","~~"),"*","~*"),"?","~?"),'DADOS_MELHORIAS'!$AG$2:$AL$113,5,FALSE),0)=1,$NA2,""))</f>
        <v/>
      </c>
      <c r="OF2" s="164">
        <f>IF($NJ2=0,0,INDEX('DADOS_FORMAS'!$GC$2:$GC$21,$NJ2))</f>
        <v/>
      </c>
      <c r="OG2" s="164">
        <f>IF($NJ2=0,0,INDEX('DADOS_FORMAS'!$GD$2:$GD$21,$NJ2))</f>
        <v/>
      </c>
      <c r="OH2" s="164">
        <f>IF($NJ2=0,0,INDEX('DADOS_FORMAS'!$GF$2:$GF$21,$NJ2))</f>
        <v/>
      </c>
      <c r="OI2" s="164">
        <f>IFERROR(VLOOKUP(SUBSTITUTE(SUBSTITUTE(SUBSTITUTE($NB2,"~","~~"),"*","~*"),"?","~?"),'DADOS_RESTRICOES'!$M$2:$Q$54,3,FALSE),0)</f>
        <v/>
      </c>
      <c r="OJ2" s="164">
        <f>IFERROR(VLOOKUP(SUBSTITUTE(SUBSTITUTE(SUBSTITUTE($NC2,"~","~~"),"*","~*"),"?","~?"),'DADOS_RESTRICOES'!$M$2:$Q$54,3,FALSE),0)</f>
        <v/>
      </c>
      <c r="OK2" s="164">
        <f>IFERROR(VLOOKUP(SUBSTITUTE(SUBSTITUTE(SUBSTITUTE($NB2,"~","~~"),"*","~*"),"?","~?"),'DADOS_RESTRICOES'!$M$2:$Q$54,2,FALSE),"")</f>
        <v/>
      </c>
      <c r="OL2" s="164">
        <f>IFERROR(VLOOKUP(SUBSTITUTE(SUBSTITUTE(SUBSTITUTE($NC2,"~","~~"),"*","~*"),"?","~?"),'DADOS_RESTRICOES'!$M$2:$Q$54,2,FALSE),"")</f>
        <v/>
      </c>
      <c r="OM2" s="164">
        <f>COUNTIF($NS2:$NW2,1)</f>
        <v/>
      </c>
      <c r="ON2" s="164">
        <f>COUNTIF($NS2:$NW2,2)</f>
        <v/>
      </c>
      <c r="OO2" s="164">
        <f>COUNTIF($NS2:$NW2,3)</f>
        <v/>
      </c>
      <c r="OP2" s="164">
        <f>COUNTIF($NS2:$NW2,4)</f>
        <v/>
      </c>
      <c r="OQ2" s="164">
        <f>COUNTIF($NS2:$NW2,5)</f>
        <v/>
      </c>
      <c r="OR2" s="164">
        <f>COUNTIF($NS2:$NW2,6)</f>
        <v/>
      </c>
      <c r="OS2" s="164">
        <f>COUNTIF($OI2:$OJ2,1)+IF(IFERROR(INDEX('DADOS_FORMAS'!$AS$2:$AS$21,MATCH(SUBSTITUTE(SUBSTITUTE(SUBSTITUTE($MU2,"~","~~"),"*","~*"),"?","~?"),'DADOS_FORMAS'!$AH$2:$AH$21,0)),"")="",0,IFERROR(N(VLOOKUP(SUBSTITUTE(SUBSTITUTE(SUBSTITUTE(IFERROR(INDEX('DADOS_FORMAS'!$AS$2:$AS$21,MATCH(SUBSTITUTE(SUBSTITUTE(SUBSTITUTE($MU2,"~","~~"),"*","~*"),"?","~?"),'DADOS_FORMAS'!$AH$2:$AH$21,0)),""),"~","~~"),"*","~*"),"?","~?"),'DADOS_RESTRICOES'!$M$2:$Q$54,3,FALSE)=1),0))</f>
        <v/>
      </c>
      <c r="OT2" s="164">
        <f>COUNTIF($OI2:$OJ2,2)+IF(IFERROR(INDEX('DADOS_FORMAS'!$AS$2:$AS$21,MATCH(SUBSTITUTE(SUBSTITUTE(SUBSTITUTE($MU2,"~","~~"),"*","~*"),"?","~?"),'DADOS_FORMAS'!$AH$2:$AH$21,0)),"")="",0,IFERROR(N(VLOOKUP(SUBSTITUTE(SUBSTITUTE(SUBSTITUTE(IFERROR(INDEX('DADOS_FORMAS'!$AS$2:$AS$21,MATCH(SUBSTITUTE(SUBSTITUTE(SUBSTITUTE($MU2,"~","~~"),"*","~*"),"?","~?"),'DADOS_FORMAS'!$AH$2:$AH$21,0)),""),"~","~~"),"*","~*"),"?","~?"),'DADOS_RESTRICOES'!$M$2:$Q$54,3,FALSE)=2),0))</f>
        <v/>
      </c>
      <c r="OU2" s="164">
        <f>COUNTIF($MX2:$NA2,"?*")</f>
        <v/>
      </c>
      <c r="OV2" s="164">
        <f>COUNTIF($NB2:$NC2,"?*")+$OF2</f>
        <v/>
      </c>
      <c r="OW2" s="164">
        <f>IF($MS2=0,0,SUMPRODUCT($OM2:$OR2,INDEX($I$2:$N$8,MAX(1,$MS2),0)))</f>
        <v/>
      </c>
      <c r="OX2" s="164">
        <f>IF($MS2=0,0,$OS2*CEILING($MS2/2,1)+$OT2*$MS2)</f>
        <v/>
      </c>
      <c r="OY2" s="164">
        <f>MIN(2*$MS2,$OX2)</f>
        <v/>
      </c>
      <c r="OZ2" s="164">
        <f>MIN($OY2,$OW2-IF($NS2=0,0,INDEX($I$2:$N$8,MAX(1,$MS2),$NS2)))</f>
        <v/>
      </c>
      <c r="PA2" s="164">
        <f>$OY2-$OZ2</f>
        <v/>
      </c>
      <c r="PB2" s="164">
        <f>IF($MS2=0,0,INDEX($P$2:$P$8,MAX(1,$MS2)))</f>
        <v/>
      </c>
      <c r="PC2" s="164">
        <f>$PB2-$OW2+$OZ2</f>
        <v/>
      </c>
      <c r="PD2" s="164">
        <f>IF($MS2=0,MAX(0,$NG2-IF(AND($OU2&gt;0,COUNTIF($NB2:$NC2,"?*")=0),1,0)),MAX(0,$PC2))</f>
        <v/>
      </c>
      <c r="PE2" s="164">
        <f>IF($MS2=0,0,(IF(COUNTIF($RK2:$RN2,"Salto")&gt;0,1,0)+IF(COUNTIF($RK2:$RN2,"Queima")&gt;0,1,0)+IF(COUNTIF($RK2:$RN2,"Estilhaço")&gt;0,1,0))*FLOOR($PD2/2,1))</f>
        <v/>
      </c>
      <c r="PF2" s="164">
        <f>MAX(0,2-SUMPRODUCT($OM2:$OR2,$I$2:$N$2)+MIN(2,$OS2*1+$OT2*1,SUMPRODUCT($OM2:$OR2,$I$2:$N$2)-IF($NS2=0,0,INDEX($I$2:$N$2,1,$NS2))))</f>
        <v/>
      </c>
      <c r="PG2" s="164">
        <f>MAX(0,4-SUMPRODUCT($OM2:$OR2,$I$3:$N$3)+MIN(4,$OS2*1+$OT2*2,SUMPRODUCT($OM2:$OR2,$I$3:$N$3)-IF($NS2=0,0,INDEX($I$3:$N$3,1,$NS2))))</f>
        <v/>
      </c>
      <c r="PH2" s="164">
        <f>MAX(0,6-SUMPRODUCT($OM2:$OR2,$I$4:$N$4)+MIN(6,$OS2*2+$OT2*3,SUMPRODUCT($OM2:$OR2,$I$4:$N$4)-IF($NS2=0,0,INDEX($I$4:$N$4,1,$NS2))))</f>
        <v/>
      </c>
      <c r="PI2" s="164">
        <f>MAX(0,9-SUMPRODUCT($OM2:$OR2,$I$5:$N$5)+MIN(8,$OS2*2+$OT2*4,SUMPRODUCT($OM2:$OR2,$I$5:$N$5)-IF($NS2=0,0,INDEX($I$5:$N$5,1,$NS2))))</f>
        <v/>
      </c>
      <c r="PJ2" s="164">
        <f>MAX(0,11-SUMPRODUCT($OM2:$OR2,$I$6:$N$6)+MIN(10,$OS2*3+$OT2*5,SUMPRODUCT($OM2:$OR2,$I$6:$N$6)-IF($NS2=0,0,INDEX($I$6:$N$6,1,$NS2))))</f>
        <v/>
      </c>
      <c r="PK2" s="164">
        <f>MAX(0,13-SUMPRODUCT($OM2:$OR2,$I$7:$N$7)+MIN(12,$OS2*3+$OT2*6,SUMPRODUCT($OM2:$OR2,$I$7:$N$7)-IF($NS2=0,0,INDEX($I$7:$N$7,1,$NS2))))</f>
        <v/>
      </c>
      <c r="PL2" s="164">
        <f>MAX(0,16-SUMPRODUCT($OM2:$OR2,$I$8:$N$8)+MIN(14,$OS2*4+$OT2*7,SUMPRODUCT($OM2:$OR2,$I$8:$N$8)-IF($NS2=0,0,INDEX($I$8:$N$8,1,$NS2))))</f>
        <v/>
      </c>
      <c r="PM2" s="164">
        <f>IF($OG2=2,3*$PF2&amp;" de vida temp.",IF($OG2=3,"sem dano",IF($PF2=0,IF($OG2=1,"sem cura","sem dano"),IF($OG2=1,"cura ","")&amp;$PF2&amp;"d8")))</f>
        <v/>
      </c>
      <c r="PN2" s="164">
        <f>IF($OG2=2,3*$PG2&amp;" de vida temp.",IF($OG2=3,"sem dano",IF($PG2=0,IF($OG2=1,"sem cura","sem dano"),IF($OG2=1,"cura ","")&amp;$PG2&amp;"d8")))</f>
        <v/>
      </c>
      <c r="PO2" s="164">
        <f>IF($OG2=2,3*$PH2&amp;" de vida temp.",IF($OG2=3,"sem dano",IF($PH2=0,IF($OG2=1,"sem cura","sem dano"),IF($OG2=1,"cura ","")&amp;$PH2&amp;"d8")))</f>
        <v/>
      </c>
      <c r="PP2" s="164">
        <f>IF($OG2=2,3*$PI2&amp;" de vida temp.",IF($OG2=3,"sem dano",IF($PI2=0,IF($OG2=1,"sem cura","sem dano"),IF($OG2=1,"cura ","")&amp;$PI2&amp;"d8")))</f>
        <v/>
      </c>
      <c r="PQ2" s="164">
        <f>IF($OG2=2,3*$PJ2&amp;" de vida temp.",IF($OG2=3,"sem dano",IF($PJ2=0,IF($OG2=1,"sem cura","sem dano"),IF($OG2=1,"cura ","")&amp;$PJ2&amp;"d8")))</f>
        <v/>
      </c>
      <c r="PR2" s="164">
        <f>IF($OG2=2,3*$PK2&amp;" de vida temp.",IF($OG2=3,"sem dano",IF($PK2=0,IF($OG2=1,"sem cura","sem dano"),IF($OG2=1,"cura ","")&amp;$PK2&amp;"d8")))</f>
        <v/>
      </c>
      <c r="PS2" s="164">
        <f>IF($OG2=2,3*$PL2&amp;" de vida temp.",IF($OG2=3,"sem dano",IF($PL2=0,IF($OG2=1,"sem cura","sem dano"),IF($OG2=1,"cura ","")&amp;$PL2&amp;"d8")))</f>
        <v/>
      </c>
      <c r="PT2" s="164">
        <f>IF($ND2=0,"",TEXTJOIN(" · ",TRUE,IF($ND2=0,"",TEXTJOIN(" · ",TRUE,IF($ND2=0,"",TEXTJOIN(" · ",TRUE,IF($MQ2&gt;$NE2,"Este lugar abre no nível "&amp;$MQ2,""),IF($MS2&gt;$NF2,"Classe "&amp;$MS2&amp;": o nível "&amp;$NE2&amp;" libera até a "&amp;$NF2,""),IF($NX2=1,"A Forma "&amp;$MU2&amp;" pede "&amp;INDEX('DADOS_FORMAS'!$GA$2:$GA$21,$NJ2)&amp;" aberta",""),IF(AND($MS2=0,$NJ2&gt;0,IF($NJ2=0,0,INDEX('DADOS_FORMAS'!$GJ$2:$GJ$21,$NJ2))=0),$MU2&amp;" não existe na Classe 0",""),IF($NY2=1,"Família Fechada: "&amp;$MX2,""),IF($NZ2=1,"Família Fechada: "&amp;$MY2,""),IF($OA2=1,"Família Fechada: "&amp;$MZ2,""),IF($OB2=1,"Família Fechada: "&amp;$NA2,""),IF(AND($MS2&gt;0,$OU2&gt;INDEX($O$2:$O$8,MAX(1,$MS2))),$OU2&amp;" Melhorias: a Classe "&amp;$MS2&amp;" aceita "&amp;INDEX($O$2:$O$8,MAX(1,$MS2)),""),IF(AND($MS2=0,$OU2&gt;1),"A básica aceita uma Melhoria",""),IF(AND($MS2=0,COUNTIF($NO2:$NR2,"&gt;1")&gt;0),"A básica só aceita Melhoria Leve",""),IF(AND($MS2&gt;0,$OV2&gt;2),$OV2&amp;" Restrições"&amp;IF($OF2=1,", contando a que a Forma "&amp;$MU2&amp;" já traz","")&amp;": o limite é 2",""),IF(AND($MS2=0,COUNTIF($NB2:$NC2,"?*")&gt;1),"A básica aceita uma Restrição Leve",""),IF(AND($MS2=0,COUNTIF($OI2:$OJ2,2)&gt;0),"A básica só aceita Restrição Leve",""),IF(AND($MS2&gt;0,$PC2&lt;0),"Orçamento estourado: faltam "&amp;(-$PC2)&amp;IF($PC2&lt;-1," pontos"," ponto"),""),IF(IFERROR(VLOOKUP(SUBSTITUTE(SUBSTITUTE(SUBSTITUTE($NB2,"~","~~"),"*","~*"),"?","~?"),'DADOS_RESTRICOES'!$M$2:$Q$54,4,FALSE),0)+IFERROR(VLOOKUP(SUBSTITUTE(SUBSTITUTE(SUBSTITUTE($NC2,"~","~~"),"*","~*"),"?","~?"),'DADOS_RESTRICOES'!$M$2:$Q$54,4,FALSE),0)&gt;1,$OK2&amp;" e "&amp;$OL2&amp;" são as duas de frequência",""),IF(AND((COUNTIF($RK2:$RN2,"Rápido")+COUNTIF($OK2:$OL2,"Rápido"))&gt;0,(COUNTIF($MX2:$NA2,"Atrasar")+COUNTIF($OK2:$OL2,"Atrasar"))&gt;0),"Rápido não entra com Atrasar",""),IF(AND((COUNTIF($RK2:$RN2,"Reação")+COUNTIF($OK2:$OL2,"Reação"))&gt;0,(COUNTIF($RK2:$RN2,"Rápido")+COUNTIF($OK2:$OL2,"Rápido"))&gt;0),"Reação não entra com Rápido",""),IF(AND((COUNTIF($RK2:$RN2,"Reação")+COUNTIF($OK2:$OL2,"Reação"))&gt;0,(COUNTIF($RK2:$RN2,"Armado")+COUNTIF($OK2:$OL2,"Armado"))&gt;0),"Reação não entra com Armado",""),IF(AND((COUNTIF($RK2:$RN2,"Reação")+COUNTIF($OK2:$OL2,"Reação"))&gt;0,(COUNTIF($MX2:$NA2,"Atrasar")+COUNTIF($OK2:$OL2,"Atrasar"))&gt;0),"Reação não entra com Atrasar",""),IF(AND((COUNTIF($RK2:$RN2,"Reação")+COUNTIF($OK2:$OL2,"Reação"))&gt;0,(COUNTIF($MX2:$NA2,"Parado")+COUNTIF($OK2:$OL2,"Parado"))&gt;0),"Reação não entra com Parado",""),IF(AND((COUNTIF($MX2:$NA2,"Atrasar")+COUNTIF($OK2:$OL2,"Atrasar"))&gt;0,(COUNTIF($MX2:$NA2,"Parado")+COUNTIF($OK2:$OL2,"Parado"))&gt;0),"Atrasar não entra com Parado",""),IF(AND((COUNTIF($RK2:$RN2,"Armado")+COUNTIF($OK2:$OL2,"Armado"))&gt;0,(COUNTIF($MX2:$NA2,"Carregar")+COUNTIF($OK2:$OL2,"Carregar"))&gt;0),"Armado não entra com Carregar",""),IF(AND(COUNTIF($OK2:$OL2,"Corpo a Corpo")&gt;0,$OF2=0,OR($RO2="Cone",$RO2="Linha")),"Corpo a Corpo não entra em "&amp;$MU2,""),IF(AND(COUNTIF($OK2:$OL2,"Corpo a Corpo")&gt;0,$RP2="Corpo a Corpo"),"A Forma "&amp;$MU2&amp;" já traz o Corpo a Corpo",""),IF(AND(COUNTIF($OK2:$OL2,"Tudo ou Nada")&gt;0,$OH2=0),"Tudo ou Nada só entra em habilidade de Teste de Resistência",""),IF(AND(COUNTIF($RK2:$RN2,"Inescapável")&gt;0,OR($OU2&gt;1,$OV2&gt;0)),"Inescapável não aceita outra peça",""),IF(AND($MS2&gt;0,$PD2*IF(COUNTIF($RK2:$RN2,"Remate")&gt;0,1.25,1)+$PE2&gt;4*$MS2),($PD2*IF(COUNTIF($RK2:$RN2,"Remate")&gt;0,1.25,1)+$PE2)&amp;" dados somando repetições"&amp;IF(COUNTIF($RK2:$RN2,"Remate")&gt;0," e o Remate","")&amp;": o teto da Classe "&amp;$MS2&amp;" é "&amp;4*$MS2,""))),IF(AND($MX2&lt;&gt;"",COUNTIF('DADOS_MELHORIAS'!$O$2:$O$113,SUBSTITUTE(SUBSTITUTE(SUBSTITUTE($MX2,"~","~~"),"*","~*"),"?","~?"))=0),"Melhoria não cadastrada ou com erro: "&amp;$MX2,""),IF(AND($MY2&lt;&gt;"",COUNTIF('DADOS_MELHORIAS'!$O$2:$O$113,SUBSTITUTE(SUBSTITUTE(SUBSTITUTE($MY2,"~","~~"),"*","~*"),"?","~?"))=0),"Melhoria não cadastrada ou com erro: "&amp;$MY2,""),IF(AND($MZ2&lt;&gt;"",COUNTIF('DADOS_MELHORIAS'!$O$2:$O$113,SUBSTITUTE(SUBSTITUTE(SUBSTITUTE($MZ2,"~","~~"),"*","~*"),"?","~?"))=0),"Melhoria não cadastrada ou com erro: "&amp;$MZ2,""),IF(AND($NA2&lt;&gt;"",COUNTIF('DADOS_MELHORIAS'!$O$2:$O$113,SUBSTITUTE(SUBSTITUTE(SUBSTITUTE($NA2,"~","~~"),"*","~*"),"?","~?"))=0),"Melhoria não cadastrada ou com erro: "&amp;$NA2,""),IF(AND($NB2&lt;&gt;"",COUNTIF('DADOS_RESTRICOES'!$M$2:$M$54,SUBSTITUTE(SUBSTITUTE(SUBSTITUTE($NB2,"~","~~"),"*","~*"),"?","~?"))=0),"Restrição não cadastrada ou com erro: "&amp;$NB2,""),IF(AND($NC2&lt;&gt;"",COUNTIF('DADOS_RESTRICOES'!$M$2:$M$54,SUBSTITUTE(SUBSTITUTE(SUBSTITUTE($NC2,"~","~~"),"*","~*"),"?","~?"))=0),"Restrição não cadastrada ou com erro: "&amp;$NC2,""))),IF(AND($MU2&lt;&gt;"",COUNTIF('DADOS_FORMAS'!$AH$2:$AH$21,SUBSTITUTE(SUBSTITUTE(SUBSTITUTE($MU2,"~","~~"),"*","~*"),"?","~?"))=0),"Forma não cadastrada ou com erro: "&amp;$MU2,""),IF(AND(IFERROR(INDEX('DADOS_FORMAS'!$AS$2:$AS$21,MATCH(SUBSTITUTE(SUBSTITUTE(SUBSTITUTE($MU2,"~","~~"),"*","~*"),"?","~?"),'DADOS_FORMAS'!$AH$2:$AH$21,0)),"")&lt;&gt;"",OR(IFERROR(VLOOKUP(SUBSTITUTE(SUBSTITUTE(SUBSTITUTE(IFERROR(INDEX('DADOS_FORMAS'!$AS$2:$AS$21,MATCH(SUBSTITUTE(SUBSTITUTE(SUBSTITUTE($MU2,"~","~~"),"*","~*"),"?","~?"),'DADOS_FORMAS'!$AH$2:$AH$21,0)),""),"~","~~"),"*","~*"),"?","~?"),'DADOS_RESTRICOES'!$M$2:$Q$54,2,FALSE),"")=$OK2,IFERROR(VLOOKUP(SUBSTITUTE(SUBSTITUTE(SUBSTITUTE(IFERROR(INDEX('DADOS_FORMAS'!$AS$2:$AS$21,MATCH(SUBSTITUTE(SUBSTITUTE(SUBSTITUTE($MU2,"~","~~"),"*","~*"),"?","~?"),'DADOS_FORMAS'!$AH$2:$AH$21,0)),""),"~","~~"),"*","~*"),"?","~?"),'DADOS_RESTRICOES'!$M$2:$Q$54,2,FALSE),"")=$OL2)),"Restrição repetida, contando a embutida",""),IF(IF(IFERROR(INDEX('DADOS_FORMAS'!$AS$2:$AS$21,MATCH(SUBSTITUTE(SUBSTITUTE(SUBSTITUTE($MU2,"~","~~"),"*","~*"),"?","~?"),'DADOS_FORMAS'!$AH$2:$AH$21,0)),"")="",0,IFERROR(N(VLOOKUP(SUBSTITUTE(SUBSTITUTE(SUBSTITUTE(IFERROR(INDEX('DADOS_FORMAS'!$AS$2:$AS$21,MATCH(SUBSTITUTE(SUBSTITUTE(SUBSTITUTE($MU2,"~","~~"),"*","~*"),"?","~?"),'DADOS_FORMAS'!$AH$2:$AH$21,0)),""),"~","~~"),"*","~*"),"?","~?"),'DADOS_RESTRICOES'!$M$2:$Q$54,4,FALSE)=1),0))+IF($NB2="",0,IFERROR(N(VLOOKUP(SUBSTITUTE(SUBSTITUTE(SUBSTITUTE($NB2,"~","~~"),"*","~*"),"?","~?"),'DADOS_RESTRICOES'!$M$2:$Q$54,4,FALSE)=1),0))+IF($NC2="",0,IFERROR(N(VLOOKUP(SUBSTITUTE(SUBSTITUTE(SUBSTITUTE($NC2,"~","~~"),"*","~*"),"?","~?"),'DADOS_RESTRICOES'!$M$2:$Q$54,4,FALSE)=1),0))&gt;1,"Duas Restrições de frequência, contando a embutida",""),IF(AND(IFERROR(VLOOKUP(SUBSTITUTE(SUBSTITUTE(SUBSTITUTE(IFERROR(INDEX('DADOS_FORMAS'!$AS$2:$AS$21,MATCH(SUBSTITUTE(SUBSTITUTE(SUBSTITUTE($MU2,"~","~~"),"*","~*"),"?","~?"),'DADOS_FORMAS'!$AH$2:$AH$21,0)),""),"~","~~"),"*","~*"),"?","~?"),'DADOS_RESTRICOES'!$M$2:$Q$54,2,FALSE),"")="Tudo ou Nada",$OH2=0),"Tudo ou Nada exige TR",""),IF(AND(IFERROR(VLOOKUP(SUBSTITUTE(SUBSTITUTE(SUBSTITUTE(IFERROR(INDEX('DADOS_FORMAS'!$AS$2:$AS$21,MATCH(SUBSTITUTE(SUBSTITUTE(SUBSTITUTE($MU2,"~","~~"),"*","~*"),"?","~?"),'DADOS_FORMAS'!$AH$2:$AH$21,0)),""),"~","~~"),"*","~*"),"?","~?"),'DADOS_RESTRICOES'!$M$2:$Q$54,2,FALSE),"")="Corpo a Corpo",OR($RO2="Cone",$RO2="Linha")),"Corpo a Corpo não entra em Cone/Linha","")))</f>
        <v/>
      </c>
      <c r="PU2" s="164">
        <f>IF($PT2="",0,(LEN($PT2)-LEN(SUBSTITUTE($PT2," · ","")))/3+1)</f>
        <v/>
      </c>
      <c r="PV2" s="164">
        <f>IF($ND2=0,"",TEXTJOIN(" · ",TRUE,IF($OX2&gt;2*$MS2,"A devolução parou no teto de "&amp;2*$MS2,""),IF($PA2&gt;0,"Devolução perdida: "&amp;$PA2&amp;IF($PA2&gt;1," pontos"," ponto")&amp;" sem Melhoria para pagar",""),IF(AND($OC2&gt;0,AND($MS2&gt;0,$OG2=0),$PD2=0),"Controle sem dano: uma rodada a mais e CD +2",""),IF(AND($OC2&gt;0,AND($MS2&gt;0,$OG2=0),$PD2&gt;0,$PD2&lt;=$MS2),"Controle com saldo até a Classe: uma rodada a mais",""),IF(AND($MS2&gt;0,$OE2&lt;&gt;""),"Efeito de "&amp;$OE2&amp;" pela Classe "&amp;MAX(1,$MS2-1),"")))</f>
        <v/>
      </c>
      <c r="PW2" s="164">
        <f>IF($PV2="",0,(LEN($PV2)-LEN(SUBSTITUTE($PV2," · ","")))/3+1)</f>
        <v/>
      </c>
      <c r="PX2" s="164">
        <f>IF($ND2=0,IF($OU2+COUNTIF($NB2:$NC2,"?*")&gt;0,"Dê um nome",""),IF($PU2&gt;0,"⚠ "&amp;$PU2&amp;IF($PU2&gt;1," erros"," erro"),IF($PW2&gt;0,"! "&amp;$PW2&amp;IF($PW2&gt;1," avisos"," aviso"),"Na regra")))</f>
        <v/>
      </c>
      <c r="PY2" s="164">
        <f>IF($ND2=0,"",IF($PU2+$PW2=0,"Dentro das regras que a ficha confere",$PT2&amp;IF(AND($PU2&gt;0,$PW2&gt;0)," · ","")&amp;$PV2))</f>
        <v/>
      </c>
      <c r="PZ2" s="164">
        <f>IF($MQ2&gt;$NE2,$MR2&amp;" · ABRE NO NÍVEL "&amp;$MQ2,$MR2)</f>
        <v/>
      </c>
      <c r="QA2" s="164">
        <f>IF($ND2=0,"",IF($MS2=0,"Sem PE",3*$MS2&amp;" PE"))</f>
        <v/>
      </c>
      <c r="QB2" s="164">
        <f>IF($ND2=0,"",IF($MS2=0,"A atuação básica dela",IF(COUNTIF($RQ2:$RS2,"Atrasar")&gt;0,"Sua Ação Completa",IF(COUNTIF($RK2:$RN2,"Rápido")&gt;0,"Sua Bônus",IF(COUNTIF($RK2:$RN2,"Reação")&gt;0,"Sua Reação","Sua Padrão")))&amp;" + a básica dela"&amp;IF(COUNTIF($RK2:$RN2,"Reação")&gt;0," e a coletiva","")&amp;IF(COUNTIF($RQ2:$RS2,"Carregar")&gt;0," · em dois turnos","")))</f>
        <v/>
      </c>
      <c r="QC2" s="164">
        <f>IF($MW2&lt;&gt;"",$MW2,IF($NJ2=0,"",INDEX('DADOS_FORMAS'!$GE$2:$GE$21,$NJ2)))</f>
        <v/>
      </c>
      <c r="QD2" s="164">
        <f>IF(OR($ND2=0,$NJ2=0),"",IF(COUNTIF($RK2:$RN2,"Inescapável")&gt;0,"Automático",IF($QC2="Ataque",IF($NH2="","Ataque","Ataque "&amp;IF(($NH2+2*IF(COUNTIF($RK2:$RN2,"Precisão")&gt;0,1,0))&gt;=0,"+","−")&amp;ABS(($NH2+2*IF(COUNTIF($RK2:$RN2,"Precisão")&gt;0,1,0))))&amp;IF($OD2&gt;0," · TR"&amp;IF($NI2="",""," CD "&amp;$NI2),""),IF(LEFT($QC2,2)="TR",$QC2&amp;IF($NI2="",""," · CD "&amp;$NI2)&amp;IF(COUNTIF($RK2:$RN2,"Certeiro")&gt;0," · metade",""),"Sem rolagem"))))</f>
        <v/>
      </c>
      <c r="QE2" s="164">
        <f>IF(OR($ND2=0,$NJ2=0),"",IF($MS2=0,IF(OR($OG2&gt;=1,$PD2=0),"Sem dano",$PD2&amp;"d6"&amp;IF($MV2="",""," "&amp;$MV2)),IF(OR($OG2&gt;=1,$PD2=0),UPPER(LEFT(INDEX($PM2:$PS2,1,MAX(1,$MS2)),1))&amp;MID(INDEX($PM2:$PS2,1,MAX(1,$MS2)),2,99),UPPER(LEFT(INDEX($PM2:$PS2,1,MAX(1,$MS2)),1))&amp;MID(INDEX($PM2:$PS2,1,MAX(1,$MS2)),2,99)&amp;IF($MV2="",""," "&amp;$MV2)&amp;IF($PE2&gt;0," · +"&amp;$PE2&amp;"d8",""))))</f>
        <v/>
      </c>
      <c r="QF2" s="164">
        <f>COUNTIF($RK2:$RN2,"Longe")+3*COUNTIF($RK2:$RN2,"Muito Longe")</f>
        <v/>
      </c>
      <c r="QG2" s="164">
        <f>COUNTIF($RK2:$RN2,"Maior")+3*COUNTIF($RK2:$RN2,"Muito Maior")</f>
        <v/>
      </c>
      <c r="QH2" s="164">
        <f>IF($NJ2=0,0,CHOOSE(1+INDEX('DADOS_FORMAS'!$GG$2:$GG$21,$NJ2),0,$QF2,$QG2,$QF2+$QG2))</f>
        <v/>
      </c>
      <c r="QI2" s="164">
        <f>IF($NJ2=0,0,CHOOSE(1+INDEX('DADOS_FORMAS'!$GH$2:$GH$21,$NJ2),0,$QF2,$QG2,$QF2+$QG2))</f>
        <v/>
      </c>
      <c r="QJ2" s="164">
        <f>IF(OR($ND2=0,$NJ2=0),"",INDEX('DADOS_FORMAS'!$HU$2:$HZ$81,($NJ2-1)*4+IF($MS2=0,1,IF($MS2&lt;=5,2,IF($MS2=6,3,4))),1+MIN(5,$QH2))&amp;INDEX('DADOS_FORMAS'!$IA$2:$IF$81,($NJ2-1)*4+IF($MS2=0,1,IF($MS2&lt;=5,2,IF($MS2=6,3,4))),1+MIN(5,$QI2))&amp;IF(INDEX('DADOS_FORMAS'!$GI$2:$GI$21,$NJ2)=1,IF(COUNTIF($RK2:$RN2,"Mais Um")&gt;0," · +"&amp;COUNTIF($RK2:$RN2,"Mais Um")&amp;IF(COUNTIF($RK2:$RN2,"Mais Um")&gt;1," alvos"," alvo"),"")&amp;IF(COUNTIF($RK2:$RN2,"Rajada")&gt;0,IF($MS2=0," · 1 tiro"," · "&amp;(MAX(1,$MS2-1)+1)&amp;" tiros"),""),""))</f>
        <v/>
      </c>
      <c r="QK2" s="164">
        <f>IF($ND2=0,"",IF($MS2=0,$NG2&amp;"d6"&amp;IF($OU2&gt;0," − 1 = "&amp;$PD2&amp;"d6"," da básica do nível "&amp;$NE2),$PB2&amp;" − "&amp;$OW2&amp;" + "&amp;$OZ2&amp;" = "&amp;$PC2&amp;" · teto "&amp;4*$MS2&amp;"d8"&amp;IF($OF2=1," · a Forma devolve "&amp;$MS2,"")&amp;IF($PA2&gt;0," · perde "&amp;$PA2,"")))</f>
        <v/>
      </c>
      <c r="QL2" s="164">
        <f>IF($ND2=0,"",IF($MS2=0,"A básica não amplia: os dados dela sobem com o nível",IF($MS2&gt;=$NF2,"Já está na maior Classe que o nível liberou",TEXTJOIN(" · ",TRUE,IF(AND(2&gt;$MS2,2&lt;=$NF2),"2 → "&amp;$PN2&amp;", 6 PE",""),IF(AND(3&gt;$MS2,3&lt;=$NF2),"3 → "&amp;$PO2&amp;", 9 PE",""),IF(AND(4&gt;$MS2,4&lt;=$NF2),"4 → "&amp;$PP2&amp;", 12 PE",""),IF(AND(5&gt;$MS2,5&lt;=$NF2),"5 → "&amp;$PQ2&amp;", 15 PE",""),IF(AND(6&gt;$MS2,6&lt;=$NF2),"6 → "&amp;$PR2&amp;", 18 PE",""),IF(AND(7&gt;$MS2,7&lt;=$NF2),"7 → "&amp;$PS2&amp;", 21 PE","")))))</f>
        <v/>
      </c>
      <c r="QM2" s="164">
        <f>IF(OR($ND2=0,$NO2=0),"",IF($MS2=0,"−1 dado","−"&amp;INDEX($I$2:$N$8,MAX(1,$MS2),MAX(1,$NT2))&amp;" · "&amp;CHOOSE(MAX(1,$NT2),"Leve","Média","Pesada","Leve · Livre","Média · Livre","Pesada · Livre")))</f>
        <v/>
      </c>
      <c r="QN2" s="164">
        <f>IF(OR($ND2=0,$NP2=0),"",IF($MS2=0,"−1 dado","−"&amp;INDEX($I$2:$N$8,MAX(1,$MS2),MAX(1,$NU2))&amp;" · "&amp;CHOOSE(MAX(1,$NU2),"Leve","Média","Pesada","Leve · Livre","Média · Livre","Pesada · Livre")))</f>
        <v/>
      </c>
      <c r="QO2" s="164">
        <f>IF(OR($ND2=0,$NQ2=0),"",IF($MS2=0,"−1 dado","−"&amp;INDEX($I$2:$N$8,MAX(1,$MS2),MAX(1,$NV2))&amp;" · "&amp;CHOOSE(MAX(1,$NV2),"Leve","Média","Pesada","Leve · Livre","Média · Livre","Pesada · Livre")))</f>
        <v/>
      </c>
      <c r="QP2" s="164">
        <f>IF(OR($ND2=0,$NR2=0),"",IF($MS2=0,"−1 dado","−"&amp;INDEX($I$2:$N$8,MAX(1,$MS2),MAX(1,$NW2))&amp;" · "&amp;CHOOSE(MAX(1,$NW2),"Leve","Média","Pesada","Leve · Livre","Média · Livre","Pesada · Livre")))</f>
        <v/>
      </c>
      <c r="QQ2" s="164">
        <f>IF(OR($ND2=0,$NB2=""),"",IF($MS2=0,"não devolve","+"&amp;IF($OI2=1,CEILING($MS2/2,1),$MS2)))</f>
        <v/>
      </c>
      <c r="QR2" s="164">
        <f>IF(OR($ND2=0,$NC2=""),"",IF($MS2=0,"não devolve","+"&amp;IF($OJ2=1,CEILING($MS2/2,1),$MS2)))</f>
        <v/>
      </c>
      <c r="QT2" s="162" t="inlineStr">
        <is>
          <t>E13</t>
        </is>
      </c>
      <c r="QU2" s="164">
        <f>IF(DADOS_INVOC!$DB$3&gt;=0,"+","−")&amp;ABS(DADOS_INVOC!$DB$3)</f>
        <v/>
      </c>
      <c r="QV2">
        <f>'INVOCAÇÕES'!$O$50&amp;""</f>
        <v/>
      </c>
      <c r="QW2">
        <f>'INVOCAÇÕES'!$P$50&amp;""</f>
        <v/>
      </c>
      <c r="QX2">
        <f>'INVOCAÇÕES'!$Q$50&amp;""</f>
        <v/>
      </c>
      <c r="QY2">
        <f>'INVOCAÇÕES'!$R$50&amp;""</f>
        <v/>
      </c>
      <c r="QZ2">
        <f>IF('INVOCAÇÕES'!$K$50="","Autônoma",'INVOCAÇÕES'!$K$50)</f>
        <v/>
      </c>
      <c r="RA2">
        <f>IF(DADOS_INVOC!$DB$4="Invocação Principal",'CONFIGURAÇÃO'!$H$144,IF(OR(DADOS_INVOC!$DB$4="Parceria",DADOS_INVOC!$DB$4="Múltiplas Invocações"),'CONFIGURAÇÃO'!$H$142,'CONFIGURAÇÃO'!$H$140))+IF($QZ$2="Não autônoma",'CONFIGURAÇÃO'!$H$145,0)</f>
        <v/>
      </c>
      <c r="RB2">
        <f>IF($RA$2&gt;=1,$EL$2,"")</f>
        <v/>
      </c>
      <c r="RC2">
        <f>IF($RA$2&gt;=2,$EM$2,"")</f>
        <v/>
      </c>
      <c r="RD2">
        <f>IF($RA$2&gt;=7,$EN$2,"")</f>
        <v/>
      </c>
      <c r="RE2">
        <f>IF($RA$2&gt;=8,$EO$2,"")</f>
        <v/>
      </c>
      <c r="RF2">
        <f>IF($RA$2&gt;=9,$EP$2,"")</f>
        <v/>
      </c>
      <c r="RG2">
        <f>IF($RA$2&gt;=3,$QV$2,"")</f>
        <v/>
      </c>
      <c r="RH2">
        <f>IF($RA$2&gt;=4,$QW$2,"")</f>
        <v/>
      </c>
      <c r="RI2">
        <f>IF($RA$2&gt;=5,$QX$2,"")</f>
        <v/>
      </c>
      <c r="RJ2">
        <f>IF($RA$2&gt;=6,$QY$2,"")</f>
        <v/>
      </c>
      <c r="RK2">
        <f>IF($MX2="","",IFERROR(VLOOKUP(SUBSTITUTE(SUBSTITUTE(SUBSTITUTE($MX2,"~","~~"),"*","~*"),"?","~?"),'DADOS_MELHORIAS'!$O$2:$X$113,10,FALSE),$MX2))</f>
        <v/>
      </c>
      <c r="RL2">
        <f>IF($MY2="","",IFERROR(VLOOKUP(SUBSTITUTE(SUBSTITUTE(SUBSTITUTE($MY2,"~","~~"),"*","~*"),"?","~?"),'DADOS_MELHORIAS'!$O$2:$X$113,10,FALSE),$MY2))</f>
        <v/>
      </c>
      <c r="RM2">
        <f>IF($MZ2="","",IFERROR(VLOOKUP(SUBSTITUTE(SUBSTITUTE(SUBSTITUTE($MZ2,"~","~~"),"*","~*"),"?","~?"),'DADOS_MELHORIAS'!$O$2:$X$113,10,FALSE),$MZ2))</f>
        <v/>
      </c>
      <c r="RN2">
        <f>IF($NA2="","",IFERROR(VLOOKUP(SUBSTITUTE(SUBSTITUTE(SUBSTITUTE($NA2,"~","~~"),"*","~*"),"?","~?"),'DADOS_MELHORIAS'!$O$2:$X$113,10,FALSE),$NA2))</f>
        <v/>
      </c>
      <c r="RO2">
        <f>IFERROR(INDEX('DADOS_FORMAS'!$BJ$2:$BJ$21,MATCH(SUBSTITUTE(SUBSTITUTE(SUBSTITUTE($MU2,"~","~~"),"*","~*"),"?","~?"),'DADOS_FORMAS'!$AH$2:$AH$21,0)),"")</f>
        <v/>
      </c>
      <c r="RP2">
        <f>IFERROR(VLOOKUP(SUBSTITUTE(SUBSTITUTE(SUBSTITUTE(IFERROR(INDEX('DADOS_FORMAS'!$AS$2:$AS$21,MATCH(SUBSTITUTE(SUBSTITUTE(SUBSTITUTE($MU2,"~","~~"),"*","~*"),"?","~?"),'DADOS_FORMAS'!$AH$2:$AH$21,0)),""),"~","~~"),"*","~*"),"?","~?"),'DADOS_RESTRICOES'!$M$2:$Q$54,2,FALSE),"")</f>
        <v/>
      </c>
      <c r="RQ2">
        <f>$OK2</f>
        <v/>
      </c>
      <c r="RR2">
        <f>$OL2</f>
        <v/>
      </c>
      <c r="RS2">
        <f>$RP2</f>
        <v/>
      </c>
    </row>
    <row r="3">
      <c r="A3" s="164" t="n">
        <v>5</v>
      </c>
      <c r="B3" s="164" t="n">
        <v>2</v>
      </c>
      <c r="C3" s="164" t="n">
        <v>2</v>
      </c>
      <c r="D3" s="164" t="n">
        <v>4</v>
      </c>
      <c r="F3" s="164" t="n">
        <v>10</v>
      </c>
      <c r="H3" s="164" t="n">
        <v>2</v>
      </c>
      <c r="I3" s="164" t="n">
        <v>1</v>
      </c>
      <c r="J3" s="164" t="n">
        <v>2</v>
      </c>
      <c r="K3" s="164" t="n">
        <v>3</v>
      </c>
      <c r="L3" s="164" t="n">
        <v>1</v>
      </c>
      <c r="M3" s="164" t="n">
        <v>1</v>
      </c>
      <c r="N3" s="164" t="n">
        <v>2</v>
      </c>
      <c r="O3" s="164" t="n">
        <v>2</v>
      </c>
      <c r="P3" s="164" t="n">
        <v>4</v>
      </c>
      <c r="R3" s="164" t="n">
        <v>1</v>
      </c>
      <c r="T3" s="164" t="n">
        <v>4</v>
      </c>
      <c r="V3" s="162" t="inlineStr">
        <is>
          <t>Toque</t>
        </is>
      </c>
      <c r="W3" s="162" t="inlineStr"/>
      <c r="X3" s="164" t="n">
        <v>0</v>
      </c>
      <c r="Y3" s="164" t="n">
        <v>1</v>
      </c>
      <c r="Z3" s="164" t="n">
        <v>0</v>
      </c>
      <c r="AA3" s="162" t="inlineStr">
        <is>
          <t>Ataque</t>
        </is>
      </c>
      <c r="AB3" s="164" t="n">
        <v>0</v>
      </c>
      <c r="AC3" s="164" t="n">
        <v>0</v>
      </c>
      <c r="AD3" s="164" t="n">
        <v>0</v>
      </c>
      <c r="AE3" s="164" t="n">
        <v>1</v>
      </c>
      <c r="AF3" s="164" t="n">
        <v>1</v>
      </c>
      <c r="AH3" s="162" t="inlineStr">
        <is>
          <t>Projétil · classes 1 a 5</t>
        </is>
      </c>
      <c r="AI3" s="162" t="inlineStr">
        <is>
          <t>18 m, um alvo</t>
        </is>
      </c>
      <c r="AJ3" s="162" t="inlineStr">
        <is>
          <t>36 m, um alvo</t>
        </is>
      </c>
      <c r="AK3" s="162" t="inlineStr">
        <is>
          <t>90 m, um alvo</t>
        </is>
      </c>
      <c r="AL3" s="162" t="inlineStr">
        <is>
          <t>Visão a olho nu, um alvo</t>
        </is>
      </c>
      <c r="AM3" s="162" t="inlineStr">
        <is>
          <t>Visão a olho nu, um alvo</t>
        </is>
      </c>
      <c r="AN3" s="162" t="inlineStr">
        <is>
          <t>Visão a olho nu, um alvo</t>
        </is>
      </c>
      <c r="AO3" s="162" t="inlineStr"/>
      <c r="AP3" s="162" t="inlineStr"/>
      <c r="AQ3" s="162" t="inlineStr"/>
      <c r="AR3" s="162" t="inlineStr"/>
      <c r="AS3" s="162" t="inlineStr"/>
      <c r="AT3" s="162" t="inlineStr"/>
      <c r="AV3" s="162" t="inlineStr">
        <is>
          <t>Muito Longe</t>
        </is>
      </c>
      <c r="AW3" s="162" t="inlineStr">
        <is>
          <t>Alcance</t>
        </is>
      </c>
      <c r="AX3" s="164" t="n">
        <v>2</v>
      </c>
      <c r="AY3" s="164" t="n">
        <v>0</v>
      </c>
      <c r="AZ3" s="164" t="n">
        <v>0</v>
      </c>
      <c r="BA3" s="164" t="n">
        <v>0</v>
      </c>
      <c r="BC3" s="162" t="inlineStr">
        <is>
          <t>Atrasar</t>
        </is>
      </c>
      <c r="BD3" s="162" t="inlineStr">
        <is>
          <t>Atrasar</t>
        </is>
      </c>
      <c r="BE3" s="164" t="n">
        <v>2</v>
      </c>
      <c r="BF3" s="164" t="n">
        <v>0</v>
      </c>
      <c r="BG3" s="162" t="inlineStr"/>
      <c r="BI3" s="162" t="inlineStr">
        <is>
          <t>Instinto</t>
        </is>
      </c>
      <c r="BJ3" s="164" t="n">
        <v>1</v>
      </c>
      <c r="BK3" s="162" t="inlineStr">
        <is>
          <t>Você não é pego de surpresa enquanto estiver acordado. Isso não revela criaturas escondidas, não muda sua posição na iniciativa e não concede uma ação adicional.</t>
        </is>
      </c>
      <c r="BL3" s="162" t="inlineStr">
        <is>
          <t>Instinto</t>
        </is>
      </c>
      <c r="BN3" s="162" t="inlineStr">
        <is>
          <t>Corpo amaldiçoado de técnica</t>
        </is>
      </c>
      <c r="BP3" s="162" t="inlineStr">
        <is>
          <t>Lista de ritual</t>
        </is>
      </c>
      <c r="BQ3" s="164" t="n">
        <v>1</v>
      </c>
      <c r="BS3" s="162" t="inlineStr">
        <is>
          <t>Área</t>
        </is>
      </c>
      <c r="BU3" s="162" t="inlineStr">
        <is>
          <t>Destreza</t>
        </is>
      </c>
      <c r="BW3" s="162" t="inlineStr">
        <is>
          <t>Vigor</t>
        </is>
      </c>
      <c r="BY3" s="162" t="inlineStr">
        <is>
          <t>Destreza</t>
        </is>
      </c>
      <c r="CA3" s="162" t="inlineStr">
        <is>
          <t>Sem alma</t>
        </is>
      </c>
      <c r="CC3" s="162" t="inlineStr">
        <is>
          <t>Acrobacia</t>
        </is>
      </c>
      <c r="CD3" s="162" t="inlineStr">
        <is>
          <t>Destreza</t>
        </is>
      </c>
      <c r="CF3" s="162" t="inlineStr">
        <is>
          <t>Com carga</t>
        </is>
      </c>
      <c r="CH3" s="162" t="inlineStr">
        <is>
          <t>Arrombamento</t>
        </is>
      </c>
      <c r="CJ3" s="162" t="inlineStr">
        <is>
          <t>Perfurante</t>
        </is>
      </c>
      <c r="CL3" s="162" t="inlineStr">
        <is>
          <t>TR Físico</t>
        </is>
      </c>
      <c r="CN3" s="164" t="n">
        <v>1</v>
      </c>
      <c r="CP3" s="164" t="n">
        <v>21</v>
      </c>
      <c r="CQ3" s="162" t="inlineStr">
        <is>
          <t>22d8</t>
        </is>
      </c>
      <c r="CR3" s="164" t="n">
        <v>12</v>
      </c>
      <c r="CS3" s="164" t="n">
        <v>30</v>
      </c>
      <c r="CU3" s="162" t="inlineStr">
        <is>
          <t>Completa</t>
        </is>
      </c>
      <c r="CV3" s="162" t="inlineStr">
        <is>
          <t>Mais 1 espaço; total 3.</t>
        </is>
      </c>
      <c r="CW3" s="162" t="inlineStr">
        <is>
          <t>Incompleta, nível 14 dela e seu refino 5.</t>
        </is>
      </c>
      <c r="CY3" s="162" t="inlineStr">
        <is>
          <t>Inteligência</t>
        </is>
      </c>
      <c r="DA3" s="162" t="inlineStr">
        <is>
          <t>maestria</t>
        </is>
      </c>
      <c r="DB3" s="164">
        <f>N(FICHA!$D$67)</f>
        <v/>
      </c>
      <c r="DD3" s="164" t="n">
        <v>2</v>
      </c>
      <c r="DE3" s="164">
        <f>'INVOCAÇÕES'!$I$224&amp;""</f>
        <v/>
      </c>
      <c r="DF3" s="164">
        <f>'INVOCAÇÕES'!$I$254&amp;""</f>
        <v/>
      </c>
      <c r="DG3" s="164">
        <f>'INVOCAÇÕES'!$I$258&amp;""</f>
        <v/>
      </c>
      <c r="DH3" s="164">
        <f>N('INVOCAÇÕES'!$K$258)</f>
        <v/>
      </c>
      <c r="DI3" s="164">
        <f>'INVOCAÇÕES'!$L$258&amp;""</f>
        <v/>
      </c>
      <c r="DJ3" s="164">
        <f>N('INVOCAÇÕES'!$O$231)</f>
        <v/>
      </c>
      <c r="DK3" s="164">
        <f>N('INVOCAÇÕES'!$P$231)</f>
        <v/>
      </c>
      <c r="DL3" s="164">
        <f>N('INVOCAÇÕES'!$Q$231)</f>
        <v/>
      </c>
      <c r="DM3" s="164">
        <f>N('INVOCAÇÕES'!$R$231)</f>
        <v/>
      </c>
      <c r="DN3" s="164">
        <f>N('INVOCAÇÕES'!$S$231)</f>
        <v/>
      </c>
      <c r="DO3" s="164">
        <f>N('INVOCAÇÕES'!$O$232)</f>
        <v/>
      </c>
      <c r="DP3" s="164">
        <f>N('INVOCAÇÕES'!$P$232)</f>
        <v/>
      </c>
      <c r="DQ3" s="164">
        <f>N('INVOCAÇÕES'!$Q$232)</f>
        <v/>
      </c>
      <c r="DR3" s="164">
        <f>N('INVOCAÇÕES'!$R$232)</f>
        <v/>
      </c>
      <c r="DS3" s="164">
        <f>N('INVOCAÇÕES'!$S$232)</f>
        <v/>
      </c>
      <c r="DT3" s="164">
        <f>'INVOCAÇÕES'!$O$245&amp;""</f>
        <v/>
      </c>
      <c r="DU3" s="164">
        <f>'INVOCAÇÕES'!$R$245&amp;""</f>
        <v/>
      </c>
      <c r="DV3" s="164">
        <f>'INVOCAÇÕES'!$S$240&amp;""</f>
        <v/>
      </c>
      <c r="DW3" s="164">
        <f>N('INVOCAÇÕES'!$O$237)</f>
        <v/>
      </c>
      <c r="DX3" s="164">
        <f>N('INVOCAÇÕES'!$P$237)</f>
        <v/>
      </c>
      <c r="DY3" s="164">
        <f>N('INVOCAÇÕES'!$Q$237)</f>
        <v/>
      </c>
      <c r="DZ3" s="164">
        <f>N('INVOCAÇÕES'!$R$237)</f>
        <v/>
      </c>
      <c r="EA3" s="164">
        <f>N('INVOCAÇÕES'!$S$237)</f>
        <v/>
      </c>
      <c r="EB3" s="164">
        <f>N('INVOCAÇÕES'!$O$242)</f>
        <v/>
      </c>
      <c r="EC3" s="164">
        <f>N('INVOCAÇÕES'!$P$242)</f>
        <v/>
      </c>
      <c r="ED3" s="164">
        <f>N('INVOCAÇÕES'!$Q$242)</f>
        <v/>
      </c>
      <c r="EE3" s="164">
        <f>N('INVOCAÇÕES'!$R$242)</f>
        <v/>
      </c>
      <c r="EF3" s="164">
        <f>'INVOCAÇÕES'!$U$224&amp;""</f>
        <v/>
      </c>
      <c r="EG3" s="164">
        <f>N('INVOCAÇÕES'!$W$224)</f>
        <v/>
      </c>
      <c r="EH3" s="164">
        <f>'INVOCAÇÕES'!$Y$224&amp;""</f>
        <v/>
      </c>
      <c r="EI3" s="164">
        <f>SUM('INVOCAÇÕES'!$Y$231:'INVOCAÇÕES'!$Y$233,'INVOCAÇÕES'!$Y$235:'INVOCAÇÕES'!$Y$240)</f>
        <v/>
      </c>
      <c r="EJ3" s="164">
        <f>'INVOCAÇÕES'!$U$229&amp;""</f>
        <v/>
      </c>
      <c r="EK3" s="164">
        <f>'INVOCAÇÕES'!$V$229&amp;""</f>
        <v/>
      </c>
      <c r="EL3" s="164">
        <f>'INVOCAÇÕES'!$O$259&amp;""</f>
        <v/>
      </c>
      <c r="EM3" s="164">
        <f>'INVOCAÇÕES'!$P$259&amp;""</f>
        <v/>
      </c>
      <c r="EN3" s="164">
        <f>'INVOCAÇÕES'!$Q$259&amp;""</f>
        <v/>
      </c>
      <c r="EO3" s="164">
        <f>'INVOCAÇÕES'!$R$259&amp;""</f>
        <v/>
      </c>
      <c r="EP3" s="164">
        <f>'INVOCAÇÕES'!$S$259&amp;""</f>
        <v/>
      </c>
      <c r="EQ3" s="164">
        <f>'INVOCAÇÕES'!$O$249&amp;""</f>
        <v/>
      </c>
      <c r="ER3" s="164">
        <f>'INVOCAÇÕES'!$O$250&amp;""</f>
        <v/>
      </c>
      <c r="ES3" s="164">
        <f>'INVOCAÇÕES'!$O$251&amp;""</f>
        <v/>
      </c>
      <c r="ET3" s="164">
        <f>'INVOCAÇÕES'!$O$252&amp;""</f>
        <v/>
      </c>
      <c r="EU3" s="164">
        <f>'INVOCAÇÕES'!$O$253&amp;""</f>
        <v/>
      </c>
      <c r="EV3" s="164">
        <f>'INVOCAÇÕES'!$O$254&amp;""</f>
        <v/>
      </c>
      <c r="EW3" s="164">
        <f>'INVOCAÇÕES'!$O$255&amp;""</f>
        <v/>
      </c>
      <c r="EX3" s="164">
        <f>'INVOCAÇÕES'!$J$304&amp;""</f>
        <v/>
      </c>
      <c r="EY3" s="164">
        <f>'INVOCAÇÕES'!$J$305&amp;""</f>
        <v/>
      </c>
      <c r="EZ3" s="164">
        <f>'INVOCAÇÕES'!$J$306&amp;""</f>
        <v/>
      </c>
      <c r="FA3" s="164">
        <f>'INVOCAÇÕES'!$J$307&amp;""</f>
        <v/>
      </c>
      <c r="FB3" s="164">
        <f>'INVOCAÇÕES'!$J$308&amp;""</f>
        <v/>
      </c>
      <c r="FC3" s="164">
        <f>'INVOCAÇÕES'!$J$309&amp;""</f>
        <v/>
      </c>
      <c r="FD3" s="164">
        <f>'INVOCAÇÕES'!$J$310&amp;""</f>
        <v/>
      </c>
      <c r="FE3" s="164">
        <f>'INVOCAÇÕES'!$J$311&amp;""</f>
        <v/>
      </c>
      <c r="FF3" s="164">
        <f>'INVOCAÇÕES'!$J$406&amp;""</f>
        <v/>
      </c>
      <c r="FG3" s="164">
        <f>'INVOCAÇÕES'!$J$407&amp;""</f>
        <v/>
      </c>
      <c r="FH3" s="164">
        <f>'INVOCAÇÕES'!$J$408&amp;""</f>
        <v/>
      </c>
      <c r="FI3" s="164">
        <f>MAX(3,MIN(7,N('INVOCAÇÕES'!$I$413)))</f>
        <v/>
      </c>
      <c r="FJ3" s="164">
        <f>MAX(3,MIN(7,N('INVOCAÇÕES'!$O$413)))</f>
        <v/>
      </c>
      <c r="FK3" s="164">
        <f>MAX(3,MIN(7,N('INVOCAÇÕES'!$U$413)))</f>
        <v/>
      </c>
      <c r="FL3" s="164">
        <f>'INVOCAÇÕES'!$O$427&amp;""</f>
        <v/>
      </c>
      <c r="FM3" s="164">
        <f>IF($DE3&lt;&gt;"",1,0)</f>
        <v/>
      </c>
      <c r="FN3" s="164">
        <f>IFERROR(VLOOKUP($DG3,$BP$2:$BQ$5,2,FALSE),1)</f>
        <v/>
      </c>
      <c r="FO3" s="164">
        <f>IF($FN3=1,$DB$2,IF($FN3=2,MIN($DB$2,IF(MAX(1,MIN($DB$2,IF($DH3=0,$DB$2,$DH3)))&lt;=4,4,IF(MAX(1,MIN($DB$2,IF($DH3=0,$DB$2,$DH3)))&lt;=8,8,IF(MAX(1,MIN($DB$2,IF($DH3=0,$DB$2,$DH3)))&lt;=12,12,IF(MAX(1,MIN($DB$2,IF($DH3=0,$DB$2,$DH3)))&lt;=16,16,IF(MAX(1,MIN($DB$2,IF($DH3=0,$DB$2,$DH3)))&lt;=20,20,IF(MAX(1,MIN($DB$2,IF($DH3=0,$DB$2,$DH3)))&lt;=25,25,IF(MAX(1,MIN($DB$2,IF($DH3=0,$DB$2,$DH3)))&lt;=30,30,30)))))))),MAX(1,MIN($DB$2,IF($DH3=0,$DB$2,$DH3)))))</f>
        <v/>
      </c>
      <c r="FP3" s="164">
        <f>VLOOKUP(MAX(1,$FO3),$A$2:$D$8,2,TRUE)</f>
        <v/>
      </c>
      <c r="FQ3" s="164">
        <f>VLOOKUP(MAX(1,$FO3),$A$2:$D$8,3,TRUE)</f>
        <v/>
      </c>
      <c r="FR3" s="164">
        <f>$DJ3+$DO3</f>
        <v/>
      </c>
      <c r="FS3" s="164">
        <f>$DK3+$DP3</f>
        <v/>
      </c>
      <c r="FT3" s="164">
        <f>$DL3+$DQ3</f>
        <v/>
      </c>
      <c r="FU3" s="164">
        <f>$DM3+$DR3</f>
        <v/>
      </c>
      <c r="FV3" s="164">
        <f>$DN3+$DS3</f>
        <v/>
      </c>
      <c r="FW3" s="164">
        <f>SUM($DJ3:$DN3)</f>
        <v/>
      </c>
      <c r="FX3" s="164">
        <f>9+$FY3</f>
        <v/>
      </c>
      <c r="FY3" s="164">
        <f>COUNTIF($F$2:$F$8,"&lt;="&amp;$FO3)</f>
        <v/>
      </c>
      <c r="FZ3" s="164">
        <f>MAX(0,$DJ3-3)+MAX(0,$DK3-3)+MAX(0,$DL3-3)+MAX(0,$DM3-3)+MAX(0,$DN3-3)</f>
        <v/>
      </c>
      <c r="GA3" s="164">
        <f>IFERROR(INDEX($FR3:$FV3,1,MATCH($DT3,$BU$2:$BU$6,0)),"")</f>
        <v/>
      </c>
      <c r="GB3" s="164">
        <f>IF($GA3="","",$GA3+$DB$3+$DW3)</f>
        <v/>
      </c>
      <c r="GC3" s="164">
        <f>IF($GA3="","",8+$GA3+$DB$3+$DX3)</f>
        <v/>
      </c>
      <c r="GD3" s="164">
        <f>10+$FS3+$DB$7+$DY3</f>
        <v/>
      </c>
      <c r="GE3" s="164">
        <f>IF(IFERROR(VLOOKUP(SUBSTITUTE(SUBSTITUTE(SUBSTITUTE($DF3,"~","~~"),"*","~*"),"?","~?"),'DADOS_ENTIDADES'!$M$2:$P$16,2,FALSE),0)=1,1,0)</f>
        <v/>
      </c>
      <c r="GF3" s="164">
        <f>5+$FT3+(3+$GE3+$FT3)*($FO3-1)+$DZ3</f>
        <v/>
      </c>
      <c r="GG3" s="164">
        <f>IF($FM3=0,"",$GF3)</f>
        <v/>
      </c>
      <c r="GH3" s="164">
        <f>IF($EF3="",$GF3,MAX(0,MIN(IFERROR(VALUE($EF3),$GF3),$GF3)))</f>
        <v/>
      </c>
      <c r="GI3" s="164">
        <f>IF(AND($FM3=1,$EJ3&lt;&gt;"Sem alma"),MAX(1,INT($GF3/2)),"")</f>
        <v/>
      </c>
      <c r="GJ3" s="164">
        <f>$GI3</f>
        <v/>
      </c>
      <c r="GK3" s="164">
        <f>IF($GI3="","",IF($EK3="",$GI3,MAX(0,MIN(IFERROR(VALUE($EK3),$GI3),$GI3))))</f>
        <v/>
      </c>
      <c r="GL3" s="164">
        <f>IF($FM3=0,"",IF($GI3="","—",$GI3))</f>
        <v/>
      </c>
      <c r="GM3" s="164">
        <f>IF($FM3=0,"",IF($GI3="","Sem alma · imune a dano de Alma",IF($GK3&lt;=0,"Estágio 4 · caída, como a zero de vida",IF($GK3&lt;=$GI3/4,"Estágio 3 · desvantagem em ataques e TRs, Classe pela metade",IF($GK3&lt;=$GI3/2,"Estágio 2 · metade do deslocamento, +1 PE por Classe",IF($GK3&lt;=$GI3*3/4,"Estágio 1 · desvantagem em perícias","Alma inteira"))))))</f>
        <v/>
      </c>
      <c r="GN3" s="164">
        <f>9+$EA3</f>
        <v/>
      </c>
      <c r="GO3" s="164">
        <f>IF($DU3="Destreza",$FS3,$FR3)</f>
        <v/>
      </c>
      <c r="GP3" s="164">
        <f>$GO3+IF($DV3="Físico",$DB$3,0)+$EB3</f>
        <v/>
      </c>
      <c r="GQ3" s="164">
        <f>$FT3+IF($DV3="Vigor",$DB$3,0)+$EC3</f>
        <v/>
      </c>
      <c r="GR3" s="164">
        <f>$FU3+IF($DV3="Intelecto",$DB$3,0)+$ED3</f>
        <v/>
      </c>
      <c r="GS3" s="164">
        <f>$FV3+IF($DV3="Espírito",$DB$3,0)+$EE3</f>
        <v/>
      </c>
      <c r="GT3" s="164">
        <f>4+INT($DM3/2)</f>
        <v/>
      </c>
      <c r="GU3" s="164">
        <f>COUNTIF($EQ3:$EW3,"?*")</f>
        <v/>
      </c>
      <c r="GV3" s="164">
        <f>INT((2+$FO3/2)/2)</f>
        <v/>
      </c>
      <c r="GW3" s="164">
        <f>IF($FO3&gt;=11,2,1)</f>
        <v/>
      </c>
      <c r="GX3" s="164">
        <f>1+$FY3</f>
        <v/>
      </c>
      <c r="GY3" s="164">
        <f>COUNTIF($EX3:$FE3,"?*")</f>
        <v/>
      </c>
      <c r="GZ3" s="164">
        <f>IF(AND(IFERROR(VLOOKUP(SUBSTITUTE(SUBSTITUTE(SUBSTITUTE($DF3,"~","~~"),"*","~*"),"?","~?"),'DADOS_ENTIDADES'!$M$2:$P$16,3,FALSE),0)=1,$DI3="Com carga"),MAX(1,CEILING($FP3/2,1)),$FP3)</f>
        <v/>
      </c>
      <c r="HA3" s="164">
        <f>2*$FP3</f>
        <v/>
      </c>
      <c r="HB3" s="164">
        <f>$FO3*(1+INT($DN3/3))</f>
        <v/>
      </c>
      <c r="HC3" s="164">
        <f>5+$FR3</f>
        <v/>
      </c>
      <c r="HD3" s="164">
        <f>(COUNTIF($EL3:$EP3,"?*")+COUNTIF($QV3:$QY3,"?*"))</f>
        <v/>
      </c>
      <c r="HE3" s="164">
        <f>IF($EL3="",0,IF((COUNTIF($EL3:$EP3,$EL3)+COUNTIF($QV3:$QY3,$EL3))&gt;1,1,0))+IF($EM3="",0,IF((COUNTIF($EL3:$EP3,$EM3)+COUNTIF($QV3:$QY3,$EM3))&gt;1,1,0))+IF($EN3="",0,IF((COUNTIF($EL3:$EP3,$EN3)+COUNTIF($QV3:$QY3,$EN3))&gt;1,1,0))+IF($EO3="",0,IF((COUNTIF($EL3:$EP3,$EO3)+COUNTIF($QV3:$QY3,$EO3))&gt;1,1,0))+IF($EP3="",0,IF((COUNTIF($EL3:$EP3,$EP3)+COUNTIF($QV3:$QY3,$EP3))&gt;1,1,0))+IF($QV$3="",0,IF(COUNTIF($EL3:$EP3,$QV$3)+COUNTIF($QV3:$QY3,$QV$3)&gt;1,1,0))+IF($QW$3="",0,IF(COUNTIF($EL3:$EP3,$QW$3)+COUNTIF($QV3:$QY3,$QW$3)&gt;1,1,0))+IF($QX$3="",0,IF(COUNTIF($EL3:$EP3,$QX$3)+COUNTIF($QV3:$QY3,$QX$3)&gt;1,1,0))+IF($QY$3="",0,IF(COUNTIF($EL3:$EP3,$QY$3)+COUNTIF($QV3:$QY3,$QY$3)&gt;1,1,0))</f>
        <v/>
      </c>
      <c r="HF3" s="164">
        <f>IF(DADOS_INVOC!$DB$4="Invocação Principal",'CONFIGURAÇÃO'!$H$143,IF(OR(DADOS_INVOC!$DB$4="Parceria",DADOS_INVOC!$DB$4="Múltiplas Invocações"),'CONFIGURAÇÃO'!$H$141,'CONFIGURAÇÃO'!$H$139))+IF($QZ$3="Não autônoma",'CONFIGURAÇÃO'!$H$145,0)</f>
        <v/>
      </c>
      <c r="HG3" s="164">
        <f>IF($FM3=0,"INVOCAÇÃO 2 · lugar vazio",$DE3&amp;" · "&amp;$DF3&amp;" · nível "&amp;$FO3&amp;" · vida "&amp;$GH3&amp;" de "&amp;$GF3)</f>
        <v/>
      </c>
      <c r="HH3" s="164">
        <f>IF($FM3=0,"VAZIA",UPPER($DE3))</f>
        <v/>
      </c>
      <c r="HI3" s="164">
        <f>IF($DB$3&gt;=0,"+","−")&amp;ABS($DB$3)</f>
        <v/>
      </c>
      <c r="HJ3" s="164">
        <f>$GZ3&amp;" PE"</f>
        <v/>
      </c>
      <c r="HK3" s="164">
        <f>$HA3&amp;" PE"</f>
        <v/>
      </c>
      <c r="HL3" s="164">
        <f>IF(OR($FW3&gt;$FX3,$FZ3&gt;$FY3),"⚠ ",IF(AND($FM3=1,$FW3&lt;$FX3),"! ",""))&amp;"ATRIBUTOS · "&amp;$FW3&amp;" DE "&amp;$FX3&amp;" PONTOS"&amp;IF($FZ3&gt;$FY3," · ACIMA DE 3 SÓ COM MARCO","")</f>
        <v/>
      </c>
      <c r="HM3" s="164">
        <f>IF($GB3="","",IF($GB3&gt;=0,"+","−")&amp;ABS($GB3))</f>
        <v/>
      </c>
      <c r="HN3" s="164">
        <f>IF($GC3="","",$GC3)</f>
        <v/>
      </c>
      <c r="HO3" s="164">
        <f>SUBSTITUTE(IF($EI3&gt;2*$HC3,0,IF($EI3&gt;$HC3,$GN3/2,$GN3))&amp;" m",".",",")</f>
        <v/>
      </c>
      <c r="HP3" s="164">
        <f>IF($GP3&gt;=0,"+","−")&amp;ABS($GP3)</f>
        <v/>
      </c>
      <c r="HQ3" s="164">
        <f>IF($GQ3&gt;=0,"+","−")&amp;ABS($GQ3)</f>
        <v/>
      </c>
      <c r="HR3" s="164">
        <f>IF($GR3&gt;=0,"+","−")&amp;ABS($GR3)</f>
        <v/>
      </c>
      <c r="HS3" s="164">
        <f>IF($GS3&gt;=0,"+","−")&amp;ABS($GS3)</f>
        <v/>
      </c>
      <c r="HT3" s="164">
        <f>IF($GU3&gt;$GT3,"⚠ ","")&amp;"PERÍCIAS · "&amp;$GU3&amp;" DE "&amp;$GT3</f>
        <v/>
      </c>
      <c r="HU3" s="164">
        <f>IF($EQ3="","",IFERROR(IF((INDEX($FR3:$FV3,1,MATCH(VLOOKUP(SUBSTITUTE(SUBSTITUTE(SUBSTITUTE($EQ3,"~","~~"),"*","~*"),"?","~?"),'DADOS_PROGRESSAO'!$AG$2:$AH$34,2,FALSE),$BU$2:$BU$6,0))+$DB$3)&gt;=0,"+","−")&amp;ABS((INDEX($FR3:$FV3,1,MATCH(VLOOKUP(SUBSTITUTE(SUBSTITUTE(SUBSTITUTE($EQ3,"~","~~"),"*","~*"),"?","~?"),'DADOS_PROGRESSAO'!$AG$2:$AH$34,2,FALSE),$BU$2:$BU$6,0))+$DB$3)),""))</f>
        <v/>
      </c>
      <c r="HV3" s="164">
        <f>IF($ER3="","",IFERROR(IF((INDEX($FR3:$FV3,1,MATCH(VLOOKUP(SUBSTITUTE(SUBSTITUTE(SUBSTITUTE($ER3,"~","~~"),"*","~*"),"?","~?"),'DADOS_PROGRESSAO'!$AG$2:$AH$34,2,FALSE),$BU$2:$BU$6,0))+$DB$3)&gt;=0,"+","−")&amp;ABS((INDEX($FR3:$FV3,1,MATCH(VLOOKUP(SUBSTITUTE(SUBSTITUTE(SUBSTITUTE($ER3,"~","~~"),"*","~*"),"?","~?"),'DADOS_PROGRESSAO'!$AG$2:$AH$34,2,FALSE),$BU$2:$BU$6,0))+$DB$3)),""))</f>
        <v/>
      </c>
      <c r="HW3" s="164">
        <f>IF($ES3="","",IFERROR(IF((INDEX($FR3:$FV3,1,MATCH(VLOOKUP(SUBSTITUTE(SUBSTITUTE(SUBSTITUTE($ES3,"~","~~"),"*","~*"),"?","~?"),'DADOS_PROGRESSAO'!$AG$2:$AH$34,2,FALSE),$BU$2:$BU$6,0))+$DB$3)&gt;=0,"+","−")&amp;ABS((INDEX($FR3:$FV3,1,MATCH(VLOOKUP(SUBSTITUTE(SUBSTITUTE(SUBSTITUTE($ES3,"~","~~"),"*","~*"),"?","~?"),'DADOS_PROGRESSAO'!$AG$2:$AH$34,2,FALSE),$BU$2:$BU$6,0))+$DB$3)),""))</f>
        <v/>
      </c>
      <c r="HX3" s="164">
        <f>IF($ET3="","",IFERROR(IF((INDEX($FR3:$FV3,1,MATCH(VLOOKUP(SUBSTITUTE(SUBSTITUTE(SUBSTITUTE($ET3,"~","~~"),"*","~*"),"?","~?"),'DADOS_PROGRESSAO'!$AG$2:$AH$34,2,FALSE),$BU$2:$BU$6,0))+$DB$3)&gt;=0,"+","−")&amp;ABS((INDEX($FR3:$FV3,1,MATCH(VLOOKUP(SUBSTITUTE(SUBSTITUTE(SUBSTITUTE($ET3,"~","~~"),"*","~*"),"?","~?"),'DADOS_PROGRESSAO'!$AG$2:$AH$34,2,FALSE),$BU$2:$BU$6,0))+$DB$3)),""))</f>
        <v/>
      </c>
      <c r="HY3" s="164">
        <f>IF($EU3="","",IFERROR(IF((INDEX($FR3:$FV3,1,MATCH(VLOOKUP(SUBSTITUTE(SUBSTITUTE(SUBSTITUTE($EU3,"~","~~"),"*","~*"),"?","~?"),'DADOS_PROGRESSAO'!$AG$2:$AH$34,2,FALSE),$BU$2:$BU$6,0))+$DB$3)&gt;=0,"+","−")&amp;ABS((INDEX($FR3:$FV3,1,MATCH(VLOOKUP(SUBSTITUTE(SUBSTITUTE(SUBSTITUTE($EU3,"~","~~"),"*","~*"),"?","~?"),'DADOS_PROGRESSAO'!$AG$2:$AH$34,2,FALSE),$BU$2:$BU$6,0))+$DB$3)),""))</f>
        <v/>
      </c>
      <c r="HZ3" s="164">
        <f>IF($EV3="","",IFERROR(IF((INDEX($FR3:$FV3,1,MATCH(VLOOKUP(SUBSTITUTE(SUBSTITUTE(SUBSTITUTE($EV3,"~","~~"),"*","~*"),"?","~?"),'DADOS_PROGRESSAO'!$AG$2:$AH$34,2,FALSE),$BU$2:$BU$6,0))+$DB$3)&gt;=0,"+","−")&amp;ABS((INDEX($FR3:$FV3,1,MATCH(VLOOKUP(SUBSTITUTE(SUBSTITUTE(SUBSTITUTE($EV3,"~","~~"),"*","~*"),"?","~?"),'DADOS_PROGRESSAO'!$AG$2:$AH$34,2,FALSE),$BU$2:$BU$6,0))+$DB$3)),""))</f>
        <v/>
      </c>
      <c r="IA3" s="164">
        <f>IF($EW3="","",IFERROR(IF((INDEX($FR3:$FV3,1,MATCH(VLOOKUP(SUBSTITUTE(SUBSTITUTE(SUBSTITUTE($EW3,"~","~~"),"*","~*"),"?","~?"),'DADOS_PROGRESSAO'!$AG$2:$AH$34,2,FALSE),$BU$2:$BU$6,0))+$DB$3)&gt;=0,"+","−")&amp;ABS((INDEX($FR3:$FV3,1,MATCH(VLOOKUP(SUBSTITUTE(SUBSTITUTE(SUBSTITUTE($EW3,"~","~~"),"*","~*"),"?","~?"),'DADOS_PROGRESSAO'!$AG$2:$AH$34,2,FALSE),$BU$2:$BU$6,0))+$DB$3)),""))</f>
        <v/>
      </c>
      <c r="IB3" s="164">
        <f>IF(IFERROR(VLOOKUP(SUBSTITUTE(SUBSTITUTE(SUBSTITUTE($DF3,"~","~~"),"*","~*"),"?","~?"),'DADOS_ENTIDADES'!$M$2:$P$16,4,FALSE),0)=1,"RESERVA · MÁX. "&amp;$HB3,"RESERVA DE PE")</f>
        <v/>
      </c>
      <c r="IC3" s="164">
        <f>IF($EI3&gt;2*$HC3,"⚠ ",IF($EI3&gt;$HC3,"! ",""))&amp;"EQUIPAMENTO · "&amp;$EI3&amp;" DE "&amp;$HC3&amp;" DE VOLUME"&amp;IF($EI3&gt;2*$HC3," · PASSOU DO DOBRO",IF($EI3&gt;$HC3," · ACIMA DO LIMITE",""))</f>
        <v/>
      </c>
      <c r="ID3" s="164">
        <f>IF(OR($HE3&gt;0,$HD3&gt;$HF3),"⚠ ","")&amp;"FAMÍLIAS · "&amp;$HD3&amp;" ABERTAS"&amp;IF($HE3&gt;0," · REPETIDA","")&amp;IF($HD3&gt;$HF3," · O LIMITE É "&amp;$HF3,"")&amp;IF(OR($RA$3&gt;$HF$3,$HF$3&gt;9)," · LIMITES INCOMPATÍVEIS","")</f>
        <v/>
      </c>
      <c r="IE3" s="164">
        <f>"HABILIDADES · básica de "&amp;$FQ3&amp;"d6 · "&amp;$GV3&amp;IF($GV3&gt;1," espaços"," espaço")&amp;" de especial até a Classe "&amp;$FP3&amp;" · "&amp;$GX3&amp;IF($GX3&gt;1," talentos"," talento")</f>
        <v/>
      </c>
      <c r="IF3" s="164">
        <f>IF($GY3&gt;$GX3,"⚠ ","")&amp;"TALENTOS · "&amp;$GY3&amp;" DE "&amp;$GX3</f>
        <v/>
      </c>
      <c r="IG3" s="164">
        <f>IFERROR(VLOOKUP(SUBSTITUTE(SUBSTITUTE(SUBSTITUTE($EX3,"~","~~"),"*","~*"),"?","~?"),'DADOS_ENTIDADES'!$AI$2:$AL$35,2,FALSE),0)</f>
        <v/>
      </c>
      <c r="IH3" s="164">
        <f>IFERROR(VLOOKUP(SUBSTITUTE(SUBSTITUTE(SUBSTITUTE($EY3,"~","~~"),"*","~*"),"?","~?"),'DADOS_ENTIDADES'!$AI$2:$AL$35,2,FALSE),0)</f>
        <v/>
      </c>
      <c r="II3" s="164">
        <f>IFERROR(VLOOKUP(SUBSTITUTE(SUBSTITUTE(SUBSTITUTE($EZ3,"~","~~"),"*","~*"),"?","~?"),'DADOS_ENTIDADES'!$AI$2:$AL$35,2,FALSE),0)</f>
        <v/>
      </c>
      <c r="IJ3" s="164">
        <f>IFERROR(VLOOKUP(SUBSTITUTE(SUBSTITUTE(SUBSTITUTE($FA3,"~","~~"),"*","~*"),"?","~?"),'DADOS_ENTIDADES'!$AI$2:$AL$35,2,FALSE),0)</f>
        <v/>
      </c>
      <c r="IK3" s="164">
        <f>IFERROR(VLOOKUP(SUBSTITUTE(SUBSTITUTE(SUBSTITUTE($FB3,"~","~~"),"*","~*"),"?","~?"),'DADOS_ENTIDADES'!$AI$2:$AL$35,2,FALSE),0)</f>
        <v/>
      </c>
      <c r="IL3" s="164">
        <f>IFERROR(VLOOKUP(SUBSTITUTE(SUBSTITUTE(SUBSTITUTE($FC3,"~","~~"),"*","~*"),"?","~?"),'DADOS_ENTIDADES'!$AI$2:$AL$35,2,FALSE),0)</f>
        <v/>
      </c>
      <c r="IM3" s="164">
        <f>IFERROR(VLOOKUP(SUBSTITUTE(SUBSTITUTE(SUBSTITUTE($FD3,"~","~~"),"*","~*"),"?","~?"),'DADOS_ENTIDADES'!$AI$2:$AL$35,2,FALSE),0)</f>
        <v/>
      </c>
      <c r="IN3" s="164">
        <f>IFERROR(VLOOKUP(SUBSTITUTE(SUBSTITUTE(SUBSTITUTE($FE3,"~","~~"),"*","~*"),"?","~?"),'DADOS_ENTIDADES'!$AI$2:$AL$35,2,FALSE),0)</f>
        <v/>
      </c>
      <c r="IO3" s="164">
        <f>IF($EX3="","",IF(1&gt;$FO3,"⚠ Este talento abre no nível 1",IF($IG3&gt;1,"⚠ Categoria "&amp;$IG3&amp;": este ganho vai até a 1 · ","")&amp;IFERROR(VLOOKUP(SUBSTITUTE(SUBSTITUTE(SUBSTITUTE($EX3,"~","~~"),"*","~*"),"?","~?"),'DADOS_ENTIDADES'!$AI$2:$AL$35,3,FALSE),"")))</f>
        <v/>
      </c>
      <c r="IP3" s="164">
        <f>IF($EY3="","",IF(6&gt;$FO3,"⚠ Este talento abre no nível 6",IF($IH3&gt;1,"⚠ Categoria "&amp;$IH3&amp;": este ganho vai até a 1 · ","")&amp;IFERROR(VLOOKUP(SUBSTITUTE(SUBSTITUTE(SUBSTITUTE($EY3,"~","~~"),"*","~*"),"?","~?"),'DADOS_ENTIDADES'!$AI$2:$AL$35,3,FALSE),"")))</f>
        <v/>
      </c>
      <c r="IQ3" s="164">
        <f>IF($EZ3="","",IF(10&gt;$FO3,"⚠ Este talento abre no nível 10",IF($II3&gt;2,"⚠ Categoria "&amp;$II3&amp;": este ganho vai até a 2 · ","")&amp;IFERROR(VLOOKUP(SUBSTITUTE(SUBSTITUTE(SUBSTITUTE($EZ3,"~","~~"),"*","~*"),"?","~?"),'DADOS_ENTIDADES'!$AI$2:$AL$35,3,FALSE),"")))</f>
        <v/>
      </c>
      <c r="IR3" s="164">
        <f>IF($FA3="","",IF(14&gt;$FO3,"⚠ Este talento abre no nível 14",IF($IJ3&gt;3,"⚠ Categoria "&amp;$IJ3&amp;": este ganho vai até a 3 · ","")&amp;IFERROR(VLOOKUP(SUBSTITUTE(SUBSTITUTE(SUBSTITUTE($FA3,"~","~~"),"*","~*"),"?","~?"),'DADOS_ENTIDADES'!$AI$2:$AL$35,3,FALSE),"")))</f>
        <v/>
      </c>
      <c r="IS3" s="164">
        <f>IF($FB3="","",IF(18&gt;$FO3,"⚠ Este talento abre no nível 18",IF($IK3&gt;3,"⚠ Categoria "&amp;$IK3&amp;": este ganho vai até a 3 · ","")&amp;IFERROR(VLOOKUP(SUBSTITUTE(SUBSTITUTE(SUBSTITUTE($FB3,"~","~~"),"*","~*"),"?","~?"),'DADOS_ENTIDADES'!$AI$2:$AL$35,3,FALSE),"")))</f>
        <v/>
      </c>
      <c r="IT3" s="164">
        <f>IF($FC3="","",IF(22&gt;$FO3,"⚠ Este talento abre no nível 22",IF($IL3&gt;3,"⚠ Categoria "&amp;$IL3&amp;": este ganho vai até a 3 · ","")&amp;IFERROR(VLOOKUP(SUBSTITUTE(SUBSTITUTE(SUBSTITUTE($FC3,"~","~~"),"*","~*"),"?","~?"),'DADOS_ENTIDADES'!$AI$2:$AL$35,3,FALSE),"")))</f>
        <v/>
      </c>
      <c r="IU3" s="164">
        <f>IF($FD3="","",IF(26&gt;$FO3,"⚠ Este talento abre no nível 26",IF($IM3&gt;3,"⚠ Categoria "&amp;$IM3&amp;": este ganho vai até a 3 · ","")&amp;IFERROR(VLOOKUP(SUBSTITUTE(SUBSTITUTE(SUBSTITUTE($FD3,"~","~~"),"*","~*"),"?","~?"),'DADOS_ENTIDADES'!$AI$2:$AL$35,3,FALSE),"")))</f>
        <v/>
      </c>
      <c r="IV3" s="164">
        <f>IF($FE3="","",IF(30&gt;$FO3,"⚠ Este talento abre no nível 30",IF($IN3&gt;3,"⚠ Categoria "&amp;$IN3&amp;": este ganho vai até a 3 · ","")&amp;IFERROR(VLOOKUP(SUBSTITUTE(SUBSTITUTE(SUBSTITUTE($FE3,"~","~~"),"*","~*"),"?","~?"),'DADOS_ENTIDADES'!$AI$2:$AL$35,3,FALSE),"")))</f>
        <v/>
      </c>
      <c r="IW3" s="164">
        <f>IF($FF3="","",IFERROR(VLOOKUP(SUBSTITUTE(SUBSTITUTE(SUBSTITUTE($FF3,"~","~~"),"*","~*"),"?","~?"),'DADOS_ENTIDADES'!$AI$2:$AL$35,3,FALSE),""))</f>
        <v/>
      </c>
      <c r="IX3" s="164">
        <f>IF($FG3="","",IFERROR(VLOOKUP(SUBSTITUTE(SUBSTITUTE(SUBSTITUTE($FG3,"~","~~"),"*","~*"),"?","~?"),'DADOS_ENTIDADES'!$AI$2:$AL$35,3,FALSE),""))</f>
        <v/>
      </c>
      <c r="IY3" s="164">
        <f>IF($FH3="","",IFERROR(VLOOKUP(SUBSTITUTE(SUBSTITUTE(SUBSTITUTE($FH3,"~","~~"),"*","~*"),"?","~?"),'DADOS_ENTIDADES'!$AI$2:$AL$35,3,FALSE),""))</f>
        <v/>
      </c>
      <c r="IZ3" s="164">
        <f>CEILING(4.5*$FI3,1)&amp;" PE"</f>
        <v/>
      </c>
      <c r="JA3" s="164">
        <f>CEILING(4.5*$FJ3,1)&amp;" PE"</f>
        <v/>
      </c>
      <c r="JB3" s="164">
        <f>CEILING(4.5*$FK3,1)&amp;" PE"</f>
        <v/>
      </c>
      <c r="JC3" s="164">
        <f>INDEX($P$2:$P$8,$FI3)&amp;" pontos + "&amp;$FI3&amp;"d8"</f>
        <v/>
      </c>
      <c r="JD3" s="164">
        <f>INDEX($P$2:$P$8,$FJ3)&amp;" pontos + "&amp;$FJ3&amp;"d8"</f>
        <v/>
      </c>
      <c r="JE3" s="164">
        <f>INDEX($P$2:$P$8,$FK3)&amp;" pontos + "&amp;$FK3&amp;"d8"</f>
        <v/>
      </c>
      <c r="JF3" s="164">
        <f>IF($FO3&lt;17,"—",VLOOKUP($FO3,$CP$2:$CS$4,4,TRUE)&amp;" PE")</f>
        <v/>
      </c>
      <c r="JG3" s="164">
        <f>IF($FO3&lt;17,"Abre no nível 17",VLOOKUP($FO3,$CP$2:$CS$4,2,TRUE)&amp;" fixos · "&amp;VLOOKUP($FO3,$CP$2:$CS$4,3,TRUE)&amp;" pontos")</f>
        <v/>
      </c>
      <c r="JH3" s="164">
        <f>IF($FL3="Sem Barreiras",7,6)*$FP3&amp;" PE"</f>
        <v/>
      </c>
      <c r="JI3" s="164">
        <f>"Acerto "&amp;MAX(0,INDEX($P$2:$P$8,$FP3)-INDEX($I$2:$N$8,$FP3,2+3*IF(AND(IFERROR(VLOOKUP(SUBSTITUTE(SUBSTITUTE(SUBSTITUTE("Inescapável","~","~~"),"*","~*"),"?","~?"),'DADOS_MELHORIAS'!$AG$2:$AL$113,2,FALSE),"")&lt;&gt;"",COUNTIF($RB$3:$RJ$3,IFERROR(VLOOKUP(SUBSTITUTE(SUBSTITUTE(SUBSTITUTE("Inescapável","~","~~"),"*","~*"),"?","~?"),'DADOS_MELHORIAS'!$AG$2:$AL$113,2,FALSE),""))&gt;0),1,0)))&amp;"d8"</f>
        <v/>
      </c>
      <c r="JJ3" s="164">
        <f>IFERROR(VLOOKUP($FL3,$CU$2:$CW$4,3,FALSE),"Escolha o degrau")</f>
        <v/>
      </c>
      <c r="JK3" s="164">
        <f>2&amp;" · "&amp;IF($FM3=0,"vazia",$DE3&amp;" · nv "&amp;$FO3&amp;" · "&amp;$GH3&amp;"/"&amp;$GF3)</f>
        <v/>
      </c>
      <c r="JO3" s="162" t="inlineStr">
        <is>
          <t>Invocação 2</t>
        </is>
      </c>
      <c r="JP3" s="164">
        <f>ADDRESS(ROW('INVOCAÇÕES'!D22),COLUMN('INVOCAÇÕES'!D22),4)</f>
        <v/>
      </c>
      <c r="JQ3" s="164">
        <f>ADDRESS(ROW('INVOCAÇÕES'!H220),COLUMN('INVOCAÇÕES'!H220),4)</f>
        <v/>
      </c>
      <c r="JR3" s="162" t="inlineStr">
        <is>
          <t>DADOS_INVOC!$JK$3</t>
        </is>
      </c>
      <c r="JT3" s="164">
        <f>IF(OR($AW3="",(COUNTIF($EL$2:$EP$2,$AW3)+COUNTIF($QV$2:$QY$2,$AW3))&gt;0),$AV3,"")</f>
        <v/>
      </c>
      <c r="JU3" s="164">
        <f>IF(AND($AX3=1,OR($AW3="",(COUNTIF($EL$2:$EP$2,$AW3)+COUNTIF($QV$2:$QY$2,$AW3))&gt;0)),$AV3,"")</f>
        <v/>
      </c>
      <c r="JW3" s="164">
        <f>IF(OR($W3="",(COUNTIF($EL$2:$EP$2,$W3)+COUNTIF($QV$2:$QY$2,$W3))&gt;0),$V3,"")</f>
        <v/>
      </c>
      <c r="JX3" s="164">
        <f>IF(AND($AF3=1,OR($W3="",(COUNTIF($EL$2:$EP$2,$W3)+COUNTIF($QV$2:$QY$2,$W3))&gt;0)),$V3,"")</f>
        <v/>
      </c>
      <c r="JZ3" s="164">
        <f>IF(OR($AW3="",(COUNTIF($EL$3:$EP$3,$AW3)+COUNTIF($QV$3:$QY$3,$AW3))&gt;0),$AV3,"")</f>
        <v/>
      </c>
      <c r="KA3" s="164">
        <f>IF(AND($AX3=1,OR($AW3="",(COUNTIF($EL$3:$EP$3,$AW3)+COUNTIF($QV$3:$QY$3,$AW3))&gt;0)),$AV3,"")</f>
        <v/>
      </c>
      <c r="KC3" s="164">
        <f>IF(OR($W3="",(COUNTIF($EL$3:$EP$3,$W3)+COUNTIF($QV$3:$QY$3,$W3))&gt;0),$V3,"")</f>
        <v/>
      </c>
      <c r="KD3" s="164">
        <f>IF(AND($AF3=1,OR($W3="",(COUNTIF($EL$3:$EP$3,$W3)+COUNTIF($QV$3:$QY$3,$W3))&gt;0)),$V3,"")</f>
        <v/>
      </c>
      <c r="KF3" s="164">
        <f>IF(OR($AW3="",(COUNTIF($EL$4:$EP$4,$AW3)+COUNTIF($QV$4:$QY$4,$AW3))&gt;0),$AV3,"")</f>
        <v/>
      </c>
      <c r="KG3" s="164">
        <f>IF(AND($AX3=1,OR($AW3="",(COUNTIF($EL$4:$EP$4,$AW3)+COUNTIF($QV$4:$QY$4,$AW3))&gt;0)),$AV3,"")</f>
        <v/>
      </c>
      <c r="KI3" s="164">
        <f>IF(OR($W3="",(COUNTIF($EL$4:$EP$4,$W3)+COUNTIF($QV$4:$QY$4,$W3))&gt;0),$V3,"")</f>
        <v/>
      </c>
      <c r="KJ3" s="164">
        <f>IF(AND($AF3=1,OR($W3="",(COUNTIF($EL$4:$EP$4,$W3)+COUNTIF($QV$4:$QY$4,$W3))&gt;0)),$V3,"")</f>
        <v/>
      </c>
      <c r="KL3" s="164">
        <f>IF(OR($AW3="",(COUNTIF($EL$5:$EP$5,$AW3)+COUNTIF($QV$5:$QY$5,$AW3))&gt;0),$AV3,"")</f>
        <v/>
      </c>
      <c r="KM3" s="164">
        <f>IF(AND($AX3=1,OR($AW3="",(COUNTIF($EL$5:$EP$5,$AW3)+COUNTIF($QV$5:$QY$5,$AW3))&gt;0)),$AV3,"")</f>
        <v/>
      </c>
      <c r="KO3" s="164">
        <f>IF(OR($W3="",(COUNTIF($EL$5:$EP$5,$W3)+COUNTIF($QV$5:$QY$5,$W3))&gt;0),$V3,"")</f>
        <v/>
      </c>
      <c r="KP3" s="164">
        <f>IF(AND($AF3=1,OR($W3="",(COUNTIF($EL$5:$EP$5,$W3)+COUNTIF($QV$5:$QY$5,$W3))&gt;0)),$V3,"")</f>
        <v/>
      </c>
      <c r="KR3" s="164">
        <f>IF(OR($AW3="",(COUNTIF($EL$6:$EP$6,$AW3)+COUNTIF($QV$6:$QY$6,$AW3))&gt;0),$AV3,"")</f>
        <v/>
      </c>
      <c r="KS3" s="164">
        <f>IF(AND($AX3=1,OR($AW3="",(COUNTIF($EL$6:$EP$6,$AW3)+COUNTIF($QV$6:$QY$6,$AW3))&gt;0)),$AV3,"")</f>
        <v/>
      </c>
      <c r="KU3" s="164">
        <f>IF(OR($W3="",(COUNTIF($EL$6:$EP$6,$W3)+COUNTIF($QV$6:$QY$6,$W3))&gt;0),$V3,"")</f>
        <v/>
      </c>
      <c r="KV3" s="164">
        <f>IF(AND($AF3=1,OR($W3="",(COUNTIF($EL$6:$EP$6,$W3)+COUNTIF($QV$6:$QY$6,$W3))&gt;0)),$V3,"")</f>
        <v/>
      </c>
      <c r="KX3" s="164">
        <f>IF(OR($AW3="",(COUNTIF($EL$7:$EP$7,$AW3)+COUNTIF($QV$7:$QY$7,$AW3))&gt;0),$AV3,"")</f>
        <v/>
      </c>
      <c r="KY3" s="164">
        <f>IF(AND($AX3=1,OR($AW3="",(COUNTIF($EL$7:$EP$7,$AW3)+COUNTIF($QV$7:$QY$7,$AW3))&gt;0)),$AV3,"")</f>
        <v/>
      </c>
      <c r="LA3" s="164">
        <f>IF(OR($W3="",(COUNTIF($EL$7:$EP$7,$W3)+COUNTIF($QV$7:$QY$7,$W3))&gt;0),$V3,"")</f>
        <v/>
      </c>
      <c r="LB3" s="164">
        <f>IF(AND($AF3=1,OR($W3="",(COUNTIF($EL$7:$EP$7,$W3)+COUNTIF($QV$7:$QY$7,$W3))&gt;0)),$V3,"")</f>
        <v/>
      </c>
      <c r="LD3" s="164">
        <f>IF(OR($AW3="",(COUNTIF($EL$8:$EP$8,$AW3)+COUNTIF($QV$8:$QY$8,$AW3))&gt;0),$AV3,"")</f>
        <v/>
      </c>
      <c r="LE3" s="164">
        <f>IF(AND($AX3=1,OR($AW3="",(COUNTIF($EL$8:$EP$8,$AW3)+COUNTIF($QV$8:$QY$8,$AW3))&gt;0)),$AV3,"")</f>
        <v/>
      </c>
      <c r="LG3" s="164">
        <f>IF(OR($W3="",(COUNTIF($EL$8:$EP$8,$W3)+COUNTIF($QV$8:$QY$8,$W3))&gt;0),$V3,"")</f>
        <v/>
      </c>
      <c r="LH3" s="164">
        <f>IF(AND($AF3=1,OR($W3="",(COUNTIF($EL$8:$EP$8,$W3)+COUNTIF($QV$8:$QY$8,$W3))&gt;0)),$V3,"")</f>
        <v/>
      </c>
      <c r="LJ3" s="164">
        <f>IF(OR($AW3="",(COUNTIF($EL$9:$EP$9,$AW3)+COUNTIF($QV$9:$QY$9,$AW3))&gt;0),$AV3,"")</f>
        <v/>
      </c>
      <c r="LK3" s="164">
        <f>IF(AND($AX3=1,OR($AW3="",(COUNTIF($EL$9:$EP$9,$AW3)+COUNTIF($QV$9:$QY$9,$AW3))&gt;0)),$AV3,"")</f>
        <v/>
      </c>
      <c r="LM3" s="164">
        <f>IF(OR($W3="",(COUNTIF($EL$9:$EP$9,$W3)+COUNTIF($QV$9:$QY$9,$W3))&gt;0),$V3,"")</f>
        <v/>
      </c>
      <c r="LN3" s="164">
        <f>IF(AND($AF3=1,OR($W3="",(COUNTIF($EL$9:$EP$9,$W3)+COUNTIF($QV$9:$QY$9,$W3))&gt;0)),$V3,"")</f>
        <v/>
      </c>
      <c r="LP3" s="164">
        <f>IF(OR($AW3="",(COUNTIF($EL$10:$EP$10,$AW3)+COUNTIF($QV$10:$QY$10,$AW3))&gt;0),$AV3,"")</f>
        <v/>
      </c>
      <c r="LQ3" s="164">
        <f>IF(AND($AX3=1,OR($AW3="",(COUNTIF($EL$10:$EP$10,$AW3)+COUNTIF($QV$10:$QY$10,$AW3))&gt;0)),$AV3,"")</f>
        <v/>
      </c>
      <c r="LS3" s="164">
        <f>IF(OR($W3="",(COUNTIF($EL$10:$EP$10,$W3)+COUNTIF($QV$10:$QY$10,$W3))&gt;0),$V3,"")</f>
        <v/>
      </c>
      <c r="LT3" s="164">
        <f>IF(AND($AF3=1,OR($W3="",(COUNTIF($EL$10:$EP$10,$W3)+COUNTIF($QV$10:$QY$10,$W3))&gt;0)),$V3,"")</f>
        <v/>
      </c>
      <c r="LV3" s="164">
        <f>IF(OR($AW3="",(COUNTIF($EL$11:$EP$11,$AW3)+COUNTIF($QV$11:$QY$11,$AW3))&gt;0),$AV3,"")</f>
        <v/>
      </c>
      <c r="LW3" s="164">
        <f>IF(AND($AX3=1,OR($AW3="",(COUNTIF($EL$11:$EP$11,$AW3)+COUNTIF($QV$11:$QY$11,$AW3))&gt;0)),$AV3,"")</f>
        <v/>
      </c>
      <c r="LY3" s="164">
        <f>IF(OR($W3="",(COUNTIF($EL$11:$EP$11,$W3)+COUNTIF($QV$11:$QY$11,$W3))&gt;0),$V3,"")</f>
        <v/>
      </c>
      <c r="LZ3" s="164">
        <f>IF(AND($AF3=1,OR($W3="",(COUNTIF($EL$11:$EP$11,$W3)+COUNTIF($QV$11:$QY$11,$W3))&gt;0)),$V3,"")</f>
        <v/>
      </c>
      <c r="MB3" s="164">
        <f>IF(OR($AW3="",(COUNTIF($EL$12:$EP$12,$AW3)+COUNTIF($QV$12:$QY$12,$AW3))&gt;0),$AV3,"")</f>
        <v/>
      </c>
      <c r="MC3" s="164">
        <f>IF(AND($AX3=1,OR($AW3="",(COUNTIF($EL$12:$EP$12,$AW3)+COUNTIF($QV$12:$QY$12,$AW3))&gt;0)),$AV3,"")</f>
        <v/>
      </c>
      <c r="ME3" s="164">
        <f>IF(OR($W3="",(COUNTIF($EL$12:$EP$12,$W3)+COUNTIF($QV$12:$QY$12,$W3))&gt;0),$V3,"")</f>
        <v/>
      </c>
      <c r="MF3" s="164">
        <f>IF(AND($AF3=1,OR($W3="",(COUNTIF($EL$12:$EP$12,$W3)+COUNTIF($QV$12:$QY$12,$W3))&gt;0)),$V3,"")</f>
        <v/>
      </c>
      <c r="MH3" s="164">
        <f>IF(OR($AW3="",(COUNTIF($EL$13:$EP$13,$AW3)+COUNTIF($QV$13:$QY$13,$AW3))&gt;0),$AV3,"")</f>
        <v/>
      </c>
      <c r="MI3" s="164">
        <f>IF(AND($AX3=1,OR($AW3="",(COUNTIF($EL$13:$EP$13,$AW3)+COUNTIF($QV$13:$QY$13,$AW3))&gt;0)),$AV3,"")</f>
        <v/>
      </c>
      <c r="MK3" s="164">
        <f>IF(OR($W3="",(COUNTIF($EL$13:$EP$13,$W3)+COUNTIF($QV$13:$QY$13,$W3))&gt;0),$V3,"")</f>
        <v/>
      </c>
      <c r="ML3" s="164">
        <f>IF(AND($AF3=1,OR($W3="",(COUNTIF($EL$13:$EP$13,$W3)+COUNTIF($QV$13:$QY$13,$W3))&gt;0)),$V3,"")</f>
        <v/>
      </c>
      <c r="MN3" s="162" t="inlineStr">
        <is>
          <t>Ficha 1 · Especial 1</t>
        </is>
      </c>
      <c r="MO3" s="164" t="n">
        <v>1</v>
      </c>
      <c r="MP3" s="164" t="n">
        <v>1</v>
      </c>
      <c r="MQ3" s="164" t="n">
        <v>1</v>
      </c>
      <c r="MR3" s="162" t="inlineStr">
        <is>
          <t>ESPECIAL 1</t>
        </is>
      </c>
      <c r="MS3" s="164">
        <f>MAX(1,MIN(7,N('INVOCAÇÕES'!$O$71)))</f>
        <v/>
      </c>
      <c r="MT3" s="164">
        <f>'INVOCAÇÕES'!$P$71&amp;""</f>
        <v/>
      </c>
      <c r="MU3" s="164">
        <f>'INVOCAÇÕES'!$O$76&amp;""</f>
        <v/>
      </c>
      <c r="MV3" s="164">
        <f>'INVOCAÇÕES'!$O$77&amp;""</f>
        <v/>
      </c>
      <c r="MW3" s="164">
        <f>'INVOCAÇÕES'!$Q$77&amp;""</f>
        <v/>
      </c>
      <c r="MX3" s="164">
        <f>'INVOCAÇÕES'!$P$80&amp;""</f>
        <v/>
      </c>
      <c r="MY3" s="164">
        <f>'INVOCAÇÕES'!$P$81&amp;""</f>
        <v/>
      </c>
      <c r="MZ3" s="164">
        <f>'INVOCAÇÕES'!$P$82&amp;""</f>
        <v/>
      </c>
      <c r="NA3" s="164">
        <f>'INVOCAÇÕES'!$P$83&amp;""</f>
        <v/>
      </c>
      <c r="NB3" s="164">
        <f>'INVOCAÇÕES'!$P$84&amp;""</f>
        <v/>
      </c>
      <c r="NC3" s="164">
        <f>'INVOCAÇÕES'!$P$85&amp;""</f>
        <v/>
      </c>
      <c r="ND3" s="164">
        <f>IF($MT3&lt;&gt;"",1,0)</f>
        <v/>
      </c>
      <c r="NE3" s="164">
        <f>INDEX($FO$2:$FO$13,$MO3)</f>
        <v/>
      </c>
      <c r="NF3" s="164">
        <f>INDEX($FP$2:$FP$13,$MO3)</f>
        <v/>
      </c>
      <c r="NG3" s="164">
        <f>INDEX($FQ$2:$FQ$13,$MO3)</f>
        <v/>
      </c>
      <c r="NH3" s="164">
        <f>INDEX($GB$2:$GB$13,$MO3)</f>
        <v/>
      </c>
      <c r="NI3" s="164">
        <f>INDEX($GC$2:$GC$13,$MO3)</f>
        <v/>
      </c>
      <c r="NJ3" s="164">
        <f>IFERROR(MATCH(SUBSTITUTE(SUBSTITUTE(SUBSTITUTE($MU3,"~","~~"),"*","~*"),"?","~?"),'DADOS_FORMAS'!$FZ$2:$FZ$21,0),0)</f>
        <v/>
      </c>
      <c r="NK3" s="164">
        <f>IFERROR(VLOOKUP(SUBSTITUTE(SUBSTITUTE(SUBSTITUTE($MX3,"~","~~"),"*","~*"),"?","~?"),'DADOS_MELHORIAS'!$AG$2:$AL$113,2,FALSE),"")</f>
        <v/>
      </c>
      <c r="NL3" s="164">
        <f>IFERROR(VLOOKUP(SUBSTITUTE(SUBSTITUTE(SUBSTITUTE($MY3,"~","~~"),"*","~*"),"?","~?"),'DADOS_MELHORIAS'!$AG$2:$AL$113,2,FALSE),"")</f>
        <v/>
      </c>
      <c r="NM3" s="164">
        <f>IFERROR(VLOOKUP(SUBSTITUTE(SUBSTITUTE(SUBSTITUTE($MZ3,"~","~~"),"*","~*"),"?","~?"),'DADOS_MELHORIAS'!$AG$2:$AL$113,2,FALSE),"")</f>
        <v/>
      </c>
      <c r="NN3" s="164">
        <f>IFERROR(VLOOKUP(SUBSTITUTE(SUBSTITUTE(SUBSTITUTE($NA3,"~","~~"),"*","~*"),"?","~?"),'DADOS_MELHORIAS'!$AG$2:$AL$113,2,FALSE),"")</f>
        <v/>
      </c>
      <c r="NO3" s="164">
        <f>IFERROR(VLOOKUP(SUBSTITUTE(SUBSTITUTE(SUBSTITUTE($MX3,"~","~~"),"*","~*"),"?","~?"),'DADOS_MELHORIAS'!$AG$2:$AL$113,3,FALSE),0)</f>
        <v/>
      </c>
      <c r="NP3" s="164">
        <f>IFERROR(VLOOKUP(SUBSTITUTE(SUBSTITUTE(SUBSTITUTE($MY3,"~","~~"),"*","~*"),"?","~?"),'DADOS_MELHORIAS'!$AG$2:$AL$113,3,FALSE),0)</f>
        <v/>
      </c>
      <c r="NQ3" s="164">
        <f>IFERROR(VLOOKUP(SUBSTITUTE(SUBSTITUTE(SUBSTITUTE($MZ3,"~","~~"),"*","~*"),"?","~?"),'DADOS_MELHORIAS'!$AG$2:$AL$113,3,FALSE),0)</f>
        <v/>
      </c>
      <c r="NR3" s="164">
        <f>IFERROR(VLOOKUP(SUBSTITUTE(SUBSTITUTE(SUBSTITUTE($NA3,"~","~~"),"*","~*"),"?","~?"),'DADOS_MELHORIAS'!$AG$2:$AL$113,3,FALSE),0)</f>
        <v/>
      </c>
      <c r="NS3" s="164">
        <f>IF($MS3=0,0,IF($NJ3=0,0,INDEX('DADOS_FORMAS'!$GB$2:$GB$21,$NJ3)))</f>
        <v/>
      </c>
      <c r="NT3" s="164">
        <f>IF(OR($NO3=0,$MS3=0),0,$NO3+3*IF(AND($NK3&lt;&gt;"",COUNTIF(INDEX($RB$2:$RJ$13,$MO3,0),$NK3)&gt;0),1,0))</f>
        <v/>
      </c>
      <c r="NU3" s="164">
        <f>IF(OR($NP3=0,$MS3=0),0,$NP3+3*IF(AND($NL3&lt;&gt;"",COUNTIF(INDEX($RB$2:$RJ$13,$MO3,0),$NL3)&gt;0),1,0))</f>
        <v/>
      </c>
      <c r="NV3" s="164">
        <f>IF(OR($NQ3=0,$MS3=0),0,$NQ3+3*IF(AND($NM3&lt;&gt;"",COUNTIF(INDEX($RB$2:$RJ$13,$MO3,0),$NM3)&gt;0),1,0))</f>
        <v/>
      </c>
      <c r="NW3" s="164">
        <f>IF(OR($NR3=0,$MS3=0),0,$NR3+3*IF(AND($NN3&lt;&gt;"",COUNTIF(INDEX($RB$2:$RJ$13,$MO3,0),$NN3)&gt;0),1,0))</f>
        <v/>
      </c>
      <c r="NX3" s="164">
        <f>IF($NJ3=0,0,IF(INDEX('DADOS_FORMAS'!$GA$2:$GA$21,$NJ3)="",0,IF((COUNTIF(INDEX($EL$2:$EP$13,$MO3,0),INDEX('DADOS_FORMAS'!$GA$2:$GA$21,$NJ3))+COUNTIF(INDEX($QV$2:$QY$13,$MO3,0),INDEX('DADOS_FORMAS'!$GA$2:$GA$21,$NJ3)))=0,1,0)))</f>
        <v/>
      </c>
      <c r="NY3" s="164">
        <f>IF(OR($NO3=0,$NK3=""),0,IF((COUNTIF(INDEX($EL$2:$EP$13,$MO3,0),$NK3)+COUNTIF(INDEX($QV$2:$QY$13,$MO3,0),$NK3))=0,1,0))</f>
        <v/>
      </c>
      <c r="NZ3" s="164">
        <f>IF(OR($NP3=0,$NL3=""),0,IF((COUNTIF(INDEX($EL$2:$EP$13,$MO3,0),$NL3)+COUNTIF(INDEX($QV$2:$QY$13,$MO3,0),$NL3))=0,1,0))</f>
        <v/>
      </c>
      <c r="OA3" s="164">
        <f>IF(OR($NQ3=0,$NM3=""),0,IF((COUNTIF(INDEX($EL$2:$EP$13,$MO3,0),$NM3)+COUNTIF(INDEX($QV$2:$QY$13,$MO3,0),$NM3))=0,1,0))</f>
        <v/>
      </c>
      <c r="OB3" s="164">
        <f>IF(OR($NR3=0,$NN3=""),0,IF((COUNTIF(INDEX($EL$2:$EP$13,$MO3,0),$NN3)+COUNTIF(INDEX($QV$2:$QY$13,$MO3,0),$NN3))=0,1,0))</f>
        <v/>
      </c>
      <c r="OC3" s="164">
        <f>IFERROR(VLOOKUP(SUBSTITUTE(SUBSTITUTE(SUBSTITUTE($MX3,"~","~~"),"*","~*"),"?","~?"),'DADOS_MELHORIAS'!$AG$2:$AL$113,4,FALSE),0)+IFERROR(VLOOKUP(SUBSTITUTE(SUBSTITUTE(SUBSTITUTE($MY3,"~","~~"),"*","~*"),"?","~?"),'DADOS_MELHORIAS'!$AG$2:$AL$113,4,FALSE),0)+IFERROR(VLOOKUP(SUBSTITUTE(SUBSTITUTE(SUBSTITUTE($MZ3,"~","~~"),"*","~*"),"?","~?"),'DADOS_MELHORIAS'!$AG$2:$AL$113,4,FALSE),0)+IFERROR(VLOOKUP(SUBSTITUTE(SUBSTITUTE(SUBSTITUTE($NA3,"~","~~"),"*","~*"),"?","~?"),'DADOS_MELHORIAS'!$AG$2:$AL$113,4,FALSE),0)</f>
        <v/>
      </c>
      <c r="OD3" s="164">
        <f>IFERROR(VLOOKUP(SUBSTITUTE(SUBSTITUTE(SUBSTITUTE($MX3,"~","~~"),"*","~*"),"?","~?"),'DADOS_MELHORIAS'!$AG$2:$AL$113,6,FALSE),0)+IFERROR(VLOOKUP(SUBSTITUTE(SUBSTITUTE(SUBSTITUTE($MY3,"~","~~"),"*","~*"),"?","~?"),'DADOS_MELHORIAS'!$AG$2:$AL$113,6,FALSE),0)+IFERROR(VLOOKUP(SUBSTITUTE(SUBSTITUTE(SUBSTITUTE($MZ3,"~","~~"),"*","~*"),"?","~?"),'DADOS_MELHORIAS'!$AG$2:$AL$113,6,FALSE),0)+IFERROR(VLOOKUP(SUBSTITUTE(SUBSTITUTE(SUBSTITUTE($NA3,"~","~~"),"*","~*"),"?","~?"),'DADOS_MELHORIAS'!$AG$2:$AL$113,6,FALSE),0)+IFERROR(N(AND(INDEX('DADOS_FORMAS'!$AO$2:$AO$21,MATCH(SUBSTITUTE(SUBSTITUTE(SUBSTITUTE($MU3,"~","~~"),"*","~*"),"?","~?"),'DADOS_FORMAS'!$AH$2:$AH$21,0))="Acerto",$OH3=1)),0)</f>
        <v/>
      </c>
      <c r="OE3" s="164">
        <f>TEXTJOIN(", ",TRUE,IF(IFERROR(VLOOKUP(SUBSTITUTE(SUBSTITUTE(SUBSTITUTE($MX3,"~","~~"),"*","~*"),"?","~?"),'DADOS_MELHORIAS'!$AG$2:$AL$113,5,FALSE),0)=1,$MX3,""),IF(IFERROR(VLOOKUP(SUBSTITUTE(SUBSTITUTE(SUBSTITUTE($MY3,"~","~~"),"*","~*"),"?","~?"),'DADOS_MELHORIAS'!$AG$2:$AL$113,5,FALSE),0)=1,$MY3,""),IF(IFERROR(VLOOKUP(SUBSTITUTE(SUBSTITUTE(SUBSTITUTE($MZ3,"~","~~"),"*","~*"),"?","~?"),'DADOS_MELHORIAS'!$AG$2:$AL$113,5,FALSE),0)=1,$MZ3,""),IF(IFERROR(VLOOKUP(SUBSTITUTE(SUBSTITUTE(SUBSTITUTE($NA3,"~","~~"),"*","~*"),"?","~?"),'DADOS_MELHORIAS'!$AG$2:$AL$113,5,FALSE),0)=1,$NA3,""))</f>
        <v/>
      </c>
      <c r="OF3" s="164">
        <f>IF($NJ3=0,0,INDEX('DADOS_FORMAS'!$GC$2:$GC$21,$NJ3))</f>
        <v/>
      </c>
      <c r="OG3" s="164">
        <f>IF($NJ3=0,0,INDEX('DADOS_FORMAS'!$GD$2:$GD$21,$NJ3))</f>
        <v/>
      </c>
      <c r="OH3" s="164">
        <f>IF($NJ3=0,0,INDEX('DADOS_FORMAS'!$GF$2:$GF$21,$NJ3))</f>
        <v/>
      </c>
      <c r="OI3" s="164">
        <f>IFERROR(VLOOKUP(SUBSTITUTE(SUBSTITUTE(SUBSTITUTE($NB3,"~","~~"),"*","~*"),"?","~?"),'DADOS_RESTRICOES'!$M$2:$Q$54,3,FALSE),0)</f>
        <v/>
      </c>
      <c r="OJ3" s="164">
        <f>IFERROR(VLOOKUP(SUBSTITUTE(SUBSTITUTE(SUBSTITUTE($NC3,"~","~~"),"*","~*"),"?","~?"),'DADOS_RESTRICOES'!$M$2:$Q$54,3,FALSE),0)</f>
        <v/>
      </c>
      <c r="OK3" s="164">
        <f>IFERROR(VLOOKUP(SUBSTITUTE(SUBSTITUTE(SUBSTITUTE($NB3,"~","~~"),"*","~*"),"?","~?"),'DADOS_RESTRICOES'!$M$2:$Q$54,2,FALSE),"")</f>
        <v/>
      </c>
      <c r="OL3" s="164">
        <f>IFERROR(VLOOKUP(SUBSTITUTE(SUBSTITUTE(SUBSTITUTE($NC3,"~","~~"),"*","~*"),"?","~?"),'DADOS_RESTRICOES'!$M$2:$Q$54,2,FALSE),"")</f>
        <v/>
      </c>
      <c r="OM3" s="164">
        <f>COUNTIF($NS3:$NW3,1)</f>
        <v/>
      </c>
      <c r="ON3" s="164">
        <f>COUNTIF($NS3:$NW3,2)</f>
        <v/>
      </c>
      <c r="OO3" s="164">
        <f>COUNTIF($NS3:$NW3,3)</f>
        <v/>
      </c>
      <c r="OP3" s="164">
        <f>COUNTIF($NS3:$NW3,4)</f>
        <v/>
      </c>
      <c r="OQ3" s="164">
        <f>COUNTIF($NS3:$NW3,5)</f>
        <v/>
      </c>
      <c r="OR3" s="164">
        <f>COUNTIF($NS3:$NW3,6)</f>
        <v/>
      </c>
      <c r="OS3" s="164">
        <f>COUNTIF($OI3:$OJ3,1)+IF(IFERROR(INDEX('DADOS_FORMAS'!$AS$2:$AS$21,MATCH(SUBSTITUTE(SUBSTITUTE(SUBSTITUTE($MU3,"~","~~"),"*","~*"),"?","~?"),'DADOS_FORMAS'!$AH$2:$AH$21,0)),"")="",0,IFERROR(N(VLOOKUP(SUBSTITUTE(SUBSTITUTE(SUBSTITUTE(IFERROR(INDEX('DADOS_FORMAS'!$AS$2:$AS$21,MATCH(SUBSTITUTE(SUBSTITUTE(SUBSTITUTE($MU3,"~","~~"),"*","~*"),"?","~?"),'DADOS_FORMAS'!$AH$2:$AH$21,0)),""),"~","~~"),"*","~*"),"?","~?"),'DADOS_RESTRICOES'!$M$2:$Q$54,3,FALSE)=1),0))</f>
        <v/>
      </c>
      <c r="OT3" s="164">
        <f>COUNTIF($OI3:$OJ3,2)+IF(IFERROR(INDEX('DADOS_FORMAS'!$AS$2:$AS$21,MATCH(SUBSTITUTE(SUBSTITUTE(SUBSTITUTE($MU3,"~","~~"),"*","~*"),"?","~?"),'DADOS_FORMAS'!$AH$2:$AH$21,0)),"")="",0,IFERROR(N(VLOOKUP(SUBSTITUTE(SUBSTITUTE(SUBSTITUTE(IFERROR(INDEX('DADOS_FORMAS'!$AS$2:$AS$21,MATCH(SUBSTITUTE(SUBSTITUTE(SUBSTITUTE($MU3,"~","~~"),"*","~*"),"?","~?"),'DADOS_FORMAS'!$AH$2:$AH$21,0)),""),"~","~~"),"*","~*"),"?","~?"),'DADOS_RESTRICOES'!$M$2:$Q$54,3,FALSE)=2),0))</f>
        <v/>
      </c>
      <c r="OU3" s="164">
        <f>COUNTIF($MX3:$NA3,"?*")</f>
        <v/>
      </c>
      <c r="OV3" s="164">
        <f>COUNTIF($NB3:$NC3,"?*")+$OF3</f>
        <v/>
      </c>
      <c r="OW3" s="164">
        <f>IF($MS3=0,0,SUMPRODUCT($OM3:$OR3,INDEX($I$2:$N$8,MAX(1,$MS3),0)))</f>
        <v/>
      </c>
      <c r="OX3" s="164">
        <f>IF($MS3=0,0,$OS3*CEILING($MS3/2,1)+$OT3*$MS3)</f>
        <v/>
      </c>
      <c r="OY3" s="164">
        <f>MIN(2*$MS3,$OX3)</f>
        <v/>
      </c>
      <c r="OZ3" s="164">
        <f>MIN($OY3,$OW3-IF($NS3=0,0,INDEX($I$2:$N$8,MAX(1,$MS3),$NS3)))</f>
        <v/>
      </c>
      <c r="PA3" s="164">
        <f>$OY3-$OZ3</f>
        <v/>
      </c>
      <c r="PB3" s="164">
        <f>IF($MS3=0,0,INDEX($P$2:$P$8,MAX(1,$MS3)))</f>
        <v/>
      </c>
      <c r="PC3" s="164">
        <f>$PB3-$OW3+$OZ3</f>
        <v/>
      </c>
      <c r="PD3" s="164">
        <f>IF($MS3=0,MAX(0,$NG3-IF(AND($OU3&gt;0,COUNTIF($NB3:$NC3,"?*")=0),1,0)),MAX(0,$PC3))</f>
        <v/>
      </c>
      <c r="PE3" s="164">
        <f>IF($MS3=0,0,(IF(COUNTIF($RK3:$RN3,"Salto")&gt;0,1,0)+IF(COUNTIF($RK3:$RN3,"Queima")&gt;0,1,0)+IF(COUNTIF($RK3:$RN3,"Estilhaço")&gt;0,1,0))*FLOOR($PD3/2,1))</f>
        <v/>
      </c>
      <c r="PF3" s="164">
        <f>MAX(0,2-SUMPRODUCT($OM3:$OR3,$I$2:$N$2)+MIN(2,$OS3*1+$OT3*1,SUMPRODUCT($OM3:$OR3,$I$2:$N$2)-IF($NS3=0,0,INDEX($I$2:$N$2,1,$NS3))))</f>
        <v/>
      </c>
      <c r="PG3" s="164">
        <f>MAX(0,4-SUMPRODUCT($OM3:$OR3,$I$3:$N$3)+MIN(4,$OS3*1+$OT3*2,SUMPRODUCT($OM3:$OR3,$I$3:$N$3)-IF($NS3=0,0,INDEX($I$3:$N$3,1,$NS3))))</f>
        <v/>
      </c>
      <c r="PH3" s="164">
        <f>MAX(0,6-SUMPRODUCT($OM3:$OR3,$I$4:$N$4)+MIN(6,$OS3*2+$OT3*3,SUMPRODUCT($OM3:$OR3,$I$4:$N$4)-IF($NS3=0,0,INDEX($I$4:$N$4,1,$NS3))))</f>
        <v/>
      </c>
      <c r="PI3" s="164">
        <f>MAX(0,9-SUMPRODUCT($OM3:$OR3,$I$5:$N$5)+MIN(8,$OS3*2+$OT3*4,SUMPRODUCT($OM3:$OR3,$I$5:$N$5)-IF($NS3=0,0,INDEX($I$5:$N$5,1,$NS3))))</f>
        <v/>
      </c>
      <c r="PJ3" s="164">
        <f>MAX(0,11-SUMPRODUCT($OM3:$OR3,$I$6:$N$6)+MIN(10,$OS3*3+$OT3*5,SUMPRODUCT($OM3:$OR3,$I$6:$N$6)-IF($NS3=0,0,INDEX($I$6:$N$6,1,$NS3))))</f>
        <v/>
      </c>
      <c r="PK3" s="164">
        <f>MAX(0,13-SUMPRODUCT($OM3:$OR3,$I$7:$N$7)+MIN(12,$OS3*3+$OT3*6,SUMPRODUCT($OM3:$OR3,$I$7:$N$7)-IF($NS3=0,0,INDEX($I$7:$N$7,1,$NS3))))</f>
        <v/>
      </c>
      <c r="PL3" s="164">
        <f>MAX(0,16-SUMPRODUCT($OM3:$OR3,$I$8:$N$8)+MIN(14,$OS3*4+$OT3*7,SUMPRODUCT($OM3:$OR3,$I$8:$N$8)-IF($NS3=0,0,INDEX($I$8:$N$8,1,$NS3))))</f>
        <v/>
      </c>
      <c r="PM3" s="164">
        <f>IF($OG3=2,3*$PF3&amp;" de vida temp.",IF($OG3=3,"sem dano",IF($PF3=0,IF($OG3=1,"sem cura","sem dano"),IF($OG3=1,"cura ","")&amp;$PF3&amp;"d8")))</f>
        <v/>
      </c>
      <c r="PN3" s="164">
        <f>IF($OG3=2,3*$PG3&amp;" de vida temp.",IF($OG3=3,"sem dano",IF($PG3=0,IF($OG3=1,"sem cura","sem dano"),IF($OG3=1,"cura ","")&amp;$PG3&amp;"d8")))</f>
        <v/>
      </c>
      <c r="PO3" s="164">
        <f>IF($OG3=2,3*$PH3&amp;" de vida temp.",IF($OG3=3,"sem dano",IF($PH3=0,IF($OG3=1,"sem cura","sem dano"),IF($OG3=1,"cura ","")&amp;$PH3&amp;"d8")))</f>
        <v/>
      </c>
      <c r="PP3" s="164">
        <f>IF($OG3=2,3*$PI3&amp;" de vida temp.",IF($OG3=3,"sem dano",IF($PI3=0,IF($OG3=1,"sem cura","sem dano"),IF($OG3=1,"cura ","")&amp;$PI3&amp;"d8")))</f>
        <v/>
      </c>
      <c r="PQ3" s="164">
        <f>IF($OG3=2,3*$PJ3&amp;" de vida temp.",IF($OG3=3,"sem dano",IF($PJ3=0,IF($OG3=1,"sem cura","sem dano"),IF($OG3=1,"cura ","")&amp;$PJ3&amp;"d8")))</f>
        <v/>
      </c>
      <c r="PR3" s="164">
        <f>IF($OG3=2,3*$PK3&amp;" de vida temp.",IF($OG3=3,"sem dano",IF($PK3=0,IF($OG3=1,"sem cura","sem dano"),IF($OG3=1,"cura ","")&amp;$PK3&amp;"d8")))</f>
        <v/>
      </c>
      <c r="PS3" s="164">
        <f>IF($OG3=2,3*$PL3&amp;" de vida temp.",IF($OG3=3,"sem dano",IF($PL3=0,IF($OG3=1,"sem cura","sem dano"),IF($OG3=1,"cura ","")&amp;$PL3&amp;"d8")))</f>
        <v/>
      </c>
      <c r="PT3" s="164">
        <f>IF($ND3=0,"",TEXTJOIN(" · ",TRUE,IF($ND3=0,"",TEXTJOIN(" · ",TRUE,IF($ND3=0,"",TEXTJOIN(" · ",TRUE,IF($MQ3&gt;$NE3,"Este lugar abre no nível "&amp;$MQ3,""),IF($MS3&gt;$NF3,"Classe "&amp;$MS3&amp;": o nível "&amp;$NE3&amp;" libera até a "&amp;$NF3,""),IF($NX3=1,"A Forma "&amp;$MU3&amp;" pede "&amp;INDEX('DADOS_FORMAS'!$GA$2:$GA$21,$NJ3)&amp;" aberta",""),IF(AND($MS3=0,$NJ3&gt;0,IF($NJ3=0,0,INDEX('DADOS_FORMAS'!$GJ$2:$GJ$21,$NJ3))=0),$MU3&amp;" não existe na Classe 0",""),IF($NY3=1,"Família Fechada: "&amp;$MX3,""),IF($NZ3=1,"Família Fechada: "&amp;$MY3,""),IF($OA3=1,"Família Fechada: "&amp;$MZ3,""),IF($OB3=1,"Família Fechada: "&amp;$NA3,""),IF(AND($MS3&gt;0,$OU3&gt;INDEX($O$2:$O$8,MAX(1,$MS3))),$OU3&amp;" Melhorias: a Classe "&amp;$MS3&amp;" aceita "&amp;INDEX($O$2:$O$8,MAX(1,$MS3)),""),IF(AND($MS3=0,$OU3&gt;1),"A básica aceita uma Melhoria",""),IF(AND($MS3=0,COUNTIF($NO3:$NR3,"&gt;1")&gt;0),"A básica só aceita Melhoria Leve",""),IF(AND($MS3&gt;0,$OV3&gt;2),$OV3&amp;" Restrições"&amp;IF($OF3=1,", contando a que a Forma "&amp;$MU3&amp;" já traz","")&amp;": o limite é 2",""),IF(AND($MS3=0,COUNTIF($NB3:$NC3,"?*")&gt;1),"A básica aceita uma Restrição Leve",""),IF(AND($MS3=0,COUNTIF($OI3:$OJ3,2)&gt;0),"A básica só aceita Restrição Leve",""),IF(AND($MS3&gt;0,$PC3&lt;0),"Orçamento estourado: faltam "&amp;(-$PC3)&amp;IF($PC3&lt;-1," pontos"," ponto"),""),IF(IFERROR(VLOOKUP(SUBSTITUTE(SUBSTITUTE(SUBSTITUTE($NB3,"~","~~"),"*","~*"),"?","~?"),'DADOS_RESTRICOES'!$M$2:$Q$54,4,FALSE),0)+IFERROR(VLOOKUP(SUBSTITUTE(SUBSTITUTE(SUBSTITUTE($NC3,"~","~~"),"*","~*"),"?","~?"),'DADOS_RESTRICOES'!$M$2:$Q$54,4,FALSE),0)&gt;1,$OK3&amp;" e "&amp;$OL3&amp;" são as duas de frequência",""),IF(AND((COUNTIF($RK3:$RN3,"Rápido")+COUNTIF($OK3:$OL3,"Rápido"))&gt;0,(COUNTIF($MX3:$NA3,"Atrasar")+COUNTIF($OK3:$OL3,"Atrasar"))&gt;0),"Rápido não entra com Atrasar",""),IF(AND((COUNTIF($RK3:$RN3,"Reação")+COUNTIF($OK3:$OL3,"Reação"))&gt;0,(COUNTIF($RK3:$RN3,"Rápido")+COUNTIF($OK3:$OL3,"Rápido"))&gt;0),"Reação não entra com Rápido",""),IF(AND((COUNTIF($RK3:$RN3,"Reação")+COUNTIF($OK3:$OL3,"Reação"))&gt;0,(COUNTIF($RK3:$RN3,"Armado")+COUNTIF($OK3:$OL3,"Armado"))&gt;0),"Reação não entra com Armado",""),IF(AND((COUNTIF($RK3:$RN3,"Reação")+COUNTIF($OK3:$OL3,"Reação"))&gt;0,(COUNTIF($MX3:$NA3,"Atrasar")+COUNTIF($OK3:$OL3,"Atrasar"))&gt;0),"Reação não entra com Atrasar",""),IF(AND((COUNTIF($RK3:$RN3,"Reação")+COUNTIF($OK3:$OL3,"Reação"))&gt;0,(COUNTIF($MX3:$NA3,"Parado")+COUNTIF($OK3:$OL3,"Parado"))&gt;0),"Reação não entra com Parado",""),IF(AND((COUNTIF($MX3:$NA3,"Atrasar")+COUNTIF($OK3:$OL3,"Atrasar"))&gt;0,(COUNTIF($MX3:$NA3,"Parado")+COUNTIF($OK3:$OL3,"Parado"))&gt;0),"Atrasar não entra com Parado",""),IF(AND((COUNTIF($RK3:$RN3,"Armado")+COUNTIF($OK3:$OL3,"Armado"))&gt;0,(COUNTIF($MX3:$NA3,"Carregar")+COUNTIF($OK3:$OL3,"Carregar"))&gt;0),"Armado não entra com Carregar",""),IF(AND(COUNTIF($OK3:$OL3,"Corpo a Corpo")&gt;0,$OF3=0,OR($RO3="Cone",$RO3="Linha")),"Corpo a Corpo não entra em "&amp;$MU3,""),IF(AND(COUNTIF($OK3:$OL3,"Corpo a Corpo")&gt;0,$RP3="Corpo a Corpo"),"A Forma "&amp;$MU3&amp;" já traz o Corpo a Corpo",""),IF(AND(COUNTIF($OK3:$OL3,"Tudo ou Nada")&gt;0,$OH3=0),"Tudo ou Nada só entra em habilidade de Teste de Resistência",""),IF(AND(COUNTIF($RK3:$RN3,"Inescapável")&gt;0,OR($OU3&gt;1,$OV3&gt;0)),"Inescapável não aceita outra peça",""),IF(AND($MS3&gt;0,$PD3*IF(COUNTIF($RK3:$RN3,"Remate")&gt;0,1.25,1)+$PE3&gt;4*$MS3),($PD3*IF(COUNTIF($RK3:$RN3,"Remate")&gt;0,1.25,1)+$PE3)&amp;" dados somando repetições"&amp;IF(COUNTIF($RK3:$RN3,"Remate")&gt;0," e o Remate","")&amp;": o teto da Classe "&amp;$MS3&amp;" é "&amp;4*$MS3,""))),IF(AND($MX3&lt;&gt;"",COUNTIF('DADOS_MELHORIAS'!$O$2:$O$113,SUBSTITUTE(SUBSTITUTE(SUBSTITUTE($MX3,"~","~~"),"*","~*"),"?","~?"))=0),"Melhoria não cadastrada ou com erro: "&amp;$MX3,""),IF(AND($MY3&lt;&gt;"",COUNTIF('DADOS_MELHORIAS'!$O$2:$O$113,SUBSTITUTE(SUBSTITUTE(SUBSTITUTE($MY3,"~","~~"),"*","~*"),"?","~?"))=0),"Melhoria não cadastrada ou com erro: "&amp;$MY3,""),IF(AND($MZ3&lt;&gt;"",COUNTIF('DADOS_MELHORIAS'!$O$2:$O$113,SUBSTITUTE(SUBSTITUTE(SUBSTITUTE($MZ3,"~","~~"),"*","~*"),"?","~?"))=0),"Melhoria não cadastrada ou com erro: "&amp;$MZ3,""),IF(AND($NA3&lt;&gt;"",COUNTIF('DADOS_MELHORIAS'!$O$2:$O$113,SUBSTITUTE(SUBSTITUTE(SUBSTITUTE($NA3,"~","~~"),"*","~*"),"?","~?"))=0),"Melhoria não cadastrada ou com erro: "&amp;$NA3,""),IF(AND($NB3&lt;&gt;"",COUNTIF('DADOS_RESTRICOES'!$M$2:$M$54,SUBSTITUTE(SUBSTITUTE(SUBSTITUTE($NB3,"~","~~"),"*","~*"),"?","~?"))=0),"Restrição não cadastrada ou com erro: "&amp;$NB3,""),IF(AND($NC3&lt;&gt;"",COUNTIF('DADOS_RESTRICOES'!$M$2:$M$54,SUBSTITUTE(SUBSTITUTE(SUBSTITUTE($NC3,"~","~~"),"*","~*"),"?","~?"))=0),"Restrição não cadastrada ou com erro: "&amp;$NC3,""))),IF(AND($MU3&lt;&gt;"",COUNTIF('DADOS_FORMAS'!$AH$2:$AH$21,SUBSTITUTE(SUBSTITUTE(SUBSTITUTE($MU3,"~","~~"),"*","~*"),"?","~?"))=0),"Forma não cadastrada ou com erro: "&amp;$MU3,""),IF(AND(IFERROR(INDEX('DADOS_FORMAS'!$AS$2:$AS$21,MATCH(SUBSTITUTE(SUBSTITUTE(SUBSTITUTE($MU3,"~","~~"),"*","~*"),"?","~?"),'DADOS_FORMAS'!$AH$2:$AH$21,0)),"")&lt;&gt;"",OR(IFERROR(VLOOKUP(SUBSTITUTE(SUBSTITUTE(SUBSTITUTE(IFERROR(INDEX('DADOS_FORMAS'!$AS$2:$AS$21,MATCH(SUBSTITUTE(SUBSTITUTE(SUBSTITUTE($MU3,"~","~~"),"*","~*"),"?","~?"),'DADOS_FORMAS'!$AH$2:$AH$21,0)),""),"~","~~"),"*","~*"),"?","~?"),'DADOS_RESTRICOES'!$M$2:$Q$54,2,FALSE),"")=$OK3,IFERROR(VLOOKUP(SUBSTITUTE(SUBSTITUTE(SUBSTITUTE(IFERROR(INDEX('DADOS_FORMAS'!$AS$2:$AS$21,MATCH(SUBSTITUTE(SUBSTITUTE(SUBSTITUTE($MU3,"~","~~"),"*","~*"),"?","~?"),'DADOS_FORMAS'!$AH$2:$AH$21,0)),""),"~","~~"),"*","~*"),"?","~?"),'DADOS_RESTRICOES'!$M$2:$Q$54,2,FALSE),"")=$OL3)),"Restrição repetida, contando a embutida",""),IF(IF(IFERROR(INDEX('DADOS_FORMAS'!$AS$2:$AS$21,MATCH(SUBSTITUTE(SUBSTITUTE(SUBSTITUTE($MU3,"~","~~"),"*","~*"),"?","~?"),'DADOS_FORMAS'!$AH$2:$AH$21,0)),"")="",0,IFERROR(N(VLOOKUP(SUBSTITUTE(SUBSTITUTE(SUBSTITUTE(IFERROR(INDEX('DADOS_FORMAS'!$AS$2:$AS$21,MATCH(SUBSTITUTE(SUBSTITUTE(SUBSTITUTE($MU3,"~","~~"),"*","~*"),"?","~?"),'DADOS_FORMAS'!$AH$2:$AH$21,0)),""),"~","~~"),"*","~*"),"?","~?"),'DADOS_RESTRICOES'!$M$2:$Q$54,4,FALSE)=1),0))+IF($NB3="",0,IFERROR(N(VLOOKUP(SUBSTITUTE(SUBSTITUTE(SUBSTITUTE($NB3,"~","~~"),"*","~*"),"?","~?"),'DADOS_RESTRICOES'!$M$2:$Q$54,4,FALSE)=1),0))+IF($NC3="",0,IFERROR(N(VLOOKUP(SUBSTITUTE(SUBSTITUTE(SUBSTITUTE($NC3,"~","~~"),"*","~*"),"?","~?"),'DADOS_RESTRICOES'!$M$2:$Q$54,4,FALSE)=1),0))&gt;1,"Duas Restrições de frequência, contando a embutida",""),IF(AND(IFERROR(VLOOKUP(SUBSTITUTE(SUBSTITUTE(SUBSTITUTE(IFERROR(INDEX('DADOS_FORMAS'!$AS$2:$AS$21,MATCH(SUBSTITUTE(SUBSTITUTE(SUBSTITUTE($MU3,"~","~~"),"*","~*"),"?","~?"),'DADOS_FORMAS'!$AH$2:$AH$21,0)),""),"~","~~"),"*","~*"),"?","~?"),'DADOS_RESTRICOES'!$M$2:$Q$54,2,FALSE),"")="Tudo ou Nada",$OH3=0),"Tudo ou Nada exige TR",""),IF(AND(IFERROR(VLOOKUP(SUBSTITUTE(SUBSTITUTE(SUBSTITUTE(IFERROR(INDEX('DADOS_FORMAS'!$AS$2:$AS$21,MATCH(SUBSTITUTE(SUBSTITUTE(SUBSTITUTE($MU3,"~","~~"),"*","~*"),"?","~?"),'DADOS_FORMAS'!$AH$2:$AH$21,0)),""),"~","~~"),"*","~*"),"?","~?"),'DADOS_RESTRICOES'!$M$2:$Q$54,2,FALSE),"")="Corpo a Corpo",OR($RO3="Cone",$RO3="Linha")),"Corpo a Corpo não entra em Cone/Linha","")))</f>
        <v/>
      </c>
      <c r="PU3" s="164">
        <f>IF($PT3="",0,(LEN($PT3)-LEN(SUBSTITUTE($PT3," · ","")))/3+1)</f>
        <v/>
      </c>
      <c r="PV3" s="164">
        <f>IF($ND3=0,"",TEXTJOIN(" · ",TRUE,IF($OX3&gt;2*$MS3,"A devolução parou no teto de "&amp;2*$MS3,""),IF($PA3&gt;0,"Devolução perdida: "&amp;$PA3&amp;IF($PA3&gt;1," pontos"," ponto")&amp;" sem Melhoria para pagar",""),IF(AND($OC3&gt;0,AND($MS3&gt;0,$OG3=0),$PD3=0),"Controle sem dano: uma rodada a mais e CD +2",""),IF(AND($OC3&gt;0,AND($MS3&gt;0,$OG3=0),$PD3&gt;0,$PD3&lt;=$MS3),"Controle com saldo até a Classe: uma rodada a mais",""),IF(AND($MS3&gt;0,$OE3&lt;&gt;""),"Efeito de "&amp;$OE3&amp;" pela Classe "&amp;MAX(1,$MS3-1),"")))</f>
        <v/>
      </c>
      <c r="PW3" s="164">
        <f>IF($PV3="",0,(LEN($PV3)-LEN(SUBSTITUTE($PV3," · ","")))/3+1)</f>
        <v/>
      </c>
      <c r="PX3" s="164">
        <f>IF($ND3=0,IF($OU3+COUNTIF($NB3:$NC3,"?*")&gt;0,"Dê um nome",""),IF($PU3&gt;0,"⚠ "&amp;$PU3&amp;IF($PU3&gt;1," erros"," erro"),IF($PW3&gt;0,"! "&amp;$PW3&amp;IF($PW3&gt;1," avisos"," aviso"),"Na regra")))</f>
        <v/>
      </c>
      <c r="PY3" s="164">
        <f>IF($ND3=0,"",IF($PU3+$PW3=0,"Dentro das regras que a ficha confere",$PT3&amp;IF(AND($PU3&gt;0,$PW3&gt;0)," · ","")&amp;$PV3))</f>
        <v/>
      </c>
      <c r="PZ3" s="164">
        <f>IF($MQ3&gt;$NE3,$MR3&amp;" · ABRE NO NÍVEL "&amp;$MQ3,$MR3)</f>
        <v/>
      </c>
      <c r="QA3" s="164">
        <f>IF($ND3=0,"",IF($MS3=0,"Sem PE",3*$MS3&amp;" PE"))</f>
        <v/>
      </c>
      <c r="QB3" s="164">
        <f>IF($ND3=0,"",IF($MS3=0,"A atuação básica dela",IF(COUNTIF($RQ3:$RS3,"Atrasar")&gt;0,"Sua Ação Completa",IF(COUNTIF($RK3:$RN3,"Rápido")&gt;0,"Sua Bônus",IF(COUNTIF($RK3:$RN3,"Reação")&gt;0,"Sua Reação","Sua Padrão")))&amp;" + a básica dela"&amp;IF(COUNTIF($RK3:$RN3,"Reação")&gt;0," e a coletiva","")&amp;IF(COUNTIF($RQ3:$RS3,"Carregar")&gt;0," · em dois turnos","")))</f>
        <v/>
      </c>
      <c r="QC3" s="164">
        <f>IF($MW3&lt;&gt;"",$MW3,IF($NJ3=0,"",INDEX('DADOS_FORMAS'!$GE$2:$GE$21,$NJ3)))</f>
        <v/>
      </c>
      <c r="QD3" s="164">
        <f>IF(OR($ND3=0,$NJ3=0),"",IF(COUNTIF($RK3:$RN3,"Inescapável")&gt;0,"Automático",IF($QC3="Ataque",IF($NH3="","Ataque","Ataque "&amp;IF(($NH3+2*IF(COUNTIF($RK3:$RN3,"Precisão")&gt;0,1,0))&gt;=0,"+","−")&amp;ABS(($NH3+2*IF(COUNTIF($RK3:$RN3,"Precisão")&gt;0,1,0))))&amp;IF($OD3&gt;0," · TR"&amp;IF($NI3="",""," CD "&amp;$NI3),""),IF(LEFT($QC3,2)="TR",$QC3&amp;IF($NI3="",""," · CD "&amp;$NI3)&amp;IF(COUNTIF($RK3:$RN3,"Certeiro")&gt;0," · metade",""),"Sem rolagem"))))</f>
        <v/>
      </c>
      <c r="QE3" s="164">
        <f>IF(OR($ND3=0,$NJ3=0),"",IF($MS3=0,IF(OR($OG3&gt;=1,$PD3=0),"Sem dano",$PD3&amp;"d6"&amp;IF($MV3="",""," "&amp;$MV3)),IF(OR($OG3&gt;=1,$PD3=0),UPPER(LEFT(INDEX($PM3:$PS3,1,MAX(1,$MS3)),1))&amp;MID(INDEX($PM3:$PS3,1,MAX(1,$MS3)),2,99),UPPER(LEFT(INDEX($PM3:$PS3,1,MAX(1,$MS3)),1))&amp;MID(INDEX($PM3:$PS3,1,MAX(1,$MS3)),2,99)&amp;IF($MV3="",""," "&amp;$MV3)&amp;IF($PE3&gt;0," · +"&amp;$PE3&amp;"d8",""))))</f>
        <v/>
      </c>
      <c r="QF3" s="164">
        <f>COUNTIF($RK3:$RN3,"Longe")+3*COUNTIF($RK3:$RN3,"Muito Longe")</f>
        <v/>
      </c>
      <c r="QG3" s="164">
        <f>COUNTIF($RK3:$RN3,"Maior")+3*COUNTIF($RK3:$RN3,"Muito Maior")</f>
        <v/>
      </c>
      <c r="QH3" s="164">
        <f>IF($NJ3=0,0,CHOOSE(1+INDEX('DADOS_FORMAS'!$GG$2:$GG$21,$NJ3),0,$QF3,$QG3,$QF3+$QG3))</f>
        <v/>
      </c>
      <c r="QI3" s="164">
        <f>IF($NJ3=0,0,CHOOSE(1+INDEX('DADOS_FORMAS'!$GH$2:$GH$21,$NJ3),0,$QF3,$QG3,$QF3+$QG3))</f>
        <v/>
      </c>
      <c r="QJ3" s="164">
        <f>IF(OR($ND3=0,$NJ3=0),"",INDEX('DADOS_FORMAS'!$HU$2:$HZ$81,($NJ3-1)*4+IF($MS3=0,1,IF($MS3&lt;=5,2,IF($MS3=6,3,4))),1+MIN(5,$QH3))&amp;INDEX('DADOS_FORMAS'!$IA$2:$IF$81,($NJ3-1)*4+IF($MS3=0,1,IF($MS3&lt;=5,2,IF($MS3=6,3,4))),1+MIN(5,$QI3))&amp;IF(INDEX('DADOS_FORMAS'!$GI$2:$GI$21,$NJ3)=1,IF(COUNTIF($RK3:$RN3,"Mais Um")&gt;0," · +"&amp;COUNTIF($RK3:$RN3,"Mais Um")&amp;IF(COUNTIF($RK3:$RN3,"Mais Um")&gt;1," alvos"," alvo"),"")&amp;IF(COUNTIF($RK3:$RN3,"Rajada")&gt;0,IF($MS3=0," · 1 tiro"," · "&amp;(MAX(1,$MS3-1)+1)&amp;" tiros"),""),""))</f>
        <v/>
      </c>
      <c r="QK3" s="164">
        <f>IF($ND3=0,"",IF($MS3=0,$NG3&amp;"d6"&amp;IF($OU3&gt;0," − 1 = "&amp;$PD3&amp;"d6"," da básica do nível "&amp;$NE3),$PB3&amp;" − "&amp;$OW3&amp;" + "&amp;$OZ3&amp;" = "&amp;$PC3&amp;" · teto "&amp;4*$MS3&amp;"d8"&amp;IF($OF3=1," · a Forma devolve "&amp;$MS3,"")&amp;IF($PA3&gt;0," · perde "&amp;$PA3,"")))</f>
        <v/>
      </c>
      <c r="QL3" s="164">
        <f>IF($ND3=0,"",IF($MS3=0,"A básica não amplia: os dados dela sobem com o nível",IF($MS3&gt;=$NF3,"Já está na maior Classe que o nível liberou",TEXTJOIN(" · ",TRUE,IF(AND(2&gt;$MS3,2&lt;=$NF3),"2 → "&amp;$PN3&amp;", 6 PE",""),IF(AND(3&gt;$MS3,3&lt;=$NF3),"3 → "&amp;$PO3&amp;", 9 PE",""),IF(AND(4&gt;$MS3,4&lt;=$NF3),"4 → "&amp;$PP3&amp;", 12 PE",""),IF(AND(5&gt;$MS3,5&lt;=$NF3),"5 → "&amp;$PQ3&amp;", 15 PE",""),IF(AND(6&gt;$MS3,6&lt;=$NF3),"6 → "&amp;$PR3&amp;", 18 PE",""),IF(AND(7&gt;$MS3,7&lt;=$NF3),"7 → "&amp;$PS3&amp;", 21 PE","")))))</f>
        <v/>
      </c>
      <c r="QM3" s="164">
        <f>IF(OR($ND3=0,$NO3=0),"",IF($MS3=0,"−1 dado","−"&amp;INDEX($I$2:$N$8,MAX(1,$MS3),MAX(1,$NT3))&amp;" · "&amp;CHOOSE(MAX(1,$NT3),"Leve","Média","Pesada","Leve · Livre","Média · Livre","Pesada · Livre")))</f>
        <v/>
      </c>
      <c r="QN3" s="164">
        <f>IF(OR($ND3=0,$NP3=0),"",IF($MS3=0,"−1 dado","−"&amp;INDEX($I$2:$N$8,MAX(1,$MS3),MAX(1,$NU3))&amp;" · "&amp;CHOOSE(MAX(1,$NU3),"Leve","Média","Pesada","Leve · Livre","Média · Livre","Pesada · Livre")))</f>
        <v/>
      </c>
      <c r="QO3" s="164">
        <f>IF(OR($ND3=0,$NQ3=0),"",IF($MS3=0,"−1 dado","−"&amp;INDEX($I$2:$N$8,MAX(1,$MS3),MAX(1,$NV3))&amp;" · "&amp;CHOOSE(MAX(1,$NV3),"Leve","Média","Pesada","Leve · Livre","Média · Livre","Pesada · Livre")))</f>
        <v/>
      </c>
      <c r="QP3" s="164">
        <f>IF(OR($ND3=0,$NR3=0),"",IF($MS3=0,"−1 dado","−"&amp;INDEX($I$2:$N$8,MAX(1,$MS3),MAX(1,$NW3))&amp;" · "&amp;CHOOSE(MAX(1,$NW3),"Leve","Média","Pesada","Leve · Livre","Média · Livre","Pesada · Livre")))</f>
        <v/>
      </c>
      <c r="QQ3" s="164">
        <f>IF(OR($ND3=0,$NB3=""),"",IF($MS3=0,"não devolve","+"&amp;IF($OI3=1,CEILING($MS3/2,1),$MS3)))</f>
        <v/>
      </c>
      <c r="QR3" s="164">
        <f>IF(OR($ND3=0,$NC3=""),"",IF($MS3=0,"não devolve","+"&amp;IF($OJ3=1,CEILING($MS3/2,1),$MS3)))</f>
        <v/>
      </c>
      <c r="QT3" s="162" t="inlineStr">
        <is>
          <t>F13</t>
        </is>
      </c>
      <c r="QU3" s="164">
        <f>IF(OR(DADOS_INVOC!$DB$4="",LEFT(DADOS_INVOC!$DB$4,7)="Escolha"),"—",DADOS_INVOC!$DB$4)</f>
        <v/>
      </c>
      <c r="QV3">
        <f>'INVOCAÇÕES'!$O$261&amp;""</f>
        <v/>
      </c>
      <c r="QW3">
        <f>'INVOCAÇÕES'!$P$261&amp;""</f>
        <v/>
      </c>
      <c r="QX3">
        <f>'INVOCAÇÕES'!$Q$261&amp;""</f>
        <v/>
      </c>
      <c r="QY3">
        <f>'INVOCAÇÕES'!$R$261&amp;""</f>
        <v/>
      </c>
      <c r="QZ3">
        <f>IF('INVOCAÇÕES'!$K$261="","Autônoma",'INVOCAÇÕES'!$K$261)</f>
        <v/>
      </c>
      <c r="RA3">
        <f>IF(DADOS_INVOC!$DB$4="Invocação Principal",'CONFIGURAÇÃO'!$H$144,IF(OR(DADOS_INVOC!$DB$4="Parceria",DADOS_INVOC!$DB$4="Múltiplas Invocações"),'CONFIGURAÇÃO'!$H$142,'CONFIGURAÇÃO'!$H$140))+IF($QZ$3="Não autônoma",'CONFIGURAÇÃO'!$H$145,0)</f>
        <v/>
      </c>
      <c r="RB3">
        <f>IF($RA$3&gt;=1,$EL$3,"")</f>
        <v/>
      </c>
      <c r="RC3">
        <f>IF($RA$3&gt;=2,$EM$3,"")</f>
        <v/>
      </c>
      <c r="RD3">
        <f>IF($RA$3&gt;=7,$EN$3,"")</f>
        <v/>
      </c>
      <c r="RE3">
        <f>IF($RA$3&gt;=8,$EO$3,"")</f>
        <v/>
      </c>
      <c r="RF3">
        <f>IF($RA$3&gt;=9,$EP$3,"")</f>
        <v/>
      </c>
      <c r="RG3">
        <f>IF($RA$3&gt;=3,$QV$3,"")</f>
        <v/>
      </c>
      <c r="RH3">
        <f>IF($RA$3&gt;=4,$QW$3,"")</f>
        <v/>
      </c>
      <c r="RI3">
        <f>IF($RA$3&gt;=5,$QX$3,"")</f>
        <v/>
      </c>
      <c r="RJ3">
        <f>IF($RA$3&gt;=6,$QY$3,"")</f>
        <v/>
      </c>
      <c r="RK3">
        <f>IF($MX3="","",IFERROR(VLOOKUP(SUBSTITUTE(SUBSTITUTE(SUBSTITUTE($MX3,"~","~~"),"*","~*"),"?","~?"),'DADOS_MELHORIAS'!$O$2:$X$113,10,FALSE),$MX3))</f>
        <v/>
      </c>
      <c r="RL3">
        <f>IF($MY3="","",IFERROR(VLOOKUP(SUBSTITUTE(SUBSTITUTE(SUBSTITUTE($MY3,"~","~~"),"*","~*"),"?","~?"),'DADOS_MELHORIAS'!$O$2:$X$113,10,FALSE),$MY3))</f>
        <v/>
      </c>
      <c r="RM3">
        <f>IF($MZ3="","",IFERROR(VLOOKUP(SUBSTITUTE(SUBSTITUTE(SUBSTITUTE($MZ3,"~","~~"),"*","~*"),"?","~?"),'DADOS_MELHORIAS'!$O$2:$X$113,10,FALSE),$MZ3))</f>
        <v/>
      </c>
      <c r="RN3">
        <f>IF($NA3="","",IFERROR(VLOOKUP(SUBSTITUTE(SUBSTITUTE(SUBSTITUTE($NA3,"~","~~"),"*","~*"),"?","~?"),'DADOS_MELHORIAS'!$O$2:$X$113,10,FALSE),$NA3))</f>
        <v/>
      </c>
      <c r="RO3">
        <f>IFERROR(INDEX('DADOS_FORMAS'!$BJ$2:$BJ$21,MATCH(SUBSTITUTE(SUBSTITUTE(SUBSTITUTE($MU3,"~","~~"),"*","~*"),"?","~?"),'DADOS_FORMAS'!$AH$2:$AH$21,0)),"")</f>
        <v/>
      </c>
      <c r="RP3">
        <f>IFERROR(VLOOKUP(SUBSTITUTE(SUBSTITUTE(SUBSTITUTE(IFERROR(INDEX('DADOS_FORMAS'!$AS$2:$AS$21,MATCH(SUBSTITUTE(SUBSTITUTE(SUBSTITUTE($MU3,"~","~~"),"*","~*"),"?","~?"),'DADOS_FORMAS'!$AH$2:$AH$21,0)),""),"~","~~"),"*","~*"),"?","~?"),'DADOS_RESTRICOES'!$M$2:$Q$54,2,FALSE),"")</f>
        <v/>
      </c>
      <c r="RQ3">
        <f>$OK3</f>
        <v/>
      </c>
      <c r="RR3">
        <f>$OL3</f>
        <v/>
      </c>
      <c r="RS3">
        <f>$RP3</f>
        <v/>
      </c>
    </row>
    <row r="4">
      <c r="A4" s="164" t="n">
        <v>9</v>
      </c>
      <c r="B4" s="164" t="n">
        <v>3</v>
      </c>
      <c r="C4" s="164" t="n">
        <v>2</v>
      </c>
      <c r="D4" s="164" t="n">
        <v>6</v>
      </c>
      <c r="F4" s="164" t="n">
        <v>14</v>
      </c>
      <c r="H4" s="164" t="n">
        <v>3</v>
      </c>
      <c r="I4" s="164" t="n">
        <v>2</v>
      </c>
      <c r="J4" s="164" t="n">
        <v>3</v>
      </c>
      <c r="K4" s="164" t="n">
        <v>5</v>
      </c>
      <c r="L4" s="164" t="n">
        <v>1</v>
      </c>
      <c r="M4" s="164" t="n">
        <v>2</v>
      </c>
      <c r="N4" s="164" t="n">
        <v>4</v>
      </c>
      <c r="O4" s="164" t="n">
        <v>3</v>
      </c>
      <c r="P4" s="164" t="n">
        <v>6</v>
      </c>
      <c r="R4" s="164" t="n">
        <v>2</v>
      </c>
      <c r="T4" s="164" t="n">
        <v>5</v>
      </c>
      <c r="V4" s="162" t="inlineStr">
        <is>
          <t>Explosão</t>
        </is>
      </c>
      <c r="W4" s="162" t="inlineStr">
        <is>
          <t>Área</t>
        </is>
      </c>
      <c r="X4" s="164" t="n">
        <v>1</v>
      </c>
      <c r="Y4" s="164" t="n">
        <v>0</v>
      </c>
      <c r="Z4" s="164" t="n">
        <v>0</v>
      </c>
      <c r="AA4" s="162" t="inlineStr">
        <is>
          <t>TR</t>
        </is>
      </c>
      <c r="AB4" s="164" t="n">
        <v>1</v>
      </c>
      <c r="AC4" s="164" t="n">
        <v>2</v>
      </c>
      <c r="AD4" s="164" t="n">
        <v>1</v>
      </c>
      <c r="AE4" s="164" t="n">
        <v>0</v>
      </c>
      <c r="AF4" s="164" t="n">
        <v>1</v>
      </c>
      <c r="AH4" s="162" t="inlineStr">
        <is>
          <t>Projétil · classe 6</t>
        </is>
      </c>
      <c r="AI4" s="162" t="inlineStr">
        <is>
          <t>36 m, um alvo</t>
        </is>
      </c>
      <c r="AJ4" s="162" t="inlineStr">
        <is>
          <t>90 m, um alvo</t>
        </is>
      </c>
      <c r="AK4" s="162" t="inlineStr">
        <is>
          <t>Visão a olho nu, um alvo</t>
        </is>
      </c>
      <c r="AL4" s="162" t="inlineStr">
        <is>
          <t>Visão a olho nu, um alvo</t>
        </is>
      </c>
      <c r="AM4" s="162" t="inlineStr">
        <is>
          <t>Visão a olho nu, um alvo</t>
        </is>
      </c>
      <c r="AN4" s="162" t="inlineStr">
        <is>
          <t>Visão a olho nu, um alvo</t>
        </is>
      </c>
      <c r="AO4" s="162" t="inlineStr"/>
      <c r="AP4" s="162" t="inlineStr"/>
      <c r="AQ4" s="162" t="inlineStr"/>
      <c r="AR4" s="162" t="inlineStr"/>
      <c r="AS4" s="162" t="inlineStr"/>
      <c r="AT4" s="162" t="inlineStr"/>
      <c r="AV4" s="162" t="inlineStr">
        <is>
          <t>Sem Ver</t>
        </is>
      </c>
      <c r="AW4" s="162" t="inlineStr">
        <is>
          <t>Alcance</t>
        </is>
      </c>
      <c r="AX4" s="164" t="n">
        <v>3</v>
      </c>
      <c r="AY4" s="164" t="n">
        <v>0</v>
      </c>
      <c r="AZ4" s="164" t="n">
        <v>0</v>
      </c>
      <c r="BA4" s="164" t="n">
        <v>0</v>
      </c>
      <c r="BC4" s="162" t="inlineStr">
        <is>
          <t>Parado</t>
        </is>
      </c>
      <c r="BD4" s="162" t="inlineStr">
        <is>
          <t>Parado</t>
        </is>
      </c>
      <c r="BE4" s="164" t="n">
        <v>1</v>
      </c>
      <c r="BF4" s="164" t="n">
        <v>0</v>
      </c>
      <c r="BG4" s="162" t="inlineStr">
        <is>
          <t>Parado</t>
        </is>
      </c>
      <c r="BI4" s="162" t="inlineStr">
        <is>
          <t>Raiz</t>
        </is>
      </c>
      <c r="BJ4" s="164" t="n">
        <v>1</v>
      </c>
      <c r="BK4" s="162" t="inlineStr">
        <is>
          <t>Você não é movido à força nem fica Derrubado contra a sua vontade. Pode aceitar um deslocamento ou se deitar por escolha própria. O Talento não impede o dano de um efeito que também empurre ou derrube.</t>
        </is>
      </c>
      <c r="BL4" s="162" t="inlineStr">
        <is>
          <t>Raiz</t>
        </is>
      </c>
      <c r="BN4" s="162" t="inlineStr">
        <is>
          <t>Shikigami de criação</t>
        </is>
      </c>
      <c r="BP4" s="162" t="inlineStr">
        <is>
          <t>Maldição domada</t>
        </is>
      </c>
      <c r="BQ4" s="164" t="n">
        <v>0</v>
      </c>
      <c r="BS4" s="162" t="inlineStr">
        <is>
          <t>Mira</t>
        </is>
      </c>
      <c r="BU4" s="162" t="inlineStr">
        <is>
          <t>Constituição</t>
        </is>
      </c>
      <c r="BW4" s="162" t="inlineStr">
        <is>
          <t>Intelecto</t>
        </is>
      </c>
      <c r="CC4" s="162" t="inlineStr">
        <is>
          <t>Furtividade</t>
        </is>
      </c>
      <c r="CD4" s="162" t="inlineStr">
        <is>
          <t>Destreza</t>
        </is>
      </c>
      <c r="CH4" s="162" t="inlineStr">
        <is>
          <t>Herbalismo</t>
        </is>
      </c>
      <c r="CJ4" s="162" t="inlineStr">
        <is>
          <t>Concussão</t>
        </is>
      </c>
      <c r="CL4" s="162" t="inlineStr">
        <is>
          <t>TR Vigor</t>
        </is>
      </c>
      <c r="CN4" s="164" t="n">
        <v>2</v>
      </c>
      <c r="CP4" s="164" t="n">
        <v>26</v>
      </c>
      <c r="CQ4" s="162" t="inlineStr">
        <is>
          <t>26d8</t>
        </is>
      </c>
      <c r="CR4" s="164" t="n">
        <v>16</v>
      </c>
      <c r="CS4" s="164" t="n">
        <v>35</v>
      </c>
      <c r="CU4" s="162" t="inlineStr">
        <is>
          <t>Sem Barreiras</t>
        </is>
      </c>
      <c r="CV4" s="162" t="inlineStr">
        <is>
          <t>Mais 2 espaços; total 5.</t>
        </is>
      </c>
      <c r="CW4" s="162" t="inlineStr">
        <is>
          <t>Completa, seu refino 10 e sua especialização em Ocultismo.</t>
        </is>
      </c>
      <c r="DA4" s="162" t="inlineStr">
        <is>
          <t>trilha</t>
        </is>
      </c>
      <c r="DB4" s="164">
        <f>FICHA!$N$11&amp;""</f>
        <v/>
      </c>
      <c r="DD4" s="164" t="n">
        <v>3</v>
      </c>
      <c r="DE4" s="164">
        <f>'INVOCAÇÕES'!$I$435&amp;""</f>
        <v/>
      </c>
      <c r="DF4" s="164">
        <f>'INVOCAÇÕES'!$I$465&amp;""</f>
        <v/>
      </c>
      <c r="DG4" s="164">
        <f>'INVOCAÇÕES'!$I$469&amp;""</f>
        <v/>
      </c>
      <c r="DH4" s="164">
        <f>N('INVOCAÇÕES'!$K$469)</f>
        <v/>
      </c>
      <c r="DI4" s="164">
        <f>'INVOCAÇÕES'!$L$469&amp;""</f>
        <v/>
      </c>
      <c r="DJ4" s="164">
        <f>N('INVOCAÇÕES'!$O$442)</f>
        <v/>
      </c>
      <c r="DK4" s="164">
        <f>N('INVOCAÇÕES'!$P$442)</f>
        <v/>
      </c>
      <c r="DL4" s="164">
        <f>N('INVOCAÇÕES'!$Q$442)</f>
        <v/>
      </c>
      <c r="DM4" s="164">
        <f>N('INVOCAÇÕES'!$R$442)</f>
        <v/>
      </c>
      <c r="DN4" s="164">
        <f>N('INVOCAÇÕES'!$S$442)</f>
        <v/>
      </c>
      <c r="DO4" s="164">
        <f>N('INVOCAÇÕES'!$O$443)</f>
        <v/>
      </c>
      <c r="DP4" s="164">
        <f>N('INVOCAÇÕES'!$P$443)</f>
        <v/>
      </c>
      <c r="DQ4" s="164">
        <f>N('INVOCAÇÕES'!$Q$443)</f>
        <v/>
      </c>
      <c r="DR4" s="164">
        <f>N('INVOCAÇÕES'!$R$443)</f>
        <v/>
      </c>
      <c r="DS4" s="164">
        <f>N('INVOCAÇÕES'!$S$443)</f>
        <v/>
      </c>
      <c r="DT4" s="164">
        <f>'INVOCAÇÕES'!$O$456&amp;""</f>
        <v/>
      </c>
      <c r="DU4" s="164">
        <f>'INVOCAÇÕES'!$R$456&amp;""</f>
        <v/>
      </c>
      <c r="DV4" s="164">
        <f>'INVOCAÇÕES'!$S$451&amp;""</f>
        <v/>
      </c>
      <c r="DW4" s="164">
        <f>N('INVOCAÇÕES'!$O$448)</f>
        <v/>
      </c>
      <c r="DX4" s="164">
        <f>N('INVOCAÇÕES'!$P$448)</f>
        <v/>
      </c>
      <c r="DY4" s="164">
        <f>N('INVOCAÇÕES'!$Q$448)</f>
        <v/>
      </c>
      <c r="DZ4" s="164">
        <f>N('INVOCAÇÕES'!$R$448)</f>
        <v/>
      </c>
      <c r="EA4" s="164">
        <f>N('INVOCAÇÕES'!$S$448)</f>
        <v/>
      </c>
      <c r="EB4" s="164">
        <f>N('INVOCAÇÕES'!$O$453)</f>
        <v/>
      </c>
      <c r="EC4" s="164">
        <f>N('INVOCAÇÕES'!$P$453)</f>
        <v/>
      </c>
      <c r="ED4" s="164">
        <f>N('INVOCAÇÕES'!$Q$453)</f>
        <v/>
      </c>
      <c r="EE4" s="164">
        <f>N('INVOCAÇÕES'!$R$453)</f>
        <v/>
      </c>
      <c r="EF4" s="164">
        <f>'INVOCAÇÕES'!$U$435&amp;""</f>
        <v/>
      </c>
      <c r="EG4" s="164">
        <f>N('INVOCAÇÕES'!$W$435)</f>
        <v/>
      </c>
      <c r="EH4" s="164">
        <f>'INVOCAÇÕES'!$Y$435&amp;""</f>
        <v/>
      </c>
      <c r="EI4" s="164">
        <f>SUM('INVOCAÇÕES'!$Y$429:'INVOCAÇÕES'!$Y$431,'INVOCAÇÕES'!$Y$433:'INVOCAÇÕES'!$Y$438)</f>
        <v/>
      </c>
      <c r="EJ4" s="164">
        <f>'INVOCAÇÕES'!$U$440&amp;""</f>
        <v/>
      </c>
      <c r="EK4" s="164">
        <f>'INVOCAÇÕES'!$V$440&amp;""</f>
        <v/>
      </c>
      <c r="EL4" s="164">
        <f>'INVOCAÇÕES'!$O$470&amp;""</f>
        <v/>
      </c>
      <c r="EM4" s="164">
        <f>'INVOCAÇÕES'!$P$470&amp;""</f>
        <v/>
      </c>
      <c r="EN4" s="164">
        <f>'INVOCAÇÕES'!$Q$470&amp;""</f>
        <v/>
      </c>
      <c r="EO4" s="164">
        <f>'INVOCAÇÕES'!$R$470&amp;""</f>
        <v/>
      </c>
      <c r="EP4" s="164">
        <f>'INVOCAÇÕES'!$S$470&amp;""</f>
        <v/>
      </c>
      <c r="EQ4" s="164">
        <f>'INVOCAÇÕES'!$O$460&amp;""</f>
        <v/>
      </c>
      <c r="ER4" s="164">
        <f>'INVOCAÇÕES'!$O$461&amp;""</f>
        <v/>
      </c>
      <c r="ES4" s="164">
        <f>'INVOCAÇÕES'!$O$462&amp;""</f>
        <v/>
      </c>
      <c r="ET4" s="164">
        <f>'INVOCAÇÕES'!$O$463&amp;""</f>
        <v/>
      </c>
      <c r="EU4" s="164">
        <f>'INVOCAÇÕES'!$O$464&amp;""</f>
        <v/>
      </c>
      <c r="EV4" s="164">
        <f>'INVOCAÇÕES'!$O$465&amp;""</f>
        <v/>
      </c>
      <c r="EW4" s="164">
        <f>'INVOCAÇÕES'!$O$466&amp;""</f>
        <v/>
      </c>
      <c r="EX4" s="164">
        <f>'INVOCAÇÕES'!$J$515&amp;""</f>
        <v/>
      </c>
      <c r="EY4" s="164">
        <f>'INVOCAÇÕES'!$J$516&amp;""</f>
        <v/>
      </c>
      <c r="EZ4" s="164">
        <f>'INVOCAÇÕES'!$J$517&amp;""</f>
        <v/>
      </c>
      <c r="FA4" s="164">
        <f>'INVOCAÇÕES'!$J$518&amp;""</f>
        <v/>
      </c>
      <c r="FB4" s="164">
        <f>'INVOCAÇÕES'!$J$519&amp;""</f>
        <v/>
      </c>
      <c r="FC4" s="164">
        <f>'INVOCAÇÕES'!$J$520&amp;""</f>
        <v/>
      </c>
      <c r="FD4" s="164">
        <f>'INVOCAÇÕES'!$J$521&amp;""</f>
        <v/>
      </c>
      <c r="FE4" s="164">
        <f>'INVOCAÇÕES'!$J$522&amp;""</f>
        <v/>
      </c>
      <c r="FF4" s="164">
        <f>'INVOCAÇÕES'!$J$617&amp;""</f>
        <v/>
      </c>
      <c r="FG4" s="164">
        <f>'INVOCAÇÕES'!$J$618&amp;""</f>
        <v/>
      </c>
      <c r="FH4" s="164">
        <f>'INVOCAÇÕES'!$J$619&amp;""</f>
        <v/>
      </c>
      <c r="FI4" s="164">
        <f>MAX(3,MIN(7,N('INVOCAÇÕES'!$I$624)))</f>
        <v/>
      </c>
      <c r="FJ4" s="164">
        <f>MAX(3,MIN(7,N('INVOCAÇÕES'!$O$624)))</f>
        <v/>
      </c>
      <c r="FK4" s="164">
        <f>MAX(3,MIN(7,N('INVOCAÇÕES'!$U$624)))</f>
        <v/>
      </c>
      <c r="FL4" s="164">
        <f>'INVOCAÇÕES'!$O$638&amp;""</f>
        <v/>
      </c>
      <c r="FM4" s="164">
        <f>IF($DE4&lt;&gt;"",1,0)</f>
        <v/>
      </c>
      <c r="FN4" s="164">
        <f>IFERROR(VLOOKUP($DG4,$BP$2:$BQ$5,2,FALSE),1)</f>
        <v/>
      </c>
      <c r="FO4" s="164">
        <f>IF($FN4=1,$DB$2,IF($FN4=2,MIN($DB$2,IF(MAX(1,MIN($DB$2,IF($DH4=0,$DB$2,$DH4)))&lt;=4,4,IF(MAX(1,MIN($DB$2,IF($DH4=0,$DB$2,$DH4)))&lt;=8,8,IF(MAX(1,MIN($DB$2,IF($DH4=0,$DB$2,$DH4)))&lt;=12,12,IF(MAX(1,MIN($DB$2,IF($DH4=0,$DB$2,$DH4)))&lt;=16,16,IF(MAX(1,MIN($DB$2,IF($DH4=0,$DB$2,$DH4)))&lt;=20,20,IF(MAX(1,MIN($DB$2,IF($DH4=0,$DB$2,$DH4)))&lt;=25,25,IF(MAX(1,MIN($DB$2,IF($DH4=0,$DB$2,$DH4)))&lt;=30,30,30)))))))),MAX(1,MIN($DB$2,IF($DH4=0,$DB$2,$DH4)))))</f>
        <v/>
      </c>
      <c r="FP4" s="164">
        <f>VLOOKUP(MAX(1,$FO4),$A$2:$D$8,2,TRUE)</f>
        <v/>
      </c>
      <c r="FQ4" s="164">
        <f>VLOOKUP(MAX(1,$FO4),$A$2:$D$8,3,TRUE)</f>
        <v/>
      </c>
      <c r="FR4" s="164">
        <f>$DJ4+$DO4</f>
        <v/>
      </c>
      <c r="FS4" s="164">
        <f>$DK4+$DP4</f>
        <v/>
      </c>
      <c r="FT4" s="164">
        <f>$DL4+$DQ4</f>
        <v/>
      </c>
      <c r="FU4" s="164">
        <f>$DM4+$DR4</f>
        <v/>
      </c>
      <c r="FV4" s="164">
        <f>$DN4+$DS4</f>
        <v/>
      </c>
      <c r="FW4" s="164">
        <f>SUM($DJ4:$DN4)</f>
        <v/>
      </c>
      <c r="FX4" s="164">
        <f>9+$FY4</f>
        <v/>
      </c>
      <c r="FY4" s="164">
        <f>COUNTIF($F$2:$F$8,"&lt;="&amp;$FO4)</f>
        <v/>
      </c>
      <c r="FZ4" s="164">
        <f>MAX(0,$DJ4-3)+MAX(0,$DK4-3)+MAX(0,$DL4-3)+MAX(0,$DM4-3)+MAX(0,$DN4-3)</f>
        <v/>
      </c>
      <c r="GA4" s="164">
        <f>IFERROR(INDEX($FR4:$FV4,1,MATCH($DT4,$BU$2:$BU$6,0)),"")</f>
        <v/>
      </c>
      <c r="GB4" s="164">
        <f>IF($GA4="","",$GA4+$DB$3+$DW4)</f>
        <v/>
      </c>
      <c r="GC4" s="164">
        <f>IF($GA4="","",8+$GA4+$DB$3+$DX4)</f>
        <v/>
      </c>
      <c r="GD4" s="164">
        <f>10+$FS4+$DB$7+$DY4</f>
        <v/>
      </c>
      <c r="GE4" s="164">
        <f>IF(IFERROR(VLOOKUP(SUBSTITUTE(SUBSTITUTE(SUBSTITUTE($DF4,"~","~~"),"*","~*"),"?","~?"),'DADOS_ENTIDADES'!$M$2:$P$16,2,FALSE),0)=1,1,0)</f>
        <v/>
      </c>
      <c r="GF4" s="164">
        <f>5+$FT4+(3+$GE4+$FT4)*($FO4-1)+$DZ4</f>
        <v/>
      </c>
      <c r="GG4" s="164">
        <f>IF($FM4=0,"",$GF4)</f>
        <v/>
      </c>
      <c r="GH4" s="164">
        <f>IF($EF4="",$GF4,MAX(0,MIN(IFERROR(VALUE($EF4),$GF4),$GF4)))</f>
        <v/>
      </c>
      <c r="GI4" s="164">
        <f>IF(AND($FM4=1,$EJ4&lt;&gt;"Sem alma"),MAX(1,INT($GF4/2)),"")</f>
        <v/>
      </c>
      <c r="GJ4" s="164">
        <f>$GI4</f>
        <v/>
      </c>
      <c r="GK4" s="164">
        <f>IF($GI4="","",IF($EK4="",$GI4,MAX(0,MIN(IFERROR(VALUE($EK4),$GI4),$GI4))))</f>
        <v/>
      </c>
      <c r="GL4" s="164">
        <f>IF($FM4=0,"",IF($GI4="","—",$GI4))</f>
        <v/>
      </c>
      <c r="GM4" s="164">
        <f>IF($FM4=0,"",IF($GI4="","Sem alma · imune a dano de Alma",IF($GK4&lt;=0,"Estágio 4 · caída, como a zero de vida",IF($GK4&lt;=$GI4/4,"Estágio 3 · desvantagem em ataques e TRs, Classe pela metade",IF($GK4&lt;=$GI4/2,"Estágio 2 · metade do deslocamento, +1 PE por Classe",IF($GK4&lt;=$GI4*3/4,"Estágio 1 · desvantagem em perícias","Alma inteira"))))))</f>
        <v/>
      </c>
      <c r="GN4" s="164">
        <f>9+$EA4</f>
        <v/>
      </c>
      <c r="GO4" s="164">
        <f>IF($DU4="Destreza",$FS4,$FR4)</f>
        <v/>
      </c>
      <c r="GP4" s="164">
        <f>$GO4+IF($DV4="Físico",$DB$3,0)+$EB4</f>
        <v/>
      </c>
      <c r="GQ4" s="164">
        <f>$FT4+IF($DV4="Vigor",$DB$3,0)+$EC4</f>
        <v/>
      </c>
      <c r="GR4" s="164">
        <f>$FU4+IF($DV4="Intelecto",$DB$3,0)+$ED4</f>
        <v/>
      </c>
      <c r="GS4" s="164">
        <f>$FV4+IF($DV4="Espírito",$DB$3,0)+$EE4</f>
        <v/>
      </c>
      <c r="GT4" s="164">
        <f>4+INT($DM4/2)</f>
        <v/>
      </c>
      <c r="GU4" s="164">
        <f>COUNTIF($EQ4:$EW4,"?*")</f>
        <v/>
      </c>
      <c r="GV4" s="164">
        <f>INT((2+$FO4/2)/2)</f>
        <v/>
      </c>
      <c r="GW4" s="164">
        <f>IF($FO4&gt;=11,2,1)</f>
        <v/>
      </c>
      <c r="GX4" s="164">
        <f>1+$FY4</f>
        <v/>
      </c>
      <c r="GY4" s="164">
        <f>COUNTIF($EX4:$FE4,"?*")</f>
        <v/>
      </c>
      <c r="GZ4" s="164">
        <f>IF(AND(IFERROR(VLOOKUP(SUBSTITUTE(SUBSTITUTE(SUBSTITUTE($DF4,"~","~~"),"*","~*"),"?","~?"),'DADOS_ENTIDADES'!$M$2:$P$16,3,FALSE),0)=1,$DI4="Com carga"),MAX(1,CEILING($FP4/2,1)),$FP4)</f>
        <v/>
      </c>
      <c r="HA4" s="164">
        <f>2*$FP4</f>
        <v/>
      </c>
      <c r="HB4" s="164">
        <f>$FO4*(1+INT($DN4/3))</f>
        <v/>
      </c>
      <c r="HC4" s="164">
        <f>5+$FR4</f>
        <v/>
      </c>
      <c r="HD4" s="164">
        <f>(COUNTIF($EL4:$EP4,"?*")+COUNTIF($QV4:$QY4,"?*"))</f>
        <v/>
      </c>
      <c r="HE4" s="164">
        <f>IF($EL4="",0,IF((COUNTIF($EL4:$EP4,$EL4)+COUNTIF($QV4:$QY4,$EL4))&gt;1,1,0))+IF($EM4="",0,IF((COUNTIF($EL4:$EP4,$EM4)+COUNTIF($QV4:$QY4,$EM4))&gt;1,1,0))+IF($EN4="",0,IF((COUNTIF($EL4:$EP4,$EN4)+COUNTIF($QV4:$QY4,$EN4))&gt;1,1,0))+IF($EO4="",0,IF((COUNTIF($EL4:$EP4,$EO4)+COUNTIF($QV4:$QY4,$EO4))&gt;1,1,0))+IF($EP4="",0,IF((COUNTIF($EL4:$EP4,$EP4)+COUNTIF($QV4:$QY4,$EP4))&gt;1,1,0))+IF($QV$4="",0,IF(COUNTIF($EL4:$EP4,$QV$4)+COUNTIF($QV4:$QY4,$QV$4)&gt;1,1,0))+IF($QW$4="",0,IF(COUNTIF($EL4:$EP4,$QW$4)+COUNTIF($QV4:$QY4,$QW$4)&gt;1,1,0))+IF($QX$4="",0,IF(COUNTIF($EL4:$EP4,$QX$4)+COUNTIF($QV4:$QY4,$QX$4)&gt;1,1,0))+IF($QY$4="",0,IF(COUNTIF($EL4:$EP4,$QY$4)+COUNTIF($QV4:$QY4,$QY$4)&gt;1,1,0))</f>
        <v/>
      </c>
      <c r="HF4" s="164">
        <f>IF(DADOS_INVOC!$DB$4="Invocação Principal",'CONFIGURAÇÃO'!$H$143,IF(OR(DADOS_INVOC!$DB$4="Parceria",DADOS_INVOC!$DB$4="Múltiplas Invocações"),'CONFIGURAÇÃO'!$H$141,'CONFIGURAÇÃO'!$H$139))+IF($QZ$4="Não autônoma",'CONFIGURAÇÃO'!$H$145,0)</f>
        <v/>
      </c>
      <c r="HG4" s="164">
        <f>IF($FM4=0,"INVOCAÇÃO 3 · lugar vazio",$DE4&amp;" · "&amp;$DF4&amp;" · nível "&amp;$FO4&amp;" · vida "&amp;$GH4&amp;" de "&amp;$GF4)</f>
        <v/>
      </c>
      <c r="HH4" s="164">
        <f>IF($FM4=0,"VAZIA",UPPER($DE4))</f>
        <v/>
      </c>
      <c r="HI4" s="164">
        <f>IF($DB$3&gt;=0,"+","−")&amp;ABS($DB$3)</f>
        <v/>
      </c>
      <c r="HJ4" s="164">
        <f>$GZ4&amp;" PE"</f>
        <v/>
      </c>
      <c r="HK4" s="164">
        <f>$HA4&amp;" PE"</f>
        <v/>
      </c>
      <c r="HL4" s="164">
        <f>IF(OR($FW4&gt;$FX4,$FZ4&gt;$FY4),"⚠ ",IF(AND($FM4=1,$FW4&lt;$FX4),"! ",""))&amp;"ATRIBUTOS · "&amp;$FW4&amp;" DE "&amp;$FX4&amp;" PONTOS"&amp;IF($FZ4&gt;$FY4," · ACIMA DE 3 SÓ COM MARCO","")</f>
        <v/>
      </c>
      <c r="HM4" s="164">
        <f>IF($GB4="","",IF($GB4&gt;=0,"+","−")&amp;ABS($GB4))</f>
        <v/>
      </c>
      <c r="HN4" s="164">
        <f>IF($GC4="","",$GC4)</f>
        <v/>
      </c>
      <c r="HO4" s="164">
        <f>SUBSTITUTE(IF($EI4&gt;2*$HC4,0,IF($EI4&gt;$HC4,$GN4/2,$GN4))&amp;" m",".",",")</f>
        <v/>
      </c>
      <c r="HP4" s="164">
        <f>IF($GP4&gt;=0,"+","−")&amp;ABS($GP4)</f>
        <v/>
      </c>
      <c r="HQ4" s="164">
        <f>IF($GQ4&gt;=0,"+","−")&amp;ABS($GQ4)</f>
        <v/>
      </c>
      <c r="HR4" s="164">
        <f>IF($GR4&gt;=0,"+","−")&amp;ABS($GR4)</f>
        <v/>
      </c>
      <c r="HS4" s="164">
        <f>IF($GS4&gt;=0,"+","−")&amp;ABS($GS4)</f>
        <v/>
      </c>
      <c r="HT4" s="164">
        <f>IF($GU4&gt;$GT4,"⚠ ","")&amp;"PERÍCIAS · "&amp;$GU4&amp;" DE "&amp;$GT4</f>
        <v/>
      </c>
      <c r="HU4" s="164">
        <f>IF($EQ4="","",IFERROR(IF((INDEX($FR4:$FV4,1,MATCH(VLOOKUP(SUBSTITUTE(SUBSTITUTE(SUBSTITUTE($EQ4,"~","~~"),"*","~*"),"?","~?"),'DADOS_PROGRESSAO'!$AG$2:$AH$34,2,FALSE),$BU$2:$BU$6,0))+$DB$3)&gt;=0,"+","−")&amp;ABS((INDEX($FR4:$FV4,1,MATCH(VLOOKUP(SUBSTITUTE(SUBSTITUTE(SUBSTITUTE($EQ4,"~","~~"),"*","~*"),"?","~?"),'DADOS_PROGRESSAO'!$AG$2:$AH$34,2,FALSE),$BU$2:$BU$6,0))+$DB$3)),""))</f>
        <v/>
      </c>
      <c r="HV4" s="164">
        <f>IF($ER4="","",IFERROR(IF((INDEX($FR4:$FV4,1,MATCH(VLOOKUP(SUBSTITUTE(SUBSTITUTE(SUBSTITUTE($ER4,"~","~~"),"*","~*"),"?","~?"),'DADOS_PROGRESSAO'!$AG$2:$AH$34,2,FALSE),$BU$2:$BU$6,0))+$DB$3)&gt;=0,"+","−")&amp;ABS((INDEX($FR4:$FV4,1,MATCH(VLOOKUP(SUBSTITUTE(SUBSTITUTE(SUBSTITUTE($ER4,"~","~~"),"*","~*"),"?","~?"),'DADOS_PROGRESSAO'!$AG$2:$AH$34,2,FALSE),$BU$2:$BU$6,0))+$DB$3)),""))</f>
        <v/>
      </c>
      <c r="HW4" s="164">
        <f>IF($ES4="","",IFERROR(IF((INDEX($FR4:$FV4,1,MATCH(VLOOKUP(SUBSTITUTE(SUBSTITUTE(SUBSTITUTE($ES4,"~","~~"),"*","~*"),"?","~?"),'DADOS_PROGRESSAO'!$AG$2:$AH$34,2,FALSE),$BU$2:$BU$6,0))+$DB$3)&gt;=0,"+","−")&amp;ABS((INDEX($FR4:$FV4,1,MATCH(VLOOKUP(SUBSTITUTE(SUBSTITUTE(SUBSTITUTE($ES4,"~","~~"),"*","~*"),"?","~?"),'DADOS_PROGRESSAO'!$AG$2:$AH$34,2,FALSE),$BU$2:$BU$6,0))+$DB$3)),""))</f>
        <v/>
      </c>
      <c r="HX4" s="164">
        <f>IF($ET4="","",IFERROR(IF((INDEX($FR4:$FV4,1,MATCH(VLOOKUP(SUBSTITUTE(SUBSTITUTE(SUBSTITUTE($ET4,"~","~~"),"*","~*"),"?","~?"),'DADOS_PROGRESSAO'!$AG$2:$AH$34,2,FALSE),$BU$2:$BU$6,0))+$DB$3)&gt;=0,"+","−")&amp;ABS((INDEX($FR4:$FV4,1,MATCH(VLOOKUP(SUBSTITUTE(SUBSTITUTE(SUBSTITUTE($ET4,"~","~~"),"*","~*"),"?","~?"),'DADOS_PROGRESSAO'!$AG$2:$AH$34,2,FALSE),$BU$2:$BU$6,0))+$DB$3)),""))</f>
        <v/>
      </c>
      <c r="HY4" s="164">
        <f>IF($EU4="","",IFERROR(IF((INDEX($FR4:$FV4,1,MATCH(VLOOKUP(SUBSTITUTE(SUBSTITUTE(SUBSTITUTE($EU4,"~","~~"),"*","~*"),"?","~?"),'DADOS_PROGRESSAO'!$AG$2:$AH$34,2,FALSE),$BU$2:$BU$6,0))+$DB$3)&gt;=0,"+","−")&amp;ABS((INDEX($FR4:$FV4,1,MATCH(VLOOKUP(SUBSTITUTE(SUBSTITUTE(SUBSTITUTE($EU4,"~","~~"),"*","~*"),"?","~?"),'DADOS_PROGRESSAO'!$AG$2:$AH$34,2,FALSE),$BU$2:$BU$6,0))+$DB$3)),""))</f>
        <v/>
      </c>
      <c r="HZ4" s="164">
        <f>IF($EV4="","",IFERROR(IF((INDEX($FR4:$FV4,1,MATCH(VLOOKUP(SUBSTITUTE(SUBSTITUTE(SUBSTITUTE($EV4,"~","~~"),"*","~*"),"?","~?"),'DADOS_PROGRESSAO'!$AG$2:$AH$34,2,FALSE),$BU$2:$BU$6,0))+$DB$3)&gt;=0,"+","−")&amp;ABS((INDEX($FR4:$FV4,1,MATCH(VLOOKUP(SUBSTITUTE(SUBSTITUTE(SUBSTITUTE($EV4,"~","~~"),"*","~*"),"?","~?"),'DADOS_PROGRESSAO'!$AG$2:$AH$34,2,FALSE),$BU$2:$BU$6,0))+$DB$3)),""))</f>
        <v/>
      </c>
      <c r="IA4" s="164">
        <f>IF($EW4="","",IFERROR(IF((INDEX($FR4:$FV4,1,MATCH(VLOOKUP(SUBSTITUTE(SUBSTITUTE(SUBSTITUTE($EW4,"~","~~"),"*","~*"),"?","~?"),'DADOS_PROGRESSAO'!$AG$2:$AH$34,2,FALSE),$BU$2:$BU$6,0))+$DB$3)&gt;=0,"+","−")&amp;ABS((INDEX($FR4:$FV4,1,MATCH(VLOOKUP(SUBSTITUTE(SUBSTITUTE(SUBSTITUTE($EW4,"~","~~"),"*","~*"),"?","~?"),'DADOS_PROGRESSAO'!$AG$2:$AH$34,2,FALSE),$BU$2:$BU$6,0))+$DB$3)),""))</f>
        <v/>
      </c>
      <c r="IB4" s="164">
        <f>IF(IFERROR(VLOOKUP(SUBSTITUTE(SUBSTITUTE(SUBSTITUTE($DF4,"~","~~"),"*","~*"),"?","~?"),'DADOS_ENTIDADES'!$M$2:$P$16,4,FALSE),0)=1,"RESERVA · MÁX. "&amp;$HB4,"RESERVA DE PE")</f>
        <v/>
      </c>
      <c r="IC4" s="164">
        <f>IF($EI4&gt;2*$HC4,"⚠ ",IF($EI4&gt;$HC4,"! ",""))&amp;"EQUIPAMENTO · "&amp;$EI4&amp;" DE "&amp;$HC4&amp;" DE VOLUME"&amp;IF($EI4&gt;2*$HC4," · PASSOU DO DOBRO",IF($EI4&gt;$HC4," · ACIMA DO LIMITE",""))</f>
        <v/>
      </c>
      <c r="ID4" s="164">
        <f>IF(OR($HE4&gt;0,$HD4&gt;$HF4),"⚠ ","")&amp;"FAMÍLIAS · "&amp;$HD4&amp;" ABERTAS"&amp;IF($HE4&gt;0," · REPETIDA","")&amp;IF($HD4&gt;$HF4," · O LIMITE É "&amp;$HF4,"")&amp;IF(OR($RA$4&gt;$HF$4,$HF$4&gt;9)," · LIMITES INCOMPATÍVEIS","")</f>
        <v/>
      </c>
      <c r="IE4" s="164">
        <f>"HABILIDADES · básica de "&amp;$FQ4&amp;"d6 · "&amp;$GV4&amp;IF($GV4&gt;1," espaços"," espaço")&amp;" de especial até a Classe "&amp;$FP4&amp;" · "&amp;$GX4&amp;IF($GX4&gt;1," talentos"," talento")</f>
        <v/>
      </c>
      <c r="IF4" s="164">
        <f>IF($GY4&gt;$GX4,"⚠ ","")&amp;"TALENTOS · "&amp;$GY4&amp;" DE "&amp;$GX4</f>
        <v/>
      </c>
      <c r="IG4" s="164">
        <f>IFERROR(VLOOKUP(SUBSTITUTE(SUBSTITUTE(SUBSTITUTE($EX4,"~","~~"),"*","~*"),"?","~?"),'DADOS_ENTIDADES'!$AI$2:$AL$35,2,FALSE),0)</f>
        <v/>
      </c>
      <c r="IH4" s="164">
        <f>IFERROR(VLOOKUP(SUBSTITUTE(SUBSTITUTE(SUBSTITUTE($EY4,"~","~~"),"*","~*"),"?","~?"),'DADOS_ENTIDADES'!$AI$2:$AL$35,2,FALSE),0)</f>
        <v/>
      </c>
      <c r="II4" s="164">
        <f>IFERROR(VLOOKUP(SUBSTITUTE(SUBSTITUTE(SUBSTITUTE($EZ4,"~","~~"),"*","~*"),"?","~?"),'DADOS_ENTIDADES'!$AI$2:$AL$35,2,FALSE),0)</f>
        <v/>
      </c>
      <c r="IJ4" s="164">
        <f>IFERROR(VLOOKUP(SUBSTITUTE(SUBSTITUTE(SUBSTITUTE($FA4,"~","~~"),"*","~*"),"?","~?"),'DADOS_ENTIDADES'!$AI$2:$AL$35,2,FALSE),0)</f>
        <v/>
      </c>
      <c r="IK4" s="164">
        <f>IFERROR(VLOOKUP(SUBSTITUTE(SUBSTITUTE(SUBSTITUTE($FB4,"~","~~"),"*","~*"),"?","~?"),'DADOS_ENTIDADES'!$AI$2:$AL$35,2,FALSE),0)</f>
        <v/>
      </c>
      <c r="IL4" s="164">
        <f>IFERROR(VLOOKUP(SUBSTITUTE(SUBSTITUTE(SUBSTITUTE($FC4,"~","~~"),"*","~*"),"?","~?"),'DADOS_ENTIDADES'!$AI$2:$AL$35,2,FALSE),0)</f>
        <v/>
      </c>
      <c r="IM4" s="164">
        <f>IFERROR(VLOOKUP(SUBSTITUTE(SUBSTITUTE(SUBSTITUTE($FD4,"~","~~"),"*","~*"),"?","~?"),'DADOS_ENTIDADES'!$AI$2:$AL$35,2,FALSE),0)</f>
        <v/>
      </c>
      <c r="IN4" s="164">
        <f>IFERROR(VLOOKUP(SUBSTITUTE(SUBSTITUTE(SUBSTITUTE($FE4,"~","~~"),"*","~*"),"?","~?"),'DADOS_ENTIDADES'!$AI$2:$AL$35,2,FALSE),0)</f>
        <v/>
      </c>
      <c r="IO4" s="164">
        <f>IF($EX4="","",IF(1&gt;$FO4,"⚠ Este talento abre no nível 1",IF($IG4&gt;1,"⚠ Categoria "&amp;$IG4&amp;": este ganho vai até a 1 · ","")&amp;IFERROR(VLOOKUP(SUBSTITUTE(SUBSTITUTE(SUBSTITUTE($EX4,"~","~~"),"*","~*"),"?","~?"),'DADOS_ENTIDADES'!$AI$2:$AL$35,3,FALSE),"")))</f>
        <v/>
      </c>
      <c r="IP4" s="164">
        <f>IF($EY4="","",IF(6&gt;$FO4,"⚠ Este talento abre no nível 6",IF($IH4&gt;1,"⚠ Categoria "&amp;$IH4&amp;": este ganho vai até a 1 · ","")&amp;IFERROR(VLOOKUP(SUBSTITUTE(SUBSTITUTE(SUBSTITUTE($EY4,"~","~~"),"*","~*"),"?","~?"),'DADOS_ENTIDADES'!$AI$2:$AL$35,3,FALSE),"")))</f>
        <v/>
      </c>
      <c r="IQ4" s="164">
        <f>IF($EZ4="","",IF(10&gt;$FO4,"⚠ Este talento abre no nível 10",IF($II4&gt;2,"⚠ Categoria "&amp;$II4&amp;": este ganho vai até a 2 · ","")&amp;IFERROR(VLOOKUP(SUBSTITUTE(SUBSTITUTE(SUBSTITUTE($EZ4,"~","~~"),"*","~*"),"?","~?"),'DADOS_ENTIDADES'!$AI$2:$AL$35,3,FALSE),"")))</f>
        <v/>
      </c>
      <c r="IR4" s="164">
        <f>IF($FA4="","",IF(14&gt;$FO4,"⚠ Este talento abre no nível 14",IF($IJ4&gt;3,"⚠ Categoria "&amp;$IJ4&amp;": este ganho vai até a 3 · ","")&amp;IFERROR(VLOOKUP(SUBSTITUTE(SUBSTITUTE(SUBSTITUTE($FA4,"~","~~"),"*","~*"),"?","~?"),'DADOS_ENTIDADES'!$AI$2:$AL$35,3,FALSE),"")))</f>
        <v/>
      </c>
      <c r="IS4" s="164">
        <f>IF($FB4="","",IF(18&gt;$FO4,"⚠ Este talento abre no nível 18",IF($IK4&gt;3,"⚠ Categoria "&amp;$IK4&amp;": este ganho vai até a 3 · ","")&amp;IFERROR(VLOOKUP(SUBSTITUTE(SUBSTITUTE(SUBSTITUTE($FB4,"~","~~"),"*","~*"),"?","~?"),'DADOS_ENTIDADES'!$AI$2:$AL$35,3,FALSE),"")))</f>
        <v/>
      </c>
      <c r="IT4" s="164">
        <f>IF($FC4="","",IF(22&gt;$FO4,"⚠ Este talento abre no nível 22",IF($IL4&gt;3,"⚠ Categoria "&amp;$IL4&amp;": este ganho vai até a 3 · ","")&amp;IFERROR(VLOOKUP(SUBSTITUTE(SUBSTITUTE(SUBSTITUTE($FC4,"~","~~"),"*","~*"),"?","~?"),'DADOS_ENTIDADES'!$AI$2:$AL$35,3,FALSE),"")))</f>
        <v/>
      </c>
      <c r="IU4" s="164">
        <f>IF($FD4="","",IF(26&gt;$FO4,"⚠ Este talento abre no nível 26",IF($IM4&gt;3,"⚠ Categoria "&amp;$IM4&amp;": este ganho vai até a 3 · ","")&amp;IFERROR(VLOOKUP(SUBSTITUTE(SUBSTITUTE(SUBSTITUTE($FD4,"~","~~"),"*","~*"),"?","~?"),'DADOS_ENTIDADES'!$AI$2:$AL$35,3,FALSE),"")))</f>
        <v/>
      </c>
      <c r="IV4" s="164">
        <f>IF($FE4="","",IF(30&gt;$FO4,"⚠ Este talento abre no nível 30",IF($IN4&gt;3,"⚠ Categoria "&amp;$IN4&amp;": este ganho vai até a 3 · ","")&amp;IFERROR(VLOOKUP(SUBSTITUTE(SUBSTITUTE(SUBSTITUTE($FE4,"~","~~"),"*","~*"),"?","~?"),'DADOS_ENTIDADES'!$AI$2:$AL$35,3,FALSE),"")))</f>
        <v/>
      </c>
      <c r="IW4" s="164">
        <f>IF($FF4="","",IFERROR(VLOOKUP(SUBSTITUTE(SUBSTITUTE(SUBSTITUTE($FF4,"~","~~"),"*","~*"),"?","~?"),'DADOS_ENTIDADES'!$AI$2:$AL$35,3,FALSE),""))</f>
        <v/>
      </c>
      <c r="IX4" s="164">
        <f>IF($FG4="","",IFERROR(VLOOKUP(SUBSTITUTE(SUBSTITUTE(SUBSTITUTE($FG4,"~","~~"),"*","~*"),"?","~?"),'DADOS_ENTIDADES'!$AI$2:$AL$35,3,FALSE),""))</f>
        <v/>
      </c>
      <c r="IY4" s="164">
        <f>IF($FH4="","",IFERROR(VLOOKUP(SUBSTITUTE(SUBSTITUTE(SUBSTITUTE($FH4,"~","~~"),"*","~*"),"?","~?"),'DADOS_ENTIDADES'!$AI$2:$AL$35,3,FALSE),""))</f>
        <v/>
      </c>
      <c r="IZ4" s="164">
        <f>CEILING(4.5*$FI4,1)&amp;" PE"</f>
        <v/>
      </c>
      <c r="JA4" s="164">
        <f>CEILING(4.5*$FJ4,1)&amp;" PE"</f>
        <v/>
      </c>
      <c r="JB4" s="164">
        <f>CEILING(4.5*$FK4,1)&amp;" PE"</f>
        <v/>
      </c>
      <c r="JC4" s="164">
        <f>INDEX($P$2:$P$8,$FI4)&amp;" pontos + "&amp;$FI4&amp;"d8"</f>
        <v/>
      </c>
      <c r="JD4" s="164">
        <f>INDEX($P$2:$P$8,$FJ4)&amp;" pontos + "&amp;$FJ4&amp;"d8"</f>
        <v/>
      </c>
      <c r="JE4" s="164">
        <f>INDEX($P$2:$P$8,$FK4)&amp;" pontos + "&amp;$FK4&amp;"d8"</f>
        <v/>
      </c>
      <c r="JF4" s="164">
        <f>IF($FO4&lt;17,"—",VLOOKUP($FO4,$CP$2:$CS$4,4,TRUE)&amp;" PE")</f>
        <v/>
      </c>
      <c r="JG4" s="164">
        <f>IF($FO4&lt;17,"Abre no nível 17",VLOOKUP($FO4,$CP$2:$CS$4,2,TRUE)&amp;" fixos · "&amp;VLOOKUP($FO4,$CP$2:$CS$4,3,TRUE)&amp;" pontos")</f>
        <v/>
      </c>
      <c r="JH4" s="164">
        <f>IF($FL4="Sem Barreiras",7,6)*$FP4&amp;" PE"</f>
        <v/>
      </c>
      <c r="JI4" s="164">
        <f>"Acerto "&amp;MAX(0,INDEX($P$2:$P$8,$FP4)-INDEX($I$2:$N$8,$FP4,2+3*IF(AND(IFERROR(VLOOKUP(SUBSTITUTE(SUBSTITUTE(SUBSTITUTE("Inescapável","~","~~"),"*","~*"),"?","~?"),'DADOS_MELHORIAS'!$AG$2:$AL$113,2,FALSE),"")&lt;&gt;"",COUNTIF($RB$4:$RJ$4,IFERROR(VLOOKUP(SUBSTITUTE(SUBSTITUTE(SUBSTITUTE("Inescapável","~","~~"),"*","~*"),"?","~?"),'DADOS_MELHORIAS'!$AG$2:$AL$113,2,FALSE),""))&gt;0),1,0)))&amp;"d8"</f>
        <v/>
      </c>
      <c r="JJ4" s="164">
        <f>IFERROR(VLOOKUP($FL4,$CU$2:$CW$4,3,FALSE),"Escolha o degrau")</f>
        <v/>
      </c>
      <c r="JK4" s="164">
        <f>3&amp;" · "&amp;IF($FM4=0,"vazia",$DE4&amp;" · nv "&amp;$FO4&amp;" · "&amp;$GH4&amp;"/"&amp;$GF4)</f>
        <v/>
      </c>
      <c r="JO4" s="162" t="inlineStr">
        <is>
          <t>Invocação 3</t>
        </is>
      </c>
      <c r="JP4" s="164">
        <f>ADDRESS(ROW('INVOCAÇÕES'!D23),COLUMN('INVOCAÇÕES'!D23),4)</f>
        <v/>
      </c>
      <c r="JQ4" s="164">
        <f>ADDRESS(ROW('INVOCAÇÕES'!H431),COLUMN('INVOCAÇÕES'!H431),4)</f>
        <v/>
      </c>
      <c r="JR4" s="162" t="inlineStr">
        <is>
          <t>DADOS_INVOC!$JK$4</t>
        </is>
      </c>
      <c r="JT4" s="164">
        <f>IF(OR($AW4="",(COUNTIF($EL$2:$EP$2,$AW4)+COUNTIF($QV$2:$QY$2,$AW4))&gt;0),$AV4,"")</f>
        <v/>
      </c>
      <c r="JU4" s="164">
        <f>IF(AND($AX4=1,OR($AW4="",(COUNTIF($EL$2:$EP$2,$AW4)+COUNTIF($QV$2:$QY$2,$AW4))&gt;0)),$AV4,"")</f>
        <v/>
      </c>
      <c r="JW4" s="164">
        <f>IF(OR($W4="",(COUNTIF($EL$2:$EP$2,$W4)+COUNTIF($QV$2:$QY$2,$W4))&gt;0),$V4,"")</f>
        <v/>
      </c>
      <c r="JX4" s="164">
        <f>IF(AND($AF4=1,OR($W4="",(COUNTIF($EL$2:$EP$2,$W4)+COUNTIF($QV$2:$QY$2,$W4))&gt;0)),$V4,"")</f>
        <v/>
      </c>
      <c r="JZ4" s="164">
        <f>IF(OR($AW4="",(COUNTIF($EL$3:$EP$3,$AW4)+COUNTIF($QV$3:$QY$3,$AW4))&gt;0),$AV4,"")</f>
        <v/>
      </c>
      <c r="KA4" s="164">
        <f>IF(AND($AX4=1,OR($AW4="",(COUNTIF($EL$3:$EP$3,$AW4)+COUNTIF($QV$3:$QY$3,$AW4))&gt;0)),$AV4,"")</f>
        <v/>
      </c>
      <c r="KC4" s="164">
        <f>IF(OR($W4="",(COUNTIF($EL$3:$EP$3,$W4)+COUNTIF($QV$3:$QY$3,$W4))&gt;0),$V4,"")</f>
        <v/>
      </c>
      <c r="KD4" s="164">
        <f>IF(AND($AF4=1,OR($W4="",(COUNTIF($EL$3:$EP$3,$W4)+COUNTIF($QV$3:$QY$3,$W4))&gt;0)),$V4,"")</f>
        <v/>
      </c>
      <c r="KF4" s="164">
        <f>IF(OR($AW4="",(COUNTIF($EL$4:$EP$4,$AW4)+COUNTIF($QV$4:$QY$4,$AW4))&gt;0),$AV4,"")</f>
        <v/>
      </c>
      <c r="KG4" s="164">
        <f>IF(AND($AX4=1,OR($AW4="",(COUNTIF($EL$4:$EP$4,$AW4)+COUNTIF($QV$4:$QY$4,$AW4))&gt;0)),$AV4,"")</f>
        <v/>
      </c>
      <c r="KI4" s="164">
        <f>IF(OR($W4="",(COUNTIF($EL$4:$EP$4,$W4)+COUNTIF($QV$4:$QY$4,$W4))&gt;0),$V4,"")</f>
        <v/>
      </c>
      <c r="KJ4" s="164">
        <f>IF(AND($AF4=1,OR($W4="",(COUNTIF($EL$4:$EP$4,$W4)+COUNTIF($QV$4:$QY$4,$W4))&gt;0)),$V4,"")</f>
        <v/>
      </c>
      <c r="KL4" s="164">
        <f>IF(OR($AW4="",(COUNTIF($EL$5:$EP$5,$AW4)+COUNTIF($QV$5:$QY$5,$AW4))&gt;0),$AV4,"")</f>
        <v/>
      </c>
      <c r="KM4" s="164">
        <f>IF(AND($AX4=1,OR($AW4="",(COUNTIF($EL$5:$EP$5,$AW4)+COUNTIF($QV$5:$QY$5,$AW4))&gt;0)),$AV4,"")</f>
        <v/>
      </c>
      <c r="KO4" s="164">
        <f>IF(OR($W4="",(COUNTIF($EL$5:$EP$5,$W4)+COUNTIF($QV$5:$QY$5,$W4))&gt;0),$V4,"")</f>
        <v/>
      </c>
      <c r="KP4" s="164">
        <f>IF(AND($AF4=1,OR($W4="",(COUNTIF($EL$5:$EP$5,$W4)+COUNTIF($QV$5:$QY$5,$W4))&gt;0)),$V4,"")</f>
        <v/>
      </c>
      <c r="KR4" s="164">
        <f>IF(OR($AW4="",(COUNTIF($EL$6:$EP$6,$AW4)+COUNTIF($QV$6:$QY$6,$AW4))&gt;0),$AV4,"")</f>
        <v/>
      </c>
      <c r="KS4" s="164">
        <f>IF(AND($AX4=1,OR($AW4="",(COUNTIF($EL$6:$EP$6,$AW4)+COUNTIF($QV$6:$QY$6,$AW4))&gt;0)),$AV4,"")</f>
        <v/>
      </c>
      <c r="KU4" s="164">
        <f>IF(OR($W4="",(COUNTIF($EL$6:$EP$6,$W4)+COUNTIF($QV$6:$QY$6,$W4))&gt;0),$V4,"")</f>
        <v/>
      </c>
      <c r="KV4" s="164">
        <f>IF(AND($AF4=1,OR($W4="",(COUNTIF($EL$6:$EP$6,$W4)+COUNTIF($QV$6:$QY$6,$W4))&gt;0)),$V4,"")</f>
        <v/>
      </c>
      <c r="KX4" s="164">
        <f>IF(OR($AW4="",(COUNTIF($EL$7:$EP$7,$AW4)+COUNTIF($QV$7:$QY$7,$AW4))&gt;0),$AV4,"")</f>
        <v/>
      </c>
      <c r="KY4" s="164">
        <f>IF(AND($AX4=1,OR($AW4="",(COUNTIF($EL$7:$EP$7,$AW4)+COUNTIF($QV$7:$QY$7,$AW4))&gt;0)),$AV4,"")</f>
        <v/>
      </c>
      <c r="LA4" s="164">
        <f>IF(OR($W4="",(COUNTIF($EL$7:$EP$7,$W4)+COUNTIF($QV$7:$QY$7,$W4))&gt;0),$V4,"")</f>
        <v/>
      </c>
      <c r="LB4" s="164">
        <f>IF(AND($AF4=1,OR($W4="",(COUNTIF($EL$7:$EP$7,$W4)+COUNTIF($QV$7:$QY$7,$W4))&gt;0)),$V4,"")</f>
        <v/>
      </c>
      <c r="LD4" s="164">
        <f>IF(OR($AW4="",(COUNTIF($EL$8:$EP$8,$AW4)+COUNTIF($QV$8:$QY$8,$AW4))&gt;0),$AV4,"")</f>
        <v/>
      </c>
      <c r="LE4" s="164">
        <f>IF(AND($AX4=1,OR($AW4="",(COUNTIF($EL$8:$EP$8,$AW4)+COUNTIF($QV$8:$QY$8,$AW4))&gt;0)),$AV4,"")</f>
        <v/>
      </c>
      <c r="LG4" s="164">
        <f>IF(OR($W4="",(COUNTIF($EL$8:$EP$8,$W4)+COUNTIF($QV$8:$QY$8,$W4))&gt;0),$V4,"")</f>
        <v/>
      </c>
      <c r="LH4" s="164">
        <f>IF(AND($AF4=1,OR($W4="",(COUNTIF($EL$8:$EP$8,$W4)+COUNTIF($QV$8:$QY$8,$W4))&gt;0)),$V4,"")</f>
        <v/>
      </c>
      <c r="LJ4" s="164">
        <f>IF(OR($AW4="",(COUNTIF($EL$9:$EP$9,$AW4)+COUNTIF($QV$9:$QY$9,$AW4))&gt;0),$AV4,"")</f>
        <v/>
      </c>
      <c r="LK4" s="164">
        <f>IF(AND($AX4=1,OR($AW4="",(COUNTIF($EL$9:$EP$9,$AW4)+COUNTIF($QV$9:$QY$9,$AW4))&gt;0)),$AV4,"")</f>
        <v/>
      </c>
      <c r="LM4" s="164">
        <f>IF(OR($W4="",(COUNTIF($EL$9:$EP$9,$W4)+COUNTIF($QV$9:$QY$9,$W4))&gt;0),$V4,"")</f>
        <v/>
      </c>
      <c r="LN4" s="164">
        <f>IF(AND($AF4=1,OR($W4="",(COUNTIF($EL$9:$EP$9,$W4)+COUNTIF($QV$9:$QY$9,$W4))&gt;0)),$V4,"")</f>
        <v/>
      </c>
      <c r="LP4" s="164">
        <f>IF(OR($AW4="",(COUNTIF($EL$10:$EP$10,$AW4)+COUNTIF($QV$10:$QY$10,$AW4))&gt;0),$AV4,"")</f>
        <v/>
      </c>
      <c r="LQ4" s="164">
        <f>IF(AND($AX4=1,OR($AW4="",(COUNTIF($EL$10:$EP$10,$AW4)+COUNTIF($QV$10:$QY$10,$AW4))&gt;0)),$AV4,"")</f>
        <v/>
      </c>
      <c r="LS4" s="164">
        <f>IF(OR($W4="",(COUNTIF($EL$10:$EP$10,$W4)+COUNTIF($QV$10:$QY$10,$W4))&gt;0),$V4,"")</f>
        <v/>
      </c>
      <c r="LT4" s="164">
        <f>IF(AND($AF4=1,OR($W4="",(COUNTIF($EL$10:$EP$10,$W4)+COUNTIF($QV$10:$QY$10,$W4))&gt;0)),$V4,"")</f>
        <v/>
      </c>
      <c r="LV4" s="164">
        <f>IF(OR($AW4="",(COUNTIF($EL$11:$EP$11,$AW4)+COUNTIF($QV$11:$QY$11,$AW4))&gt;0),$AV4,"")</f>
        <v/>
      </c>
      <c r="LW4" s="164">
        <f>IF(AND($AX4=1,OR($AW4="",(COUNTIF($EL$11:$EP$11,$AW4)+COUNTIF($QV$11:$QY$11,$AW4))&gt;0)),$AV4,"")</f>
        <v/>
      </c>
      <c r="LY4" s="164">
        <f>IF(OR($W4="",(COUNTIF($EL$11:$EP$11,$W4)+COUNTIF($QV$11:$QY$11,$W4))&gt;0),$V4,"")</f>
        <v/>
      </c>
      <c r="LZ4" s="164">
        <f>IF(AND($AF4=1,OR($W4="",(COUNTIF($EL$11:$EP$11,$W4)+COUNTIF($QV$11:$QY$11,$W4))&gt;0)),$V4,"")</f>
        <v/>
      </c>
      <c r="MB4" s="164">
        <f>IF(OR($AW4="",(COUNTIF($EL$12:$EP$12,$AW4)+COUNTIF($QV$12:$QY$12,$AW4))&gt;0),$AV4,"")</f>
        <v/>
      </c>
      <c r="MC4" s="164">
        <f>IF(AND($AX4=1,OR($AW4="",(COUNTIF($EL$12:$EP$12,$AW4)+COUNTIF($QV$12:$QY$12,$AW4))&gt;0)),$AV4,"")</f>
        <v/>
      </c>
      <c r="ME4" s="164">
        <f>IF(OR($W4="",(COUNTIF($EL$12:$EP$12,$W4)+COUNTIF($QV$12:$QY$12,$W4))&gt;0),$V4,"")</f>
        <v/>
      </c>
      <c r="MF4" s="164">
        <f>IF(AND($AF4=1,OR($W4="",(COUNTIF($EL$12:$EP$12,$W4)+COUNTIF($QV$12:$QY$12,$W4))&gt;0)),$V4,"")</f>
        <v/>
      </c>
      <c r="MH4" s="164">
        <f>IF(OR($AW4="",(COUNTIF($EL$13:$EP$13,$AW4)+COUNTIF($QV$13:$QY$13,$AW4))&gt;0),$AV4,"")</f>
        <v/>
      </c>
      <c r="MI4" s="164">
        <f>IF(AND($AX4=1,OR($AW4="",(COUNTIF($EL$13:$EP$13,$AW4)+COUNTIF($QV$13:$QY$13,$AW4))&gt;0)),$AV4,"")</f>
        <v/>
      </c>
      <c r="MK4" s="164">
        <f>IF(OR($W4="",(COUNTIF($EL$13:$EP$13,$W4)+COUNTIF($QV$13:$QY$13,$W4))&gt;0),$V4,"")</f>
        <v/>
      </c>
      <c r="ML4" s="164">
        <f>IF(AND($AF4=1,OR($W4="",(COUNTIF($EL$13:$EP$13,$W4)+COUNTIF($QV$13:$QY$13,$W4))&gt;0)),$V4,"")</f>
        <v/>
      </c>
      <c r="MN4" s="162" t="inlineStr">
        <is>
          <t>Ficha 1 · Especial 2</t>
        </is>
      </c>
      <c r="MO4" s="164" t="n">
        <v>1</v>
      </c>
      <c r="MP4" s="164" t="n">
        <v>1</v>
      </c>
      <c r="MQ4" s="164" t="n">
        <v>4</v>
      </c>
      <c r="MR4" s="162" t="inlineStr">
        <is>
          <t>ESPECIAL 2</t>
        </is>
      </c>
      <c r="MS4" s="164">
        <f>MAX(1,MIN(7,N('INVOCAÇÕES'!$U$71)))</f>
        <v/>
      </c>
      <c r="MT4" s="164">
        <f>'INVOCAÇÕES'!$V$71&amp;""</f>
        <v/>
      </c>
      <c r="MU4" s="164">
        <f>'INVOCAÇÕES'!$U$76&amp;""</f>
        <v/>
      </c>
      <c r="MV4" s="164">
        <f>'INVOCAÇÕES'!$U$77&amp;""</f>
        <v/>
      </c>
      <c r="MW4" s="164">
        <f>'INVOCAÇÕES'!$W$77&amp;""</f>
        <v/>
      </c>
      <c r="MX4" s="164">
        <f>'INVOCAÇÕES'!$V$80&amp;""</f>
        <v/>
      </c>
      <c r="MY4" s="164">
        <f>'INVOCAÇÕES'!$V$81&amp;""</f>
        <v/>
      </c>
      <c r="MZ4" s="164">
        <f>'INVOCAÇÕES'!$V$82&amp;""</f>
        <v/>
      </c>
      <c r="NA4" s="164">
        <f>'INVOCAÇÕES'!$V$83&amp;""</f>
        <v/>
      </c>
      <c r="NB4" s="164">
        <f>'INVOCAÇÕES'!$V$84&amp;""</f>
        <v/>
      </c>
      <c r="NC4" s="164">
        <f>'INVOCAÇÕES'!$V$85&amp;""</f>
        <v/>
      </c>
      <c r="ND4" s="164">
        <f>IF($MT4&lt;&gt;"",1,0)</f>
        <v/>
      </c>
      <c r="NE4" s="164">
        <f>INDEX($FO$2:$FO$13,$MO4)</f>
        <v/>
      </c>
      <c r="NF4" s="164">
        <f>INDEX($FP$2:$FP$13,$MO4)</f>
        <v/>
      </c>
      <c r="NG4" s="164">
        <f>INDEX($FQ$2:$FQ$13,$MO4)</f>
        <v/>
      </c>
      <c r="NH4" s="164">
        <f>INDEX($GB$2:$GB$13,$MO4)</f>
        <v/>
      </c>
      <c r="NI4" s="164">
        <f>INDEX($GC$2:$GC$13,$MO4)</f>
        <v/>
      </c>
      <c r="NJ4" s="164">
        <f>IFERROR(MATCH(SUBSTITUTE(SUBSTITUTE(SUBSTITUTE($MU4,"~","~~"),"*","~*"),"?","~?"),'DADOS_FORMAS'!$FZ$2:$FZ$21,0),0)</f>
        <v/>
      </c>
      <c r="NK4" s="164">
        <f>IFERROR(VLOOKUP(SUBSTITUTE(SUBSTITUTE(SUBSTITUTE($MX4,"~","~~"),"*","~*"),"?","~?"),'DADOS_MELHORIAS'!$AG$2:$AL$113,2,FALSE),"")</f>
        <v/>
      </c>
      <c r="NL4" s="164">
        <f>IFERROR(VLOOKUP(SUBSTITUTE(SUBSTITUTE(SUBSTITUTE($MY4,"~","~~"),"*","~*"),"?","~?"),'DADOS_MELHORIAS'!$AG$2:$AL$113,2,FALSE),"")</f>
        <v/>
      </c>
      <c r="NM4" s="164">
        <f>IFERROR(VLOOKUP(SUBSTITUTE(SUBSTITUTE(SUBSTITUTE($MZ4,"~","~~"),"*","~*"),"?","~?"),'DADOS_MELHORIAS'!$AG$2:$AL$113,2,FALSE),"")</f>
        <v/>
      </c>
      <c r="NN4" s="164">
        <f>IFERROR(VLOOKUP(SUBSTITUTE(SUBSTITUTE(SUBSTITUTE($NA4,"~","~~"),"*","~*"),"?","~?"),'DADOS_MELHORIAS'!$AG$2:$AL$113,2,FALSE),"")</f>
        <v/>
      </c>
      <c r="NO4" s="164">
        <f>IFERROR(VLOOKUP(SUBSTITUTE(SUBSTITUTE(SUBSTITUTE($MX4,"~","~~"),"*","~*"),"?","~?"),'DADOS_MELHORIAS'!$AG$2:$AL$113,3,FALSE),0)</f>
        <v/>
      </c>
      <c r="NP4" s="164">
        <f>IFERROR(VLOOKUP(SUBSTITUTE(SUBSTITUTE(SUBSTITUTE($MY4,"~","~~"),"*","~*"),"?","~?"),'DADOS_MELHORIAS'!$AG$2:$AL$113,3,FALSE),0)</f>
        <v/>
      </c>
      <c r="NQ4" s="164">
        <f>IFERROR(VLOOKUP(SUBSTITUTE(SUBSTITUTE(SUBSTITUTE($MZ4,"~","~~"),"*","~*"),"?","~?"),'DADOS_MELHORIAS'!$AG$2:$AL$113,3,FALSE),0)</f>
        <v/>
      </c>
      <c r="NR4" s="164">
        <f>IFERROR(VLOOKUP(SUBSTITUTE(SUBSTITUTE(SUBSTITUTE($NA4,"~","~~"),"*","~*"),"?","~?"),'DADOS_MELHORIAS'!$AG$2:$AL$113,3,FALSE),0)</f>
        <v/>
      </c>
      <c r="NS4" s="164">
        <f>IF($MS4=0,0,IF($NJ4=0,0,INDEX('DADOS_FORMAS'!$GB$2:$GB$21,$NJ4)))</f>
        <v/>
      </c>
      <c r="NT4" s="164">
        <f>IF(OR($NO4=0,$MS4=0),0,$NO4+3*IF(AND($NK4&lt;&gt;"",COUNTIF(INDEX($RB$2:$RJ$13,$MO4,0),$NK4)&gt;0),1,0))</f>
        <v/>
      </c>
      <c r="NU4" s="164">
        <f>IF(OR($NP4=0,$MS4=0),0,$NP4+3*IF(AND($NL4&lt;&gt;"",COUNTIF(INDEX($RB$2:$RJ$13,$MO4,0),$NL4)&gt;0),1,0))</f>
        <v/>
      </c>
      <c r="NV4" s="164">
        <f>IF(OR($NQ4=0,$MS4=0),0,$NQ4+3*IF(AND($NM4&lt;&gt;"",COUNTIF(INDEX($RB$2:$RJ$13,$MO4,0),$NM4)&gt;0),1,0))</f>
        <v/>
      </c>
      <c r="NW4" s="164">
        <f>IF(OR($NR4=0,$MS4=0),0,$NR4+3*IF(AND($NN4&lt;&gt;"",COUNTIF(INDEX($RB$2:$RJ$13,$MO4,0),$NN4)&gt;0),1,0))</f>
        <v/>
      </c>
      <c r="NX4" s="164">
        <f>IF($NJ4=0,0,IF(INDEX('DADOS_FORMAS'!$GA$2:$GA$21,$NJ4)="",0,IF((COUNTIF(INDEX($EL$2:$EP$13,$MO4,0),INDEX('DADOS_FORMAS'!$GA$2:$GA$21,$NJ4))+COUNTIF(INDEX($QV$2:$QY$13,$MO4,0),INDEX('DADOS_FORMAS'!$GA$2:$GA$21,$NJ4)))=0,1,0)))</f>
        <v/>
      </c>
      <c r="NY4" s="164">
        <f>IF(OR($NO4=0,$NK4=""),0,IF((COUNTIF(INDEX($EL$2:$EP$13,$MO4,0),$NK4)+COUNTIF(INDEX($QV$2:$QY$13,$MO4,0),$NK4))=0,1,0))</f>
        <v/>
      </c>
      <c r="NZ4" s="164">
        <f>IF(OR($NP4=0,$NL4=""),0,IF((COUNTIF(INDEX($EL$2:$EP$13,$MO4,0),$NL4)+COUNTIF(INDEX($QV$2:$QY$13,$MO4,0),$NL4))=0,1,0))</f>
        <v/>
      </c>
      <c r="OA4" s="164">
        <f>IF(OR($NQ4=0,$NM4=""),0,IF((COUNTIF(INDEX($EL$2:$EP$13,$MO4,0),$NM4)+COUNTIF(INDEX($QV$2:$QY$13,$MO4,0),$NM4))=0,1,0))</f>
        <v/>
      </c>
      <c r="OB4" s="164">
        <f>IF(OR($NR4=0,$NN4=""),0,IF((COUNTIF(INDEX($EL$2:$EP$13,$MO4,0),$NN4)+COUNTIF(INDEX($QV$2:$QY$13,$MO4,0),$NN4))=0,1,0))</f>
        <v/>
      </c>
      <c r="OC4" s="164">
        <f>IFERROR(VLOOKUP(SUBSTITUTE(SUBSTITUTE(SUBSTITUTE($MX4,"~","~~"),"*","~*"),"?","~?"),'DADOS_MELHORIAS'!$AG$2:$AL$113,4,FALSE),0)+IFERROR(VLOOKUP(SUBSTITUTE(SUBSTITUTE(SUBSTITUTE($MY4,"~","~~"),"*","~*"),"?","~?"),'DADOS_MELHORIAS'!$AG$2:$AL$113,4,FALSE),0)+IFERROR(VLOOKUP(SUBSTITUTE(SUBSTITUTE(SUBSTITUTE($MZ4,"~","~~"),"*","~*"),"?","~?"),'DADOS_MELHORIAS'!$AG$2:$AL$113,4,FALSE),0)+IFERROR(VLOOKUP(SUBSTITUTE(SUBSTITUTE(SUBSTITUTE($NA4,"~","~~"),"*","~*"),"?","~?"),'DADOS_MELHORIAS'!$AG$2:$AL$113,4,FALSE),0)</f>
        <v/>
      </c>
      <c r="OD4" s="164">
        <f>IFERROR(VLOOKUP(SUBSTITUTE(SUBSTITUTE(SUBSTITUTE($MX4,"~","~~"),"*","~*"),"?","~?"),'DADOS_MELHORIAS'!$AG$2:$AL$113,6,FALSE),0)+IFERROR(VLOOKUP(SUBSTITUTE(SUBSTITUTE(SUBSTITUTE($MY4,"~","~~"),"*","~*"),"?","~?"),'DADOS_MELHORIAS'!$AG$2:$AL$113,6,FALSE),0)+IFERROR(VLOOKUP(SUBSTITUTE(SUBSTITUTE(SUBSTITUTE($MZ4,"~","~~"),"*","~*"),"?","~?"),'DADOS_MELHORIAS'!$AG$2:$AL$113,6,FALSE),0)+IFERROR(VLOOKUP(SUBSTITUTE(SUBSTITUTE(SUBSTITUTE($NA4,"~","~~"),"*","~*"),"?","~?"),'DADOS_MELHORIAS'!$AG$2:$AL$113,6,FALSE),0)+IFERROR(N(AND(INDEX('DADOS_FORMAS'!$AO$2:$AO$21,MATCH(SUBSTITUTE(SUBSTITUTE(SUBSTITUTE($MU4,"~","~~"),"*","~*"),"?","~?"),'DADOS_FORMAS'!$AH$2:$AH$21,0))="Acerto",$OH4=1)),0)</f>
        <v/>
      </c>
      <c r="OE4" s="164">
        <f>TEXTJOIN(", ",TRUE,IF(IFERROR(VLOOKUP(SUBSTITUTE(SUBSTITUTE(SUBSTITUTE($MX4,"~","~~"),"*","~*"),"?","~?"),'DADOS_MELHORIAS'!$AG$2:$AL$113,5,FALSE),0)=1,$MX4,""),IF(IFERROR(VLOOKUP(SUBSTITUTE(SUBSTITUTE(SUBSTITUTE($MY4,"~","~~"),"*","~*"),"?","~?"),'DADOS_MELHORIAS'!$AG$2:$AL$113,5,FALSE),0)=1,$MY4,""),IF(IFERROR(VLOOKUP(SUBSTITUTE(SUBSTITUTE(SUBSTITUTE($MZ4,"~","~~"),"*","~*"),"?","~?"),'DADOS_MELHORIAS'!$AG$2:$AL$113,5,FALSE),0)=1,$MZ4,""),IF(IFERROR(VLOOKUP(SUBSTITUTE(SUBSTITUTE(SUBSTITUTE($NA4,"~","~~"),"*","~*"),"?","~?"),'DADOS_MELHORIAS'!$AG$2:$AL$113,5,FALSE),0)=1,$NA4,""))</f>
        <v/>
      </c>
      <c r="OF4" s="164">
        <f>IF($NJ4=0,0,INDEX('DADOS_FORMAS'!$GC$2:$GC$21,$NJ4))</f>
        <v/>
      </c>
      <c r="OG4" s="164">
        <f>IF($NJ4=0,0,INDEX('DADOS_FORMAS'!$GD$2:$GD$21,$NJ4))</f>
        <v/>
      </c>
      <c r="OH4" s="164">
        <f>IF($NJ4=0,0,INDEX('DADOS_FORMAS'!$GF$2:$GF$21,$NJ4))</f>
        <v/>
      </c>
      <c r="OI4" s="164">
        <f>IFERROR(VLOOKUP(SUBSTITUTE(SUBSTITUTE(SUBSTITUTE($NB4,"~","~~"),"*","~*"),"?","~?"),'DADOS_RESTRICOES'!$M$2:$Q$54,3,FALSE),0)</f>
        <v/>
      </c>
      <c r="OJ4" s="164">
        <f>IFERROR(VLOOKUP(SUBSTITUTE(SUBSTITUTE(SUBSTITUTE($NC4,"~","~~"),"*","~*"),"?","~?"),'DADOS_RESTRICOES'!$M$2:$Q$54,3,FALSE),0)</f>
        <v/>
      </c>
      <c r="OK4" s="164">
        <f>IFERROR(VLOOKUP(SUBSTITUTE(SUBSTITUTE(SUBSTITUTE($NB4,"~","~~"),"*","~*"),"?","~?"),'DADOS_RESTRICOES'!$M$2:$Q$54,2,FALSE),"")</f>
        <v/>
      </c>
      <c r="OL4" s="164">
        <f>IFERROR(VLOOKUP(SUBSTITUTE(SUBSTITUTE(SUBSTITUTE($NC4,"~","~~"),"*","~*"),"?","~?"),'DADOS_RESTRICOES'!$M$2:$Q$54,2,FALSE),"")</f>
        <v/>
      </c>
      <c r="OM4" s="164">
        <f>COUNTIF($NS4:$NW4,1)</f>
        <v/>
      </c>
      <c r="ON4" s="164">
        <f>COUNTIF($NS4:$NW4,2)</f>
        <v/>
      </c>
      <c r="OO4" s="164">
        <f>COUNTIF($NS4:$NW4,3)</f>
        <v/>
      </c>
      <c r="OP4" s="164">
        <f>COUNTIF($NS4:$NW4,4)</f>
        <v/>
      </c>
      <c r="OQ4" s="164">
        <f>COUNTIF($NS4:$NW4,5)</f>
        <v/>
      </c>
      <c r="OR4" s="164">
        <f>COUNTIF($NS4:$NW4,6)</f>
        <v/>
      </c>
      <c r="OS4" s="164">
        <f>COUNTIF($OI4:$OJ4,1)+IF(IFERROR(INDEX('DADOS_FORMAS'!$AS$2:$AS$21,MATCH(SUBSTITUTE(SUBSTITUTE(SUBSTITUTE($MU4,"~","~~"),"*","~*"),"?","~?"),'DADOS_FORMAS'!$AH$2:$AH$21,0)),"")="",0,IFERROR(N(VLOOKUP(SUBSTITUTE(SUBSTITUTE(SUBSTITUTE(IFERROR(INDEX('DADOS_FORMAS'!$AS$2:$AS$21,MATCH(SUBSTITUTE(SUBSTITUTE(SUBSTITUTE($MU4,"~","~~"),"*","~*"),"?","~?"),'DADOS_FORMAS'!$AH$2:$AH$21,0)),""),"~","~~"),"*","~*"),"?","~?"),'DADOS_RESTRICOES'!$M$2:$Q$54,3,FALSE)=1),0))</f>
        <v/>
      </c>
      <c r="OT4" s="164">
        <f>COUNTIF($OI4:$OJ4,2)+IF(IFERROR(INDEX('DADOS_FORMAS'!$AS$2:$AS$21,MATCH(SUBSTITUTE(SUBSTITUTE(SUBSTITUTE($MU4,"~","~~"),"*","~*"),"?","~?"),'DADOS_FORMAS'!$AH$2:$AH$21,0)),"")="",0,IFERROR(N(VLOOKUP(SUBSTITUTE(SUBSTITUTE(SUBSTITUTE(IFERROR(INDEX('DADOS_FORMAS'!$AS$2:$AS$21,MATCH(SUBSTITUTE(SUBSTITUTE(SUBSTITUTE($MU4,"~","~~"),"*","~*"),"?","~?"),'DADOS_FORMAS'!$AH$2:$AH$21,0)),""),"~","~~"),"*","~*"),"?","~?"),'DADOS_RESTRICOES'!$M$2:$Q$54,3,FALSE)=2),0))</f>
        <v/>
      </c>
      <c r="OU4" s="164">
        <f>COUNTIF($MX4:$NA4,"?*")</f>
        <v/>
      </c>
      <c r="OV4" s="164">
        <f>COUNTIF($NB4:$NC4,"?*")+$OF4</f>
        <v/>
      </c>
      <c r="OW4" s="164">
        <f>IF($MS4=0,0,SUMPRODUCT($OM4:$OR4,INDEX($I$2:$N$8,MAX(1,$MS4),0)))</f>
        <v/>
      </c>
      <c r="OX4" s="164">
        <f>IF($MS4=0,0,$OS4*CEILING($MS4/2,1)+$OT4*$MS4)</f>
        <v/>
      </c>
      <c r="OY4" s="164">
        <f>MIN(2*$MS4,$OX4)</f>
        <v/>
      </c>
      <c r="OZ4" s="164">
        <f>MIN($OY4,$OW4-IF($NS4=0,0,INDEX($I$2:$N$8,MAX(1,$MS4),$NS4)))</f>
        <v/>
      </c>
      <c r="PA4" s="164">
        <f>$OY4-$OZ4</f>
        <v/>
      </c>
      <c r="PB4" s="164">
        <f>IF($MS4=0,0,INDEX($P$2:$P$8,MAX(1,$MS4)))</f>
        <v/>
      </c>
      <c r="PC4" s="164">
        <f>$PB4-$OW4+$OZ4</f>
        <v/>
      </c>
      <c r="PD4" s="164">
        <f>IF($MS4=0,MAX(0,$NG4-IF(AND($OU4&gt;0,COUNTIF($NB4:$NC4,"?*")=0),1,0)),MAX(0,$PC4))</f>
        <v/>
      </c>
      <c r="PE4" s="164">
        <f>IF($MS4=0,0,(IF(COUNTIF($RK4:$RN4,"Salto")&gt;0,1,0)+IF(COUNTIF($RK4:$RN4,"Queima")&gt;0,1,0)+IF(COUNTIF($RK4:$RN4,"Estilhaço")&gt;0,1,0))*FLOOR($PD4/2,1))</f>
        <v/>
      </c>
      <c r="PF4" s="164">
        <f>MAX(0,2-SUMPRODUCT($OM4:$OR4,$I$2:$N$2)+MIN(2,$OS4*1+$OT4*1,SUMPRODUCT($OM4:$OR4,$I$2:$N$2)-IF($NS4=0,0,INDEX($I$2:$N$2,1,$NS4))))</f>
        <v/>
      </c>
      <c r="PG4" s="164">
        <f>MAX(0,4-SUMPRODUCT($OM4:$OR4,$I$3:$N$3)+MIN(4,$OS4*1+$OT4*2,SUMPRODUCT($OM4:$OR4,$I$3:$N$3)-IF($NS4=0,0,INDEX($I$3:$N$3,1,$NS4))))</f>
        <v/>
      </c>
      <c r="PH4" s="164">
        <f>MAX(0,6-SUMPRODUCT($OM4:$OR4,$I$4:$N$4)+MIN(6,$OS4*2+$OT4*3,SUMPRODUCT($OM4:$OR4,$I$4:$N$4)-IF($NS4=0,0,INDEX($I$4:$N$4,1,$NS4))))</f>
        <v/>
      </c>
      <c r="PI4" s="164">
        <f>MAX(0,9-SUMPRODUCT($OM4:$OR4,$I$5:$N$5)+MIN(8,$OS4*2+$OT4*4,SUMPRODUCT($OM4:$OR4,$I$5:$N$5)-IF($NS4=0,0,INDEX($I$5:$N$5,1,$NS4))))</f>
        <v/>
      </c>
      <c r="PJ4" s="164">
        <f>MAX(0,11-SUMPRODUCT($OM4:$OR4,$I$6:$N$6)+MIN(10,$OS4*3+$OT4*5,SUMPRODUCT($OM4:$OR4,$I$6:$N$6)-IF($NS4=0,0,INDEX($I$6:$N$6,1,$NS4))))</f>
        <v/>
      </c>
      <c r="PK4" s="164">
        <f>MAX(0,13-SUMPRODUCT($OM4:$OR4,$I$7:$N$7)+MIN(12,$OS4*3+$OT4*6,SUMPRODUCT($OM4:$OR4,$I$7:$N$7)-IF($NS4=0,0,INDEX($I$7:$N$7,1,$NS4))))</f>
        <v/>
      </c>
      <c r="PL4" s="164">
        <f>MAX(0,16-SUMPRODUCT($OM4:$OR4,$I$8:$N$8)+MIN(14,$OS4*4+$OT4*7,SUMPRODUCT($OM4:$OR4,$I$8:$N$8)-IF($NS4=0,0,INDEX($I$8:$N$8,1,$NS4))))</f>
        <v/>
      </c>
      <c r="PM4" s="164">
        <f>IF($OG4=2,3*$PF4&amp;" de vida temp.",IF($OG4=3,"sem dano",IF($PF4=0,IF($OG4=1,"sem cura","sem dano"),IF($OG4=1,"cura ","")&amp;$PF4&amp;"d8")))</f>
        <v/>
      </c>
      <c r="PN4" s="164">
        <f>IF($OG4=2,3*$PG4&amp;" de vida temp.",IF($OG4=3,"sem dano",IF($PG4=0,IF($OG4=1,"sem cura","sem dano"),IF($OG4=1,"cura ","")&amp;$PG4&amp;"d8")))</f>
        <v/>
      </c>
      <c r="PO4" s="164">
        <f>IF($OG4=2,3*$PH4&amp;" de vida temp.",IF($OG4=3,"sem dano",IF($PH4=0,IF($OG4=1,"sem cura","sem dano"),IF($OG4=1,"cura ","")&amp;$PH4&amp;"d8")))</f>
        <v/>
      </c>
      <c r="PP4" s="164">
        <f>IF($OG4=2,3*$PI4&amp;" de vida temp.",IF($OG4=3,"sem dano",IF($PI4=0,IF($OG4=1,"sem cura","sem dano"),IF($OG4=1,"cura ","")&amp;$PI4&amp;"d8")))</f>
        <v/>
      </c>
      <c r="PQ4" s="164">
        <f>IF($OG4=2,3*$PJ4&amp;" de vida temp.",IF($OG4=3,"sem dano",IF($PJ4=0,IF($OG4=1,"sem cura","sem dano"),IF($OG4=1,"cura ","")&amp;$PJ4&amp;"d8")))</f>
        <v/>
      </c>
      <c r="PR4" s="164">
        <f>IF($OG4=2,3*$PK4&amp;" de vida temp.",IF($OG4=3,"sem dano",IF($PK4=0,IF($OG4=1,"sem cura","sem dano"),IF($OG4=1,"cura ","")&amp;$PK4&amp;"d8")))</f>
        <v/>
      </c>
      <c r="PS4" s="164">
        <f>IF($OG4=2,3*$PL4&amp;" de vida temp.",IF($OG4=3,"sem dano",IF($PL4=0,IF($OG4=1,"sem cura","sem dano"),IF($OG4=1,"cura ","")&amp;$PL4&amp;"d8")))</f>
        <v/>
      </c>
      <c r="PT4" s="164">
        <f>IF($ND4=0,"",TEXTJOIN(" · ",TRUE,IF($ND4=0,"",TEXTJOIN(" · ",TRUE,IF($ND4=0,"",TEXTJOIN(" · ",TRUE,IF($MQ4&gt;$NE4,"Este lugar abre no nível "&amp;$MQ4,""),IF($MS4&gt;$NF4,"Classe "&amp;$MS4&amp;": o nível "&amp;$NE4&amp;" libera até a "&amp;$NF4,""),IF($NX4=1,"A Forma "&amp;$MU4&amp;" pede "&amp;INDEX('DADOS_FORMAS'!$GA$2:$GA$21,$NJ4)&amp;" aberta",""),IF(AND($MS4=0,$NJ4&gt;0,IF($NJ4=0,0,INDEX('DADOS_FORMAS'!$GJ$2:$GJ$21,$NJ4))=0),$MU4&amp;" não existe na Classe 0",""),IF($NY4=1,"Família Fechada: "&amp;$MX4,""),IF($NZ4=1,"Família Fechada: "&amp;$MY4,""),IF($OA4=1,"Família Fechada: "&amp;$MZ4,""),IF($OB4=1,"Família Fechada: "&amp;$NA4,""),IF(AND($MS4&gt;0,$OU4&gt;INDEX($O$2:$O$8,MAX(1,$MS4))),$OU4&amp;" Melhorias: a Classe "&amp;$MS4&amp;" aceita "&amp;INDEX($O$2:$O$8,MAX(1,$MS4)),""),IF(AND($MS4=0,$OU4&gt;1),"A básica aceita uma Melhoria",""),IF(AND($MS4=0,COUNTIF($NO4:$NR4,"&gt;1")&gt;0),"A básica só aceita Melhoria Leve",""),IF(AND($MS4&gt;0,$OV4&gt;2),$OV4&amp;" Restrições"&amp;IF($OF4=1,", contando a que a Forma "&amp;$MU4&amp;" já traz","")&amp;": o limite é 2",""),IF(AND($MS4=0,COUNTIF($NB4:$NC4,"?*")&gt;1),"A básica aceita uma Restrição Leve",""),IF(AND($MS4=0,COUNTIF($OI4:$OJ4,2)&gt;0),"A básica só aceita Restrição Leve",""),IF(AND($MS4&gt;0,$PC4&lt;0),"Orçamento estourado: faltam "&amp;(-$PC4)&amp;IF($PC4&lt;-1," pontos"," ponto"),""),IF(IFERROR(VLOOKUP(SUBSTITUTE(SUBSTITUTE(SUBSTITUTE($NB4,"~","~~"),"*","~*"),"?","~?"),'DADOS_RESTRICOES'!$M$2:$Q$54,4,FALSE),0)+IFERROR(VLOOKUP(SUBSTITUTE(SUBSTITUTE(SUBSTITUTE($NC4,"~","~~"),"*","~*"),"?","~?"),'DADOS_RESTRICOES'!$M$2:$Q$54,4,FALSE),0)&gt;1,$OK4&amp;" e "&amp;$OL4&amp;" são as duas de frequência",""),IF(AND((COUNTIF($RK4:$RN4,"Rápido")+COUNTIF($OK4:$OL4,"Rápido"))&gt;0,(COUNTIF($MX4:$NA4,"Atrasar")+COUNTIF($OK4:$OL4,"Atrasar"))&gt;0),"Rápido não entra com Atrasar",""),IF(AND((COUNTIF($RK4:$RN4,"Reação")+COUNTIF($OK4:$OL4,"Reação"))&gt;0,(COUNTIF($RK4:$RN4,"Rápido")+COUNTIF($OK4:$OL4,"Rápido"))&gt;0),"Reação não entra com Rápido",""),IF(AND((COUNTIF($RK4:$RN4,"Reação")+COUNTIF($OK4:$OL4,"Reação"))&gt;0,(COUNTIF($RK4:$RN4,"Armado")+COUNTIF($OK4:$OL4,"Armado"))&gt;0),"Reação não entra com Armado",""),IF(AND((COUNTIF($RK4:$RN4,"Reação")+COUNTIF($OK4:$OL4,"Reação"))&gt;0,(COUNTIF($MX4:$NA4,"Atrasar")+COUNTIF($OK4:$OL4,"Atrasar"))&gt;0),"Reação não entra com Atrasar",""),IF(AND((COUNTIF($RK4:$RN4,"Reação")+COUNTIF($OK4:$OL4,"Reação"))&gt;0,(COUNTIF($MX4:$NA4,"Parado")+COUNTIF($OK4:$OL4,"Parado"))&gt;0),"Reação não entra com Parado",""),IF(AND((COUNTIF($MX4:$NA4,"Atrasar")+COUNTIF($OK4:$OL4,"Atrasar"))&gt;0,(COUNTIF($MX4:$NA4,"Parado")+COUNTIF($OK4:$OL4,"Parado"))&gt;0),"Atrasar não entra com Parado",""),IF(AND((COUNTIF($RK4:$RN4,"Armado")+COUNTIF($OK4:$OL4,"Armado"))&gt;0,(COUNTIF($MX4:$NA4,"Carregar")+COUNTIF($OK4:$OL4,"Carregar"))&gt;0),"Armado não entra com Carregar",""),IF(AND(COUNTIF($OK4:$OL4,"Corpo a Corpo")&gt;0,$OF4=0,OR($RO4="Cone",$RO4="Linha")),"Corpo a Corpo não entra em "&amp;$MU4,""),IF(AND(COUNTIF($OK4:$OL4,"Corpo a Corpo")&gt;0,$RP4="Corpo a Corpo"),"A Forma "&amp;$MU4&amp;" já traz o Corpo a Corpo",""),IF(AND(COUNTIF($OK4:$OL4,"Tudo ou Nada")&gt;0,$OH4=0),"Tudo ou Nada só entra em habilidade de Teste de Resistência",""),IF(AND(COUNTIF($RK4:$RN4,"Inescapável")&gt;0,OR($OU4&gt;1,$OV4&gt;0)),"Inescapável não aceita outra peça",""),IF(AND($MS4&gt;0,$PD4*IF(COUNTIF($RK4:$RN4,"Remate")&gt;0,1.25,1)+$PE4&gt;4*$MS4),($PD4*IF(COUNTIF($RK4:$RN4,"Remate")&gt;0,1.25,1)+$PE4)&amp;" dados somando repetições"&amp;IF(COUNTIF($RK4:$RN4,"Remate")&gt;0," e o Remate","")&amp;": o teto da Classe "&amp;$MS4&amp;" é "&amp;4*$MS4,""))),IF(AND($MX4&lt;&gt;"",COUNTIF('DADOS_MELHORIAS'!$O$2:$O$113,SUBSTITUTE(SUBSTITUTE(SUBSTITUTE($MX4,"~","~~"),"*","~*"),"?","~?"))=0),"Melhoria não cadastrada ou com erro: "&amp;$MX4,""),IF(AND($MY4&lt;&gt;"",COUNTIF('DADOS_MELHORIAS'!$O$2:$O$113,SUBSTITUTE(SUBSTITUTE(SUBSTITUTE($MY4,"~","~~"),"*","~*"),"?","~?"))=0),"Melhoria não cadastrada ou com erro: "&amp;$MY4,""),IF(AND($MZ4&lt;&gt;"",COUNTIF('DADOS_MELHORIAS'!$O$2:$O$113,SUBSTITUTE(SUBSTITUTE(SUBSTITUTE($MZ4,"~","~~"),"*","~*"),"?","~?"))=0),"Melhoria não cadastrada ou com erro: "&amp;$MZ4,""),IF(AND($NA4&lt;&gt;"",COUNTIF('DADOS_MELHORIAS'!$O$2:$O$113,SUBSTITUTE(SUBSTITUTE(SUBSTITUTE($NA4,"~","~~"),"*","~*"),"?","~?"))=0),"Melhoria não cadastrada ou com erro: "&amp;$NA4,""),IF(AND($NB4&lt;&gt;"",COUNTIF('DADOS_RESTRICOES'!$M$2:$M$54,SUBSTITUTE(SUBSTITUTE(SUBSTITUTE($NB4,"~","~~"),"*","~*"),"?","~?"))=0),"Restrição não cadastrada ou com erro: "&amp;$NB4,""),IF(AND($NC4&lt;&gt;"",COUNTIF('DADOS_RESTRICOES'!$M$2:$M$54,SUBSTITUTE(SUBSTITUTE(SUBSTITUTE($NC4,"~","~~"),"*","~*"),"?","~?"))=0),"Restrição não cadastrada ou com erro: "&amp;$NC4,""))),IF(AND($MU4&lt;&gt;"",COUNTIF('DADOS_FORMAS'!$AH$2:$AH$21,SUBSTITUTE(SUBSTITUTE(SUBSTITUTE($MU4,"~","~~"),"*","~*"),"?","~?"))=0),"Forma não cadastrada ou com erro: "&amp;$MU4,""),IF(AND(IFERROR(INDEX('DADOS_FORMAS'!$AS$2:$AS$21,MATCH(SUBSTITUTE(SUBSTITUTE(SUBSTITUTE($MU4,"~","~~"),"*","~*"),"?","~?"),'DADOS_FORMAS'!$AH$2:$AH$21,0)),"")&lt;&gt;"",OR(IFERROR(VLOOKUP(SUBSTITUTE(SUBSTITUTE(SUBSTITUTE(IFERROR(INDEX('DADOS_FORMAS'!$AS$2:$AS$21,MATCH(SUBSTITUTE(SUBSTITUTE(SUBSTITUTE($MU4,"~","~~"),"*","~*"),"?","~?"),'DADOS_FORMAS'!$AH$2:$AH$21,0)),""),"~","~~"),"*","~*"),"?","~?"),'DADOS_RESTRICOES'!$M$2:$Q$54,2,FALSE),"")=$OK4,IFERROR(VLOOKUP(SUBSTITUTE(SUBSTITUTE(SUBSTITUTE(IFERROR(INDEX('DADOS_FORMAS'!$AS$2:$AS$21,MATCH(SUBSTITUTE(SUBSTITUTE(SUBSTITUTE($MU4,"~","~~"),"*","~*"),"?","~?"),'DADOS_FORMAS'!$AH$2:$AH$21,0)),""),"~","~~"),"*","~*"),"?","~?"),'DADOS_RESTRICOES'!$M$2:$Q$54,2,FALSE),"")=$OL4)),"Restrição repetida, contando a embutida",""),IF(IF(IFERROR(INDEX('DADOS_FORMAS'!$AS$2:$AS$21,MATCH(SUBSTITUTE(SUBSTITUTE(SUBSTITUTE($MU4,"~","~~"),"*","~*"),"?","~?"),'DADOS_FORMAS'!$AH$2:$AH$21,0)),"")="",0,IFERROR(N(VLOOKUP(SUBSTITUTE(SUBSTITUTE(SUBSTITUTE(IFERROR(INDEX('DADOS_FORMAS'!$AS$2:$AS$21,MATCH(SUBSTITUTE(SUBSTITUTE(SUBSTITUTE($MU4,"~","~~"),"*","~*"),"?","~?"),'DADOS_FORMAS'!$AH$2:$AH$21,0)),""),"~","~~"),"*","~*"),"?","~?"),'DADOS_RESTRICOES'!$M$2:$Q$54,4,FALSE)=1),0))+IF($NB4="",0,IFERROR(N(VLOOKUP(SUBSTITUTE(SUBSTITUTE(SUBSTITUTE($NB4,"~","~~"),"*","~*"),"?","~?"),'DADOS_RESTRICOES'!$M$2:$Q$54,4,FALSE)=1),0))+IF($NC4="",0,IFERROR(N(VLOOKUP(SUBSTITUTE(SUBSTITUTE(SUBSTITUTE($NC4,"~","~~"),"*","~*"),"?","~?"),'DADOS_RESTRICOES'!$M$2:$Q$54,4,FALSE)=1),0))&gt;1,"Duas Restrições de frequência, contando a embutida",""),IF(AND(IFERROR(VLOOKUP(SUBSTITUTE(SUBSTITUTE(SUBSTITUTE(IFERROR(INDEX('DADOS_FORMAS'!$AS$2:$AS$21,MATCH(SUBSTITUTE(SUBSTITUTE(SUBSTITUTE($MU4,"~","~~"),"*","~*"),"?","~?"),'DADOS_FORMAS'!$AH$2:$AH$21,0)),""),"~","~~"),"*","~*"),"?","~?"),'DADOS_RESTRICOES'!$M$2:$Q$54,2,FALSE),"")="Tudo ou Nada",$OH4=0),"Tudo ou Nada exige TR",""),IF(AND(IFERROR(VLOOKUP(SUBSTITUTE(SUBSTITUTE(SUBSTITUTE(IFERROR(INDEX('DADOS_FORMAS'!$AS$2:$AS$21,MATCH(SUBSTITUTE(SUBSTITUTE(SUBSTITUTE($MU4,"~","~~"),"*","~*"),"?","~?"),'DADOS_FORMAS'!$AH$2:$AH$21,0)),""),"~","~~"),"*","~*"),"?","~?"),'DADOS_RESTRICOES'!$M$2:$Q$54,2,FALSE),"")="Corpo a Corpo",OR($RO4="Cone",$RO4="Linha")),"Corpo a Corpo não entra em Cone/Linha","")))</f>
        <v/>
      </c>
      <c r="PU4" s="164">
        <f>IF($PT4="",0,(LEN($PT4)-LEN(SUBSTITUTE($PT4," · ","")))/3+1)</f>
        <v/>
      </c>
      <c r="PV4" s="164">
        <f>IF($ND4=0,"",TEXTJOIN(" · ",TRUE,IF($OX4&gt;2*$MS4,"A devolução parou no teto de "&amp;2*$MS4,""),IF($PA4&gt;0,"Devolução perdida: "&amp;$PA4&amp;IF($PA4&gt;1," pontos"," ponto")&amp;" sem Melhoria para pagar",""),IF(AND($OC4&gt;0,AND($MS4&gt;0,$OG4=0),$PD4=0),"Controle sem dano: uma rodada a mais e CD +2",""),IF(AND($OC4&gt;0,AND($MS4&gt;0,$OG4=0),$PD4&gt;0,$PD4&lt;=$MS4),"Controle com saldo até a Classe: uma rodada a mais",""),IF(AND($MS4&gt;0,$OE4&lt;&gt;""),"Efeito de "&amp;$OE4&amp;" pela Classe "&amp;MAX(1,$MS4-1),"")))</f>
        <v/>
      </c>
      <c r="PW4" s="164">
        <f>IF($PV4="",0,(LEN($PV4)-LEN(SUBSTITUTE($PV4," · ","")))/3+1)</f>
        <v/>
      </c>
      <c r="PX4" s="164">
        <f>IF($ND4=0,IF($OU4+COUNTIF($NB4:$NC4,"?*")&gt;0,"Dê um nome",""),IF($PU4&gt;0,"⚠ "&amp;$PU4&amp;IF($PU4&gt;1," erros"," erro"),IF($PW4&gt;0,"! "&amp;$PW4&amp;IF($PW4&gt;1," avisos"," aviso"),"Na regra")))</f>
        <v/>
      </c>
      <c r="PY4" s="164">
        <f>IF($ND4=0,"",IF($PU4+$PW4=0,"Dentro das regras que a ficha confere",$PT4&amp;IF(AND($PU4&gt;0,$PW4&gt;0)," · ","")&amp;$PV4))</f>
        <v/>
      </c>
      <c r="PZ4" s="164">
        <f>IF($MQ4&gt;$NE4,$MR4&amp;" · ABRE NO NÍVEL "&amp;$MQ4,$MR4)</f>
        <v/>
      </c>
      <c r="QA4" s="164">
        <f>IF($ND4=0,"",IF($MS4=0,"Sem PE",3*$MS4&amp;" PE"))</f>
        <v/>
      </c>
      <c r="QB4" s="164">
        <f>IF($ND4=0,"",IF($MS4=0,"A atuação básica dela",IF(COUNTIF($RQ4:$RS4,"Atrasar")&gt;0,"Sua Ação Completa",IF(COUNTIF($RK4:$RN4,"Rápido")&gt;0,"Sua Bônus",IF(COUNTIF($RK4:$RN4,"Reação")&gt;0,"Sua Reação","Sua Padrão")))&amp;" + a básica dela"&amp;IF(COUNTIF($RK4:$RN4,"Reação")&gt;0," e a coletiva","")&amp;IF(COUNTIF($RQ4:$RS4,"Carregar")&gt;0," · em dois turnos","")))</f>
        <v/>
      </c>
      <c r="QC4" s="164">
        <f>IF($MW4&lt;&gt;"",$MW4,IF($NJ4=0,"",INDEX('DADOS_FORMAS'!$GE$2:$GE$21,$NJ4)))</f>
        <v/>
      </c>
      <c r="QD4" s="164">
        <f>IF(OR($ND4=0,$NJ4=0),"",IF(COUNTIF($RK4:$RN4,"Inescapável")&gt;0,"Automático",IF($QC4="Ataque",IF($NH4="","Ataque","Ataque "&amp;IF(($NH4+2*IF(COUNTIF($RK4:$RN4,"Precisão")&gt;0,1,0))&gt;=0,"+","−")&amp;ABS(($NH4+2*IF(COUNTIF($RK4:$RN4,"Precisão")&gt;0,1,0))))&amp;IF($OD4&gt;0," · TR"&amp;IF($NI4="",""," CD "&amp;$NI4),""),IF(LEFT($QC4,2)="TR",$QC4&amp;IF($NI4="",""," · CD "&amp;$NI4)&amp;IF(COUNTIF($RK4:$RN4,"Certeiro")&gt;0," · metade",""),"Sem rolagem"))))</f>
        <v/>
      </c>
      <c r="QE4" s="164">
        <f>IF(OR($ND4=0,$NJ4=0),"",IF($MS4=0,IF(OR($OG4&gt;=1,$PD4=0),"Sem dano",$PD4&amp;"d6"&amp;IF($MV4="",""," "&amp;$MV4)),IF(OR($OG4&gt;=1,$PD4=0),UPPER(LEFT(INDEX($PM4:$PS4,1,MAX(1,$MS4)),1))&amp;MID(INDEX($PM4:$PS4,1,MAX(1,$MS4)),2,99),UPPER(LEFT(INDEX($PM4:$PS4,1,MAX(1,$MS4)),1))&amp;MID(INDEX($PM4:$PS4,1,MAX(1,$MS4)),2,99)&amp;IF($MV4="",""," "&amp;$MV4)&amp;IF($PE4&gt;0," · +"&amp;$PE4&amp;"d8",""))))</f>
        <v/>
      </c>
      <c r="QF4" s="164">
        <f>COUNTIF($RK4:$RN4,"Longe")+3*COUNTIF($RK4:$RN4,"Muito Longe")</f>
        <v/>
      </c>
      <c r="QG4" s="164">
        <f>COUNTIF($RK4:$RN4,"Maior")+3*COUNTIF($RK4:$RN4,"Muito Maior")</f>
        <v/>
      </c>
      <c r="QH4" s="164">
        <f>IF($NJ4=0,0,CHOOSE(1+INDEX('DADOS_FORMAS'!$GG$2:$GG$21,$NJ4),0,$QF4,$QG4,$QF4+$QG4))</f>
        <v/>
      </c>
      <c r="QI4" s="164">
        <f>IF($NJ4=0,0,CHOOSE(1+INDEX('DADOS_FORMAS'!$GH$2:$GH$21,$NJ4),0,$QF4,$QG4,$QF4+$QG4))</f>
        <v/>
      </c>
      <c r="QJ4" s="164">
        <f>IF(OR($ND4=0,$NJ4=0),"",INDEX('DADOS_FORMAS'!$HU$2:$HZ$81,($NJ4-1)*4+IF($MS4=0,1,IF($MS4&lt;=5,2,IF($MS4=6,3,4))),1+MIN(5,$QH4))&amp;INDEX('DADOS_FORMAS'!$IA$2:$IF$81,($NJ4-1)*4+IF($MS4=0,1,IF($MS4&lt;=5,2,IF($MS4=6,3,4))),1+MIN(5,$QI4))&amp;IF(INDEX('DADOS_FORMAS'!$GI$2:$GI$21,$NJ4)=1,IF(COUNTIF($RK4:$RN4,"Mais Um")&gt;0," · +"&amp;COUNTIF($RK4:$RN4,"Mais Um")&amp;IF(COUNTIF($RK4:$RN4,"Mais Um")&gt;1," alvos"," alvo"),"")&amp;IF(COUNTIF($RK4:$RN4,"Rajada")&gt;0,IF($MS4=0," · 1 tiro"," · "&amp;(MAX(1,$MS4-1)+1)&amp;" tiros"),""),""))</f>
        <v/>
      </c>
      <c r="QK4" s="164">
        <f>IF($ND4=0,"",IF($MS4=0,$NG4&amp;"d6"&amp;IF($OU4&gt;0," − 1 = "&amp;$PD4&amp;"d6"," da básica do nível "&amp;$NE4),$PB4&amp;" − "&amp;$OW4&amp;" + "&amp;$OZ4&amp;" = "&amp;$PC4&amp;" · teto "&amp;4*$MS4&amp;"d8"&amp;IF($OF4=1," · a Forma devolve "&amp;$MS4,"")&amp;IF($PA4&gt;0," · perde "&amp;$PA4,"")))</f>
        <v/>
      </c>
      <c r="QL4" s="164">
        <f>IF($ND4=0,"",IF($MS4=0,"A básica não amplia: os dados dela sobem com o nível",IF($MS4&gt;=$NF4,"Já está na maior Classe que o nível liberou",TEXTJOIN(" · ",TRUE,IF(AND(2&gt;$MS4,2&lt;=$NF4),"2 → "&amp;$PN4&amp;", 6 PE",""),IF(AND(3&gt;$MS4,3&lt;=$NF4),"3 → "&amp;$PO4&amp;", 9 PE",""),IF(AND(4&gt;$MS4,4&lt;=$NF4),"4 → "&amp;$PP4&amp;", 12 PE",""),IF(AND(5&gt;$MS4,5&lt;=$NF4),"5 → "&amp;$PQ4&amp;", 15 PE",""),IF(AND(6&gt;$MS4,6&lt;=$NF4),"6 → "&amp;$PR4&amp;", 18 PE",""),IF(AND(7&gt;$MS4,7&lt;=$NF4),"7 → "&amp;$PS4&amp;", 21 PE","")))))</f>
        <v/>
      </c>
      <c r="QM4" s="164">
        <f>IF(OR($ND4=0,$NO4=0),"",IF($MS4=0,"−1 dado","−"&amp;INDEX($I$2:$N$8,MAX(1,$MS4),MAX(1,$NT4))&amp;" · "&amp;CHOOSE(MAX(1,$NT4),"Leve","Média","Pesada","Leve · Livre","Média · Livre","Pesada · Livre")))</f>
        <v/>
      </c>
      <c r="QN4" s="164">
        <f>IF(OR($ND4=0,$NP4=0),"",IF($MS4=0,"−1 dado","−"&amp;INDEX($I$2:$N$8,MAX(1,$MS4),MAX(1,$NU4))&amp;" · "&amp;CHOOSE(MAX(1,$NU4),"Leve","Média","Pesada","Leve · Livre","Média · Livre","Pesada · Livre")))</f>
        <v/>
      </c>
      <c r="QO4" s="164">
        <f>IF(OR($ND4=0,$NQ4=0),"",IF($MS4=0,"−1 dado","−"&amp;INDEX($I$2:$N$8,MAX(1,$MS4),MAX(1,$NV4))&amp;" · "&amp;CHOOSE(MAX(1,$NV4),"Leve","Média","Pesada","Leve · Livre","Média · Livre","Pesada · Livre")))</f>
        <v/>
      </c>
      <c r="QP4" s="164">
        <f>IF(OR($ND4=0,$NR4=0),"",IF($MS4=0,"−1 dado","−"&amp;INDEX($I$2:$N$8,MAX(1,$MS4),MAX(1,$NW4))&amp;" · "&amp;CHOOSE(MAX(1,$NW4),"Leve","Média","Pesada","Leve · Livre","Média · Livre","Pesada · Livre")))</f>
        <v/>
      </c>
      <c r="QQ4" s="164">
        <f>IF(OR($ND4=0,$NB4=""),"",IF($MS4=0,"não devolve","+"&amp;IF($OI4=1,CEILING($MS4/2,1),$MS4)))</f>
        <v/>
      </c>
      <c r="QR4" s="164">
        <f>IF(OR($ND4=0,$NC4=""),"",IF($MS4=0,"não devolve","+"&amp;IF($OJ4=1,CEILING($MS4/2,1),$MS4)))</f>
        <v/>
      </c>
      <c r="QT4" s="162" t="inlineStr">
        <is>
          <t>D20</t>
        </is>
      </c>
      <c r="QU4" s="164">
        <f>"AS INVOCAÇÕES · "&amp;DADOS_INVOC!$DB$10&amp;" DE 12"</f>
        <v/>
      </c>
      <c r="QV4">
        <f>'INVOCAÇÕES'!$O$472&amp;""</f>
        <v/>
      </c>
      <c r="QW4">
        <f>'INVOCAÇÕES'!$P$472&amp;""</f>
        <v/>
      </c>
      <c r="QX4">
        <f>'INVOCAÇÕES'!$Q$472&amp;""</f>
        <v/>
      </c>
      <c r="QY4">
        <f>'INVOCAÇÕES'!$R$472&amp;""</f>
        <v/>
      </c>
      <c r="QZ4">
        <f>IF('INVOCAÇÕES'!$K$472="","Autônoma",'INVOCAÇÕES'!$K$472)</f>
        <v/>
      </c>
      <c r="RA4">
        <f>IF(DADOS_INVOC!$DB$4="Invocação Principal",'CONFIGURAÇÃO'!$H$144,IF(OR(DADOS_INVOC!$DB$4="Parceria",DADOS_INVOC!$DB$4="Múltiplas Invocações"),'CONFIGURAÇÃO'!$H$142,'CONFIGURAÇÃO'!$H$140))+IF($QZ$4="Não autônoma",'CONFIGURAÇÃO'!$H$145,0)</f>
        <v/>
      </c>
      <c r="RB4">
        <f>IF($RA$4&gt;=1,$EL$4,"")</f>
        <v/>
      </c>
      <c r="RC4">
        <f>IF($RA$4&gt;=2,$EM$4,"")</f>
        <v/>
      </c>
      <c r="RD4">
        <f>IF($RA$4&gt;=7,$EN$4,"")</f>
        <v/>
      </c>
      <c r="RE4">
        <f>IF($RA$4&gt;=8,$EO$4,"")</f>
        <v/>
      </c>
      <c r="RF4">
        <f>IF($RA$4&gt;=9,$EP$4,"")</f>
        <v/>
      </c>
      <c r="RG4">
        <f>IF($RA$4&gt;=3,$QV$4,"")</f>
        <v/>
      </c>
      <c r="RH4">
        <f>IF($RA$4&gt;=4,$QW$4,"")</f>
        <v/>
      </c>
      <c r="RI4">
        <f>IF($RA$4&gt;=5,$QX$4,"")</f>
        <v/>
      </c>
      <c r="RJ4">
        <f>IF($RA$4&gt;=6,$QY$4,"")</f>
        <v/>
      </c>
      <c r="RK4">
        <f>IF($MX4="","",IFERROR(VLOOKUP(SUBSTITUTE(SUBSTITUTE(SUBSTITUTE($MX4,"~","~~"),"*","~*"),"?","~?"),'DADOS_MELHORIAS'!$O$2:$X$113,10,FALSE),$MX4))</f>
        <v/>
      </c>
      <c r="RL4">
        <f>IF($MY4="","",IFERROR(VLOOKUP(SUBSTITUTE(SUBSTITUTE(SUBSTITUTE($MY4,"~","~~"),"*","~*"),"?","~?"),'DADOS_MELHORIAS'!$O$2:$X$113,10,FALSE),$MY4))</f>
        <v/>
      </c>
      <c r="RM4">
        <f>IF($MZ4="","",IFERROR(VLOOKUP(SUBSTITUTE(SUBSTITUTE(SUBSTITUTE($MZ4,"~","~~"),"*","~*"),"?","~?"),'DADOS_MELHORIAS'!$O$2:$X$113,10,FALSE),$MZ4))</f>
        <v/>
      </c>
      <c r="RN4">
        <f>IF($NA4="","",IFERROR(VLOOKUP(SUBSTITUTE(SUBSTITUTE(SUBSTITUTE($NA4,"~","~~"),"*","~*"),"?","~?"),'DADOS_MELHORIAS'!$O$2:$X$113,10,FALSE),$NA4))</f>
        <v/>
      </c>
      <c r="RO4">
        <f>IFERROR(INDEX('DADOS_FORMAS'!$BJ$2:$BJ$21,MATCH(SUBSTITUTE(SUBSTITUTE(SUBSTITUTE($MU4,"~","~~"),"*","~*"),"?","~?"),'DADOS_FORMAS'!$AH$2:$AH$21,0)),"")</f>
        <v/>
      </c>
      <c r="RP4">
        <f>IFERROR(VLOOKUP(SUBSTITUTE(SUBSTITUTE(SUBSTITUTE(IFERROR(INDEX('DADOS_FORMAS'!$AS$2:$AS$21,MATCH(SUBSTITUTE(SUBSTITUTE(SUBSTITUTE($MU4,"~","~~"),"*","~*"),"?","~?"),'DADOS_FORMAS'!$AH$2:$AH$21,0)),""),"~","~~"),"*","~*"),"?","~?"),'DADOS_RESTRICOES'!$M$2:$Q$54,2,FALSE),"")</f>
        <v/>
      </c>
      <c r="RQ4">
        <f>$OK4</f>
        <v/>
      </c>
      <c r="RR4">
        <f>$OL4</f>
        <v/>
      </c>
      <c r="RS4">
        <f>$RP4</f>
        <v/>
      </c>
    </row>
    <row r="5">
      <c r="A5" s="164" t="n">
        <v>13</v>
      </c>
      <c r="B5" s="164" t="n">
        <v>4</v>
      </c>
      <c r="C5" s="164" t="n">
        <v>2</v>
      </c>
      <c r="D5" s="164" t="n">
        <v>9</v>
      </c>
      <c r="F5" s="164" t="n">
        <v>18</v>
      </c>
      <c r="H5" s="164" t="n">
        <v>4</v>
      </c>
      <c r="I5" s="164" t="n">
        <v>2</v>
      </c>
      <c r="J5" s="164" t="n">
        <v>4</v>
      </c>
      <c r="K5" s="164" t="n">
        <v>6</v>
      </c>
      <c r="L5" s="164" t="n">
        <v>1</v>
      </c>
      <c r="M5" s="164" t="n">
        <v>2</v>
      </c>
      <c r="N5" s="164" t="n">
        <v>4</v>
      </c>
      <c r="O5" s="164" t="n">
        <v>3</v>
      </c>
      <c r="P5" s="164" t="n">
        <v>9</v>
      </c>
      <c r="R5" s="164" t="n">
        <v>3</v>
      </c>
      <c r="T5" s="164" t="n">
        <v>6</v>
      </c>
      <c r="V5" s="162" t="inlineStr">
        <is>
          <t>Aura</t>
        </is>
      </c>
      <c r="W5" s="162" t="inlineStr">
        <is>
          <t>Área</t>
        </is>
      </c>
      <c r="X5" s="164" t="n">
        <v>1</v>
      </c>
      <c r="Y5" s="164" t="n">
        <v>1</v>
      </c>
      <c r="Z5" s="164" t="n">
        <v>0</v>
      </c>
      <c r="AA5" s="162" t="inlineStr">
        <is>
          <t>TR</t>
        </is>
      </c>
      <c r="AB5" s="164" t="n">
        <v>1</v>
      </c>
      <c r="AC5" s="164" t="n">
        <v>2</v>
      </c>
      <c r="AD5" s="164" t="n">
        <v>0</v>
      </c>
      <c r="AE5" s="164" t="n">
        <v>0</v>
      </c>
      <c r="AF5" s="164" t="n">
        <v>1</v>
      </c>
      <c r="AH5" s="162" t="inlineStr">
        <is>
          <t>Projétil · classe 7</t>
        </is>
      </c>
      <c r="AI5" s="162" t="inlineStr">
        <is>
          <t>36 m, um alvo</t>
        </is>
      </c>
      <c r="AJ5" s="162" t="inlineStr">
        <is>
          <t>90 m, um alvo</t>
        </is>
      </c>
      <c r="AK5" s="162" t="inlineStr">
        <is>
          <t>Visão a olho nu, um alvo</t>
        </is>
      </c>
      <c r="AL5" s="162" t="inlineStr">
        <is>
          <t>Visão a olho nu, um alvo</t>
        </is>
      </c>
      <c r="AM5" s="162" t="inlineStr">
        <is>
          <t>Visão a olho nu, um alvo</t>
        </is>
      </c>
      <c r="AN5" s="162" t="inlineStr">
        <is>
          <t>Visão a olho nu, um alvo</t>
        </is>
      </c>
      <c r="AO5" s="162" t="inlineStr"/>
      <c r="AP5" s="162" t="inlineStr"/>
      <c r="AQ5" s="162" t="inlineStr"/>
      <c r="AR5" s="162" t="inlineStr"/>
      <c r="AS5" s="162" t="inlineStr"/>
      <c r="AT5" s="162" t="inlineStr"/>
      <c r="AV5" s="162" t="inlineStr">
        <is>
          <t>Perseguir</t>
        </is>
      </c>
      <c r="AW5" s="162" t="inlineStr">
        <is>
          <t>Alcance</t>
        </is>
      </c>
      <c r="AX5" s="164" t="n">
        <v>2</v>
      </c>
      <c r="AY5" s="164" t="n">
        <v>0</v>
      </c>
      <c r="AZ5" s="164" t="n">
        <v>0</v>
      </c>
      <c r="BA5" s="164" t="n">
        <v>0</v>
      </c>
      <c r="BC5" s="162" t="inlineStr">
        <is>
          <t>Gesto</t>
        </is>
      </c>
      <c r="BD5" s="162" t="inlineStr">
        <is>
          <t>Gesto</t>
        </is>
      </c>
      <c r="BE5" s="164" t="n">
        <v>1</v>
      </c>
      <c r="BF5" s="164" t="n">
        <v>0</v>
      </c>
      <c r="BG5" s="162" t="inlineStr">
        <is>
          <t>Gesto</t>
        </is>
      </c>
      <c r="BI5" s="162" t="inlineStr">
        <is>
          <t>Mão Firme</t>
        </is>
      </c>
      <c r="BJ5" s="164" t="n">
        <v>1</v>
      </c>
      <c r="BK5" s="162" t="inlineStr">
        <is>
          <t>Quando uma ocorrência de dano causar 10 pontos ou menos, você não precisa fazer o teste para manter Concentração ou Carregar. Confira o dano de cada ocorrência depois das reduções aplicáveis. Não some todos os golpes da rodada.</t>
        </is>
      </c>
      <c r="BL5" s="162" t="inlineStr">
        <is>
          <t>Mão Firme</t>
        </is>
      </c>
      <c r="BN5" s="162" t="inlineStr">
        <is>
          <t>Corpo amaldiçoado de criação</t>
        </is>
      </c>
      <c r="BP5" s="162" t="inlineStr">
        <is>
          <t>Criação</t>
        </is>
      </c>
      <c r="BQ5" s="164" t="n">
        <v>2</v>
      </c>
      <c r="BS5" s="162" t="inlineStr">
        <is>
          <t>Controle</t>
        </is>
      </c>
      <c r="BU5" s="162" t="inlineStr">
        <is>
          <t>Inteligência</t>
        </is>
      </c>
      <c r="BW5" s="162" t="inlineStr">
        <is>
          <t>Espírito</t>
        </is>
      </c>
      <c r="CC5" s="162" t="inlineStr">
        <is>
          <t>Pontaria</t>
        </is>
      </c>
      <c r="CD5" s="162" t="inlineStr">
        <is>
          <t>Destreza</t>
        </is>
      </c>
      <c r="CH5" s="162" t="inlineStr">
        <is>
          <t>Forja</t>
        </is>
      </c>
      <c r="CJ5" s="162" t="inlineStr">
        <is>
          <t>Fogo</t>
        </is>
      </c>
      <c r="CL5" s="162" t="inlineStr">
        <is>
          <t>TR Intelecto</t>
        </is>
      </c>
      <c r="CN5" s="164" t="n">
        <v>3</v>
      </c>
      <c r="DA5" s="162" t="inlineStr">
        <is>
          <t>a defesa usa</t>
        </is>
      </c>
      <c r="DB5" s="164">
        <f>'INVOCAÇÕES'!$D$17&amp;""</f>
        <v/>
      </c>
      <c r="DD5" s="164" t="n">
        <v>4</v>
      </c>
      <c r="DE5" s="164">
        <f>'INVOCAÇÕES'!$I$646&amp;""</f>
        <v/>
      </c>
      <c r="DF5" s="164">
        <f>'INVOCAÇÕES'!$I$676&amp;""</f>
        <v/>
      </c>
      <c r="DG5" s="164">
        <f>'INVOCAÇÕES'!$I$680&amp;""</f>
        <v/>
      </c>
      <c r="DH5" s="164">
        <f>N('INVOCAÇÕES'!$K$680)</f>
        <v/>
      </c>
      <c r="DI5" s="164">
        <f>'INVOCAÇÕES'!$L$680&amp;""</f>
        <v/>
      </c>
      <c r="DJ5" s="164">
        <f>N('INVOCAÇÕES'!$O$653)</f>
        <v/>
      </c>
      <c r="DK5" s="164">
        <f>N('INVOCAÇÕES'!$P$653)</f>
        <v/>
      </c>
      <c r="DL5" s="164">
        <f>N('INVOCAÇÕES'!$Q$653)</f>
        <v/>
      </c>
      <c r="DM5" s="164">
        <f>N('INVOCAÇÕES'!$R$653)</f>
        <v/>
      </c>
      <c r="DN5" s="164">
        <f>N('INVOCAÇÕES'!$S$653)</f>
        <v/>
      </c>
      <c r="DO5" s="164">
        <f>N('INVOCAÇÕES'!$O$654)</f>
        <v/>
      </c>
      <c r="DP5" s="164">
        <f>N('INVOCAÇÕES'!$P$654)</f>
        <v/>
      </c>
      <c r="DQ5" s="164">
        <f>N('INVOCAÇÕES'!$Q$654)</f>
        <v/>
      </c>
      <c r="DR5" s="164">
        <f>N('INVOCAÇÕES'!$R$654)</f>
        <v/>
      </c>
      <c r="DS5" s="164">
        <f>N('INVOCAÇÕES'!$S$654)</f>
        <v/>
      </c>
      <c r="DT5" s="164">
        <f>'INVOCAÇÕES'!$O$667&amp;""</f>
        <v/>
      </c>
      <c r="DU5" s="164">
        <f>'INVOCAÇÕES'!$R$667&amp;""</f>
        <v/>
      </c>
      <c r="DV5" s="164">
        <f>'INVOCAÇÕES'!$S$662&amp;""</f>
        <v/>
      </c>
      <c r="DW5" s="164">
        <f>N('INVOCAÇÕES'!$O$659)</f>
        <v/>
      </c>
      <c r="DX5" s="164">
        <f>N('INVOCAÇÕES'!$P$659)</f>
        <v/>
      </c>
      <c r="DY5" s="164">
        <f>N('INVOCAÇÕES'!$Q$659)</f>
        <v/>
      </c>
      <c r="DZ5" s="164">
        <f>N('INVOCAÇÕES'!$R$659)</f>
        <v/>
      </c>
      <c r="EA5" s="164">
        <f>N('INVOCAÇÕES'!$S$659)</f>
        <v/>
      </c>
      <c r="EB5" s="164">
        <f>N('INVOCAÇÕES'!$O$664)</f>
        <v/>
      </c>
      <c r="EC5" s="164">
        <f>N('INVOCAÇÕES'!$P$664)</f>
        <v/>
      </c>
      <c r="ED5" s="164">
        <f>N('INVOCAÇÕES'!$Q$664)</f>
        <v/>
      </c>
      <c r="EE5" s="164">
        <f>N('INVOCAÇÕES'!$R$664)</f>
        <v/>
      </c>
      <c r="EF5" s="164">
        <f>'INVOCAÇÕES'!$U$646&amp;""</f>
        <v/>
      </c>
      <c r="EG5" s="164">
        <f>N('INVOCAÇÕES'!$W$646)</f>
        <v/>
      </c>
      <c r="EH5" s="164">
        <f>'INVOCAÇÕES'!$Y$646&amp;""</f>
        <v/>
      </c>
      <c r="EI5" s="164">
        <f>SUM('INVOCAÇÕES'!$Y$627:'INVOCAÇÕES'!$Y$629,'INVOCAÇÕES'!$Y$631:'INVOCAÇÕES'!$Y$636)</f>
        <v/>
      </c>
      <c r="EJ5" s="164">
        <f>'INVOCAÇÕES'!$U$651&amp;""</f>
        <v/>
      </c>
      <c r="EK5" s="164">
        <f>'INVOCAÇÕES'!$V$651&amp;""</f>
        <v/>
      </c>
      <c r="EL5" s="164">
        <f>'INVOCAÇÕES'!$O$681&amp;""</f>
        <v/>
      </c>
      <c r="EM5" s="164">
        <f>'INVOCAÇÕES'!$P$681&amp;""</f>
        <v/>
      </c>
      <c r="EN5" s="164">
        <f>'INVOCAÇÕES'!$Q$681&amp;""</f>
        <v/>
      </c>
      <c r="EO5" s="164">
        <f>'INVOCAÇÕES'!$R$681&amp;""</f>
        <v/>
      </c>
      <c r="EP5" s="164">
        <f>'INVOCAÇÕES'!$S$681&amp;""</f>
        <v/>
      </c>
      <c r="EQ5" s="164">
        <f>'INVOCAÇÕES'!$O$671&amp;""</f>
        <v/>
      </c>
      <c r="ER5" s="164">
        <f>'INVOCAÇÕES'!$O$672&amp;""</f>
        <v/>
      </c>
      <c r="ES5" s="164">
        <f>'INVOCAÇÕES'!$O$673&amp;""</f>
        <v/>
      </c>
      <c r="ET5" s="164">
        <f>'INVOCAÇÕES'!$O$674&amp;""</f>
        <v/>
      </c>
      <c r="EU5" s="164">
        <f>'INVOCAÇÕES'!$O$675&amp;""</f>
        <v/>
      </c>
      <c r="EV5" s="164">
        <f>'INVOCAÇÕES'!$O$676&amp;""</f>
        <v/>
      </c>
      <c r="EW5" s="164">
        <f>'INVOCAÇÕES'!$O$677&amp;""</f>
        <v/>
      </c>
      <c r="EX5" s="164">
        <f>'INVOCAÇÕES'!$J$726&amp;""</f>
        <v/>
      </c>
      <c r="EY5" s="164">
        <f>'INVOCAÇÕES'!$J$727&amp;""</f>
        <v/>
      </c>
      <c r="EZ5" s="164">
        <f>'INVOCAÇÕES'!$J$728&amp;""</f>
        <v/>
      </c>
      <c r="FA5" s="164">
        <f>'INVOCAÇÕES'!$J$729&amp;""</f>
        <v/>
      </c>
      <c r="FB5" s="164">
        <f>'INVOCAÇÕES'!$J$730&amp;""</f>
        <v/>
      </c>
      <c r="FC5" s="164">
        <f>'INVOCAÇÕES'!$J$731&amp;""</f>
        <v/>
      </c>
      <c r="FD5" s="164">
        <f>'INVOCAÇÕES'!$J$732&amp;""</f>
        <v/>
      </c>
      <c r="FE5" s="164">
        <f>'INVOCAÇÕES'!$J$733&amp;""</f>
        <v/>
      </c>
      <c r="FF5" s="164">
        <f>'INVOCAÇÕES'!$J$828&amp;""</f>
        <v/>
      </c>
      <c r="FG5" s="164">
        <f>'INVOCAÇÕES'!$J$829&amp;""</f>
        <v/>
      </c>
      <c r="FH5" s="164">
        <f>'INVOCAÇÕES'!$J$830&amp;""</f>
        <v/>
      </c>
      <c r="FI5" s="164">
        <f>MAX(3,MIN(7,N('INVOCAÇÕES'!$I$835)))</f>
        <v/>
      </c>
      <c r="FJ5" s="164">
        <f>MAX(3,MIN(7,N('INVOCAÇÕES'!$O$835)))</f>
        <v/>
      </c>
      <c r="FK5" s="164">
        <f>MAX(3,MIN(7,N('INVOCAÇÕES'!$U$835)))</f>
        <v/>
      </c>
      <c r="FL5" s="164">
        <f>'INVOCAÇÕES'!$O$849&amp;""</f>
        <v/>
      </c>
      <c r="FM5" s="164">
        <f>IF($DE5&lt;&gt;"",1,0)</f>
        <v/>
      </c>
      <c r="FN5" s="164">
        <f>IFERROR(VLOOKUP($DG5,$BP$2:$BQ$5,2,FALSE),1)</f>
        <v/>
      </c>
      <c r="FO5" s="164">
        <f>IF($FN5=1,$DB$2,IF($FN5=2,MIN($DB$2,IF(MAX(1,MIN($DB$2,IF($DH5=0,$DB$2,$DH5)))&lt;=4,4,IF(MAX(1,MIN($DB$2,IF($DH5=0,$DB$2,$DH5)))&lt;=8,8,IF(MAX(1,MIN($DB$2,IF($DH5=0,$DB$2,$DH5)))&lt;=12,12,IF(MAX(1,MIN($DB$2,IF($DH5=0,$DB$2,$DH5)))&lt;=16,16,IF(MAX(1,MIN($DB$2,IF($DH5=0,$DB$2,$DH5)))&lt;=20,20,IF(MAX(1,MIN($DB$2,IF($DH5=0,$DB$2,$DH5)))&lt;=25,25,IF(MAX(1,MIN($DB$2,IF($DH5=0,$DB$2,$DH5)))&lt;=30,30,30)))))))),MAX(1,MIN($DB$2,IF($DH5=0,$DB$2,$DH5)))))</f>
        <v/>
      </c>
      <c r="FP5" s="164">
        <f>VLOOKUP(MAX(1,$FO5),$A$2:$D$8,2,TRUE)</f>
        <v/>
      </c>
      <c r="FQ5" s="164">
        <f>VLOOKUP(MAX(1,$FO5),$A$2:$D$8,3,TRUE)</f>
        <v/>
      </c>
      <c r="FR5" s="164">
        <f>$DJ5+$DO5</f>
        <v/>
      </c>
      <c r="FS5" s="164">
        <f>$DK5+$DP5</f>
        <v/>
      </c>
      <c r="FT5" s="164">
        <f>$DL5+$DQ5</f>
        <v/>
      </c>
      <c r="FU5" s="164">
        <f>$DM5+$DR5</f>
        <v/>
      </c>
      <c r="FV5" s="164">
        <f>$DN5+$DS5</f>
        <v/>
      </c>
      <c r="FW5" s="164">
        <f>SUM($DJ5:$DN5)</f>
        <v/>
      </c>
      <c r="FX5" s="164">
        <f>9+$FY5</f>
        <v/>
      </c>
      <c r="FY5" s="164">
        <f>COUNTIF($F$2:$F$8,"&lt;="&amp;$FO5)</f>
        <v/>
      </c>
      <c r="FZ5" s="164">
        <f>MAX(0,$DJ5-3)+MAX(0,$DK5-3)+MAX(0,$DL5-3)+MAX(0,$DM5-3)+MAX(0,$DN5-3)</f>
        <v/>
      </c>
      <c r="GA5" s="164">
        <f>IFERROR(INDEX($FR5:$FV5,1,MATCH($DT5,$BU$2:$BU$6,0)),"")</f>
        <v/>
      </c>
      <c r="GB5" s="164">
        <f>IF($GA5="","",$GA5+$DB$3+$DW5)</f>
        <v/>
      </c>
      <c r="GC5" s="164">
        <f>IF($GA5="","",8+$GA5+$DB$3+$DX5)</f>
        <v/>
      </c>
      <c r="GD5" s="164">
        <f>10+$FS5+$DB$7+$DY5</f>
        <v/>
      </c>
      <c r="GE5" s="164">
        <f>IF(IFERROR(VLOOKUP(SUBSTITUTE(SUBSTITUTE(SUBSTITUTE($DF5,"~","~~"),"*","~*"),"?","~?"),'DADOS_ENTIDADES'!$M$2:$P$16,2,FALSE),0)=1,1,0)</f>
        <v/>
      </c>
      <c r="GF5" s="164">
        <f>5+$FT5+(3+$GE5+$FT5)*($FO5-1)+$DZ5</f>
        <v/>
      </c>
      <c r="GG5" s="164">
        <f>IF($FM5=0,"",$GF5)</f>
        <v/>
      </c>
      <c r="GH5" s="164">
        <f>IF($EF5="",$GF5,MAX(0,MIN(IFERROR(VALUE($EF5),$GF5),$GF5)))</f>
        <v/>
      </c>
      <c r="GI5" s="164">
        <f>IF(AND($FM5=1,$EJ5&lt;&gt;"Sem alma"),MAX(1,INT($GF5/2)),"")</f>
        <v/>
      </c>
      <c r="GJ5" s="164">
        <f>$GI5</f>
        <v/>
      </c>
      <c r="GK5" s="164">
        <f>IF($GI5="","",IF($EK5="",$GI5,MAX(0,MIN(IFERROR(VALUE($EK5),$GI5),$GI5))))</f>
        <v/>
      </c>
      <c r="GL5" s="164">
        <f>IF($FM5=0,"",IF($GI5="","—",$GI5))</f>
        <v/>
      </c>
      <c r="GM5" s="164">
        <f>IF($FM5=0,"",IF($GI5="","Sem alma · imune a dano de Alma",IF($GK5&lt;=0,"Estágio 4 · caída, como a zero de vida",IF($GK5&lt;=$GI5/4,"Estágio 3 · desvantagem em ataques e TRs, Classe pela metade",IF($GK5&lt;=$GI5/2,"Estágio 2 · metade do deslocamento, +1 PE por Classe",IF($GK5&lt;=$GI5*3/4,"Estágio 1 · desvantagem em perícias","Alma inteira"))))))</f>
        <v/>
      </c>
      <c r="GN5" s="164">
        <f>9+$EA5</f>
        <v/>
      </c>
      <c r="GO5" s="164">
        <f>IF($DU5="Destreza",$FS5,$FR5)</f>
        <v/>
      </c>
      <c r="GP5" s="164">
        <f>$GO5+IF($DV5="Físico",$DB$3,0)+$EB5</f>
        <v/>
      </c>
      <c r="GQ5" s="164">
        <f>$FT5+IF($DV5="Vigor",$DB$3,0)+$EC5</f>
        <v/>
      </c>
      <c r="GR5" s="164">
        <f>$FU5+IF($DV5="Intelecto",$DB$3,0)+$ED5</f>
        <v/>
      </c>
      <c r="GS5" s="164">
        <f>$FV5+IF($DV5="Espírito",$DB$3,0)+$EE5</f>
        <v/>
      </c>
      <c r="GT5" s="164">
        <f>4+INT($DM5/2)</f>
        <v/>
      </c>
      <c r="GU5" s="164">
        <f>COUNTIF($EQ5:$EW5,"?*")</f>
        <v/>
      </c>
      <c r="GV5" s="164">
        <f>INT((2+$FO5/2)/2)</f>
        <v/>
      </c>
      <c r="GW5" s="164">
        <f>IF($FO5&gt;=11,2,1)</f>
        <v/>
      </c>
      <c r="GX5" s="164">
        <f>1+$FY5</f>
        <v/>
      </c>
      <c r="GY5" s="164">
        <f>COUNTIF($EX5:$FE5,"?*")</f>
        <v/>
      </c>
      <c r="GZ5" s="164">
        <f>IF(AND(IFERROR(VLOOKUP(SUBSTITUTE(SUBSTITUTE(SUBSTITUTE($DF5,"~","~~"),"*","~*"),"?","~?"),'DADOS_ENTIDADES'!$M$2:$P$16,3,FALSE),0)=1,$DI5="Com carga"),MAX(1,CEILING($FP5/2,1)),$FP5)</f>
        <v/>
      </c>
      <c r="HA5" s="164">
        <f>2*$FP5</f>
        <v/>
      </c>
      <c r="HB5" s="164">
        <f>$FO5*(1+INT($DN5/3))</f>
        <v/>
      </c>
      <c r="HC5" s="164">
        <f>5+$FR5</f>
        <v/>
      </c>
      <c r="HD5" s="164">
        <f>(COUNTIF($EL5:$EP5,"?*")+COUNTIF($QV5:$QY5,"?*"))</f>
        <v/>
      </c>
      <c r="HE5" s="164">
        <f>IF($EL5="",0,IF((COUNTIF($EL5:$EP5,$EL5)+COUNTIF($QV5:$QY5,$EL5))&gt;1,1,0))+IF($EM5="",0,IF((COUNTIF($EL5:$EP5,$EM5)+COUNTIF($QV5:$QY5,$EM5))&gt;1,1,0))+IF($EN5="",0,IF((COUNTIF($EL5:$EP5,$EN5)+COUNTIF($QV5:$QY5,$EN5))&gt;1,1,0))+IF($EO5="",0,IF((COUNTIF($EL5:$EP5,$EO5)+COUNTIF($QV5:$QY5,$EO5))&gt;1,1,0))+IF($EP5="",0,IF((COUNTIF($EL5:$EP5,$EP5)+COUNTIF($QV5:$QY5,$EP5))&gt;1,1,0))+IF($QV$5="",0,IF(COUNTIF($EL5:$EP5,$QV$5)+COUNTIF($QV5:$QY5,$QV$5)&gt;1,1,0))+IF($QW$5="",0,IF(COUNTIF($EL5:$EP5,$QW$5)+COUNTIF($QV5:$QY5,$QW$5)&gt;1,1,0))+IF($QX$5="",0,IF(COUNTIF($EL5:$EP5,$QX$5)+COUNTIF($QV5:$QY5,$QX$5)&gt;1,1,0))+IF($QY$5="",0,IF(COUNTIF($EL5:$EP5,$QY$5)+COUNTIF($QV5:$QY5,$QY$5)&gt;1,1,0))</f>
        <v/>
      </c>
      <c r="HF5" s="164">
        <f>IF(DADOS_INVOC!$DB$4="Invocação Principal",'CONFIGURAÇÃO'!$H$143,IF(OR(DADOS_INVOC!$DB$4="Parceria",DADOS_INVOC!$DB$4="Múltiplas Invocações"),'CONFIGURAÇÃO'!$H$141,'CONFIGURAÇÃO'!$H$139))+IF($QZ$5="Não autônoma",'CONFIGURAÇÃO'!$H$145,0)</f>
        <v/>
      </c>
      <c r="HG5" s="164">
        <f>IF($FM5=0,"INVOCAÇÃO 4 · lugar vazio",$DE5&amp;" · "&amp;$DF5&amp;" · nível "&amp;$FO5&amp;" · vida "&amp;$GH5&amp;" de "&amp;$GF5)</f>
        <v/>
      </c>
      <c r="HH5" s="164">
        <f>IF($FM5=0,"VAZIA",UPPER($DE5))</f>
        <v/>
      </c>
      <c r="HI5" s="164">
        <f>IF($DB$3&gt;=0,"+","−")&amp;ABS($DB$3)</f>
        <v/>
      </c>
      <c r="HJ5" s="164">
        <f>$GZ5&amp;" PE"</f>
        <v/>
      </c>
      <c r="HK5" s="164">
        <f>$HA5&amp;" PE"</f>
        <v/>
      </c>
      <c r="HL5" s="164">
        <f>IF(OR($FW5&gt;$FX5,$FZ5&gt;$FY5),"⚠ ",IF(AND($FM5=1,$FW5&lt;$FX5),"! ",""))&amp;"ATRIBUTOS · "&amp;$FW5&amp;" DE "&amp;$FX5&amp;" PONTOS"&amp;IF($FZ5&gt;$FY5," · ACIMA DE 3 SÓ COM MARCO","")</f>
        <v/>
      </c>
      <c r="HM5" s="164">
        <f>IF($GB5="","",IF($GB5&gt;=0,"+","−")&amp;ABS($GB5))</f>
        <v/>
      </c>
      <c r="HN5" s="164">
        <f>IF($GC5="","",$GC5)</f>
        <v/>
      </c>
      <c r="HO5" s="164">
        <f>SUBSTITUTE(IF($EI5&gt;2*$HC5,0,IF($EI5&gt;$HC5,$GN5/2,$GN5))&amp;" m",".",",")</f>
        <v/>
      </c>
      <c r="HP5" s="164">
        <f>IF($GP5&gt;=0,"+","−")&amp;ABS($GP5)</f>
        <v/>
      </c>
      <c r="HQ5" s="164">
        <f>IF($GQ5&gt;=0,"+","−")&amp;ABS($GQ5)</f>
        <v/>
      </c>
      <c r="HR5" s="164">
        <f>IF($GR5&gt;=0,"+","−")&amp;ABS($GR5)</f>
        <v/>
      </c>
      <c r="HS5" s="164">
        <f>IF($GS5&gt;=0,"+","−")&amp;ABS($GS5)</f>
        <v/>
      </c>
      <c r="HT5" s="164">
        <f>IF($GU5&gt;$GT5,"⚠ ","")&amp;"PERÍCIAS · "&amp;$GU5&amp;" DE "&amp;$GT5</f>
        <v/>
      </c>
      <c r="HU5" s="164">
        <f>IF($EQ5="","",IFERROR(IF((INDEX($FR5:$FV5,1,MATCH(VLOOKUP(SUBSTITUTE(SUBSTITUTE(SUBSTITUTE($EQ5,"~","~~"),"*","~*"),"?","~?"),'DADOS_PROGRESSAO'!$AG$2:$AH$34,2,FALSE),$BU$2:$BU$6,0))+$DB$3)&gt;=0,"+","−")&amp;ABS((INDEX($FR5:$FV5,1,MATCH(VLOOKUP(SUBSTITUTE(SUBSTITUTE(SUBSTITUTE($EQ5,"~","~~"),"*","~*"),"?","~?"),'DADOS_PROGRESSAO'!$AG$2:$AH$34,2,FALSE),$BU$2:$BU$6,0))+$DB$3)),""))</f>
        <v/>
      </c>
      <c r="HV5" s="164">
        <f>IF($ER5="","",IFERROR(IF((INDEX($FR5:$FV5,1,MATCH(VLOOKUP(SUBSTITUTE(SUBSTITUTE(SUBSTITUTE($ER5,"~","~~"),"*","~*"),"?","~?"),'DADOS_PROGRESSAO'!$AG$2:$AH$34,2,FALSE),$BU$2:$BU$6,0))+$DB$3)&gt;=0,"+","−")&amp;ABS((INDEX($FR5:$FV5,1,MATCH(VLOOKUP(SUBSTITUTE(SUBSTITUTE(SUBSTITUTE($ER5,"~","~~"),"*","~*"),"?","~?"),'DADOS_PROGRESSAO'!$AG$2:$AH$34,2,FALSE),$BU$2:$BU$6,0))+$DB$3)),""))</f>
        <v/>
      </c>
      <c r="HW5" s="164">
        <f>IF($ES5="","",IFERROR(IF((INDEX($FR5:$FV5,1,MATCH(VLOOKUP(SUBSTITUTE(SUBSTITUTE(SUBSTITUTE($ES5,"~","~~"),"*","~*"),"?","~?"),'DADOS_PROGRESSAO'!$AG$2:$AH$34,2,FALSE),$BU$2:$BU$6,0))+$DB$3)&gt;=0,"+","−")&amp;ABS((INDEX($FR5:$FV5,1,MATCH(VLOOKUP(SUBSTITUTE(SUBSTITUTE(SUBSTITUTE($ES5,"~","~~"),"*","~*"),"?","~?"),'DADOS_PROGRESSAO'!$AG$2:$AH$34,2,FALSE),$BU$2:$BU$6,0))+$DB$3)),""))</f>
        <v/>
      </c>
      <c r="HX5" s="164">
        <f>IF($ET5="","",IFERROR(IF((INDEX($FR5:$FV5,1,MATCH(VLOOKUP(SUBSTITUTE(SUBSTITUTE(SUBSTITUTE($ET5,"~","~~"),"*","~*"),"?","~?"),'DADOS_PROGRESSAO'!$AG$2:$AH$34,2,FALSE),$BU$2:$BU$6,0))+$DB$3)&gt;=0,"+","−")&amp;ABS((INDEX($FR5:$FV5,1,MATCH(VLOOKUP(SUBSTITUTE(SUBSTITUTE(SUBSTITUTE($ET5,"~","~~"),"*","~*"),"?","~?"),'DADOS_PROGRESSAO'!$AG$2:$AH$34,2,FALSE),$BU$2:$BU$6,0))+$DB$3)),""))</f>
        <v/>
      </c>
      <c r="HY5" s="164">
        <f>IF($EU5="","",IFERROR(IF((INDEX($FR5:$FV5,1,MATCH(VLOOKUP(SUBSTITUTE(SUBSTITUTE(SUBSTITUTE($EU5,"~","~~"),"*","~*"),"?","~?"),'DADOS_PROGRESSAO'!$AG$2:$AH$34,2,FALSE),$BU$2:$BU$6,0))+$DB$3)&gt;=0,"+","−")&amp;ABS((INDEX($FR5:$FV5,1,MATCH(VLOOKUP(SUBSTITUTE(SUBSTITUTE(SUBSTITUTE($EU5,"~","~~"),"*","~*"),"?","~?"),'DADOS_PROGRESSAO'!$AG$2:$AH$34,2,FALSE),$BU$2:$BU$6,0))+$DB$3)),""))</f>
        <v/>
      </c>
      <c r="HZ5" s="164">
        <f>IF($EV5="","",IFERROR(IF((INDEX($FR5:$FV5,1,MATCH(VLOOKUP(SUBSTITUTE(SUBSTITUTE(SUBSTITUTE($EV5,"~","~~"),"*","~*"),"?","~?"),'DADOS_PROGRESSAO'!$AG$2:$AH$34,2,FALSE),$BU$2:$BU$6,0))+$DB$3)&gt;=0,"+","−")&amp;ABS((INDEX($FR5:$FV5,1,MATCH(VLOOKUP(SUBSTITUTE(SUBSTITUTE(SUBSTITUTE($EV5,"~","~~"),"*","~*"),"?","~?"),'DADOS_PROGRESSAO'!$AG$2:$AH$34,2,FALSE),$BU$2:$BU$6,0))+$DB$3)),""))</f>
        <v/>
      </c>
      <c r="IA5" s="164">
        <f>IF($EW5="","",IFERROR(IF((INDEX($FR5:$FV5,1,MATCH(VLOOKUP(SUBSTITUTE(SUBSTITUTE(SUBSTITUTE($EW5,"~","~~"),"*","~*"),"?","~?"),'DADOS_PROGRESSAO'!$AG$2:$AH$34,2,FALSE),$BU$2:$BU$6,0))+$DB$3)&gt;=0,"+","−")&amp;ABS((INDEX($FR5:$FV5,1,MATCH(VLOOKUP(SUBSTITUTE(SUBSTITUTE(SUBSTITUTE($EW5,"~","~~"),"*","~*"),"?","~?"),'DADOS_PROGRESSAO'!$AG$2:$AH$34,2,FALSE),$BU$2:$BU$6,0))+$DB$3)),""))</f>
        <v/>
      </c>
      <c r="IB5" s="164">
        <f>IF(IFERROR(VLOOKUP(SUBSTITUTE(SUBSTITUTE(SUBSTITUTE($DF5,"~","~~"),"*","~*"),"?","~?"),'DADOS_ENTIDADES'!$M$2:$P$16,4,FALSE),0)=1,"RESERVA · MÁX. "&amp;$HB5,"RESERVA DE PE")</f>
        <v/>
      </c>
      <c r="IC5" s="164">
        <f>IF($EI5&gt;2*$HC5,"⚠ ",IF($EI5&gt;$HC5,"! ",""))&amp;"EQUIPAMENTO · "&amp;$EI5&amp;" DE "&amp;$HC5&amp;" DE VOLUME"&amp;IF($EI5&gt;2*$HC5," · PASSOU DO DOBRO",IF($EI5&gt;$HC5," · ACIMA DO LIMITE",""))</f>
        <v/>
      </c>
      <c r="ID5" s="164">
        <f>IF(OR($HE5&gt;0,$HD5&gt;$HF5),"⚠ ","")&amp;"FAMÍLIAS · "&amp;$HD5&amp;" ABERTAS"&amp;IF($HE5&gt;0," · REPETIDA","")&amp;IF($HD5&gt;$HF5," · O LIMITE É "&amp;$HF5,"")&amp;IF(OR($RA$5&gt;$HF$5,$HF$5&gt;9)," · LIMITES INCOMPATÍVEIS","")</f>
        <v/>
      </c>
      <c r="IE5" s="164">
        <f>"HABILIDADES · básica de "&amp;$FQ5&amp;"d6 · "&amp;$GV5&amp;IF($GV5&gt;1," espaços"," espaço")&amp;" de especial até a Classe "&amp;$FP5&amp;" · "&amp;$GX5&amp;IF($GX5&gt;1," talentos"," talento")</f>
        <v/>
      </c>
      <c r="IF5" s="164">
        <f>IF($GY5&gt;$GX5,"⚠ ","")&amp;"TALENTOS · "&amp;$GY5&amp;" DE "&amp;$GX5</f>
        <v/>
      </c>
      <c r="IG5" s="164">
        <f>IFERROR(VLOOKUP(SUBSTITUTE(SUBSTITUTE(SUBSTITUTE($EX5,"~","~~"),"*","~*"),"?","~?"),'DADOS_ENTIDADES'!$AI$2:$AL$35,2,FALSE),0)</f>
        <v/>
      </c>
      <c r="IH5" s="164">
        <f>IFERROR(VLOOKUP(SUBSTITUTE(SUBSTITUTE(SUBSTITUTE($EY5,"~","~~"),"*","~*"),"?","~?"),'DADOS_ENTIDADES'!$AI$2:$AL$35,2,FALSE),0)</f>
        <v/>
      </c>
      <c r="II5" s="164">
        <f>IFERROR(VLOOKUP(SUBSTITUTE(SUBSTITUTE(SUBSTITUTE($EZ5,"~","~~"),"*","~*"),"?","~?"),'DADOS_ENTIDADES'!$AI$2:$AL$35,2,FALSE),0)</f>
        <v/>
      </c>
      <c r="IJ5" s="164">
        <f>IFERROR(VLOOKUP(SUBSTITUTE(SUBSTITUTE(SUBSTITUTE($FA5,"~","~~"),"*","~*"),"?","~?"),'DADOS_ENTIDADES'!$AI$2:$AL$35,2,FALSE),0)</f>
        <v/>
      </c>
      <c r="IK5" s="164">
        <f>IFERROR(VLOOKUP(SUBSTITUTE(SUBSTITUTE(SUBSTITUTE($FB5,"~","~~"),"*","~*"),"?","~?"),'DADOS_ENTIDADES'!$AI$2:$AL$35,2,FALSE),0)</f>
        <v/>
      </c>
      <c r="IL5" s="164">
        <f>IFERROR(VLOOKUP(SUBSTITUTE(SUBSTITUTE(SUBSTITUTE($FC5,"~","~~"),"*","~*"),"?","~?"),'DADOS_ENTIDADES'!$AI$2:$AL$35,2,FALSE),0)</f>
        <v/>
      </c>
      <c r="IM5" s="164">
        <f>IFERROR(VLOOKUP(SUBSTITUTE(SUBSTITUTE(SUBSTITUTE($FD5,"~","~~"),"*","~*"),"?","~?"),'DADOS_ENTIDADES'!$AI$2:$AL$35,2,FALSE),0)</f>
        <v/>
      </c>
      <c r="IN5" s="164">
        <f>IFERROR(VLOOKUP(SUBSTITUTE(SUBSTITUTE(SUBSTITUTE($FE5,"~","~~"),"*","~*"),"?","~?"),'DADOS_ENTIDADES'!$AI$2:$AL$35,2,FALSE),0)</f>
        <v/>
      </c>
      <c r="IO5" s="164">
        <f>IF($EX5="","",IF(1&gt;$FO5,"⚠ Este talento abre no nível 1",IF($IG5&gt;1,"⚠ Categoria "&amp;$IG5&amp;": este ganho vai até a 1 · ","")&amp;IFERROR(VLOOKUP(SUBSTITUTE(SUBSTITUTE(SUBSTITUTE($EX5,"~","~~"),"*","~*"),"?","~?"),'DADOS_ENTIDADES'!$AI$2:$AL$35,3,FALSE),"")))</f>
        <v/>
      </c>
      <c r="IP5" s="164">
        <f>IF($EY5="","",IF(6&gt;$FO5,"⚠ Este talento abre no nível 6",IF($IH5&gt;1,"⚠ Categoria "&amp;$IH5&amp;": este ganho vai até a 1 · ","")&amp;IFERROR(VLOOKUP(SUBSTITUTE(SUBSTITUTE(SUBSTITUTE($EY5,"~","~~"),"*","~*"),"?","~?"),'DADOS_ENTIDADES'!$AI$2:$AL$35,3,FALSE),"")))</f>
        <v/>
      </c>
      <c r="IQ5" s="164">
        <f>IF($EZ5="","",IF(10&gt;$FO5,"⚠ Este talento abre no nível 10",IF($II5&gt;2,"⚠ Categoria "&amp;$II5&amp;": este ganho vai até a 2 · ","")&amp;IFERROR(VLOOKUP(SUBSTITUTE(SUBSTITUTE(SUBSTITUTE($EZ5,"~","~~"),"*","~*"),"?","~?"),'DADOS_ENTIDADES'!$AI$2:$AL$35,3,FALSE),"")))</f>
        <v/>
      </c>
      <c r="IR5" s="164">
        <f>IF($FA5="","",IF(14&gt;$FO5,"⚠ Este talento abre no nível 14",IF($IJ5&gt;3,"⚠ Categoria "&amp;$IJ5&amp;": este ganho vai até a 3 · ","")&amp;IFERROR(VLOOKUP(SUBSTITUTE(SUBSTITUTE(SUBSTITUTE($FA5,"~","~~"),"*","~*"),"?","~?"),'DADOS_ENTIDADES'!$AI$2:$AL$35,3,FALSE),"")))</f>
        <v/>
      </c>
      <c r="IS5" s="164">
        <f>IF($FB5="","",IF(18&gt;$FO5,"⚠ Este talento abre no nível 18",IF($IK5&gt;3,"⚠ Categoria "&amp;$IK5&amp;": este ganho vai até a 3 · ","")&amp;IFERROR(VLOOKUP(SUBSTITUTE(SUBSTITUTE(SUBSTITUTE($FB5,"~","~~"),"*","~*"),"?","~?"),'DADOS_ENTIDADES'!$AI$2:$AL$35,3,FALSE),"")))</f>
        <v/>
      </c>
      <c r="IT5" s="164">
        <f>IF($FC5="","",IF(22&gt;$FO5,"⚠ Este talento abre no nível 22",IF($IL5&gt;3,"⚠ Categoria "&amp;$IL5&amp;": este ganho vai até a 3 · ","")&amp;IFERROR(VLOOKUP(SUBSTITUTE(SUBSTITUTE(SUBSTITUTE($FC5,"~","~~"),"*","~*"),"?","~?"),'DADOS_ENTIDADES'!$AI$2:$AL$35,3,FALSE),"")))</f>
        <v/>
      </c>
      <c r="IU5" s="164">
        <f>IF($FD5="","",IF(26&gt;$FO5,"⚠ Este talento abre no nível 26",IF($IM5&gt;3,"⚠ Categoria "&amp;$IM5&amp;": este ganho vai até a 3 · ","")&amp;IFERROR(VLOOKUP(SUBSTITUTE(SUBSTITUTE(SUBSTITUTE($FD5,"~","~~"),"*","~*"),"?","~?"),'DADOS_ENTIDADES'!$AI$2:$AL$35,3,FALSE),"")))</f>
        <v/>
      </c>
      <c r="IV5" s="164">
        <f>IF($FE5="","",IF(30&gt;$FO5,"⚠ Este talento abre no nível 30",IF($IN5&gt;3,"⚠ Categoria "&amp;$IN5&amp;": este ganho vai até a 3 · ","")&amp;IFERROR(VLOOKUP(SUBSTITUTE(SUBSTITUTE(SUBSTITUTE($FE5,"~","~~"),"*","~*"),"?","~?"),'DADOS_ENTIDADES'!$AI$2:$AL$35,3,FALSE),"")))</f>
        <v/>
      </c>
      <c r="IW5" s="164">
        <f>IF($FF5="","",IFERROR(VLOOKUP(SUBSTITUTE(SUBSTITUTE(SUBSTITUTE($FF5,"~","~~"),"*","~*"),"?","~?"),'DADOS_ENTIDADES'!$AI$2:$AL$35,3,FALSE),""))</f>
        <v/>
      </c>
      <c r="IX5" s="164">
        <f>IF($FG5="","",IFERROR(VLOOKUP(SUBSTITUTE(SUBSTITUTE(SUBSTITUTE($FG5,"~","~~"),"*","~*"),"?","~?"),'DADOS_ENTIDADES'!$AI$2:$AL$35,3,FALSE),""))</f>
        <v/>
      </c>
      <c r="IY5" s="164">
        <f>IF($FH5="","",IFERROR(VLOOKUP(SUBSTITUTE(SUBSTITUTE(SUBSTITUTE($FH5,"~","~~"),"*","~*"),"?","~?"),'DADOS_ENTIDADES'!$AI$2:$AL$35,3,FALSE),""))</f>
        <v/>
      </c>
      <c r="IZ5" s="164">
        <f>CEILING(4.5*$FI5,1)&amp;" PE"</f>
        <v/>
      </c>
      <c r="JA5" s="164">
        <f>CEILING(4.5*$FJ5,1)&amp;" PE"</f>
        <v/>
      </c>
      <c r="JB5" s="164">
        <f>CEILING(4.5*$FK5,1)&amp;" PE"</f>
        <v/>
      </c>
      <c r="JC5" s="164">
        <f>INDEX($P$2:$P$8,$FI5)&amp;" pontos + "&amp;$FI5&amp;"d8"</f>
        <v/>
      </c>
      <c r="JD5" s="164">
        <f>INDEX($P$2:$P$8,$FJ5)&amp;" pontos + "&amp;$FJ5&amp;"d8"</f>
        <v/>
      </c>
      <c r="JE5" s="164">
        <f>INDEX($P$2:$P$8,$FK5)&amp;" pontos + "&amp;$FK5&amp;"d8"</f>
        <v/>
      </c>
      <c r="JF5" s="164">
        <f>IF($FO5&lt;17,"—",VLOOKUP($FO5,$CP$2:$CS$4,4,TRUE)&amp;" PE")</f>
        <v/>
      </c>
      <c r="JG5" s="164">
        <f>IF($FO5&lt;17,"Abre no nível 17",VLOOKUP($FO5,$CP$2:$CS$4,2,TRUE)&amp;" fixos · "&amp;VLOOKUP($FO5,$CP$2:$CS$4,3,TRUE)&amp;" pontos")</f>
        <v/>
      </c>
      <c r="JH5" s="164">
        <f>IF($FL5="Sem Barreiras",7,6)*$FP5&amp;" PE"</f>
        <v/>
      </c>
      <c r="JI5" s="164">
        <f>"Acerto "&amp;MAX(0,INDEX($P$2:$P$8,$FP5)-INDEX($I$2:$N$8,$FP5,2+3*IF(AND(IFERROR(VLOOKUP(SUBSTITUTE(SUBSTITUTE(SUBSTITUTE("Inescapável","~","~~"),"*","~*"),"?","~?"),'DADOS_MELHORIAS'!$AG$2:$AL$113,2,FALSE),"")&lt;&gt;"",COUNTIF($RB$5:$RJ$5,IFERROR(VLOOKUP(SUBSTITUTE(SUBSTITUTE(SUBSTITUTE("Inescapável","~","~~"),"*","~*"),"?","~?"),'DADOS_MELHORIAS'!$AG$2:$AL$113,2,FALSE),""))&gt;0),1,0)))&amp;"d8"</f>
        <v/>
      </c>
      <c r="JJ5" s="164">
        <f>IFERROR(VLOOKUP($FL5,$CU$2:$CW$4,3,FALSE),"Escolha o degrau")</f>
        <v/>
      </c>
      <c r="JK5" s="164">
        <f>4&amp;" · "&amp;IF($FM5=0,"vazia",$DE5&amp;" · nv "&amp;$FO5&amp;" · "&amp;$GH5&amp;"/"&amp;$GF5)</f>
        <v/>
      </c>
      <c r="JO5" s="162" t="inlineStr">
        <is>
          <t>Invocação 4</t>
        </is>
      </c>
      <c r="JP5" s="164">
        <f>ADDRESS(ROW('INVOCAÇÕES'!D24),COLUMN('INVOCAÇÕES'!D24),4)</f>
        <v/>
      </c>
      <c r="JQ5" s="164">
        <f>ADDRESS(ROW('INVOCAÇÕES'!H642),COLUMN('INVOCAÇÕES'!H642),4)</f>
        <v/>
      </c>
      <c r="JR5" s="162" t="inlineStr">
        <is>
          <t>DADOS_INVOC!$JK$5</t>
        </is>
      </c>
      <c r="JT5" s="164">
        <f>IF(OR($AW5="",(COUNTIF($EL$2:$EP$2,$AW5)+COUNTIF($QV$2:$QY$2,$AW5))&gt;0),$AV5,"")</f>
        <v/>
      </c>
      <c r="JU5" s="164">
        <f>IF(AND($AX5=1,OR($AW5="",(COUNTIF($EL$2:$EP$2,$AW5)+COUNTIF($QV$2:$QY$2,$AW5))&gt;0)),$AV5,"")</f>
        <v/>
      </c>
      <c r="JW5" s="164">
        <f>IF(OR($W5="",(COUNTIF($EL$2:$EP$2,$W5)+COUNTIF($QV$2:$QY$2,$W5))&gt;0),$V5,"")</f>
        <v/>
      </c>
      <c r="JX5" s="164">
        <f>IF(AND($AF5=1,OR($W5="",(COUNTIF($EL$2:$EP$2,$W5)+COUNTIF($QV$2:$QY$2,$W5))&gt;0)),$V5,"")</f>
        <v/>
      </c>
      <c r="JZ5" s="164">
        <f>IF(OR($AW5="",(COUNTIF($EL$3:$EP$3,$AW5)+COUNTIF($QV$3:$QY$3,$AW5))&gt;0),$AV5,"")</f>
        <v/>
      </c>
      <c r="KA5" s="164">
        <f>IF(AND($AX5=1,OR($AW5="",(COUNTIF($EL$3:$EP$3,$AW5)+COUNTIF($QV$3:$QY$3,$AW5))&gt;0)),$AV5,"")</f>
        <v/>
      </c>
      <c r="KC5" s="164">
        <f>IF(OR($W5="",(COUNTIF($EL$3:$EP$3,$W5)+COUNTIF($QV$3:$QY$3,$W5))&gt;0),$V5,"")</f>
        <v/>
      </c>
      <c r="KD5" s="164">
        <f>IF(AND($AF5=1,OR($W5="",(COUNTIF($EL$3:$EP$3,$W5)+COUNTIF($QV$3:$QY$3,$W5))&gt;0)),$V5,"")</f>
        <v/>
      </c>
      <c r="KF5" s="164">
        <f>IF(OR($AW5="",(COUNTIF($EL$4:$EP$4,$AW5)+COUNTIF($QV$4:$QY$4,$AW5))&gt;0),$AV5,"")</f>
        <v/>
      </c>
      <c r="KG5" s="164">
        <f>IF(AND($AX5=1,OR($AW5="",(COUNTIF($EL$4:$EP$4,$AW5)+COUNTIF($QV$4:$QY$4,$AW5))&gt;0)),$AV5,"")</f>
        <v/>
      </c>
      <c r="KI5" s="164">
        <f>IF(OR($W5="",(COUNTIF($EL$4:$EP$4,$W5)+COUNTIF($QV$4:$QY$4,$W5))&gt;0),$V5,"")</f>
        <v/>
      </c>
      <c r="KJ5" s="164">
        <f>IF(AND($AF5=1,OR($W5="",(COUNTIF($EL$4:$EP$4,$W5)+COUNTIF($QV$4:$QY$4,$W5))&gt;0)),$V5,"")</f>
        <v/>
      </c>
      <c r="KL5" s="164">
        <f>IF(OR($AW5="",(COUNTIF($EL$5:$EP$5,$AW5)+COUNTIF($QV$5:$QY$5,$AW5))&gt;0),$AV5,"")</f>
        <v/>
      </c>
      <c r="KM5" s="164">
        <f>IF(AND($AX5=1,OR($AW5="",(COUNTIF($EL$5:$EP$5,$AW5)+COUNTIF($QV$5:$QY$5,$AW5))&gt;0)),$AV5,"")</f>
        <v/>
      </c>
      <c r="KO5" s="164">
        <f>IF(OR($W5="",(COUNTIF($EL$5:$EP$5,$W5)+COUNTIF($QV$5:$QY$5,$W5))&gt;0),$V5,"")</f>
        <v/>
      </c>
      <c r="KP5" s="164">
        <f>IF(AND($AF5=1,OR($W5="",(COUNTIF($EL$5:$EP$5,$W5)+COUNTIF($QV$5:$QY$5,$W5))&gt;0)),$V5,"")</f>
        <v/>
      </c>
      <c r="KR5" s="164">
        <f>IF(OR($AW5="",(COUNTIF($EL$6:$EP$6,$AW5)+COUNTIF($QV$6:$QY$6,$AW5))&gt;0),$AV5,"")</f>
        <v/>
      </c>
      <c r="KS5" s="164">
        <f>IF(AND($AX5=1,OR($AW5="",(COUNTIF($EL$6:$EP$6,$AW5)+COUNTIF($QV$6:$QY$6,$AW5))&gt;0)),$AV5,"")</f>
        <v/>
      </c>
      <c r="KU5" s="164">
        <f>IF(OR($W5="",(COUNTIF($EL$6:$EP$6,$W5)+COUNTIF($QV$6:$QY$6,$W5))&gt;0),$V5,"")</f>
        <v/>
      </c>
      <c r="KV5" s="164">
        <f>IF(AND($AF5=1,OR($W5="",(COUNTIF($EL$6:$EP$6,$W5)+COUNTIF($QV$6:$QY$6,$W5))&gt;0)),$V5,"")</f>
        <v/>
      </c>
      <c r="KX5" s="164">
        <f>IF(OR($AW5="",(COUNTIF($EL$7:$EP$7,$AW5)+COUNTIF($QV$7:$QY$7,$AW5))&gt;0),$AV5,"")</f>
        <v/>
      </c>
      <c r="KY5" s="164">
        <f>IF(AND($AX5=1,OR($AW5="",(COUNTIF($EL$7:$EP$7,$AW5)+COUNTIF($QV$7:$QY$7,$AW5))&gt;0)),$AV5,"")</f>
        <v/>
      </c>
      <c r="LA5" s="164">
        <f>IF(OR($W5="",(COUNTIF($EL$7:$EP$7,$W5)+COUNTIF($QV$7:$QY$7,$W5))&gt;0),$V5,"")</f>
        <v/>
      </c>
      <c r="LB5" s="164">
        <f>IF(AND($AF5=1,OR($W5="",(COUNTIF($EL$7:$EP$7,$W5)+COUNTIF($QV$7:$QY$7,$W5))&gt;0)),$V5,"")</f>
        <v/>
      </c>
      <c r="LD5" s="164">
        <f>IF(OR($AW5="",(COUNTIF($EL$8:$EP$8,$AW5)+COUNTIF($QV$8:$QY$8,$AW5))&gt;0),$AV5,"")</f>
        <v/>
      </c>
      <c r="LE5" s="164">
        <f>IF(AND($AX5=1,OR($AW5="",(COUNTIF($EL$8:$EP$8,$AW5)+COUNTIF($QV$8:$QY$8,$AW5))&gt;0)),$AV5,"")</f>
        <v/>
      </c>
      <c r="LG5" s="164">
        <f>IF(OR($W5="",(COUNTIF($EL$8:$EP$8,$W5)+COUNTIF($QV$8:$QY$8,$W5))&gt;0),$V5,"")</f>
        <v/>
      </c>
      <c r="LH5" s="164">
        <f>IF(AND($AF5=1,OR($W5="",(COUNTIF($EL$8:$EP$8,$W5)+COUNTIF($QV$8:$QY$8,$W5))&gt;0)),$V5,"")</f>
        <v/>
      </c>
      <c r="LJ5" s="164">
        <f>IF(OR($AW5="",(COUNTIF($EL$9:$EP$9,$AW5)+COUNTIF($QV$9:$QY$9,$AW5))&gt;0),$AV5,"")</f>
        <v/>
      </c>
      <c r="LK5" s="164">
        <f>IF(AND($AX5=1,OR($AW5="",(COUNTIF($EL$9:$EP$9,$AW5)+COUNTIF($QV$9:$QY$9,$AW5))&gt;0)),$AV5,"")</f>
        <v/>
      </c>
      <c r="LM5" s="164">
        <f>IF(OR($W5="",(COUNTIF($EL$9:$EP$9,$W5)+COUNTIF($QV$9:$QY$9,$W5))&gt;0),$V5,"")</f>
        <v/>
      </c>
      <c r="LN5" s="164">
        <f>IF(AND($AF5=1,OR($W5="",(COUNTIF($EL$9:$EP$9,$W5)+COUNTIF($QV$9:$QY$9,$W5))&gt;0)),$V5,"")</f>
        <v/>
      </c>
      <c r="LP5" s="164">
        <f>IF(OR($AW5="",(COUNTIF($EL$10:$EP$10,$AW5)+COUNTIF($QV$10:$QY$10,$AW5))&gt;0),$AV5,"")</f>
        <v/>
      </c>
      <c r="LQ5" s="164">
        <f>IF(AND($AX5=1,OR($AW5="",(COUNTIF($EL$10:$EP$10,$AW5)+COUNTIF($QV$10:$QY$10,$AW5))&gt;0)),$AV5,"")</f>
        <v/>
      </c>
      <c r="LS5" s="164">
        <f>IF(OR($W5="",(COUNTIF($EL$10:$EP$10,$W5)+COUNTIF($QV$10:$QY$10,$W5))&gt;0),$V5,"")</f>
        <v/>
      </c>
      <c r="LT5" s="164">
        <f>IF(AND($AF5=1,OR($W5="",(COUNTIF($EL$10:$EP$10,$W5)+COUNTIF($QV$10:$QY$10,$W5))&gt;0)),$V5,"")</f>
        <v/>
      </c>
      <c r="LV5" s="164">
        <f>IF(OR($AW5="",(COUNTIF($EL$11:$EP$11,$AW5)+COUNTIF($QV$11:$QY$11,$AW5))&gt;0),$AV5,"")</f>
        <v/>
      </c>
      <c r="LW5" s="164">
        <f>IF(AND($AX5=1,OR($AW5="",(COUNTIF($EL$11:$EP$11,$AW5)+COUNTIF($QV$11:$QY$11,$AW5))&gt;0)),$AV5,"")</f>
        <v/>
      </c>
      <c r="LY5" s="164">
        <f>IF(OR($W5="",(COUNTIF($EL$11:$EP$11,$W5)+COUNTIF($QV$11:$QY$11,$W5))&gt;0),$V5,"")</f>
        <v/>
      </c>
      <c r="LZ5" s="164">
        <f>IF(AND($AF5=1,OR($W5="",(COUNTIF($EL$11:$EP$11,$W5)+COUNTIF($QV$11:$QY$11,$W5))&gt;0)),$V5,"")</f>
        <v/>
      </c>
      <c r="MB5" s="164">
        <f>IF(OR($AW5="",(COUNTIF($EL$12:$EP$12,$AW5)+COUNTIF($QV$12:$QY$12,$AW5))&gt;0),$AV5,"")</f>
        <v/>
      </c>
      <c r="MC5" s="164">
        <f>IF(AND($AX5=1,OR($AW5="",(COUNTIF($EL$12:$EP$12,$AW5)+COUNTIF($QV$12:$QY$12,$AW5))&gt;0)),$AV5,"")</f>
        <v/>
      </c>
      <c r="ME5" s="164">
        <f>IF(OR($W5="",(COUNTIF($EL$12:$EP$12,$W5)+COUNTIF($QV$12:$QY$12,$W5))&gt;0),$V5,"")</f>
        <v/>
      </c>
      <c r="MF5" s="164">
        <f>IF(AND($AF5=1,OR($W5="",(COUNTIF($EL$12:$EP$12,$W5)+COUNTIF($QV$12:$QY$12,$W5))&gt;0)),$V5,"")</f>
        <v/>
      </c>
      <c r="MH5" s="164">
        <f>IF(OR($AW5="",(COUNTIF($EL$13:$EP$13,$AW5)+COUNTIF($QV$13:$QY$13,$AW5))&gt;0),$AV5,"")</f>
        <v/>
      </c>
      <c r="MI5" s="164">
        <f>IF(AND($AX5=1,OR($AW5="",(COUNTIF($EL$13:$EP$13,$AW5)+COUNTIF($QV$13:$QY$13,$AW5))&gt;0)),$AV5,"")</f>
        <v/>
      </c>
      <c r="MK5" s="164">
        <f>IF(OR($W5="",(COUNTIF($EL$13:$EP$13,$W5)+COUNTIF($QV$13:$QY$13,$W5))&gt;0),$V5,"")</f>
        <v/>
      </c>
      <c r="ML5" s="164">
        <f>IF(AND($AF5=1,OR($W5="",(COUNTIF($EL$13:$EP$13,$W5)+COUNTIF($QV$13:$QY$13,$W5))&gt;0)),$V5,"")</f>
        <v/>
      </c>
      <c r="MN5" s="162" t="inlineStr">
        <is>
          <t>Ficha 1 · Básica 2</t>
        </is>
      </c>
      <c r="MO5" s="164" t="n">
        <v>1</v>
      </c>
      <c r="MP5" s="164" t="n">
        <v>0</v>
      </c>
      <c r="MQ5" s="164" t="n">
        <v>11</v>
      </c>
      <c r="MR5" s="162" t="inlineStr">
        <is>
          <t>BÁSICA 2</t>
        </is>
      </c>
      <c r="MS5" s="164" t="n">
        <v>0</v>
      </c>
      <c r="MT5" s="164">
        <f>'INVOCAÇÕES'!$J$105&amp;""</f>
        <v/>
      </c>
      <c r="MU5" s="164">
        <f>'INVOCAÇÕES'!$I$110&amp;""</f>
        <v/>
      </c>
      <c r="MV5" s="164">
        <f>'INVOCAÇÕES'!$I$111&amp;""</f>
        <v/>
      </c>
      <c r="MW5" s="164">
        <f>'INVOCAÇÕES'!$K$111&amp;""</f>
        <v/>
      </c>
      <c r="MX5" s="164">
        <f>'INVOCAÇÕES'!$J$114&amp;""</f>
        <v/>
      </c>
      <c r="MY5" s="164">
        <f>'INVOCAÇÕES'!$J$115&amp;""</f>
        <v/>
      </c>
      <c r="MZ5" s="164">
        <f>'INVOCAÇÕES'!$J$116&amp;""</f>
        <v/>
      </c>
      <c r="NA5" s="164">
        <f>'INVOCAÇÕES'!$J$117&amp;""</f>
        <v/>
      </c>
      <c r="NB5" s="164">
        <f>'INVOCAÇÕES'!$J$118&amp;""</f>
        <v/>
      </c>
      <c r="NC5" s="164">
        <f>'INVOCAÇÕES'!$J$119&amp;""</f>
        <v/>
      </c>
      <c r="ND5" s="164">
        <f>IF($MT5&lt;&gt;"",1,0)</f>
        <v/>
      </c>
      <c r="NE5" s="164">
        <f>INDEX($FO$2:$FO$13,$MO5)</f>
        <v/>
      </c>
      <c r="NF5" s="164">
        <f>INDEX($FP$2:$FP$13,$MO5)</f>
        <v/>
      </c>
      <c r="NG5" s="164">
        <f>INDEX($FQ$2:$FQ$13,$MO5)</f>
        <v/>
      </c>
      <c r="NH5" s="164">
        <f>INDEX($GB$2:$GB$13,$MO5)</f>
        <v/>
      </c>
      <c r="NI5" s="164">
        <f>INDEX($GC$2:$GC$13,$MO5)</f>
        <v/>
      </c>
      <c r="NJ5" s="164">
        <f>IFERROR(MATCH(SUBSTITUTE(SUBSTITUTE(SUBSTITUTE($MU5,"~","~~"),"*","~*"),"?","~?"),'DADOS_FORMAS'!$FZ$2:$FZ$21,0),0)</f>
        <v/>
      </c>
      <c r="NK5" s="164">
        <f>IFERROR(VLOOKUP(SUBSTITUTE(SUBSTITUTE(SUBSTITUTE($MX5,"~","~~"),"*","~*"),"?","~?"),'DADOS_MELHORIAS'!$AG$2:$AL$113,2,FALSE),"")</f>
        <v/>
      </c>
      <c r="NL5" s="164">
        <f>IFERROR(VLOOKUP(SUBSTITUTE(SUBSTITUTE(SUBSTITUTE($MY5,"~","~~"),"*","~*"),"?","~?"),'DADOS_MELHORIAS'!$AG$2:$AL$113,2,FALSE),"")</f>
        <v/>
      </c>
      <c r="NM5" s="164">
        <f>IFERROR(VLOOKUP(SUBSTITUTE(SUBSTITUTE(SUBSTITUTE($MZ5,"~","~~"),"*","~*"),"?","~?"),'DADOS_MELHORIAS'!$AG$2:$AL$113,2,FALSE),"")</f>
        <v/>
      </c>
      <c r="NN5" s="164">
        <f>IFERROR(VLOOKUP(SUBSTITUTE(SUBSTITUTE(SUBSTITUTE($NA5,"~","~~"),"*","~*"),"?","~?"),'DADOS_MELHORIAS'!$AG$2:$AL$113,2,FALSE),"")</f>
        <v/>
      </c>
      <c r="NO5" s="164">
        <f>IFERROR(VLOOKUP(SUBSTITUTE(SUBSTITUTE(SUBSTITUTE($MX5,"~","~~"),"*","~*"),"?","~?"),'DADOS_MELHORIAS'!$AG$2:$AL$113,3,FALSE),0)</f>
        <v/>
      </c>
      <c r="NP5" s="164">
        <f>IFERROR(VLOOKUP(SUBSTITUTE(SUBSTITUTE(SUBSTITUTE($MY5,"~","~~"),"*","~*"),"?","~?"),'DADOS_MELHORIAS'!$AG$2:$AL$113,3,FALSE),0)</f>
        <v/>
      </c>
      <c r="NQ5" s="164">
        <f>IFERROR(VLOOKUP(SUBSTITUTE(SUBSTITUTE(SUBSTITUTE($MZ5,"~","~~"),"*","~*"),"?","~?"),'DADOS_MELHORIAS'!$AG$2:$AL$113,3,FALSE),0)</f>
        <v/>
      </c>
      <c r="NR5" s="164">
        <f>IFERROR(VLOOKUP(SUBSTITUTE(SUBSTITUTE(SUBSTITUTE($NA5,"~","~~"),"*","~*"),"?","~?"),'DADOS_MELHORIAS'!$AG$2:$AL$113,3,FALSE),0)</f>
        <v/>
      </c>
      <c r="NS5" s="164">
        <f>IF($MS5=0,0,IF($NJ5=0,0,INDEX('DADOS_FORMAS'!$GB$2:$GB$21,$NJ5)))</f>
        <v/>
      </c>
      <c r="NT5" s="164">
        <f>IF(OR($NO5=0,$MS5=0),0,$NO5+3*IF(AND($NK5&lt;&gt;"",COUNTIF(INDEX($RB$2:$RJ$13,$MO5,0),$NK5)&gt;0),1,0))</f>
        <v/>
      </c>
      <c r="NU5" s="164">
        <f>IF(OR($NP5=0,$MS5=0),0,$NP5+3*IF(AND($NL5&lt;&gt;"",COUNTIF(INDEX($RB$2:$RJ$13,$MO5,0),$NL5)&gt;0),1,0))</f>
        <v/>
      </c>
      <c r="NV5" s="164">
        <f>IF(OR($NQ5=0,$MS5=0),0,$NQ5+3*IF(AND($NM5&lt;&gt;"",COUNTIF(INDEX($RB$2:$RJ$13,$MO5,0),$NM5)&gt;0),1,0))</f>
        <v/>
      </c>
      <c r="NW5" s="164">
        <f>IF(OR($NR5=0,$MS5=0),0,$NR5+3*IF(AND($NN5&lt;&gt;"",COUNTIF(INDEX($RB$2:$RJ$13,$MO5,0),$NN5)&gt;0),1,0))</f>
        <v/>
      </c>
      <c r="NX5" s="164">
        <f>IF($NJ5=0,0,IF(INDEX('DADOS_FORMAS'!$GA$2:$GA$21,$NJ5)="",0,IF((COUNTIF(INDEX($EL$2:$EP$13,$MO5,0),INDEX('DADOS_FORMAS'!$GA$2:$GA$21,$NJ5))+COUNTIF(INDEX($QV$2:$QY$13,$MO5,0),INDEX('DADOS_FORMAS'!$GA$2:$GA$21,$NJ5)))=0,1,0)))</f>
        <v/>
      </c>
      <c r="NY5" s="164">
        <f>IF(OR($NO5=0,$NK5=""),0,IF((COUNTIF(INDEX($EL$2:$EP$13,$MO5,0),$NK5)+COUNTIF(INDEX($QV$2:$QY$13,$MO5,0),$NK5))=0,1,0))</f>
        <v/>
      </c>
      <c r="NZ5" s="164">
        <f>IF(OR($NP5=0,$NL5=""),0,IF((COUNTIF(INDEX($EL$2:$EP$13,$MO5,0),$NL5)+COUNTIF(INDEX($QV$2:$QY$13,$MO5,0),$NL5))=0,1,0))</f>
        <v/>
      </c>
      <c r="OA5" s="164">
        <f>IF(OR($NQ5=0,$NM5=""),0,IF((COUNTIF(INDEX($EL$2:$EP$13,$MO5,0),$NM5)+COUNTIF(INDEX($QV$2:$QY$13,$MO5,0),$NM5))=0,1,0))</f>
        <v/>
      </c>
      <c r="OB5" s="164">
        <f>IF(OR($NR5=0,$NN5=""),0,IF((COUNTIF(INDEX($EL$2:$EP$13,$MO5,0),$NN5)+COUNTIF(INDEX($QV$2:$QY$13,$MO5,0),$NN5))=0,1,0))</f>
        <v/>
      </c>
      <c r="OC5" s="164">
        <f>IFERROR(VLOOKUP(SUBSTITUTE(SUBSTITUTE(SUBSTITUTE($MX5,"~","~~"),"*","~*"),"?","~?"),'DADOS_MELHORIAS'!$AG$2:$AL$113,4,FALSE),0)+IFERROR(VLOOKUP(SUBSTITUTE(SUBSTITUTE(SUBSTITUTE($MY5,"~","~~"),"*","~*"),"?","~?"),'DADOS_MELHORIAS'!$AG$2:$AL$113,4,FALSE),0)+IFERROR(VLOOKUP(SUBSTITUTE(SUBSTITUTE(SUBSTITUTE($MZ5,"~","~~"),"*","~*"),"?","~?"),'DADOS_MELHORIAS'!$AG$2:$AL$113,4,FALSE),0)+IFERROR(VLOOKUP(SUBSTITUTE(SUBSTITUTE(SUBSTITUTE($NA5,"~","~~"),"*","~*"),"?","~?"),'DADOS_MELHORIAS'!$AG$2:$AL$113,4,FALSE),0)</f>
        <v/>
      </c>
      <c r="OD5" s="164">
        <f>IFERROR(VLOOKUP(SUBSTITUTE(SUBSTITUTE(SUBSTITUTE($MX5,"~","~~"),"*","~*"),"?","~?"),'DADOS_MELHORIAS'!$AG$2:$AL$113,6,FALSE),0)+IFERROR(VLOOKUP(SUBSTITUTE(SUBSTITUTE(SUBSTITUTE($MY5,"~","~~"),"*","~*"),"?","~?"),'DADOS_MELHORIAS'!$AG$2:$AL$113,6,FALSE),0)+IFERROR(VLOOKUP(SUBSTITUTE(SUBSTITUTE(SUBSTITUTE($MZ5,"~","~~"),"*","~*"),"?","~?"),'DADOS_MELHORIAS'!$AG$2:$AL$113,6,FALSE),0)+IFERROR(VLOOKUP(SUBSTITUTE(SUBSTITUTE(SUBSTITUTE($NA5,"~","~~"),"*","~*"),"?","~?"),'DADOS_MELHORIAS'!$AG$2:$AL$113,6,FALSE),0)+IFERROR(N(AND(INDEX('DADOS_FORMAS'!$AO$2:$AO$21,MATCH(SUBSTITUTE(SUBSTITUTE(SUBSTITUTE($MU5,"~","~~"),"*","~*"),"?","~?"),'DADOS_FORMAS'!$AH$2:$AH$21,0))="Acerto",$OH5=1)),0)</f>
        <v/>
      </c>
      <c r="OE5" s="164">
        <f>TEXTJOIN(", ",TRUE,IF(IFERROR(VLOOKUP(SUBSTITUTE(SUBSTITUTE(SUBSTITUTE($MX5,"~","~~"),"*","~*"),"?","~?"),'DADOS_MELHORIAS'!$AG$2:$AL$113,5,FALSE),0)=1,$MX5,""),IF(IFERROR(VLOOKUP(SUBSTITUTE(SUBSTITUTE(SUBSTITUTE($MY5,"~","~~"),"*","~*"),"?","~?"),'DADOS_MELHORIAS'!$AG$2:$AL$113,5,FALSE),0)=1,$MY5,""),IF(IFERROR(VLOOKUP(SUBSTITUTE(SUBSTITUTE(SUBSTITUTE($MZ5,"~","~~"),"*","~*"),"?","~?"),'DADOS_MELHORIAS'!$AG$2:$AL$113,5,FALSE),0)=1,$MZ5,""),IF(IFERROR(VLOOKUP(SUBSTITUTE(SUBSTITUTE(SUBSTITUTE($NA5,"~","~~"),"*","~*"),"?","~?"),'DADOS_MELHORIAS'!$AG$2:$AL$113,5,FALSE),0)=1,$NA5,""))</f>
        <v/>
      </c>
      <c r="OF5" s="164">
        <f>IF($NJ5=0,0,INDEX('DADOS_FORMAS'!$GC$2:$GC$21,$NJ5))</f>
        <v/>
      </c>
      <c r="OG5" s="164">
        <f>IF($NJ5=0,0,INDEX('DADOS_FORMAS'!$GD$2:$GD$21,$NJ5))</f>
        <v/>
      </c>
      <c r="OH5" s="164">
        <f>IF($NJ5=0,0,INDEX('DADOS_FORMAS'!$GF$2:$GF$21,$NJ5))</f>
        <v/>
      </c>
      <c r="OI5" s="164">
        <f>IFERROR(VLOOKUP(SUBSTITUTE(SUBSTITUTE(SUBSTITUTE($NB5,"~","~~"),"*","~*"),"?","~?"),'DADOS_RESTRICOES'!$M$2:$Q$54,3,FALSE),0)</f>
        <v/>
      </c>
      <c r="OJ5" s="164">
        <f>IFERROR(VLOOKUP(SUBSTITUTE(SUBSTITUTE(SUBSTITUTE($NC5,"~","~~"),"*","~*"),"?","~?"),'DADOS_RESTRICOES'!$M$2:$Q$54,3,FALSE),0)</f>
        <v/>
      </c>
      <c r="OK5" s="164">
        <f>IFERROR(VLOOKUP(SUBSTITUTE(SUBSTITUTE(SUBSTITUTE($NB5,"~","~~"),"*","~*"),"?","~?"),'DADOS_RESTRICOES'!$M$2:$Q$54,2,FALSE),"")</f>
        <v/>
      </c>
      <c r="OL5" s="164">
        <f>IFERROR(VLOOKUP(SUBSTITUTE(SUBSTITUTE(SUBSTITUTE($NC5,"~","~~"),"*","~*"),"?","~?"),'DADOS_RESTRICOES'!$M$2:$Q$54,2,FALSE),"")</f>
        <v/>
      </c>
      <c r="OM5" s="164">
        <f>COUNTIF($NS5:$NW5,1)</f>
        <v/>
      </c>
      <c r="ON5" s="164">
        <f>COUNTIF($NS5:$NW5,2)</f>
        <v/>
      </c>
      <c r="OO5" s="164">
        <f>COUNTIF($NS5:$NW5,3)</f>
        <v/>
      </c>
      <c r="OP5" s="164">
        <f>COUNTIF($NS5:$NW5,4)</f>
        <v/>
      </c>
      <c r="OQ5" s="164">
        <f>COUNTIF($NS5:$NW5,5)</f>
        <v/>
      </c>
      <c r="OR5" s="164">
        <f>COUNTIF($NS5:$NW5,6)</f>
        <v/>
      </c>
      <c r="OS5" s="164">
        <f>COUNTIF($OI5:$OJ5,1)+IF(IFERROR(INDEX('DADOS_FORMAS'!$AS$2:$AS$21,MATCH(SUBSTITUTE(SUBSTITUTE(SUBSTITUTE($MU5,"~","~~"),"*","~*"),"?","~?"),'DADOS_FORMAS'!$AH$2:$AH$21,0)),"")="",0,IFERROR(N(VLOOKUP(SUBSTITUTE(SUBSTITUTE(SUBSTITUTE(IFERROR(INDEX('DADOS_FORMAS'!$AS$2:$AS$21,MATCH(SUBSTITUTE(SUBSTITUTE(SUBSTITUTE($MU5,"~","~~"),"*","~*"),"?","~?"),'DADOS_FORMAS'!$AH$2:$AH$21,0)),""),"~","~~"),"*","~*"),"?","~?"),'DADOS_RESTRICOES'!$M$2:$Q$54,3,FALSE)=1),0))</f>
        <v/>
      </c>
      <c r="OT5" s="164">
        <f>COUNTIF($OI5:$OJ5,2)+IF(IFERROR(INDEX('DADOS_FORMAS'!$AS$2:$AS$21,MATCH(SUBSTITUTE(SUBSTITUTE(SUBSTITUTE($MU5,"~","~~"),"*","~*"),"?","~?"),'DADOS_FORMAS'!$AH$2:$AH$21,0)),"")="",0,IFERROR(N(VLOOKUP(SUBSTITUTE(SUBSTITUTE(SUBSTITUTE(IFERROR(INDEX('DADOS_FORMAS'!$AS$2:$AS$21,MATCH(SUBSTITUTE(SUBSTITUTE(SUBSTITUTE($MU5,"~","~~"),"*","~*"),"?","~?"),'DADOS_FORMAS'!$AH$2:$AH$21,0)),""),"~","~~"),"*","~*"),"?","~?"),'DADOS_RESTRICOES'!$M$2:$Q$54,3,FALSE)=2),0))</f>
        <v/>
      </c>
      <c r="OU5" s="164">
        <f>COUNTIF($MX5:$NA5,"?*")</f>
        <v/>
      </c>
      <c r="OV5" s="164">
        <f>COUNTIF($NB5:$NC5,"?*")+$OF5</f>
        <v/>
      </c>
      <c r="OW5" s="164">
        <f>IF($MS5=0,0,SUMPRODUCT($OM5:$OR5,INDEX($I$2:$N$8,MAX(1,$MS5),0)))</f>
        <v/>
      </c>
      <c r="OX5" s="164">
        <f>IF($MS5=0,0,$OS5*CEILING($MS5/2,1)+$OT5*$MS5)</f>
        <v/>
      </c>
      <c r="OY5" s="164">
        <f>MIN(2*$MS5,$OX5)</f>
        <v/>
      </c>
      <c r="OZ5" s="164">
        <f>MIN($OY5,$OW5-IF($NS5=0,0,INDEX($I$2:$N$8,MAX(1,$MS5),$NS5)))</f>
        <v/>
      </c>
      <c r="PA5" s="164">
        <f>$OY5-$OZ5</f>
        <v/>
      </c>
      <c r="PB5" s="164">
        <f>IF($MS5=0,0,INDEX($P$2:$P$8,MAX(1,$MS5)))</f>
        <v/>
      </c>
      <c r="PC5" s="164">
        <f>$PB5-$OW5+$OZ5</f>
        <v/>
      </c>
      <c r="PD5" s="164">
        <f>IF($MS5=0,MAX(0,$NG5-IF(AND($OU5&gt;0,COUNTIF($NB5:$NC5,"?*")=0),1,0)),MAX(0,$PC5))</f>
        <v/>
      </c>
      <c r="PE5" s="164">
        <f>IF($MS5=0,0,(IF(COUNTIF($RK5:$RN5,"Salto")&gt;0,1,0)+IF(COUNTIF($RK5:$RN5,"Queima")&gt;0,1,0)+IF(COUNTIF($RK5:$RN5,"Estilhaço")&gt;0,1,0))*FLOOR($PD5/2,1))</f>
        <v/>
      </c>
      <c r="PF5" s="164">
        <f>MAX(0,2-SUMPRODUCT($OM5:$OR5,$I$2:$N$2)+MIN(2,$OS5*1+$OT5*1,SUMPRODUCT($OM5:$OR5,$I$2:$N$2)-IF($NS5=0,0,INDEX($I$2:$N$2,1,$NS5))))</f>
        <v/>
      </c>
      <c r="PG5" s="164">
        <f>MAX(0,4-SUMPRODUCT($OM5:$OR5,$I$3:$N$3)+MIN(4,$OS5*1+$OT5*2,SUMPRODUCT($OM5:$OR5,$I$3:$N$3)-IF($NS5=0,0,INDEX($I$3:$N$3,1,$NS5))))</f>
        <v/>
      </c>
      <c r="PH5" s="164">
        <f>MAX(0,6-SUMPRODUCT($OM5:$OR5,$I$4:$N$4)+MIN(6,$OS5*2+$OT5*3,SUMPRODUCT($OM5:$OR5,$I$4:$N$4)-IF($NS5=0,0,INDEX($I$4:$N$4,1,$NS5))))</f>
        <v/>
      </c>
      <c r="PI5" s="164">
        <f>MAX(0,9-SUMPRODUCT($OM5:$OR5,$I$5:$N$5)+MIN(8,$OS5*2+$OT5*4,SUMPRODUCT($OM5:$OR5,$I$5:$N$5)-IF($NS5=0,0,INDEX($I$5:$N$5,1,$NS5))))</f>
        <v/>
      </c>
      <c r="PJ5" s="164">
        <f>MAX(0,11-SUMPRODUCT($OM5:$OR5,$I$6:$N$6)+MIN(10,$OS5*3+$OT5*5,SUMPRODUCT($OM5:$OR5,$I$6:$N$6)-IF($NS5=0,0,INDEX($I$6:$N$6,1,$NS5))))</f>
        <v/>
      </c>
      <c r="PK5" s="164">
        <f>MAX(0,13-SUMPRODUCT($OM5:$OR5,$I$7:$N$7)+MIN(12,$OS5*3+$OT5*6,SUMPRODUCT($OM5:$OR5,$I$7:$N$7)-IF($NS5=0,0,INDEX($I$7:$N$7,1,$NS5))))</f>
        <v/>
      </c>
      <c r="PL5" s="164">
        <f>MAX(0,16-SUMPRODUCT($OM5:$OR5,$I$8:$N$8)+MIN(14,$OS5*4+$OT5*7,SUMPRODUCT($OM5:$OR5,$I$8:$N$8)-IF($NS5=0,0,INDEX($I$8:$N$8,1,$NS5))))</f>
        <v/>
      </c>
      <c r="PM5" s="164">
        <f>IF($OG5=2,3*$PF5&amp;" de vida temp.",IF($OG5=3,"sem dano",IF($PF5=0,IF($OG5=1,"sem cura","sem dano"),IF($OG5=1,"cura ","")&amp;$PF5&amp;"d8")))</f>
        <v/>
      </c>
      <c r="PN5" s="164">
        <f>IF($OG5=2,3*$PG5&amp;" de vida temp.",IF($OG5=3,"sem dano",IF($PG5=0,IF($OG5=1,"sem cura","sem dano"),IF($OG5=1,"cura ","")&amp;$PG5&amp;"d8")))</f>
        <v/>
      </c>
      <c r="PO5" s="164">
        <f>IF($OG5=2,3*$PH5&amp;" de vida temp.",IF($OG5=3,"sem dano",IF($PH5=0,IF($OG5=1,"sem cura","sem dano"),IF($OG5=1,"cura ","")&amp;$PH5&amp;"d8")))</f>
        <v/>
      </c>
      <c r="PP5" s="164">
        <f>IF($OG5=2,3*$PI5&amp;" de vida temp.",IF($OG5=3,"sem dano",IF($PI5=0,IF($OG5=1,"sem cura","sem dano"),IF($OG5=1,"cura ","")&amp;$PI5&amp;"d8")))</f>
        <v/>
      </c>
      <c r="PQ5" s="164">
        <f>IF($OG5=2,3*$PJ5&amp;" de vida temp.",IF($OG5=3,"sem dano",IF($PJ5=0,IF($OG5=1,"sem cura","sem dano"),IF($OG5=1,"cura ","")&amp;$PJ5&amp;"d8")))</f>
        <v/>
      </c>
      <c r="PR5" s="164">
        <f>IF($OG5=2,3*$PK5&amp;" de vida temp.",IF($OG5=3,"sem dano",IF($PK5=0,IF($OG5=1,"sem cura","sem dano"),IF($OG5=1,"cura ","")&amp;$PK5&amp;"d8")))</f>
        <v/>
      </c>
      <c r="PS5" s="164">
        <f>IF($OG5=2,3*$PL5&amp;" de vida temp.",IF($OG5=3,"sem dano",IF($PL5=0,IF($OG5=1,"sem cura","sem dano"),IF($OG5=1,"cura ","")&amp;$PL5&amp;"d8")))</f>
        <v/>
      </c>
      <c r="PT5" s="164">
        <f>IF($ND5=0,"",TEXTJOIN(" · ",TRUE,IF($ND5=0,"",TEXTJOIN(" · ",TRUE,IF($ND5=0,"",TEXTJOIN(" · ",TRUE,IF($MQ5&gt;$NE5,"Este lugar abre no nível "&amp;$MQ5,""),IF($MS5&gt;$NF5,"Classe "&amp;$MS5&amp;": o nível "&amp;$NE5&amp;" libera até a "&amp;$NF5,""),IF($NX5=1,"A Forma "&amp;$MU5&amp;" pede "&amp;INDEX('DADOS_FORMAS'!$GA$2:$GA$21,$NJ5)&amp;" aberta",""),IF(AND($MS5=0,$NJ5&gt;0,IF($NJ5=0,0,INDEX('DADOS_FORMAS'!$GJ$2:$GJ$21,$NJ5))=0),$MU5&amp;" não existe na Classe 0",""),IF($NY5=1,"Família Fechada: "&amp;$MX5,""),IF($NZ5=1,"Família Fechada: "&amp;$MY5,""),IF($OA5=1,"Família Fechada: "&amp;$MZ5,""),IF($OB5=1,"Família Fechada: "&amp;$NA5,""),IF(AND($MS5&gt;0,$OU5&gt;INDEX($O$2:$O$8,MAX(1,$MS5))),$OU5&amp;" Melhorias: a Classe "&amp;$MS5&amp;" aceita "&amp;INDEX($O$2:$O$8,MAX(1,$MS5)),""),IF(AND($MS5=0,$OU5&gt;1),"A básica aceita uma Melhoria",""),IF(AND($MS5=0,COUNTIF($NO5:$NR5,"&gt;1")&gt;0),"A básica só aceita Melhoria Leve",""),IF(AND($MS5&gt;0,$OV5&gt;2),$OV5&amp;" Restrições"&amp;IF($OF5=1,", contando a que a Forma "&amp;$MU5&amp;" já traz","")&amp;": o limite é 2",""),IF(AND($MS5=0,COUNTIF($NB5:$NC5,"?*")&gt;1),"A básica aceita uma Restrição Leve",""),IF(AND($MS5=0,COUNTIF($OI5:$OJ5,2)&gt;0),"A básica só aceita Restrição Leve",""),IF(AND($MS5&gt;0,$PC5&lt;0),"Orçamento estourado: faltam "&amp;(-$PC5)&amp;IF($PC5&lt;-1," pontos"," ponto"),""),IF(IFERROR(VLOOKUP(SUBSTITUTE(SUBSTITUTE(SUBSTITUTE($NB5,"~","~~"),"*","~*"),"?","~?"),'DADOS_RESTRICOES'!$M$2:$Q$54,4,FALSE),0)+IFERROR(VLOOKUP(SUBSTITUTE(SUBSTITUTE(SUBSTITUTE($NC5,"~","~~"),"*","~*"),"?","~?"),'DADOS_RESTRICOES'!$M$2:$Q$54,4,FALSE),0)&gt;1,$OK5&amp;" e "&amp;$OL5&amp;" são as duas de frequência",""),IF(AND((COUNTIF($RK5:$RN5,"Rápido")+COUNTIF($OK5:$OL5,"Rápido"))&gt;0,(COUNTIF($MX5:$NA5,"Atrasar")+COUNTIF($OK5:$OL5,"Atrasar"))&gt;0),"Rápido não entra com Atrasar",""),IF(AND((COUNTIF($RK5:$RN5,"Reação")+COUNTIF($OK5:$OL5,"Reação"))&gt;0,(COUNTIF($RK5:$RN5,"Rápido")+COUNTIF($OK5:$OL5,"Rápido"))&gt;0),"Reação não entra com Rápido",""),IF(AND((COUNTIF($RK5:$RN5,"Reação")+COUNTIF($OK5:$OL5,"Reação"))&gt;0,(COUNTIF($RK5:$RN5,"Armado")+COUNTIF($OK5:$OL5,"Armado"))&gt;0),"Reação não entra com Armado",""),IF(AND((COUNTIF($RK5:$RN5,"Reação")+COUNTIF($OK5:$OL5,"Reação"))&gt;0,(COUNTIF($MX5:$NA5,"Atrasar")+COUNTIF($OK5:$OL5,"Atrasar"))&gt;0),"Reação não entra com Atrasar",""),IF(AND((COUNTIF($RK5:$RN5,"Reação")+COUNTIF($OK5:$OL5,"Reação"))&gt;0,(COUNTIF($MX5:$NA5,"Parado")+COUNTIF($OK5:$OL5,"Parado"))&gt;0),"Reação não entra com Parado",""),IF(AND((COUNTIF($MX5:$NA5,"Atrasar")+COUNTIF($OK5:$OL5,"Atrasar"))&gt;0,(COUNTIF($MX5:$NA5,"Parado")+COUNTIF($OK5:$OL5,"Parado"))&gt;0),"Atrasar não entra com Parado",""),IF(AND((COUNTIF($RK5:$RN5,"Armado")+COUNTIF($OK5:$OL5,"Armado"))&gt;0,(COUNTIF($MX5:$NA5,"Carregar")+COUNTIF($OK5:$OL5,"Carregar"))&gt;0),"Armado não entra com Carregar",""),IF(AND(COUNTIF($OK5:$OL5,"Corpo a Corpo")&gt;0,$OF5=0,OR($RO5="Cone",$RO5="Linha")),"Corpo a Corpo não entra em "&amp;$MU5,""),IF(AND(COUNTIF($OK5:$OL5,"Corpo a Corpo")&gt;0,$RP5="Corpo a Corpo"),"A Forma "&amp;$MU5&amp;" já traz o Corpo a Corpo",""),IF(AND(COUNTIF($OK5:$OL5,"Tudo ou Nada")&gt;0,$OH5=0),"Tudo ou Nada só entra em habilidade de Teste de Resistência",""),IF(AND(COUNTIF($RK5:$RN5,"Inescapável")&gt;0,OR($OU5&gt;1,$OV5&gt;0)),"Inescapável não aceita outra peça",""),IF(AND($MS5&gt;0,$PD5*IF(COUNTIF($RK5:$RN5,"Remate")&gt;0,1.25,1)+$PE5&gt;4*$MS5),($PD5*IF(COUNTIF($RK5:$RN5,"Remate")&gt;0,1.25,1)+$PE5)&amp;" dados somando repetições"&amp;IF(COUNTIF($RK5:$RN5,"Remate")&gt;0," e o Remate","")&amp;": o teto da Classe "&amp;$MS5&amp;" é "&amp;4*$MS5,""))),IF(AND($MX5&lt;&gt;"",COUNTIF('DADOS_MELHORIAS'!$O$2:$O$113,SUBSTITUTE(SUBSTITUTE(SUBSTITUTE($MX5,"~","~~"),"*","~*"),"?","~?"))=0),"Melhoria não cadastrada ou com erro: "&amp;$MX5,""),IF(AND($MY5&lt;&gt;"",COUNTIF('DADOS_MELHORIAS'!$O$2:$O$113,SUBSTITUTE(SUBSTITUTE(SUBSTITUTE($MY5,"~","~~"),"*","~*"),"?","~?"))=0),"Melhoria não cadastrada ou com erro: "&amp;$MY5,""),IF(AND($MZ5&lt;&gt;"",COUNTIF('DADOS_MELHORIAS'!$O$2:$O$113,SUBSTITUTE(SUBSTITUTE(SUBSTITUTE($MZ5,"~","~~"),"*","~*"),"?","~?"))=0),"Melhoria não cadastrada ou com erro: "&amp;$MZ5,""),IF(AND($NA5&lt;&gt;"",COUNTIF('DADOS_MELHORIAS'!$O$2:$O$113,SUBSTITUTE(SUBSTITUTE(SUBSTITUTE($NA5,"~","~~"),"*","~*"),"?","~?"))=0),"Melhoria não cadastrada ou com erro: "&amp;$NA5,""),IF(AND($NB5&lt;&gt;"",COUNTIF('DADOS_RESTRICOES'!$M$2:$M$54,SUBSTITUTE(SUBSTITUTE(SUBSTITUTE($NB5,"~","~~"),"*","~*"),"?","~?"))=0),"Restrição não cadastrada ou com erro: "&amp;$NB5,""),IF(AND($NC5&lt;&gt;"",COUNTIF('DADOS_RESTRICOES'!$M$2:$M$54,SUBSTITUTE(SUBSTITUTE(SUBSTITUTE($NC5,"~","~~"),"*","~*"),"?","~?"))=0),"Restrição não cadastrada ou com erro: "&amp;$NC5,""))),IF(AND($MU5&lt;&gt;"",COUNTIF('DADOS_FORMAS'!$AH$2:$AH$21,SUBSTITUTE(SUBSTITUTE(SUBSTITUTE($MU5,"~","~~"),"*","~*"),"?","~?"))=0),"Forma não cadastrada ou com erro: "&amp;$MU5,""),IF(AND(IFERROR(INDEX('DADOS_FORMAS'!$AS$2:$AS$21,MATCH(SUBSTITUTE(SUBSTITUTE(SUBSTITUTE($MU5,"~","~~"),"*","~*"),"?","~?"),'DADOS_FORMAS'!$AH$2:$AH$21,0)),"")&lt;&gt;"",OR(IFERROR(VLOOKUP(SUBSTITUTE(SUBSTITUTE(SUBSTITUTE(IFERROR(INDEX('DADOS_FORMAS'!$AS$2:$AS$21,MATCH(SUBSTITUTE(SUBSTITUTE(SUBSTITUTE($MU5,"~","~~"),"*","~*"),"?","~?"),'DADOS_FORMAS'!$AH$2:$AH$21,0)),""),"~","~~"),"*","~*"),"?","~?"),'DADOS_RESTRICOES'!$M$2:$Q$54,2,FALSE),"")=$OK5,IFERROR(VLOOKUP(SUBSTITUTE(SUBSTITUTE(SUBSTITUTE(IFERROR(INDEX('DADOS_FORMAS'!$AS$2:$AS$21,MATCH(SUBSTITUTE(SUBSTITUTE(SUBSTITUTE($MU5,"~","~~"),"*","~*"),"?","~?"),'DADOS_FORMAS'!$AH$2:$AH$21,0)),""),"~","~~"),"*","~*"),"?","~?"),'DADOS_RESTRICOES'!$M$2:$Q$54,2,FALSE),"")=$OL5)),"Restrição repetida, contando a embutida",""),IF(IF(IFERROR(INDEX('DADOS_FORMAS'!$AS$2:$AS$21,MATCH(SUBSTITUTE(SUBSTITUTE(SUBSTITUTE($MU5,"~","~~"),"*","~*"),"?","~?"),'DADOS_FORMAS'!$AH$2:$AH$21,0)),"")="",0,IFERROR(N(VLOOKUP(SUBSTITUTE(SUBSTITUTE(SUBSTITUTE(IFERROR(INDEX('DADOS_FORMAS'!$AS$2:$AS$21,MATCH(SUBSTITUTE(SUBSTITUTE(SUBSTITUTE($MU5,"~","~~"),"*","~*"),"?","~?"),'DADOS_FORMAS'!$AH$2:$AH$21,0)),""),"~","~~"),"*","~*"),"?","~?"),'DADOS_RESTRICOES'!$M$2:$Q$54,4,FALSE)=1),0))+IF($NB5="",0,IFERROR(N(VLOOKUP(SUBSTITUTE(SUBSTITUTE(SUBSTITUTE($NB5,"~","~~"),"*","~*"),"?","~?"),'DADOS_RESTRICOES'!$M$2:$Q$54,4,FALSE)=1),0))+IF($NC5="",0,IFERROR(N(VLOOKUP(SUBSTITUTE(SUBSTITUTE(SUBSTITUTE($NC5,"~","~~"),"*","~*"),"?","~?"),'DADOS_RESTRICOES'!$M$2:$Q$54,4,FALSE)=1),0))&gt;1,"Duas Restrições de frequência, contando a embutida",""),IF(AND(IFERROR(VLOOKUP(SUBSTITUTE(SUBSTITUTE(SUBSTITUTE(IFERROR(INDEX('DADOS_FORMAS'!$AS$2:$AS$21,MATCH(SUBSTITUTE(SUBSTITUTE(SUBSTITUTE($MU5,"~","~~"),"*","~*"),"?","~?"),'DADOS_FORMAS'!$AH$2:$AH$21,0)),""),"~","~~"),"*","~*"),"?","~?"),'DADOS_RESTRICOES'!$M$2:$Q$54,2,FALSE),"")="Tudo ou Nada",$OH5=0),"Tudo ou Nada exige TR",""),IF(AND(IFERROR(VLOOKUP(SUBSTITUTE(SUBSTITUTE(SUBSTITUTE(IFERROR(INDEX('DADOS_FORMAS'!$AS$2:$AS$21,MATCH(SUBSTITUTE(SUBSTITUTE(SUBSTITUTE($MU5,"~","~~"),"*","~*"),"?","~?"),'DADOS_FORMAS'!$AH$2:$AH$21,0)),""),"~","~~"),"*","~*"),"?","~?"),'DADOS_RESTRICOES'!$M$2:$Q$54,2,FALSE),"")="Corpo a Corpo",OR($RO5="Cone",$RO5="Linha")),"Corpo a Corpo não entra em Cone/Linha","")))</f>
        <v/>
      </c>
      <c r="PU5" s="164">
        <f>IF($PT5="",0,(LEN($PT5)-LEN(SUBSTITUTE($PT5," · ","")))/3+1)</f>
        <v/>
      </c>
      <c r="PV5" s="164">
        <f>IF($ND5=0,"",TEXTJOIN(" · ",TRUE,IF($OX5&gt;2*$MS5,"A devolução parou no teto de "&amp;2*$MS5,""),IF($PA5&gt;0,"Devolução perdida: "&amp;$PA5&amp;IF($PA5&gt;1," pontos"," ponto")&amp;" sem Melhoria para pagar",""),IF(AND($OC5&gt;0,AND($MS5&gt;0,$OG5=0),$PD5=0),"Controle sem dano: uma rodada a mais e CD +2",""),IF(AND($OC5&gt;0,AND($MS5&gt;0,$OG5=0),$PD5&gt;0,$PD5&lt;=$MS5),"Controle com saldo até a Classe: uma rodada a mais",""),IF(AND($MS5&gt;0,$OE5&lt;&gt;""),"Efeito de "&amp;$OE5&amp;" pela Classe "&amp;MAX(1,$MS5-1),"")))</f>
        <v/>
      </c>
      <c r="PW5" s="164">
        <f>IF($PV5="",0,(LEN($PV5)-LEN(SUBSTITUTE($PV5," · ","")))/3+1)</f>
        <v/>
      </c>
      <c r="PX5" s="164">
        <f>IF($ND5=0,IF($OU5+COUNTIF($NB5:$NC5,"?*")&gt;0,"Dê um nome",""),IF($PU5&gt;0,"⚠ "&amp;$PU5&amp;IF($PU5&gt;1," erros"," erro"),IF($PW5&gt;0,"! "&amp;$PW5&amp;IF($PW5&gt;1," avisos"," aviso"),"Na regra")))</f>
        <v/>
      </c>
      <c r="PY5" s="164">
        <f>IF($ND5=0,"",IF($PU5+$PW5=0,"Dentro das regras que a ficha confere",$PT5&amp;IF(AND($PU5&gt;0,$PW5&gt;0)," · ","")&amp;$PV5))</f>
        <v/>
      </c>
      <c r="PZ5" s="164">
        <f>IF($MQ5&gt;$NE5,$MR5&amp;" · ABRE NO NÍVEL "&amp;$MQ5,$MR5)</f>
        <v/>
      </c>
      <c r="QA5" s="164">
        <f>IF($ND5=0,"",IF($MS5=0,"Sem PE",3*$MS5&amp;" PE"))</f>
        <v/>
      </c>
      <c r="QB5" s="164">
        <f>IF($ND5=0,"",IF($MS5=0,"A atuação básica dela",IF(COUNTIF($RQ5:$RS5,"Atrasar")&gt;0,"Sua Ação Completa",IF(COUNTIF($RK5:$RN5,"Rápido")&gt;0,"Sua Bônus",IF(COUNTIF($RK5:$RN5,"Reação")&gt;0,"Sua Reação","Sua Padrão")))&amp;" + a básica dela"&amp;IF(COUNTIF($RK5:$RN5,"Reação")&gt;0," e a coletiva","")&amp;IF(COUNTIF($RQ5:$RS5,"Carregar")&gt;0," · em dois turnos","")))</f>
        <v/>
      </c>
      <c r="QC5" s="164">
        <f>IF($MW5&lt;&gt;"",$MW5,IF($NJ5=0,"",INDEX('DADOS_FORMAS'!$GE$2:$GE$21,$NJ5)))</f>
        <v/>
      </c>
      <c r="QD5" s="164">
        <f>IF(OR($ND5=0,$NJ5=0),"",IF(COUNTIF($RK5:$RN5,"Inescapável")&gt;0,"Automático",IF($QC5="Ataque",IF($NH5="","Ataque","Ataque "&amp;IF(($NH5+2*IF(COUNTIF($RK5:$RN5,"Precisão")&gt;0,1,0))&gt;=0,"+","−")&amp;ABS(($NH5+2*IF(COUNTIF($RK5:$RN5,"Precisão")&gt;0,1,0))))&amp;IF($OD5&gt;0," · TR"&amp;IF($NI5="",""," CD "&amp;$NI5),""),IF(LEFT($QC5,2)="TR",$QC5&amp;IF($NI5="",""," · CD "&amp;$NI5)&amp;IF(COUNTIF($RK5:$RN5,"Certeiro")&gt;0," · metade",""),"Sem rolagem"))))</f>
        <v/>
      </c>
      <c r="QE5" s="164">
        <f>IF(OR($ND5=0,$NJ5=0),"",IF($MS5=0,IF(OR($OG5&gt;=1,$PD5=0),"Sem dano",$PD5&amp;"d6"&amp;IF($MV5="",""," "&amp;$MV5)),IF(OR($OG5&gt;=1,$PD5=0),UPPER(LEFT(INDEX($PM5:$PS5,1,MAX(1,$MS5)),1))&amp;MID(INDEX($PM5:$PS5,1,MAX(1,$MS5)),2,99),UPPER(LEFT(INDEX($PM5:$PS5,1,MAX(1,$MS5)),1))&amp;MID(INDEX($PM5:$PS5,1,MAX(1,$MS5)),2,99)&amp;IF($MV5="",""," "&amp;$MV5)&amp;IF($PE5&gt;0," · +"&amp;$PE5&amp;"d8",""))))</f>
        <v/>
      </c>
      <c r="QF5" s="164">
        <f>COUNTIF($RK5:$RN5,"Longe")+3*COUNTIF($RK5:$RN5,"Muito Longe")</f>
        <v/>
      </c>
      <c r="QG5" s="164">
        <f>COUNTIF($RK5:$RN5,"Maior")+3*COUNTIF($RK5:$RN5,"Muito Maior")</f>
        <v/>
      </c>
      <c r="QH5" s="164">
        <f>IF($NJ5=0,0,CHOOSE(1+INDEX('DADOS_FORMAS'!$GG$2:$GG$21,$NJ5),0,$QF5,$QG5,$QF5+$QG5))</f>
        <v/>
      </c>
      <c r="QI5" s="164">
        <f>IF($NJ5=0,0,CHOOSE(1+INDEX('DADOS_FORMAS'!$GH$2:$GH$21,$NJ5),0,$QF5,$QG5,$QF5+$QG5))</f>
        <v/>
      </c>
      <c r="QJ5" s="164">
        <f>IF(OR($ND5=0,$NJ5=0),"",INDEX('DADOS_FORMAS'!$HU$2:$HZ$81,($NJ5-1)*4+IF($MS5=0,1,IF($MS5&lt;=5,2,IF($MS5=6,3,4))),1+MIN(5,$QH5))&amp;INDEX('DADOS_FORMAS'!$IA$2:$IF$81,($NJ5-1)*4+IF($MS5=0,1,IF($MS5&lt;=5,2,IF($MS5=6,3,4))),1+MIN(5,$QI5))&amp;IF(INDEX('DADOS_FORMAS'!$GI$2:$GI$21,$NJ5)=1,IF(COUNTIF($RK5:$RN5,"Mais Um")&gt;0," · +"&amp;COUNTIF($RK5:$RN5,"Mais Um")&amp;IF(COUNTIF($RK5:$RN5,"Mais Um")&gt;1," alvos"," alvo"),"")&amp;IF(COUNTIF($RK5:$RN5,"Rajada")&gt;0,IF($MS5=0," · 1 tiro"," · "&amp;(MAX(1,$MS5-1)+1)&amp;" tiros"),""),""))</f>
        <v/>
      </c>
      <c r="QK5" s="164">
        <f>IF($ND5=0,"",IF($MS5=0,$NG5&amp;"d6"&amp;IF($OU5&gt;0," − 1 = "&amp;$PD5&amp;"d6"," da básica do nível "&amp;$NE5),$PB5&amp;" − "&amp;$OW5&amp;" + "&amp;$OZ5&amp;" = "&amp;$PC5&amp;" · teto "&amp;4*$MS5&amp;"d8"&amp;IF($OF5=1," · a Forma devolve "&amp;$MS5,"")&amp;IF($PA5&gt;0," · perde "&amp;$PA5,"")))</f>
        <v/>
      </c>
      <c r="QL5" s="164">
        <f>IF($ND5=0,"",IF($MS5=0,"A básica não amplia: os dados dela sobem com o nível",IF($MS5&gt;=$NF5,"Já está na maior Classe que o nível liberou",TEXTJOIN(" · ",TRUE,IF(AND(2&gt;$MS5,2&lt;=$NF5),"2 → "&amp;$PN5&amp;", 6 PE",""),IF(AND(3&gt;$MS5,3&lt;=$NF5),"3 → "&amp;$PO5&amp;", 9 PE",""),IF(AND(4&gt;$MS5,4&lt;=$NF5),"4 → "&amp;$PP5&amp;", 12 PE",""),IF(AND(5&gt;$MS5,5&lt;=$NF5),"5 → "&amp;$PQ5&amp;", 15 PE",""),IF(AND(6&gt;$MS5,6&lt;=$NF5),"6 → "&amp;$PR5&amp;", 18 PE",""),IF(AND(7&gt;$MS5,7&lt;=$NF5),"7 → "&amp;$PS5&amp;", 21 PE","")))))</f>
        <v/>
      </c>
      <c r="QM5" s="164">
        <f>IF(OR($ND5=0,$NO5=0),"",IF($MS5=0,"−1 dado","−"&amp;INDEX($I$2:$N$8,MAX(1,$MS5),MAX(1,$NT5))&amp;" · "&amp;CHOOSE(MAX(1,$NT5),"Leve","Média","Pesada","Leve · Livre","Média · Livre","Pesada · Livre")))</f>
        <v/>
      </c>
      <c r="QN5" s="164">
        <f>IF(OR($ND5=0,$NP5=0),"",IF($MS5=0,"−1 dado","−"&amp;INDEX($I$2:$N$8,MAX(1,$MS5),MAX(1,$NU5))&amp;" · "&amp;CHOOSE(MAX(1,$NU5),"Leve","Média","Pesada","Leve · Livre","Média · Livre","Pesada · Livre")))</f>
        <v/>
      </c>
      <c r="QO5" s="164">
        <f>IF(OR($ND5=0,$NQ5=0),"",IF($MS5=0,"−1 dado","−"&amp;INDEX($I$2:$N$8,MAX(1,$MS5),MAX(1,$NV5))&amp;" · "&amp;CHOOSE(MAX(1,$NV5),"Leve","Média","Pesada","Leve · Livre","Média · Livre","Pesada · Livre")))</f>
        <v/>
      </c>
      <c r="QP5" s="164">
        <f>IF(OR($ND5=0,$NR5=0),"",IF($MS5=0,"−1 dado","−"&amp;INDEX($I$2:$N$8,MAX(1,$MS5),MAX(1,$NW5))&amp;" · "&amp;CHOOSE(MAX(1,$NW5),"Leve","Média","Pesada","Leve · Livre","Média · Livre","Pesada · Livre")))</f>
        <v/>
      </c>
      <c r="QQ5" s="164">
        <f>IF(OR($ND5=0,$NB5=""),"",IF($MS5=0,"não devolve","+"&amp;IF($OI5=1,CEILING($MS5/2,1),$MS5)))</f>
        <v/>
      </c>
      <c r="QR5" s="164">
        <f>IF(OR($ND5=0,$NC5=""),"",IF($MS5=0,"não devolve","+"&amp;IF($OJ5=1,CEILING($MS5/2,1),$MS5)))</f>
        <v/>
      </c>
      <c r="QV5">
        <f>'INVOCAÇÕES'!$O$683&amp;""</f>
        <v/>
      </c>
      <c r="QW5">
        <f>'INVOCAÇÕES'!$P$683&amp;""</f>
        <v/>
      </c>
      <c r="QX5">
        <f>'INVOCAÇÕES'!$Q$683&amp;""</f>
        <v/>
      </c>
      <c r="QY5">
        <f>'INVOCAÇÕES'!$R$683&amp;""</f>
        <v/>
      </c>
      <c r="QZ5">
        <f>IF('INVOCAÇÕES'!$K$683="","Autônoma",'INVOCAÇÕES'!$K$683)</f>
        <v/>
      </c>
      <c r="RA5">
        <f>IF(DADOS_INVOC!$DB$4="Invocação Principal",'CONFIGURAÇÃO'!$H$144,IF(OR(DADOS_INVOC!$DB$4="Parceria",DADOS_INVOC!$DB$4="Múltiplas Invocações"),'CONFIGURAÇÃO'!$H$142,'CONFIGURAÇÃO'!$H$140))+IF($QZ$5="Não autônoma",'CONFIGURAÇÃO'!$H$145,0)</f>
        <v/>
      </c>
      <c r="RB5">
        <f>IF($RA$5&gt;=1,$EL$5,"")</f>
        <v/>
      </c>
      <c r="RC5">
        <f>IF($RA$5&gt;=2,$EM$5,"")</f>
        <v/>
      </c>
      <c r="RD5">
        <f>IF($RA$5&gt;=7,$EN$5,"")</f>
        <v/>
      </c>
      <c r="RE5">
        <f>IF($RA$5&gt;=8,$EO$5,"")</f>
        <v/>
      </c>
      <c r="RF5">
        <f>IF($RA$5&gt;=9,$EP$5,"")</f>
        <v/>
      </c>
      <c r="RG5">
        <f>IF($RA$5&gt;=3,$QV$5,"")</f>
        <v/>
      </c>
      <c r="RH5">
        <f>IF($RA$5&gt;=4,$QW$5,"")</f>
        <v/>
      </c>
      <c r="RI5">
        <f>IF($RA$5&gt;=5,$QX$5,"")</f>
        <v/>
      </c>
      <c r="RJ5">
        <f>IF($RA$5&gt;=6,$QY$5,"")</f>
        <v/>
      </c>
      <c r="RK5">
        <f>IF($MX5="","",IFERROR(VLOOKUP(SUBSTITUTE(SUBSTITUTE(SUBSTITUTE($MX5,"~","~~"),"*","~*"),"?","~?"),'DADOS_MELHORIAS'!$O$2:$X$113,10,FALSE),$MX5))</f>
        <v/>
      </c>
      <c r="RL5">
        <f>IF($MY5="","",IFERROR(VLOOKUP(SUBSTITUTE(SUBSTITUTE(SUBSTITUTE($MY5,"~","~~"),"*","~*"),"?","~?"),'DADOS_MELHORIAS'!$O$2:$X$113,10,FALSE),$MY5))</f>
        <v/>
      </c>
      <c r="RM5">
        <f>IF($MZ5="","",IFERROR(VLOOKUP(SUBSTITUTE(SUBSTITUTE(SUBSTITUTE($MZ5,"~","~~"),"*","~*"),"?","~?"),'DADOS_MELHORIAS'!$O$2:$X$113,10,FALSE),$MZ5))</f>
        <v/>
      </c>
      <c r="RN5">
        <f>IF($NA5="","",IFERROR(VLOOKUP(SUBSTITUTE(SUBSTITUTE(SUBSTITUTE($NA5,"~","~~"),"*","~*"),"?","~?"),'DADOS_MELHORIAS'!$O$2:$X$113,10,FALSE),$NA5))</f>
        <v/>
      </c>
      <c r="RO5">
        <f>IFERROR(INDEX('DADOS_FORMAS'!$BJ$2:$BJ$21,MATCH(SUBSTITUTE(SUBSTITUTE(SUBSTITUTE($MU5,"~","~~"),"*","~*"),"?","~?"),'DADOS_FORMAS'!$AH$2:$AH$21,0)),"")</f>
        <v/>
      </c>
      <c r="RP5">
        <f>IFERROR(VLOOKUP(SUBSTITUTE(SUBSTITUTE(SUBSTITUTE(IFERROR(INDEX('DADOS_FORMAS'!$AS$2:$AS$21,MATCH(SUBSTITUTE(SUBSTITUTE(SUBSTITUTE($MU5,"~","~~"),"*","~*"),"?","~?"),'DADOS_FORMAS'!$AH$2:$AH$21,0)),""),"~","~~"),"*","~*"),"?","~?"),'DADOS_RESTRICOES'!$M$2:$Q$54,2,FALSE),"")</f>
        <v/>
      </c>
      <c r="RQ5">
        <f>$OK5</f>
        <v/>
      </c>
      <c r="RR5">
        <f>$OL5</f>
        <v/>
      </c>
      <c r="RS5">
        <f>$RP5</f>
        <v/>
      </c>
    </row>
    <row r="6">
      <c r="A6" s="164" t="n">
        <v>17</v>
      </c>
      <c r="B6" s="164" t="n">
        <v>5</v>
      </c>
      <c r="C6" s="164" t="n">
        <v>3</v>
      </c>
      <c r="D6" s="164" t="n">
        <v>11</v>
      </c>
      <c r="F6" s="164" t="n">
        <v>22</v>
      </c>
      <c r="H6" s="164" t="n">
        <v>5</v>
      </c>
      <c r="I6" s="164" t="n">
        <v>3</v>
      </c>
      <c r="J6" s="164" t="n">
        <v>5</v>
      </c>
      <c r="K6" s="164" t="n">
        <v>8</v>
      </c>
      <c r="L6" s="164" t="n">
        <v>1</v>
      </c>
      <c r="M6" s="164" t="n">
        <v>3</v>
      </c>
      <c r="N6" s="164" t="n">
        <v>6</v>
      </c>
      <c r="O6" s="164" t="n">
        <v>4</v>
      </c>
      <c r="P6" s="164" t="n">
        <v>11</v>
      </c>
      <c r="R6" s="164" t="n">
        <v>4</v>
      </c>
      <c r="T6" s="164" t="n">
        <v>7</v>
      </c>
      <c r="V6" s="162" t="inlineStr">
        <is>
          <t>Cone</t>
        </is>
      </c>
      <c r="W6" s="162" t="inlineStr">
        <is>
          <t>Área</t>
        </is>
      </c>
      <c r="X6" s="164" t="n">
        <v>1</v>
      </c>
      <c r="Y6" s="164" t="n">
        <v>0</v>
      </c>
      <c r="Z6" s="164" t="n">
        <v>0</v>
      </c>
      <c r="AA6" s="162" t="inlineStr">
        <is>
          <t>TR</t>
        </is>
      </c>
      <c r="AB6" s="164" t="n">
        <v>1</v>
      </c>
      <c r="AC6" s="164" t="n">
        <v>3</v>
      </c>
      <c r="AD6" s="164" t="n">
        <v>0</v>
      </c>
      <c r="AE6" s="164" t="n">
        <v>0</v>
      </c>
      <c r="AF6" s="164" t="n">
        <v>1</v>
      </c>
      <c r="AH6" s="162" t="inlineStr">
        <is>
          <t>Toque · classe 0</t>
        </is>
      </c>
      <c r="AI6" s="162" t="inlineStr">
        <is>
          <t>1,5 m, um alvo</t>
        </is>
      </c>
      <c r="AJ6" s="162" t="inlineStr">
        <is>
          <t>1,5 m, um alvo</t>
        </is>
      </c>
      <c r="AK6" s="162" t="inlineStr">
        <is>
          <t>1,5 m, um alvo</t>
        </is>
      </c>
      <c r="AL6" s="162" t="inlineStr">
        <is>
          <t>1,5 m, um alvo</t>
        </is>
      </c>
      <c r="AM6" s="162" t="inlineStr">
        <is>
          <t>1,5 m, um alvo</t>
        </is>
      </c>
      <c r="AN6" s="162" t="inlineStr">
        <is>
          <t>1,5 m, um alvo</t>
        </is>
      </c>
      <c r="AO6" s="162" t="inlineStr"/>
      <c r="AP6" s="162" t="inlineStr"/>
      <c r="AQ6" s="162" t="inlineStr"/>
      <c r="AR6" s="162" t="inlineStr"/>
      <c r="AS6" s="162" t="inlineStr"/>
      <c r="AT6" s="162" t="inlineStr"/>
      <c r="AV6" s="162" t="inlineStr">
        <is>
          <t>Passo</t>
        </is>
      </c>
      <c r="AW6" s="162" t="inlineStr">
        <is>
          <t>Alcance</t>
        </is>
      </c>
      <c r="AX6" s="164" t="n">
        <v>1</v>
      </c>
      <c r="AY6" s="164" t="n">
        <v>0</v>
      </c>
      <c r="AZ6" s="164" t="n">
        <v>0</v>
      </c>
      <c r="BA6" s="164" t="n">
        <v>0</v>
      </c>
      <c r="BC6" s="162" t="inlineStr">
        <is>
          <t>Carregar</t>
        </is>
      </c>
      <c r="BD6" s="162" t="inlineStr">
        <is>
          <t>Carregar</t>
        </is>
      </c>
      <c r="BE6" s="164" t="n">
        <v>2</v>
      </c>
      <c r="BF6" s="164" t="n">
        <v>0</v>
      </c>
      <c r="BG6" s="162" t="inlineStr"/>
      <c r="BI6" s="162" t="inlineStr">
        <is>
          <t>Farejador</t>
        </is>
      </c>
      <c r="BJ6" s="164" t="n">
        <v>1</v>
      </c>
      <c r="BK6" s="162" t="inlineStr">
        <is>
          <t>Você sente se houve uma conjuração no local onde está nas últimas 24 horas, e identifica a Classe deixada por ela. Se houver vestígios de mais de uma Classe, reconhece essas Classes.</t>
        </is>
      </c>
      <c r="BL6" s="162" t="inlineStr">
        <is>
          <t>Farejador</t>
        </is>
      </c>
      <c r="BN6" s="162" t="inlineStr">
        <is>
          <t>Maldição domada</t>
        </is>
      </c>
      <c r="BS6" s="162" t="inlineStr">
        <is>
          <t>Auxiliares</t>
        </is>
      </c>
      <c r="BU6" s="162" t="inlineStr">
        <is>
          <t>Essência</t>
        </is>
      </c>
      <c r="CC6" s="162" t="inlineStr">
        <is>
          <t>Prestidigitação</t>
        </is>
      </c>
      <c r="CD6" s="162" t="inlineStr">
        <is>
          <t>Destreza</t>
        </is>
      </c>
      <c r="CH6" s="162" t="inlineStr">
        <is>
          <t>Caligrafia</t>
        </is>
      </c>
      <c r="CJ6" s="162" t="inlineStr">
        <is>
          <t>Frio</t>
        </is>
      </c>
      <c r="CL6" s="162" t="inlineStr">
        <is>
          <t>TR Espírito</t>
        </is>
      </c>
      <c r="CN6" s="164" t="n">
        <v>4</v>
      </c>
      <c r="DA6" s="162" t="inlineStr">
        <is>
          <t>valor da defesa</t>
        </is>
      </c>
      <c r="DB6" s="164">
        <f>IF($DB$5="Inteligência",N(FICHA!$AB$19),N(FICHA!$AJ$19))</f>
        <v/>
      </c>
      <c r="DD6" s="164" t="n">
        <v>5</v>
      </c>
      <c r="DE6" s="164">
        <f>'INVOCAÇÕES'!$I$857&amp;""</f>
        <v/>
      </c>
      <c r="DF6" s="164">
        <f>'INVOCAÇÕES'!$I$887&amp;""</f>
        <v/>
      </c>
      <c r="DG6" s="164">
        <f>'INVOCAÇÕES'!$I$891&amp;""</f>
        <v/>
      </c>
      <c r="DH6" s="164">
        <f>N('INVOCAÇÕES'!$K$891)</f>
        <v/>
      </c>
      <c r="DI6" s="164">
        <f>'INVOCAÇÕES'!$L$891&amp;""</f>
        <v/>
      </c>
      <c r="DJ6" s="164">
        <f>N('INVOCAÇÕES'!$O$864)</f>
        <v/>
      </c>
      <c r="DK6" s="164">
        <f>N('INVOCAÇÕES'!$P$864)</f>
        <v/>
      </c>
      <c r="DL6" s="164">
        <f>N('INVOCAÇÕES'!$Q$864)</f>
        <v/>
      </c>
      <c r="DM6" s="164">
        <f>N('INVOCAÇÕES'!$R$864)</f>
        <v/>
      </c>
      <c r="DN6" s="164">
        <f>N('INVOCAÇÕES'!$S$864)</f>
        <v/>
      </c>
      <c r="DO6" s="164">
        <f>N('INVOCAÇÕES'!$O$865)</f>
        <v/>
      </c>
      <c r="DP6" s="164">
        <f>N('INVOCAÇÕES'!$P$865)</f>
        <v/>
      </c>
      <c r="DQ6" s="164">
        <f>N('INVOCAÇÕES'!$Q$865)</f>
        <v/>
      </c>
      <c r="DR6" s="164">
        <f>N('INVOCAÇÕES'!$R$865)</f>
        <v/>
      </c>
      <c r="DS6" s="164">
        <f>N('INVOCAÇÕES'!$S$865)</f>
        <v/>
      </c>
      <c r="DT6" s="164">
        <f>'INVOCAÇÕES'!$O$878&amp;""</f>
        <v/>
      </c>
      <c r="DU6" s="164">
        <f>'INVOCAÇÕES'!$R$878&amp;""</f>
        <v/>
      </c>
      <c r="DV6" s="164">
        <f>'INVOCAÇÕES'!$S$873&amp;""</f>
        <v/>
      </c>
      <c r="DW6" s="164">
        <f>N('INVOCAÇÕES'!$O$870)</f>
        <v/>
      </c>
      <c r="DX6" s="164">
        <f>N('INVOCAÇÕES'!$P$870)</f>
        <v/>
      </c>
      <c r="DY6" s="164">
        <f>N('INVOCAÇÕES'!$Q$870)</f>
        <v/>
      </c>
      <c r="DZ6" s="164">
        <f>N('INVOCAÇÕES'!$R$870)</f>
        <v/>
      </c>
      <c r="EA6" s="164">
        <f>N('INVOCAÇÕES'!$S$870)</f>
        <v/>
      </c>
      <c r="EB6" s="164">
        <f>N('INVOCAÇÕES'!$O$875)</f>
        <v/>
      </c>
      <c r="EC6" s="164">
        <f>N('INVOCAÇÕES'!$P$875)</f>
        <v/>
      </c>
      <c r="ED6" s="164">
        <f>N('INVOCAÇÕES'!$Q$875)</f>
        <v/>
      </c>
      <c r="EE6" s="164">
        <f>N('INVOCAÇÕES'!$R$875)</f>
        <v/>
      </c>
      <c r="EF6" s="164">
        <f>'INVOCAÇÕES'!$U$857&amp;""</f>
        <v/>
      </c>
      <c r="EG6" s="164">
        <f>N('INVOCAÇÕES'!$W$857)</f>
        <v/>
      </c>
      <c r="EH6" s="164">
        <f>'INVOCAÇÕES'!$Y$857&amp;""</f>
        <v/>
      </c>
      <c r="EI6" s="164">
        <f>SUM('INVOCAÇÕES'!$Y$825:'INVOCAÇÕES'!$Y$827,'INVOCAÇÕES'!$Y$829:'INVOCAÇÕES'!$Y$834)</f>
        <v/>
      </c>
      <c r="EJ6" s="164">
        <f>'INVOCAÇÕES'!$U$862&amp;""</f>
        <v/>
      </c>
      <c r="EK6" s="164">
        <f>'INVOCAÇÕES'!$V$862&amp;""</f>
        <v/>
      </c>
      <c r="EL6" s="164">
        <f>'INVOCAÇÕES'!$O$892&amp;""</f>
        <v/>
      </c>
      <c r="EM6" s="164">
        <f>'INVOCAÇÕES'!$P$892&amp;""</f>
        <v/>
      </c>
      <c r="EN6" s="164">
        <f>'INVOCAÇÕES'!$Q$892&amp;""</f>
        <v/>
      </c>
      <c r="EO6" s="164">
        <f>'INVOCAÇÕES'!$R$892&amp;""</f>
        <v/>
      </c>
      <c r="EP6" s="164">
        <f>'INVOCAÇÕES'!$S$892&amp;""</f>
        <v/>
      </c>
      <c r="EQ6" s="164">
        <f>'INVOCAÇÕES'!$O$882&amp;""</f>
        <v/>
      </c>
      <c r="ER6" s="164">
        <f>'INVOCAÇÕES'!$O$883&amp;""</f>
        <v/>
      </c>
      <c r="ES6" s="164">
        <f>'INVOCAÇÕES'!$O$884&amp;""</f>
        <v/>
      </c>
      <c r="ET6" s="164">
        <f>'INVOCAÇÕES'!$O$885&amp;""</f>
        <v/>
      </c>
      <c r="EU6" s="164">
        <f>'INVOCAÇÕES'!$O$886&amp;""</f>
        <v/>
      </c>
      <c r="EV6" s="164">
        <f>'INVOCAÇÕES'!$O$887&amp;""</f>
        <v/>
      </c>
      <c r="EW6" s="164">
        <f>'INVOCAÇÕES'!$O$888&amp;""</f>
        <v/>
      </c>
      <c r="EX6" s="164">
        <f>'INVOCAÇÕES'!$J$937&amp;""</f>
        <v/>
      </c>
      <c r="EY6" s="164">
        <f>'INVOCAÇÕES'!$J$938&amp;""</f>
        <v/>
      </c>
      <c r="EZ6" s="164">
        <f>'INVOCAÇÕES'!$J$939&amp;""</f>
        <v/>
      </c>
      <c r="FA6" s="164">
        <f>'INVOCAÇÕES'!$J$940&amp;""</f>
        <v/>
      </c>
      <c r="FB6" s="164">
        <f>'INVOCAÇÕES'!$J$941&amp;""</f>
        <v/>
      </c>
      <c r="FC6" s="164">
        <f>'INVOCAÇÕES'!$J$942&amp;""</f>
        <v/>
      </c>
      <c r="FD6" s="164">
        <f>'INVOCAÇÕES'!$J$943&amp;""</f>
        <v/>
      </c>
      <c r="FE6" s="164">
        <f>'INVOCAÇÕES'!$J$944&amp;""</f>
        <v/>
      </c>
      <c r="FF6" s="164">
        <f>'INVOCAÇÕES'!$J$1039&amp;""</f>
        <v/>
      </c>
      <c r="FG6" s="164">
        <f>'INVOCAÇÕES'!$J$1040&amp;""</f>
        <v/>
      </c>
      <c r="FH6" s="164">
        <f>'INVOCAÇÕES'!$J$1041&amp;""</f>
        <v/>
      </c>
      <c r="FI6" s="164">
        <f>MAX(3,MIN(7,N('INVOCAÇÕES'!$I$1046)))</f>
        <v/>
      </c>
      <c r="FJ6" s="164">
        <f>MAX(3,MIN(7,N('INVOCAÇÕES'!$O$1046)))</f>
        <v/>
      </c>
      <c r="FK6" s="164">
        <f>MAX(3,MIN(7,N('INVOCAÇÕES'!$U$1046)))</f>
        <v/>
      </c>
      <c r="FL6" s="164">
        <f>'INVOCAÇÕES'!$O$1060&amp;""</f>
        <v/>
      </c>
      <c r="FM6" s="164">
        <f>IF($DE6&lt;&gt;"",1,0)</f>
        <v/>
      </c>
      <c r="FN6" s="164">
        <f>IFERROR(VLOOKUP($DG6,$BP$2:$BQ$5,2,FALSE),1)</f>
        <v/>
      </c>
      <c r="FO6" s="164">
        <f>IF($FN6=1,$DB$2,IF($FN6=2,MIN($DB$2,IF(MAX(1,MIN($DB$2,IF($DH6=0,$DB$2,$DH6)))&lt;=4,4,IF(MAX(1,MIN($DB$2,IF($DH6=0,$DB$2,$DH6)))&lt;=8,8,IF(MAX(1,MIN($DB$2,IF($DH6=0,$DB$2,$DH6)))&lt;=12,12,IF(MAX(1,MIN($DB$2,IF($DH6=0,$DB$2,$DH6)))&lt;=16,16,IF(MAX(1,MIN($DB$2,IF($DH6=0,$DB$2,$DH6)))&lt;=20,20,IF(MAX(1,MIN($DB$2,IF($DH6=0,$DB$2,$DH6)))&lt;=25,25,IF(MAX(1,MIN($DB$2,IF($DH6=0,$DB$2,$DH6)))&lt;=30,30,30)))))))),MAX(1,MIN($DB$2,IF($DH6=0,$DB$2,$DH6)))))</f>
        <v/>
      </c>
      <c r="FP6" s="164">
        <f>VLOOKUP(MAX(1,$FO6),$A$2:$D$8,2,TRUE)</f>
        <v/>
      </c>
      <c r="FQ6" s="164">
        <f>VLOOKUP(MAX(1,$FO6),$A$2:$D$8,3,TRUE)</f>
        <v/>
      </c>
      <c r="FR6" s="164">
        <f>$DJ6+$DO6</f>
        <v/>
      </c>
      <c r="FS6" s="164">
        <f>$DK6+$DP6</f>
        <v/>
      </c>
      <c r="FT6" s="164">
        <f>$DL6+$DQ6</f>
        <v/>
      </c>
      <c r="FU6" s="164">
        <f>$DM6+$DR6</f>
        <v/>
      </c>
      <c r="FV6" s="164">
        <f>$DN6+$DS6</f>
        <v/>
      </c>
      <c r="FW6" s="164">
        <f>SUM($DJ6:$DN6)</f>
        <v/>
      </c>
      <c r="FX6" s="164">
        <f>9+$FY6</f>
        <v/>
      </c>
      <c r="FY6" s="164">
        <f>COUNTIF($F$2:$F$8,"&lt;="&amp;$FO6)</f>
        <v/>
      </c>
      <c r="FZ6" s="164">
        <f>MAX(0,$DJ6-3)+MAX(0,$DK6-3)+MAX(0,$DL6-3)+MAX(0,$DM6-3)+MAX(0,$DN6-3)</f>
        <v/>
      </c>
      <c r="GA6" s="164">
        <f>IFERROR(INDEX($FR6:$FV6,1,MATCH($DT6,$BU$2:$BU$6,0)),"")</f>
        <v/>
      </c>
      <c r="GB6" s="164">
        <f>IF($GA6="","",$GA6+$DB$3+$DW6)</f>
        <v/>
      </c>
      <c r="GC6" s="164">
        <f>IF($GA6="","",8+$GA6+$DB$3+$DX6)</f>
        <v/>
      </c>
      <c r="GD6" s="164">
        <f>10+$FS6+$DB$7+$DY6</f>
        <v/>
      </c>
      <c r="GE6" s="164">
        <f>IF(IFERROR(VLOOKUP(SUBSTITUTE(SUBSTITUTE(SUBSTITUTE($DF6,"~","~~"),"*","~*"),"?","~?"),'DADOS_ENTIDADES'!$M$2:$P$16,2,FALSE),0)=1,1,0)</f>
        <v/>
      </c>
      <c r="GF6" s="164">
        <f>5+$FT6+(3+$GE6+$FT6)*($FO6-1)+$DZ6</f>
        <v/>
      </c>
      <c r="GG6" s="164">
        <f>IF($FM6=0,"",$GF6)</f>
        <v/>
      </c>
      <c r="GH6" s="164">
        <f>IF($EF6="",$GF6,MAX(0,MIN(IFERROR(VALUE($EF6),$GF6),$GF6)))</f>
        <v/>
      </c>
      <c r="GI6" s="164">
        <f>IF(AND($FM6=1,$EJ6&lt;&gt;"Sem alma"),MAX(1,INT($GF6/2)),"")</f>
        <v/>
      </c>
      <c r="GJ6" s="164">
        <f>$GI6</f>
        <v/>
      </c>
      <c r="GK6" s="164">
        <f>IF($GI6="","",IF($EK6="",$GI6,MAX(0,MIN(IFERROR(VALUE($EK6),$GI6),$GI6))))</f>
        <v/>
      </c>
      <c r="GL6" s="164">
        <f>IF($FM6=0,"",IF($GI6="","—",$GI6))</f>
        <v/>
      </c>
      <c r="GM6" s="164">
        <f>IF($FM6=0,"",IF($GI6="","Sem alma · imune a dano de Alma",IF($GK6&lt;=0,"Estágio 4 · caída, como a zero de vida",IF($GK6&lt;=$GI6/4,"Estágio 3 · desvantagem em ataques e TRs, Classe pela metade",IF($GK6&lt;=$GI6/2,"Estágio 2 · metade do deslocamento, +1 PE por Classe",IF($GK6&lt;=$GI6*3/4,"Estágio 1 · desvantagem em perícias","Alma inteira"))))))</f>
        <v/>
      </c>
      <c r="GN6" s="164">
        <f>9+$EA6</f>
        <v/>
      </c>
      <c r="GO6" s="164">
        <f>IF($DU6="Destreza",$FS6,$FR6)</f>
        <v/>
      </c>
      <c r="GP6" s="164">
        <f>$GO6+IF($DV6="Físico",$DB$3,0)+$EB6</f>
        <v/>
      </c>
      <c r="GQ6" s="164">
        <f>$FT6+IF($DV6="Vigor",$DB$3,0)+$EC6</f>
        <v/>
      </c>
      <c r="GR6" s="164">
        <f>$FU6+IF($DV6="Intelecto",$DB$3,0)+$ED6</f>
        <v/>
      </c>
      <c r="GS6" s="164">
        <f>$FV6+IF($DV6="Espírito",$DB$3,0)+$EE6</f>
        <v/>
      </c>
      <c r="GT6" s="164">
        <f>4+INT($DM6/2)</f>
        <v/>
      </c>
      <c r="GU6" s="164">
        <f>COUNTIF($EQ6:$EW6,"?*")</f>
        <v/>
      </c>
      <c r="GV6" s="164">
        <f>INT((2+$FO6/2)/2)</f>
        <v/>
      </c>
      <c r="GW6" s="164">
        <f>IF($FO6&gt;=11,2,1)</f>
        <v/>
      </c>
      <c r="GX6" s="164">
        <f>1+$FY6</f>
        <v/>
      </c>
      <c r="GY6" s="164">
        <f>COUNTIF($EX6:$FE6,"?*")</f>
        <v/>
      </c>
      <c r="GZ6" s="164">
        <f>IF(AND(IFERROR(VLOOKUP(SUBSTITUTE(SUBSTITUTE(SUBSTITUTE($DF6,"~","~~"),"*","~*"),"?","~?"),'DADOS_ENTIDADES'!$M$2:$P$16,3,FALSE),0)=1,$DI6="Com carga"),MAX(1,CEILING($FP6/2,1)),$FP6)</f>
        <v/>
      </c>
      <c r="HA6" s="164">
        <f>2*$FP6</f>
        <v/>
      </c>
      <c r="HB6" s="164">
        <f>$FO6*(1+INT($DN6/3))</f>
        <v/>
      </c>
      <c r="HC6" s="164">
        <f>5+$FR6</f>
        <v/>
      </c>
      <c r="HD6" s="164">
        <f>(COUNTIF($EL6:$EP6,"?*")+COUNTIF($QV6:$QY6,"?*"))</f>
        <v/>
      </c>
      <c r="HE6" s="164">
        <f>IF($EL6="",0,IF((COUNTIF($EL6:$EP6,$EL6)+COUNTIF($QV6:$QY6,$EL6))&gt;1,1,0))+IF($EM6="",0,IF((COUNTIF($EL6:$EP6,$EM6)+COUNTIF($QV6:$QY6,$EM6))&gt;1,1,0))+IF($EN6="",0,IF((COUNTIF($EL6:$EP6,$EN6)+COUNTIF($QV6:$QY6,$EN6))&gt;1,1,0))+IF($EO6="",0,IF((COUNTIF($EL6:$EP6,$EO6)+COUNTIF($QV6:$QY6,$EO6))&gt;1,1,0))+IF($EP6="",0,IF((COUNTIF($EL6:$EP6,$EP6)+COUNTIF($QV6:$QY6,$EP6))&gt;1,1,0))+IF($QV$6="",0,IF(COUNTIF($EL6:$EP6,$QV$6)+COUNTIF($QV6:$QY6,$QV$6)&gt;1,1,0))+IF($QW$6="",0,IF(COUNTIF($EL6:$EP6,$QW$6)+COUNTIF($QV6:$QY6,$QW$6)&gt;1,1,0))+IF($QX$6="",0,IF(COUNTIF($EL6:$EP6,$QX$6)+COUNTIF($QV6:$QY6,$QX$6)&gt;1,1,0))+IF($QY$6="",0,IF(COUNTIF($EL6:$EP6,$QY$6)+COUNTIF($QV6:$QY6,$QY$6)&gt;1,1,0))</f>
        <v/>
      </c>
      <c r="HF6" s="164">
        <f>IF(DADOS_INVOC!$DB$4="Invocação Principal",'CONFIGURAÇÃO'!$H$143,IF(OR(DADOS_INVOC!$DB$4="Parceria",DADOS_INVOC!$DB$4="Múltiplas Invocações"),'CONFIGURAÇÃO'!$H$141,'CONFIGURAÇÃO'!$H$139))+IF($QZ$6="Não autônoma",'CONFIGURAÇÃO'!$H$145,0)</f>
        <v/>
      </c>
      <c r="HG6" s="164">
        <f>IF($FM6=0,"INVOCAÇÃO 5 · lugar vazio",$DE6&amp;" · "&amp;$DF6&amp;" · nível "&amp;$FO6&amp;" · vida "&amp;$GH6&amp;" de "&amp;$GF6)</f>
        <v/>
      </c>
      <c r="HH6" s="164">
        <f>IF($FM6=0,"VAZIA",UPPER($DE6))</f>
        <v/>
      </c>
      <c r="HI6" s="164">
        <f>IF($DB$3&gt;=0,"+","−")&amp;ABS($DB$3)</f>
        <v/>
      </c>
      <c r="HJ6" s="164">
        <f>$GZ6&amp;" PE"</f>
        <v/>
      </c>
      <c r="HK6" s="164">
        <f>$HA6&amp;" PE"</f>
        <v/>
      </c>
      <c r="HL6" s="164">
        <f>IF(OR($FW6&gt;$FX6,$FZ6&gt;$FY6),"⚠ ",IF(AND($FM6=1,$FW6&lt;$FX6),"! ",""))&amp;"ATRIBUTOS · "&amp;$FW6&amp;" DE "&amp;$FX6&amp;" PONTOS"&amp;IF($FZ6&gt;$FY6," · ACIMA DE 3 SÓ COM MARCO","")</f>
        <v/>
      </c>
      <c r="HM6" s="164">
        <f>IF($GB6="","",IF($GB6&gt;=0,"+","−")&amp;ABS($GB6))</f>
        <v/>
      </c>
      <c r="HN6" s="164">
        <f>IF($GC6="","",$GC6)</f>
        <v/>
      </c>
      <c r="HO6" s="164">
        <f>SUBSTITUTE(IF($EI6&gt;2*$HC6,0,IF($EI6&gt;$HC6,$GN6/2,$GN6))&amp;" m",".",",")</f>
        <v/>
      </c>
      <c r="HP6" s="164">
        <f>IF($GP6&gt;=0,"+","−")&amp;ABS($GP6)</f>
        <v/>
      </c>
      <c r="HQ6" s="164">
        <f>IF($GQ6&gt;=0,"+","−")&amp;ABS($GQ6)</f>
        <v/>
      </c>
      <c r="HR6" s="164">
        <f>IF($GR6&gt;=0,"+","−")&amp;ABS($GR6)</f>
        <v/>
      </c>
      <c r="HS6" s="164">
        <f>IF($GS6&gt;=0,"+","−")&amp;ABS($GS6)</f>
        <v/>
      </c>
      <c r="HT6" s="164">
        <f>IF($GU6&gt;$GT6,"⚠ ","")&amp;"PERÍCIAS · "&amp;$GU6&amp;" DE "&amp;$GT6</f>
        <v/>
      </c>
      <c r="HU6" s="164">
        <f>IF($EQ6="","",IFERROR(IF((INDEX($FR6:$FV6,1,MATCH(VLOOKUP(SUBSTITUTE(SUBSTITUTE(SUBSTITUTE($EQ6,"~","~~"),"*","~*"),"?","~?"),'DADOS_PROGRESSAO'!$AG$2:$AH$34,2,FALSE),$BU$2:$BU$6,0))+$DB$3)&gt;=0,"+","−")&amp;ABS((INDEX($FR6:$FV6,1,MATCH(VLOOKUP(SUBSTITUTE(SUBSTITUTE(SUBSTITUTE($EQ6,"~","~~"),"*","~*"),"?","~?"),'DADOS_PROGRESSAO'!$AG$2:$AH$34,2,FALSE),$BU$2:$BU$6,0))+$DB$3)),""))</f>
        <v/>
      </c>
      <c r="HV6" s="164">
        <f>IF($ER6="","",IFERROR(IF((INDEX($FR6:$FV6,1,MATCH(VLOOKUP(SUBSTITUTE(SUBSTITUTE(SUBSTITUTE($ER6,"~","~~"),"*","~*"),"?","~?"),'DADOS_PROGRESSAO'!$AG$2:$AH$34,2,FALSE),$BU$2:$BU$6,0))+$DB$3)&gt;=0,"+","−")&amp;ABS((INDEX($FR6:$FV6,1,MATCH(VLOOKUP(SUBSTITUTE(SUBSTITUTE(SUBSTITUTE($ER6,"~","~~"),"*","~*"),"?","~?"),'DADOS_PROGRESSAO'!$AG$2:$AH$34,2,FALSE),$BU$2:$BU$6,0))+$DB$3)),""))</f>
        <v/>
      </c>
      <c r="HW6" s="164">
        <f>IF($ES6="","",IFERROR(IF((INDEX($FR6:$FV6,1,MATCH(VLOOKUP(SUBSTITUTE(SUBSTITUTE(SUBSTITUTE($ES6,"~","~~"),"*","~*"),"?","~?"),'DADOS_PROGRESSAO'!$AG$2:$AH$34,2,FALSE),$BU$2:$BU$6,0))+$DB$3)&gt;=0,"+","−")&amp;ABS((INDEX($FR6:$FV6,1,MATCH(VLOOKUP(SUBSTITUTE(SUBSTITUTE(SUBSTITUTE($ES6,"~","~~"),"*","~*"),"?","~?"),'DADOS_PROGRESSAO'!$AG$2:$AH$34,2,FALSE),$BU$2:$BU$6,0))+$DB$3)),""))</f>
        <v/>
      </c>
      <c r="HX6" s="164">
        <f>IF($ET6="","",IFERROR(IF((INDEX($FR6:$FV6,1,MATCH(VLOOKUP(SUBSTITUTE(SUBSTITUTE(SUBSTITUTE($ET6,"~","~~"),"*","~*"),"?","~?"),'DADOS_PROGRESSAO'!$AG$2:$AH$34,2,FALSE),$BU$2:$BU$6,0))+$DB$3)&gt;=0,"+","−")&amp;ABS((INDEX($FR6:$FV6,1,MATCH(VLOOKUP(SUBSTITUTE(SUBSTITUTE(SUBSTITUTE($ET6,"~","~~"),"*","~*"),"?","~?"),'DADOS_PROGRESSAO'!$AG$2:$AH$34,2,FALSE),$BU$2:$BU$6,0))+$DB$3)),""))</f>
        <v/>
      </c>
      <c r="HY6" s="164">
        <f>IF($EU6="","",IFERROR(IF((INDEX($FR6:$FV6,1,MATCH(VLOOKUP(SUBSTITUTE(SUBSTITUTE(SUBSTITUTE($EU6,"~","~~"),"*","~*"),"?","~?"),'DADOS_PROGRESSAO'!$AG$2:$AH$34,2,FALSE),$BU$2:$BU$6,0))+$DB$3)&gt;=0,"+","−")&amp;ABS((INDEX($FR6:$FV6,1,MATCH(VLOOKUP(SUBSTITUTE(SUBSTITUTE(SUBSTITUTE($EU6,"~","~~"),"*","~*"),"?","~?"),'DADOS_PROGRESSAO'!$AG$2:$AH$34,2,FALSE),$BU$2:$BU$6,0))+$DB$3)),""))</f>
        <v/>
      </c>
      <c r="HZ6" s="164">
        <f>IF($EV6="","",IFERROR(IF((INDEX($FR6:$FV6,1,MATCH(VLOOKUP(SUBSTITUTE(SUBSTITUTE(SUBSTITUTE($EV6,"~","~~"),"*","~*"),"?","~?"),'DADOS_PROGRESSAO'!$AG$2:$AH$34,2,FALSE),$BU$2:$BU$6,0))+$DB$3)&gt;=0,"+","−")&amp;ABS((INDEX($FR6:$FV6,1,MATCH(VLOOKUP(SUBSTITUTE(SUBSTITUTE(SUBSTITUTE($EV6,"~","~~"),"*","~*"),"?","~?"),'DADOS_PROGRESSAO'!$AG$2:$AH$34,2,FALSE),$BU$2:$BU$6,0))+$DB$3)),""))</f>
        <v/>
      </c>
      <c r="IA6" s="164">
        <f>IF($EW6="","",IFERROR(IF((INDEX($FR6:$FV6,1,MATCH(VLOOKUP(SUBSTITUTE(SUBSTITUTE(SUBSTITUTE($EW6,"~","~~"),"*","~*"),"?","~?"),'DADOS_PROGRESSAO'!$AG$2:$AH$34,2,FALSE),$BU$2:$BU$6,0))+$DB$3)&gt;=0,"+","−")&amp;ABS((INDEX($FR6:$FV6,1,MATCH(VLOOKUP(SUBSTITUTE(SUBSTITUTE(SUBSTITUTE($EW6,"~","~~"),"*","~*"),"?","~?"),'DADOS_PROGRESSAO'!$AG$2:$AH$34,2,FALSE),$BU$2:$BU$6,0))+$DB$3)),""))</f>
        <v/>
      </c>
      <c r="IB6" s="164">
        <f>IF(IFERROR(VLOOKUP(SUBSTITUTE(SUBSTITUTE(SUBSTITUTE($DF6,"~","~~"),"*","~*"),"?","~?"),'DADOS_ENTIDADES'!$M$2:$P$16,4,FALSE),0)=1,"RESERVA · MÁX. "&amp;$HB6,"RESERVA DE PE")</f>
        <v/>
      </c>
      <c r="IC6" s="164">
        <f>IF($EI6&gt;2*$HC6,"⚠ ",IF($EI6&gt;$HC6,"! ",""))&amp;"EQUIPAMENTO · "&amp;$EI6&amp;" DE "&amp;$HC6&amp;" DE VOLUME"&amp;IF($EI6&gt;2*$HC6," · PASSOU DO DOBRO",IF($EI6&gt;$HC6," · ACIMA DO LIMITE",""))</f>
        <v/>
      </c>
      <c r="ID6" s="164">
        <f>IF(OR($HE6&gt;0,$HD6&gt;$HF6),"⚠ ","")&amp;"FAMÍLIAS · "&amp;$HD6&amp;" ABERTAS"&amp;IF($HE6&gt;0," · REPETIDA","")&amp;IF($HD6&gt;$HF6," · O LIMITE É "&amp;$HF6,"")&amp;IF(OR($RA$6&gt;$HF$6,$HF$6&gt;9)," · LIMITES INCOMPATÍVEIS","")</f>
        <v/>
      </c>
      <c r="IE6" s="164">
        <f>"HABILIDADES · básica de "&amp;$FQ6&amp;"d6 · "&amp;$GV6&amp;IF($GV6&gt;1," espaços"," espaço")&amp;" de especial até a Classe "&amp;$FP6&amp;" · "&amp;$GX6&amp;IF($GX6&gt;1," talentos"," talento")</f>
        <v/>
      </c>
      <c r="IF6" s="164">
        <f>IF($GY6&gt;$GX6,"⚠ ","")&amp;"TALENTOS · "&amp;$GY6&amp;" DE "&amp;$GX6</f>
        <v/>
      </c>
      <c r="IG6" s="164">
        <f>IFERROR(VLOOKUP(SUBSTITUTE(SUBSTITUTE(SUBSTITUTE($EX6,"~","~~"),"*","~*"),"?","~?"),'DADOS_ENTIDADES'!$AI$2:$AL$35,2,FALSE),0)</f>
        <v/>
      </c>
      <c r="IH6" s="164">
        <f>IFERROR(VLOOKUP(SUBSTITUTE(SUBSTITUTE(SUBSTITUTE($EY6,"~","~~"),"*","~*"),"?","~?"),'DADOS_ENTIDADES'!$AI$2:$AL$35,2,FALSE),0)</f>
        <v/>
      </c>
      <c r="II6" s="164">
        <f>IFERROR(VLOOKUP(SUBSTITUTE(SUBSTITUTE(SUBSTITUTE($EZ6,"~","~~"),"*","~*"),"?","~?"),'DADOS_ENTIDADES'!$AI$2:$AL$35,2,FALSE),0)</f>
        <v/>
      </c>
      <c r="IJ6" s="164">
        <f>IFERROR(VLOOKUP(SUBSTITUTE(SUBSTITUTE(SUBSTITUTE($FA6,"~","~~"),"*","~*"),"?","~?"),'DADOS_ENTIDADES'!$AI$2:$AL$35,2,FALSE),0)</f>
        <v/>
      </c>
      <c r="IK6" s="164">
        <f>IFERROR(VLOOKUP(SUBSTITUTE(SUBSTITUTE(SUBSTITUTE($FB6,"~","~~"),"*","~*"),"?","~?"),'DADOS_ENTIDADES'!$AI$2:$AL$35,2,FALSE),0)</f>
        <v/>
      </c>
      <c r="IL6" s="164">
        <f>IFERROR(VLOOKUP(SUBSTITUTE(SUBSTITUTE(SUBSTITUTE($FC6,"~","~~"),"*","~*"),"?","~?"),'DADOS_ENTIDADES'!$AI$2:$AL$35,2,FALSE),0)</f>
        <v/>
      </c>
      <c r="IM6" s="164">
        <f>IFERROR(VLOOKUP(SUBSTITUTE(SUBSTITUTE(SUBSTITUTE($FD6,"~","~~"),"*","~*"),"?","~?"),'DADOS_ENTIDADES'!$AI$2:$AL$35,2,FALSE),0)</f>
        <v/>
      </c>
      <c r="IN6" s="164">
        <f>IFERROR(VLOOKUP(SUBSTITUTE(SUBSTITUTE(SUBSTITUTE($FE6,"~","~~"),"*","~*"),"?","~?"),'DADOS_ENTIDADES'!$AI$2:$AL$35,2,FALSE),0)</f>
        <v/>
      </c>
      <c r="IO6" s="164">
        <f>IF($EX6="","",IF(1&gt;$FO6,"⚠ Este talento abre no nível 1",IF($IG6&gt;1,"⚠ Categoria "&amp;$IG6&amp;": este ganho vai até a 1 · ","")&amp;IFERROR(VLOOKUP(SUBSTITUTE(SUBSTITUTE(SUBSTITUTE($EX6,"~","~~"),"*","~*"),"?","~?"),'DADOS_ENTIDADES'!$AI$2:$AL$35,3,FALSE),"")))</f>
        <v/>
      </c>
      <c r="IP6" s="164">
        <f>IF($EY6="","",IF(6&gt;$FO6,"⚠ Este talento abre no nível 6",IF($IH6&gt;1,"⚠ Categoria "&amp;$IH6&amp;": este ganho vai até a 1 · ","")&amp;IFERROR(VLOOKUP(SUBSTITUTE(SUBSTITUTE(SUBSTITUTE($EY6,"~","~~"),"*","~*"),"?","~?"),'DADOS_ENTIDADES'!$AI$2:$AL$35,3,FALSE),"")))</f>
        <v/>
      </c>
      <c r="IQ6" s="164">
        <f>IF($EZ6="","",IF(10&gt;$FO6,"⚠ Este talento abre no nível 10",IF($II6&gt;2,"⚠ Categoria "&amp;$II6&amp;": este ganho vai até a 2 · ","")&amp;IFERROR(VLOOKUP(SUBSTITUTE(SUBSTITUTE(SUBSTITUTE($EZ6,"~","~~"),"*","~*"),"?","~?"),'DADOS_ENTIDADES'!$AI$2:$AL$35,3,FALSE),"")))</f>
        <v/>
      </c>
      <c r="IR6" s="164">
        <f>IF($FA6="","",IF(14&gt;$FO6,"⚠ Este talento abre no nível 14",IF($IJ6&gt;3,"⚠ Categoria "&amp;$IJ6&amp;": este ganho vai até a 3 · ","")&amp;IFERROR(VLOOKUP(SUBSTITUTE(SUBSTITUTE(SUBSTITUTE($FA6,"~","~~"),"*","~*"),"?","~?"),'DADOS_ENTIDADES'!$AI$2:$AL$35,3,FALSE),"")))</f>
        <v/>
      </c>
      <c r="IS6" s="164">
        <f>IF($FB6="","",IF(18&gt;$FO6,"⚠ Este talento abre no nível 18",IF($IK6&gt;3,"⚠ Categoria "&amp;$IK6&amp;": este ganho vai até a 3 · ","")&amp;IFERROR(VLOOKUP(SUBSTITUTE(SUBSTITUTE(SUBSTITUTE($FB6,"~","~~"),"*","~*"),"?","~?"),'DADOS_ENTIDADES'!$AI$2:$AL$35,3,FALSE),"")))</f>
        <v/>
      </c>
      <c r="IT6" s="164">
        <f>IF($FC6="","",IF(22&gt;$FO6,"⚠ Este talento abre no nível 22",IF($IL6&gt;3,"⚠ Categoria "&amp;$IL6&amp;": este ganho vai até a 3 · ","")&amp;IFERROR(VLOOKUP(SUBSTITUTE(SUBSTITUTE(SUBSTITUTE($FC6,"~","~~"),"*","~*"),"?","~?"),'DADOS_ENTIDADES'!$AI$2:$AL$35,3,FALSE),"")))</f>
        <v/>
      </c>
      <c r="IU6" s="164">
        <f>IF($FD6="","",IF(26&gt;$FO6,"⚠ Este talento abre no nível 26",IF($IM6&gt;3,"⚠ Categoria "&amp;$IM6&amp;": este ganho vai até a 3 · ","")&amp;IFERROR(VLOOKUP(SUBSTITUTE(SUBSTITUTE(SUBSTITUTE($FD6,"~","~~"),"*","~*"),"?","~?"),'DADOS_ENTIDADES'!$AI$2:$AL$35,3,FALSE),"")))</f>
        <v/>
      </c>
      <c r="IV6" s="164">
        <f>IF($FE6="","",IF(30&gt;$FO6,"⚠ Este talento abre no nível 30",IF($IN6&gt;3,"⚠ Categoria "&amp;$IN6&amp;": este ganho vai até a 3 · ","")&amp;IFERROR(VLOOKUP(SUBSTITUTE(SUBSTITUTE(SUBSTITUTE($FE6,"~","~~"),"*","~*"),"?","~?"),'DADOS_ENTIDADES'!$AI$2:$AL$35,3,FALSE),"")))</f>
        <v/>
      </c>
      <c r="IW6" s="164">
        <f>IF($FF6="","",IFERROR(VLOOKUP(SUBSTITUTE(SUBSTITUTE(SUBSTITUTE($FF6,"~","~~"),"*","~*"),"?","~?"),'DADOS_ENTIDADES'!$AI$2:$AL$35,3,FALSE),""))</f>
        <v/>
      </c>
      <c r="IX6" s="164">
        <f>IF($FG6="","",IFERROR(VLOOKUP(SUBSTITUTE(SUBSTITUTE(SUBSTITUTE($FG6,"~","~~"),"*","~*"),"?","~?"),'DADOS_ENTIDADES'!$AI$2:$AL$35,3,FALSE),""))</f>
        <v/>
      </c>
      <c r="IY6" s="164">
        <f>IF($FH6="","",IFERROR(VLOOKUP(SUBSTITUTE(SUBSTITUTE(SUBSTITUTE($FH6,"~","~~"),"*","~*"),"?","~?"),'DADOS_ENTIDADES'!$AI$2:$AL$35,3,FALSE),""))</f>
        <v/>
      </c>
      <c r="IZ6" s="164">
        <f>CEILING(4.5*$FI6,1)&amp;" PE"</f>
        <v/>
      </c>
      <c r="JA6" s="164">
        <f>CEILING(4.5*$FJ6,1)&amp;" PE"</f>
        <v/>
      </c>
      <c r="JB6" s="164">
        <f>CEILING(4.5*$FK6,1)&amp;" PE"</f>
        <v/>
      </c>
      <c r="JC6" s="164">
        <f>INDEX($P$2:$P$8,$FI6)&amp;" pontos + "&amp;$FI6&amp;"d8"</f>
        <v/>
      </c>
      <c r="JD6" s="164">
        <f>INDEX($P$2:$P$8,$FJ6)&amp;" pontos + "&amp;$FJ6&amp;"d8"</f>
        <v/>
      </c>
      <c r="JE6" s="164">
        <f>INDEX($P$2:$P$8,$FK6)&amp;" pontos + "&amp;$FK6&amp;"d8"</f>
        <v/>
      </c>
      <c r="JF6" s="164">
        <f>IF($FO6&lt;17,"—",VLOOKUP($FO6,$CP$2:$CS$4,4,TRUE)&amp;" PE")</f>
        <v/>
      </c>
      <c r="JG6" s="164">
        <f>IF($FO6&lt;17,"Abre no nível 17",VLOOKUP($FO6,$CP$2:$CS$4,2,TRUE)&amp;" fixos · "&amp;VLOOKUP($FO6,$CP$2:$CS$4,3,TRUE)&amp;" pontos")</f>
        <v/>
      </c>
      <c r="JH6" s="164">
        <f>IF($FL6="Sem Barreiras",7,6)*$FP6&amp;" PE"</f>
        <v/>
      </c>
      <c r="JI6" s="164">
        <f>"Acerto "&amp;MAX(0,INDEX($P$2:$P$8,$FP6)-INDEX($I$2:$N$8,$FP6,2+3*IF(AND(IFERROR(VLOOKUP(SUBSTITUTE(SUBSTITUTE(SUBSTITUTE("Inescapável","~","~~"),"*","~*"),"?","~?"),'DADOS_MELHORIAS'!$AG$2:$AL$113,2,FALSE),"")&lt;&gt;"",COUNTIF($RB$6:$RJ$6,IFERROR(VLOOKUP(SUBSTITUTE(SUBSTITUTE(SUBSTITUTE("Inescapável","~","~~"),"*","~*"),"?","~?"),'DADOS_MELHORIAS'!$AG$2:$AL$113,2,FALSE),""))&gt;0),1,0)))&amp;"d8"</f>
        <v/>
      </c>
      <c r="JJ6" s="164">
        <f>IFERROR(VLOOKUP($FL6,$CU$2:$CW$4,3,FALSE),"Escolha o degrau")</f>
        <v/>
      </c>
      <c r="JK6" s="164">
        <f>5&amp;" · "&amp;IF($FM6=0,"vazia",$DE6&amp;" · nv "&amp;$FO6&amp;" · "&amp;$GH6&amp;"/"&amp;$GF6)</f>
        <v/>
      </c>
      <c r="JO6" s="162" t="inlineStr">
        <is>
          <t>Invocação 5</t>
        </is>
      </c>
      <c r="JP6" s="164">
        <f>ADDRESS(ROW('INVOCAÇÕES'!D25),COLUMN('INVOCAÇÕES'!D25),4)</f>
        <v/>
      </c>
      <c r="JQ6" s="164">
        <f>ADDRESS(ROW('INVOCAÇÕES'!H853),COLUMN('INVOCAÇÕES'!H853),4)</f>
        <v/>
      </c>
      <c r="JR6" s="162" t="inlineStr">
        <is>
          <t>DADOS_INVOC!$JK$6</t>
        </is>
      </c>
      <c r="JT6" s="164">
        <f>IF(OR($AW6="",(COUNTIF($EL$2:$EP$2,$AW6)+COUNTIF($QV$2:$QY$2,$AW6))&gt;0),$AV6,"")</f>
        <v/>
      </c>
      <c r="JU6" s="164">
        <f>IF(AND($AX6=1,OR($AW6="",(COUNTIF($EL$2:$EP$2,$AW6)+COUNTIF($QV$2:$QY$2,$AW6))&gt;0)),$AV6,"")</f>
        <v/>
      </c>
      <c r="JW6" s="164">
        <f>IF(OR($W6="",(COUNTIF($EL$2:$EP$2,$W6)+COUNTIF($QV$2:$QY$2,$W6))&gt;0),$V6,"")</f>
        <v/>
      </c>
      <c r="JX6" s="164">
        <f>IF(AND($AF6=1,OR($W6="",(COUNTIF($EL$2:$EP$2,$W6)+COUNTIF($QV$2:$QY$2,$W6))&gt;0)),$V6,"")</f>
        <v/>
      </c>
      <c r="JZ6" s="164">
        <f>IF(OR($AW6="",(COUNTIF($EL$3:$EP$3,$AW6)+COUNTIF($QV$3:$QY$3,$AW6))&gt;0),$AV6,"")</f>
        <v/>
      </c>
      <c r="KA6" s="164">
        <f>IF(AND($AX6=1,OR($AW6="",(COUNTIF($EL$3:$EP$3,$AW6)+COUNTIF($QV$3:$QY$3,$AW6))&gt;0)),$AV6,"")</f>
        <v/>
      </c>
      <c r="KC6" s="164">
        <f>IF(OR($W6="",(COUNTIF($EL$3:$EP$3,$W6)+COUNTIF($QV$3:$QY$3,$W6))&gt;0),$V6,"")</f>
        <v/>
      </c>
      <c r="KD6" s="164">
        <f>IF(AND($AF6=1,OR($W6="",(COUNTIF($EL$3:$EP$3,$W6)+COUNTIF($QV$3:$QY$3,$W6))&gt;0)),$V6,"")</f>
        <v/>
      </c>
      <c r="KF6" s="164">
        <f>IF(OR($AW6="",(COUNTIF($EL$4:$EP$4,$AW6)+COUNTIF($QV$4:$QY$4,$AW6))&gt;0),$AV6,"")</f>
        <v/>
      </c>
      <c r="KG6" s="164">
        <f>IF(AND($AX6=1,OR($AW6="",(COUNTIF($EL$4:$EP$4,$AW6)+COUNTIF($QV$4:$QY$4,$AW6))&gt;0)),$AV6,"")</f>
        <v/>
      </c>
      <c r="KI6" s="164">
        <f>IF(OR($W6="",(COUNTIF($EL$4:$EP$4,$W6)+COUNTIF($QV$4:$QY$4,$W6))&gt;0),$V6,"")</f>
        <v/>
      </c>
      <c r="KJ6" s="164">
        <f>IF(AND($AF6=1,OR($W6="",(COUNTIF($EL$4:$EP$4,$W6)+COUNTIF($QV$4:$QY$4,$W6))&gt;0)),$V6,"")</f>
        <v/>
      </c>
      <c r="KL6" s="164">
        <f>IF(OR($AW6="",(COUNTIF($EL$5:$EP$5,$AW6)+COUNTIF($QV$5:$QY$5,$AW6))&gt;0),$AV6,"")</f>
        <v/>
      </c>
      <c r="KM6" s="164">
        <f>IF(AND($AX6=1,OR($AW6="",(COUNTIF($EL$5:$EP$5,$AW6)+COUNTIF($QV$5:$QY$5,$AW6))&gt;0)),$AV6,"")</f>
        <v/>
      </c>
      <c r="KO6" s="164">
        <f>IF(OR($W6="",(COUNTIF($EL$5:$EP$5,$W6)+COUNTIF($QV$5:$QY$5,$W6))&gt;0),$V6,"")</f>
        <v/>
      </c>
      <c r="KP6" s="164">
        <f>IF(AND($AF6=1,OR($W6="",(COUNTIF($EL$5:$EP$5,$W6)+COUNTIF($QV$5:$QY$5,$W6))&gt;0)),$V6,"")</f>
        <v/>
      </c>
      <c r="KR6" s="164">
        <f>IF(OR($AW6="",(COUNTIF($EL$6:$EP$6,$AW6)+COUNTIF($QV$6:$QY$6,$AW6))&gt;0),$AV6,"")</f>
        <v/>
      </c>
      <c r="KS6" s="164">
        <f>IF(AND($AX6=1,OR($AW6="",(COUNTIF($EL$6:$EP$6,$AW6)+COUNTIF($QV$6:$QY$6,$AW6))&gt;0)),$AV6,"")</f>
        <v/>
      </c>
      <c r="KU6" s="164">
        <f>IF(OR($W6="",(COUNTIF($EL$6:$EP$6,$W6)+COUNTIF($QV$6:$QY$6,$W6))&gt;0),$V6,"")</f>
        <v/>
      </c>
      <c r="KV6" s="164">
        <f>IF(AND($AF6=1,OR($W6="",(COUNTIF($EL$6:$EP$6,$W6)+COUNTIF($QV$6:$QY$6,$W6))&gt;0)),$V6,"")</f>
        <v/>
      </c>
      <c r="KX6" s="164">
        <f>IF(OR($AW6="",(COUNTIF($EL$7:$EP$7,$AW6)+COUNTIF($QV$7:$QY$7,$AW6))&gt;0),$AV6,"")</f>
        <v/>
      </c>
      <c r="KY6" s="164">
        <f>IF(AND($AX6=1,OR($AW6="",(COUNTIF($EL$7:$EP$7,$AW6)+COUNTIF($QV$7:$QY$7,$AW6))&gt;0)),$AV6,"")</f>
        <v/>
      </c>
      <c r="LA6" s="164">
        <f>IF(OR($W6="",(COUNTIF($EL$7:$EP$7,$W6)+COUNTIF($QV$7:$QY$7,$W6))&gt;0),$V6,"")</f>
        <v/>
      </c>
      <c r="LB6" s="164">
        <f>IF(AND($AF6=1,OR($W6="",(COUNTIF($EL$7:$EP$7,$W6)+COUNTIF($QV$7:$QY$7,$W6))&gt;0)),$V6,"")</f>
        <v/>
      </c>
      <c r="LD6" s="164">
        <f>IF(OR($AW6="",(COUNTIF($EL$8:$EP$8,$AW6)+COUNTIF($QV$8:$QY$8,$AW6))&gt;0),$AV6,"")</f>
        <v/>
      </c>
      <c r="LE6" s="164">
        <f>IF(AND($AX6=1,OR($AW6="",(COUNTIF($EL$8:$EP$8,$AW6)+COUNTIF($QV$8:$QY$8,$AW6))&gt;0)),$AV6,"")</f>
        <v/>
      </c>
      <c r="LG6" s="164">
        <f>IF(OR($W6="",(COUNTIF($EL$8:$EP$8,$W6)+COUNTIF($QV$8:$QY$8,$W6))&gt;0),$V6,"")</f>
        <v/>
      </c>
      <c r="LH6" s="164">
        <f>IF(AND($AF6=1,OR($W6="",(COUNTIF($EL$8:$EP$8,$W6)+COUNTIF($QV$8:$QY$8,$W6))&gt;0)),$V6,"")</f>
        <v/>
      </c>
      <c r="LJ6" s="164">
        <f>IF(OR($AW6="",(COUNTIF($EL$9:$EP$9,$AW6)+COUNTIF($QV$9:$QY$9,$AW6))&gt;0),$AV6,"")</f>
        <v/>
      </c>
      <c r="LK6" s="164">
        <f>IF(AND($AX6=1,OR($AW6="",(COUNTIF($EL$9:$EP$9,$AW6)+COUNTIF($QV$9:$QY$9,$AW6))&gt;0)),$AV6,"")</f>
        <v/>
      </c>
      <c r="LM6" s="164">
        <f>IF(OR($W6="",(COUNTIF($EL$9:$EP$9,$W6)+COUNTIF($QV$9:$QY$9,$W6))&gt;0),$V6,"")</f>
        <v/>
      </c>
      <c r="LN6" s="164">
        <f>IF(AND($AF6=1,OR($W6="",(COUNTIF($EL$9:$EP$9,$W6)+COUNTIF($QV$9:$QY$9,$W6))&gt;0)),$V6,"")</f>
        <v/>
      </c>
      <c r="LP6" s="164">
        <f>IF(OR($AW6="",(COUNTIF($EL$10:$EP$10,$AW6)+COUNTIF($QV$10:$QY$10,$AW6))&gt;0),$AV6,"")</f>
        <v/>
      </c>
      <c r="LQ6" s="164">
        <f>IF(AND($AX6=1,OR($AW6="",(COUNTIF($EL$10:$EP$10,$AW6)+COUNTIF($QV$10:$QY$10,$AW6))&gt;0)),$AV6,"")</f>
        <v/>
      </c>
      <c r="LS6" s="164">
        <f>IF(OR($W6="",(COUNTIF($EL$10:$EP$10,$W6)+COUNTIF($QV$10:$QY$10,$W6))&gt;0),$V6,"")</f>
        <v/>
      </c>
      <c r="LT6" s="164">
        <f>IF(AND($AF6=1,OR($W6="",(COUNTIF($EL$10:$EP$10,$W6)+COUNTIF($QV$10:$QY$10,$W6))&gt;0)),$V6,"")</f>
        <v/>
      </c>
      <c r="LV6" s="164">
        <f>IF(OR($AW6="",(COUNTIF($EL$11:$EP$11,$AW6)+COUNTIF($QV$11:$QY$11,$AW6))&gt;0),$AV6,"")</f>
        <v/>
      </c>
      <c r="LW6" s="164">
        <f>IF(AND($AX6=1,OR($AW6="",(COUNTIF($EL$11:$EP$11,$AW6)+COUNTIF($QV$11:$QY$11,$AW6))&gt;0)),$AV6,"")</f>
        <v/>
      </c>
      <c r="LY6" s="164">
        <f>IF(OR($W6="",(COUNTIF($EL$11:$EP$11,$W6)+COUNTIF($QV$11:$QY$11,$W6))&gt;0),$V6,"")</f>
        <v/>
      </c>
      <c r="LZ6" s="164">
        <f>IF(AND($AF6=1,OR($W6="",(COUNTIF($EL$11:$EP$11,$W6)+COUNTIF($QV$11:$QY$11,$W6))&gt;0)),$V6,"")</f>
        <v/>
      </c>
      <c r="MB6" s="164">
        <f>IF(OR($AW6="",(COUNTIF($EL$12:$EP$12,$AW6)+COUNTIF($QV$12:$QY$12,$AW6))&gt;0),$AV6,"")</f>
        <v/>
      </c>
      <c r="MC6" s="164">
        <f>IF(AND($AX6=1,OR($AW6="",(COUNTIF($EL$12:$EP$12,$AW6)+COUNTIF($QV$12:$QY$12,$AW6))&gt;0)),$AV6,"")</f>
        <v/>
      </c>
      <c r="ME6" s="164">
        <f>IF(OR($W6="",(COUNTIF($EL$12:$EP$12,$W6)+COUNTIF($QV$12:$QY$12,$W6))&gt;0),$V6,"")</f>
        <v/>
      </c>
      <c r="MF6" s="164">
        <f>IF(AND($AF6=1,OR($W6="",(COUNTIF($EL$12:$EP$12,$W6)+COUNTIF($QV$12:$QY$12,$W6))&gt;0)),$V6,"")</f>
        <v/>
      </c>
      <c r="MH6" s="164">
        <f>IF(OR($AW6="",(COUNTIF($EL$13:$EP$13,$AW6)+COUNTIF($QV$13:$QY$13,$AW6))&gt;0),$AV6,"")</f>
        <v/>
      </c>
      <c r="MI6" s="164">
        <f>IF(AND($AX6=1,OR($AW6="",(COUNTIF($EL$13:$EP$13,$AW6)+COUNTIF($QV$13:$QY$13,$AW6))&gt;0)),$AV6,"")</f>
        <v/>
      </c>
      <c r="MK6" s="164">
        <f>IF(OR($W6="",(COUNTIF($EL$13:$EP$13,$W6)+COUNTIF($QV$13:$QY$13,$W6))&gt;0),$V6,"")</f>
        <v/>
      </c>
      <c r="ML6" s="164">
        <f>IF(AND($AF6=1,OR($W6="",(COUNTIF($EL$13:$EP$13,$W6)+COUNTIF($QV$13:$QY$13,$W6))&gt;0)),$V6,"")</f>
        <v/>
      </c>
      <c r="MN6" s="162" t="inlineStr">
        <is>
          <t>Ficha 1 · Especial 3</t>
        </is>
      </c>
      <c r="MO6" s="164" t="n">
        <v>1</v>
      </c>
      <c r="MP6" s="164" t="n">
        <v>1</v>
      </c>
      <c r="MQ6" s="164" t="n">
        <v>8</v>
      </c>
      <c r="MR6" s="162" t="inlineStr">
        <is>
          <t>ESPECIAL 3</t>
        </is>
      </c>
      <c r="MS6" s="164">
        <f>MAX(1,MIN(7,N('INVOCAÇÕES'!$O$105)))</f>
        <v/>
      </c>
      <c r="MT6" s="164">
        <f>'INVOCAÇÕES'!$P$105&amp;""</f>
        <v/>
      </c>
      <c r="MU6" s="164">
        <f>'INVOCAÇÕES'!$O$110&amp;""</f>
        <v/>
      </c>
      <c r="MV6" s="164">
        <f>'INVOCAÇÕES'!$O$111&amp;""</f>
        <v/>
      </c>
      <c r="MW6" s="164">
        <f>'INVOCAÇÕES'!$Q$111&amp;""</f>
        <v/>
      </c>
      <c r="MX6" s="164">
        <f>'INVOCAÇÕES'!$P$114&amp;""</f>
        <v/>
      </c>
      <c r="MY6" s="164">
        <f>'INVOCAÇÕES'!$P$115&amp;""</f>
        <v/>
      </c>
      <c r="MZ6" s="164">
        <f>'INVOCAÇÕES'!$P$116&amp;""</f>
        <v/>
      </c>
      <c r="NA6" s="164">
        <f>'INVOCAÇÕES'!$P$117&amp;""</f>
        <v/>
      </c>
      <c r="NB6" s="164">
        <f>'INVOCAÇÕES'!$P$118&amp;""</f>
        <v/>
      </c>
      <c r="NC6" s="164">
        <f>'INVOCAÇÕES'!$P$119&amp;""</f>
        <v/>
      </c>
      <c r="ND6" s="164">
        <f>IF($MT6&lt;&gt;"",1,0)</f>
        <v/>
      </c>
      <c r="NE6" s="164">
        <f>INDEX($FO$2:$FO$13,$MO6)</f>
        <v/>
      </c>
      <c r="NF6" s="164">
        <f>INDEX($FP$2:$FP$13,$MO6)</f>
        <v/>
      </c>
      <c r="NG6" s="164">
        <f>INDEX($FQ$2:$FQ$13,$MO6)</f>
        <v/>
      </c>
      <c r="NH6" s="164">
        <f>INDEX($GB$2:$GB$13,$MO6)</f>
        <v/>
      </c>
      <c r="NI6" s="164">
        <f>INDEX($GC$2:$GC$13,$MO6)</f>
        <v/>
      </c>
      <c r="NJ6" s="164">
        <f>IFERROR(MATCH(SUBSTITUTE(SUBSTITUTE(SUBSTITUTE($MU6,"~","~~"),"*","~*"),"?","~?"),'DADOS_FORMAS'!$FZ$2:$FZ$21,0),0)</f>
        <v/>
      </c>
      <c r="NK6" s="164">
        <f>IFERROR(VLOOKUP(SUBSTITUTE(SUBSTITUTE(SUBSTITUTE($MX6,"~","~~"),"*","~*"),"?","~?"),'DADOS_MELHORIAS'!$AG$2:$AL$113,2,FALSE),"")</f>
        <v/>
      </c>
      <c r="NL6" s="164">
        <f>IFERROR(VLOOKUP(SUBSTITUTE(SUBSTITUTE(SUBSTITUTE($MY6,"~","~~"),"*","~*"),"?","~?"),'DADOS_MELHORIAS'!$AG$2:$AL$113,2,FALSE),"")</f>
        <v/>
      </c>
      <c r="NM6" s="164">
        <f>IFERROR(VLOOKUP(SUBSTITUTE(SUBSTITUTE(SUBSTITUTE($MZ6,"~","~~"),"*","~*"),"?","~?"),'DADOS_MELHORIAS'!$AG$2:$AL$113,2,FALSE),"")</f>
        <v/>
      </c>
      <c r="NN6" s="164">
        <f>IFERROR(VLOOKUP(SUBSTITUTE(SUBSTITUTE(SUBSTITUTE($NA6,"~","~~"),"*","~*"),"?","~?"),'DADOS_MELHORIAS'!$AG$2:$AL$113,2,FALSE),"")</f>
        <v/>
      </c>
      <c r="NO6" s="164">
        <f>IFERROR(VLOOKUP(SUBSTITUTE(SUBSTITUTE(SUBSTITUTE($MX6,"~","~~"),"*","~*"),"?","~?"),'DADOS_MELHORIAS'!$AG$2:$AL$113,3,FALSE),0)</f>
        <v/>
      </c>
      <c r="NP6" s="164">
        <f>IFERROR(VLOOKUP(SUBSTITUTE(SUBSTITUTE(SUBSTITUTE($MY6,"~","~~"),"*","~*"),"?","~?"),'DADOS_MELHORIAS'!$AG$2:$AL$113,3,FALSE),0)</f>
        <v/>
      </c>
      <c r="NQ6" s="164">
        <f>IFERROR(VLOOKUP(SUBSTITUTE(SUBSTITUTE(SUBSTITUTE($MZ6,"~","~~"),"*","~*"),"?","~?"),'DADOS_MELHORIAS'!$AG$2:$AL$113,3,FALSE),0)</f>
        <v/>
      </c>
      <c r="NR6" s="164">
        <f>IFERROR(VLOOKUP(SUBSTITUTE(SUBSTITUTE(SUBSTITUTE($NA6,"~","~~"),"*","~*"),"?","~?"),'DADOS_MELHORIAS'!$AG$2:$AL$113,3,FALSE),0)</f>
        <v/>
      </c>
      <c r="NS6" s="164">
        <f>IF($MS6=0,0,IF($NJ6=0,0,INDEX('DADOS_FORMAS'!$GB$2:$GB$21,$NJ6)))</f>
        <v/>
      </c>
      <c r="NT6" s="164">
        <f>IF(OR($NO6=0,$MS6=0),0,$NO6+3*IF(AND($NK6&lt;&gt;"",COUNTIF(INDEX($RB$2:$RJ$13,$MO6,0),$NK6)&gt;0),1,0))</f>
        <v/>
      </c>
      <c r="NU6" s="164">
        <f>IF(OR($NP6=0,$MS6=0),0,$NP6+3*IF(AND($NL6&lt;&gt;"",COUNTIF(INDEX($RB$2:$RJ$13,$MO6,0),$NL6)&gt;0),1,0))</f>
        <v/>
      </c>
      <c r="NV6" s="164">
        <f>IF(OR($NQ6=0,$MS6=0),0,$NQ6+3*IF(AND($NM6&lt;&gt;"",COUNTIF(INDEX($RB$2:$RJ$13,$MO6,0),$NM6)&gt;0),1,0))</f>
        <v/>
      </c>
      <c r="NW6" s="164">
        <f>IF(OR($NR6=0,$MS6=0),0,$NR6+3*IF(AND($NN6&lt;&gt;"",COUNTIF(INDEX($RB$2:$RJ$13,$MO6,0),$NN6)&gt;0),1,0))</f>
        <v/>
      </c>
      <c r="NX6" s="164">
        <f>IF($NJ6=0,0,IF(INDEX('DADOS_FORMAS'!$GA$2:$GA$21,$NJ6)="",0,IF((COUNTIF(INDEX($EL$2:$EP$13,$MO6,0),INDEX('DADOS_FORMAS'!$GA$2:$GA$21,$NJ6))+COUNTIF(INDEX($QV$2:$QY$13,$MO6,0),INDEX('DADOS_FORMAS'!$GA$2:$GA$21,$NJ6)))=0,1,0)))</f>
        <v/>
      </c>
      <c r="NY6" s="164">
        <f>IF(OR($NO6=0,$NK6=""),0,IF((COUNTIF(INDEX($EL$2:$EP$13,$MO6,0),$NK6)+COUNTIF(INDEX($QV$2:$QY$13,$MO6,0),$NK6))=0,1,0))</f>
        <v/>
      </c>
      <c r="NZ6" s="164">
        <f>IF(OR($NP6=0,$NL6=""),0,IF((COUNTIF(INDEX($EL$2:$EP$13,$MO6,0),$NL6)+COUNTIF(INDEX($QV$2:$QY$13,$MO6,0),$NL6))=0,1,0))</f>
        <v/>
      </c>
      <c r="OA6" s="164">
        <f>IF(OR($NQ6=0,$NM6=""),0,IF((COUNTIF(INDEX($EL$2:$EP$13,$MO6,0),$NM6)+COUNTIF(INDEX($QV$2:$QY$13,$MO6,0),$NM6))=0,1,0))</f>
        <v/>
      </c>
      <c r="OB6" s="164">
        <f>IF(OR($NR6=0,$NN6=""),0,IF((COUNTIF(INDEX($EL$2:$EP$13,$MO6,0),$NN6)+COUNTIF(INDEX($QV$2:$QY$13,$MO6,0),$NN6))=0,1,0))</f>
        <v/>
      </c>
      <c r="OC6" s="164">
        <f>IFERROR(VLOOKUP(SUBSTITUTE(SUBSTITUTE(SUBSTITUTE($MX6,"~","~~"),"*","~*"),"?","~?"),'DADOS_MELHORIAS'!$AG$2:$AL$113,4,FALSE),0)+IFERROR(VLOOKUP(SUBSTITUTE(SUBSTITUTE(SUBSTITUTE($MY6,"~","~~"),"*","~*"),"?","~?"),'DADOS_MELHORIAS'!$AG$2:$AL$113,4,FALSE),0)+IFERROR(VLOOKUP(SUBSTITUTE(SUBSTITUTE(SUBSTITUTE($MZ6,"~","~~"),"*","~*"),"?","~?"),'DADOS_MELHORIAS'!$AG$2:$AL$113,4,FALSE),0)+IFERROR(VLOOKUP(SUBSTITUTE(SUBSTITUTE(SUBSTITUTE($NA6,"~","~~"),"*","~*"),"?","~?"),'DADOS_MELHORIAS'!$AG$2:$AL$113,4,FALSE),0)</f>
        <v/>
      </c>
      <c r="OD6" s="164">
        <f>IFERROR(VLOOKUP(SUBSTITUTE(SUBSTITUTE(SUBSTITUTE($MX6,"~","~~"),"*","~*"),"?","~?"),'DADOS_MELHORIAS'!$AG$2:$AL$113,6,FALSE),0)+IFERROR(VLOOKUP(SUBSTITUTE(SUBSTITUTE(SUBSTITUTE($MY6,"~","~~"),"*","~*"),"?","~?"),'DADOS_MELHORIAS'!$AG$2:$AL$113,6,FALSE),0)+IFERROR(VLOOKUP(SUBSTITUTE(SUBSTITUTE(SUBSTITUTE($MZ6,"~","~~"),"*","~*"),"?","~?"),'DADOS_MELHORIAS'!$AG$2:$AL$113,6,FALSE),0)+IFERROR(VLOOKUP(SUBSTITUTE(SUBSTITUTE(SUBSTITUTE($NA6,"~","~~"),"*","~*"),"?","~?"),'DADOS_MELHORIAS'!$AG$2:$AL$113,6,FALSE),0)+IFERROR(N(AND(INDEX('DADOS_FORMAS'!$AO$2:$AO$21,MATCH(SUBSTITUTE(SUBSTITUTE(SUBSTITUTE($MU6,"~","~~"),"*","~*"),"?","~?"),'DADOS_FORMAS'!$AH$2:$AH$21,0))="Acerto",$OH6=1)),0)</f>
        <v/>
      </c>
      <c r="OE6" s="164">
        <f>TEXTJOIN(", ",TRUE,IF(IFERROR(VLOOKUP(SUBSTITUTE(SUBSTITUTE(SUBSTITUTE($MX6,"~","~~"),"*","~*"),"?","~?"),'DADOS_MELHORIAS'!$AG$2:$AL$113,5,FALSE),0)=1,$MX6,""),IF(IFERROR(VLOOKUP(SUBSTITUTE(SUBSTITUTE(SUBSTITUTE($MY6,"~","~~"),"*","~*"),"?","~?"),'DADOS_MELHORIAS'!$AG$2:$AL$113,5,FALSE),0)=1,$MY6,""),IF(IFERROR(VLOOKUP(SUBSTITUTE(SUBSTITUTE(SUBSTITUTE($MZ6,"~","~~"),"*","~*"),"?","~?"),'DADOS_MELHORIAS'!$AG$2:$AL$113,5,FALSE),0)=1,$MZ6,""),IF(IFERROR(VLOOKUP(SUBSTITUTE(SUBSTITUTE(SUBSTITUTE($NA6,"~","~~"),"*","~*"),"?","~?"),'DADOS_MELHORIAS'!$AG$2:$AL$113,5,FALSE),0)=1,$NA6,""))</f>
        <v/>
      </c>
      <c r="OF6" s="164">
        <f>IF($NJ6=0,0,INDEX('DADOS_FORMAS'!$GC$2:$GC$21,$NJ6))</f>
        <v/>
      </c>
      <c r="OG6" s="164">
        <f>IF($NJ6=0,0,INDEX('DADOS_FORMAS'!$GD$2:$GD$21,$NJ6))</f>
        <v/>
      </c>
      <c r="OH6" s="164">
        <f>IF($NJ6=0,0,INDEX('DADOS_FORMAS'!$GF$2:$GF$21,$NJ6))</f>
        <v/>
      </c>
      <c r="OI6" s="164">
        <f>IFERROR(VLOOKUP(SUBSTITUTE(SUBSTITUTE(SUBSTITUTE($NB6,"~","~~"),"*","~*"),"?","~?"),'DADOS_RESTRICOES'!$M$2:$Q$54,3,FALSE),0)</f>
        <v/>
      </c>
      <c r="OJ6" s="164">
        <f>IFERROR(VLOOKUP(SUBSTITUTE(SUBSTITUTE(SUBSTITUTE($NC6,"~","~~"),"*","~*"),"?","~?"),'DADOS_RESTRICOES'!$M$2:$Q$54,3,FALSE),0)</f>
        <v/>
      </c>
      <c r="OK6" s="164">
        <f>IFERROR(VLOOKUP(SUBSTITUTE(SUBSTITUTE(SUBSTITUTE($NB6,"~","~~"),"*","~*"),"?","~?"),'DADOS_RESTRICOES'!$M$2:$Q$54,2,FALSE),"")</f>
        <v/>
      </c>
      <c r="OL6" s="164">
        <f>IFERROR(VLOOKUP(SUBSTITUTE(SUBSTITUTE(SUBSTITUTE($NC6,"~","~~"),"*","~*"),"?","~?"),'DADOS_RESTRICOES'!$M$2:$Q$54,2,FALSE),"")</f>
        <v/>
      </c>
      <c r="OM6" s="164">
        <f>COUNTIF($NS6:$NW6,1)</f>
        <v/>
      </c>
      <c r="ON6" s="164">
        <f>COUNTIF($NS6:$NW6,2)</f>
        <v/>
      </c>
      <c r="OO6" s="164">
        <f>COUNTIF($NS6:$NW6,3)</f>
        <v/>
      </c>
      <c r="OP6" s="164">
        <f>COUNTIF($NS6:$NW6,4)</f>
        <v/>
      </c>
      <c r="OQ6" s="164">
        <f>COUNTIF($NS6:$NW6,5)</f>
        <v/>
      </c>
      <c r="OR6" s="164">
        <f>COUNTIF($NS6:$NW6,6)</f>
        <v/>
      </c>
      <c r="OS6" s="164">
        <f>COUNTIF($OI6:$OJ6,1)+IF(IFERROR(INDEX('DADOS_FORMAS'!$AS$2:$AS$21,MATCH(SUBSTITUTE(SUBSTITUTE(SUBSTITUTE($MU6,"~","~~"),"*","~*"),"?","~?"),'DADOS_FORMAS'!$AH$2:$AH$21,0)),"")="",0,IFERROR(N(VLOOKUP(SUBSTITUTE(SUBSTITUTE(SUBSTITUTE(IFERROR(INDEX('DADOS_FORMAS'!$AS$2:$AS$21,MATCH(SUBSTITUTE(SUBSTITUTE(SUBSTITUTE($MU6,"~","~~"),"*","~*"),"?","~?"),'DADOS_FORMAS'!$AH$2:$AH$21,0)),""),"~","~~"),"*","~*"),"?","~?"),'DADOS_RESTRICOES'!$M$2:$Q$54,3,FALSE)=1),0))</f>
        <v/>
      </c>
      <c r="OT6" s="164">
        <f>COUNTIF($OI6:$OJ6,2)+IF(IFERROR(INDEX('DADOS_FORMAS'!$AS$2:$AS$21,MATCH(SUBSTITUTE(SUBSTITUTE(SUBSTITUTE($MU6,"~","~~"),"*","~*"),"?","~?"),'DADOS_FORMAS'!$AH$2:$AH$21,0)),"")="",0,IFERROR(N(VLOOKUP(SUBSTITUTE(SUBSTITUTE(SUBSTITUTE(IFERROR(INDEX('DADOS_FORMAS'!$AS$2:$AS$21,MATCH(SUBSTITUTE(SUBSTITUTE(SUBSTITUTE($MU6,"~","~~"),"*","~*"),"?","~?"),'DADOS_FORMAS'!$AH$2:$AH$21,0)),""),"~","~~"),"*","~*"),"?","~?"),'DADOS_RESTRICOES'!$M$2:$Q$54,3,FALSE)=2),0))</f>
        <v/>
      </c>
      <c r="OU6" s="164">
        <f>COUNTIF($MX6:$NA6,"?*")</f>
        <v/>
      </c>
      <c r="OV6" s="164">
        <f>COUNTIF($NB6:$NC6,"?*")+$OF6</f>
        <v/>
      </c>
      <c r="OW6" s="164">
        <f>IF($MS6=0,0,SUMPRODUCT($OM6:$OR6,INDEX($I$2:$N$8,MAX(1,$MS6),0)))</f>
        <v/>
      </c>
      <c r="OX6" s="164">
        <f>IF($MS6=0,0,$OS6*CEILING($MS6/2,1)+$OT6*$MS6)</f>
        <v/>
      </c>
      <c r="OY6" s="164">
        <f>MIN(2*$MS6,$OX6)</f>
        <v/>
      </c>
      <c r="OZ6" s="164">
        <f>MIN($OY6,$OW6-IF($NS6=0,0,INDEX($I$2:$N$8,MAX(1,$MS6),$NS6)))</f>
        <v/>
      </c>
      <c r="PA6" s="164">
        <f>$OY6-$OZ6</f>
        <v/>
      </c>
      <c r="PB6" s="164">
        <f>IF($MS6=0,0,INDEX($P$2:$P$8,MAX(1,$MS6)))</f>
        <v/>
      </c>
      <c r="PC6" s="164">
        <f>$PB6-$OW6+$OZ6</f>
        <v/>
      </c>
      <c r="PD6" s="164">
        <f>IF($MS6=0,MAX(0,$NG6-IF(AND($OU6&gt;0,COUNTIF($NB6:$NC6,"?*")=0),1,0)),MAX(0,$PC6))</f>
        <v/>
      </c>
      <c r="PE6" s="164">
        <f>IF($MS6=0,0,(IF(COUNTIF($RK6:$RN6,"Salto")&gt;0,1,0)+IF(COUNTIF($RK6:$RN6,"Queima")&gt;0,1,0)+IF(COUNTIF($RK6:$RN6,"Estilhaço")&gt;0,1,0))*FLOOR($PD6/2,1))</f>
        <v/>
      </c>
      <c r="PF6" s="164">
        <f>MAX(0,2-SUMPRODUCT($OM6:$OR6,$I$2:$N$2)+MIN(2,$OS6*1+$OT6*1,SUMPRODUCT($OM6:$OR6,$I$2:$N$2)-IF($NS6=0,0,INDEX($I$2:$N$2,1,$NS6))))</f>
        <v/>
      </c>
      <c r="PG6" s="164">
        <f>MAX(0,4-SUMPRODUCT($OM6:$OR6,$I$3:$N$3)+MIN(4,$OS6*1+$OT6*2,SUMPRODUCT($OM6:$OR6,$I$3:$N$3)-IF($NS6=0,0,INDEX($I$3:$N$3,1,$NS6))))</f>
        <v/>
      </c>
      <c r="PH6" s="164">
        <f>MAX(0,6-SUMPRODUCT($OM6:$OR6,$I$4:$N$4)+MIN(6,$OS6*2+$OT6*3,SUMPRODUCT($OM6:$OR6,$I$4:$N$4)-IF($NS6=0,0,INDEX($I$4:$N$4,1,$NS6))))</f>
        <v/>
      </c>
      <c r="PI6" s="164">
        <f>MAX(0,9-SUMPRODUCT($OM6:$OR6,$I$5:$N$5)+MIN(8,$OS6*2+$OT6*4,SUMPRODUCT($OM6:$OR6,$I$5:$N$5)-IF($NS6=0,0,INDEX($I$5:$N$5,1,$NS6))))</f>
        <v/>
      </c>
      <c r="PJ6" s="164">
        <f>MAX(0,11-SUMPRODUCT($OM6:$OR6,$I$6:$N$6)+MIN(10,$OS6*3+$OT6*5,SUMPRODUCT($OM6:$OR6,$I$6:$N$6)-IF($NS6=0,0,INDEX($I$6:$N$6,1,$NS6))))</f>
        <v/>
      </c>
      <c r="PK6" s="164">
        <f>MAX(0,13-SUMPRODUCT($OM6:$OR6,$I$7:$N$7)+MIN(12,$OS6*3+$OT6*6,SUMPRODUCT($OM6:$OR6,$I$7:$N$7)-IF($NS6=0,0,INDEX($I$7:$N$7,1,$NS6))))</f>
        <v/>
      </c>
      <c r="PL6" s="164">
        <f>MAX(0,16-SUMPRODUCT($OM6:$OR6,$I$8:$N$8)+MIN(14,$OS6*4+$OT6*7,SUMPRODUCT($OM6:$OR6,$I$8:$N$8)-IF($NS6=0,0,INDEX($I$8:$N$8,1,$NS6))))</f>
        <v/>
      </c>
      <c r="PM6" s="164">
        <f>IF($OG6=2,3*$PF6&amp;" de vida temp.",IF($OG6=3,"sem dano",IF($PF6=0,IF($OG6=1,"sem cura","sem dano"),IF($OG6=1,"cura ","")&amp;$PF6&amp;"d8")))</f>
        <v/>
      </c>
      <c r="PN6" s="164">
        <f>IF($OG6=2,3*$PG6&amp;" de vida temp.",IF($OG6=3,"sem dano",IF($PG6=0,IF($OG6=1,"sem cura","sem dano"),IF($OG6=1,"cura ","")&amp;$PG6&amp;"d8")))</f>
        <v/>
      </c>
      <c r="PO6" s="164">
        <f>IF($OG6=2,3*$PH6&amp;" de vida temp.",IF($OG6=3,"sem dano",IF($PH6=0,IF($OG6=1,"sem cura","sem dano"),IF($OG6=1,"cura ","")&amp;$PH6&amp;"d8")))</f>
        <v/>
      </c>
      <c r="PP6" s="164">
        <f>IF($OG6=2,3*$PI6&amp;" de vida temp.",IF($OG6=3,"sem dano",IF($PI6=0,IF($OG6=1,"sem cura","sem dano"),IF($OG6=1,"cura ","")&amp;$PI6&amp;"d8")))</f>
        <v/>
      </c>
      <c r="PQ6" s="164">
        <f>IF($OG6=2,3*$PJ6&amp;" de vida temp.",IF($OG6=3,"sem dano",IF($PJ6=0,IF($OG6=1,"sem cura","sem dano"),IF($OG6=1,"cura ","")&amp;$PJ6&amp;"d8")))</f>
        <v/>
      </c>
      <c r="PR6" s="164">
        <f>IF($OG6=2,3*$PK6&amp;" de vida temp.",IF($OG6=3,"sem dano",IF($PK6=0,IF($OG6=1,"sem cura","sem dano"),IF($OG6=1,"cura ","")&amp;$PK6&amp;"d8")))</f>
        <v/>
      </c>
      <c r="PS6" s="164">
        <f>IF($OG6=2,3*$PL6&amp;" de vida temp.",IF($OG6=3,"sem dano",IF($PL6=0,IF($OG6=1,"sem cura","sem dano"),IF($OG6=1,"cura ","")&amp;$PL6&amp;"d8")))</f>
        <v/>
      </c>
      <c r="PT6" s="164">
        <f>IF($ND6=0,"",TEXTJOIN(" · ",TRUE,IF($ND6=0,"",TEXTJOIN(" · ",TRUE,IF($ND6=0,"",TEXTJOIN(" · ",TRUE,IF($MQ6&gt;$NE6,"Este lugar abre no nível "&amp;$MQ6,""),IF($MS6&gt;$NF6,"Classe "&amp;$MS6&amp;": o nível "&amp;$NE6&amp;" libera até a "&amp;$NF6,""),IF($NX6=1,"A Forma "&amp;$MU6&amp;" pede "&amp;INDEX('DADOS_FORMAS'!$GA$2:$GA$21,$NJ6)&amp;" aberta",""),IF(AND($MS6=0,$NJ6&gt;0,IF($NJ6=0,0,INDEX('DADOS_FORMAS'!$GJ$2:$GJ$21,$NJ6))=0),$MU6&amp;" não existe na Classe 0",""),IF($NY6=1,"Família Fechada: "&amp;$MX6,""),IF($NZ6=1,"Família Fechada: "&amp;$MY6,""),IF($OA6=1,"Família Fechada: "&amp;$MZ6,""),IF($OB6=1,"Família Fechada: "&amp;$NA6,""),IF(AND($MS6&gt;0,$OU6&gt;INDEX($O$2:$O$8,MAX(1,$MS6))),$OU6&amp;" Melhorias: a Classe "&amp;$MS6&amp;" aceita "&amp;INDEX($O$2:$O$8,MAX(1,$MS6)),""),IF(AND($MS6=0,$OU6&gt;1),"A básica aceita uma Melhoria",""),IF(AND($MS6=0,COUNTIF($NO6:$NR6,"&gt;1")&gt;0),"A básica só aceita Melhoria Leve",""),IF(AND($MS6&gt;0,$OV6&gt;2),$OV6&amp;" Restrições"&amp;IF($OF6=1,", contando a que a Forma "&amp;$MU6&amp;" já traz","")&amp;": o limite é 2",""),IF(AND($MS6=0,COUNTIF($NB6:$NC6,"?*")&gt;1),"A básica aceita uma Restrição Leve",""),IF(AND($MS6=0,COUNTIF($OI6:$OJ6,2)&gt;0),"A básica só aceita Restrição Leve",""),IF(AND($MS6&gt;0,$PC6&lt;0),"Orçamento estourado: faltam "&amp;(-$PC6)&amp;IF($PC6&lt;-1," pontos"," ponto"),""),IF(IFERROR(VLOOKUP(SUBSTITUTE(SUBSTITUTE(SUBSTITUTE($NB6,"~","~~"),"*","~*"),"?","~?"),'DADOS_RESTRICOES'!$M$2:$Q$54,4,FALSE),0)+IFERROR(VLOOKUP(SUBSTITUTE(SUBSTITUTE(SUBSTITUTE($NC6,"~","~~"),"*","~*"),"?","~?"),'DADOS_RESTRICOES'!$M$2:$Q$54,4,FALSE),0)&gt;1,$OK6&amp;" e "&amp;$OL6&amp;" são as duas de frequência",""),IF(AND((COUNTIF($RK6:$RN6,"Rápido")+COUNTIF($OK6:$OL6,"Rápido"))&gt;0,(COUNTIF($MX6:$NA6,"Atrasar")+COUNTIF($OK6:$OL6,"Atrasar"))&gt;0),"Rápido não entra com Atrasar",""),IF(AND((COUNTIF($RK6:$RN6,"Reação")+COUNTIF($OK6:$OL6,"Reação"))&gt;0,(COUNTIF($RK6:$RN6,"Rápido")+COUNTIF($OK6:$OL6,"Rápido"))&gt;0),"Reação não entra com Rápido",""),IF(AND((COUNTIF($RK6:$RN6,"Reação")+COUNTIF($OK6:$OL6,"Reação"))&gt;0,(COUNTIF($RK6:$RN6,"Armado")+COUNTIF($OK6:$OL6,"Armado"))&gt;0),"Reação não entra com Armado",""),IF(AND((COUNTIF($RK6:$RN6,"Reação")+COUNTIF($OK6:$OL6,"Reação"))&gt;0,(COUNTIF($MX6:$NA6,"Atrasar")+COUNTIF($OK6:$OL6,"Atrasar"))&gt;0),"Reação não entra com Atrasar",""),IF(AND((COUNTIF($RK6:$RN6,"Reação")+COUNTIF($OK6:$OL6,"Reação"))&gt;0,(COUNTIF($MX6:$NA6,"Parado")+COUNTIF($OK6:$OL6,"Parado"))&gt;0),"Reação não entra com Parado",""),IF(AND((COUNTIF($MX6:$NA6,"Atrasar")+COUNTIF($OK6:$OL6,"Atrasar"))&gt;0,(COUNTIF($MX6:$NA6,"Parado")+COUNTIF($OK6:$OL6,"Parado"))&gt;0),"Atrasar não entra com Parado",""),IF(AND((COUNTIF($RK6:$RN6,"Armado")+COUNTIF($OK6:$OL6,"Armado"))&gt;0,(COUNTIF($MX6:$NA6,"Carregar")+COUNTIF($OK6:$OL6,"Carregar"))&gt;0),"Armado não entra com Carregar",""),IF(AND(COUNTIF($OK6:$OL6,"Corpo a Corpo")&gt;0,$OF6=0,OR($RO6="Cone",$RO6="Linha")),"Corpo a Corpo não entra em "&amp;$MU6,""),IF(AND(COUNTIF($OK6:$OL6,"Corpo a Corpo")&gt;0,$RP6="Corpo a Corpo"),"A Forma "&amp;$MU6&amp;" já traz o Corpo a Corpo",""),IF(AND(COUNTIF($OK6:$OL6,"Tudo ou Nada")&gt;0,$OH6=0),"Tudo ou Nada só entra em habilidade de Teste de Resistência",""),IF(AND(COUNTIF($RK6:$RN6,"Inescapável")&gt;0,OR($OU6&gt;1,$OV6&gt;0)),"Inescapável não aceita outra peça",""),IF(AND($MS6&gt;0,$PD6*IF(COUNTIF($RK6:$RN6,"Remate")&gt;0,1.25,1)+$PE6&gt;4*$MS6),($PD6*IF(COUNTIF($RK6:$RN6,"Remate")&gt;0,1.25,1)+$PE6)&amp;" dados somando repetições"&amp;IF(COUNTIF($RK6:$RN6,"Remate")&gt;0," e o Remate","")&amp;": o teto da Classe "&amp;$MS6&amp;" é "&amp;4*$MS6,""))),IF(AND($MX6&lt;&gt;"",COUNTIF('DADOS_MELHORIAS'!$O$2:$O$113,SUBSTITUTE(SUBSTITUTE(SUBSTITUTE($MX6,"~","~~"),"*","~*"),"?","~?"))=0),"Melhoria não cadastrada ou com erro: "&amp;$MX6,""),IF(AND($MY6&lt;&gt;"",COUNTIF('DADOS_MELHORIAS'!$O$2:$O$113,SUBSTITUTE(SUBSTITUTE(SUBSTITUTE($MY6,"~","~~"),"*","~*"),"?","~?"))=0),"Melhoria não cadastrada ou com erro: "&amp;$MY6,""),IF(AND($MZ6&lt;&gt;"",COUNTIF('DADOS_MELHORIAS'!$O$2:$O$113,SUBSTITUTE(SUBSTITUTE(SUBSTITUTE($MZ6,"~","~~"),"*","~*"),"?","~?"))=0),"Melhoria não cadastrada ou com erro: "&amp;$MZ6,""),IF(AND($NA6&lt;&gt;"",COUNTIF('DADOS_MELHORIAS'!$O$2:$O$113,SUBSTITUTE(SUBSTITUTE(SUBSTITUTE($NA6,"~","~~"),"*","~*"),"?","~?"))=0),"Melhoria não cadastrada ou com erro: "&amp;$NA6,""),IF(AND($NB6&lt;&gt;"",COUNTIF('DADOS_RESTRICOES'!$M$2:$M$54,SUBSTITUTE(SUBSTITUTE(SUBSTITUTE($NB6,"~","~~"),"*","~*"),"?","~?"))=0),"Restrição não cadastrada ou com erro: "&amp;$NB6,""),IF(AND($NC6&lt;&gt;"",COUNTIF('DADOS_RESTRICOES'!$M$2:$M$54,SUBSTITUTE(SUBSTITUTE(SUBSTITUTE($NC6,"~","~~"),"*","~*"),"?","~?"))=0),"Restrição não cadastrada ou com erro: "&amp;$NC6,""))),IF(AND($MU6&lt;&gt;"",COUNTIF('DADOS_FORMAS'!$AH$2:$AH$21,SUBSTITUTE(SUBSTITUTE(SUBSTITUTE($MU6,"~","~~"),"*","~*"),"?","~?"))=0),"Forma não cadastrada ou com erro: "&amp;$MU6,""),IF(AND(IFERROR(INDEX('DADOS_FORMAS'!$AS$2:$AS$21,MATCH(SUBSTITUTE(SUBSTITUTE(SUBSTITUTE($MU6,"~","~~"),"*","~*"),"?","~?"),'DADOS_FORMAS'!$AH$2:$AH$21,0)),"")&lt;&gt;"",OR(IFERROR(VLOOKUP(SUBSTITUTE(SUBSTITUTE(SUBSTITUTE(IFERROR(INDEX('DADOS_FORMAS'!$AS$2:$AS$21,MATCH(SUBSTITUTE(SUBSTITUTE(SUBSTITUTE($MU6,"~","~~"),"*","~*"),"?","~?"),'DADOS_FORMAS'!$AH$2:$AH$21,0)),""),"~","~~"),"*","~*"),"?","~?"),'DADOS_RESTRICOES'!$M$2:$Q$54,2,FALSE),"")=$OK6,IFERROR(VLOOKUP(SUBSTITUTE(SUBSTITUTE(SUBSTITUTE(IFERROR(INDEX('DADOS_FORMAS'!$AS$2:$AS$21,MATCH(SUBSTITUTE(SUBSTITUTE(SUBSTITUTE($MU6,"~","~~"),"*","~*"),"?","~?"),'DADOS_FORMAS'!$AH$2:$AH$21,0)),""),"~","~~"),"*","~*"),"?","~?"),'DADOS_RESTRICOES'!$M$2:$Q$54,2,FALSE),"")=$OL6)),"Restrição repetida, contando a embutida",""),IF(IF(IFERROR(INDEX('DADOS_FORMAS'!$AS$2:$AS$21,MATCH(SUBSTITUTE(SUBSTITUTE(SUBSTITUTE($MU6,"~","~~"),"*","~*"),"?","~?"),'DADOS_FORMAS'!$AH$2:$AH$21,0)),"")="",0,IFERROR(N(VLOOKUP(SUBSTITUTE(SUBSTITUTE(SUBSTITUTE(IFERROR(INDEX('DADOS_FORMAS'!$AS$2:$AS$21,MATCH(SUBSTITUTE(SUBSTITUTE(SUBSTITUTE($MU6,"~","~~"),"*","~*"),"?","~?"),'DADOS_FORMAS'!$AH$2:$AH$21,0)),""),"~","~~"),"*","~*"),"?","~?"),'DADOS_RESTRICOES'!$M$2:$Q$54,4,FALSE)=1),0))+IF($NB6="",0,IFERROR(N(VLOOKUP(SUBSTITUTE(SUBSTITUTE(SUBSTITUTE($NB6,"~","~~"),"*","~*"),"?","~?"),'DADOS_RESTRICOES'!$M$2:$Q$54,4,FALSE)=1),0))+IF($NC6="",0,IFERROR(N(VLOOKUP(SUBSTITUTE(SUBSTITUTE(SUBSTITUTE($NC6,"~","~~"),"*","~*"),"?","~?"),'DADOS_RESTRICOES'!$M$2:$Q$54,4,FALSE)=1),0))&gt;1,"Duas Restrições de frequência, contando a embutida",""),IF(AND(IFERROR(VLOOKUP(SUBSTITUTE(SUBSTITUTE(SUBSTITUTE(IFERROR(INDEX('DADOS_FORMAS'!$AS$2:$AS$21,MATCH(SUBSTITUTE(SUBSTITUTE(SUBSTITUTE($MU6,"~","~~"),"*","~*"),"?","~?"),'DADOS_FORMAS'!$AH$2:$AH$21,0)),""),"~","~~"),"*","~*"),"?","~?"),'DADOS_RESTRICOES'!$M$2:$Q$54,2,FALSE),"")="Tudo ou Nada",$OH6=0),"Tudo ou Nada exige TR",""),IF(AND(IFERROR(VLOOKUP(SUBSTITUTE(SUBSTITUTE(SUBSTITUTE(IFERROR(INDEX('DADOS_FORMAS'!$AS$2:$AS$21,MATCH(SUBSTITUTE(SUBSTITUTE(SUBSTITUTE($MU6,"~","~~"),"*","~*"),"?","~?"),'DADOS_FORMAS'!$AH$2:$AH$21,0)),""),"~","~~"),"*","~*"),"?","~?"),'DADOS_RESTRICOES'!$M$2:$Q$54,2,FALSE),"")="Corpo a Corpo",OR($RO6="Cone",$RO6="Linha")),"Corpo a Corpo não entra em Cone/Linha","")))</f>
        <v/>
      </c>
      <c r="PU6" s="164">
        <f>IF($PT6="",0,(LEN($PT6)-LEN(SUBSTITUTE($PT6," · ","")))/3+1)</f>
        <v/>
      </c>
      <c r="PV6" s="164">
        <f>IF($ND6=0,"",TEXTJOIN(" · ",TRUE,IF($OX6&gt;2*$MS6,"A devolução parou no teto de "&amp;2*$MS6,""),IF($PA6&gt;0,"Devolução perdida: "&amp;$PA6&amp;IF($PA6&gt;1," pontos"," ponto")&amp;" sem Melhoria para pagar",""),IF(AND($OC6&gt;0,AND($MS6&gt;0,$OG6=0),$PD6=0),"Controle sem dano: uma rodada a mais e CD +2",""),IF(AND($OC6&gt;0,AND($MS6&gt;0,$OG6=0),$PD6&gt;0,$PD6&lt;=$MS6),"Controle com saldo até a Classe: uma rodada a mais",""),IF(AND($MS6&gt;0,$OE6&lt;&gt;""),"Efeito de "&amp;$OE6&amp;" pela Classe "&amp;MAX(1,$MS6-1),"")))</f>
        <v/>
      </c>
      <c r="PW6" s="164">
        <f>IF($PV6="",0,(LEN($PV6)-LEN(SUBSTITUTE($PV6," · ","")))/3+1)</f>
        <v/>
      </c>
      <c r="PX6" s="164">
        <f>IF($ND6=0,IF($OU6+COUNTIF($NB6:$NC6,"?*")&gt;0,"Dê um nome",""),IF($PU6&gt;0,"⚠ "&amp;$PU6&amp;IF($PU6&gt;1," erros"," erro"),IF($PW6&gt;0,"! "&amp;$PW6&amp;IF($PW6&gt;1," avisos"," aviso"),"Na regra")))</f>
        <v/>
      </c>
      <c r="PY6" s="164">
        <f>IF($ND6=0,"",IF($PU6+$PW6=0,"Dentro das regras que a ficha confere",$PT6&amp;IF(AND($PU6&gt;0,$PW6&gt;0)," · ","")&amp;$PV6))</f>
        <v/>
      </c>
      <c r="PZ6" s="164">
        <f>IF($MQ6&gt;$NE6,$MR6&amp;" · ABRE NO NÍVEL "&amp;$MQ6,$MR6)</f>
        <v/>
      </c>
      <c r="QA6" s="164">
        <f>IF($ND6=0,"",IF($MS6=0,"Sem PE",3*$MS6&amp;" PE"))</f>
        <v/>
      </c>
      <c r="QB6" s="164">
        <f>IF($ND6=0,"",IF($MS6=0,"A atuação básica dela",IF(COUNTIF($RQ6:$RS6,"Atrasar")&gt;0,"Sua Ação Completa",IF(COUNTIF($RK6:$RN6,"Rápido")&gt;0,"Sua Bônus",IF(COUNTIF($RK6:$RN6,"Reação")&gt;0,"Sua Reação","Sua Padrão")))&amp;" + a básica dela"&amp;IF(COUNTIF($RK6:$RN6,"Reação")&gt;0," e a coletiva","")&amp;IF(COUNTIF($RQ6:$RS6,"Carregar")&gt;0," · em dois turnos","")))</f>
        <v/>
      </c>
      <c r="QC6" s="164">
        <f>IF($MW6&lt;&gt;"",$MW6,IF($NJ6=0,"",INDEX('DADOS_FORMAS'!$GE$2:$GE$21,$NJ6)))</f>
        <v/>
      </c>
      <c r="QD6" s="164">
        <f>IF(OR($ND6=0,$NJ6=0),"",IF(COUNTIF($RK6:$RN6,"Inescapável")&gt;0,"Automático",IF($QC6="Ataque",IF($NH6="","Ataque","Ataque "&amp;IF(($NH6+2*IF(COUNTIF($RK6:$RN6,"Precisão")&gt;0,1,0))&gt;=0,"+","−")&amp;ABS(($NH6+2*IF(COUNTIF($RK6:$RN6,"Precisão")&gt;0,1,0))))&amp;IF($OD6&gt;0," · TR"&amp;IF($NI6="",""," CD "&amp;$NI6),""),IF(LEFT($QC6,2)="TR",$QC6&amp;IF($NI6="",""," · CD "&amp;$NI6)&amp;IF(COUNTIF($RK6:$RN6,"Certeiro")&gt;0," · metade",""),"Sem rolagem"))))</f>
        <v/>
      </c>
      <c r="QE6" s="164">
        <f>IF(OR($ND6=0,$NJ6=0),"",IF($MS6=0,IF(OR($OG6&gt;=1,$PD6=0),"Sem dano",$PD6&amp;"d6"&amp;IF($MV6="",""," "&amp;$MV6)),IF(OR($OG6&gt;=1,$PD6=0),UPPER(LEFT(INDEX($PM6:$PS6,1,MAX(1,$MS6)),1))&amp;MID(INDEX($PM6:$PS6,1,MAX(1,$MS6)),2,99),UPPER(LEFT(INDEX($PM6:$PS6,1,MAX(1,$MS6)),1))&amp;MID(INDEX($PM6:$PS6,1,MAX(1,$MS6)),2,99)&amp;IF($MV6="",""," "&amp;$MV6)&amp;IF($PE6&gt;0," · +"&amp;$PE6&amp;"d8",""))))</f>
        <v/>
      </c>
      <c r="QF6" s="164">
        <f>COUNTIF($RK6:$RN6,"Longe")+3*COUNTIF($RK6:$RN6,"Muito Longe")</f>
        <v/>
      </c>
      <c r="QG6" s="164">
        <f>COUNTIF($RK6:$RN6,"Maior")+3*COUNTIF($RK6:$RN6,"Muito Maior")</f>
        <v/>
      </c>
      <c r="QH6" s="164">
        <f>IF($NJ6=0,0,CHOOSE(1+INDEX('DADOS_FORMAS'!$GG$2:$GG$21,$NJ6),0,$QF6,$QG6,$QF6+$QG6))</f>
        <v/>
      </c>
      <c r="QI6" s="164">
        <f>IF($NJ6=0,0,CHOOSE(1+INDEX('DADOS_FORMAS'!$GH$2:$GH$21,$NJ6),0,$QF6,$QG6,$QF6+$QG6))</f>
        <v/>
      </c>
      <c r="QJ6" s="164">
        <f>IF(OR($ND6=0,$NJ6=0),"",INDEX('DADOS_FORMAS'!$HU$2:$HZ$81,($NJ6-1)*4+IF($MS6=0,1,IF($MS6&lt;=5,2,IF($MS6=6,3,4))),1+MIN(5,$QH6))&amp;INDEX('DADOS_FORMAS'!$IA$2:$IF$81,($NJ6-1)*4+IF($MS6=0,1,IF($MS6&lt;=5,2,IF($MS6=6,3,4))),1+MIN(5,$QI6))&amp;IF(INDEX('DADOS_FORMAS'!$GI$2:$GI$21,$NJ6)=1,IF(COUNTIF($RK6:$RN6,"Mais Um")&gt;0," · +"&amp;COUNTIF($RK6:$RN6,"Mais Um")&amp;IF(COUNTIF($RK6:$RN6,"Mais Um")&gt;1," alvos"," alvo"),"")&amp;IF(COUNTIF($RK6:$RN6,"Rajada")&gt;0,IF($MS6=0," · 1 tiro"," · "&amp;(MAX(1,$MS6-1)+1)&amp;" tiros"),""),""))</f>
        <v/>
      </c>
      <c r="QK6" s="164">
        <f>IF($ND6=0,"",IF($MS6=0,$NG6&amp;"d6"&amp;IF($OU6&gt;0," − 1 = "&amp;$PD6&amp;"d6"," da básica do nível "&amp;$NE6),$PB6&amp;" − "&amp;$OW6&amp;" + "&amp;$OZ6&amp;" = "&amp;$PC6&amp;" · teto "&amp;4*$MS6&amp;"d8"&amp;IF($OF6=1," · a Forma devolve "&amp;$MS6,"")&amp;IF($PA6&gt;0," · perde "&amp;$PA6,"")))</f>
        <v/>
      </c>
      <c r="QL6" s="164">
        <f>IF($ND6=0,"",IF($MS6=0,"A básica não amplia: os dados dela sobem com o nível",IF($MS6&gt;=$NF6,"Já está na maior Classe que o nível liberou",TEXTJOIN(" · ",TRUE,IF(AND(2&gt;$MS6,2&lt;=$NF6),"2 → "&amp;$PN6&amp;", 6 PE",""),IF(AND(3&gt;$MS6,3&lt;=$NF6),"3 → "&amp;$PO6&amp;", 9 PE",""),IF(AND(4&gt;$MS6,4&lt;=$NF6),"4 → "&amp;$PP6&amp;", 12 PE",""),IF(AND(5&gt;$MS6,5&lt;=$NF6),"5 → "&amp;$PQ6&amp;", 15 PE",""),IF(AND(6&gt;$MS6,6&lt;=$NF6),"6 → "&amp;$PR6&amp;", 18 PE",""),IF(AND(7&gt;$MS6,7&lt;=$NF6),"7 → "&amp;$PS6&amp;", 21 PE","")))))</f>
        <v/>
      </c>
      <c r="QM6" s="164">
        <f>IF(OR($ND6=0,$NO6=0),"",IF($MS6=0,"−1 dado","−"&amp;INDEX($I$2:$N$8,MAX(1,$MS6),MAX(1,$NT6))&amp;" · "&amp;CHOOSE(MAX(1,$NT6),"Leve","Média","Pesada","Leve · Livre","Média · Livre","Pesada · Livre")))</f>
        <v/>
      </c>
      <c r="QN6" s="164">
        <f>IF(OR($ND6=0,$NP6=0),"",IF($MS6=0,"−1 dado","−"&amp;INDEX($I$2:$N$8,MAX(1,$MS6),MAX(1,$NU6))&amp;" · "&amp;CHOOSE(MAX(1,$NU6),"Leve","Média","Pesada","Leve · Livre","Média · Livre","Pesada · Livre")))</f>
        <v/>
      </c>
      <c r="QO6" s="164">
        <f>IF(OR($ND6=0,$NQ6=0),"",IF($MS6=0,"−1 dado","−"&amp;INDEX($I$2:$N$8,MAX(1,$MS6),MAX(1,$NV6))&amp;" · "&amp;CHOOSE(MAX(1,$NV6),"Leve","Média","Pesada","Leve · Livre","Média · Livre","Pesada · Livre")))</f>
        <v/>
      </c>
      <c r="QP6" s="164">
        <f>IF(OR($ND6=0,$NR6=0),"",IF($MS6=0,"−1 dado","−"&amp;INDEX($I$2:$N$8,MAX(1,$MS6),MAX(1,$NW6))&amp;" · "&amp;CHOOSE(MAX(1,$NW6),"Leve","Média","Pesada","Leve · Livre","Média · Livre","Pesada · Livre")))</f>
        <v/>
      </c>
      <c r="QQ6" s="164">
        <f>IF(OR($ND6=0,$NB6=""),"",IF($MS6=0,"não devolve","+"&amp;IF($OI6=1,CEILING($MS6/2,1),$MS6)))</f>
        <v/>
      </c>
      <c r="QR6" s="164">
        <f>IF(OR($ND6=0,$NC6=""),"",IF($MS6=0,"não devolve","+"&amp;IF($OJ6=1,CEILING($MS6/2,1),$MS6)))</f>
        <v/>
      </c>
      <c r="QV6">
        <f>'INVOCAÇÕES'!$O$894&amp;""</f>
        <v/>
      </c>
      <c r="QW6">
        <f>'INVOCAÇÕES'!$P$894&amp;""</f>
        <v/>
      </c>
      <c r="QX6">
        <f>'INVOCAÇÕES'!$Q$894&amp;""</f>
        <v/>
      </c>
      <c r="QY6">
        <f>'INVOCAÇÕES'!$R$894&amp;""</f>
        <v/>
      </c>
      <c r="QZ6">
        <f>IF('INVOCAÇÕES'!$K$894="","Autônoma",'INVOCAÇÕES'!$K$894)</f>
        <v/>
      </c>
      <c r="RA6">
        <f>IF(DADOS_INVOC!$DB$4="Invocação Principal",'CONFIGURAÇÃO'!$H$144,IF(OR(DADOS_INVOC!$DB$4="Parceria",DADOS_INVOC!$DB$4="Múltiplas Invocações"),'CONFIGURAÇÃO'!$H$142,'CONFIGURAÇÃO'!$H$140))+IF($QZ$6="Não autônoma",'CONFIGURAÇÃO'!$H$145,0)</f>
        <v/>
      </c>
      <c r="RB6">
        <f>IF($RA$6&gt;=1,$EL$6,"")</f>
        <v/>
      </c>
      <c r="RC6">
        <f>IF($RA$6&gt;=2,$EM$6,"")</f>
        <v/>
      </c>
      <c r="RD6">
        <f>IF($RA$6&gt;=7,$EN$6,"")</f>
        <v/>
      </c>
      <c r="RE6">
        <f>IF($RA$6&gt;=8,$EO$6,"")</f>
        <v/>
      </c>
      <c r="RF6">
        <f>IF($RA$6&gt;=9,$EP$6,"")</f>
        <v/>
      </c>
      <c r="RG6">
        <f>IF($RA$6&gt;=3,$QV$6,"")</f>
        <v/>
      </c>
      <c r="RH6">
        <f>IF($RA$6&gt;=4,$QW$6,"")</f>
        <v/>
      </c>
      <c r="RI6">
        <f>IF($RA$6&gt;=5,$QX$6,"")</f>
        <v/>
      </c>
      <c r="RJ6">
        <f>IF($RA$6&gt;=6,$QY$6,"")</f>
        <v/>
      </c>
      <c r="RK6">
        <f>IF($MX6="","",IFERROR(VLOOKUP(SUBSTITUTE(SUBSTITUTE(SUBSTITUTE($MX6,"~","~~"),"*","~*"),"?","~?"),'DADOS_MELHORIAS'!$O$2:$X$113,10,FALSE),$MX6))</f>
        <v/>
      </c>
      <c r="RL6">
        <f>IF($MY6="","",IFERROR(VLOOKUP(SUBSTITUTE(SUBSTITUTE(SUBSTITUTE($MY6,"~","~~"),"*","~*"),"?","~?"),'DADOS_MELHORIAS'!$O$2:$X$113,10,FALSE),$MY6))</f>
        <v/>
      </c>
      <c r="RM6">
        <f>IF($MZ6="","",IFERROR(VLOOKUP(SUBSTITUTE(SUBSTITUTE(SUBSTITUTE($MZ6,"~","~~"),"*","~*"),"?","~?"),'DADOS_MELHORIAS'!$O$2:$X$113,10,FALSE),$MZ6))</f>
        <v/>
      </c>
      <c r="RN6">
        <f>IF($NA6="","",IFERROR(VLOOKUP(SUBSTITUTE(SUBSTITUTE(SUBSTITUTE($NA6,"~","~~"),"*","~*"),"?","~?"),'DADOS_MELHORIAS'!$O$2:$X$113,10,FALSE),$NA6))</f>
        <v/>
      </c>
      <c r="RO6">
        <f>IFERROR(INDEX('DADOS_FORMAS'!$BJ$2:$BJ$21,MATCH(SUBSTITUTE(SUBSTITUTE(SUBSTITUTE($MU6,"~","~~"),"*","~*"),"?","~?"),'DADOS_FORMAS'!$AH$2:$AH$21,0)),"")</f>
        <v/>
      </c>
      <c r="RP6">
        <f>IFERROR(VLOOKUP(SUBSTITUTE(SUBSTITUTE(SUBSTITUTE(IFERROR(INDEX('DADOS_FORMAS'!$AS$2:$AS$21,MATCH(SUBSTITUTE(SUBSTITUTE(SUBSTITUTE($MU6,"~","~~"),"*","~*"),"?","~?"),'DADOS_FORMAS'!$AH$2:$AH$21,0)),""),"~","~~"),"*","~*"),"?","~?"),'DADOS_RESTRICOES'!$M$2:$Q$54,2,FALSE),"")</f>
        <v/>
      </c>
      <c r="RQ6">
        <f>$OK6</f>
        <v/>
      </c>
      <c r="RR6">
        <f>$OL6</f>
        <v/>
      </c>
      <c r="RS6">
        <f>$RP6</f>
        <v/>
      </c>
    </row>
    <row r="7">
      <c r="A7" s="164" t="n">
        <v>21</v>
      </c>
      <c r="B7" s="164" t="n">
        <v>6</v>
      </c>
      <c r="C7" s="164" t="n">
        <v>3</v>
      </c>
      <c r="D7" s="164" t="n">
        <v>13</v>
      </c>
      <c r="F7" s="164" t="n">
        <v>26</v>
      </c>
      <c r="H7" s="164" t="n">
        <v>6</v>
      </c>
      <c r="I7" s="164" t="n">
        <v>3</v>
      </c>
      <c r="J7" s="164" t="n">
        <v>6</v>
      </c>
      <c r="K7" s="164" t="n">
        <v>9</v>
      </c>
      <c r="L7" s="164" t="n">
        <v>1</v>
      </c>
      <c r="M7" s="164" t="n">
        <v>3</v>
      </c>
      <c r="N7" s="164" t="n">
        <v>6</v>
      </c>
      <c r="O7" s="164" t="n">
        <v>4</v>
      </c>
      <c r="P7" s="164" t="n">
        <v>13</v>
      </c>
      <c r="R7" s="164" t="n">
        <v>5</v>
      </c>
      <c r="V7" s="162" t="inlineStr">
        <is>
          <t>Linha</t>
        </is>
      </c>
      <c r="W7" s="162" t="inlineStr">
        <is>
          <t>Área</t>
        </is>
      </c>
      <c r="X7" s="164" t="n">
        <v>1</v>
      </c>
      <c r="Y7" s="164" t="n">
        <v>0</v>
      </c>
      <c r="Z7" s="164" t="n">
        <v>0</v>
      </c>
      <c r="AA7" s="162" t="inlineStr">
        <is>
          <t>TR</t>
        </is>
      </c>
      <c r="AB7" s="164" t="n">
        <v>1</v>
      </c>
      <c r="AC7" s="164" t="n">
        <v>3</v>
      </c>
      <c r="AD7" s="164" t="n">
        <v>0</v>
      </c>
      <c r="AE7" s="164" t="n">
        <v>0</v>
      </c>
      <c r="AF7" s="164" t="n">
        <v>1</v>
      </c>
      <c r="AH7" s="162" t="inlineStr">
        <is>
          <t>Toque · classes 1 a 5</t>
        </is>
      </c>
      <c r="AI7" s="162" t="inlineStr">
        <is>
          <t>1,5 m, um alvo</t>
        </is>
      </c>
      <c r="AJ7" s="162" t="inlineStr">
        <is>
          <t>1,5 m, um alvo</t>
        </is>
      </c>
      <c r="AK7" s="162" t="inlineStr">
        <is>
          <t>1,5 m, um alvo</t>
        </is>
      </c>
      <c r="AL7" s="162" t="inlineStr">
        <is>
          <t>1,5 m, um alvo</t>
        </is>
      </c>
      <c r="AM7" s="162" t="inlineStr">
        <is>
          <t>1,5 m, um alvo</t>
        </is>
      </c>
      <c r="AN7" s="162" t="inlineStr">
        <is>
          <t>1,5 m, um alvo</t>
        </is>
      </c>
      <c r="AO7" s="162" t="inlineStr"/>
      <c r="AP7" s="162" t="inlineStr"/>
      <c r="AQ7" s="162" t="inlineStr"/>
      <c r="AR7" s="162" t="inlineStr"/>
      <c r="AS7" s="162" t="inlineStr"/>
      <c r="AT7" s="162" t="inlineStr"/>
      <c r="AV7" s="162" t="inlineStr">
        <is>
          <t>Empurrão</t>
        </is>
      </c>
      <c r="AW7" s="162" t="inlineStr">
        <is>
          <t>Alcance</t>
        </is>
      </c>
      <c r="AX7" s="164" t="n">
        <v>1</v>
      </c>
      <c r="AY7" s="164" t="n">
        <v>0</v>
      </c>
      <c r="AZ7" s="164" t="n">
        <v>0</v>
      </c>
      <c r="BA7" s="164" t="n">
        <v>0</v>
      </c>
      <c r="BC7" s="162" t="inlineStr">
        <is>
          <t>Sangra</t>
        </is>
      </c>
      <c r="BD7" s="162" t="inlineStr">
        <is>
          <t>Sangra</t>
        </is>
      </c>
      <c r="BE7" s="164" t="n">
        <v>2</v>
      </c>
      <c r="BF7" s="164" t="n">
        <v>0</v>
      </c>
      <c r="BG7" s="162" t="inlineStr"/>
      <c r="BI7" s="162" t="inlineStr">
        <is>
          <t>Leitura de Feitiços</t>
        </is>
      </c>
      <c r="BJ7" s="164" t="n">
        <v>1</v>
      </c>
      <c r="BK7" s="162" t="inlineStr">
        <is>
          <t>Ao ter um inimigo à vista, você sabe qual foi o último feitiço que ele usou, mesmo que não tenha presenciado aquela conjuração. Recebe o nome ou uma descrição suficiente para reconhecer a aplicação, não sua ficha completa.</t>
        </is>
      </c>
      <c r="BL7" s="162" t="inlineStr">
        <is>
          <t>Leitura de Feitiços</t>
        </is>
      </c>
      <c r="BS7" s="162" t="inlineStr">
        <is>
          <t>Castigo</t>
        </is>
      </c>
      <c r="CC7" s="162" t="inlineStr">
        <is>
          <t>Investigação</t>
        </is>
      </c>
      <c r="CD7" s="162" t="inlineStr">
        <is>
          <t>Inteligência</t>
        </is>
      </c>
      <c r="CH7" s="162" t="inlineStr">
        <is>
          <t>Burocracia</t>
        </is>
      </c>
      <c r="CJ7" s="162" t="inlineStr">
        <is>
          <t>Elétrico</t>
        </is>
      </c>
      <c r="CN7" s="164" t="n">
        <v>5</v>
      </c>
      <c r="DA7" s="162" t="inlineStr">
        <is>
          <t>parcela da defesa</t>
        </is>
      </c>
      <c r="DB7" s="164">
        <f>INT($DB$6/2)</f>
        <v/>
      </c>
      <c r="DD7" s="164" t="n">
        <v>6</v>
      </c>
      <c r="DE7" s="164">
        <f>'INVOCAÇÕES'!$I$1068&amp;""</f>
        <v/>
      </c>
      <c r="DF7" s="164">
        <f>'INVOCAÇÕES'!$I$1098&amp;""</f>
        <v/>
      </c>
      <c r="DG7" s="164">
        <f>'INVOCAÇÕES'!$I$1102&amp;""</f>
        <v/>
      </c>
      <c r="DH7" s="164">
        <f>N('INVOCAÇÕES'!$K$1102)</f>
        <v/>
      </c>
      <c r="DI7" s="164">
        <f>'INVOCAÇÕES'!$L$1102&amp;""</f>
        <v/>
      </c>
      <c r="DJ7" s="164">
        <f>N('INVOCAÇÕES'!$O$1075)</f>
        <v/>
      </c>
      <c r="DK7" s="164">
        <f>N('INVOCAÇÕES'!$P$1075)</f>
        <v/>
      </c>
      <c r="DL7" s="164">
        <f>N('INVOCAÇÕES'!$Q$1075)</f>
        <v/>
      </c>
      <c r="DM7" s="164">
        <f>N('INVOCAÇÕES'!$R$1075)</f>
        <v/>
      </c>
      <c r="DN7" s="164">
        <f>N('INVOCAÇÕES'!$S$1075)</f>
        <v/>
      </c>
      <c r="DO7" s="164">
        <f>N('INVOCAÇÕES'!$O$1076)</f>
        <v/>
      </c>
      <c r="DP7" s="164">
        <f>N('INVOCAÇÕES'!$P$1076)</f>
        <v/>
      </c>
      <c r="DQ7" s="164">
        <f>N('INVOCAÇÕES'!$Q$1076)</f>
        <v/>
      </c>
      <c r="DR7" s="164">
        <f>N('INVOCAÇÕES'!$R$1076)</f>
        <v/>
      </c>
      <c r="DS7" s="164">
        <f>N('INVOCAÇÕES'!$S$1076)</f>
        <v/>
      </c>
      <c r="DT7" s="164">
        <f>'INVOCAÇÕES'!$O$1089&amp;""</f>
        <v/>
      </c>
      <c r="DU7" s="164">
        <f>'INVOCAÇÕES'!$R$1089&amp;""</f>
        <v/>
      </c>
      <c r="DV7" s="164">
        <f>'INVOCAÇÕES'!$S$1084&amp;""</f>
        <v/>
      </c>
      <c r="DW7" s="164">
        <f>N('INVOCAÇÕES'!$O$1081)</f>
        <v/>
      </c>
      <c r="DX7" s="164">
        <f>N('INVOCAÇÕES'!$P$1081)</f>
        <v/>
      </c>
      <c r="DY7" s="164">
        <f>N('INVOCAÇÕES'!$Q$1081)</f>
        <v/>
      </c>
      <c r="DZ7" s="164">
        <f>N('INVOCAÇÕES'!$R$1081)</f>
        <v/>
      </c>
      <c r="EA7" s="164">
        <f>N('INVOCAÇÕES'!$S$1081)</f>
        <v/>
      </c>
      <c r="EB7" s="164">
        <f>N('INVOCAÇÕES'!$O$1086)</f>
        <v/>
      </c>
      <c r="EC7" s="164">
        <f>N('INVOCAÇÕES'!$P$1086)</f>
        <v/>
      </c>
      <c r="ED7" s="164">
        <f>N('INVOCAÇÕES'!$Q$1086)</f>
        <v/>
      </c>
      <c r="EE7" s="164">
        <f>N('INVOCAÇÕES'!$R$1086)</f>
        <v/>
      </c>
      <c r="EF7" s="164">
        <f>'INVOCAÇÕES'!$U$1068&amp;""</f>
        <v/>
      </c>
      <c r="EG7" s="164">
        <f>N('INVOCAÇÕES'!$W$1068)</f>
        <v/>
      </c>
      <c r="EH7" s="164">
        <f>'INVOCAÇÕES'!$Y$1068&amp;""</f>
        <v/>
      </c>
      <c r="EI7" s="164">
        <f>SUM('INVOCAÇÕES'!$Y$1023:'INVOCAÇÕES'!$Y$1025,'INVOCAÇÕES'!$Y$1027:'INVOCAÇÕES'!$Y$1032)</f>
        <v/>
      </c>
      <c r="EJ7" s="164">
        <f>'INVOCAÇÕES'!$U$1073&amp;""</f>
        <v/>
      </c>
      <c r="EK7" s="164">
        <f>'INVOCAÇÕES'!$V$1073&amp;""</f>
        <v/>
      </c>
      <c r="EL7" s="164">
        <f>'INVOCAÇÕES'!$O$1103&amp;""</f>
        <v/>
      </c>
      <c r="EM7" s="164">
        <f>'INVOCAÇÕES'!$P$1103&amp;""</f>
        <v/>
      </c>
      <c r="EN7" s="164">
        <f>'INVOCAÇÕES'!$Q$1103&amp;""</f>
        <v/>
      </c>
      <c r="EO7" s="164">
        <f>'INVOCAÇÕES'!$R$1103&amp;""</f>
        <v/>
      </c>
      <c r="EP7" s="164">
        <f>'INVOCAÇÕES'!$S$1103&amp;""</f>
        <v/>
      </c>
      <c r="EQ7" s="164">
        <f>'INVOCAÇÕES'!$O$1093&amp;""</f>
        <v/>
      </c>
      <c r="ER7" s="164">
        <f>'INVOCAÇÕES'!$O$1094&amp;""</f>
        <v/>
      </c>
      <c r="ES7" s="164">
        <f>'INVOCAÇÕES'!$O$1095&amp;""</f>
        <v/>
      </c>
      <c r="ET7" s="164">
        <f>'INVOCAÇÕES'!$O$1096&amp;""</f>
        <v/>
      </c>
      <c r="EU7" s="164">
        <f>'INVOCAÇÕES'!$O$1097&amp;""</f>
        <v/>
      </c>
      <c r="EV7" s="164">
        <f>'INVOCAÇÕES'!$O$1098&amp;""</f>
        <v/>
      </c>
      <c r="EW7" s="164">
        <f>'INVOCAÇÕES'!$O$1099&amp;""</f>
        <v/>
      </c>
      <c r="EX7" s="164">
        <f>'INVOCAÇÕES'!$J$1148&amp;""</f>
        <v/>
      </c>
      <c r="EY7" s="164">
        <f>'INVOCAÇÕES'!$J$1149&amp;""</f>
        <v/>
      </c>
      <c r="EZ7" s="164">
        <f>'INVOCAÇÕES'!$J$1150&amp;""</f>
        <v/>
      </c>
      <c r="FA7" s="164">
        <f>'INVOCAÇÕES'!$J$1151&amp;""</f>
        <v/>
      </c>
      <c r="FB7" s="164">
        <f>'INVOCAÇÕES'!$J$1152&amp;""</f>
        <v/>
      </c>
      <c r="FC7" s="164">
        <f>'INVOCAÇÕES'!$J$1153&amp;""</f>
        <v/>
      </c>
      <c r="FD7" s="164">
        <f>'INVOCAÇÕES'!$J$1154&amp;""</f>
        <v/>
      </c>
      <c r="FE7" s="164">
        <f>'INVOCAÇÕES'!$J$1155&amp;""</f>
        <v/>
      </c>
      <c r="FF7" s="164">
        <f>'INVOCAÇÕES'!$J$1250&amp;""</f>
        <v/>
      </c>
      <c r="FG7" s="164">
        <f>'INVOCAÇÕES'!$J$1251&amp;""</f>
        <v/>
      </c>
      <c r="FH7" s="164">
        <f>'INVOCAÇÕES'!$J$1252&amp;""</f>
        <v/>
      </c>
      <c r="FI7" s="164">
        <f>MAX(3,MIN(7,N('INVOCAÇÕES'!$I$1257)))</f>
        <v/>
      </c>
      <c r="FJ7" s="164">
        <f>MAX(3,MIN(7,N('INVOCAÇÕES'!$O$1257)))</f>
        <v/>
      </c>
      <c r="FK7" s="164">
        <f>MAX(3,MIN(7,N('INVOCAÇÕES'!$U$1257)))</f>
        <v/>
      </c>
      <c r="FL7" s="164">
        <f>'INVOCAÇÕES'!$O$1271&amp;""</f>
        <v/>
      </c>
      <c r="FM7" s="164">
        <f>IF($DE7&lt;&gt;"",1,0)</f>
        <v/>
      </c>
      <c r="FN7" s="164">
        <f>IFERROR(VLOOKUP($DG7,$BP$2:$BQ$5,2,FALSE),1)</f>
        <v/>
      </c>
      <c r="FO7" s="164">
        <f>IF($FN7=1,$DB$2,IF($FN7=2,MIN($DB$2,IF(MAX(1,MIN($DB$2,IF($DH7=0,$DB$2,$DH7)))&lt;=4,4,IF(MAX(1,MIN($DB$2,IF($DH7=0,$DB$2,$DH7)))&lt;=8,8,IF(MAX(1,MIN($DB$2,IF($DH7=0,$DB$2,$DH7)))&lt;=12,12,IF(MAX(1,MIN($DB$2,IF($DH7=0,$DB$2,$DH7)))&lt;=16,16,IF(MAX(1,MIN($DB$2,IF($DH7=0,$DB$2,$DH7)))&lt;=20,20,IF(MAX(1,MIN($DB$2,IF($DH7=0,$DB$2,$DH7)))&lt;=25,25,IF(MAX(1,MIN($DB$2,IF($DH7=0,$DB$2,$DH7)))&lt;=30,30,30)))))))),MAX(1,MIN($DB$2,IF($DH7=0,$DB$2,$DH7)))))</f>
        <v/>
      </c>
      <c r="FP7" s="164">
        <f>VLOOKUP(MAX(1,$FO7),$A$2:$D$8,2,TRUE)</f>
        <v/>
      </c>
      <c r="FQ7" s="164">
        <f>VLOOKUP(MAX(1,$FO7),$A$2:$D$8,3,TRUE)</f>
        <v/>
      </c>
      <c r="FR7" s="164">
        <f>$DJ7+$DO7</f>
        <v/>
      </c>
      <c r="FS7" s="164">
        <f>$DK7+$DP7</f>
        <v/>
      </c>
      <c r="FT7" s="164">
        <f>$DL7+$DQ7</f>
        <v/>
      </c>
      <c r="FU7" s="164">
        <f>$DM7+$DR7</f>
        <v/>
      </c>
      <c r="FV7" s="164">
        <f>$DN7+$DS7</f>
        <v/>
      </c>
      <c r="FW7" s="164">
        <f>SUM($DJ7:$DN7)</f>
        <v/>
      </c>
      <c r="FX7" s="164">
        <f>9+$FY7</f>
        <v/>
      </c>
      <c r="FY7" s="164">
        <f>COUNTIF($F$2:$F$8,"&lt;="&amp;$FO7)</f>
        <v/>
      </c>
      <c r="FZ7" s="164">
        <f>MAX(0,$DJ7-3)+MAX(0,$DK7-3)+MAX(0,$DL7-3)+MAX(0,$DM7-3)+MAX(0,$DN7-3)</f>
        <v/>
      </c>
      <c r="GA7" s="164">
        <f>IFERROR(INDEX($FR7:$FV7,1,MATCH($DT7,$BU$2:$BU$6,0)),"")</f>
        <v/>
      </c>
      <c r="GB7" s="164">
        <f>IF($GA7="","",$GA7+$DB$3+$DW7)</f>
        <v/>
      </c>
      <c r="GC7" s="164">
        <f>IF($GA7="","",8+$GA7+$DB$3+$DX7)</f>
        <v/>
      </c>
      <c r="GD7" s="164">
        <f>10+$FS7+$DB$7+$DY7</f>
        <v/>
      </c>
      <c r="GE7" s="164">
        <f>IF(IFERROR(VLOOKUP(SUBSTITUTE(SUBSTITUTE(SUBSTITUTE($DF7,"~","~~"),"*","~*"),"?","~?"),'DADOS_ENTIDADES'!$M$2:$P$16,2,FALSE),0)=1,1,0)</f>
        <v/>
      </c>
      <c r="GF7" s="164">
        <f>5+$FT7+(3+$GE7+$FT7)*($FO7-1)+$DZ7</f>
        <v/>
      </c>
      <c r="GG7" s="164">
        <f>IF($FM7=0,"",$GF7)</f>
        <v/>
      </c>
      <c r="GH7" s="164">
        <f>IF($EF7="",$GF7,MAX(0,MIN(IFERROR(VALUE($EF7),$GF7),$GF7)))</f>
        <v/>
      </c>
      <c r="GI7" s="164">
        <f>IF(AND($FM7=1,$EJ7&lt;&gt;"Sem alma"),MAX(1,INT($GF7/2)),"")</f>
        <v/>
      </c>
      <c r="GJ7" s="164">
        <f>$GI7</f>
        <v/>
      </c>
      <c r="GK7" s="164">
        <f>IF($GI7="","",IF($EK7="",$GI7,MAX(0,MIN(IFERROR(VALUE($EK7),$GI7),$GI7))))</f>
        <v/>
      </c>
      <c r="GL7" s="164">
        <f>IF($FM7=0,"",IF($GI7="","—",$GI7))</f>
        <v/>
      </c>
      <c r="GM7" s="164">
        <f>IF($FM7=0,"",IF($GI7="","Sem alma · imune a dano de Alma",IF($GK7&lt;=0,"Estágio 4 · caída, como a zero de vida",IF($GK7&lt;=$GI7/4,"Estágio 3 · desvantagem em ataques e TRs, Classe pela metade",IF($GK7&lt;=$GI7/2,"Estágio 2 · metade do deslocamento, +1 PE por Classe",IF($GK7&lt;=$GI7*3/4,"Estágio 1 · desvantagem em perícias","Alma inteira"))))))</f>
        <v/>
      </c>
      <c r="GN7" s="164">
        <f>9+$EA7</f>
        <v/>
      </c>
      <c r="GO7" s="164">
        <f>IF($DU7="Destreza",$FS7,$FR7)</f>
        <v/>
      </c>
      <c r="GP7" s="164">
        <f>$GO7+IF($DV7="Físico",$DB$3,0)+$EB7</f>
        <v/>
      </c>
      <c r="GQ7" s="164">
        <f>$FT7+IF($DV7="Vigor",$DB$3,0)+$EC7</f>
        <v/>
      </c>
      <c r="GR7" s="164">
        <f>$FU7+IF($DV7="Intelecto",$DB$3,0)+$ED7</f>
        <v/>
      </c>
      <c r="GS7" s="164">
        <f>$FV7+IF($DV7="Espírito",$DB$3,0)+$EE7</f>
        <v/>
      </c>
      <c r="GT7" s="164">
        <f>4+INT($DM7/2)</f>
        <v/>
      </c>
      <c r="GU7" s="164">
        <f>COUNTIF($EQ7:$EW7,"?*")</f>
        <v/>
      </c>
      <c r="GV7" s="164">
        <f>INT((2+$FO7/2)/2)</f>
        <v/>
      </c>
      <c r="GW7" s="164">
        <f>IF($FO7&gt;=11,2,1)</f>
        <v/>
      </c>
      <c r="GX7" s="164">
        <f>1+$FY7</f>
        <v/>
      </c>
      <c r="GY7" s="164">
        <f>COUNTIF($EX7:$FE7,"?*")</f>
        <v/>
      </c>
      <c r="GZ7" s="164">
        <f>IF(AND(IFERROR(VLOOKUP(SUBSTITUTE(SUBSTITUTE(SUBSTITUTE($DF7,"~","~~"),"*","~*"),"?","~?"),'DADOS_ENTIDADES'!$M$2:$P$16,3,FALSE),0)=1,$DI7="Com carga"),MAX(1,CEILING($FP7/2,1)),$FP7)</f>
        <v/>
      </c>
      <c r="HA7" s="164">
        <f>2*$FP7</f>
        <v/>
      </c>
      <c r="HB7" s="164">
        <f>$FO7*(1+INT($DN7/3))</f>
        <v/>
      </c>
      <c r="HC7" s="164">
        <f>5+$FR7</f>
        <v/>
      </c>
      <c r="HD7" s="164">
        <f>(COUNTIF($EL7:$EP7,"?*")+COUNTIF($QV7:$QY7,"?*"))</f>
        <v/>
      </c>
      <c r="HE7" s="164">
        <f>IF($EL7="",0,IF((COUNTIF($EL7:$EP7,$EL7)+COUNTIF($QV7:$QY7,$EL7))&gt;1,1,0))+IF($EM7="",0,IF((COUNTIF($EL7:$EP7,$EM7)+COUNTIF($QV7:$QY7,$EM7))&gt;1,1,0))+IF($EN7="",0,IF((COUNTIF($EL7:$EP7,$EN7)+COUNTIF($QV7:$QY7,$EN7))&gt;1,1,0))+IF($EO7="",0,IF((COUNTIF($EL7:$EP7,$EO7)+COUNTIF($QV7:$QY7,$EO7))&gt;1,1,0))+IF($EP7="",0,IF((COUNTIF($EL7:$EP7,$EP7)+COUNTIF($QV7:$QY7,$EP7))&gt;1,1,0))+IF($QV$7="",0,IF(COUNTIF($EL7:$EP7,$QV$7)+COUNTIF($QV7:$QY7,$QV$7)&gt;1,1,0))+IF($QW$7="",0,IF(COUNTIF($EL7:$EP7,$QW$7)+COUNTIF($QV7:$QY7,$QW$7)&gt;1,1,0))+IF($QX$7="",0,IF(COUNTIF($EL7:$EP7,$QX$7)+COUNTIF($QV7:$QY7,$QX$7)&gt;1,1,0))+IF($QY$7="",0,IF(COUNTIF($EL7:$EP7,$QY$7)+COUNTIF($QV7:$QY7,$QY$7)&gt;1,1,0))</f>
        <v/>
      </c>
      <c r="HF7" s="164">
        <f>IF(DADOS_INVOC!$DB$4="Invocação Principal",'CONFIGURAÇÃO'!$H$143,IF(OR(DADOS_INVOC!$DB$4="Parceria",DADOS_INVOC!$DB$4="Múltiplas Invocações"),'CONFIGURAÇÃO'!$H$141,'CONFIGURAÇÃO'!$H$139))+IF($QZ$7="Não autônoma",'CONFIGURAÇÃO'!$H$145,0)</f>
        <v/>
      </c>
      <c r="HG7" s="164">
        <f>IF($FM7=0,"INVOCAÇÃO 6 · lugar vazio",$DE7&amp;" · "&amp;$DF7&amp;" · nível "&amp;$FO7&amp;" · vida "&amp;$GH7&amp;" de "&amp;$GF7)</f>
        <v/>
      </c>
      <c r="HH7" s="164">
        <f>IF($FM7=0,"VAZIA",UPPER($DE7))</f>
        <v/>
      </c>
      <c r="HI7" s="164">
        <f>IF($DB$3&gt;=0,"+","−")&amp;ABS($DB$3)</f>
        <v/>
      </c>
      <c r="HJ7" s="164">
        <f>$GZ7&amp;" PE"</f>
        <v/>
      </c>
      <c r="HK7" s="164">
        <f>$HA7&amp;" PE"</f>
        <v/>
      </c>
      <c r="HL7" s="164">
        <f>IF(OR($FW7&gt;$FX7,$FZ7&gt;$FY7),"⚠ ",IF(AND($FM7=1,$FW7&lt;$FX7),"! ",""))&amp;"ATRIBUTOS · "&amp;$FW7&amp;" DE "&amp;$FX7&amp;" PONTOS"&amp;IF($FZ7&gt;$FY7," · ACIMA DE 3 SÓ COM MARCO","")</f>
        <v/>
      </c>
      <c r="HM7" s="164">
        <f>IF($GB7="","",IF($GB7&gt;=0,"+","−")&amp;ABS($GB7))</f>
        <v/>
      </c>
      <c r="HN7" s="164">
        <f>IF($GC7="","",$GC7)</f>
        <v/>
      </c>
      <c r="HO7" s="164">
        <f>SUBSTITUTE(IF($EI7&gt;2*$HC7,0,IF($EI7&gt;$HC7,$GN7/2,$GN7))&amp;" m",".",",")</f>
        <v/>
      </c>
      <c r="HP7" s="164">
        <f>IF($GP7&gt;=0,"+","−")&amp;ABS($GP7)</f>
        <v/>
      </c>
      <c r="HQ7" s="164">
        <f>IF($GQ7&gt;=0,"+","−")&amp;ABS($GQ7)</f>
        <v/>
      </c>
      <c r="HR7" s="164">
        <f>IF($GR7&gt;=0,"+","−")&amp;ABS($GR7)</f>
        <v/>
      </c>
      <c r="HS7" s="164">
        <f>IF($GS7&gt;=0,"+","−")&amp;ABS($GS7)</f>
        <v/>
      </c>
      <c r="HT7" s="164">
        <f>IF($GU7&gt;$GT7,"⚠ ","")&amp;"PERÍCIAS · "&amp;$GU7&amp;" DE "&amp;$GT7</f>
        <v/>
      </c>
      <c r="HU7" s="164">
        <f>IF($EQ7="","",IFERROR(IF((INDEX($FR7:$FV7,1,MATCH(VLOOKUP(SUBSTITUTE(SUBSTITUTE(SUBSTITUTE($EQ7,"~","~~"),"*","~*"),"?","~?"),'DADOS_PROGRESSAO'!$AG$2:$AH$34,2,FALSE),$BU$2:$BU$6,0))+$DB$3)&gt;=0,"+","−")&amp;ABS((INDEX($FR7:$FV7,1,MATCH(VLOOKUP(SUBSTITUTE(SUBSTITUTE(SUBSTITUTE($EQ7,"~","~~"),"*","~*"),"?","~?"),'DADOS_PROGRESSAO'!$AG$2:$AH$34,2,FALSE),$BU$2:$BU$6,0))+$DB$3)),""))</f>
        <v/>
      </c>
      <c r="HV7" s="164">
        <f>IF($ER7="","",IFERROR(IF((INDEX($FR7:$FV7,1,MATCH(VLOOKUP(SUBSTITUTE(SUBSTITUTE(SUBSTITUTE($ER7,"~","~~"),"*","~*"),"?","~?"),'DADOS_PROGRESSAO'!$AG$2:$AH$34,2,FALSE),$BU$2:$BU$6,0))+$DB$3)&gt;=0,"+","−")&amp;ABS((INDEX($FR7:$FV7,1,MATCH(VLOOKUP(SUBSTITUTE(SUBSTITUTE(SUBSTITUTE($ER7,"~","~~"),"*","~*"),"?","~?"),'DADOS_PROGRESSAO'!$AG$2:$AH$34,2,FALSE),$BU$2:$BU$6,0))+$DB$3)),""))</f>
        <v/>
      </c>
      <c r="HW7" s="164">
        <f>IF($ES7="","",IFERROR(IF((INDEX($FR7:$FV7,1,MATCH(VLOOKUP(SUBSTITUTE(SUBSTITUTE(SUBSTITUTE($ES7,"~","~~"),"*","~*"),"?","~?"),'DADOS_PROGRESSAO'!$AG$2:$AH$34,2,FALSE),$BU$2:$BU$6,0))+$DB$3)&gt;=0,"+","−")&amp;ABS((INDEX($FR7:$FV7,1,MATCH(VLOOKUP(SUBSTITUTE(SUBSTITUTE(SUBSTITUTE($ES7,"~","~~"),"*","~*"),"?","~?"),'DADOS_PROGRESSAO'!$AG$2:$AH$34,2,FALSE),$BU$2:$BU$6,0))+$DB$3)),""))</f>
        <v/>
      </c>
      <c r="HX7" s="164">
        <f>IF($ET7="","",IFERROR(IF((INDEX($FR7:$FV7,1,MATCH(VLOOKUP(SUBSTITUTE(SUBSTITUTE(SUBSTITUTE($ET7,"~","~~"),"*","~*"),"?","~?"),'DADOS_PROGRESSAO'!$AG$2:$AH$34,2,FALSE),$BU$2:$BU$6,0))+$DB$3)&gt;=0,"+","−")&amp;ABS((INDEX($FR7:$FV7,1,MATCH(VLOOKUP(SUBSTITUTE(SUBSTITUTE(SUBSTITUTE($ET7,"~","~~"),"*","~*"),"?","~?"),'DADOS_PROGRESSAO'!$AG$2:$AH$34,2,FALSE),$BU$2:$BU$6,0))+$DB$3)),""))</f>
        <v/>
      </c>
      <c r="HY7" s="164">
        <f>IF($EU7="","",IFERROR(IF((INDEX($FR7:$FV7,1,MATCH(VLOOKUP(SUBSTITUTE(SUBSTITUTE(SUBSTITUTE($EU7,"~","~~"),"*","~*"),"?","~?"),'DADOS_PROGRESSAO'!$AG$2:$AH$34,2,FALSE),$BU$2:$BU$6,0))+$DB$3)&gt;=0,"+","−")&amp;ABS((INDEX($FR7:$FV7,1,MATCH(VLOOKUP(SUBSTITUTE(SUBSTITUTE(SUBSTITUTE($EU7,"~","~~"),"*","~*"),"?","~?"),'DADOS_PROGRESSAO'!$AG$2:$AH$34,2,FALSE),$BU$2:$BU$6,0))+$DB$3)),""))</f>
        <v/>
      </c>
      <c r="HZ7" s="164">
        <f>IF($EV7="","",IFERROR(IF((INDEX($FR7:$FV7,1,MATCH(VLOOKUP(SUBSTITUTE(SUBSTITUTE(SUBSTITUTE($EV7,"~","~~"),"*","~*"),"?","~?"),'DADOS_PROGRESSAO'!$AG$2:$AH$34,2,FALSE),$BU$2:$BU$6,0))+$DB$3)&gt;=0,"+","−")&amp;ABS((INDEX($FR7:$FV7,1,MATCH(VLOOKUP(SUBSTITUTE(SUBSTITUTE(SUBSTITUTE($EV7,"~","~~"),"*","~*"),"?","~?"),'DADOS_PROGRESSAO'!$AG$2:$AH$34,2,FALSE),$BU$2:$BU$6,0))+$DB$3)),""))</f>
        <v/>
      </c>
      <c r="IA7" s="164">
        <f>IF($EW7="","",IFERROR(IF((INDEX($FR7:$FV7,1,MATCH(VLOOKUP(SUBSTITUTE(SUBSTITUTE(SUBSTITUTE($EW7,"~","~~"),"*","~*"),"?","~?"),'DADOS_PROGRESSAO'!$AG$2:$AH$34,2,FALSE),$BU$2:$BU$6,0))+$DB$3)&gt;=0,"+","−")&amp;ABS((INDEX($FR7:$FV7,1,MATCH(VLOOKUP(SUBSTITUTE(SUBSTITUTE(SUBSTITUTE($EW7,"~","~~"),"*","~*"),"?","~?"),'DADOS_PROGRESSAO'!$AG$2:$AH$34,2,FALSE),$BU$2:$BU$6,0))+$DB$3)),""))</f>
        <v/>
      </c>
      <c r="IB7" s="164">
        <f>IF(IFERROR(VLOOKUP(SUBSTITUTE(SUBSTITUTE(SUBSTITUTE($DF7,"~","~~"),"*","~*"),"?","~?"),'DADOS_ENTIDADES'!$M$2:$P$16,4,FALSE),0)=1,"RESERVA · MÁX. "&amp;$HB7,"RESERVA DE PE")</f>
        <v/>
      </c>
      <c r="IC7" s="164">
        <f>IF($EI7&gt;2*$HC7,"⚠ ",IF($EI7&gt;$HC7,"! ",""))&amp;"EQUIPAMENTO · "&amp;$EI7&amp;" DE "&amp;$HC7&amp;" DE VOLUME"&amp;IF($EI7&gt;2*$HC7," · PASSOU DO DOBRO",IF($EI7&gt;$HC7," · ACIMA DO LIMITE",""))</f>
        <v/>
      </c>
      <c r="ID7" s="164">
        <f>IF(OR($HE7&gt;0,$HD7&gt;$HF7),"⚠ ","")&amp;"FAMÍLIAS · "&amp;$HD7&amp;" ABERTAS"&amp;IF($HE7&gt;0," · REPETIDA","")&amp;IF($HD7&gt;$HF7," · O LIMITE É "&amp;$HF7,"")&amp;IF(OR($RA$7&gt;$HF$7,$HF$7&gt;9)," · LIMITES INCOMPATÍVEIS","")</f>
        <v/>
      </c>
      <c r="IE7" s="164">
        <f>"HABILIDADES · básica de "&amp;$FQ7&amp;"d6 · "&amp;$GV7&amp;IF($GV7&gt;1," espaços"," espaço")&amp;" de especial até a Classe "&amp;$FP7&amp;" · "&amp;$GX7&amp;IF($GX7&gt;1," talentos"," talento")</f>
        <v/>
      </c>
      <c r="IF7" s="164">
        <f>IF($GY7&gt;$GX7,"⚠ ","")&amp;"TALENTOS · "&amp;$GY7&amp;" DE "&amp;$GX7</f>
        <v/>
      </c>
      <c r="IG7" s="164">
        <f>IFERROR(VLOOKUP(SUBSTITUTE(SUBSTITUTE(SUBSTITUTE($EX7,"~","~~"),"*","~*"),"?","~?"),'DADOS_ENTIDADES'!$AI$2:$AL$35,2,FALSE),0)</f>
        <v/>
      </c>
      <c r="IH7" s="164">
        <f>IFERROR(VLOOKUP(SUBSTITUTE(SUBSTITUTE(SUBSTITUTE($EY7,"~","~~"),"*","~*"),"?","~?"),'DADOS_ENTIDADES'!$AI$2:$AL$35,2,FALSE),0)</f>
        <v/>
      </c>
      <c r="II7" s="164">
        <f>IFERROR(VLOOKUP(SUBSTITUTE(SUBSTITUTE(SUBSTITUTE($EZ7,"~","~~"),"*","~*"),"?","~?"),'DADOS_ENTIDADES'!$AI$2:$AL$35,2,FALSE),0)</f>
        <v/>
      </c>
      <c r="IJ7" s="164">
        <f>IFERROR(VLOOKUP(SUBSTITUTE(SUBSTITUTE(SUBSTITUTE($FA7,"~","~~"),"*","~*"),"?","~?"),'DADOS_ENTIDADES'!$AI$2:$AL$35,2,FALSE),0)</f>
        <v/>
      </c>
      <c r="IK7" s="164">
        <f>IFERROR(VLOOKUP(SUBSTITUTE(SUBSTITUTE(SUBSTITUTE($FB7,"~","~~"),"*","~*"),"?","~?"),'DADOS_ENTIDADES'!$AI$2:$AL$35,2,FALSE),0)</f>
        <v/>
      </c>
      <c r="IL7" s="164">
        <f>IFERROR(VLOOKUP(SUBSTITUTE(SUBSTITUTE(SUBSTITUTE($FC7,"~","~~"),"*","~*"),"?","~?"),'DADOS_ENTIDADES'!$AI$2:$AL$35,2,FALSE),0)</f>
        <v/>
      </c>
      <c r="IM7" s="164">
        <f>IFERROR(VLOOKUP(SUBSTITUTE(SUBSTITUTE(SUBSTITUTE($FD7,"~","~~"),"*","~*"),"?","~?"),'DADOS_ENTIDADES'!$AI$2:$AL$35,2,FALSE),0)</f>
        <v/>
      </c>
      <c r="IN7" s="164">
        <f>IFERROR(VLOOKUP(SUBSTITUTE(SUBSTITUTE(SUBSTITUTE($FE7,"~","~~"),"*","~*"),"?","~?"),'DADOS_ENTIDADES'!$AI$2:$AL$35,2,FALSE),0)</f>
        <v/>
      </c>
      <c r="IO7" s="164">
        <f>IF($EX7="","",IF(1&gt;$FO7,"⚠ Este talento abre no nível 1",IF($IG7&gt;1,"⚠ Categoria "&amp;$IG7&amp;": este ganho vai até a 1 · ","")&amp;IFERROR(VLOOKUP(SUBSTITUTE(SUBSTITUTE(SUBSTITUTE($EX7,"~","~~"),"*","~*"),"?","~?"),'DADOS_ENTIDADES'!$AI$2:$AL$35,3,FALSE),"")))</f>
        <v/>
      </c>
      <c r="IP7" s="164">
        <f>IF($EY7="","",IF(6&gt;$FO7,"⚠ Este talento abre no nível 6",IF($IH7&gt;1,"⚠ Categoria "&amp;$IH7&amp;": este ganho vai até a 1 · ","")&amp;IFERROR(VLOOKUP(SUBSTITUTE(SUBSTITUTE(SUBSTITUTE($EY7,"~","~~"),"*","~*"),"?","~?"),'DADOS_ENTIDADES'!$AI$2:$AL$35,3,FALSE),"")))</f>
        <v/>
      </c>
      <c r="IQ7" s="164">
        <f>IF($EZ7="","",IF(10&gt;$FO7,"⚠ Este talento abre no nível 10",IF($II7&gt;2,"⚠ Categoria "&amp;$II7&amp;": este ganho vai até a 2 · ","")&amp;IFERROR(VLOOKUP(SUBSTITUTE(SUBSTITUTE(SUBSTITUTE($EZ7,"~","~~"),"*","~*"),"?","~?"),'DADOS_ENTIDADES'!$AI$2:$AL$35,3,FALSE),"")))</f>
        <v/>
      </c>
      <c r="IR7" s="164">
        <f>IF($FA7="","",IF(14&gt;$FO7,"⚠ Este talento abre no nível 14",IF($IJ7&gt;3,"⚠ Categoria "&amp;$IJ7&amp;": este ganho vai até a 3 · ","")&amp;IFERROR(VLOOKUP(SUBSTITUTE(SUBSTITUTE(SUBSTITUTE($FA7,"~","~~"),"*","~*"),"?","~?"),'DADOS_ENTIDADES'!$AI$2:$AL$35,3,FALSE),"")))</f>
        <v/>
      </c>
      <c r="IS7" s="164">
        <f>IF($FB7="","",IF(18&gt;$FO7,"⚠ Este talento abre no nível 18",IF($IK7&gt;3,"⚠ Categoria "&amp;$IK7&amp;": este ganho vai até a 3 · ","")&amp;IFERROR(VLOOKUP(SUBSTITUTE(SUBSTITUTE(SUBSTITUTE($FB7,"~","~~"),"*","~*"),"?","~?"),'DADOS_ENTIDADES'!$AI$2:$AL$35,3,FALSE),"")))</f>
        <v/>
      </c>
      <c r="IT7" s="164">
        <f>IF($FC7="","",IF(22&gt;$FO7,"⚠ Este talento abre no nível 22",IF($IL7&gt;3,"⚠ Categoria "&amp;$IL7&amp;": este ganho vai até a 3 · ","")&amp;IFERROR(VLOOKUP(SUBSTITUTE(SUBSTITUTE(SUBSTITUTE($FC7,"~","~~"),"*","~*"),"?","~?"),'DADOS_ENTIDADES'!$AI$2:$AL$35,3,FALSE),"")))</f>
        <v/>
      </c>
      <c r="IU7" s="164">
        <f>IF($FD7="","",IF(26&gt;$FO7,"⚠ Este talento abre no nível 26",IF($IM7&gt;3,"⚠ Categoria "&amp;$IM7&amp;": este ganho vai até a 3 · ","")&amp;IFERROR(VLOOKUP(SUBSTITUTE(SUBSTITUTE(SUBSTITUTE($FD7,"~","~~"),"*","~*"),"?","~?"),'DADOS_ENTIDADES'!$AI$2:$AL$35,3,FALSE),"")))</f>
        <v/>
      </c>
      <c r="IV7" s="164">
        <f>IF($FE7="","",IF(30&gt;$FO7,"⚠ Este talento abre no nível 30",IF($IN7&gt;3,"⚠ Categoria "&amp;$IN7&amp;": este ganho vai até a 3 · ","")&amp;IFERROR(VLOOKUP(SUBSTITUTE(SUBSTITUTE(SUBSTITUTE($FE7,"~","~~"),"*","~*"),"?","~?"),'DADOS_ENTIDADES'!$AI$2:$AL$35,3,FALSE),"")))</f>
        <v/>
      </c>
      <c r="IW7" s="164">
        <f>IF($FF7="","",IFERROR(VLOOKUP(SUBSTITUTE(SUBSTITUTE(SUBSTITUTE($FF7,"~","~~"),"*","~*"),"?","~?"),'DADOS_ENTIDADES'!$AI$2:$AL$35,3,FALSE),""))</f>
        <v/>
      </c>
      <c r="IX7" s="164">
        <f>IF($FG7="","",IFERROR(VLOOKUP(SUBSTITUTE(SUBSTITUTE(SUBSTITUTE($FG7,"~","~~"),"*","~*"),"?","~?"),'DADOS_ENTIDADES'!$AI$2:$AL$35,3,FALSE),""))</f>
        <v/>
      </c>
      <c r="IY7" s="164">
        <f>IF($FH7="","",IFERROR(VLOOKUP(SUBSTITUTE(SUBSTITUTE(SUBSTITUTE($FH7,"~","~~"),"*","~*"),"?","~?"),'DADOS_ENTIDADES'!$AI$2:$AL$35,3,FALSE),""))</f>
        <v/>
      </c>
      <c r="IZ7" s="164">
        <f>CEILING(4.5*$FI7,1)&amp;" PE"</f>
        <v/>
      </c>
      <c r="JA7" s="164">
        <f>CEILING(4.5*$FJ7,1)&amp;" PE"</f>
        <v/>
      </c>
      <c r="JB7" s="164">
        <f>CEILING(4.5*$FK7,1)&amp;" PE"</f>
        <v/>
      </c>
      <c r="JC7" s="164">
        <f>INDEX($P$2:$P$8,$FI7)&amp;" pontos + "&amp;$FI7&amp;"d8"</f>
        <v/>
      </c>
      <c r="JD7" s="164">
        <f>INDEX($P$2:$P$8,$FJ7)&amp;" pontos + "&amp;$FJ7&amp;"d8"</f>
        <v/>
      </c>
      <c r="JE7" s="164">
        <f>INDEX($P$2:$P$8,$FK7)&amp;" pontos + "&amp;$FK7&amp;"d8"</f>
        <v/>
      </c>
      <c r="JF7" s="164">
        <f>IF($FO7&lt;17,"—",VLOOKUP($FO7,$CP$2:$CS$4,4,TRUE)&amp;" PE")</f>
        <v/>
      </c>
      <c r="JG7" s="164">
        <f>IF($FO7&lt;17,"Abre no nível 17",VLOOKUP($FO7,$CP$2:$CS$4,2,TRUE)&amp;" fixos · "&amp;VLOOKUP($FO7,$CP$2:$CS$4,3,TRUE)&amp;" pontos")</f>
        <v/>
      </c>
      <c r="JH7" s="164">
        <f>IF($FL7="Sem Barreiras",7,6)*$FP7&amp;" PE"</f>
        <v/>
      </c>
      <c r="JI7" s="164">
        <f>"Acerto "&amp;MAX(0,INDEX($P$2:$P$8,$FP7)-INDEX($I$2:$N$8,$FP7,2+3*IF(AND(IFERROR(VLOOKUP(SUBSTITUTE(SUBSTITUTE(SUBSTITUTE("Inescapável","~","~~"),"*","~*"),"?","~?"),'DADOS_MELHORIAS'!$AG$2:$AL$113,2,FALSE),"")&lt;&gt;"",COUNTIF($RB$7:$RJ$7,IFERROR(VLOOKUP(SUBSTITUTE(SUBSTITUTE(SUBSTITUTE("Inescapável","~","~~"),"*","~*"),"?","~?"),'DADOS_MELHORIAS'!$AG$2:$AL$113,2,FALSE),""))&gt;0),1,0)))&amp;"d8"</f>
        <v/>
      </c>
      <c r="JJ7" s="164">
        <f>IFERROR(VLOOKUP($FL7,$CU$2:$CW$4,3,FALSE),"Escolha o degrau")</f>
        <v/>
      </c>
      <c r="JK7" s="164">
        <f>6&amp;" · "&amp;IF($FM7=0,"vazia",$DE7&amp;" · nv "&amp;$FO7&amp;" · "&amp;$GH7&amp;"/"&amp;$GF7)</f>
        <v/>
      </c>
      <c r="JO7" s="162" t="inlineStr">
        <is>
          <t>Invocação 6</t>
        </is>
      </c>
      <c r="JP7" s="164">
        <f>ADDRESS(ROW('INVOCAÇÕES'!D26),COLUMN('INVOCAÇÕES'!D26),4)</f>
        <v/>
      </c>
      <c r="JQ7" s="164">
        <f>ADDRESS(ROW('INVOCAÇÕES'!H1064),COLUMN('INVOCAÇÕES'!H1064),4)</f>
        <v/>
      </c>
      <c r="JR7" s="162" t="inlineStr">
        <is>
          <t>DADOS_INVOC!$JK$7</t>
        </is>
      </c>
      <c r="JT7" s="164">
        <f>IF(OR($AW7="",(COUNTIF($EL$2:$EP$2,$AW7)+COUNTIF($QV$2:$QY$2,$AW7))&gt;0),$AV7,"")</f>
        <v/>
      </c>
      <c r="JU7" s="164">
        <f>IF(AND($AX7=1,OR($AW7="",(COUNTIF($EL$2:$EP$2,$AW7)+COUNTIF($QV$2:$QY$2,$AW7))&gt;0)),$AV7,"")</f>
        <v/>
      </c>
      <c r="JW7" s="164">
        <f>IF(OR($W7="",(COUNTIF($EL$2:$EP$2,$W7)+COUNTIF($QV$2:$QY$2,$W7))&gt;0),$V7,"")</f>
        <v/>
      </c>
      <c r="JX7" s="164">
        <f>IF(AND($AF7=1,OR($W7="",(COUNTIF($EL$2:$EP$2,$W7)+COUNTIF($QV$2:$QY$2,$W7))&gt;0)),$V7,"")</f>
        <v/>
      </c>
      <c r="JZ7" s="164">
        <f>IF(OR($AW7="",(COUNTIF($EL$3:$EP$3,$AW7)+COUNTIF($QV$3:$QY$3,$AW7))&gt;0),$AV7,"")</f>
        <v/>
      </c>
      <c r="KA7" s="164">
        <f>IF(AND($AX7=1,OR($AW7="",(COUNTIF($EL$3:$EP$3,$AW7)+COUNTIF($QV$3:$QY$3,$AW7))&gt;0)),$AV7,"")</f>
        <v/>
      </c>
      <c r="KC7" s="164">
        <f>IF(OR($W7="",(COUNTIF($EL$3:$EP$3,$W7)+COUNTIF($QV$3:$QY$3,$W7))&gt;0),$V7,"")</f>
        <v/>
      </c>
      <c r="KD7" s="164">
        <f>IF(AND($AF7=1,OR($W7="",(COUNTIF($EL$3:$EP$3,$W7)+COUNTIF($QV$3:$QY$3,$W7))&gt;0)),$V7,"")</f>
        <v/>
      </c>
      <c r="KF7" s="164">
        <f>IF(OR($AW7="",(COUNTIF($EL$4:$EP$4,$AW7)+COUNTIF($QV$4:$QY$4,$AW7))&gt;0),$AV7,"")</f>
        <v/>
      </c>
      <c r="KG7" s="164">
        <f>IF(AND($AX7=1,OR($AW7="",(COUNTIF($EL$4:$EP$4,$AW7)+COUNTIF($QV$4:$QY$4,$AW7))&gt;0)),$AV7,"")</f>
        <v/>
      </c>
      <c r="KI7" s="164">
        <f>IF(OR($W7="",(COUNTIF($EL$4:$EP$4,$W7)+COUNTIF($QV$4:$QY$4,$W7))&gt;0),$V7,"")</f>
        <v/>
      </c>
      <c r="KJ7" s="164">
        <f>IF(AND($AF7=1,OR($W7="",(COUNTIF($EL$4:$EP$4,$W7)+COUNTIF($QV$4:$QY$4,$W7))&gt;0)),$V7,"")</f>
        <v/>
      </c>
      <c r="KL7" s="164">
        <f>IF(OR($AW7="",(COUNTIF($EL$5:$EP$5,$AW7)+COUNTIF($QV$5:$QY$5,$AW7))&gt;0),$AV7,"")</f>
        <v/>
      </c>
      <c r="KM7" s="164">
        <f>IF(AND($AX7=1,OR($AW7="",(COUNTIF($EL$5:$EP$5,$AW7)+COUNTIF($QV$5:$QY$5,$AW7))&gt;0)),$AV7,"")</f>
        <v/>
      </c>
      <c r="KO7" s="164">
        <f>IF(OR($W7="",(COUNTIF($EL$5:$EP$5,$W7)+COUNTIF($QV$5:$QY$5,$W7))&gt;0),$V7,"")</f>
        <v/>
      </c>
      <c r="KP7" s="164">
        <f>IF(AND($AF7=1,OR($W7="",(COUNTIF($EL$5:$EP$5,$W7)+COUNTIF($QV$5:$QY$5,$W7))&gt;0)),$V7,"")</f>
        <v/>
      </c>
      <c r="KR7" s="164">
        <f>IF(OR($AW7="",(COUNTIF($EL$6:$EP$6,$AW7)+COUNTIF($QV$6:$QY$6,$AW7))&gt;0),$AV7,"")</f>
        <v/>
      </c>
      <c r="KS7" s="164">
        <f>IF(AND($AX7=1,OR($AW7="",(COUNTIF($EL$6:$EP$6,$AW7)+COUNTIF($QV$6:$QY$6,$AW7))&gt;0)),$AV7,"")</f>
        <v/>
      </c>
      <c r="KU7" s="164">
        <f>IF(OR($W7="",(COUNTIF($EL$6:$EP$6,$W7)+COUNTIF($QV$6:$QY$6,$W7))&gt;0),$V7,"")</f>
        <v/>
      </c>
      <c r="KV7" s="164">
        <f>IF(AND($AF7=1,OR($W7="",(COUNTIF($EL$6:$EP$6,$W7)+COUNTIF($QV$6:$QY$6,$W7))&gt;0)),$V7,"")</f>
        <v/>
      </c>
      <c r="KX7" s="164">
        <f>IF(OR($AW7="",(COUNTIF($EL$7:$EP$7,$AW7)+COUNTIF($QV$7:$QY$7,$AW7))&gt;0),$AV7,"")</f>
        <v/>
      </c>
      <c r="KY7" s="164">
        <f>IF(AND($AX7=1,OR($AW7="",(COUNTIF($EL$7:$EP$7,$AW7)+COUNTIF($QV$7:$QY$7,$AW7))&gt;0)),$AV7,"")</f>
        <v/>
      </c>
      <c r="LA7" s="164">
        <f>IF(OR($W7="",(COUNTIF($EL$7:$EP$7,$W7)+COUNTIF($QV$7:$QY$7,$W7))&gt;0),$V7,"")</f>
        <v/>
      </c>
      <c r="LB7" s="164">
        <f>IF(AND($AF7=1,OR($W7="",(COUNTIF($EL$7:$EP$7,$W7)+COUNTIF($QV$7:$QY$7,$W7))&gt;0)),$V7,"")</f>
        <v/>
      </c>
      <c r="LD7" s="164">
        <f>IF(OR($AW7="",(COUNTIF($EL$8:$EP$8,$AW7)+COUNTIF($QV$8:$QY$8,$AW7))&gt;0),$AV7,"")</f>
        <v/>
      </c>
      <c r="LE7" s="164">
        <f>IF(AND($AX7=1,OR($AW7="",(COUNTIF($EL$8:$EP$8,$AW7)+COUNTIF($QV$8:$QY$8,$AW7))&gt;0)),$AV7,"")</f>
        <v/>
      </c>
      <c r="LG7" s="164">
        <f>IF(OR($W7="",(COUNTIF($EL$8:$EP$8,$W7)+COUNTIF($QV$8:$QY$8,$W7))&gt;0),$V7,"")</f>
        <v/>
      </c>
      <c r="LH7" s="164">
        <f>IF(AND($AF7=1,OR($W7="",(COUNTIF($EL$8:$EP$8,$W7)+COUNTIF($QV$8:$QY$8,$W7))&gt;0)),$V7,"")</f>
        <v/>
      </c>
      <c r="LJ7" s="164">
        <f>IF(OR($AW7="",(COUNTIF($EL$9:$EP$9,$AW7)+COUNTIF($QV$9:$QY$9,$AW7))&gt;0),$AV7,"")</f>
        <v/>
      </c>
      <c r="LK7" s="164">
        <f>IF(AND($AX7=1,OR($AW7="",(COUNTIF($EL$9:$EP$9,$AW7)+COUNTIF($QV$9:$QY$9,$AW7))&gt;0)),$AV7,"")</f>
        <v/>
      </c>
      <c r="LM7" s="164">
        <f>IF(OR($W7="",(COUNTIF($EL$9:$EP$9,$W7)+COUNTIF($QV$9:$QY$9,$W7))&gt;0),$V7,"")</f>
        <v/>
      </c>
      <c r="LN7" s="164">
        <f>IF(AND($AF7=1,OR($W7="",(COUNTIF($EL$9:$EP$9,$W7)+COUNTIF($QV$9:$QY$9,$W7))&gt;0)),$V7,"")</f>
        <v/>
      </c>
      <c r="LP7" s="164">
        <f>IF(OR($AW7="",(COUNTIF($EL$10:$EP$10,$AW7)+COUNTIF($QV$10:$QY$10,$AW7))&gt;0),$AV7,"")</f>
        <v/>
      </c>
      <c r="LQ7" s="164">
        <f>IF(AND($AX7=1,OR($AW7="",(COUNTIF($EL$10:$EP$10,$AW7)+COUNTIF($QV$10:$QY$10,$AW7))&gt;0)),$AV7,"")</f>
        <v/>
      </c>
      <c r="LS7" s="164">
        <f>IF(OR($W7="",(COUNTIF($EL$10:$EP$10,$W7)+COUNTIF($QV$10:$QY$10,$W7))&gt;0),$V7,"")</f>
        <v/>
      </c>
      <c r="LT7" s="164">
        <f>IF(AND($AF7=1,OR($W7="",(COUNTIF($EL$10:$EP$10,$W7)+COUNTIF($QV$10:$QY$10,$W7))&gt;0)),$V7,"")</f>
        <v/>
      </c>
      <c r="LV7" s="164">
        <f>IF(OR($AW7="",(COUNTIF($EL$11:$EP$11,$AW7)+COUNTIF($QV$11:$QY$11,$AW7))&gt;0),$AV7,"")</f>
        <v/>
      </c>
      <c r="LW7" s="164">
        <f>IF(AND($AX7=1,OR($AW7="",(COUNTIF($EL$11:$EP$11,$AW7)+COUNTIF($QV$11:$QY$11,$AW7))&gt;0)),$AV7,"")</f>
        <v/>
      </c>
      <c r="LY7" s="164">
        <f>IF(OR($W7="",(COUNTIF($EL$11:$EP$11,$W7)+COUNTIF($QV$11:$QY$11,$W7))&gt;0),$V7,"")</f>
        <v/>
      </c>
      <c r="LZ7" s="164">
        <f>IF(AND($AF7=1,OR($W7="",(COUNTIF($EL$11:$EP$11,$W7)+COUNTIF($QV$11:$QY$11,$W7))&gt;0)),$V7,"")</f>
        <v/>
      </c>
      <c r="MB7" s="164">
        <f>IF(OR($AW7="",(COUNTIF($EL$12:$EP$12,$AW7)+COUNTIF($QV$12:$QY$12,$AW7))&gt;0),$AV7,"")</f>
        <v/>
      </c>
      <c r="MC7" s="164">
        <f>IF(AND($AX7=1,OR($AW7="",(COUNTIF($EL$12:$EP$12,$AW7)+COUNTIF($QV$12:$QY$12,$AW7))&gt;0)),$AV7,"")</f>
        <v/>
      </c>
      <c r="ME7" s="164">
        <f>IF(OR($W7="",(COUNTIF($EL$12:$EP$12,$W7)+COUNTIF($QV$12:$QY$12,$W7))&gt;0),$V7,"")</f>
        <v/>
      </c>
      <c r="MF7" s="164">
        <f>IF(AND($AF7=1,OR($W7="",(COUNTIF($EL$12:$EP$12,$W7)+COUNTIF($QV$12:$QY$12,$W7))&gt;0)),$V7,"")</f>
        <v/>
      </c>
      <c r="MH7" s="164">
        <f>IF(OR($AW7="",(COUNTIF($EL$13:$EP$13,$AW7)+COUNTIF($QV$13:$QY$13,$AW7))&gt;0),$AV7,"")</f>
        <v/>
      </c>
      <c r="MI7" s="164">
        <f>IF(AND($AX7=1,OR($AW7="",(COUNTIF($EL$13:$EP$13,$AW7)+COUNTIF($QV$13:$QY$13,$AW7))&gt;0)),$AV7,"")</f>
        <v/>
      </c>
      <c r="MK7" s="164">
        <f>IF(OR($W7="",(COUNTIF($EL$13:$EP$13,$W7)+COUNTIF($QV$13:$QY$13,$W7))&gt;0),$V7,"")</f>
        <v/>
      </c>
      <c r="ML7" s="164">
        <f>IF(AND($AF7=1,OR($W7="",(COUNTIF($EL$13:$EP$13,$W7)+COUNTIF($QV$13:$QY$13,$W7))&gt;0)),$V7,"")</f>
        <v/>
      </c>
      <c r="MN7" s="162" t="inlineStr">
        <is>
          <t>Ficha 1 · Especial 4</t>
        </is>
      </c>
      <c r="MO7" s="164" t="n">
        <v>1</v>
      </c>
      <c r="MP7" s="164" t="n">
        <v>1</v>
      </c>
      <c r="MQ7" s="164" t="n">
        <v>12</v>
      </c>
      <c r="MR7" s="162" t="inlineStr">
        <is>
          <t>ESPECIAL 4</t>
        </is>
      </c>
      <c r="MS7" s="164">
        <f>MAX(1,MIN(7,N('INVOCAÇÕES'!$U$105)))</f>
        <v/>
      </c>
      <c r="MT7" s="164">
        <f>'INVOCAÇÕES'!$V$105&amp;""</f>
        <v/>
      </c>
      <c r="MU7" s="164">
        <f>'INVOCAÇÕES'!$U$110&amp;""</f>
        <v/>
      </c>
      <c r="MV7" s="164">
        <f>'INVOCAÇÕES'!$U$111&amp;""</f>
        <v/>
      </c>
      <c r="MW7" s="164">
        <f>'INVOCAÇÕES'!$W$111&amp;""</f>
        <v/>
      </c>
      <c r="MX7" s="164">
        <f>'INVOCAÇÕES'!$V$114&amp;""</f>
        <v/>
      </c>
      <c r="MY7" s="164">
        <f>'INVOCAÇÕES'!$V$115&amp;""</f>
        <v/>
      </c>
      <c r="MZ7" s="164">
        <f>'INVOCAÇÕES'!$V$116&amp;""</f>
        <v/>
      </c>
      <c r="NA7" s="164">
        <f>'INVOCAÇÕES'!$V$117&amp;""</f>
        <v/>
      </c>
      <c r="NB7" s="164">
        <f>'INVOCAÇÕES'!$V$118&amp;""</f>
        <v/>
      </c>
      <c r="NC7" s="164">
        <f>'INVOCAÇÕES'!$V$119&amp;""</f>
        <v/>
      </c>
      <c r="ND7" s="164">
        <f>IF($MT7&lt;&gt;"",1,0)</f>
        <v/>
      </c>
      <c r="NE7" s="164">
        <f>INDEX($FO$2:$FO$13,$MO7)</f>
        <v/>
      </c>
      <c r="NF7" s="164">
        <f>INDEX($FP$2:$FP$13,$MO7)</f>
        <v/>
      </c>
      <c r="NG7" s="164">
        <f>INDEX($FQ$2:$FQ$13,$MO7)</f>
        <v/>
      </c>
      <c r="NH7" s="164">
        <f>INDEX($GB$2:$GB$13,$MO7)</f>
        <v/>
      </c>
      <c r="NI7" s="164">
        <f>INDEX($GC$2:$GC$13,$MO7)</f>
        <v/>
      </c>
      <c r="NJ7" s="164">
        <f>IFERROR(MATCH(SUBSTITUTE(SUBSTITUTE(SUBSTITUTE($MU7,"~","~~"),"*","~*"),"?","~?"),'DADOS_FORMAS'!$FZ$2:$FZ$21,0),0)</f>
        <v/>
      </c>
      <c r="NK7" s="164">
        <f>IFERROR(VLOOKUP(SUBSTITUTE(SUBSTITUTE(SUBSTITUTE($MX7,"~","~~"),"*","~*"),"?","~?"),'DADOS_MELHORIAS'!$AG$2:$AL$113,2,FALSE),"")</f>
        <v/>
      </c>
      <c r="NL7" s="164">
        <f>IFERROR(VLOOKUP(SUBSTITUTE(SUBSTITUTE(SUBSTITUTE($MY7,"~","~~"),"*","~*"),"?","~?"),'DADOS_MELHORIAS'!$AG$2:$AL$113,2,FALSE),"")</f>
        <v/>
      </c>
      <c r="NM7" s="164">
        <f>IFERROR(VLOOKUP(SUBSTITUTE(SUBSTITUTE(SUBSTITUTE($MZ7,"~","~~"),"*","~*"),"?","~?"),'DADOS_MELHORIAS'!$AG$2:$AL$113,2,FALSE),"")</f>
        <v/>
      </c>
      <c r="NN7" s="164">
        <f>IFERROR(VLOOKUP(SUBSTITUTE(SUBSTITUTE(SUBSTITUTE($NA7,"~","~~"),"*","~*"),"?","~?"),'DADOS_MELHORIAS'!$AG$2:$AL$113,2,FALSE),"")</f>
        <v/>
      </c>
      <c r="NO7" s="164">
        <f>IFERROR(VLOOKUP(SUBSTITUTE(SUBSTITUTE(SUBSTITUTE($MX7,"~","~~"),"*","~*"),"?","~?"),'DADOS_MELHORIAS'!$AG$2:$AL$113,3,FALSE),0)</f>
        <v/>
      </c>
      <c r="NP7" s="164">
        <f>IFERROR(VLOOKUP(SUBSTITUTE(SUBSTITUTE(SUBSTITUTE($MY7,"~","~~"),"*","~*"),"?","~?"),'DADOS_MELHORIAS'!$AG$2:$AL$113,3,FALSE),0)</f>
        <v/>
      </c>
      <c r="NQ7" s="164">
        <f>IFERROR(VLOOKUP(SUBSTITUTE(SUBSTITUTE(SUBSTITUTE($MZ7,"~","~~"),"*","~*"),"?","~?"),'DADOS_MELHORIAS'!$AG$2:$AL$113,3,FALSE),0)</f>
        <v/>
      </c>
      <c r="NR7" s="164">
        <f>IFERROR(VLOOKUP(SUBSTITUTE(SUBSTITUTE(SUBSTITUTE($NA7,"~","~~"),"*","~*"),"?","~?"),'DADOS_MELHORIAS'!$AG$2:$AL$113,3,FALSE),0)</f>
        <v/>
      </c>
      <c r="NS7" s="164">
        <f>IF($MS7=0,0,IF($NJ7=0,0,INDEX('DADOS_FORMAS'!$GB$2:$GB$21,$NJ7)))</f>
        <v/>
      </c>
      <c r="NT7" s="164">
        <f>IF(OR($NO7=0,$MS7=0),0,$NO7+3*IF(AND($NK7&lt;&gt;"",COUNTIF(INDEX($RB$2:$RJ$13,$MO7,0),$NK7)&gt;0),1,0))</f>
        <v/>
      </c>
      <c r="NU7" s="164">
        <f>IF(OR($NP7=0,$MS7=0),0,$NP7+3*IF(AND($NL7&lt;&gt;"",COUNTIF(INDEX($RB$2:$RJ$13,$MO7,0),$NL7)&gt;0),1,0))</f>
        <v/>
      </c>
      <c r="NV7" s="164">
        <f>IF(OR($NQ7=0,$MS7=0),0,$NQ7+3*IF(AND($NM7&lt;&gt;"",COUNTIF(INDEX($RB$2:$RJ$13,$MO7,0),$NM7)&gt;0),1,0))</f>
        <v/>
      </c>
      <c r="NW7" s="164">
        <f>IF(OR($NR7=0,$MS7=0),0,$NR7+3*IF(AND($NN7&lt;&gt;"",COUNTIF(INDEX($RB$2:$RJ$13,$MO7,0),$NN7)&gt;0),1,0))</f>
        <v/>
      </c>
      <c r="NX7" s="164">
        <f>IF($NJ7=0,0,IF(INDEX('DADOS_FORMAS'!$GA$2:$GA$21,$NJ7)="",0,IF((COUNTIF(INDEX($EL$2:$EP$13,$MO7,0),INDEX('DADOS_FORMAS'!$GA$2:$GA$21,$NJ7))+COUNTIF(INDEX($QV$2:$QY$13,$MO7,0),INDEX('DADOS_FORMAS'!$GA$2:$GA$21,$NJ7)))=0,1,0)))</f>
        <v/>
      </c>
      <c r="NY7" s="164">
        <f>IF(OR($NO7=0,$NK7=""),0,IF((COUNTIF(INDEX($EL$2:$EP$13,$MO7,0),$NK7)+COUNTIF(INDEX($QV$2:$QY$13,$MO7,0),$NK7))=0,1,0))</f>
        <v/>
      </c>
      <c r="NZ7" s="164">
        <f>IF(OR($NP7=0,$NL7=""),0,IF((COUNTIF(INDEX($EL$2:$EP$13,$MO7,0),$NL7)+COUNTIF(INDEX($QV$2:$QY$13,$MO7,0),$NL7))=0,1,0))</f>
        <v/>
      </c>
      <c r="OA7" s="164">
        <f>IF(OR($NQ7=0,$NM7=""),0,IF((COUNTIF(INDEX($EL$2:$EP$13,$MO7,0),$NM7)+COUNTIF(INDEX($QV$2:$QY$13,$MO7,0),$NM7))=0,1,0))</f>
        <v/>
      </c>
      <c r="OB7" s="164">
        <f>IF(OR($NR7=0,$NN7=""),0,IF((COUNTIF(INDEX($EL$2:$EP$13,$MO7,0),$NN7)+COUNTIF(INDEX($QV$2:$QY$13,$MO7,0),$NN7))=0,1,0))</f>
        <v/>
      </c>
      <c r="OC7" s="164">
        <f>IFERROR(VLOOKUP(SUBSTITUTE(SUBSTITUTE(SUBSTITUTE($MX7,"~","~~"),"*","~*"),"?","~?"),'DADOS_MELHORIAS'!$AG$2:$AL$113,4,FALSE),0)+IFERROR(VLOOKUP(SUBSTITUTE(SUBSTITUTE(SUBSTITUTE($MY7,"~","~~"),"*","~*"),"?","~?"),'DADOS_MELHORIAS'!$AG$2:$AL$113,4,FALSE),0)+IFERROR(VLOOKUP(SUBSTITUTE(SUBSTITUTE(SUBSTITUTE($MZ7,"~","~~"),"*","~*"),"?","~?"),'DADOS_MELHORIAS'!$AG$2:$AL$113,4,FALSE),0)+IFERROR(VLOOKUP(SUBSTITUTE(SUBSTITUTE(SUBSTITUTE($NA7,"~","~~"),"*","~*"),"?","~?"),'DADOS_MELHORIAS'!$AG$2:$AL$113,4,FALSE),0)</f>
        <v/>
      </c>
      <c r="OD7" s="164">
        <f>IFERROR(VLOOKUP(SUBSTITUTE(SUBSTITUTE(SUBSTITUTE($MX7,"~","~~"),"*","~*"),"?","~?"),'DADOS_MELHORIAS'!$AG$2:$AL$113,6,FALSE),0)+IFERROR(VLOOKUP(SUBSTITUTE(SUBSTITUTE(SUBSTITUTE($MY7,"~","~~"),"*","~*"),"?","~?"),'DADOS_MELHORIAS'!$AG$2:$AL$113,6,FALSE),0)+IFERROR(VLOOKUP(SUBSTITUTE(SUBSTITUTE(SUBSTITUTE($MZ7,"~","~~"),"*","~*"),"?","~?"),'DADOS_MELHORIAS'!$AG$2:$AL$113,6,FALSE),0)+IFERROR(VLOOKUP(SUBSTITUTE(SUBSTITUTE(SUBSTITUTE($NA7,"~","~~"),"*","~*"),"?","~?"),'DADOS_MELHORIAS'!$AG$2:$AL$113,6,FALSE),0)+IFERROR(N(AND(INDEX('DADOS_FORMAS'!$AO$2:$AO$21,MATCH(SUBSTITUTE(SUBSTITUTE(SUBSTITUTE($MU7,"~","~~"),"*","~*"),"?","~?"),'DADOS_FORMAS'!$AH$2:$AH$21,0))="Acerto",$OH7=1)),0)</f>
        <v/>
      </c>
      <c r="OE7" s="164">
        <f>TEXTJOIN(", ",TRUE,IF(IFERROR(VLOOKUP(SUBSTITUTE(SUBSTITUTE(SUBSTITUTE($MX7,"~","~~"),"*","~*"),"?","~?"),'DADOS_MELHORIAS'!$AG$2:$AL$113,5,FALSE),0)=1,$MX7,""),IF(IFERROR(VLOOKUP(SUBSTITUTE(SUBSTITUTE(SUBSTITUTE($MY7,"~","~~"),"*","~*"),"?","~?"),'DADOS_MELHORIAS'!$AG$2:$AL$113,5,FALSE),0)=1,$MY7,""),IF(IFERROR(VLOOKUP(SUBSTITUTE(SUBSTITUTE(SUBSTITUTE($MZ7,"~","~~"),"*","~*"),"?","~?"),'DADOS_MELHORIAS'!$AG$2:$AL$113,5,FALSE),0)=1,$MZ7,""),IF(IFERROR(VLOOKUP(SUBSTITUTE(SUBSTITUTE(SUBSTITUTE($NA7,"~","~~"),"*","~*"),"?","~?"),'DADOS_MELHORIAS'!$AG$2:$AL$113,5,FALSE),0)=1,$NA7,""))</f>
        <v/>
      </c>
      <c r="OF7" s="164">
        <f>IF($NJ7=0,0,INDEX('DADOS_FORMAS'!$GC$2:$GC$21,$NJ7))</f>
        <v/>
      </c>
      <c r="OG7" s="164">
        <f>IF($NJ7=0,0,INDEX('DADOS_FORMAS'!$GD$2:$GD$21,$NJ7))</f>
        <v/>
      </c>
      <c r="OH7" s="164">
        <f>IF($NJ7=0,0,INDEX('DADOS_FORMAS'!$GF$2:$GF$21,$NJ7))</f>
        <v/>
      </c>
      <c r="OI7" s="164">
        <f>IFERROR(VLOOKUP(SUBSTITUTE(SUBSTITUTE(SUBSTITUTE($NB7,"~","~~"),"*","~*"),"?","~?"),'DADOS_RESTRICOES'!$M$2:$Q$54,3,FALSE),0)</f>
        <v/>
      </c>
      <c r="OJ7" s="164">
        <f>IFERROR(VLOOKUP(SUBSTITUTE(SUBSTITUTE(SUBSTITUTE($NC7,"~","~~"),"*","~*"),"?","~?"),'DADOS_RESTRICOES'!$M$2:$Q$54,3,FALSE),0)</f>
        <v/>
      </c>
      <c r="OK7" s="164">
        <f>IFERROR(VLOOKUP(SUBSTITUTE(SUBSTITUTE(SUBSTITUTE($NB7,"~","~~"),"*","~*"),"?","~?"),'DADOS_RESTRICOES'!$M$2:$Q$54,2,FALSE),"")</f>
        <v/>
      </c>
      <c r="OL7" s="164">
        <f>IFERROR(VLOOKUP(SUBSTITUTE(SUBSTITUTE(SUBSTITUTE($NC7,"~","~~"),"*","~*"),"?","~?"),'DADOS_RESTRICOES'!$M$2:$Q$54,2,FALSE),"")</f>
        <v/>
      </c>
      <c r="OM7" s="164">
        <f>COUNTIF($NS7:$NW7,1)</f>
        <v/>
      </c>
      <c r="ON7" s="164">
        <f>COUNTIF($NS7:$NW7,2)</f>
        <v/>
      </c>
      <c r="OO7" s="164">
        <f>COUNTIF($NS7:$NW7,3)</f>
        <v/>
      </c>
      <c r="OP7" s="164">
        <f>COUNTIF($NS7:$NW7,4)</f>
        <v/>
      </c>
      <c r="OQ7" s="164">
        <f>COUNTIF($NS7:$NW7,5)</f>
        <v/>
      </c>
      <c r="OR7" s="164">
        <f>COUNTIF($NS7:$NW7,6)</f>
        <v/>
      </c>
      <c r="OS7" s="164">
        <f>COUNTIF($OI7:$OJ7,1)+IF(IFERROR(INDEX('DADOS_FORMAS'!$AS$2:$AS$21,MATCH(SUBSTITUTE(SUBSTITUTE(SUBSTITUTE($MU7,"~","~~"),"*","~*"),"?","~?"),'DADOS_FORMAS'!$AH$2:$AH$21,0)),"")="",0,IFERROR(N(VLOOKUP(SUBSTITUTE(SUBSTITUTE(SUBSTITUTE(IFERROR(INDEX('DADOS_FORMAS'!$AS$2:$AS$21,MATCH(SUBSTITUTE(SUBSTITUTE(SUBSTITUTE($MU7,"~","~~"),"*","~*"),"?","~?"),'DADOS_FORMAS'!$AH$2:$AH$21,0)),""),"~","~~"),"*","~*"),"?","~?"),'DADOS_RESTRICOES'!$M$2:$Q$54,3,FALSE)=1),0))</f>
        <v/>
      </c>
      <c r="OT7" s="164">
        <f>COUNTIF($OI7:$OJ7,2)+IF(IFERROR(INDEX('DADOS_FORMAS'!$AS$2:$AS$21,MATCH(SUBSTITUTE(SUBSTITUTE(SUBSTITUTE($MU7,"~","~~"),"*","~*"),"?","~?"),'DADOS_FORMAS'!$AH$2:$AH$21,0)),"")="",0,IFERROR(N(VLOOKUP(SUBSTITUTE(SUBSTITUTE(SUBSTITUTE(IFERROR(INDEX('DADOS_FORMAS'!$AS$2:$AS$21,MATCH(SUBSTITUTE(SUBSTITUTE(SUBSTITUTE($MU7,"~","~~"),"*","~*"),"?","~?"),'DADOS_FORMAS'!$AH$2:$AH$21,0)),""),"~","~~"),"*","~*"),"?","~?"),'DADOS_RESTRICOES'!$M$2:$Q$54,3,FALSE)=2),0))</f>
        <v/>
      </c>
      <c r="OU7" s="164">
        <f>COUNTIF($MX7:$NA7,"?*")</f>
        <v/>
      </c>
      <c r="OV7" s="164">
        <f>COUNTIF($NB7:$NC7,"?*")+$OF7</f>
        <v/>
      </c>
      <c r="OW7" s="164">
        <f>IF($MS7=0,0,SUMPRODUCT($OM7:$OR7,INDEX($I$2:$N$8,MAX(1,$MS7),0)))</f>
        <v/>
      </c>
      <c r="OX7" s="164">
        <f>IF($MS7=0,0,$OS7*CEILING($MS7/2,1)+$OT7*$MS7)</f>
        <v/>
      </c>
      <c r="OY7" s="164">
        <f>MIN(2*$MS7,$OX7)</f>
        <v/>
      </c>
      <c r="OZ7" s="164">
        <f>MIN($OY7,$OW7-IF($NS7=0,0,INDEX($I$2:$N$8,MAX(1,$MS7),$NS7)))</f>
        <v/>
      </c>
      <c r="PA7" s="164">
        <f>$OY7-$OZ7</f>
        <v/>
      </c>
      <c r="PB7" s="164">
        <f>IF($MS7=0,0,INDEX($P$2:$P$8,MAX(1,$MS7)))</f>
        <v/>
      </c>
      <c r="PC7" s="164">
        <f>$PB7-$OW7+$OZ7</f>
        <v/>
      </c>
      <c r="PD7" s="164">
        <f>IF($MS7=0,MAX(0,$NG7-IF(AND($OU7&gt;0,COUNTIF($NB7:$NC7,"?*")=0),1,0)),MAX(0,$PC7))</f>
        <v/>
      </c>
      <c r="PE7" s="164">
        <f>IF($MS7=0,0,(IF(COUNTIF($RK7:$RN7,"Salto")&gt;0,1,0)+IF(COUNTIF($RK7:$RN7,"Queima")&gt;0,1,0)+IF(COUNTIF($RK7:$RN7,"Estilhaço")&gt;0,1,0))*FLOOR($PD7/2,1))</f>
        <v/>
      </c>
      <c r="PF7" s="164">
        <f>MAX(0,2-SUMPRODUCT($OM7:$OR7,$I$2:$N$2)+MIN(2,$OS7*1+$OT7*1,SUMPRODUCT($OM7:$OR7,$I$2:$N$2)-IF($NS7=0,0,INDEX($I$2:$N$2,1,$NS7))))</f>
        <v/>
      </c>
      <c r="PG7" s="164">
        <f>MAX(0,4-SUMPRODUCT($OM7:$OR7,$I$3:$N$3)+MIN(4,$OS7*1+$OT7*2,SUMPRODUCT($OM7:$OR7,$I$3:$N$3)-IF($NS7=0,0,INDEX($I$3:$N$3,1,$NS7))))</f>
        <v/>
      </c>
      <c r="PH7" s="164">
        <f>MAX(0,6-SUMPRODUCT($OM7:$OR7,$I$4:$N$4)+MIN(6,$OS7*2+$OT7*3,SUMPRODUCT($OM7:$OR7,$I$4:$N$4)-IF($NS7=0,0,INDEX($I$4:$N$4,1,$NS7))))</f>
        <v/>
      </c>
      <c r="PI7" s="164">
        <f>MAX(0,9-SUMPRODUCT($OM7:$OR7,$I$5:$N$5)+MIN(8,$OS7*2+$OT7*4,SUMPRODUCT($OM7:$OR7,$I$5:$N$5)-IF($NS7=0,0,INDEX($I$5:$N$5,1,$NS7))))</f>
        <v/>
      </c>
      <c r="PJ7" s="164">
        <f>MAX(0,11-SUMPRODUCT($OM7:$OR7,$I$6:$N$6)+MIN(10,$OS7*3+$OT7*5,SUMPRODUCT($OM7:$OR7,$I$6:$N$6)-IF($NS7=0,0,INDEX($I$6:$N$6,1,$NS7))))</f>
        <v/>
      </c>
      <c r="PK7" s="164">
        <f>MAX(0,13-SUMPRODUCT($OM7:$OR7,$I$7:$N$7)+MIN(12,$OS7*3+$OT7*6,SUMPRODUCT($OM7:$OR7,$I$7:$N$7)-IF($NS7=0,0,INDEX($I$7:$N$7,1,$NS7))))</f>
        <v/>
      </c>
      <c r="PL7" s="164">
        <f>MAX(0,16-SUMPRODUCT($OM7:$OR7,$I$8:$N$8)+MIN(14,$OS7*4+$OT7*7,SUMPRODUCT($OM7:$OR7,$I$8:$N$8)-IF($NS7=0,0,INDEX($I$8:$N$8,1,$NS7))))</f>
        <v/>
      </c>
      <c r="PM7" s="164">
        <f>IF($OG7=2,3*$PF7&amp;" de vida temp.",IF($OG7=3,"sem dano",IF($PF7=0,IF($OG7=1,"sem cura","sem dano"),IF($OG7=1,"cura ","")&amp;$PF7&amp;"d8")))</f>
        <v/>
      </c>
      <c r="PN7" s="164">
        <f>IF($OG7=2,3*$PG7&amp;" de vida temp.",IF($OG7=3,"sem dano",IF($PG7=0,IF($OG7=1,"sem cura","sem dano"),IF($OG7=1,"cura ","")&amp;$PG7&amp;"d8")))</f>
        <v/>
      </c>
      <c r="PO7" s="164">
        <f>IF($OG7=2,3*$PH7&amp;" de vida temp.",IF($OG7=3,"sem dano",IF($PH7=0,IF($OG7=1,"sem cura","sem dano"),IF($OG7=1,"cura ","")&amp;$PH7&amp;"d8")))</f>
        <v/>
      </c>
      <c r="PP7" s="164">
        <f>IF($OG7=2,3*$PI7&amp;" de vida temp.",IF($OG7=3,"sem dano",IF($PI7=0,IF($OG7=1,"sem cura","sem dano"),IF($OG7=1,"cura ","")&amp;$PI7&amp;"d8")))</f>
        <v/>
      </c>
      <c r="PQ7" s="164">
        <f>IF($OG7=2,3*$PJ7&amp;" de vida temp.",IF($OG7=3,"sem dano",IF($PJ7=0,IF($OG7=1,"sem cura","sem dano"),IF($OG7=1,"cura ","")&amp;$PJ7&amp;"d8")))</f>
        <v/>
      </c>
      <c r="PR7" s="164">
        <f>IF($OG7=2,3*$PK7&amp;" de vida temp.",IF($OG7=3,"sem dano",IF($PK7=0,IF($OG7=1,"sem cura","sem dano"),IF($OG7=1,"cura ","")&amp;$PK7&amp;"d8")))</f>
        <v/>
      </c>
      <c r="PS7" s="164">
        <f>IF($OG7=2,3*$PL7&amp;" de vida temp.",IF($OG7=3,"sem dano",IF($PL7=0,IF($OG7=1,"sem cura","sem dano"),IF($OG7=1,"cura ","")&amp;$PL7&amp;"d8")))</f>
        <v/>
      </c>
      <c r="PT7" s="164">
        <f>IF($ND7=0,"",TEXTJOIN(" · ",TRUE,IF($ND7=0,"",TEXTJOIN(" · ",TRUE,IF($ND7=0,"",TEXTJOIN(" · ",TRUE,IF($MQ7&gt;$NE7,"Este lugar abre no nível "&amp;$MQ7,""),IF($MS7&gt;$NF7,"Classe "&amp;$MS7&amp;": o nível "&amp;$NE7&amp;" libera até a "&amp;$NF7,""),IF($NX7=1,"A Forma "&amp;$MU7&amp;" pede "&amp;INDEX('DADOS_FORMAS'!$GA$2:$GA$21,$NJ7)&amp;" aberta",""),IF(AND($MS7=0,$NJ7&gt;0,IF($NJ7=0,0,INDEX('DADOS_FORMAS'!$GJ$2:$GJ$21,$NJ7))=0),$MU7&amp;" não existe na Classe 0",""),IF($NY7=1,"Família Fechada: "&amp;$MX7,""),IF($NZ7=1,"Família Fechada: "&amp;$MY7,""),IF($OA7=1,"Família Fechada: "&amp;$MZ7,""),IF($OB7=1,"Família Fechada: "&amp;$NA7,""),IF(AND($MS7&gt;0,$OU7&gt;INDEX($O$2:$O$8,MAX(1,$MS7))),$OU7&amp;" Melhorias: a Classe "&amp;$MS7&amp;" aceita "&amp;INDEX($O$2:$O$8,MAX(1,$MS7)),""),IF(AND($MS7=0,$OU7&gt;1),"A básica aceita uma Melhoria",""),IF(AND($MS7=0,COUNTIF($NO7:$NR7,"&gt;1")&gt;0),"A básica só aceita Melhoria Leve",""),IF(AND($MS7&gt;0,$OV7&gt;2),$OV7&amp;" Restrições"&amp;IF($OF7=1,", contando a que a Forma "&amp;$MU7&amp;" já traz","")&amp;": o limite é 2",""),IF(AND($MS7=0,COUNTIF($NB7:$NC7,"?*")&gt;1),"A básica aceita uma Restrição Leve",""),IF(AND($MS7=0,COUNTIF($OI7:$OJ7,2)&gt;0),"A básica só aceita Restrição Leve",""),IF(AND($MS7&gt;0,$PC7&lt;0),"Orçamento estourado: faltam "&amp;(-$PC7)&amp;IF($PC7&lt;-1," pontos"," ponto"),""),IF(IFERROR(VLOOKUP(SUBSTITUTE(SUBSTITUTE(SUBSTITUTE($NB7,"~","~~"),"*","~*"),"?","~?"),'DADOS_RESTRICOES'!$M$2:$Q$54,4,FALSE),0)+IFERROR(VLOOKUP(SUBSTITUTE(SUBSTITUTE(SUBSTITUTE($NC7,"~","~~"),"*","~*"),"?","~?"),'DADOS_RESTRICOES'!$M$2:$Q$54,4,FALSE),0)&gt;1,$OK7&amp;" e "&amp;$OL7&amp;" são as duas de frequência",""),IF(AND((COUNTIF($RK7:$RN7,"Rápido")+COUNTIF($OK7:$OL7,"Rápido"))&gt;0,(COUNTIF($MX7:$NA7,"Atrasar")+COUNTIF($OK7:$OL7,"Atrasar"))&gt;0),"Rápido não entra com Atrasar",""),IF(AND((COUNTIF($RK7:$RN7,"Reação")+COUNTIF($OK7:$OL7,"Reação"))&gt;0,(COUNTIF($RK7:$RN7,"Rápido")+COUNTIF($OK7:$OL7,"Rápido"))&gt;0),"Reação não entra com Rápido",""),IF(AND((COUNTIF($RK7:$RN7,"Reação")+COUNTIF($OK7:$OL7,"Reação"))&gt;0,(COUNTIF($RK7:$RN7,"Armado")+COUNTIF($OK7:$OL7,"Armado"))&gt;0),"Reação não entra com Armado",""),IF(AND((COUNTIF($RK7:$RN7,"Reação")+COUNTIF($OK7:$OL7,"Reação"))&gt;0,(COUNTIF($MX7:$NA7,"Atrasar")+COUNTIF($OK7:$OL7,"Atrasar"))&gt;0),"Reação não entra com Atrasar",""),IF(AND((COUNTIF($RK7:$RN7,"Reação")+COUNTIF($OK7:$OL7,"Reação"))&gt;0,(COUNTIF($MX7:$NA7,"Parado")+COUNTIF($OK7:$OL7,"Parado"))&gt;0),"Reação não entra com Parado",""),IF(AND((COUNTIF($MX7:$NA7,"Atrasar")+COUNTIF($OK7:$OL7,"Atrasar"))&gt;0,(COUNTIF($MX7:$NA7,"Parado")+COUNTIF($OK7:$OL7,"Parado"))&gt;0),"Atrasar não entra com Parado",""),IF(AND((COUNTIF($RK7:$RN7,"Armado")+COUNTIF($OK7:$OL7,"Armado"))&gt;0,(COUNTIF($MX7:$NA7,"Carregar")+COUNTIF($OK7:$OL7,"Carregar"))&gt;0),"Armado não entra com Carregar",""),IF(AND(COUNTIF($OK7:$OL7,"Corpo a Corpo")&gt;0,$OF7=0,OR($RO7="Cone",$RO7="Linha")),"Corpo a Corpo não entra em "&amp;$MU7,""),IF(AND(COUNTIF($OK7:$OL7,"Corpo a Corpo")&gt;0,$RP7="Corpo a Corpo"),"A Forma "&amp;$MU7&amp;" já traz o Corpo a Corpo",""),IF(AND(COUNTIF($OK7:$OL7,"Tudo ou Nada")&gt;0,$OH7=0),"Tudo ou Nada só entra em habilidade de Teste de Resistência",""),IF(AND(COUNTIF($RK7:$RN7,"Inescapável")&gt;0,OR($OU7&gt;1,$OV7&gt;0)),"Inescapável não aceita outra peça",""),IF(AND($MS7&gt;0,$PD7*IF(COUNTIF($RK7:$RN7,"Remate")&gt;0,1.25,1)+$PE7&gt;4*$MS7),($PD7*IF(COUNTIF($RK7:$RN7,"Remate")&gt;0,1.25,1)+$PE7)&amp;" dados somando repetições"&amp;IF(COUNTIF($RK7:$RN7,"Remate")&gt;0," e o Remate","")&amp;": o teto da Classe "&amp;$MS7&amp;" é "&amp;4*$MS7,""))),IF(AND($MX7&lt;&gt;"",COUNTIF('DADOS_MELHORIAS'!$O$2:$O$113,SUBSTITUTE(SUBSTITUTE(SUBSTITUTE($MX7,"~","~~"),"*","~*"),"?","~?"))=0),"Melhoria não cadastrada ou com erro: "&amp;$MX7,""),IF(AND($MY7&lt;&gt;"",COUNTIF('DADOS_MELHORIAS'!$O$2:$O$113,SUBSTITUTE(SUBSTITUTE(SUBSTITUTE($MY7,"~","~~"),"*","~*"),"?","~?"))=0),"Melhoria não cadastrada ou com erro: "&amp;$MY7,""),IF(AND($MZ7&lt;&gt;"",COUNTIF('DADOS_MELHORIAS'!$O$2:$O$113,SUBSTITUTE(SUBSTITUTE(SUBSTITUTE($MZ7,"~","~~"),"*","~*"),"?","~?"))=0),"Melhoria não cadastrada ou com erro: "&amp;$MZ7,""),IF(AND($NA7&lt;&gt;"",COUNTIF('DADOS_MELHORIAS'!$O$2:$O$113,SUBSTITUTE(SUBSTITUTE(SUBSTITUTE($NA7,"~","~~"),"*","~*"),"?","~?"))=0),"Melhoria não cadastrada ou com erro: "&amp;$NA7,""),IF(AND($NB7&lt;&gt;"",COUNTIF('DADOS_RESTRICOES'!$M$2:$M$54,SUBSTITUTE(SUBSTITUTE(SUBSTITUTE($NB7,"~","~~"),"*","~*"),"?","~?"))=0),"Restrição não cadastrada ou com erro: "&amp;$NB7,""),IF(AND($NC7&lt;&gt;"",COUNTIF('DADOS_RESTRICOES'!$M$2:$M$54,SUBSTITUTE(SUBSTITUTE(SUBSTITUTE($NC7,"~","~~"),"*","~*"),"?","~?"))=0),"Restrição não cadastrada ou com erro: "&amp;$NC7,""))),IF(AND($MU7&lt;&gt;"",COUNTIF('DADOS_FORMAS'!$AH$2:$AH$21,SUBSTITUTE(SUBSTITUTE(SUBSTITUTE($MU7,"~","~~"),"*","~*"),"?","~?"))=0),"Forma não cadastrada ou com erro: "&amp;$MU7,""),IF(AND(IFERROR(INDEX('DADOS_FORMAS'!$AS$2:$AS$21,MATCH(SUBSTITUTE(SUBSTITUTE(SUBSTITUTE($MU7,"~","~~"),"*","~*"),"?","~?"),'DADOS_FORMAS'!$AH$2:$AH$21,0)),"")&lt;&gt;"",OR(IFERROR(VLOOKUP(SUBSTITUTE(SUBSTITUTE(SUBSTITUTE(IFERROR(INDEX('DADOS_FORMAS'!$AS$2:$AS$21,MATCH(SUBSTITUTE(SUBSTITUTE(SUBSTITUTE($MU7,"~","~~"),"*","~*"),"?","~?"),'DADOS_FORMAS'!$AH$2:$AH$21,0)),""),"~","~~"),"*","~*"),"?","~?"),'DADOS_RESTRICOES'!$M$2:$Q$54,2,FALSE),"")=$OK7,IFERROR(VLOOKUP(SUBSTITUTE(SUBSTITUTE(SUBSTITUTE(IFERROR(INDEX('DADOS_FORMAS'!$AS$2:$AS$21,MATCH(SUBSTITUTE(SUBSTITUTE(SUBSTITUTE($MU7,"~","~~"),"*","~*"),"?","~?"),'DADOS_FORMAS'!$AH$2:$AH$21,0)),""),"~","~~"),"*","~*"),"?","~?"),'DADOS_RESTRICOES'!$M$2:$Q$54,2,FALSE),"")=$OL7)),"Restrição repetida, contando a embutida",""),IF(IF(IFERROR(INDEX('DADOS_FORMAS'!$AS$2:$AS$21,MATCH(SUBSTITUTE(SUBSTITUTE(SUBSTITUTE($MU7,"~","~~"),"*","~*"),"?","~?"),'DADOS_FORMAS'!$AH$2:$AH$21,0)),"")="",0,IFERROR(N(VLOOKUP(SUBSTITUTE(SUBSTITUTE(SUBSTITUTE(IFERROR(INDEX('DADOS_FORMAS'!$AS$2:$AS$21,MATCH(SUBSTITUTE(SUBSTITUTE(SUBSTITUTE($MU7,"~","~~"),"*","~*"),"?","~?"),'DADOS_FORMAS'!$AH$2:$AH$21,0)),""),"~","~~"),"*","~*"),"?","~?"),'DADOS_RESTRICOES'!$M$2:$Q$54,4,FALSE)=1),0))+IF($NB7="",0,IFERROR(N(VLOOKUP(SUBSTITUTE(SUBSTITUTE(SUBSTITUTE($NB7,"~","~~"),"*","~*"),"?","~?"),'DADOS_RESTRICOES'!$M$2:$Q$54,4,FALSE)=1),0))+IF($NC7="",0,IFERROR(N(VLOOKUP(SUBSTITUTE(SUBSTITUTE(SUBSTITUTE($NC7,"~","~~"),"*","~*"),"?","~?"),'DADOS_RESTRICOES'!$M$2:$Q$54,4,FALSE)=1),0))&gt;1,"Duas Restrições de frequência, contando a embutida",""),IF(AND(IFERROR(VLOOKUP(SUBSTITUTE(SUBSTITUTE(SUBSTITUTE(IFERROR(INDEX('DADOS_FORMAS'!$AS$2:$AS$21,MATCH(SUBSTITUTE(SUBSTITUTE(SUBSTITUTE($MU7,"~","~~"),"*","~*"),"?","~?"),'DADOS_FORMAS'!$AH$2:$AH$21,0)),""),"~","~~"),"*","~*"),"?","~?"),'DADOS_RESTRICOES'!$M$2:$Q$54,2,FALSE),"")="Tudo ou Nada",$OH7=0),"Tudo ou Nada exige TR",""),IF(AND(IFERROR(VLOOKUP(SUBSTITUTE(SUBSTITUTE(SUBSTITUTE(IFERROR(INDEX('DADOS_FORMAS'!$AS$2:$AS$21,MATCH(SUBSTITUTE(SUBSTITUTE(SUBSTITUTE($MU7,"~","~~"),"*","~*"),"?","~?"),'DADOS_FORMAS'!$AH$2:$AH$21,0)),""),"~","~~"),"*","~*"),"?","~?"),'DADOS_RESTRICOES'!$M$2:$Q$54,2,FALSE),"")="Corpo a Corpo",OR($RO7="Cone",$RO7="Linha")),"Corpo a Corpo não entra em Cone/Linha","")))</f>
        <v/>
      </c>
      <c r="PU7" s="164">
        <f>IF($PT7="",0,(LEN($PT7)-LEN(SUBSTITUTE($PT7," · ","")))/3+1)</f>
        <v/>
      </c>
      <c r="PV7" s="164">
        <f>IF($ND7=0,"",TEXTJOIN(" · ",TRUE,IF($OX7&gt;2*$MS7,"A devolução parou no teto de "&amp;2*$MS7,""),IF($PA7&gt;0,"Devolução perdida: "&amp;$PA7&amp;IF($PA7&gt;1," pontos"," ponto")&amp;" sem Melhoria para pagar",""),IF(AND($OC7&gt;0,AND($MS7&gt;0,$OG7=0),$PD7=0),"Controle sem dano: uma rodada a mais e CD +2",""),IF(AND($OC7&gt;0,AND($MS7&gt;0,$OG7=0),$PD7&gt;0,$PD7&lt;=$MS7),"Controle com saldo até a Classe: uma rodada a mais",""),IF(AND($MS7&gt;0,$OE7&lt;&gt;""),"Efeito de "&amp;$OE7&amp;" pela Classe "&amp;MAX(1,$MS7-1),"")))</f>
        <v/>
      </c>
      <c r="PW7" s="164">
        <f>IF($PV7="",0,(LEN($PV7)-LEN(SUBSTITUTE($PV7," · ","")))/3+1)</f>
        <v/>
      </c>
      <c r="PX7" s="164">
        <f>IF($ND7=0,IF($OU7+COUNTIF($NB7:$NC7,"?*")&gt;0,"Dê um nome",""),IF($PU7&gt;0,"⚠ "&amp;$PU7&amp;IF($PU7&gt;1," erros"," erro"),IF($PW7&gt;0,"! "&amp;$PW7&amp;IF($PW7&gt;1," avisos"," aviso"),"Na regra")))</f>
        <v/>
      </c>
      <c r="PY7" s="164">
        <f>IF($ND7=0,"",IF($PU7+$PW7=0,"Dentro das regras que a ficha confere",$PT7&amp;IF(AND($PU7&gt;0,$PW7&gt;0)," · ","")&amp;$PV7))</f>
        <v/>
      </c>
      <c r="PZ7" s="164">
        <f>IF($MQ7&gt;$NE7,$MR7&amp;" · ABRE NO NÍVEL "&amp;$MQ7,$MR7)</f>
        <v/>
      </c>
      <c r="QA7" s="164">
        <f>IF($ND7=0,"",IF($MS7=0,"Sem PE",3*$MS7&amp;" PE"))</f>
        <v/>
      </c>
      <c r="QB7" s="164">
        <f>IF($ND7=0,"",IF($MS7=0,"A atuação básica dela",IF(COUNTIF($RQ7:$RS7,"Atrasar")&gt;0,"Sua Ação Completa",IF(COUNTIF($RK7:$RN7,"Rápido")&gt;0,"Sua Bônus",IF(COUNTIF($RK7:$RN7,"Reação")&gt;0,"Sua Reação","Sua Padrão")))&amp;" + a básica dela"&amp;IF(COUNTIF($RK7:$RN7,"Reação")&gt;0," e a coletiva","")&amp;IF(COUNTIF($RQ7:$RS7,"Carregar")&gt;0," · em dois turnos","")))</f>
        <v/>
      </c>
      <c r="QC7" s="164">
        <f>IF($MW7&lt;&gt;"",$MW7,IF($NJ7=0,"",INDEX('DADOS_FORMAS'!$GE$2:$GE$21,$NJ7)))</f>
        <v/>
      </c>
      <c r="QD7" s="164">
        <f>IF(OR($ND7=0,$NJ7=0),"",IF(COUNTIF($RK7:$RN7,"Inescapável")&gt;0,"Automático",IF($QC7="Ataque",IF($NH7="","Ataque","Ataque "&amp;IF(($NH7+2*IF(COUNTIF($RK7:$RN7,"Precisão")&gt;0,1,0))&gt;=0,"+","−")&amp;ABS(($NH7+2*IF(COUNTIF($RK7:$RN7,"Precisão")&gt;0,1,0))))&amp;IF($OD7&gt;0," · TR"&amp;IF($NI7="",""," CD "&amp;$NI7),""),IF(LEFT($QC7,2)="TR",$QC7&amp;IF($NI7="",""," · CD "&amp;$NI7)&amp;IF(COUNTIF($RK7:$RN7,"Certeiro")&gt;0," · metade",""),"Sem rolagem"))))</f>
        <v/>
      </c>
      <c r="QE7" s="164">
        <f>IF(OR($ND7=0,$NJ7=0),"",IF($MS7=0,IF(OR($OG7&gt;=1,$PD7=0),"Sem dano",$PD7&amp;"d6"&amp;IF($MV7="",""," "&amp;$MV7)),IF(OR($OG7&gt;=1,$PD7=0),UPPER(LEFT(INDEX($PM7:$PS7,1,MAX(1,$MS7)),1))&amp;MID(INDEX($PM7:$PS7,1,MAX(1,$MS7)),2,99),UPPER(LEFT(INDEX($PM7:$PS7,1,MAX(1,$MS7)),1))&amp;MID(INDEX($PM7:$PS7,1,MAX(1,$MS7)),2,99)&amp;IF($MV7="",""," "&amp;$MV7)&amp;IF($PE7&gt;0," · +"&amp;$PE7&amp;"d8",""))))</f>
        <v/>
      </c>
      <c r="QF7" s="164">
        <f>COUNTIF($RK7:$RN7,"Longe")+3*COUNTIF($RK7:$RN7,"Muito Longe")</f>
        <v/>
      </c>
      <c r="QG7" s="164">
        <f>COUNTIF($RK7:$RN7,"Maior")+3*COUNTIF($RK7:$RN7,"Muito Maior")</f>
        <v/>
      </c>
      <c r="QH7" s="164">
        <f>IF($NJ7=0,0,CHOOSE(1+INDEX('DADOS_FORMAS'!$GG$2:$GG$21,$NJ7),0,$QF7,$QG7,$QF7+$QG7))</f>
        <v/>
      </c>
      <c r="QI7" s="164">
        <f>IF($NJ7=0,0,CHOOSE(1+INDEX('DADOS_FORMAS'!$GH$2:$GH$21,$NJ7),0,$QF7,$QG7,$QF7+$QG7))</f>
        <v/>
      </c>
      <c r="QJ7" s="164">
        <f>IF(OR($ND7=0,$NJ7=0),"",INDEX('DADOS_FORMAS'!$HU$2:$HZ$81,($NJ7-1)*4+IF($MS7=0,1,IF($MS7&lt;=5,2,IF($MS7=6,3,4))),1+MIN(5,$QH7))&amp;INDEX('DADOS_FORMAS'!$IA$2:$IF$81,($NJ7-1)*4+IF($MS7=0,1,IF($MS7&lt;=5,2,IF($MS7=6,3,4))),1+MIN(5,$QI7))&amp;IF(INDEX('DADOS_FORMAS'!$GI$2:$GI$21,$NJ7)=1,IF(COUNTIF($RK7:$RN7,"Mais Um")&gt;0," · +"&amp;COUNTIF($RK7:$RN7,"Mais Um")&amp;IF(COUNTIF($RK7:$RN7,"Mais Um")&gt;1," alvos"," alvo"),"")&amp;IF(COUNTIF($RK7:$RN7,"Rajada")&gt;0,IF($MS7=0," · 1 tiro"," · "&amp;(MAX(1,$MS7-1)+1)&amp;" tiros"),""),""))</f>
        <v/>
      </c>
      <c r="QK7" s="164">
        <f>IF($ND7=0,"",IF($MS7=0,$NG7&amp;"d6"&amp;IF($OU7&gt;0," − 1 = "&amp;$PD7&amp;"d6"," da básica do nível "&amp;$NE7),$PB7&amp;" − "&amp;$OW7&amp;" + "&amp;$OZ7&amp;" = "&amp;$PC7&amp;" · teto "&amp;4*$MS7&amp;"d8"&amp;IF($OF7=1," · a Forma devolve "&amp;$MS7,"")&amp;IF($PA7&gt;0," · perde "&amp;$PA7,"")))</f>
        <v/>
      </c>
      <c r="QL7" s="164">
        <f>IF($ND7=0,"",IF($MS7=0,"A básica não amplia: os dados dela sobem com o nível",IF($MS7&gt;=$NF7,"Já está na maior Classe que o nível liberou",TEXTJOIN(" · ",TRUE,IF(AND(2&gt;$MS7,2&lt;=$NF7),"2 → "&amp;$PN7&amp;", 6 PE",""),IF(AND(3&gt;$MS7,3&lt;=$NF7),"3 → "&amp;$PO7&amp;", 9 PE",""),IF(AND(4&gt;$MS7,4&lt;=$NF7),"4 → "&amp;$PP7&amp;", 12 PE",""),IF(AND(5&gt;$MS7,5&lt;=$NF7),"5 → "&amp;$PQ7&amp;", 15 PE",""),IF(AND(6&gt;$MS7,6&lt;=$NF7),"6 → "&amp;$PR7&amp;", 18 PE",""),IF(AND(7&gt;$MS7,7&lt;=$NF7),"7 → "&amp;$PS7&amp;", 21 PE","")))))</f>
        <v/>
      </c>
      <c r="QM7" s="164">
        <f>IF(OR($ND7=0,$NO7=0),"",IF($MS7=0,"−1 dado","−"&amp;INDEX($I$2:$N$8,MAX(1,$MS7),MAX(1,$NT7))&amp;" · "&amp;CHOOSE(MAX(1,$NT7),"Leve","Média","Pesada","Leve · Livre","Média · Livre","Pesada · Livre")))</f>
        <v/>
      </c>
      <c r="QN7" s="164">
        <f>IF(OR($ND7=0,$NP7=0),"",IF($MS7=0,"−1 dado","−"&amp;INDEX($I$2:$N$8,MAX(1,$MS7),MAX(1,$NU7))&amp;" · "&amp;CHOOSE(MAX(1,$NU7),"Leve","Média","Pesada","Leve · Livre","Média · Livre","Pesada · Livre")))</f>
        <v/>
      </c>
      <c r="QO7" s="164">
        <f>IF(OR($ND7=0,$NQ7=0),"",IF($MS7=0,"−1 dado","−"&amp;INDEX($I$2:$N$8,MAX(1,$MS7),MAX(1,$NV7))&amp;" · "&amp;CHOOSE(MAX(1,$NV7),"Leve","Média","Pesada","Leve · Livre","Média · Livre","Pesada · Livre")))</f>
        <v/>
      </c>
      <c r="QP7" s="164">
        <f>IF(OR($ND7=0,$NR7=0),"",IF($MS7=0,"−1 dado","−"&amp;INDEX($I$2:$N$8,MAX(1,$MS7),MAX(1,$NW7))&amp;" · "&amp;CHOOSE(MAX(1,$NW7),"Leve","Média","Pesada","Leve · Livre","Média · Livre","Pesada · Livre")))</f>
        <v/>
      </c>
      <c r="QQ7" s="164">
        <f>IF(OR($ND7=0,$NB7=""),"",IF($MS7=0,"não devolve","+"&amp;IF($OI7=1,CEILING($MS7/2,1),$MS7)))</f>
        <v/>
      </c>
      <c r="QR7" s="164">
        <f>IF(OR($ND7=0,$NC7=""),"",IF($MS7=0,"não devolve","+"&amp;IF($OJ7=1,CEILING($MS7/2,1),$MS7)))</f>
        <v/>
      </c>
      <c r="QV7">
        <f>'INVOCAÇÕES'!$O$1105&amp;""</f>
        <v/>
      </c>
      <c r="QW7">
        <f>'INVOCAÇÕES'!$P$1105&amp;""</f>
        <v/>
      </c>
      <c r="QX7">
        <f>'INVOCAÇÕES'!$Q$1105&amp;""</f>
        <v/>
      </c>
      <c r="QY7">
        <f>'INVOCAÇÕES'!$R$1105&amp;""</f>
        <v/>
      </c>
      <c r="QZ7">
        <f>IF('INVOCAÇÕES'!$K$1105="","Autônoma",'INVOCAÇÕES'!$K$1105)</f>
        <v/>
      </c>
      <c r="RA7">
        <f>IF(DADOS_INVOC!$DB$4="Invocação Principal",'CONFIGURAÇÃO'!$H$144,IF(OR(DADOS_INVOC!$DB$4="Parceria",DADOS_INVOC!$DB$4="Múltiplas Invocações"),'CONFIGURAÇÃO'!$H$142,'CONFIGURAÇÃO'!$H$140))+IF($QZ$7="Não autônoma",'CONFIGURAÇÃO'!$H$145,0)</f>
        <v/>
      </c>
      <c r="RB7">
        <f>IF($RA$7&gt;=1,$EL$7,"")</f>
        <v/>
      </c>
      <c r="RC7">
        <f>IF($RA$7&gt;=2,$EM$7,"")</f>
        <v/>
      </c>
      <c r="RD7">
        <f>IF($RA$7&gt;=7,$EN$7,"")</f>
        <v/>
      </c>
      <c r="RE7">
        <f>IF($RA$7&gt;=8,$EO$7,"")</f>
        <v/>
      </c>
      <c r="RF7">
        <f>IF($RA$7&gt;=9,$EP$7,"")</f>
        <v/>
      </c>
      <c r="RG7">
        <f>IF($RA$7&gt;=3,$QV$7,"")</f>
        <v/>
      </c>
      <c r="RH7">
        <f>IF($RA$7&gt;=4,$QW$7,"")</f>
        <v/>
      </c>
      <c r="RI7">
        <f>IF($RA$7&gt;=5,$QX$7,"")</f>
        <v/>
      </c>
      <c r="RJ7">
        <f>IF($RA$7&gt;=6,$QY$7,"")</f>
        <v/>
      </c>
      <c r="RK7">
        <f>IF($MX7="","",IFERROR(VLOOKUP(SUBSTITUTE(SUBSTITUTE(SUBSTITUTE($MX7,"~","~~"),"*","~*"),"?","~?"),'DADOS_MELHORIAS'!$O$2:$X$113,10,FALSE),$MX7))</f>
        <v/>
      </c>
      <c r="RL7">
        <f>IF($MY7="","",IFERROR(VLOOKUP(SUBSTITUTE(SUBSTITUTE(SUBSTITUTE($MY7,"~","~~"),"*","~*"),"?","~?"),'DADOS_MELHORIAS'!$O$2:$X$113,10,FALSE),$MY7))</f>
        <v/>
      </c>
      <c r="RM7">
        <f>IF($MZ7="","",IFERROR(VLOOKUP(SUBSTITUTE(SUBSTITUTE(SUBSTITUTE($MZ7,"~","~~"),"*","~*"),"?","~?"),'DADOS_MELHORIAS'!$O$2:$X$113,10,FALSE),$MZ7))</f>
        <v/>
      </c>
      <c r="RN7">
        <f>IF($NA7="","",IFERROR(VLOOKUP(SUBSTITUTE(SUBSTITUTE(SUBSTITUTE($NA7,"~","~~"),"*","~*"),"?","~?"),'DADOS_MELHORIAS'!$O$2:$X$113,10,FALSE),$NA7))</f>
        <v/>
      </c>
      <c r="RO7">
        <f>IFERROR(INDEX('DADOS_FORMAS'!$BJ$2:$BJ$21,MATCH(SUBSTITUTE(SUBSTITUTE(SUBSTITUTE($MU7,"~","~~"),"*","~*"),"?","~?"),'DADOS_FORMAS'!$AH$2:$AH$21,0)),"")</f>
        <v/>
      </c>
      <c r="RP7">
        <f>IFERROR(VLOOKUP(SUBSTITUTE(SUBSTITUTE(SUBSTITUTE(IFERROR(INDEX('DADOS_FORMAS'!$AS$2:$AS$21,MATCH(SUBSTITUTE(SUBSTITUTE(SUBSTITUTE($MU7,"~","~~"),"*","~*"),"?","~?"),'DADOS_FORMAS'!$AH$2:$AH$21,0)),""),"~","~~"),"*","~*"),"?","~?"),'DADOS_RESTRICOES'!$M$2:$Q$54,2,FALSE),"")</f>
        <v/>
      </c>
      <c r="RQ7">
        <f>$OK7</f>
        <v/>
      </c>
      <c r="RR7">
        <f>$OL7</f>
        <v/>
      </c>
      <c r="RS7">
        <f>$RP7</f>
        <v/>
      </c>
    </row>
    <row r="8">
      <c r="A8" s="164" t="n">
        <v>26</v>
      </c>
      <c r="B8" s="164" t="n">
        <v>7</v>
      </c>
      <c r="C8" s="164" t="n">
        <v>3</v>
      </c>
      <c r="D8" s="164" t="n">
        <v>16</v>
      </c>
      <c r="F8" s="164" t="n">
        <v>30</v>
      </c>
      <c r="H8" s="164" t="n">
        <v>7</v>
      </c>
      <c r="I8" s="164" t="n">
        <v>4</v>
      </c>
      <c r="J8" s="164" t="n">
        <v>7</v>
      </c>
      <c r="K8" s="164" t="n">
        <v>11</v>
      </c>
      <c r="L8" s="164" t="n">
        <v>1</v>
      </c>
      <c r="M8" s="164" t="n">
        <v>4</v>
      </c>
      <c r="N8" s="164" t="n">
        <v>8</v>
      </c>
      <c r="O8" s="164" t="n">
        <v>4</v>
      </c>
      <c r="P8" s="164" t="n">
        <v>16</v>
      </c>
      <c r="R8" s="164" t="n">
        <v>6</v>
      </c>
      <c r="V8" s="162" t="inlineStr">
        <is>
          <t>Cura</t>
        </is>
      </c>
      <c r="W8" s="162" t="inlineStr">
        <is>
          <t>Amparo</t>
        </is>
      </c>
      <c r="X8" s="164" t="n">
        <v>2</v>
      </c>
      <c r="Y8" s="164" t="n">
        <v>0</v>
      </c>
      <c r="Z8" s="164" t="n">
        <v>1</v>
      </c>
      <c r="AA8" s="162" t="inlineStr">
        <is>
          <t>—</t>
        </is>
      </c>
      <c r="AB8" s="164" t="n">
        <v>0</v>
      </c>
      <c r="AC8" s="164" t="n">
        <v>1</v>
      </c>
      <c r="AD8" s="164" t="n">
        <v>0</v>
      </c>
      <c r="AE8" s="164" t="n">
        <v>0</v>
      </c>
      <c r="AF8" s="164" t="n">
        <v>0</v>
      </c>
      <c r="AH8" s="162" t="inlineStr">
        <is>
          <t>Toque · classe 6</t>
        </is>
      </c>
      <c r="AI8" s="162" t="inlineStr">
        <is>
          <t>1,5 m, um alvo</t>
        </is>
      </c>
      <c r="AJ8" s="162" t="inlineStr">
        <is>
          <t>1,5 m, um alvo</t>
        </is>
      </c>
      <c r="AK8" s="162" t="inlineStr">
        <is>
          <t>1,5 m, um alvo</t>
        </is>
      </c>
      <c r="AL8" s="162" t="inlineStr">
        <is>
          <t>1,5 m, um alvo</t>
        </is>
      </c>
      <c r="AM8" s="162" t="inlineStr">
        <is>
          <t>1,5 m, um alvo</t>
        </is>
      </c>
      <c r="AN8" s="162" t="inlineStr">
        <is>
          <t>1,5 m, um alvo</t>
        </is>
      </c>
      <c r="AO8" s="162" t="inlineStr"/>
      <c r="AP8" s="162" t="inlineStr"/>
      <c r="AQ8" s="162" t="inlineStr"/>
      <c r="AR8" s="162" t="inlineStr"/>
      <c r="AS8" s="162" t="inlineStr"/>
      <c r="AT8" s="162" t="inlineStr"/>
      <c r="AV8" s="162" t="inlineStr">
        <is>
          <t>Maior</t>
        </is>
      </c>
      <c r="AW8" s="162" t="inlineStr">
        <is>
          <t>Área</t>
        </is>
      </c>
      <c r="AX8" s="164" t="n">
        <v>1</v>
      </c>
      <c r="AY8" s="164" t="n">
        <v>0</v>
      </c>
      <c r="AZ8" s="164" t="n">
        <v>0</v>
      </c>
      <c r="BA8" s="164" t="n">
        <v>0</v>
      </c>
      <c r="BC8" s="162" t="inlineStr">
        <is>
          <t>Recuo (Leve)</t>
        </is>
      </c>
      <c r="BD8" s="162" t="inlineStr">
        <is>
          <t>Recuo</t>
        </is>
      </c>
      <c r="BE8" s="164" t="n">
        <v>1</v>
      </c>
      <c r="BF8" s="164" t="n">
        <v>0</v>
      </c>
      <c r="BG8" s="162" t="inlineStr">
        <is>
          <t>Recuo (Leve)</t>
        </is>
      </c>
      <c r="BI8" s="162" t="inlineStr">
        <is>
          <t>Fluxo</t>
        </is>
      </c>
      <c r="BJ8" s="164" t="n">
        <v>2</v>
      </c>
      <c r="BK8" s="162" t="inlineStr">
        <is>
          <t>Ao conjurar um feitiço de Classe 3 ou maior, você recebe 2 × a Classe usada em pontos de vida temporária. Uma conjuração concede a reserva uma vez, mesmo que alcance vários alvos ou produza vários ataques.</t>
        </is>
      </c>
      <c r="BL8" s="162" t="inlineStr"/>
      <c r="BS8" s="162" t="inlineStr">
        <is>
          <t>Tempo</t>
        </is>
      </c>
      <c r="CC8" s="162" t="inlineStr">
        <is>
          <t>Intuição</t>
        </is>
      </c>
      <c r="CD8" s="162" t="inlineStr">
        <is>
          <t>Inteligência</t>
        </is>
      </c>
      <c r="CH8" s="162" t="inlineStr">
        <is>
          <t>Entalhador</t>
        </is>
      </c>
      <c r="CJ8" s="162" t="inlineStr">
        <is>
          <t>Ácido</t>
        </is>
      </c>
      <c r="CN8" s="164" t="n">
        <v>6</v>
      </c>
      <c r="DA8" s="162" t="inlineStr">
        <is>
          <t>teto de ativas</t>
        </is>
      </c>
      <c r="DB8" s="164">
        <f>IF(DADOS_CONFIG!$E$88&lt;&gt;"",NA(),IF(DADOS_CONFIG!$C$88=1,DADOS_CONFIG!$D$88,IF(DADOS_CONFIG!$B$88=0,IF('DADOS_PROGRESSAO'!$K$4="Múltiplas Invocações",4,2),IF((IF('DADOS_PROGRESSAO'!$K$4="Múltiplas Invocações",4,2))="","",(IF('DADOS_PROGRESSAO'!$K$4="Múltiplas Invocações",4,2))+DADOS_CONFIG!$B$88))))</f>
        <v/>
      </c>
      <c r="DD8" s="164" t="n">
        <v>7</v>
      </c>
      <c r="DE8" s="164">
        <f>'INVOCAÇÕES'!$AB$13&amp;""</f>
        <v/>
      </c>
      <c r="DF8" s="164">
        <f>'INVOCAÇÕES'!$AB$43&amp;""</f>
        <v/>
      </c>
      <c r="DG8" s="164">
        <f>'INVOCAÇÕES'!$AB$47&amp;""</f>
        <v/>
      </c>
      <c r="DH8" s="164">
        <f>N('INVOCAÇÕES'!$AD$47)</f>
        <v/>
      </c>
      <c r="DI8" s="164">
        <f>'INVOCAÇÕES'!$AE$47&amp;""</f>
        <v/>
      </c>
      <c r="DJ8" s="164">
        <f>N('INVOCAÇÕES'!$AH$20)</f>
        <v/>
      </c>
      <c r="DK8" s="164">
        <f>N('INVOCAÇÕES'!$AI$20)</f>
        <v/>
      </c>
      <c r="DL8" s="164">
        <f>N('INVOCAÇÕES'!$AJ$20)</f>
        <v/>
      </c>
      <c r="DM8" s="164">
        <f>N('INVOCAÇÕES'!$AK$20)</f>
        <v/>
      </c>
      <c r="DN8" s="164">
        <f>N('INVOCAÇÕES'!$AL$20)</f>
        <v/>
      </c>
      <c r="DO8" s="164">
        <f>N('INVOCAÇÕES'!$AH$21)</f>
        <v/>
      </c>
      <c r="DP8" s="164">
        <f>N('INVOCAÇÕES'!$AI$21)</f>
        <v/>
      </c>
      <c r="DQ8" s="164">
        <f>N('INVOCAÇÕES'!$AJ$21)</f>
        <v/>
      </c>
      <c r="DR8" s="164">
        <f>N('INVOCAÇÕES'!$AK$21)</f>
        <v/>
      </c>
      <c r="DS8" s="164">
        <f>N('INVOCAÇÕES'!$AL$21)</f>
        <v/>
      </c>
      <c r="DT8" s="164">
        <f>'INVOCAÇÕES'!$AH$34&amp;""</f>
        <v/>
      </c>
      <c r="DU8" s="164">
        <f>'INVOCAÇÕES'!$AK$34&amp;""</f>
        <v/>
      </c>
      <c r="DV8" s="164">
        <f>'INVOCAÇÕES'!$AL$29&amp;""</f>
        <v/>
      </c>
      <c r="DW8" s="164">
        <f>N('INVOCAÇÕES'!$AH$26)</f>
        <v/>
      </c>
      <c r="DX8" s="164">
        <f>N('INVOCAÇÕES'!$AI$26)</f>
        <v/>
      </c>
      <c r="DY8" s="164">
        <f>N('INVOCAÇÕES'!$AJ$26)</f>
        <v/>
      </c>
      <c r="DZ8" s="164">
        <f>N('INVOCAÇÕES'!$AK$26)</f>
        <v/>
      </c>
      <c r="EA8" s="164">
        <f>N('INVOCAÇÕES'!$AL$26)</f>
        <v/>
      </c>
      <c r="EB8" s="164">
        <f>N('INVOCAÇÕES'!$AH$31)</f>
        <v/>
      </c>
      <c r="EC8" s="164">
        <f>N('INVOCAÇÕES'!$AI$31)</f>
        <v/>
      </c>
      <c r="ED8" s="164">
        <f>N('INVOCAÇÕES'!$AJ$31)</f>
        <v/>
      </c>
      <c r="EE8" s="164">
        <f>N('INVOCAÇÕES'!$AK$31)</f>
        <v/>
      </c>
      <c r="EF8" s="164">
        <f>'INVOCAÇÕES'!$AN$13&amp;""</f>
        <v/>
      </c>
      <c r="EG8" s="164">
        <f>N('INVOCAÇÕES'!$AP$13)</f>
        <v/>
      </c>
      <c r="EH8" s="164">
        <f>'INVOCAÇÕES'!$AR$13&amp;""</f>
        <v/>
      </c>
      <c r="EI8" s="164">
        <f>SUM('INVOCAÇÕES'!$AR$33:'INVOCAÇÕES'!$AR$35,'INVOCAÇÕES'!$AR$37:'INVOCAÇÕES'!$AR$42)</f>
        <v/>
      </c>
      <c r="EJ8" s="164">
        <f>'INVOCAÇÕES'!$AN$18&amp;""</f>
        <v/>
      </c>
      <c r="EK8" s="164">
        <f>'INVOCAÇÕES'!$AO$18&amp;""</f>
        <v/>
      </c>
      <c r="EL8" s="164">
        <f>'INVOCAÇÕES'!$AH$48&amp;""</f>
        <v/>
      </c>
      <c r="EM8" s="164">
        <f>'INVOCAÇÕES'!$AI$48&amp;""</f>
        <v/>
      </c>
      <c r="EN8" s="164">
        <f>'INVOCAÇÕES'!$AJ$48&amp;""</f>
        <v/>
      </c>
      <c r="EO8" s="164">
        <f>'INVOCAÇÕES'!$AK$48&amp;""</f>
        <v/>
      </c>
      <c r="EP8" s="164">
        <f>'INVOCAÇÕES'!$AL$48&amp;""</f>
        <v/>
      </c>
      <c r="EQ8" s="164">
        <f>'INVOCAÇÕES'!$AH$38&amp;""</f>
        <v/>
      </c>
      <c r="ER8" s="164">
        <f>'INVOCAÇÕES'!$AH$39&amp;""</f>
        <v/>
      </c>
      <c r="ES8" s="164">
        <f>'INVOCAÇÕES'!$AH$40&amp;""</f>
        <v/>
      </c>
      <c r="ET8" s="164">
        <f>'INVOCAÇÕES'!$AH$41&amp;""</f>
        <v/>
      </c>
      <c r="EU8" s="164">
        <f>'INVOCAÇÕES'!$AH$42&amp;""</f>
        <v/>
      </c>
      <c r="EV8" s="164">
        <f>'INVOCAÇÕES'!$AH$43&amp;""</f>
        <v/>
      </c>
      <c r="EW8" s="164">
        <f>'INVOCAÇÕES'!$AH$44&amp;""</f>
        <v/>
      </c>
      <c r="EX8" s="164">
        <f>'INVOCAÇÕES'!$AC$93&amp;""</f>
        <v/>
      </c>
      <c r="EY8" s="164">
        <f>'INVOCAÇÕES'!$AC$94&amp;""</f>
        <v/>
      </c>
      <c r="EZ8" s="164">
        <f>'INVOCAÇÕES'!$AC$95&amp;""</f>
        <v/>
      </c>
      <c r="FA8" s="164">
        <f>'INVOCAÇÕES'!$AC$96&amp;""</f>
        <v/>
      </c>
      <c r="FB8" s="164">
        <f>'INVOCAÇÕES'!$AC$97&amp;""</f>
        <v/>
      </c>
      <c r="FC8" s="164">
        <f>'INVOCAÇÕES'!$AC$98&amp;""</f>
        <v/>
      </c>
      <c r="FD8" s="164">
        <f>'INVOCAÇÕES'!$AC$99&amp;""</f>
        <v/>
      </c>
      <c r="FE8" s="164">
        <f>'INVOCAÇÕES'!$AC$100&amp;""</f>
        <v/>
      </c>
      <c r="FF8" s="164">
        <f>'INVOCAÇÕES'!$AC$195&amp;""</f>
        <v/>
      </c>
      <c r="FG8" s="164">
        <f>'INVOCAÇÕES'!$AC$196&amp;""</f>
        <v/>
      </c>
      <c r="FH8" s="164">
        <f>'INVOCAÇÕES'!$AC$197&amp;""</f>
        <v/>
      </c>
      <c r="FI8" s="164">
        <f>MAX(3,MIN(7,N('INVOCAÇÕES'!$AB$202)))</f>
        <v/>
      </c>
      <c r="FJ8" s="164">
        <f>MAX(3,MIN(7,N('INVOCAÇÕES'!$AH$202)))</f>
        <v/>
      </c>
      <c r="FK8" s="164">
        <f>MAX(3,MIN(7,N('INVOCAÇÕES'!$AN$202)))</f>
        <v/>
      </c>
      <c r="FL8" s="164">
        <f>'INVOCAÇÕES'!$AH$216&amp;""</f>
        <v/>
      </c>
      <c r="FM8" s="164">
        <f>IF($DE8&lt;&gt;"",1,0)</f>
        <v/>
      </c>
      <c r="FN8" s="164">
        <f>IFERROR(VLOOKUP($DG8,$BP$2:$BQ$5,2,FALSE),1)</f>
        <v/>
      </c>
      <c r="FO8" s="164">
        <f>IF($FN8=1,$DB$2,IF($FN8=2,MIN($DB$2,IF(MAX(1,MIN($DB$2,IF($DH8=0,$DB$2,$DH8)))&lt;=4,4,IF(MAX(1,MIN($DB$2,IF($DH8=0,$DB$2,$DH8)))&lt;=8,8,IF(MAX(1,MIN($DB$2,IF($DH8=0,$DB$2,$DH8)))&lt;=12,12,IF(MAX(1,MIN($DB$2,IF($DH8=0,$DB$2,$DH8)))&lt;=16,16,IF(MAX(1,MIN($DB$2,IF($DH8=0,$DB$2,$DH8)))&lt;=20,20,IF(MAX(1,MIN($DB$2,IF($DH8=0,$DB$2,$DH8)))&lt;=25,25,IF(MAX(1,MIN($DB$2,IF($DH8=0,$DB$2,$DH8)))&lt;=30,30,30)))))))),MAX(1,MIN($DB$2,IF($DH8=0,$DB$2,$DH8)))))</f>
        <v/>
      </c>
      <c r="FP8" s="164">
        <f>VLOOKUP(MAX(1,$FO8),$A$2:$D$8,2,TRUE)</f>
        <v/>
      </c>
      <c r="FQ8" s="164">
        <f>VLOOKUP(MAX(1,$FO8),$A$2:$D$8,3,TRUE)</f>
        <v/>
      </c>
      <c r="FR8" s="164">
        <f>$DJ8+$DO8</f>
        <v/>
      </c>
      <c r="FS8" s="164">
        <f>$DK8+$DP8</f>
        <v/>
      </c>
      <c r="FT8" s="164">
        <f>$DL8+$DQ8</f>
        <v/>
      </c>
      <c r="FU8" s="164">
        <f>$DM8+$DR8</f>
        <v/>
      </c>
      <c r="FV8" s="164">
        <f>$DN8+$DS8</f>
        <v/>
      </c>
      <c r="FW8" s="164">
        <f>SUM($DJ8:$DN8)</f>
        <v/>
      </c>
      <c r="FX8" s="164">
        <f>9+$FY8</f>
        <v/>
      </c>
      <c r="FY8" s="164">
        <f>COUNTIF($F$2:$F$8,"&lt;="&amp;$FO8)</f>
        <v/>
      </c>
      <c r="FZ8" s="164">
        <f>MAX(0,$DJ8-3)+MAX(0,$DK8-3)+MAX(0,$DL8-3)+MAX(0,$DM8-3)+MAX(0,$DN8-3)</f>
        <v/>
      </c>
      <c r="GA8" s="164">
        <f>IFERROR(INDEX($FR8:$FV8,1,MATCH($DT8,$BU$2:$BU$6,0)),"")</f>
        <v/>
      </c>
      <c r="GB8" s="164">
        <f>IF($GA8="","",$GA8+$DB$3+$DW8)</f>
        <v/>
      </c>
      <c r="GC8" s="164">
        <f>IF($GA8="","",8+$GA8+$DB$3+$DX8)</f>
        <v/>
      </c>
      <c r="GD8" s="164">
        <f>10+$FS8+$DB$7+$DY8</f>
        <v/>
      </c>
      <c r="GE8" s="164">
        <f>IF(IFERROR(VLOOKUP(SUBSTITUTE(SUBSTITUTE(SUBSTITUTE($DF8,"~","~~"),"*","~*"),"?","~?"),'DADOS_ENTIDADES'!$M$2:$P$16,2,FALSE),0)=1,1,0)</f>
        <v/>
      </c>
      <c r="GF8" s="164">
        <f>5+$FT8+(3+$GE8+$FT8)*($FO8-1)+$DZ8</f>
        <v/>
      </c>
      <c r="GG8" s="164">
        <f>IF($FM8=0,"",$GF8)</f>
        <v/>
      </c>
      <c r="GH8" s="164">
        <f>IF($EF8="",$GF8,MAX(0,MIN(IFERROR(VALUE($EF8),$GF8),$GF8)))</f>
        <v/>
      </c>
      <c r="GI8" s="164">
        <f>IF(AND($FM8=1,$EJ8&lt;&gt;"Sem alma"),MAX(1,INT($GF8/2)),"")</f>
        <v/>
      </c>
      <c r="GJ8" s="164">
        <f>$GI8</f>
        <v/>
      </c>
      <c r="GK8" s="164">
        <f>IF($GI8="","",IF($EK8="",$GI8,MAX(0,MIN(IFERROR(VALUE($EK8),$GI8),$GI8))))</f>
        <v/>
      </c>
      <c r="GL8" s="164">
        <f>IF($FM8=0,"",IF($GI8="","—",$GI8))</f>
        <v/>
      </c>
      <c r="GM8" s="164">
        <f>IF($FM8=0,"",IF($GI8="","Sem alma · imune a dano de Alma",IF($GK8&lt;=0,"Estágio 4 · caída, como a zero de vida",IF($GK8&lt;=$GI8/4,"Estágio 3 · desvantagem em ataques e TRs, Classe pela metade",IF($GK8&lt;=$GI8/2,"Estágio 2 · metade do deslocamento, +1 PE por Classe",IF($GK8&lt;=$GI8*3/4,"Estágio 1 · desvantagem em perícias","Alma inteira"))))))</f>
        <v/>
      </c>
      <c r="GN8" s="164">
        <f>9+$EA8</f>
        <v/>
      </c>
      <c r="GO8" s="164">
        <f>IF($DU8="Destreza",$FS8,$FR8)</f>
        <v/>
      </c>
      <c r="GP8" s="164">
        <f>$GO8+IF($DV8="Físico",$DB$3,0)+$EB8</f>
        <v/>
      </c>
      <c r="GQ8" s="164">
        <f>$FT8+IF($DV8="Vigor",$DB$3,0)+$EC8</f>
        <v/>
      </c>
      <c r="GR8" s="164">
        <f>$FU8+IF($DV8="Intelecto",$DB$3,0)+$ED8</f>
        <v/>
      </c>
      <c r="GS8" s="164">
        <f>$FV8+IF($DV8="Espírito",$DB$3,0)+$EE8</f>
        <v/>
      </c>
      <c r="GT8" s="164">
        <f>4+INT($DM8/2)</f>
        <v/>
      </c>
      <c r="GU8" s="164">
        <f>COUNTIF($EQ8:$EW8,"?*")</f>
        <v/>
      </c>
      <c r="GV8" s="164">
        <f>INT((2+$FO8/2)/2)</f>
        <v/>
      </c>
      <c r="GW8" s="164">
        <f>IF($FO8&gt;=11,2,1)</f>
        <v/>
      </c>
      <c r="GX8" s="164">
        <f>1+$FY8</f>
        <v/>
      </c>
      <c r="GY8" s="164">
        <f>COUNTIF($EX8:$FE8,"?*")</f>
        <v/>
      </c>
      <c r="GZ8" s="164">
        <f>IF(AND(IFERROR(VLOOKUP(SUBSTITUTE(SUBSTITUTE(SUBSTITUTE($DF8,"~","~~"),"*","~*"),"?","~?"),'DADOS_ENTIDADES'!$M$2:$P$16,3,FALSE),0)=1,$DI8="Com carga"),MAX(1,CEILING($FP8/2,1)),$FP8)</f>
        <v/>
      </c>
      <c r="HA8" s="164">
        <f>2*$FP8</f>
        <v/>
      </c>
      <c r="HB8" s="164">
        <f>$FO8*(1+INT($DN8/3))</f>
        <v/>
      </c>
      <c r="HC8" s="164">
        <f>5+$FR8</f>
        <v/>
      </c>
      <c r="HD8" s="164">
        <f>(COUNTIF($EL8:$EP8,"?*")+COUNTIF($QV8:$QY8,"?*"))</f>
        <v/>
      </c>
      <c r="HE8" s="164">
        <f>IF($EL8="",0,IF((COUNTIF($EL8:$EP8,$EL8)+COUNTIF($QV8:$QY8,$EL8))&gt;1,1,0))+IF($EM8="",0,IF((COUNTIF($EL8:$EP8,$EM8)+COUNTIF($QV8:$QY8,$EM8))&gt;1,1,0))+IF($EN8="",0,IF((COUNTIF($EL8:$EP8,$EN8)+COUNTIF($QV8:$QY8,$EN8))&gt;1,1,0))+IF($EO8="",0,IF((COUNTIF($EL8:$EP8,$EO8)+COUNTIF($QV8:$QY8,$EO8))&gt;1,1,0))+IF($EP8="",0,IF((COUNTIF($EL8:$EP8,$EP8)+COUNTIF($QV8:$QY8,$EP8))&gt;1,1,0))+IF($QV$8="",0,IF(COUNTIF($EL8:$EP8,$QV$8)+COUNTIF($QV8:$QY8,$QV$8)&gt;1,1,0))+IF($QW$8="",0,IF(COUNTIF($EL8:$EP8,$QW$8)+COUNTIF($QV8:$QY8,$QW$8)&gt;1,1,0))+IF($QX$8="",0,IF(COUNTIF($EL8:$EP8,$QX$8)+COUNTIF($QV8:$QY8,$QX$8)&gt;1,1,0))+IF($QY$8="",0,IF(COUNTIF($EL8:$EP8,$QY$8)+COUNTIF($QV8:$QY8,$QY$8)&gt;1,1,0))</f>
        <v/>
      </c>
      <c r="HF8" s="164">
        <f>IF(DADOS_INVOC!$DB$4="Invocação Principal",'CONFIGURAÇÃO'!$H$143,IF(OR(DADOS_INVOC!$DB$4="Parceria",DADOS_INVOC!$DB$4="Múltiplas Invocações"),'CONFIGURAÇÃO'!$H$141,'CONFIGURAÇÃO'!$H$139))+IF($QZ$8="Não autônoma",'CONFIGURAÇÃO'!$H$145,0)</f>
        <v/>
      </c>
      <c r="HG8" s="164">
        <f>IF($FM8=0,"INVOCAÇÃO 7 · lugar vazio",$DE8&amp;" · "&amp;$DF8&amp;" · nível "&amp;$FO8&amp;" · vida "&amp;$GH8&amp;" de "&amp;$GF8)</f>
        <v/>
      </c>
      <c r="HH8" s="164">
        <f>IF($FM8=0,"VAZIA",UPPER($DE8))</f>
        <v/>
      </c>
      <c r="HI8" s="164">
        <f>IF($DB$3&gt;=0,"+","−")&amp;ABS($DB$3)</f>
        <v/>
      </c>
      <c r="HJ8" s="164">
        <f>$GZ8&amp;" PE"</f>
        <v/>
      </c>
      <c r="HK8" s="164">
        <f>$HA8&amp;" PE"</f>
        <v/>
      </c>
      <c r="HL8" s="164">
        <f>IF(OR($FW8&gt;$FX8,$FZ8&gt;$FY8),"⚠ ",IF(AND($FM8=1,$FW8&lt;$FX8),"! ",""))&amp;"ATRIBUTOS · "&amp;$FW8&amp;" DE "&amp;$FX8&amp;" PONTOS"&amp;IF($FZ8&gt;$FY8," · ACIMA DE 3 SÓ COM MARCO","")</f>
        <v/>
      </c>
      <c r="HM8" s="164">
        <f>IF($GB8="","",IF($GB8&gt;=0,"+","−")&amp;ABS($GB8))</f>
        <v/>
      </c>
      <c r="HN8" s="164">
        <f>IF($GC8="","",$GC8)</f>
        <v/>
      </c>
      <c r="HO8" s="164">
        <f>SUBSTITUTE(IF($EI8&gt;2*$HC8,0,IF($EI8&gt;$HC8,$GN8/2,$GN8))&amp;" m",".",",")</f>
        <v/>
      </c>
      <c r="HP8" s="164">
        <f>IF($GP8&gt;=0,"+","−")&amp;ABS($GP8)</f>
        <v/>
      </c>
      <c r="HQ8" s="164">
        <f>IF($GQ8&gt;=0,"+","−")&amp;ABS($GQ8)</f>
        <v/>
      </c>
      <c r="HR8" s="164">
        <f>IF($GR8&gt;=0,"+","−")&amp;ABS($GR8)</f>
        <v/>
      </c>
      <c r="HS8" s="164">
        <f>IF($GS8&gt;=0,"+","−")&amp;ABS($GS8)</f>
        <v/>
      </c>
      <c r="HT8" s="164">
        <f>IF($GU8&gt;$GT8,"⚠ ","")&amp;"PERÍCIAS · "&amp;$GU8&amp;" DE "&amp;$GT8</f>
        <v/>
      </c>
      <c r="HU8" s="164">
        <f>IF($EQ8="","",IFERROR(IF((INDEX($FR8:$FV8,1,MATCH(VLOOKUP(SUBSTITUTE(SUBSTITUTE(SUBSTITUTE($EQ8,"~","~~"),"*","~*"),"?","~?"),'DADOS_PROGRESSAO'!$AG$2:$AH$34,2,FALSE),$BU$2:$BU$6,0))+$DB$3)&gt;=0,"+","−")&amp;ABS((INDEX($FR8:$FV8,1,MATCH(VLOOKUP(SUBSTITUTE(SUBSTITUTE(SUBSTITUTE($EQ8,"~","~~"),"*","~*"),"?","~?"),'DADOS_PROGRESSAO'!$AG$2:$AH$34,2,FALSE),$BU$2:$BU$6,0))+$DB$3)),""))</f>
        <v/>
      </c>
      <c r="HV8" s="164">
        <f>IF($ER8="","",IFERROR(IF((INDEX($FR8:$FV8,1,MATCH(VLOOKUP(SUBSTITUTE(SUBSTITUTE(SUBSTITUTE($ER8,"~","~~"),"*","~*"),"?","~?"),'DADOS_PROGRESSAO'!$AG$2:$AH$34,2,FALSE),$BU$2:$BU$6,0))+$DB$3)&gt;=0,"+","−")&amp;ABS((INDEX($FR8:$FV8,1,MATCH(VLOOKUP(SUBSTITUTE(SUBSTITUTE(SUBSTITUTE($ER8,"~","~~"),"*","~*"),"?","~?"),'DADOS_PROGRESSAO'!$AG$2:$AH$34,2,FALSE),$BU$2:$BU$6,0))+$DB$3)),""))</f>
        <v/>
      </c>
      <c r="HW8" s="164">
        <f>IF($ES8="","",IFERROR(IF((INDEX($FR8:$FV8,1,MATCH(VLOOKUP(SUBSTITUTE(SUBSTITUTE(SUBSTITUTE($ES8,"~","~~"),"*","~*"),"?","~?"),'DADOS_PROGRESSAO'!$AG$2:$AH$34,2,FALSE),$BU$2:$BU$6,0))+$DB$3)&gt;=0,"+","−")&amp;ABS((INDEX($FR8:$FV8,1,MATCH(VLOOKUP(SUBSTITUTE(SUBSTITUTE(SUBSTITUTE($ES8,"~","~~"),"*","~*"),"?","~?"),'DADOS_PROGRESSAO'!$AG$2:$AH$34,2,FALSE),$BU$2:$BU$6,0))+$DB$3)),""))</f>
        <v/>
      </c>
      <c r="HX8" s="164">
        <f>IF($ET8="","",IFERROR(IF((INDEX($FR8:$FV8,1,MATCH(VLOOKUP(SUBSTITUTE(SUBSTITUTE(SUBSTITUTE($ET8,"~","~~"),"*","~*"),"?","~?"),'DADOS_PROGRESSAO'!$AG$2:$AH$34,2,FALSE),$BU$2:$BU$6,0))+$DB$3)&gt;=0,"+","−")&amp;ABS((INDEX($FR8:$FV8,1,MATCH(VLOOKUP(SUBSTITUTE(SUBSTITUTE(SUBSTITUTE($ET8,"~","~~"),"*","~*"),"?","~?"),'DADOS_PROGRESSAO'!$AG$2:$AH$34,2,FALSE),$BU$2:$BU$6,0))+$DB$3)),""))</f>
        <v/>
      </c>
      <c r="HY8" s="164">
        <f>IF($EU8="","",IFERROR(IF((INDEX($FR8:$FV8,1,MATCH(VLOOKUP(SUBSTITUTE(SUBSTITUTE(SUBSTITUTE($EU8,"~","~~"),"*","~*"),"?","~?"),'DADOS_PROGRESSAO'!$AG$2:$AH$34,2,FALSE),$BU$2:$BU$6,0))+$DB$3)&gt;=0,"+","−")&amp;ABS((INDEX($FR8:$FV8,1,MATCH(VLOOKUP(SUBSTITUTE(SUBSTITUTE(SUBSTITUTE($EU8,"~","~~"),"*","~*"),"?","~?"),'DADOS_PROGRESSAO'!$AG$2:$AH$34,2,FALSE),$BU$2:$BU$6,0))+$DB$3)),""))</f>
        <v/>
      </c>
      <c r="HZ8" s="164">
        <f>IF($EV8="","",IFERROR(IF((INDEX($FR8:$FV8,1,MATCH(VLOOKUP(SUBSTITUTE(SUBSTITUTE(SUBSTITUTE($EV8,"~","~~"),"*","~*"),"?","~?"),'DADOS_PROGRESSAO'!$AG$2:$AH$34,2,FALSE),$BU$2:$BU$6,0))+$DB$3)&gt;=0,"+","−")&amp;ABS((INDEX($FR8:$FV8,1,MATCH(VLOOKUP(SUBSTITUTE(SUBSTITUTE(SUBSTITUTE($EV8,"~","~~"),"*","~*"),"?","~?"),'DADOS_PROGRESSAO'!$AG$2:$AH$34,2,FALSE),$BU$2:$BU$6,0))+$DB$3)),""))</f>
        <v/>
      </c>
      <c r="IA8" s="164">
        <f>IF($EW8="","",IFERROR(IF((INDEX($FR8:$FV8,1,MATCH(VLOOKUP(SUBSTITUTE(SUBSTITUTE(SUBSTITUTE($EW8,"~","~~"),"*","~*"),"?","~?"),'DADOS_PROGRESSAO'!$AG$2:$AH$34,2,FALSE),$BU$2:$BU$6,0))+$DB$3)&gt;=0,"+","−")&amp;ABS((INDEX($FR8:$FV8,1,MATCH(VLOOKUP(SUBSTITUTE(SUBSTITUTE(SUBSTITUTE($EW8,"~","~~"),"*","~*"),"?","~?"),'DADOS_PROGRESSAO'!$AG$2:$AH$34,2,FALSE),$BU$2:$BU$6,0))+$DB$3)),""))</f>
        <v/>
      </c>
      <c r="IB8" s="164">
        <f>IF(IFERROR(VLOOKUP(SUBSTITUTE(SUBSTITUTE(SUBSTITUTE($DF8,"~","~~"),"*","~*"),"?","~?"),'DADOS_ENTIDADES'!$M$2:$P$16,4,FALSE),0)=1,"RESERVA · MÁX. "&amp;$HB8,"RESERVA DE PE")</f>
        <v/>
      </c>
      <c r="IC8" s="164">
        <f>IF($EI8&gt;2*$HC8,"⚠ ",IF($EI8&gt;$HC8,"! ",""))&amp;"EQUIPAMENTO · "&amp;$EI8&amp;" DE "&amp;$HC8&amp;" DE VOLUME"&amp;IF($EI8&gt;2*$HC8," · PASSOU DO DOBRO",IF($EI8&gt;$HC8," · ACIMA DO LIMITE",""))</f>
        <v/>
      </c>
      <c r="ID8" s="164">
        <f>IF(OR($HE8&gt;0,$HD8&gt;$HF8),"⚠ ","")&amp;"FAMÍLIAS · "&amp;$HD8&amp;" ABERTAS"&amp;IF($HE8&gt;0," · REPETIDA","")&amp;IF($HD8&gt;$HF8," · O LIMITE É "&amp;$HF8,"")&amp;IF(OR($RA$8&gt;$HF$8,$HF$8&gt;9)," · LIMITES INCOMPATÍVEIS","")</f>
        <v/>
      </c>
      <c r="IE8" s="164">
        <f>"HABILIDADES · básica de "&amp;$FQ8&amp;"d6 · "&amp;$GV8&amp;IF($GV8&gt;1," espaços"," espaço")&amp;" de especial até a Classe "&amp;$FP8&amp;" · "&amp;$GX8&amp;IF($GX8&gt;1," talentos"," talento")</f>
        <v/>
      </c>
      <c r="IF8" s="164">
        <f>IF($GY8&gt;$GX8,"⚠ ","")&amp;"TALENTOS · "&amp;$GY8&amp;" DE "&amp;$GX8</f>
        <v/>
      </c>
      <c r="IG8" s="164">
        <f>IFERROR(VLOOKUP(SUBSTITUTE(SUBSTITUTE(SUBSTITUTE($EX8,"~","~~"),"*","~*"),"?","~?"),'DADOS_ENTIDADES'!$AI$2:$AL$35,2,FALSE),0)</f>
        <v/>
      </c>
      <c r="IH8" s="164">
        <f>IFERROR(VLOOKUP(SUBSTITUTE(SUBSTITUTE(SUBSTITUTE($EY8,"~","~~"),"*","~*"),"?","~?"),'DADOS_ENTIDADES'!$AI$2:$AL$35,2,FALSE),0)</f>
        <v/>
      </c>
      <c r="II8" s="164">
        <f>IFERROR(VLOOKUP(SUBSTITUTE(SUBSTITUTE(SUBSTITUTE($EZ8,"~","~~"),"*","~*"),"?","~?"),'DADOS_ENTIDADES'!$AI$2:$AL$35,2,FALSE),0)</f>
        <v/>
      </c>
      <c r="IJ8" s="164">
        <f>IFERROR(VLOOKUP(SUBSTITUTE(SUBSTITUTE(SUBSTITUTE($FA8,"~","~~"),"*","~*"),"?","~?"),'DADOS_ENTIDADES'!$AI$2:$AL$35,2,FALSE),0)</f>
        <v/>
      </c>
      <c r="IK8" s="164">
        <f>IFERROR(VLOOKUP(SUBSTITUTE(SUBSTITUTE(SUBSTITUTE($FB8,"~","~~"),"*","~*"),"?","~?"),'DADOS_ENTIDADES'!$AI$2:$AL$35,2,FALSE),0)</f>
        <v/>
      </c>
      <c r="IL8" s="164">
        <f>IFERROR(VLOOKUP(SUBSTITUTE(SUBSTITUTE(SUBSTITUTE($FC8,"~","~~"),"*","~*"),"?","~?"),'DADOS_ENTIDADES'!$AI$2:$AL$35,2,FALSE),0)</f>
        <v/>
      </c>
      <c r="IM8" s="164">
        <f>IFERROR(VLOOKUP(SUBSTITUTE(SUBSTITUTE(SUBSTITUTE($FD8,"~","~~"),"*","~*"),"?","~?"),'DADOS_ENTIDADES'!$AI$2:$AL$35,2,FALSE),0)</f>
        <v/>
      </c>
      <c r="IN8" s="164">
        <f>IFERROR(VLOOKUP(SUBSTITUTE(SUBSTITUTE(SUBSTITUTE($FE8,"~","~~"),"*","~*"),"?","~?"),'DADOS_ENTIDADES'!$AI$2:$AL$35,2,FALSE),0)</f>
        <v/>
      </c>
      <c r="IO8" s="164">
        <f>IF($EX8="","",IF(1&gt;$FO8,"⚠ Este talento abre no nível 1",IF($IG8&gt;1,"⚠ Categoria "&amp;$IG8&amp;": este ganho vai até a 1 · ","")&amp;IFERROR(VLOOKUP(SUBSTITUTE(SUBSTITUTE(SUBSTITUTE($EX8,"~","~~"),"*","~*"),"?","~?"),'DADOS_ENTIDADES'!$AI$2:$AL$35,3,FALSE),"")))</f>
        <v/>
      </c>
      <c r="IP8" s="164">
        <f>IF($EY8="","",IF(6&gt;$FO8,"⚠ Este talento abre no nível 6",IF($IH8&gt;1,"⚠ Categoria "&amp;$IH8&amp;": este ganho vai até a 1 · ","")&amp;IFERROR(VLOOKUP(SUBSTITUTE(SUBSTITUTE(SUBSTITUTE($EY8,"~","~~"),"*","~*"),"?","~?"),'DADOS_ENTIDADES'!$AI$2:$AL$35,3,FALSE),"")))</f>
        <v/>
      </c>
      <c r="IQ8" s="164">
        <f>IF($EZ8="","",IF(10&gt;$FO8,"⚠ Este talento abre no nível 10",IF($II8&gt;2,"⚠ Categoria "&amp;$II8&amp;": este ganho vai até a 2 · ","")&amp;IFERROR(VLOOKUP(SUBSTITUTE(SUBSTITUTE(SUBSTITUTE($EZ8,"~","~~"),"*","~*"),"?","~?"),'DADOS_ENTIDADES'!$AI$2:$AL$35,3,FALSE),"")))</f>
        <v/>
      </c>
      <c r="IR8" s="164">
        <f>IF($FA8="","",IF(14&gt;$FO8,"⚠ Este talento abre no nível 14",IF($IJ8&gt;3,"⚠ Categoria "&amp;$IJ8&amp;": este ganho vai até a 3 · ","")&amp;IFERROR(VLOOKUP(SUBSTITUTE(SUBSTITUTE(SUBSTITUTE($FA8,"~","~~"),"*","~*"),"?","~?"),'DADOS_ENTIDADES'!$AI$2:$AL$35,3,FALSE),"")))</f>
        <v/>
      </c>
      <c r="IS8" s="164">
        <f>IF($FB8="","",IF(18&gt;$FO8,"⚠ Este talento abre no nível 18",IF($IK8&gt;3,"⚠ Categoria "&amp;$IK8&amp;": este ganho vai até a 3 · ","")&amp;IFERROR(VLOOKUP(SUBSTITUTE(SUBSTITUTE(SUBSTITUTE($FB8,"~","~~"),"*","~*"),"?","~?"),'DADOS_ENTIDADES'!$AI$2:$AL$35,3,FALSE),"")))</f>
        <v/>
      </c>
      <c r="IT8" s="164">
        <f>IF($FC8="","",IF(22&gt;$FO8,"⚠ Este talento abre no nível 22",IF($IL8&gt;3,"⚠ Categoria "&amp;$IL8&amp;": este ganho vai até a 3 · ","")&amp;IFERROR(VLOOKUP(SUBSTITUTE(SUBSTITUTE(SUBSTITUTE($FC8,"~","~~"),"*","~*"),"?","~?"),'DADOS_ENTIDADES'!$AI$2:$AL$35,3,FALSE),"")))</f>
        <v/>
      </c>
      <c r="IU8" s="164">
        <f>IF($FD8="","",IF(26&gt;$FO8,"⚠ Este talento abre no nível 26",IF($IM8&gt;3,"⚠ Categoria "&amp;$IM8&amp;": este ganho vai até a 3 · ","")&amp;IFERROR(VLOOKUP(SUBSTITUTE(SUBSTITUTE(SUBSTITUTE($FD8,"~","~~"),"*","~*"),"?","~?"),'DADOS_ENTIDADES'!$AI$2:$AL$35,3,FALSE),"")))</f>
        <v/>
      </c>
      <c r="IV8" s="164">
        <f>IF($FE8="","",IF(30&gt;$FO8,"⚠ Este talento abre no nível 30",IF($IN8&gt;3,"⚠ Categoria "&amp;$IN8&amp;": este ganho vai até a 3 · ","")&amp;IFERROR(VLOOKUP(SUBSTITUTE(SUBSTITUTE(SUBSTITUTE($FE8,"~","~~"),"*","~*"),"?","~?"),'DADOS_ENTIDADES'!$AI$2:$AL$35,3,FALSE),"")))</f>
        <v/>
      </c>
      <c r="IW8" s="164">
        <f>IF($FF8="","",IFERROR(VLOOKUP(SUBSTITUTE(SUBSTITUTE(SUBSTITUTE($FF8,"~","~~"),"*","~*"),"?","~?"),'DADOS_ENTIDADES'!$AI$2:$AL$35,3,FALSE),""))</f>
        <v/>
      </c>
      <c r="IX8" s="164">
        <f>IF($FG8="","",IFERROR(VLOOKUP(SUBSTITUTE(SUBSTITUTE(SUBSTITUTE($FG8,"~","~~"),"*","~*"),"?","~?"),'DADOS_ENTIDADES'!$AI$2:$AL$35,3,FALSE),""))</f>
        <v/>
      </c>
      <c r="IY8" s="164">
        <f>IF($FH8="","",IFERROR(VLOOKUP(SUBSTITUTE(SUBSTITUTE(SUBSTITUTE($FH8,"~","~~"),"*","~*"),"?","~?"),'DADOS_ENTIDADES'!$AI$2:$AL$35,3,FALSE),""))</f>
        <v/>
      </c>
      <c r="IZ8" s="164">
        <f>CEILING(4.5*$FI8,1)&amp;" PE"</f>
        <v/>
      </c>
      <c r="JA8" s="164">
        <f>CEILING(4.5*$FJ8,1)&amp;" PE"</f>
        <v/>
      </c>
      <c r="JB8" s="164">
        <f>CEILING(4.5*$FK8,1)&amp;" PE"</f>
        <v/>
      </c>
      <c r="JC8" s="164">
        <f>INDEX($P$2:$P$8,$FI8)&amp;" pontos + "&amp;$FI8&amp;"d8"</f>
        <v/>
      </c>
      <c r="JD8" s="164">
        <f>INDEX($P$2:$P$8,$FJ8)&amp;" pontos + "&amp;$FJ8&amp;"d8"</f>
        <v/>
      </c>
      <c r="JE8" s="164">
        <f>INDEX($P$2:$P$8,$FK8)&amp;" pontos + "&amp;$FK8&amp;"d8"</f>
        <v/>
      </c>
      <c r="JF8" s="164">
        <f>IF($FO8&lt;17,"—",VLOOKUP($FO8,$CP$2:$CS$4,4,TRUE)&amp;" PE")</f>
        <v/>
      </c>
      <c r="JG8" s="164">
        <f>IF($FO8&lt;17,"Abre no nível 17",VLOOKUP($FO8,$CP$2:$CS$4,2,TRUE)&amp;" fixos · "&amp;VLOOKUP($FO8,$CP$2:$CS$4,3,TRUE)&amp;" pontos")</f>
        <v/>
      </c>
      <c r="JH8" s="164">
        <f>IF($FL8="Sem Barreiras",7,6)*$FP8&amp;" PE"</f>
        <v/>
      </c>
      <c r="JI8" s="164">
        <f>"Acerto "&amp;MAX(0,INDEX($P$2:$P$8,$FP8)-INDEX($I$2:$N$8,$FP8,2+3*IF(AND(IFERROR(VLOOKUP(SUBSTITUTE(SUBSTITUTE(SUBSTITUTE("Inescapável","~","~~"),"*","~*"),"?","~?"),'DADOS_MELHORIAS'!$AG$2:$AL$113,2,FALSE),"")&lt;&gt;"",COUNTIF($RB$8:$RJ$8,IFERROR(VLOOKUP(SUBSTITUTE(SUBSTITUTE(SUBSTITUTE("Inescapável","~","~~"),"*","~*"),"?","~?"),'DADOS_MELHORIAS'!$AG$2:$AL$113,2,FALSE),""))&gt;0),1,0)))&amp;"d8"</f>
        <v/>
      </c>
      <c r="JJ8" s="164">
        <f>IFERROR(VLOOKUP($FL8,$CU$2:$CW$4,3,FALSE),"Escolha o degrau")</f>
        <v/>
      </c>
      <c r="JK8" s="164">
        <f>7&amp;" · "&amp;IF($FM8=0,"vazia",$DE8&amp;" · nv "&amp;$FO8&amp;" · "&amp;$GH8&amp;"/"&amp;$GF8)</f>
        <v/>
      </c>
      <c r="JO8" s="162" t="inlineStr">
        <is>
          <t>Invocação 7</t>
        </is>
      </c>
      <c r="JP8" s="164">
        <f>ADDRESS(ROW('INVOCAÇÕES'!D27),COLUMN('INVOCAÇÕES'!D27),4)</f>
        <v/>
      </c>
      <c r="JQ8" s="164">
        <f>ADDRESS(ROW('INVOCAÇÕES'!AA9),COLUMN('INVOCAÇÕES'!AA9),4)</f>
        <v/>
      </c>
      <c r="JR8" s="162" t="inlineStr">
        <is>
          <t>DADOS_INVOC!$JK$8</t>
        </is>
      </c>
      <c r="JT8" s="164">
        <f>IF(OR($AW8="",(COUNTIF($EL$2:$EP$2,$AW8)+COUNTIF($QV$2:$QY$2,$AW8))&gt;0),$AV8,"")</f>
        <v/>
      </c>
      <c r="JU8" s="164">
        <f>IF(AND($AX8=1,OR($AW8="",(COUNTIF($EL$2:$EP$2,$AW8)+COUNTIF($QV$2:$QY$2,$AW8))&gt;0)),$AV8,"")</f>
        <v/>
      </c>
      <c r="JW8" s="164">
        <f>IF(OR($W8="",(COUNTIF($EL$2:$EP$2,$W8)+COUNTIF($QV$2:$QY$2,$W8))&gt;0),$V8,"")</f>
        <v/>
      </c>
      <c r="JX8" s="164">
        <f>IF(AND($AF8=1,OR($W8="",(COUNTIF($EL$2:$EP$2,$W8)+COUNTIF($QV$2:$QY$2,$W8))&gt;0)),$V8,"")</f>
        <v/>
      </c>
      <c r="JZ8" s="164">
        <f>IF(OR($AW8="",(COUNTIF($EL$3:$EP$3,$AW8)+COUNTIF($QV$3:$QY$3,$AW8))&gt;0),$AV8,"")</f>
        <v/>
      </c>
      <c r="KA8" s="164">
        <f>IF(AND($AX8=1,OR($AW8="",(COUNTIF($EL$3:$EP$3,$AW8)+COUNTIF($QV$3:$QY$3,$AW8))&gt;0)),$AV8,"")</f>
        <v/>
      </c>
      <c r="KC8" s="164">
        <f>IF(OR($W8="",(COUNTIF($EL$3:$EP$3,$W8)+COUNTIF($QV$3:$QY$3,$W8))&gt;0),$V8,"")</f>
        <v/>
      </c>
      <c r="KD8" s="164">
        <f>IF(AND($AF8=1,OR($W8="",(COUNTIF($EL$3:$EP$3,$W8)+COUNTIF($QV$3:$QY$3,$W8))&gt;0)),$V8,"")</f>
        <v/>
      </c>
      <c r="KF8" s="164">
        <f>IF(OR($AW8="",(COUNTIF($EL$4:$EP$4,$AW8)+COUNTIF($QV$4:$QY$4,$AW8))&gt;0),$AV8,"")</f>
        <v/>
      </c>
      <c r="KG8" s="164">
        <f>IF(AND($AX8=1,OR($AW8="",(COUNTIF($EL$4:$EP$4,$AW8)+COUNTIF($QV$4:$QY$4,$AW8))&gt;0)),$AV8,"")</f>
        <v/>
      </c>
      <c r="KI8" s="164">
        <f>IF(OR($W8="",(COUNTIF($EL$4:$EP$4,$W8)+COUNTIF($QV$4:$QY$4,$W8))&gt;0),$V8,"")</f>
        <v/>
      </c>
      <c r="KJ8" s="164">
        <f>IF(AND($AF8=1,OR($W8="",(COUNTIF($EL$4:$EP$4,$W8)+COUNTIF($QV$4:$QY$4,$W8))&gt;0)),$V8,"")</f>
        <v/>
      </c>
      <c r="KL8" s="164">
        <f>IF(OR($AW8="",(COUNTIF($EL$5:$EP$5,$AW8)+COUNTIF($QV$5:$QY$5,$AW8))&gt;0),$AV8,"")</f>
        <v/>
      </c>
      <c r="KM8" s="164">
        <f>IF(AND($AX8=1,OR($AW8="",(COUNTIF($EL$5:$EP$5,$AW8)+COUNTIF($QV$5:$QY$5,$AW8))&gt;0)),$AV8,"")</f>
        <v/>
      </c>
      <c r="KO8" s="164">
        <f>IF(OR($W8="",(COUNTIF($EL$5:$EP$5,$W8)+COUNTIF($QV$5:$QY$5,$W8))&gt;0),$V8,"")</f>
        <v/>
      </c>
      <c r="KP8" s="164">
        <f>IF(AND($AF8=1,OR($W8="",(COUNTIF($EL$5:$EP$5,$W8)+COUNTIF($QV$5:$QY$5,$W8))&gt;0)),$V8,"")</f>
        <v/>
      </c>
      <c r="KR8" s="164">
        <f>IF(OR($AW8="",(COUNTIF($EL$6:$EP$6,$AW8)+COUNTIF($QV$6:$QY$6,$AW8))&gt;0),$AV8,"")</f>
        <v/>
      </c>
      <c r="KS8" s="164">
        <f>IF(AND($AX8=1,OR($AW8="",(COUNTIF($EL$6:$EP$6,$AW8)+COUNTIF($QV$6:$QY$6,$AW8))&gt;0)),$AV8,"")</f>
        <v/>
      </c>
      <c r="KU8" s="164">
        <f>IF(OR($W8="",(COUNTIF($EL$6:$EP$6,$W8)+COUNTIF($QV$6:$QY$6,$W8))&gt;0),$V8,"")</f>
        <v/>
      </c>
      <c r="KV8" s="164">
        <f>IF(AND($AF8=1,OR($W8="",(COUNTIF($EL$6:$EP$6,$W8)+COUNTIF($QV$6:$QY$6,$W8))&gt;0)),$V8,"")</f>
        <v/>
      </c>
      <c r="KX8" s="164">
        <f>IF(OR($AW8="",(COUNTIF($EL$7:$EP$7,$AW8)+COUNTIF($QV$7:$QY$7,$AW8))&gt;0),$AV8,"")</f>
        <v/>
      </c>
      <c r="KY8" s="164">
        <f>IF(AND($AX8=1,OR($AW8="",(COUNTIF($EL$7:$EP$7,$AW8)+COUNTIF($QV$7:$QY$7,$AW8))&gt;0)),$AV8,"")</f>
        <v/>
      </c>
      <c r="LA8" s="164">
        <f>IF(OR($W8="",(COUNTIF($EL$7:$EP$7,$W8)+COUNTIF($QV$7:$QY$7,$W8))&gt;0),$V8,"")</f>
        <v/>
      </c>
      <c r="LB8" s="164">
        <f>IF(AND($AF8=1,OR($W8="",(COUNTIF($EL$7:$EP$7,$W8)+COUNTIF($QV$7:$QY$7,$W8))&gt;0)),$V8,"")</f>
        <v/>
      </c>
      <c r="LD8" s="164">
        <f>IF(OR($AW8="",(COUNTIF($EL$8:$EP$8,$AW8)+COUNTIF($QV$8:$QY$8,$AW8))&gt;0),$AV8,"")</f>
        <v/>
      </c>
      <c r="LE8" s="164">
        <f>IF(AND($AX8=1,OR($AW8="",(COUNTIF($EL$8:$EP$8,$AW8)+COUNTIF($QV$8:$QY$8,$AW8))&gt;0)),$AV8,"")</f>
        <v/>
      </c>
      <c r="LG8" s="164">
        <f>IF(OR($W8="",(COUNTIF($EL$8:$EP$8,$W8)+COUNTIF($QV$8:$QY$8,$W8))&gt;0),$V8,"")</f>
        <v/>
      </c>
      <c r="LH8" s="164">
        <f>IF(AND($AF8=1,OR($W8="",(COUNTIF($EL$8:$EP$8,$W8)+COUNTIF($QV$8:$QY$8,$W8))&gt;0)),$V8,"")</f>
        <v/>
      </c>
      <c r="LJ8" s="164">
        <f>IF(OR($AW8="",(COUNTIF($EL$9:$EP$9,$AW8)+COUNTIF($QV$9:$QY$9,$AW8))&gt;0),$AV8,"")</f>
        <v/>
      </c>
      <c r="LK8" s="164">
        <f>IF(AND($AX8=1,OR($AW8="",(COUNTIF($EL$9:$EP$9,$AW8)+COUNTIF($QV$9:$QY$9,$AW8))&gt;0)),$AV8,"")</f>
        <v/>
      </c>
      <c r="LM8" s="164">
        <f>IF(OR($W8="",(COUNTIF($EL$9:$EP$9,$W8)+COUNTIF($QV$9:$QY$9,$W8))&gt;0),$V8,"")</f>
        <v/>
      </c>
      <c r="LN8" s="164">
        <f>IF(AND($AF8=1,OR($W8="",(COUNTIF($EL$9:$EP$9,$W8)+COUNTIF($QV$9:$QY$9,$W8))&gt;0)),$V8,"")</f>
        <v/>
      </c>
      <c r="LP8" s="164">
        <f>IF(OR($AW8="",(COUNTIF($EL$10:$EP$10,$AW8)+COUNTIF($QV$10:$QY$10,$AW8))&gt;0),$AV8,"")</f>
        <v/>
      </c>
      <c r="LQ8" s="164">
        <f>IF(AND($AX8=1,OR($AW8="",(COUNTIF($EL$10:$EP$10,$AW8)+COUNTIF($QV$10:$QY$10,$AW8))&gt;0)),$AV8,"")</f>
        <v/>
      </c>
      <c r="LS8" s="164">
        <f>IF(OR($W8="",(COUNTIF($EL$10:$EP$10,$W8)+COUNTIF($QV$10:$QY$10,$W8))&gt;0),$V8,"")</f>
        <v/>
      </c>
      <c r="LT8" s="164">
        <f>IF(AND($AF8=1,OR($W8="",(COUNTIF($EL$10:$EP$10,$W8)+COUNTIF($QV$10:$QY$10,$W8))&gt;0)),$V8,"")</f>
        <v/>
      </c>
      <c r="LV8" s="164">
        <f>IF(OR($AW8="",(COUNTIF($EL$11:$EP$11,$AW8)+COUNTIF($QV$11:$QY$11,$AW8))&gt;0),$AV8,"")</f>
        <v/>
      </c>
      <c r="LW8" s="164">
        <f>IF(AND($AX8=1,OR($AW8="",(COUNTIF($EL$11:$EP$11,$AW8)+COUNTIF($QV$11:$QY$11,$AW8))&gt;0)),$AV8,"")</f>
        <v/>
      </c>
      <c r="LY8" s="164">
        <f>IF(OR($W8="",(COUNTIF($EL$11:$EP$11,$W8)+COUNTIF($QV$11:$QY$11,$W8))&gt;0),$V8,"")</f>
        <v/>
      </c>
      <c r="LZ8" s="164">
        <f>IF(AND($AF8=1,OR($W8="",(COUNTIF($EL$11:$EP$11,$W8)+COUNTIF($QV$11:$QY$11,$W8))&gt;0)),$V8,"")</f>
        <v/>
      </c>
      <c r="MB8" s="164">
        <f>IF(OR($AW8="",(COUNTIF($EL$12:$EP$12,$AW8)+COUNTIF($QV$12:$QY$12,$AW8))&gt;0),$AV8,"")</f>
        <v/>
      </c>
      <c r="MC8" s="164">
        <f>IF(AND($AX8=1,OR($AW8="",(COUNTIF($EL$12:$EP$12,$AW8)+COUNTIF($QV$12:$QY$12,$AW8))&gt;0)),$AV8,"")</f>
        <v/>
      </c>
      <c r="ME8" s="164">
        <f>IF(OR($W8="",(COUNTIF($EL$12:$EP$12,$W8)+COUNTIF($QV$12:$QY$12,$W8))&gt;0),$V8,"")</f>
        <v/>
      </c>
      <c r="MF8" s="164">
        <f>IF(AND($AF8=1,OR($W8="",(COUNTIF($EL$12:$EP$12,$W8)+COUNTIF($QV$12:$QY$12,$W8))&gt;0)),$V8,"")</f>
        <v/>
      </c>
      <c r="MH8" s="164">
        <f>IF(OR($AW8="",(COUNTIF($EL$13:$EP$13,$AW8)+COUNTIF($QV$13:$QY$13,$AW8))&gt;0),$AV8,"")</f>
        <v/>
      </c>
      <c r="MI8" s="164">
        <f>IF(AND($AX8=1,OR($AW8="",(COUNTIF($EL$13:$EP$13,$AW8)+COUNTIF($QV$13:$QY$13,$AW8))&gt;0)),$AV8,"")</f>
        <v/>
      </c>
      <c r="MK8" s="164">
        <f>IF(OR($W8="",(COUNTIF($EL$13:$EP$13,$W8)+COUNTIF($QV$13:$QY$13,$W8))&gt;0),$V8,"")</f>
        <v/>
      </c>
      <c r="ML8" s="164">
        <f>IF(AND($AF8=1,OR($W8="",(COUNTIF($EL$13:$EP$13,$W8)+COUNTIF($QV$13:$QY$13,$W8))&gt;0)),$V8,"")</f>
        <v/>
      </c>
      <c r="MN8" s="162" t="inlineStr">
        <is>
          <t>Ficha 1 · Especial 5</t>
        </is>
      </c>
      <c r="MO8" s="164" t="n">
        <v>1</v>
      </c>
      <c r="MP8" s="164" t="n">
        <v>1</v>
      </c>
      <c r="MQ8" s="164" t="n">
        <v>16</v>
      </c>
      <c r="MR8" s="162" t="inlineStr">
        <is>
          <t>ESPECIAL 5</t>
        </is>
      </c>
      <c r="MS8" s="164">
        <f>MAX(1,MIN(7,N('INVOCAÇÕES'!$I$127)))</f>
        <v/>
      </c>
      <c r="MT8" s="164">
        <f>'INVOCAÇÕES'!$J$127&amp;""</f>
        <v/>
      </c>
      <c r="MU8" s="164">
        <f>'INVOCAÇÕES'!$I$132&amp;""</f>
        <v/>
      </c>
      <c r="MV8" s="164">
        <f>'INVOCAÇÕES'!$I$133&amp;""</f>
        <v/>
      </c>
      <c r="MW8" s="164">
        <f>'INVOCAÇÕES'!$K$133&amp;""</f>
        <v/>
      </c>
      <c r="MX8" s="164">
        <f>'INVOCAÇÕES'!$J$136&amp;""</f>
        <v/>
      </c>
      <c r="MY8" s="164">
        <f>'INVOCAÇÕES'!$J$137&amp;""</f>
        <v/>
      </c>
      <c r="MZ8" s="164">
        <f>'INVOCAÇÕES'!$J$138&amp;""</f>
        <v/>
      </c>
      <c r="NA8" s="164">
        <f>'INVOCAÇÕES'!$J$139&amp;""</f>
        <v/>
      </c>
      <c r="NB8" s="164">
        <f>'INVOCAÇÕES'!$J$140&amp;""</f>
        <v/>
      </c>
      <c r="NC8" s="164">
        <f>'INVOCAÇÕES'!$J$141&amp;""</f>
        <v/>
      </c>
      <c r="ND8" s="164">
        <f>IF($MT8&lt;&gt;"",1,0)</f>
        <v/>
      </c>
      <c r="NE8" s="164">
        <f>INDEX($FO$2:$FO$13,$MO8)</f>
        <v/>
      </c>
      <c r="NF8" s="164">
        <f>INDEX($FP$2:$FP$13,$MO8)</f>
        <v/>
      </c>
      <c r="NG8" s="164">
        <f>INDEX($FQ$2:$FQ$13,$MO8)</f>
        <v/>
      </c>
      <c r="NH8" s="164">
        <f>INDEX($GB$2:$GB$13,$MO8)</f>
        <v/>
      </c>
      <c r="NI8" s="164">
        <f>INDEX($GC$2:$GC$13,$MO8)</f>
        <v/>
      </c>
      <c r="NJ8" s="164">
        <f>IFERROR(MATCH(SUBSTITUTE(SUBSTITUTE(SUBSTITUTE($MU8,"~","~~"),"*","~*"),"?","~?"),'DADOS_FORMAS'!$FZ$2:$FZ$21,0),0)</f>
        <v/>
      </c>
      <c r="NK8" s="164">
        <f>IFERROR(VLOOKUP(SUBSTITUTE(SUBSTITUTE(SUBSTITUTE($MX8,"~","~~"),"*","~*"),"?","~?"),'DADOS_MELHORIAS'!$AG$2:$AL$113,2,FALSE),"")</f>
        <v/>
      </c>
      <c r="NL8" s="164">
        <f>IFERROR(VLOOKUP(SUBSTITUTE(SUBSTITUTE(SUBSTITUTE($MY8,"~","~~"),"*","~*"),"?","~?"),'DADOS_MELHORIAS'!$AG$2:$AL$113,2,FALSE),"")</f>
        <v/>
      </c>
      <c r="NM8" s="164">
        <f>IFERROR(VLOOKUP(SUBSTITUTE(SUBSTITUTE(SUBSTITUTE($MZ8,"~","~~"),"*","~*"),"?","~?"),'DADOS_MELHORIAS'!$AG$2:$AL$113,2,FALSE),"")</f>
        <v/>
      </c>
      <c r="NN8" s="164">
        <f>IFERROR(VLOOKUP(SUBSTITUTE(SUBSTITUTE(SUBSTITUTE($NA8,"~","~~"),"*","~*"),"?","~?"),'DADOS_MELHORIAS'!$AG$2:$AL$113,2,FALSE),"")</f>
        <v/>
      </c>
      <c r="NO8" s="164">
        <f>IFERROR(VLOOKUP(SUBSTITUTE(SUBSTITUTE(SUBSTITUTE($MX8,"~","~~"),"*","~*"),"?","~?"),'DADOS_MELHORIAS'!$AG$2:$AL$113,3,FALSE),0)</f>
        <v/>
      </c>
      <c r="NP8" s="164">
        <f>IFERROR(VLOOKUP(SUBSTITUTE(SUBSTITUTE(SUBSTITUTE($MY8,"~","~~"),"*","~*"),"?","~?"),'DADOS_MELHORIAS'!$AG$2:$AL$113,3,FALSE),0)</f>
        <v/>
      </c>
      <c r="NQ8" s="164">
        <f>IFERROR(VLOOKUP(SUBSTITUTE(SUBSTITUTE(SUBSTITUTE($MZ8,"~","~~"),"*","~*"),"?","~?"),'DADOS_MELHORIAS'!$AG$2:$AL$113,3,FALSE),0)</f>
        <v/>
      </c>
      <c r="NR8" s="164">
        <f>IFERROR(VLOOKUP(SUBSTITUTE(SUBSTITUTE(SUBSTITUTE($NA8,"~","~~"),"*","~*"),"?","~?"),'DADOS_MELHORIAS'!$AG$2:$AL$113,3,FALSE),0)</f>
        <v/>
      </c>
      <c r="NS8" s="164">
        <f>IF($MS8=0,0,IF($NJ8=0,0,INDEX('DADOS_FORMAS'!$GB$2:$GB$21,$NJ8)))</f>
        <v/>
      </c>
      <c r="NT8" s="164">
        <f>IF(OR($NO8=0,$MS8=0),0,$NO8+3*IF(AND($NK8&lt;&gt;"",COUNTIF(INDEX($RB$2:$RJ$13,$MO8,0),$NK8)&gt;0),1,0))</f>
        <v/>
      </c>
      <c r="NU8" s="164">
        <f>IF(OR($NP8=0,$MS8=0),0,$NP8+3*IF(AND($NL8&lt;&gt;"",COUNTIF(INDEX($RB$2:$RJ$13,$MO8,0),$NL8)&gt;0),1,0))</f>
        <v/>
      </c>
      <c r="NV8" s="164">
        <f>IF(OR($NQ8=0,$MS8=0),0,$NQ8+3*IF(AND($NM8&lt;&gt;"",COUNTIF(INDEX($RB$2:$RJ$13,$MO8,0),$NM8)&gt;0),1,0))</f>
        <v/>
      </c>
      <c r="NW8" s="164">
        <f>IF(OR($NR8=0,$MS8=0),0,$NR8+3*IF(AND($NN8&lt;&gt;"",COUNTIF(INDEX($RB$2:$RJ$13,$MO8,0),$NN8)&gt;0),1,0))</f>
        <v/>
      </c>
      <c r="NX8" s="164">
        <f>IF($NJ8=0,0,IF(INDEX('DADOS_FORMAS'!$GA$2:$GA$21,$NJ8)="",0,IF((COUNTIF(INDEX($EL$2:$EP$13,$MO8,0),INDEX('DADOS_FORMAS'!$GA$2:$GA$21,$NJ8))+COUNTIF(INDEX($QV$2:$QY$13,$MO8,0),INDEX('DADOS_FORMAS'!$GA$2:$GA$21,$NJ8)))=0,1,0)))</f>
        <v/>
      </c>
      <c r="NY8" s="164">
        <f>IF(OR($NO8=0,$NK8=""),0,IF((COUNTIF(INDEX($EL$2:$EP$13,$MO8,0),$NK8)+COUNTIF(INDEX($QV$2:$QY$13,$MO8,0),$NK8))=0,1,0))</f>
        <v/>
      </c>
      <c r="NZ8" s="164">
        <f>IF(OR($NP8=0,$NL8=""),0,IF((COUNTIF(INDEX($EL$2:$EP$13,$MO8,0),$NL8)+COUNTIF(INDEX($QV$2:$QY$13,$MO8,0),$NL8))=0,1,0))</f>
        <v/>
      </c>
      <c r="OA8" s="164">
        <f>IF(OR($NQ8=0,$NM8=""),0,IF((COUNTIF(INDEX($EL$2:$EP$13,$MO8,0),$NM8)+COUNTIF(INDEX($QV$2:$QY$13,$MO8,0),$NM8))=0,1,0))</f>
        <v/>
      </c>
      <c r="OB8" s="164">
        <f>IF(OR($NR8=0,$NN8=""),0,IF((COUNTIF(INDEX($EL$2:$EP$13,$MO8,0),$NN8)+COUNTIF(INDEX($QV$2:$QY$13,$MO8,0),$NN8))=0,1,0))</f>
        <v/>
      </c>
      <c r="OC8" s="164">
        <f>IFERROR(VLOOKUP(SUBSTITUTE(SUBSTITUTE(SUBSTITUTE($MX8,"~","~~"),"*","~*"),"?","~?"),'DADOS_MELHORIAS'!$AG$2:$AL$113,4,FALSE),0)+IFERROR(VLOOKUP(SUBSTITUTE(SUBSTITUTE(SUBSTITUTE($MY8,"~","~~"),"*","~*"),"?","~?"),'DADOS_MELHORIAS'!$AG$2:$AL$113,4,FALSE),0)+IFERROR(VLOOKUP(SUBSTITUTE(SUBSTITUTE(SUBSTITUTE($MZ8,"~","~~"),"*","~*"),"?","~?"),'DADOS_MELHORIAS'!$AG$2:$AL$113,4,FALSE),0)+IFERROR(VLOOKUP(SUBSTITUTE(SUBSTITUTE(SUBSTITUTE($NA8,"~","~~"),"*","~*"),"?","~?"),'DADOS_MELHORIAS'!$AG$2:$AL$113,4,FALSE),0)</f>
        <v/>
      </c>
      <c r="OD8" s="164">
        <f>IFERROR(VLOOKUP(SUBSTITUTE(SUBSTITUTE(SUBSTITUTE($MX8,"~","~~"),"*","~*"),"?","~?"),'DADOS_MELHORIAS'!$AG$2:$AL$113,6,FALSE),0)+IFERROR(VLOOKUP(SUBSTITUTE(SUBSTITUTE(SUBSTITUTE($MY8,"~","~~"),"*","~*"),"?","~?"),'DADOS_MELHORIAS'!$AG$2:$AL$113,6,FALSE),0)+IFERROR(VLOOKUP(SUBSTITUTE(SUBSTITUTE(SUBSTITUTE($MZ8,"~","~~"),"*","~*"),"?","~?"),'DADOS_MELHORIAS'!$AG$2:$AL$113,6,FALSE),0)+IFERROR(VLOOKUP(SUBSTITUTE(SUBSTITUTE(SUBSTITUTE($NA8,"~","~~"),"*","~*"),"?","~?"),'DADOS_MELHORIAS'!$AG$2:$AL$113,6,FALSE),0)+IFERROR(N(AND(INDEX('DADOS_FORMAS'!$AO$2:$AO$21,MATCH(SUBSTITUTE(SUBSTITUTE(SUBSTITUTE($MU8,"~","~~"),"*","~*"),"?","~?"),'DADOS_FORMAS'!$AH$2:$AH$21,0))="Acerto",$OH8=1)),0)</f>
        <v/>
      </c>
      <c r="OE8" s="164">
        <f>TEXTJOIN(", ",TRUE,IF(IFERROR(VLOOKUP(SUBSTITUTE(SUBSTITUTE(SUBSTITUTE($MX8,"~","~~"),"*","~*"),"?","~?"),'DADOS_MELHORIAS'!$AG$2:$AL$113,5,FALSE),0)=1,$MX8,""),IF(IFERROR(VLOOKUP(SUBSTITUTE(SUBSTITUTE(SUBSTITUTE($MY8,"~","~~"),"*","~*"),"?","~?"),'DADOS_MELHORIAS'!$AG$2:$AL$113,5,FALSE),0)=1,$MY8,""),IF(IFERROR(VLOOKUP(SUBSTITUTE(SUBSTITUTE(SUBSTITUTE($MZ8,"~","~~"),"*","~*"),"?","~?"),'DADOS_MELHORIAS'!$AG$2:$AL$113,5,FALSE),0)=1,$MZ8,""),IF(IFERROR(VLOOKUP(SUBSTITUTE(SUBSTITUTE(SUBSTITUTE($NA8,"~","~~"),"*","~*"),"?","~?"),'DADOS_MELHORIAS'!$AG$2:$AL$113,5,FALSE),0)=1,$NA8,""))</f>
        <v/>
      </c>
      <c r="OF8" s="164">
        <f>IF($NJ8=0,0,INDEX('DADOS_FORMAS'!$GC$2:$GC$21,$NJ8))</f>
        <v/>
      </c>
      <c r="OG8" s="164">
        <f>IF($NJ8=0,0,INDEX('DADOS_FORMAS'!$GD$2:$GD$21,$NJ8))</f>
        <v/>
      </c>
      <c r="OH8" s="164">
        <f>IF($NJ8=0,0,INDEX('DADOS_FORMAS'!$GF$2:$GF$21,$NJ8))</f>
        <v/>
      </c>
      <c r="OI8" s="164">
        <f>IFERROR(VLOOKUP(SUBSTITUTE(SUBSTITUTE(SUBSTITUTE($NB8,"~","~~"),"*","~*"),"?","~?"),'DADOS_RESTRICOES'!$M$2:$Q$54,3,FALSE),0)</f>
        <v/>
      </c>
      <c r="OJ8" s="164">
        <f>IFERROR(VLOOKUP(SUBSTITUTE(SUBSTITUTE(SUBSTITUTE($NC8,"~","~~"),"*","~*"),"?","~?"),'DADOS_RESTRICOES'!$M$2:$Q$54,3,FALSE),0)</f>
        <v/>
      </c>
      <c r="OK8" s="164">
        <f>IFERROR(VLOOKUP(SUBSTITUTE(SUBSTITUTE(SUBSTITUTE($NB8,"~","~~"),"*","~*"),"?","~?"),'DADOS_RESTRICOES'!$M$2:$Q$54,2,FALSE),"")</f>
        <v/>
      </c>
      <c r="OL8" s="164">
        <f>IFERROR(VLOOKUP(SUBSTITUTE(SUBSTITUTE(SUBSTITUTE($NC8,"~","~~"),"*","~*"),"?","~?"),'DADOS_RESTRICOES'!$M$2:$Q$54,2,FALSE),"")</f>
        <v/>
      </c>
      <c r="OM8" s="164">
        <f>COUNTIF($NS8:$NW8,1)</f>
        <v/>
      </c>
      <c r="ON8" s="164">
        <f>COUNTIF($NS8:$NW8,2)</f>
        <v/>
      </c>
      <c r="OO8" s="164">
        <f>COUNTIF($NS8:$NW8,3)</f>
        <v/>
      </c>
      <c r="OP8" s="164">
        <f>COUNTIF($NS8:$NW8,4)</f>
        <v/>
      </c>
      <c r="OQ8" s="164">
        <f>COUNTIF($NS8:$NW8,5)</f>
        <v/>
      </c>
      <c r="OR8" s="164">
        <f>COUNTIF($NS8:$NW8,6)</f>
        <v/>
      </c>
      <c r="OS8" s="164">
        <f>COUNTIF($OI8:$OJ8,1)+IF(IFERROR(INDEX('DADOS_FORMAS'!$AS$2:$AS$21,MATCH(SUBSTITUTE(SUBSTITUTE(SUBSTITUTE($MU8,"~","~~"),"*","~*"),"?","~?"),'DADOS_FORMAS'!$AH$2:$AH$21,0)),"")="",0,IFERROR(N(VLOOKUP(SUBSTITUTE(SUBSTITUTE(SUBSTITUTE(IFERROR(INDEX('DADOS_FORMAS'!$AS$2:$AS$21,MATCH(SUBSTITUTE(SUBSTITUTE(SUBSTITUTE($MU8,"~","~~"),"*","~*"),"?","~?"),'DADOS_FORMAS'!$AH$2:$AH$21,0)),""),"~","~~"),"*","~*"),"?","~?"),'DADOS_RESTRICOES'!$M$2:$Q$54,3,FALSE)=1),0))</f>
        <v/>
      </c>
      <c r="OT8" s="164">
        <f>COUNTIF($OI8:$OJ8,2)+IF(IFERROR(INDEX('DADOS_FORMAS'!$AS$2:$AS$21,MATCH(SUBSTITUTE(SUBSTITUTE(SUBSTITUTE($MU8,"~","~~"),"*","~*"),"?","~?"),'DADOS_FORMAS'!$AH$2:$AH$21,0)),"")="",0,IFERROR(N(VLOOKUP(SUBSTITUTE(SUBSTITUTE(SUBSTITUTE(IFERROR(INDEX('DADOS_FORMAS'!$AS$2:$AS$21,MATCH(SUBSTITUTE(SUBSTITUTE(SUBSTITUTE($MU8,"~","~~"),"*","~*"),"?","~?"),'DADOS_FORMAS'!$AH$2:$AH$21,0)),""),"~","~~"),"*","~*"),"?","~?"),'DADOS_RESTRICOES'!$M$2:$Q$54,3,FALSE)=2),0))</f>
        <v/>
      </c>
      <c r="OU8" s="164">
        <f>COUNTIF($MX8:$NA8,"?*")</f>
        <v/>
      </c>
      <c r="OV8" s="164">
        <f>COUNTIF($NB8:$NC8,"?*")+$OF8</f>
        <v/>
      </c>
      <c r="OW8" s="164">
        <f>IF($MS8=0,0,SUMPRODUCT($OM8:$OR8,INDEX($I$2:$N$8,MAX(1,$MS8),0)))</f>
        <v/>
      </c>
      <c r="OX8" s="164">
        <f>IF($MS8=0,0,$OS8*CEILING($MS8/2,1)+$OT8*$MS8)</f>
        <v/>
      </c>
      <c r="OY8" s="164">
        <f>MIN(2*$MS8,$OX8)</f>
        <v/>
      </c>
      <c r="OZ8" s="164">
        <f>MIN($OY8,$OW8-IF($NS8=0,0,INDEX($I$2:$N$8,MAX(1,$MS8),$NS8)))</f>
        <v/>
      </c>
      <c r="PA8" s="164">
        <f>$OY8-$OZ8</f>
        <v/>
      </c>
      <c r="PB8" s="164">
        <f>IF($MS8=0,0,INDEX($P$2:$P$8,MAX(1,$MS8)))</f>
        <v/>
      </c>
      <c r="PC8" s="164">
        <f>$PB8-$OW8+$OZ8</f>
        <v/>
      </c>
      <c r="PD8" s="164">
        <f>IF($MS8=0,MAX(0,$NG8-IF(AND($OU8&gt;0,COUNTIF($NB8:$NC8,"?*")=0),1,0)),MAX(0,$PC8))</f>
        <v/>
      </c>
      <c r="PE8" s="164">
        <f>IF($MS8=0,0,(IF(COUNTIF($RK8:$RN8,"Salto")&gt;0,1,0)+IF(COUNTIF($RK8:$RN8,"Queima")&gt;0,1,0)+IF(COUNTIF($RK8:$RN8,"Estilhaço")&gt;0,1,0))*FLOOR($PD8/2,1))</f>
        <v/>
      </c>
      <c r="PF8" s="164">
        <f>MAX(0,2-SUMPRODUCT($OM8:$OR8,$I$2:$N$2)+MIN(2,$OS8*1+$OT8*1,SUMPRODUCT($OM8:$OR8,$I$2:$N$2)-IF($NS8=0,0,INDEX($I$2:$N$2,1,$NS8))))</f>
        <v/>
      </c>
      <c r="PG8" s="164">
        <f>MAX(0,4-SUMPRODUCT($OM8:$OR8,$I$3:$N$3)+MIN(4,$OS8*1+$OT8*2,SUMPRODUCT($OM8:$OR8,$I$3:$N$3)-IF($NS8=0,0,INDEX($I$3:$N$3,1,$NS8))))</f>
        <v/>
      </c>
      <c r="PH8" s="164">
        <f>MAX(0,6-SUMPRODUCT($OM8:$OR8,$I$4:$N$4)+MIN(6,$OS8*2+$OT8*3,SUMPRODUCT($OM8:$OR8,$I$4:$N$4)-IF($NS8=0,0,INDEX($I$4:$N$4,1,$NS8))))</f>
        <v/>
      </c>
      <c r="PI8" s="164">
        <f>MAX(0,9-SUMPRODUCT($OM8:$OR8,$I$5:$N$5)+MIN(8,$OS8*2+$OT8*4,SUMPRODUCT($OM8:$OR8,$I$5:$N$5)-IF($NS8=0,0,INDEX($I$5:$N$5,1,$NS8))))</f>
        <v/>
      </c>
      <c r="PJ8" s="164">
        <f>MAX(0,11-SUMPRODUCT($OM8:$OR8,$I$6:$N$6)+MIN(10,$OS8*3+$OT8*5,SUMPRODUCT($OM8:$OR8,$I$6:$N$6)-IF($NS8=0,0,INDEX($I$6:$N$6,1,$NS8))))</f>
        <v/>
      </c>
      <c r="PK8" s="164">
        <f>MAX(0,13-SUMPRODUCT($OM8:$OR8,$I$7:$N$7)+MIN(12,$OS8*3+$OT8*6,SUMPRODUCT($OM8:$OR8,$I$7:$N$7)-IF($NS8=0,0,INDEX($I$7:$N$7,1,$NS8))))</f>
        <v/>
      </c>
      <c r="PL8" s="164">
        <f>MAX(0,16-SUMPRODUCT($OM8:$OR8,$I$8:$N$8)+MIN(14,$OS8*4+$OT8*7,SUMPRODUCT($OM8:$OR8,$I$8:$N$8)-IF($NS8=0,0,INDEX($I$8:$N$8,1,$NS8))))</f>
        <v/>
      </c>
      <c r="PM8" s="164">
        <f>IF($OG8=2,3*$PF8&amp;" de vida temp.",IF($OG8=3,"sem dano",IF($PF8=0,IF($OG8=1,"sem cura","sem dano"),IF($OG8=1,"cura ","")&amp;$PF8&amp;"d8")))</f>
        <v/>
      </c>
      <c r="PN8" s="164">
        <f>IF($OG8=2,3*$PG8&amp;" de vida temp.",IF($OG8=3,"sem dano",IF($PG8=0,IF($OG8=1,"sem cura","sem dano"),IF($OG8=1,"cura ","")&amp;$PG8&amp;"d8")))</f>
        <v/>
      </c>
      <c r="PO8" s="164">
        <f>IF($OG8=2,3*$PH8&amp;" de vida temp.",IF($OG8=3,"sem dano",IF($PH8=0,IF($OG8=1,"sem cura","sem dano"),IF($OG8=1,"cura ","")&amp;$PH8&amp;"d8")))</f>
        <v/>
      </c>
      <c r="PP8" s="164">
        <f>IF($OG8=2,3*$PI8&amp;" de vida temp.",IF($OG8=3,"sem dano",IF($PI8=0,IF($OG8=1,"sem cura","sem dano"),IF($OG8=1,"cura ","")&amp;$PI8&amp;"d8")))</f>
        <v/>
      </c>
      <c r="PQ8" s="164">
        <f>IF($OG8=2,3*$PJ8&amp;" de vida temp.",IF($OG8=3,"sem dano",IF($PJ8=0,IF($OG8=1,"sem cura","sem dano"),IF($OG8=1,"cura ","")&amp;$PJ8&amp;"d8")))</f>
        <v/>
      </c>
      <c r="PR8" s="164">
        <f>IF($OG8=2,3*$PK8&amp;" de vida temp.",IF($OG8=3,"sem dano",IF($PK8=0,IF($OG8=1,"sem cura","sem dano"),IF($OG8=1,"cura ","")&amp;$PK8&amp;"d8")))</f>
        <v/>
      </c>
      <c r="PS8" s="164">
        <f>IF($OG8=2,3*$PL8&amp;" de vida temp.",IF($OG8=3,"sem dano",IF($PL8=0,IF($OG8=1,"sem cura","sem dano"),IF($OG8=1,"cura ","")&amp;$PL8&amp;"d8")))</f>
        <v/>
      </c>
      <c r="PT8" s="164">
        <f>IF($ND8=0,"",TEXTJOIN(" · ",TRUE,IF($ND8=0,"",TEXTJOIN(" · ",TRUE,IF($ND8=0,"",TEXTJOIN(" · ",TRUE,IF($MQ8&gt;$NE8,"Este lugar abre no nível "&amp;$MQ8,""),IF($MS8&gt;$NF8,"Classe "&amp;$MS8&amp;": o nível "&amp;$NE8&amp;" libera até a "&amp;$NF8,""),IF($NX8=1,"A Forma "&amp;$MU8&amp;" pede "&amp;INDEX('DADOS_FORMAS'!$GA$2:$GA$21,$NJ8)&amp;" aberta",""),IF(AND($MS8=0,$NJ8&gt;0,IF($NJ8=0,0,INDEX('DADOS_FORMAS'!$GJ$2:$GJ$21,$NJ8))=0),$MU8&amp;" não existe na Classe 0",""),IF($NY8=1,"Família Fechada: "&amp;$MX8,""),IF($NZ8=1,"Família Fechada: "&amp;$MY8,""),IF($OA8=1,"Família Fechada: "&amp;$MZ8,""),IF($OB8=1,"Família Fechada: "&amp;$NA8,""),IF(AND($MS8&gt;0,$OU8&gt;INDEX($O$2:$O$8,MAX(1,$MS8))),$OU8&amp;" Melhorias: a Classe "&amp;$MS8&amp;" aceita "&amp;INDEX($O$2:$O$8,MAX(1,$MS8)),""),IF(AND($MS8=0,$OU8&gt;1),"A básica aceita uma Melhoria",""),IF(AND($MS8=0,COUNTIF($NO8:$NR8,"&gt;1")&gt;0),"A básica só aceita Melhoria Leve",""),IF(AND($MS8&gt;0,$OV8&gt;2),$OV8&amp;" Restrições"&amp;IF($OF8=1,", contando a que a Forma "&amp;$MU8&amp;" já traz","")&amp;": o limite é 2",""),IF(AND($MS8=0,COUNTIF($NB8:$NC8,"?*")&gt;1),"A básica aceita uma Restrição Leve",""),IF(AND($MS8=0,COUNTIF($OI8:$OJ8,2)&gt;0),"A básica só aceita Restrição Leve",""),IF(AND($MS8&gt;0,$PC8&lt;0),"Orçamento estourado: faltam "&amp;(-$PC8)&amp;IF($PC8&lt;-1," pontos"," ponto"),""),IF(IFERROR(VLOOKUP(SUBSTITUTE(SUBSTITUTE(SUBSTITUTE($NB8,"~","~~"),"*","~*"),"?","~?"),'DADOS_RESTRICOES'!$M$2:$Q$54,4,FALSE),0)+IFERROR(VLOOKUP(SUBSTITUTE(SUBSTITUTE(SUBSTITUTE($NC8,"~","~~"),"*","~*"),"?","~?"),'DADOS_RESTRICOES'!$M$2:$Q$54,4,FALSE),0)&gt;1,$OK8&amp;" e "&amp;$OL8&amp;" são as duas de frequência",""),IF(AND((COUNTIF($RK8:$RN8,"Rápido")+COUNTIF($OK8:$OL8,"Rápido"))&gt;0,(COUNTIF($MX8:$NA8,"Atrasar")+COUNTIF($OK8:$OL8,"Atrasar"))&gt;0),"Rápido não entra com Atrasar",""),IF(AND((COUNTIF($RK8:$RN8,"Reação")+COUNTIF($OK8:$OL8,"Reação"))&gt;0,(COUNTIF($RK8:$RN8,"Rápido")+COUNTIF($OK8:$OL8,"Rápido"))&gt;0),"Reação não entra com Rápido",""),IF(AND((COUNTIF($RK8:$RN8,"Reação")+COUNTIF($OK8:$OL8,"Reação"))&gt;0,(COUNTIF($RK8:$RN8,"Armado")+COUNTIF($OK8:$OL8,"Armado"))&gt;0),"Reação não entra com Armado",""),IF(AND((COUNTIF($RK8:$RN8,"Reação")+COUNTIF($OK8:$OL8,"Reação"))&gt;0,(COUNTIF($MX8:$NA8,"Atrasar")+COUNTIF($OK8:$OL8,"Atrasar"))&gt;0),"Reação não entra com Atrasar",""),IF(AND((COUNTIF($RK8:$RN8,"Reação")+COUNTIF($OK8:$OL8,"Reação"))&gt;0,(COUNTIF($MX8:$NA8,"Parado")+COUNTIF($OK8:$OL8,"Parado"))&gt;0),"Reação não entra com Parado",""),IF(AND((COUNTIF($MX8:$NA8,"Atrasar")+COUNTIF($OK8:$OL8,"Atrasar"))&gt;0,(COUNTIF($MX8:$NA8,"Parado")+COUNTIF($OK8:$OL8,"Parado"))&gt;0),"Atrasar não entra com Parado",""),IF(AND((COUNTIF($RK8:$RN8,"Armado")+COUNTIF($OK8:$OL8,"Armado"))&gt;0,(COUNTIF($MX8:$NA8,"Carregar")+COUNTIF($OK8:$OL8,"Carregar"))&gt;0),"Armado não entra com Carregar",""),IF(AND(COUNTIF($OK8:$OL8,"Corpo a Corpo")&gt;0,$OF8=0,OR($RO8="Cone",$RO8="Linha")),"Corpo a Corpo não entra em "&amp;$MU8,""),IF(AND(COUNTIF($OK8:$OL8,"Corpo a Corpo")&gt;0,$RP8="Corpo a Corpo"),"A Forma "&amp;$MU8&amp;" já traz o Corpo a Corpo",""),IF(AND(COUNTIF($OK8:$OL8,"Tudo ou Nada")&gt;0,$OH8=0),"Tudo ou Nada só entra em habilidade de Teste de Resistência",""),IF(AND(COUNTIF($RK8:$RN8,"Inescapável")&gt;0,OR($OU8&gt;1,$OV8&gt;0)),"Inescapável não aceita outra peça",""),IF(AND($MS8&gt;0,$PD8*IF(COUNTIF($RK8:$RN8,"Remate")&gt;0,1.25,1)+$PE8&gt;4*$MS8),($PD8*IF(COUNTIF($RK8:$RN8,"Remate")&gt;0,1.25,1)+$PE8)&amp;" dados somando repetições"&amp;IF(COUNTIF($RK8:$RN8,"Remate")&gt;0," e o Remate","")&amp;": o teto da Classe "&amp;$MS8&amp;" é "&amp;4*$MS8,""))),IF(AND($MX8&lt;&gt;"",COUNTIF('DADOS_MELHORIAS'!$O$2:$O$113,SUBSTITUTE(SUBSTITUTE(SUBSTITUTE($MX8,"~","~~"),"*","~*"),"?","~?"))=0),"Melhoria não cadastrada ou com erro: "&amp;$MX8,""),IF(AND($MY8&lt;&gt;"",COUNTIF('DADOS_MELHORIAS'!$O$2:$O$113,SUBSTITUTE(SUBSTITUTE(SUBSTITUTE($MY8,"~","~~"),"*","~*"),"?","~?"))=0),"Melhoria não cadastrada ou com erro: "&amp;$MY8,""),IF(AND($MZ8&lt;&gt;"",COUNTIF('DADOS_MELHORIAS'!$O$2:$O$113,SUBSTITUTE(SUBSTITUTE(SUBSTITUTE($MZ8,"~","~~"),"*","~*"),"?","~?"))=0),"Melhoria não cadastrada ou com erro: "&amp;$MZ8,""),IF(AND($NA8&lt;&gt;"",COUNTIF('DADOS_MELHORIAS'!$O$2:$O$113,SUBSTITUTE(SUBSTITUTE(SUBSTITUTE($NA8,"~","~~"),"*","~*"),"?","~?"))=0),"Melhoria não cadastrada ou com erro: "&amp;$NA8,""),IF(AND($NB8&lt;&gt;"",COUNTIF('DADOS_RESTRICOES'!$M$2:$M$54,SUBSTITUTE(SUBSTITUTE(SUBSTITUTE($NB8,"~","~~"),"*","~*"),"?","~?"))=0),"Restrição não cadastrada ou com erro: "&amp;$NB8,""),IF(AND($NC8&lt;&gt;"",COUNTIF('DADOS_RESTRICOES'!$M$2:$M$54,SUBSTITUTE(SUBSTITUTE(SUBSTITUTE($NC8,"~","~~"),"*","~*"),"?","~?"))=0),"Restrição não cadastrada ou com erro: "&amp;$NC8,""))),IF(AND($MU8&lt;&gt;"",COUNTIF('DADOS_FORMAS'!$AH$2:$AH$21,SUBSTITUTE(SUBSTITUTE(SUBSTITUTE($MU8,"~","~~"),"*","~*"),"?","~?"))=0),"Forma não cadastrada ou com erro: "&amp;$MU8,""),IF(AND(IFERROR(INDEX('DADOS_FORMAS'!$AS$2:$AS$21,MATCH(SUBSTITUTE(SUBSTITUTE(SUBSTITUTE($MU8,"~","~~"),"*","~*"),"?","~?"),'DADOS_FORMAS'!$AH$2:$AH$21,0)),"")&lt;&gt;"",OR(IFERROR(VLOOKUP(SUBSTITUTE(SUBSTITUTE(SUBSTITUTE(IFERROR(INDEX('DADOS_FORMAS'!$AS$2:$AS$21,MATCH(SUBSTITUTE(SUBSTITUTE(SUBSTITUTE($MU8,"~","~~"),"*","~*"),"?","~?"),'DADOS_FORMAS'!$AH$2:$AH$21,0)),""),"~","~~"),"*","~*"),"?","~?"),'DADOS_RESTRICOES'!$M$2:$Q$54,2,FALSE),"")=$OK8,IFERROR(VLOOKUP(SUBSTITUTE(SUBSTITUTE(SUBSTITUTE(IFERROR(INDEX('DADOS_FORMAS'!$AS$2:$AS$21,MATCH(SUBSTITUTE(SUBSTITUTE(SUBSTITUTE($MU8,"~","~~"),"*","~*"),"?","~?"),'DADOS_FORMAS'!$AH$2:$AH$21,0)),""),"~","~~"),"*","~*"),"?","~?"),'DADOS_RESTRICOES'!$M$2:$Q$54,2,FALSE),"")=$OL8)),"Restrição repetida, contando a embutida",""),IF(IF(IFERROR(INDEX('DADOS_FORMAS'!$AS$2:$AS$21,MATCH(SUBSTITUTE(SUBSTITUTE(SUBSTITUTE($MU8,"~","~~"),"*","~*"),"?","~?"),'DADOS_FORMAS'!$AH$2:$AH$21,0)),"")="",0,IFERROR(N(VLOOKUP(SUBSTITUTE(SUBSTITUTE(SUBSTITUTE(IFERROR(INDEX('DADOS_FORMAS'!$AS$2:$AS$21,MATCH(SUBSTITUTE(SUBSTITUTE(SUBSTITUTE($MU8,"~","~~"),"*","~*"),"?","~?"),'DADOS_FORMAS'!$AH$2:$AH$21,0)),""),"~","~~"),"*","~*"),"?","~?"),'DADOS_RESTRICOES'!$M$2:$Q$54,4,FALSE)=1),0))+IF($NB8="",0,IFERROR(N(VLOOKUP(SUBSTITUTE(SUBSTITUTE(SUBSTITUTE($NB8,"~","~~"),"*","~*"),"?","~?"),'DADOS_RESTRICOES'!$M$2:$Q$54,4,FALSE)=1),0))+IF($NC8="",0,IFERROR(N(VLOOKUP(SUBSTITUTE(SUBSTITUTE(SUBSTITUTE($NC8,"~","~~"),"*","~*"),"?","~?"),'DADOS_RESTRICOES'!$M$2:$Q$54,4,FALSE)=1),0))&gt;1,"Duas Restrições de frequência, contando a embutida",""),IF(AND(IFERROR(VLOOKUP(SUBSTITUTE(SUBSTITUTE(SUBSTITUTE(IFERROR(INDEX('DADOS_FORMAS'!$AS$2:$AS$21,MATCH(SUBSTITUTE(SUBSTITUTE(SUBSTITUTE($MU8,"~","~~"),"*","~*"),"?","~?"),'DADOS_FORMAS'!$AH$2:$AH$21,0)),""),"~","~~"),"*","~*"),"?","~?"),'DADOS_RESTRICOES'!$M$2:$Q$54,2,FALSE),"")="Tudo ou Nada",$OH8=0),"Tudo ou Nada exige TR",""),IF(AND(IFERROR(VLOOKUP(SUBSTITUTE(SUBSTITUTE(SUBSTITUTE(IFERROR(INDEX('DADOS_FORMAS'!$AS$2:$AS$21,MATCH(SUBSTITUTE(SUBSTITUTE(SUBSTITUTE($MU8,"~","~~"),"*","~*"),"?","~?"),'DADOS_FORMAS'!$AH$2:$AH$21,0)),""),"~","~~"),"*","~*"),"?","~?"),'DADOS_RESTRICOES'!$M$2:$Q$54,2,FALSE),"")="Corpo a Corpo",OR($RO8="Cone",$RO8="Linha")),"Corpo a Corpo não entra em Cone/Linha","")))</f>
        <v/>
      </c>
      <c r="PU8" s="164">
        <f>IF($PT8="",0,(LEN($PT8)-LEN(SUBSTITUTE($PT8," · ","")))/3+1)</f>
        <v/>
      </c>
      <c r="PV8" s="164">
        <f>IF($ND8=0,"",TEXTJOIN(" · ",TRUE,IF($OX8&gt;2*$MS8,"A devolução parou no teto de "&amp;2*$MS8,""),IF($PA8&gt;0,"Devolução perdida: "&amp;$PA8&amp;IF($PA8&gt;1," pontos"," ponto")&amp;" sem Melhoria para pagar",""),IF(AND($OC8&gt;0,AND($MS8&gt;0,$OG8=0),$PD8=0),"Controle sem dano: uma rodada a mais e CD +2",""),IF(AND($OC8&gt;0,AND($MS8&gt;0,$OG8=0),$PD8&gt;0,$PD8&lt;=$MS8),"Controle com saldo até a Classe: uma rodada a mais",""),IF(AND($MS8&gt;0,$OE8&lt;&gt;""),"Efeito de "&amp;$OE8&amp;" pela Classe "&amp;MAX(1,$MS8-1),"")))</f>
        <v/>
      </c>
      <c r="PW8" s="164">
        <f>IF($PV8="",0,(LEN($PV8)-LEN(SUBSTITUTE($PV8," · ","")))/3+1)</f>
        <v/>
      </c>
      <c r="PX8" s="164">
        <f>IF($ND8=0,IF($OU8+COUNTIF($NB8:$NC8,"?*")&gt;0,"Dê um nome",""),IF($PU8&gt;0,"⚠ "&amp;$PU8&amp;IF($PU8&gt;1," erros"," erro"),IF($PW8&gt;0,"! "&amp;$PW8&amp;IF($PW8&gt;1," avisos"," aviso"),"Na regra")))</f>
        <v/>
      </c>
      <c r="PY8" s="164">
        <f>IF($ND8=0,"",IF($PU8+$PW8=0,"Dentro das regras que a ficha confere",$PT8&amp;IF(AND($PU8&gt;0,$PW8&gt;0)," · ","")&amp;$PV8))</f>
        <v/>
      </c>
      <c r="PZ8" s="164">
        <f>IF($MQ8&gt;$NE8,$MR8&amp;" · ABRE NO NÍVEL "&amp;$MQ8,$MR8)</f>
        <v/>
      </c>
      <c r="QA8" s="164">
        <f>IF($ND8=0,"",IF($MS8=0,"Sem PE",3*$MS8&amp;" PE"))</f>
        <v/>
      </c>
      <c r="QB8" s="164">
        <f>IF($ND8=0,"",IF($MS8=0,"A atuação básica dela",IF(COUNTIF($RQ8:$RS8,"Atrasar")&gt;0,"Sua Ação Completa",IF(COUNTIF($RK8:$RN8,"Rápido")&gt;0,"Sua Bônus",IF(COUNTIF($RK8:$RN8,"Reação")&gt;0,"Sua Reação","Sua Padrão")))&amp;" + a básica dela"&amp;IF(COUNTIF($RK8:$RN8,"Reação")&gt;0," e a coletiva","")&amp;IF(COUNTIF($RQ8:$RS8,"Carregar")&gt;0," · em dois turnos","")))</f>
        <v/>
      </c>
      <c r="QC8" s="164">
        <f>IF($MW8&lt;&gt;"",$MW8,IF($NJ8=0,"",INDEX('DADOS_FORMAS'!$GE$2:$GE$21,$NJ8)))</f>
        <v/>
      </c>
      <c r="QD8" s="164">
        <f>IF(OR($ND8=0,$NJ8=0),"",IF(COUNTIF($RK8:$RN8,"Inescapável")&gt;0,"Automático",IF($QC8="Ataque",IF($NH8="","Ataque","Ataque "&amp;IF(($NH8+2*IF(COUNTIF($RK8:$RN8,"Precisão")&gt;0,1,0))&gt;=0,"+","−")&amp;ABS(($NH8+2*IF(COUNTIF($RK8:$RN8,"Precisão")&gt;0,1,0))))&amp;IF($OD8&gt;0," · TR"&amp;IF($NI8="",""," CD "&amp;$NI8),""),IF(LEFT($QC8,2)="TR",$QC8&amp;IF($NI8="",""," · CD "&amp;$NI8)&amp;IF(COUNTIF($RK8:$RN8,"Certeiro")&gt;0," · metade",""),"Sem rolagem"))))</f>
        <v/>
      </c>
      <c r="QE8" s="164">
        <f>IF(OR($ND8=0,$NJ8=0),"",IF($MS8=0,IF(OR($OG8&gt;=1,$PD8=0),"Sem dano",$PD8&amp;"d6"&amp;IF($MV8="",""," "&amp;$MV8)),IF(OR($OG8&gt;=1,$PD8=0),UPPER(LEFT(INDEX($PM8:$PS8,1,MAX(1,$MS8)),1))&amp;MID(INDEX($PM8:$PS8,1,MAX(1,$MS8)),2,99),UPPER(LEFT(INDEX($PM8:$PS8,1,MAX(1,$MS8)),1))&amp;MID(INDEX($PM8:$PS8,1,MAX(1,$MS8)),2,99)&amp;IF($MV8="",""," "&amp;$MV8)&amp;IF($PE8&gt;0," · +"&amp;$PE8&amp;"d8",""))))</f>
        <v/>
      </c>
      <c r="QF8" s="164">
        <f>COUNTIF($RK8:$RN8,"Longe")+3*COUNTIF($RK8:$RN8,"Muito Longe")</f>
        <v/>
      </c>
      <c r="QG8" s="164">
        <f>COUNTIF($RK8:$RN8,"Maior")+3*COUNTIF($RK8:$RN8,"Muito Maior")</f>
        <v/>
      </c>
      <c r="QH8" s="164">
        <f>IF($NJ8=0,0,CHOOSE(1+INDEX('DADOS_FORMAS'!$GG$2:$GG$21,$NJ8),0,$QF8,$QG8,$QF8+$QG8))</f>
        <v/>
      </c>
      <c r="QI8" s="164">
        <f>IF($NJ8=0,0,CHOOSE(1+INDEX('DADOS_FORMAS'!$GH$2:$GH$21,$NJ8),0,$QF8,$QG8,$QF8+$QG8))</f>
        <v/>
      </c>
      <c r="QJ8" s="164">
        <f>IF(OR($ND8=0,$NJ8=0),"",INDEX('DADOS_FORMAS'!$HU$2:$HZ$81,($NJ8-1)*4+IF($MS8=0,1,IF($MS8&lt;=5,2,IF($MS8=6,3,4))),1+MIN(5,$QH8))&amp;INDEX('DADOS_FORMAS'!$IA$2:$IF$81,($NJ8-1)*4+IF($MS8=0,1,IF($MS8&lt;=5,2,IF($MS8=6,3,4))),1+MIN(5,$QI8))&amp;IF(INDEX('DADOS_FORMAS'!$GI$2:$GI$21,$NJ8)=1,IF(COUNTIF($RK8:$RN8,"Mais Um")&gt;0," · +"&amp;COUNTIF($RK8:$RN8,"Mais Um")&amp;IF(COUNTIF($RK8:$RN8,"Mais Um")&gt;1," alvos"," alvo"),"")&amp;IF(COUNTIF($RK8:$RN8,"Rajada")&gt;0,IF($MS8=0," · 1 tiro"," · "&amp;(MAX(1,$MS8-1)+1)&amp;" tiros"),""),""))</f>
        <v/>
      </c>
      <c r="QK8" s="164">
        <f>IF($ND8=0,"",IF($MS8=0,$NG8&amp;"d6"&amp;IF($OU8&gt;0," − 1 = "&amp;$PD8&amp;"d6"," da básica do nível "&amp;$NE8),$PB8&amp;" − "&amp;$OW8&amp;" + "&amp;$OZ8&amp;" = "&amp;$PC8&amp;" · teto "&amp;4*$MS8&amp;"d8"&amp;IF($OF8=1," · a Forma devolve "&amp;$MS8,"")&amp;IF($PA8&gt;0," · perde "&amp;$PA8,"")))</f>
        <v/>
      </c>
      <c r="QL8" s="164">
        <f>IF($ND8=0,"",IF($MS8=0,"A básica não amplia: os dados dela sobem com o nível",IF($MS8&gt;=$NF8,"Já está na maior Classe que o nível liberou",TEXTJOIN(" · ",TRUE,IF(AND(2&gt;$MS8,2&lt;=$NF8),"2 → "&amp;$PN8&amp;", 6 PE",""),IF(AND(3&gt;$MS8,3&lt;=$NF8),"3 → "&amp;$PO8&amp;", 9 PE",""),IF(AND(4&gt;$MS8,4&lt;=$NF8),"4 → "&amp;$PP8&amp;", 12 PE",""),IF(AND(5&gt;$MS8,5&lt;=$NF8),"5 → "&amp;$PQ8&amp;", 15 PE",""),IF(AND(6&gt;$MS8,6&lt;=$NF8),"6 → "&amp;$PR8&amp;", 18 PE",""),IF(AND(7&gt;$MS8,7&lt;=$NF8),"7 → "&amp;$PS8&amp;", 21 PE","")))))</f>
        <v/>
      </c>
      <c r="QM8" s="164">
        <f>IF(OR($ND8=0,$NO8=0),"",IF($MS8=0,"−1 dado","−"&amp;INDEX($I$2:$N$8,MAX(1,$MS8),MAX(1,$NT8))&amp;" · "&amp;CHOOSE(MAX(1,$NT8),"Leve","Média","Pesada","Leve · Livre","Média · Livre","Pesada · Livre")))</f>
        <v/>
      </c>
      <c r="QN8" s="164">
        <f>IF(OR($ND8=0,$NP8=0),"",IF($MS8=0,"−1 dado","−"&amp;INDEX($I$2:$N$8,MAX(1,$MS8),MAX(1,$NU8))&amp;" · "&amp;CHOOSE(MAX(1,$NU8),"Leve","Média","Pesada","Leve · Livre","Média · Livre","Pesada · Livre")))</f>
        <v/>
      </c>
      <c r="QO8" s="164">
        <f>IF(OR($ND8=0,$NQ8=0),"",IF($MS8=0,"−1 dado","−"&amp;INDEX($I$2:$N$8,MAX(1,$MS8),MAX(1,$NV8))&amp;" · "&amp;CHOOSE(MAX(1,$NV8),"Leve","Média","Pesada","Leve · Livre","Média · Livre","Pesada · Livre")))</f>
        <v/>
      </c>
      <c r="QP8" s="164">
        <f>IF(OR($ND8=0,$NR8=0),"",IF($MS8=0,"−1 dado","−"&amp;INDEX($I$2:$N$8,MAX(1,$MS8),MAX(1,$NW8))&amp;" · "&amp;CHOOSE(MAX(1,$NW8),"Leve","Média","Pesada","Leve · Livre","Média · Livre","Pesada · Livre")))</f>
        <v/>
      </c>
      <c r="QQ8" s="164">
        <f>IF(OR($ND8=0,$NB8=""),"",IF($MS8=0,"não devolve","+"&amp;IF($OI8=1,CEILING($MS8/2,1),$MS8)))</f>
        <v/>
      </c>
      <c r="QR8" s="164">
        <f>IF(OR($ND8=0,$NC8=""),"",IF($MS8=0,"não devolve","+"&amp;IF($OJ8=1,CEILING($MS8/2,1),$MS8)))</f>
        <v/>
      </c>
      <c r="QV8">
        <f>'INVOCAÇÕES'!$AH$50&amp;""</f>
        <v/>
      </c>
      <c r="QW8">
        <f>'INVOCAÇÕES'!$AI$50&amp;""</f>
        <v/>
      </c>
      <c r="QX8">
        <f>'INVOCAÇÕES'!$AJ$50&amp;""</f>
        <v/>
      </c>
      <c r="QY8">
        <f>'INVOCAÇÕES'!$AK$50&amp;""</f>
        <v/>
      </c>
      <c r="QZ8">
        <f>IF('INVOCAÇÕES'!$AD$50="","Autônoma",'INVOCAÇÕES'!$AD$50)</f>
        <v/>
      </c>
      <c r="RA8">
        <f>IF(DADOS_INVOC!$DB$4="Invocação Principal",'CONFIGURAÇÃO'!$H$144,IF(OR(DADOS_INVOC!$DB$4="Parceria",DADOS_INVOC!$DB$4="Múltiplas Invocações"),'CONFIGURAÇÃO'!$H$142,'CONFIGURAÇÃO'!$H$140))+IF($QZ$8="Não autônoma",'CONFIGURAÇÃO'!$H$145,0)</f>
        <v/>
      </c>
      <c r="RB8">
        <f>IF($RA$8&gt;=1,$EL$8,"")</f>
        <v/>
      </c>
      <c r="RC8">
        <f>IF($RA$8&gt;=2,$EM$8,"")</f>
        <v/>
      </c>
      <c r="RD8">
        <f>IF($RA$8&gt;=7,$EN$8,"")</f>
        <v/>
      </c>
      <c r="RE8">
        <f>IF($RA$8&gt;=8,$EO$8,"")</f>
        <v/>
      </c>
      <c r="RF8">
        <f>IF($RA$8&gt;=9,$EP$8,"")</f>
        <v/>
      </c>
      <c r="RG8">
        <f>IF($RA$8&gt;=3,$QV$8,"")</f>
        <v/>
      </c>
      <c r="RH8">
        <f>IF($RA$8&gt;=4,$QW$8,"")</f>
        <v/>
      </c>
      <c r="RI8">
        <f>IF($RA$8&gt;=5,$QX$8,"")</f>
        <v/>
      </c>
      <c r="RJ8">
        <f>IF($RA$8&gt;=6,$QY$8,"")</f>
        <v/>
      </c>
      <c r="RK8">
        <f>IF($MX8="","",IFERROR(VLOOKUP(SUBSTITUTE(SUBSTITUTE(SUBSTITUTE($MX8,"~","~~"),"*","~*"),"?","~?"),'DADOS_MELHORIAS'!$O$2:$X$113,10,FALSE),$MX8))</f>
        <v/>
      </c>
      <c r="RL8">
        <f>IF($MY8="","",IFERROR(VLOOKUP(SUBSTITUTE(SUBSTITUTE(SUBSTITUTE($MY8,"~","~~"),"*","~*"),"?","~?"),'DADOS_MELHORIAS'!$O$2:$X$113,10,FALSE),$MY8))</f>
        <v/>
      </c>
      <c r="RM8">
        <f>IF($MZ8="","",IFERROR(VLOOKUP(SUBSTITUTE(SUBSTITUTE(SUBSTITUTE($MZ8,"~","~~"),"*","~*"),"?","~?"),'DADOS_MELHORIAS'!$O$2:$X$113,10,FALSE),$MZ8))</f>
        <v/>
      </c>
      <c r="RN8">
        <f>IF($NA8="","",IFERROR(VLOOKUP(SUBSTITUTE(SUBSTITUTE(SUBSTITUTE($NA8,"~","~~"),"*","~*"),"?","~?"),'DADOS_MELHORIAS'!$O$2:$X$113,10,FALSE),$NA8))</f>
        <v/>
      </c>
      <c r="RO8">
        <f>IFERROR(INDEX('DADOS_FORMAS'!$BJ$2:$BJ$21,MATCH(SUBSTITUTE(SUBSTITUTE(SUBSTITUTE($MU8,"~","~~"),"*","~*"),"?","~?"),'DADOS_FORMAS'!$AH$2:$AH$21,0)),"")</f>
        <v/>
      </c>
      <c r="RP8">
        <f>IFERROR(VLOOKUP(SUBSTITUTE(SUBSTITUTE(SUBSTITUTE(IFERROR(INDEX('DADOS_FORMAS'!$AS$2:$AS$21,MATCH(SUBSTITUTE(SUBSTITUTE(SUBSTITUTE($MU8,"~","~~"),"*","~*"),"?","~?"),'DADOS_FORMAS'!$AH$2:$AH$21,0)),""),"~","~~"),"*","~*"),"?","~?"),'DADOS_RESTRICOES'!$M$2:$Q$54,2,FALSE),"")</f>
        <v/>
      </c>
      <c r="RQ8">
        <f>$OK8</f>
        <v/>
      </c>
      <c r="RR8">
        <f>$OL8</f>
        <v/>
      </c>
      <c r="RS8">
        <f>$RP8</f>
        <v/>
      </c>
    </row>
    <row r="9">
      <c r="R9" s="164" t="n">
        <v>7</v>
      </c>
      <c r="V9" s="162" t="inlineStr">
        <is>
          <t>Apoio</t>
        </is>
      </c>
      <c r="W9" s="162" t="inlineStr">
        <is>
          <t>Amparo</t>
        </is>
      </c>
      <c r="X9" s="164" t="n">
        <v>0</v>
      </c>
      <c r="Y9" s="164" t="n">
        <v>0</v>
      </c>
      <c r="Z9" s="164" t="n">
        <v>2</v>
      </c>
      <c r="AA9" s="162" t="inlineStr">
        <is>
          <t>—</t>
        </is>
      </c>
      <c r="AB9" s="164" t="n">
        <v>0</v>
      </c>
      <c r="AC9" s="164" t="n">
        <v>1</v>
      </c>
      <c r="AD9" s="164" t="n">
        <v>0</v>
      </c>
      <c r="AE9" s="164" t="n">
        <v>0</v>
      </c>
      <c r="AF9" s="164" t="n">
        <v>1</v>
      </c>
      <c r="AH9" s="162" t="inlineStr">
        <is>
          <t>Toque · classe 7</t>
        </is>
      </c>
      <c r="AI9" s="162" t="inlineStr">
        <is>
          <t>1,5 m, um alvo</t>
        </is>
      </c>
      <c r="AJ9" s="162" t="inlineStr">
        <is>
          <t>1,5 m, um alvo</t>
        </is>
      </c>
      <c r="AK9" s="162" t="inlineStr">
        <is>
          <t>1,5 m, um alvo</t>
        </is>
      </c>
      <c r="AL9" s="162" t="inlineStr">
        <is>
          <t>1,5 m, um alvo</t>
        </is>
      </c>
      <c r="AM9" s="162" t="inlineStr">
        <is>
          <t>1,5 m, um alvo</t>
        </is>
      </c>
      <c r="AN9" s="162" t="inlineStr">
        <is>
          <t>1,5 m, um alvo</t>
        </is>
      </c>
      <c r="AO9" s="162" t="inlineStr"/>
      <c r="AP9" s="162" t="inlineStr"/>
      <c r="AQ9" s="162" t="inlineStr"/>
      <c r="AR9" s="162" t="inlineStr"/>
      <c r="AS9" s="162" t="inlineStr"/>
      <c r="AT9" s="162" t="inlineStr"/>
      <c r="AV9" s="162" t="inlineStr">
        <is>
          <t>Muito Maior</t>
        </is>
      </c>
      <c r="AW9" s="162" t="inlineStr">
        <is>
          <t>Área</t>
        </is>
      </c>
      <c r="AX9" s="164" t="n">
        <v>3</v>
      </c>
      <c r="AY9" s="164" t="n">
        <v>0</v>
      </c>
      <c r="AZ9" s="164" t="n">
        <v>0</v>
      </c>
      <c r="BA9" s="164" t="n">
        <v>0</v>
      </c>
      <c r="BC9" s="162" t="inlineStr">
        <is>
          <t>Recuo (Média)</t>
        </is>
      </c>
      <c r="BD9" s="162" t="inlineStr">
        <is>
          <t>Recuo</t>
        </is>
      </c>
      <c r="BE9" s="164" t="n">
        <v>2</v>
      </c>
      <c r="BF9" s="164" t="n">
        <v>0</v>
      </c>
      <c r="BG9" s="162" t="inlineStr"/>
      <c r="BI9" s="162" t="inlineStr">
        <is>
          <t>Eco</t>
        </is>
      </c>
      <c r="BJ9" s="164" t="n">
        <v>2</v>
      </c>
      <c r="BK9" s="162" t="inlineStr">
        <is>
          <t>Quando um feitiço seu reduzir um inimigo a 0 pontos de vida, o próximo feitiço que você conjurar nesta cena custa metade do seu PE normal, arredondada para cima. Derrubado, a condição, não ativa Eco.</t>
        </is>
      </c>
      <c r="BL9" s="162" t="inlineStr"/>
      <c r="BS9" s="162" t="inlineStr">
        <is>
          <t>Marca</t>
        </is>
      </c>
      <c r="CC9" s="162" t="inlineStr">
        <is>
          <t>Ocultismo</t>
        </is>
      </c>
      <c r="CD9" s="162" t="inlineStr">
        <is>
          <t>Inteligência</t>
        </is>
      </c>
      <c r="CH9" s="162" t="inlineStr">
        <is>
          <t>Alfaiate</t>
        </is>
      </c>
      <c r="CJ9" s="162" t="inlineStr">
        <is>
          <t>Trovejante</t>
        </is>
      </c>
      <c r="DA9" s="162" t="inlineStr">
        <is>
          <t>corpos mantidos</t>
        </is>
      </c>
      <c r="DB9" s="164">
        <f>$DB$6+$DB$8</f>
        <v/>
      </c>
      <c r="DD9" s="164" t="n">
        <v>8</v>
      </c>
      <c r="DE9" s="164">
        <f>'INVOCAÇÕES'!$AB$224&amp;""</f>
        <v/>
      </c>
      <c r="DF9" s="164">
        <f>'INVOCAÇÕES'!$AB$254&amp;""</f>
        <v/>
      </c>
      <c r="DG9" s="164">
        <f>'INVOCAÇÕES'!$AB$258&amp;""</f>
        <v/>
      </c>
      <c r="DH9" s="164">
        <f>N('INVOCAÇÕES'!$AD$258)</f>
        <v/>
      </c>
      <c r="DI9" s="164">
        <f>'INVOCAÇÕES'!$AE$258&amp;""</f>
        <v/>
      </c>
      <c r="DJ9" s="164">
        <f>N('INVOCAÇÕES'!$AH$231)</f>
        <v/>
      </c>
      <c r="DK9" s="164">
        <f>N('INVOCAÇÕES'!$AI$231)</f>
        <v/>
      </c>
      <c r="DL9" s="164">
        <f>N('INVOCAÇÕES'!$AJ$231)</f>
        <v/>
      </c>
      <c r="DM9" s="164">
        <f>N('INVOCAÇÕES'!$AK$231)</f>
        <v/>
      </c>
      <c r="DN9" s="164">
        <f>N('INVOCAÇÕES'!$AL$231)</f>
        <v/>
      </c>
      <c r="DO9" s="164">
        <f>N('INVOCAÇÕES'!$AH$232)</f>
        <v/>
      </c>
      <c r="DP9" s="164">
        <f>N('INVOCAÇÕES'!$AI$232)</f>
        <v/>
      </c>
      <c r="DQ9" s="164">
        <f>N('INVOCAÇÕES'!$AJ$232)</f>
        <v/>
      </c>
      <c r="DR9" s="164">
        <f>N('INVOCAÇÕES'!$AK$232)</f>
        <v/>
      </c>
      <c r="DS9" s="164">
        <f>N('INVOCAÇÕES'!$AL$232)</f>
        <v/>
      </c>
      <c r="DT9" s="164">
        <f>'INVOCAÇÕES'!$AH$245&amp;""</f>
        <v/>
      </c>
      <c r="DU9" s="164">
        <f>'INVOCAÇÕES'!$AK$245&amp;""</f>
        <v/>
      </c>
      <c r="DV9" s="164">
        <f>'INVOCAÇÕES'!$AL$240&amp;""</f>
        <v/>
      </c>
      <c r="DW9" s="164">
        <f>N('INVOCAÇÕES'!$AH$237)</f>
        <v/>
      </c>
      <c r="DX9" s="164">
        <f>N('INVOCAÇÕES'!$AI$237)</f>
        <v/>
      </c>
      <c r="DY9" s="164">
        <f>N('INVOCAÇÕES'!$AJ$237)</f>
        <v/>
      </c>
      <c r="DZ9" s="164">
        <f>N('INVOCAÇÕES'!$AK$237)</f>
        <v/>
      </c>
      <c r="EA9" s="164">
        <f>N('INVOCAÇÕES'!$AL$237)</f>
        <v/>
      </c>
      <c r="EB9" s="164">
        <f>N('INVOCAÇÕES'!$AH$242)</f>
        <v/>
      </c>
      <c r="EC9" s="164">
        <f>N('INVOCAÇÕES'!$AI$242)</f>
        <v/>
      </c>
      <c r="ED9" s="164">
        <f>N('INVOCAÇÕES'!$AJ$242)</f>
        <v/>
      </c>
      <c r="EE9" s="164">
        <f>N('INVOCAÇÕES'!$AK$242)</f>
        <v/>
      </c>
      <c r="EF9" s="164">
        <f>'INVOCAÇÕES'!$AN$224&amp;""</f>
        <v/>
      </c>
      <c r="EG9" s="164">
        <f>N('INVOCAÇÕES'!$AP$224)</f>
        <v/>
      </c>
      <c r="EH9" s="164">
        <f>'INVOCAÇÕES'!$AR$224&amp;""</f>
        <v/>
      </c>
      <c r="EI9" s="164">
        <f>SUM('INVOCAÇÕES'!$AR$231:'INVOCAÇÕES'!$AR$233,'INVOCAÇÕES'!$AR$235:'INVOCAÇÕES'!$AR$240)</f>
        <v/>
      </c>
      <c r="EJ9" s="164">
        <f>'INVOCAÇÕES'!$AN$229&amp;""</f>
        <v/>
      </c>
      <c r="EK9" s="164">
        <f>'INVOCAÇÕES'!$AO$229&amp;""</f>
        <v/>
      </c>
      <c r="EL9" s="164">
        <f>'INVOCAÇÕES'!$AH$259&amp;""</f>
        <v/>
      </c>
      <c r="EM9" s="164">
        <f>'INVOCAÇÕES'!$AI$259&amp;""</f>
        <v/>
      </c>
      <c r="EN9" s="164">
        <f>'INVOCAÇÕES'!$AJ$259&amp;""</f>
        <v/>
      </c>
      <c r="EO9" s="164">
        <f>'INVOCAÇÕES'!$AK$259&amp;""</f>
        <v/>
      </c>
      <c r="EP9" s="164">
        <f>'INVOCAÇÕES'!$AL$259&amp;""</f>
        <v/>
      </c>
      <c r="EQ9" s="164">
        <f>'INVOCAÇÕES'!$AH$249&amp;""</f>
        <v/>
      </c>
      <c r="ER9" s="164">
        <f>'INVOCAÇÕES'!$AH$250&amp;""</f>
        <v/>
      </c>
      <c r="ES9" s="164">
        <f>'INVOCAÇÕES'!$AH$251&amp;""</f>
        <v/>
      </c>
      <c r="ET9" s="164">
        <f>'INVOCAÇÕES'!$AH$252&amp;""</f>
        <v/>
      </c>
      <c r="EU9" s="164">
        <f>'INVOCAÇÕES'!$AH$253&amp;""</f>
        <v/>
      </c>
      <c r="EV9" s="164">
        <f>'INVOCAÇÕES'!$AH$254&amp;""</f>
        <v/>
      </c>
      <c r="EW9" s="164">
        <f>'INVOCAÇÕES'!$AH$255&amp;""</f>
        <v/>
      </c>
      <c r="EX9" s="164">
        <f>'INVOCAÇÕES'!$AC$304&amp;""</f>
        <v/>
      </c>
      <c r="EY9" s="164">
        <f>'INVOCAÇÕES'!$AC$305&amp;""</f>
        <v/>
      </c>
      <c r="EZ9" s="164">
        <f>'INVOCAÇÕES'!$AC$306&amp;""</f>
        <v/>
      </c>
      <c r="FA9" s="164">
        <f>'INVOCAÇÕES'!$AC$307&amp;""</f>
        <v/>
      </c>
      <c r="FB9" s="164">
        <f>'INVOCAÇÕES'!$AC$308&amp;""</f>
        <v/>
      </c>
      <c r="FC9" s="164">
        <f>'INVOCAÇÕES'!$AC$309&amp;""</f>
        <v/>
      </c>
      <c r="FD9" s="164">
        <f>'INVOCAÇÕES'!$AC$310&amp;""</f>
        <v/>
      </c>
      <c r="FE9" s="164">
        <f>'INVOCAÇÕES'!$AC$311&amp;""</f>
        <v/>
      </c>
      <c r="FF9" s="164">
        <f>'INVOCAÇÕES'!$AC$406&amp;""</f>
        <v/>
      </c>
      <c r="FG9" s="164">
        <f>'INVOCAÇÕES'!$AC$407&amp;""</f>
        <v/>
      </c>
      <c r="FH9" s="164">
        <f>'INVOCAÇÕES'!$AC$408&amp;""</f>
        <v/>
      </c>
      <c r="FI9" s="164">
        <f>MAX(3,MIN(7,N('INVOCAÇÕES'!$AB$413)))</f>
        <v/>
      </c>
      <c r="FJ9" s="164">
        <f>MAX(3,MIN(7,N('INVOCAÇÕES'!$AH$413)))</f>
        <v/>
      </c>
      <c r="FK9" s="164">
        <f>MAX(3,MIN(7,N('INVOCAÇÕES'!$AN$413)))</f>
        <v/>
      </c>
      <c r="FL9" s="164">
        <f>'INVOCAÇÕES'!$AH$427&amp;""</f>
        <v/>
      </c>
      <c r="FM9" s="164">
        <f>IF($DE9&lt;&gt;"",1,0)</f>
        <v/>
      </c>
      <c r="FN9" s="164">
        <f>IFERROR(VLOOKUP($DG9,$BP$2:$BQ$5,2,FALSE),1)</f>
        <v/>
      </c>
      <c r="FO9" s="164">
        <f>IF($FN9=1,$DB$2,IF($FN9=2,MIN($DB$2,IF(MAX(1,MIN($DB$2,IF($DH9=0,$DB$2,$DH9)))&lt;=4,4,IF(MAX(1,MIN($DB$2,IF($DH9=0,$DB$2,$DH9)))&lt;=8,8,IF(MAX(1,MIN($DB$2,IF($DH9=0,$DB$2,$DH9)))&lt;=12,12,IF(MAX(1,MIN($DB$2,IF($DH9=0,$DB$2,$DH9)))&lt;=16,16,IF(MAX(1,MIN($DB$2,IF($DH9=0,$DB$2,$DH9)))&lt;=20,20,IF(MAX(1,MIN($DB$2,IF($DH9=0,$DB$2,$DH9)))&lt;=25,25,IF(MAX(1,MIN($DB$2,IF($DH9=0,$DB$2,$DH9)))&lt;=30,30,30)))))))),MAX(1,MIN($DB$2,IF($DH9=0,$DB$2,$DH9)))))</f>
        <v/>
      </c>
      <c r="FP9" s="164">
        <f>VLOOKUP(MAX(1,$FO9),$A$2:$D$8,2,TRUE)</f>
        <v/>
      </c>
      <c r="FQ9" s="164">
        <f>VLOOKUP(MAX(1,$FO9),$A$2:$D$8,3,TRUE)</f>
        <v/>
      </c>
      <c r="FR9" s="164">
        <f>$DJ9+$DO9</f>
        <v/>
      </c>
      <c r="FS9" s="164">
        <f>$DK9+$DP9</f>
        <v/>
      </c>
      <c r="FT9" s="164">
        <f>$DL9+$DQ9</f>
        <v/>
      </c>
      <c r="FU9" s="164">
        <f>$DM9+$DR9</f>
        <v/>
      </c>
      <c r="FV9" s="164">
        <f>$DN9+$DS9</f>
        <v/>
      </c>
      <c r="FW9" s="164">
        <f>SUM($DJ9:$DN9)</f>
        <v/>
      </c>
      <c r="FX9" s="164">
        <f>9+$FY9</f>
        <v/>
      </c>
      <c r="FY9" s="164">
        <f>COUNTIF($F$2:$F$8,"&lt;="&amp;$FO9)</f>
        <v/>
      </c>
      <c r="FZ9" s="164">
        <f>MAX(0,$DJ9-3)+MAX(0,$DK9-3)+MAX(0,$DL9-3)+MAX(0,$DM9-3)+MAX(0,$DN9-3)</f>
        <v/>
      </c>
      <c r="GA9" s="164">
        <f>IFERROR(INDEX($FR9:$FV9,1,MATCH($DT9,$BU$2:$BU$6,0)),"")</f>
        <v/>
      </c>
      <c r="GB9" s="164">
        <f>IF($GA9="","",$GA9+$DB$3+$DW9)</f>
        <v/>
      </c>
      <c r="GC9" s="164">
        <f>IF($GA9="","",8+$GA9+$DB$3+$DX9)</f>
        <v/>
      </c>
      <c r="GD9" s="164">
        <f>10+$FS9+$DB$7+$DY9</f>
        <v/>
      </c>
      <c r="GE9" s="164">
        <f>IF(IFERROR(VLOOKUP(SUBSTITUTE(SUBSTITUTE(SUBSTITUTE($DF9,"~","~~"),"*","~*"),"?","~?"),'DADOS_ENTIDADES'!$M$2:$P$16,2,FALSE),0)=1,1,0)</f>
        <v/>
      </c>
      <c r="GF9" s="164">
        <f>5+$FT9+(3+$GE9+$FT9)*($FO9-1)+$DZ9</f>
        <v/>
      </c>
      <c r="GG9" s="164">
        <f>IF($FM9=0,"",$GF9)</f>
        <v/>
      </c>
      <c r="GH9" s="164">
        <f>IF($EF9="",$GF9,MAX(0,MIN(IFERROR(VALUE($EF9),$GF9),$GF9)))</f>
        <v/>
      </c>
      <c r="GI9" s="164">
        <f>IF(AND($FM9=1,$EJ9&lt;&gt;"Sem alma"),MAX(1,INT($GF9/2)),"")</f>
        <v/>
      </c>
      <c r="GJ9" s="164">
        <f>$GI9</f>
        <v/>
      </c>
      <c r="GK9" s="164">
        <f>IF($GI9="","",IF($EK9="",$GI9,MAX(0,MIN(IFERROR(VALUE($EK9),$GI9),$GI9))))</f>
        <v/>
      </c>
      <c r="GL9" s="164">
        <f>IF($FM9=0,"",IF($GI9="","—",$GI9))</f>
        <v/>
      </c>
      <c r="GM9" s="164">
        <f>IF($FM9=0,"",IF($GI9="","Sem alma · imune a dano de Alma",IF($GK9&lt;=0,"Estágio 4 · caída, como a zero de vida",IF($GK9&lt;=$GI9/4,"Estágio 3 · desvantagem em ataques e TRs, Classe pela metade",IF($GK9&lt;=$GI9/2,"Estágio 2 · metade do deslocamento, +1 PE por Classe",IF($GK9&lt;=$GI9*3/4,"Estágio 1 · desvantagem em perícias","Alma inteira"))))))</f>
        <v/>
      </c>
      <c r="GN9" s="164">
        <f>9+$EA9</f>
        <v/>
      </c>
      <c r="GO9" s="164">
        <f>IF($DU9="Destreza",$FS9,$FR9)</f>
        <v/>
      </c>
      <c r="GP9" s="164">
        <f>$GO9+IF($DV9="Físico",$DB$3,0)+$EB9</f>
        <v/>
      </c>
      <c r="GQ9" s="164">
        <f>$FT9+IF($DV9="Vigor",$DB$3,0)+$EC9</f>
        <v/>
      </c>
      <c r="GR9" s="164">
        <f>$FU9+IF($DV9="Intelecto",$DB$3,0)+$ED9</f>
        <v/>
      </c>
      <c r="GS9" s="164">
        <f>$FV9+IF($DV9="Espírito",$DB$3,0)+$EE9</f>
        <v/>
      </c>
      <c r="GT9" s="164">
        <f>4+INT($DM9/2)</f>
        <v/>
      </c>
      <c r="GU9" s="164">
        <f>COUNTIF($EQ9:$EW9,"?*")</f>
        <v/>
      </c>
      <c r="GV9" s="164">
        <f>INT((2+$FO9/2)/2)</f>
        <v/>
      </c>
      <c r="GW9" s="164">
        <f>IF($FO9&gt;=11,2,1)</f>
        <v/>
      </c>
      <c r="GX9" s="164">
        <f>1+$FY9</f>
        <v/>
      </c>
      <c r="GY9" s="164">
        <f>COUNTIF($EX9:$FE9,"?*")</f>
        <v/>
      </c>
      <c r="GZ9" s="164">
        <f>IF(AND(IFERROR(VLOOKUP(SUBSTITUTE(SUBSTITUTE(SUBSTITUTE($DF9,"~","~~"),"*","~*"),"?","~?"),'DADOS_ENTIDADES'!$M$2:$P$16,3,FALSE),0)=1,$DI9="Com carga"),MAX(1,CEILING($FP9/2,1)),$FP9)</f>
        <v/>
      </c>
      <c r="HA9" s="164">
        <f>2*$FP9</f>
        <v/>
      </c>
      <c r="HB9" s="164">
        <f>$FO9*(1+INT($DN9/3))</f>
        <v/>
      </c>
      <c r="HC9" s="164">
        <f>5+$FR9</f>
        <v/>
      </c>
      <c r="HD9" s="164">
        <f>(COUNTIF($EL9:$EP9,"?*")+COUNTIF($QV9:$QY9,"?*"))</f>
        <v/>
      </c>
      <c r="HE9" s="164">
        <f>IF($EL9="",0,IF((COUNTIF($EL9:$EP9,$EL9)+COUNTIF($QV9:$QY9,$EL9))&gt;1,1,0))+IF($EM9="",0,IF((COUNTIF($EL9:$EP9,$EM9)+COUNTIF($QV9:$QY9,$EM9))&gt;1,1,0))+IF($EN9="",0,IF((COUNTIF($EL9:$EP9,$EN9)+COUNTIF($QV9:$QY9,$EN9))&gt;1,1,0))+IF($EO9="",0,IF((COUNTIF($EL9:$EP9,$EO9)+COUNTIF($QV9:$QY9,$EO9))&gt;1,1,0))+IF($EP9="",0,IF((COUNTIF($EL9:$EP9,$EP9)+COUNTIF($QV9:$QY9,$EP9))&gt;1,1,0))+IF($QV$9="",0,IF(COUNTIF($EL9:$EP9,$QV$9)+COUNTIF($QV9:$QY9,$QV$9)&gt;1,1,0))+IF($QW$9="",0,IF(COUNTIF($EL9:$EP9,$QW$9)+COUNTIF($QV9:$QY9,$QW$9)&gt;1,1,0))+IF($QX$9="",0,IF(COUNTIF($EL9:$EP9,$QX$9)+COUNTIF($QV9:$QY9,$QX$9)&gt;1,1,0))+IF($QY$9="",0,IF(COUNTIF($EL9:$EP9,$QY$9)+COUNTIF($QV9:$QY9,$QY$9)&gt;1,1,0))</f>
        <v/>
      </c>
      <c r="HF9" s="164">
        <f>IF(DADOS_INVOC!$DB$4="Invocação Principal",'CONFIGURAÇÃO'!$H$143,IF(OR(DADOS_INVOC!$DB$4="Parceria",DADOS_INVOC!$DB$4="Múltiplas Invocações"),'CONFIGURAÇÃO'!$H$141,'CONFIGURAÇÃO'!$H$139))+IF($QZ$9="Não autônoma",'CONFIGURAÇÃO'!$H$145,0)</f>
        <v/>
      </c>
      <c r="HG9" s="164">
        <f>IF($FM9=0,"INVOCAÇÃO 8 · lugar vazio",$DE9&amp;" · "&amp;$DF9&amp;" · nível "&amp;$FO9&amp;" · vida "&amp;$GH9&amp;" de "&amp;$GF9)</f>
        <v/>
      </c>
      <c r="HH9" s="164">
        <f>IF($FM9=0,"VAZIA",UPPER($DE9))</f>
        <v/>
      </c>
      <c r="HI9" s="164">
        <f>IF($DB$3&gt;=0,"+","−")&amp;ABS($DB$3)</f>
        <v/>
      </c>
      <c r="HJ9" s="164">
        <f>$GZ9&amp;" PE"</f>
        <v/>
      </c>
      <c r="HK9" s="164">
        <f>$HA9&amp;" PE"</f>
        <v/>
      </c>
      <c r="HL9" s="164">
        <f>IF(OR($FW9&gt;$FX9,$FZ9&gt;$FY9),"⚠ ",IF(AND($FM9=1,$FW9&lt;$FX9),"! ",""))&amp;"ATRIBUTOS · "&amp;$FW9&amp;" DE "&amp;$FX9&amp;" PONTOS"&amp;IF($FZ9&gt;$FY9," · ACIMA DE 3 SÓ COM MARCO","")</f>
        <v/>
      </c>
      <c r="HM9" s="164">
        <f>IF($GB9="","",IF($GB9&gt;=0,"+","−")&amp;ABS($GB9))</f>
        <v/>
      </c>
      <c r="HN9" s="164">
        <f>IF($GC9="","",$GC9)</f>
        <v/>
      </c>
      <c r="HO9" s="164">
        <f>SUBSTITUTE(IF($EI9&gt;2*$HC9,0,IF($EI9&gt;$HC9,$GN9/2,$GN9))&amp;" m",".",",")</f>
        <v/>
      </c>
      <c r="HP9" s="164">
        <f>IF($GP9&gt;=0,"+","−")&amp;ABS($GP9)</f>
        <v/>
      </c>
      <c r="HQ9" s="164">
        <f>IF($GQ9&gt;=0,"+","−")&amp;ABS($GQ9)</f>
        <v/>
      </c>
      <c r="HR9" s="164">
        <f>IF($GR9&gt;=0,"+","−")&amp;ABS($GR9)</f>
        <v/>
      </c>
      <c r="HS9" s="164">
        <f>IF($GS9&gt;=0,"+","−")&amp;ABS($GS9)</f>
        <v/>
      </c>
      <c r="HT9" s="164">
        <f>IF($GU9&gt;$GT9,"⚠ ","")&amp;"PERÍCIAS · "&amp;$GU9&amp;" DE "&amp;$GT9</f>
        <v/>
      </c>
      <c r="HU9" s="164">
        <f>IF($EQ9="","",IFERROR(IF((INDEX($FR9:$FV9,1,MATCH(VLOOKUP(SUBSTITUTE(SUBSTITUTE(SUBSTITUTE($EQ9,"~","~~"),"*","~*"),"?","~?"),'DADOS_PROGRESSAO'!$AG$2:$AH$34,2,FALSE),$BU$2:$BU$6,0))+$DB$3)&gt;=0,"+","−")&amp;ABS((INDEX($FR9:$FV9,1,MATCH(VLOOKUP(SUBSTITUTE(SUBSTITUTE(SUBSTITUTE($EQ9,"~","~~"),"*","~*"),"?","~?"),'DADOS_PROGRESSAO'!$AG$2:$AH$34,2,FALSE),$BU$2:$BU$6,0))+$DB$3)),""))</f>
        <v/>
      </c>
      <c r="HV9" s="164">
        <f>IF($ER9="","",IFERROR(IF((INDEX($FR9:$FV9,1,MATCH(VLOOKUP(SUBSTITUTE(SUBSTITUTE(SUBSTITUTE($ER9,"~","~~"),"*","~*"),"?","~?"),'DADOS_PROGRESSAO'!$AG$2:$AH$34,2,FALSE),$BU$2:$BU$6,0))+$DB$3)&gt;=0,"+","−")&amp;ABS((INDEX($FR9:$FV9,1,MATCH(VLOOKUP(SUBSTITUTE(SUBSTITUTE(SUBSTITUTE($ER9,"~","~~"),"*","~*"),"?","~?"),'DADOS_PROGRESSAO'!$AG$2:$AH$34,2,FALSE),$BU$2:$BU$6,0))+$DB$3)),""))</f>
        <v/>
      </c>
      <c r="HW9" s="164">
        <f>IF($ES9="","",IFERROR(IF((INDEX($FR9:$FV9,1,MATCH(VLOOKUP(SUBSTITUTE(SUBSTITUTE(SUBSTITUTE($ES9,"~","~~"),"*","~*"),"?","~?"),'DADOS_PROGRESSAO'!$AG$2:$AH$34,2,FALSE),$BU$2:$BU$6,0))+$DB$3)&gt;=0,"+","−")&amp;ABS((INDEX($FR9:$FV9,1,MATCH(VLOOKUP(SUBSTITUTE(SUBSTITUTE(SUBSTITUTE($ES9,"~","~~"),"*","~*"),"?","~?"),'DADOS_PROGRESSAO'!$AG$2:$AH$34,2,FALSE),$BU$2:$BU$6,0))+$DB$3)),""))</f>
        <v/>
      </c>
      <c r="HX9" s="164">
        <f>IF($ET9="","",IFERROR(IF((INDEX($FR9:$FV9,1,MATCH(VLOOKUP(SUBSTITUTE(SUBSTITUTE(SUBSTITUTE($ET9,"~","~~"),"*","~*"),"?","~?"),'DADOS_PROGRESSAO'!$AG$2:$AH$34,2,FALSE),$BU$2:$BU$6,0))+$DB$3)&gt;=0,"+","−")&amp;ABS((INDEX($FR9:$FV9,1,MATCH(VLOOKUP(SUBSTITUTE(SUBSTITUTE(SUBSTITUTE($ET9,"~","~~"),"*","~*"),"?","~?"),'DADOS_PROGRESSAO'!$AG$2:$AH$34,2,FALSE),$BU$2:$BU$6,0))+$DB$3)),""))</f>
        <v/>
      </c>
      <c r="HY9" s="164">
        <f>IF($EU9="","",IFERROR(IF((INDEX($FR9:$FV9,1,MATCH(VLOOKUP(SUBSTITUTE(SUBSTITUTE(SUBSTITUTE($EU9,"~","~~"),"*","~*"),"?","~?"),'DADOS_PROGRESSAO'!$AG$2:$AH$34,2,FALSE),$BU$2:$BU$6,0))+$DB$3)&gt;=0,"+","−")&amp;ABS((INDEX($FR9:$FV9,1,MATCH(VLOOKUP(SUBSTITUTE(SUBSTITUTE(SUBSTITUTE($EU9,"~","~~"),"*","~*"),"?","~?"),'DADOS_PROGRESSAO'!$AG$2:$AH$34,2,FALSE),$BU$2:$BU$6,0))+$DB$3)),""))</f>
        <v/>
      </c>
      <c r="HZ9" s="164">
        <f>IF($EV9="","",IFERROR(IF((INDEX($FR9:$FV9,1,MATCH(VLOOKUP(SUBSTITUTE(SUBSTITUTE(SUBSTITUTE($EV9,"~","~~"),"*","~*"),"?","~?"),'DADOS_PROGRESSAO'!$AG$2:$AH$34,2,FALSE),$BU$2:$BU$6,0))+$DB$3)&gt;=0,"+","−")&amp;ABS((INDEX($FR9:$FV9,1,MATCH(VLOOKUP(SUBSTITUTE(SUBSTITUTE(SUBSTITUTE($EV9,"~","~~"),"*","~*"),"?","~?"),'DADOS_PROGRESSAO'!$AG$2:$AH$34,2,FALSE),$BU$2:$BU$6,0))+$DB$3)),""))</f>
        <v/>
      </c>
      <c r="IA9" s="164">
        <f>IF($EW9="","",IFERROR(IF((INDEX($FR9:$FV9,1,MATCH(VLOOKUP(SUBSTITUTE(SUBSTITUTE(SUBSTITUTE($EW9,"~","~~"),"*","~*"),"?","~?"),'DADOS_PROGRESSAO'!$AG$2:$AH$34,2,FALSE),$BU$2:$BU$6,0))+$DB$3)&gt;=0,"+","−")&amp;ABS((INDEX($FR9:$FV9,1,MATCH(VLOOKUP(SUBSTITUTE(SUBSTITUTE(SUBSTITUTE($EW9,"~","~~"),"*","~*"),"?","~?"),'DADOS_PROGRESSAO'!$AG$2:$AH$34,2,FALSE),$BU$2:$BU$6,0))+$DB$3)),""))</f>
        <v/>
      </c>
      <c r="IB9" s="164">
        <f>IF(IFERROR(VLOOKUP(SUBSTITUTE(SUBSTITUTE(SUBSTITUTE($DF9,"~","~~"),"*","~*"),"?","~?"),'DADOS_ENTIDADES'!$M$2:$P$16,4,FALSE),0)=1,"RESERVA · MÁX. "&amp;$HB9,"RESERVA DE PE")</f>
        <v/>
      </c>
      <c r="IC9" s="164">
        <f>IF($EI9&gt;2*$HC9,"⚠ ",IF($EI9&gt;$HC9,"! ",""))&amp;"EQUIPAMENTO · "&amp;$EI9&amp;" DE "&amp;$HC9&amp;" DE VOLUME"&amp;IF($EI9&gt;2*$HC9," · PASSOU DO DOBRO",IF($EI9&gt;$HC9," · ACIMA DO LIMITE",""))</f>
        <v/>
      </c>
      <c r="ID9" s="164">
        <f>IF(OR($HE9&gt;0,$HD9&gt;$HF9),"⚠ ","")&amp;"FAMÍLIAS · "&amp;$HD9&amp;" ABERTAS"&amp;IF($HE9&gt;0," · REPETIDA","")&amp;IF($HD9&gt;$HF9," · O LIMITE É "&amp;$HF9,"")&amp;IF(OR($RA$9&gt;$HF$9,$HF$9&gt;9)," · LIMITES INCOMPATÍVEIS","")</f>
        <v/>
      </c>
      <c r="IE9" s="164">
        <f>"HABILIDADES · básica de "&amp;$FQ9&amp;"d6 · "&amp;$GV9&amp;IF($GV9&gt;1," espaços"," espaço")&amp;" de especial até a Classe "&amp;$FP9&amp;" · "&amp;$GX9&amp;IF($GX9&gt;1," talentos"," talento")</f>
        <v/>
      </c>
      <c r="IF9" s="164">
        <f>IF($GY9&gt;$GX9,"⚠ ","")&amp;"TALENTOS · "&amp;$GY9&amp;" DE "&amp;$GX9</f>
        <v/>
      </c>
      <c r="IG9" s="164">
        <f>IFERROR(VLOOKUP(SUBSTITUTE(SUBSTITUTE(SUBSTITUTE($EX9,"~","~~"),"*","~*"),"?","~?"),'DADOS_ENTIDADES'!$AI$2:$AL$35,2,FALSE),0)</f>
        <v/>
      </c>
      <c r="IH9" s="164">
        <f>IFERROR(VLOOKUP(SUBSTITUTE(SUBSTITUTE(SUBSTITUTE($EY9,"~","~~"),"*","~*"),"?","~?"),'DADOS_ENTIDADES'!$AI$2:$AL$35,2,FALSE),0)</f>
        <v/>
      </c>
      <c r="II9" s="164">
        <f>IFERROR(VLOOKUP(SUBSTITUTE(SUBSTITUTE(SUBSTITUTE($EZ9,"~","~~"),"*","~*"),"?","~?"),'DADOS_ENTIDADES'!$AI$2:$AL$35,2,FALSE),0)</f>
        <v/>
      </c>
      <c r="IJ9" s="164">
        <f>IFERROR(VLOOKUP(SUBSTITUTE(SUBSTITUTE(SUBSTITUTE($FA9,"~","~~"),"*","~*"),"?","~?"),'DADOS_ENTIDADES'!$AI$2:$AL$35,2,FALSE),0)</f>
        <v/>
      </c>
      <c r="IK9" s="164">
        <f>IFERROR(VLOOKUP(SUBSTITUTE(SUBSTITUTE(SUBSTITUTE($FB9,"~","~~"),"*","~*"),"?","~?"),'DADOS_ENTIDADES'!$AI$2:$AL$35,2,FALSE),0)</f>
        <v/>
      </c>
      <c r="IL9" s="164">
        <f>IFERROR(VLOOKUP(SUBSTITUTE(SUBSTITUTE(SUBSTITUTE($FC9,"~","~~"),"*","~*"),"?","~?"),'DADOS_ENTIDADES'!$AI$2:$AL$35,2,FALSE),0)</f>
        <v/>
      </c>
      <c r="IM9" s="164">
        <f>IFERROR(VLOOKUP(SUBSTITUTE(SUBSTITUTE(SUBSTITUTE($FD9,"~","~~"),"*","~*"),"?","~?"),'DADOS_ENTIDADES'!$AI$2:$AL$35,2,FALSE),0)</f>
        <v/>
      </c>
      <c r="IN9" s="164">
        <f>IFERROR(VLOOKUP(SUBSTITUTE(SUBSTITUTE(SUBSTITUTE($FE9,"~","~~"),"*","~*"),"?","~?"),'DADOS_ENTIDADES'!$AI$2:$AL$35,2,FALSE),0)</f>
        <v/>
      </c>
      <c r="IO9" s="164">
        <f>IF($EX9="","",IF(1&gt;$FO9,"⚠ Este talento abre no nível 1",IF($IG9&gt;1,"⚠ Categoria "&amp;$IG9&amp;": este ganho vai até a 1 · ","")&amp;IFERROR(VLOOKUP(SUBSTITUTE(SUBSTITUTE(SUBSTITUTE($EX9,"~","~~"),"*","~*"),"?","~?"),'DADOS_ENTIDADES'!$AI$2:$AL$35,3,FALSE),"")))</f>
        <v/>
      </c>
      <c r="IP9" s="164">
        <f>IF($EY9="","",IF(6&gt;$FO9,"⚠ Este talento abre no nível 6",IF($IH9&gt;1,"⚠ Categoria "&amp;$IH9&amp;": este ganho vai até a 1 · ","")&amp;IFERROR(VLOOKUP(SUBSTITUTE(SUBSTITUTE(SUBSTITUTE($EY9,"~","~~"),"*","~*"),"?","~?"),'DADOS_ENTIDADES'!$AI$2:$AL$35,3,FALSE),"")))</f>
        <v/>
      </c>
      <c r="IQ9" s="164">
        <f>IF($EZ9="","",IF(10&gt;$FO9,"⚠ Este talento abre no nível 10",IF($II9&gt;2,"⚠ Categoria "&amp;$II9&amp;": este ganho vai até a 2 · ","")&amp;IFERROR(VLOOKUP(SUBSTITUTE(SUBSTITUTE(SUBSTITUTE($EZ9,"~","~~"),"*","~*"),"?","~?"),'DADOS_ENTIDADES'!$AI$2:$AL$35,3,FALSE),"")))</f>
        <v/>
      </c>
      <c r="IR9" s="164">
        <f>IF($FA9="","",IF(14&gt;$FO9,"⚠ Este talento abre no nível 14",IF($IJ9&gt;3,"⚠ Categoria "&amp;$IJ9&amp;": este ganho vai até a 3 · ","")&amp;IFERROR(VLOOKUP(SUBSTITUTE(SUBSTITUTE(SUBSTITUTE($FA9,"~","~~"),"*","~*"),"?","~?"),'DADOS_ENTIDADES'!$AI$2:$AL$35,3,FALSE),"")))</f>
        <v/>
      </c>
      <c r="IS9" s="164">
        <f>IF($FB9="","",IF(18&gt;$FO9,"⚠ Este talento abre no nível 18",IF($IK9&gt;3,"⚠ Categoria "&amp;$IK9&amp;": este ganho vai até a 3 · ","")&amp;IFERROR(VLOOKUP(SUBSTITUTE(SUBSTITUTE(SUBSTITUTE($FB9,"~","~~"),"*","~*"),"?","~?"),'DADOS_ENTIDADES'!$AI$2:$AL$35,3,FALSE),"")))</f>
        <v/>
      </c>
      <c r="IT9" s="164">
        <f>IF($FC9="","",IF(22&gt;$FO9,"⚠ Este talento abre no nível 22",IF($IL9&gt;3,"⚠ Categoria "&amp;$IL9&amp;": este ganho vai até a 3 · ","")&amp;IFERROR(VLOOKUP(SUBSTITUTE(SUBSTITUTE(SUBSTITUTE($FC9,"~","~~"),"*","~*"),"?","~?"),'DADOS_ENTIDADES'!$AI$2:$AL$35,3,FALSE),"")))</f>
        <v/>
      </c>
      <c r="IU9" s="164">
        <f>IF($FD9="","",IF(26&gt;$FO9,"⚠ Este talento abre no nível 26",IF($IM9&gt;3,"⚠ Categoria "&amp;$IM9&amp;": este ganho vai até a 3 · ","")&amp;IFERROR(VLOOKUP(SUBSTITUTE(SUBSTITUTE(SUBSTITUTE($FD9,"~","~~"),"*","~*"),"?","~?"),'DADOS_ENTIDADES'!$AI$2:$AL$35,3,FALSE),"")))</f>
        <v/>
      </c>
      <c r="IV9" s="164">
        <f>IF($FE9="","",IF(30&gt;$FO9,"⚠ Este talento abre no nível 30",IF($IN9&gt;3,"⚠ Categoria "&amp;$IN9&amp;": este ganho vai até a 3 · ","")&amp;IFERROR(VLOOKUP(SUBSTITUTE(SUBSTITUTE(SUBSTITUTE($FE9,"~","~~"),"*","~*"),"?","~?"),'DADOS_ENTIDADES'!$AI$2:$AL$35,3,FALSE),"")))</f>
        <v/>
      </c>
      <c r="IW9" s="164">
        <f>IF($FF9="","",IFERROR(VLOOKUP(SUBSTITUTE(SUBSTITUTE(SUBSTITUTE($FF9,"~","~~"),"*","~*"),"?","~?"),'DADOS_ENTIDADES'!$AI$2:$AL$35,3,FALSE),""))</f>
        <v/>
      </c>
      <c r="IX9" s="164">
        <f>IF($FG9="","",IFERROR(VLOOKUP(SUBSTITUTE(SUBSTITUTE(SUBSTITUTE($FG9,"~","~~"),"*","~*"),"?","~?"),'DADOS_ENTIDADES'!$AI$2:$AL$35,3,FALSE),""))</f>
        <v/>
      </c>
      <c r="IY9" s="164">
        <f>IF($FH9="","",IFERROR(VLOOKUP(SUBSTITUTE(SUBSTITUTE(SUBSTITUTE($FH9,"~","~~"),"*","~*"),"?","~?"),'DADOS_ENTIDADES'!$AI$2:$AL$35,3,FALSE),""))</f>
        <v/>
      </c>
      <c r="IZ9" s="164">
        <f>CEILING(4.5*$FI9,1)&amp;" PE"</f>
        <v/>
      </c>
      <c r="JA9" s="164">
        <f>CEILING(4.5*$FJ9,1)&amp;" PE"</f>
        <v/>
      </c>
      <c r="JB9" s="164">
        <f>CEILING(4.5*$FK9,1)&amp;" PE"</f>
        <v/>
      </c>
      <c r="JC9" s="164">
        <f>INDEX($P$2:$P$8,$FI9)&amp;" pontos + "&amp;$FI9&amp;"d8"</f>
        <v/>
      </c>
      <c r="JD9" s="164">
        <f>INDEX($P$2:$P$8,$FJ9)&amp;" pontos + "&amp;$FJ9&amp;"d8"</f>
        <v/>
      </c>
      <c r="JE9" s="164">
        <f>INDEX($P$2:$P$8,$FK9)&amp;" pontos + "&amp;$FK9&amp;"d8"</f>
        <v/>
      </c>
      <c r="JF9" s="164">
        <f>IF($FO9&lt;17,"—",VLOOKUP($FO9,$CP$2:$CS$4,4,TRUE)&amp;" PE")</f>
        <v/>
      </c>
      <c r="JG9" s="164">
        <f>IF($FO9&lt;17,"Abre no nível 17",VLOOKUP($FO9,$CP$2:$CS$4,2,TRUE)&amp;" fixos · "&amp;VLOOKUP($FO9,$CP$2:$CS$4,3,TRUE)&amp;" pontos")</f>
        <v/>
      </c>
      <c r="JH9" s="164">
        <f>IF($FL9="Sem Barreiras",7,6)*$FP9&amp;" PE"</f>
        <v/>
      </c>
      <c r="JI9" s="164">
        <f>"Acerto "&amp;MAX(0,INDEX($P$2:$P$8,$FP9)-INDEX($I$2:$N$8,$FP9,2+3*IF(AND(IFERROR(VLOOKUP(SUBSTITUTE(SUBSTITUTE(SUBSTITUTE("Inescapável","~","~~"),"*","~*"),"?","~?"),'DADOS_MELHORIAS'!$AG$2:$AL$113,2,FALSE),"")&lt;&gt;"",COUNTIF($RB$9:$RJ$9,IFERROR(VLOOKUP(SUBSTITUTE(SUBSTITUTE(SUBSTITUTE("Inescapável","~","~~"),"*","~*"),"?","~?"),'DADOS_MELHORIAS'!$AG$2:$AL$113,2,FALSE),""))&gt;0),1,0)))&amp;"d8"</f>
        <v/>
      </c>
      <c r="JJ9" s="164">
        <f>IFERROR(VLOOKUP($FL9,$CU$2:$CW$4,3,FALSE),"Escolha o degrau")</f>
        <v/>
      </c>
      <c r="JK9" s="164">
        <f>8&amp;" · "&amp;IF($FM9=0,"vazia",$DE9&amp;" · nv "&amp;$FO9&amp;" · "&amp;$GH9&amp;"/"&amp;$GF9)</f>
        <v/>
      </c>
      <c r="JO9" s="162" t="inlineStr">
        <is>
          <t>Invocação 8</t>
        </is>
      </c>
      <c r="JP9" s="164">
        <f>ADDRESS(ROW('INVOCAÇÕES'!D28),COLUMN('INVOCAÇÕES'!D28),4)</f>
        <v/>
      </c>
      <c r="JQ9" s="164">
        <f>ADDRESS(ROW('INVOCAÇÕES'!AA220),COLUMN('INVOCAÇÕES'!AA220),4)</f>
        <v/>
      </c>
      <c r="JR9" s="162" t="inlineStr">
        <is>
          <t>DADOS_INVOC!$JK$9</t>
        </is>
      </c>
      <c r="JT9" s="164">
        <f>IF(OR($AW9="",(COUNTIF($EL$2:$EP$2,$AW9)+COUNTIF($QV$2:$QY$2,$AW9))&gt;0),$AV9,"")</f>
        <v/>
      </c>
      <c r="JU9" s="164">
        <f>IF(AND($AX9=1,OR($AW9="",(COUNTIF($EL$2:$EP$2,$AW9)+COUNTIF($QV$2:$QY$2,$AW9))&gt;0)),$AV9,"")</f>
        <v/>
      </c>
      <c r="JW9" s="164">
        <f>IF(OR($W9="",(COUNTIF($EL$2:$EP$2,$W9)+COUNTIF($QV$2:$QY$2,$W9))&gt;0),$V9,"")</f>
        <v/>
      </c>
      <c r="JX9" s="164">
        <f>IF(AND($AF9=1,OR($W9="",(COUNTIF($EL$2:$EP$2,$W9)+COUNTIF($QV$2:$QY$2,$W9))&gt;0)),$V9,"")</f>
        <v/>
      </c>
      <c r="JZ9" s="164">
        <f>IF(OR($AW9="",(COUNTIF($EL$3:$EP$3,$AW9)+COUNTIF($QV$3:$QY$3,$AW9))&gt;0),$AV9,"")</f>
        <v/>
      </c>
      <c r="KA9" s="164">
        <f>IF(AND($AX9=1,OR($AW9="",(COUNTIF($EL$3:$EP$3,$AW9)+COUNTIF($QV$3:$QY$3,$AW9))&gt;0)),$AV9,"")</f>
        <v/>
      </c>
      <c r="KC9" s="164">
        <f>IF(OR($W9="",(COUNTIF($EL$3:$EP$3,$W9)+COUNTIF($QV$3:$QY$3,$W9))&gt;0),$V9,"")</f>
        <v/>
      </c>
      <c r="KD9" s="164">
        <f>IF(AND($AF9=1,OR($W9="",(COUNTIF($EL$3:$EP$3,$W9)+COUNTIF($QV$3:$QY$3,$W9))&gt;0)),$V9,"")</f>
        <v/>
      </c>
      <c r="KF9" s="164">
        <f>IF(OR($AW9="",(COUNTIF($EL$4:$EP$4,$AW9)+COUNTIF($QV$4:$QY$4,$AW9))&gt;0),$AV9,"")</f>
        <v/>
      </c>
      <c r="KG9" s="164">
        <f>IF(AND($AX9=1,OR($AW9="",(COUNTIF($EL$4:$EP$4,$AW9)+COUNTIF($QV$4:$QY$4,$AW9))&gt;0)),$AV9,"")</f>
        <v/>
      </c>
      <c r="KI9" s="164">
        <f>IF(OR($W9="",(COUNTIF($EL$4:$EP$4,$W9)+COUNTIF($QV$4:$QY$4,$W9))&gt;0),$V9,"")</f>
        <v/>
      </c>
      <c r="KJ9" s="164">
        <f>IF(AND($AF9=1,OR($W9="",(COUNTIF($EL$4:$EP$4,$W9)+COUNTIF($QV$4:$QY$4,$W9))&gt;0)),$V9,"")</f>
        <v/>
      </c>
      <c r="KL9" s="164">
        <f>IF(OR($AW9="",(COUNTIF($EL$5:$EP$5,$AW9)+COUNTIF($QV$5:$QY$5,$AW9))&gt;0),$AV9,"")</f>
        <v/>
      </c>
      <c r="KM9" s="164">
        <f>IF(AND($AX9=1,OR($AW9="",(COUNTIF($EL$5:$EP$5,$AW9)+COUNTIF($QV$5:$QY$5,$AW9))&gt;0)),$AV9,"")</f>
        <v/>
      </c>
      <c r="KO9" s="164">
        <f>IF(OR($W9="",(COUNTIF($EL$5:$EP$5,$W9)+COUNTIF($QV$5:$QY$5,$W9))&gt;0),$V9,"")</f>
        <v/>
      </c>
      <c r="KP9" s="164">
        <f>IF(AND($AF9=1,OR($W9="",(COUNTIF($EL$5:$EP$5,$W9)+COUNTIF($QV$5:$QY$5,$W9))&gt;0)),$V9,"")</f>
        <v/>
      </c>
      <c r="KR9" s="164">
        <f>IF(OR($AW9="",(COUNTIF($EL$6:$EP$6,$AW9)+COUNTIF($QV$6:$QY$6,$AW9))&gt;0),$AV9,"")</f>
        <v/>
      </c>
      <c r="KS9" s="164">
        <f>IF(AND($AX9=1,OR($AW9="",(COUNTIF($EL$6:$EP$6,$AW9)+COUNTIF($QV$6:$QY$6,$AW9))&gt;0)),$AV9,"")</f>
        <v/>
      </c>
      <c r="KU9" s="164">
        <f>IF(OR($W9="",(COUNTIF($EL$6:$EP$6,$W9)+COUNTIF($QV$6:$QY$6,$W9))&gt;0),$V9,"")</f>
        <v/>
      </c>
      <c r="KV9" s="164">
        <f>IF(AND($AF9=1,OR($W9="",(COUNTIF($EL$6:$EP$6,$W9)+COUNTIF($QV$6:$QY$6,$W9))&gt;0)),$V9,"")</f>
        <v/>
      </c>
      <c r="KX9" s="164">
        <f>IF(OR($AW9="",(COUNTIF($EL$7:$EP$7,$AW9)+COUNTIF($QV$7:$QY$7,$AW9))&gt;0),$AV9,"")</f>
        <v/>
      </c>
      <c r="KY9" s="164">
        <f>IF(AND($AX9=1,OR($AW9="",(COUNTIF($EL$7:$EP$7,$AW9)+COUNTIF($QV$7:$QY$7,$AW9))&gt;0)),$AV9,"")</f>
        <v/>
      </c>
      <c r="LA9" s="164">
        <f>IF(OR($W9="",(COUNTIF($EL$7:$EP$7,$W9)+COUNTIF($QV$7:$QY$7,$W9))&gt;0),$V9,"")</f>
        <v/>
      </c>
      <c r="LB9" s="164">
        <f>IF(AND($AF9=1,OR($W9="",(COUNTIF($EL$7:$EP$7,$W9)+COUNTIF($QV$7:$QY$7,$W9))&gt;0)),$V9,"")</f>
        <v/>
      </c>
      <c r="LD9" s="164">
        <f>IF(OR($AW9="",(COUNTIF($EL$8:$EP$8,$AW9)+COUNTIF($QV$8:$QY$8,$AW9))&gt;0),$AV9,"")</f>
        <v/>
      </c>
      <c r="LE9" s="164">
        <f>IF(AND($AX9=1,OR($AW9="",(COUNTIF($EL$8:$EP$8,$AW9)+COUNTIF($QV$8:$QY$8,$AW9))&gt;0)),$AV9,"")</f>
        <v/>
      </c>
      <c r="LG9" s="164">
        <f>IF(OR($W9="",(COUNTIF($EL$8:$EP$8,$W9)+COUNTIF($QV$8:$QY$8,$W9))&gt;0),$V9,"")</f>
        <v/>
      </c>
      <c r="LH9" s="164">
        <f>IF(AND($AF9=1,OR($W9="",(COUNTIF($EL$8:$EP$8,$W9)+COUNTIF($QV$8:$QY$8,$W9))&gt;0)),$V9,"")</f>
        <v/>
      </c>
      <c r="LJ9" s="164">
        <f>IF(OR($AW9="",(COUNTIF($EL$9:$EP$9,$AW9)+COUNTIF($QV$9:$QY$9,$AW9))&gt;0),$AV9,"")</f>
        <v/>
      </c>
      <c r="LK9" s="164">
        <f>IF(AND($AX9=1,OR($AW9="",(COUNTIF($EL$9:$EP$9,$AW9)+COUNTIF($QV$9:$QY$9,$AW9))&gt;0)),$AV9,"")</f>
        <v/>
      </c>
      <c r="LM9" s="164">
        <f>IF(OR($W9="",(COUNTIF($EL$9:$EP$9,$W9)+COUNTIF($QV$9:$QY$9,$W9))&gt;0),$V9,"")</f>
        <v/>
      </c>
      <c r="LN9" s="164">
        <f>IF(AND($AF9=1,OR($W9="",(COUNTIF($EL$9:$EP$9,$W9)+COUNTIF($QV$9:$QY$9,$W9))&gt;0)),$V9,"")</f>
        <v/>
      </c>
      <c r="LP9" s="164">
        <f>IF(OR($AW9="",(COUNTIF($EL$10:$EP$10,$AW9)+COUNTIF($QV$10:$QY$10,$AW9))&gt;0),$AV9,"")</f>
        <v/>
      </c>
      <c r="LQ9" s="164">
        <f>IF(AND($AX9=1,OR($AW9="",(COUNTIF($EL$10:$EP$10,$AW9)+COUNTIF($QV$10:$QY$10,$AW9))&gt;0)),$AV9,"")</f>
        <v/>
      </c>
      <c r="LS9" s="164">
        <f>IF(OR($W9="",(COUNTIF($EL$10:$EP$10,$W9)+COUNTIF($QV$10:$QY$10,$W9))&gt;0),$V9,"")</f>
        <v/>
      </c>
      <c r="LT9" s="164">
        <f>IF(AND($AF9=1,OR($W9="",(COUNTIF($EL$10:$EP$10,$W9)+COUNTIF($QV$10:$QY$10,$W9))&gt;0)),$V9,"")</f>
        <v/>
      </c>
      <c r="LV9" s="164">
        <f>IF(OR($AW9="",(COUNTIF($EL$11:$EP$11,$AW9)+COUNTIF($QV$11:$QY$11,$AW9))&gt;0),$AV9,"")</f>
        <v/>
      </c>
      <c r="LW9" s="164">
        <f>IF(AND($AX9=1,OR($AW9="",(COUNTIF($EL$11:$EP$11,$AW9)+COUNTIF($QV$11:$QY$11,$AW9))&gt;0)),$AV9,"")</f>
        <v/>
      </c>
      <c r="LY9" s="164">
        <f>IF(OR($W9="",(COUNTIF($EL$11:$EP$11,$W9)+COUNTIF($QV$11:$QY$11,$W9))&gt;0),$V9,"")</f>
        <v/>
      </c>
      <c r="LZ9" s="164">
        <f>IF(AND($AF9=1,OR($W9="",(COUNTIF($EL$11:$EP$11,$W9)+COUNTIF($QV$11:$QY$11,$W9))&gt;0)),$V9,"")</f>
        <v/>
      </c>
      <c r="MB9" s="164">
        <f>IF(OR($AW9="",(COUNTIF($EL$12:$EP$12,$AW9)+COUNTIF($QV$12:$QY$12,$AW9))&gt;0),$AV9,"")</f>
        <v/>
      </c>
      <c r="MC9" s="164">
        <f>IF(AND($AX9=1,OR($AW9="",(COUNTIF($EL$12:$EP$12,$AW9)+COUNTIF($QV$12:$QY$12,$AW9))&gt;0)),$AV9,"")</f>
        <v/>
      </c>
      <c r="ME9" s="164">
        <f>IF(OR($W9="",(COUNTIF($EL$12:$EP$12,$W9)+COUNTIF($QV$12:$QY$12,$W9))&gt;0),$V9,"")</f>
        <v/>
      </c>
      <c r="MF9" s="164">
        <f>IF(AND($AF9=1,OR($W9="",(COUNTIF($EL$12:$EP$12,$W9)+COUNTIF($QV$12:$QY$12,$W9))&gt;0)),$V9,"")</f>
        <v/>
      </c>
      <c r="MH9" s="164">
        <f>IF(OR($AW9="",(COUNTIF($EL$13:$EP$13,$AW9)+COUNTIF($QV$13:$QY$13,$AW9))&gt;0),$AV9,"")</f>
        <v/>
      </c>
      <c r="MI9" s="164">
        <f>IF(AND($AX9=1,OR($AW9="",(COUNTIF($EL$13:$EP$13,$AW9)+COUNTIF($QV$13:$QY$13,$AW9))&gt;0)),$AV9,"")</f>
        <v/>
      </c>
      <c r="MK9" s="164">
        <f>IF(OR($W9="",(COUNTIF($EL$13:$EP$13,$W9)+COUNTIF($QV$13:$QY$13,$W9))&gt;0),$V9,"")</f>
        <v/>
      </c>
      <c r="ML9" s="164">
        <f>IF(AND($AF9=1,OR($W9="",(COUNTIF($EL$13:$EP$13,$W9)+COUNTIF($QV$13:$QY$13,$W9))&gt;0)),$V9,"")</f>
        <v/>
      </c>
      <c r="MN9" s="162" t="inlineStr">
        <is>
          <t>Ficha 1 · Especial 6</t>
        </is>
      </c>
      <c r="MO9" s="164" t="n">
        <v>1</v>
      </c>
      <c r="MP9" s="164" t="n">
        <v>1</v>
      </c>
      <c r="MQ9" s="164" t="n">
        <v>20</v>
      </c>
      <c r="MR9" s="162" t="inlineStr">
        <is>
          <t>ESPECIAL 6</t>
        </is>
      </c>
      <c r="MS9" s="164">
        <f>MAX(1,MIN(7,N('INVOCAÇÕES'!$O$127)))</f>
        <v/>
      </c>
      <c r="MT9" s="164">
        <f>'INVOCAÇÕES'!$P$127&amp;""</f>
        <v/>
      </c>
      <c r="MU9" s="164">
        <f>'INVOCAÇÕES'!$O$132&amp;""</f>
        <v/>
      </c>
      <c r="MV9" s="164">
        <f>'INVOCAÇÕES'!$O$133&amp;""</f>
        <v/>
      </c>
      <c r="MW9" s="164">
        <f>'INVOCAÇÕES'!$Q$133&amp;""</f>
        <v/>
      </c>
      <c r="MX9" s="164">
        <f>'INVOCAÇÕES'!$P$136&amp;""</f>
        <v/>
      </c>
      <c r="MY9" s="164">
        <f>'INVOCAÇÕES'!$P$137&amp;""</f>
        <v/>
      </c>
      <c r="MZ9" s="164">
        <f>'INVOCAÇÕES'!$P$138&amp;""</f>
        <v/>
      </c>
      <c r="NA9" s="164">
        <f>'INVOCAÇÕES'!$P$139&amp;""</f>
        <v/>
      </c>
      <c r="NB9" s="164">
        <f>'INVOCAÇÕES'!$P$140&amp;""</f>
        <v/>
      </c>
      <c r="NC9" s="164">
        <f>'INVOCAÇÕES'!$P$141&amp;""</f>
        <v/>
      </c>
      <c r="ND9" s="164">
        <f>IF($MT9&lt;&gt;"",1,0)</f>
        <v/>
      </c>
      <c r="NE9" s="164">
        <f>INDEX($FO$2:$FO$13,$MO9)</f>
        <v/>
      </c>
      <c r="NF9" s="164">
        <f>INDEX($FP$2:$FP$13,$MO9)</f>
        <v/>
      </c>
      <c r="NG9" s="164">
        <f>INDEX($FQ$2:$FQ$13,$MO9)</f>
        <v/>
      </c>
      <c r="NH9" s="164">
        <f>INDEX($GB$2:$GB$13,$MO9)</f>
        <v/>
      </c>
      <c r="NI9" s="164">
        <f>INDEX($GC$2:$GC$13,$MO9)</f>
        <v/>
      </c>
      <c r="NJ9" s="164">
        <f>IFERROR(MATCH(SUBSTITUTE(SUBSTITUTE(SUBSTITUTE($MU9,"~","~~"),"*","~*"),"?","~?"),'DADOS_FORMAS'!$FZ$2:$FZ$21,0),0)</f>
        <v/>
      </c>
      <c r="NK9" s="164">
        <f>IFERROR(VLOOKUP(SUBSTITUTE(SUBSTITUTE(SUBSTITUTE($MX9,"~","~~"),"*","~*"),"?","~?"),'DADOS_MELHORIAS'!$AG$2:$AL$113,2,FALSE),"")</f>
        <v/>
      </c>
      <c r="NL9" s="164">
        <f>IFERROR(VLOOKUP(SUBSTITUTE(SUBSTITUTE(SUBSTITUTE($MY9,"~","~~"),"*","~*"),"?","~?"),'DADOS_MELHORIAS'!$AG$2:$AL$113,2,FALSE),"")</f>
        <v/>
      </c>
      <c r="NM9" s="164">
        <f>IFERROR(VLOOKUP(SUBSTITUTE(SUBSTITUTE(SUBSTITUTE($MZ9,"~","~~"),"*","~*"),"?","~?"),'DADOS_MELHORIAS'!$AG$2:$AL$113,2,FALSE),"")</f>
        <v/>
      </c>
      <c r="NN9" s="164">
        <f>IFERROR(VLOOKUP(SUBSTITUTE(SUBSTITUTE(SUBSTITUTE($NA9,"~","~~"),"*","~*"),"?","~?"),'DADOS_MELHORIAS'!$AG$2:$AL$113,2,FALSE),"")</f>
        <v/>
      </c>
      <c r="NO9" s="164">
        <f>IFERROR(VLOOKUP(SUBSTITUTE(SUBSTITUTE(SUBSTITUTE($MX9,"~","~~"),"*","~*"),"?","~?"),'DADOS_MELHORIAS'!$AG$2:$AL$113,3,FALSE),0)</f>
        <v/>
      </c>
      <c r="NP9" s="164">
        <f>IFERROR(VLOOKUP(SUBSTITUTE(SUBSTITUTE(SUBSTITUTE($MY9,"~","~~"),"*","~*"),"?","~?"),'DADOS_MELHORIAS'!$AG$2:$AL$113,3,FALSE),0)</f>
        <v/>
      </c>
      <c r="NQ9" s="164">
        <f>IFERROR(VLOOKUP(SUBSTITUTE(SUBSTITUTE(SUBSTITUTE($MZ9,"~","~~"),"*","~*"),"?","~?"),'DADOS_MELHORIAS'!$AG$2:$AL$113,3,FALSE),0)</f>
        <v/>
      </c>
      <c r="NR9" s="164">
        <f>IFERROR(VLOOKUP(SUBSTITUTE(SUBSTITUTE(SUBSTITUTE($NA9,"~","~~"),"*","~*"),"?","~?"),'DADOS_MELHORIAS'!$AG$2:$AL$113,3,FALSE),0)</f>
        <v/>
      </c>
      <c r="NS9" s="164">
        <f>IF($MS9=0,0,IF($NJ9=0,0,INDEX('DADOS_FORMAS'!$GB$2:$GB$21,$NJ9)))</f>
        <v/>
      </c>
      <c r="NT9" s="164">
        <f>IF(OR($NO9=0,$MS9=0),0,$NO9+3*IF(AND($NK9&lt;&gt;"",COUNTIF(INDEX($RB$2:$RJ$13,$MO9,0),$NK9)&gt;0),1,0))</f>
        <v/>
      </c>
      <c r="NU9" s="164">
        <f>IF(OR($NP9=0,$MS9=0),0,$NP9+3*IF(AND($NL9&lt;&gt;"",COUNTIF(INDEX($RB$2:$RJ$13,$MO9,0),$NL9)&gt;0),1,0))</f>
        <v/>
      </c>
      <c r="NV9" s="164">
        <f>IF(OR($NQ9=0,$MS9=0),0,$NQ9+3*IF(AND($NM9&lt;&gt;"",COUNTIF(INDEX($RB$2:$RJ$13,$MO9,0),$NM9)&gt;0),1,0))</f>
        <v/>
      </c>
      <c r="NW9" s="164">
        <f>IF(OR($NR9=0,$MS9=0),0,$NR9+3*IF(AND($NN9&lt;&gt;"",COUNTIF(INDEX($RB$2:$RJ$13,$MO9,0),$NN9)&gt;0),1,0))</f>
        <v/>
      </c>
      <c r="NX9" s="164">
        <f>IF($NJ9=0,0,IF(INDEX('DADOS_FORMAS'!$GA$2:$GA$21,$NJ9)="",0,IF((COUNTIF(INDEX($EL$2:$EP$13,$MO9,0),INDEX('DADOS_FORMAS'!$GA$2:$GA$21,$NJ9))+COUNTIF(INDEX($QV$2:$QY$13,$MO9,0),INDEX('DADOS_FORMAS'!$GA$2:$GA$21,$NJ9)))=0,1,0)))</f>
        <v/>
      </c>
      <c r="NY9" s="164">
        <f>IF(OR($NO9=0,$NK9=""),0,IF((COUNTIF(INDEX($EL$2:$EP$13,$MO9,0),$NK9)+COUNTIF(INDEX($QV$2:$QY$13,$MO9,0),$NK9))=0,1,0))</f>
        <v/>
      </c>
      <c r="NZ9" s="164">
        <f>IF(OR($NP9=0,$NL9=""),0,IF((COUNTIF(INDEX($EL$2:$EP$13,$MO9,0),$NL9)+COUNTIF(INDEX($QV$2:$QY$13,$MO9,0),$NL9))=0,1,0))</f>
        <v/>
      </c>
      <c r="OA9" s="164">
        <f>IF(OR($NQ9=0,$NM9=""),0,IF((COUNTIF(INDEX($EL$2:$EP$13,$MO9,0),$NM9)+COUNTIF(INDEX($QV$2:$QY$13,$MO9,0),$NM9))=0,1,0))</f>
        <v/>
      </c>
      <c r="OB9" s="164">
        <f>IF(OR($NR9=0,$NN9=""),0,IF((COUNTIF(INDEX($EL$2:$EP$13,$MO9,0),$NN9)+COUNTIF(INDEX($QV$2:$QY$13,$MO9,0),$NN9))=0,1,0))</f>
        <v/>
      </c>
      <c r="OC9" s="164">
        <f>IFERROR(VLOOKUP(SUBSTITUTE(SUBSTITUTE(SUBSTITUTE($MX9,"~","~~"),"*","~*"),"?","~?"),'DADOS_MELHORIAS'!$AG$2:$AL$113,4,FALSE),0)+IFERROR(VLOOKUP(SUBSTITUTE(SUBSTITUTE(SUBSTITUTE($MY9,"~","~~"),"*","~*"),"?","~?"),'DADOS_MELHORIAS'!$AG$2:$AL$113,4,FALSE),0)+IFERROR(VLOOKUP(SUBSTITUTE(SUBSTITUTE(SUBSTITUTE($MZ9,"~","~~"),"*","~*"),"?","~?"),'DADOS_MELHORIAS'!$AG$2:$AL$113,4,FALSE),0)+IFERROR(VLOOKUP(SUBSTITUTE(SUBSTITUTE(SUBSTITUTE($NA9,"~","~~"),"*","~*"),"?","~?"),'DADOS_MELHORIAS'!$AG$2:$AL$113,4,FALSE),0)</f>
        <v/>
      </c>
      <c r="OD9" s="164">
        <f>IFERROR(VLOOKUP(SUBSTITUTE(SUBSTITUTE(SUBSTITUTE($MX9,"~","~~"),"*","~*"),"?","~?"),'DADOS_MELHORIAS'!$AG$2:$AL$113,6,FALSE),0)+IFERROR(VLOOKUP(SUBSTITUTE(SUBSTITUTE(SUBSTITUTE($MY9,"~","~~"),"*","~*"),"?","~?"),'DADOS_MELHORIAS'!$AG$2:$AL$113,6,FALSE),0)+IFERROR(VLOOKUP(SUBSTITUTE(SUBSTITUTE(SUBSTITUTE($MZ9,"~","~~"),"*","~*"),"?","~?"),'DADOS_MELHORIAS'!$AG$2:$AL$113,6,FALSE),0)+IFERROR(VLOOKUP(SUBSTITUTE(SUBSTITUTE(SUBSTITUTE($NA9,"~","~~"),"*","~*"),"?","~?"),'DADOS_MELHORIAS'!$AG$2:$AL$113,6,FALSE),0)+IFERROR(N(AND(INDEX('DADOS_FORMAS'!$AO$2:$AO$21,MATCH(SUBSTITUTE(SUBSTITUTE(SUBSTITUTE($MU9,"~","~~"),"*","~*"),"?","~?"),'DADOS_FORMAS'!$AH$2:$AH$21,0))="Acerto",$OH9=1)),0)</f>
        <v/>
      </c>
      <c r="OE9" s="164">
        <f>TEXTJOIN(", ",TRUE,IF(IFERROR(VLOOKUP(SUBSTITUTE(SUBSTITUTE(SUBSTITUTE($MX9,"~","~~"),"*","~*"),"?","~?"),'DADOS_MELHORIAS'!$AG$2:$AL$113,5,FALSE),0)=1,$MX9,""),IF(IFERROR(VLOOKUP(SUBSTITUTE(SUBSTITUTE(SUBSTITUTE($MY9,"~","~~"),"*","~*"),"?","~?"),'DADOS_MELHORIAS'!$AG$2:$AL$113,5,FALSE),0)=1,$MY9,""),IF(IFERROR(VLOOKUP(SUBSTITUTE(SUBSTITUTE(SUBSTITUTE($MZ9,"~","~~"),"*","~*"),"?","~?"),'DADOS_MELHORIAS'!$AG$2:$AL$113,5,FALSE),0)=1,$MZ9,""),IF(IFERROR(VLOOKUP(SUBSTITUTE(SUBSTITUTE(SUBSTITUTE($NA9,"~","~~"),"*","~*"),"?","~?"),'DADOS_MELHORIAS'!$AG$2:$AL$113,5,FALSE),0)=1,$NA9,""))</f>
        <v/>
      </c>
      <c r="OF9" s="164">
        <f>IF($NJ9=0,0,INDEX('DADOS_FORMAS'!$GC$2:$GC$21,$NJ9))</f>
        <v/>
      </c>
      <c r="OG9" s="164">
        <f>IF($NJ9=0,0,INDEX('DADOS_FORMAS'!$GD$2:$GD$21,$NJ9))</f>
        <v/>
      </c>
      <c r="OH9" s="164">
        <f>IF($NJ9=0,0,INDEX('DADOS_FORMAS'!$GF$2:$GF$21,$NJ9))</f>
        <v/>
      </c>
      <c r="OI9" s="164">
        <f>IFERROR(VLOOKUP(SUBSTITUTE(SUBSTITUTE(SUBSTITUTE($NB9,"~","~~"),"*","~*"),"?","~?"),'DADOS_RESTRICOES'!$M$2:$Q$54,3,FALSE),0)</f>
        <v/>
      </c>
      <c r="OJ9" s="164">
        <f>IFERROR(VLOOKUP(SUBSTITUTE(SUBSTITUTE(SUBSTITUTE($NC9,"~","~~"),"*","~*"),"?","~?"),'DADOS_RESTRICOES'!$M$2:$Q$54,3,FALSE),0)</f>
        <v/>
      </c>
      <c r="OK9" s="164">
        <f>IFERROR(VLOOKUP(SUBSTITUTE(SUBSTITUTE(SUBSTITUTE($NB9,"~","~~"),"*","~*"),"?","~?"),'DADOS_RESTRICOES'!$M$2:$Q$54,2,FALSE),"")</f>
        <v/>
      </c>
      <c r="OL9" s="164">
        <f>IFERROR(VLOOKUP(SUBSTITUTE(SUBSTITUTE(SUBSTITUTE($NC9,"~","~~"),"*","~*"),"?","~?"),'DADOS_RESTRICOES'!$M$2:$Q$54,2,FALSE),"")</f>
        <v/>
      </c>
      <c r="OM9" s="164">
        <f>COUNTIF($NS9:$NW9,1)</f>
        <v/>
      </c>
      <c r="ON9" s="164">
        <f>COUNTIF($NS9:$NW9,2)</f>
        <v/>
      </c>
      <c r="OO9" s="164">
        <f>COUNTIF($NS9:$NW9,3)</f>
        <v/>
      </c>
      <c r="OP9" s="164">
        <f>COUNTIF($NS9:$NW9,4)</f>
        <v/>
      </c>
      <c r="OQ9" s="164">
        <f>COUNTIF($NS9:$NW9,5)</f>
        <v/>
      </c>
      <c r="OR9" s="164">
        <f>COUNTIF($NS9:$NW9,6)</f>
        <v/>
      </c>
      <c r="OS9" s="164">
        <f>COUNTIF($OI9:$OJ9,1)+IF(IFERROR(INDEX('DADOS_FORMAS'!$AS$2:$AS$21,MATCH(SUBSTITUTE(SUBSTITUTE(SUBSTITUTE($MU9,"~","~~"),"*","~*"),"?","~?"),'DADOS_FORMAS'!$AH$2:$AH$21,0)),"")="",0,IFERROR(N(VLOOKUP(SUBSTITUTE(SUBSTITUTE(SUBSTITUTE(IFERROR(INDEX('DADOS_FORMAS'!$AS$2:$AS$21,MATCH(SUBSTITUTE(SUBSTITUTE(SUBSTITUTE($MU9,"~","~~"),"*","~*"),"?","~?"),'DADOS_FORMAS'!$AH$2:$AH$21,0)),""),"~","~~"),"*","~*"),"?","~?"),'DADOS_RESTRICOES'!$M$2:$Q$54,3,FALSE)=1),0))</f>
        <v/>
      </c>
      <c r="OT9" s="164">
        <f>COUNTIF($OI9:$OJ9,2)+IF(IFERROR(INDEX('DADOS_FORMAS'!$AS$2:$AS$21,MATCH(SUBSTITUTE(SUBSTITUTE(SUBSTITUTE($MU9,"~","~~"),"*","~*"),"?","~?"),'DADOS_FORMAS'!$AH$2:$AH$21,0)),"")="",0,IFERROR(N(VLOOKUP(SUBSTITUTE(SUBSTITUTE(SUBSTITUTE(IFERROR(INDEX('DADOS_FORMAS'!$AS$2:$AS$21,MATCH(SUBSTITUTE(SUBSTITUTE(SUBSTITUTE($MU9,"~","~~"),"*","~*"),"?","~?"),'DADOS_FORMAS'!$AH$2:$AH$21,0)),""),"~","~~"),"*","~*"),"?","~?"),'DADOS_RESTRICOES'!$M$2:$Q$54,3,FALSE)=2),0))</f>
        <v/>
      </c>
      <c r="OU9" s="164">
        <f>COUNTIF($MX9:$NA9,"?*")</f>
        <v/>
      </c>
      <c r="OV9" s="164">
        <f>COUNTIF($NB9:$NC9,"?*")+$OF9</f>
        <v/>
      </c>
      <c r="OW9" s="164">
        <f>IF($MS9=0,0,SUMPRODUCT($OM9:$OR9,INDEX($I$2:$N$8,MAX(1,$MS9),0)))</f>
        <v/>
      </c>
      <c r="OX9" s="164">
        <f>IF($MS9=0,0,$OS9*CEILING($MS9/2,1)+$OT9*$MS9)</f>
        <v/>
      </c>
      <c r="OY9" s="164">
        <f>MIN(2*$MS9,$OX9)</f>
        <v/>
      </c>
      <c r="OZ9" s="164">
        <f>MIN($OY9,$OW9-IF($NS9=0,0,INDEX($I$2:$N$8,MAX(1,$MS9),$NS9)))</f>
        <v/>
      </c>
      <c r="PA9" s="164">
        <f>$OY9-$OZ9</f>
        <v/>
      </c>
      <c r="PB9" s="164">
        <f>IF($MS9=0,0,INDEX($P$2:$P$8,MAX(1,$MS9)))</f>
        <v/>
      </c>
      <c r="PC9" s="164">
        <f>$PB9-$OW9+$OZ9</f>
        <v/>
      </c>
      <c r="PD9" s="164">
        <f>IF($MS9=0,MAX(0,$NG9-IF(AND($OU9&gt;0,COUNTIF($NB9:$NC9,"?*")=0),1,0)),MAX(0,$PC9))</f>
        <v/>
      </c>
      <c r="PE9" s="164">
        <f>IF($MS9=0,0,(IF(COUNTIF($RK9:$RN9,"Salto")&gt;0,1,0)+IF(COUNTIF($RK9:$RN9,"Queima")&gt;0,1,0)+IF(COUNTIF($RK9:$RN9,"Estilhaço")&gt;0,1,0))*FLOOR($PD9/2,1))</f>
        <v/>
      </c>
      <c r="PF9" s="164">
        <f>MAX(0,2-SUMPRODUCT($OM9:$OR9,$I$2:$N$2)+MIN(2,$OS9*1+$OT9*1,SUMPRODUCT($OM9:$OR9,$I$2:$N$2)-IF($NS9=0,0,INDEX($I$2:$N$2,1,$NS9))))</f>
        <v/>
      </c>
      <c r="PG9" s="164">
        <f>MAX(0,4-SUMPRODUCT($OM9:$OR9,$I$3:$N$3)+MIN(4,$OS9*1+$OT9*2,SUMPRODUCT($OM9:$OR9,$I$3:$N$3)-IF($NS9=0,0,INDEX($I$3:$N$3,1,$NS9))))</f>
        <v/>
      </c>
      <c r="PH9" s="164">
        <f>MAX(0,6-SUMPRODUCT($OM9:$OR9,$I$4:$N$4)+MIN(6,$OS9*2+$OT9*3,SUMPRODUCT($OM9:$OR9,$I$4:$N$4)-IF($NS9=0,0,INDEX($I$4:$N$4,1,$NS9))))</f>
        <v/>
      </c>
      <c r="PI9" s="164">
        <f>MAX(0,9-SUMPRODUCT($OM9:$OR9,$I$5:$N$5)+MIN(8,$OS9*2+$OT9*4,SUMPRODUCT($OM9:$OR9,$I$5:$N$5)-IF($NS9=0,0,INDEX($I$5:$N$5,1,$NS9))))</f>
        <v/>
      </c>
      <c r="PJ9" s="164">
        <f>MAX(0,11-SUMPRODUCT($OM9:$OR9,$I$6:$N$6)+MIN(10,$OS9*3+$OT9*5,SUMPRODUCT($OM9:$OR9,$I$6:$N$6)-IF($NS9=0,0,INDEX($I$6:$N$6,1,$NS9))))</f>
        <v/>
      </c>
      <c r="PK9" s="164">
        <f>MAX(0,13-SUMPRODUCT($OM9:$OR9,$I$7:$N$7)+MIN(12,$OS9*3+$OT9*6,SUMPRODUCT($OM9:$OR9,$I$7:$N$7)-IF($NS9=0,0,INDEX($I$7:$N$7,1,$NS9))))</f>
        <v/>
      </c>
      <c r="PL9" s="164">
        <f>MAX(0,16-SUMPRODUCT($OM9:$OR9,$I$8:$N$8)+MIN(14,$OS9*4+$OT9*7,SUMPRODUCT($OM9:$OR9,$I$8:$N$8)-IF($NS9=0,0,INDEX($I$8:$N$8,1,$NS9))))</f>
        <v/>
      </c>
      <c r="PM9" s="164">
        <f>IF($OG9=2,3*$PF9&amp;" de vida temp.",IF($OG9=3,"sem dano",IF($PF9=0,IF($OG9=1,"sem cura","sem dano"),IF($OG9=1,"cura ","")&amp;$PF9&amp;"d8")))</f>
        <v/>
      </c>
      <c r="PN9" s="164">
        <f>IF($OG9=2,3*$PG9&amp;" de vida temp.",IF($OG9=3,"sem dano",IF($PG9=0,IF($OG9=1,"sem cura","sem dano"),IF($OG9=1,"cura ","")&amp;$PG9&amp;"d8")))</f>
        <v/>
      </c>
      <c r="PO9" s="164">
        <f>IF($OG9=2,3*$PH9&amp;" de vida temp.",IF($OG9=3,"sem dano",IF($PH9=0,IF($OG9=1,"sem cura","sem dano"),IF($OG9=1,"cura ","")&amp;$PH9&amp;"d8")))</f>
        <v/>
      </c>
      <c r="PP9" s="164">
        <f>IF($OG9=2,3*$PI9&amp;" de vida temp.",IF($OG9=3,"sem dano",IF($PI9=0,IF($OG9=1,"sem cura","sem dano"),IF($OG9=1,"cura ","")&amp;$PI9&amp;"d8")))</f>
        <v/>
      </c>
      <c r="PQ9" s="164">
        <f>IF($OG9=2,3*$PJ9&amp;" de vida temp.",IF($OG9=3,"sem dano",IF($PJ9=0,IF($OG9=1,"sem cura","sem dano"),IF($OG9=1,"cura ","")&amp;$PJ9&amp;"d8")))</f>
        <v/>
      </c>
      <c r="PR9" s="164">
        <f>IF($OG9=2,3*$PK9&amp;" de vida temp.",IF($OG9=3,"sem dano",IF($PK9=0,IF($OG9=1,"sem cura","sem dano"),IF($OG9=1,"cura ","")&amp;$PK9&amp;"d8")))</f>
        <v/>
      </c>
      <c r="PS9" s="164">
        <f>IF($OG9=2,3*$PL9&amp;" de vida temp.",IF($OG9=3,"sem dano",IF($PL9=0,IF($OG9=1,"sem cura","sem dano"),IF($OG9=1,"cura ","")&amp;$PL9&amp;"d8")))</f>
        <v/>
      </c>
      <c r="PT9" s="164">
        <f>IF($ND9=0,"",TEXTJOIN(" · ",TRUE,IF($ND9=0,"",TEXTJOIN(" · ",TRUE,IF($ND9=0,"",TEXTJOIN(" · ",TRUE,IF($MQ9&gt;$NE9,"Este lugar abre no nível "&amp;$MQ9,""),IF($MS9&gt;$NF9,"Classe "&amp;$MS9&amp;": o nível "&amp;$NE9&amp;" libera até a "&amp;$NF9,""),IF($NX9=1,"A Forma "&amp;$MU9&amp;" pede "&amp;INDEX('DADOS_FORMAS'!$GA$2:$GA$21,$NJ9)&amp;" aberta",""),IF(AND($MS9=0,$NJ9&gt;0,IF($NJ9=0,0,INDEX('DADOS_FORMAS'!$GJ$2:$GJ$21,$NJ9))=0),$MU9&amp;" não existe na Classe 0",""),IF($NY9=1,"Família Fechada: "&amp;$MX9,""),IF($NZ9=1,"Família Fechada: "&amp;$MY9,""),IF($OA9=1,"Família Fechada: "&amp;$MZ9,""),IF($OB9=1,"Família Fechada: "&amp;$NA9,""),IF(AND($MS9&gt;0,$OU9&gt;INDEX($O$2:$O$8,MAX(1,$MS9))),$OU9&amp;" Melhorias: a Classe "&amp;$MS9&amp;" aceita "&amp;INDEX($O$2:$O$8,MAX(1,$MS9)),""),IF(AND($MS9=0,$OU9&gt;1),"A básica aceita uma Melhoria",""),IF(AND($MS9=0,COUNTIF($NO9:$NR9,"&gt;1")&gt;0),"A básica só aceita Melhoria Leve",""),IF(AND($MS9&gt;0,$OV9&gt;2),$OV9&amp;" Restrições"&amp;IF($OF9=1,", contando a que a Forma "&amp;$MU9&amp;" já traz","")&amp;": o limite é 2",""),IF(AND($MS9=0,COUNTIF($NB9:$NC9,"?*")&gt;1),"A básica aceita uma Restrição Leve",""),IF(AND($MS9=0,COUNTIF($OI9:$OJ9,2)&gt;0),"A básica só aceita Restrição Leve",""),IF(AND($MS9&gt;0,$PC9&lt;0),"Orçamento estourado: faltam "&amp;(-$PC9)&amp;IF($PC9&lt;-1," pontos"," ponto"),""),IF(IFERROR(VLOOKUP(SUBSTITUTE(SUBSTITUTE(SUBSTITUTE($NB9,"~","~~"),"*","~*"),"?","~?"),'DADOS_RESTRICOES'!$M$2:$Q$54,4,FALSE),0)+IFERROR(VLOOKUP(SUBSTITUTE(SUBSTITUTE(SUBSTITUTE($NC9,"~","~~"),"*","~*"),"?","~?"),'DADOS_RESTRICOES'!$M$2:$Q$54,4,FALSE),0)&gt;1,$OK9&amp;" e "&amp;$OL9&amp;" são as duas de frequência",""),IF(AND((COUNTIF($RK9:$RN9,"Rápido")+COUNTIF($OK9:$OL9,"Rápido"))&gt;0,(COUNTIF($MX9:$NA9,"Atrasar")+COUNTIF($OK9:$OL9,"Atrasar"))&gt;0),"Rápido não entra com Atrasar",""),IF(AND((COUNTIF($RK9:$RN9,"Reação")+COUNTIF($OK9:$OL9,"Reação"))&gt;0,(COUNTIF($RK9:$RN9,"Rápido")+COUNTIF($OK9:$OL9,"Rápido"))&gt;0),"Reação não entra com Rápido",""),IF(AND((COUNTIF($RK9:$RN9,"Reação")+COUNTIF($OK9:$OL9,"Reação"))&gt;0,(COUNTIF($RK9:$RN9,"Armado")+COUNTIF($OK9:$OL9,"Armado"))&gt;0),"Reação não entra com Armado",""),IF(AND((COUNTIF($RK9:$RN9,"Reação")+COUNTIF($OK9:$OL9,"Reação"))&gt;0,(COUNTIF($MX9:$NA9,"Atrasar")+COUNTIF($OK9:$OL9,"Atrasar"))&gt;0),"Reação não entra com Atrasar",""),IF(AND((COUNTIF($RK9:$RN9,"Reação")+COUNTIF($OK9:$OL9,"Reação"))&gt;0,(COUNTIF($MX9:$NA9,"Parado")+COUNTIF($OK9:$OL9,"Parado"))&gt;0),"Reação não entra com Parado",""),IF(AND((COUNTIF($MX9:$NA9,"Atrasar")+COUNTIF($OK9:$OL9,"Atrasar"))&gt;0,(COUNTIF($MX9:$NA9,"Parado")+COUNTIF($OK9:$OL9,"Parado"))&gt;0),"Atrasar não entra com Parado",""),IF(AND((COUNTIF($RK9:$RN9,"Armado")+COUNTIF($OK9:$OL9,"Armado"))&gt;0,(COUNTIF($MX9:$NA9,"Carregar")+COUNTIF($OK9:$OL9,"Carregar"))&gt;0),"Armado não entra com Carregar",""),IF(AND(COUNTIF($OK9:$OL9,"Corpo a Corpo")&gt;0,$OF9=0,OR($RO9="Cone",$RO9="Linha")),"Corpo a Corpo não entra em "&amp;$MU9,""),IF(AND(COUNTIF($OK9:$OL9,"Corpo a Corpo")&gt;0,$RP9="Corpo a Corpo"),"A Forma "&amp;$MU9&amp;" já traz o Corpo a Corpo",""),IF(AND(COUNTIF($OK9:$OL9,"Tudo ou Nada")&gt;0,$OH9=0),"Tudo ou Nada só entra em habilidade de Teste de Resistência",""),IF(AND(COUNTIF($RK9:$RN9,"Inescapável")&gt;0,OR($OU9&gt;1,$OV9&gt;0)),"Inescapável não aceita outra peça",""),IF(AND($MS9&gt;0,$PD9*IF(COUNTIF($RK9:$RN9,"Remate")&gt;0,1.25,1)+$PE9&gt;4*$MS9),($PD9*IF(COUNTIF($RK9:$RN9,"Remate")&gt;0,1.25,1)+$PE9)&amp;" dados somando repetições"&amp;IF(COUNTIF($RK9:$RN9,"Remate")&gt;0," e o Remate","")&amp;": o teto da Classe "&amp;$MS9&amp;" é "&amp;4*$MS9,""))),IF(AND($MX9&lt;&gt;"",COUNTIF('DADOS_MELHORIAS'!$O$2:$O$113,SUBSTITUTE(SUBSTITUTE(SUBSTITUTE($MX9,"~","~~"),"*","~*"),"?","~?"))=0),"Melhoria não cadastrada ou com erro: "&amp;$MX9,""),IF(AND($MY9&lt;&gt;"",COUNTIF('DADOS_MELHORIAS'!$O$2:$O$113,SUBSTITUTE(SUBSTITUTE(SUBSTITUTE($MY9,"~","~~"),"*","~*"),"?","~?"))=0),"Melhoria não cadastrada ou com erro: "&amp;$MY9,""),IF(AND($MZ9&lt;&gt;"",COUNTIF('DADOS_MELHORIAS'!$O$2:$O$113,SUBSTITUTE(SUBSTITUTE(SUBSTITUTE($MZ9,"~","~~"),"*","~*"),"?","~?"))=0),"Melhoria não cadastrada ou com erro: "&amp;$MZ9,""),IF(AND($NA9&lt;&gt;"",COUNTIF('DADOS_MELHORIAS'!$O$2:$O$113,SUBSTITUTE(SUBSTITUTE(SUBSTITUTE($NA9,"~","~~"),"*","~*"),"?","~?"))=0),"Melhoria não cadastrada ou com erro: "&amp;$NA9,""),IF(AND($NB9&lt;&gt;"",COUNTIF('DADOS_RESTRICOES'!$M$2:$M$54,SUBSTITUTE(SUBSTITUTE(SUBSTITUTE($NB9,"~","~~"),"*","~*"),"?","~?"))=0),"Restrição não cadastrada ou com erro: "&amp;$NB9,""),IF(AND($NC9&lt;&gt;"",COUNTIF('DADOS_RESTRICOES'!$M$2:$M$54,SUBSTITUTE(SUBSTITUTE(SUBSTITUTE($NC9,"~","~~"),"*","~*"),"?","~?"))=0),"Restrição não cadastrada ou com erro: "&amp;$NC9,""))),IF(AND($MU9&lt;&gt;"",COUNTIF('DADOS_FORMAS'!$AH$2:$AH$21,SUBSTITUTE(SUBSTITUTE(SUBSTITUTE($MU9,"~","~~"),"*","~*"),"?","~?"))=0),"Forma não cadastrada ou com erro: "&amp;$MU9,""),IF(AND(IFERROR(INDEX('DADOS_FORMAS'!$AS$2:$AS$21,MATCH(SUBSTITUTE(SUBSTITUTE(SUBSTITUTE($MU9,"~","~~"),"*","~*"),"?","~?"),'DADOS_FORMAS'!$AH$2:$AH$21,0)),"")&lt;&gt;"",OR(IFERROR(VLOOKUP(SUBSTITUTE(SUBSTITUTE(SUBSTITUTE(IFERROR(INDEX('DADOS_FORMAS'!$AS$2:$AS$21,MATCH(SUBSTITUTE(SUBSTITUTE(SUBSTITUTE($MU9,"~","~~"),"*","~*"),"?","~?"),'DADOS_FORMAS'!$AH$2:$AH$21,0)),""),"~","~~"),"*","~*"),"?","~?"),'DADOS_RESTRICOES'!$M$2:$Q$54,2,FALSE),"")=$OK9,IFERROR(VLOOKUP(SUBSTITUTE(SUBSTITUTE(SUBSTITUTE(IFERROR(INDEX('DADOS_FORMAS'!$AS$2:$AS$21,MATCH(SUBSTITUTE(SUBSTITUTE(SUBSTITUTE($MU9,"~","~~"),"*","~*"),"?","~?"),'DADOS_FORMAS'!$AH$2:$AH$21,0)),""),"~","~~"),"*","~*"),"?","~?"),'DADOS_RESTRICOES'!$M$2:$Q$54,2,FALSE),"")=$OL9)),"Restrição repetida, contando a embutida",""),IF(IF(IFERROR(INDEX('DADOS_FORMAS'!$AS$2:$AS$21,MATCH(SUBSTITUTE(SUBSTITUTE(SUBSTITUTE($MU9,"~","~~"),"*","~*"),"?","~?"),'DADOS_FORMAS'!$AH$2:$AH$21,0)),"")="",0,IFERROR(N(VLOOKUP(SUBSTITUTE(SUBSTITUTE(SUBSTITUTE(IFERROR(INDEX('DADOS_FORMAS'!$AS$2:$AS$21,MATCH(SUBSTITUTE(SUBSTITUTE(SUBSTITUTE($MU9,"~","~~"),"*","~*"),"?","~?"),'DADOS_FORMAS'!$AH$2:$AH$21,0)),""),"~","~~"),"*","~*"),"?","~?"),'DADOS_RESTRICOES'!$M$2:$Q$54,4,FALSE)=1),0))+IF($NB9="",0,IFERROR(N(VLOOKUP(SUBSTITUTE(SUBSTITUTE(SUBSTITUTE($NB9,"~","~~"),"*","~*"),"?","~?"),'DADOS_RESTRICOES'!$M$2:$Q$54,4,FALSE)=1),0))+IF($NC9="",0,IFERROR(N(VLOOKUP(SUBSTITUTE(SUBSTITUTE(SUBSTITUTE($NC9,"~","~~"),"*","~*"),"?","~?"),'DADOS_RESTRICOES'!$M$2:$Q$54,4,FALSE)=1),0))&gt;1,"Duas Restrições de frequência, contando a embutida",""),IF(AND(IFERROR(VLOOKUP(SUBSTITUTE(SUBSTITUTE(SUBSTITUTE(IFERROR(INDEX('DADOS_FORMAS'!$AS$2:$AS$21,MATCH(SUBSTITUTE(SUBSTITUTE(SUBSTITUTE($MU9,"~","~~"),"*","~*"),"?","~?"),'DADOS_FORMAS'!$AH$2:$AH$21,0)),""),"~","~~"),"*","~*"),"?","~?"),'DADOS_RESTRICOES'!$M$2:$Q$54,2,FALSE),"")="Tudo ou Nada",$OH9=0),"Tudo ou Nada exige TR",""),IF(AND(IFERROR(VLOOKUP(SUBSTITUTE(SUBSTITUTE(SUBSTITUTE(IFERROR(INDEX('DADOS_FORMAS'!$AS$2:$AS$21,MATCH(SUBSTITUTE(SUBSTITUTE(SUBSTITUTE($MU9,"~","~~"),"*","~*"),"?","~?"),'DADOS_FORMAS'!$AH$2:$AH$21,0)),""),"~","~~"),"*","~*"),"?","~?"),'DADOS_RESTRICOES'!$M$2:$Q$54,2,FALSE),"")="Corpo a Corpo",OR($RO9="Cone",$RO9="Linha")),"Corpo a Corpo não entra em Cone/Linha","")))</f>
        <v/>
      </c>
      <c r="PU9" s="164">
        <f>IF($PT9="",0,(LEN($PT9)-LEN(SUBSTITUTE($PT9," · ","")))/3+1)</f>
        <v/>
      </c>
      <c r="PV9" s="164">
        <f>IF($ND9=0,"",TEXTJOIN(" · ",TRUE,IF($OX9&gt;2*$MS9,"A devolução parou no teto de "&amp;2*$MS9,""),IF($PA9&gt;0,"Devolução perdida: "&amp;$PA9&amp;IF($PA9&gt;1," pontos"," ponto")&amp;" sem Melhoria para pagar",""),IF(AND($OC9&gt;0,AND($MS9&gt;0,$OG9=0),$PD9=0),"Controle sem dano: uma rodada a mais e CD +2",""),IF(AND($OC9&gt;0,AND($MS9&gt;0,$OG9=0),$PD9&gt;0,$PD9&lt;=$MS9),"Controle com saldo até a Classe: uma rodada a mais",""),IF(AND($MS9&gt;0,$OE9&lt;&gt;""),"Efeito de "&amp;$OE9&amp;" pela Classe "&amp;MAX(1,$MS9-1),"")))</f>
        <v/>
      </c>
      <c r="PW9" s="164">
        <f>IF($PV9="",0,(LEN($PV9)-LEN(SUBSTITUTE($PV9," · ","")))/3+1)</f>
        <v/>
      </c>
      <c r="PX9" s="164">
        <f>IF($ND9=0,IF($OU9+COUNTIF($NB9:$NC9,"?*")&gt;0,"Dê um nome",""),IF($PU9&gt;0,"⚠ "&amp;$PU9&amp;IF($PU9&gt;1," erros"," erro"),IF($PW9&gt;0,"! "&amp;$PW9&amp;IF($PW9&gt;1," avisos"," aviso"),"Na regra")))</f>
        <v/>
      </c>
      <c r="PY9" s="164">
        <f>IF($ND9=0,"",IF($PU9+$PW9=0,"Dentro das regras que a ficha confere",$PT9&amp;IF(AND($PU9&gt;0,$PW9&gt;0)," · ","")&amp;$PV9))</f>
        <v/>
      </c>
      <c r="PZ9" s="164">
        <f>IF($MQ9&gt;$NE9,$MR9&amp;" · ABRE NO NÍVEL "&amp;$MQ9,$MR9)</f>
        <v/>
      </c>
      <c r="QA9" s="164">
        <f>IF($ND9=0,"",IF($MS9=0,"Sem PE",3*$MS9&amp;" PE"))</f>
        <v/>
      </c>
      <c r="QB9" s="164">
        <f>IF($ND9=0,"",IF($MS9=0,"A atuação básica dela",IF(COUNTIF($RQ9:$RS9,"Atrasar")&gt;0,"Sua Ação Completa",IF(COUNTIF($RK9:$RN9,"Rápido")&gt;0,"Sua Bônus",IF(COUNTIF($RK9:$RN9,"Reação")&gt;0,"Sua Reação","Sua Padrão")))&amp;" + a básica dela"&amp;IF(COUNTIF($RK9:$RN9,"Reação")&gt;0," e a coletiva","")&amp;IF(COUNTIF($RQ9:$RS9,"Carregar")&gt;0," · em dois turnos","")))</f>
        <v/>
      </c>
      <c r="QC9" s="164">
        <f>IF($MW9&lt;&gt;"",$MW9,IF($NJ9=0,"",INDEX('DADOS_FORMAS'!$GE$2:$GE$21,$NJ9)))</f>
        <v/>
      </c>
      <c r="QD9" s="164">
        <f>IF(OR($ND9=0,$NJ9=0),"",IF(COUNTIF($RK9:$RN9,"Inescapável")&gt;0,"Automático",IF($QC9="Ataque",IF($NH9="","Ataque","Ataque "&amp;IF(($NH9+2*IF(COUNTIF($RK9:$RN9,"Precisão")&gt;0,1,0))&gt;=0,"+","−")&amp;ABS(($NH9+2*IF(COUNTIF($RK9:$RN9,"Precisão")&gt;0,1,0))))&amp;IF($OD9&gt;0," · TR"&amp;IF($NI9="",""," CD "&amp;$NI9),""),IF(LEFT($QC9,2)="TR",$QC9&amp;IF($NI9="",""," · CD "&amp;$NI9)&amp;IF(COUNTIF($RK9:$RN9,"Certeiro")&gt;0," · metade",""),"Sem rolagem"))))</f>
        <v/>
      </c>
      <c r="QE9" s="164">
        <f>IF(OR($ND9=0,$NJ9=0),"",IF($MS9=0,IF(OR($OG9&gt;=1,$PD9=0),"Sem dano",$PD9&amp;"d6"&amp;IF($MV9="",""," "&amp;$MV9)),IF(OR($OG9&gt;=1,$PD9=0),UPPER(LEFT(INDEX($PM9:$PS9,1,MAX(1,$MS9)),1))&amp;MID(INDEX($PM9:$PS9,1,MAX(1,$MS9)),2,99),UPPER(LEFT(INDEX($PM9:$PS9,1,MAX(1,$MS9)),1))&amp;MID(INDEX($PM9:$PS9,1,MAX(1,$MS9)),2,99)&amp;IF($MV9="",""," "&amp;$MV9)&amp;IF($PE9&gt;0," · +"&amp;$PE9&amp;"d8",""))))</f>
        <v/>
      </c>
      <c r="QF9" s="164">
        <f>COUNTIF($RK9:$RN9,"Longe")+3*COUNTIF($RK9:$RN9,"Muito Longe")</f>
        <v/>
      </c>
      <c r="QG9" s="164">
        <f>COUNTIF($RK9:$RN9,"Maior")+3*COUNTIF($RK9:$RN9,"Muito Maior")</f>
        <v/>
      </c>
      <c r="QH9" s="164">
        <f>IF($NJ9=0,0,CHOOSE(1+INDEX('DADOS_FORMAS'!$GG$2:$GG$21,$NJ9),0,$QF9,$QG9,$QF9+$QG9))</f>
        <v/>
      </c>
      <c r="QI9" s="164">
        <f>IF($NJ9=0,0,CHOOSE(1+INDEX('DADOS_FORMAS'!$GH$2:$GH$21,$NJ9),0,$QF9,$QG9,$QF9+$QG9))</f>
        <v/>
      </c>
      <c r="QJ9" s="164">
        <f>IF(OR($ND9=0,$NJ9=0),"",INDEX('DADOS_FORMAS'!$HU$2:$HZ$81,($NJ9-1)*4+IF($MS9=0,1,IF($MS9&lt;=5,2,IF($MS9=6,3,4))),1+MIN(5,$QH9))&amp;INDEX('DADOS_FORMAS'!$IA$2:$IF$81,($NJ9-1)*4+IF($MS9=0,1,IF($MS9&lt;=5,2,IF($MS9=6,3,4))),1+MIN(5,$QI9))&amp;IF(INDEX('DADOS_FORMAS'!$GI$2:$GI$21,$NJ9)=1,IF(COUNTIF($RK9:$RN9,"Mais Um")&gt;0," · +"&amp;COUNTIF($RK9:$RN9,"Mais Um")&amp;IF(COUNTIF($RK9:$RN9,"Mais Um")&gt;1," alvos"," alvo"),"")&amp;IF(COUNTIF($RK9:$RN9,"Rajada")&gt;0,IF($MS9=0," · 1 tiro"," · "&amp;(MAX(1,$MS9-1)+1)&amp;" tiros"),""),""))</f>
        <v/>
      </c>
      <c r="QK9" s="164">
        <f>IF($ND9=0,"",IF($MS9=0,$NG9&amp;"d6"&amp;IF($OU9&gt;0," − 1 = "&amp;$PD9&amp;"d6"," da básica do nível "&amp;$NE9),$PB9&amp;" − "&amp;$OW9&amp;" + "&amp;$OZ9&amp;" = "&amp;$PC9&amp;" · teto "&amp;4*$MS9&amp;"d8"&amp;IF($OF9=1," · a Forma devolve "&amp;$MS9,"")&amp;IF($PA9&gt;0," · perde "&amp;$PA9,"")))</f>
        <v/>
      </c>
      <c r="QL9" s="164">
        <f>IF($ND9=0,"",IF($MS9=0,"A básica não amplia: os dados dela sobem com o nível",IF($MS9&gt;=$NF9,"Já está na maior Classe que o nível liberou",TEXTJOIN(" · ",TRUE,IF(AND(2&gt;$MS9,2&lt;=$NF9),"2 → "&amp;$PN9&amp;", 6 PE",""),IF(AND(3&gt;$MS9,3&lt;=$NF9),"3 → "&amp;$PO9&amp;", 9 PE",""),IF(AND(4&gt;$MS9,4&lt;=$NF9),"4 → "&amp;$PP9&amp;", 12 PE",""),IF(AND(5&gt;$MS9,5&lt;=$NF9),"5 → "&amp;$PQ9&amp;", 15 PE",""),IF(AND(6&gt;$MS9,6&lt;=$NF9),"6 → "&amp;$PR9&amp;", 18 PE",""),IF(AND(7&gt;$MS9,7&lt;=$NF9),"7 → "&amp;$PS9&amp;", 21 PE","")))))</f>
        <v/>
      </c>
      <c r="QM9" s="164">
        <f>IF(OR($ND9=0,$NO9=0),"",IF($MS9=0,"−1 dado","−"&amp;INDEX($I$2:$N$8,MAX(1,$MS9),MAX(1,$NT9))&amp;" · "&amp;CHOOSE(MAX(1,$NT9),"Leve","Média","Pesada","Leve · Livre","Média · Livre","Pesada · Livre")))</f>
        <v/>
      </c>
      <c r="QN9" s="164">
        <f>IF(OR($ND9=0,$NP9=0),"",IF($MS9=0,"−1 dado","−"&amp;INDEX($I$2:$N$8,MAX(1,$MS9),MAX(1,$NU9))&amp;" · "&amp;CHOOSE(MAX(1,$NU9),"Leve","Média","Pesada","Leve · Livre","Média · Livre","Pesada · Livre")))</f>
        <v/>
      </c>
      <c r="QO9" s="164">
        <f>IF(OR($ND9=0,$NQ9=0),"",IF($MS9=0,"−1 dado","−"&amp;INDEX($I$2:$N$8,MAX(1,$MS9),MAX(1,$NV9))&amp;" · "&amp;CHOOSE(MAX(1,$NV9),"Leve","Média","Pesada","Leve · Livre","Média · Livre","Pesada · Livre")))</f>
        <v/>
      </c>
      <c r="QP9" s="164">
        <f>IF(OR($ND9=0,$NR9=0),"",IF($MS9=0,"−1 dado","−"&amp;INDEX($I$2:$N$8,MAX(1,$MS9),MAX(1,$NW9))&amp;" · "&amp;CHOOSE(MAX(1,$NW9),"Leve","Média","Pesada","Leve · Livre","Média · Livre","Pesada · Livre")))</f>
        <v/>
      </c>
      <c r="QQ9" s="164">
        <f>IF(OR($ND9=0,$NB9=""),"",IF($MS9=0,"não devolve","+"&amp;IF($OI9=1,CEILING($MS9/2,1),$MS9)))</f>
        <v/>
      </c>
      <c r="QR9" s="164">
        <f>IF(OR($ND9=0,$NC9=""),"",IF($MS9=0,"não devolve","+"&amp;IF($OJ9=1,CEILING($MS9/2,1),$MS9)))</f>
        <v/>
      </c>
      <c r="QV9">
        <f>'INVOCAÇÕES'!$AH$261&amp;""</f>
        <v/>
      </c>
      <c r="QW9">
        <f>'INVOCAÇÕES'!$AI$261&amp;""</f>
        <v/>
      </c>
      <c r="QX9">
        <f>'INVOCAÇÕES'!$AJ$261&amp;""</f>
        <v/>
      </c>
      <c r="QY9">
        <f>'INVOCAÇÕES'!$AK$261&amp;""</f>
        <v/>
      </c>
      <c r="QZ9">
        <f>IF('INVOCAÇÕES'!$AD$261="","Autônoma",'INVOCAÇÕES'!$AD$261)</f>
        <v/>
      </c>
      <c r="RA9">
        <f>IF(DADOS_INVOC!$DB$4="Invocação Principal",'CONFIGURAÇÃO'!$H$144,IF(OR(DADOS_INVOC!$DB$4="Parceria",DADOS_INVOC!$DB$4="Múltiplas Invocações"),'CONFIGURAÇÃO'!$H$142,'CONFIGURAÇÃO'!$H$140))+IF($QZ$9="Não autônoma",'CONFIGURAÇÃO'!$H$145,0)</f>
        <v/>
      </c>
      <c r="RB9">
        <f>IF($RA$9&gt;=1,$EL$9,"")</f>
        <v/>
      </c>
      <c r="RC9">
        <f>IF($RA$9&gt;=2,$EM$9,"")</f>
        <v/>
      </c>
      <c r="RD9">
        <f>IF($RA$9&gt;=7,$EN$9,"")</f>
        <v/>
      </c>
      <c r="RE9">
        <f>IF($RA$9&gt;=8,$EO$9,"")</f>
        <v/>
      </c>
      <c r="RF9">
        <f>IF($RA$9&gt;=9,$EP$9,"")</f>
        <v/>
      </c>
      <c r="RG9">
        <f>IF($RA$9&gt;=3,$QV$9,"")</f>
        <v/>
      </c>
      <c r="RH9">
        <f>IF($RA$9&gt;=4,$QW$9,"")</f>
        <v/>
      </c>
      <c r="RI9">
        <f>IF($RA$9&gt;=5,$QX$9,"")</f>
        <v/>
      </c>
      <c r="RJ9">
        <f>IF($RA$9&gt;=6,$QY$9,"")</f>
        <v/>
      </c>
      <c r="RK9">
        <f>IF($MX9="","",IFERROR(VLOOKUP(SUBSTITUTE(SUBSTITUTE(SUBSTITUTE($MX9,"~","~~"),"*","~*"),"?","~?"),'DADOS_MELHORIAS'!$O$2:$X$113,10,FALSE),$MX9))</f>
        <v/>
      </c>
      <c r="RL9">
        <f>IF($MY9="","",IFERROR(VLOOKUP(SUBSTITUTE(SUBSTITUTE(SUBSTITUTE($MY9,"~","~~"),"*","~*"),"?","~?"),'DADOS_MELHORIAS'!$O$2:$X$113,10,FALSE),$MY9))</f>
        <v/>
      </c>
      <c r="RM9">
        <f>IF($MZ9="","",IFERROR(VLOOKUP(SUBSTITUTE(SUBSTITUTE(SUBSTITUTE($MZ9,"~","~~"),"*","~*"),"?","~?"),'DADOS_MELHORIAS'!$O$2:$X$113,10,FALSE),$MZ9))</f>
        <v/>
      </c>
      <c r="RN9">
        <f>IF($NA9="","",IFERROR(VLOOKUP(SUBSTITUTE(SUBSTITUTE(SUBSTITUTE($NA9,"~","~~"),"*","~*"),"?","~?"),'DADOS_MELHORIAS'!$O$2:$X$113,10,FALSE),$NA9))</f>
        <v/>
      </c>
      <c r="RO9">
        <f>IFERROR(INDEX('DADOS_FORMAS'!$BJ$2:$BJ$21,MATCH(SUBSTITUTE(SUBSTITUTE(SUBSTITUTE($MU9,"~","~~"),"*","~*"),"?","~?"),'DADOS_FORMAS'!$AH$2:$AH$21,0)),"")</f>
        <v/>
      </c>
      <c r="RP9">
        <f>IFERROR(VLOOKUP(SUBSTITUTE(SUBSTITUTE(SUBSTITUTE(IFERROR(INDEX('DADOS_FORMAS'!$AS$2:$AS$21,MATCH(SUBSTITUTE(SUBSTITUTE(SUBSTITUTE($MU9,"~","~~"),"*","~*"),"?","~?"),'DADOS_FORMAS'!$AH$2:$AH$21,0)),""),"~","~~"),"*","~*"),"?","~?"),'DADOS_RESTRICOES'!$M$2:$Q$54,2,FALSE),"")</f>
        <v/>
      </c>
      <c r="RQ9">
        <f>$OK9</f>
        <v/>
      </c>
      <c r="RR9">
        <f>$OL9</f>
        <v/>
      </c>
      <c r="RS9">
        <f>$RP9</f>
        <v/>
      </c>
    </row>
    <row r="10">
      <c r="V10" s="162" t="inlineStr">
        <is>
          <t>Onda</t>
        </is>
      </c>
      <c r="W10" s="162" t="inlineStr">
        <is>
          <t>Amparo</t>
        </is>
      </c>
      <c r="X10" s="164" t="n">
        <v>3</v>
      </c>
      <c r="Y10" s="164" t="n">
        <v>0</v>
      </c>
      <c r="Z10" s="164" t="n">
        <v>1</v>
      </c>
      <c r="AA10" s="162" t="inlineStr">
        <is>
          <t>—</t>
        </is>
      </c>
      <c r="AB10" s="164" t="n">
        <v>0</v>
      </c>
      <c r="AC10" s="164" t="n">
        <v>2</v>
      </c>
      <c r="AD10" s="164" t="n">
        <v>0</v>
      </c>
      <c r="AE10" s="164" t="n">
        <v>0</v>
      </c>
      <c r="AF10" s="164" t="n">
        <v>0</v>
      </c>
      <c r="AH10" s="162" t="inlineStr">
        <is>
          <t>Explosão · classe 0</t>
        </is>
      </c>
      <c r="AI10" s="162" t="inlineStr">
        <is>
          <t>Raio 3 m</t>
        </is>
      </c>
      <c r="AJ10" s="162" t="inlineStr">
        <is>
          <t>Raio 4,5 m</t>
        </is>
      </c>
      <c r="AK10" s="162" t="inlineStr">
        <is>
          <t>Raio 6 m</t>
        </is>
      </c>
      <c r="AL10" s="162" t="inlineStr">
        <is>
          <t>Raio 9 m</t>
        </is>
      </c>
      <c r="AM10" s="162" t="inlineStr">
        <is>
          <t>Raio 15 m</t>
        </is>
      </c>
      <c r="AN10" s="162" t="inlineStr">
        <is>
          <t>Raio 15 m</t>
        </is>
      </c>
      <c r="AO10" s="162" t="inlineStr">
        <is>
          <t>, a 9 m</t>
        </is>
      </c>
      <c r="AP10" s="162" t="inlineStr">
        <is>
          <t>, a 18 m</t>
        </is>
      </c>
      <c r="AQ10" s="162" t="inlineStr">
        <is>
          <t>, a 36 m</t>
        </is>
      </c>
      <c r="AR10" s="162" t="inlineStr">
        <is>
          <t>, a 90 m</t>
        </is>
      </c>
      <c r="AS10" s="162" t="inlineStr">
        <is>
          <t>, a visão a olho nu</t>
        </is>
      </c>
      <c r="AT10" s="162" t="inlineStr">
        <is>
          <t>, a visão a olho nu</t>
        </is>
      </c>
      <c r="AV10" s="162" t="inlineStr">
        <is>
          <t>Escolher</t>
        </is>
      </c>
      <c r="AW10" s="162" t="inlineStr">
        <is>
          <t>Área</t>
        </is>
      </c>
      <c r="AX10" s="164" t="n">
        <v>2</v>
      </c>
      <c r="AY10" s="164" t="n">
        <v>0</v>
      </c>
      <c r="AZ10" s="164" t="n">
        <v>0</v>
      </c>
      <c r="BA10" s="164" t="n">
        <v>0</v>
      </c>
      <c r="BC10" s="162" t="inlineStr">
        <is>
          <t>Fraqueza (Leve)</t>
        </is>
      </c>
      <c r="BD10" s="162" t="inlineStr">
        <is>
          <t>Fraqueza</t>
        </is>
      </c>
      <c r="BE10" s="164" t="n">
        <v>1</v>
      </c>
      <c r="BF10" s="164" t="n">
        <v>0</v>
      </c>
      <c r="BG10" s="162" t="inlineStr">
        <is>
          <t>Fraqueza (Leve)</t>
        </is>
      </c>
      <c r="BI10" s="162" t="inlineStr">
        <is>
          <t>Costura</t>
        </is>
      </c>
      <c r="BJ10" s="164" t="n">
        <v>2</v>
      </c>
      <c r="BK10" s="162" t="inlineStr">
        <is>
          <t>Uma vez por cena, quando um aliado a até 9 m sofreria uma redução de seus pontos de vida a 0, você pode fazer com que ele permaneça com 1 ponto de vida. Não exige ação nem Reação.</t>
        </is>
      </c>
      <c r="BL10" s="162" t="inlineStr"/>
      <c r="BS10" s="162" t="inlineStr">
        <is>
          <t>Amparo</t>
        </is>
      </c>
      <c r="CC10" s="162" t="inlineStr">
        <is>
          <t>Religião</t>
        </is>
      </c>
      <c r="CD10" s="162" t="inlineStr">
        <is>
          <t>Inteligência</t>
        </is>
      </c>
      <c r="CH10" s="162" t="inlineStr">
        <is>
          <t>Culinária</t>
        </is>
      </c>
      <c r="CJ10" s="162" t="inlineStr">
        <is>
          <t>Veneno</t>
        </is>
      </c>
      <c r="DA10" s="162" t="inlineStr">
        <is>
          <t>fichas com nome</t>
        </is>
      </c>
      <c r="DB10" s="164">
        <f>SUM($FM$2:$FM$13)</f>
        <v/>
      </c>
      <c r="DD10" s="164" t="n">
        <v>9</v>
      </c>
      <c r="DE10" s="164">
        <f>'INVOCAÇÕES'!$AB$435&amp;""</f>
        <v/>
      </c>
      <c r="DF10" s="164">
        <f>'INVOCAÇÕES'!$AB$465&amp;""</f>
        <v/>
      </c>
      <c r="DG10" s="164">
        <f>'INVOCAÇÕES'!$AB$469&amp;""</f>
        <v/>
      </c>
      <c r="DH10" s="164">
        <f>N('INVOCAÇÕES'!$AD$469)</f>
        <v/>
      </c>
      <c r="DI10" s="164">
        <f>'INVOCAÇÕES'!$AE$469&amp;""</f>
        <v/>
      </c>
      <c r="DJ10" s="164">
        <f>N('INVOCAÇÕES'!$AH$442)</f>
        <v/>
      </c>
      <c r="DK10" s="164">
        <f>N('INVOCAÇÕES'!$AI$442)</f>
        <v/>
      </c>
      <c r="DL10" s="164">
        <f>N('INVOCAÇÕES'!$AJ$442)</f>
        <v/>
      </c>
      <c r="DM10" s="164">
        <f>N('INVOCAÇÕES'!$AK$442)</f>
        <v/>
      </c>
      <c r="DN10" s="164">
        <f>N('INVOCAÇÕES'!$AL$442)</f>
        <v/>
      </c>
      <c r="DO10" s="164">
        <f>N('INVOCAÇÕES'!$AH$443)</f>
        <v/>
      </c>
      <c r="DP10" s="164">
        <f>N('INVOCAÇÕES'!$AI$443)</f>
        <v/>
      </c>
      <c r="DQ10" s="164">
        <f>N('INVOCAÇÕES'!$AJ$443)</f>
        <v/>
      </c>
      <c r="DR10" s="164">
        <f>N('INVOCAÇÕES'!$AK$443)</f>
        <v/>
      </c>
      <c r="DS10" s="164">
        <f>N('INVOCAÇÕES'!$AL$443)</f>
        <v/>
      </c>
      <c r="DT10" s="164">
        <f>'INVOCAÇÕES'!$AH$456&amp;""</f>
        <v/>
      </c>
      <c r="DU10" s="164">
        <f>'INVOCAÇÕES'!$AK$456&amp;""</f>
        <v/>
      </c>
      <c r="DV10" s="164">
        <f>'INVOCAÇÕES'!$AL$451&amp;""</f>
        <v/>
      </c>
      <c r="DW10" s="164">
        <f>N('INVOCAÇÕES'!$AH$448)</f>
        <v/>
      </c>
      <c r="DX10" s="164">
        <f>N('INVOCAÇÕES'!$AI$448)</f>
        <v/>
      </c>
      <c r="DY10" s="164">
        <f>N('INVOCAÇÕES'!$AJ$448)</f>
        <v/>
      </c>
      <c r="DZ10" s="164">
        <f>N('INVOCAÇÕES'!$AK$448)</f>
        <v/>
      </c>
      <c r="EA10" s="164">
        <f>N('INVOCAÇÕES'!$AL$448)</f>
        <v/>
      </c>
      <c r="EB10" s="164">
        <f>N('INVOCAÇÕES'!$AH$453)</f>
        <v/>
      </c>
      <c r="EC10" s="164">
        <f>N('INVOCAÇÕES'!$AI$453)</f>
        <v/>
      </c>
      <c r="ED10" s="164">
        <f>N('INVOCAÇÕES'!$AJ$453)</f>
        <v/>
      </c>
      <c r="EE10" s="164">
        <f>N('INVOCAÇÕES'!$AK$453)</f>
        <v/>
      </c>
      <c r="EF10" s="164">
        <f>'INVOCAÇÕES'!$AN$435&amp;""</f>
        <v/>
      </c>
      <c r="EG10" s="164">
        <f>N('INVOCAÇÕES'!$AP$435)</f>
        <v/>
      </c>
      <c r="EH10" s="164">
        <f>'INVOCAÇÕES'!$AR$435&amp;""</f>
        <v/>
      </c>
      <c r="EI10" s="164">
        <f>SUM('INVOCAÇÕES'!$AR$429:'INVOCAÇÕES'!$AR$431,'INVOCAÇÕES'!$AR$433:'INVOCAÇÕES'!$AR$438)</f>
        <v/>
      </c>
      <c r="EJ10" s="164">
        <f>'INVOCAÇÕES'!$AN$440&amp;""</f>
        <v/>
      </c>
      <c r="EK10" s="164">
        <f>'INVOCAÇÕES'!$AO$440&amp;""</f>
        <v/>
      </c>
      <c r="EL10" s="164">
        <f>'INVOCAÇÕES'!$AH$470&amp;""</f>
        <v/>
      </c>
      <c r="EM10" s="164">
        <f>'INVOCAÇÕES'!$AI$470&amp;""</f>
        <v/>
      </c>
      <c r="EN10" s="164">
        <f>'INVOCAÇÕES'!$AJ$470&amp;""</f>
        <v/>
      </c>
      <c r="EO10" s="164">
        <f>'INVOCAÇÕES'!$AK$470&amp;""</f>
        <v/>
      </c>
      <c r="EP10" s="164">
        <f>'INVOCAÇÕES'!$AL$470&amp;""</f>
        <v/>
      </c>
      <c r="EQ10" s="164">
        <f>'INVOCAÇÕES'!$AH$460&amp;""</f>
        <v/>
      </c>
      <c r="ER10" s="164">
        <f>'INVOCAÇÕES'!$AH$461&amp;""</f>
        <v/>
      </c>
      <c r="ES10" s="164">
        <f>'INVOCAÇÕES'!$AH$462&amp;""</f>
        <v/>
      </c>
      <c r="ET10" s="164">
        <f>'INVOCAÇÕES'!$AH$463&amp;""</f>
        <v/>
      </c>
      <c r="EU10" s="164">
        <f>'INVOCAÇÕES'!$AH$464&amp;""</f>
        <v/>
      </c>
      <c r="EV10" s="164">
        <f>'INVOCAÇÕES'!$AH$465&amp;""</f>
        <v/>
      </c>
      <c r="EW10" s="164">
        <f>'INVOCAÇÕES'!$AH$466&amp;""</f>
        <v/>
      </c>
      <c r="EX10" s="164">
        <f>'INVOCAÇÕES'!$AC$515&amp;""</f>
        <v/>
      </c>
      <c r="EY10" s="164">
        <f>'INVOCAÇÕES'!$AC$516&amp;""</f>
        <v/>
      </c>
      <c r="EZ10" s="164">
        <f>'INVOCAÇÕES'!$AC$517&amp;""</f>
        <v/>
      </c>
      <c r="FA10" s="164">
        <f>'INVOCAÇÕES'!$AC$518&amp;""</f>
        <v/>
      </c>
      <c r="FB10" s="164">
        <f>'INVOCAÇÕES'!$AC$519&amp;""</f>
        <v/>
      </c>
      <c r="FC10" s="164">
        <f>'INVOCAÇÕES'!$AC$520&amp;""</f>
        <v/>
      </c>
      <c r="FD10" s="164">
        <f>'INVOCAÇÕES'!$AC$521&amp;""</f>
        <v/>
      </c>
      <c r="FE10" s="164">
        <f>'INVOCAÇÕES'!$AC$522&amp;""</f>
        <v/>
      </c>
      <c r="FF10" s="164">
        <f>'INVOCAÇÕES'!$AC$617&amp;""</f>
        <v/>
      </c>
      <c r="FG10" s="164">
        <f>'INVOCAÇÕES'!$AC$618&amp;""</f>
        <v/>
      </c>
      <c r="FH10" s="164">
        <f>'INVOCAÇÕES'!$AC$619&amp;""</f>
        <v/>
      </c>
      <c r="FI10" s="164">
        <f>MAX(3,MIN(7,N('INVOCAÇÕES'!$AB$624)))</f>
        <v/>
      </c>
      <c r="FJ10" s="164">
        <f>MAX(3,MIN(7,N('INVOCAÇÕES'!$AH$624)))</f>
        <v/>
      </c>
      <c r="FK10" s="164">
        <f>MAX(3,MIN(7,N('INVOCAÇÕES'!$AN$624)))</f>
        <v/>
      </c>
      <c r="FL10" s="164">
        <f>'INVOCAÇÕES'!$AH$638&amp;""</f>
        <v/>
      </c>
      <c r="FM10" s="164">
        <f>IF($DE10&lt;&gt;"",1,0)</f>
        <v/>
      </c>
      <c r="FN10" s="164">
        <f>IFERROR(VLOOKUP($DG10,$BP$2:$BQ$5,2,FALSE),1)</f>
        <v/>
      </c>
      <c r="FO10" s="164">
        <f>IF($FN10=1,$DB$2,IF($FN10=2,MIN($DB$2,IF(MAX(1,MIN($DB$2,IF($DH10=0,$DB$2,$DH10)))&lt;=4,4,IF(MAX(1,MIN($DB$2,IF($DH10=0,$DB$2,$DH10)))&lt;=8,8,IF(MAX(1,MIN($DB$2,IF($DH10=0,$DB$2,$DH10)))&lt;=12,12,IF(MAX(1,MIN($DB$2,IF($DH10=0,$DB$2,$DH10)))&lt;=16,16,IF(MAX(1,MIN($DB$2,IF($DH10=0,$DB$2,$DH10)))&lt;=20,20,IF(MAX(1,MIN($DB$2,IF($DH10=0,$DB$2,$DH10)))&lt;=25,25,IF(MAX(1,MIN($DB$2,IF($DH10=0,$DB$2,$DH10)))&lt;=30,30,30)))))))),MAX(1,MIN($DB$2,IF($DH10=0,$DB$2,$DH10)))))</f>
        <v/>
      </c>
      <c r="FP10" s="164">
        <f>VLOOKUP(MAX(1,$FO10),$A$2:$D$8,2,TRUE)</f>
        <v/>
      </c>
      <c r="FQ10" s="164">
        <f>VLOOKUP(MAX(1,$FO10),$A$2:$D$8,3,TRUE)</f>
        <v/>
      </c>
      <c r="FR10" s="164">
        <f>$DJ10+$DO10</f>
        <v/>
      </c>
      <c r="FS10" s="164">
        <f>$DK10+$DP10</f>
        <v/>
      </c>
      <c r="FT10" s="164">
        <f>$DL10+$DQ10</f>
        <v/>
      </c>
      <c r="FU10" s="164">
        <f>$DM10+$DR10</f>
        <v/>
      </c>
      <c r="FV10" s="164">
        <f>$DN10+$DS10</f>
        <v/>
      </c>
      <c r="FW10" s="164">
        <f>SUM($DJ10:$DN10)</f>
        <v/>
      </c>
      <c r="FX10" s="164">
        <f>9+$FY10</f>
        <v/>
      </c>
      <c r="FY10" s="164">
        <f>COUNTIF($F$2:$F$8,"&lt;="&amp;$FO10)</f>
        <v/>
      </c>
      <c r="FZ10" s="164">
        <f>MAX(0,$DJ10-3)+MAX(0,$DK10-3)+MAX(0,$DL10-3)+MAX(0,$DM10-3)+MAX(0,$DN10-3)</f>
        <v/>
      </c>
      <c r="GA10" s="164">
        <f>IFERROR(INDEX($FR10:$FV10,1,MATCH($DT10,$BU$2:$BU$6,0)),"")</f>
        <v/>
      </c>
      <c r="GB10" s="164">
        <f>IF($GA10="","",$GA10+$DB$3+$DW10)</f>
        <v/>
      </c>
      <c r="GC10" s="164">
        <f>IF($GA10="","",8+$GA10+$DB$3+$DX10)</f>
        <v/>
      </c>
      <c r="GD10" s="164">
        <f>10+$FS10+$DB$7+$DY10</f>
        <v/>
      </c>
      <c r="GE10" s="164">
        <f>IF(IFERROR(VLOOKUP(SUBSTITUTE(SUBSTITUTE(SUBSTITUTE($DF10,"~","~~"),"*","~*"),"?","~?"),'DADOS_ENTIDADES'!$M$2:$P$16,2,FALSE),0)=1,1,0)</f>
        <v/>
      </c>
      <c r="GF10" s="164">
        <f>5+$FT10+(3+$GE10+$FT10)*($FO10-1)+$DZ10</f>
        <v/>
      </c>
      <c r="GG10" s="164">
        <f>IF($FM10=0,"",$GF10)</f>
        <v/>
      </c>
      <c r="GH10" s="164">
        <f>IF($EF10="",$GF10,MAX(0,MIN(IFERROR(VALUE($EF10),$GF10),$GF10)))</f>
        <v/>
      </c>
      <c r="GI10" s="164">
        <f>IF(AND($FM10=1,$EJ10&lt;&gt;"Sem alma"),MAX(1,INT($GF10/2)),"")</f>
        <v/>
      </c>
      <c r="GJ10" s="164">
        <f>$GI10</f>
        <v/>
      </c>
      <c r="GK10" s="164">
        <f>IF($GI10="","",IF($EK10="",$GI10,MAX(0,MIN(IFERROR(VALUE($EK10),$GI10),$GI10))))</f>
        <v/>
      </c>
      <c r="GL10" s="164">
        <f>IF($FM10=0,"",IF($GI10="","—",$GI10))</f>
        <v/>
      </c>
      <c r="GM10" s="164">
        <f>IF($FM10=0,"",IF($GI10="","Sem alma · imune a dano de Alma",IF($GK10&lt;=0,"Estágio 4 · caída, como a zero de vida",IF($GK10&lt;=$GI10/4,"Estágio 3 · desvantagem em ataques e TRs, Classe pela metade",IF($GK10&lt;=$GI10/2,"Estágio 2 · metade do deslocamento, +1 PE por Classe",IF($GK10&lt;=$GI10*3/4,"Estágio 1 · desvantagem em perícias","Alma inteira"))))))</f>
        <v/>
      </c>
      <c r="GN10" s="164">
        <f>9+$EA10</f>
        <v/>
      </c>
      <c r="GO10" s="164">
        <f>IF($DU10="Destreza",$FS10,$FR10)</f>
        <v/>
      </c>
      <c r="GP10" s="164">
        <f>$GO10+IF($DV10="Físico",$DB$3,0)+$EB10</f>
        <v/>
      </c>
      <c r="GQ10" s="164">
        <f>$FT10+IF($DV10="Vigor",$DB$3,0)+$EC10</f>
        <v/>
      </c>
      <c r="GR10" s="164">
        <f>$FU10+IF($DV10="Intelecto",$DB$3,0)+$ED10</f>
        <v/>
      </c>
      <c r="GS10" s="164">
        <f>$FV10+IF($DV10="Espírito",$DB$3,0)+$EE10</f>
        <v/>
      </c>
      <c r="GT10" s="164">
        <f>4+INT($DM10/2)</f>
        <v/>
      </c>
      <c r="GU10" s="164">
        <f>COUNTIF($EQ10:$EW10,"?*")</f>
        <v/>
      </c>
      <c r="GV10" s="164">
        <f>INT((2+$FO10/2)/2)</f>
        <v/>
      </c>
      <c r="GW10" s="164">
        <f>IF($FO10&gt;=11,2,1)</f>
        <v/>
      </c>
      <c r="GX10" s="164">
        <f>1+$FY10</f>
        <v/>
      </c>
      <c r="GY10" s="164">
        <f>COUNTIF($EX10:$FE10,"?*")</f>
        <v/>
      </c>
      <c r="GZ10" s="164">
        <f>IF(AND(IFERROR(VLOOKUP(SUBSTITUTE(SUBSTITUTE(SUBSTITUTE($DF10,"~","~~"),"*","~*"),"?","~?"),'DADOS_ENTIDADES'!$M$2:$P$16,3,FALSE),0)=1,$DI10="Com carga"),MAX(1,CEILING($FP10/2,1)),$FP10)</f>
        <v/>
      </c>
      <c r="HA10" s="164">
        <f>2*$FP10</f>
        <v/>
      </c>
      <c r="HB10" s="164">
        <f>$FO10*(1+INT($DN10/3))</f>
        <v/>
      </c>
      <c r="HC10" s="164">
        <f>5+$FR10</f>
        <v/>
      </c>
      <c r="HD10" s="164">
        <f>(COUNTIF($EL10:$EP10,"?*")+COUNTIF($QV10:$QY10,"?*"))</f>
        <v/>
      </c>
      <c r="HE10" s="164">
        <f>IF($EL10="",0,IF((COUNTIF($EL10:$EP10,$EL10)+COUNTIF($QV10:$QY10,$EL10))&gt;1,1,0))+IF($EM10="",0,IF((COUNTIF($EL10:$EP10,$EM10)+COUNTIF($QV10:$QY10,$EM10))&gt;1,1,0))+IF($EN10="",0,IF((COUNTIF($EL10:$EP10,$EN10)+COUNTIF($QV10:$QY10,$EN10))&gt;1,1,0))+IF($EO10="",0,IF((COUNTIF($EL10:$EP10,$EO10)+COUNTIF($QV10:$QY10,$EO10))&gt;1,1,0))+IF($EP10="",0,IF((COUNTIF($EL10:$EP10,$EP10)+COUNTIF($QV10:$QY10,$EP10))&gt;1,1,0))+IF($QV$10="",0,IF(COUNTIF($EL10:$EP10,$QV$10)+COUNTIF($QV10:$QY10,$QV$10)&gt;1,1,0))+IF($QW$10="",0,IF(COUNTIF($EL10:$EP10,$QW$10)+COUNTIF($QV10:$QY10,$QW$10)&gt;1,1,0))+IF($QX$10="",0,IF(COUNTIF($EL10:$EP10,$QX$10)+COUNTIF($QV10:$QY10,$QX$10)&gt;1,1,0))+IF($QY$10="",0,IF(COUNTIF($EL10:$EP10,$QY$10)+COUNTIF($QV10:$QY10,$QY$10)&gt;1,1,0))</f>
        <v/>
      </c>
      <c r="HF10" s="164">
        <f>IF(DADOS_INVOC!$DB$4="Invocação Principal",'CONFIGURAÇÃO'!$H$143,IF(OR(DADOS_INVOC!$DB$4="Parceria",DADOS_INVOC!$DB$4="Múltiplas Invocações"),'CONFIGURAÇÃO'!$H$141,'CONFIGURAÇÃO'!$H$139))+IF($QZ$10="Não autônoma",'CONFIGURAÇÃO'!$H$145,0)</f>
        <v/>
      </c>
      <c r="HG10" s="164">
        <f>IF($FM10=0,"INVOCAÇÃO 9 · lugar vazio",$DE10&amp;" · "&amp;$DF10&amp;" · nível "&amp;$FO10&amp;" · vida "&amp;$GH10&amp;" de "&amp;$GF10)</f>
        <v/>
      </c>
      <c r="HH10" s="164">
        <f>IF($FM10=0,"VAZIA",UPPER($DE10))</f>
        <v/>
      </c>
      <c r="HI10" s="164">
        <f>IF($DB$3&gt;=0,"+","−")&amp;ABS($DB$3)</f>
        <v/>
      </c>
      <c r="HJ10" s="164">
        <f>$GZ10&amp;" PE"</f>
        <v/>
      </c>
      <c r="HK10" s="164">
        <f>$HA10&amp;" PE"</f>
        <v/>
      </c>
      <c r="HL10" s="164">
        <f>IF(OR($FW10&gt;$FX10,$FZ10&gt;$FY10),"⚠ ",IF(AND($FM10=1,$FW10&lt;$FX10),"! ",""))&amp;"ATRIBUTOS · "&amp;$FW10&amp;" DE "&amp;$FX10&amp;" PONTOS"&amp;IF($FZ10&gt;$FY10," · ACIMA DE 3 SÓ COM MARCO","")</f>
        <v/>
      </c>
      <c r="HM10" s="164">
        <f>IF($GB10="","",IF($GB10&gt;=0,"+","−")&amp;ABS($GB10))</f>
        <v/>
      </c>
      <c r="HN10" s="164">
        <f>IF($GC10="","",$GC10)</f>
        <v/>
      </c>
      <c r="HO10" s="164">
        <f>SUBSTITUTE(IF($EI10&gt;2*$HC10,0,IF($EI10&gt;$HC10,$GN10/2,$GN10))&amp;" m",".",",")</f>
        <v/>
      </c>
      <c r="HP10" s="164">
        <f>IF($GP10&gt;=0,"+","−")&amp;ABS($GP10)</f>
        <v/>
      </c>
      <c r="HQ10" s="164">
        <f>IF($GQ10&gt;=0,"+","−")&amp;ABS($GQ10)</f>
        <v/>
      </c>
      <c r="HR10" s="164">
        <f>IF($GR10&gt;=0,"+","−")&amp;ABS($GR10)</f>
        <v/>
      </c>
      <c r="HS10" s="164">
        <f>IF($GS10&gt;=0,"+","−")&amp;ABS($GS10)</f>
        <v/>
      </c>
      <c r="HT10" s="164">
        <f>IF($GU10&gt;$GT10,"⚠ ","")&amp;"PERÍCIAS · "&amp;$GU10&amp;" DE "&amp;$GT10</f>
        <v/>
      </c>
      <c r="HU10" s="164">
        <f>IF($EQ10="","",IFERROR(IF((INDEX($FR10:$FV10,1,MATCH(VLOOKUP(SUBSTITUTE(SUBSTITUTE(SUBSTITUTE($EQ10,"~","~~"),"*","~*"),"?","~?"),'DADOS_PROGRESSAO'!$AG$2:$AH$34,2,FALSE),$BU$2:$BU$6,0))+$DB$3)&gt;=0,"+","−")&amp;ABS((INDEX($FR10:$FV10,1,MATCH(VLOOKUP(SUBSTITUTE(SUBSTITUTE(SUBSTITUTE($EQ10,"~","~~"),"*","~*"),"?","~?"),'DADOS_PROGRESSAO'!$AG$2:$AH$34,2,FALSE),$BU$2:$BU$6,0))+$DB$3)),""))</f>
        <v/>
      </c>
      <c r="HV10" s="164">
        <f>IF($ER10="","",IFERROR(IF((INDEX($FR10:$FV10,1,MATCH(VLOOKUP(SUBSTITUTE(SUBSTITUTE(SUBSTITUTE($ER10,"~","~~"),"*","~*"),"?","~?"),'DADOS_PROGRESSAO'!$AG$2:$AH$34,2,FALSE),$BU$2:$BU$6,0))+$DB$3)&gt;=0,"+","−")&amp;ABS((INDEX($FR10:$FV10,1,MATCH(VLOOKUP(SUBSTITUTE(SUBSTITUTE(SUBSTITUTE($ER10,"~","~~"),"*","~*"),"?","~?"),'DADOS_PROGRESSAO'!$AG$2:$AH$34,2,FALSE),$BU$2:$BU$6,0))+$DB$3)),""))</f>
        <v/>
      </c>
      <c r="HW10" s="164">
        <f>IF($ES10="","",IFERROR(IF((INDEX($FR10:$FV10,1,MATCH(VLOOKUP(SUBSTITUTE(SUBSTITUTE(SUBSTITUTE($ES10,"~","~~"),"*","~*"),"?","~?"),'DADOS_PROGRESSAO'!$AG$2:$AH$34,2,FALSE),$BU$2:$BU$6,0))+$DB$3)&gt;=0,"+","−")&amp;ABS((INDEX($FR10:$FV10,1,MATCH(VLOOKUP(SUBSTITUTE(SUBSTITUTE(SUBSTITUTE($ES10,"~","~~"),"*","~*"),"?","~?"),'DADOS_PROGRESSAO'!$AG$2:$AH$34,2,FALSE),$BU$2:$BU$6,0))+$DB$3)),""))</f>
        <v/>
      </c>
      <c r="HX10" s="164">
        <f>IF($ET10="","",IFERROR(IF((INDEX($FR10:$FV10,1,MATCH(VLOOKUP(SUBSTITUTE(SUBSTITUTE(SUBSTITUTE($ET10,"~","~~"),"*","~*"),"?","~?"),'DADOS_PROGRESSAO'!$AG$2:$AH$34,2,FALSE),$BU$2:$BU$6,0))+$DB$3)&gt;=0,"+","−")&amp;ABS((INDEX($FR10:$FV10,1,MATCH(VLOOKUP(SUBSTITUTE(SUBSTITUTE(SUBSTITUTE($ET10,"~","~~"),"*","~*"),"?","~?"),'DADOS_PROGRESSAO'!$AG$2:$AH$34,2,FALSE),$BU$2:$BU$6,0))+$DB$3)),""))</f>
        <v/>
      </c>
      <c r="HY10" s="164">
        <f>IF($EU10="","",IFERROR(IF((INDEX($FR10:$FV10,1,MATCH(VLOOKUP(SUBSTITUTE(SUBSTITUTE(SUBSTITUTE($EU10,"~","~~"),"*","~*"),"?","~?"),'DADOS_PROGRESSAO'!$AG$2:$AH$34,2,FALSE),$BU$2:$BU$6,0))+$DB$3)&gt;=0,"+","−")&amp;ABS((INDEX($FR10:$FV10,1,MATCH(VLOOKUP(SUBSTITUTE(SUBSTITUTE(SUBSTITUTE($EU10,"~","~~"),"*","~*"),"?","~?"),'DADOS_PROGRESSAO'!$AG$2:$AH$34,2,FALSE),$BU$2:$BU$6,0))+$DB$3)),""))</f>
        <v/>
      </c>
      <c r="HZ10" s="164">
        <f>IF($EV10="","",IFERROR(IF((INDEX($FR10:$FV10,1,MATCH(VLOOKUP(SUBSTITUTE(SUBSTITUTE(SUBSTITUTE($EV10,"~","~~"),"*","~*"),"?","~?"),'DADOS_PROGRESSAO'!$AG$2:$AH$34,2,FALSE),$BU$2:$BU$6,0))+$DB$3)&gt;=0,"+","−")&amp;ABS((INDEX($FR10:$FV10,1,MATCH(VLOOKUP(SUBSTITUTE(SUBSTITUTE(SUBSTITUTE($EV10,"~","~~"),"*","~*"),"?","~?"),'DADOS_PROGRESSAO'!$AG$2:$AH$34,2,FALSE),$BU$2:$BU$6,0))+$DB$3)),""))</f>
        <v/>
      </c>
      <c r="IA10" s="164">
        <f>IF($EW10="","",IFERROR(IF((INDEX($FR10:$FV10,1,MATCH(VLOOKUP(SUBSTITUTE(SUBSTITUTE(SUBSTITUTE($EW10,"~","~~"),"*","~*"),"?","~?"),'DADOS_PROGRESSAO'!$AG$2:$AH$34,2,FALSE),$BU$2:$BU$6,0))+$DB$3)&gt;=0,"+","−")&amp;ABS((INDEX($FR10:$FV10,1,MATCH(VLOOKUP(SUBSTITUTE(SUBSTITUTE(SUBSTITUTE($EW10,"~","~~"),"*","~*"),"?","~?"),'DADOS_PROGRESSAO'!$AG$2:$AH$34,2,FALSE),$BU$2:$BU$6,0))+$DB$3)),""))</f>
        <v/>
      </c>
      <c r="IB10" s="164">
        <f>IF(IFERROR(VLOOKUP(SUBSTITUTE(SUBSTITUTE(SUBSTITUTE($DF10,"~","~~"),"*","~*"),"?","~?"),'DADOS_ENTIDADES'!$M$2:$P$16,4,FALSE),0)=1,"RESERVA · MÁX. "&amp;$HB10,"RESERVA DE PE")</f>
        <v/>
      </c>
      <c r="IC10" s="164">
        <f>IF($EI10&gt;2*$HC10,"⚠ ",IF($EI10&gt;$HC10,"! ",""))&amp;"EQUIPAMENTO · "&amp;$EI10&amp;" DE "&amp;$HC10&amp;" DE VOLUME"&amp;IF($EI10&gt;2*$HC10," · PASSOU DO DOBRO",IF($EI10&gt;$HC10," · ACIMA DO LIMITE",""))</f>
        <v/>
      </c>
      <c r="ID10" s="164">
        <f>IF(OR($HE10&gt;0,$HD10&gt;$HF10),"⚠ ","")&amp;"FAMÍLIAS · "&amp;$HD10&amp;" ABERTAS"&amp;IF($HE10&gt;0," · REPETIDA","")&amp;IF($HD10&gt;$HF10," · O LIMITE É "&amp;$HF10,"")&amp;IF(OR($RA$10&gt;$HF$10,$HF$10&gt;9)," · LIMITES INCOMPATÍVEIS","")</f>
        <v/>
      </c>
      <c r="IE10" s="164">
        <f>"HABILIDADES · básica de "&amp;$FQ10&amp;"d6 · "&amp;$GV10&amp;IF($GV10&gt;1," espaços"," espaço")&amp;" de especial até a Classe "&amp;$FP10&amp;" · "&amp;$GX10&amp;IF($GX10&gt;1," talentos"," talento")</f>
        <v/>
      </c>
      <c r="IF10" s="164">
        <f>IF($GY10&gt;$GX10,"⚠ ","")&amp;"TALENTOS · "&amp;$GY10&amp;" DE "&amp;$GX10</f>
        <v/>
      </c>
      <c r="IG10" s="164">
        <f>IFERROR(VLOOKUP(SUBSTITUTE(SUBSTITUTE(SUBSTITUTE($EX10,"~","~~"),"*","~*"),"?","~?"),'DADOS_ENTIDADES'!$AI$2:$AL$35,2,FALSE),0)</f>
        <v/>
      </c>
      <c r="IH10" s="164">
        <f>IFERROR(VLOOKUP(SUBSTITUTE(SUBSTITUTE(SUBSTITUTE($EY10,"~","~~"),"*","~*"),"?","~?"),'DADOS_ENTIDADES'!$AI$2:$AL$35,2,FALSE),0)</f>
        <v/>
      </c>
      <c r="II10" s="164">
        <f>IFERROR(VLOOKUP(SUBSTITUTE(SUBSTITUTE(SUBSTITUTE($EZ10,"~","~~"),"*","~*"),"?","~?"),'DADOS_ENTIDADES'!$AI$2:$AL$35,2,FALSE),0)</f>
        <v/>
      </c>
      <c r="IJ10" s="164">
        <f>IFERROR(VLOOKUP(SUBSTITUTE(SUBSTITUTE(SUBSTITUTE($FA10,"~","~~"),"*","~*"),"?","~?"),'DADOS_ENTIDADES'!$AI$2:$AL$35,2,FALSE),0)</f>
        <v/>
      </c>
      <c r="IK10" s="164">
        <f>IFERROR(VLOOKUP(SUBSTITUTE(SUBSTITUTE(SUBSTITUTE($FB10,"~","~~"),"*","~*"),"?","~?"),'DADOS_ENTIDADES'!$AI$2:$AL$35,2,FALSE),0)</f>
        <v/>
      </c>
      <c r="IL10" s="164">
        <f>IFERROR(VLOOKUP(SUBSTITUTE(SUBSTITUTE(SUBSTITUTE($FC10,"~","~~"),"*","~*"),"?","~?"),'DADOS_ENTIDADES'!$AI$2:$AL$35,2,FALSE),0)</f>
        <v/>
      </c>
      <c r="IM10" s="164">
        <f>IFERROR(VLOOKUP(SUBSTITUTE(SUBSTITUTE(SUBSTITUTE($FD10,"~","~~"),"*","~*"),"?","~?"),'DADOS_ENTIDADES'!$AI$2:$AL$35,2,FALSE),0)</f>
        <v/>
      </c>
      <c r="IN10" s="164">
        <f>IFERROR(VLOOKUP(SUBSTITUTE(SUBSTITUTE(SUBSTITUTE($FE10,"~","~~"),"*","~*"),"?","~?"),'DADOS_ENTIDADES'!$AI$2:$AL$35,2,FALSE),0)</f>
        <v/>
      </c>
      <c r="IO10" s="164">
        <f>IF($EX10="","",IF(1&gt;$FO10,"⚠ Este talento abre no nível 1",IF($IG10&gt;1,"⚠ Categoria "&amp;$IG10&amp;": este ganho vai até a 1 · ","")&amp;IFERROR(VLOOKUP(SUBSTITUTE(SUBSTITUTE(SUBSTITUTE($EX10,"~","~~"),"*","~*"),"?","~?"),'DADOS_ENTIDADES'!$AI$2:$AL$35,3,FALSE),"")))</f>
        <v/>
      </c>
      <c r="IP10" s="164">
        <f>IF($EY10="","",IF(6&gt;$FO10,"⚠ Este talento abre no nível 6",IF($IH10&gt;1,"⚠ Categoria "&amp;$IH10&amp;": este ganho vai até a 1 · ","")&amp;IFERROR(VLOOKUP(SUBSTITUTE(SUBSTITUTE(SUBSTITUTE($EY10,"~","~~"),"*","~*"),"?","~?"),'DADOS_ENTIDADES'!$AI$2:$AL$35,3,FALSE),"")))</f>
        <v/>
      </c>
      <c r="IQ10" s="164">
        <f>IF($EZ10="","",IF(10&gt;$FO10,"⚠ Este talento abre no nível 10",IF($II10&gt;2,"⚠ Categoria "&amp;$II10&amp;": este ganho vai até a 2 · ","")&amp;IFERROR(VLOOKUP(SUBSTITUTE(SUBSTITUTE(SUBSTITUTE($EZ10,"~","~~"),"*","~*"),"?","~?"),'DADOS_ENTIDADES'!$AI$2:$AL$35,3,FALSE),"")))</f>
        <v/>
      </c>
      <c r="IR10" s="164">
        <f>IF($FA10="","",IF(14&gt;$FO10,"⚠ Este talento abre no nível 14",IF($IJ10&gt;3,"⚠ Categoria "&amp;$IJ10&amp;": este ganho vai até a 3 · ","")&amp;IFERROR(VLOOKUP(SUBSTITUTE(SUBSTITUTE(SUBSTITUTE($FA10,"~","~~"),"*","~*"),"?","~?"),'DADOS_ENTIDADES'!$AI$2:$AL$35,3,FALSE),"")))</f>
        <v/>
      </c>
      <c r="IS10" s="164">
        <f>IF($FB10="","",IF(18&gt;$FO10,"⚠ Este talento abre no nível 18",IF($IK10&gt;3,"⚠ Categoria "&amp;$IK10&amp;": este ganho vai até a 3 · ","")&amp;IFERROR(VLOOKUP(SUBSTITUTE(SUBSTITUTE(SUBSTITUTE($FB10,"~","~~"),"*","~*"),"?","~?"),'DADOS_ENTIDADES'!$AI$2:$AL$35,3,FALSE),"")))</f>
        <v/>
      </c>
      <c r="IT10" s="164">
        <f>IF($FC10="","",IF(22&gt;$FO10,"⚠ Este talento abre no nível 22",IF($IL10&gt;3,"⚠ Categoria "&amp;$IL10&amp;": este ganho vai até a 3 · ","")&amp;IFERROR(VLOOKUP(SUBSTITUTE(SUBSTITUTE(SUBSTITUTE($FC10,"~","~~"),"*","~*"),"?","~?"),'DADOS_ENTIDADES'!$AI$2:$AL$35,3,FALSE),"")))</f>
        <v/>
      </c>
      <c r="IU10" s="164">
        <f>IF($FD10="","",IF(26&gt;$FO10,"⚠ Este talento abre no nível 26",IF($IM10&gt;3,"⚠ Categoria "&amp;$IM10&amp;": este ganho vai até a 3 · ","")&amp;IFERROR(VLOOKUP(SUBSTITUTE(SUBSTITUTE(SUBSTITUTE($FD10,"~","~~"),"*","~*"),"?","~?"),'DADOS_ENTIDADES'!$AI$2:$AL$35,3,FALSE),"")))</f>
        <v/>
      </c>
      <c r="IV10" s="164">
        <f>IF($FE10="","",IF(30&gt;$FO10,"⚠ Este talento abre no nível 30",IF($IN10&gt;3,"⚠ Categoria "&amp;$IN10&amp;": este ganho vai até a 3 · ","")&amp;IFERROR(VLOOKUP(SUBSTITUTE(SUBSTITUTE(SUBSTITUTE($FE10,"~","~~"),"*","~*"),"?","~?"),'DADOS_ENTIDADES'!$AI$2:$AL$35,3,FALSE),"")))</f>
        <v/>
      </c>
      <c r="IW10" s="164">
        <f>IF($FF10="","",IFERROR(VLOOKUP(SUBSTITUTE(SUBSTITUTE(SUBSTITUTE($FF10,"~","~~"),"*","~*"),"?","~?"),'DADOS_ENTIDADES'!$AI$2:$AL$35,3,FALSE),""))</f>
        <v/>
      </c>
      <c r="IX10" s="164">
        <f>IF($FG10="","",IFERROR(VLOOKUP(SUBSTITUTE(SUBSTITUTE(SUBSTITUTE($FG10,"~","~~"),"*","~*"),"?","~?"),'DADOS_ENTIDADES'!$AI$2:$AL$35,3,FALSE),""))</f>
        <v/>
      </c>
      <c r="IY10" s="164">
        <f>IF($FH10="","",IFERROR(VLOOKUP(SUBSTITUTE(SUBSTITUTE(SUBSTITUTE($FH10,"~","~~"),"*","~*"),"?","~?"),'DADOS_ENTIDADES'!$AI$2:$AL$35,3,FALSE),""))</f>
        <v/>
      </c>
      <c r="IZ10" s="164">
        <f>CEILING(4.5*$FI10,1)&amp;" PE"</f>
        <v/>
      </c>
      <c r="JA10" s="164">
        <f>CEILING(4.5*$FJ10,1)&amp;" PE"</f>
        <v/>
      </c>
      <c r="JB10" s="164">
        <f>CEILING(4.5*$FK10,1)&amp;" PE"</f>
        <v/>
      </c>
      <c r="JC10" s="164">
        <f>INDEX($P$2:$P$8,$FI10)&amp;" pontos + "&amp;$FI10&amp;"d8"</f>
        <v/>
      </c>
      <c r="JD10" s="164">
        <f>INDEX($P$2:$P$8,$FJ10)&amp;" pontos + "&amp;$FJ10&amp;"d8"</f>
        <v/>
      </c>
      <c r="JE10" s="164">
        <f>INDEX($P$2:$P$8,$FK10)&amp;" pontos + "&amp;$FK10&amp;"d8"</f>
        <v/>
      </c>
      <c r="JF10" s="164">
        <f>IF($FO10&lt;17,"—",VLOOKUP($FO10,$CP$2:$CS$4,4,TRUE)&amp;" PE")</f>
        <v/>
      </c>
      <c r="JG10" s="164">
        <f>IF($FO10&lt;17,"Abre no nível 17",VLOOKUP($FO10,$CP$2:$CS$4,2,TRUE)&amp;" fixos · "&amp;VLOOKUP($FO10,$CP$2:$CS$4,3,TRUE)&amp;" pontos")</f>
        <v/>
      </c>
      <c r="JH10" s="164">
        <f>IF($FL10="Sem Barreiras",7,6)*$FP10&amp;" PE"</f>
        <v/>
      </c>
      <c r="JI10" s="164">
        <f>"Acerto "&amp;MAX(0,INDEX($P$2:$P$8,$FP10)-INDEX($I$2:$N$8,$FP10,2+3*IF(AND(IFERROR(VLOOKUP(SUBSTITUTE(SUBSTITUTE(SUBSTITUTE("Inescapável","~","~~"),"*","~*"),"?","~?"),'DADOS_MELHORIAS'!$AG$2:$AL$113,2,FALSE),"")&lt;&gt;"",COUNTIF($RB$10:$RJ$10,IFERROR(VLOOKUP(SUBSTITUTE(SUBSTITUTE(SUBSTITUTE("Inescapável","~","~~"),"*","~*"),"?","~?"),'DADOS_MELHORIAS'!$AG$2:$AL$113,2,FALSE),""))&gt;0),1,0)))&amp;"d8"</f>
        <v/>
      </c>
      <c r="JJ10" s="164">
        <f>IFERROR(VLOOKUP($FL10,$CU$2:$CW$4,3,FALSE),"Escolha o degrau")</f>
        <v/>
      </c>
      <c r="JK10" s="164">
        <f>9&amp;" · "&amp;IF($FM10=0,"vazia",$DE10&amp;" · nv "&amp;$FO10&amp;" · "&amp;$GH10&amp;"/"&amp;$GF10)</f>
        <v/>
      </c>
      <c r="JO10" s="162" t="inlineStr">
        <is>
          <t>Invocação 9</t>
        </is>
      </c>
      <c r="JP10" s="164">
        <f>ADDRESS(ROW('INVOCAÇÕES'!D29),COLUMN('INVOCAÇÕES'!D29),4)</f>
        <v/>
      </c>
      <c r="JQ10" s="164">
        <f>ADDRESS(ROW('INVOCAÇÕES'!AA431),COLUMN('INVOCAÇÕES'!AA431),4)</f>
        <v/>
      </c>
      <c r="JR10" s="162" t="inlineStr">
        <is>
          <t>DADOS_INVOC!$JK$10</t>
        </is>
      </c>
      <c r="JT10" s="164">
        <f>IF(OR($AW10="",(COUNTIF($EL$2:$EP$2,$AW10)+COUNTIF($QV$2:$QY$2,$AW10))&gt;0),$AV10,"")</f>
        <v/>
      </c>
      <c r="JU10" s="164">
        <f>IF(AND($AX10=1,OR($AW10="",(COUNTIF($EL$2:$EP$2,$AW10)+COUNTIF($QV$2:$QY$2,$AW10))&gt;0)),$AV10,"")</f>
        <v/>
      </c>
      <c r="JW10" s="164">
        <f>IF(OR($W10="",(COUNTIF($EL$2:$EP$2,$W10)+COUNTIF($QV$2:$QY$2,$W10))&gt;0),$V10,"")</f>
        <v/>
      </c>
      <c r="JX10" s="164">
        <f>IF(AND($AF10=1,OR($W10="",(COUNTIF($EL$2:$EP$2,$W10)+COUNTIF($QV$2:$QY$2,$W10))&gt;0)),$V10,"")</f>
        <v/>
      </c>
      <c r="JZ10" s="164">
        <f>IF(OR($AW10="",(COUNTIF($EL$3:$EP$3,$AW10)+COUNTIF($QV$3:$QY$3,$AW10))&gt;0),$AV10,"")</f>
        <v/>
      </c>
      <c r="KA10" s="164">
        <f>IF(AND($AX10=1,OR($AW10="",(COUNTIF($EL$3:$EP$3,$AW10)+COUNTIF($QV$3:$QY$3,$AW10))&gt;0)),$AV10,"")</f>
        <v/>
      </c>
      <c r="KC10" s="164">
        <f>IF(OR($W10="",(COUNTIF($EL$3:$EP$3,$W10)+COUNTIF($QV$3:$QY$3,$W10))&gt;0),$V10,"")</f>
        <v/>
      </c>
      <c r="KD10" s="164">
        <f>IF(AND($AF10=1,OR($W10="",(COUNTIF($EL$3:$EP$3,$W10)+COUNTIF($QV$3:$QY$3,$W10))&gt;0)),$V10,"")</f>
        <v/>
      </c>
      <c r="KF10" s="164">
        <f>IF(OR($AW10="",(COUNTIF($EL$4:$EP$4,$AW10)+COUNTIF($QV$4:$QY$4,$AW10))&gt;0),$AV10,"")</f>
        <v/>
      </c>
      <c r="KG10" s="164">
        <f>IF(AND($AX10=1,OR($AW10="",(COUNTIF($EL$4:$EP$4,$AW10)+COUNTIF($QV$4:$QY$4,$AW10))&gt;0)),$AV10,"")</f>
        <v/>
      </c>
      <c r="KI10" s="164">
        <f>IF(OR($W10="",(COUNTIF($EL$4:$EP$4,$W10)+COUNTIF($QV$4:$QY$4,$W10))&gt;0),$V10,"")</f>
        <v/>
      </c>
      <c r="KJ10" s="164">
        <f>IF(AND($AF10=1,OR($W10="",(COUNTIF($EL$4:$EP$4,$W10)+COUNTIF($QV$4:$QY$4,$W10))&gt;0)),$V10,"")</f>
        <v/>
      </c>
      <c r="KL10" s="164">
        <f>IF(OR($AW10="",(COUNTIF($EL$5:$EP$5,$AW10)+COUNTIF($QV$5:$QY$5,$AW10))&gt;0),$AV10,"")</f>
        <v/>
      </c>
      <c r="KM10" s="164">
        <f>IF(AND($AX10=1,OR($AW10="",(COUNTIF($EL$5:$EP$5,$AW10)+COUNTIF($QV$5:$QY$5,$AW10))&gt;0)),$AV10,"")</f>
        <v/>
      </c>
      <c r="KO10" s="164">
        <f>IF(OR($W10="",(COUNTIF($EL$5:$EP$5,$W10)+COUNTIF($QV$5:$QY$5,$W10))&gt;0),$V10,"")</f>
        <v/>
      </c>
      <c r="KP10" s="164">
        <f>IF(AND($AF10=1,OR($W10="",(COUNTIF($EL$5:$EP$5,$W10)+COUNTIF($QV$5:$QY$5,$W10))&gt;0)),$V10,"")</f>
        <v/>
      </c>
      <c r="KR10" s="164">
        <f>IF(OR($AW10="",(COUNTIF($EL$6:$EP$6,$AW10)+COUNTIF($QV$6:$QY$6,$AW10))&gt;0),$AV10,"")</f>
        <v/>
      </c>
      <c r="KS10" s="164">
        <f>IF(AND($AX10=1,OR($AW10="",(COUNTIF($EL$6:$EP$6,$AW10)+COUNTIF($QV$6:$QY$6,$AW10))&gt;0)),$AV10,"")</f>
        <v/>
      </c>
      <c r="KU10" s="164">
        <f>IF(OR($W10="",(COUNTIF($EL$6:$EP$6,$W10)+COUNTIF($QV$6:$QY$6,$W10))&gt;0),$V10,"")</f>
        <v/>
      </c>
      <c r="KV10" s="164">
        <f>IF(AND($AF10=1,OR($W10="",(COUNTIF($EL$6:$EP$6,$W10)+COUNTIF($QV$6:$QY$6,$W10))&gt;0)),$V10,"")</f>
        <v/>
      </c>
      <c r="KX10" s="164">
        <f>IF(OR($AW10="",(COUNTIF($EL$7:$EP$7,$AW10)+COUNTIF($QV$7:$QY$7,$AW10))&gt;0),$AV10,"")</f>
        <v/>
      </c>
      <c r="KY10" s="164">
        <f>IF(AND($AX10=1,OR($AW10="",(COUNTIF($EL$7:$EP$7,$AW10)+COUNTIF($QV$7:$QY$7,$AW10))&gt;0)),$AV10,"")</f>
        <v/>
      </c>
      <c r="LA10" s="164">
        <f>IF(OR($W10="",(COUNTIF($EL$7:$EP$7,$W10)+COUNTIF($QV$7:$QY$7,$W10))&gt;0),$V10,"")</f>
        <v/>
      </c>
      <c r="LB10" s="164">
        <f>IF(AND($AF10=1,OR($W10="",(COUNTIF($EL$7:$EP$7,$W10)+COUNTIF($QV$7:$QY$7,$W10))&gt;0)),$V10,"")</f>
        <v/>
      </c>
      <c r="LD10" s="164">
        <f>IF(OR($AW10="",(COUNTIF($EL$8:$EP$8,$AW10)+COUNTIF($QV$8:$QY$8,$AW10))&gt;0),$AV10,"")</f>
        <v/>
      </c>
      <c r="LE10" s="164">
        <f>IF(AND($AX10=1,OR($AW10="",(COUNTIF($EL$8:$EP$8,$AW10)+COUNTIF($QV$8:$QY$8,$AW10))&gt;0)),$AV10,"")</f>
        <v/>
      </c>
      <c r="LG10" s="164">
        <f>IF(OR($W10="",(COUNTIF($EL$8:$EP$8,$W10)+COUNTIF($QV$8:$QY$8,$W10))&gt;0),$V10,"")</f>
        <v/>
      </c>
      <c r="LH10" s="164">
        <f>IF(AND($AF10=1,OR($W10="",(COUNTIF($EL$8:$EP$8,$W10)+COUNTIF($QV$8:$QY$8,$W10))&gt;0)),$V10,"")</f>
        <v/>
      </c>
      <c r="LJ10" s="164">
        <f>IF(OR($AW10="",(COUNTIF($EL$9:$EP$9,$AW10)+COUNTIF($QV$9:$QY$9,$AW10))&gt;0),$AV10,"")</f>
        <v/>
      </c>
      <c r="LK10" s="164">
        <f>IF(AND($AX10=1,OR($AW10="",(COUNTIF($EL$9:$EP$9,$AW10)+COUNTIF($QV$9:$QY$9,$AW10))&gt;0)),$AV10,"")</f>
        <v/>
      </c>
      <c r="LM10" s="164">
        <f>IF(OR($W10="",(COUNTIF($EL$9:$EP$9,$W10)+COUNTIF($QV$9:$QY$9,$W10))&gt;0),$V10,"")</f>
        <v/>
      </c>
      <c r="LN10" s="164">
        <f>IF(AND($AF10=1,OR($W10="",(COUNTIF($EL$9:$EP$9,$W10)+COUNTIF($QV$9:$QY$9,$W10))&gt;0)),$V10,"")</f>
        <v/>
      </c>
      <c r="LP10" s="164">
        <f>IF(OR($AW10="",(COUNTIF($EL$10:$EP$10,$AW10)+COUNTIF($QV$10:$QY$10,$AW10))&gt;0),$AV10,"")</f>
        <v/>
      </c>
      <c r="LQ10" s="164">
        <f>IF(AND($AX10=1,OR($AW10="",(COUNTIF($EL$10:$EP$10,$AW10)+COUNTIF($QV$10:$QY$10,$AW10))&gt;0)),$AV10,"")</f>
        <v/>
      </c>
      <c r="LS10" s="164">
        <f>IF(OR($W10="",(COUNTIF($EL$10:$EP$10,$W10)+COUNTIF($QV$10:$QY$10,$W10))&gt;0),$V10,"")</f>
        <v/>
      </c>
      <c r="LT10" s="164">
        <f>IF(AND($AF10=1,OR($W10="",(COUNTIF($EL$10:$EP$10,$W10)+COUNTIF($QV$10:$QY$10,$W10))&gt;0)),$V10,"")</f>
        <v/>
      </c>
      <c r="LV10" s="164">
        <f>IF(OR($AW10="",(COUNTIF($EL$11:$EP$11,$AW10)+COUNTIF($QV$11:$QY$11,$AW10))&gt;0),$AV10,"")</f>
        <v/>
      </c>
      <c r="LW10" s="164">
        <f>IF(AND($AX10=1,OR($AW10="",(COUNTIF($EL$11:$EP$11,$AW10)+COUNTIF($QV$11:$QY$11,$AW10))&gt;0)),$AV10,"")</f>
        <v/>
      </c>
      <c r="LY10" s="164">
        <f>IF(OR($W10="",(COUNTIF($EL$11:$EP$11,$W10)+COUNTIF($QV$11:$QY$11,$W10))&gt;0),$V10,"")</f>
        <v/>
      </c>
      <c r="LZ10" s="164">
        <f>IF(AND($AF10=1,OR($W10="",(COUNTIF($EL$11:$EP$11,$W10)+COUNTIF($QV$11:$QY$11,$W10))&gt;0)),$V10,"")</f>
        <v/>
      </c>
      <c r="MB10" s="164">
        <f>IF(OR($AW10="",(COUNTIF($EL$12:$EP$12,$AW10)+COUNTIF($QV$12:$QY$12,$AW10))&gt;0),$AV10,"")</f>
        <v/>
      </c>
      <c r="MC10" s="164">
        <f>IF(AND($AX10=1,OR($AW10="",(COUNTIF($EL$12:$EP$12,$AW10)+COUNTIF($QV$12:$QY$12,$AW10))&gt;0)),$AV10,"")</f>
        <v/>
      </c>
      <c r="ME10" s="164">
        <f>IF(OR($W10="",(COUNTIF($EL$12:$EP$12,$W10)+COUNTIF($QV$12:$QY$12,$W10))&gt;0),$V10,"")</f>
        <v/>
      </c>
      <c r="MF10" s="164">
        <f>IF(AND($AF10=1,OR($W10="",(COUNTIF($EL$12:$EP$12,$W10)+COUNTIF($QV$12:$QY$12,$W10))&gt;0)),$V10,"")</f>
        <v/>
      </c>
      <c r="MH10" s="164">
        <f>IF(OR($AW10="",(COUNTIF($EL$13:$EP$13,$AW10)+COUNTIF($QV$13:$QY$13,$AW10))&gt;0),$AV10,"")</f>
        <v/>
      </c>
      <c r="MI10" s="164">
        <f>IF(AND($AX10=1,OR($AW10="",(COUNTIF($EL$13:$EP$13,$AW10)+COUNTIF($QV$13:$QY$13,$AW10))&gt;0)),$AV10,"")</f>
        <v/>
      </c>
      <c r="MK10" s="164">
        <f>IF(OR($W10="",(COUNTIF($EL$13:$EP$13,$W10)+COUNTIF($QV$13:$QY$13,$W10))&gt;0),$V10,"")</f>
        <v/>
      </c>
      <c r="ML10" s="164">
        <f>IF(AND($AF10=1,OR($W10="",(COUNTIF($EL$13:$EP$13,$W10)+COUNTIF($QV$13:$QY$13,$W10))&gt;0)),$V10,"")</f>
        <v/>
      </c>
      <c r="MN10" s="162" t="inlineStr">
        <is>
          <t>Ficha 1 · Especial 7</t>
        </is>
      </c>
      <c r="MO10" s="164" t="n">
        <v>1</v>
      </c>
      <c r="MP10" s="164" t="n">
        <v>1</v>
      </c>
      <c r="MQ10" s="164" t="n">
        <v>24</v>
      </c>
      <c r="MR10" s="162" t="inlineStr">
        <is>
          <t>ESPECIAL 7</t>
        </is>
      </c>
      <c r="MS10" s="164">
        <f>MAX(1,MIN(7,N('INVOCAÇÕES'!$U$127)))</f>
        <v/>
      </c>
      <c r="MT10" s="164">
        <f>'INVOCAÇÕES'!$V$127&amp;""</f>
        <v/>
      </c>
      <c r="MU10" s="164">
        <f>'INVOCAÇÕES'!$U$132&amp;""</f>
        <v/>
      </c>
      <c r="MV10" s="164">
        <f>'INVOCAÇÕES'!$U$133&amp;""</f>
        <v/>
      </c>
      <c r="MW10" s="164">
        <f>'INVOCAÇÕES'!$W$133&amp;""</f>
        <v/>
      </c>
      <c r="MX10" s="164">
        <f>'INVOCAÇÕES'!$V$136&amp;""</f>
        <v/>
      </c>
      <c r="MY10" s="164">
        <f>'INVOCAÇÕES'!$V$137&amp;""</f>
        <v/>
      </c>
      <c r="MZ10" s="164">
        <f>'INVOCAÇÕES'!$V$138&amp;""</f>
        <v/>
      </c>
      <c r="NA10" s="164">
        <f>'INVOCAÇÕES'!$V$139&amp;""</f>
        <v/>
      </c>
      <c r="NB10" s="164">
        <f>'INVOCAÇÕES'!$V$140&amp;""</f>
        <v/>
      </c>
      <c r="NC10" s="164">
        <f>'INVOCAÇÕES'!$V$141&amp;""</f>
        <v/>
      </c>
      <c r="ND10" s="164">
        <f>IF($MT10&lt;&gt;"",1,0)</f>
        <v/>
      </c>
      <c r="NE10" s="164">
        <f>INDEX($FO$2:$FO$13,$MO10)</f>
        <v/>
      </c>
      <c r="NF10" s="164">
        <f>INDEX($FP$2:$FP$13,$MO10)</f>
        <v/>
      </c>
      <c r="NG10" s="164">
        <f>INDEX($FQ$2:$FQ$13,$MO10)</f>
        <v/>
      </c>
      <c r="NH10" s="164">
        <f>INDEX($GB$2:$GB$13,$MO10)</f>
        <v/>
      </c>
      <c r="NI10" s="164">
        <f>INDEX($GC$2:$GC$13,$MO10)</f>
        <v/>
      </c>
      <c r="NJ10" s="164">
        <f>IFERROR(MATCH(SUBSTITUTE(SUBSTITUTE(SUBSTITUTE($MU10,"~","~~"),"*","~*"),"?","~?"),'DADOS_FORMAS'!$FZ$2:$FZ$21,0),0)</f>
        <v/>
      </c>
      <c r="NK10" s="164">
        <f>IFERROR(VLOOKUP(SUBSTITUTE(SUBSTITUTE(SUBSTITUTE($MX10,"~","~~"),"*","~*"),"?","~?"),'DADOS_MELHORIAS'!$AG$2:$AL$113,2,FALSE),"")</f>
        <v/>
      </c>
      <c r="NL10" s="164">
        <f>IFERROR(VLOOKUP(SUBSTITUTE(SUBSTITUTE(SUBSTITUTE($MY10,"~","~~"),"*","~*"),"?","~?"),'DADOS_MELHORIAS'!$AG$2:$AL$113,2,FALSE),"")</f>
        <v/>
      </c>
      <c r="NM10" s="164">
        <f>IFERROR(VLOOKUP(SUBSTITUTE(SUBSTITUTE(SUBSTITUTE($MZ10,"~","~~"),"*","~*"),"?","~?"),'DADOS_MELHORIAS'!$AG$2:$AL$113,2,FALSE),"")</f>
        <v/>
      </c>
      <c r="NN10" s="164">
        <f>IFERROR(VLOOKUP(SUBSTITUTE(SUBSTITUTE(SUBSTITUTE($NA10,"~","~~"),"*","~*"),"?","~?"),'DADOS_MELHORIAS'!$AG$2:$AL$113,2,FALSE),"")</f>
        <v/>
      </c>
      <c r="NO10" s="164">
        <f>IFERROR(VLOOKUP(SUBSTITUTE(SUBSTITUTE(SUBSTITUTE($MX10,"~","~~"),"*","~*"),"?","~?"),'DADOS_MELHORIAS'!$AG$2:$AL$113,3,FALSE),0)</f>
        <v/>
      </c>
      <c r="NP10" s="164">
        <f>IFERROR(VLOOKUP(SUBSTITUTE(SUBSTITUTE(SUBSTITUTE($MY10,"~","~~"),"*","~*"),"?","~?"),'DADOS_MELHORIAS'!$AG$2:$AL$113,3,FALSE),0)</f>
        <v/>
      </c>
      <c r="NQ10" s="164">
        <f>IFERROR(VLOOKUP(SUBSTITUTE(SUBSTITUTE(SUBSTITUTE($MZ10,"~","~~"),"*","~*"),"?","~?"),'DADOS_MELHORIAS'!$AG$2:$AL$113,3,FALSE),0)</f>
        <v/>
      </c>
      <c r="NR10" s="164">
        <f>IFERROR(VLOOKUP(SUBSTITUTE(SUBSTITUTE(SUBSTITUTE($NA10,"~","~~"),"*","~*"),"?","~?"),'DADOS_MELHORIAS'!$AG$2:$AL$113,3,FALSE),0)</f>
        <v/>
      </c>
      <c r="NS10" s="164">
        <f>IF($MS10=0,0,IF($NJ10=0,0,INDEX('DADOS_FORMAS'!$GB$2:$GB$21,$NJ10)))</f>
        <v/>
      </c>
      <c r="NT10" s="164">
        <f>IF(OR($NO10=0,$MS10=0),0,$NO10+3*IF(AND($NK10&lt;&gt;"",COUNTIF(INDEX($RB$2:$RJ$13,$MO10,0),$NK10)&gt;0),1,0))</f>
        <v/>
      </c>
      <c r="NU10" s="164">
        <f>IF(OR($NP10=0,$MS10=0),0,$NP10+3*IF(AND($NL10&lt;&gt;"",COUNTIF(INDEX($RB$2:$RJ$13,$MO10,0),$NL10)&gt;0),1,0))</f>
        <v/>
      </c>
      <c r="NV10" s="164">
        <f>IF(OR($NQ10=0,$MS10=0),0,$NQ10+3*IF(AND($NM10&lt;&gt;"",COUNTIF(INDEX($RB$2:$RJ$13,$MO10,0),$NM10)&gt;0),1,0))</f>
        <v/>
      </c>
      <c r="NW10" s="164">
        <f>IF(OR($NR10=0,$MS10=0),0,$NR10+3*IF(AND($NN10&lt;&gt;"",COUNTIF(INDEX($RB$2:$RJ$13,$MO10,0),$NN10)&gt;0),1,0))</f>
        <v/>
      </c>
      <c r="NX10" s="164">
        <f>IF($NJ10=0,0,IF(INDEX('DADOS_FORMAS'!$GA$2:$GA$21,$NJ10)="",0,IF((COUNTIF(INDEX($EL$2:$EP$13,$MO10,0),INDEX('DADOS_FORMAS'!$GA$2:$GA$21,$NJ10))+COUNTIF(INDEX($QV$2:$QY$13,$MO10,0),INDEX('DADOS_FORMAS'!$GA$2:$GA$21,$NJ10)))=0,1,0)))</f>
        <v/>
      </c>
      <c r="NY10" s="164">
        <f>IF(OR($NO10=0,$NK10=""),0,IF((COUNTIF(INDEX($EL$2:$EP$13,$MO10,0),$NK10)+COUNTIF(INDEX($QV$2:$QY$13,$MO10,0),$NK10))=0,1,0))</f>
        <v/>
      </c>
      <c r="NZ10" s="164">
        <f>IF(OR($NP10=0,$NL10=""),0,IF((COUNTIF(INDEX($EL$2:$EP$13,$MO10,0),$NL10)+COUNTIF(INDEX($QV$2:$QY$13,$MO10,0),$NL10))=0,1,0))</f>
        <v/>
      </c>
      <c r="OA10" s="164">
        <f>IF(OR($NQ10=0,$NM10=""),0,IF((COUNTIF(INDEX($EL$2:$EP$13,$MO10,0),$NM10)+COUNTIF(INDEX($QV$2:$QY$13,$MO10,0),$NM10))=0,1,0))</f>
        <v/>
      </c>
      <c r="OB10" s="164">
        <f>IF(OR($NR10=0,$NN10=""),0,IF((COUNTIF(INDEX($EL$2:$EP$13,$MO10,0),$NN10)+COUNTIF(INDEX($QV$2:$QY$13,$MO10,0),$NN10))=0,1,0))</f>
        <v/>
      </c>
      <c r="OC10" s="164">
        <f>IFERROR(VLOOKUP(SUBSTITUTE(SUBSTITUTE(SUBSTITUTE($MX10,"~","~~"),"*","~*"),"?","~?"),'DADOS_MELHORIAS'!$AG$2:$AL$113,4,FALSE),0)+IFERROR(VLOOKUP(SUBSTITUTE(SUBSTITUTE(SUBSTITUTE($MY10,"~","~~"),"*","~*"),"?","~?"),'DADOS_MELHORIAS'!$AG$2:$AL$113,4,FALSE),0)+IFERROR(VLOOKUP(SUBSTITUTE(SUBSTITUTE(SUBSTITUTE($MZ10,"~","~~"),"*","~*"),"?","~?"),'DADOS_MELHORIAS'!$AG$2:$AL$113,4,FALSE),0)+IFERROR(VLOOKUP(SUBSTITUTE(SUBSTITUTE(SUBSTITUTE($NA10,"~","~~"),"*","~*"),"?","~?"),'DADOS_MELHORIAS'!$AG$2:$AL$113,4,FALSE),0)</f>
        <v/>
      </c>
      <c r="OD10" s="164">
        <f>IFERROR(VLOOKUP(SUBSTITUTE(SUBSTITUTE(SUBSTITUTE($MX10,"~","~~"),"*","~*"),"?","~?"),'DADOS_MELHORIAS'!$AG$2:$AL$113,6,FALSE),0)+IFERROR(VLOOKUP(SUBSTITUTE(SUBSTITUTE(SUBSTITUTE($MY10,"~","~~"),"*","~*"),"?","~?"),'DADOS_MELHORIAS'!$AG$2:$AL$113,6,FALSE),0)+IFERROR(VLOOKUP(SUBSTITUTE(SUBSTITUTE(SUBSTITUTE($MZ10,"~","~~"),"*","~*"),"?","~?"),'DADOS_MELHORIAS'!$AG$2:$AL$113,6,FALSE),0)+IFERROR(VLOOKUP(SUBSTITUTE(SUBSTITUTE(SUBSTITUTE($NA10,"~","~~"),"*","~*"),"?","~?"),'DADOS_MELHORIAS'!$AG$2:$AL$113,6,FALSE),0)+IFERROR(N(AND(INDEX('DADOS_FORMAS'!$AO$2:$AO$21,MATCH(SUBSTITUTE(SUBSTITUTE(SUBSTITUTE($MU10,"~","~~"),"*","~*"),"?","~?"),'DADOS_FORMAS'!$AH$2:$AH$21,0))="Acerto",$OH10=1)),0)</f>
        <v/>
      </c>
      <c r="OE10" s="164">
        <f>TEXTJOIN(", ",TRUE,IF(IFERROR(VLOOKUP(SUBSTITUTE(SUBSTITUTE(SUBSTITUTE($MX10,"~","~~"),"*","~*"),"?","~?"),'DADOS_MELHORIAS'!$AG$2:$AL$113,5,FALSE),0)=1,$MX10,""),IF(IFERROR(VLOOKUP(SUBSTITUTE(SUBSTITUTE(SUBSTITUTE($MY10,"~","~~"),"*","~*"),"?","~?"),'DADOS_MELHORIAS'!$AG$2:$AL$113,5,FALSE),0)=1,$MY10,""),IF(IFERROR(VLOOKUP(SUBSTITUTE(SUBSTITUTE(SUBSTITUTE($MZ10,"~","~~"),"*","~*"),"?","~?"),'DADOS_MELHORIAS'!$AG$2:$AL$113,5,FALSE),0)=1,$MZ10,""),IF(IFERROR(VLOOKUP(SUBSTITUTE(SUBSTITUTE(SUBSTITUTE($NA10,"~","~~"),"*","~*"),"?","~?"),'DADOS_MELHORIAS'!$AG$2:$AL$113,5,FALSE),0)=1,$NA10,""))</f>
        <v/>
      </c>
      <c r="OF10" s="164">
        <f>IF($NJ10=0,0,INDEX('DADOS_FORMAS'!$GC$2:$GC$21,$NJ10))</f>
        <v/>
      </c>
      <c r="OG10" s="164">
        <f>IF($NJ10=0,0,INDEX('DADOS_FORMAS'!$GD$2:$GD$21,$NJ10))</f>
        <v/>
      </c>
      <c r="OH10" s="164">
        <f>IF($NJ10=0,0,INDEX('DADOS_FORMAS'!$GF$2:$GF$21,$NJ10))</f>
        <v/>
      </c>
      <c r="OI10" s="164">
        <f>IFERROR(VLOOKUP(SUBSTITUTE(SUBSTITUTE(SUBSTITUTE($NB10,"~","~~"),"*","~*"),"?","~?"),'DADOS_RESTRICOES'!$M$2:$Q$54,3,FALSE),0)</f>
        <v/>
      </c>
      <c r="OJ10" s="164">
        <f>IFERROR(VLOOKUP(SUBSTITUTE(SUBSTITUTE(SUBSTITUTE($NC10,"~","~~"),"*","~*"),"?","~?"),'DADOS_RESTRICOES'!$M$2:$Q$54,3,FALSE),0)</f>
        <v/>
      </c>
      <c r="OK10" s="164">
        <f>IFERROR(VLOOKUP(SUBSTITUTE(SUBSTITUTE(SUBSTITUTE($NB10,"~","~~"),"*","~*"),"?","~?"),'DADOS_RESTRICOES'!$M$2:$Q$54,2,FALSE),"")</f>
        <v/>
      </c>
      <c r="OL10" s="164">
        <f>IFERROR(VLOOKUP(SUBSTITUTE(SUBSTITUTE(SUBSTITUTE($NC10,"~","~~"),"*","~*"),"?","~?"),'DADOS_RESTRICOES'!$M$2:$Q$54,2,FALSE),"")</f>
        <v/>
      </c>
      <c r="OM10" s="164">
        <f>COUNTIF($NS10:$NW10,1)</f>
        <v/>
      </c>
      <c r="ON10" s="164">
        <f>COUNTIF($NS10:$NW10,2)</f>
        <v/>
      </c>
      <c r="OO10" s="164">
        <f>COUNTIF($NS10:$NW10,3)</f>
        <v/>
      </c>
      <c r="OP10" s="164">
        <f>COUNTIF($NS10:$NW10,4)</f>
        <v/>
      </c>
      <c r="OQ10" s="164">
        <f>COUNTIF($NS10:$NW10,5)</f>
        <v/>
      </c>
      <c r="OR10" s="164">
        <f>COUNTIF($NS10:$NW10,6)</f>
        <v/>
      </c>
      <c r="OS10" s="164">
        <f>COUNTIF($OI10:$OJ10,1)+IF(IFERROR(INDEX('DADOS_FORMAS'!$AS$2:$AS$21,MATCH(SUBSTITUTE(SUBSTITUTE(SUBSTITUTE($MU10,"~","~~"),"*","~*"),"?","~?"),'DADOS_FORMAS'!$AH$2:$AH$21,0)),"")="",0,IFERROR(N(VLOOKUP(SUBSTITUTE(SUBSTITUTE(SUBSTITUTE(IFERROR(INDEX('DADOS_FORMAS'!$AS$2:$AS$21,MATCH(SUBSTITUTE(SUBSTITUTE(SUBSTITUTE($MU10,"~","~~"),"*","~*"),"?","~?"),'DADOS_FORMAS'!$AH$2:$AH$21,0)),""),"~","~~"),"*","~*"),"?","~?"),'DADOS_RESTRICOES'!$M$2:$Q$54,3,FALSE)=1),0))</f>
        <v/>
      </c>
      <c r="OT10" s="164">
        <f>COUNTIF($OI10:$OJ10,2)+IF(IFERROR(INDEX('DADOS_FORMAS'!$AS$2:$AS$21,MATCH(SUBSTITUTE(SUBSTITUTE(SUBSTITUTE($MU10,"~","~~"),"*","~*"),"?","~?"),'DADOS_FORMAS'!$AH$2:$AH$21,0)),"")="",0,IFERROR(N(VLOOKUP(SUBSTITUTE(SUBSTITUTE(SUBSTITUTE(IFERROR(INDEX('DADOS_FORMAS'!$AS$2:$AS$21,MATCH(SUBSTITUTE(SUBSTITUTE(SUBSTITUTE($MU10,"~","~~"),"*","~*"),"?","~?"),'DADOS_FORMAS'!$AH$2:$AH$21,0)),""),"~","~~"),"*","~*"),"?","~?"),'DADOS_RESTRICOES'!$M$2:$Q$54,3,FALSE)=2),0))</f>
        <v/>
      </c>
      <c r="OU10" s="164">
        <f>COUNTIF($MX10:$NA10,"?*")</f>
        <v/>
      </c>
      <c r="OV10" s="164">
        <f>COUNTIF($NB10:$NC10,"?*")+$OF10</f>
        <v/>
      </c>
      <c r="OW10" s="164">
        <f>IF($MS10=0,0,SUMPRODUCT($OM10:$OR10,INDEX($I$2:$N$8,MAX(1,$MS10),0)))</f>
        <v/>
      </c>
      <c r="OX10" s="164">
        <f>IF($MS10=0,0,$OS10*CEILING($MS10/2,1)+$OT10*$MS10)</f>
        <v/>
      </c>
      <c r="OY10" s="164">
        <f>MIN(2*$MS10,$OX10)</f>
        <v/>
      </c>
      <c r="OZ10" s="164">
        <f>MIN($OY10,$OW10-IF($NS10=0,0,INDEX($I$2:$N$8,MAX(1,$MS10),$NS10)))</f>
        <v/>
      </c>
      <c r="PA10" s="164">
        <f>$OY10-$OZ10</f>
        <v/>
      </c>
      <c r="PB10" s="164">
        <f>IF($MS10=0,0,INDEX($P$2:$P$8,MAX(1,$MS10)))</f>
        <v/>
      </c>
      <c r="PC10" s="164">
        <f>$PB10-$OW10+$OZ10</f>
        <v/>
      </c>
      <c r="PD10" s="164">
        <f>IF($MS10=0,MAX(0,$NG10-IF(AND($OU10&gt;0,COUNTIF($NB10:$NC10,"?*")=0),1,0)),MAX(0,$PC10))</f>
        <v/>
      </c>
      <c r="PE10" s="164">
        <f>IF($MS10=0,0,(IF(COUNTIF($RK10:$RN10,"Salto")&gt;0,1,0)+IF(COUNTIF($RK10:$RN10,"Queima")&gt;0,1,0)+IF(COUNTIF($RK10:$RN10,"Estilhaço")&gt;0,1,0))*FLOOR($PD10/2,1))</f>
        <v/>
      </c>
      <c r="PF10" s="164">
        <f>MAX(0,2-SUMPRODUCT($OM10:$OR10,$I$2:$N$2)+MIN(2,$OS10*1+$OT10*1,SUMPRODUCT($OM10:$OR10,$I$2:$N$2)-IF($NS10=0,0,INDEX($I$2:$N$2,1,$NS10))))</f>
        <v/>
      </c>
      <c r="PG10" s="164">
        <f>MAX(0,4-SUMPRODUCT($OM10:$OR10,$I$3:$N$3)+MIN(4,$OS10*1+$OT10*2,SUMPRODUCT($OM10:$OR10,$I$3:$N$3)-IF($NS10=0,0,INDEX($I$3:$N$3,1,$NS10))))</f>
        <v/>
      </c>
      <c r="PH10" s="164">
        <f>MAX(0,6-SUMPRODUCT($OM10:$OR10,$I$4:$N$4)+MIN(6,$OS10*2+$OT10*3,SUMPRODUCT($OM10:$OR10,$I$4:$N$4)-IF($NS10=0,0,INDEX($I$4:$N$4,1,$NS10))))</f>
        <v/>
      </c>
      <c r="PI10" s="164">
        <f>MAX(0,9-SUMPRODUCT($OM10:$OR10,$I$5:$N$5)+MIN(8,$OS10*2+$OT10*4,SUMPRODUCT($OM10:$OR10,$I$5:$N$5)-IF($NS10=0,0,INDEX($I$5:$N$5,1,$NS10))))</f>
        <v/>
      </c>
      <c r="PJ10" s="164">
        <f>MAX(0,11-SUMPRODUCT($OM10:$OR10,$I$6:$N$6)+MIN(10,$OS10*3+$OT10*5,SUMPRODUCT($OM10:$OR10,$I$6:$N$6)-IF($NS10=0,0,INDEX($I$6:$N$6,1,$NS10))))</f>
        <v/>
      </c>
      <c r="PK10" s="164">
        <f>MAX(0,13-SUMPRODUCT($OM10:$OR10,$I$7:$N$7)+MIN(12,$OS10*3+$OT10*6,SUMPRODUCT($OM10:$OR10,$I$7:$N$7)-IF($NS10=0,0,INDEX($I$7:$N$7,1,$NS10))))</f>
        <v/>
      </c>
      <c r="PL10" s="164">
        <f>MAX(0,16-SUMPRODUCT($OM10:$OR10,$I$8:$N$8)+MIN(14,$OS10*4+$OT10*7,SUMPRODUCT($OM10:$OR10,$I$8:$N$8)-IF($NS10=0,0,INDEX($I$8:$N$8,1,$NS10))))</f>
        <v/>
      </c>
      <c r="PM10" s="164">
        <f>IF($OG10=2,3*$PF10&amp;" de vida temp.",IF($OG10=3,"sem dano",IF($PF10=0,IF($OG10=1,"sem cura","sem dano"),IF($OG10=1,"cura ","")&amp;$PF10&amp;"d8")))</f>
        <v/>
      </c>
      <c r="PN10" s="164">
        <f>IF($OG10=2,3*$PG10&amp;" de vida temp.",IF($OG10=3,"sem dano",IF($PG10=0,IF($OG10=1,"sem cura","sem dano"),IF($OG10=1,"cura ","")&amp;$PG10&amp;"d8")))</f>
        <v/>
      </c>
      <c r="PO10" s="164">
        <f>IF($OG10=2,3*$PH10&amp;" de vida temp.",IF($OG10=3,"sem dano",IF($PH10=0,IF($OG10=1,"sem cura","sem dano"),IF($OG10=1,"cura ","")&amp;$PH10&amp;"d8")))</f>
        <v/>
      </c>
      <c r="PP10" s="164">
        <f>IF($OG10=2,3*$PI10&amp;" de vida temp.",IF($OG10=3,"sem dano",IF($PI10=0,IF($OG10=1,"sem cura","sem dano"),IF($OG10=1,"cura ","")&amp;$PI10&amp;"d8")))</f>
        <v/>
      </c>
      <c r="PQ10" s="164">
        <f>IF($OG10=2,3*$PJ10&amp;" de vida temp.",IF($OG10=3,"sem dano",IF($PJ10=0,IF($OG10=1,"sem cura","sem dano"),IF($OG10=1,"cura ","")&amp;$PJ10&amp;"d8")))</f>
        <v/>
      </c>
      <c r="PR10" s="164">
        <f>IF($OG10=2,3*$PK10&amp;" de vida temp.",IF($OG10=3,"sem dano",IF($PK10=0,IF($OG10=1,"sem cura","sem dano"),IF($OG10=1,"cura ","")&amp;$PK10&amp;"d8")))</f>
        <v/>
      </c>
      <c r="PS10" s="164">
        <f>IF($OG10=2,3*$PL10&amp;" de vida temp.",IF($OG10=3,"sem dano",IF($PL10=0,IF($OG10=1,"sem cura","sem dano"),IF($OG10=1,"cura ","")&amp;$PL10&amp;"d8")))</f>
        <v/>
      </c>
      <c r="PT10" s="164">
        <f>IF($ND10=0,"",TEXTJOIN(" · ",TRUE,IF($ND10=0,"",TEXTJOIN(" · ",TRUE,IF($ND10=0,"",TEXTJOIN(" · ",TRUE,IF($MQ10&gt;$NE10,"Este lugar abre no nível "&amp;$MQ10,""),IF($MS10&gt;$NF10,"Classe "&amp;$MS10&amp;": o nível "&amp;$NE10&amp;" libera até a "&amp;$NF10,""),IF($NX10=1,"A Forma "&amp;$MU10&amp;" pede "&amp;INDEX('DADOS_FORMAS'!$GA$2:$GA$21,$NJ10)&amp;" aberta",""),IF(AND($MS10=0,$NJ10&gt;0,IF($NJ10=0,0,INDEX('DADOS_FORMAS'!$GJ$2:$GJ$21,$NJ10))=0),$MU10&amp;" não existe na Classe 0",""),IF($NY10=1,"Família Fechada: "&amp;$MX10,""),IF($NZ10=1,"Família Fechada: "&amp;$MY10,""),IF($OA10=1,"Família Fechada: "&amp;$MZ10,""),IF($OB10=1,"Família Fechada: "&amp;$NA10,""),IF(AND($MS10&gt;0,$OU10&gt;INDEX($O$2:$O$8,MAX(1,$MS10))),$OU10&amp;" Melhorias: a Classe "&amp;$MS10&amp;" aceita "&amp;INDEX($O$2:$O$8,MAX(1,$MS10)),""),IF(AND($MS10=0,$OU10&gt;1),"A básica aceita uma Melhoria",""),IF(AND($MS10=0,COUNTIF($NO10:$NR10,"&gt;1")&gt;0),"A básica só aceita Melhoria Leve",""),IF(AND($MS10&gt;0,$OV10&gt;2),$OV10&amp;" Restrições"&amp;IF($OF10=1,", contando a que a Forma "&amp;$MU10&amp;" já traz","")&amp;": o limite é 2",""),IF(AND($MS10=0,COUNTIF($NB10:$NC10,"?*")&gt;1),"A básica aceita uma Restrição Leve",""),IF(AND($MS10=0,COUNTIF($OI10:$OJ10,2)&gt;0),"A básica só aceita Restrição Leve",""),IF(AND($MS10&gt;0,$PC10&lt;0),"Orçamento estourado: faltam "&amp;(-$PC10)&amp;IF($PC10&lt;-1," pontos"," ponto"),""),IF(IFERROR(VLOOKUP(SUBSTITUTE(SUBSTITUTE(SUBSTITUTE($NB10,"~","~~"),"*","~*"),"?","~?"),'DADOS_RESTRICOES'!$M$2:$Q$54,4,FALSE),0)+IFERROR(VLOOKUP(SUBSTITUTE(SUBSTITUTE(SUBSTITUTE($NC10,"~","~~"),"*","~*"),"?","~?"),'DADOS_RESTRICOES'!$M$2:$Q$54,4,FALSE),0)&gt;1,$OK10&amp;" e "&amp;$OL10&amp;" são as duas de frequência",""),IF(AND((COUNTIF($RK10:$RN10,"Rápido")+COUNTIF($OK10:$OL10,"Rápido"))&gt;0,(COUNTIF($MX10:$NA10,"Atrasar")+COUNTIF($OK10:$OL10,"Atrasar"))&gt;0),"Rápido não entra com Atrasar",""),IF(AND((COUNTIF($RK10:$RN10,"Reação")+COUNTIF($OK10:$OL10,"Reação"))&gt;0,(COUNTIF($RK10:$RN10,"Rápido")+COUNTIF($OK10:$OL10,"Rápido"))&gt;0),"Reação não entra com Rápido",""),IF(AND((COUNTIF($RK10:$RN10,"Reação")+COUNTIF($OK10:$OL10,"Reação"))&gt;0,(COUNTIF($RK10:$RN10,"Armado")+COUNTIF($OK10:$OL10,"Armado"))&gt;0),"Reação não entra com Armado",""),IF(AND((COUNTIF($RK10:$RN10,"Reação")+COUNTIF($OK10:$OL10,"Reação"))&gt;0,(COUNTIF($MX10:$NA10,"Atrasar")+COUNTIF($OK10:$OL10,"Atrasar"))&gt;0),"Reação não entra com Atrasar",""),IF(AND((COUNTIF($RK10:$RN10,"Reação")+COUNTIF($OK10:$OL10,"Reação"))&gt;0,(COUNTIF($MX10:$NA10,"Parado")+COUNTIF($OK10:$OL10,"Parado"))&gt;0),"Reação não entra com Parado",""),IF(AND((COUNTIF($MX10:$NA10,"Atrasar")+COUNTIF($OK10:$OL10,"Atrasar"))&gt;0,(COUNTIF($MX10:$NA10,"Parado")+COUNTIF($OK10:$OL10,"Parado"))&gt;0),"Atrasar não entra com Parado",""),IF(AND((COUNTIF($RK10:$RN10,"Armado")+COUNTIF($OK10:$OL10,"Armado"))&gt;0,(COUNTIF($MX10:$NA10,"Carregar")+COUNTIF($OK10:$OL10,"Carregar"))&gt;0),"Armado não entra com Carregar",""),IF(AND(COUNTIF($OK10:$OL10,"Corpo a Corpo")&gt;0,$OF10=0,OR($RO10="Cone",$RO10="Linha")),"Corpo a Corpo não entra em "&amp;$MU10,""),IF(AND(COUNTIF($OK10:$OL10,"Corpo a Corpo")&gt;0,$RP10="Corpo a Corpo"),"A Forma "&amp;$MU10&amp;" já traz o Corpo a Corpo",""),IF(AND(COUNTIF($OK10:$OL10,"Tudo ou Nada")&gt;0,$OH10=0),"Tudo ou Nada só entra em habilidade de Teste de Resistência",""),IF(AND(COUNTIF($RK10:$RN10,"Inescapável")&gt;0,OR($OU10&gt;1,$OV10&gt;0)),"Inescapável não aceita outra peça",""),IF(AND($MS10&gt;0,$PD10*IF(COUNTIF($RK10:$RN10,"Remate")&gt;0,1.25,1)+$PE10&gt;4*$MS10),($PD10*IF(COUNTIF($RK10:$RN10,"Remate")&gt;0,1.25,1)+$PE10)&amp;" dados somando repetições"&amp;IF(COUNTIF($RK10:$RN10,"Remate")&gt;0," e o Remate","")&amp;": o teto da Classe "&amp;$MS10&amp;" é "&amp;4*$MS10,""))),IF(AND($MX10&lt;&gt;"",COUNTIF('DADOS_MELHORIAS'!$O$2:$O$113,SUBSTITUTE(SUBSTITUTE(SUBSTITUTE($MX10,"~","~~"),"*","~*"),"?","~?"))=0),"Melhoria não cadastrada ou com erro: "&amp;$MX10,""),IF(AND($MY10&lt;&gt;"",COUNTIF('DADOS_MELHORIAS'!$O$2:$O$113,SUBSTITUTE(SUBSTITUTE(SUBSTITUTE($MY10,"~","~~"),"*","~*"),"?","~?"))=0),"Melhoria não cadastrada ou com erro: "&amp;$MY10,""),IF(AND($MZ10&lt;&gt;"",COUNTIF('DADOS_MELHORIAS'!$O$2:$O$113,SUBSTITUTE(SUBSTITUTE(SUBSTITUTE($MZ10,"~","~~"),"*","~*"),"?","~?"))=0),"Melhoria não cadastrada ou com erro: "&amp;$MZ10,""),IF(AND($NA10&lt;&gt;"",COUNTIF('DADOS_MELHORIAS'!$O$2:$O$113,SUBSTITUTE(SUBSTITUTE(SUBSTITUTE($NA10,"~","~~"),"*","~*"),"?","~?"))=0),"Melhoria não cadastrada ou com erro: "&amp;$NA10,""),IF(AND($NB10&lt;&gt;"",COUNTIF('DADOS_RESTRICOES'!$M$2:$M$54,SUBSTITUTE(SUBSTITUTE(SUBSTITUTE($NB10,"~","~~"),"*","~*"),"?","~?"))=0),"Restrição não cadastrada ou com erro: "&amp;$NB10,""),IF(AND($NC10&lt;&gt;"",COUNTIF('DADOS_RESTRICOES'!$M$2:$M$54,SUBSTITUTE(SUBSTITUTE(SUBSTITUTE($NC10,"~","~~"),"*","~*"),"?","~?"))=0),"Restrição não cadastrada ou com erro: "&amp;$NC10,""))),IF(AND($MU10&lt;&gt;"",COUNTIF('DADOS_FORMAS'!$AH$2:$AH$21,SUBSTITUTE(SUBSTITUTE(SUBSTITUTE($MU10,"~","~~"),"*","~*"),"?","~?"))=0),"Forma não cadastrada ou com erro: "&amp;$MU10,""),IF(AND(IFERROR(INDEX('DADOS_FORMAS'!$AS$2:$AS$21,MATCH(SUBSTITUTE(SUBSTITUTE(SUBSTITUTE($MU10,"~","~~"),"*","~*"),"?","~?"),'DADOS_FORMAS'!$AH$2:$AH$21,0)),"")&lt;&gt;"",OR(IFERROR(VLOOKUP(SUBSTITUTE(SUBSTITUTE(SUBSTITUTE(IFERROR(INDEX('DADOS_FORMAS'!$AS$2:$AS$21,MATCH(SUBSTITUTE(SUBSTITUTE(SUBSTITUTE($MU10,"~","~~"),"*","~*"),"?","~?"),'DADOS_FORMAS'!$AH$2:$AH$21,0)),""),"~","~~"),"*","~*"),"?","~?"),'DADOS_RESTRICOES'!$M$2:$Q$54,2,FALSE),"")=$OK10,IFERROR(VLOOKUP(SUBSTITUTE(SUBSTITUTE(SUBSTITUTE(IFERROR(INDEX('DADOS_FORMAS'!$AS$2:$AS$21,MATCH(SUBSTITUTE(SUBSTITUTE(SUBSTITUTE($MU10,"~","~~"),"*","~*"),"?","~?"),'DADOS_FORMAS'!$AH$2:$AH$21,0)),""),"~","~~"),"*","~*"),"?","~?"),'DADOS_RESTRICOES'!$M$2:$Q$54,2,FALSE),"")=$OL10)),"Restrição repetida, contando a embutida",""),IF(IF(IFERROR(INDEX('DADOS_FORMAS'!$AS$2:$AS$21,MATCH(SUBSTITUTE(SUBSTITUTE(SUBSTITUTE($MU10,"~","~~"),"*","~*"),"?","~?"),'DADOS_FORMAS'!$AH$2:$AH$21,0)),"")="",0,IFERROR(N(VLOOKUP(SUBSTITUTE(SUBSTITUTE(SUBSTITUTE(IFERROR(INDEX('DADOS_FORMAS'!$AS$2:$AS$21,MATCH(SUBSTITUTE(SUBSTITUTE(SUBSTITUTE($MU10,"~","~~"),"*","~*"),"?","~?"),'DADOS_FORMAS'!$AH$2:$AH$21,0)),""),"~","~~"),"*","~*"),"?","~?"),'DADOS_RESTRICOES'!$M$2:$Q$54,4,FALSE)=1),0))+IF($NB10="",0,IFERROR(N(VLOOKUP(SUBSTITUTE(SUBSTITUTE(SUBSTITUTE($NB10,"~","~~"),"*","~*"),"?","~?"),'DADOS_RESTRICOES'!$M$2:$Q$54,4,FALSE)=1),0))+IF($NC10="",0,IFERROR(N(VLOOKUP(SUBSTITUTE(SUBSTITUTE(SUBSTITUTE($NC10,"~","~~"),"*","~*"),"?","~?"),'DADOS_RESTRICOES'!$M$2:$Q$54,4,FALSE)=1),0))&gt;1,"Duas Restrições de frequência, contando a embutida",""),IF(AND(IFERROR(VLOOKUP(SUBSTITUTE(SUBSTITUTE(SUBSTITUTE(IFERROR(INDEX('DADOS_FORMAS'!$AS$2:$AS$21,MATCH(SUBSTITUTE(SUBSTITUTE(SUBSTITUTE($MU10,"~","~~"),"*","~*"),"?","~?"),'DADOS_FORMAS'!$AH$2:$AH$21,0)),""),"~","~~"),"*","~*"),"?","~?"),'DADOS_RESTRICOES'!$M$2:$Q$54,2,FALSE),"")="Tudo ou Nada",$OH10=0),"Tudo ou Nada exige TR",""),IF(AND(IFERROR(VLOOKUP(SUBSTITUTE(SUBSTITUTE(SUBSTITUTE(IFERROR(INDEX('DADOS_FORMAS'!$AS$2:$AS$21,MATCH(SUBSTITUTE(SUBSTITUTE(SUBSTITUTE($MU10,"~","~~"),"*","~*"),"?","~?"),'DADOS_FORMAS'!$AH$2:$AH$21,0)),""),"~","~~"),"*","~*"),"?","~?"),'DADOS_RESTRICOES'!$M$2:$Q$54,2,FALSE),"")="Corpo a Corpo",OR($RO10="Cone",$RO10="Linha")),"Corpo a Corpo não entra em Cone/Linha","")))</f>
        <v/>
      </c>
      <c r="PU10" s="164">
        <f>IF($PT10="",0,(LEN($PT10)-LEN(SUBSTITUTE($PT10," · ","")))/3+1)</f>
        <v/>
      </c>
      <c r="PV10" s="164">
        <f>IF($ND10=0,"",TEXTJOIN(" · ",TRUE,IF($OX10&gt;2*$MS10,"A devolução parou no teto de "&amp;2*$MS10,""),IF($PA10&gt;0,"Devolução perdida: "&amp;$PA10&amp;IF($PA10&gt;1," pontos"," ponto")&amp;" sem Melhoria para pagar",""),IF(AND($OC10&gt;0,AND($MS10&gt;0,$OG10=0),$PD10=0),"Controle sem dano: uma rodada a mais e CD +2",""),IF(AND($OC10&gt;0,AND($MS10&gt;0,$OG10=0),$PD10&gt;0,$PD10&lt;=$MS10),"Controle com saldo até a Classe: uma rodada a mais",""),IF(AND($MS10&gt;0,$OE10&lt;&gt;""),"Efeito de "&amp;$OE10&amp;" pela Classe "&amp;MAX(1,$MS10-1),"")))</f>
        <v/>
      </c>
      <c r="PW10" s="164">
        <f>IF($PV10="",0,(LEN($PV10)-LEN(SUBSTITUTE($PV10," · ","")))/3+1)</f>
        <v/>
      </c>
      <c r="PX10" s="164">
        <f>IF($ND10=0,IF($OU10+COUNTIF($NB10:$NC10,"?*")&gt;0,"Dê um nome",""),IF($PU10&gt;0,"⚠ "&amp;$PU10&amp;IF($PU10&gt;1," erros"," erro"),IF($PW10&gt;0,"! "&amp;$PW10&amp;IF($PW10&gt;1," avisos"," aviso"),"Na regra")))</f>
        <v/>
      </c>
      <c r="PY10" s="164">
        <f>IF($ND10=0,"",IF($PU10+$PW10=0,"Dentro das regras que a ficha confere",$PT10&amp;IF(AND($PU10&gt;0,$PW10&gt;0)," · ","")&amp;$PV10))</f>
        <v/>
      </c>
      <c r="PZ10" s="164">
        <f>IF($MQ10&gt;$NE10,$MR10&amp;" · ABRE NO NÍVEL "&amp;$MQ10,$MR10)</f>
        <v/>
      </c>
      <c r="QA10" s="164">
        <f>IF($ND10=0,"",IF($MS10=0,"Sem PE",3*$MS10&amp;" PE"))</f>
        <v/>
      </c>
      <c r="QB10" s="164">
        <f>IF($ND10=0,"",IF($MS10=0,"A atuação básica dela",IF(COUNTIF($RQ10:$RS10,"Atrasar")&gt;0,"Sua Ação Completa",IF(COUNTIF($RK10:$RN10,"Rápido")&gt;0,"Sua Bônus",IF(COUNTIF($RK10:$RN10,"Reação")&gt;0,"Sua Reação","Sua Padrão")))&amp;" + a básica dela"&amp;IF(COUNTIF($RK10:$RN10,"Reação")&gt;0," e a coletiva","")&amp;IF(COUNTIF($RQ10:$RS10,"Carregar")&gt;0," · em dois turnos","")))</f>
        <v/>
      </c>
      <c r="QC10" s="164">
        <f>IF($MW10&lt;&gt;"",$MW10,IF($NJ10=0,"",INDEX('DADOS_FORMAS'!$GE$2:$GE$21,$NJ10)))</f>
        <v/>
      </c>
      <c r="QD10" s="164">
        <f>IF(OR($ND10=0,$NJ10=0),"",IF(COUNTIF($RK10:$RN10,"Inescapável")&gt;0,"Automático",IF($QC10="Ataque",IF($NH10="","Ataque","Ataque "&amp;IF(($NH10+2*IF(COUNTIF($RK10:$RN10,"Precisão")&gt;0,1,0))&gt;=0,"+","−")&amp;ABS(($NH10+2*IF(COUNTIF($RK10:$RN10,"Precisão")&gt;0,1,0))))&amp;IF($OD10&gt;0," · TR"&amp;IF($NI10="",""," CD "&amp;$NI10),""),IF(LEFT($QC10,2)="TR",$QC10&amp;IF($NI10="",""," · CD "&amp;$NI10)&amp;IF(COUNTIF($RK10:$RN10,"Certeiro")&gt;0," · metade",""),"Sem rolagem"))))</f>
        <v/>
      </c>
      <c r="QE10" s="164">
        <f>IF(OR($ND10=0,$NJ10=0),"",IF($MS10=0,IF(OR($OG10&gt;=1,$PD10=0),"Sem dano",$PD10&amp;"d6"&amp;IF($MV10="",""," "&amp;$MV10)),IF(OR($OG10&gt;=1,$PD10=0),UPPER(LEFT(INDEX($PM10:$PS10,1,MAX(1,$MS10)),1))&amp;MID(INDEX($PM10:$PS10,1,MAX(1,$MS10)),2,99),UPPER(LEFT(INDEX($PM10:$PS10,1,MAX(1,$MS10)),1))&amp;MID(INDEX($PM10:$PS10,1,MAX(1,$MS10)),2,99)&amp;IF($MV10="",""," "&amp;$MV10)&amp;IF($PE10&gt;0," · +"&amp;$PE10&amp;"d8",""))))</f>
        <v/>
      </c>
      <c r="QF10" s="164">
        <f>COUNTIF($RK10:$RN10,"Longe")+3*COUNTIF($RK10:$RN10,"Muito Longe")</f>
        <v/>
      </c>
      <c r="QG10" s="164">
        <f>COUNTIF($RK10:$RN10,"Maior")+3*COUNTIF($RK10:$RN10,"Muito Maior")</f>
        <v/>
      </c>
      <c r="QH10" s="164">
        <f>IF($NJ10=0,0,CHOOSE(1+INDEX('DADOS_FORMAS'!$GG$2:$GG$21,$NJ10),0,$QF10,$QG10,$QF10+$QG10))</f>
        <v/>
      </c>
      <c r="QI10" s="164">
        <f>IF($NJ10=0,0,CHOOSE(1+INDEX('DADOS_FORMAS'!$GH$2:$GH$21,$NJ10),0,$QF10,$QG10,$QF10+$QG10))</f>
        <v/>
      </c>
      <c r="QJ10" s="164">
        <f>IF(OR($ND10=0,$NJ10=0),"",INDEX('DADOS_FORMAS'!$HU$2:$HZ$81,($NJ10-1)*4+IF($MS10=0,1,IF($MS10&lt;=5,2,IF($MS10=6,3,4))),1+MIN(5,$QH10))&amp;INDEX('DADOS_FORMAS'!$IA$2:$IF$81,($NJ10-1)*4+IF($MS10=0,1,IF($MS10&lt;=5,2,IF($MS10=6,3,4))),1+MIN(5,$QI10))&amp;IF(INDEX('DADOS_FORMAS'!$GI$2:$GI$21,$NJ10)=1,IF(COUNTIF($RK10:$RN10,"Mais Um")&gt;0," · +"&amp;COUNTIF($RK10:$RN10,"Mais Um")&amp;IF(COUNTIF($RK10:$RN10,"Mais Um")&gt;1," alvos"," alvo"),"")&amp;IF(COUNTIF($RK10:$RN10,"Rajada")&gt;0,IF($MS10=0," · 1 tiro"," · "&amp;(MAX(1,$MS10-1)+1)&amp;" tiros"),""),""))</f>
        <v/>
      </c>
      <c r="QK10" s="164">
        <f>IF($ND10=0,"",IF($MS10=0,$NG10&amp;"d6"&amp;IF($OU10&gt;0," − 1 = "&amp;$PD10&amp;"d6"," da básica do nível "&amp;$NE10),$PB10&amp;" − "&amp;$OW10&amp;" + "&amp;$OZ10&amp;" = "&amp;$PC10&amp;" · teto "&amp;4*$MS10&amp;"d8"&amp;IF($OF10=1," · a Forma devolve "&amp;$MS10,"")&amp;IF($PA10&gt;0," · perde "&amp;$PA10,"")))</f>
        <v/>
      </c>
      <c r="QL10" s="164">
        <f>IF($ND10=0,"",IF($MS10=0,"A básica não amplia: os dados dela sobem com o nível",IF($MS10&gt;=$NF10,"Já está na maior Classe que o nível liberou",TEXTJOIN(" · ",TRUE,IF(AND(2&gt;$MS10,2&lt;=$NF10),"2 → "&amp;$PN10&amp;", 6 PE",""),IF(AND(3&gt;$MS10,3&lt;=$NF10),"3 → "&amp;$PO10&amp;", 9 PE",""),IF(AND(4&gt;$MS10,4&lt;=$NF10),"4 → "&amp;$PP10&amp;", 12 PE",""),IF(AND(5&gt;$MS10,5&lt;=$NF10),"5 → "&amp;$PQ10&amp;", 15 PE",""),IF(AND(6&gt;$MS10,6&lt;=$NF10),"6 → "&amp;$PR10&amp;", 18 PE",""),IF(AND(7&gt;$MS10,7&lt;=$NF10),"7 → "&amp;$PS10&amp;", 21 PE","")))))</f>
        <v/>
      </c>
      <c r="QM10" s="164">
        <f>IF(OR($ND10=0,$NO10=0),"",IF($MS10=0,"−1 dado","−"&amp;INDEX($I$2:$N$8,MAX(1,$MS10),MAX(1,$NT10))&amp;" · "&amp;CHOOSE(MAX(1,$NT10),"Leve","Média","Pesada","Leve · Livre","Média · Livre","Pesada · Livre")))</f>
        <v/>
      </c>
      <c r="QN10" s="164">
        <f>IF(OR($ND10=0,$NP10=0),"",IF($MS10=0,"−1 dado","−"&amp;INDEX($I$2:$N$8,MAX(1,$MS10),MAX(1,$NU10))&amp;" · "&amp;CHOOSE(MAX(1,$NU10),"Leve","Média","Pesada","Leve · Livre","Média · Livre","Pesada · Livre")))</f>
        <v/>
      </c>
      <c r="QO10" s="164">
        <f>IF(OR($ND10=0,$NQ10=0),"",IF($MS10=0,"−1 dado","−"&amp;INDEX($I$2:$N$8,MAX(1,$MS10),MAX(1,$NV10))&amp;" · "&amp;CHOOSE(MAX(1,$NV10),"Leve","Média","Pesada","Leve · Livre","Média · Livre","Pesada · Livre")))</f>
        <v/>
      </c>
      <c r="QP10" s="164">
        <f>IF(OR($ND10=0,$NR10=0),"",IF($MS10=0,"−1 dado","−"&amp;INDEX($I$2:$N$8,MAX(1,$MS10),MAX(1,$NW10))&amp;" · "&amp;CHOOSE(MAX(1,$NW10),"Leve","Média","Pesada","Leve · Livre","Média · Livre","Pesada · Livre")))</f>
        <v/>
      </c>
      <c r="QQ10" s="164">
        <f>IF(OR($ND10=0,$NB10=""),"",IF($MS10=0,"não devolve","+"&amp;IF($OI10=1,CEILING($MS10/2,1),$MS10)))</f>
        <v/>
      </c>
      <c r="QR10" s="164">
        <f>IF(OR($ND10=0,$NC10=""),"",IF($MS10=0,"não devolve","+"&amp;IF($OJ10=1,CEILING($MS10/2,1),$MS10)))</f>
        <v/>
      </c>
      <c r="QV10">
        <f>'INVOCAÇÕES'!$AH$472&amp;""</f>
        <v/>
      </c>
      <c r="QW10">
        <f>'INVOCAÇÕES'!$AI$472&amp;""</f>
        <v/>
      </c>
      <c r="QX10">
        <f>'INVOCAÇÕES'!$AJ$472&amp;""</f>
        <v/>
      </c>
      <c r="QY10">
        <f>'INVOCAÇÕES'!$AK$472&amp;""</f>
        <v/>
      </c>
      <c r="QZ10">
        <f>IF('INVOCAÇÕES'!$AD$472="","Autônoma",'INVOCAÇÕES'!$AD$472)</f>
        <v/>
      </c>
      <c r="RA10">
        <f>IF(DADOS_INVOC!$DB$4="Invocação Principal",'CONFIGURAÇÃO'!$H$144,IF(OR(DADOS_INVOC!$DB$4="Parceria",DADOS_INVOC!$DB$4="Múltiplas Invocações"),'CONFIGURAÇÃO'!$H$142,'CONFIGURAÇÃO'!$H$140))+IF($QZ$10="Não autônoma",'CONFIGURAÇÃO'!$H$145,0)</f>
        <v/>
      </c>
      <c r="RB10">
        <f>IF($RA$10&gt;=1,$EL$10,"")</f>
        <v/>
      </c>
      <c r="RC10">
        <f>IF($RA$10&gt;=2,$EM$10,"")</f>
        <v/>
      </c>
      <c r="RD10">
        <f>IF($RA$10&gt;=7,$EN$10,"")</f>
        <v/>
      </c>
      <c r="RE10">
        <f>IF($RA$10&gt;=8,$EO$10,"")</f>
        <v/>
      </c>
      <c r="RF10">
        <f>IF($RA$10&gt;=9,$EP$10,"")</f>
        <v/>
      </c>
      <c r="RG10">
        <f>IF($RA$10&gt;=3,$QV$10,"")</f>
        <v/>
      </c>
      <c r="RH10">
        <f>IF($RA$10&gt;=4,$QW$10,"")</f>
        <v/>
      </c>
      <c r="RI10">
        <f>IF($RA$10&gt;=5,$QX$10,"")</f>
        <v/>
      </c>
      <c r="RJ10">
        <f>IF($RA$10&gt;=6,$QY$10,"")</f>
        <v/>
      </c>
      <c r="RK10">
        <f>IF($MX10="","",IFERROR(VLOOKUP(SUBSTITUTE(SUBSTITUTE(SUBSTITUTE($MX10,"~","~~"),"*","~*"),"?","~?"),'DADOS_MELHORIAS'!$O$2:$X$113,10,FALSE),$MX10))</f>
        <v/>
      </c>
      <c r="RL10">
        <f>IF($MY10="","",IFERROR(VLOOKUP(SUBSTITUTE(SUBSTITUTE(SUBSTITUTE($MY10,"~","~~"),"*","~*"),"?","~?"),'DADOS_MELHORIAS'!$O$2:$X$113,10,FALSE),$MY10))</f>
        <v/>
      </c>
      <c r="RM10">
        <f>IF($MZ10="","",IFERROR(VLOOKUP(SUBSTITUTE(SUBSTITUTE(SUBSTITUTE($MZ10,"~","~~"),"*","~*"),"?","~?"),'DADOS_MELHORIAS'!$O$2:$X$113,10,FALSE),$MZ10))</f>
        <v/>
      </c>
      <c r="RN10">
        <f>IF($NA10="","",IFERROR(VLOOKUP(SUBSTITUTE(SUBSTITUTE(SUBSTITUTE($NA10,"~","~~"),"*","~*"),"?","~?"),'DADOS_MELHORIAS'!$O$2:$X$113,10,FALSE),$NA10))</f>
        <v/>
      </c>
      <c r="RO10">
        <f>IFERROR(INDEX('DADOS_FORMAS'!$BJ$2:$BJ$21,MATCH(SUBSTITUTE(SUBSTITUTE(SUBSTITUTE($MU10,"~","~~"),"*","~*"),"?","~?"),'DADOS_FORMAS'!$AH$2:$AH$21,0)),"")</f>
        <v/>
      </c>
      <c r="RP10">
        <f>IFERROR(VLOOKUP(SUBSTITUTE(SUBSTITUTE(SUBSTITUTE(IFERROR(INDEX('DADOS_FORMAS'!$AS$2:$AS$21,MATCH(SUBSTITUTE(SUBSTITUTE(SUBSTITUTE($MU10,"~","~~"),"*","~*"),"?","~?"),'DADOS_FORMAS'!$AH$2:$AH$21,0)),""),"~","~~"),"*","~*"),"?","~?"),'DADOS_RESTRICOES'!$M$2:$Q$54,2,FALSE),"")</f>
        <v/>
      </c>
      <c r="RQ10">
        <f>$OK10</f>
        <v/>
      </c>
      <c r="RR10">
        <f>$OL10</f>
        <v/>
      </c>
      <c r="RS10">
        <f>$RP10</f>
        <v/>
      </c>
    </row>
    <row r="11">
      <c r="V11" s="162" t="inlineStr">
        <is>
          <t>Efeito</t>
        </is>
      </c>
      <c r="W11" s="162" t="inlineStr"/>
      <c r="X11" s="164" t="n">
        <v>0</v>
      </c>
      <c r="Y11" s="164" t="n">
        <v>0</v>
      </c>
      <c r="Z11" s="164" t="n">
        <v>3</v>
      </c>
      <c r="AA11" s="162" t="inlineStr">
        <is>
          <t>—</t>
        </is>
      </c>
      <c r="AB11" s="164" t="n">
        <v>0</v>
      </c>
      <c r="AC11" s="164" t="n">
        <v>0</v>
      </c>
      <c r="AD11" s="164" t="n">
        <v>0</v>
      </c>
      <c r="AE11" s="164" t="n">
        <v>0</v>
      </c>
      <c r="AF11" s="164" t="n">
        <v>1</v>
      </c>
      <c r="AH11" s="162" t="inlineStr">
        <is>
          <t>Explosão · classes 1 a 5</t>
        </is>
      </c>
      <c r="AI11" s="162" t="inlineStr">
        <is>
          <t>Raio 3 m</t>
        </is>
      </c>
      <c r="AJ11" s="162" t="inlineStr">
        <is>
          <t>Raio 4,5 m</t>
        </is>
      </c>
      <c r="AK11" s="162" t="inlineStr">
        <is>
          <t>Raio 6 m</t>
        </is>
      </c>
      <c r="AL11" s="162" t="inlineStr">
        <is>
          <t>Raio 9 m</t>
        </is>
      </c>
      <c r="AM11" s="162" t="inlineStr">
        <is>
          <t>Raio 15 m</t>
        </is>
      </c>
      <c r="AN11" s="162" t="inlineStr">
        <is>
          <t>Raio 15 m</t>
        </is>
      </c>
      <c r="AO11" s="162" t="inlineStr">
        <is>
          <t>, a 18 m</t>
        </is>
      </c>
      <c r="AP11" s="162" t="inlineStr">
        <is>
          <t>, a 36 m</t>
        </is>
      </c>
      <c r="AQ11" s="162" t="inlineStr">
        <is>
          <t>, a 90 m</t>
        </is>
      </c>
      <c r="AR11" s="162" t="inlineStr">
        <is>
          <t>, a visão a olho nu</t>
        </is>
      </c>
      <c r="AS11" s="162" t="inlineStr">
        <is>
          <t>, a visão a olho nu</t>
        </is>
      </c>
      <c r="AT11" s="162" t="inlineStr">
        <is>
          <t>, a visão a olho nu</t>
        </is>
      </c>
      <c r="AV11" s="162" t="inlineStr">
        <is>
          <t>Mais Um</t>
        </is>
      </c>
      <c r="AW11" s="162" t="inlineStr">
        <is>
          <t>Área</t>
        </is>
      </c>
      <c r="AX11" s="164" t="n">
        <v>1</v>
      </c>
      <c r="AY11" s="164" t="n">
        <v>0</v>
      </c>
      <c r="AZ11" s="164" t="n">
        <v>0</v>
      </c>
      <c r="BA11" s="164" t="n">
        <v>0</v>
      </c>
      <c r="BC11" s="162" t="inlineStr">
        <is>
          <t>Fraqueza (Média)</t>
        </is>
      </c>
      <c r="BD11" s="162" t="inlineStr">
        <is>
          <t>Fraqueza</t>
        </is>
      </c>
      <c r="BE11" s="164" t="n">
        <v>2</v>
      </c>
      <c r="BF11" s="164" t="n">
        <v>0</v>
      </c>
      <c r="BG11" s="162" t="inlineStr"/>
      <c r="BI11" s="162" t="inlineStr">
        <is>
          <t>Contramedida</t>
        </is>
      </c>
      <c r="BJ11" s="164" t="n">
        <v>2</v>
      </c>
      <c r="BK11" s="162" t="inlineStr">
        <is>
          <t>Quando outra criatura a até 9 m conjurar um feitiço, você pode gastar sua Reação e 2 PE para aumentar a CD desse feitiço em 2. Declare depois que a conjuração for anunciada e antes dos TR. O aumento vale para os TR contra aquela aplicação enquanto ela durar.</t>
        </is>
      </c>
      <c r="BL11" s="162" t="inlineStr"/>
      <c r="CC11" s="162" t="inlineStr">
        <is>
          <t>História</t>
        </is>
      </c>
      <c r="CD11" s="162" t="inlineStr">
        <is>
          <t>Inteligência</t>
        </is>
      </c>
      <c r="CH11" s="162" t="inlineStr">
        <is>
          <t>Instrumento</t>
        </is>
      </c>
      <c r="CJ11" s="162" t="inlineStr">
        <is>
          <t>Radiante</t>
        </is>
      </c>
      <c r="DA11" s="162" t="inlineStr">
        <is>
          <t>famílias da trilha</t>
        </is>
      </c>
      <c r="DB11" s="164">
        <f>IF(DADOS_CONFIG!$E$89&lt;&gt;"",NA(),IF(DADOS_CONFIG!$C$89=1,DADOS_CONFIG!$D$89,IF(DADOS_CONFIG!$B$89=0,IF('DADOS_PROGRESSAO'!$K$4="Invocação Principal",5,IF(OR('DADOS_PROGRESSAO'!$K$4="Parceria",'DADOS_PROGRESSAO'!$K$4="Múltiplas Invocações"),4,3)),IF((IF('DADOS_PROGRESSAO'!$K$4="Invocação Principal",5,IF(OR('DADOS_PROGRESSAO'!$K$4="Parceria",'DADOS_PROGRESSAO'!$K$4="Múltiplas Invocações"),4,3)))="","",(IF('DADOS_PROGRESSAO'!$K$4="Invocação Principal",5,IF(OR('DADOS_PROGRESSAO'!$K$4="Parceria",'DADOS_PROGRESSAO'!$K$4="Múltiplas Invocações"),4,3)))+DADOS_CONFIG!$B$89))))</f>
        <v/>
      </c>
      <c r="DD11" s="164" t="n">
        <v>10</v>
      </c>
      <c r="DE11" s="164">
        <f>'INVOCAÇÕES'!$AB$646&amp;""</f>
        <v/>
      </c>
      <c r="DF11" s="164">
        <f>'INVOCAÇÕES'!$AB$676&amp;""</f>
        <v/>
      </c>
      <c r="DG11" s="164">
        <f>'INVOCAÇÕES'!$AB$680&amp;""</f>
        <v/>
      </c>
      <c r="DH11" s="164">
        <f>N('INVOCAÇÕES'!$AD$680)</f>
        <v/>
      </c>
      <c r="DI11" s="164">
        <f>'INVOCAÇÕES'!$AE$680&amp;""</f>
        <v/>
      </c>
      <c r="DJ11" s="164">
        <f>N('INVOCAÇÕES'!$AH$653)</f>
        <v/>
      </c>
      <c r="DK11" s="164">
        <f>N('INVOCAÇÕES'!$AI$653)</f>
        <v/>
      </c>
      <c r="DL11" s="164">
        <f>N('INVOCAÇÕES'!$AJ$653)</f>
        <v/>
      </c>
      <c r="DM11" s="164">
        <f>N('INVOCAÇÕES'!$AK$653)</f>
        <v/>
      </c>
      <c r="DN11" s="164">
        <f>N('INVOCAÇÕES'!$AL$653)</f>
        <v/>
      </c>
      <c r="DO11" s="164">
        <f>N('INVOCAÇÕES'!$AH$654)</f>
        <v/>
      </c>
      <c r="DP11" s="164">
        <f>N('INVOCAÇÕES'!$AI$654)</f>
        <v/>
      </c>
      <c r="DQ11" s="164">
        <f>N('INVOCAÇÕES'!$AJ$654)</f>
        <v/>
      </c>
      <c r="DR11" s="164">
        <f>N('INVOCAÇÕES'!$AK$654)</f>
        <v/>
      </c>
      <c r="DS11" s="164">
        <f>N('INVOCAÇÕES'!$AL$654)</f>
        <v/>
      </c>
      <c r="DT11" s="164">
        <f>'INVOCAÇÕES'!$AH$667&amp;""</f>
        <v/>
      </c>
      <c r="DU11" s="164">
        <f>'INVOCAÇÕES'!$AK$667&amp;""</f>
        <v/>
      </c>
      <c r="DV11" s="164">
        <f>'INVOCAÇÕES'!$AL$662&amp;""</f>
        <v/>
      </c>
      <c r="DW11" s="164">
        <f>N('INVOCAÇÕES'!$AH$659)</f>
        <v/>
      </c>
      <c r="DX11" s="164">
        <f>N('INVOCAÇÕES'!$AI$659)</f>
        <v/>
      </c>
      <c r="DY11" s="164">
        <f>N('INVOCAÇÕES'!$AJ$659)</f>
        <v/>
      </c>
      <c r="DZ11" s="164">
        <f>N('INVOCAÇÕES'!$AK$659)</f>
        <v/>
      </c>
      <c r="EA11" s="164">
        <f>N('INVOCAÇÕES'!$AL$659)</f>
        <v/>
      </c>
      <c r="EB11" s="164">
        <f>N('INVOCAÇÕES'!$AH$664)</f>
        <v/>
      </c>
      <c r="EC11" s="164">
        <f>N('INVOCAÇÕES'!$AI$664)</f>
        <v/>
      </c>
      <c r="ED11" s="164">
        <f>N('INVOCAÇÕES'!$AJ$664)</f>
        <v/>
      </c>
      <c r="EE11" s="164">
        <f>N('INVOCAÇÕES'!$AK$664)</f>
        <v/>
      </c>
      <c r="EF11" s="164">
        <f>'INVOCAÇÕES'!$AN$646&amp;""</f>
        <v/>
      </c>
      <c r="EG11" s="164">
        <f>N('INVOCAÇÕES'!$AP$646)</f>
        <v/>
      </c>
      <c r="EH11" s="164">
        <f>'INVOCAÇÕES'!$AR$646&amp;""</f>
        <v/>
      </c>
      <c r="EI11" s="164">
        <f>SUM('INVOCAÇÕES'!$AR$627:'INVOCAÇÕES'!$AR$629,'INVOCAÇÕES'!$AR$631:'INVOCAÇÕES'!$AR$636)</f>
        <v/>
      </c>
      <c r="EJ11" s="164">
        <f>'INVOCAÇÕES'!$AN$651&amp;""</f>
        <v/>
      </c>
      <c r="EK11" s="164">
        <f>'INVOCAÇÕES'!$AO$651&amp;""</f>
        <v/>
      </c>
      <c r="EL11" s="164">
        <f>'INVOCAÇÕES'!$AH$681&amp;""</f>
        <v/>
      </c>
      <c r="EM11" s="164">
        <f>'INVOCAÇÕES'!$AI$681&amp;""</f>
        <v/>
      </c>
      <c r="EN11" s="164">
        <f>'INVOCAÇÕES'!$AJ$681&amp;""</f>
        <v/>
      </c>
      <c r="EO11" s="164">
        <f>'INVOCAÇÕES'!$AK$681&amp;""</f>
        <v/>
      </c>
      <c r="EP11" s="164">
        <f>'INVOCAÇÕES'!$AL$681&amp;""</f>
        <v/>
      </c>
      <c r="EQ11" s="164">
        <f>'INVOCAÇÕES'!$AH$671&amp;""</f>
        <v/>
      </c>
      <c r="ER11" s="164">
        <f>'INVOCAÇÕES'!$AH$672&amp;""</f>
        <v/>
      </c>
      <c r="ES11" s="164">
        <f>'INVOCAÇÕES'!$AH$673&amp;""</f>
        <v/>
      </c>
      <c r="ET11" s="164">
        <f>'INVOCAÇÕES'!$AH$674&amp;""</f>
        <v/>
      </c>
      <c r="EU11" s="164">
        <f>'INVOCAÇÕES'!$AH$675&amp;""</f>
        <v/>
      </c>
      <c r="EV11" s="164">
        <f>'INVOCAÇÕES'!$AH$676&amp;""</f>
        <v/>
      </c>
      <c r="EW11" s="164">
        <f>'INVOCAÇÕES'!$AH$677&amp;""</f>
        <v/>
      </c>
      <c r="EX11" s="164">
        <f>'INVOCAÇÕES'!$AC$726&amp;""</f>
        <v/>
      </c>
      <c r="EY11" s="164">
        <f>'INVOCAÇÕES'!$AC$727&amp;""</f>
        <v/>
      </c>
      <c r="EZ11" s="164">
        <f>'INVOCAÇÕES'!$AC$728&amp;""</f>
        <v/>
      </c>
      <c r="FA11" s="164">
        <f>'INVOCAÇÕES'!$AC$729&amp;""</f>
        <v/>
      </c>
      <c r="FB11" s="164">
        <f>'INVOCAÇÕES'!$AC$730&amp;""</f>
        <v/>
      </c>
      <c r="FC11" s="164">
        <f>'INVOCAÇÕES'!$AC$731&amp;""</f>
        <v/>
      </c>
      <c r="FD11" s="164">
        <f>'INVOCAÇÕES'!$AC$732&amp;""</f>
        <v/>
      </c>
      <c r="FE11" s="164">
        <f>'INVOCAÇÕES'!$AC$733&amp;""</f>
        <v/>
      </c>
      <c r="FF11" s="164">
        <f>'INVOCAÇÕES'!$AC$828&amp;""</f>
        <v/>
      </c>
      <c r="FG11" s="164">
        <f>'INVOCAÇÕES'!$AC$829&amp;""</f>
        <v/>
      </c>
      <c r="FH11" s="164">
        <f>'INVOCAÇÕES'!$AC$830&amp;""</f>
        <v/>
      </c>
      <c r="FI11" s="164">
        <f>MAX(3,MIN(7,N('INVOCAÇÕES'!$AB$835)))</f>
        <v/>
      </c>
      <c r="FJ11" s="164">
        <f>MAX(3,MIN(7,N('INVOCAÇÕES'!$AH$835)))</f>
        <v/>
      </c>
      <c r="FK11" s="164">
        <f>MAX(3,MIN(7,N('INVOCAÇÕES'!$AN$835)))</f>
        <v/>
      </c>
      <c r="FL11" s="164">
        <f>'INVOCAÇÕES'!$AH$849&amp;""</f>
        <v/>
      </c>
      <c r="FM11" s="164">
        <f>IF($DE11&lt;&gt;"",1,0)</f>
        <v/>
      </c>
      <c r="FN11" s="164">
        <f>IFERROR(VLOOKUP($DG11,$BP$2:$BQ$5,2,FALSE),1)</f>
        <v/>
      </c>
      <c r="FO11" s="164">
        <f>IF($FN11=1,$DB$2,IF($FN11=2,MIN($DB$2,IF(MAX(1,MIN($DB$2,IF($DH11=0,$DB$2,$DH11)))&lt;=4,4,IF(MAX(1,MIN($DB$2,IF($DH11=0,$DB$2,$DH11)))&lt;=8,8,IF(MAX(1,MIN($DB$2,IF($DH11=0,$DB$2,$DH11)))&lt;=12,12,IF(MAX(1,MIN($DB$2,IF($DH11=0,$DB$2,$DH11)))&lt;=16,16,IF(MAX(1,MIN($DB$2,IF($DH11=0,$DB$2,$DH11)))&lt;=20,20,IF(MAX(1,MIN($DB$2,IF($DH11=0,$DB$2,$DH11)))&lt;=25,25,IF(MAX(1,MIN($DB$2,IF($DH11=0,$DB$2,$DH11)))&lt;=30,30,30)))))))),MAX(1,MIN($DB$2,IF($DH11=0,$DB$2,$DH11)))))</f>
        <v/>
      </c>
      <c r="FP11" s="164">
        <f>VLOOKUP(MAX(1,$FO11),$A$2:$D$8,2,TRUE)</f>
        <v/>
      </c>
      <c r="FQ11" s="164">
        <f>VLOOKUP(MAX(1,$FO11),$A$2:$D$8,3,TRUE)</f>
        <v/>
      </c>
      <c r="FR11" s="164">
        <f>$DJ11+$DO11</f>
        <v/>
      </c>
      <c r="FS11" s="164">
        <f>$DK11+$DP11</f>
        <v/>
      </c>
      <c r="FT11" s="164">
        <f>$DL11+$DQ11</f>
        <v/>
      </c>
      <c r="FU11" s="164">
        <f>$DM11+$DR11</f>
        <v/>
      </c>
      <c r="FV11" s="164">
        <f>$DN11+$DS11</f>
        <v/>
      </c>
      <c r="FW11" s="164">
        <f>SUM($DJ11:$DN11)</f>
        <v/>
      </c>
      <c r="FX11" s="164">
        <f>9+$FY11</f>
        <v/>
      </c>
      <c r="FY11" s="164">
        <f>COUNTIF($F$2:$F$8,"&lt;="&amp;$FO11)</f>
        <v/>
      </c>
      <c r="FZ11" s="164">
        <f>MAX(0,$DJ11-3)+MAX(0,$DK11-3)+MAX(0,$DL11-3)+MAX(0,$DM11-3)+MAX(0,$DN11-3)</f>
        <v/>
      </c>
      <c r="GA11" s="164">
        <f>IFERROR(INDEX($FR11:$FV11,1,MATCH($DT11,$BU$2:$BU$6,0)),"")</f>
        <v/>
      </c>
      <c r="GB11" s="164">
        <f>IF($GA11="","",$GA11+$DB$3+$DW11)</f>
        <v/>
      </c>
      <c r="GC11" s="164">
        <f>IF($GA11="","",8+$GA11+$DB$3+$DX11)</f>
        <v/>
      </c>
      <c r="GD11" s="164">
        <f>10+$FS11+$DB$7+$DY11</f>
        <v/>
      </c>
      <c r="GE11" s="164">
        <f>IF(IFERROR(VLOOKUP(SUBSTITUTE(SUBSTITUTE(SUBSTITUTE($DF11,"~","~~"),"*","~*"),"?","~?"),'DADOS_ENTIDADES'!$M$2:$P$16,2,FALSE),0)=1,1,0)</f>
        <v/>
      </c>
      <c r="GF11" s="164">
        <f>5+$FT11+(3+$GE11+$FT11)*($FO11-1)+$DZ11</f>
        <v/>
      </c>
      <c r="GG11" s="164">
        <f>IF($FM11=0,"",$GF11)</f>
        <v/>
      </c>
      <c r="GH11" s="164">
        <f>IF($EF11="",$GF11,MAX(0,MIN(IFERROR(VALUE($EF11),$GF11),$GF11)))</f>
        <v/>
      </c>
      <c r="GI11" s="164">
        <f>IF(AND($FM11=1,$EJ11&lt;&gt;"Sem alma"),MAX(1,INT($GF11/2)),"")</f>
        <v/>
      </c>
      <c r="GJ11" s="164">
        <f>$GI11</f>
        <v/>
      </c>
      <c r="GK11" s="164">
        <f>IF($GI11="","",IF($EK11="",$GI11,MAX(0,MIN(IFERROR(VALUE($EK11),$GI11),$GI11))))</f>
        <v/>
      </c>
      <c r="GL11" s="164">
        <f>IF($FM11=0,"",IF($GI11="","—",$GI11))</f>
        <v/>
      </c>
      <c r="GM11" s="164">
        <f>IF($FM11=0,"",IF($GI11="","Sem alma · imune a dano de Alma",IF($GK11&lt;=0,"Estágio 4 · caída, como a zero de vida",IF($GK11&lt;=$GI11/4,"Estágio 3 · desvantagem em ataques e TRs, Classe pela metade",IF($GK11&lt;=$GI11/2,"Estágio 2 · metade do deslocamento, +1 PE por Classe",IF($GK11&lt;=$GI11*3/4,"Estágio 1 · desvantagem em perícias","Alma inteira"))))))</f>
        <v/>
      </c>
      <c r="GN11" s="164">
        <f>9+$EA11</f>
        <v/>
      </c>
      <c r="GO11" s="164">
        <f>IF($DU11="Destreza",$FS11,$FR11)</f>
        <v/>
      </c>
      <c r="GP11" s="164">
        <f>$GO11+IF($DV11="Físico",$DB$3,0)+$EB11</f>
        <v/>
      </c>
      <c r="GQ11" s="164">
        <f>$FT11+IF($DV11="Vigor",$DB$3,0)+$EC11</f>
        <v/>
      </c>
      <c r="GR11" s="164">
        <f>$FU11+IF($DV11="Intelecto",$DB$3,0)+$ED11</f>
        <v/>
      </c>
      <c r="GS11" s="164">
        <f>$FV11+IF($DV11="Espírito",$DB$3,0)+$EE11</f>
        <v/>
      </c>
      <c r="GT11" s="164">
        <f>4+INT($DM11/2)</f>
        <v/>
      </c>
      <c r="GU11" s="164">
        <f>COUNTIF($EQ11:$EW11,"?*")</f>
        <v/>
      </c>
      <c r="GV11" s="164">
        <f>INT((2+$FO11/2)/2)</f>
        <v/>
      </c>
      <c r="GW11" s="164">
        <f>IF($FO11&gt;=11,2,1)</f>
        <v/>
      </c>
      <c r="GX11" s="164">
        <f>1+$FY11</f>
        <v/>
      </c>
      <c r="GY11" s="164">
        <f>COUNTIF($EX11:$FE11,"?*")</f>
        <v/>
      </c>
      <c r="GZ11" s="164">
        <f>IF(AND(IFERROR(VLOOKUP(SUBSTITUTE(SUBSTITUTE(SUBSTITUTE($DF11,"~","~~"),"*","~*"),"?","~?"),'DADOS_ENTIDADES'!$M$2:$P$16,3,FALSE),0)=1,$DI11="Com carga"),MAX(1,CEILING($FP11/2,1)),$FP11)</f>
        <v/>
      </c>
      <c r="HA11" s="164">
        <f>2*$FP11</f>
        <v/>
      </c>
      <c r="HB11" s="164">
        <f>$FO11*(1+INT($DN11/3))</f>
        <v/>
      </c>
      <c r="HC11" s="164">
        <f>5+$FR11</f>
        <v/>
      </c>
      <c r="HD11" s="164">
        <f>(COUNTIF($EL11:$EP11,"?*")+COUNTIF($QV11:$QY11,"?*"))</f>
        <v/>
      </c>
      <c r="HE11" s="164">
        <f>IF($EL11="",0,IF((COUNTIF($EL11:$EP11,$EL11)+COUNTIF($QV11:$QY11,$EL11))&gt;1,1,0))+IF($EM11="",0,IF((COUNTIF($EL11:$EP11,$EM11)+COUNTIF($QV11:$QY11,$EM11))&gt;1,1,0))+IF($EN11="",0,IF((COUNTIF($EL11:$EP11,$EN11)+COUNTIF($QV11:$QY11,$EN11))&gt;1,1,0))+IF($EO11="",0,IF((COUNTIF($EL11:$EP11,$EO11)+COUNTIF($QV11:$QY11,$EO11))&gt;1,1,0))+IF($EP11="",0,IF((COUNTIF($EL11:$EP11,$EP11)+COUNTIF($QV11:$QY11,$EP11))&gt;1,1,0))+IF($QV$11="",0,IF(COUNTIF($EL11:$EP11,$QV$11)+COUNTIF($QV11:$QY11,$QV$11)&gt;1,1,0))+IF($QW$11="",0,IF(COUNTIF($EL11:$EP11,$QW$11)+COUNTIF($QV11:$QY11,$QW$11)&gt;1,1,0))+IF($QX$11="",0,IF(COUNTIF($EL11:$EP11,$QX$11)+COUNTIF($QV11:$QY11,$QX$11)&gt;1,1,0))+IF($QY$11="",0,IF(COUNTIF($EL11:$EP11,$QY$11)+COUNTIF($QV11:$QY11,$QY$11)&gt;1,1,0))</f>
        <v/>
      </c>
      <c r="HF11" s="164">
        <f>IF(DADOS_INVOC!$DB$4="Invocação Principal",'CONFIGURAÇÃO'!$H$143,IF(OR(DADOS_INVOC!$DB$4="Parceria",DADOS_INVOC!$DB$4="Múltiplas Invocações"),'CONFIGURAÇÃO'!$H$141,'CONFIGURAÇÃO'!$H$139))+IF($QZ$11="Não autônoma",'CONFIGURAÇÃO'!$H$145,0)</f>
        <v/>
      </c>
      <c r="HG11" s="164">
        <f>IF($FM11=0,"INVOCAÇÃO 10 · lugar vazio",$DE11&amp;" · "&amp;$DF11&amp;" · nível "&amp;$FO11&amp;" · vida "&amp;$GH11&amp;" de "&amp;$GF11)</f>
        <v/>
      </c>
      <c r="HH11" s="164">
        <f>IF($FM11=0,"VAZIA",UPPER($DE11))</f>
        <v/>
      </c>
      <c r="HI11" s="164">
        <f>IF($DB$3&gt;=0,"+","−")&amp;ABS($DB$3)</f>
        <v/>
      </c>
      <c r="HJ11" s="164">
        <f>$GZ11&amp;" PE"</f>
        <v/>
      </c>
      <c r="HK11" s="164">
        <f>$HA11&amp;" PE"</f>
        <v/>
      </c>
      <c r="HL11" s="164">
        <f>IF(OR($FW11&gt;$FX11,$FZ11&gt;$FY11),"⚠ ",IF(AND($FM11=1,$FW11&lt;$FX11),"! ",""))&amp;"ATRIBUTOS · "&amp;$FW11&amp;" DE "&amp;$FX11&amp;" PONTOS"&amp;IF($FZ11&gt;$FY11," · ACIMA DE 3 SÓ COM MARCO","")</f>
        <v/>
      </c>
      <c r="HM11" s="164">
        <f>IF($GB11="","",IF($GB11&gt;=0,"+","−")&amp;ABS($GB11))</f>
        <v/>
      </c>
      <c r="HN11" s="164">
        <f>IF($GC11="","",$GC11)</f>
        <v/>
      </c>
      <c r="HO11" s="164">
        <f>SUBSTITUTE(IF($EI11&gt;2*$HC11,0,IF($EI11&gt;$HC11,$GN11/2,$GN11))&amp;" m",".",",")</f>
        <v/>
      </c>
      <c r="HP11" s="164">
        <f>IF($GP11&gt;=0,"+","−")&amp;ABS($GP11)</f>
        <v/>
      </c>
      <c r="HQ11" s="164">
        <f>IF($GQ11&gt;=0,"+","−")&amp;ABS($GQ11)</f>
        <v/>
      </c>
      <c r="HR11" s="164">
        <f>IF($GR11&gt;=0,"+","−")&amp;ABS($GR11)</f>
        <v/>
      </c>
      <c r="HS11" s="164">
        <f>IF($GS11&gt;=0,"+","−")&amp;ABS($GS11)</f>
        <v/>
      </c>
      <c r="HT11" s="164">
        <f>IF($GU11&gt;$GT11,"⚠ ","")&amp;"PERÍCIAS · "&amp;$GU11&amp;" DE "&amp;$GT11</f>
        <v/>
      </c>
      <c r="HU11" s="164">
        <f>IF($EQ11="","",IFERROR(IF((INDEX($FR11:$FV11,1,MATCH(VLOOKUP(SUBSTITUTE(SUBSTITUTE(SUBSTITUTE($EQ11,"~","~~"),"*","~*"),"?","~?"),'DADOS_PROGRESSAO'!$AG$2:$AH$34,2,FALSE),$BU$2:$BU$6,0))+$DB$3)&gt;=0,"+","−")&amp;ABS((INDEX($FR11:$FV11,1,MATCH(VLOOKUP(SUBSTITUTE(SUBSTITUTE(SUBSTITUTE($EQ11,"~","~~"),"*","~*"),"?","~?"),'DADOS_PROGRESSAO'!$AG$2:$AH$34,2,FALSE),$BU$2:$BU$6,0))+$DB$3)),""))</f>
        <v/>
      </c>
      <c r="HV11" s="164">
        <f>IF($ER11="","",IFERROR(IF((INDEX($FR11:$FV11,1,MATCH(VLOOKUP(SUBSTITUTE(SUBSTITUTE(SUBSTITUTE($ER11,"~","~~"),"*","~*"),"?","~?"),'DADOS_PROGRESSAO'!$AG$2:$AH$34,2,FALSE),$BU$2:$BU$6,0))+$DB$3)&gt;=0,"+","−")&amp;ABS((INDEX($FR11:$FV11,1,MATCH(VLOOKUP(SUBSTITUTE(SUBSTITUTE(SUBSTITUTE($ER11,"~","~~"),"*","~*"),"?","~?"),'DADOS_PROGRESSAO'!$AG$2:$AH$34,2,FALSE),$BU$2:$BU$6,0))+$DB$3)),""))</f>
        <v/>
      </c>
      <c r="HW11" s="164">
        <f>IF($ES11="","",IFERROR(IF((INDEX($FR11:$FV11,1,MATCH(VLOOKUP(SUBSTITUTE(SUBSTITUTE(SUBSTITUTE($ES11,"~","~~"),"*","~*"),"?","~?"),'DADOS_PROGRESSAO'!$AG$2:$AH$34,2,FALSE),$BU$2:$BU$6,0))+$DB$3)&gt;=0,"+","−")&amp;ABS((INDEX($FR11:$FV11,1,MATCH(VLOOKUP(SUBSTITUTE(SUBSTITUTE(SUBSTITUTE($ES11,"~","~~"),"*","~*"),"?","~?"),'DADOS_PROGRESSAO'!$AG$2:$AH$34,2,FALSE),$BU$2:$BU$6,0))+$DB$3)),""))</f>
        <v/>
      </c>
      <c r="HX11" s="164">
        <f>IF($ET11="","",IFERROR(IF((INDEX($FR11:$FV11,1,MATCH(VLOOKUP(SUBSTITUTE(SUBSTITUTE(SUBSTITUTE($ET11,"~","~~"),"*","~*"),"?","~?"),'DADOS_PROGRESSAO'!$AG$2:$AH$34,2,FALSE),$BU$2:$BU$6,0))+$DB$3)&gt;=0,"+","−")&amp;ABS((INDEX($FR11:$FV11,1,MATCH(VLOOKUP(SUBSTITUTE(SUBSTITUTE(SUBSTITUTE($ET11,"~","~~"),"*","~*"),"?","~?"),'DADOS_PROGRESSAO'!$AG$2:$AH$34,2,FALSE),$BU$2:$BU$6,0))+$DB$3)),""))</f>
        <v/>
      </c>
      <c r="HY11" s="164">
        <f>IF($EU11="","",IFERROR(IF((INDEX($FR11:$FV11,1,MATCH(VLOOKUP(SUBSTITUTE(SUBSTITUTE(SUBSTITUTE($EU11,"~","~~"),"*","~*"),"?","~?"),'DADOS_PROGRESSAO'!$AG$2:$AH$34,2,FALSE),$BU$2:$BU$6,0))+$DB$3)&gt;=0,"+","−")&amp;ABS((INDEX($FR11:$FV11,1,MATCH(VLOOKUP(SUBSTITUTE(SUBSTITUTE(SUBSTITUTE($EU11,"~","~~"),"*","~*"),"?","~?"),'DADOS_PROGRESSAO'!$AG$2:$AH$34,2,FALSE),$BU$2:$BU$6,0))+$DB$3)),""))</f>
        <v/>
      </c>
      <c r="HZ11" s="164">
        <f>IF($EV11="","",IFERROR(IF((INDEX($FR11:$FV11,1,MATCH(VLOOKUP(SUBSTITUTE(SUBSTITUTE(SUBSTITUTE($EV11,"~","~~"),"*","~*"),"?","~?"),'DADOS_PROGRESSAO'!$AG$2:$AH$34,2,FALSE),$BU$2:$BU$6,0))+$DB$3)&gt;=0,"+","−")&amp;ABS((INDEX($FR11:$FV11,1,MATCH(VLOOKUP(SUBSTITUTE(SUBSTITUTE(SUBSTITUTE($EV11,"~","~~"),"*","~*"),"?","~?"),'DADOS_PROGRESSAO'!$AG$2:$AH$34,2,FALSE),$BU$2:$BU$6,0))+$DB$3)),""))</f>
        <v/>
      </c>
      <c r="IA11" s="164">
        <f>IF($EW11="","",IFERROR(IF((INDEX($FR11:$FV11,1,MATCH(VLOOKUP(SUBSTITUTE(SUBSTITUTE(SUBSTITUTE($EW11,"~","~~"),"*","~*"),"?","~?"),'DADOS_PROGRESSAO'!$AG$2:$AH$34,2,FALSE),$BU$2:$BU$6,0))+$DB$3)&gt;=0,"+","−")&amp;ABS((INDEX($FR11:$FV11,1,MATCH(VLOOKUP(SUBSTITUTE(SUBSTITUTE(SUBSTITUTE($EW11,"~","~~"),"*","~*"),"?","~?"),'DADOS_PROGRESSAO'!$AG$2:$AH$34,2,FALSE),$BU$2:$BU$6,0))+$DB$3)),""))</f>
        <v/>
      </c>
      <c r="IB11" s="164">
        <f>IF(IFERROR(VLOOKUP(SUBSTITUTE(SUBSTITUTE(SUBSTITUTE($DF11,"~","~~"),"*","~*"),"?","~?"),'DADOS_ENTIDADES'!$M$2:$P$16,4,FALSE),0)=1,"RESERVA · MÁX. "&amp;$HB11,"RESERVA DE PE")</f>
        <v/>
      </c>
      <c r="IC11" s="164">
        <f>IF($EI11&gt;2*$HC11,"⚠ ",IF($EI11&gt;$HC11,"! ",""))&amp;"EQUIPAMENTO · "&amp;$EI11&amp;" DE "&amp;$HC11&amp;" DE VOLUME"&amp;IF($EI11&gt;2*$HC11," · PASSOU DO DOBRO",IF($EI11&gt;$HC11," · ACIMA DO LIMITE",""))</f>
        <v/>
      </c>
      <c r="ID11" s="164">
        <f>IF(OR($HE11&gt;0,$HD11&gt;$HF11),"⚠ ","")&amp;"FAMÍLIAS · "&amp;$HD11&amp;" ABERTAS"&amp;IF($HE11&gt;0," · REPETIDA","")&amp;IF($HD11&gt;$HF11," · O LIMITE É "&amp;$HF11,"")&amp;IF(OR($RA$11&gt;$HF$11,$HF$11&gt;9)," · LIMITES INCOMPATÍVEIS","")</f>
        <v/>
      </c>
      <c r="IE11" s="164">
        <f>"HABILIDADES · básica de "&amp;$FQ11&amp;"d6 · "&amp;$GV11&amp;IF($GV11&gt;1," espaços"," espaço")&amp;" de especial até a Classe "&amp;$FP11&amp;" · "&amp;$GX11&amp;IF($GX11&gt;1," talentos"," talento")</f>
        <v/>
      </c>
      <c r="IF11" s="164">
        <f>IF($GY11&gt;$GX11,"⚠ ","")&amp;"TALENTOS · "&amp;$GY11&amp;" DE "&amp;$GX11</f>
        <v/>
      </c>
      <c r="IG11" s="164">
        <f>IFERROR(VLOOKUP(SUBSTITUTE(SUBSTITUTE(SUBSTITUTE($EX11,"~","~~"),"*","~*"),"?","~?"),'DADOS_ENTIDADES'!$AI$2:$AL$35,2,FALSE),0)</f>
        <v/>
      </c>
      <c r="IH11" s="164">
        <f>IFERROR(VLOOKUP(SUBSTITUTE(SUBSTITUTE(SUBSTITUTE($EY11,"~","~~"),"*","~*"),"?","~?"),'DADOS_ENTIDADES'!$AI$2:$AL$35,2,FALSE),0)</f>
        <v/>
      </c>
      <c r="II11" s="164">
        <f>IFERROR(VLOOKUP(SUBSTITUTE(SUBSTITUTE(SUBSTITUTE($EZ11,"~","~~"),"*","~*"),"?","~?"),'DADOS_ENTIDADES'!$AI$2:$AL$35,2,FALSE),0)</f>
        <v/>
      </c>
      <c r="IJ11" s="164">
        <f>IFERROR(VLOOKUP(SUBSTITUTE(SUBSTITUTE(SUBSTITUTE($FA11,"~","~~"),"*","~*"),"?","~?"),'DADOS_ENTIDADES'!$AI$2:$AL$35,2,FALSE),0)</f>
        <v/>
      </c>
      <c r="IK11" s="164">
        <f>IFERROR(VLOOKUP(SUBSTITUTE(SUBSTITUTE(SUBSTITUTE($FB11,"~","~~"),"*","~*"),"?","~?"),'DADOS_ENTIDADES'!$AI$2:$AL$35,2,FALSE),0)</f>
        <v/>
      </c>
      <c r="IL11" s="164">
        <f>IFERROR(VLOOKUP(SUBSTITUTE(SUBSTITUTE(SUBSTITUTE($FC11,"~","~~"),"*","~*"),"?","~?"),'DADOS_ENTIDADES'!$AI$2:$AL$35,2,FALSE),0)</f>
        <v/>
      </c>
      <c r="IM11" s="164">
        <f>IFERROR(VLOOKUP(SUBSTITUTE(SUBSTITUTE(SUBSTITUTE($FD11,"~","~~"),"*","~*"),"?","~?"),'DADOS_ENTIDADES'!$AI$2:$AL$35,2,FALSE),0)</f>
        <v/>
      </c>
      <c r="IN11" s="164">
        <f>IFERROR(VLOOKUP(SUBSTITUTE(SUBSTITUTE(SUBSTITUTE($FE11,"~","~~"),"*","~*"),"?","~?"),'DADOS_ENTIDADES'!$AI$2:$AL$35,2,FALSE),0)</f>
        <v/>
      </c>
      <c r="IO11" s="164">
        <f>IF($EX11="","",IF(1&gt;$FO11,"⚠ Este talento abre no nível 1",IF($IG11&gt;1,"⚠ Categoria "&amp;$IG11&amp;": este ganho vai até a 1 · ","")&amp;IFERROR(VLOOKUP(SUBSTITUTE(SUBSTITUTE(SUBSTITUTE($EX11,"~","~~"),"*","~*"),"?","~?"),'DADOS_ENTIDADES'!$AI$2:$AL$35,3,FALSE),"")))</f>
        <v/>
      </c>
      <c r="IP11" s="164">
        <f>IF($EY11="","",IF(6&gt;$FO11,"⚠ Este talento abre no nível 6",IF($IH11&gt;1,"⚠ Categoria "&amp;$IH11&amp;": este ganho vai até a 1 · ","")&amp;IFERROR(VLOOKUP(SUBSTITUTE(SUBSTITUTE(SUBSTITUTE($EY11,"~","~~"),"*","~*"),"?","~?"),'DADOS_ENTIDADES'!$AI$2:$AL$35,3,FALSE),"")))</f>
        <v/>
      </c>
      <c r="IQ11" s="164">
        <f>IF($EZ11="","",IF(10&gt;$FO11,"⚠ Este talento abre no nível 10",IF($II11&gt;2,"⚠ Categoria "&amp;$II11&amp;": este ganho vai até a 2 · ","")&amp;IFERROR(VLOOKUP(SUBSTITUTE(SUBSTITUTE(SUBSTITUTE($EZ11,"~","~~"),"*","~*"),"?","~?"),'DADOS_ENTIDADES'!$AI$2:$AL$35,3,FALSE),"")))</f>
        <v/>
      </c>
      <c r="IR11" s="164">
        <f>IF($FA11="","",IF(14&gt;$FO11,"⚠ Este talento abre no nível 14",IF($IJ11&gt;3,"⚠ Categoria "&amp;$IJ11&amp;": este ganho vai até a 3 · ","")&amp;IFERROR(VLOOKUP(SUBSTITUTE(SUBSTITUTE(SUBSTITUTE($FA11,"~","~~"),"*","~*"),"?","~?"),'DADOS_ENTIDADES'!$AI$2:$AL$35,3,FALSE),"")))</f>
        <v/>
      </c>
      <c r="IS11" s="164">
        <f>IF($FB11="","",IF(18&gt;$FO11,"⚠ Este talento abre no nível 18",IF($IK11&gt;3,"⚠ Categoria "&amp;$IK11&amp;": este ganho vai até a 3 · ","")&amp;IFERROR(VLOOKUP(SUBSTITUTE(SUBSTITUTE(SUBSTITUTE($FB11,"~","~~"),"*","~*"),"?","~?"),'DADOS_ENTIDADES'!$AI$2:$AL$35,3,FALSE),"")))</f>
        <v/>
      </c>
      <c r="IT11" s="164">
        <f>IF($FC11="","",IF(22&gt;$FO11,"⚠ Este talento abre no nível 22",IF($IL11&gt;3,"⚠ Categoria "&amp;$IL11&amp;": este ganho vai até a 3 · ","")&amp;IFERROR(VLOOKUP(SUBSTITUTE(SUBSTITUTE(SUBSTITUTE($FC11,"~","~~"),"*","~*"),"?","~?"),'DADOS_ENTIDADES'!$AI$2:$AL$35,3,FALSE),"")))</f>
        <v/>
      </c>
      <c r="IU11" s="164">
        <f>IF($FD11="","",IF(26&gt;$FO11,"⚠ Este talento abre no nível 26",IF($IM11&gt;3,"⚠ Categoria "&amp;$IM11&amp;": este ganho vai até a 3 · ","")&amp;IFERROR(VLOOKUP(SUBSTITUTE(SUBSTITUTE(SUBSTITUTE($FD11,"~","~~"),"*","~*"),"?","~?"),'DADOS_ENTIDADES'!$AI$2:$AL$35,3,FALSE),"")))</f>
        <v/>
      </c>
      <c r="IV11" s="164">
        <f>IF($FE11="","",IF(30&gt;$FO11,"⚠ Este talento abre no nível 30",IF($IN11&gt;3,"⚠ Categoria "&amp;$IN11&amp;": este ganho vai até a 3 · ","")&amp;IFERROR(VLOOKUP(SUBSTITUTE(SUBSTITUTE(SUBSTITUTE($FE11,"~","~~"),"*","~*"),"?","~?"),'DADOS_ENTIDADES'!$AI$2:$AL$35,3,FALSE),"")))</f>
        <v/>
      </c>
      <c r="IW11" s="164">
        <f>IF($FF11="","",IFERROR(VLOOKUP(SUBSTITUTE(SUBSTITUTE(SUBSTITUTE($FF11,"~","~~"),"*","~*"),"?","~?"),'DADOS_ENTIDADES'!$AI$2:$AL$35,3,FALSE),""))</f>
        <v/>
      </c>
      <c r="IX11" s="164">
        <f>IF($FG11="","",IFERROR(VLOOKUP(SUBSTITUTE(SUBSTITUTE(SUBSTITUTE($FG11,"~","~~"),"*","~*"),"?","~?"),'DADOS_ENTIDADES'!$AI$2:$AL$35,3,FALSE),""))</f>
        <v/>
      </c>
      <c r="IY11" s="164">
        <f>IF($FH11="","",IFERROR(VLOOKUP(SUBSTITUTE(SUBSTITUTE(SUBSTITUTE($FH11,"~","~~"),"*","~*"),"?","~?"),'DADOS_ENTIDADES'!$AI$2:$AL$35,3,FALSE),""))</f>
        <v/>
      </c>
      <c r="IZ11" s="164">
        <f>CEILING(4.5*$FI11,1)&amp;" PE"</f>
        <v/>
      </c>
      <c r="JA11" s="164">
        <f>CEILING(4.5*$FJ11,1)&amp;" PE"</f>
        <v/>
      </c>
      <c r="JB11" s="164">
        <f>CEILING(4.5*$FK11,1)&amp;" PE"</f>
        <v/>
      </c>
      <c r="JC11" s="164">
        <f>INDEX($P$2:$P$8,$FI11)&amp;" pontos + "&amp;$FI11&amp;"d8"</f>
        <v/>
      </c>
      <c r="JD11" s="164">
        <f>INDEX($P$2:$P$8,$FJ11)&amp;" pontos + "&amp;$FJ11&amp;"d8"</f>
        <v/>
      </c>
      <c r="JE11" s="164">
        <f>INDEX($P$2:$P$8,$FK11)&amp;" pontos + "&amp;$FK11&amp;"d8"</f>
        <v/>
      </c>
      <c r="JF11" s="164">
        <f>IF($FO11&lt;17,"—",VLOOKUP($FO11,$CP$2:$CS$4,4,TRUE)&amp;" PE")</f>
        <v/>
      </c>
      <c r="JG11" s="164">
        <f>IF($FO11&lt;17,"Abre no nível 17",VLOOKUP($FO11,$CP$2:$CS$4,2,TRUE)&amp;" fixos · "&amp;VLOOKUP($FO11,$CP$2:$CS$4,3,TRUE)&amp;" pontos")</f>
        <v/>
      </c>
      <c r="JH11" s="164">
        <f>IF($FL11="Sem Barreiras",7,6)*$FP11&amp;" PE"</f>
        <v/>
      </c>
      <c r="JI11" s="164">
        <f>"Acerto "&amp;MAX(0,INDEX($P$2:$P$8,$FP11)-INDEX($I$2:$N$8,$FP11,2+3*IF(AND(IFERROR(VLOOKUP(SUBSTITUTE(SUBSTITUTE(SUBSTITUTE("Inescapável","~","~~"),"*","~*"),"?","~?"),'DADOS_MELHORIAS'!$AG$2:$AL$113,2,FALSE),"")&lt;&gt;"",COUNTIF($RB$11:$RJ$11,IFERROR(VLOOKUP(SUBSTITUTE(SUBSTITUTE(SUBSTITUTE("Inescapável","~","~~"),"*","~*"),"?","~?"),'DADOS_MELHORIAS'!$AG$2:$AL$113,2,FALSE),""))&gt;0),1,0)))&amp;"d8"</f>
        <v/>
      </c>
      <c r="JJ11" s="164">
        <f>IFERROR(VLOOKUP($FL11,$CU$2:$CW$4,3,FALSE),"Escolha o degrau")</f>
        <v/>
      </c>
      <c r="JK11" s="164">
        <f>10&amp;" · "&amp;IF($FM11=0,"vazia",$DE11&amp;" · nv "&amp;$FO11&amp;" · "&amp;$GH11&amp;"/"&amp;$GF11)</f>
        <v/>
      </c>
      <c r="JO11" s="162" t="inlineStr">
        <is>
          <t>Invocação 10</t>
        </is>
      </c>
      <c r="JP11" s="164">
        <f>ADDRESS(ROW('INVOCAÇÕES'!D30),COLUMN('INVOCAÇÕES'!D30),4)</f>
        <v/>
      </c>
      <c r="JQ11" s="164">
        <f>ADDRESS(ROW('INVOCAÇÕES'!AA642),COLUMN('INVOCAÇÕES'!AA642),4)</f>
        <v/>
      </c>
      <c r="JR11" s="162" t="inlineStr">
        <is>
          <t>DADOS_INVOC!$JK$11</t>
        </is>
      </c>
      <c r="JT11" s="164">
        <f>IF(OR($AW11="",(COUNTIF($EL$2:$EP$2,$AW11)+COUNTIF($QV$2:$QY$2,$AW11))&gt;0),$AV11,"")</f>
        <v/>
      </c>
      <c r="JU11" s="164">
        <f>IF(AND($AX11=1,OR($AW11="",(COUNTIF($EL$2:$EP$2,$AW11)+COUNTIF($QV$2:$QY$2,$AW11))&gt;0)),$AV11,"")</f>
        <v/>
      </c>
      <c r="JW11" s="164">
        <f>IF(OR($W11="",(COUNTIF($EL$2:$EP$2,$W11)+COUNTIF($QV$2:$QY$2,$W11))&gt;0),$V11,"")</f>
        <v/>
      </c>
      <c r="JX11" s="164">
        <f>IF(AND($AF11=1,OR($W11="",(COUNTIF($EL$2:$EP$2,$W11)+COUNTIF($QV$2:$QY$2,$W11))&gt;0)),$V11,"")</f>
        <v/>
      </c>
      <c r="JZ11" s="164">
        <f>IF(OR($AW11="",(COUNTIF($EL$3:$EP$3,$AW11)+COUNTIF($QV$3:$QY$3,$AW11))&gt;0),$AV11,"")</f>
        <v/>
      </c>
      <c r="KA11" s="164">
        <f>IF(AND($AX11=1,OR($AW11="",(COUNTIF($EL$3:$EP$3,$AW11)+COUNTIF($QV$3:$QY$3,$AW11))&gt;0)),$AV11,"")</f>
        <v/>
      </c>
      <c r="KC11" s="164">
        <f>IF(OR($W11="",(COUNTIF($EL$3:$EP$3,$W11)+COUNTIF($QV$3:$QY$3,$W11))&gt;0),$V11,"")</f>
        <v/>
      </c>
      <c r="KD11" s="164">
        <f>IF(AND($AF11=1,OR($W11="",(COUNTIF($EL$3:$EP$3,$W11)+COUNTIF($QV$3:$QY$3,$W11))&gt;0)),$V11,"")</f>
        <v/>
      </c>
      <c r="KF11" s="164">
        <f>IF(OR($AW11="",(COUNTIF($EL$4:$EP$4,$AW11)+COUNTIF($QV$4:$QY$4,$AW11))&gt;0),$AV11,"")</f>
        <v/>
      </c>
      <c r="KG11" s="164">
        <f>IF(AND($AX11=1,OR($AW11="",(COUNTIF($EL$4:$EP$4,$AW11)+COUNTIF($QV$4:$QY$4,$AW11))&gt;0)),$AV11,"")</f>
        <v/>
      </c>
      <c r="KI11" s="164">
        <f>IF(OR($W11="",(COUNTIF($EL$4:$EP$4,$W11)+COUNTIF($QV$4:$QY$4,$W11))&gt;0),$V11,"")</f>
        <v/>
      </c>
      <c r="KJ11" s="164">
        <f>IF(AND($AF11=1,OR($W11="",(COUNTIF($EL$4:$EP$4,$W11)+COUNTIF($QV$4:$QY$4,$W11))&gt;0)),$V11,"")</f>
        <v/>
      </c>
      <c r="KL11" s="164">
        <f>IF(OR($AW11="",(COUNTIF($EL$5:$EP$5,$AW11)+COUNTIF($QV$5:$QY$5,$AW11))&gt;0),$AV11,"")</f>
        <v/>
      </c>
      <c r="KM11" s="164">
        <f>IF(AND($AX11=1,OR($AW11="",(COUNTIF($EL$5:$EP$5,$AW11)+COUNTIF($QV$5:$QY$5,$AW11))&gt;0)),$AV11,"")</f>
        <v/>
      </c>
      <c r="KO11" s="164">
        <f>IF(OR($W11="",(COUNTIF($EL$5:$EP$5,$W11)+COUNTIF($QV$5:$QY$5,$W11))&gt;0),$V11,"")</f>
        <v/>
      </c>
      <c r="KP11" s="164">
        <f>IF(AND($AF11=1,OR($W11="",(COUNTIF($EL$5:$EP$5,$W11)+COUNTIF($QV$5:$QY$5,$W11))&gt;0)),$V11,"")</f>
        <v/>
      </c>
      <c r="KR11" s="164">
        <f>IF(OR($AW11="",(COUNTIF($EL$6:$EP$6,$AW11)+COUNTIF($QV$6:$QY$6,$AW11))&gt;0),$AV11,"")</f>
        <v/>
      </c>
      <c r="KS11" s="164">
        <f>IF(AND($AX11=1,OR($AW11="",(COUNTIF($EL$6:$EP$6,$AW11)+COUNTIF($QV$6:$QY$6,$AW11))&gt;0)),$AV11,"")</f>
        <v/>
      </c>
      <c r="KU11" s="164">
        <f>IF(OR($W11="",(COUNTIF($EL$6:$EP$6,$W11)+COUNTIF($QV$6:$QY$6,$W11))&gt;0),$V11,"")</f>
        <v/>
      </c>
      <c r="KV11" s="164">
        <f>IF(AND($AF11=1,OR($W11="",(COUNTIF($EL$6:$EP$6,$W11)+COUNTIF($QV$6:$QY$6,$W11))&gt;0)),$V11,"")</f>
        <v/>
      </c>
      <c r="KX11" s="164">
        <f>IF(OR($AW11="",(COUNTIF($EL$7:$EP$7,$AW11)+COUNTIF($QV$7:$QY$7,$AW11))&gt;0),$AV11,"")</f>
        <v/>
      </c>
      <c r="KY11" s="164">
        <f>IF(AND($AX11=1,OR($AW11="",(COUNTIF($EL$7:$EP$7,$AW11)+COUNTIF($QV$7:$QY$7,$AW11))&gt;0)),$AV11,"")</f>
        <v/>
      </c>
      <c r="LA11" s="164">
        <f>IF(OR($W11="",(COUNTIF($EL$7:$EP$7,$W11)+COUNTIF($QV$7:$QY$7,$W11))&gt;0),$V11,"")</f>
        <v/>
      </c>
      <c r="LB11" s="164">
        <f>IF(AND($AF11=1,OR($W11="",(COUNTIF($EL$7:$EP$7,$W11)+COUNTIF($QV$7:$QY$7,$W11))&gt;0)),$V11,"")</f>
        <v/>
      </c>
      <c r="LD11" s="164">
        <f>IF(OR($AW11="",(COUNTIF($EL$8:$EP$8,$AW11)+COUNTIF($QV$8:$QY$8,$AW11))&gt;0),$AV11,"")</f>
        <v/>
      </c>
      <c r="LE11" s="164">
        <f>IF(AND($AX11=1,OR($AW11="",(COUNTIF($EL$8:$EP$8,$AW11)+COUNTIF($QV$8:$QY$8,$AW11))&gt;0)),$AV11,"")</f>
        <v/>
      </c>
      <c r="LG11" s="164">
        <f>IF(OR($W11="",(COUNTIF($EL$8:$EP$8,$W11)+COUNTIF($QV$8:$QY$8,$W11))&gt;0),$V11,"")</f>
        <v/>
      </c>
      <c r="LH11" s="164">
        <f>IF(AND($AF11=1,OR($W11="",(COUNTIF($EL$8:$EP$8,$W11)+COUNTIF($QV$8:$QY$8,$W11))&gt;0)),$V11,"")</f>
        <v/>
      </c>
      <c r="LJ11" s="164">
        <f>IF(OR($AW11="",(COUNTIF($EL$9:$EP$9,$AW11)+COUNTIF($QV$9:$QY$9,$AW11))&gt;0),$AV11,"")</f>
        <v/>
      </c>
      <c r="LK11" s="164">
        <f>IF(AND($AX11=1,OR($AW11="",(COUNTIF($EL$9:$EP$9,$AW11)+COUNTIF($QV$9:$QY$9,$AW11))&gt;0)),$AV11,"")</f>
        <v/>
      </c>
      <c r="LM11" s="164">
        <f>IF(OR($W11="",(COUNTIF($EL$9:$EP$9,$W11)+COUNTIF($QV$9:$QY$9,$W11))&gt;0),$V11,"")</f>
        <v/>
      </c>
      <c r="LN11" s="164">
        <f>IF(AND($AF11=1,OR($W11="",(COUNTIF($EL$9:$EP$9,$W11)+COUNTIF($QV$9:$QY$9,$W11))&gt;0)),$V11,"")</f>
        <v/>
      </c>
      <c r="LP11" s="164">
        <f>IF(OR($AW11="",(COUNTIF($EL$10:$EP$10,$AW11)+COUNTIF($QV$10:$QY$10,$AW11))&gt;0),$AV11,"")</f>
        <v/>
      </c>
      <c r="LQ11" s="164">
        <f>IF(AND($AX11=1,OR($AW11="",(COUNTIF($EL$10:$EP$10,$AW11)+COUNTIF($QV$10:$QY$10,$AW11))&gt;0)),$AV11,"")</f>
        <v/>
      </c>
      <c r="LS11" s="164">
        <f>IF(OR($W11="",(COUNTIF($EL$10:$EP$10,$W11)+COUNTIF($QV$10:$QY$10,$W11))&gt;0),$V11,"")</f>
        <v/>
      </c>
      <c r="LT11" s="164">
        <f>IF(AND($AF11=1,OR($W11="",(COUNTIF($EL$10:$EP$10,$W11)+COUNTIF($QV$10:$QY$10,$W11))&gt;0)),$V11,"")</f>
        <v/>
      </c>
      <c r="LV11" s="164">
        <f>IF(OR($AW11="",(COUNTIF($EL$11:$EP$11,$AW11)+COUNTIF($QV$11:$QY$11,$AW11))&gt;0),$AV11,"")</f>
        <v/>
      </c>
      <c r="LW11" s="164">
        <f>IF(AND($AX11=1,OR($AW11="",(COUNTIF($EL$11:$EP$11,$AW11)+COUNTIF($QV$11:$QY$11,$AW11))&gt;0)),$AV11,"")</f>
        <v/>
      </c>
      <c r="LY11" s="164">
        <f>IF(OR($W11="",(COUNTIF($EL$11:$EP$11,$W11)+COUNTIF($QV$11:$QY$11,$W11))&gt;0),$V11,"")</f>
        <v/>
      </c>
      <c r="LZ11" s="164">
        <f>IF(AND($AF11=1,OR($W11="",(COUNTIF($EL$11:$EP$11,$W11)+COUNTIF($QV$11:$QY$11,$W11))&gt;0)),$V11,"")</f>
        <v/>
      </c>
      <c r="MB11" s="164">
        <f>IF(OR($AW11="",(COUNTIF($EL$12:$EP$12,$AW11)+COUNTIF($QV$12:$QY$12,$AW11))&gt;0),$AV11,"")</f>
        <v/>
      </c>
      <c r="MC11" s="164">
        <f>IF(AND($AX11=1,OR($AW11="",(COUNTIF($EL$12:$EP$12,$AW11)+COUNTIF($QV$12:$QY$12,$AW11))&gt;0)),$AV11,"")</f>
        <v/>
      </c>
      <c r="ME11" s="164">
        <f>IF(OR($W11="",(COUNTIF($EL$12:$EP$12,$W11)+COUNTIF($QV$12:$QY$12,$W11))&gt;0),$V11,"")</f>
        <v/>
      </c>
      <c r="MF11" s="164">
        <f>IF(AND($AF11=1,OR($W11="",(COUNTIF($EL$12:$EP$12,$W11)+COUNTIF($QV$12:$QY$12,$W11))&gt;0)),$V11,"")</f>
        <v/>
      </c>
      <c r="MH11" s="164">
        <f>IF(OR($AW11="",(COUNTIF($EL$13:$EP$13,$AW11)+COUNTIF($QV$13:$QY$13,$AW11))&gt;0),$AV11,"")</f>
        <v/>
      </c>
      <c r="MI11" s="164">
        <f>IF(AND($AX11=1,OR($AW11="",(COUNTIF($EL$13:$EP$13,$AW11)+COUNTIF($QV$13:$QY$13,$AW11))&gt;0)),$AV11,"")</f>
        <v/>
      </c>
      <c r="MK11" s="164">
        <f>IF(OR($W11="",(COUNTIF($EL$13:$EP$13,$W11)+COUNTIF($QV$13:$QY$13,$W11))&gt;0),$V11,"")</f>
        <v/>
      </c>
      <c r="ML11" s="164">
        <f>IF(AND($AF11=1,OR($W11="",(COUNTIF($EL$13:$EP$13,$W11)+COUNTIF($QV$13:$QY$13,$W11))&gt;0)),$V11,"")</f>
        <v/>
      </c>
      <c r="MN11" s="162" t="inlineStr">
        <is>
          <t>Ficha 1 · Especial 8</t>
        </is>
      </c>
      <c r="MO11" s="164" t="n">
        <v>1</v>
      </c>
      <c r="MP11" s="164" t="n">
        <v>1</v>
      </c>
      <c r="MQ11" s="164" t="n">
        <v>28</v>
      </c>
      <c r="MR11" s="162" t="inlineStr">
        <is>
          <t>ESPECIAL 8</t>
        </is>
      </c>
      <c r="MS11" s="164">
        <f>MAX(1,MIN(7,N('INVOCAÇÕES'!$I$149)))</f>
        <v/>
      </c>
      <c r="MT11" s="164">
        <f>'INVOCAÇÕES'!$J$149&amp;""</f>
        <v/>
      </c>
      <c r="MU11" s="164">
        <f>'INVOCAÇÕES'!$I$154&amp;""</f>
        <v/>
      </c>
      <c r="MV11" s="164">
        <f>'INVOCAÇÕES'!$I$155&amp;""</f>
        <v/>
      </c>
      <c r="MW11" s="164">
        <f>'INVOCAÇÕES'!$K$155&amp;""</f>
        <v/>
      </c>
      <c r="MX11" s="164">
        <f>'INVOCAÇÕES'!$J$158&amp;""</f>
        <v/>
      </c>
      <c r="MY11" s="164">
        <f>'INVOCAÇÕES'!$J$159&amp;""</f>
        <v/>
      </c>
      <c r="MZ11" s="164">
        <f>'INVOCAÇÕES'!$J$160&amp;""</f>
        <v/>
      </c>
      <c r="NA11" s="164">
        <f>'INVOCAÇÕES'!$J$161&amp;""</f>
        <v/>
      </c>
      <c r="NB11" s="164">
        <f>'INVOCAÇÕES'!$J$162&amp;""</f>
        <v/>
      </c>
      <c r="NC11" s="164">
        <f>'INVOCAÇÕES'!$J$163&amp;""</f>
        <v/>
      </c>
      <c r="ND11" s="164">
        <f>IF($MT11&lt;&gt;"",1,0)</f>
        <v/>
      </c>
      <c r="NE11" s="164">
        <f>INDEX($FO$2:$FO$13,$MO11)</f>
        <v/>
      </c>
      <c r="NF11" s="164">
        <f>INDEX($FP$2:$FP$13,$MO11)</f>
        <v/>
      </c>
      <c r="NG11" s="164">
        <f>INDEX($FQ$2:$FQ$13,$MO11)</f>
        <v/>
      </c>
      <c r="NH11" s="164">
        <f>INDEX($GB$2:$GB$13,$MO11)</f>
        <v/>
      </c>
      <c r="NI11" s="164">
        <f>INDEX($GC$2:$GC$13,$MO11)</f>
        <v/>
      </c>
      <c r="NJ11" s="164">
        <f>IFERROR(MATCH(SUBSTITUTE(SUBSTITUTE(SUBSTITUTE($MU11,"~","~~"),"*","~*"),"?","~?"),'DADOS_FORMAS'!$FZ$2:$FZ$21,0),0)</f>
        <v/>
      </c>
      <c r="NK11" s="164">
        <f>IFERROR(VLOOKUP(SUBSTITUTE(SUBSTITUTE(SUBSTITUTE($MX11,"~","~~"),"*","~*"),"?","~?"),'DADOS_MELHORIAS'!$AG$2:$AL$113,2,FALSE),"")</f>
        <v/>
      </c>
      <c r="NL11" s="164">
        <f>IFERROR(VLOOKUP(SUBSTITUTE(SUBSTITUTE(SUBSTITUTE($MY11,"~","~~"),"*","~*"),"?","~?"),'DADOS_MELHORIAS'!$AG$2:$AL$113,2,FALSE),"")</f>
        <v/>
      </c>
      <c r="NM11" s="164">
        <f>IFERROR(VLOOKUP(SUBSTITUTE(SUBSTITUTE(SUBSTITUTE($MZ11,"~","~~"),"*","~*"),"?","~?"),'DADOS_MELHORIAS'!$AG$2:$AL$113,2,FALSE),"")</f>
        <v/>
      </c>
      <c r="NN11" s="164">
        <f>IFERROR(VLOOKUP(SUBSTITUTE(SUBSTITUTE(SUBSTITUTE($NA11,"~","~~"),"*","~*"),"?","~?"),'DADOS_MELHORIAS'!$AG$2:$AL$113,2,FALSE),"")</f>
        <v/>
      </c>
      <c r="NO11" s="164">
        <f>IFERROR(VLOOKUP(SUBSTITUTE(SUBSTITUTE(SUBSTITUTE($MX11,"~","~~"),"*","~*"),"?","~?"),'DADOS_MELHORIAS'!$AG$2:$AL$113,3,FALSE),0)</f>
        <v/>
      </c>
      <c r="NP11" s="164">
        <f>IFERROR(VLOOKUP(SUBSTITUTE(SUBSTITUTE(SUBSTITUTE($MY11,"~","~~"),"*","~*"),"?","~?"),'DADOS_MELHORIAS'!$AG$2:$AL$113,3,FALSE),0)</f>
        <v/>
      </c>
      <c r="NQ11" s="164">
        <f>IFERROR(VLOOKUP(SUBSTITUTE(SUBSTITUTE(SUBSTITUTE($MZ11,"~","~~"),"*","~*"),"?","~?"),'DADOS_MELHORIAS'!$AG$2:$AL$113,3,FALSE),0)</f>
        <v/>
      </c>
      <c r="NR11" s="164">
        <f>IFERROR(VLOOKUP(SUBSTITUTE(SUBSTITUTE(SUBSTITUTE($NA11,"~","~~"),"*","~*"),"?","~?"),'DADOS_MELHORIAS'!$AG$2:$AL$113,3,FALSE),0)</f>
        <v/>
      </c>
      <c r="NS11" s="164">
        <f>IF($MS11=0,0,IF($NJ11=0,0,INDEX('DADOS_FORMAS'!$GB$2:$GB$21,$NJ11)))</f>
        <v/>
      </c>
      <c r="NT11" s="164">
        <f>IF(OR($NO11=0,$MS11=0),0,$NO11+3*IF(AND($NK11&lt;&gt;"",COUNTIF(INDEX($RB$2:$RJ$13,$MO11,0),$NK11)&gt;0),1,0))</f>
        <v/>
      </c>
      <c r="NU11" s="164">
        <f>IF(OR($NP11=0,$MS11=0),0,$NP11+3*IF(AND($NL11&lt;&gt;"",COUNTIF(INDEX($RB$2:$RJ$13,$MO11,0),$NL11)&gt;0),1,0))</f>
        <v/>
      </c>
      <c r="NV11" s="164">
        <f>IF(OR($NQ11=0,$MS11=0),0,$NQ11+3*IF(AND($NM11&lt;&gt;"",COUNTIF(INDEX($RB$2:$RJ$13,$MO11,0),$NM11)&gt;0),1,0))</f>
        <v/>
      </c>
      <c r="NW11" s="164">
        <f>IF(OR($NR11=0,$MS11=0),0,$NR11+3*IF(AND($NN11&lt;&gt;"",COUNTIF(INDEX($RB$2:$RJ$13,$MO11,0),$NN11)&gt;0),1,0))</f>
        <v/>
      </c>
      <c r="NX11" s="164">
        <f>IF($NJ11=0,0,IF(INDEX('DADOS_FORMAS'!$GA$2:$GA$21,$NJ11)="",0,IF((COUNTIF(INDEX($EL$2:$EP$13,$MO11,0),INDEX('DADOS_FORMAS'!$GA$2:$GA$21,$NJ11))+COUNTIF(INDEX($QV$2:$QY$13,$MO11,0),INDEX('DADOS_FORMAS'!$GA$2:$GA$21,$NJ11)))=0,1,0)))</f>
        <v/>
      </c>
      <c r="NY11" s="164">
        <f>IF(OR($NO11=0,$NK11=""),0,IF((COUNTIF(INDEX($EL$2:$EP$13,$MO11,0),$NK11)+COUNTIF(INDEX($QV$2:$QY$13,$MO11,0),$NK11))=0,1,0))</f>
        <v/>
      </c>
      <c r="NZ11" s="164">
        <f>IF(OR($NP11=0,$NL11=""),0,IF((COUNTIF(INDEX($EL$2:$EP$13,$MO11,0),$NL11)+COUNTIF(INDEX($QV$2:$QY$13,$MO11,0),$NL11))=0,1,0))</f>
        <v/>
      </c>
      <c r="OA11" s="164">
        <f>IF(OR($NQ11=0,$NM11=""),0,IF((COUNTIF(INDEX($EL$2:$EP$13,$MO11,0),$NM11)+COUNTIF(INDEX($QV$2:$QY$13,$MO11,0),$NM11))=0,1,0))</f>
        <v/>
      </c>
      <c r="OB11" s="164">
        <f>IF(OR($NR11=0,$NN11=""),0,IF((COUNTIF(INDEX($EL$2:$EP$13,$MO11,0),$NN11)+COUNTIF(INDEX($QV$2:$QY$13,$MO11,0),$NN11))=0,1,0))</f>
        <v/>
      </c>
      <c r="OC11" s="164">
        <f>IFERROR(VLOOKUP(SUBSTITUTE(SUBSTITUTE(SUBSTITUTE($MX11,"~","~~"),"*","~*"),"?","~?"),'DADOS_MELHORIAS'!$AG$2:$AL$113,4,FALSE),0)+IFERROR(VLOOKUP(SUBSTITUTE(SUBSTITUTE(SUBSTITUTE($MY11,"~","~~"),"*","~*"),"?","~?"),'DADOS_MELHORIAS'!$AG$2:$AL$113,4,FALSE),0)+IFERROR(VLOOKUP(SUBSTITUTE(SUBSTITUTE(SUBSTITUTE($MZ11,"~","~~"),"*","~*"),"?","~?"),'DADOS_MELHORIAS'!$AG$2:$AL$113,4,FALSE),0)+IFERROR(VLOOKUP(SUBSTITUTE(SUBSTITUTE(SUBSTITUTE($NA11,"~","~~"),"*","~*"),"?","~?"),'DADOS_MELHORIAS'!$AG$2:$AL$113,4,FALSE),0)</f>
        <v/>
      </c>
      <c r="OD11" s="164">
        <f>IFERROR(VLOOKUP(SUBSTITUTE(SUBSTITUTE(SUBSTITUTE($MX11,"~","~~"),"*","~*"),"?","~?"),'DADOS_MELHORIAS'!$AG$2:$AL$113,6,FALSE),0)+IFERROR(VLOOKUP(SUBSTITUTE(SUBSTITUTE(SUBSTITUTE($MY11,"~","~~"),"*","~*"),"?","~?"),'DADOS_MELHORIAS'!$AG$2:$AL$113,6,FALSE),0)+IFERROR(VLOOKUP(SUBSTITUTE(SUBSTITUTE(SUBSTITUTE($MZ11,"~","~~"),"*","~*"),"?","~?"),'DADOS_MELHORIAS'!$AG$2:$AL$113,6,FALSE),0)+IFERROR(VLOOKUP(SUBSTITUTE(SUBSTITUTE(SUBSTITUTE($NA11,"~","~~"),"*","~*"),"?","~?"),'DADOS_MELHORIAS'!$AG$2:$AL$113,6,FALSE),0)+IFERROR(N(AND(INDEX('DADOS_FORMAS'!$AO$2:$AO$21,MATCH(SUBSTITUTE(SUBSTITUTE(SUBSTITUTE($MU11,"~","~~"),"*","~*"),"?","~?"),'DADOS_FORMAS'!$AH$2:$AH$21,0))="Acerto",$OH11=1)),0)</f>
        <v/>
      </c>
      <c r="OE11" s="164">
        <f>TEXTJOIN(", ",TRUE,IF(IFERROR(VLOOKUP(SUBSTITUTE(SUBSTITUTE(SUBSTITUTE($MX11,"~","~~"),"*","~*"),"?","~?"),'DADOS_MELHORIAS'!$AG$2:$AL$113,5,FALSE),0)=1,$MX11,""),IF(IFERROR(VLOOKUP(SUBSTITUTE(SUBSTITUTE(SUBSTITUTE($MY11,"~","~~"),"*","~*"),"?","~?"),'DADOS_MELHORIAS'!$AG$2:$AL$113,5,FALSE),0)=1,$MY11,""),IF(IFERROR(VLOOKUP(SUBSTITUTE(SUBSTITUTE(SUBSTITUTE($MZ11,"~","~~"),"*","~*"),"?","~?"),'DADOS_MELHORIAS'!$AG$2:$AL$113,5,FALSE),0)=1,$MZ11,""),IF(IFERROR(VLOOKUP(SUBSTITUTE(SUBSTITUTE(SUBSTITUTE($NA11,"~","~~"),"*","~*"),"?","~?"),'DADOS_MELHORIAS'!$AG$2:$AL$113,5,FALSE),0)=1,$NA11,""))</f>
        <v/>
      </c>
      <c r="OF11" s="164">
        <f>IF($NJ11=0,0,INDEX('DADOS_FORMAS'!$GC$2:$GC$21,$NJ11))</f>
        <v/>
      </c>
      <c r="OG11" s="164">
        <f>IF($NJ11=0,0,INDEX('DADOS_FORMAS'!$GD$2:$GD$21,$NJ11))</f>
        <v/>
      </c>
      <c r="OH11" s="164">
        <f>IF($NJ11=0,0,INDEX('DADOS_FORMAS'!$GF$2:$GF$21,$NJ11))</f>
        <v/>
      </c>
      <c r="OI11" s="164">
        <f>IFERROR(VLOOKUP(SUBSTITUTE(SUBSTITUTE(SUBSTITUTE($NB11,"~","~~"),"*","~*"),"?","~?"),'DADOS_RESTRICOES'!$M$2:$Q$54,3,FALSE),0)</f>
        <v/>
      </c>
      <c r="OJ11" s="164">
        <f>IFERROR(VLOOKUP(SUBSTITUTE(SUBSTITUTE(SUBSTITUTE($NC11,"~","~~"),"*","~*"),"?","~?"),'DADOS_RESTRICOES'!$M$2:$Q$54,3,FALSE),0)</f>
        <v/>
      </c>
      <c r="OK11" s="164">
        <f>IFERROR(VLOOKUP(SUBSTITUTE(SUBSTITUTE(SUBSTITUTE($NB11,"~","~~"),"*","~*"),"?","~?"),'DADOS_RESTRICOES'!$M$2:$Q$54,2,FALSE),"")</f>
        <v/>
      </c>
      <c r="OL11" s="164">
        <f>IFERROR(VLOOKUP(SUBSTITUTE(SUBSTITUTE(SUBSTITUTE($NC11,"~","~~"),"*","~*"),"?","~?"),'DADOS_RESTRICOES'!$M$2:$Q$54,2,FALSE),"")</f>
        <v/>
      </c>
      <c r="OM11" s="164">
        <f>COUNTIF($NS11:$NW11,1)</f>
        <v/>
      </c>
      <c r="ON11" s="164">
        <f>COUNTIF($NS11:$NW11,2)</f>
        <v/>
      </c>
      <c r="OO11" s="164">
        <f>COUNTIF($NS11:$NW11,3)</f>
        <v/>
      </c>
      <c r="OP11" s="164">
        <f>COUNTIF($NS11:$NW11,4)</f>
        <v/>
      </c>
      <c r="OQ11" s="164">
        <f>COUNTIF($NS11:$NW11,5)</f>
        <v/>
      </c>
      <c r="OR11" s="164">
        <f>COUNTIF($NS11:$NW11,6)</f>
        <v/>
      </c>
      <c r="OS11" s="164">
        <f>COUNTIF($OI11:$OJ11,1)+IF(IFERROR(INDEX('DADOS_FORMAS'!$AS$2:$AS$21,MATCH(SUBSTITUTE(SUBSTITUTE(SUBSTITUTE($MU11,"~","~~"),"*","~*"),"?","~?"),'DADOS_FORMAS'!$AH$2:$AH$21,0)),"")="",0,IFERROR(N(VLOOKUP(SUBSTITUTE(SUBSTITUTE(SUBSTITUTE(IFERROR(INDEX('DADOS_FORMAS'!$AS$2:$AS$21,MATCH(SUBSTITUTE(SUBSTITUTE(SUBSTITUTE($MU11,"~","~~"),"*","~*"),"?","~?"),'DADOS_FORMAS'!$AH$2:$AH$21,0)),""),"~","~~"),"*","~*"),"?","~?"),'DADOS_RESTRICOES'!$M$2:$Q$54,3,FALSE)=1),0))</f>
        <v/>
      </c>
      <c r="OT11" s="164">
        <f>COUNTIF($OI11:$OJ11,2)+IF(IFERROR(INDEX('DADOS_FORMAS'!$AS$2:$AS$21,MATCH(SUBSTITUTE(SUBSTITUTE(SUBSTITUTE($MU11,"~","~~"),"*","~*"),"?","~?"),'DADOS_FORMAS'!$AH$2:$AH$21,0)),"")="",0,IFERROR(N(VLOOKUP(SUBSTITUTE(SUBSTITUTE(SUBSTITUTE(IFERROR(INDEX('DADOS_FORMAS'!$AS$2:$AS$21,MATCH(SUBSTITUTE(SUBSTITUTE(SUBSTITUTE($MU11,"~","~~"),"*","~*"),"?","~?"),'DADOS_FORMAS'!$AH$2:$AH$21,0)),""),"~","~~"),"*","~*"),"?","~?"),'DADOS_RESTRICOES'!$M$2:$Q$54,3,FALSE)=2),0))</f>
        <v/>
      </c>
      <c r="OU11" s="164">
        <f>COUNTIF($MX11:$NA11,"?*")</f>
        <v/>
      </c>
      <c r="OV11" s="164">
        <f>COUNTIF($NB11:$NC11,"?*")+$OF11</f>
        <v/>
      </c>
      <c r="OW11" s="164">
        <f>IF($MS11=0,0,SUMPRODUCT($OM11:$OR11,INDEX($I$2:$N$8,MAX(1,$MS11),0)))</f>
        <v/>
      </c>
      <c r="OX11" s="164">
        <f>IF($MS11=0,0,$OS11*CEILING($MS11/2,1)+$OT11*$MS11)</f>
        <v/>
      </c>
      <c r="OY11" s="164">
        <f>MIN(2*$MS11,$OX11)</f>
        <v/>
      </c>
      <c r="OZ11" s="164">
        <f>MIN($OY11,$OW11-IF($NS11=0,0,INDEX($I$2:$N$8,MAX(1,$MS11),$NS11)))</f>
        <v/>
      </c>
      <c r="PA11" s="164">
        <f>$OY11-$OZ11</f>
        <v/>
      </c>
      <c r="PB11" s="164">
        <f>IF($MS11=0,0,INDEX($P$2:$P$8,MAX(1,$MS11)))</f>
        <v/>
      </c>
      <c r="PC11" s="164">
        <f>$PB11-$OW11+$OZ11</f>
        <v/>
      </c>
      <c r="PD11" s="164">
        <f>IF($MS11=0,MAX(0,$NG11-IF(AND($OU11&gt;0,COUNTIF($NB11:$NC11,"?*")=0),1,0)),MAX(0,$PC11))</f>
        <v/>
      </c>
      <c r="PE11" s="164">
        <f>IF($MS11=0,0,(IF(COUNTIF($RK11:$RN11,"Salto")&gt;0,1,0)+IF(COUNTIF($RK11:$RN11,"Queima")&gt;0,1,0)+IF(COUNTIF($RK11:$RN11,"Estilhaço")&gt;0,1,0))*FLOOR($PD11/2,1))</f>
        <v/>
      </c>
      <c r="PF11" s="164">
        <f>MAX(0,2-SUMPRODUCT($OM11:$OR11,$I$2:$N$2)+MIN(2,$OS11*1+$OT11*1,SUMPRODUCT($OM11:$OR11,$I$2:$N$2)-IF($NS11=0,0,INDEX($I$2:$N$2,1,$NS11))))</f>
        <v/>
      </c>
      <c r="PG11" s="164">
        <f>MAX(0,4-SUMPRODUCT($OM11:$OR11,$I$3:$N$3)+MIN(4,$OS11*1+$OT11*2,SUMPRODUCT($OM11:$OR11,$I$3:$N$3)-IF($NS11=0,0,INDEX($I$3:$N$3,1,$NS11))))</f>
        <v/>
      </c>
      <c r="PH11" s="164">
        <f>MAX(0,6-SUMPRODUCT($OM11:$OR11,$I$4:$N$4)+MIN(6,$OS11*2+$OT11*3,SUMPRODUCT($OM11:$OR11,$I$4:$N$4)-IF($NS11=0,0,INDEX($I$4:$N$4,1,$NS11))))</f>
        <v/>
      </c>
      <c r="PI11" s="164">
        <f>MAX(0,9-SUMPRODUCT($OM11:$OR11,$I$5:$N$5)+MIN(8,$OS11*2+$OT11*4,SUMPRODUCT($OM11:$OR11,$I$5:$N$5)-IF($NS11=0,0,INDEX($I$5:$N$5,1,$NS11))))</f>
        <v/>
      </c>
      <c r="PJ11" s="164">
        <f>MAX(0,11-SUMPRODUCT($OM11:$OR11,$I$6:$N$6)+MIN(10,$OS11*3+$OT11*5,SUMPRODUCT($OM11:$OR11,$I$6:$N$6)-IF($NS11=0,0,INDEX($I$6:$N$6,1,$NS11))))</f>
        <v/>
      </c>
      <c r="PK11" s="164">
        <f>MAX(0,13-SUMPRODUCT($OM11:$OR11,$I$7:$N$7)+MIN(12,$OS11*3+$OT11*6,SUMPRODUCT($OM11:$OR11,$I$7:$N$7)-IF($NS11=0,0,INDEX($I$7:$N$7,1,$NS11))))</f>
        <v/>
      </c>
      <c r="PL11" s="164">
        <f>MAX(0,16-SUMPRODUCT($OM11:$OR11,$I$8:$N$8)+MIN(14,$OS11*4+$OT11*7,SUMPRODUCT($OM11:$OR11,$I$8:$N$8)-IF($NS11=0,0,INDEX($I$8:$N$8,1,$NS11))))</f>
        <v/>
      </c>
      <c r="PM11" s="164">
        <f>IF($OG11=2,3*$PF11&amp;" de vida temp.",IF($OG11=3,"sem dano",IF($PF11=0,IF($OG11=1,"sem cura","sem dano"),IF($OG11=1,"cura ","")&amp;$PF11&amp;"d8")))</f>
        <v/>
      </c>
      <c r="PN11" s="164">
        <f>IF($OG11=2,3*$PG11&amp;" de vida temp.",IF($OG11=3,"sem dano",IF($PG11=0,IF($OG11=1,"sem cura","sem dano"),IF($OG11=1,"cura ","")&amp;$PG11&amp;"d8")))</f>
        <v/>
      </c>
      <c r="PO11" s="164">
        <f>IF($OG11=2,3*$PH11&amp;" de vida temp.",IF($OG11=3,"sem dano",IF($PH11=0,IF($OG11=1,"sem cura","sem dano"),IF($OG11=1,"cura ","")&amp;$PH11&amp;"d8")))</f>
        <v/>
      </c>
      <c r="PP11" s="164">
        <f>IF($OG11=2,3*$PI11&amp;" de vida temp.",IF($OG11=3,"sem dano",IF($PI11=0,IF($OG11=1,"sem cura","sem dano"),IF($OG11=1,"cura ","")&amp;$PI11&amp;"d8")))</f>
        <v/>
      </c>
      <c r="PQ11" s="164">
        <f>IF($OG11=2,3*$PJ11&amp;" de vida temp.",IF($OG11=3,"sem dano",IF($PJ11=0,IF($OG11=1,"sem cura","sem dano"),IF($OG11=1,"cura ","")&amp;$PJ11&amp;"d8")))</f>
        <v/>
      </c>
      <c r="PR11" s="164">
        <f>IF($OG11=2,3*$PK11&amp;" de vida temp.",IF($OG11=3,"sem dano",IF($PK11=0,IF($OG11=1,"sem cura","sem dano"),IF($OG11=1,"cura ","")&amp;$PK11&amp;"d8")))</f>
        <v/>
      </c>
      <c r="PS11" s="164">
        <f>IF($OG11=2,3*$PL11&amp;" de vida temp.",IF($OG11=3,"sem dano",IF($PL11=0,IF($OG11=1,"sem cura","sem dano"),IF($OG11=1,"cura ","")&amp;$PL11&amp;"d8")))</f>
        <v/>
      </c>
      <c r="PT11" s="164">
        <f>IF($ND11=0,"",TEXTJOIN(" · ",TRUE,IF($ND11=0,"",TEXTJOIN(" · ",TRUE,IF($ND11=0,"",TEXTJOIN(" · ",TRUE,IF($MQ11&gt;$NE11,"Este lugar abre no nível "&amp;$MQ11,""),IF($MS11&gt;$NF11,"Classe "&amp;$MS11&amp;": o nível "&amp;$NE11&amp;" libera até a "&amp;$NF11,""),IF($NX11=1,"A Forma "&amp;$MU11&amp;" pede "&amp;INDEX('DADOS_FORMAS'!$GA$2:$GA$21,$NJ11)&amp;" aberta",""),IF(AND($MS11=0,$NJ11&gt;0,IF($NJ11=0,0,INDEX('DADOS_FORMAS'!$GJ$2:$GJ$21,$NJ11))=0),$MU11&amp;" não existe na Classe 0",""),IF($NY11=1,"Família Fechada: "&amp;$MX11,""),IF($NZ11=1,"Família Fechada: "&amp;$MY11,""),IF($OA11=1,"Família Fechada: "&amp;$MZ11,""),IF($OB11=1,"Família Fechada: "&amp;$NA11,""),IF(AND($MS11&gt;0,$OU11&gt;INDEX($O$2:$O$8,MAX(1,$MS11))),$OU11&amp;" Melhorias: a Classe "&amp;$MS11&amp;" aceita "&amp;INDEX($O$2:$O$8,MAX(1,$MS11)),""),IF(AND($MS11=0,$OU11&gt;1),"A básica aceita uma Melhoria",""),IF(AND($MS11=0,COUNTIF($NO11:$NR11,"&gt;1")&gt;0),"A básica só aceita Melhoria Leve",""),IF(AND($MS11&gt;0,$OV11&gt;2),$OV11&amp;" Restrições"&amp;IF($OF11=1,", contando a que a Forma "&amp;$MU11&amp;" já traz","")&amp;": o limite é 2",""),IF(AND($MS11=0,COUNTIF($NB11:$NC11,"?*")&gt;1),"A básica aceita uma Restrição Leve",""),IF(AND($MS11=0,COUNTIF($OI11:$OJ11,2)&gt;0),"A básica só aceita Restrição Leve",""),IF(AND($MS11&gt;0,$PC11&lt;0),"Orçamento estourado: faltam "&amp;(-$PC11)&amp;IF($PC11&lt;-1," pontos"," ponto"),""),IF(IFERROR(VLOOKUP(SUBSTITUTE(SUBSTITUTE(SUBSTITUTE($NB11,"~","~~"),"*","~*"),"?","~?"),'DADOS_RESTRICOES'!$M$2:$Q$54,4,FALSE),0)+IFERROR(VLOOKUP(SUBSTITUTE(SUBSTITUTE(SUBSTITUTE($NC11,"~","~~"),"*","~*"),"?","~?"),'DADOS_RESTRICOES'!$M$2:$Q$54,4,FALSE),0)&gt;1,$OK11&amp;" e "&amp;$OL11&amp;" são as duas de frequência",""),IF(AND((COUNTIF($RK11:$RN11,"Rápido")+COUNTIF($OK11:$OL11,"Rápido"))&gt;0,(COUNTIF($MX11:$NA11,"Atrasar")+COUNTIF($OK11:$OL11,"Atrasar"))&gt;0),"Rápido não entra com Atrasar",""),IF(AND((COUNTIF($RK11:$RN11,"Reação")+COUNTIF($OK11:$OL11,"Reação"))&gt;0,(COUNTIF($RK11:$RN11,"Rápido")+COUNTIF($OK11:$OL11,"Rápido"))&gt;0),"Reação não entra com Rápido",""),IF(AND((COUNTIF($RK11:$RN11,"Reação")+COUNTIF($OK11:$OL11,"Reação"))&gt;0,(COUNTIF($RK11:$RN11,"Armado")+COUNTIF($OK11:$OL11,"Armado"))&gt;0),"Reação não entra com Armado",""),IF(AND((COUNTIF($RK11:$RN11,"Reação")+COUNTIF($OK11:$OL11,"Reação"))&gt;0,(COUNTIF($MX11:$NA11,"Atrasar")+COUNTIF($OK11:$OL11,"Atrasar"))&gt;0),"Reação não entra com Atrasar",""),IF(AND((COUNTIF($RK11:$RN11,"Reação")+COUNTIF($OK11:$OL11,"Reação"))&gt;0,(COUNTIF($MX11:$NA11,"Parado")+COUNTIF($OK11:$OL11,"Parado"))&gt;0),"Reação não entra com Parado",""),IF(AND((COUNTIF($MX11:$NA11,"Atrasar")+COUNTIF($OK11:$OL11,"Atrasar"))&gt;0,(COUNTIF($MX11:$NA11,"Parado")+COUNTIF($OK11:$OL11,"Parado"))&gt;0),"Atrasar não entra com Parado",""),IF(AND((COUNTIF($RK11:$RN11,"Armado")+COUNTIF($OK11:$OL11,"Armado"))&gt;0,(COUNTIF($MX11:$NA11,"Carregar")+COUNTIF($OK11:$OL11,"Carregar"))&gt;0),"Armado não entra com Carregar",""),IF(AND(COUNTIF($OK11:$OL11,"Corpo a Corpo")&gt;0,$OF11=0,OR($RO11="Cone",$RO11="Linha")),"Corpo a Corpo não entra em "&amp;$MU11,""),IF(AND(COUNTIF($OK11:$OL11,"Corpo a Corpo")&gt;0,$RP11="Corpo a Corpo"),"A Forma "&amp;$MU11&amp;" já traz o Corpo a Corpo",""),IF(AND(COUNTIF($OK11:$OL11,"Tudo ou Nada")&gt;0,$OH11=0),"Tudo ou Nada só entra em habilidade de Teste de Resistência",""),IF(AND(COUNTIF($RK11:$RN11,"Inescapável")&gt;0,OR($OU11&gt;1,$OV11&gt;0)),"Inescapável não aceita outra peça",""),IF(AND($MS11&gt;0,$PD11*IF(COUNTIF($RK11:$RN11,"Remate")&gt;0,1.25,1)+$PE11&gt;4*$MS11),($PD11*IF(COUNTIF($RK11:$RN11,"Remate")&gt;0,1.25,1)+$PE11)&amp;" dados somando repetições"&amp;IF(COUNTIF($RK11:$RN11,"Remate")&gt;0," e o Remate","")&amp;": o teto da Classe "&amp;$MS11&amp;" é "&amp;4*$MS11,""))),IF(AND($MX11&lt;&gt;"",COUNTIF('DADOS_MELHORIAS'!$O$2:$O$113,SUBSTITUTE(SUBSTITUTE(SUBSTITUTE($MX11,"~","~~"),"*","~*"),"?","~?"))=0),"Melhoria não cadastrada ou com erro: "&amp;$MX11,""),IF(AND($MY11&lt;&gt;"",COUNTIF('DADOS_MELHORIAS'!$O$2:$O$113,SUBSTITUTE(SUBSTITUTE(SUBSTITUTE($MY11,"~","~~"),"*","~*"),"?","~?"))=0),"Melhoria não cadastrada ou com erro: "&amp;$MY11,""),IF(AND($MZ11&lt;&gt;"",COUNTIF('DADOS_MELHORIAS'!$O$2:$O$113,SUBSTITUTE(SUBSTITUTE(SUBSTITUTE($MZ11,"~","~~"),"*","~*"),"?","~?"))=0),"Melhoria não cadastrada ou com erro: "&amp;$MZ11,""),IF(AND($NA11&lt;&gt;"",COUNTIF('DADOS_MELHORIAS'!$O$2:$O$113,SUBSTITUTE(SUBSTITUTE(SUBSTITUTE($NA11,"~","~~"),"*","~*"),"?","~?"))=0),"Melhoria não cadastrada ou com erro: "&amp;$NA11,""),IF(AND($NB11&lt;&gt;"",COUNTIF('DADOS_RESTRICOES'!$M$2:$M$54,SUBSTITUTE(SUBSTITUTE(SUBSTITUTE($NB11,"~","~~"),"*","~*"),"?","~?"))=0),"Restrição não cadastrada ou com erro: "&amp;$NB11,""),IF(AND($NC11&lt;&gt;"",COUNTIF('DADOS_RESTRICOES'!$M$2:$M$54,SUBSTITUTE(SUBSTITUTE(SUBSTITUTE($NC11,"~","~~"),"*","~*"),"?","~?"))=0),"Restrição não cadastrada ou com erro: "&amp;$NC11,""))),IF(AND($MU11&lt;&gt;"",COUNTIF('DADOS_FORMAS'!$AH$2:$AH$21,SUBSTITUTE(SUBSTITUTE(SUBSTITUTE($MU11,"~","~~"),"*","~*"),"?","~?"))=0),"Forma não cadastrada ou com erro: "&amp;$MU11,""),IF(AND(IFERROR(INDEX('DADOS_FORMAS'!$AS$2:$AS$21,MATCH(SUBSTITUTE(SUBSTITUTE(SUBSTITUTE($MU11,"~","~~"),"*","~*"),"?","~?"),'DADOS_FORMAS'!$AH$2:$AH$21,0)),"")&lt;&gt;"",OR(IFERROR(VLOOKUP(SUBSTITUTE(SUBSTITUTE(SUBSTITUTE(IFERROR(INDEX('DADOS_FORMAS'!$AS$2:$AS$21,MATCH(SUBSTITUTE(SUBSTITUTE(SUBSTITUTE($MU11,"~","~~"),"*","~*"),"?","~?"),'DADOS_FORMAS'!$AH$2:$AH$21,0)),""),"~","~~"),"*","~*"),"?","~?"),'DADOS_RESTRICOES'!$M$2:$Q$54,2,FALSE),"")=$OK11,IFERROR(VLOOKUP(SUBSTITUTE(SUBSTITUTE(SUBSTITUTE(IFERROR(INDEX('DADOS_FORMAS'!$AS$2:$AS$21,MATCH(SUBSTITUTE(SUBSTITUTE(SUBSTITUTE($MU11,"~","~~"),"*","~*"),"?","~?"),'DADOS_FORMAS'!$AH$2:$AH$21,0)),""),"~","~~"),"*","~*"),"?","~?"),'DADOS_RESTRICOES'!$M$2:$Q$54,2,FALSE),"")=$OL11)),"Restrição repetida, contando a embutida",""),IF(IF(IFERROR(INDEX('DADOS_FORMAS'!$AS$2:$AS$21,MATCH(SUBSTITUTE(SUBSTITUTE(SUBSTITUTE($MU11,"~","~~"),"*","~*"),"?","~?"),'DADOS_FORMAS'!$AH$2:$AH$21,0)),"")="",0,IFERROR(N(VLOOKUP(SUBSTITUTE(SUBSTITUTE(SUBSTITUTE(IFERROR(INDEX('DADOS_FORMAS'!$AS$2:$AS$21,MATCH(SUBSTITUTE(SUBSTITUTE(SUBSTITUTE($MU11,"~","~~"),"*","~*"),"?","~?"),'DADOS_FORMAS'!$AH$2:$AH$21,0)),""),"~","~~"),"*","~*"),"?","~?"),'DADOS_RESTRICOES'!$M$2:$Q$54,4,FALSE)=1),0))+IF($NB11="",0,IFERROR(N(VLOOKUP(SUBSTITUTE(SUBSTITUTE(SUBSTITUTE($NB11,"~","~~"),"*","~*"),"?","~?"),'DADOS_RESTRICOES'!$M$2:$Q$54,4,FALSE)=1),0))+IF($NC11="",0,IFERROR(N(VLOOKUP(SUBSTITUTE(SUBSTITUTE(SUBSTITUTE($NC11,"~","~~"),"*","~*"),"?","~?"),'DADOS_RESTRICOES'!$M$2:$Q$54,4,FALSE)=1),0))&gt;1,"Duas Restrições de frequência, contando a embutida",""),IF(AND(IFERROR(VLOOKUP(SUBSTITUTE(SUBSTITUTE(SUBSTITUTE(IFERROR(INDEX('DADOS_FORMAS'!$AS$2:$AS$21,MATCH(SUBSTITUTE(SUBSTITUTE(SUBSTITUTE($MU11,"~","~~"),"*","~*"),"?","~?"),'DADOS_FORMAS'!$AH$2:$AH$21,0)),""),"~","~~"),"*","~*"),"?","~?"),'DADOS_RESTRICOES'!$M$2:$Q$54,2,FALSE),"")="Tudo ou Nada",$OH11=0),"Tudo ou Nada exige TR",""),IF(AND(IFERROR(VLOOKUP(SUBSTITUTE(SUBSTITUTE(SUBSTITUTE(IFERROR(INDEX('DADOS_FORMAS'!$AS$2:$AS$21,MATCH(SUBSTITUTE(SUBSTITUTE(SUBSTITUTE($MU11,"~","~~"),"*","~*"),"?","~?"),'DADOS_FORMAS'!$AH$2:$AH$21,0)),""),"~","~~"),"*","~*"),"?","~?"),'DADOS_RESTRICOES'!$M$2:$Q$54,2,FALSE),"")="Corpo a Corpo",OR($RO11="Cone",$RO11="Linha")),"Corpo a Corpo não entra em Cone/Linha","")))</f>
        <v/>
      </c>
      <c r="PU11" s="164">
        <f>IF($PT11="",0,(LEN($PT11)-LEN(SUBSTITUTE($PT11," · ","")))/3+1)</f>
        <v/>
      </c>
      <c r="PV11" s="164">
        <f>IF($ND11=0,"",TEXTJOIN(" · ",TRUE,IF($OX11&gt;2*$MS11,"A devolução parou no teto de "&amp;2*$MS11,""),IF($PA11&gt;0,"Devolução perdida: "&amp;$PA11&amp;IF($PA11&gt;1," pontos"," ponto")&amp;" sem Melhoria para pagar",""),IF(AND($OC11&gt;0,AND($MS11&gt;0,$OG11=0),$PD11=0),"Controle sem dano: uma rodada a mais e CD +2",""),IF(AND($OC11&gt;0,AND($MS11&gt;0,$OG11=0),$PD11&gt;0,$PD11&lt;=$MS11),"Controle com saldo até a Classe: uma rodada a mais",""),IF(AND($MS11&gt;0,$OE11&lt;&gt;""),"Efeito de "&amp;$OE11&amp;" pela Classe "&amp;MAX(1,$MS11-1),"")))</f>
        <v/>
      </c>
      <c r="PW11" s="164">
        <f>IF($PV11="",0,(LEN($PV11)-LEN(SUBSTITUTE($PV11," · ","")))/3+1)</f>
        <v/>
      </c>
      <c r="PX11" s="164">
        <f>IF($ND11=0,IF($OU11+COUNTIF($NB11:$NC11,"?*")&gt;0,"Dê um nome",""),IF($PU11&gt;0,"⚠ "&amp;$PU11&amp;IF($PU11&gt;1," erros"," erro"),IF($PW11&gt;0,"! "&amp;$PW11&amp;IF($PW11&gt;1," avisos"," aviso"),"Na regra")))</f>
        <v/>
      </c>
      <c r="PY11" s="164">
        <f>IF($ND11=0,"",IF($PU11+$PW11=0,"Dentro das regras que a ficha confere",$PT11&amp;IF(AND($PU11&gt;0,$PW11&gt;0)," · ","")&amp;$PV11))</f>
        <v/>
      </c>
      <c r="PZ11" s="164">
        <f>IF($MQ11&gt;$NE11,$MR11&amp;" · ABRE NO NÍVEL "&amp;$MQ11,$MR11)</f>
        <v/>
      </c>
      <c r="QA11" s="164">
        <f>IF($ND11=0,"",IF($MS11=0,"Sem PE",3*$MS11&amp;" PE"))</f>
        <v/>
      </c>
      <c r="QB11" s="164">
        <f>IF($ND11=0,"",IF($MS11=0,"A atuação básica dela",IF(COUNTIF($RQ11:$RS11,"Atrasar")&gt;0,"Sua Ação Completa",IF(COUNTIF($RK11:$RN11,"Rápido")&gt;0,"Sua Bônus",IF(COUNTIF($RK11:$RN11,"Reação")&gt;0,"Sua Reação","Sua Padrão")))&amp;" + a básica dela"&amp;IF(COUNTIF($RK11:$RN11,"Reação")&gt;0," e a coletiva","")&amp;IF(COUNTIF($RQ11:$RS11,"Carregar")&gt;0," · em dois turnos","")))</f>
        <v/>
      </c>
      <c r="QC11" s="164">
        <f>IF($MW11&lt;&gt;"",$MW11,IF($NJ11=0,"",INDEX('DADOS_FORMAS'!$GE$2:$GE$21,$NJ11)))</f>
        <v/>
      </c>
      <c r="QD11" s="164">
        <f>IF(OR($ND11=0,$NJ11=0),"",IF(COUNTIF($RK11:$RN11,"Inescapável")&gt;0,"Automático",IF($QC11="Ataque",IF($NH11="","Ataque","Ataque "&amp;IF(($NH11+2*IF(COUNTIF($RK11:$RN11,"Precisão")&gt;0,1,0))&gt;=0,"+","−")&amp;ABS(($NH11+2*IF(COUNTIF($RK11:$RN11,"Precisão")&gt;0,1,0))))&amp;IF($OD11&gt;0," · TR"&amp;IF($NI11="",""," CD "&amp;$NI11),""),IF(LEFT($QC11,2)="TR",$QC11&amp;IF($NI11="",""," · CD "&amp;$NI11)&amp;IF(COUNTIF($RK11:$RN11,"Certeiro")&gt;0," · metade",""),"Sem rolagem"))))</f>
        <v/>
      </c>
      <c r="QE11" s="164">
        <f>IF(OR($ND11=0,$NJ11=0),"",IF($MS11=0,IF(OR($OG11&gt;=1,$PD11=0),"Sem dano",$PD11&amp;"d6"&amp;IF($MV11="",""," "&amp;$MV11)),IF(OR($OG11&gt;=1,$PD11=0),UPPER(LEFT(INDEX($PM11:$PS11,1,MAX(1,$MS11)),1))&amp;MID(INDEX($PM11:$PS11,1,MAX(1,$MS11)),2,99),UPPER(LEFT(INDEX($PM11:$PS11,1,MAX(1,$MS11)),1))&amp;MID(INDEX($PM11:$PS11,1,MAX(1,$MS11)),2,99)&amp;IF($MV11="",""," "&amp;$MV11)&amp;IF($PE11&gt;0," · +"&amp;$PE11&amp;"d8",""))))</f>
        <v/>
      </c>
      <c r="QF11" s="164">
        <f>COUNTIF($RK11:$RN11,"Longe")+3*COUNTIF($RK11:$RN11,"Muito Longe")</f>
        <v/>
      </c>
      <c r="QG11" s="164">
        <f>COUNTIF($RK11:$RN11,"Maior")+3*COUNTIF($RK11:$RN11,"Muito Maior")</f>
        <v/>
      </c>
      <c r="QH11" s="164">
        <f>IF($NJ11=0,0,CHOOSE(1+INDEX('DADOS_FORMAS'!$GG$2:$GG$21,$NJ11),0,$QF11,$QG11,$QF11+$QG11))</f>
        <v/>
      </c>
      <c r="QI11" s="164">
        <f>IF($NJ11=0,0,CHOOSE(1+INDEX('DADOS_FORMAS'!$GH$2:$GH$21,$NJ11),0,$QF11,$QG11,$QF11+$QG11))</f>
        <v/>
      </c>
      <c r="QJ11" s="164">
        <f>IF(OR($ND11=0,$NJ11=0),"",INDEX('DADOS_FORMAS'!$HU$2:$HZ$81,($NJ11-1)*4+IF($MS11=0,1,IF($MS11&lt;=5,2,IF($MS11=6,3,4))),1+MIN(5,$QH11))&amp;INDEX('DADOS_FORMAS'!$IA$2:$IF$81,($NJ11-1)*4+IF($MS11=0,1,IF($MS11&lt;=5,2,IF($MS11=6,3,4))),1+MIN(5,$QI11))&amp;IF(INDEX('DADOS_FORMAS'!$GI$2:$GI$21,$NJ11)=1,IF(COUNTIF($RK11:$RN11,"Mais Um")&gt;0," · +"&amp;COUNTIF($RK11:$RN11,"Mais Um")&amp;IF(COUNTIF($RK11:$RN11,"Mais Um")&gt;1," alvos"," alvo"),"")&amp;IF(COUNTIF($RK11:$RN11,"Rajada")&gt;0,IF($MS11=0," · 1 tiro"," · "&amp;(MAX(1,$MS11-1)+1)&amp;" tiros"),""),""))</f>
        <v/>
      </c>
      <c r="QK11" s="164">
        <f>IF($ND11=0,"",IF($MS11=0,$NG11&amp;"d6"&amp;IF($OU11&gt;0," − 1 = "&amp;$PD11&amp;"d6"," da básica do nível "&amp;$NE11),$PB11&amp;" − "&amp;$OW11&amp;" + "&amp;$OZ11&amp;" = "&amp;$PC11&amp;" · teto "&amp;4*$MS11&amp;"d8"&amp;IF($OF11=1," · a Forma devolve "&amp;$MS11,"")&amp;IF($PA11&gt;0," · perde "&amp;$PA11,"")))</f>
        <v/>
      </c>
      <c r="QL11" s="164">
        <f>IF($ND11=0,"",IF($MS11=0,"A básica não amplia: os dados dela sobem com o nível",IF($MS11&gt;=$NF11,"Já está na maior Classe que o nível liberou",TEXTJOIN(" · ",TRUE,IF(AND(2&gt;$MS11,2&lt;=$NF11),"2 → "&amp;$PN11&amp;", 6 PE",""),IF(AND(3&gt;$MS11,3&lt;=$NF11),"3 → "&amp;$PO11&amp;", 9 PE",""),IF(AND(4&gt;$MS11,4&lt;=$NF11),"4 → "&amp;$PP11&amp;", 12 PE",""),IF(AND(5&gt;$MS11,5&lt;=$NF11),"5 → "&amp;$PQ11&amp;", 15 PE",""),IF(AND(6&gt;$MS11,6&lt;=$NF11),"6 → "&amp;$PR11&amp;", 18 PE",""),IF(AND(7&gt;$MS11,7&lt;=$NF11),"7 → "&amp;$PS11&amp;", 21 PE","")))))</f>
        <v/>
      </c>
      <c r="QM11" s="164">
        <f>IF(OR($ND11=0,$NO11=0),"",IF($MS11=0,"−1 dado","−"&amp;INDEX($I$2:$N$8,MAX(1,$MS11),MAX(1,$NT11))&amp;" · "&amp;CHOOSE(MAX(1,$NT11),"Leve","Média","Pesada","Leve · Livre","Média · Livre","Pesada · Livre")))</f>
        <v/>
      </c>
      <c r="QN11" s="164">
        <f>IF(OR($ND11=0,$NP11=0),"",IF($MS11=0,"−1 dado","−"&amp;INDEX($I$2:$N$8,MAX(1,$MS11),MAX(1,$NU11))&amp;" · "&amp;CHOOSE(MAX(1,$NU11),"Leve","Média","Pesada","Leve · Livre","Média · Livre","Pesada · Livre")))</f>
        <v/>
      </c>
      <c r="QO11" s="164">
        <f>IF(OR($ND11=0,$NQ11=0),"",IF($MS11=0,"−1 dado","−"&amp;INDEX($I$2:$N$8,MAX(1,$MS11),MAX(1,$NV11))&amp;" · "&amp;CHOOSE(MAX(1,$NV11),"Leve","Média","Pesada","Leve · Livre","Média · Livre","Pesada · Livre")))</f>
        <v/>
      </c>
      <c r="QP11" s="164">
        <f>IF(OR($ND11=0,$NR11=0),"",IF($MS11=0,"−1 dado","−"&amp;INDEX($I$2:$N$8,MAX(1,$MS11),MAX(1,$NW11))&amp;" · "&amp;CHOOSE(MAX(1,$NW11),"Leve","Média","Pesada","Leve · Livre","Média · Livre","Pesada · Livre")))</f>
        <v/>
      </c>
      <c r="QQ11" s="164">
        <f>IF(OR($ND11=0,$NB11=""),"",IF($MS11=0,"não devolve","+"&amp;IF($OI11=1,CEILING($MS11/2,1),$MS11)))</f>
        <v/>
      </c>
      <c r="QR11" s="164">
        <f>IF(OR($ND11=0,$NC11=""),"",IF($MS11=0,"não devolve","+"&amp;IF($OJ11=1,CEILING($MS11/2,1),$MS11)))</f>
        <v/>
      </c>
      <c r="QV11">
        <f>'INVOCAÇÕES'!$AH$683&amp;""</f>
        <v/>
      </c>
      <c r="QW11">
        <f>'INVOCAÇÕES'!$AI$683&amp;""</f>
        <v/>
      </c>
      <c r="QX11">
        <f>'INVOCAÇÕES'!$AJ$683&amp;""</f>
        <v/>
      </c>
      <c r="QY11">
        <f>'INVOCAÇÕES'!$AK$683&amp;""</f>
        <v/>
      </c>
      <c r="QZ11">
        <f>IF('INVOCAÇÕES'!$AD$683="","Autônoma",'INVOCAÇÕES'!$AD$683)</f>
        <v/>
      </c>
      <c r="RA11">
        <f>IF(DADOS_INVOC!$DB$4="Invocação Principal",'CONFIGURAÇÃO'!$H$144,IF(OR(DADOS_INVOC!$DB$4="Parceria",DADOS_INVOC!$DB$4="Múltiplas Invocações"),'CONFIGURAÇÃO'!$H$142,'CONFIGURAÇÃO'!$H$140))+IF($QZ$11="Não autônoma",'CONFIGURAÇÃO'!$H$145,0)</f>
        <v/>
      </c>
      <c r="RB11">
        <f>IF($RA$11&gt;=1,$EL$11,"")</f>
        <v/>
      </c>
      <c r="RC11">
        <f>IF($RA$11&gt;=2,$EM$11,"")</f>
        <v/>
      </c>
      <c r="RD11">
        <f>IF($RA$11&gt;=7,$EN$11,"")</f>
        <v/>
      </c>
      <c r="RE11">
        <f>IF($RA$11&gt;=8,$EO$11,"")</f>
        <v/>
      </c>
      <c r="RF11">
        <f>IF($RA$11&gt;=9,$EP$11,"")</f>
        <v/>
      </c>
      <c r="RG11">
        <f>IF($RA$11&gt;=3,$QV$11,"")</f>
        <v/>
      </c>
      <c r="RH11">
        <f>IF($RA$11&gt;=4,$QW$11,"")</f>
        <v/>
      </c>
      <c r="RI11">
        <f>IF($RA$11&gt;=5,$QX$11,"")</f>
        <v/>
      </c>
      <c r="RJ11">
        <f>IF($RA$11&gt;=6,$QY$11,"")</f>
        <v/>
      </c>
      <c r="RK11">
        <f>IF($MX11="","",IFERROR(VLOOKUP(SUBSTITUTE(SUBSTITUTE(SUBSTITUTE($MX11,"~","~~"),"*","~*"),"?","~?"),'DADOS_MELHORIAS'!$O$2:$X$113,10,FALSE),$MX11))</f>
        <v/>
      </c>
      <c r="RL11">
        <f>IF($MY11="","",IFERROR(VLOOKUP(SUBSTITUTE(SUBSTITUTE(SUBSTITUTE($MY11,"~","~~"),"*","~*"),"?","~?"),'DADOS_MELHORIAS'!$O$2:$X$113,10,FALSE),$MY11))</f>
        <v/>
      </c>
      <c r="RM11">
        <f>IF($MZ11="","",IFERROR(VLOOKUP(SUBSTITUTE(SUBSTITUTE(SUBSTITUTE($MZ11,"~","~~"),"*","~*"),"?","~?"),'DADOS_MELHORIAS'!$O$2:$X$113,10,FALSE),$MZ11))</f>
        <v/>
      </c>
      <c r="RN11">
        <f>IF($NA11="","",IFERROR(VLOOKUP(SUBSTITUTE(SUBSTITUTE(SUBSTITUTE($NA11,"~","~~"),"*","~*"),"?","~?"),'DADOS_MELHORIAS'!$O$2:$X$113,10,FALSE),$NA11))</f>
        <v/>
      </c>
      <c r="RO11">
        <f>IFERROR(INDEX('DADOS_FORMAS'!$BJ$2:$BJ$21,MATCH(SUBSTITUTE(SUBSTITUTE(SUBSTITUTE($MU11,"~","~~"),"*","~*"),"?","~?"),'DADOS_FORMAS'!$AH$2:$AH$21,0)),"")</f>
        <v/>
      </c>
      <c r="RP11">
        <f>IFERROR(VLOOKUP(SUBSTITUTE(SUBSTITUTE(SUBSTITUTE(IFERROR(INDEX('DADOS_FORMAS'!$AS$2:$AS$21,MATCH(SUBSTITUTE(SUBSTITUTE(SUBSTITUTE($MU11,"~","~~"),"*","~*"),"?","~?"),'DADOS_FORMAS'!$AH$2:$AH$21,0)),""),"~","~~"),"*","~*"),"?","~?"),'DADOS_RESTRICOES'!$M$2:$Q$54,2,FALSE),"")</f>
        <v/>
      </c>
      <c r="RQ11">
        <f>$OK11</f>
        <v/>
      </c>
      <c r="RR11">
        <f>$OL11</f>
        <v/>
      </c>
      <c r="RS11">
        <f>$RP11</f>
        <v/>
      </c>
    </row>
    <row r="12">
      <c r="AH12" s="162" t="inlineStr">
        <is>
          <t>Explosão · classe 6</t>
        </is>
      </c>
      <c r="AI12" s="162" t="inlineStr">
        <is>
          <t>Raio 3 m</t>
        </is>
      </c>
      <c r="AJ12" s="162" t="inlineStr">
        <is>
          <t>Raio 4,5 m</t>
        </is>
      </c>
      <c r="AK12" s="162" t="inlineStr">
        <is>
          <t>Raio 6 m</t>
        </is>
      </c>
      <c r="AL12" s="162" t="inlineStr">
        <is>
          <t>Raio 9 m</t>
        </is>
      </c>
      <c r="AM12" s="162" t="inlineStr">
        <is>
          <t>Raio 15 m</t>
        </is>
      </c>
      <c r="AN12" s="162" t="inlineStr">
        <is>
          <t>Raio 15 m</t>
        </is>
      </c>
      <c r="AO12" s="162" t="inlineStr">
        <is>
          <t>, a 36 m</t>
        </is>
      </c>
      <c r="AP12" s="162" t="inlineStr">
        <is>
          <t>, a 90 m</t>
        </is>
      </c>
      <c r="AQ12" s="162" t="inlineStr">
        <is>
          <t>, a visão a olho nu</t>
        </is>
      </c>
      <c r="AR12" s="162" t="inlineStr">
        <is>
          <t>, a visão a olho nu</t>
        </is>
      </c>
      <c r="AS12" s="162" t="inlineStr">
        <is>
          <t>, a visão a olho nu</t>
        </is>
      </c>
      <c r="AT12" s="162" t="inlineStr">
        <is>
          <t>, a visão a olho nu</t>
        </is>
      </c>
      <c r="AV12" s="162" t="inlineStr">
        <is>
          <t>Rajada</t>
        </is>
      </c>
      <c r="AW12" s="162" t="inlineStr">
        <is>
          <t>Área</t>
        </is>
      </c>
      <c r="AX12" s="164" t="n">
        <v>1</v>
      </c>
      <c r="AY12" s="164" t="n">
        <v>0</v>
      </c>
      <c r="AZ12" s="164" t="n">
        <v>1</v>
      </c>
      <c r="BA12" s="164" t="n">
        <v>0</v>
      </c>
      <c r="BC12" s="162" t="inlineStr">
        <is>
          <t>Peso Morto</t>
        </is>
      </c>
      <c r="BD12" s="162" t="inlineStr">
        <is>
          <t>Peso Morto</t>
        </is>
      </c>
      <c r="BE12" s="164" t="n">
        <v>1</v>
      </c>
      <c r="BF12" s="164" t="n">
        <v>0</v>
      </c>
      <c r="BG12" s="162" t="inlineStr">
        <is>
          <t>Peso Morto</t>
        </is>
      </c>
      <c r="BI12" s="162" t="inlineStr">
        <is>
          <t>Escama</t>
        </is>
      </c>
      <c r="BJ12" s="164" t="n">
        <v>3</v>
      </c>
      <c r="BK12" s="162" t="inlineStr">
        <is>
          <t>Escolha um tipo de dano que a Regra da sua técnica justifique. Você tem resistência a esse tipo: sofre metade do dano, com o arredondamento das regras de dano.</t>
        </is>
      </c>
      <c r="BL12" s="162" t="inlineStr"/>
      <c r="CC12" s="162" t="inlineStr">
        <is>
          <t>Hierarquia</t>
        </is>
      </c>
      <c r="CD12" s="162" t="inlineStr">
        <is>
          <t>Inteligência</t>
        </is>
      </c>
      <c r="CH12" s="162" t="inlineStr">
        <is>
          <t>Jogatina</t>
        </is>
      </c>
      <c r="CJ12" s="162" t="inlineStr">
        <is>
          <t>Necrótico</t>
        </is>
      </c>
      <c r="DA12" s="162" t="inlineStr">
        <is>
          <t>cor da barra</t>
        </is>
      </c>
      <c r="DB12" s="164">
        <f>DADOS!$CZ$51</f>
        <v/>
      </c>
      <c r="DD12" s="164" t="n">
        <v>11</v>
      </c>
      <c r="DE12" s="164">
        <f>'INVOCAÇÕES'!$AB$857&amp;""</f>
        <v/>
      </c>
      <c r="DF12" s="164">
        <f>'INVOCAÇÕES'!$AB$887&amp;""</f>
        <v/>
      </c>
      <c r="DG12" s="164">
        <f>'INVOCAÇÕES'!$AB$891&amp;""</f>
        <v/>
      </c>
      <c r="DH12" s="164">
        <f>N('INVOCAÇÕES'!$AD$891)</f>
        <v/>
      </c>
      <c r="DI12" s="164">
        <f>'INVOCAÇÕES'!$AE$891&amp;""</f>
        <v/>
      </c>
      <c r="DJ12" s="164">
        <f>N('INVOCAÇÕES'!$AH$864)</f>
        <v/>
      </c>
      <c r="DK12" s="164">
        <f>N('INVOCAÇÕES'!$AI$864)</f>
        <v/>
      </c>
      <c r="DL12" s="164">
        <f>N('INVOCAÇÕES'!$AJ$864)</f>
        <v/>
      </c>
      <c r="DM12" s="164">
        <f>N('INVOCAÇÕES'!$AK$864)</f>
        <v/>
      </c>
      <c r="DN12" s="164">
        <f>N('INVOCAÇÕES'!$AL$864)</f>
        <v/>
      </c>
      <c r="DO12" s="164">
        <f>N('INVOCAÇÕES'!$AH$865)</f>
        <v/>
      </c>
      <c r="DP12" s="164">
        <f>N('INVOCAÇÕES'!$AI$865)</f>
        <v/>
      </c>
      <c r="DQ12" s="164">
        <f>N('INVOCAÇÕES'!$AJ$865)</f>
        <v/>
      </c>
      <c r="DR12" s="164">
        <f>N('INVOCAÇÕES'!$AK$865)</f>
        <v/>
      </c>
      <c r="DS12" s="164">
        <f>N('INVOCAÇÕES'!$AL$865)</f>
        <v/>
      </c>
      <c r="DT12" s="164">
        <f>'INVOCAÇÕES'!$AH$878&amp;""</f>
        <v/>
      </c>
      <c r="DU12" s="164">
        <f>'INVOCAÇÕES'!$AK$878&amp;""</f>
        <v/>
      </c>
      <c r="DV12" s="164">
        <f>'INVOCAÇÕES'!$AL$873&amp;""</f>
        <v/>
      </c>
      <c r="DW12" s="164">
        <f>N('INVOCAÇÕES'!$AH$870)</f>
        <v/>
      </c>
      <c r="DX12" s="164">
        <f>N('INVOCAÇÕES'!$AI$870)</f>
        <v/>
      </c>
      <c r="DY12" s="164">
        <f>N('INVOCAÇÕES'!$AJ$870)</f>
        <v/>
      </c>
      <c r="DZ12" s="164">
        <f>N('INVOCAÇÕES'!$AK$870)</f>
        <v/>
      </c>
      <c r="EA12" s="164">
        <f>N('INVOCAÇÕES'!$AL$870)</f>
        <v/>
      </c>
      <c r="EB12" s="164">
        <f>N('INVOCAÇÕES'!$AH$875)</f>
        <v/>
      </c>
      <c r="EC12" s="164">
        <f>N('INVOCAÇÕES'!$AI$875)</f>
        <v/>
      </c>
      <c r="ED12" s="164">
        <f>N('INVOCAÇÕES'!$AJ$875)</f>
        <v/>
      </c>
      <c r="EE12" s="164">
        <f>N('INVOCAÇÕES'!$AK$875)</f>
        <v/>
      </c>
      <c r="EF12" s="164">
        <f>'INVOCAÇÕES'!$AN$857&amp;""</f>
        <v/>
      </c>
      <c r="EG12" s="164">
        <f>N('INVOCAÇÕES'!$AP$857)</f>
        <v/>
      </c>
      <c r="EH12" s="164">
        <f>'INVOCAÇÕES'!$AR$857&amp;""</f>
        <v/>
      </c>
      <c r="EI12" s="164">
        <f>SUM('INVOCAÇÕES'!$AR$825:'INVOCAÇÕES'!$AR$827,'INVOCAÇÕES'!$AR$829:'INVOCAÇÕES'!$AR$834)</f>
        <v/>
      </c>
      <c r="EJ12" s="164">
        <f>'INVOCAÇÕES'!$AN$862&amp;""</f>
        <v/>
      </c>
      <c r="EK12" s="164">
        <f>'INVOCAÇÕES'!$AO$862&amp;""</f>
        <v/>
      </c>
      <c r="EL12" s="164">
        <f>'INVOCAÇÕES'!$AH$892&amp;""</f>
        <v/>
      </c>
      <c r="EM12" s="164">
        <f>'INVOCAÇÕES'!$AI$892&amp;""</f>
        <v/>
      </c>
      <c r="EN12" s="164">
        <f>'INVOCAÇÕES'!$AJ$892&amp;""</f>
        <v/>
      </c>
      <c r="EO12" s="164">
        <f>'INVOCAÇÕES'!$AK$892&amp;""</f>
        <v/>
      </c>
      <c r="EP12" s="164">
        <f>'INVOCAÇÕES'!$AL$892&amp;""</f>
        <v/>
      </c>
      <c r="EQ12" s="164">
        <f>'INVOCAÇÕES'!$AH$882&amp;""</f>
        <v/>
      </c>
      <c r="ER12" s="164">
        <f>'INVOCAÇÕES'!$AH$883&amp;""</f>
        <v/>
      </c>
      <c r="ES12" s="164">
        <f>'INVOCAÇÕES'!$AH$884&amp;""</f>
        <v/>
      </c>
      <c r="ET12" s="164">
        <f>'INVOCAÇÕES'!$AH$885&amp;""</f>
        <v/>
      </c>
      <c r="EU12" s="164">
        <f>'INVOCAÇÕES'!$AH$886&amp;""</f>
        <v/>
      </c>
      <c r="EV12" s="164">
        <f>'INVOCAÇÕES'!$AH$887&amp;""</f>
        <v/>
      </c>
      <c r="EW12" s="164">
        <f>'INVOCAÇÕES'!$AH$888&amp;""</f>
        <v/>
      </c>
      <c r="EX12" s="164">
        <f>'INVOCAÇÕES'!$AC$937&amp;""</f>
        <v/>
      </c>
      <c r="EY12" s="164">
        <f>'INVOCAÇÕES'!$AC$938&amp;""</f>
        <v/>
      </c>
      <c r="EZ12" s="164">
        <f>'INVOCAÇÕES'!$AC$939&amp;""</f>
        <v/>
      </c>
      <c r="FA12" s="164">
        <f>'INVOCAÇÕES'!$AC$940&amp;""</f>
        <v/>
      </c>
      <c r="FB12" s="164">
        <f>'INVOCAÇÕES'!$AC$941&amp;""</f>
        <v/>
      </c>
      <c r="FC12" s="164">
        <f>'INVOCAÇÕES'!$AC$942&amp;""</f>
        <v/>
      </c>
      <c r="FD12" s="164">
        <f>'INVOCAÇÕES'!$AC$943&amp;""</f>
        <v/>
      </c>
      <c r="FE12" s="164">
        <f>'INVOCAÇÕES'!$AC$944&amp;""</f>
        <v/>
      </c>
      <c r="FF12" s="164">
        <f>'INVOCAÇÕES'!$AC$1039&amp;""</f>
        <v/>
      </c>
      <c r="FG12" s="164">
        <f>'INVOCAÇÕES'!$AC$1040&amp;""</f>
        <v/>
      </c>
      <c r="FH12" s="164">
        <f>'INVOCAÇÕES'!$AC$1041&amp;""</f>
        <v/>
      </c>
      <c r="FI12" s="164">
        <f>MAX(3,MIN(7,N('INVOCAÇÕES'!$AB$1046)))</f>
        <v/>
      </c>
      <c r="FJ12" s="164">
        <f>MAX(3,MIN(7,N('INVOCAÇÕES'!$AH$1046)))</f>
        <v/>
      </c>
      <c r="FK12" s="164">
        <f>MAX(3,MIN(7,N('INVOCAÇÕES'!$AN$1046)))</f>
        <v/>
      </c>
      <c r="FL12" s="164">
        <f>'INVOCAÇÕES'!$AH$1060&amp;""</f>
        <v/>
      </c>
      <c r="FM12" s="164">
        <f>IF($DE12&lt;&gt;"",1,0)</f>
        <v/>
      </c>
      <c r="FN12" s="164">
        <f>IFERROR(VLOOKUP($DG12,$BP$2:$BQ$5,2,FALSE),1)</f>
        <v/>
      </c>
      <c r="FO12" s="164">
        <f>IF($FN12=1,$DB$2,IF($FN12=2,MIN($DB$2,IF(MAX(1,MIN($DB$2,IF($DH12=0,$DB$2,$DH12)))&lt;=4,4,IF(MAX(1,MIN($DB$2,IF($DH12=0,$DB$2,$DH12)))&lt;=8,8,IF(MAX(1,MIN($DB$2,IF($DH12=0,$DB$2,$DH12)))&lt;=12,12,IF(MAX(1,MIN($DB$2,IF($DH12=0,$DB$2,$DH12)))&lt;=16,16,IF(MAX(1,MIN($DB$2,IF($DH12=0,$DB$2,$DH12)))&lt;=20,20,IF(MAX(1,MIN($DB$2,IF($DH12=0,$DB$2,$DH12)))&lt;=25,25,IF(MAX(1,MIN($DB$2,IF($DH12=0,$DB$2,$DH12)))&lt;=30,30,30)))))))),MAX(1,MIN($DB$2,IF($DH12=0,$DB$2,$DH12)))))</f>
        <v/>
      </c>
      <c r="FP12" s="164">
        <f>VLOOKUP(MAX(1,$FO12),$A$2:$D$8,2,TRUE)</f>
        <v/>
      </c>
      <c r="FQ12" s="164">
        <f>VLOOKUP(MAX(1,$FO12),$A$2:$D$8,3,TRUE)</f>
        <v/>
      </c>
      <c r="FR12" s="164">
        <f>$DJ12+$DO12</f>
        <v/>
      </c>
      <c r="FS12" s="164">
        <f>$DK12+$DP12</f>
        <v/>
      </c>
      <c r="FT12" s="164">
        <f>$DL12+$DQ12</f>
        <v/>
      </c>
      <c r="FU12" s="164">
        <f>$DM12+$DR12</f>
        <v/>
      </c>
      <c r="FV12" s="164">
        <f>$DN12+$DS12</f>
        <v/>
      </c>
      <c r="FW12" s="164">
        <f>SUM($DJ12:$DN12)</f>
        <v/>
      </c>
      <c r="FX12" s="164">
        <f>9+$FY12</f>
        <v/>
      </c>
      <c r="FY12" s="164">
        <f>COUNTIF($F$2:$F$8,"&lt;="&amp;$FO12)</f>
        <v/>
      </c>
      <c r="FZ12" s="164">
        <f>MAX(0,$DJ12-3)+MAX(0,$DK12-3)+MAX(0,$DL12-3)+MAX(0,$DM12-3)+MAX(0,$DN12-3)</f>
        <v/>
      </c>
      <c r="GA12" s="164">
        <f>IFERROR(INDEX($FR12:$FV12,1,MATCH($DT12,$BU$2:$BU$6,0)),"")</f>
        <v/>
      </c>
      <c r="GB12" s="164">
        <f>IF($GA12="","",$GA12+$DB$3+$DW12)</f>
        <v/>
      </c>
      <c r="GC12" s="164">
        <f>IF($GA12="","",8+$GA12+$DB$3+$DX12)</f>
        <v/>
      </c>
      <c r="GD12" s="164">
        <f>10+$FS12+$DB$7+$DY12</f>
        <v/>
      </c>
      <c r="GE12" s="164">
        <f>IF(IFERROR(VLOOKUP(SUBSTITUTE(SUBSTITUTE(SUBSTITUTE($DF12,"~","~~"),"*","~*"),"?","~?"),'DADOS_ENTIDADES'!$M$2:$P$16,2,FALSE),0)=1,1,0)</f>
        <v/>
      </c>
      <c r="GF12" s="164">
        <f>5+$FT12+(3+$GE12+$FT12)*($FO12-1)+$DZ12</f>
        <v/>
      </c>
      <c r="GG12" s="164">
        <f>IF($FM12=0,"",$GF12)</f>
        <v/>
      </c>
      <c r="GH12" s="164">
        <f>IF($EF12="",$GF12,MAX(0,MIN(IFERROR(VALUE($EF12),$GF12),$GF12)))</f>
        <v/>
      </c>
      <c r="GI12" s="164">
        <f>IF(AND($FM12=1,$EJ12&lt;&gt;"Sem alma"),MAX(1,INT($GF12/2)),"")</f>
        <v/>
      </c>
      <c r="GJ12" s="164">
        <f>$GI12</f>
        <v/>
      </c>
      <c r="GK12" s="164">
        <f>IF($GI12="","",IF($EK12="",$GI12,MAX(0,MIN(IFERROR(VALUE($EK12),$GI12),$GI12))))</f>
        <v/>
      </c>
      <c r="GL12" s="164">
        <f>IF($FM12=0,"",IF($GI12="","—",$GI12))</f>
        <v/>
      </c>
      <c r="GM12" s="164">
        <f>IF($FM12=0,"",IF($GI12="","Sem alma · imune a dano de Alma",IF($GK12&lt;=0,"Estágio 4 · caída, como a zero de vida",IF($GK12&lt;=$GI12/4,"Estágio 3 · desvantagem em ataques e TRs, Classe pela metade",IF($GK12&lt;=$GI12/2,"Estágio 2 · metade do deslocamento, +1 PE por Classe",IF($GK12&lt;=$GI12*3/4,"Estágio 1 · desvantagem em perícias","Alma inteira"))))))</f>
        <v/>
      </c>
      <c r="GN12" s="164">
        <f>9+$EA12</f>
        <v/>
      </c>
      <c r="GO12" s="164">
        <f>IF($DU12="Destreza",$FS12,$FR12)</f>
        <v/>
      </c>
      <c r="GP12" s="164">
        <f>$GO12+IF($DV12="Físico",$DB$3,0)+$EB12</f>
        <v/>
      </c>
      <c r="GQ12" s="164">
        <f>$FT12+IF($DV12="Vigor",$DB$3,0)+$EC12</f>
        <v/>
      </c>
      <c r="GR12" s="164">
        <f>$FU12+IF($DV12="Intelecto",$DB$3,0)+$ED12</f>
        <v/>
      </c>
      <c r="GS12" s="164">
        <f>$FV12+IF($DV12="Espírito",$DB$3,0)+$EE12</f>
        <v/>
      </c>
      <c r="GT12" s="164">
        <f>4+INT($DM12/2)</f>
        <v/>
      </c>
      <c r="GU12" s="164">
        <f>COUNTIF($EQ12:$EW12,"?*")</f>
        <v/>
      </c>
      <c r="GV12" s="164">
        <f>INT((2+$FO12/2)/2)</f>
        <v/>
      </c>
      <c r="GW12" s="164">
        <f>IF($FO12&gt;=11,2,1)</f>
        <v/>
      </c>
      <c r="GX12" s="164">
        <f>1+$FY12</f>
        <v/>
      </c>
      <c r="GY12" s="164">
        <f>COUNTIF($EX12:$FE12,"?*")</f>
        <v/>
      </c>
      <c r="GZ12" s="164">
        <f>IF(AND(IFERROR(VLOOKUP(SUBSTITUTE(SUBSTITUTE(SUBSTITUTE($DF12,"~","~~"),"*","~*"),"?","~?"),'DADOS_ENTIDADES'!$M$2:$P$16,3,FALSE),0)=1,$DI12="Com carga"),MAX(1,CEILING($FP12/2,1)),$FP12)</f>
        <v/>
      </c>
      <c r="HA12" s="164">
        <f>2*$FP12</f>
        <v/>
      </c>
      <c r="HB12" s="164">
        <f>$FO12*(1+INT($DN12/3))</f>
        <v/>
      </c>
      <c r="HC12" s="164">
        <f>5+$FR12</f>
        <v/>
      </c>
      <c r="HD12" s="164">
        <f>(COUNTIF($EL12:$EP12,"?*")+COUNTIF($QV12:$QY12,"?*"))</f>
        <v/>
      </c>
      <c r="HE12" s="164">
        <f>IF($EL12="",0,IF((COUNTIF($EL12:$EP12,$EL12)+COUNTIF($QV12:$QY12,$EL12))&gt;1,1,0))+IF($EM12="",0,IF((COUNTIF($EL12:$EP12,$EM12)+COUNTIF($QV12:$QY12,$EM12))&gt;1,1,0))+IF($EN12="",0,IF((COUNTIF($EL12:$EP12,$EN12)+COUNTIF($QV12:$QY12,$EN12))&gt;1,1,0))+IF($EO12="",0,IF((COUNTIF($EL12:$EP12,$EO12)+COUNTIF($QV12:$QY12,$EO12))&gt;1,1,0))+IF($EP12="",0,IF((COUNTIF($EL12:$EP12,$EP12)+COUNTIF($QV12:$QY12,$EP12))&gt;1,1,0))+IF($QV$12="",0,IF(COUNTIF($EL12:$EP12,$QV$12)+COUNTIF($QV12:$QY12,$QV$12)&gt;1,1,0))+IF($QW$12="",0,IF(COUNTIF($EL12:$EP12,$QW$12)+COUNTIF($QV12:$QY12,$QW$12)&gt;1,1,0))+IF($QX$12="",0,IF(COUNTIF($EL12:$EP12,$QX$12)+COUNTIF($QV12:$QY12,$QX$12)&gt;1,1,0))+IF($QY$12="",0,IF(COUNTIF($EL12:$EP12,$QY$12)+COUNTIF($QV12:$QY12,$QY$12)&gt;1,1,0))</f>
        <v/>
      </c>
      <c r="HF12" s="164">
        <f>IF(DADOS_INVOC!$DB$4="Invocação Principal",'CONFIGURAÇÃO'!$H$143,IF(OR(DADOS_INVOC!$DB$4="Parceria",DADOS_INVOC!$DB$4="Múltiplas Invocações"),'CONFIGURAÇÃO'!$H$141,'CONFIGURAÇÃO'!$H$139))+IF($QZ$12="Não autônoma",'CONFIGURAÇÃO'!$H$145,0)</f>
        <v/>
      </c>
      <c r="HG12" s="164">
        <f>IF($FM12=0,"INVOCAÇÃO 11 · lugar vazio",$DE12&amp;" · "&amp;$DF12&amp;" · nível "&amp;$FO12&amp;" · vida "&amp;$GH12&amp;" de "&amp;$GF12)</f>
        <v/>
      </c>
      <c r="HH12" s="164">
        <f>IF($FM12=0,"VAZIA",UPPER($DE12))</f>
        <v/>
      </c>
      <c r="HI12" s="164">
        <f>IF($DB$3&gt;=0,"+","−")&amp;ABS($DB$3)</f>
        <v/>
      </c>
      <c r="HJ12" s="164">
        <f>$GZ12&amp;" PE"</f>
        <v/>
      </c>
      <c r="HK12" s="164">
        <f>$HA12&amp;" PE"</f>
        <v/>
      </c>
      <c r="HL12" s="164">
        <f>IF(OR($FW12&gt;$FX12,$FZ12&gt;$FY12),"⚠ ",IF(AND($FM12=1,$FW12&lt;$FX12),"! ",""))&amp;"ATRIBUTOS · "&amp;$FW12&amp;" DE "&amp;$FX12&amp;" PONTOS"&amp;IF($FZ12&gt;$FY12," · ACIMA DE 3 SÓ COM MARCO","")</f>
        <v/>
      </c>
      <c r="HM12" s="164">
        <f>IF($GB12="","",IF($GB12&gt;=0,"+","−")&amp;ABS($GB12))</f>
        <v/>
      </c>
      <c r="HN12" s="164">
        <f>IF($GC12="","",$GC12)</f>
        <v/>
      </c>
      <c r="HO12" s="164">
        <f>SUBSTITUTE(IF($EI12&gt;2*$HC12,0,IF($EI12&gt;$HC12,$GN12/2,$GN12))&amp;" m",".",",")</f>
        <v/>
      </c>
      <c r="HP12" s="164">
        <f>IF($GP12&gt;=0,"+","−")&amp;ABS($GP12)</f>
        <v/>
      </c>
      <c r="HQ12" s="164">
        <f>IF($GQ12&gt;=0,"+","−")&amp;ABS($GQ12)</f>
        <v/>
      </c>
      <c r="HR12" s="164">
        <f>IF($GR12&gt;=0,"+","−")&amp;ABS($GR12)</f>
        <v/>
      </c>
      <c r="HS12" s="164">
        <f>IF($GS12&gt;=0,"+","−")&amp;ABS($GS12)</f>
        <v/>
      </c>
      <c r="HT12" s="164">
        <f>IF($GU12&gt;$GT12,"⚠ ","")&amp;"PERÍCIAS · "&amp;$GU12&amp;" DE "&amp;$GT12</f>
        <v/>
      </c>
      <c r="HU12" s="164">
        <f>IF($EQ12="","",IFERROR(IF((INDEX($FR12:$FV12,1,MATCH(VLOOKUP(SUBSTITUTE(SUBSTITUTE(SUBSTITUTE($EQ12,"~","~~"),"*","~*"),"?","~?"),'DADOS_PROGRESSAO'!$AG$2:$AH$34,2,FALSE),$BU$2:$BU$6,0))+$DB$3)&gt;=0,"+","−")&amp;ABS((INDEX($FR12:$FV12,1,MATCH(VLOOKUP(SUBSTITUTE(SUBSTITUTE(SUBSTITUTE($EQ12,"~","~~"),"*","~*"),"?","~?"),'DADOS_PROGRESSAO'!$AG$2:$AH$34,2,FALSE),$BU$2:$BU$6,0))+$DB$3)),""))</f>
        <v/>
      </c>
      <c r="HV12" s="164">
        <f>IF($ER12="","",IFERROR(IF((INDEX($FR12:$FV12,1,MATCH(VLOOKUP(SUBSTITUTE(SUBSTITUTE(SUBSTITUTE($ER12,"~","~~"),"*","~*"),"?","~?"),'DADOS_PROGRESSAO'!$AG$2:$AH$34,2,FALSE),$BU$2:$BU$6,0))+$DB$3)&gt;=0,"+","−")&amp;ABS((INDEX($FR12:$FV12,1,MATCH(VLOOKUP(SUBSTITUTE(SUBSTITUTE(SUBSTITUTE($ER12,"~","~~"),"*","~*"),"?","~?"),'DADOS_PROGRESSAO'!$AG$2:$AH$34,2,FALSE),$BU$2:$BU$6,0))+$DB$3)),""))</f>
        <v/>
      </c>
      <c r="HW12" s="164">
        <f>IF($ES12="","",IFERROR(IF((INDEX($FR12:$FV12,1,MATCH(VLOOKUP(SUBSTITUTE(SUBSTITUTE(SUBSTITUTE($ES12,"~","~~"),"*","~*"),"?","~?"),'DADOS_PROGRESSAO'!$AG$2:$AH$34,2,FALSE),$BU$2:$BU$6,0))+$DB$3)&gt;=0,"+","−")&amp;ABS((INDEX($FR12:$FV12,1,MATCH(VLOOKUP(SUBSTITUTE(SUBSTITUTE(SUBSTITUTE($ES12,"~","~~"),"*","~*"),"?","~?"),'DADOS_PROGRESSAO'!$AG$2:$AH$34,2,FALSE),$BU$2:$BU$6,0))+$DB$3)),""))</f>
        <v/>
      </c>
      <c r="HX12" s="164">
        <f>IF($ET12="","",IFERROR(IF((INDEX($FR12:$FV12,1,MATCH(VLOOKUP(SUBSTITUTE(SUBSTITUTE(SUBSTITUTE($ET12,"~","~~"),"*","~*"),"?","~?"),'DADOS_PROGRESSAO'!$AG$2:$AH$34,2,FALSE),$BU$2:$BU$6,0))+$DB$3)&gt;=0,"+","−")&amp;ABS((INDEX($FR12:$FV12,1,MATCH(VLOOKUP(SUBSTITUTE(SUBSTITUTE(SUBSTITUTE($ET12,"~","~~"),"*","~*"),"?","~?"),'DADOS_PROGRESSAO'!$AG$2:$AH$34,2,FALSE),$BU$2:$BU$6,0))+$DB$3)),""))</f>
        <v/>
      </c>
      <c r="HY12" s="164">
        <f>IF($EU12="","",IFERROR(IF((INDEX($FR12:$FV12,1,MATCH(VLOOKUP(SUBSTITUTE(SUBSTITUTE(SUBSTITUTE($EU12,"~","~~"),"*","~*"),"?","~?"),'DADOS_PROGRESSAO'!$AG$2:$AH$34,2,FALSE),$BU$2:$BU$6,0))+$DB$3)&gt;=0,"+","−")&amp;ABS((INDEX($FR12:$FV12,1,MATCH(VLOOKUP(SUBSTITUTE(SUBSTITUTE(SUBSTITUTE($EU12,"~","~~"),"*","~*"),"?","~?"),'DADOS_PROGRESSAO'!$AG$2:$AH$34,2,FALSE),$BU$2:$BU$6,0))+$DB$3)),""))</f>
        <v/>
      </c>
      <c r="HZ12" s="164">
        <f>IF($EV12="","",IFERROR(IF((INDEX($FR12:$FV12,1,MATCH(VLOOKUP(SUBSTITUTE(SUBSTITUTE(SUBSTITUTE($EV12,"~","~~"),"*","~*"),"?","~?"),'DADOS_PROGRESSAO'!$AG$2:$AH$34,2,FALSE),$BU$2:$BU$6,0))+$DB$3)&gt;=0,"+","−")&amp;ABS((INDEX($FR12:$FV12,1,MATCH(VLOOKUP(SUBSTITUTE(SUBSTITUTE(SUBSTITUTE($EV12,"~","~~"),"*","~*"),"?","~?"),'DADOS_PROGRESSAO'!$AG$2:$AH$34,2,FALSE),$BU$2:$BU$6,0))+$DB$3)),""))</f>
        <v/>
      </c>
      <c r="IA12" s="164">
        <f>IF($EW12="","",IFERROR(IF((INDEX($FR12:$FV12,1,MATCH(VLOOKUP(SUBSTITUTE(SUBSTITUTE(SUBSTITUTE($EW12,"~","~~"),"*","~*"),"?","~?"),'DADOS_PROGRESSAO'!$AG$2:$AH$34,2,FALSE),$BU$2:$BU$6,0))+$DB$3)&gt;=0,"+","−")&amp;ABS((INDEX($FR12:$FV12,1,MATCH(VLOOKUP(SUBSTITUTE(SUBSTITUTE(SUBSTITUTE($EW12,"~","~~"),"*","~*"),"?","~?"),'DADOS_PROGRESSAO'!$AG$2:$AH$34,2,FALSE),$BU$2:$BU$6,0))+$DB$3)),""))</f>
        <v/>
      </c>
      <c r="IB12" s="164">
        <f>IF(IFERROR(VLOOKUP(SUBSTITUTE(SUBSTITUTE(SUBSTITUTE($DF12,"~","~~"),"*","~*"),"?","~?"),'DADOS_ENTIDADES'!$M$2:$P$16,4,FALSE),0)=1,"RESERVA · MÁX. "&amp;$HB12,"RESERVA DE PE")</f>
        <v/>
      </c>
      <c r="IC12" s="164">
        <f>IF($EI12&gt;2*$HC12,"⚠ ",IF($EI12&gt;$HC12,"! ",""))&amp;"EQUIPAMENTO · "&amp;$EI12&amp;" DE "&amp;$HC12&amp;" DE VOLUME"&amp;IF($EI12&gt;2*$HC12," · PASSOU DO DOBRO",IF($EI12&gt;$HC12," · ACIMA DO LIMITE",""))</f>
        <v/>
      </c>
      <c r="ID12" s="164">
        <f>IF(OR($HE12&gt;0,$HD12&gt;$HF12),"⚠ ","")&amp;"FAMÍLIAS · "&amp;$HD12&amp;" ABERTAS"&amp;IF($HE12&gt;0," · REPETIDA","")&amp;IF($HD12&gt;$HF12," · O LIMITE É "&amp;$HF12,"")&amp;IF(OR($RA$12&gt;$HF$12,$HF$12&gt;9)," · LIMITES INCOMPATÍVEIS","")</f>
        <v/>
      </c>
      <c r="IE12" s="164">
        <f>"HABILIDADES · básica de "&amp;$FQ12&amp;"d6 · "&amp;$GV12&amp;IF($GV12&gt;1," espaços"," espaço")&amp;" de especial até a Classe "&amp;$FP12&amp;" · "&amp;$GX12&amp;IF($GX12&gt;1," talentos"," talento")</f>
        <v/>
      </c>
      <c r="IF12" s="164">
        <f>IF($GY12&gt;$GX12,"⚠ ","")&amp;"TALENTOS · "&amp;$GY12&amp;" DE "&amp;$GX12</f>
        <v/>
      </c>
      <c r="IG12" s="164">
        <f>IFERROR(VLOOKUP(SUBSTITUTE(SUBSTITUTE(SUBSTITUTE($EX12,"~","~~"),"*","~*"),"?","~?"),'DADOS_ENTIDADES'!$AI$2:$AL$35,2,FALSE),0)</f>
        <v/>
      </c>
      <c r="IH12" s="164">
        <f>IFERROR(VLOOKUP(SUBSTITUTE(SUBSTITUTE(SUBSTITUTE($EY12,"~","~~"),"*","~*"),"?","~?"),'DADOS_ENTIDADES'!$AI$2:$AL$35,2,FALSE),0)</f>
        <v/>
      </c>
      <c r="II12" s="164">
        <f>IFERROR(VLOOKUP(SUBSTITUTE(SUBSTITUTE(SUBSTITUTE($EZ12,"~","~~"),"*","~*"),"?","~?"),'DADOS_ENTIDADES'!$AI$2:$AL$35,2,FALSE),0)</f>
        <v/>
      </c>
      <c r="IJ12" s="164">
        <f>IFERROR(VLOOKUP(SUBSTITUTE(SUBSTITUTE(SUBSTITUTE($FA12,"~","~~"),"*","~*"),"?","~?"),'DADOS_ENTIDADES'!$AI$2:$AL$35,2,FALSE),0)</f>
        <v/>
      </c>
      <c r="IK12" s="164">
        <f>IFERROR(VLOOKUP(SUBSTITUTE(SUBSTITUTE(SUBSTITUTE($FB12,"~","~~"),"*","~*"),"?","~?"),'DADOS_ENTIDADES'!$AI$2:$AL$35,2,FALSE),0)</f>
        <v/>
      </c>
      <c r="IL12" s="164">
        <f>IFERROR(VLOOKUP(SUBSTITUTE(SUBSTITUTE(SUBSTITUTE($FC12,"~","~~"),"*","~*"),"?","~?"),'DADOS_ENTIDADES'!$AI$2:$AL$35,2,FALSE),0)</f>
        <v/>
      </c>
      <c r="IM12" s="164">
        <f>IFERROR(VLOOKUP(SUBSTITUTE(SUBSTITUTE(SUBSTITUTE($FD12,"~","~~"),"*","~*"),"?","~?"),'DADOS_ENTIDADES'!$AI$2:$AL$35,2,FALSE),0)</f>
        <v/>
      </c>
      <c r="IN12" s="164">
        <f>IFERROR(VLOOKUP(SUBSTITUTE(SUBSTITUTE(SUBSTITUTE($FE12,"~","~~"),"*","~*"),"?","~?"),'DADOS_ENTIDADES'!$AI$2:$AL$35,2,FALSE),0)</f>
        <v/>
      </c>
      <c r="IO12" s="164">
        <f>IF($EX12="","",IF(1&gt;$FO12,"⚠ Este talento abre no nível 1",IF($IG12&gt;1,"⚠ Categoria "&amp;$IG12&amp;": este ganho vai até a 1 · ","")&amp;IFERROR(VLOOKUP(SUBSTITUTE(SUBSTITUTE(SUBSTITUTE($EX12,"~","~~"),"*","~*"),"?","~?"),'DADOS_ENTIDADES'!$AI$2:$AL$35,3,FALSE),"")))</f>
        <v/>
      </c>
      <c r="IP12" s="164">
        <f>IF($EY12="","",IF(6&gt;$FO12,"⚠ Este talento abre no nível 6",IF($IH12&gt;1,"⚠ Categoria "&amp;$IH12&amp;": este ganho vai até a 1 · ","")&amp;IFERROR(VLOOKUP(SUBSTITUTE(SUBSTITUTE(SUBSTITUTE($EY12,"~","~~"),"*","~*"),"?","~?"),'DADOS_ENTIDADES'!$AI$2:$AL$35,3,FALSE),"")))</f>
        <v/>
      </c>
      <c r="IQ12" s="164">
        <f>IF($EZ12="","",IF(10&gt;$FO12,"⚠ Este talento abre no nível 10",IF($II12&gt;2,"⚠ Categoria "&amp;$II12&amp;": este ganho vai até a 2 · ","")&amp;IFERROR(VLOOKUP(SUBSTITUTE(SUBSTITUTE(SUBSTITUTE($EZ12,"~","~~"),"*","~*"),"?","~?"),'DADOS_ENTIDADES'!$AI$2:$AL$35,3,FALSE),"")))</f>
        <v/>
      </c>
      <c r="IR12" s="164">
        <f>IF($FA12="","",IF(14&gt;$FO12,"⚠ Este talento abre no nível 14",IF($IJ12&gt;3,"⚠ Categoria "&amp;$IJ12&amp;": este ganho vai até a 3 · ","")&amp;IFERROR(VLOOKUP(SUBSTITUTE(SUBSTITUTE(SUBSTITUTE($FA12,"~","~~"),"*","~*"),"?","~?"),'DADOS_ENTIDADES'!$AI$2:$AL$35,3,FALSE),"")))</f>
        <v/>
      </c>
      <c r="IS12" s="164">
        <f>IF($FB12="","",IF(18&gt;$FO12,"⚠ Este talento abre no nível 18",IF($IK12&gt;3,"⚠ Categoria "&amp;$IK12&amp;": este ganho vai até a 3 · ","")&amp;IFERROR(VLOOKUP(SUBSTITUTE(SUBSTITUTE(SUBSTITUTE($FB12,"~","~~"),"*","~*"),"?","~?"),'DADOS_ENTIDADES'!$AI$2:$AL$35,3,FALSE),"")))</f>
        <v/>
      </c>
      <c r="IT12" s="164">
        <f>IF($FC12="","",IF(22&gt;$FO12,"⚠ Este talento abre no nível 22",IF($IL12&gt;3,"⚠ Categoria "&amp;$IL12&amp;": este ganho vai até a 3 · ","")&amp;IFERROR(VLOOKUP(SUBSTITUTE(SUBSTITUTE(SUBSTITUTE($FC12,"~","~~"),"*","~*"),"?","~?"),'DADOS_ENTIDADES'!$AI$2:$AL$35,3,FALSE),"")))</f>
        <v/>
      </c>
      <c r="IU12" s="164">
        <f>IF($FD12="","",IF(26&gt;$FO12,"⚠ Este talento abre no nível 26",IF($IM12&gt;3,"⚠ Categoria "&amp;$IM12&amp;": este ganho vai até a 3 · ","")&amp;IFERROR(VLOOKUP(SUBSTITUTE(SUBSTITUTE(SUBSTITUTE($FD12,"~","~~"),"*","~*"),"?","~?"),'DADOS_ENTIDADES'!$AI$2:$AL$35,3,FALSE),"")))</f>
        <v/>
      </c>
      <c r="IV12" s="164">
        <f>IF($FE12="","",IF(30&gt;$FO12,"⚠ Este talento abre no nível 30",IF($IN12&gt;3,"⚠ Categoria "&amp;$IN12&amp;": este ganho vai até a 3 · ","")&amp;IFERROR(VLOOKUP(SUBSTITUTE(SUBSTITUTE(SUBSTITUTE($FE12,"~","~~"),"*","~*"),"?","~?"),'DADOS_ENTIDADES'!$AI$2:$AL$35,3,FALSE),"")))</f>
        <v/>
      </c>
      <c r="IW12" s="164">
        <f>IF($FF12="","",IFERROR(VLOOKUP(SUBSTITUTE(SUBSTITUTE(SUBSTITUTE($FF12,"~","~~"),"*","~*"),"?","~?"),'DADOS_ENTIDADES'!$AI$2:$AL$35,3,FALSE),""))</f>
        <v/>
      </c>
      <c r="IX12" s="164">
        <f>IF($FG12="","",IFERROR(VLOOKUP(SUBSTITUTE(SUBSTITUTE(SUBSTITUTE($FG12,"~","~~"),"*","~*"),"?","~?"),'DADOS_ENTIDADES'!$AI$2:$AL$35,3,FALSE),""))</f>
        <v/>
      </c>
      <c r="IY12" s="164">
        <f>IF($FH12="","",IFERROR(VLOOKUP(SUBSTITUTE(SUBSTITUTE(SUBSTITUTE($FH12,"~","~~"),"*","~*"),"?","~?"),'DADOS_ENTIDADES'!$AI$2:$AL$35,3,FALSE),""))</f>
        <v/>
      </c>
      <c r="IZ12" s="164">
        <f>CEILING(4.5*$FI12,1)&amp;" PE"</f>
        <v/>
      </c>
      <c r="JA12" s="164">
        <f>CEILING(4.5*$FJ12,1)&amp;" PE"</f>
        <v/>
      </c>
      <c r="JB12" s="164">
        <f>CEILING(4.5*$FK12,1)&amp;" PE"</f>
        <v/>
      </c>
      <c r="JC12" s="164">
        <f>INDEX($P$2:$P$8,$FI12)&amp;" pontos + "&amp;$FI12&amp;"d8"</f>
        <v/>
      </c>
      <c r="JD12" s="164">
        <f>INDEX($P$2:$P$8,$FJ12)&amp;" pontos + "&amp;$FJ12&amp;"d8"</f>
        <v/>
      </c>
      <c r="JE12" s="164">
        <f>INDEX($P$2:$P$8,$FK12)&amp;" pontos + "&amp;$FK12&amp;"d8"</f>
        <v/>
      </c>
      <c r="JF12" s="164">
        <f>IF($FO12&lt;17,"—",VLOOKUP($FO12,$CP$2:$CS$4,4,TRUE)&amp;" PE")</f>
        <v/>
      </c>
      <c r="JG12" s="164">
        <f>IF($FO12&lt;17,"Abre no nível 17",VLOOKUP($FO12,$CP$2:$CS$4,2,TRUE)&amp;" fixos · "&amp;VLOOKUP($FO12,$CP$2:$CS$4,3,TRUE)&amp;" pontos")</f>
        <v/>
      </c>
      <c r="JH12" s="164">
        <f>IF($FL12="Sem Barreiras",7,6)*$FP12&amp;" PE"</f>
        <v/>
      </c>
      <c r="JI12" s="164">
        <f>"Acerto "&amp;MAX(0,INDEX($P$2:$P$8,$FP12)-INDEX($I$2:$N$8,$FP12,2+3*IF(AND(IFERROR(VLOOKUP(SUBSTITUTE(SUBSTITUTE(SUBSTITUTE("Inescapável","~","~~"),"*","~*"),"?","~?"),'DADOS_MELHORIAS'!$AG$2:$AL$113,2,FALSE),"")&lt;&gt;"",COUNTIF($RB$12:$RJ$12,IFERROR(VLOOKUP(SUBSTITUTE(SUBSTITUTE(SUBSTITUTE("Inescapável","~","~~"),"*","~*"),"?","~?"),'DADOS_MELHORIAS'!$AG$2:$AL$113,2,FALSE),""))&gt;0),1,0)))&amp;"d8"</f>
        <v/>
      </c>
      <c r="JJ12" s="164">
        <f>IFERROR(VLOOKUP($FL12,$CU$2:$CW$4,3,FALSE),"Escolha o degrau")</f>
        <v/>
      </c>
      <c r="JK12" s="164">
        <f>11&amp;" · "&amp;IF($FM12=0,"vazia",$DE12&amp;" · nv "&amp;$FO12&amp;" · "&amp;$GH12&amp;"/"&amp;$GF12)</f>
        <v/>
      </c>
      <c r="JO12" s="162" t="inlineStr">
        <is>
          <t>Invocação 11</t>
        </is>
      </c>
      <c r="JP12" s="164">
        <f>ADDRESS(ROW('INVOCAÇÕES'!D31),COLUMN('INVOCAÇÕES'!D31),4)</f>
        <v/>
      </c>
      <c r="JQ12" s="164">
        <f>ADDRESS(ROW('INVOCAÇÕES'!AA853),COLUMN('INVOCAÇÕES'!AA853),4)</f>
        <v/>
      </c>
      <c r="JR12" s="162" t="inlineStr">
        <is>
          <t>DADOS_INVOC!$JK$12</t>
        </is>
      </c>
      <c r="JT12" s="164">
        <f>IF(OR($AW12="",(COUNTIF($EL$2:$EP$2,$AW12)+COUNTIF($QV$2:$QY$2,$AW12))&gt;0),$AV12,"")</f>
        <v/>
      </c>
      <c r="JU12" s="164">
        <f>IF(AND($AX12=1,OR($AW12="",(COUNTIF($EL$2:$EP$2,$AW12)+COUNTIF($QV$2:$QY$2,$AW12))&gt;0)),$AV12,"")</f>
        <v/>
      </c>
      <c r="JZ12" s="164">
        <f>IF(OR($AW12="",(COUNTIF($EL$3:$EP$3,$AW12)+COUNTIF($QV$3:$QY$3,$AW12))&gt;0),$AV12,"")</f>
        <v/>
      </c>
      <c r="KA12" s="164">
        <f>IF(AND($AX12=1,OR($AW12="",(COUNTIF($EL$3:$EP$3,$AW12)+COUNTIF($QV$3:$QY$3,$AW12))&gt;0)),$AV12,"")</f>
        <v/>
      </c>
      <c r="KF12" s="164">
        <f>IF(OR($AW12="",(COUNTIF($EL$4:$EP$4,$AW12)+COUNTIF($QV$4:$QY$4,$AW12))&gt;0),$AV12,"")</f>
        <v/>
      </c>
      <c r="KG12" s="164">
        <f>IF(AND($AX12=1,OR($AW12="",(COUNTIF($EL$4:$EP$4,$AW12)+COUNTIF($QV$4:$QY$4,$AW12))&gt;0)),$AV12,"")</f>
        <v/>
      </c>
      <c r="KL12" s="164">
        <f>IF(OR($AW12="",(COUNTIF($EL$5:$EP$5,$AW12)+COUNTIF($QV$5:$QY$5,$AW12))&gt;0),$AV12,"")</f>
        <v/>
      </c>
      <c r="KM12" s="164">
        <f>IF(AND($AX12=1,OR($AW12="",(COUNTIF($EL$5:$EP$5,$AW12)+COUNTIF($QV$5:$QY$5,$AW12))&gt;0)),$AV12,"")</f>
        <v/>
      </c>
      <c r="KR12" s="164">
        <f>IF(OR($AW12="",(COUNTIF($EL$6:$EP$6,$AW12)+COUNTIF($QV$6:$QY$6,$AW12))&gt;0),$AV12,"")</f>
        <v/>
      </c>
      <c r="KS12" s="164">
        <f>IF(AND($AX12=1,OR($AW12="",(COUNTIF($EL$6:$EP$6,$AW12)+COUNTIF($QV$6:$QY$6,$AW12))&gt;0)),$AV12,"")</f>
        <v/>
      </c>
      <c r="KX12" s="164">
        <f>IF(OR($AW12="",(COUNTIF($EL$7:$EP$7,$AW12)+COUNTIF($QV$7:$QY$7,$AW12))&gt;0),$AV12,"")</f>
        <v/>
      </c>
      <c r="KY12" s="164">
        <f>IF(AND($AX12=1,OR($AW12="",(COUNTIF($EL$7:$EP$7,$AW12)+COUNTIF($QV$7:$QY$7,$AW12))&gt;0)),$AV12,"")</f>
        <v/>
      </c>
      <c r="LD12" s="164">
        <f>IF(OR($AW12="",(COUNTIF($EL$8:$EP$8,$AW12)+COUNTIF($QV$8:$QY$8,$AW12))&gt;0),$AV12,"")</f>
        <v/>
      </c>
      <c r="LE12" s="164">
        <f>IF(AND($AX12=1,OR($AW12="",(COUNTIF($EL$8:$EP$8,$AW12)+COUNTIF($QV$8:$QY$8,$AW12))&gt;0)),$AV12,"")</f>
        <v/>
      </c>
      <c r="LJ12" s="164">
        <f>IF(OR($AW12="",(COUNTIF($EL$9:$EP$9,$AW12)+COUNTIF($QV$9:$QY$9,$AW12))&gt;0),$AV12,"")</f>
        <v/>
      </c>
      <c r="LK12" s="164">
        <f>IF(AND($AX12=1,OR($AW12="",(COUNTIF($EL$9:$EP$9,$AW12)+COUNTIF($QV$9:$QY$9,$AW12))&gt;0)),$AV12,"")</f>
        <v/>
      </c>
      <c r="LP12" s="164">
        <f>IF(OR($AW12="",(COUNTIF($EL$10:$EP$10,$AW12)+COUNTIF($QV$10:$QY$10,$AW12))&gt;0),$AV12,"")</f>
        <v/>
      </c>
      <c r="LQ12" s="164">
        <f>IF(AND($AX12=1,OR($AW12="",(COUNTIF($EL$10:$EP$10,$AW12)+COUNTIF($QV$10:$QY$10,$AW12))&gt;0)),$AV12,"")</f>
        <v/>
      </c>
      <c r="LV12" s="164">
        <f>IF(OR($AW12="",(COUNTIF($EL$11:$EP$11,$AW12)+COUNTIF($QV$11:$QY$11,$AW12))&gt;0),$AV12,"")</f>
        <v/>
      </c>
      <c r="LW12" s="164">
        <f>IF(AND($AX12=1,OR($AW12="",(COUNTIF($EL$11:$EP$11,$AW12)+COUNTIF($QV$11:$QY$11,$AW12))&gt;0)),$AV12,"")</f>
        <v/>
      </c>
      <c r="MB12" s="164">
        <f>IF(OR($AW12="",(COUNTIF($EL$12:$EP$12,$AW12)+COUNTIF($QV$12:$QY$12,$AW12))&gt;0),$AV12,"")</f>
        <v/>
      </c>
      <c r="MC12" s="164">
        <f>IF(AND($AX12=1,OR($AW12="",(COUNTIF($EL$12:$EP$12,$AW12)+COUNTIF($QV$12:$QY$12,$AW12))&gt;0)),$AV12,"")</f>
        <v/>
      </c>
      <c r="MH12" s="164">
        <f>IF(OR($AW12="",(COUNTIF($EL$13:$EP$13,$AW12)+COUNTIF($QV$13:$QY$13,$AW12))&gt;0),$AV12,"")</f>
        <v/>
      </c>
      <c r="MI12" s="164">
        <f>IF(AND($AX12=1,OR($AW12="",(COUNTIF($EL$13:$EP$13,$AW12)+COUNTIF($QV$13:$QY$13,$AW12))&gt;0)),$AV12,"")</f>
        <v/>
      </c>
      <c r="MN12" s="162" t="inlineStr">
        <is>
          <t>Ficha 1 · Escolha da trilha 1</t>
        </is>
      </c>
      <c r="MO12" s="164" t="n">
        <v>1</v>
      </c>
      <c r="MP12" s="164" t="n">
        <v>2</v>
      </c>
      <c r="MQ12" s="164" t="n">
        <v>0</v>
      </c>
      <c r="MR12" s="162" t="inlineStr">
        <is>
          <t>ESCOLHA DA TRILHA 1</t>
        </is>
      </c>
      <c r="MS12" s="164">
        <f>MAX(0,MIN(7,N('INVOCAÇÕES'!$I$173)))</f>
        <v/>
      </c>
      <c r="MT12" s="164">
        <f>'INVOCAÇÕES'!$J$173&amp;""</f>
        <v/>
      </c>
      <c r="MU12" s="164">
        <f>'INVOCAÇÕES'!$I$178&amp;""</f>
        <v/>
      </c>
      <c r="MV12" s="164">
        <f>'INVOCAÇÕES'!$I$179&amp;""</f>
        <v/>
      </c>
      <c r="MW12" s="164">
        <f>'INVOCAÇÕES'!$K$179&amp;""</f>
        <v/>
      </c>
      <c r="MX12" s="164">
        <f>'INVOCAÇÕES'!$J$182&amp;""</f>
        <v/>
      </c>
      <c r="MY12" s="164">
        <f>'INVOCAÇÕES'!$J$183&amp;""</f>
        <v/>
      </c>
      <c r="MZ12" s="164">
        <f>'INVOCAÇÕES'!$J$184&amp;""</f>
        <v/>
      </c>
      <c r="NA12" s="164">
        <f>'INVOCAÇÕES'!$J$185&amp;""</f>
        <v/>
      </c>
      <c r="NB12" s="164">
        <f>'INVOCAÇÕES'!$J$186&amp;""</f>
        <v/>
      </c>
      <c r="NC12" s="164">
        <f>'INVOCAÇÕES'!$J$187&amp;""</f>
        <v/>
      </c>
      <c r="ND12" s="164">
        <f>IF($MT12&lt;&gt;"",1,0)</f>
        <v/>
      </c>
      <c r="NE12" s="164">
        <f>INDEX($FO$2:$FO$13,$MO12)</f>
        <v/>
      </c>
      <c r="NF12" s="164">
        <f>INDEX($FP$2:$FP$13,$MO12)</f>
        <v/>
      </c>
      <c r="NG12" s="164">
        <f>INDEX($FQ$2:$FQ$13,$MO12)</f>
        <v/>
      </c>
      <c r="NH12" s="164">
        <f>INDEX($GB$2:$GB$13,$MO12)</f>
        <v/>
      </c>
      <c r="NI12" s="164">
        <f>INDEX($GC$2:$GC$13,$MO12)</f>
        <v/>
      </c>
      <c r="NJ12" s="164">
        <f>IFERROR(MATCH(SUBSTITUTE(SUBSTITUTE(SUBSTITUTE($MU12,"~","~~"),"*","~*"),"?","~?"),'DADOS_FORMAS'!$FZ$2:$FZ$21,0),0)</f>
        <v/>
      </c>
      <c r="NK12" s="164">
        <f>IFERROR(VLOOKUP(SUBSTITUTE(SUBSTITUTE(SUBSTITUTE($MX12,"~","~~"),"*","~*"),"?","~?"),'DADOS_MELHORIAS'!$AG$2:$AL$113,2,FALSE),"")</f>
        <v/>
      </c>
      <c r="NL12" s="164">
        <f>IFERROR(VLOOKUP(SUBSTITUTE(SUBSTITUTE(SUBSTITUTE($MY12,"~","~~"),"*","~*"),"?","~?"),'DADOS_MELHORIAS'!$AG$2:$AL$113,2,FALSE),"")</f>
        <v/>
      </c>
      <c r="NM12" s="164">
        <f>IFERROR(VLOOKUP(SUBSTITUTE(SUBSTITUTE(SUBSTITUTE($MZ12,"~","~~"),"*","~*"),"?","~?"),'DADOS_MELHORIAS'!$AG$2:$AL$113,2,FALSE),"")</f>
        <v/>
      </c>
      <c r="NN12" s="164">
        <f>IFERROR(VLOOKUP(SUBSTITUTE(SUBSTITUTE(SUBSTITUTE($NA12,"~","~~"),"*","~*"),"?","~?"),'DADOS_MELHORIAS'!$AG$2:$AL$113,2,FALSE),"")</f>
        <v/>
      </c>
      <c r="NO12" s="164">
        <f>IFERROR(VLOOKUP(SUBSTITUTE(SUBSTITUTE(SUBSTITUTE($MX12,"~","~~"),"*","~*"),"?","~?"),'DADOS_MELHORIAS'!$AG$2:$AL$113,3,FALSE),0)</f>
        <v/>
      </c>
      <c r="NP12" s="164">
        <f>IFERROR(VLOOKUP(SUBSTITUTE(SUBSTITUTE(SUBSTITUTE($MY12,"~","~~"),"*","~*"),"?","~?"),'DADOS_MELHORIAS'!$AG$2:$AL$113,3,FALSE),0)</f>
        <v/>
      </c>
      <c r="NQ12" s="164">
        <f>IFERROR(VLOOKUP(SUBSTITUTE(SUBSTITUTE(SUBSTITUTE($MZ12,"~","~~"),"*","~*"),"?","~?"),'DADOS_MELHORIAS'!$AG$2:$AL$113,3,FALSE),0)</f>
        <v/>
      </c>
      <c r="NR12" s="164">
        <f>IFERROR(VLOOKUP(SUBSTITUTE(SUBSTITUTE(SUBSTITUTE($NA12,"~","~~"),"*","~*"),"?","~?"),'DADOS_MELHORIAS'!$AG$2:$AL$113,3,FALSE),0)</f>
        <v/>
      </c>
      <c r="NS12" s="164">
        <f>IF($MS12=0,0,IF($NJ12=0,0,INDEX('DADOS_FORMAS'!$GB$2:$GB$21,$NJ12)))</f>
        <v/>
      </c>
      <c r="NT12" s="164">
        <f>IF(OR($NO12=0,$MS12=0),0,$NO12+3*IF(AND($NK12&lt;&gt;"",COUNTIF(INDEX($RB$2:$RJ$13,$MO12,0),$NK12)&gt;0),1,0))</f>
        <v/>
      </c>
      <c r="NU12" s="164">
        <f>IF(OR($NP12=0,$MS12=0),0,$NP12+3*IF(AND($NL12&lt;&gt;"",COUNTIF(INDEX($RB$2:$RJ$13,$MO12,0),$NL12)&gt;0),1,0))</f>
        <v/>
      </c>
      <c r="NV12" s="164">
        <f>IF(OR($NQ12=0,$MS12=0),0,$NQ12+3*IF(AND($NM12&lt;&gt;"",COUNTIF(INDEX($RB$2:$RJ$13,$MO12,0),$NM12)&gt;0),1,0))</f>
        <v/>
      </c>
      <c r="NW12" s="164">
        <f>IF(OR($NR12=0,$MS12=0),0,$NR12+3*IF(AND($NN12&lt;&gt;"",COUNTIF(INDEX($RB$2:$RJ$13,$MO12,0),$NN12)&gt;0),1,0))</f>
        <v/>
      </c>
      <c r="NX12" s="164">
        <f>IF($NJ12=0,0,IF(INDEX('DADOS_FORMAS'!$GA$2:$GA$21,$NJ12)="",0,IF((COUNTIF(INDEX($EL$2:$EP$13,$MO12,0),INDEX('DADOS_FORMAS'!$GA$2:$GA$21,$NJ12))+COUNTIF(INDEX($QV$2:$QY$13,$MO12,0),INDEX('DADOS_FORMAS'!$GA$2:$GA$21,$NJ12)))=0,1,0)))</f>
        <v/>
      </c>
      <c r="NY12" s="164">
        <f>IF(OR($NO12=0,$NK12=""),0,IF((COUNTIF(INDEX($EL$2:$EP$13,$MO12,0),$NK12)+COUNTIF(INDEX($QV$2:$QY$13,$MO12,0),$NK12))=0,1,0))</f>
        <v/>
      </c>
      <c r="NZ12" s="164">
        <f>IF(OR($NP12=0,$NL12=""),0,IF((COUNTIF(INDEX($EL$2:$EP$13,$MO12,0),$NL12)+COUNTIF(INDEX($QV$2:$QY$13,$MO12,0),$NL12))=0,1,0))</f>
        <v/>
      </c>
      <c r="OA12" s="164">
        <f>IF(OR($NQ12=0,$NM12=""),0,IF((COUNTIF(INDEX($EL$2:$EP$13,$MO12,0),$NM12)+COUNTIF(INDEX($QV$2:$QY$13,$MO12,0),$NM12))=0,1,0))</f>
        <v/>
      </c>
      <c r="OB12" s="164">
        <f>IF(OR($NR12=0,$NN12=""),0,IF((COUNTIF(INDEX($EL$2:$EP$13,$MO12,0),$NN12)+COUNTIF(INDEX($QV$2:$QY$13,$MO12,0),$NN12))=0,1,0))</f>
        <v/>
      </c>
      <c r="OC12" s="164">
        <f>IFERROR(VLOOKUP(SUBSTITUTE(SUBSTITUTE(SUBSTITUTE($MX12,"~","~~"),"*","~*"),"?","~?"),'DADOS_MELHORIAS'!$AG$2:$AL$113,4,FALSE),0)+IFERROR(VLOOKUP(SUBSTITUTE(SUBSTITUTE(SUBSTITUTE($MY12,"~","~~"),"*","~*"),"?","~?"),'DADOS_MELHORIAS'!$AG$2:$AL$113,4,FALSE),0)+IFERROR(VLOOKUP(SUBSTITUTE(SUBSTITUTE(SUBSTITUTE($MZ12,"~","~~"),"*","~*"),"?","~?"),'DADOS_MELHORIAS'!$AG$2:$AL$113,4,FALSE),0)+IFERROR(VLOOKUP(SUBSTITUTE(SUBSTITUTE(SUBSTITUTE($NA12,"~","~~"),"*","~*"),"?","~?"),'DADOS_MELHORIAS'!$AG$2:$AL$113,4,FALSE),0)</f>
        <v/>
      </c>
      <c r="OD12" s="164">
        <f>IFERROR(VLOOKUP(SUBSTITUTE(SUBSTITUTE(SUBSTITUTE($MX12,"~","~~"),"*","~*"),"?","~?"),'DADOS_MELHORIAS'!$AG$2:$AL$113,6,FALSE),0)+IFERROR(VLOOKUP(SUBSTITUTE(SUBSTITUTE(SUBSTITUTE($MY12,"~","~~"),"*","~*"),"?","~?"),'DADOS_MELHORIAS'!$AG$2:$AL$113,6,FALSE),0)+IFERROR(VLOOKUP(SUBSTITUTE(SUBSTITUTE(SUBSTITUTE($MZ12,"~","~~"),"*","~*"),"?","~?"),'DADOS_MELHORIAS'!$AG$2:$AL$113,6,FALSE),0)+IFERROR(VLOOKUP(SUBSTITUTE(SUBSTITUTE(SUBSTITUTE($NA12,"~","~~"),"*","~*"),"?","~?"),'DADOS_MELHORIAS'!$AG$2:$AL$113,6,FALSE),0)+IFERROR(N(AND(INDEX('DADOS_FORMAS'!$AO$2:$AO$21,MATCH(SUBSTITUTE(SUBSTITUTE(SUBSTITUTE($MU12,"~","~~"),"*","~*"),"?","~?"),'DADOS_FORMAS'!$AH$2:$AH$21,0))="Acerto",$OH12=1)),0)</f>
        <v/>
      </c>
      <c r="OE12" s="164">
        <f>TEXTJOIN(", ",TRUE,IF(IFERROR(VLOOKUP(SUBSTITUTE(SUBSTITUTE(SUBSTITUTE($MX12,"~","~~"),"*","~*"),"?","~?"),'DADOS_MELHORIAS'!$AG$2:$AL$113,5,FALSE),0)=1,$MX12,""),IF(IFERROR(VLOOKUP(SUBSTITUTE(SUBSTITUTE(SUBSTITUTE($MY12,"~","~~"),"*","~*"),"?","~?"),'DADOS_MELHORIAS'!$AG$2:$AL$113,5,FALSE),0)=1,$MY12,""),IF(IFERROR(VLOOKUP(SUBSTITUTE(SUBSTITUTE(SUBSTITUTE($MZ12,"~","~~"),"*","~*"),"?","~?"),'DADOS_MELHORIAS'!$AG$2:$AL$113,5,FALSE),0)=1,$MZ12,""),IF(IFERROR(VLOOKUP(SUBSTITUTE(SUBSTITUTE(SUBSTITUTE($NA12,"~","~~"),"*","~*"),"?","~?"),'DADOS_MELHORIAS'!$AG$2:$AL$113,5,FALSE),0)=1,$NA12,""))</f>
        <v/>
      </c>
      <c r="OF12" s="164">
        <f>IF($NJ12=0,0,INDEX('DADOS_FORMAS'!$GC$2:$GC$21,$NJ12))</f>
        <v/>
      </c>
      <c r="OG12" s="164">
        <f>IF($NJ12=0,0,INDEX('DADOS_FORMAS'!$GD$2:$GD$21,$NJ12))</f>
        <v/>
      </c>
      <c r="OH12" s="164">
        <f>IF($NJ12=0,0,INDEX('DADOS_FORMAS'!$GF$2:$GF$21,$NJ12))</f>
        <v/>
      </c>
      <c r="OI12" s="164">
        <f>IFERROR(VLOOKUP(SUBSTITUTE(SUBSTITUTE(SUBSTITUTE($NB12,"~","~~"),"*","~*"),"?","~?"),'DADOS_RESTRICOES'!$M$2:$Q$54,3,FALSE),0)</f>
        <v/>
      </c>
      <c r="OJ12" s="164">
        <f>IFERROR(VLOOKUP(SUBSTITUTE(SUBSTITUTE(SUBSTITUTE($NC12,"~","~~"),"*","~*"),"?","~?"),'DADOS_RESTRICOES'!$M$2:$Q$54,3,FALSE),0)</f>
        <v/>
      </c>
      <c r="OK12" s="164">
        <f>IFERROR(VLOOKUP(SUBSTITUTE(SUBSTITUTE(SUBSTITUTE($NB12,"~","~~"),"*","~*"),"?","~?"),'DADOS_RESTRICOES'!$M$2:$Q$54,2,FALSE),"")</f>
        <v/>
      </c>
      <c r="OL12" s="164">
        <f>IFERROR(VLOOKUP(SUBSTITUTE(SUBSTITUTE(SUBSTITUTE($NC12,"~","~~"),"*","~*"),"?","~?"),'DADOS_RESTRICOES'!$M$2:$Q$54,2,FALSE),"")</f>
        <v/>
      </c>
      <c r="OM12" s="164">
        <f>COUNTIF($NS12:$NW12,1)</f>
        <v/>
      </c>
      <c r="ON12" s="164">
        <f>COUNTIF($NS12:$NW12,2)</f>
        <v/>
      </c>
      <c r="OO12" s="164">
        <f>COUNTIF($NS12:$NW12,3)</f>
        <v/>
      </c>
      <c r="OP12" s="164">
        <f>COUNTIF($NS12:$NW12,4)</f>
        <v/>
      </c>
      <c r="OQ12" s="164">
        <f>COUNTIF($NS12:$NW12,5)</f>
        <v/>
      </c>
      <c r="OR12" s="164">
        <f>COUNTIF($NS12:$NW12,6)</f>
        <v/>
      </c>
      <c r="OS12" s="164">
        <f>COUNTIF($OI12:$OJ12,1)+IF(IFERROR(INDEX('DADOS_FORMAS'!$AS$2:$AS$21,MATCH(SUBSTITUTE(SUBSTITUTE(SUBSTITUTE($MU12,"~","~~"),"*","~*"),"?","~?"),'DADOS_FORMAS'!$AH$2:$AH$21,0)),"")="",0,IFERROR(N(VLOOKUP(SUBSTITUTE(SUBSTITUTE(SUBSTITUTE(IFERROR(INDEX('DADOS_FORMAS'!$AS$2:$AS$21,MATCH(SUBSTITUTE(SUBSTITUTE(SUBSTITUTE($MU12,"~","~~"),"*","~*"),"?","~?"),'DADOS_FORMAS'!$AH$2:$AH$21,0)),""),"~","~~"),"*","~*"),"?","~?"),'DADOS_RESTRICOES'!$M$2:$Q$54,3,FALSE)=1),0))</f>
        <v/>
      </c>
      <c r="OT12" s="164">
        <f>COUNTIF($OI12:$OJ12,2)+IF(IFERROR(INDEX('DADOS_FORMAS'!$AS$2:$AS$21,MATCH(SUBSTITUTE(SUBSTITUTE(SUBSTITUTE($MU12,"~","~~"),"*","~*"),"?","~?"),'DADOS_FORMAS'!$AH$2:$AH$21,0)),"")="",0,IFERROR(N(VLOOKUP(SUBSTITUTE(SUBSTITUTE(SUBSTITUTE(IFERROR(INDEX('DADOS_FORMAS'!$AS$2:$AS$21,MATCH(SUBSTITUTE(SUBSTITUTE(SUBSTITUTE($MU12,"~","~~"),"*","~*"),"?","~?"),'DADOS_FORMAS'!$AH$2:$AH$21,0)),""),"~","~~"),"*","~*"),"?","~?"),'DADOS_RESTRICOES'!$M$2:$Q$54,3,FALSE)=2),0))</f>
        <v/>
      </c>
      <c r="OU12" s="164">
        <f>COUNTIF($MX12:$NA12,"?*")</f>
        <v/>
      </c>
      <c r="OV12" s="164">
        <f>COUNTIF($NB12:$NC12,"?*")+$OF12</f>
        <v/>
      </c>
      <c r="OW12" s="164">
        <f>IF($MS12=0,0,SUMPRODUCT($OM12:$OR12,INDEX($I$2:$N$8,MAX(1,$MS12),0)))</f>
        <v/>
      </c>
      <c r="OX12" s="164">
        <f>IF($MS12=0,0,$OS12*CEILING($MS12/2,1)+$OT12*$MS12)</f>
        <v/>
      </c>
      <c r="OY12" s="164">
        <f>MIN(2*$MS12,$OX12)</f>
        <v/>
      </c>
      <c r="OZ12" s="164">
        <f>MIN($OY12,$OW12-IF($NS12=0,0,INDEX($I$2:$N$8,MAX(1,$MS12),$NS12)))</f>
        <v/>
      </c>
      <c r="PA12" s="164">
        <f>$OY12-$OZ12</f>
        <v/>
      </c>
      <c r="PB12" s="164">
        <f>IF($MS12=0,0,INDEX($P$2:$P$8,MAX(1,$MS12)))</f>
        <v/>
      </c>
      <c r="PC12" s="164">
        <f>$PB12-$OW12+$OZ12</f>
        <v/>
      </c>
      <c r="PD12" s="164">
        <f>IF($MS12=0,MAX(0,$NG12-IF(AND($OU12&gt;0,COUNTIF($NB12:$NC12,"?*")=0),1,0)),MAX(0,$PC12))</f>
        <v/>
      </c>
      <c r="PE12" s="164">
        <f>IF($MS12=0,0,(IF(COUNTIF($RK12:$RN12,"Salto")&gt;0,1,0)+IF(COUNTIF($RK12:$RN12,"Queima")&gt;0,1,0)+IF(COUNTIF($RK12:$RN12,"Estilhaço")&gt;0,1,0))*FLOOR($PD12/2,1))</f>
        <v/>
      </c>
      <c r="PF12" s="164">
        <f>MAX(0,2-SUMPRODUCT($OM12:$OR12,$I$2:$N$2)+MIN(2,$OS12*1+$OT12*1,SUMPRODUCT($OM12:$OR12,$I$2:$N$2)-IF($NS12=0,0,INDEX($I$2:$N$2,1,$NS12))))</f>
        <v/>
      </c>
      <c r="PG12" s="164">
        <f>MAX(0,4-SUMPRODUCT($OM12:$OR12,$I$3:$N$3)+MIN(4,$OS12*1+$OT12*2,SUMPRODUCT($OM12:$OR12,$I$3:$N$3)-IF($NS12=0,0,INDEX($I$3:$N$3,1,$NS12))))</f>
        <v/>
      </c>
      <c r="PH12" s="164">
        <f>MAX(0,6-SUMPRODUCT($OM12:$OR12,$I$4:$N$4)+MIN(6,$OS12*2+$OT12*3,SUMPRODUCT($OM12:$OR12,$I$4:$N$4)-IF($NS12=0,0,INDEX($I$4:$N$4,1,$NS12))))</f>
        <v/>
      </c>
      <c r="PI12" s="164">
        <f>MAX(0,9-SUMPRODUCT($OM12:$OR12,$I$5:$N$5)+MIN(8,$OS12*2+$OT12*4,SUMPRODUCT($OM12:$OR12,$I$5:$N$5)-IF($NS12=0,0,INDEX($I$5:$N$5,1,$NS12))))</f>
        <v/>
      </c>
      <c r="PJ12" s="164">
        <f>MAX(0,11-SUMPRODUCT($OM12:$OR12,$I$6:$N$6)+MIN(10,$OS12*3+$OT12*5,SUMPRODUCT($OM12:$OR12,$I$6:$N$6)-IF($NS12=0,0,INDEX($I$6:$N$6,1,$NS12))))</f>
        <v/>
      </c>
      <c r="PK12" s="164">
        <f>MAX(0,13-SUMPRODUCT($OM12:$OR12,$I$7:$N$7)+MIN(12,$OS12*3+$OT12*6,SUMPRODUCT($OM12:$OR12,$I$7:$N$7)-IF($NS12=0,0,INDEX($I$7:$N$7,1,$NS12))))</f>
        <v/>
      </c>
      <c r="PL12" s="164">
        <f>MAX(0,16-SUMPRODUCT($OM12:$OR12,$I$8:$N$8)+MIN(14,$OS12*4+$OT12*7,SUMPRODUCT($OM12:$OR12,$I$8:$N$8)-IF($NS12=0,0,INDEX($I$8:$N$8,1,$NS12))))</f>
        <v/>
      </c>
      <c r="PM12" s="164">
        <f>IF($OG12=2,3*$PF12&amp;" de vida temp.",IF($OG12=3,"sem dano",IF($PF12=0,IF($OG12=1,"sem cura","sem dano"),IF($OG12=1,"cura ","")&amp;$PF12&amp;"d8")))</f>
        <v/>
      </c>
      <c r="PN12" s="164">
        <f>IF($OG12=2,3*$PG12&amp;" de vida temp.",IF($OG12=3,"sem dano",IF($PG12=0,IF($OG12=1,"sem cura","sem dano"),IF($OG12=1,"cura ","")&amp;$PG12&amp;"d8")))</f>
        <v/>
      </c>
      <c r="PO12" s="164">
        <f>IF($OG12=2,3*$PH12&amp;" de vida temp.",IF($OG12=3,"sem dano",IF($PH12=0,IF($OG12=1,"sem cura","sem dano"),IF($OG12=1,"cura ","")&amp;$PH12&amp;"d8")))</f>
        <v/>
      </c>
      <c r="PP12" s="164">
        <f>IF($OG12=2,3*$PI12&amp;" de vida temp.",IF($OG12=3,"sem dano",IF($PI12=0,IF($OG12=1,"sem cura","sem dano"),IF($OG12=1,"cura ","")&amp;$PI12&amp;"d8")))</f>
        <v/>
      </c>
      <c r="PQ12" s="164">
        <f>IF($OG12=2,3*$PJ12&amp;" de vida temp.",IF($OG12=3,"sem dano",IF($PJ12=0,IF($OG12=1,"sem cura","sem dano"),IF($OG12=1,"cura ","")&amp;$PJ12&amp;"d8")))</f>
        <v/>
      </c>
      <c r="PR12" s="164">
        <f>IF($OG12=2,3*$PK12&amp;" de vida temp.",IF($OG12=3,"sem dano",IF($PK12=0,IF($OG12=1,"sem cura","sem dano"),IF($OG12=1,"cura ","")&amp;$PK12&amp;"d8")))</f>
        <v/>
      </c>
      <c r="PS12" s="164">
        <f>IF($OG12=2,3*$PL12&amp;" de vida temp.",IF($OG12=3,"sem dano",IF($PL12=0,IF($OG12=1,"sem cura","sem dano"),IF($OG12=1,"cura ","")&amp;$PL12&amp;"d8")))</f>
        <v/>
      </c>
      <c r="PT12" s="164">
        <f>IF($ND12=0,"",TEXTJOIN(" · ",TRUE,IF($ND12=0,"",TEXTJOIN(" · ",TRUE,IF($ND12=0,"",TEXTJOIN(" · ",TRUE,IF($MQ12&gt;$NE12,"Este lugar abre no nível "&amp;$MQ12,""),IF($MS12&gt;$NF12,"Classe "&amp;$MS12&amp;": o nível "&amp;$NE12&amp;" libera até a "&amp;$NF12,""),IF($NX12=1,"A Forma "&amp;$MU12&amp;" pede "&amp;INDEX('DADOS_FORMAS'!$GA$2:$GA$21,$NJ12)&amp;" aberta",""),IF(AND($MS12=0,$NJ12&gt;0,IF($NJ12=0,0,INDEX('DADOS_FORMAS'!$GJ$2:$GJ$21,$NJ12))=0),$MU12&amp;" não existe na Classe 0",""),IF($NY12=1,"Família Fechada: "&amp;$MX12,""),IF($NZ12=1,"Família Fechada: "&amp;$MY12,""),IF($OA12=1,"Família Fechada: "&amp;$MZ12,""),IF($OB12=1,"Família Fechada: "&amp;$NA12,""),IF(AND($MS12&gt;0,$OU12&gt;INDEX($O$2:$O$8,MAX(1,$MS12))),$OU12&amp;" Melhorias: a Classe "&amp;$MS12&amp;" aceita "&amp;INDEX($O$2:$O$8,MAX(1,$MS12)),""),IF(AND($MS12=0,$OU12&gt;1),"A básica aceita uma Melhoria",""),IF(AND($MS12=0,COUNTIF($NO12:$NR12,"&gt;1")&gt;0),"A básica só aceita Melhoria Leve",""),IF(AND($MS12&gt;0,$OV12&gt;2),$OV12&amp;" Restrições"&amp;IF($OF12=1,", contando a que a Forma "&amp;$MU12&amp;" já traz","")&amp;": o limite é 2",""),IF(AND($MS12=0,COUNTIF($NB12:$NC12,"?*")&gt;1),"A básica aceita uma Restrição Leve",""),IF(AND($MS12=0,COUNTIF($OI12:$OJ12,2)&gt;0),"A básica só aceita Restrição Leve",""),IF(AND($MS12&gt;0,$PC12&lt;0),"Orçamento estourado: faltam "&amp;(-$PC12)&amp;IF($PC12&lt;-1," pontos"," ponto"),""),IF(IFERROR(VLOOKUP(SUBSTITUTE(SUBSTITUTE(SUBSTITUTE($NB12,"~","~~"),"*","~*"),"?","~?"),'DADOS_RESTRICOES'!$M$2:$Q$54,4,FALSE),0)+IFERROR(VLOOKUP(SUBSTITUTE(SUBSTITUTE(SUBSTITUTE($NC12,"~","~~"),"*","~*"),"?","~?"),'DADOS_RESTRICOES'!$M$2:$Q$54,4,FALSE),0)&gt;1,$OK12&amp;" e "&amp;$OL12&amp;" são as duas de frequência",""),IF(AND((COUNTIF($RK12:$RN12,"Rápido")+COUNTIF($OK12:$OL12,"Rápido"))&gt;0,(COUNTIF($MX12:$NA12,"Atrasar")+COUNTIF($OK12:$OL12,"Atrasar"))&gt;0),"Rápido não entra com Atrasar",""),IF(AND((COUNTIF($RK12:$RN12,"Reação")+COUNTIF($OK12:$OL12,"Reação"))&gt;0,(COUNTIF($RK12:$RN12,"Rápido")+COUNTIF($OK12:$OL12,"Rápido"))&gt;0),"Reação não entra com Rápido",""),IF(AND((COUNTIF($RK12:$RN12,"Reação")+COUNTIF($OK12:$OL12,"Reação"))&gt;0,(COUNTIF($RK12:$RN12,"Armado")+COUNTIF($OK12:$OL12,"Armado"))&gt;0),"Reação não entra com Armado",""),IF(AND((COUNTIF($RK12:$RN12,"Reação")+COUNTIF($OK12:$OL12,"Reação"))&gt;0,(COUNTIF($MX12:$NA12,"Atrasar")+COUNTIF($OK12:$OL12,"Atrasar"))&gt;0),"Reação não entra com Atrasar",""),IF(AND((COUNTIF($RK12:$RN12,"Reação")+COUNTIF($OK12:$OL12,"Reação"))&gt;0,(COUNTIF($MX12:$NA12,"Parado")+COUNTIF($OK12:$OL12,"Parado"))&gt;0),"Reação não entra com Parado",""),IF(AND((COUNTIF($MX12:$NA12,"Atrasar")+COUNTIF($OK12:$OL12,"Atrasar"))&gt;0,(COUNTIF($MX12:$NA12,"Parado")+COUNTIF($OK12:$OL12,"Parado"))&gt;0),"Atrasar não entra com Parado",""),IF(AND((COUNTIF($RK12:$RN12,"Armado")+COUNTIF($OK12:$OL12,"Armado"))&gt;0,(COUNTIF($MX12:$NA12,"Carregar")+COUNTIF($OK12:$OL12,"Carregar"))&gt;0),"Armado não entra com Carregar",""),IF(AND(COUNTIF($OK12:$OL12,"Corpo a Corpo")&gt;0,$OF12=0,OR($RO12="Cone",$RO12="Linha")),"Corpo a Corpo não entra em "&amp;$MU12,""),IF(AND(COUNTIF($OK12:$OL12,"Corpo a Corpo")&gt;0,$RP12="Corpo a Corpo"),"A Forma "&amp;$MU12&amp;" já traz o Corpo a Corpo",""),IF(AND(COUNTIF($OK12:$OL12,"Tudo ou Nada")&gt;0,$OH12=0),"Tudo ou Nada só entra em habilidade de Teste de Resistência",""),IF(AND(COUNTIF($RK12:$RN12,"Inescapável")&gt;0,OR($OU12&gt;1,$OV12&gt;0)),"Inescapável não aceita outra peça",""),IF(AND($MS12&gt;0,$PD12*IF(COUNTIF($RK12:$RN12,"Remate")&gt;0,1.25,1)+$PE12&gt;4*$MS12),($PD12*IF(COUNTIF($RK12:$RN12,"Remate")&gt;0,1.25,1)+$PE12)&amp;" dados somando repetições"&amp;IF(COUNTIF($RK12:$RN12,"Remate")&gt;0," e o Remate","")&amp;": o teto da Classe "&amp;$MS12&amp;" é "&amp;4*$MS12,""))),IF(AND($MX12&lt;&gt;"",COUNTIF('DADOS_MELHORIAS'!$O$2:$O$113,SUBSTITUTE(SUBSTITUTE(SUBSTITUTE($MX12,"~","~~"),"*","~*"),"?","~?"))=0),"Melhoria não cadastrada ou com erro: "&amp;$MX12,""),IF(AND($MY12&lt;&gt;"",COUNTIF('DADOS_MELHORIAS'!$O$2:$O$113,SUBSTITUTE(SUBSTITUTE(SUBSTITUTE($MY12,"~","~~"),"*","~*"),"?","~?"))=0),"Melhoria não cadastrada ou com erro: "&amp;$MY12,""),IF(AND($MZ12&lt;&gt;"",COUNTIF('DADOS_MELHORIAS'!$O$2:$O$113,SUBSTITUTE(SUBSTITUTE(SUBSTITUTE($MZ12,"~","~~"),"*","~*"),"?","~?"))=0),"Melhoria não cadastrada ou com erro: "&amp;$MZ12,""),IF(AND($NA12&lt;&gt;"",COUNTIF('DADOS_MELHORIAS'!$O$2:$O$113,SUBSTITUTE(SUBSTITUTE(SUBSTITUTE($NA12,"~","~~"),"*","~*"),"?","~?"))=0),"Melhoria não cadastrada ou com erro: "&amp;$NA12,""),IF(AND($NB12&lt;&gt;"",COUNTIF('DADOS_RESTRICOES'!$M$2:$M$54,SUBSTITUTE(SUBSTITUTE(SUBSTITUTE($NB12,"~","~~"),"*","~*"),"?","~?"))=0),"Restrição não cadastrada ou com erro: "&amp;$NB12,""),IF(AND($NC12&lt;&gt;"",COUNTIF('DADOS_RESTRICOES'!$M$2:$M$54,SUBSTITUTE(SUBSTITUTE(SUBSTITUTE($NC12,"~","~~"),"*","~*"),"?","~?"))=0),"Restrição não cadastrada ou com erro: "&amp;$NC12,""))),IF(AND($MU12&lt;&gt;"",COUNTIF('DADOS_FORMAS'!$AH$2:$AH$21,SUBSTITUTE(SUBSTITUTE(SUBSTITUTE($MU12,"~","~~"),"*","~*"),"?","~?"))=0),"Forma não cadastrada ou com erro: "&amp;$MU12,""),IF(AND(IFERROR(INDEX('DADOS_FORMAS'!$AS$2:$AS$21,MATCH(SUBSTITUTE(SUBSTITUTE(SUBSTITUTE($MU12,"~","~~"),"*","~*"),"?","~?"),'DADOS_FORMAS'!$AH$2:$AH$21,0)),"")&lt;&gt;"",OR(IFERROR(VLOOKUP(SUBSTITUTE(SUBSTITUTE(SUBSTITUTE(IFERROR(INDEX('DADOS_FORMAS'!$AS$2:$AS$21,MATCH(SUBSTITUTE(SUBSTITUTE(SUBSTITUTE($MU12,"~","~~"),"*","~*"),"?","~?"),'DADOS_FORMAS'!$AH$2:$AH$21,0)),""),"~","~~"),"*","~*"),"?","~?"),'DADOS_RESTRICOES'!$M$2:$Q$54,2,FALSE),"")=$OK12,IFERROR(VLOOKUP(SUBSTITUTE(SUBSTITUTE(SUBSTITUTE(IFERROR(INDEX('DADOS_FORMAS'!$AS$2:$AS$21,MATCH(SUBSTITUTE(SUBSTITUTE(SUBSTITUTE($MU12,"~","~~"),"*","~*"),"?","~?"),'DADOS_FORMAS'!$AH$2:$AH$21,0)),""),"~","~~"),"*","~*"),"?","~?"),'DADOS_RESTRICOES'!$M$2:$Q$54,2,FALSE),"")=$OL12)),"Restrição repetida, contando a embutida",""),IF(IF(IFERROR(INDEX('DADOS_FORMAS'!$AS$2:$AS$21,MATCH(SUBSTITUTE(SUBSTITUTE(SUBSTITUTE($MU12,"~","~~"),"*","~*"),"?","~?"),'DADOS_FORMAS'!$AH$2:$AH$21,0)),"")="",0,IFERROR(N(VLOOKUP(SUBSTITUTE(SUBSTITUTE(SUBSTITUTE(IFERROR(INDEX('DADOS_FORMAS'!$AS$2:$AS$21,MATCH(SUBSTITUTE(SUBSTITUTE(SUBSTITUTE($MU12,"~","~~"),"*","~*"),"?","~?"),'DADOS_FORMAS'!$AH$2:$AH$21,0)),""),"~","~~"),"*","~*"),"?","~?"),'DADOS_RESTRICOES'!$M$2:$Q$54,4,FALSE)=1),0))+IF($NB12="",0,IFERROR(N(VLOOKUP(SUBSTITUTE(SUBSTITUTE(SUBSTITUTE($NB12,"~","~~"),"*","~*"),"?","~?"),'DADOS_RESTRICOES'!$M$2:$Q$54,4,FALSE)=1),0))+IF($NC12="",0,IFERROR(N(VLOOKUP(SUBSTITUTE(SUBSTITUTE(SUBSTITUTE($NC12,"~","~~"),"*","~*"),"?","~?"),'DADOS_RESTRICOES'!$M$2:$Q$54,4,FALSE)=1),0))&gt;1,"Duas Restrições de frequência, contando a embutida",""),IF(AND(IFERROR(VLOOKUP(SUBSTITUTE(SUBSTITUTE(SUBSTITUTE(IFERROR(INDEX('DADOS_FORMAS'!$AS$2:$AS$21,MATCH(SUBSTITUTE(SUBSTITUTE(SUBSTITUTE($MU12,"~","~~"),"*","~*"),"?","~?"),'DADOS_FORMAS'!$AH$2:$AH$21,0)),""),"~","~~"),"*","~*"),"?","~?"),'DADOS_RESTRICOES'!$M$2:$Q$54,2,FALSE),"")="Tudo ou Nada",$OH12=0),"Tudo ou Nada exige TR",""),IF(AND(IFERROR(VLOOKUP(SUBSTITUTE(SUBSTITUTE(SUBSTITUTE(IFERROR(INDEX('DADOS_FORMAS'!$AS$2:$AS$21,MATCH(SUBSTITUTE(SUBSTITUTE(SUBSTITUTE($MU12,"~","~~"),"*","~*"),"?","~?"),'DADOS_FORMAS'!$AH$2:$AH$21,0)),""),"~","~~"),"*","~*"),"?","~?"),'DADOS_RESTRICOES'!$M$2:$Q$54,2,FALSE),"")="Corpo a Corpo",OR($RO12="Cone",$RO12="Linha")),"Corpo a Corpo não entra em Cone/Linha","")))</f>
        <v/>
      </c>
      <c r="PU12" s="164">
        <f>IF($PT12="",0,(LEN($PT12)-LEN(SUBSTITUTE($PT12," · ","")))/3+1)</f>
        <v/>
      </c>
      <c r="PV12" s="164">
        <f>IF($ND12=0,"",TEXTJOIN(" · ",TRUE,IF($OX12&gt;2*$MS12,"A devolução parou no teto de "&amp;2*$MS12,""),IF($PA12&gt;0,"Devolução perdida: "&amp;$PA12&amp;IF($PA12&gt;1," pontos"," ponto")&amp;" sem Melhoria para pagar",""),IF(AND($OC12&gt;0,AND($MS12&gt;0,$OG12=0),$PD12=0),"Controle sem dano: uma rodada a mais e CD +2",""),IF(AND($OC12&gt;0,AND($MS12&gt;0,$OG12=0),$PD12&gt;0,$PD12&lt;=$MS12),"Controle com saldo até a Classe: uma rodada a mais",""),IF(AND($MS12&gt;0,$OE12&lt;&gt;""),"Efeito de "&amp;$OE12&amp;" pela Classe "&amp;MAX(1,$MS12-1),"")))</f>
        <v/>
      </c>
      <c r="PW12" s="164">
        <f>IF($PV12="",0,(LEN($PV12)-LEN(SUBSTITUTE($PV12," · ","")))/3+1)</f>
        <v/>
      </c>
      <c r="PX12" s="164">
        <f>IF($ND12=0,IF($OU12+COUNTIF($NB12:$NC12,"?*")&gt;0,"Dê um nome",""),IF($PU12&gt;0,"⚠ "&amp;$PU12&amp;IF($PU12&gt;1," erros"," erro"),IF($PW12&gt;0,"! "&amp;$PW12&amp;IF($PW12&gt;1," avisos"," aviso"),"Na regra")))</f>
        <v/>
      </c>
      <c r="PY12" s="164">
        <f>IF($ND12=0,"",IF($PU12+$PW12=0,"Dentro das regras que a ficha confere",$PT12&amp;IF(AND($PU12&gt;0,$PW12&gt;0)," · ","")&amp;$PV12))</f>
        <v/>
      </c>
      <c r="PZ12" s="164">
        <f>IF($MQ12&gt;$NE12,$MR12&amp;" · ABRE NO NÍVEL "&amp;$MQ12,$MR12)</f>
        <v/>
      </c>
      <c r="QA12" s="164">
        <f>IF($ND12=0,"",IF($MS12=0,"Sem PE",3*$MS12&amp;" PE"))</f>
        <v/>
      </c>
      <c r="QB12" s="164">
        <f>IF($ND12=0,"",IF($MS12=0,"A atuação básica dela",IF(COUNTIF($RQ12:$RS12,"Atrasar")&gt;0,"Sua Ação Completa",IF(COUNTIF($RK12:$RN12,"Rápido")&gt;0,"Sua Bônus",IF(COUNTIF($RK12:$RN12,"Reação")&gt;0,"Sua Reação","Sua Padrão")))&amp;" + a básica dela"&amp;IF(COUNTIF($RK12:$RN12,"Reação")&gt;0," e a coletiva","")&amp;IF(COUNTIF($RQ12:$RS12,"Carregar")&gt;0," · em dois turnos","")))</f>
        <v/>
      </c>
      <c r="QC12" s="164">
        <f>IF($MW12&lt;&gt;"",$MW12,IF($NJ12=0,"",INDEX('DADOS_FORMAS'!$GE$2:$GE$21,$NJ12)))</f>
        <v/>
      </c>
      <c r="QD12" s="164">
        <f>IF(OR($ND12=0,$NJ12=0),"",IF(COUNTIF($RK12:$RN12,"Inescapável")&gt;0,"Automático",IF($QC12="Ataque",IF($NH12="","Ataque","Ataque "&amp;IF(($NH12+2*IF(COUNTIF($RK12:$RN12,"Precisão")&gt;0,1,0))&gt;=0,"+","−")&amp;ABS(($NH12+2*IF(COUNTIF($RK12:$RN12,"Precisão")&gt;0,1,0))))&amp;IF($OD12&gt;0," · TR"&amp;IF($NI12="",""," CD "&amp;$NI12),""),IF(LEFT($QC12,2)="TR",$QC12&amp;IF($NI12="",""," · CD "&amp;$NI12)&amp;IF(COUNTIF($RK12:$RN12,"Certeiro")&gt;0," · metade",""),"Sem rolagem"))))</f>
        <v/>
      </c>
      <c r="QE12" s="164">
        <f>IF(OR($ND12=0,$NJ12=0),"",IF($MS12=0,IF(OR($OG12&gt;=1,$PD12=0),"Sem dano",$PD12&amp;"d6"&amp;IF($MV12="",""," "&amp;$MV12)),IF(OR($OG12&gt;=1,$PD12=0),UPPER(LEFT(INDEX($PM12:$PS12,1,MAX(1,$MS12)),1))&amp;MID(INDEX($PM12:$PS12,1,MAX(1,$MS12)),2,99),UPPER(LEFT(INDEX($PM12:$PS12,1,MAX(1,$MS12)),1))&amp;MID(INDEX($PM12:$PS12,1,MAX(1,$MS12)),2,99)&amp;IF($MV12="",""," "&amp;$MV12)&amp;IF($PE12&gt;0," · +"&amp;$PE12&amp;"d8",""))))</f>
        <v/>
      </c>
      <c r="QF12" s="164">
        <f>COUNTIF($RK12:$RN12,"Longe")+3*COUNTIF($RK12:$RN12,"Muito Longe")</f>
        <v/>
      </c>
      <c r="QG12" s="164">
        <f>COUNTIF($RK12:$RN12,"Maior")+3*COUNTIF($RK12:$RN12,"Muito Maior")</f>
        <v/>
      </c>
      <c r="QH12" s="164">
        <f>IF($NJ12=0,0,CHOOSE(1+INDEX('DADOS_FORMAS'!$GG$2:$GG$21,$NJ12),0,$QF12,$QG12,$QF12+$QG12))</f>
        <v/>
      </c>
      <c r="QI12" s="164">
        <f>IF($NJ12=0,0,CHOOSE(1+INDEX('DADOS_FORMAS'!$GH$2:$GH$21,$NJ12),0,$QF12,$QG12,$QF12+$QG12))</f>
        <v/>
      </c>
      <c r="QJ12" s="164">
        <f>IF(OR($ND12=0,$NJ12=0),"",INDEX('DADOS_FORMAS'!$HU$2:$HZ$81,($NJ12-1)*4+IF($MS12=0,1,IF($MS12&lt;=5,2,IF($MS12=6,3,4))),1+MIN(5,$QH12))&amp;INDEX('DADOS_FORMAS'!$IA$2:$IF$81,($NJ12-1)*4+IF($MS12=0,1,IF($MS12&lt;=5,2,IF($MS12=6,3,4))),1+MIN(5,$QI12))&amp;IF(INDEX('DADOS_FORMAS'!$GI$2:$GI$21,$NJ12)=1,IF(COUNTIF($RK12:$RN12,"Mais Um")&gt;0," · +"&amp;COUNTIF($RK12:$RN12,"Mais Um")&amp;IF(COUNTIF($RK12:$RN12,"Mais Um")&gt;1," alvos"," alvo"),"")&amp;IF(COUNTIF($RK12:$RN12,"Rajada")&gt;0,IF($MS12=0," · 1 tiro"," · "&amp;(MAX(1,$MS12-1)+1)&amp;" tiros"),""),""))</f>
        <v/>
      </c>
      <c r="QK12" s="164">
        <f>IF($ND12=0,"",IF($MS12=0,$NG12&amp;"d6"&amp;IF($OU12&gt;0," − 1 = "&amp;$PD12&amp;"d6"," da básica do nível "&amp;$NE12),$PB12&amp;" − "&amp;$OW12&amp;" + "&amp;$OZ12&amp;" = "&amp;$PC12&amp;" · teto "&amp;4*$MS12&amp;"d8"&amp;IF($OF12=1," · a Forma devolve "&amp;$MS12,"")&amp;IF($PA12&gt;0," · perde "&amp;$PA12,"")))</f>
        <v/>
      </c>
      <c r="QL12" s="164">
        <f>IF($ND12=0,"",IF($MS12=0,"A básica não amplia: os dados dela sobem com o nível",IF($MS12&gt;=$NF12,"Já está na maior Classe que o nível liberou",TEXTJOIN(" · ",TRUE,IF(AND(2&gt;$MS12,2&lt;=$NF12),"2 → "&amp;$PN12&amp;", 6 PE",""),IF(AND(3&gt;$MS12,3&lt;=$NF12),"3 → "&amp;$PO12&amp;", 9 PE",""),IF(AND(4&gt;$MS12,4&lt;=$NF12),"4 → "&amp;$PP12&amp;", 12 PE",""),IF(AND(5&gt;$MS12,5&lt;=$NF12),"5 → "&amp;$PQ12&amp;", 15 PE",""),IF(AND(6&gt;$MS12,6&lt;=$NF12),"6 → "&amp;$PR12&amp;", 18 PE",""),IF(AND(7&gt;$MS12,7&lt;=$NF12),"7 → "&amp;$PS12&amp;", 21 PE","")))))</f>
        <v/>
      </c>
      <c r="QM12" s="164">
        <f>IF(OR($ND12=0,$NO12=0),"",IF($MS12=0,"−1 dado","−"&amp;INDEX($I$2:$N$8,MAX(1,$MS12),MAX(1,$NT12))&amp;" · "&amp;CHOOSE(MAX(1,$NT12),"Leve","Média","Pesada","Leve · Livre","Média · Livre","Pesada · Livre")))</f>
        <v/>
      </c>
      <c r="QN12" s="164">
        <f>IF(OR($ND12=0,$NP12=0),"",IF($MS12=0,"−1 dado","−"&amp;INDEX($I$2:$N$8,MAX(1,$MS12),MAX(1,$NU12))&amp;" · "&amp;CHOOSE(MAX(1,$NU12),"Leve","Média","Pesada","Leve · Livre","Média · Livre","Pesada · Livre")))</f>
        <v/>
      </c>
      <c r="QO12" s="164">
        <f>IF(OR($ND12=0,$NQ12=0),"",IF($MS12=0,"−1 dado","−"&amp;INDEX($I$2:$N$8,MAX(1,$MS12),MAX(1,$NV12))&amp;" · "&amp;CHOOSE(MAX(1,$NV12),"Leve","Média","Pesada","Leve · Livre","Média · Livre","Pesada · Livre")))</f>
        <v/>
      </c>
      <c r="QP12" s="164">
        <f>IF(OR($ND12=0,$NR12=0),"",IF($MS12=0,"−1 dado","−"&amp;INDEX($I$2:$N$8,MAX(1,$MS12),MAX(1,$NW12))&amp;" · "&amp;CHOOSE(MAX(1,$NW12),"Leve","Média","Pesada","Leve · Livre","Média · Livre","Pesada · Livre")))</f>
        <v/>
      </c>
      <c r="QQ12" s="164">
        <f>IF(OR($ND12=0,$NB12=""),"",IF($MS12=0,"não devolve","+"&amp;IF($OI12=1,CEILING($MS12/2,1),$MS12)))</f>
        <v/>
      </c>
      <c r="QR12" s="164">
        <f>IF(OR($ND12=0,$NC12=""),"",IF($MS12=0,"não devolve","+"&amp;IF($OJ12=1,CEILING($MS12/2,1),$MS12)))</f>
        <v/>
      </c>
      <c r="QV12">
        <f>'INVOCAÇÕES'!$AH$894&amp;""</f>
        <v/>
      </c>
      <c r="QW12">
        <f>'INVOCAÇÕES'!$AI$894&amp;""</f>
        <v/>
      </c>
      <c r="QX12">
        <f>'INVOCAÇÕES'!$AJ$894&amp;""</f>
        <v/>
      </c>
      <c r="QY12">
        <f>'INVOCAÇÕES'!$AK$894&amp;""</f>
        <v/>
      </c>
      <c r="QZ12">
        <f>IF('INVOCAÇÕES'!$AD$894="","Autônoma",'INVOCAÇÕES'!$AD$894)</f>
        <v/>
      </c>
      <c r="RA12">
        <f>IF(DADOS_INVOC!$DB$4="Invocação Principal",'CONFIGURAÇÃO'!$H$144,IF(OR(DADOS_INVOC!$DB$4="Parceria",DADOS_INVOC!$DB$4="Múltiplas Invocações"),'CONFIGURAÇÃO'!$H$142,'CONFIGURAÇÃO'!$H$140))+IF($QZ$12="Não autônoma",'CONFIGURAÇÃO'!$H$145,0)</f>
        <v/>
      </c>
      <c r="RB12">
        <f>IF($RA$12&gt;=1,$EL$12,"")</f>
        <v/>
      </c>
      <c r="RC12">
        <f>IF($RA$12&gt;=2,$EM$12,"")</f>
        <v/>
      </c>
      <c r="RD12">
        <f>IF($RA$12&gt;=7,$EN$12,"")</f>
        <v/>
      </c>
      <c r="RE12">
        <f>IF($RA$12&gt;=8,$EO$12,"")</f>
        <v/>
      </c>
      <c r="RF12">
        <f>IF($RA$12&gt;=9,$EP$12,"")</f>
        <v/>
      </c>
      <c r="RG12">
        <f>IF($RA$12&gt;=3,$QV$12,"")</f>
        <v/>
      </c>
      <c r="RH12">
        <f>IF($RA$12&gt;=4,$QW$12,"")</f>
        <v/>
      </c>
      <c r="RI12">
        <f>IF($RA$12&gt;=5,$QX$12,"")</f>
        <v/>
      </c>
      <c r="RJ12">
        <f>IF($RA$12&gt;=6,$QY$12,"")</f>
        <v/>
      </c>
      <c r="RK12">
        <f>IF($MX12="","",IFERROR(VLOOKUP(SUBSTITUTE(SUBSTITUTE(SUBSTITUTE($MX12,"~","~~"),"*","~*"),"?","~?"),'DADOS_MELHORIAS'!$O$2:$X$113,10,FALSE),$MX12))</f>
        <v/>
      </c>
      <c r="RL12">
        <f>IF($MY12="","",IFERROR(VLOOKUP(SUBSTITUTE(SUBSTITUTE(SUBSTITUTE($MY12,"~","~~"),"*","~*"),"?","~?"),'DADOS_MELHORIAS'!$O$2:$X$113,10,FALSE),$MY12))</f>
        <v/>
      </c>
      <c r="RM12">
        <f>IF($MZ12="","",IFERROR(VLOOKUP(SUBSTITUTE(SUBSTITUTE(SUBSTITUTE($MZ12,"~","~~"),"*","~*"),"?","~?"),'DADOS_MELHORIAS'!$O$2:$X$113,10,FALSE),$MZ12))</f>
        <v/>
      </c>
      <c r="RN12">
        <f>IF($NA12="","",IFERROR(VLOOKUP(SUBSTITUTE(SUBSTITUTE(SUBSTITUTE($NA12,"~","~~"),"*","~*"),"?","~?"),'DADOS_MELHORIAS'!$O$2:$X$113,10,FALSE),$NA12))</f>
        <v/>
      </c>
      <c r="RO12">
        <f>IFERROR(INDEX('DADOS_FORMAS'!$BJ$2:$BJ$21,MATCH(SUBSTITUTE(SUBSTITUTE(SUBSTITUTE($MU12,"~","~~"),"*","~*"),"?","~?"),'DADOS_FORMAS'!$AH$2:$AH$21,0)),"")</f>
        <v/>
      </c>
      <c r="RP12">
        <f>IFERROR(VLOOKUP(SUBSTITUTE(SUBSTITUTE(SUBSTITUTE(IFERROR(INDEX('DADOS_FORMAS'!$AS$2:$AS$21,MATCH(SUBSTITUTE(SUBSTITUTE(SUBSTITUTE($MU12,"~","~~"),"*","~*"),"?","~?"),'DADOS_FORMAS'!$AH$2:$AH$21,0)),""),"~","~~"),"*","~*"),"?","~?"),'DADOS_RESTRICOES'!$M$2:$Q$54,2,FALSE),"")</f>
        <v/>
      </c>
      <c r="RQ12">
        <f>$OK12</f>
        <v/>
      </c>
      <c r="RR12">
        <f>$OL12</f>
        <v/>
      </c>
      <c r="RS12">
        <f>$RP12</f>
        <v/>
      </c>
    </row>
    <row r="13">
      <c r="AH13" s="162" t="inlineStr">
        <is>
          <t>Explosão · classe 7</t>
        </is>
      </c>
      <c r="AI13" s="162" t="inlineStr">
        <is>
          <t>Raio 4,5 m</t>
        </is>
      </c>
      <c r="AJ13" s="162" t="inlineStr">
        <is>
          <t>Raio 6 m</t>
        </is>
      </c>
      <c r="AK13" s="162" t="inlineStr">
        <is>
          <t>Raio 9 m</t>
        </is>
      </c>
      <c r="AL13" s="162" t="inlineStr">
        <is>
          <t>Raio 15 m</t>
        </is>
      </c>
      <c r="AM13" s="162" t="inlineStr">
        <is>
          <t>Raio 15 m</t>
        </is>
      </c>
      <c r="AN13" s="162" t="inlineStr">
        <is>
          <t>Raio 15 m</t>
        </is>
      </c>
      <c r="AO13" s="162" t="inlineStr">
        <is>
          <t>, a 36 m</t>
        </is>
      </c>
      <c r="AP13" s="162" t="inlineStr">
        <is>
          <t>, a 90 m</t>
        </is>
      </c>
      <c r="AQ13" s="162" t="inlineStr">
        <is>
          <t>, a visão a olho nu</t>
        </is>
      </c>
      <c r="AR13" s="162" t="inlineStr">
        <is>
          <t>, a visão a olho nu</t>
        </is>
      </c>
      <c r="AS13" s="162" t="inlineStr">
        <is>
          <t>, a visão a olho nu</t>
        </is>
      </c>
      <c r="AT13" s="162" t="inlineStr">
        <is>
          <t>, a visão a olho nu</t>
        </is>
      </c>
      <c r="AV13" s="162" t="inlineStr">
        <is>
          <t>Fica</t>
        </is>
      </c>
      <c r="AW13" s="162" t="inlineStr">
        <is>
          <t>Área</t>
        </is>
      </c>
      <c r="AX13" s="164" t="n">
        <v>2</v>
      </c>
      <c r="AY13" s="164" t="n">
        <v>0</v>
      </c>
      <c r="AZ13" s="164" t="n">
        <v>0</v>
      </c>
      <c r="BA13" s="164" t="n">
        <v>0</v>
      </c>
      <c r="BC13" s="162" t="inlineStr">
        <is>
          <t>Frágil</t>
        </is>
      </c>
      <c r="BD13" s="162" t="inlineStr">
        <is>
          <t>Frágil</t>
        </is>
      </c>
      <c r="BE13" s="164" t="n">
        <v>1</v>
      </c>
      <c r="BF13" s="164" t="n">
        <v>0</v>
      </c>
      <c r="BG13" s="162" t="inlineStr">
        <is>
          <t>Frágil</t>
        </is>
      </c>
      <c r="BI13" s="162" t="inlineStr">
        <is>
          <t>Afinidade</t>
        </is>
      </c>
      <c r="BJ13" s="164" t="n">
        <v>3</v>
      </c>
      <c r="BK13" s="162" t="inlineStr">
        <is>
          <t>Escolha um tema presente na Regra da sua técnica. Seus feitiços desse tema ignoram cobertura Parcial e resistência ao tipo de dano que causam.</t>
        </is>
      </c>
      <c r="BL13" s="162" t="inlineStr"/>
      <c r="CC13" s="162" t="inlineStr">
        <is>
          <t>Medicina</t>
        </is>
      </c>
      <c r="CD13" s="162" t="inlineStr">
        <is>
          <t>Inteligência</t>
        </is>
      </c>
      <c r="CJ13" s="162" t="inlineStr">
        <is>
          <t>Psíquico</t>
        </is>
      </c>
      <c r="DD13" s="164" t="n">
        <v>12</v>
      </c>
      <c r="DE13" s="164">
        <f>'INVOCAÇÕES'!$AB$1068&amp;""</f>
        <v/>
      </c>
      <c r="DF13" s="164">
        <f>'INVOCAÇÕES'!$AB$1098&amp;""</f>
        <v/>
      </c>
      <c r="DG13" s="164">
        <f>'INVOCAÇÕES'!$AB$1102&amp;""</f>
        <v/>
      </c>
      <c r="DH13" s="164">
        <f>N('INVOCAÇÕES'!$AD$1102)</f>
        <v/>
      </c>
      <c r="DI13" s="164">
        <f>'INVOCAÇÕES'!$AE$1102&amp;""</f>
        <v/>
      </c>
      <c r="DJ13" s="164">
        <f>N('INVOCAÇÕES'!$AH$1075)</f>
        <v/>
      </c>
      <c r="DK13" s="164">
        <f>N('INVOCAÇÕES'!$AI$1075)</f>
        <v/>
      </c>
      <c r="DL13" s="164">
        <f>N('INVOCAÇÕES'!$AJ$1075)</f>
        <v/>
      </c>
      <c r="DM13" s="164">
        <f>N('INVOCAÇÕES'!$AK$1075)</f>
        <v/>
      </c>
      <c r="DN13" s="164">
        <f>N('INVOCAÇÕES'!$AL$1075)</f>
        <v/>
      </c>
      <c r="DO13" s="164">
        <f>N('INVOCAÇÕES'!$AH$1076)</f>
        <v/>
      </c>
      <c r="DP13" s="164">
        <f>N('INVOCAÇÕES'!$AI$1076)</f>
        <v/>
      </c>
      <c r="DQ13" s="164">
        <f>N('INVOCAÇÕES'!$AJ$1076)</f>
        <v/>
      </c>
      <c r="DR13" s="164">
        <f>N('INVOCAÇÕES'!$AK$1076)</f>
        <v/>
      </c>
      <c r="DS13" s="164">
        <f>N('INVOCAÇÕES'!$AL$1076)</f>
        <v/>
      </c>
      <c r="DT13" s="164">
        <f>'INVOCAÇÕES'!$AH$1089&amp;""</f>
        <v/>
      </c>
      <c r="DU13" s="164">
        <f>'INVOCAÇÕES'!$AK$1089&amp;""</f>
        <v/>
      </c>
      <c r="DV13" s="164">
        <f>'INVOCAÇÕES'!$AL$1084&amp;""</f>
        <v/>
      </c>
      <c r="DW13" s="164">
        <f>N('INVOCAÇÕES'!$AH$1081)</f>
        <v/>
      </c>
      <c r="DX13" s="164">
        <f>N('INVOCAÇÕES'!$AI$1081)</f>
        <v/>
      </c>
      <c r="DY13" s="164">
        <f>N('INVOCAÇÕES'!$AJ$1081)</f>
        <v/>
      </c>
      <c r="DZ13" s="164">
        <f>N('INVOCAÇÕES'!$AK$1081)</f>
        <v/>
      </c>
      <c r="EA13" s="164">
        <f>N('INVOCAÇÕES'!$AL$1081)</f>
        <v/>
      </c>
      <c r="EB13" s="164">
        <f>N('INVOCAÇÕES'!$AH$1086)</f>
        <v/>
      </c>
      <c r="EC13" s="164">
        <f>N('INVOCAÇÕES'!$AI$1086)</f>
        <v/>
      </c>
      <c r="ED13" s="164">
        <f>N('INVOCAÇÕES'!$AJ$1086)</f>
        <v/>
      </c>
      <c r="EE13" s="164">
        <f>N('INVOCAÇÕES'!$AK$1086)</f>
        <v/>
      </c>
      <c r="EF13" s="164">
        <f>'INVOCAÇÕES'!$AN$1068&amp;""</f>
        <v/>
      </c>
      <c r="EG13" s="164">
        <f>N('INVOCAÇÕES'!$AP$1068)</f>
        <v/>
      </c>
      <c r="EH13" s="164">
        <f>'INVOCAÇÕES'!$AR$1068&amp;""</f>
        <v/>
      </c>
      <c r="EI13" s="164">
        <f>SUM('INVOCAÇÕES'!$AR$1023:'INVOCAÇÕES'!$AR$1025,'INVOCAÇÕES'!$AR$1027:'INVOCAÇÕES'!$AR$1032)</f>
        <v/>
      </c>
      <c r="EJ13" s="164">
        <f>'INVOCAÇÕES'!$AN$1073&amp;""</f>
        <v/>
      </c>
      <c r="EK13" s="164">
        <f>'INVOCAÇÕES'!$AO$1073&amp;""</f>
        <v/>
      </c>
      <c r="EL13" s="164">
        <f>'INVOCAÇÕES'!$AH$1103&amp;""</f>
        <v/>
      </c>
      <c r="EM13" s="164">
        <f>'INVOCAÇÕES'!$AI$1103&amp;""</f>
        <v/>
      </c>
      <c r="EN13" s="164">
        <f>'INVOCAÇÕES'!$AJ$1103&amp;""</f>
        <v/>
      </c>
      <c r="EO13" s="164">
        <f>'INVOCAÇÕES'!$AK$1103&amp;""</f>
        <v/>
      </c>
      <c r="EP13" s="164">
        <f>'INVOCAÇÕES'!$AL$1103&amp;""</f>
        <v/>
      </c>
      <c r="EQ13" s="164">
        <f>'INVOCAÇÕES'!$AH$1093&amp;""</f>
        <v/>
      </c>
      <c r="ER13" s="164">
        <f>'INVOCAÇÕES'!$AH$1094&amp;""</f>
        <v/>
      </c>
      <c r="ES13" s="164">
        <f>'INVOCAÇÕES'!$AH$1095&amp;""</f>
        <v/>
      </c>
      <c r="ET13" s="164">
        <f>'INVOCAÇÕES'!$AH$1096&amp;""</f>
        <v/>
      </c>
      <c r="EU13" s="164">
        <f>'INVOCAÇÕES'!$AH$1097&amp;""</f>
        <v/>
      </c>
      <c r="EV13" s="164">
        <f>'INVOCAÇÕES'!$AH$1098&amp;""</f>
        <v/>
      </c>
      <c r="EW13" s="164">
        <f>'INVOCAÇÕES'!$AH$1099&amp;""</f>
        <v/>
      </c>
      <c r="EX13" s="164">
        <f>'INVOCAÇÕES'!$AC$1148&amp;""</f>
        <v/>
      </c>
      <c r="EY13" s="164">
        <f>'INVOCAÇÕES'!$AC$1149&amp;""</f>
        <v/>
      </c>
      <c r="EZ13" s="164">
        <f>'INVOCAÇÕES'!$AC$1150&amp;""</f>
        <v/>
      </c>
      <c r="FA13" s="164">
        <f>'INVOCAÇÕES'!$AC$1151&amp;""</f>
        <v/>
      </c>
      <c r="FB13" s="164">
        <f>'INVOCAÇÕES'!$AC$1152&amp;""</f>
        <v/>
      </c>
      <c r="FC13" s="164">
        <f>'INVOCAÇÕES'!$AC$1153&amp;""</f>
        <v/>
      </c>
      <c r="FD13" s="164">
        <f>'INVOCAÇÕES'!$AC$1154&amp;""</f>
        <v/>
      </c>
      <c r="FE13" s="164">
        <f>'INVOCAÇÕES'!$AC$1155&amp;""</f>
        <v/>
      </c>
      <c r="FF13" s="164">
        <f>'INVOCAÇÕES'!$AC$1250&amp;""</f>
        <v/>
      </c>
      <c r="FG13" s="164">
        <f>'INVOCAÇÕES'!$AC$1251&amp;""</f>
        <v/>
      </c>
      <c r="FH13" s="164">
        <f>'INVOCAÇÕES'!$AC$1252&amp;""</f>
        <v/>
      </c>
      <c r="FI13" s="164">
        <f>MAX(3,MIN(7,N('INVOCAÇÕES'!$AB$1257)))</f>
        <v/>
      </c>
      <c r="FJ13" s="164">
        <f>MAX(3,MIN(7,N('INVOCAÇÕES'!$AH$1257)))</f>
        <v/>
      </c>
      <c r="FK13" s="164">
        <f>MAX(3,MIN(7,N('INVOCAÇÕES'!$AN$1257)))</f>
        <v/>
      </c>
      <c r="FL13" s="164">
        <f>'INVOCAÇÕES'!$AH$1271&amp;""</f>
        <v/>
      </c>
      <c r="FM13" s="164">
        <f>IF($DE13&lt;&gt;"",1,0)</f>
        <v/>
      </c>
      <c r="FN13" s="164">
        <f>IFERROR(VLOOKUP($DG13,$BP$2:$BQ$5,2,FALSE),1)</f>
        <v/>
      </c>
      <c r="FO13" s="164">
        <f>IF($FN13=1,$DB$2,IF($FN13=2,MIN($DB$2,IF(MAX(1,MIN($DB$2,IF($DH13=0,$DB$2,$DH13)))&lt;=4,4,IF(MAX(1,MIN($DB$2,IF($DH13=0,$DB$2,$DH13)))&lt;=8,8,IF(MAX(1,MIN($DB$2,IF($DH13=0,$DB$2,$DH13)))&lt;=12,12,IF(MAX(1,MIN($DB$2,IF($DH13=0,$DB$2,$DH13)))&lt;=16,16,IF(MAX(1,MIN($DB$2,IF($DH13=0,$DB$2,$DH13)))&lt;=20,20,IF(MAX(1,MIN($DB$2,IF($DH13=0,$DB$2,$DH13)))&lt;=25,25,IF(MAX(1,MIN($DB$2,IF($DH13=0,$DB$2,$DH13)))&lt;=30,30,30)))))))),MAX(1,MIN($DB$2,IF($DH13=0,$DB$2,$DH13)))))</f>
        <v/>
      </c>
      <c r="FP13" s="164">
        <f>VLOOKUP(MAX(1,$FO13),$A$2:$D$8,2,TRUE)</f>
        <v/>
      </c>
      <c r="FQ13" s="164">
        <f>VLOOKUP(MAX(1,$FO13),$A$2:$D$8,3,TRUE)</f>
        <v/>
      </c>
      <c r="FR13" s="164">
        <f>$DJ13+$DO13</f>
        <v/>
      </c>
      <c r="FS13" s="164">
        <f>$DK13+$DP13</f>
        <v/>
      </c>
      <c r="FT13" s="164">
        <f>$DL13+$DQ13</f>
        <v/>
      </c>
      <c r="FU13" s="164">
        <f>$DM13+$DR13</f>
        <v/>
      </c>
      <c r="FV13" s="164">
        <f>$DN13+$DS13</f>
        <v/>
      </c>
      <c r="FW13" s="164">
        <f>SUM($DJ13:$DN13)</f>
        <v/>
      </c>
      <c r="FX13" s="164">
        <f>9+$FY13</f>
        <v/>
      </c>
      <c r="FY13" s="164">
        <f>COUNTIF($F$2:$F$8,"&lt;="&amp;$FO13)</f>
        <v/>
      </c>
      <c r="FZ13" s="164">
        <f>MAX(0,$DJ13-3)+MAX(0,$DK13-3)+MAX(0,$DL13-3)+MAX(0,$DM13-3)+MAX(0,$DN13-3)</f>
        <v/>
      </c>
      <c r="GA13" s="164">
        <f>IFERROR(INDEX($FR13:$FV13,1,MATCH($DT13,$BU$2:$BU$6,0)),"")</f>
        <v/>
      </c>
      <c r="GB13" s="164">
        <f>IF($GA13="","",$GA13+$DB$3+$DW13)</f>
        <v/>
      </c>
      <c r="GC13" s="164">
        <f>IF($GA13="","",8+$GA13+$DB$3+$DX13)</f>
        <v/>
      </c>
      <c r="GD13" s="164">
        <f>10+$FS13+$DB$7+$DY13</f>
        <v/>
      </c>
      <c r="GE13" s="164">
        <f>IF(IFERROR(VLOOKUP(SUBSTITUTE(SUBSTITUTE(SUBSTITUTE($DF13,"~","~~"),"*","~*"),"?","~?"),'DADOS_ENTIDADES'!$M$2:$P$16,2,FALSE),0)=1,1,0)</f>
        <v/>
      </c>
      <c r="GF13" s="164">
        <f>5+$FT13+(3+$GE13+$FT13)*($FO13-1)+$DZ13</f>
        <v/>
      </c>
      <c r="GG13" s="164">
        <f>IF($FM13=0,"",$GF13)</f>
        <v/>
      </c>
      <c r="GH13" s="164">
        <f>IF($EF13="",$GF13,MAX(0,MIN(IFERROR(VALUE($EF13),$GF13),$GF13)))</f>
        <v/>
      </c>
      <c r="GI13" s="164">
        <f>IF(AND($FM13=1,$EJ13&lt;&gt;"Sem alma"),MAX(1,INT($GF13/2)),"")</f>
        <v/>
      </c>
      <c r="GJ13" s="164">
        <f>$GI13</f>
        <v/>
      </c>
      <c r="GK13" s="164">
        <f>IF($GI13="","",IF($EK13="",$GI13,MAX(0,MIN(IFERROR(VALUE($EK13),$GI13),$GI13))))</f>
        <v/>
      </c>
      <c r="GL13" s="164">
        <f>IF($FM13=0,"",IF($GI13="","—",$GI13))</f>
        <v/>
      </c>
      <c r="GM13" s="164">
        <f>IF($FM13=0,"",IF($GI13="","Sem alma · imune a dano de Alma",IF($GK13&lt;=0,"Estágio 4 · caída, como a zero de vida",IF($GK13&lt;=$GI13/4,"Estágio 3 · desvantagem em ataques e TRs, Classe pela metade",IF($GK13&lt;=$GI13/2,"Estágio 2 · metade do deslocamento, +1 PE por Classe",IF($GK13&lt;=$GI13*3/4,"Estágio 1 · desvantagem em perícias","Alma inteira"))))))</f>
        <v/>
      </c>
      <c r="GN13" s="164">
        <f>9+$EA13</f>
        <v/>
      </c>
      <c r="GO13" s="164">
        <f>IF($DU13="Destreza",$FS13,$FR13)</f>
        <v/>
      </c>
      <c r="GP13" s="164">
        <f>$GO13+IF($DV13="Físico",$DB$3,0)+$EB13</f>
        <v/>
      </c>
      <c r="GQ13" s="164">
        <f>$FT13+IF($DV13="Vigor",$DB$3,0)+$EC13</f>
        <v/>
      </c>
      <c r="GR13" s="164">
        <f>$FU13+IF($DV13="Intelecto",$DB$3,0)+$ED13</f>
        <v/>
      </c>
      <c r="GS13" s="164">
        <f>$FV13+IF($DV13="Espírito",$DB$3,0)+$EE13</f>
        <v/>
      </c>
      <c r="GT13" s="164">
        <f>4+INT($DM13/2)</f>
        <v/>
      </c>
      <c r="GU13" s="164">
        <f>COUNTIF($EQ13:$EW13,"?*")</f>
        <v/>
      </c>
      <c r="GV13" s="164">
        <f>INT((2+$FO13/2)/2)</f>
        <v/>
      </c>
      <c r="GW13" s="164">
        <f>IF($FO13&gt;=11,2,1)</f>
        <v/>
      </c>
      <c r="GX13" s="164">
        <f>1+$FY13</f>
        <v/>
      </c>
      <c r="GY13" s="164">
        <f>COUNTIF($EX13:$FE13,"?*")</f>
        <v/>
      </c>
      <c r="GZ13" s="164">
        <f>IF(AND(IFERROR(VLOOKUP(SUBSTITUTE(SUBSTITUTE(SUBSTITUTE($DF13,"~","~~"),"*","~*"),"?","~?"),'DADOS_ENTIDADES'!$M$2:$P$16,3,FALSE),0)=1,$DI13="Com carga"),MAX(1,CEILING($FP13/2,1)),$FP13)</f>
        <v/>
      </c>
      <c r="HA13" s="164">
        <f>2*$FP13</f>
        <v/>
      </c>
      <c r="HB13" s="164">
        <f>$FO13*(1+INT($DN13/3))</f>
        <v/>
      </c>
      <c r="HC13" s="164">
        <f>5+$FR13</f>
        <v/>
      </c>
      <c r="HD13" s="164">
        <f>(COUNTIF($EL13:$EP13,"?*")+COUNTIF($QV13:$QY13,"?*"))</f>
        <v/>
      </c>
      <c r="HE13" s="164">
        <f>IF($EL13="",0,IF((COUNTIF($EL13:$EP13,$EL13)+COUNTIF($QV13:$QY13,$EL13))&gt;1,1,0))+IF($EM13="",0,IF((COUNTIF($EL13:$EP13,$EM13)+COUNTIF($QV13:$QY13,$EM13))&gt;1,1,0))+IF($EN13="",0,IF((COUNTIF($EL13:$EP13,$EN13)+COUNTIF($QV13:$QY13,$EN13))&gt;1,1,0))+IF($EO13="",0,IF((COUNTIF($EL13:$EP13,$EO13)+COUNTIF($QV13:$QY13,$EO13))&gt;1,1,0))+IF($EP13="",0,IF((COUNTIF($EL13:$EP13,$EP13)+COUNTIF($QV13:$QY13,$EP13))&gt;1,1,0))+IF($QV$13="",0,IF(COUNTIF($EL13:$EP13,$QV$13)+COUNTIF($QV13:$QY13,$QV$13)&gt;1,1,0))+IF($QW$13="",0,IF(COUNTIF($EL13:$EP13,$QW$13)+COUNTIF($QV13:$QY13,$QW$13)&gt;1,1,0))+IF($QX$13="",0,IF(COUNTIF($EL13:$EP13,$QX$13)+COUNTIF($QV13:$QY13,$QX$13)&gt;1,1,0))+IF($QY$13="",0,IF(COUNTIF($EL13:$EP13,$QY$13)+COUNTIF($QV13:$QY13,$QY$13)&gt;1,1,0))</f>
        <v/>
      </c>
      <c r="HF13" s="164">
        <f>IF(DADOS_INVOC!$DB$4="Invocação Principal",'CONFIGURAÇÃO'!$H$143,IF(OR(DADOS_INVOC!$DB$4="Parceria",DADOS_INVOC!$DB$4="Múltiplas Invocações"),'CONFIGURAÇÃO'!$H$141,'CONFIGURAÇÃO'!$H$139))+IF($QZ$13="Não autônoma",'CONFIGURAÇÃO'!$H$145,0)</f>
        <v/>
      </c>
      <c r="HG13" s="164">
        <f>IF($FM13=0,"INVOCAÇÃO 12 · lugar vazio",$DE13&amp;" · "&amp;$DF13&amp;" · nível "&amp;$FO13&amp;" · vida "&amp;$GH13&amp;" de "&amp;$GF13)</f>
        <v/>
      </c>
      <c r="HH13" s="164">
        <f>IF($FM13=0,"VAZIA",UPPER($DE13))</f>
        <v/>
      </c>
      <c r="HI13" s="164">
        <f>IF($DB$3&gt;=0,"+","−")&amp;ABS($DB$3)</f>
        <v/>
      </c>
      <c r="HJ13" s="164">
        <f>$GZ13&amp;" PE"</f>
        <v/>
      </c>
      <c r="HK13" s="164">
        <f>$HA13&amp;" PE"</f>
        <v/>
      </c>
      <c r="HL13" s="164">
        <f>IF(OR($FW13&gt;$FX13,$FZ13&gt;$FY13),"⚠ ",IF(AND($FM13=1,$FW13&lt;$FX13),"! ",""))&amp;"ATRIBUTOS · "&amp;$FW13&amp;" DE "&amp;$FX13&amp;" PONTOS"&amp;IF($FZ13&gt;$FY13," · ACIMA DE 3 SÓ COM MARCO","")</f>
        <v/>
      </c>
      <c r="HM13" s="164">
        <f>IF($GB13="","",IF($GB13&gt;=0,"+","−")&amp;ABS($GB13))</f>
        <v/>
      </c>
      <c r="HN13" s="164">
        <f>IF($GC13="","",$GC13)</f>
        <v/>
      </c>
      <c r="HO13" s="164">
        <f>SUBSTITUTE(IF($EI13&gt;2*$HC13,0,IF($EI13&gt;$HC13,$GN13/2,$GN13))&amp;" m",".",",")</f>
        <v/>
      </c>
      <c r="HP13" s="164">
        <f>IF($GP13&gt;=0,"+","−")&amp;ABS($GP13)</f>
        <v/>
      </c>
      <c r="HQ13" s="164">
        <f>IF($GQ13&gt;=0,"+","−")&amp;ABS($GQ13)</f>
        <v/>
      </c>
      <c r="HR13" s="164">
        <f>IF($GR13&gt;=0,"+","−")&amp;ABS($GR13)</f>
        <v/>
      </c>
      <c r="HS13" s="164">
        <f>IF($GS13&gt;=0,"+","−")&amp;ABS($GS13)</f>
        <v/>
      </c>
      <c r="HT13" s="164">
        <f>IF($GU13&gt;$GT13,"⚠ ","")&amp;"PERÍCIAS · "&amp;$GU13&amp;" DE "&amp;$GT13</f>
        <v/>
      </c>
      <c r="HU13" s="164">
        <f>IF($EQ13="","",IFERROR(IF((INDEX($FR13:$FV13,1,MATCH(VLOOKUP(SUBSTITUTE(SUBSTITUTE(SUBSTITUTE($EQ13,"~","~~"),"*","~*"),"?","~?"),'DADOS_PROGRESSAO'!$AG$2:$AH$34,2,FALSE),$BU$2:$BU$6,0))+$DB$3)&gt;=0,"+","−")&amp;ABS((INDEX($FR13:$FV13,1,MATCH(VLOOKUP(SUBSTITUTE(SUBSTITUTE(SUBSTITUTE($EQ13,"~","~~"),"*","~*"),"?","~?"),'DADOS_PROGRESSAO'!$AG$2:$AH$34,2,FALSE),$BU$2:$BU$6,0))+$DB$3)),""))</f>
        <v/>
      </c>
      <c r="HV13" s="164">
        <f>IF($ER13="","",IFERROR(IF((INDEX($FR13:$FV13,1,MATCH(VLOOKUP(SUBSTITUTE(SUBSTITUTE(SUBSTITUTE($ER13,"~","~~"),"*","~*"),"?","~?"),'DADOS_PROGRESSAO'!$AG$2:$AH$34,2,FALSE),$BU$2:$BU$6,0))+$DB$3)&gt;=0,"+","−")&amp;ABS((INDEX($FR13:$FV13,1,MATCH(VLOOKUP(SUBSTITUTE(SUBSTITUTE(SUBSTITUTE($ER13,"~","~~"),"*","~*"),"?","~?"),'DADOS_PROGRESSAO'!$AG$2:$AH$34,2,FALSE),$BU$2:$BU$6,0))+$DB$3)),""))</f>
        <v/>
      </c>
      <c r="HW13" s="164">
        <f>IF($ES13="","",IFERROR(IF((INDEX($FR13:$FV13,1,MATCH(VLOOKUP(SUBSTITUTE(SUBSTITUTE(SUBSTITUTE($ES13,"~","~~"),"*","~*"),"?","~?"),'DADOS_PROGRESSAO'!$AG$2:$AH$34,2,FALSE),$BU$2:$BU$6,0))+$DB$3)&gt;=0,"+","−")&amp;ABS((INDEX($FR13:$FV13,1,MATCH(VLOOKUP(SUBSTITUTE(SUBSTITUTE(SUBSTITUTE($ES13,"~","~~"),"*","~*"),"?","~?"),'DADOS_PROGRESSAO'!$AG$2:$AH$34,2,FALSE),$BU$2:$BU$6,0))+$DB$3)),""))</f>
        <v/>
      </c>
      <c r="HX13" s="164">
        <f>IF($ET13="","",IFERROR(IF((INDEX($FR13:$FV13,1,MATCH(VLOOKUP(SUBSTITUTE(SUBSTITUTE(SUBSTITUTE($ET13,"~","~~"),"*","~*"),"?","~?"),'DADOS_PROGRESSAO'!$AG$2:$AH$34,2,FALSE),$BU$2:$BU$6,0))+$DB$3)&gt;=0,"+","−")&amp;ABS((INDEX($FR13:$FV13,1,MATCH(VLOOKUP(SUBSTITUTE(SUBSTITUTE(SUBSTITUTE($ET13,"~","~~"),"*","~*"),"?","~?"),'DADOS_PROGRESSAO'!$AG$2:$AH$34,2,FALSE),$BU$2:$BU$6,0))+$DB$3)),""))</f>
        <v/>
      </c>
      <c r="HY13" s="164">
        <f>IF($EU13="","",IFERROR(IF((INDEX($FR13:$FV13,1,MATCH(VLOOKUP(SUBSTITUTE(SUBSTITUTE(SUBSTITUTE($EU13,"~","~~"),"*","~*"),"?","~?"),'DADOS_PROGRESSAO'!$AG$2:$AH$34,2,FALSE),$BU$2:$BU$6,0))+$DB$3)&gt;=0,"+","−")&amp;ABS((INDEX($FR13:$FV13,1,MATCH(VLOOKUP(SUBSTITUTE(SUBSTITUTE(SUBSTITUTE($EU13,"~","~~"),"*","~*"),"?","~?"),'DADOS_PROGRESSAO'!$AG$2:$AH$34,2,FALSE),$BU$2:$BU$6,0))+$DB$3)),""))</f>
        <v/>
      </c>
      <c r="HZ13" s="164">
        <f>IF($EV13="","",IFERROR(IF((INDEX($FR13:$FV13,1,MATCH(VLOOKUP(SUBSTITUTE(SUBSTITUTE(SUBSTITUTE($EV13,"~","~~"),"*","~*"),"?","~?"),'DADOS_PROGRESSAO'!$AG$2:$AH$34,2,FALSE),$BU$2:$BU$6,0))+$DB$3)&gt;=0,"+","−")&amp;ABS((INDEX($FR13:$FV13,1,MATCH(VLOOKUP(SUBSTITUTE(SUBSTITUTE(SUBSTITUTE($EV13,"~","~~"),"*","~*"),"?","~?"),'DADOS_PROGRESSAO'!$AG$2:$AH$34,2,FALSE),$BU$2:$BU$6,0))+$DB$3)),""))</f>
        <v/>
      </c>
      <c r="IA13" s="164">
        <f>IF($EW13="","",IFERROR(IF((INDEX($FR13:$FV13,1,MATCH(VLOOKUP(SUBSTITUTE(SUBSTITUTE(SUBSTITUTE($EW13,"~","~~"),"*","~*"),"?","~?"),'DADOS_PROGRESSAO'!$AG$2:$AH$34,2,FALSE),$BU$2:$BU$6,0))+$DB$3)&gt;=0,"+","−")&amp;ABS((INDEX($FR13:$FV13,1,MATCH(VLOOKUP(SUBSTITUTE(SUBSTITUTE(SUBSTITUTE($EW13,"~","~~"),"*","~*"),"?","~?"),'DADOS_PROGRESSAO'!$AG$2:$AH$34,2,FALSE),$BU$2:$BU$6,0))+$DB$3)),""))</f>
        <v/>
      </c>
      <c r="IB13" s="164">
        <f>IF(IFERROR(VLOOKUP(SUBSTITUTE(SUBSTITUTE(SUBSTITUTE($DF13,"~","~~"),"*","~*"),"?","~?"),'DADOS_ENTIDADES'!$M$2:$P$16,4,FALSE),0)=1,"RESERVA · MÁX. "&amp;$HB13,"RESERVA DE PE")</f>
        <v/>
      </c>
      <c r="IC13" s="164">
        <f>IF($EI13&gt;2*$HC13,"⚠ ",IF($EI13&gt;$HC13,"! ",""))&amp;"EQUIPAMENTO · "&amp;$EI13&amp;" DE "&amp;$HC13&amp;" DE VOLUME"&amp;IF($EI13&gt;2*$HC13," · PASSOU DO DOBRO",IF($EI13&gt;$HC13," · ACIMA DO LIMITE",""))</f>
        <v/>
      </c>
      <c r="ID13" s="164">
        <f>IF(OR($HE13&gt;0,$HD13&gt;$HF13),"⚠ ","")&amp;"FAMÍLIAS · "&amp;$HD13&amp;" ABERTAS"&amp;IF($HE13&gt;0," · REPETIDA","")&amp;IF($HD13&gt;$HF13," · O LIMITE É "&amp;$HF13,"")&amp;IF(OR($RA$13&gt;$HF$13,$HF$13&gt;9)," · LIMITES INCOMPATÍVEIS","")</f>
        <v/>
      </c>
      <c r="IE13" s="164">
        <f>"HABILIDADES · básica de "&amp;$FQ13&amp;"d6 · "&amp;$GV13&amp;IF($GV13&gt;1," espaços"," espaço")&amp;" de especial até a Classe "&amp;$FP13&amp;" · "&amp;$GX13&amp;IF($GX13&gt;1," talentos"," talento")</f>
        <v/>
      </c>
      <c r="IF13" s="164">
        <f>IF($GY13&gt;$GX13,"⚠ ","")&amp;"TALENTOS · "&amp;$GY13&amp;" DE "&amp;$GX13</f>
        <v/>
      </c>
      <c r="IG13" s="164">
        <f>IFERROR(VLOOKUP(SUBSTITUTE(SUBSTITUTE(SUBSTITUTE($EX13,"~","~~"),"*","~*"),"?","~?"),'DADOS_ENTIDADES'!$AI$2:$AL$35,2,FALSE),0)</f>
        <v/>
      </c>
      <c r="IH13" s="164">
        <f>IFERROR(VLOOKUP(SUBSTITUTE(SUBSTITUTE(SUBSTITUTE($EY13,"~","~~"),"*","~*"),"?","~?"),'DADOS_ENTIDADES'!$AI$2:$AL$35,2,FALSE),0)</f>
        <v/>
      </c>
      <c r="II13" s="164">
        <f>IFERROR(VLOOKUP(SUBSTITUTE(SUBSTITUTE(SUBSTITUTE($EZ13,"~","~~"),"*","~*"),"?","~?"),'DADOS_ENTIDADES'!$AI$2:$AL$35,2,FALSE),0)</f>
        <v/>
      </c>
      <c r="IJ13" s="164">
        <f>IFERROR(VLOOKUP(SUBSTITUTE(SUBSTITUTE(SUBSTITUTE($FA13,"~","~~"),"*","~*"),"?","~?"),'DADOS_ENTIDADES'!$AI$2:$AL$35,2,FALSE),0)</f>
        <v/>
      </c>
      <c r="IK13" s="164">
        <f>IFERROR(VLOOKUP(SUBSTITUTE(SUBSTITUTE(SUBSTITUTE($FB13,"~","~~"),"*","~*"),"?","~?"),'DADOS_ENTIDADES'!$AI$2:$AL$35,2,FALSE),0)</f>
        <v/>
      </c>
      <c r="IL13" s="164">
        <f>IFERROR(VLOOKUP(SUBSTITUTE(SUBSTITUTE(SUBSTITUTE($FC13,"~","~~"),"*","~*"),"?","~?"),'DADOS_ENTIDADES'!$AI$2:$AL$35,2,FALSE),0)</f>
        <v/>
      </c>
      <c r="IM13" s="164">
        <f>IFERROR(VLOOKUP(SUBSTITUTE(SUBSTITUTE(SUBSTITUTE($FD13,"~","~~"),"*","~*"),"?","~?"),'DADOS_ENTIDADES'!$AI$2:$AL$35,2,FALSE),0)</f>
        <v/>
      </c>
      <c r="IN13" s="164">
        <f>IFERROR(VLOOKUP(SUBSTITUTE(SUBSTITUTE(SUBSTITUTE($FE13,"~","~~"),"*","~*"),"?","~?"),'DADOS_ENTIDADES'!$AI$2:$AL$35,2,FALSE),0)</f>
        <v/>
      </c>
      <c r="IO13" s="164">
        <f>IF($EX13="","",IF(1&gt;$FO13,"⚠ Este talento abre no nível 1",IF($IG13&gt;1,"⚠ Categoria "&amp;$IG13&amp;": este ganho vai até a 1 · ","")&amp;IFERROR(VLOOKUP(SUBSTITUTE(SUBSTITUTE(SUBSTITUTE($EX13,"~","~~"),"*","~*"),"?","~?"),'DADOS_ENTIDADES'!$AI$2:$AL$35,3,FALSE),"")))</f>
        <v/>
      </c>
      <c r="IP13" s="164">
        <f>IF($EY13="","",IF(6&gt;$FO13,"⚠ Este talento abre no nível 6",IF($IH13&gt;1,"⚠ Categoria "&amp;$IH13&amp;": este ganho vai até a 1 · ","")&amp;IFERROR(VLOOKUP(SUBSTITUTE(SUBSTITUTE(SUBSTITUTE($EY13,"~","~~"),"*","~*"),"?","~?"),'DADOS_ENTIDADES'!$AI$2:$AL$35,3,FALSE),"")))</f>
        <v/>
      </c>
      <c r="IQ13" s="164">
        <f>IF($EZ13="","",IF(10&gt;$FO13,"⚠ Este talento abre no nível 10",IF($II13&gt;2,"⚠ Categoria "&amp;$II13&amp;": este ganho vai até a 2 · ","")&amp;IFERROR(VLOOKUP(SUBSTITUTE(SUBSTITUTE(SUBSTITUTE($EZ13,"~","~~"),"*","~*"),"?","~?"),'DADOS_ENTIDADES'!$AI$2:$AL$35,3,FALSE),"")))</f>
        <v/>
      </c>
      <c r="IR13" s="164">
        <f>IF($FA13="","",IF(14&gt;$FO13,"⚠ Este talento abre no nível 14",IF($IJ13&gt;3,"⚠ Categoria "&amp;$IJ13&amp;": este ganho vai até a 3 · ","")&amp;IFERROR(VLOOKUP(SUBSTITUTE(SUBSTITUTE(SUBSTITUTE($FA13,"~","~~"),"*","~*"),"?","~?"),'DADOS_ENTIDADES'!$AI$2:$AL$35,3,FALSE),"")))</f>
        <v/>
      </c>
      <c r="IS13" s="164">
        <f>IF($FB13="","",IF(18&gt;$FO13,"⚠ Este talento abre no nível 18",IF($IK13&gt;3,"⚠ Categoria "&amp;$IK13&amp;": este ganho vai até a 3 · ","")&amp;IFERROR(VLOOKUP(SUBSTITUTE(SUBSTITUTE(SUBSTITUTE($FB13,"~","~~"),"*","~*"),"?","~?"),'DADOS_ENTIDADES'!$AI$2:$AL$35,3,FALSE),"")))</f>
        <v/>
      </c>
      <c r="IT13" s="164">
        <f>IF($FC13="","",IF(22&gt;$FO13,"⚠ Este talento abre no nível 22",IF($IL13&gt;3,"⚠ Categoria "&amp;$IL13&amp;": este ganho vai até a 3 · ","")&amp;IFERROR(VLOOKUP(SUBSTITUTE(SUBSTITUTE(SUBSTITUTE($FC13,"~","~~"),"*","~*"),"?","~?"),'DADOS_ENTIDADES'!$AI$2:$AL$35,3,FALSE),"")))</f>
        <v/>
      </c>
      <c r="IU13" s="164">
        <f>IF($FD13="","",IF(26&gt;$FO13,"⚠ Este talento abre no nível 26",IF($IM13&gt;3,"⚠ Categoria "&amp;$IM13&amp;": este ganho vai até a 3 · ","")&amp;IFERROR(VLOOKUP(SUBSTITUTE(SUBSTITUTE(SUBSTITUTE($FD13,"~","~~"),"*","~*"),"?","~?"),'DADOS_ENTIDADES'!$AI$2:$AL$35,3,FALSE),"")))</f>
        <v/>
      </c>
      <c r="IV13" s="164">
        <f>IF($FE13="","",IF(30&gt;$FO13,"⚠ Este talento abre no nível 30",IF($IN13&gt;3,"⚠ Categoria "&amp;$IN13&amp;": este ganho vai até a 3 · ","")&amp;IFERROR(VLOOKUP(SUBSTITUTE(SUBSTITUTE(SUBSTITUTE($FE13,"~","~~"),"*","~*"),"?","~?"),'DADOS_ENTIDADES'!$AI$2:$AL$35,3,FALSE),"")))</f>
        <v/>
      </c>
      <c r="IW13" s="164">
        <f>IF($FF13="","",IFERROR(VLOOKUP(SUBSTITUTE(SUBSTITUTE(SUBSTITUTE($FF13,"~","~~"),"*","~*"),"?","~?"),'DADOS_ENTIDADES'!$AI$2:$AL$35,3,FALSE),""))</f>
        <v/>
      </c>
      <c r="IX13" s="164">
        <f>IF($FG13="","",IFERROR(VLOOKUP(SUBSTITUTE(SUBSTITUTE(SUBSTITUTE($FG13,"~","~~"),"*","~*"),"?","~?"),'DADOS_ENTIDADES'!$AI$2:$AL$35,3,FALSE),""))</f>
        <v/>
      </c>
      <c r="IY13" s="164">
        <f>IF($FH13="","",IFERROR(VLOOKUP(SUBSTITUTE(SUBSTITUTE(SUBSTITUTE($FH13,"~","~~"),"*","~*"),"?","~?"),'DADOS_ENTIDADES'!$AI$2:$AL$35,3,FALSE),""))</f>
        <v/>
      </c>
      <c r="IZ13" s="164">
        <f>CEILING(4.5*$FI13,1)&amp;" PE"</f>
        <v/>
      </c>
      <c r="JA13" s="164">
        <f>CEILING(4.5*$FJ13,1)&amp;" PE"</f>
        <v/>
      </c>
      <c r="JB13" s="164">
        <f>CEILING(4.5*$FK13,1)&amp;" PE"</f>
        <v/>
      </c>
      <c r="JC13" s="164">
        <f>INDEX($P$2:$P$8,$FI13)&amp;" pontos + "&amp;$FI13&amp;"d8"</f>
        <v/>
      </c>
      <c r="JD13" s="164">
        <f>INDEX($P$2:$P$8,$FJ13)&amp;" pontos + "&amp;$FJ13&amp;"d8"</f>
        <v/>
      </c>
      <c r="JE13" s="164">
        <f>INDEX($P$2:$P$8,$FK13)&amp;" pontos + "&amp;$FK13&amp;"d8"</f>
        <v/>
      </c>
      <c r="JF13" s="164">
        <f>IF($FO13&lt;17,"—",VLOOKUP($FO13,$CP$2:$CS$4,4,TRUE)&amp;" PE")</f>
        <v/>
      </c>
      <c r="JG13" s="164">
        <f>IF($FO13&lt;17,"Abre no nível 17",VLOOKUP($FO13,$CP$2:$CS$4,2,TRUE)&amp;" fixos · "&amp;VLOOKUP($FO13,$CP$2:$CS$4,3,TRUE)&amp;" pontos")</f>
        <v/>
      </c>
      <c r="JH13" s="164">
        <f>IF($FL13="Sem Barreiras",7,6)*$FP13&amp;" PE"</f>
        <v/>
      </c>
      <c r="JI13" s="164">
        <f>"Acerto "&amp;MAX(0,INDEX($P$2:$P$8,$FP13)-INDEX($I$2:$N$8,$FP13,2+3*IF(AND(IFERROR(VLOOKUP(SUBSTITUTE(SUBSTITUTE(SUBSTITUTE("Inescapável","~","~~"),"*","~*"),"?","~?"),'DADOS_MELHORIAS'!$AG$2:$AL$113,2,FALSE),"")&lt;&gt;"",COUNTIF($RB$13:$RJ$13,IFERROR(VLOOKUP(SUBSTITUTE(SUBSTITUTE(SUBSTITUTE("Inescapável","~","~~"),"*","~*"),"?","~?"),'DADOS_MELHORIAS'!$AG$2:$AL$113,2,FALSE),""))&gt;0),1,0)))&amp;"d8"</f>
        <v/>
      </c>
      <c r="JJ13" s="164">
        <f>IFERROR(VLOOKUP($FL13,$CU$2:$CW$4,3,FALSE),"Escolha o degrau")</f>
        <v/>
      </c>
      <c r="JK13" s="164">
        <f>12&amp;" · "&amp;IF($FM13=0,"vazia",$DE13&amp;" · nv "&amp;$FO13&amp;" · "&amp;$GH13&amp;"/"&amp;$GF13)</f>
        <v/>
      </c>
      <c r="JO13" s="162" t="inlineStr">
        <is>
          <t>Invocação 12</t>
        </is>
      </c>
      <c r="JP13" s="164">
        <f>ADDRESS(ROW('INVOCAÇÕES'!D32),COLUMN('INVOCAÇÕES'!D32),4)</f>
        <v/>
      </c>
      <c r="JQ13" s="164">
        <f>ADDRESS(ROW('INVOCAÇÕES'!AA1064),COLUMN('INVOCAÇÕES'!AA1064),4)</f>
        <v/>
      </c>
      <c r="JR13" s="162" t="inlineStr">
        <is>
          <t>DADOS_INVOC!$JK$13</t>
        </is>
      </c>
      <c r="JT13" s="164">
        <f>IF(OR($AW13="",(COUNTIF($EL$2:$EP$2,$AW13)+COUNTIF($QV$2:$QY$2,$AW13))&gt;0),$AV13,"")</f>
        <v/>
      </c>
      <c r="JU13" s="164">
        <f>IF(AND($AX13=1,OR($AW13="",(COUNTIF($EL$2:$EP$2,$AW13)+COUNTIF($QV$2:$QY$2,$AW13))&gt;0)),$AV13,"")</f>
        <v/>
      </c>
      <c r="JZ13" s="164">
        <f>IF(OR($AW13="",(COUNTIF($EL$3:$EP$3,$AW13)+COUNTIF($QV$3:$QY$3,$AW13))&gt;0),$AV13,"")</f>
        <v/>
      </c>
      <c r="KA13" s="164">
        <f>IF(AND($AX13=1,OR($AW13="",(COUNTIF($EL$3:$EP$3,$AW13)+COUNTIF($QV$3:$QY$3,$AW13))&gt;0)),$AV13,"")</f>
        <v/>
      </c>
      <c r="KF13" s="164">
        <f>IF(OR($AW13="",(COUNTIF($EL$4:$EP$4,$AW13)+COUNTIF($QV$4:$QY$4,$AW13))&gt;0),$AV13,"")</f>
        <v/>
      </c>
      <c r="KG13" s="164">
        <f>IF(AND($AX13=1,OR($AW13="",(COUNTIF($EL$4:$EP$4,$AW13)+COUNTIF($QV$4:$QY$4,$AW13))&gt;0)),$AV13,"")</f>
        <v/>
      </c>
      <c r="KL13" s="164">
        <f>IF(OR($AW13="",(COUNTIF($EL$5:$EP$5,$AW13)+COUNTIF($QV$5:$QY$5,$AW13))&gt;0),$AV13,"")</f>
        <v/>
      </c>
      <c r="KM13" s="164">
        <f>IF(AND($AX13=1,OR($AW13="",(COUNTIF($EL$5:$EP$5,$AW13)+COUNTIF($QV$5:$QY$5,$AW13))&gt;0)),$AV13,"")</f>
        <v/>
      </c>
      <c r="KR13" s="164">
        <f>IF(OR($AW13="",(COUNTIF($EL$6:$EP$6,$AW13)+COUNTIF($QV$6:$QY$6,$AW13))&gt;0),$AV13,"")</f>
        <v/>
      </c>
      <c r="KS13" s="164">
        <f>IF(AND($AX13=1,OR($AW13="",(COUNTIF($EL$6:$EP$6,$AW13)+COUNTIF($QV$6:$QY$6,$AW13))&gt;0)),$AV13,"")</f>
        <v/>
      </c>
      <c r="KX13" s="164">
        <f>IF(OR($AW13="",(COUNTIF($EL$7:$EP$7,$AW13)+COUNTIF($QV$7:$QY$7,$AW13))&gt;0),$AV13,"")</f>
        <v/>
      </c>
      <c r="KY13" s="164">
        <f>IF(AND($AX13=1,OR($AW13="",(COUNTIF($EL$7:$EP$7,$AW13)+COUNTIF($QV$7:$QY$7,$AW13))&gt;0)),$AV13,"")</f>
        <v/>
      </c>
      <c r="LD13" s="164">
        <f>IF(OR($AW13="",(COUNTIF($EL$8:$EP$8,$AW13)+COUNTIF($QV$8:$QY$8,$AW13))&gt;0),$AV13,"")</f>
        <v/>
      </c>
      <c r="LE13" s="164">
        <f>IF(AND($AX13=1,OR($AW13="",(COUNTIF($EL$8:$EP$8,$AW13)+COUNTIF($QV$8:$QY$8,$AW13))&gt;0)),$AV13,"")</f>
        <v/>
      </c>
      <c r="LJ13" s="164">
        <f>IF(OR($AW13="",(COUNTIF($EL$9:$EP$9,$AW13)+COUNTIF($QV$9:$QY$9,$AW13))&gt;0),$AV13,"")</f>
        <v/>
      </c>
      <c r="LK13" s="164">
        <f>IF(AND($AX13=1,OR($AW13="",(COUNTIF($EL$9:$EP$9,$AW13)+COUNTIF($QV$9:$QY$9,$AW13))&gt;0)),$AV13,"")</f>
        <v/>
      </c>
      <c r="LP13" s="164">
        <f>IF(OR($AW13="",(COUNTIF($EL$10:$EP$10,$AW13)+COUNTIF($QV$10:$QY$10,$AW13))&gt;0),$AV13,"")</f>
        <v/>
      </c>
      <c r="LQ13" s="164">
        <f>IF(AND($AX13=1,OR($AW13="",(COUNTIF($EL$10:$EP$10,$AW13)+COUNTIF($QV$10:$QY$10,$AW13))&gt;0)),$AV13,"")</f>
        <v/>
      </c>
      <c r="LV13" s="164">
        <f>IF(OR($AW13="",(COUNTIF($EL$11:$EP$11,$AW13)+COUNTIF($QV$11:$QY$11,$AW13))&gt;0),$AV13,"")</f>
        <v/>
      </c>
      <c r="LW13" s="164">
        <f>IF(AND($AX13=1,OR($AW13="",(COUNTIF($EL$11:$EP$11,$AW13)+COUNTIF($QV$11:$QY$11,$AW13))&gt;0)),$AV13,"")</f>
        <v/>
      </c>
      <c r="MB13" s="164">
        <f>IF(OR($AW13="",(COUNTIF($EL$12:$EP$12,$AW13)+COUNTIF($QV$12:$QY$12,$AW13))&gt;0),$AV13,"")</f>
        <v/>
      </c>
      <c r="MC13" s="164">
        <f>IF(AND($AX13=1,OR($AW13="",(COUNTIF($EL$12:$EP$12,$AW13)+COUNTIF($QV$12:$QY$12,$AW13))&gt;0)),$AV13,"")</f>
        <v/>
      </c>
      <c r="MH13" s="164">
        <f>IF(OR($AW13="",(COUNTIF($EL$13:$EP$13,$AW13)+COUNTIF($QV$13:$QY$13,$AW13))&gt;0),$AV13,"")</f>
        <v/>
      </c>
      <c r="MI13" s="164">
        <f>IF(AND($AX13=1,OR($AW13="",(COUNTIF($EL$13:$EP$13,$AW13)+COUNTIF($QV$13:$QY$13,$AW13))&gt;0)),$AV13,"")</f>
        <v/>
      </c>
      <c r="MN13" s="162" t="inlineStr">
        <is>
          <t>Ficha 1 · Escolha da trilha 2</t>
        </is>
      </c>
      <c r="MO13" s="164" t="n">
        <v>1</v>
      </c>
      <c r="MP13" s="164" t="n">
        <v>2</v>
      </c>
      <c r="MQ13" s="164" t="n">
        <v>0</v>
      </c>
      <c r="MR13" s="162" t="inlineStr">
        <is>
          <t>ESCOLHA DA TRILHA 2</t>
        </is>
      </c>
      <c r="MS13" s="164">
        <f>MAX(0,MIN(7,N('INVOCAÇÕES'!$O$173)))</f>
        <v/>
      </c>
      <c r="MT13" s="164">
        <f>'INVOCAÇÕES'!$P$173&amp;""</f>
        <v/>
      </c>
      <c r="MU13" s="164">
        <f>'INVOCAÇÕES'!$O$178&amp;""</f>
        <v/>
      </c>
      <c r="MV13" s="164">
        <f>'INVOCAÇÕES'!$O$179&amp;""</f>
        <v/>
      </c>
      <c r="MW13" s="164">
        <f>'INVOCAÇÕES'!$Q$179&amp;""</f>
        <v/>
      </c>
      <c r="MX13" s="164">
        <f>'INVOCAÇÕES'!$P$182&amp;""</f>
        <v/>
      </c>
      <c r="MY13" s="164">
        <f>'INVOCAÇÕES'!$P$183&amp;""</f>
        <v/>
      </c>
      <c r="MZ13" s="164">
        <f>'INVOCAÇÕES'!$P$184&amp;""</f>
        <v/>
      </c>
      <c r="NA13" s="164">
        <f>'INVOCAÇÕES'!$P$185&amp;""</f>
        <v/>
      </c>
      <c r="NB13" s="164">
        <f>'INVOCAÇÕES'!$P$186&amp;""</f>
        <v/>
      </c>
      <c r="NC13" s="164">
        <f>'INVOCAÇÕES'!$P$187&amp;""</f>
        <v/>
      </c>
      <c r="ND13" s="164">
        <f>IF($MT13&lt;&gt;"",1,0)</f>
        <v/>
      </c>
      <c r="NE13" s="164">
        <f>INDEX($FO$2:$FO$13,$MO13)</f>
        <v/>
      </c>
      <c r="NF13" s="164">
        <f>INDEX($FP$2:$FP$13,$MO13)</f>
        <v/>
      </c>
      <c r="NG13" s="164">
        <f>INDEX($FQ$2:$FQ$13,$MO13)</f>
        <v/>
      </c>
      <c r="NH13" s="164">
        <f>INDEX($GB$2:$GB$13,$MO13)</f>
        <v/>
      </c>
      <c r="NI13" s="164">
        <f>INDEX($GC$2:$GC$13,$MO13)</f>
        <v/>
      </c>
      <c r="NJ13" s="164">
        <f>IFERROR(MATCH(SUBSTITUTE(SUBSTITUTE(SUBSTITUTE($MU13,"~","~~"),"*","~*"),"?","~?"),'DADOS_FORMAS'!$FZ$2:$FZ$21,0),0)</f>
        <v/>
      </c>
      <c r="NK13" s="164">
        <f>IFERROR(VLOOKUP(SUBSTITUTE(SUBSTITUTE(SUBSTITUTE($MX13,"~","~~"),"*","~*"),"?","~?"),'DADOS_MELHORIAS'!$AG$2:$AL$113,2,FALSE),"")</f>
        <v/>
      </c>
      <c r="NL13" s="164">
        <f>IFERROR(VLOOKUP(SUBSTITUTE(SUBSTITUTE(SUBSTITUTE($MY13,"~","~~"),"*","~*"),"?","~?"),'DADOS_MELHORIAS'!$AG$2:$AL$113,2,FALSE),"")</f>
        <v/>
      </c>
      <c r="NM13" s="164">
        <f>IFERROR(VLOOKUP(SUBSTITUTE(SUBSTITUTE(SUBSTITUTE($MZ13,"~","~~"),"*","~*"),"?","~?"),'DADOS_MELHORIAS'!$AG$2:$AL$113,2,FALSE),"")</f>
        <v/>
      </c>
      <c r="NN13" s="164">
        <f>IFERROR(VLOOKUP(SUBSTITUTE(SUBSTITUTE(SUBSTITUTE($NA13,"~","~~"),"*","~*"),"?","~?"),'DADOS_MELHORIAS'!$AG$2:$AL$113,2,FALSE),"")</f>
        <v/>
      </c>
      <c r="NO13" s="164">
        <f>IFERROR(VLOOKUP(SUBSTITUTE(SUBSTITUTE(SUBSTITUTE($MX13,"~","~~"),"*","~*"),"?","~?"),'DADOS_MELHORIAS'!$AG$2:$AL$113,3,FALSE),0)</f>
        <v/>
      </c>
      <c r="NP13" s="164">
        <f>IFERROR(VLOOKUP(SUBSTITUTE(SUBSTITUTE(SUBSTITUTE($MY13,"~","~~"),"*","~*"),"?","~?"),'DADOS_MELHORIAS'!$AG$2:$AL$113,3,FALSE),0)</f>
        <v/>
      </c>
      <c r="NQ13" s="164">
        <f>IFERROR(VLOOKUP(SUBSTITUTE(SUBSTITUTE(SUBSTITUTE($MZ13,"~","~~"),"*","~*"),"?","~?"),'DADOS_MELHORIAS'!$AG$2:$AL$113,3,FALSE),0)</f>
        <v/>
      </c>
      <c r="NR13" s="164">
        <f>IFERROR(VLOOKUP(SUBSTITUTE(SUBSTITUTE(SUBSTITUTE($NA13,"~","~~"),"*","~*"),"?","~?"),'DADOS_MELHORIAS'!$AG$2:$AL$113,3,FALSE),0)</f>
        <v/>
      </c>
      <c r="NS13" s="164">
        <f>IF($MS13=0,0,IF($NJ13=0,0,INDEX('DADOS_FORMAS'!$GB$2:$GB$21,$NJ13)))</f>
        <v/>
      </c>
      <c r="NT13" s="164">
        <f>IF(OR($NO13=0,$MS13=0),0,$NO13+3*IF(AND($NK13&lt;&gt;"",COUNTIF(INDEX($RB$2:$RJ$13,$MO13,0),$NK13)&gt;0),1,0))</f>
        <v/>
      </c>
      <c r="NU13" s="164">
        <f>IF(OR($NP13=0,$MS13=0),0,$NP13+3*IF(AND($NL13&lt;&gt;"",COUNTIF(INDEX($RB$2:$RJ$13,$MO13,0),$NL13)&gt;0),1,0))</f>
        <v/>
      </c>
      <c r="NV13" s="164">
        <f>IF(OR($NQ13=0,$MS13=0),0,$NQ13+3*IF(AND($NM13&lt;&gt;"",COUNTIF(INDEX($RB$2:$RJ$13,$MO13,0),$NM13)&gt;0),1,0))</f>
        <v/>
      </c>
      <c r="NW13" s="164">
        <f>IF(OR($NR13=0,$MS13=0),0,$NR13+3*IF(AND($NN13&lt;&gt;"",COUNTIF(INDEX($RB$2:$RJ$13,$MO13,0),$NN13)&gt;0),1,0))</f>
        <v/>
      </c>
      <c r="NX13" s="164">
        <f>IF($NJ13=0,0,IF(INDEX('DADOS_FORMAS'!$GA$2:$GA$21,$NJ13)="",0,IF((COUNTIF(INDEX($EL$2:$EP$13,$MO13,0),INDEX('DADOS_FORMAS'!$GA$2:$GA$21,$NJ13))+COUNTIF(INDEX($QV$2:$QY$13,$MO13,0),INDEX('DADOS_FORMAS'!$GA$2:$GA$21,$NJ13)))=0,1,0)))</f>
        <v/>
      </c>
      <c r="NY13" s="164">
        <f>IF(OR($NO13=0,$NK13=""),0,IF((COUNTIF(INDEX($EL$2:$EP$13,$MO13,0),$NK13)+COUNTIF(INDEX($QV$2:$QY$13,$MO13,0),$NK13))=0,1,0))</f>
        <v/>
      </c>
      <c r="NZ13" s="164">
        <f>IF(OR($NP13=0,$NL13=""),0,IF((COUNTIF(INDEX($EL$2:$EP$13,$MO13,0),$NL13)+COUNTIF(INDEX($QV$2:$QY$13,$MO13,0),$NL13))=0,1,0))</f>
        <v/>
      </c>
      <c r="OA13" s="164">
        <f>IF(OR($NQ13=0,$NM13=""),0,IF((COUNTIF(INDEX($EL$2:$EP$13,$MO13,0),$NM13)+COUNTIF(INDEX($QV$2:$QY$13,$MO13,0),$NM13))=0,1,0))</f>
        <v/>
      </c>
      <c r="OB13" s="164">
        <f>IF(OR($NR13=0,$NN13=""),0,IF((COUNTIF(INDEX($EL$2:$EP$13,$MO13,0),$NN13)+COUNTIF(INDEX($QV$2:$QY$13,$MO13,0),$NN13))=0,1,0))</f>
        <v/>
      </c>
      <c r="OC13" s="164">
        <f>IFERROR(VLOOKUP(SUBSTITUTE(SUBSTITUTE(SUBSTITUTE($MX13,"~","~~"),"*","~*"),"?","~?"),'DADOS_MELHORIAS'!$AG$2:$AL$113,4,FALSE),0)+IFERROR(VLOOKUP(SUBSTITUTE(SUBSTITUTE(SUBSTITUTE($MY13,"~","~~"),"*","~*"),"?","~?"),'DADOS_MELHORIAS'!$AG$2:$AL$113,4,FALSE),0)+IFERROR(VLOOKUP(SUBSTITUTE(SUBSTITUTE(SUBSTITUTE($MZ13,"~","~~"),"*","~*"),"?","~?"),'DADOS_MELHORIAS'!$AG$2:$AL$113,4,FALSE),0)+IFERROR(VLOOKUP(SUBSTITUTE(SUBSTITUTE(SUBSTITUTE($NA13,"~","~~"),"*","~*"),"?","~?"),'DADOS_MELHORIAS'!$AG$2:$AL$113,4,FALSE),0)</f>
        <v/>
      </c>
      <c r="OD13" s="164">
        <f>IFERROR(VLOOKUP(SUBSTITUTE(SUBSTITUTE(SUBSTITUTE($MX13,"~","~~"),"*","~*"),"?","~?"),'DADOS_MELHORIAS'!$AG$2:$AL$113,6,FALSE),0)+IFERROR(VLOOKUP(SUBSTITUTE(SUBSTITUTE(SUBSTITUTE($MY13,"~","~~"),"*","~*"),"?","~?"),'DADOS_MELHORIAS'!$AG$2:$AL$113,6,FALSE),0)+IFERROR(VLOOKUP(SUBSTITUTE(SUBSTITUTE(SUBSTITUTE($MZ13,"~","~~"),"*","~*"),"?","~?"),'DADOS_MELHORIAS'!$AG$2:$AL$113,6,FALSE),0)+IFERROR(VLOOKUP(SUBSTITUTE(SUBSTITUTE(SUBSTITUTE($NA13,"~","~~"),"*","~*"),"?","~?"),'DADOS_MELHORIAS'!$AG$2:$AL$113,6,FALSE),0)+IFERROR(N(AND(INDEX('DADOS_FORMAS'!$AO$2:$AO$21,MATCH(SUBSTITUTE(SUBSTITUTE(SUBSTITUTE($MU13,"~","~~"),"*","~*"),"?","~?"),'DADOS_FORMAS'!$AH$2:$AH$21,0))="Acerto",$OH13=1)),0)</f>
        <v/>
      </c>
      <c r="OE13" s="164">
        <f>TEXTJOIN(", ",TRUE,IF(IFERROR(VLOOKUP(SUBSTITUTE(SUBSTITUTE(SUBSTITUTE($MX13,"~","~~"),"*","~*"),"?","~?"),'DADOS_MELHORIAS'!$AG$2:$AL$113,5,FALSE),0)=1,$MX13,""),IF(IFERROR(VLOOKUP(SUBSTITUTE(SUBSTITUTE(SUBSTITUTE($MY13,"~","~~"),"*","~*"),"?","~?"),'DADOS_MELHORIAS'!$AG$2:$AL$113,5,FALSE),0)=1,$MY13,""),IF(IFERROR(VLOOKUP(SUBSTITUTE(SUBSTITUTE(SUBSTITUTE($MZ13,"~","~~"),"*","~*"),"?","~?"),'DADOS_MELHORIAS'!$AG$2:$AL$113,5,FALSE),0)=1,$MZ13,""),IF(IFERROR(VLOOKUP(SUBSTITUTE(SUBSTITUTE(SUBSTITUTE($NA13,"~","~~"),"*","~*"),"?","~?"),'DADOS_MELHORIAS'!$AG$2:$AL$113,5,FALSE),0)=1,$NA13,""))</f>
        <v/>
      </c>
      <c r="OF13" s="164">
        <f>IF($NJ13=0,0,INDEX('DADOS_FORMAS'!$GC$2:$GC$21,$NJ13))</f>
        <v/>
      </c>
      <c r="OG13" s="164">
        <f>IF($NJ13=0,0,INDEX('DADOS_FORMAS'!$GD$2:$GD$21,$NJ13))</f>
        <v/>
      </c>
      <c r="OH13" s="164">
        <f>IF($NJ13=0,0,INDEX('DADOS_FORMAS'!$GF$2:$GF$21,$NJ13))</f>
        <v/>
      </c>
      <c r="OI13" s="164">
        <f>IFERROR(VLOOKUP(SUBSTITUTE(SUBSTITUTE(SUBSTITUTE($NB13,"~","~~"),"*","~*"),"?","~?"),'DADOS_RESTRICOES'!$M$2:$Q$54,3,FALSE),0)</f>
        <v/>
      </c>
      <c r="OJ13" s="164">
        <f>IFERROR(VLOOKUP(SUBSTITUTE(SUBSTITUTE(SUBSTITUTE($NC13,"~","~~"),"*","~*"),"?","~?"),'DADOS_RESTRICOES'!$M$2:$Q$54,3,FALSE),0)</f>
        <v/>
      </c>
      <c r="OK13" s="164">
        <f>IFERROR(VLOOKUP(SUBSTITUTE(SUBSTITUTE(SUBSTITUTE($NB13,"~","~~"),"*","~*"),"?","~?"),'DADOS_RESTRICOES'!$M$2:$Q$54,2,FALSE),"")</f>
        <v/>
      </c>
      <c r="OL13" s="164">
        <f>IFERROR(VLOOKUP(SUBSTITUTE(SUBSTITUTE(SUBSTITUTE($NC13,"~","~~"),"*","~*"),"?","~?"),'DADOS_RESTRICOES'!$M$2:$Q$54,2,FALSE),"")</f>
        <v/>
      </c>
      <c r="OM13" s="164">
        <f>COUNTIF($NS13:$NW13,1)</f>
        <v/>
      </c>
      <c r="ON13" s="164">
        <f>COUNTIF($NS13:$NW13,2)</f>
        <v/>
      </c>
      <c r="OO13" s="164">
        <f>COUNTIF($NS13:$NW13,3)</f>
        <v/>
      </c>
      <c r="OP13" s="164">
        <f>COUNTIF($NS13:$NW13,4)</f>
        <v/>
      </c>
      <c r="OQ13" s="164">
        <f>COUNTIF($NS13:$NW13,5)</f>
        <v/>
      </c>
      <c r="OR13" s="164">
        <f>COUNTIF($NS13:$NW13,6)</f>
        <v/>
      </c>
      <c r="OS13" s="164">
        <f>COUNTIF($OI13:$OJ13,1)+IF(IFERROR(INDEX('DADOS_FORMAS'!$AS$2:$AS$21,MATCH(SUBSTITUTE(SUBSTITUTE(SUBSTITUTE($MU13,"~","~~"),"*","~*"),"?","~?"),'DADOS_FORMAS'!$AH$2:$AH$21,0)),"")="",0,IFERROR(N(VLOOKUP(SUBSTITUTE(SUBSTITUTE(SUBSTITUTE(IFERROR(INDEX('DADOS_FORMAS'!$AS$2:$AS$21,MATCH(SUBSTITUTE(SUBSTITUTE(SUBSTITUTE($MU13,"~","~~"),"*","~*"),"?","~?"),'DADOS_FORMAS'!$AH$2:$AH$21,0)),""),"~","~~"),"*","~*"),"?","~?"),'DADOS_RESTRICOES'!$M$2:$Q$54,3,FALSE)=1),0))</f>
        <v/>
      </c>
      <c r="OT13" s="164">
        <f>COUNTIF($OI13:$OJ13,2)+IF(IFERROR(INDEX('DADOS_FORMAS'!$AS$2:$AS$21,MATCH(SUBSTITUTE(SUBSTITUTE(SUBSTITUTE($MU13,"~","~~"),"*","~*"),"?","~?"),'DADOS_FORMAS'!$AH$2:$AH$21,0)),"")="",0,IFERROR(N(VLOOKUP(SUBSTITUTE(SUBSTITUTE(SUBSTITUTE(IFERROR(INDEX('DADOS_FORMAS'!$AS$2:$AS$21,MATCH(SUBSTITUTE(SUBSTITUTE(SUBSTITUTE($MU13,"~","~~"),"*","~*"),"?","~?"),'DADOS_FORMAS'!$AH$2:$AH$21,0)),""),"~","~~"),"*","~*"),"?","~?"),'DADOS_RESTRICOES'!$M$2:$Q$54,3,FALSE)=2),0))</f>
        <v/>
      </c>
      <c r="OU13" s="164">
        <f>COUNTIF($MX13:$NA13,"?*")</f>
        <v/>
      </c>
      <c r="OV13" s="164">
        <f>COUNTIF($NB13:$NC13,"?*")+$OF13</f>
        <v/>
      </c>
      <c r="OW13" s="164">
        <f>IF($MS13=0,0,SUMPRODUCT($OM13:$OR13,INDEX($I$2:$N$8,MAX(1,$MS13),0)))</f>
        <v/>
      </c>
      <c r="OX13" s="164">
        <f>IF($MS13=0,0,$OS13*CEILING($MS13/2,1)+$OT13*$MS13)</f>
        <v/>
      </c>
      <c r="OY13" s="164">
        <f>MIN(2*$MS13,$OX13)</f>
        <v/>
      </c>
      <c r="OZ13" s="164">
        <f>MIN($OY13,$OW13-IF($NS13=0,0,INDEX($I$2:$N$8,MAX(1,$MS13),$NS13)))</f>
        <v/>
      </c>
      <c r="PA13" s="164">
        <f>$OY13-$OZ13</f>
        <v/>
      </c>
      <c r="PB13" s="164">
        <f>IF($MS13=0,0,INDEX($P$2:$P$8,MAX(1,$MS13)))</f>
        <v/>
      </c>
      <c r="PC13" s="164">
        <f>$PB13-$OW13+$OZ13</f>
        <v/>
      </c>
      <c r="PD13" s="164">
        <f>IF($MS13=0,MAX(0,$NG13-IF(AND($OU13&gt;0,COUNTIF($NB13:$NC13,"?*")=0),1,0)),MAX(0,$PC13))</f>
        <v/>
      </c>
      <c r="PE13" s="164">
        <f>IF($MS13=0,0,(IF(COUNTIF($RK13:$RN13,"Salto")&gt;0,1,0)+IF(COUNTIF($RK13:$RN13,"Queima")&gt;0,1,0)+IF(COUNTIF($RK13:$RN13,"Estilhaço")&gt;0,1,0))*FLOOR($PD13/2,1))</f>
        <v/>
      </c>
      <c r="PF13" s="164">
        <f>MAX(0,2-SUMPRODUCT($OM13:$OR13,$I$2:$N$2)+MIN(2,$OS13*1+$OT13*1,SUMPRODUCT($OM13:$OR13,$I$2:$N$2)-IF($NS13=0,0,INDEX($I$2:$N$2,1,$NS13))))</f>
        <v/>
      </c>
      <c r="PG13" s="164">
        <f>MAX(0,4-SUMPRODUCT($OM13:$OR13,$I$3:$N$3)+MIN(4,$OS13*1+$OT13*2,SUMPRODUCT($OM13:$OR13,$I$3:$N$3)-IF($NS13=0,0,INDEX($I$3:$N$3,1,$NS13))))</f>
        <v/>
      </c>
      <c r="PH13" s="164">
        <f>MAX(0,6-SUMPRODUCT($OM13:$OR13,$I$4:$N$4)+MIN(6,$OS13*2+$OT13*3,SUMPRODUCT($OM13:$OR13,$I$4:$N$4)-IF($NS13=0,0,INDEX($I$4:$N$4,1,$NS13))))</f>
        <v/>
      </c>
      <c r="PI13" s="164">
        <f>MAX(0,9-SUMPRODUCT($OM13:$OR13,$I$5:$N$5)+MIN(8,$OS13*2+$OT13*4,SUMPRODUCT($OM13:$OR13,$I$5:$N$5)-IF($NS13=0,0,INDEX($I$5:$N$5,1,$NS13))))</f>
        <v/>
      </c>
      <c r="PJ13" s="164">
        <f>MAX(0,11-SUMPRODUCT($OM13:$OR13,$I$6:$N$6)+MIN(10,$OS13*3+$OT13*5,SUMPRODUCT($OM13:$OR13,$I$6:$N$6)-IF($NS13=0,0,INDEX($I$6:$N$6,1,$NS13))))</f>
        <v/>
      </c>
      <c r="PK13" s="164">
        <f>MAX(0,13-SUMPRODUCT($OM13:$OR13,$I$7:$N$7)+MIN(12,$OS13*3+$OT13*6,SUMPRODUCT($OM13:$OR13,$I$7:$N$7)-IF($NS13=0,0,INDEX($I$7:$N$7,1,$NS13))))</f>
        <v/>
      </c>
      <c r="PL13" s="164">
        <f>MAX(0,16-SUMPRODUCT($OM13:$OR13,$I$8:$N$8)+MIN(14,$OS13*4+$OT13*7,SUMPRODUCT($OM13:$OR13,$I$8:$N$8)-IF($NS13=0,0,INDEX($I$8:$N$8,1,$NS13))))</f>
        <v/>
      </c>
      <c r="PM13" s="164">
        <f>IF($OG13=2,3*$PF13&amp;" de vida temp.",IF($OG13=3,"sem dano",IF($PF13=0,IF($OG13=1,"sem cura","sem dano"),IF($OG13=1,"cura ","")&amp;$PF13&amp;"d8")))</f>
        <v/>
      </c>
      <c r="PN13" s="164">
        <f>IF($OG13=2,3*$PG13&amp;" de vida temp.",IF($OG13=3,"sem dano",IF($PG13=0,IF($OG13=1,"sem cura","sem dano"),IF($OG13=1,"cura ","")&amp;$PG13&amp;"d8")))</f>
        <v/>
      </c>
      <c r="PO13" s="164">
        <f>IF($OG13=2,3*$PH13&amp;" de vida temp.",IF($OG13=3,"sem dano",IF($PH13=0,IF($OG13=1,"sem cura","sem dano"),IF($OG13=1,"cura ","")&amp;$PH13&amp;"d8")))</f>
        <v/>
      </c>
      <c r="PP13" s="164">
        <f>IF($OG13=2,3*$PI13&amp;" de vida temp.",IF($OG13=3,"sem dano",IF($PI13=0,IF($OG13=1,"sem cura","sem dano"),IF($OG13=1,"cura ","")&amp;$PI13&amp;"d8")))</f>
        <v/>
      </c>
      <c r="PQ13" s="164">
        <f>IF($OG13=2,3*$PJ13&amp;" de vida temp.",IF($OG13=3,"sem dano",IF($PJ13=0,IF($OG13=1,"sem cura","sem dano"),IF($OG13=1,"cura ","")&amp;$PJ13&amp;"d8")))</f>
        <v/>
      </c>
      <c r="PR13" s="164">
        <f>IF($OG13=2,3*$PK13&amp;" de vida temp.",IF($OG13=3,"sem dano",IF($PK13=0,IF($OG13=1,"sem cura","sem dano"),IF($OG13=1,"cura ","")&amp;$PK13&amp;"d8")))</f>
        <v/>
      </c>
      <c r="PS13" s="164">
        <f>IF($OG13=2,3*$PL13&amp;" de vida temp.",IF($OG13=3,"sem dano",IF($PL13=0,IF($OG13=1,"sem cura","sem dano"),IF($OG13=1,"cura ","")&amp;$PL13&amp;"d8")))</f>
        <v/>
      </c>
      <c r="PT13" s="164">
        <f>IF($ND13=0,"",TEXTJOIN(" · ",TRUE,IF($ND13=0,"",TEXTJOIN(" · ",TRUE,IF($ND13=0,"",TEXTJOIN(" · ",TRUE,IF($MQ13&gt;$NE13,"Este lugar abre no nível "&amp;$MQ13,""),IF($MS13&gt;$NF13,"Classe "&amp;$MS13&amp;": o nível "&amp;$NE13&amp;" libera até a "&amp;$NF13,""),IF($NX13=1,"A Forma "&amp;$MU13&amp;" pede "&amp;INDEX('DADOS_FORMAS'!$GA$2:$GA$21,$NJ13)&amp;" aberta",""),IF(AND($MS13=0,$NJ13&gt;0,IF($NJ13=0,0,INDEX('DADOS_FORMAS'!$GJ$2:$GJ$21,$NJ13))=0),$MU13&amp;" não existe na Classe 0",""),IF($NY13=1,"Família Fechada: "&amp;$MX13,""),IF($NZ13=1,"Família Fechada: "&amp;$MY13,""),IF($OA13=1,"Família Fechada: "&amp;$MZ13,""),IF($OB13=1,"Família Fechada: "&amp;$NA13,""),IF(AND($MS13&gt;0,$OU13&gt;INDEX($O$2:$O$8,MAX(1,$MS13))),$OU13&amp;" Melhorias: a Classe "&amp;$MS13&amp;" aceita "&amp;INDEX($O$2:$O$8,MAX(1,$MS13)),""),IF(AND($MS13=0,$OU13&gt;1),"A básica aceita uma Melhoria",""),IF(AND($MS13=0,COUNTIF($NO13:$NR13,"&gt;1")&gt;0),"A básica só aceita Melhoria Leve",""),IF(AND($MS13&gt;0,$OV13&gt;2),$OV13&amp;" Restrições"&amp;IF($OF13=1,", contando a que a Forma "&amp;$MU13&amp;" já traz","")&amp;": o limite é 2",""),IF(AND($MS13=0,COUNTIF($NB13:$NC13,"?*")&gt;1),"A básica aceita uma Restrição Leve",""),IF(AND($MS13=0,COUNTIF($OI13:$OJ13,2)&gt;0),"A básica só aceita Restrição Leve",""),IF(AND($MS13&gt;0,$PC13&lt;0),"Orçamento estourado: faltam "&amp;(-$PC13)&amp;IF($PC13&lt;-1," pontos"," ponto"),""),IF(IFERROR(VLOOKUP(SUBSTITUTE(SUBSTITUTE(SUBSTITUTE($NB13,"~","~~"),"*","~*"),"?","~?"),'DADOS_RESTRICOES'!$M$2:$Q$54,4,FALSE),0)+IFERROR(VLOOKUP(SUBSTITUTE(SUBSTITUTE(SUBSTITUTE($NC13,"~","~~"),"*","~*"),"?","~?"),'DADOS_RESTRICOES'!$M$2:$Q$54,4,FALSE),0)&gt;1,$OK13&amp;" e "&amp;$OL13&amp;" são as duas de frequência",""),IF(AND((COUNTIF($RK13:$RN13,"Rápido")+COUNTIF($OK13:$OL13,"Rápido"))&gt;0,(COUNTIF($MX13:$NA13,"Atrasar")+COUNTIF($OK13:$OL13,"Atrasar"))&gt;0),"Rápido não entra com Atrasar",""),IF(AND((COUNTIF($RK13:$RN13,"Reação")+COUNTIF($OK13:$OL13,"Reação"))&gt;0,(COUNTIF($RK13:$RN13,"Rápido")+COUNTIF($OK13:$OL13,"Rápido"))&gt;0),"Reação não entra com Rápido",""),IF(AND((COUNTIF($RK13:$RN13,"Reação")+COUNTIF($OK13:$OL13,"Reação"))&gt;0,(COUNTIF($RK13:$RN13,"Armado")+COUNTIF($OK13:$OL13,"Armado"))&gt;0),"Reação não entra com Armado",""),IF(AND((COUNTIF($RK13:$RN13,"Reação")+COUNTIF($OK13:$OL13,"Reação"))&gt;0,(COUNTIF($MX13:$NA13,"Atrasar")+COUNTIF($OK13:$OL13,"Atrasar"))&gt;0),"Reação não entra com Atrasar",""),IF(AND((COUNTIF($RK13:$RN13,"Reação")+COUNTIF($OK13:$OL13,"Reação"))&gt;0,(COUNTIF($MX13:$NA13,"Parado")+COUNTIF($OK13:$OL13,"Parado"))&gt;0),"Reação não entra com Parado",""),IF(AND((COUNTIF($MX13:$NA13,"Atrasar")+COUNTIF($OK13:$OL13,"Atrasar"))&gt;0,(COUNTIF($MX13:$NA13,"Parado")+COUNTIF($OK13:$OL13,"Parado"))&gt;0),"Atrasar não entra com Parado",""),IF(AND((COUNTIF($RK13:$RN13,"Armado")+COUNTIF($OK13:$OL13,"Armado"))&gt;0,(COUNTIF($MX13:$NA13,"Carregar")+COUNTIF($OK13:$OL13,"Carregar"))&gt;0),"Armado não entra com Carregar",""),IF(AND(COUNTIF($OK13:$OL13,"Corpo a Corpo")&gt;0,$OF13=0,OR($RO13="Cone",$RO13="Linha")),"Corpo a Corpo não entra em "&amp;$MU13,""),IF(AND(COUNTIF($OK13:$OL13,"Corpo a Corpo")&gt;0,$RP13="Corpo a Corpo"),"A Forma "&amp;$MU13&amp;" já traz o Corpo a Corpo",""),IF(AND(COUNTIF($OK13:$OL13,"Tudo ou Nada")&gt;0,$OH13=0),"Tudo ou Nada só entra em habilidade de Teste de Resistência",""),IF(AND(COUNTIF($RK13:$RN13,"Inescapável")&gt;0,OR($OU13&gt;1,$OV13&gt;0)),"Inescapável não aceita outra peça",""),IF(AND($MS13&gt;0,$PD13*IF(COUNTIF($RK13:$RN13,"Remate")&gt;0,1.25,1)+$PE13&gt;4*$MS13),($PD13*IF(COUNTIF($RK13:$RN13,"Remate")&gt;0,1.25,1)+$PE13)&amp;" dados somando repetições"&amp;IF(COUNTIF($RK13:$RN13,"Remate")&gt;0," e o Remate","")&amp;": o teto da Classe "&amp;$MS13&amp;" é "&amp;4*$MS13,""))),IF(AND($MX13&lt;&gt;"",COUNTIF('DADOS_MELHORIAS'!$O$2:$O$113,SUBSTITUTE(SUBSTITUTE(SUBSTITUTE($MX13,"~","~~"),"*","~*"),"?","~?"))=0),"Melhoria não cadastrada ou com erro: "&amp;$MX13,""),IF(AND($MY13&lt;&gt;"",COUNTIF('DADOS_MELHORIAS'!$O$2:$O$113,SUBSTITUTE(SUBSTITUTE(SUBSTITUTE($MY13,"~","~~"),"*","~*"),"?","~?"))=0),"Melhoria não cadastrada ou com erro: "&amp;$MY13,""),IF(AND($MZ13&lt;&gt;"",COUNTIF('DADOS_MELHORIAS'!$O$2:$O$113,SUBSTITUTE(SUBSTITUTE(SUBSTITUTE($MZ13,"~","~~"),"*","~*"),"?","~?"))=0),"Melhoria não cadastrada ou com erro: "&amp;$MZ13,""),IF(AND($NA13&lt;&gt;"",COUNTIF('DADOS_MELHORIAS'!$O$2:$O$113,SUBSTITUTE(SUBSTITUTE(SUBSTITUTE($NA13,"~","~~"),"*","~*"),"?","~?"))=0),"Melhoria não cadastrada ou com erro: "&amp;$NA13,""),IF(AND($NB13&lt;&gt;"",COUNTIF('DADOS_RESTRICOES'!$M$2:$M$54,SUBSTITUTE(SUBSTITUTE(SUBSTITUTE($NB13,"~","~~"),"*","~*"),"?","~?"))=0),"Restrição não cadastrada ou com erro: "&amp;$NB13,""),IF(AND($NC13&lt;&gt;"",COUNTIF('DADOS_RESTRICOES'!$M$2:$M$54,SUBSTITUTE(SUBSTITUTE(SUBSTITUTE($NC13,"~","~~"),"*","~*"),"?","~?"))=0),"Restrição não cadastrada ou com erro: "&amp;$NC13,""))),IF(AND($MU13&lt;&gt;"",COUNTIF('DADOS_FORMAS'!$AH$2:$AH$21,SUBSTITUTE(SUBSTITUTE(SUBSTITUTE($MU13,"~","~~"),"*","~*"),"?","~?"))=0),"Forma não cadastrada ou com erro: "&amp;$MU13,""),IF(AND(IFERROR(INDEX('DADOS_FORMAS'!$AS$2:$AS$21,MATCH(SUBSTITUTE(SUBSTITUTE(SUBSTITUTE($MU13,"~","~~"),"*","~*"),"?","~?"),'DADOS_FORMAS'!$AH$2:$AH$21,0)),"")&lt;&gt;"",OR(IFERROR(VLOOKUP(SUBSTITUTE(SUBSTITUTE(SUBSTITUTE(IFERROR(INDEX('DADOS_FORMAS'!$AS$2:$AS$21,MATCH(SUBSTITUTE(SUBSTITUTE(SUBSTITUTE($MU13,"~","~~"),"*","~*"),"?","~?"),'DADOS_FORMAS'!$AH$2:$AH$21,0)),""),"~","~~"),"*","~*"),"?","~?"),'DADOS_RESTRICOES'!$M$2:$Q$54,2,FALSE),"")=$OK13,IFERROR(VLOOKUP(SUBSTITUTE(SUBSTITUTE(SUBSTITUTE(IFERROR(INDEX('DADOS_FORMAS'!$AS$2:$AS$21,MATCH(SUBSTITUTE(SUBSTITUTE(SUBSTITUTE($MU13,"~","~~"),"*","~*"),"?","~?"),'DADOS_FORMAS'!$AH$2:$AH$21,0)),""),"~","~~"),"*","~*"),"?","~?"),'DADOS_RESTRICOES'!$M$2:$Q$54,2,FALSE),"")=$OL13)),"Restrição repetida, contando a embutida",""),IF(IF(IFERROR(INDEX('DADOS_FORMAS'!$AS$2:$AS$21,MATCH(SUBSTITUTE(SUBSTITUTE(SUBSTITUTE($MU13,"~","~~"),"*","~*"),"?","~?"),'DADOS_FORMAS'!$AH$2:$AH$21,0)),"")="",0,IFERROR(N(VLOOKUP(SUBSTITUTE(SUBSTITUTE(SUBSTITUTE(IFERROR(INDEX('DADOS_FORMAS'!$AS$2:$AS$21,MATCH(SUBSTITUTE(SUBSTITUTE(SUBSTITUTE($MU13,"~","~~"),"*","~*"),"?","~?"),'DADOS_FORMAS'!$AH$2:$AH$21,0)),""),"~","~~"),"*","~*"),"?","~?"),'DADOS_RESTRICOES'!$M$2:$Q$54,4,FALSE)=1),0))+IF($NB13="",0,IFERROR(N(VLOOKUP(SUBSTITUTE(SUBSTITUTE(SUBSTITUTE($NB13,"~","~~"),"*","~*"),"?","~?"),'DADOS_RESTRICOES'!$M$2:$Q$54,4,FALSE)=1),0))+IF($NC13="",0,IFERROR(N(VLOOKUP(SUBSTITUTE(SUBSTITUTE(SUBSTITUTE($NC13,"~","~~"),"*","~*"),"?","~?"),'DADOS_RESTRICOES'!$M$2:$Q$54,4,FALSE)=1),0))&gt;1,"Duas Restrições de frequência, contando a embutida",""),IF(AND(IFERROR(VLOOKUP(SUBSTITUTE(SUBSTITUTE(SUBSTITUTE(IFERROR(INDEX('DADOS_FORMAS'!$AS$2:$AS$21,MATCH(SUBSTITUTE(SUBSTITUTE(SUBSTITUTE($MU13,"~","~~"),"*","~*"),"?","~?"),'DADOS_FORMAS'!$AH$2:$AH$21,0)),""),"~","~~"),"*","~*"),"?","~?"),'DADOS_RESTRICOES'!$M$2:$Q$54,2,FALSE),"")="Tudo ou Nada",$OH13=0),"Tudo ou Nada exige TR",""),IF(AND(IFERROR(VLOOKUP(SUBSTITUTE(SUBSTITUTE(SUBSTITUTE(IFERROR(INDEX('DADOS_FORMAS'!$AS$2:$AS$21,MATCH(SUBSTITUTE(SUBSTITUTE(SUBSTITUTE($MU13,"~","~~"),"*","~*"),"?","~?"),'DADOS_FORMAS'!$AH$2:$AH$21,0)),""),"~","~~"),"*","~*"),"?","~?"),'DADOS_RESTRICOES'!$M$2:$Q$54,2,FALSE),"")="Corpo a Corpo",OR($RO13="Cone",$RO13="Linha")),"Corpo a Corpo não entra em Cone/Linha","")))</f>
        <v/>
      </c>
      <c r="PU13" s="164">
        <f>IF($PT13="",0,(LEN($PT13)-LEN(SUBSTITUTE($PT13," · ","")))/3+1)</f>
        <v/>
      </c>
      <c r="PV13" s="164">
        <f>IF($ND13=0,"",TEXTJOIN(" · ",TRUE,IF($OX13&gt;2*$MS13,"A devolução parou no teto de "&amp;2*$MS13,""),IF($PA13&gt;0,"Devolução perdida: "&amp;$PA13&amp;IF($PA13&gt;1," pontos"," ponto")&amp;" sem Melhoria para pagar",""),IF(AND($OC13&gt;0,AND($MS13&gt;0,$OG13=0),$PD13=0),"Controle sem dano: uma rodada a mais e CD +2",""),IF(AND($OC13&gt;0,AND($MS13&gt;0,$OG13=0),$PD13&gt;0,$PD13&lt;=$MS13),"Controle com saldo até a Classe: uma rodada a mais",""),IF(AND($MS13&gt;0,$OE13&lt;&gt;""),"Efeito de "&amp;$OE13&amp;" pela Classe "&amp;MAX(1,$MS13-1),"")))</f>
        <v/>
      </c>
      <c r="PW13" s="164">
        <f>IF($PV13="",0,(LEN($PV13)-LEN(SUBSTITUTE($PV13," · ","")))/3+1)</f>
        <v/>
      </c>
      <c r="PX13" s="164">
        <f>IF($ND13=0,IF($OU13+COUNTIF($NB13:$NC13,"?*")&gt;0,"Dê um nome",""),IF($PU13&gt;0,"⚠ "&amp;$PU13&amp;IF($PU13&gt;1," erros"," erro"),IF($PW13&gt;0,"! "&amp;$PW13&amp;IF($PW13&gt;1," avisos"," aviso"),"Na regra")))</f>
        <v/>
      </c>
      <c r="PY13" s="164">
        <f>IF($ND13=0,"",IF($PU13+$PW13=0,"Dentro das regras que a ficha confere",$PT13&amp;IF(AND($PU13&gt;0,$PW13&gt;0)," · ","")&amp;$PV13))</f>
        <v/>
      </c>
      <c r="PZ13" s="164">
        <f>IF($MQ13&gt;$NE13,$MR13&amp;" · ABRE NO NÍVEL "&amp;$MQ13,$MR13)</f>
        <v/>
      </c>
      <c r="QA13" s="164">
        <f>IF($ND13=0,"",IF($MS13=0,"Sem PE",3*$MS13&amp;" PE"))</f>
        <v/>
      </c>
      <c r="QB13" s="164">
        <f>IF($ND13=0,"",IF($MS13=0,"A atuação básica dela",IF(COUNTIF($RQ13:$RS13,"Atrasar")&gt;0,"Sua Ação Completa",IF(COUNTIF($RK13:$RN13,"Rápido")&gt;0,"Sua Bônus",IF(COUNTIF($RK13:$RN13,"Reação")&gt;0,"Sua Reação","Sua Padrão")))&amp;" + a básica dela"&amp;IF(COUNTIF($RK13:$RN13,"Reação")&gt;0," e a coletiva","")&amp;IF(COUNTIF($RQ13:$RS13,"Carregar")&gt;0," · em dois turnos","")))</f>
        <v/>
      </c>
      <c r="QC13" s="164">
        <f>IF($MW13&lt;&gt;"",$MW13,IF($NJ13=0,"",INDEX('DADOS_FORMAS'!$GE$2:$GE$21,$NJ13)))</f>
        <v/>
      </c>
      <c r="QD13" s="164">
        <f>IF(OR($ND13=0,$NJ13=0),"",IF(COUNTIF($RK13:$RN13,"Inescapável")&gt;0,"Automático",IF($QC13="Ataque",IF($NH13="","Ataque","Ataque "&amp;IF(($NH13+2*IF(COUNTIF($RK13:$RN13,"Precisão")&gt;0,1,0))&gt;=0,"+","−")&amp;ABS(($NH13+2*IF(COUNTIF($RK13:$RN13,"Precisão")&gt;0,1,0))))&amp;IF($OD13&gt;0," · TR"&amp;IF($NI13="",""," CD "&amp;$NI13),""),IF(LEFT($QC13,2)="TR",$QC13&amp;IF($NI13="",""," · CD "&amp;$NI13)&amp;IF(COUNTIF($RK13:$RN13,"Certeiro")&gt;0," · metade",""),"Sem rolagem"))))</f>
        <v/>
      </c>
      <c r="QE13" s="164">
        <f>IF(OR($ND13=0,$NJ13=0),"",IF($MS13=0,IF(OR($OG13&gt;=1,$PD13=0),"Sem dano",$PD13&amp;"d6"&amp;IF($MV13="",""," "&amp;$MV13)),IF(OR($OG13&gt;=1,$PD13=0),UPPER(LEFT(INDEX($PM13:$PS13,1,MAX(1,$MS13)),1))&amp;MID(INDEX($PM13:$PS13,1,MAX(1,$MS13)),2,99),UPPER(LEFT(INDEX($PM13:$PS13,1,MAX(1,$MS13)),1))&amp;MID(INDEX($PM13:$PS13,1,MAX(1,$MS13)),2,99)&amp;IF($MV13="",""," "&amp;$MV13)&amp;IF($PE13&gt;0," · +"&amp;$PE13&amp;"d8",""))))</f>
        <v/>
      </c>
      <c r="QF13" s="164">
        <f>COUNTIF($RK13:$RN13,"Longe")+3*COUNTIF($RK13:$RN13,"Muito Longe")</f>
        <v/>
      </c>
      <c r="QG13" s="164">
        <f>COUNTIF($RK13:$RN13,"Maior")+3*COUNTIF($RK13:$RN13,"Muito Maior")</f>
        <v/>
      </c>
      <c r="QH13" s="164">
        <f>IF($NJ13=0,0,CHOOSE(1+INDEX('DADOS_FORMAS'!$GG$2:$GG$21,$NJ13),0,$QF13,$QG13,$QF13+$QG13))</f>
        <v/>
      </c>
      <c r="QI13" s="164">
        <f>IF($NJ13=0,0,CHOOSE(1+INDEX('DADOS_FORMAS'!$GH$2:$GH$21,$NJ13),0,$QF13,$QG13,$QF13+$QG13))</f>
        <v/>
      </c>
      <c r="QJ13" s="164">
        <f>IF(OR($ND13=0,$NJ13=0),"",INDEX('DADOS_FORMAS'!$HU$2:$HZ$81,($NJ13-1)*4+IF($MS13=0,1,IF($MS13&lt;=5,2,IF($MS13=6,3,4))),1+MIN(5,$QH13))&amp;INDEX('DADOS_FORMAS'!$IA$2:$IF$81,($NJ13-1)*4+IF($MS13=0,1,IF($MS13&lt;=5,2,IF($MS13=6,3,4))),1+MIN(5,$QI13))&amp;IF(INDEX('DADOS_FORMAS'!$GI$2:$GI$21,$NJ13)=1,IF(COUNTIF($RK13:$RN13,"Mais Um")&gt;0," · +"&amp;COUNTIF($RK13:$RN13,"Mais Um")&amp;IF(COUNTIF($RK13:$RN13,"Mais Um")&gt;1," alvos"," alvo"),"")&amp;IF(COUNTIF($RK13:$RN13,"Rajada")&gt;0,IF($MS13=0," · 1 tiro"," · "&amp;(MAX(1,$MS13-1)+1)&amp;" tiros"),""),""))</f>
        <v/>
      </c>
      <c r="QK13" s="164">
        <f>IF($ND13=0,"",IF($MS13=0,$NG13&amp;"d6"&amp;IF($OU13&gt;0," − 1 = "&amp;$PD13&amp;"d6"," da básica do nível "&amp;$NE13),$PB13&amp;" − "&amp;$OW13&amp;" + "&amp;$OZ13&amp;" = "&amp;$PC13&amp;" · teto "&amp;4*$MS13&amp;"d8"&amp;IF($OF13=1," · a Forma devolve "&amp;$MS13,"")&amp;IF($PA13&gt;0," · perde "&amp;$PA13,"")))</f>
        <v/>
      </c>
      <c r="QL13" s="164">
        <f>IF($ND13=0,"",IF($MS13=0,"A básica não amplia: os dados dela sobem com o nível",IF($MS13&gt;=$NF13,"Já está na maior Classe que o nível liberou",TEXTJOIN(" · ",TRUE,IF(AND(2&gt;$MS13,2&lt;=$NF13),"2 → "&amp;$PN13&amp;", 6 PE",""),IF(AND(3&gt;$MS13,3&lt;=$NF13),"3 → "&amp;$PO13&amp;", 9 PE",""),IF(AND(4&gt;$MS13,4&lt;=$NF13),"4 → "&amp;$PP13&amp;", 12 PE",""),IF(AND(5&gt;$MS13,5&lt;=$NF13),"5 → "&amp;$PQ13&amp;", 15 PE",""),IF(AND(6&gt;$MS13,6&lt;=$NF13),"6 → "&amp;$PR13&amp;", 18 PE",""),IF(AND(7&gt;$MS13,7&lt;=$NF13),"7 → "&amp;$PS13&amp;", 21 PE","")))))</f>
        <v/>
      </c>
      <c r="QM13" s="164">
        <f>IF(OR($ND13=0,$NO13=0),"",IF($MS13=0,"−1 dado","−"&amp;INDEX($I$2:$N$8,MAX(1,$MS13),MAX(1,$NT13))&amp;" · "&amp;CHOOSE(MAX(1,$NT13),"Leve","Média","Pesada","Leve · Livre","Média · Livre","Pesada · Livre")))</f>
        <v/>
      </c>
      <c r="QN13" s="164">
        <f>IF(OR($ND13=0,$NP13=0),"",IF($MS13=0,"−1 dado","−"&amp;INDEX($I$2:$N$8,MAX(1,$MS13),MAX(1,$NU13))&amp;" · "&amp;CHOOSE(MAX(1,$NU13),"Leve","Média","Pesada","Leve · Livre","Média · Livre","Pesada · Livre")))</f>
        <v/>
      </c>
      <c r="QO13" s="164">
        <f>IF(OR($ND13=0,$NQ13=0),"",IF($MS13=0,"−1 dado","−"&amp;INDEX($I$2:$N$8,MAX(1,$MS13),MAX(1,$NV13))&amp;" · "&amp;CHOOSE(MAX(1,$NV13),"Leve","Média","Pesada","Leve · Livre","Média · Livre","Pesada · Livre")))</f>
        <v/>
      </c>
      <c r="QP13" s="164">
        <f>IF(OR($ND13=0,$NR13=0),"",IF($MS13=0,"−1 dado","−"&amp;INDEX($I$2:$N$8,MAX(1,$MS13),MAX(1,$NW13))&amp;" · "&amp;CHOOSE(MAX(1,$NW13),"Leve","Média","Pesada","Leve · Livre","Média · Livre","Pesada · Livre")))</f>
        <v/>
      </c>
      <c r="QQ13" s="164">
        <f>IF(OR($ND13=0,$NB13=""),"",IF($MS13=0,"não devolve","+"&amp;IF($OI13=1,CEILING($MS13/2,1),$MS13)))</f>
        <v/>
      </c>
      <c r="QR13" s="164">
        <f>IF(OR($ND13=0,$NC13=""),"",IF($MS13=0,"não devolve","+"&amp;IF($OJ13=1,CEILING($MS13/2,1),$MS13)))</f>
        <v/>
      </c>
      <c r="QV13">
        <f>'INVOCAÇÕES'!$AH$1105&amp;""</f>
        <v/>
      </c>
      <c r="QW13">
        <f>'INVOCAÇÕES'!$AI$1105&amp;""</f>
        <v/>
      </c>
      <c r="QX13">
        <f>'INVOCAÇÕES'!$AJ$1105&amp;""</f>
        <v/>
      </c>
      <c r="QY13">
        <f>'INVOCAÇÕES'!$AK$1105&amp;""</f>
        <v/>
      </c>
      <c r="QZ13">
        <f>IF('INVOCAÇÕES'!$AD$1105="","Autônoma",'INVOCAÇÕES'!$AD$1105)</f>
        <v/>
      </c>
      <c r="RA13">
        <f>IF(DADOS_INVOC!$DB$4="Invocação Principal",'CONFIGURAÇÃO'!$H$144,IF(OR(DADOS_INVOC!$DB$4="Parceria",DADOS_INVOC!$DB$4="Múltiplas Invocações"),'CONFIGURAÇÃO'!$H$142,'CONFIGURAÇÃO'!$H$140))+IF($QZ$13="Não autônoma",'CONFIGURAÇÃO'!$H$145,0)</f>
        <v/>
      </c>
      <c r="RB13">
        <f>IF($RA$13&gt;=1,$EL$13,"")</f>
        <v/>
      </c>
      <c r="RC13">
        <f>IF($RA$13&gt;=2,$EM$13,"")</f>
        <v/>
      </c>
      <c r="RD13">
        <f>IF($RA$13&gt;=7,$EN$13,"")</f>
        <v/>
      </c>
      <c r="RE13">
        <f>IF($RA$13&gt;=8,$EO$13,"")</f>
        <v/>
      </c>
      <c r="RF13">
        <f>IF($RA$13&gt;=9,$EP$13,"")</f>
        <v/>
      </c>
      <c r="RG13">
        <f>IF($RA$13&gt;=3,$QV$13,"")</f>
        <v/>
      </c>
      <c r="RH13">
        <f>IF($RA$13&gt;=4,$QW$13,"")</f>
        <v/>
      </c>
      <c r="RI13">
        <f>IF($RA$13&gt;=5,$QX$13,"")</f>
        <v/>
      </c>
      <c r="RJ13">
        <f>IF($RA$13&gt;=6,$QY$13,"")</f>
        <v/>
      </c>
      <c r="RK13">
        <f>IF($MX13="","",IFERROR(VLOOKUP(SUBSTITUTE(SUBSTITUTE(SUBSTITUTE($MX13,"~","~~"),"*","~*"),"?","~?"),'DADOS_MELHORIAS'!$O$2:$X$113,10,FALSE),$MX13))</f>
        <v/>
      </c>
      <c r="RL13">
        <f>IF($MY13="","",IFERROR(VLOOKUP(SUBSTITUTE(SUBSTITUTE(SUBSTITUTE($MY13,"~","~~"),"*","~*"),"?","~?"),'DADOS_MELHORIAS'!$O$2:$X$113,10,FALSE),$MY13))</f>
        <v/>
      </c>
      <c r="RM13">
        <f>IF($MZ13="","",IFERROR(VLOOKUP(SUBSTITUTE(SUBSTITUTE(SUBSTITUTE($MZ13,"~","~~"),"*","~*"),"?","~?"),'DADOS_MELHORIAS'!$O$2:$X$113,10,FALSE),$MZ13))</f>
        <v/>
      </c>
      <c r="RN13">
        <f>IF($NA13="","",IFERROR(VLOOKUP(SUBSTITUTE(SUBSTITUTE(SUBSTITUTE($NA13,"~","~~"),"*","~*"),"?","~?"),'DADOS_MELHORIAS'!$O$2:$X$113,10,FALSE),$NA13))</f>
        <v/>
      </c>
      <c r="RO13">
        <f>IFERROR(INDEX('DADOS_FORMAS'!$BJ$2:$BJ$21,MATCH(SUBSTITUTE(SUBSTITUTE(SUBSTITUTE($MU13,"~","~~"),"*","~*"),"?","~?"),'DADOS_FORMAS'!$AH$2:$AH$21,0)),"")</f>
        <v/>
      </c>
      <c r="RP13">
        <f>IFERROR(VLOOKUP(SUBSTITUTE(SUBSTITUTE(SUBSTITUTE(IFERROR(INDEX('DADOS_FORMAS'!$AS$2:$AS$21,MATCH(SUBSTITUTE(SUBSTITUTE(SUBSTITUTE($MU13,"~","~~"),"*","~*"),"?","~?"),'DADOS_FORMAS'!$AH$2:$AH$21,0)),""),"~","~~"),"*","~*"),"?","~?"),'DADOS_RESTRICOES'!$M$2:$Q$54,2,FALSE),"")</f>
        <v/>
      </c>
      <c r="RQ13">
        <f>$OK13</f>
        <v/>
      </c>
      <c r="RR13">
        <f>$OL13</f>
        <v/>
      </c>
      <c r="RS13">
        <f>$RP13</f>
        <v/>
      </c>
    </row>
    <row r="14">
      <c r="AH14" s="162" t="inlineStr">
        <is>
          <t>Aura · classe 0</t>
        </is>
      </c>
      <c r="AI14" s="162" t="inlineStr">
        <is>
          <t>Raio 3 m, nela</t>
        </is>
      </c>
      <c r="AJ14" s="162" t="inlineStr">
        <is>
          <t>Raio 4,5 m, nela</t>
        </is>
      </c>
      <c r="AK14" s="162" t="inlineStr">
        <is>
          <t>Raio 6 m, nela</t>
        </is>
      </c>
      <c r="AL14" s="162" t="inlineStr">
        <is>
          <t>Raio 9 m, nela</t>
        </is>
      </c>
      <c r="AM14" s="162" t="inlineStr">
        <is>
          <t>Raio 15 m, nela</t>
        </is>
      </c>
      <c r="AN14" s="162" t="inlineStr">
        <is>
          <t>Raio 15 m, nela</t>
        </is>
      </c>
      <c r="AO14" s="162" t="inlineStr"/>
      <c r="AP14" s="162" t="inlineStr"/>
      <c r="AQ14" s="162" t="inlineStr"/>
      <c r="AR14" s="162" t="inlineStr"/>
      <c r="AS14" s="162" t="inlineStr"/>
      <c r="AT14" s="162" t="inlineStr"/>
      <c r="AV14" s="162" t="inlineStr">
        <is>
          <t>Salto</t>
        </is>
      </c>
      <c r="AW14" s="162" t="inlineStr">
        <is>
          <t>Área</t>
        </is>
      </c>
      <c r="AX14" s="164" t="n">
        <v>2</v>
      </c>
      <c r="AY14" s="164" t="n">
        <v>0</v>
      </c>
      <c r="AZ14" s="164" t="n">
        <v>0</v>
      </c>
      <c r="BA14" s="164" t="n">
        <v>0</v>
      </c>
      <c r="BC14" s="162" t="inlineStr">
        <is>
          <t>Sem Volta</t>
        </is>
      </c>
      <c r="BD14" s="162" t="inlineStr">
        <is>
          <t>Sem Volta</t>
        </is>
      </c>
      <c r="BE14" s="164" t="n">
        <v>2</v>
      </c>
      <c r="BF14" s="164" t="n">
        <v>0</v>
      </c>
      <c r="BG14" s="162" t="inlineStr"/>
      <c r="BI14" s="162" t="inlineStr">
        <is>
          <t>Talento Próprio (CE 1)</t>
        </is>
      </c>
      <c r="BJ14" s="164" t="n">
        <v>1</v>
      </c>
      <c r="BK14" s="162" t="inlineStr">
        <is>
          <t>Escreva nas Anotações o benefício, o gatilho, o alcance, os usos, o custo e se ele pode ser desligado, fechados com o mestre.</t>
        </is>
      </c>
      <c r="BL14" s="162" t="inlineStr">
        <is>
          <t>Talento Próprio (CE 1)</t>
        </is>
      </c>
      <c r="CC14" s="162" t="inlineStr">
        <is>
          <t>Sobrevivência</t>
        </is>
      </c>
      <c r="CD14" s="162" t="inlineStr">
        <is>
          <t>Inteligência</t>
        </is>
      </c>
      <c r="CJ14" s="162" t="inlineStr">
        <is>
          <t>Energia Reversa</t>
        </is>
      </c>
      <c r="JT14" s="164">
        <f>IF(OR($AW14="",(COUNTIF($EL$2:$EP$2,$AW14)+COUNTIF($QV$2:$QY$2,$AW14))&gt;0),$AV14,"")</f>
        <v/>
      </c>
      <c r="JU14" s="164">
        <f>IF(AND($AX14=1,OR($AW14="",(COUNTIF($EL$2:$EP$2,$AW14)+COUNTIF($QV$2:$QY$2,$AW14))&gt;0)),$AV14,"")</f>
        <v/>
      </c>
      <c r="JZ14" s="164">
        <f>IF(OR($AW14="",(COUNTIF($EL$3:$EP$3,$AW14)+COUNTIF($QV$3:$QY$3,$AW14))&gt;0),$AV14,"")</f>
        <v/>
      </c>
      <c r="KA14" s="164">
        <f>IF(AND($AX14=1,OR($AW14="",(COUNTIF($EL$3:$EP$3,$AW14)+COUNTIF($QV$3:$QY$3,$AW14))&gt;0)),$AV14,"")</f>
        <v/>
      </c>
      <c r="KF14" s="164">
        <f>IF(OR($AW14="",(COUNTIF($EL$4:$EP$4,$AW14)+COUNTIF($QV$4:$QY$4,$AW14))&gt;0),$AV14,"")</f>
        <v/>
      </c>
      <c r="KG14" s="164">
        <f>IF(AND($AX14=1,OR($AW14="",(COUNTIF($EL$4:$EP$4,$AW14)+COUNTIF($QV$4:$QY$4,$AW14))&gt;0)),$AV14,"")</f>
        <v/>
      </c>
      <c r="KL14" s="164">
        <f>IF(OR($AW14="",(COUNTIF($EL$5:$EP$5,$AW14)+COUNTIF($QV$5:$QY$5,$AW14))&gt;0),$AV14,"")</f>
        <v/>
      </c>
      <c r="KM14" s="164">
        <f>IF(AND($AX14=1,OR($AW14="",(COUNTIF($EL$5:$EP$5,$AW14)+COUNTIF($QV$5:$QY$5,$AW14))&gt;0)),$AV14,"")</f>
        <v/>
      </c>
      <c r="KR14" s="164">
        <f>IF(OR($AW14="",(COUNTIF($EL$6:$EP$6,$AW14)+COUNTIF($QV$6:$QY$6,$AW14))&gt;0),$AV14,"")</f>
        <v/>
      </c>
      <c r="KS14" s="164">
        <f>IF(AND($AX14=1,OR($AW14="",(COUNTIF($EL$6:$EP$6,$AW14)+COUNTIF($QV$6:$QY$6,$AW14))&gt;0)),$AV14,"")</f>
        <v/>
      </c>
      <c r="KX14" s="164">
        <f>IF(OR($AW14="",(COUNTIF($EL$7:$EP$7,$AW14)+COUNTIF($QV$7:$QY$7,$AW14))&gt;0),$AV14,"")</f>
        <v/>
      </c>
      <c r="KY14" s="164">
        <f>IF(AND($AX14=1,OR($AW14="",(COUNTIF($EL$7:$EP$7,$AW14)+COUNTIF($QV$7:$QY$7,$AW14))&gt;0)),$AV14,"")</f>
        <v/>
      </c>
      <c r="LD14" s="164">
        <f>IF(OR($AW14="",(COUNTIF($EL$8:$EP$8,$AW14)+COUNTIF($QV$8:$QY$8,$AW14))&gt;0),$AV14,"")</f>
        <v/>
      </c>
      <c r="LE14" s="164">
        <f>IF(AND($AX14=1,OR($AW14="",(COUNTIF($EL$8:$EP$8,$AW14)+COUNTIF($QV$8:$QY$8,$AW14))&gt;0)),$AV14,"")</f>
        <v/>
      </c>
      <c r="LJ14" s="164">
        <f>IF(OR($AW14="",(COUNTIF($EL$9:$EP$9,$AW14)+COUNTIF($QV$9:$QY$9,$AW14))&gt;0),$AV14,"")</f>
        <v/>
      </c>
      <c r="LK14" s="164">
        <f>IF(AND($AX14=1,OR($AW14="",(COUNTIF($EL$9:$EP$9,$AW14)+COUNTIF($QV$9:$QY$9,$AW14))&gt;0)),$AV14,"")</f>
        <v/>
      </c>
      <c r="LP14" s="164">
        <f>IF(OR($AW14="",(COUNTIF($EL$10:$EP$10,$AW14)+COUNTIF($QV$10:$QY$10,$AW14))&gt;0),$AV14,"")</f>
        <v/>
      </c>
      <c r="LQ14" s="164">
        <f>IF(AND($AX14=1,OR($AW14="",(COUNTIF($EL$10:$EP$10,$AW14)+COUNTIF($QV$10:$QY$10,$AW14))&gt;0)),$AV14,"")</f>
        <v/>
      </c>
      <c r="LV14" s="164">
        <f>IF(OR($AW14="",(COUNTIF($EL$11:$EP$11,$AW14)+COUNTIF($QV$11:$QY$11,$AW14))&gt;0),$AV14,"")</f>
        <v/>
      </c>
      <c r="LW14" s="164">
        <f>IF(AND($AX14=1,OR($AW14="",(COUNTIF($EL$11:$EP$11,$AW14)+COUNTIF($QV$11:$QY$11,$AW14))&gt;0)),$AV14,"")</f>
        <v/>
      </c>
      <c r="MB14" s="164">
        <f>IF(OR($AW14="",(COUNTIF($EL$12:$EP$12,$AW14)+COUNTIF($QV$12:$QY$12,$AW14))&gt;0),$AV14,"")</f>
        <v/>
      </c>
      <c r="MC14" s="164">
        <f>IF(AND($AX14=1,OR($AW14="",(COUNTIF($EL$12:$EP$12,$AW14)+COUNTIF($QV$12:$QY$12,$AW14))&gt;0)),$AV14,"")</f>
        <v/>
      </c>
      <c r="MH14" s="164">
        <f>IF(OR($AW14="",(COUNTIF($EL$13:$EP$13,$AW14)+COUNTIF($QV$13:$QY$13,$AW14))&gt;0),$AV14,"")</f>
        <v/>
      </c>
      <c r="MI14" s="164">
        <f>IF(AND($AX14=1,OR($AW14="",(COUNTIF($EL$13:$EP$13,$AW14)+COUNTIF($QV$13:$QY$13,$AW14))&gt;0)),$AV14,"")</f>
        <v/>
      </c>
      <c r="MN14" s="162" t="inlineStr">
        <is>
          <t>Ficha 1 · Escolha da trilha 3</t>
        </is>
      </c>
      <c r="MO14" s="164" t="n">
        <v>1</v>
      </c>
      <c r="MP14" s="164" t="n">
        <v>2</v>
      </c>
      <c r="MQ14" s="164" t="n">
        <v>0</v>
      </c>
      <c r="MR14" s="162" t="inlineStr">
        <is>
          <t>ESCOLHA DA TRILHA 3</t>
        </is>
      </c>
      <c r="MS14" s="164">
        <f>MAX(0,MIN(7,N('INVOCAÇÕES'!$U$173)))</f>
        <v/>
      </c>
      <c r="MT14" s="164">
        <f>'INVOCAÇÕES'!$V$173&amp;""</f>
        <v/>
      </c>
      <c r="MU14" s="164">
        <f>'INVOCAÇÕES'!$U$178&amp;""</f>
        <v/>
      </c>
      <c r="MV14" s="164">
        <f>'INVOCAÇÕES'!$U$179&amp;""</f>
        <v/>
      </c>
      <c r="MW14" s="164">
        <f>'INVOCAÇÕES'!$W$179&amp;""</f>
        <v/>
      </c>
      <c r="MX14" s="164">
        <f>'INVOCAÇÕES'!$V$182&amp;""</f>
        <v/>
      </c>
      <c r="MY14" s="164">
        <f>'INVOCAÇÕES'!$V$183&amp;""</f>
        <v/>
      </c>
      <c r="MZ14" s="164">
        <f>'INVOCAÇÕES'!$V$184&amp;""</f>
        <v/>
      </c>
      <c r="NA14" s="164">
        <f>'INVOCAÇÕES'!$V$185&amp;""</f>
        <v/>
      </c>
      <c r="NB14" s="164">
        <f>'INVOCAÇÕES'!$V$186&amp;""</f>
        <v/>
      </c>
      <c r="NC14" s="164">
        <f>'INVOCAÇÕES'!$V$187&amp;""</f>
        <v/>
      </c>
      <c r="ND14" s="164">
        <f>IF($MT14&lt;&gt;"",1,0)</f>
        <v/>
      </c>
      <c r="NE14" s="164">
        <f>INDEX($FO$2:$FO$13,$MO14)</f>
        <v/>
      </c>
      <c r="NF14" s="164">
        <f>INDEX($FP$2:$FP$13,$MO14)</f>
        <v/>
      </c>
      <c r="NG14" s="164">
        <f>INDEX($FQ$2:$FQ$13,$MO14)</f>
        <v/>
      </c>
      <c r="NH14" s="164">
        <f>INDEX($GB$2:$GB$13,$MO14)</f>
        <v/>
      </c>
      <c r="NI14" s="164">
        <f>INDEX($GC$2:$GC$13,$MO14)</f>
        <v/>
      </c>
      <c r="NJ14" s="164">
        <f>IFERROR(MATCH(SUBSTITUTE(SUBSTITUTE(SUBSTITUTE($MU14,"~","~~"),"*","~*"),"?","~?"),'DADOS_FORMAS'!$FZ$2:$FZ$21,0),0)</f>
        <v/>
      </c>
      <c r="NK14" s="164">
        <f>IFERROR(VLOOKUP(SUBSTITUTE(SUBSTITUTE(SUBSTITUTE($MX14,"~","~~"),"*","~*"),"?","~?"),'DADOS_MELHORIAS'!$AG$2:$AL$113,2,FALSE),"")</f>
        <v/>
      </c>
      <c r="NL14" s="164">
        <f>IFERROR(VLOOKUP(SUBSTITUTE(SUBSTITUTE(SUBSTITUTE($MY14,"~","~~"),"*","~*"),"?","~?"),'DADOS_MELHORIAS'!$AG$2:$AL$113,2,FALSE),"")</f>
        <v/>
      </c>
      <c r="NM14" s="164">
        <f>IFERROR(VLOOKUP(SUBSTITUTE(SUBSTITUTE(SUBSTITUTE($MZ14,"~","~~"),"*","~*"),"?","~?"),'DADOS_MELHORIAS'!$AG$2:$AL$113,2,FALSE),"")</f>
        <v/>
      </c>
      <c r="NN14" s="164">
        <f>IFERROR(VLOOKUP(SUBSTITUTE(SUBSTITUTE(SUBSTITUTE($NA14,"~","~~"),"*","~*"),"?","~?"),'DADOS_MELHORIAS'!$AG$2:$AL$113,2,FALSE),"")</f>
        <v/>
      </c>
      <c r="NO14" s="164">
        <f>IFERROR(VLOOKUP(SUBSTITUTE(SUBSTITUTE(SUBSTITUTE($MX14,"~","~~"),"*","~*"),"?","~?"),'DADOS_MELHORIAS'!$AG$2:$AL$113,3,FALSE),0)</f>
        <v/>
      </c>
      <c r="NP14" s="164">
        <f>IFERROR(VLOOKUP(SUBSTITUTE(SUBSTITUTE(SUBSTITUTE($MY14,"~","~~"),"*","~*"),"?","~?"),'DADOS_MELHORIAS'!$AG$2:$AL$113,3,FALSE),0)</f>
        <v/>
      </c>
      <c r="NQ14" s="164">
        <f>IFERROR(VLOOKUP(SUBSTITUTE(SUBSTITUTE(SUBSTITUTE($MZ14,"~","~~"),"*","~*"),"?","~?"),'DADOS_MELHORIAS'!$AG$2:$AL$113,3,FALSE),0)</f>
        <v/>
      </c>
      <c r="NR14" s="164">
        <f>IFERROR(VLOOKUP(SUBSTITUTE(SUBSTITUTE(SUBSTITUTE($NA14,"~","~~"),"*","~*"),"?","~?"),'DADOS_MELHORIAS'!$AG$2:$AL$113,3,FALSE),0)</f>
        <v/>
      </c>
      <c r="NS14" s="164">
        <f>IF($MS14=0,0,IF($NJ14=0,0,INDEX('DADOS_FORMAS'!$GB$2:$GB$21,$NJ14)))</f>
        <v/>
      </c>
      <c r="NT14" s="164">
        <f>IF(OR($NO14=0,$MS14=0),0,$NO14+3*IF(AND($NK14&lt;&gt;"",COUNTIF(INDEX($RB$2:$RJ$13,$MO14,0),$NK14)&gt;0),1,0))</f>
        <v/>
      </c>
      <c r="NU14" s="164">
        <f>IF(OR($NP14=0,$MS14=0),0,$NP14+3*IF(AND($NL14&lt;&gt;"",COUNTIF(INDEX($RB$2:$RJ$13,$MO14,0),$NL14)&gt;0),1,0))</f>
        <v/>
      </c>
      <c r="NV14" s="164">
        <f>IF(OR($NQ14=0,$MS14=0),0,$NQ14+3*IF(AND($NM14&lt;&gt;"",COUNTIF(INDEX($RB$2:$RJ$13,$MO14,0),$NM14)&gt;0),1,0))</f>
        <v/>
      </c>
      <c r="NW14" s="164">
        <f>IF(OR($NR14=0,$MS14=0),0,$NR14+3*IF(AND($NN14&lt;&gt;"",COUNTIF(INDEX($RB$2:$RJ$13,$MO14,0),$NN14)&gt;0),1,0))</f>
        <v/>
      </c>
      <c r="NX14" s="164">
        <f>IF($NJ14=0,0,IF(INDEX('DADOS_FORMAS'!$GA$2:$GA$21,$NJ14)="",0,IF((COUNTIF(INDEX($EL$2:$EP$13,$MO14,0),INDEX('DADOS_FORMAS'!$GA$2:$GA$21,$NJ14))+COUNTIF(INDEX($QV$2:$QY$13,$MO14,0),INDEX('DADOS_FORMAS'!$GA$2:$GA$21,$NJ14)))=0,1,0)))</f>
        <v/>
      </c>
      <c r="NY14" s="164">
        <f>IF(OR($NO14=0,$NK14=""),0,IF((COUNTIF(INDEX($EL$2:$EP$13,$MO14,0),$NK14)+COUNTIF(INDEX($QV$2:$QY$13,$MO14,0),$NK14))=0,1,0))</f>
        <v/>
      </c>
      <c r="NZ14" s="164">
        <f>IF(OR($NP14=0,$NL14=""),0,IF((COUNTIF(INDEX($EL$2:$EP$13,$MO14,0),$NL14)+COUNTIF(INDEX($QV$2:$QY$13,$MO14,0),$NL14))=0,1,0))</f>
        <v/>
      </c>
      <c r="OA14" s="164">
        <f>IF(OR($NQ14=0,$NM14=""),0,IF((COUNTIF(INDEX($EL$2:$EP$13,$MO14,0),$NM14)+COUNTIF(INDEX($QV$2:$QY$13,$MO14,0),$NM14))=0,1,0))</f>
        <v/>
      </c>
      <c r="OB14" s="164">
        <f>IF(OR($NR14=0,$NN14=""),0,IF((COUNTIF(INDEX($EL$2:$EP$13,$MO14,0),$NN14)+COUNTIF(INDEX($QV$2:$QY$13,$MO14,0),$NN14))=0,1,0))</f>
        <v/>
      </c>
      <c r="OC14" s="164">
        <f>IFERROR(VLOOKUP(SUBSTITUTE(SUBSTITUTE(SUBSTITUTE($MX14,"~","~~"),"*","~*"),"?","~?"),'DADOS_MELHORIAS'!$AG$2:$AL$113,4,FALSE),0)+IFERROR(VLOOKUP(SUBSTITUTE(SUBSTITUTE(SUBSTITUTE($MY14,"~","~~"),"*","~*"),"?","~?"),'DADOS_MELHORIAS'!$AG$2:$AL$113,4,FALSE),0)+IFERROR(VLOOKUP(SUBSTITUTE(SUBSTITUTE(SUBSTITUTE($MZ14,"~","~~"),"*","~*"),"?","~?"),'DADOS_MELHORIAS'!$AG$2:$AL$113,4,FALSE),0)+IFERROR(VLOOKUP(SUBSTITUTE(SUBSTITUTE(SUBSTITUTE($NA14,"~","~~"),"*","~*"),"?","~?"),'DADOS_MELHORIAS'!$AG$2:$AL$113,4,FALSE),0)</f>
        <v/>
      </c>
      <c r="OD14" s="164">
        <f>IFERROR(VLOOKUP(SUBSTITUTE(SUBSTITUTE(SUBSTITUTE($MX14,"~","~~"),"*","~*"),"?","~?"),'DADOS_MELHORIAS'!$AG$2:$AL$113,6,FALSE),0)+IFERROR(VLOOKUP(SUBSTITUTE(SUBSTITUTE(SUBSTITUTE($MY14,"~","~~"),"*","~*"),"?","~?"),'DADOS_MELHORIAS'!$AG$2:$AL$113,6,FALSE),0)+IFERROR(VLOOKUP(SUBSTITUTE(SUBSTITUTE(SUBSTITUTE($MZ14,"~","~~"),"*","~*"),"?","~?"),'DADOS_MELHORIAS'!$AG$2:$AL$113,6,FALSE),0)+IFERROR(VLOOKUP(SUBSTITUTE(SUBSTITUTE(SUBSTITUTE($NA14,"~","~~"),"*","~*"),"?","~?"),'DADOS_MELHORIAS'!$AG$2:$AL$113,6,FALSE),0)+IFERROR(N(AND(INDEX('DADOS_FORMAS'!$AO$2:$AO$21,MATCH(SUBSTITUTE(SUBSTITUTE(SUBSTITUTE($MU14,"~","~~"),"*","~*"),"?","~?"),'DADOS_FORMAS'!$AH$2:$AH$21,0))="Acerto",$OH14=1)),0)</f>
        <v/>
      </c>
      <c r="OE14" s="164">
        <f>TEXTJOIN(", ",TRUE,IF(IFERROR(VLOOKUP(SUBSTITUTE(SUBSTITUTE(SUBSTITUTE($MX14,"~","~~"),"*","~*"),"?","~?"),'DADOS_MELHORIAS'!$AG$2:$AL$113,5,FALSE),0)=1,$MX14,""),IF(IFERROR(VLOOKUP(SUBSTITUTE(SUBSTITUTE(SUBSTITUTE($MY14,"~","~~"),"*","~*"),"?","~?"),'DADOS_MELHORIAS'!$AG$2:$AL$113,5,FALSE),0)=1,$MY14,""),IF(IFERROR(VLOOKUP(SUBSTITUTE(SUBSTITUTE(SUBSTITUTE($MZ14,"~","~~"),"*","~*"),"?","~?"),'DADOS_MELHORIAS'!$AG$2:$AL$113,5,FALSE),0)=1,$MZ14,""),IF(IFERROR(VLOOKUP(SUBSTITUTE(SUBSTITUTE(SUBSTITUTE($NA14,"~","~~"),"*","~*"),"?","~?"),'DADOS_MELHORIAS'!$AG$2:$AL$113,5,FALSE),0)=1,$NA14,""))</f>
        <v/>
      </c>
      <c r="OF14" s="164">
        <f>IF($NJ14=0,0,INDEX('DADOS_FORMAS'!$GC$2:$GC$21,$NJ14))</f>
        <v/>
      </c>
      <c r="OG14" s="164">
        <f>IF($NJ14=0,0,INDEX('DADOS_FORMAS'!$GD$2:$GD$21,$NJ14))</f>
        <v/>
      </c>
      <c r="OH14" s="164">
        <f>IF($NJ14=0,0,INDEX('DADOS_FORMAS'!$GF$2:$GF$21,$NJ14))</f>
        <v/>
      </c>
      <c r="OI14" s="164">
        <f>IFERROR(VLOOKUP(SUBSTITUTE(SUBSTITUTE(SUBSTITUTE($NB14,"~","~~"),"*","~*"),"?","~?"),'DADOS_RESTRICOES'!$M$2:$Q$54,3,FALSE),0)</f>
        <v/>
      </c>
      <c r="OJ14" s="164">
        <f>IFERROR(VLOOKUP(SUBSTITUTE(SUBSTITUTE(SUBSTITUTE($NC14,"~","~~"),"*","~*"),"?","~?"),'DADOS_RESTRICOES'!$M$2:$Q$54,3,FALSE),0)</f>
        <v/>
      </c>
      <c r="OK14" s="164">
        <f>IFERROR(VLOOKUP(SUBSTITUTE(SUBSTITUTE(SUBSTITUTE($NB14,"~","~~"),"*","~*"),"?","~?"),'DADOS_RESTRICOES'!$M$2:$Q$54,2,FALSE),"")</f>
        <v/>
      </c>
      <c r="OL14" s="164">
        <f>IFERROR(VLOOKUP(SUBSTITUTE(SUBSTITUTE(SUBSTITUTE($NC14,"~","~~"),"*","~*"),"?","~?"),'DADOS_RESTRICOES'!$M$2:$Q$54,2,FALSE),"")</f>
        <v/>
      </c>
      <c r="OM14" s="164">
        <f>COUNTIF($NS14:$NW14,1)</f>
        <v/>
      </c>
      <c r="ON14" s="164">
        <f>COUNTIF($NS14:$NW14,2)</f>
        <v/>
      </c>
      <c r="OO14" s="164">
        <f>COUNTIF($NS14:$NW14,3)</f>
        <v/>
      </c>
      <c r="OP14" s="164">
        <f>COUNTIF($NS14:$NW14,4)</f>
        <v/>
      </c>
      <c r="OQ14" s="164">
        <f>COUNTIF($NS14:$NW14,5)</f>
        <v/>
      </c>
      <c r="OR14" s="164">
        <f>COUNTIF($NS14:$NW14,6)</f>
        <v/>
      </c>
      <c r="OS14" s="164">
        <f>COUNTIF($OI14:$OJ14,1)+IF(IFERROR(INDEX('DADOS_FORMAS'!$AS$2:$AS$21,MATCH(SUBSTITUTE(SUBSTITUTE(SUBSTITUTE($MU14,"~","~~"),"*","~*"),"?","~?"),'DADOS_FORMAS'!$AH$2:$AH$21,0)),"")="",0,IFERROR(N(VLOOKUP(SUBSTITUTE(SUBSTITUTE(SUBSTITUTE(IFERROR(INDEX('DADOS_FORMAS'!$AS$2:$AS$21,MATCH(SUBSTITUTE(SUBSTITUTE(SUBSTITUTE($MU14,"~","~~"),"*","~*"),"?","~?"),'DADOS_FORMAS'!$AH$2:$AH$21,0)),""),"~","~~"),"*","~*"),"?","~?"),'DADOS_RESTRICOES'!$M$2:$Q$54,3,FALSE)=1),0))</f>
        <v/>
      </c>
      <c r="OT14" s="164">
        <f>COUNTIF($OI14:$OJ14,2)+IF(IFERROR(INDEX('DADOS_FORMAS'!$AS$2:$AS$21,MATCH(SUBSTITUTE(SUBSTITUTE(SUBSTITUTE($MU14,"~","~~"),"*","~*"),"?","~?"),'DADOS_FORMAS'!$AH$2:$AH$21,0)),"")="",0,IFERROR(N(VLOOKUP(SUBSTITUTE(SUBSTITUTE(SUBSTITUTE(IFERROR(INDEX('DADOS_FORMAS'!$AS$2:$AS$21,MATCH(SUBSTITUTE(SUBSTITUTE(SUBSTITUTE($MU14,"~","~~"),"*","~*"),"?","~?"),'DADOS_FORMAS'!$AH$2:$AH$21,0)),""),"~","~~"),"*","~*"),"?","~?"),'DADOS_RESTRICOES'!$M$2:$Q$54,3,FALSE)=2),0))</f>
        <v/>
      </c>
      <c r="OU14" s="164">
        <f>COUNTIF($MX14:$NA14,"?*")</f>
        <v/>
      </c>
      <c r="OV14" s="164">
        <f>COUNTIF($NB14:$NC14,"?*")+$OF14</f>
        <v/>
      </c>
      <c r="OW14" s="164">
        <f>IF($MS14=0,0,SUMPRODUCT($OM14:$OR14,INDEX($I$2:$N$8,MAX(1,$MS14),0)))</f>
        <v/>
      </c>
      <c r="OX14" s="164">
        <f>IF($MS14=0,0,$OS14*CEILING($MS14/2,1)+$OT14*$MS14)</f>
        <v/>
      </c>
      <c r="OY14" s="164">
        <f>MIN(2*$MS14,$OX14)</f>
        <v/>
      </c>
      <c r="OZ14" s="164">
        <f>MIN($OY14,$OW14-IF($NS14=0,0,INDEX($I$2:$N$8,MAX(1,$MS14),$NS14)))</f>
        <v/>
      </c>
      <c r="PA14" s="164">
        <f>$OY14-$OZ14</f>
        <v/>
      </c>
      <c r="PB14" s="164">
        <f>IF($MS14=0,0,INDEX($P$2:$P$8,MAX(1,$MS14)))</f>
        <v/>
      </c>
      <c r="PC14" s="164">
        <f>$PB14-$OW14+$OZ14</f>
        <v/>
      </c>
      <c r="PD14" s="164">
        <f>IF($MS14=0,MAX(0,$NG14-IF(AND($OU14&gt;0,COUNTIF($NB14:$NC14,"?*")=0),1,0)),MAX(0,$PC14))</f>
        <v/>
      </c>
      <c r="PE14" s="164">
        <f>IF($MS14=0,0,(IF(COUNTIF($RK14:$RN14,"Salto")&gt;0,1,0)+IF(COUNTIF($RK14:$RN14,"Queima")&gt;0,1,0)+IF(COUNTIF($RK14:$RN14,"Estilhaço")&gt;0,1,0))*FLOOR($PD14/2,1))</f>
        <v/>
      </c>
      <c r="PF14" s="164">
        <f>MAX(0,2-SUMPRODUCT($OM14:$OR14,$I$2:$N$2)+MIN(2,$OS14*1+$OT14*1,SUMPRODUCT($OM14:$OR14,$I$2:$N$2)-IF($NS14=0,0,INDEX($I$2:$N$2,1,$NS14))))</f>
        <v/>
      </c>
      <c r="PG14" s="164">
        <f>MAX(0,4-SUMPRODUCT($OM14:$OR14,$I$3:$N$3)+MIN(4,$OS14*1+$OT14*2,SUMPRODUCT($OM14:$OR14,$I$3:$N$3)-IF($NS14=0,0,INDEX($I$3:$N$3,1,$NS14))))</f>
        <v/>
      </c>
      <c r="PH14" s="164">
        <f>MAX(0,6-SUMPRODUCT($OM14:$OR14,$I$4:$N$4)+MIN(6,$OS14*2+$OT14*3,SUMPRODUCT($OM14:$OR14,$I$4:$N$4)-IF($NS14=0,0,INDEX($I$4:$N$4,1,$NS14))))</f>
        <v/>
      </c>
      <c r="PI14" s="164">
        <f>MAX(0,9-SUMPRODUCT($OM14:$OR14,$I$5:$N$5)+MIN(8,$OS14*2+$OT14*4,SUMPRODUCT($OM14:$OR14,$I$5:$N$5)-IF($NS14=0,0,INDEX($I$5:$N$5,1,$NS14))))</f>
        <v/>
      </c>
      <c r="PJ14" s="164">
        <f>MAX(0,11-SUMPRODUCT($OM14:$OR14,$I$6:$N$6)+MIN(10,$OS14*3+$OT14*5,SUMPRODUCT($OM14:$OR14,$I$6:$N$6)-IF($NS14=0,0,INDEX($I$6:$N$6,1,$NS14))))</f>
        <v/>
      </c>
      <c r="PK14" s="164">
        <f>MAX(0,13-SUMPRODUCT($OM14:$OR14,$I$7:$N$7)+MIN(12,$OS14*3+$OT14*6,SUMPRODUCT($OM14:$OR14,$I$7:$N$7)-IF($NS14=0,0,INDEX($I$7:$N$7,1,$NS14))))</f>
        <v/>
      </c>
      <c r="PL14" s="164">
        <f>MAX(0,16-SUMPRODUCT($OM14:$OR14,$I$8:$N$8)+MIN(14,$OS14*4+$OT14*7,SUMPRODUCT($OM14:$OR14,$I$8:$N$8)-IF($NS14=0,0,INDEX($I$8:$N$8,1,$NS14))))</f>
        <v/>
      </c>
      <c r="PM14" s="164">
        <f>IF($OG14=2,3*$PF14&amp;" de vida temp.",IF($OG14=3,"sem dano",IF($PF14=0,IF($OG14=1,"sem cura","sem dano"),IF($OG14=1,"cura ","")&amp;$PF14&amp;"d8")))</f>
        <v/>
      </c>
      <c r="PN14" s="164">
        <f>IF($OG14=2,3*$PG14&amp;" de vida temp.",IF($OG14=3,"sem dano",IF($PG14=0,IF($OG14=1,"sem cura","sem dano"),IF($OG14=1,"cura ","")&amp;$PG14&amp;"d8")))</f>
        <v/>
      </c>
      <c r="PO14" s="164">
        <f>IF($OG14=2,3*$PH14&amp;" de vida temp.",IF($OG14=3,"sem dano",IF($PH14=0,IF($OG14=1,"sem cura","sem dano"),IF($OG14=1,"cura ","")&amp;$PH14&amp;"d8")))</f>
        <v/>
      </c>
      <c r="PP14" s="164">
        <f>IF($OG14=2,3*$PI14&amp;" de vida temp.",IF($OG14=3,"sem dano",IF($PI14=0,IF($OG14=1,"sem cura","sem dano"),IF($OG14=1,"cura ","")&amp;$PI14&amp;"d8")))</f>
        <v/>
      </c>
      <c r="PQ14" s="164">
        <f>IF($OG14=2,3*$PJ14&amp;" de vida temp.",IF($OG14=3,"sem dano",IF($PJ14=0,IF($OG14=1,"sem cura","sem dano"),IF($OG14=1,"cura ","")&amp;$PJ14&amp;"d8")))</f>
        <v/>
      </c>
      <c r="PR14" s="164">
        <f>IF($OG14=2,3*$PK14&amp;" de vida temp.",IF($OG14=3,"sem dano",IF($PK14=0,IF($OG14=1,"sem cura","sem dano"),IF($OG14=1,"cura ","")&amp;$PK14&amp;"d8")))</f>
        <v/>
      </c>
      <c r="PS14" s="164">
        <f>IF($OG14=2,3*$PL14&amp;" de vida temp.",IF($OG14=3,"sem dano",IF($PL14=0,IF($OG14=1,"sem cura","sem dano"),IF($OG14=1,"cura ","")&amp;$PL14&amp;"d8")))</f>
        <v/>
      </c>
      <c r="PT14" s="164">
        <f>IF($ND14=0,"",TEXTJOIN(" · ",TRUE,IF($ND14=0,"",TEXTJOIN(" · ",TRUE,IF($ND14=0,"",TEXTJOIN(" · ",TRUE,IF($MQ14&gt;$NE14,"Este lugar abre no nível "&amp;$MQ14,""),IF($MS14&gt;$NF14,"Classe "&amp;$MS14&amp;": o nível "&amp;$NE14&amp;" libera até a "&amp;$NF14,""),IF($NX14=1,"A Forma "&amp;$MU14&amp;" pede "&amp;INDEX('DADOS_FORMAS'!$GA$2:$GA$21,$NJ14)&amp;" aberta",""),IF(AND($MS14=0,$NJ14&gt;0,IF($NJ14=0,0,INDEX('DADOS_FORMAS'!$GJ$2:$GJ$21,$NJ14))=0),$MU14&amp;" não existe na Classe 0",""),IF($NY14=1,"Família Fechada: "&amp;$MX14,""),IF($NZ14=1,"Família Fechada: "&amp;$MY14,""),IF($OA14=1,"Família Fechada: "&amp;$MZ14,""),IF($OB14=1,"Família Fechada: "&amp;$NA14,""),IF(AND($MS14&gt;0,$OU14&gt;INDEX($O$2:$O$8,MAX(1,$MS14))),$OU14&amp;" Melhorias: a Classe "&amp;$MS14&amp;" aceita "&amp;INDEX($O$2:$O$8,MAX(1,$MS14)),""),IF(AND($MS14=0,$OU14&gt;1),"A básica aceita uma Melhoria",""),IF(AND($MS14=0,COUNTIF($NO14:$NR14,"&gt;1")&gt;0),"A básica só aceita Melhoria Leve",""),IF(AND($MS14&gt;0,$OV14&gt;2),$OV14&amp;" Restrições"&amp;IF($OF14=1,", contando a que a Forma "&amp;$MU14&amp;" já traz","")&amp;": o limite é 2",""),IF(AND($MS14=0,COUNTIF($NB14:$NC14,"?*")&gt;1),"A básica aceita uma Restrição Leve",""),IF(AND($MS14=0,COUNTIF($OI14:$OJ14,2)&gt;0),"A básica só aceita Restrição Leve",""),IF(AND($MS14&gt;0,$PC14&lt;0),"Orçamento estourado: faltam "&amp;(-$PC14)&amp;IF($PC14&lt;-1," pontos"," ponto"),""),IF(IFERROR(VLOOKUP(SUBSTITUTE(SUBSTITUTE(SUBSTITUTE($NB14,"~","~~"),"*","~*"),"?","~?"),'DADOS_RESTRICOES'!$M$2:$Q$54,4,FALSE),0)+IFERROR(VLOOKUP(SUBSTITUTE(SUBSTITUTE(SUBSTITUTE($NC14,"~","~~"),"*","~*"),"?","~?"),'DADOS_RESTRICOES'!$M$2:$Q$54,4,FALSE),0)&gt;1,$OK14&amp;" e "&amp;$OL14&amp;" são as duas de frequência",""),IF(AND((COUNTIF($RK14:$RN14,"Rápido")+COUNTIF($OK14:$OL14,"Rápido"))&gt;0,(COUNTIF($MX14:$NA14,"Atrasar")+COUNTIF($OK14:$OL14,"Atrasar"))&gt;0),"Rápido não entra com Atrasar",""),IF(AND((COUNTIF($RK14:$RN14,"Reação")+COUNTIF($OK14:$OL14,"Reação"))&gt;0,(COUNTIF($RK14:$RN14,"Rápido")+COUNTIF($OK14:$OL14,"Rápido"))&gt;0),"Reação não entra com Rápido",""),IF(AND((COUNTIF($RK14:$RN14,"Reação")+COUNTIF($OK14:$OL14,"Reação"))&gt;0,(COUNTIF($RK14:$RN14,"Armado")+COUNTIF($OK14:$OL14,"Armado"))&gt;0),"Reação não entra com Armado",""),IF(AND((COUNTIF($RK14:$RN14,"Reação")+COUNTIF($OK14:$OL14,"Reação"))&gt;0,(COUNTIF($MX14:$NA14,"Atrasar")+COUNTIF($OK14:$OL14,"Atrasar"))&gt;0),"Reação não entra com Atrasar",""),IF(AND((COUNTIF($RK14:$RN14,"Reação")+COUNTIF($OK14:$OL14,"Reação"))&gt;0,(COUNTIF($MX14:$NA14,"Parado")+COUNTIF($OK14:$OL14,"Parado"))&gt;0),"Reação não entra com Parado",""),IF(AND((COUNTIF($MX14:$NA14,"Atrasar")+COUNTIF($OK14:$OL14,"Atrasar"))&gt;0,(COUNTIF($MX14:$NA14,"Parado")+COUNTIF($OK14:$OL14,"Parado"))&gt;0),"Atrasar não entra com Parado",""),IF(AND((COUNTIF($RK14:$RN14,"Armado")+COUNTIF($OK14:$OL14,"Armado"))&gt;0,(COUNTIF($MX14:$NA14,"Carregar")+COUNTIF($OK14:$OL14,"Carregar"))&gt;0),"Armado não entra com Carregar",""),IF(AND(COUNTIF($OK14:$OL14,"Corpo a Corpo")&gt;0,$OF14=0,OR($RO14="Cone",$RO14="Linha")),"Corpo a Corpo não entra em "&amp;$MU14,""),IF(AND(COUNTIF($OK14:$OL14,"Corpo a Corpo")&gt;0,$RP14="Corpo a Corpo"),"A Forma "&amp;$MU14&amp;" já traz o Corpo a Corpo",""),IF(AND(COUNTIF($OK14:$OL14,"Tudo ou Nada")&gt;0,$OH14=0),"Tudo ou Nada só entra em habilidade de Teste de Resistência",""),IF(AND(COUNTIF($RK14:$RN14,"Inescapável")&gt;0,OR($OU14&gt;1,$OV14&gt;0)),"Inescapável não aceita outra peça",""),IF(AND($MS14&gt;0,$PD14*IF(COUNTIF($RK14:$RN14,"Remate")&gt;0,1.25,1)+$PE14&gt;4*$MS14),($PD14*IF(COUNTIF($RK14:$RN14,"Remate")&gt;0,1.25,1)+$PE14)&amp;" dados somando repetições"&amp;IF(COUNTIF($RK14:$RN14,"Remate")&gt;0," e o Remate","")&amp;": o teto da Classe "&amp;$MS14&amp;" é "&amp;4*$MS14,""))),IF(AND($MX14&lt;&gt;"",COUNTIF('DADOS_MELHORIAS'!$O$2:$O$113,SUBSTITUTE(SUBSTITUTE(SUBSTITUTE($MX14,"~","~~"),"*","~*"),"?","~?"))=0),"Melhoria não cadastrada ou com erro: "&amp;$MX14,""),IF(AND($MY14&lt;&gt;"",COUNTIF('DADOS_MELHORIAS'!$O$2:$O$113,SUBSTITUTE(SUBSTITUTE(SUBSTITUTE($MY14,"~","~~"),"*","~*"),"?","~?"))=0),"Melhoria não cadastrada ou com erro: "&amp;$MY14,""),IF(AND($MZ14&lt;&gt;"",COUNTIF('DADOS_MELHORIAS'!$O$2:$O$113,SUBSTITUTE(SUBSTITUTE(SUBSTITUTE($MZ14,"~","~~"),"*","~*"),"?","~?"))=0),"Melhoria não cadastrada ou com erro: "&amp;$MZ14,""),IF(AND($NA14&lt;&gt;"",COUNTIF('DADOS_MELHORIAS'!$O$2:$O$113,SUBSTITUTE(SUBSTITUTE(SUBSTITUTE($NA14,"~","~~"),"*","~*"),"?","~?"))=0),"Melhoria não cadastrada ou com erro: "&amp;$NA14,""),IF(AND($NB14&lt;&gt;"",COUNTIF('DADOS_RESTRICOES'!$M$2:$M$54,SUBSTITUTE(SUBSTITUTE(SUBSTITUTE($NB14,"~","~~"),"*","~*"),"?","~?"))=0),"Restrição não cadastrada ou com erro: "&amp;$NB14,""),IF(AND($NC14&lt;&gt;"",COUNTIF('DADOS_RESTRICOES'!$M$2:$M$54,SUBSTITUTE(SUBSTITUTE(SUBSTITUTE($NC14,"~","~~"),"*","~*"),"?","~?"))=0),"Restrição não cadastrada ou com erro: "&amp;$NC14,""))),IF(AND($MU14&lt;&gt;"",COUNTIF('DADOS_FORMAS'!$AH$2:$AH$21,SUBSTITUTE(SUBSTITUTE(SUBSTITUTE($MU14,"~","~~"),"*","~*"),"?","~?"))=0),"Forma não cadastrada ou com erro: "&amp;$MU14,""),IF(AND(IFERROR(INDEX('DADOS_FORMAS'!$AS$2:$AS$21,MATCH(SUBSTITUTE(SUBSTITUTE(SUBSTITUTE($MU14,"~","~~"),"*","~*"),"?","~?"),'DADOS_FORMAS'!$AH$2:$AH$21,0)),"")&lt;&gt;"",OR(IFERROR(VLOOKUP(SUBSTITUTE(SUBSTITUTE(SUBSTITUTE(IFERROR(INDEX('DADOS_FORMAS'!$AS$2:$AS$21,MATCH(SUBSTITUTE(SUBSTITUTE(SUBSTITUTE($MU14,"~","~~"),"*","~*"),"?","~?"),'DADOS_FORMAS'!$AH$2:$AH$21,0)),""),"~","~~"),"*","~*"),"?","~?"),'DADOS_RESTRICOES'!$M$2:$Q$54,2,FALSE),"")=$OK14,IFERROR(VLOOKUP(SUBSTITUTE(SUBSTITUTE(SUBSTITUTE(IFERROR(INDEX('DADOS_FORMAS'!$AS$2:$AS$21,MATCH(SUBSTITUTE(SUBSTITUTE(SUBSTITUTE($MU14,"~","~~"),"*","~*"),"?","~?"),'DADOS_FORMAS'!$AH$2:$AH$21,0)),""),"~","~~"),"*","~*"),"?","~?"),'DADOS_RESTRICOES'!$M$2:$Q$54,2,FALSE),"")=$OL14)),"Restrição repetida, contando a embutida",""),IF(IF(IFERROR(INDEX('DADOS_FORMAS'!$AS$2:$AS$21,MATCH(SUBSTITUTE(SUBSTITUTE(SUBSTITUTE($MU14,"~","~~"),"*","~*"),"?","~?"),'DADOS_FORMAS'!$AH$2:$AH$21,0)),"")="",0,IFERROR(N(VLOOKUP(SUBSTITUTE(SUBSTITUTE(SUBSTITUTE(IFERROR(INDEX('DADOS_FORMAS'!$AS$2:$AS$21,MATCH(SUBSTITUTE(SUBSTITUTE(SUBSTITUTE($MU14,"~","~~"),"*","~*"),"?","~?"),'DADOS_FORMAS'!$AH$2:$AH$21,0)),""),"~","~~"),"*","~*"),"?","~?"),'DADOS_RESTRICOES'!$M$2:$Q$54,4,FALSE)=1),0))+IF($NB14="",0,IFERROR(N(VLOOKUP(SUBSTITUTE(SUBSTITUTE(SUBSTITUTE($NB14,"~","~~"),"*","~*"),"?","~?"),'DADOS_RESTRICOES'!$M$2:$Q$54,4,FALSE)=1),0))+IF($NC14="",0,IFERROR(N(VLOOKUP(SUBSTITUTE(SUBSTITUTE(SUBSTITUTE($NC14,"~","~~"),"*","~*"),"?","~?"),'DADOS_RESTRICOES'!$M$2:$Q$54,4,FALSE)=1),0))&gt;1,"Duas Restrições de frequência, contando a embutida",""),IF(AND(IFERROR(VLOOKUP(SUBSTITUTE(SUBSTITUTE(SUBSTITUTE(IFERROR(INDEX('DADOS_FORMAS'!$AS$2:$AS$21,MATCH(SUBSTITUTE(SUBSTITUTE(SUBSTITUTE($MU14,"~","~~"),"*","~*"),"?","~?"),'DADOS_FORMAS'!$AH$2:$AH$21,0)),""),"~","~~"),"*","~*"),"?","~?"),'DADOS_RESTRICOES'!$M$2:$Q$54,2,FALSE),"")="Tudo ou Nada",$OH14=0),"Tudo ou Nada exige TR",""),IF(AND(IFERROR(VLOOKUP(SUBSTITUTE(SUBSTITUTE(SUBSTITUTE(IFERROR(INDEX('DADOS_FORMAS'!$AS$2:$AS$21,MATCH(SUBSTITUTE(SUBSTITUTE(SUBSTITUTE($MU14,"~","~~"),"*","~*"),"?","~?"),'DADOS_FORMAS'!$AH$2:$AH$21,0)),""),"~","~~"),"*","~*"),"?","~?"),'DADOS_RESTRICOES'!$M$2:$Q$54,2,FALSE),"")="Corpo a Corpo",OR($RO14="Cone",$RO14="Linha")),"Corpo a Corpo não entra em Cone/Linha","")))</f>
        <v/>
      </c>
      <c r="PU14" s="164">
        <f>IF($PT14="",0,(LEN($PT14)-LEN(SUBSTITUTE($PT14," · ","")))/3+1)</f>
        <v/>
      </c>
      <c r="PV14" s="164">
        <f>IF($ND14=0,"",TEXTJOIN(" · ",TRUE,IF($OX14&gt;2*$MS14,"A devolução parou no teto de "&amp;2*$MS14,""),IF($PA14&gt;0,"Devolução perdida: "&amp;$PA14&amp;IF($PA14&gt;1," pontos"," ponto")&amp;" sem Melhoria para pagar",""),IF(AND($OC14&gt;0,AND($MS14&gt;0,$OG14=0),$PD14=0),"Controle sem dano: uma rodada a mais e CD +2",""),IF(AND($OC14&gt;0,AND($MS14&gt;0,$OG14=0),$PD14&gt;0,$PD14&lt;=$MS14),"Controle com saldo até a Classe: uma rodada a mais",""),IF(AND($MS14&gt;0,$OE14&lt;&gt;""),"Efeito de "&amp;$OE14&amp;" pela Classe "&amp;MAX(1,$MS14-1),"")))</f>
        <v/>
      </c>
      <c r="PW14" s="164">
        <f>IF($PV14="",0,(LEN($PV14)-LEN(SUBSTITUTE($PV14," · ","")))/3+1)</f>
        <v/>
      </c>
      <c r="PX14" s="164">
        <f>IF($ND14=0,IF($OU14+COUNTIF($NB14:$NC14,"?*")&gt;0,"Dê um nome",""),IF($PU14&gt;0,"⚠ "&amp;$PU14&amp;IF($PU14&gt;1," erros"," erro"),IF($PW14&gt;0,"! "&amp;$PW14&amp;IF($PW14&gt;1," avisos"," aviso"),"Na regra")))</f>
        <v/>
      </c>
      <c r="PY14" s="164">
        <f>IF($ND14=0,"",IF($PU14+$PW14=0,"Dentro das regras que a ficha confere",$PT14&amp;IF(AND($PU14&gt;0,$PW14&gt;0)," · ","")&amp;$PV14))</f>
        <v/>
      </c>
      <c r="PZ14" s="164">
        <f>IF($MQ14&gt;$NE14,$MR14&amp;" · ABRE NO NÍVEL "&amp;$MQ14,$MR14)</f>
        <v/>
      </c>
      <c r="QA14" s="164">
        <f>IF($ND14=0,"",IF($MS14=0,"Sem PE",3*$MS14&amp;" PE"))</f>
        <v/>
      </c>
      <c r="QB14" s="164">
        <f>IF($ND14=0,"",IF($MS14=0,"A atuação básica dela",IF(COUNTIF($RQ14:$RS14,"Atrasar")&gt;0,"Sua Ação Completa",IF(COUNTIF($RK14:$RN14,"Rápido")&gt;0,"Sua Bônus",IF(COUNTIF($RK14:$RN14,"Reação")&gt;0,"Sua Reação","Sua Padrão")))&amp;" + a básica dela"&amp;IF(COUNTIF($RK14:$RN14,"Reação")&gt;0," e a coletiva","")&amp;IF(COUNTIF($RQ14:$RS14,"Carregar")&gt;0," · em dois turnos","")))</f>
        <v/>
      </c>
      <c r="QC14" s="164">
        <f>IF($MW14&lt;&gt;"",$MW14,IF($NJ14=0,"",INDEX('DADOS_FORMAS'!$GE$2:$GE$21,$NJ14)))</f>
        <v/>
      </c>
      <c r="QD14" s="164">
        <f>IF(OR($ND14=0,$NJ14=0),"",IF(COUNTIF($RK14:$RN14,"Inescapável")&gt;0,"Automático",IF($QC14="Ataque",IF($NH14="","Ataque","Ataque "&amp;IF(($NH14+2*IF(COUNTIF($RK14:$RN14,"Precisão")&gt;0,1,0))&gt;=0,"+","−")&amp;ABS(($NH14+2*IF(COUNTIF($RK14:$RN14,"Precisão")&gt;0,1,0))))&amp;IF($OD14&gt;0," · TR"&amp;IF($NI14="",""," CD "&amp;$NI14),""),IF(LEFT($QC14,2)="TR",$QC14&amp;IF($NI14="",""," · CD "&amp;$NI14)&amp;IF(COUNTIF($RK14:$RN14,"Certeiro")&gt;0," · metade",""),"Sem rolagem"))))</f>
        <v/>
      </c>
      <c r="QE14" s="164">
        <f>IF(OR($ND14=0,$NJ14=0),"",IF($MS14=0,IF(OR($OG14&gt;=1,$PD14=0),"Sem dano",$PD14&amp;"d6"&amp;IF($MV14="",""," "&amp;$MV14)),IF(OR($OG14&gt;=1,$PD14=0),UPPER(LEFT(INDEX($PM14:$PS14,1,MAX(1,$MS14)),1))&amp;MID(INDEX($PM14:$PS14,1,MAX(1,$MS14)),2,99),UPPER(LEFT(INDEX($PM14:$PS14,1,MAX(1,$MS14)),1))&amp;MID(INDEX($PM14:$PS14,1,MAX(1,$MS14)),2,99)&amp;IF($MV14="",""," "&amp;$MV14)&amp;IF($PE14&gt;0," · +"&amp;$PE14&amp;"d8",""))))</f>
        <v/>
      </c>
      <c r="QF14" s="164">
        <f>COUNTIF($RK14:$RN14,"Longe")+3*COUNTIF($RK14:$RN14,"Muito Longe")</f>
        <v/>
      </c>
      <c r="QG14" s="164">
        <f>COUNTIF($RK14:$RN14,"Maior")+3*COUNTIF($RK14:$RN14,"Muito Maior")</f>
        <v/>
      </c>
      <c r="QH14" s="164">
        <f>IF($NJ14=0,0,CHOOSE(1+INDEX('DADOS_FORMAS'!$GG$2:$GG$21,$NJ14),0,$QF14,$QG14,$QF14+$QG14))</f>
        <v/>
      </c>
      <c r="QI14" s="164">
        <f>IF($NJ14=0,0,CHOOSE(1+INDEX('DADOS_FORMAS'!$GH$2:$GH$21,$NJ14),0,$QF14,$QG14,$QF14+$QG14))</f>
        <v/>
      </c>
      <c r="QJ14" s="164">
        <f>IF(OR($ND14=0,$NJ14=0),"",INDEX('DADOS_FORMAS'!$HU$2:$HZ$81,($NJ14-1)*4+IF($MS14=0,1,IF($MS14&lt;=5,2,IF($MS14=6,3,4))),1+MIN(5,$QH14))&amp;INDEX('DADOS_FORMAS'!$IA$2:$IF$81,($NJ14-1)*4+IF($MS14=0,1,IF($MS14&lt;=5,2,IF($MS14=6,3,4))),1+MIN(5,$QI14))&amp;IF(INDEX('DADOS_FORMAS'!$GI$2:$GI$21,$NJ14)=1,IF(COUNTIF($RK14:$RN14,"Mais Um")&gt;0," · +"&amp;COUNTIF($RK14:$RN14,"Mais Um")&amp;IF(COUNTIF($RK14:$RN14,"Mais Um")&gt;1," alvos"," alvo"),"")&amp;IF(COUNTIF($RK14:$RN14,"Rajada")&gt;0,IF($MS14=0," · 1 tiro"," · "&amp;(MAX(1,$MS14-1)+1)&amp;" tiros"),""),""))</f>
        <v/>
      </c>
      <c r="QK14" s="164">
        <f>IF($ND14=0,"",IF($MS14=0,$NG14&amp;"d6"&amp;IF($OU14&gt;0," − 1 = "&amp;$PD14&amp;"d6"," da básica do nível "&amp;$NE14),$PB14&amp;" − "&amp;$OW14&amp;" + "&amp;$OZ14&amp;" = "&amp;$PC14&amp;" · teto "&amp;4*$MS14&amp;"d8"&amp;IF($OF14=1," · a Forma devolve "&amp;$MS14,"")&amp;IF($PA14&gt;0," · perde "&amp;$PA14,"")))</f>
        <v/>
      </c>
      <c r="QL14" s="164">
        <f>IF($ND14=0,"",IF($MS14=0,"A básica não amplia: os dados dela sobem com o nível",IF($MS14&gt;=$NF14,"Já está na maior Classe que o nível liberou",TEXTJOIN(" · ",TRUE,IF(AND(2&gt;$MS14,2&lt;=$NF14),"2 → "&amp;$PN14&amp;", 6 PE",""),IF(AND(3&gt;$MS14,3&lt;=$NF14),"3 → "&amp;$PO14&amp;", 9 PE",""),IF(AND(4&gt;$MS14,4&lt;=$NF14),"4 → "&amp;$PP14&amp;", 12 PE",""),IF(AND(5&gt;$MS14,5&lt;=$NF14),"5 → "&amp;$PQ14&amp;", 15 PE",""),IF(AND(6&gt;$MS14,6&lt;=$NF14),"6 → "&amp;$PR14&amp;", 18 PE",""),IF(AND(7&gt;$MS14,7&lt;=$NF14),"7 → "&amp;$PS14&amp;", 21 PE","")))))</f>
        <v/>
      </c>
      <c r="QM14" s="164">
        <f>IF(OR($ND14=0,$NO14=0),"",IF($MS14=0,"−1 dado","−"&amp;INDEX($I$2:$N$8,MAX(1,$MS14),MAX(1,$NT14))&amp;" · "&amp;CHOOSE(MAX(1,$NT14),"Leve","Média","Pesada","Leve · Livre","Média · Livre","Pesada · Livre")))</f>
        <v/>
      </c>
      <c r="QN14" s="164">
        <f>IF(OR($ND14=0,$NP14=0),"",IF($MS14=0,"−1 dado","−"&amp;INDEX($I$2:$N$8,MAX(1,$MS14),MAX(1,$NU14))&amp;" · "&amp;CHOOSE(MAX(1,$NU14),"Leve","Média","Pesada","Leve · Livre","Média · Livre","Pesada · Livre")))</f>
        <v/>
      </c>
      <c r="QO14" s="164">
        <f>IF(OR($ND14=0,$NQ14=0),"",IF($MS14=0,"−1 dado","−"&amp;INDEX($I$2:$N$8,MAX(1,$MS14),MAX(1,$NV14))&amp;" · "&amp;CHOOSE(MAX(1,$NV14),"Leve","Média","Pesada","Leve · Livre","Média · Livre","Pesada · Livre")))</f>
        <v/>
      </c>
      <c r="QP14" s="164">
        <f>IF(OR($ND14=0,$NR14=0),"",IF($MS14=0,"−1 dado","−"&amp;INDEX($I$2:$N$8,MAX(1,$MS14),MAX(1,$NW14))&amp;" · "&amp;CHOOSE(MAX(1,$NW14),"Leve","Média","Pesada","Leve · Livre","Média · Livre","Pesada · Livre")))</f>
        <v/>
      </c>
      <c r="QQ14" s="164">
        <f>IF(OR($ND14=0,$NB14=""),"",IF($MS14=0,"não devolve","+"&amp;IF($OI14=1,CEILING($MS14/2,1),$MS14)))</f>
        <v/>
      </c>
      <c r="QR14" s="164">
        <f>IF(OR($ND14=0,$NC14=""),"",IF($MS14=0,"não devolve","+"&amp;IF($OJ14=1,CEILING($MS14/2,1),$MS14)))</f>
        <v/>
      </c>
      <c r="RK14">
        <f>IF($MX14="","",IFERROR(VLOOKUP(SUBSTITUTE(SUBSTITUTE(SUBSTITUTE($MX14,"~","~~"),"*","~*"),"?","~?"),'DADOS_MELHORIAS'!$O$2:$X$113,10,FALSE),$MX14))</f>
        <v/>
      </c>
      <c r="RL14">
        <f>IF($MY14="","",IFERROR(VLOOKUP(SUBSTITUTE(SUBSTITUTE(SUBSTITUTE($MY14,"~","~~"),"*","~*"),"?","~?"),'DADOS_MELHORIAS'!$O$2:$X$113,10,FALSE),$MY14))</f>
        <v/>
      </c>
      <c r="RM14">
        <f>IF($MZ14="","",IFERROR(VLOOKUP(SUBSTITUTE(SUBSTITUTE(SUBSTITUTE($MZ14,"~","~~"),"*","~*"),"?","~?"),'DADOS_MELHORIAS'!$O$2:$X$113,10,FALSE),$MZ14))</f>
        <v/>
      </c>
      <c r="RN14">
        <f>IF($NA14="","",IFERROR(VLOOKUP(SUBSTITUTE(SUBSTITUTE(SUBSTITUTE($NA14,"~","~~"),"*","~*"),"?","~?"),'DADOS_MELHORIAS'!$O$2:$X$113,10,FALSE),$NA14))</f>
        <v/>
      </c>
      <c r="RO14">
        <f>IFERROR(INDEX('DADOS_FORMAS'!$BJ$2:$BJ$21,MATCH(SUBSTITUTE(SUBSTITUTE(SUBSTITUTE($MU14,"~","~~"),"*","~*"),"?","~?"),'DADOS_FORMAS'!$AH$2:$AH$21,0)),"")</f>
        <v/>
      </c>
      <c r="RP14">
        <f>IFERROR(VLOOKUP(SUBSTITUTE(SUBSTITUTE(SUBSTITUTE(IFERROR(INDEX('DADOS_FORMAS'!$AS$2:$AS$21,MATCH(SUBSTITUTE(SUBSTITUTE(SUBSTITUTE($MU14,"~","~~"),"*","~*"),"?","~?"),'DADOS_FORMAS'!$AH$2:$AH$21,0)),""),"~","~~"),"*","~*"),"?","~?"),'DADOS_RESTRICOES'!$M$2:$Q$54,2,FALSE),"")</f>
        <v/>
      </c>
      <c r="RQ14">
        <f>$OK14</f>
        <v/>
      </c>
      <c r="RR14">
        <f>$OL14</f>
        <v/>
      </c>
      <c r="RS14">
        <f>$RP14</f>
        <v/>
      </c>
    </row>
    <row r="15">
      <c r="AH15" s="162" t="inlineStr">
        <is>
          <t>Aura · classes 1 a 5</t>
        </is>
      </c>
      <c r="AI15" s="162" t="inlineStr">
        <is>
          <t>Raio 3 m, nela</t>
        </is>
      </c>
      <c r="AJ15" s="162" t="inlineStr">
        <is>
          <t>Raio 4,5 m, nela</t>
        </is>
      </c>
      <c r="AK15" s="162" t="inlineStr">
        <is>
          <t>Raio 6 m, nela</t>
        </is>
      </c>
      <c r="AL15" s="162" t="inlineStr">
        <is>
          <t>Raio 9 m, nela</t>
        </is>
      </c>
      <c r="AM15" s="162" t="inlineStr">
        <is>
          <t>Raio 15 m, nela</t>
        </is>
      </c>
      <c r="AN15" s="162" t="inlineStr">
        <is>
          <t>Raio 15 m, nela</t>
        </is>
      </c>
      <c r="AO15" s="162" t="inlineStr"/>
      <c r="AP15" s="162" t="inlineStr"/>
      <c r="AQ15" s="162" t="inlineStr"/>
      <c r="AR15" s="162" t="inlineStr"/>
      <c r="AS15" s="162" t="inlineStr"/>
      <c r="AT15" s="162" t="inlineStr"/>
      <c r="AV15" s="162" t="inlineStr">
        <is>
          <t>Contorno</t>
        </is>
      </c>
      <c r="AW15" s="162" t="inlineStr">
        <is>
          <t>Área</t>
        </is>
      </c>
      <c r="AX15" s="164" t="n">
        <v>1</v>
      </c>
      <c r="AY15" s="164" t="n">
        <v>0</v>
      </c>
      <c r="AZ15" s="164" t="n">
        <v>0</v>
      </c>
      <c r="BA15" s="164" t="n">
        <v>0</v>
      </c>
      <c r="BC15" s="162" t="inlineStr">
        <is>
          <t>Uma Vez</t>
        </is>
      </c>
      <c r="BD15" s="162" t="inlineStr">
        <is>
          <t>Uma Vez</t>
        </is>
      </c>
      <c r="BE15" s="164" t="n">
        <v>1</v>
      </c>
      <c r="BF15" s="164" t="n">
        <v>1</v>
      </c>
      <c r="BG15" s="162" t="inlineStr">
        <is>
          <t>Uma Vez</t>
        </is>
      </c>
      <c r="BI15" s="162" t="inlineStr">
        <is>
          <t>Talento Próprio (CE 3)</t>
        </is>
      </c>
      <c r="BJ15" s="164" t="n">
        <v>3</v>
      </c>
      <c r="BK15" s="162" t="inlineStr">
        <is>
          <t>Escreva nas Anotações o benefício, o gatilho, o alcance, os usos, o custo e se ele pode ser desligado, fechados com o mestre.</t>
        </is>
      </c>
      <c r="BL15" s="162" t="inlineStr"/>
      <c r="CC15" s="162" t="inlineStr">
        <is>
          <t>Natureza</t>
        </is>
      </c>
      <c r="CD15" s="162" t="inlineStr">
        <is>
          <t>Inteligência</t>
        </is>
      </c>
      <c r="CJ15" s="162" t="inlineStr">
        <is>
          <t>Força</t>
        </is>
      </c>
      <c r="JT15" s="164">
        <f>IF(OR($AW15="",(COUNTIF($EL$2:$EP$2,$AW15)+COUNTIF($QV$2:$QY$2,$AW15))&gt;0),$AV15,"")</f>
        <v/>
      </c>
      <c r="JU15" s="164">
        <f>IF(AND($AX15=1,OR($AW15="",(COUNTIF($EL$2:$EP$2,$AW15)+COUNTIF($QV$2:$QY$2,$AW15))&gt;0)),$AV15,"")</f>
        <v/>
      </c>
      <c r="JZ15" s="164">
        <f>IF(OR($AW15="",(COUNTIF($EL$3:$EP$3,$AW15)+COUNTIF($QV$3:$QY$3,$AW15))&gt;0),$AV15,"")</f>
        <v/>
      </c>
      <c r="KA15" s="164">
        <f>IF(AND($AX15=1,OR($AW15="",(COUNTIF($EL$3:$EP$3,$AW15)+COUNTIF($QV$3:$QY$3,$AW15))&gt;0)),$AV15,"")</f>
        <v/>
      </c>
      <c r="KF15" s="164">
        <f>IF(OR($AW15="",(COUNTIF($EL$4:$EP$4,$AW15)+COUNTIF($QV$4:$QY$4,$AW15))&gt;0),$AV15,"")</f>
        <v/>
      </c>
      <c r="KG15" s="164">
        <f>IF(AND($AX15=1,OR($AW15="",(COUNTIF($EL$4:$EP$4,$AW15)+COUNTIF($QV$4:$QY$4,$AW15))&gt;0)),$AV15,"")</f>
        <v/>
      </c>
      <c r="KL15" s="164">
        <f>IF(OR($AW15="",(COUNTIF($EL$5:$EP$5,$AW15)+COUNTIF($QV$5:$QY$5,$AW15))&gt;0),$AV15,"")</f>
        <v/>
      </c>
      <c r="KM15" s="164">
        <f>IF(AND($AX15=1,OR($AW15="",(COUNTIF($EL$5:$EP$5,$AW15)+COUNTIF($QV$5:$QY$5,$AW15))&gt;0)),$AV15,"")</f>
        <v/>
      </c>
      <c r="KR15" s="164">
        <f>IF(OR($AW15="",(COUNTIF($EL$6:$EP$6,$AW15)+COUNTIF($QV$6:$QY$6,$AW15))&gt;0),$AV15,"")</f>
        <v/>
      </c>
      <c r="KS15" s="164">
        <f>IF(AND($AX15=1,OR($AW15="",(COUNTIF($EL$6:$EP$6,$AW15)+COUNTIF($QV$6:$QY$6,$AW15))&gt;0)),$AV15,"")</f>
        <v/>
      </c>
      <c r="KX15" s="164">
        <f>IF(OR($AW15="",(COUNTIF($EL$7:$EP$7,$AW15)+COUNTIF($QV$7:$QY$7,$AW15))&gt;0),$AV15,"")</f>
        <v/>
      </c>
      <c r="KY15" s="164">
        <f>IF(AND($AX15=1,OR($AW15="",(COUNTIF($EL$7:$EP$7,$AW15)+COUNTIF($QV$7:$QY$7,$AW15))&gt;0)),$AV15,"")</f>
        <v/>
      </c>
      <c r="LD15" s="164">
        <f>IF(OR($AW15="",(COUNTIF($EL$8:$EP$8,$AW15)+COUNTIF($QV$8:$QY$8,$AW15))&gt;0),$AV15,"")</f>
        <v/>
      </c>
      <c r="LE15" s="164">
        <f>IF(AND($AX15=1,OR($AW15="",(COUNTIF($EL$8:$EP$8,$AW15)+COUNTIF($QV$8:$QY$8,$AW15))&gt;0)),$AV15,"")</f>
        <v/>
      </c>
      <c r="LJ15" s="164">
        <f>IF(OR($AW15="",(COUNTIF($EL$9:$EP$9,$AW15)+COUNTIF($QV$9:$QY$9,$AW15))&gt;0),$AV15,"")</f>
        <v/>
      </c>
      <c r="LK15" s="164">
        <f>IF(AND($AX15=1,OR($AW15="",(COUNTIF($EL$9:$EP$9,$AW15)+COUNTIF($QV$9:$QY$9,$AW15))&gt;0)),$AV15,"")</f>
        <v/>
      </c>
      <c r="LP15" s="164">
        <f>IF(OR($AW15="",(COUNTIF($EL$10:$EP$10,$AW15)+COUNTIF($QV$10:$QY$10,$AW15))&gt;0),$AV15,"")</f>
        <v/>
      </c>
      <c r="LQ15" s="164">
        <f>IF(AND($AX15=1,OR($AW15="",(COUNTIF($EL$10:$EP$10,$AW15)+COUNTIF($QV$10:$QY$10,$AW15))&gt;0)),$AV15,"")</f>
        <v/>
      </c>
      <c r="LV15" s="164">
        <f>IF(OR($AW15="",(COUNTIF($EL$11:$EP$11,$AW15)+COUNTIF($QV$11:$QY$11,$AW15))&gt;0),$AV15,"")</f>
        <v/>
      </c>
      <c r="LW15" s="164">
        <f>IF(AND($AX15=1,OR($AW15="",(COUNTIF($EL$11:$EP$11,$AW15)+COUNTIF($QV$11:$QY$11,$AW15))&gt;0)),$AV15,"")</f>
        <v/>
      </c>
      <c r="MB15" s="164">
        <f>IF(OR($AW15="",(COUNTIF($EL$12:$EP$12,$AW15)+COUNTIF($QV$12:$QY$12,$AW15))&gt;0),$AV15,"")</f>
        <v/>
      </c>
      <c r="MC15" s="164">
        <f>IF(AND($AX15=1,OR($AW15="",(COUNTIF($EL$12:$EP$12,$AW15)+COUNTIF($QV$12:$QY$12,$AW15))&gt;0)),$AV15,"")</f>
        <v/>
      </c>
      <c r="MH15" s="164">
        <f>IF(OR($AW15="",(COUNTIF($EL$13:$EP$13,$AW15)+COUNTIF($QV$13:$QY$13,$AW15))&gt;0),$AV15,"")</f>
        <v/>
      </c>
      <c r="MI15" s="164">
        <f>IF(AND($AX15=1,OR($AW15="",(COUNTIF($EL$13:$EP$13,$AW15)+COUNTIF($QV$13:$QY$13,$AW15))&gt;0)),$AV15,"")</f>
        <v/>
      </c>
      <c r="MN15" s="162" t="inlineStr">
        <is>
          <t>Ficha 2 · Básica 1</t>
        </is>
      </c>
      <c r="MO15" s="164" t="n">
        <v>2</v>
      </c>
      <c r="MP15" s="164" t="n">
        <v>0</v>
      </c>
      <c r="MQ15" s="164" t="n">
        <v>1</v>
      </c>
      <c r="MR15" s="162" t="inlineStr">
        <is>
          <t>BÁSICA 1</t>
        </is>
      </c>
      <c r="MS15" s="164" t="n">
        <v>0</v>
      </c>
      <c r="MT15" s="164">
        <f>'INVOCAÇÕES'!$J$282&amp;""</f>
        <v/>
      </c>
      <c r="MU15" s="164">
        <f>'INVOCAÇÕES'!$I$287&amp;""</f>
        <v/>
      </c>
      <c r="MV15" s="164">
        <f>'INVOCAÇÕES'!$I$288&amp;""</f>
        <v/>
      </c>
      <c r="MW15" s="164">
        <f>'INVOCAÇÕES'!$K$288&amp;""</f>
        <v/>
      </c>
      <c r="MX15" s="164">
        <f>'INVOCAÇÕES'!$J$291&amp;""</f>
        <v/>
      </c>
      <c r="MY15" s="164">
        <f>'INVOCAÇÕES'!$J$292&amp;""</f>
        <v/>
      </c>
      <c r="MZ15" s="164">
        <f>'INVOCAÇÕES'!$J$293&amp;""</f>
        <v/>
      </c>
      <c r="NA15" s="164">
        <f>'INVOCAÇÕES'!$J$294&amp;""</f>
        <v/>
      </c>
      <c r="NB15" s="164">
        <f>'INVOCAÇÕES'!$J$295&amp;""</f>
        <v/>
      </c>
      <c r="NC15" s="164">
        <f>'INVOCAÇÕES'!$J$296&amp;""</f>
        <v/>
      </c>
      <c r="ND15" s="164">
        <f>IF($MT15&lt;&gt;"",1,0)</f>
        <v/>
      </c>
      <c r="NE15" s="164">
        <f>INDEX($FO$2:$FO$13,$MO15)</f>
        <v/>
      </c>
      <c r="NF15" s="164">
        <f>INDEX($FP$2:$FP$13,$MO15)</f>
        <v/>
      </c>
      <c r="NG15" s="164">
        <f>INDEX($FQ$2:$FQ$13,$MO15)</f>
        <v/>
      </c>
      <c r="NH15" s="164">
        <f>INDEX($GB$2:$GB$13,$MO15)</f>
        <v/>
      </c>
      <c r="NI15" s="164">
        <f>INDEX($GC$2:$GC$13,$MO15)</f>
        <v/>
      </c>
      <c r="NJ15" s="164">
        <f>IFERROR(MATCH(SUBSTITUTE(SUBSTITUTE(SUBSTITUTE($MU15,"~","~~"),"*","~*"),"?","~?"),'DADOS_FORMAS'!$FZ$2:$FZ$21,0),0)</f>
        <v/>
      </c>
      <c r="NK15" s="164">
        <f>IFERROR(VLOOKUP(SUBSTITUTE(SUBSTITUTE(SUBSTITUTE($MX15,"~","~~"),"*","~*"),"?","~?"),'DADOS_MELHORIAS'!$AG$2:$AL$113,2,FALSE),"")</f>
        <v/>
      </c>
      <c r="NL15" s="164">
        <f>IFERROR(VLOOKUP(SUBSTITUTE(SUBSTITUTE(SUBSTITUTE($MY15,"~","~~"),"*","~*"),"?","~?"),'DADOS_MELHORIAS'!$AG$2:$AL$113,2,FALSE),"")</f>
        <v/>
      </c>
      <c r="NM15" s="164">
        <f>IFERROR(VLOOKUP(SUBSTITUTE(SUBSTITUTE(SUBSTITUTE($MZ15,"~","~~"),"*","~*"),"?","~?"),'DADOS_MELHORIAS'!$AG$2:$AL$113,2,FALSE),"")</f>
        <v/>
      </c>
      <c r="NN15" s="164">
        <f>IFERROR(VLOOKUP(SUBSTITUTE(SUBSTITUTE(SUBSTITUTE($NA15,"~","~~"),"*","~*"),"?","~?"),'DADOS_MELHORIAS'!$AG$2:$AL$113,2,FALSE),"")</f>
        <v/>
      </c>
      <c r="NO15" s="164">
        <f>IFERROR(VLOOKUP(SUBSTITUTE(SUBSTITUTE(SUBSTITUTE($MX15,"~","~~"),"*","~*"),"?","~?"),'DADOS_MELHORIAS'!$AG$2:$AL$113,3,FALSE),0)</f>
        <v/>
      </c>
      <c r="NP15" s="164">
        <f>IFERROR(VLOOKUP(SUBSTITUTE(SUBSTITUTE(SUBSTITUTE($MY15,"~","~~"),"*","~*"),"?","~?"),'DADOS_MELHORIAS'!$AG$2:$AL$113,3,FALSE),0)</f>
        <v/>
      </c>
      <c r="NQ15" s="164">
        <f>IFERROR(VLOOKUP(SUBSTITUTE(SUBSTITUTE(SUBSTITUTE($MZ15,"~","~~"),"*","~*"),"?","~?"),'DADOS_MELHORIAS'!$AG$2:$AL$113,3,FALSE),0)</f>
        <v/>
      </c>
      <c r="NR15" s="164">
        <f>IFERROR(VLOOKUP(SUBSTITUTE(SUBSTITUTE(SUBSTITUTE($NA15,"~","~~"),"*","~*"),"?","~?"),'DADOS_MELHORIAS'!$AG$2:$AL$113,3,FALSE),0)</f>
        <v/>
      </c>
      <c r="NS15" s="164">
        <f>IF($MS15=0,0,IF($NJ15=0,0,INDEX('DADOS_FORMAS'!$GB$2:$GB$21,$NJ15)))</f>
        <v/>
      </c>
      <c r="NT15" s="164">
        <f>IF(OR($NO15=0,$MS15=0),0,$NO15+3*IF(AND($NK15&lt;&gt;"",COUNTIF(INDEX($RB$2:$RJ$13,$MO15,0),$NK15)&gt;0),1,0))</f>
        <v/>
      </c>
      <c r="NU15" s="164">
        <f>IF(OR($NP15=0,$MS15=0),0,$NP15+3*IF(AND($NL15&lt;&gt;"",COUNTIF(INDEX($RB$2:$RJ$13,$MO15,0),$NL15)&gt;0),1,0))</f>
        <v/>
      </c>
      <c r="NV15" s="164">
        <f>IF(OR($NQ15=0,$MS15=0),0,$NQ15+3*IF(AND($NM15&lt;&gt;"",COUNTIF(INDEX($RB$2:$RJ$13,$MO15,0),$NM15)&gt;0),1,0))</f>
        <v/>
      </c>
      <c r="NW15" s="164">
        <f>IF(OR($NR15=0,$MS15=0),0,$NR15+3*IF(AND($NN15&lt;&gt;"",COUNTIF(INDEX($RB$2:$RJ$13,$MO15,0),$NN15)&gt;0),1,0))</f>
        <v/>
      </c>
      <c r="NX15" s="164">
        <f>IF($NJ15=0,0,IF(INDEX('DADOS_FORMAS'!$GA$2:$GA$21,$NJ15)="",0,IF((COUNTIF(INDEX($EL$2:$EP$13,$MO15,0),INDEX('DADOS_FORMAS'!$GA$2:$GA$21,$NJ15))+COUNTIF(INDEX($QV$2:$QY$13,$MO15,0),INDEX('DADOS_FORMAS'!$GA$2:$GA$21,$NJ15)))=0,1,0)))</f>
        <v/>
      </c>
      <c r="NY15" s="164">
        <f>IF(OR($NO15=0,$NK15=""),0,IF((COUNTIF(INDEX($EL$2:$EP$13,$MO15,0),$NK15)+COUNTIF(INDEX($QV$2:$QY$13,$MO15,0),$NK15))=0,1,0))</f>
        <v/>
      </c>
      <c r="NZ15" s="164">
        <f>IF(OR($NP15=0,$NL15=""),0,IF((COUNTIF(INDEX($EL$2:$EP$13,$MO15,0),$NL15)+COUNTIF(INDEX($QV$2:$QY$13,$MO15,0),$NL15))=0,1,0))</f>
        <v/>
      </c>
      <c r="OA15" s="164">
        <f>IF(OR($NQ15=0,$NM15=""),0,IF((COUNTIF(INDEX($EL$2:$EP$13,$MO15,0),$NM15)+COUNTIF(INDEX($QV$2:$QY$13,$MO15,0),$NM15))=0,1,0))</f>
        <v/>
      </c>
      <c r="OB15" s="164">
        <f>IF(OR($NR15=0,$NN15=""),0,IF((COUNTIF(INDEX($EL$2:$EP$13,$MO15,0),$NN15)+COUNTIF(INDEX($QV$2:$QY$13,$MO15,0),$NN15))=0,1,0))</f>
        <v/>
      </c>
      <c r="OC15" s="164">
        <f>IFERROR(VLOOKUP(SUBSTITUTE(SUBSTITUTE(SUBSTITUTE($MX15,"~","~~"),"*","~*"),"?","~?"),'DADOS_MELHORIAS'!$AG$2:$AL$113,4,FALSE),0)+IFERROR(VLOOKUP(SUBSTITUTE(SUBSTITUTE(SUBSTITUTE($MY15,"~","~~"),"*","~*"),"?","~?"),'DADOS_MELHORIAS'!$AG$2:$AL$113,4,FALSE),0)+IFERROR(VLOOKUP(SUBSTITUTE(SUBSTITUTE(SUBSTITUTE($MZ15,"~","~~"),"*","~*"),"?","~?"),'DADOS_MELHORIAS'!$AG$2:$AL$113,4,FALSE),0)+IFERROR(VLOOKUP(SUBSTITUTE(SUBSTITUTE(SUBSTITUTE($NA15,"~","~~"),"*","~*"),"?","~?"),'DADOS_MELHORIAS'!$AG$2:$AL$113,4,FALSE),0)</f>
        <v/>
      </c>
      <c r="OD15" s="164">
        <f>IFERROR(VLOOKUP(SUBSTITUTE(SUBSTITUTE(SUBSTITUTE($MX15,"~","~~"),"*","~*"),"?","~?"),'DADOS_MELHORIAS'!$AG$2:$AL$113,6,FALSE),0)+IFERROR(VLOOKUP(SUBSTITUTE(SUBSTITUTE(SUBSTITUTE($MY15,"~","~~"),"*","~*"),"?","~?"),'DADOS_MELHORIAS'!$AG$2:$AL$113,6,FALSE),0)+IFERROR(VLOOKUP(SUBSTITUTE(SUBSTITUTE(SUBSTITUTE($MZ15,"~","~~"),"*","~*"),"?","~?"),'DADOS_MELHORIAS'!$AG$2:$AL$113,6,FALSE),0)+IFERROR(VLOOKUP(SUBSTITUTE(SUBSTITUTE(SUBSTITUTE($NA15,"~","~~"),"*","~*"),"?","~?"),'DADOS_MELHORIAS'!$AG$2:$AL$113,6,FALSE),0)+IFERROR(N(AND(INDEX('DADOS_FORMAS'!$AO$2:$AO$21,MATCH(SUBSTITUTE(SUBSTITUTE(SUBSTITUTE($MU15,"~","~~"),"*","~*"),"?","~?"),'DADOS_FORMAS'!$AH$2:$AH$21,0))="Acerto",$OH15=1)),0)</f>
        <v/>
      </c>
      <c r="OE15" s="164">
        <f>TEXTJOIN(", ",TRUE,IF(IFERROR(VLOOKUP(SUBSTITUTE(SUBSTITUTE(SUBSTITUTE($MX15,"~","~~"),"*","~*"),"?","~?"),'DADOS_MELHORIAS'!$AG$2:$AL$113,5,FALSE),0)=1,$MX15,""),IF(IFERROR(VLOOKUP(SUBSTITUTE(SUBSTITUTE(SUBSTITUTE($MY15,"~","~~"),"*","~*"),"?","~?"),'DADOS_MELHORIAS'!$AG$2:$AL$113,5,FALSE),0)=1,$MY15,""),IF(IFERROR(VLOOKUP(SUBSTITUTE(SUBSTITUTE(SUBSTITUTE($MZ15,"~","~~"),"*","~*"),"?","~?"),'DADOS_MELHORIAS'!$AG$2:$AL$113,5,FALSE),0)=1,$MZ15,""),IF(IFERROR(VLOOKUP(SUBSTITUTE(SUBSTITUTE(SUBSTITUTE($NA15,"~","~~"),"*","~*"),"?","~?"),'DADOS_MELHORIAS'!$AG$2:$AL$113,5,FALSE),0)=1,$NA15,""))</f>
        <v/>
      </c>
      <c r="OF15" s="164">
        <f>IF($NJ15=0,0,INDEX('DADOS_FORMAS'!$GC$2:$GC$21,$NJ15))</f>
        <v/>
      </c>
      <c r="OG15" s="164">
        <f>IF($NJ15=0,0,INDEX('DADOS_FORMAS'!$GD$2:$GD$21,$NJ15))</f>
        <v/>
      </c>
      <c r="OH15" s="164">
        <f>IF($NJ15=0,0,INDEX('DADOS_FORMAS'!$GF$2:$GF$21,$NJ15))</f>
        <v/>
      </c>
      <c r="OI15" s="164">
        <f>IFERROR(VLOOKUP(SUBSTITUTE(SUBSTITUTE(SUBSTITUTE($NB15,"~","~~"),"*","~*"),"?","~?"),'DADOS_RESTRICOES'!$M$2:$Q$54,3,FALSE),0)</f>
        <v/>
      </c>
      <c r="OJ15" s="164">
        <f>IFERROR(VLOOKUP(SUBSTITUTE(SUBSTITUTE(SUBSTITUTE($NC15,"~","~~"),"*","~*"),"?","~?"),'DADOS_RESTRICOES'!$M$2:$Q$54,3,FALSE),0)</f>
        <v/>
      </c>
      <c r="OK15" s="164">
        <f>IFERROR(VLOOKUP(SUBSTITUTE(SUBSTITUTE(SUBSTITUTE($NB15,"~","~~"),"*","~*"),"?","~?"),'DADOS_RESTRICOES'!$M$2:$Q$54,2,FALSE),"")</f>
        <v/>
      </c>
      <c r="OL15" s="164">
        <f>IFERROR(VLOOKUP(SUBSTITUTE(SUBSTITUTE(SUBSTITUTE($NC15,"~","~~"),"*","~*"),"?","~?"),'DADOS_RESTRICOES'!$M$2:$Q$54,2,FALSE),"")</f>
        <v/>
      </c>
      <c r="OM15" s="164">
        <f>COUNTIF($NS15:$NW15,1)</f>
        <v/>
      </c>
      <c r="ON15" s="164">
        <f>COUNTIF($NS15:$NW15,2)</f>
        <v/>
      </c>
      <c r="OO15" s="164">
        <f>COUNTIF($NS15:$NW15,3)</f>
        <v/>
      </c>
      <c r="OP15" s="164">
        <f>COUNTIF($NS15:$NW15,4)</f>
        <v/>
      </c>
      <c r="OQ15" s="164">
        <f>COUNTIF($NS15:$NW15,5)</f>
        <v/>
      </c>
      <c r="OR15" s="164">
        <f>COUNTIF($NS15:$NW15,6)</f>
        <v/>
      </c>
      <c r="OS15" s="164">
        <f>COUNTIF($OI15:$OJ15,1)+IF(IFERROR(INDEX('DADOS_FORMAS'!$AS$2:$AS$21,MATCH(SUBSTITUTE(SUBSTITUTE(SUBSTITUTE($MU15,"~","~~"),"*","~*"),"?","~?"),'DADOS_FORMAS'!$AH$2:$AH$21,0)),"")="",0,IFERROR(N(VLOOKUP(SUBSTITUTE(SUBSTITUTE(SUBSTITUTE(IFERROR(INDEX('DADOS_FORMAS'!$AS$2:$AS$21,MATCH(SUBSTITUTE(SUBSTITUTE(SUBSTITUTE($MU15,"~","~~"),"*","~*"),"?","~?"),'DADOS_FORMAS'!$AH$2:$AH$21,0)),""),"~","~~"),"*","~*"),"?","~?"),'DADOS_RESTRICOES'!$M$2:$Q$54,3,FALSE)=1),0))</f>
        <v/>
      </c>
      <c r="OT15" s="164">
        <f>COUNTIF($OI15:$OJ15,2)+IF(IFERROR(INDEX('DADOS_FORMAS'!$AS$2:$AS$21,MATCH(SUBSTITUTE(SUBSTITUTE(SUBSTITUTE($MU15,"~","~~"),"*","~*"),"?","~?"),'DADOS_FORMAS'!$AH$2:$AH$21,0)),"")="",0,IFERROR(N(VLOOKUP(SUBSTITUTE(SUBSTITUTE(SUBSTITUTE(IFERROR(INDEX('DADOS_FORMAS'!$AS$2:$AS$21,MATCH(SUBSTITUTE(SUBSTITUTE(SUBSTITUTE($MU15,"~","~~"),"*","~*"),"?","~?"),'DADOS_FORMAS'!$AH$2:$AH$21,0)),""),"~","~~"),"*","~*"),"?","~?"),'DADOS_RESTRICOES'!$M$2:$Q$54,3,FALSE)=2),0))</f>
        <v/>
      </c>
      <c r="OU15" s="164">
        <f>COUNTIF($MX15:$NA15,"?*")</f>
        <v/>
      </c>
      <c r="OV15" s="164">
        <f>COUNTIF($NB15:$NC15,"?*")+$OF15</f>
        <v/>
      </c>
      <c r="OW15" s="164">
        <f>IF($MS15=0,0,SUMPRODUCT($OM15:$OR15,INDEX($I$2:$N$8,MAX(1,$MS15),0)))</f>
        <v/>
      </c>
      <c r="OX15" s="164">
        <f>IF($MS15=0,0,$OS15*CEILING($MS15/2,1)+$OT15*$MS15)</f>
        <v/>
      </c>
      <c r="OY15" s="164">
        <f>MIN(2*$MS15,$OX15)</f>
        <v/>
      </c>
      <c r="OZ15" s="164">
        <f>MIN($OY15,$OW15-IF($NS15=0,0,INDEX($I$2:$N$8,MAX(1,$MS15),$NS15)))</f>
        <v/>
      </c>
      <c r="PA15" s="164">
        <f>$OY15-$OZ15</f>
        <v/>
      </c>
      <c r="PB15" s="164">
        <f>IF($MS15=0,0,INDEX($P$2:$P$8,MAX(1,$MS15)))</f>
        <v/>
      </c>
      <c r="PC15" s="164">
        <f>$PB15-$OW15+$OZ15</f>
        <v/>
      </c>
      <c r="PD15" s="164">
        <f>IF($MS15=0,MAX(0,$NG15-IF(AND($OU15&gt;0,COUNTIF($NB15:$NC15,"?*")=0),1,0)),MAX(0,$PC15))</f>
        <v/>
      </c>
      <c r="PE15" s="164">
        <f>IF($MS15=0,0,(IF(COUNTIF($RK15:$RN15,"Salto")&gt;0,1,0)+IF(COUNTIF($RK15:$RN15,"Queima")&gt;0,1,0)+IF(COUNTIF($RK15:$RN15,"Estilhaço")&gt;0,1,0))*FLOOR($PD15/2,1))</f>
        <v/>
      </c>
      <c r="PF15" s="164">
        <f>MAX(0,2-SUMPRODUCT($OM15:$OR15,$I$2:$N$2)+MIN(2,$OS15*1+$OT15*1,SUMPRODUCT($OM15:$OR15,$I$2:$N$2)-IF($NS15=0,0,INDEX($I$2:$N$2,1,$NS15))))</f>
        <v/>
      </c>
      <c r="PG15" s="164">
        <f>MAX(0,4-SUMPRODUCT($OM15:$OR15,$I$3:$N$3)+MIN(4,$OS15*1+$OT15*2,SUMPRODUCT($OM15:$OR15,$I$3:$N$3)-IF($NS15=0,0,INDEX($I$3:$N$3,1,$NS15))))</f>
        <v/>
      </c>
      <c r="PH15" s="164">
        <f>MAX(0,6-SUMPRODUCT($OM15:$OR15,$I$4:$N$4)+MIN(6,$OS15*2+$OT15*3,SUMPRODUCT($OM15:$OR15,$I$4:$N$4)-IF($NS15=0,0,INDEX($I$4:$N$4,1,$NS15))))</f>
        <v/>
      </c>
      <c r="PI15" s="164">
        <f>MAX(0,9-SUMPRODUCT($OM15:$OR15,$I$5:$N$5)+MIN(8,$OS15*2+$OT15*4,SUMPRODUCT($OM15:$OR15,$I$5:$N$5)-IF($NS15=0,0,INDEX($I$5:$N$5,1,$NS15))))</f>
        <v/>
      </c>
      <c r="PJ15" s="164">
        <f>MAX(0,11-SUMPRODUCT($OM15:$OR15,$I$6:$N$6)+MIN(10,$OS15*3+$OT15*5,SUMPRODUCT($OM15:$OR15,$I$6:$N$6)-IF($NS15=0,0,INDEX($I$6:$N$6,1,$NS15))))</f>
        <v/>
      </c>
      <c r="PK15" s="164">
        <f>MAX(0,13-SUMPRODUCT($OM15:$OR15,$I$7:$N$7)+MIN(12,$OS15*3+$OT15*6,SUMPRODUCT($OM15:$OR15,$I$7:$N$7)-IF($NS15=0,0,INDEX($I$7:$N$7,1,$NS15))))</f>
        <v/>
      </c>
      <c r="PL15" s="164">
        <f>MAX(0,16-SUMPRODUCT($OM15:$OR15,$I$8:$N$8)+MIN(14,$OS15*4+$OT15*7,SUMPRODUCT($OM15:$OR15,$I$8:$N$8)-IF($NS15=0,0,INDEX($I$8:$N$8,1,$NS15))))</f>
        <v/>
      </c>
      <c r="PM15" s="164">
        <f>IF($OG15=2,3*$PF15&amp;" de vida temp.",IF($OG15=3,"sem dano",IF($PF15=0,IF($OG15=1,"sem cura","sem dano"),IF($OG15=1,"cura ","")&amp;$PF15&amp;"d8")))</f>
        <v/>
      </c>
      <c r="PN15" s="164">
        <f>IF($OG15=2,3*$PG15&amp;" de vida temp.",IF($OG15=3,"sem dano",IF($PG15=0,IF($OG15=1,"sem cura","sem dano"),IF($OG15=1,"cura ","")&amp;$PG15&amp;"d8")))</f>
        <v/>
      </c>
      <c r="PO15" s="164">
        <f>IF($OG15=2,3*$PH15&amp;" de vida temp.",IF($OG15=3,"sem dano",IF($PH15=0,IF($OG15=1,"sem cura","sem dano"),IF($OG15=1,"cura ","")&amp;$PH15&amp;"d8")))</f>
        <v/>
      </c>
      <c r="PP15" s="164">
        <f>IF($OG15=2,3*$PI15&amp;" de vida temp.",IF($OG15=3,"sem dano",IF($PI15=0,IF($OG15=1,"sem cura","sem dano"),IF($OG15=1,"cura ","")&amp;$PI15&amp;"d8")))</f>
        <v/>
      </c>
      <c r="PQ15" s="164">
        <f>IF($OG15=2,3*$PJ15&amp;" de vida temp.",IF($OG15=3,"sem dano",IF($PJ15=0,IF($OG15=1,"sem cura","sem dano"),IF($OG15=1,"cura ","")&amp;$PJ15&amp;"d8")))</f>
        <v/>
      </c>
      <c r="PR15" s="164">
        <f>IF($OG15=2,3*$PK15&amp;" de vida temp.",IF($OG15=3,"sem dano",IF($PK15=0,IF($OG15=1,"sem cura","sem dano"),IF($OG15=1,"cura ","")&amp;$PK15&amp;"d8")))</f>
        <v/>
      </c>
      <c r="PS15" s="164">
        <f>IF($OG15=2,3*$PL15&amp;" de vida temp.",IF($OG15=3,"sem dano",IF($PL15=0,IF($OG15=1,"sem cura","sem dano"),IF($OG15=1,"cura ","")&amp;$PL15&amp;"d8")))</f>
        <v/>
      </c>
      <c r="PT15" s="164">
        <f>IF($ND15=0,"",TEXTJOIN(" · ",TRUE,IF($ND15=0,"",TEXTJOIN(" · ",TRUE,IF($ND15=0,"",TEXTJOIN(" · ",TRUE,IF($MQ15&gt;$NE15,"Este lugar abre no nível "&amp;$MQ15,""),IF($MS15&gt;$NF15,"Classe "&amp;$MS15&amp;": o nível "&amp;$NE15&amp;" libera até a "&amp;$NF15,""),IF($NX15=1,"A Forma "&amp;$MU15&amp;" pede "&amp;INDEX('DADOS_FORMAS'!$GA$2:$GA$21,$NJ15)&amp;" aberta",""),IF(AND($MS15=0,$NJ15&gt;0,IF($NJ15=0,0,INDEX('DADOS_FORMAS'!$GJ$2:$GJ$21,$NJ15))=0),$MU15&amp;" não existe na Classe 0",""),IF($NY15=1,"Família Fechada: "&amp;$MX15,""),IF($NZ15=1,"Família Fechada: "&amp;$MY15,""),IF($OA15=1,"Família Fechada: "&amp;$MZ15,""),IF($OB15=1,"Família Fechada: "&amp;$NA15,""),IF(AND($MS15&gt;0,$OU15&gt;INDEX($O$2:$O$8,MAX(1,$MS15))),$OU15&amp;" Melhorias: a Classe "&amp;$MS15&amp;" aceita "&amp;INDEX($O$2:$O$8,MAX(1,$MS15)),""),IF(AND($MS15=0,$OU15&gt;1),"A básica aceita uma Melhoria",""),IF(AND($MS15=0,COUNTIF($NO15:$NR15,"&gt;1")&gt;0),"A básica só aceita Melhoria Leve",""),IF(AND($MS15&gt;0,$OV15&gt;2),$OV15&amp;" Restrições"&amp;IF($OF15=1,", contando a que a Forma "&amp;$MU15&amp;" já traz","")&amp;": o limite é 2",""),IF(AND($MS15=0,COUNTIF($NB15:$NC15,"?*")&gt;1),"A básica aceita uma Restrição Leve",""),IF(AND($MS15=0,COUNTIF($OI15:$OJ15,2)&gt;0),"A básica só aceita Restrição Leve",""),IF(AND($MS15&gt;0,$PC15&lt;0),"Orçamento estourado: faltam "&amp;(-$PC15)&amp;IF($PC15&lt;-1," pontos"," ponto"),""),IF(IFERROR(VLOOKUP(SUBSTITUTE(SUBSTITUTE(SUBSTITUTE($NB15,"~","~~"),"*","~*"),"?","~?"),'DADOS_RESTRICOES'!$M$2:$Q$54,4,FALSE),0)+IFERROR(VLOOKUP(SUBSTITUTE(SUBSTITUTE(SUBSTITUTE($NC15,"~","~~"),"*","~*"),"?","~?"),'DADOS_RESTRICOES'!$M$2:$Q$54,4,FALSE),0)&gt;1,$OK15&amp;" e "&amp;$OL15&amp;" são as duas de frequência",""),IF(AND((COUNTIF($RK15:$RN15,"Rápido")+COUNTIF($OK15:$OL15,"Rápido"))&gt;0,(COUNTIF($MX15:$NA15,"Atrasar")+COUNTIF($OK15:$OL15,"Atrasar"))&gt;0),"Rápido não entra com Atrasar",""),IF(AND((COUNTIF($RK15:$RN15,"Reação")+COUNTIF($OK15:$OL15,"Reação"))&gt;0,(COUNTIF($RK15:$RN15,"Rápido")+COUNTIF($OK15:$OL15,"Rápido"))&gt;0),"Reação não entra com Rápido",""),IF(AND((COUNTIF($RK15:$RN15,"Reação")+COUNTIF($OK15:$OL15,"Reação"))&gt;0,(COUNTIF($RK15:$RN15,"Armado")+COUNTIF($OK15:$OL15,"Armado"))&gt;0),"Reação não entra com Armado",""),IF(AND((COUNTIF($RK15:$RN15,"Reação")+COUNTIF($OK15:$OL15,"Reação"))&gt;0,(COUNTIF($MX15:$NA15,"Atrasar")+COUNTIF($OK15:$OL15,"Atrasar"))&gt;0),"Reação não entra com Atrasar",""),IF(AND((COUNTIF($RK15:$RN15,"Reação")+COUNTIF($OK15:$OL15,"Reação"))&gt;0,(COUNTIF($MX15:$NA15,"Parado")+COUNTIF($OK15:$OL15,"Parado"))&gt;0),"Reação não entra com Parado",""),IF(AND((COUNTIF($MX15:$NA15,"Atrasar")+COUNTIF($OK15:$OL15,"Atrasar"))&gt;0,(COUNTIF($MX15:$NA15,"Parado")+COUNTIF($OK15:$OL15,"Parado"))&gt;0),"Atrasar não entra com Parado",""),IF(AND((COUNTIF($RK15:$RN15,"Armado")+COUNTIF($OK15:$OL15,"Armado"))&gt;0,(COUNTIF($MX15:$NA15,"Carregar")+COUNTIF($OK15:$OL15,"Carregar"))&gt;0),"Armado não entra com Carregar",""),IF(AND(COUNTIF($OK15:$OL15,"Corpo a Corpo")&gt;0,$OF15=0,OR($RO15="Cone",$RO15="Linha")),"Corpo a Corpo não entra em "&amp;$MU15,""),IF(AND(COUNTIF($OK15:$OL15,"Corpo a Corpo")&gt;0,$RP15="Corpo a Corpo"),"A Forma "&amp;$MU15&amp;" já traz o Corpo a Corpo",""),IF(AND(COUNTIF($OK15:$OL15,"Tudo ou Nada")&gt;0,$OH15=0),"Tudo ou Nada só entra em habilidade de Teste de Resistência",""),IF(AND(COUNTIF($RK15:$RN15,"Inescapável")&gt;0,OR($OU15&gt;1,$OV15&gt;0)),"Inescapável não aceita outra peça",""),IF(AND($MS15&gt;0,$PD15*IF(COUNTIF($RK15:$RN15,"Remate")&gt;0,1.25,1)+$PE15&gt;4*$MS15),($PD15*IF(COUNTIF($RK15:$RN15,"Remate")&gt;0,1.25,1)+$PE15)&amp;" dados somando repetições"&amp;IF(COUNTIF($RK15:$RN15,"Remate")&gt;0," e o Remate","")&amp;": o teto da Classe "&amp;$MS15&amp;" é "&amp;4*$MS15,""))),IF(AND($MX15&lt;&gt;"",COUNTIF('DADOS_MELHORIAS'!$O$2:$O$113,SUBSTITUTE(SUBSTITUTE(SUBSTITUTE($MX15,"~","~~"),"*","~*"),"?","~?"))=0),"Melhoria não cadastrada ou com erro: "&amp;$MX15,""),IF(AND($MY15&lt;&gt;"",COUNTIF('DADOS_MELHORIAS'!$O$2:$O$113,SUBSTITUTE(SUBSTITUTE(SUBSTITUTE($MY15,"~","~~"),"*","~*"),"?","~?"))=0),"Melhoria não cadastrada ou com erro: "&amp;$MY15,""),IF(AND($MZ15&lt;&gt;"",COUNTIF('DADOS_MELHORIAS'!$O$2:$O$113,SUBSTITUTE(SUBSTITUTE(SUBSTITUTE($MZ15,"~","~~"),"*","~*"),"?","~?"))=0),"Melhoria não cadastrada ou com erro: "&amp;$MZ15,""),IF(AND($NA15&lt;&gt;"",COUNTIF('DADOS_MELHORIAS'!$O$2:$O$113,SUBSTITUTE(SUBSTITUTE(SUBSTITUTE($NA15,"~","~~"),"*","~*"),"?","~?"))=0),"Melhoria não cadastrada ou com erro: "&amp;$NA15,""),IF(AND($NB15&lt;&gt;"",COUNTIF('DADOS_RESTRICOES'!$M$2:$M$54,SUBSTITUTE(SUBSTITUTE(SUBSTITUTE($NB15,"~","~~"),"*","~*"),"?","~?"))=0),"Restrição não cadastrada ou com erro: "&amp;$NB15,""),IF(AND($NC15&lt;&gt;"",COUNTIF('DADOS_RESTRICOES'!$M$2:$M$54,SUBSTITUTE(SUBSTITUTE(SUBSTITUTE($NC15,"~","~~"),"*","~*"),"?","~?"))=0),"Restrição não cadastrada ou com erro: "&amp;$NC15,""))),IF(AND($MU15&lt;&gt;"",COUNTIF('DADOS_FORMAS'!$AH$2:$AH$21,SUBSTITUTE(SUBSTITUTE(SUBSTITUTE($MU15,"~","~~"),"*","~*"),"?","~?"))=0),"Forma não cadastrada ou com erro: "&amp;$MU15,""),IF(AND(IFERROR(INDEX('DADOS_FORMAS'!$AS$2:$AS$21,MATCH(SUBSTITUTE(SUBSTITUTE(SUBSTITUTE($MU15,"~","~~"),"*","~*"),"?","~?"),'DADOS_FORMAS'!$AH$2:$AH$21,0)),"")&lt;&gt;"",OR(IFERROR(VLOOKUP(SUBSTITUTE(SUBSTITUTE(SUBSTITUTE(IFERROR(INDEX('DADOS_FORMAS'!$AS$2:$AS$21,MATCH(SUBSTITUTE(SUBSTITUTE(SUBSTITUTE($MU15,"~","~~"),"*","~*"),"?","~?"),'DADOS_FORMAS'!$AH$2:$AH$21,0)),""),"~","~~"),"*","~*"),"?","~?"),'DADOS_RESTRICOES'!$M$2:$Q$54,2,FALSE),"")=$OK15,IFERROR(VLOOKUP(SUBSTITUTE(SUBSTITUTE(SUBSTITUTE(IFERROR(INDEX('DADOS_FORMAS'!$AS$2:$AS$21,MATCH(SUBSTITUTE(SUBSTITUTE(SUBSTITUTE($MU15,"~","~~"),"*","~*"),"?","~?"),'DADOS_FORMAS'!$AH$2:$AH$21,0)),""),"~","~~"),"*","~*"),"?","~?"),'DADOS_RESTRICOES'!$M$2:$Q$54,2,FALSE),"")=$OL15)),"Restrição repetida, contando a embutida",""),IF(IF(IFERROR(INDEX('DADOS_FORMAS'!$AS$2:$AS$21,MATCH(SUBSTITUTE(SUBSTITUTE(SUBSTITUTE($MU15,"~","~~"),"*","~*"),"?","~?"),'DADOS_FORMAS'!$AH$2:$AH$21,0)),"")="",0,IFERROR(N(VLOOKUP(SUBSTITUTE(SUBSTITUTE(SUBSTITUTE(IFERROR(INDEX('DADOS_FORMAS'!$AS$2:$AS$21,MATCH(SUBSTITUTE(SUBSTITUTE(SUBSTITUTE($MU15,"~","~~"),"*","~*"),"?","~?"),'DADOS_FORMAS'!$AH$2:$AH$21,0)),""),"~","~~"),"*","~*"),"?","~?"),'DADOS_RESTRICOES'!$M$2:$Q$54,4,FALSE)=1),0))+IF($NB15="",0,IFERROR(N(VLOOKUP(SUBSTITUTE(SUBSTITUTE(SUBSTITUTE($NB15,"~","~~"),"*","~*"),"?","~?"),'DADOS_RESTRICOES'!$M$2:$Q$54,4,FALSE)=1),0))+IF($NC15="",0,IFERROR(N(VLOOKUP(SUBSTITUTE(SUBSTITUTE(SUBSTITUTE($NC15,"~","~~"),"*","~*"),"?","~?"),'DADOS_RESTRICOES'!$M$2:$Q$54,4,FALSE)=1),0))&gt;1,"Duas Restrições de frequência, contando a embutida",""),IF(AND(IFERROR(VLOOKUP(SUBSTITUTE(SUBSTITUTE(SUBSTITUTE(IFERROR(INDEX('DADOS_FORMAS'!$AS$2:$AS$21,MATCH(SUBSTITUTE(SUBSTITUTE(SUBSTITUTE($MU15,"~","~~"),"*","~*"),"?","~?"),'DADOS_FORMAS'!$AH$2:$AH$21,0)),""),"~","~~"),"*","~*"),"?","~?"),'DADOS_RESTRICOES'!$M$2:$Q$54,2,FALSE),"")="Tudo ou Nada",$OH15=0),"Tudo ou Nada exige TR",""),IF(AND(IFERROR(VLOOKUP(SUBSTITUTE(SUBSTITUTE(SUBSTITUTE(IFERROR(INDEX('DADOS_FORMAS'!$AS$2:$AS$21,MATCH(SUBSTITUTE(SUBSTITUTE(SUBSTITUTE($MU15,"~","~~"),"*","~*"),"?","~?"),'DADOS_FORMAS'!$AH$2:$AH$21,0)),""),"~","~~"),"*","~*"),"?","~?"),'DADOS_RESTRICOES'!$M$2:$Q$54,2,FALSE),"")="Corpo a Corpo",OR($RO15="Cone",$RO15="Linha")),"Corpo a Corpo não entra em Cone/Linha","")))</f>
        <v/>
      </c>
      <c r="PU15" s="164">
        <f>IF($PT15="",0,(LEN($PT15)-LEN(SUBSTITUTE($PT15," · ","")))/3+1)</f>
        <v/>
      </c>
      <c r="PV15" s="164">
        <f>IF($ND15=0,"",TEXTJOIN(" · ",TRUE,IF($OX15&gt;2*$MS15,"A devolução parou no teto de "&amp;2*$MS15,""),IF($PA15&gt;0,"Devolução perdida: "&amp;$PA15&amp;IF($PA15&gt;1," pontos"," ponto")&amp;" sem Melhoria para pagar",""),IF(AND($OC15&gt;0,AND($MS15&gt;0,$OG15=0),$PD15=0),"Controle sem dano: uma rodada a mais e CD +2",""),IF(AND($OC15&gt;0,AND($MS15&gt;0,$OG15=0),$PD15&gt;0,$PD15&lt;=$MS15),"Controle com saldo até a Classe: uma rodada a mais",""),IF(AND($MS15&gt;0,$OE15&lt;&gt;""),"Efeito de "&amp;$OE15&amp;" pela Classe "&amp;MAX(1,$MS15-1),"")))</f>
        <v/>
      </c>
      <c r="PW15" s="164">
        <f>IF($PV15="",0,(LEN($PV15)-LEN(SUBSTITUTE($PV15," · ","")))/3+1)</f>
        <v/>
      </c>
      <c r="PX15" s="164">
        <f>IF($ND15=0,IF($OU15+COUNTIF($NB15:$NC15,"?*")&gt;0,"Dê um nome",""),IF($PU15&gt;0,"⚠ "&amp;$PU15&amp;IF($PU15&gt;1," erros"," erro"),IF($PW15&gt;0,"! "&amp;$PW15&amp;IF($PW15&gt;1," avisos"," aviso"),"Na regra")))</f>
        <v/>
      </c>
      <c r="PY15" s="164">
        <f>IF($ND15=0,"",IF($PU15+$PW15=0,"Dentro das regras que a ficha confere",$PT15&amp;IF(AND($PU15&gt;0,$PW15&gt;0)," · ","")&amp;$PV15))</f>
        <v/>
      </c>
      <c r="PZ15" s="164">
        <f>IF($MQ15&gt;$NE15,$MR15&amp;" · ABRE NO NÍVEL "&amp;$MQ15,$MR15)</f>
        <v/>
      </c>
      <c r="QA15" s="164">
        <f>IF($ND15=0,"",IF($MS15=0,"Sem PE",3*$MS15&amp;" PE"))</f>
        <v/>
      </c>
      <c r="QB15" s="164">
        <f>IF($ND15=0,"",IF($MS15=0,"A atuação básica dela",IF(COUNTIF($RQ15:$RS15,"Atrasar")&gt;0,"Sua Ação Completa",IF(COUNTIF($RK15:$RN15,"Rápido")&gt;0,"Sua Bônus",IF(COUNTIF($RK15:$RN15,"Reação")&gt;0,"Sua Reação","Sua Padrão")))&amp;" + a básica dela"&amp;IF(COUNTIF($RK15:$RN15,"Reação")&gt;0," e a coletiva","")&amp;IF(COUNTIF($RQ15:$RS15,"Carregar")&gt;0," · em dois turnos","")))</f>
        <v/>
      </c>
      <c r="QC15" s="164">
        <f>IF($MW15&lt;&gt;"",$MW15,IF($NJ15=0,"",INDEX('DADOS_FORMAS'!$GE$2:$GE$21,$NJ15)))</f>
        <v/>
      </c>
      <c r="QD15" s="164">
        <f>IF(OR($ND15=0,$NJ15=0),"",IF(COUNTIF($RK15:$RN15,"Inescapável")&gt;0,"Automático",IF($QC15="Ataque",IF($NH15="","Ataque","Ataque "&amp;IF(($NH15+2*IF(COUNTIF($RK15:$RN15,"Precisão")&gt;0,1,0))&gt;=0,"+","−")&amp;ABS(($NH15+2*IF(COUNTIF($RK15:$RN15,"Precisão")&gt;0,1,0))))&amp;IF($OD15&gt;0," · TR"&amp;IF($NI15="",""," CD "&amp;$NI15),""),IF(LEFT($QC15,2)="TR",$QC15&amp;IF($NI15="",""," · CD "&amp;$NI15)&amp;IF(COUNTIF($RK15:$RN15,"Certeiro")&gt;0," · metade",""),"Sem rolagem"))))</f>
        <v/>
      </c>
      <c r="QE15" s="164">
        <f>IF(OR($ND15=0,$NJ15=0),"",IF($MS15=0,IF(OR($OG15&gt;=1,$PD15=0),"Sem dano",$PD15&amp;"d6"&amp;IF($MV15="",""," "&amp;$MV15)),IF(OR($OG15&gt;=1,$PD15=0),UPPER(LEFT(INDEX($PM15:$PS15,1,MAX(1,$MS15)),1))&amp;MID(INDEX($PM15:$PS15,1,MAX(1,$MS15)),2,99),UPPER(LEFT(INDEX($PM15:$PS15,1,MAX(1,$MS15)),1))&amp;MID(INDEX($PM15:$PS15,1,MAX(1,$MS15)),2,99)&amp;IF($MV15="",""," "&amp;$MV15)&amp;IF($PE15&gt;0," · +"&amp;$PE15&amp;"d8",""))))</f>
        <v/>
      </c>
      <c r="QF15" s="164">
        <f>COUNTIF($RK15:$RN15,"Longe")+3*COUNTIF($RK15:$RN15,"Muito Longe")</f>
        <v/>
      </c>
      <c r="QG15" s="164">
        <f>COUNTIF($RK15:$RN15,"Maior")+3*COUNTIF($RK15:$RN15,"Muito Maior")</f>
        <v/>
      </c>
      <c r="QH15" s="164">
        <f>IF($NJ15=0,0,CHOOSE(1+INDEX('DADOS_FORMAS'!$GG$2:$GG$21,$NJ15),0,$QF15,$QG15,$QF15+$QG15))</f>
        <v/>
      </c>
      <c r="QI15" s="164">
        <f>IF($NJ15=0,0,CHOOSE(1+INDEX('DADOS_FORMAS'!$GH$2:$GH$21,$NJ15),0,$QF15,$QG15,$QF15+$QG15))</f>
        <v/>
      </c>
      <c r="QJ15" s="164">
        <f>IF(OR($ND15=0,$NJ15=0),"",INDEX('DADOS_FORMAS'!$HU$2:$HZ$81,($NJ15-1)*4+IF($MS15=0,1,IF($MS15&lt;=5,2,IF($MS15=6,3,4))),1+MIN(5,$QH15))&amp;INDEX('DADOS_FORMAS'!$IA$2:$IF$81,($NJ15-1)*4+IF($MS15=0,1,IF($MS15&lt;=5,2,IF($MS15=6,3,4))),1+MIN(5,$QI15))&amp;IF(INDEX('DADOS_FORMAS'!$GI$2:$GI$21,$NJ15)=1,IF(COUNTIF($RK15:$RN15,"Mais Um")&gt;0," · +"&amp;COUNTIF($RK15:$RN15,"Mais Um")&amp;IF(COUNTIF($RK15:$RN15,"Mais Um")&gt;1," alvos"," alvo"),"")&amp;IF(COUNTIF($RK15:$RN15,"Rajada")&gt;0,IF($MS15=0," · 1 tiro"," · "&amp;(MAX(1,$MS15-1)+1)&amp;" tiros"),""),""))</f>
        <v/>
      </c>
      <c r="QK15" s="164">
        <f>IF($ND15=0,"",IF($MS15=0,$NG15&amp;"d6"&amp;IF($OU15&gt;0," − 1 = "&amp;$PD15&amp;"d6"," da básica do nível "&amp;$NE15),$PB15&amp;" − "&amp;$OW15&amp;" + "&amp;$OZ15&amp;" = "&amp;$PC15&amp;" · teto "&amp;4*$MS15&amp;"d8"&amp;IF($OF15=1," · a Forma devolve "&amp;$MS15,"")&amp;IF($PA15&gt;0," · perde "&amp;$PA15,"")))</f>
        <v/>
      </c>
      <c r="QL15" s="164">
        <f>IF($ND15=0,"",IF($MS15=0,"A básica não amplia: os dados dela sobem com o nível",IF($MS15&gt;=$NF15,"Já está na maior Classe que o nível liberou",TEXTJOIN(" · ",TRUE,IF(AND(2&gt;$MS15,2&lt;=$NF15),"2 → "&amp;$PN15&amp;", 6 PE",""),IF(AND(3&gt;$MS15,3&lt;=$NF15),"3 → "&amp;$PO15&amp;", 9 PE",""),IF(AND(4&gt;$MS15,4&lt;=$NF15),"4 → "&amp;$PP15&amp;", 12 PE",""),IF(AND(5&gt;$MS15,5&lt;=$NF15),"5 → "&amp;$PQ15&amp;", 15 PE",""),IF(AND(6&gt;$MS15,6&lt;=$NF15),"6 → "&amp;$PR15&amp;", 18 PE",""),IF(AND(7&gt;$MS15,7&lt;=$NF15),"7 → "&amp;$PS15&amp;", 21 PE","")))))</f>
        <v/>
      </c>
      <c r="QM15" s="164">
        <f>IF(OR($ND15=0,$NO15=0),"",IF($MS15=0,"−1 dado","−"&amp;INDEX($I$2:$N$8,MAX(1,$MS15),MAX(1,$NT15))&amp;" · "&amp;CHOOSE(MAX(1,$NT15),"Leve","Média","Pesada","Leve · Livre","Média · Livre","Pesada · Livre")))</f>
        <v/>
      </c>
      <c r="QN15" s="164">
        <f>IF(OR($ND15=0,$NP15=0),"",IF($MS15=0,"−1 dado","−"&amp;INDEX($I$2:$N$8,MAX(1,$MS15),MAX(1,$NU15))&amp;" · "&amp;CHOOSE(MAX(1,$NU15),"Leve","Média","Pesada","Leve · Livre","Média · Livre","Pesada · Livre")))</f>
        <v/>
      </c>
      <c r="QO15" s="164">
        <f>IF(OR($ND15=0,$NQ15=0),"",IF($MS15=0,"−1 dado","−"&amp;INDEX($I$2:$N$8,MAX(1,$MS15),MAX(1,$NV15))&amp;" · "&amp;CHOOSE(MAX(1,$NV15),"Leve","Média","Pesada","Leve · Livre","Média · Livre","Pesada · Livre")))</f>
        <v/>
      </c>
      <c r="QP15" s="164">
        <f>IF(OR($ND15=0,$NR15=0),"",IF($MS15=0,"−1 dado","−"&amp;INDEX($I$2:$N$8,MAX(1,$MS15),MAX(1,$NW15))&amp;" · "&amp;CHOOSE(MAX(1,$NW15),"Leve","Média","Pesada","Leve · Livre","Média · Livre","Pesada · Livre")))</f>
        <v/>
      </c>
      <c r="QQ15" s="164">
        <f>IF(OR($ND15=0,$NB15=""),"",IF($MS15=0,"não devolve","+"&amp;IF($OI15=1,CEILING($MS15/2,1),$MS15)))</f>
        <v/>
      </c>
      <c r="QR15" s="164">
        <f>IF(OR($ND15=0,$NC15=""),"",IF($MS15=0,"não devolve","+"&amp;IF($OJ15=1,CEILING($MS15/2,1),$MS15)))</f>
        <v/>
      </c>
      <c r="RK15">
        <f>IF($MX15="","",IFERROR(VLOOKUP(SUBSTITUTE(SUBSTITUTE(SUBSTITUTE($MX15,"~","~~"),"*","~*"),"?","~?"),'DADOS_MELHORIAS'!$O$2:$X$113,10,FALSE),$MX15))</f>
        <v/>
      </c>
      <c r="RL15">
        <f>IF($MY15="","",IFERROR(VLOOKUP(SUBSTITUTE(SUBSTITUTE(SUBSTITUTE($MY15,"~","~~"),"*","~*"),"?","~?"),'DADOS_MELHORIAS'!$O$2:$X$113,10,FALSE),$MY15))</f>
        <v/>
      </c>
      <c r="RM15">
        <f>IF($MZ15="","",IFERROR(VLOOKUP(SUBSTITUTE(SUBSTITUTE(SUBSTITUTE($MZ15,"~","~~"),"*","~*"),"?","~?"),'DADOS_MELHORIAS'!$O$2:$X$113,10,FALSE),$MZ15))</f>
        <v/>
      </c>
      <c r="RN15">
        <f>IF($NA15="","",IFERROR(VLOOKUP(SUBSTITUTE(SUBSTITUTE(SUBSTITUTE($NA15,"~","~~"),"*","~*"),"?","~?"),'DADOS_MELHORIAS'!$O$2:$X$113,10,FALSE),$NA15))</f>
        <v/>
      </c>
      <c r="RO15">
        <f>IFERROR(INDEX('DADOS_FORMAS'!$BJ$2:$BJ$21,MATCH(SUBSTITUTE(SUBSTITUTE(SUBSTITUTE($MU15,"~","~~"),"*","~*"),"?","~?"),'DADOS_FORMAS'!$AH$2:$AH$21,0)),"")</f>
        <v/>
      </c>
      <c r="RP15">
        <f>IFERROR(VLOOKUP(SUBSTITUTE(SUBSTITUTE(SUBSTITUTE(IFERROR(INDEX('DADOS_FORMAS'!$AS$2:$AS$21,MATCH(SUBSTITUTE(SUBSTITUTE(SUBSTITUTE($MU15,"~","~~"),"*","~*"),"?","~?"),'DADOS_FORMAS'!$AH$2:$AH$21,0)),""),"~","~~"),"*","~*"),"?","~?"),'DADOS_RESTRICOES'!$M$2:$Q$54,2,FALSE),"")</f>
        <v/>
      </c>
      <c r="RQ15">
        <f>$OK15</f>
        <v/>
      </c>
      <c r="RR15">
        <f>$OL15</f>
        <v/>
      </c>
      <c r="RS15">
        <f>$RP15</f>
        <v/>
      </c>
    </row>
    <row r="16">
      <c r="AH16" s="162" t="inlineStr">
        <is>
          <t>Aura · classe 6</t>
        </is>
      </c>
      <c r="AI16" s="162" t="inlineStr">
        <is>
          <t>Raio 3 m, nela</t>
        </is>
      </c>
      <c r="AJ16" s="162" t="inlineStr">
        <is>
          <t>Raio 4,5 m, nela</t>
        </is>
      </c>
      <c r="AK16" s="162" t="inlineStr">
        <is>
          <t>Raio 6 m, nela</t>
        </is>
      </c>
      <c r="AL16" s="162" t="inlineStr">
        <is>
          <t>Raio 9 m, nela</t>
        </is>
      </c>
      <c r="AM16" s="162" t="inlineStr">
        <is>
          <t>Raio 15 m, nela</t>
        </is>
      </c>
      <c r="AN16" s="162" t="inlineStr">
        <is>
          <t>Raio 15 m, nela</t>
        </is>
      </c>
      <c r="AO16" s="162" t="inlineStr"/>
      <c r="AP16" s="162" t="inlineStr"/>
      <c r="AQ16" s="162" t="inlineStr"/>
      <c r="AR16" s="162" t="inlineStr"/>
      <c r="AS16" s="162" t="inlineStr"/>
      <c r="AT16" s="162" t="inlineStr"/>
      <c r="AV16" s="162" t="inlineStr">
        <is>
          <t>Precisão</t>
        </is>
      </c>
      <c r="AW16" s="162" t="inlineStr">
        <is>
          <t>Mira</t>
        </is>
      </c>
      <c r="AX16" s="164" t="n">
        <v>1</v>
      </c>
      <c r="AY16" s="164" t="n">
        <v>0</v>
      </c>
      <c r="AZ16" s="164" t="n">
        <v>0</v>
      </c>
      <c r="BA16" s="164" t="n">
        <v>0</v>
      </c>
      <c r="BC16" s="162" t="inlineStr">
        <is>
          <t>Condicional (Leve)</t>
        </is>
      </c>
      <c r="BD16" s="162" t="inlineStr">
        <is>
          <t>Condicional</t>
        </is>
      </c>
      <c r="BE16" s="164" t="n">
        <v>1</v>
      </c>
      <c r="BF16" s="164" t="n">
        <v>1</v>
      </c>
      <c r="BG16" s="162" t="inlineStr">
        <is>
          <t>Condicional (Leve)</t>
        </is>
      </c>
      <c r="CC16" s="162" t="inlineStr">
        <is>
          <t>Lidar com Animais</t>
        </is>
      </c>
      <c r="CD16" s="162" t="inlineStr">
        <is>
          <t>Inteligência</t>
        </is>
      </c>
      <c r="CJ16" s="162" t="inlineStr">
        <is>
          <t>Alma</t>
        </is>
      </c>
      <c r="JT16" s="164">
        <f>IF(OR($AW16="",(COUNTIF($EL$2:$EP$2,$AW16)+COUNTIF($QV$2:$QY$2,$AW16))&gt;0),$AV16,"")</f>
        <v/>
      </c>
      <c r="JU16" s="164">
        <f>IF(AND($AX16=1,OR($AW16="",(COUNTIF($EL$2:$EP$2,$AW16)+COUNTIF($QV$2:$QY$2,$AW16))&gt;0)),$AV16,"")</f>
        <v/>
      </c>
      <c r="JZ16" s="164">
        <f>IF(OR($AW16="",(COUNTIF($EL$3:$EP$3,$AW16)+COUNTIF($QV$3:$QY$3,$AW16))&gt;0),$AV16,"")</f>
        <v/>
      </c>
      <c r="KA16" s="164">
        <f>IF(AND($AX16=1,OR($AW16="",(COUNTIF($EL$3:$EP$3,$AW16)+COUNTIF($QV$3:$QY$3,$AW16))&gt;0)),$AV16,"")</f>
        <v/>
      </c>
      <c r="KF16" s="164">
        <f>IF(OR($AW16="",(COUNTIF($EL$4:$EP$4,$AW16)+COUNTIF($QV$4:$QY$4,$AW16))&gt;0),$AV16,"")</f>
        <v/>
      </c>
      <c r="KG16" s="164">
        <f>IF(AND($AX16=1,OR($AW16="",(COUNTIF($EL$4:$EP$4,$AW16)+COUNTIF($QV$4:$QY$4,$AW16))&gt;0)),$AV16,"")</f>
        <v/>
      </c>
      <c r="KL16" s="164">
        <f>IF(OR($AW16="",(COUNTIF($EL$5:$EP$5,$AW16)+COUNTIF($QV$5:$QY$5,$AW16))&gt;0),$AV16,"")</f>
        <v/>
      </c>
      <c r="KM16" s="164">
        <f>IF(AND($AX16=1,OR($AW16="",(COUNTIF($EL$5:$EP$5,$AW16)+COUNTIF($QV$5:$QY$5,$AW16))&gt;0)),$AV16,"")</f>
        <v/>
      </c>
      <c r="KR16" s="164">
        <f>IF(OR($AW16="",(COUNTIF($EL$6:$EP$6,$AW16)+COUNTIF($QV$6:$QY$6,$AW16))&gt;0),$AV16,"")</f>
        <v/>
      </c>
      <c r="KS16" s="164">
        <f>IF(AND($AX16=1,OR($AW16="",(COUNTIF($EL$6:$EP$6,$AW16)+COUNTIF($QV$6:$QY$6,$AW16))&gt;0)),$AV16,"")</f>
        <v/>
      </c>
      <c r="KX16" s="164">
        <f>IF(OR($AW16="",(COUNTIF($EL$7:$EP$7,$AW16)+COUNTIF($QV$7:$QY$7,$AW16))&gt;0),$AV16,"")</f>
        <v/>
      </c>
      <c r="KY16" s="164">
        <f>IF(AND($AX16=1,OR($AW16="",(COUNTIF($EL$7:$EP$7,$AW16)+COUNTIF($QV$7:$QY$7,$AW16))&gt;0)),$AV16,"")</f>
        <v/>
      </c>
      <c r="LD16" s="164">
        <f>IF(OR($AW16="",(COUNTIF($EL$8:$EP$8,$AW16)+COUNTIF($QV$8:$QY$8,$AW16))&gt;0),$AV16,"")</f>
        <v/>
      </c>
      <c r="LE16" s="164">
        <f>IF(AND($AX16=1,OR($AW16="",(COUNTIF($EL$8:$EP$8,$AW16)+COUNTIF($QV$8:$QY$8,$AW16))&gt;0)),$AV16,"")</f>
        <v/>
      </c>
      <c r="LJ16" s="164">
        <f>IF(OR($AW16="",(COUNTIF($EL$9:$EP$9,$AW16)+COUNTIF($QV$9:$QY$9,$AW16))&gt;0),$AV16,"")</f>
        <v/>
      </c>
      <c r="LK16" s="164">
        <f>IF(AND($AX16=1,OR($AW16="",(COUNTIF($EL$9:$EP$9,$AW16)+COUNTIF($QV$9:$QY$9,$AW16))&gt;0)),$AV16,"")</f>
        <v/>
      </c>
      <c r="LP16" s="164">
        <f>IF(OR($AW16="",(COUNTIF($EL$10:$EP$10,$AW16)+COUNTIF($QV$10:$QY$10,$AW16))&gt;0),$AV16,"")</f>
        <v/>
      </c>
      <c r="LQ16" s="164">
        <f>IF(AND($AX16=1,OR($AW16="",(COUNTIF($EL$10:$EP$10,$AW16)+COUNTIF($QV$10:$QY$10,$AW16))&gt;0)),$AV16,"")</f>
        <v/>
      </c>
      <c r="LV16" s="164">
        <f>IF(OR($AW16="",(COUNTIF($EL$11:$EP$11,$AW16)+COUNTIF($QV$11:$QY$11,$AW16))&gt;0),$AV16,"")</f>
        <v/>
      </c>
      <c r="LW16" s="164">
        <f>IF(AND($AX16=1,OR($AW16="",(COUNTIF($EL$11:$EP$11,$AW16)+COUNTIF($QV$11:$QY$11,$AW16))&gt;0)),$AV16,"")</f>
        <v/>
      </c>
      <c r="MB16" s="164">
        <f>IF(OR($AW16="",(COUNTIF($EL$12:$EP$12,$AW16)+COUNTIF($QV$12:$QY$12,$AW16))&gt;0),$AV16,"")</f>
        <v/>
      </c>
      <c r="MC16" s="164">
        <f>IF(AND($AX16=1,OR($AW16="",(COUNTIF($EL$12:$EP$12,$AW16)+COUNTIF($QV$12:$QY$12,$AW16))&gt;0)),$AV16,"")</f>
        <v/>
      </c>
      <c r="MH16" s="164">
        <f>IF(OR($AW16="",(COUNTIF($EL$13:$EP$13,$AW16)+COUNTIF($QV$13:$QY$13,$AW16))&gt;0),$AV16,"")</f>
        <v/>
      </c>
      <c r="MI16" s="164">
        <f>IF(AND($AX16=1,OR($AW16="",(COUNTIF($EL$13:$EP$13,$AW16)+COUNTIF($QV$13:$QY$13,$AW16))&gt;0)),$AV16,"")</f>
        <v/>
      </c>
      <c r="MN16" s="162" t="inlineStr">
        <is>
          <t>Ficha 2 · Especial 1</t>
        </is>
      </c>
      <c r="MO16" s="164" t="n">
        <v>2</v>
      </c>
      <c r="MP16" s="164" t="n">
        <v>1</v>
      </c>
      <c r="MQ16" s="164" t="n">
        <v>1</v>
      </c>
      <c r="MR16" s="162" t="inlineStr">
        <is>
          <t>ESPECIAL 1</t>
        </is>
      </c>
      <c r="MS16" s="164">
        <f>MAX(1,MIN(7,N('INVOCAÇÕES'!$O$282)))</f>
        <v/>
      </c>
      <c r="MT16" s="164">
        <f>'INVOCAÇÕES'!$P$282&amp;""</f>
        <v/>
      </c>
      <c r="MU16" s="164">
        <f>'INVOCAÇÕES'!$O$287&amp;""</f>
        <v/>
      </c>
      <c r="MV16" s="164">
        <f>'INVOCAÇÕES'!$O$288&amp;""</f>
        <v/>
      </c>
      <c r="MW16" s="164">
        <f>'INVOCAÇÕES'!$Q$288&amp;""</f>
        <v/>
      </c>
      <c r="MX16" s="164">
        <f>'INVOCAÇÕES'!$P$291&amp;""</f>
        <v/>
      </c>
      <c r="MY16" s="164">
        <f>'INVOCAÇÕES'!$P$292&amp;""</f>
        <v/>
      </c>
      <c r="MZ16" s="164">
        <f>'INVOCAÇÕES'!$P$293&amp;""</f>
        <v/>
      </c>
      <c r="NA16" s="164">
        <f>'INVOCAÇÕES'!$P$294&amp;""</f>
        <v/>
      </c>
      <c r="NB16" s="164">
        <f>'INVOCAÇÕES'!$P$295&amp;""</f>
        <v/>
      </c>
      <c r="NC16" s="164">
        <f>'INVOCAÇÕES'!$P$296&amp;""</f>
        <v/>
      </c>
      <c r="ND16" s="164">
        <f>IF($MT16&lt;&gt;"",1,0)</f>
        <v/>
      </c>
      <c r="NE16" s="164">
        <f>INDEX($FO$2:$FO$13,$MO16)</f>
        <v/>
      </c>
      <c r="NF16" s="164">
        <f>INDEX($FP$2:$FP$13,$MO16)</f>
        <v/>
      </c>
      <c r="NG16" s="164">
        <f>INDEX($FQ$2:$FQ$13,$MO16)</f>
        <v/>
      </c>
      <c r="NH16" s="164">
        <f>INDEX($GB$2:$GB$13,$MO16)</f>
        <v/>
      </c>
      <c r="NI16" s="164">
        <f>INDEX($GC$2:$GC$13,$MO16)</f>
        <v/>
      </c>
      <c r="NJ16" s="164">
        <f>IFERROR(MATCH(SUBSTITUTE(SUBSTITUTE(SUBSTITUTE($MU16,"~","~~"),"*","~*"),"?","~?"),'DADOS_FORMAS'!$FZ$2:$FZ$21,0),0)</f>
        <v/>
      </c>
      <c r="NK16" s="164">
        <f>IFERROR(VLOOKUP(SUBSTITUTE(SUBSTITUTE(SUBSTITUTE($MX16,"~","~~"),"*","~*"),"?","~?"),'DADOS_MELHORIAS'!$AG$2:$AL$113,2,FALSE),"")</f>
        <v/>
      </c>
      <c r="NL16" s="164">
        <f>IFERROR(VLOOKUP(SUBSTITUTE(SUBSTITUTE(SUBSTITUTE($MY16,"~","~~"),"*","~*"),"?","~?"),'DADOS_MELHORIAS'!$AG$2:$AL$113,2,FALSE),"")</f>
        <v/>
      </c>
      <c r="NM16" s="164">
        <f>IFERROR(VLOOKUP(SUBSTITUTE(SUBSTITUTE(SUBSTITUTE($MZ16,"~","~~"),"*","~*"),"?","~?"),'DADOS_MELHORIAS'!$AG$2:$AL$113,2,FALSE),"")</f>
        <v/>
      </c>
      <c r="NN16" s="164">
        <f>IFERROR(VLOOKUP(SUBSTITUTE(SUBSTITUTE(SUBSTITUTE($NA16,"~","~~"),"*","~*"),"?","~?"),'DADOS_MELHORIAS'!$AG$2:$AL$113,2,FALSE),"")</f>
        <v/>
      </c>
      <c r="NO16" s="164">
        <f>IFERROR(VLOOKUP(SUBSTITUTE(SUBSTITUTE(SUBSTITUTE($MX16,"~","~~"),"*","~*"),"?","~?"),'DADOS_MELHORIAS'!$AG$2:$AL$113,3,FALSE),0)</f>
        <v/>
      </c>
      <c r="NP16" s="164">
        <f>IFERROR(VLOOKUP(SUBSTITUTE(SUBSTITUTE(SUBSTITUTE($MY16,"~","~~"),"*","~*"),"?","~?"),'DADOS_MELHORIAS'!$AG$2:$AL$113,3,FALSE),0)</f>
        <v/>
      </c>
      <c r="NQ16" s="164">
        <f>IFERROR(VLOOKUP(SUBSTITUTE(SUBSTITUTE(SUBSTITUTE($MZ16,"~","~~"),"*","~*"),"?","~?"),'DADOS_MELHORIAS'!$AG$2:$AL$113,3,FALSE),0)</f>
        <v/>
      </c>
      <c r="NR16" s="164">
        <f>IFERROR(VLOOKUP(SUBSTITUTE(SUBSTITUTE(SUBSTITUTE($NA16,"~","~~"),"*","~*"),"?","~?"),'DADOS_MELHORIAS'!$AG$2:$AL$113,3,FALSE),0)</f>
        <v/>
      </c>
      <c r="NS16" s="164">
        <f>IF($MS16=0,0,IF($NJ16=0,0,INDEX('DADOS_FORMAS'!$GB$2:$GB$21,$NJ16)))</f>
        <v/>
      </c>
      <c r="NT16" s="164">
        <f>IF(OR($NO16=0,$MS16=0),0,$NO16+3*IF(AND($NK16&lt;&gt;"",COUNTIF(INDEX($RB$2:$RJ$13,$MO16,0),$NK16)&gt;0),1,0))</f>
        <v/>
      </c>
      <c r="NU16" s="164">
        <f>IF(OR($NP16=0,$MS16=0),0,$NP16+3*IF(AND($NL16&lt;&gt;"",COUNTIF(INDEX($RB$2:$RJ$13,$MO16,0),$NL16)&gt;0),1,0))</f>
        <v/>
      </c>
      <c r="NV16" s="164">
        <f>IF(OR($NQ16=0,$MS16=0),0,$NQ16+3*IF(AND($NM16&lt;&gt;"",COUNTIF(INDEX($RB$2:$RJ$13,$MO16,0),$NM16)&gt;0),1,0))</f>
        <v/>
      </c>
      <c r="NW16" s="164">
        <f>IF(OR($NR16=0,$MS16=0),0,$NR16+3*IF(AND($NN16&lt;&gt;"",COUNTIF(INDEX($RB$2:$RJ$13,$MO16,0),$NN16)&gt;0),1,0))</f>
        <v/>
      </c>
      <c r="NX16" s="164">
        <f>IF($NJ16=0,0,IF(INDEX('DADOS_FORMAS'!$GA$2:$GA$21,$NJ16)="",0,IF((COUNTIF(INDEX($EL$2:$EP$13,$MO16,0),INDEX('DADOS_FORMAS'!$GA$2:$GA$21,$NJ16))+COUNTIF(INDEX($QV$2:$QY$13,$MO16,0),INDEX('DADOS_FORMAS'!$GA$2:$GA$21,$NJ16)))=0,1,0)))</f>
        <v/>
      </c>
      <c r="NY16" s="164">
        <f>IF(OR($NO16=0,$NK16=""),0,IF((COUNTIF(INDEX($EL$2:$EP$13,$MO16,0),$NK16)+COUNTIF(INDEX($QV$2:$QY$13,$MO16,0),$NK16))=0,1,0))</f>
        <v/>
      </c>
      <c r="NZ16" s="164">
        <f>IF(OR($NP16=0,$NL16=""),0,IF((COUNTIF(INDEX($EL$2:$EP$13,$MO16,0),$NL16)+COUNTIF(INDEX($QV$2:$QY$13,$MO16,0),$NL16))=0,1,0))</f>
        <v/>
      </c>
      <c r="OA16" s="164">
        <f>IF(OR($NQ16=0,$NM16=""),0,IF((COUNTIF(INDEX($EL$2:$EP$13,$MO16,0),$NM16)+COUNTIF(INDEX($QV$2:$QY$13,$MO16,0),$NM16))=0,1,0))</f>
        <v/>
      </c>
      <c r="OB16" s="164">
        <f>IF(OR($NR16=0,$NN16=""),0,IF((COUNTIF(INDEX($EL$2:$EP$13,$MO16,0),$NN16)+COUNTIF(INDEX($QV$2:$QY$13,$MO16,0),$NN16))=0,1,0))</f>
        <v/>
      </c>
      <c r="OC16" s="164">
        <f>IFERROR(VLOOKUP(SUBSTITUTE(SUBSTITUTE(SUBSTITUTE($MX16,"~","~~"),"*","~*"),"?","~?"),'DADOS_MELHORIAS'!$AG$2:$AL$113,4,FALSE),0)+IFERROR(VLOOKUP(SUBSTITUTE(SUBSTITUTE(SUBSTITUTE($MY16,"~","~~"),"*","~*"),"?","~?"),'DADOS_MELHORIAS'!$AG$2:$AL$113,4,FALSE),0)+IFERROR(VLOOKUP(SUBSTITUTE(SUBSTITUTE(SUBSTITUTE($MZ16,"~","~~"),"*","~*"),"?","~?"),'DADOS_MELHORIAS'!$AG$2:$AL$113,4,FALSE),0)+IFERROR(VLOOKUP(SUBSTITUTE(SUBSTITUTE(SUBSTITUTE($NA16,"~","~~"),"*","~*"),"?","~?"),'DADOS_MELHORIAS'!$AG$2:$AL$113,4,FALSE),0)</f>
        <v/>
      </c>
      <c r="OD16" s="164">
        <f>IFERROR(VLOOKUP(SUBSTITUTE(SUBSTITUTE(SUBSTITUTE($MX16,"~","~~"),"*","~*"),"?","~?"),'DADOS_MELHORIAS'!$AG$2:$AL$113,6,FALSE),0)+IFERROR(VLOOKUP(SUBSTITUTE(SUBSTITUTE(SUBSTITUTE($MY16,"~","~~"),"*","~*"),"?","~?"),'DADOS_MELHORIAS'!$AG$2:$AL$113,6,FALSE),0)+IFERROR(VLOOKUP(SUBSTITUTE(SUBSTITUTE(SUBSTITUTE($MZ16,"~","~~"),"*","~*"),"?","~?"),'DADOS_MELHORIAS'!$AG$2:$AL$113,6,FALSE),0)+IFERROR(VLOOKUP(SUBSTITUTE(SUBSTITUTE(SUBSTITUTE($NA16,"~","~~"),"*","~*"),"?","~?"),'DADOS_MELHORIAS'!$AG$2:$AL$113,6,FALSE),0)+IFERROR(N(AND(INDEX('DADOS_FORMAS'!$AO$2:$AO$21,MATCH(SUBSTITUTE(SUBSTITUTE(SUBSTITUTE($MU16,"~","~~"),"*","~*"),"?","~?"),'DADOS_FORMAS'!$AH$2:$AH$21,0))="Acerto",$OH16=1)),0)</f>
        <v/>
      </c>
      <c r="OE16" s="164">
        <f>TEXTJOIN(", ",TRUE,IF(IFERROR(VLOOKUP(SUBSTITUTE(SUBSTITUTE(SUBSTITUTE($MX16,"~","~~"),"*","~*"),"?","~?"),'DADOS_MELHORIAS'!$AG$2:$AL$113,5,FALSE),0)=1,$MX16,""),IF(IFERROR(VLOOKUP(SUBSTITUTE(SUBSTITUTE(SUBSTITUTE($MY16,"~","~~"),"*","~*"),"?","~?"),'DADOS_MELHORIAS'!$AG$2:$AL$113,5,FALSE),0)=1,$MY16,""),IF(IFERROR(VLOOKUP(SUBSTITUTE(SUBSTITUTE(SUBSTITUTE($MZ16,"~","~~"),"*","~*"),"?","~?"),'DADOS_MELHORIAS'!$AG$2:$AL$113,5,FALSE),0)=1,$MZ16,""),IF(IFERROR(VLOOKUP(SUBSTITUTE(SUBSTITUTE(SUBSTITUTE($NA16,"~","~~"),"*","~*"),"?","~?"),'DADOS_MELHORIAS'!$AG$2:$AL$113,5,FALSE),0)=1,$NA16,""))</f>
        <v/>
      </c>
      <c r="OF16" s="164">
        <f>IF($NJ16=0,0,INDEX('DADOS_FORMAS'!$GC$2:$GC$21,$NJ16))</f>
        <v/>
      </c>
      <c r="OG16" s="164">
        <f>IF($NJ16=0,0,INDEX('DADOS_FORMAS'!$GD$2:$GD$21,$NJ16))</f>
        <v/>
      </c>
      <c r="OH16" s="164">
        <f>IF($NJ16=0,0,INDEX('DADOS_FORMAS'!$GF$2:$GF$21,$NJ16))</f>
        <v/>
      </c>
      <c r="OI16" s="164">
        <f>IFERROR(VLOOKUP(SUBSTITUTE(SUBSTITUTE(SUBSTITUTE($NB16,"~","~~"),"*","~*"),"?","~?"),'DADOS_RESTRICOES'!$M$2:$Q$54,3,FALSE),0)</f>
        <v/>
      </c>
      <c r="OJ16" s="164">
        <f>IFERROR(VLOOKUP(SUBSTITUTE(SUBSTITUTE(SUBSTITUTE($NC16,"~","~~"),"*","~*"),"?","~?"),'DADOS_RESTRICOES'!$M$2:$Q$54,3,FALSE),0)</f>
        <v/>
      </c>
      <c r="OK16" s="164">
        <f>IFERROR(VLOOKUP(SUBSTITUTE(SUBSTITUTE(SUBSTITUTE($NB16,"~","~~"),"*","~*"),"?","~?"),'DADOS_RESTRICOES'!$M$2:$Q$54,2,FALSE),"")</f>
        <v/>
      </c>
      <c r="OL16" s="164">
        <f>IFERROR(VLOOKUP(SUBSTITUTE(SUBSTITUTE(SUBSTITUTE($NC16,"~","~~"),"*","~*"),"?","~?"),'DADOS_RESTRICOES'!$M$2:$Q$54,2,FALSE),"")</f>
        <v/>
      </c>
      <c r="OM16" s="164">
        <f>COUNTIF($NS16:$NW16,1)</f>
        <v/>
      </c>
      <c r="ON16" s="164">
        <f>COUNTIF($NS16:$NW16,2)</f>
        <v/>
      </c>
      <c r="OO16" s="164">
        <f>COUNTIF($NS16:$NW16,3)</f>
        <v/>
      </c>
      <c r="OP16" s="164">
        <f>COUNTIF($NS16:$NW16,4)</f>
        <v/>
      </c>
      <c r="OQ16" s="164">
        <f>COUNTIF($NS16:$NW16,5)</f>
        <v/>
      </c>
      <c r="OR16" s="164">
        <f>COUNTIF($NS16:$NW16,6)</f>
        <v/>
      </c>
      <c r="OS16" s="164">
        <f>COUNTIF($OI16:$OJ16,1)+IF(IFERROR(INDEX('DADOS_FORMAS'!$AS$2:$AS$21,MATCH(SUBSTITUTE(SUBSTITUTE(SUBSTITUTE($MU16,"~","~~"),"*","~*"),"?","~?"),'DADOS_FORMAS'!$AH$2:$AH$21,0)),"")="",0,IFERROR(N(VLOOKUP(SUBSTITUTE(SUBSTITUTE(SUBSTITUTE(IFERROR(INDEX('DADOS_FORMAS'!$AS$2:$AS$21,MATCH(SUBSTITUTE(SUBSTITUTE(SUBSTITUTE($MU16,"~","~~"),"*","~*"),"?","~?"),'DADOS_FORMAS'!$AH$2:$AH$21,0)),""),"~","~~"),"*","~*"),"?","~?"),'DADOS_RESTRICOES'!$M$2:$Q$54,3,FALSE)=1),0))</f>
        <v/>
      </c>
      <c r="OT16" s="164">
        <f>COUNTIF($OI16:$OJ16,2)+IF(IFERROR(INDEX('DADOS_FORMAS'!$AS$2:$AS$21,MATCH(SUBSTITUTE(SUBSTITUTE(SUBSTITUTE($MU16,"~","~~"),"*","~*"),"?","~?"),'DADOS_FORMAS'!$AH$2:$AH$21,0)),"")="",0,IFERROR(N(VLOOKUP(SUBSTITUTE(SUBSTITUTE(SUBSTITUTE(IFERROR(INDEX('DADOS_FORMAS'!$AS$2:$AS$21,MATCH(SUBSTITUTE(SUBSTITUTE(SUBSTITUTE($MU16,"~","~~"),"*","~*"),"?","~?"),'DADOS_FORMAS'!$AH$2:$AH$21,0)),""),"~","~~"),"*","~*"),"?","~?"),'DADOS_RESTRICOES'!$M$2:$Q$54,3,FALSE)=2),0))</f>
        <v/>
      </c>
      <c r="OU16" s="164">
        <f>COUNTIF($MX16:$NA16,"?*")</f>
        <v/>
      </c>
      <c r="OV16" s="164">
        <f>COUNTIF($NB16:$NC16,"?*")+$OF16</f>
        <v/>
      </c>
      <c r="OW16" s="164">
        <f>IF($MS16=0,0,SUMPRODUCT($OM16:$OR16,INDEX($I$2:$N$8,MAX(1,$MS16),0)))</f>
        <v/>
      </c>
      <c r="OX16" s="164">
        <f>IF($MS16=0,0,$OS16*CEILING($MS16/2,1)+$OT16*$MS16)</f>
        <v/>
      </c>
      <c r="OY16" s="164">
        <f>MIN(2*$MS16,$OX16)</f>
        <v/>
      </c>
      <c r="OZ16" s="164">
        <f>MIN($OY16,$OW16-IF($NS16=0,0,INDEX($I$2:$N$8,MAX(1,$MS16),$NS16)))</f>
        <v/>
      </c>
      <c r="PA16" s="164">
        <f>$OY16-$OZ16</f>
        <v/>
      </c>
      <c r="PB16" s="164">
        <f>IF($MS16=0,0,INDEX($P$2:$P$8,MAX(1,$MS16)))</f>
        <v/>
      </c>
      <c r="PC16" s="164">
        <f>$PB16-$OW16+$OZ16</f>
        <v/>
      </c>
      <c r="PD16" s="164">
        <f>IF($MS16=0,MAX(0,$NG16-IF(AND($OU16&gt;0,COUNTIF($NB16:$NC16,"?*")=0),1,0)),MAX(0,$PC16))</f>
        <v/>
      </c>
      <c r="PE16" s="164">
        <f>IF($MS16=0,0,(IF(COUNTIF($RK16:$RN16,"Salto")&gt;0,1,0)+IF(COUNTIF($RK16:$RN16,"Queima")&gt;0,1,0)+IF(COUNTIF($RK16:$RN16,"Estilhaço")&gt;0,1,0))*FLOOR($PD16/2,1))</f>
        <v/>
      </c>
      <c r="PF16" s="164">
        <f>MAX(0,2-SUMPRODUCT($OM16:$OR16,$I$2:$N$2)+MIN(2,$OS16*1+$OT16*1,SUMPRODUCT($OM16:$OR16,$I$2:$N$2)-IF($NS16=0,0,INDEX($I$2:$N$2,1,$NS16))))</f>
        <v/>
      </c>
      <c r="PG16" s="164">
        <f>MAX(0,4-SUMPRODUCT($OM16:$OR16,$I$3:$N$3)+MIN(4,$OS16*1+$OT16*2,SUMPRODUCT($OM16:$OR16,$I$3:$N$3)-IF($NS16=0,0,INDEX($I$3:$N$3,1,$NS16))))</f>
        <v/>
      </c>
      <c r="PH16" s="164">
        <f>MAX(0,6-SUMPRODUCT($OM16:$OR16,$I$4:$N$4)+MIN(6,$OS16*2+$OT16*3,SUMPRODUCT($OM16:$OR16,$I$4:$N$4)-IF($NS16=0,0,INDEX($I$4:$N$4,1,$NS16))))</f>
        <v/>
      </c>
      <c r="PI16" s="164">
        <f>MAX(0,9-SUMPRODUCT($OM16:$OR16,$I$5:$N$5)+MIN(8,$OS16*2+$OT16*4,SUMPRODUCT($OM16:$OR16,$I$5:$N$5)-IF($NS16=0,0,INDEX($I$5:$N$5,1,$NS16))))</f>
        <v/>
      </c>
      <c r="PJ16" s="164">
        <f>MAX(0,11-SUMPRODUCT($OM16:$OR16,$I$6:$N$6)+MIN(10,$OS16*3+$OT16*5,SUMPRODUCT($OM16:$OR16,$I$6:$N$6)-IF($NS16=0,0,INDEX($I$6:$N$6,1,$NS16))))</f>
        <v/>
      </c>
      <c r="PK16" s="164">
        <f>MAX(0,13-SUMPRODUCT($OM16:$OR16,$I$7:$N$7)+MIN(12,$OS16*3+$OT16*6,SUMPRODUCT($OM16:$OR16,$I$7:$N$7)-IF($NS16=0,0,INDEX($I$7:$N$7,1,$NS16))))</f>
        <v/>
      </c>
      <c r="PL16" s="164">
        <f>MAX(0,16-SUMPRODUCT($OM16:$OR16,$I$8:$N$8)+MIN(14,$OS16*4+$OT16*7,SUMPRODUCT($OM16:$OR16,$I$8:$N$8)-IF($NS16=0,0,INDEX($I$8:$N$8,1,$NS16))))</f>
        <v/>
      </c>
      <c r="PM16" s="164">
        <f>IF($OG16=2,3*$PF16&amp;" de vida temp.",IF($OG16=3,"sem dano",IF($PF16=0,IF($OG16=1,"sem cura","sem dano"),IF($OG16=1,"cura ","")&amp;$PF16&amp;"d8")))</f>
        <v/>
      </c>
      <c r="PN16" s="164">
        <f>IF($OG16=2,3*$PG16&amp;" de vida temp.",IF($OG16=3,"sem dano",IF($PG16=0,IF($OG16=1,"sem cura","sem dano"),IF($OG16=1,"cura ","")&amp;$PG16&amp;"d8")))</f>
        <v/>
      </c>
      <c r="PO16" s="164">
        <f>IF($OG16=2,3*$PH16&amp;" de vida temp.",IF($OG16=3,"sem dano",IF($PH16=0,IF($OG16=1,"sem cura","sem dano"),IF($OG16=1,"cura ","")&amp;$PH16&amp;"d8")))</f>
        <v/>
      </c>
      <c r="PP16" s="164">
        <f>IF($OG16=2,3*$PI16&amp;" de vida temp.",IF($OG16=3,"sem dano",IF($PI16=0,IF($OG16=1,"sem cura","sem dano"),IF($OG16=1,"cura ","")&amp;$PI16&amp;"d8")))</f>
        <v/>
      </c>
      <c r="PQ16" s="164">
        <f>IF($OG16=2,3*$PJ16&amp;" de vida temp.",IF($OG16=3,"sem dano",IF($PJ16=0,IF($OG16=1,"sem cura","sem dano"),IF($OG16=1,"cura ","")&amp;$PJ16&amp;"d8")))</f>
        <v/>
      </c>
      <c r="PR16" s="164">
        <f>IF($OG16=2,3*$PK16&amp;" de vida temp.",IF($OG16=3,"sem dano",IF($PK16=0,IF($OG16=1,"sem cura","sem dano"),IF($OG16=1,"cura ","")&amp;$PK16&amp;"d8")))</f>
        <v/>
      </c>
      <c r="PS16" s="164">
        <f>IF($OG16=2,3*$PL16&amp;" de vida temp.",IF($OG16=3,"sem dano",IF($PL16=0,IF($OG16=1,"sem cura","sem dano"),IF($OG16=1,"cura ","")&amp;$PL16&amp;"d8")))</f>
        <v/>
      </c>
      <c r="PT16" s="164">
        <f>IF($ND16=0,"",TEXTJOIN(" · ",TRUE,IF($ND16=0,"",TEXTJOIN(" · ",TRUE,IF($ND16=0,"",TEXTJOIN(" · ",TRUE,IF($MQ16&gt;$NE16,"Este lugar abre no nível "&amp;$MQ16,""),IF($MS16&gt;$NF16,"Classe "&amp;$MS16&amp;": o nível "&amp;$NE16&amp;" libera até a "&amp;$NF16,""),IF($NX16=1,"A Forma "&amp;$MU16&amp;" pede "&amp;INDEX('DADOS_FORMAS'!$GA$2:$GA$21,$NJ16)&amp;" aberta",""),IF(AND($MS16=0,$NJ16&gt;0,IF($NJ16=0,0,INDEX('DADOS_FORMAS'!$GJ$2:$GJ$21,$NJ16))=0),$MU16&amp;" não existe na Classe 0",""),IF($NY16=1,"Família Fechada: "&amp;$MX16,""),IF($NZ16=1,"Família Fechada: "&amp;$MY16,""),IF($OA16=1,"Família Fechada: "&amp;$MZ16,""),IF($OB16=1,"Família Fechada: "&amp;$NA16,""),IF(AND($MS16&gt;0,$OU16&gt;INDEX($O$2:$O$8,MAX(1,$MS16))),$OU16&amp;" Melhorias: a Classe "&amp;$MS16&amp;" aceita "&amp;INDEX($O$2:$O$8,MAX(1,$MS16)),""),IF(AND($MS16=0,$OU16&gt;1),"A básica aceita uma Melhoria",""),IF(AND($MS16=0,COUNTIF($NO16:$NR16,"&gt;1")&gt;0),"A básica só aceita Melhoria Leve",""),IF(AND($MS16&gt;0,$OV16&gt;2),$OV16&amp;" Restrições"&amp;IF($OF16=1,", contando a que a Forma "&amp;$MU16&amp;" já traz","")&amp;": o limite é 2",""),IF(AND($MS16=0,COUNTIF($NB16:$NC16,"?*")&gt;1),"A básica aceita uma Restrição Leve",""),IF(AND($MS16=0,COUNTIF($OI16:$OJ16,2)&gt;0),"A básica só aceita Restrição Leve",""),IF(AND($MS16&gt;0,$PC16&lt;0),"Orçamento estourado: faltam "&amp;(-$PC16)&amp;IF($PC16&lt;-1," pontos"," ponto"),""),IF(IFERROR(VLOOKUP(SUBSTITUTE(SUBSTITUTE(SUBSTITUTE($NB16,"~","~~"),"*","~*"),"?","~?"),'DADOS_RESTRICOES'!$M$2:$Q$54,4,FALSE),0)+IFERROR(VLOOKUP(SUBSTITUTE(SUBSTITUTE(SUBSTITUTE($NC16,"~","~~"),"*","~*"),"?","~?"),'DADOS_RESTRICOES'!$M$2:$Q$54,4,FALSE),0)&gt;1,$OK16&amp;" e "&amp;$OL16&amp;" são as duas de frequência",""),IF(AND((COUNTIF($RK16:$RN16,"Rápido")+COUNTIF($OK16:$OL16,"Rápido"))&gt;0,(COUNTIF($MX16:$NA16,"Atrasar")+COUNTIF($OK16:$OL16,"Atrasar"))&gt;0),"Rápido não entra com Atrasar",""),IF(AND((COUNTIF($RK16:$RN16,"Reação")+COUNTIF($OK16:$OL16,"Reação"))&gt;0,(COUNTIF($RK16:$RN16,"Rápido")+COUNTIF($OK16:$OL16,"Rápido"))&gt;0),"Reação não entra com Rápido",""),IF(AND((COUNTIF($RK16:$RN16,"Reação")+COUNTIF($OK16:$OL16,"Reação"))&gt;0,(COUNTIF($RK16:$RN16,"Armado")+COUNTIF($OK16:$OL16,"Armado"))&gt;0),"Reação não entra com Armado",""),IF(AND((COUNTIF($RK16:$RN16,"Reação")+COUNTIF($OK16:$OL16,"Reação"))&gt;0,(COUNTIF($MX16:$NA16,"Atrasar")+COUNTIF($OK16:$OL16,"Atrasar"))&gt;0),"Reação não entra com Atrasar",""),IF(AND((COUNTIF($RK16:$RN16,"Reação")+COUNTIF($OK16:$OL16,"Reação"))&gt;0,(COUNTIF($MX16:$NA16,"Parado")+COUNTIF($OK16:$OL16,"Parado"))&gt;0),"Reação não entra com Parado",""),IF(AND((COUNTIF($MX16:$NA16,"Atrasar")+COUNTIF($OK16:$OL16,"Atrasar"))&gt;0,(COUNTIF($MX16:$NA16,"Parado")+COUNTIF($OK16:$OL16,"Parado"))&gt;0),"Atrasar não entra com Parado",""),IF(AND((COUNTIF($RK16:$RN16,"Armado")+COUNTIF($OK16:$OL16,"Armado"))&gt;0,(COUNTIF($MX16:$NA16,"Carregar")+COUNTIF($OK16:$OL16,"Carregar"))&gt;0),"Armado não entra com Carregar",""),IF(AND(COUNTIF($OK16:$OL16,"Corpo a Corpo")&gt;0,$OF16=0,OR($RO16="Cone",$RO16="Linha")),"Corpo a Corpo não entra em "&amp;$MU16,""),IF(AND(COUNTIF($OK16:$OL16,"Corpo a Corpo")&gt;0,$RP16="Corpo a Corpo"),"A Forma "&amp;$MU16&amp;" já traz o Corpo a Corpo",""),IF(AND(COUNTIF($OK16:$OL16,"Tudo ou Nada")&gt;0,$OH16=0),"Tudo ou Nada só entra em habilidade de Teste de Resistência",""),IF(AND(COUNTIF($RK16:$RN16,"Inescapável")&gt;0,OR($OU16&gt;1,$OV16&gt;0)),"Inescapável não aceita outra peça",""),IF(AND($MS16&gt;0,$PD16*IF(COUNTIF($RK16:$RN16,"Remate")&gt;0,1.25,1)+$PE16&gt;4*$MS16),($PD16*IF(COUNTIF($RK16:$RN16,"Remate")&gt;0,1.25,1)+$PE16)&amp;" dados somando repetições"&amp;IF(COUNTIF($RK16:$RN16,"Remate")&gt;0," e o Remate","")&amp;": o teto da Classe "&amp;$MS16&amp;" é "&amp;4*$MS16,""))),IF(AND($MX16&lt;&gt;"",COUNTIF('DADOS_MELHORIAS'!$O$2:$O$113,SUBSTITUTE(SUBSTITUTE(SUBSTITUTE($MX16,"~","~~"),"*","~*"),"?","~?"))=0),"Melhoria não cadastrada ou com erro: "&amp;$MX16,""),IF(AND($MY16&lt;&gt;"",COUNTIF('DADOS_MELHORIAS'!$O$2:$O$113,SUBSTITUTE(SUBSTITUTE(SUBSTITUTE($MY16,"~","~~"),"*","~*"),"?","~?"))=0),"Melhoria não cadastrada ou com erro: "&amp;$MY16,""),IF(AND($MZ16&lt;&gt;"",COUNTIF('DADOS_MELHORIAS'!$O$2:$O$113,SUBSTITUTE(SUBSTITUTE(SUBSTITUTE($MZ16,"~","~~"),"*","~*"),"?","~?"))=0),"Melhoria não cadastrada ou com erro: "&amp;$MZ16,""),IF(AND($NA16&lt;&gt;"",COUNTIF('DADOS_MELHORIAS'!$O$2:$O$113,SUBSTITUTE(SUBSTITUTE(SUBSTITUTE($NA16,"~","~~"),"*","~*"),"?","~?"))=0),"Melhoria não cadastrada ou com erro: "&amp;$NA16,""),IF(AND($NB16&lt;&gt;"",COUNTIF('DADOS_RESTRICOES'!$M$2:$M$54,SUBSTITUTE(SUBSTITUTE(SUBSTITUTE($NB16,"~","~~"),"*","~*"),"?","~?"))=0),"Restrição não cadastrada ou com erro: "&amp;$NB16,""),IF(AND($NC16&lt;&gt;"",COUNTIF('DADOS_RESTRICOES'!$M$2:$M$54,SUBSTITUTE(SUBSTITUTE(SUBSTITUTE($NC16,"~","~~"),"*","~*"),"?","~?"))=0),"Restrição não cadastrada ou com erro: "&amp;$NC16,""))),IF(AND($MU16&lt;&gt;"",COUNTIF('DADOS_FORMAS'!$AH$2:$AH$21,SUBSTITUTE(SUBSTITUTE(SUBSTITUTE($MU16,"~","~~"),"*","~*"),"?","~?"))=0),"Forma não cadastrada ou com erro: "&amp;$MU16,""),IF(AND(IFERROR(INDEX('DADOS_FORMAS'!$AS$2:$AS$21,MATCH(SUBSTITUTE(SUBSTITUTE(SUBSTITUTE($MU16,"~","~~"),"*","~*"),"?","~?"),'DADOS_FORMAS'!$AH$2:$AH$21,0)),"")&lt;&gt;"",OR(IFERROR(VLOOKUP(SUBSTITUTE(SUBSTITUTE(SUBSTITUTE(IFERROR(INDEX('DADOS_FORMAS'!$AS$2:$AS$21,MATCH(SUBSTITUTE(SUBSTITUTE(SUBSTITUTE($MU16,"~","~~"),"*","~*"),"?","~?"),'DADOS_FORMAS'!$AH$2:$AH$21,0)),""),"~","~~"),"*","~*"),"?","~?"),'DADOS_RESTRICOES'!$M$2:$Q$54,2,FALSE),"")=$OK16,IFERROR(VLOOKUP(SUBSTITUTE(SUBSTITUTE(SUBSTITUTE(IFERROR(INDEX('DADOS_FORMAS'!$AS$2:$AS$21,MATCH(SUBSTITUTE(SUBSTITUTE(SUBSTITUTE($MU16,"~","~~"),"*","~*"),"?","~?"),'DADOS_FORMAS'!$AH$2:$AH$21,0)),""),"~","~~"),"*","~*"),"?","~?"),'DADOS_RESTRICOES'!$M$2:$Q$54,2,FALSE),"")=$OL16)),"Restrição repetida, contando a embutida",""),IF(IF(IFERROR(INDEX('DADOS_FORMAS'!$AS$2:$AS$21,MATCH(SUBSTITUTE(SUBSTITUTE(SUBSTITUTE($MU16,"~","~~"),"*","~*"),"?","~?"),'DADOS_FORMAS'!$AH$2:$AH$21,0)),"")="",0,IFERROR(N(VLOOKUP(SUBSTITUTE(SUBSTITUTE(SUBSTITUTE(IFERROR(INDEX('DADOS_FORMAS'!$AS$2:$AS$21,MATCH(SUBSTITUTE(SUBSTITUTE(SUBSTITUTE($MU16,"~","~~"),"*","~*"),"?","~?"),'DADOS_FORMAS'!$AH$2:$AH$21,0)),""),"~","~~"),"*","~*"),"?","~?"),'DADOS_RESTRICOES'!$M$2:$Q$54,4,FALSE)=1),0))+IF($NB16="",0,IFERROR(N(VLOOKUP(SUBSTITUTE(SUBSTITUTE(SUBSTITUTE($NB16,"~","~~"),"*","~*"),"?","~?"),'DADOS_RESTRICOES'!$M$2:$Q$54,4,FALSE)=1),0))+IF($NC16="",0,IFERROR(N(VLOOKUP(SUBSTITUTE(SUBSTITUTE(SUBSTITUTE($NC16,"~","~~"),"*","~*"),"?","~?"),'DADOS_RESTRICOES'!$M$2:$Q$54,4,FALSE)=1),0))&gt;1,"Duas Restrições de frequência, contando a embutida",""),IF(AND(IFERROR(VLOOKUP(SUBSTITUTE(SUBSTITUTE(SUBSTITUTE(IFERROR(INDEX('DADOS_FORMAS'!$AS$2:$AS$21,MATCH(SUBSTITUTE(SUBSTITUTE(SUBSTITUTE($MU16,"~","~~"),"*","~*"),"?","~?"),'DADOS_FORMAS'!$AH$2:$AH$21,0)),""),"~","~~"),"*","~*"),"?","~?"),'DADOS_RESTRICOES'!$M$2:$Q$54,2,FALSE),"")="Tudo ou Nada",$OH16=0),"Tudo ou Nada exige TR",""),IF(AND(IFERROR(VLOOKUP(SUBSTITUTE(SUBSTITUTE(SUBSTITUTE(IFERROR(INDEX('DADOS_FORMAS'!$AS$2:$AS$21,MATCH(SUBSTITUTE(SUBSTITUTE(SUBSTITUTE($MU16,"~","~~"),"*","~*"),"?","~?"),'DADOS_FORMAS'!$AH$2:$AH$21,0)),""),"~","~~"),"*","~*"),"?","~?"),'DADOS_RESTRICOES'!$M$2:$Q$54,2,FALSE),"")="Corpo a Corpo",OR($RO16="Cone",$RO16="Linha")),"Corpo a Corpo não entra em Cone/Linha","")))</f>
        <v/>
      </c>
      <c r="PU16" s="164">
        <f>IF($PT16="",0,(LEN($PT16)-LEN(SUBSTITUTE($PT16," · ","")))/3+1)</f>
        <v/>
      </c>
      <c r="PV16" s="164">
        <f>IF($ND16=0,"",TEXTJOIN(" · ",TRUE,IF($OX16&gt;2*$MS16,"A devolução parou no teto de "&amp;2*$MS16,""),IF($PA16&gt;0,"Devolução perdida: "&amp;$PA16&amp;IF($PA16&gt;1," pontos"," ponto")&amp;" sem Melhoria para pagar",""),IF(AND($OC16&gt;0,AND($MS16&gt;0,$OG16=0),$PD16=0),"Controle sem dano: uma rodada a mais e CD +2",""),IF(AND($OC16&gt;0,AND($MS16&gt;0,$OG16=0),$PD16&gt;0,$PD16&lt;=$MS16),"Controle com saldo até a Classe: uma rodada a mais",""),IF(AND($MS16&gt;0,$OE16&lt;&gt;""),"Efeito de "&amp;$OE16&amp;" pela Classe "&amp;MAX(1,$MS16-1),"")))</f>
        <v/>
      </c>
      <c r="PW16" s="164">
        <f>IF($PV16="",0,(LEN($PV16)-LEN(SUBSTITUTE($PV16," · ","")))/3+1)</f>
        <v/>
      </c>
      <c r="PX16" s="164">
        <f>IF($ND16=0,IF($OU16+COUNTIF($NB16:$NC16,"?*")&gt;0,"Dê um nome",""),IF($PU16&gt;0,"⚠ "&amp;$PU16&amp;IF($PU16&gt;1," erros"," erro"),IF($PW16&gt;0,"! "&amp;$PW16&amp;IF($PW16&gt;1," avisos"," aviso"),"Na regra")))</f>
        <v/>
      </c>
      <c r="PY16" s="164">
        <f>IF($ND16=0,"",IF($PU16+$PW16=0,"Dentro das regras que a ficha confere",$PT16&amp;IF(AND($PU16&gt;0,$PW16&gt;0)," · ","")&amp;$PV16))</f>
        <v/>
      </c>
      <c r="PZ16" s="164">
        <f>IF($MQ16&gt;$NE16,$MR16&amp;" · ABRE NO NÍVEL "&amp;$MQ16,$MR16)</f>
        <v/>
      </c>
      <c r="QA16" s="164">
        <f>IF($ND16=0,"",IF($MS16=0,"Sem PE",3*$MS16&amp;" PE"))</f>
        <v/>
      </c>
      <c r="QB16" s="164">
        <f>IF($ND16=0,"",IF($MS16=0,"A atuação básica dela",IF(COUNTIF($RQ16:$RS16,"Atrasar")&gt;0,"Sua Ação Completa",IF(COUNTIF($RK16:$RN16,"Rápido")&gt;0,"Sua Bônus",IF(COUNTIF($RK16:$RN16,"Reação")&gt;0,"Sua Reação","Sua Padrão")))&amp;" + a básica dela"&amp;IF(COUNTIF($RK16:$RN16,"Reação")&gt;0," e a coletiva","")&amp;IF(COUNTIF($RQ16:$RS16,"Carregar")&gt;0," · em dois turnos","")))</f>
        <v/>
      </c>
      <c r="QC16" s="164">
        <f>IF($MW16&lt;&gt;"",$MW16,IF($NJ16=0,"",INDEX('DADOS_FORMAS'!$GE$2:$GE$21,$NJ16)))</f>
        <v/>
      </c>
      <c r="QD16" s="164">
        <f>IF(OR($ND16=0,$NJ16=0),"",IF(COUNTIF($RK16:$RN16,"Inescapável")&gt;0,"Automático",IF($QC16="Ataque",IF($NH16="","Ataque","Ataque "&amp;IF(($NH16+2*IF(COUNTIF($RK16:$RN16,"Precisão")&gt;0,1,0))&gt;=0,"+","−")&amp;ABS(($NH16+2*IF(COUNTIF($RK16:$RN16,"Precisão")&gt;0,1,0))))&amp;IF($OD16&gt;0," · TR"&amp;IF($NI16="",""," CD "&amp;$NI16),""),IF(LEFT($QC16,2)="TR",$QC16&amp;IF($NI16="",""," · CD "&amp;$NI16)&amp;IF(COUNTIF($RK16:$RN16,"Certeiro")&gt;0," · metade",""),"Sem rolagem"))))</f>
        <v/>
      </c>
      <c r="QE16" s="164">
        <f>IF(OR($ND16=0,$NJ16=0),"",IF($MS16=0,IF(OR($OG16&gt;=1,$PD16=0),"Sem dano",$PD16&amp;"d6"&amp;IF($MV16="",""," "&amp;$MV16)),IF(OR($OG16&gt;=1,$PD16=0),UPPER(LEFT(INDEX($PM16:$PS16,1,MAX(1,$MS16)),1))&amp;MID(INDEX($PM16:$PS16,1,MAX(1,$MS16)),2,99),UPPER(LEFT(INDEX($PM16:$PS16,1,MAX(1,$MS16)),1))&amp;MID(INDEX($PM16:$PS16,1,MAX(1,$MS16)),2,99)&amp;IF($MV16="",""," "&amp;$MV16)&amp;IF($PE16&gt;0," · +"&amp;$PE16&amp;"d8",""))))</f>
        <v/>
      </c>
      <c r="QF16" s="164">
        <f>COUNTIF($RK16:$RN16,"Longe")+3*COUNTIF($RK16:$RN16,"Muito Longe")</f>
        <v/>
      </c>
      <c r="QG16" s="164">
        <f>COUNTIF($RK16:$RN16,"Maior")+3*COUNTIF($RK16:$RN16,"Muito Maior")</f>
        <v/>
      </c>
      <c r="QH16" s="164">
        <f>IF($NJ16=0,0,CHOOSE(1+INDEX('DADOS_FORMAS'!$GG$2:$GG$21,$NJ16),0,$QF16,$QG16,$QF16+$QG16))</f>
        <v/>
      </c>
      <c r="QI16" s="164">
        <f>IF($NJ16=0,0,CHOOSE(1+INDEX('DADOS_FORMAS'!$GH$2:$GH$21,$NJ16),0,$QF16,$QG16,$QF16+$QG16))</f>
        <v/>
      </c>
      <c r="QJ16" s="164">
        <f>IF(OR($ND16=0,$NJ16=0),"",INDEX('DADOS_FORMAS'!$HU$2:$HZ$81,($NJ16-1)*4+IF($MS16=0,1,IF($MS16&lt;=5,2,IF($MS16=6,3,4))),1+MIN(5,$QH16))&amp;INDEX('DADOS_FORMAS'!$IA$2:$IF$81,($NJ16-1)*4+IF($MS16=0,1,IF($MS16&lt;=5,2,IF($MS16=6,3,4))),1+MIN(5,$QI16))&amp;IF(INDEX('DADOS_FORMAS'!$GI$2:$GI$21,$NJ16)=1,IF(COUNTIF($RK16:$RN16,"Mais Um")&gt;0," · +"&amp;COUNTIF($RK16:$RN16,"Mais Um")&amp;IF(COUNTIF($RK16:$RN16,"Mais Um")&gt;1," alvos"," alvo"),"")&amp;IF(COUNTIF($RK16:$RN16,"Rajada")&gt;0,IF($MS16=0," · 1 tiro"," · "&amp;(MAX(1,$MS16-1)+1)&amp;" tiros"),""),""))</f>
        <v/>
      </c>
      <c r="QK16" s="164">
        <f>IF($ND16=0,"",IF($MS16=0,$NG16&amp;"d6"&amp;IF($OU16&gt;0," − 1 = "&amp;$PD16&amp;"d6"," da básica do nível "&amp;$NE16),$PB16&amp;" − "&amp;$OW16&amp;" + "&amp;$OZ16&amp;" = "&amp;$PC16&amp;" · teto "&amp;4*$MS16&amp;"d8"&amp;IF($OF16=1," · a Forma devolve "&amp;$MS16,"")&amp;IF($PA16&gt;0," · perde "&amp;$PA16,"")))</f>
        <v/>
      </c>
      <c r="QL16" s="164">
        <f>IF($ND16=0,"",IF($MS16=0,"A básica não amplia: os dados dela sobem com o nível",IF($MS16&gt;=$NF16,"Já está na maior Classe que o nível liberou",TEXTJOIN(" · ",TRUE,IF(AND(2&gt;$MS16,2&lt;=$NF16),"2 → "&amp;$PN16&amp;", 6 PE",""),IF(AND(3&gt;$MS16,3&lt;=$NF16),"3 → "&amp;$PO16&amp;", 9 PE",""),IF(AND(4&gt;$MS16,4&lt;=$NF16),"4 → "&amp;$PP16&amp;", 12 PE",""),IF(AND(5&gt;$MS16,5&lt;=$NF16),"5 → "&amp;$PQ16&amp;", 15 PE",""),IF(AND(6&gt;$MS16,6&lt;=$NF16),"6 → "&amp;$PR16&amp;", 18 PE",""),IF(AND(7&gt;$MS16,7&lt;=$NF16),"7 → "&amp;$PS16&amp;", 21 PE","")))))</f>
        <v/>
      </c>
      <c r="QM16" s="164">
        <f>IF(OR($ND16=0,$NO16=0),"",IF($MS16=0,"−1 dado","−"&amp;INDEX($I$2:$N$8,MAX(1,$MS16),MAX(1,$NT16))&amp;" · "&amp;CHOOSE(MAX(1,$NT16),"Leve","Média","Pesada","Leve · Livre","Média · Livre","Pesada · Livre")))</f>
        <v/>
      </c>
      <c r="QN16" s="164">
        <f>IF(OR($ND16=0,$NP16=0),"",IF($MS16=0,"−1 dado","−"&amp;INDEX($I$2:$N$8,MAX(1,$MS16),MAX(1,$NU16))&amp;" · "&amp;CHOOSE(MAX(1,$NU16),"Leve","Média","Pesada","Leve · Livre","Média · Livre","Pesada · Livre")))</f>
        <v/>
      </c>
      <c r="QO16" s="164">
        <f>IF(OR($ND16=0,$NQ16=0),"",IF($MS16=0,"−1 dado","−"&amp;INDEX($I$2:$N$8,MAX(1,$MS16),MAX(1,$NV16))&amp;" · "&amp;CHOOSE(MAX(1,$NV16),"Leve","Média","Pesada","Leve · Livre","Média · Livre","Pesada · Livre")))</f>
        <v/>
      </c>
      <c r="QP16" s="164">
        <f>IF(OR($ND16=0,$NR16=0),"",IF($MS16=0,"−1 dado","−"&amp;INDEX($I$2:$N$8,MAX(1,$MS16),MAX(1,$NW16))&amp;" · "&amp;CHOOSE(MAX(1,$NW16),"Leve","Média","Pesada","Leve · Livre","Média · Livre","Pesada · Livre")))</f>
        <v/>
      </c>
      <c r="QQ16" s="164">
        <f>IF(OR($ND16=0,$NB16=""),"",IF($MS16=0,"não devolve","+"&amp;IF($OI16=1,CEILING($MS16/2,1),$MS16)))</f>
        <v/>
      </c>
      <c r="QR16" s="164">
        <f>IF(OR($ND16=0,$NC16=""),"",IF($MS16=0,"não devolve","+"&amp;IF($OJ16=1,CEILING($MS16/2,1),$MS16)))</f>
        <v/>
      </c>
      <c r="RK16">
        <f>IF($MX16="","",IFERROR(VLOOKUP(SUBSTITUTE(SUBSTITUTE(SUBSTITUTE($MX16,"~","~~"),"*","~*"),"?","~?"),'DADOS_MELHORIAS'!$O$2:$X$113,10,FALSE),$MX16))</f>
        <v/>
      </c>
      <c r="RL16">
        <f>IF($MY16="","",IFERROR(VLOOKUP(SUBSTITUTE(SUBSTITUTE(SUBSTITUTE($MY16,"~","~~"),"*","~*"),"?","~?"),'DADOS_MELHORIAS'!$O$2:$X$113,10,FALSE),$MY16))</f>
        <v/>
      </c>
      <c r="RM16">
        <f>IF($MZ16="","",IFERROR(VLOOKUP(SUBSTITUTE(SUBSTITUTE(SUBSTITUTE($MZ16,"~","~~"),"*","~*"),"?","~?"),'DADOS_MELHORIAS'!$O$2:$X$113,10,FALSE),$MZ16))</f>
        <v/>
      </c>
      <c r="RN16">
        <f>IF($NA16="","",IFERROR(VLOOKUP(SUBSTITUTE(SUBSTITUTE(SUBSTITUTE($NA16,"~","~~"),"*","~*"),"?","~?"),'DADOS_MELHORIAS'!$O$2:$X$113,10,FALSE),$NA16))</f>
        <v/>
      </c>
      <c r="RO16">
        <f>IFERROR(INDEX('DADOS_FORMAS'!$BJ$2:$BJ$21,MATCH(SUBSTITUTE(SUBSTITUTE(SUBSTITUTE($MU16,"~","~~"),"*","~*"),"?","~?"),'DADOS_FORMAS'!$AH$2:$AH$21,0)),"")</f>
        <v/>
      </c>
      <c r="RP16">
        <f>IFERROR(VLOOKUP(SUBSTITUTE(SUBSTITUTE(SUBSTITUTE(IFERROR(INDEX('DADOS_FORMAS'!$AS$2:$AS$21,MATCH(SUBSTITUTE(SUBSTITUTE(SUBSTITUTE($MU16,"~","~~"),"*","~*"),"?","~?"),'DADOS_FORMAS'!$AH$2:$AH$21,0)),""),"~","~~"),"*","~*"),"?","~?"),'DADOS_RESTRICOES'!$M$2:$Q$54,2,FALSE),"")</f>
        <v/>
      </c>
      <c r="RQ16">
        <f>$OK16</f>
        <v/>
      </c>
      <c r="RR16">
        <f>$OL16</f>
        <v/>
      </c>
      <c r="RS16">
        <f>$RP16</f>
        <v/>
      </c>
    </row>
    <row r="17">
      <c r="AH17" s="162" t="inlineStr">
        <is>
          <t>Aura · classe 7</t>
        </is>
      </c>
      <c r="AI17" s="162" t="inlineStr">
        <is>
          <t>Raio 4,5 m, nela</t>
        </is>
      </c>
      <c r="AJ17" s="162" t="inlineStr">
        <is>
          <t>Raio 6 m, nela</t>
        </is>
      </c>
      <c r="AK17" s="162" t="inlineStr">
        <is>
          <t>Raio 9 m, nela</t>
        </is>
      </c>
      <c r="AL17" s="162" t="inlineStr">
        <is>
          <t>Raio 15 m, nela</t>
        </is>
      </c>
      <c r="AM17" s="162" t="inlineStr">
        <is>
          <t>Raio 15 m, nela</t>
        </is>
      </c>
      <c r="AN17" s="162" t="inlineStr">
        <is>
          <t>Raio 15 m, nela</t>
        </is>
      </c>
      <c r="AO17" s="162" t="inlineStr"/>
      <c r="AP17" s="162" t="inlineStr"/>
      <c r="AQ17" s="162" t="inlineStr"/>
      <c r="AR17" s="162" t="inlineStr"/>
      <c r="AS17" s="162" t="inlineStr"/>
      <c r="AT17" s="162" t="inlineStr"/>
      <c r="AV17" s="162" t="inlineStr">
        <is>
          <t>Certeiro</t>
        </is>
      </c>
      <c r="AW17" s="162" t="inlineStr">
        <is>
          <t>Mira</t>
        </is>
      </c>
      <c r="AX17" s="164" t="n">
        <v>2</v>
      </c>
      <c r="AY17" s="164" t="n">
        <v>0</v>
      </c>
      <c r="AZ17" s="164" t="n">
        <v>0</v>
      </c>
      <c r="BA17" s="164" t="n">
        <v>0</v>
      </c>
      <c r="BC17" s="162" t="inlineStr">
        <is>
          <t>Condicional (Média)</t>
        </is>
      </c>
      <c r="BD17" s="162" t="inlineStr">
        <is>
          <t>Condicional</t>
        </is>
      </c>
      <c r="BE17" s="164" t="n">
        <v>2</v>
      </c>
      <c r="BF17" s="164" t="n">
        <v>1</v>
      </c>
      <c r="BG17" s="162" t="inlineStr"/>
      <c r="CC17" s="162" t="inlineStr">
        <is>
          <t>Tecnologia</t>
        </is>
      </c>
      <c r="CD17" s="162" t="inlineStr">
        <is>
          <t>Inteligência</t>
        </is>
      </c>
      <c r="JT17" s="164">
        <f>IF(OR($AW17="",(COUNTIF($EL$2:$EP$2,$AW17)+COUNTIF($QV$2:$QY$2,$AW17))&gt;0),$AV17,"")</f>
        <v/>
      </c>
      <c r="JU17" s="164">
        <f>IF(AND($AX17=1,OR($AW17="",(COUNTIF($EL$2:$EP$2,$AW17)+COUNTIF($QV$2:$QY$2,$AW17))&gt;0)),$AV17,"")</f>
        <v/>
      </c>
      <c r="JZ17" s="164">
        <f>IF(OR($AW17="",(COUNTIF($EL$3:$EP$3,$AW17)+COUNTIF($QV$3:$QY$3,$AW17))&gt;0),$AV17,"")</f>
        <v/>
      </c>
      <c r="KA17" s="164">
        <f>IF(AND($AX17=1,OR($AW17="",(COUNTIF($EL$3:$EP$3,$AW17)+COUNTIF($QV$3:$QY$3,$AW17))&gt;0)),$AV17,"")</f>
        <v/>
      </c>
      <c r="KF17" s="164">
        <f>IF(OR($AW17="",(COUNTIF($EL$4:$EP$4,$AW17)+COUNTIF($QV$4:$QY$4,$AW17))&gt;0),$AV17,"")</f>
        <v/>
      </c>
      <c r="KG17" s="164">
        <f>IF(AND($AX17=1,OR($AW17="",(COUNTIF($EL$4:$EP$4,$AW17)+COUNTIF($QV$4:$QY$4,$AW17))&gt;0)),$AV17,"")</f>
        <v/>
      </c>
      <c r="KL17" s="164">
        <f>IF(OR($AW17="",(COUNTIF($EL$5:$EP$5,$AW17)+COUNTIF($QV$5:$QY$5,$AW17))&gt;0),$AV17,"")</f>
        <v/>
      </c>
      <c r="KM17" s="164">
        <f>IF(AND($AX17=1,OR($AW17="",(COUNTIF($EL$5:$EP$5,$AW17)+COUNTIF($QV$5:$QY$5,$AW17))&gt;0)),$AV17,"")</f>
        <v/>
      </c>
      <c r="KR17" s="164">
        <f>IF(OR($AW17="",(COUNTIF($EL$6:$EP$6,$AW17)+COUNTIF($QV$6:$QY$6,$AW17))&gt;0),$AV17,"")</f>
        <v/>
      </c>
      <c r="KS17" s="164">
        <f>IF(AND($AX17=1,OR($AW17="",(COUNTIF($EL$6:$EP$6,$AW17)+COUNTIF($QV$6:$QY$6,$AW17))&gt;0)),$AV17,"")</f>
        <v/>
      </c>
      <c r="KX17" s="164">
        <f>IF(OR($AW17="",(COUNTIF($EL$7:$EP$7,$AW17)+COUNTIF($QV$7:$QY$7,$AW17))&gt;0),$AV17,"")</f>
        <v/>
      </c>
      <c r="KY17" s="164">
        <f>IF(AND($AX17=1,OR($AW17="",(COUNTIF($EL$7:$EP$7,$AW17)+COUNTIF($QV$7:$QY$7,$AW17))&gt;0)),$AV17,"")</f>
        <v/>
      </c>
      <c r="LD17" s="164">
        <f>IF(OR($AW17="",(COUNTIF($EL$8:$EP$8,$AW17)+COUNTIF($QV$8:$QY$8,$AW17))&gt;0),$AV17,"")</f>
        <v/>
      </c>
      <c r="LE17" s="164">
        <f>IF(AND($AX17=1,OR($AW17="",(COUNTIF($EL$8:$EP$8,$AW17)+COUNTIF($QV$8:$QY$8,$AW17))&gt;0)),$AV17,"")</f>
        <v/>
      </c>
      <c r="LJ17" s="164">
        <f>IF(OR($AW17="",(COUNTIF($EL$9:$EP$9,$AW17)+COUNTIF($QV$9:$QY$9,$AW17))&gt;0),$AV17,"")</f>
        <v/>
      </c>
      <c r="LK17" s="164">
        <f>IF(AND($AX17=1,OR($AW17="",(COUNTIF($EL$9:$EP$9,$AW17)+COUNTIF($QV$9:$QY$9,$AW17))&gt;0)),$AV17,"")</f>
        <v/>
      </c>
      <c r="LP17" s="164">
        <f>IF(OR($AW17="",(COUNTIF($EL$10:$EP$10,$AW17)+COUNTIF($QV$10:$QY$10,$AW17))&gt;0),$AV17,"")</f>
        <v/>
      </c>
      <c r="LQ17" s="164">
        <f>IF(AND($AX17=1,OR($AW17="",(COUNTIF($EL$10:$EP$10,$AW17)+COUNTIF($QV$10:$QY$10,$AW17))&gt;0)),$AV17,"")</f>
        <v/>
      </c>
      <c r="LV17" s="164">
        <f>IF(OR($AW17="",(COUNTIF($EL$11:$EP$11,$AW17)+COUNTIF($QV$11:$QY$11,$AW17))&gt;0),$AV17,"")</f>
        <v/>
      </c>
      <c r="LW17" s="164">
        <f>IF(AND($AX17=1,OR($AW17="",(COUNTIF($EL$11:$EP$11,$AW17)+COUNTIF($QV$11:$QY$11,$AW17))&gt;0)),$AV17,"")</f>
        <v/>
      </c>
      <c r="MB17" s="164">
        <f>IF(OR($AW17="",(COUNTIF($EL$12:$EP$12,$AW17)+COUNTIF($QV$12:$QY$12,$AW17))&gt;0),$AV17,"")</f>
        <v/>
      </c>
      <c r="MC17" s="164">
        <f>IF(AND($AX17=1,OR($AW17="",(COUNTIF($EL$12:$EP$12,$AW17)+COUNTIF($QV$12:$QY$12,$AW17))&gt;0)),$AV17,"")</f>
        <v/>
      </c>
      <c r="MH17" s="164">
        <f>IF(OR($AW17="",(COUNTIF($EL$13:$EP$13,$AW17)+COUNTIF($QV$13:$QY$13,$AW17))&gt;0),$AV17,"")</f>
        <v/>
      </c>
      <c r="MI17" s="164">
        <f>IF(AND($AX17=1,OR($AW17="",(COUNTIF($EL$13:$EP$13,$AW17)+COUNTIF($QV$13:$QY$13,$AW17))&gt;0)),$AV17,"")</f>
        <v/>
      </c>
      <c r="MN17" s="162" t="inlineStr">
        <is>
          <t>Ficha 2 · Especial 2</t>
        </is>
      </c>
      <c r="MO17" s="164" t="n">
        <v>2</v>
      </c>
      <c r="MP17" s="164" t="n">
        <v>1</v>
      </c>
      <c r="MQ17" s="164" t="n">
        <v>4</v>
      </c>
      <c r="MR17" s="162" t="inlineStr">
        <is>
          <t>ESPECIAL 2</t>
        </is>
      </c>
      <c r="MS17" s="164">
        <f>MAX(1,MIN(7,N('INVOCAÇÕES'!$U$282)))</f>
        <v/>
      </c>
      <c r="MT17" s="164">
        <f>'INVOCAÇÕES'!$V$282&amp;""</f>
        <v/>
      </c>
      <c r="MU17" s="164">
        <f>'INVOCAÇÕES'!$U$287&amp;""</f>
        <v/>
      </c>
      <c r="MV17" s="164">
        <f>'INVOCAÇÕES'!$U$288&amp;""</f>
        <v/>
      </c>
      <c r="MW17" s="164">
        <f>'INVOCAÇÕES'!$W$288&amp;""</f>
        <v/>
      </c>
      <c r="MX17" s="164">
        <f>'INVOCAÇÕES'!$V$291&amp;""</f>
        <v/>
      </c>
      <c r="MY17" s="164">
        <f>'INVOCAÇÕES'!$V$292&amp;""</f>
        <v/>
      </c>
      <c r="MZ17" s="164">
        <f>'INVOCAÇÕES'!$V$293&amp;""</f>
        <v/>
      </c>
      <c r="NA17" s="164">
        <f>'INVOCAÇÕES'!$V$294&amp;""</f>
        <v/>
      </c>
      <c r="NB17" s="164">
        <f>'INVOCAÇÕES'!$V$295&amp;""</f>
        <v/>
      </c>
      <c r="NC17" s="164">
        <f>'INVOCAÇÕES'!$V$296&amp;""</f>
        <v/>
      </c>
      <c r="ND17" s="164">
        <f>IF($MT17&lt;&gt;"",1,0)</f>
        <v/>
      </c>
      <c r="NE17" s="164">
        <f>INDEX($FO$2:$FO$13,$MO17)</f>
        <v/>
      </c>
      <c r="NF17" s="164">
        <f>INDEX($FP$2:$FP$13,$MO17)</f>
        <v/>
      </c>
      <c r="NG17" s="164">
        <f>INDEX($FQ$2:$FQ$13,$MO17)</f>
        <v/>
      </c>
      <c r="NH17" s="164">
        <f>INDEX($GB$2:$GB$13,$MO17)</f>
        <v/>
      </c>
      <c r="NI17" s="164">
        <f>INDEX($GC$2:$GC$13,$MO17)</f>
        <v/>
      </c>
      <c r="NJ17" s="164">
        <f>IFERROR(MATCH(SUBSTITUTE(SUBSTITUTE(SUBSTITUTE($MU17,"~","~~"),"*","~*"),"?","~?"),'DADOS_FORMAS'!$FZ$2:$FZ$21,0),0)</f>
        <v/>
      </c>
      <c r="NK17" s="164">
        <f>IFERROR(VLOOKUP(SUBSTITUTE(SUBSTITUTE(SUBSTITUTE($MX17,"~","~~"),"*","~*"),"?","~?"),'DADOS_MELHORIAS'!$AG$2:$AL$113,2,FALSE),"")</f>
        <v/>
      </c>
      <c r="NL17" s="164">
        <f>IFERROR(VLOOKUP(SUBSTITUTE(SUBSTITUTE(SUBSTITUTE($MY17,"~","~~"),"*","~*"),"?","~?"),'DADOS_MELHORIAS'!$AG$2:$AL$113,2,FALSE),"")</f>
        <v/>
      </c>
      <c r="NM17" s="164">
        <f>IFERROR(VLOOKUP(SUBSTITUTE(SUBSTITUTE(SUBSTITUTE($MZ17,"~","~~"),"*","~*"),"?","~?"),'DADOS_MELHORIAS'!$AG$2:$AL$113,2,FALSE),"")</f>
        <v/>
      </c>
      <c r="NN17" s="164">
        <f>IFERROR(VLOOKUP(SUBSTITUTE(SUBSTITUTE(SUBSTITUTE($NA17,"~","~~"),"*","~*"),"?","~?"),'DADOS_MELHORIAS'!$AG$2:$AL$113,2,FALSE),"")</f>
        <v/>
      </c>
      <c r="NO17" s="164">
        <f>IFERROR(VLOOKUP(SUBSTITUTE(SUBSTITUTE(SUBSTITUTE($MX17,"~","~~"),"*","~*"),"?","~?"),'DADOS_MELHORIAS'!$AG$2:$AL$113,3,FALSE),0)</f>
        <v/>
      </c>
      <c r="NP17" s="164">
        <f>IFERROR(VLOOKUP(SUBSTITUTE(SUBSTITUTE(SUBSTITUTE($MY17,"~","~~"),"*","~*"),"?","~?"),'DADOS_MELHORIAS'!$AG$2:$AL$113,3,FALSE),0)</f>
        <v/>
      </c>
      <c r="NQ17" s="164">
        <f>IFERROR(VLOOKUP(SUBSTITUTE(SUBSTITUTE(SUBSTITUTE($MZ17,"~","~~"),"*","~*"),"?","~?"),'DADOS_MELHORIAS'!$AG$2:$AL$113,3,FALSE),0)</f>
        <v/>
      </c>
      <c r="NR17" s="164">
        <f>IFERROR(VLOOKUP(SUBSTITUTE(SUBSTITUTE(SUBSTITUTE($NA17,"~","~~"),"*","~*"),"?","~?"),'DADOS_MELHORIAS'!$AG$2:$AL$113,3,FALSE),0)</f>
        <v/>
      </c>
      <c r="NS17" s="164">
        <f>IF($MS17=0,0,IF($NJ17=0,0,INDEX('DADOS_FORMAS'!$GB$2:$GB$21,$NJ17)))</f>
        <v/>
      </c>
      <c r="NT17" s="164">
        <f>IF(OR($NO17=0,$MS17=0),0,$NO17+3*IF(AND($NK17&lt;&gt;"",COUNTIF(INDEX($RB$2:$RJ$13,$MO17,0),$NK17)&gt;0),1,0))</f>
        <v/>
      </c>
      <c r="NU17" s="164">
        <f>IF(OR($NP17=0,$MS17=0),0,$NP17+3*IF(AND($NL17&lt;&gt;"",COUNTIF(INDEX($RB$2:$RJ$13,$MO17,0),$NL17)&gt;0),1,0))</f>
        <v/>
      </c>
      <c r="NV17" s="164">
        <f>IF(OR($NQ17=0,$MS17=0),0,$NQ17+3*IF(AND($NM17&lt;&gt;"",COUNTIF(INDEX($RB$2:$RJ$13,$MO17,0),$NM17)&gt;0),1,0))</f>
        <v/>
      </c>
      <c r="NW17" s="164">
        <f>IF(OR($NR17=0,$MS17=0),0,$NR17+3*IF(AND($NN17&lt;&gt;"",COUNTIF(INDEX($RB$2:$RJ$13,$MO17,0),$NN17)&gt;0),1,0))</f>
        <v/>
      </c>
      <c r="NX17" s="164">
        <f>IF($NJ17=0,0,IF(INDEX('DADOS_FORMAS'!$GA$2:$GA$21,$NJ17)="",0,IF((COUNTIF(INDEX($EL$2:$EP$13,$MO17,0),INDEX('DADOS_FORMAS'!$GA$2:$GA$21,$NJ17))+COUNTIF(INDEX($QV$2:$QY$13,$MO17,0),INDEX('DADOS_FORMAS'!$GA$2:$GA$21,$NJ17)))=0,1,0)))</f>
        <v/>
      </c>
      <c r="NY17" s="164">
        <f>IF(OR($NO17=0,$NK17=""),0,IF((COUNTIF(INDEX($EL$2:$EP$13,$MO17,0),$NK17)+COUNTIF(INDEX($QV$2:$QY$13,$MO17,0),$NK17))=0,1,0))</f>
        <v/>
      </c>
      <c r="NZ17" s="164">
        <f>IF(OR($NP17=0,$NL17=""),0,IF((COUNTIF(INDEX($EL$2:$EP$13,$MO17,0),$NL17)+COUNTIF(INDEX($QV$2:$QY$13,$MO17,0),$NL17))=0,1,0))</f>
        <v/>
      </c>
      <c r="OA17" s="164">
        <f>IF(OR($NQ17=0,$NM17=""),0,IF((COUNTIF(INDEX($EL$2:$EP$13,$MO17,0),$NM17)+COUNTIF(INDEX($QV$2:$QY$13,$MO17,0),$NM17))=0,1,0))</f>
        <v/>
      </c>
      <c r="OB17" s="164">
        <f>IF(OR($NR17=0,$NN17=""),0,IF((COUNTIF(INDEX($EL$2:$EP$13,$MO17,0),$NN17)+COUNTIF(INDEX($QV$2:$QY$13,$MO17,0),$NN17))=0,1,0))</f>
        <v/>
      </c>
      <c r="OC17" s="164">
        <f>IFERROR(VLOOKUP(SUBSTITUTE(SUBSTITUTE(SUBSTITUTE($MX17,"~","~~"),"*","~*"),"?","~?"),'DADOS_MELHORIAS'!$AG$2:$AL$113,4,FALSE),0)+IFERROR(VLOOKUP(SUBSTITUTE(SUBSTITUTE(SUBSTITUTE($MY17,"~","~~"),"*","~*"),"?","~?"),'DADOS_MELHORIAS'!$AG$2:$AL$113,4,FALSE),0)+IFERROR(VLOOKUP(SUBSTITUTE(SUBSTITUTE(SUBSTITUTE($MZ17,"~","~~"),"*","~*"),"?","~?"),'DADOS_MELHORIAS'!$AG$2:$AL$113,4,FALSE),0)+IFERROR(VLOOKUP(SUBSTITUTE(SUBSTITUTE(SUBSTITUTE($NA17,"~","~~"),"*","~*"),"?","~?"),'DADOS_MELHORIAS'!$AG$2:$AL$113,4,FALSE),0)</f>
        <v/>
      </c>
      <c r="OD17" s="164">
        <f>IFERROR(VLOOKUP(SUBSTITUTE(SUBSTITUTE(SUBSTITUTE($MX17,"~","~~"),"*","~*"),"?","~?"),'DADOS_MELHORIAS'!$AG$2:$AL$113,6,FALSE),0)+IFERROR(VLOOKUP(SUBSTITUTE(SUBSTITUTE(SUBSTITUTE($MY17,"~","~~"),"*","~*"),"?","~?"),'DADOS_MELHORIAS'!$AG$2:$AL$113,6,FALSE),0)+IFERROR(VLOOKUP(SUBSTITUTE(SUBSTITUTE(SUBSTITUTE($MZ17,"~","~~"),"*","~*"),"?","~?"),'DADOS_MELHORIAS'!$AG$2:$AL$113,6,FALSE),0)+IFERROR(VLOOKUP(SUBSTITUTE(SUBSTITUTE(SUBSTITUTE($NA17,"~","~~"),"*","~*"),"?","~?"),'DADOS_MELHORIAS'!$AG$2:$AL$113,6,FALSE),0)+IFERROR(N(AND(INDEX('DADOS_FORMAS'!$AO$2:$AO$21,MATCH(SUBSTITUTE(SUBSTITUTE(SUBSTITUTE($MU17,"~","~~"),"*","~*"),"?","~?"),'DADOS_FORMAS'!$AH$2:$AH$21,0))="Acerto",$OH17=1)),0)</f>
        <v/>
      </c>
      <c r="OE17" s="164">
        <f>TEXTJOIN(", ",TRUE,IF(IFERROR(VLOOKUP(SUBSTITUTE(SUBSTITUTE(SUBSTITUTE($MX17,"~","~~"),"*","~*"),"?","~?"),'DADOS_MELHORIAS'!$AG$2:$AL$113,5,FALSE),0)=1,$MX17,""),IF(IFERROR(VLOOKUP(SUBSTITUTE(SUBSTITUTE(SUBSTITUTE($MY17,"~","~~"),"*","~*"),"?","~?"),'DADOS_MELHORIAS'!$AG$2:$AL$113,5,FALSE),0)=1,$MY17,""),IF(IFERROR(VLOOKUP(SUBSTITUTE(SUBSTITUTE(SUBSTITUTE($MZ17,"~","~~"),"*","~*"),"?","~?"),'DADOS_MELHORIAS'!$AG$2:$AL$113,5,FALSE),0)=1,$MZ17,""),IF(IFERROR(VLOOKUP(SUBSTITUTE(SUBSTITUTE(SUBSTITUTE($NA17,"~","~~"),"*","~*"),"?","~?"),'DADOS_MELHORIAS'!$AG$2:$AL$113,5,FALSE),0)=1,$NA17,""))</f>
        <v/>
      </c>
      <c r="OF17" s="164">
        <f>IF($NJ17=0,0,INDEX('DADOS_FORMAS'!$GC$2:$GC$21,$NJ17))</f>
        <v/>
      </c>
      <c r="OG17" s="164">
        <f>IF($NJ17=0,0,INDEX('DADOS_FORMAS'!$GD$2:$GD$21,$NJ17))</f>
        <v/>
      </c>
      <c r="OH17" s="164">
        <f>IF($NJ17=0,0,INDEX('DADOS_FORMAS'!$GF$2:$GF$21,$NJ17))</f>
        <v/>
      </c>
      <c r="OI17" s="164">
        <f>IFERROR(VLOOKUP(SUBSTITUTE(SUBSTITUTE(SUBSTITUTE($NB17,"~","~~"),"*","~*"),"?","~?"),'DADOS_RESTRICOES'!$M$2:$Q$54,3,FALSE),0)</f>
        <v/>
      </c>
      <c r="OJ17" s="164">
        <f>IFERROR(VLOOKUP(SUBSTITUTE(SUBSTITUTE(SUBSTITUTE($NC17,"~","~~"),"*","~*"),"?","~?"),'DADOS_RESTRICOES'!$M$2:$Q$54,3,FALSE),0)</f>
        <v/>
      </c>
      <c r="OK17" s="164">
        <f>IFERROR(VLOOKUP(SUBSTITUTE(SUBSTITUTE(SUBSTITUTE($NB17,"~","~~"),"*","~*"),"?","~?"),'DADOS_RESTRICOES'!$M$2:$Q$54,2,FALSE),"")</f>
        <v/>
      </c>
      <c r="OL17" s="164">
        <f>IFERROR(VLOOKUP(SUBSTITUTE(SUBSTITUTE(SUBSTITUTE($NC17,"~","~~"),"*","~*"),"?","~?"),'DADOS_RESTRICOES'!$M$2:$Q$54,2,FALSE),"")</f>
        <v/>
      </c>
      <c r="OM17" s="164">
        <f>COUNTIF($NS17:$NW17,1)</f>
        <v/>
      </c>
      <c r="ON17" s="164">
        <f>COUNTIF($NS17:$NW17,2)</f>
        <v/>
      </c>
      <c r="OO17" s="164">
        <f>COUNTIF($NS17:$NW17,3)</f>
        <v/>
      </c>
      <c r="OP17" s="164">
        <f>COUNTIF($NS17:$NW17,4)</f>
        <v/>
      </c>
      <c r="OQ17" s="164">
        <f>COUNTIF($NS17:$NW17,5)</f>
        <v/>
      </c>
      <c r="OR17" s="164">
        <f>COUNTIF($NS17:$NW17,6)</f>
        <v/>
      </c>
      <c r="OS17" s="164">
        <f>COUNTIF($OI17:$OJ17,1)+IF(IFERROR(INDEX('DADOS_FORMAS'!$AS$2:$AS$21,MATCH(SUBSTITUTE(SUBSTITUTE(SUBSTITUTE($MU17,"~","~~"),"*","~*"),"?","~?"),'DADOS_FORMAS'!$AH$2:$AH$21,0)),"")="",0,IFERROR(N(VLOOKUP(SUBSTITUTE(SUBSTITUTE(SUBSTITUTE(IFERROR(INDEX('DADOS_FORMAS'!$AS$2:$AS$21,MATCH(SUBSTITUTE(SUBSTITUTE(SUBSTITUTE($MU17,"~","~~"),"*","~*"),"?","~?"),'DADOS_FORMAS'!$AH$2:$AH$21,0)),""),"~","~~"),"*","~*"),"?","~?"),'DADOS_RESTRICOES'!$M$2:$Q$54,3,FALSE)=1),0))</f>
        <v/>
      </c>
      <c r="OT17" s="164">
        <f>COUNTIF($OI17:$OJ17,2)+IF(IFERROR(INDEX('DADOS_FORMAS'!$AS$2:$AS$21,MATCH(SUBSTITUTE(SUBSTITUTE(SUBSTITUTE($MU17,"~","~~"),"*","~*"),"?","~?"),'DADOS_FORMAS'!$AH$2:$AH$21,0)),"")="",0,IFERROR(N(VLOOKUP(SUBSTITUTE(SUBSTITUTE(SUBSTITUTE(IFERROR(INDEX('DADOS_FORMAS'!$AS$2:$AS$21,MATCH(SUBSTITUTE(SUBSTITUTE(SUBSTITUTE($MU17,"~","~~"),"*","~*"),"?","~?"),'DADOS_FORMAS'!$AH$2:$AH$21,0)),""),"~","~~"),"*","~*"),"?","~?"),'DADOS_RESTRICOES'!$M$2:$Q$54,3,FALSE)=2),0))</f>
        <v/>
      </c>
      <c r="OU17" s="164">
        <f>COUNTIF($MX17:$NA17,"?*")</f>
        <v/>
      </c>
      <c r="OV17" s="164">
        <f>COUNTIF($NB17:$NC17,"?*")+$OF17</f>
        <v/>
      </c>
      <c r="OW17" s="164">
        <f>IF($MS17=0,0,SUMPRODUCT($OM17:$OR17,INDEX($I$2:$N$8,MAX(1,$MS17),0)))</f>
        <v/>
      </c>
      <c r="OX17" s="164">
        <f>IF($MS17=0,0,$OS17*CEILING($MS17/2,1)+$OT17*$MS17)</f>
        <v/>
      </c>
      <c r="OY17" s="164">
        <f>MIN(2*$MS17,$OX17)</f>
        <v/>
      </c>
      <c r="OZ17" s="164">
        <f>MIN($OY17,$OW17-IF($NS17=0,0,INDEX($I$2:$N$8,MAX(1,$MS17),$NS17)))</f>
        <v/>
      </c>
      <c r="PA17" s="164">
        <f>$OY17-$OZ17</f>
        <v/>
      </c>
      <c r="PB17" s="164">
        <f>IF($MS17=0,0,INDEX($P$2:$P$8,MAX(1,$MS17)))</f>
        <v/>
      </c>
      <c r="PC17" s="164">
        <f>$PB17-$OW17+$OZ17</f>
        <v/>
      </c>
      <c r="PD17" s="164">
        <f>IF($MS17=0,MAX(0,$NG17-IF(AND($OU17&gt;0,COUNTIF($NB17:$NC17,"?*")=0),1,0)),MAX(0,$PC17))</f>
        <v/>
      </c>
      <c r="PE17" s="164">
        <f>IF($MS17=0,0,(IF(COUNTIF($RK17:$RN17,"Salto")&gt;0,1,0)+IF(COUNTIF($RK17:$RN17,"Queima")&gt;0,1,0)+IF(COUNTIF($RK17:$RN17,"Estilhaço")&gt;0,1,0))*FLOOR($PD17/2,1))</f>
        <v/>
      </c>
      <c r="PF17" s="164">
        <f>MAX(0,2-SUMPRODUCT($OM17:$OR17,$I$2:$N$2)+MIN(2,$OS17*1+$OT17*1,SUMPRODUCT($OM17:$OR17,$I$2:$N$2)-IF($NS17=0,0,INDEX($I$2:$N$2,1,$NS17))))</f>
        <v/>
      </c>
      <c r="PG17" s="164">
        <f>MAX(0,4-SUMPRODUCT($OM17:$OR17,$I$3:$N$3)+MIN(4,$OS17*1+$OT17*2,SUMPRODUCT($OM17:$OR17,$I$3:$N$3)-IF($NS17=0,0,INDEX($I$3:$N$3,1,$NS17))))</f>
        <v/>
      </c>
      <c r="PH17" s="164">
        <f>MAX(0,6-SUMPRODUCT($OM17:$OR17,$I$4:$N$4)+MIN(6,$OS17*2+$OT17*3,SUMPRODUCT($OM17:$OR17,$I$4:$N$4)-IF($NS17=0,0,INDEX($I$4:$N$4,1,$NS17))))</f>
        <v/>
      </c>
      <c r="PI17" s="164">
        <f>MAX(0,9-SUMPRODUCT($OM17:$OR17,$I$5:$N$5)+MIN(8,$OS17*2+$OT17*4,SUMPRODUCT($OM17:$OR17,$I$5:$N$5)-IF($NS17=0,0,INDEX($I$5:$N$5,1,$NS17))))</f>
        <v/>
      </c>
      <c r="PJ17" s="164">
        <f>MAX(0,11-SUMPRODUCT($OM17:$OR17,$I$6:$N$6)+MIN(10,$OS17*3+$OT17*5,SUMPRODUCT($OM17:$OR17,$I$6:$N$6)-IF($NS17=0,0,INDEX($I$6:$N$6,1,$NS17))))</f>
        <v/>
      </c>
      <c r="PK17" s="164">
        <f>MAX(0,13-SUMPRODUCT($OM17:$OR17,$I$7:$N$7)+MIN(12,$OS17*3+$OT17*6,SUMPRODUCT($OM17:$OR17,$I$7:$N$7)-IF($NS17=0,0,INDEX($I$7:$N$7,1,$NS17))))</f>
        <v/>
      </c>
      <c r="PL17" s="164">
        <f>MAX(0,16-SUMPRODUCT($OM17:$OR17,$I$8:$N$8)+MIN(14,$OS17*4+$OT17*7,SUMPRODUCT($OM17:$OR17,$I$8:$N$8)-IF($NS17=0,0,INDEX($I$8:$N$8,1,$NS17))))</f>
        <v/>
      </c>
      <c r="PM17" s="164">
        <f>IF($OG17=2,3*$PF17&amp;" de vida temp.",IF($OG17=3,"sem dano",IF($PF17=0,IF($OG17=1,"sem cura","sem dano"),IF($OG17=1,"cura ","")&amp;$PF17&amp;"d8")))</f>
        <v/>
      </c>
      <c r="PN17" s="164">
        <f>IF($OG17=2,3*$PG17&amp;" de vida temp.",IF($OG17=3,"sem dano",IF($PG17=0,IF($OG17=1,"sem cura","sem dano"),IF($OG17=1,"cura ","")&amp;$PG17&amp;"d8")))</f>
        <v/>
      </c>
      <c r="PO17" s="164">
        <f>IF($OG17=2,3*$PH17&amp;" de vida temp.",IF($OG17=3,"sem dano",IF($PH17=0,IF($OG17=1,"sem cura","sem dano"),IF($OG17=1,"cura ","")&amp;$PH17&amp;"d8")))</f>
        <v/>
      </c>
      <c r="PP17" s="164">
        <f>IF($OG17=2,3*$PI17&amp;" de vida temp.",IF($OG17=3,"sem dano",IF($PI17=0,IF($OG17=1,"sem cura","sem dano"),IF($OG17=1,"cura ","")&amp;$PI17&amp;"d8")))</f>
        <v/>
      </c>
      <c r="PQ17" s="164">
        <f>IF($OG17=2,3*$PJ17&amp;" de vida temp.",IF($OG17=3,"sem dano",IF($PJ17=0,IF($OG17=1,"sem cura","sem dano"),IF($OG17=1,"cura ","")&amp;$PJ17&amp;"d8")))</f>
        <v/>
      </c>
      <c r="PR17" s="164">
        <f>IF($OG17=2,3*$PK17&amp;" de vida temp.",IF($OG17=3,"sem dano",IF($PK17=0,IF($OG17=1,"sem cura","sem dano"),IF($OG17=1,"cura ","")&amp;$PK17&amp;"d8")))</f>
        <v/>
      </c>
      <c r="PS17" s="164">
        <f>IF($OG17=2,3*$PL17&amp;" de vida temp.",IF($OG17=3,"sem dano",IF($PL17=0,IF($OG17=1,"sem cura","sem dano"),IF($OG17=1,"cura ","")&amp;$PL17&amp;"d8")))</f>
        <v/>
      </c>
      <c r="PT17" s="164">
        <f>IF($ND17=0,"",TEXTJOIN(" · ",TRUE,IF($ND17=0,"",TEXTJOIN(" · ",TRUE,IF($ND17=0,"",TEXTJOIN(" · ",TRUE,IF($MQ17&gt;$NE17,"Este lugar abre no nível "&amp;$MQ17,""),IF($MS17&gt;$NF17,"Classe "&amp;$MS17&amp;": o nível "&amp;$NE17&amp;" libera até a "&amp;$NF17,""),IF($NX17=1,"A Forma "&amp;$MU17&amp;" pede "&amp;INDEX('DADOS_FORMAS'!$GA$2:$GA$21,$NJ17)&amp;" aberta",""),IF(AND($MS17=0,$NJ17&gt;0,IF($NJ17=0,0,INDEX('DADOS_FORMAS'!$GJ$2:$GJ$21,$NJ17))=0),$MU17&amp;" não existe na Classe 0",""),IF($NY17=1,"Família Fechada: "&amp;$MX17,""),IF($NZ17=1,"Família Fechada: "&amp;$MY17,""),IF($OA17=1,"Família Fechada: "&amp;$MZ17,""),IF($OB17=1,"Família Fechada: "&amp;$NA17,""),IF(AND($MS17&gt;0,$OU17&gt;INDEX($O$2:$O$8,MAX(1,$MS17))),$OU17&amp;" Melhorias: a Classe "&amp;$MS17&amp;" aceita "&amp;INDEX($O$2:$O$8,MAX(1,$MS17)),""),IF(AND($MS17=0,$OU17&gt;1),"A básica aceita uma Melhoria",""),IF(AND($MS17=0,COUNTIF($NO17:$NR17,"&gt;1")&gt;0),"A básica só aceita Melhoria Leve",""),IF(AND($MS17&gt;0,$OV17&gt;2),$OV17&amp;" Restrições"&amp;IF($OF17=1,", contando a que a Forma "&amp;$MU17&amp;" já traz","")&amp;": o limite é 2",""),IF(AND($MS17=0,COUNTIF($NB17:$NC17,"?*")&gt;1),"A básica aceita uma Restrição Leve",""),IF(AND($MS17=0,COUNTIF($OI17:$OJ17,2)&gt;0),"A básica só aceita Restrição Leve",""),IF(AND($MS17&gt;0,$PC17&lt;0),"Orçamento estourado: faltam "&amp;(-$PC17)&amp;IF($PC17&lt;-1," pontos"," ponto"),""),IF(IFERROR(VLOOKUP(SUBSTITUTE(SUBSTITUTE(SUBSTITUTE($NB17,"~","~~"),"*","~*"),"?","~?"),'DADOS_RESTRICOES'!$M$2:$Q$54,4,FALSE),0)+IFERROR(VLOOKUP(SUBSTITUTE(SUBSTITUTE(SUBSTITUTE($NC17,"~","~~"),"*","~*"),"?","~?"),'DADOS_RESTRICOES'!$M$2:$Q$54,4,FALSE),0)&gt;1,$OK17&amp;" e "&amp;$OL17&amp;" são as duas de frequência",""),IF(AND((COUNTIF($RK17:$RN17,"Rápido")+COUNTIF($OK17:$OL17,"Rápido"))&gt;0,(COUNTIF($MX17:$NA17,"Atrasar")+COUNTIF($OK17:$OL17,"Atrasar"))&gt;0),"Rápido não entra com Atrasar",""),IF(AND((COUNTIF($RK17:$RN17,"Reação")+COUNTIF($OK17:$OL17,"Reação"))&gt;0,(COUNTIF($RK17:$RN17,"Rápido")+COUNTIF($OK17:$OL17,"Rápido"))&gt;0),"Reação não entra com Rápido",""),IF(AND((COUNTIF($RK17:$RN17,"Reação")+COUNTIF($OK17:$OL17,"Reação"))&gt;0,(COUNTIF($RK17:$RN17,"Armado")+COUNTIF($OK17:$OL17,"Armado"))&gt;0),"Reação não entra com Armado",""),IF(AND((COUNTIF($RK17:$RN17,"Reação")+COUNTIF($OK17:$OL17,"Reação"))&gt;0,(COUNTIF($MX17:$NA17,"Atrasar")+COUNTIF($OK17:$OL17,"Atrasar"))&gt;0),"Reação não entra com Atrasar",""),IF(AND((COUNTIF($RK17:$RN17,"Reação")+COUNTIF($OK17:$OL17,"Reação"))&gt;0,(COUNTIF($MX17:$NA17,"Parado")+COUNTIF($OK17:$OL17,"Parado"))&gt;0),"Reação não entra com Parado",""),IF(AND((COUNTIF($MX17:$NA17,"Atrasar")+COUNTIF($OK17:$OL17,"Atrasar"))&gt;0,(COUNTIF($MX17:$NA17,"Parado")+COUNTIF($OK17:$OL17,"Parado"))&gt;0),"Atrasar não entra com Parado",""),IF(AND((COUNTIF($RK17:$RN17,"Armado")+COUNTIF($OK17:$OL17,"Armado"))&gt;0,(COUNTIF($MX17:$NA17,"Carregar")+COUNTIF($OK17:$OL17,"Carregar"))&gt;0),"Armado não entra com Carregar",""),IF(AND(COUNTIF($OK17:$OL17,"Corpo a Corpo")&gt;0,$OF17=0,OR($RO17="Cone",$RO17="Linha")),"Corpo a Corpo não entra em "&amp;$MU17,""),IF(AND(COUNTIF($OK17:$OL17,"Corpo a Corpo")&gt;0,$RP17="Corpo a Corpo"),"A Forma "&amp;$MU17&amp;" já traz o Corpo a Corpo",""),IF(AND(COUNTIF($OK17:$OL17,"Tudo ou Nada")&gt;0,$OH17=0),"Tudo ou Nada só entra em habilidade de Teste de Resistência",""),IF(AND(COUNTIF($RK17:$RN17,"Inescapável")&gt;0,OR($OU17&gt;1,$OV17&gt;0)),"Inescapável não aceita outra peça",""),IF(AND($MS17&gt;0,$PD17*IF(COUNTIF($RK17:$RN17,"Remate")&gt;0,1.25,1)+$PE17&gt;4*$MS17),($PD17*IF(COUNTIF($RK17:$RN17,"Remate")&gt;0,1.25,1)+$PE17)&amp;" dados somando repetições"&amp;IF(COUNTIF($RK17:$RN17,"Remate")&gt;0," e o Remate","")&amp;": o teto da Classe "&amp;$MS17&amp;" é "&amp;4*$MS17,""))),IF(AND($MX17&lt;&gt;"",COUNTIF('DADOS_MELHORIAS'!$O$2:$O$113,SUBSTITUTE(SUBSTITUTE(SUBSTITUTE($MX17,"~","~~"),"*","~*"),"?","~?"))=0),"Melhoria não cadastrada ou com erro: "&amp;$MX17,""),IF(AND($MY17&lt;&gt;"",COUNTIF('DADOS_MELHORIAS'!$O$2:$O$113,SUBSTITUTE(SUBSTITUTE(SUBSTITUTE($MY17,"~","~~"),"*","~*"),"?","~?"))=0),"Melhoria não cadastrada ou com erro: "&amp;$MY17,""),IF(AND($MZ17&lt;&gt;"",COUNTIF('DADOS_MELHORIAS'!$O$2:$O$113,SUBSTITUTE(SUBSTITUTE(SUBSTITUTE($MZ17,"~","~~"),"*","~*"),"?","~?"))=0),"Melhoria não cadastrada ou com erro: "&amp;$MZ17,""),IF(AND($NA17&lt;&gt;"",COUNTIF('DADOS_MELHORIAS'!$O$2:$O$113,SUBSTITUTE(SUBSTITUTE(SUBSTITUTE($NA17,"~","~~"),"*","~*"),"?","~?"))=0),"Melhoria não cadastrada ou com erro: "&amp;$NA17,""),IF(AND($NB17&lt;&gt;"",COUNTIF('DADOS_RESTRICOES'!$M$2:$M$54,SUBSTITUTE(SUBSTITUTE(SUBSTITUTE($NB17,"~","~~"),"*","~*"),"?","~?"))=0),"Restrição não cadastrada ou com erro: "&amp;$NB17,""),IF(AND($NC17&lt;&gt;"",COUNTIF('DADOS_RESTRICOES'!$M$2:$M$54,SUBSTITUTE(SUBSTITUTE(SUBSTITUTE($NC17,"~","~~"),"*","~*"),"?","~?"))=0),"Restrição não cadastrada ou com erro: "&amp;$NC17,""))),IF(AND($MU17&lt;&gt;"",COUNTIF('DADOS_FORMAS'!$AH$2:$AH$21,SUBSTITUTE(SUBSTITUTE(SUBSTITUTE($MU17,"~","~~"),"*","~*"),"?","~?"))=0),"Forma não cadastrada ou com erro: "&amp;$MU17,""),IF(AND(IFERROR(INDEX('DADOS_FORMAS'!$AS$2:$AS$21,MATCH(SUBSTITUTE(SUBSTITUTE(SUBSTITUTE($MU17,"~","~~"),"*","~*"),"?","~?"),'DADOS_FORMAS'!$AH$2:$AH$21,0)),"")&lt;&gt;"",OR(IFERROR(VLOOKUP(SUBSTITUTE(SUBSTITUTE(SUBSTITUTE(IFERROR(INDEX('DADOS_FORMAS'!$AS$2:$AS$21,MATCH(SUBSTITUTE(SUBSTITUTE(SUBSTITUTE($MU17,"~","~~"),"*","~*"),"?","~?"),'DADOS_FORMAS'!$AH$2:$AH$21,0)),""),"~","~~"),"*","~*"),"?","~?"),'DADOS_RESTRICOES'!$M$2:$Q$54,2,FALSE),"")=$OK17,IFERROR(VLOOKUP(SUBSTITUTE(SUBSTITUTE(SUBSTITUTE(IFERROR(INDEX('DADOS_FORMAS'!$AS$2:$AS$21,MATCH(SUBSTITUTE(SUBSTITUTE(SUBSTITUTE($MU17,"~","~~"),"*","~*"),"?","~?"),'DADOS_FORMAS'!$AH$2:$AH$21,0)),""),"~","~~"),"*","~*"),"?","~?"),'DADOS_RESTRICOES'!$M$2:$Q$54,2,FALSE),"")=$OL17)),"Restrição repetida, contando a embutida",""),IF(IF(IFERROR(INDEX('DADOS_FORMAS'!$AS$2:$AS$21,MATCH(SUBSTITUTE(SUBSTITUTE(SUBSTITUTE($MU17,"~","~~"),"*","~*"),"?","~?"),'DADOS_FORMAS'!$AH$2:$AH$21,0)),"")="",0,IFERROR(N(VLOOKUP(SUBSTITUTE(SUBSTITUTE(SUBSTITUTE(IFERROR(INDEX('DADOS_FORMAS'!$AS$2:$AS$21,MATCH(SUBSTITUTE(SUBSTITUTE(SUBSTITUTE($MU17,"~","~~"),"*","~*"),"?","~?"),'DADOS_FORMAS'!$AH$2:$AH$21,0)),""),"~","~~"),"*","~*"),"?","~?"),'DADOS_RESTRICOES'!$M$2:$Q$54,4,FALSE)=1),0))+IF($NB17="",0,IFERROR(N(VLOOKUP(SUBSTITUTE(SUBSTITUTE(SUBSTITUTE($NB17,"~","~~"),"*","~*"),"?","~?"),'DADOS_RESTRICOES'!$M$2:$Q$54,4,FALSE)=1),0))+IF($NC17="",0,IFERROR(N(VLOOKUP(SUBSTITUTE(SUBSTITUTE(SUBSTITUTE($NC17,"~","~~"),"*","~*"),"?","~?"),'DADOS_RESTRICOES'!$M$2:$Q$54,4,FALSE)=1),0))&gt;1,"Duas Restrições de frequência, contando a embutida",""),IF(AND(IFERROR(VLOOKUP(SUBSTITUTE(SUBSTITUTE(SUBSTITUTE(IFERROR(INDEX('DADOS_FORMAS'!$AS$2:$AS$21,MATCH(SUBSTITUTE(SUBSTITUTE(SUBSTITUTE($MU17,"~","~~"),"*","~*"),"?","~?"),'DADOS_FORMAS'!$AH$2:$AH$21,0)),""),"~","~~"),"*","~*"),"?","~?"),'DADOS_RESTRICOES'!$M$2:$Q$54,2,FALSE),"")="Tudo ou Nada",$OH17=0),"Tudo ou Nada exige TR",""),IF(AND(IFERROR(VLOOKUP(SUBSTITUTE(SUBSTITUTE(SUBSTITUTE(IFERROR(INDEX('DADOS_FORMAS'!$AS$2:$AS$21,MATCH(SUBSTITUTE(SUBSTITUTE(SUBSTITUTE($MU17,"~","~~"),"*","~*"),"?","~?"),'DADOS_FORMAS'!$AH$2:$AH$21,0)),""),"~","~~"),"*","~*"),"?","~?"),'DADOS_RESTRICOES'!$M$2:$Q$54,2,FALSE),"")="Corpo a Corpo",OR($RO17="Cone",$RO17="Linha")),"Corpo a Corpo não entra em Cone/Linha","")))</f>
        <v/>
      </c>
      <c r="PU17" s="164">
        <f>IF($PT17="",0,(LEN($PT17)-LEN(SUBSTITUTE($PT17," · ","")))/3+1)</f>
        <v/>
      </c>
      <c r="PV17" s="164">
        <f>IF($ND17=0,"",TEXTJOIN(" · ",TRUE,IF($OX17&gt;2*$MS17,"A devolução parou no teto de "&amp;2*$MS17,""),IF($PA17&gt;0,"Devolução perdida: "&amp;$PA17&amp;IF($PA17&gt;1," pontos"," ponto")&amp;" sem Melhoria para pagar",""),IF(AND($OC17&gt;0,AND($MS17&gt;0,$OG17=0),$PD17=0),"Controle sem dano: uma rodada a mais e CD +2",""),IF(AND($OC17&gt;0,AND($MS17&gt;0,$OG17=0),$PD17&gt;0,$PD17&lt;=$MS17),"Controle com saldo até a Classe: uma rodada a mais",""),IF(AND($MS17&gt;0,$OE17&lt;&gt;""),"Efeito de "&amp;$OE17&amp;" pela Classe "&amp;MAX(1,$MS17-1),"")))</f>
        <v/>
      </c>
      <c r="PW17" s="164">
        <f>IF($PV17="",0,(LEN($PV17)-LEN(SUBSTITUTE($PV17," · ","")))/3+1)</f>
        <v/>
      </c>
      <c r="PX17" s="164">
        <f>IF($ND17=0,IF($OU17+COUNTIF($NB17:$NC17,"?*")&gt;0,"Dê um nome",""),IF($PU17&gt;0,"⚠ "&amp;$PU17&amp;IF($PU17&gt;1," erros"," erro"),IF($PW17&gt;0,"! "&amp;$PW17&amp;IF($PW17&gt;1," avisos"," aviso"),"Na regra")))</f>
        <v/>
      </c>
      <c r="PY17" s="164">
        <f>IF($ND17=0,"",IF($PU17+$PW17=0,"Dentro das regras que a ficha confere",$PT17&amp;IF(AND($PU17&gt;0,$PW17&gt;0)," · ","")&amp;$PV17))</f>
        <v/>
      </c>
      <c r="PZ17" s="164">
        <f>IF($MQ17&gt;$NE17,$MR17&amp;" · ABRE NO NÍVEL "&amp;$MQ17,$MR17)</f>
        <v/>
      </c>
      <c r="QA17" s="164">
        <f>IF($ND17=0,"",IF($MS17=0,"Sem PE",3*$MS17&amp;" PE"))</f>
        <v/>
      </c>
      <c r="QB17" s="164">
        <f>IF($ND17=0,"",IF($MS17=0,"A atuação básica dela",IF(COUNTIF($RQ17:$RS17,"Atrasar")&gt;0,"Sua Ação Completa",IF(COUNTIF($RK17:$RN17,"Rápido")&gt;0,"Sua Bônus",IF(COUNTIF($RK17:$RN17,"Reação")&gt;0,"Sua Reação","Sua Padrão")))&amp;" + a básica dela"&amp;IF(COUNTIF($RK17:$RN17,"Reação")&gt;0," e a coletiva","")&amp;IF(COUNTIF($RQ17:$RS17,"Carregar")&gt;0," · em dois turnos","")))</f>
        <v/>
      </c>
      <c r="QC17" s="164">
        <f>IF($MW17&lt;&gt;"",$MW17,IF($NJ17=0,"",INDEX('DADOS_FORMAS'!$GE$2:$GE$21,$NJ17)))</f>
        <v/>
      </c>
      <c r="QD17" s="164">
        <f>IF(OR($ND17=0,$NJ17=0),"",IF(COUNTIF($RK17:$RN17,"Inescapável")&gt;0,"Automático",IF($QC17="Ataque",IF($NH17="","Ataque","Ataque "&amp;IF(($NH17+2*IF(COUNTIF($RK17:$RN17,"Precisão")&gt;0,1,0))&gt;=0,"+","−")&amp;ABS(($NH17+2*IF(COUNTIF($RK17:$RN17,"Precisão")&gt;0,1,0))))&amp;IF($OD17&gt;0," · TR"&amp;IF($NI17="",""," CD "&amp;$NI17),""),IF(LEFT($QC17,2)="TR",$QC17&amp;IF($NI17="",""," · CD "&amp;$NI17)&amp;IF(COUNTIF($RK17:$RN17,"Certeiro")&gt;0," · metade",""),"Sem rolagem"))))</f>
        <v/>
      </c>
      <c r="QE17" s="164">
        <f>IF(OR($ND17=0,$NJ17=0),"",IF($MS17=0,IF(OR($OG17&gt;=1,$PD17=0),"Sem dano",$PD17&amp;"d6"&amp;IF($MV17="",""," "&amp;$MV17)),IF(OR($OG17&gt;=1,$PD17=0),UPPER(LEFT(INDEX($PM17:$PS17,1,MAX(1,$MS17)),1))&amp;MID(INDEX($PM17:$PS17,1,MAX(1,$MS17)),2,99),UPPER(LEFT(INDEX($PM17:$PS17,1,MAX(1,$MS17)),1))&amp;MID(INDEX($PM17:$PS17,1,MAX(1,$MS17)),2,99)&amp;IF($MV17="",""," "&amp;$MV17)&amp;IF($PE17&gt;0," · +"&amp;$PE17&amp;"d8",""))))</f>
        <v/>
      </c>
      <c r="QF17" s="164">
        <f>COUNTIF($RK17:$RN17,"Longe")+3*COUNTIF($RK17:$RN17,"Muito Longe")</f>
        <v/>
      </c>
      <c r="QG17" s="164">
        <f>COUNTIF($RK17:$RN17,"Maior")+3*COUNTIF($RK17:$RN17,"Muito Maior")</f>
        <v/>
      </c>
      <c r="QH17" s="164">
        <f>IF($NJ17=0,0,CHOOSE(1+INDEX('DADOS_FORMAS'!$GG$2:$GG$21,$NJ17),0,$QF17,$QG17,$QF17+$QG17))</f>
        <v/>
      </c>
      <c r="QI17" s="164">
        <f>IF($NJ17=0,0,CHOOSE(1+INDEX('DADOS_FORMAS'!$GH$2:$GH$21,$NJ17),0,$QF17,$QG17,$QF17+$QG17))</f>
        <v/>
      </c>
      <c r="QJ17" s="164">
        <f>IF(OR($ND17=0,$NJ17=0),"",INDEX('DADOS_FORMAS'!$HU$2:$HZ$81,($NJ17-1)*4+IF($MS17=0,1,IF($MS17&lt;=5,2,IF($MS17=6,3,4))),1+MIN(5,$QH17))&amp;INDEX('DADOS_FORMAS'!$IA$2:$IF$81,($NJ17-1)*4+IF($MS17=0,1,IF($MS17&lt;=5,2,IF($MS17=6,3,4))),1+MIN(5,$QI17))&amp;IF(INDEX('DADOS_FORMAS'!$GI$2:$GI$21,$NJ17)=1,IF(COUNTIF($RK17:$RN17,"Mais Um")&gt;0," · +"&amp;COUNTIF($RK17:$RN17,"Mais Um")&amp;IF(COUNTIF($RK17:$RN17,"Mais Um")&gt;1," alvos"," alvo"),"")&amp;IF(COUNTIF($RK17:$RN17,"Rajada")&gt;0,IF($MS17=0," · 1 tiro"," · "&amp;(MAX(1,$MS17-1)+1)&amp;" tiros"),""),""))</f>
        <v/>
      </c>
      <c r="QK17" s="164">
        <f>IF($ND17=0,"",IF($MS17=0,$NG17&amp;"d6"&amp;IF($OU17&gt;0," − 1 = "&amp;$PD17&amp;"d6"," da básica do nível "&amp;$NE17),$PB17&amp;" − "&amp;$OW17&amp;" + "&amp;$OZ17&amp;" = "&amp;$PC17&amp;" · teto "&amp;4*$MS17&amp;"d8"&amp;IF($OF17=1," · a Forma devolve "&amp;$MS17,"")&amp;IF($PA17&gt;0," · perde "&amp;$PA17,"")))</f>
        <v/>
      </c>
      <c r="QL17" s="164">
        <f>IF($ND17=0,"",IF($MS17=0,"A básica não amplia: os dados dela sobem com o nível",IF($MS17&gt;=$NF17,"Já está na maior Classe que o nível liberou",TEXTJOIN(" · ",TRUE,IF(AND(2&gt;$MS17,2&lt;=$NF17),"2 → "&amp;$PN17&amp;", 6 PE",""),IF(AND(3&gt;$MS17,3&lt;=$NF17),"3 → "&amp;$PO17&amp;", 9 PE",""),IF(AND(4&gt;$MS17,4&lt;=$NF17),"4 → "&amp;$PP17&amp;", 12 PE",""),IF(AND(5&gt;$MS17,5&lt;=$NF17),"5 → "&amp;$PQ17&amp;", 15 PE",""),IF(AND(6&gt;$MS17,6&lt;=$NF17),"6 → "&amp;$PR17&amp;", 18 PE",""),IF(AND(7&gt;$MS17,7&lt;=$NF17),"7 → "&amp;$PS17&amp;", 21 PE","")))))</f>
        <v/>
      </c>
      <c r="QM17" s="164">
        <f>IF(OR($ND17=0,$NO17=0),"",IF($MS17=0,"−1 dado","−"&amp;INDEX($I$2:$N$8,MAX(1,$MS17),MAX(1,$NT17))&amp;" · "&amp;CHOOSE(MAX(1,$NT17),"Leve","Média","Pesada","Leve · Livre","Média · Livre","Pesada · Livre")))</f>
        <v/>
      </c>
      <c r="QN17" s="164">
        <f>IF(OR($ND17=0,$NP17=0),"",IF($MS17=0,"−1 dado","−"&amp;INDEX($I$2:$N$8,MAX(1,$MS17),MAX(1,$NU17))&amp;" · "&amp;CHOOSE(MAX(1,$NU17),"Leve","Média","Pesada","Leve · Livre","Média · Livre","Pesada · Livre")))</f>
        <v/>
      </c>
      <c r="QO17" s="164">
        <f>IF(OR($ND17=0,$NQ17=0),"",IF($MS17=0,"−1 dado","−"&amp;INDEX($I$2:$N$8,MAX(1,$MS17),MAX(1,$NV17))&amp;" · "&amp;CHOOSE(MAX(1,$NV17),"Leve","Média","Pesada","Leve · Livre","Média · Livre","Pesada · Livre")))</f>
        <v/>
      </c>
      <c r="QP17" s="164">
        <f>IF(OR($ND17=0,$NR17=0),"",IF($MS17=0,"−1 dado","−"&amp;INDEX($I$2:$N$8,MAX(1,$MS17),MAX(1,$NW17))&amp;" · "&amp;CHOOSE(MAX(1,$NW17),"Leve","Média","Pesada","Leve · Livre","Média · Livre","Pesada · Livre")))</f>
        <v/>
      </c>
      <c r="QQ17" s="164">
        <f>IF(OR($ND17=0,$NB17=""),"",IF($MS17=0,"não devolve","+"&amp;IF($OI17=1,CEILING($MS17/2,1),$MS17)))</f>
        <v/>
      </c>
      <c r="QR17" s="164">
        <f>IF(OR($ND17=0,$NC17=""),"",IF($MS17=0,"não devolve","+"&amp;IF($OJ17=1,CEILING($MS17/2,1),$MS17)))</f>
        <v/>
      </c>
      <c r="RK17">
        <f>IF($MX17="","",IFERROR(VLOOKUP(SUBSTITUTE(SUBSTITUTE(SUBSTITUTE($MX17,"~","~~"),"*","~*"),"?","~?"),'DADOS_MELHORIAS'!$O$2:$X$113,10,FALSE),$MX17))</f>
        <v/>
      </c>
      <c r="RL17">
        <f>IF($MY17="","",IFERROR(VLOOKUP(SUBSTITUTE(SUBSTITUTE(SUBSTITUTE($MY17,"~","~~"),"*","~*"),"?","~?"),'DADOS_MELHORIAS'!$O$2:$X$113,10,FALSE),$MY17))</f>
        <v/>
      </c>
      <c r="RM17">
        <f>IF($MZ17="","",IFERROR(VLOOKUP(SUBSTITUTE(SUBSTITUTE(SUBSTITUTE($MZ17,"~","~~"),"*","~*"),"?","~?"),'DADOS_MELHORIAS'!$O$2:$X$113,10,FALSE),$MZ17))</f>
        <v/>
      </c>
      <c r="RN17">
        <f>IF($NA17="","",IFERROR(VLOOKUP(SUBSTITUTE(SUBSTITUTE(SUBSTITUTE($NA17,"~","~~"),"*","~*"),"?","~?"),'DADOS_MELHORIAS'!$O$2:$X$113,10,FALSE),$NA17))</f>
        <v/>
      </c>
      <c r="RO17">
        <f>IFERROR(INDEX('DADOS_FORMAS'!$BJ$2:$BJ$21,MATCH(SUBSTITUTE(SUBSTITUTE(SUBSTITUTE($MU17,"~","~~"),"*","~*"),"?","~?"),'DADOS_FORMAS'!$AH$2:$AH$21,0)),"")</f>
        <v/>
      </c>
      <c r="RP17">
        <f>IFERROR(VLOOKUP(SUBSTITUTE(SUBSTITUTE(SUBSTITUTE(IFERROR(INDEX('DADOS_FORMAS'!$AS$2:$AS$21,MATCH(SUBSTITUTE(SUBSTITUTE(SUBSTITUTE($MU17,"~","~~"),"*","~*"),"?","~?"),'DADOS_FORMAS'!$AH$2:$AH$21,0)),""),"~","~~"),"*","~*"),"?","~?"),'DADOS_RESTRICOES'!$M$2:$Q$54,2,FALSE),"")</f>
        <v/>
      </c>
      <c r="RQ17">
        <f>$OK17</f>
        <v/>
      </c>
      <c r="RR17">
        <f>$OL17</f>
        <v/>
      </c>
      <c r="RS17">
        <f>$RP17</f>
        <v/>
      </c>
    </row>
    <row r="18">
      <c r="AH18" s="162" t="inlineStr">
        <is>
          <t>Cone · classe 0</t>
        </is>
      </c>
      <c r="AI18" s="162" t="inlineStr">
        <is>
          <t>Cone de 3 m</t>
        </is>
      </c>
      <c r="AJ18" s="162" t="inlineStr">
        <is>
          <t>Cone de 4,5 m</t>
        </is>
      </c>
      <c r="AK18" s="162" t="inlineStr">
        <is>
          <t>Cone de 9 m</t>
        </is>
      </c>
      <c r="AL18" s="162" t="inlineStr">
        <is>
          <t>Cone de 18 m</t>
        </is>
      </c>
      <c r="AM18" s="162" t="inlineStr">
        <is>
          <t>Cone de 30 m</t>
        </is>
      </c>
      <c r="AN18" s="162" t="inlineStr">
        <is>
          <t>Cone de 60 m</t>
        </is>
      </c>
      <c r="AO18" s="162" t="inlineStr"/>
      <c r="AP18" s="162" t="inlineStr"/>
      <c r="AQ18" s="162" t="inlineStr"/>
      <c r="AR18" s="162" t="inlineStr"/>
      <c r="AS18" s="162" t="inlineStr"/>
      <c r="AT18" s="162" t="inlineStr"/>
      <c r="AV18" s="162" t="inlineStr">
        <is>
          <t>Inescapável</t>
        </is>
      </c>
      <c r="AW18" s="162" t="inlineStr">
        <is>
          <t>Mira</t>
        </is>
      </c>
      <c r="AX18" s="164" t="n">
        <v>2</v>
      </c>
      <c r="AY18" s="164" t="n">
        <v>0</v>
      </c>
      <c r="AZ18" s="164" t="n">
        <v>0</v>
      </c>
      <c r="BA18" s="164" t="n">
        <v>0</v>
      </c>
      <c r="BC18" s="162" t="inlineStr">
        <is>
          <t>Aquecer</t>
        </is>
      </c>
      <c r="BD18" s="162" t="inlineStr">
        <is>
          <t>Aquecer</t>
        </is>
      </c>
      <c r="BE18" s="164" t="n">
        <v>1</v>
      </c>
      <c r="BF18" s="164" t="n">
        <v>1</v>
      </c>
      <c r="BG18" s="162" t="inlineStr">
        <is>
          <t>Aquecer</t>
        </is>
      </c>
      <c r="CC18" s="162" t="inlineStr">
        <is>
          <t>Sentir Energia</t>
        </is>
      </c>
      <c r="CD18" s="162" t="inlineStr">
        <is>
          <t>Essência</t>
        </is>
      </c>
      <c r="JT18" s="164">
        <f>IF(OR($AW18="",(COUNTIF($EL$2:$EP$2,$AW18)+COUNTIF($QV$2:$QY$2,$AW18))&gt;0),$AV18,"")</f>
        <v/>
      </c>
      <c r="JU18" s="164">
        <f>IF(AND($AX18=1,OR($AW18="",(COUNTIF($EL$2:$EP$2,$AW18)+COUNTIF($QV$2:$QY$2,$AW18))&gt;0)),$AV18,"")</f>
        <v/>
      </c>
      <c r="JZ18" s="164">
        <f>IF(OR($AW18="",(COUNTIF($EL$3:$EP$3,$AW18)+COUNTIF($QV$3:$QY$3,$AW18))&gt;0),$AV18,"")</f>
        <v/>
      </c>
      <c r="KA18" s="164">
        <f>IF(AND($AX18=1,OR($AW18="",(COUNTIF($EL$3:$EP$3,$AW18)+COUNTIF($QV$3:$QY$3,$AW18))&gt;0)),$AV18,"")</f>
        <v/>
      </c>
      <c r="KF18" s="164">
        <f>IF(OR($AW18="",(COUNTIF($EL$4:$EP$4,$AW18)+COUNTIF($QV$4:$QY$4,$AW18))&gt;0),$AV18,"")</f>
        <v/>
      </c>
      <c r="KG18" s="164">
        <f>IF(AND($AX18=1,OR($AW18="",(COUNTIF($EL$4:$EP$4,$AW18)+COUNTIF($QV$4:$QY$4,$AW18))&gt;0)),$AV18,"")</f>
        <v/>
      </c>
      <c r="KL18" s="164">
        <f>IF(OR($AW18="",(COUNTIF($EL$5:$EP$5,$AW18)+COUNTIF($QV$5:$QY$5,$AW18))&gt;0),$AV18,"")</f>
        <v/>
      </c>
      <c r="KM18" s="164">
        <f>IF(AND($AX18=1,OR($AW18="",(COUNTIF($EL$5:$EP$5,$AW18)+COUNTIF($QV$5:$QY$5,$AW18))&gt;0)),$AV18,"")</f>
        <v/>
      </c>
      <c r="KR18" s="164">
        <f>IF(OR($AW18="",(COUNTIF($EL$6:$EP$6,$AW18)+COUNTIF($QV$6:$QY$6,$AW18))&gt;0),$AV18,"")</f>
        <v/>
      </c>
      <c r="KS18" s="164">
        <f>IF(AND($AX18=1,OR($AW18="",(COUNTIF($EL$6:$EP$6,$AW18)+COUNTIF($QV$6:$QY$6,$AW18))&gt;0)),$AV18,"")</f>
        <v/>
      </c>
      <c r="KX18" s="164">
        <f>IF(OR($AW18="",(COUNTIF($EL$7:$EP$7,$AW18)+COUNTIF($QV$7:$QY$7,$AW18))&gt;0),$AV18,"")</f>
        <v/>
      </c>
      <c r="KY18" s="164">
        <f>IF(AND($AX18=1,OR($AW18="",(COUNTIF($EL$7:$EP$7,$AW18)+COUNTIF($QV$7:$QY$7,$AW18))&gt;0)),$AV18,"")</f>
        <v/>
      </c>
      <c r="LD18" s="164">
        <f>IF(OR($AW18="",(COUNTIF($EL$8:$EP$8,$AW18)+COUNTIF($QV$8:$QY$8,$AW18))&gt;0),$AV18,"")</f>
        <v/>
      </c>
      <c r="LE18" s="164">
        <f>IF(AND($AX18=1,OR($AW18="",(COUNTIF($EL$8:$EP$8,$AW18)+COUNTIF($QV$8:$QY$8,$AW18))&gt;0)),$AV18,"")</f>
        <v/>
      </c>
      <c r="LJ18" s="164">
        <f>IF(OR($AW18="",(COUNTIF($EL$9:$EP$9,$AW18)+COUNTIF($QV$9:$QY$9,$AW18))&gt;0),$AV18,"")</f>
        <v/>
      </c>
      <c r="LK18" s="164">
        <f>IF(AND($AX18=1,OR($AW18="",(COUNTIF($EL$9:$EP$9,$AW18)+COUNTIF($QV$9:$QY$9,$AW18))&gt;0)),$AV18,"")</f>
        <v/>
      </c>
      <c r="LP18" s="164">
        <f>IF(OR($AW18="",(COUNTIF($EL$10:$EP$10,$AW18)+COUNTIF($QV$10:$QY$10,$AW18))&gt;0),$AV18,"")</f>
        <v/>
      </c>
      <c r="LQ18" s="164">
        <f>IF(AND($AX18=1,OR($AW18="",(COUNTIF($EL$10:$EP$10,$AW18)+COUNTIF($QV$10:$QY$10,$AW18))&gt;0)),$AV18,"")</f>
        <v/>
      </c>
      <c r="LV18" s="164">
        <f>IF(OR($AW18="",(COUNTIF($EL$11:$EP$11,$AW18)+COUNTIF($QV$11:$QY$11,$AW18))&gt;0),$AV18,"")</f>
        <v/>
      </c>
      <c r="LW18" s="164">
        <f>IF(AND($AX18=1,OR($AW18="",(COUNTIF($EL$11:$EP$11,$AW18)+COUNTIF($QV$11:$QY$11,$AW18))&gt;0)),$AV18,"")</f>
        <v/>
      </c>
      <c r="MB18" s="164">
        <f>IF(OR($AW18="",(COUNTIF($EL$12:$EP$12,$AW18)+COUNTIF($QV$12:$QY$12,$AW18))&gt;0),$AV18,"")</f>
        <v/>
      </c>
      <c r="MC18" s="164">
        <f>IF(AND($AX18=1,OR($AW18="",(COUNTIF($EL$12:$EP$12,$AW18)+COUNTIF($QV$12:$QY$12,$AW18))&gt;0)),$AV18,"")</f>
        <v/>
      </c>
      <c r="MH18" s="164">
        <f>IF(OR($AW18="",(COUNTIF($EL$13:$EP$13,$AW18)+COUNTIF($QV$13:$QY$13,$AW18))&gt;0),$AV18,"")</f>
        <v/>
      </c>
      <c r="MI18" s="164">
        <f>IF(AND($AX18=1,OR($AW18="",(COUNTIF($EL$13:$EP$13,$AW18)+COUNTIF($QV$13:$QY$13,$AW18))&gt;0)),$AV18,"")</f>
        <v/>
      </c>
      <c r="MN18" s="162" t="inlineStr">
        <is>
          <t>Ficha 2 · Básica 2</t>
        </is>
      </c>
      <c r="MO18" s="164" t="n">
        <v>2</v>
      </c>
      <c r="MP18" s="164" t="n">
        <v>0</v>
      </c>
      <c r="MQ18" s="164" t="n">
        <v>11</v>
      </c>
      <c r="MR18" s="162" t="inlineStr">
        <is>
          <t>BÁSICA 2</t>
        </is>
      </c>
      <c r="MS18" s="164" t="n">
        <v>0</v>
      </c>
      <c r="MT18" s="164">
        <f>'INVOCAÇÕES'!$J$316&amp;""</f>
        <v/>
      </c>
      <c r="MU18" s="164">
        <f>'INVOCAÇÕES'!$I$321&amp;""</f>
        <v/>
      </c>
      <c r="MV18" s="164">
        <f>'INVOCAÇÕES'!$I$322&amp;""</f>
        <v/>
      </c>
      <c r="MW18" s="164">
        <f>'INVOCAÇÕES'!$K$322&amp;""</f>
        <v/>
      </c>
      <c r="MX18" s="164">
        <f>'INVOCAÇÕES'!$J$325&amp;""</f>
        <v/>
      </c>
      <c r="MY18" s="164">
        <f>'INVOCAÇÕES'!$J$326&amp;""</f>
        <v/>
      </c>
      <c r="MZ18" s="164">
        <f>'INVOCAÇÕES'!$J$327&amp;""</f>
        <v/>
      </c>
      <c r="NA18" s="164">
        <f>'INVOCAÇÕES'!$J$328&amp;""</f>
        <v/>
      </c>
      <c r="NB18" s="164">
        <f>'INVOCAÇÕES'!$J$329&amp;""</f>
        <v/>
      </c>
      <c r="NC18" s="164">
        <f>'INVOCAÇÕES'!$J$330&amp;""</f>
        <v/>
      </c>
      <c r="ND18" s="164">
        <f>IF($MT18&lt;&gt;"",1,0)</f>
        <v/>
      </c>
      <c r="NE18" s="164">
        <f>INDEX($FO$2:$FO$13,$MO18)</f>
        <v/>
      </c>
      <c r="NF18" s="164">
        <f>INDEX($FP$2:$FP$13,$MO18)</f>
        <v/>
      </c>
      <c r="NG18" s="164">
        <f>INDEX($FQ$2:$FQ$13,$MO18)</f>
        <v/>
      </c>
      <c r="NH18" s="164">
        <f>INDEX($GB$2:$GB$13,$MO18)</f>
        <v/>
      </c>
      <c r="NI18" s="164">
        <f>INDEX($GC$2:$GC$13,$MO18)</f>
        <v/>
      </c>
      <c r="NJ18" s="164">
        <f>IFERROR(MATCH(SUBSTITUTE(SUBSTITUTE(SUBSTITUTE($MU18,"~","~~"),"*","~*"),"?","~?"),'DADOS_FORMAS'!$FZ$2:$FZ$21,0),0)</f>
        <v/>
      </c>
      <c r="NK18" s="164">
        <f>IFERROR(VLOOKUP(SUBSTITUTE(SUBSTITUTE(SUBSTITUTE($MX18,"~","~~"),"*","~*"),"?","~?"),'DADOS_MELHORIAS'!$AG$2:$AL$113,2,FALSE),"")</f>
        <v/>
      </c>
      <c r="NL18" s="164">
        <f>IFERROR(VLOOKUP(SUBSTITUTE(SUBSTITUTE(SUBSTITUTE($MY18,"~","~~"),"*","~*"),"?","~?"),'DADOS_MELHORIAS'!$AG$2:$AL$113,2,FALSE),"")</f>
        <v/>
      </c>
      <c r="NM18" s="164">
        <f>IFERROR(VLOOKUP(SUBSTITUTE(SUBSTITUTE(SUBSTITUTE($MZ18,"~","~~"),"*","~*"),"?","~?"),'DADOS_MELHORIAS'!$AG$2:$AL$113,2,FALSE),"")</f>
        <v/>
      </c>
      <c r="NN18" s="164">
        <f>IFERROR(VLOOKUP(SUBSTITUTE(SUBSTITUTE(SUBSTITUTE($NA18,"~","~~"),"*","~*"),"?","~?"),'DADOS_MELHORIAS'!$AG$2:$AL$113,2,FALSE),"")</f>
        <v/>
      </c>
      <c r="NO18" s="164">
        <f>IFERROR(VLOOKUP(SUBSTITUTE(SUBSTITUTE(SUBSTITUTE($MX18,"~","~~"),"*","~*"),"?","~?"),'DADOS_MELHORIAS'!$AG$2:$AL$113,3,FALSE),0)</f>
        <v/>
      </c>
      <c r="NP18" s="164">
        <f>IFERROR(VLOOKUP(SUBSTITUTE(SUBSTITUTE(SUBSTITUTE($MY18,"~","~~"),"*","~*"),"?","~?"),'DADOS_MELHORIAS'!$AG$2:$AL$113,3,FALSE),0)</f>
        <v/>
      </c>
      <c r="NQ18" s="164">
        <f>IFERROR(VLOOKUP(SUBSTITUTE(SUBSTITUTE(SUBSTITUTE($MZ18,"~","~~"),"*","~*"),"?","~?"),'DADOS_MELHORIAS'!$AG$2:$AL$113,3,FALSE),0)</f>
        <v/>
      </c>
      <c r="NR18" s="164">
        <f>IFERROR(VLOOKUP(SUBSTITUTE(SUBSTITUTE(SUBSTITUTE($NA18,"~","~~"),"*","~*"),"?","~?"),'DADOS_MELHORIAS'!$AG$2:$AL$113,3,FALSE),0)</f>
        <v/>
      </c>
      <c r="NS18" s="164">
        <f>IF($MS18=0,0,IF($NJ18=0,0,INDEX('DADOS_FORMAS'!$GB$2:$GB$21,$NJ18)))</f>
        <v/>
      </c>
      <c r="NT18" s="164">
        <f>IF(OR($NO18=0,$MS18=0),0,$NO18+3*IF(AND($NK18&lt;&gt;"",COUNTIF(INDEX($RB$2:$RJ$13,$MO18,0),$NK18)&gt;0),1,0))</f>
        <v/>
      </c>
      <c r="NU18" s="164">
        <f>IF(OR($NP18=0,$MS18=0),0,$NP18+3*IF(AND($NL18&lt;&gt;"",COUNTIF(INDEX($RB$2:$RJ$13,$MO18,0),$NL18)&gt;0),1,0))</f>
        <v/>
      </c>
      <c r="NV18" s="164">
        <f>IF(OR($NQ18=0,$MS18=0),0,$NQ18+3*IF(AND($NM18&lt;&gt;"",COUNTIF(INDEX($RB$2:$RJ$13,$MO18,0),$NM18)&gt;0),1,0))</f>
        <v/>
      </c>
      <c r="NW18" s="164">
        <f>IF(OR($NR18=0,$MS18=0),0,$NR18+3*IF(AND($NN18&lt;&gt;"",COUNTIF(INDEX($RB$2:$RJ$13,$MO18,0),$NN18)&gt;0),1,0))</f>
        <v/>
      </c>
      <c r="NX18" s="164">
        <f>IF($NJ18=0,0,IF(INDEX('DADOS_FORMAS'!$GA$2:$GA$21,$NJ18)="",0,IF((COUNTIF(INDEX($EL$2:$EP$13,$MO18,0),INDEX('DADOS_FORMAS'!$GA$2:$GA$21,$NJ18))+COUNTIF(INDEX($QV$2:$QY$13,$MO18,0),INDEX('DADOS_FORMAS'!$GA$2:$GA$21,$NJ18)))=0,1,0)))</f>
        <v/>
      </c>
      <c r="NY18" s="164">
        <f>IF(OR($NO18=0,$NK18=""),0,IF((COUNTIF(INDEX($EL$2:$EP$13,$MO18,0),$NK18)+COUNTIF(INDEX($QV$2:$QY$13,$MO18,0),$NK18))=0,1,0))</f>
        <v/>
      </c>
      <c r="NZ18" s="164">
        <f>IF(OR($NP18=0,$NL18=""),0,IF((COUNTIF(INDEX($EL$2:$EP$13,$MO18,0),$NL18)+COUNTIF(INDEX($QV$2:$QY$13,$MO18,0),$NL18))=0,1,0))</f>
        <v/>
      </c>
      <c r="OA18" s="164">
        <f>IF(OR($NQ18=0,$NM18=""),0,IF((COUNTIF(INDEX($EL$2:$EP$13,$MO18,0),$NM18)+COUNTIF(INDEX($QV$2:$QY$13,$MO18,0),$NM18))=0,1,0))</f>
        <v/>
      </c>
      <c r="OB18" s="164">
        <f>IF(OR($NR18=0,$NN18=""),0,IF((COUNTIF(INDEX($EL$2:$EP$13,$MO18,0),$NN18)+COUNTIF(INDEX($QV$2:$QY$13,$MO18,0),$NN18))=0,1,0))</f>
        <v/>
      </c>
      <c r="OC18" s="164">
        <f>IFERROR(VLOOKUP(SUBSTITUTE(SUBSTITUTE(SUBSTITUTE($MX18,"~","~~"),"*","~*"),"?","~?"),'DADOS_MELHORIAS'!$AG$2:$AL$113,4,FALSE),0)+IFERROR(VLOOKUP(SUBSTITUTE(SUBSTITUTE(SUBSTITUTE($MY18,"~","~~"),"*","~*"),"?","~?"),'DADOS_MELHORIAS'!$AG$2:$AL$113,4,FALSE),0)+IFERROR(VLOOKUP(SUBSTITUTE(SUBSTITUTE(SUBSTITUTE($MZ18,"~","~~"),"*","~*"),"?","~?"),'DADOS_MELHORIAS'!$AG$2:$AL$113,4,FALSE),0)+IFERROR(VLOOKUP(SUBSTITUTE(SUBSTITUTE(SUBSTITUTE($NA18,"~","~~"),"*","~*"),"?","~?"),'DADOS_MELHORIAS'!$AG$2:$AL$113,4,FALSE),0)</f>
        <v/>
      </c>
      <c r="OD18" s="164">
        <f>IFERROR(VLOOKUP(SUBSTITUTE(SUBSTITUTE(SUBSTITUTE($MX18,"~","~~"),"*","~*"),"?","~?"),'DADOS_MELHORIAS'!$AG$2:$AL$113,6,FALSE),0)+IFERROR(VLOOKUP(SUBSTITUTE(SUBSTITUTE(SUBSTITUTE($MY18,"~","~~"),"*","~*"),"?","~?"),'DADOS_MELHORIAS'!$AG$2:$AL$113,6,FALSE),0)+IFERROR(VLOOKUP(SUBSTITUTE(SUBSTITUTE(SUBSTITUTE($MZ18,"~","~~"),"*","~*"),"?","~?"),'DADOS_MELHORIAS'!$AG$2:$AL$113,6,FALSE),0)+IFERROR(VLOOKUP(SUBSTITUTE(SUBSTITUTE(SUBSTITUTE($NA18,"~","~~"),"*","~*"),"?","~?"),'DADOS_MELHORIAS'!$AG$2:$AL$113,6,FALSE),0)+IFERROR(N(AND(INDEX('DADOS_FORMAS'!$AO$2:$AO$21,MATCH(SUBSTITUTE(SUBSTITUTE(SUBSTITUTE($MU18,"~","~~"),"*","~*"),"?","~?"),'DADOS_FORMAS'!$AH$2:$AH$21,0))="Acerto",$OH18=1)),0)</f>
        <v/>
      </c>
      <c r="OE18" s="164">
        <f>TEXTJOIN(", ",TRUE,IF(IFERROR(VLOOKUP(SUBSTITUTE(SUBSTITUTE(SUBSTITUTE($MX18,"~","~~"),"*","~*"),"?","~?"),'DADOS_MELHORIAS'!$AG$2:$AL$113,5,FALSE),0)=1,$MX18,""),IF(IFERROR(VLOOKUP(SUBSTITUTE(SUBSTITUTE(SUBSTITUTE($MY18,"~","~~"),"*","~*"),"?","~?"),'DADOS_MELHORIAS'!$AG$2:$AL$113,5,FALSE),0)=1,$MY18,""),IF(IFERROR(VLOOKUP(SUBSTITUTE(SUBSTITUTE(SUBSTITUTE($MZ18,"~","~~"),"*","~*"),"?","~?"),'DADOS_MELHORIAS'!$AG$2:$AL$113,5,FALSE),0)=1,$MZ18,""),IF(IFERROR(VLOOKUP(SUBSTITUTE(SUBSTITUTE(SUBSTITUTE($NA18,"~","~~"),"*","~*"),"?","~?"),'DADOS_MELHORIAS'!$AG$2:$AL$113,5,FALSE),0)=1,$NA18,""))</f>
        <v/>
      </c>
      <c r="OF18" s="164">
        <f>IF($NJ18=0,0,INDEX('DADOS_FORMAS'!$GC$2:$GC$21,$NJ18))</f>
        <v/>
      </c>
      <c r="OG18" s="164">
        <f>IF($NJ18=0,0,INDEX('DADOS_FORMAS'!$GD$2:$GD$21,$NJ18))</f>
        <v/>
      </c>
      <c r="OH18" s="164">
        <f>IF($NJ18=0,0,INDEX('DADOS_FORMAS'!$GF$2:$GF$21,$NJ18))</f>
        <v/>
      </c>
      <c r="OI18" s="164">
        <f>IFERROR(VLOOKUP(SUBSTITUTE(SUBSTITUTE(SUBSTITUTE($NB18,"~","~~"),"*","~*"),"?","~?"),'DADOS_RESTRICOES'!$M$2:$Q$54,3,FALSE),0)</f>
        <v/>
      </c>
      <c r="OJ18" s="164">
        <f>IFERROR(VLOOKUP(SUBSTITUTE(SUBSTITUTE(SUBSTITUTE($NC18,"~","~~"),"*","~*"),"?","~?"),'DADOS_RESTRICOES'!$M$2:$Q$54,3,FALSE),0)</f>
        <v/>
      </c>
      <c r="OK18" s="164">
        <f>IFERROR(VLOOKUP(SUBSTITUTE(SUBSTITUTE(SUBSTITUTE($NB18,"~","~~"),"*","~*"),"?","~?"),'DADOS_RESTRICOES'!$M$2:$Q$54,2,FALSE),"")</f>
        <v/>
      </c>
      <c r="OL18" s="164">
        <f>IFERROR(VLOOKUP(SUBSTITUTE(SUBSTITUTE(SUBSTITUTE($NC18,"~","~~"),"*","~*"),"?","~?"),'DADOS_RESTRICOES'!$M$2:$Q$54,2,FALSE),"")</f>
        <v/>
      </c>
      <c r="OM18" s="164">
        <f>COUNTIF($NS18:$NW18,1)</f>
        <v/>
      </c>
      <c r="ON18" s="164">
        <f>COUNTIF($NS18:$NW18,2)</f>
        <v/>
      </c>
      <c r="OO18" s="164">
        <f>COUNTIF($NS18:$NW18,3)</f>
        <v/>
      </c>
      <c r="OP18" s="164">
        <f>COUNTIF($NS18:$NW18,4)</f>
        <v/>
      </c>
      <c r="OQ18" s="164">
        <f>COUNTIF($NS18:$NW18,5)</f>
        <v/>
      </c>
      <c r="OR18" s="164">
        <f>COUNTIF($NS18:$NW18,6)</f>
        <v/>
      </c>
      <c r="OS18" s="164">
        <f>COUNTIF($OI18:$OJ18,1)+IF(IFERROR(INDEX('DADOS_FORMAS'!$AS$2:$AS$21,MATCH(SUBSTITUTE(SUBSTITUTE(SUBSTITUTE($MU18,"~","~~"),"*","~*"),"?","~?"),'DADOS_FORMAS'!$AH$2:$AH$21,0)),"")="",0,IFERROR(N(VLOOKUP(SUBSTITUTE(SUBSTITUTE(SUBSTITUTE(IFERROR(INDEX('DADOS_FORMAS'!$AS$2:$AS$21,MATCH(SUBSTITUTE(SUBSTITUTE(SUBSTITUTE($MU18,"~","~~"),"*","~*"),"?","~?"),'DADOS_FORMAS'!$AH$2:$AH$21,0)),""),"~","~~"),"*","~*"),"?","~?"),'DADOS_RESTRICOES'!$M$2:$Q$54,3,FALSE)=1),0))</f>
        <v/>
      </c>
      <c r="OT18" s="164">
        <f>COUNTIF($OI18:$OJ18,2)+IF(IFERROR(INDEX('DADOS_FORMAS'!$AS$2:$AS$21,MATCH(SUBSTITUTE(SUBSTITUTE(SUBSTITUTE($MU18,"~","~~"),"*","~*"),"?","~?"),'DADOS_FORMAS'!$AH$2:$AH$21,0)),"")="",0,IFERROR(N(VLOOKUP(SUBSTITUTE(SUBSTITUTE(SUBSTITUTE(IFERROR(INDEX('DADOS_FORMAS'!$AS$2:$AS$21,MATCH(SUBSTITUTE(SUBSTITUTE(SUBSTITUTE($MU18,"~","~~"),"*","~*"),"?","~?"),'DADOS_FORMAS'!$AH$2:$AH$21,0)),""),"~","~~"),"*","~*"),"?","~?"),'DADOS_RESTRICOES'!$M$2:$Q$54,3,FALSE)=2),0))</f>
        <v/>
      </c>
      <c r="OU18" s="164">
        <f>COUNTIF($MX18:$NA18,"?*")</f>
        <v/>
      </c>
      <c r="OV18" s="164">
        <f>COUNTIF($NB18:$NC18,"?*")+$OF18</f>
        <v/>
      </c>
      <c r="OW18" s="164">
        <f>IF($MS18=0,0,SUMPRODUCT($OM18:$OR18,INDEX($I$2:$N$8,MAX(1,$MS18),0)))</f>
        <v/>
      </c>
      <c r="OX18" s="164">
        <f>IF($MS18=0,0,$OS18*CEILING($MS18/2,1)+$OT18*$MS18)</f>
        <v/>
      </c>
      <c r="OY18" s="164">
        <f>MIN(2*$MS18,$OX18)</f>
        <v/>
      </c>
      <c r="OZ18" s="164">
        <f>MIN($OY18,$OW18-IF($NS18=0,0,INDEX($I$2:$N$8,MAX(1,$MS18),$NS18)))</f>
        <v/>
      </c>
      <c r="PA18" s="164">
        <f>$OY18-$OZ18</f>
        <v/>
      </c>
      <c r="PB18" s="164">
        <f>IF($MS18=0,0,INDEX($P$2:$P$8,MAX(1,$MS18)))</f>
        <v/>
      </c>
      <c r="PC18" s="164">
        <f>$PB18-$OW18+$OZ18</f>
        <v/>
      </c>
      <c r="PD18" s="164">
        <f>IF($MS18=0,MAX(0,$NG18-IF(AND($OU18&gt;0,COUNTIF($NB18:$NC18,"?*")=0),1,0)),MAX(0,$PC18))</f>
        <v/>
      </c>
      <c r="PE18" s="164">
        <f>IF($MS18=0,0,(IF(COUNTIF($RK18:$RN18,"Salto")&gt;0,1,0)+IF(COUNTIF($RK18:$RN18,"Queima")&gt;0,1,0)+IF(COUNTIF($RK18:$RN18,"Estilhaço")&gt;0,1,0))*FLOOR($PD18/2,1))</f>
        <v/>
      </c>
      <c r="PF18" s="164">
        <f>MAX(0,2-SUMPRODUCT($OM18:$OR18,$I$2:$N$2)+MIN(2,$OS18*1+$OT18*1,SUMPRODUCT($OM18:$OR18,$I$2:$N$2)-IF($NS18=0,0,INDEX($I$2:$N$2,1,$NS18))))</f>
        <v/>
      </c>
      <c r="PG18" s="164">
        <f>MAX(0,4-SUMPRODUCT($OM18:$OR18,$I$3:$N$3)+MIN(4,$OS18*1+$OT18*2,SUMPRODUCT($OM18:$OR18,$I$3:$N$3)-IF($NS18=0,0,INDEX($I$3:$N$3,1,$NS18))))</f>
        <v/>
      </c>
      <c r="PH18" s="164">
        <f>MAX(0,6-SUMPRODUCT($OM18:$OR18,$I$4:$N$4)+MIN(6,$OS18*2+$OT18*3,SUMPRODUCT($OM18:$OR18,$I$4:$N$4)-IF($NS18=0,0,INDEX($I$4:$N$4,1,$NS18))))</f>
        <v/>
      </c>
      <c r="PI18" s="164">
        <f>MAX(0,9-SUMPRODUCT($OM18:$OR18,$I$5:$N$5)+MIN(8,$OS18*2+$OT18*4,SUMPRODUCT($OM18:$OR18,$I$5:$N$5)-IF($NS18=0,0,INDEX($I$5:$N$5,1,$NS18))))</f>
        <v/>
      </c>
      <c r="PJ18" s="164">
        <f>MAX(0,11-SUMPRODUCT($OM18:$OR18,$I$6:$N$6)+MIN(10,$OS18*3+$OT18*5,SUMPRODUCT($OM18:$OR18,$I$6:$N$6)-IF($NS18=0,0,INDEX($I$6:$N$6,1,$NS18))))</f>
        <v/>
      </c>
      <c r="PK18" s="164">
        <f>MAX(0,13-SUMPRODUCT($OM18:$OR18,$I$7:$N$7)+MIN(12,$OS18*3+$OT18*6,SUMPRODUCT($OM18:$OR18,$I$7:$N$7)-IF($NS18=0,0,INDEX($I$7:$N$7,1,$NS18))))</f>
        <v/>
      </c>
      <c r="PL18" s="164">
        <f>MAX(0,16-SUMPRODUCT($OM18:$OR18,$I$8:$N$8)+MIN(14,$OS18*4+$OT18*7,SUMPRODUCT($OM18:$OR18,$I$8:$N$8)-IF($NS18=0,0,INDEX($I$8:$N$8,1,$NS18))))</f>
        <v/>
      </c>
      <c r="PM18" s="164">
        <f>IF($OG18=2,3*$PF18&amp;" de vida temp.",IF($OG18=3,"sem dano",IF($PF18=0,IF($OG18=1,"sem cura","sem dano"),IF($OG18=1,"cura ","")&amp;$PF18&amp;"d8")))</f>
        <v/>
      </c>
      <c r="PN18" s="164">
        <f>IF($OG18=2,3*$PG18&amp;" de vida temp.",IF($OG18=3,"sem dano",IF($PG18=0,IF($OG18=1,"sem cura","sem dano"),IF($OG18=1,"cura ","")&amp;$PG18&amp;"d8")))</f>
        <v/>
      </c>
      <c r="PO18" s="164">
        <f>IF($OG18=2,3*$PH18&amp;" de vida temp.",IF($OG18=3,"sem dano",IF($PH18=0,IF($OG18=1,"sem cura","sem dano"),IF($OG18=1,"cura ","")&amp;$PH18&amp;"d8")))</f>
        <v/>
      </c>
      <c r="PP18" s="164">
        <f>IF($OG18=2,3*$PI18&amp;" de vida temp.",IF($OG18=3,"sem dano",IF($PI18=0,IF($OG18=1,"sem cura","sem dano"),IF($OG18=1,"cura ","")&amp;$PI18&amp;"d8")))</f>
        <v/>
      </c>
      <c r="PQ18" s="164">
        <f>IF($OG18=2,3*$PJ18&amp;" de vida temp.",IF($OG18=3,"sem dano",IF($PJ18=0,IF($OG18=1,"sem cura","sem dano"),IF($OG18=1,"cura ","")&amp;$PJ18&amp;"d8")))</f>
        <v/>
      </c>
      <c r="PR18" s="164">
        <f>IF($OG18=2,3*$PK18&amp;" de vida temp.",IF($OG18=3,"sem dano",IF($PK18=0,IF($OG18=1,"sem cura","sem dano"),IF($OG18=1,"cura ","")&amp;$PK18&amp;"d8")))</f>
        <v/>
      </c>
      <c r="PS18" s="164">
        <f>IF($OG18=2,3*$PL18&amp;" de vida temp.",IF($OG18=3,"sem dano",IF($PL18=0,IF($OG18=1,"sem cura","sem dano"),IF($OG18=1,"cura ","")&amp;$PL18&amp;"d8")))</f>
        <v/>
      </c>
      <c r="PT18" s="164">
        <f>IF($ND18=0,"",TEXTJOIN(" · ",TRUE,IF($ND18=0,"",TEXTJOIN(" · ",TRUE,IF($ND18=0,"",TEXTJOIN(" · ",TRUE,IF($MQ18&gt;$NE18,"Este lugar abre no nível "&amp;$MQ18,""),IF($MS18&gt;$NF18,"Classe "&amp;$MS18&amp;": o nível "&amp;$NE18&amp;" libera até a "&amp;$NF18,""),IF($NX18=1,"A Forma "&amp;$MU18&amp;" pede "&amp;INDEX('DADOS_FORMAS'!$GA$2:$GA$21,$NJ18)&amp;" aberta",""),IF(AND($MS18=0,$NJ18&gt;0,IF($NJ18=0,0,INDEX('DADOS_FORMAS'!$GJ$2:$GJ$21,$NJ18))=0),$MU18&amp;" não existe na Classe 0",""),IF($NY18=1,"Família Fechada: "&amp;$MX18,""),IF($NZ18=1,"Família Fechada: "&amp;$MY18,""),IF($OA18=1,"Família Fechada: "&amp;$MZ18,""),IF($OB18=1,"Família Fechada: "&amp;$NA18,""),IF(AND($MS18&gt;0,$OU18&gt;INDEX($O$2:$O$8,MAX(1,$MS18))),$OU18&amp;" Melhorias: a Classe "&amp;$MS18&amp;" aceita "&amp;INDEX($O$2:$O$8,MAX(1,$MS18)),""),IF(AND($MS18=0,$OU18&gt;1),"A básica aceita uma Melhoria",""),IF(AND($MS18=0,COUNTIF($NO18:$NR18,"&gt;1")&gt;0),"A básica só aceita Melhoria Leve",""),IF(AND($MS18&gt;0,$OV18&gt;2),$OV18&amp;" Restrições"&amp;IF($OF18=1,", contando a que a Forma "&amp;$MU18&amp;" já traz","")&amp;": o limite é 2",""),IF(AND($MS18=0,COUNTIF($NB18:$NC18,"?*")&gt;1),"A básica aceita uma Restrição Leve",""),IF(AND($MS18=0,COUNTIF($OI18:$OJ18,2)&gt;0),"A básica só aceita Restrição Leve",""),IF(AND($MS18&gt;0,$PC18&lt;0),"Orçamento estourado: faltam "&amp;(-$PC18)&amp;IF($PC18&lt;-1," pontos"," ponto"),""),IF(IFERROR(VLOOKUP(SUBSTITUTE(SUBSTITUTE(SUBSTITUTE($NB18,"~","~~"),"*","~*"),"?","~?"),'DADOS_RESTRICOES'!$M$2:$Q$54,4,FALSE),0)+IFERROR(VLOOKUP(SUBSTITUTE(SUBSTITUTE(SUBSTITUTE($NC18,"~","~~"),"*","~*"),"?","~?"),'DADOS_RESTRICOES'!$M$2:$Q$54,4,FALSE),0)&gt;1,$OK18&amp;" e "&amp;$OL18&amp;" são as duas de frequência",""),IF(AND((COUNTIF($RK18:$RN18,"Rápido")+COUNTIF($OK18:$OL18,"Rápido"))&gt;0,(COUNTIF($MX18:$NA18,"Atrasar")+COUNTIF($OK18:$OL18,"Atrasar"))&gt;0),"Rápido não entra com Atrasar",""),IF(AND((COUNTIF($RK18:$RN18,"Reação")+COUNTIF($OK18:$OL18,"Reação"))&gt;0,(COUNTIF($RK18:$RN18,"Rápido")+COUNTIF($OK18:$OL18,"Rápido"))&gt;0),"Reação não entra com Rápido",""),IF(AND((COUNTIF($RK18:$RN18,"Reação")+COUNTIF($OK18:$OL18,"Reação"))&gt;0,(COUNTIF($RK18:$RN18,"Armado")+COUNTIF($OK18:$OL18,"Armado"))&gt;0),"Reação não entra com Armado",""),IF(AND((COUNTIF($RK18:$RN18,"Reação")+COUNTIF($OK18:$OL18,"Reação"))&gt;0,(COUNTIF($MX18:$NA18,"Atrasar")+COUNTIF($OK18:$OL18,"Atrasar"))&gt;0),"Reação não entra com Atrasar",""),IF(AND((COUNTIF($RK18:$RN18,"Reação")+COUNTIF($OK18:$OL18,"Reação"))&gt;0,(COUNTIF($MX18:$NA18,"Parado")+COUNTIF($OK18:$OL18,"Parado"))&gt;0),"Reação não entra com Parado",""),IF(AND((COUNTIF($MX18:$NA18,"Atrasar")+COUNTIF($OK18:$OL18,"Atrasar"))&gt;0,(COUNTIF($MX18:$NA18,"Parado")+COUNTIF($OK18:$OL18,"Parado"))&gt;0),"Atrasar não entra com Parado",""),IF(AND((COUNTIF($RK18:$RN18,"Armado")+COUNTIF($OK18:$OL18,"Armado"))&gt;0,(COUNTIF($MX18:$NA18,"Carregar")+COUNTIF($OK18:$OL18,"Carregar"))&gt;0),"Armado não entra com Carregar",""),IF(AND(COUNTIF($OK18:$OL18,"Corpo a Corpo")&gt;0,$OF18=0,OR($RO18="Cone",$RO18="Linha")),"Corpo a Corpo não entra em "&amp;$MU18,""),IF(AND(COUNTIF($OK18:$OL18,"Corpo a Corpo")&gt;0,$RP18="Corpo a Corpo"),"A Forma "&amp;$MU18&amp;" já traz o Corpo a Corpo",""),IF(AND(COUNTIF($OK18:$OL18,"Tudo ou Nada")&gt;0,$OH18=0),"Tudo ou Nada só entra em habilidade de Teste de Resistência",""),IF(AND(COUNTIF($RK18:$RN18,"Inescapável")&gt;0,OR($OU18&gt;1,$OV18&gt;0)),"Inescapável não aceita outra peça",""),IF(AND($MS18&gt;0,$PD18*IF(COUNTIF($RK18:$RN18,"Remate")&gt;0,1.25,1)+$PE18&gt;4*$MS18),($PD18*IF(COUNTIF($RK18:$RN18,"Remate")&gt;0,1.25,1)+$PE18)&amp;" dados somando repetições"&amp;IF(COUNTIF($RK18:$RN18,"Remate")&gt;0," e o Remate","")&amp;": o teto da Classe "&amp;$MS18&amp;" é "&amp;4*$MS18,""))),IF(AND($MX18&lt;&gt;"",COUNTIF('DADOS_MELHORIAS'!$O$2:$O$113,SUBSTITUTE(SUBSTITUTE(SUBSTITUTE($MX18,"~","~~"),"*","~*"),"?","~?"))=0),"Melhoria não cadastrada ou com erro: "&amp;$MX18,""),IF(AND($MY18&lt;&gt;"",COUNTIF('DADOS_MELHORIAS'!$O$2:$O$113,SUBSTITUTE(SUBSTITUTE(SUBSTITUTE($MY18,"~","~~"),"*","~*"),"?","~?"))=0),"Melhoria não cadastrada ou com erro: "&amp;$MY18,""),IF(AND($MZ18&lt;&gt;"",COUNTIF('DADOS_MELHORIAS'!$O$2:$O$113,SUBSTITUTE(SUBSTITUTE(SUBSTITUTE($MZ18,"~","~~"),"*","~*"),"?","~?"))=0),"Melhoria não cadastrada ou com erro: "&amp;$MZ18,""),IF(AND($NA18&lt;&gt;"",COUNTIF('DADOS_MELHORIAS'!$O$2:$O$113,SUBSTITUTE(SUBSTITUTE(SUBSTITUTE($NA18,"~","~~"),"*","~*"),"?","~?"))=0),"Melhoria não cadastrada ou com erro: "&amp;$NA18,""),IF(AND($NB18&lt;&gt;"",COUNTIF('DADOS_RESTRICOES'!$M$2:$M$54,SUBSTITUTE(SUBSTITUTE(SUBSTITUTE($NB18,"~","~~"),"*","~*"),"?","~?"))=0),"Restrição não cadastrada ou com erro: "&amp;$NB18,""),IF(AND($NC18&lt;&gt;"",COUNTIF('DADOS_RESTRICOES'!$M$2:$M$54,SUBSTITUTE(SUBSTITUTE(SUBSTITUTE($NC18,"~","~~"),"*","~*"),"?","~?"))=0),"Restrição não cadastrada ou com erro: "&amp;$NC18,""))),IF(AND($MU18&lt;&gt;"",COUNTIF('DADOS_FORMAS'!$AH$2:$AH$21,SUBSTITUTE(SUBSTITUTE(SUBSTITUTE($MU18,"~","~~"),"*","~*"),"?","~?"))=0),"Forma não cadastrada ou com erro: "&amp;$MU18,""),IF(AND(IFERROR(INDEX('DADOS_FORMAS'!$AS$2:$AS$21,MATCH(SUBSTITUTE(SUBSTITUTE(SUBSTITUTE($MU18,"~","~~"),"*","~*"),"?","~?"),'DADOS_FORMAS'!$AH$2:$AH$21,0)),"")&lt;&gt;"",OR(IFERROR(VLOOKUP(SUBSTITUTE(SUBSTITUTE(SUBSTITUTE(IFERROR(INDEX('DADOS_FORMAS'!$AS$2:$AS$21,MATCH(SUBSTITUTE(SUBSTITUTE(SUBSTITUTE($MU18,"~","~~"),"*","~*"),"?","~?"),'DADOS_FORMAS'!$AH$2:$AH$21,0)),""),"~","~~"),"*","~*"),"?","~?"),'DADOS_RESTRICOES'!$M$2:$Q$54,2,FALSE),"")=$OK18,IFERROR(VLOOKUP(SUBSTITUTE(SUBSTITUTE(SUBSTITUTE(IFERROR(INDEX('DADOS_FORMAS'!$AS$2:$AS$21,MATCH(SUBSTITUTE(SUBSTITUTE(SUBSTITUTE($MU18,"~","~~"),"*","~*"),"?","~?"),'DADOS_FORMAS'!$AH$2:$AH$21,0)),""),"~","~~"),"*","~*"),"?","~?"),'DADOS_RESTRICOES'!$M$2:$Q$54,2,FALSE),"")=$OL18)),"Restrição repetida, contando a embutida",""),IF(IF(IFERROR(INDEX('DADOS_FORMAS'!$AS$2:$AS$21,MATCH(SUBSTITUTE(SUBSTITUTE(SUBSTITUTE($MU18,"~","~~"),"*","~*"),"?","~?"),'DADOS_FORMAS'!$AH$2:$AH$21,0)),"")="",0,IFERROR(N(VLOOKUP(SUBSTITUTE(SUBSTITUTE(SUBSTITUTE(IFERROR(INDEX('DADOS_FORMAS'!$AS$2:$AS$21,MATCH(SUBSTITUTE(SUBSTITUTE(SUBSTITUTE($MU18,"~","~~"),"*","~*"),"?","~?"),'DADOS_FORMAS'!$AH$2:$AH$21,0)),""),"~","~~"),"*","~*"),"?","~?"),'DADOS_RESTRICOES'!$M$2:$Q$54,4,FALSE)=1),0))+IF($NB18="",0,IFERROR(N(VLOOKUP(SUBSTITUTE(SUBSTITUTE(SUBSTITUTE($NB18,"~","~~"),"*","~*"),"?","~?"),'DADOS_RESTRICOES'!$M$2:$Q$54,4,FALSE)=1),0))+IF($NC18="",0,IFERROR(N(VLOOKUP(SUBSTITUTE(SUBSTITUTE(SUBSTITUTE($NC18,"~","~~"),"*","~*"),"?","~?"),'DADOS_RESTRICOES'!$M$2:$Q$54,4,FALSE)=1),0))&gt;1,"Duas Restrições de frequência, contando a embutida",""),IF(AND(IFERROR(VLOOKUP(SUBSTITUTE(SUBSTITUTE(SUBSTITUTE(IFERROR(INDEX('DADOS_FORMAS'!$AS$2:$AS$21,MATCH(SUBSTITUTE(SUBSTITUTE(SUBSTITUTE($MU18,"~","~~"),"*","~*"),"?","~?"),'DADOS_FORMAS'!$AH$2:$AH$21,0)),""),"~","~~"),"*","~*"),"?","~?"),'DADOS_RESTRICOES'!$M$2:$Q$54,2,FALSE),"")="Tudo ou Nada",$OH18=0),"Tudo ou Nada exige TR",""),IF(AND(IFERROR(VLOOKUP(SUBSTITUTE(SUBSTITUTE(SUBSTITUTE(IFERROR(INDEX('DADOS_FORMAS'!$AS$2:$AS$21,MATCH(SUBSTITUTE(SUBSTITUTE(SUBSTITUTE($MU18,"~","~~"),"*","~*"),"?","~?"),'DADOS_FORMAS'!$AH$2:$AH$21,0)),""),"~","~~"),"*","~*"),"?","~?"),'DADOS_RESTRICOES'!$M$2:$Q$54,2,FALSE),"")="Corpo a Corpo",OR($RO18="Cone",$RO18="Linha")),"Corpo a Corpo não entra em Cone/Linha","")))</f>
        <v/>
      </c>
      <c r="PU18" s="164">
        <f>IF($PT18="",0,(LEN($PT18)-LEN(SUBSTITUTE($PT18," · ","")))/3+1)</f>
        <v/>
      </c>
      <c r="PV18" s="164">
        <f>IF($ND18=0,"",TEXTJOIN(" · ",TRUE,IF($OX18&gt;2*$MS18,"A devolução parou no teto de "&amp;2*$MS18,""),IF($PA18&gt;0,"Devolução perdida: "&amp;$PA18&amp;IF($PA18&gt;1," pontos"," ponto")&amp;" sem Melhoria para pagar",""),IF(AND($OC18&gt;0,AND($MS18&gt;0,$OG18=0),$PD18=0),"Controle sem dano: uma rodada a mais e CD +2",""),IF(AND($OC18&gt;0,AND($MS18&gt;0,$OG18=0),$PD18&gt;0,$PD18&lt;=$MS18),"Controle com saldo até a Classe: uma rodada a mais",""),IF(AND($MS18&gt;0,$OE18&lt;&gt;""),"Efeito de "&amp;$OE18&amp;" pela Classe "&amp;MAX(1,$MS18-1),"")))</f>
        <v/>
      </c>
      <c r="PW18" s="164">
        <f>IF($PV18="",0,(LEN($PV18)-LEN(SUBSTITUTE($PV18," · ","")))/3+1)</f>
        <v/>
      </c>
      <c r="PX18" s="164">
        <f>IF($ND18=0,IF($OU18+COUNTIF($NB18:$NC18,"?*")&gt;0,"Dê um nome",""),IF($PU18&gt;0,"⚠ "&amp;$PU18&amp;IF($PU18&gt;1," erros"," erro"),IF($PW18&gt;0,"! "&amp;$PW18&amp;IF($PW18&gt;1," avisos"," aviso"),"Na regra")))</f>
        <v/>
      </c>
      <c r="PY18" s="164">
        <f>IF($ND18=0,"",IF($PU18+$PW18=0,"Dentro das regras que a ficha confere",$PT18&amp;IF(AND($PU18&gt;0,$PW18&gt;0)," · ","")&amp;$PV18))</f>
        <v/>
      </c>
      <c r="PZ18" s="164">
        <f>IF($MQ18&gt;$NE18,$MR18&amp;" · ABRE NO NÍVEL "&amp;$MQ18,$MR18)</f>
        <v/>
      </c>
      <c r="QA18" s="164">
        <f>IF($ND18=0,"",IF($MS18=0,"Sem PE",3*$MS18&amp;" PE"))</f>
        <v/>
      </c>
      <c r="QB18" s="164">
        <f>IF($ND18=0,"",IF($MS18=0,"A atuação básica dela",IF(COUNTIF($RQ18:$RS18,"Atrasar")&gt;0,"Sua Ação Completa",IF(COUNTIF($RK18:$RN18,"Rápido")&gt;0,"Sua Bônus",IF(COUNTIF($RK18:$RN18,"Reação")&gt;0,"Sua Reação","Sua Padrão")))&amp;" + a básica dela"&amp;IF(COUNTIF($RK18:$RN18,"Reação")&gt;0," e a coletiva","")&amp;IF(COUNTIF($RQ18:$RS18,"Carregar")&gt;0," · em dois turnos","")))</f>
        <v/>
      </c>
      <c r="QC18" s="164">
        <f>IF($MW18&lt;&gt;"",$MW18,IF($NJ18=0,"",INDEX('DADOS_FORMAS'!$GE$2:$GE$21,$NJ18)))</f>
        <v/>
      </c>
      <c r="QD18" s="164">
        <f>IF(OR($ND18=0,$NJ18=0),"",IF(COUNTIF($RK18:$RN18,"Inescapável")&gt;0,"Automático",IF($QC18="Ataque",IF($NH18="","Ataque","Ataque "&amp;IF(($NH18+2*IF(COUNTIF($RK18:$RN18,"Precisão")&gt;0,1,0))&gt;=0,"+","−")&amp;ABS(($NH18+2*IF(COUNTIF($RK18:$RN18,"Precisão")&gt;0,1,0))))&amp;IF($OD18&gt;0," · TR"&amp;IF($NI18="",""," CD "&amp;$NI18),""),IF(LEFT($QC18,2)="TR",$QC18&amp;IF($NI18="",""," · CD "&amp;$NI18)&amp;IF(COUNTIF($RK18:$RN18,"Certeiro")&gt;0," · metade",""),"Sem rolagem"))))</f>
        <v/>
      </c>
      <c r="QE18" s="164">
        <f>IF(OR($ND18=0,$NJ18=0),"",IF($MS18=0,IF(OR($OG18&gt;=1,$PD18=0),"Sem dano",$PD18&amp;"d6"&amp;IF($MV18="",""," "&amp;$MV18)),IF(OR($OG18&gt;=1,$PD18=0),UPPER(LEFT(INDEX($PM18:$PS18,1,MAX(1,$MS18)),1))&amp;MID(INDEX($PM18:$PS18,1,MAX(1,$MS18)),2,99),UPPER(LEFT(INDEX($PM18:$PS18,1,MAX(1,$MS18)),1))&amp;MID(INDEX($PM18:$PS18,1,MAX(1,$MS18)),2,99)&amp;IF($MV18="",""," "&amp;$MV18)&amp;IF($PE18&gt;0," · +"&amp;$PE18&amp;"d8",""))))</f>
        <v/>
      </c>
      <c r="QF18" s="164">
        <f>COUNTIF($RK18:$RN18,"Longe")+3*COUNTIF($RK18:$RN18,"Muito Longe")</f>
        <v/>
      </c>
      <c r="QG18" s="164">
        <f>COUNTIF($RK18:$RN18,"Maior")+3*COUNTIF($RK18:$RN18,"Muito Maior")</f>
        <v/>
      </c>
      <c r="QH18" s="164">
        <f>IF($NJ18=0,0,CHOOSE(1+INDEX('DADOS_FORMAS'!$GG$2:$GG$21,$NJ18),0,$QF18,$QG18,$QF18+$QG18))</f>
        <v/>
      </c>
      <c r="QI18" s="164">
        <f>IF($NJ18=0,0,CHOOSE(1+INDEX('DADOS_FORMAS'!$GH$2:$GH$21,$NJ18),0,$QF18,$QG18,$QF18+$QG18))</f>
        <v/>
      </c>
      <c r="QJ18" s="164">
        <f>IF(OR($ND18=0,$NJ18=0),"",INDEX('DADOS_FORMAS'!$HU$2:$HZ$81,($NJ18-1)*4+IF($MS18=0,1,IF($MS18&lt;=5,2,IF($MS18=6,3,4))),1+MIN(5,$QH18))&amp;INDEX('DADOS_FORMAS'!$IA$2:$IF$81,($NJ18-1)*4+IF($MS18=0,1,IF($MS18&lt;=5,2,IF($MS18=6,3,4))),1+MIN(5,$QI18))&amp;IF(INDEX('DADOS_FORMAS'!$GI$2:$GI$21,$NJ18)=1,IF(COUNTIF($RK18:$RN18,"Mais Um")&gt;0," · +"&amp;COUNTIF($RK18:$RN18,"Mais Um")&amp;IF(COUNTIF($RK18:$RN18,"Mais Um")&gt;1," alvos"," alvo"),"")&amp;IF(COUNTIF($RK18:$RN18,"Rajada")&gt;0,IF($MS18=0," · 1 tiro"," · "&amp;(MAX(1,$MS18-1)+1)&amp;" tiros"),""),""))</f>
        <v/>
      </c>
      <c r="QK18" s="164">
        <f>IF($ND18=0,"",IF($MS18=0,$NG18&amp;"d6"&amp;IF($OU18&gt;0," − 1 = "&amp;$PD18&amp;"d6"," da básica do nível "&amp;$NE18),$PB18&amp;" − "&amp;$OW18&amp;" + "&amp;$OZ18&amp;" = "&amp;$PC18&amp;" · teto "&amp;4*$MS18&amp;"d8"&amp;IF($OF18=1," · a Forma devolve "&amp;$MS18,"")&amp;IF($PA18&gt;0," · perde "&amp;$PA18,"")))</f>
        <v/>
      </c>
      <c r="QL18" s="164">
        <f>IF($ND18=0,"",IF($MS18=0,"A básica não amplia: os dados dela sobem com o nível",IF($MS18&gt;=$NF18,"Já está na maior Classe que o nível liberou",TEXTJOIN(" · ",TRUE,IF(AND(2&gt;$MS18,2&lt;=$NF18),"2 → "&amp;$PN18&amp;", 6 PE",""),IF(AND(3&gt;$MS18,3&lt;=$NF18),"3 → "&amp;$PO18&amp;", 9 PE",""),IF(AND(4&gt;$MS18,4&lt;=$NF18),"4 → "&amp;$PP18&amp;", 12 PE",""),IF(AND(5&gt;$MS18,5&lt;=$NF18),"5 → "&amp;$PQ18&amp;", 15 PE",""),IF(AND(6&gt;$MS18,6&lt;=$NF18),"6 → "&amp;$PR18&amp;", 18 PE",""),IF(AND(7&gt;$MS18,7&lt;=$NF18),"7 → "&amp;$PS18&amp;", 21 PE","")))))</f>
        <v/>
      </c>
      <c r="QM18" s="164">
        <f>IF(OR($ND18=0,$NO18=0),"",IF($MS18=0,"−1 dado","−"&amp;INDEX($I$2:$N$8,MAX(1,$MS18),MAX(1,$NT18))&amp;" · "&amp;CHOOSE(MAX(1,$NT18),"Leve","Média","Pesada","Leve · Livre","Média · Livre","Pesada · Livre")))</f>
        <v/>
      </c>
      <c r="QN18" s="164">
        <f>IF(OR($ND18=0,$NP18=0),"",IF($MS18=0,"−1 dado","−"&amp;INDEX($I$2:$N$8,MAX(1,$MS18),MAX(1,$NU18))&amp;" · "&amp;CHOOSE(MAX(1,$NU18),"Leve","Média","Pesada","Leve · Livre","Média · Livre","Pesada · Livre")))</f>
        <v/>
      </c>
      <c r="QO18" s="164">
        <f>IF(OR($ND18=0,$NQ18=0),"",IF($MS18=0,"−1 dado","−"&amp;INDEX($I$2:$N$8,MAX(1,$MS18),MAX(1,$NV18))&amp;" · "&amp;CHOOSE(MAX(1,$NV18),"Leve","Média","Pesada","Leve · Livre","Média · Livre","Pesada · Livre")))</f>
        <v/>
      </c>
      <c r="QP18" s="164">
        <f>IF(OR($ND18=0,$NR18=0),"",IF($MS18=0,"−1 dado","−"&amp;INDEX($I$2:$N$8,MAX(1,$MS18),MAX(1,$NW18))&amp;" · "&amp;CHOOSE(MAX(1,$NW18),"Leve","Média","Pesada","Leve · Livre","Média · Livre","Pesada · Livre")))</f>
        <v/>
      </c>
      <c r="QQ18" s="164">
        <f>IF(OR($ND18=0,$NB18=""),"",IF($MS18=0,"não devolve","+"&amp;IF($OI18=1,CEILING($MS18/2,1),$MS18)))</f>
        <v/>
      </c>
      <c r="QR18" s="164">
        <f>IF(OR($ND18=0,$NC18=""),"",IF($MS18=0,"não devolve","+"&amp;IF($OJ18=1,CEILING($MS18/2,1),$MS18)))</f>
        <v/>
      </c>
      <c r="RK18">
        <f>IF($MX18="","",IFERROR(VLOOKUP(SUBSTITUTE(SUBSTITUTE(SUBSTITUTE($MX18,"~","~~"),"*","~*"),"?","~?"),'DADOS_MELHORIAS'!$O$2:$X$113,10,FALSE),$MX18))</f>
        <v/>
      </c>
      <c r="RL18">
        <f>IF($MY18="","",IFERROR(VLOOKUP(SUBSTITUTE(SUBSTITUTE(SUBSTITUTE($MY18,"~","~~"),"*","~*"),"?","~?"),'DADOS_MELHORIAS'!$O$2:$X$113,10,FALSE),$MY18))</f>
        <v/>
      </c>
      <c r="RM18">
        <f>IF($MZ18="","",IFERROR(VLOOKUP(SUBSTITUTE(SUBSTITUTE(SUBSTITUTE($MZ18,"~","~~"),"*","~*"),"?","~?"),'DADOS_MELHORIAS'!$O$2:$X$113,10,FALSE),$MZ18))</f>
        <v/>
      </c>
      <c r="RN18">
        <f>IF($NA18="","",IFERROR(VLOOKUP(SUBSTITUTE(SUBSTITUTE(SUBSTITUTE($NA18,"~","~~"),"*","~*"),"?","~?"),'DADOS_MELHORIAS'!$O$2:$X$113,10,FALSE),$NA18))</f>
        <v/>
      </c>
      <c r="RO18">
        <f>IFERROR(INDEX('DADOS_FORMAS'!$BJ$2:$BJ$21,MATCH(SUBSTITUTE(SUBSTITUTE(SUBSTITUTE($MU18,"~","~~"),"*","~*"),"?","~?"),'DADOS_FORMAS'!$AH$2:$AH$21,0)),"")</f>
        <v/>
      </c>
      <c r="RP18">
        <f>IFERROR(VLOOKUP(SUBSTITUTE(SUBSTITUTE(SUBSTITUTE(IFERROR(INDEX('DADOS_FORMAS'!$AS$2:$AS$21,MATCH(SUBSTITUTE(SUBSTITUTE(SUBSTITUTE($MU18,"~","~~"),"*","~*"),"?","~?"),'DADOS_FORMAS'!$AH$2:$AH$21,0)),""),"~","~~"),"*","~*"),"?","~?"),'DADOS_RESTRICOES'!$M$2:$Q$54,2,FALSE),"")</f>
        <v/>
      </c>
      <c r="RQ18">
        <f>$OK18</f>
        <v/>
      </c>
      <c r="RR18">
        <f>$OL18</f>
        <v/>
      </c>
      <c r="RS18">
        <f>$RP18</f>
        <v/>
      </c>
    </row>
    <row r="19">
      <c r="AH19" s="162" t="inlineStr">
        <is>
          <t>Cone · classes 1 a 5</t>
        </is>
      </c>
      <c r="AI19" s="162" t="inlineStr">
        <is>
          <t>Cone de 4,5 m</t>
        </is>
      </c>
      <c r="AJ19" s="162" t="inlineStr">
        <is>
          <t>Cone de 9 m</t>
        </is>
      </c>
      <c r="AK19" s="162" t="inlineStr">
        <is>
          <t>Cone de 18 m</t>
        </is>
      </c>
      <c r="AL19" s="162" t="inlineStr">
        <is>
          <t>Cone de 30 m</t>
        </is>
      </c>
      <c r="AM19" s="162" t="inlineStr">
        <is>
          <t>Cone de 60 m</t>
        </is>
      </c>
      <c r="AN19" s="162" t="inlineStr">
        <is>
          <t>Cone de 60 m</t>
        </is>
      </c>
      <c r="AO19" s="162" t="inlineStr"/>
      <c r="AP19" s="162" t="inlineStr"/>
      <c r="AQ19" s="162" t="inlineStr"/>
      <c r="AR19" s="162" t="inlineStr"/>
      <c r="AS19" s="162" t="inlineStr"/>
      <c r="AT19" s="162" t="inlineStr"/>
      <c r="AV19" s="162" t="inlineStr">
        <is>
          <t>De Novo</t>
        </is>
      </c>
      <c r="AW19" s="162" t="inlineStr">
        <is>
          <t>Mira</t>
        </is>
      </c>
      <c r="AX19" s="164" t="n">
        <v>3</v>
      </c>
      <c r="AY19" s="164" t="n">
        <v>0</v>
      </c>
      <c r="AZ19" s="164" t="n">
        <v>0</v>
      </c>
      <c r="BA19" s="164" t="n">
        <v>0</v>
      </c>
      <c r="BC19" s="162" t="inlineStr">
        <is>
          <t>Dívida</t>
        </is>
      </c>
      <c r="BD19" s="162" t="inlineStr">
        <is>
          <t>Dívida</t>
        </is>
      </c>
      <c r="BE19" s="164" t="n">
        <v>2</v>
      </c>
      <c r="BF19" s="164" t="n">
        <v>1</v>
      </c>
      <c r="BG19" s="162" t="inlineStr"/>
      <c r="CC19" s="162" t="inlineStr">
        <is>
          <t>Percepção</t>
        </is>
      </c>
      <c r="CD19" s="162" t="inlineStr">
        <is>
          <t>Essência</t>
        </is>
      </c>
      <c r="JT19" s="164">
        <f>IF(OR($AW19="",(COUNTIF($EL$2:$EP$2,$AW19)+COUNTIF($QV$2:$QY$2,$AW19))&gt;0),$AV19,"")</f>
        <v/>
      </c>
      <c r="JU19" s="164">
        <f>IF(AND($AX19=1,OR($AW19="",(COUNTIF($EL$2:$EP$2,$AW19)+COUNTIF($QV$2:$QY$2,$AW19))&gt;0)),$AV19,"")</f>
        <v/>
      </c>
      <c r="JZ19" s="164">
        <f>IF(OR($AW19="",(COUNTIF($EL$3:$EP$3,$AW19)+COUNTIF($QV$3:$QY$3,$AW19))&gt;0),$AV19,"")</f>
        <v/>
      </c>
      <c r="KA19" s="164">
        <f>IF(AND($AX19=1,OR($AW19="",(COUNTIF($EL$3:$EP$3,$AW19)+COUNTIF($QV$3:$QY$3,$AW19))&gt;0)),$AV19,"")</f>
        <v/>
      </c>
      <c r="KF19" s="164">
        <f>IF(OR($AW19="",(COUNTIF($EL$4:$EP$4,$AW19)+COUNTIF($QV$4:$QY$4,$AW19))&gt;0),$AV19,"")</f>
        <v/>
      </c>
      <c r="KG19" s="164">
        <f>IF(AND($AX19=1,OR($AW19="",(COUNTIF($EL$4:$EP$4,$AW19)+COUNTIF($QV$4:$QY$4,$AW19))&gt;0)),$AV19,"")</f>
        <v/>
      </c>
      <c r="KL19" s="164">
        <f>IF(OR($AW19="",(COUNTIF($EL$5:$EP$5,$AW19)+COUNTIF($QV$5:$QY$5,$AW19))&gt;0),$AV19,"")</f>
        <v/>
      </c>
      <c r="KM19" s="164">
        <f>IF(AND($AX19=1,OR($AW19="",(COUNTIF($EL$5:$EP$5,$AW19)+COUNTIF($QV$5:$QY$5,$AW19))&gt;0)),$AV19,"")</f>
        <v/>
      </c>
      <c r="KR19" s="164">
        <f>IF(OR($AW19="",(COUNTIF($EL$6:$EP$6,$AW19)+COUNTIF($QV$6:$QY$6,$AW19))&gt;0),$AV19,"")</f>
        <v/>
      </c>
      <c r="KS19" s="164">
        <f>IF(AND($AX19=1,OR($AW19="",(COUNTIF($EL$6:$EP$6,$AW19)+COUNTIF($QV$6:$QY$6,$AW19))&gt;0)),$AV19,"")</f>
        <v/>
      </c>
      <c r="KX19" s="164">
        <f>IF(OR($AW19="",(COUNTIF($EL$7:$EP$7,$AW19)+COUNTIF($QV$7:$QY$7,$AW19))&gt;0),$AV19,"")</f>
        <v/>
      </c>
      <c r="KY19" s="164">
        <f>IF(AND($AX19=1,OR($AW19="",(COUNTIF($EL$7:$EP$7,$AW19)+COUNTIF($QV$7:$QY$7,$AW19))&gt;0)),$AV19,"")</f>
        <v/>
      </c>
      <c r="LD19" s="164">
        <f>IF(OR($AW19="",(COUNTIF($EL$8:$EP$8,$AW19)+COUNTIF($QV$8:$QY$8,$AW19))&gt;0),$AV19,"")</f>
        <v/>
      </c>
      <c r="LE19" s="164">
        <f>IF(AND($AX19=1,OR($AW19="",(COUNTIF($EL$8:$EP$8,$AW19)+COUNTIF($QV$8:$QY$8,$AW19))&gt;0)),$AV19,"")</f>
        <v/>
      </c>
      <c r="LJ19" s="164">
        <f>IF(OR($AW19="",(COUNTIF($EL$9:$EP$9,$AW19)+COUNTIF($QV$9:$QY$9,$AW19))&gt;0),$AV19,"")</f>
        <v/>
      </c>
      <c r="LK19" s="164">
        <f>IF(AND($AX19=1,OR($AW19="",(COUNTIF($EL$9:$EP$9,$AW19)+COUNTIF($QV$9:$QY$9,$AW19))&gt;0)),$AV19,"")</f>
        <v/>
      </c>
      <c r="LP19" s="164">
        <f>IF(OR($AW19="",(COUNTIF($EL$10:$EP$10,$AW19)+COUNTIF($QV$10:$QY$10,$AW19))&gt;0),$AV19,"")</f>
        <v/>
      </c>
      <c r="LQ19" s="164">
        <f>IF(AND($AX19=1,OR($AW19="",(COUNTIF($EL$10:$EP$10,$AW19)+COUNTIF($QV$10:$QY$10,$AW19))&gt;0)),$AV19,"")</f>
        <v/>
      </c>
      <c r="LV19" s="164">
        <f>IF(OR($AW19="",(COUNTIF($EL$11:$EP$11,$AW19)+COUNTIF($QV$11:$QY$11,$AW19))&gt;0),$AV19,"")</f>
        <v/>
      </c>
      <c r="LW19" s="164">
        <f>IF(AND($AX19=1,OR($AW19="",(COUNTIF($EL$11:$EP$11,$AW19)+COUNTIF($QV$11:$QY$11,$AW19))&gt;0)),$AV19,"")</f>
        <v/>
      </c>
      <c r="MB19" s="164">
        <f>IF(OR($AW19="",(COUNTIF($EL$12:$EP$12,$AW19)+COUNTIF($QV$12:$QY$12,$AW19))&gt;0),$AV19,"")</f>
        <v/>
      </c>
      <c r="MC19" s="164">
        <f>IF(AND($AX19=1,OR($AW19="",(COUNTIF($EL$12:$EP$12,$AW19)+COUNTIF($QV$12:$QY$12,$AW19))&gt;0)),$AV19,"")</f>
        <v/>
      </c>
      <c r="MH19" s="164">
        <f>IF(OR($AW19="",(COUNTIF($EL$13:$EP$13,$AW19)+COUNTIF($QV$13:$QY$13,$AW19))&gt;0),$AV19,"")</f>
        <v/>
      </c>
      <c r="MI19" s="164">
        <f>IF(AND($AX19=1,OR($AW19="",(COUNTIF($EL$13:$EP$13,$AW19)+COUNTIF($QV$13:$QY$13,$AW19))&gt;0)),$AV19,"")</f>
        <v/>
      </c>
      <c r="MN19" s="162" t="inlineStr">
        <is>
          <t>Ficha 2 · Especial 3</t>
        </is>
      </c>
      <c r="MO19" s="164" t="n">
        <v>2</v>
      </c>
      <c r="MP19" s="164" t="n">
        <v>1</v>
      </c>
      <c r="MQ19" s="164" t="n">
        <v>8</v>
      </c>
      <c r="MR19" s="162" t="inlineStr">
        <is>
          <t>ESPECIAL 3</t>
        </is>
      </c>
      <c r="MS19" s="164">
        <f>MAX(1,MIN(7,N('INVOCAÇÕES'!$O$316)))</f>
        <v/>
      </c>
      <c r="MT19" s="164">
        <f>'INVOCAÇÕES'!$P$316&amp;""</f>
        <v/>
      </c>
      <c r="MU19" s="164">
        <f>'INVOCAÇÕES'!$O$321&amp;""</f>
        <v/>
      </c>
      <c r="MV19" s="164">
        <f>'INVOCAÇÕES'!$O$322&amp;""</f>
        <v/>
      </c>
      <c r="MW19" s="164">
        <f>'INVOCAÇÕES'!$Q$322&amp;""</f>
        <v/>
      </c>
      <c r="MX19" s="164">
        <f>'INVOCAÇÕES'!$P$325&amp;""</f>
        <v/>
      </c>
      <c r="MY19" s="164">
        <f>'INVOCAÇÕES'!$P$326&amp;""</f>
        <v/>
      </c>
      <c r="MZ19" s="164">
        <f>'INVOCAÇÕES'!$P$327&amp;""</f>
        <v/>
      </c>
      <c r="NA19" s="164">
        <f>'INVOCAÇÕES'!$P$328&amp;""</f>
        <v/>
      </c>
      <c r="NB19" s="164">
        <f>'INVOCAÇÕES'!$P$329&amp;""</f>
        <v/>
      </c>
      <c r="NC19" s="164">
        <f>'INVOCAÇÕES'!$P$330&amp;""</f>
        <v/>
      </c>
      <c r="ND19" s="164">
        <f>IF($MT19&lt;&gt;"",1,0)</f>
        <v/>
      </c>
      <c r="NE19" s="164">
        <f>INDEX($FO$2:$FO$13,$MO19)</f>
        <v/>
      </c>
      <c r="NF19" s="164">
        <f>INDEX($FP$2:$FP$13,$MO19)</f>
        <v/>
      </c>
      <c r="NG19" s="164">
        <f>INDEX($FQ$2:$FQ$13,$MO19)</f>
        <v/>
      </c>
      <c r="NH19" s="164">
        <f>INDEX($GB$2:$GB$13,$MO19)</f>
        <v/>
      </c>
      <c r="NI19" s="164">
        <f>INDEX($GC$2:$GC$13,$MO19)</f>
        <v/>
      </c>
      <c r="NJ19" s="164">
        <f>IFERROR(MATCH(SUBSTITUTE(SUBSTITUTE(SUBSTITUTE($MU19,"~","~~"),"*","~*"),"?","~?"),'DADOS_FORMAS'!$FZ$2:$FZ$21,0),0)</f>
        <v/>
      </c>
      <c r="NK19" s="164">
        <f>IFERROR(VLOOKUP(SUBSTITUTE(SUBSTITUTE(SUBSTITUTE($MX19,"~","~~"),"*","~*"),"?","~?"),'DADOS_MELHORIAS'!$AG$2:$AL$113,2,FALSE),"")</f>
        <v/>
      </c>
      <c r="NL19" s="164">
        <f>IFERROR(VLOOKUP(SUBSTITUTE(SUBSTITUTE(SUBSTITUTE($MY19,"~","~~"),"*","~*"),"?","~?"),'DADOS_MELHORIAS'!$AG$2:$AL$113,2,FALSE),"")</f>
        <v/>
      </c>
      <c r="NM19" s="164">
        <f>IFERROR(VLOOKUP(SUBSTITUTE(SUBSTITUTE(SUBSTITUTE($MZ19,"~","~~"),"*","~*"),"?","~?"),'DADOS_MELHORIAS'!$AG$2:$AL$113,2,FALSE),"")</f>
        <v/>
      </c>
      <c r="NN19" s="164">
        <f>IFERROR(VLOOKUP(SUBSTITUTE(SUBSTITUTE(SUBSTITUTE($NA19,"~","~~"),"*","~*"),"?","~?"),'DADOS_MELHORIAS'!$AG$2:$AL$113,2,FALSE),"")</f>
        <v/>
      </c>
      <c r="NO19" s="164">
        <f>IFERROR(VLOOKUP(SUBSTITUTE(SUBSTITUTE(SUBSTITUTE($MX19,"~","~~"),"*","~*"),"?","~?"),'DADOS_MELHORIAS'!$AG$2:$AL$113,3,FALSE),0)</f>
        <v/>
      </c>
      <c r="NP19" s="164">
        <f>IFERROR(VLOOKUP(SUBSTITUTE(SUBSTITUTE(SUBSTITUTE($MY19,"~","~~"),"*","~*"),"?","~?"),'DADOS_MELHORIAS'!$AG$2:$AL$113,3,FALSE),0)</f>
        <v/>
      </c>
      <c r="NQ19" s="164">
        <f>IFERROR(VLOOKUP(SUBSTITUTE(SUBSTITUTE(SUBSTITUTE($MZ19,"~","~~"),"*","~*"),"?","~?"),'DADOS_MELHORIAS'!$AG$2:$AL$113,3,FALSE),0)</f>
        <v/>
      </c>
      <c r="NR19" s="164">
        <f>IFERROR(VLOOKUP(SUBSTITUTE(SUBSTITUTE(SUBSTITUTE($NA19,"~","~~"),"*","~*"),"?","~?"),'DADOS_MELHORIAS'!$AG$2:$AL$113,3,FALSE),0)</f>
        <v/>
      </c>
      <c r="NS19" s="164">
        <f>IF($MS19=0,0,IF($NJ19=0,0,INDEX('DADOS_FORMAS'!$GB$2:$GB$21,$NJ19)))</f>
        <v/>
      </c>
      <c r="NT19" s="164">
        <f>IF(OR($NO19=0,$MS19=0),0,$NO19+3*IF(AND($NK19&lt;&gt;"",COUNTIF(INDEX($RB$2:$RJ$13,$MO19,0),$NK19)&gt;0),1,0))</f>
        <v/>
      </c>
      <c r="NU19" s="164">
        <f>IF(OR($NP19=0,$MS19=0),0,$NP19+3*IF(AND($NL19&lt;&gt;"",COUNTIF(INDEX($RB$2:$RJ$13,$MO19,0),$NL19)&gt;0),1,0))</f>
        <v/>
      </c>
      <c r="NV19" s="164">
        <f>IF(OR($NQ19=0,$MS19=0),0,$NQ19+3*IF(AND($NM19&lt;&gt;"",COUNTIF(INDEX($RB$2:$RJ$13,$MO19,0),$NM19)&gt;0),1,0))</f>
        <v/>
      </c>
      <c r="NW19" s="164">
        <f>IF(OR($NR19=0,$MS19=0),0,$NR19+3*IF(AND($NN19&lt;&gt;"",COUNTIF(INDEX($RB$2:$RJ$13,$MO19,0),$NN19)&gt;0),1,0))</f>
        <v/>
      </c>
      <c r="NX19" s="164">
        <f>IF($NJ19=0,0,IF(INDEX('DADOS_FORMAS'!$GA$2:$GA$21,$NJ19)="",0,IF((COUNTIF(INDEX($EL$2:$EP$13,$MO19,0),INDEX('DADOS_FORMAS'!$GA$2:$GA$21,$NJ19))+COUNTIF(INDEX($QV$2:$QY$13,$MO19,0),INDEX('DADOS_FORMAS'!$GA$2:$GA$21,$NJ19)))=0,1,0)))</f>
        <v/>
      </c>
      <c r="NY19" s="164">
        <f>IF(OR($NO19=0,$NK19=""),0,IF((COUNTIF(INDEX($EL$2:$EP$13,$MO19,0),$NK19)+COUNTIF(INDEX($QV$2:$QY$13,$MO19,0),$NK19))=0,1,0))</f>
        <v/>
      </c>
      <c r="NZ19" s="164">
        <f>IF(OR($NP19=0,$NL19=""),0,IF((COUNTIF(INDEX($EL$2:$EP$13,$MO19,0),$NL19)+COUNTIF(INDEX($QV$2:$QY$13,$MO19,0),$NL19))=0,1,0))</f>
        <v/>
      </c>
      <c r="OA19" s="164">
        <f>IF(OR($NQ19=0,$NM19=""),0,IF((COUNTIF(INDEX($EL$2:$EP$13,$MO19,0),$NM19)+COUNTIF(INDEX($QV$2:$QY$13,$MO19,0),$NM19))=0,1,0))</f>
        <v/>
      </c>
      <c r="OB19" s="164">
        <f>IF(OR($NR19=0,$NN19=""),0,IF((COUNTIF(INDEX($EL$2:$EP$13,$MO19,0),$NN19)+COUNTIF(INDEX($QV$2:$QY$13,$MO19,0),$NN19))=0,1,0))</f>
        <v/>
      </c>
      <c r="OC19" s="164">
        <f>IFERROR(VLOOKUP(SUBSTITUTE(SUBSTITUTE(SUBSTITUTE($MX19,"~","~~"),"*","~*"),"?","~?"),'DADOS_MELHORIAS'!$AG$2:$AL$113,4,FALSE),0)+IFERROR(VLOOKUP(SUBSTITUTE(SUBSTITUTE(SUBSTITUTE($MY19,"~","~~"),"*","~*"),"?","~?"),'DADOS_MELHORIAS'!$AG$2:$AL$113,4,FALSE),0)+IFERROR(VLOOKUP(SUBSTITUTE(SUBSTITUTE(SUBSTITUTE($MZ19,"~","~~"),"*","~*"),"?","~?"),'DADOS_MELHORIAS'!$AG$2:$AL$113,4,FALSE),0)+IFERROR(VLOOKUP(SUBSTITUTE(SUBSTITUTE(SUBSTITUTE($NA19,"~","~~"),"*","~*"),"?","~?"),'DADOS_MELHORIAS'!$AG$2:$AL$113,4,FALSE),0)</f>
        <v/>
      </c>
      <c r="OD19" s="164">
        <f>IFERROR(VLOOKUP(SUBSTITUTE(SUBSTITUTE(SUBSTITUTE($MX19,"~","~~"),"*","~*"),"?","~?"),'DADOS_MELHORIAS'!$AG$2:$AL$113,6,FALSE),0)+IFERROR(VLOOKUP(SUBSTITUTE(SUBSTITUTE(SUBSTITUTE($MY19,"~","~~"),"*","~*"),"?","~?"),'DADOS_MELHORIAS'!$AG$2:$AL$113,6,FALSE),0)+IFERROR(VLOOKUP(SUBSTITUTE(SUBSTITUTE(SUBSTITUTE($MZ19,"~","~~"),"*","~*"),"?","~?"),'DADOS_MELHORIAS'!$AG$2:$AL$113,6,FALSE),0)+IFERROR(VLOOKUP(SUBSTITUTE(SUBSTITUTE(SUBSTITUTE($NA19,"~","~~"),"*","~*"),"?","~?"),'DADOS_MELHORIAS'!$AG$2:$AL$113,6,FALSE),0)+IFERROR(N(AND(INDEX('DADOS_FORMAS'!$AO$2:$AO$21,MATCH(SUBSTITUTE(SUBSTITUTE(SUBSTITUTE($MU19,"~","~~"),"*","~*"),"?","~?"),'DADOS_FORMAS'!$AH$2:$AH$21,0))="Acerto",$OH19=1)),0)</f>
        <v/>
      </c>
      <c r="OE19" s="164">
        <f>TEXTJOIN(", ",TRUE,IF(IFERROR(VLOOKUP(SUBSTITUTE(SUBSTITUTE(SUBSTITUTE($MX19,"~","~~"),"*","~*"),"?","~?"),'DADOS_MELHORIAS'!$AG$2:$AL$113,5,FALSE),0)=1,$MX19,""),IF(IFERROR(VLOOKUP(SUBSTITUTE(SUBSTITUTE(SUBSTITUTE($MY19,"~","~~"),"*","~*"),"?","~?"),'DADOS_MELHORIAS'!$AG$2:$AL$113,5,FALSE),0)=1,$MY19,""),IF(IFERROR(VLOOKUP(SUBSTITUTE(SUBSTITUTE(SUBSTITUTE($MZ19,"~","~~"),"*","~*"),"?","~?"),'DADOS_MELHORIAS'!$AG$2:$AL$113,5,FALSE),0)=1,$MZ19,""),IF(IFERROR(VLOOKUP(SUBSTITUTE(SUBSTITUTE(SUBSTITUTE($NA19,"~","~~"),"*","~*"),"?","~?"),'DADOS_MELHORIAS'!$AG$2:$AL$113,5,FALSE),0)=1,$NA19,""))</f>
        <v/>
      </c>
      <c r="OF19" s="164">
        <f>IF($NJ19=0,0,INDEX('DADOS_FORMAS'!$GC$2:$GC$21,$NJ19))</f>
        <v/>
      </c>
      <c r="OG19" s="164">
        <f>IF($NJ19=0,0,INDEX('DADOS_FORMAS'!$GD$2:$GD$21,$NJ19))</f>
        <v/>
      </c>
      <c r="OH19" s="164">
        <f>IF($NJ19=0,0,INDEX('DADOS_FORMAS'!$GF$2:$GF$21,$NJ19))</f>
        <v/>
      </c>
      <c r="OI19" s="164">
        <f>IFERROR(VLOOKUP(SUBSTITUTE(SUBSTITUTE(SUBSTITUTE($NB19,"~","~~"),"*","~*"),"?","~?"),'DADOS_RESTRICOES'!$M$2:$Q$54,3,FALSE),0)</f>
        <v/>
      </c>
      <c r="OJ19" s="164">
        <f>IFERROR(VLOOKUP(SUBSTITUTE(SUBSTITUTE(SUBSTITUTE($NC19,"~","~~"),"*","~*"),"?","~?"),'DADOS_RESTRICOES'!$M$2:$Q$54,3,FALSE),0)</f>
        <v/>
      </c>
      <c r="OK19" s="164">
        <f>IFERROR(VLOOKUP(SUBSTITUTE(SUBSTITUTE(SUBSTITUTE($NB19,"~","~~"),"*","~*"),"?","~?"),'DADOS_RESTRICOES'!$M$2:$Q$54,2,FALSE),"")</f>
        <v/>
      </c>
      <c r="OL19" s="164">
        <f>IFERROR(VLOOKUP(SUBSTITUTE(SUBSTITUTE(SUBSTITUTE($NC19,"~","~~"),"*","~*"),"?","~?"),'DADOS_RESTRICOES'!$M$2:$Q$54,2,FALSE),"")</f>
        <v/>
      </c>
      <c r="OM19" s="164">
        <f>COUNTIF($NS19:$NW19,1)</f>
        <v/>
      </c>
      <c r="ON19" s="164">
        <f>COUNTIF($NS19:$NW19,2)</f>
        <v/>
      </c>
      <c r="OO19" s="164">
        <f>COUNTIF($NS19:$NW19,3)</f>
        <v/>
      </c>
      <c r="OP19" s="164">
        <f>COUNTIF($NS19:$NW19,4)</f>
        <v/>
      </c>
      <c r="OQ19" s="164">
        <f>COUNTIF($NS19:$NW19,5)</f>
        <v/>
      </c>
      <c r="OR19" s="164">
        <f>COUNTIF($NS19:$NW19,6)</f>
        <v/>
      </c>
      <c r="OS19" s="164">
        <f>COUNTIF($OI19:$OJ19,1)+IF(IFERROR(INDEX('DADOS_FORMAS'!$AS$2:$AS$21,MATCH(SUBSTITUTE(SUBSTITUTE(SUBSTITUTE($MU19,"~","~~"),"*","~*"),"?","~?"),'DADOS_FORMAS'!$AH$2:$AH$21,0)),"")="",0,IFERROR(N(VLOOKUP(SUBSTITUTE(SUBSTITUTE(SUBSTITUTE(IFERROR(INDEX('DADOS_FORMAS'!$AS$2:$AS$21,MATCH(SUBSTITUTE(SUBSTITUTE(SUBSTITUTE($MU19,"~","~~"),"*","~*"),"?","~?"),'DADOS_FORMAS'!$AH$2:$AH$21,0)),""),"~","~~"),"*","~*"),"?","~?"),'DADOS_RESTRICOES'!$M$2:$Q$54,3,FALSE)=1),0))</f>
        <v/>
      </c>
      <c r="OT19" s="164">
        <f>COUNTIF($OI19:$OJ19,2)+IF(IFERROR(INDEX('DADOS_FORMAS'!$AS$2:$AS$21,MATCH(SUBSTITUTE(SUBSTITUTE(SUBSTITUTE($MU19,"~","~~"),"*","~*"),"?","~?"),'DADOS_FORMAS'!$AH$2:$AH$21,0)),"")="",0,IFERROR(N(VLOOKUP(SUBSTITUTE(SUBSTITUTE(SUBSTITUTE(IFERROR(INDEX('DADOS_FORMAS'!$AS$2:$AS$21,MATCH(SUBSTITUTE(SUBSTITUTE(SUBSTITUTE($MU19,"~","~~"),"*","~*"),"?","~?"),'DADOS_FORMAS'!$AH$2:$AH$21,0)),""),"~","~~"),"*","~*"),"?","~?"),'DADOS_RESTRICOES'!$M$2:$Q$54,3,FALSE)=2),0))</f>
        <v/>
      </c>
      <c r="OU19" s="164">
        <f>COUNTIF($MX19:$NA19,"?*")</f>
        <v/>
      </c>
      <c r="OV19" s="164">
        <f>COUNTIF($NB19:$NC19,"?*")+$OF19</f>
        <v/>
      </c>
      <c r="OW19" s="164">
        <f>IF($MS19=0,0,SUMPRODUCT($OM19:$OR19,INDEX($I$2:$N$8,MAX(1,$MS19),0)))</f>
        <v/>
      </c>
      <c r="OX19" s="164">
        <f>IF($MS19=0,0,$OS19*CEILING($MS19/2,1)+$OT19*$MS19)</f>
        <v/>
      </c>
      <c r="OY19" s="164">
        <f>MIN(2*$MS19,$OX19)</f>
        <v/>
      </c>
      <c r="OZ19" s="164">
        <f>MIN($OY19,$OW19-IF($NS19=0,0,INDEX($I$2:$N$8,MAX(1,$MS19),$NS19)))</f>
        <v/>
      </c>
      <c r="PA19" s="164">
        <f>$OY19-$OZ19</f>
        <v/>
      </c>
      <c r="PB19" s="164">
        <f>IF($MS19=0,0,INDEX($P$2:$P$8,MAX(1,$MS19)))</f>
        <v/>
      </c>
      <c r="PC19" s="164">
        <f>$PB19-$OW19+$OZ19</f>
        <v/>
      </c>
      <c r="PD19" s="164">
        <f>IF($MS19=0,MAX(0,$NG19-IF(AND($OU19&gt;0,COUNTIF($NB19:$NC19,"?*")=0),1,0)),MAX(0,$PC19))</f>
        <v/>
      </c>
      <c r="PE19" s="164">
        <f>IF($MS19=0,0,(IF(COUNTIF($RK19:$RN19,"Salto")&gt;0,1,0)+IF(COUNTIF($RK19:$RN19,"Queima")&gt;0,1,0)+IF(COUNTIF($RK19:$RN19,"Estilhaço")&gt;0,1,0))*FLOOR($PD19/2,1))</f>
        <v/>
      </c>
      <c r="PF19" s="164">
        <f>MAX(0,2-SUMPRODUCT($OM19:$OR19,$I$2:$N$2)+MIN(2,$OS19*1+$OT19*1,SUMPRODUCT($OM19:$OR19,$I$2:$N$2)-IF($NS19=0,0,INDEX($I$2:$N$2,1,$NS19))))</f>
        <v/>
      </c>
      <c r="PG19" s="164">
        <f>MAX(0,4-SUMPRODUCT($OM19:$OR19,$I$3:$N$3)+MIN(4,$OS19*1+$OT19*2,SUMPRODUCT($OM19:$OR19,$I$3:$N$3)-IF($NS19=0,0,INDEX($I$3:$N$3,1,$NS19))))</f>
        <v/>
      </c>
      <c r="PH19" s="164">
        <f>MAX(0,6-SUMPRODUCT($OM19:$OR19,$I$4:$N$4)+MIN(6,$OS19*2+$OT19*3,SUMPRODUCT($OM19:$OR19,$I$4:$N$4)-IF($NS19=0,0,INDEX($I$4:$N$4,1,$NS19))))</f>
        <v/>
      </c>
      <c r="PI19" s="164">
        <f>MAX(0,9-SUMPRODUCT($OM19:$OR19,$I$5:$N$5)+MIN(8,$OS19*2+$OT19*4,SUMPRODUCT($OM19:$OR19,$I$5:$N$5)-IF($NS19=0,0,INDEX($I$5:$N$5,1,$NS19))))</f>
        <v/>
      </c>
      <c r="PJ19" s="164">
        <f>MAX(0,11-SUMPRODUCT($OM19:$OR19,$I$6:$N$6)+MIN(10,$OS19*3+$OT19*5,SUMPRODUCT($OM19:$OR19,$I$6:$N$6)-IF($NS19=0,0,INDEX($I$6:$N$6,1,$NS19))))</f>
        <v/>
      </c>
      <c r="PK19" s="164">
        <f>MAX(0,13-SUMPRODUCT($OM19:$OR19,$I$7:$N$7)+MIN(12,$OS19*3+$OT19*6,SUMPRODUCT($OM19:$OR19,$I$7:$N$7)-IF($NS19=0,0,INDEX($I$7:$N$7,1,$NS19))))</f>
        <v/>
      </c>
      <c r="PL19" s="164">
        <f>MAX(0,16-SUMPRODUCT($OM19:$OR19,$I$8:$N$8)+MIN(14,$OS19*4+$OT19*7,SUMPRODUCT($OM19:$OR19,$I$8:$N$8)-IF($NS19=0,0,INDEX($I$8:$N$8,1,$NS19))))</f>
        <v/>
      </c>
      <c r="PM19" s="164">
        <f>IF($OG19=2,3*$PF19&amp;" de vida temp.",IF($OG19=3,"sem dano",IF($PF19=0,IF($OG19=1,"sem cura","sem dano"),IF($OG19=1,"cura ","")&amp;$PF19&amp;"d8")))</f>
        <v/>
      </c>
      <c r="PN19" s="164">
        <f>IF($OG19=2,3*$PG19&amp;" de vida temp.",IF($OG19=3,"sem dano",IF($PG19=0,IF($OG19=1,"sem cura","sem dano"),IF($OG19=1,"cura ","")&amp;$PG19&amp;"d8")))</f>
        <v/>
      </c>
      <c r="PO19" s="164">
        <f>IF($OG19=2,3*$PH19&amp;" de vida temp.",IF($OG19=3,"sem dano",IF($PH19=0,IF($OG19=1,"sem cura","sem dano"),IF($OG19=1,"cura ","")&amp;$PH19&amp;"d8")))</f>
        <v/>
      </c>
      <c r="PP19" s="164">
        <f>IF($OG19=2,3*$PI19&amp;" de vida temp.",IF($OG19=3,"sem dano",IF($PI19=0,IF($OG19=1,"sem cura","sem dano"),IF($OG19=1,"cura ","")&amp;$PI19&amp;"d8")))</f>
        <v/>
      </c>
      <c r="PQ19" s="164">
        <f>IF($OG19=2,3*$PJ19&amp;" de vida temp.",IF($OG19=3,"sem dano",IF($PJ19=0,IF($OG19=1,"sem cura","sem dano"),IF($OG19=1,"cura ","")&amp;$PJ19&amp;"d8")))</f>
        <v/>
      </c>
      <c r="PR19" s="164">
        <f>IF($OG19=2,3*$PK19&amp;" de vida temp.",IF($OG19=3,"sem dano",IF($PK19=0,IF($OG19=1,"sem cura","sem dano"),IF($OG19=1,"cura ","")&amp;$PK19&amp;"d8")))</f>
        <v/>
      </c>
      <c r="PS19" s="164">
        <f>IF($OG19=2,3*$PL19&amp;" de vida temp.",IF($OG19=3,"sem dano",IF($PL19=0,IF($OG19=1,"sem cura","sem dano"),IF($OG19=1,"cura ","")&amp;$PL19&amp;"d8")))</f>
        <v/>
      </c>
      <c r="PT19" s="164">
        <f>IF($ND19=0,"",TEXTJOIN(" · ",TRUE,IF($ND19=0,"",TEXTJOIN(" · ",TRUE,IF($ND19=0,"",TEXTJOIN(" · ",TRUE,IF($MQ19&gt;$NE19,"Este lugar abre no nível "&amp;$MQ19,""),IF($MS19&gt;$NF19,"Classe "&amp;$MS19&amp;": o nível "&amp;$NE19&amp;" libera até a "&amp;$NF19,""),IF($NX19=1,"A Forma "&amp;$MU19&amp;" pede "&amp;INDEX('DADOS_FORMAS'!$GA$2:$GA$21,$NJ19)&amp;" aberta",""),IF(AND($MS19=0,$NJ19&gt;0,IF($NJ19=0,0,INDEX('DADOS_FORMAS'!$GJ$2:$GJ$21,$NJ19))=0),$MU19&amp;" não existe na Classe 0",""),IF($NY19=1,"Família Fechada: "&amp;$MX19,""),IF($NZ19=1,"Família Fechada: "&amp;$MY19,""),IF($OA19=1,"Família Fechada: "&amp;$MZ19,""),IF($OB19=1,"Família Fechada: "&amp;$NA19,""),IF(AND($MS19&gt;0,$OU19&gt;INDEX($O$2:$O$8,MAX(1,$MS19))),$OU19&amp;" Melhorias: a Classe "&amp;$MS19&amp;" aceita "&amp;INDEX($O$2:$O$8,MAX(1,$MS19)),""),IF(AND($MS19=0,$OU19&gt;1),"A básica aceita uma Melhoria",""),IF(AND($MS19=0,COUNTIF($NO19:$NR19,"&gt;1")&gt;0),"A básica só aceita Melhoria Leve",""),IF(AND($MS19&gt;0,$OV19&gt;2),$OV19&amp;" Restrições"&amp;IF($OF19=1,", contando a que a Forma "&amp;$MU19&amp;" já traz","")&amp;": o limite é 2",""),IF(AND($MS19=0,COUNTIF($NB19:$NC19,"?*")&gt;1),"A básica aceita uma Restrição Leve",""),IF(AND($MS19=0,COUNTIF($OI19:$OJ19,2)&gt;0),"A básica só aceita Restrição Leve",""),IF(AND($MS19&gt;0,$PC19&lt;0),"Orçamento estourado: faltam "&amp;(-$PC19)&amp;IF($PC19&lt;-1," pontos"," ponto"),""),IF(IFERROR(VLOOKUP(SUBSTITUTE(SUBSTITUTE(SUBSTITUTE($NB19,"~","~~"),"*","~*"),"?","~?"),'DADOS_RESTRICOES'!$M$2:$Q$54,4,FALSE),0)+IFERROR(VLOOKUP(SUBSTITUTE(SUBSTITUTE(SUBSTITUTE($NC19,"~","~~"),"*","~*"),"?","~?"),'DADOS_RESTRICOES'!$M$2:$Q$54,4,FALSE),0)&gt;1,$OK19&amp;" e "&amp;$OL19&amp;" são as duas de frequência",""),IF(AND((COUNTIF($RK19:$RN19,"Rápido")+COUNTIF($OK19:$OL19,"Rápido"))&gt;0,(COUNTIF($MX19:$NA19,"Atrasar")+COUNTIF($OK19:$OL19,"Atrasar"))&gt;0),"Rápido não entra com Atrasar",""),IF(AND((COUNTIF($RK19:$RN19,"Reação")+COUNTIF($OK19:$OL19,"Reação"))&gt;0,(COUNTIF($RK19:$RN19,"Rápido")+COUNTIF($OK19:$OL19,"Rápido"))&gt;0),"Reação não entra com Rápido",""),IF(AND((COUNTIF($RK19:$RN19,"Reação")+COUNTIF($OK19:$OL19,"Reação"))&gt;0,(COUNTIF($RK19:$RN19,"Armado")+COUNTIF($OK19:$OL19,"Armado"))&gt;0),"Reação não entra com Armado",""),IF(AND((COUNTIF($RK19:$RN19,"Reação")+COUNTIF($OK19:$OL19,"Reação"))&gt;0,(COUNTIF($MX19:$NA19,"Atrasar")+COUNTIF($OK19:$OL19,"Atrasar"))&gt;0),"Reação não entra com Atrasar",""),IF(AND((COUNTIF($RK19:$RN19,"Reação")+COUNTIF($OK19:$OL19,"Reação"))&gt;0,(COUNTIF($MX19:$NA19,"Parado")+COUNTIF($OK19:$OL19,"Parado"))&gt;0),"Reação não entra com Parado",""),IF(AND((COUNTIF($MX19:$NA19,"Atrasar")+COUNTIF($OK19:$OL19,"Atrasar"))&gt;0,(COUNTIF($MX19:$NA19,"Parado")+COUNTIF($OK19:$OL19,"Parado"))&gt;0),"Atrasar não entra com Parado",""),IF(AND((COUNTIF($RK19:$RN19,"Armado")+COUNTIF($OK19:$OL19,"Armado"))&gt;0,(COUNTIF($MX19:$NA19,"Carregar")+COUNTIF($OK19:$OL19,"Carregar"))&gt;0),"Armado não entra com Carregar",""),IF(AND(COUNTIF($OK19:$OL19,"Corpo a Corpo")&gt;0,$OF19=0,OR($RO19="Cone",$RO19="Linha")),"Corpo a Corpo não entra em "&amp;$MU19,""),IF(AND(COUNTIF($OK19:$OL19,"Corpo a Corpo")&gt;0,$RP19="Corpo a Corpo"),"A Forma "&amp;$MU19&amp;" já traz o Corpo a Corpo",""),IF(AND(COUNTIF($OK19:$OL19,"Tudo ou Nada")&gt;0,$OH19=0),"Tudo ou Nada só entra em habilidade de Teste de Resistência",""),IF(AND(COUNTIF($RK19:$RN19,"Inescapável")&gt;0,OR($OU19&gt;1,$OV19&gt;0)),"Inescapável não aceita outra peça",""),IF(AND($MS19&gt;0,$PD19*IF(COUNTIF($RK19:$RN19,"Remate")&gt;0,1.25,1)+$PE19&gt;4*$MS19),($PD19*IF(COUNTIF($RK19:$RN19,"Remate")&gt;0,1.25,1)+$PE19)&amp;" dados somando repetições"&amp;IF(COUNTIF($RK19:$RN19,"Remate")&gt;0," e o Remate","")&amp;": o teto da Classe "&amp;$MS19&amp;" é "&amp;4*$MS19,""))),IF(AND($MX19&lt;&gt;"",COUNTIF('DADOS_MELHORIAS'!$O$2:$O$113,SUBSTITUTE(SUBSTITUTE(SUBSTITUTE($MX19,"~","~~"),"*","~*"),"?","~?"))=0),"Melhoria não cadastrada ou com erro: "&amp;$MX19,""),IF(AND($MY19&lt;&gt;"",COUNTIF('DADOS_MELHORIAS'!$O$2:$O$113,SUBSTITUTE(SUBSTITUTE(SUBSTITUTE($MY19,"~","~~"),"*","~*"),"?","~?"))=0),"Melhoria não cadastrada ou com erro: "&amp;$MY19,""),IF(AND($MZ19&lt;&gt;"",COUNTIF('DADOS_MELHORIAS'!$O$2:$O$113,SUBSTITUTE(SUBSTITUTE(SUBSTITUTE($MZ19,"~","~~"),"*","~*"),"?","~?"))=0),"Melhoria não cadastrada ou com erro: "&amp;$MZ19,""),IF(AND($NA19&lt;&gt;"",COUNTIF('DADOS_MELHORIAS'!$O$2:$O$113,SUBSTITUTE(SUBSTITUTE(SUBSTITUTE($NA19,"~","~~"),"*","~*"),"?","~?"))=0),"Melhoria não cadastrada ou com erro: "&amp;$NA19,""),IF(AND($NB19&lt;&gt;"",COUNTIF('DADOS_RESTRICOES'!$M$2:$M$54,SUBSTITUTE(SUBSTITUTE(SUBSTITUTE($NB19,"~","~~"),"*","~*"),"?","~?"))=0),"Restrição não cadastrada ou com erro: "&amp;$NB19,""),IF(AND($NC19&lt;&gt;"",COUNTIF('DADOS_RESTRICOES'!$M$2:$M$54,SUBSTITUTE(SUBSTITUTE(SUBSTITUTE($NC19,"~","~~"),"*","~*"),"?","~?"))=0),"Restrição não cadastrada ou com erro: "&amp;$NC19,""))),IF(AND($MU19&lt;&gt;"",COUNTIF('DADOS_FORMAS'!$AH$2:$AH$21,SUBSTITUTE(SUBSTITUTE(SUBSTITUTE($MU19,"~","~~"),"*","~*"),"?","~?"))=0),"Forma não cadastrada ou com erro: "&amp;$MU19,""),IF(AND(IFERROR(INDEX('DADOS_FORMAS'!$AS$2:$AS$21,MATCH(SUBSTITUTE(SUBSTITUTE(SUBSTITUTE($MU19,"~","~~"),"*","~*"),"?","~?"),'DADOS_FORMAS'!$AH$2:$AH$21,0)),"")&lt;&gt;"",OR(IFERROR(VLOOKUP(SUBSTITUTE(SUBSTITUTE(SUBSTITUTE(IFERROR(INDEX('DADOS_FORMAS'!$AS$2:$AS$21,MATCH(SUBSTITUTE(SUBSTITUTE(SUBSTITUTE($MU19,"~","~~"),"*","~*"),"?","~?"),'DADOS_FORMAS'!$AH$2:$AH$21,0)),""),"~","~~"),"*","~*"),"?","~?"),'DADOS_RESTRICOES'!$M$2:$Q$54,2,FALSE),"")=$OK19,IFERROR(VLOOKUP(SUBSTITUTE(SUBSTITUTE(SUBSTITUTE(IFERROR(INDEX('DADOS_FORMAS'!$AS$2:$AS$21,MATCH(SUBSTITUTE(SUBSTITUTE(SUBSTITUTE($MU19,"~","~~"),"*","~*"),"?","~?"),'DADOS_FORMAS'!$AH$2:$AH$21,0)),""),"~","~~"),"*","~*"),"?","~?"),'DADOS_RESTRICOES'!$M$2:$Q$54,2,FALSE),"")=$OL19)),"Restrição repetida, contando a embutida",""),IF(IF(IFERROR(INDEX('DADOS_FORMAS'!$AS$2:$AS$21,MATCH(SUBSTITUTE(SUBSTITUTE(SUBSTITUTE($MU19,"~","~~"),"*","~*"),"?","~?"),'DADOS_FORMAS'!$AH$2:$AH$21,0)),"")="",0,IFERROR(N(VLOOKUP(SUBSTITUTE(SUBSTITUTE(SUBSTITUTE(IFERROR(INDEX('DADOS_FORMAS'!$AS$2:$AS$21,MATCH(SUBSTITUTE(SUBSTITUTE(SUBSTITUTE($MU19,"~","~~"),"*","~*"),"?","~?"),'DADOS_FORMAS'!$AH$2:$AH$21,0)),""),"~","~~"),"*","~*"),"?","~?"),'DADOS_RESTRICOES'!$M$2:$Q$54,4,FALSE)=1),0))+IF($NB19="",0,IFERROR(N(VLOOKUP(SUBSTITUTE(SUBSTITUTE(SUBSTITUTE($NB19,"~","~~"),"*","~*"),"?","~?"),'DADOS_RESTRICOES'!$M$2:$Q$54,4,FALSE)=1),0))+IF($NC19="",0,IFERROR(N(VLOOKUP(SUBSTITUTE(SUBSTITUTE(SUBSTITUTE($NC19,"~","~~"),"*","~*"),"?","~?"),'DADOS_RESTRICOES'!$M$2:$Q$54,4,FALSE)=1),0))&gt;1,"Duas Restrições de frequência, contando a embutida",""),IF(AND(IFERROR(VLOOKUP(SUBSTITUTE(SUBSTITUTE(SUBSTITUTE(IFERROR(INDEX('DADOS_FORMAS'!$AS$2:$AS$21,MATCH(SUBSTITUTE(SUBSTITUTE(SUBSTITUTE($MU19,"~","~~"),"*","~*"),"?","~?"),'DADOS_FORMAS'!$AH$2:$AH$21,0)),""),"~","~~"),"*","~*"),"?","~?"),'DADOS_RESTRICOES'!$M$2:$Q$54,2,FALSE),"")="Tudo ou Nada",$OH19=0),"Tudo ou Nada exige TR",""),IF(AND(IFERROR(VLOOKUP(SUBSTITUTE(SUBSTITUTE(SUBSTITUTE(IFERROR(INDEX('DADOS_FORMAS'!$AS$2:$AS$21,MATCH(SUBSTITUTE(SUBSTITUTE(SUBSTITUTE($MU19,"~","~~"),"*","~*"),"?","~?"),'DADOS_FORMAS'!$AH$2:$AH$21,0)),""),"~","~~"),"*","~*"),"?","~?"),'DADOS_RESTRICOES'!$M$2:$Q$54,2,FALSE),"")="Corpo a Corpo",OR($RO19="Cone",$RO19="Linha")),"Corpo a Corpo não entra em Cone/Linha","")))</f>
        <v/>
      </c>
      <c r="PU19" s="164">
        <f>IF($PT19="",0,(LEN($PT19)-LEN(SUBSTITUTE($PT19," · ","")))/3+1)</f>
        <v/>
      </c>
      <c r="PV19" s="164">
        <f>IF($ND19=0,"",TEXTJOIN(" · ",TRUE,IF($OX19&gt;2*$MS19,"A devolução parou no teto de "&amp;2*$MS19,""),IF($PA19&gt;0,"Devolução perdida: "&amp;$PA19&amp;IF($PA19&gt;1," pontos"," ponto")&amp;" sem Melhoria para pagar",""),IF(AND($OC19&gt;0,AND($MS19&gt;0,$OG19=0),$PD19=0),"Controle sem dano: uma rodada a mais e CD +2",""),IF(AND($OC19&gt;0,AND($MS19&gt;0,$OG19=0),$PD19&gt;0,$PD19&lt;=$MS19),"Controle com saldo até a Classe: uma rodada a mais",""),IF(AND($MS19&gt;0,$OE19&lt;&gt;""),"Efeito de "&amp;$OE19&amp;" pela Classe "&amp;MAX(1,$MS19-1),"")))</f>
        <v/>
      </c>
      <c r="PW19" s="164">
        <f>IF($PV19="",0,(LEN($PV19)-LEN(SUBSTITUTE($PV19," · ","")))/3+1)</f>
        <v/>
      </c>
      <c r="PX19" s="164">
        <f>IF($ND19=0,IF($OU19+COUNTIF($NB19:$NC19,"?*")&gt;0,"Dê um nome",""),IF($PU19&gt;0,"⚠ "&amp;$PU19&amp;IF($PU19&gt;1," erros"," erro"),IF($PW19&gt;0,"! "&amp;$PW19&amp;IF($PW19&gt;1," avisos"," aviso"),"Na regra")))</f>
        <v/>
      </c>
      <c r="PY19" s="164">
        <f>IF($ND19=0,"",IF($PU19+$PW19=0,"Dentro das regras que a ficha confere",$PT19&amp;IF(AND($PU19&gt;0,$PW19&gt;0)," · ","")&amp;$PV19))</f>
        <v/>
      </c>
      <c r="PZ19" s="164">
        <f>IF($MQ19&gt;$NE19,$MR19&amp;" · ABRE NO NÍVEL "&amp;$MQ19,$MR19)</f>
        <v/>
      </c>
      <c r="QA19" s="164">
        <f>IF($ND19=0,"",IF($MS19=0,"Sem PE",3*$MS19&amp;" PE"))</f>
        <v/>
      </c>
      <c r="QB19" s="164">
        <f>IF($ND19=0,"",IF($MS19=0,"A atuação básica dela",IF(COUNTIF($RQ19:$RS19,"Atrasar")&gt;0,"Sua Ação Completa",IF(COUNTIF($RK19:$RN19,"Rápido")&gt;0,"Sua Bônus",IF(COUNTIF($RK19:$RN19,"Reação")&gt;0,"Sua Reação","Sua Padrão")))&amp;" + a básica dela"&amp;IF(COUNTIF($RK19:$RN19,"Reação")&gt;0," e a coletiva","")&amp;IF(COUNTIF($RQ19:$RS19,"Carregar")&gt;0," · em dois turnos","")))</f>
        <v/>
      </c>
      <c r="QC19" s="164">
        <f>IF($MW19&lt;&gt;"",$MW19,IF($NJ19=0,"",INDEX('DADOS_FORMAS'!$GE$2:$GE$21,$NJ19)))</f>
        <v/>
      </c>
      <c r="QD19" s="164">
        <f>IF(OR($ND19=0,$NJ19=0),"",IF(COUNTIF($RK19:$RN19,"Inescapável")&gt;0,"Automático",IF($QC19="Ataque",IF($NH19="","Ataque","Ataque "&amp;IF(($NH19+2*IF(COUNTIF($RK19:$RN19,"Precisão")&gt;0,1,0))&gt;=0,"+","−")&amp;ABS(($NH19+2*IF(COUNTIF($RK19:$RN19,"Precisão")&gt;0,1,0))))&amp;IF($OD19&gt;0," · TR"&amp;IF($NI19="",""," CD "&amp;$NI19),""),IF(LEFT($QC19,2)="TR",$QC19&amp;IF($NI19="",""," · CD "&amp;$NI19)&amp;IF(COUNTIF($RK19:$RN19,"Certeiro")&gt;0," · metade",""),"Sem rolagem"))))</f>
        <v/>
      </c>
      <c r="QE19" s="164">
        <f>IF(OR($ND19=0,$NJ19=0),"",IF($MS19=0,IF(OR($OG19&gt;=1,$PD19=0),"Sem dano",$PD19&amp;"d6"&amp;IF($MV19="",""," "&amp;$MV19)),IF(OR($OG19&gt;=1,$PD19=0),UPPER(LEFT(INDEX($PM19:$PS19,1,MAX(1,$MS19)),1))&amp;MID(INDEX($PM19:$PS19,1,MAX(1,$MS19)),2,99),UPPER(LEFT(INDEX($PM19:$PS19,1,MAX(1,$MS19)),1))&amp;MID(INDEX($PM19:$PS19,1,MAX(1,$MS19)),2,99)&amp;IF($MV19="",""," "&amp;$MV19)&amp;IF($PE19&gt;0," · +"&amp;$PE19&amp;"d8",""))))</f>
        <v/>
      </c>
      <c r="QF19" s="164">
        <f>COUNTIF($RK19:$RN19,"Longe")+3*COUNTIF($RK19:$RN19,"Muito Longe")</f>
        <v/>
      </c>
      <c r="QG19" s="164">
        <f>COUNTIF($RK19:$RN19,"Maior")+3*COUNTIF($RK19:$RN19,"Muito Maior")</f>
        <v/>
      </c>
      <c r="QH19" s="164">
        <f>IF($NJ19=0,0,CHOOSE(1+INDEX('DADOS_FORMAS'!$GG$2:$GG$21,$NJ19),0,$QF19,$QG19,$QF19+$QG19))</f>
        <v/>
      </c>
      <c r="QI19" s="164">
        <f>IF($NJ19=0,0,CHOOSE(1+INDEX('DADOS_FORMAS'!$GH$2:$GH$21,$NJ19),0,$QF19,$QG19,$QF19+$QG19))</f>
        <v/>
      </c>
      <c r="QJ19" s="164">
        <f>IF(OR($ND19=0,$NJ19=0),"",INDEX('DADOS_FORMAS'!$HU$2:$HZ$81,($NJ19-1)*4+IF($MS19=0,1,IF($MS19&lt;=5,2,IF($MS19=6,3,4))),1+MIN(5,$QH19))&amp;INDEX('DADOS_FORMAS'!$IA$2:$IF$81,($NJ19-1)*4+IF($MS19=0,1,IF($MS19&lt;=5,2,IF($MS19=6,3,4))),1+MIN(5,$QI19))&amp;IF(INDEX('DADOS_FORMAS'!$GI$2:$GI$21,$NJ19)=1,IF(COUNTIF($RK19:$RN19,"Mais Um")&gt;0," · +"&amp;COUNTIF($RK19:$RN19,"Mais Um")&amp;IF(COUNTIF($RK19:$RN19,"Mais Um")&gt;1," alvos"," alvo"),"")&amp;IF(COUNTIF($RK19:$RN19,"Rajada")&gt;0,IF($MS19=0," · 1 tiro"," · "&amp;(MAX(1,$MS19-1)+1)&amp;" tiros"),""),""))</f>
        <v/>
      </c>
      <c r="QK19" s="164">
        <f>IF($ND19=0,"",IF($MS19=0,$NG19&amp;"d6"&amp;IF($OU19&gt;0," − 1 = "&amp;$PD19&amp;"d6"," da básica do nível "&amp;$NE19),$PB19&amp;" − "&amp;$OW19&amp;" + "&amp;$OZ19&amp;" = "&amp;$PC19&amp;" · teto "&amp;4*$MS19&amp;"d8"&amp;IF($OF19=1," · a Forma devolve "&amp;$MS19,"")&amp;IF($PA19&gt;0," · perde "&amp;$PA19,"")))</f>
        <v/>
      </c>
      <c r="QL19" s="164">
        <f>IF($ND19=0,"",IF($MS19=0,"A básica não amplia: os dados dela sobem com o nível",IF($MS19&gt;=$NF19,"Já está na maior Classe que o nível liberou",TEXTJOIN(" · ",TRUE,IF(AND(2&gt;$MS19,2&lt;=$NF19),"2 → "&amp;$PN19&amp;", 6 PE",""),IF(AND(3&gt;$MS19,3&lt;=$NF19),"3 → "&amp;$PO19&amp;", 9 PE",""),IF(AND(4&gt;$MS19,4&lt;=$NF19),"4 → "&amp;$PP19&amp;", 12 PE",""),IF(AND(5&gt;$MS19,5&lt;=$NF19),"5 → "&amp;$PQ19&amp;", 15 PE",""),IF(AND(6&gt;$MS19,6&lt;=$NF19),"6 → "&amp;$PR19&amp;", 18 PE",""),IF(AND(7&gt;$MS19,7&lt;=$NF19),"7 → "&amp;$PS19&amp;", 21 PE","")))))</f>
        <v/>
      </c>
      <c r="QM19" s="164">
        <f>IF(OR($ND19=0,$NO19=0),"",IF($MS19=0,"−1 dado","−"&amp;INDEX($I$2:$N$8,MAX(1,$MS19),MAX(1,$NT19))&amp;" · "&amp;CHOOSE(MAX(1,$NT19),"Leve","Média","Pesada","Leve · Livre","Média · Livre","Pesada · Livre")))</f>
        <v/>
      </c>
      <c r="QN19" s="164">
        <f>IF(OR($ND19=0,$NP19=0),"",IF($MS19=0,"−1 dado","−"&amp;INDEX($I$2:$N$8,MAX(1,$MS19),MAX(1,$NU19))&amp;" · "&amp;CHOOSE(MAX(1,$NU19),"Leve","Média","Pesada","Leve · Livre","Média · Livre","Pesada · Livre")))</f>
        <v/>
      </c>
      <c r="QO19" s="164">
        <f>IF(OR($ND19=0,$NQ19=0),"",IF($MS19=0,"−1 dado","−"&amp;INDEX($I$2:$N$8,MAX(1,$MS19),MAX(1,$NV19))&amp;" · "&amp;CHOOSE(MAX(1,$NV19),"Leve","Média","Pesada","Leve · Livre","Média · Livre","Pesada · Livre")))</f>
        <v/>
      </c>
      <c r="QP19" s="164">
        <f>IF(OR($ND19=0,$NR19=0),"",IF($MS19=0,"−1 dado","−"&amp;INDEX($I$2:$N$8,MAX(1,$MS19),MAX(1,$NW19))&amp;" · "&amp;CHOOSE(MAX(1,$NW19),"Leve","Média","Pesada","Leve · Livre","Média · Livre","Pesada · Livre")))</f>
        <v/>
      </c>
      <c r="QQ19" s="164">
        <f>IF(OR($ND19=0,$NB19=""),"",IF($MS19=0,"não devolve","+"&amp;IF($OI19=1,CEILING($MS19/2,1),$MS19)))</f>
        <v/>
      </c>
      <c r="QR19" s="164">
        <f>IF(OR($ND19=0,$NC19=""),"",IF($MS19=0,"não devolve","+"&amp;IF($OJ19=1,CEILING($MS19/2,1),$MS19)))</f>
        <v/>
      </c>
      <c r="RK19">
        <f>IF($MX19="","",IFERROR(VLOOKUP(SUBSTITUTE(SUBSTITUTE(SUBSTITUTE($MX19,"~","~~"),"*","~*"),"?","~?"),'DADOS_MELHORIAS'!$O$2:$X$113,10,FALSE),$MX19))</f>
        <v/>
      </c>
      <c r="RL19">
        <f>IF($MY19="","",IFERROR(VLOOKUP(SUBSTITUTE(SUBSTITUTE(SUBSTITUTE($MY19,"~","~~"),"*","~*"),"?","~?"),'DADOS_MELHORIAS'!$O$2:$X$113,10,FALSE),$MY19))</f>
        <v/>
      </c>
      <c r="RM19">
        <f>IF($MZ19="","",IFERROR(VLOOKUP(SUBSTITUTE(SUBSTITUTE(SUBSTITUTE($MZ19,"~","~~"),"*","~*"),"?","~?"),'DADOS_MELHORIAS'!$O$2:$X$113,10,FALSE),$MZ19))</f>
        <v/>
      </c>
      <c r="RN19">
        <f>IF($NA19="","",IFERROR(VLOOKUP(SUBSTITUTE(SUBSTITUTE(SUBSTITUTE($NA19,"~","~~"),"*","~*"),"?","~?"),'DADOS_MELHORIAS'!$O$2:$X$113,10,FALSE),$NA19))</f>
        <v/>
      </c>
      <c r="RO19">
        <f>IFERROR(INDEX('DADOS_FORMAS'!$BJ$2:$BJ$21,MATCH(SUBSTITUTE(SUBSTITUTE(SUBSTITUTE($MU19,"~","~~"),"*","~*"),"?","~?"),'DADOS_FORMAS'!$AH$2:$AH$21,0)),"")</f>
        <v/>
      </c>
      <c r="RP19">
        <f>IFERROR(VLOOKUP(SUBSTITUTE(SUBSTITUTE(SUBSTITUTE(IFERROR(INDEX('DADOS_FORMAS'!$AS$2:$AS$21,MATCH(SUBSTITUTE(SUBSTITUTE(SUBSTITUTE($MU19,"~","~~"),"*","~*"),"?","~?"),'DADOS_FORMAS'!$AH$2:$AH$21,0)),""),"~","~~"),"*","~*"),"?","~?"),'DADOS_RESTRICOES'!$M$2:$Q$54,2,FALSE),"")</f>
        <v/>
      </c>
      <c r="RQ19">
        <f>$OK19</f>
        <v/>
      </c>
      <c r="RR19">
        <f>$OL19</f>
        <v/>
      </c>
      <c r="RS19">
        <f>$RP19</f>
        <v/>
      </c>
    </row>
    <row r="20">
      <c r="AH20" s="162" t="inlineStr">
        <is>
          <t>Cone · classe 6</t>
        </is>
      </c>
      <c r="AI20" s="162" t="inlineStr">
        <is>
          <t>Cone de 4,5 m</t>
        </is>
      </c>
      <c r="AJ20" s="162" t="inlineStr">
        <is>
          <t>Cone de 9 m</t>
        </is>
      </c>
      <c r="AK20" s="162" t="inlineStr">
        <is>
          <t>Cone de 18 m</t>
        </is>
      </c>
      <c r="AL20" s="162" t="inlineStr">
        <is>
          <t>Cone de 30 m</t>
        </is>
      </c>
      <c r="AM20" s="162" t="inlineStr">
        <is>
          <t>Cone de 60 m</t>
        </is>
      </c>
      <c r="AN20" s="162" t="inlineStr">
        <is>
          <t>Cone de 60 m</t>
        </is>
      </c>
      <c r="AO20" s="162" t="inlineStr"/>
      <c r="AP20" s="162" t="inlineStr"/>
      <c r="AQ20" s="162" t="inlineStr"/>
      <c r="AR20" s="162" t="inlineStr"/>
      <c r="AS20" s="162" t="inlineStr"/>
      <c r="AT20" s="162" t="inlineStr"/>
      <c r="AV20" s="162" t="inlineStr">
        <is>
          <t>Fura</t>
        </is>
      </c>
      <c r="AW20" s="162" t="inlineStr">
        <is>
          <t>Mira</t>
        </is>
      </c>
      <c r="AX20" s="164" t="n">
        <v>2</v>
      </c>
      <c r="AY20" s="164" t="n">
        <v>0</v>
      </c>
      <c r="AZ20" s="164" t="n">
        <v>1</v>
      </c>
      <c r="BA20" s="164" t="n">
        <v>0</v>
      </c>
      <c r="BC20" s="162" t="inlineStr">
        <is>
          <t>Tudo ou Nada</t>
        </is>
      </c>
      <c r="BD20" s="162" t="inlineStr">
        <is>
          <t>Tudo ou Nada</t>
        </is>
      </c>
      <c r="BE20" s="164" t="n">
        <v>1</v>
      </c>
      <c r="BF20" s="164" t="n">
        <v>0</v>
      </c>
      <c r="BG20" s="162" t="inlineStr">
        <is>
          <t>Tudo ou Nada</t>
        </is>
      </c>
      <c r="CC20" s="162" t="inlineStr">
        <is>
          <t>Persuasão</t>
        </is>
      </c>
      <c r="CD20" s="162" t="inlineStr">
        <is>
          <t>Essência</t>
        </is>
      </c>
      <c r="JT20" s="164">
        <f>IF(OR($AW20="",(COUNTIF($EL$2:$EP$2,$AW20)+COUNTIF($QV$2:$QY$2,$AW20))&gt;0),$AV20,"")</f>
        <v/>
      </c>
      <c r="JU20" s="164">
        <f>IF(AND($AX20=1,OR($AW20="",(COUNTIF($EL$2:$EP$2,$AW20)+COUNTIF($QV$2:$QY$2,$AW20))&gt;0)),$AV20,"")</f>
        <v/>
      </c>
      <c r="JZ20" s="164">
        <f>IF(OR($AW20="",(COUNTIF($EL$3:$EP$3,$AW20)+COUNTIF($QV$3:$QY$3,$AW20))&gt;0),$AV20,"")</f>
        <v/>
      </c>
      <c r="KA20" s="164">
        <f>IF(AND($AX20=1,OR($AW20="",(COUNTIF($EL$3:$EP$3,$AW20)+COUNTIF($QV$3:$QY$3,$AW20))&gt;0)),$AV20,"")</f>
        <v/>
      </c>
      <c r="KF20" s="164">
        <f>IF(OR($AW20="",(COUNTIF($EL$4:$EP$4,$AW20)+COUNTIF($QV$4:$QY$4,$AW20))&gt;0),$AV20,"")</f>
        <v/>
      </c>
      <c r="KG20" s="164">
        <f>IF(AND($AX20=1,OR($AW20="",(COUNTIF($EL$4:$EP$4,$AW20)+COUNTIF($QV$4:$QY$4,$AW20))&gt;0)),$AV20,"")</f>
        <v/>
      </c>
      <c r="KL20" s="164">
        <f>IF(OR($AW20="",(COUNTIF($EL$5:$EP$5,$AW20)+COUNTIF($QV$5:$QY$5,$AW20))&gt;0),$AV20,"")</f>
        <v/>
      </c>
      <c r="KM20" s="164">
        <f>IF(AND($AX20=1,OR($AW20="",(COUNTIF($EL$5:$EP$5,$AW20)+COUNTIF($QV$5:$QY$5,$AW20))&gt;0)),$AV20,"")</f>
        <v/>
      </c>
      <c r="KR20" s="164">
        <f>IF(OR($AW20="",(COUNTIF($EL$6:$EP$6,$AW20)+COUNTIF($QV$6:$QY$6,$AW20))&gt;0),$AV20,"")</f>
        <v/>
      </c>
      <c r="KS20" s="164">
        <f>IF(AND($AX20=1,OR($AW20="",(COUNTIF($EL$6:$EP$6,$AW20)+COUNTIF($QV$6:$QY$6,$AW20))&gt;0)),$AV20,"")</f>
        <v/>
      </c>
      <c r="KX20" s="164">
        <f>IF(OR($AW20="",(COUNTIF($EL$7:$EP$7,$AW20)+COUNTIF($QV$7:$QY$7,$AW20))&gt;0),$AV20,"")</f>
        <v/>
      </c>
      <c r="KY20" s="164">
        <f>IF(AND($AX20=1,OR($AW20="",(COUNTIF($EL$7:$EP$7,$AW20)+COUNTIF($QV$7:$QY$7,$AW20))&gt;0)),$AV20,"")</f>
        <v/>
      </c>
      <c r="LD20" s="164">
        <f>IF(OR($AW20="",(COUNTIF($EL$8:$EP$8,$AW20)+COUNTIF($QV$8:$QY$8,$AW20))&gt;0),$AV20,"")</f>
        <v/>
      </c>
      <c r="LE20" s="164">
        <f>IF(AND($AX20=1,OR($AW20="",(COUNTIF($EL$8:$EP$8,$AW20)+COUNTIF($QV$8:$QY$8,$AW20))&gt;0)),$AV20,"")</f>
        <v/>
      </c>
      <c r="LJ20" s="164">
        <f>IF(OR($AW20="",(COUNTIF($EL$9:$EP$9,$AW20)+COUNTIF($QV$9:$QY$9,$AW20))&gt;0),$AV20,"")</f>
        <v/>
      </c>
      <c r="LK20" s="164">
        <f>IF(AND($AX20=1,OR($AW20="",(COUNTIF($EL$9:$EP$9,$AW20)+COUNTIF($QV$9:$QY$9,$AW20))&gt;0)),$AV20,"")</f>
        <v/>
      </c>
      <c r="LP20" s="164">
        <f>IF(OR($AW20="",(COUNTIF($EL$10:$EP$10,$AW20)+COUNTIF($QV$10:$QY$10,$AW20))&gt;0),$AV20,"")</f>
        <v/>
      </c>
      <c r="LQ20" s="164">
        <f>IF(AND($AX20=1,OR($AW20="",(COUNTIF($EL$10:$EP$10,$AW20)+COUNTIF($QV$10:$QY$10,$AW20))&gt;0)),$AV20,"")</f>
        <v/>
      </c>
      <c r="LV20" s="164">
        <f>IF(OR($AW20="",(COUNTIF($EL$11:$EP$11,$AW20)+COUNTIF($QV$11:$QY$11,$AW20))&gt;0),$AV20,"")</f>
        <v/>
      </c>
      <c r="LW20" s="164">
        <f>IF(AND($AX20=1,OR($AW20="",(COUNTIF($EL$11:$EP$11,$AW20)+COUNTIF($QV$11:$QY$11,$AW20))&gt;0)),$AV20,"")</f>
        <v/>
      </c>
      <c r="MB20" s="164">
        <f>IF(OR($AW20="",(COUNTIF($EL$12:$EP$12,$AW20)+COUNTIF($QV$12:$QY$12,$AW20))&gt;0),$AV20,"")</f>
        <v/>
      </c>
      <c r="MC20" s="164">
        <f>IF(AND($AX20=1,OR($AW20="",(COUNTIF($EL$12:$EP$12,$AW20)+COUNTIF($QV$12:$QY$12,$AW20))&gt;0)),$AV20,"")</f>
        <v/>
      </c>
      <c r="MH20" s="164">
        <f>IF(OR($AW20="",(COUNTIF($EL$13:$EP$13,$AW20)+COUNTIF($QV$13:$QY$13,$AW20))&gt;0),$AV20,"")</f>
        <v/>
      </c>
      <c r="MI20" s="164">
        <f>IF(AND($AX20=1,OR($AW20="",(COUNTIF($EL$13:$EP$13,$AW20)+COUNTIF($QV$13:$QY$13,$AW20))&gt;0)),$AV20,"")</f>
        <v/>
      </c>
      <c r="MN20" s="162" t="inlineStr">
        <is>
          <t>Ficha 2 · Especial 4</t>
        </is>
      </c>
      <c r="MO20" s="164" t="n">
        <v>2</v>
      </c>
      <c r="MP20" s="164" t="n">
        <v>1</v>
      </c>
      <c r="MQ20" s="164" t="n">
        <v>12</v>
      </c>
      <c r="MR20" s="162" t="inlineStr">
        <is>
          <t>ESPECIAL 4</t>
        </is>
      </c>
      <c r="MS20" s="164">
        <f>MAX(1,MIN(7,N('INVOCAÇÕES'!$U$316)))</f>
        <v/>
      </c>
      <c r="MT20" s="164">
        <f>'INVOCAÇÕES'!$V$316&amp;""</f>
        <v/>
      </c>
      <c r="MU20" s="164">
        <f>'INVOCAÇÕES'!$U$321&amp;""</f>
        <v/>
      </c>
      <c r="MV20" s="164">
        <f>'INVOCAÇÕES'!$U$322&amp;""</f>
        <v/>
      </c>
      <c r="MW20" s="164">
        <f>'INVOCAÇÕES'!$W$322&amp;""</f>
        <v/>
      </c>
      <c r="MX20" s="164">
        <f>'INVOCAÇÕES'!$V$325&amp;""</f>
        <v/>
      </c>
      <c r="MY20" s="164">
        <f>'INVOCAÇÕES'!$V$326&amp;""</f>
        <v/>
      </c>
      <c r="MZ20" s="164">
        <f>'INVOCAÇÕES'!$V$327&amp;""</f>
        <v/>
      </c>
      <c r="NA20" s="164">
        <f>'INVOCAÇÕES'!$V$328&amp;""</f>
        <v/>
      </c>
      <c r="NB20" s="164">
        <f>'INVOCAÇÕES'!$V$329&amp;""</f>
        <v/>
      </c>
      <c r="NC20" s="164">
        <f>'INVOCAÇÕES'!$V$330&amp;""</f>
        <v/>
      </c>
      <c r="ND20" s="164">
        <f>IF($MT20&lt;&gt;"",1,0)</f>
        <v/>
      </c>
      <c r="NE20" s="164">
        <f>INDEX($FO$2:$FO$13,$MO20)</f>
        <v/>
      </c>
      <c r="NF20" s="164">
        <f>INDEX($FP$2:$FP$13,$MO20)</f>
        <v/>
      </c>
      <c r="NG20" s="164">
        <f>INDEX($FQ$2:$FQ$13,$MO20)</f>
        <v/>
      </c>
      <c r="NH20" s="164">
        <f>INDEX($GB$2:$GB$13,$MO20)</f>
        <v/>
      </c>
      <c r="NI20" s="164">
        <f>INDEX($GC$2:$GC$13,$MO20)</f>
        <v/>
      </c>
      <c r="NJ20" s="164">
        <f>IFERROR(MATCH(SUBSTITUTE(SUBSTITUTE(SUBSTITUTE($MU20,"~","~~"),"*","~*"),"?","~?"),'DADOS_FORMAS'!$FZ$2:$FZ$21,0),0)</f>
        <v/>
      </c>
      <c r="NK20" s="164">
        <f>IFERROR(VLOOKUP(SUBSTITUTE(SUBSTITUTE(SUBSTITUTE($MX20,"~","~~"),"*","~*"),"?","~?"),'DADOS_MELHORIAS'!$AG$2:$AL$113,2,FALSE),"")</f>
        <v/>
      </c>
      <c r="NL20" s="164">
        <f>IFERROR(VLOOKUP(SUBSTITUTE(SUBSTITUTE(SUBSTITUTE($MY20,"~","~~"),"*","~*"),"?","~?"),'DADOS_MELHORIAS'!$AG$2:$AL$113,2,FALSE),"")</f>
        <v/>
      </c>
      <c r="NM20" s="164">
        <f>IFERROR(VLOOKUP(SUBSTITUTE(SUBSTITUTE(SUBSTITUTE($MZ20,"~","~~"),"*","~*"),"?","~?"),'DADOS_MELHORIAS'!$AG$2:$AL$113,2,FALSE),"")</f>
        <v/>
      </c>
      <c r="NN20" s="164">
        <f>IFERROR(VLOOKUP(SUBSTITUTE(SUBSTITUTE(SUBSTITUTE($NA20,"~","~~"),"*","~*"),"?","~?"),'DADOS_MELHORIAS'!$AG$2:$AL$113,2,FALSE),"")</f>
        <v/>
      </c>
      <c r="NO20" s="164">
        <f>IFERROR(VLOOKUP(SUBSTITUTE(SUBSTITUTE(SUBSTITUTE($MX20,"~","~~"),"*","~*"),"?","~?"),'DADOS_MELHORIAS'!$AG$2:$AL$113,3,FALSE),0)</f>
        <v/>
      </c>
      <c r="NP20" s="164">
        <f>IFERROR(VLOOKUP(SUBSTITUTE(SUBSTITUTE(SUBSTITUTE($MY20,"~","~~"),"*","~*"),"?","~?"),'DADOS_MELHORIAS'!$AG$2:$AL$113,3,FALSE),0)</f>
        <v/>
      </c>
      <c r="NQ20" s="164">
        <f>IFERROR(VLOOKUP(SUBSTITUTE(SUBSTITUTE(SUBSTITUTE($MZ20,"~","~~"),"*","~*"),"?","~?"),'DADOS_MELHORIAS'!$AG$2:$AL$113,3,FALSE),0)</f>
        <v/>
      </c>
      <c r="NR20" s="164">
        <f>IFERROR(VLOOKUP(SUBSTITUTE(SUBSTITUTE(SUBSTITUTE($NA20,"~","~~"),"*","~*"),"?","~?"),'DADOS_MELHORIAS'!$AG$2:$AL$113,3,FALSE),0)</f>
        <v/>
      </c>
      <c r="NS20" s="164">
        <f>IF($MS20=0,0,IF($NJ20=0,0,INDEX('DADOS_FORMAS'!$GB$2:$GB$21,$NJ20)))</f>
        <v/>
      </c>
      <c r="NT20" s="164">
        <f>IF(OR($NO20=0,$MS20=0),0,$NO20+3*IF(AND($NK20&lt;&gt;"",COUNTIF(INDEX($RB$2:$RJ$13,$MO20,0),$NK20)&gt;0),1,0))</f>
        <v/>
      </c>
      <c r="NU20" s="164">
        <f>IF(OR($NP20=0,$MS20=0),0,$NP20+3*IF(AND($NL20&lt;&gt;"",COUNTIF(INDEX($RB$2:$RJ$13,$MO20,0),$NL20)&gt;0),1,0))</f>
        <v/>
      </c>
      <c r="NV20" s="164">
        <f>IF(OR($NQ20=0,$MS20=0),0,$NQ20+3*IF(AND($NM20&lt;&gt;"",COUNTIF(INDEX($RB$2:$RJ$13,$MO20,0),$NM20)&gt;0),1,0))</f>
        <v/>
      </c>
      <c r="NW20" s="164">
        <f>IF(OR($NR20=0,$MS20=0),0,$NR20+3*IF(AND($NN20&lt;&gt;"",COUNTIF(INDEX($RB$2:$RJ$13,$MO20,0),$NN20)&gt;0),1,0))</f>
        <v/>
      </c>
      <c r="NX20" s="164">
        <f>IF($NJ20=0,0,IF(INDEX('DADOS_FORMAS'!$GA$2:$GA$21,$NJ20)="",0,IF((COUNTIF(INDEX($EL$2:$EP$13,$MO20,0),INDEX('DADOS_FORMAS'!$GA$2:$GA$21,$NJ20))+COUNTIF(INDEX($QV$2:$QY$13,$MO20,0),INDEX('DADOS_FORMAS'!$GA$2:$GA$21,$NJ20)))=0,1,0)))</f>
        <v/>
      </c>
      <c r="NY20" s="164">
        <f>IF(OR($NO20=0,$NK20=""),0,IF((COUNTIF(INDEX($EL$2:$EP$13,$MO20,0),$NK20)+COUNTIF(INDEX($QV$2:$QY$13,$MO20,0),$NK20))=0,1,0))</f>
        <v/>
      </c>
      <c r="NZ20" s="164">
        <f>IF(OR($NP20=0,$NL20=""),0,IF((COUNTIF(INDEX($EL$2:$EP$13,$MO20,0),$NL20)+COUNTIF(INDEX($QV$2:$QY$13,$MO20,0),$NL20))=0,1,0))</f>
        <v/>
      </c>
      <c r="OA20" s="164">
        <f>IF(OR($NQ20=0,$NM20=""),0,IF((COUNTIF(INDEX($EL$2:$EP$13,$MO20,0),$NM20)+COUNTIF(INDEX($QV$2:$QY$13,$MO20,0),$NM20))=0,1,0))</f>
        <v/>
      </c>
      <c r="OB20" s="164">
        <f>IF(OR($NR20=0,$NN20=""),0,IF((COUNTIF(INDEX($EL$2:$EP$13,$MO20,0),$NN20)+COUNTIF(INDEX($QV$2:$QY$13,$MO20,0),$NN20))=0,1,0))</f>
        <v/>
      </c>
      <c r="OC20" s="164">
        <f>IFERROR(VLOOKUP(SUBSTITUTE(SUBSTITUTE(SUBSTITUTE($MX20,"~","~~"),"*","~*"),"?","~?"),'DADOS_MELHORIAS'!$AG$2:$AL$113,4,FALSE),0)+IFERROR(VLOOKUP(SUBSTITUTE(SUBSTITUTE(SUBSTITUTE($MY20,"~","~~"),"*","~*"),"?","~?"),'DADOS_MELHORIAS'!$AG$2:$AL$113,4,FALSE),0)+IFERROR(VLOOKUP(SUBSTITUTE(SUBSTITUTE(SUBSTITUTE($MZ20,"~","~~"),"*","~*"),"?","~?"),'DADOS_MELHORIAS'!$AG$2:$AL$113,4,FALSE),0)+IFERROR(VLOOKUP(SUBSTITUTE(SUBSTITUTE(SUBSTITUTE($NA20,"~","~~"),"*","~*"),"?","~?"),'DADOS_MELHORIAS'!$AG$2:$AL$113,4,FALSE),0)</f>
        <v/>
      </c>
      <c r="OD20" s="164">
        <f>IFERROR(VLOOKUP(SUBSTITUTE(SUBSTITUTE(SUBSTITUTE($MX20,"~","~~"),"*","~*"),"?","~?"),'DADOS_MELHORIAS'!$AG$2:$AL$113,6,FALSE),0)+IFERROR(VLOOKUP(SUBSTITUTE(SUBSTITUTE(SUBSTITUTE($MY20,"~","~~"),"*","~*"),"?","~?"),'DADOS_MELHORIAS'!$AG$2:$AL$113,6,FALSE),0)+IFERROR(VLOOKUP(SUBSTITUTE(SUBSTITUTE(SUBSTITUTE($MZ20,"~","~~"),"*","~*"),"?","~?"),'DADOS_MELHORIAS'!$AG$2:$AL$113,6,FALSE),0)+IFERROR(VLOOKUP(SUBSTITUTE(SUBSTITUTE(SUBSTITUTE($NA20,"~","~~"),"*","~*"),"?","~?"),'DADOS_MELHORIAS'!$AG$2:$AL$113,6,FALSE),0)+IFERROR(N(AND(INDEX('DADOS_FORMAS'!$AO$2:$AO$21,MATCH(SUBSTITUTE(SUBSTITUTE(SUBSTITUTE($MU20,"~","~~"),"*","~*"),"?","~?"),'DADOS_FORMAS'!$AH$2:$AH$21,0))="Acerto",$OH20=1)),0)</f>
        <v/>
      </c>
      <c r="OE20" s="164">
        <f>TEXTJOIN(", ",TRUE,IF(IFERROR(VLOOKUP(SUBSTITUTE(SUBSTITUTE(SUBSTITUTE($MX20,"~","~~"),"*","~*"),"?","~?"),'DADOS_MELHORIAS'!$AG$2:$AL$113,5,FALSE),0)=1,$MX20,""),IF(IFERROR(VLOOKUP(SUBSTITUTE(SUBSTITUTE(SUBSTITUTE($MY20,"~","~~"),"*","~*"),"?","~?"),'DADOS_MELHORIAS'!$AG$2:$AL$113,5,FALSE),0)=1,$MY20,""),IF(IFERROR(VLOOKUP(SUBSTITUTE(SUBSTITUTE(SUBSTITUTE($MZ20,"~","~~"),"*","~*"),"?","~?"),'DADOS_MELHORIAS'!$AG$2:$AL$113,5,FALSE),0)=1,$MZ20,""),IF(IFERROR(VLOOKUP(SUBSTITUTE(SUBSTITUTE(SUBSTITUTE($NA20,"~","~~"),"*","~*"),"?","~?"),'DADOS_MELHORIAS'!$AG$2:$AL$113,5,FALSE),0)=1,$NA20,""))</f>
        <v/>
      </c>
      <c r="OF20" s="164">
        <f>IF($NJ20=0,0,INDEX('DADOS_FORMAS'!$GC$2:$GC$21,$NJ20))</f>
        <v/>
      </c>
      <c r="OG20" s="164">
        <f>IF($NJ20=0,0,INDEX('DADOS_FORMAS'!$GD$2:$GD$21,$NJ20))</f>
        <v/>
      </c>
      <c r="OH20" s="164">
        <f>IF($NJ20=0,0,INDEX('DADOS_FORMAS'!$GF$2:$GF$21,$NJ20))</f>
        <v/>
      </c>
      <c r="OI20" s="164">
        <f>IFERROR(VLOOKUP(SUBSTITUTE(SUBSTITUTE(SUBSTITUTE($NB20,"~","~~"),"*","~*"),"?","~?"),'DADOS_RESTRICOES'!$M$2:$Q$54,3,FALSE),0)</f>
        <v/>
      </c>
      <c r="OJ20" s="164">
        <f>IFERROR(VLOOKUP(SUBSTITUTE(SUBSTITUTE(SUBSTITUTE($NC20,"~","~~"),"*","~*"),"?","~?"),'DADOS_RESTRICOES'!$M$2:$Q$54,3,FALSE),0)</f>
        <v/>
      </c>
      <c r="OK20" s="164">
        <f>IFERROR(VLOOKUP(SUBSTITUTE(SUBSTITUTE(SUBSTITUTE($NB20,"~","~~"),"*","~*"),"?","~?"),'DADOS_RESTRICOES'!$M$2:$Q$54,2,FALSE),"")</f>
        <v/>
      </c>
      <c r="OL20" s="164">
        <f>IFERROR(VLOOKUP(SUBSTITUTE(SUBSTITUTE(SUBSTITUTE($NC20,"~","~~"),"*","~*"),"?","~?"),'DADOS_RESTRICOES'!$M$2:$Q$54,2,FALSE),"")</f>
        <v/>
      </c>
      <c r="OM20" s="164">
        <f>COUNTIF($NS20:$NW20,1)</f>
        <v/>
      </c>
      <c r="ON20" s="164">
        <f>COUNTIF($NS20:$NW20,2)</f>
        <v/>
      </c>
      <c r="OO20" s="164">
        <f>COUNTIF($NS20:$NW20,3)</f>
        <v/>
      </c>
      <c r="OP20" s="164">
        <f>COUNTIF($NS20:$NW20,4)</f>
        <v/>
      </c>
      <c r="OQ20" s="164">
        <f>COUNTIF($NS20:$NW20,5)</f>
        <v/>
      </c>
      <c r="OR20" s="164">
        <f>COUNTIF($NS20:$NW20,6)</f>
        <v/>
      </c>
      <c r="OS20" s="164">
        <f>COUNTIF($OI20:$OJ20,1)+IF(IFERROR(INDEX('DADOS_FORMAS'!$AS$2:$AS$21,MATCH(SUBSTITUTE(SUBSTITUTE(SUBSTITUTE($MU20,"~","~~"),"*","~*"),"?","~?"),'DADOS_FORMAS'!$AH$2:$AH$21,0)),"")="",0,IFERROR(N(VLOOKUP(SUBSTITUTE(SUBSTITUTE(SUBSTITUTE(IFERROR(INDEX('DADOS_FORMAS'!$AS$2:$AS$21,MATCH(SUBSTITUTE(SUBSTITUTE(SUBSTITUTE($MU20,"~","~~"),"*","~*"),"?","~?"),'DADOS_FORMAS'!$AH$2:$AH$21,0)),""),"~","~~"),"*","~*"),"?","~?"),'DADOS_RESTRICOES'!$M$2:$Q$54,3,FALSE)=1),0))</f>
        <v/>
      </c>
      <c r="OT20" s="164">
        <f>COUNTIF($OI20:$OJ20,2)+IF(IFERROR(INDEX('DADOS_FORMAS'!$AS$2:$AS$21,MATCH(SUBSTITUTE(SUBSTITUTE(SUBSTITUTE($MU20,"~","~~"),"*","~*"),"?","~?"),'DADOS_FORMAS'!$AH$2:$AH$21,0)),"")="",0,IFERROR(N(VLOOKUP(SUBSTITUTE(SUBSTITUTE(SUBSTITUTE(IFERROR(INDEX('DADOS_FORMAS'!$AS$2:$AS$21,MATCH(SUBSTITUTE(SUBSTITUTE(SUBSTITUTE($MU20,"~","~~"),"*","~*"),"?","~?"),'DADOS_FORMAS'!$AH$2:$AH$21,0)),""),"~","~~"),"*","~*"),"?","~?"),'DADOS_RESTRICOES'!$M$2:$Q$54,3,FALSE)=2),0))</f>
        <v/>
      </c>
      <c r="OU20" s="164">
        <f>COUNTIF($MX20:$NA20,"?*")</f>
        <v/>
      </c>
      <c r="OV20" s="164">
        <f>COUNTIF($NB20:$NC20,"?*")+$OF20</f>
        <v/>
      </c>
      <c r="OW20" s="164">
        <f>IF($MS20=0,0,SUMPRODUCT($OM20:$OR20,INDEX($I$2:$N$8,MAX(1,$MS20),0)))</f>
        <v/>
      </c>
      <c r="OX20" s="164">
        <f>IF($MS20=0,0,$OS20*CEILING($MS20/2,1)+$OT20*$MS20)</f>
        <v/>
      </c>
      <c r="OY20" s="164">
        <f>MIN(2*$MS20,$OX20)</f>
        <v/>
      </c>
      <c r="OZ20" s="164">
        <f>MIN($OY20,$OW20-IF($NS20=0,0,INDEX($I$2:$N$8,MAX(1,$MS20),$NS20)))</f>
        <v/>
      </c>
      <c r="PA20" s="164">
        <f>$OY20-$OZ20</f>
        <v/>
      </c>
      <c r="PB20" s="164">
        <f>IF($MS20=0,0,INDEX($P$2:$P$8,MAX(1,$MS20)))</f>
        <v/>
      </c>
      <c r="PC20" s="164">
        <f>$PB20-$OW20+$OZ20</f>
        <v/>
      </c>
      <c r="PD20" s="164">
        <f>IF($MS20=0,MAX(0,$NG20-IF(AND($OU20&gt;0,COUNTIF($NB20:$NC20,"?*")=0),1,0)),MAX(0,$PC20))</f>
        <v/>
      </c>
      <c r="PE20" s="164">
        <f>IF($MS20=0,0,(IF(COUNTIF($RK20:$RN20,"Salto")&gt;0,1,0)+IF(COUNTIF($RK20:$RN20,"Queima")&gt;0,1,0)+IF(COUNTIF($RK20:$RN20,"Estilhaço")&gt;0,1,0))*FLOOR($PD20/2,1))</f>
        <v/>
      </c>
      <c r="PF20" s="164">
        <f>MAX(0,2-SUMPRODUCT($OM20:$OR20,$I$2:$N$2)+MIN(2,$OS20*1+$OT20*1,SUMPRODUCT($OM20:$OR20,$I$2:$N$2)-IF($NS20=0,0,INDEX($I$2:$N$2,1,$NS20))))</f>
        <v/>
      </c>
      <c r="PG20" s="164">
        <f>MAX(0,4-SUMPRODUCT($OM20:$OR20,$I$3:$N$3)+MIN(4,$OS20*1+$OT20*2,SUMPRODUCT($OM20:$OR20,$I$3:$N$3)-IF($NS20=0,0,INDEX($I$3:$N$3,1,$NS20))))</f>
        <v/>
      </c>
      <c r="PH20" s="164">
        <f>MAX(0,6-SUMPRODUCT($OM20:$OR20,$I$4:$N$4)+MIN(6,$OS20*2+$OT20*3,SUMPRODUCT($OM20:$OR20,$I$4:$N$4)-IF($NS20=0,0,INDEX($I$4:$N$4,1,$NS20))))</f>
        <v/>
      </c>
      <c r="PI20" s="164">
        <f>MAX(0,9-SUMPRODUCT($OM20:$OR20,$I$5:$N$5)+MIN(8,$OS20*2+$OT20*4,SUMPRODUCT($OM20:$OR20,$I$5:$N$5)-IF($NS20=0,0,INDEX($I$5:$N$5,1,$NS20))))</f>
        <v/>
      </c>
      <c r="PJ20" s="164">
        <f>MAX(0,11-SUMPRODUCT($OM20:$OR20,$I$6:$N$6)+MIN(10,$OS20*3+$OT20*5,SUMPRODUCT($OM20:$OR20,$I$6:$N$6)-IF($NS20=0,0,INDEX($I$6:$N$6,1,$NS20))))</f>
        <v/>
      </c>
      <c r="PK20" s="164">
        <f>MAX(0,13-SUMPRODUCT($OM20:$OR20,$I$7:$N$7)+MIN(12,$OS20*3+$OT20*6,SUMPRODUCT($OM20:$OR20,$I$7:$N$7)-IF($NS20=0,0,INDEX($I$7:$N$7,1,$NS20))))</f>
        <v/>
      </c>
      <c r="PL20" s="164">
        <f>MAX(0,16-SUMPRODUCT($OM20:$OR20,$I$8:$N$8)+MIN(14,$OS20*4+$OT20*7,SUMPRODUCT($OM20:$OR20,$I$8:$N$8)-IF($NS20=0,0,INDEX($I$8:$N$8,1,$NS20))))</f>
        <v/>
      </c>
      <c r="PM20" s="164">
        <f>IF($OG20=2,3*$PF20&amp;" de vida temp.",IF($OG20=3,"sem dano",IF($PF20=0,IF($OG20=1,"sem cura","sem dano"),IF($OG20=1,"cura ","")&amp;$PF20&amp;"d8")))</f>
        <v/>
      </c>
      <c r="PN20" s="164">
        <f>IF($OG20=2,3*$PG20&amp;" de vida temp.",IF($OG20=3,"sem dano",IF($PG20=0,IF($OG20=1,"sem cura","sem dano"),IF($OG20=1,"cura ","")&amp;$PG20&amp;"d8")))</f>
        <v/>
      </c>
      <c r="PO20" s="164">
        <f>IF($OG20=2,3*$PH20&amp;" de vida temp.",IF($OG20=3,"sem dano",IF($PH20=0,IF($OG20=1,"sem cura","sem dano"),IF($OG20=1,"cura ","")&amp;$PH20&amp;"d8")))</f>
        <v/>
      </c>
      <c r="PP20" s="164">
        <f>IF($OG20=2,3*$PI20&amp;" de vida temp.",IF($OG20=3,"sem dano",IF($PI20=0,IF($OG20=1,"sem cura","sem dano"),IF($OG20=1,"cura ","")&amp;$PI20&amp;"d8")))</f>
        <v/>
      </c>
      <c r="PQ20" s="164">
        <f>IF($OG20=2,3*$PJ20&amp;" de vida temp.",IF($OG20=3,"sem dano",IF($PJ20=0,IF($OG20=1,"sem cura","sem dano"),IF($OG20=1,"cura ","")&amp;$PJ20&amp;"d8")))</f>
        <v/>
      </c>
      <c r="PR20" s="164">
        <f>IF($OG20=2,3*$PK20&amp;" de vida temp.",IF($OG20=3,"sem dano",IF($PK20=0,IF($OG20=1,"sem cura","sem dano"),IF($OG20=1,"cura ","")&amp;$PK20&amp;"d8")))</f>
        <v/>
      </c>
      <c r="PS20" s="164">
        <f>IF($OG20=2,3*$PL20&amp;" de vida temp.",IF($OG20=3,"sem dano",IF($PL20=0,IF($OG20=1,"sem cura","sem dano"),IF($OG20=1,"cura ","")&amp;$PL20&amp;"d8")))</f>
        <v/>
      </c>
      <c r="PT20" s="164">
        <f>IF($ND20=0,"",TEXTJOIN(" · ",TRUE,IF($ND20=0,"",TEXTJOIN(" · ",TRUE,IF($ND20=0,"",TEXTJOIN(" · ",TRUE,IF($MQ20&gt;$NE20,"Este lugar abre no nível "&amp;$MQ20,""),IF($MS20&gt;$NF20,"Classe "&amp;$MS20&amp;": o nível "&amp;$NE20&amp;" libera até a "&amp;$NF20,""),IF($NX20=1,"A Forma "&amp;$MU20&amp;" pede "&amp;INDEX('DADOS_FORMAS'!$GA$2:$GA$21,$NJ20)&amp;" aberta",""),IF(AND($MS20=0,$NJ20&gt;0,IF($NJ20=0,0,INDEX('DADOS_FORMAS'!$GJ$2:$GJ$21,$NJ20))=0),$MU20&amp;" não existe na Classe 0",""),IF($NY20=1,"Família Fechada: "&amp;$MX20,""),IF($NZ20=1,"Família Fechada: "&amp;$MY20,""),IF($OA20=1,"Família Fechada: "&amp;$MZ20,""),IF($OB20=1,"Família Fechada: "&amp;$NA20,""),IF(AND($MS20&gt;0,$OU20&gt;INDEX($O$2:$O$8,MAX(1,$MS20))),$OU20&amp;" Melhorias: a Classe "&amp;$MS20&amp;" aceita "&amp;INDEX($O$2:$O$8,MAX(1,$MS20)),""),IF(AND($MS20=0,$OU20&gt;1),"A básica aceita uma Melhoria",""),IF(AND($MS20=0,COUNTIF($NO20:$NR20,"&gt;1")&gt;0),"A básica só aceita Melhoria Leve",""),IF(AND($MS20&gt;0,$OV20&gt;2),$OV20&amp;" Restrições"&amp;IF($OF20=1,", contando a que a Forma "&amp;$MU20&amp;" já traz","")&amp;": o limite é 2",""),IF(AND($MS20=0,COUNTIF($NB20:$NC20,"?*")&gt;1),"A básica aceita uma Restrição Leve",""),IF(AND($MS20=0,COUNTIF($OI20:$OJ20,2)&gt;0),"A básica só aceita Restrição Leve",""),IF(AND($MS20&gt;0,$PC20&lt;0),"Orçamento estourado: faltam "&amp;(-$PC20)&amp;IF($PC20&lt;-1," pontos"," ponto"),""),IF(IFERROR(VLOOKUP(SUBSTITUTE(SUBSTITUTE(SUBSTITUTE($NB20,"~","~~"),"*","~*"),"?","~?"),'DADOS_RESTRICOES'!$M$2:$Q$54,4,FALSE),0)+IFERROR(VLOOKUP(SUBSTITUTE(SUBSTITUTE(SUBSTITUTE($NC20,"~","~~"),"*","~*"),"?","~?"),'DADOS_RESTRICOES'!$M$2:$Q$54,4,FALSE),0)&gt;1,$OK20&amp;" e "&amp;$OL20&amp;" são as duas de frequência",""),IF(AND((COUNTIF($RK20:$RN20,"Rápido")+COUNTIF($OK20:$OL20,"Rápido"))&gt;0,(COUNTIF($MX20:$NA20,"Atrasar")+COUNTIF($OK20:$OL20,"Atrasar"))&gt;0),"Rápido não entra com Atrasar",""),IF(AND((COUNTIF($RK20:$RN20,"Reação")+COUNTIF($OK20:$OL20,"Reação"))&gt;0,(COUNTIF($RK20:$RN20,"Rápido")+COUNTIF($OK20:$OL20,"Rápido"))&gt;0),"Reação não entra com Rápido",""),IF(AND((COUNTIF($RK20:$RN20,"Reação")+COUNTIF($OK20:$OL20,"Reação"))&gt;0,(COUNTIF($RK20:$RN20,"Armado")+COUNTIF($OK20:$OL20,"Armado"))&gt;0),"Reação não entra com Armado",""),IF(AND((COUNTIF($RK20:$RN20,"Reação")+COUNTIF($OK20:$OL20,"Reação"))&gt;0,(COUNTIF($MX20:$NA20,"Atrasar")+COUNTIF($OK20:$OL20,"Atrasar"))&gt;0),"Reação não entra com Atrasar",""),IF(AND((COUNTIF($RK20:$RN20,"Reação")+COUNTIF($OK20:$OL20,"Reação"))&gt;0,(COUNTIF($MX20:$NA20,"Parado")+COUNTIF($OK20:$OL20,"Parado"))&gt;0),"Reação não entra com Parado",""),IF(AND((COUNTIF($MX20:$NA20,"Atrasar")+COUNTIF($OK20:$OL20,"Atrasar"))&gt;0,(COUNTIF($MX20:$NA20,"Parado")+COUNTIF($OK20:$OL20,"Parado"))&gt;0),"Atrasar não entra com Parado",""),IF(AND((COUNTIF($RK20:$RN20,"Armado")+COUNTIF($OK20:$OL20,"Armado"))&gt;0,(COUNTIF($MX20:$NA20,"Carregar")+COUNTIF($OK20:$OL20,"Carregar"))&gt;0),"Armado não entra com Carregar",""),IF(AND(COUNTIF($OK20:$OL20,"Corpo a Corpo")&gt;0,$OF20=0,OR($RO20="Cone",$RO20="Linha")),"Corpo a Corpo não entra em "&amp;$MU20,""),IF(AND(COUNTIF($OK20:$OL20,"Corpo a Corpo")&gt;0,$RP20="Corpo a Corpo"),"A Forma "&amp;$MU20&amp;" já traz o Corpo a Corpo",""),IF(AND(COUNTIF($OK20:$OL20,"Tudo ou Nada")&gt;0,$OH20=0),"Tudo ou Nada só entra em habilidade de Teste de Resistência",""),IF(AND(COUNTIF($RK20:$RN20,"Inescapável")&gt;0,OR($OU20&gt;1,$OV20&gt;0)),"Inescapável não aceita outra peça",""),IF(AND($MS20&gt;0,$PD20*IF(COUNTIF($RK20:$RN20,"Remate")&gt;0,1.25,1)+$PE20&gt;4*$MS20),($PD20*IF(COUNTIF($RK20:$RN20,"Remate")&gt;0,1.25,1)+$PE20)&amp;" dados somando repetições"&amp;IF(COUNTIF($RK20:$RN20,"Remate")&gt;0," e o Remate","")&amp;": o teto da Classe "&amp;$MS20&amp;" é "&amp;4*$MS20,""))),IF(AND($MX20&lt;&gt;"",COUNTIF('DADOS_MELHORIAS'!$O$2:$O$113,SUBSTITUTE(SUBSTITUTE(SUBSTITUTE($MX20,"~","~~"),"*","~*"),"?","~?"))=0),"Melhoria não cadastrada ou com erro: "&amp;$MX20,""),IF(AND($MY20&lt;&gt;"",COUNTIF('DADOS_MELHORIAS'!$O$2:$O$113,SUBSTITUTE(SUBSTITUTE(SUBSTITUTE($MY20,"~","~~"),"*","~*"),"?","~?"))=0),"Melhoria não cadastrada ou com erro: "&amp;$MY20,""),IF(AND($MZ20&lt;&gt;"",COUNTIF('DADOS_MELHORIAS'!$O$2:$O$113,SUBSTITUTE(SUBSTITUTE(SUBSTITUTE($MZ20,"~","~~"),"*","~*"),"?","~?"))=0),"Melhoria não cadastrada ou com erro: "&amp;$MZ20,""),IF(AND($NA20&lt;&gt;"",COUNTIF('DADOS_MELHORIAS'!$O$2:$O$113,SUBSTITUTE(SUBSTITUTE(SUBSTITUTE($NA20,"~","~~"),"*","~*"),"?","~?"))=0),"Melhoria não cadastrada ou com erro: "&amp;$NA20,""),IF(AND($NB20&lt;&gt;"",COUNTIF('DADOS_RESTRICOES'!$M$2:$M$54,SUBSTITUTE(SUBSTITUTE(SUBSTITUTE($NB20,"~","~~"),"*","~*"),"?","~?"))=0),"Restrição não cadastrada ou com erro: "&amp;$NB20,""),IF(AND($NC20&lt;&gt;"",COUNTIF('DADOS_RESTRICOES'!$M$2:$M$54,SUBSTITUTE(SUBSTITUTE(SUBSTITUTE($NC20,"~","~~"),"*","~*"),"?","~?"))=0),"Restrição não cadastrada ou com erro: "&amp;$NC20,""))),IF(AND($MU20&lt;&gt;"",COUNTIF('DADOS_FORMAS'!$AH$2:$AH$21,SUBSTITUTE(SUBSTITUTE(SUBSTITUTE($MU20,"~","~~"),"*","~*"),"?","~?"))=0),"Forma não cadastrada ou com erro: "&amp;$MU20,""),IF(AND(IFERROR(INDEX('DADOS_FORMAS'!$AS$2:$AS$21,MATCH(SUBSTITUTE(SUBSTITUTE(SUBSTITUTE($MU20,"~","~~"),"*","~*"),"?","~?"),'DADOS_FORMAS'!$AH$2:$AH$21,0)),"")&lt;&gt;"",OR(IFERROR(VLOOKUP(SUBSTITUTE(SUBSTITUTE(SUBSTITUTE(IFERROR(INDEX('DADOS_FORMAS'!$AS$2:$AS$21,MATCH(SUBSTITUTE(SUBSTITUTE(SUBSTITUTE($MU20,"~","~~"),"*","~*"),"?","~?"),'DADOS_FORMAS'!$AH$2:$AH$21,0)),""),"~","~~"),"*","~*"),"?","~?"),'DADOS_RESTRICOES'!$M$2:$Q$54,2,FALSE),"")=$OK20,IFERROR(VLOOKUP(SUBSTITUTE(SUBSTITUTE(SUBSTITUTE(IFERROR(INDEX('DADOS_FORMAS'!$AS$2:$AS$21,MATCH(SUBSTITUTE(SUBSTITUTE(SUBSTITUTE($MU20,"~","~~"),"*","~*"),"?","~?"),'DADOS_FORMAS'!$AH$2:$AH$21,0)),""),"~","~~"),"*","~*"),"?","~?"),'DADOS_RESTRICOES'!$M$2:$Q$54,2,FALSE),"")=$OL20)),"Restrição repetida, contando a embutida",""),IF(IF(IFERROR(INDEX('DADOS_FORMAS'!$AS$2:$AS$21,MATCH(SUBSTITUTE(SUBSTITUTE(SUBSTITUTE($MU20,"~","~~"),"*","~*"),"?","~?"),'DADOS_FORMAS'!$AH$2:$AH$21,0)),"")="",0,IFERROR(N(VLOOKUP(SUBSTITUTE(SUBSTITUTE(SUBSTITUTE(IFERROR(INDEX('DADOS_FORMAS'!$AS$2:$AS$21,MATCH(SUBSTITUTE(SUBSTITUTE(SUBSTITUTE($MU20,"~","~~"),"*","~*"),"?","~?"),'DADOS_FORMAS'!$AH$2:$AH$21,0)),""),"~","~~"),"*","~*"),"?","~?"),'DADOS_RESTRICOES'!$M$2:$Q$54,4,FALSE)=1),0))+IF($NB20="",0,IFERROR(N(VLOOKUP(SUBSTITUTE(SUBSTITUTE(SUBSTITUTE($NB20,"~","~~"),"*","~*"),"?","~?"),'DADOS_RESTRICOES'!$M$2:$Q$54,4,FALSE)=1),0))+IF($NC20="",0,IFERROR(N(VLOOKUP(SUBSTITUTE(SUBSTITUTE(SUBSTITUTE($NC20,"~","~~"),"*","~*"),"?","~?"),'DADOS_RESTRICOES'!$M$2:$Q$54,4,FALSE)=1),0))&gt;1,"Duas Restrições de frequência, contando a embutida",""),IF(AND(IFERROR(VLOOKUP(SUBSTITUTE(SUBSTITUTE(SUBSTITUTE(IFERROR(INDEX('DADOS_FORMAS'!$AS$2:$AS$21,MATCH(SUBSTITUTE(SUBSTITUTE(SUBSTITUTE($MU20,"~","~~"),"*","~*"),"?","~?"),'DADOS_FORMAS'!$AH$2:$AH$21,0)),""),"~","~~"),"*","~*"),"?","~?"),'DADOS_RESTRICOES'!$M$2:$Q$54,2,FALSE),"")="Tudo ou Nada",$OH20=0),"Tudo ou Nada exige TR",""),IF(AND(IFERROR(VLOOKUP(SUBSTITUTE(SUBSTITUTE(SUBSTITUTE(IFERROR(INDEX('DADOS_FORMAS'!$AS$2:$AS$21,MATCH(SUBSTITUTE(SUBSTITUTE(SUBSTITUTE($MU20,"~","~~"),"*","~*"),"?","~?"),'DADOS_FORMAS'!$AH$2:$AH$21,0)),""),"~","~~"),"*","~*"),"?","~?"),'DADOS_RESTRICOES'!$M$2:$Q$54,2,FALSE),"")="Corpo a Corpo",OR($RO20="Cone",$RO20="Linha")),"Corpo a Corpo não entra em Cone/Linha","")))</f>
        <v/>
      </c>
      <c r="PU20" s="164">
        <f>IF($PT20="",0,(LEN($PT20)-LEN(SUBSTITUTE($PT20," · ","")))/3+1)</f>
        <v/>
      </c>
      <c r="PV20" s="164">
        <f>IF($ND20=0,"",TEXTJOIN(" · ",TRUE,IF($OX20&gt;2*$MS20,"A devolução parou no teto de "&amp;2*$MS20,""),IF($PA20&gt;0,"Devolução perdida: "&amp;$PA20&amp;IF($PA20&gt;1," pontos"," ponto")&amp;" sem Melhoria para pagar",""),IF(AND($OC20&gt;0,AND($MS20&gt;0,$OG20=0),$PD20=0),"Controle sem dano: uma rodada a mais e CD +2",""),IF(AND($OC20&gt;0,AND($MS20&gt;0,$OG20=0),$PD20&gt;0,$PD20&lt;=$MS20),"Controle com saldo até a Classe: uma rodada a mais",""),IF(AND($MS20&gt;0,$OE20&lt;&gt;""),"Efeito de "&amp;$OE20&amp;" pela Classe "&amp;MAX(1,$MS20-1),"")))</f>
        <v/>
      </c>
      <c r="PW20" s="164">
        <f>IF($PV20="",0,(LEN($PV20)-LEN(SUBSTITUTE($PV20," · ","")))/3+1)</f>
        <v/>
      </c>
      <c r="PX20" s="164">
        <f>IF($ND20=0,IF($OU20+COUNTIF($NB20:$NC20,"?*")&gt;0,"Dê um nome",""),IF($PU20&gt;0,"⚠ "&amp;$PU20&amp;IF($PU20&gt;1," erros"," erro"),IF($PW20&gt;0,"! "&amp;$PW20&amp;IF($PW20&gt;1," avisos"," aviso"),"Na regra")))</f>
        <v/>
      </c>
      <c r="PY20" s="164">
        <f>IF($ND20=0,"",IF($PU20+$PW20=0,"Dentro das regras que a ficha confere",$PT20&amp;IF(AND($PU20&gt;0,$PW20&gt;0)," · ","")&amp;$PV20))</f>
        <v/>
      </c>
      <c r="PZ20" s="164">
        <f>IF($MQ20&gt;$NE20,$MR20&amp;" · ABRE NO NÍVEL "&amp;$MQ20,$MR20)</f>
        <v/>
      </c>
      <c r="QA20" s="164">
        <f>IF($ND20=0,"",IF($MS20=0,"Sem PE",3*$MS20&amp;" PE"))</f>
        <v/>
      </c>
      <c r="QB20" s="164">
        <f>IF($ND20=0,"",IF($MS20=0,"A atuação básica dela",IF(COUNTIF($RQ20:$RS20,"Atrasar")&gt;0,"Sua Ação Completa",IF(COUNTIF($RK20:$RN20,"Rápido")&gt;0,"Sua Bônus",IF(COUNTIF($RK20:$RN20,"Reação")&gt;0,"Sua Reação","Sua Padrão")))&amp;" + a básica dela"&amp;IF(COUNTIF($RK20:$RN20,"Reação")&gt;0," e a coletiva","")&amp;IF(COUNTIF($RQ20:$RS20,"Carregar")&gt;0," · em dois turnos","")))</f>
        <v/>
      </c>
      <c r="QC20" s="164">
        <f>IF($MW20&lt;&gt;"",$MW20,IF($NJ20=0,"",INDEX('DADOS_FORMAS'!$GE$2:$GE$21,$NJ20)))</f>
        <v/>
      </c>
      <c r="QD20" s="164">
        <f>IF(OR($ND20=0,$NJ20=0),"",IF(COUNTIF($RK20:$RN20,"Inescapável")&gt;0,"Automático",IF($QC20="Ataque",IF($NH20="","Ataque","Ataque "&amp;IF(($NH20+2*IF(COUNTIF($RK20:$RN20,"Precisão")&gt;0,1,0))&gt;=0,"+","−")&amp;ABS(($NH20+2*IF(COUNTIF($RK20:$RN20,"Precisão")&gt;0,1,0))))&amp;IF($OD20&gt;0," · TR"&amp;IF($NI20="",""," CD "&amp;$NI20),""),IF(LEFT($QC20,2)="TR",$QC20&amp;IF($NI20="",""," · CD "&amp;$NI20)&amp;IF(COUNTIF($RK20:$RN20,"Certeiro")&gt;0," · metade",""),"Sem rolagem"))))</f>
        <v/>
      </c>
      <c r="QE20" s="164">
        <f>IF(OR($ND20=0,$NJ20=0),"",IF($MS20=0,IF(OR($OG20&gt;=1,$PD20=0),"Sem dano",$PD20&amp;"d6"&amp;IF($MV20="",""," "&amp;$MV20)),IF(OR($OG20&gt;=1,$PD20=0),UPPER(LEFT(INDEX($PM20:$PS20,1,MAX(1,$MS20)),1))&amp;MID(INDEX($PM20:$PS20,1,MAX(1,$MS20)),2,99),UPPER(LEFT(INDEX($PM20:$PS20,1,MAX(1,$MS20)),1))&amp;MID(INDEX($PM20:$PS20,1,MAX(1,$MS20)),2,99)&amp;IF($MV20="",""," "&amp;$MV20)&amp;IF($PE20&gt;0," · +"&amp;$PE20&amp;"d8",""))))</f>
        <v/>
      </c>
      <c r="QF20" s="164">
        <f>COUNTIF($RK20:$RN20,"Longe")+3*COUNTIF($RK20:$RN20,"Muito Longe")</f>
        <v/>
      </c>
      <c r="QG20" s="164">
        <f>COUNTIF($RK20:$RN20,"Maior")+3*COUNTIF($RK20:$RN20,"Muito Maior")</f>
        <v/>
      </c>
      <c r="QH20" s="164">
        <f>IF($NJ20=0,0,CHOOSE(1+INDEX('DADOS_FORMAS'!$GG$2:$GG$21,$NJ20),0,$QF20,$QG20,$QF20+$QG20))</f>
        <v/>
      </c>
      <c r="QI20" s="164">
        <f>IF($NJ20=0,0,CHOOSE(1+INDEX('DADOS_FORMAS'!$GH$2:$GH$21,$NJ20),0,$QF20,$QG20,$QF20+$QG20))</f>
        <v/>
      </c>
      <c r="QJ20" s="164">
        <f>IF(OR($ND20=0,$NJ20=0),"",INDEX('DADOS_FORMAS'!$HU$2:$HZ$81,($NJ20-1)*4+IF($MS20=0,1,IF($MS20&lt;=5,2,IF($MS20=6,3,4))),1+MIN(5,$QH20))&amp;INDEX('DADOS_FORMAS'!$IA$2:$IF$81,($NJ20-1)*4+IF($MS20=0,1,IF($MS20&lt;=5,2,IF($MS20=6,3,4))),1+MIN(5,$QI20))&amp;IF(INDEX('DADOS_FORMAS'!$GI$2:$GI$21,$NJ20)=1,IF(COUNTIF($RK20:$RN20,"Mais Um")&gt;0," · +"&amp;COUNTIF($RK20:$RN20,"Mais Um")&amp;IF(COUNTIF($RK20:$RN20,"Mais Um")&gt;1," alvos"," alvo"),"")&amp;IF(COUNTIF($RK20:$RN20,"Rajada")&gt;0,IF($MS20=0," · 1 tiro"," · "&amp;(MAX(1,$MS20-1)+1)&amp;" tiros"),""),""))</f>
        <v/>
      </c>
      <c r="QK20" s="164">
        <f>IF($ND20=0,"",IF($MS20=0,$NG20&amp;"d6"&amp;IF($OU20&gt;0," − 1 = "&amp;$PD20&amp;"d6"," da básica do nível "&amp;$NE20),$PB20&amp;" − "&amp;$OW20&amp;" + "&amp;$OZ20&amp;" = "&amp;$PC20&amp;" · teto "&amp;4*$MS20&amp;"d8"&amp;IF($OF20=1," · a Forma devolve "&amp;$MS20,"")&amp;IF($PA20&gt;0," · perde "&amp;$PA20,"")))</f>
        <v/>
      </c>
      <c r="QL20" s="164">
        <f>IF($ND20=0,"",IF($MS20=0,"A básica não amplia: os dados dela sobem com o nível",IF($MS20&gt;=$NF20,"Já está na maior Classe que o nível liberou",TEXTJOIN(" · ",TRUE,IF(AND(2&gt;$MS20,2&lt;=$NF20),"2 → "&amp;$PN20&amp;", 6 PE",""),IF(AND(3&gt;$MS20,3&lt;=$NF20),"3 → "&amp;$PO20&amp;", 9 PE",""),IF(AND(4&gt;$MS20,4&lt;=$NF20),"4 → "&amp;$PP20&amp;", 12 PE",""),IF(AND(5&gt;$MS20,5&lt;=$NF20),"5 → "&amp;$PQ20&amp;", 15 PE",""),IF(AND(6&gt;$MS20,6&lt;=$NF20),"6 → "&amp;$PR20&amp;", 18 PE",""),IF(AND(7&gt;$MS20,7&lt;=$NF20),"7 → "&amp;$PS20&amp;", 21 PE","")))))</f>
        <v/>
      </c>
      <c r="QM20" s="164">
        <f>IF(OR($ND20=0,$NO20=0),"",IF($MS20=0,"−1 dado","−"&amp;INDEX($I$2:$N$8,MAX(1,$MS20),MAX(1,$NT20))&amp;" · "&amp;CHOOSE(MAX(1,$NT20),"Leve","Média","Pesada","Leve · Livre","Média · Livre","Pesada · Livre")))</f>
        <v/>
      </c>
      <c r="QN20" s="164">
        <f>IF(OR($ND20=0,$NP20=0),"",IF($MS20=0,"−1 dado","−"&amp;INDEX($I$2:$N$8,MAX(1,$MS20),MAX(1,$NU20))&amp;" · "&amp;CHOOSE(MAX(1,$NU20),"Leve","Média","Pesada","Leve · Livre","Média · Livre","Pesada · Livre")))</f>
        <v/>
      </c>
      <c r="QO20" s="164">
        <f>IF(OR($ND20=0,$NQ20=0),"",IF($MS20=0,"−1 dado","−"&amp;INDEX($I$2:$N$8,MAX(1,$MS20),MAX(1,$NV20))&amp;" · "&amp;CHOOSE(MAX(1,$NV20),"Leve","Média","Pesada","Leve · Livre","Média · Livre","Pesada · Livre")))</f>
        <v/>
      </c>
      <c r="QP20" s="164">
        <f>IF(OR($ND20=0,$NR20=0),"",IF($MS20=0,"−1 dado","−"&amp;INDEX($I$2:$N$8,MAX(1,$MS20),MAX(1,$NW20))&amp;" · "&amp;CHOOSE(MAX(1,$NW20),"Leve","Média","Pesada","Leve · Livre","Média · Livre","Pesada · Livre")))</f>
        <v/>
      </c>
      <c r="QQ20" s="164">
        <f>IF(OR($ND20=0,$NB20=""),"",IF($MS20=0,"não devolve","+"&amp;IF($OI20=1,CEILING($MS20/2,1),$MS20)))</f>
        <v/>
      </c>
      <c r="QR20" s="164">
        <f>IF(OR($ND20=0,$NC20=""),"",IF($MS20=0,"não devolve","+"&amp;IF($OJ20=1,CEILING($MS20/2,1),$MS20)))</f>
        <v/>
      </c>
      <c r="RK20">
        <f>IF($MX20="","",IFERROR(VLOOKUP(SUBSTITUTE(SUBSTITUTE(SUBSTITUTE($MX20,"~","~~"),"*","~*"),"?","~?"),'DADOS_MELHORIAS'!$O$2:$X$113,10,FALSE),$MX20))</f>
        <v/>
      </c>
      <c r="RL20">
        <f>IF($MY20="","",IFERROR(VLOOKUP(SUBSTITUTE(SUBSTITUTE(SUBSTITUTE($MY20,"~","~~"),"*","~*"),"?","~?"),'DADOS_MELHORIAS'!$O$2:$X$113,10,FALSE),$MY20))</f>
        <v/>
      </c>
      <c r="RM20">
        <f>IF($MZ20="","",IFERROR(VLOOKUP(SUBSTITUTE(SUBSTITUTE(SUBSTITUTE($MZ20,"~","~~"),"*","~*"),"?","~?"),'DADOS_MELHORIAS'!$O$2:$X$113,10,FALSE),$MZ20))</f>
        <v/>
      </c>
      <c r="RN20">
        <f>IF($NA20="","",IFERROR(VLOOKUP(SUBSTITUTE(SUBSTITUTE(SUBSTITUTE($NA20,"~","~~"),"*","~*"),"?","~?"),'DADOS_MELHORIAS'!$O$2:$X$113,10,FALSE),$NA20))</f>
        <v/>
      </c>
      <c r="RO20">
        <f>IFERROR(INDEX('DADOS_FORMAS'!$BJ$2:$BJ$21,MATCH(SUBSTITUTE(SUBSTITUTE(SUBSTITUTE($MU20,"~","~~"),"*","~*"),"?","~?"),'DADOS_FORMAS'!$AH$2:$AH$21,0)),"")</f>
        <v/>
      </c>
      <c r="RP20">
        <f>IFERROR(VLOOKUP(SUBSTITUTE(SUBSTITUTE(SUBSTITUTE(IFERROR(INDEX('DADOS_FORMAS'!$AS$2:$AS$21,MATCH(SUBSTITUTE(SUBSTITUTE(SUBSTITUTE($MU20,"~","~~"),"*","~*"),"?","~?"),'DADOS_FORMAS'!$AH$2:$AH$21,0)),""),"~","~~"),"*","~*"),"?","~?"),'DADOS_RESTRICOES'!$M$2:$Q$54,2,FALSE),"")</f>
        <v/>
      </c>
      <c r="RQ20">
        <f>$OK20</f>
        <v/>
      </c>
      <c r="RR20">
        <f>$OL20</f>
        <v/>
      </c>
      <c r="RS20">
        <f>$RP20</f>
        <v/>
      </c>
    </row>
    <row r="21">
      <c r="AH21" s="162" t="inlineStr">
        <is>
          <t>Cone · classe 7</t>
        </is>
      </c>
      <c r="AI21" s="162" t="inlineStr">
        <is>
          <t>Cone de 9 m</t>
        </is>
      </c>
      <c r="AJ21" s="162" t="inlineStr">
        <is>
          <t>Cone de 18 m</t>
        </is>
      </c>
      <c r="AK21" s="162" t="inlineStr">
        <is>
          <t>Cone de 30 m</t>
        </is>
      </c>
      <c r="AL21" s="162" t="inlineStr">
        <is>
          <t>Cone de 60 m</t>
        </is>
      </c>
      <c r="AM21" s="162" t="inlineStr">
        <is>
          <t>Cone de 60 m</t>
        </is>
      </c>
      <c r="AN21" s="162" t="inlineStr">
        <is>
          <t>Cone de 60 m</t>
        </is>
      </c>
      <c r="AO21" s="162" t="inlineStr"/>
      <c r="AP21" s="162" t="inlineStr"/>
      <c r="AQ21" s="162" t="inlineStr"/>
      <c r="AR21" s="162" t="inlineStr"/>
      <c r="AS21" s="162" t="inlineStr"/>
      <c r="AT21" s="162" t="inlineStr"/>
      <c r="AV21" s="162" t="inlineStr">
        <is>
          <t>Corrói</t>
        </is>
      </c>
      <c r="AW21" s="162" t="inlineStr">
        <is>
          <t>Mira</t>
        </is>
      </c>
      <c r="AX21" s="164" t="n">
        <v>3</v>
      </c>
      <c r="AY21" s="164" t="n">
        <v>0</v>
      </c>
      <c r="AZ21" s="164" t="n">
        <v>0</v>
      </c>
      <c r="BA21" s="164" t="n">
        <v>0</v>
      </c>
      <c r="BC21" s="162" t="inlineStr">
        <is>
          <t>Barulho</t>
        </is>
      </c>
      <c r="BD21" s="162" t="inlineStr">
        <is>
          <t>Barulho</t>
        </is>
      </c>
      <c r="BE21" s="164" t="n">
        <v>1</v>
      </c>
      <c r="BF21" s="164" t="n">
        <v>0</v>
      </c>
      <c r="BG21" s="162" t="inlineStr">
        <is>
          <t>Barulho</t>
        </is>
      </c>
      <c r="CC21" s="162" t="inlineStr">
        <is>
          <t>Enganação</t>
        </is>
      </c>
      <c r="CD21" s="162" t="inlineStr">
        <is>
          <t>Essência</t>
        </is>
      </c>
      <c r="JT21" s="164">
        <f>IF(OR($AW21="",(COUNTIF($EL$2:$EP$2,$AW21)+COUNTIF($QV$2:$QY$2,$AW21))&gt;0),$AV21,"")</f>
        <v/>
      </c>
      <c r="JU21" s="164">
        <f>IF(AND($AX21=1,OR($AW21="",(COUNTIF($EL$2:$EP$2,$AW21)+COUNTIF($QV$2:$QY$2,$AW21))&gt;0)),$AV21,"")</f>
        <v/>
      </c>
      <c r="JZ21" s="164">
        <f>IF(OR($AW21="",(COUNTIF($EL$3:$EP$3,$AW21)+COUNTIF($QV$3:$QY$3,$AW21))&gt;0),$AV21,"")</f>
        <v/>
      </c>
      <c r="KA21" s="164">
        <f>IF(AND($AX21=1,OR($AW21="",(COUNTIF($EL$3:$EP$3,$AW21)+COUNTIF($QV$3:$QY$3,$AW21))&gt;0)),$AV21,"")</f>
        <v/>
      </c>
      <c r="KF21" s="164">
        <f>IF(OR($AW21="",(COUNTIF($EL$4:$EP$4,$AW21)+COUNTIF($QV$4:$QY$4,$AW21))&gt;0),$AV21,"")</f>
        <v/>
      </c>
      <c r="KG21" s="164">
        <f>IF(AND($AX21=1,OR($AW21="",(COUNTIF($EL$4:$EP$4,$AW21)+COUNTIF($QV$4:$QY$4,$AW21))&gt;0)),$AV21,"")</f>
        <v/>
      </c>
      <c r="KL21" s="164">
        <f>IF(OR($AW21="",(COUNTIF($EL$5:$EP$5,$AW21)+COUNTIF($QV$5:$QY$5,$AW21))&gt;0),$AV21,"")</f>
        <v/>
      </c>
      <c r="KM21" s="164">
        <f>IF(AND($AX21=1,OR($AW21="",(COUNTIF($EL$5:$EP$5,$AW21)+COUNTIF($QV$5:$QY$5,$AW21))&gt;0)),$AV21,"")</f>
        <v/>
      </c>
      <c r="KR21" s="164">
        <f>IF(OR($AW21="",(COUNTIF($EL$6:$EP$6,$AW21)+COUNTIF($QV$6:$QY$6,$AW21))&gt;0),$AV21,"")</f>
        <v/>
      </c>
      <c r="KS21" s="164">
        <f>IF(AND($AX21=1,OR($AW21="",(COUNTIF($EL$6:$EP$6,$AW21)+COUNTIF($QV$6:$QY$6,$AW21))&gt;0)),$AV21,"")</f>
        <v/>
      </c>
      <c r="KX21" s="164">
        <f>IF(OR($AW21="",(COUNTIF($EL$7:$EP$7,$AW21)+COUNTIF($QV$7:$QY$7,$AW21))&gt;0),$AV21,"")</f>
        <v/>
      </c>
      <c r="KY21" s="164">
        <f>IF(AND($AX21=1,OR($AW21="",(COUNTIF($EL$7:$EP$7,$AW21)+COUNTIF($QV$7:$QY$7,$AW21))&gt;0)),$AV21,"")</f>
        <v/>
      </c>
      <c r="LD21" s="164">
        <f>IF(OR($AW21="",(COUNTIF($EL$8:$EP$8,$AW21)+COUNTIF($QV$8:$QY$8,$AW21))&gt;0),$AV21,"")</f>
        <v/>
      </c>
      <c r="LE21" s="164">
        <f>IF(AND($AX21=1,OR($AW21="",(COUNTIF($EL$8:$EP$8,$AW21)+COUNTIF($QV$8:$QY$8,$AW21))&gt;0)),$AV21,"")</f>
        <v/>
      </c>
      <c r="LJ21" s="164">
        <f>IF(OR($AW21="",(COUNTIF($EL$9:$EP$9,$AW21)+COUNTIF($QV$9:$QY$9,$AW21))&gt;0),$AV21,"")</f>
        <v/>
      </c>
      <c r="LK21" s="164">
        <f>IF(AND($AX21=1,OR($AW21="",(COUNTIF($EL$9:$EP$9,$AW21)+COUNTIF($QV$9:$QY$9,$AW21))&gt;0)),$AV21,"")</f>
        <v/>
      </c>
      <c r="LP21" s="164">
        <f>IF(OR($AW21="",(COUNTIF($EL$10:$EP$10,$AW21)+COUNTIF($QV$10:$QY$10,$AW21))&gt;0),$AV21,"")</f>
        <v/>
      </c>
      <c r="LQ21" s="164">
        <f>IF(AND($AX21=1,OR($AW21="",(COUNTIF($EL$10:$EP$10,$AW21)+COUNTIF($QV$10:$QY$10,$AW21))&gt;0)),$AV21,"")</f>
        <v/>
      </c>
      <c r="LV21" s="164">
        <f>IF(OR($AW21="",(COUNTIF($EL$11:$EP$11,$AW21)+COUNTIF($QV$11:$QY$11,$AW21))&gt;0),$AV21,"")</f>
        <v/>
      </c>
      <c r="LW21" s="164">
        <f>IF(AND($AX21=1,OR($AW21="",(COUNTIF($EL$11:$EP$11,$AW21)+COUNTIF($QV$11:$QY$11,$AW21))&gt;0)),$AV21,"")</f>
        <v/>
      </c>
      <c r="MB21" s="164">
        <f>IF(OR($AW21="",(COUNTIF($EL$12:$EP$12,$AW21)+COUNTIF($QV$12:$QY$12,$AW21))&gt;0),$AV21,"")</f>
        <v/>
      </c>
      <c r="MC21" s="164">
        <f>IF(AND($AX21=1,OR($AW21="",(COUNTIF($EL$12:$EP$12,$AW21)+COUNTIF($QV$12:$QY$12,$AW21))&gt;0)),$AV21,"")</f>
        <v/>
      </c>
      <c r="MH21" s="164">
        <f>IF(OR($AW21="",(COUNTIF($EL$13:$EP$13,$AW21)+COUNTIF($QV$13:$QY$13,$AW21))&gt;0),$AV21,"")</f>
        <v/>
      </c>
      <c r="MI21" s="164">
        <f>IF(AND($AX21=1,OR($AW21="",(COUNTIF($EL$13:$EP$13,$AW21)+COUNTIF($QV$13:$QY$13,$AW21))&gt;0)),$AV21,"")</f>
        <v/>
      </c>
      <c r="MN21" s="162" t="inlineStr">
        <is>
          <t>Ficha 2 · Especial 5</t>
        </is>
      </c>
      <c r="MO21" s="164" t="n">
        <v>2</v>
      </c>
      <c r="MP21" s="164" t="n">
        <v>1</v>
      </c>
      <c r="MQ21" s="164" t="n">
        <v>16</v>
      </c>
      <c r="MR21" s="162" t="inlineStr">
        <is>
          <t>ESPECIAL 5</t>
        </is>
      </c>
      <c r="MS21" s="164">
        <f>MAX(1,MIN(7,N('INVOCAÇÕES'!$I$338)))</f>
        <v/>
      </c>
      <c r="MT21" s="164">
        <f>'INVOCAÇÕES'!$J$338&amp;""</f>
        <v/>
      </c>
      <c r="MU21" s="164">
        <f>'INVOCAÇÕES'!$I$343&amp;""</f>
        <v/>
      </c>
      <c r="MV21" s="164">
        <f>'INVOCAÇÕES'!$I$344&amp;""</f>
        <v/>
      </c>
      <c r="MW21" s="164">
        <f>'INVOCAÇÕES'!$K$344&amp;""</f>
        <v/>
      </c>
      <c r="MX21" s="164">
        <f>'INVOCAÇÕES'!$J$347&amp;""</f>
        <v/>
      </c>
      <c r="MY21" s="164">
        <f>'INVOCAÇÕES'!$J$348&amp;""</f>
        <v/>
      </c>
      <c r="MZ21" s="164">
        <f>'INVOCAÇÕES'!$J$349&amp;""</f>
        <v/>
      </c>
      <c r="NA21" s="164">
        <f>'INVOCAÇÕES'!$J$350&amp;""</f>
        <v/>
      </c>
      <c r="NB21" s="164">
        <f>'INVOCAÇÕES'!$J$351&amp;""</f>
        <v/>
      </c>
      <c r="NC21" s="164">
        <f>'INVOCAÇÕES'!$J$352&amp;""</f>
        <v/>
      </c>
      <c r="ND21" s="164">
        <f>IF($MT21&lt;&gt;"",1,0)</f>
        <v/>
      </c>
      <c r="NE21" s="164">
        <f>INDEX($FO$2:$FO$13,$MO21)</f>
        <v/>
      </c>
      <c r="NF21" s="164">
        <f>INDEX($FP$2:$FP$13,$MO21)</f>
        <v/>
      </c>
      <c r="NG21" s="164">
        <f>INDEX($FQ$2:$FQ$13,$MO21)</f>
        <v/>
      </c>
      <c r="NH21" s="164">
        <f>INDEX($GB$2:$GB$13,$MO21)</f>
        <v/>
      </c>
      <c r="NI21" s="164">
        <f>INDEX($GC$2:$GC$13,$MO21)</f>
        <v/>
      </c>
      <c r="NJ21" s="164">
        <f>IFERROR(MATCH(SUBSTITUTE(SUBSTITUTE(SUBSTITUTE($MU21,"~","~~"),"*","~*"),"?","~?"),'DADOS_FORMAS'!$FZ$2:$FZ$21,0),0)</f>
        <v/>
      </c>
      <c r="NK21" s="164">
        <f>IFERROR(VLOOKUP(SUBSTITUTE(SUBSTITUTE(SUBSTITUTE($MX21,"~","~~"),"*","~*"),"?","~?"),'DADOS_MELHORIAS'!$AG$2:$AL$113,2,FALSE),"")</f>
        <v/>
      </c>
      <c r="NL21" s="164">
        <f>IFERROR(VLOOKUP(SUBSTITUTE(SUBSTITUTE(SUBSTITUTE($MY21,"~","~~"),"*","~*"),"?","~?"),'DADOS_MELHORIAS'!$AG$2:$AL$113,2,FALSE),"")</f>
        <v/>
      </c>
      <c r="NM21" s="164">
        <f>IFERROR(VLOOKUP(SUBSTITUTE(SUBSTITUTE(SUBSTITUTE($MZ21,"~","~~"),"*","~*"),"?","~?"),'DADOS_MELHORIAS'!$AG$2:$AL$113,2,FALSE),"")</f>
        <v/>
      </c>
      <c r="NN21" s="164">
        <f>IFERROR(VLOOKUP(SUBSTITUTE(SUBSTITUTE(SUBSTITUTE($NA21,"~","~~"),"*","~*"),"?","~?"),'DADOS_MELHORIAS'!$AG$2:$AL$113,2,FALSE),"")</f>
        <v/>
      </c>
      <c r="NO21" s="164">
        <f>IFERROR(VLOOKUP(SUBSTITUTE(SUBSTITUTE(SUBSTITUTE($MX21,"~","~~"),"*","~*"),"?","~?"),'DADOS_MELHORIAS'!$AG$2:$AL$113,3,FALSE),0)</f>
        <v/>
      </c>
      <c r="NP21" s="164">
        <f>IFERROR(VLOOKUP(SUBSTITUTE(SUBSTITUTE(SUBSTITUTE($MY21,"~","~~"),"*","~*"),"?","~?"),'DADOS_MELHORIAS'!$AG$2:$AL$113,3,FALSE),0)</f>
        <v/>
      </c>
      <c r="NQ21" s="164">
        <f>IFERROR(VLOOKUP(SUBSTITUTE(SUBSTITUTE(SUBSTITUTE($MZ21,"~","~~"),"*","~*"),"?","~?"),'DADOS_MELHORIAS'!$AG$2:$AL$113,3,FALSE),0)</f>
        <v/>
      </c>
      <c r="NR21" s="164">
        <f>IFERROR(VLOOKUP(SUBSTITUTE(SUBSTITUTE(SUBSTITUTE($NA21,"~","~~"),"*","~*"),"?","~?"),'DADOS_MELHORIAS'!$AG$2:$AL$113,3,FALSE),0)</f>
        <v/>
      </c>
      <c r="NS21" s="164">
        <f>IF($MS21=0,0,IF($NJ21=0,0,INDEX('DADOS_FORMAS'!$GB$2:$GB$21,$NJ21)))</f>
        <v/>
      </c>
      <c r="NT21" s="164">
        <f>IF(OR($NO21=0,$MS21=0),0,$NO21+3*IF(AND($NK21&lt;&gt;"",COUNTIF(INDEX($RB$2:$RJ$13,$MO21,0),$NK21)&gt;0),1,0))</f>
        <v/>
      </c>
      <c r="NU21" s="164">
        <f>IF(OR($NP21=0,$MS21=0),0,$NP21+3*IF(AND($NL21&lt;&gt;"",COUNTIF(INDEX($RB$2:$RJ$13,$MO21,0),$NL21)&gt;0),1,0))</f>
        <v/>
      </c>
      <c r="NV21" s="164">
        <f>IF(OR($NQ21=0,$MS21=0),0,$NQ21+3*IF(AND($NM21&lt;&gt;"",COUNTIF(INDEX($RB$2:$RJ$13,$MO21,0),$NM21)&gt;0),1,0))</f>
        <v/>
      </c>
      <c r="NW21" s="164">
        <f>IF(OR($NR21=0,$MS21=0),0,$NR21+3*IF(AND($NN21&lt;&gt;"",COUNTIF(INDEX($RB$2:$RJ$13,$MO21,0),$NN21)&gt;0),1,0))</f>
        <v/>
      </c>
      <c r="NX21" s="164">
        <f>IF($NJ21=0,0,IF(INDEX('DADOS_FORMAS'!$GA$2:$GA$21,$NJ21)="",0,IF((COUNTIF(INDEX($EL$2:$EP$13,$MO21,0),INDEX('DADOS_FORMAS'!$GA$2:$GA$21,$NJ21))+COUNTIF(INDEX($QV$2:$QY$13,$MO21,0),INDEX('DADOS_FORMAS'!$GA$2:$GA$21,$NJ21)))=0,1,0)))</f>
        <v/>
      </c>
      <c r="NY21" s="164">
        <f>IF(OR($NO21=0,$NK21=""),0,IF((COUNTIF(INDEX($EL$2:$EP$13,$MO21,0),$NK21)+COUNTIF(INDEX($QV$2:$QY$13,$MO21,0),$NK21))=0,1,0))</f>
        <v/>
      </c>
      <c r="NZ21" s="164">
        <f>IF(OR($NP21=0,$NL21=""),0,IF((COUNTIF(INDEX($EL$2:$EP$13,$MO21,0),$NL21)+COUNTIF(INDEX($QV$2:$QY$13,$MO21,0),$NL21))=0,1,0))</f>
        <v/>
      </c>
      <c r="OA21" s="164">
        <f>IF(OR($NQ21=0,$NM21=""),0,IF((COUNTIF(INDEX($EL$2:$EP$13,$MO21,0),$NM21)+COUNTIF(INDEX($QV$2:$QY$13,$MO21,0),$NM21))=0,1,0))</f>
        <v/>
      </c>
      <c r="OB21" s="164">
        <f>IF(OR($NR21=0,$NN21=""),0,IF((COUNTIF(INDEX($EL$2:$EP$13,$MO21,0),$NN21)+COUNTIF(INDEX($QV$2:$QY$13,$MO21,0),$NN21))=0,1,0))</f>
        <v/>
      </c>
      <c r="OC21" s="164">
        <f>IFERROR(VLOOKUP(SUBSTITUTE(SUBSTITUTE(SUBSTITUTE($MX21,"~","~~"),"*","~*"),"?","~?"),'DADOS_MELHORIAS'!$AG$2:$AL$113,4,FALSE),0)+IFERROR(VLOOKUP(SUBSTITUTE(SUBSTITUTE(SUBSTITUTE($MY21,"~","~~"),"*","~*"),"?","~?"),'DADOS_MELHORIAS'!$AG$2:$AL$113,4,FALSE),0)+IFERROR(VLOOKUP(SUBSTITUTE(SUBSTITUTE(SUBSTITUTE($MZ21,"~","~~"),"*","~*"),"?","~?"),'DADOS_MELHORIAS'!$AG$2:$AL$113,4,FALSE),0)+IFERROR(VLOOKUP(SUBSTITUTE(SUBSTITUTE(SUBSTITUTE($NA21,"~","~~"),"*","~*"),"?","~?"),'DADOS_MELHORIAS'!$AG$2:$AL$113,4,FALSE),0)</f>
        <v/>
      </c>
      <c r="OD21" s="164">
        <f>IFERROR(VLOOKUP(SUBSTITUTE(SUBSTITUTE(SUBSTITUTE($MX21,"~","~~"),"*","~*"),"?","~?"),'DADOS_MELHORIAS'!$AG$2:$AL$113,6,FALSE),0)+IFERROR(VLOOKUP(SUBSTITUTE(SUBSTITUTE(SUBSTITUTE($MY21,"~","~~"),"*","~*"),"?","~?"),'DADOS_MELHORIAS'!$AG$2:$AL$113,6,FALSE),0)+IFERROR(VLOOKUP(SUBSTITUTE(SUBSTITUTE(SUBSTITUTE($MZ21,"~","~~"),"*","~*"),"?","~?"),'DADOS_MELHORIAS'!$AG$2:$AL$113,6,FALSE),0)+IFERROR(VLOOKUP(SUBSTITUTE(SUBSTITUTE(SUBSTITUTE($NA21,"~","~~"),"*","~*"),"?","~?"),'DADOS_MELHORIAS'!$AG$2:$AL$113,6,FALSE),0)+IFERROR(N(AND(INDEX('DADOS_FORMAS'!$AO$2:$AO$21,MATCH(SUBSTITUTE(SUBSTITUTE(SUBSTITUTE($MU21,"~","~~"),"*","~*"),"?","~?"),'DADOS_FORMAS'!$AH$2:$AH$21,0))="Acerto",$OH21=1)),0)</f>
        <v/>
      </c>
      <c r="OE21" s="164">
        <f>TEXTJOIN(", ",TRUE,IF(IFERROR(VLOOKUP(SUBSTITUTE(SUBSTITUTE(SUBSTITUTE($MX21,"~","~~"),"*","~*"),"?","~?"),'DADOS_MELHORIAS'!$AG$2:$AL$113,5,FALSE),0)=1,$MX21,""),IF(IFERROR(VLOOKUP(SUBSTITUTE(SUBSTITUTE(SUBSTITUTE($MY21,"~","~~"),"*","~*"),"?","~?"),'DADOS_MELHORIAS'!$AG$2:$AL$113,5,FALSE),0)=1,$MY21,""),IF(IFERROR(VLOOKUP(SUBSTITUTE(SUBSTITUTE(SUBSTITUTE($MZ21,"~","~~"),"*","~*"),"?","~?"),'DADOS_MELHORIAS'!$AG$2:$AL$113,5,FALSE),0)=1,$MZ21,""),IF(IFERROR(VLOOKUP(SUBSTITUTE(SUBSTITUTE(SUBSTITUTE($NA21,"~","~~"),"*","~*"),"?","~?"),'DADOS_MELHORIAS'!$AG$2:$AL$113,5,FALSE),0)=1,$NA21,""))</f>
        <v/>
      </c>
      <c r="OF21" s="164">
        <f>IF($NJ21=0,0,INDEX('DADOS_FORMAS'!$GC$2:$GC$21,$NJ21))</f>
        <v/>
      </c>
      <c r="OG21" s="164">
        <f>IF($NJ21=0,0,INDEX('DADOS_FORMAS'!$GD$2:$GD$21,$NJ21))</f>
        <v/>
      </c>
      <c r="OH21" s="164">
        <f>IF($NJ21=0,0,INDEX('DADOS_FORMAS'!$GF$2:$GF$21,$NJ21))</f>
        <v/>
      </c>
      <c r="OI21" s="164">
        <f>IFERROR(VLOOKUP(SUBSTITUTE(SUBSTITUTE(SUBSTITUTE($NB21,"~","~~"),"*","~*"),"?","~?"),'DADOS_RESTRICOES'!$M$2:$Q$54,3,FALSE),0)</f>
        <v/>
      </c>
      <c r="OJ21" s="164">
        <f>IFERROR(VLOOKUP(SUBSTITUTE(SUBSTITUTE(SUBSTITUTE($NC21,"~","~~"),"*","~*"),"?","~?"),'DADOS_RESTRICOES'!$M$2:$Q$54,3,FALSE),0)</f>
        <v/>
      </c>
      <c r="OK21" s="164">
        <f>IFERROR(VLOOKUP(SUBSTITUTE(SUBSTITUTE(SUBSTITUTE($NB21,"~","~~"),"*","~*"),"?","~?"),'DADOS_RESTRICOES'!$M$2:$Q$54,2,FALSE),"")</f>
        <v/>
      </c>
      <c r="OL21" s="164">
        <f>IFERROR(VLOOKUP(SUBSTITUTE(SUBSTITUTE(SUBSTITUTE($NC21,"~","~~"),"*","~*"),"?","~?"),'DADOS_RESTRICOES'!$M$2:$Q$54,2,FALSE),"")</f>
        <v/>
      </c>
      <c r="OM21" s="164">
        <f>COUNTIF($NS21:$NW21,1)</f>
        <v/>
      </c>
      <c r="ON21" s="164">
        <f>COUNTIF($NS21:$NW21,2)</f>
        <v/>
      </c>
      <c r="OO21" s="164">
        <f>COUNTIF($NS21:$NW21,3)</f>
        <v/>
      </c>
      <c r="OP21" s="164">
        <f>COUNTIF($NS21:$NW21,4)</f>
        <v/>
      </c>
      <c r="OQ21" s="164">
        <f>COUNTIF($NS21:$NW21,5)</f>
        <v/>
      </c>
      <c r="OR21" s="164">
        <f>COUNTIF($NS21:$NW21,6)</f>
        <v/>
      </c>
      <c r="OS21" s="164">
        <f>COUNTIF($OI21:$OJ21,1)+IF(IFERROR(INDEX('DADOS_FORMAS'!$AS$2:$AS$21,MATCH(SUBSTITUTE(SUBSTITUTE(SUBSTITUTE($MU21,"~","~~"),"*","~*"),"?","~?"),'DADOS_FORMAS'!$AH$2:$AH$21,0)),"")="",0,IFERROR(N(VLOOKUP(SUBSTITUTE(SUBSTITUTE(SUBSTITUTE(IFERROR(INDEX('DADOS_FORMAS'!$AS$2:$AS$21,MATCH(SUBSTITUTE(SUBSTITUTE(SUBSTITUTE($MU21,"~","~~"),"*","~*"),"?","~?"),'DADOS_FORMAS'!$AH$2:$AH$21,0)),""),"~","~~"),"*","~*"),"?","~?"),'DADOS_RESTRICOES'!$M$2:$Q$54,3,FALSE)=1),0))</f>
        <v/>
      </c>
      <c r="OT21" s="164">
        <f>COUNTIF($OI21:$OJ21,2)+IF(IFERROR(INDEX('DADOS_FORMAS'!$AS$2:$AS$21,MATCH(SUBSTITUTE(SUBSTITUTE(SUBSTITUTE($MU21,"~","~~"),"*","~*"),"?","~?"),'DADOS_FORMAS'!$AH$2:$AH$21,0)),"")="",0,IFERROR(N(VLOOKUP(SUBSTITUTE(SUBSTITUTE(SUBSTITUTE(IFERROR(INDEX('DADOS_FORMAS'!$AS$2:$AS$21,MATCH(SUBSTITUTE(SUBSTITUTE(SUBSTITUTE($MU21,"~","~~"),"*","~*"),"?","~?"),'DADOS_FORMAS'!$AH$2:$AH$21,0)),""),"~","~~"),"*","~*"),"?","~?"),'DADOS_RESTRICOES'!$M$2:$Q$54,3,FALSE)=2),0))</f>
        <v/>
      </c>
      <c r="OU21" s="164">
        <f>COUNTIF($MX21:$NA21,"?*")</f>
        <v/>
      </c>
      <c r="OV21" s="164">
        <f>COUNTIF($NB21:$NC21,"?*")+$OF21</f>
        <v/>
      </c>
      <c r="OW21" s="164">
        <f>IF($MS21=0,0,SUMPRODUCT($OM21:$OR21,INDEX($I$2:$N$8,MAX(1,$MS21),0)))</f>
        <v/>
      </c>
      <c r="OX21" s="164">
        <f>IF($MS21=0,0,$OS21*CEILING($MS21/2,1)+$OT21*$MS21)</f>
        <v/>
      </c>
      <c r="OY21" s="164">
        <f>MIN(2*$MS21,$OX21)</f>
        <v/>
      </c>
      <c r="OZ21" s="164">
        <f>MIN($OY21,$OW21-IF($NS21=0,0,INDEX($I$2:$N$8,MAX(1,$MS21),$NS21)))</f>
        <v/>
      </c>
      <c r="PA21" s="164">
        <f>$OY21-$OZ21</f>
        <v/>
      </c>
      <c r="PB21" s="164">
        <f>IF($MS21=0,0,INDEX($P$2:$P$8,MAX(1,$MS21)))</f>
        <v/>
      </c>
      <c r="PC21" s="164">
        <f>$PB21-$OW21+$OZ21</f>
        <v/>
      </c>
      <c r="PD21" s="164">
        <f>IF($MS21=0,MAX(0,$NG21-IF(AND($OU21&gt;0,COUNTIF($NB21:$NC21,"?*")=0),1,0)),MAX(0,$PC21))</f>
        <v/>
      </c>
      <c r="PE21" s="164">
        <f>IF($MS21=0,0,(IF(COUNTIF($RK21:$RN21,"Salto")&gt;0,1,0)+IF(COUNTIF($RK21:$RN21,"Queima")&gt;0,1,0)+IF(COUNTIF($RK21:$RN21,"Estilhaço")&gt;0,1,0))*FLOOR($PD21/2,1))</f>
        <v/>
      </c>
      <c r="PF21" s="164">
        <f>MAX(0,2-SUMPRODUCT($OM21:$OR21,$I$2:$N$2)+MIN(2,$OS21*1+$OT21*1,SUMPRODUCT($OM21:$OR21,$I$2:$N$2)-IF($NS21=0,0,INDEX($I$2:$N$2,1,$NS21))))</f>
        <v/>
      </c>
      <c r="PG21" s="164">
        <f>MAX(0,4-SUMPRODUCT($OM21:$OR21,$I$3:$N$3)+MIN(4,$OS21*1+$OT21*2,SUMPRODUCT($OM21:$OR21,$I$3:$N$3)-IF($NS21=0,0,INDEX($I$3:$N$3,1,$NS21))))</f>
        <v/>
      </c>
      <c r="PH21" s="164">
        <f>MAX(0,6-SUMPRODUCT($OM21:$OR21,$I$4:$N$4)+MIN(6,$OS21*2+$OT21*3,SUMPRODUCT($OM21:$OR21,$I$4:$N$4)-IF($NS21=0,0,INDEX($I$4:$N$4,1,$NS21))))</f>
        <v/>
      </c>
      <c r="PI21" s="164">
        <f>MAX(0,9-SUMPRODUCT($OM21:$OR21,$I$5:$N$5)+MIN(8,$OS21*2+$OT21*4,SUMPRODUCT($OM21:$OR21,$I$5:$N$5)-IF($NS21=0,0,INDEX($I$5:$N$5,1,$NS21))))</f>
        <v/>
      </c>
      <c r="PJ21" s="164">
        <f>MAX(0,11-SUMPRODUCT($OM21:$OR21,$I$6:$N$6)+MIN(10,$OS21*3+$OT21*5,SUMPRODUCT($OM21:$OR21,$I$6:$N$6)-IF($NS21=0,0,INDEX($I$6:$N$6,1,$NS21))))</f>
        <v/>
      </c>
      <c r="PK21" s="164">
        <f>MAX(0,13-SUMPRODUCT($OM21:$OR21,$I$7:$N$7)+MIN(12,$OS21*3+$OT21*6,SUMPRODUCT($OM21:$OR21,$I$7:$N$7)-IF($NS21=0,0,INDEX($I$7:$N$7,1,$NS21))))</f>
        <v/>
      </c>
      <c r="PL21" s="164">
        <f>MAX(0,16-SUMPRODUCT($OM21:$OR21,$I$8:$N$8)+MIN(14,$OS21*4+$OT21*7,SUMPRODUCT($OM21:$OR21,$I$8:$N$8)-IF($NS21=0,0,INDEX($I$8:$N$8,1,$NS21))))</f>
        <v/>
      </c>
      <c r="PM21" s="164">
        <f>IF($OG21=2,3*$PF21&amp;" de vida temp.",IF($OG21=3,"sem dano",IF($PF21=0,IF($OG21=1,"sem cura","sem dano"),IF($OG21=1,"cura ","")&amp;$PF21&amp;"d8")))</f>
        <v/>
      </c>
      <c r="PN21" s="164">
        <f>IF($OG21=2,3*$PG21&amp;" de vida temp.",IF($OG21=3,"sem dano",IF($PG21=0,IF($OG21=1,"sem cura","sem dano"),IF($OG21=1,"cura ","")&amp;$PG21&amp;"d8")))</f>
        <v/>
      </c>
      <c r="PO21" s="164">
        <f>IF($OG21=2,3*$PH21&amp;" de vida temp.",IF($OG21=3,"sem dano",IF($PH21=0,IF($OG21=1,"sem cura","sem dano"),IF($OG21=1,"cura ","")&amp;$PH21&amp;"d8")))</f>
        <v/>
      </c>
      <c r="PP21" s="164">
        <f>IF($OG21=2,3*$PI21&amp;" de vida temp.",IF($OG21=3,"sem dano",IF($PI21=0,IF($OG21=1,"sem cura","sem dano"),IF($OG21=1,"cura ","")&amp;$PI21&amp;"d8")))</f>
        <v/>
      </c>
      <c r="PQ21" s="164">
        <f>IF($OG21=2,3*$PJ21&amp;" de vida temp.",IF($OG21=3,"sem dano",IF($PJ21=0,IF($OG21=1,"sem cura","sem dano"),IF($OG21=1,"cura ","")&amp;$PJ21&amp;"d8")))</f>
        <v/>
      </c>
      <c r="PR21" s="164">
        <f>IF($OG21=2,3*$PK21&amp;" de vida temp.",IF($OG21=3,"sem dano",IF($PK21=0,IF($OG21=1,"sem cura","sem dano"),IF($OG21=1,"cura ","")&amp;$PK21&amp;"d8")))</f>
        <v/>
      </c>
      <c r="PS21" s="164">
        <f>IF($OG21=2,3*$PL21&amp;" de vida temp.",IF($OG21=3,"sem dano",IF($PL21=0,IF($OG21=1,"sem cura","sem dano"),IF($OG21=1,"cura ","")&amp;$PL21&amp;"d8")))</f>
        <v/>
      </c>
      <c r="PT21" s="164">
        <f>IF($ND21=0,"",TEXTJOIN(" · ",TRUE,IF($ND21=0,"",TEXTJOIN(" · ",TRUE,IF($ND21=0,"",TEXTJOIN(" · ",TRUE,IF($MQ21&gt;$NE21,"Este lugar abre no nível "&amp;$MQ21,""),IF($MS21&gt;$NF21,"Classe "&amp;$MS21&amp;": o nível "&amp;$NE21&amp;" libera até a "&amp;$NF21,""),IF($NX21=1,"A Forma "&amp;$MU21&amp;" pede "&amp;INDEX('DADOS_FORMAS'!$GA$2:$GA$21,$NJ21)&amp;" aberta",""),IF(AND($MS21=0,$NJ21&gt;0,IF($NJ21=0,0,INDEX('DADOS_FORMAS'!$GJ$2:$GJ$21,$NJ21))=0),$MU21&amp;" não existe na Classe 0",""),IF($NY21=1,"Família Fechada: "&amp;$MX21,""),IF($NZ21=1,"Família Fechada: "&amp;$MY21,""),IF($OA21=1,"Família Fechada: "&amp;$MZ21,""),IF($OB21=1,"Família Fechada: "&amp;$NA21,""),IF(AND($MS21&gt;0,$OU21&gt;INDEX($O$2:$O$8,MAX(1,$MS21))),$OU21&amp;" Melhorias: a Classe "&amp;$MS21&amp;" aceita "&amp;INDEX($O$2:$O$8,MAX(1,$MS21)),""),IF(AND($MS21=0,$OU21&gt;1),"A básica aceita uma Melhoria",""),IF(AND($MS21=0,COUNTIF($NO21:$NR21,"&gt;1")&gt;0),"A básica só aceita Melhoria Leve",""),IF(AND($MS21&gt;0,$OV21&gt;2),$OV21&amp;" Restrições"&amp;IF($OF21=1,", contando a que a Forma "&amp;$MU21&amp;" já traz","")&amp;": o limite é 2",""),IF(AND($MS21=0,COUNTIF($NB21:$NC21,"?*")&gt;1),"A básica aceita uma Restrição Leve",""),IF(AND($MS21=0,COUNTIF($OI21:$OJ21,2)&gt;0),"A básica só aceita Restrição Leve",""),IF(AND($MS21&gt;0,$PC21&lt;0),"Orçamento estourado: faltam "&amp;(-$PC21)&amp;IF($PC21&lt;-1," pontos"," ponto"),""),IF(IFERROR(VLOOKUP(SUBSTITUTE(SUBSTITUTE(SUBSTITUTE($NB21,"~","~~"),"*","~*"),"?","~?"),'DADOS_RESTRICOES'!$M$2:$Q$54,4,FALSE),0)+IFERROR(VLOOKUP(SUBSTITUTE(SUBSTITUTE(SUBSTITUTE($NC21,"~","~~"),"*","~*"),"?","~?"),'DADOS_RESTRICOES'!$M$2:$Q$54,4,FALSE),0)&gt;1,$OK21&amp;" e "&amp;$OL21&amp;" são as duas de frequência",""),IF(AND((COUNTIF($RK21:$RN21,"Rápido")+COUNTIF($OK21:$OL21,"Rápido"))&gt;0,(COUNTIF($MX21:$NA21,"Atrasar")+COUNTIF($OK21:$OL21,"Atrasar"))&gt;0),"Rápido não entra com Atrasar",""),IF(AND((COUNTIF($RK21:$RN21,"Reação")+COUNTIF($OK21:$OL21,"Reação"))&gt;0,(COUNTIF($RK21:$RN21,"Rápido")+COUNTIF($OK21:$OL21,"Rápido"))&gt;0),"Reação não entra com Rápido",""),IF(AND((COUNTIF($RK21:$RN21,"Reação")+COUNTIF($OK21:$OL21,"Reação"))&gt;0,(COUNTIF($RK21:$RN21,"Armado")+COUNTIF($OK21:$OL21,"Armado"))&gt;0),"Reação não entra com Armado",""),IF(AND((COUNTIF($RK21:$RN21,"Reação")+COUNTIF($OK21:$OL21,"Reação"))&gt;0,(COUNTIF($MX21:$NA21,"Atrasar")+COUNTIF($OK21:$OL21,"Atrasar"))&gt;0),"Reação não entra com Atrasar",""),IF(AND((COUNTIF($RK21:$RN21,"Reação")+COUNTIF($OK21:$OL21,"Reação"))&gt;0,(COUNTIF($MX21:$NA21,"Parado")+COUNTIF($OK21:$OL21,"Parado"))&gt;0),"Reação não entra com Parado",""),IF(AND((COUNTIF($MX21:$NA21,"Atrasar")+COUNTIF($OK21:$OL21,"Atrasar"))&gt;0,(COUNTIF($MX21:$NA21,"Parado")+COUNTIF($OK21:$OL21,"Parado"))&gt;0),"Atrasar não entra com Parado",""),IF(AND((COUNTIF($RK21:$RN21,"Armado")+COUNTIF($OK21:$OL21,"Armado"))&gt;0,(COUNTIF($MX21:$NA21,"Carregar")+COUNTIF($OK21:$OL21,"Carregar"))&gt;0),"Armado não entra com Carregar",""),IF(AND(COUNTIF($OK21:$OL21,"Corpo a Corpo")&gt;0,$OF21=0,OR($RO21="Cone",$RO21="Linha")),"Corpo a Corpo não entra em "&amp;$MU21,""),IF(AND(COUNTIF($OK21:$OL21,"Corpo a Corpo")&gt;0,$RP21="Corpo a Corpo"),"A Forma "&amp;$MU21&amp;" já traz o Corpo a Corpo",""),IF(AND(COUNTIF($OK21:$OL21,"Tudo ou Nada")&gt;0,$OH21=0),"Tudo ou Nada só entra em habilidade de Teste de Resistência",""),IF(AND(COUNTIF($RK21:$RN21,"Inescapável")&gt;0,OR($OU21&gt;1,$OV21&gt;0)),"Inescapável não aceita outra peça",""),IF(AND($MS21&gt;0,$PD21*IF(COUNTIF($RK21:$RN21,"Remate")&gt;0,1.25,1)+$PE21&gt;4*$MS21),($PD21*IF(COUNTIF($RK21:$RN21,"Remate")&gt;0,1.25,1)+$PE21)&amp;" dados somando repetições"&amp;IF(COUNTIF($RK21:$RN21,"Remate")&gt;0," e o Remate","")&amp;": o teto da Classe "&amp;$MS21&amp;" é "&amp;4*$MS21,""))),IF(AND($MX21&lt;&gt;"",COUNTIF('DADOS_MELHORIAS'!$O$2:$O$113,SUBSTITUTE(SUBSTITUTE(SUBSTITUTE($MX21,"~","~~"),"*","~*"),"?","~?"))=0),"Melhoria não cadastrada ou com erro: "&amp;$MX21,""),IF(AND($MY21&lt;&gt;"",COUNTIF('DADOS_MELHORIAS'!$O$2:$O$113,SUBSTITUTE(SUBSTITUTE(SUBSTITUTE($MY21,"~","~~"),"*","~*"),"?","~?"))=0),"Melhoria não cadastrada ou com erro: "&amp;$MY21,""),IF(AND($MZ21&lt;&gt;"",COUNTIF('DADOS_MELHORIAS'!$O$2:$O$113,SUBSTITUTE(SUBSTITUTE(SUBSTITUTE($MZ21,"~","~~"),"*","~*"),"?","~?"))=0),"Melhoria não cadastrada ou com erro: "&amp;$MZ21,""),IF(AND($NA21&lt;&gt;"",COUNTIF('DADOS_MELHORIAS'!$O$2:$O$113,SUBSTITUTE(SUBSTITUTE(SUBSTITUTE($NA21,"~","~~"),"*","~*"),"?","~?"))=0),"Melhoria não cadastrada ou com erro: "&amp;$NA21,""),IF(AND($NB21&lt;&gt;"",COUNTIF('DADOS_RESTRICOES'!$M$2:$M$54,SUBSTITUTE(SUBSTITUTE(SUBSTITUTE($NB21,"~","~~"),"*","~*"),"?","~?"))=0),"Restrição não cadastrada ou com erro: "&amp;$NB21,""),IF(AND($NC21&lt;&gt;"",COUNTIF('DADOS_RESTRICOES'!$M$2:$M$54,SUBSTITUTE(SUBSTITUTE(SUBSTITUTE($NC21,"~","~~"),"*","~*"),"?","~?"))=0),"Restrição não cadastrada ou com erro: "&amp;$NC21,""))),IF(AND($MU21&lt;&gt;"",COUNTIF('DADOS_FORMAS'!$AH$2:$AH$21,SUBSTITUTE(SUBSTITUTE(SUBSTITUTE($MU21,"~","~~"),"*","~*"),"?","~?"))=0),"Forma não cadastrada ou com erro: "&amp;$MU21,""),IF(AND(IFERROR(INDEX('DADOS_FORMAS'!$AS$2:$AS$21,MATCH(SUBSTITUTE(SUBSTITUTE(SUBSTITUTE($MU21,"~","~~"),"*","~*"),"?","~?"),'DADOS_FORMAS'!$AH$2:$AH$21,0)),"")&lt;&gt;"",OR(IFERROR(VLOOKUP(SUBSTITUTE(SUBSTITUTE(SUBSTITUTE(IFERROR(INDEX('DADOS_FORMAS'!$AS$2:$AS$21,MATCH(SUBSTITUTE(SUBSTITUTE(SUBSTITUTE($MU21,"~","~~"),"*","~*"),"?","~?"),'DADOS_FORMAS'!$AH$2:$AH$21,0)),""),"~","~~"),"*","~*"),"?","~?"),'DADOS_RESTRICOES'!$M$2:$Q$54,2,FALSE),"")=$OK21,IFERROR(VLOOKUP(SUBSTITUTE(SUBSTITUTE(SUBSTITUTE(IFERROR(INDEX('DADOS_FORMAS'!$AS$2:$AS$21,MATCH(SUBSTITUTE(SUBSTITUTE(SUBSTITUTE($MU21,"~","~~"),"*","~*"),"?","~?"),'DADOS_FORMAS'!$AH$2:$AH$21,0)),""),"~","~~"),"*","~*"),"?","~?"),'DADOS_RESTRICOES'!$M$2:$Q$54,2,FALSE),"")=$OL21)),"Restrição repetida, contando a embutida",""),IF(IF(IFERROR(INDEX('DADOS_FORMAS'!$AS$2:$AS$21,MATCH(SUBSTITUTE(SUBSTITUTE(SUBSTITUTE($MU21,"~","~~"),"*","~*"),"?","~?"),'DADOS_FORMAS'!$AH$2:$AH$21,0)),"")="",0,IFERROR(N(VLOOKUP(SUBSTITUTE(SUBSTITUTE(SUBSTITUTE(IFERROR(INDEX('DADOS_FORMAS'!$AS$2:$AS$21,MATCH(SUBSTITUTE(SUBSTITUTE(SUBSTITUTE($MU21,"~","~~"),"*","~*"),"?","~?"),'DADOS_FORMAS'!$AH$2:$AH$21,0)),""),"~","~~"),"*","~*"),"?","~?"),'DADOS_RESTRICOES'!$M$2:$Q$54,4,FALSE)=1),0))+IF($NB21="",0,IFERROR(N(VLOOKUP(SUBSTITUTE(SUBSTITUTE(SUBSTITUTE($NB21,"~","~~"),"*","~*"),"?","~?"),'DADOS_RESTRICOES'!$M$2:$Q$54,4,FALSE)=1),0))+IF($NC21="",0,IFERROR(N(VLOOKUP(SUBSTITUTE(SUBSTITUTE(SUBSTITUTE($NC21,"~","~~"),"*","~*"),"?","~?"),'DADOS_RESTRICOES'!$M$2:$Q$54,4,FALSE)=1),0))&gt;1,"Duas Restrições de frequência, contando a embutida",""),IF(AND(IFERROR(VLOOKUP(SUBSTITUTE(SUBSTITUTE(SUBSTITUTE(IFERROR(INDEX('DADOS_FORMAS'!$AS$2:$AS$21,MATCH(SUBSTITUTE(SUBSTITUTE(SUBSTITUTE($MU21,"~","~~"),"*","~*"),"?","~?"),'DADOS_FORMAS'!$AH$2:$AH$21,0)),""),"~","~~"),"*","~*"),"?","~?"),'DADOS_RESTRICOES'!$M$2:$Q$54,2,FALSE),"")="Tudo ou Nada",$OH21=0),"Tudo ou Nada exige TR",""),IF(AND(IFERROR(VLOOKUP(SUBSTITUTE(SUBSTITUTE(SUBSTITUTE(IFERROR(INDEX('DADOS_FORMAS'!$AS$2:$AS$21,MATCH(SUBSTITUTE(SUBSTITUTE(SUBSTITUTE($MU21,"~","~~"),"*","~*"),"?","~?"),'DADOS_FORMAS'!$AH$2:$AH$21,0)),""),"~","~~"),"*","~*"),"?","~?"),'DADOS_RESTRICOES'!$M$2:$Q$54,2,FALSE),"")="Corpo a Corpo",OR($RO21="Cone",$RO21="Linha")),"Corpo a Corpo não entra em Cone/Linha","")))</f>
        <v/>
      </c>
      <c r="PU21" s="164">
        <f>IF($PT21="",0,(LEN($PT21)-LEN(SUBSTITUTE($PT21," · ","")))/3+1)</f>
        <v/>
      </c>
      <c r="PV21" s="164">
        <f>IF($ND21=0,"",TEXTJOIN(" · ",TRUE,IF($OX21&gt;2*$MS21,"A devolução parou no teto de "&amp;2*$MS21,""),IF($PA21&gt;0,"Devolução perdida: "&amp;$PA21&amp;IF($PA21&gt;1," pontos"," ponto")&amp;" sem Melhoria para pagar",""),IF(AND($OC21&gt;0,AND($MS21&gt;0,$OG21=0),$PD21=0),"Controle sem dano: uma rodada a mais e CD +2",""),IF(AND($OC21&gt;0,AND($MS21&gt;0,$OG21=0),$PD21&gt;0,$PD21&lt;=$MS21),"Controle com saldo até a Classe: uma rodada a mais",""),IF(AND($MS21&gt;0,$OE21&lt;&gt;""),"Efeito de "&amp;$OE21&amp;" pela Classe "&amp;MAX(1,$MS21-1),"")))</f>
        <v/>
      </c>
      <c r="PW21" s="164">
        <f>IF($PV21="",0,(LEN($PV21)-LEN(SUBSTITUTE($PV21," · ","")))/3+1)</f>
        <v/>
      </c>
      <c r="PX21" s="164">
        <f>IF($ND21=0,IF($OU21+COUNTIF($NB21:$NC21,"?*")&gt;0,"Dê um nome",""),IF($PU21&gt;0,"⚠ "&amp;$PU21&amp;IF($PU21&gt;1," erros"," erro"),IF($PW21&gt;0,"! "&amp;$PW21&amp;IF($PW21&gt;1," avisos"," aviso"),"Na regra")))</f>
        <v/>
      </c>
      <c r="PY21" s="164">
        <f>IF($ND21=0,"",IF($PU21+$PW21=0,"Dentro das regras que a ficha confere",$PT21&amp;IF(AND($PU21&gt;0,$PW21&gt;0)," · ","")&amp;$PV21))</f>
        <v/>
      </c>
      <c r="PZ21" s="164">
        <f>IF($MQ21&gt;$NE21,$MR21&amp;" · ABRE NO NÍVEL "&amp;$MQ21,$MR21)</f>
        <v/>
      </c>
      <c r="QA21" s="164">
        <f>IF($ND21=0,"",IF($MS21=0,"Sem PE",3*$MS21&amp;" PE"))</f>
        <v/>
      </c>
      <c r="QB21" s="164">
        <f>IF($ND21=0,"",IF($MS21=0,"A atuação básica dela",IF(COUNTIF($RQ21:$RS21,"Atrasar")&gt;0,"Sua Ação Completa",IF(COUNTIF($RK21:$RN21,"Rápido")&gt;0,"Sua Bônus",IF(COUNTIF($RK21:$RN21,"Reação")&gt;0,"Sua Reação","Sua Padrão")))&amp;" + a básica dela"&amp;IF(COUNTIF($RK21:$RN21,"Reação")&gt;0," e a coletiva","")&amp;IF(COUNTIF($RQ21:$RS21,"Carregar")&gt;0," · em dois turnos","")))</f>
        <v/>
      </c>
      <c r="QC21" s="164">
        <f>IF($MW21&lt;&gt;"",$MW21,IF($NJ21=0,"",INDEX('DADOS_FORMAS'!$GE$2:$GE$21,$NJ21)))</f>
        <v/>
      </c>
      <c r="QD21" s="164">
        <f>IF(OR($ND21=0,$NJ21=0),"",IF(COUNTIF($RK21:$RN21,"Inescapável")&gt;0,"Automático",IF($QC21="Ataque",IF($NH21="","Ataque","Ataque "&amp;IF(($NH21+2*IF(COUNTIF($RK21:$RN21,"Precisão")&gt;0,1,0))&gt;=0,"+","−")&amp;ABS(($NH21+2*IF(COUNTIF($RK21:$RN21,"Precisão")&gt;0,1,0))))&amp;IF($OD21&gt;0," · TR"&amp;IF($NI21="",""," CD "&amp;$NI21),""),IF(LEFT($QC21,2)="TR",$QC21&amp;IF($NI21="",""," · CD "&amp;$NI21)&amp;IF(COUNTIF($RK21:$RN21,"Certeiro")&gt;0," · metade",""),"Sem rolagem"))))</f>
        <v/>
      </c>
      <c r="QE21" s="164">
        <f>IF(OR($ND21=0,$NJ21=0),"",IF($MS21=0,IF(OR($OG21&gt;=1,$PD21=0),"Sem dano",$PD21&amp;"d6"&amp;IF($MV21="",""," "&amp;$MV21)),IF(OR($OG21&gt;=1,$PD21=0),UPPER(LEFT(INDEX($PM21:$PS21,1,MAX(1,$MS21)),1))&amp;MID(INDEX($PM21:$PS21,1,MAX(1,$MS21)),2,99),UPPER(LEFT(INDEX($PM21:$PS21,1,MAX(1,$MS21)),1))&amp;MID(INDEX($PM21:$PS21,1,MAX(1,$MS21)),2,99)&amp;IF($MV21="",""," "&amp;$MV21)&amp;IF($PE21&gt;0," · +"&amp;$PE21&amp;"d8",""))))</f>
        <v/>
      </c>
      <c r="QF21" s="164">
        <f>COUNTIF($RK21:$RN21,"Longe")+3*COUNTIF($RK21:$RN21,"Muito Longe")</f>
        <v/>
      </c>
      <c r="QG21" s="164">
        <f>COUNTIF($RK21:$RN21,"Maior")+3*COUNTIF($RK21:$RN21,"Muito Maior")</f>
        <v/>
      </c>
      <c r="QH21" s="164">
        <f>IF($NJ21=0,0,CHOOSE(1+INDEX('DADOS_FORMAS'!$GG$2:$GG$21,$NJ21),0,$QF21,$QG21,$QF21+$QG21))</f>
        <v/>
      </c>
      <c r="QI21" s="164">
        <f>IF($NJ21=0,0,CHOOSE(1+INDEX('DADOS_FORMAS'!$GH$2:$GH$21,$NJ21),0,$QF21,$QG21,$QF21+$QG21))</f>
        <v/>
      </c>
      <c r="QJ21" s="164">
        <f>IF(OR($ND21=0,$NJ21=0),"",INDEX('DADOS_FORMAS'!$HU$2:$HZ$81,($NJ21-1)*4+IF($MS21=0,1,IF($MS21&lt;=5,2,IF($MS21=6,3,4))),1+MIN(5,$QH21))&amp;INDEX('DADOS_FORMAS'!$IA$2:$IF$81,($NJ21-1)*4+IF($MS21=0,1,IF($MS21&lt;=5,2,IF($MS21=6,3,4))),1+MIN(5,$QI21))&amp;IF(INDEX('DADOS_FORMAS'!$GI$2:$GI$21,$NJ21)=1,IF(COUNTIF($RK21:$RN21,"Mais Um")&gt;0," · +"&amp;COUNTIF($RK21:$RN21,"Mais Um")&amp;IF(COUNTIF($RK21:$RN21,"Mais Um")&gt;1," alvos"," alvo"),"")&amp;IF(COUNTIF($RK21:$RN21,"Rajada")&gt;0,IF($MS21=0," · 1 tiro"," · "&amp;(MAX(1,$MS21-1)+1)&amp;" tiros"),""),""))</f>
        <v/>
      </c>
      <c r="QK21" s="164">
        <f>IF($ND21=0,"",IF($MS21=0,$NG21&amp;"d6"&amp;IF($OU21&gt;0," − 1 = "&amp;$PD21&amp;"d6"," da básica do nível "&amp;$NE21),$PB21&amp;" − "&amp;$OW21&amp;" + "&amp;$OZ21&amp;" = "&amp;$PC21&amp;" · teto "&amp;4*$MS21&amp;"d8"&amp;IF($OF21=1," · a Forma devolve "&amp;$MS21,"")&amp;IF($PA21&gt;0," · perde "&amp;$PA21,"")))</f>
        <v/>
      </c>
      <c r="QL21" s="164">
        <f>IF($ND21=0,"",IF($MS21=0,"A básica não amplia: os dados dela sobem com o nível",IF($MS21&gt;=$NF21,"Já está na maior Classe que o nível liberou",TEXTJOIN(" · ",TRUE,IF(AND(2&gt;$MS21,2&lt;=$NF21),"2 → "&amp;$PN21&amp;", 6 PE",""),IF(AND(3&gt;$MS21,3&lt;=$NF21),"3 → "&amp;$PO21&amp;", 9 PE",""),IF(AND(4&gt;$MS21,4&lt;=$NF21),"4 → "&amp;$PP21&amp;", 12 PE",""),IF(AND(5&gt;$MS21,5&lt;=$NF21),"5 → "&amp;$PQ21&amp;", 15 PE",""),IF(AND(6&gt;$MS21,6&lt;=$NF21),"6 → "&amp;$PR21&amp;", 18 PE",""),IF(AND(7&gt;$MS21,7&lt;=$NF21),"7 → "&amp;$PS21&amp;", 21 PE","")))))</f>
        <v/>
      </c>
      <c r="QM21" s="164">
        <f>IF(OR($ND21=0,$NO21=0),"",IF($MS21=0,"−1 dado","−"&amp;INDEX($I$2:$N$8,MAX(1,$MS21),MAX(1,$NT21))&amp;" · "&amp;CHOOSE(MAX(1,$NT21),"Leve","Média","Pesada","Leve · Livre","Média · Livre","Pesada · Livre")))</f>
        <v/>
      </c>
      <c r="QN21" s="164">
        <f>IF(OR($ND21=0,$NP21=0),"",IF($MS21=0,"−1 dado","−"&amp;INDEX($I$2:$N$8,MAX(1,$MS21),MAX(1,$NU21))&amp;" · "&amp;CHOOSE(MAX(1,$NU21),"Leve","Média","Pesada","Leve · Livre","Média · Livre","Pesada · Livre")))</f>
        <v/>
      </c>
      <c r="QO21" s="164">
        <f>IF(OR($ND21=0,$NQ21=0),"",IF($MS21=0,"−1 dado","−"&amp;INDEX($I$2:$N$8,MAX(1,$MS21),MAX(1,$NV21))&amp;" · "&amp;CHOOSE(MAX(1,$NV21),"Leve","Média","Pesada","Leve · Livre","Média · Livre","Pesada · Livre")))</f>
        <v/>
      </c>
      <c r="QP21" s="164">
        <f>IF(OR($ND21=0,$NR21=0),"",IF($MS21=0,"−1 dado","−"&amp;INDEX($I$2:$N$8,MAX(1,$MS21),MAX(1,$NW21))&amp;" · "&amp;CHOOSE(MAX(1,$NW21),"Leve","Média","Pesada","Leve · Livre","Média · Livre","Pesada · Livre")))</f>
        <v/>
      </c>
      <c r="QQ21" s="164">
        <f>IF(OR($ND21=0,$NB21=""),"",IF($MS21=0,"não devolve","+"&amp;IF($OI21=1,CEILING($MS21/2,1),$MS21)))</f>
        <v/>
      </c>
      <c r="QR21" s="164">
        <f>IF(OR($ND21=0,$NC21=""),"",IF($MS21=0,"não devolve","+"&amp;IF($OJ21=1,CEILING($MS21/2,1),$MS21)))</f>
        <v/>
      </c>
      <c r="RK21">
        <f>IF($MX21="","",IFERROR(VLOOKUP(SUBSTITUTE(SUBSTITUTE(SUBSTITUTE($MX21,"~","~~"),"*","~*"),"?","~?"),'DADOS_MELHORIAS'!$O$2:$X$113,10,FALSE),$MX21))</f>
        <v/>
      </c>
      <c r="RL21">
        <f>IF($MY21="","",IFERROR(VLOOKUP(SUBSTITUTE(SUBSTITUTE(SUBSTITUTE($MY21,"~","~~"),"*","~*"),"?","~?"),'DADOS_MELHORIAS'!$O$2:$X$113,10,FALSE),$MY21))</f>
        <v/>
      </c>
      <c r="RM21">
        <f>IF($MZ21="","",IFERROR(VLOOKUP(SUBSTITUTE(SUBSTITUTE(SUBSTITUTE($MZ21,"~","~~"),"*","~*"),"?","~?"),'DADOS_MELHORIAS'!$O$2:$X$113,10,FALSE),$MZ21))</f>
        <v/>
      </c>
      <c r="RN21">
        <f>IF($NA21="","",IFERROR(VLOOKUP(SUBSTITUTE(SUBSTITUTE(SUBSTITUTE($NA21,"~","~~"),"*","~*"),"?","~?"),'DADOS_MELHORIAS'!$O$2:$X$113,10,FALSE),$NA21))</f>
        <v/>
      </c>
      <c r="RO21">
        <f>IFERROR(INDEX('DADOS_FORMAS'!$BJ$2:$BJ$21,MATCH(SUBSTITUTE(SUBSTITUTE(SUBSTITUTE($MU21,"~","~~"),"*","~*"),"?","~?"),'DADOS_FORMAS'!$AH$2:$AH$21,0)),"")</f>
        <v/>
      </c>
      <c r="RP21">
        <f>IFERROR(VLOOKUP(SUBSTITUTE(SUBSTITUTE(SUBSTITUTE(IFERROR(INDEX('DADOS_FORMAS'!$AS$2:$AS$21,MATCH(SUBSTITUTE(SUBSTITUTE(SUBSTITUTE($MU21,"~","~~"),"*","~*"),"?","~?"),'DADOS_FORMAS'!$AH$2:$AH$21,0)),""),"~","~~"),"*","~*"),"?","~?"),'DADOS_RESTRICOES'!$M$2:$Q$54,2,FALSE),"")</f>
        <v/>
      </c>
      <c r="RQ21">
        <f>$OK21</f>
        <v/>
      </c>
      <c r="RR21">
        <f>$OL21</f>
        <v/>
      </c>
      <c r="RS21">
        <f>$RP21</f>
        <v/>
      </c>
    </row>
    <row r="22">
      <c r="AH22" s="162" t="inlineStr">
        <is>
          <t>Linha · classe 0</t>
        </is>
      </c>
      <c r="AI22" s="162" t="inlineStr">
        <is>
          <t>Linha de 9 m por 1,5 m</t>
        </is>
      </c>
      <c r="AJ22" s="162" t="inlineStr">
        <is>
          <t>Linha de 18 m por 1,5 m</t>
        </is>
      </c>
      <c r="AK22" s="162" t="inlineStr">
        <is>
          <t>Linha de 30 m por 1,5 m</t>
        </is>
      </c>
      <c r="AL22" s="162" t="inlineStr">
        <is>
          <t>Linha de 60 m por 1,5 m</t>
        </is>
      </c>
      <c r="AM22" s="162" t="inlineStr">
        <is>
          <t>Linha de 60 m por 1,5 m</t>
        </is>
      </c>
      <c r="AN22" s="162" t="inlineStr">
        <is>
          <t>Linha de 60 m por 1,5 m</t>
        </is>
      </c>
      <c r="AO22" s="162" t="inlineStr"/>
      <c r="AP22" s="162" t="inlineStr"/>
      <c r="AQ22" s="162" t="inlineStr"/>
      <c r="AR22" s="162" t="inlineStr"/>
      <c r="AS22" s="162" t="inlineStr"/>
      <c r="AT22" s="162" t="inlineStr"/>
      <c r="AV22" s="162" t="inlineStr">
        <is>
          <t>Sem Cobertura</t>
        </is>
      </c>
      <c r="AW22" s="162" t="inlineStr">
        <is>
          <t>Mira</t>
        </is>
      </c>
      <c r="AX22" s="164" t="n">
        <v>1</v>
      </c>
      <c r="AY22" s="164" t="n">
        <v>0</v>
      </c>
      <c r="AZ22" s="164" t="n">
        <v>0</v>
      </c>
      <c r="BA22" s="164" t="n">
        <v>0</v>
      </c>
      <c r="BC22" s="162" t="inlineStr">
        <is>
          <t>Assinatura</t>
        </is>
      </c>
      <c r="BD22" s="162" t="inlineStr">
        <is>
          <t>Assinatura</t>
        </is>
      </c>
      <c r="BE22" s="164" t="n">
        <v>1</v>
      </c>
      <c r="BF22" s="164" t="n">
        <v>0</v>
      </c>
      <c r="BG22" s="162" t="inlineStr">
        <is>
          <t>Assinatura</t>
        </is>
      </c>
      <c r="CC22" s="162" t="inlineStr">
        <is>
          <t>Intimidação</t>
        </is>
      </c>
      <c r="CD22" s="162" t="inlineStr">
        <is>
          <t>Essência</t>
        </is>
      </c>
      <c r="JT22" s="164">
        <f>IF(OR($AW22="",(COUNTIF($EL$2:$EP$2,$AW22)+COUNTIF($QV$2:$QY$2,$AW22))&gt;0),$AV22,"")</f>
        <v/>
      </c>
      <c r="JU22" s="164">
        <f>IF(AND($AX22=1,OR($AW22="",(COUNTIF($EL$2:$EP$2,$AW22)+COUNTIF($QV$2:$QY$2,$AW22))&gt;0)),$AV22,"")</f>
        <v/>
      </c>
      <c r="JZ22" s="164">
        <f>IF(OR($AW22="",(COUNTIF($EL$3:$EP$3,$AW22)+COUNTIF($QV$3:$QY$3,$AW22))&gt;0),$AV22,"")</f>
        <v/>
      </c>
      <c r="KA22" s="164">
        <f>IF(AND($AX22=1,OR($AW22="",(COUNTIF($EL$3:$EP$3,$AW22)+COUNTIF($QV$3:$QY$3,$AW22))&gt;0)),$AV22,"")</f>
        <v/>
      </c>
      <c r="KF22" s="164">
        <f>IF(OR($AW22="",(COUNTIF($EL$4:$EP$4,$AW22)+COUNTIF($QV$4:$QY$4,$AW22))&gt;0),$AV22,"")</f>
        <v/>
      </c>
      <c r="KG22" s="164">
        <f>IF(AND($AX22=1,OR($AW22="",(COUNTIF($EL$4:$EP$4,$AW22)+COUNTIF($QV$4:$QY$4,$AW22))&gt;0)),$AV22,"")</f>
        <v/>
      </c>
      <c r="KL22" s="164">
        <f>IF(OR($AW22="",(COUNTIF($EL$5:$EP$5,$AW22)+COUNTIF($QV$5:$QY$5,$AW22))&gt;0),$AV22,"")</f>
        <v/>
      </c>
      <c r="KM22" s="164">
        <f>IF(AND($AX22=1,OR($AW22="",(COUNTIF($EL$5:$EP$5,$AW22)+COUNTIF($QV$5:$QY$5,$AW22))&gt;0)),$AV22,"")</f>
        <v/>
      </c>
      <c r="KR22" s="164">
        <f>IF(OR($AW22="",(COUNTIF($EL$6:$EP$6,$AW22)+COUNTIF($QV$6:$QY$6,$AW22))&gt;0),$AV22,"")</f>
        <v/>
      </c>
      <c r="KS22" s="164">
        <f>IF(AND($AX22=1,OR($AW22="",(COUNTIF($EL$6:$EP$6,$AW22)+COUNTIF($QV$6:$QY$6,$AW22))&gt;0)),$AV22,"")</f>
        <v/>
      </c>
      <c r="KX22" s="164">
        <f>IF(OR($AW22="",(COUNTIF($EL$7:$EP$7,$AW22)+COUNTIF($QV$7:$QY$7,$AW22))&gt;0),$AV22,"")</f>
        <v/>
      </c>
      <c r="KY22" s="164">
        <f>IF(AND($AX22=1,OR($AW22="",(COUNTIF($EL$7:$EP$7,$AW22)+COUNTIF($QV$7:$QY$7,$AW22))&gt;0)),$AV22,"")</f>
        <v/>
      </c>
      <c r="LD22" s="164">
        <f>IF(OR($AW22="",(COUNTIF($EL$8:$EP$8,$AW22)+COUNTIF($QV$8:$QY$8,$AW22))&gt;0),$AV22,"")</f>
        <v/>
      </c>
      <c r="LE22" s="164">
        <f>IF(AND($AX22=1,OR($AW22="",(COUNTIF($EL$8:$EP$8,$AW22)+COUNTIF($QV$8:$QY$8,$AW22))&gt;0)),$AV22,"")</f>
        <v/>
      </c>
      <c r="LJ22" s="164">
        <f>IF(OR($AW22="",(COUNTIF($EL$9:$EP$9,$AW22)+COUNTIF($QV$9:$QY$9,$AW22))&gt;0),$AV22,"")</f>
        <v/>
      </c>
      <c r="LK22" s="164">
        <f>IF(AND($AX22=1,OR($AW22="",(COUNTIF($EL$9:$EP$9,$AW22)+COUNTIF($QV$9:$QY$9,$AW22))&gt;0)),$AV22,"")</f>
        <v/>
      </c>
      <c r="LP22" s="164">
        <f>IF(OR($AW22="",(COUNTIF($EL$10:$EP$10,$AW22)+COUNTIF($QV$10:$QY$10,$AW22))&gt;0),$AV22,"")</f>
        <v/>
      </c>
      <c r="LQ22" s="164">
        <f>IF(AND($AX22=1,OR($AW22="",(COUNTIF($EL$10:$EP$10,$AW22)+COUNTIF($QV$10:$QY$10,$AW22))&gt;0)),$AV22,"")</f>
        <v/>
      </c>
      <c r="LV22" s="164">
        <f>IF(OR($AW22="",(COUNTIF($EL$11:$EP$11,$AW22)+COUNTIF($QV$11:$QY$11,$AW22))&gt;0),$AV22,"")</f>
        <v/>
      </c>
      <c r="LW22" s="164">
        <f>IF(AND($AX22=1,OR($AW22="",(COUNTIF($EL$11:$EP$11,$AW22)+COUNTIF($QV$11:$QY$11,$AW22))&gt;0)),$AV22,"")</f>
        <v/>
      </c>
      <c r="MB22" s="164">
        <f>IF(OR($AW22="",(COUNTIF($EL$12:$EP$12,$AW22)+COUNTIF($QV$12:$QY$12,$AW22))&gt;0),$AV22,"")</f>
        <v/>
      </c>
      <c r="MC22" s="164">
        <f>IF(AND($AX22=1,OR($AW22="",(COUNTIF($EL$12:$EP$12,$AW22)+COUNTIF($QV$12:$QY$12,$AW22))&gt;0)),$AV22,"")</f>
        <v/>
      </c>
      <c r="MH22" s="164">
        <f>IF(OR($AW22="",(COUNTIF($EL$13:$EP$13,$AW22)+COUNTIF($QV$13:$QY$13,$AW22))&gt;0),$AV22,"")</f>
        <v/>
      </c>
      <c r="MI22" s="164">
        <f>IF(AND($AX22=1,OR($AW22="",(COUNTIF($EL$13:$EP$13,$AW22)+COUNTIF($QV$13:$QY$13,$AW22))&gt;0)),$AV22,"")</f>
        <v/>
      </c>
      <c r="MN22" s="162" t="inlineStr">
        <is>
          <t>Ficha 2 · Especial 6</t>
        </is>
      </c>
      <c r="MO22" s="164" t="n">
        <v>2</v>
      </c>
      <c r="MP22" s="164" t="n">
        <v>1</v>
      </c>
      <c r="MQ22" s="164" t="n">
        <v>20</v>
      </c>
      <c r="MR22" s="162" t="inlineStr">
        <is>
          <t>ESPECIAL 6</t>
        </is>
      </c>
      <c r="MS22" s="164">
        <f>MAX(1,MIN(7,N('INVOCAÇÕES'!$O$338)))</f>
        <v/>
      </c>
      <c r="MT22" s="164">
        <f>'INVOCAÇÕES'!$P$338&amp;""</f>
        <v/>
      </c>
      <c r="MU22" s="164">
        <f>'INVOCAÇÕES'!$O$343&amp;""</f>
        <v/>
      </c>
      <c r="MV22" s="164">
        <f>'INVOCAÇÕES'!$O$344&amp;""</f>
        <v/>
      </c>
      <c r="MW22" s="164">
        <f>'INVOCAÇÕES'!$Q$344&amp;""</f>
        <v/>
      </c>
      <c r="MX22" s="164">
        <f>'INVOCAÇÕES'!$P$347&amp;""</f>
        <v/>
      </c>
      <c r="MY22" s="164">
        <f>'INVOCAÇÕES'!$P$348&amp;""</f>
        <v/>
      </c>
      <c r="MZ22" s="164">
        <f>'INVOCAÇÕES'!$P$349&amp;""</f>
        <v/>
      </c>
      <c r="NA22" s="164">
        <f>'INVOCAÇÕES'!$P$350&amp;""</f>
        <v/>
      </c>
      <c r="NB22" s="164">
        <f>'INVOCAÇÕES'!$P$351&amp;""</f>
        <v/>
      </c>
      <c r="NC22" s="164">
        <f>'INVOCAÇÕES'!$P$352&amp;""</f>
        <v/>
      </c>
      <c r="ND22" s="164">
        <f>IF($MT22&lt;&gt;"",1,0)</f>
        <v/>
      </c>
      <c r="NE22" s="164">
        <f>INDEX($FO$2:$FO$13,$MO22)</f>
        <v/>
      </c>
      <c r="NF22" s="164">
        <f>INDEX($FP$2:$FP$13,$MO22)</f>
        <v/>
      </c>
      <c r="NG22" s="164">
        <f>INDEX($FQ$2:$FQ$13,$MO22)</f>
        <v/>
      </c>
      <c r="NH22" s="164">
        <f>INDEX($GB$2:$GB$13,$MO22)</f>
        <v/>
      </c>
      <c r="NI22" s="164">
        <f>INDEX($GC$2:$GC$13,$MO22)</f>
        <v/>
      </c>
      <c r="NJ22" s="164">
        <f>IFERROR(MATCH(SUBSTITUTE(SUBSTITUTE(SUBSTITUTE($MU22,"~","~~"),"*","~*"),"?","~?"),'DADOS_FORMAS'!$FZ$2:$FZ$21,0),0)</f>
        <v/>
      </c>
      <c r="NK22" s="164">
        <f>IFERROR(VLOOKUP(SUBSTITUTE(SUBSTITUTE(SUBSTITUTE($MX22,"~","~~"),"*","~*"),"?","~?"),'DADOS_MELHORIAS'!$AG$2:$AL$113,2,FALSE),"")</f>
        <v/>
      </c>
      <c r="NL22" s="164">
        <f>IFERROR(VLOOKUP(SUBSTITUTE(SUBSTITUTE(SUBSTITUTE($MY22,"~","~~"),"*","~*"),"?","~?"),'DADOS_MELHORIAS'!$AG$2:$AL$113,2,FALSE),"")</f>
        <v/>
      </c>
      <c r="NM22" s="164">
        <f>IFERROR(VLOOKUP(SUBSTITUTE(SUBSTITUTE(SUBSTITUTE($MZ22,"~","~~"),"*","~*"),"?","~?"),'DADOS_MELHORIAS'!$AG$2:$AL$113,2,FALSE),"")</f>
        <v/>
      </c>
      <c r="NN22" s="164">
        <f>IFERROR(VLOOKUP(SUBSTITUTE(SUBSTITUTE(SUBSTITUTE($NA22,"~","~~"),"*","~*"),"?","~?"),'DADOS_MELHORIAS'!$AG$2:$AL$113,2,FALSE),"")</f>
        <v/>
      </c>
      <c r="NO22" s="164">
        <f>IFERROR(VLOOKUP(SUBSTITUTE(SUBSTITUTE(SUBSTITUTE($MX22,"~","~~"),"*","~*"),"?","~?"),'DADOS_MELHORIAS'!$AG$2:$AL$113,3,FALSE),0)</f>
        <v/>
      </c>
      <c r="NP22" s="164">
        <f>IFERROR(VLOOKUP(SUBSTITUTE(SUBSTITUTE(SUBSTITUTE($MY22,"~","~~"),"*","~*"),"?","~?"),'DADOS_MELHORIAS'!$AG$2:$AL$113,3,FALSE),0)</f>
        <v/>
      </c>
      <c r="NQ22" s="164">
        <f>IFERROR(VLOOKUP(SUBSTITUTE(SUBSTITUTE(SUBSTITUTE($MZ22,"~","~~"),"*","~*"),"?","~?"),'DADOS_MELHORIAS'!$AG$2:$AL$113,3,FALSE),0)</f>
        <v/>
      </c>
      <c r="NR22" s="164">
        <f>IFERROR(VLOOKUP(SUBSTITUTE(SUBSTITUTE(SUBSTITUTE($NA22,"~","~~"),"*","~*"),"?","~?"),'DADOS_MELHORIAS'!$AG$2:$AL$113,3,FALSE),0)</f>
        <v/>
      </c>
      <c r="NS22" s="164">
        <f>IF($MS22=0,0,IF($NJ22=0,0,INDEX('DADOS_FORMAS'!$GB$2:$GB$21,$NJ22)))</f>
        <v/>
      </c>
      <c r="NT22" s="164">
        <f>IF(OR($NO22=0,$MS22=0),0,$NO22+3*IF(AND($NK22&lt;&gt;"",COUNTIF(INDEX($RB$2:$RJ$13,$MO22,0),$NK22)&gt;0),1,0))</f>
        <v/>
      </c>
      <c r="NU22" s="164">
        <f>IF(OR($NP22=0,$MS22=0),0,$NP22+3*IF(AND($NL22&lt;&gt;"",COUNTIF(INDEX($RB$2:$RJ$13,$MO22,0),$NL22)&gt;0),1,0))</f>
        <v/>
      </c>
      <c r="NV22" s="164">
        <f>IF(OR($NQ22=0,$MS22=0),0,$NQ22+3*IF(AND($NM22&lt;&gt;"",COUNTIF(INDEX($RB$2:$RJ$13,$MO22,0),$NM22)&gt;0),1,0))</f>
        <v/>
      </c>
      <c r="NW22" s="164">
        <f>IF(OR($NR22=0,$MS22=0),0,$NR22+3*IF(AND($NN22&lt;&gt;"",COUNTIF(INDEX($RB$2:$RJ$13,$MO22,0),$NN22)&gt;0),1,0))</f>
        <v/>
      </c>
      <c r="NX22" s="164">
        <f>IF($NJ22=0,0,IF(INDEX('DADOS_FORMAS'!$GA$2:$GA$21,$NJ22)="",0,IF((COUNTIF(INDEX($EL$2:$EP$13,$MO22,0),INDEX('DADOS_FORMAS'!$GA$2:$GA$21,$NJ22))+COUNTIF(INDEX($QV$2:$QY$13,$MO22,0),INDEX('DADOS_FORMAS'!$GA$2:$GA$21,$NJ22)))=0,1,0)))</f>
        <v/>
      </c>
      <c r="NY22" s="164">
        <f>IF(OR($NO22=0,$NK22=""),0,IF((COUNTIF(INDEX($EL$2:$EP$13,$MO22,0),$NK22)+COUNTIF(INDEX($QV$2:$QY$13,$MO22,0),$NK22))=0,1,0))</f>
        <v/>
      </c>
      <c r="NZ22" s="164">
        <f>IF(OR($NP22=0,$NL22=""),0,IF((COUNTIF(INDEX($EL$2:$EP$13,$MO22,0),$NL22)+COUNTIF(INDEX($QV$2:$QY$13,$MO22,0),$NL22))=0,1,0))</f>
        <v/>
      </c>
      <c r="OA22" s="164">
        <f>IF(OR($NQ22=0,$NM22=""),0,IF((COUNTIF(INDEX($EL$2:$EP$13,$MO22,0),$NM22)+COUNTIF(INDEX($QV$2:$QY$13,$MO22,0),$NM22))=0,1,0))</f>
        <v/>
      </c>
      <c r="OB22" s="164">
        <f>IF(OR($NR22=0,$NN22=""),0,IF((COUNTIF(INDEX($EL$2:$EP$13,$MO22,0),$NN22)+COUNTIF(INDEX($QV$2:$QY$13,$MO22,0),$NN22))=0,1,0))</f>
        <v/>
      </c>
      <c r="OC22" s="164">
        <f>IFERROR(VLOOKUP(SUBSTITUTE(SUBSTITUTE(SUBSTITUTE($MX22,"~","~~"),"*","~*"),"?","~?"),'DADOS_MELHORIAS'!$AG$2:$AL$113,4,FALSE),0)+IFERROR(VLOOKUP(SUBSTITUTE(SUBSTITUTE(SUBSTITUTE($MY22,"~","~~"),"*","~*"),"?","~?"),'DADOS_MELHORIAS'!$AG$2:$AL$113,4,FALSE),0)+IFERROR(VLOOKUP(SUBSTITUTE(SUBSTITUTE(SUBSTITUTE($MZ22,"~","~~"),"*","~*"),"?","~?"),'DADOS_MELHORIAS'!$AG$2:$AL$113,4,FALSE),0)+IFERROR(VLOOKUP(SUBSTITUTE(SUBSTITUTE(SUBSTITUTE($NA22,"~","~~"),"*","~*"),"?","~?"),'DADOS_MELHORIAS'!$AG$2:$AL$113,4,FALSE),0)</f>
        <v/>
      </c>
      <c r="OD22" s="164">
        <f>IFERROR(VLOOKUP(SUBSTITUTE(SUBSTITUTE(SUBSTITUTE($MX22,"~","~~"),"*","~*"),"?","~?"),'DADOS_MELHORIAS'!$AG$2:$AL$113,6,FALSE),0)+IFERROR(VLOOKUP(SUBSTITUTE(SUBSTITUTE(SUBSTITUTE($MY22,"~","~~"),"*","~*"),"?","~?"),'DADOS_MELHORIAS'!$AG$2:$AL$113,6,FALSE),0)+IFERROR(VLOOKUP(SUBSTITUTE(SUBSTITUTE(SUBSTITUTE($MZ22,"~","~~"),"*","~*"),"?","~?"),'DADOS_MELHORIAS'!$AG$2:$AL$113,6,FALSE),0)+IFERROR(VLOOKUP(SUBSTITUTE(SUBSTITUTE(SUBSTITUTE($NA22,"~","~~"),"*","~*"),"?","~?"),'DADOS_MELHORIAS'!$AG$2:$AL$113,6,FALSE),0)+IFERROR(N(AND(INDEX('DADOS_FORMAS'!$AO$2:$AO$21,MATCH(SUBSTITUTE(SUBSTITUTE(SUBSTITUTE($MU22,"~","~~"),"*","~*"),"?","~?"),'DADOS_FORMAS'!$AH$2:$AH$21,0))="Acerto",$OH22=1)),0)</f>
        <v/>
      </c>
      <c r="OE22" s="164">
        <f>TEXTJOIN(", ",TRUE,IF(IFERROR(VLOOKUP(SUBSTITUTE(SUBSTITUTE(SUBSTITUTE($MX22,"~","~~"),"*","~*"),"?","~?"),'DADOS_MELHORIAS'!$AG$2:$AL$113,5,FALSE),0)=1,$MX22,""),IF(IFERROR(VLOOKUP(SUBSTITUTE(SUBSTITUTE(SUBSTITUTE($MY22,"~","~~"),"*","~*"),"?","~?"),'DADOS_MELHORIAS'!$AG$2:$AL$113,5,FALSE),0)=1,$MY22,""),IF(IFERROR(VLOOKUP(SUBSTITUTE(SUBSTITUTE(SUBSTITUTE($MZ22,"~","~~"),"*","~*"),"?","~?"),'DADOS_MELHORIAS'!$AG$2:$AL$113,5,FALSE),0)=1,$MZ22,""),IF(IFERROR(VLOOKUP(SUBSTITUTE(SUBSTITUTE(SUBSTITUTE($NA22,"~","~~"),"*","~*"),"?","~?"),'DADOS_MELHORIAS'!$AG$2:$AL$113,5,FALSE),0)=1,$NA22,""))</f>
        <v/>
      </c>
      <c r="OF22" s="164">
        <f>IF($NJ22=0,0,INDEX('DADOS_FORMAS'!$GC$2:$GC$21,$NJ22))</f>
        <v/>
      </c>
      <c r="OG22" s="164">
        <f>IF($NJ22=0,0,INDEX('DADOS_FORMAS'!$GD$2:$GD$21,$NJ22))</f>
        <v/>
      </c>
      <c r="OH22" s="164">
        <f>IF($NJ22=0,0,INDEX('DADOS_FORMAS'!$GF$2:$GF$21,$NJ22))</f>
        <v/>
      </c>
      <c r="OI22" s="164">
        <f>IFERROR(VLOOKUP(SUBSTITUTE(SUBSTITUTE(SUBSTITUTE($NB22,"~","~~"),"*","~*"),"?","~?"),'DADOS_RESTRICOES'!$M$2:$Q$54,3,FALSE),0)</f>
        <v/>
      </c>
      <c r="OJ22" s="164">
        <f>IFERROR(VLOOKUP(SUBSTITUTE(SUBSTITUTE(SUBSTITUTE($NC22,"~","~~"),"*","~*"),"?","~?"),'DADOS_RESTRICOES'!$M$2:$Q$54,3,FALSE),0)</f>
        <v/>
      </c>
      <c r="OK22" s="164">
        <f>IFERROR(VLOOKUP(SUBSTITUTE(SUBSTITUTE(SUBSTITUTE($NB22,"~","~~"),"*","~*"),"?","~?"),'DADOS_RESTRICOES'!$M$2:$Q$54,2,FALSE),"")</f>
        <v/>
      </c>
      <c r="OL22" s="164">
        <f>IFERROR(VLOOKUP(SUBSTITUTE(SUBSTITUTE(SUBSTITUTE($NC22,"~","~~"),"*","~*"),"?","~?"),'DADOS_RESTRICOES'!$M$2:$Q$54,2,FALSE),"")</f>
        <v/>
      </c>
      <c r="OM22" s="164">
        <f>COUNTIF($NS22:$NW22,1)</f>
        <v/>
      </c>
      <c r="ON22" s="164">
        <f>COUNTIF($NS22:$NW22,2)</f>
        <v/>
      </c>
      <c r="OO22" s="164">
        <f>COUNTIF($NS22:$NW22,3)</f>
        <v/>
      </c>
      <c r="OP22" s="164">
        <f>COUNTIF($NS22:$NW22,4)</f>
        <v/>
      </c>
      <c r="OQ22" s="164">
        <f>COUNTIF($NS22:$NW22,5)</f>
        <v/>
      </c>
      <c r="OR22" s="164">
        <f>COUNTIF($NS22:$NW22,6)</f>
        <v/>
      </c>
      <c r="OS22" s="164">
        <f>COUNTIF($OI22:$OJ22,1)+IF(IFERROR(INDEX('DADOS_FORMAS'!$AS$2:$AS$21,MATCH(SUBSTITUTE(SUBSTITUTE(SUBSTITUTE($MU22,"~","~~"),"*","~*"),"?","~?"),'DADOS_FORMAS'!$AH$2:$AH$21,0)),"")="",0,IFERROR(N(VLOOKUP(SUBSTITUTE(SUBSTITUTE(SUBSTITUTE(IFERROR(INDEX('DADOS_FORMAS'!$AS$2:$AS$21,MATCH(SUBSTITUTE(SUBSTITUTE(SUBSTITUTE($MU22,"~","~~"),"*","~*"),"?","~?"),'DADOS_FORMAS'!$AH$2:$AH$21,0)),""),"~","~~"),"*","~*"),"?","~?"),'DADOS_RESTRICOES'!$M$2:$Q$54,3,FALSE)=1),0))</f>
        <v/>
      </c>
      <c r="OT22" s="164">
        <f>COUNTIF($OI22:$OJ22,2)+IF(IFERROR(INDEX('DADOS_FORMAS'!$AS$2:$AS$21,MATCH(SUBSTITUTE(SUBSTITUTE(SUBSTITUTE($MU22,"~","~~"),"*","~*"),"?","~?"),'DADOS_FORMAS'!$AH$2:$AH$21,0)),"")="",0,IFERROR(N(VLOOKUP(SUBSTITUTE(SUBSTITUTE(SUBSTITUTE(IFERROR(INDEX('DADOS_FORMAS'!$AS$2:$AS$21,MATCH(SUBSTITUTE(SUBSTITUTE(SUBSTITUTE($MU22,"~","~~"),"*","~*"),"?","~?"),'DADOS_FORMAS'!$AH$2:$AH$21,0)),""),"~","~~"),"*","~*"),"?","~?"),'DADOS_RESTRICOES'!$M$2:$Q$54,3,FALSE)=2),0))</f>
        <v/>
      </c>
      <c r="OU22" s="164">
        <f>COUNTIF($MX22:$NA22,"?*")</f>
        <v/>
      </c>
      <c r="OV22" s="164">
        <f>COUNTIF($NB22:$NC22,"?*")+$OF22</f>
        <v/>
      </c>
      <c r="OW22" s="164">
        <f>IF($MS22=0,0,SUMPRODUCT($OM22:$OR22,INDEX($I$2:$N$8,MAX(1,$MS22),0)))</f>
        <v/>
      </c>
      <c r="OX22" s="164">
        <f>IF($MS22=0,0,$OS22*CEILING($MS22/2,1)+$OT22*$MS22)</f>
        <v/>
      </c>
      <c r="OY22" s="164">
        <f>MIN(2*$MS22,$OX22)</f>
        <v/>
      </c>
      <c r="OZ22" s="164">
        <f>MIN($OY22,$OW22-IF($NS22=0,0,INDEX($I$2:$N$8,MAX(1,$MS22),$NS22)))</f>
        <v/>
      </c>
      <c r="PA22" s="164">
        <f>$OY22-$OZ22</f>
        <v/>
      </c>
      <c r="PB22" s="164">
        <f>IF($MS22=0,0,INDEX($P$2:$P$8,MAX(1,$MS22)))</f>
        <v/>
      </c>
      <c r="PC22" s="164">
        <f>$PB22-$OW22+$OZ22</f>
        <v/>
      </c>
      <c r="PD22" s="164">
        <f>IF($MS22=0,MAX(0,$NG22-IF(AND($OU22&gt;0,COUNTIF($NB22:$NC22,"?*")=0),1,0)),MAX(0,$PC22))</f>
        <v/>
      </c>
      <c r="PE22" s="164">
        <f>IF($MS22=0,0,(IF(COUNTIF($RK22:$RN22,"Salto")&gt;0,1,0)+IF(COUNTIF($RK22:$RN22,"Queima")&gt;0,1,0)+IF(COUNTIF($RK22:$RN22,"Estilhaço")&gt;0,1,0))*FLOOR($PD22/2,1))</f>
        <v/>
      </c>
      <c r="PF22" s="164">
        <f>MAX(0,2-SUMPRODUCT($OM22:$OR22,$I$2:$N$2)+MIN(2,$OS22*1+$OT22*1,SUMPRODUCT($OM22:$OR22,$I$2:$N$2)-IF($NS22=0,0,INDEX($I$2:$N$2,1,$NS22))))</f>
        <v/>
      </c>
      <c r="PG22" s="164">
        <f>MAX(0,4-SUMPRODUCT($OM22:$OR22,$I$3:$N$3)+MIN(4,$OS22*1+$OT22*2,SUMPRODUCT($OM22:$OR22,$I$3:$N$3)-IF($NS22=0,0,INDEX($I$3:$N$3,1,$NS22))))</f>
        <v/>
      </c>
      <c r="PH22" s="164">
        <f>MAX(0,6-SUMPRODUCT($OM22:$OR22,$I$4:$N$4)+MIN(6,$OS22*2+$OT22*3,SUMPRODUCT($OM22:$OR22,$I$4:$N$4)-IF($NS22=0,0,INDEX($I$4:$N$4,1,$NS22))))</f>
        <v/>
      </c>
      <c r="PI22" s="164">
        <f>MAX(0,9-SUMPRODUCT($OM22:$OR22,$I$5:$N$5)+MIN(8,$OS22*2+$OT22*4,SUMPRODUCT($OM22:$OR22,$I$5:$N$5)-IF($NS22=0,0,INDEX($I$5:$N$5,1,$NS22))))</f>
        <v/>
      </c>
      <c r="PJ22" s="164">
        <f>MAX(0,11-SUMPRODUCT($OM22:$OR22,$I$6:$N$6)+MIN(10,$OS22*3+$OT22*5,SUMPRODUCT($OM22:$OR22,$I$6:$N$6)-IF($NS22=0,0,INDEX($I$6:$N$6,1,$NS22))))</f>
        <v/>
      </c>
      <c r="PK22" s="164">
        <f>MAX(0,13-SUMPRODUCT($OM22:$OR22,$I$7:$N$7)+MIN(12,$OS22*3+$OT22*6,SUMPRODUCT($OM22:$OR22,$I$7:$N$7)-IF($NS22=0,0,INDEX($I$7:$N$7,1,$NS22))))</f>
        <v/>
      </c>
      <c r="PL22" s="164">
        <f>MAX(0,16-SUMPRODUCT($OM22:$OR22,$I$8:$N$8)+MIN(14,$OS22*4+$OT22*7,SUMPRODUCT($OM22:$OR22,$I$8:$N$8)-IF($NS22=0,0,INDEX($I$8:$N$8,1,$NS22))))</f>
        <v/>
      </c>
      <c r="PM22" s="164">
        <f>IF($OG22=2,3*$PF22&amp;" de vida temp.",IF($OG22=3,"sem dano",IF($PF22=0,IF($OG22=1,"sem cura","sem dano"),IF($OG22=1,"cura ","")&amp;$PF22&amp;"d8")))</f>
        <v/>
      </c>
      <c r="PN22" s="164">
        <f>IF($OG22=2,3*$PG22&amp;" de vida temp.",IF($OG22=3,"sem dano",IF($PG22=0,IF($OG22=1,"sem cura","sem dano"),IF($OG22=1,"cura ","")&amp;$PG22&amp;"d8")))</f>
        <v/>
      </c>
      <c r="PO22" s="164">
        <f>IF($OG22=2,3*$PH22&amp;" de vida temp.",IF($OG22=3,"sem dano",IF($PH22=0,IF($OG22=1,"sem cura","sem dano"),IF($OG22=1,"cura ","")&amp;$PH22&amp;"d8")))</f>
        <v/>
      </c>
      <c r="PP22" s="164">
        <f>IF($OG22=2,3*$PI22&amp;" de vida temp.",IF($OG22=3,"sem dano",IF($PI22=0,IF($OG22=1,"sem cura","sem dano"),IF($OG22=1,"cura ","")&amp;$PI22&amp;"d8")))</f>
        <v/>
      </c>
      <c r="PQ22" s="164">
        <f>IF($OG22=2,3*$PJ22&amp;" de vida temp.",IF($OG22=3,"sem dano",IF($PJ22=0,IF($OG22=1,"sem cura","sem dano"),IF($OG22=1,"cura ","")&amp;$PJ22&amp;"d8")))</f>
        <v/>
      </c>
      <c r="PR22" s="164">
        <f>IF($OG22=2,3*$PK22&amp;" de vida temp.",IF($OG22=3,"sem dano",IF($PK22=0,IF($OG22=1,"sem cura","sem dano"),IF($OG22=1,"cura ","")&amp;$PK22&amp;"d8")))</f>
        <v/>
      </c>
      <c r="PS22" s="164">
        <f>IF($OG22=2,3*$PL22&amp;" de vida temp.",IF($OG22=3,"sem dano",IF($PL22=0,IF($OG22=1,"sem cura","sem dano"),IF($OG22=1,"cura ","")&amp;$PL22&amp;"d8")))</f>
        <v/>
      </c>
      <c r="PT22" s="164">
        <f>IF($ND22=0,"",TEXTJOIN(" · ",TRUE,IF($ND22=0,"",TEXTJOIN(" · ",TRUE,IF($ND22=0,"",TEXTJOIN(" · ",TRUE,IF($MQ22&gt;$NE22,"Este lugar abre no nível "&amp;$MQ22,""),IF($MS22&gt;$NF22,"Classe "&amp;$MS22&amp;": o nível "&amp;$NE22&amp;" libera até a "&amp;$NF22,""),IF($NX22=1,"A Forma "&amp;$MU22&amp;" pede "&amp;INDEX('DADOS_FORMAS'!$GA$2:$GA$21,$NJ22)&amp;" aberta",""),IF(AND($MS22=0,$NJ22&gt;0,IF($NJ22=0,0,INDEX('DADOS_FORMAS'!$GJ$2:$GJ$21,$NJ22))=0),$MU22&amp;" não existe na Classe 0",""),IF($NY22=1,"Família Fechada: "&amp;$MX22,""),IF($NZ22=1,"Família Fechada: "&amp;$MY22,""),IF($OA22=1,"Família Fechada: "&amp;$MZ22,""),IF($OB22=1,"Família Fechada: "&amp;$NA22,""),IF(AND($MS22&gt;0,$OU22&gt;INDEX($O$2:$O$8,MAX(1,$MS22))),$OU22&amp;" Melhorias: a Classe "&amp;$MS22&amp;" aceita "&amp;INDEX($O$2:$O$8,MAX(1,$MS22)),""),IF(AND($MS22=0,$OU22&gt;1),"A básica aceita uma Melhoria",""),IF(AND($MS22=0,COUNTIF($NO22:$NR22,"&gt;1")&gt;0),"A básica só aceita Melhoria Leve",""),IF(AND($MS22&gt;0,$OV22&gt;2),$OV22&amp;" Restrições"&amp;IF($OF22=1,", contando a que a Forma "&amp;$MU22&amp;" já traz","")&amp;": o limite é 2",""),IF(AND($MS22=0,COUNTIF($NB22:$NC22,"?*")&gt;1),"A básica aceita uma Restrição Leve",""),IF(AND($MS22=0,COUNTIF($OI22:$OJ22,2)&gt;0),"A básica só aceita Restrição Leve",""),IF(AND($MS22&gt;0,$PC22&lt;0),"Orçamento estourado: faltam "&amp;(-$PC22)&amp;IF($PC22&lt;-1," pontos"," ponto"),""),IF(IFERROR(VLOOKUP(SUBSTITUTE(SUBSTITUTE(SUBSTITUTE($NB22,"~","~~"),"*","~*"),"?","~?"),'DADOS_RESTRICOES'!$M$2:$Q$54,4,FALSE),0)+IFERROR(VLOOKUP(SUBSTITUTE(SUBSTITUTE(SUBSTITUTE($NC22,"~","~~"),"*","~*"),"?","~?"),'DADOS_RESTRICOES'!$M$2:$Q$54,4,FALSE),0)&gt;1,$OK22&amp;" e "&amp;$OL22&amp;" são as duas de frequência",""),IF(AND((COUNTIF($RK22:$RN22,"Rápido")+COUNTIF($OK22:$OL22,"Rápido"))&gt;0,(COUNTIF($MX22:$NA22,"Atrasar")+COUNTIF($OK22:$OL22,"Atrasar"))&gt;0),"Rápido não entra com Atrasar",""),IF(AND((COUNTIF($RK22:$RN22,"Reação")+COUNTIF($OK22:$OL22,"Reação"))&gt;0,(COUNTIF($RK22:$RN22,"Rápido")+COUNTIF($OK22:$OL22,"Rápido"))&gt;0),"Reação não entra com Rápido",""),IF(AND((COUNTIF($RK22:$RN22,"Reação")+COUNTIF($OK22:$OL22,"Reação"))&gt;0,(COUNTIF($RK22:$RN22,"Armado")+COUNTIF($OK22:$OL22,"Armado"))&gt;0),"Reação não entra com Armado",""),IF(AND((COUNTIF($RK22:$RN22,"Reação")+COUNTIF($OK22:$OL22,"Reação"))&gt;0,(COUNTIF($MX22:$NA22,"Atrasar")+COUNTIF($OK22:$OL22,"Atrasar"))&gt;0),"Reação não entra com Atrasar",""),IF(AND((COUNTIF($RK22:$RN22,"Reação")+COUNTIF($OK22:$OL22,"Reação"))&gt;0,(COUNTIF($MX22:$NA22,"Parado")+COUNTIF($OK22:$OL22,"Parado"))&gt;0),"Reação não entra com Parado",""),IF(AND((COUNTIF($MX22:$NA22,"Atrasar")+COUNTIF($OK22:$OL22,"Atrasar"))&gt;0,(COUNTIF($MX22:$NA22,"Parado")+COUNTIF($OK22:$OL22,"Parado"))&gt;0),"Atrasar não entra com Parado",""),IF(AND((COUNTIF($RK22:$RN22,"Armado")+COUNTIF($OK22:$OL22,"Armado"))&gt;0,(COUNTIF($MX22:$NA22,"Carregar")+COUNTIF($OK22:$OL22,"Carregar"))&gt;0),"Armado não entra com Carregar",""),IF(AND(COUNTIF($OK22:$OL22,"Corpo a Corpo")&gt;0,$OF22=0,OR($RO22="Cone",$RO22="Linha")),"Corpo a Corpo não entra em "&amp;$MU22,""),IF(AND(COUNTIF($OK22:$OL22,"Corpo a Corpo")&gt;0,$RP22="Corpo a Corpo"),"A Forma "&amp;$MU22&amp;" já traz o Corpo a Corpo",""),IF(AND(COUNTIF($OK22:$OL22,"Tudo ou Nada")&gt;0,$OH22=0),"Tudo ou Nada só entra em habilidade de Teste de Resistência",""),IF(AND(COUNTIF($RK22:$RN22,"Inescapável")&gt;0,OR($OU22&gt;1,$OV22&gt;0)),"Inescapável não aceita outra peça",""),IF(AND($MS22&gt;0,$PD22*IF(COUNTIF($RK22:$RN22,"Remate")&gt;0,1.25,1)+$PE22&gt;4*$MS22),($PD22*IF(COUNTIF($RK22:$RN22,"Remate")&gt;0,1.25,1)+$PE22)&amp;" dados somando repetições"&amp;IF(COUNTIF($RK22:$RN22,"Remate")&gt;0," e o Remate","")&amp;": o teto da Classe "&amp;$MS22&amp;" é "&amp;4*$MS22,""))),IF(AND($MX22&lt;&gt;"",COUNTIF('DADOS_MELHORIAS'!$O$2:$O$113,SUBSTITUTE(SUBSTITUTE(SUBSTITUTE($MX22,"~","~~"),"*","~*"),"?","~?"))=0),"Melhoria não cadastrada ou com erro: "&amp;$MX22,""),IF(AND($MY22&lt;&gt;"",COUNTIF('DADOS_MELHORIAS'!$O$2:$O$113,SUBSTITUTE(SUBSTITUTE(SUBSTITUTE($MY22,"~","~~"),"*","~*"),"?","~?"))=0),"Melhoria não cadastrada ou com erro: "&amp;$MY22,""),IF(AND($MZ22&lt;&gt;"",COUNTIF('DADOS_MELHORIAS'!$O$2:$O$113,SUBSTITUTE(SUBSTITUTE(SUBSTITUTE($MZ22,"~","~~"),"*","~*"),"?","~?"))=0),"Melhoria não cadastrada ou com erro: "&amp;$MZ22,""),IF(AND($NA22&lt;&gt;"",COUNTIF('DADOS_MELHORIAS'!$O$2:$O$113,SUBSTITUTE(SUBSTITUTE(SUBSTITUTE($NA22,"~","~~"),"*","~*"),"?","~?"))=0),"Melhoria não cadastrada ou com erro: "&amp;$NA22,""),IF(AND($NB22&lt;&gt;"",COUNTIF('DADOS_RESTRICOES'!$M$2:$M$54,SUBSTITUTE(SUBSTITUTE(SUBSTITUTE($NB22,"~","~~"),"*","~*"),"?","~?"))=0),"Restrição não cadastrada ou com erro: "&amp;$NB22,""),IF(AND($NC22&lt;&gt;"",COUNTIF('DADOS_RESTRICOES'!$M$2:$M$54,SUBSTITUTE(SUBSTITUTE(SUBSTITUTE($NC22,"~","~~"),"*","~*"),"?","~?"))=0),"Restrição não cadastrada ou com erro: "&amp;$NC22,""))),IF(AND($MU22&lt;&gt;"",COUNTIF('DADOS_FORMAS'!$AH$2:$AH$21,SUBSTITUTE(SUBSTITUTE(SUBSTITUTE($MU22,"~","~~"),"*","~*"),"?","~?"))=0),"Forma não cadastrada ou com erro: "&amp;$MU22,""),IF(AND(IFERROR(INDEX('DADOS_FORMAS'!$AS$2:$AS$21,MATCH(SUBSTITUTE(SUBSTITUTE(SUBSTITUTE($MU22,"~","~~"),"*","~*"),"?","~?"),'DADOS_FORMAS'!$AH$2:$AH$21,0)),"")&lt;&gt;"",OR(IFERROR(VLOOKUP(SUBSTITUTE(SUBSTITUTE(SUBSTITUTE(IFERROR(INDEX('DADOS_FORMAS'!$AS$2:$AS$21,MATCH(SUBSTITUTE(SUBSTITUTE(SUBSTITUTE($MU22,"~","~~"),"*","~*"),"?","~?"),'DADOS_FORMAS'!$AH$2:$AH$21,0)),""),"~","~~"),"*","~*"),"?","~?"),'DADOS_RESTRICOES'!$M$2:$Q$54,2,FALSE),"")=$OK22,IFERROR(VLOOKUP(SUBSTITUTE(SUBSTITUTE(SUBSTITUTE(IFERROR(INDEX('DADOS_FORMAS'!$AS$2:$AS$21,MATCH(SUBSTITUTE(SUBSTITUTE(SUBSTITUTE($MU22,"~","~~"),"*","~*"),"?","~?"),'DADOS_FORMAS'!$AH$2:$AH$21,0)),""),"~","~~"),"*","~*"),"?","~?"),'DADOS_RESTRICOES'!$M$2:$Q$54,2,FALSE),"")=$OL22)),"Restrição repetida, contando a embutida",""),IF(IF(IFERROR(INDEX('DADOS_FORMAS'!$AS$2:$AS$21,MATCH(SUBSTITUTE(SUBSTITUTE(SUBSTITUTE($MU22,"~","~~"),"*","~*"),"?","~?"),'DADOS_FORMAS'!$AH$2:$AH$21,0)),"")="",0,IFERROR(N(VLOOKUP(SUBSTITUTE(SUBSTITUTE(SUBSTITUTE(IFERROR(INDEX('DADOS_FORMAS'!$AS$2:$AS$21,MATCH(SUBSTITUTE(SUBSTITUTE(SUBSTITUTE($MU22,"~","~~"),"*","~*"),"?","~?"),'DADOS_FORMAS'!$AH$2:$AH$21,0)),""),"~","~~"),"*","~*"),"?","~?"),'DADOS_RESTRICOES'!$M$2:$Q$54,4,FALSE)=1),0))+IF($NB22="",0,IFERROR(N(VLOOKUP(SUBSTITUTE(SUBSTITUTE(SUBSTITUTE($NB22,"~","~~"),"*","~*"),"?","~?"),'DADOS_RESTRICOES'!$M$2:$Q$54,4,FALSE)=1),0))+IF($NC22="",0,IFERROR(N(VLOOKUP(SUBSTITUTE(SUBSTITUTE(SUBSTITUTE($NC22,"~","~~"),"*","~*"),"?","~?"),'DADOS_RESTRICOES'!$M$2:$Q$54,4,FALSE)=1),0))&gt;1,"Duas Restrições de frequência, contando a embutida",""),IF(AND(IFERROR(VLOOKUP(SUBSTITUTE(SUBSTITUTE(SUBSTITUTE(IFERROR(INDEX('DADOS_FORMAS'!$AS$2:$AS$21,MATCH(SUBSTITUTE(SUBSTITUTE(SUBSTITUTE($MU22,"~","~~"),"*","~*"),"?","~?"),'DADOS_FORMAS'!$AH$2:$AH$21,0)),""),"~","~~"),"*","~*"),"?","~?"),'DADOS_RESTRICOES'!$M$2:$Q$54,2,FALSE),"")="Tudo ou Nada",$OH22=0),"Tudo ou Nada exige TR",""),IF(AND(IFERROR(VLOOKUP(SUBSTITUTE(SUBSTITUTE(SUBSTITUTE(IFERROR(INDEX('DADOS_FORMAS'!$AS$2:$AS$21,MATCH(SUBSTITUTE(SUBSTITUTE(SUBSTITUTE($MU22,"~","~~"),"*","~*"),"?","~?"),'DADOS_FORMAS'!$AH$2:$AH$21,0)),""),"~","~~"),"*","~*"),"?","~?"),'DADOS_RESTRICOES'!$M$2:$Q$54,2,FALSE),"")="Corpo a Corpo",OR($RO22="Cone",$RO22="Linha")),"Corpo a Corpo não entra em Cone/Linha","")))</f>
        <v/>
      </c>
      <c r="PU22" s="164">
        <f>IF($PT22="",0,(LEN($PT22)-LEN(SUBSTITUTE($PT22," · ","")))/3+1)</f>
        <v/>
      </c>
      <c r="PV22" s="164">
        <f>IF($ND22=0,"",TEXTJOIN(" · ",TRUE,IF($OX22&gt;2*$MS22,"A devolução parou no teto de "&amp;2*$MS22,""),IF($PA22&gt;0,"Devolução perdida: "&amp;$PA22&amp;IF($PA22&gt;1," pontos"," ponto")&amp;" sem Melhoria para pagar",""),IF(AND($OC22&gt;0,AND($MS22&gt;0,$OG22=0),$PD22=0),"Controle sem dano: uma rodada a mais e CD +2",""),IF(AND($OC22&gt;0,AND($MS22&gt;0,$OG22=0),$PD22&gt;0,$PD22&lt;=$MS22),"Controle com saldo até a Classe: uma rodada a mais",""),IF(AND($MS22&gt;0,$OE22&lt;&gt;""),"Efeito de "&amp;$OE22&amp;" pela Classe "&amp;MAX(1,$MS22-1),"")))</f>
        <v/>
      </c>
      <c r="PW22" s="164">
        <f>IF($PV22="",0,(LEN($PV22)-LEN(SUBSTITUTE($PV22," · ","")))/3+1)</f>
        <v/>
      </c>
      <c r="PX22" s="164">
        <f>IF($ND22=0,IF($OU22+COUNTIF($NB22:$NC22,"?*")&gt;0,"Dê um nome",""),IF($PU22&gt;0,"⚠ "&amp;$PU22&amp;IF($PU22&gt;1," erros"," erro"),IF($PW22&gt;0,"! "&amp;$PW22&amp;IF($PW22&gt;1," avisos"," aviso"),"Na regra")))</f>
        <v/>
      </c>
      <c r="PY22" s="164">
        <f>IF($ND22=0,"",IF($PU22+$PW22=0,"Dentro das regras que a ficha confere",$PT22&amp;IF(AND($PU22&gt;0,$PW22&gt;0)," · ","")&amp;$PV22))</f>
        <v/>
      </c>
      <c r="PZ22" s="164">
        <f>IF($MQ22&gt;$NE22,$MR22&amp;" · ABRE NO NÍVEL "&amp;$MQ22,$MR22)</f>
        <v/>
      </c>
      <c r="QA22" s="164">
        <f>IF($ND22=0,"",IF($MS22=0,"Sem PE",3*$MS22&amp;" PE"))</f>
        <v/>
      </c>
      <c r="QB22" s="164">
        <f>IF($ND22=0,"",IF($MS22=0,"A atuação básica dela",IF(COUNTIF($RQ22:$RS22,"Atrasar")&gt;0,"Sua Ação Completa",IF(COUNTIF($RK22:$RN22,"Rápido")&gt;0,"Sua Bônus",IF(COUNTIF($RK22:$RN22,"Reação")&gt;0,"Sua Reação","Sua Padrão")))&amp;" + a básica dela"&amp;IF(COUNTIF($RK22:$RN22,"Reação")&gt;0," e a coletiva","")&amp;IF(COUNTIF($RQ22:$RS22,"Carregar")&gt;0," · em dois turnos","")))</f>
        <v/>
      </c>
      <c r="QC22" s="164">
        <f>IF($MW22&lt;&gt;"",$MW22,IF($NJ22=0,"",INDEX('DADOS_FORMAS'!$GE$2:$GE$21,$NJ22)))</f>
        <v/>
      </c>
      <c r="QD22" s="164">
        <f>IF(OR($ND22=0,$NJ22=0),"",IF(COUNTIF($RK22:$RN22,"Inescapável")&gt;0,"Automático",IF($QC22="Ataque",IF($NH22="","Ataque","Ataque "&amp;IF(($NH22+2*IF(COUNTIF($RK22:$RN22,"Precisão")&gt;0,1,0))&gt;=0,"+","−")&amp;ABS(($NH22+2*IF(COUNTIF($RK22:$RN22,"Precisão")&gt;0,1,0))))&amp;IF($OD22&gt;0," · TR"&amp;IF($NI22="",""," CD "&amp;$NI22),""),IF(LEFT($QC22,2)="TR",$QC22&amp;IF($NI22="",""," · CD "&amp;$NI22)&amp;IF(COUNTIF($RK22:$RN22,"Certeiro")&gt;0," · metade",""),"Sem rolagem"))))</f>
        <v/>
      </c>
      <c r="QE22" s="164">
        <f>IF(OR($ND22=0,$NJ22=0),"",IF($MS22=0,IF(OR($OG22&gt;=1,$PD22=0),"Sem dano",$PD22&amp;"d6"&amp;IF($MV22="",""," "&amp;$MV22)),IF(OR($OG22&gt;=1,$PD22=0),UPPER(LEFT(INDEX($PM22:$PS22,1,MAX(1,$MS22)),1))&amp;MID(INDEX($PM22:$PS22,1,MAX(1,$MS22)),2,99),UPPER(LEFT(INDEX($PM22:$PS22,1,MAX(1,$MS22)),1))&amp;MID(INDEX($PM22:$PS22,1,MAX(1,$MS22)),2,99)&amp;IF($MV22="",""," "&amp;$MV22)&amp;IF($PE22&gt;0," · +"&amp;$PE22&amp;"d8",""))))</f>
        <v/>
      </c>
      <c r="QF22" s="164">
        <f>COUNTIF($RK22:$RN22,"Longe")+3*COUNTIF($RK22:$RN22,"Muito Longe")</f>
        <v/>
      </c>
      <c r="QG22" s="164">
        <f>COUNTIF($RK22:$RN22,"Maior")+3*COUNTIF($RK22:$RN22,"Muito Maior")</f>
        <v/>
      </c>
      <c r="QH22" s="164">
        <f>IF($NJ22=0,0,CHOOSE(1+INDEX('DADOS_FORMAS'!$GG$2:$GG$21,$NJ22),0,$QF22,$QG22,$QF22+$QG22))</f>
        <v/>
      </c>
      <c r="QI22" s="164">
        <f>IF($NJ22=0,0,CHOOSE(1+INDEX('DADOS_FORMAS'!$GH$2:$GH$21,$NJ22),0,$QF22,$QG22,$QF22+$QG22))</f>
        <v/>
      </c>
      <c r="QJ22" s="164">
        <f>IF(OR($ND22=0,$NJ22=0),"",INDEX('DADOS_FORMAS'!$HU$2:$HZ$81,($NJ22-1)*4+IF($MS22=0,1,IF($MS22&lt;=5,2,IF($MS22=6,3,4))),1+MIN(5,$QH22))&amp;INDEX('DADOS_FORMAS'!$IA$2:$IF$81,($NJ22-1)*4+IF($MS22=0,1,IF($MS22&lt;=5,2,IF($MS22=6,3,4))),1+MIN(5,$QI22))&amp;IF(INDEX('DADOS_FORMAS'!$GI$2:$GI$21,$NJ22)=1,IF(COUNTIF($RK22:$RN22,"Mais Um")&gt;0," · +"&amp;COUNTIF($RK22:$RN22,"Mais Um")&amp;IF(COUNTIF($RK22:$RN22,"Mais Um")&gt;1," alvos"," alvo"),"")&amp;IF(COUNTIF($RK22:$RN22,"Rajada")&gt;0,IF($MS22=0," · 1 tiro"," · "&amp;(MAX(1,$MS22-1)+1)&amp;" tiros"),""),""))</f>
        <v/>
      </c>
      <c r="QK22" s="164">
        <f>IF($ND22=0,"",IF($MS22=0,$NG22&amp;"d6"&amp;IF($OU22&gt;0," − 1 = "&amp;$PD22&amp;"d6"," da básica do nível "&amp;$NE22),$PB22&amp;" − "&amp;$OW22&amp;" + "&amp;$OZ22&amp;" = "&amp;$PC22&amp;" · teto "&amp;4*$MS22&amp;"d8"&amp;IF($OF22=1," · a Forma devolve "&amp;$MS22,"")&amp;IF($PA22&gt;0," · perde "&amp;$PA22,"")))</f>
        <v/>
      </c>
      <c r="QL22" s="164">
        <f>IF($ND22=0,"",IF($MS22=0,"A básica não amplia: os dados dela sobem com o nível",IF($MS22&gt;=$NF22,"Já está na maior Classe que o nível liberou",TEXTJOIN(" · ",TRUE,IF(AND(2&gt;$MS22,2&lt;=$NF22),"2 → "&amp;$PN22&amp;", 6 PE",""),IF(AND(3&gt;$MS22,3&lt;=$NF22),"3 → "&amp;$PO22&amp;", 9 PE",""),IF(AND(4&gt;$MS22,4&lt;=$NF22),"4 → "&amp;$PP22&amp;", 12 PE",""),IF(AND(5&gt;$MS22,5&lt;=$NF22),"5 → "&amp;$PQ22&amp;", 15 PE",""),IF(AND(6&gt;$MS22,6&lt;=$NF22),"6 → "&amp;$PR22&amp;", 18 PE",""),IF(AND(7&gt;$MS22,7&lt;=$NF22),"7 → "&amp;$PS22&amp;", 21 PE","")))))</f>
        <v/>
      </c>
      <c r="QM22" s="164">
        <f>IF(OR($ND22=0,$NO22=0),"",IF($MS22=0,"−1 dado","−"&amp;INDEX($I$2:$N$8,MAX(1,$MS22),MAX(1,$NT22))&amp;" · "&amp;CHOOSE(MAX(1,$NT22),"Leve","Média","Pesada","Leve · Livre","Média · Livre","Pesada · Livre")))</f>
        <v/>
      </c>
      <c r="QN22" s="164">
        <f>IF(OR($ND22=0,$NP22=0),"",IF($MS22=0,"−1 dado","−"&amp;INDEX($I$2:$N$8,MAX(1,$MS22),MAX(1,$NU22))&amp;" · "&amp;CHOOSE(MAX(1,$NU22),"Leve","Média","Pesada","Leve · Livre","Média · Livre","Pesada · Livre")))</f>
        <v/>
      </c>
      <c r="QO22" s="164">
        <f>IF(OR($ND22=0,$NQ22=0),"",IF($MS22=0,"−1 dado","−"&amp;INDEX($I$2:$N$8,MAX(1,$MS22),MAX(1,$NV22))&amp;" · "&amp;CHOOSE(MAX(1,$NV22),"Leve","Média","Pesada","Leve · Livre","Média · Livre","Pesada · Livre")))</f>
        <v/>
      </c>
      <c r="QP22" s="164">
        <f>IF(OR($ND22=0,$NR22=0),"",IF($MS22=0,"−1 dado","−"&amp;INDEX($I$2:$N$8,MAX(1,$MS22),MAX(1,$NW22))&amp;" · "&amp;CHOOSE(MAX(1,$NW22),"Leve","Média","Pesada","Leve · Livre","Média · Livre","Pesada · Livre")))</f>
        <v/>
      </c>
      <c r="QQ22" s="164">
        <f>IF(OR($ND22=0,$NB22=""),"",IF($MS22=0,"não devolve","+"&amp;IF($OI22=1,CEILING($MS22/2,1),$MS22)))</f>
        <v/>
      </c>
      <c r="QR22" s="164">
        <f>IF(OR($ND22=0,$NC22=""),"",IF($MS22=0,"não devolve","+"&amp;IF($OJ22=1,CEILING($MS22/2,1),$MS22)))</f>
        <v/>
      </c>
      <c r="RK22">
        <f>IF($MX22="","",IFERROR(VLOOKUP(SUBSTITUTE(SUBSTITUTE(SUBSTITUTE($MX22,"~","~~"),"*","~*"),"?","~?"),'DADOS_MELHORIAS'!$O$2:$X$113,10,FALSE),$MX22))</f>
        <v/>
      </c>
      <c r="RL22">
        <f>IF($MY22="","",IFERROR(VLOOKUP(SUBSTITUTE(SUBSTITUTE(SUBSTITUTE($MY22,"~","~~"),"*","~*"),"?","~?"),'DADOS_MELHORIAS'!$O$2:$X$113,10,FALSE),$MY22))</f>
        <v/>
      </c>
      <c r="RM22">
        <f>IF($MZ22="","",IFERROR(VLOOKUP(SUBSTITUTE(SUBSTITUTE(SUBSTITUTE($MZ22,"~","~~"),"*","~*"),"?","~?"),'DADOS_MELHORIAS'!$O$2:$X$113,10,FALSE),$MZ22))</f>
        <v/>
      </c>
      <c r="RN22">
        <f>IF($NA22="","",IFERROR(VLOOKUP(SUBSTITUTE(SUBSTITUTE(SUBSTITUTE($NA22,"~","~~"),"*","~*"),"?","~?"),'DADOS_MELHORIAS'!$O$2:$X$113,10,FALSE),$NA22))</f>
        <v/>
      </c>
      <c r="RO22">
        <f>IFERROR(INDEX('DADOS_FORMAS'!$BJ$2:$BJ$21,MATCH(SUBSTITUTE(SUBSTITUTE(SUBSTITUTE($MU22,"~","~~"),"*","~*"),"?","~?"),'DADOS_FORMAS'!$AH$2:$AH$21,0)),"")</f>
        <v/>
      </c>
      <c r="RP22">
        <f>IFERROR(VLOOKUP(SUBSTITUTE(SUBSTITUTE(SUBSTITUTE(IFERROR(INDEX('DADOS_FORMAS'!$AS$2:$AS$21,MATCH(SUBSTITUTE(SUBSTITUTE(SUBSTITUTE($MU22,"~","~~"),"*","~*"),"?","~?"),'DADOS_FORMAS'!$AH$2:$AH$21,0)),""),"~","~~"),"*","~*"),"?","~?"),'DADOS_RESTRICOES'!$M$2:$Q$54,2,FALSE),"")</f>
        <v/>
      </c>
      <c r="RQ22">
        <f>$OK22</f>
        <v/>
      </c>
      <c r="RR22">
        <f>$OL22</f>
        <v/>
      </c>
      <c r="RS22">
        <f>$RP22</f>
        <v/>
      </c>
    </row>
    <row r="23">
      <c r="AH23" s="162" t="inlineStr">
        <is>
          <t>Linha · classes 1 a 5</t>
        </is>
      </c>
      <c r="AI23" s="162" t="inlineStr">
        <is>
          <t>Linha de 18 m por 1,5 m</t>
        </is>
      </c>
      <c r="AJ23" s="162" t="inlineStr">
        <is>
          <t>Linha de 30 m por 1,5 m</t>
        </is>
      </c>
      <c r="AK23" s="162" t="inlineStr">
        <is>
          <t>Linha de 60 m por 1,5 m</t>
        </is>
      </c>
      <c r="AL23" s="162" t="inlineStr">
        <is>
          <t>Linha de 60 m por 1,5 m</t>
        </is>
      </c>
      <c r="AM23" s="162" t="inlineStr">
        <is>
          <t>Linha de 60 m por 1,5 m</t>
        </is>
      </c>
      <c r="AN23" s="162" t="inlineStr">
        <is>
          <t>Linha de 60 m por 1,5 m</t>
        </is>
      </c>
      <c r="AO23" s="162" t="inlineStr"/>
      <c r="AP23" s="162" t="inlineStr"/>
      <c r="AQ23" s="162" t="inlineStr"/>
      <c r="AR23" s="162" t="inlineStr"/>
      <c r="AS23" s="162" t="inlineStr"/>
      <c r="AT23" s="162" t="inlineStr"/>
      <c r="AV23" s="162" t="inlineStr">
        <is>
          <t>Toca a Alma</t>
        </is>
      </c>
      <c r="AW23" s="162" t="inlineStr">
        <is>
          <t>Mira</t>
        </is>
      </c>
      <c r="AX23" s="164" t="n">
        <v>1</v>
      </c>
      <c r="AY23" s="164" t="n">
        <v>0</v>
      </c>
      <c r="AZ23" s="164" t="n">
        <v>0</v>
      </c>
      <c r="BA23" s="164" t="n">
        <v>0</v>
      </c>
      <c r="BC23" s="162" t="inlineStr">
        <is>
          <t>Restrição Própria (Leve)</t>
        </is>
      </c>
      <c r="BD23" s="162" t="inlineStr">
        <is>
          <t>Restrição Própria</t>
        </is>
      </c>
      <c r="BE23" s="164" t="n">
        <v>1</v>
      </c>
      <c r="BF23" s="164" t="n">
        <v>0</v>
      </c>
      <c r="BG23" s="162" t="inlineStr">
        <is>
          <t>Restrição Própria (Leve)</t>
        </is>
      </c>
      <c r="CC23" s="162" t="inlineStr">
        <is>
          <t>Atuação</t>
        </is>
      </c>
      <c r="CD23" s="162" t="inlineStr">
        <is>
          <t>Essência</t>
        </is>
      </c>
      <c r="JT23" s="164">
        <f>IF(OR($AW23="",(COUNTIF($EL$2:$EP$2,$AW23)+COUNTIF($QV$2:$QY$2,$AW23))&gt;0),$AV23,"")</f>
        <v/>
      </c>
      <c r="JU23" s="164">
        <f>IF(AND($AX23=1,OR($AW23="",(COUNTIF($EL$2:$EP$2,$AW23)+COUNTIF($QV$2:$QY$2,$AW23))&gt;0)),$AV23,"")</f>
        <v/>
      </c>
      <c r="JZ23" s="164">
        <f>IF(OR($AW23="",(COUNTIF($EL$3:$EP$3,$AW23)+COUNTIF($QV$3:$QY$3,$AW23))&gt;0),$AV23,"")</f>
        <v/>
      </c>
      <c r="KA23" s="164">
        <f>IF(AND($AX23=1,OR($AW23="",(COUNTIF($EL$3:$EP$3,$AW23)+COUNTIF($QV$3:$QY$3,$AW23))&gt;0)),$AV23,"")</f>
        <v/>
      </c>
      <c r="KF23" s="164">
        <f>IF(OR($AW23="",(COUNTIF($EL$4:$EP$4,$AW23)+COUNTIF($QV$4:$QY$4,$AW23))&gt;0),$AV23,"")</f>
        <v/>
      </c>
      <c r="KG23" s="164">
        <f>IF(AND($AX23=1,OR($AW23="",(COUNTIF($EL$4:$EP$4,$AW23)+COUNTIF($QV$4:$QY$4,$AW23))&gt;0)),$AV23,"")</f>
        <v/>
      </c>
      <c r="KL23" s="164">
        <f>IF(OR($AW23="",(COUNTIF($EL$5:$EP$5,$AW23)+COUNTIF($QV$5:$QY$5,$AW23))&gt;0),$AV23,"")</f>
        <v/>
      </c>
      <c r="KM23" s="164">
        <f>IF(AND($AX23=1,OR($AW23="",(COUNTIF($EL$5:$EP$5,$AW23)+COUNTIF($QV$5:$QY$5,$AW23))&gt;0)),$AV23,"")</f>
        <v/>
      </c>
      <c r="KR23" s="164">
        <f>IF(OR($AW23="",(COUNTIF($EL$6:$EP$6,$AW23)+COUNTIF($QV$6:$QY$6,$AW23))&gt;0),$AV23,"")</f>
        <v/>
      </c>
      <c r="KS23" s="164">
        <f>IF(AND($AX23=1,OR($AW23="",(COUNTIF($EL$6:$EP$6,$AW23)+COUNTIF($QV$6:$QY$6,$AW23))&gt;0)),$AV23,"")</f>
        <v/>
      </c>
      <c r="KX23" s="164">
        <f>IF(OR($AW23="",(COUNTIF($EL$7:$EP$7,$AW23)+COUNTIF($QV$7:$QY$7,$AW23))&gt;0),$AV23,"")</f>
        <v/>
      </c>
      <c r="KY23" s="164">
        <f>IF(AND($AX23=1,OR($AW23="",(COUNTIF($EL$7:$EP$7,$AW23)+COUNTIF($QV$7:$QY$7,$AW23))&gt;0)),$AV23,"")</f>
        <v/>
      </c>
      <c r="LD23" s="164">
        <f>IF(OR($AW23="",(COUNTIF($EL$8:$EP$8,$AW23)+COUNTIF($QV$8:$QY$8,$AW23))&gt;0),$AV23,"")</f>
        <v/>
      </c>
      <c r="LE23" s="164">
        <f>IF(AND($AX23=1,OR($AW23="",(COUNTIF($EL$8:$EP$8,$AW23)+COUNTIF($QV$8:$QY$8,$AW23))&gt;0)),$AV23,"")</f>
        <v/>
      </c>
      <c r="LJ23" s="164">
        <f>IF(OR($AW23="",(COUNTIF($EL$9:$EP$9,$AW23)+COUNTIF($QV$9:$QY$9,$AW23))&gt;0),$AV23,"")</f>
        <v/>
      </c>
      <c r="LK23" s="164">
        <f>IF(AND($AX23=1,OR($AW23="",(COUNTIF($EL$9:$EP$9,$AW23)+COUNTIF($QV$9:$QY$9,$AW23))&gt;0)),$AV23,"")</f>
        <v/>
      </c>
      <c r="LP23" s="164">
        <f>IF(OR($AW23="",(COUNTIF($EL$10:$EP$10,$AW23)+COUNTIF($QV$10:$QY$10,$AW23))&gt;0),$AV23,"")</f>
        <v/>
      </c>
      <c r="LQ23" s="164">
        <f>IF(AND($AX23=1,OR($AW23="",(COUNTIF($EL$10:$EP$10,$AW23)+COUNTIF($QV$10:$QY$10,$AW23))&gt;0)),$AV23,"")</f>
        <v/>
      </c>
      <c r="LV23" s="164">
        <f>IF(OR($AW23="",(COUNTIF($EL$11:$EP$11,$AW23)+COUNTIF($QV$11:$QY$11,$AW23))&gt;0),$AV23,"")</f>
        <v/>
      </c>
      <c r="LW23" s="164">
        <f>IF(AND($AX23=1,OR($AW23="",(COUNTIF($EL$11:$EP$11,$AW23)+COUNTIF($QV$11:$QY$11,$AW23))&gt;0)),$AV23,"")</f>
        <v/>
      </c>
      <c r="MB23" s="164">
        <f>IF(OR($AW23="",(COUNTIF($EL$12:$EP$12,$AW23)+COUNTIF($QV$12:$QY$12,$AW23))&gt;0),$AV23,"")</f>
        <v/>
      </c>
      <c r="MC23" s="164">
        <f>IF(AND($AX23=1,OR($AW23="",(COUNTIF($EL$12:$EP$12,$AW23)+COUNTIF($QV$12:$QY$12,$AW23))&gt;0)),$AV23,"")</f>
        <v/>
      </c>
      <c r="MH23" s="164">
        <f>IF(OR($AW23="",(COUNTIF($EL$13:$EP$13,$AW23)+COUNTIF($QV$13:$QY$13,$AW23))&gt;0),$AV23,"")</f>
        <v/>
      </c>
      <c r="MI23" s="164">
        <f>IF(AND($AX23=1,OR($AW23="",(COUNTIF($EL$13:$EP$13,$AW23)+COUNTIF($QV$13:$QY$13,$AW23))&gt;0)),$AV23,"")</f>
        <v/>
      </c>
      <c r="MN23" s="162" t="inlineStr">
        <is>
          <t>Ficha 2 · Especial 7</t>
        </is>
      </c>
      <c r="MO23" s="164" t="n">
        <v>2</v>
      </c>
      <c r="MP23" s="164" t="n">
        <v>1</v>
      </c>
      <c r="MQ23" s="164" t="n">
        <v>24</v>
      </c>
      <c r="MR23" s="162" t="inlineStr">
        <is>
          <t>ESPECIAL 7</t>
        </is>
      </c>
      <c r="MS23" s="164">
        <f>MAX(1,MIN(7,N('INVOCAÇÕES'!$U$338)))</f>
        <v/>
      </c>
      <c r="MT23" s="164">
        <f>'INVOCAÇÕES'!$V$338&amp;""</f>
        <v/>
      </c>
      <c r="MU23" s="164">
        <f>'INVOCAÇÕES'!$U$343&amp;""</f>
        <v/>
      </c>
      <c r="MV23" s="164">
        <f>'INVOCAÇÕES'!$U$344&amp;""</f>
        <v/>
      </c>
      <c r="MW23" s="164">
        <f>'INVOCAÇÕES'!$W$344&amp;""</f>
        <v/>
      </c>
      <c r="MX23" s="164">
        <f>'INVOCAÇÕES'!$V$347&amp;""</f>
        <v/>
      </c>
      <c r="MY23" s="164">
        <f>'INVOCAÇÕES'!$V$348&amp;""</f>
        <v/>
      </c>
      <c r="MZ23" s="164">
        <f>'INVOCAÇÕES'!$V$349&amp;""</f>
        <v/>
      </c>
      <c r="NA23" s="164">
        <f>'INVOCAÇÕES'!$V$350&amp;""</f>
        <v/>
      </c>
      <c r="NB23" s="164">
        <f>'INVOCAÇÕES'!$V$351&amp;""</f>
        <v/>
      </c>
      <c r="NC23" s="164">
        <f>'INVOCAÇÕES'!$V$352&amp;""</f>
        <v/>
      </c>
      <c r="ND23" s="164">
        <f>IF($MT23&lt;&gt;"",1,0)</f>
        <v/>
      </c>
      <c r="NE23" s="164">
        <f>INDEX($FO$2:$FO$13,$MO23)</f>
        <v/>
      </c>
      <c r="NF23" s="164">
        <f>INDEX($FP$2:$FP$13,$MO23)</f>
        <v/>
      </c>
      <c r="NG23" s="164">
        <f>INDEX($FQ$2:$FQ$13,$MO23)</f>
        <v/>
      </c>
      <c r="NH23" s="164">
        <f>INDEX($GB$2:$GB$13,$MO23)</f>
        <v/>
      </c>
      <c r="NI23" s="164">
        <f>INDEX($GC$2:$GC$13,$MO23)</f>
        <v/>
      </c>
      <c r="NJ23" s="164">
        <f>IFERROR(MATCH(SUBSTITUTE(SUBSTITUTE(SUBSTITUTE($MU23,"~","~~"),"*","~*"),"?","~?"),'DADOS_FORMAS'!$FZ$2:$FZ$21,0),0)</f>
        <v/>
      </c>
      <c r="NK23" s="164">
        <f>IFERROR(VLOOKUP(SUBSTITUTE(SUBSTITUTE(SUBSTITUTE($MX23,"~","~~"),"*","~*"),"?","~?"),'DADOS_MELHORIAS'!$AG$2:$AL$113,2,FALSE),"")</f>
        <v/>
      </c>
      <c r="NL23" s="164">
        <f>IFERROR(VLOOKUP(SUBSTITUTE(SUBSTITUTE(SUBSTITUTE($MY23,"~","~~"),"*","~*"),"?","~?"),'DADOS_MELHORIAS'!$AG$2:$AL$113,2,FALSE),"")</f>
        <v/>
      </c>
      <c r="NM23" s="164">
        <f>IFERROR(VLOOKUP(SUBSTITUTE(SUBSTITUTE(SUBSTITUTE($MZ23,"~","~~"),"*","~*"),"?","~?"),'DADOS_MELHORIAS'!$AG$2:$AL$113,2,FALSE),"")</f>
        <v/>
      </c>
      <c r="NN23" s="164">
        <f>IFERROR(VLOOKUP(SUBSTITUTE(SUBSTITUTE(SUBSTITUTE($NA23,"~","~~"),"*","~*"),"?","~?"),'DADOS_MELHORIAS'!$AG$2:$AL$113,2,FALSE),"")</f>
        <v/>
      </c>
      <c r="NO23" s="164">
        <f>IFERROR(VLOOKUP(SUBSTITUTE(SUBSTITUTE(SUBSTITUTE($MX23,"~","~~"),"*","~*"),"?","~?"),'DADOS_MELHORIAS'!$AG$2:$AL$113,3,FALSE),0)</f>
        <v/>
      </c>
      <c r="NP23" s="164">
        <f>IFERROR(VLOOKUP(SUBSTITUTE(SUBSTITUTE(SUBSTITUTE($MY23,"~","~~"),"*","~*"),"?","~?"),'DADOS_MELHORIAS'!$AG$2:$AL$113,3,FALSE),0)</f>
        <v/>
      </c>
      <c r="NQ23" s="164">
        <f>IFERROR(VLOOKUP(SUBSTITUTE(SUBSTITUTE(SUBSTITUTE($MZ23,"~","~~"),"*","~*"),"?","~?"),'DADOS_MELHORIAS'!$AG$2:$AL$113,3,FALSE),0)</f>
        <v/>
      </c>
      <c r="NR23" s="164">
        <f>IFERROR(VLOOKUP(SUBSTITUTE(SUBSTITUTE(SUBSTITUTE($NA23,"~","~~"),"*","~*"),"?","~?"),'DADOS_MELHORIAS'!$AG$2:$AL$113,3,FALSE),0)</f>
        <v/>
      </c>
      <c r="NS23" s="164">
        <f>IF($MS23=0,0,IF($NJ23=0,0,INDEX('DADOS_FORMAS'!$GB$2:$GB$21,$NJ23)))</f>
        <v/>
      </c>
      <c r="NT23" s="164">
        <f>IF(OR($NO23=0,$MS23=0),0,$NO23+3*IF(AND($NK23&lt;&gt;"",COUNTIF(INDEX($RB$2:$RJ$13,$MO23,0),$NK23)&gt;0),1,0))</f>
        <v/>
      </c>
      <c r="NU23" s="164">
        <f>IF(OR($NP23=0,$MS23=0),0,$NP23+3*IF(AND($NL23&lt;&gt;"",COUNTIF(INDEX($RB$2:$RJ$13,$MO23,0),$NL23)&gt;0),1,0))</f>
        <v/>
      </c>
      <c r="NV23" s="164">
        <f>IF(OR($NQ23=0,$MS23=0),0,$NQ23+3*IF(AND($NM23&lt;&gt;"",COUNTIF(INDEX($RB$2:$RJ$13,$MO23,0),$NM23)&gt;0),1,0))</f>
        <v/>
      </c>
      <c r="NW23" s="164">
        <f>IF(OR($NR23=0,$MS23=0),0,$NR23+3*IF(AND($NN23&lt;&gt;"",COUNTIF(INDEX($RB$2:$RJ$13,$MO23,0),$NN23)&gt;0),1,0))</f>
        <v/>
      </c>
      <c r="NX23" s="164">
        <f>IF($NJ23=0,0,IF(INDEX('DADOS_FORMAS'!$GA$2:$GA$21,$NJ23)="",0,IF((COUNTIF(INDEX($EL$2:$EP$13,$MO23,0),INDEX('DADOS_FORMAS'!$GA$2:$GA$21,$NJ23))+COUNTIF(INDEX($QV$2:$QY$13,$MO23,0),INDEX('DADOS_FORMAS'!$GA$2:$GA$21,$NJ23)))=0,1,0)))</f>
        <v/>
      </c>
      <c r="NY23" s="164">
        <f>IF(OR($NO23=0,$NK23=""),0,IF((COUNTIF(INDEX($EL$2:$EP$13,$MO23,0),$NK23)+COUNTIF(INDEX($QV$2:$QY$13,$MO23,0),$NK23))=0,1,0))</f>
        <v/>
      </c>
      <c r="NZ23" s="164">
        <f>IF(OR($NP23=0,$NL23=""),0,IF((COUNTIF(INDEX($EL$2:$EP$13,$MO23,0),$NL23)+COUNTIF(INDEX($QV$2:$QY$13,$MO23,0),$NL23))=0,1,0))</f>
        <v/>
      </c>
      <c r="OA23" s="164">
        <f>IF(OR($NQ23=0,$NM23=""),0,IF((COUNTIF(INDEX($EL$2:$EP$13,$MO23,0),$NM23)+COUNTIF(INDEX($QV$2:$QY$13,$MO23,0),$NM23))=0,1,0))</f>
        <v/>
      </c>
      <c r="OB23" s="164">
        <f>IF(OR($NR23=0,$NN23=""),0,IF((COUNTIF(INDEX($EL$2:$EP$13,$MO23,0),$NN23)+COUNTIF(INDEX($QV$2:$QY$13,$MO23,0),$NN23))=0,1,0))</f>
        <v/>
      </c>
      <c r="OC23" s="164">
        <f>IFERROR(VLOOKUP(SUBSTITUTE(SUBSTITUTE(SUBSTITUTE($MX23,"~","~~"),"*","~*"),"?","~?"),'DADOS_MELHORIAS'!$AG$2:$AL$113,4,FALSE),0)+IFERROR(VLOOKUP(SUBSTITUTE(SUBSTITUTE(SUBSTITUTE($MY23,"~","~~"),"*","~*"),"?","~?"),'DADOS_MELHORIAS'!$AG$2:$AL$113,4,FALSE),0)+IFERROR(VLOOKUP(SUBSTITUTE(SUBSTITUTE(SUBSTITUTE($MZ23,"~","~~"),"*","~*"),"?","~?"),'DADOS_MELHORIAS'!$AG$2:$AL$113,4,FALSE),0)+IFERROR(VLOOKUP(SUBSTITUTE(SUBSTITUTE(SUBSTITUTE($NA23,"~","~~"),"*","~*"),"?","~?"),'DADOS_MELHORIAS'!$AG$2:$AL$113,4,FALSE),0)</f>
        <v/>
      </c>
      <c r="OD23" s="164">
        <f>IFERROR(VLOOKUP(SUBSTITUTE(SUBSTITUTE(SUBSTITUTE($MX23,"~","~~"),"*","~*"),"?","~?"),'DADOS_MELHORIAS'!$AG$2:$AL$113,6,FALSE),0)+IFERROR(VLOOKUP(SUBSTITUTE(SUBSTITUTE(SUBSTITUTE($MY23,"~","~~"),"*","~*"),"?","~?"),'DADOS_MELHORIAS'!$AG$2:$AL$113,6,FALSE),0)+IFERROR(VLOOKUP(SUBSTITUTE(SUBSTITUTE(SUBSTITUTE($MZ23,"~","~~"),"*","~*"),"?","~?"),'DADOS_MELHORIAS'!$AG$2:$AL$113,6,FALSE),0)+IFERROR(VLOOKUP(SUBSTITUTE(SUBSTITUTE(SUBSTITUTE($NA23,"~","~~"),"*","~*"),"?","~?"),'DADOS_MELHORIAS'!$AG$2:$AL$113,6,FALSE),0)+IFERROR(N(AND(INDEX('DADOS_FORMAS'!$AO$2:$AO$21,MATCH(SUBSTITUTE(SUBSTITUTE(SUBSTITUTE($MU23,"~","~~"),"*","~*"),"?","~?"),'DADOS_FORMAS'!$AH$2:$AH$21,0))="Acerto",$OH23=1)),0)</f>
        <v/>
      </c>
      <c r="OE23" s="164">
        <f>TEXTJOIN(", ",TRUE,IF(IFERROR(VLOOKUP(SUBSTITUTE(SUBSTITUTE(SUBSTITUTE($MX23,"~","~~"),"*","~*"),"?","~?"),'DADOS_MELHORIAS'!$AG$2:$AL$113,5,FALSE),0)=1,$MX23,""),IF(IFERROR(VLOOKUP(SUBSTITUTE(SUBSTITUTE(SUBSTITUTE($MY23,"~","~~"),"*","~*"),"?","~?"),'DADOS_MELHORIAS'!$AG$2:$AL$113,5,FALSE),0)=1,$MY23,""),IF(IFERROR(VLOOKUP(SUBSTITUTE(SUBSTITUTE(SUBSTITUTE($MZ23,"~","~~"),"*","~*"),"?","~?"),'DADOS_MELHORIAS'!$AG$2:$AL$113,5,FALSE),0)=1,$MZ23,""),IF(IFERROR(VLOOKUP(SUBSTITUTE(SUBSTITUTE(SUBSTITUTE($NA23,"~","~~"),"*","~*"),"?","~?"),'DADOS_MELHORIAS'!$AG$2:$AL$113,5,FALSE),0)=1,$NA23,""))</f>
        <v/>
      </c>
      <c r="OF23" s="164">
        <f>IF($NJ23=0,0,INDEX('DADOS_FORMAS'!$GC$2:$GC$21,$NJ23))</f>
        <v/>
      </c>
      <c r="OG23" s="164">
        <f>IF($NJ23=0,0,INDEX('DADOS_FORMAS'!$GD$2:$GD$21,$NJ23))</f>
        <v/>
      </c>
      <c r="OH23" s="164">
        <f>IF($NJ23=0,0,INDEX('DADOS_FORMAS'!$GF$2:$GF$21,$NJ23))</f>
        <v/>
      </c>
      <c r="OI23" s="164">
        <f>IFERROR(VLOOKUP(SUBSTITUTE(SUBSTITUTE(SUBSTITUTE($NB23,"~","~~"),"*","~*"),"?","~?"),'DADOS_RESTRICOES'!$M$2:$Q$54,3,FALSE),0)</f>
        <v/>
      </c>
      <c r="OJ23" s="164">
        <f>IFERROR(VLOOKUP(SUBSTITUTE(SUBSTITUTE(SUBSTITUTE($NC23,"~","~~"),"*","~*"),"?","~?"),'DADOS_RESTRICOES'!$M$2:$Q$54,3,FALSE),0)</f>
        <v/>
      </c>
      <c r="OK23" s="164">
        <f>IFERROR(VLOOKUP(SUBSTITUTE(SUBSTITUTE(SUBSTITUTE($NB23,"~","~~"),"*","~*"),"?","~?"),'DADOS_RESTRICOES'!$M$2:$Q$54,2,FALSE),"")</f>
        <v/>
      </c>
      <c r="OL23" s="164">
        <f>IFERROR(VLOOKUP(SUBSTITUTE(SUBSTITUTE(SUBSTITUTE($NC23,"~","~~"),"*","~*"),"?","~?"),'DADOS_RESTRICOES'!$M$2:$Q$54,2,FALSE),"")</f>
        <v/>
      </c>
      <c r="OM23" s="164">
        <f>COUNTIF($NS23:$NW23,1)</f>
        <v/>
      </c>
      <c r="ON23" s="164">
        <f>COUNTIF($NS23:$NW23,2)</f>
        <v/>
      </c>
      <c r="OO23" s="164">
        <f>COUNTIF($NS23:$NW23,3)</f>
        <v/>
      </c>
      <c r="OP23" s="164">
        <f>COUNTIF($NS23:$NW23,4)</f>
        <v/>
      </c>
      <c r="OQ23" s="164">
        <f>COUNTIF($NS23:$NW23,5)</f>
        <v/>
      </c>
      <c r="OR23" s="164">
        <f>COUNTIF($NS23:$NW23,6)</f>
        <v/>
      </c>
      <c r="OS23" s="164">
        <f>COUNTIF($OI23:$OJ23,1)+IF(IFERROR(INDEX('DADOS_FORMAS'!$AS$2:$AS$21,MATCH(SUBSTITUTE(SUBSTITUTE(SUBSTITUTE($MU23,"~","~~"),"*","~*"),"?","~?"),'DADOS_FORMAS'!$AH$2:$AH$21,0)),"")="",0,IFERROR(N(VLOOKUP(SUBSTITUTE(SUBSTITUTE(SUBSTITUTE(IFERROR(INDEX('DADOS_FORMAS'!$AS$2:$AS$21,MATCH(SUBSTITUTE(SUBSTITUTE(SUBSTITUTE($MU23,"~","~~"),"*","~*"),"?","~?"),'DADOS_FORMAS'!$AH$2:$AH$21,0)),""),"~","~~"),"*","~*"),"?","~?"),'DADOS_RESTRICOES'!$M$2:$Q$54,3,FALSE)=1),0))</f>
        <v/>
      </c>
      <c r="OT23" s="164">
        <f>COUNTIF($OI23:$OJ23,2)+IF(IFERROR(INDEX('DADOS_FORMAS'!$AS$2:$AS$21,MATCH(SUBSTITUTE(SUBSTITUTE(SUBSTITUTE($MU23,"~","~~"),"*","~*"),"?","~?"),'DADOS_FORMAS'!$AH$2:$AH$21,0)),"")="",0,IFERROR(N(VLOOKUP(SUBSTITUTE(SUBSTITUTE(SUBSTITUTE(IFERROR(INDEX('DADOS_FORMAS'!$AS$2:$AS$21,MATCH(SUBSTITUTE(SUBSTITUTE(SUBSTITUTE($MU23,"~","~~"),"*","~*"),"?","~?"),'DADOS_FORMAS'!$AH$2:$AH$21,0)),""),"~","~~"),"*","~*"),"?","~?"),'DADOS_RESTRICOES'!$M$2:$Q$54,3,FALSE)=2),0))</f>
        <v/>
      </c>
      <c r="OU23" s="164">
        <f>COUNTIF($MX23:$NA23,"?*")</f>
        <v/>
      </c>
      <c r="OV23" s="164">
        <f>COUNTIF($NB23:$NC23,"?*")+$OF23</f>
        <v/>
      </c>
      <c r="OW23" s="164">
        <f>IF($MS23=0,0,SUMPRODUCT($OM23:$OR23,INDEX($I$2:$N$8,MAX(1,$MS23),0)))</f>
        <v/>
      </c>
      <c r="OX23" s="164">
        <f>IF($MS23=0,0,$OS23*CEILING($MS23/2,1)+$OT23*$MS23)</f>
        <v/>
      </c>
      <c r="OY23" s="164">
        <f>MIN(2*$MS23,$OX23)</f>
        <v/>
      </c>
      <c r="OZ23" s="164">
        <f>MIN($OY23,$OW23-IF($NS23=0,0,INDEX($I$2:$N$8,MAX(1,$MS23),$NS23)))</f>
        <v/>
      </c>
      <c r="PA23" s="164">
        <f>$OY23-$OZ23</f>
        <v/>
      </c>
      <c r="PB23" s="164">
        <f>IF($MS23=0,0,INDEX($P$2:$P$8,MAX(1,$MS23)))</f>
        <v/>
      </c>
      <c r="PC23" s="164">
        <f>$PB23-$OW23+$OZ23</f>
        <v/>
      </c>
      <c r="PD23" s="164">
        <f>IF($MS23=0,MAX(0,$NG23-IF(AND($OU23&gt;0,COUNTIF($NB23:$NC23,"?*")=0),1,0)),MAX(0,$PC23))</f>
        <v/>
      </c>
      <c r="PE23" s="164">
        <f>IF($MS23=0,0,(IF(COUNTIF($RK23:$RN23,"Salto")&gt;0,1,0)+IF(COUNTIF($RK23:$RN23,"Queima")&gt;0,1,0)+IF(COUNTIF($RK23:$RN23,"Estilhaço")&gt;0,1,0))*FLOOR($PD23/2,1))</f>
        <v/>
      </c>
      <c r="PF23" s="164">
        <f>MAX(0,2-SUMPRODUCT($OM23:$OR23,$I$2:$N$2)+MIN(2,$OS23*1+$OT23*1,SUMPRODUCT($OM23:$OR23,$I$2:$N$2)-IF($NS23=0,0,INDEX($I$2:$N$2,1,$NS23))))</f>
        <v/>
      </c>
      <c r="PG23" s="164">
        <f>MAX(0,4-SUMPRODUCT($OM23:$OR23,$I$3:$N$3)+MIN(4,$OS23*1+$OT23*2,SUMPRODUCT($OM23:$OR23,$I$3:$N$3)-IF($NS23=0,0,INDEX($I$3:$N$3,1,$NS23))))</f>
        <v/>
      </c>
      <c r="PH23" s="164">
        <f>MAX(0,6-SUMPRODUCT($OM23:$OR23,$I$4:$N$4)+MIN(6,$OS23*2+$OT23*3,SUMPRODUCT($OM23:$OR23,$I$4:$N$4)-IF($NS23=0,0,INDEX($I$4:$N$4,1,$NS23))))</f>
        <v/>
      </c>
      <c r="PI23" s="164">
        <f>MAX(0,9-SUMPRODUCT($OM23:$OR23,$I$5:$N$5)+MIN(8,$OS23*2+$OT23*4,SUMPRODUCT($OM23:$OR23,$I$5:$N$5)-IF($NS23=0,0,INDEX($I$5:$N$5,1,$NS23))))</f>
        <v/>
      </c>
      <c r="PJ23" s="164">
        <f>MAX(0,11-SUMPRODUCT($OM23:$OR23,$I$6:$N$6)+MIN(10,$OS23*3+$OT23*5,SUMPRODUCT($OM23:$OR23,$I$6:$N$6)-IF($NS23=0,0,INDEX($I$6:$N$6,1,$NS23))))</f>
        <v/>
      </c>
      <c r="PK23" s="164">
        <f>MAX(0,13-SUMPRODUCT($OM23:$OR23,$I$7:$N$7)+MIN(12,$OS23*3+$OT23*6,SUMPRODUCT($OM23:$OR23,$I$7:$N$7)-IF($NS23=0,0,INDEX($I$7:$N$7,1,$NS23))))</f>
        <v/>
      </c>
      <c r="PL23" s="164">
        <f>MAX(0,16-SUMPRODUCT($OM23:$OR23,$I$8:$N$8)+MIN(14,$OS23*4+$OT23*7,SUMPRODUCT($OM23:$OR23,$I$8:$N$8)-IF($NS23=0,0,INDEX($I$8:$N$8,1,$NS23))))</f>
        <v/>
      </c>
      <c r="PM23" s="164">
        <f>IF($OG23=2,3*$PF23&amp;" de vida temp.",IF($OG23=3,"sem dano",IF($PF23=0,IF($OG23=1,"sem cura","sem dano"),IF($OG23=1,"cura ","")&amp;$PF23&amp;"d8")))</f>
        <v/>
      </c>
      <c r="PN23" s="164">
        <f>IF($OG23=2,3*$PG23&amp;" de vida temp.",IF($OG23=3,"sem dano",IF($PG23=0,IF($OG23=1,"sem cura","sem dano"),IF($OG23=1,"cura ","")&amp;$PG23&amp;"d8")))</f>
        <v/>
      </c>
      <c r="PO23" s="164">
        <f>IF($OG23=2,3*$PH23&amp;" de vida temp.",IF($OG23=3,"sem dano",IF($PH23=0,IF($OG23=1,"sem cura","sem dano"),IF($OG23=1,"cura ","")&amp;$PH23&amp;"d8")))</f>
        <v/>
      </c>
      <c r="PP23" s="164">
        <f>IF($OG23=2,3*$PI23&amp;" de vida temp.",IF($OG23=3,"sem dano",IF($PI23=0,IF($OG23=1,"sem cura","sem dano"),IF($OG23=1,"cura ","")&amp;$PI23&amp;"d8")))</f>
        <v/>
      </c>
      <c r="PQ23" s="164">
        <f>IF($OG23=2,3*$PJ23&amp;" de vida temp.",IF($OG23=3,"sem dano",IF($PJ23=0,IF($OG23=1,"sem cura","sem dano"),IF($OG23=1,"cura ","")&amp;$PJ23&amp;"d8")))</f>
        <v/>
      </c>
      <c r="PR23" s="164">
        <f>IF($OG23=2,3*$PK23&amp;" de vida temp.",IF($OG23=3,"sem dano",IF($PK23=0,IF($OG23=1,"sem cura","sem dano"),IF($OG23=1,"cura ","")&amp;$PK23&amp;"d8")))</f>
        <v/>
      </c>
      <c r="PS23" s="164">
        <f>IF($OG23=2,3*$PL23&amp;" de vida temp.",IF($OG23=3,"sem dano",IF($PL23=0,IF($OG23=1,"sem cura","sem dano"),IF($OG23=1,"cura ","")&amp;$PL23&amp;"d8")))</f>
        <v/>
      </c>
      <c r="PT23" s="164">
        <f>IF($ND23=0,"",TEXTJOIN(" · ",TRUE,IF($ND23=0,"",TEXTJOIN(" · ",TRUE,IF($ND23=0,"",TEXTJOIN(" · ",TRUE,IF($MQ23&gt;$NE23,"Este lugar abre no nível "&amp;$MQ23,""),IF($MS23&gt;$NF23,"Classe "&amp;$MS23&amp;": o nível "&amp;$NE23&amp;" libera até a "&amp;$NF23,""),IF($NX23=1,"A Forma "&amp;$MU23&amp;" pede "&amp;INDEX('DADOS_FORMAS'!$GA$2:$GA$21,$NJ23)&amp;" aberta",""),IF(AND($MS23=0,$NJ23&gt;0,IF($NJ23=0,0,INDEX('DADOS_FORMAS'!$GJ$2:$GJ$21,$NJ23))=0),$MU23&amp;" não existe na Classe 0",""),IF($NY23=1,"Família Fechada: "&amp;$MX23,""),IF($NZ23=1,"Família Fechada: "&amp;$MY23,""),IF($OA23=1,"Família Fechada: "&amp;$MZ23,""),IF($OB23=1,"Família Fechada: "&amp;$NA23,""),IF(AND($MS23&gt;0,$OU23&gt;INDEX($O$2:$O$8,MAX(1,$MS23))),$OU23&amp;" Melhorias: a Classe "&amp;$MS23&amp;" aceita "&amp;INDEX($O$2:$O$8,MAX(1,$MS23)),""),IF(AND($MS23=0,$OU23&gt;1),"A básica aceita uma Melhoria",""),IF(AND($MS23=0,COUNTIF($NO23:$NR23,"&gt;1")&gt;0),"A básica só aceita Melhoria Leve",""),IF(AND($MS23&gt;0,$OV23&gt;2),$OV23&amp;" Restrições"&amp;IF($OF23=1,", contando a que a Forma "&amp;$MU23&amp;" já traz","")&amp;": o limite é 2",""),IF(AND($MS23=0,COUNTIF($NB23:$NC23,"?*")&gt;1),"A básica aceita uma Restrição Leve",""),IF(AND($MS23=0,COUNTIF($OI23:$OJ23,2)&gt;0),"A básica só aceita Restrição Leve",""),IF(AND($MS23&gt;0,$PC23&lt;0),"Orçamento estourado: faltam "&amp;(-$PC23)&amp;IF($PC23&lt;-1," pontos"," ponto"),""),IF(IFERROR(VLOOKUP(SUBSTITUTE(SUBSTITUTE(SUBSTITUTE($NB23,"~","~~"),"*","~*"),"?","~?"),'DADOS_RESTRICOES'!$M$2:$Q$54,4,FALSE),0)+IFERROR(VLOOKUP(SUBSTITUTE(SUBSTITUTE(SUBSTITUTE($NC23,"~","~~"),"*","~*"),"?","~?"),'DADOS_RESTRICOES'!$M$2:$Q$54,4,FALSE),0)&gt;1,$OK23&amp;" e "&amp;$OL23&amp;" são as duas de frequência",""),IF(AND((COUNTIF($RK23:$RN23,"Rápido")+COUNTIF($OK23:$OL23,"Rápido"))&gt;0,(COUNTIF($MX23:$NA23,"Atrasar")+COUNTIF($OK23:$OL23,"Atrasar"))&gt;0),"Rápido não entra com Atrasar",""),IF(AND((COUNTIF($RK23:$RN23,"Reação")+COUNTIF($OK23:$OL23,"Reação"))&gt;0,(COUNTIF($RK23:$RN23,"Rápido")+COUNTIF($OK23:$OL23,"Rápido"))&gt;0),"Reação não entra com Rápido",""),IF(AND((COUNTIF($RK23:$RN23,"Reação")+COUNTIF($OK23:$OL23,"Reação"))&gt;0,(COUNTIF($RK23:$RN23,"Armado")+COUNTIF($OK23:$OL23,"Armado"))&gt;0),"Reação não entra com Armado",""),IF(AND((COUNTIF($RK23:$RN23,"Reação")+COUNTIF($OK23:$OL23,"Reação"))&gt;0,(COUNTIF($MX23:$NA23,"Atrasar")+COUNTIF($OK23:$OL23,"Atrasar"))&gt;0),"Reação não entra com Atrasar",""),IF(AND((COUNTIF($RK23:$RN23,"Reação")+COUNTIF($OK23:$OL23,"Reação"))&gt;0,(COUNTIF($MX23:$NA23,"Parado")+COUNTIF($OK23:$OL23,"Parado"))&gt;0),"Reação não entra com Parado",""),IF(AND((COUNTIF($MX23:$NA23,"Atrasar")+COUNTIF($OK23:$OL23,"Atrasar"))&gt;0,(COUNTIF($MX23:$NA23,"Parado")+COUNTIF($OK23:$OL23,"Parado"))&gt;0),"Atrasar não entra com Parado",""),IF(AND((COUNTIF($RK23:$RN23,"Armado")+COUNTIF($OK23:$OL23,"Armado"))&gt;0,(COUNTIF($MX23:$NA23,"Carregar")+COUNTIF($OK23:$OL23,"Carregar"))&gt;0),"Armado não entra com Carregar",""),IF(AND(COUNTIF($OK23:$OL23,"Corpo a Corpo")&gt;0,$OF23=0,OR($RO23="Cone",$RO23="Linha")),"Corpo a Corpo não entra em "&amp;$MU23,""),IF(AND(COUNTIF($OK23:$OL23,"Corpo a Corpo")&gt;0,$RP23="Corpo a Corpo"),"A Forma "&amp;$MU23&amp;" já traz o Corpo a Corpo",""),IF(AND(COUNTIF($OK23:$OL23,"Tudo ou Nada")&gt;0,$OH23=0),"Tudo ou Nada só entra em habilidade de Teste de Resistência",""),IF(AND(COUNTIF($RK23:$RN23,"Inescapável")&gt;0,OR($OU23&gt;1,$OV23&gt;0)),"Inescapável não aceita outra peça",""),IF(AND($MS23&gt;0,$PD23*IF(COUNTIF($RK23:$RN23,"Remate")&gt;0,1.25,1)+$PE23&gt;4*$MS23),($PD23*IF(COUNTIF($RK23:$RN23,"Remate")&gt;0,1.25,1)+$PE23)&amp;" dados somando repetições"&amp;IF(COUNTIF($RK23:$RN23,"Remate")&gt;0," e o Remate","")&amp;": o teto da Classe "&amp;$MS23&amp;" é "&amp;4*$MS23,""))),IF(AND($MX23&lt;&gt;"",COUNTIF('DADOS_MELHORIAS'!$O$2:$O$113,SUBSTITUTE(SUBSTITUTE(SUBSTITUTE($MX23,"~","~~"),"*","~*"),"?","~?"))=0),"Melhoria não cadastrada ou com erro: "&amp;$MX23,""),IF(AND($MY23&lt;&gt;"",COUNTIF('DADOS_MELHORIAS'!$O$2:$O$113,SUBSTITUTE(SUBSTITUTE(SUBSTITUTE($MY23,"~","~~"),"*","~*"),"?","~?"))=0),"Melhoria não cadastrada ou com erro: "&amp;$MY23,""),IF(AND($MZ23&lt;&gt;"",COUNTIF('DADOS_MELHORIAS'!$O$2:$O$113,SUBSTITUTE(SUBSTITUTE(SUBSTITUTE($MZ23,"~","~~"),"*","~*"),"?","~?"))=0),"Melhoria não cadastrada ou com erro: "&amp;$MZ23,""),IF(AND($NA23&lt;&gt;"",COUNTIF('DADOS_MELHORIAS'!$O$2:$O$113,SUBSTITUTE(SUBSTITUTE(SUBSTITUTE($NA23,"~","~~"),"*","~*"),"?","~?"))=0),"Melhoria não cadastrada ou com erro: "&amp;$NA23,""),IF(AND($NB23&lt;&gt;"",COUNTIF('DADOS_RESTRICOES'!$M$2:$M$54,SUBSTITUTE(SUBSTITUTE(SUBSTITUTE($NB23,"~","~~"),"*","~*"),"?","~?"))=0),"Restrição não cadastrada ou com erro: "&amp;$NB23,""),IF(AND($NC23&lt;&gt;"",COUNTIF('DADOS_RESTRICOES'!$M$2:$M$54,SUBSTITUTE(SUBSTITUTE(SUBSTITUTE($NC23,"~","~~"),"*","~*"),"?","~?"))=0),"Restrição não cadastrada ou com erro: "&amp;$NC23,""))),IF(AND($MU23&lt;&gt;"",COUNTIF('DADOS_FORMAS'!$AH$2:$AH$21,SUBSTITUTE(SUBSTITUTE(SUBSTITUTE($MU23,"~","~~"),"*","~*"),"?","~?"))=0),"Forma não cadastrada ou com erro: "&amp;$MU23,""),IF(AND(IFERROR(INDEX('DADOS_FORMAS'!$AS$2:$AS$21,MATCH(SUBSTITUTE(SUBSTITUTE(SUBSTITUTE($MU23,"~","~~"),"*","~*"),"?","~?"),'DADOS_FORMAS'!$AH$2:$AH$21,0)),"")&lt;&gt;"",OR(IFERROR(VLOOKUP(SUBSTITUTE(SUBSTITUTE(SUBSTITUTE(IFERROR(INDEX('DADOS_FORMAS'!$AS$2:$AS$21,MATCH(SUBSTITUTE(SUBSTITUTE(SUBSTITUTE($MU23,"~","~~"),"*","~*"),"?","~?"),'DADOS_FORMAS'!$AH$2:$AH$21,0)),""),"~","~~"),"*","~*"),"?","~?"),'DADOS_RESTRICOES'!$M$2:$Q$54,2,FALSE),"")=$OK23,IFERROR(VLOOKUP(SUBSTITUTE(SUBSTITUTE(SUBSTITUTE(IFERROR(INDEX('DADOS_FORMAS'!$AS$2:$AS$21,MATCH(SUBSTITUTE(SUBSTITUTE(SUBSTITUTE($MU23,"~","~~"),"*","~*"),"?","~?"),'DADOS_FORMAS'!$AH$2:$AH$21,0)),""),"~","~~"),"*","~*"),"?","~?"),'DADOS_RESTRICOES'!$M$2:$Q$54,2,FALSE),"")=$OL23)),"Restrição repetida, contando a embutida",""),IF(IF(IFERROR(INDEX('DADOS_FORMAS'!$AS$2:$AS$21,MATCH(SUBSTITUTE(SUBSTITUTE(SUBSTITUTE($MU23,"~","~~"),"*","~*"),"?","~?"),'DADOS_FORMAS'!$AH$2:$AH$21,0)),"")="",0,IFERROR(N(VLOOKUP(SUBSTITUTE(SUBSTITUTE(SUBSTITUTE(IFERROR(INDEX('DADOS_FORMAS'!$AS$2:$AS$21,MATCH(SUBSTITUTE(SUBSTITUTE(SUBSTITUTE($MU23,"~","~~"),"*","~*"),"?","~?"),'DADOS_FORMAS'!$AH$2:$AH$21,0)),""),"~","~~"),"*","~*"),"?","~?"),'DADOS_RESTRICOES'!$M$2:$Q$54,4,FALSE)=1),0))+IF($NB23="",0,IFERROR(N(VLOOKUP(SUBSTITUTE(SUBSTITUTE(SUBSTITUTE($NB23,"~","~~"),"*","~*"),"?","~?"),'DADOS_RESTRICOES'!$M$2:$Q$54,4,FALSE)=1),0))+IF($NC23="",0,IFERROR(N(VLOOKUP(SUBSTITUTE(SUBSTITUTE(SUBSTITUTE($NC23,"~","~~"),"*","~*"),"?","~?"),'DADOS_RESTRICOES'!$M$2:$Q$54,4,FALSE)=1),0))&gt;1,"Duas Restrições de frequência, contando a embutida",""),IF(AND(IFERROR(VLOOKUP(SUBSTITUTE(SUBSTITUTE(SUBSTITUTE(IFERROR(INDEX('DADOS_FORMAS'!$AS$2:$AS$21,MATCH(SUBSTITUTE(SUBSTITUTE(SUBSTITUTE($MU23,"~","~~"),"*","~*"),"?","~?"),'DADOS_FORMAS'!$AH$2:$AH$21,0)),""),"~","~~"),"*","~*"),"?","~?"),'DADOS_RESTRICOES'!$M$2:$Q$54,2,FALSE),"")="Tudo ou Nada",$OH23=0),"Tudo ou Nada exige TR",""),IF(AND(IFERROR(VLOOKUP(SUBSTITUTE(SUBSTITUTE(SUBSTITUTE(IFERROR(INDEX('DADOS_FORMAS'!$AS$2:$AS$21,MATCH(SUBSTITUTE(SUBSTITUTE(SUBSTITUTE($MU23,"~","~~"),"*","~*"),"?","~?"),'DADOS_FORMAS'!$AH$2:$AH$21,0)),""),"~","~~"),"*","~*"),"?","~?"),'DADOS_RESTRICOES'!$M$2:$Q$54,2,FALSE),"")="Corpo a Corpo",OR($RO23="Cone",$RO23="Linha")),"Corpo a Corpo não entra em Cone/Linha","")))</f>
        <v/>
      </c>
      <c r="PU23" s="164">
        <f>IF($PT23="",0,(LEN($PT23)-LEN(SUBSTITUTE($PT23," · ","")))/3+1)</f>
        <v/>
      </c>
      <c r="PV23" s="164">
        <f>IF($ND23=0,"",TEXTJOIN(" · ",TRUE,IF($OX23&gt;2*$MS23,"A devolução parou no teto de "&amp;2*$MS23,""),IF($PA23&gt;0,"Devolução perdida: "&amp;$PA23&amp;IF($PA23&gt;1," pontos"," ponto")&amp;" sem Melhoria para pagar",""),IF(AND($OC23&gt;0,AND($MS23&gt;0,$OG23=0),$PD23=0),"Controle sem dano: uma rodada a mais e CD +2",""),IF(AND($OC23&gt;0,AND($MS23&gt;0,$OG23=0),$PD23&gt;0,$PD23&lt;=$MS23),"Controle com saldo até a Classe: uma rodada a mais",""),IF(AND($MS23&gt;0,$OE23&lt;&gt;""),"Efeito de "&amp;$OE23&amp;" pela Classe "&amp;MAX(1,$MS23-1),"")))</f>
        <v/>
      </c>
      <c r="PW23" s="164">
        <f>IF($PV23="",0,(LEN($PV23)-LEN(SUBSTITUTE($PV23," · ","")))/3+1)</f>
        <v/>
      </c>
      <c r="PX23" s="164">
        <f>IF($ND23=0,IF($OU23+COUNTIF($NB23:$NC23,"?*")&gt;0,"Dê um nome",""),IF($PU23&gt;0,"⚠ "&amp;$PU23&amp;IF($PU23&gt;1," erros"," erro"),IF($PW23&gt;0,"! "&amp;$PW23&amp;IF($PW23&gt;1," avisos"," aviso"),"Na regra")))</f>
        <v/>
      </c>
      <c r="PY23" s="164">
        <f>IF($ND23=0,"",IF($PU23+$PW23=0,"Dentro das regras que a ficha confere",$PT23&amp;IF(AND($PU23&gt;0,$PW23&gt;0)," · ","")&amp;$PV23))</f>
        <v/>
      </c>
      <c r="PZ23" s="164">
        <f>IF($MQ23&gt;$NE23,$MR23&amp;" · ABRE NO NÍVEL "&amp;$MQ23,$MR23)</f>
        <v/>
      </c>
      <c r="QA23" s="164">
        <f>IF($ND23=0,"",IF($MS23=0,"Sem PE",3*$MS23&amp;" PE"))</f>
        <v/>
      </c>
      <c r="QB23" s="164">
        <f>IF($ND23=0,"",IF($MS23=0,"A atuação básica dela",IF(COUNTIF($RQ23:$RS23,"Atrasar")&gt;0,"Sua Ação Completa",IF(COUNTIF($RK23:$RN23,"Rápido")&gt;0,"Sua Bônus",IF(COUNTIF($RK23:$RN23,"Reação")&gt;0,"Sua Reação","Sua Padrão")))&amp;" + a básica dela"&amp;IF(COUNTIF($RK23:$RN23,"Reação")&gt;0," e a coletiva","")&amp;IF(COUNTIF($RQ23:$RS23,"Carregar")&gt;0," · em dois turnos","")))</f>
        <v/>
      </c>
      <c r="QC23" s="164">
        <f>IF($MW23&lt;&gt;"",$MW23,IF($NJ23=0,"",INDEX('DADOS_FORMAS'!$GE$2:$GE$21,$NJ23)))</f>
        <v/>
      </c>
      <c r="QD23" s="164">
        <f>IF(OR($ND23=0,$NJ23=0),"",IF(COUNTIF($RK23:$RN23,"Inescapável")&gt;0,"Automático",IF($QC23="Ataque",IF($NH23="","Ataque","Ataque "&amp;IF(($NH23+2*IF(COUNTIF($RK23:$RN23,"Precisão")&gt;0,1,0))&gt;=0,"+","−")&amp;ABS(($NH23+2*IF(COUNTIF($RK23:$RN23,"Precisão")&gt;0,1,0))))&amp;IF($OD23&gt;0," · TR"&amp;IF($NI23="",""," CD "&amp;$NI23),""),IF(LEFT($QC23,2)="TR",$QC23&amp;IF($NI23="",""," · CD "&amp;$NI23)&amp;IF(COUNTIF($RK23:$RN23,"Certeiro")&gt;0," · metade",""),"Sem rolagem"))))</f>
        <v/>
      </c>
      <c r="QE23" s="164">
        <f>IF(OR($ND23=0,$NJ23=0),"",IF($MS23=0,IF(OR($OG23&gt;=1,$PD23=0),"Sem dano",$PD23&amp;"d6"&amp;IF($MV23="",""," "&amp;$MV23)),IF(OR($OG23&gt;=1,$PD23=0),UPPER(LEFT(INDEX($PM23:$PS23,1,MAX(1,$MS23)),1))&amp;MID(INDEX($PM23:$PS23,1,MAX(1,$MS23)),2,99),UPPER(LEFT(INDEX($PM23:$PS23,1,MAX(1,$MS23)),1))&amp;MID(INDEX($PM23:$PS23,1,MAX(1,$MS23)),2,99)&amp;IF($MV23="",""," "&amp;$MV23)&amp;IF($PE23&gt;0," · +"&amp;$PE23&amp;"d8",""))))</f>
        <v/>
      </c>
      <c r="QF23" s="164">
        <f>COUNTIF($RK23:$RN23,"Longe")+3*COUNTIF($RK23:$RN23,"Muito Longe")</f>
        <v/>
      </c>
      <c r="QG23" s="164">
        <f>COUNTIF($RK23:$RN23,"Maior")+3*COUNTIF($RK23:$RN23,"Muito Maior")</f>
        <v/>
      </c>
      <c r="QH23" s="164">
        <f>IF($NJ23=0,0,CHOOSE(1+INDEX('DADOS_FORMAS'!$GG$2:$GG$21,$NJ23),0,$QF23,$QG23,$QF23+$QG23))</f>
        <v/>
      </c>
      <c r="QI23" s="164">
        <f>IF($NJ23=0,0,CHOOSE(1+INDEX('DADOS_FORMAS'!$GH$2:$GH$21,$NJ23),0,$QF23,$QG23,$QF23+$QG23))</f>
        <v/>
      </c>
      <c r="QJ23" s="164">
        <f>IF(OR($ND23=0,$NJ23=0),"",INDEX('DADOS_FORMAS'!$HU$2:$HZ$81,($NJ23-1)*4+IF($MS23=0,1,IF($MS23&lt;=5,2,IF($MS23=6,3,4))),1+MIN(5,$QH23))&amp;INDEX('DADOS_FORMAS'!$IA$2:$IF$81,($NJ23-1)*4+IF($MS23=0,1,IF($MS23&lt;=5,2,IF($MS23=6,3,4))),1+MIN(5,$QI23))&amp;IF(INDEX('DADOS_FORMAS'!$GI$2:$GI$21,$NJ23)=1,IF(COUNTIF($RK23:$RN23,"Mais Um")&gt;0," · +"&amp;COUNTIF($RK23:$RN23,"Mais Um")&amp;IF(COUNTIF($RK23:$RN23,"Mais Um")&gt;1," alvos"," alvo"),"")&amp;IF(COUNTIF($RK23:$RN23,"Rajada")&gt;0,IF($MS23=0," · 1 tiro"," · "&amp;(MAX(1,$MS23-1)+1)&amp;" tiros"),""),""))</f>
        <v/>
      </c>
      <c r="QK23" s="164">
        <f>IF($ND23=0,"",IF($MS23=0,$NG23&amp;"d6"&amp;IF($OU23&gt;0," − 1 = "&amp;$PD23&amp;"d6"," da básica do nível "&amp;$NE23),$PB23&amp;" − "&amp;$OW23&amp;" + "&amp;$OZ23&amp;" = "&amp;$PC23&amp;" · teto "&amp;4*$MS23&amp;"d8"&amp;IF($OF23=1," · a Forma devolve "&amp;$MS23,"")&amp;IF($PA23&gt;0," · perde "&amp;$PA23,"")))</f>
        <v/>
      </c>
      <c r="QL23" s="164">
        <f>IF($ND23=0,"",IF($MS23=0,"A básica não amplia: os dados dela sobem com o nível",IF($MS23&gt;=$NF23,"Já está na maior Classe que o nível liberou",TEXTJOIN(" · ",TRUE,IF(AND(2&gt;$MS23,2&lt;=$NF23),"2 → "&amp;$PN23&amp;", 6 PE",""),IF(AND(3&gt;$MS23,3&lt;=$NF23),"3 → "&amp;$PO23&amp;", 9 PE",""),IF(AND(4&gt;$MS23,4&lt;=$NF23),"4 → "&amp;$PP23&amp;", 12 PE",""),IF(AND(5&gt;$MS23,5&lt;=$NF23),"5 → "&amp;$PQ23&amp;", 15 PE",""),IF(AND(6&gt;$MS23,6&lt;=$NF23),"6 → "&amp;$PR23&amp;", 18 PE",""),IF(AND(7&gt;$MS23,7&lt;=$NF23),"7 → "&amp;$PS23&amp;", 21 PE","")))))</f>
        <v/>
      </c>
      <c r="QM23" s="164">
        <f>IF(OR($ND23=0,$NO23=0),"",IF($MS23=0,"−1 dado","−"&amp;INDEX($I$2:$N$8,MAX(1,$MS23),MAX(1,$NT23))&amp;" · "&amp;CHOOSE(MAX(1,$NT23),"Leve","Média","Pesada","Leve · Livre","Média · Livre","Pesada · Livre")))</f>
        <v/>
      </c>
      <c r="QN23" s="164">
        <f>IF(OR($ND23=0,$NP23=0),"",IF($MS23=0,"−1 dado","−"&amp;INDEX($I$2:$N$8,MAX(1,$MS23),MAX(1,$NU23))&amp;" · "&amp;CHOOSE(MAX(1,$NU23),"Leve","Média","Pesada","Leve · Livre","Média · Livre","Pesada · Livre")))</f>
        <v/>
      </c>
      <c r="QO23" s="164">
        <f>IF(OR($ND23=0,$NQ23=0),"",IF($MS23=0,"−1 dado","−"&amp;INDEX($I$2:$N$8,MAX(1,$MS23),MAX(1,$NV23))&amp;" · "&amp;CHOOSE(MAX(1,$NV23),"Leve","Média","Pesada","Leve · Livre","Média · Livre","Pesada · Livre")))</f>
        <v/>
      </c>
      <c r="QP23" s="164">
        <f>IF(OR($ND23=0,$NR23=0),"",IF($MS23=0,"−1 dado","−"&amp;INDEX($I$2:$N$8,MAX(1,$MS23),MAX(1,$NW23))&amp;" · "&amp;CHOOSE(MAX(1,$NW23),"Leve","Média","Pesada","Leve · Livre","Média · Livre","Pesada · Livre")))</f>
        <v/>
      </c>
      <c r="QQ23" s="164">
        <f>IF(OR($ND23=0,$NB23=""),"",IF($MS23=0,"não devolve","+"&amp;IF($OI23=1,CEILING($MS23/2,1),$MS23)))</f>
        <v/>
      </c>
      <c r="QR23" s="164">
        <f>IF(OR($ND23=0,$NC23=""),"",IF($MS23=0,"não devolve","+"&amp;IF($OJ23=1,CEILING($MS23/2,1),$MS23)))</f>
        <v/>
      </c>
      <c r="RK23">
        <f>IF($MX23="","",IFERROR(VLOOKUP(SUBSTITUTE(SUBSTITUTE(SUBSTITUTE($MX23,"~","~~"),"*","~*"),"?","~?"),'DADOS_MELHORIAS'!$O$2:$X$113,10,FALSE),$MX23))</f>
        <v/>
      </c>
      <c r="RL23">
        <f>IF($MY23="","",IFERROR(VLOOKUP(SUBSTITUTE(SUBSTITUTE(SUBSTITUTE($MY23,"~","~~"),"*","~*"),"?","~?"),'DADOS_MELHORIAS'!$O$2:$X$113,10,FALSE),$MY23))</f>
        <v/>
      </c>
      <c r="RM23">
        <f>IF($MZ23="","",IFERROR(VLOOKUP(SUBSTITUTE(SUBSTITUTE(SUBSTITUTE($MZ23,"~","~~"),"*","~*"),"?","~?"),'DADOS_MELHORIAS'!$O$2:$X$113,10,FALSE),$MZ23))</f>
        <v/>
      </c>
      <c r="RN23">
        <f>IF($NA23="","",IFERROR(VLOOKUP(SUBSTITUTE(SUBSTITUTE(SUBSTITUTE($NA23,"~","~~"),"*","~*"),"?","~?"),'DADOS_MELHORIAS'!$O$2:$X$113,10,FALSE),$NA23))</f>
        <v/>
      </c>
      <c r="RO23">
        <f>IFERROR(INDEX('DADOS_FORMAS'!$BJ$2:$BJ$21,MATCH(SUBSTITUTE(SUBSTITUTE(SUBSTITUTE($MU23,"~","~~"),"*","~*"),"?","~?"),'DADOS_FORMAS'!$AH$2:$AH$21,0)),"")</f>
        <v/>
      </c>
      <c r="RP23">
        <f>IFERROR(VLOOKUP(SUBSTITUTE(SUBSTITUTE(SUBSTITUTE(IFERROR(INDEX('DADOS_FORMAS'!$AS$2:$AS$21,MATCH(SUBSTITUTE(SUBSTITUTE(SUBSTITUTE($MU23,"~","~~"),"*","~*"),"?","~?"),'DADOS_FORMAS'!$AH$2:$AH$21,0)),""),"~","~~"),"*","~*"),"?","~?"),'DADOS_RESTRICOES'!$M$2:$Q$54,2,FALSE),"")</f>
        <v/>
      </c>
      <c r="RQ23">
        <f>$OK23</f>
        <v/>
      </c>
      <c r="RR23">
        <f>$OL23</f>
        <v/>
      </c>
      <c r="RS23">
        <f>$RP23</f>
        <v/>
      </c>
    </row>
    <row r="24">
      <c r="AH24" s="162" t="inlineStr">
        <is>
          <t>Linha · classe 6</t>
        </is>
      </c>
      <c r="AI24" s="162" t="inlineStr">
        <is>
          <t>Linha de 18 m por 1,5 m</t>
        </is>
      </c>
      <c r="AJ24" s="162" t="inlineStr">
        <is>
          <t>Linha de 30 m por 1,5 m</t>
        </is>
      </c>
      <c r="AK24" s="162" t="inlineStr">
        <is>
          <t>Linha de 60 m por 1,5 m</t>
        </is>
      </c>
      <c r="AL24" s="162" t="inlineStr">
        <is>
          <t>Linha de 60 m por 1,5 m</t>
        </is>
      </c>
      <c r="AM24" s="162" t="inlineStr">
        <is>
          <t>Linha de 60 m por 1,5 m</t>
        </is>
      </c>
      <c r="AN24" s="162" t="inlineStr">
        <is>
          <t>Linha de 60 m por 1,5 m</t>
        </is>
      </c>
      <c r="AO24" s="162" t="inlineStr"/>
      <c r="AP24" s="162" t="inlineStr"/>
      <c r="AQ24" s="162" t="inlineStr"/>
      <c r="AR24" s="162" t="inlineStr"/>
      <c r="AS24" s="162" t="inlineStr"/>
      <c r="AT24" s="162" t="inlineStr"/>
      <c r="AV24" s="162" t="inlineStr">
        <is>
          <t>Lento</t>
        </is>
      </c>
      <c r="AW24" s="162" t="inlineStr">
        <is>
          <t>Controle</t>
        </is>
      </c>
      <c r="AX24" s="164" t="n">
        <v>1</v>
      </c>
      <c r="AY24" s="164" t="n">
        <v>1</v>
      </c>
      <c r="AZ24" s="164" t="n">
        <v>0</v>
      </c>
      <c r="BA24" s="164" t="n">
        <v>1</v>
      </c>
      <c r="BC24" s="162" t="inlineStr">
        <is>
          <t>Restrição Própria (Média)</t>
        </is>
      </c>
      <c r="BD24" s="162" t="inlineStr">
        <is>
          <t>Restrição Própria</t>
        </is>
      </c>
      <c r="BE24" s="164" t="n">
        <v>2</v>
      </c>
      <c r="BF24" s="164" t="n">
        <v>0</v>
      </c>
      <c r="BG24" s="162" t="inlineStr"/>
      <c r="CC24" s="162" t="inlineStr">
        <is>
          <t>Provocar</t>
        </is>
      </c>
      <c r="CD24" s="162" t="inlineStr">
        <is>
          <t>Essência</t>
        </is>
      </c>
      <c r="JT24" s="164">
        <f>IF(OR($AW24="",(COUNTIF($EL$2:$EP$2,$AW24)+COUNTIF($QV$2:$QY$2,$AW24))&gt;0),$AV24,"")</f>
        <v/>
      </c>
      <c r="JU24" s="164">
        <f>IF(AND($AX24=1,OR($AW24="",(COUNTIF($EL$2:$EP$2,$AW24)+COUNTIF($QV$2:$QY$2,$AW24))&gt;0)),$AV24,"")</f>
        <v/>
      </c>
      <c r="JZ24" s="164">
        <f>IF(OR($AW24="",(COUNTIF($EL$3:$EP$3,$AW24)+COUNTIF($QV$3:$QY$3,$AW24))&gt;0),$AV24,"")</f>
        <v/>
      </c>
      <c r="KA24" s="164">
        <f>IF(AND($AX24=1,OR($AW24="",(COUNTIF($EL$3:$EP$3,$AW24)+COUNTIF($QV$3:$QY$3,$AW24))&gt;0)),$AV24,"")</f>
        <v/>
      </c>
      <c r="KF24" s="164">
        <f>IF(OR($AW24="",(COUNTIF($EL$4:$EP$4,$AW24)+COUNTIF($QV$4:$QY$4,$AW24))&gt;0),$AV24,"")</f>
        <v/>
      </c>
      <c r="KG24" s="164">
        <f>IF(AND($AX24=1,OR($AW24="",(COUNTIF($EL$4:$EP$4,$AW24)+COUNTIF($QV$4:$QY$4,$AW24))&gt;0)),$AV24,"")</f>
        <v/>
      </c>
      <c r="KL24" s="164">
        <f>IF(OR($AW24="",(COUNTIF($EL$5:$EP$5,$AW24)+COUNTIF($QV$5:$QY$5,$AW24))&gt;0),$AV24,"")</f>
        <v/>
      </c>
      <c r="KM24" s="164">
        <f>IF(AND($AX24=1,OR($AW24="",(COUNTIF($EL$5:$EP$5,$AW24)+COUNTIF($QV$5:$QY$5,$AW24))&gt;0)),$AV24,"")</f>
        <v/>
      </c>
      <c r="KR24" s="164">
        <f>IF(OR($AW24="",(COUNTIF($EL$6:$EP$6,$AW24)+COUNTIF($QV$6:$QY$6,$AW24))&gt;0),$AV24,"")</f>
        <v/>
      </c>
      <c r="KS24" s="164">
        <f>IF(AND($AX24=1,OR($AW24="",(COUNTIF($EL$6:$EP$6,$AW24)+COUNTIF($QV$6:$QY$6,$AW24))&gt;0)),$AV24,"")</f>
        <v/>
      </c>
      <c r="KX24" s="164">
        <f>IF(OR($AW24="",(COUNTIF($EL$7:$EP$7,$AW24)+COUNTIF($QV$7:$QY$7,$AW24))&gt;0),$AV24,"")</f>
        <v/>
      </c>
      <c r="KY24" s="164">
        <f>IF(AND($AX24=1,OR($AW24="",(COUNTIF($EL$7:$EP$7,$AW24)+COUNTIF($QV$7:$QY$7,$AW24))&gt;0)),$AV24,"")</f>
        <v/>
      </c>
      <c r="LD24" s="164">
        <f>IF(OR($AW24="",(COUNTIF($EL$8:$EP$8,$AW24)+COUNTIF($QV$8:$QY$8,$AW24))&gt;0),$AV24,"")</f>
        <v/>
      </c>
      <c r="LE24" s="164">
        <f>IF(AND($AX24=1,OR($AW24="",(COUNTIF($EL$8:$EP$8,$AW24)+COUNTIF($QV$8:$QY$8,$AW24))&gt;0)),$AV24,"")</f>
        <v/>
      </c>
      <c r="LJ24" s="164">
        <f>IF(OR($AW24="",(COUNTIF($EL$9:$EP$9,$AW24)+COUNTIF($QV$9:$QY$9,$AW24))&gt;0),$AV24,"")</f>
        <v/>
      </c>
      <c r="LK24" s="164">
        <f>IF(AND($AX24=1,OR($AW24="",(COUNTIF($EL$9:$EP$9,$AW24)+COUNTIF($QV$9:$QY$9,$AW24))&gt;0)),$AV24,"")</f>
        <v/>
      </c>
      <c r="LP24" s="164">
        <f>IF(OR($AW24="",(COUNTIF($EL$10:$EP$10,$AW24)+COUNTIF($QV$10:$QY$10,$AW24))&gt;0),$AV24,"")</f>
        <v/>
      </c>
      <c r="LQ24" s="164">
        <f>IF(AND($AX24=1,OR($AW24="",(COUNTIF($EL$10:$EP$10,$AW24)+COUNTIF($QV$10:$QY$10,$AW24))&gt;0)),$AV24,"")</f>
        <v/>
      </c>
      <c r="LV24" s="164">
        <f>IF(OR($AW24="",(COUNTIF($EL$11:$EP$11,$AW24)+COUNTIF($QV$11:$QY$11,$AW24))&gt;0),$AV24,"")</f>
        <v/>
      </c>
      <c r="LW24" s="164">
        <f>IF(AND($AX24=1,OR($AW24="",(COUNTIF($EL$11:$EP$11,$AW24)+COUNTIF($QV$11:$QY$11,$AW24))&gt;0)),$AV24,"")</f>
        <v/>
      </c>
      <c r="MB24" s="164">
        <f>IF(OR($AW24="",(COUNTIF($EL$12:$EP$12,$AW24)+COUNTIF($QV$12:$QY$12,$AW24))&gt;0),$AV24,"")</f>
        <v/>
      </c>
      <c r="MC24" s="164">
        <f>IF(AND($AX24=1,OR($AW24="",(COUNTIF($EL$12:$EP$12,$AW24)+COUNTIF($QV$12:$QY$12,$AW24))&gt;0)),$AV24,"")</f>
        <v/>
      </c>
      <c r="MH24" s="164">
        <f>IF(OR($AW24="",(COUNTIF($EL$13:$EP$13,$AW24)+COUNTIF($QV$13:$QY$13,$AW24))&gt;0),$AV24,"")</f>
        <v/>
      </c>
      <c r="MI24" s="164">
        <f>IF(AND($AX24=1,OR($AW24="",(COUNTIF($EL$13:$EP$13,$AW24)+COUNTIF($QV$13:$QY$13,$AW24))&gt;0)),$AV24,"")</f>
        <v/>
      </c>
      <c r="MN24" s="162" t="inlineStr">
        <is>
          <t>Ficha 2 · Especial 8</t>
        </is>
      </c>
      <c r="MO24" s="164" t="n">
        <v>2</v>
      </c>
      <c r="MP24" s="164" t="n">
        <v>1</v>
      </c>
      <c r="MQ24" s="164" t="n">
        <v>28</v>
      </c>
      <c r="MR24" s="162" t="inlineStr">
        <is>
          <t>ESPECIAL 8</t>
        </is>
      </c>
      <c r="MS24" s="164">
        <f>MAX(1,MIN(7,N('INVOCAÇÕES'!$I$360)))</f>
        <v/>
      </c>
      <c r="MT24" s="164">
        <f>'INVOCAÇÕES'!$J$360&amp;""</f>
        <v/>
      </c>
      <c r="MU24" s="164">
        <f>'INVOCAÇÕES'!$I$365&amp;""</f>
        <v/>
      </c>
      <c r="MV24" s="164">
        <f>'INVOCAÇÕES'!$I$366&amp;""</f>
        <v/>
      </c>
      <c r="MW24" s="164">
        <f>'INVOCAÇÕES'!$K$366&amp;""</f>
        <v/>
      </c>
      <c r="MX24" s="164">
        <f>'INVOCAÇÕES'!$J$369&amp;""</f>
        <v/>
      </c>
      <c r="MY24" s="164">
        <f>'INVOCAÇÕES'!$J$370&amp;""</f>
        <v/>
      </c>
      <c r="MZ24" s="164">
        <f>'INVOCAÇÕES'!$J$371&amp;""</f>
        <v/>
      </c>
      <c r="NA24" s="164">
        <f>'INVOCAÇÕES'!$J$372&amp;""</f>
        <v/>
      </c>
      <c r="NB24" s="164">
        <f>'INVOCAÇÕES'!$J$373&amp;""</f>
        <v/>
      </c>
      <c r="NC24" s="164">
        <f>'INVOCAÇÕES'!$J$374&amp;""</f>
        <v/>
      </c>
      <c r="ND24" s="164">
        <f>IF($MT24&lt;&gt;"",1,0)</f>
        <v/>
      </c>
      <c r="NE24" s="164">
        <f>INDEX($FO$2:$FO$13,$MO24)</f>
        <v/>
      </c>
      <c r="NF24" s="164">
        <f>INDEX($FP$2:$FP$13,$MO24)</f>
        <v/>
      </c>
      <c r="NG24" s="164">
        <f>INDEX($FQ$2:$FQ$13,$MO24)</f>
        <v/>
      </c>
      <c r="NH24" s="164">
        <f>INDEX($GB$2:$GB$13,$MO24)</f>
        <v/>
      </c>
      <c r="NI24" s="164">
        <f>INDEX($GC$2:$GC$13,$MO24)</f>
        <v/>
      </c>
      <c r="NJ24" s="164">
        <f>IFERROR(MATCH(SUBSTITUTE(SUBSTITUTE(SUBSTITUTE($MU24,"~","~~"),"*","~*"),"?","~?"),'DADOS_FORMAS'!$FZ$2:$FZ$21,0),0)</f>
        <v/>
      </c>
      <c r="NK24" s="164">
        <f>IFERROR(VLOOKUP(SUBSTITUTE(SUBSTITUTE(SUBSTITUTE($MX24,"~","~~"),"*","~*"),"?","~?"),'DADOS_MELHORIAS'!$AG$2:$AL$113,2,FALSE),"")</f>
        <v/>
      </c>
      <c r="NL24" s="164">
        <f>IFERROR(VLOOKUP(SUBSTITUTE(SUBSTITUTE(SUBSTITUTE($MY24,"~","~~"),"*","~*"),"?","~?"),'DADOS_MELHORIAS'!$AG$2:$AL$113,2,FALSE),"")</f>
        <v/>
      </c>
      <c r="NM24" s="164">
        <f>IFERROR(VLOOKUP(SUBSTITUTE(SUBSTITUTE(SUBSTITUTE($MZ24,"~","~~"),"*","~*"),"?","~?"),'DADOS_MELHORIAS'!$AG$2:$AL$113,2,FALSE),"")</f>
        <v/>
      </c>
      <c r="NN24" s="164">
        <f>IFERROR(VLOOKUP(SUBSTITUTE(SUBSTITUTE(SUBSTITUTE($NA24,"~","~~"),"*","~*"),"?","~?"),'DADOS_MELHORIAS'!$AG$2:$AL$113,2,FALSE),"")</f>
        <v/>
      </c>
      <c r="NO24" s="164">
        <f>IFERROR(VLOOKUP(SUBSTITUTE(SUBSTITUTE(SUBSTITUTE($MX24,"~","~~"),"*","~*"),"?","~?"),'DADOS_MELHORIAS'!$AG$2:$AL$113,3,FALSE),0)</f>
        <v/>
      </c>
      <c r="NP24" s="164">
        <f>IFERROR(VLOOKUP(SUBSTITUTE(SUBSTITUTE(SUBSTITUTE($MY24,"~","~~"),"*","~*"),"?","~?"),'DADOS_MELHORIAS'!$AG$2:$AL$113,3,FALSE),0)</f>
        <v/>
      </c>
      <c r="NQ24" s="164">
        <f>IFERROR(VLOOKUP(SUBSTITUTE(SUBSTITUTE(SUBSTITUTE($MZ24,"~","~~"),"*","~*"),"?","~?"),'DADOS_MELHORIAS'!$AG$2:$AL$113,3,FALSE),0)</f>
        <v/>
      </c>
      <c r="NR24" s="164">
        <f>IFERROR(VLOOKUP(SUBSTITUTE(SUBSTITUTE(SUBSTITUTE($NA24,"~","~~"),"*","~*"),"?","~?"),'DADOS_MELHORIAS'!$AG$2:$AL$113,3,FALSE),0)</f>
        <v/>
      </c>
      <c r="NS24" s="164">
        <f>IF($MS24=0,0,IF($NJ24=0,0,INDEX('DADOS_FORMAS'!$GB$2:$GB$21,$NJ24)))</f>
        <v/>
      </c>
      <c r="NT24" s="164">
        <f>IF(OR($NO24=0,$MS24=0),0,$NO24+3*IF(AND($NK24&lt;&gt;"",COUNTIF(INDEX($RB$2:$RJ$13,$MO24,0),$NK24)&gt;0),1,0))</f>
        <v/>
      </c>
      <c r="NU24" s="164">
        <f>IF(OR($NP24=0,$MS24=0),0,$NP24+3*IF(AND($NL24&lt;&gt;"",COUNTIF(INDEX($RB$2:$RJ$13,$MO24,0),$NL24)&gt;0),1,0))</f>
        <v/>
      </c>
      <c r="NV24" s="164">
        <f>IF(OR($NQ24=0,$MS24=0),0,$NQ24+3*IF(AND($NM24&lt;&gt;"",COUNTIF(INDEX($RB$2:$RJ$13,$MO24,0),$NM24)&gt;0),1,0))</f>
        <v/>
      </c>
      <c r="NW24" s="164">
        <f>IF(OR($NR24=0,$MS24=0),0,$NR24+3*IF(AND($NN24&lt;&gt;"",COUNTIF(INDEX($RB$2:$RJ$13,$MO24,0),$NN24)&gt;0),1,0))</f>
        <v/>
      </c>
      <c r="NX24" s="164">
        <f>IF($NJ24=0,0,IF(INDEX('DADOS_FORMAS'!$GA$2:$GA$21,$NJ24)="",0,IF((COUNTIF(INDEX($EL$2:$EP$13,$MO24,0),INDEX('DADOS_FORMAS'!$GA$2:$GA$21,$NJ24))+COUNTIF(INDEX($QV$2:$QY$13,$MO24,0),INDEX('DADOS_FORMAS'!$GA$2:$GA$21,$NJ24)))=0,1,0)))</f>
        <v/>
      </c>
      <c r="NY24" s="164">
        <f>IF(OR($NO24=0,$NK24=""),0,IF((COUNTIF(INDEX($EL$2:$EP$13,$MO24,0),$NK24)+COUNTIF(INDEX($QV$2:$QY$13,$MO24,0),$NK24))=0,1,0))</f>
        <v/>
      </c>
      <c r="NZ24" s="164">
        <f>IF(OR($NP24=0,$NL24=""),0,IF((COUNTIF(INDEX($EL$2:$EP$13,$MO24,0),$NL24)+COUNTIF(INDEX($QV$2:$QY$13,$MO24,0),$NL24))=0,1,0))</f>
        <v/>
      </c>
      <c r="OA24" s="164">
        <f>IF(OR($NQ24=0,$NM24=""),0,IF((COUNTIF(INDEX($EL$2:$EP$13,$MO24,0),$NM24)+COUNTIF(INDEX($QV$2:$QY$13,$MO24,0),$NM24))=0,1,0))</f>
        <v/>
      </c>
      <c r="OB24" s="164">
        <f>IF(OR($NR24=0,$NN24=""),0,IF((COUNTIF(INDEX($EL$2:$EP$13,$MO24,0),$NN24)+COUNTIF(INDEX($QV$2:$QY$13,$MO24,0),$NN24))=0,1,0))</f>
        <v/>
      </c>
      <c r="OC24" s="164">
        <f>IFERROR(VLOOKUP(SUBSTITUTE(SUBSTITUTE(SUBSTITUTE($MX24,"~","~~"),"*","~*"),"?","~?"),'DADOS_MELHORIAS'!$AG$2:$AL$113,4,FALSE),0)+IFERROR(VLOOKUP(SUBSTITUTE(SUBSTITUTE(SUBSTITUTE($MY24,"~","~~"),"*","~*"),"?","~?"),'DADOS_MELHORIAS'!$AG$2:$AL$113,4,FALSE),0)+IFERROR(VLOOKUP(SUBSTITUTE(SUBSTITUTE(SUBSTITUTE($MZ24,"~","~~"),"*","~*"),"?","~?"),'DADOS_MELHORIAS'!$AG$2:$AL$113,4,FALSE),0)+IFERROR(VLOOKUP(SUBSTITUTE(SUBSTITUTE(SUBSTITUTE($NA24,"~","~~"),"*","~*"),"?","~?"),'DADOS_MELHORIAS'!$AG$2:$AL$113,4,FALSE),0)</f>
        <v/>
      </c>
      <c r="OD24" s="164">
        <f>IFERROR(VLOOKUP(SUBSTITUTE(SUBSTITUTE(SUBSTITUTE($MX24,"~","~~"),"*","~*"),"?","~?"),'DADOS_MELHORIAS'!$AG$2:$AL$113,6,FALSE),0)+IFERROR(VLOOKUP(SUBSTITUTE(SUBSTITUTE(SUBSTITUTE($MY24,"~","~~"),"*","~*"),"?","~?"),'DADOS_MELHORIAS'!$AG$2:$AL$113,6,FALSE),0)+IFERROR(VLOOKUP(SUBSTITUTE(SUBSTITUTE(SUBSTITUTE($MZ24,"~","~~"),"*","~*"),"?","~?"),'DADOS_MELHORIAS'!$AG$2:$AL$113,6,FALSE),0)+IFERROR(VLOOKUP(SUBSTITUTE(SUBSTITUTE(SUBSTITUTE($NA24,"~","~~"),"*","~*"),"?","~?"),'DADOS_MELHORIAS'!$AG$2:$AL$113,6,FALSE),0)+IFERROR(N(AND(INDEX('DADOS_FORMAS'!$AO$2:$AO$21,MATCH(SUBSTITUTE(SUBSTITUTE(SUBSTITUTE($MU24,"~","~~"),"*","~*"),"?","~?"),'DADOS_FORMAS'!$AH$2:$AH$21,0))="Acerto",$OH24=1)),0)</f>
        <v/>
      </c>
      <c r="OE24" s="164">
        <f>TEXTJOIN(", ",TRUE,IF(IFERROR(VLOOKUP(SUBSTITUTE(SUBSTITUTE(SUBSTITUTE($MX24,"~","~~"),"*","~*"),"?","~?"),'DADOS_MELHORIAS'!$AG$2:$AL$113,5,FALSE),0)=1,$MX24,""),IF(IFERROR(VLOOKUP(SUBSTITUTE(SUBSTITUTE(SUBSTITUTE($MY24,"~","~~"),"*","~*"),"?","~?"),'DADOS_MELHORIAS'!$AG$2:$AL$113,5,FALSE),0)=1,$MY24,""),IF(IFERROR(VLOOKUP(SUBSTITUTE(SUBSTITUTE(SUBSTITUTE($MZ24,"~","~~"),"*","~*"),"?","~?"),'DADOS_MELHORIAS'!$AG$2:$AL$113,5,FALSE),0)=1,$MZ24,""),IF(IFERROR(VLOOKUP(SUBSTITUTE(SUBSTITUTE(SUBSTITUTE($NA24,"~","~~"),"*","~*"),"?","~?"),'DADOS_MELHORIAS'!$AG$2:$AL$113,5,FALSE),0)=1,$NA24,""))</f>
        <v/>
      </c>
      <c r="OF24" s="164">
        <f>IF($NJ24=0,0,INDEX('DADOS_FORMAS'!$GC$2:$GC$21,$NJ24))</f>
        <v/>
      </c>
      <c r="OG24" s="164">
        <f>IF($NJ24=0,0,INDEX('DADOS_FORMAS'!$GD$2:$GD$21,$NJ24))</f>
        <v/>
      </c>
      <c r="OH24" s="164">
        <f>IF($NJ24=0,0,INDEX('DADOS_FORMAS'!$GF$2:$GF$21,$NJ24))</f>
        <v/>
      </c>
      <c r="OI24" s="164">
        <f>IFERROR(VLOOKUP(SUBSTITUTE(SUBSTITUTE(SUBSTITUTE($NB24,"~","~~"),"*","~*"),"?","~?"),'DADOS_RESTRICOES'!$M$2:$Q$54,3,FALSE),0)</f>
        <v/>
      </c>
      <c r="OJ24" s="164">
        <f>IFERROR(VLOOKUP(SUBSTITUTE(SUBSTITUTE(SUBSTITUTE($NC24,"~","~~"),"*","~*"),"?","~?"),'DADOS_RESTRICOES'!$M$2:$Q$54,3,FALSE),0)</f>
        <v/>
      </c>
      <c r="OK24" s="164">
        <f>IFERROR(VLOOKUP(SUBSTITUTE(SUBSTITUTE(SUBSTITUTE($NB24,"~","~~"),"*","~*"),"?","~?"),'DADOS_RESTRICOES'!$M$2:$Q$54,2,FALSE),"")</f>
        <v/>
      </c>
      <c r="OL24" s="164">
        <f>IFERROR(VLOOKUP(SUBSTITUTE(SUBSTITUTE(SUBSTITUTE($NC24,"~","~~"),"*","~*"),"?","~?"),'DADOS_RESTRICOES'!$M$2:$Q$54,2,FALSE),"")</f>
        <v/>
      </c>
      <c r="OM24" s="164">
        <f>COUNTIF($NS24:$NW24,1)</f>
        <v/>
      </c>
      <c r="ON24" s="164">
        <f>COUNTIF($NS24:$NW24,2)</f>
        <v/>
      </c>
      <c r="OO24" s="164">
        <f>COUNTIF($NS24:$NW24,3)</f>
        <v/>
      </c>
      <c r="OP24" s="164">
        <f>COUNTIF($NS24:$NW24,4)</f>
        <v/>
      </c>
      <c r="OQ24" s="164">
        <f>COUNTIF($NS24:$NW24,5)</f>
        <v/>
      </c>
      <c r="OR24" s="164">
        <f>COUNTIF($NS24:$NW24,6)</f>
        <v/>
      </c>
      <c r="OS24" s="164">
        <f>COUNTIF($OI24:$OJ24,1)+IF(IFERROR(INDEX('DADOS_FORMAS'!$AS$2:$AS$21,MATCH(SUBSTITUTE(SUBSTITUTE(SUBSTITUTE($MU24,"~","~~"),"*","~*"),"?","~?"),'DADOS_FORMAS'!$AH$2:$AH$21,0)),"")="",0,IFERROR(N(VLOOKUP(SUBSTITUTE(SUBSTITUTE(SUBSTITUTE(IFERROR(INDEX('DADOS_FORMAS'!$AS$2:$AS$21,MATCH(SUBSTITUTE(SUBSTITUTE(SUBSTITUTE($MU24,"~","~~"),"*","~*"),"?","~?"),'DADOS_FORMAS'!$AH$2:$AH$21,0)),""),"~","~~"),"*","~*"),"?","~?"),'DADOS_RESTRICOES'!$M$2:$Q$54,3,FALSE)=1),0))</f>
        <v/>
      </c>
      <c r="OT24" s="164">
        <f>COUNTIF($OI24:$OJ24,2)+IF(IFERROR(INDEX('DADOS_FORMAS'!$AS$2:$AS$21,MATCH(SUBSTITUTE(SUBSTITUTE(SUBSTITUTE($MU24,"~","~~"),"*","~*"),"?","~?"),'DADOS_FORMAS'!$AH$2:$AH$21,0)),"")="",0,IFERROR(N(VLOOKUP(SUBSTITUTE(SUBSTITUTE(SUBSTITUTE(IFERROR(INDEX('DADOS_FORMAS'!$AS$2:$AS$21,MATCH(SUBSTITUTE(SUBSTITUTE(SUBSTITUTE($MU24,"~","~~"),"*","~*"),"?","~?"),'DADOS_FORMAS'!$AH$2:$AH$21,0)),""),"~","~~"),"*","~*"),"?","~?"),'DADOS_RESTRICOES'!$M$2:$Q$54,3,FALSE)=2),0))</f>
        <v/>
      </c>
      <c r="OU24" s="164">
        <f>COUNTIF($MX24:$NA24,"?*")</f>
        <v/>
      </c>
      <c r="OV24" s="164">
        <f>COUNTIF($NB24:$NC24,"?*")+$OF24</f>
        <v/>
      </c>
      <c r="OW24" s="164">
        <f>IF($MS24=0,0,SUMPRODUCT($OM24:$OR24,INDEX($I$2:$N$8,MAX(1,$MS24),0)))</f>
        <v/>
      </c>
      <c r="OX24" s="164">
        <f>IF($MS24=0,0,$OS24*CEILING($MS24/2,1)+$OT24*$MS24)</f>
        <v/>
      </c>
      <c r="OY24" s="164">
        <f>MIN(2*$MS24,$OX24)</f>
        <v/>
      </c>
      <c r="OZ24" s="164">
        <f>MIN($OY24,$OW24-IF($NS24=0,0,INDEX($I$2:$N$8,MAX(1,$MS24),$NS24)))</f>
        <v/>
      </c>
      <c r="PA24" s="164">
        <f>$OY24-$OZ24</f>
        <v/>
      </c>
      <c r="PB24" s="164">
        <f>IF($MS24=0,0,INDEX($P$2:$P$8,MAX(1,$MS24)))</f>
        <v/>
      </c>
      <c r="PC24" s="164">
        <f>$PB24-$OW24+$OZ24</f>
        <v/>
      </c>
      <c r="PD24" s="164">
        <f>IF($MS24=0,MAX(0,$NG24-IF(AND($OU24&gt;0,COUNTIF($NB24:$NC24,"?*")=0),1,0)),MAX(0,$PC24))</f>
        <v/>
      </c>
      <c r="PE24" s="164">
        <f>IF($MS24=0,0,(IF(COUNTIF($RK24:$RN24,"Salto")&gt;0,1,0)+IF(COUNTIF($RK24:$RN24,"Queima")&gt;0,1,0)+IF(COUNTIF($RK24:$RN24,"Estilhaço")&gt;0,1,0))*FLOOR($PD24/2,1))</f>
        <v/>
      </c>
      <c r="PF24" s="164">
        <f>MAX(0,2-SUMPRODUCT($OM24:$OR24,$I$2:$N$2)+MIN(2,$OS24*1+$OT24*1,SUMPRODUCT($OM24:$OR24,$I$2:$N$2)-IF($NS24=0,0,INDEX($I$2:$N$2,1,$NS24))))</f>
        <v/>
      </c>
      <c r="PG24" s="164">
        <f>MAX(0,4-SUMPRODUCT($OM24:$OR24,$I$3:$N$3)+MIN(4,$OS24*1+$OT24*2,SUMPRODUCT($OM24:$OR24,$I$3:$N$3)-IF($NS24=0,0,INDEX($I$3:$N$3,1,$NS24))))</f>
        <v/>
      </c>
      <c r="PH24" s="164">
        <f>MAX(0,6-SUMPRODUCT($OM24:$OR24,$I$4:$N$4)+MIN(6,$OS24*2+$OT24*3,SUMPRODUCT($OM24:$OR24,$I$4:$N$4)-IF($NS24=0,0,INDEX($I$4:$N$4,1,$NS24))))</f>
        <v/>
      </c>
      <c r="PI24" s="164">
        <f>MAX(0,9-SUMPRODUCT($OM24:$OR24,$I$5:$N$5)+MIN(8,$OS24*2+$OT24*4,SUMPRODUCT($OM24:$OR24,$I$5:$N$5)-IF($NS24=0,0,INDEX($I$5:$N$5,1,$NS24))))</f>
        <v/>
      </c>
      <c r="PJ24" s="164">
        <f>MAX(0,11-SUMPRODUCT($OM24:$OR24,$I$6:$N$6)+MIN(10,$OS24*3+$OT24*5,SUMPRODUCT($OM24:$OR24,$I$6:$N$6)-IF($NS24=0,0,INDEX($I$6:$N$6,1,$NS24))))</f>
        <v/>
      </c>
      <c r="PK24" s="164">
        <f>MAX(0,13-SUMPRODUCT($OM24:$OR24,$I$7:$N$7)+MIN(12,$OS24*3+$OT24*6,SUMPRODUCT($OM24:$OR24,$I$7:$N$7)-IF($NS24=0,0,INDEX($I$7:$N$7,1,$NS24))))</f>
        <v/>
      </c>
      <c r="PL24" s="164">
        <f>MAX(0,16-SUMPRODUCT($OM24:$OR24,$I$8:$N$8)+MIN(14,$OS24*4+$OT24*7,SUMPRODUCT($OM24:$OR24,$I$8:$N$8)-IF($NS24=0,0,INDEX($I$8:$N$8,1,$NS24))))</f>
        <v/>
      </c>
      <c r="PM24" s="164">
        <f>IF($OG24=2,3*$PF24&amp;" de vida temp.",IF($OG24=3,"sem dano",IF($PF24=0,IF($OG24=1,"sem cura","sem dano"),IF($OG24=1,"cura ","")&amp;$PF24&amp;"d8")))</f>
        <v/>
      </c>
      <c r="PN24" s="164">
        <f>IF($OG24=2,3*$PG24&amp;" de vida temp.",IF($OG24=3,"sem dano",IF($PG24=0,IF($OG24=1,"sem cura","sem dano"),IF($OG24=1,"cura ","")&amp;$PG24&amp;"d8")))</f>
        <v/>
      </c>
      <c r="PO24" s="164">
        <f>IF($OG24=2,3*$PH24&amp;" de vida temp.",IF($OG24=3,"sem dano",IF($PH24=0,IF($OG24=1,"sem cura","sem dano"),IF($OG24=1,"cura ","")&amp;$PH24&amp;"d8")))</f>
        <v/>
      </c>
      <c r="PP24" s="164">
        <f>IF($OG24=2,3*$PI24&amp;" de vida temp.",IF($OG24=3,"sem dano",IF($PI24=0,IF($OG24=1,"sem cura","sem dano"),IF($OG24=1,"cura ","")&amp;$PI24&amp;"d8")))</f>
        <v/>
      </c>
      <c r="PQ24" s="164">
        <f>IF($OG24=2,3*$PJ24&amp;" de vida temp.",IF($OG24=3,"sem dano",IF($PJ24=0,IF($OG24=1,"sem cura","sem dano"),IF($OG24=1,"cura ","")&amp;$PJ24&amp;"d8")))</f>
        <v/>
      </c>
      <c r="PR24" s="164">
        <f>IF($OG24=2,3*$PK24&amp;" de vida temp.",IF($OG24=3,"sem dano",IF($PK24=0,IF($OG24=1,"sem cura","sem dano"),IF($OG24=1,"cura ","")&amp;$PK24&amp;"d8")))</f>
        <v/>
      </c>
      <c r="PS24" s="164">
        <f>IF($OG24=2,3*$PL24&amp;" de vida temp.",IF($OG24=3,"sem dano",IF($PL24=0,IF($OG24=1,"sem cura","sem dano"),IF($OG24=1,"cura ","")&amp;$PL24&amp;"d8")))</f>
        <v/>
      </c>
      <c r="PT24" s="164">
        <f>IF($ND24=0,"",TEXTJOIN(" · ",TRUE,IF($ND24=0,"",TEXTJOIN(" · ",TRUE,IF($ND24=0,"",TEXTJOIN(" · ",TRUE,IF($MQ24&gt;$NE24,"Este lugar abre no nível "&amp;$MQ24,""),IF($MS24&gt;$NF24,"Classe "&amp;$MS24&amp;": o nível "&amp;$NE24&amp;" libera até a "&amp;$NF24,""),IF($NX24=1,"A Forma "&amp;$MU24&amp;" pede "&amp;INDEX('DADOS_FORMAS'!$GA$2:$GA$21,$NJ24)&amp;" aberta",""),IF(AND($MS24=0,$NJ24&gt;0,IF($NJ24=0,0,INDEX('DADOS_FORMAS'!$GJ$2:$GJ$21,$NJ24))=0),$MU24&amp;" não existe na Classe 0",""),IF($NY24=1,"Família Fechada: "&amp;$MX24,""),IF($NZ24=1,"Família Fechada: "&amp;$MY24,""),IF($OA24=1,"Família Fechada: "&amp;$MZ24,""),IF($OB24=1,"Família Fechada: "&amp;$NA24,""),IF(AND($MS24&gt;0,$OU24&gt;INDEX($O$2:$O$8,MAX(1,$MS24))),$OU24&amp;" Melhorias: a Classe "&amp;$MS24&amp;" aceita "&amp;INDEX($O$2:$O$8,MAX(1,$MS24)),""),IF(AND($MS24=0,$OU24&gt;1),"A básica aceita uma Melhoria",""),IF(AND($MS24=0,COUNTIF($NO24:$NR24,"&gt;1")&gt;0),"A básica só aceita Melhoria Leve",""),IF(AND($MS24&gt;0,$OV24&gt;2),$OV24&amp;" Restrições"&amp;IF($OF24=1,", contando a que a Forma "&amp;$MU24&amp;" já traz","")&amp;": o limite é 2",""),IF(AND($MS24=0,COUNTIF($NB24:$NC24,"?*")&gt;1),"A básica aceita uma Restrição Leve",""),IF(AND($MS24=0,COUNTIF($OI24:$OJ24,2)&gt;0),"A básica só aceita Restrição Leve",""),IF(AND($MS24&gt;0,$PC24&lt;0),"Orçamento estourado: faltam "&amp;(-$PC24)&amp;IF($PC24&lt;-1," pontos"," ponto"),""),IF(IFERROR(VLOOKUP(SUBSTITUTE(SUBSTITUTE(SUBSTITUTE($NB24,"~","~~"),"*","~*"),"?","~?"),'DADOS_RESTRICOES'!$M$2:$Q$54,4,FALSE),0)+IFERROR(VLOOKUP(SUBSTITUTE(SUBSTITUTE(SUBSTITUTE($NC24,"~","~~"),"*","~*"),"?","~?"),'DADOS_RESTRICOES'!$M$2:$Q$54,4,FALSE),0)&gt;1,$OK24&amp;" e "&amp;$OL24&amp;" são as duas de frequência",""),IF(AND((COUNTIF($RK24:$RN24,"Rápido")+COUNTIF($OK24:$OL24,"Rápido"))&gt;0,(COUNTIF($MX24:$NA24,"Atrasar")+COUNTIF($OK24:$OL24,"Atrasar"))&gt;0),"Rápido não entra com Atrasar",""),IF(AND((COUNTIF($RK24:$RN24,"Reação")+COUNTIF($OK24:$OL24,"Reação"))&gt;0,(COUNTIF($RK24:$RN24,"Rápido")+COUNTIF($OK24:$OL24,"Rápido"))&gt;0),"Reação não entra com Rápido",""),IF(AND((COUNTIF($RK24:$RN24,"Reação")+COUNTIF($OK24:$OL24,"Reação"))&gt;0,(COUNTIF($RK24:$RN24,"Armado")+COUNTIF($OK24:$OL24,"Armado"))&gt;0),"Reação não entra com Armado",""),IF(AND((COUNTIF($RK24:$RN24,"Reação")+COUNTIF($OK24:$OL24,"Reação"))&gt;0,(COUNTIF($MX24:$NA24,"Atrasar")+COUNTIF($OK24:$OL24,"Atrasar"))&gt;0),"Reação não entra com Atrasar",""),IF(AND((COUNTIF($RK24:$RN24,"Reação")+COUNTIF($OK24:$OL24,"Reação"))&gt;0,(COUNTIF($MX24:$NA24,"Parado")+COUNTIF($OK24:$OL24,"Parado"))&gt;0),"Reação não entra com Parado",""),IF(AND((COUNTIF($MX24:$NA24,"Atrasar")+COUNTIF($OK24:$OL24,"Atrasar"))&gt;0,(COUNTIF($MX24:$NA24,"Parado")+COUNTIF($OK24:$OL24,"Parado"))&gt;0),"Atrasar não entra com Parado",""),IF(AND((COUNTIF($RK24:$RN24,"Armado")+COUNTIF($OK24:$OL24,"Armado"))&gt;0,(COUNTIF($MX24:$NA24,"Carregar")+COUNTIF($OK24:$OL24,"Carregar"))&gt;0),"Armado não entra com Carregar",""),IF(AND(COUNTIF($OK24:$OL24,"Corpo a Corpo")&gt;0,$OF24=0,OR($RO24="Cone",$RO24="Linha")),"Corpo a Corpo não entra em "&amp;$MU24,""),IF(AND(COUNTIF($OK24:$OL24,"Corpo a Corpo")&gt;0,$RP24="Corpo a Corpo"),"A Forma "&amp;$MU24&amp;" já traz o Corpo a Corpo",""),IF(AND(COUNTIF($OK24:$OL24,"Tudo ou Nada")&gt;0,$OH24=0),"Tudo ou Nada só entra em habilidade de Teste de Resistência",""),IF(AND(COUNTIF($RK24:$RN24,"Inescapável")&gt;0,OR($OU24&gt;1,$OV24&gt;0)),"Inescapável não aceita outra peça",""),IF(AND($MS24&gt;0,$PD24*IF(COUNTIF($RK24:$RN24,"Remate")&gt;0,1.25,1)+$PE24&gt;4*$MS24),($PD24*IF(COUNTIF($RK24:$RN24,"Remate")&gt;0,1.25,1)+$PE24)&amp;" dados somando repetições"&amp;IF(COUNTIF($RK24:$RN24,"Remate")&gt;0," e o Remate","")&amp;": o teto da Classe "&amp;$MS24&amp;" é "&amp;4*$MS24,""))),IF(AND($MX24&lt;&gt;"",COUNTIF('DADOS_MELHORIAS'!$O$2:$O$113,SUBSTITUTE(SUBSTITUTE(SUBSTITUTE($MX24,"~","~~"),"*","~*"),"?","~?"))=0),"Melhoria não cadastrada ou com erro: "&amp;$MX24,""),IF(AND($MY24&lt;&gt;"",COUNTIF('DADOS_MELHORIAS'!$O$2:$O$113,SUBSTITUTE(SUBSTITUTE(SUBSTITUTE($MY24,"~","~~"),"*","~*"),"?","~?"))=0),"Melhoria não cadastrada ou com erro: "&amp;$MY24,""),IF(AND($MZ24&lt;&gt;"",COUNTIF('DADOS_MELHORIAS'!$O$2:$O$113,SUBSTITUTE(SUBSTITUTE(SUBSTITUTE($MZ24,"~","~~"),"*","~*"),"?","~?"))=0),"Melhoria não cadastrada ou com erro: "&amp;$MZ24,""),IF(AND($NA24&lt;&gt;"",COUNTIF('DADOS_MELHORIAS'!$O$2:$O$113,SUBSTITUTE(SUBSTITUTE(SUBSTITUTE($NA24,"~","~~"),"*","~*"),"?","~?"))=0),"Melhoria não cadastrada ou com erro: "&amp;$NA24,""),IF(AND($NB24&lt;&gt;"",COUNTIF('DADOS_RESTRICOES'!$M$2:$M$54,SUBSTITUTE(SUBSTITUTE(SUBSTITUTE($NB24,"~","~~"),"*","~*"),"?","~?"))=0),"Restrição não cadastrada ou com erro: "&amp;$NB24,""),IF(AND($NC24&lt;&gt;"",COUNTIF('DADOS_RESTRICOES'!$M$2:$M$54,SUBSTITUTE(SUBSTITUTE(SUBSTITUTE($NC24,"~","~~"),"*","~*"),"?","~?"))=0),"Restrição não cadastrada ou com erro: "&amp;$NC24,""))),IF(AND($MU24&lt;&gt;"",COUNTIF('DADOS_FORMAS'!$AH$2:$AH$21,SUBSTITUTE(SUBSTITUTE(SUBSTITUTE($MU24,"~","~~"),"*","~*"),"?","~?"))=0),"Forma não cadastrada ou com erro: "&amp;$MU24,""),IF(AND(IFERROR(INDEX('DADOS_FORMAS'!$AS$2:$AS$21,MATCH(SUBSTITUTE(SUBSTITUTE(SUBSTITUTE($MU24,"~","~~"),"*","~*"),"?","~?"),'DADOS_FORMAS'!$AH$2:$AH$21,0)),"")&lt;&gt;"",OR(IFERROR(VLOOKUP(SUBSTITUTE(SUBSTITUTE(SUBSTITUTE(IFERROR(INDEX('DADOS_FORMAS'!$AS$2:$AS$21,MATCH(SUBSTITUTE(SUBSTITUTE(SUBSTITUTE($MU24,"~","~~"),"*","~*"),"?","~?"),'DADOS_FORMAS'!$AH$2:$AH$21,0)),""),"~","~~"),"*","~*"),"?","~?"),'DADOS_RESTRICOES'!$M$2:$Q$54,2,FALSE),"")=$OK24,IFERROR(VLOOKUP(SUBSTITUTE(SUBSTITUTE(SUBSTITUTE(IFERROR(INDEX('DADOS_FORMAS'!$AS$2:$AS$21,MATCH(SUBSTITUTE(SUBSTITUTE(SUBSTITUTE($MU24,"~","~~"),"*","~*"),"?","~?"),'DADOS_FORMAS'!$AH$2:$AH$21,0)),""),"~","~~"),"*","~*"),"?","~?"),'DADOS_RESTRICOES'!$M$2:$Q$54,2,FALSE),"")=$OL24)),"Restrição repetida, contando a embutida",""),IF(IF(IFERROR(INDEX('DADOS_FORMAS'!$AS$2:$AS$21,MATCH(SUBSTITUTE(SUBSTITUTE(SUBSTITUTE($MU24,"~","~~"),"*","~*"),"?","~?"),'DADOS_FORMAS'!$AH$2:$AH$21,0)),"")="",0,IFERROR(N(VLOOKUP(SUBSTITUTE(SUBSTITUTE(SUBSTITUTE(IFERROR(INDEX('DADOS_FORMAS'!$AS$2:$AS$21,MATCH(SUBSTITUTE(SUBSTITUTE(SUBSTITUTE($MU24,"~","~~"),"*","~*"),"?","~?"),'DADOS_FORMAS'!$AH$2:$AH$21,0)),""),"~","~~"),"*","~*"),"?","~?"),'DADOS_RESTRICOES'!$M$2:$Q$54,4,FALSE)=1),0))+IF($NB24="",0,IFERROR(N(VLOOKUP(SUBSTITUTE(SUBSTITUTE(SUBSTITUTE($NB24,"~","~~"),"*","~*"),"?","~?"),'DADOS_RESTRICOES'!$M$2:$Q$54,4,FALSE)=1),0))+IF($NC24="",0,IFERROR(N(VLOOKUP(SUBSTITUTE(SUBSTITUTE(SUBSTITUTE($NC24,"~","~~"),"*","~*"),"?","~?"),'DADOS_RESTRICOES'!$M$2:$Q$54,4,FALSE)=1),0))&gt;1,"Duas Restrições de frequência, contando a embutida",""),IF(AND(IFERROR(VLOOKUP(SUBSTITUTE(SUBSTITUTE(SUBSTITUTE(IFERROR(INDEX('DADOS_FORMAS'!$AS$2:$AS$21,MATCH(SUBSTITUTE(SUBSTITUTE(SUBSTITUTE($MU24,"~","~~"),"*","~*"),"?","~?"),'DADOS_FORMAS'!$AH$2:$AH$21,0)),""),"~","~~"),"*","~*"),"?","~?"),'DADOS_RESTRICOES'!$M$2:$Q$54,2,FALSE),"")="Tudo ou Nada",$OH24=0),"Tudo ou Nada exige TR",""),IF(AND(IFERROR(VLOOKUP(SUBSTITUTE(SUBSTITUTE(SUBSTITUTE(IFERROR(INDEX('DADOS_FORMAS'!$AS$2:$AS$21,MATCH(SUBSTITUTE(SUBSTITUTE(SUBSTITUTE($MU24,"~","~~"),"*","~*"),"?","~?"),'DADOS_FORMAS'!$AH$2:$AH$21,0)),""),"~","~~"),"*","~*"),"?","~?"),'DADOS_RESTRICOES'!$M$2:$Q$54,2,FALSE),"")="Corpo a Corpo",OR($RO24="Cone",$RO24="Linha")),"Corpo a Corpo não entra em Cone/Linha","")))</f>
        <v/>
      </c>
      <c r="PU24" s="164">
        <f>IF($PT24="",0,(LEN($PT24)-LEN(SUBSTITUTE($PT24," · ","")))/3+1)</f>
        <v/>
      </c>
      <c r="PV24" s="164">
        <f>IF($ND24=0,"",TEXTJOIN(" · ",TRUE,IF($OX24&gt;2*$MS24,"A devolução parou no teto de "&amp;2*$MS24,""),IF($PA24&gt;0,"Devolução perdida: "&amp;$PA24&amp;IF($PA24&gt;1," pontos"," ponto")&amp;" sem Melhoria para pagar",""),IF(AND($OC24&gt;0,AND($MS24&gt;0,$OG24=0),$PD24=0),"Controle sem dano: uma rodada a mais e CD +2",""),IF(AND($OC24&gt;0,AND($MS24&gt;0,$OG24=0),$PD24&gt;0,$PD24&lt;=$MS24),"Controle com saldo até a Classe: uma rodada a mais",""),IF(AND($MS24&gt;0,$OE24&lt;&gt;""),"Efeito de "&amp;$OE24&amp;" pela Classe "&amp;MAX(1,$MS24-1),"")))</f>
        <v/>
      </c>
      <c r="PW24" s="164">
        <f>IF($PV24="",0,(LEN($PV24)-LEN(SUBSTITUTE($PV24," · ","")))/3+1)</f>
        <v/>
      </c>
      <c r="PX24" s="164">
        <f>IF($ND24=0,IF($OU24+COUNTIF($NB24:$NC24,"?*")&gt;0,"Dê um nome",""),IF($PU24&gt;0,"⚠ "&amp;$PU24&amp;IF($PU24&gt;1," erros"," erro"),IF($PW24&gt;0,"! "&amp;$PW24&amp;IF($PW24&gt;1," avisos"," aviso"),"Na regra")))</f>
        <v/>
      </c>
      <c r="PY24" s="164">
        <f>IF($ND24=0,"",IF($PU24+$PW24=0,"Dentro das regras que a ficha confere",$PT24&amp;IF(AND($PU24&gt;0,$PW24&gt;0)," · ","")&amp;$PV24))</f>
        <v/>
      </c>
      <c r="PZ24" s="164">
        <f>IF($MQ24&gt;$NE24,$MR24&amp;" · ABRE NO NÍVEL "&amp;$MQ24,$MR24)</f>
        <v/>
      </c>
      <c r="QA24" s="164">
        <f>IF($ND24=0,"",IF($MS24=0,"Sem PE",3*$MS24&amp;" PE"))</f>
        <v/>
      </c>
      <c r="QB24" s="164">
        <f>IF($ND24=0,"",IF($MS24=0,"A atuação básica dela",IF(COUNTIF($RQ24:$RS24,"Atrasar")&gt;0,"Sua Ação Completa",IF(COUNTIF($RK24:$RN24,"Rápido")&gt;0,"Sua Bônus",IF(COUNTIF($RK24:$RN24,"Reação")&gt;0,"Sua Reação","Sua Padrão")))&amp;" + a básica dela"&amp;IF(COUNTIF($RK24:$RN24,"Reação")&gt;0," e a coletiva","")&amp;IF(COUNTIF($RQ24:$RS24,"Carregar")&gt;0," · em dois turnos","")))</f>
        <v/>
      </c>
      <c r="QC24" s="164">
        <f>IF($MW24&lt;&gt;"",$MW24,IF($NJ24=0,"",INDEX('DADOS_FORMAS'!$GE$2:$GE$21,$NJ24)))</f>
        <v/>
      </c>
      <c r="QD24" s="164">
        <f>IF(OR($ND24=0,$NJ24=0),"",IF(COUNTIF($RK24:$RN24,"Inescapável")&gt;0,"Automático",IF($QC24="Ataque",IF($NH24="","Ataque","Ataque "&amp;IF(($NH24+2*IF(COUNTIF($RK24:$RN24,"Precisão")&gt;0,1,0))&gt;=0,"+","−")&amp;ABS(($NH24+2*IF(COUNTIF($RK24:$RN24,"Precisão")&gt;0,1,0))))&amp;IF($OD24&gt;0," · TR"&amp;IF($NI24="",""," CD "&amp;$NI24),""),IF(LEFT($QC24,2)="TR",$QC24&amp;IF($NI24="",""," · CD "&amp;$NI24)&amp;IF(COUNTIF($RK24:$RN24,"Certeiro")&gt;0," · metade",""),"Sem rolagem"))))</f>
        <v/>
      </c>
      <c r="QE24" s="164">
        <f>IF(OR($ND24=0,$NJ24=0),"",IF($MS24=0,IF(OR($OG24&gt;=1,$PD24=0),"Sem dano",$PD24&amp;"d6"&amp;IF($MV24="",""," "&amp;$MV24)),IF(OR($OG24&gt;=1,$PD24=0),UPPER(LEFT(INDEX($PM24:$PS24,1,MAX(1,$MS24)),1))&amp;MID(INDEX($PM24:$PS24,1,MAX(1,$MS24)),2,99),UPPER(LEFT(INDEX($PM24:$PS24,1,MAX(1,$MS24)),1))&amp;MID(INDEX($PM24:$PS24,1,MAX(1,$MS24)),2,99)&amp;IF($MV24="",""," "&amp;$MV24)&amp;IF($PE24&gt;0," · +"&amp;$PE24&amp;"d8",""))))</f>
        <v/>
      </c>
      <c r="QF24" s="164">
        <f>COUNTIF($RK24:$RN24,"Longe")+3*COUNTIF($RK24:$RN24,"Muito Longe")</f>
        <v/>
      </c>
      <c r="QG24" s="164">
        <f>COUNTIF($RK24:$RN24,"Maior")+3*COUNTIF($RK24:$RN24,"Muito Maior")</f>
        <v/>
      </c>
      <c r="QH24" s="164">
        <f>IF($NJ24=0,0,CHOOSE(1+INDEX('DADOS_FORMAS'!$GG$2:$GG$21,$NJ24),0,$QF24,$QG24,$QF24+$QG24))</f>
        <v/>
      </c>
      <c r="QI24" s="164">
        <f>IF($NJ24=0,0,CHOOSE(1+INDEX('DADOS_FORMAS'!$GH$2:$GH$21,$NJ24),0,$QF24,$QG24,$QF24+$QG24))</f>
        <v/>
      </c>
      <c r="QJ24" s="164">
        <f>IF(OR($ND24=0,$NJ24=0),"",INDEX('DADOS_FORMAS'!$HU$2:$HZ$81,($NJ24-1)*4+IF($MS24=0,1,IF($MS24&lt;=5,2,IF($MS24=6,3,4))),1+MIN(5,$QH24))&amp;INDEX('DADOS_FORMAS'!$IA$2:$IF$81,($NJ24-1)*4+IF($MS24=0,1,IF($MS24&lt;=5,2,IF($MS24=6,3,4))),1+MIN(5,$QI24))&amp;IF(INDEX('DADOS_FORMAS'!$GI$2:$GI$21,$NJ24)=1,IF(COUNTIF($RK24:$RN24,"Mais Um")&gt;0," · +"&amp;COUNTIF($RK24:$RN24,"Mais Um")&amp;IF(COUNTIF($RK24:$RN24,"Mais Um")&gt;1," alvos"," alvo"),"")&amp;IF(COUNTIF($RK24:$RN24,"Rajada")&gt;0,IF($MS24=0," · 1 tiro"," · "&amp;(MAX(1,$MS24-1)+1)&amp;" tiros"),""),""))</f>
        <v/>
      </c>
      <c r="QK24" s="164">
        <f>IF($ND24=0,"",IF($MS24=0,$NG24&amp;"d6"&amp;IF($OU24&gt;0," − 1 = "&amp;$PD24&amp;"d6"," da básica do nível "&amp;$NE24),$PB24&amp;" − "&amp;$OW24&amp;" + "&amp;$OZ24&amp;" = "&amp;$PC24&amp;" · teto "&amp;4*$MS24&amp;"d8"&amp;IF($OF24=1," · a Forma devolve "&amp;$MS24,"")&amp;IF($PA24&gt;0," · perde "&amp;$PA24,"")))</f>
        <v/>
      </c>
      <c r="QL24" s="164">
        <f>IF($ND24=0,"",IF($MS24=0,"A básica não amplia: os dados dela sobem com o nível",IF($MS24&gt;=$NF24,"Já está na maior Classe que o nível liberou",TEXTJOIN(" · ",TRUE,IF(AND(2&gt;$MS24,2&lt;=$NF24),"2 → "&amp;$PN24&amp;", 6 PE",""),IF(AND(3&gt;$MS24,3&lt;=$NF24),"3 → "&amp;$PO24&amp;", 9 PE",""),IF(AND(4&gt;$MS24,4&lt;=$NF24),"4 → "&amp;$PP24&amp;", 12 PE",""),IF(AND(5&gt;$MS24,5&lt;=$NF24),"5 → "&amp;$PQ24&amp;", 15 PE",""),IF(AND(6&gt;$MS24,6&lt;=$NF24),"6 → "&amp;$PR24&amp;", 18 PE",""),IF(AND(7&gt;$MS24,7&lt;=$NF24),"7 → "&amp;$PS24&amp;", 21 PE","")))))</f>
        <v/>
      </c>
      <c r="QM24" s="164">
        <f>IF(OR($ND24=0,$NO24=0),"",IF($MS24=0,"−1 dado","−"&amp;INDEX($I$2:$N$8,MAX(1,$MS24),MAX(1,$NT24))&amp;" · "&amp;CHOOSE(MAX(1,$NT24),"Leve","Média","Pesada","Leve · Livre","Média · Livre","Pesada · Livre")))</f>
        <v/>
      </c>
      <c r="QN24" s="164">
        <f>IF(OR($ND24=0,$NP24=0),"",IF($MS24=0,"−1 dado","−"&amp;INDEX($I$2:$N$8,MAX(1,$MS24),MAX(1,$NU24))&amp;" · "&amp;CHOOSE(MAX(1,$NU24),"Leve","Média","Pesada","Leve · Livre","Média · Livre","Pesada · Livre")))</f>
        <v/>
      </c>
      <c r="QO24" s="164">
        <f>IF(OR($ND24=0,$NQ24=0),"",IF($MS24=0,"−1 dado","−"&amp;INDEX($I$2:$N$8,MAX(1,$MS24),MAX(1,$NV24))&amp;" · "&amp;CHOOSE(MAX(1,$NV24),"Leve","Média","Pesada","Leve · Livre","Média · Livre","Pesada · Livre")))</f>
        <v/>
      </c>
      <c r="QP24" s="164">
        <f>IF(OR($ND24=0,$NR24=0),"",IF($MS24=0,"−1 dado","−"&amp;INDEX($I$2:$N$8,MAX(1,$MS24),MAX(1,$NW24))&amp;" · "&amp;CHOOSE(MAX(1,$NW24),"Leve","Média","Pesada","Leve · Livre","Média · Livre","Pesada · Livre")))</f>
        <v/>
      </c>
      <c r="QQ24" s="164">
        <f>IF(OR($ND24=0,$NB24=""),"",IF($MS24=0,"não devolve","+"&amp;IF($OI24=1,CEILING($MS24/2,1),$MS24)))</f>
        <v/>
      </c>
      <c r="QR24" s="164">
        <f>IF(OR($ND24=0,$NC24=""),"",IF($MS24=0,"não devolve","+"&amp;IF($OJ24=1,CEILING($MS24/2,1),$MS24)))</f>
        <v/>
      </c>
      <c r="RK24">
        <f>IF($MX24="","",IFERROR(VLOOKUP(SUBSTITUTE(SUBSTITUTE(SUBSTITUTE($MX24,"~","~~"),"*","~*"),"?","~?"),'DADOS_MELHORIAS'!$O$2:$X$113,10,FALSE),$MX24))</f>
        <v/>
      </c>
      <c r="RL24">
        <f>IF($MY24="","",IFERROR(VLOOKUP(SUBSTITUTE(SUBSTITUTE(SUBSTITUTE($MY24,"~","~~"),"*","~*"),"?","~?"),'DADOS_MELHORIAS'!$O$2:$X$113,10,FALSE),$MY24))</f>
        <v/>
      </c>
      <c r="RM24">
        <f>IF($MZ24="","",IFERROR(VLOOKUP(SUBSTITUTE(SUBSTITUTE(SUBSTITUTE($MZ24,"~","~~"),"*","~*"),"?","~?"),'DADOS_MELHORIAS'!$O$2:$X$113,10,FALSE),$MZ24))</f>
        <v/>
      </c>
      <c r="RN24">
        <f>IF($NA24="","",IFERROR(VLOOKUP(SUBSTITUTE(SUBSTITUTE(SUBSTITUTE($NA24,"~","~~"),"*","~*"),"?","~?"),'DADOS_MELHORIAS'!$O$2:$X$113,10,FALSE),$NA24))</f>
        <v/>
      </c>
      <c r="RO24">
        <f>IFERROR(INDEX('DADOS_FORMAS'!$BJ$2:$BJ$21,MATCH(SUBSTITUTE(SUBSTITUTE(SUBSTITUTE($MU24,"~","~~"),"*","~*"),"?","~?"),'DADOS_FORMAS'!$AH$2:$AH$21,0)),"")</f>
        <v/>
      </c>
      <c r="RP24">
        <f>IFERROR(VLOOKUP(SUBSTITUTE(SUBSTITUTE(SUBSTITUTE(IFERROR(INDEX('DADOS_FORMAS'!$AS$2:$AS$21,MATCH(SUBSTITUTE(SUBSTITUTE(SUBSTITUTE($MU24,"~","~~"),"*","~*"),"?","~?"),'DADOS_FORMAS'!$AH$2:$AH$21,0)),""),"~","~~"),"*","~*"),"?","~?"),'DADOS_RESTRICOES'!$M$2:$Q$54,2,FALSE),"")</f>
        <v/>
      </c>
      <c r="RQ24">
        <f>$OK24</f>
        <v/>
      </c>
      <c r="RR24">
        <f>$OL24</f>
        <v/>
      </c>
      <c r="RS24">
        <f>$RP24</f>
        <v/>
      </c>
    </row>
    <row r="25">
      <c r="AH25" s="162" t="inlineStr">
        <is>
          <t>Linha · classe 7</t>
        </is>
      </c>
      <c r="AI25" s="162" t="inlineStr">
        <is>
          <t>Linha de 30 m por 1,5 m</t>
        </is>
      </c>
      <c r="AJ25" s="162" t="inlineStr">
        <is>
          <t>Linha de 60 m por 1,5 m</t>
        </is>
      </c>
      <c r="AK25" s="162" t="inlineStr">
        <is>
          <t>Linha de 60 m por 1,5 m</t>
        </is>
      </c>
      <c r="AL25" s="162" t="inlineStr">
        <is>
          <t>Linha de 60 m por 1,5 m</t>
        </is>
      </c>
      <c r="AM25" s="162" t="inlineStr">
        <is>
          <t>Linha de 60 m por 1,5 m</t>
        </is>
      </c>
      <c r="AN25" s="162" t="inlineStr">
        <is>
          <t>Linha de 60 m por 1,5 m</t>
        </is>
      </c>
      <c r="AO25" s="162" t="inlineStr"/>
      <c r="AP25" s="162" t="inlineStr"/>
      <c r="AQ25" s="162" t="inlineStr"/>
      <c r="AR25" s="162" t="inlineStr"/>
      <c r="AS25" s="162" t="inlineStr"/>
      <c r="AT25" s="162" t="inlineStr"/>
      <c r="AV25" s="162" t="inlineStr">
        <is>
          <t>Guarda Aberta</t>
        </is>
      </c>
      <c r="AW25" s="162" t="inlineStr">
        <is>
          <t>Controle</t>
        </is>
      </c>
      <c r="AX25" s="164" t="n">
        <v>1</v>
      </c>
      <c r="AY25" s="164" t="n">
        <v>1</v>
      </c>
      <c r="AZ25" s="164" t="n">
        <v>0</v>
      </c>
      <c r="BA25" s="164" t="n">
        <v>1</v>
      </c>
      <c r="JT25" s="164">
        <f>IF(OR($AW25="",(COUNTIF($EL$2:$EP$2,$AW25)+COUNTIF($QV$2:$QY$2,$AW25))&gt;0),$AV25,"")</f>
        <v/>
      </c>
      <c r="JU25" s="164">
        <f>IF(AND($AX25=1,OR($AW25="",(COUNTIF($EL$2:$EP$2,$AW25)+COUNTIF($QV$2:$QY$2,$AW25))&gt;0)),$AV25,"")</f>
        <v/>
      </c>
      <c r="JZ25" s="164">
        <f>IF(OR($AW25="",(COUNTIF($EL$3:$EP$3,$AW25)+COUNTIF($QV$3:$QY$3,$AW25))&gt;0),$AV25,"")</f>
        <v/>
      </c>
      <c r="KA25" s="164">
        <f>IF(AND($AX25=1,OR($AW25="",(COUNTIF($EL$3:$EP$3,$AW25)+COUNTIF($QV$3:$QY$3,$AW25))&gt;0)),$AV25,"")</f>
        <v/>
      </c>
      <c r="KF25" s="164">
        <f>IF(OR($AW25="",(COUNTIF($EL$4:$EP$4,$AW25)+COUNTIF($QV$4:$QY$4,$AW25))&gt;0),$AV25,"")</f>
        <v/>
      </c>
      <c r="KG25" s="164">
        <f>IF(AND($AX25=1,OR($AW25="",(COUNTIF($EL$4:$EP$4,$AW25)+COUNTIF($QV$4:$QY$4,$AW25))&gt;0)),$AV25,"")</f>
        <v/>
      </c>
      <c r="KL25" s="164">
        <f>IF(OR($AW25="",(COUNTIF($EL$5:$EP$5,$AW25)+COUNTIF($QV$5:$QY$5,$AW25))&gt;0),$AV25,"")</f>
        <v/>
      </c>
      <c r="KM25" s="164">
        <f>IF(AND($AX25=1,OR($AW25="",(COUNTIF($EL$5:$EP$5,$AW25)+COUNTIF($QV$5:$QY$5,$AW25))&gt;0)),$AV25,"")</f>
        <v/>
      </c>
      <c r="KR25" s="164">
        <f>IF(OR($AW25="",(COUNTIF($EL$6:$EP$6,$AW25)+COUNTIF($QV$6:$QY$6,$AW25))&gt;0),$AV25,"")</f>
        <v/>
      </c>
      <c r="KS25" s="164">
        <f>IF(AND($AX25=1,OR($AW25="",(COUNTIF($EL$6:$EP$6,$AW25)+COUNTIF($QV$6:$QY$6,$AW25))&gt;0)),$AV25,"")</f>
        <v/>
      </c>
      <c r="KX25" s="164">
        <f>IF(OR($AW25="",(COUNTIF($EL$7:$EP$7,$AW25)+COUNTIF($QV$7:$QY$7,$AW25))&gt;0),$AV25,"")</f>
        <v/>
      </c>
      <c r="KY25" s="164">
        <f>IF(AND($AX25=1,OR($AW25="",(COUNTIF($EL$7:$EP$7,$AW25)+COUNTIF($QV$7:$QY$7,$AW25))&gt;0)),$AV25,"")</f>
        <v/>
      </c>
      <c r="LD25" s="164">
        <f>IF(OR($AW25="",(COUNTIF($EL$8:$EP$8,$AW25)+COUNTIF($QV$8:$QY$8,$AW25))&gt;0),$AV25,"")</f>
        <v/>
      </c>
      <c r="LE25" s="164">
        <f>IF(AND($AX25=1,OR($AW25="",(COUNTIF($EL$8:$EP$8,$AW25)+COUNTIF($QV$8:$QY$8,$AW25))&gt;0)),$AV25,"")</f>
        <v/>
      </c>
      <c r="LJ25" s="164">
        <f>IF(OR($AW25="",(COUNTIF($EL$9:$EP$9,$AW25)+COUNTIF($QV$9:$QY$9,$AW25))&gt;0),$AV25,"")</f>
        <v/>
      </c>
      <c r="LK25" s="164">
        <f>IF(AND($AX25=1,OR($AW25="",(COUNTIF($EL$9:$EP$9,$AW25)+COUNTIF($QV$9:$QY$9,$AW25))&gt;0)),$AV25,"")</f>
        <v/>
      </c>
      <c r="LP25" s="164">
        <f>IF(OR($AW25="",(COUNTIF($EL$10:$EP$10,$AW25)+COUNTIF($QV$10:$QY$10,$AW25))&gt;0),$AV25,"")</f>
        <v/>
      </c>
      <c r="LQ25" s="164">
        <f>IF(AND($AX25=1,OR($AW25="",(COUNTIF($EL$10:$EP$10,$AW25)+COUNTIF($QV$10:$QY$10,$AW25))&gt;0)),$AV25,"")</f>
        <v/>
      </c>
      <c r="LV25" s="164">
        <f>IF(OR($AW25="",(COUNTIF($EL$11:$EP$11,$AW25)+COUNTIF($QV$11:$QY$11,$AW25))&gt;0),$AV25,"")</f>
        <v/>
      </c>
      <c r="LW25" s="164">
        <f>IF(AND($AX25=1,OR($AW25="",(COUNTIF($EL$11:$EP$11,$AW25)+COUNTIF($QV$11:$QY$11,$AW25))&gt;0)),$AV25,"")</f>
        <v/>
      </c>
      <c r="MB25" s="164">
        <f>IF(OR($AW25="",(COUNTIF($EL$12:$EP$12,$AW25)+COUNTIF($QV$12:$QY$12,$AW25))&gt;0),$AV25,"")</f>
        <v/>
      </c>
      <c r="MC25" s="164">
        <f>IF(AND($AX25=1,OR($AW25="",(COUNTIF($EL$12:$EP$12,$AW25)+COUNTIF($QV$12:$QY$12,$AW25))&gt;0)),$AV25,"")</f>
        <v/>
      </c>
      <c r="MH25" s="164">
        <f>IF(OR($AW25="",(COUNTIF($EL$13:$EP$13,$AW25)+COUNTIF($QV$13:$QY$13,$AW25))&gt;0),$AV25,"")</f>
        <v/>
      </c>
      <c r="MI25" s="164">
        <f>IF(AND($AX25=1,OR($AW25="",(COUNTIF($EL$13:$EP$13,$AW25)+COUNTIF($QV$13:$QY$13,$AW25))&gt;0)),$AV25,"")</f>
        <v/>
      </c>
      <c r="MN25" s="162" t="inlineStr">
        <is>
          <t>Ficha 2 · Escolha da trilha 1</t>
        </is>
      </c>
      <c r="MO25" s="164" t="n">
        <v>2</v>
      </c>
      <c r="MP25" s="164" t="n">
        <v>2</v>
      </c>
      <c r="MQ25" s="164" t="n">
        <v>0</v>
      </c>
      <c r="MR25" s="162" t="inlineStr">
        <is>
          <t>ESCOLHA DA TRILHA 1</t>
        </is>
      </c>
      <c r="MS25" s="164">
        <f>MAX(0,MIN(7,N('INVOCAÇÕES'!$I$384)))</f>
        <v/>
      </c>
      <c r="MT25" s="164">
        <f>'INVOCAÇÕES'!$J$384&amp;""</f>
        <v/>
      </c>
      <c r="MU25" s="164">
        <f>'INVOCAÇÕES'!$I$389&amp;""</f>
        <v/>
      </c>
      <c r="MV25" s="164">
        <f>'INVOCAÇÕES'!$I$390&amp;""</f>
        <v/>
      </c>
      <c r="MW25" s="164">
        <f>'INVOCAÇÕES'!$K$390&amp;""</f>
        <v/>
      </c>
      <c r="MX25" s="164">
        <f>'INVOCAÇÕES'!$J$393&amp;""</f>
        <v/>
      </c>
      <c r="MY25" s="164">
        <f>'INVOCAÇÕES'!$J$394&amp;""</f>
        <v/>
      </c>
      <c r="MZ25" s="164">
        <f>'INVOCAÇÕES'!$J$395&amp;""</f>
        <v/>
      </c>
      <c r="NA25" s="164">
        <f>'INVOCAÇÕES'!$J$396&amp;""</f>
        <v/>
      </c>
      <c r="NB25" s="164">
        <f>'INVOCAÇÕES'!$J$397&amp;""</f>
        <v/>
      </c>
      <c r="NC25" s="164">
        <f>'INVOCAÇÕES'!$J$398&amp;""</f>
        <v/>
      </c>
      <c r="ND25" s="164">
        <f>IF($MT25&lt;&gt;"",1,0)</f>
        <v/>
      </c>
      <c r="NE25" s="164">
        <f>INDEX($FO$2:$FO$13,$MO25)</f>
        <v/>
      </c>
      <c r="NF25" s="164">
        <f>INDEX($FP$2:$FP$13,$MO25)</f>
        <v/>
      </c>
      <c r="NG25" s="164">
        <f>INDEX($FQ$2:$FQ$13,$MO25)</f>
        <v/>
      </c>
      <c r="NH25" s="164">
        <f>INDEX($GB$2:$GB$13,$MO25)</f>
        <v/>
      </c>
      <c r="NI25" s="164">
        <f>INDEX($GC$2:$GC$13,$MO25)</f>
        <v/>
      </c>
      <c r="NJ25" s="164">
        <f>IFERROR(MATCH(SUBSTITUTE(SUBSTITUTE(SUBSTITUTE($MU25,"~","~~"),"*","~*"),"?","~?"),'DADOS_FORMAS'!$FZ$2:$FZ$21,0),0)</f>
        <v/>
      </c>
      <c r="NK25" s="164">
        <f>IFERROR(VLOOKUP(SUBSTITUTE(SUBSTITUTE(SUBSTITUTE($MX25,"~","~~"),"*","~*"),"?","~?"),'DADOS_MELHORIAS'!$AG$2:$AL$113,2,FALSE),"")</f>
        <v/>
      </c>
      <c r="NL25" s="164">
        <f>IFERROR(VLOOKUP(SUBSTITUTE(SUBSTITUTE(SUBSTITUTE($MY25,"~","~~"),"*","~*"),"?","~?"),'DADOS_MELHORIAS'!$AG$2:$AL$113,2,FALSE),"")</f>
        <v/>
      </c>
      <c r="NM25" s="164">
        <f>IFERROR(VLOOKUP(SUBSTITUTE(SUBSTITUTE(SUBSTITUTE($MZ25,"~","~~"),"*","~*"),"?","~?"),'DADOS_MELHORIAS'!$AG$2:$AL$113,2,FALSE),"")</f>
        <v/>
      </c>
      <c r="NN25" s="164">
        <f>IFERROR(VLOOKUP(SUBSTITUTE(SUBSTITUTE(SUBSTITUTE($NA25,"~","~~"),"*","~*"),"?","~?"),'DADOS_MELHORIAS'!$AG$2:$AL$113,2,FALSE),"")</f>
        <v/>
      </c>
      <c r="NO25" s="164">
        <f>IFERROR(VLOOKUP(SUBSTITUTE(SUBSTITUTE(SUBSTITUTE($MX25,"~","~~"),"*","~*"),"?","~?"),'DADOS_MELHORIAS'!$AG$2:$AL$113,3,FALSE),0)</f>
        <v/>
      </c>
      <c r="NP25" s="164">
        <f>IFERROR(VLOOKUP(SUBSTITUTE(SUBSTITUTE(SUBSTITUTE($MY25,"~","~~"),"*","~*"),"?","~?"),'DADOS_MELHORIAS'!$AG$2:$AL$113,3,FALSE),0)</f>
        <v/>
      </c>
      <c r="NQ25" s="164">
        <f>IFERROR(VLOOKUP(SUBSTITUTE(SUBSTITUTE(SUBSTITUTE($MZ25,"~","~~"),"*","~*"),"?","~?"),'DADOS_MELHORIAS'!$AG$2:$AL$113,3,FALSE),0)</f>
        <v/>
      </c>
      <c r="NR25" s="164">
        <f>IFERROR(VLOOKUP(SUBSTITUTE(SUBSTITUTE(SUBSTITUTE($NA25,"~","~~"),"*","~*"),"?","~?"),'DADOS_MELHORIAS'!$AG$2:$AL$113,3,FALSE),0)</f>
        <v/>
      </c>
      <c r="NS25" s="164">
        <f>IF($MS25=0,0,IF($NJ25=0,0,INDEX('DADOS_FORMAS'!$GB$2:$GB$21,$NJ25)))</f>
        <v/>
      </c>
      <c r="NT25" s="164">
        <f>IF(OR($NO25=0,$MS25=0),0,$NO25+3*IF(AND($NK25&lt;&gt;"",COUNTIF(INDEX($RB$2:$RJ$13,$MO25,0),$NK25)&gt;0),1,0))</f>
        <v/>
      </c>
      <c r="NU25" s="164">
        <f>IF(OR($NP25=0,$MS25=0),0,$NP25+3*IF(AND($NL25&lt;&gt;"",COUNTIF(INDEX($RB$2:$RJ$13,$MO25,0),$NL25)&gt;0),1,0))</f>
        <v/>
      </c>
      <c r="NV25" s="164">
        <f>IF(OR($NQ25=0,$MS25=0),0,$NQ25+3*IF(AND($NM25&lt;&gt;"",COUNTIF(INDEX($RB$2:$RJ$13,$MO25,0),$NM25)&gt;0),1,0))</f>
        <v/>
      </c>
      <c r="NW25" s="164">
        <f>IF(OR($NR25=0,$MS25=0),0,$NR25+3*IF(AND($NN25&lt;&gt;"",COUNTIF(INDEX($RB$2:$RJ$13,$MO25,0),$NN25)&gt;0),1,0))</f>
        <v/>
      </c>
      <c r="NX25" s="164">
        <f>IF($NJ25=0,0,IF(INDEX('DADOS_FORMAS'!$GA$2:$GA$21,$NJ25)="",0,IF((COUNTIF(INDEX($EL$2:$EP$13,$MO25,0),INDEX('DADOS_FORMAS'!$GA$2:$GA$21,$NJ25))+COUNTIF(INDEX($QV$2:$QY$13,$MO25,0),INDEX('DADOS_FORMAS'!$GA$2:$GA$21,$NJ25)))=0,1,0)))</f>
        <v/>
      </c>
      <c r="NY25" s="164">
        <f>IF(OR($NO25=0,$NK25=""),0,IF((COUNTIF(INDEX($EL$2:$EP$13,$MO25,0),$NK25)+COUNTIF(INDEX($QV$2:$QY$13,$MO25,0),$NK25))=0,1,0))</f>
        <v/>
      </c>
      <c r="NZ25" s="164">
        <f>IF(OR($NP25=0,$NL25=""),0,IF((COUNTIF(INDEX($EL$2:$EP$13,$MO25,0),$NL25)+COUNTIF(INDEX($QV$2:$QY$13,$MO25,0),$NL25))=0,1,0))</f>
        <v/>
      </c>
      <c r="OA25" s="164">
        <f>IF(OR($NQ25=0,$NM25=""),0,IF((COUNTIF(INDEX($EL$2:$EP$13,$MO25,0),$NM25)+COUNTIF(INDEX($QV$2:$QY$13,$MO25,0),$NM25))=0,1,0))</f>
        <v/>
      </c>
      <c r="OB25" s="164">
        <f>IF(OR($NR25=0,$NN25=""),0,IF((COUNTIF(INDEX($EL$2:$EP$13,$MO25,0),$NN25)+COUNTIF(INDEX($QV$2:$QY$13,$MO25,0),$NN25))=0,1,0))</f>
        <v/>
      </c>
      <c r="OC25" s="164">
        <f>IFERROR(VLOOKUP(SUBSTITUTE(SUBSTITUTE(SUBSTITUTE($MX25,"~","~~"),"*","~*"),"?","~?"),'DADOS_MELHORIAS'!$AG$2:$AL$113,4,FALSE),0)+IFERROR(VLOOKUP(SUBSTITUTE(SUBSTITUTE(SUBSTITUTE($MY25,"~","~~"),"*","~*"),"?","~?"),'DADOS_MELHORIAS'!$AG$2:$AL$113,4,FALSE),0)+IFERROR(VLOOKUP(SUBSTITUTE(SUBSTITUTE(SUBSTITUTE($MZ25,"~","~~"),"*","~*"),"?","~?"),'DADOS_MELHORIAS'!$AG$2:$AL$113,4,FALSE),0)+IFERROR(VLOOKUP(SUBSTITUTE(SUBSTITUTE(SUBSTITUTE($NA25,"~","~~"),"*","~*"),"?","~?"),'DADOS_MELHORIAS'!$AG$2:$AL$113,4,FALSE),0)</f>
        <v/>
      </c>
      <c r="OD25" s="164">
        <f>IFERROR(VLOOKUP(SUBSTITUTE(SUBSTITUTE(SUBSTITUTE($MX25,"~","~~"),"*","~*"),"?","~?"),'DADOS_MELHORIAS'!$AG$2:$AL$113,6,FALSE),0)+IFERROR(VLOOKUP(SUBSTITUTE(SUBSTITUTE(SUBSTITUTE($MY25,"~","~~"),"*","~*"),"?","~?"),'DADOS_MELHORIAS'!$AG$2:$AL$113,6,FALSE),0)+IFERROR(VLOOKUP(SUBSTITUTE(SUBSTITUTE(SUBSTITUTE($MZ25,"~","~~"),"*","~*"),"?","~?"),'DADOS_MELHORIAS'!$AG$2:$AL$113,6,FALSE),0)+IFERROR(VLOOKUP(SUBSTITUTE(SUBSTITUTE(SUBSTITUTE($NA25,"~","~~"),"*","~*"),"?","~?"),'DADOS_MELHORIAS'!$AG$2:$AL$113,6,FALSE),0)+IFERROR(N(AND(INDEX('DADOS_FORMAS'!$AO$2:$AO$21,MATCH(SUBSTITUTE(SUBSTITUTE(SUBSTITUTE($MU25,"~","~~"),"*","~*"),"?","~?"),'DADOS_FORMAS'!$AH$2:$AH$21,0))="Acerto",$OH25=1)),0)</f>
        <v/>
      </c>
      <c r="OE25" s="164">
        <f>TEXTJOIN(", ",TRUE,IF(IFERROR(VLOOKUP(SUBSTITUTE(SUBSTITUTE(SUBSTITUTE($MX25,"~","~~"),"*","~*"),"?","~?"),'DADOS_MELHORIAS'!$AG$2:$AL$113,5,FALSE),0)=1,$MX25,""),IF(IFERROR(VLOOKUP(SUBSTITUTE(SUBSTITUTE(SUBSTITUTE($MY25,"~","~~"),"*","~*"),"?","~?"),'DADOS_MELHORIAS'!$AG$2:$AL$113,5,FALSE),0)=1,$MY25,""),IF(IFERROR(VLOOKUP(SUBSTITUTE(SUBSTITUTE(SUBSTITUTE($MZ25,"~","~~"),"*","~*"),"?","~?"),'DADOS_MELHORIAS'!$AG$2:$AL$113,5,FALSE),0)=1,$MZ25,""),IF(IFERROR(VLOOKUP(SUBSTITUTE(SUBSTITUTE(SUBSTITUTE($NA25,"~","~~"),"*","~*"),"?","~?"),'DADOS_MELHORIAS'!$AG$2:$AL$113,5,FALSE),0)=1,$NA25,""))</f>
        <v/>
      </c>
      <c r="OF25" s="164">
        <f>IF($NJ25=0,0,INDEX('DADOS_FORMAS'!$GC$2:$GC$21,$NJ25))</f>
        <v/>
      </c>
      <c r="OG25" s="164">
        <f>IF($NJ25=0,0,INDEX('DADOS_FORMAS'!$GD$2:$GD$21,$NJ25))</f>
        <v/>
      </c>
      <c r="OH25" s="164">
        <f>IF($NJ25=0,0,INDEX('DADOS_FORMAS'!$GF$2:$GF$21,$NJ25))</f>
        <v/>
      </c>
      <c r="OI25" s="164">
        <f>IFERROR(VLOOKUP(SUBSTITUTE(SUBSTITUTE(SUBSTITUTE($NB25,"~","~~"),"*","~*"),"?","~?"),'DADOS_RESTRICOES'!$M$2:$Q$54,3,FALSE),0)</f>
        <v/>
      </c>
      <c r="OJ25" s="164">
        <f>IFERROR(VLOOKUP(SUBSTITUTE(SUBSTITUTE(SUBSTITUTE($NC25,"~","~~"),"*","~*"),"?","~?"),'DADOS_RESTRICOES'!$M$2:$Q$54,3,FALSE),0)</f>
        <v/>
      </c>
      <c r="OK25" s="164">
        <f>IFERROR(VLOOKUP(SUBSTITUTE(SUBSTITUTE(SUBSTITUTE($NB25,"~","~~"),"*","~*"),"?","~?"),'DADOS_RESTRICOES'!$M$2:$Q$54,2,FALSE),"")</f>
        <v/>
      </c>
      <c r="OL25" s="164">
        <f>IFERROR(VLOOKUP(SUBSTITUTE(SUBSTITUTE(SUBSTITUTE($NC25,"~","~~"),"*","~*"),"?","~?"),'DADOS_RESTRICOES'!$M$2:$Q$54,2,FALSE),"")</f>
        <v/>
      </c>
      <c r="OM25" s="164">
        <f>COUNTIF($NS25:$NW25,1)</f>
        <v/>
      </c>
      <c r="ON25" s="164">
        <f>COUNTIF($NS25:$NW25,2)</f>
        <v/>
      </c>
      <c r="OO25" s="164">
        <f>COUNTIF($NS25:$NW25,3)</f>
        <v/>
      </c>
      <c r="OP25" s="164">
        <f>COUNTIF($NS25:$NW25,4)</f>
        <v/>
      </c>
      <c r="OQ25" s="164">
        <f>COUNTIF($NS25:$NW25,5)</f>
        <v/>
      </c>
      <c r="OR25" s="164">
        <f>COUNTIF($NS25:$NW25,6)</f>
        <v/>
      </c>
      <c r="OS25" s="164">
        <f>COUNTIF($OI25:$OJ25,1)+IF(IFERROR(INDEX('DADOS_FORMAS'!$AS$2:$AS$21,MATCH(SUBSTITUTE(SUBSTITUTE(SUBSTITUTE($MU25,"~","~~"),"*","~*"),"?","~?"),'DADOS_FORMAS'!$AH$2:$AH$21,0)),"")="",0,IFERROR(N(VLOOKUP(SUBSTITUTE(SUBSTITUTE(SUBSTITUTE(IFERROR(INDEX('DADOS_FORMAS'!$AS$2:$AS$21,MATCH(SUBSTITUTE(SUBSTITUTE(SUBSTITUTE($MU25,"~","~~"),"*","~*"),"?","~?"),'DADOS_FORMAS'!$AH$2:$AH$21,0)),""),"~","~~"),"*","~*"),"?","~?"),'DADOS_RESTRICOES'!$M$2:$Q$54,3,FALSE)=1),0))</f>
        <v/>
      </c>
      <c r="OT25" s="164">
        <f>COUNTIF($OI25:$OJ25,2)+IF(IFERROR(INDEX('DADOS_FORMAS'!$AS$2:$AS$21,MATCH(SUBSTITUTE(SUBSTITUTE(SUBSTITUTE($MU25,"~","~~"),"*","~*"),"?","~?"),'DADOS_FORMAS'!$AH$2:$AH$21,0)),"")="",0,IFERROR(N(VLOOKUP(SUBSTITUTE(SUBSTITUTE(SUBSTITUTE(IFERROR(INDEX('DADOS_FORMAS'!$AS$2:$AS$21,MATCH(SUBSTITUTE(SUBSTITUTE(SUBSTITUTE($MU25,"~","~~"),"*","~*"),"?","~?"),'DADOS_FORMAS'!$AH$2:$AH$21,0)),""),"~","~~"),"*","~*"),"?","~?"),'DADOS_RESTRICOES'!$M$2:$Q$54,3,FALSE)=2),0))</f>
        <v/>
      </c>
      <c r="OU25" s="164">
        <f>COUNTIF($MX25:$NA25,"?*")</f>
        <v/>
      </c>
      <c r="OV25" s="164">
        <f>COUNTIF($NB25:$NC25,"?*")+$OF25</f>
        <v/>
      </c>
      <c r="OW25" s="164">
        <f>IF($MS25=0,0,SUMPRODUCT($OM25:$OR25,INDEX($I$2:$N$8,MAX(1,$MS25),0)))</f>
        <v/>
      </c>
      <c r="OX25" s="164">
        <f>IF($MS25=0,0,$OS25*CEILING($MS25/2,1)+$OT25*$MS25)</f>
        <v/>
      </c>
      <c r="OY25" s="164">
        <f>MIN(2*$MS25,$OX25)</f>
        <v/>
      </c>
      <c r="OZ25" s="164">
        <f>MIN($OY25,$OW25-IF($NS25=0,0,INDEX($I$2:$N$8,MAX(1,$MS25),$NS25)))</f>
        <v/>
      </c>
      <c r="PA25" s="164">
        <f>$OY25-$OZ25</f>
        <v/>
      </c>
      <c r="PB25" s="164">
        <f>IF($MS25=0,0,INDEX($P$2:$P$8,MAX(1,$MS25)))</f>
        <v/>
      </c>
      <c r="PC25" s="164">
        <f>$PB25-$OW25+$OZ25</f>
        <v/>
      </c>
      <c r="PD25" s="164">
        <f>IF($MS25=0,MAX(0,$NG25-IF(AND($OU25&gt;0,COUNTIF($NB25:$NC25,"?*")=0),1,0)),MAX(0,$PC25))</f>
        <v/>
      </c>
      <c r="PE25" s="164">
        <f>IF($MS25=0,0,(IF(COUNTIF($RK25:$RN25,"Salto")&gt;0,1,0)+IF(COUNTIF($RK25:$RN25,"Queima")&gt;0,1,0)+IF(COUNTIF($RK25:$RN25,"Estilhaço")&gt;0,1,0))*FLOOR($PD25/2,1))</f>
        <v/>
      </c>
      <c r="PF25" s="164">
        <f>MAX(0,2-SUMPRODUCT($OM25:$OR25,$I$2:$N$2)+MIN(2,$OS25*1+$OT25*1,SUMPRODUCT($OM25:$OR25,$I$2:$N$2)-IF($NS25=0,0,INDEX($I$2:$N$2,1,$NS25))))</f>
        <v/>
      </c>
      <c r="PG25" s="164">
        <f>MAX(0,4-SUMPRODUCT($OM25:$OR25,$I$3:$N$3)+MIN(4,$OS25*1+$OT25*2,SUMPRODUCT($OM25:$OR25,$I$3:$N$3)-IF($NS25=0,0,INDEX($I$3:$N$3,1,$NS25))))</f>
        <v/>
      </c>
      <c r="PH25" s="164">
        <f>MAX(0,6-SUMPRODUCT($OM25:$OR25,$I$4:$N$4)+MIN(6,$OS25*2+$OT25*3,SUMPRODUCT($OM25:$OR25,$I$4:$N$4)-IF($NS25=0,0,INDEX($I$4:$N$4,1,$NS25))))</f>
        <v/>
      </c>
      <c r="PI25" s="164">
        <f>MAX(0,9-SUMPRODUCT($OM25:$OR25,$I$5:$N$5)+MIN(8,$OS25*2+$OT25*4,SUMPRODUCT($OM25:$OR25,$I$5:$N$5)-IF($NS25=0,0,INDEX($I$5:$N$5,1,$NS25))))</f>
        <v/>
      </c>
      <c r="PJ25" s="164">
        <f>MAX(0,11-SUMPRODUCT($OM25:$OR25,$I$6:$N$6)+MIN(10,$OS25*3+$OT25*5,SUMPRODUCT($OM25:$OR25,$I$6:$N$6)-IF($NS25=0,0,INDEX($I$6:$N$6,1,$NS25))))</f>
        <v/>
      </c>
      <c r="PK25" s="164">
        <f>MAX(0,13-SUMPRODUCT($OM25:$OR25,$I$7:$N$7)+MIN(12,$OS25*3+$OT25*6,SUMPRODUCT($OM25:$OR25,$I$7:$N$7)-IF($NS25=0,0,INDEX($I$7:$N$7,1,$NS25))))</f>
        <v/>
      </c>
      <c r="PL25" s="164">
        <f>MAX(0,16-SUMPRODUCT($OM25:$OR25,$I$8:$N$8)+MIN(14,$OS25*4+$OT25*7,SUMPRODUCT($OM25:$OR25,$I$8:$N$8)-IF($NS25=0,0,INDEX($I$8:$N$8,1,$NS25))))</f>
        <v/>
      </c>
      <c r="PM25" s="164">
        <f>IF($OG25=2,3*$PF25&amp;" de vida temp.",IF($OG25=3,"sem dano",IF($PF25=0,IF($OG25=1,"sem cura","sem dano"),IF($OG25=1,"cura ","")&amp;$PF25&amp;"d8")))</f>
        <v/>
      </c>
      <c r="PN25" s="164">
        <f>IF($OG25=2,3*$PG25&amp;" de vida temp.",IF($OG25=3,"sem dano",IF($PG25=0,IF($OG25=1,"sem cura","sem dano"),IF($OG25=1,"cura ","")&amp;$PG25&amp;"d8")))</f>
        <v/>
      </c>
      <c r="PO25" s="164">
        <f>IF($OG25=2,3*$PH25&amp;" de vida temp.",IF($OG25=3,"sem dano",IF($PH25=0,IF($OG25=1,"sem cura","sem dano"),IF($OG25=1,"cura ","")&amp;$PH25&amp;"d8")))</f>
        <v/>
      </c>
      <c r="PP25" s="164">
        <f>IF($OG25=2,3*$PI25&amp;" de vida temp.",IF($OG25=3,"sem dano",IF($PI25=0,IF($OG25=1,"sem cura","sem dano"),IF($OG25=1,"cura ","")&amp;$PI25&amp;"d8")))</f>
        <v/>
      </c>
      <c r="PQ25" s="164">
        <f>IF($OG25=2,3*$PJ25&amp;" de vida temp.",IF($OG25=3,"sem dano",IF($PJ25=0,IF($OG25=1,"sem cura","sem dano"),IF($OG25=1,"cura ","")&amp;$PJ25&amp;"d8")))</f>
        <v/>
      </c>
      <c r="PR25" s="164">
        <f>IF($OG25=2,3*$PK25&amp;" de vida temp.",IF($OG25=3,"sem dano",IF($PK25=0,IF($OG25=1,"sem cura","sem dano"),IF($OG25=1,"cura ","")&amp;$PK25&amp;"d8")))</f>
        <v/>
      </c>
      <c r="PS25" s="164">
        <f>IF($OG25=2,3*$PL25&amp;" de vida temp.",IF($OG25=3,"sem dano",IF($PL25=0,IF($OG25=1,"sem cura","sem dano"),IF($OG25=1,"cura ","")&amp;$PL25&amp;"d8")))</f>
        <v/>
      </c>
      <c r="PT25" s="164">
        <f>IF($ND25=0,"",TEXTJOIN(" · ",TRUE,IF($ND25=0,"",TEXTJOIN(" · ",TRUE,IF($ND25=0,"",TEXTJOIN(" · ",TRUE,IF($MQ25&gt;$NE25,"Este lugar abre no nível "&amp;$MQ25,""),IF($MS25&gt;$NF25,"Classe "&amp;$MS25&amp;": o nível "&amp;$NE25&amp;" libera até a "&amp;$NF25,""),IF($NX25=1,"A Forma "&amp;$MU25&amp;" pede "&amp;INDEX('DADOS_FORMAS'!$GA$2:$GA$21,$NJ25)&amp;" aberta",""),IF(AND($MS25=0,$NJ25&gt;0,IF($NJ25=0,0,INDEX('DADOS_FORMAS'!$GJ$2:$GJ$21,$NJ25))=0),$MU25&amp;" não existe na Classe 0",""),IF($NY25=1,"Família Fechada: "&amp;$MX25,""),IF($NZ25=1,"Família Fechada: "&amp;$MY25,""),IF($OA25=1,"Família Fechada: "&amp;$MZ25,""),IF($OB25=1,"Família Fechada: "&amp;$NA25,""),IF(AND($MS25&gt;0,$OU25&gt;INDEX($O$2:$O$8,MAX(1,$MS25))),$OU25&amp;" Melhorias: a Classe "&amp;$MS25&amp;" aceita "&amp;INDEX($O$2:$O$8,MAX(1,$MS25)),""),IF(AND($MS25=0,$OU25&gt;1),"A básica aceita uma Melhoria",""),IF(AND($MS25=0,COUNTIF($NO25:$NR25,"&gt;1")&gt;0),"A básica só aceita Melhoria Leve",""),IF(AND($MS25&gt;0,$OV25&gt;2),$OV25&amp;" Restrições"&amp;IF($OF25=1,", contando a que a Forma "&amp;$MU25&amp;" já traz","")&amp;": o limite é 2",""),IF(AND($MS25=0,COUNTIF($NB25:$NC25,"?*")&gt;1),"A básica aceita uma Restrição Leve",""),IF(AND($MS25=0,COUNTIF($OI25:$OJ25,2)&gt;0),"A básica só aceita Restrição Leve",""),IF(AND($MS25&gt;0,$PC25&lt;0),"Orçamento estourado: faltam "&amp;(-$PC25)&amp;IF($PC25&lt;-1," pontos"," ponto"),""),IF(IFERROR(VLOOKUP(SUBSTITUTE(SUBSTITUTE(SUBSTITUTE($NB25,"~","~~"),"*","~*"),"?","~?"),'DADOS_RESTRICOES'!$M$2:$Q$54,4,FALSE),0)+IFERROR(VLOOKUP(SUBSTITUTE(SUBSTITUTE(SUBSTITUTE($NC25,"~","~~"),"*","~*"),"?","~?"),'DADOS_RESTRICOES'!$M$2:$Q$54,4,FALSE),0)&gt;1,$OK25&amp;" e "&amp;$OL25&amp;" são as duas de frequência",""),IF(AND((COUNTIF($RK25:$RN25,"Rápido")+COUNTIF($OK25:$OL25,"Rápido"))&gt;0,(COUNTIF($MX25:$NA25,"Atrasar")+COUNTIF($OK25:$OL25,"Atrasar"))&gt;0),"Rápido não entra com Atrasar",""),IF(AND((COUNTIF($RK25:$RN25,"Reação")+COUNTIF($OK25:$OL25,"Reação"))&gt;0,(COUNTIF($RK25:$RN25,"Rápido")+COUNTIF($OK25:$OL25,"Rápido"))&gt;0),"Reação não entra com Rápido",""),IF(AND((COUNTIF($RK25:$RN25,"Reação")+COUNTIF($OK25:$OL25,"Reação"))&gt;0,(COUNTIF($RK25:$RN25,"Armado")+COUNTIF($OK25:$OL25,"Armado"))&gt;0),"Reação não entra com Armado",""),IF(AND((COUNTIF($RK25:$RN25,"Reação")+COUNTIF($OK25:$OL25,"Reação"))&gt;0,(COUNTIF($MX25:$NA25,"Atrasar")+COUNTIF($OK25:$OL25,"Atrasar"))&gt;0),"Reação não entra com Atrasar",""),IF(AND((COUNTIF($RK25:$RN25,"Reação")+COUNTIF($OK25:$OL25,"Reação"))&gt;0,(COUNTIF($MX25:$NA25,"Parado")+COUNTIF($OK25:$OL25,"Parado"))&gt;0),"Reação não entra com Parado",""),IF(AND((COUNTIF($MX25:$NA25,"Atrasar")+COUNTIF($OK25:$OL25,"Atrasar"))&gt;0,(COUNTIF($MX25:$NA25,"Parado")+COUNTIF($OK25:$OL25,"Parado"))&gt;0),"Atrasar não entra com Parado",""),IF(AND((COUNTIF($RK25:$RN25,"Armado")+COUNTIF($OK25:$OL25,"Armado"))&gt;0,(COUNTIF($MX25:$NA25,"Carregar")+COUNTIF($OK25:$OL25,"Carregar"))&gt;0),"Armado não entra com Carregar",""),IF(AND(COUNTIF($OK25:$OL25,"Corpo a Corpo")&gt;0,$OF25=0,OR($RO25="Cone",$RO25="Linha")),"Corpo a Corpo não entra em "&amp;$MU25,""),IF(AND(COUNTIF($OK25:$OL25,"Corpo a Corpo")&gt;0,$RP25="Corpo a Corpo"),"A Forma "&amp;$MU25&amp;" já traz o Corpo a Corpo",""),IF(AND(COUNTIF($OK25:$OL25,"Tudo ou Nada")&gt;0,$OH25=0),"Tudo ou Nada só entra em habilidade de Teste de Resistência",""),IF(AND(COUNTIF($RK25:$RN25,"Inescapável")&gt;0,OR($OU25&gt;1,$OV25&gt;0)),"Inescapável não aceita outra peça",""),IF(AND($MS25&gt;0,$PD25*IF(COUNTIF($RK25:$RN25,"Remate")&gt;0,1.25,1)+$PE25&gt;4*$MS25),($PD25*IF(COUNTIF($RK25:$RN25,"Remate")&gt;0,1.25,1)+$PE25)&amp;" dados somando repetições"&amp;IF(COUNTIF($RK25:$RN25,"Remate")&gt;0," e o Remate","")&amp;": o teto da Classe "&amp;$MS25&amp;" é "&amp;4*$MS25,""))),IF(AND($MX25&lt;&gt;"",COUNTIF('DADOS_MELHORIAS'!$O$2:$O$113,SUBSTITUTE(SUBSTITUTE(SUBSTITUTE($MX25,"~","~~"),"*","~*"),"?","~?"))=0),"Melhoria não cadastrada ou com erro: "&amp;$MX25,""),IF(AND($MY25&lt;&gt;"",COUNTIF('DADOS_MELHORIAS'!$O$2:$O$113,SUBSTITUTE(SUBSTITUTE(SUBSTITUTE($MY25,"~","~~"),"*","~*"),"?","~?"))=0),"Melhoria não cadastrada ou com erro: "&amp;$MY25,""),IF(AND($MZ25&lt;&gt;"",COUNTIF('DADOS_MELHORIAS'!$O$2:$O$113,SUBSTITUTE(SUBSTITUTE(SUBSTITUTE($MZ25,"~","~~"),"*","~*"),"?","~?"))=0),"Melhoria não cadastrada ou com erro: "&amp;$MZ25,""),IF(AND($NA25&lt;&gt;"",COUNTIF('DADOS_MELHORIAS'!$O$2:$O$113,SUBSTITUTE(SUBSTITUTE(SUBSTITUTE($NA25,"~","~~"),"*","~*"),"?","~?"))=0),"Melhoria não cadastrada ou com erro: "&amp;$NA25,""),IF(AND($NB25&lt;&gt;"",COUNTIF('DADOS_RESTRICOES'!$M$2:$M$54,SUBSTITUTE(SUBSTITUTE(SUBSTITUTE($NB25,"~","~~"),"*","~*"),"?","~?"))=0),"Restrição não cadastrada ou com erro: "&amp;$NB25,""),IF(AND($NC25&lt;&gt;"",COUNTIF('DADOS_RESTRICOES'!$M$2:$M$54,SUBSTITUTE(SUBSTITUTE(SUBSTITUTE($NC25,"~","~~"),"*","~*"),"?","~?"))=0),"Restrição não cadastrada ou com erro: "&amp;$NC25,""))),IF(AND($MU25&lt;&gt;"",COUNTIF('DADOS_FORMAS'!$AH$2:$AH$21,SUBSTITUTE(SUBSTITUTE(SUBSTITUTE($MU25,"~","~~"),"*","~*"),"?","~?"))=0),"Forma não cadastrada ou com erro: "&amp;$MU25,""),IF(AND(IFERROR(INDEX('DADOS_FORMAS'!$AS$2:$AS$21,MATCH(SUBSTITUTE(SUBSTITUTE(SUBSTITUTE($MU25,"~","~~"),"*","~*"),"?","~?"),'DADOS_FORMAS'!$AH$2:$AH$21,0)),"")&lt;&gt;"",OR(IFERROR(VLOOKUP(SUBSTITUTE(SUBSTITUTE(SUBSTITUTE(IFERROR(INDEX('DADOS_FORMAS'!$AS$2:$AS$21,MATCH(SUBSTITUTE(SUBSTITUTE(SUBSTITUTE($MU25,"~","~~"),"*","~*"),"?","~?"),'DADOS_FORMAS'!$AH$2:$AH$21,0)),""),"~","~~"),"*","~*"),"?","~?"),'DADOS_RESTRICOES'!$M$2:$Q$54,2,FALSE),"")=$OK25,IFERROR(VLOOKUP(SUBSTITUTE(SUBSTITUTE(SUBSTITUTE(IFERROR(INDEX('DADOS_FORMAS'!$AS$2:$AS$21,MATCH(SUBSTITUTE(SUBSTITUTE(SUBSTITUTE($MU25,"~","~~"),"*","~*"),"?","~?"),'DADOS_FORMAS'!$AH$2:$AH$21,0)),""),"~","~~"),"*","~*"),"?","~?"),'DADOS_RESTRICOES'!$M$2:$Q$54,2,FALSE),"")=$OL25)),"Restrição repetida, contando a embutida",""),IF(IF(IFERROR(INDEX('DADOS_FORMAS'!$AS$2:$AS$21,MATCH(SUBSTITUTE(SUBSTITUTE(SUBSTITUTE($MU25,"~","~~"),"*","~*"),"?","~?"),'DADOS_FORMAS'!$AH$2:$AH$21,0)),"")="",0,IFERROR(N(VLOOKUP(SUBSTITUTE(SUBSTITUTE(SUBSTITUTE(IFERROR(INDEX('DADOS_FORMAS'!$AS$2:$AS$21,MATCH(SUBSTITUTE(SUBSTITUTE(SUBSTITUTE($MU25,"~","~~"),"*","~*"),"?","~?"),'DADOS_FORMAS'!$AH$2:$AH$21,0)),""),"~","~~"),"*","~*"),"?","~?"),'DADOS_RESTRICOES'!$M$2:$Q$54,4,FALSE)=1),0))+IF($NB25="",0,IFERROR(N(VLOOKUP(SUBSTITUTE(SUBSTITUTE(SUBSTITUTE($NB25,"~","~~"),"*","~*"),"?","~?"),'DADOS_RESTRICOES'!$M$2:$Q$54,4,FALSE)=1),0))+IF($NC25="",0,IFERROR(N(VLOOKUP(SUBSTITUTE(SUBSTITUTE(SUBSTITUTE($NC25,"~","~~"),"*","~*"),"?","~?"),'DADOS_RESTRICOES'!$M$2:$Q$54,4,FALSE)=1),0))&gt;1,"Duas Restrições de frequência, contando a embutida",""),IF(AND(IFERROR(VLOOKUP(SUBSTITUTE(SUBSTITUTE(SUBSTITUTE(IFERROR(INDEX('DADOS_FORMAS'!$AS$2:$AS$21,MATCH(SUBSTITUTE(SUBSTITUTE(SUBSTITUTE($MU25,"~","~~"),"*","~*"),"?","~?"),'DADOS_FORMAS'!$AH$2:$AH$21,0)),""),"~","~~"),"*","~*"),"?","~?"),'DADOS_RESTRICOES'!$M$2:$Q$54,2,FALSE),"")="Tudo ou Nada",$OH25=0),"Tudo ou Nada exige TR",""),IF(AND(IFERROR(VLOOKUP(SUBSTITUTE(SUBSTITUTE(SUBSTITUTE(IFERROR(INDEX('DADOS_FORMAS'!$AS$2:$AS$21,MATCH(SUBSTITUTE(SUBSTITUTE(SUBSTITUTE($MU25,"~","~~"),"*","~*"),"?","~?"),'DADOS_FORMAS'!$AH$2:$AH$21,0)),""),"~","~~"),"*","~*"),"?","~?"),'DADOS_RESTRICOES'!$M$2:$Q$54,2,FALSE),"")="Corpo a Corpo",OR($RO25="Cone",$RO25="Linha")),"Corpo a Corpo não entra em Cone/Linha","")))</f>
        <v/>
      </c>
      <c r="PU25" s="164">
        <f>IF($PT25="",0,(LEN($PT25)-LEN(SUBSTITUTE($PT25," · ","")))/3+1)</f>
        <v/>
      </c>
      <c r="PV25" s="164">
        <f>IF($ND25=0,"",TEXTJOIN(" · ",TRUE,IF($OX25&gt;2*$MS25,"A devolução parou no teto de "&amp;2*$MS25,""),IF($PA25&gt;0,"Devolução perdida: "&amp;$PA25&amp;IF($PA25&gt;1," pontos"," ponto")&amp;" sem Melhoria para pagar",""),IF(AND($OC25&gt;0,AND($MS25&gt;0,$OG25=0),$PD25=0),"Controle sem dano: uma rodada a mais e CD +2",""),IF(AND($OC25&gt;0,AND($MS25&gt;0,$OG25=0),$PD25&gt;0,$PD25&lt;=$MS25),"Controle com saldo até a Classe: uma rodada a mais",""),IF(AND($MS25&gt;0,$OE25&lt;&gt;""),"Efeito de "&amp;$OE25&amp;" pela Classe "&amp;MAX(1,$MS25-1),"")))</f>
        <v/>
      </c>
      <c r="PW25" s="164">
        <f>IF($PV25="",0,(LEN($PV25)-LEN(SUBSTITUTE($PV25," · ","")))/3+1)</f>
        <v/>
      </c>
      <c r="PX25" s="164">
        <f>IF($ND25=0,IF($OU25+COUNTIF($NB25:$NC25,"?*")&gt;0,"Dê um nome",""),IF($PU25&gt;0,"⚠ "&amp;$PU25&amp;IF($PU25&gt;1," erros"," erro"),IF($PW25&gt;0,"! "&amp;$PW25&amp;IF($PW25&gt;1," avisos"," aviso"),"Na regra")))</f>
        <v/>
      </c>
      <c r="PY25" s="164">
        <f>IF($ND25=0,"",IF($PU25+$PW25=0,"Dentro das regras que a ficha confere",$PT25&amp;IF(AND($PU25&gt;0,$PW25&gt;0)," · ","")&amp;$PV25))</f>
        <v/>
      </c>
      <c r="PZ25" s="164">
        <f>IF($MQ25&gt;$NE25,$MR25&amp;" · ABRE NO NÍVEL "&amp;$MQ25,$MR25)</f>
        <v/>
      </c>
      <c r="QA25" s="164">
        <f>IF($ND25=0,"",IF($MS25=0,"Sem PE",3*$MS25&amp;" PE"))</f>
        <v/>
      </c>
      <c r="QB25" s="164">
        <f>IF($ND25=0,"",IF($MS25=0,"A atuação básica dela",IF(COUNTIF($RQ25:$RS25,"Atrasar")&gt;0,"Sua Ação Completa",IF(COUNTIF($RK25:$RN25,"Rápido")&gt;0,"Sua Bônus",IF(COUNTIF($RK25:$RN25,"Reação")&gt;0,"Sua Reação","Sua Padrão")))&amp;" + a básica dela"&amp;IF(COUNTIF($RK25:$RN25,"Reação")&gt;0," e a coletiva","")&amp;IF(COUNTIF($RQ25:$RS25,"Carregar")&gt;0," · em dois turnos","")))</f>
        <v/>
      </c>
      <c r="QC25" s="164">
        <f>IF($MW25&lt;&gt;"",$MW25,IF($NJ25=0,"",INDEX('DADOS_FORMAS'!$GE$2:$GE$21,$NJ25)))</f>
        <v/>
      </c>
      <c r="QD25" s="164">
        <f>IF(OR($ND25=0,$NJ25=0),"",IF(COUNTIF($RK25:$RN25,"Inescapável")&gt;0,"Automático",IF($QC25="Ataque",IF($NH25="","Ataque","Ataque "&amp;IF(($NH25+2*IF(COUNTIF($RK25:$RN25,"Precisão")&gt;0,1,0))&gt;=0,"+","−")&amp;ABS(($NH25+2*IF(COUNTIF($RK25:$RN25,"Precisão")&gt;0,1,0))))&amp;IF($OD25&gt;0," · TR"&amp;IF($NI25="",""," CD "&amp;$NI25),""),IF(LEFT($QC25,2)="TR",$QC25&amp;IF($NI25="",""," · CD "&amp;$NI25)&amp;IF(COUNTIF($RK25:$RN25,"Certeiro")&gt;0," · metade",""),"Sem rolagem"))))</f>
        <v/>
      </c>
      <c r="QE25" s="164">
        <f>IF(OR($ND25=0,$NJ25=0),"",IF($MS25=0,IF(OR($OG25&gt;=1,$PD25=0),"Sem dano",$PD25&amp;"d6"&amp;IF($MV25="",""," "&amp;$MV25)),IF(OR($OG25&gt;=1,$PD25=0),UPPER(LEFT(INDEX($PM25:$PS25,1,MAX(1,$MS25)),1))&amp;MID(INDEX($PM25:$PS25,1,MAX(1,$MS25)),2,99),UPPER(LEFT(INDEX($PM25:$PS25,1,MAX(1,$MS25)),1))&amp;MID(INDEX($PM25:$PS25,1,MAX(1,$MS25)),2,99)&amp;IF($MV25="",""," "&amp;$MV25)&amp;IF($PE25&gt;0," · +"&amp;$PE25&amp;"d8",""))))</f>
        <v/>
      </c>
      <c r="QF25" s="164">
        <f>COUNTIF($RK25:$RN25,"Longe")+3*COUNTIF($RK25:$RN25,"Muito Longe")</f>
        <v/>
      </c>
      <c r="QG25" s="164">
        <f>COUNTIF($RK25:$RN25,"Maior")+3*COUNTIF($RK25:$RN25,"Muito Maior")</f>
        <v/>
      </c>
      <c r="QH25" s="164">
        <f>IF($NJ25=0,0,CHOOSE(1+INDEX('DADOS_FORMAS'!$GG$2:$GG$21,$NJ25),0,$QF25,$QG25,$QF25+$QG25))</f>
        <v/>
      </c>
      <c r="QI25" s="164">
        <f>IF($NJ25=0,0,CHOOSE(1+INDEX('DADOS_FORMAS'!$GH$2:$GH$21,$NJ25),0,$QF25,$QG25,$QF25+$QG25))</f>
        <v/>
      </c>
      <c r="QJ25" s="164">
        <f>IF(OR($ND25=0,$NJ25=0),"",INDEX('DADOS_FORMAS'!$HU$2:$HZ$81,($NJ25-1)*4+IF($MS25=0,1,IF($MS25&lt;=5,2,IF($MS25=6,3,4))),1+MIN(5,$QH25))&amp;INDEX('DADOS_FORMAS'!$IA$2:$IF$81,($NJ25-1)*4+IF($MS25=0,1,IF($MS25&lt;=5,2,IF($MS25=6,3,4))),1+MIN(5,$QI25))&amp;IF(INDEX('DADOS_FORMAS'!$GI$2:$GI$21,$NJ25)=1,IF(COUNTIF($RK25:$RN25,"Mais Um")&gt;0," · +"&amp;COUNTIF($RK25:$RN25,"Mais Um")&amp;IF(COUNTIF($RK25:$RN25,"Mais Um")&gt;1," alvos"," alvo"),"")&amp;IF(COUNTIF($RK25:$RN25,"Rajada")&gt;0,IF($MS25=0," · 1 tiro"," · "&amp;(MAX(1,$MS25-1)+1)&amp;" tiros"),""),""))</f>
        <v/>
      </c>
      <c r="QK25" s="164">
        <f>IF($ND25=0,"",IF($MS25=0,$NG25&amp;"d6"&amp;IF($OU25&gt;0," − 1 = "&amp;$PD25&amp;"d6"," da básica do nível "&amp;$NE25),$PB25&amp;" − "&amp;$OW25&amp;" + "&amp;$OZ25&amp;" = "&amp;$PC25&amp;" · teto "&amp;4*$MS25&amp;"d8"&amp;IF($OF25=1," · a Forma devolve "&amp;$MS25,"")&amp;IF($PA25&gt;0," · perde "&amp;$PA25,"")))</f>
        <v/>
      </c>
      <c r="QL25" s="164">
        <f>IF($ND25=0,"",IF($MS25=0,"A básica não amplia: os dados dela sobem com o nível",IF($MS25&gt;=$NF25,"Já está na maior Classe que o nível liberou",TEXTJOIN(" · ",TRUE,IF(AND(2&gt;$MS25,2&lt;=$NF25),"2 → "&amp;$PN25&amp;", 6 PE",""),IF(AND(3&gt;$MS25,3&lt;=$NF25),"3 → "&amp;$PO25&amp;", 9 PE",""),IF(AND(4&gt;$MS25,4&lt;=$NF25),"4 → "&amp;$PP25&amp;", 12 PE",""),IF(AND(5&gt;$MS25,5&lt;=$NF25),"5 → "&amp;$PQ25&amp;", 15 PE",""),IF(AND(6&gt;$MS25,6&lt;=$NF25),"6 → "&amp;$PR25&amp;", 18 PE",""),IF(AND(7&gt;$MS25,7&lt;=$NF25),"7 → "&amp;$PS25&amp;", 21 PE","")))))</f>
        <v/>
      </c>
      <c r="QM25" s="164">
        <f>IF(OR($ND25=0,$NO25=0),"",IF($MS25=0,"−1 dado","−"&amp;INDEX($I$2:$N$8,MAX(1,$MS25),MAX(1,$NT25))&amp;" · "&amp;CHOOSE(MAX(1,$NT25),"Leve","Média","Pesada","Leve · Livre","Média · Livre","Pesada · Livre")))</f>
        <v/>
      </c>
      <c r="QN25" s="164">
        <f>IF(OR($ND25=0,$NP25=0),"",IF($MS25=0,"−1 dado","−"&amp;INDEX($I$2:$N$8,MAX(1,$MS25),MAX(1,$NU25))&amp;" · "&amp;CHOOSE(MAX(1,$NU25),"Leve","Média","Pesada","Leve · Livre","Média · Livre","Pesada · Livre")))</f>
        <v/>
      </c>
      <c r="QO25" s="164">
        <f>IF(OR($ND25=0,$NQ25=0),"",IF($MS25=0,"−1 dado","−"&amp;INDEX($I$2:$N$8,MAX(1,$MS25),MAX(1,$NV25))&amp;" · "&amp;CHOOSE(MAX(1,$NV25),"Leve","Média","Pesada","Leve · Livre","Média · Livre","Pesada · Livre")))</f>
        <v/>
      </c>
      <c r="QP25" s="164">
        <f>IF(OR($ND25=0,$NR25=0),"",IF($MS25=0,"−1 dado","−"&amp;INDEX($I$2:$N$8,MAX(1,$MS25),MAX(1,$NW25))&amp;" · "&amp;CHOOSE(MAX(1,$NW25),"Leve","Média","Pesada","Leve · Livre","Média · Livre","Pesada · Livre")))</f>
        <v/>
      </c>
      <c r="QQ25" s="164">
        <f>IF(OR($ND25=0,$NB25=""),"",IF($MS25=0,"não devolve","+"&amp;IF($OI25=1,CEILING($MS25/2,1),$MS25)))</f>
        <v/>
      </c>
      <c r="QR25" s="164">
        <f>IF(OR($ND25=0,$NC25=""),"",IF($MS25=0,"não devolve","+"&amp;IF($OJ25=1,CEILING($MS25/2,1),$MS25)))</f>
        <v/>
      </c>
      <c r="RK25">
        <f>IF($MX25="","",IFERROR(VLOOKUP(SUBSTITUTE(SUBSTITUTE(SUBSTITUTE($MX25,"~","~~"),"*","~*"),"?","~?"),'DADOS_MELHORIAS'!$O$2:$X$113,10,FALSE),$MX25))</f>
        <v/>
      </c>
      <c r="RL25">
        <f>IF($MY25="","",IFERROR(VLOOKUP(SUBSTITUTE(SUBSTITUTE(SUBSTITUTE($MY25,"~","~~"),"*","~*"),"?","~?"),'DADOS_MELHORIAS'!$O$2:$X$113,10,FALSE),$MY25))</f>
        <v/>
      </c>
      <c r="RM25">
        <f>IF($MZ25="","",IFERROR(VLOOKUP(SUBSTITUTE(SUBSTITUTE(SUBSTITUTE($MZ25,"~","~~"),"*","~*"),"?","~?"),'DADOS_MELHORIAS'!$O$2:$X$113,10,FALSE),$MZ25))</f>
        <v/>
      </c>
      <c r="RN25">
        <f>IF($NA25="","",IFERROR(VLOOKUP(SUBSTITUTE(SUBSTITUTE(SUBSTITUTE($NA25,"~","~~"),"*","~*"),"?","~?"),'DADOS_MELHORIAS'!$O$2:$X$113,10,FALSE),$NA25))</f>
        <v/>
      </c>
      <c r="RO25">
        <f>IFERROR(INDEX('DADOS_FORMAS'!$BJ$2:$BJ$21,MATCH(SUBSTITUTE(SUBSTITUTE(SUBSTITUTE($MU25,"~","~~"),"*","~*"),"?","~?"),'DADOS_FORMAS'!$AH$2:$AH$21,0)),"")</f>
        <v/>
      </c>
      <c r="RP25">
        <f>IFERROR(VLOOKUP(SUBSTITUTE(SUBSTITUTE(SUBSTITUTE(IFERROR(INDEX('DADOS_FORMAS'!$AS$2:$AS$21,MATCH(SUBSTITUTE(SUBSTITUTE(SUBSTITUTE($MU25,"~","~~"),"*","~*"),"?","~?"),'DADOS_FORMAS'!$AH$2:$AH$21,0)),""),"~","~~"),"*","~*"),"?","~?"),'DADOS_RESTRICOES'!$M$2:$Q$54,2,FALSE),"")</f>
        <v/>
      </c>
      <c r="RQ25">
        <f>$OK25</f>
        <v/>
      </c>
      <c r="RR25">
        <f>$OL25</f>
        <v/>
      </c>
      <c r="RS25">
        <f>$RP25</f>
        <v/>
      </c>
    </row>
    <row r="26">
      <c r="AH26" s="162" t="inlineStr">
        <is>
          <t>Cura · classe 0</t>
        </is>
      </c>
      <c r="AI26" s="162" t="inlineStr">
        <is>
          <t>—</t>
        </is>
      </c>
      <c r="AJ26" s="162" t="inlineStr">
        <is>
          <t>—</t>
        </is>
      </c>
      <c r="AK26" s="162" t="inlineStr">
        <is>
          <t>—</t>
        </is>
      </c>
      <c r="AL26" s="162" t="inlineStr">
        <is>
          <t>—</t>
        </is>
      </c>
      <c r="AM26" s="162" t="inlineStr">
        <is>
          <t>—</t>
        </is>
      </c>
      <c r="AN26" s="162" t="inlineStr">
        <is>
          <t>—</t>
        </is>
      </c>
      <c r="AO26" s="162" t="inlineStr"/>
      <c r="AP26" s="162" t="inlineStr"/>
      <c r="AQ26" s="162" t="inlineStr"/>
      <c r="AR26" s="162" t="inlineStr"/>
      <c r="AS26" s="162" t="inlineStr"/>
      <c r="AT26" s="162" t="inlineStr"/>
      <c r="AV26" s="162" t="inlineStr">
        <is>
          <t>Derrubado</t>
        </is>
      </c>
      <c r="AW26" s="162" t="inlineStr">
        <is>
          <t>Controle</t>
        </is>
      </c>
      <c r="AX26" s="164" t="n">
        <v>1</v>
      </c>
      <c r="AY26" s="164" t="n">
        <v>1</v>
      </c>
      <c r="AZ26" s="164" t="n">
        <v>0</v>
      </c>
      <c r="BA26" s="164" t="n">
        <v>1</v>
      </c>
      <c r="JT26" s="164">
        <f>IF(OR($AW26="",(COUNTIF($EL$2:$EP$2,$AW26)+COUNTIF($QV$2:$QY$2,$AW26))&gt;0),$AV26,"")</f>
        <v/>
      </c>
      <c r="JU26" s="164">
        <f>IF(AND($AX26=1,OR($AW26="",(COUNTIF($EL$2:$EP$2,$AW26)+COUNTIF($QV$2:$QY$2,$AW26))&gt;0)),$AV26,"")</f>
        <v/>
      </c>
      <c r="JZ26" s="164">
        <f>IF(OR($AW26="",(COUNTIF($EL$3:$EP$3,$AW26)+COUNTIF($QV$3:$QY$3,$AW26))&gt;0),$AV26,"")</f>
        <v/>
      </c>
      <c r="KA26" s="164">
        <f>IF(AND($AX26=1,OR($AW26="",(COUNTIF($EL$3:$EP$3,$AW26)+COUNTIF($QV$3:$QY$3,$AW26))&gt;0)),$AV26,"")</f>
        <v/>
      </c>
      <c r="KF26" s="164">
        <f>IF(OR($AW26="",(COUNTIF($EL$4:$EP$4,$AW26)+COUNTIF($QV$4:$QY$4,$AW26))&gt;0),$AV26,"")</f>
        <v/>
      </c>
      <c r="KG26" s="164">
        <f>IF(AND($AX26=1,OR($AW26="",(COUNTIF($EL$4:$EP$4,$AW26)+COUNTIF($QV$4:$QY$4,$AW26))&gt;0)),$AV26,"")</f>
        <v/>
      </c>
      <c r="KL26" s="164">
        <f>IF(OR($AW26="",(COUNTIF($EL$5:$EP$5,$AW26)+COUNTIF($QV$5:$QY$5,$AW26))&gt;0),$AV26,"")</f>
        <v/>
      </c>
      <c r="KM26" s="164">
        <f>IF(AND($AX26=1,OR($AW26="",(COUNTIF($EL$5:$EP$5,$AW26)+COUNTIF($QV$5:$QY$5,$AW26))&gt;0)),$AV26,"")</f>
        <v/>
      </c>
      <c r="KR26" s="164">
        <f>IF(OR($AW26="",(COUNTIF($EL$6:$EP$6,$AW26)+COUNTIF($QV$6:$QY$6,$AW26))&gt;0),$AV26,"")</f>
        <v/>
      </c>
      <c r="KS26" s="164">
        <f>IF(AND($AX26=1,OR($AW26="",(COUNTIF($EL$6:$EP$6,$AW26)+COUNTIF($QV$6:$QY$6,$AW26))&gt;0)),$AV26,"")</f>
        <v/>
      </c>
      <c r="KX26" s="164">
        <f>IF(OR($AW26="",(COUNTIF($EL$7:$EP$7,$AW26)+COUNTIF($QV$7:$QY$7,$AW26))&gt;0),$AV26,"")</f>
        <v/>
      </c>
      <c r="KY26" s="164">
        <f>IF(AND($AX26=1,OR($AW26="",(COUNTIF($EL$7:$EP$7,$AW26)+COUNTIF($QV$7:$QY$7,$AW26))&gt;0)),$AV26,"")</f>
        <v/>
      </c>
      <c r="LD26" s="164">
        <f>IF(OR($AW26="",(COUNTIF($EL$8:$EP$8,$AW26)+COUNTIF($QV$8:$QY$8,$AW26))&gt;0),$AV26,"")</f>
        <v/>
      </c>
      <c r="LE26" s="164">
        <f>IF(AND($AX26=1,OR($AW26="",(COUNTIF($EL$8:$EP$8,$AW26)+COUNTIF($QV$8:$QY$8,$AW26))&gt;0)),$AV26,"")</f>
        <v/>
      </c>
      <c r="LJ26" s="164">
        <f>IF(OR($AW26="",(COUNTIF($EL$9:$EP$9,$AW26)+COUNTIF($QV$9:$QY$9,$AW26))&gt;0),$AV26,"")</f>
        <v/>
      </c>
      <c r="LK26" s="164">
        <f>IF(AND($AX26=1,OR($AW26="",(COUNTIF($EL$9:$EP$9,$AW26)+COUNTIF($QV$9:$QY$9,$AW26))&gt;0)),$AV26,"")</f>
        <v/>
      </c>
      <c r="LP26" s="164">
        <f>IF(OR($AW26="",(COUNTIF($EL$10:$EP$10,$AW26)+COUNTIF($QV$10:$QY$10,$AW26))&gt;0),$AV26,"")</f>
        <v/>
      </c>
      <c r="LQ26" s="164">
        <f>IF(AND($AX26=1,OR($AW26="",(COUNTIF($EL$10:$EP$10,$AW26)+COUNTIF($QV$10:$QY$10,$AW26))&gt;0)),$AV26,"")</f>
        <v/>
      </c>
      <c r="LV26" s="164">
        <f>IF(OR($AW26="",(COUNTIF($EL$11:$EP$11,$AW26)+COUNTIF($QV$11:$QY$11,$AW26))&gt;0),$AV26,"")</f>
        <v/>
      </c>
      <c r="LW26" s="164">
        <f>IF(AND($AX26=1,OR($AW26="",(COUNTIF($EL$11:$EP$11,$AW26)+COUNTIF($QV$11:$QY$11,$AW26))&gt;0)),$AV26,"")</f>
        <v/>
      </c>
      <c r="MB26" s="164">
        <f>IF(OR($AW26="",(COUNTIF($EL$12:$EP$12,$AW26)+COUNTIF($QV$12:$QY$12,$AW26))&gt;0),$AV26,"")</f>
        <v/>
      </c>
      <c r="MC26" s="164">
        <f>IF(AND($AX26=1,OR($AW26="",(COUNTIF($EL$12:$EP$12,$AW26)+COUNTIF($QV$12:$QY$12,$AW26))&gt;0)),$AV26,"")</f>
        <v/>
      </c>
      <c r="MH26" s="164">
        <f>IF(OR($AW26="",(COUNTIF($EL$13:$EP$13,$AW26)+COUNTIF($QV$13:$QY$13,$AW26))&gt;0),$AV26,"")</f>
        <v/>
      </c>
      <c r="MI26" s="164">
        <f>IF(AND($AX26=1,OR($AW26="",(COUNTIF($EL$13:$EP$13,$AW26)+COUNTIF($QV$13:$QY$13,$AW26))&gt;0)),$AV26,"")</f>
        <v/>
      </c>
      <c r="MN26" s="162" t="inlineStr">
        <is>
          <t>Ficha 2 · Escolha da trilha 2</t>
        </is>
      </c>
      <c r="MO26" s="164" t="n">
        <v>2</v>
      </c>
      <c r="MP26" s="164" t="n">
        <v>2</v>
      </c>
      <c r="MQ26" s="164" t="n">
        <v>0</v>
      </c>
      <c r="MR26" s="162" t="inlineStr">
        <is>
          <t>ESCOLHA DA TRILHA 2</t>
        </is>
      </c>
      <c r="MS26" s="164">
        <f>MAX(0,MIN(7,N('INVOCAÇÕES'!$O$384)))</f>
        <v/>
      </c>
      <c r="MT26" s="164">
        <f>'INVOCAÇÕES'!$P$384&amp;""</f>
        <v/>
      </c>
      <c r="MU26" s="164">
        <f>'INVOCAÇÕES'!$O$389&amp;""</f>
        <v/>
      </c>
      <c r="MV26" s="164">
        <f>'INVOCAÇÕES'!$O$390&amp;""</f>
        <v/>
      </c>
      <c r="MW26" s="164">
        <f>'INVOCAÇÕES'!$Q$390&amp;""</f>
        <v/>
      </c>
      <c r="MX26" s="164">
        <f>'INVOCAÇÕES'!$P$393&amp;""</f>
        <v/>
      </c>
      <c r="MY26" s="164">
        <f>'INVOCAÇÕES'!$P$394&amp;""</f>
        <v/>
      </c>
      <c r="MZ26" s="164">
        <f>'INVOCAÇÕES'!$P$395&amp;""</f>
        <v/>
      </c>
      <c r="NA26" s="164">
        <f>'INVOCAÇÕES'!$P$396&amp;""</f>
        <v/>
      </c>
      <c r="NB26" s="164">
        <f>'INVOCAÇÕES'!$P$397&amp;""</f>
        <v/>
      </c>
      <c r="NC26" s="164">
        <f>'INVOCAÇÕES'!$P$398&amp;""</f>
        <v/>
      </c>
      <c r="ND26" s="164">
        <f>IF($MT26&lt;&gt;"",1,0)</f>
        <v/>
      </c>
      <c r="NE26" s="164">
        <f>INDEX($FO$2:$FO$13,$MO26)</f>
        <v/>
      </c>
      <c r="NF26" s="164">
        <f>INDEX($FP$2:$FP$13,$MO26)</f>
        <v/>
      </c>
      <c r="NG26" s="164">
        <f>INDEX($FQ$2:$FQ$13,$MO26)</f>
        <v/>
      </c>
      <c r="NH26" s="164">
        <f>INDEX($GB$2:$GB$13,$MO26)</f>
        <v/>
      </c>
      <c r="NI26" s="164">
        <f>INDEX($GC$2:$GC$13,$MO26)</f>
        <v/>
      </c>
      <c r="NJ26" s="164">
        <f>IFERROR(MATCH(SUBSTITUTE(SUBSTITUTE(SUBSTITUTE($MU26,"~","~~"),"*","~*"),"?","~?"),'DADOS_FORMAS'!$FZ$2:$FZ$21,0),0)</f>
        <v/>
      </c>
      <c r="NK26" s="164">
        <f>IFERROR(VLOOKUP(SUBSTITUTE(SUBSTITUTE(SUBSTITUTE($MX26,"~","~~"),"*","~*"),"?","~?"),'DADOS_MELHORIAS'!$AG$2:$AL$113,2,FALSE),"")</f>
        <v/>
      </c>
      <c r="NL26" s="164">
        <f>IFERROR(VLOOKUP(SUBSTITUTE(SUBSTITUTE(SUBSTITUTE($MY26,"~","~~"),"*","~*"),"?","~?"),'DADOS_MELHORIAS'!$AG$2:$AL$113,2,FALSE),"")</f>
        <v/>
      </c>
      <c r="NM26" s="164">
        <f>IFERROR(VLOOKUP(SUBSTITUTE(SUBSTITUTE(SUBSTITUTE($MZ26,"~","~~"),"*","~*"),"?","~?"),'DADOS_MELHORIAS'!$AG$2:$AL$113,2,FALSE),"")</f>
        <v/>
      </c>
      <c r="NN26" s="164">
        <f>IFERROR(VLOOKUP(SUBSTITUTE(SUBSTITUTE(SUBSTITUTE($NA26,"~","~~"),"*","~*"),"?","~?"),'DADOS_MELHORIAS'!$AG$2:$AL$113,2,FALSE),"")</f>
        <v/>
      </c>
      <c r="NO26" s="164">
        <f>IFERROR(VLOOKUP(SUBSTITUTE(SUBSTITUTE(SUBSTITUTE($MX26,"~","~~"),"*","~*"),"?","~?"),'DADOS_MELHORIAS'!$AG$2:$AL$113,3,FALSE),0)</f>
        <v/>
      </c>
      <c r="NP26" s="164">
        <f>IFERROR(VLOOKUP(SUBSTITUTE(SUBSTITUTE(SUBSTITUTE($MY26,"~","~~"),"*","~*"),"?","~?"),'DADOS_MELHORIAS'!$AG$2:$AL$113,3,FALSE),0)</f>
        <v/>
      </c>
      <c r="NQ26" s="164">
        <f>IFERROR(VLOOKUP(SUBSTITUTE(SUBSTITUTE(SUBSTITUTE($MZ26,"~","~~"),"*","~*"),"?","~?"),'DADOS_MELHORIAS'!$AG$2:$AL$113,3,FALSE),0)</f>
        <v/>
      </c>
      <c r="NR26" s="164">
        <f>IFERROR(VLOOKUP(SUBSTITUTE(SUBSTITUTE(SUBSTITUTE($NA26,"~","~~"),"*","~*"),"?","~?"),'DADOS_MELHORIAS'!$AG$2:$AL$113,3,FALSE),0)</f>
        <v/>
      </c>
      <c r="NS26" s="164">
        <f>IF($MS26=0,0,IF($NJ26=0,0,INDEX('DADOS_FORMAS'!$GB$2:$GB$21,$NJ26)))</f>
        <v/>
      </c>
      <c r="NT26" s="164">
        <f>IF(OR($NO26=0,$MS26=0),0,$NO26+3*IF(AND($NK26&lt;&gt;"",COUNTIF(INDEX($RB$2:$RJ$13,$MO26,0),$NK26)&gt;0),1,0))</f>
        <v/>
      </c>
      <c r="NU26" s="164">
        <f>IF(OR($NP26=0,$MS26=0),0,$NP26+3*IF(AND($NL26&lt;&gt;"",COUNTIF(INDEX($RB$2:$RJ$13,$MO26,0),$NL26)&gt;0),1,0))</f>
        <v/>
      </c>
      <c r="NV26" s="164">
        <f>IF(OR($NQ26=0,$MS26=0),0,$NQ26+3*IF(AND($NM26&lt;&gt;"",COUNTIF(INDEX($RB$2:$RJ$13,$MO26,0),$NM26)&gt;0),1,0))</f>
        <v/>
      </c>
      <c r="NW26" s="164">
        <f>IF(OR($NR26=0,$MS26=0),0,$NR26+3*IF(AND($NN26&lt;&gt;"",COUNTIF(INDEX($RB$2:$RJ$13,$MO26,0),$NN26)&gt;0),1,0))</f>
        <v/>
      </c>
      <c r="NX26" s="164">
        <f>IF($NJ26=0,0,IF(INDEX('DADOS_FORMAS'!$GA$2:$GA$21,$NJ26)="",0,IF((COUNTIF(INDEX($EL$2:$EP$13,$MO26,0),INDEX('DADOS_FORMAS'!$GA$2:$GA$21,$NJ26))+COUNTIF(INDEX($QV$2:$QY$13,$MO26,0),INDEX('DADOS_FORMAS'!$GA$2:$GA$21,$NJ26)))=0,1,0)))</f>
        <v/>
      </c>
      <c r="NY26" s="164">
        <f>IF(OR($NO26=0,$NK26=""),0,IF((COUNTIF(INDEX($EL$2:$EP$13,$MO26,0),$NK26)+COUNTIF(INDEX($QV$2:$QY$13,$MO26,0),$NK26))=0,1,0))</f>
        <v/>
      </c>
      <c r="NZ26" s="164">
        <f>IF(OR($NP26=0,$NL26=""),0,IF((COUNTIF(INDEX($EL$2:$EP$13,$MO26,0),$NL26)+COUNTIF(INDEX($QV$2:$QY$13,$MO26,0),$NL26))=0,1,0))</f>
        <v/>
      </c>
      <c r="OA26" s="164">
        <f>IF(OR($NQ26=0,$NM26=""),0,IF((COUNTIF(INDEX($EL$2:$EP$13,$MO26,0),$NM26)+COUNTIF(INDEX($QV$2:$QY$13,$MO26,0),$NM26))=0,1,0))</f>
        <v/>
      </c>
      <c r="OB26" s="164">
        <f>IF(OR($NR26=0,$NN26=""),0,IF((COUNTIF(INDEX($EL$2:$EP$13,$MO26,0),$NN26)+COUNTIF(INDEX($QV$2:$QY$13,$MO26,0),$NN26))=0,1,0))</f>
        <v/>
      </c>
      <c r="OC26" s="164">
        <f>IFERROR(VLOOKUP(SUBSTITUTE(SUBSTITUTE(SUBSTITUTE($MX26,"~","~~"),"*","~*"),"?","~?"),'DADOS_MELHORIAS'!$AG$2:$AL$113,4,FALSE),0)+IFERROR(VLOOKUP(SUBSTITUTE(SUBSTITUTE(SUBSTITUTE($MY26,"~","~~"),"*","~*"),"?","~?"),'DADOS_MELHORIAS'!$AG$2:$AL$113,4,FALSE),0)+IFERROR(VLOOKUP(SUBSTITUTE(SUBSTITUTE(SUBSTITUTE($MZ26,"~","~~"),"*","~*"),"?","~?"),'DADOS_MELHORIAS'!$AG$2:$AL$113,4,FALSE),0)+IFERROR(VLOOKUP(SUBSTITUTE(SUBSTITUTE(SUBSTITUTE($NA26,"~","~~"),"*","~*"),"?","~?"),'DADOS_MELHORIAS'!$AG$2:$AL$113,4,FALSE),0)</f>
        <v/>
      </c>
      <c r="OD26" s="164">
        <f>IFERROR(VLOOKUP(SUBSTITUTE(SUBSTITUTE(SUBSTITUTE($MX26,"~","~~"),"*","~*"),"?","~?"),'DADOS_MELHORIAS'!$AG$2:$AL$113,6,FALSE),0)+IFERROR(VLOOKUP(SUBSTITUTE(SUBSTITUTE(SUBSTITUTE($MY26,"~","~~"),"*","~*"),"?","~?"),'DADOS_MELHORIAS'!$AG$2:$AL$113,6,FALSE),0)+IFERROR(VLOOKUP(SUBSTITUTE(SUBSTITUTE(SUBSTITUTE($MZ26,"~","~~"),"*","~*"),"?","~?"),'DADOS_MELHORIAS'!$AG$2:$AL$113,6,FALSE),0)+IFERROR(VLOOKUP(SUBSTITUTE(SUBSTITUTE(SUBSTITUTE($NA26,"~","~~"),"*","~*"),"?","~?"),'DADOS_MELHORIAS'!$AG$2:$AL$113,6,FALSE),0)+IFERROR(N(AND(INDEX('DADOS_FORMAS'!$AO$2:$AO$21,MATCH(SUBSTITUTE(SUBSTITUTE(SUBSTITUTE($MU26,"~","~~"),"*","~*"),"?","~?"),'DADOS_FORMAS'!$AH$2:$AH$21,0))="Acerto",$OH26=1)),0)</f>
        <v/>
      </c>
      <c r="OE26" s="164">
        <f>TEXTJOIN(", ",TRUE,IF(IFERROR(VLOOKUP(SUBSTITUTE(SUBSTITUTE(SUBSTITUTE($MX26,"~","~~"),"*","~*"),"?","~?"),'DADOS_MELHORIAS'!$AG$2:$AL$113,5,FALSE),0)=1,$MX26,""),IF(IFERROR(VLOOKUP(SUBSTITUTE(SUBSTITUTE(SUBSTITUTE($MY26,"~","~~"),"*","~*"),"?","~?"),'DADOS_MELHORIAS'!$AG$2:$AL$113,5,FALSE),0)=1,$MY26,""),IF(IFERROR(VLOOKUP(SUBSTITUTE(SUBSTITUTE(SUBSTITUTE($MZ26,"~","~~"),"*","~*"),"?","~?"),'DADOS_MELHORIAS'!$AG$2:$AL$113,5,FALSE),0)=1,$MZ26,""),IF(IFERROR(VLOOKUP(SUBSTITUTE(SUBSTITUTE(SUBSTITUTE($NA26,"~","~~"),"*","~*"),"?","~?"),'DADOS_MELHORIAS'!$AG$2:$AL$113,5,FALSE),0)=1,$NA26,""))</f>
        <v/>
      </c>
      <c r="OF26" s="164">
        <f>IF($NJ26=0,0,INDEX('DADOS_FORMAS'!$GC$2:$GC$21,$NJ26))</f>
        <v/>
      </c>
      <c r="OG26" s="164">
        <f>IF($NJ26=0,0,INDEX('DADOS_FORMAS'!$GD$2:$GD$21,$NJ26))</f>
        <v/>
      </c>
      <c r="OH26" s="164">
        <f>IF($NJ26=0,0,INDEX('DADOS_FORMAS'!$GF$2:$GF$21,$NJ26))</f>
        <v/>
      </c>
      <c r="OI26" s="164">
        <f>IFERROR(VLOOKUP(SUBSTITUTE(SUBSTITUTE(SUBSTITUTE($NB26,"~","~~"),"*","~*"),"?","~?"),'DADOS_RESTRICOES'!$M$2:$Q$54,3,FALSE),0)</f>
        <v/>
      </c>
      <c r="OJ26" s="164">
        <f>IFERROR(VLOOKUP(SUBSTITUTE(SUBSTITUTE(SUBSTITUTE($NC26,"~","~~"),"*","~*"),"?","~?"),'DADOS_RESTRICOES'!$M$2:$Q$54,3,FALSE),0)</f>
        <v/>
      </c>
      <c r="OK26" s="164">
        <f>IFERROR(VLOOKUP(SUBSTITUTE(SUBSTITUTE(SUBSTITUTE($NB26,"~","~~"),"*","~*"),"?","~?"),'DADOS_RESTRICOES'!$M$2:$Q$54,2,FALSE),"")</f>
        <v/>
      </c>
      <c r="OL26" s="164">
        <f>IFERROR(VLOOKUP(SUBSTITUTE(SUBSTITUTE(SUBSTITUTE($NC26,"~","~~"),"*","~*"),"?","~?"),'DADOS_RESTRICOES'!$M$2:$Q$54,2,FALSE),"")</f>
        <v/>
      </c>
      <c r="OM26" s="164">
        <f>COUNTIF($NS26:$NW26,1)</f>
        <v/>
      </c>
      <c r="ON26" s="164">
        <f>COUNTIF($NS26:$NW26,2)</f>
        <v/>
      </c>
      <c r="OO26" s="164">
        <f>COUNTIF($NS26:$NW26,3)</f>
        <v/>
      </c>
      <c r="OP26" s="164">
        <f>COUNTIF($NS26:$NW26,4)</f>
        <v/>
      </c>
      <c r="OQ26" s="164">
        <f>COUNTIF($NS26:$NW26,5)</f>
        <v/>
      </c>
      <c r="OR26" s="164">
        <f>COUNTIF($NS26:$NW26,6)</f>
        <v/>
      </c>
      <c r="OS26" s="164">
        <f>COUNTIF($OI26:$OJ26,1)+IF(IFERROR(INDEX('DADOS_FORMAS'!$AS$2:$AS$21,MATCH(SUBSTITUTE(SUBSTITUTE(SUBSTITUTE($MU26,"~","~~"),"*","~*"),"?","~?"),'DADOS_FORMAS'!$AH$2:$AH$21,0)),"")="",0,IFERROR(N(VLOOKUP(SUBSTITUTE(SUBSTITUTE(SUBSTITUTE(IFERROR(INDEX('DADOS_FORMAS'!$AS$2:$AS$21,MATCH(SUBSTITUTE(SUBSTITUTE(SUBSTITUTE($MU26,"~","~~"),"*","~*"),"?","~?"),'DADOS_FORMAS'!$AH$2:$AH$21,0)),""),"~","~~"),"*","~*"),"?","~?"),'DADOS_RESTRICOES'!$M$2:$Q$54,3,FALSE)=1),0))</f>
        <v/>
      </c>
      <c r="OT26" s="164">
        <f>COUNTIF($OI26:$OJ26,2)+IF(IFERROR(INDEX('DADOS_FORMAS'!$AS$2:$AS$21,MATCH(SUBSTITUTE(SUBSTITUTE(SUBSTITUTE($MU26,"~","~~"),"*","~*"),"?","~?"),'DADOS_FORMAS'!$AH$2:$AH$21,0)),"")="",0,IFERROR(N(VLOOKUP(SUBSTITUTE(SUBSTITUTE(SUBSTITUTE(IFERROR(INDEX('DADOS_FORMAS'!$AS$2:$AS$21,MATCH(SUBSTITUTE(SUBSTITUTE(SUBSTITUTE($MU26,"~","~~"),"*","~*"),"?","~?"),'DADOS_FORMAS'!$AH$2:$AH$21,0)),""),"~","~~"),"*","~*"),"?","~?"),'DADOS_RESTRICOES'!$M$2:$Q$54,3,FALSE)=2),0))</f>
        <v/>
      </c>
      <c r="OU26" s="164">
        <f>COUNTIF($MX26:$NA26,"?*")</f>
        <v/>
      </c>
      <c r="OV26" s="164">
        <f>COUNTIF($NB26:$NC26,"?*")+$OF26</f>
        <v/>
      </c>
      <c r="OW26" s="164">
        <f>IF($MS26=0,0,SUMPRODUCT($OM26:$OR26,INDEX($I$2:$N$8,MAX(1,$MS26),0)))</f>
        <v/>
      </c>
      <c r="OX26" s="164">
        <f>IF($MS26=0,0,$OS26*CEILING($MS26/2,1)+$OT26*$MS26)</f>
        <v/>
      </c>
      <c r="OY26" s="164">
        <f>MIN(2*$MS26,$OX26)</f>
        <v/>
      </c>
      <c r="OZ26" s="164">
        <f>MIN($OY26,$OW26-IF($NS26=0,0,INDEX($I$2:$N$8,MAX(1,$MS26),$NS26)))</f>
        <v/>
      </c>
      <c r="PA26" s="164">
        <f>$OY26-$OZ26</f>
        <v/>
      </c>
      <c r="PB26" s="164">
        <f>IF($MS26=0,0,INDEX($P$2:$P$8,MAX(1,$MS26)))</f>
        <v/>
      </c>
      <c r="PC26" s="164">
        <f>$PB26-$OW26+$OZ26</f>
        <v/>
      </c>
      <c r="PD26" s="164">
        <f>IF($MS26=0,MAX(0,$NG26-IF(AND($OU26&gt;0,COUNTIF($NB26:$NC26,"?*")=0),1,0)),MAX(0,$PC26))</f>
        <v/>
      </c>
      <c r="PE26" s="164">
        <f>IF($MS26=0,0,(IF(COUNTIF($RK26:$RN26,"Salto")&gt;0,1,0)+IF(COUNTIF($RK26:$RN26,"Queima")&gt;0,1,0)+IF(COUNTIF($RK26:$RN26,"Estilhaço")&gt;0,1,0))*FLOOR($PD26/2,1))</f>
        <v/>
      </c>
      <c r="PF26" s="164">
        <f>MAX(0,2-SUMPRODUCT($OM26:$OR26,$I$2:$N$2)+MIN(2,$OS26*1+$OT26*1,SUMPRODUCT($OM26:$OR26,$I$2:$N$2)-IF($NS26=0,0,INDEX($I$2:$N$2,1,$NS26))))</f>
        <v/>
      </c>
      <c r="PG26" s="164">
        <f>MAX(0,4-SUMPRODUCT($OM26:$OR26,$I$3:$N$3)+MIN(4,$OS26*1+$OT26*2,SUMPRODUCT($OM26:$OR26,$I$3:$N$3)-IF($NS26=0,0,INDEX($I$3:$N$3,1,$NS26))))</f>
        <v/>
      </c>
      <c r="PH26" s="164">
        <f>MAX(0,6-SUMPRODUCT($OM26:$OR26,$I$4:$N$4)+MIN(6,$OS26*2+$OT26*3,SUMPRODUCT($OM26:$OR26,$I$4:$N$4)-IF($NS26=0,0,INDEX($I$4:$N$4,1,$NS26))))</f>
        <v/>
      </c>
      <c r="PI26" s="164">
        <f>MAX(0,9-SUMPRODUCT($OM26:$OR26,$I$5:$N$5)+MIN(8,$OS26*2+$OT26*4,SUMPRODUCT($OM26:$OR26,$I$5:$N$5)-IF($NS26=0,0,INDEX($I$5:$N$5,1,$NS26))))</f>
        <v/>
      </c>
      <c r="PJ26" s="164">
        <f>MAX(0,11-SUMPRODUCT($OM26:$OR26,$I$6:$N$6)+MIN(10,$OS26*3+$OT26*5,SUMPRODUCT($OM26:$OR26,$I$6:$N$6)-IF($NS26=0,0,INDEX($I$6:$N$6,1,$NS26))))</f>
        <v/>
      </c>
      <c r="PK26" s="164">
        <f>MAX(0,13-SUMPRODUCT($OM26:$OR26,$I$7:$N$7)+MIN(12,$OS26*3+$OT26*6,SUMPRODUCT($OM26:$OR26,$I$7:$N$7)-IF($NS26=0,0,INDEX($I$7:$N$7,1,$NS26))))</f>
        <v/>
      </c>
      <c r="PL26" s="164">
        <f>MAX(0,16-SUMPRODUCT($OM26:$OR26,$I$8:$N$8)+MIN(14,$OS26*4+$OT26*7,SUMPRODUCT($OM26:$OR26,$I$8:$N$8)-IF($NS26=0,0,INDEX($I$8:$N$8,1,$NS26))))</f>
        <v/>
      </c>
      <c r="PM26" s="164">
        <f>IF($OG26=2,3*$PF26&amp;" de vida temp.",IF($OG26=3,"sem dano",IF($PF26=0,IF($OG26=1,"sem cura","sem dano"),IF($OG26=1,"cura ","")&amp;$PF26&amp;"d8")))</f>
        <v/>
      </c>
      <c r="PN26" s="164">
        <f>IF($OG26=2,3*$PG26&amp;" de vida temp.",IF($OG26=3,"sem dano",IF($PG26=0,IF($OG26=1,"sem cura","sem dano"),IF($OG26=1,"cura ","")&amp;$PG26&amp;"d8")))</f>
        <v/>
      </c>
      <c r="PO26" s="164">
        <f>IF($OG26=2,3*$PH26&amp;" de vida temp.",IF($OG26=3,"sem dano",IF($PH26=0,IF($OG26=1,"sem cura","sem dano"),IF($OG26=1,"cura ","")&amp;$PH26&amp;"d8")))</f>
        <v/>
      </c>
      <c r="PP26" s="164">
        <f>IF($OG26=2,3*$PI26&amp;" de vida temp.",IF($OG26=3,"sem dano",IF($PI26=0,IF($OG26=1,"sem cura","sem dano"),IF($OG26=1,"cura ","")&amp;$PI26&amp;"d8")))</f>
        <v/>
      </c>
      <c r="PQ26" s="164">
        <f>IF($OG26=2,3*$PJ26&amp;" de vida temp.",IF($OG26=3,"sem dano",IF($PJ26=0,IF($OG26=1,"sem cura","sem dano"),IF($OG26=1,"cura ","")&amp;$PJ26&amp;"d8")))</f>
        <v/>
      </c>
      <c r="PR26" s="164">
        <f>IF($OG26=2,3*$PK26&amp;" de vida temp.",IF($OG26=3,"sem dano",IF($PK26=0,IF($OG26=1,"sem cura","sem dano"),IF($OG26=1,"cura ","")&amp;$PK26&amp;"d8")))</f>
        <v/>
      </c>
      <c r="PS26" s="164">
        <f>IF($OG26=2,3*$PL26&amp;" de vida temp.",IF($OG26=3,"sem dano",IF($PL26=0,IF($OG26=1,"sem cura","sem dano"),IF($OG26=1,"cura ","")&amp;$PL26&amp;"d8")))</f>
        <v/>
      </c>
      <c r="PT26" s="164">
        <f>IF($ND26=0,"",TEXTJOIN(" · ",TRUE,IF($ND26=0,"",TEXTJOIN(" · ",TRUE,IF($ND26=0,"",TEXTJOIN(" · ",TRUE,IF($MQ26&gt;$NE26,"Este lugar abre no nível "&amp;$MQ26,""),IF($MS26&gt;$NF26,"Classe "&amp;$MS26&amp;": o nível "&amp;$NE26&amp;" libera até a "&amp;$NF26,""),IF($NX26=1,"A Forma "&amp;$MU26&amp;" pede "&amp;INDEX('DADOS_FORMAS'!$GA$2:$GA$21,$NJ26)&amp;" aberta",""),IF(AND($MS26=0,$NJ26&gt;0,IF($NJ26=0,0,INDEX('DADOS_FORMAS'!$GJ$2:$GJ$21,$NJ26))=0),$MU26&amp;" não existe na Classe 0",""),IF($NY26=1,"Família Fechada: "&amp;$MX26,""),IF($NZ26=1,"Família Fechada: "&amp;$MY26,""),IF($OA26=1,"Família Fechada: "&amp;$MZ26,""),IF($OB26=1,"Família Fechada: "&amp;$NA26,""),IF(AND($MS26&gt;0,$OU26&gt;INDEX($O$2:$O$8,MAX(1,$MS26))),$OU26&amp;" Melhorias: a Classe "&amp;$MS26&amp;" aceita "&amp;INDEX($O$2:$O$8,MAX(1,$MS26)),""),IF(AND($MS26=0,$OU26&gt;1),"A básica aceita uma Melhoria",""),IF(AND($MS26=0,COUNTIF($NO26:$NR26,"&gt;1")&gt;0),"A básica só aceita Melhoria Leve",""),IF(AND($MS26&gt;0,$OV26&gt;2),$OV26&amp;" Restrições"&amp;IF($OF26=1,", contando a que a Forma "&amp;$MU26&amp;" já traz","")&amp;": o limite é 2",""),IF(AND($MS26=0,COUNTIF($NB26:$NC26,"?*")&gt;1),"A básica aceita uma Restrição Leve",""),IF(AND($MS26=0,COUNTIF($OI26:$OJ26,2)&gt;0),"A básica só aceita Restrição Leve",""),IF(AND($MS26&gt;0,$PC26&lt;0),"Orçamento estourado: faltam "&amp;(-$PC26)&amp;IF($PC26&lt;-1," pontos"," ponto"),""),IF(IFERROR(VLOOKUP(SUBSTITUTE(SUBSTITUTE(SUBSTITUTE($NB26,"~","~~"),"*","~*"),"?","~?"),'DADOS_RESTRICOES'!$M$2:$Q$54,4,FALSE),0)+IFERROR(VLOOKUP(SUBSTITUTE(SUBSTITUTE(SUBSTITUTE($NC26,"~","~~"),"*","~*"),"?","~?"),'DADOS_RESTRICOES'!$M$2:$Q$54,4,FALSE),0)&gt;1,$OK26&amp;" e "&amp;$OL26&amp;" são as duas de frequência",""),IF(AND((COUNTIF($RK26:$RN26,"Rápido")+COUNTIF($OK26:$OL26,"Rápido"))&gt;0,(COUNTIF($MX26:$NA26,"Atrasar")+COUNTIF($OK26:$OL26,"Atrasar"))&gt;0),"Rápido não entra com Atrasar",""),IF(AND((COUNTIF($RK26:$RN26,"Reação")+COUNTIF($OK26:$OL26,"Reação"))&gt;0,(COUNTIF($RK26:$RN26,"Rápido")+COUNTIF($OK26:$OL26,"Rápido"))&gt;0),"Reação não entra com Rápido",""),IF(AND((COUNTIF($RK26:$RN26,"Reação")+COUNTIF($OK26:$OL26,"Reação"))&gt;0,(COUNTIF($RK26:$RN26,"Armado")+COUNTIF($OK26:$OL26,"Armado"))&gt;0),"Reação não entra com Armado",""),IF(AND((COUNTIF($RK26:$RN26,"Reação")+COUNTIF($OK26:$OL26,"Reação"))&gt;0,(COUNTIF($MX26:$NA26,"Atrasar")+COUNTIF($OK26:$OL26,"Atrasar"))&gt;0),"Reação não entra com Atrasar",""),IF(AND((COUNTIF($RK26:$RN26,"Reação")+COUNTIF($OK26:$OL26,"Reação"))&gt;0,(COUNTIF($MX26:$NA26,"Parado")+COUNTIF($OK26:$OL26,"Parado"))&gt;0),"Reação não entra com Parado",""),IF(AND((COUNTIF($MX26:$NA26,"Atrasar")+COUNTIF($OK26:$OL26,"Atrasar"))&gt;0,(COUNTIF($MX26:$NA26,"Parado")+COUNTIF($OK26:$OL26,"Parado"))&gt;0),"Atrasar não entra com Parado",""),IF(AND((COUNTIF($RK26:$RN26,"Armado")+COUNTIF($OK26:$OL26,"Armado"))&gt;0,(COUNTIF($MX26:$NA26,"Carregar")+COUNTIF($OK26:$OL26,"Carregar"))&gt;0),"Armado não entra com Carregar",""),IF(AND(COUNTIF($OK26:$OL26,"Corpo a Corpo")&gt;0,$OF26=0,OR($RO26="Cone",$RO26="Linha")),"Corpo a Corpo não entra em "&amp;$MU26,""),IF(AND(COUNTIF($OK26:$OL26,"Corpo a Corpo")&gt;0,$RP26="Corpo a Corpo"),"A Forma "&amp;$MU26&amp;" já traz o Corpo a Corpo",""),IF(AND(COUNTIF($OK26:$OL26,"Tudo ou Nada")&gt;0,$OH26=0),"Tudo ou Nada só entra em habilidade de Teste de Resistência",""),IF(AND(COUNTIF($RK26:$RN26,"Inescapável")&gt;0,OR($OU26&gt;1,$OV26&gt;0)),"Inescapável não aceita outra peça",""),IF(AND($MS26&gt;0,$PD26*IF(COUNTIF($RK26:$RN26,"Remate")&gt;0,1.25,1)+$PE26&gt;4*$MS26),($PD26*IF(COUNTIF($RK26:$RN26,"Remate")&gt;0,1.25,1)+$PE26)&amp;" dados somando repetições"&amp;IF(COUNTIF($RK26:$RN26,"Remate")&gt;0," e o Remate","")&amp;": o teto da Classe "&amp;$MS26&amp;" é "&amp;4*$MS26,""))),IF(AND($MX26&lt;&gt;"",COUNTIF('DADOS_MELHORIAS'!$O$2:$O$113,SUBSTITUTE(SUBSTITUTE(SUBSTITUTE($MX26,"~","~~"),"*","~*"),"?","~?"))=0),"Melhoria não cadastrada ou com erro: "&amp;$MX26,""),IF(AND($MY26&lt;&gt;"",COUNTIF('DADOS_MELHORIAS'!$O$2:$O$113,SUBSTITUTE(SUBSTITUTE(SUBSTITUTE($MY26,"~","~~"),"*","~*"),"?","~?"))=0),"Melhoria não cadastrada ou com erro: "&amp;$MY26,""),IF(AND($MZ26&lt;&gt;"",COUNTIF('DADOS_MELHORIAS'!$O$2:$O$113,SUBSTITUTE(SUBSTITUTE(SUBSTITUTE($MZ26,"~","~~"),"*","~*"),"?","~?"))=0),"Melhoria não cadastrada ou com erro: "&amp;$MZ26,""),IF(AND($NA26&lt;&gt;"",COUNTIF('DADOS_MELHORIAS'!$O$2:$O$113,SUBSTITUTE(SUBSTITUTE(SUBSTITUTE($NA26,"~","~~"),"*","~*"),"?","~?"))=0),"Melhoria não cadastrada ou com erro: "&amp;$NA26,""),IF(AND($NB26&lt;&gt;"",COUNTIF('DADOS_RESTRICOES'!$M$2:$M$54,SUBSTITUTE(SUBSTITUTE(SUBSTITUTE($NB26,"~","~~"),"*","~*"),"?","~?"))=0),"Restrição não cadastrada ou com erro: "&amp;$NB26,""),IF(AND($NC26&lt;&gt;"",COUNTIF('DADOS_RESTRICOES'!$M$2:$M$54,SUBSTITUTE(SUBSTITUTE(SUBSTITUTE($NC26,"~","~~"),"*","~*"),"?","~?"))=0),"Restrição não cadastrada ou com erro: "&amp;$NC26,""))),IF(AND($MU26&lt;&gt;"",COUNTIF('DADOS_FORMAS'!$AH$2:$AH$21,SUBSTITUTE(SUBSTITUTE(SUBSTITUTE($MU26,"~","~~"),"*","~*"),"?","~?"))=0),"Forma não cadastrada ou com erro: "&amp;$MU26,""),IF(AND(IFERROR(INDEX('DADOS_FORMAS'!$AS$2:$AS$21,MATCH(SUBSTITUTE(SUBSTITUTE(SUBSTITUTE($MU26,"~","~~"),"*","~*"),"?","~?"),'DADOS_FORMAS'!$AH$2:$AH$21,0)),"")&lt;&gt;"",OR(IFERROR(VLOOKUP(SUBSTITUTE(SUBSTITUTE(SUBSTITUTE(IFERROR(INDEX('DADOS_FORMAS'!$AS$2:$AS$21,MATCH(SUBSTITUTE(SUBSTITUTE(SUBSTITUTE($MU26,"~","~~"),"*","~*"),"?","~?"),'DADOS_FORMAS'!$AH$2:$AH$21,0)),""),"~","~~"),"*","~*"),"?","~?"),'DADOS_RESTRICOES'!$M$2:$Q$54,2,FALSE),"")=$OK26,IFERROR(VLOOKUP(SUBSTITUTE(SUBSTITUTE(SUBSTITUTE(IFERROR(INDEX('DADOS_FORMAS'!$AS$2:$AS$21,MATCH(SUBSTITUTE(SUBSTITUTE(SUBSTITUTE($MU26,"~","~~"),"*","~*"),"?","~?"),'DADOS_FORMAS'!$AH$2:$AH$21,0)),""),"~","~~"),"*","~*"),"?","~?"),'DADOS_RESTRICOES'!$M$2:$Q$54,2,FALSE),"")=$OL26)),"Restrição repetida, contando a embutida",""),IF(IF(IFERROR(INDEX('DADOS_FORMAS'!$AS$2:$AS$21,MATCH(SUBSTITUTE(SUBSTITUTE(SUBSTITUTE($MU26,"~","~~"),"*","~*"),"?","~?"),'DADOS_FORMAS'!$AH$2:$AH$21,0)),"")="",0,IFERROR(N(VLOOKUP(SUBSTITUTE(SUBSTITUTE(SUBSTITUTE(IFERROR(INDEX('DADOS_FORMAS'!$AS$2:$AS$21,MATCH(SUBSTITUTE(SUBSTITUTE(SUBSTITUTE($MU26,"~","~~"),"*","~*"),"?","~?"),'DADOS_FORMAS'!$AH$2:$AH$21,0)),""),"~","~~"),"*","~*"),"?","~?"),'DADOS_RESTRICOES'!$M$2:$Q$54,4,FALSE)=1),0))+IF($NB26="",0,IFERROR(N(VLOOKUP(SUBSTITUTE(SUBSTITUTE(SUBSTITUTE($NB26,"~","~~"),"*","~*"),"?","~?"),'DADOS_RESTRICOES'!$M$2:$Q$54,4,FALSE)=1),0))+IF($NC26="",0,IFERROR(N(VLOOKUP(SUBSTITUTE(SUBSTITUTE(SUBSTITUTE($NC26,"~","~~"),"*","~*"),"?","~?"),'DADOS_RESTRICOES'!$M$2:$Q$54,4,FALSE)=1),0))&gt;1,"Duas Restrições de frequência, contando a embutida",""),IF(AND(IFERROR(VLOOKUP(SUBSTITUTE(SUBSTITUTE(SUBSTITUTE(IFERROR(INDEX('DADOS_FORMAS'!$AS$2:$AS$21,MATCH(SUBSTITUTE(SUBSTITUTE(SUBSTITUTE($MU26,"~","~~"),"*","~*"),"?","~?"),'DADOS_FORMAS'!$AH$2:$AH$21,0)),""),"~","~~"),"*","~*"),"?","~?"),'DADOS_RESTRICOES'!$M$2:$Q$54,2,FALSE),"")="Tudo ou Nada",$OH26=0),"Tudo ou Nada exige TR",""),IF(AND(IFERROR(VLOOKUP(SUBSTITUTE(SUBSTITUTE(SUBSTITUTE(IFERROR(INDEX('DADOS_FORMAS'!$AS$2:$AS$21,MATCH(SUBSTITUTE(SUBSTITUTE(SUBSTITUTE($MU26,"~","~~"),"*","~*"),"?","~?"),'DADOS_FORMAS'!$AH$2:$AH$21,0)),""),"~","~~"),"*","~*"),"?","~?"),'DADOS_RESTRICOES'!$M$2:$Q$54,2,FALSE),"")="Corpo a Corpo",OR($RO26="Cone",$RO26="Linha")),"Corpo a Corpo não entra em Cone/Linha","")))</f>
        <v/>
      </c>
      <c r="PU26" s="164">
        <f>IF($PT26="",0,(LEN($PT26)-LEN(SUBSTITUTE($PT26," · ","")))/3+1)</f>
        <v/>
      </c>
      <c r="PV26" s="164">
        <f>IF($ND26=0,"",TEXTJOIN(" · ",TRUE,IF($OX26&gt;2*$MS26,"A devolução parou no teto de "&amp;2*$MS26,""),IF($PA26&gt;0,"Devolução perdida: "&amp;$PA26&amp;IF($PA26&gt;1," pontos"," ponto")&amp;" sem Melhoria para pagar",""),IF(AND($OC26&gt;0,AND($MS26&gt;0,$OG26=0),$PD26=0),"Controle sem dano: uma rodada a mais e CD +2",""),IF(AND($OC26&gt;0,AND($MS26&gt;0,$OG26=0),$PD26&gt;0,$PD26&lt;=$MS26),"Controle com saldo até a Classe: uma rodada a mais",""),IF(AND($MS26&gt;0,$OE26&lt;&gt;""),"Efeito de "&amp;$OE26&amp;" pela Classe "&amp;MAX(1,$MS26-1),"")))</f>
        <v/>
      </c>
      <c r="PW26" s="164">
        <f>IF($PV26="",0,(LEN($PV26)-LEN(SUBSTITUTE($PV26," · ","")))/3+1)</f>
        <v/>
      </c>
      <c r="PX26" s="164">
        <f>IF($ND26=0,IF($OU26+COUNTIF($NB26:$NC26,"?*")&gt;0,"Dê um nome",""),IF($PU26&gt;0,"⚠ "&amp;$PU26&amp;IF($PU26&gt;1," erros"," erro"),IF($PW26&gt;0,"! "&amp;$PW26&amp;IF($PW26&gt;1," avisos"," aviso"),"Na regra")))</f>
        <v/>
      </c>
      <c r="PY26" s="164">
        <f>IF($ND26=0,"",IF($PU26+$PW26=0,"Dentro das regras que a ficha confere",$PT26&amp;IF(AND($PU26&gt;0,$PW26&gt;0)," · ","")&amp;$PV26))</f>
        <v/>
      </c>
      <c r="PZ26" s="164">
        <f>IF($MQ26&gt;$NE26,$MR26&amp;" · ABRE NO NÍVEL "&amp;$MQ26,$MR26)</f>
        <v/>
      </c>
      <c r="QA26" s="164">
        <f>IF($ND26=0,"",IF($MS26=0,"Sem PE",3*$MS26&amp;" PE"))</f>
        <v/>
      </c>
      <c r="QB26" s="164">
        <f>IF($ND26=0,"",IF($MS26=0,"A atuação básica dela",IF(COUNTIF($RQ26:$RS26,"Atrasar")&gt;0,"Sua Ação Completa",IF(COUNTIF($RK26:$RN26,"Rápido")&gt;0,"Sua Bônus",IF(COUNTIF($RK26:$RN26,"Reação")&gt;0,"Sua Reação","Sua Padrão")))&amp;" + a básica dela"&amp;IF(COUNTIF($RK26:$RN26,"Reação")&gt;0," e a coletiva","")&amp;IF(COUNTIF($RQ26:$RS26,"Carregar")&gt;0," · em dois turnos","")))</f>
        <v/>
      </c>
      <c r="QC26" s="164">
        <f>IF($MW26&lt;&gt;"",$MW26,IF($NJ26=0,"",INDEX('DADOS_FORMAS'!$GE$2:$GE$21,$NJ26)))</f>
        <v/>
      </c>
      <c r="QD26" s="164">
        <f>IF(OR($ND26=0,$NJ26=0),"",IF(COUNTIF($RK26:$RN26,"Inescapável")&gt;0,"Automático",IF($QC26="Ataque",IF($NH26="","Ataque","Ataque "&amp;IF(($NH26+2*IF(COUNTIF($RK26:$RN26,"Precisão")&gt;0,1,0))&gt;=0,"+","−")&amp;ABS(($NH26+2*IF(COUNTIF($RK26:$RN26,"Precisão")&gt;0,1,0))))&amp;IF($OD26&gt;0," · TR"&amp;IF($NI26="",""," CD "&amp;$NI26),""),IF(LEFT($QC26,2)="TR",$QC26&amp;IF($NI26="",""," · CD "&amp;$NI26)&amp;IF(COUNTIF($RK26:$RN26,"Certeiro")&gt;0," · metade",""),"Sem rolagem"))))</f>
        <v/>
      </c>
      <c r="QE26" s="164">
        <f>IF(OR($ND26=0,$NJ26=0),"",IF($MS26=0,IF(OR($OG26&gt;=1,$PD26=0),"Sem dano",$PD26&amp;"d6"&amp;IF($MV26="",""," "&amp;$MV26)),IF(OR($OG26&gt;=1,$PD26=0),UPPER(LEFT(INDEX($PM26:$PS26,1,MAX(1,$MS26)),1))&amp;MID(INDEX($PM26:$PS26,1,MAX(1,$MS26)),2,99),UPPER(LEFT(INDEX($PM26:$PS26,1,MAX(1,$MS26)),1))&amp;MID(INDEX($PM26:$PS26,1,MAX(1,$MS26)),2,99)&amp;IF($MV26="",""," "&amp;$MV26)&amp;IF($PE26&gt;0," · +"&amp;$PE26&amp;"d8",""))))</f>
        <v/>
      </c>
      <c r="QF26" s="164">
        <f>COUNTIF($RK26:$RN26,"Longe")+3*COUNTIF($RK26:$RN26,"Muito Longe")</f>
        <v/>
      </c>
      <c r="QG26" s="164">
        <f>COUNTIF($RK26:$RN26,"Maior")+3*COUNTIF($RK26:$RN26,"Muito Maior")</f>
        <v/>
      </c>
      <c r="QH26" s="164">
        <f>IF($NJ26=0,0,CHOOSE(1+INDEX('DADOS_FORMAS'!$GG$2:$GG$21,$NJ26),0,$QF26,$QG26,$QF26+$QG26))</f>
        <v/>
      </c>
      <c r="QI26" s="164">
        <f>IF($NJ26=0,0,CHOOSE(1+INDEX('DADOS_FORMAS'!$GH$2:$GH$21,$NJ26),0,$QF26,$QG26,$QF26+$QG26))</f>
        <v/>
      </c>
      <c r="QJ26" s="164">
        <f>IF(OR($ND26=0,$NJ26=0),"",INDEX('DADOS_FORMAS'!$HU$2:$HZ$81,($NJ26-1)*4+IF($MS26=0,1,IF($MS26&lt;=5,2,IF($MS26=6,3,4))),1+MIN(5,$QH26))&amp;INDEX('DADOS_FORMAS'!$IA$2:$IF$81,($NJ26-1)*4+IF($MS26=0,1,IF($MS26&lt;=5,2,IF($MS26=6,3,4))),1+MIN(5,$QI26))&amp;IF(INDEX('DADOS_FORMAS'!$GI$2:$GI$21,$NJ26)=1,IF(COUNTIF($RK26:$RN26,"Mais Um")&gt;0," · +"&amp;COUNTIF($RK26:$RN26,"Mais Um")&amp;IF(COUNTIF($RK26:$RN26,"Mais Um")&gt;1," alvos"," alvo"),"")&amp;IF(COUNTIF($RK26:$RN26,"Rajada")&gt;0,IF($MS26=0," · 1 tiro"," · "&amp;(MAX(1,$MS26-1)+1)&amp;" tiros"),""),""))</f>
        <v/>
      </c>
      <c r="QK26" s="164">
        <f>IF($ND26=0,"",IF($MS26=0,$NG26&amp;"d6"&amp;IF($OU26&gt;0," − 1 = "&amp;$PD26&amp;"d6"," da básica do nível "&amp;$NE26),$PB26&amp;" − "&amp;$OW26&amp;" + "&amp;$OZ26&amp;" = "&amp;$PC26&amp;" · teto "&amp;4*$MS26&amp;"d8"&amp;IF($OF26=1," · a Forma devolve "&amp;$MS26,"")&amp;IF($PA26&gt;0," · perde "&amp;$PA26,"")))</f>
        <v/>
      </c>
      <c r="QL26" s="164">
        <f>IF($ND26=0,"",IF($MS26=0,"A básica não amplia: os dados dela sobem com o nível",IF($MS26&gt;=$NF26,"Já está na maior Classe que o nível liberou",TEXTJOIN(" · ",TRUE,IF(AND(2&gt;$MS26,2&lt;=$NF26),"2 → "&amp;$PN26&amp;", 6 PE",""),IF(AND(3&gt;$MS26,3&lt;=$NF26),"3 → "&amp;$PO26&amp;", 9 PE",""),IF(AND(4&gt;$MS26,4&lt;=$NF26),"4 → "&amp;$PP26&amp;", 12 PE",""),IF(AND(5&gt;$MS26,5&lt;=$NF26),"5 → "&amp;$PQ26&amp;", 15 PE",""),IF(AND(6&gt;$MS26,6&lt;=$NF26),"6 → "&amp;$PR26&amp;", 18 PE",""),IF(AND(7&gt;$MS26,7&lt;=$NF26),"7 → "&amp;$PS26&amp;", 21 PE","")))))</f>
        <v/>
      </c>
      <c r="QM26" s="164">
        <f>IF(OR($ND26=0,$NO26=0),"",IF($MS26=0,"−1 dado","−"&amp;INDEX($I$2:$N$8,MAX(1,$MS26),MAX(1,$NT26))&amp;" · "&amp;CHOOSE(MAX(1,$NT26),"Leve","Média","Pesada","Leve · Livre","Média · Livre","Pesada · Livre")))</f>
        <v/>
      </c>
      <c r="QN26" s="164">
        <f>IF(OR($ND26=0,$NP26=0),"",IF($MS26=0,"−1 dado","−"&amp;INDEX($I$2:$N$8,MAX(1,$MS26),MAX(1,$NU26))&amp;" · "&amp;CHOOSE(MAX(1,$NU26),"Leve","Média","Pesada","Leve · Livre","Média · Livre","Pesada · Livre")))</f>
        <v/>
      </c>
      <c r="QO26" s="164">
        <f>IF(OR($ND26=0,$NQ26=0),"",IF($MS26=0,"−1 dado","−"&amp;INDEX($I$2:$N$8,MAX(1,$MS26),MAX(1,$NV26))&amp;" · "&amp;CHOOSE(MAX(1,$NV26),"Leve","Média","Pesada","Leve · Livre","Média · Livre","Pesada · Livre")))</f>
        <v/>
      </c>
      <c r="QP26" s="164">
        <f>IF(OR($ND26=0,$NR26=0),"",IF($MS26=0,"−1 dado","−"&amp;INDEX($I$2:$N$8,MAX(1,$MS26),MAX(1,$NW26))&amp;" · "&amp;CHOOSE(MAX(1,$NW26),"Leve","Média","Pesada","Leve · Livre","Média · Livre","Pesada · Livre")))</f>
        <v/>
      </c>
      <c r="QQ26" s="164">
        <f>IF(OR($ND26=0,$NB26=""),"",IF($MS26=0,"não devolve","+"&amp;IF($OI26=1,CEILING($MS26/2,1),$MS26)))</f>
        <v/>
      </c>
      <c r="QR26" s="164">
        <f>IF(OR($ND26=0,$NC26=""),"",IF($MS26=0,"não devolve","+"&amp;IF($OJ26=1,CEILING($MS26/2,1),$MS26)))</f>
        <v/>
      </c>
      <c r="RK26">
        <f>IF($MX26="","",IFERROR(VLOOKUP(SUBSTITUTE(SUBSTITUTE(SUBSTITUTE($MX26,"~","~~"),"*","~*"),"?","~?"),'DADOS_MELHORIAS'!$O$2:$X$113,10,FALSE),$MX26))</f>
        <v/>
      </c>
      <c r="RL26">
        <f>IF($MY26="","",IFERROR(VLOOKUP(SUBSTITUTE(SUBSTITUTE(SUBSTITUTE($MY26,"~","~~"),"*","~*"),"?","~?"),'DADOS_MELHORIAS'!$O$2:$X$113,10,FALSE),$MY26))</f>
        <v/>
      </c>
      <c r="RM26">
        <f>IF($MZ26="","",IFERROR(VLOOKUP(SUBSTITUTE(SUBSTITUTE(SUBSTITUTE($MZ26,"~","~~"),"*","~*"),"?","~?"),'DADOS_MELHORIAS'!$O$2:$X$113,10,FALSE),$MZ26))</f>
        <v/>
      </c>
      <c r="RN26">
        <f>IF($NA26="","",IFERROR(VLOOKUP(SUBSTITUTE(SUBSTITUTE(SUBSTITUTE($NA26,"~","~~"),"*","~*"),"?","~?"),'DADOS_MELHORIAS'!$O$2:$X$113,10,FALSE),$NA26))</f>
        <v/>
      </c>
      <c r="RO26">
        <f>IFERROR(INDEX('DADOS_FORMAS'!$BJ$2:$BJ$21,MATCH(SUBSTITUTE(SUBSTITUTE(SUBSTITUTE($MU26,"~","~~"),"*","~*"),"?","~?"),'DADOS_FORMAS'!$AH$2:$AH$21,0)),"")</f>
        <v/>
      </c>
      <c r="RP26">
        <f>IFERROR(VLOOKUP(SUBSTITUTE(SUBSTITUTE(SUBSTITUTE(IFERROR(INDEX('DADOS_FORMAS'!$AS$2:$AS$21,MATCH(SUBSTITUTE(SUBSTITUTE(SUBSTITUTE($MU26,"~","~~"),"*","~*"),"?","~?"),'DADOS_FORMAS'!$AH$2:$AH$21,0)),""),"~","~~"),"*","~*"),"?","~?"),'DADOS_RESTRICOES'!$M$2:$Q$54,2,FALSE),"")</f>
        <v/>
      </c>
      <c r="RQ26">
        <f>$OK26</f>
        <v/>
      </c>
      <c r="RR26">
        <f>$OL26</f>
        <v/>
      </c>
      <c r="RS26">
        <f>$RP26</f>
        <v/>
      </c>
    </row>
    <row r="27">
      <c r="AH27" s="162" t="inlineStr">
        <is>
          <t>Cura · classes 1 a 5</t>
        </is>
      </c>
      <c r="AI27" s="162" t="inlineStr">
        <is>
          <t>Um aliado a 9 m</t>
        </is>
      </c>
      <c r="AJ27" s="162" t="inlineStr">
        <is>
          <t>Um aliado a 18 m</t>
        </is>
      </c>
      <c r="AK27" s="162" t="inlineStr">
        <is>
          <t>Um aliado a 36 m</t>
        </is>
      </c>
      <c r="AL27" s="162" t="inlineStr">
        <is>
          <t>Um aliado a 90 m</t>
        </is>
      </c>
      <c r="AM27" s="162" t="inlineStr">
        <is>
          <t>Um aliado a visão a olho nu</t>
        </is>
      </c>
      <c r="AN27" s="162" t="inlineStr">
        <is>
          <t>Um aliado a visão a olho nu</t>
        </is>
      </c>
      <c r="AO27" s="162" t="inlineStr"/>
      <c r="AP27" s="162" t="inlineStr"/>
      <c r="AQ27" s="162" t="inlineStr"/>
      <c r="AR27" s="162" t="inlineStr"/>
      <c r="AS27" s="162" t="inlineStr"/>
      <c r="AT27" s="162" t="inlineStr"/>
      <c r="AV27" s="162" t="inlineStr">
        <is>
          <t>Agarrado</t>
        </is>
      </c>
      <c r="AW27" s="162" t="inlineStr">
        <is>
          <t>Controle</t>
        </is>
      </c>
      <c r="AX27" s="164" t="n">
        <v>1</v>
      </c>
      <c r="AY27" s="164" t="n">
        <v>1</v>
      </c>
      <c r="AZ27" s="164" t="n">
        <v>0</v>
      </c>
      <c r="BA27" s="164" t="n">
        <v>1</v>
      </c>
      <c r="JT27" s="164">
        <f>IF(OR($AW27="",(COUNTIF($EL$2:$EP$2,$AW27)+COUNTIF($QV$2:$QY$2,$AW27))&gt;0),$AV27,"")</f>
        <v/>
      </c>
      <c r="JU27" s="164">
        <f>IF(AND($AX27=1,OR($AW27="",(COUNTIF($EL$2:$EP$2,$AW27)+COUNTIF($QV$2:$QY$2,$AW27))&gt;0)),$AV27,"")</f>
        <v/>
      </c>
      <c r="JZ27" s="164">
        <f>IF(OR($AW27="",(COUNTIF($EL$3:$EP$3,$AW27)+COUNTIF($QV$3:$QY$3,$AW27))&gt;0),$AV27,"")</f>
        <v/>
      </c>
      <c r="KA27" s="164">
        <f>IF(AND($AX27=1,OR($AW27="",(COUNTIF($EL$3:$EP$3,$AW27)+COUNTIF($QV$3:$QY$3,$AW27))&gt;0)),$AV27,"")</f>
        <v/>
      </c>
      <c r="KF27" s="164">
        <f>IF(OR($AW27="",(COUNTIF($EL$4:$EP$4,$AW27)+COUNTIF($QV$4:$QY$4,$AW27))&gt;0),$AV27,"")</f>
        <v/>
      </c>
      <c r="KG27" s="164">
        <f>IF(AND($AX27=1,OR($AW27="",(COUNTIF($EL$4:$EP$4,$AW27)+COUNTIF($QV$4:$QY$4,$AW27))&gt;0)),$AV27,"")</f>
        <v/>
      </c>
      <c r="KL27" s="164">
        <f>IF(OR($AW27="",(COUNTIF($EL$5:$EP$5,$AW27)+COUNTIF($QV$5:$QY$5,$AW27))&gt;0),$AV27,"")</f>
        <v/>
      </c>
      <c r="KM27" s="164">
        <f>IF(AND($AX27=1,OR($AW27="",(COUNTIF($EL$5:$EP$5,$AW27)+COUNTIF($QV$5:$QY$5,$AW27))&gt;0)),$AV27,"")</f>
        <v/>
      </c>
      <c r="KR27" s="164">
        <f>IF(OR($AW27="",(COUNTIF($EL$6:$EP$6,$AW27)+COUNTIF($QV$6:$QY$6,$AW27))&gt;0),$AV27,"")</f>
        <v/>
      </c>
      <c r="KS27" s="164">
        <f>IF(AND($AX27=1,OR($AW27="",(COUNTIF($EL$6:$EP$6,$AW27)+COUNTIF($QV$6:$QY$6,$AW27))&gt;0)),$AV27,"")</f>
        <v/>
      </c>
      <c r="KX27" s="164">
        <f>IF(OR($AW27="",(COUNTIF($EL$7:$EP$7,$AW27)+COUNTIF($QV$7:$QY$7,$AW27))&gt;0),$AV27,"")</f>
        <v/>
      </c>
      <c r="KY27" s="164">
        <f>IF(AND($AX27=1,OR($AW27="",(COUNTIF($EL$7:$EP$7,$AW27)+COUNTIF($QV$7:$QY$7,$AW27))&gt;0)),$AV27,"")</f>
        <v/>
      </c>
      <c r="LD27" s="164">
        <f>IF(OR($AW27="",(COUNTIF($EL$8:$EP$8,$AW27)+COUNTIF($QV$8:$QY$8,$AW27))&gt;0),$AV27,"")</f>
        <v/>
      </c>
      <c r="LE27" s="164">
        <f>IF(AND($AX27=1,OR($AW27="",(COUNTIF($EL$8:$EP$8,$AW27)+COUNTIF($QV$8:$QY$8,$AW27))&gt;0)),$AV27,"")</f>
        <v/>
      </c>
      <c r="LJ27" s="164">
        <f>IF(OR($AW27="",(COUNTIF($EL$9:$EP$9,$AW27)+COUNTIF($QV$9:$QY$9,$AW27))&gt;0),$AV27,"")</f>
        <v/>
      </c>
      <c r="LK27" s="164">
        <f>IF(AND($AX27=1,OR($AW27="",(COUNTIF($EL$9:$EP$9,$AW27)+COUNTIF($QV$9:$QY$9,$AW27))&gt;0)),$AV27,"")</f>
        <v/>
      </c>
      <c r="LP27" s="164">
        <f>IF(OR($AW27="",(COUNTIF($EL$10:$EP$10,$AW27)+COUNTIF($QV$10:$QY$10,$AW27))&gt;0),$AV27,"")</f>
        <v/>
      </c>
      <c r="LQ27" s="164">
        <f>IF(AND($AX27=1,OR($AW27="",(COUNTIF($EL$10:$EP$10,$AW27)+COUNTIF($QV$10:$QY$10,$AW27))&gt;0)),$AV27,"")</f>
        <v/>
      </c>
      <c r="LV27" s="164">
        <f>IF(OR($AW27="",(COUNTIF($EL$11:$EP$11,$AW27)+COUNTIF($QV$11:$QY$11,$AW27))&gt;0),$AV27,"")</f>
        <v/>
      </c>
      <c r="LW27" s="164">
        <f>IF(AND($AX27=1,OR($AW27="",(COUNTIF($EL$11:$EP$11,$AW27)+COUNTIF($QV$11:$QY$11,$AW27))&gt;0)),$AV27,"")</f>
        <v/>
      </c>
      <c r="MB27" s="164">
        <f>IF(OR($AW27="",(COUNTIF($EL$12:$EP$12,$AW27)+COUNTIF($QV$12:$QY$12,$AW27))&gt;0),$AV27,"")</f>
        <v/>
      </c>
      <c r="MC27" s="164">
        <f>IF(AND($AX27=1,OR($AW27="",(COUNTIF($EL$12:$EP$12,$AW27)+COUNTIF($QV$12:$QY$12,$AW27))&gt;0)),$AV27,"")</f>
        <v/>
      </c>
      <c r="MH27" s="164">
        <f>IF(OR($AW27="",(COUNTIF($EL$13:$EP$13,$AW27)+COUNTIF($QV$13:$QY$13,$AW27))&gt;0),$AV27,"")</f>
        <v/>
      </c>
      <c r="MI27" s="164">
        <f>IF(AND($AX27=1,OR($AW27="",(COUNTIF($EL$13:$EP$13,$AW27)+COUNTIF($QV$13:$QY$13,$AW27))&gt;0)),$AV27,"")</f>
        <v/>
      </c>
      <c r="MN27" s="162" t="inlineStr">
        <is>
          <t>Ficha 2 · Escolha da trilha 3</t>
        </is>
      </c>
      <c r="MO27" s="164" t="n">
        <v>2</v>
      </c>
      <c r="MP27" s="164" t="n">
        <v>2</v>
      </c>
      <c r="MQ27" s="164" t="n">
        <v>0</v>
      </c>
      <c r="MR27" s="162" t="inlineStr">
        <is>
          <t>ESCOLHA DA TRILHA 3</t>
        </is>
      </c>
      <c r="MS27" s="164">
        <f>MAX(0,MIN(7,N('INVOCAÇÕES'!$U$384)))</f>
        <v/>
      </c>
      <c r="MT27" s="164">
        <f>'INVOCAÇÕES'!$V$384&amp;""</f>
        <v/>
      </c>
      <c r="MU27" s="164">
        <f>'INVOCAÇÕES'!$U$389&amp;""</f>
        <v/>
      </c>
      <c r="MV27" s="164">
        <f>'INVOCAÇÕES'!$U$390&amp;""</f>
        <v/>
      </c>
      <c r="MW27" s="164">
        <f>'INVOCAÇÕES'!$W$390&amp;""</f>
        <v/>
      </c>
      <c r="MX27" s="164">
        <f>'INVOCAÇÕES'!$V$393&amp;""</f>
        <v/>
      </c>
      <c r="MY27" s="164">
        <f>'INVOCAÇÕES'!$V$394&amp;""</f>
        <v/>
      </c>
      <c r="MZ27" s="164">
        <f>'INVOCAÇÕES'!$V$395&amp;""</f>
        <v/>
      </c>
      <c r="NA27" s="164">
        <f>'INVOCAÇÕES'!$V$396&amp;""</f>
        <v/>
      </c>
      <c r="NB27" s="164">
        <f>'INVOCAÇÕES'!$V$397&amp;""</f>
        <v/>
      </c>
      <c r="NC27" s="164">
        <f>'INVOCAÇÕES'!$V$398&amp;""</f>
        <v/>
      </c>
      <c r="ND27" s="164">
        <f>IF($MT27&lt;&gt;"",1,0)</f>
        <v/>
      </c>
      <c r="NE27" s="164">
        <f>INDEX($FO$2:$FO$13,$MO27)</f>
        <v/>
      </c>
      <c r="NF27" s="164">
        <f>INDEX($FP$2:$FP$13,$MO27)</f>
        <v/>
      </c>
      <c r="NG27" s="164">
        <f>INDEX($FQ$2:$FQ$13,$MO27)</f>
        <v/>
      </c>
      <c r="NH27" s="164">
        <f>INDEX($GB$2:$GB$13,$MO27)</f>
        <v/>
      </c>
      <c r="NI27" s="164">
        <f>INDEX($GC$2:$GC$13,$MO27)</f>
        <v/>
      </c>
      <c r="NJ27" s="164">
        <f>IFERROR(MATCH(SUBSTITUTE(SUBSTITUTE(SUBSTITUTE($MU27,"~","~~"),"*","~*"),"?","~?"),'DADOS_FORMAS'!$FZ$2:$FZ$21,0),0)</f>
        <v/>
      </c>
      <c r="NK27" s="164">
        <f>IFERROR(VLOOKUP(SUBSTITUTE(SUBSTITUTE(SUBSTITUTE($MX27,"~","~~"),"*","~*"),"?","~?"),'DADOS_MELHORIAS'!$AG$2:$AL$113,2,FALSE),"")</f>
        <v/>
      </c>
      <c r="NL27" s="164">
        <f>IFERROR(VLOOKUP(SUBSTITUTE(SUBSTITUTE(SUBSTITUTE($MY27,"~","~~"),"*","~*"),"?","~?"),'DADOS_MELHORIAS'!$AG$2:$AL$113,2,FALSE),"")</f>
        <v/>
      </c>
      <c r="NM27" s="164">
        <f>IFERROR(VLOOKUP(SUBSTITUTE(SUBSTITUTE(SUBSTITUTE($MZ27,"~","~~"),"*","~*"),"?","~?"),'DADOS_MELHORIAS'!$AG$2:$AL$113,2,FALSE),"")</f>
        <v/>
      </c>
      <c r="NN27" s="164">
        <f>IFERROR(VLOOKUP(SUBSTITUTE(SUBSTITUTE(SUBSTITUTE($NA27,"~","~~"),"*","~*"),"?","~?"),'DADOS_MELHORIAS'!$AG$2:$AL$113,2,FALSE),"")</f>
        <v/>
      </c>
      <c r="NO27" s="164">
        <f>IFERROR(VLOOKUP(SUBSTITUTE(SUBSTITUTE(SUBSTITUTE($MX27,"~","~~"),"*","~*"),"?","~?"),'DADOS_MELHORIAS'!$AG$2:$AL$113,3,FALSE),0)</f>
        <v/>
      </c>
      <c r="NP27" s="164">
        <f>IFERROR(VLOOKUP(SUBSTITUTE(SUBSTITUTE(SUBSTITUTE($MY27,"~","~~"),"*","~*"),"?","~?"),'DADOS_MELHORIAS'!$AG$2:$AL$113,3,FALSE),0)</f>
        <v/>
      </c>
      <c r="NQ27" s="164">
        <f>IFERROR(VLOOKUP(SUBSTITUTE(SUBSTITUTE(SUBSTITUTE($MZ27,"~","~~"),"*","~*"),"?","~?"),'DADOS_MELHORIAS'!$AG$2:$AL$113,3,FALSE),0)</f>
        <v/>
      </c>
      <c r="NR27" s="164">
        <f>IFERROR(VLOOKUP(SUBSTITUTE(SUBSTITUTE(SUBSTITUTE($NA27,"~","~~"),"*","~*"),"?","~?"),'DADOS_MELHORIAS'!$AG$2:$AL$113,3,FALSE),0)</f>
        <v/>
      </c>
      <c r="NS27" s="164">
        <f>IF($MS27=0,0,IF($NJ27=0,0,INDEX('DADOS_FORMAS'!$GB$2:$GB$21,$NJ27)))</f>
        <v/>
      </c>
      <c r="NT27" s="164">
        <f>IF(OR($NO27=0,$MS27=0),0,$NO27+3*IF(AND($NK27&lt;&gt;"",COUNTIF(INDEX($RB$2:$RJ$13,$MO27,0),$NK27)&gt;0),1,0))</f>
        <v/>
      </c>
      <c r="NU27" s="164">
        <f>IF(OR($NP27=0,$MS27=0),0,$NP27+3*IF(AND($NL27&lt;&gt;"",COUNTIF(INDEX($RB$2:$RJ$13,$MO27,0),$NL27)&gt;0),1,0))</f>
        <v/>
      </c>
      <c r="NV27" s="164">
        <f>IF(OR($NQ27=0,$MS27=0),0,$NQ27+3*IF(AND($NM27&lt;&gt;"",COUNTIF(INDEX($RB$2:$RJ$13,$MO27,0),$NM27)&gt;0),1,0))</f>
        <v/>
      </c>
      <c r="NW27" s="164">
        <f>IF(OR($NR27=0,$MS27=0),0,$NR27+3*IF(AND($NN27&lt;&gt;"",COUNTIF(INDEX($RB$2:$RJ$13,$MO27,0),$NN27)&gt;0),1,0))</f>
        <v/>
      </c>
      <c r="NX27" s="164">
        <f>IF($NJ27=0,0,IF(INDEX('DADOS_FORMAS'!$GA$2:$GA$21,$NJ27)="",0,IF((COUNTIF(INDEX($EL$2:$EP$13,$MO27,0),INDEX('DADOS_FORMAS'!$GA$2:$GA$21,$NJ27))+COUNTIF(INDEX($QV$2:$QY$13,$MO27,0),INDEX('DADOS_FORMAS'!$GA$2:$GA$21,$NJ27)))=0,1,0)))</f>
        <v/>
      </c>
      <c r="NY27" s="164">
        <f>IF(OR($NO27=0,$NK27=""),0,IF((COUNTIF(INDEX($EL$2:$EP$13,$MO27,0),$NK27)+COUNTIF(INDEX($QV$2:$QY$13,$MO27,0),$NK27))=0,1,0))</f>
        <v/>
      </c>
      <c r="NZ27" s="164">
        <f>IF(OR($NP27=0,$NL27=""),0,IF((COUNTIF(INDEX($EL$2:$EP$13,$MO27,0),$NL27)+COUNTIF(INDEX($QV$2:$QY$13,$MO27,0),$NL27))=0,1,0))</f>
        <v/>
      </c>
      <c r="OA27" s="164">
        <f>IF(OR($NQ27=0,$NM27=""),0,IF((COUNTIF(INDEX($EL$2:$EP$13,$MO27,0),$NM27)+COUNTIF(INDEX($QV$2:$QY$13,$MO27,0),$NM27))=0,1,0))</f>
        <v/>
      </c>
      <c r="OB27" s="164">
        <f>IF(OR($NR27=0,$NN27=""),0,IF((COUNTIF(INDEX($EL$2:$EP$13,$MO27,0),$NN27)+COUNTIF(INDEX($QV$2:$QY$13,$MO27,0),$NN27))=0,1,0))</f>
        <v/>
      </c>
      <c r="OC27" s="164">
        <f>IFERROR(VLOOKUP(SUBSTITUTE(SUBSTITUTE(SUBSTITUTE($MX27,"~","~~"),"*","~*"),"?","~?"),'DADOS_MELHORIAS'!$AG$2:$AL$113,4,FALSE),0)+IFERROR(VLOOKUP(SUBSTITUTE(SUBSTITUTE(SUBSTITUTE($MY27,"~","~~"),"*","~*"),"?","~?"),'DADOS_MELHORIAS'!$AG$2:$AL$113,4,FALSE),0)+IFERROR(VLOOKUP(SUBSTITUTE(SUBSTITUTE(SUBSTITUTE($MZ27,"~","~~"),"*","~*"),"?","~?"),'DADOS_MELHORIAS'!$AG$2:$AL$113,4,FALSE),0)+IFERROR(VLOOKUP(SUBSTITUTE(SUBSTITUTE(SUBSTITUTE($NA27,"~","~~"),"*","~*"),"?","~?"),'DADOS_MELHORIAS'!$AG$2:$AL$113,4,FALSE),0)</f>
        <v/>
      </c>
      <c r="OD27" s="164">
        <f>IFERROR(VLOOKUP(SUBSTITUTE(SUBSTITUTE(SUBSTITUTE($MX27,"~","~~"),"*","~*"),"?","~?"),'DADOS_MELHORIAS'!$AG$2:$AL$113,6,FALSE),0)+IFERROR(VLOOKUP(SUBSTITUTE(SUBSTITUTE(SUBSTITUTE($MY27,"~","~~"),"*","~*"),"?","~?"),'DADOS_MELHORIAS'!$AG$2:$AL$113,6,FALSE),0)+IFERROR(VLOOKUP(SUBSTITUTE(SUBSTITUTE(SUBSTITUTE($MZ27,"~","~~"),"*","~*"),"?","~?"),'DADOS_MELHORIAS'!$AG$2:$AL$113,6,FALSE),0)+IFERROR(VLOOKUP(SUBSTITUTE(SUBSTITUTE(SUBSTITUTE($NA27,"~","~~"),"*","~*"),"?","~?"),'DADOS_MELHORIAS'!$AG$2:$AL$113,6,FALSE),0)+IFERROR(N(AND(INDEX('DADOS_FORMAS'!$AO$2:$AO$21,MATCH(SUBSTITUTE(SUBSTITUTE(SUBSTITUTE($MU27,"~","~~"),"*","~*"),"?","~?"),'DADOS_FORMAS'!$AH$2:$AH$21,0))="Acerto",$OH27=1)),0)</f>
        <v/>
      </c>
      <c r="OE27" s="164">
        <f>TEXTJOIN(", ",TRUE,IF(IFERROR(VLOOKUP(SUBSTITUTE(SUBSTITUTE(SUBSTITUTE($MX27,"~","~~"),"*","~*"),"?","~?"),'DADOS_MELHORIAS'!$AG$2:$AL$113,5,FALSE),0)=1,$MX27,""),IF(IFERROR(VLOOKUP(SUBSTITUTE(SUBSTITUTE(SUBSTITUTE($MY27,"~","~~"),"*","~*"),"?","~?"),'DADOS_MELHORIAS'!$AG$2:$AL$113,5,FALSE),0)=1,$MY27,""),IF(IFERROR(VLOOKUP(SUBSTITUTE(SUBSTITUTE(SUBSTITUTE($MZ27,"~","~~"),"*","~*"),"?","~?"),'DADOS_MELHORIAS'!$AG$2:$AL$113,5,FALSE),0)=1,$MZ27,""),IF(IFERROR(VLOOKUP(SUBSTITUTE(SUBSTITUTE(SUBSTITUTE($NA27,"~","~~"),"*","~*"),"?","~?"),'DADOS_MELHORIAS'!$AG$2:$AL$113,5,FALSE),0)=1,$NA27,""))</f>
        <v/>
      </c>
      <c r="OF27" s="164">
        <f>IF($NJ27=0,0,INDEX('DADOS_FORMAS'!$GC$2:$GC$21,$NJ27))</f>
        <v/>
      </c>
      <c r="OG27" s="164">
        <f>IF($NJ27=0,0,INDEX('DADOS_FORMAS'!$GD$2:$GD$21,$NJ27))</f>
        <v/>
      </c>
      <c r="OH27" s="164">
        <f>IF($NJ27=0,0,INDEX('DADOS_FORMAS'!$GF$2:$GF$21,$NJ27))</f>
        <v/>
      </c>
      <c r="OI27" s="164">
        <f>IFERROR(VLOOKUP(SUBSTITUTE(SUBSTITUTE(SUBSTITUTE($NB27,"~","~~"),"*","~*"),"?","~?"),'DADOS_RESTRICOES'!$M$2:$Q$54,3,FALSE),0)</f>
        <v/>
      </c>
      <c r="OJ27" s="164">
        <f>IFERROR(VLOOKUP(SUBSTITUTE(SUBSTITUTE(SUBSTITUTE($NC27,"~","~~"),"*","~*"),"?","~?"),'DADOS_RESTRICOES'!$M$2:$Q$54,3,FALSE),0)</f>
        <v/>
      </c>
      <c r="OK27" s="164">
        <f>IFERROR(VLOOKUP(SUBSTITUTE(SUBSTITUTE(SUBSTITUTE($NB27,"~","~~"),"*","~*"),"?","~?"),'DADOS_RESTRICOES'!$M$2:$Q$54,2,FALSE),"")</f>
        <v/>
      </c>
      <c r="OL27" s="164">
        <f>IFERROR(VLOOKUP(SUBSTITUTE(SUBSTITUTE(SUBSTITUTE($NC27,"~","~~"),"*","~*"),"?","~?"),'DADOS_RESTRICOES'!$M$2:$Q$54,2,FALSE),"")</f>
        <v/>
      </c>
      <c r="OM27" s="164">
        <f>COUNTIF($NS27:$NW27,1)</f>
        <v/>
      </c>
      <c r="ON27" s="164">
        <f>COUNTIF($NS27:$NW27,2)</f>
        <v/>
      </c>
      <c r="OO27" s="164">
        <f>COUNTIF($NS27:$NW27,3)</f>
        <v/>
      </c>
      <c r="OP27" s="164">
        <f>COUNTIF($NS27:$NW27,4)</f>
        <v/>
      </c>
      <c r="OQ27" s="164">
        <f>COUNTIF($NS27:$NW27,5)</f>
        <v/>
      </c>
      <c r="OR27" s="164">
        <f>COUNTIF($NS27:$NW27,6)</f>
        <v/>
      </c>
      <c r="OS27" s="164">
        <f>COUNTIF($OI27:$OJ27,1)+IF(IFERROR(INDEX('DADOS_FORMAS'!$AS$2:$AS$21,MATCH(SUBSTITUTE(SUBSTITUTE(SUBSTITUTE($MU27,"~","~~"),"*","~*"),"?","~?"),'DADOS_FORMAS'!$AH$2:$AH$21,0)),"")="",0,IFERROR(N(VLOOKUP(SUBSTITUTE(SUBSTITUTE(SUBSTITUTE(IFERROR(INDEX('DADOS_FORMAS'!$AS$2:$AS$21,MATCH(SUBSTITUTE(SUBSTITUTE(SUBSTITUTE($MU27,"~","~~"),"*","~*"),"?","~?"),'DADOS_FORMAS'!$AH$2:$AH$21,0)),""),"~","~~"),"*","~*"),"?","~?"),'DADOS_RESTRICOES'!$M$2:$Q$54,3,FALSE)=1),0))</f>
        <v/>
      </c>
      <c r="OT27" s="164">
        <f>COUNTIF($OI27:$OJ27,2)+IF(IFERROR(INDEX('DADOS_FORMAS'!$AS$2:$AS$21,MATCH(SUBSTITUTE(SUBSTITUTE(SUBSTITUTE($MU27,"~","~~"),"*","~*"),"?","~?"),'DADOS_FORMAS'!$AH$2:$AH$21,0)),"")="",0,IFERROR(N(VLOOKUP(SUBSTITUTE(SUBSTITUTE(SUBSTITUTE(IFERROR(INDEX('DADOS_FORMAS'!$AS$2:$AS$21,MATCH(SUBSTITUTE(SUBSTITUTE(SUBSTITUTE($MU27,"~","~~"),"*","~*"),"?","~?"),'DADOS_FORMAS'!$AH$2:$AH$21,0)),""),"~","~~"),"*","~*"),"?","~?"),'DADOS_RESTRICOES'!$M$2:$Q$54,3,FALSE)=2),0))</f>
        <v/>
      </c>
      <c r="OU27" s="164">
        <f>COUNTIF($MX27:$NA27,"?*")</f>
        <v/>
      </c>
      <c r="OV27" s="164">
        <f>COUNTIF($NB27:$NC27,"?*")+$OF27</f>
        <v/>
      </c>
      <c r="OW27" s="164">
        <f>IF($MS27=0,0,SUMPRODUCT($OM27:$OR27,INDEX($I$2:$N$8,MAX(1,$MS27),0)))</f>
        <v/>
      </c>
      <c r="OX27" s="164">
        <f>IF($MS27=0,0,$OS27*CEILING($MS27/2,1)+$OT27*$MS27)</f>
        <v/>
      </c>
      <c r="OY27" s="164">
        <f>MIN(2*$MS27,$OX27)</f>
        <v/>
      </c>
      <c r="OZ27" s="164">
        <f>MIN($OY27,$OW27-IF($NS27=0,0,INDEX($I$2:$N$8,MAX(1,$MS27),$NS27)))</f>
        <v/>
      </c>
      <c r="PA27" s="164">
        <f>$OY27-$OZ27</f>
        <v/>
      </c>
      <c r="PB27" s="164">
        <f>IF($MS27=0,0,INDEX($P$2:$P$8,MAX(1,$MS27)))</f>
        <v/>
      </c>
      <c r="PC27" s="164">
        <f>$PB27-$OW27+$OZ27</f>
        <v/>
      </c>
      <c r="PD27" s="164">
        <f>IF($MS27=0,MAX(0,$NG27-IF(AND($OU27&gt;0,COUNTIF($NB27:$NC27,"?*")=0),1,0)),MAX(0,$PC27))</f>
        <v/>
      </c>
      <c r="PE27" s="164">
        <f>IF($MS27=0,0,(IF(COUNTIF($RK27:$RN27,"Salto")&gt;0,1,0)+IF(COUNTIF($RK27:$RN27,"Queima")&gt;0,1,0)+IF(COUNTIF($RK27:$RN27,"Estilhaço")&gt;0,1,0))*FLOOR($PD27/2,1))</f>
        <v/>
      </c>
      <c r="PF27" s="164">
        <f>MAX(0,2-SUMPRODUCT($OM27:$OR27,$I$2:$N$2)+MIN(2,$OS27*1+$OT27*1,SUMPRODUCT($OM27:$OR27,$I$2:$N$2)-IF($NS27=0,0,INDEX($I$2:$N$2,1,$NS27))))</f>
        <v/>
      </c>
      <c r="PG27" s="164">
        <f>MAX(0,4-SUMPRODUCT($OM27:$OR27,$I$3:$N$3)+MIN(4,$OS27*1+$OT27*2,SUMPRODUCT($OM27:$OR27,$I$3:$N$3)-IF($NS27=0,0,INDEX($I$3:$N$3,1,$NS27))))</f>
        <v/>
      </c>
      <c r="PH27" s="164">
        <f>MAX(0,6-SUMPRODUCT($OM27:$OR27,$I$4:$N$4)+MIN(6,$OS27*2+$OT27*3,SUMPRODUCT($OM27:$OR27,$I$4:$N$4)-IF($NS27=0,0,INDEX($I$4:$N$4,1,$NS27))))</f>
        <v/>
      </c>
      <c r="PI27" s="164">
        <f>MAX(0,9-SUMPRODUCT($OM27:$OR27,$I$5:$N$5)+MIN(8,$OS27*2+$OT27*4,SUMPRODUCT($OM27:$OR27,$I$5:$N$5)-IF($NS27=0,0,INDEX($I$5:$N$5,1,$NS27))))</f>
        <v/>
      </c>
      <c r="PJ27" s="164">
        <f>MAX(0,11-SUMPRODUCT($OM27:$OR27,$I$6:$N$6)+MIN(10,$OS27*3+$OT27*5,SUMPRODUCT($OM27:$OR27,$I$6:$N$6)-IF($NS27=0,0,INDEX($I$6:$N$6,1,$NS27))))</f>
        <v/>
      </c>
      <c r="PK27" s="164">
        <f>MAX(0,13-SUMPRODUCT($OM27:$OR27,$I$7:$N$7)+MIN(12,$OS27*3+$OT27*6,SUMPRODUCT($OM27:$OR27,$I$7:$N$7)-IF($NS27=0,0,INDEX($I$7:$N$7,1,$NS27))))</f>
        <v/>
      </c>
      <c r="PL27" s="164">
        <f>MAX(0,16-SUMPRODUCT($OM27:$OR27,$I$8:$N$8)+MIN(14,$OS27*4+$OT27*7,SUMPRODUCT($OM27:$OR27,$I$8:$N$8)-IF($NS27=0,0,INDEX($I$8:$N$8,1,$NS27))))</f>
        <v/>
      </c>
      <c r="PM27" s="164">
        <f>IF($OG27=2,3*$PF27&amp;" de vida temp.",IF($OG27=3,"sem dano",IF($PF27=0,IF($OG27=1,"sem cura","sem dano"),IF($OG27=1,"cura ","")&amp;$PF27&amp;"d8")))</f>
        <v/>
      </c>
      <c r="PN27" s="164">
        <f>IF($OG27=2,3*$PG27&amp;" de vida temp.",IF($OG27=3,"sem dano",IF($PG27=0,IF($OG27=1,"sem cura","sem dano"),IF($OG27=1,"cura ","")&amp;$PG27&amp;"d8")))</f>
        <v/>
      </c>
      <c r="PO27" s="164">
        <f>IF($OG27=2,3*$PH27&amp;" de vida temp.",IF($OG27=3,"sem dano",IF($PH27=0,IF($OG27=1,"sem cura","sem dano"),IF($OG27=1,"cura ","")&amp;$PH27&amp;"d8")))</f>
        <v/>
      </c>
      <c r="PP27" s="164">
        <f>IF($OG27=2,3*$PI27&amp;" de vida temp.",IF($OG27=3,"sem dano",IF($PI27=0,IF($OG27=1,"sem cura","sem dano"),IF($OG27=1,"cura ","")&amp;$PI27&amp;"d8")))</f>
        <v/>
      </c>
      <c r="PQ27" s="164">
        <f>IF($OG27=2,3*$PJ27&amp;" de vida temp.",IF($OG27=3,"sem dano",IF($PJ27=0,IF($OG27=1,"sem cura","sem dano"),IF($OG27=1,"cura ","")&amp;$PJ27&amp;"d8")))</f>
        <v/>
      </c>
      <c r="PR27" s="164">
        <f>IF($OG27=2,3*$PK27&amp;" de vida temp.",IF($OG27=3,"sem dano",IF($PK27=0,IF($OG27=1,"sem cura","sem dano"),IF($OG27=1,"cura ","")&amp;$PK27&amp;"d8")))</f>
        <v/>
      </c>
      <c r="PS27" s="164">
        <f>IF($OG27=2,3*$PL27&amp;" de vida temp.",IF($OG27=3,"sem dano",IF($PL27=0,IF($OG27=1,"sem cura","sem dano"),IF($OG27=1,"cura ","")&amp;$PL27&amp;"d8")))</f>
        <v/>
      </c>
      <c r="PT27" s="164">
        <f>IF($ND27=0,"",TEXTJOIN(" · ",TRUE,IF($ND27=0,"",TEXTJOIN(" · ",TRUE,IF($ND27=0,"",TEXTJOIN(" · ",TRUE,IF($MQ27&gt;$NE27,"Este lugar abre no nível "&amp;$MQ27,""),IF($MS27&gt;$NF27,"Classe "&amp;$MS27&amp;": o nível "&amp;$NE27&amp;" libera até a "&amp;$NF27,""),IF($NX27=1,"A Forma "&amp;$MU27&amp;" pede "&amp;INDEX('DADOS_FORMAS'!$GA$2:$GA$21,$NJ27)&amp;" aberta",""),IF(AND($MS27=0,$NJ27&gt;0,IF($NJ27=0,0,INDEX('DADOS_FORMAS'!$GJ$2:$GJ$21,$NJ27))=0),$MU27&amp;" não existe na Classe 0",""),IF($NY27=1,"Família Fechada: "&amp;$MX27,""),IF($NZ27=1,"Família Fechada: "&amp;$MY27,""),IF($OA27=1,"Família Fechada: "&amp;$MZ27,""),IF($OB27=1,"Família Fechada: "&amp;$NA27,""),IF(AND($MS27&gt;0,$OU27&gt;INDEX($O$2:$O$8,MAX(1,$MS27))),$OU27&amp;" Melhorias: a Classe "&amp;$MS27&amp;" aceita "&amp;INDEX($O$2:$O$8,MAX(1,$MS27)),""),IF(AND($MS27=0,$OU27&gt;1),"A básica aceita uma Melhoria",""),IF(AND($MS27=0,COUNTIF($NO27:$NR27,"&gt;1")&gt;0),"A básica só aceita Melhoria Leve",""),IF(AND($MS27&gt;0,$OV27&gt;2),$OV27&amp;" Restrições"&amp;IF($OF27=1,", contando a que a Forma "&amp;$MU27&amp;" já traz","")&amp;": o limite é 2",""),IF(AND($MS27=0,COUNTIF($NB27:$NC27,"?*")&gt;1),"A básica aceita uma Restrição Leve",""),IF(AND($MS27=0,COUNTIF($OI27:$OJ27,2)&gt;0),"A básica só aceita Restrição Leve",""),IF(AND($MS27&gt;0,$PC27&lt;0),"Orçamento estourado: faltam "&amp;(-$PC27)&amp;IF($PC27&lt;-1," pontos"," ponto"),""),IF(IFERROR(VLOOKUP(SUBSTITUTE(SUBSTITUTE(SUBSTITUTE($NB27,"~","~~"),"*","~*"),"?","~?"),'DADOS_RESTRICOES'!$M$2:$Q$54,4,FALSE),0)+IFERROR(VLOOKUP(SUBSTITUTE(SUBSTITUTE(SUBSTITUTE($NC27,"~","~~"),"*","~*"),"?","~?"),'DADOS_RESTRICOES'!$M$2:$Q$54,4,FALSE),0)&gt;1,$OK27&amp;" e "&amp;$OL27&amp;" são as duas de frequência",""),IF(AND((COUNTIF($RK27:$RN27,"Rápido")+COUNTIF($OK27:$OL27,"Rápido"))&gt;0,(COUNTIF($MX27:$NA27,"Atrasar")+COUNTIF($OK27:$OL27,"Atrasar"))&gt;0),"Rápido não entra com Atrasar",""),IF(AND((COUNTIF($RK27:$RN27,"Reação")+COUNTIF($OK27:$OL27,"Reação"))&gt;0,(COUNTIF($RK27:$RN27,"Rápido")+COUNTIF($OK27:$OL27,"Rápido"))&gt;0),"Reação não entra com Rápido",""),IF(AND((COUNTIF($RK27:$RN27,"Reação")+COUNTIF($OK27:$OL27,"Reação"))&gt;0,(COUNTIF($RK27:$RN27,"Armado")+COUNTIF($OK27:$OL27,"Armado"))&gt;0),"Reação não entra com Armado",""),IF(AND((COUNTIF($RK27:$RN27,"Reação")+COUNTIF($OK27:$OL27,"Reação"))&gt;0,(COUNTIF($MX27:$NA27,"Atrasar")+COUNTIF($OK27:$OL27,"Atrasar"))&gt;0),"Reação não entra com Atrasar",""),IF(AND((COUNTIF($RK27:$RN27,"Reação")+COUNTIF($OK27:$OL27,"Reação"))&gt;0,(COUNTIF($MX27:$NA27,"Parado")+COUNTIF($OK27:$OL27,"Parado"))&gt;0),"Reação não entra com Parado",""),IF(AND((COUNTIF($MX27:$NA27,"Atrasar")+COUNTIF($OK27:$OL27,"Atrasar"))&gt;0,(COUNTIF($MX27:$NA27,"Parado")+COUNTIF($OK27:$OL27,"Parado"))&gt;0),"Atrasar não entra com Parado",""),IF(AND((COUNTIF($RK27:$RN27,"Armado")+COUNTIF($OK27:$OL27,"Armado"))&gt;0,(COUNTIF($MX27:$NA27,"Carregar")+COUNTIF($OK27:$OL27,"Carregar"))&gt;0),"Armado não entra com Carregar",""),IF(AND(COUNTIF($OK27:$OL27,"Corpo a Corpo")&gt;0,$OF27=0,OR($RO27="Cone",$RO27="Linha")),"Corpo a Corpo não entra em "&amp;$MU27,""),IF(AND(COUNTIF($OK27:$OL27,"Corpo a Corpo")&gt;0,$RP27="Corpo a Corpo"),"A Forma "&amp;$MU27&amp;" já traz o Corpo a Corpo",""),IF(AND(COUNTIF($OK27:$OL27,"Tudo ou Nada")&gt;0,$OH27=0),"Tudo ou Nada só entra em habilidade de Teste de Resistência",""),IF(AND(COUNTIF($RK27:$RN27,"Inescapável")&gt;0,OR($OU27&gt;1,$OV27&gt;0)),"Inescapável não aceita outra peça",""),IF(AND($MS27&gt;0,$PD27*IF(COUNTIF($RK27:$RN27,"Remate")&gt;0,1.25,1)+$PE27&gt;4*$MS27),($PD27*IF(COUNTIF($RK27:$RN27,"Remate")&gt;0,1.25,1)+$PE27)&amp;" dados somando repetições"&amp;IF(COUNTIF($RK27:$RN27,"Remate")&gt;0," e o Remate","")&amp;": o teto da Classe "&amp;$MS27&amp;" é "&amp;4*$MS27,""))),IF(AND($MX27&lt;&gt;"",COUNTIF('DADOS_MELHORIAS'!$O$2:$O$113,SUBSTITUTE(SUBSTITUTE(SUBSTITUTE($MX27,"~","~~"),"*","~*"),"?","~?"))=0),"Melhoria não cadastrada ou com erro: "&amp;$MX27,""),IF(AND($MY27&lt;&gt;"",COUNTIF('DADOS_MELHORIAS'!$O$2:$O$113,SUBSTITUTE(SUBSTITUTE(SUBSTITUTE($MY27,"~","~~"),"*","~*"),"?","~?"))=0),"Melhoria não cadastrada ou com erro: "&amp;$MY27,""),IF(AND($MZ27&lt;&gt;"",COUNTIF('DADOS_MELHORIAS'!$O$2:$O$113,SUBSTITUTE(SUBSTITUTE(SUBSTITUTE($MZ27,"~","~~"),"*","~*"),"?","~?"))=0),"Melhoria não cadastrada ou com erro: "&amp;$MZ27,""),IF(AND($NA27&lt;&gt;"",COUNTIF('DADOS_MELHORIAS'!$O$2:$O$113,SUBSTITUTE(SUBSTITUTE(SUBSTITUTE($NA27,"~","~~"),"*","~*"),"?","~?"))=0),"Melhoria não cadastrada ou com erro: "&amp;$NA27,""),IF(AND($NB27&lt;&gt;"",COUNTIF('DADOS_RESTRICOES'!$M$2:$M$54,SUBSTITUTE(SUBSTITUTE(SUBSTITUTE($NB27,"~","~~"),"*","~*"),"?","~?"))=0),"Restrição não cadastrada ou com erro: "&amp;$NB27,""),IF(AND($NC27&lt;&gt;"",COUNTIF('DADOS_RESTRICOES'!$M$2:$M$54,SUBSTITUTE(SUBSTITUTE(SUBSTITUTE($NC27,"~","~~"),"*","~*"),"?","~?"))=0),"Restrição não cadastrada ou com erro: "&amp;$NC27,""))),IF(AND($MU27&lt;&gt;"",COUNTIF('DADOS_FORMAS'!$AH$2:$AH$21,SUBSTITUTE(SUBSTITUTE(SUBSTITUTE($MU27,"~","~~"),"*","~*"),"?","~?"))=0),"Forma não cadastrada ou com erro: "&amp;$MU27,""),IF(AND(IFERROR(INDEX('DADOS_FORMAS'!$AS$2:$AS$21,MATCH(SUBSTITUTE(SUBSTITUTE(SUBSTITUTE($MU27,"~","~~"),"*","~*"),"?","~?"),'DADOS_FORMAS'!$AH$2:$AH$21,0)),"")&lt;&gt;"",OR(IFERROR(VLOOKUP(SUBSTITUTE(SUBSTITUTE(SUBSTITUTE(IFERROR(INDEX('DADOS_FORMAS'!$AS$2:$AS$21,MATCH(SUBSTITUTE(SUBSTITUTE(SUBSTITUTE($MU27,"~","~~"),"*","~*"),"?","~?"),'DADOS_FORMAS'!$AH$2:$AH$21,0)),""),"~","~~"),"*","~*"),"?","~?"),'DADOS_RESTRICOES'!$M$2:$Q$54,2,FALSE),"")=$OK27,IFERROR(VLOOKUP(SUBSTITUTE(SUBSTITUTE(SUBSTITUTE(IFERROR(INDEX('DADOS_FORMAS'!$AS$2:$AS$21,MATCH(SUBSTITUTE(SUBSTITUTE(SUBSTITUTE($MU27,"~","~~"),"*","~*"),"?","~?"),'DADOS_FORMAS'!$AH$2:$AH$21,0)),""),"~","~~"),"*","~*"),"?","~?"),'DADOS_RESTRICOES'!$M$2:$Q$54,2,FALSE),"")=$OL27)),"Restrição repetida, contando a embutida",""),IF(IF(IFERROR(INDEX('DADOS_FORMAS'!$AS$2:$AS$21,MATCH(SUBSTITUTE(SUBSTITUTE(SUBSTITUTE($MU27,"~","~~"),"*","~*"),"?","~?"),'DADOS_FORMAS'!$AH$2:$AH$21,0)),"")="",0,IFERROR(N(VLOOKUP(SUBSTITUTE(SUBSTITUTE(SUBSTITUTE(IFERROR(INDEX('DADOS_FORMAS'!$AS$2:$AS$21,MATCH(SUBSTITUTE(SUBSTITUTE(SUBSTITUTE($MU27,"~","~~"),"*","~*"),"?","~?"),'DADOS_FORMAS'!$AH$2:$AH$21,0)),""),"~","~~"),"*","~*"),"?","~?"),'DADOS_RESTRICOES'!$M$2:$Q$54,4,FALSE)=1),0))+IF($NB27="",0,IFERROR(N(VLOOKUP(SUBSTITUTE(SUBSTITUTE(SUBSTITUTE($NB27,"~","~~"),"*","~*"),"?","~?"),'DADOS_RESTRICOES'!$M$2:$Q$54,4,FALSE)=1),0))+IF($NC27="",0,IFERROR(N(VLOOKUP(SUBSTITUTE(SUBSTITUTE(SUBSTITUTE($NC27,"~","~~"),"*","~*"),"?","~?"),'DADOS_RESTRICOES'!$M$2:$Q$54,4,FALSE)=1),0))&gt;1,"Duas Restrições de frequência, contando a embutida",""),IF(AND(IFERROR(VLOOKUP(SUBSTITUTE(SUBSTITUTE(SUBSTITUTE(IFERROR(INDEX('DADOS_FORMAS'!$AS$2:$AS$21,MATCH(SUBSTITUTE(SUBSTITUTE(SUBSTITUTE($MU27,"~","~~"),"*","~*"),"?","~?"),'DADOS_FORMAS'!$AH$2:$AH$21,0)),""),"~","~~"),"*","~*"),"?","~?"),'DADOS_RESTRICOES'!$M$2:$Q$54,2,FALSE),"")="Tudo ou Nada",$OH27=0),"Tudo ou Nada exige TR",""),IF(AND(IFERROR(VLOOKUP(SUBSTITUTE(SUBSTITUTE(SUBSTITUTE(IFERROR(INDEX('DADOS_FORMAS'!$AS$2:$AS$21,MATCH(SUBSTITUTE(SUBSTITUTE(SUBSTITUTE($MU27,"~","~~"),"*","~*"),"?","~?"),'DADOS_FORMAS'!$AH$2:$AH$21,0)),""),"~","~~"),"*","~*"),"?","~?"),'DADOS_RESTRICOES'!$M$2:$Q$54,2,FALSE),"")="Corpo a Corpo",OR($RO27="Cone",$RO27="Linha")),"Corpo a Corpo não entra em Cone/Linha","")))</f>
        <v/>
      </c>
      <c r="PU27" s="164">
        <f>IF($PT27="",0,(LEN($PT27)-LEN(SUBSTITUTE($PT27," · ","")))/3+1)</f>
        <v/>
      </c>
      <c r="PV27" s="164">
        <f>IF($ND27=0,"",TEXTJOIN(" · ",TRUE,IF($OX27&gt;2*$MS27,"A devolução parou no teto de "&amp;2*$MS27,""),IF($PA27&gt;0,"Devolução perdida: "&amp;$PA27&amp;IF($PA27&gt;1," pontos"," ponto")&amp;" sem Melhoria para pagar",""),IF(AND($OC27&gt;0,AND($MS27&gt;0,$OG27=0),$PD27=0),"Controle sem dano: uma rodada a mais e CD +2",""),IF(AND($OC27&gt;0,AND($MS27&gt;0,$OG27=0),$PD27&gt;0,$PD27&lt;=$MS27),"Controle com saldo até a Classe: uma rodada a mais",""),IF(AND($MS27&gt;0,$OE27&lt;&gt;""),"Efeito de "&amp;$OE27&amp;" pela Classe "&amp;MAX(1,$MS27-1),"")))</f>
        <v/>
      </c>
      <c r="PW27" s="164">
        <f>IF($PV27="",0,(LEN($PV27)-LEN(SUBSTITUTE($PV27," · ","")))/3+1)</f>
        <v/>
      </c>
      <c r="PX27" s="164">
        <f>IF($ND27=0,IF($OU27+COUNTIF($NB27:$NC27,"?*")&gt;0,"Dê um nome",""),IF($PU27&gt;0,"⚠ "&amp;$PU27&amp;IF($PU27&gt;1," erros"," erro"),IF($PW27&gt;0,"! "&amp;$PW27&amp;IF($PW27&gt;1," avisos"," aviso"),"Na regra")))</f>
        <v/>
      </c>
      <c r="PY27" s="164">
        <f>IF($ND27=0,"",IF($PU27+$PW27=0,"Dentro das regras que a ficha confere",$PT27&amp;IF(AND($PU27&gt;0,$PW27&gt;0)," · ","")&amp;$PV27))</f>
        <v/>
      </c>
      <c r="PZ27" s="164">
        <f>IF($MQ27&gt;$NE27,$MR27&amp;" · ABRE NO NÍVEL "&amp;$MQ27,$MR27)</f>
        <v/>
      </c>
      <c r="QA27" s="164">
        <f>IF($ND27=0,"",IF($MS27=0,"Sem PE",3*$MS27&amp;" PE"))</f>
        <v/>
      </c>
      <c r="QB27" s="164">
        <f>IF($ND27=0,"",IF($MS27=0,"A atuação básica dela",IF(COUNTIF($RQ27:$RS27,"Atrasar")&gt;0,"Sua Ação Completa",IF(COUNTIF($RK27:$RN27,"Rápido")&gt;0,"Sua Bônus",IF(COUNTIF($RK27:$RN27,"Reação")&gt;0,"Sua Reação","Sua Padrão")))&amp;" + a básica dela"&amp;IF(COUNTIF($RK27:$RN27,"Reação")&gt;0," e a coletiva","")&amp;IF(COUNTIF($RQ27:$RS27,"Carregar")&gt;0," · em dois turnos","")))</f>
        <v/>
      </c>
      <c r="QC27" s="164">
        <f>IF($MW27&lt;&gt;"",$MW27,IF($NJ27=0,"",INDEX('DADOS_FORMAS'!$GE$2:$GE$21,$NJ27)))</f>
        <v/>
      </c>
      <c r="QD27" s="164">
        <f>IF(OR($ND27=0,$NJ27=0),"",IF(COUNTIF($RK27:$RN27,"Inescapável")&gt;0,"Automático",IF($QC27="Ataque",IF($NH27="","Ataque","Ataque "&amp;IF(($NH27+2*IF(COUNTIF($RK27:$RN27,"Precisão")&gt;0,1,0))&gt;=0,"+","−")&amp;ABS(($NH27+2*IF(COUNTIF($RK27:$RN27,"Precisão")&gt;0,1,0))))&amp;IF($OD27&gt;0," · TR"&amp;IF($NI27="",""," CD "&amp;$NI27),""),IF(LEFT($QC27,2)="TR",$QC27&amp;IF($NI27="",""," · CD "&amp;$NI27)&amp;IF(COUNTIF($RK27:$RN27,"Certeiro")&gt;0," · metade",""),"Sem rolagem"))))</f>
        <v/>
      </c>
      <c r="QE27" s="164">
        <f>IF(OR($ND27=0,$NJ27=0),"",IF($MS27=0,IF(OR($OG27&gt;=1,$PD27=0),"Sem dano",$PD27&amp;"d6"&amp;IF($MV27="",""," "&amp;$MV27)),IF(OR($OG27&gt;=1,$PD27=0),UPPER(LEFT(INDEX($PM27:$PS27,1,MAX(1,$MS27)),1))&amp;MID(INDEX($PM27:$PS27,1,MAX(1,$MS27)),2,99),UPPER(LEFT(INDEX($PM27:$PS27,1,MAX(1,$MS27)),1))&amp;MID(INDEX($PM27:$PS27,1,MAX(1,$MS27)),2,99)&amp;IF($MV27="",""," "&amp;$MV27)&amp;IF($PE27&gt;0," · +"&amp;$PE27&amp;"d8",""))))</f>
        <v/>
      </c>
      <c r="QF27" s="164">
        <f>COUNTIF($RK27:$RN27,"Longe")+3*COUNTIF($RK27:$RN27,"Muito Longe")</f>
        <v/>
      </c>
      <c r="QG27" s="164">
        <f>COUNTIF($RK27:$RN27,"Maior")+3*COUNTIF($RK27:$RN27,"Muito Maior")</f>
        <v/>
      </c>
      <c r="QH27" s="164">
        <f>IF($NJ27=0,0,CHOOSE(1+INDEX('DADOS_FORMAS'!$GG$2:$GG$21,$NJ27),0,$QF27,$QG27,$QF27+$QG27))</f>
        <v/>
      </c>
      <c r="QI27" s="164">
        <f>IF($NJ27=0,0,CHOOSE(1+INDEX('DADOS_FORMAS'!$GH$2:$GH$21,$NJ27),0,$QF27,$QG27,$QF27+$QG27))</f>
        <v/>
      </c>
      <c r="QJ27" s="164">
        <f>IF(OR($ND27=0,$NJ27=0),"",INDEX('DADOS_FORMAS'!$HU$2:$HZ$81,($NJ27-1)*4+IF($MS27=0,1,IF($MS27&lt;=5,2,IF($MS27=6,3,4))),1+MIN(5,$QH27))&amp;INDEX('DADOS_FORMAS'!$IA$2:$IF$81,($NJ27-1)*4+IF($MS27=0,1,IF($MS27&lt;=5,2,IF($MS27=6,3,4))),1+MIN(5,$QI27))&amp;IF(INDEX('DADOS_FORMAS'!$GI$2:$GI$21,$NJ27)=1,IF(COUNTIF($RK27:$RN27,"Mais Um")&gt;0," · +"&amp;COUNTIF($RK27:$RN27,"Mais Um")&amp;IF(COUNTIF($RK27:$RN27,"Mais Um")&gt;1," alvos"," alvo"),"")&amp;IF(COUNTIF($RK27:$RN27,"Rajada")&gt;0,IF($MS27=0," · 1 tiro"," · "&amp;(MAX(1,$MS27-1)+1)&amp;" tiros"),""),""))</f>
        <v/>
      </c>
      <c r="QK27" s="164">
        <f>IF($ND27=0,"",IF($MS27=0,$NG27&amp;"d6"&amp;IF($OU27&gt;0," − 1 = "&amp;$PD27&amp;"d6"," da básica do nível "&amp;$NE27),$PB27&amp;" − "&amp;$OW27&amp;" + "&amp;$OZ27&amp;" = "&amp;$PC27&amp;" · teto "&amp;4*$MS27&amp;"d8"&amp;IF($OF27=1," · a Forma devolve "&amp;$MS27,"")&amp;IF($PA27&gt;0," · perde "&amp;$PA27,"")))</f>
        <v/>
      </c>
      <c r="QL27" s="164">
        <f>IF($ND27=0,"",IF($MS27=0,"A básica não amplia: os dados dela sobem com o nível",IF($MS27&gt;=$NF27,"Já está na maior Classe que o nível liberou",TEXTJOIN(" · ",TRUE,IF(AND(2&gt;$MS27,2&lt;=$NF27),"2 → "&amp;$PN27&amp;", 6 PE",""),IF(AND(3&gt;$MS27,3&lt;=$NF27),"3 → "&amp;$PO27&amp;", 9 PE",""),IF(AND(4&gt;$MS27,4&lt;=$NF27),"4 → "&amp;$PP27&amp;", 12 PE",""),IF(AND(5&gt;$MS27,5&lt;=$NF27),"5 → "&amp;$PQ27&amp;", 15 PE",""),IF(AND(6&gt;$MS27,6&lt;=$NF27),"6 → "&amp;$PR27&amp;", 18 PE",""),IF(AND(7&gt;$MS27,7&lt;=$NF27),"7 → "&amp;$PS27&amp;", 21 PE","")))))</f>
        <v/>
      </c>
      <c r="QM27" s="164">
        <f>IF(OR($ND27=0,$NO27=0),"",IF($MS27=0,"−1 dado","−"&amp;INDEX($I$2:$N$8,MAX(1,$MS27),MAX(1,$NT27))&amp;" · "&amp;CHOOSE(MAX(1,$NT27),"Leve","Média","Pesada","Leve · Livre","Média · Livre","Pesada · Livre")))</f>
        <v/>
      </c>
      <c r="QN27" s="164">
        <f>IF(OR($ND27=0,$NP27=0),"",IF($MS27=0,"−1 dado","−"&amp;INDEX($I$2:$N$8,MAX(1,$MS27),MAX(1,$NU27))&amp;" · "&amp;CHOOSE(MAX(1,$NU27),"Leve","Média","Pesada","Leve · Livre","Média · Livre","Pesada · Livre")))</f>
        <v/>
      </c>
      <c r="QO27" s="164">
        <f>IF(OR($ND27=0,$NQ27=0),"",IF($MS27=0,"−1 dado","−"&amp;INDEX($I$2:$N$8,MAX(1,$MS27),MAX(1,$NV27))&amp;" · "&amp;CHOOSE(MAX(1,$NV27),"Leve","Média","Pesada","Leve · Livre","Média · Livre","Pesada · Livre")))</f>
        <v/>
      </c>
      <c r="QP27" s="164">
        <f>IF(OR($ND27=0,$NR27=0),"",IF($MS27=0,"−1 dado","−"&amp;INDEX($I$2:$N$8,MAX(1,$MS27),MAX(1,$NW27))&amp;" · "&amp;CHOOSE(MAX(1,$NW27),"Leve","Média","Pesada","Leve · Livre","Média · Livre","Pesada · Livre")))</f>
        <v/>
      </c>
      <c r="QQ27" s="164">
        <f>IF(OR($ND27=0,$NB27=""),"",IF($MS27=0,"não devolve","+"&amp;IF($OI27=1,CEILING($MS27/2,1),$MS27)))</f>
        <v/>
      </c>
      <c r="QR27" s="164">
        <f>IF(OR($ND27=0,$NC27=""),"",IF($MS27=0,"não devolve","+"&amp;IF($OJ27=1,CEILING($MS27/2,1),$MS27)))</f>
        <v/>
      </c>
      <c r="RK27">
        <f>IF($MX27="","",IFERROR(VLOOKUP(SUBSTITUTE(SUBSTITUTE(SUBSTITUTE($MX27,"~","~~"),"*","~*"),"?","~?"),'DADOS_MELHORIAS'!$O$2:$X$113,10,FALSE),$MX27))</f>
        <v/>
      </c>
      <c r="RL27">
        <f>IF($MY27="","",IFERROR(VLOOKUP(SUBSTITUTE(SUBSTITUTE(SUBSTITUTE($MY27,"~","~~"),"*","~*"),"?","~?"),'DADOS_MELHORIAS'!$O$2:$X$113,10,FALSE),$MY27))</f>
        <v/>
      </c>
      <c r="RM27">
        <f>IF($MZ27="","",IFERROR(VLOOKUP(SUBSTITUTE(SUBSTITUTE(SUBSTITUTE($MZ27,"~","~~"),"*","~*"),"?","~?"),'DADOS_MELHORIAS'!$O$2:$X$113,10,FALSE),$MZ27))</f>
        <v/>
      </c>
      <c r="RN27">
        <f>IF($NA27="","",IFERROR(VLOOKUP(SUBSTITUTE(SUBSTITUTE(SUBSTITUTE($NA27,"~","~~"),"*","~*"),"?","~?"),'DADOS_MELHORIAS'!$O$2:$X$113,10,FALSE),$NA27))</f>
        <v/>
      </c>
      <c r="RO27">
        <f>IFERROR(INDEX('DADOS_FORMAS'!$BJ$2:$BJ$21,MATCH(SUBSTITUTE(SUBSTITUTE(SUBSTITUTE($MU27,"~","~~"),"*","~*"),"?","~?"),'DADOS_FORMAS'!$AH$2:$AH$21,0)),"")</f>
        <v/>
      </c>
      <c r="RP27">
        <f>IFERROR(VLOOKUP(SUBSTITUTE(SUBSTITUTE(SUBSTITUTE(IFERROR(INDEX('DADOS_FORMAS'!$AS$2:$AS$21,MATCH(SUBSTITUTE(SUBSTITUTE(SUBSTITUTE($MU27,"~","~~"),"*","~*"),"?","~?"),'DADOS_FORMAS'!$AH$2:$AH$21,0)),""),"~","~~"),"*","~*"),"?","~?"),'DADOS_RESTRICOES'!$M$2:$Q$54,2,FALSE),"")</f>
        <v/>
      </c>
      <c r="RQ27">
        <f>$OK27</f>
        <v/>
      </c>
      <c r="RR27">
        <f>$OL27</f>
        <v/>
      </c>
      <c r="RS27">
        <f>$RP27</f>
        <v/>
      </c>
    </row>
    <row r="28">
      <c r="AH28" s="162" t="inlineStr">
        <is>
          <t>Cura · classe 6</t>
        </is>
      </c>
      <c r="AI28" s="162" t="inlineStr">
        <is>
          <t>Um aliado a 18 m</t>
        </is>
      </c>
      <c r="AJ28" s="162" t="inlineStr">
        <is>
          <t>Um aliado a 36 m</t>
        </is>
      </c>
      <c r="AK28" s="162" t="inlineStr">
        <is>
          <t>Um aliado a 90 m</t>
        </is>
      </c>
      <c r="AL28" s="162" t="inlineStr">
        <is>
          <t>Um aliado a visão a olho nu</t>
        </is>
      </c>
      <c r="AM28" s="162" t="inlineStr">
        <is>
          <t>Um aliado a visão a olho nu</t>
        </is>
      </c>
      <c r="AN28" s="162" t="inlineStr">
        <is>
          <t>Um aliado a visão a olho nu</t>
        </is>
      </c>
      <c r="AO28" s="162" t="inlineStr"/>
      <c r="AP28" s="162" t="inlineStr"/>
      <c r="AQ28" s="162" t="inlineStr"/>
      <c r="AR28" s="162" t="inlineStr"/>
      <c r="AS28" s="162" t="inlineStr"/>
      <c r="AT28" s="162" t="inlineStr"/>
      <c r="AV28" s="162" t="inlineStr">
        <is>
          <t>Desarmado</t>
        </is>
      </c>
      <c r="AW28" s="162" t="inlineStr">
        <is>
          <t>Controle</t>
        </is>
      </c>
      <c r="AX28" s="164" t="n">
        <v>1</v>
      </c>
      <c r="AY28" s="164" t="n">
        <v>1</v>
      </c>
      <c r="AZ28" s="164" t="n">
        <v>0</v>
      </c>
      <c r="BA28" s="164" t="n">
        <v>1</v>
      </c>
      <c r="JT28" s="164">
        <f>IF(OR($AW28="",(COUNTIF($EL$2:$EP$2,$AW28)+COUNTIF($QV$2:$QY$2,$AW28))&gt;0),$AV28,"")</f>
        <v/>
      </c>
      <c r="JU28" s="164">
        <f>IF(AND($AX28=1,OR($AW28="",(COUNTIF($EL$2:$EP$2,$AW28)+COUNTIF($QV$2:$QY$2,$AW28))&gt;0)),$AV28,"")</f>
        <v/>
      </c>
      <c r="JZ28" s="164">
        <f>IF(OR($AW28="",(COUNTIF($EL$3:$EP$3,$AW28)+COUNTIF($QV$3:$QY$3,$AW28))&gt;0),$AV28,"")</f>
        <v/>
      </c>
      <c r="KA28" s="164">
        <f>IF(AND($AX28=1,OR($AW28="",(COUNTIF($EL$3:$EP$3,$AW28)+COUNTIF($QV$3:$QY$3,$AW28))&gt;0)),$AV28,"")</f>
        <v/>
      </c>
      <c r="KF28" s="164">
        <f>IF(OR($AW28="",(COUNTIF($EL$4:$EP$4,$AW28)+COUNTIF($QV$4:$QY$4,$AW28))&gt;0),$AV28,"")</f>
        <v/>
      </c>
      <c r="KG28" s="164">
        <f>IF(AND($AX28=1,OR($AW28="",(COUNTIF($EL$4:$EP$4,$AW28)+COUNTIF($QV$4:$QY$4,$AW28))&gt;0)),$AV28,"")</f>
        <v/>
      </c>
      <c r="KL28" s="164">
        <f>IF(OR($AW28="",(COUNTIF($EL$5:$EP$5,$AW28)+COUNTIF($QV$5:$QY$5,$AW28))&gt;0),$AV28,"")</f>
        <v/>
      </c>
      <c r="KM28" s="164">
        <f>IF(AND($AX28=1,OR($AW28="",(COUNTIF($EL$5:$EP$5,$AW28)+COUNTIF($QV$5:$QY$5,$AW28))&gt;0)),$AV28,"")</f>
        <v/>
      </c>
      <c r="KR28" s="164">
        <f>IF(OR($AW28="",(COUNTIF($EL$6:$EP$6,$AW28)+COUNTIF($QV$6:$QY$6,$AW28))&gt;0),$AV28,"")</f>
        <v/>
      </c>
      <c r="KS28" s="164">
        <f>IF(AND($AX28=1,OR($AW28="",(COUNTIF($EL$6:$EP$6,$AW28)+COUNTIF($QV$6:$QY$6,$AW28))&gt;0)),$AV28,"")</f>
        <v/>
      </c>
      <c r="KX28" s="164">
        <f>IF(OR($AW28="",(COUNTIF($EL$7:$EP$7,$AW28)+COUNTIF($QV$7:$QY$7,$AW28))&gt;0),$AV28,"")</f>
        <v/>
      </c>
      <c r="KY28" s="164">
        <f>IF(AND($AX28=1,OR($AW28="",(COUNTIF($EL$7:$EP$7,$AW28)+COUNTIF($QV$7:$QY$7,$AW28))&gt;0)),$AV28,"")</f>
        <v/>
      </c>
      <c r="LD28" s="164">
        <f>IF(OR($AW28="",(COUNTIF($EL$8:$EP$8,$AW28)+COUNTIF($QV$8:$QY$8,$AW28))&gt;0),$AV28,"")</f>
        <v/>
      </c>
      <c r="LE28" s="164">
        <f>IF(AND($AX28=1,OR($AW28="",(COUNTIF($EL$8:$EP$8,$AW28)+COUNTIF($QV$8:$QY$8,$AW28))&gt;0)),$AV28,"")</f>
        <v/>
      </c>
      <c r="LJ28" s="164">
        <f>IF(OR($AW28="",(COUNTIF($EL$9:$EP$9,$AW28)+COUNTIF($QV$9:$QY$9,$AW28))&gt;0),$AV28,"")</f>
        <v/>
      </c>
      <c r="LK28" s="164">
        <f>IF(AND($AX28=1,OR($AW28="",(COUNTIF($EL$9:$EP$9,$AW28)+COUNTIF($QV$9:$QY$9,$AW28))&gt;0)),$AV28,"")</f>
        <v/>
      </c>
      <c r="LP28" s="164">
        <f>IF(OR($AW28="",(COUNTIF($EL$10:$EP$10,$AW28)+COUNTIF($QV$10:$QY$10,$AW28))&gt;0),$AV28,"")</f>
        <v/>
      </c>
      <c r="LQ28" s="164">
        <f>IF(AND($AX28=1,OR($AW28="",(COUNTIF($EL$10:$EP$10,$AW28)+COUNTIF($QV$10:$QY$10,$AW28))&gt;0)),$AV28,"")</f>
        <v/>
      </c>
      <c r="LV28" s="164">
        <f>IF(OR($AW28="",(COUNTIF($EL$11:$EP$11,$AW28)+COUNTIF($QV$11:$QY$11,$AW28))&gt;0),$AV28,"")</f>
        <v/>
      </c>
      <c r="LW28" s="164">
        <f>IF(AND($AX28=1,OR($AW28="",(COUNTIF($EL$11:$EP$11,$AW28)+COUNTIF($QV$11:$QY$11,$AW28))&gt;0)),$AV28,"")</f>
        <v/>
      </c>
      <c r="MB28" s="164">
        <f>IF(OR($AW28="",(COUNTIF($EL$12:$EP$12,$AW28)+COUNTIF($QV$12:$QY$12,$AW28))&gt;0),$AV28,"")</f>
        <v/>
      </c>
      <c r="MC28" s="164">
        <f>IF(AND($AX28=1,OR($AW28="",(COUNTIF($EL$12:$EP$12,$AW28)+COUNTIF($QV$12:$QY$12,$AW28))&gt;0)),$AV28,"")</f>
        <v/>
      </c>
      <c r="MH28" s="164">
        <f>IF(OR($AW28="",(COUNTIF($EL$13:$EP$13,$AW28)+COUNTIF($QV$13:$QY$13,$AW28))&gt;0),$AV28,"")</f>
        <v/>
      </c>
      <c r="MI28" s="164">
        <f>IF(AND($AX28=1,OR($AW28="",(COUNTIF($EL$13:$EP$13,$AW28)+COUNTIF($QV$13:$QY$13,$AW28))&gt;0)),$AV28,"")</f>
        <v/>
      </c>
      <c r="MN28" s="162" t="inlineStr">
        <is>
          <t>Ficha 3 · Básica 1</t>
        </is>
      </c>
      <c r="MO28" s="164" t="n">
        <v>3</v>
      </c>
      <c r="MP28" s="164" t="n">
        <v>0</v>
      </c>
      <c r="MQ28" s="164" t="n">
        <v>1</v>
      </c>
      <c r="MR28" s="162" t="inlineStr">
        <is>
          <t>BÁSICA 1</t>
        </is>
      </c>
      <c r="MS28" s="164" t="n">
        <v>0</v>
      </c>
      <c r="MT28" s="164">
        <f>'INVOCAÇÕES'!$J$493&amp;""</f>
        <v/>
      </c>
      <c r="MU28" s="164">
        <f>'INVOCAÇÕES'!$I$498&amp;""</f>
        <v/>
      </c>
      <c r="MV28" s="164">
        <f>'INVOCAÇÕES'!$I$499&amp;""</f>
        <v/>
      </c>
      <c r="MW28" s="164">
        <f>'INVOCAÇÕES'!$K$499&amp;""</f>
        <v/>
      </c>
      <c r="MX28" s="164">
        <f>'INVOCAÇÕES'!$J$502&amp;""</f>
        <v/>
      </c>
      <c r="MY28" s="164">
        <f>'INVOCAÇÕES'!$J$503&amp;""</f>
        <v/>
      </c>
      <c r="MZ28" s="164">
        <f>'INVOCAÇÕES'!$J$504&amp;""</f>
        <v/>
      </c>
      <c r="NA28" s="164">
        <f>'INVOCAÇÕES'!$J$505&amp;""</f>
        <v/>
      </c>
      <c r="NB28" s="164">
        <f>'INVOCAÇÕES'!$J$506&amp;""</f>
        <v/>
      </c>
      <c r="NC28" s="164">
        <f>'INVOCAÇÕES'!$J$507&amp;""</f>
        <v/>
      </c>
      <c r="ND28" s="164">
        <f>IF($MT28&lt;&gt;"",1,0)</f>
        <v/>
      </c>
      <c r="NE28" s="164">
        <f>INDEX($FO$2:$FO$13,$MO28)</f>
        <v/>
      </c>
      <c r="NF28" s="164">
        <f>INDEX($FP$2:$FP$13,$MO28)</f>
        <v/>
      </c>
      <c r="NG28" s="164">
        <f>INDEX($FQ$2:$FQ$13,$MO28)</f>
        <v/>
      </c>
      <c r="NH28" s="164">
        <f>INDEX($GB$2:$GB$13,$MO28)</f>
        <v/>
      </c>
      <c r="NI28" s="164">
        <f>INDEX($GC$2:$GC$13,$MO28)</f>
        <v/>
      </c>
      <c r="NJ28" s="164">
        <f>IFERROR(MATCH(SUBSTITUTE(SUBSTITUTE(SUBSTITUTE($MU28,"~","~~"),"*","~*"),"?","~?"),'DADOS_FORMAS'!$FZ$2:$FZ$21,0),0)</f>
        <v/>
      </c>
      <c r="NK28" s="164">
        <f>IFERROR(VLOOKUP(SUBSTITUTE(SUBSTITUTE(SUBSTITUTE($MX28,"~","~~"),"*","~*"),"?","~?"),'DADOS_MELHORIAS'!$AG$2:$AL$113,2,FALSE),"")</f>
        <v/>
      </c>
      <c r="NL28" s="164">
        <f>IFERROR(VLOOKUP(SUBSTITUTE(SUBSTITUTE(SUBSTITUTE($MY28,"~","~~"),"*","~*"),"?","~?"),'DADOS_MELHORIAS'!$AG$2:$AL$113,2,FALSE),"")</f>
        <v/>
      </c>
      <c r="NM28" s="164">
        <f>IFERROR(VLOOKUP(SUBSTITUTE(SUBSTITUTE(SUBSTITUTE($MZ28,"~","~~"),"*","~*"),"?","~?"),'DADOS_MELHORIAS'!$AG$2:$AL$113,2,FALSE),"")</f>
        <v/>
      </c>
      <c r="NN28" s="164">
        <f>IFERROR(VLOOKUP(SUBSTITUTE(SUBSTITUTE(SUBSTITUTE($NA28,"~","~~"),"*","~*"),"?","~?"),'DADOS_MELHORIAS'!$AG$2:$AL$113,2,FALSE),"")</f>
        <v/>
      </c>
      <c r="NO28" s="164">
        <f>IFERROR(VLOOKUP(SUBSTITUTE(SUBSTITUTE(SUBSTITUTE($MX28,"~","~~"),"*","~*"),"?","~?"),'DADOS_MELHORIAS'!$AG$2:$AL$113,3,FALSE),0)</f>
        <v/>
      </c>
      <c r="NP28" s="164">
        <f>IFERROR(VLOOKUP(SUBSTITUTE(SUBSTITUTE(SUBSTITUTE($MY28,"~","~~"),"*","~*"),"?","~?"),'DADOS_MELHORIAS'!$AG$2:$AL$113,3,FALSE),0)</f>
        <v/>
      </c>
      <c r="NQ28" s="164">
        <f>IFERROR(VLOOKUP(SUBSTITUTE(SUBSTITUTE(SUBSTITUTE($MZ28,"~","~~"),"*","~*"),"?","~?"),'DADOS_MELHORIAS'!$AG$2:$AL$113,3,FALSE),0)</f>
        <v/>
      </c>
      <c r="NR28" s="164">
        <f>IFERROR(VLOOKUP(SUBSTITUTE(SUBSTITUTE(SUBSTITUTE($NA28,"~","~~"),"*","~*"),"?","~?"),'DADOS_MELHORIAS'!$AG$2:$AL$113,3,FALSE),0)</f>
        <v/>
      </c>
      <c r="NS28" s="164">
        <f>IF($MS28=0,0,IF($NJ28=0,0,INDEX('DADOS_FORMAS'!$GB$2:$GB$21,$NJ28)))</f>
        <v/>
      </c>
      <c r="NT28" s="164">
        <f>IF(OR($NO28=0,$MS28=0),0,$NO28+3*IF(AND($NK28&lt;&gt;"",COUNTIF(INDEX($RB$2:$RJ$13,$MO28,0),$NK28)&gt;0),1,0))</f>
        <v/>
      </c>
      <c r="NU28" s="164">
        <f>IF(OR($NP28=0,$MS28=0),0,$NP28+3*IF(AND($NL28&lt;&gt;"",COUNTIF(INDEX($RB$2:$RJ$13,$MO28,0),$NL28)&gt;0),1,0))</f>
        <v/>
      </c>
      <c r="NV28" s="164">
        <f>IF(OR($NQ28=0,$MS28=0),0,$NQ28+3*IF(AND($NM28&lt;&gt;"",COUNTIF(INDEX($RB$2:$RJ$13,$MO28,0),$NM28)&gt;0),1,0))</f>
        <v/>
      </c>
      <c r="NW28" s="164">
        <f>IF(OR($NR28=0,$MS28=0),0,$NR28+3*IF(AND($NN28&lt;&gt;"",COUNTIF(INDEX($RB$2:$RJ$13,$MO28,0),$NN28)&gt;0),1,0))</f>
        <v/>
      </c>
      <c r="NX28" s="164">
        <f>IF($NJ28=0,0,IF(INDEX('DADOS_FORMAS'!$GA$2:$GA$21,$NJ28)="",0,IF((COUNTIF(INDEX($EL$2:$EP$13,$MO28,0),INDEX('DADOS_FORMAS'!$GA$2:$GA$21,$NJ28))+COUNTIF(INDEX($QV$2:$QY$13,$MO28,0),INDEX('DADOS_FORMAS'!$GA$2:$GA$21,$NJ28)))=0,1,0)))</f>
        <v/>
      </c>
      <c r="NY28" s="164">
        <f>IF(OR($NO28=0,$NK28=""),0,IF((COUNTIF(INDEX($EL$2:$EP$13,$MO28,0),$NK28)+COUNTIF(INDEX($QV$2:$QY$13,$MO28,0),$NK28))=0,1,0))</f>
        <v/>
      </c>
      <c r="NZ28" s="164">
        <f>IF(OR($NP28=0,$NL28=""),0,IF((COUNTIF(INDEX($EL$2:$EP$13,$MO28,0),$NL28)+COUNTIF(INDEX($QV$2:$QY$13,$MO28,0),$NL28))=0,1,0))</f>
        <v/>
      </c>
      <c r="OA28" s="164">
        <f>IF(OR($NQ28=0,$NM28=""),0,IF((COUNTIF(INDEX($EL$2:$EP$13,$MO28,0),$NM28)+COUNTIF(INDEX($QV$2:$QY$13,$MO28,0),$NM28))=0,1,0))</f>
        <v/>
      </c>
      <c r="OB28" s="164">
        <f>IF(OR($NR28=0,$NN28=""),0,IF((COUNTIF(INDEX($EL$2:$EP$13,$MO28,0),$NN28)+COUNTIF(INDEX($QV$2:$QY$13,$MO28,0),$NN28))=0,1,0))</f>
        <v/>
      </c>
      <c r="OC28" s="164">
        <f>IFERROR(VLOOKUP(SUBSTITUTE(SUBSTITUTE(SUBSTITUTE($MX28,"~","~~"),"*","~*"),"?","~?"),'DADOS_MELHORIAS'!$AG$2:$AL$113,4,FALSE),0)+IFERROR(VLOOKUP(SUBSTITUTE(SUBSTITUTE(SUBSTITUTE($MY28,"~","~~"),"*","~*"),"?","~?"),'DADOS_MELHORIAS'!$AG$2:$AL$113,4,FALSE),0)+IFERROR(VLOOKUP(SUBSTITUTE(SUBSTITUTE(SUBSTITUTE($MZ28,"~","~~"),"*","~*"),"?","~?"),'DADOS_MELHORIAS'!$AG$2:$AL$113,4,FALSE),0)+IFERROR(VLOOKUP(SUBSTITUTE(SUBSTITUTE(SUBSTITUTE($NA28,"~","~~"),"*","~*"),"?","~?"),'DADOS_MELHORIAS'!$AG$2:$AL$113,4,FALSE),0)</f>
        <v/>
      </c>
      <c r="OD28" s="164">
        <f>IFERROR(VLOOKUP(SUBSTITUTE(SUBSTITUTE(SUBSTITUTE($MX28,"~","~~"),"*","~*"),"?","~?"),'DADOS_MELHORIAS'!$AG$2:$AL$113,6,FALSE),0)+IFERROR(VLOOKUP(SUBSTITUTE(SUBSTITUTE(SUBSTITUTE($MY28,"~","~~"),"*","~*"),"?","~?"),'DADOS_MELHORIAS'!$AG$2:$AL$113,6,FALSE),0)+IFERROR(VLOOKUP(SUBSTITUTE(SUBSTITUTE(SUBSTITUTE($MZ28,"~","~~"),"*","~*"),"?","~?"),'DADOS_MELHORIAS'!$AG$2:$AL$113,6,FALSE),0)+IFERROR(VLOOKUP(SUBSTITUTE(SUBSTITUTE(SUBSTITUTE($NA28,"~","~~"),"*","~*"),"?","~?"),'DADOS_MELHORIAS'!$AG$2:$AL$113,6,FALSE),0)+IFERROR(N(AND(INDEX('DADOS_FORMAS'!$AO$2:$AO$21,MATCH(SUBSTITUTE(SUBSTITUTE(SUBSTITUTE($MU28,"~","~~"),"*","~*"),"?","~?"),'DADOS_FORMAS'!$AH$2:$AH$21,0))="Acerto",$OH28=1)),0)</f>
        <v/>
      </c>
      <c r="OE28" s="164">
        <f>TEXTJOIN(", ",TRUE,IF(IFERROR(VLOOKUP(SUBSTITUTE(SUBSTITUTE(SUBSTITUTE($MX28,"~","~~"),"*","~*"),"?","~?"),'DADOS_MELHORIAS'!$AG$2:$AL$113,5,FALSE),0)=1,$MX28,""),IF(IFERROR(VLOOKUP(SUBSTITUTE(SUBSTITUTE(SUBSTITUTE($MY28,"~","~~"),"*","~*"),"?","~?"),'DADOS_MELHORIAS'!$AG$2:$AL$113,5,FALSE),0)=1,$MY28,""),IF(IFERROR(VLOOKUP(SUBSTITUTE(SUBSTITUTE(SUBSTITUTE($MZ28,"~","~~"),"*","~*"),"?","~?"),'DADOS_MELHORIAS'!$AG$2:$AL$113,5,FALSE),0)=1,$MZ28,""),IF(IFERROR(VLOOKUP(SUBSTITUTE(SUBSTITUTE(SUBSTITUTE($NA28,"~","~~"),"*","~*"),"?","~?"),'DADOS_MELHORIAS'!$AG$2:$AL$113,5,FALSE),0)=1,$NA28,""))</f>
        <v/>
      </c>
      <c r="OF28" s="164">
        <f>IF($NJ28=0,0,INDEX('DADOS_FORMAS'!$GC$2:$GC$21,$NJ28))</f>
        <v/>
      </c>
      <c r="OG28" s="164">
        <f>IF($NJ28=0,0,INDEX('DADOS_FORMAS'!$GD$2:$GD$21,$NJ28))</f>
        <v/>
      </c>
      <c r="OH28" s="164">
        <f>IF($NJ28=0,0,INDEX('DADOS_FORMAS'!$GF$2:$GF$21,$NJ28))</f>
        <v/>
      </c>
      <c r="OI28" s="164">
        <f>IFERROR(VLOOKUP(SUBSTITUTE(SUBSTITUTE(SUBSTITUTE($NB28,"~","~~"),"*","~*"),"?","~?"),'DADOS_RESTRICOES'!$M$2:$Q$54,3,FALSE),0)</f>
        <v/>
      </c>
      <c r="OJ28" s="164">
        <f>IFERROR(VLOOKUP(SUBSTITUTE(SUBSTITUTE(SUBSTITUTE($NC28,"~","~~"),"*","~*"),"?","~?"),'DADOS_RESTRICOES'!$M$2:$Q$54,3,FALSE),0)</f>
        <v/>
      </c>
      <c r="OK28" s="164">
        <f>IFERROR(VLOOKUP(SUBSTITUTE(SUBSTITUTE(SUBSTITUTE($NB28,"~","~~"),"*","~*"),"?","~?"),'DADOS_RESTRICOES'!$M$2:$Q$54,2,FALSE),"")</f>
        <v/>
      </c>
      <c r="OL28" s="164">
        <f>IFERROR(VLOOKUP(SUBSTITUTE(SUBSTITUTE(SUBSTITUTE($NC28,"~","~~"),"*","~*"),"?","~?"),'DADOS_RESTRICOES'!$M$2:$Q$54,2,FALSE),"")</f>
        <v/>
      </c>
      <c r="OM28" s="164">
        <f>COUNTIF($NS28:$NW28,1)</f>
        <v/>
      </c>
      <c r="ON28" s="164">
        <f>COUNTIF($NS28:$NW28,2)</f>
        <v/>
      </c>
      <c r="OO28" s="164">
        <f>COUNTIF($NS28:$NW28,3)</f>
        <v/>
      </c>
      <c r="OP28" s="164">
        <f>COUNTIF($NS28:$NW28,4)</f>
        <v/>
      </c>
      <c r="OQ28" s="164">
        <f>COUNTIF($NS28:$NW28,5)</f>
        <v/>
      </c>
      <c r="OR28" s="164">
        <f>COUNTIF($NS28:$NW28,6)</f>
        <v/>
      </c>
      <c r="OS28" s="164">
        <f>COUNTIF($OI28:$OJ28,1)+IF(IFERROR(INDEX('DADOS_FORMAS'!$AS$2:$AS$21,MATCH(SUBSTITUTE(SUBSTITUTE(SUBSTITUTE($MU28,"~","~~"),"*","~*"),"?","~?"),'DADOS_FORMAS'!$AH$2:$AH$21,0)),"")="",0,IFERROR(N(VLOOKUP(SUBSTITUTE(SUBSTITUTE(SUBSTITUTE(IFERROR(INDEX('DADOS_FORMAS'!$AS$2:$AS$21,MATCH(SUBSTITUTE(SUBSTITUTE(SUBSTITUTE($MU28,"~","~~"),"*","~*"),"?","~?"),'DADOS_FORMAS'!$AH$2:$AH$21,0)),""),"~","~~"),"*","~*"),"?","~?"),'DADOS_RESTRICOES'!$M$2:$Q$54,3,FALSE)=1),0))</f>
        <v/>
      </c>
      <c r="OT28" s="164">
        <f>COUNTIF($OI28:$OJ28,2)+IF(IFERROR(INDEX('DADOS_FORMAS'!$AS$2:$AS$21,MATCH(SUBSTITUTE(SUBSTITUTE(SUBSTITUTE($MU28,"~","~~"),"*","~*"),"?","~?"),'DADOS_FORMAS'!$AH$2:$AH$21,0)),"")="",0,IFERROR(N(VLOOKUP(SUBSTITUTE(SUBSTITUTE(SUBSTITUTE(IFERROR(INDEX('DADOS_FORMAS'!$AS$2:$AS$21,MATCH(SUBSTITUTE(SUBSTITUTE(SUBSTITUTE($MU28,"~","~~"),"*","~*"),"?","~?"),'DADOS_FORMAS'!$AH$2:$AH$21,0)),""),"~","~~"),"*","~*"),"?","~?"),'DADOS_RESTRICOES'!$M$2:$Q$54,3,FALSE)=2),0))</f>
        <v/>
      </c>
      <c r="OU28" s="164">
        <f>COUNTIF($MX28:$NA28,"?*")</f>
        <v/>
      </c>
      <c r="OV28" s="164">
        <f>COUNTIF($NB28:$NC28,"?*")+$OF28</f>
        <v/>
      </c>
      <c r="OW28" s="164">
        <f>IF($MS28=0,0,SUMPRODUCT($OM28:$OR28,INDEX($I$2:$N$8,MAX(1,$MS28),0)))</f>
        <v/>
      </c>
      <c r="OX28" s="164">
        <f>IF($MS28=0,0,$OS28*CEILING($MS28/2,1)+$OT28*$MS28)</f>
        <v/>
      </c>
      <c r="OY28" s="164">
        <f>MIN(2*$MS28,$OX28)</f>
        <v/>
      </c>
      <c r="OZ28" s="164">
        <f>MIN($OY28,$OW28-IF($NS28=0,0,INDEX($I$2:$N$8,MAX(1,$MS28),$NS28)))</f>
        <v/>
      </c>
      <c r="PA28" s="164">
        <f>$OY28-$OZ28</f>
        <v/>
      </c>
      <c r="PB28" s="164">
        <f>IF($MS28=0,0,INDEX($P$2:$P$8,MAX(1,$MS28)))</f>
        <v/>
      </c>
      <c r="PC28" s="164">
        <f>$PB28-$OW28+$OZ28</f>
        <v/>
      </c>
      <c r="PD28" s="164">
        <f>IF($MS28=0,MAX(0,$NG28-IF(AND($OU28&gt;0,COUNTIF($NB28:$NC28,"?*")=0),1,0)),MAX(0,$PC28))</f>
        <v/>
      </c>
      <c r="PE28" s="164">
        <f>IF($MS28=0,0,(IF(COUNTIF($RK28:$RN28,"Salto")&gt;0,1,0)+IF(COUNTIF($RK28:$RN28,"Queima")&gt;0,1,0)+IF(COUNTIF($RK28:$RN28,"Estilhaço")&gt;0,1,0))*FLOOR($PD28/2,1))</f>
        <v/>
      </c>
      <c r="PF28" s="164">
        <f>MAX(0,2-SUMPRODUCT($OM28:$OR28,$I$2:$N$2)+MIN(2,$OS28*1+$OT28*1,SUMPRODUCT($OM28:$OR28,$I$2:$N$2)-IF($NS28=0,0,INDEX($I$2:$N$2,1,$NS28))))</f>
        <v/>
      </c>
      <c r="PG28" s="164">
        <f>MAX(0,4-SUMPRODUCT($OM28:$OR28,$I$3:$N$3)+MIN(4,$OS28*1+$OT28*2,SUMPRODUCT($OM28:$OR28,$I$3:$N$3)-IF($NS28=0,0,INDEX($I$3:$N$3,1,$NS28))))</f>
        <v/>
      </c>
      <c r="PH28" s="164">
        <f>MAX(0,6-SUMPRODUCT($OM28:$OR28,$I$4:$N$4)+MIN(6,$OS28*2+$OT28*3,SUMPRODUCT($OM28:$OR28,$I$4:$N$4)-IF($NS28=0,0,INDEX($I$4:$N$4,1,$NS28))))</f>
        <v/>
      </c>
      <c r="PI28" s="164">
        <f>MAX(0,9-SUMPRODUCT($OM28:$OR28,$I$5:$N$5)+MIN(8,$OS28*2+$OT28*4,SUMPRODUCT($OM28:$OR28,$I$5:$N$5)-IF($NS28=0,0,INDEX($I$5:$N$5,1,$NS28))))</f>
        <v/>
      </c>
      <c r="PJ28" s="164">
        <f>MAX(0,11-SUMPRODUCT($OM28:$OR28,$I$6:$N$6)+MIN(10,$OS28*3+$OT28*5,SUMPRODUCT($OM28:$OR28,$I$6:$N$6)-IF($NS28=0,0,INDEX($I$6:$N$6,1,$NS28))))</f>
        <v/>
      </c>
      <c r="PK28" s="164">
        <f>MAX(0,13-SUMPRODUCT($OM28:$OR28,$I$7:$N$7)+MIN(12,$OS28*3+$OT28*6,SUMPRODUCT($OM28:$OR28,$I$7:$N$7)-IF($NS28=0,0,INDEX($I$7:$N$7,1,$NS28))))</f>
        <v/>
      </c>
      <c r="PL28" s="164">
        <f>MAX(0,16-SUMPRODUCT($OM28:$OR28,$I$8:$N$8)+MIN(14,$OS28*4+$OT28*7,SUMPRODUCT($OM28:$OR28,$I$8:$N$8)-IF($NS28=0,0,INDEX($I$8:$N$8,1,$NS28))))</f>
        <v/>
      </c>
      <c r="PM28" s="164">
        <f>IF($OG28=2,3*$PF28&amp;" de vida temp.",IF($OG28=3,"sem dano",IF($PF28=0,IF($OG28=1,"sem cura","sem dano"),IF($OG28=1,"cura ","")&amp;$PF28&amp;"d8")))</f>
        <v/>
      </c>
      <c r="PN28" s="164">
        <f>IF($OG28=2,3*$PG28&amp;" de vida temp.",IF($OG28=3,"sem dano",IF($PG28=0,IF($OG28=1,"sem cura","sem dano"),IF($OG28=1,"cura ","")&amp;$PG28&amp;"d8")))</f>
        <v/>
      </c>
      <c r="PO28" s="164">
        <f>IF($OG28=2,3*$PH28&amp;" de vida temp.",IF($OG28=3,"sem dano",IF($PH28=0,IF($OG28=1,"sem cura","sem dano"),IF($OG28=1,"cura ","")&amp;$PH28&amp;"d8")))</f>
        <v/>
      </c>
      <c r="PP28" s="164">
        <f>IF($OG28=2,3*$PI28&amp;" de vida temp.",IF($OG28=3,"sem dano",IF($PI28=0,IF($OG28=1,"sem cura","sem dano"),IF($OG28=1,"cura ","")&amp;$PI28&amp;"d8")))</f>
        <v/>
      </c>
      <c r="PQ28" s="164">
        <f>IF($OG28=2,3*$PJ28&amp;" de vida temp.",IF($OG28=3,"sem dano",IF($PJ28=0,IF($OG28=1,"sem cura","sem dano"),IF($OG28=1,"cura ","")&amp;$PJ28&amp;"d8")))</f>
        <v/>
      </c>
      <c r="PR28" s="164">
        <f>IF($OG28=2,3*$PK28&amp;" de vida temp.",IF($OG28=3,"sem dano",IF($PK28=0,IF($OG28=1,"sem cura","sem dano"),IF($OG28=1,"cura ","")&amp;$PK28&amp;"d8")))</f>
        <v/>
      </c>
      <c r="PS28" s="164">
        <f>IF($OG28=2,3*$PL28&amp;" de vida temp.",IF($OG28=3,"sem dano",IF($PL28=0,IF($OG28=1,"sem cura","sem dano"),IF($OG28=1,"cura ","")&amp;$PL28&amp;"d8")))</f>
        <v/>
      </c>
      <c r="PT28" s="164">
        <f>IF($ND28=0,"",TEXTJOIN(" · ",TRUE,IF($ND28=0,"",TEXTJOIN(" · ",TRUE,IF($ND28=0,"",TEXTJOIN(" · ",TRUE,IF($MQ28&gt;$NE28,"Este lugar abre no nível "&amp;$MQ28,""),IF($MS28&gt;$NF28,"Classe "&amp;$MS28&amp;": o nível "&amp;$NE28&amp;" libera até a "&amp;$NF28,""),IF($NX28=1,"A Forma "&amp;$MU28&amp;" pede "&amp;INDEX('DADOS_FORMAS'!$GA$2:$GA$21,$NJ28)&amp;" aberta",""),IF(AND($MS28=0,$NJ28&gt;0,IF($NJ28=0,0,INDEX('DADOS_FORMAS'!$GJ$2:$GJ$21,$NJ28))=0),$MU28&amp;" não existe na Classe 0",""),IF($NY28=1,"Família Fechada: "&amp;$MX28,""),IF($NZ28=1,"Família Fechada: "&amp;$MY28,""),IF($OA28=1,"Família Fechada: "&amp;$MZ28,""),IF($OB28=1,"Família Fechada: "&amp;$NA28,""),IF(AND($MS28&gt;0,$OU28&gt;INDEX($O$2:$O$8,MAX(1,$MS28))),$OU28&amp;" Melhorias: a Classe "&amp;$MS28&amp;" aceita "&amp;INDEX($O$2:$O$8,MAX(1,$MS28)),""),IF(AND($MS28=0,$OU28&gt;1),"A básica aceita uma Melhoria",""),IF(AND($MS28=0,COUNTIF($NO28:$NR28,"&gt;1")&gt;0),"A básica só aceita Melhoria Leve",""),IF(AND($MS28&gt;0,$OV28&gt;2),$OV28&amp;" Restrições"&amp;IF($OF28=1,", contando a que a Forma "&amp;$MU28&amp;" já traz","")&amp;": o limite é 2",""),IF(AND($MS28=0,COUNTIF($NB28:$NC28,"?*")&gt;1),"A básica aceita uma Restrição Leve",""),IF(AND($MS28=0,COUNTIF($OI28:$OJ28,2)&gt;0),"A básica só aceita Restrição Leve",""),IF(AND($MS28&gt;0,$PC28&lt;0),"Orçamento estourado: faltam "&amp;(-$PC28)&amp;IF($PC28&lt;-1," pontos"," ponto"),""),IF(IFERROR(VLOOKUP(SUBSTITUTE(SUBSTITUTE(SUBSTITUTE($NB28,"~","~~"),"*","~*"),"?","~?"),'DADOS_RESTRICOES'!$M$2:$Q$54,4,FALSE),0)+IFERROR(VLOOKUP(SUBSTITUTE(SUBSTITUTE(SUBSTITUTE($NC28,"~","~~"),"*","~*"),"?","~?"),'DADOS_RESTRICOES'!$M$2:$Q$54,4,FALSE),0)&gt;1,$OK28&amp;" e "&amp;$OL28&amp;" são as duas de frequência",""),IF(AND((COUNTIF($RK28:$RN28,"Rápido")+COUNTIF($OK28:$OL28,"Rápido"))&gt;0,(COUNTIF($MX28:$NA28,"Atrasar")+COUNTIF($OK28:$OL28,"Atrasar"))&gt;0),"Rápido não entra com Atrasar",""),IF(AND((COUNTIF($RK28:$RN28,"Reação")+COUNTIF($OK28:$OL28,"Reação"))&gt;0,(COUNTIF($RK28:$RN28,"Rápido")+COUNTIF($OK28:$OL28,"Rápido"))&gt;0),"Reação não entra com Rápido",""),IF(AND((COUNTIF($RK28:$RN28,"Reação")+COUNTIF($OK28:$OL28,"Reação"))&gt;0,(COUNTIF($RK28:$RN28,"Armado")+COUNTIF($OK28:$OL28,"Armado"))&gt;0),"Reação não entra com Armado",""),IF(AND((COUNTIF($RK28:$RN28,"Reação")+COUNTIF($OK28:$OL28,"Reação"))&gt;0,(COUNTIF($MX28:$NA28,"Atrasar")+COUNTIF($OK28:$OL28,"Atrasar"))&gt;0),"Reação não entra com Atrasar",""),IF(AND((COUNTIF($RK28:$RN28,"Reação")+COUNTIF($OK28:$OL28,"Reação"))&gt;0,(COUNTIF($MX28:$NA28,"Parado")+COUNTIF($OK28:$OL28,"Parado"))&gt;0),"Reação não entra com Parado",""),IF(AND((COUNTIF($MX28:$NA28,"Atrasar")+COUNTIF($OK28:$OL28,"Atrasar"))&gt;0,(COUNTIF($MX28:$NA28,"Parado")+COUNTIF($OK28:$OL28,"Parado"))&gt;0),"Atrasar não entra com Parado",""),IF(AND((COUNTIF($RK28:$RN28,"Armado")+COUNTIF($OK28:$OL28,"Armado"))&gt;0,(COUNTIF($MX28:$NA28,"Carregar")+COUNTIF($OK28:$OL28,"Carregar"))&gt;0),"Armado não entra com Carregar",""),IF(AND(COUNTIF($OK28:$OL28,"Corpo a Corpo")&gt;0,$OF28=0,OR($RO28="Cone",$RO28="Linha")),"Corpo a Corpo não entra em "&amp;$MU28,""),IF(AND(COUNTIF($OK28:$OL28,"Corpo a Corpo")&gt;0,$RP28="Corpo a Corpo"),"A Forma "&amp;$MU28&amp;" já traz o Corpo a Corpo",""),IF(AND(COUNTIF($OK28:$OL28,"Tudo ou Nada")&gt;0,$OH28=0),"Tudo ou Nada só entra em habilidade de Teste de Resistência",""),IF(AND(COUNTIF($RK28:$RN28,"Inescapável")&gt;0,OR($OU28&gt;1,$OV28&gt;0)),"Inescapável não aceita outra peça",""),IF(AND($MS28&gt;0,$PD28*IF(COUNTIF($RK28:$RN28,"Remate")&gt;0,1.25,1)+$PE28&gt;4*$MS28),($PD28*IF(COUNTIF($RK28:$RN28,"Remate")&gt;0,1.25,1)+$PE28)&amp;" dados somando repetições"&amp;IF(COUNTIF($RK28:$RN28,"Remate")&gt;0," e o Remate","")&amp;": o teto da Classe "&amp;$MS28&amp;" é "&amp;4*$MS28,""))),IF(AND($MX28&lt;&gt;"",COUNTIF('DADOS_MELHORIAS'!$O$2:$O$113,SUBSTITUTE(SUBSTITUTE(SUBSTITUTE($MX28,"~","~~"),"*","~*"),"?","~?"))=0),"Melhoria não cadastrada ou com erro: "&amp;$MX28,""),IF(AND($MY28&lt;&gt;"",COUNTIF('DADOS_MELHORIAS'!$O$2:$O$113,SUBSTITUTE(SUBSTITUTE(SUBSTITUTE($MY28,"~","~~"),"*","~*"),"?","~?"))=0),"Melhoria não cadastrada ou com erro: "&amp;$MY28,""),IF(AND($MZ28&lt;&gt;"",COUNTIF('DADOS_MELHORIAS'!$O$2:$O$113,SUBSTITUTE(SUBSTITUTE(SUBSTITUTE($MZ28,"~","~~"),"*","~*"),"?","~?"))=0),"Melhoria não cadastrada ou com erro: "&amp;$MZ28,""),IF(AND($NA28&lt;&gt;"",COUNTIF('DADOS_MELHORIAS'!$O$2:$O$113,SUBSTITUTE(SUBSTITUTE(SUBSTITUTE($NA28,"~","~~"),"*","~*"),"?","~?"))=0),"Melhoria não cadastrada ou com erro: "&amp;$NA28,""),IF(AND($NB28&lt;&gt;"",COUNTIF('DADOS_RESTRICOES'!$M$2:$M$54,SUBSTITUTE(SUBSTITUTE(SUBSTITUTE($NB28,"~","~~"),"*","~*"),"?","~?"))=0),"Restrição não cadastrada ou com erro: "&amp;$NB28,""),IF(AND($NC28&lt;&gt;"",COUNTIF('DADOS_RESTRICOES'!$M$2:$M$54,SUBSTITUTE(SUBSTITUTE(SUBSTITUTE($NC28,"~","~~"),"*","~*"),"?","~?"))=0),"Restrição não cadastrada ou com erro: "&amp;$NC28,""))),IF(AND($MU28&lt;&gt;"",COUNTIF('DADOS_FORMAS'!$AH$2:$AH$21,SUBSTITUTE(SUBSTITUTE(SUBSTITUTE($MU28,"~","~~"),"*","~*"),"?","~?"))=0),"Forma não cadastrada ou com erro: "&amp;$MU28,""),IF(AND(IFERROR(INDEX('DADOS_FORMAS'!$AS$2:$AS$21,MATCH(SUBSTITUTE(SUBSTITUTE(SUBSTITUTE($MU28,"~","~~"),"*","~*"),"?","~?"),'DADOS_FORMAS'!$AH$2:$AH$21,0)),"")&lt;&gt;"",OR(IFERROR(VLOOKUP(SUBSTITUTE(SUBSTITUTE(SUBSTITUTE(IFERROR(INDEX('DADOS_FORMAS'!$AS$2:$AS$21,MATCH(SUBSTITUTE(SUBSTITUTE(SUBSTITUTE($MU28,"~","~~"),"*","~*"),"?","~?"),'DADOS_FORMAS'!$AH$2:$AH$21,0)),""),"~","~~"),"*","~*"),"?","~?"),'DADOS_RESTRICOES'!$M$2:$Q$54,2,FALSE),"")=$OK28,IFERROR(VLOOKUP(SUBSTITUTE(SUBSTITUTE(SUBSTITUTE(IFERROR(INDEX('DADOS_FORMAS'!$AS$2:$AS$21,MATCH(SUBSTITUTE(SUBSTITUTE(SUBSTITUTE($MU28,"~","~~"),"*","~*"),"?","~?"),'DADOS_FORMAS'!$AH$2:$AH$21,0)),""),"~","~~"),"*","~*"),"?","~?"),'DADOS_RESTRICOES'!$M$2:$Q$54,2,FALSE),"")=$OL28)),"Restrição repetida, contando a embutida",""),IF(IF(IFERROR(INDEX('DADOS_FORMAS'!$AS$2:$AS$21,MATCH(SUBSTITUTE(SUBSTITUTE(SUBSTITUTE($MU28,"~","~~"),"*","~*"),"?","~?"),'DADOS_FORMAS'!$AH$2:$AH$21,0)),"")="",0,IFERROR(N(VLOOKUP(SUBSTITUTE(SUBSTITUTE(SUBSTITUTE(IFERROR(INDEX('DADOS_FORMAS'!$AS$2:$AS$21,MATCH(SUBSTITUTE(SUBSTITUTE(SUBSTITUTE($MU28,"~","~~"),"*","~*"),"?","~?"),'DADOS_FORMAS'!$AH$2:$AH$21,0)),""),"~","~~"),"*","~*"),"?","~?"),'DADOS_RESTRICOES'!$M$2:$Q$54,4,FALSE)=1),0))+IF($NB28="",0,IFERROR(N(VLOOKUP(SUBSTITUTE(SUBSTITUTE(SUBSTITUTE($NB28,"~","~~"),"*","~*"),"?","~?"),'DADOS_RESTRICOES'!$M$2:$Q$54,4,FALSE)=1),0))+IF($NC28="",0,IFERROR(N(VLOOKUP(SUBSTITUTE(SUBSTITUTE(SUBSTITUTE($NC28,"~","~~"),"*","~*"),"?","~?"),'DADOS_RESTRICOES'!$M$2:$Q$54,4,FALSE)=1),0))&gt;1,"Duas Restrições de frequência, contando a embutida",""),IF(AND(IFERROR(VLOOKUP(SUBSTITUTE(SUBSTITUTE(SUBSTITUTE(IFERROR(INDEX('DADOS_FORMAS'!$AS$2:$AS$21,MATCH(SUBSTITUTE(SUBSTITUTE(SUBSTITUTE($MU28,"~","~~"),"*","~*"),"?","~?"),'DADOS_FORMAS'!$AH$2:$AH$21,0)),""),"~","~~"),"*","~*"),"?","~?"),'DADOS_RESTRICOES'!$M$2:$Q$54,2,FALSE),"")="Tudo ou Nada",$OH28=0),"Tudo ou Nada exige TR",""),IF(AND(IFERROR(VLOOKUP(SUBSTITUTE(SUBSTITUTE(SUBSTITUTE(IFERROR(INDEX('DADOS_FORMAS'!$AS$2:$AS$21,MATCH(SUBSTITUTE(SUBSTITUTE(SUBSTITUTE($MU28,"~","~~"),"*","~*"),"?","~?"),'DADOS_FORMAS'!$AH$2:$AH$21,0)),""),"~","~~"),"*","~*"),"?","~?"),'DADOS_RESTRICOES'!$M$2:$Q$54,2,FALSE),"")="Corpo a Corpo",OR($RO28="Cone",$RO28="Linha")),"Corpo a Corpo não entra em Cone/Linha","")))</f>
        <v/>
      </c>
      <c r="PU28" s="164">
        <f>IF($PT28="",0,(LEN($PT28)-LEN(SUBSTITUTE($PT28," · ","")))/3+1)</f>
        <v/>
      </c>
      <c r="PV28" s="164">
        <f>IF($ND28=0,"",TEXTJOIN(" · ",TRUE,IF($OX28&gt;2*$MS28,"A devolução parou no teto de "&amp;2*$MS28,""),IF($PA28&gt;0,"Devolução perdida: "&amp;$PA28&amp;IF($PA28&gt;1," pontos"," ponto")&amp;" sem Melhoria para pagar",""),IF(AND($OC28&gt;0,AND($MS28&gt;0,$OG28=0),$PD28=0),"Controle sem dano: uma rodada a mais e CD +2",""),IF(AND($OC28&gt;0,AND($MS28&gt;0,$OG28=0),$PD28&gt;0,$PD28&lt;=$MS28),"Controle com saldo até a Classe: uma rodada a mais",""),IF(AND($MS28&gt;0,$OE28&lt;&gt;""),"Efeito de "&amp;$OE28&amp;" pela Classe "&amp;MAX(1,$MS28-1),"")))</f>
        <v/>
      </c>
      <c r="PW28" s="164">
        <f>IF($PV28="",0,(LEN($PV28)-LEN(SUBSTITUTE($PV28," · ","")))/3+1)</f>
        <v/>
      </c>
      <c r="PX28" s="164">
        <f>IF($ND28=0,IF($OU28+COUNTIF($NB28:$NC28,"?*")&gt;0,"Dê um nome",""),IF($PU28&gt;0,"⚠ "&amp;$PU28&amp;IF($PU28&gt;1," erros"," erro"),IF($PW28&gt;0,"! "&amp;$PW28&amp;IF($PW28&gt;1," avisos"," aviso"),"Na regra")))</f>
        <v/>
      </c>
      <c r="PY28" s="164">
        <f>IF($ND28=0,"",IF($PU28+$PW28=0,"Dentro das regras que a ficha confere",$PT28&amp;IF(AND($PU28&gt;0,$PW28&gt;0)," · ","")&amp;$PV28))</f>
        <v/>
      </c>
      <c r="PZ28" s="164">
        <f>IF($MQ28&gt;$NE28,$MR28&amp;" · ABRE NO NÍVEL "&amp;$MQ28,$MR28)</f>
        <v/>
      </c>
      <c r="QA28" s="164">
        <f>IF($ND28=0,"",IF($MS28=0,"Sem PE",3*$MS28&amp;" PE"))</f>
        <v/>
      </c>
      <c r="QB28" s="164">
        <f>IF($ND28=0,"",IF($MS28=0,"A atuação básica dela",IF(COUNTIF($RQ28:$RS28,"Atrasar")&gt;0,"Sua Ação Completa",IF(COUNTIF($RK28:$RN28,"Rápido")&gt;0,"Sua Bônus",IF(COUNTIF($RK28:$RN28,"Reação")&gt;0,"Sua Reação","Sua Padrão")))&amp;" + a básica dela"&amp;IF(COUNTIF($RK28:$RN28,"Reação")&gt;0," e a coletiva","")&amp;IF(COUNTIF($RQ28:$RS28,"Carregar")&gt;0," · em dois turnos","")))</f>
        <v/>
      </c>
      <c r="QC28" s="164">
        <f>IF($MW28&lt;&gt;"",$MW28,IF($NJ28=0,"",INDEX('DADOS_FORMAS'!$GE$2:$GE$21,$NJ28)))</f>
        <v/>
      </c>
      <c r="QD28" s="164">
        <f>IF(OR($ND28=0,$NJ28=0),"",IF(COUNTIF($RK28:$RN28,"Inescapável")&gt;0,"Automático",IF($QC28="Ataque",IF($NH28="","Ataque","Ataque "&amp;IF(($NH28+2*IF(COUNTIF($RK28:$RN28,"Precisão")&gt;0,1,0))&gt;=0,"+","−")&amp;ABS(($NH28+2*IF(COUNTIF($RK28:$RN28,"Precisão")&gt;0,1,0))))&amp;IF($OD28&gt;0," · TR"&amp;IF($NI28="",""," CD "&amp;$NI28),""),IF(LEFT($QC28,2)="TR",$QC28&amp;IF($NI28="",""," · CD "&amp;$NI28)&amp;IF(COUNTIF($RK28:$RN28,"Certeiro")&gt;0," · metade",""),"Sem rolagem"))))</f>
        <v/>
      </c>
      <c r="QE28" s="164">
        <f>IF(OR($ND28=0,$NJ28=0),"",IF($MS28=0,IF(OR($OG28&gt;=1,$PD28=0),"Sem dano",$PD28&amp;"d6"&amp;IF($MV28="",""," "&amp;$MV28)),IF(OR($OG28&gt;=1,$PD28=0),UPPER(LEFT(INDEX($PM28:$PS28,1,MAX(1,$MS28)),1))&amp;MID(INDEX($PM28:$PS28,1,MAX(1,$MS28)),2,99),UPPER(LEFT(INDEX($PM28:$PS28,1,MAX(1,$MS28)),1))&amp;MID(INDEX($PM28:$PS28,1,MAX(1,$MS28)),2,99)&amp;IF($MV28="",""," "&amp;$MV28)&amp;IF($PE28&gt;0," · +"&amp;$PE28&amp;"d8",""))))</f>
        <v/>
      </c>
      <c r="QF28" s="164">
        <f>COUNTIF($RK28:$RN28,"Longe")+3*COUNTIF($RK28:$RN28,"Muito Longe")</f>
        <v/>
      </c>
      <c r="QG28" s="164">
        <f>COUNTIF($RK28:$RN28,"Maior")+3*COUNTIF($RK28:$RN28,"Muito Maior")</f>
        <v/>
      </c>
      <c r="QH28" s="164">
        <f>IF($NJ28=0,0,CHOOSE(1+INDEX('DADOS_FORMAS'!$GG$2:$GG$21,$NJ28),0,$QF28,$QG28,$QF28+$QG28))</f>
        <v/>
      </c>
      <c r="QI28" s="164">
        <f>IF($NJ28=0,0,CHOOSE(1+INDEX('DADOS_FORMAS'!$GH$2:$GH$21,$NJ28),0,$QF28,$QG28,$QF28+$QG28))</f>
        <v/>
      </c>
      <c r="QJ28" s="164">
        <f>IF(OR($ND28=0,$NJ28=0),"",INDEX('DADOS_FORMAS'!$HU$2:$HZ$81,($NJ28-1)*4+IF($MS28=0,1,IF($MS28&lt;=5,2,IF($MS28=6,3,4))),1+MIN(5,$QH28))&amp;INDEX('DADOS_FORMAS'!$IA$2:$IF$81,($NJ28-1)*4+IF($MS28=0,1,IF($MS28&lt;=5,2,IF($MS28=6,3,4))),1+MIN(5,$QI28))&amp;IF(INDEX('DADOS_FORMAS'!$GI$2:$GI$21,$NJ28)=1,IF(COUNTIF($RK28:$RN28,"Mais Um")&gt;0," · +"&amp;COUNTIF($RK28:$RN28,"Mais Um")&amp;IF(COUNTIF($RK28:$RN28,"Mais Um")&gt;1," alvos"," alvo"),"")&amp;IF(COUNTIF($RK28:$RN28,"Rajada")&gt;0,IF($MS28=0," · 1 tiro"," · "&amp;(MAX(1,$MS28-1)+1)&amp;" tiros"),""),""))</f>
        <v/>
      </c>
      <c r="QK28" s="164">
        <f>IF($ND28=0,"",IF($MS28=0,$NG28&amp;"d6"&amp;IF($OU28&gt;0," − 1 = "&amp;$PD28&amp;"d6"," da básica do nível "&amp;$NE28),$PB28&amp;" − "&amp;$OW28&amp;" + "&amp;$OZ28&amp;" = "&amp;$PC28&amp;" · teto "&amp;4*$MS28&amp;"d8"&amp;IF($OF28=1," · a Forma devolve "&amp;$MS28,"")&amp;IF($PA28&gt;0," · perde "&amp;$PA28,"")))</f>
        <v/>
      </c>
      <c r="QL28" s="164">
        <f>IF($ND28=0,"",IF($MS28=0,"A básica não amplia: os dados dela sobem com o nível",IF($MS28&gt;=$NF28,"Já está na maior Classe que o nível liberou",TEXTJOIN(" · ",TRUE,IF(AND(2&gt;$MS28,2&lt;=$NF28),"2 → "&amp;$PN28&amp;", 6 PE",""),IF(AND(3&gt;$MS28,3&lt;=$NF28),"3 → "&amp;$PO28&amp;", 9 PE",""),IF(AND(4&gt;$MS28,4&lt;=$NF28),"4 → "&amp;$PP28&amp;", 12 PE",""),IF(AND(5&gt;$MS28,5&lt;=$NF28),"5 → "&amp;$PQ28&amp;", 15 PE",""),IF(AND(6&gt;$MS28,6&lt;=$NF28),"6 → "&amp;$PR28&amp;", 18 PE",""),IF(AND(7&gt;$MS28,7&lt;=$NF28),"7 → "&amp;$PS28&amp;", 21 PE","")))))</f>
        <v/>
      </c>
      <c r="QM28" s="164">
        <f>IF(OR($ND28=0,$NO28=0),"",IF($MS28=0,"−1 dado","−"&amp;INDEX($I$2:$N$8,MAX(1,$MS28),MAX(1,$NT28))&amp;" · "&amp;CHOOSE(MAX(1,$NT28),"Leve","Média","Pesada","Leve · Livre","Média · Livre","Pesada · Livre")))</f>
        <v/>
      </c>
      <c r="QN28" s="164">
        <f>IF(OR($ND28=0,$NP28=0),"",IF($MS28=0,"−1 dado","−"&amp;INDEX($I$2:$N$8,MAX(1,$MS28),MAX(1,$NU28))&amp;" · "&amp;CHOOSE(MAX(1,$NU28),"Leve","Média","Pesada","Leve · Livre","Média · Livre","Pesada · Livre")))</f>
        <v/>
      </c>
      <c r="QO28" s="164">
        <f>IF(OR($ND28=0,$NQ28=0),"",IF($MS28=0,"−1 dado","−"&amp;INDEX($I$2:$N$8,MAX(1,$MS28),MAX(1,$NV28))&amp;" · "&amp;CHOOSE(MAX(1,$NV28),"Leve","Média","Pesada","Leve · Livre","Média · Livre","Pesada · Livre")))</f>
        <v/>
      </c>
      <c r="QP28" s="164">
        <f>IF(OR($ND28=0,$NR28=0),"",IF($MS28=0,"−1 dado","−"&amp;INDEX($I$2:$N$8,MAX(1,$MS28),MAX(1,$NW28))&amp;" · "&amp;CHOOSE(MAX(1,$NW28),"Leve","Média","Pesada","Leve · Livre","Média · Livre","Pesada · Livre")))</f>
        <v/>
      </c>
      <c r="QQ28" s="164">
        <f>IF(OR($ND28=0,$NB28=""),"",IF($MS28=0,"não devolve","+"&amp;IF($OI28=1,CEILING($MS28/2,1),$MS28)))</f>
        <v/>
      </c>
      <c r="QR28" s="164">
        <f>IF(OR($ND28=0,$NC28=""),"",IF($MS28=0,"não devolve","+"&amp;IF($OJ28=1,CEILING($MS28/2,1),$MS28)))</f>
        <v/>
      </c>
      <c r="RK28">
        <f>IF($MX28="","",IFERROR(VLOOKUP(SUBSTITUTE(SUBSTITUTE(SUBSTITUTE($MX28,"~","~~"),"*","~*"),"?","~?"),'DADOS_MELHORIAS'!$O$2:$X$113,10,FALSE),$MX28))</f>
        <v/>
      </c>
      <c r="RL28">
        <f>IF($MY28="","",IFERROR(VLOOKUP(SUBSTITUTE(SUBSTITUTE(SUBSTITUTE($MY28,"~","~~"),"*","~*"),"?","~?"),'DADOS_MELHORIAS'!$O$2:$X$113,10,FALSE),$MY28))</f>
        <v/>
      </c>
      <c r="RM28">
        <f>IF($MZ28="","",IFERROR(VLOOKUP(SUBSTITUTE(SUBSTITUTE(SUBSTITUTE($MZ28,"~","~~"),"*","~*"),"?","~?"),'DADOS_MELHORIAS'!$O$2:$X$113,10,FALSE),$MZ28))</f>
        <v/>
      </c>
      <c r="RN28">
        <f>IF($NA28="","",IFERROR(VLOOKUP(SUBSTITUTE(SUBSTITUTE(SUBSTITUTE($NA28,"~","~~"),"*","~*"),"?","~?"),'DADOS_MELHORIAS'!$O$2:$X$113,10,FALSE),$NA28))</f>
        <v/>
      </c>
      <c r="RO28">
        <f>IFERROR(INDEX('DADOS_FORMAS'!$BJ$2:$BJ$21,MATCH(SUBSTITUTE(SUBSTITUTE(SUBSTITUTE($MU28,"~","~~"),"*","~*"),"?","~?"),'DADOS_FORMAS'!$AH$2:$AH$21,0)),"")</f>
        <v/>
      </c>
      <c r="RP28">
        <f>IFERROR(VLOOKUP(SUBSTITUTE(SUBSTITUTE(SUBSTITUTE(IFERROR(INDEX('DADOS_FORMAS'!$AS$2:$AS$21,MATCH(SUBSTITUTE(SUBSTITUTE(SUBSTITUTE($MU28,"~","~~"),"*","~*"),"?","~?"),'DADOS_FORMAS'!$AH$2:$AH$21,0)),""),"~","~~"),"*","~*"),"?","~?"),'DADOS_RESTRICOES'!$M$2:$Q$54,2,FALSE),"")</f>
        <v/>
      </c>
      <c r="RQ28">
        <f>$OK28</f>
        <v/>
      </c>
      <c r="RR28">
        <f>$OL28</f>
        <v/>
      </c>
      <c r="RS28">
        <f>$RP28</f>
        <v/>
      </c>
    </row>
    <row r="29">
      <c r="AH29" s="162" t="inlineStr">
        <is>
          <t>Cura · classe 7</t>
        </is>
      </c>
      <c r="AI29" s="162" t="inlineStr">
        <is>
          <t>Um aliado a 18 m</t>
        </is>
      </c>
      <c r="AJ29" s="162" t="inlineStr">
        <is>
          <t>Um aliado a 36 m</t>
        </is>
      </c>
      <c r="AK29" s="162" t="inlineStr">
        <is>
          <t>Um aliado a 90 m</t>
        </is>
      </c>
      <c r="AL29" s="162" t="inlineStr">
        <is>
          <t>Um aliado a visão a olho nu</t>
        </is>
      </c>
      <c r="AM29" s="162" t="inlineStr">
        <is>
          <t>Um aliado a visão a olho nu</t>
        </is>
      </c>
      <c r="AN29" s="162" t="inlineStr">
        <is>
          <t>Um aliado a visão a olho nu</t>
        </is>
      </c>
      <c r="AO29" s="162" t="inlineStr"/>
      <c r="AP29" s="162" t="inlineStr"/>
      <c r="AQ29" s="162" t="inlineStr"/>
      <c r="AR29" s="162" t="inlineStr"/>
      <c r="AS29" s="162" t="inlineStr"/>
      <c r="AT29" s="162" t="inlineStr"/>
      <c r="AV29" s="162" t="inlineStr">
        <is>
          <t>Surdo</t>
        </is>
      </c>
      <c r="AW29" s="162" t="inlineStr">
        <is>
          <t>Controle</t>
        </is>
      </c>
      <c r="AX29" s="164" t="n">
        <v>1</v>
      </c>
      <c r="AY29" s="164" t="n">
        <v>1</v>
      </c>
      <c r="AZ29" s="164" t="n">
        <v>0</v>
      </c>
      <c r="BA29" s="164" t="n">
        <v>1</v>
      </c>
      <c r="JT29" s="164">
        <f>IF(OR($AW29="",(COUNTIF($EL$2:$EP$2,$AW29)+COUNTIF($QV$2:$QY$2,$AW29))&gt;0),$AV29,"")</f>
        <v/>
      </c>
      <c r="JU29" s="164">
        <f>IF(AND($AX29=1,OR($AW29="",(COUNTIF($EL$2:$EP$2,$AW29)+COUNTIF($QV$2:$QY$2,$AW29))&gt;0)),$AV29,"")</f>
        <v/>
      </c>
      <c r="JZ29" s="164">
        <f>IF(OR($AW29="",(COUNTIF($EL$3:$EP$3,$AW29)+COUNTIF($QV$3:$QY$3,$AW29))&gt;0),$AV29,"")</f>
        <v/>
      </c>
      <c r="KA29" s="164">
        <f>IF(AND($AX29=1,OR($AW29="",(COUNTIF($EL$3:$EP$3,$AW29)+COUNTIF($QV$3:$QY$3,$AW29))&gt;0)),$AV29,"")</f>
        <v/>
      </c>
      <c r="KF29" s="164">
        <f>IF(OR($AW29="",(COUNTIF($EL$4:$EP$4,$AW29)+COUNTIF($QV$4:$QY$4,$AW29))&gt;0),$AV29,"")</f>
        <v/>
      </c>
      <c r="KG29" s="164">
        <f>IF(AND($AX29=1,OR($AW29="",(COUNTIF($EL$4:$EP$4,$AW29)+COUNTIF($QV$4:$QY$4,$AW29))&gt;0)),$AV29,"")</f>
        <v/>
      </c>
      <c r="KL29" s="164">
        <f>IF(OR($AW29="",(COUNTIF($EL$5:$EP$5,$AW29)+COUNTIF($QV$5:$QY$5,$AW29))&gt;0),$AV29,"")</f>
        <v/>
      </c>
      <c r="KM29" s="164">
        <f>IF(AND($AX29=1,OR($AW29="",(COUNTIF($EL$5:$EP$5,$AW29)+COUNTIF($QV$5:$QY$5,$AW29))&gt;0)),$AV29,"")</f>
        <v/>
      </c>
      <c r="KR29" s="164">
        <f>IF(OR($AW29="",(COUNTIF($EL$6:$EP$6,$AW29)+COUNTIF($QV$6:$QY$6,$AW29))&gt;0),$AV29,"")</f>
        <v/>
      </c>
      <c r="KS29" s="164">
        <f>IF(AND($AX29=1,OR($AW29="",(COUNTIF($EL$6:$EP$6,$AW29)+COUNTIF($QV$6:$QY$6,$AW29))&gt;0)),$AV29,"")</f>
        <v/>
      </c>
      <c r="KX29" s="164">
        <f>IF(OR($AW29="",(COUNTIF($EL$7:$EP$7,$AW29)+COUNTIF($QV$7:$QY$7,$AW29))&gt;0),$AV29,"")</f>
        <v/>
      </c>
      <c r="KY29" s="164">
        <f>IF(AND($AX29=1,OR($AW29="",(COUNTIF($EL$7:$EP$7,$AW29)+COUNTIF($QV$7:$QY$7,$AW29))&gt;0)),$AV29,"")</f>
        <v/>
      </c>
      <c r="LD29" s="164">
        <f>IF(OR($AW29="",(COUNTIF($EL$8:$EP$8,$AW29)+COUNTIF($QV$8:$QY$8,$AW29))&gt;0),$AV29,"")</f>
        <v/>
      </c>
      <c r="LE29" s="164">
        <f>IF(AND($AX29=1,OR($AW29="",(COUNTIF($EL$8:$EP$8,$AW29)+COUNTIF($QV$8:$QY$8,$AW29))&gt;0)),$AV29,"")</f>
        <v/>
      </c>
      <c r="LJ29" s="164">
        <f>IF(OR($AW29="",(COUNTIF($EL$9:$EP$9,$AW29)+COUNTIF($QV$9:$QY$9,$AW29))&gt;0),$AV29,"")</f>
        <v/>
      </c>
      <c r="LK29" s="164">
        <f>IF(AND($AX29=1,OR($AW29="",(COUNTIF($EL$9:$EP$9,$AW29)+COUNTIF($QV$9:$QY$9,$AW29))&gt;0)),$AV29,"")</f>
        <v/>
      </c>
      <c r="LP29" s="164">
        <f>IF(OR($AW29="",(COUNTIF($EL$10:$EP$10,$AW29)+COUNTIF($QV$10:$QY$10,$AW29))&gt;0),$AV29,"")</f>
        <v/>
      </c>
      <c r="LQ29" s="164">
        <f>IF(AND($AX29=1,OR($AW29="",(COUNTIF($EL$10:$EP$10,$AW29)+COUNTIF($QV$10:$QY$10,$AW29))&gt;0)),$AV29,"")</f>
        <v/>
      </c>
      <c r="LV29" s="164">
        <f>IF(OR($AW29="",(COUNTIF($EL$11:$EP$11,$AW29)+COUNTIF($QV$11:$QY$11,$AW29))&gt;0),$AV29,"")</f>
        <v/>
      </c>
      <c r="LW29" s="164">
        <f>IF(AND($AX29=1,OR($AW29="",(COUNTIF($EL$11:$EP$11,$AW29)+COUNTIF($QV$11:$QY$11,$AW29))&gt;0)),$AV29,"")</f>
        <v/>
      </c>
      <c r="MB29" s="164">
        <f>IF(OR($AW29="",(COUNTIF($EL$12:$EP$12,$AW29)+COUNTIF($QV$12:$QY$12,$AW29))&gt;0),$AV29,"")</f>
        <v/>
      </c>
      <c r="MC29" s="164">
        <f>IF(AND($AX29=1,OR($AW29="",(COUNTIF($EL$12:$EP$12,$AW29)+COUNTIF($QV$12:$QY$12,$AW29))&gt;0)),$AV29,"")</f>
        <v/>
      </c>
      <c r="MH29" s="164">
        <f>IF(OR($AW29="",(COUNTIF($EL$13:$EP$13,$AW29)+COUNTIF($QV$13:$QY$13,$AW29))&gt;0),$AV29,"")</f>
        <v/>
      </c>
      <c r="MI29" s="164">
        <f>IF(AND($AX29=1,OR($AW29="",(COUNTIF($EL$13:$EP$13,$AW29)+COUNTIF($QV$13:$QY$13,$AW29))&gt;0)),$AV29,"")</f>
        <v/>
      </c>
      <c r="MN29" s="162" t="inlineStr">
        <is>
          <t>Ficha 3 · Especial 1</t>
        </is>
      </c>
      <c r="MO29" s="164" t="n">
        <v>3</v>
      </c>
      <c r="MP29" s="164" t="n">
        <v>1</v>
      </c>
      <c r="MQ29" s="164" t="n">
        <v>1</v>
      </c>
      <c r="MR29" s="162" t="inlineStr">
        <is>
          <t>ESPECIAL 1</t>
        </is>
      </c>
      <c r="MS29" s="164">
        <f>MAX(1,MIN(7,N('INVOCAÇÕES'!$O$493)))</f>
        <v/>
      </c>
      <c r="MT29" s="164">
        <f>'INVOCAÇÕES'!$P$493&amp;""</f>
        <v/>
      </c>
      <c r="MU29" s="164">
        <f>'INVOCAÇÕES'!$O$498&amp;""</f>
        <v/>
      </c>
      <c r="MV29" s="164">
        <f>'INVOCAÇÕES'!$O$499&amp;""</f>
        <v/>
      </c>
      <c r="MW29" s="164">
        <f>'INVOCAÇÕES'!$Q$499&amp;""</f>
        <v/>
      </c>
      <c r="MX29" s="164">
        <f>'INVOCAÇÕES'!$P$502&amp;""</f>
        <v/>
      </c>
      <c r="MY29" s="164">
        <f>'INVOCAÇÕES'!$P$503&amp;""</f>
        <v/>
      </c>
      <c r="MZ29" s="164">
        <f>'INVOCAÇÕES'!$P$504&amp;""</f>
        <v/>
      </c>
      <c r="NA29" s="164">
        <f>'INVOCAÇÕES'!$P$505&amp;""</f>
        <v/>
      </c>
      <c r="NB29" s="164">
        <f>'INVOCAÇÕES'!$P$506&amp;""</f>
        <v/>
      </c>
      <c r="NC29" s="164">
        <f>'INVOCAÇÕES'!$P$507&amp;""</f>
        <v/>
      </c>
      <c r="ND29" s="164">
        <f>IF($MT29&lt;&gt;"",1,0)</f>
        <v/>
      </c>
      <c r="NE29" s="164">
        <f>INDEX($FO$2:$FO$13,$MO29)</f>
        <v/>
      </c>
      <c r="NF29" s="164">
        <f>INDEX($FP$2:$FP$13,$MO29)</f>
        <v/>
      </c>
      <c r="NG29" s="164">
        <f>INDEX($FQ$2:$FQ$13,$MO29)</f>
        <v/>
      </c>
      <c r="NH29" s="164">
        <f>INDEX($GB$2:$GB$13,$MO29)</f>
        <v/>
      </c>
      <c r="NI29" s="164">
        <f>INDEX($GC$2:$GC$13,$MO29)</f>
        <v/>
      </c>
      <c r="NJ29" s="164">
        <f>IFERROR(MATCH(SUBSTITUTE(SUBSTITUTE(SUBSTITUTE($MU29,"~","~~"),"*","~*"),"?","~?"),'DADOS_FORMAS'!$FZ$2:$FZ$21,0),0)</f>
        <v/>
      </c>
      <c r="NK29" s="164">
        <f>IFERROR(VLOOKUP(SUBSTITUTE(SUBSTITUTE(SUBSTITUTE($MX29,"~","~~"),"*","~*"),"?","~?"),'DADOS_MELHORIAS'!$AG$2:$AL$113,2,FALSE),"")</f>
        <v/>
      </c>
      <c r="NL29" s="164">
        <f>IFERROR(VLOOKUP(SUBSTITUTE(SUBSTITUTE(SUBSTITUTE($MY29,"~","~~"),"*","~*"),"?","~?"),'DADOS_MELHORIAS'!$AG$2:$AL$113,2,FALSE),"")</f>
        <v/>
      </c>
      <c r="NM29" s="164">
        <f>IFERROR(VLOOKUP(SUBSTITUTE(SUBSTITUTE(SUBSTITUTE($MZ29,"~","~~"),"*","~*"),"?","~?"),'DADOS_MELHORIAS'!$AG$2:$AL$113,2,FALSE),"")</f>
        <v/>
      </c>
      <c r="NN29" s="164">
        <f>IFERROR(VLOOKUP(SUBSTITUTE(SUBSTITUTE(SUBSTITUTE($NA29,"~","~~"),"*","~*"),"?","~?"),'DADOS_MELHORIAS'!$AG$2:$AL$113,2,FALSE),"")</f>
        <v/>
      </c>
      <c r="NO29" s="164">
        <f>IFERROR(VLOOKUP(SUBSTITUTE(SUBSTITUTE(SUBSTITUTE($MX29,"~","~~"),"*","~*"),"?","~?"),'DADOS_MELHORIAS'!$AG$2:$AL$113,3,FALSE),0)</f>
        <v/>
      </c>
      <c r="NP29" s="164">
        <f>IFERROR(VLOOKUP(SUBSTITUTE(SUBSTITUTE(SUBSTITUTE($MY29,"~","~~"),"*","~*"),"?","~?"),'DADOS_MELHORIAS'!$AG$2:$AL$113,3,FALSE),0)</f>
        <v/>
      </c>
      <c r="NQ29" s="164">
        <f>IFERROR(VLOOKUP(SUBSTITUTE(SUBSTITUTE(SUBSTITUTE($MZ29,"~","~~"),"*","~*"),"?","~?"),'DADOS_MELHORIAS'!$AG$2:$AL$113,3,FALSE),0)</f>
        <v/>
      </c>
      <c r="NR29" s="164">
        <f>IFERROR(VLOOKUP(SUBSTITUTE(SUBSTITUTE(SUBSTITUTE($NA29,"~","~~"),"*","~*"),"?","~?"),'DADOS_MELHORIAS'!$AG$2:$AL$113,3,FALSE),0)</f>
        <v/>
      </c>
      <c r="NS29" s="164">
        <f>IF($MS29=0,0,IF($NJ29=0,0,INDEX('DADOS_FORMAS'!$GB$2:$GB$21,$NJ29)))</f>
        <v/>
      </c>
      <c r="NT29" s="164">
        <f>IF(OR($NO29=0,$MS29=0),0,$NO29+3*IF(AND($NK29&lt;&gt;"",COUNTIF(INDEX($RB$2:$RJ$13,$MO29,0),$NK29)&gt;0),1,0))</f>
        <v/>
      </c>
      <c r="NU29" s="164">
        <f>IF(OR($NP29=0,$MS29=0),0,$NP29+3*IF(AND($NL29&lt;&gt;"",COUNTIF(INDEX($RB$2:$RJ$13,$MO29,0),$NL29)&gt;0),1,0))</f>
        <v/>
      </c>
      <c r="NV29" s="164">
        <f>IF(OR($NQ29=0,$MS29=0),0,$NQ29+3*IF(AND($NM29&lt;&gt;"",COUNTIF(INDEX($RB$2:$RJ$13,$MO29,0),$NM29)&gt;0),1,0))</f>
        <v/>
      </c>
      <c r="NW29" s="164">
        <f>IF(OR($NR29=0,$MS29=0),0,$NR29+3*IF(AND($NN29&lt;&gt;"",COUNTIF(INDEX($RB$2:$RJ$13,$MO29,0),$NN29)&gt;0),1,0))</f>
        <v/>
      </c>
      <c r="NX29" s="164">
        <f>IF($NJ29=0,0,IF(INDEX('DADOS_FORMAS'!$GA$2:$GA$21,$NJ29)="",0,IF((COUNTIF(INDEX($EL$2:$EP$13,$MO29,0),INDEX('DADOS_FORMAS'!$GA$2:$GA$21,$NJ29))+COUNTIF(INDEX($QV$2:$QY$13,$MO29,0),INDEX('DADOS_FORMAS'!$GA$2:$GA$21,$NJ29)))=0,1,0)))</f>
        <v/>
      </c>
      <c r="NY29" s="164">
        <f>IF(OR($NO29=0,$NK29=""),0,IF((COUNTIF(INDEX($EL$2:$EP$13,$MO29,0),$NK29)+COUNTIF(INDEX($QV$2:$QY$13,$MO29,0),$NK29))=0,1,0))</f>
        <v/>
      </c>
      <c r="NZ29" s="164">
        <f>IF(OR($NP29=0,$NL29=""),0,IF((COUNTIF(INDEX($EL$2:$EP$13,$MO29,0),$NL29)+COUNTIF(INDEX($QV$2:$QY$13,$MO29,0),$NL29))=0,1,0))</f>
        <v/>
      </c>
      <c r="OA29" s="164">
        <f>IF(OR($NQ29=0,$NM29=""),0,IF((COUNTIF(INDEX($EL$2:$EP$13,$MO29,0),$NM29)+COUNTIF(INDEX($QV$2:$QY$13,$MO29,0),$NM29))=0,1,0))</f>
        <v/>
      </c>
      <c r="OB29" s="164">
        <f>IF(OR($NR29=0,$NN29=""),0,IF((COUNTIF(INDEX($EL$2:$EP$13,$MO29,0),$NN29)+COUNTIF(INDEX($QV$2:$QY$13,$MO29,0),$NN29))=0,1,0))</f>
        <v/>
      </c>
      <c r="OC29" s="164">
        <f>IFERROR(VLOOKUP(SUBSTITUTE(SUBSTITUTE(SUBSTITUTE($MX29,"~","~~"),"*","~*"),"?","~?"),'DADOS_MELHORIAS'!$AG$2:$AL$113,4,FALSE),0)+IFERROR(VLOOKUP(SUBSTITUTE(SUBSTITUTE(SUBSTITUTE($MY29,"~","~~"),"*","~*"),"?","~?"),'DADOS_MELHORIAS'!$AG$2:$AL$113,4,FALSE),0)+IFERROR(VLOOKUP(SUBSTITUTE(SUBSTITUTE(SUBSTITUTE($MZ29,"~","~~"),"*","~*"),"?","~?"),'DADOS_MELHORIAS'!$AG$2:$AL$113,4,FALSE),0)+IFERROR(VLOOKUP(SUBSTITUTE(SUBSTITUTE(SUBSTITUTE($NA29,"~","~~"),"*","~*"),"?","~?"),'DADOS_MELHORIAS'!$AG$2:$AL$113,4,FALSE),0)</f>
        <v/>
      </c>
      <c r="OD29" s="164">
        <f>IFERROR(VLOOKUP(SUBSTITUTE(SUBSTITUTE(SUBSTITUTE($MX29,"~","~~"),"*","~*"),"?","~?"),'DADOS_MELHORIAS'!$AG$2:$AL$113,6,FALSE),0)+IFERROR(VLOOKUP(SUBSTITUTE(SUBSTITUTE(SUBSTITUTE($MY29,"~","~~"),"*","~*"),"?","~?"),'DADOS_MELHORIAS'!$AG$2:$AL$113,6,FALSE),0)+IFERROR(VLOOKUP(SUBSTITUTE(SUBSTITUTE(SUBSTITUTE($MZ29,"~","~~"),"*","~*"),"?","~?"),'DADOS_MELHORIAS'!$AG$2:$AL$113,6,FALSE),0)+IFERROR(VLOOKUP(SUBSTITUTE(SUBSTITUTE(SUBSTITUTE($NA29,"~","~~"),"*","~*"),"?","~?"),'DADOS_MELHORIAS'!$AG$2:$AL$113,6,FALSE),0)+IFERROR(N(AND(INDEX('DADOS_FORMAS'!$AO$2:$AO$21,MATCH(SUBSTITUTE(SUBSTITUTE(SUBSTITUTE($MU29,"~","~~"),"*","~*"),"?","~?"),'DADOS_FORMAS'!$AH$2:$AH$21,0))="Acerto",$OH29=1)),0)</f>
        <v/>
      </c>
      <c r="OE29" s="164">
        <f>TEXTJOIN(", ",TRUE,IF(IFERROR(VLOOKUP(SUBSTITUTE(SUBSTITUTE(SUBSTITUTE($MX29,"~","~~"),"*","~*"),"?","~?"),'DADOS_MELHORIAS'!$AG$2:$AL$113,5,FALSE),0)=1,$MX29,""),IF(IFERROR(VLOOKUP(SUBSTITUTE(SUBSTITUTE(SUBSTITUTE($MY29,"~","~~"),"*","~*"),"?","~?"),'DADOS_MELHORIAS'!$AG$2:$AL$113,5,FALSE),0)=1,$MY29,""),IF(IFERROR(VLOOKUP(SUBSTITUTE(SUBSTITUTE(SUBSTITUTE($MZ29,"~","~~"),"*","~*"),"?","~?"),'DADOS_MELHORIAS'!$AG$2:$AL$113,5,FALSE),0)=1,$MZ29,""),IF(IFERROR(VLOOKUP(SUBSTITUTE(SUBSTITUTE(SUBSTITUTE($NA29,"~","~~"),"*","~*"),"?","~?"),'DADOS_MELHORIAS'!$AG$2:$AL$113,5,FALSE),0)=1,$NA29,""))</f>
        <v/>
      </c>
      <c r="OF29" s="164">
        <f>IF($NJ29=0,0,INDEX('DADOS_FORMAS'!$GC$2:$GC$21,$NJ29))</f>
        <v/>
      </c>
      <c r="OG29" s="164">
        <f>IF($NJ29=0,0,INDEX('DADOS_FORMAS'!$GD$2:$GD$21,$NJ29))</f>
        <v/>
      </c>
      <c r="OH29" s="164">
        <f>IF($NJ29=0,0,INDEX('DADOS_FORMAS'!$GF$2:$GF$21,$NJ29))</f>
        <v/>
      </c>
      <c r="OI29" s="164">
        <f>IFERROR(VLOOKUP(SUBSTITUTE(SUBSTITUTE(SUBSTITUTE($NB29,"~","~~"),"*","~*"),"?","~?"),'DADOS_RESTRICOES'!$M$2:$Q$54,3,FALSE),0)</f>
        <v/>
      </c>
      <c r="OJ29" s="164">
        <f>IFERROR(VLOOKUP(SUBSTITUTE(SUBSTITUTE(SUBSTITUTE($NC29,"~","~~"),"*","~*"),"?","~?"),'DADOS_RESTRICOES'!$M$2:$Q$54,3,FALSE),0)</f>
        <v/>
      </c>
      <c r="OK29" s="164">
        <f>IFERROR(VLOOKUP(SUBSTITUTE(SUBSTITUTE(SUBSTITUTE($NB29,"~","~~"),"*","~*"),"?","~?"),'DADOS_RESTRICOES'!$M$2:$Q$54,2,FALSE),"")</f>
        <v/>
      </c>
      <c r="OL29" s="164">
        <f>IFERROR(VLOOKUP(SUBSTITUTE(SUBSTITUTE(SUBSTITUTE($NC29,"~","~~"),"*","~*"),"?","~?"),'DADOS_RESTRICOES'!$M$2:$Q$54,2,FALSE),"")</f>
        <v/>
      </c>
      <c r="OM29" s="164">
        <f>COUNTIF($NS29:$NW29,1)</f>
        <v/>
      </c>
      <c r="ON29" s="164">
        <f>COUNTIF($NS29:$NW29,2)</f>
        <v/>
      </c>
      <c r="OO29" s="164">
        <f>COUNTIF($NS29:$NW29,3)</f>
        <v/>
      </c>
      <c r="OP29" s="164">
        <f>COUNTIF($NS29:$NW29,4)</f>
        <v/>
      </c>
      <c r="OQ29" s="164">
        <f>COUNTIF($NS29:$NW29,5)</f>
        <v/>
      </c>
      <c r="OR29" s="164">
        <f>COUNTIF($NS29:$NW29,6)</f>
        <v/>
      </c>
      <c r="OS29" s="164">
        <f>COUNTIF($OI29:$OJ29,1)+IF(IFERROR(INDEX('DADOS_FORMAS'!$AS$2:$AS$21,MATCH(SUBSTITUTE(SUBSTITUTE(SUBSTITUTE($MU29,"~","~~"),"*","~*"),"?","~?"),'DADOS_FORMAS'!$AH$2:$AH$21,0)),"")="",0,IFERROR(N(VLOOKUP(SUBSTITUTE(SUBSTITUTE(SUBSTITUTE(IFERROR(INDEX('DADOS_FORMAS'!$AS$2:$AS$21,MATCH(SUBSTITUTE(SUBSTITUTE(SUBSTITUTE($MU29,"~","~~"),"*","~*"),"?","~?"),'DADOS_FORMAS'!$AH$2:$AH$21,0)),""),"~","~~"),"*","~*"),"?","~?"),'DADOS_RESTRICOES'!$M$2:$Q$54,3,FALSE)=1),0))</f>
        <v/>
      </c>
      <c r="OT29" s="164">
        <f>COUNTIF($OI29:$OJ29,2)+IF(IFERROR(INDEX('DADOS_FORMAS'!$AS$2:$AS$21,MATCH(SUBSTITUTE(SUBSTITUTE(SUBSTITUTE($MU29,"~","~~"),"*","~*"),"?","~?"),'DADOS_FORMAS'!$AH$2:$AH$21,0)),"")="",0,IFERROR(N(VLOOKUP(SUBSTITUTE(SUBSTITUTE(SUBSTITUTE(IFERROR(INDEX('DADOS_FORMAS'!$AS$2:$AS$21,MATCH(SUBSTITUTE(SUBSTITUTE(SUBSTITUTE($MU29,"~","~~"),"*","~*"),"?","~?"),'DADOS_FORMAS'!$AH$2:$AH$21,0)),""),"~","~~"),"*","~*"),"?","~?"),'DADOS_RESTRICOES'!$M$2:$Q$54,3,FALSE)=2),0))</f>
        <v/>
      </c>
      <c r="OU29" s="164">
        <f>COUNTIF($MX29:$NA29,"?*")</f>
        <v/>
      </c>
      <c r="OV29" s="164">
        <f>COUNTIF($NB29:$NC29,"?*")+$OF29</f>
        <v/>
      </c>
      <c r="OW29" s="164">
        <f>IF($MS29=0,0,SUMPRODUCT($OM29:$OR29,INDEX($I$2:$N$8,MAX(1,$MS29),0)))</f>
        <v/>
      </c>
      <c r="OX29" s="164">
        <f>IF($MS29=0,0,$OS29*CEILING($MS29/2,1)+$OT29*$MS29)</f>
        <v/>
      </c>
      <c r="OY29" s="164">
        <f>MIN(2*$MS29,$OX29)</f>
        <v/>
      </c>
      <c r="OZ29" s="164">
        <f>MIN($OY29,$OW29-IF($NS29=0,0,INDEX($I$2:$N$8,MAX(1,$MS29),$NS29)))</f>
        <v/>
      </c>
      <c r="PA29" s="164">
        <f>$OY29-$OZ29</f>
        <v/>
      </c>
      <c r="PB29" s="164">
        <f>IF($MS29=0,0,INDEX($P$2:$P$8,MAX(1,$MS29)))</f>
        <v/>
      </c>
      <c r="PC29" s="164">
        <f>$PB29-$OW29+$OZ29</f>
        <v/>
      </c>
      <c r="PD29" s="164">
        <f>IF($MS29=0,MAX(0,$NG29-IF(AND($OU29&gt;0,COUNTIF($NB29:$NC29,"?*")=0),1,0)),MAX(0,$PC29))</f>
        <v/>
      </c>
      <c r="PE29" s="164">
        <f>IF($MS29=0,0,(IF(COUNTIF($RK29:$RN29,"Salto")&gt;0,1,0)+IF(COUNTIF($RK29:$RN29,"Queima")&gt;0,1,0)+IF(COUNTIF($RK29:$RN29,"Estilhaço")&gt;0,1,0))*FLOOR($PD29/2,1))</f>
        <v/>
      </c>
      <c r="PF29" s="164">
        <f>MAX(0,2-SUMPRODUCT($OM29:$OR29,$I$2:$N$2)+MIN(2,$OS29*1+$OT29*1,SUMPRODUCT($OM29:$OR29,$I$2:$N$2)-IF($NS29=0,0,INDEX($I$2:$N$2,1,$NS29))))</f>
        <v/>
      </c>
      <c r="PG29" s="164">
        <f>MAX(0,4-SUMPRODUCT($OM29:$OR29,$I$3:$N$3)+MIN(4,$OS29*1+$OT29*2,SUMPRODUCT($OM29:$OR29,$I$3:$N$3)-IF($NS29=0,0,INDEX($I$3:$N$3,1,$NS29))))</f>
        <v/>
      </c>
      <c r="PH29" s="164">
        <f>MAX(0,6-SUMPRODUCT($OM29:$OR29,$I$4:$N$4)+MIN(6,$OS29*2+$OT29*3,SUMPRODUCT($OM29:$OR29,$I$4:$N$4)-IF($NS29=0,0,INDEX($I$4:$N$4,1,$NS29))))</f>
        <v/>
      </c>
      <c r="PI29" s="164">
        <f>MAX(0,9-SUMPRODUCT($OM29:$OR29,$I$5:$N$5)+MIN(8,$OS29*2+$OT29*4,SUMPRODUCT($OM29:$OR29,$I$5:$N$5)-IF($NS29=0,0,INDEX($I$5:$N$5,1,$NS29))))</f>
        <v/>
      </c>
      <c r="PJ29" s="164">
        <f>MAX(0,11-SUMPRODUCT($OM29:$OR29,$I$6:$N$6)+MIN(10,$OS29*3+$OT29*5,SUMPRODUCT($OM29:$OR29,$I$6:$N$6)-IF($NS29=0,0,INDEX($I$6:$N$6,1,$NS29))))</f>
        <v/>
      </c>
      <c r="PK29" s="164">
        <f>MAX(0,13-SUMPRODUCT($OM29:$OR29,$I$7:$N$7)+MIN(12,$OS29*3+$OT29*6,SUMPRODUCT($OM29:$OR29,$I$7:$N$7)-IF($NS29=0,0,INDEX($I$7:$N$7,1,$NS29))))</f>
        <v/>
      </c>
      <c r="PL29" s="164">
        <f>MAX(0,16-SUMPRODUCT($OM29:$OR29,$I$8:$N$8)+MIN(14,$OS29*4+$OT29*7,SUMPRODUCT($OM29:$OR29,$I$8:$N$8)-IF($NS29=0,0,INDEX($I$8:$N$8,1,$NS29))))</f>
        <v/>
      </c>
      <c r="PM29" s="164">
        <f>IF($OG29=2,3*$PF29&amp;" de vida temp.",IF($OG29=3,"sem dano",IF($PF29=0,IF($OG29=1,"sem cura","sem dano"),IF($OG29=1,"cura ","")&amp;$PF29&amp;"d8")))</f>
        <v/>
      </c>
      <c r="PN29" s="164">
        <f>IF($OG29=2,3*$PG29&amp;" de vida temp.",IF($OG29=3,"sem dano",IF($PG29=0,IF($OG29=1,"sem cura","sem dano"),IF($OG29=1,"cura ","")&amp;$PG29&amp;"d8")))</f>
        <v/>
      </c>
      <c r="PO29" s="164">
        <f>IF($OG29=2,3*$PH29&amp;" de vida temp.",IF($OG29=3,"sem dano",IF($PH29=0,IF($OG29=1,"sem cura","sem dano"),IF($OG29=1,"cura ","")&amp;$PH29&amp;"d8")))</f>
        <v/>
      </c>
      <c r="PP29" s="164">
        <f>IF($OG29=2,3*$PI29&amp;" de vida temp.",IF($OG29=3,"sem dano",IF($PI29=0,IF($OG29=1,"sem cura","sem dano"),IF($OG29=1,"cura ","")&amp;$PI29&amp;"d8")))</f>
        <v/>
      </c>
      <c r="PQ29" s="164">
        <f>IF($OG29=2,3*$PJ29&amp;" de vida temp.",IF($OG29=3,"sem dano",IF($PJ29=0,IF($OG29=1,"sem cura","sem dano"),IF($OG29=1,"cura ","")&amp;$PJ29&amp;"d8")))</f>
        <v/>
      </c>
      <c r="PR29" s="164">
        <f>IF($OG29=2,3*$PK29&amp;" de vida temp.",IF($OG29=3,"sem dano",IF($PK29=0,IF($OG29=1,"sem cura","sem dano"),IF($OG29=1,"cura ","")&amp;$PK29&amp;"d8")))</f>
        <v/>
      </c>
      <c r="PS29" s="164">
        <f>IF($OG29=2,3*$PL29&amp;" de vida temp.",IF($OG29=3,"sem dano",IF($PL29=0,IF($OG29=1,"sem cura","sem dano"),IF($OG29=1,"cura ","")&amp;$PL29&amp;"d8")))</f>
        <v/>
      </c>
      <c r="PT29" s="164">
        <f>IF($ND29=0,"",TEXTJOIN(" · ",TRUE,IF($ND29=0,"",TEXTJOIN(" · ",TRUE,IF($ND29=0,"",TEXTJOIN(" · ",TRUE,IF($MQ29&gt;$NE29,"Este lugar abre no nível "&amp;$MQ29,""),IF($MS29&gt;$NF29,"Classe "&amp;$MS29&amp;": o nível "&amp;$NE29&amp;" libera até a "&amp;$NF29,""),IF($NX29=1,"A Forma "&amp;$MU29&amp;" pede "&amp;INDEX('DADOS_FORMAS'!$GA$2:$GA$21,$NJ29)&amp;" aberta",""),IF(AND($MS29=0,$NJ29&gt;0,IF($NJ29=0,0,INDEX('DADOS_FORMAS'!$GJ$2:$GJ$21,$NJ29))=0),$MU29&amp;" não existe na Classe 0",""),IF($NY29=1,"Família Fechada: "&amp;$MX29,""),IF($NZ29=1,"Família Fechada: "&amp;$MY29,""),IF($OA29=1,"Família Fechada: "&amp;$MZ29,""),IF($OB29=1,"Família Fechada: "&amp;$NA29,""),IF(AND($MS29&gt;0,$OU29&gt;INDEX($O$2:$O$8,MAX(1,$MS29))),$OU29&amp;" Melhorias: a Classe "&amp;$MS29&amp;" aceita "&amp;INDEX($O$2:$O$8,MAX(1,$MS29)),""),IF(AND($MS29=0,$OU29&gt;1),"A básica aceita uma Melhoria",""),IF(AND($MS29=0,COUNTIF($NO29:$NR29,"&gt;1")&gt;0),"A básica só aceita Melhoria Leve",""),IF(AND($MS29&gt;0,$OV29&gt;2),$OV29&amp;" Restrições"&amp;IF($OF29=1,", contando a que a Forma "&amp;$MU29&amp;" já traz","")&amp;": o limite é 2",""),IF(AND($MS29=0,COUNTIF($NB29:$NC29,"?*")&gt;1),"A básica aceita uma Restrição Leve",""),IF(AND($MS29=0,COUNTIF($OI29:$OJ29,2)&gt;0),"A básica só aceita Restrição Leve",""),IF(AND($MS29&gt;0,$PC29&lt;0),"Orçamento estourado: faltam "&amp;(-$PC29)&amp;IF($PC29&lt;-1," pontos"," ponto"),""),IF(IFERROR(VLOOKUP(SUBSTITUTE(SUBSTITUTE(SUBSTITUTE($NB29,"~","~~"),"*","~*"),"?","~?"),'DADOS_RESTRICOES'!$M$2:$Q$54,4,FALSE),0)+IFERROR(VLOOKUP(SUBSTITUTE(SUBSTITUTE(SUBSTITUTE($NC29,"~","~~"),"*","~*"),"?","~?"),'DADOS_RESTRICOES'!$M$2:$Q$54,4,FALSE),0)&gt;1,$OK29&amp;" e "&amp;$OL29&amp;" são as duas de frequência",""),IF(AND((COUNTIF($RK29:$RN29,"Rápido")+COUNTIF($OK29:$OL29,"Rápido"))&gt;0,(COUNTIF($MX29:$NA29,"Atrasar")+COUNTIF($OK29:$OL29,"Atrasar"))&gt;0),"Rápido não entra com Atrasar",""),IF(AND((COUNTIF($RK29:$RN29,"Reação")+COUNTIF($OK29:$OL29,"Reação"))&gt;0,(COUNTIF($RK29:$RN29,"Rápido")+COUNTIF($OK29:$OL29,"Rápido"))&gt;0),"Reação não entra com Rápido",""),IF(AND((COUNTIF($RK29:$RN29,"Reação")+COUNTIF($OK29:$OL29,"Reação"))&gt;0,(COUNTIF($RK29:$RN29,"Armado")+COUNTIF($OK29:$OL29,"Armado"))&gt;0),"Reação não entra com Armado",""),IF(AND((COUNTIF($RK29:$RN29,"Reação")+COUNTIF($OK29:$OL29,"Reação"))&gt;0,(COUNTIF($MX29:$NA29,"Atrasar")+COUNTIF($OK29:$OL29,"Atrasar"))&gt;0),"Reação não entra com Atrasar",""),IF(AND((COUNTIF($RK29:$RN29,"Reação")+COUNTIF($OK29:$OL29,"Reação"))&gt;0,(COUNTIF($MX29:$NA29,"Parado")+COUNTIF($OK29:$OL29,"Parado"))&gt;0),"Reação não entra com Parado",""),IF(AND((COUNTIF($MX29:$NA29,"Atrasar")+COUNTIF($OK29:$OL29,"Atrasar"))&gt;0,(COUNTIF($MX29:$NA29,"Parado")+COUNTIF($OK29:$OL29,"Parado"))&gt;0),"Atrasar não entra com Parado",""),IF(AND((COUNTIF($RK29:$RN29,"Armado")+COUNTIF($OK29:$OL29,"Armado"))&gt;0,(COUNTIF($MX29:$NA29,"Carregar")+COUNTIF($OK29:$OL29,"Carregar"))&gt;0),"Armado não entra com Carregar",""),IF(AND(COUNTIF($OK29:$OL29,"Corpo a Corpo")&gt;0,$OF29=0,OR($RO29="Cone",$RO29="Linha")),"Corpo a Corpo não entra em "&amp;$MU29,""),IF(AND(COUNTIF($OK29:$OL29,"Corpo a Corpo")&gt;0,$RP29="Corpo a Corpo"),"A Forma "&amp;$MU29&amp;" já traz o Corpo a Corpo",""),IF(AND(COUNTIF($OK29:$OL29,"Tudo ou Nada")&gt;0,$OH29=0),"Tudo ou Nada só entra em habilidade de Teste de Resistência",""),IF(AND(COUNTIF($RK29:$RN29,"Inescapável")&gt;0,OR($OU29&gt;1,$OV29&gt;0)),"Inescapável não aceita outra peça",""),IF(AND($MS29&gt;0,$PD29*IF(COUNTIF($RK29:$RN29,"Remate")&gt;0,1.25,1)+$PE29&gt;4*$MS29),($PD29*IF(COUNTIF($RK29:$RN29,"Remate")&gt;0,1.25,1)+$PE29)&amp;" dados somando repetições"&amp;IF(COUNTIF($RK29:$RN29,"Remate")&gt;0," e o Remate","")&amp;": o teto da Classe "&amp;$MS29&amp;" é "&amp;4*$MS29,""))),IF(AND($MX29&lt;&gt;"",COUNTIF('DADOS_MELHORIAS'!$O$2:$O$113,SUBSTITUTE(SUBSTITUTE(SUBSTITUTE($MX29,"~","~~"),"*","~*"),"?","~?"))=0),"Melhoria não cadastrada ou com erro: "&amp;$MX29,""),IF(AND($MY29&lt;&gt;"",COUNTIF('DADOS_MELHORIAS'!$O$2:$O$113,SUBSTITUTE(SUBSTITUTE(SUBSTITUTE($MY29,"~","~~"),"*","~*"),"?","~?"))=0),"Melhoria não cadastrada ou com erro: "&amp;$MY29,""),IF(AND($MZ29&lt;&gt;"",COUNTIF('DADOS_MELHORIAS'!$O$2:$O$113,SUBSTITUTE(SUBSTITUTE(SUBSTITUTE($MZ29,"~","~~"),"*","~*"),"?","~?"))=0),"Melhoria não cadastrada ou com erro: "&amp;$MZ29,""),IF(AND($NA29&lt;&gt;"",COUNTIF('DADOS_MELHORIAS'!$O$2:$O$113,SUBSTITUTE(SUBSTITUTE(SUBSTITUTE($NA29,"~","~~"),"*","~*"),"?","~?"))=0),"Melhoria não cadastrada ou com erro: "&amp;$NA29,""),IF(AND($NB29&lt;&gt;"",COUNTIF('DADOS_RESTRICOES'!$M$2:$M$54,SUBSTITUTE(SUBSTITUTE(SUBSTITUTE($NB29,"~","~~"),"*","~*"),"?","~?"))=0),"Restrição não cadastrada ou com erro: "&amp;$NB29,""),IF(AND($NC29&lt;&gt;"",COUNTIF('DADOS_RESTRICOES'!$M$2:$M$54,SUBSTITUTE(SUBSTITUTE(SUBSTITUTE($NC29,"~","~~"),"*","~*"),"?","~?"))=0),"Restrição não cadastrada ou com erro: "&amp;$NC29,""))),IF(AND($MU29&lt;&gt;"",COUNTIF('DADOS_FORMAS'!$AH$2:$AH$21,SUBSTITUTE(SUBSTITUTE(SUBSTITUTE($MU29,"~","~~"),"*","~*"),"?","~?"))=0),"Forma não cadastrada ou com erro: "&amp;$MU29,""),IF(AND(IFERROR(INDEX('DADOS_FORMAS'!$AS$2:$AS$21,MATCH(SUBSTITUTE(SUBSTITUTE(SUBSTITUTE($MU29,"~","~~"),"*","~*"),"?","~?"),'DADOS_FORMAS'!$AH$2:$AH$21,0)),"")&lt;&gt;"",OR(IFERROR(VLOOKUP(SUBSTITUTE(SUBSTITUTE(SUBSTITUTE(IFERROR(INDEX('DADOS_FORMAS'!$AS$2:$AS$21,MATCH(SUBSTITUTE(SUBSTITUTE(SUBSTITUTE($MU29,"~","~~"),"*","~*"),"?","~?"),'DADOS_FORMAS'!$AH$2:$AH$21,0)),""),"~","~~"),"*","~*"),"?","~?"),'DADOS_RESTRICOES'!$M$2:$Q$54,2,FALSE),"")=$OK29,IFERROR(VLOOKUP(SUBSTITUTE(SUBSTITUTE(SUBSTITUTE(IFERROR(INDEX('DADOS_FORMAS'!$AS$2:$AS$21,MATCH(SUBSTITUTE(SUBSTITUTE(SUBSTITUTE($MU29,"~","~~"),"*","~*"),"?","~?"),'DADOS_FORMAS'!$AH$2:$AH$21,0)),""),"~","~~"),"*","~*"),"?","~?"),'DADOS_RESTRICOES'!$M$2:$Q$54,2,FALSE),"")=$OL29)),"Restrição repetida, contando a embutida",""),IF(IF(IFERROR(INDEX('DADOS_FORMAS'!$AS$2:$AS$21,MATCH(SUBSTITUTE(SUBSTITUTE(SUBSTITUTE($MU29,"~","~~"),"*","~*"),"?","~?"),'DADOS_FORMAS'!$AH$2:$AH$21,0)),"")="",0,IFERROR(N(VLOOKUP(SUBSTITUTE(SUBSTITUTE(SUBSTITUTE(IFERROR(INDEX('DADOS_FORMAS'!$AS$2:$AS$21,MATCH(SUBSTITUTE(SUBSTITUTE(SUBSTITUTE($MU29,"~","~~"),"*","~*"),"?","~?"),'DADOS_FORMAS'!$AH$2:$AH$21,0)),""),"~","~~"),"*","~*"),"?","~?"),'DADOS_RESTRICOES'!$M$2:$Q$54,4,FALSE)=1),0))+IF($NB29="",0,IFERROR(N(VLOOKUP(SUBSTITUTE(SUBSTITUTE(SUBSTITUTE($NB29,"~","~~"),"*","~*"),"?","~?"),'DADOS_RESTRICOES'!$M$2:$Q$54,4,FALSE)=1),0))+IF($NC29="",0,IFERROR(N(VLOOKUP(SUBSTITUTE(SUBSTITUTE(SUBSTITUTE($NC29,"~","~~"),"*","~*"),"?","~?"),'DADOS_RESTRICOES'!$M$2:$Q$54,4,FALSE)=1),0))&gt;1,"Duas Restrições de frequência, contando a embutida",""),IF(AND(IFERROR(VLOOKUP(SUBSTITUTE(SUBSTITUTE(SUBSTITUTE(IFERROR(INDEX('DADOS_FORMAS'!$AS$2:$AS$21,MATCH(SUBSTITUTE(SUBSTITUTE(SUBSTITUTE($MU29,"~","~~"),"*","~*"),"?","~?"),'DADOS_FORMAS'!$AH$2:$AH$21,0)),""),"~","~~"),"*","~*"),"?","~?"),'DADOS_RESTRICOES'!$M$2:$Q$54,2,FALSE),"")="Tudo ou Nada",$OH29=0),"Tudo ou Nada exige TR",""),IF(AND(IFERROR(VLOOKUP(SUBSTITUTE(SUBSTITUTE(SUBSTITUTE(IFERROR(INDEX('DADOS_FORMAS'!$AS$2:$AS$21,MATCH(SUBSTITUTE(SUBSTITUTE(SUBSTITUTE($MU29,"~","~~"),"*","~*"),"?","~?"),'DADOS_FORMAS'!$AH$2:$AH$21,0)),""),"~","~~"),"*","~*"),"?","~?"),'DADOS_RESTRICOES'!$M$2:$Q$54,2,FALSE),"")="Corpo a Corpo",OR($RO29="Cone",$RO29="Linha")),"Corpo a Corpo não entra em Cone/Linha","")))</f>
        <v/>
      </c>
      <c r="PU29" s="164">
        <f>IF($PT29="",0,(LEN($PT29)-LEN(SUBSTITUTE($PT29," · ","")))/3+1)</f>
        <v/>
      </c>
      <c r="PV29" s="164">
        <f>IF($ND29=0,"",TEXTJOIN(" · ",TRUE,IF($OX29&gt;2*$MS29,"A devolução parou no teto de "&amp;2*$MS29,""),IF($PA29&gt;0,"Devolução perdida: "&amp;$PA29&amp;IF($PA29&gt;1," pontos"," ponto")&amp;" sem Melhoria para pagar",""),IF(AND($OC29&gt;0,AND($MS29&gt;0,$OG29=0),$PD29=0),"Controle sem dano: uma rodada a mais e CD +2",""),IF(AND($OC29&gt;0,AND($MS29&gt;0,$OG29=0),$PD29&gt;0,$PD29&lt;=$MS29),"Controle com saldo até a Classe: uma rodada a mais",""),IF(AND($MS29&gt;0,$OE29&lt;&gt;""),"Efeito de "&amp;$OE29&amp;" pela Classe "&amp;MAX(1,$MS29-1),"")))</f>
        <v/>
      </c>
      <c r="PW29" s="164">
        <f>IF($PV29="",0,(LEN($PV29)-LEN(SUBSTITUTE($PV29," · ","")))/3+1)</f>
        <v/>
      </c>
      <c r="PX29" s="164">
        <f>IF($ND29=0,IF($OU29+COUNTIF($NB29:$NC29,"?*")&gt;0,"Dê um nome",""),IF($PU29&gt;0,"⚠ "&amp;$PU29&amp;IF($PU29&gt;1," erros"," erro"),IF($PW29&gt;0,"! "&amp;$PW29&amp;IF($PW29&gt;1," avisos"," aviso"),"Na regra")))</f>
        <v/>
      </c>
      <c r="PY29" s="164">
        <f>IF($ND29=0,"",IF($PU29+$PW29=0,"Dentro das regras que a ficha confere",$PT29&amp;IF(AND($PU29&gt;0,$PW29&gt;0)," · ","")&amp;$PV29))</f>
        <v/>
      </c>
      <c r="PZ29" s="164">
        <f>IF($MQ29&gt;$NE29,$MR29&amp;" · ABRE NO NÍVEL "&amp;$MQ29,$MR29)</f>
        <v/>
      </c>
      <c r="QA29" s="164">
        <f>IF($ND29=0,"",IF($MS29=0,"Sem PE",3*$MS29&amp;" PE"))</f>
        <v/>
      </c>
      <c r="QB29" s="164">
        <f>IF($ND29=0,"",IF($MS29=0,"A atuação básica dela",IF(COUNTIF($RQ29:$RS29,"Atrasar")&gt;0,"Sua Ação Completa",IF(COUNTIF($RK29:$RN29,"Rápido")&gt;0,"Sua Bônus",IF(COUNTIF($RK29:$RN29,"Reação")&gt;0,"Sua Reação","Sua Padrão")))&amp;" + a básica dela"&amp;IF(COUNTIF($RK29:$RN29,"Reação")&gt;0," e a coletiva","")&amp;IF(COUNTIF($RQ29:$RS29,"Carregar")&gt;0," · em dois turnos","")))</f>
        <v/>
      </c>
      <c r="QC29" s="164">
        <f>IF($MW29&lt;&gt;"",$MW29,IF($NJ29=0,"",INDEX('DADOS_FORMAS'!$GE$2:$GE$21,$NJ29)))</f>
        <v/>
      </c>
      <c r="QD29" s="164">
        <f>IF(OR($ND29=0,$NJ29=0),"",IF(COUNTIF($RK29:$RN29,"Inescapável")&gt;0,"Automático",IF($QC29="Ataque",IF($NH29="","Ataque","Ataque "&amp;IF(($NH29+2*IF(COUNTIF($RK29:$RN29,"Precisão")&gt;0,1,0))&gt;=0,"+","−")&amp;ABS(($NH29+2*IF(COUNTIF($RK29:$RN29,"Precisão")&gt;0,1,0))))&amp;IF($OD29&gt;0," · TR"&amp;IF($NI29="",""," CD "&amp;$NI29),""),IF(LEFT($QC29,2)="TR",$QC29&amp;IF($NI29="",""," · CD "&amp;$NI29)&amp;IF(COUNTIF($RK29:$RN29,"Certeiro")&gt;0," · metade",""),"Sem rolagem"))))</f>
        <v/>
      </c>
      <c r="QE29" s="164">
        <f>IF(OR($ND29=0,$NJ29=0),"",IF($MS29=0,IF(OR($OG29&gt;=1,$PD29=0),"Sem dano",$PD29&amp;"d6"&amp;IF($MV29="",""," "&amp;$MV29)),IF(OR($OG29&gt;=1,$PD29=0),UPPER(LEFT(INDEX($PM29:$PS29,1,MAX(1,$MS29)),1))&amp;MID(INDEX($PM29:$PS29,1,MAX(1,$MS29)),2,99),UPPER(LEFT(INDEX($PM29:$PS29,1,MAX(1,$MS29)),1))&amp;MID(INDEX($PM29:$PS29,1,MAX(1,$MS29)),2,99)&amp;IF($MV29="",""," "&amp;$MV29)&amp;IF($PE29&gt;0," · +"&amp;$PE29&amp;"d8",""))))</f>
        <v/>
      </c>
      <c r="QF29" s="164">
        <f>COUNTIF($RK29:$RN29,"Longe")+3*COUNTIF($RK29:$RN29,"Muito Longe")</f>
        <v/>
      </c>
      <c r="QG29" s="164">
        <f>COUNTIF($RK29:$RN29,"Maior")+3*COUNTIF($RK29:$RN29,"Muito Maior")</f>
        <v/>
      </c>
      <c r="QH29" s="164">
        <f>IF($NJ29=0,0,CHOOSE(1+INDEX('DADOS_FORMAS'!$GG$2:$GG$21,$NJ29),0,$QF29,$QG29,$QF29+$QG29))</f>
        <v/>
      </c>
      <c r="QI29" s="164">
        <f>IF($NJ29=0,0,CHOOSE(1+INDEX('DADOS_FORMAS'!$GH$2:$GH$21,$NJ29),0,$QF29,$QG29,$QF29+$QG29))</f>
        <v/>
      </c>
      <c r="QJ29" s="164">
        <f>IF(OR($ND29=0,$NJ29=0),"",INDEX('DADOS_FORMAS'!$HU$2:$HZ$81,($NJ29-1)*4+IF($MS29=0,1,IF($MS29&lt;=5,2,IF($MS29=6,3,4))),1+MIN(5,$QH29))&amp;INDEX('DADOS_FORMAS'!$IA$2:$IF$81,($NJ29-1)*4+IF($MS29=0,1,IF($MS29&lt;=5,2,IF($MS29=6,3,4))),1+MIN(5,$QI29))&amp;IF(INDEX('DADOS_FORMAS'!$GI$2:$GI$21,$NJ29)=1,IF(COUNTIF($RK29:$RN29,"Mais Um")&gt;0," · +"&amp;COUNTIF($RK29:$RN29,"Mais Um")&amp;IF(COUNTIF($RK29:$RN29,"Mais Um")&gt;1," alvos"," alvo"),"")&amp;IF(COUNTIF($RK29:$RN29,"Rajada")&gt;0,IF($MS29=0," · 1 tiro"," · "&amp;(MAX(1,$MS29-1)+1)&amp;" tiros"),""),""))</f>
        <v/>
      </c>
      <c r="QK29" s="164">
        <f>IF($ND29=0,"",IF($MS29=0,$NG29&amp;"d6"&amp;IF($OU29&gt;0," − 1 = "&amp;$PD29&amp;"d6"," da básica do nível "&amp;$NE29),$PB29&amp;" − "&amp;$OW29&amp;" + "&amp;$OZ29&amp;" = "&amp;$PC29&amp;" · teto "&amp;4*$MS29&amp;"d8"&amp;IF($OF29=1," · a Forma devolve "&amp;$MS29,"")&amp;IF($PA29&gt;0," · perde "&amp;$PA29,"")))</f>
        <v/>
      </c>
      <c r="QL29" s="164">
        <f>IF($ND29=0,"",IF($MS29=0,"A básica não amplia: os dados dela sobem com o nível",IF($MS29&gt;=$NF29,"Já está na maior Classe que o nível liberou",TEXTJOIN(" · ",TRUE,IF(AND(2&gt;$MS29,2&lt;=$NF29),"2 → "&amp;$PN29&amp;", 6 PE",""),IF(AND(3&gt;$MS29,3&lt;=$NF29),"3 → "&amp;$PO29&amp;", 9 PE",""),IF(AND(4&gt;$MS29,4&lt;=$NF29),"4 → "&amp;$PP29&amp;", 12 PE",""),IF(AND(5&gt;$MS29,5&lt;=$NF29),"5 → "&amp;$PQ29&amp;", 15 PE",""),IF(AND(6&gt;$MS29,6&lt;=$NF29),"6 → "&amp;$PR29&amp;", 18 PE",""),IF(AND(7&gt;$MS29,7&lt;=$NF29),"7 → "&amp;$PS29&amp;", 21 PE","")))))</f>
        <v/>
      </c>
      <c r="QM29" s="164">
        <f>IF(OR($ND29=0,$NO29=0),"",IF($MS29=0,"−1 dado","−"&amp;INDEX($I$2:$N$8,MAX(1,$MS29),MAX(1,$NT29))&amp;" · "&amp;CHOOSE(MAX(1,$NT29),"Leve","Média","Pesada","Leve · Livre","Média · Livre","Pesada · Livre")))</f>
        <v/>
      </c>
      <c r="QN29" s="164">
        <f>IF(OR($ND29=0,$NP29=0),"",IF($MS29=0,"−1 dado","−"&amp;INDEX($I$2:$N$8,MAX(1,$MS29),MAX(1,$NU29))&amp;" · "&amp;CHOOSE(MAX(1,$NU29),"Leve","Média","Pesada","Leve · Livre","Média · Livre","Pesada · Livre")))</f>
        <v/>
      </c>
      <c r="QO29" s="164">
        <f>IF(OR($ND29=0,$NQ29=0),"",IF($MS29=0,"−1 dado","−"&amp;INDEX($I$2:$N$8,MAX(1,$MS29),MAX(1,$NV29))&amp;" · "&amp;CHOOSE(MAX(1,$NV29),"Leve","Média","Pesada","Leve · Livre","Média · Livre","Pesada · Livre")))</f>
        <v/>
      </c>
      <c r="QP29" s="164">
        <f>IF(OR($ND29=0,$NR29=0),"",IF($MS29=0,"−1 dado","−"&amp;INDEX($I$2:$N$8,MAX(1,$MS29),MAX(1,$NW29))&amp;" · "&amp;CHOOSE(MAX(1,$NW29),"Leve","Média","Pesada","Leve · Livre","Média · Livre","Pesada · Livre")))</f>
        <v/>
      </c>
      <c r="QQ29" s="164">
        <f>IF(OR($ND29=0,$NB29=""),"",IF($MS29=0,"não devolve","+"&amp;IF($OI29=1,CEILING($MS29/2,1),$MS29)))</f>
        <v/>
      </c>
      <c r="QR29" s="164">
        <f>IF(OR($ND29=0,$NC29=""),"",IF($MS29=0,"não devolve","+"&amp;IF($OJ29=1,CEILING($MS29/2,1),$MS29)))</f>
        <v/>
      </c>
      <c r="RK29">
        <f>IF($MX29="","",IFERROR(VLOOKUP(SUBSTITUTE(SUBSTITUTE(SUBSTITUTE($MX29,"~","~~"),"*","~*"),"?","~?"),'DADOS_MELHORIAS'!$O$2:$X$113,10,FALSE),$MX29))</f>
        <v/>
      </c>
      <c r="RL29">
        <f>IF($MY29="","",IFERROR(VLOOKUP(SUBSTITUTE(SUBSTITUTE(SUBSTITUTE($MY29,"~","~~"),"*","~*"),"?","~?"),'DADOS_MELHORIAS'!$O$2:$X$113,10,FALSE),$MY29))</f>
        <v/>
      </c>
      <c r="RM29">
        <f>IF($MZ29="","",IFERROR(VLOOKUP(SUBSTITUTE(SUBSTITUTE(SUBSTITUTE($MZ29,"~","~~"),"*","~*"),"?","~?"),'DADOS_MELHORIAS'!$O$2:$X$113,10,FALSE),$MZ29))</f>
        <v/>
      </c>
      <c r="RN29">
        <f>IF($NA29="","",IFERROR(VLOOKUP(SUBSTITUTE(SUBSTITUTE(SUBSTITUTE($NA29,"~","~~"),"*","~*"),"?","~?"),'DADOS_MELHORIAS'!$O$2:$X$113,10,FALSE),$NA29))</f>
        <v/>
      </c>
      <c r="RO29">
        <f>IFERROR(INDEX('DADOS_FORMAS'!$BJ$2:$BJ$21,MATCH(SUBSTITUTE(SUBSTITUTE(SUBSTITUTE($MU29,"~","~~"),"*","~*"),"?","~?"),'DADOS_FORMAS'!$AH$2:$AH$21,0)),"")</f>
        <v/>
      </c>
      <c r="RP29">
        <f>IFERROR(VLOOKUP(SUBSTITUTE(SUBSTITUTE(SUBSTITUTE(IFERROR(INDEX('DADOS_FORMAS'!$AS$2:$AS$21,MATCH(SUBSTITUTE(SUBSTITUTE(SUBSTITUTE($MU29,"~","~~"),"*","~*"),"?","~?"),'DADOS_FORMAS'!$AH$2:$AH$21,0)),""),"~","~~"),"*","~*"),"?","~?"),'DADOS_RESTRICOES'!$M$2:$Q$54,2,FALSE),"")</f>
        <v/>
      </c>
      <c r="RQ29">
        <f>$OK29</f>
        <v/>
      </c>
      <c r="RR29">
        <f>$OL29</f>
        <v/>
      </c>
      <c r="RS29">
        <f>$RP29</f>
        <v/>
      </c>
    </row>
    <row r="30">
      <c r="AH30" s="162" t="inlineStr">
        <is>
          <t>Apoio · classe 0</t>
        </is>
      </c>
      <c r="AI30" s="162" t="inlineStr">
        <is>
          <t>Um aliado a 4,5 m</t>
        </is>
      </c>
      <c r="AJ30" s="162" t="inlineStr">
        <is>
          <t>Um aliado a 9 m</t>
        </is>
      </c>
      <c r="AK30" s="162" t="inlineStr">
        <is>
          <t>Um aliado a 18 m</t>
        </is>
      </c>
      <c r="AL30" s="162" t="inlineStr">
        <is>
          <t>Um aliado a 36 m</t>
        </is>
      </c>
      <c r="AM30" s="162" t="inlineStr">
        <is>
          <t>Um aliado a 90 m</t>
        </is>
      </c>
      <c r="AN30" s="162" t="inlineStr">
        <is>
          <t>Um aliado a visão a olho nu</t>
        </is>
      </c>
      <c r="AO30" s="162" t="inlineStr"/>
      <c r="AP30" s="162" t="inlineStr"/>
      <c r="AQ30" s="162" t="inlineStr"/>
      <c r="AR30" s="162" t="inlineStr"/>
      <c r="AS30" s="162" t="inlineStr"/>
      <c r="AT30" s="162" t="inlineStr"/>
      <c r="AV30" s="162" t="inlineStr">
        <is>
          <t>Calado</t>
        </is>
      </c>
      <c r="AW30" s="162" t="inlineStr">
        <is>
          <t>Controle</t>
        </is>
      </c>
      <c r="AX30" s="164" t="n">
        <v>2</v>
      </c>
      <c r="AY30" s="164" t="n">
        <v>1</v>
      </c>
      <c r="AZ30" s="164" t="n">
        <v>0</v>
      </c>
      <c r="BA30" s="164" t="n">
        <v>1</v>
      </c>
      <c r="JT30" s="164">
        <f>IF(OR($AW30="",(COUNTIF($EL$2:$EP$2,$AW30)+COUNTIF($QV$2:$QY$2,$AW30))&gt;0),$AV30,"")</f>
        <v/>
      </c>
      <c r="JU30" s="164">
        <f>IF(AND($AX30=1,OR($AW30="",(COUNTIF($EL$2:$EP$2,$AW30)+COUNTIF($QV$2:$QY$2,$AW30))&gt;0)),$AV30,"")</f>
        <v/>
      </c>
      <c r="JZ30" s="164">
        <f>IF(OR($AW30="",(COUNTIF($EL$3:$EP$3,$AW30)+COUNTIF($QV$3:$QY$3,$AW30))&gt;0),$AV30,"")</f>
        <v/>
      </c>
      <c r="KA30" s="164">
        <f>IF(AND($AX30=1,OR($AW30="",(COUNTIF($EL$3:$EP$3,$AW30)+COUNTIF($QV$3:$QY$3,$AW30))&gt;0)),$AV30,"")</f>
        <v/>
      </c>
      <c r="KF30" s="164">
        <f>IF(OR($AW30="",(COUNTIF($EL$4:$EP$4,$AW30)+COUNTIF($QV$4:$QY$4,$AW30))&gt;0),$AV30,"")</f>
        <v/>
      </c>
      <c r="KG30" s="164">
        <f>IF(AND($AX30=1,OR($AW30="",(COUNTIF($EL$4:$EP$4,$AW30)+COUNTIF($QV$4:$QY$4,$AW30))&gt;0)),$AV30,"")</f>
        <v/>
      </c>
      <c r="KL30" s="164">
        <f>IF(OR($AW30="",(COUNTIF($EL$5:$EP$5,$AW30)+COUNTIF($QV$5:$QY$5,$AW30))&gt;0),$AV30,"")</f>
        <v/>
      </c>
      <c r="KM30" s="164">
        <f>IF(AND($AX30=1,OR($AW30="",(COUNTIF($EL$5:$EP$5,$AW30)+COUNTIF($QV$5:$QY$5,$AW30))&gt;0)),$AV30,"")</f>
        <v/>
      </c>
      <c r="KR30" s="164">
        <f>IF(OR($AW30="",(COUNTIF($EL$6:$EP$6,$AW30)+COUNTIF($QV$6:$QY$6,$AW30))&gt;0),$AV30,"")</f>
        <v/>
      </c>
      <c r="KS30" s="164">
        <f>IF(AND($AX30=1,OR($AW30="",(COUNTIF($EL$6:$EP$6,$AW30)+COUNTIF($QV$6:$QY$6,$AW30))&gt;0)),$AV30,"")</f>
        <v/>
      </c>
      <c r="KX30" s="164">
        <f>IF(OR($AW30="",(COUNTIF($EL$7:$EP$7,$AW30)+COUNTIF($QV$7:$QY$7,$AW30))&gt;0),$AV30,"")</f>
        <v/>
      </c>
      <c r="KY30" s="164">
        <f>IF(AND($AX30=1,OR($AW30="",(COUNTIF($EL$7:$EP$7,$AW30)+COUNTIF($QV$7:$QY$7,$AW30))&gt;0)),$AV30,"")</f>
        <v/>
      </c>
      <c r="LD30" s="164">
        <f>IF(OR($AW30="",(COUNTIF($EL$8:$EP$8,$AW30)+COUNTIF($QV$8:$QY$8,$AW30))&gt;0),$AV30,"")</f>
        <v/>
      </c>
      <c r="LE30" s="164">
        <f>IF(AND($AX30=1,OR($AW30="",(COUNTIF($EL$8:$EP$8,$AW30)+COUNTIF($QV$8:$QY$8,$AW30))&gt;0)),$AV30,"")</f>
        <v/>
      </c>
      <c r="LJ30" s="164">
        <f>IF(OR($AW30="",(COUNTIF($EL$9:$EP$9,$AW30)+COUNTIF($QV$9:$QY$9,$AW30))&gt;0),$AV30,"")</f>
        <v/>
      </c>
      <c r="LK30" s="164">
        <f>IF(AND($AX30=1,OR($AW30="",(COUNTIF($EL$9:$EP$9,$AW30)+COUNTIF($QV$9:$QY$9,$AW30))&gt;0)),$AV30,"")</f>
        <v/>
      </c>
      <c r="LP30" s="164">
        <f>IF(OR($AW30="",(COUNTIF($EL$10:$EP$10,$AW30)+COUNTIF($QV$10:$QY$10,$AW30))&gt;0),$AV30,"")</f>
        <v/>
      </c>
      <c r="LQ30" s="164">
        <f>IF(AND($AX30=1,OR($AW30="",(COUNTIF($EL$10:$EP$10,$AW30)+COUNTIF($QV$10:$QY$10,$AW30))&gt;0)),$AV30,"")</f>
        <v/>
      </c>
      <c r="LV30" s="164">
        <f>IF(OR($AW30="",(COUNTIF($EL$11:$EP$11,$AW30)+COUNTIF($QV$11:$QY$11,$AW30))&gt;0),$AV30,"")</f>
        <v/>
      </c>
      <c r="LW30" s="164">
        <f>IF(AND($AX30=1,OR($AW30="",(COUNTIF($EL$11:$EP$11,$AW30)+COUNTIF($QV$11:$QY$11,$AW30))&gt;0)),$AV30,"")</f>
        <v/>
      </c>
      <c r="MB30" s="164">
        <f>IF(OR($AW30="",(COUNTIF($EL$12:$EP$12,$AW30)+COUNTIF($QV$12:$QY$12,$AW30))&gt;0),$AV30,"")</f>
        <v/>
      </c>
      <c r="MC30" s="164">
        <f>IF(AND($AX30=1,OR($AW30="",(COUNTIF($EL$12:$EP$12,$AW30)+COUNTIF($QV$12:$QY$12,$AW30))&gt;0)),$AV30,"")</f>
        <v/>
      </c>
      <c r="MH30" s="164">
        <f>IF(OR($AW30="",(COUNTIF($EL$13:$EP$13,$AW30)+COUNTIF($QV$13:$QY$13,$AW30))&gt;0),$AV30,"")</f>
        <v/>
      </c>
      <c r="MI30" s="164">
        <f>IF(AND($AX30=1,OR($AW30="",(COUNTIF($EL$13:$EP$13,$AW30)+COUNTIF($QV$13:$QY$13,$AW30))&gt;0)),$AV30,"")</f>
        <v/>
      </c>
      <c r="MN30" s="162" t="inlineStr">
        <is>
          <t>Ficha 3 · Especial 2</t>
        </is>
      </c>
      <c r="MO30" s="164" t="n">
        <v>3</v>
      </c>
      <c r="MP30" s="164" t="n">
        <v>1</v>
      </c>
      <c r="MQ30" s="164" t="n">
        <v>4</v>
      </c>
      <c r="MR30" s="162" t="inlineStr">
        <is>
          <t>ESPECIAL 2</t>
        </is>
      </c>
      <c r="MS30" s="164">
        <f>MAX(1,MIN(7,N('INVOCAÇÕES'!$U$493)))</f>
        <v/>
      </c>
      <c r="MT30" s="164">
        <f>'INVOCAÇÕES'!$V$493&amp;""</f>
        <v/>
      </c>
      <c r="MU30" s="164">
        <f>'INVOCAÇÕES'!$U$498&amp;""</f>
        <v/>
      </c>
      <c r="MV30" s="164">
        <f>'INVOCAÇÕES'!$U$499&amp;""</f>
        <v/>
      </c>
      <c r="MW30" s="164">
        <f>'INVOCAÇÕES'!$W$499&amp;""</f>
        <v/>
      </c>
      <c r="MX30" s="164">
        <f>'INVOCAÇÕES'!$V$502&amp;""</f>
        <v/>
      </c>
      <c r="MY30" s="164">
        <f>'INVOCAÇÕES'!$V$503&amp;""</f>
        <v/>
      </c>
      <c r="MZ30" s="164">
        <f>'INVOCAÇÕES'!$V$504&amp;""</f>
        <v/>
      </c>
      <c r="NA30" s="164">
        <f>'INVOCAÇÕES'!$V$505&amp;""</f>
        <v/>
      </c>
      <c r="NB30" s="164">
        <f>'INVOCAÇÕES'!$V$506&amp;""</f>
        <v/>
      </c>
      <c r="NC30" s="164">
        <f>'INVOCAÇÕES'!$V$507&amp;""</f>
        <v/>
      </c>
      <c r="ND30" s="164">
        <f>IF($MT30&lt;&gt;"",1,0)</f>
        <v/>
      </c>
      <c r="NE30" s="164">
        <f>INDEX($FO$2:$FO$13,$MO30)</f>
        <v/>
      </c>
      <c r="NF30" s="164">
        <f>INDEX($FP$2:$FP$13,$MO30)</f>
        <v/>
      </c>
      <c r="NG30" s="164">
        <f>INDEX($FQ$2:$FQ$13,$MO30)</f>
        <v/>
      </c>
      <c r="NH30" s="164">
        <f>INDEX($GB$2:$GB$13,$MO30)</f>
        <v/>
      </c>
      <c r="NI30" s="164">
        <f>INDEX($GC$2:$GC$13,$MO30)</f>
        <v/>
      </c>
      <c r="NJ30" s="164">
        <f>IFERROR(MATCH(SUBSTITUTE(SUBSTITUTE(SUBSTITUTE($MU30,"~","~~"),"*","~*"),"?","~?"),'DADOS_FORMAS'!$FZ$2:$FZ$21,0),0)</f>
        <v/>
      </c>
      <c r="NK30" s="164">
        <f>IFERROR(VLOOKUP(SUBSTITUTE(SUBSTITUTE(SUBSTITUTE($MX30,"~","~~"),"*","~*"),"?","~?"),'DADOS_MELHORIAS'!$AG$2:$AL$113,2,FALSE),"")</f>
        <v/>
      </c>
      <c r="NL30" s="164">
        <f>IFERROR(VLOOKUP(SUBSTITUTE(SUBSTITUTE(SUBSTITUTE($MY30,"~","~~"),"*","~*"),"?","~?"),'DADOS_MELHORIAS'!$AG$2:$AL$113,2,FALSE),"")</f>
        <v/>
      </c>
      <c r="NM30" s="164">
        <f>IFERROR(VLOOKUP(SUBSTITUTE(SUBSTITUTE(SUBSTITUTE($MZ30,"~","~~"),"*","~*"),"?","~?"),'DADOS_MELHORIAS'!$AG$2:$AL$113,2,FALSE),"")</f>
        <v/>
      </c>
      <c r="NN30" s="164">
        <f>IFERROR(VLOOKUP(SUBSTITUTE(SUBSTITUTE(SUBSTITUTE($NA30,"~","~~"),"*","~*"),"?","~?"),'DADOS_MELHORIAS'!$AG$2:$AL$113,2,FALSE),"")</f>
        <v/>
      </c>
      <c r="NO30" s="164">
        <f>IFERROR(VLOOKUP(SUBSTITUTE(SUBSTITUTE(SUBSTITUTE($MX30,"~","~~"),"*","~*"),"?","~?"),'DADOS_MELHORIAS'!$AG$2:$AL$113,3,FALSE),0)</f>
        <v/>
      </c>
      <c r="NP30" s="164">
        <f>IFERROR(VLOOKUP(SUBSTITUTE(SUBSTITUTE(SUBSTITUTE($MY30,"~","~~"),"*","~*"),"?","~?"),'DADOS_MELHORIAS'!$AG$2:$AL$113,3,FALSE),0)</f>
        <v/>
      </c>
      <c r="NQ30" s="164">
        <f>IFERROR(VLOOKUP(SUBSTITUTE(SUBSTITUTE(SUBSTITUTE($MZ30,"~","~~"),"*","~*"),"?","~?"),'DADOS_MELHORIAS'!$AG$2:$AL$113,3,FALSE),0)</f>
        <v/>
      </c>
      <c r="NR30" s="164">
        <f>IFERROR(VLOOKUP(SUBSTITUTE(SUBSTITUTE(SUBSTITUTE($NA30,"~","~~"),"*","~*"),"?","~?"),'DADOS_MELHORIAS'!$AG$2:$AL$113,3,FALSE),0)</f>
        <v/>
      </c>
      <c r="NS30" s="164">
        <f>IF($MS30=0,0,IF($NJ30=0,0,INDEX('DADOS_FORMAS'!$GB$2:$GB$21,$NJ30)))</f>
        <v/>
      </c>
      <c r="NT30" s="164">
        <f>IF(OR($NO30=0,$MS30=0),0,$NO30+3*IF(AND($NK30&lt;&gt;"",COUNTIF(INDEX($RB$2:$RJ$13,$MO30,0),$NK30)&gt;0),1,0))</f>
        <v/>
      </c>
      <c r="NU30" s="164">
        <f>IF(OR($NP30=0,$MS30=0),0,$NP30+3*IF(AND($NL30&lt;&gt;"",COUNTIF(INDEX($RB$2:$RJ$13,$MO30,0),$NL30)&gt;0),1,0))</f>
        <v/>
      </c>
      <c r="NV30" s="164">
        <f>IF(OR($NQ30=0,$MS30=0),0,$NQ30+3*IF(AND($NM30&lt;&gt;"",COUNTIF(INDEX($RB$2:$RJ$13,$MO30,0),$NM30)&gt;0),1,0))</f>
        <v/>
      </c>
      <c r="NW30" s="164">
        <f>IF(OR($NR30=0,$MS30=0),0,$NR30+3*IF(AND($NN30&lt;&gt;"",COUNTIF(INDEX($RB$2:$RJ$13,$MO30,0),$NN30)&gt;0),1,0))</f>
        <v/>
      </c>
      <c r="NX30" s="164">
        <f>IF($NJ30=0,0,IF(INDEX('DADOS_FORMAS'!$GA$2:$GA$21,$NJ30)="",0,IF((COUNTIF(INDEX($EL$2:$EP$13,$MO30,0),INDEX('DADOS_FORMAS'!$GA$2:$GA$21,$NJ30))+COUNTIF(INDEX($QV$2:$QY$13,$MO30,0),INDEX('DADOS_FORMAS'!$GA$2:$GA$21,$NJ30)))=0,1,0)))</f>
        <v/>
      </c>
      <c r="NY30" s="164">
        <f>IF(OR($NO30=0,$NK30=""),0,IF((COUNTIF(INDEX($EL$2:$EP$13,$MO30,0),$NK30)+COUNTIF(INDEX($QV$2:$QY$13,$MO30,0),$NK30))=0,1,0))</f>
        <v/>
      </c>
      <c r="NZ30" s="164">
        <f>IF(OR($NP30=0,$NL30=""),0,IF((COUNTIF(INDEX($EL$2:$EP$13,$MO30,0),$NL30)+COUNTIF(INDEX($QV$2:$QY$13,$MO30,0),$NL30))=0,1,0))</f>
        <v/>
      </c>
      <c r="OA30" s="164">
        <f>IF(OR($NQ30=0,$NM30=""),0,IF((COUNTIF(INDEX($EL$2:$EP$13,$MO30,0),$NM30)+COUNTIF(INDEX($QV$2:$QY$13,$MO30,0),$NM30))=0,1,0))</f>
        <v/>
      </c>
      <c r="OB30" s="164">
        <f>IF(OR($NR30=0,$NN30=""),0,IF((COUNTIF(INDEX($EL$2:$EP$13,$MO30,0),$NN30)+COUNTIF(INDEX($QV$2:$QY$13,$MO30,0),$NN30))=0,1,0))</f>
        <v/>
      </c>
      <c r="OC30" s="164">
        <f>IFERROR(VLOOKUP(SUBSTITUTE(SUBSTITUTE(SUBSTITUTE($MX30,"~","~~"),"*","~*"),"?","~?"),'DADOS_MELHORIAS'!$AG$2:$AL$113,4,FALSE),0)+IFERROR(VLOOKUP(SUBSTITUTE(SUBSTITUTE(SUBSTITUTE($MY30,"~","~~"),"*","~*"),"?","~?"),'DADOS_MELHORIAS'!$AG$2:$AL$113,4,FALSE),0)+IFERROR(VLOOKUP(SUBSTITUTE(SUBSTITUTE(SUBSTITUTE($MZ30,"~","~~"),"*","~*"),"?","~?"),'DADOS_MELHORIAS'!$AG$2:$AL$113,4,FALSE),0)+IFERROR(VLOOKUP(SUBSTITUTE(SUBSTITUTE(SUBSTITUTE($NA30,"~","~~"),"*","~*"),"?","~?"),'DADOS_MELHORIAS'!$AG$2:$AL$113,4,FALSE),0)</f>
        <v/>
      </c>
      <c r="OD30" s="164">
        <f>IFERROR(VLOOKUP(SUBSTITUTE(SUBSTITUTE(SUBSTITUTE($MX30,"~","~~"),"*","~*"),"?","~?"),'DADOS_MELHORIAS'!$AG$2:$AL$113,6,FALSE),0)+IFERROR(VLOOKUP(SUBSTITUTE(SUBSTITUTE(SUBSTITUTE($MY30,"~","~~"),"*","~*"),"?","~?"),'DADOS_MELHORIAS'!$AG$2:$AL$113,6,FALSE),0)+IFERROR(VLOOKUP(SUBSTITUTE(SUBSTITUTE(SUBSTITUTE($MZ30,"~","~~"),"*","~*"),"?","~?"),'DADOS_MELHORIAS'!$AG$2:$AL$113,6,FALSE),0)+IFERROR(VLOOKUP(SUBSTITUTE(SUBSTITUTE(SUBSTITUTE($NA30,"~","~~"),"*","~*"),"?","~?"),'DADOS_MELHORIAS'!$AG$2:$AL$113,6,FALSE),0)+IFERROR(N(AND(INDEX('DADOS_FORMAS'!$AO$2:$AO$21,MATCH(SUBSTITUTE(SUBSTITUTE(SUBSTITUTE($MU30,"~","~~"),"*","~*"),"?","~?"),'DADOS_FORMAS'!$AH$2:$AH$21,0))="Acerto",$OH30=1)),0)</f>
        <v/>
      </c>
      <c r="OE30" s="164">
        <f>TEXTJOIN(", ",TRUE,IF(IFERROR(VLOOKUP(SUBSTITUTE(SUBSTITUTE(SUBSTITUTE($MX30,"~","~~"),"*","~*"),"?","~?"),'DADOS_MELHORIAS'!$AG$2:$AL$113,5,FALSE),0)=1,$MX30,""),IF(IFERROR(VLOOKUP(SUBSTITUTE(SUBSTITUTE(SUBSTITUTE($MY30,"~","~~"),"*","~*"),"?","~?"),'DADOS_MELHORIAS'!$AG$2:$AL$113,5,FALSE),0)=1,$MY30,""),IF(IFERROR(VLOOKUP(SUBSTITUTE(SUBSTITUTE(SUBSTITUTE($MZ30,"~","~~"),"*","~*"),"?","~?"),'DADOS_MELHORIAS'!$AG$2:$AL$113,5,FALSE),0)=1,$MZ30,""),IF(IFERROR(VLOOKUP(SUBSTITUTE(SUBSTITUTE(SUBSTITUTE($NA30,"~","~~"),"*","~*"),"?","~?"),'DADOS_MELHORIAS'!$AG$2:$AL$113,5,FALSE),0)=1,$NA30,""))</f>
        <v/>
      </c>
      <c r="OF30" s="164">
        <f>IF($NJ30=0,0,INDEX('DADOS_FORMAS'!$GC$2:$GC$21,$NJ30))</f>
        <v/>
      </c>
      <c r="OG30" s="164">
        <f>IF($NJ30=0,0,INDEX('DADOS_FORMAS'!$GD$2:$GD$21,$NJ30))</f>
        <v/>
      </c>
      <c r="OH30" s="164">
        <f>IF($NJ30=0,0,INDEX('DADOS_FORMAS'!$GF$2:$GF$21,$NJ30))</f>
        <v/>
      </c>
      <c r="OI30" s="164">
        <f>IFERROR(VLOOKUP(SUBSTITUTE(SUBSTITUTE(SUBSTITUTE($NB30,"~","~~"),"*","~*"),"?","~?"),'DADOS_RESTRICOES'!$M$2:$Q$54,3,FALSE),0)</f>
        <v/>
      </c>
      <c r="OJ30" s="164">
        <f>IFERROR(VLOOKUP(SUBSTITUTE(SUBSTITUTE(SUBSTITUTE($NC30,"~","~~"),"*","~*"),"?","~?"),'DADOS_RESTRICOES'!$M$2:$Q$54,3,FALSE),0)</f>
        <v/>
      </c>
      <c r="OK30" s="164">
        <f>IFERROR(VLOOKUP(SUBSTITUTE(SUBSTITUTE(SUBSTITUTE($NB30,"~","~~"),"*","~*"),"?","~?"),'DADOS_RESTRICOES'!$M$2:$Q$54,2,FALSE),"")</f>
        <v/>
      </c>
      <c r="OL30" s="164">
        <f>IFERROR(VLOOKUP(SUBSTITUTE(SUBSTITUTE(SUBSTITUTE($NC30,"~","~~"),"*","~*"),"?","~?"),'DADOS_RESTRICOES'!$M$2:$Q$54,2,FALSE),"")</f>
        <v/>
      </c>
      <c r="OM30" s="164">
        <f>COUNTIF($NS30:$NW30,1)</f>
        <v/>
      </c>
      <c r="ON30" s="164">
        <f>COUNTIF($NS30:$NW30,2)</f>
        <v/>
      </c>
      <c r="OO30" s="164">
        <f>COUNTIF($NS30:$NW30,3)</f>
        <v/>
      </c>
      <c r="OP30" s="164">
        <f>COUNTIF($NS30:$NW30,4)</f>
        <v/>
      </c>
      <c r="OQ30" s="164">
        <f>COUNTIF($NS30:$NW30,5)</f>
        <v/>
      </c>
      <c r="OR30" s="164">
        <f>COUNTIF($NS30:$NW30,6)</f>
        <v/>
      </c>
      <c r="OS30" s="164">
        <f>COUNTIF($OI30:$OJ30,1)+IF(IFERROR(INDEX('DADOS_FORMAS'!$AS$2:$AS$21,MATCH(SUBSTITUTE(SUBSTITUTE(SUBSTITUTE($MU30,"~","~~"),"*","~*"),"?","~?"),'DADOS_FORMAS'!$AH$2:$AH$21,0)),"")="",0,IFERROR(N(VLOOKUP(SUBSTITUTE(SUBSTITUTE(SUBSTITUTE(IFERROR(INDEX('DADOS_FORMAS'!$AS$2:$AS$21,MATCH(SUBSTITUTE(SUBSTITUTE(SUBSTITUTE($MU30,"~","~~"),"*","~*"),"?","~?"),'DADOS_FORMAS'!$AH$2:$AH$21,0)),""),"~","~~"),"*","~*"),"?","~?"),'DADOS_RESTRICOES'!$M$2:$Q$54,3,FALSE)=1),0))</f>
        <v/>
      </c>
      <c r="OT30" s="164">
        <f>COUNTIF($OI30:$OJ30,2)+IF(IFERROR(INDEX('DADOS_FORMAS'!$AS$2:$AS$21,MATCH(SUBSTITUTE(SUBSTITUTE(SUBSTITUTE($MU30,"~","~~"),"*","~*"),"?","~?"),'DADOS_FORMAS'!$AH$2:$AH$21,0)),"")="",0,IFERROR(N(VLOOKUP(SUBSTITUTE(SUBSTITUTE(SUBSTITUTE(IFERROR(INDEX('DADOS_FORMAS'!$AS$2:$AS$21,MATCH(SUBSTITUTE(SUBSTITUTE(SUBSTITUTE($MU30,"~","~~"),"*","~*"),"?","~?"),'DADOS_FORMAS'!$AH$2:$AH$21,0)),""),"~","~~"),"*","~*"),"?","~?"),'DADOS_RESTRICOES'!$M$2:$Q$54,3,FALSE)=2),0))</f>
        <v/>
      </c>
      <c r="OU30" s="164">
        <f>COUNTIF($MX30:$NA30,"?*")</f>
        <v/>
      </c>
      <c r="OV30" s="164">
        <f>COUNTIF($NB30:$NC30,"?*")+$OF30</f>
        <v/>
      </c>
      <c r="OW30" s="164">
        <f>IF($MS30=0,0,SUMPRODUCT($OM30:$OR30,INDEX($I$2:$N$8,MAX(1,$MS30),0)))</f>
        <v/>
      </c>
      <c r="OX30" s="164">
        <f>IF($MS30=0,0,$OS30*CEILING($MS30/2,1)+$OT30*$MS30)</f>
        <v/>
      </c>
      <c r="OY30" s="164">
        <f>MIN(2*$MS30,$OX30)</f>
        <v/>
      </c>
      <c r="OZ30" s="164">
        <f>MIN($OY30,$OW30-IF($NS30=0,0,INDEX($I$2:$N$8,MAX(1,$MS30),$NS30)))</f>
        <v/>
      </c>
      <c r="PA30" s="164">
        <f>$OY30-$OZ30</f>
        <v/>
      </c>
      <c r="PB30" s="164">
        <f>IF($MS30=0,0,INDEX($P$2:$P$8,MAX(1,$MS30)))</f>
        <v/>
      </c>
      <c r="PC30" s="164">
        <f>$PB30-$OW30+$OZ30</f>
        <v/>
      </c>
      <c r="PD30" s="164">
        <f>IF($MS30=0,MAX(0,$NG30-IF(AND($OU30&gt;0,COUNTIF($NB30:$NC30,"?*")=0),1,0)),MAX(0,$PC30))</f>
        <v/>
      </c>
      <c r="PE30" s="164">
        <f>IF($MS30=0,0,(IF(COUNTIF($RK30:$RN30,"Salto")&gt;0,1,0)+IF(COUNTIF($RK30:$RN30,"Queima")&gt;0,1,0)+IF(COUNTIF($RK30:$RN30,"Estilhaço")&gt;0,1,0))*FLOOR($PD30/2,1))</f>
        <v/>
      </c>
      <c r="PF30" s="164">
        <f>MAX(0,2-SUMPRODUCT($OM30:$OR30,$I$2:$N$2)+MIN(2,$OS30*1+$OT30*1,SUMPRODUCT($OM30:$OR30,$I$2:$N$2)-IF($NS30=0,0,INDEX($I$2:$N$2,1,$NS30))))</f>
        <v/>
      </c>
      <c r="PG30" s="164">
        <f>MAX(0,4-SUMPRODUCT($OM30:$OR30,$I$3:$N$3)+MIN(4,$OS30*1+$OT30*2,SUMPRODUCT($OM30:$OR30,$I$3:$N$3)-IF($NS30=0,0,INDEX($I$3:$N$3,1,$NS30))))</f>
        <v/>
      </c>
      <c r="PH30" s="164">
        <f>MAX(0,6-SUMPRODUCT($OM30:$OR30,$I$4:$N$4)+MIN(6,$OS30*2+$OT30*3,SUMPRODUCT($OM30:$OR30,$I$4:$N$4)-IF($NS30=0,0,INDEX($I$4:$N$4,1,$NS30))))</f>
        <v/>
      </c>
      <c r="PI30" s="164">
        <f>MAX(0,9-SUMPRODUCT($OM30:$OR30,$I$5:$N$5)+MIN(8,$OS30*2+$OT30*4,SUMPRODUCT($OM30:$OR30,$I$5:$N$5)-IF($NS30=0,0,INDEX($I$5:$N$5,1,$NS30))))</f>
        <v/>
      </c>
      <c r="PJ30" s="164">
        <f>MAX(0,11-SUMPRODUCT($OM30:$OR30,$I$6:$N$6)+MIN(10,$OS30*3+$OT30*5,SUMPRODUCT($OM30:$OR30,$I$6:$N$6)-IF($NS30=0,0,INDEX($I$6:$N$6,1,$NS30))))</f>
        <v/>
      </c>
      <c r="PK30" s="164">
        <f>MAX(0,13-SUMPRODUCT($OM30:$OR30,$I$7:$N$7)+MIN(12,$OS30*3+$OT30*6,SUMPRODUCT($OM30:$OR30,$I$7:$N$7)-IF($NS30=0,0,INDEX($I$7:$N$7,1,$NS30))))</f>
        <v/>
      </c>
      <c r="PL30" s="164">
        <f>MAX(0,16-SUMPRODUCT($OM30:$OR30,$I$8:$N$8)+MIN(14,$OS30*4+$OT30*7,SUMPRODUCT($OM30:$OR30,$I$8:$N$8)-IF($NS30=0,0,INDEX($I$8:$N$8,1,$NS30))))</f>
        <v/>
      </c>
      <c r="PM30" s="164">
        <f>IF($OG30=2,3*$PF30&amp;" de vida temp.",IF($OG30=3,"sem dano",IF($PF30=0,IF($OG30=1,"sem cura","sem dano"),IF($OG30=1,"cura ","")&amp;$PF30&amp;"d8")))</f>
        <v/>
      </c>
      <c r="PN30" s="164">
        <f>IF($OG30=2,3*$PG30&amp;" de vida temp.",IF($OG30=3,"sem dano",IF($PG30=0,IF($OG30=1,"sem cura","sem dano"),IF($OG30=1,"cura ","")&amp;$PG30&amp;"d8")))</f>
        <v/>
      </c>
      <c r="PO30" s="164">
        <f>IF($OG30=2,3*$PH30&amp;" de vida temp.",IF($OG30=3,"sem dano",IF($PH30=0,IF($OG30=1,"sem cura","sem dano"),IF($OG30=1,"cura ","")&amp;$PH30&amp;"d8")))</f>
        <v/>
      </c>
      <c r="PP30" s="164">
        <f>IF($OG30=2,3*$PI30&amp;" de vida temp.",IF($OG30=3,"sem dano",IF($PI30=0,IF($OG30=1,"sem cura","sem dano"),IF($OG30=1,"cura ","")&amp;$PI30&amp;"d8")))</f>
        <v/>
      </c>
      <c r="PQ30" s="164">
        <f>IF($OG30=2,3*$PJ30&amp;" de vida temp.",IF($OG30=3,"sem dano",IF($PJ30=0,IF($OG30=1,"sem cura","sem dano"),IF($OG30=1,"cura ","")&amp;$PJ30&amp;"d8")))</f>
        <v/>
      </c>
      <c r="PR30" s="164">
        <f>IF($OG30=2,3*$PK30&amp;" de vida temp.",IF($OG30=3,"sem dano",IF($PK30=0,IF($OG30=1,"sem cura","sem dano"),IF($OG30=1,"cura ","")&amp;$PK30&amp;"d8")))</f>
        <v/>
      </c>
      <c r="PS30" s="164">
        <f>IF($OG30=2,3*$PL30&amp;" de vida temp.",IF($OG30=3,"sem dano",IF($PL30=0,IF($OG30=1,"sem cura","sem dano"),IF($OG30=1,"cura ","")&amp;$PL30&amp;"d8")))</f>
        <v/>
      </c>
      <c r="PT30" s="164">
        <f>IF($ND30=0,"",TEXTJOIN(" · ",TRUE,IF($ND30=0,"",TEXTJOIN(" · ",TRUE,IF($ND30=0,"",TEXTJOIN(" · ",TRUE,IF($MQ30&gt;$NE30,"Este lugar abre no nível "&amp;$MQ30,""),IF($MS30&gt;$NF30,"Classe "&amp;$MS30&amp;": o nível "&amp;$NE30&amp;" libera até a "&amp;$NF30,""),IF($NX30=1,"A Forma "&amp;$MU30&amp;" pede "&amp;INDEX('DADOS_FORMAS'!$GA$2:$GA$21,$NJ30)&amp;" aberta",""),IF(AND($MS30=0,$NJ30&gt;0,IF($NJ30=0,0,INDEX('DADOS_FORMAS'!$GJ$2:$GJ$21,$NJ30))=0),$MU30&amp;" não existe na Classe 0",""),IF($NY30=1,"Família Fechada: "&amp;$MX30,""),IF($NZ30=1,"Família Fechada: "&amp;$MY30,""),IF($OA30=1,"Família Fechada: "&amp;$MZ30,""),IF($OB30=1,"Família Fechada: "&amp;$NA30,""),IF(AND($MS30&gt;0,$OU30&gt;INDEX($O$2:$O$8,MAX(1,$MS30))),$OU30&amp;" Melhorias: a Classe "&amp;$MS30&amp;" aceita "&amp;INDEX($O$2:$O$8,MAX(1,$MS30)),""),IF(AND($MS30=0,$OU30&gt;1),"A básica aceita uma Melhoria",""),IF(AND($MS30=0,COUNTIF($NO30:$NR30,"&gt;1")&gt;0),"A básica só aceita Melhoria Leve",""),IF(AND($MS30&gt;0,$OV30&gt;2),$OV30&amp;" Restrições"&amp;IF($OF30=1,", contando a que a Forma "&amp;$MU30&amp;" já traz","")&amp;": o limite é 2",""),IF(AND($MS30=0,COUNTIF($NB30:$NC30,"?*")&gt;1),"A básica aceita uma Restrição Leve",""),IF(AND($MS30=0,COUNTIF($OI30:$OJ30,2)&gt;0),"A básica só aceita Restrição Leve",""),IF(AND($MS30&gt;0,$PC30&lt;0),"Orçamento estourado: faltam "&amp;(-$PC30)&amp;IF($PC30&lt;-1," pontos"," ponto"),""),IF(IFERROR(VLOOKUP(SUBSTITUTE(SUBSTITUTE(SUBSTITUTE($NB30,"~","~~"),"*","~*"),"?","~?"),'DADOS_RESTRICOES'!$M$2:$Q$54,4,FALSE),0)+IFERROR(VLOOKUP(SUBSTITUTE(SUBSTITUTE(SUBSTITUTE($NC30,"~","~~"),"*","~*"),"?","~?"),'DADOS_RESTRICOES'!$M$2:$Q$54,4,FALSE),0)&gt;1,$OK30&amp;" e "&amp;$OL30&amp;" são as duas de frequência",""),IF(AND((COUNTIF($RK30:$RN30,"Rápido")+COUNTIF($OK30:$OL30,"Rápido"))&gt;0,(COUNTIF($MX30:$NA30,"Atrasar")+COUNTIF($OK30:$OL30,"Atrasar"))&gt;0),"Rápido não entra com Atrasar",""),IF(AND((COUNTIF($RK30:$RN30,"Reação")+COUNTIF($OK30:$OL30,"Reação"))&gt;0,(COUNTIF($RK30:$RN30,"Rápido")+COUNTIF($OK30:$OL30,"Rápido"))&gt;0),"Reação não entra com Rápido",""),IF(AND((COUNTIF($RK30:$RN30,"Reação")+COUNTIF($OK30:$OL30,"Reação"))&gt;0,(COUNTIF($RK30:$RN30,"Armado")+COUNTIF($OK30:$OL30,"Armado"))&gt;0),"Reação não entra com Armado",""),IF(AND((COUNTIF($RK30:$RN30,"Reação")+COUNTIF($OK30:$OL30,"Reação"))&gt;0,(COUNTIF($MX30:$NA30,"Atrasar")+COUNTIF($OK30:$OL30,"Atrasar"))&gt;0),"Reação não entra com Atrasar",""),IF(AND((COUNTIF($RK30:$RN30,"Reação")+COUNTIF($OK30:$OL30,"Reação"))&gt;0,(COUNTIF($MX30:$NA30,"Parado")+COUNTIF($OK30:$OL30,"Parado"))&gt;0),"Reação não entra com Parado",""),IF(AND((COUNTIF($MX30:$NA30,"Atrasar")+COUNTIF($OK30:$OL30,"Atrasar"))&gt;0,(COUNTIF($MX30:$NA30,"Parado")+COUNTIF($OK30:$OL30,"Parado"))&gt;0),"Atrasar não entra com Parado",""),IF(AND((COUNTIF($RK30:$RN30,"Armado")+COUNTIF($OK30:$OL30,"Armado"))&gt;0,(COUNTIF($MX30:$NA30,"Carregar")+COUNTIF($OK30:$OL30,"Carregar"))&gt;0),"Armado não entra com Carregar",""),IF(AND(COUNTIF($OK30:$OL30,"Corpo a Corpo")&gt;0,$OF30=0,OR($RO30="Cone",$RO30="Linha")),"Corpo a Corpo não entra em "&amp;$MU30,""),IF(AND(COUNTIF($OK30:$OL30,"Corpo a Corpo")&gt;0,$RP30="Corpo a Corpo"),"A Forma "&amp;$MU30&amp;" já traz o Corpo a Corpo",""),IF(AND(COUNTIF($OK30:$OL30,"Tudo ou Nada")&gt;0,$OH30=0),"Tudo ou Nada só entra em habilidade de Teste de Resistência",""),IF(AND(COUNTIF($RK30:$RN30,"Inescapável")&gt;0,OR($OU30&gt;1,$OV30&gt;0)),"Inescapável não aceita outra peça",""),IF(AND($MS30&gt;0,$PD30*IF(COUNTIF($RK30:$RN30,"Remate")&gt;0,1.25,1)+$PE30&gt;4*$MS30),($PD30*IF(COUNTIF($RK30:$RN30,"Remate")&gt;0,1.25,1)+$PE30)&amp;" dados somando repetições"&amp;IF(COUNTIF($RK30:$RN30,"Remate")&gt;0," e o Remate","")&amp;": o teto da Classe "&amp;$MS30&amp;" é "&amp;4*$MS30,""))),IF(AND($MX30&lt;&gt;"",COUNTIF('DADOS_MELHORIAS'!$O$2:$O$113,SUBSTITUTE(SUBSTITUTE(SUBSTITUTE($MX30,"~","~~"),"*","~*"),"?","~?"))=0),"Melhoria não cadastrada ou com erro: "&amp;$MX30,""),IF(AND($MY30&lt;&gt;"",COUNTIF('DADOS_MELHORIAS'!$O$2:$O$113,SUBSTITUTE(SUBSTITUTE(SUBSTITUTE($MY30,"~","~~"),"*","~*"),"?","~?"))=0),"Melhoria não cadastrada ou com erro: "&amp;$MY30,""),IF(AND($MZ30&lt;&gt;"",COUNTIF('DADOS_MELHORIAS'!$O$2:$O$113,SUBSTITUTE(SUBSTITUTE(SUBSTITUTE($MZ30,"~","~~"),"*","~*"),"?","~?"))=0),"Melhoria não cadastrada ou com erro: "&amp;$MZ30,""),IF(AND($NA30&lt;&gt;"",COUNTIF('DADOS_MELHORIAS'!$O$2:$O$113,SUBSTITUTE(SUBSTITUTE(SUBSTITUTE($NA30,"~","~~"),"*","~*"),"?","~?"))=0),"Melhoria não cadastrada ou com erro: "&amp;$NA30,""),IF(AND($NB30&lt;&gt;"",COUNTIF('DADOS_RESTRICOES'!$M$2:$M$54,SUBSTITUTE(SUBSTITUTE(SUBSTITUTE($NB30,"~","~~"),"*","~*"),"?","~?"))=0),"Restrição não cadastrada ou com erro: "&amp;$NB30,""),IF(AND($NC30&lt;&gt;"",COUNTIF('DADOS_RESTRICOES'!$M$2:$M$54,SUBSTITUTE(SUBSTITUTE(SUBSTITUTE($NC30,"~","~~"),"*","~*"),"?","~?"))=0),"Restrição não cadastrada ou com erro: "&amp;$NC30,""))),IF(AND($MU30&lt;&gt;"",COUNTIF('DADOS_FORMAS'!$AH$2:$AH$21,SUBSTITUTE(SUBSTITUTE(SUBSTITUTE($MU30,"~","~~"),"*","~*"),"?","~?"))=0),"Forma não cadastrada ou com erro: "&amp;$MU30,""),IF(AND(IFERROR(INDEX('DADOS_FORMAS'!$AS$2:$AS$21,MATCH(SUBSTITUTE(SUBSTITUTE(SUBSTITUTE($MU30,"~","~~"),"*","~*"),"?","~?"),'DADOS_FORMAS'!$AH$2:$AH$21,0)),"")&lt;&gt;"",OR(IFERROR(VLOOKUP(SUBSTITUTE(SUBSTITUTE(SUBSTITUTE(IFERROR(INDEX('DADOS_FORMAS'!$AS$2:$AS$21,MATCH(SUBSTITUTE(SUBSTITUTE(SUBSTITUTE($MU30,"~","~~"),"*","~*"),"?","~?"),'DADOS_FORMAS'!$AH$2:$AH$21,0)),""),"~","~~"),"*","~*"),"?","~?"),'DADOS_RESTRICOES'!$M$2:$Q$54,2,FALSE),"")=$OK30,IFERROR(VLOOKUP(SUBSTITUTE(SUBSTITUTE(SUBSTITUTE(IFERROR(INDEX('DADOS_FORMAS'!$AS$2:$AS$21,MATCH(SUBSTITUTE(SUBSTITUTE(SUBSTITUTE($MU30,"~","~~"),"*","~*"),"?","~?"),'DADOS_FORMAS'!$AH$2:$AH$21,0)),""),"~","~~"),"*","~*"),"?","~?"),'DADOS_RESTRICOES'!$M$2:$Q$54,2,FALSE),"")=$OL30)),"Restrição repetida, contando a embutida",""),IF(IF(IFERROR(INDEX('DADOS_FORMAS'!$AS$2:$AS$21,MATCH(SUBSTITUTE(SUBSTITUTE(SUBSTITUTE($MU30,"~","~~"),"*","~*"),"?","~?"),'DADOS_FORMAS'!$AH$2:$AH$21,0)),"")="",0,IFERROR(N(VLOOKUP(SUBSTITUTE(SUBSTITUTE(SUBSTITUTE(IFERROR(INDEX('DADOS_FORMAS'!$AS$2:$AS$21,MATCH(SUBSTITUTE(SUBSTITUTE(SUBSTITUTE($MU30,"~","~~"),"*","~*"),"?","~?"),'DADOS_FORMAS'!$AH$2:$AH$21,0)),""),"~","~~"),"*","~*"),"?","~?"),'DADOS_RESTRICOES'!$M$2:$Q$54,4,FALSE)=1),0))+IF($NB30="",0,IFERROR(N(VLOOKUP(SUBSTITUTE(SUBSTITUTE(SUBSTITUTE($NB30,"~","~~"),"*","~*"),"?","~?"),'DADOS_RESTRICOES'!$M$2:$Q$54,4,FALSE)=1),0))+IF($NC30="",0,IFERROR(N(VLOOKUP(SUBSTITUTE(SUBSTITUTE(SUBSTITUTE($NC30,"~","~~"),"*","~*"),"?","~?"),'DADOS_RESTRICOES'!$M$2:$Q$54,4,FALSE)=1),0))&gt;1,"Duas Restrições de frequência, contando a embutida",""),IF(AND(IFERROR(VLOOKUP(SUBSTITUTE(SUBSTITUTE(SUBSTITUTE(IFERROR(INDEX('DADOS_FORMAS'!$AS$2:$AS$21,MATCH(SUBSTITUTE(SUBSTITUTE(SUBSTITUTE($MU30,"~","~~"),"*","~*"),"?","~?"),'DADOS_FORMAS'!$AH$2:$AH$21,0)),""),"~","~~"),"*","~*"),"?","~?"),'DADOS_RESTRICOES'!$M$2:$Q$54,2,FALSE),"")="Tudo ou Nada",$OH30=0),"Tudo ou Nada exige TR",""),IF(AND(IFERROR(VLOOKUP(SUBSTITUTE(SUBSTITUTE(SUBSTITUTE(IFERROR(INDEX('DADOS_FORMAS'!$AS$2:$AS$21,MATCH(SUBSTITUTE(SUBSTITUTE(SUBSTITUTE($MU30,"~","~~"),"*","~*"),"?","~?"),'DADOS_FORMAS'!$AH$2:$AH$21,0)),""),"~","~~"),"*","~*"),"?","~?"),'DADOS_RESTRICOES'!$M$2:$Q$54,2,FALSE),"")="Corpo a Corpo",OR($RO30="Cone",$RO30="Linha")),"Corpo a Corpo não entra em Cone/Linha","")))</f>
        <v/>
      </c>
      <c r="PU30" s="164">
        <f>IF($PT30="",0,(LEN($PT30)-LEN(SUBSTITUTE($PT30," · ","")))/3+1)</f>
        <v/>
      </c>
      <c r="PV30" s="164">
        <f>IF($ND30=0,"",TEXTJOIN(" · ",TRUE,IF($OX30&gt;2*$MS30,"A devolução parou no teto de "&amp;2*$MS30,""),IF($PA30&gt;0,"Devolução perdida: "&amp;$PA30&amp;IF($PA30&gt;1," pontos"," ponto")&amp;" sem Melhoria para pagar",""),IF(AND($OC30&gt;0,AND($MS30&gt;0,$OG30=0),$PD30=0),"Controle sem dano: uma rodada a mais e CD +2",""),IF(AND($OC30&gt;0,AND($MS30&gt;0,$OG30=0),$PD30&gt;0,$PD30&lt;=$MS30),"Controle com saldo até a Classe: uma rodada a mais",""),IF(AND($MS30&gt;0,$OE30&lt;&gt;""),"Efeito de "&amp;$OE30&amp;" pela Classe "&amp;MAX(1,$MS30-1),"")))</f>
        <v/>
      </c>
      <c r="PW30" s="164">
        <f>IF($PV30="",0,(LEN($PV30)-LEN(SUBSTITUTE($PV30," · ","")))/3+1)</f>
        <v/>
      </c>
      <c r="PX30" s="164">
        <f>IF($ND30=0,IF($OU30+COUNTIF($NB30:$NC30,"?*")&gt;0,"Dê um nome",""),IF($PU30&gt;0,"⚠ "&amp;$PU30&amp;IF($PU30&gt;1," erros"," erro"),IF($PW30&gt;0,"! "&amp;$PW30&amp;IF($PW30&gt;1," avisos"," aviso"),"Na regra")))</f>
        <v/>
      </c>
      <c r="PY30" s="164">
        <f>IF($ND30=0,"",IF($PU30+$PW30=0,"Dentro das regras que a ficha confere",$PT30&amp;IF(AND($PU30&gt;0,$PW30&gt;0)," · ","")&amp;$PV30))</f>
        <v/>
      </c>
      <c r="PZ30" s="164">
        <f>IF($MQ30&gt;$NE30,$MR30&amp;" · ABRE NO NÍVEL "&amp;$MQ30,$MR30)</f>
        <v/>
      </c>
      <c r="QA30" s="164">
        <f>IF($ND30=0,"",IF($MS30=0,"Sem PE",3*$MS30&amp;" PE"))</f>
        <v/>
      </c>
      <c r="QB30" s="164">
        <f>IF($ND30=0,"",IF($MS30=0,"A atuação básica dela",IF(COUNTIF($RQ30:$RS30,"Atrasar")&gt;0,"Sua Ação Completa",IF(COUNTIF($RK30:$RN30,"Rápido")&gt;0,"Sua Bônus",IF(COUNTIF($RK30:$RN30,"Reação")&gt;0,"Sua Reação","Sua Padrão")))&amp;" + a básica dela"&amp;IF(COUNTIF($RK30:$RN30,"Reação")&gt;0," e a coletiva","")&amp;IF(COUNTIF($RQ30:$RS30,"Carregar")&gt;0," · em dois turnos","")))</f>
        <v/>
      </c>
      <c r="QC30" s="164">
        <f>IF($MW30&lt;&gt;"",$MW30,IF($NJ30=0,"",INDEX('DADOS_FORMAS'!$GE$2:$GE$21,$NJ30)))</f>
        <v/>
      </c>
      <c r="QD30" s="164">
        <f>IF(OR($ND30=0,$NJ30=0),"",IF(COUNTIF($RK30:$RN30,"Inescapável")&gt;0,"Automático",IF($QC30="Ataque",IF($NH30="","Ataque","Ataque "&amp;IF(($NH30+2*IF(COUNTIF($RK30:$RN30,"Precisão")&gt;0,1,0))&gt;=0,"+","−")&amp;ABS(($NH30+2*IF(COUNTIF($RK30:$RN30,"Precisão")&gt;0,1,0))))&amp;IF($OD30&gt;0," · TR"&amp;IF($NI30="",""," CD "&amp;$NI30),""),IF(LEFT($QC30,2)="TR",$QC30&amp;IF($NI30="",""," · CD "&amp;$NI30)&amp;IF(COUNTIF($RK30:$RN30,"Certeiro")&gt;0," · metade",""),"Sem rolagem"))))</f>
        <v/>
      </c>
      <c r="QE30" s="164">
        <f>IF(OR($ND30=0,$NJ30=0),"",IF($MS30=0,IF(OR($OG30&gt;=1,$PD30=0),"Sem dano",$PD30&amp;"d6"&amp;IF($MV30="",""," "&amp;$MV30)),IF(OR($OG30&gt;=1,$PD30=0),UPPER(LEFT(INDEX($PM30:$PS30,1,MAX(1,$MS30)),1))&amp;MID(INDEX($PM30:$PS30,1,MAX(1,$MS30)),2,99),UPPER(LEFT(INDEX($PM30:$PS30,1,MAX(1,$MS30)),1))&amp;MID(INDEX($PM30:$PS30,1,MAX(1,$MS30)),2,99)&amp;IF($MV30="",""," "&amp;$MV30)&amp;IF($PE30&gt;0," · +"&amp;$PE30&amp;"d8",""))))</f>
        <v/>
      </c>
      <c r="QF30" s="164">
        <f>COUNTIF($RK30:$RN30,"Longe")+3*COUNTIF($RK30:$RN30,"Muito Longe")</f>
        <v/>
      </c>
      <c r="QG30" s="164">
        <f>COUNTIF($RK30:$RN30,"Maior")+3*COUNTIF($RK30:$RN30,"Muito Maior")</f>
        <v/>
      </c>
      <c r="QH30" s="164">
        <f>IF($NJ30=0,0,CHOOSE(1+INDEX('DADOS_FORMAS'!$GG$2:$GG$21,$NJ30),0,$QF30,$QG30,$QF30+$QG30))</f>
        <v/>
      </c>
      <c r="QI30" s="164">
        <f>IF($NJ30=0,0,CHOOSE(1+INDEX('DADOS_FORMAS'!$GH$2:$GH$21,$NJ30),0,$QF30,$QG30,$QF30+$QG30))</f>
        <v/>
      </c>
      <c r="QJ30" s="164">
        <f>IF(OR($ND30=0,$NJ30=0),"",INDEX('DADOS_FORMAS'!$HU$2:$HZ$81,($NJ30-1)*4+IF($MS30=0,1,IF($MS30&lt;=5,2,IF($MS30=6,3,4))),1+MIN(5,$QH30))&amp;INDEX('DADOS_FORMAS'!$IA$2:$IF$81,($NJ30-1)*4+IF($MS30=0,1,IF($MS30&lt;=5,2,IF($MS30=6,3,4))),1+MIN(5,$QI30))&amp;IF(INDEX('DADOS_FORMAS'!$GI$2:$GI$21,$NJ30)=1,IF(COUNTIF($RK30:$RN30,"Mais Um")&gt;0," · +"&amp;COUNTIF($RK30:$RN30,"Mais Um")&amp;IF(COUNTIF($RK30:$RN30,"Mais Um")&gt;1," alvos"," alvo"),"")&amp;IF(COUNTIF($RK30:$RN30,"Rajada")&gt;0,IF($MS30=0," · 1 tiro"," · "&amp;(MAX(1,$MS30-1)+1)&amp;" tiros"),""),""))</f>
        <v/>
      </c>
      <c r="QK30" s="164">
        <f>IF($ND30=0,"",IF($MS30=0,$NG30&amp;"d6"&amp;IF($OU30&gt;0," − 1 = "&amp;$PD30&amp;"d6"," da básica do nível "&amp;$NE30),$PB30&amp;" − "&amp;$OW30&amp;" + "&amp;$OZ30&amp;" = "&amp;$PC30&amp;" · teto "&amp;4*$MS30&amp;"d8"&amp;IF($OF30=1," · a Forma devolve "&amp;$MS30,"")&amp;IF($PA30&gt;0," · perde "&amp;$PA30,"")))</f>
        <v/>
      </c>
      <c r="QL30" s="164">
        <f>IF($ND30=0,"",IF($MS30=0,"A básica não amplia: os dados dela sobem com o nível",IF($MS30&gt;=$NF30,"Já está na maior Classe que o nível liberou",TEXTJOIN(" · ",TRUE,IF(AND(2&gt;$MS30,2&lt;=$NF30),"2 → "&amp;$PN30&amp;", 6 PE",""),IF(AND(3&gt;$MS30,3&lt;=$NF30),"3 → "&amp;$PO30&amp;", 9 PE",""),IF(AND(4&gt;$MS30,4&lt;=$NF30),"4 → "&amp;$PP30&amp;", 12 PE",""),IF(AND(5&gt;$MS30,5&lt;=$NF30),"5 → "&amp;$PQ30&amp;", 15 PE",""),IF(AND(6&gt;$MS30,6&lt;=$NF30),"6 → "&amp;$PR30&amp;", 18 PE",""),IF(AND(7&gt;$MS30,7&lt;=$NF30),"7 → "&amp;$PS30&amp;", 21 PE","")))))</f>
        <v/>
      </c>
      <c r="QM30" s="164">
        <f>IF(OR($ND30=0,$NO30=0),"",IF($MS30=0,"−1 dado","−"&amp;INDEX($I$2:$N$8,MAX(1,$MS30),MAX(1,$NT30))&amp;" · "&amp;CHOOSE(MAX(1,$NT30),"Leve","Média","Pesada","Leve · Livre","Média · Livre","Pesada · Livre")))</f>
        <v/>
      </c>
      <c r="QN30" s="164">
        <f>IF(OR($ND30=0,$NP30=0),"",IF($MS30=0,"−1 dado","−"&amp;INDEX($I$2:$N$8,MAX(1,$MS30),MAX(1,$NU30))&amp;" · "&amp;CHOOSE(MAX(1,$NU30),"Leve","Média","Pesada","Leve · Livre","Média · Livre","Pesada · Livre")))</f>
        <v/>
      </c>
      <c r="QO30" s="164">
        <f>IF(OR($ND30=0,$NQ30=0),"",IF($MS30=0,"−1 dado","−"&amp;INDEX($I$2:$N$8,MAX(1,$MS30),MAX(1,$NV30))&amp;" · "&amp;CHOOSE(MAX(1,$NV30),"Leve","Média","Pesada","Leve · Livre","Média · Livre","Pesada · Livre")))</f>
        <v/>
      </c>
      <c r="QP30" s="164">
        <f>IF(OR($ND30=0,$NR30=0),"",IF($MS30=0,"−1 dado","−"&amp;INDEX($I$2:$N$8,MAX(1,$MS30),MAX(1,$NW30))&amp;" · "&amp;CHOOSE(MAX(1,$NW30),"Leve","Média","Pesada","Leve · Livre","Média · Livre","Pesada · Livre")))</f>
        <v/>
      </c>
      <c r="QQ30" s="164">
        <f>IF(OR($ND30=0,$NB30=""),"",IF($MS30=0,"não devolve","+"&amp;IF($OI30=1,CEILING($MS30/2,1),$MS30)))</f>
        <v/>
      </c>
      <c r="QR30" s="164">
        <f>IF(OR($ND30=0,$NC30=""),"",IF($MS30=0,"não devolve","+"&amp;IF($OJ30=1,CEILING($MS30/2,1),$MS30)))</f>
        <v/>
      </c>
      <c r="RK30">
        <f>IF($MX30="","",IFERROR(VLOOKUP(SUBSTITUTE(SUBSTITUTE(SUBSTITUTE($MX30,"~","~~"),"*","~*"),"?","~?"),'DADOS_MELHORIAS'!$O$2:$X$113,10,FALSE),$MX30))</f>
        <v/>
      </c>
      <c r="RL30">
        <f>IF($MY30="","",IFERROR(VLOOKUP(SUBSTITUTE(SUBSTITUTE(SUBSTITUTE($MY30,"~","~~"),"*","~*"),"?","~?"),'DADOS_MELHORIAS'!$O$2:$X$113,10,FALSE),$MY30))</f>
        <v/>
      </c>
      <c r="RM30">
        <f>IF($MZ30="","",IFERROR(VLOOKUP(SUBSTITUTE(SUBSTITUTE(SUBSTITUTE($MZ30,"~","~~"),"*","~*"),"?","~?"),'DADOS_MELHORIAS'!$O$2:$X$113,10,FALSE),$MZ30))</f>
        <v/>
      </c>
      <c r="RN30">
        <f>IF($NA30="","",IFERROR(VLOOKUP(SUBSTITUTE(SUBSTITUTE(SUBSTITUTE($NA30,"~","~~"),"*","~*"),"?","~?"),'DADOS_MELHORIAS'!$O$2:$X$113,10,FALSE),$NA30))</f>
        <v/>
      </c>
      <c r="RO30">
        <f>IFERROR(INDEX('DADOS_FORMAS'!$BJ$2:$BJ$21,MATCH(SUBSTITUTE(SUBSTITUTE(SUBSTITUTE($MU30,"~","~~"),"*","~*"),"?","~?"),'DADOS_FORMAS'!$AH$2:$AH$21,0)),"")</f>
        <v/>
      </c>
      <c r="RP30">
        <f>IFERROR(VLOOKUP(SUBSTITUTE(SUBSTITUTE(SUBSTITUTE(IFERROR(INDEX('DADOS_FORMAS'!$AS$2:$AS$21,MATCH(SUBSTITUTE(SUBSTITUTE(SUBSTITUTE($MU30,"~","~~"),"*","~*"),"?","~?"),'DADOS_FORMAS'!$AH$2:$AH$21,0)),""),"~","~~"),"*","~*"),"?","~?"),'DADOS_RESTRICOES'!$M$2:$Q$54,2,FALSE),"")</f>
        <v/>
      </c>
      <c r="RQ30">
        <f>$OK30</f>
        <v/>
      </c>
      <c r="RR30">
        <f>$OL30</f>
        <v/>
      </c>
      <c r="RS30">
        <f>$RP30</f>
        <v/>
      </c>
    </row>
    <row r="31">
      <c r="AH31" s="162" t="inlineStr">
        <is>
          <t>Apoio · classes 1 a 5</t>
        </is>
      </c>
      <c r="AI31" s="162" t="inlineStr">
        <is>
          <t>Um aliado a 9 m</t>
        </is>
      </c>
      <c r="AJ31" s="162" t="inlineStr">
        <is>
          <t>Um aliado a 18 m</t>
        </is>
      </c>
      <c r="AK31" s="162" t="inlineStr">
        <is>
          <t>Um aliado a 36 m</t>
        </is>
      </c>
      <c r="AL31" s="162" t="inlineStr">
        <is>
          <t>Um aliado a 90 m</t>
        </is>
      </c>
      <c r="AM31" s="162" t="inlineStr">
        <is>
          <t>Um aliado a visão a olho nu</t>
        </is>
      </c>
      <c r="AN31" s="162" t="inlineStr">
        <is>
          <t>Um aliado a visão a olho nu</t>
        </is>
      </c>
      <c r="AO31" s="162" t="inlineStr"/>
      <c r="AP31" s="162" t="inlineStr"/>
      <c r="AQ31" s="162" t="inlineStr"/>
      <c r="AR31" s="162" t="inlineStr"/>
      <c r="AS31" s="162" t="inlineStr"/>
      <c r="AT31" s="162" t="inlineStr"/>
      <c r="AV31" s="162" t="inlineStr">
        <is>
          <t>Enfeitiçado</t>
        </is>
      </c>
      <c r="AW31" s="162" t="inlineStr">
        <is>
          <t>Controle</t>
        </is>
      </c>
      <c r="AX31" s="164" t="n">
        <v>2</v>
      </c>
      <c r="AY31" s="164" t="n">
        <v>1</v>
      </c>
      <c r="AZ31" s="164" t="n">
        <v>0</v>
      </c>
      <c r="BA31" s="164" t="n">
        <v>1</v>
      </c>
      <c r="JT31" s="164">
        <f>IF(OR($AW31="",(COUNTIF($EL$2:$EP$2,$AW31)+COUNTIF($QV$2:$QY$2,$AW31))&gt;0),$AV31,"")</f>
        <v/>
      </c>
      <c r="JU31" s="164">
        <f>IF(AND($AX31=1,OR($AW31="",(COUNTIF($EL$2:$EP$2,$AW31)+COUNTIF($QV$2:$QY$2,$AW31))&gt;0)),$AV31,"")</f>
        <v/>
      </c>
      <c r="JZ31" s="164">
        <f>IF(OR($AW31="",(COUNTIF($EL$3:$EP$3,$AW31)+COUNTIF($QV$3:$QY$3,$AW31))&gt;0),$AV31,"")</f>
        <v/>
      </c>
      <c r="KA31" s="164">
        <f>IF(AND($AX31=1,OR($AW31="",(COUNTIF($EL$3:$EP$3,$AW31)+COUNTIF($QV$3:$QY$3,$AW31))&gt;0)),$AV31,"")</f>
        <v/>
      </c>
      <c r="KF31" s="164">
        <f>IF(OR($AW31="",(COUNTIF($EL$4:$EP$4,$AW31)+COUNTIF($QV$4:$QY$4,$AW31))&gt;0),$AV31,"")</f>
        <v/>
      </c>
      <c r="KG31" s="164">
        <f>IF(AND($AX31=1,OR($AW31="",(COUNTIF($EL$4:$EP$4,$AW31)+COUNTIF($QV$4:$QY$4,$AW31))&gt;0)),$AV31,"")</f>
        <v/>
      </c>
      <c r="KL31" s="164">
        <f>IF(OR($AW31="",(COUNTIF($EL$5:$EP$5,$AW31)+COUNTIF($QV$5:$QY$5,$AW31))&gt;0),$AV31,"")</f>
        <v/>
      </c>
      <c r="KM31" s="164">
        <f>IF(AND($AX31=1,OR($AW31="",(COUNTIF($EL$5:$EP$5,$AW31)+COUNTIF($QV$5:$QY$5,$AW31))&gt;0)),$AV31,"")</f>
        <v/>
      </c>
      <c r="KR31" s="164">
        <f>IF(OR($AW31="",(COUNTIF($EL$6:$EP$6,$AW31)+COUNTIF($QV$6:$QY$6,$AW31))&gt;0),$AV31,"")</f>
        <v/>
      </c>
      <c r="KS31" s="164">
        <f>IF(AND($AX31=1,OR($AW31="",(COUNTIF($EL$6:$EP$6,$AW31)+COUNTIF($QV$6:$QY$6,$AW31))&gt;0)),$AV31,"")</f>
        <v/>
      </c>
      <c r="KX31" s="164">
        <f>IF(OR($AW31="",(COUNTIF($EL$7:$EP$7,$AW31)+COUNTIF($QV$7:$QY$7,$AW31))&gt;0),$AV31,"")</f>
        <v/>
      </c>
      <c r="KY31" s="164">
        <f>IF(AND($AX31=1,OR($AW31="",(COUNTIF($EL$7:$EP$7,$AW31)+COUNTIF($QV$7:$QY$7,$AW31))&gt;0)),$AV31,"")</f>
        <v/>
      </c>
      <c r="LD31" s="164">
        <f>IF(OR($AW31="",(COUNTIF($EL$8:$EP$8,$AW31)+COUNTIF($QV$8:$QY$8,$AW31))&gt;0),$AV31,"")</f>
        <v/>
      </c>
      <c r="LE31" s="164">
        <f>IF(AND($AX31=1,OR($AW31="",(COUNTIF($EL$8:$EP$8,$AW31)+COUNTIF($QV$8:$QY$8,$AW31))&gt;0)),$AV31,"")</f>
        <v/>
      </c>
      <c r="LJ31" s="164">
        <f>IF(OR($AW31="",(COUNTIF($EL$9:$EP$9,$AW31)+COUNTIF($QV$9:$QY$9,$AW31))&gt;0),$AV31,"")</f>
        <v/>
      </c>
      <c r="LK31" s="164">
        <f>IF(AND($AX31=1,OR($AW31="",(COUNTIF($EL$9:$EP$9,$AW31)+COUNTIF($QV$9:$QY$9,$AW31))&gt;0)),$AV31,"")</f>
        <v/>
      </c>
      <c r="LP31" s="164">
        <f>IF(OR($AW31="",(COUNTIF($EL$10:$EP$10,$AW31)+COUNTIF($QV$10:$QY$10,$AW31))&gt;0),$AV31,"")</f>
        <v/>
      </c>
      <c r="LQ31" s="164">
        <f>IF(AND($AX31=1,OR($AW31="",(COUNTIF($EL$10:$EP$10,$AW31)+COUNTIF($QV$10:$QY$10,$AW31))&gt;0)),$AV31,"")</f>
        <v/>
      </c>
      <c r="LV31" s="164">
        <f>IF(OR($AW31="",(COUNTIF($EL$11:$EP$11,$AW31)+COUNTIF($QV$11:$QY$11,$AW31))&gt;0),$AV31,"")</f>
        <v/>
      </c>
      <c r="LW31" s="164">
        <f>IF(AND($AX31=1,OR($AW31="",(COUNTIF($EL$11:$EP$11,$AW31)+COUNTIF($QV$11:$QY$11,$AW31))&gt;0)),$AV31,"")</f>
        <v/>
      </c>
      <c r="MB31" s="164">
        <f>IF(OR($AW31="",(COUNTIF($EL$12:$EP$12,$AW31)+COUNTIF($QV$12:$QY$12,$AW31))&gt;0),$AV31,"")</f>
        <v/>
      </c>
      <c r="MC31" s="164">
        <f>IF(AND($AX31=1,OR($AW31="",(COUNTIF($EL$12:$EP$12,$AW31)+COUNTIF($QV$12:$QY$12,$AW31))&gt;0)),$AV31,"")</f>
        <v/>
      </c>
      <c r="MH31" s="164">
        <f>IF(OR($AW31="",(COUNTIF($EL$13:$EP$13,$AW31)+COUNTIF($QV$13:$QY$13,$AW31))&gt;0),$AV31,"")</f>
        <v/>
      </c>
      <c r="MI31" s="164">
        <f>IF(AND($AX31=1,OR($AW31="",(COUNTIF($EL$13:$EP$13,$AW31)+COUNTIF($QV$13:$QY$13,$AW31))&gt;0)),$AV31,"")</f>
        <v/>
      </c>
      <c r="MN31" s="162" t="inlineStr">
        <is>
          <t>Ficha 3 · Básica 2</t>
        </is>
      </c>
      <c r="MO31" s="164" t="n">
        <v>3</v>
      </c>
      <c r="MP31" s="164" t="n">
        <v>0</v>
      </c>
      <c r="MQ31" s="164" t="n">
        <v>11</v>
      </c>
      <c r="MR31" s="162" t="inlineStr">
        <is>
          <t>BÁSICA 2</t>
        </is>
      </c>
      <c r="MS31" s="164" t="n">
        <v>0</v>
      </c>
      <c r="MT31" s="164">
        <f>'INVOCAÇÕES'!$J$527&amp;""</f>
        <v/>
      </c>
      <c r="MU31" s="164">
        <f>'INVOCAÇÕES'!$I$532&amp;""</f>
        <v/>
      </c>
      <c r="MV31" s="164">
        <f>'INVOCAÇÕES'!$I$533&amp;""</f>
        <v/>
      </c>
      <c r="MW31" s="164">
        <f>'INVOCAÇÕES'!$K$533&amp;""</f>
        <v/>
      </c>
      <c r="MX31" s="164">
        <f>'INVOCAÇÕES'!$J$536&amp;""</f>
        <v/>
      </c>
      <c r="MY31" s="164">
        <f>'INVOCAÇÕES'!$J$537&amp;""</f>
        <v/>
      </c>
      <c r="MZ31" s="164">
        <f>'INVOCAÇÕES'!$J$538&amp;""</f>
        <v/>
      </c>
      <c r="NA31" s="164">
        <f>'INVOCAÇÕES'!$J$539&amp;""</f>
        <v/>
      </c>
      <c r="NB31" s="164">
        <f>'INVOCAÇÕES'!$J$540&amp;""</f>
        <v/>
      </c>
      <c r="NC31" s="164">
        <f>'INVOCAÇÕES'!$J$541&amp;""</f>
        <v/>
      </c>
      <c r="ND31" s="164">
        <f>IF($MT31&lt;&gt;"",1,0)</f>
        <v/>
      </c>
      <c r="NE31" s="164">
        <f>INDEX($FO$2:$FO$13,$MO31)</f>
        <v/>
      </c>
      <c r="NF31" s="164">
        <f>INDEX($FP$2:$FP$13,$MO31)</f>
        <v/>
      </c>
      <c r="NG31" s="164">
        <f>INDEX($FQ$2:$FQ$13,$MO31)</f>
        <v/>
      </c>
      <c r="NH31" s="164">
        <f>INDEX($GB$2:$GB$13,$MO31)</f>
        <v/>
      </c>
      <c r="NI31" s="164">
        <f>INDEX($GC$2:$GC$13,$MO31)</f>
        <v/>
      </c>
      <c r="NJ31" s="164">
        <f>IFERROR(MATCH(SUBSTITUTE(SUBSTITUTE(SUBSTITUTE($MU31,"~","~~"),"*","~*"),"?","~?"),'DADOS_FORMAS'!$FZ$2:$FZ$21,0),0)</f>
        <v/>
      </c>
      <c r="NK31" s="164">
        <f>IFERROR(VLOOKUP(SUBSTITUTE(SUBSTITUTE(SUBSTITUTE($MX31,"~","~~"),"*","~*"),"?","~?"),'DADOS_MELHORIAS'!$AG$2:$AL$113,2,FALSE),"")</f>
        <v/>
      </c>
      <c r="NL31" s="164">
        <f>IFERROR(VLOOKUP(SUBSTITUTE(SUBSTITUTE(SUBSTITUTE($MY31,"~","~~"),"*","~*"),"?","~?"),'DADOS_MELHORIAS'!$AG$2:$AL$113,2,FALSE),"")</f>
        <v/>
      </c>
      <c r="NM31" s="164">
        <f>IFERROR(VLOOKUP(SUBSTITUTE(SUBSTITUTE(SUBSTITUTE($MZ31,"~","~~"),"*","~*"),"?","~?"),'DADOS_MELHORIAS'!$AG$2:$AL$113,2,FALSE),"")</f>
        <v/>
      </c>
      <c r="NN31" s="164">
        <f>IFERROR(VLOOKUP(SUBSTITUTE(SUBSTITUTE(SUBSTITUTE($NA31,"~","~~"),"*","~*"),"?","~?"),'DADOS_MELHORIAS'!$AG$2:$AL$113,2,FALSE),"")</f>
        <v/>
      </c>
      <c r="NO31" s="164">
        <f>IFERROR(VLOOKUP(SUBSTITUTE(SUBSTITUTE(SUBSTITUTE($MX31,"~","~~"),"*","~*"),"?","~?"),'DADOS_MELHORIAS'!$AG$2:$AL$113,3,FALSE),0)</f>
        <v/>
      </c>
      <c r="NP31" s="164">
        <f>IFERROR(VLOOKUP(SUBSTITUTE(SUBSTITUTE(SUBSTITUTE($MY31,"~","~~"),"*","~*"),"?","~?"),'DADOS_MELHORIAS'!$AG$2:$AL$113,3,FALSE),0)</f>
        <v/>
      </c>
      <c r="NQ31" s="164">
        <f>IFERROR(VLOOKUP(SUBSTITUTE(SUBSTITUTE(SUBSTITUTE($MZ31,"~","~~"),"*","~*"),"?","~?"),'DADOS_MELHORIAS'!$AG$2:$AL$113,3,FALSE),0)</f>
        <v/>
      </c>
      <c r="NR31" s="164">
        <f>IFERROR(VLOOKUP(SUBSTITUTE(SUBSTITUTE(SUBSTITUTE($NA31,"~","~~"),"*","~*"),"?","~?"),'DADOS_MELHORIAS'!$AG$2:$AL$113,3,FALSE),0)</f>
        <v/>
      </c>
      <c r="NS31" s="164">
        <f>IF($MS31=0,0,IF($NJ31=0,0,INDEX('DADOS_FORMAS'!$GB$2:$GB$21,$NJ31)))</f>
        <v/>
      </c>
      <c r="NT31" s="164">
        <f>IF(OR($NO31=0,$MS31=0),0,$NO31+3*IF(AND($NK31&lt;&gt;"",COUNTIF(INDEX($RB$2:$RJ$13,$MO31,0),$NK31)&gt;0),1,0))</f>
        <v/>
      </c>
      <c r="NU31" s="164">
        <f>IF(OR($NP31=0,$MS31=0),0,$NP31+3*IF(AND($NL31&lt;&gt;"",COUNTIF(INDEX($RB$2:$RJ$13,$MO31,0),$NL31)&gt;0),1,0))</f>
        <v/>
      </c>
      <c r="NV31" s="164">
        <f>IF(OR($NQ31=0,$MS31=0),0,$NQ31+3*IF(AND($NM31&lt;&gt;"",COUNTIF(INDEX($RB$2:$RJ$13,$MO31,0),$NM31)&gt;0),1,0))</f>
        <v/>
      </c>
      <c r="NW31" s="164">
        <f>IF(OR($NR31=0,$MS31=0),0,$NR31+3*IF(AND($NN31&lt;&gt;"",COUNTIF(INDEX($RB$2:$RJ$13,$MO31,0),$NN31)&gt;0),1,0))</f>
        <v/>
      </c>
      <c r="NX31" s="164">
        <f>IF($NJ31=0,0,IF(INDEX('DADOS_FORMAS'!$GA$2:$GA$21,$NJ31)="",0,IF((COUNTIF(INDEX($EL$2:$EP$13,$MO31,0),INDEX('DADOS_FORMAS'!$GA$2:$GA$21,$NJ31))+COUNTIF(INDEX($QV$2:$QY$13,$MO31,0),INDEX('DADOS_FORMAS'!$GA$2:$GA$21,$NJ31)))=0,1,0)))</f>
        <v/>
      </c>
      <c r="NY31" s="164">
        <f>IF(OR($NO31=0,$NK31=""),0,IF((COUNTIF(INDEX($EL$2:$EP$13,$MO31,0),$NK31)+COUNTIF(INDEX($QV$2:$QY$13,$MO31,0),$NK31))=0,1,0))</f>
        <v/>
      </c>
      <c r="NZ31" s="164">
        <f>IF(OR($NP31=0,$NL31=""),0,IF((COUNTIF(INDEX($EL$2:$EP$13,$MO31,0),$NL31)+COUNTIF(INDEX($QV$2:$QY$13,$MO31,0),$NL31))=0,1,0))</f>
        <v/>
      </c>
      <c r="OA31" s="164">
        <f>IF(OR($NQ31=0,$NM31=""),0,IF((COUNTIF(INDEX($EL$2:$EP$13,$MO31,0),$NM31)+COUNTIF(INDEX($QV$2:$QY$13,$MO31,0),$NM31))=0,1,0))</f>
        <v/>
      </c>
      <c r="OB31" s="164">
        <f>IF(OR($NR31=0,$NN31=""),0,IF((COUNTIF(INDEX($EL$2:$EP$13,$MO31,0),$NN31)+COUNTIF(INDEX($QV$2:$QY$13,$MO31,0),$NN31))=0,1,0))</f>
        <v/>
      </c>
      <c r="OC31" s="164">
        <f>IFERROR(VLOOKUP(SUBSTITUTE(SUBSTITUTE(SUBSTITUTE($MX31,"~","~~"),"*","~*"),"?","~?"),'DADOS_MELHORIAS'!$AG$2:$AL$113,4,FALSE),0)+IFERROR(VLOOKUP(SUBSTITUTE(SUBSTITUTE(SUBSTITUTE($MY31,"~","~~"),"*","~*"),"?","~?"),'DADOS_MELHORIAS'!$AG$2:$AL$113,4,FALSE),0)+IFERROR(VLOOKUP(SUBSTITUTE(SUBSTITUTE(SUBSTITUTE($MZ31,"~","~~"),"*","~*"),"?","~?"),'DADOS_MELHORIAS'!$AG$2:$AL$113,4,FALSE),0)+IFERROR(VLOOKUP(SUBSTITUTE(SUBSTITUTE(SUBSTITUTE($NA31,"~","~~"),"*","~*"),"?","~?"),'DADOS_MELHORIAS'!$AG$2:$AL$113,4,FALSE),0)</f>
        <v/>
      </c>
      <c r="OD31" s="164">
        <f>IFERROR(VLOOKUP(SUBSTITUTE(SUBSTITUTE(SUBSTITUTE($MX31,"~","~~"),"*","~*"),"?","~?"),'DADOS_MELHORIAS'!$AG$2:$AL$113,6,FALSE),0)+IFERROR(VLOOKUP(SUBSTITUTE(SUBSTITUTE(SUBSTITUTE($MY31,"~","~~"),"*","~*"),"?","~?"),'DADOS_MELHORIAS'!$AG$2:$AL$113,6,FALSE),0)+IFERROR(VLOOKUP(SUBSTITUTE(SUBSTITUTE(SUBSTITUTE($MZ31,"~","~~"),"*","~*"),"?","~?"),'DADOS_MELHORIAS'!$AG$2:$AL$113,6,FALSE),0)+IFERROR(VLOOKUP(SUBSTITUTE(SUBSTITUTE(SUBSTITUTE($NA31,"~","~~"),"*","~*"),"?","~?"),'DADOS_MELHORIAS'!$AG$2:$AL$113,6,FALSE),0)+IFERROR(N(AND(INDEX('DADOS_FORMAS'!$AO$2:$AO$21,MATCH(SUBSTITUTE(SUBSTITUTE(SUBSTITUTE($MU31,"~","~~"),"*","~*"),"?","~?"),'DADOS_FORMAS'!$AH$2:$AH$21,0))="Acerto",$OH31=1)),0)</f>
        <v/>
      </c>
      <c r="OE31" s="164">
        <f>TEXTJOIN(", ",TRUE,IF(IFERROR(VLOOKUP(SUBSTITUTE(SUBSTITUTE(SUBSTITUTE($MX31,"~","~~"),"*","~*"),"?","~?"),'DADOS_MELHORIAS'!$AG$2:$AL$113,5,FALSE),0)=1,$MX31,""),IF(IFERROR(VLOOKUP(SUBSTITUTE(SUBSTITUTE(SUBSTITUTE($MY31,"~","~~"),"*","~*"),"?","~?"),'DADOS_MELHORIAS'!$AG$2:$AL$113,5,FALSE),0)=1,$MY31,""),IF(IFERROR(VLOOKUP(SUBSTITUTE(SUBSTITUTE(SUBSTITUTE($MZ31,"~","~~"),"*","~*"),"?","~?"),'DADOS_MELHORIAS'!$AG$2:$AL$113,5,FALSE),0)=1,$MZ31,""),IF(IFERROR(VLOOKUP(SUBSTITUTE(SUBSTITUTE(SUBSTITUTE($NA31,"~","~~"),"*","~*"),"?","~?"),'DADOS_MELHORIAS'!$AG$2:$AL$113,5,FALSE),0)=1,$NA31,""))</f>
        <v/>
      </c>
      <c r="OF31" s="164">
        <f>IF($NJ31=0,0,INDEX('DADOS_FORMAS'!$GC$2:$GC$21,$NJ31))</f>
        <v/>
      </c>
      <c r="OG31" s="164">
        <f>IF($NJ31=0,0,INDEX('DADOS_FORMAS'!$GD$2:$GD$21,$NJ31))</f>
        <v/>
      </c>
      <c r="OH31" s="164">
        <f>IF($NJ31=0,0,INDEX('DADOS_FORMAS'!$GF$2:$GF$21,$NJ31))</f>
        <v/>
      </c>
      <c r="OI31" s="164">
        <f>IFERROR(VLOOKUP(SUBSTITUTE(SUBSTITUTE(SUBSTITUTE($NB31,"~","~~"),"*","~*"),"?","~?"),'DADOS_RESTRICOES'!$M$2:$Q$54,3,FALSE),0)</f>
        <v/>
      </c>
      <c r="OJ31" s="164">
        <f>IFERROR(VLOOKUP(SUBSTITUTE(SUBSTITUTE(SUBSTITUTE($NC31,"~","~~"),"*","~*"),"?","~?"),'DADOS_RESTRICOES'!$M$2:$Q$54,3,FALSE),0)</f>
        <v/>
      </c>
      <c r="OK31" s="164">
        <f>IFERROR(VLOOKUP(SUBSTITUTE(SUBSTITUTE(SUBSTITUTE($NB31,"~","~~"),"*","~*"),"?","~?"),'DADOS_RESTRICOES'!$M$2:$Q$54,2,FALSE),"")</f>
        <v/>
      </c>
      <c r="OL31" s="164">
        <f>IFERROR(VLOOKUP(SUBSTITUTE(SUBSTITUTE(SUBSTITUTE($NC31,"~","~~"),"*","~*"),"?","~?"),'DADOS_RESTRICOES'!$M$2:$Q$54,2,FALSE),"")</f>
        <v/>
      </c>
      <c r="OM31" s="164">
        <f>COUNTIF($NS31:$NW31,1)</f>
        <v/>
      </c>
      <c r="ON31" s="164">
        <f>COUNTIF($NS31:$NW31,2)</f>
        <v/>
      </c>
      <c r="OO31" s="164">
        <f>COUNTIF($NS31:$NW31,3)</f>
        <v/>
      </c>
      <c r="OP31" s="164">
        <f>COUNTIF($NS31:$NW31,4)</f>
        <v/>
      </c>
      <c r="OQ31" s="164">
        <f>COUNTIF($NS31:$NW31,5)</f>
        <v/>
      </c>
      <c r="OR31" s="164">
        <f>COUNTIF($NS31:$NW31,6)</f>
        <v/>
      </c>
      <c r="OS31" s="164">
        <f>COUNTIF($OI31:$OJ31,1)+IF(IFERROR(INDEX('DADOS_FORMAS'!$AS$2:$AS$21,MATCH(SUBSTITUTE(SUBSTITUTE(SUBSTITUTE($MU31,"~","~~"),"*","~*"),"?","~?"),'DADOS_FORMAS'!$AH$2:$AH$21,0)),"")="",0,IFERROR(N(VLOOKUP(SUBSTITUTE(SUBSTITUTE(SUBSTITUTE(IFERROR(INDEX('DADOS_FORMAS'!$AS$2:$AS$21,MATCH(SUBSTITUTE(SUBSTITUTE(SUBSTITUTE($MU31,"~","~~"),"*","~*"),"?","~?"),'DADOS_FORMAS'!$AH$2:$AH$21,0)),""),"~","~~"),"*","~*"),"?","~?"),'DADOS_RESTRICOES'!$M$2:$Q$54,3,FALSE)=1),0))</f>
        <v/>
      </c>
      <c r="OT31" s="164">
        <f>COUNTIF($OI31:$OJ31,2)+IF(IFERROR(INDEX('DADOS_FORMAS'!$AS$2:$AS$21,MATCH(SUBSTITUTE(SUBSTITUTE(SUBSTITUTE($MU31,"~","~~"),"*","~*"),"?","~?"),'DADOS_FORMAS'!$AH$2:$AH$21,0)),"")="",0,IFERROR(N(VLOOKUP(SUBSTITUTE(SUBSTITUTE(SUBSTITUTE(IFERROR(INDEX('DADOS_FORMAS'!$AS$2:$AS$21,MATCH(SUBSTITUTE(SUBSTITUTE(SUBSTITUTE($MU31,"~","~~"),"*","~*"),"?","~?"),'DADOS_FORMAS'!$AH$2:$AH$21,0)),""),"~","~~"),"*","~*"),"?","~?"),'DADOS_RESTRICOES'!$M$2:$Q$54,3,FALSE)=2),0))</f>
        <v/>
      </c>
      <c r="OU31" s="164">
        <f>COUNTIF($MX31:$NA31,"?*")</f>
        <v/>
      </c>
      <c r="OV31" s="164">
        <f>COUNTIF($NB31:$NC31,"?*")+$OF31</f>
        <v/>
      </c>
      <c r="OW31" s="164">
        <f>IF($MS31=0,0,SUMPRODUCT($OM31:$OR31,INDEX($I$2:$N$8,MAX(1,$MS31),0)))</f>
        <v/>
      </c>
      <c r="OX31" s="164">
        <f>IF($MS31=0,0,$OS31*CEILING($MS31/2,1)+$OT31*$MS31)</f>
        <v/>
      </c>
      <c r="OY31" s="164">
        <f>MIN(2*$MS31,$OX31)</f>
        <v/>
      </c>
      <c r="OZ31" s="164">
        <f>MIN($OY31,$OW31-IF($NS31=0,0,INDEX($I$2:$N$8,MAX(1,$MS31),$NS31)))</f>
        <v/>
      </c>
      <c r="PA31" s="164">
        <f>$OY31-$OZ31</f>
        <v/>
      </c>
      <c r="PB31" s="164">
        <f>IF($MS31=0,0,INDEX($P$2:$P$8,MAX(1,$MS31)))</f>
        <v/>
      </c>
      <c r="PC31" s="164">
        <f>$PB31-$OW31+$OZ31</f>
        <v/>
      </c>
      <c r="PD31" s="164">
        <f>IF($MS31=0,MAX(0,$NG31-IF(AND($OU31&gt;0,COUNTIF($NB31:$NC31,"?*")=0),1,0)),MAX(0,$PC31))</f>
        <v/>
      </c>
      <c r="PE31" s="164">
        <f>IF($MS31=0,0,(IF(COUNTIF($RK31:$RN31,"Salto")&gt;0,1,0)+IF(COUNTIF($RK31:$RN31,"Queima")&gt;0,1,0)+IF(COUNTIF($RK31:$RN31,"Estilhaço")&gt;0,1,0))*FLOOR($PD31/2,1))</f>
        <v/>
      </c>
      <c r="PF31" s="164">
        <f>MAX(0,2-SUMPRODUCT($OM31:$OR31,$I$2:$N$2)+MIN(2,$OS31*1+$OT31*1,SUMPRODUCT($OM31:$OR31,$I$2:$N$2)-IF($NS31=0,0,INDEX($I$2:$N$2,1,$NS31))))</f>
        <v/>
      </c>
      <c r="PG31" s="164">
        <f>MAX(0,4-SUMPRODUCT($OM31:$OR31,$I$3:$N$3)+MIN(4,$OS31*1+$OT31*2,SUMPRODUCT($OM31:$OR31,$I$3:$N$3)-IF($NS31=0,0,INDEX($I$3:$N$3,1,$NS31))))</f>
        <v/>
      </c>
      <c r="PH31" s="164">
        <f>MAX(0,6-SUMPRODUCT($OM31:$OR31,$I$4:$N$4)+MIN(6,$OS31*2+$OT31*3,SUMPRODUCT($OM31:$OR31,$I$4:$N$4)-IF($NS31=0,0,INDEX($I$4:$N$4,1,$NS31))))</f>
        <v/>
      </c>
      <c r="PI31" s="164">
        <f>MAX(0,9-SUMPRODUCT($OM31:$OR31,$I$5:$N$5)+MIN(8,$OS31*2+$OT31*4,SUMPRODUCT($OM31:$OR31,$I$5:$N$5)-IF($NS31=0,0,INDEX($I$5:$N$5,1,$NS31))))</f>
        <v/>
      </c>
      <c r="PJ31" s="164">
        <f>MAX(0,11-SUMPRODUCT($OM31:$OR31,$I$6:$N$6)+MIN(10,$OS31*3+$OT31*5,SUMPRODUCT($OM31:$OR31,$I$6:$N$6)-IF($NS31=0,0,INDEX($I$6:$N$6,1,$NS31))))</f>
        <v/>
      </c>
      <c r="PK31" s="164">
        <f>MAX(0,13-SUMPRODUCT($OM31:$OR31,$I$7:$N$7)+MIN(12,$OS31*3+$OT31*6,SUMPRODUCT($OM31:$OR31,$I$7:$N$7)-IF($NS31=0,0,INDEX($I$7:$N$7,1,$NS31))))</f>
        <v/>
      </c>
      <c r="PL31" s="164">
        <f>MAX(0,16-SUMPRODUCT($OM31:$OR31,$I$8:$N$8)+MIN(14,$OS31*4+$OT31*7,SUMPRODUCT($OM31:$OR31,$I$8:$N$8)-IF($NS31=0,0,INDEX($I$8:$N$8,1,$NS31))))</f>
        <v/>
      </c>
      <c r="PM31" s="164">
        <f>IF($OG31=2,3*$PF31&amp;" de vida temp.",IF($OG31=3,"sem dano",IF($PF31=0,IF($OG31=1,"sem cura","sem dano"),IF($OG31=1,"cura ","")&amp;$PF31&amp;"d8")))</f>
        <v/>
      </c>
      <c r="PN31" s="164">
        <f>IF($OG31=2,3*$PG31&amp;" de vida temp.",IF($OG31=3,"sem dano",IF($PG31=0,IF($OG31=1,"sem cura","sem dano"),IF($OG31=1,"cura ","")&amp;$PG31&amp;"d8")))</f>
        <v/>
      </c>
      <c r="PO31" s="164">
        <f>IF($OG31=2,3*$PH31&amp;" de vida temp.",IF($OG31=3,"sem dano",IF($PH31=0,IF($OG31=1,"sem cura","sem dano"),IF($OG31=1,"cura ","")&amp;$PH31&amp;"d8")))</f>
        <v/>
      </c>
      <c r="PP31" s="164">
        <f>IF($OG31=2,3*$PI31&amp;" de vida temp.",IF($OG31=3,"sem dano",IF($PI31=0,IF($OG31=1,"sem cura","sem dano"),IF($OG31=1,"cura ","")&amp;$PI31&amp;"d8")))</f>
        <v/>
      </c>
      <c r="PQ31" s="164">
        <f>IF($OG31=2,3*$PJ31&amp;" de vida temp.",IF($OG31=3,"sem dano",IF($PJ31=0,IF($OG31=1,"sem cura","sem dano"),IF($OG31=1,"cura ","")&amp;$PJ31&amp;"d8")))</f>
        <v/>
      </c>
      <c r="PR31" s="164">
        <f>IF($OG31=2,3*$PK31&amp;" de vida temp.",IF($OG31=3,"sem dano",IF($PK31=0,IF($OG31=1,"sem cura","sem dano"),IF($OG31=1,"cura ","")&amp;$PK31&amp;"d8")))</f>
        <v/>
      </c>
      <c r="PS31" s="164">
        <f>IF($OG31=2,3*$PL31&amp;" de vida temp.",IF($OG31=3,"sem dano",IF($PL31=0,IF($OG31=1,"sem cura","sem dano"),IF($OG31=1,"cura ","")&amp;$PL31&amp;"d8")))</f>
        <v/>
      </c>
      <c r="PT31" s="164">
        <f>IF($ND31=0,"",TEXTJOIN(" · ",TRUE,IF($ND31=0,"",TEXTJOIN(" · ",TRUE,IF($ND31=0,"",TEXTJOIN(" · ",TRUE,IF($MQ31&gt;$NE31,"Este lugar abre no nível "&amp;$MQ31,""),IF($MS31&gt;$NF31,"Classe "&amp;$MS31&amp;": o nível "&amp;$NE31&amp;" libera até a "&amp;$NF31,""),IF($NX31=1,"A Forma "&amp;$MU31&amp;" pede "&amp;INDEX('DADOS_FORMAS'!$GA$2:$GA$21,$NJ31)&amp;" aberta",""),IF(AND($MS31=0,$NJ31&gt;0,IF($NJ31=0,0,INDEX('DADOS_FORMAS'!$GJ$2:$GJ$21,$NJ31))=0),$MU31&amp;" não existe na Classe 0",""),IF($NY31=1,"Família Fechada: "&amp;$MX31,""),IF($NZ31=1,"Família Fechada: "&amp;$MY31,""),IF($OA31=1,"Família Fechada: "&amp;$MZ31,""),IF($OB31=1,"Família Fechada: "&amp;$NA31,""),IF(AND($MS31&gt;0,$OU31&gt;INDEX($O$2:$O$8,MAX(1,$MS31))),$OU31&amp;" Melhorias: a Classe "&amp;$MS31&amp;" aceita "&amp;INDEX($O$2:$O$8,MAX(1,$MS31)),""),IF(AND($MS31=0,$OU31&gt;1),"A básica aceita uma Melhoria",""),IF(AND($MS31=0,COUNTIF($NO31:$NR31,"&gt;1")&gt;0),"A básica só aceita Melhoria Leve",""),IF(AND($MS31&gt;0,$OV31&gt;2),$OV31&amp;" Restrições"&amp;IF($OF31=1,", contando a que a Forma "&amp;$MU31&amp;" já traz","")&amp;": o limite é 2",""),IF(AND($MS31=0,COUNTIF($NB31:$NC31,"?*")&gt;1),"A básica aceita uma Restrição Leve",""),IF(AND($MS31=0,COUNTIF($OI31:$OJ31,2)&gt;0),"A básica só aceita Restrição Leve",""),IF(AND($MS31&gt;0,$PC31&lt;0),"Orçamento estourado: faltam "&amp;(-$PC31)&amp;IF($PC31&lt;-1," pontos"," ponto"),""),IF(IFERROR(VLOOKUP(SUBSTITUTE(SUBSTITUTE(SUBSTITUTE($NB31,"~","~~"),"*","~*"),"?","~?"),'DADOS_RESTRICOES'!$M$2:$Q$54,4,FALSE),0)+IFERROR(VLOOKUP(SUBSTITUTE(SUBSTITUTE(SUBSTITUTE($NC31,"~","~~"),"*","~*"),"?","~?"),'DADOS_RESTRICOES'!$M$2:$Q$54,4,FALSE),0)&gt;1,$OK31&amp;" e "&amp;$OL31&amp;" são as duas de frequência",""),IF(AND((COUNTIF($RK31:$RN31,"Rápido")+COUNTIF($OK31:$OL31,"Rápido"))&gt;0,(COUNTIF($MX31:$NA31,"Atrasar")+COUNTIF($OK31:$OL31,"Atrasar"))&gt;0),"Rápido não entra com Atrasar",""),IF(AND((COUNTIF($RK31:$RN31,"Reação")+COUNTIF($OK31:$OL31,"Reação"))&gt;0,(COUNTIF($RK31:$RN31,"Rápido")+COUNTIF($OK31:$OL31,"Rápido"))&gt;0),"Reação não entra com Rápido",""),IF(AND((COUNTIF($RK31:$RN31,"Reação")+COUNTIF($OK31:$OL31,"Reação"))&gt;0,(COUNTIF($RK31:$RN31,"Armado")+COUNTIF($OK31:$OL31,"Armado"))&gt;0),"Reação não entra com Armado",""),IF(AND((COUNTIF($RK31:$RN31,"Reação")+COUNTIF($OK31:$OL31,"Reação"))&gt;0,(COUNTIF($MX31:$NA31,"Atrasar")+COUNTIF($OK31:$OL31,"Atrasar"))&gt;0),"Reação não entra com Atrasar",""),IF(AND((COUNTIF($RK31:$RN31,"Reação")+COUNTIF($OK31:$OL31,"Reação"))&gt;0,(COUNTIF($MX31:$NA31,"Parado")+COUNTIF($OK31:$OL31,"Parado"))&gt;0),"Reação não entra com Parado",""),IF(AND((COUNTIF($MX31:$NA31,"Atrasar")+COUNTIF($OK31:$OL31,"Atrasar"))&gt;0,(COUNTIF($MX31:$NA31,"Parado")+COUNTIF($OK31:$OL31,"Parado"))&gt;0),"Atrasar não entra com Parado",""),IF(AND((COUNTIF($RK31:$RN31,"Armado")+COUNTIF($OK31:$OL31,"Armado"))&gt;0,(COUNTIF($MX31:$NA31,"Carregar")+COUNTIF($OK31:$OL31,"Carregar"))&gt;0),"Armado não entra com Carregar",""),IF(AND(COUNTIF($OK31:$OL31,"Corpo a Corpo")&gt;0,$OF31=0,OR($RO31="Cone",$RO31="Linha")),"Corpo a Corpo não entra em "&amp;$MU31,""),IF(AND(COUNTIF($OK31:$OL31,"Corpo a Corpo")&gt;0,$RP31="Corpo a Corpo"),"A Forma "&amp;$MU31&amp;" já traz o Corpo a Corpo",""),IF(AND(COUNTIF($OK31:$OL31,"Tudo ou Nada")&gt;0,$OH31=0),"Tudo ou Nada só entra em habilidade de Teste de Resistência",""),IF(AND(COUNTIF($RK31:$RN31,"Inescapável")&gt;0,OR($OU31&gt;1,$OV31&gt;0)),"Inescapável não aceita outra peça",""),IF(AND($MS31&gt;0,$PD31*IF(COUNTIF($RK31:$RN31,"Remate")&gt;0,1.25,1)+$PE31&gt;4*$MS31),($PD31*IF(COUNTIF($RK31:$RN31,"Remate")&gt;0,1.25,1)+$PE31)&amp;" dados somando repetições"&amp;IF(COUNTIF($RK31:$RN31,"Remate")&gt;0," e o Remate","")&amp;": o teto da Classe "&amp;$MS31&amp;" é "&amp;4*$MS31,""))),IF(AND($MX31&lt;&gt;"",COUNTIF('DADOS_MELHORIAS'!$O$2:$O$113,SUBSTITUTE(SUBSTITUTE(SUBSTITUTE($MX31,"~","~~"),"*","~*"),"?","~?"))=0),"Melhoria não cadastrada ou com erro: "&amp;$MX31,""),IF(AND($MY31&lt;&gt;"",COUNTIF('DADOS_MELHORIAS'!$O$2:$O$113,SUBSTITUTE(SUBSTITUTE(SUBSTITUTE($MY31,"~","~~"),"*","~*"),"?","~?"))=0),"Melhoria não cadastrada ou com erro: "&amp;$MY31,""),IF(AND($MZ31&lt;&gt;"",COUNTIF('DADOS_MELHORIAS'!$O$2:$O$113,SUBSTITUTE(SUBSTITUTE(SUBSTITUTE($MZ31,"~","~~"),"*","~*"),"?","~?"))=0),"Melhoria não cadastrada ou com erro: "&amp;$MZ31,""),IF(AND($NA31&lt;&gt;"",COUNTIF('DADOS_MELHORIAS'!$O$2:$O$113,SUBSTITUTE(SUBSTITUTE(SUBSTITUTE($NA31,"~","~~"),"*","~*"),"?","~?"))=0),"Melhoria não cadastrada ou com erro: "&amp;$NA31,""),IF(AND($NB31&lt;&gt;"",COUNTIF('DADOS_RESTRICOES'!$M$2:$M$54,SUBSTITUTE(SUBSTITUTE(SUBSTITUTE($NB31,"~","~~"),"*","~*"),"?","~?"))=0),"Restrição não cadastrada ou com erro: "&amp;$NB31,""),IF(AND($NC31&lt;&gt;"",COUNTIF('DADOS_RESTRICOES'!$M$2:$M$54,SUBSTITUTE(SUBSTITUTE(SUBSTITUTE($NC31,"~","~~"),"*","~*"),"?","~?"))=0),"Restrição não cadastrada ou com erro: "&amp;$NC31,""))),IF(AND($MU31&lt;&gt;"",COUNTIF('DADOS_FORMAS'!$AH$2:$AH$21,SUBSTITUTE(SUBSTITUTE(SUBSTITUTE($MU31,"~","~~"),"*","~*"),"?","~?"))=0),"Forma não cadastrada ou com erro: "&amp;$MU31,""),IF(AND(IFERROR(INDEX('DADOS_FORMAS'!$AS$2:$AS$21,MATCH(SUBSTITUTE(SUBSTITUTE(SUBSTITUTE($MU31,"~","~~"),"*","~*"),"?","~?"),'DADOS_FORMAS'!$AH$2:$AH$21,0)),"")&lt;&gt;"",OR(IFERROR(VLOOKUP(SUBSTITUTE(SUBSTITUTE(SUBSTITUTE(IFERROR(INDEX('DADOS_FORMAS'!$AS$2:$AS$21,MATCH(SUBSTITUTE(SUBSTITUTE(SUBSTITUTE($MU31,"~","~~"),"*","~*"),"?","~?"),'DADOS_FORMAS'!$AH$2:$AH$21,0)),""),"~","~~"),"*","~*"),"?","~?"),'DADOS_RESTRICOES'!$M$2:$Q$54,2,FALSE),"")=$OK31,IFERROR(VLOOKUP(SUBSTITUTE(SUBSTITUTE(SUBSTITUTE(IFERROR(INDEX('DADOS_FORMAS'!$AS$2:$AS$21,MATCH(SUBSTITUTE(SUBSTITUTE(SUBSTITUTE($MU31,"~","~~"),"*","~*"),"?","~?"),'DADOS_FORMAS'!$AH$2:$AH$21,0)),""),"~","~~"),"*","~*"),"?","~?"),'DADOS_RESTRICOES'!$M$2:$Q$54,2,FALSE),"")=$OL31)),"Restrição repetida, contando a embutida",""),IF(IF(IFERROR(INDEX('DADOS_FORMAS'!$AS$2:$AS$21,MATCH(SUBSTITUTE(SUBSTITUTE(SUBSTITUTE($MU31,"~","~~"),"*","~*"),"?","~?"),'DADOS_FORMAS'!$AH$2:$AH$21,0)),"")="",0,IFERROR(N(VLOOKUP(SUBSTITUTE(SUBSTITUTE(SUBSTITUTE(IFERROR(INDEX('DADOS_FORMAS'!$AS$2:$AS$21,MATCH(SUBSTITUTE(SUBSTITUTE(SUBSTITUTE($MU31,"~","~~"),"*","~*"),"?","~?"),'DADOS_FORMAS'!$AH$2:$AH$21,0)),""),"~","~~"),"*","~*"),"?","~?"),'DADOS_RESTRICOES'!$M$2:$Q$54,4,FALSE)=1),0))+IF($NB31="",0,IFERROR(N(VLOOKUP(SUBSTITUTE(SUBSTITUTE(SUBSTITUTE($NB31,"~","~~"),"*","~*"),"?","~?"),'DADOS_RESTRICOES'!$M$2:$Q$54,4,FALSE)=1),0))+IF($NC31="",0,IFERROR(N(VLOOKUP(SUBSTITUTE(SUBSTITUTE(SUBSTITUTE($NC31,"~","~~"),"*","~*"),"?","~?"),'DADOS_RESTRICOES'!$M$2:$Q$54,4,FALSE)=1),0))&gt;1,"Duas Restrições de frequência, contando a embutida",""),IF(AND(IFERROR(VLOOKUP(SUBSTITUTE(SUBSTITUTE(SUBSTITUTE(IFERROR(INDEX('DADOS_FORMAS'!$AS$2:$AS$21,MATCH(SUBSTITUTE(SUBSTITUTE(SUBSTITUTE($MU31,"~","~~"),"*","~*"),"?","~?"),'DADOS_FORMAS'!$AH$2:$AH$21,0)),""),"~","~~"),"*","~*"),"?","~?"),'DADOS_RESTRICOES'!$M$2:$Q$54,2,FALSE),"")="Tudo ou Nada",$OH31=0),"Tudo ou Nada exige TR",""),IF(AND(IFERROR(VLOOKUP(SUBSTITUTE(SUBSTITUTE(SUBSTITUTE(IFERROR(INDEX('DADOS_FORMAS'!$AS$2:$AS$21,MATCH(SUBSTITUTE(SUBSTITUTE(SUBSTITUTE($MU31,"~","~~"),"*","~*"),"?","~?"),'DADOS_FORMAS'!$AH$2:$AH$21,0)),""),"~","~~"),"*","~*"),"?","~?"),'DADOS_RESTRICOES'!$M$2:$Q$54,2,FALSE),"")="Corpo a Corpo",OR($RO31="Cone",$RO31="Linha")),"Corpo a Corpo não entra em Cone/Linha","")))</f>
        <v/>
      </c>
      <c r="PU31" s="164">
        <f>IF($PT31="",0,(LEN($PT31)-LEN(SUBSTITUTE($PT31," · ","")))/3+1)</f>
        <v/>
      </c>
      <c r="PV31" s="164">
        <f>IF($ND31=0,"",TEXTJOIN(" · ",TRUE,IF($OX31&gt;2*$MS31,"A devolução parou no teto de "&amp;2*$MS31,""),IF($PA31&gt;0,"Devolução perdida: "&amp;$PA31&amp;IF($PA31&gt;1," pontos"," ponto")&amp;" sem Melhoria para pagar",""),IF(AND($OC31&gt;0,AND($MS31&gt;0,$OG31=0),$PD31=0),"Controle sem dano: uma rodada a mais e CD +2",""),IF(AND($OC31&gt;0,AND($MS31&gt;0,$OG31=0),$PD31&gt;0,$PD31&lt;=$MS31),"Controle com saldo até a Classe: uma rodada a mais",""),IF(AND($MS31&gt;0,$OE31&lt;&gt;""),"Efeito de "&amp;$OE31&amp;" pela Classe "&amp;MAX(1,$MS31-1),"")))</f>
        <v/>
      </c>
      <c r="PW31" s="164">
        <f>IF($PV31="",0,(LEN($PV31)-LEN(SUBSTITUTE($PV31," · ","")))/3+1)</f>
        <v/>
      </c>
      <c r="PX31" s="164">
        <f>IF($ND31=0,IF($OU31+COUNTIF($NB31:$NC31,"?*")&gt;0,"Dê um nome",""),IF($PU31&gt;0,"⚠ "&amp;$PU31&amp;IF($PU31&gt;1," erros"," erro"),IF($PW31&gt;0,"! "&amp;$PW31&amp;IF($PW31&gt;1," avisos"," aviso"),"Na regra")))</f>
        <v/>
      </c>
      <c r="PY31" s="164">
        <f>IF($ND31=0,"",IF($PU31+$PW31=0,"Dentro das regras que a ficha confere",$PT31&amp;IF(AND($PU31&gt;0,$PW31&gt;0)," · ","")&amp;$PV31))</f>
        <v/>
      </c>
      <c r="PZ31" s="164">
        <f>IF($MQ31&gt;$NE31,$MR31&amp;" · ABRE NO NÍVEL "&amp;$MQ31,$MR31)</f>
        <v/>
      </c>
      <c r="QA31" s="164">
        <f>IF($ND31=0,"",IF($MS31=0,"Sem PE",3*$MS31&amp;" PE"))</f>
        <v/>
      </c>
      <c r="QB31" s="164">
        <f>IF($ND31=0,"",IF($MS31=0,"A atuação básica dela",IF(COUNTIF($RQ31:$RS31,"Atrasar")&gt;0,"Sua Ação Completa",IF(COUNTIF($RK31:$RN31,"Rápido")&gt;0,"Sua Bônus",IF(COUNTIF($RK31:$RN31,"Reação")&gt;0,"Sua Reação","Sua Padrão")))&amp;" + a básica dela"&amp;IF(COUNTIF($RK31:$RN31,"Reação")&gt;0," e a coletiva","")&amp;IF(COUNTIF($RQ31:$RS31,"Carregar")&gt;0," · em dois turnos","")))</f>
        <v/>
      </c>
      <c r="QC31" s="164">
        <f>IF($MW31&lt;&gt;"",$MW31,IF($NJ31=0,"",INDEX('DADOS_FORMAS'!$GE$2:$GE$21,$NJ31)))</f>
        <v/>
      </c>
      <c r="QD31" s="164">
        <f>IF(OR($ND31=0,$NJ31=0),"",IF(COUNTIF($RK31:$RN31,"Inescapável")&gt;0,"Automático",IF($QC31="Ataque",IF($NH31="","Ataque","Ataque "&amp;IF(($NH31+2*IF(COUNTIF($RK31:$RN31,"Precisão")&gt;0,1,0))&gt;=0,"+","−")&amp;ABS(($NH31+2*IF(COUNTIF($RK31:$RN31,"Precisão")&gt;0,1,0))))&amp;IF($OD31&gt;0," · TR"&amp;IF($NI31="",""," CD "&amp;$NI31),""),IF(LEFT($QC31,2)="TR",$QC31&amp;IF($NI31="",""," · CD "&amp;$NI31)&amp;IF(COUNTIF($RK31:$RN31,"Certeiro")&gt;0," · metade",""),"Sem rolagem"))))</f>
        <v/>
      </c>
      <c r="QE31" s="164">
        <f>IF(OR($ND31=0,$NJ31=0),"",IF($MS31=0,IF(OR($OG31&gt;=1,$PD31=0),"Sem dano",$PD31&amp;"d6"&amp;IF($MV31="",""," "&amp;$MV31)),IF(OR($OG31&gt;=1,$PD31=0),UPPER(LEFT(INDEX($PM31:$PS31,1,MAX(1,$MS31)),1))&amp;MID(INDEX($PM31:$PS31,1,MAX(1,$MS31)),2,99),UPPER(LEFT(INDEX($PM31:$PS31,1,MAX(1,$MS31)),1))&amp;MID(INDEX($PM31:$PS31,1,MAX(1,$MS31)),2,99)&amp;IF($MV31="",""," "&amp;$MV31)&amp;IF($PE31&gt;0," · +"&amp;$PE31&amp;"d8",""))))</f>
        <v/>
      </c>
      <c r="QF31" s="164">
        <f>COUNTIF($RK31:$RN31,"Longe")+3*COUNTIF($RK31:$RN31,"Muito Longe")</f>
        <v/>
      </c>
      <c r="QG31" s="164">
        <f>COUNTIF($RK31:$RN31,"Maior")+3*COUNTIF($RK31:$RN31,"Muito Maior")</f>
        <v/>
      </c>
      <c r="QH31" s="164">
        <f>IF($NJ31=0,0,CHOOSE(1+INDEX('DADOS_FORMAS'!$GG$2:$GG$21,$NJ31),0,$QF31,$QG31,$QF31+$QG31))</f>
        <v/>
      </c>
      <c r="QI31" s="164">
        <f>IF($NJ31=0,0,CHOOSE(1+INDEX('DADOS_FORMAS'!$GH$2:$GH$21,$NJ31),0,$QF31,$QG31,$QF31+$QG31))</f>
        <v/>
      </c>
      <c r="QJ31" s="164">
        <f>IF(OR($ND31=0,$NJ31=0),"",INDEX('DADOS_FORMAS'!$HU$2:$HZ$81,($NJ31-1)*4+IF($MS31=0,1,IF($MS31&lt;=5,2,IF($MS31=6,3,4))),1+MIN(5,$QH31))&amp;INDEX('DADOS_FORMAS'!$IA$2:$IF$81,($NJ31-1)*4+IF($MS31=0,1,IF($MS31&lt;=5,2,IF($MS31=6,3,4))),1+MIN(5,$QI31))&amp;IF(INDEX('DADOS_FORMAS'!$GI$2:$GI$21,$NJ31)=1,IF(COUNTIF($RK31:$RN31,"Mais Um")&gt;0," · +"&amp;COUNTIF($RK31:$RN31,"Mais Um")&amp;IF(COUNTIF($RK31:$RN31,"Mais Um")&gt;1," alvos"," alvo"),"")&amp;IF(COUNTIF($RK31:$RN31,"Rajada")&gt;0,IF($MS31=0," · 1 tiro"," · "&amp;(MAX(1,$MS31-1)+1)&amp;" tiros"),""),""))</f>
        <v/>
      </c>
      <c r="QK31" s="164">
        <f>IF($ND31=0,"",IF($MS31=0,$NG31&amp;"d6"&amp;IF($OU31&gt;0," − 1 = "&amp;$PD31&amp;"d6"," da básica do nível "&amp;$NE31),$PB31&amp;" − "&amp;$OW31&amp;" + "&amp;$OZ31&amp;" = "&amp;$PC31&amp;" · teto "&amp;4*$MS31&amp;"d8"&amp;IF($OF31=1," · a Forma devolve "&amp;$MS31,"")&amp;IF($PA31&gt;0," · perde "&amp;$PA31,"")))</f>
        <v/>
      </c>
      <c r="QL31" s="164">
        <f>IF($ND31=0,"",IF($MS31=0,"A básica não amplia: os dados dela sobem com o nível",IF($MS31&gt;=$NF31,"Já está na maior Classe que o nível liberou",TEXTJOIN(" · ",TRUE,IF(AND(2&gt;$MS31,2&lt;=$NF31),"2 → "&amp;$PN31&amp;", 6 PE",""),IF(AND(3&gt;$MS31,3&lt;=$NF31),"3 → "&amp;$PO31&amp;", 9 PE",""),IF(AND(4&gt;$MS31,4&lt;=$NF31),"4 → "&amp;$PP31&amp;", 12 PE",""),IF(AND(5&gt;$MS31,5&lt;=$NF31),"5 → "&amp;$PQ31&amp;", 15 PE",""),IF(AND(6&gt;$MS31,6&lt;=$NF31),"6 → "&amp;$PR31&amp;", 18 PE",""),IF(AND(7&gt;$MS31,7&lt;=$NF31),"7 → "&amp;$PS31&amp;", 21 PE","")))))</f>
        <v/>
      </c>
      <c r="QM31" s="164">
        <f>IF(OR($ND31=0,$NO31=0),"",IF($MS31=0,"−1 dado","−"&amp;INDEX($I$2:$N$8,MAX(1,$MS31),MAX(1,$NT31))&amp;" · "&amp;CHOOSE(MAX(1,$NT31),"Leve","Média","Pesada","Leve · Livre","Média · Livre","Pesada · Livre")))</f>
        <v/>
      </c>
      <c r="QN31" s="164">
        <f>IF(OR($ND31=0,$NP31=0),"",IF($MS31=0,"−1 dado","−"&amp;INDEX($I$2:$N$8,MAX(1,$MS31),MAX(1,$NU31))&amp;" · "&amp;CHOOSE(MAX(1,$NU31),"Leve","Média","Pesada","Leve · Livre","Média · Livre","Pesada · Livre")))</f>
        <v/>
      </c>
      <c r="QO31" s="164">
        <f>IF(OR($ND31=0,$NQ31=0),"",IF($MS31=0,"−1 dado","−"&amp;INDEX($I$2:$N$8,MAX(1,$MS31),MAX(1,$NV31))&amp;" · "&amp;CHOOSE(MAX(1,$NV31),"Leve","Média","Pesada","Leve · Livre","Média · Livre","Pesada · Livre")))</f>
        <v/>
      </c>
      <c r="QP31" s="164">
        <f>IF(OR($ND31=0,$NR31=0),"",IF($MS31=0,"−1 dado","−"&amp;INDEX($I$2:$N$8,MAX(1,$MS31),MAX(1,$NW31))&amp;" · "&amp;CHOOSE(MAX(1,$NW31),"Leve","Média","Pesada","Leve · Livre","Média · Livre","Pesada · Livre")))</f>
        <v/>
      </c>
      <c r="QQ31" s="164">
        <f>IF(OR($ND31=0,$NB31=""),"",IF($MS31=0,"não devolve","+"&amp;IF($OI31=1,CEILING($MS31/2,1),$MS31)))</f>
        <v/>
      </c>
      <c r="QR31" s="164">
        <f>IF(OR($ND31=0,$NC31=""),"",IF($MS31=0,"não devolve","+"&amp;IF($OJ31=1,CEILING($MS31/2,1),$MS31)))</f>
        <v/>
      </c>
      <c r="RK31">
        <f>IF($MX31="","",IFERROR(VLOOKUP(SUBSTITUTE(SUBSTITUTE(SUBSTITUTE($MX31,"~","~~"),"*","~*"),"?","~?"),'DADOS_MELHORIAS'!$O$2:$X$113,10,FALSE),$MX31))</f>
        <v/>
      </c>
      <c r="RL31">
        <f>IF($MY31="","",IFERROR(VLOOKUP(SUBSTITUTE(SUBSTITUTE(SUBSTITUTE($MY31,"~","~~"),"*","~*"),"?","~?"),'DADOS_MELHORIAS'!$O$2:$X$113,10,FALSE),$MY31))</f>
        <v/>
      </c>
      <c r="RM31">
        <f>IF($MZ31="","",IFERROR(VLOOKUP(SUBSTITUTE(SUBSTITUTE(SUBSTITUTE($MZ31,"~","~~"),"*","~*"),"?","~?"),'DADOS_MELHORIAS'!$O$2:$X$113,10,FALSE),$MZ31))</f>
        <v/>
      </c>
      <c r="RN31">
        <f>IF($NA31="","",IFERROR(VLOOKUP(SUBSTITUTE(SUBSTITUTE(SUBSTITUTE($NA31,"~","~~"),"*","~*"),"?","~?"),'DADOS_MELHORIAS'!$O$2:$X$113,10,FALSE),$NA31))</f>
        <v/>
      </c>
      <c r="RO31">
        <f>IFERROR(INDEX('DADOS_FORMAS'!$BJ$2:$BJ$21,MATCH(SUBSTITUTE(SUBSTITUTE(SUBSTITUTE($MU31,"~","~~"),"*","~*"),"?","~?"),'DADOS_FORMAS'!$AH$2:$AH$21,0)),"")</f>
        <v/>
      </c>
      <c r="RP31">
        <f>IFERROR(VLOOKUP(SUBSTITUTE(SUBSTITUTE(SUBSTITUTE(IFERROR(INDEX('DADOS_FORMAS'!$AS$2:$AS$21,MATCH(SUBSTITUTE(SUBSTITUTE(SUBSTITUTE($MU31,"~","~~"),"*","~*"),"?","~?"),'DADOS_FORMAS'!$AH$2:$AH$21,0)),""),"~","~~"),"*","~*"),"?","~?"),'DADOS_RESTRICOES'!$M$2:$Q$54,2,FALSE),"")</f>
        <v/>
      </c>
      <c r="RQ31">
        <f>$OK31</f>
        <v/>
      </c>
      <c r="RR31">
        <f>$OL31</f>
        <v/>
      </c>
      <c r="RS31">
        <f>$RP31</f>
        <v/>
      </c>
    </row>
    <row r="32">
      <c r="AH32" s="162" t="inlineStr">
        <is>
          <t>Apoio · classe 6</t>
        </is>
      </c>
      <c r="AI32" s="162" t="inlineStr">
        <is>
          <t>Um aliado a 18 m</t>
        </is>
      </c>
      <c r="AJ32" s="162" t="inlineStr">
        <is>
          <t>Um aliado a 36 m</t>
        </is>
      </c>
      <c r="AK32" s="162" t="inlineStr">
        <is>
          <t>Um aliado a 90 m</t>
        </is>
      </c>
      <c r="AL32" s="162" t="inlineStr">
        <is>
          <t>Um aliado a visão a olho nu</t>
        </is>
      </c>
      <c r="AM32" s="162" t="inlineStr">
        <is>
          <t>Um aliado a visão a olho nu</t>
        </is>
      </c>
      <c r="AN32" s="162" t="inlineStr">
        <is>
          <t>Um aliado a visão a olho nu</t>
        </is>
      </c>
      <c r="AO32" s="162" t="inlineStr"/>
      <c r="AP32" s="162" t="inlineStr"/>
      <c r="AQ32" s="162" t="inlineStr"/>
      <c r="AR32" s="162" t="inlineStr"/>
      <c r="AS32" s="162" t="inlineStr"/>
      <c r="AT32" s="162" t="inlineStr"/>
      <c r="AV32" s="162" t="inlineStr">
        <is>
          <t>Impedido</t>
        </is>
      </c>
      <c r="AW32" s="162" t="inlineStr">
        <is>
          <t>Controle</t>
        </is>
      </c>
      <c r="AX32" s="164" t="n">
        <v>3</v>
      </c>
      <c r="AY32" s="164" t="n">
        <v>1</v>
      </c>
      <c r="AZ32" s="164" t="n">
        <v>0</v>
      </c>
      <c r="BA32" s="164" t="n">
        <v>1</v>
      </c>
      <c r="JT32" s="164">
        <f>IF(OR($AW32="",(COUNTIF($EL$2:$EP$2,$AW32)+COUNTIF($QV$2:$QY$2,$AW32))&gt;0),$AV32,"")</f>
        <v/>
      </c>
      <c r="JU32" s="164">
        <f>IF(AND($AX32=1,OR($AW32="",(COUNTIF($EL$2:$EP$2,$AW32)+COUNTIF($QV$2:$QY$2,$AW32))&gt;0)),$AV32,"")</f>
        <v/>
      </c>
      <c r="JZ32" s="164">
        <f>IF(OR($AW32="",(COUNTIF($EL$3:$EP$3,$AW32)+COUNTIF($QV$3:$QY$3,$AW32))&gt;0),$AV32,"")</f>
        <v/>
      </c>
      <c r="KA32" s="164">
        <f>IF(AND($AX32=1,OR($AW32="",(COUNTIF($EL$3:$EP$3,$AW32)+COUNTIF($QV$3:$QY$3,$AW32))&gt;0)),$AV32,"")</f>
        <v/>
      </c>
      <c r="KF32" s="164">
        <f>IF(OR($AW32="",(COUNTIF($EL$4:$EP$4,$AW32)+COUNTIF($QV$4:$QY$4,$AW32))&gt;0),$AV32,"")</f>
        <v/>
      </c>
      <c r="KG32" s="164">
        <f>IF(AND($AX32=1,OR($AW32="",(COUNTIF($EL$4:$EP$4,$AW32)+COUNTIF($QV$4:$QY$4,$AW32))&gt;0)),$AV32,"")</f>
        <v/>
      </c>
      <c r="KL32" s="164">
        <f>IF(OR($AW32="",(COUNTIF($EL$5:$EP$5,$AW32)+COUNTIF($QV$5:$QY$5,$AW32))&gt;0),$AV32,"")</f>
        <v/>
      </c>
      <c r="KM32" s="164">
        <f>IF(AND($AX32=1,OR($AW32="",(COUNTIF($EL$5:$EP$5,$AW32)+COUNTIF($QV$5:$QY$5,$AW32))&gt;0)),$AV32,"")</f>
        <v/>
      </c>
      <c r="KR32" s="164">
        <f>IF(OR($AW32="",(COUNTIF($EL$6:$EP$6,$AW32)+COUNTIF($QV$6:$QY$6,$AW32))&gt;0),$AV32,"")</f>
        <v/>
      </c>
      <c r="KS32" s="164">
        <f>IF(AND($AX32=1,OR($AW32="",(COUNTIF($EL$6:$EP$6,$AW32)+COUNTIF($QV$6:$QY$6,$AW32))&gt;0)),$AV32,"")</f>
        <v/>
      </c>
      <c r="KX32" s="164">
        <f>IF(OR($AW32="",(COUNTIF($EL$7:$EP$7,$AW32)+COUNTIF($QV$7:$QY$7,$AW32))&gt;0),$AV32,"")</f>
        <v/>
      </c>
      <c r="KY32" s="164">
        <f>IF(AND($AX32=1,OR($AW32="",(COUNTIF($EL$7:$EP$7,$AW32)+COUNTIF($QV$7:$QY$7,$AW32))&gt;0)),$AV32,"")</f>
        <v/>
      </c>
      <c r="LD32" s="164">
        <f>IF(OR($AW32="",(COUNTIF($EL$8:$EP$8,$AW32)+COUNTIF($QV$8:$QY$8,$AW32))&gt;0),$AV32,"")</f>
        <v/>
      </c>
      <c r="LE32" s="164">
        <f>IF(AND($AX32=1,OR($AW32="",(COUNTIF($EL$8:$EP$8,$AW32)+COUNTIF($QV$8:$QY$8,$AW32))&gt;0)),$AV32,"")</f>
        <v/>
      </c>
      <c r="LJ32" s="164">
        <f>IF(OR($AW32="",(COUNTIF($EL$9:$EP$9,$AW32)+COUNTIF($QV$9:$QY$9,$AW32))&gt;0),$AV32,"")</f>
        <v/>
      </c>
      <c r="LK32" s="164">
        <f>IF(AND($AX32=1,OR($AW32="",(COUNTIF($EL$9:$EP$9,$AW32)+COUNTIF($QV$9:$QY$9,$AW32))&gt;0)),$AV32,"")</f>
        <v/>
      </c>
      <c r="LP32" s="164">
        <f>IF(OR($AW32="",(COUNTIF($EL$10:$EP$10,$AW32)+COUNTIF($QV$10:$QY$10,$AW32))&gt;0),$AV32,"")</f>
        <v/>
      </c>
      <c r="LQ32" s="164">
        <f>IF(AND($AX32=1,OR($AW32="",(COUNTIF($EL$10:$EP$10,$AW32)+COUNTIF($QV$10:$QY$10,$AW32))&gt;0)),$AV32,"")</f>
        <v/>
      </c>
      <c r="LV32" s="164">
        <f>IF(OR($AW32="",(COUNTIF($EL$11:$EP$11,$AW32)+COUNTIF($QV$11:$QY$11,$AW32))&gt;0),$AV32,"")</f>
        <v/>
      </c>
      <c r="LW32" s="164">
        <f>IF(AND($AX32=1,OR($AW32="",(COUNTIF($EL$11:$EP$11,$AW32)+COUNTIF($QV$11:$QY$11,$AW32))&gt;0)),$AV32,"")</f>
        <v/>
      </c>
      <c r="MB32" s="164">
        <f>IF(OR($AW32="",(COUNTIF($EL$12:$EP$12,$AW32)+COUNTIF($QV$12:$QY$12,$AW32))&gt;0),$AV32,"")</f>
        <v/>
      </c>
      <c r="MC32" s="164">
        <f>IF(AND($AX32=1,OR($AW32="",(COUNTIF($EL$12:$EP$12,$AW32)+COUNTIF($QV$12:$QY$12,$AW32))&gt;0)),$AV32,"")</f>
        <v/>
      </c>
      <c r="MH32" s="164">
        <f>IF(OR($AW32="",(COUNTIF($EL$13:$EP$13,$AW32)+COUNTIF($QV$13:$QY$13,$AW32))&gt;0),$AV32,"")</f>
        <v/>
      </c>
      <c r="MI32" s="164">
        <f>IF(AND($AX32=1,OR($AW32="",(COUNTIF($EL$13:$EP$13,$AW32)+COUNTIF($QV$13:$QY$13,$AW32))&gt;0)),$AV32,"")</f>
        <v/>
      </c>
      <c r="MN32" s="162" t="inlineStr">
        <is>
          <t>Ficha 3 · Especial 3</t>
        </is>
      </c>
      <c r="MO32" s="164" t="n">
        <v>3</v>
      </c>
      <c r="MP32" s="164" t="n">
        <v>1</v>
      </c>
      <c r="MQ32" s="164" t="n">
        <v>8</v>
      </c>
      <c r="MR32" s="162" t="inlineStr">
        <is>
          <t>ESPECIAL 3</t>
        </is>
      </c>
      <c r="MS32" s="164">
        <f>MAX(1,MIN(7,N('INVOCAÇÕES'!$O$527)))</f>
        <v/>
      </c>
      <c r="MT32" s="164">
        <f>'INVOCAÇÕES'!$P$527&amp;""</f>
        <v/>
      </c>
      <c r="MU32" s="164">
        <f>'INVOCAÇÕES'!$O$532&amp;""</f>
        <v/>
      </c>
      <c r="MV32" s="164">
        <f>'INVOCAÇÕES'!$O$533&amp;""</f>
        <v/>
      </c>
      <c r="MW32" s="164">
        <f>'INVOCAÇÕES'!$Q$533&amp;""</f>
        <v/>
      </c>
      <c r="MX32" s="164">
        <f>'INVOCAÇÕES'!$P$536&amp;""</f>
        <v/>
      </c>
      <c r="MY32" s="164">
        <f>'INVOCAÇÕES'!$P$537&amp;""</f>
        <v/>
      </c>
      <c r="MZ32" s="164">
        <f>'INVOCAÇÕES'!$P$538&amp;""</f>
        <v/>
      </c>
      <c r="NA32" s="164">
        <f>'INVOCAÇÕES'!$P$539&amp;""</f>
        <v/>
      </c>
      <c r="NB32" s="164">
        <f>'INVOCAÇÕES'!$P$540&amp;""</f>
        <v/>
      </c>
      <c r="NC32" s="164">
        <f>'INVOCAÇÕES'!$P$541&amp;""</f>
        <v/>
      </c>
      <c r="ND32" s="164">
        <f>IF($MT32&lt;&gt;"",1,0)</f>
        <v/>
      </c>
      <c r="NE32" s="164">
        <f>INDEX($FO$2:$FO$13,$MO32)</f>
        <v/>
      </c>
      <c r="NF32" s="164">
        <f>INDEX($FP$2:$FP$13,$MO32)</f>
        <v/>
      </c>
      <c r="NG32" s="164">
        <f>INDEX($FQ$2:$FQ$13,$MO32)</f>
        <v/>
      </c>
      <c r="NH32" s="164">
        <f>INDEX($GB$2:$GB$13,$MO32)</f>
        <v/>
      </c>
      <c r="NI32" s="164">
        <f>INDEX($GC$2:$GC$13,$MO32)</f>
        <v/>
      </c>
      <c r="NJ32" s="164">
        <f>IFERROR(MATCH(SUBSTITUTE(SUBSTITUTE(SUBSTITUTE($MU32,"~","~~"),"*","~*"),"?","~?"),'DADOS_FORMAS'!$FZ$2:$FZ$21,0),0)</f>
        <v/>
      </c>
      <c r="NK32" s="164">
        <f>IFERROR(VLOOKUP(SUBSTITUTE(SUBSTITUTE(SUBSTITUTE($MX32,"~","~~"),"*","~*"),"?","~?"),'DADOS_MELHORIAS'!$AG$2:$AL$113,2,FALSE),"")</f>
        <v/>
      </c>
      <c r="NL32" s="164">
        <f>IFERROR(VLOOKUP(SUBSTITUTE(SUBSTITUTE(SUBSTITUTE($MY32,"~","~~"),"*","~*"),"?","~?"),'DADOS_MELHORIAS'!$AG$2:$AL$113,2,FALSE),"")</f>
        <v/>
      </c>
      <c r="NM32" s="164">
        <f>IFERROR(VLOOKUP(SUBSTITUTE(SUBSTITUTE(SUBSTITUTE($MZ32,"~","~~"),"*","~*"),"?","~?"),'DADOS_MELHORIAS'!$AG$2:$AL$113,2,FALSE),"")</f>
        <v/>
      </c>
      <c r="NN32" s="164">
        <f>IFERROR(VLOOKUP(SUBSTITUTE(SUBSTITUTE(SUBSTITUTE($NA32,"~","~~"),"*","~*"),"?","~?"),'DADOS_MELHORIAS'!$AG$2:$AL$113,2,FALSE),"")</f>
        <v/>
      </c>
      <c r="NO32" s="164">
        <f>IFERROR(VLOOKUP(SUBSTITUTE(SUBSTITUTE(SUBSTITUTE($MX32,"~","~~"),"*","~*"),"?","~?"),'DADOS_MELHORIAS'!$AG$2:$AL$113,3,FALSE),0)</f>
        <v/>
      </c>
      <c r="NP32" s="164">
        <f>IFERROR(VLOOKUP(SUBSTITUTE(SUBSTITUTE(SUBSTITUTE($MY32,"~","~~"),"*","~*"),"?","~?"),'DADOS_MELHORIAS'!$AG$2:$AL$113,3,FALSE),0)</f>
        <v/>
      </c>
      <c r="NQ32" s="164">
        <f>IFERROR(VLOOKUP(SUBSTITUTE(SUBSTITUTE(SUBSTITUTE($MZ32,"~","~~"),"*","~*"),"?","~?"),'DADOS_MELHORIAS'!$AG$2:$AL$113,3,FALSE),0)</f>
        <v/>
      </c>
      <c r="NR32" s="164">
        <f>IFERROR(VLOOKUP(SUBSTITUTE(SUBSTITUTE(SUBSTITUTE($NA32,"~","~~"),"*","~*"),"?","~?"),'DADOS_MELHORIAS'!$AG$2:$AL$113,3,FALSE),0)</f>
        <v/>
      </c>
      <c r="NS32" s="164">
        <f>IF($MS32=0,0,IF($NJ32=0,0,INDEX('DADOS_FORMAS'!$GB$2:$GB$21,$NJ32)))</f>
        <v/>
      </c>
      <c r="NT32" s="164">
        <f>IF(OR($NO32=0,$MS32=0),0,$NO32+3*IF(AND($NK32&lt;&gt;"",COUNTIF(INDEX($RB$2:$RJ$13,$MO32,0),$NK32)&gt;0),1,0))</f>
        <v/>
      </c>
      <c r="NU32" s="164">
        <f>IF(OR($NP32=0,$MS32=0),0,$NP32+3*IF(AND($NL32&lt;&gt;"",COUNTIF(INDEX($RB$2:$RJ$13,$MO32,0),$NL32)&gt;0),1,0))</f>
        <v/>
      </c>
      <c r="NV32" s="164">
        <f>IF(OR($NQ32=0,$MS32=0),0,$NQ32+3*IF(AND($NM32&lt;&gt;"",COUNTIF(INDEX($RB$2:$RJ$13,$MO32,0),$NM32)&gt;0),1,0))</f>
        <v/>
      </c>
      <c r="NW32" s="164">
        <f>IF(OR($NR32=0,$MS32=0),0,$NR32+3*IF(AND($NN32&lt;&gt;"",COUNTIF(INDEX($RB$2:$RJ$13,$MO32,0),$NN32)&gt;0),1,0))</f>
        <v/>
      </c>
      <c r="NX32" s="164">
        <f>IF($NJ32=0,0,IF(INDEX('DADOS_FORMAS'!$GA$2:$GA$21,$NJ32)="",0,IF((COUNTIF(INDEX($EL$2:$EP$13,$MO32,0),INDEX('DADOS_FORMAS'!$GA$2:$GA$21,$NJ32))+COUNTIF(INDEX($QV$2:$QY$13,$MO32,0),INDEX('DADOS_FORMAS'!$GA$2:$GA$21,$NJ32)))=0,1,0)))</f>
        <v/>
      </c>
      <c r="NY32" s="164">
        <f>IF(OR($NO32=0,$NK32=""),0,IF((COUNTIF(INDEX($EL$2:$EP$13,$MO32,0),$NK32)+COUNTIF(INDEX($QV$2:$QY$13,$MO32,0),$NK32))=0,1,0))</f>
        <v/>
      </c>
      <c r="NZ32" s="164">
        <f>IF(OR($NP32=0,$NL32=""),0,IF((COUNTIF(INDEX($EL$2:$EP$13,$MO32,0),$NL32)+COUNTIF(INDEX($QV$2:$QY$13,$MO32,0),$NL32))=0,1,0))</f>
        <v/>
      </c>
      <c r="OA32" s="164">
        <f>IF(OR($NQ32=0,$NM32=""),0,IF((COUNTIF(INDEX($EL$2:$EP$13,$MO32,0),$NM32)+COUNTIF(INDEX($QV$2:$QY$13,$MO32,0),$NM32))=0,1,0))</f>
        <v/>
      </c>
      <c r="OB32" s="164">
        <f>IF(OR($NR32=0,$NN32=""),0,IF((COUNTIF(INDEX($EL$2:$EP$13,$MO32,0),$NN32)+COUNTIF(INDEX($QV$2:$QY$13,$MO32,0),$NN32))=0,1,0))</f>
        <v/>
      </c>
      <c r="OC32" s="164">
        <f>IFERROR(VLOOKUP(SUBSTITUTE(SUBSTITUTE(SUBSTITUTE($MX32,"~","~~"),"*","~*"),"?","~?"),'DADOS_MELHORIAS'!$AG$2:$AL$113,4,FALSE),0)+IFERROR(VLOOKUP(SUBSTITUTE(SUBSTITUTE(SUBSTITUTE($MY32,"~","~~"),"*","~*"),"?","~?"),'DADOS_MELHORIAS'!$AG$2:$AL$113,4,FALSE),0)+IFERROR(VLOOKUP(SUBSTITUTE(SUBSTITUTE(SUBSTITUTE($MZ32,"~","~~"),"*","~*"),"?","~?"),'DADOS_MELHORIAS'!$AG$2:$AL$113,4,FALSE),0)+IFERROR(VLOOKUP(SUBSTITUTE(SUBSTITUTE(SUBSTITUTE($NA32,"~","~~"),"*","~*"),"?","~?"),'DADOS_MELHORIAS'!$AG$2:$AL$113,4,FALSE),0)</f>
        <v/>
      </c>
      <c r="OD32" s="164">
        <f>IFERROR(VLOOKUP(SUBSTITUTE(SUBSTITUTE(SUBSTITUTE($MX32,"~","~~"),"*","~*"),"?","~?"),'DADOS_MELHORIAS'!$AG$2:$AL$113,6,FALSE),0)+IFERROR(VLOOKUP(SUBSTITUTE(SUBSTITUTE(SUBSTITUTE($MY32,"~","~~"),"*","~*"),"?","~?"),'DADOS_MELHORIAS'!$AG$2:$AL$113,6,FALSE),0)+IFERROR(VLOOKUP(SUBSTITUTE(SUBSTITUTE(SUBSTITUTE($MZ32,"~","~~"),"*","~*"),"?","~?"),'DADOS_MELHORIAS'!$AG$2:$AL$113,6,FALSE),0)+IFERROR(VLOOKUP(SUBSTITUTE(SUBSTITUTE(SUBSTITUTE($NA32,"~","~~"),"*","~*"),"?","~?"),'DADOS_MELHORIAS'!$AG$2:$AL$113,6,FALSE),0)+IFERROR(N(AND(INDEX('DADOS_FORMAS'!$AO$2:$AO$21,MATCH(SUBSTITUTE(SUBSTITUTE(SUBSTITUTE($MU32,"~","~~"),"*","~*"),"?","~?"),'DADOS_FORMAS'!$AH$2:$AH$21,0))="Acerto",$OH32=1)),0)</f>
        <v/>
      </c>
      <c r="OE32" s="164">
        <f>TEXTJOIN(", ",TRUE,IF(IFERROR(VLOOKUP(SUBSTITUTE(SUBSTITUTE(SUBSTITUTE($MX32,"~","~~"),"*","~*"),"?","~?"),'DADOS_MELHORIAS'!$AG$2:$AL$113,5,FALSE),0)=1,$MX32,""),IF(IFERROR(VLOOKUP(SUBSTITUTE(SUBSTITUTE(SUBSTITUTE($MY32,"~","~~"),"*","~*"),"?","~?"),'DADOS_MELHORIAS'!$AG$2:$AL$113,5,FALSE),0)=1,$MY32,""),IF(IFERROR(VLOOKUP(SUBSTITUTE(SUBSTITUTE(SUBSTITUTE($MZ32,"~","~~"),"*","~*"),"?","~?"),'DADOS_MELHORIAS'!$AG$2:$AL$113,5,FALSE),0)=1,$MZ32,""),IF(IFERROR(VLOOKUP(SUBSTITUTE(SUBSTITUTE(SUBSTITUTE($NA32,"~","~~"),"*","~*"),"?","~?"),'DADOS_MELHORIAS'!$AG$2:$AL$113,5,FALSE),0)=1,$NA32,""))</f>
        <v/>
      </c>
      <c r="OF32" s="164">
        <f>IF($NJ32=0,0,INDEX('DADOS_FORMAS'!$GC$2:$GC$21,$NJ32))</f>
        <v/>
      </c>
      <c r="OG32" s="164">
        <f>IF($NJ32=0,0,INDEX('DADOS_FORMAS'!$GD$2:$GD$21,$NJ32))</f>
        <v/>
      </c>
      <c r="OH32" s="164">
        <f>IF($NJ32=0,0,INDEX('DADOS_FORMAS'!$GF$2:$GF$21,$NJ32))</f>
        <v/>
      </c>
      <c r="OI32" s="164">
        <f>IFERROR(VLOOKUP(SUBSTITUTE(SUBSTITUTE(SUBSTITUTE($NB32,"~","~~"),"*","~*"),"?","~?"),'DADOS_RESTRICOES'!$M$2:$Q$54,3,FALSE),0)</f>
        <v/>
      </c>
      <c r="OJ32" s="164">
        <f>IFERROR(VLOOKUP(SUBSTITUTE(SUBSTITUTE(SUBSTITUTE($NC32,"~","~~"),"*","~*"),"?","~?"),'DADOS_RESTRICOES'!$M$2:$Q$54,3,FALSE),0)</f>
        <v/>
      </c>
      <c r="OK32" s="164">
        <f>IFERROR(VLOOKUP(SUBSTITUTE(SUBSTITUTE(SUBSTITUTE($NB32,"~","~~"),"*","~*"),"?","~?"),'DADOS_RESTRICOES'!$M$2:$Q$54,2,FALSE),"")</f>
        <v/>
      </c>
      <c r="OL32" s="164">
        <f>IFERROR(VLOOKUP(SUBSTITUTE(SUBSTITUTE(SUBSTITUTE($NC32,"~","~~"),"*","~*"),"?","~?"),'DADOS_RESTRICOES'!$M$2:$Q$54,2,FALSE),"")</f>
        <v/>
      </c>
      <c r="OM32" s="164">
        <f>COUNTIF($NS32:$NW32,1)</f>
        <v/>
      </c>
      <c r="ON32" s="164">
        <f>COUNTIF($NS32:$NW32,2)</f>
        <v/>
      </c>
      <c r="OO32" s="164">
        <f>COUNTIF($NS32:$NW32,3)</f>
        <v/>
      </c>
      <c r="OP32" s="164">
        <f>COUNTIF($NS32:$NW32,4)</f>
        <v/>
      </c>
      <c r="OQ32" s="164">
        <f>COUNTIF($NS32:$NW32,5)</f>
        <v/>
      </c>
      <c r="OR32" s="164">
        <f>COUNTIF($NS32:$NW32,6)</f>
        <v/>
      </c>
      <c r="OS32" s="164">
        <f>COUNTIF($OI32:$OJ32,1)+IF(IFERROR(INDEX('DADOS_FORMAS'!$AS$2:$AS$21,MATCH(SUBSTITUTE(SUBSTITUTE(SUBSTITUTE($MU32,"~","~~"),"*","~*"),"?","~?"),'DADOS_FORMAS'!$AH$2:$AH$21,0)),"")="",0,IFERROR(N(VLOOKUP(SUBSTITUTE(SUBSTITUTE(SUBSTITUTE(IFERROR(INDEX('DADOS_FORMAS'!$AS$2:$AS$21,MATCH(SUBSTITUTE(SUBSTITUTE(SUBSTITUTE($MU32,"~","~~"),"*","~*"),"?","~?"),'DADOS_FORMAS'!$AH$2:$AH$21,0)),""),"~","~~"),"*","~*"),"?","~?"),'DADOS_RESTRICOES'!$M$2:$Q$54,3,FALSE)=1),0))</f>
        <v/>
      </c>
      <c r="OT32" s="164">
        <f>COUNTIF($OI32:$OJ32,2)+IF(IFERROR(INDEX('DADOS_FORMAS'!$AS$2:$AS$21,MATCH(SUBSTITUTE(SUBSTITUTE(SUBSTITUTE($MU32,"~","~~"),"*","~*"),"?","~?"),'DADOS_FORMAS'!$AH$2:$AH$21,0)),"")="",0,IFERROR(N(VLOOKUP(SUBSTITUTE(SUBSTITUTE(SUBSTITUTE(IFERROR(INDEX('DADOS_FORMAS'!$AS$2:$AS$21,MATCH(SUBSTITUTE(SUBSTITUTE(SUBSTITUTE($MU32,"~","~~"),"*","~*"),"?","~?"),'DADOS_FORMAS'!$AH$2:$AH$21,0)),""),"~","~~"),"*","~*"),"?","~?"),'DADOS_RESTRICOES'!$M$2:$Q$54,3,FALSE)=2),0))</f>
        <v/>
      </c>
      <c r="OU32" s="164">
        <f>COUNTIF($MX32:$NA32,"?*")</f>
        <v/>
      </c>
      <c r="OV32" s="164">
        <f>COUNTIF($NB32:$NC32,"?*")+$OF32</f>
        <v/>
      </c>
      <c r="OW32" s="164">
        <f>IF($MS32=0,0,SUMPRODUCT($OM32:$OR32,INDEX($I$2:$N$8,MAX(1,$MS32),0)))</f>
        <v/>
      </c>
      <c r="OX32" s="164">
        <f>IF($MS32=0,0,$OS32*CEILING($MS32/2,1)+$OT32*$MS32)</f>
        <v/>
      </c>
      <c r="OY32" s="164">
        <f>MIN(2*$MS32,$OX32)</f>
        <v/>
      </c>
      <c r="OZ32" s="164">
        <f>MIN($OY32,$OW32-IF($NS32=0,0,INDEX($I$2:$N$8,MAX(1,$MS32),$NS32)))</f>
        <v/>
      </c>
      <c r="PA32" s="164">
        <f>$OY32-$OZ32</f>
        <v/>
      </c>
      <c r="PB32" s="164">
        <f>IF($MS32=0,0,INDEX($P$2:$P$8,MAX(1,$MS32)))</f>
        <v/>
      </c>
      <c r="PC32" s="164">
        <f>$PB32-$OW32+$OZ32</f>
        <v/>
      </c>
      <c r="PD32" s="164">
        <f>IF($MS32=0,MAX(0,$NG32-IF(AND($OU32&gt;0,COUNTIF($NB32:$NC32,"?*")=0),1,0)),MAX(0,$PC32))</f>
        <v/>
      </c>
      <c r="PE32" s="164">
        <f>IF($MS32=0,0,(IF(COUNTIF($RK32:$RN32,"Salto")&gt;0,1,0)+IF(COUNTIF($RK32:$RN32,"Queima")&gt;0,1,0)+IF(COUNTIF($RK32:$RN32,"Estilhaço")&gt;0,1,0))*FLOOR($PD32/2,1))</f>
        <v/>
      </c>
      <c r="PF32" s="164">
        <f>MAX(0,2-SUMPRODUCT($OM32:$OR32,$I$2:$N$2)+MIN(2,$OS32*1+$OT32*1,SUMPRODUCT($OM32:$OR32,$I$2:$N$2)-IF($NS32=0,0,INDEX($I$2:$N$2,1,$NS32))))</f>
        <v/>
      </c>
      <c r="PG32" s="164">
        <f>MAX(0,4-SUMPRODUCT($OM32:$OR32,$I$3:$N$3)+MIN(4,$OS32*1+$OT32*2,SUMPRODUCT($OM32:$OR32,$I$3:$N$3)-IF($NS32=0,0,INDEX($I$3:$N$3,1,$NS32))))</f>
        <v/>
      </c>
      <c r="PH32" s="164">
        <f>MAX(0,6-SUMPRODUCT($OM32:$OR32,$I$4:$N$4)+MIN(6,$OS32*2+$OT32*3,SUMPRODUCT($OM32:$OR32,$I$4:$N$4)-IF($NS32=0,0,INDEX($I$4:$N$4,1,$NS32))))</f>
        <v/>
      </c>
      <c r="PI32" s="164">
        <f>MAX(0,9-SUMPRODUCT($OM32:$OR32,$I$5:$N$5)+MIN(8,$OS32*2+$OT32*4,SUMPRODUCT($OM32:$OR32,$I$5:$N$5)-IF($NS32=0,0,INDEX($I$5:$N$5,1,$NS32))))</f>
        <v/>
      </c>
      <c r="PJ32" s="164">
        <f>MAX(0,11-SUMPRODUCT($OM32:$OR32,$I$6:$N$6)+MIN(10,$OS32*3+$OT32*5,SUMPRODUCT($OM32:$OR32,$I$6:$N$6)-IF($NS32=0,0,INDEX($I$6:$N$6,1,$NS32))))</f>
        <v/>
      </c>
      <c r="PK32" s="164">
        <f>MAX(0,13-SUMPRODUCT($OM32:$OR32,$I$7:$N$7)+MIN(12,$OS32*3+$OT32*6,SUMPRODUCT($OM32:$OR32,$I$7:$N$7)-IF($NS32=0,0,INDEX($I$7:$N$7,1,$NS32))))</f>
        <v/>
      </c>
      <c r="PL32" s="164">
        <f>MAX(0,16-SUMPRODUCT($OM32:$OR32,$I$8:$N$8)+MIN(14,$OS32*4+$OT32*7,SUMPRODUCT($OM32:$OR32,$I$8:$N$8)-IF($NS32=0,0,INDEX($I$8:$N$8,1,$NS32))))</f>
        <v/>
      </c>
      <c r="PM32" s="164">
        <f>IF($OG32=2,3*$PF32&amp;" de vida temp.",IF($OG32=3,"sem dano",IF($PF32=0,IF($OG32=1,"sem cura","sem dano"),IF($OG32=1,"cura ","")&amp;$PF32&amp;"d8")))</f>
        <v/>
      </c>
      <c r="PN32" s="164">
        <f>IF($OG32=2,3*$PG32&amp;" de vida temp.",IF($OG32=3,"sem dano",IF($PG32=0,IF($OG32=1,"sem cura","sem dano"),IF($OG32=1,"cura ","")&amp;$PG32&amp;"d8")))</f>
        <v/>
      </c>
      <c r="PO32" s="164">
        <f>IF($OG32=2,3*$PH32&amp;" de vida temp.",IF($OG32=3,"sem dano",IF($PH32=0,IF($OG32=1,"sem cura","sem dano"),IF($OG32=1,"cura ","")&amp;$PH32&amp;"d8")))</f>
        <v/>
      </c>
      <c r="PP32" s="164">
        <f>IF($OG32=2,3*$PI32&amp;" de vida temp.",IF($OG32=3,"sem dano",IF($PI32=0,IF($OG32=1,"sem cura","sem dano"),IF($OG32=1,"cura ","")&amp;$PI32&amp;"d8")))</f>
        <v/>
      </c>
      <c r="PQ32" s="164">
        <f>IF($OG32=2,3*$PJ32&amp;" de vida temp.",IF($OG32=3,"sem dano",IF($PJ32=0,IF($OG32=1,"sem cura","sem dano"),IF($OG32=1,"cura ","")&amp;$PJ32&amp;"d8")))</f>
        <v/>
      </c>
      <c r="PR32" s="164">
        <f>IF($OG32=2,3*$PK32&amp;" de vida temp.",IF($OG32=3,"sem dano",IF($PK32=0,IF($OG32=1,"sem cura","sem dano"),IF($OG32=1,"cura ","")&amp;$PK32&amp;"d8")))</f>
        <v/>
      </c>
      <c r="PS32" s="164">
        <f>IF($OG32=2,3*$PL32&amp;" de vida temp.",IF($OG32=3,"sem dano",IF($PL32=0,IF($OG32=1,"sem cura","sem dano"),IF($OG32=1,"cura ","")&amp;$PL32&amp;"d8")))</f>
        <v/>
      </c>
      <c r="PT32" s="164">
        <f>IF($ND32=0,"",TEXTJOIN(" · ",TRUE,IF($ND32=0,"",TEXTJOIN(" · ",TRUE,IF($ND32=0,"",TEXTJOIN(" · ",TRUE,IF($MQ32&gt;$NE32,"Este lugar abre no nível "&amp;$MQ32,""),IF($MS32&gt;$NF32,"Classe "&amp;$MS32&amp;": o nível "&amp;$NE32&amp;" libera até a "&amp;$NF32,""),IF($NX32=1,"A Forma "&amp;$MU32&amp;" pede "&amp;INDEX('DADOS_FORMAS'!$GA$2:$GA$21,$NJ32)&amp;" aberta",""),IF(AND($MS32=0,$NJ32&gt;0,IF($NJ32=0,0,INDEX('DADOS_FORMAS'!$GJ$2:$GJ$21,$NJ32))=0),$MU32&amp;" não existe na Classe 0",""),IF($NY32=1,"Família Fechada: "&amp;$MX32,""),IF($NZ32=1,"Família Fechada: "&amp;$MY32,""),IF($OA32=1,"Família Fechada: "&amp;$MZ32,""),IF($OB32=1,"Família Fechada: "&amp;$NA32,""),IF(AND($MS32&gt;0,$OU32&gt;INDEX($O$2:$O$8,MAX(1,$MS32))),$OU32&amp;" Melhorias: a Classe "&amp;$MS32&amp;" aceita "&amp;INDEX($O$2:$O$8,MAX(1,$MS32)),""),IF(AND($MS32=0,$OU32&gt;1),"A básica aceita uma Melhoria",""),IF(AND($MS32=0,COUNTIF($NO32:$NR32,"&gt;1")&gt;0),"A básica só aceita Melhoria Leve",""),IF(AND($MS32&gt;0,$OV32&gt;2),$OV32&amp;" Restrições"&amp;IF($OF32=1,", contando a que a Forma "&amp;$MU32&amp;" já traz","")&amp;": o limite é 2",""),IF(AND($MS32=0,COUNTIF($NB32:$NC32,"?*")&gt;1),"A básica aceita uma Restrição Leve",""),IF(AND($MS32=0,COUNTIF($OI32:$OJ32,2)&gt;0),"A básica só aceita Restrição Leve",""),IF(AND($MS32&gt;0,$PC32&lt;0),"Orçamento estourado: faltam "&amp;(-$PC32)&amp;IF($PC32&lt;-1," pontos"," ponto"),""),IF(IFERROR(VLOOKUP(SUBSTITUTE(SUBSTITUTE(SUBSTITUTE($NB32,"~","~~"),"*","~*"),"?","~?"),'DADOS_RESTRICOES'!$M$2:$Q$54,4,FALSE),0)+IFERROR(VLOOKUP(SUBSTITUTE(SUBSTITUTE(SUBSTITUTE($NC32,"~","~~"),"*","~*"),"?","~?"),'DADOS_RESTRICOES'!$M$2:$Q$54,4,FALSE),0)&gt;1,$OK32&amp;" e "&amp;$OL32&amp;" são as duas de frequência",""),IF(AND((COUNTIF($RK32:$RN32,"Rápido")+COUNTIF($OK32:$OL32,"Rápido"))&gt;0,(COUNTIF($MX32:$NA32,"Atrasar")+COUNTIF($OK32:$OL32,"Atrasar"))&gt;0),"Rápido não entra com Atrasar",""),IF(AND((COUNTIF($RK32:$RN32,"Reação")+COUNTIF($OK32:$OL32,"Reação"))&gt;0,(COUNTIF($RK32:$RN32,"Rápido")+COUNTIF($OK32:$OL32,"Rápido"))&gt;0),"Reação não entra com Rápido",""),IF(AND((COUNTIF($RK32:$RN32,"Reação")+COUNTIF($OK32:$OL32,"Reação"))&gt;0,(COUNTIF($RK32:$RN32,"Armado")+COUNTIF($OK32:$OL32,"Armado"))&gt;0),"Reação não entra com Armado",""),IF(AND((COUNTIF($RK32:$RN32,"Reação")+COUNTIF($OK32:$OL32,"Reação"))&gt;0,(COUNTIF($MX32:$NA32,"Atrasar")+COUNTIF($OK32:$OL32,"Atrasar"))&gt;0),"Reação não entra com Atrasar",""),IF(AND((COUNTIF($RK32:$RN32,"Reação")+COUNTIF($OK32:$OL32,"Reação"))&gt;0,(COUNTIF($MX32:$NA32,"Parado")+COUNTIF($OK32:$OL32,"Parado"))&gt;0),"Reação não entra com Parado",""),IF(AND((COUNTIF($MX32:$NA32,"Atrasar")+COUNTIF($OK32:$OL32,"Atrasar"))&gt;0,(COUNTIF($MX32:$NA32,"Parado")+COUNTIF($OK32:$OL32,"Parado"))&gt;0),"Atrasar não entra com Parado",""),IF(AND((COUNTIF($RK32:$RN32,"Armado")+COUNTIF($OK32:$OL32,"Armado"))&gt;0,(COUNTIF($MX32:$NA32,"Carregar")+COUNTIF($OK32:$OL32,"Carregar"))&gt;0),"Armado não entra com Carregar",""),IF(AND(COUNTIF($OK32:$OL32,"Corpo a Corpo")&gt;0,$OF32=0,OR($RO32="Cone",$RO32="Linha")),"Corpo a Corpo não entra em "&amp;$MU32,""),IF(AND(COUNTIF($OK32:$OL32,"Corpo a Corpo")&gt;0,$RP32="Corpo a Corpo"),"A Forma "&amp;$MU32&amp;" já traz o Corpo a Corpo",""),IF(AND(COUNTIF($OK32:$OL32,"Tudo ou Nada")&gt;0,$OH32=0),"Tudo ou Nada só entra em habilidade de Teste de Resistência",""),IF(AND(COUNTIF($RK32:$RN32,"Inescapável")&gt;0,OR($OU32&gt;1,$OV32&gt;0)),"Inescapável não aceita outra peça",""),IF(AND($MS32&gt;0,$PD32*IF(COUNTIF($RK32:$RN32,"Remate")&gt;0,1.25,1)+$PE32&gt;4*$MS32),($PD32*IF(COUNTIF($RK32:$RN32,"Remate")&gt;0,1.25,1)+$PE32)&amp;" dados somando repetições"&amp;IF(COUNTIF($RK32:$RN32,"Remate")&gt;0," e o Remate","")&amp;": o teto da Classe "&amp;$MS32&amp;" é "&amp;4*$MS32,""))),IF(AND($MX32&lt;&gt;"",COUNTIF('DADOS_MELHORIAS'!$O$2:$O$113,SUBSTITUTE(SUBSTITUTE(SUBSTITUTE($MX32,"~","~~"),"*","~*"),"?","~?"))=0),"Melhoria não cadastrada ou com erro: "&amp;$MX32,""),IF(AND($MY32&lt;&gt;"",COUNTIF('DADOS_MELHORIAS'!$O$2:$O$113,SUBSTITUTE(SUBSTITUTE(SUBSTITUTE($MY32,"~","~~"),"*","~*"),"?","~?"))=0),"Melhoria não cadastrada ou com erro: "&amp;$MY32,""),IF(AND($MZ32&lt;&gt;"",COUNTIF('DADOS_MELHORIAS'!$O$2:$O$113,SUBSTITUTE(SUBSTITUTE(SUBSTITUTE($MZ32,"~","~~"),"*","~*"),"?","~?"))=0),"Melhoria não cadastrada ou com erro: "&amp;$MZ32,""),IF(AND($NA32&lt;&gt;"",COUNTIF('DADOS_MELHORIAS'!$O$2:$O$113,SUBSTITUTE(SUBSTITUTE(SUBSTITUTE($NA32,"~","~~"),"*","~*"),"?","~?"))=0),"Melhoria não cadastrada ou com erro: "&amp;$NA32,""),IF(AND($NB32&lt;&gt;"",COUNTIF('DADOS_RESTRICOES'!$M$2:$M$54,SUBSTITUTE(SUBSTITUTE(SUBSTITUTE($NB32,"~","~~"),"*","~*"),"?","~?"))=0),"Restrição não cadastrada ou com erro: "&amp;$NB32,""),IF(AND($NC32&lt;&gt;"",COUNTIF('DADOS_RESTRICOES'!$M$2:$M$54,SUBSTITUTE(SUBSTITUTE(SUBSTITUTE($NC32,"~","~~"),"*","~*"),"?","~?"))=0),"Restrição não cadastrada ou com erro: "&amp;$NC32,""))),IF(AND($MU32&lt;&gt;"",COUNTIF('DADOS_FORMAS'!$AH$2:$AH$21,SUBSTITUTE(SUBSTITUTE(SUBSTITUTE($MU32,"~","~~"),"*","~*"),"?","~?"))=0),"Forma não cadastrada ou com erro: "&amp;$MU32,""),IF(AND(IFERROR(INDEX('DADOS_FORMAS'!$AS$2:$AS$21,MATCH(SUBSTITUTE(SUBSTITUTE(SUBSTITUTE($MU32,"~","~~"),"*","~*"),"?","~?"),'DADOS_FORMAS'!$AH$2:$AH$21,0)),"")&lt;&gt;"",OR(IFERROR(VLOOKUP(SUBSTITUTE(SUBSTITUTE(SUBSTITUTE(IFERROR(INDEX('DADOS_FORMAS'!$AS$2:$AS$21,MATCH(SUBSTITUTE(SUBSTITUTE(SUBSTITUTE($MU32,"~","~~"),"*","~*"),"?","~?"),'DADOS_FORMAS'!$AH$2:$AH$21,0)),""),"~","~~"),"*","~*"),"?","~?"),'DADOS_RESTRICOES'!$M$2:$Q$54,2,FALSE),"")=$OK32,IFERROR(VLOOKUP(SUBSTITUTE(SUBSTITUTE(SUBSTITUTE(IFERROR(INDEX('DADOS_FORMAS'!$AS$2:$AS$21,MATCH(SUBSTITUTE(SUBSTITUTE(SUBSTITUTE($MU32,"~","~~"),"*","~*"),"?","~?"),'DADOS_FORMAS'!$AH$2:$AH$21,0)),""),"~","~~"),"*","~*"),"?","~?"),'DADOS_RESTRICOES'!$M$2:$Q$54,2,FALSE),"")=$OL32)),"Restrição repetida, contando a embutida",""),IF(IF(IFERROR(INDEX('DADOS_FORMAS'!$AS$2:$AS$21,MATCH(SUBSTITUTE(SUBSTITUTE(SUBSTITUTE($MU32,"~","~~"),"*","~*"),"?","~?"),'DADOS_FORMAS'!$AH$2:$AH$21,0)),"")="",0,IFERROR(N(VLOOKUP(SUBSTITUTE(SUBSTITUTE(SUBSTITUTE(IFERROR(INDEX('DADOS_FORMAS'!$AS$2:$AS$21,MATCH(SUBSTITUTE(SUBSTITUTE(SUBSTITUTE($MU32,"~","~~"),"*","~*"),"?","~?"),'DADOS_FORMAS'!$AH$2:$AH$21,0)),""),"~","~~"),"*","~*"),"?","~?"),'DADOS_RESTRICOES'!$M$2:$Q$54,4,FALSE)=1),0))+IF($NB32="",0,IFERROR(N(VLOOKUP(SUBSTITUTE(SUBSTITUTE(SUBSTITUTE($NB32,"~","~~"),"*","~*"),"?","~?"),'DADOS_RESTRICOES'!$M$2:$Q$54,4,FALSE)=1),0))+IF($NC32="",0,IFERROR(N(VLOOKUP(SUBSTITUTE(SUBSTITUTE(SUBSTITUTE($NC32,"~","~~"),"*","~*"),"?","~?"),'DADOS_RESTRICOES'!$M$2:$Q$54,4,FALSE)=1),0))&gt;1,"Duas Restrições de frequência, contando a embutida",""),IF(AND(IFERROR(VLOOKUP(SUBSTITUTE(SUBSTITUTE(SUBSTITUTE(IFERROR(INDEX('DADOS_FORMAS'!$AS$2:$AS$21,MATCH(SUBSTITUTE(SUBSTITUTE(SUBSTITUTE($MU32,"~","~~"),"*","~*"),"?","~?"),'DADOS_FORMAS'!$AH$2:$AH$21,0)),""),"~","~~"),"*","~*"),"?","~?"),'DADOS_RESTRICOES'!$M$2:$Q$54,2,FALSE),"")="Tudo ou Nada",$OH32=0),"Tudo ou Nada exige TR",""),IF(AND(IFERROR(VLOOKUP(SUBSTITUTE(SUBSTITUTE(SUBSTITUTE(IFERROR(INDEX('DADOS_FORMAS'!$AS$2:$AS$21,MATCH(SUBSTITUTE(SUBSTITUTE(SUBSTITUTE($MU32,"~","~~"),"*","~*"),"?","~?"),'DADOS_FORMAS'!$AH$2:$AH$21,0)),""),"~","~~"),"*","~*"),"?","~?"),'DADOS_RESTRICOES'!$M$2:$Q$54,2,FALSE),"")="Corpo a Corpo",OR($RO32="Cone",$RO32="Linha")),"Corpo a Corpo não entra em Cone/Linha","")))</f>
        <v/>
      </c>
      <c r="PU32" s="164">
        <f>IF($PT32="",0,(LEN($PT32)-LEN(SUBSTITUTE($PT32," · ","")))/3+1)</f>
        <v/>
      </c>
      <c r="PV32" s="164">
        <f>IF($ND32=0,"",TEXTJOIN(" · ",TRUE,IF($OX32&gt;2*$MS32,"A devolução parou no teto de "&amp;2*$MS32,""),IF($PA32&gt;0,"Devolução perdida: "&amp;$PA32&amp;IF($PA32&gt;1," pontos"," ponto")&amp;" sem Melhoria para pagar",""),IF(AND($OC32&gt;0,AND($MS32&gt;0,$OG32=0),$PD32=0),"Controle sem dano: uma rodada a mais e CD +2",""),IF(AND($OC32&gt;0,AND($MS32&gt;0,$OG32=0),$PD32&gt;0,$PD32&lt;=$MS32),"Controle com saldo até a Classe: uma rodada a mais",""),IF(AND($MS32&gt;0,$OE32&lt;&gt;""),"Efeito de "&amp;$OE32&amp;" pela Classe "&amp;MAX(1,$MS32-1),"")))</f>
        <v/>
      </c>
      <c r="PW32" s="164">
        <f>IF($PV32="",0,(LEN($PV32)-LEN(SUBSTITUTE($PV32," · ","")))/3+1)</f>
        <v/>
      </c>
      <c r="PX32" s="164">
        <f>IF($ND32=0,IF($OU32+COUNTIF($NB32:$NC32,"?*")&gt;0,"Dê um nome",""),IF($PU32&gt;0,"⚠ "&amp;$PU32&amp;IF($PU32&gt;1," erros"," erro"),IF($PW32&gt;0,"! "&amp;$PW32&amp;IF($PW32&gt;1," avisos"," aviso"),"Na regra")))</f>
        <v/>
      </c>
      <c r="PY32" s="164">
        <f>IF($ND32=0,"",IF($PU32+$PW32=0,"Dentro das regras que a ficha confere",$PT32&amp;IF(AND($PU32&gt;0,$PW32&gt;0)," · ","")&amp;$PV32))</f>
        <v/>
      </c>
      <c r="PZ32" s="164">
        <f>IF($MQ32&gt;$NE32,$MR32&amp;" · ABRE NO NÍVEL "&amp;$MQ32,$MR32)</f>
        <v/>
      </c>
      <c r="QA32" s="164">
        <f>IF($ND32=0,"",IF($MS32=0,"Sem PE",3*$MS32&amp;" PE"))</f>
        <v/>
      </c>
      <c r="QB32" s="164">
        <f>IF($ND32=0,"",IF($MS32=0,"A atuação básica dela",IF(COUNTIF($RQ32:$RS32,"Atrasar")&gt;0,"Sua Ação Completa",IF(COUNTIF($RK32:$RN32,"Rápido")&gt;0,"Sua Bônus",IF(COUNTIF($RK32:$RN32,"Reação")&gt;0,"Sua Reação","Sua Padrão")))&amp;" + a básica dela"&amp;IF(COUNTIF($RK32:$RN32,"Reação")&gt;0," e a coletiva","")&amp;IF(COUNTIF($RQ32:$RS32,"Carregar")&gt;0," · em dois turnos","")))</f>
        <v/>
      </c>
      <c r="QC32" s="164">
        <f>IF($MW32&lt;&gt;"",$MW32,IF($NJ32=0,"",INDEX('DADOS_FORMAS'!$GE$2:$GE$21,$NJ32)))</f>
        <v/>
      </c>
      <c r="QD32" s="164">
        <f>IF(OR($ND32=0,$NJ32=0),"",IF(COUNTIF($RK32:$RN32,"Inescapável")&gt;0,"Automático",IF($QC32="Ataque",IF($NH32="","Ataque","Ataque "&amp;IF(($NH32+2*IF(COUNTIF($RK32:$RN32,"Precisão")&gt;0,1,0))&gt;=0,"+","−")&amp;ABS(($NH32+2*IF(COUNTIF($RK32:$RN32,"Precisão")&gt;0,1,0))))&amp;IF($OD32&gt;0," · TR"&amp;IF($NI32="",""," CD "&amp;$NI32),""),IF(LEFT($QC32,2)="TR",$QC32&amp;IF($NI32="",""," · CD "&amp;$NI32)&amp;IF(COUNTIF($RK32:$RN32,"Certeiro")&gt;0," · metade",""),"Sem rolagem"))))</f>
        <v/>
      </c>
      <c r="QE32" s="164">
        <f>IF(OR($ND32=0,$NJ32=0),"",IF($MS32=0,IF(OR($OG32&gt;=1,$PD32=0),"Sem dano",$PD32&amp;"d6"&amp;IF($MV32="",""," "&amp;$MV32)),IF(OR($OG32&gt;=1,$PD32=0),UPPER(LEFT(INDEX($PM32:$PS32,1,MAX(1,$MS32)),1))&amp;MID(INDEX($PM32:$PS32,1,MAX(1,$MS32)),2,99),UPPER(LEFT(INDEX($PM32:$PS32,1,MAX(1,$MS32)),1))&amp;MID(INDEX($PM32:$PS32,1,MAX(1,$MS32)),2,99)&amp;IF($MV32="",""," "&amp;$MV32)&amp;IF($PE32&gt;0," · +"&amp;$PE32&amp;"d8",""))))</f>
        <v/>
      </c>
      <c r="QF32" s="164">
        <f>COUNTIF($RK32:$RN32,"Longe")+3*COUNTIF($RK32:$RN32,"Muito Longe")</f>
        <v/>
      </c>
      <c r="QG32" s="164">
        <f>COUNTIF($RK32:$RN32,"Maior")+3*COUNTIF($RK32:$RN32,"Muito Maior")</f>
        <v/>
      </c>
      <c r="QH32" s="164">
        <f>IF($NJ32=0,0,CHOOSE(1+INDEX('DADOS_FORMAS'!$GG$2:$GG$21,$NJ32),0,$QF32,$QG32,$QF32+$QG32))</f>
        <v/>
      </c>
      <c r="QI32" s="164">
        <f>IF($NJ32=0,0,CHOOSE(1+INDEX('DADOS_FORMAS'!$GH$2:$GH$21,$NJ32),0,$QF32,$QG32,$QF32+$QG32))</f>
        <v/>
      </c>
      <c r="QJ32" s="164">
        <f>IF(OR($ND32=0,$NJ32=0),"",INDEX('DADOS_FORMAS'!$HU$2:$HZ$81,($NJ32-1)*4+IF($MS32=0,1,IF($MS32&lt;=5,2,IF($MS32=6,3,4))),1+MIN(5,$QH32))&amp;INDEX('DADOS_FORMAS'!$IA$2:$IF$81,($NJ32-1)*4+IF($MS32=0,1,IF($MS32&lt;=5,2,IF($MS32=6,3,4))),1+MIN(5,$QI32))&amp;IF(INDEX('DADOS_FORMAS'!$GI$2:$GI$21,$NJ32)=1,IF(COUNTIF($RK32:$RN32,"Mais Um")&gt;0," · +"&amp;COUNTIF($RK32:$RN32,"Mais Um")&amp;IF(COUNTIF($RK32:$RN32,"Mais Um")&gt;1," alvos"," alvo"),"")&amp;IF(COUNTIF($RK32:$RN32,"Rajada")&gt;0,IF($MS32=0," · 1 tiro"," · "&amp;(MAX(1,$MS32-1)+1)&amp;" tiros"),""),""))</f>
        <v/>
      </c>
      <c r="QK32" s="164">
        <f>IF($ND32=0,"",IF($MS32=0,$NG32&amp;"d6"&amp;IF($OU32&gt;0," − 1 = "&amp;$PD32&amp;"d6"," da básica do nível "&amp;$NE32),$PB32&amp;" − "&amp;$OW32&amp;" + "&amp;$OZ32&amp;" = "&amp;$PC32&amp;" · teto "&amp;4*$MS32&amp;"d8"&amp;IF($OF32=1," · a Forma devolve "&amp;$MS32,"")&amp;IF($PA32&gt;0," · perde "&amp;$PA32,"")))</f>
        <v/>
      </c>
      <c r="QL32" s="164">
        <f>IF($ND32=0,"",IF($MS32=0,"A básica não amplia: os dados dela sobem com o nível",IF($MS32&gt;=$NF32,"Já está na maior Classe que o nível liberou",TEXTJOIN(" · ",TRUE,IF(AND(2&gt;$MS32,2&lt;=$NF32),"2 → "&amp;$PN32&amp;", 6 PE",""),IF(AND(3&gt;$MS32,3&lt;=$NF32),"3 → "&amp;$PO32&amp;", 9 PE",""),IF(AND(4&gt;$MS32,4&lt;=$NF32),"4 → "&amp;$PP32&amp;", 12 PE",""),IF(AND(5&gt;$MS32,5&lt;=$NF32),"5 → "&amp;$PQ32&amp;", 15 PE",""),IF(AND(6&gt;$MS32,6&lt;=$NF32),"6 → "&amp;$PR32&amp;", 18 PE",""),IF(AND(7&gt;$MS32,7&lt;=$NF32),"7 → "&amp;$PS32&amp;", 21 PE","")))))</f>
        <v/>
      </c>
      <c r="QM32" s="164">
        <f>IF(OR($ND32=0,$NO32=0),"",IF($MS32=0,"−1 dado","−"&amp;INDEX($I$2:$N$8,MAX(1,$MS32),MAX(1,$NT32))&amp;" · "&amp;CHOOSE(MAX(1,$NT32),"Leve","Média","Pesada","Leve · Livre","Média · Livre","Pesada · Livre")))</f>
        <v/>
      </c>
      <c r="QN32" s="164">
        <f>IF(OR($ND32=0,$NP32=0),"",IF($MS32=0,"−1 dado","−"&amp;INDEX($I$2:$N$8,MAX(1,$MS32),MAX(1,$NU32))&amp;" · "&amp;CHOOSE(MAX(1,$NU32),"Leve","Média","Pesada","Leve · Livre","Média · Livre","Pesada · Livre")))</f>
        <v/>
      </c>
      <c r="QO32" s="164">
        <f>IF(OR($ND32=0,$NQ32=0),"",IF($MS32=0,"−1 dado","−"&amp;INDEX($I$2:$N$8,MAX(1,$MS32),MAX(1,$NV32))&amp;" · "&amp;CHOOSE(MAX(1,$NV32),"Leve","Média","Pesada","Leve · Livre","Média · Livre","Pesada · Livre")))</f>
        <v/>
      </c>
      <c r="QP32" s="164">
        <f>IF(OR($ND32=0,$NR32=0),"",IF($MS32=0,"−1 dado","−"&amp;INDEX($I$2:$N$8,MAX(1,$MS32),MAX(1,$NW32))&amp;" · "&amp;CHOOSE(MAX(1,$NW32),"Leve","Média","Pesada","Leve · Livre","Média · Livre","Pesada · Livre")))</f>
        <v/>
      </c>
      <c r="QQ32" s="164">
        <f>IF(OR($ND32=0,$NB32=""),"",IF($MS32=0,"não devolve","+"&amp;IF($OI32=1,CEILING($MS32/2,1),$MS32)))</f>
        <v/>
      </c>
      <c r="QR32" s="164">
        <f>IF(OR($ND32=0,$NC32=""),"",IF($MS32=0,"não devolve","+"&amp;IF($OJ32=1,CEILING($MS32/2,1),$MS32)))</f>
        <v/>
      </c>
      <c r="RK32">
        <f>IF($MX32="","",IFERROR(VLOOKUP(SUBSTITUTE(SUBSTITUTE(SUBSTITUTE($MX32,"~","~~"),"*","~*"),"?","~?"),'DADOS_MELHORIAS'!$O$2:$X$113,10,FALSE),$MX32))</f>
        <v/>
      </c>
      <c r="RL32">
        <f>IF($MY32="","",IFERROR(VLOOKUP(SUBSTITUTE(SUBSTITUTE(SUBSTITUTE($MY32,"~","~~"),"*","~*"),"?","~?"),'DADOS_MELHORIAS'!$O$2:$X$113,10,FALSE),$MY32))</f>
        <v/>
      </c>
      <c r="RM32">
        <f>IF($MZ32="","",IFERROR(VLOOKUP(SUBSTITUTE(SUBSTITUTE(SUBSTITUTE($MZ32,"~","~~"),"*","~*"),"?","~?"),'DADOS_MELHORIAS'!$O$2:$X$113,10,FALSE),$MZ32))</f>
        <v/>
      </c>
      <c r="RN32">
        <f>IF($NA32="","",IFERROR(VLOOKUP(SUBSTITUTE(SUBSTITUTE(SUBSTITUTE($NA32,"~","~~"),"*","~*"),"?","~?"),'DADOS_MELHORIAS'!$O$2:$X$113,10,FALSE),$NA32))</f>
        <v/>
      </c>
      <c r="RO32">
        <f>IFERROR(INDEX('DADOS_FORMAS'!$BJ$2:$BJ$21,MATCH(SUBSTITUTE(SUBSTITUTE(SUBSTITUTE($MU32,"~","~~"),"*","~*"),"?","~?"),'DADOS_FORMAS'!$AH$2:$AH$21,0)),"")</f>
        <v/>
      </c>
      <c r="RP32">
        <f>IFERROR(VLOOKUP(SUBSTITUTE(SUBSTITUTE(SUBSTITUTE(IFERROR(INDEX('DADOS_FORMAS'!$AS$2:$AS$21,MATCH(SUBSTITUTE(SUBSTITUTE(SUBSTITUTE($MU32,"~","~~"),"*","~*"),"?","~?"),'DADOS_FORMAS'!$AH$2:$AH$21,0)),""),"~","~~"),"*","~*"),"?","~?"),'DADOS_RESTRICOES'!$M$2:$Q$54,2,FALSE),"")</f>
        <v/>
      </c>
      <c r="RQ32">
        <f>$OK32</f>
        <v/>
      </c>
      <c r="RR32">
        <f>$OL32</f>
        <v/>
      </c>
      <c r="RS32">
        <f>$RP32</f>
        <v/>
      </c>
    </row>
    <row r="33">
      <c r="AH33" s="162" t="inlineStr">
        <is>
          <t>Apoio · classe 7</t>
        </is>
      </c>
      <c r="AI33" s="162" t="inlineStr">
        <is>
          <t>Um aliado a 18 m</t>
        </is>
      </c>
      <c r="AJ33" s="162" t="inlineStr">
        <is>
          <t>Um aliado a 36 m</t>
        </is>
      </c>
      <c r="AK33" s="162" t="inlineStr">
        <is>
          <t>Um aliado a 90 m</t>
        </is>
      </c>
      <c r="AL33" s="162" t="inlineStr">
        <is>
          <t>Um aliado a visão a olho nu</t>
        </is>
      </c>
      <c r="AM33" s="162" t="inlineStr">
        <is>
          <t>Um aliado a visão a olho nu</t>
        </is>
      </c>
      <c r="AN33" s="162" t="inlineStr">
        <is>
          <t>Um aliado a visão a olho nu</t>
        </is>
      </c>
      <c r="AO33" s="162" t="inlineStr"/>
      <c r="AP33" s="162" t="inlineStr"/>
      <c r="AQ33" s="162" t="inlineStr"/>
      <c r="AR33" s="162" t="inlineStr"/>
      <c r="AS33" s="162" t="inlineStr"/>
      <c r="AT33" s="162" t="inlineStr"/>
      <c r="AV33" s="162" t="inlineStr">
        <is>
          <t>Cego</t>
        </is>
      </c>
      <c r="AW33" s="162" t="inlineStr">
        <is>
          <t>Controle</t>
        </is>
      </c>
      <c r="AX33" s="164" t="n">
        <v>3</v>
      </c>
      <c r="AY33" s="164" t="n">
        <v>1</v>
      </c>
      <c r="AZ33" s="164" t="n">
        <v>0</v>
      </c>
      <c r="BA33" s="164" t="n">
        <v>1</v>
      </c>
      <c r="JT33" s="164">
        <f>IF(OR($AW33="",(COUNTIF($EL$2:$EP$2,$AW33)+COUNTIF($QV$2:$QY$2,$AW33))&gt;0),$AV33,"")</f>
        <v/>
      </c>
      <c r="JU33" s="164">
        <f>IF(AND($AX33=1,OR($AW33="",(COUNTIF($EL$2:$EP$2,$AW33)+COUNTIF($QV$2:$QY$2,$AW33))&gt;0)),$AV33,"")</f>
        <v/>
      </c>
      <c r="JZ33" s="164">
        <f>IF(OR($AW33="",(COUNTIF($EL$3:$EP$3,$AW33)+COUNTIF($QV$3:$QY$3,$AW33))&gt;0),$AV33,"")</f>
        <v/>
      </c>
      <c r="KA33" s="164">
        <f>IF(AND($AX33=1,OR($AW33="",(COUNTIF($EL$3:$EP$3,$AW33)+COUNTIF($QV$3:$QY$3,$AW33))&gt;0)),$AV33,"")</f>
        <v/>
      </c>
      <c r="KF33" s="164">
        <f>IF(OR($AW33="",(COUNTIF($EL$4:$EP$4,$AW33)+COUNTIF($QV$4:$QY$4,$AW33))&gt;0),$AV33,"")</f>
        <v/>
      </c>
      <c r="KG33" s="164">
        <f>IF(AND($AX33=1,OR($AW33="",(COUNTIF($EL$4:$EP$4,$AW33)+COUNTIF($QV$4:$QY$4,$AW33))&gt;0)),$AV33,"")</f>
        <v/>
      </c>
      <c r="KL33" s="164">
        <f>IF(OR($AW33="",(COUNTIF($EL$5:$EP$5,$AW33)+COUNTIF($QV$5:$QY$5,$AW33))&gt;0),$AV33,"")</f>
        <v/>
      </c>
      <c r="KM33" s="164">
        <f>IF(AND($AX33=1,OR($AW33="",(COUNTIF($EL$5:$EP$5,$AW33)+COUNTIF($QV$5:$QY$5,$AW33))&gt;0)),$AV33,"")</f>
        <v/>
      </c>
      <c r="KR33" s="164">
        <f>IF(OR($AW33="",(COUNTIF($EL$6:$EP$6,$AW33)+COUNTIF($QV$6:$QY$6,$AW33))&gt;0),$AV33,"")</f>
        <v/>
      </c>
      <c r="KS33" s="164">
        <f>IF(AND($AX33=1,OR($AW33="",(COUNTIF($EL$6:$EP$6,$AW33)+COUNTIF($QV$6:$QY$6,$AW33))&gt;0)),$AV33,"")</f>
        <v/>
      </c>
      <c r="KX33" s="164">
        <f>IF(OR($AW33="",(COUNTIF($EL$7:$EP$7,$AW33)+COUNTIF($QV$7:$QY$7,$AW33))&gt;0),$AV33,"")</f>
        <v/>
      </c>
      <c r="KY33" s="164">
        <f>IF(AND($AX33=1,OR($AW33="",(COUNTIF($EL$7:$EP$7,$AW33)+COUNTIF($QV$7:$QY$7,$AW33))&gt;0)),$AV33,"")</f>
        <v/>
      </c>
      <c r="LD33" s="164">
        <f>IF(OR($AW33="",(COUNTIF($EL$8:$EP$8,$AW33)+COUNTIF($QV$8:$QY$8,$AW33))&gt;0),$AV33,"")</f>
        <v/>
      </c>
      <c r="LE33" s="164">
        <f>IF(AND($AX33=1,OR($AW33="",(COUNTIF($EL$8:$EP$8,$AW33)+COUNTIF($QV$8:$QY$8,$AW33))&gt;0)),$AV33,"")</f>
        <v/>
      </c>
      <c r="LJ33" s="164">
        <f>IF(OR($AW33="",(COUNTIF($EL$9:$EP$9,$AW33)+COUNTIF($QV$9:$QY$9,$AW33))&gt;0),$AV33,"")</f>
        <v/>
      </c>
      <c r="LK33" s="164">
        <f>IF(AND($AX33=1,OR($AW33="",(COUNTIF($EL$9:$EP$9,$AW33)+COUNTIF($QV$9:$QY$9,$AW33))&gt;0)),$AV33,"")</f>
        <v/>
      </c>
      <c r="LP33" s="164">
        <f>IF(OR($AW33="",(COUNTIF($EL$10:$EP$10,$AW33)+COUNTIF($QV$10:$QY$10,$AW33))&gt;0),$AV33,"")</f>
        <v/>
      </c>
      <c r="LQ33" s="164">
        <f>IF(AND($AX33=1,OR($AW33="",(COUNTIF($EL$10:$EP$10,$AW33)+COUNTIF($QV$10:$QY$10,$AW33))&gt;0)),$AV33,"")</f>
        <v/>
      </c>
      <c r="LV33" s="164">
        <f>IF(OR($AW33="",(COUNTIF($EL$11:$EP$11,$AW33)+COUNTIF($QV$11:$QY$11,$AW33))&gt;0),$AV33,"")</f>
        <v/>
      </c>
      <c r="LW33" s="164">
        <f>IF(AND($AX33=1,OR($AW33="",(COUNTIF($EL$11:$EP$11,$AW33)+COUNTIF($QV$11:$QY$11,$AW33))&gt;0)),$AV33,"")</f>
        <v/>
      </c>
      <c r="MB33" s="164">
        <f>IF(OR($AW33="",(COUNTIF($EL$12:$EP$12,$AW33)+COUNTIF($QV$12:$QY$12,$AW33))&gt;0),$AV33,"")</f>
        <v/>
      </c>
      <c r="MC33" s="164">
        <f>IF(AND($AX33=1,OR($AW33="",(COUNTIF($EL$12:$EP$12,$AW33)+COUNTIF($QV$12:$QY$12,$AW33))&gt;0)),$AV33,"")</f>
        <v/>
      </c>
      <c r="MH33" s="164">
        <f>IF(OR($AW33="",(COUNTIF($EL$13:$EP$13,$AW33)+COUNTIF($QV$13:$QY$13,$AW33))&gt;0),$AV33,"")</f>
        <v/>
      </c>
      <c r="MI33" s="164">
        <f>IF(AND($AX33=1,OR($AW33="",(COUNTIF($EL$13:$EP$13,$AW33)+COUNTIF($QV$13:$QY$13,$AW33))&gt;0)),$AV33,"")</f>
        <v/>
      </c>
      <c r="MN33" s="162" t="inlineStr">
        <is>
          <t>Ficha 3 · Especial 4</t>
        </is>
      </c>
      <c r="MO33" s="164" t="n">
        <v>3</v>
      </c>
      <c r="MP33" s="164" t="n">
        <v>1</v>
      </c>
      <c r="MQ33" s="164" t="n">
        <v>12</v>
      </c>
      <c r="MR33" s="162" t="inlineStr">
        <is>
          <t>ESPECIAL 4</t>
        </is>
      </c>
      <c r="MS33" s="164">
        <f>MAX(1,MIN(7,N('INVOCAÇÕES'!$U$527)))</f>
        <v/>
      </c>
      <c r="MT33" s="164">
        <f>'INVOCAÇÕES'!$V$527&amp;""</f>
        <v/>
      </c>
      <c r="MU33" s="164">
        <f>'INVOCAÇÕES'!$U$532&amp;""</f>
        <v/>
      </c>
      <c r="MV33" s="164">
        <f>'INVOCAÇÕES'!$U$533&amp;""</f>
        <v/>
      </c>
      <c r="MW33" s="164">
        <f>'INVOCAÇÕES'!$W$533&amp;""</f>
        <v/>
      </c>
      <c r="MX33" s="164">
        <f>'INVOCAÇÕES'!$V$536&amp;""</f>
        <v/>
      </c>
      <c r="MY33" s="164">
        <f>'INVOCAÇÕES'!$V$537&amp;""</f>
        <v/>
      </c>
      <c r="MZ33" s="164">
        <f>'INVOCAÇÕES'!$V$538&amp;""</f>
        <v/>
      </c>
      <c r="NA33" s="164">
        <f>'INVOCAÇÕES'!$V$539&amp;""</f>
        <v/>
      </c>
      <c r="NB33" s="164">
        <f>'INVOCAÇÕES'!$V$540&amp;""</f>
        <v/>
      </c>
      <c r="NC33" s="164">
        <f>'INVOCAÇÕES'!$V$541&amp;""</f>
        <v/>
      </c>
      <c r="ND33" s="164">
        <f>IF($MT33&lt;&gt;"",1,0)</f>
        <v/>
      </c>
      <c r="NE33" s="164">
        <f>INDEX($FO$2:$FO$13,$MO33)</f>
        <v/>
      </c>
      <c r="NF33" s="164">
        <f>INDEX($FP$2:$FP$13,$MO33)</f>
        <v/>
      </c>
      <c r="NG33" s="164">
        <f>INDEX($FQ$2:$FQ$13,$MO33)</f>
        <v/>
      </c>
      <c r="NH33" s="164">
        <f>INDEX($GB$2:$GB$13,$MO33)</f>
        <v/>
      </c>
      <c r="NI33" s="164">
        <f>INDEX($GC$2:$GC$13,$MO33)</f>
        <v/>
      </c>
      <c r="NJ33" s="164">
        <f>IFERROR(MATCH(SUBSTITUTE(SUBSTITUTE(SUBSTITUTE($MU33,"~","~~"),"*","~*"),"?","~?"),'DADOS_FORMAS'!$FZ$2:$FZ$21,0),0)</f>
        <v/>
      </c>
      <c r="NK33" s="164">
        <f>IFERROR(VLOOKUP(SUBSTITUTE(SUBSTITUTE(SUBSTITUTE($MX33,"~","~~"),"*","~*"),"?","~?"),'DADOS_MELHORIAS'!$AG$2:$AL$113,2,FALSE),"")</f>
        <v/>
      </c>
      <c r="NL33" s="164">
        <f>IFERROR(VLOOKUP(SUBSTITUTE(SUBSTITUTE(SUBSTITUTE($MY33,"~","~~"),"*","~*"),"?","~?"),'DADOS_MELHORIAS'!$AG$2:$AL$113,2,FALSE),"")</f>
        <v/>
      </c>
      <c r="NM33" s="164">
        <f>IFERROR(VLOOKUP(SUBSTITUTE(SUBSTITUTE(SUBSTITUTE($MZ33,"~","~~"),"*","~*"),"?","~?"),'DADOS_MELHORIAS'!$AG$2:$AL$113,2,FALSE),"")</f>
        <v/>
      </c>
      <c r="NN33" s="164">
        <f>IFERROR(VLOOKUP(SUBSTITUTE(SUBSTITUTE(SUBSTITUTE($NA33,"~","~~"),"*","~*"),"?","~?"),'DADOS_MELHORIAS'!$AG$2:$AL$113,2,FALSE),"")</f>
        <v/>
      </c>
      <c r="NO33" s="164">
        <f>IFERROR(VLOOKUP(SUBSTITUTE(SUBSTITUTE(SUBSTITUTE($MX33,"~","~~"),"*","~*"),"?","~?"),'DADOS_MELHORIAS'!$AG$2:$AL$113,3,FALSE),0)</f>
        <v/>
      </c>
      <c r="NP33" s="164">
        <f>IFERROR(VLOOKUP(SUBSTITUTE(SUBSTITUTE(SUBSTITUTE($MY33,"~","~~"),"*","~*"),"?","~?"),'DADOS_MELHORIAS'!$AG$2:$AL$113,3,FALSE),0)</f>
        <v/>
      </c>
      <c r="NQ33" s="164">
        <f>IFERROR(VLOOKUP(SUBSTITUTE(SUBSTITUTE(SUBSTITUTE($MZ33,"~","~~"),"*","~*"),"?","~?"),'DADOS_MELHORIAS'!$AG$2:$AL$113,3,FALSE),0)</f>
        <v/>
      </c>
      <c r="NR33" s="164">
        <f>IFERROR(VLOOKUP(SUBSTITUTE(SUBSTITUTE(SUBSTITUTE($NA33,"~","~~"),"*","~*"),"?","~?"),'DADOS_MELHORIAS'!$AG$2:$AL$113,3,FALSE),0)</f>
        <v/>
      </c>
      <c r="NS33" s="164">
        <f>IF($MS33=0,0,IF($NJ33=0,0,INDEX('DADOS_FORMAS'!$GB$2:$GB$21,$NJ33)))</f>
        <v/>
      </c>
      <c r="NT33" s="164">
        <f>IF(OR($NO33=0,$MS33=0),0,$NO33+3*IF(AND($NK33&lt;&gt;"",COUNTIF(INDEX($RB$2:$RJ$13,$MO33,0),$NK33)&gt;0),1,0))</f>
        <v/>
      </c>
      <c r="NU33" s="164">
        <f>IF(OR($NP33=0,$MS33=0),0,$NP33+3*IF(AND($NL33&lt;&gt;"",COUNTIF(INDEX($RB$2:$RJ$13,$MO33,0),$NL33)&gt;0),1,0))</f>
        <v/>
      </c>
      <c r="NV33" s="164">
        <f>IF(OR($NQ33=0,$MS33=0),0,$NQ33+3*IF(AND($NM33&lt;&gt;"",COUNTIF(INDEX($RB$2:$RJ$13,$MO33,0),$NM33)&gt;0),1,0))</f>
        <v/>
      </c>
      <c r="NW33" s="164">
        <f>IF(OR($NR33=0,$MS33=0),0,$NR33+3*IF(AND($NN33&lt;&gt;"",COUNTIF(INDEX($RB$2:$RJ$13,$MO33,0),$NN33)&gt;0),1,0))</f>
        <v/>
      </c>
      <c r="NX33" s="164">
        <f>IF($NJ33=0,0,IF(INDEX('DADOS_FORMAS'!$GA$2:$GA$21,$NJ33)="",0,IF((COUNTIF(INDEX($EL$2:$EP$13,$MO33,0),INDEX('DADOS_FORMAS'!$GA$2:$GA$21,$NJ33))+COUNTIF(INDEX($QV$2:$QY$13,$MO33,0),INDEX('DADOS_FORMAS'!$GA$2:$GA$21,$NJ33)))=0,1,0)))</f>
        <v/>
      </c>
      <c r="NY33" s="164">
        <f>IF(OR($NO33=0,$NK33=""),0,IF((COUNTIF(INDEX($EL$2:$EP$13,$MO33,0),$NK33)+COUNTIF(INDEX($QV$2:$QY$13,$MO33,0),$NK33))=0,1,0))</f>
        <v/>
      </c>
      <c r="NZ33" s="164">
        <f>IF(OR($NP33=0,$NL33=""),0,IF((COUNTIF(INDEX($EL$2:$EP$13,$MO33,0),$NL33)+COUNTIF(INDEX($QV$2:$QY$13,$MO33,0),$NL33))=0,1,0))</f>
        <v/>
      </c>
      <c r="OA33" s="164">
        <f>IF(OR($NQ33=0,$NM33=""),0,IF((COUNTIF(INDEX($EL$2:$EP$13,$MO33,0),$NM33)+COUNTIF(INDEX($QV$2:$QY$13,$MO33,0),$NM33))=0,1,0))</f>
        <v/>
      </c>
      <c r="OB33" s="164">
        <f>IF(OR($NR33=0,$NN33=""),0,IF((COUNTIF(INDEX($EL$2:$EP$13,$MO33,0),$NN33)+COUNTIF(INDEX($QV$2:$QY$13,$MO33,0),$NN33))=0,1,0))</f>
        <v/>
      </c>
      <c r="OC33" s="164">
        <f>IFERROR(VLOOKUP(SUBSTITUTE(SUBSTITUTE(SUBSTITUTE($MX33,"~","~~"),"*","~*"),"?","~?"),'DADOS_MELHORIAS'!$AG$2:$AL$113,4,FALSE),0)+IFERROR(VLOOKUP(SUBSTITUTE(SUBSTITUTE(SUBSTITUTE($MY33,"~","~~"),"*","~*"),"?","~?"),'DADOS_MELHORIAS'!$AG$2:$AL$113,4,FALSE),0)+IFERROR(VLOOKUP(SUBSTITUTE(SUBSTITUTE(SUBSTITUTE($MZ33,"~","~~"),"*","~*"),"?","~?"),'DADOS_MELHORIAS'!$AG$2:$AL$113,4,FALSE),0)+IFERROR(VLOOKUP(SUBSTITUTE(SUBSTITUTE(SUBSTITUTE($NA33,"~","~~"),"*","~*"),"?","~?"),'DADOS_MELHORIAS'!$AG$2:$AL$113,4,FALSE),0)</f>
        <v/>
      </c>
      <c r="OD33" s="164">
        <f>IFERROR(VLOOKUP(SUBSTITUTE(SUBSTITUTE(SUBSTITUTE($MX33,"~","~~"),"*","~*"),"?","~?"),'DADOS_MELHORIAS'!$AG$2:$AL$113,6,FALSE),0)+IFERROR(VLOOKUP(SUBSTITUTE(SUBSTITUTE(SUBSTITUTE($MY33,"~","~~"),"*","~*"),"?","~?"),'DADOS_MELHORIAS'!$AG$2:$AL$113,6,FALSE),0)+IFERROR(VLOOKUP(SUBSTITUTE(SUBSTITUTE(SUBSTITUTE($MZ33,"~","~~"),"*","~*"),"?","~?"),'DADOS_MELHORIAS'!$AG$2:$AL$113,6,FALSE),0)+IFERROR(VLOOKUP(SUBSTITUTE(SUBSTITUTE(SUBSTITUTE($NA33,"~","~~"),"*","~*"),"?","~?"),'DADOS_MELHORIAS'!$AG$2:$AL$113,6,FALSE),0)+IFERROR(N(AND(INDEX('DADOS_FORMAS'!$AO$2:$AO$21,MATCH(SUBSTITUTE(SUBSTITUTE(SUBSTITUTE($MU33,"~","~~"),"*","~*"),"?","~?"),'DADOS_FORMAS'!$AH$2:$AH$21,0))="Acerto",$OH33=1)),0)</f>
        <v/>
      </c>
      <c r="OE33" s="164">
        <f>TEXTJOIN(", ",TRUE,IF(IFERROR(VLOOKUP(SUBSTITUTE(SUBSTITUTE(SUBSTITUTE($MX33,"~","~~"),"*","~*"),"?","~?"),'DADOS_MELHORIAS'!$AG$2:$AL$113,5,FALSE),0)=1,$MX33,""),IF(IFERROR(VLOOKUP(SUBSTITUTE(SUBSTITUTE(SUBSTITUTE($MY33,"~","~~"),"*","~*"),"?","~?"),'DADOS_MELHORIAS'!$AG$2:$AL$113,5,FALSE),0)=1,$MY33,""),IF(IFERROR(VLOOKUP(SUBSTITUTE(SUBSTITUTE(SUBSTITUTE($MZ33,"~","~~"),"*","~*"),"?","~?"),'DADOS_MELHORIAS'!$AG$2:$AL$113,5,FALSE),0)=1,$MZ33,""),IF(IFERROR(VLOOKUP(SUBSTITUTE(SUBSTITUTE(SUBSTITUTE($NA33,"~","~~"),"*","~*"),"?","~?"),'DADOS_MELHORIAS'!$AG$2:$AL$113,5,FALSE),0)=1,$NA33,""))</f>
        <v/>
      </c>
      <c r="OF33" s="164">
        <f>IF($NJ33=0,0,INDEX('DADOS_FORMAS'!$GC$2:$GC$21,$NJ33))</f>
        <v/>
      </c>
      <c r="OG33" s="164">
        <f>IF($NJ33=0,0,INDEX('DADOS_FORMAS'!$GD$2:$GD$21,$NJ33))</f>
        <v/>
      </c>
      <c r="OH33" s="164">
        <f>IF($NJ33=0,0,INDEX('DADOS_FORMAS'!$GF$2:$GF$21,$NJ33))</f>
        <v/>
      </c>
      <c r="OI33" s="164">
        <f>IFERROR(VLOOKUP(SUBSTITUTE(SUBSTITUTE(SUBSTITUTE($NB33,"~","~~"),"*","~*"),"?","~?"),'DADOS_RESTRICOES'!$M$2:$Q$54,3,FALSE),0)</f>
        <v/>
      </c>
      <c r="OJ33" s="164">
        <f>IFERROR(VLOOKUP(SUBSTITUTE(SUBSTITUTE(SUBSTITUTE($NC33,"~","~~"),"*","~*"),"?","~?"),'DADOS_RESTRICOES'!$M$2:$Q$54,3,FALSE),0)</f>
        <v/>
      </c>
      <c r="OK33" s="164">
        <f>IFERROR(VLOOKUP(SUBSTITUTE(SUBSTITUTE(SUBSTITUTE($NB33,"~","~~"),"*","~*"),"?","~?"),'DADOS_RESTRICOES'!$M$2:$Q$54,2,FALSE),"")</f>
        <v/>
      </c>
      <c r="OL33" s="164">
        <f>IFERROR(VLOOKUP(SUBSTITUTE(SUBSTITUTE(SUBSTITUTE($NC33,"~","~~"),"*","~*"),"?","~?"),'DADOS_RESTRICOES'!$M$2:$Q$54,2,FALSE),"")</f>
        <v/>
      </c>
      <c r="OM33" s="164">
        <f>COUNTIF($NS33:$NW33,1)</f>
        <v/>
      </c>
      <c r="ON33" s="164">
        <f>COUNTIF($NS33:$NW33,2)</f>
        <v/>
      </c>
      <c r="OO33" s="164">
        <f>COUNTIF($NS33:$NW33,3)</f>
        <v/>
      </c>
      <c r="OP33" s="164">
        <f>COUNTIF($NS33:$NW33,4)</f>
        <v/>
      </c>
      <c r="OQ33" s="164">
        <f>COUNTIF($NS33:$NW33,5)</f>
        <v/>
      </c>
      <c r="OR33" s="164">
        <f>COUNTIF($NS33:$NW33,6)</f>
        <v/>
      </c>
      <c r="OS33" s="164">
        <f>COUNTIF($OI33:$OJ33,1)+IF(IFERROR(INDEX('DADOS_FORMAS'!$AS$2:$AS$21,MATCH(SUBSTITUTE(SUBSTITUTE(SUBSTITUTE($MU33,"~","~~"),"*","~*"),"?","~?"),'DADOS_FORMAS'!$AH$2:$AH$21,0)),"")="",0,IFERROR(N(VLOOKUP(SUBSTITUTE(SUBSTITUTE(SUBSTITUTE(IFERROR(INDEX('DADOS_FORMAS'!$AS$2:$AS$21,MATCH(SUBSTITUTE(SUBSTITUTE(SUBSTITUTE($MU33,"~","~~"),"*","~*"),"?","~?"),'DADOS_FORMAS'!$AH$2:$AH$21,0)),""),"~","~~"),"*","~*"),"?","~?"),'DADOS_RESTRICOES'!$M$2:$Q$54,3,FALSE)=1),0))</f>
        <v/>
      </c>
      <c r="OT33" s="164">
        <f>COUNTIF($OI33:$OJ33,2)+IF(IFERROR(INDEX('DADOS_FORMAS'!$AS$2:$AS$21,MATCH(SUBSTITUTE(SUBSTITUTE(SUBSTITUTE($MU33,"~","~~"),"*","~*"),"?","~?"),'DADOS_FORMAS'!$AH$2:$AH$21,0)),"")="",0,IFERROR(N(VLOOKUP(SUBSTITUTE(SUBSTITUTE(SUBSTITUTE(IFERROR(INDEX('DADOS_FORMAS'!$AS$2:$AS$21,MATCH(SUBSTITUTE(SUBSTITUTE(SUBSTITUTE($MU33,"~","~~"),"*","~*"),"?","~?"),'DADOS_FORMAS'!$AH$2:$AH$21,0)),""),"~","~~"),"*","~*"),"?","~?"),'DADOS_RESTRICOES'!$M$2:$Q$54,3,FALSE)=2),0))</f>
        <v/>
      </c>
      <c r="OU33" s="164">
        <f>COUNTIF($MX33:$NA33,"?*")</f>
        <v/>
      </c>
      <c r="OV33" s="164">
        <f>COUNTIF($NB33:$NC33,"?*")+$OF33</f>
        <v/>
      </c>
      <c r="OW33" s="164">
        <f>IF($MS33=0,0,SUMPRODUCT($OM33:$OR33,INDEX($I$2:$N$8,MAX(1,$MS33),0)))</f>
        <v/>
      </c>
      <c r="OX33" s="164">
        <f>IF($MS33=0,0,$OS33*CEILING($MS33/2,1)+$OT33*$MS33)</f>
        <v/>
      </c>
      <c r="OY33" s="164">
        <f>MIN(2*$MS33,$OX33)</f>
        <v/>
      </c>
      <c r="OZ33" s="164">
        <f>MIN($OY33,$OW33-IF($NS33=0,0,INDEX($I$2:$N$8,MAX(1,$MS33),$NS33)))</f>
        <v/>
      </c>
      <c r="PA33" s="164">
        <f>$OY33-$OZ33</f>
        <v/>
      </c>
      <c r="PB33" s="164">
        <f>IF($MS33=0,0,INDEX($P$2:$P$8,MAX(1,$MS33)))</f>
        <v/>
      </c>
      <c r="PC33" s="164">
        <f>$PB33-$OW33+$OZ33</f>
        <v/>
      </c>
      <c r="PD33" s="164">
        <f>IF($MS33=0,MAX(0,$NG33-IF(AND($OU33&gt;0,COUNTIF($NB33:$NC33,"?*")=0),1,0)),MAX(0,$PC33))</f>
        <v/>
      </c>
      <c r="PE33" s="164">
        <f>IF($MS33=0,0,(IF(COUNTIF($RK33:$RN33,"Salto")&gt;0,1,0)+IF(COUNTIF($RK33:$RN33,"Queima")&gt;0,1,0)+IF(COUNTIF($RK33:$RN33,"Estilhaço")&gt;0,1,0))*FLOOR($PD33/2,1))</f>
        <v/>
      </c>
      <c r="PF33" s="164">
        <f>MAX(0,2-SUMPRODUCT($OM33:$OR33,$I$2:$N$2)+MIN(2,$OS33*1+$OT33*1,SUMPRODUCT($OM33:$OR33,$I$2:$N$2)-IF($NS33=0,0,INDEX($I$2:$N$2,1,$NS33))))</f>
        <v/>
      </c>
      <c r="PG33" s="164">
        <f>MAX(0,4-SUMPRODUCT($OM33:$OR33,$I$3:$N$3)+MIN(4,$OS33*1+$OT33*2,SUMPRODUCT($OM33:$OR33,$I$3:$N$3)-IF($NS33=0,0,INDEX($I$3:$N$3,1,$NS33))))</f>
        <v/>
      </c>
      <c r="PH33" s="164">
        <f>MAX(0,6-SUMPRODUCT($OM33:$OR33,$I$4:$N$4)+MIN(6,$OS33*2+$OT33*3,SUMPRODUCT($OM33:$OR33,$I$4:$N$4)-IF($NS33=0,0,INDEX($I$4:$N$4,1,$NS33))))</f>
        <v/>
      </c>
      <c r="PI33" s="164">
        <f>MAX(0,9-SUMPRODUCT($OM33:$OR33,$I$5:$N$5)+MIN(8,$OS33*2+$OT33*4,SUMPRODUCT($OM33:$OR33,$I$5:$N$5)-IF($NS33=0,0,INDEX($I$5:$N$5,1,$NS33))))</f>
        <v/>
      </c>
      <c r="PJ33" s="164">
        <f>MAX(0,11-SUMPRODUCT($OM33:$OR33,$I$6:$N$6)+MIN(10,$OS33*3+$OT33*5,SUMPRODUCT($OM33:$OR33,$I$6:$N$6)-IF($NS33=0,0,INDEX($I$6:$N$6,1,$NS33))))</f>
        <v/>
      </c>
      <c r="PK33" s="164">
        <f>MAX(0,13-SUMPRODUCT($OM33:$OR33,$I$7:$N$7)+MIN(12,$OS33*3+$OT33*6,SUMPRODUCT($OM33:$OR33,$I$7:$N$7)-IF($NS33=0,0,INDEX($I$7:$N$7,1,$NS33))))</f>
        <v/>
      </c>
      <c r="PL33" s="164">
        <f>MAX(0,16-SUMPRODUCT($OM33:$OR33,$I$8:$N$8)+MIN(14,$OS33*4+$OT33*7,SUMPRODUCT($OM33:$OR33,$I$8:$N$8)-IF($NS33=0,0,INDEX($I$8:$N$8,1,$NS33))))</f>
        <v/>
      </c>
      <c r="PM33" s="164">
        <f>IF($OG33=2,3*$PF33&amp;" de vida temp.",IF($OG33=3,"sem dano",IF($PF33=0,IF($OG33=1,"sem cura","sem dano"),IF($OG33=1,"cura ","")&amp;$PF33&amp;"d8")))</f>
        <v/>
      </c>
      <c r="PN33" s="164">
        <f>IF($OG33=2,3*$PG33&amp;" de vida temp.",IF($OG33=3,"sem dano",IF($PG33=0,IF($OG33=1,"sem cura","sem dano"),IF($OG33=1,"cura ","")&amp;$PG33&amp;"d8")))</f>
        <v/>
      </c>
      <c r="PO33" s="164">
        <f>IF($OG33=2,3*$PH33&amp;" de vida temp.",IF($OG33=3,"sem dano",IF($PH33=0,IF($OG33=1,"sem cura","sem dano"),IF($OG33=1,"cura ","")&amp;$PH33&amp;"d8")))</f>
        <v/>
      </c>
      <c r="PP33" s="164">
        <f>IF($OG33=2,3*$PI33&amp;" de vida temp.",IF($OG33=3,"sem dano",IF($PI33=0,IF($OG33=1,"sem cura","sem dano"),IF($OG33=1,"cura ","")&amp;$PI33&amp;"d8")))</f>
        <v/>
      </c>
      <c r="PQ33" s="164">
        <f>IF($OG33=2,3*$PJ33&amp;" de vida temp.",IF($OG33=3,"sem dano",IF($PJ33=0,IF($OG33=1,"sem cura","sem dano"),IF($OG33=1,"cura ","")&amp;$PJ33&amp;"d8")))</f>
        <v/>
      </c>
      <c r="PR33" s="164">
        <f>IF($OG33=2,3*$PK33&amp;" de vida temp.",IF($OG33=3,"sem dano",IF($PK33=0,IF($OG33=1,"sem cura","sem dano"),IF($OG33=1,"cura ","")&amp;$PK33&amp;"d8")))</f>
        <v/>
      </c>
      <c r="PS33" s="164">
        <f>IF($OG33=2,3*$PL33&amp;" de vida temp.",IF($OG33=3,"sem dano",IF($PL33=0,IF($OG33=1,"sem cura","sem dano"),IF($OG33=1,"cura ","")&amp;$PL33&amp;"d8")))</f>
        <v/>
      </c>
      <c r="PT33" s="164">
        <f>IF($ND33=0,"",TEXTJOIN(" · ",TRUE,IF($ND33=0,"",TEXTJOIN(" · ",TRUE,IF($ND33=0,"",TEXTJOIN(" · ",TRUE,IF($MQ33&gt;$NE33,"Este lugar abre no nível "&amp;$MQ33,""),IF($MS33&gt;$NF33,"Classe "&amp;$MS33&amp;": o nível "&amp;$NE33&amp;" libera até a "&amp;$NF33,""),IF($NX33=1,"A Forma "&amp;$MU33&amp;" pede "&amp;INDEX('DADOS_FORMAS'!$GA$2:$GA$21,$NJ33)&amp;" aberta",""),IF(AND($MS33=0,$NJ33&gt;0,IF($NJ33=0,0,INDEX('DADOS_FORMAS'!$GJ$2:$GJ$21,$NJ33))=0),$MU33&amp;" não existe na Classe 0",""),IF($NY33=1,"Família Fechada: "&amp;$MX33,""),IF($NZ33=1,"Família Fechada: "&amp;$MY33,""),IF($OA33=1,"Família Fechada: "&amp;$MZ33,""),IF($OB33=1,"Família Fechada: "&amp;$NA33,""),IF(AND($MS33&gt;0,$OU33&gt;INDEX($O$2:$O$8,MAX(1,$MS33))),$OU33&amp;" Melhorias: a Classe "&amp;$MS33&amp;" aceita "&amp;INDEX($O$2:$O$8,MAX(1,$MS33)),""),IF(AND($MS33=0,$OU33&gt;1),"A básica aceita uma Melhoria",""),IF(AND($MS33=0,COUNTIF($NO33:$NR33,"&gt;1")&gt;0),"A básica só aceita Melhoria Leve",""),IF(AND($MS33&gt;0,$OV33&gt;2),$OV33&amp;" Restrições"&amp;IF($OF33=1,", contando a que a Forma "&amp;$MU33&amp;" já traz","")&amp;": o limite é 2",""),IF(AND($MS33=0,COUNTIF($NB33:$NC33,"?*")&gt;1),"A básica aceita uma Restrição Leve",""),IF(AND($MS33=0,COUNTIF($OI33:$OJ33,2)&gt;0),"A básica só aceita Restrição Leve",""),IF(AND($MS33&gt;0,$PC33&lt;0),"Orçamento estourado: faltam "&amp;(-$PC33)&amp;IF($PC33&lt;-1," pontos"," ponto"),""),IF(IFERROR(VLOOKUP(SUBSTITUTE(SUBSTITUTE(SUBSTITUTE($NB33,"~","~~"),"*","~*"),"?","~?"),'DADOS_RESTRICOES'!$M$2:$Q$54,4,FALSE),0)+IFERROR(VLOOKUP(SUBSTITUTE(SUBSTITUTE(SUBSTITUTE($NC33,"~","~~"),"*","~*"),"?","~?"),'DADOS_RESTRICOES'!$M$2:$Q$54,4,FALSE),0)&gt;1,$OK33&amp;" e "&amp;$OL33&amp;" são as duas de frequência",""),IF(AND((COUNTIF($RK33:$RN33,"Rápido")+COUNTIF($OK33:$OL33,"Rápido"))&gt;0,(COUNTIF($MX33:$NA33,"Atrasar")+COUNTIF($OK33:$OL33,"Atrasar"))&gt;0),"Rápido não entra com Atrasar",""),IF(AND((COUNTIF($RK33:$RN33,"Reação")+COUNTIF($OK33:$OL33,"Reação"))&gt;0,(COUNTIF($RK33:$RN33,"Rápido")+COUNTIF($OK33:$OL33,"Rápido"))&gt;0),"Reação não entra com Rápido",""),IF(AND((COUNTIF($RK33:$RN33,"Reação")+COUNTIF($OK33:$OL33,"Reação"))&gt;0,(COUNTIF($RK33:$RN33,"Armado")+COUNTIF($OK33:$OL33,"Armado"))&gt;0),"Reação não entra com Armado",""),IF(AND((COUNTIF($RK33:$RN33,"Reação")+COUNTIF($OK33:$OL33,"Reação"))&gt;0,(COUNTIF($MX33:$NA33,"Atrasar")+COUNTIF($OK33:$OL33,"Atrasar"))&gt;0),"Reação não entra com Atrasar",""),IF(AND((COUNTIF($RK33:$RN33,"Reação")+COUNTIF($OK33:$OL33,"Reação"))&gt;0,(COUNTIF($MX33:$NA33,"Parado")+COUNTIF($OK33:$OL33,"Parado"))&gt;0),"Reação não entra com Parado",""),IF(AND((COUNTIF($MX33:$NA33,"Atrasar")+COUNTIF($OK33:$OL33,"Atrasar"))&gt;0,(COUNTIF($MX33:$NA33,"Parado")+COUNTIF($OK33:$OL33,"Parado"))&gt;0),"Atrasar não entra com Parado",""),IF(AND((COUNTIF($RK33:$RN33,"Armado")+COUNTIF($OK33:$OL33,"Armado"))&gt;0,(COUNTIF($MX33:$NA33,"Carregar")+COUNTIF($OK33:$OL33,"Carregar"))&gt;0),"Armado não entra com Carregar",""),IF(AND(COUNTIF($OK33:$OL33,"Corpo a Corpo")&gt;0,$OF33=0,OR($RO33="Cone",$RO33="Linha")),"Corpo a Corpo não entra em "&amp;$MU33,""),IF(AND(COUNTIF($OK33:$OL33,"Corpo a Corpo")&gt;0,$RP33="Corpo a Corpo"),"A Forma "&amp;$MU33&amp;" já traz o Corpo a Corpo",""),IF(AND(COUNTIF($OK33:$OL33,"Tudo ou Nada")&gt;0,$OH33=0),"Tudo ou Nada só entra em habilidade de Teste de Resistência",""),IF(AND(COUNTIF($RK33:$RN33,"Inescapável")&gt;0,OR($OU33&gt;1,$OV33&gt;0)),"Inescapável não aceita outra peça",""),IF(AND($MS33&gt;0,$PD33*IF(COUNTIF($RK33:$RN33,"Remate")&gt;0,1.25,1)+$PE33&gt;4*$MS33),($PD33*IF(COUNTIF($RK33:$RN33,"Remate")&gt;0,1.25,1)+$PE33)&amp;" dados somando repetições"&amp;IF(COUNTIF($RK33:$RN33,"Remate")&gt;0," e o Remate","")&amp;": o teto da Classe "&amp;$MS33&amp;" é "&amp;4*$MS33,""))),IF(AND($MX33&lt;&gt;"",COUNTIF('DADOS_MELHORIAS'!$O$2:$O$113,SUBSTITUTE(SUBSTITUTE(SUBSTITUTE($MX33,"~","~~"),"*","~*"),"?","~?"))=0),"Melhoria não cadastrada ou com erro: "&amp;$MX33,""),IF(AND($MY33&lt;&gt;"",COUNTIF('DADOS_MELHORIAS'!$O$2:$O$113,SUBSTITUTE(SUBSTITUTE(SUBSTITUTE($MY33,"~","~~"),"*","~*"),"?","~?"))=0),"Melhoria não cadastrada ou com erro: "&amp;$MY33,""),IF(AND($MZ33&lt;&gt;"",COUNTIF('DADOS_MELHORIAS'!$O$2:$O$113,SUBSTITUTE(SUBSTITUTE(SUBSTITUTE($MZ33,"~","~~"),"*","~*"),"?","~?"))=0),"Melhoria não cadastrada ou com erro: "&amp;$MZ33,""),IF(AND($NA33&lt;&gt;"",COUNTIF('DADOS_MELHORIAS'!$O$2:$O$113,SUBSTITUTE(SUBSTITUTE(SUBSTITUTE($NA33,"~","~~"),"*","~*"),"?","~?"))=0),"Melhoria não cadastrada ou com erro: "&amp;$NA33,""),IF(AND($NB33&lt;&gt;"",COUNTIF('DADOS_RESTRICOES'!$M$2:$M$54,SUBSTITUTE(SUBSTITUTE(SUBSTITUTE($NB33,"~","~~"),"*","~*"),"?","~?"))=0),"Restrição não cadastrada ou com erro: "&amp;$NB33,""),IF(AND($NC33&lt;&gt;"",COUNTIF('DADOS_RESTRICOES'!$M$2:$M$54,SUBSTITUTE(SUBSTITUTE(SUBSTITUTE($NC33,"~","~~"),"*","~*"),"?","~?"))=0),"Restrição não cadastrada ou com erro: "&amp;$NC33,""))),IF(AND($MU33&lt;&gt;"",COUNTIF('DADOS_FORMAS'!$AH$2:$AH$21,SUBSTITUTE(SUBSTITUTE(SUBSTITUTE($MU33,"~","~~"),"*","~*"),"?","~?"))=0),"Forma não cadastrada ou com erro: "&amp;$MU33,""),IF(AND(IFERROR(INDEX('DADOS_FORMAS'!$AS$2:$AS$21,MATCH(SUBSTITUTE(SUBSTITUTE(SUBSTITUTE($MU33,"~","~~"),"*","~*"),"?","~?"),'DADOS_FORMAS'!$AH$2:$AH$21,0)),"")&lt;&gt;"",OR(IFERROR(VLOOKUP(SUBSTITUTE(SUBSTITUTE(SUBSTITUTE(IFERROR(INDEX('DADOS_FORMAS'!$AS$2:$AS$21,MATCH(SUBSTITUTE(SUBSTITUTE(SUBSTITUTE($MU33,"~","~~"),"*","~*"),"?","~?"),'DADOS_FORMAS'!$AH$2:$AH$21,0)),""),"~","~~"),"*","~*"),"?","~?"),'DADOS_RESTRICOES'!$M$2:$Q$54,2,FALSE),"")=$OK33,IFERROR(VLOOKUP(SUBSTITUTE(SUBSTITUTE(SUBSTITUTE(IFERROR(INDEX('DADOS_FORMAS'!$AS$2:$AS$21,MATCH(SUBSTITUTE(SUBSTITUTE(SUBSTITUTE($MU33,"~","~~"),"*","~*"),"?","~?"),'DADOS_FORMAS'!$AH$2:$AH$21,0)),""),"~","~~"),"*","~*"),"?","~?"),'DADOS_RESTRICOES'!$M$2:$Q$54,2,FALSE),"")=$OL33)),"Restrição repetida, contando a embutida",""),IF(IF(IFERROR(INDEX('DADOS_FORMAS'!$AS$2:$AS$21,MATCH(SUBSTITUTE(SUBSTITUTE(SUBSTITUTE($MU33,"~","~~"),"*","~*"),"?","~?"),'DADOS_FORMAS'!$AH$2:$AH$21,0)),"")="",0,IFERROR(N(VLOOKUP(SUBSTITUTE(SUBSTITUTE(SUBSTITUTE(IFERROR(INDEX('DADOS_FORMAS'!$AS$2:$AS$21,MATCH(SUBSTITUTE(SUBSTITUTE(SUBSTITUTE($MU33,"~","~~"),"*","~*"),"?","~?"),'DADOS_FORMAS'!$AH$2:$AH$21,0)),""),"~","~~"),"*","~*"),"?","~?"),'DADOS_RESTRICOES'!$M$2:$Q$54,4,FALSE)=1),0))+IF($NB33="",0,IFERROR(N(VLOOKUP(SUBSTITUTE(SUBSTITUTE(SUBSTITUTE($NB33,"~","~~"),"*","~*"),"?","~?"),'DADOS_RESTRICOES'!$M$2:$Q$54,4,FALSE)=1),0))+IF($NC33="",0,IFERROR(N(VLOOKUP(SUBSTITUTE(SUBSTITUTE(SUBSTITUTE($NC33,"~","~~"),"*","~*"),"?","~?"),'DADOS_RESTRICOES'!$M$2:$Q$54,4,FALSE)=1),0))&gt;1,"Duas Restrições de frequência, contando a embutida",""),IF(AND(IFERROR(VLOOKUP(SUBSTITUTE(SUBSTITUTE(SUBSTITUTE(IFERROR(INDEX('DADOS_FORMAS'!$AS$2:$AS$21,MATCH(SUBSTITUTE(SUBSTITUTE(SUBSTITUTE($MU33,"~","~~"),"*","~*"),"?","~?"),'DADOS_FORMAS'!$AH$2:$AH$21,0)),""),"~","~~"),"*","~*"),"?","~?"),'DADOS_RESTRICOES'!$M$2:$Q$54,2,FALSE),"")="Tudo ou Nada",$OH33=0),"Tudo ou Nada exige TR",""),IF(AND(IFERROR(VLOOKUP(SUBSTITUTE(SUBSTITUTE(SUBSTITUTE(IFERROR(INDEX('DADOS_FORMAS'!$AS$2:$AS$21,MATCH(SUBSTITUTE(SUBSTITUTE(SUBSTITUTE($MU33,"~","~~"),"*","~*"),"?","~?"),'DADOS_FORMAS'!$AH$2:$AH$21,0)),""),"~","~~"),"*","~*"),"?","~?"),'DADOS_RESTRICOES'!$M$2:$Q$54,2,FALSE),"")="Corpo a Corpo",OR($RO33="Cone",$RO33="Linha")),"Corpo a Corpo não entra em Cone/Linha","")))</f>
        <v/>
      </c>
      <c r="PU33" s="164">
        <f>IF($PT33="",0,(LEN($PT33)-LEN(SUBSTITUTE($PT33," · ","")))/3+1)</f>
        <v/>
      </c>
      <c r="PV33" s="164">
        <f>IF($ND33=0,"",TEXTJOIN(" · ",TRUE,IF($OX33&gt;2*$MS33,"A devolução parou no teto de "&amp;2*$MS33,""),IF($PA33&gt;0,"Devolução perdida: "&amp;$PA33&amp;IF($PA33&gt;1," pontos"," ponto")&amp;" sem Melhoria para pagar",""),IF(AND($OC33&gt;0,AND($MS33&gt;0,$OG33=0),$PD33=0),"Controle sem dano: uma rodada a mais e CD +2",""),IF(AND($OC33&gt;0,AND($MS33&gt;0,$OG33=0),$PD33&gt;0,$PD33&lt;=$MS33),"Controle com saldo até a Classe: uma rodada a mais",""),IF(AND($MS33&gt;0,$OE33&lt;&gt;""),"Efeito de "&amp;$OE33&amp;" pela Classe "&amp;MAX(1,$MS33-1),"")))</f>
        <v/>
      </c>
      <c r="PW33" s="164">
        <f>IF($PV33="",0,(LEN($PV33)-LEN(SUBSTITUTE($PV33," · ","")))/3+1)</f>
        <v/>
      </c>
      <c r="PX33" s="164">
        <f>IF($ND33=0,IF($OU33+COUNTIF($NB33:$NC33,"?*")&gt;0,"Dê um nome",""),IF($PU33&gt;0,"⚠ "&amp;$PU33&amp;IF($PU33&gt;1," erros"," erro"),IF($PW33&gt;0,"! "&amp;$PW33&amp;IF($PW33&gt;1," avisos"," aviso"),"Na regra")))</f>
        <v/>
      </c>
      <c r="PY33" s="164">
        <f>IF($ND33=0,"",IF($PU33+$PW33=0,"Dentro das regras que a ficha confere",$PT33&amp;IF(AND($PU33&gt;0,$PW33&gt;0)," · ","")&amp;$PV33))</f>
        <v/>
      </c>
      <c r="PZ33" s="164">
        <f>IF($MQ33&gt;$NE33,$MR33&amp;" · ABRE NO NÍVEL "&amp;$MQ33,$MR33)</f>
        <v/>
      </c>
      <c r="QA33" s="164">
        <f>IF($ND33=0,"",IF($MS33=0,"Sem PE",3*$MS33&amp;" PE"))</f>
        <v/>
      </c>
      <c r="QB33" s="164">
        <f>IF($ND33=0,"",IF($MS33=0,"A atuação básica dela",IF(COUNTIF($RQ33:$RS33,"Atrasar")&gt;0,"Sua Ação Completa",IF(COUNTIF($RK33:$RN33,"Rápido")&gt;0,"Sua Bônus",IF(COUNTIF($RK33:$RN33,"Reação")&gt;0,"Sua Reação","Sua Padrão")))&amp;" + a básica dela"&amp;IF(COUNTIF($RK33:$RN33,"Reação")&gt;0," e a coletiva","")&amp;IF(COUNTIF($RQ33:$RS33,"Carregar")&gt;0," · em dois turnos","")))</f>
        <v/>
      </c>
      <c r="QC33" s="164">
        <f>IF($MW33&lt;&gt;"",$MW33,IF($NJ33=0,"",INDEX('DADOS_FORMAS'!$GE$2:$GE$21,$NJ33)))</f>
        <v/>
      </c>
      <c r="QD33" s="164">
        <f>IF(OR($ND33=0,$NJ33=0),"",IF(COUNTIF($RK33:$RN33,"Inescapável")&gt;0,"Automático",IF($QC33="Ataque",IF($NH33="","Ataque","Ataque "&amp;IF(($NH33+2*IF(COUNTIF($RK33:$RN33,"Precisão")&gt;0,1,0))&gt;=0,"+","−")&amp;ABS(($NH33+2*IF(COUNTIF($RK33:$RN33,"Precisão")&gt;0,1,0))))&amp;IF($OD33&gt;0," · TR"&amp;IF($NI33="",""," CD "&amp;$NI33),""),IF(LEFT($QC33,2)="TR",$QC33&amp;IF($NI33="",""," · CD "&amp;$NI33)&amp;IF(COUNTIF($RK33:$RN33,"Certeiro")&gt;0," · metade",""),"Sem rolagem"))))</f>
        <v/>
      </c>
      <c r="QE33" s="164">
        <f>IF(OR($ND33=0,$NJ33=0),"",IF($MS33=0,IF(OR($OG33&gt;=1,$PD33=0),"Sem dano",$PD33&amp;"d6"&amp;IF($MV33="",""," "&amp;$MV33)),IF(OR($OG33&gt;=1,$PD33=0),UPPER(LEFT(INDEX($PM33:$PS33,1,MAX(1,$MS33)),1))&amp;MID(INDEX($PM33:$PS33,1,MAX(1,$MS33)),2,99),UPPER(LEFT(INDEX($PM33:$PS33,1,MAX(1,$MS33)),1))&amp;MID(INDEX($PM33:$PS33,1,MAX(1,$MS33)),2,99)&amp;IF($MV33="",""," "&amp;$MV33)&amp;IF($PE33&gt;0," · +"&amp;$PE33&amp;"d8",""))))</f>
        <v/>
      </c>
      <c r="QF33" s="164">
        <f>COUNTIF($RK33:$RN33,"Longe")+3*COUNTIF($RK33:$RN33,"Muito Longe")</f>
        <v/>
      </c>
      <c r="QG33" s="164">
        <f>COUNTIF($RK33:$RN33,"Maior")+3*COUNTIF($RK33:$RN33,"Muito Maior")</f>
        <v/>
      </c>
      <c r="QH33" s="164">
        <f>IF($NJ33=0,0,CHOOSE(1+INDEX('DADOS_FORMAS'!$GG$2:$GG$21,$NJ33),0,$QF33,$QG33,$QF33+$QG33))</f>
        <v/>
      </c>
      <c r="QI33" s="164">
        <f>IF($NJ33=0,0,CHOOSE(1+INDEX('DADOS_FORMAS'!$GH$2:$GH$21,$NJ33),0,$QF33,$QG33,$QF33+$QG33))</f>
        <v/>
      </c>
      <c r="QJ33" s="164">
        <f>IF(OR($ND33=0,$NJ33=0),"",INDEX('DADOS_FORMAS'!$HU$2:$HZ$81,($NJ33-1)*4+IF($MS33=0,1,IF($MS33&lt;=5,2,IF($MS33=6,3,4))),1+MIN(5,$QH33))&amp;INDEX('DADOS_FORMAS'!$IA$2:$IF$81,($NJ33-1)*4+IF($MS33=0,1,IF($MS33&lt;=5,2,IF($MS33=6,3,4))),1+MIN(5,$QI33))&amp;IF(INDEX('DADOS_FORMAS'!$GI$2:$GI$21,$NJ33)=1,IF(COUNTIF($RK33:$RN33,"Mais Um")&gt;0," · +"&amp;COUNTIF($RK33:$RN33,"Mais Um")&amp;IF(COUNTIF($RK33:$RN33,"Mais Um")&gt;1," alvos"," alvo"),"")&amp;IF(COUNTIF($RK33:$RN33,"Rajada")&gt;0,IF($MS33=0," · 1 tiro"," · "&amp;(MAX(1,$MS33-1)+1)&amp;" tiros"),""),""))</f>
        <v/>
      </c>
      <c r="QK33" s="164">
        <f>IF($ND33=0,"",IF($MS33=0,$NG33&amp;"d6"&amp;IF($OU33&gt;0," − 1 = "&amp;$PD33&amp;"d6"," da básica do nível "&amp;$NE33),$PB33&amp;" − "&amp;$OW33&amp;" + "&amp;$OZ33&amp;" = "&amp;$PC33&amp;" · teto "&amp;4*$MS33&amp;"d8"&amp;IF($OF33=1," · a Forma devolve "&amp;$MS33,"")&amp;IF($PA33&gt;0," · perde "&amp;$PA33,"")))</f>
        <v/>
      </c>
      <c r="QL33" s="164">
        <f>IF($ND33=0,"",IF($MS33=0,"A básica não amplia: os dados dela sobem com o nível",IF($MS33&gt;=$NF33,"Já está na maior Classe que o nível liberou",TEXTJOIN(" · ",TRUE,IF(AND(2&gt;$MS33,2&lt;=$NF33),"2 → "&amp;$PN33&amp;", 6 PE",""),IF(AND(3&gt;$MS33,3&lt;=$NF33),"3 → "&amp;$PO33&amp;", 9 PE",""),IF(AND(4&gt;$MS33,4&lt;=$NF33),"4 → "&amp;$PP33&amp;", 12 PE",""),IF(AND(5&gt;$MS33,5&lt;=$NF33),"5 → "&amp;$PQ33&amp;", 15 PE",""),IF(AND(6&gt;$MS33,6&lt;=$NF33),"6 → "&amp;$PR33&amp;", 18 PE",""),IF(AND(7&gt;$MS33,7&lt;=$NF33),"7 → "&amp;$PS33&amp;", 21 PE","")))))</f>
        <v/>
      </c>
      <c r="QM33" s="164">
        <f>IF(OR($ND33=0,$NO33=0),"",IF($MS33=0,"−1 dado","−"&amp;INDEX($I$2:$N$8,MAX(1,$MS33),MAX(1,$NT33))&amp;" · "&amp;CHOOSE(MAX(1,$NT33),"Leve","Média","Pesada","Leve · Livre","Média · Livre","Pesada · Livre")))</f>
        <v/>
      </c>
      <c r="QN33" s="164">
        <f>IF(OR($ND33=0,$NP33=0),"",IF($MS33=0,"−1 dado","−"&amp;INDEX($I$2:$N$8,MAX(1,$MS33),MAX(1,$NU33))&amp;" · "&amp;CHOOSE(MAX(1,$NU33),"Leve","Média","Pesada","Leve · Livre","Média · Livre","Pesada · Livre")))</f>
        <v/>
      </c>
      <c r="QO33" s="164">
        <f>IF(OR($ND33=0,$NQ33=0),"",IF($MS33=0,"−1 dado","−"&amp;INDEX($I$2:$N$8,MAX(1,$MS33),MAX(1,$NV33))&amp;" · "&amp;CHOOSE(MAX(1,$NV33),"Leve","Média","Pesada","Leve · Livre","Média · Livre","Pesada · Livre")))</f>
        <v/>
      </c>
      <c r="QP33" s="164">
        <f>IF(OR($ND33=0,$NR33=0),"",IF($MS33=0,"−1 dado","−"&amp;INDEX($I$2:$N$8,MAX(1,$MS33),MAX(1,$NW33))&amp;" · "&amp;CHOOSE(MAX(1,$NW33),"Leve","Média","Pesada","Leve · Livre","Média · Livre","Pesada · Livre")))</f>
        <v/>
      </c>
      <c r="QQ33" s="164">
        <f>IF(OR($ND33=0,$NB33=""),"",IF($MS33=0,"não devolve","+"&amp;IF($OI33=1,CEILING($MS33/2,1),$MS33)))</f>
        <v/>
      </c>
      <c r="QR33" s="164">
        <f>IF(OR($ND33=0,$NC33=""),"",IF($MS33=0,"não devolve","+"&amp;IF($OJ33=1,CEILING($MS33/2,1),$MS33)))</f>
        <v/>
      </c>
      <c r="RK33">
        <f>IF($MX33="","",IFERROR(VLOOKUP(SUBSTITUTE(SUBSTITUTE(SUBSTITUTE($MX33,"~","~~"),"*","~*"),"?","~?"),'DADOS_MELHORIAS'!$O$2:$X$113,10,FALSE),$MX33))</f>
        <v/>
      </c>
      <c r="RL33">
        <f>IF($MY33="","",IFERROR(VLOOKUP(SUBSTITUTE(SUBSTITUTE(SUBSTITUTE($MY33,"~","~~"),"*","~*"),"?","~?"),'DADOS_MELHORIAS'!$O$2:$X$113,10,FALSE),$MY33))</f>
        <v/>
      </c>
      <c r="RM33">
        <f>IF($MZ33="","",IFERROR(VLOOKUP(SUBSTITUTE(SUBSTITUTE(SUBSTITUTE($MZ33,"~","~~"),"*","~*"),"?","~?"),'DADOS_MELHORIAS'!$O$2:$X$113,10,FALSE),$MZ33))</f>
        <v/>
      </c>
      <c r="RN33">
        <f>IF($NA33="","",IFERROR(VLOOKUP(SUBSTITUTE(SUBSTITUTE(SUBSTITUTE($NA33,"~","~~"),"*","~*"),"?","~?"),'DADOS_MELHORIAS'!$O$2:$X$113,10,FALSE),$NA33))</f>
        <v/>
      </c>
      <c r="RO33">
        <f>IFERROR(INDEX('DADOS_FORMAS'!$BJ$2:$BJ$21,MATCH(SUBSTITUTE(SUBSTITUTE(SUBSTITUTE($MU33,"~","~~"),"*","~*"),"?","~?"),'DADOS_FORMAS'!$AH$2:$AH$21,0)),"")</f>
        <v/>
      </c>
      <c r="RP33">
        <f>IFERROR(VLOOKUP(SUBSTITUTE(SUBSTITUTE(SUBSTITUTE(IFERROR(INDEX('DADOS_FORMAS'!$AS$2:$AS$21,MATCH(SUBSTITUTE(SUBSTITUTE(SUBSTITUTE($MU33,"~","~~"),"*","~*"),"?","~?"),'DADOS_FORMAS'!$AH$2:$AH$21,0)),""),"~","~~"),"*","~*"),"?","~?"),'DADOS_RESTRICOES'!$M$2:$Q$54,2,FALSE),"")</f>
        <v/>
      </c>
      <c r="RQ33">
        <f>$OK33</f>
        <v/>
      </c>
      <c r="RR33">
        <f>$OL33</f>
        <v/>
      </c>
      <c r="RS33">
        <f>$RP33</f>
        <v/>
      </c>
    </row>
    <row r="34">
      <c r="AH34" s="162" t="inlineStr">
        <is>
          <t>Onda · classe 0</t>
        </is>
      </c>
      <c r="AI34" s="162" t="inlineStr">
        <is>
          <t>—</t>
        </is>
      </c>
      <c r="AJ34" s="162" t="inlineStr">
        <is>
          <t>—</t>
        </is>
      </c>
      <c r="AK34" s="162" t="inlineStr">
        <is>
          <t>—</t>
        </is>
      </c>
      <c r="AL34" s="162" t="inlineStr">
        <is>
          <t>—</t>
        </is>
      </c>
      <c r="AM34" s="162" t="inlineStr">
        <is>
          <t>—</t>
        </is>
      </c>
      <c r="AN34" s="162" t="inlineStr">
        <is>
          <t>—</t>
        </is>
      </c>
      <c r="AO34" s="162" t="inlineStr"/>
      <c r="AP34" s="162" t="inlineStr"/>
      <c r="AQ34" s="162" t="inlineStr"/>
      <c r="AR34" s="162" t="inlineStr"/>
      <c r="AS34" s="162" t="inlineStr"/>
      <c r="AT34" s="162" t="inlineStr"/>
      <c r="AV34" s="162" t="inlineStr">
        <is>
          <t>Amedrontado</t>
        </is>
      </c>
      <c r="AW34" s="162" t="inlineStr">
        <is>
          <t>Controle</t>
        </is>
      </c>
      <c r="AX34" s="164" t="n">
        <v>3</v>
      </c>
      <c r="AY34" s="164" t="n">
        <v>1</v>
      </c>
      <c r="AZ34" s="164" t="n">
        <v>0</v>
      </c>
      <c r="BA34" s="164" t="n">
        <v>1</v>
      </c>
      <c r="JT34" s="164">
        <f>IF(OR($AW34="",(COUNTIF($EL$2:$EP$2,$AW34)+COUNTIF($QV$2:$QY$2,$AW34))&gt;0),$AV34,"")</f>
        <v/>
      </c>
      <c r="JU34" s="164">
        <f>IF(AND($AX34=1,OR($AW34="",(COUNTIF($EL$2:$EP$2,$AW34)+COUNTIF($QV$2:$QY$2,$AW34))&gt;0)),$AV34,"")</f>
        <v/>
      </c>
      <c r="JZ34" s="164">
        <f>IF(OR($AW34="",(COUNTIF($EL$3:$EP$3,$AW34)+COUNTIF($QV$3:$QY$3,$AW34))&gt;0),$AV34,"")</f>
        <v/>
      </c>
      <c r="KA34" s="164">
        <f>IF(AND($AX34=1,OR($AW34="",(COUNTIF($EL$3:$EP$3,$AW34)+COUNTIF($QV$3:$QY$3,$AW34))&gt;0)),$AV34,"")</f>
        <v/>
      </c>
      <c r="KF34" s="164">
        <f>IF(OR($AW34="",(COUNTIF($EL$4:$EP$4,$AW34)+COUNTIF($QV$4:$QY$4,$AW34))&gt;0),$AV34,"")</f>
        <v/>
      </c>
      <c r="KG34" s="164">
        <f>IF(AND($AX34=1,OR($AW34="",(COUNTIF($EL$4:$EP$4,$AW34)+COUNTIF($QV$4:$QY$4,$AW34))&gt;0)),$AV34,"")</f>
        <v/>
      </c>
      <c r="KL34" s="164">
        <f>IF(OR($AW34="",(COUNTIF($EL$5:$EP$5,$AW34)+COUNTIF($QV$5:$QY$5,$AW34))&gt;0),$AV34,"")</f>
        <v/>
      </c>
      <c r="KM34" s="164">
        <f>IF(AND($AX34=1,OR($AW34="",(COUNTIF($EL$5:$EP$5,$AW34)+COUNTIF($QV$5:$QY$5,$AW34))&gt;0)),$AV34,"")</f>
        <v/>
      </c>
      <c r="KR34" s="164">
        <f>IF(OR($AW34="",(COUNTIF($EL$6:$EP$6,$AW34)+COUNTIF($QV$6:$QY$6,$AW34))&gt;0),$AV34,"")</f>
        <v/>
      </c>
      <c r="KS34" s="164">
        <f>IF(AND($AX34=1,OR($AW34="",(COUNTIF($EL$6:$EP$6,$AW34)+COUNTIF($QV$6:$QY$6,$AW34))&gt;0)),$AV34,"")</f>
        <v/>
      </c>
      <c r="KX34" s="164">
        <f>IF(OR($AW34="",(COUNTIF($EL$7:$EP$7,$AW34)+COUNTIF($QV$7:$QY$7,$AW34))&gt;0),$AV34,"")</f>
        <v/>
      </c>
      <c r="KY34" s="164">
        <f>IF(AND($AX34=1,OR($AW34="",(COUNTIF($EL$7:$EP$7,$AW34)+COUNTIF($QV$7:$QY$7,$AW34))&gt;0)),$AV34,"")</f>
        <v/>
      </c>
      <c r="LD34" s="164">
        <f>IF(OR($AW34="",(COUNTIF($EL$8:$EP$8,$AW34)+COUNTIF($QV$8:$QY$8,$AW34))&gt;0),$AV34,"")</f>
        <v/>
      </c>
      <c r="LE34" s="164">
        <f>IF(AND($AX34=1,OR($AW34="",(COUNTIF($EL$8:$EP$8,$AW34)+COUNTIF($QV$8:$QY$8,$AW34))&gt;0)),$AV34,"")</f>
        <v/>
      </c>
      <c r="LJ34" s="164">
        <f>IF(OR($AW34="",(COUNTIF($EL$9:$EP$9,$AW34)+COUNTIF($QV$9:$QY$9,$AW34))&gt;0),$AV34,"")</f>
        <v/>
      </c>
      <c r="LK34" s="164">
        <f>IF(AND($AX34=1,OR($AW34="",(COUNTIF($EL$9:$EP$9,$AW34)+COUNTIF($QV$9:$QY$9,$AW34))&gt;0)),$AV34,"")</f>
        <v/>
      </c>
      <c r="LP34" s="164">
        <f>IF(OR($AW34="",(COUNTIF($EL$10:$EP$10,$AW34)+COUNTIF($QV$10:$QY$10,$AW34))&gt;0),$AV34,"")</f>
        <v/>
      </c>
      <c r="LQ34" s="164">
        <f>IF(AND($AX34=1,OR($AW34="",(COUNTIF($EL$10:$EP$10,$AW34)+COUNTIF($QV$10:$QY$10,$AW34))&gt;0)),$AV34,"")</f>
        <v/>
      </c>
      <c r="LV34" s="164">
        <f>IF(OR($AW34="",(COUNTIF($EL$11:$EP$11,$AW34)+COUNTIF($QV$11:$QY$11,$AW34))&gt;0),$AV34,"")</f>
        <v/>
      </c>
      <c r="LW34" s="164">
        <f>IF(AND($AX34=1,OR($AW34="",(COUNTIF($EL$11:$EP$11,$AW34)+COUNTIF($QV$11:$QY$11,$AW34))&gt;0)),$AV34,"")</f>
        <v/>
      </c>
      <c r="MB34" s="164">
        <f>IF(OR($AW34="",(COUNTIF($EL$12:$EP$12,$AW34)+COUNTIF($QV$12:$QY$12,$AW34))&gt;0),$AV34,"")</f>
        <v/>
      </c>
      <c r="MC34" s="164">
        <f>IF(AND($AX34=1,OR($AW34="",(COUNTIF($EL$12:$EP$12,$AW34)+COUNTIF($QV$12:$QY$12,$AW34))&gt;0)),$AV34,"")</f>
        <v/>
      </c>
      <c r="MH34" s="164">
        <f>IF(OR($AW34="",(COUNTIF($EL$13:$EP$13,$AW34)+COUNTIF($QV$13:$QY$13,$AW34))&gt;0),$AV34,"")</f>
        <v/>
      </c>
      <c r="MI34" s="164">
        <f>IF(AND($AX34=1,OR($AW34="",(COUNTIF($EL$13:$EP$13,$AW34)+COUNTIF($QV$13:$QY$13,$AW34))&gt;0)),$AV34,"")</f>
        <v/>
      </c>
      <c r="MN34" s="162" t="inlineStr">
        <is>
          <t>Ficha 3 · Especial 5</t>
        </is>
      </c>
      <c r="MO34" s="164" t="n">
        <v>3</v>
      </c>
      <c r="MP34" s="164" t="n">
        <v>1</v>
      </c>
      <c r="MQ34" s="164" t="n">
        <v>16</v>
      </c>
      <c r="MR34" s="162" t="inlineStr">
        <is>
          <t>ESPECIAL 5</t>
        </is>
      </c>
      <c r="MS34" s="164">
        <f>MAX(1,MIN(7,N('INVOCAÇÕES'!$I$549)))</f>
        <v/>
      </c>
      <c r="MT34" s="164">
        <f>'INVOCAÇÕES'!$J$549&amp;""</f>
        <v/>
      </c>
      <c r="MU34" s="164">
        <f>'INVOCAÇÕES'!$I$554&amp;""</f>
        <v/>
      </c>
      <c r="MV34" s="164">
        <f>'INVOCAÇÕES'!$I$555&amp;""</f>
        <v/>
      </c>
      <c r="MW34" s="164">
        <f>'INVOCAÇÕES'!$K$555&amp;""</f>
        <v/>
      </c>
      <c r="MX34" s="164">
        <f>'INVOCAÇÕES'!$J$558&amp;""</f>
        <v/>
      </c>
      <c r="MY34" s="164">
        <f>'INVOCAÇÕES'!$J$559&amp;""</f>
        <v/>
      </c>
      <c r="MZ34" s="164">
        <f>'INVOCAÇÕES'!$J$560&amp;""</f>
        <v/>
      </c>
      <c r="NA34" s="164">
        <f>'INVOCAÇÕES'!$J$561&amp;""</f>
        <v/>
      </c>
      <c r="NB34" s="164">
        <f>'INVOCAÇÕES'!$J$562&amp;""</f>
        <v/>
      </c>
      <c r="NC34" s="164">
        <f>'INVOCAÇÕES'!$J$563&amp;""</f>
        <v/>
      </c>
      <c r="ND34" s="164">
        <f>IF($MT34&lt;&gt;"",1,0)</f>
        <v/>
      </c>
      <c r="NE34" s="164">
        <f>INDEX($FO$2:$FO$13,$MO34)</f>
        <v/>
      </c>
      <c r="NF34" s="164">
        <f>INDEX($FP$2:$FP$13,$MO34)</f>
        <v/>
      </c>
      <c r="NG34" s="164">
        <f>INDEX($FQ$2:$FQ$13,$MO34)</f>
        <v/>
      </c>
      <c r="NH34" s="164">
        <f>INDEX($GB$2:$GB$13,$MO34)</f>
        <v/>
      </c>
      <c r="NI34" s="164">
        <f>INDEX($GC$2:$GC$13,$MO34)</f>
        <v/>
      </c>
      <c r="NJ34" s="164">
        <f>IFERROR(MATCH(SUBSTITUTE(SUBSTITUTE(SUBSTITUTE($MU34,"~","~~"),"*","~*"),"?","~?"),'DADOS_FORMAS'!$FZ$2:$FZ$21,0),0)</f>
        <v/>
      </c>
      <c r="NK34" s="164">
        <f>IFERROR(VLOOKUP(SUBSTITUTE(SUBSTITUTE(SUBSTITUTE($MX34,"~","~~"),"*","~*"),"?","~?"),'DADOS_MELHORIAS'!$AG$2:$AL$113,2,FALSE),"")</f>
        <v/>
      </c>
      <c r="NL34" s="164">
        <f>IFERROR(VLOOKUP(SUBSTITUTE(SUBSTITUTE(SUBSTITUTE($MY34,"~","~~"),"*","~*"),"?","~?"),'DADOS_MELHORIAS'!$AG$2:$AL$113,2,FALSE),"")</f>
        <v/>
      </c>
      <c r="NM34" s="164">
        <f>IFERROR(VLOOKUP(SUBSTITUTE(SUBSTITUTE(SUBSTITUTE($MZ34,"~","~~"),"*","~*"),"?","~?"),'DADOS_MELHORIAS'!$AG$2:$AL$113,2,FALSE),"")</f>
        <v/>
      </c>
      <c r="NN34" s="164">
        <f>IFERROR(VLOOKUP(SUBSTITUTE(SUBSTITUTE(SUBSTITUTE($NA34,"~","~~"),"*","~*"),"?","~?"),'DADOS_MELHORIAS'!$AG$2:$AL$113,2,FALSE),"")</f>
        <v/>
      </c>
      <c r="NO34" s="164">
        <f>IFERROR(VLOOKUP(SUBSTITUTE(SUBSTITUTE(SUBSTITUTE($MX34,"~","~~"),"*","~*"),"?","~?"),'DADOS_MELHORIAS'!$AG$2:$AL$113,3,FALSE),0)</f>
        <v/>
      </c>
      <c r="NP34" s="164">
        <f>IFERROR(VLOOKUP(SUBSTITUTE(SUBSTITUTE(SUBSTITUTE($MY34,"~","~~"),"*","~*"),"?","~?"),'DADOS_MELHORIAS'!$AG$2:$AL$113,3,FALSE),0)</f>
        <v/>
      </c>
      <c r="NQ34" s="164">
        <f>IFERROR(VLOOKUP(SUBSTITUTE(SUBSTITUTE(SUBSTITUTE($MZ34,"~","~~"),"*","~*"),"?","~?"),'DADOS_MELHORIAS'!$AG$2:$AL$113,3,FALSE),0)</f>
        <v/>
      </c>
      <c r="NR34" s="164">
        <f>IFERROR(VLOOKUP(SUBSTITUTE(SUBSTITUTE(SUBSTITUTE($NA34,"~","~~"),"*","~*"),"?","~?"),'DADOS_MELHORIAS'!$AG$2:$AL$113,3,FALSE),0)</f>
        <v/>
      </c>
      <c r="NS34" s="164">
        <f>IF($MS34=0,0,IF($NJ34=0,0,INDEX('DADOS_FORMAS'!$GB$2:$GB$21,$NJ34)))</f>
        <v/>
      </c>
      <c r="NT34" s="164">
        <f>IF(OR($NO34=0,$MS34=0),0,$NO34+3*IF(AND($NK34&lt;&gt;"",COUNTIF(INDEX($RB$2:$RJ$13,$MO34,0),$NK34)&gt;0),1,0))</f>
        <v/>
      </c>
      <c r="NU34" s="164">
        <f>IF(OR($NP34=0,$MS34=0),0,$NP34+3*IF(AND($NL34&lt;&gt;"",COUNTIF(INDEX($RB$2:$RJ$13,$MO34,0),$NL34)&gt;0),1,0))</f>
        <v/>
      </c>
      <c r="NV34" s="164">
        <f>IF(OR($NQ34=0,$MS34=0),0,$NQ34+3*IF(AND($NM34&lt;&gt;"",COUNTIF(INDEX($RB$2:$RJ$13,$MO34,0),$NM34)&gt;0),1,0))</f>
        <v/>
      </c>
      <c r="NW34" s="164">
        <f>IF(OR($NR34=0,$MS34=0),0,$NR34+3*IF(AND($NN34&lt;&gt;"",COUNTIF(INDEX($RB$2:$RJ$13,$MO34,0),$NN34)&gt;0),1,0))</f>
        <v/>
      </c>
      <c r="NX34" s="164">
        <f>IF($NJ34=0,0,IF(INDEX('DADOS_FORMAS'!$GA$2:$GA$21,$NJ34)="",0,IF((COUNTIF(INDEX($EL$2:$EP$13,$MO34,0),INDEX('DADOS_FORMAS'!$GA$2:$GA$21,$NJ34))+COUNTIF(INDEX($QV$2:$QY$13,$MO34,0),INDEX('DADOS_FORMAS'!$GA$2:$GA$21,$NJ34)))=0,1,0)))</f>
        <v/>
      </c>
      <c r="NY34" s="164">
        <f>IF(OR($NO34=0,$NK34=""),0,IF((COUNTIF(INDEX($EL$2:$EP$13,$MO34,0),$NK34)+COUNTIF(INDEX($QV$2:$QY$13,$MO34,0),$NK34))=0,1,0))</f>
        <v/>
      </c>
      <c r="NZ34" s="164">
        <f>IF(OR($NP34=0,$NL34=""),0,IF((COUNTIF(INDEX($EL$2:$EP$13,$MO34,0),$NL34)+COUNTIF(INDEX($QV$2:$QY$13,$MO34,0),$NL34))=0,1,0))</f>
        <v/>
      </c>
      <c r="OA34" s="164">
        <f>IF(OR($NQ34=0,$NM34=""),0,IF((COUNTIF(INDEX($EL$2:$EP$13,$MO34,0),$NM34)+COUNTIF(INDEX($QV$2:$QY$13,$MO34,0),$NM34))=0,1,0))</f>
        <v/>
      </c>
      <c r="OB34" s="164">
        <f>IF(OR($NR34=0,$NN34=""),0,IF((COUNTIF(INDEX($EL$2:$EP$13,$MO34,0),$NN34)+COUNTIF(INDEX($QV$2:$QY$13,$MO34,0),$NN34))=0,1,0))</f>
        <v/>
      </c>
      <c r="OC34" s="164">
        <f>IFERROR(VLOOKUP(SUBSTITUTE(SUBSTITUTE(SUBSTITUTE($MX34,"~","~~"),"*","~*"),"?","~?"),'DADOS_MELHORIAS'!$AG$2:$AL$113,4,FALSE),0)+IFERROR(VLOOKUP(SUBSTITUTE(SUBSTITUTE(SUBSTITUTE($MY34,"~","~~"),"*","~*"),"?","~?"),'DADOS_MELHORIAS'!$AG$2:$AL$113,4,FALSE),0)+IFERROR(VLOOKUP(SUBSTITUTE(SUBSTITUTE(SUBSTITUTE($MZ34,"~","~~"),"*","~*"),"?","~?"),'DADOS_MELHORIAS'!$AG$2:$AL$113,4,FALSE),0)+IFERROR(VLOOKUP(SUBSTITUTE(SUBSTITUTE(SUBSTITUTE($NA34,"~","~~"),"*","~*"),"?","~?"),'DADOS_MELHORIAS'!$AG$2:$AL$113,4,FALSE),0)</f>
        <v/>
      </c>
      <c r="OD34" s="164">
        <f>IFERROR(VLOOKUP(SUBSTITUTE(SUBSTITUTE(SUBSTITUTE($MX34,"~","~~"),"*","~*"),"?","~?"),'DADOS_MELHORIAS'!$AG$2:$AL$113,6,FALSE),0)+IFERROR(VLOOKUP(SUBSTITUTE(SUBSTITUTE(SUBSTITUTE($MY34,"~","~~"),"*","~*"),"?","~?"),'DADOS_MELHORIAS'!$AG$2:$AL$113,6,FALSE),0)+IFERROR(VLOOKUP(SUBSTITUTE(SUBSTITUTE(SUBSTITUTE($MZ34,"~","~~"),"*","~*"),"?","~?"),'DADOS_MELHORIAS'!$AG$2:$AL$113,6,FALSE),0)+IFERROR(VLOOKUP(SUBSTITUTE(SUBSTITUTE(SUBSTITUTE($NA34,"~","~~"),"*","~*"),"?","~?"),'DADOS_MELHORIAS'!$AG$2:$AL$113,6,FALSE),0)+IFERROR(N(AND(INDEX('DADOS_FORMAS'!$AO$2:$AO$21,MATCH(SUBSTITUTE(SUBSTITUTE(SUBSTITUTE($MU34,"~","~~"),"*","~*"),"?","~?"),'DADOS_FORMAS'!$AH$2:$AH$21,0))="Acerto",$OH34=1)),0)</f>
        <v/>
      </c>
      <c r="OE34" s="164">
        <f>TEXTJOIN(", ",TRUE,IF(IFERROR(VLOOKUP(SUBSTITUTE(SUBSTITUTE(SUBSTITUTE($MX34,"~","~~"),"*","~*"),"?","~?"),'DADOS_MELHORIAS'!$AG$2:$AL$113,5,FALSE),0)=1,$MX34,""),IF(IFERROR(VLOOKUP(SUBSTITUTE(SUBSTITUTE(SUBSTITUTE($MY34,"~","~~"),"*","~*"),"?","~?"),'DADOS_MELHORIAS'!$AG$2:$AL$113,5,FALSE),0)=1,$MY34,""),IF(IFERROR(VLOOKUP(SUBSTITUTE(SUBSTITUTE(SUBSTITUTE($MZ34,"~","~~"),"*","~*"),"?","~?"),'DADOS_MELHORIAS'!$AG$2:$AL$113,5,FALSE),0)=1,$MZ34,""),IF(IFERROR(VLOOKUP(SUBSTITUTE(SUBSTITUTE(SUBSTITUTE($NA34,"~","~~"),"*","~*"),"?","~?"),'DADOS_MELHORIAS'!$AG$2:$AL$113,5,FALSE),0)=1,$NA34,""))</f>
        <v/>
      </c>
      <c r="OF34" s="164">
        <f>IF($NJ34=0,0,INDEX('DADOS_FORMAS'!$GC$2:$GC$21,$NJ34))</f>
        <v/>
      </c>
      <c r="OG34" s="164">
        <f>IF($NJ34=0,0,INDEX('DADOS_FORMAS'!$GD$2:$GD$21,$NJ34))</f>
        <v/>
      </c>
      <c r="OH34" s="164">
        <f>IF($NJ34=0,0,INDEX('DADOS_FORMAS'!$GF$2:$GF$21,$NJ34))</f>
        <v/>
      </c>
      <c r="OI34" s="164">
        <f>IFERROR(VLOOKUP(SUBSTITUTE(SUBSTITUTE(SUBSTITUTE($NB34,"~","~~"),"*","~*"),"?","~?"),'DADOS_RESTRICOES'!$M$2:$Q$54,3,FALSE),0)</f>
        <v/>
      </c>
      <c r="OJ34" s="164">
        <f>IFERROR(VLOOKUP(SUBSTITUTE(SUBSTITUTE(SUBSTITUTE($NC34,"~","~~"),"*","~*"),"?","~?"),'DADOS_RESTRICOES'!$M$2:$Q$54,3,FALSE),0)</f>
        <v/>
      </c>
      <c r="OK34" s="164">
        <f>IFERROR(VLOOKUP(SUBSTITUTE(SUBSTITUTE(SUBSTITUTE($NB34,"~","~~"),"*","~*"),"?","~?"),'DADOS_RESTRICOES'!$M$2:$Q$54,2,FALSE),"")</f>
        <v/>
      </c>
      <c r="OL34" s="164">
        <f>IFERROR(VLOOKUP(SUBSTITUTE(SUBSTITUTE(SUBSTITUTE($NC34,"~","~~"),"*","~*"),"?","~?"),'DADOS_RESTRICOES'!$M$2:$Q$54,2,FALSE),"")</f>
        <v/>
      </c>
      <c r="OM34" s="164">
        <f>COUNTIF($NS34:$NW34,1)</f>
        <v/>
      </c>
      <c r="ON34" s="164">
        <f>COUNTIF($NS34:$NW34,2)</f>
        <v/>
      </c>
      <c r="OO34" s="164">
        <f>COUNTIF($NS34:$NW34,3)</f>
        <v/>
      </c>
      <c r="OP34" s="164">
        <f>COUNTIF($NS34:$NW34,4)</f>
        <v/>
      </c>
      <c r="OQ34" s="164">
        <f>COUNTIF($NS34:$NW34,5)</f>
        <v/>
      </c>
      <c r="OR34" s="164">
        <f>COUNTIF($NS34:$NW34,6)</f>
        <v/>
      </c>
      <c r="OS34" s="164">
        <f>COUNTIF($OI34:$OJ34,1)+IF(IFERROR(INDEX('DADOS_FORMAS'!$AS$2:$AS$21,MATCH(SUBSTITUTE(SUBSTITUTE(SUBSTITUTE($MU34,"~","~~"),"*","~*"),"?","~?"),'DADOS_FORMAS'!$AH$2:$AH$21,0)),"")="",0,IFERROR(N(VLOOKUP(SUBSTITUTE(SUBSTITUTE(SUBSTITUTE(IFERROR(INDEX('DADOS_FORMAS'!$AS$2:$AS$21,MATCH(SUBSTITUTE(SUBSTITUTE(SUBSTITUTE($MU34,"~","~~"),"*","~*"),"?","~?"),'DADOS_FORMAS'!$AH$2:$AH$21,0)),""),"~","~~"),"*","~*"),"?","~?"),'DADOS_RESTRICOES'!$M$2:$Q$54,3,FALSE)=1),0))</f>
        <v/>
      </c>
      <c r="OT34" s="164">
        <f>COUNTIF($OI34:$OJ34,2)+IF(IFERROR(INDEX('DADOS_FORMAS'!$AS$2:$AS$21,MATCH(SUBSTITUTE(SUBSTITUTE(SUBSTITUTE($MU34,"~","~~"),"*","~*"),"?","~?"),'DADOS_FORMAS'!$AH$2:$AH$21,0)),"")="",0,IFERROR(N(VLOOKUP(SUBSTITUTE(SUBSTITUTE(SUBSTITUTE(IFERROR(INDEX('DADOS_FORMAS'!$AS$2:$AS$21,MATCH(SUBSTITUTE(SUBSTITUTE(SUBSTITUTE($MU34,"~","~~"),"*","~*"),"?","~?"),'DADOS_FORMAS'!$AH$2:$AH$21,0)),""),"~","~~"),"*","~*"),"?","~?"),'DADOS_RESTRICOES'!$M$2:$Q$54,3,FALSE)=2),0))</f>
        <v/>
      </c>
      <c r="OU34" s="164">
        <f>COUNTIF($MX34:$NA34,"?*")</f>
        <v/>
      </c>
      <c r="OV34" s="164">
        <f>COUNTIF($NB34:$NC34,"?*")+$OF34</f>
        <v/>
      </c>
      <c r="OW34" s="164">
        <f>IF($MS34=0,0,SUMPRODUCT($OM34:$OR34,INDEX($I$2:$N$8,MAX(1,$MS34),0)))</f>
        <v/>
      </c>
      <c r="OX34" s="164">
        <f>IF($MS34=0,0,$OS34*CEILING($MS34/2,1)+$OT34*$MS34)</f>
        <v/>
      </c>
      <c r="OY34" s="164">
        <f>MIN(2*$MS34,$OX34)</f>
        <v/>
      </c>
      <c r="OZ34" s="164">
        <f>MIN($OY34,$OW34-IF($NS34=0,0,INDEX($I$2:$N$8,MAX(1,$MS34),$NS34)))</f>
        <v/>
      </c>
      <c r="PA34" s="164">
        <f>$OY34-$OZ34</f>
        <v/>
      </c>
      <c r="PB34" s="164">
        <f>IF($MS34=0,0,INDEX($P$2:$P$8,MAX(1,$MS34)))</f>
        <v/>
      </c>
      <c r="PC34" s="164">
        <f>$PB34-$OW34+$OZ34</f>
        <v/>
      </c>
      <c r="PD34" s="164">
        <f>IF($MS34=0,MAX(0,$NG34-IF(AND($OU34&gt;0,COUNTIF($NB34:$NC34,"?*")=0),1,0)),MAX(0,$PC34))</f>
        <v/>
      </c>
      <c r="PE34" s="164">
        <f>IF($MS34=0,0,(IF(COUNTIF($RK34:$RN34,"Salto")&gt;0,1,0)+IF(COUNTIF($RK34:$RN34,"Queima")&gt;0,1,0)+IF(COUNTIF($RK34:$RN34,"Estilhaço")&gt;0,1,0))*FLOOR($PD34/2,1))</f>
        <v/>
      </c>
      <c r="PF34" s="164">
        <f>MAX(0,2-SUMPRODUCT($OM34:$OR34,$I$2:$N$2)+MIN(2,$OS34*1+$OT34*1,SUMPRODUCT($OM34:$OR34,$I$2:$N$2)-IF($NS34=0,0,INDEX($I$2:$N$2,1,$NS34))))</f>
        <v/>
      </c>
      <c r="PG34" s="164">
        <f>MAX(0,4-SUMPRODUCT($OM34:$OR34,$I$3:$N$3)+MIN(4,$OS34*1+$OT34*2,SUMPRODUCT($OM34:$OR34,$I$3:$N$3)-IF($NS34=0,0,INDEX($I$3:$N$3,1,$NS34))))</f>
        <v/>
      </c>
      <c r="PH34" s="164">
        <f>MAX(0,6-SUMPRODUCT($OM34:$OR34,$I$4:$N$4)+MIN(6,$OS34*2+$OT34*3,SUMPRODUCT($OM34:$OR34,$I$4:$N$4)-IF($NS34=0,0,INDEX($I$4:$N$4,1,$NS34))))</f>
        <v/>
      </c>
      <c r="PI34" s="164">
        <f>MAX(0,9-SUMPRODUCT($OM34:$OR34,$I$5:$N$5)+MIN(8,$OS34*2+$OT34*4,SUMPRODUCT($OM34:$OR34,$I$5:$N$5)-IF($NS34=0,0,INDEX($I$5:$N$5,1,$NS34))))</f>
        <v/>
      </c>
      <c r="PJ34" s="164">
        <f>MAX(0,11-SUMPRODUCT($OM34:$OR34,$I$6:$N$6)+MIN(10,$OS34*3+$OT34*5,SUMPRODUCT($OM34:$OR34,$I$6:$N$6)-IF($NS34=0,0,INDEX($I$6:$N$6,1,$NS34))))</f>
        <v/>
      </c>
      <c r="PK34" s="164">
        <f>MAX(0,13-SUMPRODUCT($OM34:$OR34,$I$7:$N$7)+MIN(12,$OS34*3+$OT34*6,SUMPRODUCT($OM34:$OR34,$I$7:$N$7)-IF($NS34=0,0,INDEX($I$7:$N$7,1,$NS34))))</f>
        <v/>
      </c>
      <c r="PL34" s="164">
        <f>MAX(0,16-SUMPRODUCT($OM34:$OR34,$I$8:$N$8)+MIN(14,$OS34*4+$OT34*7,SUMPRODUCT($OM34:$OR34,$I$8:$N$8)-IF($NS34=0,0,INDEX($I$8:$N$8,1,$NS34))))</f>
        <v/>
      </c>
      <c r="PM34" s="164">
        <f>IF($OG34=2,3*$PF34&amp;" de vida temp.",IF($OG34=3,"sem dano",IF($PF34=0,IF($OG34=1,"sem cura","sem dano"),IF($OG34=1,"cura ","")&amp;$PF34&amp;"d8")))</f>
        <v/>
      </c>
      <c r="PN34" s="164">
        <f>IF($OG34=2,3*$PG34&amp;" de vida temp.",IF($OG34=3,"sem dano",IF($PG34=0,IF($OG34=1,"sem cura","sem dano"),IF($OG34=1,"cura ","")&amp;$PG34&amp;"d8")))</f>
        <v/>
      </c>
      <c r="PO34" s="164">
        <f>IF($OG34=2,3*$PH34&amp;" de vida temp.",IF($OG34=3,"sem dano",IF($PH34=0,IF($OG34=1,"sem cura","sem dano"),IF($OG34=1,"cura ","")&amp;$PH34&amp;"d8")))</f>
        <v/>
      </c>
      <c r="PP34" s="164">
        <f>IF($OG34=2,3*$PI34&amp;" de vida temp.",IF($OG34=3,"sem dano",IF($PI34=0,IF($OG34=1,"sem cura","sem dano"),IF($OG34=1,"cura ","")&amp;$PI34&amp;"d8")))</f>
        <v/>
      </c>
      <c r="PQ34" s="164">
        <f>IF($OG34=2,3*$PJ34&amp;" de vida temp.",IF($OG34=3,"sem dano",IF($PJ34=0,IF($OG34=1,"sem cura","sem dano"),IF($OG34=1,"cura ","")&amp;$PJ34&amp;"d8")))</f>
        <v/>
      </c>
      <c r="PR34" s="164">
        <f>IF($OG34=2,3*$PK34&amp;" de vida temp.",IF($OG34=3,"sem dano",IF($PK34=0,IF($OG34=1,"sem cura","sem dano"),IF($OG34=1,"cura ","")&amp;$PK34&amp;"d8")))</f>
        <v/>
      </c>
      <c r="PS34" s="164">
        <f>IF($OG34=2,3*$PL34&amp;" de vida temp.",IF($OG34=3,"sem dano",IF($PL34=0,IF($OG34=1,"sem cura","sem dano"),IF($OG34=1,"cura ","")&amp;$PL34&amp;"d8")))</f>
        <v/>
      </c>
      <c r="PT34" s="164">
        <f>IF($ND34=0,"",TEXTJOIN(" · ",TRUE,IF($ND34=0,"",TEXTJOIN(" · ",TRUE,IF($ND34=0,"",TEXTJOIN(" · ",TRUE,IF($MQ34&gt;$NE34,"Este lugar abre no nível "&amp;$MQ34,""),IF($MS34&gt;$NF34,"Classe "&amp;$MS34&amp;": o nível "&amp;$NE34&amp;" libera até a "&amp;$NF34,""),IF($NX34=1,"A Forma "&amp;$MU34&amp;" pede "&amp;INDEX('DADOS_FORMAS'!$GA$2:$GA$21,$NJ34)&amp;" aberta",""),IF(AND($MS34=0,$NJ34&gt;0,IF($NJ34=0,0,INDEX('DADOS_FORMAS'!$GJ$2:$GJ$21,$NJ34))=0),$MU34&amp;" não existe na Classe 0",""),IF($NY34=1,"Família Fechada: "&amp;$MX34,""),IF($NZ34=1,"Família Fechada: "&amp;$MY34,""),IF($OA34=1,"Família Fechada: "&amp;$MZ34,""),IF($OB34=1,"Família Fechada: "&amp;$NA34,""),IF(AND($MS34&gt;0,$OU34&gt;INDEX($O$2:$O$8,MAX(1,$MS34))),$OU34&amp;" Melhorias: a Classe "&amp;$MS34&amp;" aceita "&amp;INDEX($O$2:$O$8,MAX(1,$MS34)),""),IF(AND($MS34=0,$OU34&gt;1),"A básica aceita uma Melhoria",""),IF(AND($MS34=0,COUNTIF($NO34:$NR34,"&gt;1")&gt;0),"A básica só aceita Melhoria Leve",""),IF(AND($MS34&gt;0,$OV34&gt;2),$OV34&amp;" Restrições"&amp;IF($OF34=1,", contando a que a Forma "&amp;$MU34&amp;" já traz","")&amp;": o limite é 2",""),IF(AND($MS34=0,COUNTIF($NB34:$NC34,"?*")&gt;1),"A básica aceita uma Restrição Leve",""),IF(AND($MS34=0,COUNTIF($OI34:$OJ34,2)&gt;0),"A básica só aceita Restrição Leve",""),IF(AND($MS34&gt;0,$PC34&lt;0),"Orçamento estourado: faltam "&amp;(-$PC34)&amp;IF($PC34&lt;-1," pontos"," ponto"),""),IF(IFERROR(VLOOKUP(SUBSTITUTE(SUBSTITUTE(SUBSTITUTE($NB34,"~","~~"),"*","~*"),"?","~?"),'DADOS_RESTRICOES'!$M$2:$Q$54,4,FALSE),0)+IFERROR(VLOOKUP(SUBSTITUTE(SUBSTITUTE(SUBSTITUTE($NC34,"~","~~"),"*","~*"),"?","~?"),'DADOS_RESTRICOES'!$M$2:$Q$54,4,FALSE),0)&gt;1,$OK34&amp;" e "&amp;$OL34&amp;" são as duas de frequência",""),IF(AND((COUNTIF($RK34:$RN34,"Rápido")+COUNTIF($OK34:$OL34,"Rápido"))&gt;0,(COUNTIF($MX34:$NA34,"Atrasar")+COUNTIF($OK34:$OL34,"Atrasar"))&gt;0),"Rápido não entra com Atrasar",""),IF(AND((COUNTIF($RK34:$RN34,"Reação")+COUNTIF($OK34:$OL34,"Reação"))&gt;0,(COUNTIF($RK34:$RN34,"Rápido")+COUNTIF($OK34:$OL34,"Rápido"))&gt;0),"Reação não entra com Rápido",""),IF(AND((COUNTIF($RK34:$RN34,"Reação")+COUNTIF($OK34:$OL34,"Reação"))&gt;0,(COUNTIF($RK34:$RN34,"Armado")+COUNTIF($OK34:$OL34,"Armado"))&gt;0),"Reação não entra com Armado",""),IF(AND((COUNTIF($RK34:$RN34,"Reação")+COUNTIF($OK34:$OL34,"Reação"))&gt;0,(COUNTIF($MX34:$NA34,"Atrasar")+COUNTIF($OK34:$OL34,"Atrasar"))&gt;0),"Reação não entra com Atrasar",""),IF(AND((COUNTIF($RK34:$RN34,"Reação")+COUNTIF($OK34:$OL34,"Reação"))&gt;0,(COUNTIF($MX34:$NA34,"Parado")+COUNTIF($OK34:$OL34,"Parado"))&gt;0),"Reação não entra com Parado",""),IF(AND((COUNTIF($MX34:$NA34,"Atrasar")+COUNTIF($OK34:$OL34,"Atrasar"))&gt;0,(COUNTIF($MX34:$NA34,"Parado")+COUNTIF($OK34:$OL34,"Parado"))&gt;0),"Atrasar não entra com Parado",""),IF(AND((COUNTIF($RK34:$RN34,"Armado")+COUNTIF($OK34:$OL34,"Armado"))&gt;0,(COUNTIF($MX34:$NA34,"Carregar")+COUNTIF($OK34:$OL34,"Carregar"))&gt;0),"Armado não entra com Carregar",""),IF(AND(COUNTIF($OK34:$OL34,"Corpo a Corpo")&gt;0,$OF34=0,OR($RO34="Cone",$RO34="Linha")),"Corpo a Corpo não entra em "&amp;$MU34,""),IF(AND(COUNTIF($OK34:$OL34,"Corpo a Corpo")&gt;0,$RP34="Corpo a Corpo"),"A Forma "&amp;$MU34&amp;" já traz o Corpo a Corpo",""),IF(AND(COUNTIF($OK34:$OL34,"Tudo ou Nada")&gt;0,$OH34=0),"Tudo ou Nada só entra em habilidade de Teste de Resistência",""),IF(AND(COUNTIF($RK34:$RN34,"Inescapável")&gt;0,OR($OU34&gt;1,$OV34&gt;0)),"Inescapável não aceita outra peça",""),IF(AND($MS34&gt;0,$PD34*IF(COUNTIF($RK34:$RN34,"Remate")&gt;0,1.25,1)+$PE34&gt;4*$MS34),($PD34*IF(COUNTIF($RK34:$RN34,"Remate")&gt;0,1.25,1)+$PE34)&amp;" dados somando repetições"&amp;IF(COUNTIF($RK34:$RN34,"Remate")&gt;0," e o Remate","")&amp;": o teto da Classe "&amp;$MS34&amp;" é "&amp;4*$MS34,""))),IF(AND($MX34&lt;&gt;"",COUNTIF('DADOS_MELHORIAS'!$O$2:$O$113,SUBSTITUTE(SUBSTITUTE(SUBSTITUTE($MX34,"~","~~"),"*","~*"),"?","~?"))=0),"Melhoria não cadastrada ou com erro: "&amp;$MX34,""),IF(AND($MY34&lt;&gt;"",COUNTIF('DADOS_MELHORIAS'!$O$2:$O$113,SUBSTITUTE(SUBSTITUTE(SUBSTITUTE($MY34,"~","~~"),"*","~*"),"?","~?"))=0),"Melhoria não cadastrada ou com erro: "&amp;$MY34,""),IF(AND($MZ34&lt;&gt;"",COUNTIF('DADOS_MELHORIAS'!$O$2:$O$113,SUBSTITUTE(SUBSTITUTE(SUBSTITUTE($MZ34,"~","~~"),"*","~*"),"?","~?"))=0),"Melhoria não cadastrada ou com erro: "&amp;$MZ34,""),IF(AND($NA34&lt;&gt;"",COUNTIF('DADOS_MELHORIAS'!$O$2:$O$113,SUBSTITUTE(SUBSTITUTE(SUBSTITUTE($NA34,"~","~~"),"*","~*"),"?","~?"))=0),"Melhoria não cadastrada ou com erro: "&amp;$NA34,""),IF(AND($NB34&lt;&gt;"",COUNTIF('DADOS_RESTRICOES'!$M$2:$M$54,SUBSTITUTE(SUBSTITUTE(SUBSTITUTE($NB34,"~","~~"),"*","~*"),"?","~?"))=0),"Restrição não cadastrada ou com erro: "&amp;$NB34,""),IF(AND($NC34&lt;&gt;"",COUNTIF('DADOS_RESTRICOES'!$M$2:$M$54,SUBSTITUTE(SUBSTITUTE(SUBSTITUTE($NC34,"~","~~"),"*","~*"),"?","~?"))=0),"Restrição não cadastrada ou com erro: "&amp;$NC34,""))),IF(AND($MU34&lt;&gt;"",COUNTIF('DADOS_FORMAS'!$AH$2:$AH$21,SUBSTITUTE(SUBSTITUTE(SUBSTITUTE($MU34,"~","~~"),"*","~*"),"?","~?"))=0),"Forma não cadastrada ou com erro: "&amp;$MU34,""),IF(AND(IFERROR(INDEX('DADOS_FORMAS'!$AS$2:$AS$21,MATCH(SUBSTITUTE(SUBSTITUTE(SUBSTITUTE($MU34,"~","~~"),"*","~*"),"?","~?"),'DADOS_FORMAS'!$AH$2:$AH$21,0)),"")&lt;&gt;"",OR(IFERROR(VLOOKUP(SUBSTITUTE(SUBSTITUTE(SUBSTITUTE(IFERROR(INDEX('DADOS_FORMAS'!$AS$2:$AS$21,MATCH(SUBSTITUTE(SUBSTITUTE(SUBSTITUTE($MU34,"~","~~"),"*","~*"),"?","~?"),'DADOS_FORMAS'!$AH$2:$AH$21,0)),""),"~","~~"),"*","~*"),"?","~?"),'DADOS_RESTRICOES'!$M$2:$Q$54,2,FALSE),"")=$OK34,IFERROR(VLOOKUP(SUBSTITUTE(SUBSTITUTE(SUBSTITUTE(IFERROR(INDEX('DADOS_FORMAS'!$AS$2:$AS$21,MATCH(SUBSTITUTE(SUBSTITUTE(SUBSTITUTE($MU34,"~","~~"),"*","~*"),"?","~?"),'DADOS_FORMAS'!$AH$2:$AH$21,0)),""),"~","~~"),"*","~*"),"?","~?"),'DADOS_RESTRICOES'!$M$2:$Q$54,2,FALSE),"")=$OL34)),"Restrição repetida, contando a embutida",""),IF(IF(IFERROR(INDEX('DADOS_FORMAS'!$AS$2:$AS$21,MATCH(SUBSTITUTE(SUBSTITUTE(SUBSTITUTE($MU34,"~","~~"),"*","~*"),"?","~?"),'DADOS_FORMAS'!$AH$2:$AH$21,0)),"")="",0,IFERROR(N(VLOOKUP(SUBSTITUTE(SUBSTITUTE(SUBSTITUTE(IFERROR(INDEX('DADOS_FORMAS'!$AS$2:$AS$21,MATCH(SUBSTITUTE(SUBSTITUTE(SUBSTITUTE($MU34,"~","~~"),"*","~*"),"?","~?"),'DADOS_FORMAS'!$AH$2:$AH$21,0)),""),"~","~~"),"*","~*"),"?","~?"),'DADOS_RESTRICOES'!$M$2:$Q$54,4,FALSE)=1),0))+IF($NB34="",0,IFERROR(N(VLOOKUP(SUBSTITUTE(SUBSTITUTE(SUBSTITUTE($NB34,"~","~~"),"*","~*"),"?","~?"),'DADOS_RESTRICOES'!$M$2:$Q$54,4,FALSE)=1),0))+IF($NC34="",0,IFERROR(N(VLOOKUP(SUBSTITUTE(SUBSTITUTE(SUBSTITUTE($NC34,"~","~~"),"*","~*"),"?","~?"),'DADOS_RESTRICOES'!$M$2:$Q$54,4,FALSE)=1),0))&gt;1,"Duas Restrições de frequência, contando a embutida",""),IF(AND(IFERROR(VLOOKUP(SUBSTITUTE(SUBSTITUTE(SUBSTITUTE(IFERROR(INDEX('DADOS_FORMAS'!$AS$2:$AS$21,MATCH(SUBSTITUTE(SUBSTITUTE(SUBSTITUTE($MU34,"~","~~"),"*","~*"),"?","~?"),'DADOS_FORMAS'!$AH$2:$AH$21,0)),""),"~","~~"),"*","~*"),"?","~?"),'DADOS_RESTRICOES'!$M$2:$Q$54,2,FALSE),"")="Tudo ou Nada",$OH34=0),"Tudo ou Nada exige TR",""),IF(AND(IFERROR(VLOOKUP(SUBSTITUTE(SUBSTITUTE(SUBSTITUTE(IFERROR(INDEX('DADOS_FORMAS'!$AS$2:$AS$21,MATCH(SUBSTITUTE(SUBSTITUTE(SUBSTITUTE($MU34,"~","~~"),"*","~*"),"?","~?"),'DADOS_FORMAS'!$AH$2:$AH$21,0)),""),"~","~~"),"*","~*"),"?","~?"),'DADOS_RESTRICOES'!$M$2:$Q$54,2,FALSE),"")="Corpo a Corpo",OR($RO34="Cone",$RO34="Linha")),"Corpo a Corpo não entra em Cone/Linha","")))</f>
        <v/>
      </c>
      <c r="PU34" s="164">
        <f>IF($PT34="",0,(LEN($PT34)-LEN(SUBSTITUTE($PT34," · ","")))/3+1)</f>
        <v/>
      </c>
      <c r="PV34" s="164">
        <f>IF($ND34=0,"",TEXTJOIN(" · ",TRUE,IF($OX34&gt;2*$MS34,"A devolução parou no teto de "&amp;2*$MS34,""),IF($PA34&gt;0,"Devolução perdida: "&amp;$PA34&amp;IF($PA34&gt;1," pontos"," ponto")&amp;" sem Melhoria para pagar",""),IF(AND($OC34&gt;0,AND($MS34&gt;0,$OG34=0),$PD34=0),"Controle sem dano: uma rodada a mais e CD +2",""),IF(AND($OC34&gt;0,AND($MS34&gt;0,$OG34=0),$PD34&gt;0,$PD34&lt;=$MS34),"Controle com saldo até a Classe: uma rodada a mais",""),IF(AND($MS34&gt;0,$OE34&lt;&gt;""),"Efeito de "&amp;$OE34&amp;" pela Classe "&amp;MAX(1,$MS34-1),"")))</f>
        <v/>
      </c>
      <c r="PW34" s="164">
        <f>IF($PV34="",0,(LEN($PV34)-LEN(SUBSTITUTE($PV34," · ","")))/3+1)</f>
        <v/>
      </c>
      <c r="PX34" s="164">
        <f>IF($ND34=0,IF($OU34+COUNTIF($NB34:$NC34,"?*")&gt;0,"Dê um nome",""),IF($PU34&gt;0,"⚠ "&amp;$PU34&amp;IF($PU34&gt;1," erros"," erro"),IF($PW34&gt;0,"! "&amp;$PW34&amp;IF($PW34&gt;1," avisos"," aviso"),"Na regra")))</f>
        <v/>
      </c>
      <c r="PY34" s="164">
        <f>IF($ND34=0,"",IF($PU34+$PW34=0,"Dentro das regras que a ficha confere",$PT34&amp;IF(AND($PU34&gt;0,$PW34&gt;0)," · ","")&amp;$PV34))</f>
        <v/>
      </c>
      <c r="PZ34" s="164">
        <f>IF($MQ34&gt;$NE34,$MR34&amp;" · ABRE NO NÍVEL "&amp;$MQ34,$MR34)</f>
        <v/>
      </c>
      <c r="QA34" s="164">
        <f>IF($ND34=0,"",IF($MS34=0,"Sem PE",3*$MS34&amp;" PE"))</f>
        <v/>
      </c>
      <c r="QB34" s="164">
        <f>IF($ND34=0,"",IF($MS34=0,"A atuação básica dela",IF(COUNTIF($RQ34:$RS34,"Atrasar")&gt;0,"Sua Ação Completa",IF(COUNTIF($RK34:$RN34,"Rápido")&gt;0,"Sua Bônus",IF(COUNTIF($RK34:$RN34,"Reação")&gt;0,"Sua Reação","Sua Padrão")))&amp;" + a básica dela"&amp;IF(COUNTIF($RK34:$RN34,"Reação")&gt;0," e a coletiva","")&amp;IF(COUNTIF($RQ34:$RS34,"Carregar")&gt;0," · em dois turnos","")))</f>
        <v/>
      </c>
      <c r="QC34" s="164">
        <f>IF($MW34&lt;&gt;"",$MW34,IF($NJ34=0,"",INDEX('DADOS_FORMAS'!$GE$2:$GE$21,$NJ34)))</f>
        <v/>
      </c>
      <c r="QD34" s="164">
        <f>IF(OR($ND34=0,$NJ34=0),"",IF(COUNTIF($RK34:$RN34,"Inescapável")&gt;0,"Automático",IF($QC34="Ataque",IF($NH34="","Ataque","Ataque "&amp;IF(($NH34+2*IF(COUNTIF($RK34:$RN34,"Precisão")&gt;0,1,0))&gt;=0,"+","−")&amp;ABS(($NH34+2*IF(COUNTIF($RK34:$RN34,"Precisão")&gt;0,1,0))))&amp;IF($OD34&gt;0," · TR"&amp;IF($NI34="",""," CD "&amp;$NI34),""),IF(LEFT($QC34,2)="TR",$QC34&amp;IF($NI34="",""," · CD "&amp;$NI34)&amp;IF(COUNTIF($RK34:$RN34,"Certeiro")&gt;0," · metade",""),"Sem rolagem"))))</f>
        <v/>
      </c>
      <c r="QE34" s="164">
        <f>IF(OR($ND34=0,$NJ34=0),"",IF($MS34=0,IF(OR($OG34&gt;=1,$PD34=0),"Sem dano",$PD34&amp;"d6"&amp;IF($MV34="",""," "&amp;$MV34)),IF(OR($OG34&gt;=1,$PD34=0),UPPER(LEFT(INDEX($PM34:$PS34,1,MAX(1,$MS34)),1))&amp;MID(INDEX($PM34:$PS34,1,MAX(1,$MS34)),2,99),UPPER(LEFT(INDEX($PM34:$PS34,1,MAX(1,$MS34)),1))&amp;MID(INDEX($PM34:$PS34,1,MAX(1,$MS34)),2,99)&amp;IF($MV34="",""," "&amp;$MV34)&amp;IF($PE34&gt;0," · +"&amp;$PE34&amp;"d8",""))))</f>
        <v/>
      </c>
      <c r="QF34" s="164">
        <f>COUNTIF($RK34:$RN34,"Longe")+3*COUNTIF($RK34:$RN34,"Muito Longe")</f>
        <v/>
      </c>
      <c r="QG34" s="164">
        <f>COUNTIF($RK34:$RN34,"Maior")+3*COUNTIF($RK34:$RN34,"Muito Maior")</f>
        <v/>
      </c>
      <c r="QH34" s="164">
        <f>IF($NJ34=0,0,CHOOSE(1+INDEX('DADOS_FORMAS'!$GG$2:$GG$21,$NJ34),0,$QF34,$QG34,$QF34+$QG34))</f>
        <v/>
      </c>
      <c r="QI34" s="164">
        <f>IF($NJ34=0,0,CHOOSE(1+INDEX('DADOS_FORMAS'!$GH$2:$GH$21,$NJ34),0,$QF34,$QG34,$QF34+$QG34))</f>
        <v/>
      </c>
      <c r="QJ34" s="164">
        <f>IF(OR($ND34=0,$NJ34=0),"",INDEX('DADOS_FORMAS'!$HU$2:$HZ$81,($NJ34-1)*4+IF($MS34=0,1,IF($MS34&lt;=5,2,IF($MS34=6,3,4))),1+MIN(5,$QH34))&amp;INDEX('DADOS_FORMAS'!$IA$2:$IF$81,($NJ34-1)*4+IF($MS34=0,1,IF($MS34&lt;=5,2,IF($MS34=6,3,4))),1+MIN(5,$QI34))&amp;IF(INDEX('DADOS_FORMAS'!$GI$2:$GI$21,$NJ34)=1,IF(COUNTIF($RK34:$RN34,"Mais Um")&gt;0," · +"&amp;COUNTIF($RK34:$RN34,"Mais Um")&amp;IF(COUNTIF($RK34:$RN34,"Mais Um")&gt;1," alvos"," alvo"),"")&amp;IF(COUNTIF($RK34:$RN34,"Rajada")&gt;0,IF($MS34=0," · 1 tiro"," · "&amp;(MAX(1,$MS34-1)+1)&amp;" tiros"),""),""))</f>
        <v/>
      </c>
      <c r="QK34" s="164">
        <f>IF($ND34=0,"",IF($MS34=0,$NG34&amp;"d6"&amp;IF($OU34&gt;0," − 1 = "&amp;$PD34&amp;"d6"," da básica do nível "&amp;$NE34),$PB34&amp;" − "&amp;$OW34&amp;" + "&amp;$OZ34&amp;" = "&amp;$PC34&amp;" · teto "&amp;4*$MS34&amp;"d8"&amp;IF($OF34=1," · a Forma devolve "&amp;$MS34,"")&amp;IF($PA34&gt;0," · perde "&amp;$PA34,"")))</f>
        <v/>
      </c>
      <c r="QL34" s="164">
        <f>IF($ND34=0,"",IF($MS34=0,"A básica não amplia: os dados dela sobem com o nível",IF($MS34&gt;=$NF34,"Já está na maior Classe que o nível liberou",TEXTJOIN(" · ",TRUE,IF(AND(2&gt;$MS34,2&lt;=$NF34),"2 → "&amp;$PN34&amp;", 6 PE",""),IF(AND(3&gt;$MS34,3&lt;=$NF34),"3 → "&amp;$PO34&amp;", 9 PE",""),IF(AND(4&gt;$MS34,4&lt;=$NF34),"4 → "&amp;$PP34&amp;", 12 PE",""),IF(AND(5&gt;$MS34,5&lt;=$NF34),"5 → "&amp;$PQ34&amp;", 15 PE",""),IF(AND(6&gt;$MS34,6&lt;=$NF34),"6 → "&amp;$PR34&amp;", 18 PE",""),IF(AND(7&gt;$MS34,7&lt;=$NF34),"7 → "&amp;$PS34&amp;", 21 PE","")))))</f>
        <v/>
      </c>
      <c r="QM34" s="164">
        <f>IF(OR($ND34=0,$NO34=0),"",IF($MS34=0,"−1 dado","−"&amp;INDEX($I$2:$N$8,MAX(1,$MS34),MAX(1,$NT34))&amp;" · "&amp;CHOOSE(MAX(1,$NT34),"Leve","Média","Pesada","Leve · Livre","Média · Livre","Pesada · Livre")))</f>
        <v/>
      </c>
      <c r="QN34" s="164">
        <f>IF(OR($ND34=0,$NP34=0),"",IF($MS34=0,"−1 dado","−"&amp;INDEX($I$2:$N$8,MAX(1,$MS34),MAX(1,$NU34))&amp;" · "&amp;CHOOSE(MAX(1,$NU34),"Leve","Média","Pesada","Leve · Livre","Média · Livre","Pesada · Livre")))</f>
        <v/>
      </c>
      <c r="QO34" s="164">
        <f>IF(OR($ND34=0,$NQ34=0),"",IF($MS34=0,"−1 dado","−"&amp;INDEX($I$2:$N$8,MAX(1,$MS34),MAX(1,$NV34))&amp;" · "&amp;CHOOSE(MAX(1,$NV34),"Leve","Média","Pesada","Leve · Livre","Média · Livre","Pesada · Livre")))</f>
        <v/>
      </c>
      <c r="QP34" s="164">
        <f>IF(OR($ND34=0,$NR34=0),"",IF($MS34=0,"−1 dado","−"&amp;INDEX($I$2:$N$8,MAX(1,$MS34),MAX(1,$NW34))&amp;" · "&amp;CHOOSE(MAX(1,$NW34),"Leve","Média","Pesada","Leve · Livre","Média · Livre","Pesada · Livre")))</f>
        <v/>
      </c>
      <c r="QQ34" s="164">
        <f>IF(OR($ND34=0,$NB34=""),"",IF($MS34=0,"não devolve","+"&amp;IF($OI34=1,CEILING($MS34/2,1),$MS34)))</f>
        <v/>
      </c>
      <c r="QR34" s="164">
        <f>IF(OR($ND34=0,$NC34=""),"",IF($MS34=0,"não devolve","+"&amp;IF($OJ34=1,CEILING($MS34/2,1),$MS34)))</f>
        <v/>
      </c>
      <c r="RK34">
        <f>IF($MX34="","",IFERROR(VLOOKUP(SUBSTITUTE(SUBSTITUTE(SUBSTITUTE($MX34,"~","~~"),"*","~*"),"?","~?"),'DADOS_MELHORIAS'!$O$2:$X$113,10,FALSE),$MX34))</f>
        <v/>
      </c>
      <c r="RL34">
        <f>IF($MY34="","",IFERROR(VLOOKUP(SUBSTITUTE(SUBSTITUTE(SUBSTITUTE($MY34,"~","~~"),"*","~*"),"?","~?"),'DADOS_MELHORIAS'!$O$2:$X$113,10,FALSE),$MY34))</f>
        <v/>
      </c>
      <c r="RM34">
        <f>IF($MZ34="","",IFERROR(VLOOKUP(SUBSTITUTE(SUBSTITUTE(SUBSTITUTE($MZ34,"~","~~"),"*","~*"),"?","~?"),'DADOS_MELHORIAS'!$O$2:$X$113,10,FALSE),$MZ34))</f>
        <v/>
      </c>
      <c r="RN34">
        <f>IF($NA34="","",IFERROR(VLOOKUP(SUBSTITUTE(SUBSTITUTE(SUBSTITUTE($NA34,"~","~~"),"*","~*"),"?","~?"),'DADOS_MELHORIAS'!$O$2:$X$113,10,FALSE),$NA34))</f>
        <v/>
      </c>
      <c r="RO34">
        <f>IFERROR(INDEX('DADOS_FORMAS'!$BJ$2:$BJ$21,MATCH(SUBSTITUTE(SUBSTITUTE(SUBSTITUTE($MU34,"~","~~"),"*","~*"),"?","~?"),'DADOS_FORMAS'!$AH$2:$AH$21,0)),"")</f>
        <v/>
      </c>
      <c r="RP34">
        <f>IFERROR(VLOOKUP(SUBSTITUTE(SUBSTITUTE(SUBSTITUTE(IFERROR(INDEX('DADOS_FORMAS'!$AS$2:$AS$21,MATCH(SUBSTITUTE(SUBSTITUTE(SUBSTITUTE($MU34,"~","~~"),"*","~*"),"?","~?"),'DADOS_FORMAS'!$AH$2:$AH$21,0)),""),"~","~~"),"*","~*"),"?","~?"),'DADOS_RESTRICOES'!$M$2:$Q$54,2,FALSE),"")</f>
        <v/>
      </c>
      <c r="RQ34">
        <f>$OK34</f>
        <v/>
      </c>
      <c r="RR34">
        <f>$OL34</f>
        <v/>
      </c>
      <c r="RS34">
        <f>$RP34</f>
        <v/>
      </c>
    </row>
    <row r="35">
      <c r="AH35" s="162" t="inlineStr">
        <is>
          <t>Onda · classes 1 a 5</t>
        </is>
      </c>
      <c r="AI35" s="162" t="inlineStr">
        <is>
          <t>Raio 3 m, nela</t>
        </is>
      </c>
      <c r="AJ35" s="162" t="inlineStr">
        <is>
          <t>Raio 4,5 m, nela</t>
        </is>
      </c>
      <c r="AK35" s="162" t="inlineStr">
        <is>
          <t>Raio 6 m, nela</t>
        </is>
      </c>
      <c r="AL35" s="162" t="inlineStr">
        <is>
          <t>Raio 9 m, nela</t>
        </is>
      </c>
      <c r="AM35" s="162" t="inlineStr">
        <is>
          <t>Raio 15 m, nela</t>
        </is>
      </c>
      <c r="AN35" s="162" t="inlineStr">
        <is>
          <t>Raio 15 m, nela</t>
        </is>
      </c>
      <c r="AO35" s="162" t="inlineStr"/>
      <c r="AP35" s="162" t="inlineStr"/>
      <c r="AQ35" s="162" t="inlineStr"/>
      <c r="AR35" s="162" t="inlineStr"/>
      <c r="AS35" s="162" t="inlineStr"/>
      <c r="AT35" s="162" t="inlineStr"/>
      <c r="AV35" s="162" t="inlineStr">
        <is>
          <t>Envenenado</t>
        </is>
      </c>
      <c r="AW35" s="162" t="inlineStr">
        <is>
          <t>Controle</t>
        </is>
      </c>
      <c r="AX35" s="164" t="n">
        <v>3</v>
      </c>
      <c r="AY35" s="164" t="n">
        <v>1</v>
      </c>
      <c r="AZ35" s="164" t="n">
        <v>0</v>
      </c>
      <c r="BA35" s="164" t="n">
        <v>1</v>
      </c>
      <c r="JT35" s="164">
        <f>IF(OR($AW35="",(COUNTIF($EL$2:$EP$2,$AW35)+COUNTIF($QV$2:$QY$2,$AW35))&gt;0),$AV35,"")</f>
        <v/>
      </c>
      <c r="JU35" s="164">
        <f>IF(AND($AX35=1,OR($AW35="",(COUNTIF($EL$2:$EP$2,$AW35)+COUNTIF($QV$2:$QY$2,$AW35))&gt;0)),$AV35,"")</f>
        <v/>
      </c>
      <c r="JZ35" s="164">
        <f>IF(OR($AW35="",(COUNTIF($EL$3:$EP$3,$AW35)+COUNTIF($QV$3:$QY$3,$AW35))&gt;0),$AV35,"")</f>
        <v/>
      </c>
      <c r="KA35" s="164">
        <f>IF(AND($AX35=1,OR($AW35="",(COUNTIF($EL$3:$EP$3,$AW35)+COUNTIF($QV$3:$QY$3,$AW35))&gt;0)),$AV35,"")</f>
        <v/>
      </c>
      <c r="KF35" s="164">
        <f>IF(OR($AW35="",(COUNTIF($EL$4:$EP$4,$AW35)+COUNTIF($QV$4:$QY$4,$AW35))&gt;0),$AV35,"")</f>
        <v/>
      </c>
      <c r="KG35" s="164">
        <f>IF(AND($AX35=1,OR($AW35="",(COUNTIF($EL$4:$EP$4,$AW35)+COUNTIF($QV$4:$QY$4,$AW35))&gt;0)),$AV35,"")</f>
        <v/>
      </c>
      <c r="KL35" s="164">
        <f>IF(OR($AW35="",(COUNTIF($EL$5:$EP$5,$AW35)+COUNTIF($QV$5:$QY$5,$AW35))&gt;0),$AV35,"")</f>
        <v/>
      </c>
      <c r="KM35" s="164">
        <f>IF(AND($AX35=1,OR($AW35="",(COUNTIF($EL$5:$EP$5,$AW35)+COUNTIF($QV$5:$QY$5,$AW35))&gt;0)),$AV35,"")</f>
        <v/>
      </c>
      <c r="KR35" s="164">
        <f>IF(OR($AW35="",(COUNTIF($EL$6:$EP$6,$AW35)+COUNTIF($QV$6:$QY$6,$AW35))&gt;0),$AV35,"")</f>
        <v/>
      </c>
      <c r="KS35" s="164">
        <f>IF(AND($AX35=1,OR($AW35="",(COUNTIF($EL$6:$EP$6,$AW35)+COUNTIF($QV$6:$QY$6,$AW35))&gt;0)),$AV35,"")</f>
        <v/>
      </c>
      <c r="KX35" s="164">
        <f>IF(OR($AW35="",(COUNTIF($EL$7:$EP$7,$AW35)+COUNTIF($QV$7:$QY$7,$AW35))&gt;0),$AV35,"")</f>
        <v/>
      </c>
      <c r="KY35" s="164">
        <f>IF(AND($AX35=1,OR($AW35="",(COUNTIF($EL$7:$EP$7,$AW35)+COUNTIF($QV$7:$QY$7,$AW35))&gt;0)),$AV35,"")</f>
        <v/>
      </c>
      <c r="LD35" s="164">
        <f>IF(OR($AW35="",(COUNTIF($EL$8:$EP$8,$AW35)+COUNTIF($QV$8:$QY$8,$AW35))&gt;0),$AV35,"")</f>
        <v/>
      </c>
      <c r="LE35" s="164">
        <f>IF(AND($AX35=1,OR($AW35="",(COUNTIF($EL$8:$EP$8,$AW35)+COUNTIF($QV$8:$QY$8,$AW35))&gt;0)),$AV35,"")</f>
        <v/>
      </c>
      <c r="LJ35" s="164">
        <f>IF(OR($AW35="",(COUNTIF($EL$9:$EP$9,$AW35)+COUNTIF($QV$9:$QY$9,$AW35))&gt;0),$AV35,"")</f>
        <v/>
      </c>
      <c r="LK35" s="164">
        <f>IF(AND($AX35=1,OR($AW35="",(COUNTIF($EL$9:$EP$9,$AW35)+COUNTIF($QV$9:$QY$9,$AW35))&gt;0)),$AV35,"")</f>
        <v/>
      </c>
      <c r="LP35" s="164">
        <f>IF(OR($AW35="",(COUNTIF($EL$10:$EP$10,$AW35)+COUNTIF($QV$10:$QY$10,$AW35))&gt;0),$AV35,"")</f>
        <v/>
      </c>
      <c r="LQ35" s="164">
        <f>IF(AND($AX35=1,OR($AW35="",(COUNTIF($EL$10:$EP$10,$AW35)+COUNTIF($QV$10:$QY$10,$AW35))&gt;0)),$AV35,"")</f>
        <v/>
      </c>
      <c r="LV35" s="164">
        <f>IF(OR($AW35="",(COUNTIF($EL$11:$EP$11,$AW35)+COUNTIF($QV$11:$QY$11,$AW35))&gt;0),$AV35,"")</f>
        <v/>
      </c>
      <c r="LW35" s="164">
        <f>IF(AND($AX35=1,OR($AW35="",(COUNTIF($EL$11:$EP$11,$AW35)+COUNTIF($QV$11:$QY$11,$AW35))&gt;0)),$AV35,"")</f>
        <v/>
      </c>
      <c r="MB35" s="164">
        <f>IF(OR($AW35="",(COUNTIF($EL$12:$EP$12,$AW35)+COUNTIF($QV$12:$QY$12,$AW35))&gt;0),$AV35,"")</f>
        <v/>
      </c>
      <c r="MC35" s="164">
        <f>IF(AND($AX35=1,OR($AW35="",(COUNTIF($EL$12:$EP$12,$AW35)+COUNTIF($QV$12:$QY$12,$AW35))&gt;0)),$AV35,"")</f>
        <v/>
      </c>
      <c r="MH35" s="164">
        <f>IF(OR($AW35="",(COUNTIF($EL$13:$EP$13,$AW35)+COUNTIF($QV$13:$QY$13,$AW35))&gt;0),$AV35,"")</f>
        <v/>
      </c>
      <c r="MI35" s="164">
        <f>IF(AND($AX35=1,OR($AW35="",(COUNTIF($EL$13:$EP$13,$AW35)+COUNTIF($QV$13:$QY$13,$AW35))&gt;0)),$AV35,"")</f>
        <v/>
      </c>
      <c r="MN35" s="162" t="inlineStr">
        <is>
          <t>Ficha 3 · Especial 6</t>
        </is>
      </c>
      <c r="MO35" s="164" t="n">
        <v>3</v>
      </c>
      <c r="MP35" s="164" t="n">
        <v>1</v>
      </c>
      <c r="MQ35" s="164" t="n">
        <v>20</v>
      </c>
      <c r="MR35" s="162" t="inlineStr">
        <is>
          <t>ESPECIAL 6</t>
        </is>
      </c>
      <c r="MS35" s="164">
        <f>MAX(1,MIN(7,N('INVOCAÇÕES'!$O$549)))</f>
        <v/>
      </c>
      <c r="MT35" s="164">
        <f>'INVOCAÇÕES'!$P$549&amp;""</f>
        <v/>
      </c>
      <c r="MU35" s="164">
        <f>'INVOCAÇÕES'!$O$554&amp;""</f>
        <v/>
      </c>
      <c r="MV35" s="164">
        <f>'INVOCAÇÕES'!$O$555&amp;""</f>
        <v/>
      </c>
      <c r="MW35" s="164">
        <f>'INVOCAÇÕES'!$Q$555&amp;""</f>
        <v/>
      </c>
      <c r="MX35" s="164">
        <f>'INVOCAÇÕES'!$P$558&amp;""</f>
        <v/>
      </c>
      <c r="MY35" s="164">
        <f>'INVOCAÇÕES'!$P$559&amp;""</f>
        <v/>
      </c>
      <c r="MZ35" s="164">
        <f>'INVOCAÇÕES'!$P$560&amp;""</f>
        <v/>
      </c>
      <c r="NA35" s="164">
        <f>'INVOCAÇÕES'!$P$561&amp;""</f>
        <v/>
      </c>
      <c r="NB35" s="164">
        <f>'INVOCAÇÕES'!$P$562&amp;""</f>
        <v/>
      </c>
      <c r="NC35" s="164">
        <f>'INVOCAÇÕES'!$P$563&amp;""</f>
        <v/>
      </c>
      <c r="ND35" s="164">
        <f>IF($MT35&lt;&gt;"",1,0)</f>
        <v/>
      </c>
      <c r="NE35" s="164">
        <f>INDEX($FO$2:$FO$13,$MO35)</f>
        <v/>
      </c>
      <c r="NF35" s="164">
        <f>INDEX($FP$2:$FP$13,$MO35)</f>
        <v/>
      </c>
      <c r="NG35" s="164">
        <f>INDEX($FQ$2:$FQ$13,$MO35)</f>
        <v/>
      </c>
      <c r="NH35" s="164">
        <f>INDEX($GB$2:$GB$13,$MO35)</f>
        <v/>
      </c>
      <c r="NI35" s="164">
        <f>INDEX($GC$2:$GC$13,$MO35)</f>
        <v/>
      </c>
      <c r="NJ35" s="164">
        <f>IFERROR(MATCH(SUBSTITUTE(SUBSTITUTE(SUBSTITUTE($MU35,"~","~~"),"*","~*"),"?","~?"),'DADOS_FORMAS'!$FZ$2:$FZ$21,0),0)</f>
        <v/>
      </c>
      <c r="NK35" s="164">
        <f>IFERROR(VLOOKUP(SUBSTITUTE(SUBSTITUTE(SUBSTITUTE($MX35,"~","~~"),"*","~*"),"?","~?"),'DADOS_MELHORIAS'!$AG$2:$AL$113,2,FALSE),"")</f>
        <v/>
      </c>
      <c r="NL35" s="164">
        <f>IFERROR(VLOOKUP(SUBSTITUTE(SUBSTITUTE(SUBSTITUTE($MY35,"~","~~"),"*","~*"),"?","~?"),'DADOS_MELHORIAS'!$AG$2:$AL$113,2,FALSE),"")</f>
        <v/>
      </c>
      <c r="NM35" s="164">
        <f>IFERROR(VLOOKUP(SUBSTITUTE(SUBSTITUTE(SUBSTITUTE($MZ35,"~","~~"),"*","~*"),"?","~?"),'DADOS_MELHORIAS'!$AG$2:$AL$113,2,FALSE),"")</f>
        <v/>
      </c>
      <c r="NN35" s="164">
        <f>IFERROR(VLOOKUP(SUBSTITUTE(SUBSTITUTE(SUBSTITUTE($NA35,"~","~~"),"*","~*"),"?","~?"),'DADOS_MELHORIAS'!$AG$2:$AL$113,2,FALSE),"")</f>
        <v/>
      </c>
      <c r="NO35" s="164">
        <f>IFERROR(VLOOKUP(SUBSTITUTE(SUBSTITUTE(SUBSTITUTE($MX35,"~","~~"),"*","~*"),"?","~?"),'DADOS_MELHORIAS'!$AG$2:$AL$113,3,FALSE),0)</f>
        <v/>
      </c>
      <c r="NP35" s="164">
        <f>IFERROR(VLOOKUP(SUBSTITUTE(SUBSTITUTE(SUBSTITUTE($MY35,"~","~~"),"*","~*"),"?","~?"),'DADOS_MELHORIAS'!$AG$2:$AL$113,3,FALSE),0)</f>
        <v/>
      </c>
      <c r="NQ35" s="164">
        <f>IFERROR(VLOOKUP(SUBSTITUTE(SUBSTITUTE(SUBSTITUTE($MZ35,"~","~~"),"*","~*"),"?","~?"),'DADOS_MELHORIAS'!$AG$2:$AL$113,3,FALSE),0)</f>
        <v/>
      </c>
      <c r="NR35" s="164">
        <f>IFERROR(VLOOKUP(SUBSTITUTE(SUBSTITUTE(SUBSTITUTE($NA35,"~","~~"),"*","~*"),"?","~?"),'DADOS_MELHORIAS'!$AG$2:$AL$113,3,FALSE),0)</f>
        <v/>
      </c>
      <c r="NS35" s="164">
        <f>IF($MS35=0,0,IF($NJ35=0,0,INDEX('DADOS_FORMAS'!$GB$2:$GB$21,$NJ35)))</f>
        <v/>
      </c>
      <c r="NT35" s="164">
        <f>IF(OR($NO35=0,$MS35=0),0,$NO35+3*IF(AND($NK35&lt;&gt;"",COUNTIF(INDEX($RB$2:$RJ$13,$MO35,0),$NK35)&gt;0),1,0))</f>
        <v/>
      </c>
      <c r="NU35" s="164">
        <f>IF(OR($NP35=0,$MS35=0),0,$NP35+3*IF(AND($NL35&lt;&gt;"",COUNTIF(INDEX($RB$2:$RJ$13,$MO35,0),$NL35)&gt;0),1,0))</f>
        <v/>
      </c>
      <c r="NV35" s="164">
        <f>IF(OR($NQ35=0,$MS35=0),0,$NQ35+3*IF(AND($NM35&lt;&gt;"",COUNTIF(INDEX($RB$2:$RJ$13,$MO35,0),$NM35)&gt;0),1,0))</f>
        <v/>
      </c>
      <c r="NW35" s="164">
        <f>IF(OR($NR35=0,$MS35=0),0,$NR35+3*IF(AND($NN35&lt;&gt;"",COUNTIF(INDEX($RB$2:$RJ$13,$MO35,0),$NN35)&gt;0),1,0))</f>
        <v/>
      </c>
      <c r="NX35" s="164">
        <f>IF($NJ35=0,0,IF(INDEX('DADOS_FORMAS'!$GA$2:$GA$21,$NJ35)="",0,IF((COUNTIF(INDEX($EL$2:$EP$13,$MO35,0),INDEX('DADOS_FORMAS'!$GA$2:$GA$21,$NJ35))+COUNTIF(INDEX($QV$2:$QY$13,$MO35,0),INDEX('DADOS_FORMAS'!$GA$2:$GA$21,$NJ35)))=0,1,0)))</f>
        <v/>
      </c>
      <c r="NY35" s="164">
        <f>IF(OR($NO35=0,$NK35=""),0,IF((COUNTIF(INDEX($EL$2:$EP$13,$MO35,0),$NK35)+COUNTIF(INDEX($QV$2:$QY$13,$MO35,0),$NK35))=0,1,0))</f>
        <v/>
      </c>
      <c r="NZ35" s="164">
        <f>IF(OR($NP35=0,$NL35=""),0,IF((COUNTIF(INDEX($EL$2:$EP$13,$MO35,0),$NL35)+COUNTIF(INDEX($QV$2:$QY$13,$MO35,0),$NL35))=0,1,0))</f>
        <v/>
      </c>
      <c r="OA35" s="164">
        <f>IF(OR($NQ35=0,$NM35=""),0,IF((COUNTIF(INDEX($EL$2:$EP$13,$MO35,0),$NM35)+COUNTIF(INDEX($QV$2:$QY$13,$MO35,0),$NM35))=0,1,0))</f>
        <v/>
      </c>
      <c r="OB35" s="164">
        <f>IF(OR($NR35=0,$NN35=""),0,IF((COUNTIF(INDEX($EL$2:$EP$13,$MO35,0),$NN35)+COUNTIF(INDEX($QV$2:$QY$13,$MO35,0),$NN35))=0,1,0))</f>
        <v/>
      </c>
      <c r="OC35" s="164">
        <f>IFERROR(VLOOKUP(SUBSTITUTE(SUBSTITUTE(SUBSTITUTE($MX35,"~","~~"),"*","~*"),"?","~?"),'DADOS_MELHORIAS'!$AG$2:$AL$113,4,FALSE),0)+IFERROR(VLOOKUP(SUBSTITUTE(SUBSTITUTE(SUBSTITUTE($MY35,"~","~~"),"*","~*"),"?","~?"),'DADOS_MELHORIAS'!$AG$2:$AL$113,4,FALSE),0)+IFERROR(VLOOKUP(SUBSTITUTE(SUBSTITUTE(SUBSTITUTE($MZ35,"~","~~"),"*","~*"),"?","~?"),'DADOS_MELHORIAS'!$AG$2:$AL$113,4,FALSE),0)+IFERROR(VLOOKUP(SUBSTITUTE(SUBSTITUTE(SUBSTITUTE($NA35,"~","~~"),"*","~*"),"?","~?"),'DADOS_MELHORIAS'!$AG$2:$AL$113,4,FALSE),0)</f>
        <v/>
      </c>
      <c r="OD35" s="164">
        <f>IFERROR(VLOOKUP(SUBSTITUTE(SUBSTITUTE(SUBSTITUTE($MX35,"~","~~"),"*","~*"),"?","~?"),'DADOS_MELHORIAS'!$AG$2:$AL$113,6,FALSE),0)+IFERROR(VLOOKUP(SUBSTITUTE(SUBSTITUTE(SUBSTITUTE($MY35,"~","~~"),"*","~*"),"?","~?"),'DADOS_MELHORIAS'!$AG$2:$AL$113,6,FALSE),0)+IFERROR(VLOOKUP(SUBSTITUTE(SUBSTITUTE(SUBSTITUTE($MZ35,"~","~~"),"*","~*"),"?","~?"),'DADOS_MELHORIAS'!$AG$2:$AL$113,6,FALSE),0)+IFERROR(VLOOKUP(SUBSTITUTE(SUBSTITUTE(SUBSTITUTE($NA35,"~","~~"),"*","~*"),"?","~?"),'DADOS_MELHORIAS'!$AG$2:$AL$113,6,FALSE),0)+IFERROR(N(AND(INDEX('DADOS_FORMAS'!$AO$2:$AO$21,MATCH(SUBSTITUTE(SUBSTITUTE(SUBSTITUTE($MU35,"~","~~"),"*","~*"),"?","~?"),'DADOS_FORMAS'!$AH$2:$AH$21,0))="Acerto",$OH35=1)),0)</f>
        <v/>
      </c>
      <c r="OE35" s="164">
        <f>TEXTJOIN(", ",TRUE,IF(IFERROR(VLOOKUP(SUBSTITUTE(SUBSTITUTE(SUBSTITUTE($MX35,"~","~~"),"*","~*"),"?","~?"),'DADOS_MELHORIAS'!$AG$2:$AL$113,5,FALSE),0)=1,$MX35,""),IF(IFERROR(VLOOKUP(SUBSTITUTE(SUBSTITUTE(SUBSTITUTE($MY35,"~","~~"),"*","~*"),"?","~?"),'DADOS_MELHORIAS'!$AG$2:$AL$113,5,FALSE),0)=1,$MY35,""),IF(IFERROR(VLOOKUP(SUBSTITUTE(SUBSTITUTE(SUBSTITUTE($MZ35,"~","~~"),"*","~*"),"?","~?"),'DADOS_MELHORIAS'!$AG$2:$AL$113,5,FALSE),0)=1,$MZ35,""),IF(IFERROR(VLOOKUP(SUBSTITUTE(SUBSTITUTE(SUBSTITUTE($NA35,"~","~~"),"*","~*"),"?","~?"),'DADOS_MELHORIAS'!$AG$2:$AL$113,5,FALSE),0)=1,$NA35,""))</f>
        <v/>
      </c>
      <c r="OF35" s="164">
        <f>IF($NJ35=0,0,INDEX('DADOS_FORMAS'!$GC$2:$GC$21,$NJ35))</f>
        <v/>
      </c>
      <c r="OG35" s="164">
        <f>IF($NJ35=0,0,INDEX('DADOS_FORMAS'!$GD$2:$GD$21,$NJ35))</f>
        <v/>
      </c>
      <c r="OH35" s="164">
        <f>IF($NJ35=0,0,INDEX('DADOS_FORMAS'!$GF$2:$GF$21,$NJ35))</f>
        <v/>
      </c>
      <c r="OI35" s="164">
        <f>IFERROR(VLOOKUP(SUBSTITUTE(SUBSTITUTE(SUBSTITUTE($NB35,"~","~~"),"*","~*"),"?","~?"),'DADOS_RESTRICOES'!$M$2:$Q$54,3,FALSE),0)</f>
        <v/>
      </c>
      <c r="OJ35" s="164">
        <f>IFERROR(VLOOKUP(SUBSTITUTE(SUBSTITUTE(SUBSTITUTE($NC35,"~","~~"),"*","~*"),"?","~?"),'DADOS_RESTRICOES'!$M$2:$Q$54,3,FALSE),0)</f>
        <v/>
      </c>
      <c r="OK35" s="164">
        <f>IFERROR(VLOOKUP(SUBSTITUTE(SUBSTITUTE(SUBSTITUTE($NB35,"~","~~"),"*","~*"),"?","~?"),'DADOS_RESTRICOES'!$M$2:$Q$54,2,FALSE),"")</f>
        <v/>
      </c>
      <c r="OL35" s="164">
        <f>IFERROR(VLOOKUP(SUBSTITUTE(SUBSTITUTE(SUBSTITUTE($NC35,"~","~~"),"*","~*"),"?","~?"),'DADOS_RESTRICOES'!$M$2:$Q$54,2,FALSE),"")</f>
        <v/>
      </c>
      <c r="OM35" s="164">
        <f>COUNTIF($NS35:$NW35,1)</f>
        <v/>
      </c>
      <c r="ON35" s="164">
        <f>COUNTIF($NS35:$NW35,2)</f>
        <v/>
      </c>
      <c r="OO35" s="164">
        <f>COUNTIF($NS35:$NW35,3)</f>
        <v/>
      </c>
      <c r="OP35" s="164">
        <f>COUNTIF($NS35:$NW35,4)</f>
        <v/>
      </c>
      <c r="OQ35" s="164">
        <f>COUNTIF($NS35:$NW35,5)</f>
        <v/>
      </c>
      <c r="OR35" s="164">
        <f>COUNTIF($NS35:$NW35,6)</f>
        <v/>
      </c>
      <c r="OS35" s="164">
        <f>COUNTIF($OI35:$OJ35,1)+IF(IFERROR(INDEX('DADOS_FORMAS'!$AS$2:$AS$21,MATCH(SUBSTITUTE(SUBSTITUTE(SUBSTITUTE($MU35,"~","~~"),"*","~*"),"?","~?"),'DADOS_FORMAS'!$AH$2:$AH$21,0)),"")="",0,IFERROR(N(VLOOKUP(SUBSTITUTE(SUBSTITUTE(SUBSTITUTE(IFERROR(INDEX('DADOS_FORMAS'!$AS$2:$AS$21,MATCH(SUBSTITUTE(SUBSTITUTE(SUBSTITUTE($MU35,"~","~~"),"*","~*"),"?","~?"),'DADOS_FORMAS'!$AH$2:$AH$21,0)),""),"~","~~"),"*","~*"),"?","~?"),'DADOS_RESTRICOES'!$M$2:$Q$54,3,FALSE)=1),0))</f>
        <v/>
      </c>
      <c r="OT35" s="164">
        <f>COUNTIF($OI35:$OJ35,2)+IF(IFERROR(INDEX('DADOS_FORMAS'!$AS$2:$AS$21,MATCH(SUBSTITUTE(SUBSTITUTE(SUBSTITUTE($MU35,"~","~~"),"*","~*"),"?","~?"),'DADOS_FORMAS'!$AH$2:$AH$21,0)),"")="",0,IFERROR(N(VLOOKUP(SUBSTITUTE(SUBSTITUTE(SUBSTITUTE(IFERROR(INDEX('DADOS_FORMAS'!$AS$2:$AS$21,MATCH(SUBSTITUTE(SUBSTITUTE(SUBSTITUTE($MU35,"~","~~"),"*","~*"),"?","~?"),'DADOS_FORMAS'!$AH$2:$AH$21,0)),""),"~","~~"),"*","~*"),"?","~?"),'DADOS_RESTRICOES'!$M$2:$Q$54,3,FALSE)=2),0))</f>
        <v/>
      </c>
      <c r="OU35" s="164">
        <f>COUNTIF($MX35:$NA35,"?*")</f>
        <v/>
      </c>
      <c r="OV35" s="164">
        <f>COUNTIF($NB35:$NC35,"?*")+$OF35</f>
        <v/>
      </c>
      <c r="OW35" s="164">
        <f>IF($MS35=0,0,SUMPRODUCT($OM35:$OR35,INDEX($I$2:$N$8,MAX(1,$MS35),0)))</f>
        <v/>
      </c>
      <c r="OX35" s="164">
        <f>IF($MS35=0,0,$OS35*CEILING($MS35/2,1)+$OT35*$MS35)</f>
        <v/>
      </c>
      <c r="OY35" s="164">
        <f>MIN(2*$MS35,$OX35)</f>
        <v/>
      </c>
      <c r="OZ35" s="164">
        <f>MIN($OY35,$OW35-IF($NS35=0,0,INDEX($I$2:$N$8,MAX(1,$MS35),$NS35)))</f>
        <v/>
      </c>
      <c r="PA35" s="164">
        <f>$OY35-$OZ35</f>
        <v/>
      </c>
      <c r="PB35" s="164">
        <f>IF($MS35=0,0,INDEX($P$2:$P$8,MAX(1,$MS35)))</f>
        <v/>
      </c>
      <c r="PC35" s="164">
        <f>$PB35-$OW35+$OZ35</f>
        <v/>
      </c>
      <c r="PD35" s="164">
        <f>IF($MS35=0,MAX(0,$NG35-IF(AND($OU35&gt;0,COUNTIF($NB35:$NC35,"?*")=0),1,0)),MAX(0,$PC35))</f>
        <v/>
      </c>
      <c r="PE35" s="164">
        <f>IF($MS35=0,0,(IF(COUNTIF($RK35:$RN35,"Salto")&gt;0,1,0)+IF(COUNTIF($RK35:$RN35,"Queima")&gt;0,1,0)+IF(COUNTIF($RK35:$RN35,"Estilhaço")&gt;0,1,0))*FLOOR($PD35/2,1))</f>
        <v/>
      </c>
      <c r="PF35" s="164">
        <f>MAX(0,2-SUMPRODUCT($OM35:$OR35,$I$2:$N$2)+MIN(2,$OS35*1+$OT35*1,SUMPRODUCT($OM35:$OR35,$I$2:$N$2)-IF($NS35=0,0,INDEX($I$2:$N$2,1,$NS35))))</f>
        <v/>
      </c>
      <c r="PG35" s="164">
        <f>MAX(0,4-SUMPRODUCT($OM35:$OR35,$I$3:$N$3)+MIN(4,$OS35*1+$OT35*2,SUMPRODUCT($OM35:$OR35,$I$3:$N$3)-IF($NS35=0,0,INDEX($I$3:$N$3,1,$NS35))))</f>
        <v/>
      </c>
      <c r="PH35" s="164">
        <f>MAX(0,6-SUMPRODUCT($OM35:$OR35,$I$4:$N$4)+MIN(6,$OS35*2+$OT35*3,SUMPRODUCT($OM35:$OR35,$I$4:$N$4)-IF($NS35=0,0,INDEX($I$4:$N$4,1,$NS35))))</f>
        <v/>
      </c>
      <c r="PI35" s="164">
        <f>MAX(0,9-SUMPRODUCT($OM35:$OR35,$I$5:$N$5)+MIN(8,$OS35*2+$OT35*4,SUMPRODUCT($OM35:$OR35,$I$5:$N$5)-IF($NS35=0,0,INDEX($I$5:$N$5,1,$NS35))))</f>
        <v/>
      </c>
      <c r="PJ35" s="164">
        <f>MAX(0,11-SUMPRODUCT($OM35:$OR35,$I$6:$N$6)+MIN(10,$OS35*3+$OT35*5,SUMPRODUCT($OM35:$OR35,$I$6:$N$6)-IF($NS35=0,0,INDEX($I$6:$N$6,1,$NS35))))</f>
        <v/>
      </c>
      <c r="PK35" s="164">
        <f>MAX(0,13-SUMPRODUCT($OM35:$OR35,$I$7:$N$7)+MIN(12,$OS35*3+$OT35*6,SUMPRODUCT($OM35:$OR35,$I$7:$N$7)-IF($NS35=0,0,INDEX($I$7:$N$7,1,$NS35))))</f>
        <v/>
      </c>
      <c r="PL35" s="164">
        <f>MAX(0,16-SUMPRODUCT($OM35:$OR35,$I$8:$N$8)+MIN(14,$OS35*4+$OT35*7,SUMPRODUCT($OM35:$OR35,$I$8:$N$8)-IF($NS35=0,0,INDEX($I$8:$N$8,1,$NS35))))</f>
        <v/>
      </c>
      <c r="PM35" s="164">
        <f>IF($OG35=2,3*$PF35&amp;" de vida temp.",IF($OG35=3,"sem dano",IF($PF35=0,IF($OG35=1,"sem cura","sem dano"),IF($OG35=1,"cura ","")&amp;$PF35&amp;"d8")))</f>
        <v/>
      </c>
      <c r="PN35" s="164">
        <f>IF($OG35=2,3*$PG35&amp;" de vida temp.",IF($OG35=3,"sem dano",IF($PG35=0,IF($OG35=1,"sem cura","sem dano"),IF($OG35=1,"cura ","")&amp;$PG35&amp;"d8")))</f>
        <v/>
      </c>
      <c r="PO35" s="164">
        <f>IF($OG35=2,3*$PH35&amp;" de vida temp.",IF($OG35=3,"sem dano",IF($PH35=0,IF($OG35=1,"sem cura","sem dano"),IF($OG35=1,"cura ","")&amp;$PH35&amp;"d8")))</f>
        <v/>
      </c>
      <c r="PP35" s="164">
        <f>IF($OG35=2,3*$PI35&amp;" de vida temp.",IF($OG35=3,"sem dano",IF($PI35=0,IF($OG35=1,"sem cura","sem dano"),IF($OG35=1,"cura ","")&amp;$PI35&amp;"d8")))</f>
        <v/>
      </c>
      <c r="PQ35" s="164">
        <f>IF($OG35=2,3*$PJ35&amp;" de vida temp.",IF($OG35=3,"sem dano",IF($PJ35=0,IF($OG35=1,"sem cura","sem dano"),IF($OG35=1,"cura ","")&amp;$PJ35&amp;"d8")))</f>
        <v/>
      </c>
      <c r="PR35" s="164">
        <f>IF($OG35=2,3*$PK35&amp;" de vida temp.",IF($OG35=3,"sem dano",IF($PK35=0,IF($OG35=1,"sem cura","sem dano"),IF($OG35=1,"cura ","")&amp;$PK35&amp;"d8")))</f>
        <v/>
      </c>
      <c r="PS35" s="164">
        <f>IF($OG35=2,3*$PL35&amp;" de vida temp.",IF($OG35=3,"sem dano",IF($PL35=0,IF($OG35=1,"sem cura","sem dano"),IF($OG35=1,"cura ","")&amp;$PL35&amp;"d8")))</f>
        <v/>
      </c>
      <c r="PT35" s="164">
        <f>IF($ND35=0,"",TEXTJOIN(" · ",TRUE,IF($ND35=0,"",TEXTJOIN(" · ",TRUE,IF($ND35=0,"",TEXTJOIN(" · ",TRUE,IF($MQ35&gt;$NE35,"Este lugar abre no nível "&amp;$MQ35,""),IF($MS35&gt;$NF35,"Classe "&amp;$MS35&amp;": o nível "&amp;$NE35&amp;" libera até a "&amp;$NF35,""),IF($NX35=1,"A Forma "&amp;$MU35&amp;" pede "&amp;INDEX('DADOS_FORMAS'!$GA$2:$GA$21,$NJ35)&amp;" aberta",""),IF(AND($MS35=0,$NJ35&gt;0,IF($NJ35=0,0,INDEX('DADOS_FORMAS'!$GJ$2:$GJ$21,$NJ35))=0),$MU35&amp;" não existe na Classe 0",""),IF($NY35=1,"Família Fechada: "&amp;$MX35,""),IF($NZ35=1,"Família Fechada: "&amp;$MY35,""),IF($OA35=1,"Família Fechada: "&amp;$MZ35,""),IF($OB35=1,"Família Fechada: "&amp;$NA35,""),IF(AND($MS35&gt;0,$OU35&gt;INDEX($O$2:$O$8,MAX(1,$MS35))),$OU35&amp;" Melhorias: a Classe "&amp;$MS35&amp;" aceita "&amp;INDEX($O$2:$O$8,MAX(1,$MS35)),""),IF(AND($MS35=0,$OU35&gt;1),"A básica aceita uma Melhoria",""),IF(AND($MS35=0,COUNTIF($NO35:$NR35,"&gt;1")&gt;0),"A básica só aceita Melhoria Leve",""),IF(AND($MS35&gt;0,$OV35&gt;2),$OV35&amp;" Restrições"&amp;IF($OF35=1,", contando a que a Forma "&amp;$MU35&amp;" já traz","")&amp;": o limite é 2",""),IF(AND($MS35=0,COUNTIF($NB35:$NC35,"?*")&gt;1),"A básica aceita uma Restrição Leve",""),IF(AND($MS35=0,COUNTIF($OI35:$OJ35,2)&gt;0),"A básica só aceita Restrição Leve",""),IF(AND($MS35&gt;0,$PC35&lt;0),"Orçamento estourado: faltam "&amp;(-$PC35)&amp;IF($PC35&lt;-1," pontos"," ponto"),""),IF(IFERROR(VLOOKUP(SUBSTITUTE(SUBSTITUTE(SUBSTITUTE($NB35,"~","~~"),"*","~*"),"?","~?"),'DADOS_RESTRICOES'!$M$2:$Q$54,4,FALSE),0)+IFERROR(VLOOKUP(SUBSTITUTE(SUBSTITUTE(SUBSTITUTE($NC35,"~","~~"),"*","~*"),"?","~?"),'DADOS_RESTRICOES'!$M$2:$Q$54,4,FALSE),0)&gt;1,$OK35&amp;" e "&amp;$OL35&amp;" são as duas de frequência",""),IF(AND((COUNTIF($RK35:$RN35,"Rápido")+COUNTIF($OK35:$OL35,"Rápido"))&gt;0,(COUNTIF($MX35:$NA35,"Atrasar")+COUNTIF($OK35:$OL35,"Atrasar"))&gt;0),"Rápido não entra com Atrasar",""),IF(AND((COUNTIF($RK35:$RN35,"Reação")+COUNTIF($OK35:$OL35,"Reação"))&gt;0,(COUNTIF($RK35:$RN35,"Rápido")+COUNTIF($OK35:$OL35,"Rápido"))&gt;0),"Reação não entra com Rápido",""),IF(AND((COUNTIF($RK35:$RN35,"Reação")+COUNTIF($OK35:$OL35,"Reação"))&gt;0,(COUNTIF($RK35:$RN35,"Armado")+COUNTIF($OK35:$OL35,"Armado"))&gt;0),"Reação não entra com Armado",""),IF(AND((COUNTIF($RK35:$RN35,"Reação")+COUNTIF($OK35:$OL35,"Reação"))&gt;0,(COUNTIF($MX35:$NA35,"Atrasar")+COUNTIF($OK35:$OL35,"Atrasar"))&gt;0),"Reação não entra com Atrasar",""),IF(AND((COUNTIF($RK35:$RN35,"Reação")+COUNTIF($OK35:$OL35,"Reação"))&gt;0,(COUNTIF($MX35:$NA35,"Parado")+COUNTIF($OK35:$OL35,"Parado"))&gt;0),"Reação não entra com Parado",""),IF(AND((COUNTIF($MX35:$NA35,"Atrasar")+COUNTIF($OK35:$OL35,"Atrasar"))&gt;0,(COUNTIF($MX35:$NA35,"Parado")+COUNTIF($OK35:$OL35,"Parado"))&gt;0),"Atrasar não entra com Parado",""),IF(AND((COUNTIF($RK35:$RN35,"Armado")+COUNTIF($OK35:$OL35,"Armado"))&gt;0,(COUNTIF($MX35:$NA35,"Carregar")+COUNTIF($OK35:$OL35,"Carregar"))&gt;0),"Armado não entra com Carregar",""),IF(AND(COUNTIF($OK35:$OL35,"Corpo a Corpo")&gt;0,$OF35=0,OR($RO35="Cone",$RO35="Linha")),"Corpo a Corpo não entra em "&amp;$MU35,""),IF(AND(COUNTIF($OK35:$OL35,"Corpo a Corpo")&gt;0,$RP35="Corpo a Corpo"),"A Forma "&amp;$MU35&amp;" já traz o Corpo a Corpo",""),IF(AND(COUNTIF($OK35:$OL35,"Tudo ou Nada")&gt;0,$OH35=0),"Tudo ou Nada só entra em habilidade de Teste de Resistência",""),IF(AND(COUNTIF($RK35:$RN35,"Inescapável")&gt;0,OR($OU35&gt;1,$OV35&gt;0)),"Inescapável não aceita outra peça",""),IF(AND($MS35&gt;0,$PD35*IF(COUNTIF($RK35:$RN35,"Remate")&gt;0,1.25,1)+$PE35&gt;4*$MS35),($PD35*IF(COUNTIF($RK35:$RN35,"Remate")&gt;0,1.25,1)+$PE35)&amp;" dados somando repetições"&amp;IF(COUNTIF($RK35:$RN35,"Remate")&gt;0," e o Remate","")&amp;": o teto da Classe "&amp;$MS35&amp;" é "&amp;4*$MS35,""))),IF(AND($MX35&lt;&gt;"",COUNTIF('DADOS_MELHORIAS'!$O$2:$O$113,SUBSTITUTE(SUBSTITUTE(SUBSTITUTE($MX35,"~","~~"),"*","~*"),"?","~?"))=0),"Melhoria não cadastrada ou com erro: "&amp;$MX35,""),IF(AND($MY35&lt;&gt;"",COUNTIF('DADOS_MELHORIAS'!$O$2:$O$113,SUBSTITUTE(SUBSTITUTE(SUBSTITUTE($MY35,"~","~~"),"*","~*"),"?","~?"))=0),"Melhoria não cadastrada ou com erro: "&amp;$MY35,""),IF(AND($MZ35&lt;&gt;"",COUNTIF('DADOS_MELHORIAS'!$O$2:$O$113,SUBSTITUTE(SUBSTITUTE(SUBSTITUTE($MZ35,"~","~~"),"*","~*"),"?","~?"))=0),"Melhoria não cadastrada ou com erro: "&amp;$MZ35,""),IF(AND($NA35&lt;&gt;"",COUNTIF('DADOS_MELHORIAS'!$O$2:$O$113,SUBSTITUTE(SUBSTITUTE(SUBSTITUTE($NA35,"~","~~"),"*","~*"),"?","~?"))=0),"Melhoria não cadastrada ou com erro: "&amp;$NA35,""),IF(AND($NB35&lt;&gt;"",COUNTIF('DADOS_RESTRICOES'!$M$2:$M$54,SUBSTITUTE(SUBSTITUTE(SUBSTITUTE($NB35,"~","~~"),"*","~*"),"?","~?"))=0),"Restrição não cadastrada ou com erro: "&amp;$NB35,""),IF(AND($NC35&lt;&gt;"",COUNTIF('DADOS_RESTRICOES'!$M$2:$M$54,SUBSTITUTE(SUBSTITUTE(SUBSTITUTE($NC35,"~","~~"),"*","~*"),"?","~?"))=0),"Restrição não cadastrada ou com erro: "&amp;$NC35,""))),IF(AND($MU35&lt;&gt;"",COUNTIF('DADOS_FORMAS'!$AH$2:$AH$21,SUBSTITUTE(SUBSTITUTE(SUBSTITUTE($MU35,"~","~~"),"*","~*"),"?","~?"))=0),"Forma não cadastrada ou com erro: "&amp;$MU35,""),IF(AND(IFERROR(INDEX('DADOS_FORMAS'!$AS$2:$AS$21,MATCH(SUBSTITUTE(SUBSTITUTE(SUBSTITUTE($MU35,"~","~~"),"*","~*"),"?","~?"),'DADOS_FORMAS'!$AH$2:$AH$21,0)),"")&lt;&gt;"",OR(IFERROR(VLOOKUP(SUBSTITUTE(SUBSTITUTE(SUBSTITUTE(IFERROR(INDEX('DADOS_FORMAS'!$AS$2:$AS$21,MATCH(SUBSTITUTE(SUBSTITUTE(SUBSTITUTE($MU35,"~","~~"),"*","~*"),"?","~?"),'DADOS_FORMAS'!$AH$2:$AH$21,0)),""),"~","~~"),"*","~*"),"?","~?"),'DADOS_RESTRICOES'!$M$2:$Q$54,2,FALSE),"")=$OK35,IFERROR(VLOOKUP(SUBSTITUTE(SUBSTITUTE(SUBSTITUTE(IFERROR(INDEX('DADOS_FORMAS'!$AS$2:$AS$21,MATCH(SUBSTITUTE(SUBSTITUTE(SUBSTITUTE($MU35,"~","~~"),"*","~*"),"?","~?"),'DADOS_FORMAS'!$AH$2:$AH$21,0)),""),"~","~~"),"*","~*"),"?","~?"),'DADOS_RESTRICOES'!$M$2:$Q$54,2,FALSE),"")=$OL35)),"Restrição repetida, contando a embutida",""),IF(IF(IFERROR(INDEX('DADOS_FORMAS'!$AS$2:$AS$21,MATCH(SUBSTITUTE(SUBSTITUTE(SUBSTITUTE($MU35,"~","~~"),"*","~*"),"?","~?"),'DADOS_FORMAS'!$AH$2:$AH$21,0)),"")="",0,IFERROR(N(VLOOKUP(SUBSTITUTE(SUBSTITUTE(SUBSTITUTE(IFERROR(INDEX('DADOS_FORMAS'!$AS$2:$AS$21,MATCH(SUBSTITUTE(SUBSTITUTE(SUBSTITUTE($MU35,"~","~~"),"*","~*"),"?","~?"),'DADOS_FORMAS'!$AH$2:$AH$21,0)),""),"~","~~"),"*","~*"),"?","~?"),'DADOS_RESTRICOES'!$M$2:$Q$54,4,FALSE)=1),0))+IF($NB35="",0,IFERROR(N(VLOOKUP(SUBSTITUTE(SUBSTITUTE(SUBSTITUTE($NB35,"~","~~"),"*","~*"),"?","~?"),'DADOS_RESTRICOES'!$M$2:$Q$54,4,FALSE)=1),0))+IF($NC35="",0,IFERROR(N(VLOOKUP(SUBSTITUTE(SUBSTITUTE(SUBSTITUTE($NC35,"~","~~"),"*","~*"),"?","~?"),'DADOS_RESTRICOES'!$M$2:$Q$54,4,FALSE)=1),0))&gt;1,"Duas Restrições de frequência, contando a embutida",""),IF(AND(IFERROR(VLOOKUP(SUBSTITUTE(SUBSTITUTE(SUBSTITUTE(IFERROR(INDEX('DADOS_FORMAS'!$AS$2:$AS$21,MATCH(SUBSTITUTE(SUBSTITUTE(SUBSTITUTE($MU35,"~","~~"),"*","~*"),"?","~?"),'DADOS_FORMAS'!$AH$2:$AH$21,0)),""),"~","~~"),"*","~*"),"?","~?"),'DADOS_RESTRICOES'!$M$2:$Q$54,2,FALSE),"")="Tudo ou Nada",$OH35=0),"Tudo ou Nada exige TR",""),IF(AND(IFERROR(VLOOKUP(SUBSTITUTE(SUBSTITUTE(SUBSTITUTE(IFERROR(INDEX('DADOS_FORMAS'!$AS$2:$AS$21,MATCH(SUBSTITUTE(SUBSTITUTE(SUBSTITUTE($MU35,"~","~~"),"*","~*"),"?","~?"),'DADOS_FORMAS'!$AH$2:$AH$21,0)),""),"~","~~"),"*","~*"),"?","~?"),'DADOS_RESTRICOES'!$M$2:$Q$54,2,FALSE),"")="Corpo a Corpo",OR($RO35="Cone",$RO35="Linha")),"Corpo a Corpo não entra em Cone/Linha","")))</f>
        <v/>
      </c>
      <c r="PU35" s="164">
        <f>IF($PT35="",0,(LEN($PT35)-LEN(SUBSTITUTE($PT35," · ","")))/3+1)</f>
        <v/>
      </c>
      <c r="PV35" s="164">
        <f>IF($ND35=0,"",TEXTJOIN(" · ",TRUE,IF($OX35&gt;2*$MS35,"A devolução parou no teto de "&amp;2*$MS35,""),IF($PA35&gt;0,"Devolução perdida: "&amp;$PA35&amp;IF($PA35&gt;1," pontos"," ponto")&amp;" sem Melhoria para pagar",""),IF(AND($OC35&gt;0,AND($MS35&gt;0,$OG35=0),$PD35=0),"Controle sem dano: uma rodada a mais e CD +2",""),IF(AND($OC35&gt;0,AND($MS35&gt;0,$OG35=0),$PD35&gt;0,$PD35&lt;=$MS35),"Controle com saldo até a Classe: uma rodada a mais",""),IF(AND($MS35&gt;0,$OE35&lt;&gt;""),"Efeito de "&amp;$OE35&amp;" pela Classe "&amp;MAX(1,$MS35-1),"")))</f>
        <v/>
      </c>
      <c r="PW35" s="164">
        <f>IF($PV35="",0,(LEN($PV35)-LEN(SUBSTITUTE($PV35," · ","")))/3+1)</f>
        <v/>
      </c>
      <c r="PX35" s="164">
        <f>IF($ND35=0,IF($OU35+COUNTIF($NB35:$NC35,"?*")&gt;0,"Dê um nome",""),IF($PU35&gt;0,"⚠ "&amp;$PU35&amp;IF($PU35&gt;1," erros"," erro"),IF($PW35&gt;0,"! "&amp;$PW35&amp;IF($PW35&gt;1," avisos"," aviso"),"Na regra")))</f>
        <v/>
      </c>
      <c r="PY35" s="164">
        <f>IF($ND35=0,"",IF($PU35+$PW35=0,"Dentro das regras que a ficha confere",$PT35&amp;IF(AND($PU35&gt;0,$PW35&gt;0)," · ","")&amp;$PV35))</f>
        <v/>
      </c>
      <c r="PZ35" s="164">
        <f>IF($MQ35&gt;$NE35,$MR35&amp;" · ABRE NO NÍVEL "&amp;$MQ35,$MR35)</f>
        <v/>
      </c>
      <c r="QA35" s="164">
        <f>IF($ND35=0,"",IF($MS35=0,"Sem PE",3*$MS35&amp;" PE"))</f>
        <v/>
      </c>
      <c r="QB35" s="164">
        <f>IF($ND35=0,"",IF($MS35=0,"A atuação básica dela",IF(COUNTIF($RQ35:$RS35,"Atrasar")&gt;0,"Sua Ação Completa",IF(COUNTIF($RK35:$RN35,"Rápido")&gt;0,"Sua Bônus",IF(COUNTIF($RK35:$RN35,"Reação")&gt;0,"Sua Reação","Sua Padrão")))&amp;" + a básica dela"&amp;IF(COUNTIF($RK35:$RN35,"Reação")&gt;0," e a coletiva","")&amp;IF(COUNTIF($RQ35:$RS35,"Carregar")&gt;0," · em dois turnos","")))</f>
        <v/>
      </c>
      <c r="QC35" s="164">
        <f>IF($MW35&lt;&gt;"",$MW35,IF($NJ35=0,"",INDEX('DADOS_FORMAS'!$GE$2:$GE$21,$NJ35)))</f>
        <v/>
      </c>
      <c r="QD35" s="164">
        <f>IF(OR($ND35=0,$NJ35=0),"",IF(COUNTIF($RK35:$RN35,"Inescapável")&gt;0,"Automático",IF($QC35="Ataque",IF($NH35="","Ataque","Ataque "&amp;IF(($NH35+2*IF(COUNTIF($RK35:$RN35,"Precisão")&gt;0,1,0))&gt;=0,"+","−")&amp;ABS(($NH35+2*IF(COUNTIF($RK35:$RN35,"Precisão")&gt;0,1,0))))&amp;IF($OD35&gt;0," · TR"&amp;IF($NI35="",""," CD "&amp;$NI35),""),IF(LEFT($QC35,2)="TR",$QC35&amp;IF($NI35="",""," · CD "&amp;$NI35)&amp;IF(COUNTIF($RK35:$RN35,"Certeiro")&gt;0," · metade",""),"Sem rolagem"))))</f>
        <v/>
      </c>
      <c r="QE35" s="164">
        <f>IF(OR($ND35=0,$NJ35=0),"",IF($MS35=0,IF(OR($OG35&gt;=1,$PD35=0),"Sem dano",$PD35&amp;"d6"&amp;IF($MV35="",""," "&amp;$MV35)),IF(OR($OG35&gt;=1,$PD35=0),UPPER(LEFT(INDEX($PM35:$PS35,1,MAX(1,$MS35)),1))&amp;MID(INDEX($PM35:$PS35,1,MAX(1,$MS35)),2,99),UPPER(LEFT(INDEX($PM35:$PS35,1,MAX(1,$MS35)),1))&amp;MID(INDEX($PM35:$PS35,1,MAX(1,$MS35)),2,99)&amp;IF($MV35="",""," "&amp;$MV35)&amp;IF($PE35&gt;0," · +"&amp;$PE35&amp;"d8",""))))</f>
        <v/>
      </c>
      <c r="QF35" s="164">
        <f>COUNTIF($RK35:$RN35,"Longe")+3*COUNTIF($RK35:$RN35,"Muito Longe")</f>
        <v/>
      </c>
      <c r="QG35" s="164">
        <f>COUNTIF($RK35:$RN35,"Maior")+3*COUNTIF($RK35:$RN35,"Muito Maior")</f>
        <v/>
      </c>
      <c r="QH35" s="164">
        <f>IF($NJ35=0,0,CHOOSE(1+INDEX('DADOS_FORMAS'!$GG$2:$GG$21,$NJ35),0,$QF35,$QG35,$QF35+$QG35))</f>
        <v/>
      </c>
      <c r="QI35" s="164">
        <f>IF($NJ35=0,0,CHOOSE(1+INDEX('DADOS_FORMAS'!$GH$2:$GH$21,$NJ35),0,$QF35,$QG35,$QF35+$QG35))</f>
        <v/>
      </c>
      <c r="QJ35" s="164">
        <f>IF(OR($ND35=0,$NJ35=0),"",INDEX('DADOS_FORMAS'!$HU$2:$HZ$81,($NJ35-1)*4+IF($MS35=0,1,IF($MS35&lt;=5,2,IF($MS35=6,3,4))),1+MIN(5,$QH35))&amp;INDEX('DADOS_FORMAS'!$IA$2:$IF$81,($NJ35-1)*4+IF($MS35=0,1,IF($MS35&lt;=5,2,IF($MS35=6,3,4))),1+MIN(5,$QI35))&amp;IF(INDEX('DADOS_FORMAS'!$GI$2:$GI$21,$NJ35)=1,IF(COUNTIF($RK35:$RN35,"Mais Um")&gt;0," · +"&amp;COUNTIF($RK35:$RN35,"Mais Um")&amp;IF(COUNTIF($RK35:$RN35,"Mais Um")&gt;1," alvos"," alvo"),"")&amp;IF(COUNTIF($RK35:$RN35,"Rajada")&gt;0,IF($MS35=0," · 1 tiro"," · "&amp;(MAX(1,$MS35-1)+1)&amp;" tiros"),""),""))</f>
        <v/>
      </c>
      <c r="QK35" s="164">
        <f>IF($ND35=0,"",IF($MS35=0,$NG35&amp;"d6"&amp;IF($OU35&gt;0," − 1 = "&amp;$PD35&amp;"d6"," da básica do nível "&amp;$NE35),$PB35&amp;" − "&amp;$OW35&amp;" + "&amp;$OZ35&amp;" = "&amp;$PC35&amp;" · teto "&amp;4*$MS35&amp;"d8"&amp;IF($OF35=1," · a Forma devolve "&amp;$MS35,"")&amp;IF($PA35&gt;0," · perde "&amp;$PA35,"")))</f>
        <v/>
      </c>
      <c r="QL35" s="164">
        <f>IF($ND35=0,"",IF($MS35=0,"A básica não amplia: os dados dela sobem com o nível",IF($MS35&gt;=$NF35,"Já está na maior Classe que o nível liberou",TEXTJOIN(" · ",TRUE,IF(AND(2&gt;$MS35,2&lt;=$NF35),"2 → "&amp;$PN35&amp;", 6 PE",""),IF(AND(3&gt;$MS35,3&lt;=$NF35),"3 → "&amp;$PO35&amp;", 9 PE",""),IF(AND(4&gt;$MS35,4&lt;=$NF35),"4 → "&amp;$PP35&amp;", 12 PE",""),IF(AND(5&gt;$MS35,5&lt;=$NF35),"5 → "&amp;$PQ35&amp;", 15 PE",""),IF(AND(6&gt;$MS35,6&lt;=$NF35),"6 → "&amp;$PR35&amp;", 18 PE",""),IF(AND(7&gt;$MS35,7&lt;=$NF35),"7 → "&amp;$PS35&amp;", 21 PE","")))))</f>
        <v/>
      </c>
      <c r="QM35" s="164">
        <f>IF(OR($ND35=0,$NO35=0),"",IF($MS35=0,"−1 dado","−"&amp;INDEX($I$2:$N$8,MAX(1,$MS35),MAX(1,$NT35))&amp;" · "&amp;CHOOSE(MAX(1,$NT35),"Leve","Média","Pesada","Leve · Livre","Média · Livre","Pesada · Livre")))</f>
        <v/>
      </c>
      <c r="QN35" s="164">
        <f>IF(OR($ND35=0,$NP35=0),"",IF($MS35=0,"−1 dado","−"&amp;INDEX($I$2:$N$8,MAX(1,$MS35),MAX(1,$NU35))&amp;" · "&amp;CHOOSE(MAX(1,$NU35),"Leve","Média","Pesada","Leve · Livre","Média · Livre","Pesada · Livre")))</f>
        <v/>
      </c>
      <c r="QO35" s="164">
        <f>IF(OR($ND35=0,$NQ35=0),"",IF($MS35=0,"−1 dado","−"&amp;INDEX($I$2:$N$8,MAX(1,$MS35),MAX(1,$NV35))&amp;" · "&amp;CHOOSE(MAX(1,$NV35),"Leve","Média","Pesada","Leve · Livre","Média · Livre","Pesada · Livre")))</f>
        <v/>
      </c>
      <c r="QP35" s="164">
        <f>IF(OR($ND35=0,$NR35=0),"",IF($MS35=0,"−1 dado","−"&amp;INDEX($I$2:$N$8,MAX(1,$MS35),MAX(1,$NW35))&amp;" · "&amp;CHOOSE(MAX(1,$NW35),"Leve","Média","Pesada","Leve · Livre","Média · Livre","Pesada · Livre")))</f>
        <v/>
      </c>
      <c r="QQ35" s="164">
        <f>IF(OR($ND35=0,$NB35=""),"",IF($MS35=0,"não devolve","+"&amp;IF($OI35=1,CEILING($MS35/2,1),$MS35)))</f>
        <v/>
      </c>
      <c r="QR35" s="164">
        <f>IF(OR($ND35=0,$NC35=""),"",IF($MS35=0,"não devolve","+"&amp;IF($OJ35=1,CEILING($MS35/2,1),$MS35)))</f>
        <v/>
      </c>
      <c r="RK35">
        <f>IF($MX35="","",IFERROR(VLOOKUP(SUBSTITUTE(SUBSTITUTE(SUBSTITUTE($MX35,"~","~~"),"*","~*"),"?","~?"),'DADOS_MELHORIAS'!$O$2:$X$113,10,FALSE),$MX35))</f>
        <v/>
      </c>
      <c r="RL35">
        <f>IF($MY35="","",IFERROR(VLOOKUP(SUBSTITUTE(SUBSTITUTE(SUBSTITUTE($MY35,"~","~~"),"*","~*"),"?","~?"),'DADOS_MELHORIAS'!$O$2:$X$113,10,FALSE),$MY35))</f>
        <v/>
      </c>
      <c r="RM35">
        <f>IF($MZ35="","",IFERROR(VLOOKUP(SUBSTITUTE(SUBSTITUTE(SUBSTITUTE($MZ35,"~","~~"),"*","~*"),"?","~?"),'DADOS_MELHORIAS'!$O$2:$X$113,10,FALSE),$MZ35))</f>
        <v/>
      </c>
      <c r="RN35">
        <f>IF($NA35="","",IFERROR(VLOOKUP(SUBSTITUTE(SUBSTITUTE(SUBSTITUTE($NA35,"~","~~"),"*","~*"),"?","~?"),'DADOS_MELHORIAS'!$O$2:$X$113,10,FALSE),$NA35))</f>
        <v/>
      </c>
      <c r="RO35">
        <f>IFERROR(INDEX('DADOS_FORMAS'!$BJ$2:$BJ$21,MATCH(SUBSTITUTE(SUBSTITUTE(SUBSTITUTE($MU35,"~","~~"),"*","~*"),"?","~?"),'DADOS_FORMAS'!$AH$2:$AH$21,0)),"")</f>
        <v/>
      </c>
      <c r="RP35">
        <f>IFERROR(VLOOKUP(SUBSTITUTE(SUBSTITUTE(SUBSTITUTE(IFERROR(INDEX('DADOS_FORMAS'!$AS$2:$AS$21,MATCH(SUBSTITUTE(SUBSTITUTE(SUBSTITUTE($MU35,"~","~~"),"*","~*"),"?","~?"),'DADOS_FORMAS'!$AH$2:$AH$21,0)),""),"~","~~"),"*","~*"),"?","~?"),'DADOS_RESTRICOES'!$M$2:$Q$54,2,FALSE),"")</f>
        <v/>
      </c>
      <c r="RQ35">
        <f>$OK35</f>
        <v/>
      </c>
      <c r="RR35">
        <f>$OL35</f>
        <v/>
      </c>
      <c r="RS35">
        <f>$RP35</f>
        <v/>
      </c>
    </row>
    <row r="36">
      <c r="AH36" s="162" t="inlineStr">
        <is>
          <t>Onda · classe 6</t>
        </is>
      </c>
      <c r="AI36" s="162" t="inlineStr">
        <is>
          <t>Raio 3 m, nela</t>
        </is>
      </c>
      <c r="AJ36" s="162" t="inlineStr">
        <is>
          <t>Raio 4,5 m, nela</t>
        </is>
      </c>
      <c r="AK36" s="162" t="inlineStr">
        <is>
          <t>Raio 6 m, nela</t>
        </is>
      </c>
      <c r="AL36" s="162" t="inlineStr">
        <is>
          <t>Raio 9 m, nela</t>
        </is>
      </c>
      <c r="AM36" s="162" t="inlineStr">
        <is>
          <t>Raio 15 m, nela</t>
        </is>
      </c>
      <c r="AN36" s="162" t="inlineStr">
        <is>
          <t>Raio 15 m, nela</t>
        </is>
      </c>
      <c r="AO36" s="162" t="inlineStr"/>
      <c r="AP36" s="162" t="inlineStr"/>
      <c r="AQ36" s="162" t="inlineStr"/>
      <c r="AR36" s="162" t="inlineStr"/>
      <c r="AS36" s="162" t="inlineStr"/>
      <c r="AT36" s="162" t="inlineStr"/>
      <c r="AV36" s="162" t="inlineStr">
        <is>
          <t>Atordoado</t>
        </is>
      </c>
      <c r="AW36" s="162" t="inlineStr">
        <is>
          <t>Controle</t>
        </is>
      </c>
      <c r="AX36" s="164" t="n">
        <v>3</v>
      </c>
      <c r="AY36" s="164" t="n">
        <v>1</v>
      </c>
      <c r="AZ36" s="164" t="n">
        <v>0</v>
      </c>
      <c r="BA36" s="164" t="n">
        <v>1</v>
      </c>
      <c r="JT36" s="164">
        <f>IF(OR($AW36="",(COUNTIF($EL$2:$EP$2,$AW36)+COUNTIF($QV$2:$QY$2,$AW36))&gt;0),$AV36,"")</f>
        <v/>
      </c>
      <c r="JU36" s="164">
        <f>IF(AND($AX36=1,OR($AW36="",(COUNTIF($EL$2:$EP$2,$AW36)+COUNTIF($QV$2:$QY$2,$AW36))&gt;0)),$AV36,"")</f>
        <v/>
      </c>
      <c r="JZ36" s="164">
        <f>IF(OR($AW36="",(COUNTIF($EL$3:$EP$3,$AW36)+COUNTIF($QV$3:$QY$3,$AW36))&gt;0),$AV36,"")</f>
        <v/>
      </c>
      <c r="KA36" s="164">
        <f>IF(AND($AX36=1,OR($AW36="",(COUNTIF($EL$3:$EP$3,$AW36)+COUNTIF($QV$3:$QY$3,$AW36))&gt;0)),$AV36,"")</f>
        <v/>
      </c>
      <c r="KF36" s="164">
        <f>IF(OR($AW36="",(COUNTIF($EL$4:$EP$4,$AW36)+COUNTIF($QV$4:$QY$4,$AW36))&gt;0),$AV36,"")</f>
        <v/>
      </c>
      <c r="KG36" s="164">
        <f>IF(AND($AX36=1,OR($AW36="",(COUNTIF($EL$4:$EP$4,$AW36)+COUNTIF($QV$4:$QY$4,$AW36))&gt;0)),$AV36,"")</f>
        <v/>
      </c>
      <c r="KL36" s="164">
        <f>IF(OR($AW36="",(COUNTIF($EL$5:$EP$5,$AW36)+COUNTIF($QV$5:$QY$5,$AW36))&gt;0),$AV36,"")</f>
        <v/>
      </c>
      <c r="KM36" s="164">
        <f>IF(AND($AX36=1,OR($AW36="",(COUNTIF($EL$5:$EP$5,$AW36)+COUNTIF($QV$5:$QY$5,$AW36))&gt;0)),$AV36,"")</f>
        <v/>
      </c>
      <c r="KR36" s="164">
        <f>IF(OR($AW36="",(COUNTIF($EL$6:$EP$6,$AW36)+COUNTIF($QV$6:$QY$6,$AW36))&gt;0),$AV36,"")</f>
        <v/>
      </c>
      <c r="KS36" s="164">
        <f>IF(AND($AX36=1,OR($AW36="",(COUNTIF($EL$6:$EP$6,$AW36)+COUNTIF($QV$6:$QY$6,$AW36))&gt;0)),$AV36,"")</f>
        <v/>
      </c>
      <c r="KX36" s="164">
        <f>IF(OR($AW36="",(COUNTIF($EL$7:$EP$7,$AW36)+COUNTIF($QV$7:$QY$7,$AW36))&gt;0),$AV36,"")</f>
        <v/>
      </c>
      <c r="KY36" s="164">
        <f>IF(AND($AX36=1,OR($AW36="",(COUNTIF($EL$7:$EP$7,$AW36)+COUNTIF($QV$7:$QY$7,$AW36))&gt;0)),$AV36,"")</f>
        <v/>
      </c>
      <c r="LD36" s="164">
        <f>IF(OR($AW36="",(COUNTIF($EL$8:$EP$8,$AW36)+COUNTIF($QV$8:$QY$8,$AW36))&gt;0),$AV36,"")</f>
        <v/>
      </c>
      <c r="LE36" s="164">
        <f>IF(AND($AX36=1,OR($AW36="",(COUNTIF($EL$8:$EP$8,$AW36)+COUNTIF($QV$8:$QY$8,$AW36))&gt;0)),$AV36,"")</f>
        <v/>
      </c>
      <c r="LJ36" s="164">
        <f>IF(OR($AW36="",(COUNTIF($EL$9:$EP$9,$AW36)+COUNTIF($QV$9:$QY$9,$AW36))&gt;0),$AV36,"")</f>
        <v/>
      </c>
      <c r="LK36" s="164">
        <f>IF(AND($AX36=1,OR($AW36="",(COUNTIF($EL$9:$EP$9,$AW36)+COUNTIF($QV$9:$QY$9,$AW36))&gt;0)),$AV36,"")</f>
        <v/>
      </c>
      <c r="LP36" s="164">
        <f>IF(OR($AW36="",(COUNTIF($EL$10:$EP$10,$AW36)+COUNTIF($QV$10:$QY$10,$AW36))&gt;0),$AV36,"")</f>
        <v/>
      </c>
      <c r="LQ36" s="164">
        <f>IF(AND($AX36=1,OR($AW36="",(COUNTIF($EL$10:$EP$10,$AW36)+COUNTIF($QV$10:$QY$10,$AW36))&gt;0)),$AV36,"")</f>
        <v/>
      </c>
      <c r="LV36" s="164">
        <f>IF(OR($AW36="",(COUNTIF($EL$11:$EP$11,$AW36)+COUNTIF($QV$11:$QY$11,$AW36))&gt;0),$AV36,"")</f>
        <v/>
      </c>
      <c r="LW36" s="164">
        <f>IF(AND($AX36=1,OR($AW36="",(COUNTIF($EL$11:$EP$11,$AW36)+COUNTIF($QV$11:$QY$11,$AW36))&gt;0)),$AV36,"")</f>
        <v/>
      </c>
      <c r="MB36" s="164">
        <f>IF(OR($AW36="",(COUNTIF($EL$12:$EP$12,$AW36)+COUNTIF($QV$12:$QY$12,$AW36))&gt;0),$AV36,"")</f>
        <v/>
      </c>
      <c r="MC36" s="164">
        <f>IF(AND($AX36=1,OR($AW36="",(COUNTIF($EL$12:$EP$12,$AW36)+COUNTIF($QV$12:$QY$12,$AW36))&gt;0)),$AV36,"")</f>
        <v/>
      </c>
      <c r="MH36" s="164">
        <f>IF(OR($AW36="",(COUNTIF($EL$13:$EP$13,$AW36)+COUNTIF($QV$13:$QY$13,$AW36))&gt;0),$AV36,"")</f>
        <v/>
      </c>
      <c r="MI36" s="164">
        <f>IF(AND($AX36=1,OR($AW36="",(COUNTIF($EL$13:$EP$13,$AW36)+COUNTIF($QV$13:$QY$13,$AW36))&gt;0)),$AV36,"")</f>
        <v/>
      </c>
      <c r="MN36" s="162" t="inlineStr">
        <is>
          <t>Ficha 3 · Especial 7</t>
        </is>
      </c>
      <c r="MO36" s="164" t="n">
        <v>3</v>
      </c>
      <c r="MP36" s="164" t="n">
        <v>1</v>
      </c>
      <c r="MQ36" s="164" t="n">
        <v>24</v>
      </c>
      <c r="MR36" s="162" t="inlineStr">
        <is>
          <t>ESPECIAL 7</t>
        </is>
      </c>
      <c r="MS36" s="164">
        <f>MAX(1,MIN(7,N('INVOCAÇÕES'!$U$549)))</f>
        <v/>
      </c>
      <c r="MT36" s="164">
        <f>'INVOCAÇÕES'!$V$549&amp;""</f>
        <v/>
      </c>
      <c r="MU36" s="164">
        <f>'INVOCAÇÕES'!$U$554&amp;""</f>
        <v/>
      </c>
      <c r="MV36" s="164">
        <f>'INVOCAÇÕES'!$U$555&amp;""</f>
        <v/>
      </c>
      <c r="MW36" s="164">
        <f>'INVOCAÇÕES'!$W$555&amp;""</f>
        <v/>
      </c>
      <c r="MX36" s="164">
        <f>'INVOCAÇÕES'!$V$558&amp;""</f>
        <v/>
      </c>
      <c r="MY36" s="164">
        <f>'INVOCAÇÕES'!$V$559&amp;""</f>
        <v/>
      </c>
      <c r="MZ36" s="164">
        <f>'INVOCAÇÕES'!$V$560&amp;""</f>
        <v/>
      </c>
      <c r="NA36" s="164">
        <f>'INVOCAÇÕES'!$V$561&amp;""</f>
        <v/>
      </c>
      <c r="NB36" s="164">
        <f>'INVOCAÇÕES'!$V$562&amp;""</f>
        <v/>
      </c>
      <c r="NC36" s="164">
        <f>'INVOCAÇÕES'!$V$563&amp;""</f>
        <v/>
      </c>
      <c r="ND36" s="164">
        <f>IF($MT36&lt;&gt;"",1,0)</f>
        <v/>
      </c>
      <c r="NE36" s="164">
        <f>INDEX($FO$2:$FO$13,$MO36)</f>
        <v/>
      </c>
      <c r="NF36" s="164">
        <f>INDEX($FP$2:$FP$13,$MO36)</f>
        <v/>
      </c>
      <c r="NG36" s="164">
        <f>INDEX($FQ$2:$FQ$13,$MO36)</f>
        <v/>
      </c>
      <c r="NH36" s="164">
        <f>INDEX($GB$2:$GB$13,$MO36)</f>
        <v/>
      </c>
      <c r="NI36" s="164">
        <f>INDEX($GC$2:$GC$13,$MO36)</f>
        <v/>
      </c>
      <c r="NJ36" s="164">
        <f>IFERROR(MATCH(SUBSTITUTE(SUBSTITUTE(SUBSTITUTE($MU36,"~","~~"),"*","~*"),"?","~?"),'DADOS_FORMAS'!$FZ$2:$FZ$21,0),0)</f>
        <v/>
      </c>
      <c r="NK36" s="164">
        <f>IFERROR(VLOOKUP(SUBSTITUTE(SUBSTITUTE(SUBSTITUTE($MX36,"~","~~"),"*","~*"),"?","~?"),'DADOS_MELHORIAS'!$AG$2:$AL$113,2,FALSE),"")</f>
        <v/>
      </c>
      <c r="NL36" s="164">
        <f>IFERROR(VLOOKUP(SUBSTITUTE(SUBSTITUTE(SUBSTITUTE($MY36,"~","~~"),"*","~*"),"?","~?"),'DADOS_MELHORIAS'!$AG$2:$AL$113,2,FALSE),"")</f>
        <v/>
      </c>
      <c r="NM36" s="164">
        <f>IFERROR(VLOOKUP(SUBSTITUTE(SUBSTITUTE(SUBSTITUTE($MZ36,"~","~~"),"*","~*"),"?","~?"),'DADOS_MELHORIAS'!$AG$2:$AL$113,2,FALSE),"")</f>
        <v/>
      </c>
      <c r="NN36" s="164">
        <f>IFERROR(VLOOKUP(SUBSTITUTE(SUBSTITUTE(SUBSTITUTE($NA36,"~","~~"),"*","~*"),"?","~?"),'DADOS_MELHORIAS'!$AG$2:$AL$113,2,FALSE),"")</f>
        <v/>
      </c>
      <c r="NO36" s="164">
        <f>IFERROR(VLOOKUP(SUBSTITUTE(SUBSTITUTE(SUBSTITUTE($MX36,"~","~~"),"*","~*"),"?","~?"),'DADOS_MELHORIAS'!$AG$2:$AL$113,3,FALSE),0)</f>
        <v/>
      </c>
      <c r="NP36" s="164">
        <f>IFERROR(VLOOKUP(SUBSTITUTE(SUBSTITUTE(SUBSTITUTE($MY36,"~","~~"),"*","~*"),"?","~?"),'DADOS_MELHORIAS'!$AG$2:$AL$113,3,FALSE),0)</f>
        <v/>
      </c>
      <c r="NQ36" s="164">
        <f>IFERROR(VLOOKUP(SUBSTITUTE(SUBSTITUTE(SUBSTITUTE($MZ36,"~","~~"),"*","~*"),"?","~?"),'DADOS_MELHORIAS'!$AG$2:$AL$113,3,FALSE),0)</f>
        <v/>
      </c>
      <c r="NR36" s="164">
        <f>IFERROR(VLOOKUP(SUBSTITUTE(SUBSTITUTE(SUBSTITUTE($NA36,"~","~~"),"*","~*"),"?","~?"),'DADOS_MELHORIAS'!$AG$2:$AL$113,3,FALSE),0)</f>
        <v/>
      </c>
      <c r="NS36" s="164">
        <f>IF($MS36=0,0,IF($NJ36=0,0,INDEX('DADOS_FORMAS'!$GB$2:$GB$21,$NJ36)))</f>
        <v/>
      </c>
      <c r="NT36" s="164">
        <f>IF(OR($NO36=0,$MS36=0),0,$NO36+3*IF(AND($NK36&lt;&gt;"",COUNTIF(INDEX($RB$2:$RJ$13,$MO36,0),$NK36)&gt;0),1,0))</f>
        <v/>
      </c>
      <c r="NU36" s="164">
        <f>IF(OR($NP36=0,$MS36=0),0,$NP36+3*IF(AND($NL36&lt;&gt;"",COUNTIF(INDEX($RB$2:$RJ$13,$MO36,0),$NL36)&gt;0),1,0))</f>
        <v/>
      </c>
      <c r="NV36" s="164">
        <f>IF(OR($NQ36=0,$MS36=0),0,$NQ36+3*IF(AND($NM36&lt;&gt;"",COUNTIF(INDEX($RB$2:$RJ$13,$MO36,0),$NM36)&gt;0),1,0))</f>
        <v/>
      </c>
      <c r="NW36" s="164">
        <f>IF(OR($NR36=0,$MS36=0),0,$NR36+3*IF(AND($NN36&lt;&gt;"",COUNTIF(INDEX($RB$2:$RJ$13,$MO36,0),$NN36)&gt;0),1,0))</f>
        <v/>
      </c>
      <c r="NX36" s="164">
        <f>IF($NJ36=0,0,IF(INDEX('DADOS_FORMAS'!$GA$2:$GA$21,$NJ36)="",0,IF((COUNTIF(INDEX($EL$2:$EP$13,$MO36,0),INDEX('DADOS_FORMAS'!$GA$2:$GA$21,$NJ36))+COUNTIF(INDEX($QV$2:$QY$13,$MO36,0),INDEX('DADOS_FORMAS'!$GA$2:$GA$21,$NJ36)))=0,1,0)))</f>
        <v/>
      </c>
      <c r="NY36" s="164">
        <f>IF(OR($NO36=0,$NK36=""),0,IF((COUNTIF(INDEX($EL$2:$EP$13,$MO36,0),$NK36)+COUNTIF(INDEX($QV$2:$QY$13,$MO36,0),$NK36))=0,1,0))</f>
        <v/>
      </c>
      <c r="NZ36" s="164">
        <f>IF(OR($NP36=0,$NL36=""),0,IF((COUNTIF(INDEX($EL$2:$EP$13,$MO36,0),$NL36)+COUNTIF(INDEX($QV$2:$QY$13,$MO36,0),$NL36))=0,1,0))</f>
        <v/>
      </c>
      <c r="OA36" s="164">
        <f>IF(OR($NQ36=0,$NM36=""),0,IF((COUNTIF(INDEX($EL$2:$EP$13,$MO36,0),$NM36)+COUNTIF(INDEX($QV$2:$QY$13,$MO36,0),$NM36))=0,1,0))</f>
        <v/>
      </c>
      <c r="OB36" s="164">
        <f>IF(OR($NR36=0,$NN36=""),0,IF((COUNTIF(INDEX($EL$2:$EP$13,$MO36,0),$NN36)+COUNTIF(INDEX($QV$2:$QY$13,$MO36,0),$NN36))=0,1,0))</f>
        <v/>
      </c>
      <c r="OC36" s="164">
        <f>IFERROR(VLOOKUP(SUBSTITUTE(SUBSTITUTE(SUBSTITUTE($MX36,"~","~~"),"*","~*"),"?","~?"),'DADOS_MELHORIAS'!$AG$2:$AL$113,4,FALSE),0)+IFERROR(VLOOKUP(SUBSTITUTE(SUBSTITUTE(SUBSTITUTE($MY36,"~","~~"),"*","~*"),"?","~?"),'DADOS_MELHORIAS'!$AG$2:$AL$113,4,FALSE),0)+IFERROR(VLOOKUP(SUBSTITUTE(SUBSTITUTE(SUBSTITUTE($MZ36,"~","~~"),"*","~*"),"?","~?"),'DADOS_MELHORIAS'!$AG$2:$AL$113,4,FALSE),0)+IFERROR(VLOOKUP(SUBSTITUTE(SUBSTITUTE(SUBSTITUTE($NA36,"~","~~"),"*","~*"),"?","~?"),'DADOS_MELHORIAS'!$AG$2:$AL$113,4,FALSE),0)</f>
        <v/>
      </c>
      <c r="OD36" s="164">
        <f>IFERROR(VLOOKUP(SUBSTITUTE(SUBSTITUTE(SUBSTITUTE($MX36,"~","~~"),"*","~*"),"?","~?"),'DADOS_MELHORIAS'!$AG$2:$AL$113,6,FALSE),0)+IFERROR(VLOOKUP(SUBSTITUTE(SUBSTITUTE(SUBSTITUTE($MY36,"~","~~"),"*","~*"),"?","~?"),'DADOS_MELHORIAS'!$AG$2:$AL$113,6,FALSE),0)+IFERROR(VLOOKUP(SUBSTITUTE(SUBSTITUTE(SUBSTITUTE($MZ36,"~","~~"),"*","~*"),"?","~?"),'DADOS_MELHORIAS'!$AG$2:$AL$113,6,FALSE),0)+IFERROR(VLOOKUP(SUBSTITUTE(SUBSTITUTE(SUBSTITUTE($NA36,"~","~~"),"*","~*"),"?","~?"),'DADOS_MELHORIAS'!$AG$2:$AL$113,6,FALSE),0)+IFERROR(N(AND(INDEX('DADOS_FORMAS'!$AO$2:$AO$21,MATCH(SUBSTITUTE(SUBSTITUTE(SUBSTITUTE($MU36,"~","~~"),"*","~*"),"?","~?"),'DADOS_FORMAS'!$AH$2:$AH$21,0))="Acerto",$OH36=1)),0)</f>
        <v/>
      </c>
      <c r="OE36" s="164">
        <f>TEXTJOIN(", ",TRUE,IF(IFERROR(VLOOKUP(SUBSTITUTE(SUBSTITUTE(SUBSTITUTE($MX36,"~","~~"),"*","~*"),"?","~?"),'DADOS_MELHORIAS'!$AG$2:$AL$113,5,FALSE),0)=1,$MX36,""),IF(IFERROR(VLOOKUP(SUBSTITUTE(SUBSTITUTE(SUBSTITUTE($MY36,"~","~~"),"*","~*"),"?","~?"),'DADOS_MELHORIAS'!$AG$2:$AL$113,5,FALSE),0)=1,$MY36,""),IF(IFERROR(VLOOKUP(SUBSTITUTE(SUBSTITUTE(SUBSTITUTE($MZ36,"~","~~"),"*","~*"),"?","~?"),'DADOS_MELHORIAS'!$AG$2:$AL$113,5,FALSE),0)=1,$MZ36,""),IF(IFERROR(VLOOKUP(SUBSTITUTE(SUBSTITUTE(SUBSTITUTE($NA36,"~","~~"),"*","~*"),"?","~?"),'DADOS_MELHORIAS'!$AG$2:$AL$113,5,FALSE),0)=1,$NA36,""))</f>
        <v/>
      </c>
      <c r="OF36" s="164">
        <f>IF($NJ36=0,0,INDEX('DADOS_FORMAS'!$GC$2:$GC$21,$NJ36))</f>
        <v/>
      </c>
      <c r="OG36" s="164">
        <f>IF($NJ36=0,0,INDEX('DADOS_FORMAS'!$GD$2:$GD$21,$NJ36))</f>
        <v/>
      </c>
      <c r="OH36" s="164">
        <f>IF($NJ36=0,0,INDEX('DADOS_FORMAS'!$GF$2:$GF$21,$NJ36))</f>
        <v/>
      </c>
      <c r="OI36" s="164">
        <f>IFERROR(VLOOKUP(SUBSTITUTE(SUBSTITUTE(SUBSTITUTE($NB36,"~","~~"),"*","~*"),"?","~?"),'DADOS_RESTRICOES'!$M$2:$Q$54,3,FALSE),0)</f>
        <v/>
      </c>
      <c r="OJ36" s="164">
        <f>IFERROR(VLOOKUP(SUBSTITUTE(SUBSTITUTE(SUBSTITUTE($NC36,"~","~~"),"*","~*"),"?","~?"),'DADOS_RESTRICOES'!$M$2:$Q$54,3,FALSE),0)</f>
        <v/>
      </c>
      <c r="OK36" s="164">
        <f>IFERROR(VLOOKUP(SUBSTITUTE(SUBSTITUTE(SUBSTITUTE($NB36,"~","~~"),"*","~*"),"?","~?"),'DADOS_RESTRICOES'!$M$2:$Q$54,2,FALSE),"")</f>
        <v/>
      </c>
      <c r="OL36" s="164">
        <f>IFERROR(VLOOKUP(SUBSTITUTE(SUBSTITUTE(SUBSTITUTE($NC36,"~","~~"),"*","~*"),"?","~?"),'DADOS_RESTRICOES'!$M$2:$Q$54,2,FALSE),"")</f>
        <v/>
      </c>
      <c r="OM36" s="164">
        <f>COUNTIF($NS36:$NW36,1)</f>
        <v/>
      </c>
      <c r="ON36" s="164">
        <f>COUNTIF($NS36:$NW36,2)</f>
        <v/>
      </c>
      <c r="OO36" s="164">
        <f>COUNTIF($NS36:$NW36,3)</f>
        <v/>
      </c>
      <c r="OP36" s="164">
        <f>COUNTIF($NS36:$NW36,4)</f>
        <v/>
      </c>
      <c r="OQ36" s="164">
        <f>COUNTIF($NS36:$NW36,5)</f>
        <v/>
      </c>
      <c r="OR36" s="164">
        <f>COUNTIF($NS36:$NW36,6)</f>
        <v/>
      </c>
      <c r="OS36" s="164">
        <f>COUNTIF($OI36:$OJ36,1)+IF(IFERROR(INDEX('DADOS_FORMAS'!$AS$2:$AS$21,MATCH(SUBSTITUTE(SUBSTITUTE(SUBSTITUTE($MU36,"~","~~"),"*","~*"),"?","~?"),'DADOS_FORMAS'!$AH$2:$AH$21,0)),"")="",0,IFERROR(N(VLOOKUP(SUBSTITUTE(SUBSTITUTE(SUBSTITUTE(IFERROR(INDEX('DADOS_FORMAS'!$AS$2:$AS$21,MATCH(SUBSTITUTE(SUBSTITUTE(SUBSTITUTE($MU36,"~","~~"),"*","~*"),"?","~?"),'DADOS_FORMAS'!$AH$2:$AH$21,0)),""),"~","~~"),"*","~*"),"?","~?"),'DADOS_RESTRICOES'!$M$2:$Q$54,3,FALSE)=1),0))</f>
        <v/>
      </c>
      <c r="OT36" s="164">
        <f>COUNTIF($OI36:$OJ36,2)+IF(IFERROR(INDEX('DADOS_FORMAS'!$AS$2:$AS$21,MATCH(SUBSTITUTE(SUBSTITUTE(SUBSTITUTE($MU36,"~","~~"),"*","~*"),"?","~?"),'DADOS_FORMAS'!$AH$2:$AH$21,0)),"")="",0,IFERROR(N(VLOOKUP(SUBSTITUTE(SUBSTITUTE(SUBSTITUTE(IFERROR(INDEX('DADOS_FORMAS'!$AS$2:$AS$21,MATCH(SUBSTITUTE(SUBSTITUTE(SUBSTITUTE($MU36,"~","~~"),"*","~*"),"?","~?"),'DADOS_FORMAS'!$AH$2:$AH$21,0)),""),"~","~~"),"*","~*"),"?","~?"),'DADOS_RESTRICOES'!$M$2:$Q$54,3,FALSE)=2),0))</f>
        <v/>
      </c>
      <c r="OU36" s="164">
        <f>COUNTIF($MX36:$NA36,"?*")</f>
        <v/>
      </c>
      <c r="OV36" s="164">
        <f>COUNTIF($NB36:$NC36,"?*")+$OF36</f>
        <v/>
      </c>
      <c r="OW36" s="164">
        <f>IF($MS36=0,0,SUMPRODUCT($OM36:$OR36,INDEX($I$2:$N$8,MAX(1,$MS36),0)))</f>
        <v/>
      </c>
      <c r="OX36" s="164">
        <f>IF($MS36=0,0,$OS36*CEILING($MS36/2,1)+$OT36*$MS36)</f>
        <v/>
      </c>
      <c r="OY36" s="164">
        <f>MIN(2*$MS36,$OX36)</f>
        <v/>
      </c>
      <c r="OZ36" s="164">
        <f>MIN($OY36,$OW36-IF($NS36=0,0,INDEX($I$2:$N$8,MAX(1,$MS36),$NS36)))</f>
        <v/>
      </c>
      <c r="PA36" s="164">
        <f>$OY36-$OZ36</f>
        <v/>
      </c>
      <c r="PB36" s="164">
        <f>IF($MS36=0,0,INDEX($P$2:$P$8,MAX(1,$MS36)))</f>
        <v/>
      </c>
      <c r="PC36" s="164">
        <f>$PB36-$OW36+$OZ36</f>
        <v/>
      </c>
      <c r="PD36" s="164">
        <f>IF($MS36=0,MAX(0,$NG36-IF(AND($OU36&gt;0,COUNTIF($NB36:$NC36,"?*")=0),1,0)),MAX(0,$PC36))</f>
        <v/>
      </c>
      <c r="PE36" s="164">
        <f>IF($MS36=0,0,(IF(COUNTIF($RK36:$RN36,"Salto")&gt;0,1,0)+IF(COUNTIF($RK36:$RN36,"Queima")&gt;0,1,0)+IF(COUNTIF($RK36:$RN36,"Estilhaço")&gt;0,1,0))*FLOOR($PD36/2,1))</f>
        <v/>
      </c>
      <c r="PF36" s="164">
        <f>MAX(0,2-SUMPRODUCT($OM36:$OR36,$I$2:$N$2)+MIN(2,$OS36*1+$OT36*1,SUMPRODUCT($OM36:$OR36,$I$2:$N$2)-IF($NS36=0,0,INDEX($I$2:$N$2,1,$NS36))))</f>
        <v/>
      </c>
      <c r="PG36" s="164">
        <f>MAX(0,4-SUMPRODUCT($OM36:$OR36,$I$3:$N$3)+MIN(4,$OS36*1+$OT36*2,SUMPRODUCT($OM36:$OR36,$I$3:$N$3)-IF($NS36=0,0,INDEX($I$3:$N$3,1,$NS36))))</f>
        <v/>
      </c>
      <c r="PH36" s="164">
        <f>MAX(0,6-SUMPRODUCT($OM36:$OR36,$I$4:$N$4)+MIN(6,$OS36*2+$OT36*3,SUMPRODUCT($OM36:$OR36,$I$4:$N$4)-IF($NS36=0,0,INDEX($I$4:$N$4,1,$NS36))))</f>
        <v/>
      </c>
      <c r="PI36" s="164">
        <f>MAX(0,9-SUMPRODUCT($OM36:$OR36,$I$5:$N$5)+MIN(8,$OS36*2+$OT36*4,SUMPRODUCT($OM36:$OR36,$I$5:$N$5)-IF($NS36=0,0,INDEX($I$5:$N$5,1,$NS36))))</f>
        <v/>
      </c>
      <c r="PJ36" s="164">
        <f>MAX(0,11-SUMPRODUCT($OM36:$OR36,$I$6:$N$6)+MIN(10,$OS36*3+$OT36*5,SUMPRODUCT($OM36:$OR36,$I$6:$N$6)-IF($NS36=0,0,INDEX($I$6:$N$6,1,$NS36))))</f>
        <v/>
      </c>
      <c r="PK36" s="164">
        <f>MAX(0,13-SUMPRODUCT($OM36:$OR36,$I$7:$N$7)+MIN(12,$OS36*3+$OT36*6,SUMPRODUCT($OM36:$OR36,$I$7:$N$7)-IF($NS36=0,0,INDEX($I$7:$N$7,1,$NS36))))</f>
        <v/>
      </c>
      <c r="PL36" s="164">
        <f>MAX(0,16-SUMPRODUCT($OM36:$OR36,$I$8:$N$8)+MIN(14,$OS36*4+$OT36*7,SUMPRODUCT($OM36:$OR36,$I$8:$N$8)-IF($NS36=0,0,INDEX($I$8:$N$8,1,$NS36))))</f>
        <v/>
      </c>
      <c r="PM36" s="164">
        <f>IF($OG36=2,3*$PF36&amp;" de vida temp.",IF($OG36=3,"sem dano",IF($PF36=0,IF($OG36=1,"sem cura","sem dano"),IF($OG36=1,"cura ","")&amp;$PF36&amp;"d8")))</f>
        <v/>
      </c>
      <c r="PN36" s="164">
        <f>IF($OG36=2,3*$PG36&amp;" de vida temp.",IF($OG36=3,"sem dano",IF($PG36=0,IF($OG36=1,"sem cura","sem dano"),IF($OG36=1,"cura ","")&amp;$PG36&amp;"d8")))</f>
        <v/>
      </c>
      <c r="PO36" s="164">
        <f>IF($OG36=2,3*$PH36&amp;" de vida temp.",IF($OG36=3,"sem dano",IF($PH36=0,IF($OG36=1,"sem cura","sem dano"),IF($OG36=1,"cura ","")&amp;$PH36&amp;"d8")))</f>
        <v/>
      </c>
      <c r="PP36" s="164">
        <f>IF($OG36=2,3*$PI36&amp;" de vida temp.",IF($OG36=3,"sem dano",IF($PI36=0,IF($OG36=1,"sem cura","sem dano"),IF($OG36=1,"cura ","")&amp;$PI36&amp;"d8")))</f>
        <v/>
      </c>
      <c r="PQ36" s="164">
        <f>IF($OG36=2,3*$PJ36&amp;" de vida temp.",IF($OG36=3,"sem dano",IF($PJ36=0,IF($OG36=1,"sem cura","sem dano"),IF($OG36=1,"cura ","")&amp;$PJ36&amp;"d8")))</f>
        <v/>
      </c>
      <c r="PR36" s="164">
        <f>IF($OG36=2,3*$PK36&amp;" de vida temp.",IF($OG36=3,"sem dano",IF($PK36=0,IF($OG36=1,"sem cura","sem dano"),IF($OG36=1,"cura ","")&amp;$PK36&amp;"d8")))</f>
        <v/>
      </c>
      <c r="PS36" s="164">
        <f>IF($OG36=2,3*$PL36&amp;" de vida temp.",IF($OG36=3,"sem dano",IF($PL36=0,IF($OG36=1,"sem cura","sem dano"),IF($OG36=1,"cura ","")&amp;$PL36&amp;"d8")))</f>
        <v/>
      </c>
      <c r="PT36" s="164">
        <f>IF($ND36=0,"",TEXTJOIN(" · ",TRUE,IF($ND36=0,"",TEXTJOIN(" · ",TRUE,IF($ND36=0,"",TEXTJOIN(" · ",TRUE,IF($MQ36&gt;$NE36,"Este lugar abre no nível "&amp;$MQ36,""),IF($MS36&gt;$NF36,"Classe "&amp;$MS36&amp;": o nível "&amp;$NE36&amp;" libera até a "&amp;$NF36,""),IF($NX36=1,"A Forma "&amp;$MU36&amp;" pede "&amp;INDEX('DADOS_FORMAS'!$GA$2:$GA$21,$NJ36)&amp;" aberta",""),IF(AND($MS36=0,$NJ36&gt;0,IF($NJ36=0,0,INDEX('DADOS_FORMAS'!$GJ$2:$GJ$21,$NJ36))=0),$MU36&amp;" não existe na Classe 0",""),IF($NY36=1,"Família Fechada: "&amp;$MX36,""),IF($NZ36=1,"Família Fechada: "&amp;$MY36,""),IF($OA36=1,"Família Fechada: "&amp;$MZ36,""),IF($OB36=1,"Família Fechada: "&amp;$NA36,""),IF(AND($MS36&gt;0,$OU36&gt;INDEX($O$2:$O$8,MAX(1,$MS36))),$OU36&amp;" Melhorias: a Classe "&amp;$MS36&amp;" aceita "&amp;INDEX($O$2:$O$8,MAX(1,$MS36)),""),IF(AND($MS36=0,$OU36&gt;1),"A básica aceita uma Melhoria",""),IF(AND($MS36=0,COUNTIF($NO36:$NR36,"&gt;1")&gt;0),"A básica só aceita Melhoria Leve",""),IF(AND($MS36&gt;0,$OV36&gt;2),$OV36&amp;" Restrições"&amp;IF($OF36=1,", contando a que a Forma "&amp;$MU36&amp;" já traz","")&amp;": o limite é 2",""),IF(AND($MS36=0,COUNTIF($NB36:$NC36,"?*")&gt;1),"A básica aceita uma Restrição Leve",""),IF(AND($MS36=0,COUNTIF($OI36:$OJ36,2)&gt;0),"A básica só aceita Restrição Leve",""),IF(AND($MS36&gt;0,$PC36&lt;0),"Orçamento estourado: faltam "&amp;(-$PC36)&amp;IF($PC36&lt;-1," pontos"," ponto"),""),IF(IFERROR(VLOOKUP(SUBSTITUTE(SUBSTITUTE(SUBSTITUTE($NB36,"~","~~"),"*","~*"),"?","~?"),'DADOS_RESTRICOES'!$M$2:$Q$54,4,FALSE),0)+IFERROR(VLOOKUP(SUBSTITUTE(SUBSTITUTE(SUBSTITUTE($NC36,"~","~~"),"*","~*"),"?","~?"),'DADOS_RESTRICOES'!$M$2:$Q$54,4,FALSE),0)&gt;1,$OK36&amp;" e "&amp;$OL36&amp;" são as duas de frequência",""),IF(AND((COUNTIF($RK36:$RN36,"Rápido")+COUNTIF($OK36:$OL36,"Rápido"))&gt;0,(COUNTIF($MX36:$NA36,"Atrasar")+COUNTIF($OK36:$OL36,"Atrasar"))&gt;0),"Rápido não entra com Atrasar",""),IF(AND((COUNTIF($RK36:$RN36,"Reação")+COUNTIF($OK36:$OL36,"Reação"))&gt;0,(COUNTIF($RK36:$RN36,"Rápido")+COUNTIF($OK36:$OL36,"Rápido"))&gt;0),"Reação não entra com Rápido",""),IF(AND((COUNTIF($RK36:$RN36,"Reação")+COUNTIF($OK36:$OL36,"Reação"))&gt;0,(COUNTIF($RK36:$RN36,"Armado")+COUNTIF($OK36:$OL36,"Armado"))&gt;0),"Reação não entra com Armado",""),IF(AND((COUNTIF($RK36:$RN36,"Reação")+COUNTIF($OK36:$OL36,"Reação"))&gt;0,(COUNTIF($MX36:$NA36,"Atrasar")+COUNTIF($OK36:$OL36,"Atrasar"))&gt;0),"Reação não entra com Atrasar",""),IF(AND((COUNTIF($RK36:$RN36,"Reação")+COUNTIF($OK36:$OL36,"Reação"))&gt;0,(COUNTIF($MX36:$NA36,"Parado")+COUNTIF($OK36:$OL36,"Parado"))&gt;0),"Reação não entra com Parado",""),IF(AND((COUNTIF($MX36:$NA36,"Atrasar")+COUNTIF($OK36:$OL36,"Atrasar"))&gt;0,(COUNTIF($MX36:$NA36,"Parado")+COUNTIF($OK36:$OL36,"Parado"))&gt;0),"Atrasar não entra com Parado",""),IF(AND((COUNTIF($RK36:$RN36,"Armado")+COUNTIF($OK36:$OL36,"Armado"))&gt;0,(COUNTIF($MX36:$NA36,"Carregar")+COUNTIF($OK36:$OL36,"Carregar"))&gt;0),"Armado não entra com Carregar",""),IF(AND(COUNTIF($OK36:$OL36,"Corpo a Corpo")&gt;0,$OF36=0,OR($RO36="Cone",$RO36="Linha")),"Corpo a Corpo não entra em "&amp;$MU36,""),IF(AND(COUNTIF($OK36:$OL36,"Corpo a Corpo")&gt;0,$RP36="Corpo a Corpo"),"A Forma "&amp;$MU36&amp;" já traz o Corpo a Corpo",""),IF(AND(COUNTIF($OK36:$OL36,"Tudo ou Nada")&gt;0,$OH36=0),"Tudo ou Nada só entra em habilidade de Teste de Resistência",""),IF(AND(COUNTIF($RK36:$RN36,"Inescapável")&gt;0,OR($OU36&gt;1,$OV36&gt;0)),"Inescapável não aceita outra peça",""),IF(AND($MS36&gt;0,$PD36*IF(COUNTIF($RK36:$RN36,"Remate")&gt;0,1.25,1)+$PE36&gt;4*$MS36),($PD36*IF(COUNTIF($RK36:$RN36,"Remate")&gt;0,1.25,1)+$PE36)&amp;" dados somando repetições"&amp;IF(COUNTIF($RK36:$RN36,"Remate")&gt;0," e o Remate","")&amp;": o teto da Classe "&amp;$MS36&amp;" é "&amp;4*$MS36,""))),IF(AND($MX36&lt;&gt;"",COUNTIF('DADOS_MELHORIAS'!$O$2:$O$113,SUBSTITUTE(SUBSTITUTE(SUBSTITUTE($MX36,"~","~~"),"*","~*"),"?","~?"))=0),"Melhoria não cadastrada ou com erro: "&amp;$MX36,""),IF(AND($MY36&lt;&gt;"",COUNTIF('DADOS_MELHORIAS'!$O$2:$O$113,SUBSTITUTE(SUBSTITUTE(SUBSTITUTE($MY36,"~","~~"),"*","~*"),"?","~?"))=0),"Melhoria não cadastrada ou com erro: "&amp;$MY36,""),IF(AND($MZ36&lt;&gt;"",COUNTIF('DADOS_MELHORIAS'!$O$2:$O$113,SUBSTITUTE(SUBSTITUTE(SUBSTITUTE($MZ36,"~","~~"),"*","~*"),"?","~?"))=0),"Melhoria não cadastrada ou com erro: "&amp;$MZ36,""),IF(AND($NA36&lt;&gt;"",COUNTIF('DADOS_MELHORIAS'!$O$2:$O$113,SUBSTITUTE(SUBSTITUTE(SUBSTITUTE($NA36,"~","~~"),"*","~*"),"?","~?"))=0),"Melhoria não cadastrada ou com erro: "&amp;$NA36,""),IF(AND($NB36&lt;&gt;"",COUNTIF('DADOS_RESTRICOES'!$M$2:$M$54,SUBSTITUTE(SUBSTITUTE(SUBSTITUTE($NB36,"~","~~"),"*","~*"),"?","~?"))=0),"Restrição não cadastrada ou com erro: "&amp;$NB36,""),IF(AND($NC36&lt;&gt;"",COUNTIF('DADOS_RESTRICOES'!$M$2:$M$54,SUBSTITUTE(SUBSTITUTE(SUBSTITUTE($NC36,"~","~~"),"*","~*"),"?","~?"))=0),"Restrição não cadastrada ou com erro: "&amp;$NC36,""))),IF(AND($MU36&lt;&gt;"",COUNTIF('DADOS_FORMAS'!$AH$2:$AH$21,SUBSTITUTE(SUBSTITUTE(SUBSTITUTE($MU36,"~","~~"),"*","~*"),"?","~?"))=0),"Forma não cadastrada ou com erro: "&amp;$MU36,""),IF(AND(IFERROR(INDEX('DADOS_FORMAS'!$AS$2:$AS$21,MATCH(SUBSTITUTE(SUBSTITUTE(SUBSTITUTE($MU36,"~","~~"),"*","~*"),"?","~?"),'DADOS_FORMAS'!$AH$2:$AH$21,0)),"")&lt;&gt;"",OR(IFERROR(VLOOKUP(SUBSTITUTE(SUBSTITUTE(SUBSTITUTE(IFERROR(INDEX('DADOS_FORMAS'!$AS$2:$AS$21,MATCH(SUBSTITUTE(SUBSTITUTE(SUBSTITUTE($MU36,"~","~~"),"*","~*"),"?","~?"),'DADOS_FORMAS'!$AH$2:$AH$21,0)),""),"~","~~"),"*","~*"),"?","~?"),'DADOS_RESTRICOES'!$M$2:$Q$54,2,FALSE),"")=$OK36,IFERROR(VLOOKUP(SUBSTITUTE(SUBSTITUTE(SUBSTITUTE(IFERROR(INDEX('DADOS_FORMAS'!$AS$2:$AS$21,MATCH(SUBSTITUTE(SUBSTITUTE(SUBSTITUTE($MU36,"~","~~"),"*","~*"),"?","~?"),'DADOS_FORMAS'!$AH$2:$AH$21,0)),""),"~","~~"),"*","~*"),"?","~?"),'DADOS_RESTRICOES'!$M$2:$Q$54,2,FALSE),"")=$OL36)),"Restrição repetida, contando a embutida",""),IF(IF(IFERROR(INDEX('DADOS_FORMAS'!$AS$2:$AS$21,MATCH(SUBSTITUTE(SUBSTITUTE(SUBSTITUTE($MU36,"~","~~"),"*","~*"),"?","~?"),'DADOS_FORMAS'!$AH$2:$AH$21,0)),"")="",0,IFERROR(N(VLOOKUP(SUBSTITUTE(SUBSTITUTE(SUBSTITUTE(IFERROR(INDEX('DADOS_FORMAS'!$AS$2:$AS$21,MATCH(SUBSTITUTE(SUBSTITUTE(SUBSTITUTE($MU36,"~","~~"),"*","~*"),"?","~?"),'DADOS_FORMAS'!$AH$2:$AH$21,0)),""),"~","~~"),"*","~*"),"?","~?"),'DADOS_RESTRICOES'!$M$2:$Q$54,4,FALSE)=1),0))+IF($NB36="",0,IFERROR(N(VLOOKUP(SUBSTITUTE(SUBSTITUTE(SUBSTITUTE($NB36,"~","~~"),"*","~*"),"?","~?"),'DADOS_RESTRICOES'!$M$2:$Q$54,4,FALSE)=1),0))+IF($NC36="",0,IFERROR(N(VLOOKUP(SUBSTITUTE(SUBSTITUTE(SUBSTITUTE($NC36,"~","~~"),"*","~*"),"?","~?"),'DADOS_RESTRICOES'!$M$2:$Q$54,4,FALSE)=1),0))&gt;1,"Duas Restrições de frequência, contando a embutida",""),IF(AND(IFERROR(VLOOKUP(SUBSTITUTE(SUBSTITUTE(SUBSTITUTE(IFERROR(INDEX('DADOS_FORMAS'!$AS$2:$AS$21,MATCH(SUBSTITUTE(SUBSTITUTE(SUBSTITUTE($MU36,"~","~~"),"*","~*"),"?","~?"),'DADOS_FORMAS'!$AH$2:$AH$21,0)),""),"~","~~"),"*","~*"),"?","~?"),'DADOS_RESTRICOES'!$M$2:$Q$54,2,FALSE),"")="Tudo ou Nada",$OH36=0),"Tudo ou Nada exige TR",""),IF(AND(IFERROR(VLOOKUP(SUBSTITUTE(SUBSTITUTE(SUBSTITUTE(IFERROR(INDEX('DADOS_FORMAS'!$AS$2:$AS$21,MATCH(SUBSTITUTE(SUBSTITUTE(SUBSTITUTE($MU36,"~","~~"),"*","~*"),"?","~?"),'DADOS_FORMAS'!$AH$2:$AH$21,0)),""),"~","~~"),"*","~*"),"?","~?"),'DADOS_RESTRICOES'!$M$2:$Q$54,2,FALSE),"")="Corpo a Corpo",OR($RO36="Cone",$RO36="Linha")),"Corpo a Corpo não entra em Cone/Linha","")))</f>
        <v/>
      </c>
      <c r="PU36" s="164">
        <f>IF($PT36="",0,(LEN($PT36)-LEN(SUBSTITUTE($PT36," · ","")))/3+1)</f>
        <v/>
      </c>
      <c r="PV36" s="164">
        <f>IF($ND36=0,"",TEXTJOIN(" · ",TRUE,IF($OX36&gt;2*$MS36,"A devolução parou no teto de "&amp;2*$MS36,""),IF($PA36&gt;0,"Devolução perdida: "&amp;$PA36&amp;IF($PA36&gt;1," pontos"," ponto")&amp;" sem Melhoria para pagar",""),IF(AND($OC36&gt;0,AND($MS36&gt;0,$OG36=0),$PD36=0),"Controle sem dano: uma rodada a mais e CD +2",""),IF(AND($OC36&gt;0,AND($MS36&gt;0,$OG36=0),$PD36&gt;0,$PD36&lt;=$MS36),"Controle com saldo até a Classe: uma rodada a mais",""),IF(AND($MS36&gt;0,$OE36&lt;&gt;""),"Efeito de "&amp;$OE36&amp;" pela Classe "&amp;MAX(1,$MS36-1),"")))</f>
        <v/>
      </c>
      <c r="PW36" s="164">
        <f>IF($PV36="",0,(LEN($PV36)-LEN(SUBSTITUTE($PV36," · ","")))/3+1)</f>
        <v/>
      </c>
      <c r="PX36" s="164">
        <f>IF($ND36=0,IF($OU36+COUNTIF($NB36:$NC36,"?*")&gt;0,"Dê um nome",""),IF($PU36&gt;0,"⚠ "&amp;$PU36&amp;IF($PU36&gt;1," erros"," erro"),IF($PW36&gt;0,"! "&amp;$PW36&amp;IF($PW36&gt;1," avisos"," aviso"),"Na regra")))</f>
        <v/>
      </c>
      <c r="PY36" s="164">
        <f>IF($ND36=0,"",IF($PU36+$PW36=0,"Dentro das regras que a ficha confere",$PT36&amp;IF(AND($PU36&gt;0,$PW36&gt;0)," · ","")&amp;$PV36))</f>
        <v/>
      </c>
      <c r="PZ36" s="164">
        <f>IF($MQ36&gt;$NE36,$MR36&amp;" · ABRE NO NÍVEL "&amp;$MQ36,$MR36)</f>
        <v/>
      </c>
      <c r="QA36" s="164">
        <f>IF($ND36=0,"",IF($MS36=0,"Sem PE",3*$MS36&amp;" PE"))</f>
        <v/>
      </c>
      <c r="QB36" s="164">
        <f>IF($ND36=0,"",IF($MS36=0,"A atuação básica dela",IF(COUNTIF($RQ36:$RS36,"Atrasar")&gt;0,"Sua Ação Completa",IF(COUNTIF($RK36:$RN36,"Rápido")&gt;0,"Sua Bônus",IF(COUNTIF($RK36:$RN36,"Reação")&gt;0,"Sua Reação","Sua Padrão")))&amp;" + a básica dela"&amp;IF(COUNTIF($RK36:$RN36,"Reação")&gt;0," e a coletiva","")&amp;IF(COUNTIF($RQ36:$RS36,"Carregar")&gt;0," · em dois turnos","")))</f>
        <v/>
      </c>
      <c r="QC36" s="164">
        <f>IF($MW36&lt;&gt;"",$MW36,IF($NJ36=0,"",INDEX('DADOS_FORMAS'!$GE$2:$GE$21,$NJ36)))</f>
        <v/>
      </c>
      <c r="QD36" s="164">
        <f>IF(OR($ND36=0,$NJ36=0),"",IF(COUNTIF($RK36:$RN36,"Inescapável")&gt;0,"Automático",IF($QC36="Ataque",IF($NH36="","Ataque","Ataque "&amp;IF(($NH36+2*IF(COUNTIF($RK36:$RN36,"Precisão")&gt;0,1,0))&gt;=0,"+","−")&amp;ABS(($NH36+2*IF(COUNTIF($RK36:$RN36,"Precisão")&gt;0,1,0))))&amp;IF($OD36&gt;0," · TR"&amp;IF($NI36="",""," CD "&amp;$NI36),""),IF(LEFT($QC36,2)="TR",$QC36&amp;IF($NI36="",""," · CD "&amp;$NI36)&amp;IF(COUNTIF($RK36:$RN36,"Certeiro")&gt;0," · metade",""),"Sem rolagem"))))</f>
        <v/>
      </c>
      <c r="QE36" s="164">
        <f>IF(OR($ND36=0,$NJ36=0),"",IF($MS36=0,IF(OR($OG36&gt;=1,$PD36=0),"Sem dano",$PD36&amp;"d6"&amp;IF($MV36="",""," "&amp;$MV36)),IF(OR($OG36&gt;=1,$PD36=0),UPPER(LEFT(INDEX($PM36:$PS36,1,MAX(1,$MS36)),1))&amp;MID(INDEX($PM36:$PS36,1,MAX(1,$MS36)),2,99),UPPER(LEFT(INDEX($PM36:$PS36,1,MAX(1,$MS36)),1))&amp;MID(INDEX($PM36:$PS36,1,MAX(1,$MS36)),2,99)&amp;IF($MV36="",""," "&amp;$MV36)&amp;IF($PE36&gt;0," · +"&amp;$PE36&amp;"d8",""))))</f>
        <v/>
      </c>
      <c r="QF36" s="164">
        <f>COUNTIF($RK36:$RN36,"Longe")+3*COUNTIF($RK36:$RN36,"Muito Longe")</f>
        <v/>
      </c>
      <c r="QG36" s="164">
        <f>COUNTIF($RK36:$RN36,"Maior")+3*COUNTIF($RK36:$RN36,"Muito Maior")</f>
        <v/>
      </c>
      <c r="QH36" s="164">
        <f>IF($NJ36=0,0,CHOOSE(1+INDEX('DADOS_FORMAS'!$GG$2:$GG$21,$NJ36),0,$QF36,$QG36,$QF36+$QG36))</f>
        <v/>
      </c>
      <c r="QI36" s="164">
        <f>IF($NJ36=0,0,CHOOSE(1+INDEX('DADOS_FORMAS'!$GH$2:$GH$21,$NJ36),0,$QF36,$QG36,$QF36+$QG36))</f>
        <v/>
      </c>
      <c r="QJ36" s="164">
        <f>IF(OR($ND36=0,$NJ36=0),"",INDEX('DADOS_FORMAS'!$HU$2:$HZ$81,($NJ36-1)*4+IF($MS36=0,1,IF($MS36&lt;=5,2,IF($MS36=6,3,4))),1+MIN(5,$QH36))&amp;INDEX('DADOS_FORMAS'!$IA$2:$IF$81,($NJ36-1)*4+IF($MS36=0,1,IF($MS36&lt;=5,2,IF($MS36=6,3,4))),1+MIN(5,$QI36))&amp;IF(INDEX('DADOS_FORMAS'!$GI$2:$GI$21,$NJ36)=1,IF(COUNTIF($RK36:$RN36,"Mais Um")&gt;0," · +"&amp;COUNTIF($RK36:$RN36,"Mais Um")&amp;IF(COUNTIF($RK36:$RN36,"Mais Um")&gt;1," alvos"," alvo"),"")&amp;IF(COUNTIF($RK36:$RN36,"Rajada")&gt;0,IF($MS36=0," · 1 tiro"," · "&amp;(MAX(1,$MS36-1)+1)&amp;" tiros"),""),""))</f>
        <v/>
      </c>
      <c r="QK36" s="164">
        <f>IF($ND36=0,"",IF($MS36=0,$NG36&amp;"d6"&amp;IF($OU36&gt;0," − 1 = "&amp;$PD36&amp;"d6"," da básica do nível "&amp;$NE36),$PB36&amp;" − "&amp;$OW36&amp;" + "&amp;$OZ36&amp;" = "&amp;$PC36&amp;" · teto "&amp;4*$MS36&amp;"d8"&amp;IF($OF36=1," · a Forma devolve "&amp;$MS36,"")&amp;IF($PA36&gt;0," · perde "&amp;$PA36,"")))</f>
        <v/>
      </c>
      <c r="QL36" s="164">
        <f>IF($ND36=0,"",IF($MS36=0,"A básica não amplia: os dados dela sobem com o nível",IF($MS36&gt;=$NF36,"Já está na maior Classe que o nível liberou",TEXTJOIN(" · ",TRUE,IF(AND(2&gt;$MS36,2&lt;=$NF36),"2 → "&amp;$PN36&amp;", 6 PE",""),IF(AND(3&gt;$MS36,3&lt;=$NF36),"3 → "&amp;$PO36&amp;", 9 PE",""),IF(AND(4&gt;$MS36,4&lt;=$NF36),"4 → "&amp;$PP36&amp;", 12 PE",""),IF(AND(5&gt;$MS36,5&lt;=$NF36),"5 → "&amp;$PQ36&amp;", 15 PE",""),IF(AND(6&gt;$MS36,6&lt;=$NF36),"6 → "&amp;$PR36&amp;", 18 PE",""),IF(AND(7&gt;$MS36,7&lt;=$NF36),"7 → "&amp;$PS36&amp;", 21 PE","")))))</f>
        <v/>
      </c>
      <c r="QM36" s="164">
        <f>IF(OR($ND36=0,$NO36=0),"",IF($MS36=0,"−1 dado","−"&amp;INDEX($I$2:$N$8,MAX(1,$MS36),MAX(1,$NT36))&amp;" · "&amp;CHOOSE(MAX(1,$NT36),"Leve","Média","Pesada","Leve · Livre","Média · Livre","Pesada · Livre")))</f>
        <v/>
      </c>
      <c r="QN36" s="164">
        <f>IF(OR($ND36=0,$NP36=0),"",IF($MS36=0,"−1 dado","−"&amp;INDEX($I$2:$N$8,MAX(1,$MS36),MAX(1,$NU36))&amp;" · "&amp;CHOOSE(MAX(1,$NU36),"Leve","Média","Pesada","Leve · Livre","Média · Livre","Pesada · Livre")))</f>
        <v/>
      </c>
      <c r="QO36" s="164">
        <f>IF(OR($ND36=0,$NQ36=0),"",IF($MS36=0,"−1 dado","−"&amp;INDEX($I$2:$N$8,MAX(1,$MS36),MAX(1,$NV36))&amp;" · "&amp;CHOOSE(MAX(1,$NV36),"Leve","Média","Pesada","Leve · Livre","Média · Livre","Pesada · Livre")))</f>
        <v/>
      </c>
      <c r="QP36" s="164">
        <f>IF(OR($ND36=0,$NR36=0),"",IF($MS36=0,"−1 dado","−"&amp;INDEX($I$2:$N$8,MAX(1,$MS36),MAX(1,$NW36))&amp;" · "&amp;CHOOSE(MAX(1,$NW36),"Leve","Média","Pesada","Leve · Livre","Média · Livre","Pesada · Livre")))</f>
        <v/>
      </c>
      <c r="QQ36" s="164">
        <f>IF(OR($ND36=0,$NB36=""),"",IF($MS36=0,"não devolve","+"&amp;IF($OI36=1,CEILING($MS36/2,1),$MS36)))</f>
        <v/>
      </c>
      <c r="QR36" s="164">
        <f>IF(OR($ND36=0,$NC36=""),"",IF($MS36=0,"não devolve","+"&amp;IF($OJ36=1,CEILING($MS36/2,1),$MS36)))</f>
        <v/>
      </c>
      <c r="RK36">
        <f>IF($MX36="","",IFERROR(VLOOKUP(SUBSTITUTE(SUBSTITUTE(SUBSTITUTE($MX36,"~","~~"),"*","~*"),"?","~?"),'DADOS_MELHORIAS'!$O$2:$X$113,10,FALSE),$MX36))</f>
        <v/>
      </c>
      <c r="RL36">
        <f>IF($MY36="","",IFERROR(VLOOKUP(SUBSTITUTE(SUBSTITUTE(SUBSTITUTE($MY36,"~","~~"),"*","~*"),"?","~?"),'DADOS_MELHORIAS'!$O$2:$X$113,10,FALSE),$MY36))</f>
        <v/>
      </c>
      <c r="RM36">
        <f>IF($MZ36="","",IFERROR(VLOOKUP(SUBSTITUTE(SUBSTITUTE(SUBSTITUTE($MZ36,"~","~~"),"*","~*"),"?","~?"),'DADOS_MELHORIAS'!$O$2:$X$113,10,FALSE),$MZ36))</f>
        <v/>
      </c>
      <c r="RN36">
        <f>IF($NA36="","",IFERROR(VLOOKUP(SUBSTITUTE(SUBSTITUTE(SUBSTITUTE($NA36,"~","~~"),"*","~*"),"?","~?"),'DADOS_MELHORIAS'!$O$2:$X$113,10,FALSE),$NA36))</f>
        <v/>
      </c>
      <c r="RO36">
        <f>IFERROR(INDEX('DADOS_FORMAS'!$BJ$2:$BJ$21,MATCH(SUBSTITUTE(SUBSTITUTE(SUBSTITUTE($MU36,"~","~~"),"*","~*"),"?","~?"),'DADOS_FORMAS'!$AH$2:$AH$21,0)),"")</f>
        <v/>
      </c>
      <c r="RP36">
        <f>IFERROR(VLOOKUP(SUBSTITUTE(SUBSTITUTE(SUBSTITUTE(IFERROR(INDEX('DADOS_FORMAS'!$AS$2:$AS$21,MATCH(SUBSTITUTE(SUBSTITUTE(SUBSTITUTE($MU36,"~","~~"),"*","~*"),"?","~?"),'DADOS_FORMAS'!$AH$2:$AH$21,0)),""),"~","~~"),"*","~*"),"?","~?"),'DADOS_RESTRICOES'!$M$2:$Q$54,2,FALSE),"")</f>
        <v/>
      </c>
      <c r="RQ36">
        <f>$OK36</f>
        <v/>
      </c>
      <c r="RR36">
        <f>$OL36</f>
        <v/>
      </c>
      <c r="RS36">
        <f>$RP36</f>
        <v/>
      </c>
    </row>
    <row r="37">
      <c r="AH37" s="162" t="inlineStr">
        <is>
          <t>Onda · classe 7</t>
        </is>
      </c>
      <c r="AI37" s="162" t="inlineStr">
        <is>
          <t>Raio 4,5 m, nela</t>
        </is>
      </c>
      <c r="AJ37" s="162" t="inlineStr">
        <is>
          <t>Raio 6 m, nela</t>
        </is>
      </c>
      <c r="AK37" s="162" t="inlineStr">
        <is>
          <t>Raio 9 m, nela</t>
        </is>
      </c>
      <c r="AL37" s="162" t="inlineStr">
        <is>
          <t>Raio 15 m, nela</t>
        </is>
      </c>
      <c r="AM37" s="162" t="inlineStr">
        <is>
          <t>Raio 15 m, nela</t>
        </is>
      </c>
      <c r="AN37" s="162" t="inlineStr">
        <is>
          <t>Raio 15 m, nela</t>
        </is>
      </c>
      <c r="AO37" s="162" t="inlineStr"/>
      <c r="AP37" s="162" t="inlineStr"/>
      <c r="AQ37" s="162" t="inlineStr"/>
      <c r="AR37" s="162" t="inlineStr"/>
      <c r="AS37" s="162" t="inlineStr"/>
      <c r="AT37" s="162" t="inlineStr"/>
      <c r="AV37" s="162" t="inlineStr">
        <is>
          <t>Terreno</t>
        </is>
      </c>
      <c r="AW37" s="162" t="inlineStr">
        <is>
          <t>Controle</t>
        </is>
      </c>
      <c r="AX37" s="164" t="n">
        <v>1</v>
      </c>
      <c r="AY37" s="164" t="n">
        <v>1</v>
      </c>
      <c r="AZ37" s="164" t="n">
        <v>0</v>
      </c>
      <c r="BA37" s="164" t="n">
        <v>0</v>
      </c>
      <c r="JT37" s="164">
        <f>IF(OR($AW37="",(COUNTIF($EL$2:$EP$2,$AW37)+COUNTIF($QV$2:$QY$2,$AW37))&gt;0),$AV37,"")</f>
        <v/>
      </c>
      <c r="JU37" s="164">
        <f>IF(AND($AX37=1,OR($AW37="",(COUNTIF($EL$2:$EP$2,$AW37)+COUNTIF($QV$2:$QY$2,$AW37))&gt;0)),$AV37,"")</f>
        <v/>
      </c>
      <c r="JZ37" s="164">
        <f>IF(OR($AW37="",(COUNTIF($EL$3:$EP$3,$AW37)+COUNTIF($QV$3:$QY$3,$AW37))&gt;0),$AV37,"")</f>
        <v/>
      </c>
      <c r="KA37" s="164">
        <f>IF(AND($AX37=1,OR($AW37="",(COUNTIF($EL$3:$EP$3,$AW37)+COUNTIF($QV$3:$QY$3,$AW37))&gt;0)),$AV37,"")</f>
        <v/>
      </c>
      <c r="KF37" s="164">
        <f>IF(OR($AW37="",(COUNTIF($EL$4:$EP$4,$AW37)+COUNTIF($QV$4:$QY$4,$AW37))&gt;0),$AV37,"")</f>
        <v/>
      </c>
      <c r="KG37" s="164">
        <f>IF(AND($AX37=1,OR($AW37="",(COUNTIF($EL$4:$EP$4,$AW37)+COUNTIF($QV$4:$QY$4,$AW37))&gt;0)),$AV37,"")</f>
        <v/>
      </c>
      <c r="KL37" s="164">
        <f>IF(OR($AW37="",(COUNTIF($EL$5:$EP$5,$AW37)+COUNTIF($QV$5:$QY$5,$AW37))&gt;0),$AV37,"")</f>
        <v/>
      </c>
      <c r="KM37" s="164">
        <f>IF(AND($AX37=1,OR($AW37="",(COUNTIF($EL$5:$EP$5,$AW37)+COUNTIF($QV$5:$QY$5,$AW37))&gt;0)),$AV37,"")</f>
        <v/>
      </c>
      <c r="KR37" s="164">
        <f>IF(OR($AW37="",(COUNTIF($EL$6:$EP$6,$AW37)+COUNTIF($QV$6:$QY$6,$AW37))&gt;0),$AV37,"")</f>
        <v/>
      </c>
      <c r="KS37" s="164">
        <f>IF(AND($AX37=1,OR($AW37="",(COUNTIF($EL$6:$EP$6,$AW37)+COUNTIF($QV$6:$QY$6,$AW37))&gt;0)),$AV37,"")</f>
        <v/>
      </c>
      <c r="KX37" s="164">
        <f>IF(OR($AW37="",(COUNTIF($EL$7:$EP$7,$AW37)+COUNTIF($QV$7:$QY$7,$AW37))&gt;0),$AV37,"")</f>
        <v/>
      </c>
      <c r="KY37" s="164">
        <f>IF(AND($AX37=1,OR($AW37="",(COUNTIF($EL$7:$EP$7,$AW37)+COUNTIF($QV$7:$QY$7,$AW37))&gt;0)),$AV37,"")</f>
        <v/>
      </c>
      <c r="LD37" s="164">
        <f>IF(OR($AW37="",(COUNTIF($EL$8:$EP$8,$AW37)+COUNTIF($QV$8:$QY$8,$AW37))&gt;0),$AV37,"")</f>
        <v/>
      </c>
      <c r="LE37" s="164">
        <f>IF(AND($AX37=1,OR($AW37="",(COUNTIF($EL$8:$EP$8,$AW37)+COUNTIF($QV$8:$QY$8,$AW37))&gt;0)),$AV37,"")</f>
        <v/>
      </c>
      <c r="LJ37" s="164">
        <f>IF(OR($AW37="",(COUNTIF($EL$9:$EP$9,$AW37)+COUNTIF($QV$9:$QY$9,$AW37))&gt;0),$AV37,"")</f>
        <v/>
      </c>
      <c r="LK37" s="164">
        <f>IF(AND($AX37=1,OR($AW37="",(COUNTIF($EL$9:$EP$9,$AW37)+COUNTIF($QV$9:$QY$9,$AW37))&gt;0)),$AV37,"")</f>
        <v/>
      </c>
      <c r="LP37" s="164">
        <f>IF(OR($AW37="",(COUNTIF($EL$10:$EP$10,$AW37)+COUNTIF($QV$10:$QY$10,$AW37))&gt;0),$AV37,"")</f>
        <v/>
      </c>
      <c r="LQ37" s="164">
        <f>IF(AND($AX37=1,OR($AW37="",(COUNTIF($EL$10:$EP$10,$AW37)+COUNTIF($QV$10:$QY$10,$AW37))&gt;0)),$AV37,"")</f>
        <v/>
      </c>
      <c r="LV37" s="164">
        <f>IF(OR($AW37="",(COUNTIF($EL$11:$EP$11,$AW37)+COUNTIF($QV$11:$QY$11,$AW37))&gt;0),$AV37,"")</f>
        <v/>
      </c>
      <c r="LW37" s="164">
        <f>IF(AND($AX37=1,OR($AW37="",(COUNTIF($EL$11:$EP$11,$AW37)+COUNTIF($QV$11:$QY$11,$AW37))&gt;0)),$AV37,"")</f>
        <v/>
      </c>
      <c r="MB37" s="164">
        <f>IF(OR($AW37="",(COUNTIF($EL$12:$EP$12,$AW37)+COUNTIF($QV$12:$QY$12,$AW37))&gt;0),$AV37,"")</f>
        <v/>
      </c>
      <c r="MC37" s="164">
        <f>IF(AND($AX37=1,OR($AW37="",(COUNTIF($EL$12:$EP$12,$AW37)+COUNTIF($QV$12:$QY$12,$AW37))&gt;0)),$AV37,"")</f>
        <v/>
      </c>
      <c r="MH37" s="164">
        <f>IF(OR($AW37="",(COUNTIF($EL$13:$EP$13,$AW37)+COUNTIF($QV$13:$QY$13,$AW37))&gt;0),$AV37,"")</f>
        <v/>
      </c>
      <c r="MI37" s="164">
        <f>IF(AND($AX37=1,OR($AW37="",(COUNTIF($EL$13:$EP$13,$AW37)+COUNTIF($QV$13:$QY$13,$AW37))&gt;0)),$AV37,"")</f>
        <v/>
      </c>
      <c r="MN37" s="162" t="inlineStr">
        <is>
          <t>Ficha 3 · Especial 8</t>
        </is>
      </c>
      <c r="MO37" s="164" t="n">
        <v>3</v>
      </c>
      <c r="MP37" s="164" t="n">
        <v>1</v>
      </c>
      <c r="MQ37" s="164" t="n">
        <v>28</v>
      </c>
      <c r="MR37" s="162" t="inlineStr">
        <is>
          <t>ESPECIAL 8</t>
        </is>
      </c>
      <c r="MS37" s="164">
        <f>MAX(1,MIN(7,N('INVOCAÇÕES'!$I$571)))</f>
        <v/>
      </c>
      <c r="MT37" s="164">
        <f>'INVOCAÇÕES'!$J$571&amp;""</f>
        <v/>
      </c>
      <c r="MU37" s="164">
        <f>'INVOCAÇÕES'!$I$576&amp;""</f>
        <v/>
      </c>
      <c r="MV37" s="164">
        <f>'INVOCAÇÕES'!$I$577&amp;""</f>
        <v/>
      </c>
      <c r="MW37" s="164">
        <f>'INVOCAÇÕES'!$K$577&amp;""</f>
        <v/>
      </c>
      <c r="MX37" s="164">
        <f>'INVOCAÇÕES'!$J$580&amp;""</f>
        <v/>
      </c>
      <c r="MY37" s="164">
        <f>'INVOCAÇÕES'!$J$581&amp;""</f>
        <v/>
      </c>
      <c r="MZ37" s="164">
        <f>'INVOCAÇÕES'!$J$582&amp;""</f>
        <v/>
      </c>
      <c r="NA37" s="164">
        <f>'INVOCAÇÕES'!$J$583&amp;""</f>
        <v/>
      </c>
      <c r="NB37" s="164">
        <f>'INVOCAÇÕES'!$J$584&amp;""</f>
        <v/>
      </c>
      <c r="NC37" s="164">
        <f>'INVOCAÇÕES'!$J$585&amp;""</f>
        <v/>
      </c>
      <c r="ND37" s="164">
        <f>IF($MT37&lt;&gt;"",1,0)</f>
        <v/>
      </c>
      <c r="NE37" s="164">
        <f>INDEX($FO$2:$FO$13,$MO37)</f>
        <v/>
      </c>
      <c r="NF37" s="164">
        <f>INDEX($FP$2:$FP$13,$MO37)</f>
        <v/>
      </c>
      <c r="NG37" s="164">
        <f>INDEX($FQ$2:$FQ$13,$MO37)</f>
        <v/>
      </c>
      <c r="NH37" s="164">
        <f>INDEX($GB$2:$GB$13,$MO37)</f>
        <v/>
      </c>
      <c r="NI37" s="164">
        <f>INDEX($GC$2:$GC$13,$MO37)</f>
        <v/>
      </c>
      <c r="NJ37" s="164">
        <f>IFERROR(MATCH(SUBSTITUTE(SUBSTITUTE(SUBSTITUTE($MU37,"~","~~"),"*","~*"),"?","~?"),'DADOS_FORMAS'!$FZ$2:$FZ$21,0),0)</f>
        <v/>
      </c>
      <c r="NK37" s="164">
        <f>IFERROR(VLOOKUP(SUBSTITUTE(SUBSTITUTE(SUBSTITUTE($MX37,"~","~~"),"*","~*"),"?","~?"),'DADOS_MELHORIAS'!$AG$2:$AL$113,2,FALSE),"")</f>
        <v/>
      </c>
      <c r="NL37" s="164">
        <f>IFERROR(VLOOKUP(SUBSTITUTE(SUBSTITUTE(SUBSTITUTE($MY37,"~","~~"),"*","~*"),"?","~?"),'DADOS_MELHORIAS'!$AG$2:$AL$113,2,FALSE),"")</f>
        <v/>
      </c>
      <c r="NM37" s="164">
        <f>IFERROR(VLOOKUP(SUBSTITUTE(SUBSTITUTE(SUBSTITUTE($MZ37,"~","~~"),"*","~*"),"?","~?"),'DADOS_MELHORIAS'!$AG$2:$AL$113,2,FALSE),"")</f>
        <v/>
      </c>
      <c r="NN37" s="164">
        <f>IFERROR(VLOOKUP(SUBSTITUTE(SUBSTITUTE(SUBSTITUTE($NA37,"~","~~"),"*","~*"),"?","~?"),'DADOS_MELHORIAS'!$AG$2:$AL$113,2,FALSE),"")</f>
        <v/>
      </c>
      <c r="NO37" s="164">
        <f>IFERROR(VLOOKUP(SUBSTITUTE(SUBSTITUTE(SUBSTITUTE($MX37,"~","~~"),"*","~*"),"?","~?"),'DADOS_MELHORIAS'!$AG$2:$AL$113,3,FALSE),0)</f>
        <v/>
      </c>
      <c r="NP37" s="164">
        <f>IFERROR(VLOOKUP(SUBSTITUTE(SUBSTITUTE(SUBSTITUTE($MY37,"~","~~"),"*","~*"),"?","~?"),'DADOS_MELHORIAS'!$AG$2:$AL$113,3,FALSE),0)</f>
        <v/>
      </c>
      <c r="NQ37" s="164">
        <f>IFERROR(VLOOKUP(SUBSTITUTE(SUBSTITUTE(SUBSTITUTE($MZ37,"~","~~"),"*","~*"),"?","~?"),'DADOS_MELHORIAS'!$AG$2:$AL$113,3,FALSE),0)</f>
        <v/>
      </c>
      <c r="NR37" s="164">
        <f>IFERROR(VLOOKUP(SUBSTITUTE(SUBSTITUTE(SUBSTITUTE($NA37,"~","~~"),"*","~*"),"?","~?"),'DADOS_MELHORIAS'!$AG$2:$AL$113,3,FALSE),0)</f>
        <v/>
      </c>
      <c r="NS37" s="164">
        <f>IF($MS37=0,0,IF($NJ37=0,0,INDEX('DADOS_FORMAS'!$GB$2:$GB$21,$NJ37)))</f>
        <v/>
      </c>
      <c r="NT37" s="164">
        <f>IF(OR($NO37=0,$MS37=0),0,$NO37+3*IF(AND($NK37&lt;&gt;"",COUNTIF(INDEX($RB$2:$RJ$13,$MO37,0),$NK37)&gt;0),1,0))</f>
        <v/>
      </c>
      <c r="NU37" s="164">
        <f>IF(OR($NP37=0,$MS37=0),0,$NP37+3*IF(AND($NL37&lt;&gt;"",COUNTIF(INDEX($RB$2:$RJ$13,$MO37,0),$NL37)&gt;0),1,0))</f>
        <v/>
      </c>
      <c r="NV37" s="164">
        <f>IF(OR($NQ37=0,$MS37=0),0,$NQ37+3*IF(AND($NM37&lt;&gt;"",COUNTIF(INDEX($RB$2:$RJ$13,$MO37,0),$NM37)&gt;0),1,0))</f>
        <v/>
      </c>
      <c r="NW37" s="164">
        <f>IF(OR($NR37=0,$MS37=0),0,$NR37+3*IF(AND($NN37&lt;&gt;"",COUNTIF(INDEX($RB$2:$RJ$13,$MO37,0),$NN37)&gt;0),1,0))</f>
        <v/>
      </c>
      <c r="NX37" s="164">
        <f>IF($NJ37=0,0,IF(INDEX('DADOS_FORMAS'!$GA$2:$GA$21,$NJ37)="",0,IF((COUNTIF(INDEX($EL$2:$EP$13,$MO37,0),INDEX('DADOS_FORMAS'!$GA$2:$GA$21,$NJ37))+COUNTIF(INDEX($QV$2:$QY$13,$MO37,0),INDEX('DADOS_FORMAS'!$GA$2:$GA$21,$NJ37)))=0,1,0)))</f>
        <v/>
      </c>
      <c r="NY37" s="164">
        <f>IF(OR($NO37=0,$NK37=""),0,IF((COUNTIF(INDEX($EL$2:$EP$13,$MO37,0),$NK37)+COUNTIF(INDEX($QV$2:$QY$13,$MO37,0),$NK37))=0,1,0))</f>
        <v/>
      </c>
      <c r="NZ37" s="164">
        <f>IF(OR($NP37=0,$NL37=""),0,IF((COUNTIF(INDEX($EL$2:$EP$13,$MO37,0),$NL37)+COUNTIF(INDEX($QV$2:$QY$13,$MO37,0),$NL37))=0,1,0))</f>
        <v/>
      </c>
      <c r="OA37" s="164">
        <f>IF(OR($NQ37=0,$NM37=""),0,IF((COUNTIF(INDEX($EL$2:$EP$13,$MO37,0),$NM37)+COUNTIF(INDEX($QV$2:$QY$13,$MO37,0),$NM37))=0,1,0))</f>
        <v/>
      </c>
      <c r="OB37" s="164">
        <f>IF(OR($NR37=0,$NN37=""),0,IF((COUNTIF(INDEX($EL$2:$EP$13,$MO37,0),$NN37)+COUNTIF(INDEX($QV$2:$QY$13,$MO37,0),$NN37))=0,1,0))</f>
        <v/>
      </c>
      <c r="OC37" s="164">
        <f>IFERROR(VLOOKUP(SUBSTITUTE(SUBSTITUTE(SUBSTITUTE($MX37,"~","~~"),"*","~*"),"?","~?"),'DADOS_MELHORIAS'!$AG$2:$AL$113,4,FALSE),0)+IFERROR(VLOOKUP(SUBSTITUTE(SUBSTITUTE(SUBSTITUTE($MY37,"~","~~"),"*","~*"),"?","~?"),'DADOS_MELHORIAS'!$AG$2:$AL$113,4,FALSE),0)+IFERROR(VLOOKUP(SUBSTITUTE(SUBSTITUTE(SUBSTITUTE($MZ37,"~","~~"),"*","~*"),"?","~?"),'DADOS_MELHORIAS'!$AG$2:$AL$113,4,FALSE),0)+IFERROR(VLOOKUP(SUBSTITUTE(SUBSTITUTE(SUBSTITUTE($NA37,"~","~~"),"*","~*"),"?","~?"),'DADOS_MELHORIAS'!$AG$2:$AL$113,4,FALSE),0)</f>
        <v/>
      </c>
      <c r="OD37" s="164">
        <f>IFERROR(VLOOKUP(SUBSTITUTE(SUBSTITUTE(SUBSTITUTE($MX37,"~","~~"),"*","~*"),"?","~?"),'DADOS_MELHORIAS'!$AG$2:$AL$113,6,FALSE),0)+IFERROR(VLOOKUP(SUBSTITUTE(SUBSTITUTE(SUBSTITUTE($MY37,"~","~~"),"*","~*"),"?","~?"),'DADOS_MELHORIAS'!$AG$2:$AL$113,6,FALSE),0)+IFERROR(VLOOKUP(SUBSTITUTE(SUBSTITUTE(SUBSTITUTE($MZ37,"~","~~"),"*","~*"),"?","~?"),'DADOS_MELHORIAS'!$AG$2:$AL$113,6,FALSE),0)+IFERROR(VLOOKUP(SUBSTITUTE(SUBSTITUTE(SUBSTITUTE($NA37,"~","~~"),"*","~*"),"?","~?"),'DADOS_MELHORIAS'!$AG$2:$AL$113,6,FALSE),0)+IFERROR(N(AND(INDEX('DADOS_FORMAS'!$AO$2:$AO$21,MATCH(SUBSTITUTE(SUBSTITUTE(SUBSTITUTE($MU37,"~","~~"),"*","~*"),"?","~?"),'DADOS_FORMAS'!$AH$2:$AH$21,0))="Acerto",$OH37=1)),0)</f>
        <v/>
      </c>
      <c r="OE37" s="164">
        <f>TEXTJOIN(", ",TRUE,IF(IFERROR(VLOOKUP(SUBSTITUTE(SUBSTITUTE(SUBSTITUTE($MX37,"~","~~"),"*","~*"),"?","~?"),'DADOS_MELHORIAS'!$AG$2:$AL$113,5,FALSE),0)=1,$MX37,""),IF(IFERROR(VLOOKUP(SUBSTITUTE(SUBSTITUTE(SUBSTITUTE($MY37,"~","~~"),"*","~*"),"?","~?"),'DADOS_MELHORIAS'!$AG$2:$AL$113,5,FALSE),0)=1,$MY37,""),IF(IFERROR(VLOOKUP(SUBSTITUTE(SUBSTITUTE(SUBSTITUTE($MZ37,"~","~~"),"*","~*"),"?","~?"),'DADOS_MELHORIAS'!$AG$2:$AL$113,5,FALSE),0)=1,$MZ37,""),IF(IFERROR(VLOOKUP(SUBSTITUTE(SUBSTITUTE(SUBSTITUTE($NA37,"~","~~"),"*","~*"),"?","~?"),'DADOS_MELHORIAS'!$AG$2:$AL$113,5,FALSE),0)=1,$NA37,""))</f>
        <v/>
      </c>
      <c r="OF37" s="164">
        <f>IF($NJ37=0,0,INDEX('DADOS_FORMAS'!$GC$2:$GC$21,$NJ37))</f>
        <v/>
      </c>
      <c r="OG37" s="164">
        <f>IF($NJ37=0,0,INDEX('DADOS_FORMAS'!$GD$2:$GD$21,$NJ37))</f>
        <v/>
      </c>
      <c r="OH37" s="164">
        <f>IF($NJ37=0,0,INDEX('DADOS_FORMAS'!$GF$2:$GF$21,$NJ37))</f>
        <v/>
      </c>
      <c r="OI37" s="164">
        <f>IFERROR(VLOOKUP(SUBSTITUTE(SUBSTITUTE(SUBSTITUTE($NB37,"~","~~"),"*","~*"),"?","~?"),'DADOS_RESTRICOES'!$M$2:$Q$54,3,FALSE),0)</f>
        <v/>
      </c>
      <c r="OJ37" s="164">
        <f>IFERROR(VLOOKUP(SUBSTITUTE(SUBSTITUTE(SUBSTITUTE($NC37,"~","~~"),"*","~*"),"?","~?"),'DADOS_RESTRICOES'!$M$2:$Q$54,3,FALSE),0)</f>
        <v/>
      </c>
      <c r="OK37" s="164">
        <f>IFERROR(VLOOKUP(SUBSTITUTE(SUBSTITUTE(SUBSTITUTE($NB37,"~","~~"),"*","~*"),"?","~?"),'DADOS_RESTRICOES'!$M$2:$Q$54,2,FALSE),"")</f>
        <v/>
      </c>
      <c r="OL37" s="164">
        <f>IFERROR(VLOOKUP(SUBSTITUTE(SUBSTITUTE(SUBSTITUTE($NC37,"~","~~"),"*","~*"),"?","~?"),'DADOS_RESTRICOES'!$M$2:$Q$54,2,FALSE),"")</f>
        <v/>
      </c>
      <c r="OM37" s="164">
        <f>COUNTIF($NS37:$NW37,1)</f>
        <v/>
      </c>
      <c r="ON37" s="164">
        <f>COUNTIF($NS37:$NW37,2)</f>
        <v/>
      </c>
      <c r="OO37" s="164">
        <f>COUNTIF($NS37:$NW37,3)</f>
        <v/>
      </c>
      <c r="OP37" s="164">
        <f>COUNTIF($NS37:$NW37,4)</f>
        <v/>
      </c>
      <c r="OQ37" s="164">
        <f>COUNTIF($NS37:$NW37,5)</f>
        <v/>
      </c>
      <c r="OR37" s="164">
        <f>COUNTIF($NS37:$NW37,6)</f>
        <v/>
      </c>
      <c r="OS37" s="164">
        <f>COUNTIF($OI37:$OJ37,1)+IF(IFERROR(INDEX('DADOS_FORMAS'!$AS$2:$AS$21,MATCH(SUBSTITUTE(SUBSTITUTE(SUBSTITUTE($MU37,"~","~~"),"*","~*"),"?","~?"),'DADOS_FORMAS'!$AH$2:$AH$21,0)),"")="",0,IFERROR(N(VLOOKUP(SUBSTITUTE(SUBSTITUTE(SUBSTITUTE(IFERROR(INDEX('DADOS_FORMAS'!$AS$2:$AS$21,MATCH(SUBSTITUTE(SUBSTITUTE(SUBSTITUTE($MU37,"~","~~"),"*","~*"),"?","~?"),'DADOS_FORMAS'!$AH$2:$AH$21,0)),""),"~","~~"),"*","~*"),"?","~?"),'DADOS_RESTRICOES'!$M$2:$Q$54,3,FALSE)=1),0))</f>
        <v/>
      </c>
      <c r="OT37" s="164">
        <f>COUNTIF($OI37:$OJ37,2)+IF(IFERROR(INDEX('DADOS_FORMAS'!$AS$2:$AS$21,MATCH(SUBSTITUTE(SUBSTITUTE(SUBSTITUTE($MU37,"~","~~"),"*","~*"),"?","~?"),'DADOS_FORMAS'!$AH$2:$AH$21,0)),"")="",0,IFERROR(N(VLOOKUP(SUBSTITUTE(SUBSTITUTE(SUBSTITUTE(IFERROR(INDEX('DADOS_FORMAS'!$AS$2:$AS$21,MATCH(SUBSTITUTE(SUBSTITUTE(SUBSTITUTE($MU37,"~","~~"),"*","~*"),"?","~?"),'DADOS_FORMAS'!$AH$2:$AH$21,0)),""),"~","~~"),"*","~*"),"?","~?"),'DADOS_RESTRICOES'!$M$2:$Q$54,3,FALSE)=2),0))</f>
        <v/>
      </c>
      <c r="OU37" s="164">
        <f>COUNTIF($MX37:$NA37,"?*")</f>
        <v/>
      </c>
      <c r="OV37" s="164">
        <f>COUNTIF($NB37:$NC37,"?*")+$OF37</f>
        <v/>
      </c>
      <c r="OW37" s="164">
        <f>IF($MS37=0,0,SUMPRODUCT($OM37:$OR37,INDEX($I$2:$N$8,MAX(1,$MS37),0)))</f>
        <v/>
      </c>
      <c r="OX37" s="164">
        <f>IF($MS37=0,0,$OS37*CEILING($MS37/2,1)+$OT37*$MS37)</f>
        <v/>
      </c>
      <c r="OY37" s="164">
        <f>MIN(2*$MS37,$OX37)</f>
        <v/>
      </c>
      <c r="OZ37" s="164">
        <f>MIN($OY37,$OW37-IF($NS37=0,0,INDEX($I$2:$N$8,MAX(1,$MS37),$NS37)))</f>
        <v/>
      </c>
      <c r="PA37" s="164">
        <f>$OY37-$OZ37</f>
        <v/>
      </c>
      <c r="PB37" s="164">
        <f>IF($MS37=0,0,INDEX($P$2:$P$8,MAX(1,$MS37)))</f>
        <v/>
      </c>
      <c r="PC37" s="164">
        <f>$PB37-$OW37+$OZ37</f>
        <v/>
      </c>
      <c r="PD37" s="164">
        <f>IF($MS37=0,MAX(0,$NG37-IF(AND($OU37&gt;0,COUNTIF($NB37:$NC37,"?*")=0),1,0)),MAX(0,$PC37))</f>
        <v/>
      </c>
      <c r="PE37" s="164">
        <f>IF($MS37=0,0,(IF(COUNTIF($RK37:$RN37,"Salto")&gt;0,1,0)+IF(COUNTIF($RK37:$RN37,"Queima")&gt;0,1,0)+IF(COUNTIF($RK37:$RN37,"Estilhaço")&gt;0,1,0))*FLOOR($PD37/2,1))</f>
        <v/>
      </c>
      <c r="PF37" s="164">
        <f>MAX(0,2-SUMPRODUCT($OM37:$OR37,$I$2:$N$2)+MIN(2,$OS37*1+$OT37*1,SUMPRODUCT($OM37:$OR37,$I$2:$N$2)-IF($NS37=0,0,INDEX($I$2:$N$2,1,$NS37))))</f>
        <v/>
      </c>
      <c r="PG37" s="164">
        <f>MAX(0,4-SUMPRODUCT($OM37:$OR37,$I$3:$N$3)+MIN(4,$OS37*1+$OT37*2,SUMPRODUCT($OM37:$OR37,$I$3:$N$3)-IF($NS37=0,0,INDEX($I$3:$N$3,1,$NS37))))</f>
        <v/>
      </c>
      <c r="PH37" s="164">
        <f>MAX(0,6-SUMPRODUCT($OM37:$OR37,$I$4:$N$4)+MIN(6,$OS37*2+$OT37*3,SUMPRODUCT($OM37:$OR37,$I$4:$N$4)-IF($NS37=0,0,INDEX($I$4:$N$4,1,$NS37))))</f>
        <v/>
      </c>
      <c r="PI37" s="164">
        <f>MAX(0,9-SUMPRODUCT($OM37:$OR37,$I$5:$N$5)+MIN(8,$OS37*2+$OT37*4,SUMPRODUCT($OM37:$OR37,$I$5:$N$5)-IF($NS37=0,0,INDEX($I$5:$N$5,1,$NS37))))</f>
        <v/>
      </c>
      <c r="PJ37" s="164">
        <f>MAX(0,11-SUMPRODUCT($OM37:$OR37,$I$6:$N$6)+MIN(10,$OS37*3+$OT37*5,SUMPRODUCT($OM37:$OR37,$I$6:$N$6)-IF($NS37=0,0,INDEX($I$6:$N$6,1,$NS37))))</f>
        <v/>
      </c>
      <c r="PK37" s="164">
        <f>MAX(0,13-SUMPRODUCT($OM37:$OR37,$I$7:$N$7)+MIN(12,$OS37*3+$OT37*6,SUMPRODUCT($OM37:$OR37,$I$7:$N$7)-IF($NS37=0,0,INDEX($I$7:$N$7,1,$NS37))))</f>
        <v/>
      </c>
      <c r="PL37" s="164">
        <f>MAX(0,16-SUMPRODUCT($OM37:$OR37,$I$8:$N$8)+MIN(14,$OS37*4+$OT37*7,SUMPRODUCT($OM37:$OR37,$I$8:$N$8)-IF($NS37=0,0,INDEX($I$8:$N$8,1,$NS37))))</f>
        <v/>
      </c>
      <c r="PM37" s="164">
        <f>IF($OG37=2,3*$PF37&amp;" de vida temp.",IF($OG37=3,"sem dano",IF($PF37=0,IF($OG37=1,"sem cura","sem dano"),IF($OG37=1,"cura ","")&amp;$PF37&amp;"d8")))</f>
        <v/>
      </c>
      <c r="PN37" s="164">
        <f>IF($OG37=2,3*$PG37&amp;" de vida temp.",IF($OG37=3,"sem dano",IF($PG37=0,IF($OG37=1,"sem cura","sem dano"),IF($OG37=1,"cura ","")&amp;$PG37&amp;"d8")))</f>
        <v/>
      </c>
      <c r="PO37" s="164">
        <f>IF($OG37=2,3*$PH37&amp;" de vida temp.",IF($OG37=3,"sem dano",IF($PH37=0,IF($OG37=1,"sem cura","sem dano"),IF($OG37=1,"cura ","")&amp;$PH37&amp;"d8")))</f>
        <v/>
      </c>
      <c r="PP37" s="164">
        <f>IF($OG37=2,3*$PI37&amp;" de vida temp.",IF($OG37=3,"sem dano",IF($PI37=0,IF($OG37=1,"sem cura","sem dano"),IF($OG37=1,"cura ","")&amp;$PI37&amp;"d8")))</f>
        <v/>
      </c>
      <c r="PQ37" s="164">
        <f>IF($OG37=2,3*$PJ37&amp;" de vida temp.",IF($OG37=3,"sem dano",IF($PJ37=0,IF($OG37=1,"sem cura","sem dano"),IF($OG37=1,"cura ","")&amp;$PJ37&amp;"d8")))</f>
        <v/>
      </c>
      <c r="PR37" s="164">
        <f>IF($OG37=2,3*$PK37&amp;" de vida temp.",IF($OG37=3,"sem dano",IF($PK37=0,IF($OG37=1,"sem cura","sem dano"),IF($OG37=1,"cura ","")&amp;$PK37&amp;"d8")))</f>
        <v/>
      </c>
      <c r="PS37" s="164">
        <f>IF($OG37=2,3*$PL37&amp;" de vida temp.",IF($OG37=3,"sem dano",IF($PL37=0,IF($OG37=1,"sem cura","sem dano"),IF($OG37=1,"cura ","")&amp;$PL37&amp;"d8")))</f>
        <v/>
      </c>
      <c r="PT37" s="164">
        <f>IF($ND37=0,"",TEXTJOIN(" · ",TRUE,IF($ND37=0,"",TEXTJOIN(" · ",TRUE,IF($ND37=0,"",TEXTJOIN(" · ",TRUE,IF($MQ37&gt;$NE37,"Este lugar abre no nível "&amp;$MQ37,""),IF($MS37&gt;$NF37,"Classe "&amp;$MS37&amp;": o nível "&amp;$NE37&amp;" libera até a "&amp;$NF37,""),IF($NX37=1,"A Forma "&amp;$MU37&amp;" pede "&amp;INDEX('DADOS_FORMAS'!$GA$2:$GA$21,$NJ37)&amp;" aberta",""),IF(AND($MS37=0,$NJ37&gt;0,IF($NJ37=0,0,INDEX('DADOS_FORMAS'!$GJ$2:$GJ$21,$NJ37))=0),$MU37&amp;" não existe na Classe 0",""),IF($NY37=1,"Família Fechada: "&amp;$MX37,""),IF($NZ37=1,"Família Fechada: "&amp;$MY37,""),IF($OA37=1,"Família Fechada: "&amp;$MZ37,""),IF($OB37=1,"Família Fechada: "&amp;$NA37,""),IF(AND($MS37&gt;0,$OU37&gt;INDEX($O$2:$O$8,MAX(1,$MS37))),$OU37&amp;" Melhorias: a Classe "&amp;$MS37&amp;" aceita "&amp;INDEX($O$2:$O$8,MAX(1,$MS37)),""),IF(AND($MS37=0,$OU37&gt;1),"A básica aceita uma Melhoria",""),IF(AND($MS37=0,COUNTIF($NO37:$NR37,"&gt;1")&gt;0),"A básica só aceita Melhoria Leve",""),IF(AND($MS37&gt;0,$OV37&gt;2),$OV37&amp;" Restrições"&amp;IF($OF37=1,", contando a que a Forma "&amp;$MU37&amp;" já traz","")&amp;": o limite é 2",""),IF(AND($MS37=0,COUNTIF($NB37:$NC37,"?*")&gt;1),"A básica aceita uma Restrição Leve",""),IF(AND($MS37=0,COUNTIF($OI37:$OJ37,2)&gt;0),"A básica só aceita Restrição Leve",""),IF(AND($MS37&gt;0,$PC37&lt;0),"Orçamento estourado: faltam "&amp;(-$PC37)&amp;IF($PC37&lt;-1," pontos"," ponto"),""),IF(IFERROR(VLOOKUP(SUBSTITUTE(SUBSTITUTE(SUBSTITUTE($NB37,"~","~~"),"*","~*"),"?","~?"),'DADOS_RESTRICOES'!$M$2:$Q$54,4,FALSE),0)+IFERROR(VLOOKUP(SUBSTITUTE(SUBSTITUTE(SUBSTITUTE($NC37,"~","~~"),"*","~*"),"?","~?"),'DADOS_RESTRICOES'!$M$2:$Q$54,4,FALSE),0)&gt;1,$OK37&amp;" e "&amp;$OL37&amp;" são as duas de frequência",""),IF(AND((COUNTIF($RK37:$RN37,"Rápido")+COUNTIF($OK37:$OL37,"Rápido"))&gt;0,(COUNTIF($MX37:$NA37,"Atrasar")+COUNTIF($OK37:$OL37,"Atrasar"))&gt;0),"Rápido não entra com Atrasar",""),IF(AND((COUNTIF($RK37:$RN37,"Reação")+COUNTIF($OK37:$OL37,"Reação"))&gt;0,(COUNTIF($RK37:$RN37,"Rápido")+COUNTIF($OK37:$OL37,"Rápido"))&gt;0),"Reação não entra com Rápido",""),IF(AND((COUNTIF($RK37:$RN37,"Reação")+COUNTIF($OK37:$OL37,"Reação"))&gt;0,(COUNTIF($RK37:$RN37,"Armado")+COUNTIF($OK37:$OL37,"Armado"))&gt;0),"Reação não entra com Armado",""),IF(AND((COUNTIF($RK37:$RN37,"Reação")+COUNTIF($OK37:$OL37,"Reação"))&gt;0,(COUNTIF($MX37:$NA37,"Atrasar")+COUNTIF($OK37:$OL37,"Atrasar"))&gt;0),"Reação não entra com Atrasar",""),IF(AND((COUNTIF($RK37:$RN37,"Reação")+COUNTIF($OK37:$OL37,"Reação"))&gt;0,(COUNTIF($MX37:$NA37,"Parado")+COUNTIF($OK37:$OL37,"Parado"))&gt;0),"Reação não entra com Parado",""),IF(AND((COUNTIF($MX37:$NA37,"Atrasar")+COUNTIF($OK37:$OL37,"Atrasar"))&gt;0,(COUNTIF($MX37:$NA37,"Parado")+COUNTIF($OK37:$OL37,"Parado"))&gt;0),"Atrasar não entra com Parado",""),IF(AND((COUNTIF($RK37:$RN37,"Armado")+COUNTIF($OK37:$OL37,"Armado"))&gt;0,(COUNTIF($MX37:$NA37,"Carregar")+COUNTIF($OK37:$OL37,"Carregar"))&gt;0),"Armado não entra com Carregar",""),IF(AND(COUNTIF($OK37:$OL37,"Corpo a Corpo")&gt;0,$OF37=0,OR($RO37="Cone",$RO37="Linha")),"Corpo a Corpo não entra em "&amp;$MU37,""),IF(AND(COUNTIF($OK37:$OL37,"Corpo a Corpo")&gt;0,$RP37="Corpo a Corpo"),"A Forma "&amp;$MU37&amp;" já traz o Corpo a Corpo",""),IF(AND(COUNTIF($OK37:$OL37,"Tudo ou Nada")&gt;0,$OH37=0),"Tudo ou Nada só entra em habilidade de Teste de Resistência",""),IF(AND(COUNTIF($RK37:$RN37,"Inescapável")&gt;0,OR($OU37&gt;1,$OV37&gt;0)),"Inescapável não aceita outra peça",""),IF(AND($MS37&gt;0,$PD37*IF(COUNTIF($RK37:$RN37,"Remate")&gt;0,1.25,1)+$PE37&gt;4*$MS37),($PD37*IF(COUNTIF($RK37:$RN37,"Remate")&gt;0,1.25,1)+$PE37)&amp;" dados somando repetições"&amp;IF(COUNTIF($RK37:$RN37,"Remate")&gt;0," e o Remate","")&amp;": o teto da Classe "&amp;$MS37&amp;" é "&amp;4*$MS37,""))),IF(AND($MX37&lt;&gt;"",COUNTIF('DADOS_MELHORIAS'!$O$2:$O$113,SUBSTITUTE(SUBSTITUTE(SUBSTITUTE($MX37,"~","~~"),"*","~*"),"?","~?"))=0),"Melhoria não cadastrada ou com erro: "&amp;$MX37,""),IF(AND($MY37&lt;&gt;"",COUNTIF('DADOS_MELHORIAS'!$O$2:$O$113,SUBSTITUTE(SUBSTITUTE(SUBSTITUTE($MY37,"~","~~"),"*","~*"),"?","~?"))=0),"Melhoria não cadastrada ou com erro: "&amp;$MY37,""),IF(AND($MZ37&lt;&gt;"",COUNTIF('DADOS_MELHORIAS'!$O$2:$O$113,SUBSTITUTE(SUBSTITUTE(SUBSTITUTE($MZ37,"~","~~"),"*","~*"),"?","~?"))=0),"Melhoria não cadastrada ou com erro: "&amp;$MZ37,""),IF(AND($NA37&lt;&gt;"",COUNTIF('DADOS_MELHORIAS'!$O$2:$O$113,SUBSTITUTE(SUBSTITUTE(SUBSTITUTE($NA37,"~","~~"),"*","~*"),"?","~?"))=0),"Melhoria não cadastrada ou com erro: "&amp;$NA37,""),IF(AND($NB37&lt;&gt;"",COUNTIF('DADOS_RESTRICOES'!$M$2:$M$54,SUBSTITUTE(SUBSTITUTE(SUBSTITUTE($NB37,"~","~~"),"*","~*"),"?","~?"))=0),"Restrição não cadastrada ou com erro: "&amp;$NB37,""),IF(AND($NC37&lt;&gt;"",COUNTIF('DADOS_RESTRICOES'!$M$2:$M$54,SUBSTITUTE(SUBSTITUTE(SUBSTITUTE($NC37,"~","~~"),"*","~*"),"?","~?"))=0),"Restrição não cadastrada ou com erro: "&amp;$NC37,""))),IF(AND($MU37&lt;&gt;"",COUNTIF('DADOS_FORMAS'!$AH$2:$AH$21,SUBSTITUTE(SUBSTITUTE(SUBSTITUTE($MU37,"~","~~"),"*","~*"),"?","~?"))=0),"Forma não cadastrada ou com erro: "&amp;$MU37,""),IF(AND(IFERROR(INDEX('DADOS_FORMAS'!$AS$2:$AS$21,MATCH(SUBSTITUTE(SUBSTITUTE(SUBSTITUTE($MU37,"~","~~"),"*","~*"),"?","~?"),'DADOS_FORMAS'!$AH$2:$AH$21,0)),"")&lt;&gt;"",OR(IFERROR(VLOOKUP(SUBSTITUTE(SUBSTITUTE(SUBSTITUTE(IFERROR(INDEX('DADOS_FORMAS'!$AS$2:$AS$21,MATCH(SUBSTITUTE(SUBSTITUTE(SUBSTITUTE($MU37,"~","~~"),"*","~*"),"?","~?"),'DADOS_FORMAS'!$AH$2:$AH$21,0)),""),"~","~~"),"*","~*"),"?","~?"),'DADOS_RESTRICOES'!$M$2:$Q$54,2,FALSE),"")=$OK37,IFERROR(VLOOKUP(SUBSTITUTE(SUBSTITUTE(SUBSTITUTE(IFERROR(INDEX('DADOS_FORMAS'!$AS$2:$AS$21,MATCH(SUBSTITUTE(SUBSTITUTE(SUBSTITUTE($MU37,"~","~~"),"*","~*"),"?","~?"),'DADOS_FORMAS'!$AH$2:$AH$21,0)),""),"~","~~"),"*","~*"),"?","~?"),'DADOS_RESTRICOES'!$M$2:$Q$54,2,FALSE),"")=$OL37)),"Restrição repetida, contando a embutida",""),IF(IF(IFERROR(INDEX('DADOS_FORMAS'!$AS$2:$AS$21,MATCH(SUBSTITUTE(SUBSTITUTE(SUBSTITUTE($MU37,"~","~~"),"*","~*"),"?","~?"),'DADOS_FORMAS'!$AH$2:$AH$21,0)),"")="",0,IFERROR(N(VLOOKUP(SUBSTITUTE(SUBSTITUTE(SUBSTITUTE(IFERROR(INDEX('DADOS_FORMAS'!$AS$2:$AS$21,MATCH(SUBSTITUTE(SUBSTITUTE(SUBSTITUTE($MU37,"~","~~"),"*","~*"),"?","~?"),'DADOS_FORMAS'!$AH$2:$AH$21,0)),""),"~","~~"),"*","~*"),"?","~?"),'DADOS_RESTRICOES'!$M$2:$Q$54,4,FALSE)=1),0))+IF($NB37="",0,IFERROR(N(VLOOKUP(SUBSTITUTE(SUBSTITUTE(SUBSTITUTE($NB37,"~","~~"),"*","~*"),"?","~?"),'DADOS_RESTRICOES'!$M$2:$Q$54,4,FALSE)=1),0))+IF($NC37="",0,IFERROR(N(VLOOKUP(SUBSTITUTE(SUBSTITUTE(SUBSTITUTE($NC37,"~","~~"),"*","~*"),"?","~?"),'DADOS_RESTRICOES'!$M$2:$Q$54,4,FALSE)=1),0))&gt;1,"Duas Restrições de frequência, contando a embutida",""),IF(AND(IFERROR(VLOOKUP(SUBSTITUTE(SUBSTITUTE(SUBSTITUTE(IFERROR(INDEX('DADOS_FORMAS'!$AS$2:$AS$21,MATCH(SUBSTITUTE(SUBSTITUTE(SUBSTITUTE($MU37,"~","~~"),"*","~*"),"?","~?"),'DADOS_FORMAS'!$AH$2:$AH$21,0)),""),"~","~~"),"*","~*"),"?","~?"),'DADOS_RESTRICOES'!$M$2:$Q$54,2,FALSE),"")="Tudo ou Nada",$OH37=0),"Tudo ou Nada exige TR",""),IF(AND(IFERROR(VLOOKUP(SUBSTITUTE(SUBSTITUTE(SUBSTITUTE(IFERROR(INDEX('DADOS_FORMAS'!$AS$2:$AS$21,MATCH(SUBSTITUTE(SUBSTITUTE(SUBSTITUTE($MU37,"~","~~"),"*","~*"),"?","~?"),'DADOS_FORMAS'!$AH$2:$AH$21,0)),""),"~","~~"),"*","~*"),"?","~?"),'DADOS_RESTRICOES'!$M$2:$Q$54,2,FALSE),"")="Corpo a Corpo",OR($RO37="Cone",$RO37="Linha")),"Corpo a Corpo não entra em Cone/Linha","")))</f>
        <v/>
      </c>
      <c r="PU37" s="164">
        <f>IF($PT37="",0,(LEN($PT37)-LEN(SUBSTITUTE($PT37," · ","")))/3+1)</f>
        <v/>
      </c>
      <c r="PV37" s="164">
        <f>IF($ND37=0,"",TEXTJOIN(" · ",TRUE,IF($OX37&gt;2*$MS37,"A devolução parou no teto de "&amp;2*$MS37,""),IF($PA37&gt;0,"Devolução perdida: "&amp;$PA37&amp;IF($PA37&gt;1," pontos"," ponto")&amp;" sem Melhoria para pagar",""),IF(AND($OC37&gt;0,AND($MS37&gt;0,$OG37=0),$PD37=0),"Controle sem dano: uma rodada a mais e CD +2",""),IF(AND($OC37&gt;0,AND($MS37&gt;0,$OG37=0),$PD37&gt;0,$PD37&lt;=$MS37),"Controle com saldo até a Classe: uma rodada a mais",""),IF(AND($MS37&gt;0,$OE37&lt;&gt;""),"Efeito de "&amp;$OE37&amp;" pela Classe "&amp;MAX(1,$MS37-1),"")))</f>
        <v/>
      </c>
      <c r="PW37" s="164">
        <f>IF($PV37="",0,(LEN($PV37)-LEN(SUBSTITUTE($PV37," · ","")))/3+1)</f>
        <v/>
      </c>
      <c r="PX37" s="164">
        <f>IF($ND37=0,IF($OU37+COUNTIF($NB37:$NC37,"?*")&gt;0,"Dê um nome",""),IF($PU37&gt;0,"⚠ "&amp;$PU37&amp;IF($PU37&gt;1," erros"," erro"),IF($PW37&gt;0,"! "&amp;$PW37&amp;IF($PW37&gt;1," avisos"," aviso"),"Na regra")))</f>
        <v/>
      </c>
      <c r="PY37" s="164">
        <f>IF($ND37=0,"",IF($PU37+$PW37=0,"Dentro das regras que a ficha confere",$PT37&amp;IF(AND($PU37&gt;0,$PW37&gt;0)," · ","")&amp;$PV37))</f>
        <v/>
      </c>
      <c r="PZ37" s="164">
        <f>IF($MQ37&gt;$NE37,$MR37&amp;" · ABRE NO NÍVEL "&amp;$MQ37,$MR37)</f>
        <v/>
      </c>
      <c r="QA37" s="164">
        <f>IF($ND37=0,"",IF($MS37=0,"Sem PE",3*$MS37&amp;" PE"))</f>
        <v/>
      </c>
      <c r="QB37" s="164">
        <f>IF($ND37=0,"",IF($MS37=0,"A atuação básica dela",IF(COUNTIF($RQ37:$RS37,"Atrasar")&gt;0,"Sua Ação Completa",IF(COUNTIF($RK37:$RN37,"Rápido")&gt;0,"Sua Bônus",IF(COUNTIF($RK37:$RN37,"Reação")&gt;0,"Sua Reação","Sua Padrão")))&amp;" + a básica dela"&amp;IF(COUNTIF($RK37:$RN37,"Reação")&gt;0," e a coletiva","")&amp;IF(COUNTIF($RQ37:$RS37,"Carregar")&gt;0," · em dois turnos","")))</f>
        <v/>
      </c>
      <c r="QC37" s="164">
        <f>IF($MW37&lt;&gt;"",$MW37,IF($NJ37=0,"",INDEX('DADOS_FORMAS'!$GE$2:$GE$21,$NJ37)))</f>
        <v/>
      </c>
      <c r="QD37" s="164">
        <f>IF(OR($ND37=0,$NJ37=0),"",IF(COUNTIF($RK37:$RN37,"Inescapável")&gt;0,"Automático",IF($QC37="Ataque",IF($NH37="","Ataque","Ataque "&amp;IF(($NH37+2*IF(COUNTIF($RK37:$RN37,"Precisão")&gt;0,1,0))&gt;=0,"+","−")&amp;ABS(($NH37+2*IF(COUNTIF($RK37:$RN37,"Precisão")&gt;0,1,0))))&amp;IF($OD37&gt;0," · TR"&amp;IF($NI37="",""," CD "&amp;$NI37),""),IF(LEFT($QC37,2)="TR",$QC37&amp;IF($NI37="",""," · CD "&amp;$NI37)&amp;IF(COUNTIF($RK37:$RN37,"Certeiro")&gt;0," · metade",""),"Sem rolagem"))))</f>
        <v/>
      </c>
      <c r="QE37" s="164">
        <f>IF(OR($ND37=0,$NJ37=0),"",IF($MS37=0,IF(OR($OG37&gt;=1,$PD37=0),"Sem dano",$PD37&amp;"d6"&amp;IF($MV37="",""," "&amp;$MV37)),IF(OR($OG37&gt;=1,$PD37=0),UPPER(LEFT(INDEX($PM37:$PS37,1,MAX(1,$MS37)),1))&amp;MID(INDEX($PM37:$PS37,1,MAX(1,$MS37)),2,99),UPPER(LEFT(INDEX($PM37:$PS37,1,MAX(1,$MS37)),1))&amp;MID(INDEX($PM37:$PS37,1,MAX(1,$MS37)),2,99)&amp;IF($MV37="",""," "&amp;$MV37)&amp;IF($PE37&gt;0," · +"&amp;$PE37&amp;"d8",""))))</f>
        <v/>
      </c>
      <c r="QF37" s="164">
        <f>COUNTIF($RK37:$RN37,"Longe")+3*COUNTIF($RK37:$RN37,"Muito Longe")</f>
        <v/>
      </c>
      <c r="QG37" s="164">
        <f>COUNTIF($RK37:$RN37,"Maior")+3*COUNTIF($RK37:$RN37,"Muito Maior")</f>
        <v/>
      </c>
      <c r="QH37" s="164">
        <f>IF($NJ37=0,0,CHOOSE(1+INDEX('DADOS_FORMAS'!$GG$2:$GG$21,$NJ37),0,$QF37,$QG37,$QF37+$QG37))</f>
        <v/>
      </c>
      <c r="QI37" s="164">
        <f>IF($NJ37=0,0,CHOOSE(1+INDEX('DADOS_FORMAS'!$GH$2:$GH$21,$NJ37),0,$QF37,$QG37,$QF37+$QG37))</f>
        <v/>
      </c>
      <c r="QJ37" s="164">
        <f>IF(OR($ND37=0,$NJ37=0),"",INDEX('DADOS_FORMAS'!$HU$2:$HZ$81,($NJ37-1)*4+IF($MS37=0,1,IF($MS37&lt;=5,2,IF($MS37=6,3,4))),1+MIN(5,$QH37))&amp;INDEX('DADOS_FORMAS'!$IA$2:$IF$81,($NJ37-1)*4+IF($MS37=0,1,IF($MS37&lt;=5,2,IF($MS37=6,3,4))),1+MIN(5,$QI37))&amp;IF(INDEX('DADOS_FORMAS'!$GI$2:$GI$21,$NJ37)=1,IF(COUNTIF($RK37:$RN37,"Mais Um")&gt;0," · +"&amp;COUNTIF($RK37:$RN37,"Mais Um")&amp;IF(COUNTIF($RK37:$RN37,"Mais Um")&gt;1," alvos"," alvo"),"")&amp;IF(COUNTIF($RK37:$RN37,"Rajada")&gt;0,IF($MS37=0," · 1 tiro"," · "&amp;(MAX(1,$MS37-1)+1)&amp;" tiros"),""),""))</f>
        <v/>
      </c>
      <c r="QK37" s="164">
        <f>IF($ND37=0,"",IF($MS37=0,$NG37&amp;"d6"&amp;IF($OU37&gt;0," − 1 = "&amp;$PD37&amp;"d6"," da básica do nível "&amp;$NE37),$PB37&amp;" − "&amp;$OW37&amp;" + "&amp;$OZ37&amp;" = "&amp;$PC37&amp;" · teto "&amp;4*$MS37&amp;"d8"&amp;IF($OF37=1," · a Forma devolve "&amp;$MS37,"")&amp;IF($PA37&gt;0," · perde "&amp;$PA37,"")))</f>
        <v/>
      </c>
      <c r="QL37" s="164">
        <f>IF($ND37=0,"",IF($MS37=0,"A básica não amplia: os dados dela sobem com o nível",IF($MS37&gt;=$NF37,"Já está na maior Classe que o nível liberou",TEXTJOIN(" · ",TRUE,IF(AND(2&gt;$MS37,2&lt;=$NF37),"2 → "&amp;$PN37&amp;", 6 PE",""),IF(AND(3&gt;$MS37,3&lt;=$NF37),"3 → "&amp;$PO37&amp;", 9 PE",""),IF(AND(4&gt;$MS37,4&lt;=$NF37),"4 → "&amp;$PP37&amp;", 12 PE",""),IF(AND(5&gt;$MS37,5&lt;=$NF37),"5 → "&amp;$PQ37&amp;", 15 PE",""),IF(AND(6&gt;$MS37,6&lt;=$NF37),"6 → "&amp;$PR37&amp;", 18 PE",""),IF(AND(7&gt;$MS37,7&lt;=$NF37),"7 → "&amp;$PS37&amp;", 21 PE","")))))</f>
        <v/>
      </c>
      <c r="QM37" s="164">
        <f>IF(OR($ND37=0,$NO37=0),"",IF($MS37=0,"−1 dado","−"&amp;INDEX($I$2:$N$8,MAX(1,$MS37),MAX(1,$NT37))&amp;" · "&amp;CHOOSE(MAX(1,$NT37),"Leve","Média","Pesada","Leve · Livre","Média · Livre","Pesada · Livre")))</f>
        <v/>
      </c>
      <c r="QN37" s="164">
        <f>IF(OR($ND37=0,$NP37=0),"",IF($MS37=0,"−1 dado","−"&amp;INDEX($I$2:$N$8,MAX(1,$MS37),MAX(1,$NU37))&amp;" · "&amp;CHOOSE(MAX(1,$NU37),"Leve","Média","Pesada","Leve · Livre","Média · Livre","Pesada · Livre")))</f>
        <v/>
      </c>
      <c r="QO37" s="164">
        <f>IF(OR($ND37=0,$NQ37=0),"",IF($MS37=0,"−1 dado","−"&amp;INDEX($I$2:$N$8,MAX(1,$MS37),MAX(1,$NV37))&amp;" · "&amp;CHOOSE(MAX(1,$NV37),"Leve","Média","Pesada","Leve · Livre","Média · Livre","Pesada · Livre")))</f>
        <v/>
      </c>
      <c r="QP37" s="164">
        <f>IF(OR($ND37=0,$NR37=0),"",IF($MS37=0,"−1 dado","−"&amp;INDEX($I$2:$N$8,MAX(1,$MS37),MAX(1,$NW37))&amp;" · "&amp;CHOOSE(MAX(1,$NW37),"Leve","Média","Pesada","Leve · Livre","Média · Livre","Pesada · Livre")))</f>
        <v/>
      </c>
      <c r="QQ37" s="164">
        <f>IF(OR($ND37=0,$NB37=""),"",IF($MS37=0,"não devolve","+"&amp;IF($OI37=1,CEILING($MS37/2,1),$MS37)))</f>
        <v/>
      </c>
      <c r="QR37" s="164">
        <f>IF(OR($ND37=0,$NC37=""),"",IF($MS37=0,"não devolve","+"&amp;IF($OJ37=1,CEILING($MS37/2,1),$MS37)))</f>
        <v/>
      </c>
      <c r="RK37">
        <f>IF($MX37="","",IFERROR(VLOOKUP(SUBSTITUTE(SUBSTITUTE(SUBSTITUTE($MX37,"~","~~"),"*","~*"),"?","~?"),'DADOS_MELHORIAS'!$O$2:$X$113,10,FALSE),$MX37))</f>
        <v/>
      </c>
      <c r="RL37">
        <f>IF($MY37="","",IFERROR(VLOOKUP(SUBSTITUTE(SUBSTITUTE(SUBSTITUTE($MY37,"~","~~"),"*","~*"),"?","~?"),'DADOS_MELHORIAS'!$O$2:$X$113,10,FALSE),$MY37))</f>
        <v/>
      </c>
      <c r="RM37">
        <f>IF($MZ37="","",IFERROR(VLOOKUP(SUBSTITUTE(SUBSTITUTE(SUBSTITUTE($MZ37,"~","~~"),"*","~*"),"?","~?"),'DADOS_MELHORIAS'!$O$2:$X$113,10,FALSE),$MZ37))</f>
        <v/>
      </c>
      <c r="RN37">
        <f>IF($NA37="","",IFERROR(VLOOKUP(SUBSTITUTE(SUBSTITUTE(SUBSTITUTE($NA37,"~","~~"),"*","~*"),"?","~?"),'DADOS_MELHORIAS'!$O$2:$X$113,10,FALSE),$NA37))</f>
        <v/>
      </c>
      <c r="RO37">
        <f>IFERROR(INDEX('DADOS_FORMAS'!$BJ$2:$BJ$21,MATCH(SUBSTITUTE(SUBSTITUTE(SUBSTITUTE($MU37,"~","~~"),"*","~*"),"?","~?"),'DADOS_FORMAS'!$AH$2:$AH$21,0)),"")</f>
        <v/>
      </c>
      <c r="RP37">
        <f>IFERROR(VLOOKUP(SUBSTITUTE(SUBSTITUTE(SUBSTITUTE(IFERROR(INDEX('DADOS_FORMAS'!$AS$2:$AS$21,MATCH(SUBSTITUTE(SUBSTITUTE(SUBSTITUTE($MU37,"~","~~"),"*","~*"),"?","~?"),'DADOS_FORMAS'!$AH$2:$AH$21,0)),""),"~","~~"),"*","~*"),"?","~?"),'DADOS_RESTRICOES'!$M$2:$Q$54,2,FALSE),"")</f>
        <v/>
      </c>
      <c r="RQ37">
        <f>$OK37</f>
        <v/>
      </c>
      <c r="RR37">
        <f>$OL37</f>
        <v/>
      </c>
      <c r="RS37">
        <f>$RP37</f>
        <v/>
      </c>
    </row>
    <row r="38">
      <c r="AH38" s="162" t="inlineStr">
        <is>
          <t>Efeito · classe 0</t>
        </is>
      </c>
      <c r="AI38" s="162" t="inlineStr">
        <is>
          <t>Fora de combate</t>
        </is>
      </c>
      <c r="AJ38" s="162" t="inlineStr">
        <is>
          <t>Fora de combate</t>
        </is>
      </c>
      <c r="AK38" s="162" t="inlineStr">
        <is>
          <t>Fora de combate</t>
        </is>
      </c>
      <c r="AL38" s="162" t="inlineStr">
        <is>
          <t>Fora de combate</t>
        </is>
      </c>
      <c r="AM38" s="162" t="inlineStr">
        <is>
          <t>Fora de combate</t>
        </is>
      </c>
      <c r="AN38" s="162" t="inlineStr">
        <is>
          <t>Fora de combate</t>
        </is>
      </c>
      <c r="AO38" s="162" t="inlineStr"/>
      <c r="AP38" s="162" t="inlineStr"/>
      <c r="AQ38" s="162" t="inlineStr"/>
      <c r="AR38" s="162" t="inlineStr"/>
      <c r="AS38" s="162" t="inlineStr"/>
      <c r="AT38" s="162" t="inlineStr"/>
      <c r="AV38" s="162" t="inlineStr">
        <is>
          <t>Cerca</t>
        </is>
      </c>
      <c r="AW38" s="162" t="inlineStr">
        <is>
          <t>Controle</t>
        </is>
      </c>
      <c r="AX38" s="164" t="n">
        <v>1</v>
      </c>
      <c r="AY38" s="164" t="n">
        <v>1</v>
      </c>
      <c r="AZ38" s="164" t="n">
        <v>0</v>
      </c>
      <c r="BA38" s="164" t="n">
        <v>1</v>
      </c>
      <c r="JT38" s="164">
        <f>IF(OR($AW38="",(COUNTIF($EL$2:$EP$2,$AW38)+COUNTIF($QV$2:$QY$2,$AW38))&gt;0),$AV38,"")</f>
        <v/>
      </c>
      <c r="JU38" s="164">
        <f>IF(AND($AX38=1,OR($AW38="",(COUNTIF($EL$2:$EP$2,$AW38)+COUNTIF($QV$2:$QY$2,$AW38))&gt;0)),$AV38,"")</f>
        <v/>
      </c>
      <c r="JZ38" s="164">
        <f>IF(OR($AW38="",(COUNTIF($EL$3:$EP$3,$AW38)+COUNTIF($QV$3:$QY$3,$AW38))&gt;0),$AV38,"")</f>
        <v/>
      </c>
      <c r="KA38" s="164">
        <f>IF(AND($AX38=1,OR($AW38="",(COUNTIF($EL$3:$EP$3,$AW38)+COUNTIF($QV$3:$QY$3,$AW38))&gt;0)),$AV38,"")</f>
        <v/>
      </c>
      <c r="KF38" s="164">
        <f>IF(OR($AW38="",(COUNTIF($EL$4:$EP$4,$AW38)+COUNTIF($QV$4:$QY$4,$AW38))&gt;0),$AV38,"")</f>
        <v/>
      </c>
      <c r="KG38" s="164">
        <f>IF(AND($AX38=1,OR($AW38="",(COUNTIF($EL$4:$EP$4,$AW38)+COUNTIF($QV$4:$QY$4,$AW38))&gt;0)),$AV38,"")</f>
        <v/>
      </c>
      <c r="KL38" s="164">
        <f>IF(OR($AW38="",(COUNTIF($EL$5:$EP$5,$AW38)+COUNTIF($QV$5:$QY$5,$AW38))&gt;0),$AV38,"")</f>
        <v/>
      </c>
      <c r="KM38" s="164">
        <f>IF(AND($AX38=1,OR($AW38="",(COUNTIF($EL$5:$EP$5,$AW38)+COUNTIF($QV$5:$QY$5,$AW38))&gt;0)),$AV38,"")</f>
        <v/>
      </c>
      <c r="KR38" s="164">
        <f>IF(OR($AW38="",(COUNTIF($EL$6:$EP$6,$AW38)+COUNTIF($QV$6:$QY$6,$AW38))&gt;0),$AV38,"")</f>
        <v/>
      </c>
      <c r="KS38" s="164">
        <f>IF(AND($AX38=1,OR($AW38="",(COUNTIF($EL$6:$EP$6,$AW38)+COUNTIF($QV$6:$QY$6,$AW38))&gt;0)),$AV38,"")</f>
        <v/>
      </c>
      <c r="KX38" s="164">
        <f>IF(OR($AW38="",(COUNTIF($EL$7:$EP$7,$AW38)+COUNTIF($QV$7:$QY$7,$AW38))&gt;0),$AV38,"")</f>
        <v/>
      </c>
      <c r="KY38" s="164">
        <f>IF(AND($AX38=1,OR($AW38="",(COUNTIF($EL$7:$EP$7,$AW38)+COUNTIF($QV$7:$QY$7,$AW38))&gt;0)),$AV38,"")</f>
        <v/>
      </c>
      <c r="LD38" s="164">
        <f>IF(OR($AW38="",(COUNTIF($EL$8:$EP$8,$AW38)+COUNTIF($QV$8:$QY$8,$AW38))&gt;0),$AV38,"")</f>
        <v/>
      </c>
      <c r="LE38" s="164">
        <f>IF(AND($AX38=1,OR($AW38="",(COUNTIF($EL$8:$EP$8,$AW38)+COUNTIF($QV$8:$QY$8,$AW38))&gt;0)),$AV38,"")</f>
        <v/>
      </c>
      <c r="LJ38" s="164">
        <f>IF(OR($AW38="",(COUNTIF($EL$9:$EP$9,$AW38)+COUNTIF($QV$9:$QY$9,$AW38))&gt;0),$AV38,"")</f>
        <v/>
      </c>
      <c r="LK38" s="164">
        <f>IF(AND($AX38=1,OR($AW38="",(COUNTIF($EL$9:$EP$9,$AW38)+COUNTIF($QV$9:$QY$9,$AW38))&gt;0)),$AV38,"")</f>
        <v/>
      </c>
      <c r="LP38" s="164">
        <f>IF(OR($AW38="",(COUNTIF($EL$10:$EP$10,$AW38)+COUNTIF($QV$10:$QY$10,$AW38))&gt;0),$AV38,"")</f>
        <v/>
      </c>
      <c r="LQ38" s="164">
        <f>IF(AND($AX38=1,OR($AW38="",(COUNTIF($EL$10:$EP$10,$AW38)+COUNTIF($QV$10:$QY$10,$AW38))&gt;0)),$AV38,"")</f>
        <v/>
      </c>
      <c r="LV38" s="164">
        <f>IF(OR($AW38="",(COUNTIF($EL$11:$EP$11,$AW38)+COUNTIF($QV$11:$QY$11,$AW38))&gt;0),$AV38,"")</f>
        <v/>
      </c>
      <c r="LW38" s="164">
        <f>IF(AND($AX38=1,OR($AW38="",(COUNTIF($EL$11:$EP$11,$AW38)+COUNTIF($QV$11:$QY$11,$AW38))&gt;0)),$AV38,"")</f>
        <v/>
      </c>
      <c r="MB38" s="164">
        <f>IF(OR($AW38="",(COUNTIF($EL$12:$EP$12,$AW38)+COUNTIF($QV$12:$QY$12,$AW38))&gt;0),$AV38,"")</f>
        <v/>
      </c>
      <c r="MC38" s="164">
        <f>IF(AND($AX38=1,OR($AW38="",(COUNTIF($EL$12:$EP$12,$AW38)+COUNTIF($QV$12:$QY$12,$AW38))&gt;0)),$AV38,"")</f>
        <v/>
      </c>
      <c r="MH38" s="164">
        <f>IF(OR($AW38="",(COUNTIF($EL$13:$EP$13,$AW38)+COUNTIF($QV$13:$QY$13,$AW38))&gt;0),$AV38,"")</f>
        <v/>
      </c>
      <c r="MI38" s="164">
        <f>IF(AND($AX38=1,OR($AW38="",(COUNTIF($EL$13:$EP$13,$AW38)+COUNTIF($QV$13:$QY$13,$AW38))&gt;0)),$AV38,"")</f>
        <v/>
      </c>
      <c r="MN38" s="162" t="inlineStr">
        <is>
          <t>Ficha 3 · Escolha da trilha 1</t>
        </is>
      </c>
      <c r="MO38" s="164" t="n">
        <v>3</v>
      </c>
      <c r="MP38" s="164" t="n">
        <v>2</v>
      </c>
      <c r="MQ38" s="164" t="n">
        <v>0</v>
      </c>
      <c r="MR38" s="162" t="inlineStr">
        <is>
          <t>ESCOLHA DA TRILHA 1</t>
        </is>
      </c>
      <c r="MS38" s="164">
        <f>MAX(0,MIN(7,N('INVOCAÇÕES'!$I$595)))</f>
        <v/>
      </c>
      <c r="MT38" s="164">
        <f>'INVOCAÇÕES'!$J$595&amp;""</f>
        <v/>
      </c>
      <c r="MU38" s="164">
        <f>'INVOCAÇÕES'!$I$600&amp;""</f>
        <v/>
      </c>
      <c r="MV38" s="164">
        <f>'INVOCAÇÕES'!$I$601&amp;""</f>
        <v/>
      </c>
      <c r="MW38" s="164">
        <f>'INVOCAÇÕES'!$K$601&amp;""</f>
        <v/>
      </c>
      <c r="MX38" s="164">
        <f>'INVOCAÇÕES'!$J$604&amp;""</f>
        <v/>
      </c>
      <c r="MY38" s="164">
        <f>'INVOCAÇÕES'!$J$605&amp;""</f>
        <v/>
      </c>
      <c r="MZ38" s="164">
        <f>'INVOCAÇÕES'!$J$606&amp;""</f>
        <v/>
      </c>
      <c r="NA38" s="164">
        <f>'INVOCAÇÕES'!$J$607&amp;""</f>
        <v/>
      </c>
      <c r="NB38" s="164">
        <f>'INVOCAÇÕES'!$J$608&amp;""</f>
        <v/>
      </c>
      <c r="NC38" s="164">
        <f>'INVOCAÇÕES'!$J$609&amp;""</f>
        <v/>
      </c>
      <c r="ND38" s="164">
        <f>IF($MT38&lt;&gt;"",1,0)</f>
        <v/>
      </c>
      <c r="NE38" s="164">
        <f>INDEX($FO$2:$FO$13,$MO38)</f>
        <v/>
      </c>
      <c r="NF38" s="164">
        <f>INDEX($FP$2:$FP$13,$MO38)</f>
        <v/>
      </c>
      <c r="NG38" s="164">
        <f>INDEX($FQ$2:$FQ$13,$MO38)</f>
        <v/>
      </c>
      <c r="NH38" s="164">
        <f>INDEX($GB$2:$GB$13,$MO38)</f>
        <v/>
      </c>
      <c r="NI38" s="164">
        <f>INDEX($GC$2:$GC$13,$MO38)</f>
        <v/>
      </c>
      <c r="NJ38" s="164">
        <f>IFERROR(MATCH(SUBSTITUTE(SUBSTITUTE(SUBSTITUTE($MU38,"~","~~"),"*","~*"),"?","~?"),'DADOS_FORMAS'!$FZ$2:$FZ$21,0),0)</f>
        <v/>
      </c>
      <c r="NK38" s="164">
        <f>IFERROR(VLOOKUP(SUBSTITUTE(SUBSTITUTE(SUBSTITUTE($MX38,"~","~~"),"*","~*"),"?","~?"),'DADOS_MELHORIAS'!$AG$2:$AL$113,2,FALSE),"")</f>
        <v/>
      </c>
      <c r="NL38" s="164">
        <f>IFERROR(VLOOKUP(SUBSTITUTE(SUBSTITUTE(SUBSTITUTE($MY38,"~","~~"),"*","~*"),"?","~?"),'DADOS_MELHORIAS'!$AG$2:$AL$113,2,FALSE),"")</f>
        <v/>
      </c>
      <c r="NM38" s="164">
        <f>IFERROR(VLOOKUP(SUBSTITUTE(SUBSTITUTE(SUBSTITUTE($MZ38,"~","~~"),"*","~*"),"?","~?"),'DADOS_MELHORIAS'!$AG$2:$AL$113,2,FALSE),"")</f>
        <v/>
      </c>
      <c r="NN38" s="164">
        <f>IFERROR(VLOOKUP(SUBSTITUTE(SUBSTITUTE(SUBSTITUTE($NA38,"~","~~"),"*","~*"),"?","~?"),'DADOS_MELHORIAS'!$AG$2:$AL$113,2,FALSE),"")</f>
        <v/>
      </c>
      <c r="NO38" s="164">
        <f>IFERROR(VLOOKUP(SUBSTITUTE(SUBSTITUTE(SUBSTITUTE($MX38,"~","~~"),"*","~*"),"?","~?"),'DADOS_MELHORIAS'!$AG$2:$AL$113,3,FALSE),0)</f>
        <v/>
      </c>
      <c r="NP38" s="164">
        <f>IFERROR(VLOOKUP(SUBSTITUTE(SUBSTITUTE(SUBSTITUTE($MY38,"~","~~"),"*","~*"),"?","~?"),'DADOS_MELHORIAS'!$AG$2:$AL$113,3,FALSE),0)</f>
        <v/>
      </c>
      <c r="NQ38" s="164">
        <f>IFERROR(VLOOKUP(SUBSTITUTE(SUBSTITUTE(SUBSTITUTE($MZ38,"~","~~"),"*","~*"),"?","~?"),'DADOS_MELHORIAS'!$AG$2:$AL$113,3,FALSE),0)</f>
        <v/>
      </c>
      <c r="NR38" s="164">
        <f>IFERROR(VLOOKUP(SUBSTITUTE(SUBSTITUTE(SUBSTITUTE($NA38,"~","~~"),"*","~*"),"?","~?"),'DADOS_MELHORIAS'!$AG$2:$AL$113,3,FALSE),0)</f>
        <v/>
      </c>
      <c r="NS38" s="164">
        <f>IF($MS38=0,0,IF($NJ38=0,0,INDEX('DADOS_FORMAS'!$GB$2:$GB$21,$NJ38)))</f>
        <v/>
      </c>
      <c r="NT38" s="164">
        <f>IF(OR($NO38=0,$MS38=0),0,$NO38+3*IF(AND($NK38&lt;&gt;"",COUNTIF(INDEX($RB$2:$RJ$13,$MO38,0),$NK38)&gt;0),1,0))</f>
        <v/>
      </c>
      <c r="NU38" s="164">
        <f>IF(OR($NP38=0,$MS38=0),0,$NP38+3*IF(AND($NL38&lt;&gt;"",COUNTIF(INDEX($RB$2:$RJ$13,$MO38,0),$NL38)&gt;0),1,0))</f>
        <v/>
      </c>
      <c r="NV38" s="164">
        <f>IF(OR($NQ38=0,$MS38=0),0,$NQ38+3*IF(AND($NM38&lt;&gt;"",COUNTIF(INDEX($RB$2:$RJ$13,$MO38,0),$NM38)&gt;0),1,0))</f>
        <v/>
      </c>
      <c r="NW38" s="164">
        <f>IF(OR($NR38=0,$MS38=0),0,$NR38+3*IF(AND($NN38&lt;&gt;"",COUNTIF(INDEX($RB$2:$RJ$13,$MO38,0),$NN38)&gt;0),1,0))</f>
        <v/>
      </c>
      <c r="NX38" s="164">
        <f>IF($NJ38=0,0,IF(INDEX('DADOS_FORMAS'!$GA$2:$GA$21,$NJ38)="",0,IF((COUNTIF(INDEX($EL$2:$EP$13,$MO38,0),INDEX('DADOS_FORMAS'!$GA$2:$GA$21,$NJ38))+COUNTIF(INDEX($QV$2:$QY$13,$MO38,0),INDEX('DADOS_FORMAS'!$GA$2:$GA$21,$NJ38)))=0,1,0)))</f>
        <v/>
      </c>
      <c r="NY38" s="164">
        <f>IF(OR($NO38=0,$NK38=""),0,IF((COUNTIF(INDEX($EL$2:$EP$13,$MO38,0),$NK38)+COUNTIF(INDEX($QV$2:$QY$13,$MO38,0),$NK38))=0,1,0))</f>
        <v/>
      </c>
      <c r="NZ38" s="164">
        <f>IF(OR($NP38=0,$NL38=""),0,IF((COUNTIF(INDEX($EL$2:$EP$13,$MO38,0),$NL38)+COUNTIF(INDEX($QV$2:$QY$13,$MO38,0),$NL38))=0,1,0))</f>
        <v/>
      </c>
      <c r="OA38" s="164">
        <f>IF(OR($NQ38=0,$NM38=""),0,IF((COUNTIF(INDEX($EL$2:$EP$13,$MO38,0),$NM38)+COUNTIF(INDEX($QV$2:$QY$13,$MO38,0),$NM38))=0,1,0))</f>
        <v/>
      </c>
      <c r="OB38" s="164">
        <f>IF(OR($NR38=0,$NN38=""),0,IF((COUNTIF(INDEX($EL$2:$EP$13,$MO38,0),$NN38)+COUNTIF(INDEX($QV$2:$QY$13,$MO38,0),$NN38))=0,1,0))</f>
        <v/>
      </c>
      <c r="OC38" s="164">
        <f>IFERROR(VLOOKUP(SUBSTITUTE(SUBSTITUTE(SUBSTITUTE($MX38,"~","~~"),"*","~*"),"?","~?"),'DADOS_MELHORIAS'!$AG$2:$AL$113,4,FALSE),0)+IFERROR(VLOOKUP(SUBSTITUTE(SUBSTITUTE(SUBSTITUTE($MY38,"~","~~"),"*","~*"),"?","~?"),'DADOS_MELHORIAS'!$AG$2:$AL$113,4,FALSE),0)+IFERROR(VLOOKUP(SUBSTITUTE(SUBSTITUTE(SUBSTITUTE($MZ38,"~","~~"),"*","~*"),"?","~?"),'DADOS_MELHORIAS'!$AG$2:$AL$113,4,FALSE),0)+IFERROR(VLOOKUP(SUBSTITUTE(SUBSTITUTE(SUBSTITUTE($NA38,"~","~~"),"*","~*"),"?","~?"),'DADOS_MELHORIAS'!$AG$2:$AL$113,4,FALSE),0)</f>
        <v/>
      </c>
      <c r="OD38" s="164">
        <f>IFERROR(VLOOKUP(SUBSTITUTE(SUBSTITUTE(SUBSTITUTE($MX38,"~","~~"),"*","~*"),"?","~?"),'DADOS_MELHORIAS'!$AG$2:$AL$113,6,FALSE),0)+IFERROR(VLOOKUP(SUBSTITUTE(SUBSTITUTE(SUBSTITUTE($MY38,"~","~~"),"*","~*"),"?","~?"),'DADOS_MELHORIAS'!$AG$2:$AL$113,6,FALSE),0)+IFERROR(VLOOKUP(SUBSTITUTE(SUBSTITUTE(SUBSTITUTE($MZ38,"~","~~"),"*","~*"),"?","~?"),'DADOS_MELHORIAS'!$AG$2:$AL$113,6,FALSE),0)+IFERROR(VLOOKUP(SUBSTITUTE(SUBSTITUTE(SUBSTITUTE($NA38,"~","~~"),"*","~*"),"?","~?"),'DADOS_MELHORIAS'!$AG$2:$AL$113,6,FALSE),0)+IFERROR(N(AND(INDEX('DADOS_FORMAS'!$AO$2:$AO$21,MATCH(SUBSTITUTE(SUBSTITUTE(SUBSTITUTE($MU38,"~","~~"),"*","~*"),"?","~?"),'DADOS_FORMAS'!$AH$2:$AH$21,0))="Acerto",$OH38=1)),0)</f>
        <v/>
      </c>
      <c r="OE38" s="164">
        <f>TEXTJOIN(", ",TRUE,IF(IFERROR(VLOOKUP(SUBSTITUTE(SUBSTITUTE(SUBSTITUTE($MX38,"~","~~"),"*","~*"),"?","~?"),'DADOS_MELHORIAS'!$AG$2:$AL$113,5,FALSE),0)=1,$MX38,""),IF(IFERROR(VLOOKUP(SUBSTITUTE(SUBSTITUTE(SUBSTITUTE($MY38,"~","~~"),"*","~*"),"?","~?"),'DADOS_MELHORIAS'!$AG$2:$AL$113,5,FALSE),0)=1,$MY38,""),IF(IFERROR(VLOOKUP(SUBSTITUTE(SUBSTITUTE(SUBSTITUTE($MZ38,"~","~~"),"*","~*"),"?","~?"),'DADOS_MELHORIAS'!$AG$2:$AL$113,5,FALSE),0)=1,$MZ38,""),IF(IFERROR(VLOOKUP(SUBSTITUTE(SUBSTITUTE(SUBSTITUTE($NA38,"~","~~"),"*","~*"),"?","~?"),'DADOS_MELHORIAS'!$AG$2:$AL$113,5,FALSE),0)=1,$NA38,""))</f>
        <v/>
      </c>
      <c r="OF38" s="164">
        <f>IF($NJ38=0,0,INDEX('DADOS_FORMAS'!$GC$2:$GC$21,$NJ38))</f>
        <v/>
      </c>
      <c r="OG38" s="164">
        <f>IF($NJ38=0,0,INDEX('DADOS_FORMAS'!$GD$2:$GD$21,$NJ38))</f>
        <v/>
      </c>
      <c r="OH38" s="164">
        <f>IF($NJ38=0,0,INDEX('DADOS_FORMAS'!$GF$2:$GF$21,$NJ38))</f>
        <v/>
      </c>
      <c r="OI38" s="164">
        <f>IFERROR(VLOOKUP(SUBSTITUTE(SUBSTITUTE(SUBSTITUTE($NB38,"~","~~"),"*","~*"),"?","~?"),'DADOS_RESTRICOES'!$M$2:$Q$54,3,FALSE),0)</f>
        <v/>
      </c>
      <c r="OJ38" s="164">
        <f>IFERROR(VLOOKUP(SUBSTITUTE(SUBSTITUTE(SUBSTITUTE($NC38,"~","~~"),"*","~*"),"?","~?"),'DADOS_RESTRICOES'!$M$2:$Q$54,3,FALSE),0)</f>
        <v/>
      </c>
      <c r="OK38" s="164">
        <f>IFERROR(VLOOKUP(SUBSTITUTE(SUBSTITUTE(SUBSTITUTE($NB38,"~","~~"),"*","~*"),"?","~?"),'DADOS_RESTRICOES'!$M$2:$Q$54,2,FALSE),"")</f>
        <v/>
      </c>
      <c r="OL38" s="164">
        <f>IFERROR(VLOOKUP(SUBSTITUTE(SUBSTITUTE(SUBSTITUTE($NC38,"~","~~"),"*","~*"),"?","~?"),'DADOS_RESTRICOES'!$M$2:$Q$54,2,FALSE),"")</f>
        <v/>
      </c>
      <c r="OM38" s="164">
        <f>COUNTIF($NS38:$NW38,1)</f>
        <v/>
      </c>
      <c r="ON38" s="164">
        <f>COUNTIF($NS38:$NW38,2)</f>
        <v/>
      </c>
      <c r="OO38" s="164">
        <f>COUNTIF($NS38:$NW38,3)</f>
        <v/>
      </c>
      <c r="OP38" s="164">
        <f>COUNTIF($NS38:$NW38,4)</f>
        <v/>
      </c>
      <c r="OQ38" s="164">
        <f>COUNTIF($NS38:$NW38,5)</f>
        <v/>
      </c>
      <c r="OR38" s="164">
        <f>COUNTIF($NS38:$NW38,6)</f>
        <v/>
      </c>
      <c r="OS38" s="164">
        <f>COUNTIF($OI38:$OJ38,1)+IF(IFERROR(INDEX('DADOS_FORMAS'!$AS$2:$AS$21,MATCH(SUBSTITUTE(SUBSTITUTE(SUBSTITUTE($MU38,"~","~~"),"*","~*"),"?","~?"),'DADOS_FORMAS'!$AH$2:$AH$21,0)),"")="",0,IFERROR(N(VLOOKUP(SUBSTITUTE(SUBSTITUTE(SUBSTITUTE(IFERROR(INDEX('DADOS_FORMAS'!$AS$2:$AS$21,MATCH(SUBSTITUTE(SUBSTITUTE(SUBSTITUTE($MU38,"~","~~"),"*","~*"),"?","~?"),'DADOS_FORMAS'!$AH$2:$AH$21,0)),""),"~","~~"),"*","~*"),"?","~?"),'DADOS_RESTRICOES'!$M$2:$Q$54,3,FALSE)=1),0))</f>
        <v/>
      </c>
      <c r="OT38" s="164">
        <f>COUNTIF($OI38:$OJ38,2)+IF(IFERROR(INDEX('DADOS_FORMAS'!$AS$2:$AS$21,MATCH(SUBSTITUTE(SUBSTITUTE(SUBSTITUTE($MU38,"~","~~"),"*","~*"),"?","~?"),'DADOS_FORMAS'!$AH$2:$AH$21,0)),"")="",0,IFERROR(N(VLOOKUP(SUBSTITUTE(SUBSTITUTE(SUBSTITUTE(IFERROR(INDEX('DADOS_FORMAS'!$AS$2:$AS$21,MATCH(SUBSTITUTE(SUBSTITUTE(SUBSTITUTE($MU38,"~","~~"),"*","~*"),"?","~?"),'DADOS_FORMAS'!$AH$2:$AH$21,0)),""),"~","~~"),"*","~*"),"?","~?"),'DADOS_RESTRICOES'!$M$2:$Q$54,3,FALSE)=2),0))</f>
        <v/>
      </c>
      <c r="OU38" s="164">
        <f>COUNTIF($MX38:$NA38,"?*")</f>
        <v/>
      </c>
      <c r="OV38" s="164">
        <f>COUNTIF($NB38:$NC38,"?*")+$OF38</f>
        <v/>
      </c>
      <c r="OW38" s="164">
        <f>IF($MS38=0,0,SUMPRODUCT($OM38:$OR38,INDEX($I$2:$N$8,MAX(1,$MS38),0)))</f>
        <v/>
      </c>
      <c r="OX38" s="164">
        <f>IF($MS38=0,0,$OS38*CEILING($MS38/2,1)+$OT38*$MS38)</f>
        <v/>
      </c>
      <c r="OY38" s="164">
        <f>MIN(2*$MS38,$OX38)</f>
        <v/>
      </c>
      <c r="OZ38" s="164">
        <f>MIN($OY38,$OW38-IF($NS38=0,0,INDEX($I$2:$N$8,MAX(1,$MS38),$NS38)))</f>
        <v/>
      </c>
      <c r="PA38" s="164">
        <f>$OY38-$OZ38</f>
        <v/>
      </c>
      <c r="PB38" s="164">
        <f>IF($MS38=0,0,INDEX($P$2:$P$8,MAX(1,$MS38)))</f>
        <v/>
      </c>
      <c r="PC38" s="164">
        <f>$PB38-$OW38+$OZ38</f>
        <v/>
      </c>
      <c r="PD38" s="164">
        <f>IF($MS38=0,MAX(0,$NG38-IF(AND($OU38&gt;0,COUNTIF($NB38:$NC38,"?*")=0),1,0)),MAX(0,$PC38))</f>
        <v/>
      </c>
      <c r="PE38" s="164">
        <f>IF($MS38=0,0,(IF(COUNTIF($RK38:$RN38,"Salto")&gt;0,1,0)+IF(COUNTIF($RK38:$RN38,"Queima")&gt;0,1,0)+IF(COUNTIF($RK38:$RN38,"Estilhaço")&gt;0,1,0))*FLOOR($PD38/2,1))</f>
        <v/>
      </c>
      <c r="PF38" s="164">
        <f>MAX(0,2-SUMPRODUCT($OM38:$OR38,$I$2:$N$2)+MIN(2,$OS38*1+$OT38*1,SUMPRODUCT($OM38:$OR38,$I$2:$N$2)-IF($NS38=0,0,INDEX($I$2:$N$2,1,$NS38))))</f>
        <v/>
      </c>
      <c r="PG38" s="164">
        <f>MAX(0,4-SUMPRODUCT($OM38:$OR38,$I$3:$N$3)+MIN(4,$OS38*1+$OT38*2,SUMPRODUCT($OM38:$OR38,$I$3:$N$3)-IF($NS38=0,0,INDEX($I$3:$N$3,1,$NS38))))</f>
        <v/>
      </c>
      <c r="PH38" s="164">
        <f>MAX(0,6-SUMPRODUCT($OM38:$OR38,$I$4:$N$4)+MIN(6,$OS38*2+$OT38*3,SUMPRODUCT($OM38:$OR38,$I$4:$N$4)-IF($NS38=0,0,INDEX($I$4:$N$4,1,$NS38))))</f>
        <v/>
      </c>
      <c r="PI38" s="164">
        <f>MAX(0,9-SUMPRODUCT($OM38:$OR38,$I$5:$N$5)+MIN(8,$OS38*2+$OT38*4,SUMPRODUCT($OM38:$OR38,$I$5:$N$5)-IF($NS38=0,0,INDEX($I$5:$N$5,1,$NS38))))</f>
        <v/>
      </c>
      <c r="PJ38" s="164">
        <f>MAX(0,11-SUMPRODUCT($OM38:$OR38,$I$6:$N$6)+MIN(10,$OS38*3+$OT38*5,SUMPRODUCT($OM38:$OR38,$I$6:$N$6)-IF($NS38=0,0,INDEX($I$6:$N$6,1,$NS38))))</f>
        <v/>
      </c>
      <c r="PK38" s="164">
        <f>MAX(0,13-SUMPRODUCT($OM38:$OR38,$I$7:$N$7)+MIN(12,$OS38*3+$OT38*6,SUMPRODUCT($OM38:$OR38,$I$7:$N$7)-IF($NS38=0,0,INDEX($I$7:$N$7,1,$NS38))))</f>
        <v/>
      </c>
      <c r="PL38" s="164">
        <f>MAX(0,16-SUMPRODUCT($OM38:$OR38,$I$8:$N$8)+MIN(14,$OS38*4+$OT38*7,SUMPRODUCT($OM38:$OR38,$I$8:$N$8)-IF($NS38=0,0,INDEX($I$8:$N$8,1,$NS38))))</f>
        <v/>
      </c>
      <c r="PM38" s="164">
        <f>IF($OG38=2,3*$PF38&amp;" de vida temp.",IF($OG38=3,"sem dano",IF($PF38=0,IF($OG38=1,"sem cura","sem dano"),IF($OG38=1,"cura ","")&amp;$PF38&amp;"d8")))</f>
        <v/>
      </c>
      <c r="PN38" s="164">
        <f>IF($OG38=2,3*$PG38&amp;" de vida temp.",IF($OG38=3,"sem dano",IF($PG38=0,IF($OG38=1,"sem cura","sem dano"),IF($OG38=1,"cura ","")&amp;$PG38&amp;"d8")))</f>
        <v/>
      </c>
      <c r="PO38" s="164">
        <f>IF($OG38=2,3*$PH38&amp;" de vida temp.",IF($OG38=3,"sem dano",IF($PH38=0,IF($OG38=1,"sem cura","sem dano"),IF($OG38=1,"cura ","")&amp;$PH38&amp;"d8")))</f>
        <v/>
      </c>
      <c r="PP38" s="164">
        <f>IF($OG38=2,3*$PI38&amp;" de vida temp.",IF($OG38=3,"sem dano",IF($PI38=0,IF($OG38=1,"sem cura","sem dano"),IF($OG38=1,"cura ","")&amp;$PI38&amp;"d8")))</f>
        <v/>
      </c>
      <c r="PQ38" s="164">
        <f>IF($OG38=2,3*$PJ38&amp;" de vida temp.",IF($OG38=3,"sem dano",IF($PJ38=0,IF($OG38=1,"sem cura","sem dano"),IF($OG38=1,"cura ","")&amp;$PJ38&amp;"d8")))</f>
        <v/>
      </c>
      <c r="PR38" s="164">
        <f>IF($OG38=2,3*$PK38&amp;" de vida temp.",IF($OG38=3,"sem dano",IF($PK38=0,IF($OG38=1,"sem cura","sem dano"),IF($OG38=1,"cura ","")&amp;$PK38&amp;"d8")))</f>
        <v/>
      </c>
      <c r="PS38" s="164">
        <f>IF($OG38=2,3*$PL38&amp;" de vida temp.",IF($OG38=3,"sem dano",IF($PL38=0,IF($OG38=1,"sem cura","sem dano"),IF($OG38=1,"cura ","")&amp;$PL38&amp;"d8")))</f>
        <v/>
      </c>
      <c r="PT38" s="164">
        <f>IF($ND38=0,"",TEXTJOIN(" · ",TRUE,IF($ND38=0,"",TEXTJOIN(" · ",TRUE,IF($ND38=0,"",TEXTJOIN(" · ",TRUE,IF($MQ38&gt;$NE38,"Este lugar abre no nível "&amp;$MQ38,""),IF($MS38&gt;$NF38,"Classe "&amp;$MS38&amp;": o nível "&amp;$NE38&amp;" libera até a "&amp;$NF38,""),IF($NX38=1,"A Forma "&amp;$MU38&amp;" pede "&amp;INDEX('DADOS_FORMAS'!$GA$2:$GA$21,$NJ38)&amp;" aberta",""),IF(AND($MS38=0,$NJ38&gt;0,IF($NJ38=0,0,INDEX('DADOS_FORMAS'!$GJ$2:$GJ$21,$NJ38))=0),$MU38&amp;" não existe na Classe 0",""),IF($NY38=1,"Família Fechada: "&amp;$MX38,""),IF($NZ38=1,"Família Fechada: "&amp;$MY38,""),IF($OA38=1,"Família Fechada: "&amp;$MZ38,""),IF($OB38=1,"Família Fechada: "&amp;$NA38,""),IF(AND($MS38&gt;0,$OU38&gt;INDEX($O$2:$O$8,MAX(1,$MS38))),$OU38&amp;" Melhorias: a Classe "&amp;$MS38&amp;" aceita "&amp;INDEX($O$2:$O$8,MAX(1,$MS38)),""),IF(AND($MS38=0,$OU38&gt;1),"A básica aceita uma Melhoria",""),IF(AND($MS38=0,COUNTIF($NO38:$NR38,"&gt;1")&gt;0),"A básica só aceita Melhoria Leve",""),IF(AND($MS38&gt;0,$OV38&gt;2),$OV38&amp;" Restrições"&amp;IF($OF38=1,", contando a que a Forma "&amp;$MU38&amp;" já traz","")&amp;": o limite é 2",""),IF(AND($MS38=0,COUNTIF($NB38:$NC38,"?*")&gt;1),"A básica aceita uma Restrição Leve",""),IF(AND($MS38=0,COUNTIF($OI38:$OJ38,2)&gt;0),"A básica só aceita Restrição Leve",""),IF(AND($MS38&gt;0,$PC38&lt;0),"Orçamento estourado: faltam "&amp;(-$PC38)&amp;IF($PC38&lt;-1," pontos"," ponto"),""),IF(IFERROR(VLOOKUP(SUBSTITUTE(SUBSTITUTE(SUBSTITUTE($NB38,"~","~~"),"*","~*"),"?","~?"),'DADOS_RESTRICOES'!$M$2:$Q$54,4,FALSE),0)+IFERROR(VLOOKUP(SUBSTITUTE(SUBSTITUTE(SUBSTITUTE($NC38,"~","~~"),"*","~*"),"?","~?"),'DADOS_RESTRICOES'!$M$2:$Q$54,4,FALSE),0)&gt;1,$OK38&amp;" e "&amp;$OL38&amp;" são as duas de frequência",""),IF(AND((COUNTIF($RK38:$RN38,"Rápido")+COUNTIF($OK38:$OL38,"Rápido"))&gt;0,(COUNTIF($MX38:$NA38,"Atrasar")+COUNTIF($OK38:$OL38,"Atrasar"))&gt;0),"Rápido não entra com Atrasar",""),IF(AND((COUNTIF($RK38:$RN38,"Reação")+COUNTIF($OK38:$OL38,"Reação"))&gt;0,(COUNTIF($RK38:$RN38,"Rápido")+COUNTIF($OK38:$OL38,"Rápido"))&gt;0),"Reação não entra com Rápido",""),IF(AND((COUNTIF($RK38:$RN38,"Reação")+COUNTIF($OK38:$OL38,"Reação"))&gt;0,(COUNTIF($RK38:$RN38,"Armado")+COUNTIF($OK38:$OL38,"Armado"))&gt;0),"Reação não entra com Armado",""),IF(AND((COUNTIF($RK38:$RN38,"Reação")+COUNTIF($OK38:$OL38,"Reação"))&gt;0,(COUNTIF($MX38:$NA38,"Atrasar")+COUNTIF($OK38:$OL38,"Atrasar"))&gt;0),"Reação não entra com Atrasar",""),IF(AND((COUNTIF($RK38:$RN38,"Reação")+COUNTIF($OK38:$OL38,"Reação"))&gt;0,(COUNTIF($MX38:$NA38,"Parado")+COUNTIF($OK38:$OL38,"Parado"))&gt;0),"Reação não entra com Parado",""),IF(AND((COUNTIF($MX38:$NA38,"Atrasar")+COUNTIF($OK38:$OL38,"Atrasar"))&gt;0,(COUNTIF($MX38:$NA38,"Parado")+COUNTIF($OK38:$OL38,"Parado"))&gt;0),"Atrasar não entra com Parado",""),IF(AND((COUNTIF($RK38:$RN38,"Armado")+COUNTIF($OK38:$OL38,"Armado"))&gt;0,(COUNTIF($MX38:$NA38,"Carregar")+COUNTIF($OK38:$OL38,"Carregar"))&gt;0),"Armado não entra com Carregar",""),IF(AND(COUNTIF($OK38:$OL38,"Corpo a Corpo")&gt;0,$OF38=0,OR($RO38="Cone",$RO38="Linha")),"Corpo a Corpo não entra em "&amp;$MU38,""),IF(AND(COUNTIF($OK38:$OL38,"Corpo a Corpo")&gt;0,$RP38="Corpo a Corpo"),"A Forma "&amp;$MU38&amp;" já traz o Corpo a Corpo",""),IF(AND(COUNTIF($OK38:$OL38,"Tudo ou Nada")&gt;0,$OH38=0),"Tudo ou Nada só entra em habilidade de Teste de Resistência",""),IF(AND(COUNTIF($RK38:$RN38,"Inescapável")&gt;0,OR($OU38&gt;1,$OV38&gt;0)),"Inescapável não aceita outra peça",""),IF(AND($MS38&gt;0,$PD38*IF(COUNTIF($RK38:$RN38,"Remate")&gt;0,1.25,1)+$PE38&gt;4*$MS38),($PD38*IF(COUNTIF($RK38:$RN38,"Remate")&gt;0,1.25,1)+$PE38)&amp;" dados somando repetições"&amp;IF(COUNTIF($RK38:$RN38,"Remate")&gt;0," e o Remate","")&amp;": o teto da Classe "&amp;$MS38&amp;" é "&amp;4*$MS38,""))),IF(AND($MX38&lt;&gt;"",COUNTIF('DADOS_MELHORIAS'!$O$2:$O$113,SUBSTITUTE(SUBSTITUTE(SUBSTITUTE($MX38,"~","~~"),"*","~*"),"?","~?"))=0),"Melhoria não cadastrada ou com erro: "&amp;$MX38,""),IF(AND($MY38&lt;&gt;"",COUNTIF('DADOS_MELHORIAS'!$O$2:$O$113,SUBSTITUTE(SUBSTITUTE(SUBSTITUTE($MY38,"~","~~"),"*","~*"),"?","~?"))=0),"Melhoria não cadastrada ou com erro: "&amp;$MY38,""),IF(AND($MZ38&lt;&gt;"",COUNTIF('DADOS_MELHORIAS'!$O$2:$O$113,SUBSTITUTE(SUBSTITUTE(SUBSTITUTE($MZ38,"~","~~"),"*","~*"),"?","~?"))=0),"Melhoria não cadastrada ou com erro: "&amp;$MZ38,""),IF(AND($NA38&lt;&gt;"",COUNTIF('DADOS_MELHORIAS'!$O$2:$O$113,SUBSTITUTE(SUBSTITUTE(SUBSTITUTE($NA38,"~","~~"),"*","~*"),"?","~?"))=0),"Melhoria não cadastrada ou com erro: "&amp;$NA38,""),IF(AND($NB38&lt;&gt;"",COUNTIF('DADOS_RESTRICOES'!$M$2:$M$54,SUBSTITUTE(SUBSTITUTE(SUBSTITUTE($NB38,"~","~~"),"*","~*"),"?","~?"))=0),"Restrição não cadastrada ou com erro: "&amp;$NB38,""),IF(AND($NC38&lt;&gt;"",COUNTIF('DADOS_RESTRICOES'!$M$2:$M$54,SUBSTITUTE(SUBSTITUTE(SUBSTITUTE($NC38,"~","~~"),"*","~*"),"?","~?"))=0),"Restrição não cadastrada ou com erro: "&amp;$NC38,""))),IF(AND($MU38&lt;&gt;"",COUNTIF('DADOS_FORMAS'!$AH$2:$AH$21,SUBSTITUTE(SUBSTITUTE(SUBSTITUTE($MU38,"~","~~"),"*","~*"),"?","~?"))=0),"Forma não cadastrada ou com erro: "&amp;$MU38,""),IF(AND(IFERROR(INDEX('DADOS_FORMAS'!$AS$2:$AS$21,MATCH(SUBSTITUTE(SUBSTITUTE(SUBSTITUTE($MU38,"~","~~"),"*","~*"),"?","~?"),'DADOS_FORMAS'!$AH$2:$AH$21,0)),"")&lt;&gt;"",OR(IFERROR(VLOOKUP(SUBSTITUTE(SUBSTITUTE(SUBSTITUTE(IFERROR(INDEX('DADOS_FORMAS'!$AS$2:$AS$21,MATCH(SUBSTITUTE(SUBSTITUTE(SUBSTITUTE($MU38,"~","~~"),"*","~*"),"?","~?"),'DADOS_FORMAS'!$AH$2:$AH$21,0)),""),"~","~~"),"*","~*"),"?","~?"),'DADOS_RESTRICOES'!$M$2:$Q$54,2,FALSE),"")=$OK38,IFERROR(VLOOKUP(SUBSTITUTE(SUBSTITUTE(SUBSTITUTE(IFERROR(INDEX('DADOS_FORMAS'!$AS$2:$AS$21,MATCH(SUBSTITUTE(SUBSTITUTE(SUBSTITUTE($MU38,"~","~~"),"*","~*"),"?","~?"),'DADOS_FORMAS'!$AH$2:$AH$21,0)),""),"~","~~"),"*","~*"),"?","~?"),'DADOS_RESTRICOES'!$M$2:$Q$54,2,FALSE),"")=$OL38)),"Restrição repetida, contando a embutida",""),IF(IF(IFERROR(INDEX('DADOS_FORMAS'!$AS$2:$AS$21,MATCH(SUBSTITUTE(SUBSTITUTE(SUBSTITUTE($MU38,"~","~~"),"*","~*"),"?","~?"),'DADOS_FORMAS'!$AH$2:$AH$21,0)),"")="",0,IFERROR(N(VLOOKUP(SUBSTITUTE(SUBSTITUTE(SUBSTITUTE(IFERROR(INDEX('DADOS_FORMAS'!$AS$2:$AS$21,MATCH(SUBSTITUTE(SUBSTITUTE(SUBSTITUTE($MU38,"~","~~"),"*","~*"),"?","~?"),'DADOS_FORMAS'!$AH$2:$AH$21,0)),""),"~","~~"),"*","~*"),"?","~?"),'DADOS_RESTRICOES'!$M$2:$Q$54,4,FALSE)=1),0))+IF($NB38="",0,IFERROR(N(VLOOKUP(SUBSTITUTE(SUBSTITUTE(SUBSTITUTE($NB38,"~","~~"),"*","~*"),"?","~?"),'DADOS_RESTRICOES'!$M$2:$Q$54,4,FALSE)=1),0))+IF($NC38="",0,IFERROR(N(VLOOKUP(SUBSTITUTE(SUBSTITUTE(SUBSTITUTE($NC38,"~","~~"),"*","~*"),"?","~?"),'DADOS_RESTRICOES'!$M$2:$Q$54,4,FALSE)=1),0))&gt;1,"Duas Restrições de frequência, contando a embutida",""),IF(AND(IFERROR(VLOOKUP(SUBSTITUTE(SUBSTITUTE(SUBSTITUTE(IFERROR(INDEX('DADOS_FORMAS'!$AS$2:$AS$21,MATCH(SUBSTITUTE(SUBSTITUTE(SUBSTITUTE($MU38,"~","~~"),"*","~*"),"?","~?"),'DADOS_FORMAS'!$AH$2:$AH$21,0)),""),"~","~~"),"*","~*"),"?","~?"),'DADOS_RESTRICOES'!$M$2:$Q$54,2,FALSE),"")="Tudo ou Nada",$OH38=0),"Tudo ou Nada exige TR",""),IF(AND(IFERROR(VLOOKUP(SUBSTITUTE(SUBSTITUTE(SUBSTITUTE(IFERROR(INDEX('DADOS_FORMAS'!$AS$2:$AS$21,MATCH(SUBSTITUTE(SUBSTITUTE(SUBSTITUTE($MU38,"~","~~"),"*","~*"),"?","~?"),'DADOS_FORMAS'!$AH$2:$AH$21,0)),""),"~","~~"),"*","~*"),"?","~?"),'DADOS_RESTRICOES'!$M$2:$Q$54,2,FALSE),"")="Corpo a Corpo",OR($RO38="Cone",$RO38="Linha")),"Corpo a Corpo não entra em Cone/Linha","")))</f>
        <v/>
      </c>
      <c r="PU38" s="164">
        <f>IF($PT38="",0,(LEN($PT38)-LEN(SUBSTITUTE($PT38," · ","")))/3+1)</f>
        <v/>
      </c>
      <c r="PV38" s="164">
        <f>IF($ND38=0,"",TEXTJOIN(" · ",TRUE,IF($OX38&gt;2*$MS38,"A devolução parou no teto de "&amp;2*$MS38,""),IF($PA38&gt;0,"Devolução perdida: "&amp;$PA38&amp;IF($PA38&gt;1," pontos"," ponto")&amp;" sem Melhoria para pagar",""),IF(AND($OC38&gt;0,AND($MS38&gt;0,$OG38=0),$PD38=0),"Controle sem dano: uma rodada a mais e CD +2",""),IF(AND($OC38&gt;0,AND($MS38&gt;0,$OG38=0),$PD38&gt;0,$PD38&lt;=$MS38),"Controle com saldo até a Classe: uma rodada a mais",""),IF(AND($MS38&gt;0,$OE38&lt;&gt;""),"Efeito de "&amp;$OE38&amp;" pela Classe "&amp;MAX(1,$MS38-1),"")))</f>
        <v/>
      </c>
      <c r="PW38" s="164">
        <f>IF($PV38="",0,(LEN($PV38)-LEN(SUBSTITUTE($PV38," · ","")))/3+1)</f>
        <v/>
      </c>
      <c r="PX38" s="164">
        <f>IF($ND38=0,IF($OU38+COUNTIF($NB38:$NC38,"?*")&gt;0,"Dê um nome",""),IF($PU38&gt;0,"⚠ "&amp;$PU38&amp;IF($PU38&gt;1," erros"," erro"),IF($PW38&gt;0,"! "&amp;$PW38&amp;IF($PW38&gt;1," avisos"," aviso"),"Na regra")))</f>
        <v/>
      </c>
      <c r="PY38" s="164">
        <f>IF($ND38=0,"",IF($PU38+$PW38=0,"Dentro das regras que a ficha confere",$PT38&amp;IF(AND($PU38&gt;0,$PW38&gt;0)," · ","")&amp;$PV38))</f>
        <v/>
      </c>
      <c r="PZ38" s="164">
        <f>IF($MQ38&gt;$NE38,$MR38&amp;" · ABRE NO NÍVEL "&amp;$MQ38,$MR38)</f>
        <v/>
      </c>
      <c r="QA38" s="164">
        <f>IF($ND38=0,"",IF($MS38=0,"Sem PE",3*$MS38&amp;" PE"))</f>
        <v/>
      </c>
      <c r="QB38" s="164">
        <f>IF($ND38=0,"",IF($MS38=0,"A atuação básica dela",IF(COUNTIF($RQ38:$RS38,"Atrasar")&gt;0,"Sua Ação Completa",IF(COUNTIF($RK38:$RN38,"Rápido")&gt;0,"Sua Bônus",IF(COUNTIF($RK38:$RN38,"Reação")&gt;0,"Sua Reação","Sua Padrão")))&amp;" + a básica dela"&amp;IF(COUNTIF($RK38:$RN38,"Reação")&gt;0," e a coletiva","")&amp;IF(COUNTIF($RQ38:$RS38,"Carregar")&gt;0," · em dois turnos","")))</f>
        <v/>
      </c>
      <c r="QC38" s="164">
        <f>IF($MW38&lt;&gt;"",$MW38,IF($NJ38=0,"",INDEX('DADOS_FORMAS'!$GE$2:$GE$21,$NJ38)))</f>
        <v/>
      </c>
      <c r="QD38" s="164">
        <f>IF(OR($ND38=0,$NJ38=0),"",IF(COUNTIF($RK38:$RN38,"Inescapável")&gt;0,"Automático",IF($QC38="Ataque",IF($NH38="","Ataque","Ataque "&amp;IF(($NH38+2*IF(COUNTIF($RK38:$RN38,"Precisão")&gt;0,1,0))&gt;=0,"+","−")&amp;ABS(($NH38+2*IF(COUNTIF($RK38:$RN38,"Precisão")&gt;0,1,0))))&amp;IF($OD38&gt;0," · TR"&amp;IF($NI38="",""," CD "&amp;$NI38),""),IF(LEFT($QC38,2)="TR",$QC38&amp;IF($NI38="",""," · CD "&amp;$NI38)&amp;IF(COUNTIF($RK38:$RN38,"Certeiro")&gt;0," · metade",""),"Sem rolagem"))))</f>
        <v/>
      </c>
      <c r="QE38" s="164">
        <f>IF(OR($ND38=0,$NJ38=0),"",IF($MS38=0,IF(OR($OG38&gt;=1,$PD38=0),"Sem dano",$PD38&amp;"d6"&amp;IF($MV38="",""," "&amp;$MV38)),IF(OR($OG38&gt;=1,$PD38=0),UPPER(LEFT(INDEX($PM38:$PS38,1,MAX(1,$MS38)),1))&amp;MID(INDEX($PM38:$PS38,1,MAX(1,$MS38)),2,99),UPPER(LEFT(INDEX($PM38:$PS38,1,MAX(1,$MS38)),1))&amp;MID(INDEX($PM38:$PS38,1,MAX(1,$MS38)),2,99)&amp;IF($MV38="",""," "&amp;$MV38)&amp;IF($PE38&gt;0," · +"&amp;$PE38&amp;"d8",""))))</f>
        <v/>
      </c>
      <c r="QF38" s="164">
        <f>COUNTIF($RK38:$RN38,"Longe")+3*COUNTIF($RK38:$RN38,"Muito Longe")</f>
        <v/>
      </c>
      <c r="QG38" s="164">
        <f>COUNTIF($RK38:$RN38,"Maior")+3*COUNTIF($RK38:$RN38,"Muito Maior")</f>
        <v/>
      </c>
      <c r="QH38" s="164">
        <f>IF($NJ38=0,0,CHOOSE(1+INDEX('DADOS_FORMAS'!$GG$2:$GG$21,$NJ38),0,$QF38,$QG38,$QF38+$QG38))</f>
        <v/>
      </c>
      <c r="QI38" s="164">
        <f>IF($NJ38=0,0,CHOOSE(1+INDEX('DADOS_FORMAS'!$GH$2:$GH$21,$NJ38),0,$QF38,$QG38,$QF38+$QG38))</f>
        <v/>
      </c>
      <c r="QJ38" s="164">
        <f>IF(OR($ND38=0,$NJ38=0),"",INDEX('DADOS_FORMAS'!$HU$2:$HZ$81,($NJ38-1)*4+IF($MS38=0,1,IF($MS38&lt;=5,2,IF($MS38=6,3,4))),1+MIN(5,$QH38))&amp;INDEX('DADOS_FORMAS'!$IA$2:$IF$81,($NJ38-1)*4+IF($MS38=0,1,IF($MS38&lt;=5,2,IF($MS38=6,3,4))),1+MIN(5,$QI38))&amp;IF(INDEX('DADOS_FORMAS'!$GI$2:$GI$21,$NJ38)=1,IF(COUNTIF($RK38:$RN38,"Mais Um")&gt;0," · +"&amp;COUNTIF($RK38:$RN38,"Mais Um")&amp;IF(COUNTIF($RK38:$RN38,"Mais Um")&gt;1," alvos"," alvo"),"")&amp;IF(COUNTIF($RK38:$RN38,"Rajada")&gt;0,IF($MS38=0," · 1 tiro"," · "&amp;(MAX(1,$MS38-1)+1)&amp;" tiros"),""),""))</f>
        <v/>
      </c>
      <c r="QK38" s="164">
        <f>IF($ND38=0,"",IF($MS38=0,$NG38&amp;"d6"&amp;IF($OU38&gt;0," − 1 = "&amp;$PD38&amp;"d6"," da básica do nível "&amp;$NE38),$PB38&amp;" − "&amp;$OW38&amp;" + "&amp;$OZ38&amp;" = "&amp;$PC38&amp;" · teto "&amp;4*$MS38&amp;"d8"&amp;IF($OF38=1," · a Forma devolve "&amp;$MS38,"")&amp;IF($PA38&gt;0," · perde "&amp;$PA38,"")))</f>
        <v/>
      </c>
      <c r="QL38" s="164">
        <f>IF($ND38=0,"",IF($MS38=0,"A básica não amplia: os dados dela sobem com o nível",IF($MS38&gt;=$NF38,"Já está na maior Classe que o nível liberou",TEXTJOIN(" · ",TRUE,IF(AND(2&gt;$MS38,2&lt;=$NF38),"2 → "&amp;$PN38&amp;", 6 PE",""),IF(AND(3&gt;$MS38,3&lt;=$NF38),"3 → "&amp;$PO38&amp;", 9 PE",""),IF(AND(4&gt;$MS38,4&lt;=$NF38),"4 → "&amp;$PP38&amp;", 12 PE",""),IF(AND(5&gt;$MS38,5&lt;=$NF38),"5 → "&amp;$PQ38&amp;", 15 PE",""),IF(AND(6&gt;$MS38,6&lt;=$NF38),"6 → "&amp;$PR38&amp;", 18 PE",""),IF(AND(7&gt;$MS38,7&lt;=$NF38),"7 → "&amp;$PS38&amp;", 21 PE","")))))</f>
        <v/>
      </c>
      <c r="QM38" s="164">
        <f>IF(OR($ND38=0,$NO38=0),"",IF($MS38=0,"−1 dado","−"&amp;INDEX($I$2:$N$8,MAX(1,$MS38),MAX(1,$NT38))&amp;" · "&amp;CHOOSE(MAX(1,$NT38),"Leve","Média","Pesada","Leve · Livre","Média · Livre","Pesada · Livre")))</f>
        <v/>
      </c>
      <c r="QN38" s="164">
        <f>IF(OR($ND38=0,$NP38=0),"",IF($MS38=0,"−1 dado","−"&amp;INDEX($I$2:$N$8,MAX(1,$MS38),MAX(1,$NU38))&amp;" · "&amp;CHOOSE(MAX(1,$NU38),"Leve","Média","Pesada","Leve · Livre","Média · Livre","Pesada · Livre")))</f>
        <v/>
      </c>
      <c r="QO38" s="164">
        <f>IF(OR($ND38=0,$NQ38=0),"",IF($MS38=0,"−1 dado","−"&amp;INDEX($I$2:$N$8,MAX(1,$MS38),MAX(1,$NV38))&amp;" · "&amp;CHOOSE(MAX(1,$NV38),"Leve","Média","Pesada","Leve · Livre","Média · Livre","Pesada · Livre")))</f>
        <v/>
      </c>
      <c r="QP38" s="164">
        <f>IF(OR($ND38=0,$NR38=0),"",IF($MS38=0,"−1 dado","−"&amp;INDEX($I$2:$N$8,MAX(1,$MS38),MAX(1,$NW38))&amp;" · "&amp;CHOOSE(MAX(1,$NW38),"Leve","Média","Pesada","Leve · Livre","Média · Livre","Pesada · Livre")))</f>
        <v/>
      </c>
      <c r="QQ38" s="164">
        <f>IF(OR($ND38=0,$NB38=""),"",IF($MS38=0,"não devolve","+"&amp;IF($OI38=1,CEILING($MS38/2,1),$MS38)))</f>
        <v/>
      </c>
      <c r="QR38" s="164">
        <f>IF(OR($ND38=0,$NC38=""),"",IF($MS38=0,"não devolve","+"&amp;IF($OJ38=1,CEILING($MS38/2,1),$MS38)))</f>
        <v/>
      </c>
      <c r="RK38">
        <f>IF($MX38="","",IFERROR(VLOOKUP(SUBSTITUTE(SUBSTITUTE(SUBSTITUTE($MX38,"~","~~"),"*","~*"),"?","~?"),'DADOS_MELHORIAS'!$O$2:$X$113,10,FALSE),$MX38))</f>
        <v/>
      </c>
      <c r="RL38">
        <f>IF($MY38="","",IFERROR(VLOOKUP(SUBSTITUTE(SUBSTITUTE(SUBSTITUTE($MY38,"~","~~"),"*","~*"),"?","~?"),'DADOS_MELHORIAS'!$O$2:$X$113,10,FALSE),$MY38))</f>
        <v/>
      </c>
      <c r="RM38">
        <f>IF($MZ38="","",IFERROR(VLOOKUP(SUBSTITUTE(SUBSTITUTE(SUBSTITUTE($MZ38,"~","~~"),"*","~*"),"?","~?"),'DADOS_MELHORIAS'!$O$2:$X$113,10,FALSE),$MZ38))</f>
        <v/>
      </c>
      <c r="RN38">
        <f>IF($NA38="","",IFERROR(VLOOKUP(SUBSTITUTE(SUBSTITUTE(SUBSTITUTE($NA38,"~","~~"),"*","~*"),"?","~?"),'DADOS_MELHORIAS'!$O$2:$X$113,10,FALSE),$NA38))</f>
        <v/>
      </c>
      <c r="RO38">
        <f>IFERROR(INDEX('DADOS_FORMAS'!$BJ$2:$BJ$21,MATCH(SUBSTITUTE(SUBSTITUTE(SUBSTITUTE($MU38,"~","~~"),"*","~*"),"?","~?"),'DADOS_FORMAS'!$AH$2:$AH$21,0)),"")</f>
        <v/>
      </c>
      <c r="RP38">
        <f>IFERROR(VLOOKUP(SUBSTITUTE(SUBSTITUTE(SUBSTITUTE(IFERROR(INDEX('DADOS_FORMAS'!$AS$2:$AS$21,MATCH(SUBSTITUTE(SUBSTITUTE(SUBSTITUTE($MU38,"~","~~"),"*","~*"),"?","~?"),'DADOS_FORMAS'!$AH$2:$AH$21,0)),""),"~","~~"),"*","~*"),"?","~?"),'DADOS_RESTRICOES'!$M$2:$Q$54,2,FALSE),"")</f>
        <v/>
      </c>
      <c r="RQ38">
        <f>$OK38</f>
        <v/>
      </c>
      <c r="RR38">
        <f>$OL38</f>
        <v/>
      </c>
      <c r="RS38">
        <f>$RP38</f>
        <v/>
      </c>
    </row>
    <row r="39">
      <c r="AH39" s="162" t="inlineStr">
        <is>
          <t>Efeito · classes 1 a 5</t>
        </is>
      </c>
      <c r="AI39" s="162" t="inlineStr">
        <is>
          <t>Fora de combate</t>
        </is>
      </c>
      <c r="AJ39" s="162" t="inlineStr">
        <is>
          <t>Fora de combate</t>
        </is>
      </c>
      <c r="AK39" s="162" t="inlineStr">
        <is>
          <t>Fora de combate</t>
        </is>
      </c>
      <c r="AL39" s="162" t="inlineStr">
        <is>
          <t>Fora de combate</t>
        </is>
      </c>
      <c r="AM39" s="162" t="inlineStr">
        <is>
          <t>Fora de combate</t>
        </is>
      </c>
      <c r="AN39" s="162" t="inlineStr">
        <is>
          <t>Fora de combate</t>
        </is>
      </c>
      <c r="AO39" s="162" t="inlineStr"/>
      <c r="AP39" s="162" t="inlineStr"/>
      <c r="AQ39" s="162" t="inlineStr"/>
      <c r="AR39" s="162" t="inlineStr"/>
      <c r="AS39" s="162" t="inlineStr"/>
      <c r="AT39" s="162" t="inlineStr"/>
      <c r="AV39" s="162" t="inlineStr">
        <is>
          <t>Desarma o Feitiço</t>
        </is>
      </c>
      <c r="AW39" s="162" t="inlineStr">
        <is>
          <t>Controle</t>
        </is>
      </c>
      <c r="AX39" s="164" t="n">
        <v>2</v>
      </c>
      <c r="AY39" s="164" t="n">
        <v>1</v>
      </c>
      <c r="AZ39" s="164" t="n">
        <v>1</v>
      </c>
      <c r="BA39" s="164" t="n">
        <v>0</v>
      </c>
      <c r="JT39" s="164">
        <f>IF(OR($AW39="",(COUNTIF($EL$2:$EP$2,$AW39)+COUNTIF($QV$2:$QY$2,$AW39))&gt;0),$AV39,"")</f>
        <v/>
      </c>
      <c r="JU39" s="164">
        <f>IF(AND($AX39=1,OR($AW39="",(COUNTIF($EL$2:$EP$2,$AW39)+COUNTIF($QV$2:$QY$2,$AW39))&gt;0)),$AV39,"")</f>
        <v/>
      </c>
      <c r="JZ39" s="164">
        <f>IF(OR($AW39="",(COUNTIF($EL$3:$EP$3,$AW39)+COUNTIF($QV$3:$QY$3,$AW39))&gt;0),$AV39,"")</f>
        <v/>
      </c>
      <c r="KA39" s="164">
        <f>IF(AND($AX39=1,OR($AW39="",(COUNTIF($EL$3:$EP$3,$AW39)+COUNTIF($QV$3:$QY$3,$AW39))&gt;0)),$AV39,"")</f>
        <v/>
      </c>
      <c r="KF39" s="164">
        <f>IF(OR($AW39="",(COUNTIF($EL$4:$EP$4,$AW39)+COUNTIF($QV$4:$QY$4,$AW39))&gt;0),$AV39,"")</f>
        <v/>
      </c>
      <c r="KG39" s="164">
        <f>IF(AND($AX39=1,OR($AW39="",(COUNTIF($EL$4:$EP$4,$AW39)+COUNTIF($QV$4:$QY$4,$AW39))&gt;0)),$AV39,"")</f>
        <v/>
      </c>
      <c r="KL39" s="164">
        <f>IF(OR($AW39="",(COUNTIF($EL$5:$EP$5,$AW39)+COUNTIF($QV$5:$QY$5,$AW39))&gt;0),$AV39,"")</f>
        <v/>
      </c>
      <c r="KM39" s="164">
        <f>IF(AND($AX39=1,OR($AW39="",(COUNTIF($EL$5:$EP$5,$AW39)+COUNTIF($QV$5:$QY$5,$AW39))&gt;0)),$AV39,"")</f>
        <v/>
      </c>
      <c r="KR39" s="164">
        <f>IF(OR($AW39="",(COUNTIF($EL$6:$EP$6,$AW39)+COUNTIF($QV$6:$QY$6,$AW39))&gt;0),$AV39,"")</f>
        <v/>
      </c>
      <c r="KS39" s="164">
        <f>IF(AND($AX39=1,OR($AW39="",(COUNTIF($EL$6:$EP$6,$AW39)+COUNTIF($QV$6:$QY$6,$AW39))&gt;0)),$AV39,"")</f>
        <v/>
      </c>
      <c r="KX39" s="164">
        <f>IF(OR($AW39="",(COUNTIF($EL$7:$EP$7,$AW39)+COUNTIF($QV$7:$QY$7,$AW39))&gt;0),$AV39,"")</f>
        <v/>
      </c>
      <c r="KY39" s="164">
        <f>IF(AND($AX39=1,OR($AW39="",(COUNTIF($EL$7:$EP$7,$AW39)+COUNTIF($QV$7:$QY$7,$AW39))&gt;0)),$AV39,"")</f>
        <v/>
      </c>
      <c r="LD39" s="164">
        <f>IF(OR($AW39="",(COUNTIF($EL$8:$EP$8,$AW39)+COUNTIF($QV$8:$QY$8,$AW39))&gt;0),$AV39,"")</f>
        <v/>
      </c>
      <c r="LE39" s="164">
        <f>IF(AND($AX39=1,OR($AW39="",(COUNTIF($EL$8:$EP$8,$AW39)+COUNTIF($QV$8:$QY$8,$AW39))&gt;0)),$AV39,"")</f>
        <v/>
      </c>
      <c r="LJ39" s="164">
        <f>IF(OR($AW39="",(COUNTIF($EL$9:$EP$9,$AW39)+COUNTIF($QV$9:$QY$9,$AW39))&gt;0),$AV39,"")</f>
        <v/>
      </c>
      <c r="LK39" s="164">
        <f>IF(AND($AX39=1,OR($AW39="",(COUNTIF($EL$9:$EP$9,$AW39)+COUNTIF($QV$9:$QY$9,$AW39))&gt;0)),$AV39,"")</f>
        <v/>
      </c>
      <c r="LP39" s="164">
        <f>IF(OR($AW39="",(COUNTIF($EL$10:$EP$10,$AW39)+COUNTIF($QV$10:$QY$10,$AW39))&gt;0),$AV39,"")</f>
        <v/>
      </c>
      <c r="LQ39" s="164">
        <f>IF(AND($AX39=1,OR($AW39="",(COUNTIF($EL$10:$EP$10,$AW39)+COUNTIF($QV$10:$QY$10,$AW39))&gt;0)),$AV39,"")</f>
        <v/>
      </c>
      <c r="LV39" s="164">
        <f>IF(OR($AW39="",(COUNTIF($EL$11:$EP$11,$AW39)+COUNTIF($QV$11:$QY$11,$AW39))&gt;0),$AV39,"")</f>
        <v/>
      </c>
      <c r="LW39" s="164">
        <f>IF(AND($AX39=1,OR($AW39="",(COUNTIF($EL$11:$EP$11,$AW39)+COUNTIF($QV$11:$QY$11,$AW39))&gt;0)),$AV39,"")</f>
        <v/>
      </c>
      <c r="MB39" s="164">
        <f>IF(OR($AW39="",(COUNTIF($EL$12:$EP$12,$AW39)+COUNTIF($QV$12:$QY$12,$AW39))&gt;0),$AV39,"")</f>
        <v/>
      </c>
      <c r="MC39" s="164">
        <f>IF(AND($AX39=1,OR($AW39="",(COUNTIF($EL$12:$EP$12,$AW39)+COUNTIF($QV$12:$QY$12,$AW39))&gt;0)),$AV39,"")</f>
        <v/>
      </c>
      <c r="MH39" s="164">
        <f>IF(OR($AW39="",(COUNTIF($EL$13:$EP$13,$AW39)+COUNTIF($QV$13:$QY$13,$AW39))&gt;0),$AV39,"")</f>
        <v/>
      </c>
      <c r="MI39" s="164">
        <f>IF(AND($AX39=1,OR($AW39="",(COUNTIF($EL$13:$EP$13,$AW39)+COUNTIF($QV$13:$QY$13,$AW39))&gt;0)),$AV39,"")</f>
        <v/>
      </c>
      <c r="MN39" s="162" t="inlineStr">
        <is>
          <t>Ficha 3 · Escolha da trilha 2</t>
        </is>
      </c>
      <c r="MO39" s="164" t="n">
        <v>3</v>
      </c>
      <c r="MP39" s="164" t="n">
        <v>2</v>
      </c>
      <c r="MQ39" s="164" t="n">
        <v>0</v>
      </c>
      <c r="MR39" s="162" t="inlineStr">
        <is>
          <t>ESCOLHA DA TRILHA 2</t>
        </is>
      </c>
      <c r="MS39" s="164">
        <f>MAX(0,MIN(7,N('INVOCAÇÕES'!$O$595)))</f>
        <v/>
      </c>
      <c r="MT39" s="164">
        <f>'INVOCAÇÕES'!$P$595&amp;""</f>
        <v/>
      </c>
      <c r="MU39" s="164">
        <f>'INVOCAÇÕES'!$O$600&amp;""</f>
        <v/>
      </c>
      <c r="MV39" s="164">
        <f>'INVOCAÇÕES'!$O$601&amp;""</f>
        <v/>
      </c>
      <c r="MW39" s="164">
        <f>'INVOCAÇÕES'!$Q$601&amp;""</f>
        <v/>
      </c>
      <c r="MX39" s="164">
        <f>'INVOCAÇÕES'!$P$604&amp;""</f>
        <v/>
      </c>
      <c r="MY39" s="164">
        <f>'INVOCAÇÕES'!$P$605&amp;""</f>
        <v/>
      </c>
      <c r="MZ39" s="164">
        <f>'INVOCAÇÕES'!$P$606&amp;""</f>
        <v/>
      </c>
      <c r="NA39" s="164">
        <f>'INVOCAÇÕES'!$P$607&amp;""</f>
        <v/>
      </c>
      <c r="NB39" s="164">
        <f>'INVOCAÇÕES'!$P$608&amp;""</f>
        <v/>
      </c>
      <c r="NC39" s="164">
        <f>'INVOCAÇÕES'!$P$609&amp;""</f>
        <v/>
      </c>
      <c r="ND39" s="164">
        <f>IF($MT39&lt;&gt;"",1,0)</f>
        <v/>
      </c>
      <c r="NE39" s="164">
        <f>INDEX($FO$2:$FO$13,$MO39)</f>
        <v/>
      </c>
      <c r="NF39" s="164">
        <f>INDEX($FP$2:$FP$13,$MO39)</f>
        <v/>
      </c>
      <c r="NG39" s="164">
        <f>INDEX($FQ$2:$FQ$13,$MO39)</f>
        <v/>
      </c>
      <c r="NH39" s="164">
        <f>INDEX($GB$2:$GB$13,$MO39)</f>
        <v/>
      </c>
      <c r="NI39" s="164">
        <f>INDEX($GC$2:$GC$13,$MO39)</f>
        <v/>
      </c>
      <c r="NJ39" s="164">
        <f>IFERROR(MATCH(SUBSTITUTE(SUBSTITUTE(SUBSTITUTE($MU39,"~","~~"),"*","~*"),"?","~?"),'DADOS_FORMAS'!$FZ$2:$FZ$21,0),0)</f>
        <v/>
      </c>
      <c r="NK39" s="164">
        <f>IFERROR(VLOOKUP(SUBSTITUTE(SUBSTITUTE(SUBSTITUTE($MX39,"~","~~"),"*","~*"),"?","~?"),'DADOS_MELHORIAS'!$AG$2:$AL$113,2,FALSE),"")</f>
        <v/>
      </c>
      <c r="NL39" s="164">
        <f>IFERROR(VLOOKUP(SUBSTITUTE(SUBSTITUTE(SUBSTITUTE($MY39,"~","~~"),"*","~*"),"?","~?"),'DADOS_MELHORIAS'!$AG$2:$AL$113,2,FALSE),"")</f>
        <v/>
      </c>
      <c r="NM39" s="164">
        <f>IFERROR(VLOOKUP(SUBSTITUTE(SUBSTITUTE(SUBSTITUTE($MZ39,"~","~~"),"*","~*"),"?","~?"),'DADOS_MELHORIAS'!$AG$2:$AL$113,2,FALSE),"")</f>
        <v/>
      </c>
      <c r="NN39" s="164">
        <f>IFERROR(VLOOKUP(SUBSTITUTE(SUBSTITUTE(SUBSTITUTE($NA39,"~","~~"),"*","~*"),"?","~?"),'DADOS_MELHORIAS'!$AG$2:$AL$113,2,FALSE),"")</f>
        <v/>
      </c>
      <c r="NO39" s="164">
        <f>IFERROR(VLOOKUP(SUBSTITUTE(SUBSTITUTE(SUBSTITUTE($MX39,"~","~~"),"*","~*"),"?","~?"),'DADOS_MELHORIAS'!$AG$2:$AL$113,3,FALSE),0)</f>
        <v/>
      </c>
      <c r="NP39" s="164">
        <f>IFERROR(VLOOKUP(SUBSTITUTE(SUBSTITUTE(SUBSTITUTE($MY39,"~","~~"),"*","~*"),"?","~?"),'DADOS_MELHORIAS'!$AG$2:$AL$113,3,FALSE),0)</f>
        <v/>
      </c>
      <c r="NQ39" s="164">
        <f>IFERROR(VLOOKUP(SUBSTITUTE(SUBSTITUTE(SUBSTITUTE($MZ39,"~","~~"),"*","~*"),"?","~?"),'DADOS_MELHORIAS'!$AG$2:$AL$113,3,FALSE),0)</f>
        <v/>
      </c>
      <c r="NR39" s="164">
        <f>IFERROR(VLOOKUP(SUBSTITUTE(SUBSTITUTE(SUBSTITUTE($NA39,"~","~~"),"*","~*"),"?","~?"),'DADOS_MELHORIAS'!$AG$2:$AL$113,3,FALSE),0)</f>
        <v/>
      </c>
      <c r="NS39" s="164">
        <f>IF($MS39=0,0,IF($NJ39=0,0,INDEX('DADOS_FORMAS'!$GB$2:$GB$21,$NJ39)))</f>
        <v/>
      </c>
      <c r="NT39" s="164">
        <f>IF(OR($NO39=0,$MS39=0),0,$NO39+3*IF(AND($NK39&lt;&gt;"",COUNTIF(INDEX($RB$2:$RJ$13,$MO39,0),$NK39)&gt;0),1,0))</f>
        <v/>
      </c>
      <c r="NU39" s="164">
        <f>IF(OR($NP39=0,$MS39=0),0,$NP39+3*IF(AND($NL39&lt;&gt;"",COUNTIF(INDEX($RB$2:$RJ$13,$MO39,0),$NL39)&gt;0),1,0))</f>
        <v/>
      </c>
      <c r="NV39" s="164">
        <f>IF(OR($NQ39=0,$MS39=0),0,$NQ39+3*IF(AND($NM39&lt;&gt;"",COUNTIF(INDEX($RB$2:$RJ$13,$MO39,0),$NM39)&gt;0),1,0))</f>
        <v/>
      </c>
      <c r="NW39" s="164">
        <f>IF(OR($NR39=0,$MS39=0),0,$NR39+3*IF(AND($NN39&lt;&gt;"",COUNTIF(INDEX($RB$2:$RJ$13,$MO39,0),$NN39)&gt;0),1,0))</f>
        <v/>
      </c>
      <c r="NX39" s="164">
        <f>IF($NJ39=0,0,IF(INDEX('DADOS_FORMAS'!$GA$2:$GA$21,$NJ39)="",0,IF((COUNTIF(INDEX($EL$2:$EP$13,$MO39,0),INDEX('DADOS_FORMAS'!$GA$2:$GA$21,$NJ39))+COUNTIF(INDEX($QV$2:$QY$13,$MO39,0),INDEX('DADOS_FORMAS'!$GA$2:$GA$21,$NJ39)))=0,1,0)))</f>
        <v/>
      </c>
      <c r="NY39" s="164">
        <f>IF(OR($NO39=0,$NK39=""),0,IF((COUNTIF(INDEX($EL$2:$EP$13,$MO39,0),$NK39)+COUNTIF(INDEX($QV$2:$QY$13,$MO39,0),$NK39))=0,1,0))</f>
        <v/>
      </c>
      <c r="NZ39" s="164">
        <f>IF(OR($NP39=0,$NL39=""),0,IF((COUNTIF(INDEX($EL$2:$EP$13,$MO39,0),$NL39)+COUNTIF(INDEX($QV$2:$QY$13,$MO39,0),$NL39))=0,1,0))</f>
        <v/>
      </c>
      <c r="OA39" s="164">
        <f>IF(OR($NQ39=0,$NM39=""),0,IF((COUNTIF(INDEX($EL$2:$EP$13,$MO39,0),$NM39)+COUNTIF(INDEX($QV$2:$QY$13,$MO39,0),$NM39))=0,1,0))</f>
        <v/>
      </c>
      <c r="OB39" s="164">
        <f>IF(OR($NR39=0,$NN39=""),0,IF((COUNTIF(INDEX($EL$2:$EP$13,$MO39,0),$NN39)+COUNTIF(INDEX($QV$2:$QY$13,$MO39,0),$NN39))=0,1,0))</f>
        <v/>
      </c>
      <c r="OC39" s="164">
        <f>IFERROR(VLOOKUP(SUBSTITUTE(SUBSTITUTE(SUBSTITUTE($MX39,"~","~~"),"*","~*"),"?","~?"),'DADOS_MELHORIAS'!$AG$2:$AL$113,4,FALSE),0)+IFERROR(VLOOKUP(SUBSTITUTE(SUBSTITUTE(SUBSTITUTE($MY39,"~","~~"),"*","~*"),"?","~?"),'DADOS_MELHORIAS'!$AG$2:$AL$113,4,FALSE),0)+IFERROR(VLOOKUP(SUBSTITUTE(SUBSTITUTE(SUBSTITUTE($MZ39,"~","~~"),"*","~*"),"?","~?"),'DADOS_MELHORIAS'!$AG$2:$AL$113,4,FALSE),0)+IFERROR(VLOOKUP(SUBSTITUTE(SUBSTITUTE(SUBSTITUTE($NA39,"~","~~"),"*","~*"),"?","~?"),'DADOS_MELHORIAS'!$AG$2:$AL$113,4,FALSE),0)</f>
        <v/>
      </c>
      <c r="OD39" s="164">
        <f>IFERROR(VLOOKUP(SUBSTITUTE(SUBSTITUTE(SUBSTITUTE($MX39,"~","~~"),"*","~*"),"?","~?"),'DADOS_MELHORIAS'!$AG$2:$AL$113,6,FALSE),0)+IFERROR(VLOOKUP(SUBSTITUTE(SUBSTITUTE(SUBSTITUTE($MY39,"~","~~"),"*","~*"),"?","~?"),'DADOS_MELHORIAS'!$AG$2:$AL$113,6,FALSE),0)+IFERROR(VLOOKUP(SUBSTITUTE(SUBSTITUTE(SUBSTITUTE($MZ39,"~","~~"),"*","~*"),"?","~?"),'DADOS_MELHORIAS'!$AG$2:$AL$113,6,FALSE),0)+IFERROR(VLOOKUP(SUBSTITUTE(SUBSTITUTE(SUBSTITUTE($NA39,"~","~~"),"*","~*"),"?","~?"),'DADOS_MELHORIAS'!$AG$2:$AL$113,6,FALSE),0)+IFERROR(N(AND(INDEX('DADOS_FORMAS'!$AO$2:$AO$21,MATCH(SUBSTITUTE(SUBSTITUTE(SUBSTITUTE($MU39,"~","~~"),"*","~*"),"?","~?"),'DADOS_FORMAS'!$AH$2:$AH$21,0))="Acerto",$OH39=1)),0)</f>
        <v/>
      </c>
      <c r="OE39" s="164">
        <f>TEXTJOIN(", ",TRUE,IF(IFERROR(VLOOKUP(SUBSTITUTE(SUBSTITUTE(SUBSTITUTE($MX39,"~","~~"),"*","~*"),"?","~?"),'DADOS_MELHORIAS'!$AG$2:$AL$113,5,FALSE),0)=1,$MX39,""),IF(IFERROR(VLOOKUP(SUBSTITUTE(SUBSTITUTE(SUBSTITUTE($MY39,"~","~~"),"*","~*"),"?","~?"),'DADOS_MELHORIAS'!$AG$2:$AL$113,5,FALSE),0)=1,$MY39,""),IF(IFERROR(VLOOKUP(SUBSTITUTE(SUBSTITUTE(SUBSTITUTE($MZ39,"~","~~"),"*","~*"),"?","~?"),'DADOS_MELHORIAS'!$AG$2:$AL$113,5,FALSE),0)=1,$MZ39,""),IF(IFERROR(VLOOKUP(SUBSTITUTE(SUBSTITUTE(SUBSTITUTE($NA39,"~","~~"),"*","~*"),"?","~?"),'DADOS_MELHORIAS'!$AG$2:$AL$113,5,FALSE),0)=1,$NA39,""))</f>
        <v/>
      </c>
      <c r="OF39" s="164">
        <f>IF($NJ39=0,0,INDEX('DADOS_FORMAS'!$GC$2:$GC$21,$NJ39))</f>
        <v/>
      </c>
      <c r="OG39" s="164">
        <f>IF($NJ39=0,0,INDEX('DADOS_FORMAS'!$GD$2:$GD$21,$NJ39))</f>
        <v/>
      </c>
      <c r="OH39" s="164">
        <f>IF($NJ39=0,0,INDEX('DADOS_FORMAS'!$GF$2:$GF$21,$NJ39))</f>
        <v/>
      </c>
      <c r="OI39" s="164">
        <f>IFERROR(VLOOKUP(SUBSTITUTE(SUBSTITUTE(SUBSTITUTE($NB39,"~","~~"),"*","~*"),"?","~?"),'DADOS_RESTRICOES'!$M$2:$Q$54,3,FALSE),0)</f>
        <v/>
      </c>
      <c r="OJ39" s="164">
        <f>IFERROR(VLOOKUP(SUBSTITUTE(SUBSTITUTE(SUBSTITUTE($NC39,"~","~~"),"*","~*"),"?","~?"),'DADOS_RESTRICOES'!$M$2:$Q$54,3,FALSE),0)</f>
        <v/>
      </c>
      <c r="OK39" s="164">
        <f>IFERROR(VLOOKUP(SUBSTITUTE(SUBSTITUTE(SUBSTITUTE($NB39,"~","~~"),"*","~*"),"?","~?"),'DADOS_RESTRICOES'!$M$2:$Q$54,2,FALSE),"")</f>
        <v/>
      </c>
      <c r="OL39" s="164">
        <f>IFERROR(VLOOKUP(SUBSTITUTE(SUBSTITUTE(SUBSTITUTE($NC39,"~","~~"),"*","~*"),"?","~?"),'DADOS_RESTRICOES'!$M$2:$Q$54,2,FALSE),"")</f>
        <v/>
      </c>
      <c r="OM39" s="164">
        <f>COUNTIF($NS39:$NW39,1)</f>
        <v/>
      </c>
      <c r="ON39" s="164">
        <f>COUNTIF($NS39:$NW39,2)</f>
        <v/>
      </c>
      <c r="OO39" s="164">
        <f>COUNTIF($NS39:$NW39,3)</f>
        <v/>
      </c>
      <c r="OP39" s="164">
        <f>COUNTIF($NS39:$NW39,4)</f>
        <v/>
      </c>
      <c r="OQ39" s="164">
        <f>COUNTIF($NS39:$NW39,5)</f>
        <v/>
      </c>
      <c r="OR39" s="164">
        <f>COUNTIF($NS39:$NW39,6)</f>
        <v/>
      </c>
      <c r="OS39" s="164">
        <f>COUNTIF($OI39:$OJ39,1)+IF(IFERROR(INDEX('DADOS_FORMAS'!$AS$2:$AS$21,MATCH(SUBSTITUTE(SUBSTITUTE(SUBSTITUTE($MU39,"~","~~"),"*","~*"),"?","~?"),'DADOS_FORMAS'!$AH$2:$AH$21,0)),"")="",0,IFERROR(N(VLOOKUP(SUBSTITUTE(SUBSTITUTE(SUBSTITUTE(IFERROR(INDEX('DADOS_FORMAS'!$AS$2:$AS$21,MATCH(SUBSTITUTE(SUBSTITUTE(SUBSTITUTE($MU39,"~","~~"),"*","~*"),"?","~?"),'DADOS_FORMAS'!$AH$2:$AH$21,0)),""),"~","~~"),"*","~*"),"?","~?"),'DADOS_RESTRICOES'!$M$2:$Q$54,3,FALSE)=1),0))</f>
        <v/>
      </c>
      <c r="OT39" s="164">
        <f>COUNTIF($OI39:$OJ39,2)+IF(IFERROR(INDEX('DADOS_FORMAS'!$AS$2:$AS$21,MATCH(SUBSTITUTE(SUBSTITUTE(SUBSTITUTE($MU39,"~","~~"),"*","~*"),"?","~?"),'DADOS_FORMAS'!$AH$2:$AH$21,0)),"")="",0,IFERROR(N(VLOOKUP(SUBSTITUTE(SUBSTITUTE(SUBSTITUTE(IFERROR(INDEX('DADOS_FORMAS'!$AS$2:$AS$21,MATCH(SUBSTITUTE(SUBSTITUTE(SUBSTITUTE($MU39,"~","~~"),"*","~*"),"?","~?"),'DADOS_FORMAS'!$AH$2:$AH$21,0)),""),"~","~~"),"*","~*"),"?","~?"),'DADOS_RESTRICOES'!$M$2:$Q$54,3,FALSE)=2),0))</f>
        <v/>
      </c>
      <c r="OU39" s="164">
        <f>COUNTIF($MX39:$NA39,"?*")</f>
        <v/>
      </c>
      <c r="OV39" s="164">
        <f>COUNTIF($NB39:$NC39,"?*")+$OF39</f>
        <v/>
      </c>
      <c r="OW39" s="164">
        <f>IF($MS39=0,0,SUMPRODUCT($OM39:$OR39,INDEX($I$2:$N$8,MAX(1,$MS39),0)))</f>
        <v/>
      </c>
      <c r="OX39" s="164">
        <f>IF($MS39=0,0,$OS39*CEILING($MS39/2,1)+$OT39*$MS39)</f>
        <v/>
      </c>
      <c r="OY39" s="164">
        <f>MIN(2*$MS39,$OX39)</f>
        <v/>
      </c>
      <c r="OZ39" s="164">
        <f>MIN($OY39,$OW39-IF($NS39=0,0,INDEX($I$2:$N$8,MAX(1,$MS39),$NS39)))</f>
        <v/>
      </c>
      <c r="PA39" s="164">
        <f>$OY39-$OZ39</f>
        <v/>
      </c>
      <c r="PB39" s="164">
        <f>IF($MS39=0,0,INDEX($P$2:$P$8,MAX(1,$MS39)))</f>
        <v/>
      </c>
      <c r="PC39" s="164">
        <f>$PB39-$OW39+$OZ39</f>
        <v/>
      </c>
      <c r="PD39" s="164">
        <f>IF($MS39=0,MAX(0,$NG39-IF(AND($OU39&gt;0,COUNTIF($NB39:$NC39,"?*")=0),1,0)),MAX(0,$PC39))</f>
        <v/>
      </c>
      <c r="PE39" s="164">
        <f>IF($MS39=0,0,(IF(COUNTIF($RK39:$RN39,"Salto")&gt;0,1,0)+IF(COUNTIF($RK39:$RN39,"Queima")&gt;0,1,0)+IF(COUNTIF($RK39:$RN39,"Estilhaço")&gt;0,1,0))*FLOOR($PD39/2,1))</f>
        <v/>
      </c>
      <c r="PF39" s="164">
        <f>MAX(0,2-SUMPRODUCT($OM39:$OR39,$I$2:$N$2)+MIN(2,$OS39*1+$OT39*1,SUMPRODUCT($OM39:$OR39,$I$2:$N$2)-IF($NS39=0,0,INDEX($I$2:$N$2,1,$NS39))))</f>
        <v/>
      </c>
      <c r="PG39" s="164">
        <f>MAX(0,4-SUMPRODUCT($OM39:$OR39,$I$3:$N$3)+MIN(4,$OS39*1+$OT39*2,SUMPRODUCT($OM39:$OR39,$I$3:$N$3)-IF($NS39=0,0,INDEX($I$3:$N$3,1,$NS39))))</f>
        <v/>
      </c>
      <c r="PH39" s="164">
        <f>MAX(0,6-SUMPRODUCT($OM39:$OR39,$I$4:$N$4)+MIN(6,$OS39*2+$OT39*3,SUMPRODUCT($OM39:$OR39,$I$4:$N$4)-IF($NS39=0,0,INDEX($I$4:$N$4,1,$NS39))))</f>
        <v/>
      </c>
      <c r="PI39" s="164">
        <f>MAX(0,9-SUMPRODUCT($OM39:$OR39,$I$5:$N$5)+MIN(8,$OS39*2+$OT39*4,SUMPRODUCT($OM39:$OR39,$I$5:$N$5)-IF($NS39=0,0,INDEX($I$5:$N$5,1,$NS39))))</f>
        <v/>
      </c>
      <c r="PJ39" s="164">
        <f>MAX(0,11-SUMPRODUCT($OM39:$OR39,$I$6:$N$6)+MIN(10,$OS39*3+$OT39*5,SUMPRODUCT($OM39:$OR39,$I$6:$N$6)-IF($NS39=0,0,INDEX($I$6:$N$6,1,$NS39))))</f>
        <v/>
      </c>
      <c r="PK39" s="164">
        <f>MAX(0,13-SUMPRODUCT($OM39:$OR39,$I$7:$N$7)+MIN(12,$OS39*3+$OT39*6,SUMPRODUCT($OM39:$OR39,$I$7:$N$7)-IF($NS39=0,0,INDEX($I$7:$N$7,1,$NS39))))</f>
        <v/>
      </c>
      <c r="PL39" s="164">
        <f>MAX(0,16-SUMPRODUCT($OM39:$OR39,$I$8:$N$8)+MIN(14,$OS39*4+$OT39*7,SUMPRODUCT($OM39:$OR39,$I$8:$N$8)-IF($NS39=0,0,INDEX($I$8:$N$8,1,$NS39))))</f>
        <v/>
      </c>
      <c r="PM39" s="164">
        <f>IF($OG39=2,3*$PF39&amp;" de vida temp.",IF($OG39=3,"sem dano",IF($PF39=0,IF($OG39=1,"sem cura","sem dano"),IF($OG39=1,"cura ","")&amp;$PF39&amp;"d8")))</f>
        <v/>
      </c>
      <c r="PN39" s="164">
        <f>IF($OG39=2,3*$PG39&amp;" de vida temp.",IF($OG39=3,"sem dano",IF($PG39=0,IF($OG39=1,"sem cura","sem dano"),IF($OG39=1,"cura ","")&amp;$PG39&amp;"d8")))</f>
        <v/>
      </c>
      <c r="PO39" s="164">
        <f>IF($OG39=2,3*$PH39&amp;" de vida temp.",IF($OG39=3,"sem dano",IF($PH39=0,IF($OG39=1,"sem cura","sem dano"),IF($OG39=1,"cura ","")&amp;$PH39&amp;"d8")))</f>
        <v/>
      </c>
      <c r="PP39" s="164">
        <f>IF($OG39=2,3*$PI39&amp;" de vida temp.",IF($OG39=3,"sem dano",IF($PI39=0,IF($OG39=1,"sem cura","sem dano"),IF($OG39=1,"cura ","")&amp;$PI39&amp;"d8")))</f>
        <v/>
      </c>
      <c r="PQ39" s="164">
        <f>IF($OG39=2,3*$PJ39&amp;" de vida temp.",IF($OG39=3,"sem dano",IF($PJ39=0,IF($OG39=1,"sem cura","sem dano"),IF($OG39=1,"cura ","")&amp;$PJ39&amp;"d8")))</f>
        <v/>
      </c>
      <c r="PR39" s="164">
        <f>IF($OG39=2,3*$PK39&amp;" de vida temp.",IF($OG39=3,"sem dano",IF($PK39=0,IF($OG39=1,"sem cura","sem dano"),IF($OG39=1,"cura ","")&amp;$PK39&amp;"d8")))</f>
        <v/>
      </c>
      <c r="PS39" s="164">
        <f>IF($OG39=2,3*$PL39&amp;" de vida temp.",IF($OG39=3,"sem dano",IF($PL39=0,IF($OG39=1,"sem cura","sem dano"),IF($OG39=1,"cura ","")&amp;$PL39&amp;"d8")))</f>
        <v/>
      </c>
      <c r="PT39" s="164">
        <f>IF($ND39=0,"",TEXTJOIN(" · ",TRUE,IF($ND39=0,"",TEXTJOIN(" · ",TRUE,IF($ND39=0,"",TEXTJOIN(" · ",TRUE,IF($MQ39&gt;$NE39,"Este lugar abre no nível "&amp;$MQ39,""),IF($MS39&gt;$NF39,"Classe "&amp;$MS39&amp;": o nível "&amp;$NE39&amp;" libera até a "&amp;$NF39,""),IF($NX39=1,"A Forma "&amp;$MU39&amp;" pede "&amp;INDEX('DADOS_FORMAS'!$GA$2:$GA$21,$NJ39)&amp;" aberta",""),IF(AND($MS39=0,$NJ39&gt;0,IF($NJ39=0,0,INDEX('DADOS_FORMAS'!$GJ$2:$GJ$21,$NJ39))=0),$MU39&amp;" não existe na Classe 0",""),IF($NY39=1,"Família Fechada: "&amp;$MX39,""),IF($NZ39=1,"Família Fechada: "&amp;$MY39,""),IF($OA39=1,"Família Fechada: "&amp;$MZ39,""),IF($OB39=1,"Família Fechada: "&amp;$NA39,""),IF(AND($MS39&gt;0,$OU39&gt;INDEX($O$2:$O$8,MAX(1,$MS39))),$OU39&amp;" Melhorias: a Classe "&amp;$MS39&amp;" aceita "&amp;INDEX($O$2:$O$8,MAX(1,$MS39)),""),IF(AND($MS39=0,$OU39&gt;1),"A básica aceita uma Melhoria",""),IF(AND($MS39=0,COUNTIF($NO39:$NR39,"&gt;1")&gt;0),"A básica só aceita Melhoria Leve",""),IF(AND($MS39&gt;0,$OV39&gt;2),$OV39&amp;" Restrições"&amp;IF($OF39=1,", contando a que a Forma "&amp;$MU39&amp;" já traz","")&amp;": o limite é 2",""),IF(AND($MS39=0,COUNTIF($NB39:$NC39,"?*")&gt;1),"A básica aceita uma Restrição Leve",""),IF(AND($MS39=0,COUNTIF($OI39:$OJ39,2)&gt;0),"A básica só aceita Restrição Leve",""),IF(AND($MS39&gt;0,$PC39&lt;0),"Orçamento estourado: faltam "&amp;(-$PC39)&amp;IF($PC39&lt;-1," pontos"," ponto"),""),IF(IFERROR(VLOOKUP(SUBSTITUTE(SUBSTITUTE(SUBSTITUTE($NB39,"~","~~"),"*","~*"),"?","~?"),'DADOS_RESTRICOES'!$M$2:$Q$54,4,FALSE),0)+IFERROR(VLOOKUP(SUBSTITUTE(SUBSTITUTE(SUBSTITUTE($NC39,"~","~~"),"*","~*"),"?","~?"),'DADOS_RESTRICOES'!$M$2:$Q$54,4,FALSE),0)&gt;1,$OK39&amp;" e "&amp;$OL39&amp;" são as duas de frequência",""),IF(AND((COUNTIF($RK39:$RN39,"Rápido")+COUNTIF($OK39:$OL39,"Rápido"))&gt;0,(COUNTIF($MX39:$NA39,"Atrasar")+COUNTIF($OK39:$OL39,"Atrasar"))&gt;0),"Rápido não entra com Atrasar",""),IF(AND((COUNTIF($RK39:$RN39,"Reação")+COUNTIF($OK39:$OL39,"Reação"))&gt;0,(COUNTIF($RK39:$RN39,"Rápido")+COUNTIF($OK39:$OL39,"Rápido"))&gt;0),"Reação não entra com Rápido",""),IF(AND((COUNTIF($RK39:$RN39,"Reação")+COUNTIF($OK39:$OL39,"Reação"))&gt;0,(COUNTIF($RK39:$RN39,"Armado")+COUNTIF($OK39:$OL39,"Armado"))&gt;0),"Reação não entra com Armado",""),IF(AND((COUNTIF($RK39:$RN39,"Reação")+COUNTIF($OK39:$OL39,"Reação"))&gt;0,(COUNTIF($MX39:$NA39,"Atrasar")+COUNTIF($OK39:$OL39,"Atrasar"))&gt;0),"Reação não entra com Atrasar",""),IF(AND((COUNTIF($RK39:$RN39,"Reação")+COUNTIF($OK39:$OL39,"Reação"))&gt;0,(COUNTIF($MX39:$NA39,"Parado")+COUNTIF($OK39:$OL39,"Parado"))&gt;0),"Reação não entra com Parado",""),IF(AND((COUNTIF($MX39:$NA39,"Atrasar")+COUNTIF($OK39:$OL39,"Atrasar"))&gt;0,(COUNTIF($MX39:$NA39,"Parado")+COUNTIF($OK39:$OL39,"Parado"))&gt;0),"Atrasar não entra com Parado",""),IF(AND((COUNTIF($RK39:$RN39,"Armado")+COUNTIF($OK39:$OL39,"Armado"))&gt;0,(COUNTIF($MX39:$NA39,"Carregar")+COUNTIF($OK39:$OL39,"Carregar"))&gt;0),"Armado não entra com Carregar",""),IF(AND(COUNTIF($OK39:$OL39,"Corpo a Corpo")&gt;0,$OF39=0,OR($RO39="Cone",$RO39="Linha")),"Corpo a Corpo não entra em "&amp;$MU39,""),IF(AND(COUNTIF($OK39:$OL39,"Corpo a Corpo")&gt;0,$RP39="Corpo a Corpo"),"A Forma "&amp;$MU39&amp;" já traz o Corpo a Corpo",""),IF(AND(COUNTIF($OK39:$OL39,"Tudo ou Nada")&gt;0,$OH39=0),"Tudo ou Nada só entra em habilidade de Teste de Resistência",""),IF(AND(COUNTIF($RK39:$RN39,"Inescapável")&gt;0,OR($OU39&gt;1,$OV39&gt;0)),"Inescapável não aceita outra peça",""),IF(AND($MS39&gt;0,$PD39*IF(COUNTIF($RK39:$RN39,"Remate")&gt;0,1.25,1)+$PE39&gt;4*$MS39),($PD39*IF(COUNTIF($RK39:$RN39,"Remate")&gt;0,1.25,1)+$PE39)&amp;" dados somando repetições"&amp;IF(COUNTIF($RK39:$RN39,"Remate")&gt;0," e o Remate","")&amp;": o teto da Classe "&amp;$MS39&amp;" é "&amp;4*$MS39,""))),IF(AND($MX39&lt;&gt;"",COUNTIF('DADOS_MELHORIAS'!$O$2:$O$113,SUBSTITUTE(SUBSTITUTE(SUBSTITUTE($MX39,"~","~~"),"*","~*"),"?","~?"))=0),"Melhoria não cadastrada ou com erro: "&amp;$MX39,""),IF(AND($MY39&lt;&gt;"",COUNTIF('DADOS_MELHORIAS'!$O$2:$O$113,SUBSTITUTE(SUBSTITUTE(SUBSTITUTE($MY39,"~","~~"),"*","~*"),"?","~?"))=0),"Melhoria não cadastrada ou com erro: "&amp;$MY39,""),IF(AND($MZ39&lt;&gt;"",COUNTIF('DADOS_MELHORIAS'!$O$2:$O$113,SUBSTITUTE(SUBSTITUTE(SUBSTITUTE($MZ39,"~","~~"),"*","~*"),"?","~?"))=0),"Melhoria não cadastrada ou com erro: "&amp;$MZ39,""),IF(AND($NA39&lt;&gt;"",COUNTIF('DADOS_MELHORIAS'!$O$2:$O$113,SUBSTITUTE(SUBSTITUTE(SUBSTITUTE($NA39,"~","~~"),"*","~*"),"?","~?"))=0),"Melhoria não cadastrada ou com erro: "&amp;$NA39,""),IF(AND($NB39&lt;&gt;"",COUNTIF('DADOS_RESTRICOES'!$M$2:$M$54,SUBSTITUTE(SUBSTITUTE(SUBSTITUTE($NB39,"~","~~"),"*","~*"),"?","~?"))=0),"Restrição não cadastrada ou com erro: "&amp;$NB39,""),IF(AND($NC39&lt;&gt;"",COUNTIF('DADOS_RESTRICOES'!$M$2:$M$54,SUBSTITUTE(SUBSTITUTE(SUBSTITUTE($NC39,"~","~~"),"*","~*"),"?","~?"))=0),"Restrição não cadastrada ou com erro: "&amp;$NC39,""))),IF(AND($MU39&lt;&gt;"",COUNTIF('DADOS_FORMAS'!$AH$2:$AH$21,SUBSTITUTE(SUBSTITUTE(SUBSTITUTE($MU39,"~","~~"),"*","~*"),"?","~?"))=0),"Forma não cadastrada ou com erro: "&amp;$MU39,""),IF(AND(IFERROR(INDEX('DADOS_FORMAS'!$AS$2:$AS$21,MATCH(SUBSTITUTE(SUBSTITUTE(SUBSTITUTE($MU39,"~","~~"),"*","~*"),"?","~?"),'DADOS_FORMAS'!$AH$2:$AH$21,0)),"")&lt;&gt;"",OR(IFERROR(VLOOKUP(SUBSTITUTE(SUBSTITUTE(SUBSTITUTE(IFERROR(INDEX('DADOS_FORMAS'!$AS$2:$AS$21,MATCH(SUBSTITUTE(SUBSTITUTE(SUBSTITUTE($MU39,"~","~~"),"*","~*"),"?","~?"),'DADOS_FORMAS'!$AH$2:$AH$21,0)),""),"~","~~"),"*","~*"),"?","~?"),'DADOS_RESTRICOES'!$M$2:$Q$54,2,FALSE),"")=$OK39,IFERROR(VLOOKUP(SUBSTITUTE(SUBSTITUTE(SUBSTITUTE(IFERROR(INDEX('DADOS_FORMAS'!$AS$2:$AS$21,MATCH(SUBSTITUTE(SUBSTITUTE(SUBSTITUTE($MU39,"~","~~"),"*","~*"),"?","~?"),'DADOS_FORMAS'!$AH$2:$AH$21,0)),""),"~","~~"),"*","~*"),"?","~?"),'DADOS_RESTRICOES'!$M$2:$Q$54,2,FALSE),"")=$OL39)),"Restrição repetida, contando a embutida",""),IF(IF(IFERROR(INDEX('DADOS_FORMAS'!$AS$2:$AS$21,MATCH(SUBSTITUTE(SUBSTITUTE(SUBSTITUTE($MU39,"~","~~"),"*","~*"),"?","~?"),'DADOS_FORMAS'!$AH$2:$AH$21,0)),"")="",0,IFERROR(N(VLOOKUP(SUBSTITUTE(SUBSTITUTE(SUBSTITUTE(IFERROR(INDEX('DADOS_FORMAS'!$AS$2:$AS$21,MATCH(SUBSTITUTE(SUBSTITUTE(SUBSTITUTE($MU39,"~","~~"),"*","~*"),"?","~?"),'DADOS_FORMAS'!$AH$2:$AH$21,0)),""),"~","~~"),"*","~*"),"?","~?"),'DADOS_RESTRICOES'!$M$2:$Q$54,4,FALSE)=1),0))+IF($NB39="",0,IFERROR(N(VLOOKUP(SUBSTITUTE(SUBSTITUTE(SUBSTITUTE($NB39,"~","~~"),"*","~*"),"?","~?"),'DADOS_RESTRICOES'!$M$2:$Q$54,4,FALSE)=1),0))+IF($NC39="",0,IFERROR(N(VLOOKUP(SUBSTITUTE(SUBSTITUTE(SUBSTITUTE($NC39,"~","~~"),"*","~*"),"?","~?"),'DADOS_RESTRICOES'!$M$2:$Q$54,4,FALSE)=1),0))&gt;1,"Duas Restrições de frequência, contando a embutida",""),IF(AND(IFERROR(VLOOKUP(SUBSTITUTE(SUBSTITUTE(SUBSTITUTE(IFERROR(INDEX('DADOS_FORMAS'!$AS$2:$AS$21,MATCH(SUBSTITUTE(SUBSTITUTE(SUBSTITUTE($MU39,"~","~~"),"*","~*"),"?","~?"),'DADOS_FORMAS'!$AH$2:$AH$21,0)),""),"~","~~"),"*","~*"),"?","~?"),'DADOS_RESTRICOES'!$M$2:$Q$54,2,FALSE),"")="Tudo ou Nada",$OH39=0),"Tudo ou Nada exige TR",""),IF(AND(IFERROR(VLOOKUP(SUBSTITUTE(SUBSTITUTE(SUBSTITUTE(IFERROR(INDEX('DADOS_FORMAS'!$AS$2:$AS$21,MATCH(SUBSTITUTE(SUBSTITUTE(SUBSTITUTE($MU39,"~","~~"),"*","~*"),"?","~?"),'DADOS_FORMAS'!$AH$2:$AH$21,0)),""),"~","~~"),"*","~*"),"?","~?"),'DADOS_RESTRICOES'!$M$2:$Q$54,2,FALSE),"")="Corpo a Corpo",OR($RO39="Cone",$RO39="Linha")),"Corpo a Corpo não entra em Cone/Linha","")))</f>
        <v/>
      </c>
      <c r="PU39" s="164">
        <f>IF($PT39="",0,(LEN($PT39)-LEN(SUBSTITUTE($PT39," · ","")))/3+1)</f>
        <v/>
      </c>
      <c r="PV39" s="164">
        <f>IF($ND39=0,"",TEXTJOIN(" · ",TRUE,IF($OX39&gt;2*$MS39,"A devolução parou no teto de "&amp;2*$MS39,""),IF($PA39&gt;0,"Devolução perdida: "&amp;$PA39&amp;IF($PA39&gt;1," pontos"," ponto")&amp;" sem Melhoria para pagar",""),IF(AND($OC39&gt;0,AND($MS39&gt;0,$OG39=0),$PD39=0),"Controle sem dano: uma rodada a mais e CD +2",""),IF(AND($OC39&gt;0,AND($MS39&gt;0,$OG39=0),$PD39&gt;0,$PD39&lt;=$MS39),"Controle com saldo até a Classe: uma rodada a mais",""),IF(AND($MS39&gt;0,$OE39&lt;&gt;""),"Efeito de "&amp;$OE39&amp;" pela Classe "&amp;MAX(1,$MS39-1),"")))</f>
        <v/>
      </c>
      <c r="PW39" s="164">
        <f>IF($PV39="",0,(LEN($PV39)-LEN(SUBSTITUTE($PV39," · ","")))/3+1)</f>
        <v/>
      </c>
      <c r="PX39" s="164">
        <f>IF($ND39=0,IF($OU39+COUNTIF($NB39:$NC39,"?*")&gt;0,"Dê um nome",""),IF($PU39&gt;0,"⚠ "&amp;$PU39&amp;IF($PU39&gt;1," erros"," erro"),IF($PW39&gt;0,"! "&amp;$PW39&amp;IF($PW39&gt;1," avisos"," aviso"),"Na regra")))</f>
        <v/>
      </c>
      <c r="PY39" s="164">
        <f>IF($ND39=0,"",IF($PU39+$PW39=0,"Dentro das regras que a ficha confere",$PT39&amp;IF(AND($PU39&gt;0,$PW39&gt;0)," · ","")&amp;$PV39))</f>
        <v/>
      </c>
      <c r="PZ39" s="164">
        <f>IF($MQ39&gt;$NE39,$MR39&amp;" · ABRE NO NÍVEL "&amp;$MQ39,$MR39)</f>
        <v/>
      </c>
      <c r="QA39" s="164">
        <f>IF($ND39=0,"",IF($MS39=0,"Sem PE",3*$MS39&amp;" PE"))</f>
        <v/>
      </c>
      <c r="QB39" s="164">
        <f>IF($ND39=0,"",IF($MS39=0,"A atuação básica dela",IF(COUNTIF($RQ39:$RS39,"Atrasar")&gt;0,"Sua Ação Completa",IF(COUNTIF($RK39:$RN39,"Rápido")&gt;0,"Sua Bônus",IF(COUNTIF($RK39:$RN39,"Reação")&gt;0,"Sua Reação","Sua Padrão")))&amp;" + a básica dela"&amp;IF(COUNTIF($RK39:$RN39,"Reação")&gt;0," e a coletiva","")&amp;IF(COUNTIF($RQ39:$RS39,"Carregar")&gt;0," · em dois turnos","")))</f>
        <v/>
      </c>
      <c r="QC39" s="164">
        <f>IF($MW39&lt;&gt;"",$MW39,IF($NJ39=0,"",INDEX('DADOS_FORMAS'!$GE$2:$GE$21,$NJ39)))</f>
        <v/>
      </c>
      <c r="QD39" s="164">
        <f>IF(OR($ND39=0,$NJ39=0),"",IF(COUNTIF($RK39:$RN39,"Inescapável")&gt;0,"Automático",IF($QC39="Ataque",IF($NH39="","Ataque","Ataque "&amp;IF(($NH39+2*IF(COUNTIF($RK39:$RN39,"Precisão")&gt;0,1,0))&gt;=0,"+","−")&amp;ABS(($NH39+2*IF(COUNTIF($RK39:$RN39,"Precisão")&gt;0,1,0))))&amp;IF($OD39&gt;0," · TR"&amp;IF($NI39="",""," CD "&amp;$NI39),""),IF(LEFT($QC39,2)="TR",$QC39&amp;IF($NI39="",""," · CD "&amp;$NI39)&amp;IF(COUNTIF($RK39:$RN39,"Certeiro")&gt;0," · metade",""),"Sem rolagem"))))</f>
        <v/>
      </c>
      <c r="QE39" s="164">
        <f>IF(OR($ND39=0,$NJ39=0),"",IF($MS39=0,IF(OR($OG39&gt;=1,$PD39=0),"Sem dano",$PD39&amp;"d6"&amp;IF($MV39="",""," "&amp;$MV39)),IF(OR($OG39&gt;=1,$PD39=0),UPPER(LEFT(INDEX($PM39:$PS39,1,MAX(1,$MS39)),1))&amp;MID(INDEX($PM39:$PS39,1,MAX(1,$MS39)),2,99),UPPER(LEFT(INDEX($PM39:$PS39,1,MAX(1,$MS39)),1))&amp;MID(INDEX($PM39:$PS39,1,MAX(1,$MS39)),2,99)&amp;IF($MV39="",""," "&amp;$MV39)&amp;IF($PE39&gt;0," · +"&amp;$PE39&amp;"d8",""))))</f>
        <v/>
      </c>
      <c r="QF39" s="164">
        <f>COUNTIF($RK39:$RN39,"Longe")+3*COUNTIF($RK39:$RN39,"Muito Longe")</f>
        <v/>
      </c>
      <c r="QG39" s="164">
        <f>COUNTIF($RK39:$RN39,"Maior")+3*COUNTIF($RK39:$RN39,"Muito Maior")</f>
        <v/>
      </c>
      <c r="QH39" s="164">
        <f>IF($NJ39=0,0,CHOOSE(1+INDEX('DADOS_FORMAS'!$GG$2:$GG$21,$NJ39),0,$QF39,$QG39,$QF39+$QG39))</f>
        <v/>
      </c>
      <c r="QI39" s="164">
        <f>IF($NJ39=0,0,CHOOSE(1+INDEX('DADOS_FORMAS'!$GH$2:$GH$21,$NJ39),0,$QF39,$QG39,$QF39+$QG39))</f>
        <v/>
      </c>
      <c r="QJ39" s="164">
        <f>IF(OR($ND39=0,$NJ39=0),"",INDEX('DADOS_FORMAS'!$HU$2:$HZ$81,($NJ39-1)*4+IF($MS39=0,1,IF($MS39&lt;=5,2,IF($MS39=6,3,4))),1+MIN(5,$QH39))&amp;INDEX('DADOS_FORMAS'!$IA$2:$IF$81,($NJ39-1)*4+IF($MS39=0,1,IF($MS39&lt;=5,2,IF($MS39=6,3,4))),1+MIN(5,$QI39))&amp;IF(INDEX('DADOS_FORMAS'!$GI$2:$GI$21,$NJ39)=1,IF(COUNTIF($RK39:$RN39,"Mais Um")&gt;0," · +"&amp;COUNTIF($RK39:$RN39,"Mais Um")&amp;IF(COUNTIF($RK39:$RN39,"Mais Um")&gt;1," alvos"," alvo"),"")&amp;IF(COUNTIF($RK39:$RN39,"Rajada")&gt;0,IF($MS39=0," · 1 tiro"," · "&amp;(MAX(1,$MS39-1)+1)&amp;" tiros"),""),""))</f>
        <v/>
      </c>
      <c r="QK39" s="164">
        <f>IF($ND39=0,"",IF($MS39=0,$NG39&amp;"d6"&amp;IF($OU39&gt;0," − 1 = "&amp;$PD39&amp;"d6"," da básica do nível "&amp;$NE39),$PB39&amp;" − "&amp;$OW39&amp;" + "&amp;$OZ39&amp;" = "&amp;$PC39&amp;" · teto "&amp;4*$MS39&amp;"d8"&amp;IF($OF39=1," · a Forma devolve "&amp;$MS39,"")&amp;IF($PA39&gt;0," · perde "&amp;$PA39,"")))</f>
        <v/>
      </c>
      <c r="QL39" s="164">
        <f>IF($ND39=0,"",IF($MS39=0,"A básica não amplia: os dados dela sobem com o nível",IF($MS39&gt;=$NF39,"Já está na maior Classe que o nível liberou",TEXTJOIN(" · ",TRUE,IF(AND(2&gt;$MS39,2&lt;=$NF39),"2 → "&amp;$PN39&amp;", 6 PE",""),IF(AND(3&gt;$MS39,3&lt;=$NF39),"3 → "&amp;$PO39&amp;", 9 PE",""),IF(AND(4&gt;$MS39,4&lt;=$NF39),"4 → "&amp;$PP39&amp;", 12 PE",""),IF(AND(5&gt;$MS39,5&lt;=$NF39),"5 → "&amp;$PQ39&amp;", 15 PE",""),IF(AND(6&gt;$MS39,6&lt;=$NF39),"6 → "&amp;$PR39&amp;", 18 PE",""),IF(AND(7&gt;$MS39,7&lt;=$NF39),"7 → "&amp;$PS39&amp;", 21 PE","")))))</f>
        <v/>
      </c>
      <c r="QM39" s="164">
        <f>IF(OR($ND39=0,$NO39=0),"",IF($MS39=0,"−1 dado","−"&amp;INDEX($I$2:$N$8,MAX(1,$MS39),MAX(1,$NT39))&amp;" · "&amp;CHOOSE(MAX(1,$NT39),"Leve","Média","Pesada","Leve · Livre","Média · Livre","Pesada · Livre")))</f>
        <v/>
      </c>
      <c r="QN39" s="164">
        <f>IF(OR($ND39=0,$NP39=0),"",IF($MS39=0,"−1 dado","−"&amp;INDEX($I$2:$N$8,MAX(1,$MS39),MAX(1,$NU39))&amp;" · "&amp;CHOOSE(MAX(1,$NU39),"Leve","Média","Pesada","Leve · Livre","Média · Livre","Pesada · Livre")))</f>
        <v/>
      </c>
      <c r="QO39" s="164">
        <f>IF(OR($ND39=0,$NQ39=0),"",IF($MS39=0,"−1 dado","−"&amp;INDEX($I$2:$N$8,MAX(1,$MS39),MAX(1,$NV39))&amp;" · "&amp;CHOOSE(MAX(1,$NV39),"Leve","Média","Pesada","Leve · Livre","Média · Livre","Pesada · Livre")))</f>
        <v/>
      </c>
      <c r="QP39" s="164">
        <f>IF(OR($ND39=0,$NR39=0),"",IF($MS39=0,"−1 dado","−"&amp;INDEX($I$2:$N$8,MAX(1,$MS39),MAX(1,$NW39))&amp;" · "&amp;CHOOSE(MAX(1,$NW39),"Leve","Média","Pesada","Leve · Livre","Média · Livre","Pesada · Livre")))</f>
        <v/>
      </c>
      <c r="QQ39" s="164">
        <f>IF(OR($ND39=0,$NB39=""),"",IF($MS39=0,"não devolve","+"&amp;IF($OI39=1,CEILING($MS39/2,1),$MS39)))</f>
        <v/>
      </c>
      <c r="QR39" s="164">
        <f>IF(OR($ND39=0,$NC39=""),"",IF($MS39=0,"não devolve","+"&amp;IF($OJ39=1,CEILING($MS39/2,1),$MS39)))</f>
        <v/>
      </c>
      <c r="RK39">
        <f>IF($MX39="","",IFERROR(VLOOKUP(SUBSTITUTE(SUBSTITUTE(SUBSTITUTE($MX39,"~","~~"),"*","~*"),"?","~?"),'DADOS_MELHORIAS'!$O$2:$X$113,10,FALSE),$MX39))</f>
        <v/>
      </c>
      <c r="RL39">
        <f>IF($MY39="","",IFERROR(VLOOKUP(SUBSTITUTE(SUBSTITUTE(SUBSTITUTE($MY39,"~","~~"),"*","~*"),"?","~?"),'DADOS_MELHORIAS'!$O$2:$X$113,10,FALSE),$MY39))</f>
        <v/>
      </c>
      <c r="RM39">
        <f>IF($MZ39="","",IFERROR(VLOOKUP(SUBSTITUTE(SUBSTITUTE(SUBSTITUTE($MZ39,"~","~~"),"*","~*"),"?","~?"),'DADOS_MELHORIAS'!$O$2:$X$113,10,FALSE),$MZ39))</f>
        <v/>
      </c>
      <c r="RN39">
        <f>IF($NA39="","",IFERROR(VLOOKUP(SUBSTITUTE(SUBSTITUTE(SUBSTITUTE($NA39,"~","~~"),"*","~*"),"?","~?"),'DADOS_MELHORIAS'!$O$2:$X$113,10,FALSE),$NA39))</f>
        <v/>
      </c>
      <c r="RO39">
        <f>IFERROR(INDEX('DADOS_FORMAS'!$BJ$2:$BJ$21,MATCH(SUBSTITUTE(SUBSTITUTE(SUBSTITUTE($MU39,"~","~~"),"*","~*"),"?","~?"),'DADOS_FORMAS'!$AH$2:$AH$21,0)),"")</f>
        <v/>
      </c>
      <c r="RP39">
        <f>IFERROR(VLOOKUP(SUBSTITUTE(SUBSTITUTE(SUBSTITUTE(IFERROR(INDEX('DADOS_FORMAS'!$AS$2:$AS$21,MATCH(SUBSTITUTE(SUBSTITUTE(SUBSTITUTE($MU39,"~","~~"),"*","~*"),"?","~?"),'DADOS_FORMAS'!$AH$2:$AH$21,0)),""),"~","~~"),"*","~*"),"?","~?"),'DADOS_RESTRICOES'!$M$2:$Q$54,2,FALSE),"")</f>
        <v/>
      </c>
      <c r="RQ39">
        <f>$OK39</f>
        <v/>
      </c>
      <c r="RR39">
        <f>$OL39</f>
        <v/>
      </c>
      <c r="RS39">
        <f>$RP39</f>
        <v/>
      </c>
    </row>
    <row r="40">
      <c r="AH40" s="162" t="inlineStr">
        <is>
          <t>Efeito · classe 6</t>
        </is>
      </c>
      <c r="AI40" s="162" t="inlineStr">
        <is>
          <t>Fora de combate</t>
        </is>
      </c>
      <c r="AJ40" s="162" t="inlineStr">
        <is>
          <t>Fora de combate</t>
        </is>
      </c>
      <c r="AK40" s="162" t="inlineStr">
        <is>
          <t>Fora de combate</t>
        </is>
      </c>
      <c r="AL40" s="162" t="inlineStr">
        <is>
          <t>Fora de combate</t>
        </is>
      </c>
      <c r="AM40" s="162" t="inlineStr">
        <is>
          <t>Fora de combate</t>
        </is>
      </c>
      <c r="AN40" s="162" t="inlineStr">
        <is>
          <t>Fora de combate</t>
        </is>
      </c>
      <c r="AO40" s="162" t="inlineStr"/>
      <c r="AP40" s="162" t="inlineStr"/>
      <c r="AQ40" s="162" t="inlineStr"/>
      <c r="AR40" s="162" t="inlineStr"/>
      <c r="AS40" s="162" t="inlineStr"/>
      <c r="AT40" s="162" t="inlineStr"/>
      <c r="AV40" s="162" t="inlineStr">
        <is>
          <t>Anteparo</t>
        </is>
      </c>
      <c r="AW40" s="162" t="inlineStr">
        <is>
          <t>Controle</t>
        </is>
      </c>
      <c r="AX40" s="164" t="n">
        <v>2</v>
      </c>
      <c r="AY40" s="164" t="n">
        <v>1</v>
      </c>
      <c r="AZ40" s="164" t="n">
        <v>1</v>
      </c>
      <c r="BA40" s="164" t="n">
        <v>0</v>
      </c>
      <c r="JT40" s="164">
        <f>IF(OR($AW40="",(COUNTIF($EL$2:$EP$2,$AW40)+COUNTIF($QV$2:$QY$2,$AW40))&gt;0),$AV40,"")</f>
        <v/>
      </c>
      <c r="JU40" s="164">
        <f>IF(AND($AX40=1,OR($AW40="",(COUNTIF($EL$2:$EP$2,$AW40)+COUNTIF($QV$2:$QY$2,$AW40))&gt;0)),$AV40,"")</f>
        <v/>
      </c>
      <c r="JZ40" s="164">
        <f>IF(OR($AW40="",(COUNTIF($EL$3:$EP$3,$AW40)+COUNTIF($QV$3:$QY$3,$AW40))&gt;0),$AV40,"")</f>
        <v/>
      </c>
      <c r="KA40" s="164">
        <f>IF(AND($AX40=1,OR($AW40="",(COUNTIF($EL$3:$EP$3,$AW40)+COUNTIF($QV$3:$QY$3,$AW40))&gt;0)),$AV40,"")</f>
        <v/>
      </c>
      <c r="KF40" s="164">
        <f>IF(OR($AW40="",(COUNTIF($EL$4:$EP$4,$AW40)+COUNTIF($QV$4:$QY$4,$AW40))&gt;0),$AV40,"")</f>
        <v/>
      </c>
      <c r="KG40" s="164">
        <f>IF(AND($AX40=1,OR($AW40="",(COUNTIF($EL$4:$EP$4,$AW40)+COUNTIF($QV$4:$QY$4,$AW40))&gt;0)),$AV40,"")</f>
        <v/>
      </c>
      <c r="KL40" s="164">
        <f>IF(OR($AW40="",(COUNTIF($EL$5:$EP$5,$AW40)+COUNTIF($QV$5:$QY$5,$AW40))&gt;0),$AV40,"")</f>
        <v/>
      </c>
      <c r="KM40" s="164">
        <f>IF(AND($AX40=1,OR($AW40="",(COUNTIF($EL$5:$EP$5,$AW40)+COUNTIF($QV$5:$QY$5,$AW40))&gt;0)),$AV40,"")</f>
        <v/>
      </c>
      <c r="KR40" s="164">
        <f>IF(OR($AW40="",(COUNTIF($EL$6:$EP$6,$AW40)+COUNTIF($QV$6:$QY$6,$AW40))&gt;0),$AV40,"")</f>
        <v/>
      </c>
      <c r="KS40" s="164">
        <f>IF(AND($AX40=1,OR($AW40="",(COUNTIF($EL$6:$EP$6,$AW40)+COUNTIF($QV$6:$QY$6,$AW40))&gt;0)),$AV40,"")</f>
        <v/>
      </c>
      <c r="KX40" s="164">
        <f>IF(OR($AW40="",(COUNTIF($EL$7:$EP$7,$AW40)+COUNTIF($QV$7:$QY$7,$AW40))&gt;0),$AV40,"")</f>
        <v/>
      </c>
      <c r="KY40" s="164">
        <f>IF(AND($AX40=1,OR($AW40="",(COUNTIF($EL$7:$EP$7,$AW40)+COUNTIF($QV$7:$QY$7,$AW40))&gt;0)),$AV40,"")</f>
        <v/>
      </c>
      <c r="LD40" s="164">
        <f>IF(OR($AW40="",(COUNTIF($EL$8:$EP$8,$AW40)+COUNTIF($QV$8:$QY$8,$AW40))&gt;0),$AV40,"")</f>
        <v/>
      </c>
      <c r="LE40" s="164">
        <f>IF(AND($AX40=1,OR($AW40="",(COUNTIF($EL$8:$EP$8,$AW40)+COUNTIF($QV$8:$QY$8,$AW40))&gt;0)),$AV40,"")</f>
        <v/>
      </c>
      <c r="LJ40" s="164">
        <f>IF(OR($AW40="",(COUNTIF($EL$9:$EP$9,$AW40)+COUNTIF($QV$9:$QY$9,$AW40))&gt;0),$AV40,"")</f>
        <v/>
      </c>
      <c r="LK40" s="164">
        <f>IF(AND($AX40=1,OR($AW40="",(COUNTIF($EL$9:$EP$9,$AW40)+COUNTIF($QV$9:$QY$9,$AW40))&gt;0)),$AV40,"")</f>
        <v/>
      </c>
      <c r="LP40" s="164">
        <f>IF(OR($AW40="",(COUNTIF($EL$10:$EP$10,$AW40)+COUNTIF($QV$10:$QY$10,$AW40))&gt;0),$AV40,"")</f>
        <v/>
      </c>
      <c r="LQ40" s="164">
        <f>IF(AND($AX40=1,OR($AW40="",(COUNTIF($EL$10:$EP$10,$AW40)+COUNTIF($QV$10:$QY$10,$AW40))&gt;0)),$AV40,"")</f>
        <v/>
      </c>
      <c r="LV40" s="164">
        <f>IF(OR($AW40="",(COUNTIF($EL$11:$EP$11,$AW40)+COUNTIF($QV$11:$QY$11,$AW40))&gt;0),$AV40,"")</f>
        <v/>
      </c>
      <c r="LW40" s="164">
        <f>IF(AND($AX40=1,OR($AW40="",(COUNTIF($EL$11:$EP$11,$AW40)+COUNTIF($QV$11:$QY$11,$AW40))&gt;0)),$AV40,"")</f>
        <v/>
      </c>
      <c r="MB40" s="164">
        <f>IF(OR($AW40="",(COUNTIF($EL$12:$EP$12,$AW40)+COUNTIF($QV$12:$QY$12,$AW40))&gt;0),$AV40,"")</f>
        <v/>
      </c>
      <c r="MC40" s="164">
        <f>IF(AND($AX40=1,OR($AW40="",(COUNTIF($EL$12:$EP$12,$AW40)+COUNTIF($QV$12:$QY$12,$AW40))&gt;0)),$AV40,"")</f>
        <v/>
      </c>
      <c r="MH40" s="164">
        <f>IF(OR($AW40="",(COUNTIF($EL$13:$EP$13,$AW40)+COUNTIF($QV$13:$QY$13,$AW40))&gt;0),$AV40,"")</f>
        <v/>
      </c>
      <c r="MI40" s="164">
        <f>IF(AND($AX40=1,OR($AW40="",(COUNTIF($EL$13:$EP$13,$AW40)+COUNTIF($QV$13:$QY$13,$AW40))&gt;0)),$AV40,"")</f>
        <v/>
      </c>
      <c r="MN40" s="162" t="inlineStr">
        <is>
          <t>Ficha 3 · Escolha da trilha 3</t>
        </is>
      </c>
      <c r="MO40" s="164" t="n">
        <v>3</v>
      </c>
      <c r="MP40" s="164" t="n">
        <v>2</v>
      </c>
      <c r="MQ40" s="164" t="n">
        <v>0</v>
      </c>
      <c r="MR40" s="162" t="inlineStr">
        <is>
          <t>ESCOLHA DA TRILHA 3</t>
        </is>
      </c>
      <c r="MS40" s="164">
        <f>MAX(0,MIN(7,N('INVOCAÇÕES'!$U$595)))</f>
        <v/>
      </c>
      <c r="MT40" s="164">
        <f>'INVOCAÇÕES'!$V$595&amp;""</f>
        <v/>
      </c>
      <c r="MU40" s="164">
        <f>'INVOCAÇÕES'!$U$600&amp;""</f>
        <v/>
      </c>
      <c r="MV40" s="164">
        <f>'INVOCAÇÕES'!$U$601&amp;""</f>
        <v/>
      </c>
      <c r="MW40" s="164">
        <f>'INVOCAÇÕES'!$W$601&amp;""</f>
        <v/>
      </c>
      <c r="MX40" s="164">
        <f>'INVOCAÇÕES'!$V$604&amp;""</f>
        <v/>
      </c>
      <c r="MY40" s="164">
        <f>'INVOCAÇÕES'!$V$605&amp;""</f>
        <v/>
      </c>
      <c r="MZ40" s="164">
        <f>'INVOCAÇÕES'!$V$606&amp;""</f>
        <v/>
      </c>
      <c r="NA40" s="164">
        <f>'INVOCAÇÕES'!$V$607&amp;""</f>
        <v/>
      </c>
      <c r="NB40" s="164">
        <f>'INVOCAÇÕES'!$V$608&amp;""</f>
        <v/>
      </c>
      <c r="NC40" s="164">
        <f>'INVOCAÇÕES'!$V$609&amp;""</f>
        <v/>
      </c>
      <c r="ND40" s="164">
        <f>IF($MT40&lt;&gt;"",1,0)</f>
        <v/>
      </c>
      <c r="NE40" s="164">
        <f>INDEX($FO$2:$FO$13,$MO40)</f>
        <v/>
      </c>
      <c r="NF40" s="164">
        <f>INDEX($FP$2:$FP$13,$MO40)</f>
        <v/>
      </c>
      <c r="NG40" s="164">
        <f>INDEX($FQ$2:$FQ$13,$MO40)</f>
        <v/>
      </c>
      <c r="NH40" s="164">
        <f>INDEX($GB$2:$GB$13,$MO40)</f>
        <v/>
      </c>
      <c r="NI40" s="164">
        <f>INDEX($GC$2:$GC$13,$MO40)</f>
        <v/>
      </c>
      <c r="NJ40" s="164">
        <f>IFERROR(MATCH(SUBSTITUTE(SUBSTITUTE(SUBSTITUTE($MU40,"~","~~"),"*","~*"),"?","~?"),'DADOS_FORMAS'!$FZ$2:$FZ$21,0),0)</f>
        <v/>
      </c>
      <c r="NK40" s="164">
        <f>IFERROR(VLOOKUP(SUBSTITUTE(SUBSTITUTE(SUBSTITUTE($MX40,"~","~~"),"*","~*"),"?","~?"),'DADOS_MELHORIAS'!$AG$2:$AL$113,2,FALSE),"")</f>
        <v/>
      </c>
      <c r="NL40" s="164">
        <f>IFERROR(VLOOKUP(SUBSTITUTE(SUBSTITUTE(SUBSTITUTE($MY40,"~","~~"),"*","~*"),"?","~?"),'DADOS_MELHORIAS'!$AG$2:$AL$113,2,FALSE),"")</f>
        <v/>
      </c>
      <c r="NM40" s="164">
        <f>IFERROR(VLOOKUP(SUBSTITUTE(SUBSTITUTE(SUBSTITUTE($MZ40,"~","~~"),"*","~*"),"?","~?"),'DADOS_MELHORIAS'!$AG$2:$AL$113,2,FALSE),"")</f>
        <v/>
      </c>
      <c r="NN40" s="164">
        <f>IFERROR(VLOOKUP(SUBSTITUTE(SUBSTITUTE(SUBSTITUTE($NA40,"~","~~"),"*","~*"),"?","~?"),'DADOS_MELHORIAS'!$AG$2:$AL$113,2,FALSE),"")</f>
        <v/>
      </c>
      <c r="NO40" s="164">
        <f>IFERROR(VLOOKUP(SUBSTITUTE(SUBSTITUTE(SUBSTITUTE($MX40,"~","~~"),"*","~*"),"?","~?"),'DADOS_MELHORIAS'!$AG$2:$AL$113,3,FALSE),0)</f>
        <v/>
      </c>
      <c r="NP40" s="164">
        <f>IFERROR(VLOOKUP(SUBSTITUTE(SUBSTITUTE(SUBSTITUTE($MY40,"~","~~"),"*","~*"),"?","~?"),'DADOS_MELHORIAS'!$AG$2:$AL$113,3,FALSE),0)</f>
        <v/>
      </c>
      <c r="NQ40" s="164">
        <f>IFERROR(VLOOKUP(SUBSTITUTE(SUBSTITUTE(SUBSTITUTE($MZ40,"~","~~"),"*","~*"),"?","~?"),'DADOS_MELHORIAS'!$AG$2:$AL$113,3,FALSE),0)</f>
        <v/>
      </c>
      <c r="NR40" s="164">
        <f>IFERROR(VLOOKUP(SUBSTITUTE(SUBSTITUTE(SUBSTITUTE($NA40,"~","~~"),"*","~*"),"?","~?"),'DADOS_MELHORIAS'!$AG$2:$AL$113,3,FALSE),0)</f>
        <v/>
      </c>
      <c r="NS40" s="164">
        <f>IF($MS40=0,0,IF($NJ40=0,0,INDEX('DADOS_FORMAS'!$GB$2:$GB$21,$NJ40)))</f>
        <v/>
      </c>
      <c r="NT40" s="164">
        <f>IF(OR($NO40=0,$MS40=0),0,$NO40+3*IF(AND($NK40&lt;&gt;"",COUNTIF(INDEX($RB$2:$RJ$13,$MO40,0),$NK40)&gt;0),1,0))</f>
        <v/>
      </c>
      <c r="NU40" s="164">
        <f>IF(OR($NP40=0,$MS40=0),0,$NP40+3*IF(AND($NL40&lt;&gt;"",COUNTIF(INDEX($RB$2:$RJ$13,$MO40,0),$NL40)&gt;0),1,0))</f>
        <v/>
      </c>
      <c r="NV40" s="164">
        <f>IF(OR($NQ40=0,$MS40=0),0,$NQ40+3*IF(AND($NM40&lt;&gt;"",COUNTIF(INDEX($RB$2:$RJ$13,$MO40,0),$NM40)&gt;0),1,0))</f>
        <v/>
      </c>
      <c r="NW40" s="164">
        <f>IF(OR($NR40=0,$MS40=0),0,$NR40+3*IF(AND($NN40&lt;&gt;"",COUNTIF(INDEX($RB$2:$RJ$13,$MO40,0),$NN40)&gt;0),1,0))</f>
        <v/>
      </c>
      <c r="NX40" s="164">
        <f>IF($NJ40=0,0,IF(INDEX('DADOS_FORMAS'!$GA$2:$GA$21,$NJ40)="",0,IF((COUNTIF(INDEX($EL$2:$EP$13,$MO40,0),INDEX('DADOS_FORMAS'!$GA$2:$GA$21,$NJ40))+COUNTIF(INDEX($QV$2:$QY$13,$MO40,0),INDEX('DADOS_FORMAS'!$GA$2:$GA$21,$NJ40)))=0,1,0)))</f>
        <v/>
      </c>
      <c r="NY40" s="164">
        <f>IF(OR($NO40=0,$NK40=""),0,IF((COUNTIF(INDEX($EL$2:$EP$13,$MO40,0),$NK40)+COUNTIF(INDEX($QV$2:$QY$13,$MO40,0),$NK40))=0,1,0))</f>
        <v/>
      </c>
      <c r="NZ40" s="164">
        <f>IF(OR($NP40=0,$NL40=""),0,IF((COUNTIF(INDEX($EL$2:$EP$13,$MO40,0),$NL40)+COUNTIF(INDEX($QV$2:$QY$13,$MO40,0),$NL40))=0,1,0))</f>
        <v/>
      </c>
      <c r="OA40" s="164">
        <f>IF(OR($NQ40=0,$NM40=""),0,IF((COUNTIF(INDEX($EL$2:$EP$13,$MO40,0),$NM40)+COUNTIF(INDEX($QV$2:$QY$13,$MO40,0),$NM40))=0,1,0))</f>
        <v/>
      </c>
      <c r="OB40" s="164">
        <f>IF(OR($NR40=0,$NN40=""),0,IF((COUNTIF(INDEX($EL$2:$EP$13,$MO40,0),$NN40)+COUNTIF(INDEX($QV$2:$QY$13,$MO40,0),$NN40))=0,1,0))</f>
        <v/>
      </c>
      <c r="OC40" s="164">
        <f>IFERROR(VLOOKUP(SUBSTITUTE(SUBSTITUTE(SUBSTITUTE($MX40,"~","~~"),"*","~*"),"?","~?"),'DADOS_MELHORIAS'!$AG$2:$AL$113,4,FALSE),0)+IFERROR(VLOOKUP(SUBSTITUTE(SUBSTITUTE(SUBSTITUTE($MY40,"~","~~"),"*","~*"),"?","~?"),'DADOS_MELHORIAS'!$AG$2:$AL$113,4,FALSE),0)+IFERROR(VLOOKUP(SUBSTITUTE(SUBSTITUTE(SUBSTITUTE($MZ40,"~","~~"),"*","~*"),"?","~?"),'DADOS_MELHORIAS'!$AG$2:$AL$113,4,FALSE),0)+IFERROR(VLOOKUP(SUBSTITUTE(SUBSTITUTE(SUBSTITUTE($NA40,"~","~~"),"*","~*"),"?","~?"),'DADOS_MELHORIAS'!$AG$2:$AL$113,4,FALSE),0)</f>
        <v/>
      </c>
      <c r="OD40" s="164">
        <f>IFERROR(VLOOKUP(SUBSTITUTE(SUBSTITUTE(SUBSTITUTE($MX40,"~","~~"),"*","~*"),"?","~?"),'DADOS_MELHORIAS'!$AG$2:$AL$113,6,FALSE),0)+IFERROR(VLOOKUP(SUBSTITUTE(SUBSTITUTE(SUBSTITUTE($MY40,"~","~~"),"*","~*"),"?","~?"),'DADOS_MELHORIAS'!$AG$2:$AL$113,6,FALSE),0)+IFERROR(VLOOKUP(SUBSTITUTE(SUBSTITUTE(SUBSTITUTE($MZ40,"~","~~"),"*","~*"),"?","~?"),'DADOS_MELHORIAS'!$AG$2:$AL$113,6,FALSE),0)+IFERROR(VLOOKUP(SUBSTITUTE(SUBSTITUTE(SUBSTITUTE($NA40,"~","~~"),"*","~*"),"?","~?"),'DADOS_MELHORIAS'!$AG$2:$AL$113,6,FALSE),0)+IFERROR(N(AND(INDEX('DADOS_FORMAS'!$AO$2:$AO$21,MATCH(SUBSTITUTE(SUBSTITUTE(SUBSTITUTE($MU40,"~","~~"),"*","~*"),"?","~?"),'DADOS_FORMAS'!$AH$2:$AH$21,0))="Acerto",$OH40=1)),0)</f>
        <v/>
      </c>
      <c r="OE40" s="164">
        <f>TEXTJOIN(", ",TRUE,IF(IFERROR(VLOOKUP(SUBSTITUTE(SUBSTITUTE(SUBSTITUTE($MX40,"~","~~"),"*","~*"),"?","~?"),'DADOS_MELHORIAS'!$AG$2:$AL$113,5,FALSE),0)=1,$MX40,""),IF(IFERROR(VLOOKUP(SUBSTITUTE(SUBSTITUTE(SUBSTITUTE($MY40,"~","~~"),"*","~*"),"?","~?"),'DADOS_MELHORIAS'!$AG$2:$AL$113,5,FALSE),0)=1,$MY40,""),IF(IFERROR(VLOOKUP(SUBSTITUTE(SUBSTITUTE(SUBSTITUTE($MZ40,"~","~~"),"*","~*"),"?","~?"),'DADOS_MELHORIAS'!$AG$2:$AL$113,5,FALSE),0)=1,$MZ40,""),IF(IFERROR(VLOOKUP(SUBSTITUTE(SUBSTITUTE(SUBSTITUTE($NA40,"~","~~"),"*","~*"),"?","~?"),'DADOS_MELHORIAS'!$AG$2:$AL$113,5,FALSE),0)=1,$NA40,""))</f>
        <v/>
      </c>
      <c r="OF40" s="164">
        <f>IF($NJ40=0,0,INDEX('DADOS_FORMAS'!$GC$2:$GC$21,$NJ40))</f>
        <v/>
      </c>
      <c r="OG40" s="164">
        <f>IF($NJ40=0,0,INDEX('DADOS_FORMAS'!$GD$2:$GD$21,$NJ40))</f>
        <v/>
      </c>
      <c r="OH40" s="164">
        <f>IF($NJ40=0,0,INDEX('DADOS_FORMAS'!$GF$2:$GF$21,$NJ40))</f>
        <v/>
      </c>
      <c r="OI40" s="164">
        <f>IFERROR(VLOOKUP(SUBSTITUTE(SUBSTITUTE(SUBSTITUTE($NB40,"~","~~"),"*","~*"),"?","~?"),'DADOS_RESTRICOES'!$M$2:$Q$54,3,FALSE),0)</f>
        <v/>
      </c>
      <c r="OJ40" s="164">
        <f>IFERROR(VLOOKUP(SUBSTITUTE(SUBSTITUTE(SUBSTITUTE($NC40,"~","~~"),"*","~*"),"?","~?"),'DADOS_RESTRICOES'!$M$2:$Q$54,3,FALSE),0)</f>
        <v/>
      </c>
      <c r="OK40" s="164">
        <f>IFERROR(VLOOKUP(SUBSTITUTE(SUBSTITUTE(SUBSTITUTE($NB40,"~","~~"),"*","~*"),"?","~?"),'DADOS_RESTRICOES'!$M$2:$Q$54,2,FALSE),"")</f>
        <v/>
      </c>
      <c r="OL40" s="164">
        <f>IFERROR(VLOOKUP(SUBSTITUTE(SUBSTITUTE(SUBSTITUTE($NC40,"~","~~"),"*","~*"),"?","~?"),'DADOS_RESTRICOES'!$M$2:$Q$54,2,FALSE),"")</f>
        <v/>
      </c>
      <c r="OM40" s="164">
        <f>COUNTIF($NS40:$NW40,1)</f>
        <v/>
      </c>
      <c r="ON40" s="164">
        <f>COUNTIF($NS40:$NW40,2)</f>
        <v/>
      </c>
      <c r="OO40" s="164">
        <f>COUNTIF($NS40:$NW40,3)</f>
        <v/>
      </c>
      <c r="OP40" s="164">
        <f>COUNTIF($NS40:$NW40,4)</f>
        <v/>
      </c>
      <c r="OQ40" s="164">
        <f>COUNTIF($NS40:$NW40,5)</f>
        <v/>
      </c>
      <c r="OR40" s="164">
        <f>COUNTIF($NS40:$NW40,6)</f>
        <v/>
      </c>
      <c r="OS40" s="164">
        <f>COUNTIF($OI40:$OJ40,1)+IF(IFERROR(INDEX('DADOS_FORMAS'!$AS$2:$AS$21,MATCH(SUBSTITUTE(SUBSTITUTE(SUBSTITUTE($MU40,"~","~~"),"*","~*"),"?","~?"),'DADOS_FORMAS'!$AH$2:$AH$21,0)),"")="",0,IFERROR(N(VLOOKUP(SUBSTITUTE(SUBSTITUTE(SUBSTITUTE(IFERROR(INDEX('DADOS_FORMAS'!$AS$2:$AS$21,MATCH(SUBSTITUTE(SUBSTITUTE(SUBSTITUTE($MU40,"~","~~"),"*","~*"),"?","~?"),'DADOS_FORMAS'!$AH$2:$AH$21,0)),""),"~","~~"),"*","~*"),"?","~?"),'DADOS_RESTRICOES'!$M$2:$Q$54,3,FALSE)=1),0))</f>
        <v/>
      </c>
      <c r="OT40" s="164">
        <f>COUNTIF($OI40:$OJ40,2)+IF(IFERROR(INDEX('DADOS_FORMAS'!$AS$2:$AS$21,MATCH(SUBSTITUTE(SUBSTITUTE(SUBSTITUTE($MU40,"~","~~"),"*","~*"),"?","~?"),'DADOS_FORMAS'!$AH$2:$AH$21,0)),"")="",0,IFERROR(N(VLOOKUP(SUBSTITUTE(SUBSTITUTE(SUBSTITUTE(IFERROR(INDEX('DADOS_FORMAS'!$AS$2:$AS$21,MATCH(SUBSTITUTE(SUBSTITUTE(SUBSTITUTE($MU40,"~","~~"),"*","~*"),"?","~?"),'DADOS_FORMAS'!$AH$2:$AH$21,0)),""),"~","~~"),"*","~*"),"?","~?"),'DADOS_RESTRICOES'!$M$2:$Q$54,3,FALSE)=2),0))</f>
        <v/>
      </c>
      <c r="OU40" s="164">
        <f>COUNTIF($MX40:$NA40,"?*")</f>
        <v/>
      </c>
      <c r="OV40" s="164">
        <f>COUNTIF($NB40:$NC40,"?*")+$OF40</f>
        <v/>
      </c>
      <c r="OW40" s="164">
        <f>IF($MS40=0,0,SUMPRODUCT($OM40:$OR40,INDEX($I$2:$N$8,MAX(1,$MS40),0)))</f>
        <v/>
      </c>
      <c r="OX40" s="164">
        <f>IF($MS40=0,0,$OS40*CEILING($MS40/2,1)+$OT40*$MS40)</f>
        <v/>
      </c>
      <c r="OY40" s="164">
        <f>MIN(2*$MS40,$OX40)</f>
        <v/>
      </c>
      <c r="OZ40" s="164">
        <f>MIN($OY40,$OW40-IF($NS40=0,0,INDEX($I$2:$N$8,MAX(1,$MS40),$NS40)))</f>
        <v/>
      </c>
      <c r="PA40" s="164">
        <f>$OY40-$OZ40</f>
        <v/>
      </c>
      <c r="PB40" s="164">
        <f>IF($MS40=0,0,INDEX($P$2:$P$8,MAX(1,$MS40)))</f>
        <v/>
      </c>
      <c r="PC40" s="164">
        <f>$PB40-$OW40+$OZ40</f>
        <v/>
      </c>
      <c r="PD40" s="164">
        <f>IF($MS40=0,MAX(0,$NG40-IF(AND($OU40&gt;0,COUNTIF($NB40:$NC40,"?*")=0),1,0)),MAX(0,$PC40))</f>
        <v/>
      </c>
      <c r="PE40" s="164">
        <f>IF($MS40=0,0,(IF(COUNTIF($RK40:$RN40,"Salto")&gt;0,1,0)+IF(COUNTIF($RK40:$RN40,"Queima")&gt;0,1,0)+IF(COUNTIF($RK40:$RN40,"Estilhaço")&gt;0,1,0))*FLOOR($PD40/2,1))</f>
        <v/>
      </c>
      <c r="PF40" s="164">
        <f>MAX(0,2-SUMPRODUCT($OM40:$OR40,$I$2:$N$2)+MIN(2,$OS40*1+$OT40*1,SUMPRODUCT($OM40:$OR40,$I$2:$N$2)-IF($NS40=0,0,INDEX($I$2:$N$2,1,$NS40))))</f>
        <v/>
      </c>
      <c r="PG40" s="164">
        <f>MAX(0,4-SUMPRODUCT($OM40:$OR40,$I$3:$N$3)+MIN(4,$OS40*1+$OT40*2,SUMPRODUCT($OM40:$OR40,$I$3:$N$3)-IF($NS40=0,0,INDEX($I$3:$N$3,1,$NS40))))</f>
        <v/>
      </c>
      <c r="PH40" s="164">
        <f>MAX(0,6-SUMPRODUCT($OM40:$OR40,$I$4:$N$4)+MIN(6,$OS40*2+$OT40*3,SUMPRODUCT($OM40:$OR40,$I$4:$N$4)-IF($NS40=0,0,INDEX($I$4:$N$4,1,$NS40))))</f>
        <v/>
      </c>
      <c r="PI40" s="164">
        <f>MAX(0,9-SUMPRODUCT($OM40:$OR40,$I$5:$N$5)+MIN(8,$OS40*2+$OT40*4,SUMPRODUCT($OM40:$OR40,$I$5:$N$5)-IF($NS40=0,0,INDEX($I$5:$N$5,1,$NS40))))</f>
        <v/>
      </c>
      <c r="PJ40" s="164">
        <f>MAX(0,11-SUMPRODUCT($OM40:$OR40,$I$6:$N$6)+MIN(10,$OS40*3+$OT40*5,SUMPRODUCT($OM40:$OR40,$I$6:$N$6)-IF($NS40=0,0,INDEX($I$6:$N$6,1,$NS40))))</f>
        <v/>
      </c>
      <c r="PK40" s="164">
        <f>MAX(0,13-SUMPRODUCT($OM40:$OR40,$I$7:$N$7)+MIN(12,$OS40*3+$OT40*6,SUMPRODUCT($OM40:$OR40,$I$7:$N$7)-IF($NS40=0,0,INDEX($I$7:$N$7,1,$NS40))))</f>
        <v/>
      </c>
      <c r="PL40" s="164">
        <f>MAX(0,16-SUMPRODUCT($OM40:$OR40,$I$8:$N$8)+MIN(14,$OS40*4+$OT40*7,SUMPRODUCT($OM40:$OR40,$I$8:$N$8)-IF($NS40=0,0,INDEX($I$8:$N$8,1,$NS40))))</f>
        <v/>
      </c>
      <c r="PM40" s="164">
        <f>IF($OG40=2,3*$PF40&amp;" de vida temp.",IF($OG40=3,"sem dano",IF($PF40=0,IF($OG40=1,"sem cura","sem dano"),IF($OG40=1,"cura ","")&amp;$PF40&amp;"d8")))</f>
        <v/>
      </c>
      <c r="PN40" s="164">
        <f>IF($OG40=2,3*$PG40&amp;" de vida temp.",IF($OG40=3,"sem dano",IF($PG40=0,IF($OG40=1,"sem cura","sem dano"),IF($OG40=1,"cura ","")&amp;$PG40&amp;"d8")))</f>
        <v/>
      </c>
      <c r="PO40" s="164">
        <f>IF($OG40=2,3*$PH40&amp;" de vida temp.",IF($OG40=3,"sem dano",IF($PH40=0,IF($OG40=1,"sem cura","sem dano"),IF($OG40=1,"cura ","")&amp;$PH40&amp;"d8")))</f>
        <v/>
      </c>
      <c r="PP40" s="164">
        <f>IF($OG40=2,3*$PI40&amp;" de vida temp.",IF($OG40=3,"sem dano",IF($PI40=0,IF($OG40=1,"sem cura","sem dano"),IF($OG40=1,"cura ","")&amp;$PI40&amp;"d8")))</f>
        <v/>
      </c>
      <c r="PQ40" s="164">
        <f>IF($OG40=2,3*$PJ40&amp;" de vida temp.",IF($OG40=3,"sem dano",IF($PJ40=0,IF($OG40=1,"sem cura","sem dano"),IF($OG40=1,"cura ","")&amp;$PJ40&amp;"d8")))</f>
        <v/>
      </c>
      <c r="PR40" s="164">
        <f>IF($OG40=2,3*$PK40&amp;" de vida temp.",IF($OG40=3,"sem dano",IF($PK40=0,IF($OG40=1,"sem cura","sem dano"),IF($OG40=1,"cura ","")&amp;$PK40&amp;"d8")))</f>
        <v/>
      </c>
      <c r="PS40" s="164">
        <f>IF($OG40=2,3*$PL40&amp;" de vida temp.",IF($OG40=3,"sem dano",IF($PL40=0,IF($OG40=1,"sem cura","sem dano"),IF($OG40=1,"cura ","")&amp;$PL40&amp;"d8")))</f>
        <v/>
      </c>
      <c r="PT40" s="164">
        <f>IF($ND40=0,"",TEXTJOIN(" · ",TRUE,IF($ND40=0,"",TEXTJOIN(" · ",TRUE,IF($ND40=0,"",TEXTJOIN(" · ",TRUE,IF($MQ40&gt;$NE40,"Este lugar abre no nível "&amp;$MQ40,""),IF($MS40&gt;$NF40,"Classe "&amp;$MS40&amp;": o nível "&amp;$NE40&amp;" libera até a "&amp;$NF40,""),IF($NX40=1,"A Forma "&amp;$MU40&amp;" pede "&amp;INDEX('DADOS_FORMAS'!$GA$2:$GA$21,$NJ40)&amp;" aberta",""),IF(AND($MS40=0,$NJ40&gt;0,IF($NJ40=0,0,INDEX('DADOS_FORMAS'!$GJ$2:$GJ$21,$NJ40))=0),$MU40&amp;" não existe na Classe 0",""),IF($NY40=1,"Família Fechada: "&amp;$MX40,""),IF($NZ40=1,"Família Fechada: "&amp;$MY40,""),IF($OA40=1,"Família Fechada: "&amp;$MZ40,""),IF($OB40=1,"Família Fechada: "&amp;$NA40,""),IF(AND($MS40&gt;0,$OU40&gt;INDEX($O$2:$O$8,MAX(1,$MS40))),$OU40&amp;" Melhorias: a Classe "&amp;$MS40&amp;" aceita "&amp;INDEX($O$2:$O$8,MAX(1,$MS40)),""),IF(AND($MS40=0,$OU40&gt;1),"A básica aceita uma Melhoria",""),IF(AND($MS40=0,COUNTIF($NO40:$NR40,"&gt;1")&gt;0),"A básica só aceita Melhoria Leve",""),IF(AND($MS40&gt;0,$OV40&gt;2),$OV40&amp;" Restrições"&amp;IF($OF40=1,", contando a que a Forma "&amp;$MU40&amp;" já traz","")&amp;": o limite é 2",""),IF(AND($MS40=0,COUNTIF($NB40:$NC40,"?*")&gt;1),"A básica aceita uma Restrição Leve",""),IF(AND($MS40=0,COUNTIF($OI40:$OJ40,2)&gt;0),"A básica só aceita Restrição Leve",""),IF(AND($MS40&gt;0,$PC40&lt;0),"Orçamento estourado: faltam "&amp;(-$PC40)&amp;IF($PC40&lt;-1," pontos"," ponto"),""),IF(IFERROR(VLOOKUP(SUBSTITUTE(SUBSTITUTE(SUBSTITUTE($NB40,"~","~~"),"*","~*"),"?","~?"),'DADOS_RESTRICOES'!$M$2:$Q$54,4,FALSE),0)+IFERROR(VLOOKUP(SUBSTITUTE(SUBSTITUTE(SUBSTITUTE($NC40,"~","~~"),"*","~*"),"?","~?"),'DADOS_RESTRICOES'!$M$2:$Q$54,4,FALSE),0)&gt;1,$OK40&amp;" e "&amp;$OL40&amp;" são as duas de frequência",""),IF(AND((COUNTIF($RK40:$RN40,"Rápido")+COUNTIF($OK40:$OL40,"Rápido"))&gt;0,(COUNTIF($MX40:$NA40,"Atrasar")+COUNTIF($OK40:$OL40,"Atrasar"))&gt;0),"Rápido não entra com Atrasar",""),IF(AND((COUNTIF($RK40:$RN40,"Reação")+COUNTIF($OK40:$OL40,"Reação"))&gt;0,(COUNTIF($RK40:$RN40,"Rápido")+COUNTIF($OK40:$OL40,"Rápido"))&gt;0),"Reação não entra com Rápido",""),IF(AND((COUNTIF($RK40:$RN40,"Reação")+COUNTIF($OK40:$OL40,"Reação"))&gt;0,(COUNTIF($RK40:$RN40,"Armado")+COUNTIF($OK40:$OL40,"Armado"))&gt;0),"Reação não entra com Armado",""),IF(AND((COUNTIF($RK40:$RN40,"Reação")+COUNTIF($OK40:$OL40,"Reação"))&gt;0,(COUNTIF($MX40:$NA40,"Atrasar")+COUNTIF($OK40:$OL40,"Atrasar"))&gt;0),"Reação não entra com Atrasar",""),IF(AND((COUNTIF($RK40:$RN40,"Reação")+COUNTIF($OK40:$OL40,"Reação"))&gt;0,(COUNTIF($MX40:$NA40,"Parado")+COUNTIF($OK40:$OL40,"Parado"))&gt;0),"Reação não entra com Parado",""),IF(AND((COUNTIF($MX40:$NA40,"Atrasar")+COUNTIF($OK40:$OL40,"Atrasar"))&gt;0,(COUNTIF($MX40:$NA40,"Parado")+COUNTIF($OK40:$OL40,"Parado"))&gt;0),"Atrasar não entra com Parado",""),IF(AND((COUNTIF($RK40:$RN40,"Armado")+COUNTIF($OK40:$OL40,"Armado"))&gt;0,(COUNTIF($MX40:$NA40,"Carregar")+COUNTIF($OK40:$OL40,"Carregar"))&gt;0),"Armado não entra com Carregar",""),IF(AND(COUNTIF($OK40:$OL40,"Corpo a Corpo")&gt;0,$OF40=0,OR($RO40="Cone",$RO40="Linha")),"Corpo a Corpo não entra em "&amp;$MU40,""),IF(AND(COUNTIF($OK40:$OL40,"Corpo a Corpo")&gt;0,$RP40="Corpo a Corpo"),"A Forma "&amp;$MU40&amp;" já traz o Corpo a Corpo",""),IF(AND(COUNTIF($OK40:$OL40,"Tudo ou Nada")&gt;0,$OH40=0),"Tudo ou Nada só entra em habilidade de Teste de Resistência",""),IF(AND(COUNTIF($RK40:$RN40,"Inescapável")&gt;0,OR($OU40&gt;1,$OV40&gt;0)),"Inescapável não aceita outra peça",""),IF(AND($MS40&gt;0,$PD40*IF(COUNTIF($RK40:$RN40,"Remate")&gt;0,1.25,1)+$PE40&gt;4*$MS40),($PD40*IF(COUNTIF($RK40:$RN40,"Remate")&gt;0,1.25,1)+$PE40)&amp;" dados somando repetições"&amp;IF(COUNTIF($RK40:$RN40,"Remate")&gt;0," e o Remate","")&amp;": o teto da Classe "&amp;$MS40&amp;" é "&amp;4*$MS40,""))),IF(AND($MX40&lt;&gt;"",COUNTIF('DADOS_MELHORIAS'!$O$2:$O$113,SUBSTITUTE(SUBSTITUTE(SUBSTITUTE($MX40,"~","~~"),"*","~*"),"?","~?"))=0),"Melhoria não cadastrada ou com erro: "&amp;$MX40,""),IF(AND($MY40&lt;&gt;"",COUNTIF('DADOS_MELHORIAS'!$O$2:$O$113,SUBSTITUTE(SUBSTITUTE(SUBSTITUTE($MY40,"~","~~"),"*","~*"),"?","~?"))=0),"Melhoria não cadastrada ou com erro: "&amp;$MY40,""),IF(AND($MZ40&lt;&gt;"",COUNTIF('DADOS_MELHORIAS'!$O$2:$O$113,SUBSTITUTE(SUBSTITUTE(SUBSTITUTE($MZ40,"~","~~"),"*","~*"),"?","~?"))=0),"Melhoria não cadastrada ou com erro: "&amp;$MZ40,""),IF(AND($NA40&lt;&gt;"",COUNTIF('DADOS_MELHORIAS'!$O$2:$O$113,SUBSTITUTE(SUBSTITUTE(SUBSTITUTE($NA40,"~","~~"),"*","~*"),"?","~?"))=0),"Melhoria não cadastrada ou com erro: "&amp;$NA40,""),IF(AND($NB40&lt;&gt;"",COUNTIF('DADOS_RESTRICOES'!$M$2:$M$54,SUBSTITUTE(SUBSTITUTE(SUBSTITUTE($NB40,"~","~~"),"*","~*"),"?","~?"))=0),"Restrição não cadastrada ou com erro: "&amp;$NB40,""),IF(AND($NC40&lt;&gt;"",COUNTIF('DADOS_RESTRICOES'!$M$2:$M$54,SUBSTITUTE(SUBSTITUTE(SUBSTITUTE($NC40,"~","~~"),"*","~*"),"?","~?"))=0),"Restrição não cadastrada ou com erro: "&amp;$NC40,""))),IF(AND($MU40&lt;&gt;"",COUNTIF('DADOS_FORMAS'!$AH$2:$AH$21,SUBSTITUTE(SUBSTITUTE(SUBSTITUTE($MU40,"~","~~"),"*","~*"),"?","~?"))=0),"Forma não cadastrada ou com erro: "&amp;$MU40,""),IF(AND(IFERROR(INDEX('DADOS_FORMAS'!$AS$2:$AS$21,MATCH(SUBSTITUTE(SUBSTITUTE(SUBSTITUTE($MU40,"~","~~"),"*","~*"),"?","~?"),'DADOS_FORMAS'!$AH$2:$AH$21,0)),"")&lt;&gt;"",OR(IFERROR(VLOOKUP(SUBSTITUTE(SUBSTITUTE(SUBSTITUTE(IFERROR(INDEX('DADOS_FORMAS'!$AS$2:$AS$21,MATCH(SUBSTITUTE(SUBSTITUTE(SUBSTITUTE($MU40,"~","~~"),"*","~*"),"?","~?"),'DADOS_FORMAS'!$AH$2:$AH$21,0)),""),"~","~~"),"*","~*"),"?","~?"),'DADOS_RESTRICOES'!$M$2:$Q$54,2,FALSE),"")=$OK40,IFERROR(VLOOKUP(SUBSTITUTE(SUBSTITUTE(SUBSTITUTE(IFERROR(INDEX('DADOS_FORMAS'!$AS$2:$AS$21,MATCH(SUBSTITUTE(SUBSTITUTE(SUBSTITUTE($MU40,"~","~~"),"*","~*"),"?","~?"),'DADOS_FORMAS'!$AH$2:$AH$21,0)),""),"~","~~"),"*","~*"),"?","~?"),'DADOS_RESTRICOES'!$M$2:$Q$54,2,FALSE),"")=$OL40)),"Restrição repetida, contando a embutida",""),IF(IF(IFERROR(INDEX('DADOS_FORMAS'!$AS$2:$AS$21,MATCH(SUBSTITUTE(SUBSTITUTE(SUBSTITUTE($MU40,"~","~~"),"*","~*"),"?","~?"),'DADOS_FORMAS'!$AH$2:$AH$21,0)),"")="",0,IFERROR(N(VLOOKUP(SUBSTITUTE(SUBSTITUTE(SUBSTITUTE(IFERROR(INDEX('DADOS_FORMAS'!$AS$2:$AS$21,MATCH(SUBSTITUTE(SUBSTITUTE(SUBSTITUTE($MU40,"~","~~"),"*","~*"),"?","~?"),'DADOS_FORMAS'!$AH$2:$AH$21,0)),""),"~","~~"),"*","~*"),"?","~?"),'DADOS_RESTRICOES'!$M$2:$Q$54,4,FALSE)=1),0))+IF($NB40="",0,IFERROR(N(VLOOKUP(SUBSTITUTE(SUBSTITUTE(SUBSTITUTE($NB40,"~","~~"),"*","~*"),"?","~?"),'DADOS_RESTRICOES'!$M$2:$Q$54,4,FALSE)=1),0))+IF($NC40="",0,IFERROR(N(VLOOKUP(SUBSTITUTE(SUBSTITUTE(SUBSTITUTE($NC40,"~","~~"),"*","~*"),"?","~?"),'DADOS_RESTRICOES'!$M$2:$Q$54,4,FALSE)=1),0))&gt;1,"Duas Restrições de frequência, contando a embutida",""),IF(AND(IFERROR(VLOOKUP(SUBSTITUTE(SUBSTITUTE(SUBSTITUTE(IFERROR(INDEX('DADOS_FORMAS'!$AS$2:$AS$21,MATCH(SUBSTITUTE(SUBSTITUTE(SUBSTITUTE($MU40,"~","~~"),"*","~*"),"?","~?"),'DADOS_FORMAS'!$AH$2:$AH$21,0)),""),"~","~~"),"*","~*"),"?","~?"),'DADOS_RESTRICOES'!$M$2:$Q$54,2,FALSE),"")="Tudo ou Nada",$OH40=0),"Tudo ou Nada exige TR",""),IF(AND(IFERROR(VLOOKUP(SUBSTITUTE(SUBSTITUTE(SUBSTITUTE(IFERROR(INDEX('DADOS_FORMAS'!$AS$2:$AS$21,MATCH(SUBSTITUTE(SUBSTITUTE(SUBSTITUTE($MU40,"~","~~"),"*","~*"),"?","~?"),'DADOS_FORMAS'!$AH$2:$AH$21,0)),""),"~","~~"),"*","~*"),"?","~?"),'DADOS_RESTRICOES'!$M$2:$Q$54,2,FALSE),"")="Corpo a Corpo",OR($RO40="Cone",$RO40="Linha")),"Corpo a Corpo não entra em Cone/Linha","")))</f>
        <v/>
      </c>
      <c r="PU40" s="164">
        <f>IF($PT40="",0,(LEN($PT40)-LEN(SUBSTITUTE($PT40," · ","")))/3+1)</f>
        <v/>
      </c>
      <c r="PV40" s="164">
        <f>IF($ND40=0,"",TEXTJOIN(" · ",TRUE,IF($OX40&gt;2*$MS40,"A devolução parou no teto de "&amp;2*$MS40,""),IF($PA40&gt;0,"Devolução perdida: "&amp;$PA40&amp;IF($PA40&gt;1," pontos"," ponto")&amp;" sem Melhoria para pagar",""),IF(AND($OC40&gt;0,AND($MS40&gt;0,$OG40=0),$PD40=0),"Controle sem dano: uma rodada a mais e CD +2",""),IF(AND($OC40&gt;0,AND($MS40&gt;0,$OG40=0),$PD40&gt;0,$PD40&lt;=$MS40),"Controle com saldo até a Classe: uma rodada a mais",""),IF(AND($MS40&gt;0,$OE40&lt;&gt;""),"Efeito de "&amp;$OE40&amp;" pela Classe "&amp;MAX(1,$MS40-1),"")))</f>
        <v/>
      </c>
      <c r="PW40" s="164">
        <f>IF($PV40="",0,(LEN($PV40)-LEN(SUBSTITUTE($PV40," · ","")))/3+1)</f>
        <v/>
      </c>
      <c r="PX40" s="164">
        <f>IF($ND40=0,IF($OU40+COUNTIF($NB40:$NC40,"?*")&gt;0,"Dê um nome",""),IF($PU40&gt;0,"⚠ "&amp;$PU40&amp;IF($PU40&gt;1," erros"," erro"),IF($PW40&gt;0,"! "&amp;$PW40&amp;IF($PW40&gt;1," avisos"," aviso"),"Na regra")))</f>
        <v/>
      </c>
      <c r="PY40" s="164">
        <f>IF($ND40=0,"",IF($PU40+$PW40=0,"Dentro das regras que a ficha confere",$PT40&amp;IF(AND($PU40&gt;0,$PW40&gt;0)," · ","")&amp;$PV40))</f>
        <v/>
      </c>
      <c r="PZ40" s="164">
        <f>IF($MQ40&gt;$NE40,$MR40&amp;" · ABRE NO NÍVEL "&amp;$MQ40,$MR40)</f>
        <v/>
      </c>
      <c r="QA40" s="164">
        <f>IF($ND40=0,"",IF($MS40=0,"Sem PE",3*$MS40&amp;" PE"))</f>
        <v/>
      </c>
      <c r="QB40" s="164">
        <f>IF($ND40=0,"",IF($MS40=0,"A atuação básica dela",IF(COUNTIF($RQ40:$RS40,"Atrasar")&gt;0,"Sua Ação Completa",IF(COUNTIF($RK40:$RN40,"Rápido")&gt;0,"Sua Bônus",IF(COUNTIF($RK40:$RN40,"Reação")&gt;0,"Sua Reação","Sua Padrão")))&amp;" + a básica dela"&amp;IF(COUNTIF($RK40:$RN40,"Reação")&gt;0," e a coletiva","")&amp;IF(COUNTIF($RQ40:$RS40,"Carregar")&gt;0," · em dois turnos","")))</f>
        <v/>
      </c>
      <c r="QC40" s="164">
        <f>IF($MW40&lt;&gt;"",$MW40,IF($NJ40=0,"",INDEX('DADOS_FORMAS'!$GE$2:$GE$21,$NJ40)))</f>
        <v/>
      </c>
      <c r="QD40" s="164">
        <f>IF(OR($ND40=0,$NJ40=0),"",IF(COUNTIF($RK40:$RN40,"Inescapável")&gt;0,"Automático",IF($QC40="Ataque",IF($NH40="","Ataque","Ataque "&amp;IF(($NH40+2*IF(COUNTIF($RK40:$RN40,"Precisão")&gt;0,1,0))&gt;=0,"+","−")&amp;ABS(($NH40+2*IF(COUNTIF($RK40:$RN40,"Precisão")&gt;0,1,0))))&amp;IF($OD40&gt;0," · TR"&amp;IF($NI40="",""," CD "&amp;$NI40),""),IF(LEFT($QC40,2)="TR",$QC40&amp;IF($NI40="",""," · CD "&amp;$NI40)&amp;IF(COUNTIF($RK40:$RN40,"Certeiro")&gt;0," · metade",""),"Sem rolagem"))))</f>
        <v/>
      </c>
      <c r="QE40" s="164">
        <f>IF(OR($ND40=0,$NJ40=0),"",IF($MS40=0,IF(OR($OG40&gt;=1,$PD40=0),"Sem dano",$PD40&amp;"d6"&amp;IF($MV40="",""," "&amp;$MV40)),IF(OR($OG40&gt;=1,$PD40=0),UPPER(LEFT(INDEX($PM40:$PS40,1,MAX(1,$MS40)),1))&amp;MID(INDEX($PM40:$PS40,1,MAX(1,$MS40)),2,99),UPPER(LEFT(INDEX($PM40:$PS40,1,MAX(1,$MS40)),1))&amp;MID(INDEX($PM40:$PS40,1,MAX(1,$MS40)),2,99)&amp;IF($MV40="",""," "&amp;$MV40)&amp;IF($PE40&gt;0," · +"&amp;$PE40&amp;"d8",""))))</f>
        <v/>
      </c>
      <c r="QF40" s="164">
        <f>COUNTIF($RK40:$RN40,"Longe")+3*COUNTIF($RK40:$RN40,"Muito Longe")</f>
        <v/>
      </c>
      <c r="QG40" s="164">
        <f>COUNTIF($RK40:$RN40,"Maior")+3*COUNTIF($RK40:$RN40,"Muito Maior")</f>
        <v/>
      </c>
      <c r="QH40" s="164">
        <f>IF($NJ40=0,0,CHOOSE(1+INDEX('DADOS_FORMAS'!$GG$2:$GG$21,$NJ40),0,$QF40,$QG40,$QF40+$QG40))</f>
        <v/>
      </c>
      <c r="QI40" s="164">
        <f>IF($NJ40=0,0,CHOOSE(1+INDEX('DADOS_FORMAS'!$GH$2:$GH$21,$NJ40),0,$QF40,$QG40,$QF40+$QG40))</f>
        <v/>
      </c>
      <c r="QJ40" s="164">
        <f>IF(OR($ND40=0,$NJ40=0),"",INDEX('DADOS_FORMAS'!$HU$2:$HZ$81,($NJ40-1)*4+IF($MS40=0,1,IF($MS40&lt;=5,2,IF($MS40=6,3,4))),1+MIN(5,$QH40))&amp;INDEX('DADOS_FORMAS'!$IA$2:$IF$81,($NJ40-1)*4+IF($MS40=0,1,IF($MS40&lt;=5,2,IF($MS40=6,3,4))),1+MIN(5,$QI40))&amp;IF(INDEX('DADOS_FORMAS'!$GI$2:$GI$21,$NJ40)=1,IF(COUNTIF($RK40:$RN40,"Mais Um")&gt;0," · +"&amp;COUNTIF($RK40:$RN40,"Mais Um")&amp;IF(COUNTIF($RK40:$RN40,"Mais Um")&gt;1," alvos"," alvo"),"")&amp;IF(COUNTIF($RK40:$RN40,"Rajada")&gt;0,IF($MS40=0," · 1 tiro"," · "&amp;(MAX(1,$MS40-1)+1)&amp;" tiros"),""),""))</f>
        <v/>
      </c>
      <c r="QK40" s="164">
        <f>IF($ND40=0,"",IF($MS40=0,$NG40&amp;"d6"&amp;IF($OU40&gt;0," − 1 = "&amp;$PD40&amp;"d6"," da básica do nível "&amp;$NE40),$PB40&amp;" − "&amp;$OW40&amp;" + "&amp;$OZ40&amp;" = "&amp;$PC40&amp;" · teto "&amp;4*$MS40&amp;"d8"&amp;IF($OF40=1," · a Forma devolve "&amp;$MS40,"")&amp;IF($PA40&gt;0," · perde "&amp;$PA40,"")))</f>
        <v/>
      </c>
      <c r="QL40" s="164">
        <f>IF($ND40=0,"",IF($MS40=0,"A básica não amplia: os dados dela sobem com o nível",IF($MS40&gt;=$NF40,"Já está na maior Classe que o nível liberou",TEXTJOIN(" · ",TRUE,IF(AND(2&gt;$MS40,2&lt;=$NF40),"2 → "&amp;$PN40&amp;", 6 PE",""),IF(AND(3&gt;$MS40,3&lt;=$NF40),"3 → "&amp;$PO40&amp;", 9 PE",""),IF(AND(4&gt;$MS40,4&lt;=$NF40),"4 → "&amp;$PP40&amp;", 12 PE",""),IF(AND(5&gt;$MS40,5&lt;=$NF40),"5 → "&amp;$PQ40&amp;", 15 PE",""),IF(AND(6&gt;$MS40,6&lt;=$NF40),"6 → "&amp;$PR40&amp;", 18 PE",""),IF(AND(7&gt;$MS40,7&lt;=$NF40),"7 → "&amp;$PS40&amp;", 21 PE","")))))</f>
        <v/>
      </c>
      <c r="QM40" s="164">
        <f>IF(OR($ND40=0,$NO40=0),"",IF($MS40=0,"−1 dado","−"&amp;INDEX($I$2:$N$8,MAX(1,$MS40),MAX(1,$NT40))&amp;" · "&amp;CHOOSE(MAX(1,$NT40),"Leve","Média","Pesada","Leve · Livre","Média · Livre","Pesada · Livre")))</f>
        <v/>
      </c>
      <c r="QN40" s="164">
        <f>IF(OR($ND40=0,$NP40=0),"",IF($MS40=0,"−1 dado","−"&amp;INDEX($I$2:$N$8,MAX(1,$MS40),MAX(1,$NU40))&amp;" · "&amp;CHOOSE(MAX(1,$NU40),"Leve","Média","Pesada","Leve · Livre","Média · Livre","Pesada · Livre")))</f>
        <v/>
      </c>
      <c r="QO40" s="164">
        <f>IF(OR($ND40=0,$NQ40=0),"",IF($MS40=0,"−1 dado","−"&amp;INDEX($I$2:$N$8,MAX(1,$MS40),MAX(1,$NV40))&amp;" · "&amp;CHOOSE(MAX(1,$NV40),"Leve","Média","Pesada","Leve · Livre","Média · Livre","Pesada · Livre")))</f>
        <v/>
      </c>
      <c r="QP40" s="164">
        <f>IF(OR($ND40=0,$NR40=0),"",IF($MS40=0,"−1 dado","−"&amp;INDEX($I$2:$N$8,MAX(1,$MS40),MAX(1,$NW40))&amp;" · "&amp;CHOOSE(MAX(1,$NW40),"Leve","Média","Pesada","Leve · Livre","Média · Livre","Pesada · Livre")))</f>
        <v/>
      </c>
      <c r="QQ40" s="164">
        <f>IF(OR($ND40=0,$NB40=""),"",IF($MS40=0,"não devolve","+"&amp;IF($OI40=1,CEILING($MS40/2,1),$MS40)))</f>
        <v/>
      </c>
      <c r="QR40" s="164">
        <f>IF(OR($ND40=0,$NC40=""),"",IF($MS40=0,"não devolve","+"&amp;IF($OJ40=1,CEILING($MS40/2,1),$MS40)))</f>
        <v/>
      </c>
      <c r="RK40">
        <f>IF($MX40="","",IFERROR(VLOOKUP(SUBSTITUTE(SUBSTITUTE(SUBSTITUTE($MX40,"~","~~"),"*","~*"),"?","~?"),'DADOS_MELHORIAS'!$O$2:$X$113,10,FALSE),$MX40))</f>
        <v/>
      </c>
      <c r="RL40">
        <f>IF($MY40="","",IFERROR(VLOOKUP(SUBSTITUTE(SUBSTITUTE(SUBSTITUTE($MY40,"~","~~"),"*","~*"),"?","~?"),'DADOS_MELHORIAS'!$O$2:$X$113,10,FALSE),$MY40))</f>
        <v/>
      </c>
      <c r="RM40">
        <f>IF($MZ40="","",IFERROR(VLOOKUP(SUBSTITUTE(SUBSTITUTE(SUBSTITUTE($MZ40,"~","~~"),"*","~*"),"?","~?"),'DADOS_MELHORIAS'!$O$2:$X$113,10,FALSE),$MZ40))</f>
        <v/>
      </c>
      <c r="RN40">
        <f>IF($NA40="","",IFERROR(VLOOKUP(SUBSTITUTE(SUBSTITUTE(SUBSTITUTE($NA40,"~","~~"),"*","~*"),"?","~?"),'DADOS_MELHORIAS'!$O$2:$X$113,10,FALSE),$NA40))</f>
        <v/>
      </c>
      <c r="RO40">
        <f>IFERROR(INDEX('DADOS_FORMAS'!$BJ$2:$BJ$21,MATCH(SUBSTITUTE(SUBSTITUTE(SUBSTITUTE($MU40,"~","~~"),"*","~*"),"?","~?"),'DADOS_FORMAS'!$AH$2:$AH$21,0)),"")</f>
        <v/>
      </c>
      <c r="RP40">
        <f>IFERROR(VLOOKUP(SUBSTITUTE(SUBSTITUTE(SUBSTITUTE(IFERROR(INDEX('DADOS_FORMAS'!$AS$2:$AS$21,MATCH(SUBSTITUTE(SUBSTITUTE(SUBSTITUTE($MU40,"~","~~"),"*","~*"),"?","~?"),'DADOS_FORMAS'!$AH$2:$AH$21,0)),""),"~","~~"),"*","~*"),"?","~?"),'DADOS_RESTRICOES'!$M$2:$Q$54,2,FALSE),"")</f>
        <v/>
      </c>
      <c r="RQ40">
        <f>$OK40</f>
        <v/>
      </c>
      <c r="RR40">
        <f>$OL40</f>
        <v/>
      </c>
      <c r="RS40">
        <f>$RP40</f>
        <v/>
      </c>
    </row>
    <row r="41">
      <c r="AH41" s="162" t="inlineStr">
        <is>
          <t>Efeito · classe 7</t>
        </is>
      </c>
      <c r="AI41" s="162" t="inlineStr">
        <is>
          <t>Fora de combate</t>
        </is>
      </c>
      <c r="AJ41" s="162" t="inlineStr">
        <is>
          <t>Fora de combate</t>
        </is>
      </c>
      <c r="AK41" s="162" t="inlineStr">
        <is>
          <t>Fora de combate</t>
        </is>
      </c>
      <c r="AL41" s="162" t="inlineStr">
        <is>
          <t>Fora de combate</t>
        </is>
      </c>
      <c r="AM41" s="162" t="inlineStr">
        <is>
          <t>Fora de combate</t>
        </is>
      </c>
      <c r="AN41" s="162" t="inlineStr">
        <is>
          <t>Fora de combate</t>
        </is>
      </c>
      <c r="AO41" s="162" t="inlineStr"/>
      <c r="AP41" s="162" t="inlineStr"/>
      <c r="AQ41" s="162" t="inlineStr"/>
      <c r="AR41" s="162" t="inlineStr"/>
      <c r="AS41" s="162" t="inlineStr"/>
      <c r="AT41" s="162" t="inlineStr"/>
      <c r="AV41" s="162" t="inlineStr">
        <is>
          <t>Prende</t>
        </is>
      </c>
      <c r="AW41" s="162" t="inlineStr">
        <is>
          <t>Controle</t>
        </is>
      </c>
      <c r="AX41" s="164" t="n">
        <v>2</v>
      </c>
      <c r="AY41" s="164" t="n">
        <v>1</v>
      </c>
      <c r="AZ41" s="164" t="n">
        <v>0</v>
      </c>
      <c r="BA41" s="164" t="n">
        <v>1</v>
      </c>
      <c r="JT41" s="164">
        <f>IF(OR($AW41="",(COUNTIF($EL$2:$EP$2,$AW41)+COUNTIF($QV$2:$QY$2,$AW41))&gt;0),$AV41,"")</f>
        <v/>
      </c>
      <c r="JU41" s="164">
        <f>IF(AND($AX41=1,OR($AW41="",(COUNTIF($EL$2:$EP$2,$AW41)+COUNTIF($QV$2:$QY$2,$AW41))&gt;0)),$AV41,"")</f>
        <v/>
      </c>
      <c r="JZ41" s="164">
        <f>IF(OR($AW41="",(COUNTIF($EL$3:$EP$3,$AW41)+COUNTIF($QV$3:$QY$3,$AW41))&gt;0),$AV41,"")</f>
        <v/>
      </c>
      <c r="KA41" s="164">
        <f>IF(AND($AX41=1,OR($AW41="",(COUNTIF($EL$3:$EP$3,$AW41)+COUNTIF($QV$3:$QY$3,$AW41))&gt;0)),$AV41,"")</f>
        <v/>
      </c>
      <c r="KF41" s="164">
        <f>IF(OR($AW41="",(COUNTIF($EL$4:$EP$4,$AW41)+COUNTIF($QV$4:$QY$4,$AW41))&gt;0),$AV41,"")</f>
        <v/>
      </c>
      <c r="KG41" s="164">
        <f>IF(AND($AX41=1,OR($AW41="",(COUNTIF($EL$4:$EP$4,$AW41)+COUNTIF($QV$4:$QY$4,$AW41))&gt;0)),$AV41,"")</f>
        <v/>
      </c>
      <c r="KL41" s="164">
        <f>IF(OR($AW41="",(COUNTIF($EL$5:$EP$5,$AW41)+COUNTIF($QV$5:$QY$5,$AW41))&gt;0),$AV41,"")</f>
        <v/>
      </c>
      <c r="KM41" s="164">
        <f>IF(AND($AX41=1,OR($AW41="",(COUNTIF($EL$5:$EP$5,$AW41)+COUNTIF($QV$5:$QY$5,$AW41))&gt;0)),$AV41,"")</f>
        <v/>
      </c>
      <c r="KR41" s="164">
        <f>IF(OR($AW41="",(COUNTIF($EL$6:$EP$6,$AW41)+COUNTIF($QV$6:$QY$6,$AW41))&gt;0),$AV41,"")</f>
        <v/>
      </c>
      <c r="KS41" s="164">
        <f>IF(AND($AX41=1,OR($AW41="",(COUNTIF($EL$6:$EP$6,$AW41)+COUNTIF($QV$6:$QY$6,$AW41))&gt;0)),$AV41,"")</f>
        <v/>
      </c>
      <c r="KX41" s="164">
        <f>IF(OR($AW41="",(COUNTIF($EL$7:$EP$7,$AW41)+COUNTIF($QV$7:$QY$7,$AW41))&gt;0),$AV41,"")</f>
        <v/>
      </c>
      <c r="KY41" s="164">
        <f>IF(AND($AX41=1,OR($AW41="",(COUNTIF($EL$7:$EP$7,$AW41)+COUNTIF($QV$7:$QY$7,$AW41))&gt;0)),$AV41,"")</f>
        <v/>
      </c>
      <c r="LD41" s="164">
        <f>IF(OR($AW41="",(COUNTIF($EL$8:$EP$8,$AW41)+COUNTIF($QV$8:$QY$8,$AW41))&gt;0),$AV41,"")</f>
        <v/>
      </c>
      <c r="LE41" s="164">
        <f>IF(AND($AX41=1,OR($AW41="",(COUNTIF($EL$8:$EP$8,$AW41)+COUNTIF($QV$8:$QY$8,$AW41))&gt;0)),$AV41,"")</f>
        <v/>
      </c>
      <c r="LJ41" s="164">
        <f>IF(OR($AW41="",(COUNTIF($EL$9:$EP$9,$AW41)+COUNTIF($QV$9:$QY$9,$AW41))&gt;0),$AV41,"")</f>
        <v/>
      </c>
      <c r="LK41" s="164">
        <f>IF(AND($AX41=1,OR($AW41="",(COUNTIF($EL$9:$EP$9,$AW41)+COUNTIF($QV$9:$QY$9,$AW41))&gt;0)),$AV41,"")</f>
        <v/>
      </c>
      <c r="LP41" s="164">
        <f>IF(OR($AW41="",(COUNTIF($EL$10:$EP$10,$AW41)+COUNTIF($QV$10:$QY$10,$AW41))&gt;0),$AV41,"")</f>
        <v/>
      </c>
      <c r="LQ41" s="164">
        <f>IF(AND($AX41=1,OR($AW41="",(COUNTIF($EL$10:$EP$10,$AW41)+COUNTIF($QV$10:$QY$10,$AW41))&gt;0)),$AV41,"")</f>
        <v/>
      </c>
      <c r="LV41" s="164">
        <f>IF(OR($AW41="",(COUNTIF($EL$11:$EP$11,$AW41)+COUNTIF($QV$11:$QY$11,$AW41))&gt;0),$AV41,"")</f>
        <v/>
      </c>
      <c r="LW41" s="164">
        <f>IF(AND($AX41=1,OR($AW41="",(COUNTIF($EL$11:$EP$11,$AW41)+COUNTIF($QV$11:$QY$11,$AW41))&gt;0)),$AV41,"")</f>
        <v/>
      </c>
      <c r="MB41" s="164">
        <f>IF(OR($AW41="",(COUNTIF($EL$12:$EP$12,$AW41)+COUNTIF($QV$12:$QY$12,$AW41))&gt;0),$AV41,"")</f>
        <v/>
      </c>
      <c r="MC41" s="164">
        <f>IF(AND($AX41=1,OR($AW41="",(COUNTIF($EL$12:$EP$12,$AW41)+COUNTIF($QV$12:$QY$12,$AW41))&gt;0)),$AV41,"")</f>
        <v/>
      </c>
      <c r="MH41" s="164">
        <f>IF(OR($AW41="",(COUNTIF($EL$13:$EP$13,$AW41)+COUNTIF($QV$13:$QY$13,$AW41))&gt;0),$AV41,"")</f>
        <v/>
      </c>
      <c r="MI41" s="164">
        <f>IF(AND($AX41=1,OR($AW41="",(COUNTIF($EL$13:$EP$13,$AW41)+COUNTIF($QV$13:$QY$13,$AW41))&gt;0)),$AV41,"")</f>
        <v/>
      </c>
      <c r="MN41" s="162" t="inlineStr">
        <is>
          <t>Ficha 4 · Básica 1</t>
        </is>
      </c>
      <c r="MO41" s="164" t="n">
        <v>4</v>
      </c>
      <c r="MP41" s="164" t="n">
        <v>0</v>
      </c>
      <c r="MQ41" s="164" t="n">
        <v>1</v>
      </c>
      <c r="MR41" s="162" t="inlineStr">
        <is>
          <t>BÁSICA 1</t>
        </is>
      </c>
      <c r="MS41" s="164" t="n">
        <v>0</v>
      </c>
      <c r="MT41" s="164">
        <f>'INVOCAÇÕES'!$J$704&amp;""</f>
        <v/>
      </c>
      <c r="MU41" s="164">
        <f>'INVOCAÇÕES'!$I$709&amp;""</f>
        <v/>
      </c>
      <c r="MV41" s="164">
        <f>'INVOCAÇÕES'!$I$710&amp;""</f>
        <v/>
      </c>
      <c r="MW41" s="164">
        <f>'INVOCAÇÕES'!$K$710&amp;""</f>
        <v/>
      </c>
      <c r="MX41" s="164">
        <f>'INVOCAÇÕES'!$J$713&amp;""</f>
        <v/>
      </c>
      <c r="MY41" s="164">
        <f>'INVOCAÇÕES'!$J$714&amp;""</f>
        <v/>
      </c>
      <c r="MZ41" s="164">
        <f>'INVOCAÇÕES'!$J$715&amp;""</f>
        <v/>
      </c>
      <c r="NA41" s="164">
        <f>'INVOCAÇÕES'!$J$716&amp;""</f>
        <v/>
      </c>
      <c r="NB41" s="164">
        <f>'INVOCAÇÕES'!$J$717&amp;""</f>
        <v/>
      </c>
      <c r="NC41" s="164">
        <f>'INVOCAÇÕES'!$J$718&amp;""</f>
        <v/>
      </c>
      <c r="ND41" s="164">
        <f>IF($MT41&lt;&gt;"",1,0)</f>
        <v/>
      </c>
      <c r="NE41" s="164">
        <f>INDEX($FO$2:$FO$13,$MO41)</f>
        <v/>
      </c>
      <c r="NF41" s="164">
        <f>INDEX($FP$2:$FP$13,$MO41)</f>
        <v/>
      </c>
      <c r="NG41" s="164">
        <f>INDEX($FQ$2:$FQ$13,$MO41)</f>
        <v/>
      </c>
      <c r="NH41" s="164">
        <f>INDEX($GB$2:$GB$13,$MO41)</f>
        <v/>
      </c>
      <c r="NI41" s="164">
        <f>INDEX($GC$2:$GC$13,$MO41)</f>
        <v/>
      </c>
      <c r="NJ41" s="164">
        <f>IFERROR(MATCH(SUBSTITUTE(SUBSTITUTE(SUBSTITUTE($MU41,"~","~~"),"*","~*"),"?","~?"),'DADOS_FORMAS'!$FZ$2:$FZ$21,0),0)</f>
        <v/>
      </c>
      <c r="NK41" s="164">
        <f>IFERROR(VLOOKUP(SUBSTITUTE(SUBSTITUTE(SUBSTITUTE($MX41,"~","~~"),"*","~*"),"?","~?"),'DADOS_MELHORIAS'!$AG$2:$AL$113,2,FALSE),"")</f>
        <v/>
      </c>
      <c r="NL41" s="164">
        <f>IFERROR(VLOOKUP(SUBSTITUTE(SUBSTITUTE(SUBSTITUTE($MY41,"~","~~"),"*","~*"),"?","~?"),'DADOS_MELHORIAS'!$AG$2:$AL$113,2,FALSE),"")</f>
        <v/>
      </c>
      <c r="NM41" s="164">
        <f>IFERROR(VLOOKUP(SUBSTITUTE(SUBSTITUTE(SUBSTITUTE($MZ41,"~","~~"),"*","~*"),"?","~?"),'DADOS_MELHORIAS'!$AG$2:$AL$113,2,FALSE),"")</f>
        <v/>
      </c>
      <c r="NN41" s="164">
        <f>IFERROR(VLOOKUP(SUBSTITUTE(SUBSTITUTE(SUBSTITUTE($NA41,"~","~~"),"*","~*"),"?","~?"),'DADOS_MELHORIAS'!$AG$2:$AL$113,2,FALSE),"")</f>
        <v/>
      </c>
      <c r="NO41" s="164">
        <f>IFERROR(VLOOKUP(SUBSTITUTE(SUBSTITUTE(SUBSTITUTE($MX41,"~","~~"),"*","~*"),"?","~?"),'DADOS_MELHORIAS'!$AG$2:$AL$113,3,FALSE),0)</f>
        <v/>
      </c>
      <c r="NP41" s="164">
        <f>IFERROR(VLOOKUP(SUBSTITUTE(SUBSTITUTE(SUBSTITUTE($MY41,"~","~~"),"*","~*"),"?","~?"),'DADOS_MELHORIAS'!$AG$2:$AL$113,3,FALSE),0)</f>
        <v/>
      </c>
      <c r="NQ41" s="164">
        <f>IFERROR(VLOOKUP(SUBSTITUTE(SUBSTITUTE(SUBSTITUTE($MZ41,"~","~~"),"*","~*"),"?","~?"),'DADOS_MELHORIAS'!$AG$2:$AL$113,3,FALSE),0)</f>
        <v/>
      </c>
      <c r="NR41" s="164">
        <f>IFERROR(VLOOKUP(SUBSTITUTE(SUBSTITUTE(SUBSTITUTE($NA41,"~","~~"),"*","~*"),"?","~?"),'DADOS_MELHORIAS'!$AG$2:$AL$113,3,FALSE),0)</f>
        <v/>
      </c>
      <c r="NS41" s="164">
        <f>IF($MS41=0,0,IF($NJ41=0,0,INDEX('DADOS_FORMAS'!$GB$2:$GB$21,$NJ41)))</f>
        <v/>
      </c>
      <c r="NT41" s="164">
        <f>IF(OR($NO41=0,$MS41=0),0,$NO41+3*IF(AND($NK41&lt;&gt;"",COUNTIF(INDEX($RB$2:$RJ$13,$MO41,0),$NK41)&gt;0),1,0))</f>
        <v/>
      </c>
      <c r="NU41" s="164">
        <f>IF(OR($NP41=0,$MS41=0),0,$NP41+3*IF(AND($NL41&lt;&gt;"",COUNTIF(INDEX($RB$2:$RJ$13,$MO41,0),$NL41)&gt;0),1,0))</f>
        <v/>
      </c>
      <c r="NV41" s="164">
        <f>IF(OR($NQ41=0,$MS41=0),0,$NQ41+3*IF(AND($NM41&lt;&gt;"",COUNTIF(INDEX($RB$2:$RJ$13,$MO41,0),$NM41)&gt;0),1,0))</f>
        <v/>
      </c>
      <c r="NW41" s="164">
        <f>IF(OR($NR41=0,$MS41=0),0,$NR41+3*IF(AND($NN41&lt;&gt;"",COUNTIF(INDEX($RB$2:$RJ$13,$MO41,0),$NN41)&gt;0),1,0))</f>
        <v/>
      </c>
      <c r="NX41" s="164">
        <f>IF($NJ41=0,0,IF(INDEX('DADOS_FORMAS'!$GA$2:$GA$21,$NJ41)="",0,IF((COUNTIF(INDEX($EL$2:$EP$13,$MO41,0),INDEX('DADOS_FORMAS'!$GA$2:$GA$21,$NJ41))+COUNTIF(INDEX($QV$2:$QY$13,$MO41,0),INDEX('DADOS_FORMAS'!$GA$2:$GA$21,$NJ41)))=0,1,0)))</f>
        <v/>
      </c>
      <c r="NY41" s="164">
        <f>IF(OR($NO41=0,$NK41=""),0,IF((COUNTIF(INDEX($EL$2:$EP$13,$MO41,0),$NK41)+COUNTIF(INDEX($QV$2:$QY$13,$MO41,0),$NK41))=0,1,0))</f>
        <v/>
      </c>
      <c r="NZ41" s="164">
        <f>IF(OR($NP41=0,$NL41=""),0,IF((COUNTIF(INDEX($EL$2:$EP$13,$MO41,0),$NL41)+COUNTIF(INDEX($QV$2:$QY$13,$MO41,0),$NL41))=0,1,0))</f>
        <v/>
      </c>
      <c r="OA41" s="164">
        <f>IF(OR($NQ41=0,$NM41=""),0,IF((COUNTIF(INDEX($EL$2:$EP$13,$MO41,0),$NM41)+COUNTIF(INDEX($QV$2:$QY$13,$MO41,0),$NM41))=0,1,0))</f>
        <v/>
      </c>
      <c r="OB41" s="164">
        <f>IF(OR($NR41=0,$NN41=""),0,IF((COUNTIF(INDEX($EL$2:$EP$13,$MO41,0),$NN41)+COUNTIF(INDEX($QV$2:$QY$13,$MO41,0),$NN41))=0,1,0))</f>
        <v/>
      </c>
      <c r="OC41" s="164">
        <f>IFERROR(VLOOKUP(SUBSTITUTE(SUBSTITUTE(SUBSTITUTE($MX41,"~","~~"),"*","~*"),"?","~?"),'DADOS_MELHORIAS'!$AG$2:$AL$113,4,FALSE),0)+IFERROR(VLOOKUP(SUBSTITUTE(SUBSTITUTE(SUBSTITUTE($MY41,"~","~~"),"*","~*"),"?","~?"),'DADOS_MELHORIAS'!$AG$2:$AL$113,4,FALSE),0)+IFERROR(VLOOKUP(SUBSTITUTE(SUBSTITUTE(SUBSTITUTE($MZ41,"~","~~"),"*","~*"),"?","~?"),'DADOS_MELHORIAS'!$AG$2:$AL$113,4,FALSE),0)+IFERROR(VLOOKUP(SUBSTITUTE(SUBSTITUTE(SUBSTITUTE($NA41,"~","~~"),"*","~*"),"?","~?"),'DADOS_MELHORIAS'!$AG$2:$AL$113,4,FALSE),0)</f>
        <v/>
      </c>
      <c r="OD41" s="164">
        <f>IFERROR(VLOOKUP(SUBSTITUTE(SUBSTITUTE(SUBSTITUTE($MX41,"~","~~"),"*","~*"),"?","~?"),'DADOS_MELHORIAS'!$AG$2:$AL$113,6,FALSE),0)+IFERROR(VLOOKUP(SUBSTITUTE(SUBSTITUTE(SUBSTITUTE($MY41,"~","~~"),"*","~*"),"?","~?"),'DADOS_MELHORIAS'!$AG$2:$AL$113,6,FALSE),0)+IFERROR(VLOOKUP(SUBSTITUTE(SUBSTITUTE(SUBSTITUTE($MZ41,"~","~~"),"*","~*"),"?","~?"),'DADOS_MELHORIAS'!$AG$2:$AL$113,6,FALSE),0)+IFERROR(VLOOKUP(SUBSTITUTE(SUBSTITUTE(SUBSTITUTE($NA41,"~","~~"),"*","~*"),"?","~?"),'DADOS_MELHORIAS'!$AG$2:$AL$113,6,FALSE),0)+IFERROR(N(AND(INDEX('DADOS_FORMAS'!$AO$2:$AO$21,MATCH(SUBSTITUTE(SUBSTITUTE(SUBSTITUTE($MU41,"~","~~"),"*","~*"),"?","~?"),'DADOS_FORMAS'!$AH$2:$AH$21,0))="Acerto",$OH41=1)),0)</f>
        <v/>
      </c>
      <c r="OE41" s="164">
        <f>TEXTJOIN(", ",TRUE,IF(IFERROR(VLOOKUP(SUBSTITUTE(SUBSTITUTE(SUBSTITUTE($MX41,"~","~~"),"*","~*"),"?","~?"),'DADOS_MELHORIAS'!$AG$2:$AL$113,5,FALSE),0)=1,$MX41,""),IF(IFERROR(VLOOKUP(SUBSTITUTE(SUBSTITUTE(SUBSTITUTE($MY41,"~","~~"),"*","~*"),"?","~?"),'DADOS_MELHORIAS'!$AG$2:$AL$113,5,FALSE),0)=1,$MY41,""),IF(IFERROR(VLOOKUP(SUBSTITUTE(SUBSTITUTE(SUBSTITUTE($MZ41,"~","~~"),"*","~*"),"?","~?"),'DADOS_MELHORIAS'!$AG$2:$AL$113,5,FALSE),0)=1,$MZ41,""),IF(IFERROR(VLOOKUP(SUBSTITUTE(SUBSTITUTE(SUBSTITUTE($NA41,"~","~~"),"*","~*"),"?","~?"),'DADOS_MELHORIAS'!$AG$2:$AL$113,5,FALSE),0)=1,$NA41,""))</f>
        <v/>
      </c>
      <c r="OF41" s="164">
        <f>IF($NJ41=0,0,INDEX('DADOS_FORMAS'!$GC$2:$GC$21,$NJ41))</f>
        <v/>
      </c>
      <c r="OG41" s="164">
        <f>IF($NJ41=0,0,INDEX('DADOS_FORMAS'!$GD$2:$GD$21,$NJ41))</f>
        <v/>
      </c>
      <c r="OH41" s="164">
        <f>IF($NJ41=0,0,INDEX('DADOS_FORMAS'!$GF$2:$GF$21,$NJ41))</f>
        <v/>
      </c>
      <c r="OI41" s="164">
        <f>IFERROR(VLOOKUP(SUBSTITUTE(SUBSTITUTE(SUBSTITUTE($NB41,"~","~~"),"*","~*"),"?","~?"),'DADOS_RESTRICOES'!$M$2:$Q$54,3,FALSE),0)</f>
        <v/>
      </c>
      <c r="OJ41" s="164">
        <f>IFERROR(VLOOKUP(SUBSTITUTE(SUBSTITUTE(SUBSTITUTE($NC41,"~","~~"),"*","~*"),"?","~?"),'DADOS_RESTRICOES'!$M$2:$Q$54,3,FALSE),0)</f>
        <v/>
      </c>
      <c r="OK41" s="164">
        <f>IFERROR(VLOOKUP(SUBSTITUTE(SUBSTITUTE(SUBSTITUTE($NB41,"~","~~"),"*","~*"),"?","~?"),'DADOS_RESTRICOES'!$M$2:$Q$54,2,FALSE),"")</f>
        <v/>
      </c>
      <c r="OL41" s="164">
        <f>IFERROR(VLOOKUP(SUBSTITUTE(SUBSTITUTE(SUBSTITUTE($NC41,"~","~~"),"*","~*"),"?","~?"),'DADOS_RESTRICOES'!$M$2:$Q$54,2,FALSE),"")</f>
        <v/>
      </c>
      <c r="OM41" s="164">
        <f>COUNTIF($NS41:$NW41,1)</f>
        <v/>
      </c>
      <c r="ON41" s="164">
        <f>COUNTIF($NS41:$NW41,2)</f>
        <v/>
      </c>
      <c r="OO41" s="164">
        <f>COUNTIF($NS41:$NW41,3)</f>
        <v/>
      </c>
      <c r="OP41" s="164">
        <f>COUNTIF($NS41:$NW41,4)</f>
        <v/>
      </c>
      <c r="OQ41" s="164">
        <f>COUNTIF($NS41:$NW41,5)</f>
        <v/>
      </c>
      <c r="OR41" s="164">
        <f>COUNTIF($NS41:$NW41,6)</f>
        <v/>
      </c>
      <c r="OS41" s="164">
        <f>COUNTIF($OI41:$OJ41,1)+IF(IFERROR(INDEX('DADOS_FORMAS'!$AS$2:$AS$21,MATCH(SUBSTITUTE(SUBSTITUTE(SUBSTITUTE($MU41,"~","~~"),"*","~*"),"?","~?"),'DADOS_FORMAS'!$AH$2:$AH$21,0)),"")="",0,IFERROR(N(VLOOKUP(SUBSTITUTE(SUBSTITUTE(SUBSTITUTE(IFERROR(INDEX('DADOS_FORMAS'!$AS$2:$AS$21,MATCH(SUBSTITUTE(SUBSTITUTE(SUBSTITUTE($MU41,"~","~~"),"*","~*"),"?","~?"),'DADOS_FORMAS'!$AH$2:$AH$21,0)),""),"~","~~"),"*","~*"),"?","~?"),'DADOS_RESTRICOES'!$M$2:$Q$54,3,FALSE)=1),0))</f>
        <v/>
      </c>
      <c r="OT41" s="164">
        <f>COUNTIF($OI41:$OJ41,2)+IF(IFERROR(INDEX('DADOS_FORMAS'!$AS$2:$AS$21,MATCH(SUBSTITUTE(SUBSTITUTE(SUBSTITUTE($MU41,"~","~~"),"*","~*"),"?","~?"),'DADOS_FORMAS'!$AH$2:$AH$21,0)),"")="",0,IFERROR(N(VLOOKUP(SUBSTITUTE(SUBSTITUTE(SUBSTITUTE(IFERROR(INDEX('DADOS_FORMAS'!$AS$2:$AS$21,MATCH(SUBSTITUTE(SUBSTITUTE(SUBSTITUTE($MU41,"~","~~"),"*","~*"),"?","~?"),'DADOS_FORMAS'!$AH$2:$AH$21,0)),""),"~","~~"),"*","~*"),"?","~?"),'DADOS_RESTRICOES'!$M$2:$Q$54,3,FALSE)=2),0))</f>
        <v/>
      </c>
      <c r="OU41" s="164">
        <f>COUNTIF($MX41:$NA41,"?*")</f>
        <v/>
      </c>
      <c r="OV41" s="164">
        <f>COUNTIF($NB41:$NC41,"?*")+$OF41</f>
        <v/>
      </c>
      <c r="OW41" s="164">
        <f>IF($MS41=0,0,SUMPRODUCT($OM41:$OR41,INDEX($I$2:$N$8,MAX(1,$MS41),0)))</f>
        <v/>
      </c>
      <c r="OX41" s="164">
        <f>IF($MS41=0,0,$OS41*CEILING($MS41/2,1)+$OT41*$MS41)</f>
        <v/>
      </c>
      <c r="OY41" s="164">
        <f>MIN(2*$MS41,$OX41)</f>
        <v/>
      </c>
      <c r="OZ41" s="164">
        <f>MIN($OY41,$OW41-IF($NS41=0,0,INDEX($I$2:$N$8,MAX(1,$MS41),$NS41)))</f>
        <v/>
      </c>
      <c r="PA41" s="164">
        <f>$OY41-$OZ41</f>
        <v/>
      </c>
      <c r="PB41" s="164">
        <f>IF($MS41=0,0,INDEX($P$2:$P$8,MAX(1,$MS41)))</f>
        <v/>
      </c>
      <c r="PC41" s="164">
        <f>$PB41-$OW41+$OZ41</f>
        <v/>
      </c>
      <c r="PD41" s="164">
        <f>IF($MS41=0,MAX(0,$NG41-IF(AND($OU41&gt;0,COUNTIF($NB41:$NC41,"?*")=0),1,0)),MAX(0,$PC41))</f>
        <v/>
      </c>
      <c r="PE41" s="164">
        <f>IF($MS41=0,0,(IF(COUNTIF($RK41:$RN41,"Salto")&gt;0,1,0)+IF(COUNTIF($RK41:$RN41,"Queima")&gt;0,1,0)+IF(COUNTIF($RK41:$RN41,"Estilhaço")&gt;0,1,0))*FLOOR($PD41/2,1))</f>
        <v/>
      </c>
      <c r="PF41" s="164">
        <f>MAX(0,2-SUMPRODUCT($OM41:$OR41,$I$2:$N$2)+MIN(2,$OS41*1+$OT41*1,SUMPRODUCT($OM41:$OR41,$I$2:$N$2)-IF($NS41=0,0,INDEX($I$2:$N$2,1,$NS41))))</f>
        <v/>
      </c>
      <c r="PG41" s="164">
        <f>MAX(0,4-SUMPRODUCT($OM41:$OR41,$I$3:$N$3)+MIN(4,$OS41*1+$OT41*2,SUMPRODUCT($OM41:$OR41,$I$3:$N$3)-IF($NS41=0,0,INDEX($I$3:$N$3,1,$NS41))))</f>
        <v/>
      </c>
      <c r="PH41" s="164">
        <f>MAX(0,6-SUMPRODUCT($OM41:$OR41,$I$4:$N$4)+MIN(6,$OS41*2+$OT41*3,SUMPRODUCT($OM41:$OR41,$I$4:$N$4)-IF($NS41=0,0,INDEX($I$4:$N$4,1,$NS41))))</f>
        <v/>
      </c>
      <c r="PI41" s="164">
        <f>MAX(0,9-SUMPRODUCT($OM41:$OR41,$I$5:$N$5)+MIN(8,$OS41*2+$OT41*4,SUMPRODUCT($OM41:$OR41,$I$5:$N$5)-IF($NS41=0,0,INDEX($I$5:$N$5,1,$NS41))))</f>
        <v/>
      </c>
      <c r="PJ41" s="164">
        <f>MAX(0,11-SUMPRODUCT($OM41:$OR41,$I$6:$N$6)+MIN(10,$OS41*3+$OT41*5,SUMPRODUCT($OM41:$OR41,$I$6:$N$6)-IF($NS41=0,0,INDEX($I$6:$N$6,1,$NS41))))</f>
        <v/>
      </c>
      <c r="PK41" s="164">
        <f>MAX(0,13-SUMPRODUCT($OM41:$OR41,$I$7:$N$7)+MIN(12,$OS41*3+$OT41*6,SUMPRODUCT($OM41:$OR41,$I$7:$N$7)-IF($NS41=0,0,INDEX($I$7:$N$7,1,$NS41))))</f>
        <v/>
      </c>
      <c r="PL41" s="164">
        <f>MAX(0,16-SUMPRODUCT($OM41:$OR41,$I$8:$N$8)+MIN(14,$OS41*4+$OT41*7,SUMPRODUCT($OM41:$OR41,$I$8:$N$8)-IF($NS41=0,0,INDEX($I$8:$N$8,1,$NS41))))</f>
        <v/>
      </c>
      <c r="PM41" s="164">
        <f>IF($OG41=2,3*$PF41&amp;" de vida temp.",IF($OG41=3,"sem dano",IF($PF41=0,IF($OG41=1,"sem cura","sem dano"),IF($OG41=1,"cura ","")&amp;$PF41&amp;"d8")))</f>
        <v/>
      </c>
      <c r="PN41" s="164">
        <f>IF($OG41=2,3*$PG41&amp;" de vida temp.",IF($OG41=3,"sem dano",IF($PG41=0,IF($OG41=1,"sem cura","sem dano"),IF($OG41=1,"cura ","")&amp;$PG41&amp;"d8")))</f>
        <v/>
      </c>
      <c r="PO41" s="164">
        <f>IF($OG41=2,3*$PH41&amp;" de vida temp.",IF($OG41=3,"sem dano",IF($PH41=0,IF($OG41=1,"sem cura","sem dano"),IF($OG41=1,"cura ","")&amp;$PH41&amp;"d8")))</f>
        <v/>
      </c>
      <c r="PP41" s="164">
        <f>IF($OG41=2,3*$PI41&amp;" de vida temp.",IF($OG41=3,"sem dano",IF($PI41=0,IF($OG41=1,"sem cura","sem dano"),IF($OG41=1,"cura ","")&amp;$PI41&amp;"d8")))</f>
        <v/>
      </c>
      <c r="PQ41" s="164">
        <f>IF($OG41=2,3*$PJ41&amp;" de vida temp.",IF($OG41=3,"sem dano",IF($PJ41=0,IF($OG41=1,"sem cura","sem dano"),IF($OG41=1,"cura ","")&amp;$PJ41&amp;"d8")))</f>
        <v/>
      </c>
      <c r="PR41" s="164">
        <f>IF($OG41=2,3*$PK41&amp;" de vida temp.",IF($OG41=3,"sem dano",IF($PK41=0,IF($OG41=1,"sem cura","sem dano"),IF($OG41=1,"cura ","")&amp;$PK41&amp;"d8")))</f>
        <v/>
      </c>
      <c r="PS41" s="164">
        <f>IF($OG41=2,3*$PL41&amp;" de vida temp.",IF($OG41=3,"sem dano",IF($PL41=0,IF($OG41=1,"sem cura","sem dano"),IF($OG41=1,"cura ","")&amp;$PL41&amp;"d8")))</f>
        <v/>
      </c>
      <c r="PT41" s="164">
        <f>IF($ND41=0,"",TEXTJOIN(" · ",TRUE,IF($ND41=0,"",TEXTJOIN(" · ",TRUE,IF($ND41=0,"",TEXTJOIN(" · ",TRUE,IF($MQ41&gt;$NE41,"Este lugar abre no nível "&amp;$MQ41,""),IF($MS41&gt;$NF41,"Classe "&amp;$MS41&amp;": o nível "&amp;$NE41&amp;" libera até a "&amp;$NF41,""),IF($NX41=1,"A Forma "&amp;$MU41&amp;" pede "&amp;INDEX('DADOS_FORMAS'!$GA$2:$GA$21,$NJ41)&amp;" aberta",""),IF(AND($MS41=0,$NJ41&gt;0,IF($NJ41=0,0,INDEX('DADOS_FORMAS'!$GJ$2:$GJ$21,$NJ41))=0),$MU41&amp;" não existe na Classe 0",""),IF($NY41=1,"Família Fechada: "&amp;$MX41,""),IF($NZ41=1,"Família Fechada: "&amp;$MY41,""),IF($OA41=1,"Família Fechada: "&amp;$MZ41,""),IF($OB41=1,"Família Fechada: "&amp;$NA41,""),IF(AND($MS41&gt;0,$OU41&gt;INDEX($O$2:$O$8,MAX(1,$MS41))),$OU41&amp;" Melhorias: a Classe "&amp;$MS41&amp;" aceita "&amp;INDEX($O$2:$O$8,MAX(1,$MS41)),""),IF(AND($MS41=0,$OU41&gt;1),"A básica aceita uma Melhoria",""),IF(AND($MS41=0,COUNTIF($NO41:$NR41,"&gt;1")&gt;0),"A básica só aceita Melhoria Leve",""),IF(AND($MS41&gt;0,$OV41&gt;2),$OV41&amp;" Restrições"&amp;IF($OF41=1,", contando a que a Forma "&amp;$MU41&amp;" já traz","")&amp;": o limite é 2",""),IF(AND($MS41=0,COUNTIF($NB41:$NC41,"?*")&gt;1),"A básica aceita uma Restrição Leve",""),IF(AND($MS41=0,COUNTIF($OI41:$OJ41,2)&gt;0),"A básica só aceita Restrição Leve",""),IF(AND($MS41&gt;0,$PC41&lt;0),"Orçamento estourado: faltam "&amp;(-$PC41)&amp;IF($PC41&lt;-1," pontos"," ponto"),""),IF(IFERROR(VLOOKUP(SUBSTITUTE(SUBSTITUTE(SUBSTITUTE($NB41,"~","~~"),"*","~*"),"?","~?"),'DADOS_RESTRICOES'!$M$2:$Q$54,4,FALSE),0)+IFERROR(VLOOKUP(SUBSTITUTE(SUBSTITUTE(SUBSTITUTE($NC41,"~","~~"),"*","~*"),"?","~?"),'DADOS_RESTRICOES'!$M$2:$Q$54,4,FALSE),0)&gt;1,$OK41&amp;" e "&amp;$OL41&amp;" são as duas de frequência",""),IF(AND((COUNTIF($RK41:$RN41,"Rápido")+COUNTIF($OK41:$OL41,"Rápido"))&gt;0,(COUNTIF($MX41:$NA41,"Atrasar")+COUNTIF($OK41:$OL41,"Atrasar"))&gt;0),"Rápido não entra com Atrasar",""),IF(AND((COUNTIF($RK41:$RN41,"Reação")+COUNTIF($OK41:$OL41,"Reação"))&gt;0,(COUNTIF($RK41:$RN41,"Rápido")+COUNTIF($OK41:$OL41,"Rápido"))&gt;0),"Reação não entra com Rápido",""),IF(AND((COUNTIF($RK41:$RN41,"Reação")+COUNTIF($OK41:$OL41,"Reação"))&gt;0,(COUNTIF($RK41:$RN41,"Armado")+COUNTIF($OK41:$OL41,"Armado"))&gt;0),"Reação não entra com Armado",""),IF(AND((COUNTIF($RK41:$RN41,"Reação")+COUNTIF($OK41:$OL41,"Reação"))&gt;0,(COUNTIF($MX41:$NA41,"Atrasar")+COUNTIF($OK41:$OL41,"Atrasar"))&gt;0),"Reação não entra com Atrasar",""),IF(AND((COUNTIF($RK41:$RN41,"Reação")+COUNTIF($OK41:$OL41,"Reação"))&gt;0,(COUNTIF($MX41:$NA41,"Parado")+COUNTIF($OK41:$OL41,"Parado"))&gt;0),"Reação não entra com Parado",""),IF(AND((COUNTIF($MX41:$NA41,"Atrasar")+COUNTIF($OK41:$OL41,"Atrasar"))&gt;0,(COUNTIF($MX41:$NA41,"Parado")+COUNTIF($OK41:$OL41,"Parado"))&gt;0),"Atrasar não entra com Parado",""),IF(AND((COUNTIF($RK41:$RN41,"Armado")+COUNTIF($OK41:$OL41,"Armado"))&gt;0,(COUNTIF($MX41:$NA41,"Carregar")+COUNTIF($OK41:$OL41,"Carregar"))&gt;0),"Armado não entra com Carregar",""),IF(AND(COUNTIF($OK41:$OL41,"Corpo a Corpo")&gt;0,$OF41=0,OR($RO41="Cone",$RO41="Linha")),"Corpo a Corpo não entra em "&amp;$MU41,""),IF(AND(COUNTIF($OK41:$OL41,"Corpo a Corpo")&gt;0,$RP41="Corpo a Corpo"),"A Forma "&amp;$MU41&amp;" já traz o Corpo a Corpo",""),IF(AND(COUNTIF($OK41:$OL41,"Tudo ou Nada")&gt;0,$OH41=0),"Tudo ou Nada só entra em habilidade de Teste de Resistência",""),IF(AND(COUNTIF($RK41:$RN41,"Inescapável")&gt;0,OR($OU41&gt;1,$OV41&gt;0)),"Inescapável não aceita outra peça",""),IF(AND($MS41&gt;0,$PD41*IF(COUNTIF($RK41:$RN41,"Remate")&gt;0,1.25,1)+$PE41&gt;4*$MS41),($PD41*IF(COUNTIF($RK41:$RN41,"Remate")&gt;0,1.25,1)+$PE41)&amp;" dados somando repetições"&amp;IF(COUNTIF($RK41:$RN41,"Remate")&gt;0," e o Remate","")&amp;": o teto da Classe "&amp;$MS41&amp;" é "&amp;4*$MS41,""))),IF(AND($MX41&lt;&gt;"",COUNTIF('DADOS_MELHORIAS'!$O$2:$O$113,SUBSTITUTE(SUBSTITUTE(SUBSTITUTE($MX41,"~","~~"),"*","~*"),"?","~?"))=0),"Melhoria não cadastrada ou com erro: "&amp;$MX41,""),IF(AND($MY41&lt;&gt;"",COUNTIF('DADOS_MELHORIAS'!$O$2:$O$113,SUBSTITUTE(SUBSTITUTE(SUBSTITUTE($MY41,"~","~~"),"*","~*"),"?","~?"))=0),"Melhoria não cadastrada ou com erro: "&amp;$MY41,""),IF(AND($MZ41&lt;&gt;"",COUNTIF('DADOS_MELHORIAS'!$O$2:$O$113,SUBSTITUTE(SUBSTITUTE(SUBSTITUTE($MZ41,"~","~~"),"*","~*"),"?","~?"))=0),"Melhoria não cadastrada ou com erro: "&amp;$MZ41,""),IF(AND($NA41&lt;&gt;"",COUNTIF('DADOS_MELHORIAS'!$O$2:$O$113,SUBSTITUTE(SUBSTITUTE(SUBSTITUTE($NA41,"~","~~"),"*","~*"),"?","~?"))=0),"Melhoria não cadastrada ou com erro: "&amp;$NA41,""),IF(AND($NB41&lt;&gt;"",COUNTIF('DADOS_RESTRICOES'!$M$2:$M$54,SUBSTITUTE(SUBSTITUTE(SUBSTITUTE($NB41,"~","~~"),"*","~*"),"?","~?"))=0),"Restrição não cadastrada ou com erro: "&amp;$NB41,""),IF(AND($NC41&lt;&gt;"",COUNTIF('DADOS_RESTRICOES'!$M$2:$M$54,SUBSTITUTE(SUBSTITUTE(SUBSTITUTE($NC41,"~","~~"),"*","~*"),"?","~?"))=0),"Restrição não cadastrada ou com erro: "&amp;$NC41,""))),IF(AND($MU41&lt;&gt;"",COUNTIF('DADOS_FORMAS'!$AH$2:$AH$21,SUBSTITUTE(SUBSTITUTE(SUBSTITUTE($MU41,"~","~~"),"*","~*"),"?","~?"))=0),"Forma não cadastrada ou com erro: "&amp;$MU41,""),IF(AND(IFERROR(INDEX('DADOS_FORMAS'!$AS$2:$AS$21,MATCH(SUBSTITUTE(SUBSTITUTE(SUBSTITUTE($MU41,"~","~~"),"*","~*"),"?","~?"),'DADOS_FORMAS'!$AH$2:$AH$21,0)),"")&lt;&gt;"",OR(IFERROR(VLOOKUP(SUBSTITUTE(SUBSTITUTE(SUBSTITUTE(IFERROR(INDEX('DADOS_FORMAS'!$AS$2:$AS$21,MATCH(SUBSTITUTE(SUBSTITUTE(SUBSTITUTE($MU41,"~","~~"),"*","~*"),"?","~?"),'DADOS_FORMAS'!$AH$2:$AH$21,0)),""),"~","~~"),"*","~*"),"?","~?"),'DADOS_RESTRICOES'!$M$2:$Q$54,2,FALSE),"")=$OK41,IFERROR(VLOOKUP(SUBSTITUTE(SUBSTITUTE(SUBSTITUTE(IFERROR(INDEX('DADOS_FORMAS'!$AS$2:$AS$21,MATCH(SUBSTITUTE(SUBSTITUTE(SUBSTITUTE($MU41,"~","~~"),"*","~*"),"?","~?"),'DADOS_FORMAS'!$AH$2:$AH$21,0)),""),"~","~~"),"*","~*"),"?","~?"),'DADOS_RESTRICOES'!$M$2:$Q$54,2,FALSE),"")=$OL41)),"Restrição repetida, contando a embutida",""),IF(IF(IFERROR(INDEX('DADOS_FORMAS'!$AS$2:$AS$21,MATCH(SUBSTITUTE(SUBSTITUTE(SUBSTITUTE($MU41,"~","~~"),"*","~*"),"?","~?"),'DADOS_FORMAS'!$AH$2:$AH$21,0)),"")="",0,IFERROR(N(VLOOKUP(SUBSTITUTE(SUBSTITUTE(SUBSTITUTE(IFERROR(INDEX('DADOS_FORMAS'!$AS$2:$AS$21,MATCH(SUBSTITUTE(SUBSTITUTE(SUBSTITUTE($MU41,"~","~~"),"*","~*"),"?","~?"),'DADOS_FORMAS'!$AH$2:$AH$21,0)),""),"~","~~"),"*","~*"),"?","~?"),'DADOS_RESTRICOES'!$M$2:$Q$54,4,FALSE)=1),0))+IF($NB41="",0,IFERROR(N(VLOOKUP(SUBSTITUTE(SUBSTITUTE(SUBSTITUTE($NB41,"~","~~"),"*","~*"),"?","~?"),'DADOS_RESTRICOES'!$M$2:$Q$54,4,FALSE)=1),0))+IF($NC41="",0,IFERROR(N(VLOOKUP(SUBSTITUTE(SUBSTITUTE(SUBSTITUTE($NC41,"~","~~"),"*","~*"),"?","~?"),'DADOS_RESTRICOES'!$M$2:$Q$54,4,FALSE)=1),0))&gt;1,"Duas Restrições de frequência, contando a embutida",""),IF(AND(IFERROR(VLOOKUP(SUBSTITUTE(SUBSTITUTE(SUBSTITUTE(IFERROR(INDEX('DADOS_FORMAS'!$AS$2:$AS$21,MATCH(SUBSTITUTE(SUBSTITUTE(SUBSTITUTE($MU41,"~","~~"),"*","~*"),"?","~?"),'DADOS_FORMAS'!$AH$2:$AH$21,0)),""),"~","~~"),"*","~*"),"?","~?"),'DADOS_RESTRICOES'!$M$2:$Q$54,2,FALSE),"")="Tudo ou Nada",$OH41=0),"Tudo ou Nada exige TR",""),IF(AND(IFERROR(VLOOKUP(SUBSTITUTE(SUBSTITUTE(SUBSTITUTE(IFERROR(INDEX('DADOS_FORMAS'!$AS$2:$AS$21,MATCH(SUBSTITUTE(SUBSTITUTE(SUBSTITUTE($MU41,"~","~~"),"*","~*"),"?","~?"),'DADOS_FORMAS'!$AH$2:$AH$21,0)),""),"~","~~"),"*","~*"),"?","~?"),'DADOS_RESTRICOES'!$M$2:$Q$54,2,FALSE),"")="Corpo a Corpo",OR($RO41="Cone",$RO41="Linha")),"Corpo a Corpo não entra em Cone/Linha","")))</f>
        <v/>
      </c>
      <c r="PU41" s="164">
        <f>IF($PT41="",0,(LEN($PT41)-LEN(SUBSTITUTE($PT41," · ","")))/3+1)</f>
        <v/>
      </c>
      <c r="PV41" s="164">
        <f>IF($ND41=0,"",TEXTJOIN(" · ",TRUE,IF($OX41&gt;2*$MS41,"A devolução parou no teto de "&amp;2*$MS41,""),IF($PA41&gt;0,"Devolução perdida: "&amp;$PA41&amp;IF($PA41&gt;1," pontos"," ponto")&amp;" sem Melhoria para pagar",""),IF(AND($OC41&gt;0,AND($MS41&gt;0,$OG41=0),$PD41=0),"Controle sem dano: uma rodada a mais e CD +2",""),IF(AND($OC41&gt;0,AND($MS41&gt;0,$OG41=0),$PD41&gt;0,$PD41&lt;=$MS41),"Controle com saldo até a Classe: uma rodada a mais",""),IF(AND($MS41&gt;0,$OE41&lt;&gt;""),"Efeito de "&amp;$OE41&amp;" pela Classe "&amp;MAX(1,$MS41-1),"")))</f>
        <v/>
      </c>
      <c r="PW41" s="164">
        <f>IF($PV41="",0,(LEN($PV41)-LEN(SUBSTITUTE($PV41," · ","")))/3+1)</f>
        <v/>
      </c>
      <c r="PX41" s="164">
        <f>IF($ND41=0,IF($OU41+COUNTIF($NB41:$NC41,"?*")&gt;0,"Dê um nome",""),IF($PU41&gt;0,"⚠ "&amp;$PU41&amp;IF($PU41&gt;1," erros"," erro"),IF($PW41&gt;0,"! "&amp;$PW41&amp;IF($PW41&gt;1," avisos"," aviso"),"Na regra")))</f>
        <v/>
      </c>
      <c r="PY41" s="164">
        <f>IF($ND41=0,"",IF($PU41+$PW41=0,"Dentro das regras que a ficha confere",$PT41&amp;IF(AND($PU41&gt;0,$PW41&gt;0)," · ","")&amp;$PV41))</f>
        <v/>
      </c>
      <c r="PZ41" s="164">
        <f>IF($MQ41&gt;$NE41,$MR41&amp;" · ABRE NO NÍVEL "&amp;$MQ41,$MR41)</f>
        <v/>
      </c>
      <c r="QA41" s="164">
        <f>IF($ND41=0,"",IF($MS41=0,"Sem PE",3*$MS41&amp;" PE"))</f>
        <v/>
      </c>
      <c r="QB41" s="164">
        <f>IF($ND41=0,"",IF($MS41=0,"A atuação básica dela",IF(COUNTIF($RQ41:$RS41,"Atrasar")&gt;0,"Sua Ação Completa",IF(COUNTIF($RK41:$RN41,"Rápido")&gt;0,"Sua Bônus",IF(COUNTIF($RK41:$RN41,"Reação")&gt;0,"Sua Reação","Sua Padrão")))&amp;" + a básica dela"&amp;IF(COUNTIF($RK41:$RN41,"Reação")&gt;0," e a coletiva","")&amp;IF(COUNTIF($RQ41:$RS41,"Carregar")&gt;0," · em dois turnos","")))</f>
        <v/>
      </c>
      <c r="QC41" s="164">
        <f>IF($MW41&lt;&gt;"",$MW41,IF($NJ41=0,"",INDEX('DADOS_FORMAS'!$GE$2:$GE$21,$NJ41)))</f>
        <v/>
      </c>
      <c r="QD41" s="164">
        <f>IF(OR($ND41=0,$NJ41=0),"",IF(COUNTIF($RK41:$RN41,"Inescapável")&gt;0,"Automático",IF($QC41="Ataque",IF($NH41="","Ataque","Ataque "&amp;IF(($NH41+2*IF(COUNTIF($RK41:$RN41,"Precisão")&gt;0,1,0))&gt;=0,"+","−")&amp;ABS(($NH41+2*IF(COUNTIF($RK41:$RN41,"Precisão")&gt;0,1,0))))&amp;IF($OD41&gt;0," · TR"&amp;IF($NI41="",""," CD "&amp;$NI41),""),IF(LEFT($QC41,2)="TR",$QC41&amp;IF($NI41="",""," · CD "&amp;$NI41)&amp;IF(COUNTIF($RK41:$RN41,"Certeiro")&gt;0," · metade",""),"Sem rolagem"))))</f>
        <v/>
      </c>
      <c r="QE41" s="164">
        <f>IF(OR($ND41=0,$NJ41=0),"",IF($MS41=0,IF(OR($OG41&gt;=1,$PD41=0),"Sem dano",$PD41&amp;"d6"&amp;IF($MV41="",""," "&amp;$MV41)),IF(OR($OG41&gt;=1,$PD41=0),UPPER(LEFT(INDEX($PM41:$PS41,1,MAX(1,$MS41)),1))&amp;MID(INDEX($PM41:$PS41,1,MAX(1,$MS41)),2,99),UPPER(LEFT(INDEX($PM41:$PS41,1,MAX(1,$MS41)),1))&amp;MID(INDEX($PM41:$PS41,1,MAX(1,$MS41)),2,99)&amp;IF($MV41="",""," "&amp;$MV41)&amp;IF($PE41&gt;0," · +"&amp;$PE41&amp;"d8",""))))</f>
        <v/>
      </c>
      <c r="QF41" s="164">
        <f>COUNTIF($RK41:$RN41,"Longe")+3*COUNTIF($RK41:$RN41,"Muito Longe")</f>
        <v/>
      </c>
      <c r="QG41" s="164">
        <f>COUNTIF($RK41:$RN41,"Maior")+3*COUNTIF($RK41:$RN41,"Muito Maior")</f>
        <v/>
      </c>
      <c r="QH41" s="164">
        <f>IF($NJ41=0,0,CHOOSE(1+INDEX('DADOS_FORMAS'!$GG$2:$GG$21,$NJ41),0,$QF41,$QG41,$QF41+$QG41))</f>
        <v/>
      </c>
      <c r="QI41" s="164">
        <f>IF($NJ41=0,0,CHOOSE(1+INDEX('DADOS_FORMAS'!$GH$2:$GH$21,$NJ41),0,$QF41,$QG41,$QF41+$QG41))</f>
        <v/>
      </c>
      <c r="QJ41" s="164">
        <f>IF(OR($ND41=0,$NJ41=0),"",INDEX('DADOS_FORMAS'!$HU$2:$HZ$81,($NJ41-1)*4+IF($MS41=0,1,IF($MS41&lt;=5,2,IF($MS41=6,3,4))),1+MIN(5,$QH41))&amp;INDEX('DADOS_FORMAS'!$IA$2:$IF$81,($NJ41-1)*4+IF($MS41=0,1,IF($MS41&lt;=5,2,IF($MS41=6,3,4))),1+MIN(5,$QI41))&amp;IF(INDEX('DADOS_FORMAS'!$GI$2:$GI$21,$NJ41)=1,IF(COUNTIF($RK41:$RN41,"Mais Um")&gt;0," · +"&amp;COUNTIF($RK41:$RN41,"Mais Um")&amp;IF(COUNTIF($RK41:$RN41,"Mais Um")&gt;1," alvos"," alvo"),"")&amp;IF(COUNTIF($RK41:$RN41,"Rajada")&gt;0,IF($MS41=0," · 1 tiro"," · "&amp;(MAX(1,$MS41-1)+1)&amp;" tiros"),""),""))</f>
        <v/>
      </c>
      <c r="QK41" s="164">
        <f>IF($ND41=0,"",IF($MS41=0,$NG41&amp;"d6"&amp;IF($OU41&gt;0," − 1 = "&amp;$PD41&amp;"d6"," da básica do nível "&amp;$NE41),$PB41&amp;" − "&amp;$OW41&amp;" + "&amp;$OZ41&amp;" = "&amp;$PC41&amp;" · teto "&amp;4*$MS41&amp;"d8"&amp;IF($OF41=1," · a Forma devolve "&amp;$MS41,"")&amp;IF($PA41&gt;0," · perde "&amp;$PA41,"")))</f>
        <v/>
      </c>
      <c r="QL41" s="164">
        <f>IF($ND41=0,"",IF($MS41=0,"A básica não amplia: os dados dela sobem com o nível",IF($MS41&gt;=$NF41,"Já está na maior Classe que o nível liberou",TEXTJOIN(" · ",TRUE,IF(AND(2&gt;$MS41,2&lt;=$NF41),"2 → "&amp;$PN41&amp;", 6 PE",""),IF(AND(3&gt;$MS41,3&lt;=$NF41),"3 → "&amp;$PO41&amp;", 9 PE",""),IF(AND(4&gt;$MS41,4&lt;=$NF41),"4 → "&amp;$PP41&amp;", 12 PE",""),IF(AND(5&gt;$MS41,5&lt;=$NF41),"5 → "&amp;$PQ41&amp;", 15 PE",""),IF(AND(6&gt;$MS41,6&lt;=$NF41),"6 → "&amp;$PR41&amp;", 18 PE",""),IF(AND(7&gt;$MS41,7&lt;=$NF41),"7 → "&amp;$PS41&amp;", 21 PE","")))))</f>
        <v/>
      </c>
      <c r="QM41" s="164">
        <f>IF(OR($ND41=0,$NO41=0),"",IF($MS41=0,"−1 dado","−"&amp;INDEX($I$2:$N$8,MAX(1,$MS41),MAX(1,$NT41))&amp;" · "&amp;CHOOSE(MAX(1,$NT41),"Leve","Média","Pesada","Leve · Livre","Média · Livre","Pesada · Livre")))</f>
        <v/>
      </c>
      <c r="QN41" s="164">
        <f>IF(OR($ND41=0,$NP41=0),"",IF($MS41=0,"−1 dado","−"&amp;INDEX($I$2:$N$8,MAX(1,$MS41),MAX(1,$NU41))&amp;" · "&amp;CHOOSE(MAX(1,$NU41),"Leve","Média","Pesada","Leve · Livre","Média · Livre","Pesada · Livre")))</f>
        <v/>
      </c>
      <c r="QO41" s="164">
        <f>IF(OR($ND41=0,$NQ41=0),"",IF($MS41=0,"−1 dado","−"&amp;INDEX($I$2:$N$8,MAX(1,$MS41),MAX(1,$NV41))&amp;" · "&amp;CHOOSE(MAX(1,$NV41),"Leve","Média","Pesada","Leve · Livre","Média · Livre","Pesada · Livre")))</f>
        <v/>
      </c>
      <c r="QP41" s="164">
        <f>IF(OR($ND41=0,$NR41=0),"",IF($MS41=0,"−1 dado","−"&amp;INDEX($I$2:$N$8,MAX(1,$MS41),MAX(1,$NW41))&amp;" · "&amp;CHOOSE(MAX(1,$NW41),"Leve","Média","Pesada","Leve · Livre","Média · Livre","Pesada · Livre")))</f>
        <v/>
      </c>
      <c r="QQ41" s="164">
        <f>IF(OR($ND41=0,$NB41=""),"",IF($MS41=0,"não devolve","+"&amp;IF($OI41=1,CEILING($MS41/2,1),$MS41)))</f>
        <v/>
      </c>
      <c r="QR41" s="164">
        <f>IF(OR($ND41=0,$NC41=""),"",IF($MS41=0,"não devolve","+"&amp;IF($OJ41=1,CEILING($MS41/2,1),$MS41)))</f>
        <v/>
      </c>
      <c r="RK41">
        <f>IF($MX41="","",IFERROR(VLOOKUP(SUBSTITUTE(SUBSTITUTE(SUBSTITUTE($MX41,"~","~~"),"*","~*"),"?","~?"),'DADOS_MELHORIAS'!$O$2:$X$113,10,FALSE),$MX41))</f>
        <v/>
      </c>
      <c r="RL41">
        <f>IF($MY41="","",IFERROR(VLOOKUP(SUBSTITUTE(SUBSTITUTE(SUBSTITUTE($MY41,"~","~~"),"*","~*"),"?","~?"),'DADOS_MELHORIAS'!$O$2:$X$113,10,FALSE),$MY41))</f>
        <v/>
      </c>
      <c r="RM41">
        <f>IF($MZ41="","",IFERROR(VLOOKUP(SUBSTITUTE(SUBSTITUTE(SUBSTITUTE($MZ41,"~","~~"),"*","~*"),"?","~?"),'DADOS_MELHORIAS'!$O$2:$X$113,10,FALSE),$MZ41))</f>
        <v/>
      </c>
      <c r="RN41">
        <f>IF($NA41="","",IFERROR(VLOOKUP(SUBSTITUTE(SUBSTITUTE(SUBSTITUTE($NA41,"~","~~"),"*","~*"),"?","~?"),'DADOS_MELHORIAS'!$O$2:$X$113,10,FALSE),$NA41))</f>
        <v/>
      </c>
      <c r="RO41">
        <f>IFERROR(INDEX('DADOS_FORMAS'!$BJ$2:$BJ$21,MATCH(SUBSTITUTE(SUBSTITUTE(SUBSTITUTE($MU41,"~","~~"),"*","~*"),"?","~?"),'DADOS_FORMAS'!$AH$2:$AH$21,0)),"")</f>
        <v/>
      </c>
      <c r="RP41">
        <f>IFERROR(VLOOKUP(SUBSTITUTE(SUBSTITUTE(SUBSTITUTE(IFERROR(INDEX('DADOS_FORMAS'!$AS$2:$AS$21,MATCH(SUBSTITUTE(SUBSTITUTE(SUBSTITUTE($MU41,"~","~~"),"*","~*"),"?","~?"),'DADOS_FORMAS'!$AH$2:$AH$21,0)),""),"~","~~"),"*","~*"),"?","~?"),'DADOS_RESTRICOES'!$M$2:$Q$54,2,FALSE),"")</f>
        <v/>
      </c>
      <c r="RQ41">
        <f>$OK41</f>
        <v/>
      </c>
      <c r="RR41">
        <f>$OL41</f>
        <v/>
      </c>
      <c r="RS41">
        <f>$RP41</f>
        <v/>
      </c>
    </row>
    <row r="42">
      <c r="AV42" s="162" t="inlineStr">
        <is>
          <t>Puxa</t>
        </is>
      </c>
      <c r="AW42" s="162" t="inlineStr">
        <is>
          <t>Controle</t>
        </is>
      </c>
      <c r="AX42" s="164" t="n">
        <v>2</v>
      </c>
      <c r="AY42" s="164" t="n">
        <v>1</v>
      </c>
      <c r="AZ42" s="164" t="n">
        <v>0</v>
      </c>
      <c r="BA42" s="164" t="n">
        <v>0</v>
      </c>
      <c r="JT42" s="164">
        <f>IF(OR($AW42="",(COUNTIF($EL$2:$EP$2,$AW42)+COUNTIF($QV$2:$QY$2,$AW42))&gt;0),$AV42,"")</f>
        <v/>
      </c>
      <c r="JU42" s="164">
        <f>IF(AND($AX42=1,OR($AW42="",(COUNTIF($EL$2:$EP$2,$AW42)+COUNTIF($QV$2:$QY$2,$AW42))&gt;0)),$AV42,"")</f>
        <v/>
      </c>
      <c r="JZ42" s="164">
        <f>IF(OR($AW42="",(COUNTIF($EL$3:$EP$3,$AW42)+COUNTIF($QV$3:$QY$3,$AW42))&gt;0),$AV42,"")</f>
        <v/>
      </c>
      <c r="KA42" s="164">
        <f>IF(AND($AX42=1,OR($AW42="",(COUNTIF($EL$3:$EP$3,$AW42)+COUNTIF($QV$3:$QY$3,$AW42))&gt;0)),$AV42,"")</f>
        <v/>
      </c>
      <c r="KF42" s="164">
        <f>IF(OR($AW42="",(COUNTIF($EL$4:$EP$4,$AW42)+COUNTIF($QV$4:$QY$4,$AW42))&gt;0),$AV42,"")</f>
        <v/>
      </c>
      <c r="KG42" s="164">
        <f>IF(AND($AX42=1,OR($AW42="",(COUNTIF($EL$4:$EP$4,$AW42)+COUNTIF($QV$4:$QY$4,$AW42))&gt;0)),$AV42,"")</f>
        <v/>
      </c>
      <c r="KL42" s="164">
        <f>IF(OR($AW42="",(COUNTIF($EL$5:$EP$5,$AW42)+COUNTIF($QV$5:$QY$5,$AW42))&gt;0),$AV42,"")</f>
        <v/>
      </c>
      <c r="KM42" s="164">
        <f>IF(AND($AX42=1,OR($AW42="",(COUNTIF($EL$5:$EP$5,$AW42)+COUNTIF($QV$5:$QY$5,$AW42))&gt;0)),$AV42,"")</f>
        <v/>
      </c>
      <c r="KR42" s="164">
        <f>IF(OR($AW42="",(COUNTIF($EL$6:$EP$6,$AW42)+COUNTIF($QV$6:$QY$6,$AW42))&gt;0),$AV42,"")</f>
        <v/>
      </c>
      <c r="KS42" s="164">
        <f>IF(AND($AX42=1,OR($AW42="",(COUNTIF($EL$6:$EP$6,$AW42)+COUNTIF($QV$6:$QY$6,$AW42))&gt;0)),$AV42,"")</f>
        <v/>
      </c>
      <c r="KX42" s="164">
        <f>IF(OR($AW42="",(COUNTIF($EL$7:$EP$7,$AW42)+COUNTIF($QV$7:$QY$7,$AW42))&gt;0),$AV42,"")</f>
        <v/>
      </c>
      <c r="KY42" s="164">
        <f>IF(AND($AX42=1,OR($AW42="",(COUNTIF($EL$7:$EP$7,$AW42)+COUNTIF($QV$7:$QY$7,$AW42))&gt;0)),$AV42,"")</f>
        <v/>
      </c>
      <c r="LD42" s="164">
        <f>IF(OR($AW42="",(COUNTIF($EL$8:$EP$8,$AW42)+COUNTIF($QV$8:$QY$8,$AW42))&gt;0),$AV42,"")</f>
        <v/>
      </c>
      <c r="LE42" s="164">
        <f>IF(AND($AX42=1,OR($AW42="",(COUNTIF($EL$8:$EP$8,$AW42)+COUNTIF($QV$8:$QY$8,$AW42))&gt;0)),$AV42,"")</f>
        <v/>
      </c>
      <c r="LJ42" s="164">
        <f>IF(OR($AW42="",(COUNTIF($EL$9:$EP$9,$AW42)+COUNTIF($QV$9:$QY$9,$AW42))&gt;0),$AV42,"")</f>
        <v/>
      </c>
      <c r="LK42" s="164">
        <f>IF(AND($AX42=1,OR($AW42="",(COUNTIF($EL$9:$EP$9,$AW42)+COUNTIF($QV$9:$QY$9,$AW42))&gt;0)),$AV42,"")</f>
        <v/>
      </c>
      <c r="LP42" s="164">
        <f>IF(OR($AW42="",(COUNTIF($EL$10:$EP$10,$AW42)+COUNTIF($QV$10:$QY$10,$AW42))&gt;0),$AV42,"")</f>
        <v/>
      </c>
      <c r="LQ42" s="164">
        <f>IF(AND($AX42=1,OR($AW42="",(COUNTIF($EL$10:$EP$10,$AW42)+COUNTIF($QV$10:$QY$10,$AW42))&gt;0)),$AV42,"")</f>
        <v/>
      </c>
      <c r="LV42" s="164">
        <f>IF(OR($AW42="",(COUNTIF($EL$11:$EP$11,$AW42)+COUNTIF($QV$11:$QY$11,$AW42))&gt;0),$AV42,"")</f>
        <v/>
      </c>
      <c r="LW42" s="164">
        <f>IF(AND($AX42=1,OR($AW42="",(COUNTIF($EL$11:$EP$11,$AW42)+COUNTIF($QV$11:$QY$11,$AW42))&gt;0)),$AV42,"")</f>
        <v/>
      </c>
      <c r="MB42" s="164">
        <f>IF(OR($AW42="",(COUNTIF($EL$12:$EP$12,$AW42)+COUNTIF($QV$12:$QY$12,$AW42))&gt;0),$AV42,"")</f>
        <v/>
      </c>
      <c r="MC42" s="164">
        <f>IF(AND($AX42=1,OR($AW42="",(COUNTIF($EL$12:$EP$12,$AW42)+COUNTIF($QV$12:$QY$12,$AW42))&gt;0)),$AV42,"")</f>
        <v/>
      </c>
      <c r="MH42" s="164">
        <f>IF(OR($AW42="",(COUNTIF($EL$13:$EP$13,$AW42)+COUNTIF($QV$13:$QY$13,$AW42))&gt;0),$AV42,"")</f>
        <v/>
      </c>
      <c r="MI42" s="164">
        <f>IF(AND($AX42=1,OR($AW42="",(COUNTIF($EL$13:$EP$13,$AW42)+COUNTIF($QV$13:$QY$13,$AW42))&gt;0)),$AV42,"")</f>
        <v/>
      </c>
      <c r="MN42" s="162" t="inlineStr">
        <is>
          <t>Ficha 4 · Especial 1</t>
        </is>
      </c>
      <c r="MO42" s="164" t="n">
        <v>4</v>
      </c>
      <c r="MP42" s="164" t="n">
        <v>1</v>
      </c>
      <c r="MQ42" s="164" t="n">
        <v>1</v>
      </c>
      <c r="MR42" s="162" t="inlineStr">
        <is>
          <t>ESPECIAL 1</t>
        </is>
      </c>
      <c r="MS42" s="164">
        <f>MAX(1,MIN(7,N('INVOCAÇÕES'!$O$704)))</f>
        <v/>
      </c>
      <c r="MT42" s="164">
        <f>'INVOCAÇÕES'!$P$704&amp;""</f>
        <v/>
      </c>
      <c r="MU42" s="164">
        <f>'INVOCAÇÕES'!$O$709&amp;""</f>
        <v/>
      </c>
      <c r="MV42" s="164">
        <f>'INVOCAÇÕES'!$O$710&amp;""</f>
        <v/>
      </c>
      <c r="MW42" s="164">
        <f>'INVOCAÇÕES'!$Q$710&amp;""</f>
        <v/>
      </c>
      <c r="MX42" s="164">
        <f>'INVOCAÇÕES'!$P$713&amp;""</f>
        <v/>
      </c>
      <c r="MY42" s="164">
        <f>'INVOCAÇÕES'!$P$714&amp;""</f>
        <v/>
      </c>
      <c r="MZ42" s="164">
        <f>'INVOCAÇÕES'!$P$715&amp;""</f>
        <v/>
      </c>
      <c r="NA42" s="164">
        <f>'INVOCAÇÕES'!$P$716&amp;""</f>
        <v/>
      </c>
      <c r="NB42" s="164">
        <f>'INVOCAÇÕES'!$P$717&amp;""</f>
        <v/>
      </c>
      <c r="NC42" s="164">
        <f>'INVOCAÇÕES'!$P$718&amp;""</f>
        <v/>
      </c>
      <c r="ND42" s="164">
        <f>IF($MT42&lt;&gt;"",1,0)</f>
        <v/>
      </c>
      <c r="NE42" s="164">
        <f>INDEX($FO$2:$FO$13,$MO42)</f>
        <v/>
      </c>
      <c r="NF42" s="164">
        <f>INDEX($FP$2:$FP$13,$MO42)</f>
        <v/>
      </c>
      <c r="NG42" s="164">
        <f>INDEX($FQ$2:$FQ$13,$MO42)</f>
        <v/>
      </c>
      <c r="NH42" s="164">
        <f>INDEX($GB$2:$GB$13,$MO42)</f>
        <v/>
      </c>
      <c r="NI42" s="164">
        <f>INDEX($GC$2:$GC$13,$MO42)</f>
        <v/>
      </c>
      <c r="NJ42" s="164">
        <f>IFERROR(MATCH(SUBSTITUTE(SUBSTITUTE(SUBSTITUTE($MU42,"~","~~"),"*","~*"),"?","~?"),'DADOS_FORMAS'!$FZ$2:$FZ$21,0),0)</f>
        <v/>
      </c>
      <c r="NK42" s="164">
        <f>IFERROR(VLOOKUP(SUBSTITUTE(SUBSTITUTE(SUBSTITUTE($MX42,"~","~~"),"*","~*"),"?","~?"),'DADOS_MELHORIAS'!$AG$2:$AL$113,2,FALSE),"")</f>
        <v/>
      </c>
      <c r="NL42" s="164">
        <f>IFERROR(VLOOKUP(SUBSTITUTE(SUBSTITUTE(SUBSTITUTE($MY42,"~","~~"),"*","~*"),"?","~?"),'DADOS_MELHORIAS'!$AG$2:$AL$113,2,FALSE),"")</f>
        <v/>
      </c>
      <c r="NM42" s="164">
        <f>IFERROR(VLOOKUP(SUBSTITUTE(SUBSTITUTE(SUBSTITUTE($MZ42,"~","~~"),"*","~*"),"?","~?"),'DADOS_MELHORIAS'!$AG$2:$AL$113,2,FALSE),"")</f>
        <v/>
      </c>
      <c r="NN42" s="164">
        <f>IFERROR(VLOOKUP(SUBSTITUTE(SUBSTITUTE(SUBSTITUTE($NA42,"~","~~"),"*","~*"),"?","~?"),'DADOS_MELHORIAS'!$AG$2:$AL$113,2,FALSE),"")</f>
        <v/>
      </c>
      <c r="NO42" s="164">
        <f>IFERROR(VLOOKUP(SUBSTITUTE(SUBSTITUTE(SUBSTITUTE($MX42,"~","~~"),"*","~*"),"?","~?"),'DADOS_MELHORIAS'!$AG$2:$AL$113,3,FALSE),0)</f>
        <v/>
      </c>
      <c r="NP42" s="164">
        <f>IFERROR(VLOOKUP(SUBSTITUTE(SUBSTITUTE(SUBSTITUTE($MY42,"~","~~"),"*","~*"),"?","~?"),'DADOS_MELHORIAS'!$AG$2:$AL$113,3,FALSE),0)</f>
        <v/>
      </c>
      <c r="NQ42" s="164">
        <f>IFERROR(VLOOKUP(SUBSTITUTE(SUBSTITUTE(SUBSTITUTE($MZ42,"~","~~"),"*","~*"),"?","~?"),'DADOS_MELHORIAS'!$AG$2:$AL$113,3,FALSE),0)</f>
        <v/>
      </c>
      <c r="NR42" s="164">
        <f>IFERROR(VLOOKUP(SUBSTITUTE(SUBSTITUTE(SUBSTITUTE($NA42,"~","~~"),"*","~*"),"?","~?"),'DADOS_MELHORIAS'!$AG$2:$AL$113,3,FALSE),0)</f>
        <v/>
      </c>
      <c r="NS42" s="164">
        <f>IF($MS42=0,0,IF($NJ42=0,0,INDEX('DADOS_FORMAS'!$GB$2:$GB$21,$NJ42)))</f>
        <v/>
      </c>
      <c r="NT42" s="164">
        <f>IF(OR($NO42=0,$MS42=0),0,$NO42+3*IF(AND($NK42&lt;&gt;"",COUNTIF(INDEX($RB$2:$RJ$13,$MO42,0),$NK42)&gt;0),1,0))</f>
        <v/>
      </c>
      <c r="NU42" s="164">
        <f>IF(OR($NP42=0,$MS42=0),0,$NP42+3*IF(AND($NL42&lt;&gt;"",COUNTIF(INDEX($RB$2:$RJ$13,$MO42,0),$NL42)&gt;0),1,0))</f>
        <v/>
      </c>
      <c r="NV42" s="164">
        <f>IF(OR($NQ42=0,$MS42=0),0,$NQ42+3*IF(AND($NM42&lt;&gt;"",COUNTIF(INDEX($RB$2:$RJ$13,$MO42,0),$NM42)&gt;0),1,0))</f>
        <v/>
      </c>
      <c r="NW42" s="164">
        <f>IF(OR($NR42=0,$MS42=0),0,$NR42+3*IF(AND($NN42&lt;&gt;"",COUNTIF(INDEX($RB$2:$RJ$13,$MO42,0),$NN42)&gt;0),1,0))</f>
        <v/>
      </c>
      <c r="NX42" s="164">
        <f>IF($NJ42=0,0,IF(INDEX('DADOS_FORMAS'!$GA$2:$GA$21,$NJ42)="",0,IF((COUNTIF(INDEX($EL$2:$EP$13,$MO42,0),INDEX('DADOS_FORMAS'!$GA$2:$GA$21,$NJ42))+COUNTIF(INDEX($QV$2:$QY$13,$MO42,0),INDEX('DADOS_FORMAS'!$GA$2:$GA$21,$NJ42)))=0,1,0)))</f>
        <v/>
      </c>
      <c r="NY42" s="164">
        <f>IF(OR($NO42=0,$NK42=""),0,IF((COUNTIF(INDEX($EL$2:$EP$13,$MO42,0),$NK42)+COUNTIF(INDEX($QV$2:$QY$13,$MO42,0),$NK42))=0,1,0))</f>
        <v/>
      </c>
      <c r="NZ42" s="164">
        <f>IF(OR($NP42=0,$NL42=""),0,IF((COUNTIF(INDEX($EL$2:$EP$13,$MO42,0),$NL42)+COUNTIF(INDEX($QV$2:$QY$13,$MO42,0),$NL42))=0,1,0))</f>
        <v/>
      </c>
      <c r="OA42" s="164">
        <f>IF(OR($NQ42=0,$NM42=""),0,IF((COUNTIF(INDEX($EL$2:$EP$13,$MO42,0),$NM42)+COUNTIF(INDEX($QV$2:$QY$13,$MO42,0),$NM42))=0,1,0))</f>
        <v/>
      </c>
      <c r="OB42" s="164">
        <f>IF(OR($NR42=0,$NN42=""),0,IF((COUNTIF(INDEX($EL$2:$EP$13,$MO42,0),$NN42)+COUNTIF(INDEX($QV$2:$QY$13,$MO42,0),$NN42))=0,1,0))</f>
        <v/>
      </c>
      <c r="OC42" s="164">
        <f>IFERROR(VLOOKUP(SUBSTITUTE(SUBSTITUTE(SUBSTITUTE($MX42,"~","~~"),"*","~*"),"?","~?"),'DADOS_MELHORIAS'!$AG$2:$AL$113,4,FALSE),0)+IFERROR(VLOOKUP(SUBSTITUTE(SUBSTITUTE(SUBSTITUTE($MY42,"~","~~"),"*","~*"),"?","~?"),'DADOS_MELHORIAS'!$AG$2:$AL$113,4,FALSE),0)+IFERROR(VLOOKUP(SUBSTITUTE(SUBSTITUTE(SUBSTITUTE($MZ42,"~","~~"),"*","~*"),"?","~?"),'DADOS_MELHORIAS'!$AG$2:$AL$113,4,FALSE),0)+IFERROR(VLOOKUP(SUBSTITUTE(SUBSTITUTE(SUBSTITUTE($NA42,"~","~~"),"*","~*"),"?","~?"),'DADOS_MELHORIAS'!$AG$2:$AL$113,4,FALSE),0)</f>
        <v/>
      </c>
      <c r="OD42" s="164">
        <f>IFERROR(VLOOKUP(SUBSTITUTE(SUBSTITUTE(SUBSTITUTE($MX42,"~","~~"),"*","~*"),"?","~?"),'DADOS_MELHORIAS'!$AG$2:$AL$113,6,FALSE),0)+IFERROR(VLOOKUP(SUBSTITUTE(SUBSTITUTE(SUBSTITUTE($MY42,"~","~~"),"*","~*"),"?","~?"),'DADOS_MELHORIAS'!$AG$2:$AL$113,6,FALSE),0)+IFERROR(VLOOKUP(SUBSTITUTE(SUBSTITUTE(SUBSTITUTE($MZ42,"~","~~"),"*","~*"),"?","~?"),'DADOS_MELHORIAS'!$AG$2:$AL$113,6,FALSE),0)+IFERROR(VLOOKUP(SUBSTITUTE(SUBSTITUTE(SUBSTITUTE($NA42,"~","~~"),"*","~*"),"?","~?"),'DADOS_MELHORIAS'!$AG$2:$AL$113,6,FALSE),0)+IFERROR(N(AND(INDEX('DADOS_FORMAS'!$AO$2:$AO$21,MATCH(SUBSTITUTE(SUBSTITUTE(SUBSTITUTE($MU42,"~","~~"),"*","~*"),"?","~?"),'DADOS_FORMAS'!$AH$2:$AH$21,0))="Acerto",$OH42=1)),0)</f>
        <v/>
      </c>
      <c r="OE42" s="164">
        <f>TEXTJOIN(", ",TRUE,IF(IFERROR(VLOOKUP(SUBSTITUTE(SUBSTITUTE(SUBSTITUTE($MX42,"~","~~"),"*","~*"),"?","~?"),'DADOS_MELHORIAS'!$AG$2:$AL$113,5,FALSE),0)=1,$MX42,""),IF(IFERROR(VLOOKUP(SUBSTITUTE(SUBSTITUTE(SUBSTITUTE($MY42,"~","~~"),"*","~*"),"?","~?"),'DADOS_MELHORIAS'!$AG$2:$AL$113,5,FALSE),0)=1,$MY42,""),IF(IFERROR(VLOOKUP(SUBSTITUTE(SUBSTITUTE(SUBSTITUTE($MZ42,"~","~~"),"*","~*"),"?","~?"),'DADOS_MELHORIAS'!$AG$2:$AL$113,5,FALSE),0)=1,$MZ42,""),IF(IFERROR(VLOOKUP(SUBSTITUTE(SUBSTITUTE(SUBSTITUTE($NA42,"~","~~"),"*","~*"),"?","~?"),'DADOS_MELHORIAS'!$AG$2:$AL$113,5,FALSE),0)=1,$NA42,""))</f>
        <v/>
      </c>
      <c r="OF42" s="164">
        <f>IF($NJ42=0,0,INDEX('DADOS_FORMAS'!$GC$2:$GC$21,$NJ42))</f>
        <v/>
      </c>
      <c r="OG42" s="164">
        <f>IF($NJ42=0,0,INDEX('DADOS_FORMAS'!$GD$2:$GD$21,$NJ42))</f>
        <v/>
      </c>
      <c r="OH42" s="164">
        <f>IF($NJ42=0,0,INDEX('DADOS_FORMAS'!$GF$2:$GF$21,$NJ42))</f>
        <v/>
      </c>
      <c r="OI42" s="164">
        <f>IFERROR(VLOOKUP(SUBSTITUTE(SUBSTITUTE(SUBSTITUTE($NB42,"~","~~"),"*","~*"),"?","~?"),'DADOS_RESTRICOES'!$M$2:$Q$54,3,FALSE),0)</f>
        <v/>
      </c>
      <c r="OJ42" s="164">
        <f>IFERROR(VLOOKUP(SUBSTITUTE(SUBSTITUTE(SUBSTITUTE($NC42,"~","~~"),"*","~*"),"?","~?"),'DADOS_RESTRICOES'!$M$2:$Q$54,3,FALSE),0)</f>
        <v/>
      </c>
      <c r="OK42" s="164">
        <f>IFERROR(VLOOKUP(SUBSTITUTE(SUBSTITUTE(SUBSTITUTE($NB42,"~","~~"),"*","~*"),"?","~?"),'DADOS_RESTRICOES'!$M$2:$Q$54,2,FALSE),"")</f>
        <v/>
      </c>
      <c r="OL42" s="164">
        <f>IFERROR(VLOOKUP(SUBSTITUTE(SUBSTITUTE(SUBSTITUTE($NC42,"~","~~"),"*","~*"),"?","~?"),'DADOS_RESTRICOES'!$M$2:$Q$54,2,FALSE),"")</f>
        <v/>
      </c>
      <c r="OM42" s="164">
        <f>COUNTIF($NS42:$NW42,1)</f>
        <v/>
      </c>
      <c r="ON42" s="164">
        <f>COUNTIF($NS42:$NW42,2)</f>
        <v/>
      </c>
      <c r="OO42" s="164">
        <f>COUNTIF($NS42:$NW42,3)</f>
        <v/>
      </c>
      <c r="OP42" s="164">
        <f>COUNTIF($NS42:$NW42,4)</f>
        <v/>
      </c>
      <c r="OQ42" s="164">
        <f>COUNTIF($NS42:$NW42,5)</f>
        <v/>
      </c>
      <c r="OR42" s="164">
        <f>COUNTIF($NS42:$NW42,6)</f>
        <v/>
      </c>
      <c r="OS42" s="164">
        <f>COUNTIF($OI42:$OJ42,1)+IF(IFERROR(INDEX('DADOS_FORMAS'!$AS$2:$AS$21,MATCH(SUBSTITUTE(SUBSTITUTE(SUBSTITUTE($MU42,"~","~~"),"*","~*"),"?","~?"),'DADOS_FORMAS'!$AH$2:$AH$21,0)),"")="",0,IFERROR(N(VLOOKUP(SUBSTITUTE(SUBSTITUTE(SUBSTITUTE(IFERROR(INDEX('DADOS_FORMAS'!$AS$2:$AS$21,MATCH(SUBSTITUTE(SUBSTITUTE(SUBSTITUTE($MU42,"~","~~"),"*","~*"),"?","~?"),'DADOS_FORMAS'!$AH$2:$AH$21,0)),""),"~","~~"),"*","~*"),"?","~?"),'DADOS_RESTRICOES'!$M$2:$Q$54,3,FALSE)=1),0))</f>
        <v/>
      </c>
      <c r="OT42" s="164">
        <f>COUNTIF($OI42:$OJ42,2)+IF(IFERROR(INDEX('DADOS_FORMAS'!$AS$2:$AS$21,MATCH(SUBSTITUTE(SUBSTITUTE(SUBSTITUTE($MU42,"~","~~"),"*","~*"),"?","~?"),'DADOS_FORMAS'!$AH$2:$AH$21,0)),"")="",0,IFERROR(N(VLOOKUP(SUBSTITUTE(SUBSTITUTE(SUBSTITUTE(IFERROR(INDEX('DADOS_FORMAS'!$AS$2:$AS$21,MATCH(SUBSTITUTE(SUBSTITUTE(SUBSTITUTE($MU42,"~","~~"),"*","~*"),"?","~?"),'DADOS_FORMAS'!$AH$2:$AH$21,0)),""),"~","~~"),"*","~*"),"?","~?"),'DADOS_RESTRICOES'!$M$2:$Q$54,3,FALSE)=2),0))</f>
        <v/>
      </c>
      <c r="OU42" s="164">
        <f>COUNTIF($MX42:$NA42,"?*")</f>
        <v/>
      </c>
      <c r="OV42" s="164">
        <f>COUNTIF($NB42:$NC42,"?*")+$OF42</f>
        <v/>
      </c>
      <c r="OW42" s="164">
        <f>IF($MS42=0,0,SUMPRODUCT($OM42:$OR42,INDEX($I$2:$N$8,MAX(1,$MS42),0)))</f>
        <v/>
      </c>
      <c r="OX42" s="164">
        <f>IF($MS42=0,0,$OS42*CEILING($MS42/2,1)+$OT42*$MS42)</f>
        <v/>
      </c>
      <c r="OY42" s="164">
        <f>MIN(2*$MS42,$OX42)</f>
        <v/>
      </c>
      <c r="OZ42" s="164">
        <f>MIN($OY42,$OW42-IF($NS42=0,0,INDEX($I$2:$N$8,MAX(1,$MS42),$NS42)))</f>
        <v/>
      </c>
      <c r="PA42" s="164">
        <f>$OY42-$OZ42</f>
        <v/>
      </c>
      <c r="PB42" s="164">
        <f>IF($MS42=0,0,INDEX($P$2:$P$8,MAX(1,$MS42)))</f>
        <v/>
      </c>
      <c r="PC42" s="164">
        <f>$PB42-$OW42+$OZ42</f>
        <v/>
      </c>
      <c r="PD42" s="164">
        <f>IF($MS42=0,MAX(0,$NG42-IF(AND($OU42&gt;0,COUNTIF($NB42:$NC42,"?*")=0),1,0)),MAX(0,$PC42))</f>
        <v/>
      </c>
      <c r="PE42" s="164">
        <f>IF($MS42=0,0,(IF(COUNTIF($RK42:$RN42,"Salto")&gt;0,1,0)+IF(COUNTIF($RK42:$RN42,"Queima")&gt;0,1,0)+IF(COUNTIF($RK42:$RN42,"Estilhaço")&gt;0,1,0))*FLOOR($PD42/2,1))</f>
        <v/>
      </c>
      <c r="PF42" s="164">
        <f>MAX(0,2-SUMPRODUCT($OM42:$OR42,$I$2:$N$2)+MIN(2,$OS42*1+$OT42*1,SUMPRODUCT($OM42:$OR42,$I$2:$N$2)-IF($NS42=0,0,INDEX($I$2:$N$2,1,$NS42))))</f>
        <v/>
      </c>
      <c r="PG42" s="164">
        <f>MAX(0,4-SUMPRODUCT($OM42:$OR42,$I$3:$N$3)+MIN(4,$OS42*1+$OT42*2,SUMPRODUCT($OM42:$OR42,$I$3:$N$3)-IF($NS42=0,0,INDEX($I$3:$N$3,1,$NS42))))</f>
        <v/>
      </c>
      <c r="PH42" s="164">
        <f>MAX(0,6-SUMPRODUCT($OM42:$OR42,$I$4:$N$4)+MIN(6,$OS42*2+$OT42*3,SUMPRODUCT($OM42:$OR42,$I$4:$N$4)-IF($NS42=0,0,INDEX($I$4:$N$4,1,$NS42))))</f>
        <v/>
      </c>
      <c r="PI42" s="164">
        <f>MAX(0,9-SUMPRODUCT($OM42:$OR42,$I$5:$N$5)+MIN(8,$OS42*2+$OT42*4,SUMPRODUCT($OM42:$OR42,$I$5:$N$5)-IF($NS42=0,0,INDEX($I$5:$N$5,1,$NS42))))</f>
        <v/>
      </c>
      <c r="PJ42" s="164">
        <f>MAX(0,11-SUMPRODUCT($OM42:$OR42,$I$6:$N$6)+MIN(10,$OS42*3+$OT42*5,SUMPRODUCT($OM42:$OR42,$I$6:$N$6)-IF($NS42=0,0,INDEX($I$6:$N$6,1,$NS42))))</f>
        <v/>
      </c>
      <c r="PK42" s="164">
        <f>MAX(0,13-SUMPRODUCT($OM42:$OR42,$I$7:$N$7)+MIN(12,$OS42*3+$OT42*6,SUMPRODUCT($OM42:$OR42,$I$7:$N$7)-IF($NS42=0,0,INDEX($I$7:$N$7,1,$NS42))))</f>
        <v/>
      </c>
      <c r="PL42" s="164">
        <f>MAX(0,16-SUMPRODUCT($OM42:$OR42,$I$8:$N$8)+MIN(14,$OS42*4+$OT42*7,SUMPRODUCT($OM42:$OR42,$I$8:$N$8)-IF($NS42=0,0,INDEX($I$8:$N$8,1,$NS42))))</f>
        <v/>
      </c>
      <c r="PM42" s="164">
        <f>IF($OG42=2,3*$PF42&amp;" de vida temp.",IF($OG42=3,"sem dano",IF($PF42=0,IF($OG42=1,"sem cura","sem dano"),IF($OG42=1,"cura ","")&amp;$PF42&amp;"d8")))</f>
        <v/>
      </c>
      <c r="PN42" s="164">
        <f>IF($OG42=2,3*$PG42&amp;" de vida temp.",IF($OG42=3,"sem dano",IF($PG42=0,IF($OG42=1,"sem cura","sem dano"),IF($OG42=1,"cura ","")&amp;$PG42&amp;"d8")))</f>
        <v/>
      </c>
      <c r="PO42" s="164">
        <f>IF($OG42=2,3*$PH42&amp;" de vida temp.",IF($OG42=3,"sem dano",IF($PH42=0,IF($OG42=1,"sem cura","sem dano"),IF($OG42=1,"cura ","")&amp;$PH42&amp;"d8")))</f>
        <v/>
      </c>
      <c r="PP42" s="164">
        <f>IF($OG42=2,3*$PI42&amp;" de vida temp.",IF($OG42=3,"sem dano",IF($PI42=0,IF($OG42=1,"sem cura","sem dano"),IF($OG42=1,"cura ","")&amp;$PI42&amp;"d8")))</f>
        <v/>
      </c>
      <c r="PQ42" s="164">
        <f>IF($OG42=2,3*$PJ42&amp;" de vida temp.",IF($OG42=3,"sem dano",IF($PJ42=0,IF($OG42=1,"sem cura","sem dano"),IF($OG42=1,"cura ","")&amp;$PJ42&amp;"d8")))</f>
        <v/>
      </c>
      <c r="PR42" s="164">
        <f>IF($OG42=2,3*$PK42&amp;" de vida temp.",IF($OG42=3,"sem dano",IF($PK42=0,IF($OG42=1,"sem cura","sem dano"),IF($OG42=1,"cura ","")&amp;$PK42&amp;"d8")))</f>
        <v/>
      </c>
      <c r="PS42" s="164">
        <f>IF($OG42=2,3*$PL42&amp;" de vida temp.",IF($OG42=3,"sem dano",IF($PL42=0,IF($OG42=1,"sem cura","sem dano"),IF($OG42=1,"cura ","")&amp;$PL42&amp;"d8")))</f>
        <v/>
      </c>
      <c r="PT42" s="164">
        <f>IF($ND42=0,"",TEXTJOIN(" · ",TRUE,IF($ND42=0,"",TEXTJOIN(" · ",TRUE,IF($ND42=0,"",TEXTJOIN(" · ",TRUE,IF($MQ42&gt;$NE42,"Este lugar abre no nível "&amp;$MQ42,""),IF($MS42&gt;$NF42,"Classe "&amp;$MS42&amp;": o nível "&amp;$NE42&amp;" libera até a "&amp;$NF42,""),IF($NX42=1,"A Forma "&amp;$MU42&amp;" pede "&amp;INDEX('DADOS_FORMAS'!$GA$2:$GA$21,$NJ42)&amp;" aberta",""),IF(AND($MS42=0,$NJ42&gt;0,IF($NJ42=0,0,INDEX('DADOS_FORMAS'!$GJ$2:$GJ$21,$NJ42))=0),$MU42&amp;" não existe na Classe 0",""),IF($NY42=1,"Família Fechada: "&amp;$MX42,""),IF($NZ42=1,"Família Fechada: "&amp;$MY42,""),IF($OA42=1,"Família Fechada: "&amp;$MZ42,""),IF($OB42=1,"Família Fechada: "&amp;$NA42,""),IF(AND($MS42&gt;0,$OU42&gt;INDEX($O$2:$O$8,MAX(1,$MS42))),$OU42&amp;" Melhorias: a Classe "&amp;$MS42&amp;" aceita "&amp;INDEX($O$2:$O$8,MAX(1,$MS42)),""),IF(AND($MS42=0,$OU42&gt;1),"A básica aceita uma Melhoria",""),IF(AND($MS42=0,COUNTIF($NO42:$NR42,"&gt;1")&gt;0),"A básica só aceita Melhoria Leve",""),IF(AND($MS42&gt;0,$OV42&gt;2),$OV42&amp;" Restrições"&amp;IF($OF42=1,", contando a que a Forma "&amp;$MU42&amp;" já traz","")&amp;": o limite é 2",""),IF(AND($MS42=0,COUNTIF($NB42:$NC42,"?*")&gt;1),"A básica aceita uma Restrição Leve",""),IF(AND($MS42=0,COUNTIF($OI42:$OJ42,2)&gt;0),"A básica só aceita Restrição Leve",""),IF(AND($MS42&gt;0,$PC42&lt;0),"Orçamento estourado: faltam "&amp;(-$PC42)&amp;IF($PC42&lt;-1," pontos"," ponto"),""),IF(IFERROR(VLOOKUP(SUBSTITUTE(SUBSTITUTE(SUBSTITUTE($NB42,"~","~~"),"*","~*"),"?","~?"),'DADOS_RESTRICOES'!$M$2:$Q$54,4,FALSE),0)+IFERROR(VLOOKUP(SUBSTITUTE(SUBSTITUTE(SUBSTITUTE($NC42,"~","~~"),"*","~*"),"?","~?"),'DADOS_RESTRICOES'!$M$2:$Q$54,4,FALSE),0)&gt;1,$OK42&amp;" e "&amp;$OL42&amp;" são as duas de frequência",""),IF(AND((COUNTIF($RK42:$RN42,"Rápido")+COUNTIF($OK42:$OL42,"Rápido"))&gt;0,(COUNTIF($MX42:$NA42,"Atrasar")+COUNTIF($OK42:$OL42,"Atrasar"))&gt;0),"Rápido não entra com Atrasar",""),IF(AND((COUNTIF($RK42:$RN42,"Reação")+COUNTIF($OK42:$OL42,"Reação"))&gt;0,(COUNTIF($RK42:$RN42,"Rápido")+COUNTIF($OK42:$OL42,"Rápido"))&gt;0),"Reação não entra com Rápido",""),IF(AND((COUNTIF($RK42:$RN42,"Reação")+COUNTIF($OK42:$OL42,"Reação"))&gt;0,(COUNTIF($RK42:$RN42,"Armado")+COUNTIF($OK42:$OL42,"Armado"))&gt;0),"Reação não entra com Armado",""),IF(AND((COUNTIF($RK42:$RN42,"Reação")+COUNTIF($OK42:$OL42,"Reação"))&gt;0,(COUNTIF($MX42:$NA42,"Atrasar")+COUNTIF($OK42:$OL42,"Atrasar"))&gt;0),"Reação não entra com Atrasar",""),IF(AND((COUNTIF($RK42:$RN42,"Reação")+COUNTIF($OK42:$OL42,"Reação"))&gt;0,(COUNTIF($MX42:$NA42,"Parado")+COUNTIF($OK42:$OL42,"Parado"))&gt;0),"Reação não entra com Parado",""),IF(AND((COUNTIF($MX42:$NA42,"Atrasar")+COUNTIF($OK42:$OL42,"Atrasar"))&gt;0,(COUNTIF($MX42:$NA42,"Parado")+COUNTIF($OK42:$OL42,"Parado"))&gt;0),"Atrasar não entra com Parado",""),IF(AND((COUNTIF($RK42:$RN42,"Armado")+COUNTIF($OK42:$OL42,"Armado"))&gt;0,(COUNTIF($MX42:$NA42,"Carregar")+COUNTIF($OK42:$OL42,"Carregar"))&gt;0),"Armado não entra com Carregar",""),IF(AND(COUNTIF($OK42:$OL42,"Corpo a Corpo")&gt;0,$OF42=0,OR($RO42="Cone",$RO42="Linha")),"Corpo a Corpo não entra em "&amp;$MU42,""),IF(AND(COUNTIF($OK42:$OL42,"Corpo a Corpo")&gt;0,$RP42="Corpo a Corpo"),"A Forma "&amp;$MU42&amp;" já traz o Corpo a Corpo",""),IF(AND(COUNTIF($OK42:$OL42,"Tudo ou Nada")&gt;0,$OH42=0),"Tudo ou Nada só entra em habilidade de Teste de Resistência",""),IF(AND(COUNTIF($RK42:$RN42,"Inescapável")&gt;0,OR($OU42&gt;1,$OV42&gt;0)),"Inescapável não aceita outra peça",""),IF(AND($MS42&gt;0,$PD42*IF(COUNTIF($RK42:$RN42,"Remate")&gt;0,1.25,1)+$PE42&gt;4*$MS42),($PD42*IF(COUNTIF($RK42:$RN42,"Remate")&gt;0,1.25,1)+$PE42)&amp;" dados somando repetições"&amp;IF(COUNTIF($RK42:$RN42,"Remate")&gt;0," e o Remate","")&amp;": o teto da Classe "&amp;$MS42&amp;" é "&amp;4*$MS42,""))),IF(AND($MX42&lt;&gt;"",COUNTIF('DADOS_MELHORIAS'!$O$2:$O$113,SUBSTITUTE(SUBSTITUTE(SUBSTITUTE($MX42,"~","~~"),"*","~*"),"?","~?"))=0),"Melhoria não cadastrada ou com erro: "&amp;$MX42,""),IF(AND($MY42&lt;&gt;"",COUNTIF('DADOS_MELHORIAS'!$O$2:$O$113,SUBSTITUTE(SUBSTITUTE(SUBSTITUTE($MY42,"~","~~"),"*","~*"),"?","~?"))=0),"Melhoria não cadastrada ou com erro: "&amp;$MY42,""),IF(AND($MZ42&lt;&gt;"",COUNTIF('DADOS_MELHORIAS'!$O$2:$O$113,SUBSTITUTE(SUBSTITUTE(SUBSTITUTE($MZ42,"~","~~"),"*","~*"),"?","~?"))=0),"Melhoria não cadastrada ou com erro: "&amp;$MZ42,""),IF(AND($NA42&lt;&gt;"",COUNTIF('DADOS_MELHORIAS'!$O$2:$O$113,SUBSTITUTE(SUBSTITUTE(SUBSTITUTE($NA42,"~","~~"),"*","~*"),"?","~?"))=0),"Melhoria não cadastrada ou com erro: "&amp;$NA42,""),IF(AND($NB42&lt;&gt;"",COUNTIF('DADOS_RESTRICOES'!$M$2:$M$54,SUBSTITUTE(SUBSTITUTE(SUBSTITUTE($NB42,"~","~~"),"*","~*"),"?","~?"))=0),"Restrição não cadastrada ou com erro: "&amp;$NB42,""),IF(AND($NC42&lt;&gt;"",COUNTIF('DADOS_RESTRICOES'!$M$2:$M$54,SUBSTITUTE(SUBSTITUTE(SUBSTITUTE($NC42,"~","~~"),"*","~*"),"?","~?"))=0),"Restrição não cadastrada ou com erro: "&amp;$NC42,""))),IF(AND($MU42&lt;&gt;"",COUNTIF('DADOS_FORMAS'!$AH$2:$AH$21,SUBSTITUTE(SUBSTITUTE(SUBSTITUTE($MU42,"~","~~"),"*","~*"),"?","~?"))=0),"Forma não cadastrada ou com erro: "&amp;$MU42,""),IF(AND(IFERROR(INDEX('DADOS_FORMAS'!$AS$2:$AS$21,MATCH(SUBSTITUTE(SUBSTITUTE(SUBSTITUTE($MU42,"~","~~"),"*","~*"),"?","~?"),'DADOS_FORMAS'!$AH$2:$AH$21,0)),"")&lt;&gt;"",OR(IFERROR(VLOOKUP(SUBSTITUTE(SUBSTITUTE(SUBSTITUTE(IFERROR(INDEX('DADOS_FORMAS'!$AS$2:$AS$21,MATCH(SUBSTITUTE(SUBSTITUTE(SUBSTITUTE($MU42,"~","~~"),"*","~*"),"?","~?"),'DADOS_FORMAS'!$AH$2:$AH$21,0)),""),"~","~~"),"*","~*"),"?","~?"),'DADOS_RESTRICOES'!$M$2:$Q$54,2,FALSE),"")=$OK42,IFERROR(VLOOKUP(SUBSTITUTE(SUBSTITUTE(SUBSTITUTE(IFERROR(INDEX('DADOS_FORMAS'!$AS$2:$AS$21,MATCH(SUBSTITUTE(SUBSTITUTE(SUBSTITUTE($MU42,"~","~~"),"*","~*"),"?","~?"),'DADOS_FORMAS'!$AH$2:$AH$21,0)),""),"~","~~"),"*","~*"),"?","~?"),'DADOS_RESTRICOES'!$M$2:$Q$54,2,FALSE),"")=$OL42)),"Restrição repetida, contando a embutida",""),IF(IF(IFERROR(INDEX('DADOS_FORMAS'!$AS$2:$AS$21,MATCH(SUBSTITUTE(SUBSTITUTE(SUBSTITUTE($MU42,"~","~~"),"*","~*"),"?","~?"),'DADOS_FORMAS'!$AH$2:$AH$21,0)),"")="",0,IFERROR(N(VLOOKUP(SUBSTITUTE(SUBSTITUTE(SUBSTITUTE(IFERROR(INDEX('DADOS_FORMAS'!$AS$2:$AS$21,MATCH(SUBSTITUTE(SUBSTITUTE(SUBSTITUTE($MU42,"~","~~"),"*","~*"),"?","~?"),'DADOS_FORMAS'!$AH$2:$AH$21,0)),""),"~","~~"),"*","~*"),"?","~?"),'DADOS_RESTRICOES'!$M$2:$Q$54,4,FALSE)=1),0))+IF($NB42="",0,IFERROR(N(VLOOKUP(SUBSTITUTE(SUBSTITUTE(SUBSTITUTE($NB42,"~","~~"),"*","~*"),"?","~?"),'DADOS_RESTRICOES'!$M$2:$Q$54,4,FALSE)=1),0))+IF($NC42="",0,IFERROR(N(VLOOKUP(SUBSTITUTE(SUBSTITUTE(SUBSTITUTE($NC42,"~","~~"),"*","~*"),"?","~?"),'DADOS_RESTRICOES'!$M$2:$Q$54,4,FALSE)=1),0))&gt;1,"Duas Restrições de frequência, contando a embutida",""),IF(AND(IFERROR(VLOOKUP(SUBSTITUTE(SUBSTITUTE(SUBSTITUTE(IFERROR(INDEX('DADOS_FORMAS'!$AS$2:$AS$21,MATCH(SUBSTITUTE(SUBSTITUTE(SUBSTITUTE($MU42,"~","~~"),"*","~*"),"?","~?"),'DADOS_FORMAS'!$AH$2:$AH$21,0)),""),"~","~~"),"*","~*"),"?","~?"),'DADOS_RESTRICOES'!$M$2:$Q$54,2,FALSE),"")="Tudo ou Nada",$OH42=0),"Tudo ou Nada exige TR",""),IF(AND(IFERROR(VLOOKUP(SUBSTITUTE(SUBSTITUTE(SUBSTITUTE(IFERROR(INDEX('DADOS_FORMAS'!$AS$2:$AS$21,MATCH(SUBSTITUTE(SUBSTITUTE(SUBSTITUTE($MU42,"~","~~"),"*","~*"),"?","~?"),'DADOS_FORMAS'!$AH$2:$AH$21,0)),""),"~","~~"),"*","~*"),"?","~?"),'DADOS_RESTRICOES'!$M$2:$Q$54,2,FALSE),"")="Corpo a Corpo",OR($RO42="Cone",$RO42="Linha")),"Corpo a Corpo não entra em Cone/Linha","")))</f>
        <v/>
      </c>
      <c r="PU42" s="164">
        <f>IF($PT42="",0,(LEN($PT42)-LEN(SUBSTITUTE($PT42," · ","")))/3+1)</f>
        <v/>
      </c>
      <c r="PV42" s="164">
        <f>IF($ND42=0,"",TEXTJOIN(" · ",TRUE,IF($OX42&gt;2*$MS42,"A devolução parou no teto de "&amp;2*$MS42,""),IF($PA42&gt;0,"Devolução perdida: "&amp;$PA42&amp;IF($PA42&gt;1," pontos"," ponto")&amp;" sem Melhoria para pagar",""),IF(AND($OC42&gt;0,AND($MS42&gt;0,$OG42=0),$PD42=0),"Controle sem dano: uma rodada a mais e CD +2",""),IF(AND($OC42&gt;0,AND($MS42&gt;0,$OG42=0),$PD42&gt;0,$PD42&lt;=$MS42),"Controle com saldo até a Classe: uma rodada a mais",""),IF(AND($MS42&gt;0,$OE42&lt;&gt;""),"Efeito de "&amp;$OE42&amp;" pela Classe "&amp;MAX(1,$MS42-1),"")))</f>
        <v/>
      </c>
      <c r="PW42" s="164">
        <f>IF($PV42="",0,(LEN($PV42)-LEN(SUBSTITUTE($PV42," · ","")))/3+1)</f>
        <v/>
      </c>
      <c r="PX42" s="164">
        <f>IF($ND42=0,IF($OU42+COUNTIF($NB42:$NC42,"?*")&gt;0,"Dê um nome",""),IF($PU42&gt;0,"⚠ "&amp;$PU42&amp;IF($PU42&gt;1," erros"," erro"),IF($PW42&gt;0,"! "&amp;$PW42&amp;IF($PW42&gt;1," avisos"," aviso"),"Na regra")))</f>
        <v/>
      </c>
      <c r="PY42" s="164">
        <f>IF($ND42=0,"",IF($PU42+$PW42=0,"Dentro das regras que a ficha confere",$PT42&amp;IF(AND($PU42&gt;0,$PW42&gt;0)," · ","")&amp;$PV42))</f>
        <v/>
      </c>
      <c r="PZ42" s="164">
        <f>IF($MQ42&gt;$NE42,$MR42&amp;" · ABRE NO NÍVEL "&amp;$MQ42,$MR42)</f>
        <v/>
      </c>
      <c r="QA42" s="164">
        <f>IF($ND42=0,"",IF($MS42=0,"Sem PE",3*$MS42&amp;" PE"))</f>
        <v/>
      </c>
      <c r="QB42" s="164">
        <f>IF($ND42=0,"",IF($MS42=0,"A atuação básica dela",IF(COUNTIF($RQ42:$RS42,"Atrasar")&gt;0,"Sua Ação Completa",IF(COUNTIF($RK42:$RN42,"Rápido")&gt;0,"Sua Bônus",IF(COUNTIF($RK42:$RN42,"Reação")&gt;0,"Sua Reação","Sua Padrão")))&amp;" + a básica dela"&amp;IF(COUNTIF($RK42:$RN42,"Reação")&gt;0," e a coletiva","")&amp;IF(COUNTIF($RQ42:$RS42,"Carregar")&gt;0," · em dois turnos","")))</f>
        <v/>
      </c>
      <c r="QC42" s="164">
        <f>IF($MW42&lt;&gt;"",$MW42,IF($NJ42=0,"",INDEX('DADOS_FORMAS'!$GE$2:$GE$21,$NJ42)))</f>
        <v/>
      </c>
      <c r="QD42" s="164">
        <f>IF(OR($ND42=0,$NJ42=0),"",IF(COUNTIF($RK42:$RN42,"Inescapável")&gt;0,"Automático",IF($QC42="Ataque",IF($NH42="","Ataque","Ataque "&amp;IF(($NH42+2*IF(COUNTIF($RK42:$RN42,"Precisão")&gt;0,1,0))&gt;=0,"+","−")&amp;ABS(($NH42+2*IF(COUNTIF($RK42:$RN42,"Precisão")&gt;0,1,0))))&amp;IF($OD42&gt;0," · TR"&amp;IF($NI42="",""," CD "&amp;$NI42),""),IF(LEFT($QC42,2)="TR",$QC42&amp;IF($NI42="",""," · CD "&amp;$NI42)&amp;IF(COUNTIF($RK42:$RN42,"Certeiro")&gt;0," · metade",""),"Sem rolagem"))))</f>
        <v/>
      </c>
      <c r="QE42" s="164">
        <f>IF(OR($ND42=0,$NJ42=0),"",IF($MS42=0,IF(OR($OG42&gt;=1,$PD42=0),"Sem dano",$PD42&amp;"d6"&amp;IF($MV42="",""," "&amp;$MV42)),IF(OR($OG42&gt;=1,$PD42=0),UPPER(LEFT(INDEX($PM42:$PS42,1,MAX(1,$MS42)),1))&amp;MID(INDEX($PM42:$PS42,1,MAX(1,$MS42)),2,99),UPPER(LEFT(INDEX($PM42:$PS42,1,MAX(1,$MS42)),1))&amp;MID(INDEX($PM42:$PS42,1,MAX(1,$MS42)),2,99)&amp;IF($MV42="",""," "&amp;$MV42)&amp;IF($PE42&gt;0," · +"&amp;$PE42&amp;"d8",""))))</f>
        <v/>
      </c>
      <c r="QF42" s="164">
        <f>COUNTIF($RK42:$RN42,"Longe")+3*COUNTIF($RK42:$RN42,"Muito Longe")</f>
        <v/>
      </c>
      <c r="QG42" s="164">
        <f>COUNTIF($RK42:$RN42,"Maior")+3*COUNTIF($RK42:$RN42,"Muito Maior")</f>
        <v/>
      </c>
      <c r="QH42" s="164">
        <f>IF($NJ42=0,0,CHOOSE(1+INDEX('DADOS_FORMAS'!$GG$2:$GG$21,$NJ42),0,$QF42,$QG42,$QF42+$QG42))</f>
        <v/>
      </c>
      <c r="QI42" s="164">
        <f>IF($NJ42=0,0,CHOOSE(1+INDEX('DADOS_FORMAS'!$GH$2:$GH$21,$NJ42),0,$QF42,$QG42,$QF42+$QG42))</f>
        <v/>
      </c>
      <c r="QJ42" s="164">
        <f>IF(OR($ND42=0,$NJ42=0),"",INDEX('DADOS_FORMAS'!$HU$2:$HZ$81,($NJ42-1)*4+IF($MS42=0,1,IF($MS42&lt;=5,2,IF($MS42=6,3,4))),1+MIN(5,$QH42))&amp;INDEX('DADOS_FORMAS'!$IA$2:$IF$81,($NJ42-1)*4+IF($MS42=0,1,IF($MS42&lt;=5,2,IF($MS42=6,3,4))),1+MIN(5,$QI42))&amp;IF(INDEX('DADOS_FORMAS'!$GI$2:$GI$21,$NJ42)=1,IF(COUNTIF($RK42:$RN42,"Mais Um")&gt;0," · +"&amp;COUNTIF($RK42:$RN42,"Mais Um")&amp;IF(COUNTIF($RK42:$RN42,"Mais Um")&gt;1," alvos"," alvo"),"")&amp;IF(COUNTIF($RK42:$RN42,"Rajada")&gt;0,IF($MS42=0," · 1 tiro"," · "&amp;(MAX(1,$MS42-1)+1)&amp;" tiros"),""),""))</f>
        <v/>
      </c>
      <c r="QK42" s="164">
        <f>IF($ND42=0,"",IF($MS42=0,$NG42&amp;"d6"&amp;IF($OU42&gt;0," − 1 = "&amp;$PD42&amp;"d6"," da básica do nível "&amp;$NE42),$PB42&amp;" − "&amp;$OW42&amp;" + "&amp;$OZ42&amp;" = "&amp;$PC42&amp;" · teto "&amp;4*$MS42&amp;"d8"&amp;IF($OF42=1," · a Forma devolve "&amp;$MS42,"")&amp;IF($PA42&gt;0," · perde "&amp;$PA42,"")))</f>
        <v/>
      </c>
      <c r="QL42" s="164">
        <f>IF($ND42=0,"",IF($MS42=0,"A básica não amplia: os dados dela sobem com o nível",IF($MS42&gt;=$NF42,"Já está na maior Classe que o nível liberou",TEXTJOIN(" · ",TRUE,IF(AND(2&gt;$MS42,2&lt;=$NF42),"2 → "&amp;$PN42&amp;", 6 PE",""),IF(AND(3&gt;$MS42,3&lt;=$NF42),"3 → "&amp;$PO42&amp;", 9 PE",""),IF(AND(4&gt;$MS42,4&lt;=$NF42),"4 → "&amp;$PP42&amp;", 12 PE",""),IF(AND(5&gt;$MS42,5&lt;=$NF42),"5 → "&amp;$PQ42&amp;", 15 PE",""),IF(AND(6&gt;$MS42,6&lt;=$NF42),"6 → "&amp;$PR42&amp;", 18 PE",""),IF(AND(7&gt;$MS42,7&lt;=$NF42),"7 → "&amp;$PS42&amp;", 21 PE","")))))</f>
        <v/>
      </c>
      <c r="QM42" s="164">
        <f>IF(OR($ND42=0,$NO42=0),"",IF($MS42=0,"−1 dado","−"&amp;INDEX($I$2:$N$8,MAX(1,$MS42),MAX(1,$NT42))&amp;" · "&amp;CHOOSE(MAX(1,$NT42),"Leve","Média","Pesada","Leve · Livre","Média · Livre","Pesada · Livre")))</f>
        <v/>
      </c>
      <c r="QN42" s="164">
        <f>IF(OR($ND42=0,$NP42=0),"",IF($MS42=0,"−1 dado","−"&amp;INDEX($I$2:$N$8,MAX(1,$MS42),MAX(1,$NU42))&amp;" · "&amp;CHOOSE(MAX(1,$NU42),"Leve","Média","Pesada","Leve · Livre","Média · Livre","Pesada · Livre")))</f>
        <v/>
      </c>
      <c r="QO42" s="164">
        <f>IF(OR($ND42=0,$NQ42=0),"",IF($MS42=0,"−1 dado","−"&amp;INDEX($I$2:$N$8,MAX(1,$MS42),MAX(1,$NV42))&amp;" · "&amp;CHOOSE(MAX(1,$NV42),"Leve","Média","Pesada","Leve · Livre","Média · Livre","Pesada · Livre")))</f>
        <v/>
      </c>
      <c r="QP42" s="164">
        <f>IF(OR($ND42=0,$NR42=0),"",IF($MS42=0,"−1 dado","−"&amp;INDEX($I$2:$N$8,MAX(1,$MS42),MAX(1,$NW42))&amp;" · "&amp;CHOOSE(MAX(1,$NW42),"Leve","Média","Pesada","Leve · Livre","Média · Livre","Pesada · Livre")))</f>
        <v/>
      </c>
      <c r="QQ42" s="164">
        <f>IF(OR($ND42=0,$NB42=""),"",IF($MS42=0,"não devolve","+"&amp;IF($OI42=1,CEILING($MS42/2,1),$MS42)))</f>
        <v/>
      </c>
      <c r="QR42" s="164">
        <f>IF(OR($ND42=0,$NC42=""),"",IF($MS42=0,"não devolve","+"&amp;IF($OJ42=1,CEILING($MS42/2,1),$MS42)))</f>
        <v/>
      </c>
      <c r="RK42">
        <f>IF($MX42="","",IFERROR(VLOOKUP(SUBSTITUTE(SUBSTITUTE(SUBSTITUTE($MX42,"~","~~"),"*","~*"),"?","~?"),'DADOS_MELHORIAS'!$O$2:$X$113,10,FALSE),$MX42))</f>
        <v/>
      </c>
      <c r="RL42">
        <f>IF($MY42="","",IFERROR(VLOOKUP(SUBSTITUTE(SUBSTITUTE(SUBSTITUTE($MY42,"~","~~"),"*","~*"),"?","~?"),'DADOS_MELHORIAS'!$O$2:$X$113,10,FALSE),$MY42))</f>
        <v/>
      </c>
      <c r="RM42">
        <f>IF($MZ42="","",IFERROR(VLOOKUP(SUBSTITUTE(SUBSTITUTE(SUBSTITUTE($MZ42,"~","~~"),"*","~*"),"?","~?"),'DADOS_MELHORIAS'!$O$2:$X$113,10,FALSE),$MZ42))</f>
        <v/>
      </c>
      <c r="RN42">
        <f>IF($NA42="","",IFERROR(VLOOKUP(SUBSTITUTE(SUBSTITUTE(SUBSTITUTE($NA42,"~","~~"),"*","~*"),"?","~?"),'DADOS_MELHORIAS'!$O$2:$X$113,10,FALSE),$NA42))</f>
        <v/>
      </c>
      <c r="RO42">
        <f>IFERROR(INDEX('DADOS_FORMAS'!$BJ$2:$BJ$21,MATCH(SUBSTITUTE(SUBSTITUTE(SUBSTITUTE($MU42,"~","~~"),"*","~*"),"?","~?"),'DADOS_FORMAS'!$AH$2:$AH$21,0)),"")</f>
        <v/>
      </c>
      <c r="RP42">
        <f>IFERROR(VLOOKUP(SUBSTITUTE(SUBSTITUTE(SUBSTITUTE(IFERROR(INDEX('DADOS_FORMAS'!$AS$2:$AS$21,MATCH(SUBSTITUTE(SUBSTITUTE(SUBSTITUTE($MU42,"~","~~"),"*","~*"),"?","~?"),'DADOS_FORMAS'!$AH$2:$AH$21,0)),""),"~","~~"),"*","~*"),"?","~?"),'DADOS_RESTRICOES'!$M$2:$Q$54,2,FALSE),"")</f>
        <v/>
      </c>
      <c r="RQ42">
        <f>$OK42</f>
        <v/>
      </c>
      <c r="RR42">
        <f>$OL42</f>
        <v/>
      </c>
      <c r="RS42">
        <f>$RP42</f>
        <v/>
      </c>
    </row>
    <row r="43">
      <c r="AV43" s="162" t="inlineStr">
        <is>
          <t>Impulso</t>
        </is>
      </c>
      <c r="AW43" s="162" t="inlineStr">
        <is>
          <t>Auxiliares</t>
        </is>
      </c>
      <c r="AX43" s="164" t="n">
        <v>1</v>
      </c>
      <c r="AY43" s="164" t="n">
        <v>0</v>
      </c>
      <c r="AZ43" s="164" t="n">
        <v>0</v>
      </c>
      <c r="BA43" s="164" t="n">
        <v>0</v>
      </c>
      <c r="JT43" s="164">
        <f>IF(OR($AW43="",(COUNTIF($EL$2:$EP$2,$AW43)+COUNTIF($QV$2:$QY$2,$AW43))&gt;0),$AV43,"")</f>
        <v/>
      </c>
      <c r="JU43" s="164">
        <f>IF(AND($AX43=1,OR($AW43="",(COUNTIF($EL$2:$EP$2,$AW43)+COUNTIF($QV$2:$QY$2,$AW43))&gt;0)),$AV43,"")</f>
        <v/>
      </c>
      <c r="JZ43" s="164">
        <f>IF(OR($AW43="",(COUNTIF($EL$3:$EP$3,$AW43)+COUNTIF($QV$3:$QY$3,$AW43))&gt;0),$AV43,"")</f>
        <v/>
      </c>
      <c r="KA43" s="164">
        <f>IF(AND($AX43=1,OR($AW43="",(COUNTIF($EL$3:$EP$3,$AW43)+COUNTIF($QV$3:$QY$3,$AW43))&gt;0)),$AV43,"")</f>
        <v/>
      </c>
      <c r="KF43" s="164">
        <f>IF(OR($AW43="",(COUNTIF($EL$4:$EP$4,$AW43)+COUNTIF($QV$4:$QY$4,$AW43))&gt;0),$AV43,"")</f>
        <v/>
      </c>
      <c r="KG43" s="164">
        <f>IF(AND($AX43=1,OR($AW43="",(COUNTIF($EL$4:$EP$4,$AW43)+COUNTIF($QV$4:$QY$4,$AW43))&gt;0)),$AV43,"")</f>
        <v/>
      </c>
      <c r="KL43" s="164">
        <f>IF(OR($AW43="",(COUNTIF($EL$5:$EP$5,$AW43)+COUNTIF($QV$5:$QY$5,$AW43))&gt;0),$AV43,"")</f>
        <v/>
      </c>
      <c r="KM43" s="164">
        <f>IF(AND($AX43=1,OR($AW43="",(COUNTIF($EL$5:$EP$5,$AW43)+COUNTIF($QV$5:$QY$5,$AW43))&gt;0)),$AV43,"")</f>
        <v/>
      </c>
      <c r="KR43" s="164">
        <f>IF(OR($AW43="",(COUNTIF($EL$6:$EP$6,$AW43)+COUNTIF($QV$6:$QY$6,$AW43))&gt;0),$AV43,"")</f>
        <v/>
      </c>
      <c r="KS43" s="164">
        <f>IF(AND($AX43=1,OR($AW43="",(COUNTIF($EL$6:$EP$6,$AW43)+COUNTIF($QV$6:$QY$6,$AW43))&gt;0)),$AV43,"")</f>
        <v/>
      </c>
      <c r="KX43" s="164">
        <f>IF(OR($AW43="",(COUNTIF($EL$7:$EP$7,$AW43)+COUNTIF($QV$7:$QY$7,$AW43))&gt;0),$AV43,"")</f>
        <v/>
      </c>
      <c r="KY43" s="164">
        <f>IF(AND($AX43=1,OR($AW43="",(COUNTIF($EL$7:$EP$7,$AW43)+COUNTIF($QV$7:$QY$7,$AW43))&gt;0)),$AV43,"")</f>
        <v/>
      </c>
      <c r="LD43" s="164">
        <f>IF(OR($AW43="",(COUNTIF($EL$8:$EP$8,$AW43)+COUNTIF($QV$8:$QY$8,$AW43))&gt;0),$AV43,"")</f>
        <v/>
      </c>
      <c r="LE43" s="164">
        <f>IF(AND($AX43=1,OR($AW43="",(COUNTIF($EL$8:$EP$8,$AW43)+COUNTIF($QV$8:$QY$8,$AW43))&gt;0)),$AV43,"")</f>
        <v/>
      </c>
      <c r="LJ43" s="164">
        <f>IF(OR($AW43="",(COUNTIF($EL$9:$EP$9,$AW43)+COUNTIF($QV$9:$QY$9,$AW43))&gt;0),$AV43,"")</f>
        <v/>
      </c>
      <c r="LK43" s="164">
        <f>IF(AND($AX43=1,OR($AW43="",(COUNTIF($EL$9:$EP$9,$AW43)+COUNTIF($QV$9:$QY$9,$AW43))&gt;0)),$AV43,"")</f>
        <v/>
      </c>
      <c r="LP43" s="164">
        <f>IF(OR($AW43="",(COUNTIF($EL$10:$EP$10,$AW43)+COUNTIF($QV$10:$QY$10,$AW43))&gt;0),$AV43,"")</f>
        <v/>
      </c>
      <c r="LQ43" s="164">
        <f>IF(AND($AX43=1,OR($AW43="",(COUNTIF($EL$10:$EP$10,$AW43)+COUNTIF($QV$10:$QY$10,$AW43))&gt;0)),$AV43,"")</f>
        <v/>
      </c>
      <c r="LV43" s="164">
        <f>IF(OR($AW43="",(COUNTIF($EL$11:$EP$11,$AW43)+COUNTIF($QV$11:$QY$11,$AW43))&gt;0),$AV43,"")</f>
        <v/>
      </c>
      <c r="LW43" s="164">
        <f>IF(AND($AX43=1,OR($AW43="",(COUNTIF($EL$11:$EP$11,$AW43)+COUNTIF($QV$11:$QY$11,$AW43))&gt;0)),$AV43,"")</f>
        <v/>
      </c>
      <c r="MB43" s="164">
        <f>IF(OR($AW43="",(COUNTIF($EL$12:$EP$12,$AW43)+COUNTIF($QV$12:$QY$12,$AW43))&gt;0),$AV43,"")</f>
        <v/>
      </c>
      <c r="MC43" s="164">
        <f>IF(AND($AX43=1,OR($AW43="",(COUNTIF($EL$12:$EP$12,$AW43)+COUNTIF($QV$12:$QY$12,$AW43))&gt;0)),$AV43,"")</f>
        <v/>
      </c>
      <c r="MH43" s="164">
        <f>IF(OR($AW43="",(COUNTIF($EL$13:$EP$13,$AW43)+COUNTIF($QV$13:$QY$13,$AW43))&gt;0),$AV43,"")</f>
        <v/>
      </c>
      <c r="MI43" s="164">
        <f>IF(AND($AX43=1,OR($AW43="",(COUNTIF($EL$13:$EP$13,$AW43)+COUNTIF($QV$13:$QY$13,$AW43))&gt;0)),$AV43,"")</f>
        <v/>
      </c>
      <c r="MN43" s="162" t="inlineStr">
        <is>
          <t>Ficha 4 · Especial 2</t>
        </is>
      </c>
      <c r="MO43" s="164" t="n">
        <v>4</v>
      </c>
      <c r="MP43" s="164" t="n">
        <v>1</v>
      </c>
      <c r="MQ43" s="164" t="n">
        <v>4</v>
      </c>
      <c r="MR43" s="162" t="inlineStr">
        <is>
          <t>ESPECIAL 2</t>
        </is>
      </c>
      <c r="MS43" s="164">
        <f>MAX(1,MIN(7,N('INVOCAÇÕES'!$U$704)))</f>
        <v/>
      </c>
      <c r="MT43" s="164">
        <f>'INVOCAÇÕES'!$V$704&amp;""</f>
        <v/>
      </c>
      <c r="MU43" s="164">
        <f>'INVOCAÇÕES'!$U$709&amp;""</f>
        <v/>
      </c>
      <c r="MV43" s="164">
        <f>'INVOCAÇÕES'!$U$710&amp;""</f>
        <v/>
      </c>
      <c r="MW43" s="164">
        <f>'INVOCAÇÕES'!$W$710&amp;""</f>
        <v/>
      </c>
      <c r="MX43" s="164">
        <f>'INVOCAÇÕES'!$V$713&amp;""</f>
        <v/>
      </c>
      <c r="MY43" s="164">
        <f>'INVOCAÇÕES'!$V$714&amp;""</f>
        <v/>
      </c>
      <c r="MZ43" s="164">
        <f>'INVOCAÇÕES'!$V$715&amp;""</f>
        <v/>
      </c>
      <c r="NA43" s="164">
        <f>'INVOCAÇÕES'!$V$716&amp;""</f>
        <v/>
      </c>
      <c r="NB43" s="164">
        <f>'INVOCAÇÕES'!$V$717&amp;""</f>
        <v/>
      </c>
      <c r="NC43" s="164">
        <f>'INVOCAÇÕES'!$V$718&amp;""</f>
        <v/>
      </c>
      <c r="ND43" s="164">
        <f>IF($MT43&lt;&gt;"",1,0)</f>
        <v/>
      </c>
      <c r="NE43" s="164">
        <f>INDEX($FO$2:$FO$13,$MO43)</f>
        <v/>
      </c>
      <c r="NF43" s="164">
        <f>INDEX($FP$2:$FP$13,$MO43)</f>
        <v/>
      </c>
      <c r="NG43" s="164">
        <f>INDEX($FQ$2:$FQ$13,$MO43)</f>
        <v/>
      </c>
      <c r="NH43" s="164">
        <f>INDEX($GB$2:$GB$13,$MO43)</f>
        <v/>
      </c>
      <c r="NI43" s="164">
        <f>INDEX($GC$2:$GC$13,$MO43)</f>
        <v/>
      </c>
      <c r="NJ43" s="164">
        <f>IFERROR(MATCH(SUBSTITUTE(SUBSTITUTE(SUBSTITUTE($MU43,"~","~~"),"*","~*"),"?","~?"),'DADOS_FORMAS'!$FZ$2:$FZ$21,0),0)</f>
        <v/>
      </c>
      <c r="NK43" s="164">
        <f>IFERROR(VLOOKUP(SUBSTITUTE(SUBSTITUTE(SUBSTITUTE($MX43,"~","~~"),"*","~*"),"?","~?"),'DADOS_MELHORIAS'!$AG$2:$AL$113,2,FALSE),"")</f>
        <v/>
      </c>
      <c r="NL43" s="164">
        <f>IFERROR(VLOOKUP(SUBSTITUTE(SUBSTITUTE(SUBSTITUTE($MY43,"~","~~"),"*","~*"),"?","~?"),'DADOS_MELHORIAS'!$AG$2:$AL$113,2,FALSE),"")</f>
        <v/>
      </c>
      <c r="NM43" s="164">
        <f>IFERROR(VLOOKUP(SUBSTITUTE(SUBSTITUTE(SUBSTITUTE($MZ43,"~","~~"),"*","~*"),"?","~?"),'DADOS_MELHORIAS'!$AG$2:$AL$113,2,FALSE),"")</f>
        <v/>
      </c>
      <c r="NN43" s="164">
        <f>IFERROR(VLOOKUP(SUBSTITUTE(SUBSTITUTE(SUBSTITUTE($NA43,"~","~~"),"*","~*"),"?","~?"),'DADOS_MELHORIAS'!$AG$2:$AL$113,2,FALSE),"")</f>
        <v/>
      </c>
      <c r="NO43" s="164">
        <f>IFERROR(VLOOKUP(SUBSTITUTE(SUBSTITUTE(SUBSTITUTE($MX43,"~","~~"),"*","~*"),"?","~?"),'DADOS_MELHORIAS'!$AG$2:$AL$113,3,FALSE),0)</f>
        <v/>
      </c>
      <c r="NP43" s="164">
        <f>IFERROR(VLOOKUP(SUBSTITUTE(SUBSTITUTE(SUBSTITUTE($MY43,"~","~~"),"*","~*"),"?","~?"),'DADOS_MELHORIAS'!$AG$2:$AL$113,3,FALSE),0)</f>
        <v/>
      </c>
      <c r="NQ43" s="164">
        <f>IFERROR(VLOOKUP(SUBSTITUTE(SUBSTITUTE(SUBSTITUTE($MZ43,"~","~~"),"*","~*"),"?","~?"),'DADOS_MELHORIAS'!$AG$2:$AL$113,3,FALSE),0)</f>
        <v/>
      </c>
      <c r="NR43" s="164">
        <f>IFERROR(VLOOKUP(SUBSTITUTE(SUBSTITUTE(SUBSTITUTE($NA43,"~","~~"),"*","~*"),"?","~?"),'DADOS_MELHORIAS'!$AG$2:$AL$113,3,FALSE),0)</f>
        <v/>
      </c>
      <c r="NS43" s="164">
        <f>IF($MS43=0,0,IF($NJ43=0,0,INDEX('DADOS_FORMAS'!$GB$2:$GB$21,$NJ43)))</f>
        <v/>
      </c>
      <c r="NT43" s="164">
        <f>IF(OR($NO43=0,$MS43=0),0,$NO43+3*IF(AND($NK43&lt;&gt;"",COUNTIF(INDEX($RB$2:$RJ$13,$MO43,0),$NK43)&gt;0),1,0))</f>
        <v/>
      </c>
      <c r="NU43" s="164">
        <f>IF(OR($NP43=0,$MS43=0),0,$NP43+3*IF(AND($NL43&lt;&gt;"",COUNTIF(INDEX($RB$2:$RJ$13,$MO43,0),$NL43)&gt;0),1,0))</f>
        <v/>
      </c>
      <c r="NV43" s="164">
        <f>IF(OR($NQ43=0,$MS43=0),0,$NQ43+3*IF(AND($NM43&lt;&gt;"",COUNTIF(INDEX($RB$2:$RJ$13,$MO43,0),$NM43)&gt;0),1,0))</f>
        <v/>
      </c>
      <c r="NW43" s="164">
        <f>IF(OR($NR43=0,$MS43=0),0,$NR43+3*IF(AND($NN43&lt;&gt;"",COUNTIF(INDEX($RB$2:$RJ$13,$MO43,0),$NN43)&gt;0),1,0))</f>
        <v/>
      </c>
      <c r="NX43" s="164">
        <f>IF($NJ43=0,0,IF(INDEX('DADOS_FORMAS'!$GA$2:$GA$21,$NJ43)="",0,IF((COUNTIF(INDEX($EL$2:$EP$13,$MO43,0),INDEX('DADOS_FORMAS'!$GA$2:$GA$21,$NJ43))+COUNTIF(INDEX($QV$2:$QY$13,$MO43,0),INDEX('DADOS_FORMAS'!$GA$2:$GA$21,$NJ43)))=0,1,0)))</f>
        <v/>
      </c>
      <c r="NY43" s="164">
        <f>IF(OR($NO43=0,$NK43=""),0,IF((COUNTIF(INDEX($EL$2:$EP$13,$MO43,0),$NK43)+COUNTIF(INDEX($QV$2:$QY$13,$MO43,0),$NK43))=0,1,0))</f>
        <v/>
      </c>
      <c r="NZ43" s="164">
        <f>IF(OR($NP43=0,$NL43=""),0,IF((COUNTIF(INDEX($EL$2:$EP$13,$MO43,0),$NL43)+COUNTIF(INDEX($QV$2:$QY$13,$MO43,0),$NL43))=0,1,0))</f>
        <v/>
      </c>
      <c r="OA43" s="164">
        <f>IF(OR($NQ43=0,$NM43=""),0,IF((COUNTIF(INDEX($EL$2:$EP$13,$MO43,0),$NM43)+COUNTIF(INDEX($QV$2:$QY$13,$MO43,0),$NM43))=0,1,0))</f>
        <v/>
      </c>
      <c r="OB43" s="164">
        <f>IF(OR($NR43=0,$NN43=""),0,IF((COUNTIF(INDEX($EL$2:$EP$13,$MO43,0),$NN43)+COUNTIF(INDEX($QV$2:$QY$13,$MO43,0),$NN43))=0,1,0))</f>
        <v/>
      </c>
      <c r="OC43" s="164">
        <f>IFERROR(VLOOKUP(SUBSTITUTE(SUBSTITUTE(SUBSTITUTE($MX43,"~","~~"),"*","~*"),"?","~?"),'DADOS_MELHORIAS'!$AG$2:$AL$113,4,FALSE),0)+IFERROR(VLOOKUP(SUBSTITUTE(SUBSTITUTE(SUBSTITUTE($MY43,"~","~~"),"*","~*"),"?","~?"),'DADOS_MELHORIAS'!$AG$2:$AL$113,4,FALSE),0)+IFERROR(VLOOKUP(SUBSTITUTE(SUBSTITUTE(SUBSTITUTE($MZ43,"~","~~"),"*","~*"),"?","~?"),'DADOS_MELHORIAS'!$AG$2:$AL$113,4,FALSE),0)+IFERROR(VLOOKUP(SUBSTITUTE(SUBSTITUTE(SUBSTITUTE($NA43,"~","~~"),"*","~*"),"?","~?"),'DADOS_MELHORIAS'!$AG$2:$AL$113,4,FALSE),0)</f>
        <v/>
      </c>
      <c r="OD43" s="164">
        <f>IFERROR(VLOOKUP(SUBSTITUTE(SUBSTITUTE(SUBSTITUTE($MX43,"~","~~"),"*","~*"),"?","~?"),'DADOS_MELHORIAS'!$AG$2:$AL$113,6,FALSE),0)+IFERROR(VLOOKUP(SUBSTITUTE(SUBSTITUTE(SUBSTITUTE($MY43,"~","~~"),"*","~*"),"?","~?"),'DADOS_MELHORIAS'!$AG$2:$AL$113,6,FALSE),0)+IFERROR(VLOOKUP(SUBSTITUTE(SUBSTITUTE(SUBSTITUTE($MZ43,"~","~~"),"*","~*"),"?","~?"),'DADOS_MELHORIAS'!$AG$2:$AL$113,6,FALSE),0)+IFERROR(VLOOKUP(SUBSTITUTE(SUBSTITUTE(SUBSTITUTE($NA43,"~","~~"),"*","~*"),"?","~?"),'DADOS_MELHORIAS'!$AG$2:$AL$113,6,FALSE),0)+IFERROR(N(AND(INDEX('DADOS_FORMAS'!$AO$2:$AO$21,MATCH(SUBSTITUTE(SUBSTITUTE(SUBSTITUTE($MU43,"~","~~"),"*","~*"),"?","~?"),'DADOS_FORMAS'!$AH$2:$AH$21,0))="Acerto",$OH43=1)),0)</f>
        <v/>
      </c>
      <c r="OE43" s="164">
        <f>TEXTJOIN(", ",TRUE,IF(IFERROR(VLOOKUP(SUBSTITUTE(SUBSTITUTE(SUBSTITUTE($MX43,"~","~~"),"*","~*"),"?","~?"),'DADOS_MELHORIAS'!$AG$2:$AL$113,5,FALSE),0)=1,$MX43,""),IF(IFERROR(VLOOKUP(SUBSTITUTE(SUBSTITUTE(SUBSTITUTE($MY43,"~","~~"),"*","~*"),"?","~?"),'DADOS_MELHORIAS'!$AG$2:$AL$113,5,FALSE),0)=1,$MY43,""),IF(IFERROR(VLOOKUP(SUBSTITUTE(SUBSTITUTE(SUBSTITUTE($MZ43,"~","~~"),"*","~*"),"?","~?"),'DADOS_MELHORIAS'!$AG$2:$AL$113,5,FALSE),0)=1,$MZ43,""),IF(IFERROR(VLOOKUP(SUBSTITUTE(SUBSTITUTE(SUBSTITUTE($NA43,"~","~~"),"*","~*"),"?","~?"),'DADOS_MELHORIAS'!$AG$2:$AL$113,5,FALSE),0)=1,$NA43,""))</f>
        <v/>
      </c>
      <c r="OF43" s="164">
        <f>IF($NJ43=0,0,INDEX('DADOS_FORMAS'!$GC$2:$GC$21,$NJ43))</f>
        <v/>
      </c>
      <c r="OG43" s="164">
        <f>IF($NJ43=0,0,INDEX('DADOS_FORMAS'!$GD$2:$GD$21,$NJ43))</f>
        <v/>
      </c>
      <c r="OH43" s="164">
        <f>IF($NJ43=0,0,INDEX('DADOS_FORMAS'!$GF$2:$GF$21,$NJ43))</f>
        <v/>
      </c>
      <c r="OI43" s="164">
        <f>IFERROR(VLOOKUP(SUBSTITUTE(SUBSTITUTE(SUBSTITUTE($NB43,"~","~~"),"*","~*"),"?","~?"),'DADOS_RESTRICOES'!$M$2:$Q$54,3,FALSE),0)</f>
        <v/>
      </c>
      <c r="OJ43" s="164">
        <f>IFERROR(VLOOKUP(SUBSTITUTE(SUBSTITUTE(SUBSTITUTE($NC43,"~","~~"),"*","~*"),"?","~?"),'DADOS_RESTRICOES'!$M$2:$Q$54,3,FALSE),0)</f>
        <v/>
      </c>
      <c r="OK43" s="164">
        <f>IFERROR(VLOOKUP(SUBSTITUTE(SUBSTITUTE(SUBSTITUTE($NB43,"~","~~"),"*","~*"),"?","~?"),'DADOS_RESTRICOES'!$M$2:$Q$54,2,FALSE),"")</f>
        <v/>
      </c>
      <c r="OL43" s="164">
        <f>IFERROR(VLOOKUP(SUBSTITUTE(SUBSTITUTE(SUBSTITUTE($NC43,"~","~~"),"*","~*"),"?","~?"),'DADOS_RESTRICOES'!$M$2:$Q$54,2,FALSE),"")</f>
        <v/>
      </c>
      <c r="OM43" s="164">
        <f>COUNTIF($NS43:$NW43,1)</f>
        <v/>
      </c>
      <c r="ON43" s="164">
        <f>COUNTIF($NS43:$NW43,2)</f>
        <v/>
      </c>
      <c r="OO43" s="164">
        <f>COUNTIF($NS43:$NW43,3)</f>
        <v/>
      </c>
      <c r="OP43" s="164">
        <f>COUNTIF($NS43:$NW43,4)</f>
        <v/>
      </c>
      <c r="OQ43" s="164">
        <f>COUNTIF($NS43:$NW43,5)</f>
        <v/>
      </c>
      <c r="OR43" s="164">
        <f>COUNTIF($NS43:$NW43,6)</f>
        <v/>
      </c>
      <c r="OS43" s="164">
        <f>COUNTIF($OI43:$OJ43,1)+IF(IFERROR(INDEX('DADOS_FORMAS'!$AS$2:$AS$21,MATCH(SUBSTITUTE(SUBSTITUTE(SUBSTITUTE($MU43,"~","~~"),"*","~*"),"?","~?"),'DADOS_FORMAS'!$AH$2:$AH$21,0)),"")="",0,IFERROR(N(VLOOKUP(SUBSTITUTE(SUBSTITUTE(SUBSTITUTE(IFERROR(INDEX('DADOS_FORMAS'!$AS$2:$AS$21,MATCH(SUBSTITUTE(SUBSTITUTE(SUBSTITUTE($MU43,"~","~~"),"*","~*"),"?","~?"),'DADOS_FORMAS'!$AH$2:$AH$21,0)),""),"~","~~"),"*","~*"),"?","~?"),'DADOS_RESTRICOES'!$M$2:$Q$54,3,FALSE)=1),0))</f>
        <v/>
      </c>
      <c r="OT43" s="164">
        <f>COUNTIF($OI43:$OJ43,2)+IF(IFERROR(INDEX('DADOS_FORMAS'!$AS$2:$AS$21,MATCH(SUBSTITUTE(SUBSTITUTE(SUBSTITUTE($MU43,"~","~~"),"*","~*"),"?","~?"),'DADOS_FORMAS'!$AH$2:$AH$21,0)),"")="",0,IFERROR(N(VLOOKUP(SUBSTITUTE(SUBSTITUTE(SUBSTITUTE(IFERROR(INDEX('DADOS_FORMAS'!$AS$2:$AS$21,MATCH(SUBSTITUTE(SUBSTITUTE(SUBSTITUTE($MU43,"~","~~"),"*","~*"),"?","~?"),'DADOS_FORMAS'!$AH$2:$AH$21,0)),""),"~","~~"),"*","~*"),"?","~?"),'DADOS_RESTRICOES'!$M$2:$Q$54,3,FALSE)=2),0))</f>
        <v/>
      </c>
      <c r="OU43" s="164">
        <f>COUNTIF($MX43:$NA43,"?*")</f>
        <v/>
      </c>
      <c r="OV43" s="164">
        <f>COUNTIF($NB43:$NC43,"?*")+$OF43</f>
        <v/>
      </c>
      <c r="OW43" s="164">
        <f>IF($MS43=0,0,SUMPRODUCT($OM43:$OR43,INDEX($I$2:$N$8,MAX(1,$MS43),0)))</f>
        <v/>
      </c>
      <c r="OX43" s="164">
        <f>IF($MS43=0,0,$OS43*CEILING($MS43/2,1)+$OT43*$MS43)</f>
        <v/>
      </c>
      <c r="OY43" s="164">
        <f>MIN(2*$MS43,$OX43)</f>
        <v/>
      </c>
      <c r="OZ43" s="164">
        <f>MIN($OY43,$OW43-IF($NS43=0,0,INDEX($I$2:$N$8,MAX(1,$MS43),$NS43)))</f>
        <v/>
      </c>
      <c r="PA43" s="164">
        <f>$OY43-$OZ43</f>
        <v/>
      </c>
      <c r="PB43" s="164">
        <f>IF($MS43=0,0,INDEX($P$2:$P$8,MAX(1,$MS43)))</f>
        <v/>
      </c>
      <c r="PC43" s="164">
        <f>$PB43-$OW43+$OZ43</f>
        <v/>
      </c>
      <c r="PD43" s="164">
        <f>IF($MS43=0,MAX(0,$NG43-IF(AND($OU43&gt;0,COUNTIF($NB43:$NC43,"?*")=0),1,0)),MAX(0,$PC43))</f>
        <v/>
      </c>
      <c r="PE43" s="164">
        <f>IF($MS43=0,0,(IF(COUNTIF($RK43:$RN43,"Salto")&gt;0,1,0)+IF(COUNTIF($RK43:$RN43,"Queima")&gt;0,1,0)+IF(COUNTIF($RK43:$RN43,"Estilhaço")&gt;0,1,0))*FLOOR($PD43/2,1))</f>
        <v/>
      </c>
      <c r="PF43" s="164">
        <f>MAX(0,2-SUMPRODUCT($OM43:$OR43,$I$2:$N$2)+MIN(2,$OS43*1+$OT43*1,SUMPRODUCT($OM43:$OR43,$I$2:$N$2)-IF($NS43=0,0,INDEX($I$2:$N$2,1,$NS43))))</f>
        <v/>
      </c>
      <c r="PG43" s="164">
        <f>MAX(0,4-SUMPRODUCT($OM43:$OR43,$I$3:$N$3)+MIN(4,$OS43*1+$OT43*2,SUMPRODUCT($OM43:$OR43,$I$3:$N$3)-IF($NS43=0,0,INDEX($I$3:$N$3,1,$NS43))))</f>
        <v/>
      </c>
      <c r="PH43" s="164">
        <f>MAX(0,6-SUMPRODUCT($OM43:$OR43,$I$4:$N$4)+MIN(6,$OS43*2+$OT43*3,SUMPRODUCT($OM43:$OR43,$I$4:$N$4)-IF($NS43=0,0,INDEX($I$4:$N$4,1,$NS43))))</f>
        <v/>
      </c>
      <c r="PI43" s="164">
        <f>MAX(0,9-SUMPRODUCT($OM43:$OR43,$I$5:$N$5)+MIN(8,$OS43*2+$OT43*4,SUMPRODUCT($OM43:$OR43,$I$5:$N$5)-IF($NS43=0,0,INDEX($I$5:$N$5,1,$NS43))))</f>
        <v/>
      </c>
      <c r="PJ43" s="164">
        <f>MAX(0,11-SUMPRODUCT($OM43:$OR43,$I$6:$N$6)+MIN(10,$OS43*3+$OT43*5,SUMPRODUCT($OM43:$OR43,$I$6:$N$6)-IF($NS43=0,0,INDEX($I$6:$N$6,1,$NS43))))</f>
        <v/>
      </c>
      <c r="PK43" s="164">
        <f>MAX(0,13-SUMPRODUCT($OM43:$OR43,$I$7:$N$7)+MIN(12,$OS43*3+$OT43*6,SUMPRODUCT($OM43:$OR43,$I$7:$N$7)-IF($NS43=0,0,INDEX($I$7:$N$7,1,$NS43))))</f>
        <v/>
      </c>
      <c r="PL43" s="164">
        <f>MAX(0,16-SUMPRODUCT($OM43:$OR43,$I$8:$N$8)+MIN(14,$OS43*4+$OT43*7,SUMPRODUCT($OM43:$OR43,$I$8:$N$8)-IF($NS43=0,0,INDEX($I$8:$N$8,1,$NS43))))</f>
        <v/>
      </c>
      <c r="PM43" s="164">
        <f>IF($OG43=2,3*$PF43&amp;" de vida temp.",IF($OG43=3,"sem dano",IF($PF43=0,IF($OG43=1,"sem cura","sem dano"),IF($OG43=1,"cura ","")&amp;$PF43&amp;"d8")))</f>
        <v/>
      </c>
      <c r="PN43" s="164">
        <f>IF($OG43=2,3*$PG43&amp;" de vida temp.",IF($OG43=3,"sem dano",IF($PG43=0,IF($OG43=1,"sem cura","sem dano"),IF($OG43=1,"cura ","")&amp;$PG43&amp;"d8")))</f>
        <v/>
      </c>
      <c r="PO43" s="164">
        <f>IF($OG43=2,3*$PH43&amp;" de vida temp.",IF($OG43=3,"sem dano",IF($PH43=0,IF($OG43=1,"sem cura","sem dano"),IF($OG43=1,"cura ","")&amp;$PH43&amp;"d8")))</f>
        <v/>
      </c>
      <c r="PP43" s="164">
        <f>IF($OG43=2,3*$PI43&amp;" de vida temp.",IF($OG43=3,"sem dano",IF($PI43=0,IF($OG43=1,"sem cura","sem dano"),IF($OG43=1,"cura ","")&amp;$PI43&amp;"d8")))</f>
        <v/>
      </c>
      <c r="PQ43" s="164">
        <f>IF($OG43=2,3*$PJ43&amp;" de vida temp.",IF($OG43=3,"sem dano",IF($PJ43=0,IF($OG43=1,"sem cura","sem dano"),IF($OG43=1,"cura ","")&amp;$PJ43&amp;"d8")))</f>
        <v/>
      </c>
      <c r="PR43" s="164">
        <f>IF($OG43=2,3*$PK43&amp;" de vida temp.",IF($OG43=3,"sem dano",IF($PK43=0,IF($OG43=1,"sem cura","sem dano"),IF($OG43=1,"cura ","")&amp;$PK43&amp;"d8")))</f>
        <v/>
      </c>
      <c r="PS43" s="164">
        <f>IF($OG43=2,3*$PL43&amp;" de vida temp.",IF($OG43=3,"sem dano",IF($PL43=0,IF($OG43=1,"sem cura","sem dano"),IF($OG43=1,"cura ","")&amp;$PL43&amp;"d8")))</f>
        <v/>
      </c>
      <c r="PT43" s="164">
        <f>IF($ND43=0,"",TEXTJOIN(" · ",TRUE,IF($ND43=0,"",TEXTJOIN(" · ",TRUE,IF($ND43=0,"",TEXTJOIN(" · ",TRUE,IF($MQ43&gt;$NE43,"Este lugar abre no nível "&amp;$MQ43,""),IF($MS43&gt;$NF43,"Classe "&amp;$MS43&amp;": o nível "&amp;$NE43&amp;" libera até a "&amp;$NF43,""),IF($NX43=1,"A Forma "&amp;$MU43&amp;" pede "&amp;INDEX('DADOS_FORMAS'!$GA$2:$GA$21,$NJ43)&amp;" aberta",""),IF(AND($MS43=0,$NJ43&gt;0,IF($NJ43=0,0,INDEX('DADOS_FORMAS'!$GJ$2:$GJ$21,$NJ43))=0),$MU43&amp;" não existe na Classe 0",""),IF($NY43=1,"Família Fechada: "&amp;$MX43,""),IF($NZ43=1,"Família Fechada: "&amp;$MY43,""),IF($OA43=1,"Família Fechada: "&amp;$MZ43,""),IF($OB43=1,"Família Fechada: "&amp;$NA43,""),IF(AND($MS43&gt;0,$OU43&gt;INDEX($O$2:$O$8,MAX(1,$MS43))),$OU43&amp;" Melhorias: a Classe "&amp;$MS43&amp;" aceita "&amp;INDEX($O$2:$O$8,MAX(1,$MS43)),""),IF(AND($MS43=0,$OU43&gt;1),"A básica aceita uma Melhoria",""),IF(AND($MS43=0,COUNTIF($NO43:$NR43,"&gt;1")&gt;0),"A básica só aceita Melhoria Leve",""),IF(AND($MS43&gt;0,$OV43&gt;2),$OV43&amp;" Restrições"&amp;IF($OF43=1,", contando a que a Forma "&amp;$MU43&amp;" já traz","")&amp;": o limite é 2",""),IF(AND($MS43=0,COUNTIF($NB43:$NC43,"?*")&gt;1),"A básica aceita uma Restrição Leve",""),IF(AND($MS43=0,COUNTIF($OI43:$OJ43,2)&gt;0),"A básica só aceita Restrição Leve",""),IF(AND($MS43&gt;0,$PC43&lt;0),"Orçamento estourado: faltam "&amp;(-$PC43)&amp;IF($PC43&lt;-1," pontos"," ponto"),""),IF(IFERROR(VLOOKUP(SUBSTITUTE(SUBSTITUTE(SUBSTITUTE($NB43,"~","~~"),"*","~*"),"?","~?"),'DADOS_RESTRICOES'!$M$2:$Q$54,4,FALSE),0)+IFERROR(VLOOKUP(SUBSTITUTE(SUBSTITUTE(SUBSTITUTE($NC43,"~","~~"),"*","~*"),"?","~?"),'DADOS_RESTRICOES'!$M$2:$Q$54,4,FALSE),0)&gt;1,$OK43&amp;" e "&amp;$OL43&amp;" são as duas de frequência",""),IF(AND((COUNTIF($RK43:$RN43,"Rápido")+COUNTIF($OK43:$OL43,"Rápido"))&gt;0,(COUNTIF($MX43:$NA43,"Atrasar")+COUNTIF($OK43:$OL43,"Atrasar"))&gt;0),"Rápido não entra com Atrasar",""),IF(AND((COUNTIF($RK43:$RN43,"Reação")+COUNTIF($OK43:$OL43,"Reação"))&gt;0,(COUNTIF($RK43:$RN43,"Rápido")+COUNTIF($OK43:$OL43,"Rápido"))&gt;0),"Reação não entra com Rápido",""),IF(AND((COUNTIF($RK43:$RN43,"Reação")+COUNTIF($OK43:$OL43,"Reação"))&gt;0,(COUNTIF($RK43:$RN43,"Armado")+COUNTIF($OK43:$OL43,"Armado"))&gt;0),"Reação não entra com Armado",""),IF(AND((COUNTIF($RK43:$RN43,"Reação")+COUNTIF($OK43:$OL43,"Reação"))&gt;0,(COUNTIF($MX43:$NA43,"Atrasar")+COUNTIF($OK43:$OL43,"Atrasar"))&gt;0),"Reação não entra com Atrasar",""),IF(AND((COUNTIF($RK43:$RN43,"Reação")+COUNTIF($OK43:$OL43,"Reação"))&gt;0,(COUNTIF($MX43:$NA43,"Parado")+COUNTIF($OK43:$OL43,"Parado"))&gt;0),"Reação não entra com Parado",""),IF(AND((COUNTIF($MX43:$NA43,"Atrasar")+COUNTIF($OK43:$OL43,"Atrasar"))&gt;0,(COUNTIF($MX43:$NA43,"Parado")+COUNTIF($OK43:$OL43,"Parado"))&gt;0),"Atrasar não entra com Parado",""),IF(AND((COUNTIF($RK43:$RN43,"Armado")+COUNTIF($OK43:$OL43,"Armado"))&gt;0,(COUNTIF($MX43:$NA43,"Carregar")+COUNTIF($OK43:$OL43,"Carregar"))&gt;0),"Armado não entra com Carregar",""),IF(AND(COUNTIF($OK43:$OL43,"Corpo a Corpo")&gt;0,$OF43=0,OR($RO43="Cone",$RO43="Linha")),"Corpo a Corpo não entra em "&amp;$MU43,""),IF(AND(COUNTIF($OK43:$OL43,"Corpo a Corpo")&gt;0,$RP43="Corpo a Corpo"),"A Forma "&amp;$MU43&amp;" já traz o Corpo a Corpo",""),IF(AND(COUNTIF($OK43:$OL43,"Tudo ou Nada")&gt;0,$OH43=0),"Tudo ou Nada só entra em habilidade de Teste de Resistência",""),IF(AND(COUNTIF($RK43:$RN43,"Inescapável")&gt;0,OR($OU43&gt;1,$OV43&gt;0)),"Inescapável não aceita outra peça",""),IF(AND($MS43&gt;0,$PD43*IF(COUNTIF($RK43:$RN43,"Remate")&gt;0,1.25,1)+$PE43&gt;4*$MS43),($PD43*IF(COUNTIF($RK43:$RN43,"Remate")&gt;0,1.25,1)+$PE43)&amp;" dados somando repetições"&amp;IF(COUNTIF($RK43:$RN43,"Remate")&gt;0," e o Remate","")&amp;": o teto da Classe "&amp;$MS43&amp;" é "&amp;4*$MS43,""))),IF(AND($MX43&lt;&gt;"",COUNTIF('DADOS_MELHORIAS'!$O$2:$O$113,SUBSTITUTE(SUBSTITUTE(SUBSTITUTE($MX43,"~","~~"),"*","~*"),"?","~?"))=0),"Melhoria não cadastrada ou com erro: "&amp;$MX43,""),IF(AND($MY43&lt;&gt;"",COUNTIF('DADOS_MELHORIAS'!$O$2:$O$113,SUBSTITUTE(SUBSTITUTE(SUBSTITUTE($MY43,"~","~~"),"*","~*"),"?","~?"))=0),"Melhoria não cadastrada ou com erro: "&amp;$MY43,""),IF(AND($MZ43&lt;&gt;"",COUNTIF('DADOS_MELHORIAS'!$O$2:$O$113,SUBSTITUTE(SUBSTITUTE(SUBSTITUTE($MZ43,"~","~~"),"*","~*"),"?","~?"))=0),"Melhoria não cadastrada ou com erro: "&amp;$MZ43,""),IF(AND($NA43&lt;&gt;"",COUNTIF('DADOS_MELHORIAS'!$O$2:$O$113,SUBSTITUTE(SUBSTITUTE(SUBSTITUTE($NA43,"~","~~"),"*","~*"),"?","~?"))=0),"Melhoria não cadastrada ou com erro: "&amp;$NA43,""),IF(AND($NB43&lt;&gt;"",COUNTIF('DADOS_RESTRICOES'!$M$2:$M$54,SUBSTITUTE(SUBSTITUTE(SUBSTITUTE($NB43,"~","~~"),"*","~*"),"?","~?"))=0),"Restrição não cadastrada ou com erro: "&amp;$NB43,""),IF(AND($NC43&lt;&gt;"",COUNTIF('DADOS_RESTRICOES'!$M$2:$M$54,SUBSTITUTE(SUBSTITUTE(SUBSTITUTE($NC43,"~","~~"),"*","~*"),"?","~?"))=0),"Restrição não cadastrada ou com erro: "&amp;$NC43,""))),IF(AND($MU43&lt;&gt;"",COUNTIF('DADOS_FORMAS'!$AH$2:$AH$21,SUBSTITUTE(SUBSTITUTE(SUBSTITUTE($MU43,"~","~~"),"*","~*"),"?","~?"))=0),"Forma não cadastrada ou com erro: "&amp;$MU43,""),IF(AND(IFERROR(INDEX('DADOS_FORMAS'!$AS$2:$AS$21,MATCH(SUBSTITUTE(SUBSTITUTE(SUBSTITUTE($MU43,"~","~~"),"*","~*"),"?","~?"),'DADOS_FORMAS'!$AH$2:$AH$21,0)),"")&lt;&gt;"",OR(IFERROR(VLOOKUP(SUBSTITUTE(SUBSTITUTE(SUBSTITUTE(IFERROR(INDEX('DADOS_FORMAS'!$AS$2:$AS$21,MATCH(SUBSTITUTE(SUBSTITUTE(SUBSTITUTE($MU43,"~","~~"),"*","~*"),"?","~?"),'DADOS_FORMAS'!$AH$2:$AH$21,0)),""),"~","~~"),"*","~*"),"?","~?"),'DADOS_RESTRICOES'!$M$2:$Q$54,2,FALSE),"")=$OK43,IFERROR(VLOOKUP(SUBSTITUTE(SUBSTITUTE(SUBSTITUTE(IFERROR(INDEX('DADOS_FORMAS'!$AS$2:$AS$21,MATCH(SUBSTITUTE(SUBSTITUTE(SUBSTITUTE($MU43,"~","~~"),"*","~*"),"?","~?"),'DADOS_FORMAS'!$AH$2:$AH$21,0)),""),"~","~~"),"*","~*"),"?","~?"),'DADOS_RESTRICOES'!$M$2:$Q$54,2,FALSE),"")=$OL43)),"Restrição repetida, contando a embutida",""),IF(IF(IFERROR(INDEX('DADOS_FORMAS'!$AS$2:$AS$21,MATCH(SUBSTITUTE(SUBSTITUTE(SUBSTITUTE($MU43,"~","~~"),"*","~*"),"?","~?"),'DADOS_FORMAS'!$AH$2:$AH$21,0)),"")="",0,IFERROR(N(VLOOKUP(SUBSTITUTE(SUBSTITUTE(SUBSTITUTE(IFERROR(INDEX('DADOS_FORMAS'!$AS$2:$AS$21,MATCH(SUBSTITUTE(SUBSTITUTE(SUBSTITUTE($MU43,"~","~~"),"*","~*"),"?","~?"),'DADOS_FORMAS'!$AH$2:$AH$21,0)),""),"~","~~"),"*","~*"),"?","~?"),'DADOS_RESTRICOES'!$M$2:$Q$54,4,FALSE)=1),0))+IF($NB43="",0,IFERROR(N(VLOOKUP(SUBSTITUTE(SUBSTITUTE(SUBSTITUTE($NB43,"~","~~"),"*","~*"),"?","~?"),'DADOS_RESTRICOES'!$M$2:$Q$54,4,FALSE)=1),0))+IF($NC43="",0,IFERROR(N(VLOOKUP(SUBSTITUTE(SUBSTITUTE(SUBSTITUTE($NC43,"~","~~"),"*","~*"),"?","~?"),'DADOS_RESTRICOES'!$M$2:$Q$54,4,FALSE)=1),0))&gt;1,"Duas Restrições de frequência, contando a embutida",""),IF(AND(IFERROR(VLOOKUP(SUBSTITUTE(SUBSTITUTE(SUBSTITUTE(IFERROR(INDEX('DADOS_FORMAS'!$AS$2:$AS$21,MATCH(SUBSTITUTE(SUBSTITUTE(SUBSTITUTE($MU43,"~","~~"),"*","~*"),"?","~?"),'DADOS_FORMAS'!$AH$2:$AH$21,0)),""),"~","~~"),"*","~*"),"?","~?"),'DADOS_RESTRICOES'!$M$2:$Q$54,2,FALSE),"")="Tudo ou Nada",$OH43=0),"Tudo ou Nada exige TR",""),IF(AND(IFERROR(VLOOKUP(SUBSTITUTE(SUBSTITUTE(SUBSTITUTE(IFERROR(INDEX('DADOS_FORMAS'!$AS$2:$AS$21,MATCH(SUBSTITUTE(SUBSTITUTE(SUBSTITUTE($MU43,"~","~~"),"*","~*"),"?","~?"),'DADOS_FORMAS'!$AH$2:$AH$21,0)),""),"~","~~"),"*","~*"),"?","~?"),'DADOS_RESTRICOES'!$M$2:$Q$54,2,FALSE),"")="Corpo a Corpo",OR($RO43="Cone",$RO43="Linha")),"Corpo a Corpo não entra em Cone/Linha","")))</f>
        <v/>
      </c>
      <c r="PU43" s="164">
        <f>IF($PT43="",0,(LEN($PT43)-LEN(SUBSTITUTE($PT43," · ","")))/3+1)</f>
        <v/>
      </c>
      <c r="PV43" s="164">
        <f>IF($ND43=0,"",TEXTJOIN(" · ",TRUE,IF($OX43&gt;2*$MS43,"A devolução parou no teto de "&amp;2*$MS43,""),IF($PA43&gt;0,"Devolução perdida: "&amp;$PA43&amp;IF($PA43&gt;1," pontos"," ponto")&amp;" sem Melhoria para pagar",""),IF(AND($OC43&gt;0,AND($MS43&gt;0,$OG43=0),$PD43=0),"Controle sem dano: uma rodada a mais e CD +2",""),IF(AND($OC43&gt;0,AND($MS43&gt;0,$OG43=0),$PD43&gt;0,$PD43&lt;=$MS43),"Controle com saldo até a Classe: uma rodada a mais",""),IF(AND($MS43&gt;0,$OE43&lt;&gt;""),"Efeito de "&amp;$OE43&amp;" pela Classe "&amp;MAX(1,$MS43-1),"")))</f>
        <v/>
      </c>
      <c r="PW43" s="164">
        <f>IF($PV43="",0,(LEN($PV43)-LEN(SUBSTITUTE($PV43," · ","")))/3+1)</f>
        <v/>
      </c>
      <c r="PX43" s="164">
        <f>IF($ND43=0,IF($OU43+COUNTIF($NB43:$NC43,"?*")&gt;0,"Dê um nome",""),IF($PU43&gt;0,"⚠ "&amp;$PU43&amp;IF($PU43&gt;1," erros"," erro"),IF($PW43&gt;0,"! "&amp;$PW43&amp;IF($PW43&gt;1," avisos"," aviso"),"Na regra")))</f>
        <v/>
      </c>
      <c r="PY43" s="164">
        <f>IF($ND43=0,"",IF($PU43+$PW43=0,"Dentro das regras que a ficha confere",$PT43&amp;IF(AND($PU43&gt;0,$PW43&gt;0)," · ","")&amp;$PV43))</f>
        <v/>
      </c>
      <c r="PZ43" s="164">
        <f>IF($MQ43&gt;$NE43,$MR43&amp;" · ABRE NO NÍVEL "&amp;$MQ43,$MR43)</f>
        <v/>
      </c>
      <c r="QA43" s="164">
        <f>IF($ND43=0,"",IF($MS43=0,"Sem PE",3*$MS43&amp;" PE"))</f>
        <v/>
      </c>
      <c r="QB43" s="164">
        <f>IF($ND43=0,"",IF($MS43=0,"A atuação básica dela",IF(COUNTIF($RQ43:$RS43,"Atrasar")&gt;0,"Sua Ação Completa",IF(COUNTIF($RK43:$RN43,"Rápido")&gt;0,"Sua Bônus",IF(COUNTIF($RK43:$RN43,"Reação")&gt;0,"Sua Reação","Sua Padrão")))&amp;" + a básica dela"&amp;IF(COUNTIF($RK43:$RN43,"Reação")&gt;0," e a coletiva","")&amp;IF(COUNTIF($RQ43:$RS43,"Carregar")&gt;0," · em dois turnos","")))</f>
        <v/>
      </c>
      <c r="QC43" s="164">
        <f>IF($MW43&lt;&gt;"",$MW43,IF($NJ43=0,"",INDEX('DADOS_FORMAS'!$GE$2:$GE$21,$NJ43)))</f>
        <v/>
      </c>
      <c r="QD43" s="164">
        <f>IF(OR($ND43=0,$NJ43=0),"",IF(COUNTIF($RK43:$RN43,"Inescapável")&gt;0,"Automático",IF($QC43="Ataque",IF($NH43="","Ataque","Ataque "&amp;IF(($NH43+2*IF(COUNTIF($RK43:$RN43,"Precisão")&gt;0,1,0))&gt;=0,"+","−")&amp;ABS(($NH43+2*IF(COUNTIF($RK43:$RN43,"Precisão")&gt;0,1,0))))&amp;IF($OD43&gt;0," · TR"&amp;IF($NI43="",""," CD "&amp;$NI43),""),IF(LEFT($QC43,2)="TR",$QC43&amp;IF($NI43="",""," · CD "&amp;$NI43)&amp;IF(COUNTIF($RK43:$RN43,"Certeiro")&gt;0," · metade",""),"Sem rolagem"))))</f>
        <v/>
      </c>
      <c r="QE43" s="164">
        <f>IF(OR($ND43=0,$NJ43=0),"",IF($MS43=0,IF(OR($OG43&gt;=1,$PD43=0),"Sem dano",$PD43&amp;"d6"&amp;IF($MV43="",""," "&amp;$MV43)),IF(OR($OG43&gt;=1,$PD43=0),UPPER(LEFT(INDEX($PM43:$PS43,1,MAX(1,$MS43)),1))&amp;MID(INDEX($PM43:$PS43,1,MAX(1,$MS43)),2,99),UPPER(LEFT(INDEX($PM43:$PS43,1,MAX(1,$MS43)),1))&amp;MID(INDEX($PM43:$PS43,1,MAX(1,$MS43)),2,99)&amp;IF($MV43="",""," "&amp;$MV43)&amp;IF($PE43&gt;0," · +"&amp;$PE43&amp;"d8",""))))</f>
        <v/>
      </c>
      <c r="QF43" s="164">
        <f>COUNTIF($RK43:$RN43,"Longe")+3*COUNTIF($RK43:$RN43,"Muito Longe")</f>
        <v/>
      </c>
      <c r="QG43" s="164">
        <f>COUNTIF($RK43:$RN43,"Maior")+3*COUNTIF($RK43:$RN43,"Muito Maior")</f>
        <v/>
      </c>
      <c r="QH43" s="164">
        <f>IF($NJ43=0,0,CHOOSE(1+INDEX('DADOS_FORMAS'!$GG$2:$GG$21,$NJ43),0,$QF43,$QG43,$QF43+$QG43))</f>
        <v/>
      </c>
      <c r="QI43" s="164">
        <f>IF($NJ43=0,0,CHOOSE(1+INDEX('DADOS_FORMAS'!$GH$2:$GH$21,$NJ43),0,$QF43,$QG43,$QF43+$QG43))</f>
        <v/>
      </c>
      <c r="QJ43" s="164">
        <f>IF(OR($ND43=0,$NJ43=0),"",INDEX('DADOS_FORMAS'!$HU$2:$HZ$81,($NJ43-1)*4+IF($MS43=0,1,IF($MS43&lt;=5,2,IF($MS43=6,3,4))),1+MIN(5,$QH43))&amp;INDEX('DADOS_FORMAS'!$IA$2:$IF$81,($NJ43-1)*4+IF($MS43=0,1,IF($MS43&lt;=5,2,IF($MS43=6,3,4))),1+MIN(5,$QI43))&amp;IF(INDEX('DADOS_FORMAS'!$GI$2:$GI$21,$NJ43)=1,IF(COUNTIF($RK43:$RN43,"Mais Um")&gt;0," · +"&amp;COUNTIF($RK43:$RN43,"Mais Um")&amp;IF(COUNTIF($RK43:$RN43,"Mais Um")&gt;1," alvos"," alvo"),"")&amp;IF(COUNTIF($RK43:$RN43,"Rajada")&gt;0,IF($MS43=0," · 1 tiro"," · "&amp;(MAX(1,$MS43-1)+1)&amp;" tiros"),""),""))</f>
        <v/>
      </c>
      <c r="QK43" s="164">
        <f>IF($ND43=0,"",IF($MS43=0,$NG43&amp;"d6"&amp;IF($OU43&gt;0," − 1 = "&amp;$PD43&amp;"d6"," da básica do nível "&amp;$NE43),$PB43&amp;" − "&amp;$OW43&amp;" + "&amp;$OZ43&amp;" = "&amp;$PC43&amp;" · teto "&amp;4*$MS43&amp;"d8"&amp;IF($OF43=1," · a Forma devolve "&amp;$MS43,"")&amp;IF($PA43&gt;0," · perde "&amp;$PA43,"")))</f>
        <v/>
      </c>
      <c r="QL43" s="164">
        <f>IF($ND43=0,"",IF($MS43=0,"A básica não amplia: os dados dela sobem com o nível",IF($MS43&gt;=$NF43,"Já está na maior Classe que o nível liberou",TEXTJOIN(" · ",TRUE,IF(AND(2&gt;$MS43,2&lt;=$NF43),"2 → "&amp;$PN43&amp;", 6 PE",""),IF(AND(3&gt;$MS43,3&lt;=$NF43),"3 → "&amp;$PO43&amp;", 9 PE",""),IF(AND(4&gt;$MS43,4&lt;=$NF43),"4 → "&amp;$PP43&amp;", 12 PE",""),IF(AND(5&gt;$MS43,5&lt;=$NF43),"5 → "&amp;$PQ43&amp;", 15 PE",""),IF(AND(6&gt;$MS43,6&lt;=$NF43),"6 → "&amp;$PR43&amp;", 18 PE",""),IF(AND(7&gt;$MS43,7&lt;=$NF43),"7 → "&amp;$PS43&amp;", 21 PE","")))))</f>
        <v/>
      </c>
      <c r="QM43" s="164">
        <f>IF(OR($ND43=0,$NO43=0),"",IF($MS43=0,"−1 dado","−"&amp;INDEX($I$2:$N$8,MAX(1,$MS43),MAX(1,$NT43))&amp;" · "&amp;CHOOSE(MAX(1,$NT43),"Leve","Média","Pesada","Leve · Livre","Média · Livre","Pesada · Livre")))</f>
        <v/>
      </c>
      <c r="QN43" s="164">
        <f>IF(OR($ND43=0,$NP43=0),"",IF($MS43=0,"−1 dado","−"&amp;INDEX($I$2:$N$8,MAX(1,$MS43),MAX(1,$NU43))&amp;" · "&amp;CHOOSE(MAX(1,$NU43),"Leve","Média","Pesada","Leve · Livre","Média · Livre","Pesada · Livre")))</f>
        <v/>
      </c>
      <c r="QO43" s="164">
        <f>IF(OR($ND43=0,$NQ43=0),"",IF($MS43=0,"−1 dado","−"&amp;INDEX($I$2:$N$8,MAX(1,$MS43),MAX(1,$NV43))&amp;" · "&amp;CHOOSE(MAX(1,$NV43),"Leve","Média","Pesada","Leve · Livre","Média · Livre","Pesada · Livre")))</f>
        <v/>
      </c>
      <c r="QP43" s="164">
        <f>IF(OR($ND43=0,$NR43=0),"",IF($MS43=0,"−1 dado","−"&amp;INDEX($I$2:$N$8,MAX(1,$MS43),MAX(1,$NW43))&amp;" · "&amp;CHOOSE(MAX(1,$NW43),"Leve","Média","Pesada","Leve · Livre","Média · Livre","Pesada · Livre")))</f>
        <v/>
      </c>
      <c r="QQ43" s="164">
        <f>IF(OR($ND43=0,$NB43=""),"",IF($MS43=0,"não devolve","+"&amp;IF($OI43=1,CEILING($MS43/2,1),$MS43)))</f>
        <v/>
      </c>
      <c r="QR43" s="164">
        <f>IF(OR($ND43=0,$NC43=""),"",IF($MS43=0,"não devolve","+"&amp;IF($OJ43=1,CEILING($MS43/2,1),$MS43)))</f>
        <v/>
      </c>
      <c r="RK43">
        <f>IF($MX43="","",IFERROR(VLOOKUP(SUBSTITUTE(SUBSTITUTE(SUBSTITUTE($MX43,"~","~~"),"*","~*"),"?","~?"),'DADOS_MELHORIAS'!$O$2:$X$113,10,FALSE),$MX43))</f>
        <v/>
      </c>
      <c r="RL43">
        <f>IF($MY43="","",IFERROR(VLOOKUP(SUBSTITUTE(SUBSTITUTE(SUBSTITUTE($MY43,"~","~~"),"*","~*"),"?","~?"),'DADOS_MELHORIAS'!$O$2:$X$113,10,FALSE),$MY43))</f>
        <v/>
      </c>
      <c r="RM43">
        <f>IF($MZ43="","",IFERROR(VLOOKUP(SUBSTITUTE(SUBSTITUTE(SUBSTITUTE($MZ43,"~","~~"),"*","~*"),"?","~?"),'DADOS_MELHORIAS'!$O$2:$X$113,10,FALSE),$MZ43))</f>
        <v/>
      </c>
      <c r="RN43">
        <f>IF($NA43="","",IFERROR(VLOOKUP(SUBSTITUTE(SUBSTITUTE(SUBSTITUTE($NA43,"~","~~"),"*","~*"),"?","~?"),'DADOS_MELHORIAS'!$O$2:$X$113,10,FALSE),$NA43))</f>
        <v/>
      </c>
      <c r="RO43">
        <f>IFERROR(INDEX('DADOS_FORMAS'!$BJ$2:$BJ$21,MATCH(SUBSTITUTE(SUBSTITUTE(SUBSTITUTE($MU43,"~","~~"),"*","~*"),"?","~?"),'DADOS_FORMAS'!$AH$2:$AH$21,0)),"")</f>
        <v/>
      </c>
      <c r="RP43">
        <f>IFERROR(VLOOKUP(SUBSTITUTE(SUBSTITUTE(SUBSTITUTE(IFERROR(INDEX('DADOS_FORMAS'!$AS$2:$AS$21,MATCH(SUBSTITUTE(SUBSTITUTE(SUBSTITUTE($MU43,"~","~~"),"*","~*"),"?","~?"),'DADOS_FORMAS'!$AH$2:$AH$21,0)),""),"~","~~"),"*","~*"),"?","~?"),'DADOS_RESTRICOES'!$M$2:$Q$54,2,FALSE),"")</f>
        <v/>
      </c>
      <c r="RQ43">
        <f>$OK43</f>
        <v/>
      </c>
      <c r="RR43">
        <f>$OL43</f>
        <v/>
      </c>
      <c r="RS43">
        <f>$RP43</f>
        <v/>
      </c>
    </row>
    <row r="44">
      <c r="AV44" s="162" t="inlineStr">
        <is>
          <t>Trava</t>
        </is>
      </c>
      <c r="AW44" s="162" t="inlineStr">
        <is>
          <t>Auxiliares</t>
        </is>
      </c>
      <c r="AX44" s="164" t="n">
        <v>1</v>
      </c>
      <c r="AY44" s="164" t="n">
        <v>0</v>
      </c>
      <c r="AZ44" s="164" t="n">
        <v>0</v>
      </c>
      <c r="BA44" s="164" t="n">
        <v>0</v>
      </c>
      <c r="JT44" s="164">
        <f>IF(OR($AW44="",(COUNTIF($EL$2:$EP$2,$AW44)+COUNTIF($QV$2:$QY$2,$AW44))&gt;0),$AV44,"")</f>
        <v/>
      </c>
      <c r="JU44" s="164">
        <f>IF(AND($AX44=1,OR($AW44="",(COUNTIF($EL$2:$EP$2,$AW44)+COUNTIF($QV$2:$QY$2,$AW44))&gt;0)),$AV44,"")</f>
        <v/>
      </c>
      <c r="JZ44" s="164">
        <f>IF(OR($AW44="",(COUNTIF($EL$3:$EP$3,$AW44)+COUNTIF($QV$3:$QY$3,$AW44))&gt;0),$AV44,"")</f>
        <v/>
      </c>
      <c r="KA44" s="164">
        <f>IF(AND($AX44=1,OR($AW44="",(COUNTIF($EL$3:$EP$3,$AW44)+COUNTIF($QV$3:$QY$3,$AW44))&gt;0)),$AV44,"")</f>
        <v/>
      </c>
      <c r="KF44" s="164">
        <f>IF(OR($AW44="",(COUNTIF($EL$4:$EP$4,$AW44)+COUNTIF($QV$4:$QY$4,$AW44))&gt;0),$AV44,"")</f>
        <v/>
      </c>
      <c r="KG44" s="164">
        <f>IF(AND($AX44=1,OR($AW44="",(COUNTIF($EL$4:$EP$4,$AW44)+COUNTIF($QV$4:$QY$4,$AW44))&gt;0)),$AV44,"")</f>
        <v/>
      </c>
      <c r="KL44" s="164">
        <f>IF(OR($AW44="",(COUNTIF($EL$5:$EP$5,$AW44)+COUNTIF($QV$5:$QY$5,$AW44))&gt;0),$AV44,"")</f>
        <v/>
      </c>
      <c r="KM44" s="164">
        <f>IF(AND($AX44=1,OR($AW44="",(COUNTIF($EL$5:$EP$5,$AW44)+COUNTIF($QV$5:$QY$5,$AW44))&gt;0)),$AV44,"")</f>
        <v/>
      </c>
      <c r="KR44" s="164">
        <f>IF(OR($AW44="",(COUNTIF($EL$6:$EP$6,$AW44)+COUNTIF($QV$6:$QY$6,$AW44))&gt;0),$AV44,"")</f>
        <v/>
      </c>
      <c r="KS44" s="164">
        <f>IF(AND($AX44=1,OR($AW44="",(COUNTIF($EL$6:$EP$6,$AW44)+COUNTIF($QV$6:$QY$6,$AW44))&gt;0)),$AV44,"")</f>
        <v/>
      </c>
      <c r="KX44" s="164">
        <f>IF(OR($AW44="",(COUNTIF($EL$7:$EP$7,$AW44)+COUNTIF($QV$7:$QY$7,$AW44))&gt;0),$AV44,"")</f>
        <v/>
      </c>
      <c r="KY44" s="164">
        <f>IF(AND($AX44=1,OR($AW44="",(COUNTIF($EL$7:$EP$7,$AW44)+COUNTIF($QV$7:$QY$7,$AW44))&gt;0)),$AV44,"")</f>
        <v/>
      </c>
      <c r="LD44" s="164">
        <f>IF(OR($AW44="",(COUNTIF($EL$8:$EP$8,$AW44)+COUNTIF($QV$8:$QY$8,$AW44))&gt;0),$AV44,"")</f>
        <v/>
      </c>
      <c r="LE44" s="164">
        <f>IF(AND($AX44=1,OR($AW44="",(COUNTIF($EL$8:$EP$8,$AW44)+COUNTIF($QV$8:$QY$8,$AW44))&gt;0)),$AV44,"")</f>
        <v/>
      </c>
      <c r="LJ44" s="164">
        <f>IF(OR($AW44="",(COUNTIF($EL$9:$EP$9,$AW44)+COUNTIF($QV$9:$QY$9,$AW44))&gt;0),$AV44,"")</f>
        <v/>
      </c>
      <c r="LK44" s="164">
        <f>IF(AND($AX44=1,OR($AW44="",(COUNTIF($EL$9:$EP$9,$AW44)+COUNTIF($QV$9:$QY$9,$AW44))&gt;0)),$AV44,"")</f>
        <v/>
      </c>
      <c r="LP44" s="164">
        <f>IF(OR($AW44="",(COUNTIF($EL$10:$EP$10,$AW44)+COUNTIF($QV$10:$QY$10,$AW44))&gt;0),$AV44,"")</f>
        <v/>
      </c>
      <c r="LQ44" s="164">
        <f>IF(AND($AX44=1,OR($AW44="",(COUNTIF($EL$10:$EP$10,$AW44)+COUNTIF($QV$10:$QY$10,$AW44))&gt;0)),$AV44,"")</f>
        <v/>
      </c>
      <c r="LV44" s="164">
        <f>IF(OR($AW44="",(COUNTIF($EL$11:$EP$11,$AW44)+COUNTIF($QV$11:$QY$11,$AW44))&gt;0),$AV44,"")</f>
        <v/>
      </c>
      <c r="LW44" s="164">
        <f>IF(AND($AX44=1,OR($AW44="",(COUNTIF($EL$11:$EP$11,$AW44)+COUNTIF($QV$11:$QY$11,$AW44))&gt;0)),$AV44,"")</f>
        <v/>
      </c>
      <c r="MB44" s="164">
        <f>IF(OR($AW44="",(COUNTIF($EL$12:$EP$12,$AW44)+COUNTIF($QV$12:$QY$12,$AW44))&gt;0),$AV44,"")</f>
        <v/>
      </c>
      <c r="MC44" s="164">
        <f>IF(AND($AX44=1,OR($AW44="",(COUNTIF($EL$12:$EP$12,$AW44)+COUNTIF($QV$12:$QY$12,$AW44))&gt;0)),$AV44,"")</f>
        <v/>
      </c>
      <c r="MH44" s="164">
        <f>IF(OR($AW44="",(COUNTIF($EL$13:$EP$13,$AW44)+COUNTIF($QV$13:$QY$13,$AW44))&gt;0),$AV44,"")</f>
        <v/>
      </c>
      <c r="MI44" s="164">
        <f>IF(AND($AX44=1,OR($AW44="",(COUNTIF($EL$13:$EP$13,$AW44)+COUNTIF($QV$13:$QY$13,$AW44))&gt;0)),$AV44,"")</f>
        <v/>
      </c>
      <c r="MN44" s="162" t="inlineStr">
        <is>
          <t>Ficha 4 · Básica 2</t>
        </is>
      </c>
      <c r="MO44" s="164" t="n">
        <v>4</v>
      </c>
      <c r="MP44" s="164" t="n">
        <v>0</v>
      </c>
      <c r="MQ44" s="164" t="n">
        <v>11</v>
      </c>
      <c r="MR44" s="162" t="inlineStr">
        <is>
          <t>BÁSICA 2</t>
        </is>
      </c>
      <c r="MS44" s="164" t="n">
        <v>0</v>
      </c>
      <c r="MT44" s="164">
        <f>'INVOCAÇÕES'!$J$738&amp;""</f>
        <v/>
      </c>
      <c r="MU44" s="164">
        <f>'INVOCAÇÕES'!$I$743&amp;""</f>
        <v/>
      </c>
      <c r="MV44" s="164">
        <f>'INVOCAÇÕES'!$I$744&amp;""</f>
        <v/>
      </c>
      <c r="MW44" s="164">
        <f>'INVOCAÇÕES'!$K$744&amp;""</f>
        <v/>
      </c>
      <c r="MX44" s="164">
        <f>'INVOCAÇÕES'!$J$747&amp;""</f>
        <v/>
      </c>
      <c r="MY44" s="164">
        <f>'INVOCAÇÕES'!$J$748&amp;""</f>
        <v/>
      </c>
      <c r="MZ44" s="164">
        <f>'INVOCAÇÕES'!$J$749&amp;""</f>
        <v/>
      </c>
      <c r="NA44" s="164">
        <f>'INVOCAÇÕES'!$J$750&amp;""</f>
        <v/>
      </c>
      <c r="NB44" s="164">
        <f>'INVOCAÇÕES'!$J$751&amp;""</f>
        <v/>
      </c>
      <c r="NC44" s="164">
        <f>'INVOCAÇÕES'!$J$752&amp;""</f>
        <v/>
      </c>
      <c r="ND44" s="164">
        <f>IF($MT44&lt;&gt;"",1,0)</f>
        <v/>
      </c>
      <c r="NE44" s="164">
        <f>INDEX($FO$2:$FO$13,$MO44)</f>
        <v/>
      </c>
      <c r="NF44" s="164">
        <f>INDEX($FP$2:$FP$13,$MO44)</f>
        <v/>
      </c>
      <c r="NG44" s="164">
        <f>INDEX($FQ$2:$FQ$13,$MO44)</f>
        <v/>
      </c>
      <c r="NH44" s="164">
        <f>INDEX($GB$2:$GB$13,$MO44)</f>
        <v/>
      </c>
      <c r="NI44" s="164">
        <f>INDEX($GC$2:$GC$13,$MO44)</f>
        <v/>
      </c>
      <c r="NJ44" s="164">
        <f>IFERROR(MATCH(SUBSTITUTE(SUBSTITUTE(SUBSTITUTE($MU44,"~","~~"),"*","~*"),"?","~?"),'DADOS_FORMAS'!$FZ$2:$FZ$21,0),0)</f>
        <v/>
      </c>
      <c r="NK44" s="164">
        <f>IFERROR(VLOOKUP(SUBSTITUTE(SUBSTITUTE(SUBSTITUTE($MX44,"~","~~"),"*","~*"),"?","~?"),'DADOS_MELHORIAS'!$AG$2:$AL$113,2,FALSE),"")</f>
        <v/>
      </c>
      <c r="NL44" s="164">
        <f>IFERROR(VLOOKUP(SUBSTITUTE(SUBSTITUTE(SUBSTITUTE($MY44,"~","~~"),"*","~*"),"?","~?"),'DADOS_MELHORIAS'!$AG$2:$AL$113,2,FALSE),"")</f>
        <v/>
      </c>
      <c r="NM44" s="164">
        <f>IFERROR(VLOOKUP(SUBSTITUTE(SUBSTITUTE(SUBSTITUTE($MZ44,"~","~~"),"*","~*"),"?","~?"),'DADOS_MELHORIAS'!$AG$2:$AL$113,2,FALSE),"")</f>
        <v/>
      </c>
      <c r="NN44" s="164">
        <f>IFERROR(VLOOKUP(SUBSTITUTE(SUBSTITUTE(SUBSTITUTE($NA44,"~","~~"),"*","~*"),"?","~?"),'DADOS_MELHORIAS'!$AG$2:$AL$113,2,FALSE),"")</f>
        <v/>
      </c>
      <c r="NO44" s="164">
        <f>IFERROR(VLOOKUP(SUBSTITUTE(SUBSTITUTE(SUBSTITUTE($MX44,"~","~~"),"*","~*"),"?","~?"),'DADOS_MELHORIAS'!$AG$2:$AL$113,3,FALSE),0)</f>
        <v/>
      </c>
      <c r="NP44" s="164">
        <f>IFERROR(VLOOKUP(SUBSTITUTE(SUBSTITUTE(SUBSTITUTE($MY44,"~","~~"),"*","~*"),"?","~?"),'DADOS_MELHORIAS'!$AG$2:$AL$113,3,FALSE),0)</f>
        <v/>
      </c>
      <c r="NQ44" s="164">
        <f>IFERROR(VLOOKUP(SUBSTITUTE(SUBSTITUTE(SUBSTITUTE($MZ44,"~","~~"),"*","~*"),"?","~?"),'DADOS_MELHORIAS'!$AG$2:$AL$113,3,FALSE),0)</f>
        <v/>
      </c>
      <c r="NR44" s="164">
        <f>IFERROR(VLOOKUP(SUBSTITUTE(SUBSTITUTE(SUBSTITUTE($NA44,"~","~~"),"*","~*"),"?","~?"),'DADOS_MELHORIAS'!$AG$2:$AL$113,3,FALSE),0)</f>
        <v/>
      </c>
      <c r="NS44" s="164">
        <f>IF($MS44=0,0,IF($NJ44=0,0,INDEX('DADOS_FORMAS'!$GB$2:$GB$21,$NJ44)))</f>
        <v/>
      </c>
      <c r="NT44" s="164">
        <f>IF(OR($NO44=0,$MS44=0),0,$NO44+3*IF(AND($NK44&lt;&gt;"",COUNTIF(INDEX($RB$2:$RJ$13,$MO44,0),$NK44)&gt;0),1,0))</f>
        <v/>
      </c>
      <c r="NU44" s="164">
        <f>IF(OR($NP44=0,$MS44=0),0,$NP44+3*IF(AND($NL44&lt;&gt;"",COUNTIF(INDEX($RB$2:$RJ$13,$MO44,0),$NL44)&gt;0),1,0))</f>
        <v/>
      </c>
      <c r="NV44" s="164">
        <f>IF(OR($NQ44=0,$MS44=0),0,$NQ44+3*IF(AND($NM44&lt;&gt;"",COUNTIF(INDEX($RB$2:$RJ$13,$MO44,0),$NM44)&gt;0),1,0))</f>
        <v/>
      </c>
      <c r="NW44" s="164">
        <f>IF(OR($NR44=0,$MS44=0),0,$NR44+3*IF(AND($NN44&lt;&gt;"",COUNTIF(INDEX($RB$2:$RJ$13,$MO44,0),$NN44)&gt;0),1,0))</f>
        <v/>
      </c>
      <c r="NX44" s="164">
        <f>IF($NJ44=0,0,IF(INDEX('DADOS_FORMAS'!$GA$2:$GA$21,$NJ44)="",0,IF((COUNTIF(INDEX($EL$2:$EP$13,$MO44,0),INDEX('DADOS_FORMAS'!$GA$2:$GA$21,$NJ44))+COUNTIF(INDEX($QV$2:$QY$13,$MO44,0),INDEX('DADOS_FORMAS'!$GA$2:$GA$21,$NJ44)))=0,1,0)))</f>
        <v/>
      </c>
      <c r="NY44" s="164">
        <f>IF(OR($NO44=0,$NK44=""),0,IF((COUNTIF(INDEX($EL$2:$EP$13,$MO44,0),$NK44)+COUNTIF(INDEX($QV$2:$QY$13,$MO44,0),$NK44))=0,1,0))</f>
        <v/>
      </c>
      <c r="NZ44" s="164">
        <f>IF(OR($NP44=0,$NL44=""),0,IF((COUNTIF(INDEX($EL$2:$EP$13,$MO44,0),$NL44)+COUNTIF(INDEX($QV$2:$QY$13,$MO44,0),$NL44))=0,1,0))</f>
        <v/>
      </c>
      <c r="OA44" s="164">
        <f>IF(OR($NQ44=0,$NM44=""),0,IF((COUNTIF(INDEX($EL$2:$EP$13,$MO44,0),$NM44)+COUNTIF(INDEX($QV$2:$QY$13,$MO44,0),$NM44))=0,1,0))</f>
        <v/>
      </c>
      <c r="OB44" s="164">
        <f>IF(OR($NR44=0,$NN44=""),0,IF((COUNTIF(INDEX($EL$2:$EP$13,$MO44,0),$NN44)+COUNTIF(INDEX($QV$2:$QY$13,$MO44,0),$NN44))=0,1,0))</f>
        <v/>
      </c>
      <c r="OC44" s="164">
        <f>IFERROR(VLOOKUP(SUBSTITUTE(SUBSTITUTE(SUBSTITUTE($MX44,"~","~~"),"*","~*"),"?","~?"),'DADOS_MELHORIAS'!$AG$2:$AL$113,4,FALSE),0)+IFERROR(VLOOKUP(SUBSTITUTE(SUBSTITUTE(SUBSTITUTE($MY44,"~","~~"),"*","~*"),"?","~?"),'DADOS_MELHORIAS'!$AG$2:$AL$113,4,FALSE),0)+IFERROR(VLOOKUP(SUBSTITUTE(SUBSTITUTE(SUBSTITUTE($MZ44,"~","~~"),"*","~*"),"?","~?"),'DADOS_MELHORIAS'!$AG$2:$AL$113,4,FALSE),0)+IFERROR(VLOOKUP(SUBSTITUTE(SUBSTITUTE(SUBSTITUTE($NA44,"~","~~"),"*","~*"),"?","~?"),'DADOS_MELHORIAS'!$AG$2:$AL$113,4,FALSE),0)</f>
        <v/>
      </c>
      <c r="OD44" s="164">
        <f>IFERROR(VLOOKUP(SUBSTITUTE(SUBSTITUTE(SUBSTITUTE($MX44,"~","~~"),"*","~*"),"?","~?"),'DADOS_MELHORIAS'!$AG$2:$AL$113,6,FALSE),0)+IFERROR(VLOOKUP(SUBSTITUTE(SUBSTITUTE(SUBSTITUTE($MY44,"~","~~"),"*","~*"),"?","~?"),'DADOS_MELHORIAS'!$AG$2:$AL$113,6,FALSE),0)+IFERROR(VLOOKUP(SUBSTITUTE(SUBSTITUTE(SUBSTITUTE($MZ44,"~","~~"),"*","~*"),"?","~?"),'DADOS_MELHORIAS'!$AG$2:$AL$113,6,FALSE),0)+IFERROR(VLOOKUP(SUBSTITUTE(SUBSTITUTE(SUBSTITUTE($NA44,"~","~~"),"*","~*"),"?","~?"),'DADOS_MELHORIAS'!$AG$2:$AL$113,6,FALSE),0)+IFERROR(N(AND(INDEX('DADOS_FORMAS'!$AO$2:$AO$21,MATCH(SUBSTITUTE(SUBSTITUTE(SUBSTITUTE($MU44,"~","~~"),"*","~*"),"?","~?"),'DADOS_FORMAS'!$AH$2:$AH$21,0))="Acerto",$OH44=1)),0)</f>
        <v/>
      </c>
      <c r="OE44" s="164">
        <f>TEXTJOIN(", ",TRUE,IF(IFERROR(VLOOKUP(SUBSTITUTE(SUBSTITUTE(SUBSTITUTE($MX44,"~","~~"),"*","~*"),"?","~?"),'DADOS_MELHORIAS'!$AG$2:$AL$113,5,FALSE),0)=1,$MX44,""),IF(IFERROR(VLOOKUP(SUBSTITUTE(SUBSTITUTE(SUBSTITUTE($MY44,"~","~~"),"*","~*"),"?","~?"),'DADOS_MELHORIAS'!$AG$2:$AL$113,5,FALSE),0)=1,$MY44,""),IF(IFERROR(VLOOKUP(SUBSTITUTE(SUBSTITUTE(SUBSTITUTE($MZ44,"~","~~"),"*","~*"),"?","~?"),'DADOS_MELHORIAS'!$AG$2:$AL$113,5,FALSE),0)=1,$MZ44,""),IF(IFERROR(VLOOKUP(SUBSTITUTE(SUBSTITUTE(SUBSTITUTE($NA44,"~","~~"),"*","~*"),"?","~?"),'DADOS_MELHORIAS'!$AG$2:$AL$113,5,FALSE),0)=1,$NA44,""))</f>
        <v/>
      </c>
      <c r="OF44" s="164">
        <f>IF($NJ44=0,0,INDEX('DADOS_FORMAS'!$GC$2:$GC$21,$NJ44))</f>
        <v/>
      </c>
      <c r="OG44" s="164">
        <f>IF($NJ44=0,0,INDEX('DADOS_FORMAS'!$GD$2:$GD$21,$NJ44))</f>
        <v/>
      </c>
      <c r="OH44" s="164">
        <f>IF($NJ44=0,0,INDEX('DADOS_FORMAS'!$GF$2:$GF$21,$NJ44))</f>
        <v/>
      </c>
      <c r="OI44" s="164">
        <f>IFERROR(VLOOKUP(SUBSTITUTE(SUBSTITUTE(SUBSTITUTE($NB44,"~","~~"),"*","~*"),"?","~?"),'DADOS_RESTRICOES'!$M$2:$Q$54,3,FALSE),0)</f>
        <v/>
      </c>
      <c r="OJ44" s="164">
        <f>IFERROR(VLOOKUP(SUBSTITUTE(SUBSTITUTE(SUBSTITUTE($NC44,"~","~~"),"*","~*"),"?","~?"),'DADOS_RESTRICOES'!$M$2:$Q$54,3,FALSE),0)</f>
        <v/>
      </c>
      <c r="OK44" s="164">
        <f>IFERROR(VLOOKUP(SUBSTITUTE(SUBSTITUTE(SUBSTITUTE($NB44,"~","~~"),"*","~*"),"?","~?"),'DADOS_RESTRICOES'!$M$2:$Q$54,2,FALSE),"")</f>
        <v/>
      </c>
      <c r="OL44" s="164">
        <f>IFERROR(VLOOKUP(SUBSTITUTE(SUBSTITUTE(SUBSTITUTE($NC44,"~","~~"),"*","~*"),"?","~?"),'DADOS_RESTRICOES'!$M$2:$Q$54,2,FALSE),"")</f>
        <v/>
      </c>
      <c r="OM44" s="164">
        <f>COUNTIF($NS44:$NW44,1)</f>
        <v/>
      </c>
      <c r="ON44" s="164">
        <f>COUNTIF($NS44:$NW44,2)</f>
        <v/>
      </c>
      <c r="OO44" s="164">
        <f>COUNTIF($NS44:$NW44,3)</f>
        <v/>
      </c>
      <c r="OP44" s="164">
        <f>COUNTIF($NS44:$NW44,4)</f>
        <v/>
      </c>
      <c r="OQ44" s="164">
        <f>COUNTIF($NS44:$NW44,5)</f>
        <v/>
      </c>
      <c r="OR44" s="164">
        <f>COUNTIF($NS44:$NW44,6)</f>
        <v/>
      </c>
      <c r="OS44" s="164">
        <f>COUNTIF($OI44:$OJ44,1)+IF(IFERROR(INDEX('DADOS_FORMAS'!$AS$2:$AS$21,MATCH(SUBSTITUTE(SUBSTITUTE(SUBSTITUTE($MU44,"~","~~"),"*","~*"),"?","~?"),'DADOS_FORMAS'!$AH$2:$AH$21,0)),"")="",0,IFERROR(N(VLOOKUP(SUBSTITUTE(SUBSTITUTE(SUBSTITUTE(IFERROR(INDEX('DADOS_FORMAS'!$AS$2:$AS$21,MATCH(SUBSTITUTE(SUBSTITUTE(SUBSTITUTE($MU44,"~","~~"),"*","~*"),"?","~?"),'DADOS_FORMAS'!$AH$2:$AH$21,0)),""),"~","~~"),"*","~*"),"?","~?"),'DADOS_RESTRICOES'!$M$2:$Q$54,3,FALSE)=1),0))</f>
        <v/>
      </c>
      <c r="OT44" s="164">
        <f>COUNTIF($OI44:$OJ44,2)+IF(IFERROR(INDEX('DADOS_FORMAS'!$AS$2:$AS$21,MATCH(SUBSTITUTE(SUBSTITUTE(SUBSTITUTE($MU44,"~","~~"),"*","~*"),"?","~?"),'DADOS_FORMAS'!$AH$2:$AH$21,0)),"")="",0,IFERROR(N(VLOOKUP(SUBSTITUTE(SUBSTITUTE(SUBSTITUTE(IFERROR(INDEX('DADOS_FORMAS'!$AS$2:$AS$21,MATCH(SUBSTITUTE(SUBSTITUTE(SUBSTITUTE($MU44,"~","~~"),"*","~*"),"?","~?"),'DADOS_FORMAS'!$AH$2:$AH$21,0)),""),"~","~~"),"*","~*"),"?","~?"),'DADOS_RESTRICOES'!$M$2:$Q$54,3,FALSE)=2),0))</f>
        <v/>
      </c>
      <c r="OU44" s="164">
        <f>COUNTIF($MX44:$NA44,"?*")</f>
        <v/>
      </c>
      <c r="OV44" s="164">
        <f>COUNTIF($NB44:$NC44,"?*")+$OF44</f>
        <v/>
      </c>
      <c r="OW44" s="164">
        <f>IF($MS44=0,0,SUMPRODUCT($OM44:$OR44,INDEX($I$2:$N$8,MAX(1,$MS44),0)))</f>
        <v/>
      </c>
      <c r="OX44" s="164">
        <f>IF($MS44=0,0,$OS44*CEILING($MS44/2,1)+$OT44*$MS44)</f>
        <v/>
      </c>
      <c r="OY44" s="164">
        <f>MIN(2*$MS44,$OX44)</f>
        <v/>
      </c>
      <c r="OZ44" s="164">
        <f>MIN($OY44,$OW44-IF($NS44=0,0,INDEX($I$2:$N$8,MAX(1,$MS44),$NS44)))</f>
        <v/>
      </c>
      <c r="PA44" s="164">
        <f>$OY44-$OZ44</f>
        <v/>
      </c>
      <c r="PB44" s="164">
        <f>IF($MS44=0,0,INDEX($P$2:$P$8,MAX(1,$MS44)))</f>
        <v/>
      </c>
      <c r="PC44" s="164">
        <f>$PB44-$OW44+$OZ44</f>
        <v/>
      </c>
      <c r="PD44" s="164">
        <f>IF($MS44=0,MAX(0,$NG44-IF(AND($OU44&gt;0,COUNTIF($NB44:$NC44,"?*")=0),1,0)),MAX(0,$PC44))</f>
        <v/>
      </c>
      <c r="PE44" s="164">
        <f>IF($MS44=0,0,(IF(COUNTIF($RK44:$RN44,"Salto")&gt;0,1,0)+IF(COUNTIF($RK44:$RN44,"Queima")&gt;0,1,0)+IF(COUNTIF($RK44:$RN44,"Estilhaço")&gt;0,1,0))*FLOOR($PD44/2,1))</f>
        <v/>
      </c>
      <c r="PF44" s="164">
        <f>MAX(0,2-SUMPRODUCT($OM44:$OR44,$I$2:$N$2)+MIN(2,$OS44*1+$OT44*1,SUMPRODUCT($OM44:$OR44,$I$2:$N$2)-IF($NS44=0,0,INDEX($I$2:$N$2,1,$NS44))))</f>
        <v/>
      </c>
      <c r="PG44" s="164">
        <f>MAX(0,4-SUMPRODUCT($OM44:$OR44,$I$3:$N$3)+MIN(4,$OS44*1+$OT44*2,SUMPRODUCT($OM44:$OR44,$I$3:$N$3)-IF($NS44=0,0,INDEX($I$3:$N$3,1,$NS44))))</f>
        <v/>
      </c>
      <c r="PH44" s="164">
        <f>MAX(0,6-SUMPRODUCT($OM44:$OR44,$I$4:$N$4)+MIN(6,$OS44*2+$OT44*3,SUMPRODUCT($OM44:$OR44,$I$4:$N$4)-IF($NS44=0,0,INDEX($I$4:$N$4,1,$NS44))))</f>
        <v/>
      </c>
      <c r="PI44" s="164">
        <f>MAX(0,9-SUMPRODUCT($OM44:$OR44,$I$5:$N$5)+MIN(8,$OS44*2+$OT44*4,SUMPRODUCT($OM44:$OR44,$I$5:$N$5)-IF($NS44=0,0,INDEX($I$5:$N$5,1,$NS44))))</f>
        <v/>
      </c>
      <c r="PJ44" s="164">
        <f>MAX(0,11-SUMPRODUCT($OM44:$OR44,$I$6:$N$6)+MIN(10,$OS44*3+$OT44*5,SUMPRODUCT($OM44:$OR44,$I$6:$N$6)-IF($NS44=0,0,INDEX($I$6:$N$6,1,$NS44))))</f>
        <v/>
      </c>
      <c r="PK44" s="164">
        <f>MAX(0,13-SUMPRODUCT($OM44:$OR44,$I$7:$N$7)+MIN(12,$OS44*3+$OT44*6,SUMPRODUCT($OM44:$OR44,$I$7:$N$7)-IF($NS44=0,0,INDEX($I$7:$N$7,1,$NS44))))</f>
        <v/>
      </c>
      <c r="PL44" s="164">
        <f>MAX(0,16-SUMPRODUCT($OM44:$OR44,$I$8:$N$8)+MIN(14,$OS44*4+$OT44*7,SUMPRODUCT($OM44:$OR44,$I$8:$N$8)-IF($NS44=0,0,INDEX($I$8:$N$8,1,$NS44))))</f>
        <v/>
      </c>
      <c r="PM44" s="164">
        <f>IF($OG44=2,3*$PF44&amp;" de vida temp.",IF($OG44=3,"sem dano",IF($PF44=0,IF($OG44=1,"sem cura","sem dano"),IF($OG44=1,"cura ","")&amp;$PF44&amp;"d8")))</f>
        <v/>
      </c>
      <c r="PN44" s="164">
        <f>IF($OG44=2,3*$PG44&amp;" de vida temp.",IF($OG44=3,"sem dano",IF($PG44=0,IF($OG44=1,"sem cura","sem dano"),IF($OG44=1,"cura ","")&amp;$PG44&amp;"d8")))</f>
        <v/>
      </c>
      <c r="PO44" s="164">
        <f>IF($OG44=2,3*$PH44&amp;" de vida temp.",IF($OG44=3,"sem dano",IF($PH44=0,IF($OG44=1,"sem cura","sem dano"),IF($OG44=1,"cura ","")&amp;$PH44&amp;"d8")))</f>
        <v/>
      </c>
      <c r="PP44" s="164">
        <f>IF($OG44=2,3*$PI44&amp;" de vida temp.",IF($OG44=3,"sem dano",IF($PI44=0,IF($OG44=1,"sem cura","sem dano"),IF($OG44=1,"cura ","")&amp;$PI44&amp;"d8")))</f>
        <v/>
      </c>
      <c r="PQ44" s="164">
        <f>IF($OG44=2,3*$PJ44&amp;" de vida temp.",IF($OG44=3,"sem dano",IF($PJ44=0,IF($OG44=1,"sem cura","sem dano"),IF($OG44=1,"cura ","")&amp;$PJ44&amp;"d8")))</f>
        <v/>
      </c>
      <c r="PR44" s="164">
        <f>IF($OG44=2,3*$PK44&amp;" de vida temp.",IF($OG44=3,"sem dano",IF($PK44=0,IF($OG44=1,"sem cura","sem dano"),IF($OG44=1,"cura ","")&amp;$PK44&amp;"d8")))</f>
        <v/>
      </c>
      <c r="PS44" s="164">
        <f>IF($OG44=2,3*$PL44&amp;" de vida temp.",IF($OG44=3,"sem dano",IF($PL44=0,IF($OG44=1,"sem cura","sem dano"),IF($OG44=1,"cura ","")&amp;$PL44&amp;"d8")))</f>
        <v/>
      </c>
      <c r="PT44" s="164">
        <f>IF($ND44=0,"",TEXTJOIN(" · ",TRUE,IF($ND44=0,"",TEXTJOIN(" · ",TRUE,IF($ND44=0,"",TEXTJOIN(" · ",TRUE,IF($MQ44&gt;$NE44,"Este lugar abre no nível "&amp;$MQ44,""),IF($MS44&gt;$NF44,"Classe "&amp;$MS44&amp;": o nível "&amp;$NE44&amp;" libera até a "&amp;$NF44,""),IF($NX44=1,"A Forma "&amp;$MU44&amp;" pede "&amp;INDEX('DADOS_FORMAS'!$GA$2:$GA$21,$NJ44)&amp;" aberta",""),IF(AND($MS44=0,$NJ44&gt;0,IF($NJ44=0,0,INDEX('DADOS_FORMAS'!$GJ$2:$GJ$21,$NJ44))=0),$MU44&amp;" não existe na Classe 0",""),IF($NY44=1,"Família Fechada: "&amp;$MX44,""),IF($NZ44=1,"Família Fechada: "&amp;$MY44,""),IF($OA44=1,"Família Fechada: "&amp;$MZ44,""),IF($OB44=1,"Família Fechada: "&amp;$NA44,""),IF(AND($MS44&gt;0,$OU44&gt;INDEX($O$2:$O$8,MAX(1,$MS44))),$OU44&amp;" Melhorias: a Classe "&amp;$MS44&amp;" aceita "&amp;INDEX($O$2:$O$8,MAX(1,$MS44)),""),IF(AND($MS44=0,$OU44&gt;1),"A básica aceita uma Melhoria",""),IF(AND($MS44=0,COUNTIF($NO44:$NR44,"&gt;1")&gt;0),"A básica só aceita Melhoria Leve",""),IF(AND($MS44&gt;0,$OV44&gt;2),$OV44&amp;" Restrições"&amp;IF($OF44=1,", contando a que a Forma "&amp;$MU44&amp;" já traz","")&amp;": o limite é 2",""),IF(AND($MS44=0,COUNTIF($NB44:$NC44,"?*")&gt;1),"A básica aceita uma Restrição Leve",""),IF(AND($MS44=0,COUNTIF($OI44:$OJ44,2)&gt;0),"A básica só aceita Restrição Leve",""),IF(AND($MS44&gt;0,$PC44&lt;0),"Orçamento estourado: faltam "&amp;(-$PC44)&amp;IF($PC44&lt;-1," pontos"," ponto"),""),IF(IFERROR(VLOOKUP(SUBSTITUTE(SUBSTITUTE(SUBSTITUTE($NB44,"~","~~"),"*","~*"),"?","~?"),'DADOS_RESTRICOES'!$M$2:$Q$54,4,FALSE),0)+IFERROR(VLOOKUP(SUBSTITUTE(SUBSTITUTE(SUBSTITUTE($NC44,"~","~~"),"*","~*"),"?","~?"),'DADOS_RESTRICOES'!$M$2:$Q$54,4,FALSE),0)&gt;1,$OK44&amp;" e "&amp;$OL44&amp;" são as duas de frequência",""),IF(AND((COUNTIF($RK44:$RN44,"Rápido")+COUNTIF($OK44:$OL44,"Rápido"))&gt;0,(COUNTIF($MX44:$NA44,"Atrasar")+COUNTIF($OK44:$OL44,"Atrasar"))&gt;0),"Rápido não entra com Atrasar",""),IF(AND((COUNTIF($RK44:$RN44,"Reação")+COUNTIF($OK44:$OL44,"Reação"))&gt;0,(COUNTIF($RK44:$RN44,"Rápido")+COUNTIF($OK44:$OL44,"Rápido"))&gt;0),"Reação não entra com Rápido",""),IF(AND((COUNTIF($RK44:$RN44,"Reação")+COUNTIF($OK44:$OL44,"Reação"))&gt;0,(COUNTIF($RK44:$RN44,"Armado")+COUNTIF($OK44:$OL44,"Armado"))&gt;0),"Reação não entra com Armado",""),IF(AND((COUNTIF($RK44:$RN44,"Reação")+COUNTIF($OK44:$OL44,"Reação"))&gt;0,(COUNTIF($MX44:$NA44,"Atrasar")+COUNTIF($OK44:$OL44,"Atrasar"))&gt;0),"Reação não entra com Atrasar",""),IF(AND((COUNTIF($RK44:$RN44,"Reação")+COUNTIF($OK44:$OL44,"Reação"))&gt;0,(COUNTIF($MX44:$NA44,"Parado")+COUNTIF($OK44:$OL44,"Parado"))&gt;0),"Reação não entra com Parado",""),IF(AND((COUNTIF($MX44:$NA44,"Atrasar")+COUNTIF($OK44:$OL44,"Atrasar"))&gt;0,(COUNTIF($MX44:$NA44,"Parado")+COUNTIF($OK44:$OL44,"Parado"))&gt;0),"Atrasar não entra com Parado",""),IF(AND((COUNTIF($RK44:$RN44,"Armado")+COUNTIF($OK44:$OL44,"Armado"))&gt;0,(COUNTIF($MX44:$NA44,"Carregar")+COUNTIF($OK44:$OL44,"Carregar"))&gt;0),"Armado não entra com Carregar",""),IF(AND(COUNTIF($OK44:$OL44,"Corpo a Corpo")&gt;0,$OF44=0,OR($RO44="Cone",$RO44="Linha")),"Corpo a Corpo não entra em "&amp;$MU44,""),IF(AND(COUNTIF($OK44:$OL44,"Corpo a Corpo")&gt;0,$RP44="Corpo a Corpo"),"A Forma "&amp;$MU44&amp;" já traz o Corpo a Corpo",""),IF(AND(COUNTIF($OK44:$OL44,"Tudo ou Nada")&gt;0,$OH44=0),"Tudo ou Nada só entra em habilidade de Teste de Resistência",""),IF(AND(COUNTIF($RK44:$RN44,"Inescapável")&gt;0,OR($OU44&gt;1,$OV44&gt;0)),"Inescapável não aceita outra peça",""),IF(AND($MS44&gt;0,$PD44*IF(COUNTIF($RK44:$RN44,"Remate")&gt;0,1.25,1)+$PE44&gt;4*$MS44),($PD44*IF(COUNTIF($RK44:$RN44,"Remate")&gt;0,1.25,1)+$PE44)&amp;" dados somando repetições"&amp;IF(COUNTIF($RK44:$RN44,"Remate")&gt;0," e o Remate","")&amp;": o teto da Classe "&amp;$MS44&amp;" é "&amp;4*$MS44,""))),IF(AND($MX44&lt;&gt;"",COUNTIF('DADOS_MELHORIAS'!$O$2:$O$113,SUBSTITUTE(SUBSTITUTE(SUBSTITUTE($MX44,"~","~~"),"*","~*"),"?","~?"))=0),"Melhoria não cadastrada ou com erro: "&amp;$MX44,""),IF(AND($MY44&lt;&gt;"",COUNTIF('DADOS_MELHORIAS'!$O$2:$O$113,SUBSTITUTE(SUBSTITUTE(SUBSTITUTE($MY44,"~","~~"),"*","~*"),"?","~?"))=0),"Melhoria não cadastrada ou com erro: "&amp;$MY44,""),IF(AND($MZ44&lt;&gt;"",COUNTIF('DADOS_MELHORIAS'!$O$2:$O$113,SUBSTITUTE(SUBSTITUTE(SUBSTITUTE($MZ44,"~","~~"),"*","~*"),"?","~?"))=0),"Melhoria não cadastrada ou com erro: "&amp;$MZ44,""),IF(AND($NA44&lt;&gt;"",COUNTIF('DADOS_MELHORIAS'!$O$2:$O$113,SUBSTITUTE(SUBSTITUTE(SUBSTITUTE($NA44,"~","~~"),"*","~*"),"?","~?"))=0),"Melhoria não cadastrada ou com erro: "&amp;$NA44,""),IF(AND($NB44&lt;&gt;"",COUNTIF('DADOS_RESTRICOES'!$M$2:$M$54,SUBSTITUTE(SUBSTITUTE(SUBSTITUTE($NB44,"~","~~"),"*","~*"),"?","~?"))=0),"Restrição não cadastrada ou com erro: "&amp;$NB44,""),IF(AND($NC44&lt;&gt;"",COUNTIF('DADOS_RESTRICOES'!$M$2:$M$54,SUBSTITUTE(SUBSTITUTE(SUBSTITUTE($NC44,"~","~~"),"*","~*"),"?","~?"))=0),"Restrição não cadastrada ou com erro: "&amp;$NC44,""))),IF(AND($MU44&lt;&gt;"",COUNTIF('DADOS_FORMAS'!$AH$2:$AH$21,SUBSTITUTE(SUBSTITUTE(SUBSTITUTE($MU44,"~","~~"),"*","~*"),"?","~?"))=0),"Forma não cadastrada ou com erro: "&amp;$MU44,""),IF(AND(IFERROR(INDEX('DADOS_FORMAS'!$AS$2:$AS$21,MATCH(SUBSTITUTE(SUBSTITUTE(SUBSTITUTE($MU44,"~","~~"),"*","~*"),"?","~?"),'DADOS_FORMAS'!$AH$2:$AH$21,0)),"")&lt;&gt;"",OR(IFERROR(VLOOKUP(SUBSTITUTE(SUBSTITUTE(SUBSTITUTE(IFERROR(INDEX('DADOS_FORMAS'!$AS$2:$AS$21,MATCH(SUBSTITUTE(SUBSTITUTE(SUBSTITUTE($MU44,"~","~~"),"*","~*"),"?","~?"),'DADOS_FORMAS'!$AH$2:$AH$21,0)),""),"~","~~"),"*","~*"),"?","~?"),'DADOS_RESTRICOES'!$M$2:$Q$54,2,FALSE),"")=$OK44,IFERROR(VLOOKUP(SUBSTITUTE(SUBSTITUTE(SUBSTITUTE(IFERROR(INDEX('DADOS_FORMAS'!$AS$2:$AS$21,MATCH(SUBSTITUTE(SUBSTITUTE(SUBSTITUTE($MU44,"~","~~"),"*","~*"),"?","~?"),'DADOS_FORMAS'!$AH$2:$AH$21,0)),""),"~","~~"),"*","~*"),"?","~?"),'DADOS_RESTRICOES'!$M$2:$Q$54,2,FALSE),"")=$OL44)),"Restrição repetida, contando a embutida",""),IF(IF(IFERROR(INDEX('DADOS_FORMAS'!$AS$2:$AS$21,MATCH(SUBSTITUTE(SUBSTITUTE(SUBSTITUTE($MU44,"~","~~"),"*","~*"),"?","~?"),'DADOS_FORMAS'!$AH$2:$AH$21,0)),"")="",0,IFERROR(N(VLOOKUP(SUBSTITUTE(SUBSTITUTE(SUBSTITUTE(IFERROR(INDEX('DADOS_FORMAS'!$AS$2:$AS$21,MATCH(SUBSTITUTE(SUBSTITUTE(SUBSTITUTE($MU44,"~","~~"),"*","~*"),"?","~?"),'DADOS_FORMAS'!$AH$2:$AH$21,0)),""),"~","~~"),"*","~*"),"?","~?"),'DADOS_RESTRICOES'!$M$2:$Q$54,4,FALSE)=1),0))+IF($NB44="",0,IFERROR(N(VLOOKUP(SUBSTITUTE(SUBSTITUTE(SUBSTITUTE($NB44,"~","~~"),"*","~*"),"?","~?"),'DADOS_RESTRICOES'!$M$2:$Q$54,4,FALSE)=1),0))+IF($NC44="",0,IFERROR(N(VLOOKUP(SUBSTITUTE(SUBSTITUTE(SUBSTITUTE($NC44,"~","~~"),"*","~*"),"?","~?"),'DADOS_RESTRICOES'!$M$2:$Q$54,4,FALSE)=1),0))&gt;1,"Duas Restrições de frequência, contando a embutida",""),IF(AND(IFERROR(VLOOKUP(SUBSTITUTE(SUBSTITUTE(SUBSTITUTE(IFERROR(INDEX('DADOS_FORMAS'!$AS$2:$AS$21,MATCH(SUBSTITUTE(SUBSTITUTE(SUBSTITUTE($MU44,"~","~~"),"*","~*"),"?","~?"),'DADOS_FORMAS'!$AH$2:$AH$21,0)),""),"~","~~"),"*","~*"),"?","~?"),'DADOS_RESTRICOES'!$M$2:$Q$54,2,FALSE),"")="Tudo ou Nada",$OH44=0),"Tudo ou Nada exige TR",""),IF(AND(IFERROR(VLOOKUP(SUBSTITUTE(SUBSTITUTE(SUBSTITUTE(IFERROR(INDEX('DADOS_FORMAS'!$AS$2:$AS$21,MATCH(SUBSTITUTE(SUBSTITUTE(SUBSTITUTE($MU44,"~","~~"),"*","~*"),"?","~?"),'DADOS_FORMAS'!$AH$2:$AH$21,0)),""),"~","~~"),"*","~*"),"?","~?"),'DADOS_RESTRICOES'!$M$2:$Q$54,2,FALSE),"")="Corpo a Corpo",OR($RO44="Cone",$RO44="Linha")),"Corpo a Corpo não entra em Cone/Linha","")))</f>
        <v/>
      </c>
      <c r="PU44" s="164">
        <f>IF($PT44="",0,(LEN($PT44)-LEN(SUBSTITUTE($PT44," · ","")))/3+1)</f>
        <v/>
      </c>
      <c r="PV44" s="164">
        <f>IF($ND44=0,"",TEXTJOIN(" · ",TRUE,IF($OX44&gt;2*$MS44,"A devolução parou no teto de "&amp;2*$MS44,""),IF($PA44&gt;0,"Devolução perdida: "&amp;$PA44&amp;IF($PA44&gt;1," pontos"," ponto")&amp;" sem Melhoria para pagar",""),IF(AND($OC44&gt;0,AND($MS44&gt;0,$OG44=0),$PD44=0),"Controle sem dano: uma rodada a mais e CD +2",""),IF(AND($OC44&gt;0,AND($MS44&gt;0,$OG44=0),$PD44&gt;0,$PD44&lt;=$MS44),"Controle com saldo até a Classe: uma rodada a mais",""),IF(AND($MS44&gt;0,$OE44&lt;&gt;""),"Efeito de "&amp;$OE44&amp;" pela Classe "&amp;MAX(1,$MS44-1),"")))</f>
        <v/>
      </c>
      <c r="PW44" s="164">
        <f>IF($PV44="",0,(LEN($PV44)-LEN(SUBSTITUTE($PV44," · ","")))/3+1)</f>
        <v/>
      </c>
      <c r="PX44" s="164">
        <f>IF($ND44=0,IF($OU44+COUNTIF($NB44:$NC44,"?*")&gt;0,"Dê um nome",""),IF($PU44&gt;0,"⚠ "&amp;$PU44&amp;IF($PU44&gt;1," erros"," erro"),IF($PW44&gt;0,"! "&amp;$PW44&amp;IF($PW44&gt;1," avisos"," aviso"),"Na regra")))</f>
        <v/>
      </c>
      <c r="PY44" s="164">
        <f>IF($ND44=0,"",IF($PU44+$PW44=0,"Dentro das regras que a ficha confere",$PT44&amp;IF(AND($PU44&gt;0,$PW44&gt;0)," · ","")&amp;$PV44))</f>
        <v/>
      </c>
      <c r="PZ44" s="164">
        <f>IF($MQ44&gt;$NE44,$MR44&amp;" · ABRE NO NÍVEL "&amp;$MQ44,$MR44)</f>
        <v/>
      </c>
      <c r="QA44" s="164">
        <f>IF($ND44=0,"",IF($MS44=0,"Sem PE",3*$MS44&amp;" PE"))</f>
        <v/>
      </c>
      <c r="QB44" s="164">
        <f>IF($ND44=0,"",IF($MS44=0,"A atuação básica dela",IF(COUNTIF($RQ44:$RS44,"Atrasar")&gt;0,"Sua Ação Completa",IF(COUNTIF($RK44:$RN44,"Rápido")&gt;0,"Sua Bônus",IF(COUNTIF($RK44:$RN44,"Reação")&gt;0,"Sua Reação","Sua Padrão")))&amp;" + a básica dela"&amp;IF(COUNTIF($RK44:$RN44,"Reação")&gt;0," e a coletiva","")&amp;IF(COUNTIF($RQ44:$RS44,"Carregar")&gt;0," · em dois turnos","")))</f>
        <v/>
      </c>
      <c r="QC44" s="164">
        <f>IF($MW44&lt;&gt;"",$MW44,IF($NJ44=0,"",INDEX('DADOS_FORMAS'!$GE$2:$GE$21,$NJ44)))</f>
        <v/>
      </c>
      <c r="QD44" s="164">
        <f>IF(OR($ND44=0,$NJ44=0),"",IF(COUNTIF($RK44:$RN44,"Inescapável")&gt;0,"Automático",IF($QC44="Ataque",IF($NH44="","Ataque","Ataque "&amp;IF(($NH44+2*IF(COUNTIF($RK44:$RN44,"Precisão")&gt;0,1,0))&gt;=0,"+","−")&amp;ABS(($NH44+2*IF(COUNTIF($RK44:$RN44,"Precisão")&gt;0,1,0))))&amp;IF($OD44&gt;0," · TR"&amp;IF($NI44="",""," CD "&amp;$NI44),""),IF(LEFT($QC44,2)="TR",$QC44&amp;IF($NI44="",""," · CD "&amp;$NI44)&amp;IF(COUNTIF($RK44:$RN44,"Certeiro")&gt;0," · metade",""),"Sem rolagem"))))</f>
        <v/>
      </c>
      <c r="QE44" s="164">
        <f>IF(OR($ND44=0,$NJ44=0),"",IF($MS44=0,IF(OR($OG44&gt;=1,$PD44=0),"Sem dano",$PD44&amp;"d6"&amp;IF($MV44="",""," "&amp;$MV44)),IF(OR($OG44&gt;=1,$PD44=0),UPPER(LEFT(INDEX($PM44:$PS44,1,MAX(1,$MS44)),1))&amp;MID(INDEX($PM44:$PS44,1,MAX(1,$MS44)),2,99),UPPER(LEFT(INDEX($PM44:$PS44,1,MAX(1,$MS44)),1))&amp;MID(INDEX($PM44:$PS44,1,MAX(1,$MS44)),2,99)&amp;IF($MV44="",""," "&amp;$MV44)&amp;IF($PE44&gt;0," · +"&amp;$PE44&amp;"d8",""))))</f>
        <v/>
      </c>
      <c r="QF44" s="164">
        <f>COUNTIF($RK44:$RN44,"Longe")+3*COUNTIF($RK44:$RN44,"Muito Longe")</f>
        <v/>
      </c>
      <c r="QG44" s="164">
        <f>COUNTIF($RK44:$RN44,"Maior")+3*COUNTIF($RK44:$RN44,"Muito Maior")</f>
        <v/>
      </c>
      <c r="QH44" s="164">
        <f>IF($NJ44=0,0,CHOOSE(1+INDEX('DADOS_FORMAS'!$GG$2:$GG$21,$NJ44),0,$QF44,$QG44,$QF44+$QG44))</f>
        <v/>
      </c>
      <c r="QI44" s="164">
        <f>IF($NJ44=0,0,CHOOSE(1+INDEX('DADOS_FORMAS'!$GH$2:$GH$21,$NJ44),0,$QF44,$QG44,$QF44+$QG44))</f>
        <v/>
      </c>
      <c r="QJ44" s="164">
        <f>IF(OR($ND44=0,$NJ44=0),"",INDEX('DADOS_FORMAS'!$HU$2:$HZ$81,($NJ44-1)*4+IF($MS44=0,1,IF($MS44&lt;=5,2,IF($MS44=6,3,4))),1+MIN(5,$QH44))&amp;INDEX('DADOS_FORMAS'!$IA$2:$IF$81,($NJ44-1)*4+IF($MS44=0,1,IF($MS44&lt;=5,2,IF($MS44=6,3,4))),1+MIN(5,$QI44))&amp;IF(INDEX('DADOS_FORMAS'!$GI$2:$GI$21,$NJ44)=1,IF(COUNTIF($RK44:$RN44,"Mais Um")&gt;0," · +"&amp;COUNTIF($RK44:$RN44,"Mais Um")&amp;IF(COUNTIF($RK44:$RN44,"Mais Um")&gt;1," alvos"," alvo"),"")&amp;IF(COUNTIF($RK44:$RN44,"Rajada")&gt;0,IF($MS44=0," · 1 tiro"," · "&amp;(MAX(1,$MS44-1)+1)&amp;" tiros"),""),""))</f>
        <v/>
      </c>
      <c r="QK44" s="164">
        <f>IF($ND44=0,"",IF($MS44=0,$NG44&amp;"d6"&amp;IF($OU44&gt;0," − 1 = "&amp;$PD44&amp;"d6"," da básica do nível "&amp;$NE44),$PB44&amp;" − "&amp;$OW44&amp;" + "&amp;$OZ44&amp;" = "&amp;$PC44&amp;" · teto "&amp;4*$MS44&amp;"d8"&amp;IF($OF44=1," · a Forma devolve "&amp;$MS44,"")&amp;IF($PA44&gt;0," · perde "&amp;$PA44,"")))</f>
        <v/>
      </c>
      <c r="QL44" s="164">
        <f>IF($ND44=0,"",IF($MS44=0,"A básica não amplia: os dados dela sobem com o nível",IF($MS44&gt;=$NF44,"Já está na maior Classe que o nível liberou",TEXTJOIN(" · ",TRUE,IF(AND(2&gt;$MS44,2&lt;=$NF44),"2 → "&amp;$PN44&amp;", 6 PE",""),IF(AND(3&gt;$MS44,3&lt;=$NF44),"3 → "&amp;$PO44&amp;", 9 PE",""),IF(AND(4&gt;$MS44,4&lt;=$NF44),"4 → "&amp;$PP44&amp;", 12 PE",""),IF(AND(5&gt;$MS44,5&lt;=$NF44),"5 → "&amp;$PQ44&amp;", 15 PE",""),IF(AND(6&gt;$MS44,6&lt;=$NF44),"6 → "&amp;$PR44&amp;", 18 PE",""),IF(AND(7&gt;$MS44,7&lt;=$NF44),"7 → "&amp;$PS44&amp;", 21 PE","")))))</f>
        <v/>
      </c>
      <c r="QM44" s="164">
        <f>IF(OR($ND44=0,$NO44=0),"",IF($MS44=0,"−1 dado","−"&amp;INDEX($I$2:$N$8,MAX(1,$MS44),MAX(1,$NT44))&amp;" · "&amp;CHOOSE(MAX(1,$NT44),"Leve","Média","Pesada","Leve · Livre","Média · Livre","Pesada · Livre")))</f>
        <v/>
      </c>
      <c r="QN44" s="164">
        <f>IF(OR($ND44=0,$NP44=0),"",IF($MS44=0,"−1 dado","−"&amp;INDEX($I$2:$N$8,MAX(1,$MS44),MAX(1,$NU44))&amp;" · "&amp;CHOOSE(MAX(1,$NU44),"Leve","Média","Pesada","Leve · Livre","Média · Livre","Pesada · Livre")))</f>
        <v/>
      </c>
      <c r="QO44" s="164">
        <f>IF(OR($ND44=0,$NQ44=0),"",IF($MS44=0,"−1 dado","−"&amp;INDEX($I$2:$N$8,MAX(1,$MS44),MAX(1,$NV44))&amp;" · "&amp;CHOOSE(MAX(1,$NV44),"Leve","Média","Pesada","Leve · Livre","Média · Livre","Pesada · Livre")))</f>
        <v/>
      </c>
      <c r="QP44" s="164">
        <f>IF(OR($ND44=0,$NR44=0),"",IF($MS44=0,"−1 dado","−"&amp;INDEX($I$2:$N$8,MAX(1,$MS44),MAX(1,$NW44))&amp;" · "&amp;CHOOSE(MAX(1,$NW44),"Leve","Média","Pesada","Leve · Livre","Média · Livre","Pesada · Livre")))</f>
        <v/>
      </c>
      <c r="QQ44" s="164">
        <f>IF(OR($ND44=0,$NB44=""),"",IF($MS44=0,"não devolve","+"&amp;IF($OI44=1,CEILING($MS44/2,1),$MS44)))</f>
        <v/>
      </c>
      <c r="QR44" s="164">
        <f>IF(OR($ND44=0,$NC44=""),"",IF($MS44=0,"não devolve","+"&amp;IF($OJ44=1,CEILING($MS44/2,1),$MS44)))</f>
        <v/>
      </c>
      <c r="RK44">
        <f>IF($MX44="","",IFERROR(VLOOKUP(SUBSTITUTE(SUBSTITUTE(SUBSTITUTE($MX44,"~","~~"),"*","~*"),"?","~?"),'DADOS_MELHORIAS'!$O$2:$X$113,10,FALSE),$MX44))</f>
        <v/>
      </c>
      <c r="RL44">
        <f>IF($MY44="","",IFERROR(VLOOKUP(SUBSTITUTE(SUBSTITUTE(SUBSTITUTE($MY44,"~","~~"),"*","~*"),"?","~?"),'DADOS_MELHORIAS'!$O$2:$X$113,10,FALSE),$MY44))</f>
        <v/>
      </c>
      <c r="RM44">
        <f>IF($MZ44="","",IFERROR(VLOOKUP(SUBSTITUTE(SUBSTITUTE(SUBSTITUTE($MZ44,"~","~~"),"*","~*"),"?","~?"),'DADOS_MELHORIAS'!$O$2:$X$113,10,FALSE),$MZ44))</f>
        <v/>
      </c>
      <c r="RN44">
        <f>IF($NA44="","",IFERROR(VLOOKUP(SUBSTITUTE(SUBSTITUTE(SUBSTITUTE($NA44,"~","~~"),"*","~*"),"?","~?"),'DADOS_MELHORIAS'!$O$2:$X$113,10,FALSE),$NA44))</f>
        <v/>
      </c>
      <c r="RO44">
        <f>IFERROR(INDEX('DADOS_FORMAS'!$BJ$2:$BJ$21,MATCH(SUBSTITUTE(SUBSTITUTE(SUBSTITUTE($MU44,"~","~~"),"*","~*"),"?","~?"),'DADOS_FORMAS'!$AH$2:$AH$21,0)),"")</f>
        <v/>
      </c>
      <c r="RP44">
        <f>IFERROR(VLOOKUP(SUBSTITUTE(SUBSTITUTE(SUBSTITUTE(IFERROR(INDEX('DADOS_FORMAS'!$AS$2:$AS$21,MATCH(SUBSTITUTE(SUBSTITUTE(SUBSTITUTE($MU44,"~","~~"),"*","~*"),"?","~?"),'DADOS_FORMAS'!$AH$2:$AH$21,0)),""),"~","~~"),"*","~*"),"?","~?"),'DADOS_RESTRICOES'!$M$2:$Q$54,2,FALSE),"")</f>
        <v/>
      </c>
      <c r="RQ44">
        <f>$OK44</f>
        <v/>
      </c>
      <c r="RR44">
        <f>$OL44</f>
        <v/>
      </c>
      <c r="RS44">
        <f>$RP44</f>
        <v/>
      </c>
    </row>
    <row r="45">
      <c r="AV45" s="162" t="inlineStr">
        <is>
          <t>Abre Ferida</t>
        </is>
      </c>
      <c r="AW45" s="162" t="inlineStr">
        <is>
          <t>Auxiliares</t>
        </is>
      </c>
      <c r="AX45" s="164" t="n">
        <v>1</v>
      </c>
      <c r="AY45" s="164" t="n">
        <v>0</v>
      </c>
      <c r="AZ45" s="164" t="n">
        <v>0</v>
      </c>
      <c r="BA45" s="164" t="n">
        <v>0</v>
      </c>
      <c r="JT45" s="164">
        <f>IF(OR($AW45="",(COUNTIF($EL$2:$EP$2,$AW45)+COUNTIF($QV$2:$QY$2,$AW45))&gt;0),$AV45,"")</f>
        <v/>
      </c>
      <c r="JU45" s="164">
        <f>IF(AND($AX45=1,OR($AW45="",(COUNTIF($EL$2:$EP$2,$AW45)+COUNTIF($QV$2:$QY$2,$AW45))&gt;0)),$AV45,"")</f>
        <v/>
      </c>
      <c r="JZ45" s="164">
        <f>IF(OR($AW45="",(COUNTIF($EL$3:$EP$3,$AW45)+COUNTIF($QV$3:$QY$3,$AW45))&gt;0),$AV45,"")</f>
        <v/>
      </c>
      <c r="KA45" s="164">
        <f>IF(AND($AX45=1,OR($AW45="",(COUNTIF($EL$3:$EP$3,$AW45)+COUNTIF($QV$3:$QY$3,$AW45))&gt;0)),$AV45,"")</f>
        <v/>
      </c>
      <c r="KF45" s="164">
        <f>IF(OR($AW45="",(COUNTIF($EL$4:$EP$4,$AW45)+COUNTIF($QV$4:$QY$4,$AW45))&gt;0),$AV45,"")</f>
        <v/>
      </c>
      <c r="KG45" s="164">
        <f>IF(AND($AX45=1,OR($AW45="",(COUNTIF($EL$4:$EP$4,$AW45)+COUNTIF($QV$4:$QY$4,$AW45))&gt;0)),$AV45,"")</f>
        <v/>
      </c>
      <c r="KL45" s="164">
        <f>IF(OR($AW45="",(COUNTIF($EL$5:$EP$5,$AW45)+COUNTIF($QV$5:$QY$5,$AW45))&gt;0),$AV45,"")</f>
        <v/>
      </c>
      <c r="KM45" s="164">
        <f>IF(AND($AX45=1,OR($AW45="",(COUNTIF($EL$5:$EP$5,$AW45)+COUNTIF($QV$5:$QY$5,$AW45))&gt;0)),$AV45,"")</f>
        <v/>
      </c>
      <c r="KR45" s="164">
        <f>IF(OR($AW45="",(COUNTIF($EL$6:$EP$6,$AW45)+COUNTIF($QV$6:$QY$6,$AW45))&gt;0),$AV45,"")</f>
        <v/>
      </c>
      <c r="KS45" s="164">
        <f>IF(AND($AX45=1,OR($AW45="",(COUNTIF($EL$6:$EP$6,$AW45)+COUNTIF($QV$6:$QY$6,$AW45))&gt;0)),$AV45,"")</f>
        <v/>
      </c>
      <c r="KX45" s="164">
        <f>IF(OR($AW45="",(COUNTIF($EL$7:$EP$7,$AW45)+COUNTIF($QV$7:$QY$7,$AW45))&gt;0),$AV45,"")</f>
        <v/>
      </c>
      <c r="KY45" s="164">
        <f>IF(AND($AX45=1,OR($AW45="",(COUNTIF($EL$7:$EP$7,$AW45)+COUNTIF($QV$7:$QY$7,$AW45))&gt;0)),$AV45,"")</f>
        <v/>
      </c>
      <c r="LD45" s="164">
        <f>IF(OR($AW45="",(COUNTIF($EL$8:$EP$8,$AW45)+COUNTIF($QV$8:$QY$8,$AW45))&gt;0),$AV45,"")</f>
        <v/>
      </c>
      <c r="LE45" s="164">
        <f>IF(AND($AX45=1,OR($AW45="",(COUNTIF($EL$8:$EP$8,$AW45)+COUNTIF($QV$8:$QY$8,$AW45))&gt;0)),$AV45,"")</f>
        <v/>
      </c>
      <c r="LJ45" s="164">
        <f>IF(OR($AW45="",(COUNTIF($EL$9:$EP$9,$AW45)+COUNTIF($QV$9:$QY$9,$AW45))&gt;0),$AV45,"")</f>
        <v/>
      </c>
      <c r="LK45" s="164">
        <f>IF(AND($AX45=1,OR($AW45="",(COUNTIF($EL$9:$EP$9,$AW45)+COUNTIF($QV$9:$QY$9,$AW45))&gt;0)),$AV45,"")</f>
        <v/>
      </c>
      <c r="LP45" s="164">
        <f>IF(OR($AW45="",(COUNTIF($EL$10:$EP$10,$AW45)+COUNTIF($QV$10:$QY$10,$AW45))&gt;0),$AV45,"")</f>
        <v/>
      </c>
      <c r="LQ45" s="164">
        <f>IF(AND($AX45=1,OR($AW45="",(COUNTIF($EL$10:$EP$10,$AW45)+COUNTIF($QV$10:$QY$10,$AW45))&gt;0)),$AV45,"")</f>
        <v/>
      </c>
      <c r="LV45" s="164">
        <f>IF(OR($AW45="",(COUNTIF($EL$11:$EP$11,$AW45)+COUNTIF($QV$11:$QY$11,$AW45))&gt;0),$AV45,"")</f>
        <v/>
      </c>
      <c r="LW45" s="164">
        <f>IF(AND($AX45=1,OR($AW45="",(COUNTIF($EL$11:$EP$11,$AW45)+COUNTIF($QV$11:$QY$11,$AW45))&gt;0)),$AV45,"")</f>
        <v/>
      </c>
      <c r="MB45" s="164">
        <f>IF(OR($AW45="",(COUNTIF($EL$12:$EP$12,$AW45)+COUNTIF($QV$12:$QY$12,$AW45))&gt;0),$AV45,"")</f>
        <v/>
      </c>
      <c r="MC45" s="164">
        <f>IF(AND($AX45=1,OR($AW45="",(COUNTIF($EL$12:$EP$12,$AW45)+COUNTIF($QV$12:$QY$12,$AW45))&gt;0)),$AV45,"")</f>
        <v/>
      </c>
      <c r="MH45" s="164">
        <f>IF(OR($AW45="",(COUNTIF($EL$13:$EP$13,$AW45)+COUNTIF($QV$13:$QY$13,$AW45))&gt;0),$AV45,"")</f>
        <v/>
      </c>
      <c r="MI45" s="164">
        <f>IF(AND($AX45=1,OR($AW45="",(COUNTIF($EL$13:$EP$13,$AW45)+COUNTIF($QV$13:$QY$13,$AW45))&gt;0)),$AV45,"")</f>
        <v/>
      </c>
      <c r="MN45" s="162" t="inlineStr">
        <is>
          <t>Ficha 4 · Especial 3</t>
        </is>
      </c>
      <c r="MO45" s="164" t="n">
        <v>4</v>
      </c>
      <c r="MP45" s="164" t="n">
        <v>1</v>
      </c>
      <c r="MQ45" s="164" t="n">
        <v>8</v>
      </c>
      <c r="MR45" s="162" t="inlineStr">
        <is>
          <t>ESPECIAL 3</t>
        </is>
      </c>
      <c r="MS45" s="164">
        <f>MAX(1,MIN(7,N('INVOCAÇÕES'!$O$738)))</f>
        <v/>
      </c>
      <c r="MT45" s="164">
        <f>'INVOCAÇÕES'!$P$738&amp;""</f>
        <v/>
      </c>
      <c r="MU45" s="164">
        <f>'INVOCAÇÕES'!$O$743&amp;""</f>
        <v/>
      </c>
      <c r="MV45" s="164">
        <f>'INVOCAÇÕES'!$O$744&amp;""</f>
        <v/>
      </c>
      <c r="MW45" s="164">
        <f>'INVOCAÇÕES'!$Q$744&amp;""</f>
        <v/>
      </c>
      <c r="MX45" s="164">
        <f>'INVOCAÇÕES'!$P$747&amp;""</f>
        <v/>
      </c>
      <c r="MY45" s="164">
        <f>'INVOCAÇÕES'!$P$748&amp;""</f>
        <v/>
      </c>
      <c r="MZ45" s="164">
        <f>'INVOCAÇÕES'!$P$749&amp;""</f>
        <v/>
      </c>
      <c r="NA45" s="164">
        <f>'INVOCAÇÕES'!$P$750&amp;""</f>
        <v/>
      </c>
      <c r="NB45" s="164">
        <f>'INVOCAÇÕES'!$P$751&amp;""</f>
        <v/>
      </c>
      <c r="NC45" s="164">
        <f>'INVOCAÇÕES'!$P$752&amp;""</f>
        <v/>
      </c>
      <c r="ND45" s="164">
        <f>IF($MT45&lt;&gt;"",1,0)</f>
        <v/>
      </c>
      <c r="NE45" s="164">
        <f>INDEX($FO$2:$FO$13,$MO45)</f>
        <v/>
      </c>
      <c r="NF45" s="164">
        <f>INDEX($FP$2:$FP$13,$MO45)</f>
        <v/>
      </c>
      <c r="NG45" s="164">
        <f>INDEX($FQ$2:$FQ$13,$MO45)</f>
        <v/>
      </c>
      <c r="NH45" s="164">
        <f>INDEX($GB$2:$GB$13,$MO45)</f>
        <v/>
      </c>
      <c r="NI45" s="164">
        <f>INDEX($GC$2:$GC$13,$MO45)</f>
        <v/>
      </c>
      <c r="NJ45" s="164">
        <f>IFERROR(MATCH(SUBSTITUTE(SUBSTITUTE(SUBSTITUTE($MU45,"~","~~"),"*","~*"),"?","~?"),'DADOS_FORMAS'!$FZ$2:$FZ$21,0),0)</f>
        <v/>
      </c>
      <c r="NK45" s="164">
        <f>IFERROR(VLOOKUP(SUBSTITUTE(SUBSTITUTE(SUBSTITUTE($MX45,"~","~~"),"*","~*"),"?","~?"),'DADOS_MELHORIAS'!$AG$2:$AL$113,2,FALSE),"")</f>
        <v/>
      </c>
      <c r="NL45" s="164">
        <f>IFERROR(VLOOKUP(SUBSTITUTE(SUBSTITUTE(SUBSTITUTE($MY45,"~","~~"),"*","~*"),"?","~?"),'DADOS_MELHORIAS'!$AG$2:$AL$113,2,FALSE),"")</f>
        <v/>
      </c>
      <c r="NM45" s="164">
        <f>IFERROR(VLOOKUP(SUBSTITUTE(SUBSTITUTE(SUBSTITUTE($MZ45,"~","~~"),"*","~*"),"?","~?"),'DADOS_MELHORIAS'!$AG$2:$AL$113,2,FALSE),"")</f>
        <v/>
      </c>
      <c r="NN45" s="164">
        <f>IFERROR(VLOOKUP(SUBSTITUTE(SUBSTITUTE(SUBSTITUTE($NA45,"~","~~"),"*","~*"),"?","~?"),'DADOS_MELHORIAS'!$AG$2:$AL$113,2,FALSE),"")</f>
        <v/>
      </c>
      <c r="NO45" s="164">
        <f>IFERROR(VLOOKUP(SUBSTITUTE(SUBSTITUTE(SUBSTITUTE($MX45,"~","~~"),"*","~*"),"?","~?"),'DADOS_MELHORIAS'!$AG$2:$AL$113,3,FALSE),0)</f>
        <v/>
      </c>
      <c r="NP45" s="164">
        <f>IFERROR(VLOOKUP(SUBSTITUTE(SUBSTITUTE(SUBSTITUTE($MY45,"~","~~"),"*","~*"),"?","~?"),'DADOS_MELHORIAS'!$AG$2:$AL$113,3,FALSE),0)</f>
        <v/>
      </c>
      <c r="NQ45" s="164">
        <f>IFERROR(VLOOKUP(SUBSTITUTE(SUBSTITUTE(SUBSTITUTE($MZ45,"~","~~"),"*","~*"),"?","~?"),'DADOS_MELHORIAS'!$AG$2:$AL$113,3,FALSE),0)</f>
        <v/>
      </c>
      <c r="NR45" s="164">
        <f>IFERROR(VLOOKUP(SUBSTITUTE(SUBSTITUTE(SUBSTITUTE($NA45,"~","~~"),"*","~*"),"?","~?"),'DADOS_MELHORIAS'!$AG$2:$AL$113,3,FALSE),0)</f>
        <v/>
      </c>
      <c r="NS45" s="164">
        <f>IF($MS45=0,0,IF($NJ45=0,0,INDEX('DADOS_FORMAS'!$GB$2:$GB$21,$NJ45)))</f>
        <v/>
      </c>
      <c r="NT45" s="164">
        <f>IF(OR($NO45=0,$MS45=0),0,$NO45+3*IF(AND($NK45&lt;&gt;"",COUNTIF(INDEX($RB$2:$RJ$13,$MO45,0),$NK45)&gt;0),1,0))</f>
        <v/>
      </c>
      <c r="NU45" s="164">
        <f>IF(OR($NP45=0,$MS45=0),0,$NP45+3*IF(AND($NL45&lt;&gt;"",COUNTIF(INDEX($RB$2:$RJ$13,$MO45,0),$NL45)&gt;0),1,0))</f>
        <v/>
      </c>
      <c r="NV45" s="164">
        <f>IF(OR($NQ45=0,$MS45=0),0,$NQ45+3*IF(AND($NM45&lt;&gt;"",COUNTIF(INDEX($RB$2:$RJ$13,$MO45,0),$NM45)&gt;0),1,0))</f>
        <v/>
      </c>
      <c r="NW45" s="164">
        <f>IF(OR($NR45=0,$MS45=0),0,$NR45+3*IF(AND($NN45&lt;&gt;"",COUNTIF(INDEX($RB$2:$RJ$13,$MO45,0),$NN45)&gt;0),1,0))</f>
        <v/>
      </c>
      <c r="NX45" s="164">
        <f>IF($NJ45=0,0,IF(INDEX('DADOS_FORMAS'!$GA$2:$GA$21,$NJ45)="",0,IF((COUNTIF(INDEX($EL$2:$EP$13,$MO45,0),INDEX('DADOS_FORMAS'!$GA$2:$GA$21,$NJ45))+COUNTIF(INDEX($QV$2:$QY$13,$MO45,0),INDEX('DADOS_FORMAS'!$GA$2:$GA$21,$NJ45)))=0,1,0)))</f>
        <v/>
      </c>
      <c r="NY45" s="164">
        <f>IF(OR($NO45=0,$NK45=""),0,IF((COUNTIF(INDEX($EL$2:$EP$13,$MO45,0),$NK45)+COUNTIF(INDEX($QV$2:$QY$13,$MO45,0),$NK45))=0,1,0))</f>
        <v/>
      </c>
      <c r="NZ45" s="164">
        <f>IF(OR($NP45=0,$NL45=""),0,IF((COUNTIF(INDEX($EL$2:$EP$13,$MO45,0),$NL45)+COUNTIF(INDEX($QV$2:$QY$13,$MO45,0),$NL45))=0,1,0))</f>
        <v/>
      </c>
      <c r="OA45" s="164">
        <f>IF(OR($NQ45=0,$NM45=""),0,IF((COUNTIF(INDEX($EL$2:$EP$13,$MO45,0),$NM45)+COUNTIF(INDEX($QV$2:$QY$13,$MO45,0),$NM45))=0,1,0))</f>
        <v/>
      </c>
      <c r="OB45" s="164">
        <f>IF(OR($NR45=0,$NN45=""),0,IF((COUNTIF(INDEX($EL$2:$EP$13,$MO45,0),$NN45)+COUNTIF(INDEX($QV$2:$QY$13,$MO45,0),$NN45))=0,1,0))</f>
        <v/>
      </c>
      <c r="OC45" s="164">
        <f>IFERROR(VLOOKUP(SUBSTITUTE(SUBSTITUTE(SUBSTITUTE($MX45,"~","~~"),"*","~*"),"?","~?"),'DADOS_MELHORIAS'!$AG$2:$AL$113,4,FALSE),0)+IFERROR(VLOOKUP(SUBSTITUTE(SUBSTITUTE(SUBSTITUTE($MY45,"~","~~"),"*","~*"),"?","~?"),'DADOS_MELHORIAS'!$AG$2:$AL$113,4,FALSE),0)+IFERROR(VLOOKUP(SUBSTITUTE(SUBSTITUTE(SUBSTITUTE($MZ45,"~","~~"),"*","~*"),"?","~?"),'DADOS_MELHORIAS'!$AG$2:$AL$113,4,FALSE),0)+IFERROR(VLOOKUP(SUBSTITUTE(SUBSTITUTE(SUBSTITUTE($NA45,"~","~~"),"*","~*"),"?","~?"),'DADOS_MELHORIAS'!$AG$2:$AL$113,4,FALSE),0)</f>
        <v/>
      </c>
      <c r="OD45" s="164">
        <f>IFERROR(VLOOKUP(SUBSTITUTE(SUBSTITUTE(SUBSTITUTE($MX45,"~","~~"),"*","~*"),"?","~?"),'DADOS_MELHORIAS'!$AG$2:$AL$113,6,FALSE),0)+IFERROR(VLOOKUP(SUBSTITUTE(SUBSTITUTE(SUBSTITUTE($MY45,"~","~~"),"*","~*"),"?","~?"),'DADOS_MELHORIAS'!$AG$2:$AL$113,6,FALSE),0)+IFERROR(VLOOKUP(SUBSTITUTE(SUBSTITUTE(SUBSTITUTE($MZ45,"~","~~"),"*","~*"),"?","~?"),'DADOS_MELHORIAS'!$AG$2:$AL$113,6,FALSE),0)+IFERROR(VLOOKUP(SUBSTITUTE(SUBSTITUTE(SUBSTITUTE($NA45,"~","~~"),"*","~*"),"?","~?"),'DADOS_MELHORIAS'!$AG$2:$AL$113,6,FALSE),0)+IFERROR(N(AND(INDEX('DADOS_FORMAS'!$AO$2:$AO$21,MATCH(SUBSTITUTE(SUBSTITUTE(SUBSTITUTE($MU45,"~","~~"),"*","~*"),"?","~?"),'DADOS_FORMAS'!$AH$2:$AH$21,0))="Acerto",$OH45=1)),0)</f>
        <v/>
      </c>
      <c r="OE45" s="164">
        <f>TEXTJOIN(", ",TRUE,IF(IFERROR(VLOOKUP(SUBSTITUTE(SUBSTITUTE(SUBSTITUTE($MX45,"~","~~"),"*","~*"),"?","~?"),'DADOS_MELHORIAS'!$AG$2:$AL$113,5,FALSE),0)=1,$MX45,""),IF(IFERROR(VLOOKUP(SUBSTITUTE(SUBSTITUTE(SUBSTITUTE($MY45,"~","~~"),"*","~*"),"?","~?"),'DADOS_MELHORIAS'!$AG$2:$AL$113,5,FALSE),0)=1,$MY45,""),IF(IFERROR(VLOOKUP(SUBSTITUTE(SUBSTITUTE(SUBSTITUTE($MZ45,"~","~~"),"*","~*"),"?","~?"),'DADOS_MELHORIAS'!$AG$2:$AL$113,5,FALSE),0)=1,$MZ45,""),IF(IFERROR(VLOOKUP(SUBSTITUTE(SUBSTITUTE(SUBSTITUTE($NA45,"~","~~"),"*","~*"),"?","~?"),'DADOS_MELHORIAS'!$AG$2:$AL$113,5,FALSE),0)=1,$NA45,""))</f>
        <v/>
      </c>
      <c r="OF45" s="164">
        <f>IF($NJ45=0,0,INDEX('DADOS_FORMAS'!$GC$2:$GC$21,$NJ45))</f>
        <v/>
      </c>
      <c r="OG45" s="164">
        <f>IF($NJ45=0,0,INDEX('DADOS_FORMAS'!$GD$2:$GD$21,$NJ45))</f>
        <v/>
      </c>
      <c r="OH45" s="164">
        <f>IF($NJ45=0,0,INDEX('DADOS_FORMAS'!$GF$2:$GF$21,$NJ45))</f>
        <v/>
      </c>
      <c r="OI45" s="164">
        <f>IFERROR(VLOOKUP(SUBSTITUTE(SUBSTITUTE(SUBSTITUTE($NB45,"~","~~"),"*","~*"),"?","~?"),'DADOS_RESTRICOES'!$M$2:$Q$54,3,FALSE),0)</f>
        <v/>
      </c>
      <c r="OJ45" s="164">
        <f>IFERROR(VLOOKUP(SUBSTITUTE(SUBSTITUTE(SUBSTITUTE($NC45,"~","~~"),"*","~*"),"?","~?"),'DADOS_RESTRICOES'!$M$2:$Q$54,3,FALSE),0)</f>
        <v/>
      </c>
      <c r="OK45" s="164">
        <f>IFERROR(VLOOKUP(SUBSTITUTE(SUBSTITUTE(SUBSTITUTE($NB45,"~","~~"),"*","~*"),"?","~?"),'DADOS_RESTRICOES'!$M$2:$Q$54,2,FALSE),"")</f>
        <v/>
      </c>
      <c r="OL45" s="164">
        <f>IFERROR(VLOOKUP(SUBSTITUTE(SUBSTITUTE(SUBSTITUTE($NC45,"~","~~"),"*","~*"),"?","~?"),'DADOS_RESTRICOES'!$M$2:$Q$54,2,FALSE),"")</f>
        <v/>
      </c>
      <c r="OM45" s="164">
        <f>COUNTIF($NS45:$NW45,1)</f>
        <v/>
      </c>
      <c r="ON45" s="164">
        <f>COUNTIF($NS45:$NW45,2)</f>
        <v/>
      </c>
      <c r="OO45" s="164">
        <f>COUNTIF($NS45:$NW45,3)</f>
        <v/>
      </c>
      <c r="OP45" s="164">
        <f>COUNTIF($NS45:$NW45,4)</f>
        <v/>
      </c>
      <c r="OQ45" s="164">
        <f>COUNTIF($NS45:$NW45,5)</f>
        <v/>
      </c>
      <c r="OR45" s="164">
        <f>COUNTIF($NS45:$NW45,6)</f>
        <v/>
      </c>
      <c r="OS45" s="164">
        <f>COUNTIF($OI45:$OJ45,1)+IF(IFERROR(INDEX('DADOS_FORMAS'!$AS$2:$AS$21,MATCH(SUBSTITUTE(SUBSTITUTE(SUBSTITUTE($MU45,"~","~~"),"*","~*"),"?","~?"),'DADOS_FORMAS'!$AH$2:$AH$21,0)),"")="",0,IFERROR(N(VLOOKUP(SUBSTITUTE(SUBSTITUTE(SUBSTITUTE(IFERROR(INDEX('DADOS_FORMAS'!$AS$2:$AS$21,MATCH(SUBSTITUTE(SUBSTITUTE(SUBSTITUTE($MU45,"~","~~"),"*","~*"),"?","~?"),'DADOS_FORMAS'!$AH$2:$AH$21,0)),""),"~","~~"),"*","~*"),"?","~?"),'DADOS_RESTRICOES'!$M$2:$Q$54,3,FALSE)=1),0))</f>
        <v/>
      </c>
      <c r="OT45" s="164">
        <f>COUNTIF($OI45:$OJ45,2)+IF(IFERROR(INDEX('DADOS_FORMAS'!$AS$2:$AS$21,MATCH(SUBSTITUTE(SUBSTITUTE(SUBSTITUTE($MU45,"~","~~"),"*","~*"),"?","~?"),'DADOS_FORMAS'!$AH$2:$AH$21,0)),"")="",0,IFERROR(N(VLOOKUP(SUBSTITUTE(SUBSTITUTE(SUBSTITUTE(IFERROR(INDEX('DADOS_FORMAS'!$AS$2:$AS$21,MATCH(SUBSTITUTE(SUBSTITUTE(SUBSTITUTE($MU45,"~","~~"),"*","~*"),"?","~?"),'DADOS_FORMAS'!$AH$2:$AH$21,0)),""),"~","~~"),"*","~*"),"?","~?"),'DADOS_RESTRICOES'!$M$2:$Q$54,3,FALSE)=2),0))</f>
        <v/>
      </c>
      <c r="OU45" s="164">
        <f>COUNTIF($MX45:$NA45,"?*")</f>
        <v/>
      </c>
      <c r="OV45" s="164">
        <f>COUNTIF($NB45:$NC45,"?*")+$OF45</f>
        <v/>
      </c>
      <c r="OW45" s="164">
        <f>IF($MS45=0,0,SUMPRODUCT($OM45:$OR45,INDEX($I$2:$N$8,MAX(1,$MS45),0)))</f>
        <v/>
      </c>
      <c r="OX45" s="164">
        <f>IF($MS45=0,0,$OS45*CEILING($MS45/2,1)+$OT45*$MS45)</f>
        <v/>
      </c>
      <c r="OY45" s="164">
        <f>MIN(2*$MS45,$OX45)</f>
        <v/>
      </c>
      <c r="OZ45" s="164">
        <f>MIN($OY45,$OW45-IF($NS45=0,0,INDEX($I$2:$N$8,MAX(1,$MS45),$NS45)))</f>
        <v/>
      </c>
      <c r="PA45" s="164">
        <f>$OY45-$OZ45</f>
        <v/>
      </c>
      <c r="PB45" s="164">
        <f>IF($MS45=0,0,INDEX($P$2:$P$8,MAX(1,$MS45)))</f>
        <v/>
      </c>
      <c r="PC45" s="164">
        <f>$PB45-$OW45+$OZ45</f>
        <v/>
      </c>
      <c r="PD45" s="164">
        <f>IF($MS45=0,MAX(0,$NG45-IF(AND($OU45&gt;0,COUNTIF($NB45:$NC45,"?*")=0),1,0)),MAX(0,$PC45))</f>
        <v/>
      </c>
      <c r="PE45" s="164">
        <f>IF($MS45=0,0,(IF(COUNTIF($RK45:$RN45,"Salto")&gt;0,1,0)+IF(COUNTIF($RK45:$RN45,"Queima")&gt;0,1,0)+IF(COUNTIF($RK45:$RN45,"Estilhaço")&gt;0,1,0))*FLOOR($PD45/2,1))</f>
        <v/>
      </c>
      <c r="PF45" s="164">
        <f>MAX(0,2-SUMPRODUCT($OM45:$OR45,$I$2:$N$2)+MIN(2,$OS45*1+$OT45*1,SUMPRODUCT($OM45:$OR45,$I$2:$N$2)-IF($NS45=0,0,INDEX($I$2:$N$2,1,$NS45))))</f>
        <v/>
      </c>
      <c r="PG45" s="164">
        <f>MAX(0,4-SUMPRODUCT($OM45:$OR45,$I$3:$N$3)+MIN(4,$OS45*1+$OT45*2,SUMPRODUCT($OM45:$OR45,$I$3:$N$3)-IF($NS45=0,0,INDEX($I$3:$N$3,1,$NS45))))</f>
        <v/>
      </c>
      <c r="PH45" s="164">
        <f>MAX(0,6-SUMPRODUCT($OM45:$OR45,$I$4:$N$4)+MIN(6,$OS45*2+$OT45*3,SUMPRODUCT($OM45:$OR45,$I$4:$N$4)-IF($NS45=0,0,INDEX($I$4:$N$4,1,$NS45))))</f>
        <v/>
      </c>
      <c r="PI45" s="164">
        <f>MAX(0,9-SUMPRODUCT($OM45:$OR45,$I$5:$N$5)+MIN(8,$OS45*2+$OT45*4,SUMPRODUCT($OM45:$OR45,$I$5:$N$5)-IF($NS45=0,0,INDEX($I$5:$N$5,1,$NS45))))</f>
        <v/>
      </c>
      <c r="PJ45" s="164">
        <f>MAX(0,11-SUMPRODUCT($OM45:$OR45,$I$6:$N$6)+MIN(10,$OS45*3+$OT45*5,SUMPRODUCT($OM45:$OR45,$I$6:$N$6)-IF($NS45=0,0,INDEX($I$6:$N$6,1,$NS45))))</f>
        <v/>
      </c>
      <c r="PK45" s="164">
        <f>MAX(0,13-SUMPRODUCT($OM45:$OR45,$I$7:$N$7)+MIN(12,$OS45*3+$OT45*6,SUMPRODUCT($OM45:$OR45,$I$7:$N$7)-IF($NS45=0,0,INDEX($I$7:$N$7,1,$NS45))))</f>
        <v/>
      </c>
      <c r="PL45" s="164">
        <f>MAX(0,16-SUMPRODUCT($OM45:$OR45,$I$8:$N$8)+MIN(14,$OS45*4+$OT45*7,SUMPRODUCT($OM45:$OR45,$I$8:$N$8)-IF($NS45=0,0,INDEX($I$8:$N$8,1,$NS45))))</f>
        <v/>
      </c>
      <c r="PM45" s="164">
        <f>IF($OG45=2,3*$PF45&amp;" de vida temp.",IF($OG45=3,"sem dano",IF($PF45=0,IF($OG45=1,"sem cura","sem dano"),IF($OG45=1,"cura ","")&amp;$PF45&amp;"d8")))</f>
        <v/>
      </c>
      <c r="PN45" s="164">
        <f>IF($OG45=2,3*$PG45&amp;" de vida temp.",IF($OG45=3,"sem dano",IF($PG45=0,IF($OG45=1,"sem cura","sem dano"),IF($OG45=1,"cura ","")&amp;$PG45&amp;"d8")))</f>
        <v/>
      </c>
      <c r="PO45" s="164">
        <f>IF($OG45=2,3*$PH45&amp;" de vida temp.",IF($OG45=3,"sem dano",IF($PH45=0,IF($OG45=1,"sem cura","sem dano"),IF($OG45=1,"cura ","")&amp;$PH45&amp;"d8")))</f>
        <v/>
      </c>
      <c r="PP45" s="164">
        <f>IF($OG45=2,3*$PI45&amp;" de vida temp.",IF($OG45=3,"sem dano",IF($PI45=0,IF($OG45=1,"sem cura","sem dano"),IF($OG45=1,"cura ","")&amp;$PI45&amp;"d8")))</f>
        <v/>
      </c>
      <c r="PQ45" s="164">
        <f>IF($OG45=2,3*$PJ45&amp;" de vida temp.",IF($OG45=3,"sem dano",IF($PJ45=0,IF($OG45=1,"sem cura","sem dano"),IF($OG45=1,"cura ","")&amp;$PJ45&amp;"d8")))</f>
        <v/>
      </c>
      <c r="PR45" s="164">
        <f>IF($OG45=2,3*$PK45&amp;" de vida temp.",IF($OG45=3,"sem dano",IF($PK45=0,IF($OG45=1,"sem cura","sem dano"),IF($OG45=1,"cura ","")&amp;$PK45&amp;"d8")))</f>
        <v/>
      </c>
      <c r="PS45" s="164">
        <f>IF($OG45=2,3*$PL45&amp;" de vida temp.",IF($OG45=3,"sem dano",IF($PL45=0,IF($OG45=1,"sem cura","sem dano"),IF($OG45=1,"cura ","")&amp;$PL45&amp;"d8")))</f>
        <v/>
      </c>
      <c r="PT45" s="164">
        <f>IF($ND45=0,"",TEXTJOIN(" · ",TRUE,IF($ND45=0,"",TEXTJOIN(" · ",TRUE,IF($ND45=0,"",TEXTJOIN(" · ",TRUE,IF($MQ45&gt;$NE45,"Este lugar abre no nível "&amp;$MQ45,""),IF($MS45&gt;$NF45,"Classe "&amp;$MS45&amp;": o nível "&amp;$NE45&amp;" libera até a "&amp;$NF45,""),IF($NX45=1,"A Forma "&amp;$MU45&amp;" pede "&amp;INDEX('DADOS_FORMAS'!$GA$2:$GA$21,$NJ45)&amp;" aberta",""),IF(AND($MS45=0,$NJ45&gt;0,IF($NJ45=0,0,INDEX('DADOS_FORMAS'!$GJ$2:$GJ$21,$NJ45))=0),$MU45&amp;" não existe na Classe 0",""),IF($NY45=1,"Família Fechada: "&amp;$MX45,""),IF($NZ45=1,"Família Fechada: "&amp;$MY45,""),IF($OA45=1,"Família Fechada: "&amp;$MZ45,""),IF($OB45=1,"Família Fechada: "&amp;$NA45,""),IF(AND($MS45&gt;0,$OU45&gt;INDEX($O$2:$O$8,MAX(1,$MS45))),$OU45&amp;" Melhorias: a Classe "&amp;$MS45&amp;" aceita "&amp;INDEX($O$2:$O$8,MAX(1,$MS45)),""),IF(AND($MS45=0,$OU45&gt;1),"A básica aceita uma Melhoria",""),IF(AND($MS45=0,COUNTIF($NO45:$NR45,"&gt;1")&gt;0),"A básica só aceita Melhoria Leve",""),IF(AND($MS45&gt;0,$OV45&gt;2),$OV45&amp;" Restrições"&amp;IF($OF45=1,", contando a que a Forma "&amp;$MU45&amp;" já traz","")&amp;": o limite é 2",""),IF(AND($MS45=0,COUNTIF($NB45:$NC45,"?*")&gt;1),"A básica aceita uma Restrição Leve",""),IF(AND($MS45=0,COUNTIF($OI45:$OJ45,2)&gt;0),"A básica só aceita Restrição Leve",""),IF(AND($MS45&gt;0,$PC45&lt;0),"Orçamento estourado: faltam "&amp;(-$PC45)&amp;IF($PC45&lt;-1," pontos"," ponto"),""),IF(IFERROR(VLOOKUP(SUBSTITUTE(SUBSTITUTE(SUBSTITUTE($NB45,"~","~~"),"*","~*"),"?","~?"),'DADOS_RESTRICOES'!$M$2:$Q$54,4,FALSE),0)+IFERROR(VLOOKUP(SUBSTITUTE(SUBSTITUTE(SUBSTITUTE($NC45,"~","~~"),"*","~*"),"?","~?"),'DADOS_RESTRICOES'!$M$2:$Q$54,4,FALSE),0)&gt;1,$OK45&amp;" e "&amp;$OL45&amp;" são as duas de frequência",""),IF(AND((COUNTIF($RK45:$RN45,"Rápido")+COUNTIF($OK45:$OL45,"Rápido"))&gt;0,(COUNTIF($MX45:$NA45,"Atrasar")+COUNTIF($OK45:$OL45,"Atrasar"))&gt;0),"Rápido não entra com Atrasar",""),IF(AND((COUNTIF($RK45:$RN45,"Reação")+COUNTIF($OK45:$OL45,"Reação"))&gt;0,(COUNTIF($RK45:$RN45,"Rápido")+COUNTIF($OK45:$OL45,"Rápido"))&gt;0),"Reação não entra com Rápido",""),IF(AND((COUNTIF($RK45:$RN45,"Reação")+COUNTIF($OK45:$OL45,"Reação"))&gt;0,(COUNTIF($RK45:$RN45,"Armado")+COUNTIF($OK45:$OL45,"Armado"))&gt;0),"Reação não entra com Armado",""),IF(AND((COUNTIF($RK45:$RN45,"Reação")+COUNTIF($OK45:$OL45,"Reação"))&gt;0,(COUNTIF($MX45:$NA45,"Atrasar")+COUNTIF($OK45:$OL45,"Atrasar"))&gt;0),"Reação não entra com Atrasar",""),IF(AND((COUNTIF($RK45:$RN45,"Reação")+COUNTIF($OK45:$OL45,"Reação"))&gt;0,(COUNTIF($MX45:$NA45,"Parado")+COUNTIF($OK45:$OL45,"Parado"))&gt;0),"Reação não entra com Parado",""),IF(AND((COUNTIF($MX45:$NA45,"Atrasar")+COUNTIF($OK45:$OL45,"Atrasar"))&gt;0,(COUNTIF($MX45:$NA45,"Parado")+COUNTIF($OK45:$OL45,"Parado"))&gt;0),"Atrasar não entra com Parado",""),IF(AND((COUNTIF($RK45:$RN45,"Armado")+COUNTIF($OK45:$OL45,"Armado"))&gt;0,(COUNTIF($MX45:$NA45,"Carregar")+COUNTIF($OK45:$OL45,"Carregar"))&gt;0),"Armado não entra com Carregar",""),IF(AND(COUNTIF($OK45:$OL45,"Corpo a Corpo")&gt;0,$OF45=0,OR($RO45="Cone",$RO45="Linha")),"Corpo a Corpo não entra em "&amp;$MU45,""),IF(AND(COUNTIF($OK45:$OL45,"Corpo a Corpo")&gt;0,$RP45="Corpo a Corpo"),"A Forma "&amp;$MU45&amp;" já traz o Corpo a Corpo",""),IF(AND(COUNTIF($OK45:$OL45,"Tudo ou Nada")&gt;0,$OH45=0),"Tudo ou Nada só entra em habilidade de Teste de Resistência",""),IF(AND(COUNTIF($RK45:$RN45,"Inescapável")&gt;0,OR($OU45&gt;1,$OV45&gt;0)),"Inescapável não aceita outra peça",""),IF(AND($MS45&gt;0,$PD45*IF(COUNTIF($RK45:$RN45,"Remate")&gt;0,1.25,1)+$PE45&gt;4*$MS45),($PD45*IF(COUNTIF($RK45:$RN45,"Remate")&gt;0,1.25,1)+$PE45)&amp;" dados somando repetições"&amp;IF(COUNTIF($RK45:$RN45,"Remate")&gt;0," e o Remate","")&amp;": o teto da Classe "&amp;$MS45&amp;" é "&amp;4*$MS45,""))),IF(AND($MX45&lt;&gt;"",COUNTIF('DADOS_MELHORIAS'!$O$2:$O$113,SUBSTITUTE(SUBSTITUTE(SUBSTITUTE($MX45,"~","~~"),"*","~*"),"?","~?"))=0),"Melhoria não cadastrada ou com erro: "&amp;$MX45,""),IF(AND($MY45&lt;&gt;"",COUNTIF('DADOS_MELHORIAS'!$O$2:$O$113,SUBSTITUTE(SUBSTITUTE(SUBSTITUTE($MY45,"~","~~"),"*","~*"),"?","~?"))=0),"Melhoria não cadastrada ou com erro: "&amp;$MY45,""),IF(AND($MZ45&lt;&gt;"",COUNTIF('DADOS_MELHORIAS'!$O$2:$O$113,SUBSTITUTE(SUBSTITUTE(SUBSTITUTE($MZ45,"~","~~"),"*","~*"),"?","~?"))=0),"Melhoria não cadastrada ou com erro: "&amp;$MZ45,""),IF(AND($NA45&lt;&gt;"",COUNTIF('DADOS_MELHORIAS'!$O$2:$O$113,SUBSTITUTE(SUBSTITUTE(SUBSTITUTE($NA45,"~","~~"),"*","~*"),"?","~?"))=0),"Melhoria não cadastrada ou com erro: "&amp;$NA45,""),IF(AND($NB45&lt;&gt;"",COUNTIF('DADOS_RESTRICOES'!$M$2:$M$54,SUBSTITUTE(SUBSTITUTE(SUBSTITUTE($NB45,"~","~~"),"*","~*"),"?","~?"))=0),"Restrição não cadastrada ou com erro: "&amp;$NB45,""),IF(AND($NC45&lt;&gt;"",COUNTIF('DADOS_RESTRICOES'!$M$2:$M$54,SUBSTITUTE(SUBSTITUTE(SUBSTITUTE($NC45,"~","~~"),"*","~*"),"?","~?"))=0),"Restrição não cadastrada ou com erro: "&amp;$NC45,""))),IF(AND($MU45&lt;&gt;"",COUNTIF('DADOS_FORMAS'!$AH$2:$AH$21,SUBSTITUTE(SUBSTITUTE(SUBSTITUTE($MU45,"~","~~"),"*","~*"),"?","~?"))=0),"Forma não cadastrada ou com erro: "&amp;$MU45,""),IF(AND(IFERROR(INDEX('DADOS_FORMAS'!$AS$2:$AS$21,MATCH(SUBSTITUTE(SUBSTITUTE(SUBSTITUTE($MU45,"~","~~"),"*","~*"),"?","~?"),'DADOS_FORMAS'!$AH$2:$AH$21,0)),"")&lt;&gt;"",OR(IFERROR(VLOOKUP(SUBSTITUTE(SUBSTITUTE(SUBSTITUTE(IFERROR(INDEX('DADOS_FORMAS'!$AS$2:$AS$21,MATCH(SUBSTITUTE(SUBSTITUTE(SUBSTITUTE($MU45,"~","~~"),"*","~*"),"?","~?"),'DADOS_FORMAS'!$AH$2:$AH$21,0)),""),"~","~~"),"*","~*"),"?","~?"),'DADOS_RESTRICOES'!$M$2:$Q$54,2,FALSE),"")=$OK45,IFERROR(VLOOKUP(SUBSTITUTE(SUBSTITUTE(SUBSTITUTE(IFERROR(INDEX('DADOS_FORMAS'!$AS$2:$AS$21,MATCH(SUBSTITUTE(SUBSTITUTE(SUBSTITUTE($MU45,"~","~~"),"*","~*"),"?","~?"),'DADOS_FORMAS'!$AH$2:$AH$21,0)),""),"~","~~"),"*","~*"),"?","~?"),'DADOS_RESTRICOES'!$M$2:$Q$54,2,FALSE),"")=$OL45)),"Restrição repetida, contando a embutida",""),IF(IF(IFERROR(INDEX('DADOS_FORMAS'!$AS$2:$AS$21,MATCH(SUBSTITUTE(SUBSTITUTE(SUBSTITUTE($MU45,"~","~~"),"*","~*"),"?","~?"),'DADOS_FORMAS'!$AH$2:$AH$21,0)),"")="",0,IFERROR(N(VLOOKUP(SUBSTITUTE(SUBSTITUTE(SUBSTITUTE(IFERROR(INDEX('DADOS_FORMAS'!$AS$2:$AS$21,MATCH(SUBSTITUTE(SUBSTITUTE(SUBSTITUTE($MU45,"~","~~"),"*","~*"),"?","~?"),'DADOS_FORMAS'!$AH$2:$AH$21,0)),""),"~","~~"),"*","~*"),"?","~?"),'DADOS_RESTRICOES'!$M$2:$Q$54,4,FALSE)=1),0))+IF($NB45="",0,IFERROR(N(VLOOKUP(SUBSTITUTE(SUBSTITUTE(SUBSTITUTE($NB45,"~","~~"),"*","~*"),"?","~?"),'DADOS_RESTRICOES'!$M$2:$Q$54,4,FALSE)=1),0))+IF($NC45="",0,IFERROR(N(VLOOKUP(SUBSTITUTE(SUBSTITUTE(SUBSTITUTE($NC45,"~","~~"),"*","~*"),"?","~?"),'DADOS_RESTRICOES'!$M$2:$Q$54,4,FALSE)=1),0))&gt;1,"Duas Restrições de frequência, contando a embutida",""),IF(AND(IFERROR(VLOOKUP(SUBSTITUTE(SUBSTITUTE(SUBSTITUTE(IFERROR(INDEX('DADOS_FORMAS'!$AS$2:$AS$21,MATCH(SUBSTITUTE(SUBSTITUTE(SUBSTITUTE($MU45,"~","~~"),"*","~*"),"?","~?"),'DADOS_FORMAS'!$AH$2:$AH$21,0)),""),"~","~~"),"*","~*"),"?","~?"),'DADOS_RESTRICOES'!$M$2:$Q$54,2,FALSE),"")="Tudo ou Nada",$OH45=0),"Tudo ou Nada exige TR",""),IF(AND(IFERROR(VLOOKUP(SUBSTITUTE(SUBSTITUTE(SUBSTITUTE(IFERROR(INDEX('DADOS_FORMAS'!$AS$2:$AS$21,MATCH(SUBSTITUTE(SUBSTITUTE(SUBSTITUTE($MU45,"~","~~"),"*","~*"),"?","~?"),'DADOS_FORMAS'!$AH$2:$AH$21,0)),""),"~","~~"),"*","~*"),"?","~?"),'DADOS_RESTRICOES'!$M$2:$Q$54,2,FALSE),"")="Corpo a Corpo",OR($RO45="Cone",$RO45="Linha")),"Corpo a Corpo não entra em Cone/Linha","")))</f>
        <v/>
      </c>
      <c r="PU45" s="164">
        <f>IF($PT45="",0,(LEN($PT45)-LEN(SUBSTITUTE($PT45," · ","")))/3+1)</f>
        <v/>
      </c>
      <c r="PV45" s="164">
        <f>IF($ND45=0,"",TEXTJOIN(" · ",TRUE,IF($OX45&gt;2*$MS45,"A devolução parou no teto de "&amp;2*$MS45,""),IF($PA45&gt;0,"Devolução perdida: "&amp;$PA45&amp;IF($PA45&gt;1," pontos"," ponto")&amp;" sem Melhoria para pagar",""),IF(AND($OC45&gt;0,AND($MS45&gt;0,$OG45=0),$PD45=0),"Controle sem dano: uma rodada a mais e CD +2",""),IF(AND($OC45&gt;0,AND($MS45&gt;0,$OG45=0),$PD45&gt;0,$PD45&lt;=$MS45),"Controle com saldo até a Classe: uma rodada a mais",""),IF(AND($MS45&gt;0,$OE45&lt;&gt;""),"Efeito de "&amp;$OE45&amp;" pela Classe "&amp;MAX(1,$MS45-1),"")))</f>
        <v/>
      </c>
      <c r="PW45" s="164">
        <f>IF($PV45="",0,(LEN($PV45)-LEN(SUBSTITUTE($PV45," · ","")))/3+1)</f>
        <v/>
      </c>
      <c r="PX45" s="164">
        <f>IF($ND45=0,IF($OU45+COUNTIF($NB45:$NC45,"?*")&gt;0,"Dê um nome",""),IF($PU45&gt;0,"⚠ "&amp;$PU45&amp;IF($PU45&gt;1," erros"," erro"),IF($PW45&gt;0,"! "&amp;$PW45&amp;IF($PW45&gt;1," avisos"," aviso"),"Na regra")))</f>
        <v/>
      </c>
      <c r="PY45" s="164">
        <f>IF($ND45=0,"",IF($PU45+$PW45=0,"Dentro das regras que a ficha confere",$PT45&amp;IF(AND($PU45&gt;0,$PW45&gt;0)," · ","")&amp;$PV45))</f>
        <v/>
      </c>
      <c r="PZ45" s="164">
        <f>IF($MQ45&gt;$NE45,$MR45&amp;" · ABRE NO NÍVEL "&amp;$MQ45,$MR45)</f>
        <v/>
      </c>
      <c r="QA45" s="164">
        <f>IF($ND45=0,"",IF($MS45=0,"Sem PE",3*$MS45&amp;" PE"))</f>
        <v/>
      </c>
      <c r="QB45" s="164">
        <f>IF($ND45=0,"",IF($MS45=0,"A atuação básica dela",IF(COUNTIF($RQ45:$RS45,"Atrasar")&gt;0,"Sua Ação Completa",IF(COUNTIF($RK45:$RN45,"Rápido")&gt;0,"Sua Bônus",IF(COUNTIF($RK45:$RN45,"Reação")&gt;0,"Sua Reação","Sua Padrão")))&amp;" + a básica dela"&amp;IF(COUNTIF($RK45:$RN45,"Reação")&gt;0," e a coletiva","")&amp;IF(COUNTIF($RQ45:$RS45,"Carregar")&gt;0," · em dois turnos","")))</f>
        <v/>
      </c>
      <c r="QC45" s="164">
        <f>IF($MW45&lt;&gt;"",$MW45,IF($NJ45=0,"",INDEX('DADOS_FORMAS'!$GE$2:$GE$21,$NJ45)))</f>
        <v/>
      </c>
      <c r="QD45" s="164">
        <f>IF(OR($ND45=0,$NJ45=0),"",IF(COUNTIF($RK45:$RN45,"Inescapável")&gt;0,"Automático",IF($QC45="Ataque",IF($NH45="","Ataque","Ataque "&amp;IF(($NH45+2*IF(COUNTIF($RK45:$RN45,"Precisão")&gt;0,1,0))&gt;=0,"+","−")&amp;ABS(($NH45+2*IF(COUNTIF($RK45:$RN45,"Precisão")&gt;0,1,0))))&amp;IF($OD45&gt;0," · TR"&amp;IF($NI45="",""," CD "&amp;$NI45),""),IF(LEFT($QC45,2)="TR",$QC45&amp;IF($NI45="",""," · CD "&amp;$NI45)&amp;IF(COUNTIF($RK45:$RN45,"Certeiro")&gt;0," · metade",""),"Sem rolagem"))))</f>
        <v/>
      </c>
      <c r="QE45" s="164">
        <f>IF(OR($ND45=0,$NJ45=0),"",IF($MS45=0,IF(OR($OG45&gt;=1,$PD45=0),"Sem dano",$PD45&amp;"d6"&amp;IF($MV45="",""," "&amp;$MV45)),IF(OR($OG45&gt;=1,$PD45=0),UPPER(LEFT(INDEX($PM45:$PS45,1,MAX(1,$MS45)),1))&amp;MID(INDEX($PM45:$PS45,1,MAX(1,$MS45)),2,99),UPPER(LEFT(INDEX($PM45:$PS45,1,MAX(1,$MS45)),1))&amp;MID(INDEX($PM45:$PS45,1,MAX(1,$MS45)),2,99)&amp;IF($MV45="",""," "&amp;$MV45)&amp;IF($PE45&gt;0," · +"&amp;$PE45&amp;"d8",""))))</f>
        <v/>
      </c>
      <c r="QF45" s="164">
        <f>COUNTIF($RK45:$RN45,"Longe")+3*COUNTIF($RK45:$RN45,"Muito Longe")</f>
        <v/>
      </c>
      <c r="QG45" s="164">
        <f>COUNTIF($RK45:$RN45,"Maior")+3*COUNTIF($RK45:$RN45,"Muito Maior")</f>
        <v/>
      </c>
      <c r="QH45" s="164">
        <f>IF($NJ45=0,0,CHOOSE(1+INDEX('DADOS_FORMAS'!$GG$2:$GG$21,$NJ45),0,$QF45,$QG45,$QF45+$QG45))</f>
        <v/>
      </c>
      <c r="QI45" s="164">
        <f>IF($NJ45=0,0,CHOOSE(1+INDEX('DADOS_FORMAS'!$GH$2:$GH$21,$NJ45),0,$QF45,$QG45,$QF45+$QG45))</f>
        <v/>
      </c>
      <c r="QJ45" s="164">
        <f>IF(OR($ND45=0,$NJ45=0),"",INDEX('DADOS_FORMAS'!$HU$2:$HZ$81,($NJ45-1)*4+IF($MS45=0,1,IF($MS45&lt;=5,2,IF($MS45=6,3,4))),1+MIN(5,$QH45))&amp;INDEX('DADOS_FORMAS'!$IA$2:$IF$81,($NJ45-1)*4+IF($MS45=0,1,IF($MS45&lt;=5,2,IF($MS45=6,3,4))),1+MIN(5,$QI45))&amp;IF(INDEX('DADOS_FORMAS'!$GI$2:$GI$21,$NJ45)=1,IF(COUNTIF($RK45:$RN45,"Mais Um")&gt;0," · +"&amp;COUNTIF($RK45:$RN45,"Mais Um")&amp;IF(COUNTIF($RK45:$RN45,"Mais Um")&gt;1," alvos"," alvo"),"")&amp;IF(COUNTIF($RK45:$RN45,"Rajada")&gt;0,IF($MS45=0," · 1 tiro"," · "&amp;(MAX(1,$MS45-1)+1)&amp;" tiros"),""),""))</f>
        <v/>
      </c>
      <c r="QK45" s="164">
        <f>IF($ND45=0,"",IF($MS45=0,$NG45&amp;"d6"&amp;IF($OU45&gt;0," − 1 = "&amp;$PD45&amp;"d6"," da básica do nível "&amp;$NE45),$PB45&amp;" − "&amp;$OW45&amp;" + "&amp;$OZ45&amp;" = "&amp;$PC45&amp;" · teto "&amp;4*$MS45&amp;"d8"&amp;IF($OF45=1," · a Forma devolve "&amp;$MS45,"")&amp;IF($PA45&gt;0," · perde "&amp;$PA45,"")))</f>
        <v/>
      </c>
      <c r="QL45" s="164">
        <f>IF($ND45=0,"",IF($MS45=0,"A básica não amplia: os dados dela sobem com o nível",IF($MS45&gt;=$NF45,"Já está na maior Classe que o nível liberou",TEXTJOIN(" · ",TRUE,IF(AND(2&gt;$MS45,2&lt;=$NF45),"2 → "&amp;$PN45&amp;", 6 PE",""),IF(AND(3&gt;$MS45,3&lt;=$NF45),"3 → "&amp;$PO45&amp;", 9 PE",""),IF(AND(4&gt;$MS45,4&lt;=$NF45),"4 → "&amp;$PP45&amp;", 12 PE",""),IF(AND(5&gt;$MS45,5&lt;=$NF45),"5 → "&amp;$PQ45&amp;", 15 PE",""),IF(AND(6&gt;$MS45,6&lt;=$NF45),"6 → "&amp;$PR45&amp;", 18 PE",""),IF(AND(7&gt;$MS45,7&lt;=$NF45),"7 → "&amp;$PS45&amp;", 21 PE","")))))</f>
        <v/>
      </c>
      <c r="QM45" s="164">
        <f>IF(OR($ND45=0,$NO45=0),"",IF($MS45=0,"−1 dado","−"&amp;INDEX($I$2:$N$8,MAX(1,$MS45),MAX(1,$NT45))&amp;" · "&amp;CHOOSE(MAX(1,$NT45),"Leve","Média","Pesada","Leve · Livre","Média · Livre","Pesada · Livre")))</f>
        <v/>
      </c>
      <c r="QN45" s="164">
        <f>IF(OR($ND45=0,$NP45=0),"",IF($MS45=0,"−1 dado","−"&amp;INDEX($I$2:$N$8,MAX(1,$MS45),MAX(1,$NU45))&amp;" · "&amp;CHOOSE(MAX(1,$NU45),"Leve","Média","Pesada","Leve · Livre","Média · Livre","Pesada · Livre")))</f>
        <v/>
      </c>
      <c r="QO45" s="164">
        <f>IF(OR($ND45=0,$NQ45=0),"",IF($MS45=0,"−1 dado","−"&amp;INDEX($I$2:$N$8,MAX(1,$MS45),MAX(1,$NV45))&amp;" · "&amp;CHOOSE(MAX(1,$NV45),"Leve","Média","Pesada","Leve · Livre","Média · Livre","Pesada · Livre")))</f>
        <v/>
      </c>
      <c r="QP45" s="164">
        <f>IF(OR($ND45=0,$NR45=0),"",IF($MS45=0,"−1 dado","−"&amp;INDEX($I$2:$N$8,MAX(1,$MS45),MAX(1,$NW45))&amp;" · "&amp;CHOOSE(MAX(1,$NW45),"Leve","Média","Pesada","Leve · Livre","Média · Livre","Pesada · Livre")))</f>
        <v/>
      </c>
      <c r="QQ45" s="164">
        <f>IF(OR($ND45=0,$NB45=""),"",IF($MS45=0,"não devolve","+"&amp;IF($OI45=1,CEILING($MS45/2,1),$MS45)))</f>
        <v/>
      </c>
      <c r="QR45" s="164">
        <f>IF(OR($ND45=0,$NC45=""),"",IF($MS45=0,"não devolve","+"&amp;IF($OJ45=1,CEILING($MS45/2,1),$MS45)))</f>
        <v/>
      </c>
      <c r="RK45">
        <f>IF($MX45="","",IFERROR(VLOOKUP(SUBSTITUTE(SUBSTITUTE(SUBSTITUTE($MX45,"~","~~"),"*","~*"),"?","~?"),'DADOS_MELHORIAS'!$O$2:$X$113,10,FALSE),$MX45))</f>
        <v/>
      </c>
      <c r="RL45">
        <f>IF($MY45="","",IFERROR(VLOOKUP(SUBSTITUTE(SUBSTITUTE(SUBSTITUTE($MY45,"~","~~"),"*","~*"),"?","~?"),'DADOS_MELHORIAS'!$O$2:$X$113,10,FALSE),$MY45))</f>
        <v/>
      </c>
      <c r="RM45">
        <f>IF($MZ45="","",IFERROR(VLOOKUP(SUBSTITUTE(SUBSTITUTE(SUBSTITUTE($MZ45,"~","~~"),"*","~*"),"?","~?"),'DADOS_MELHORIAS'!$O$2:$X$113,10,FALSE),$MZ45))</f>
        <v/>
      </c>
      <c r="RN45">
        <f>IF($NA45="","",IFERROR(VLOOKUP(SUBSTITUTE(SUBSTITUTE(SUBSTITUTE($NA45,"~","~~"),"*","~*"),"?","~?"),'DADOS_MELHORIAS'!$O$2:$X$113,10,FALSE),$NA45))</f>
        <v/>
      </c>
      <c r="RO45">
        <f>IFERROR(INDEX('DADOS_FORMAS'!$BJ$2:$BJ$21,MATCH(SUBSTITUTE(SUBSTITUTE(SUBSTITUTE($MU45,"~","~~"),"*","~*"),"?","~?"),'DADOS_FORMAS'!$AH$2:$AH$21,0)),"")</f>
        <v/>
      </c>
      <c r="RP45">
        <f>IFERROR(VLOOKUP(SUBSTITUTE(SUBSTITUTE(SUBSTITUTE(IFERROR(INDEX('DADOS_FORMAS'!$AS$2:$AS$21,MATCH(SUBSTITUTE(SUBSTITUTE(SUBSTITUTE($MU45,"~","~~"),"*","~*"),"?","~?"),'DADOS_FORMAS'!$AH$2:$AH$21,0)),""),"~","~~"),"*","~*"),"?","~?"),'DADOS_RESTRICOES'!$M$2:$Q$54,2,FALSE),"")</f>
        <v/>
      </c>
      <c r="RQ45">
        <f>$OK45</f>
        <v/>
      </c>
      <c r="RR45">
        <f>$OL45</f>
        <v/>
      </c>
      <c r="RS45">
        <f>$RP45</f>
        <v/>
      </c>
    </row>
    <row r="46">
      <c r="AV46" s="162" t="inlineStr">
        <is>
          <t>Sobrecarga</t>
        </is>
      </c>
      <c r="AW46" s="162" t="inlineStr">
        <is>
          <t>Auxiliares</t>
        </is>
      </c>
      <c r="AX46" s="164" t="n">
        <v>1</v>
      </c>
      <c r="AY46" s="164" t="n">
        <v>0</v>
      </c>
      <c r="AZ46" s="164" t="n">
        <v>0</v>
      </c>
      <c r="BA46" s="164" t="n">
        <v>0</v>
      </c>
      <c r="JT46" s="164">
        <f>IF(OR($AW46="",(COUNTIF($EL$2:$EP$2,$AW46)+COUNTIF($QV$2:$QY$2,$AW46))&gt;0),$AV46,"")</f>
        <v/>
      </c>
      <c r="JU46" s="164">
        <f>IF(AND($AX46=1,OR($AW46="",(COUNTIF($EL$2:$EP$2,$AW46)+COUNTIF($QV$2:$QY$2,$AW46))&gt;0)),$AV46,"")</f>
        <v/>
      </c>
      <c r="JZ46" s="164">
        <f>IF(OR($AW46="",(COUNTIF($EL$3:$EP$3,$AW46)+COUNTIF($QV$3:$QY$3,$AW46))&gt;0),$AV46,"")</f>
        <v/>
      </c>
      <c r="KA46" s="164">
        <f>IF(AND($AX46=1,OR($AW46="",(COUNTIF($EL$3:$EP$3,$AW46)+COUNTIF($QV$3:$QY$3,$AW46))&gt;0)),$AV46,"")</f>
        <v/>
      </c>
      <c r="KF46" s="164">
        <f>IF(OR($AW46="",(COUNTIF($EL$4:$EP$4,$AW46)+COUNTIF($QV$4:$QY$4,$AW46))&gt;0),$AV46,"")</f>
        <v/>
      </c>
      <c r="KG46" s="164">
        <f>IF(AND($AX46=1,OR($AW46="",(COUNTIF($EL$4:$EP$4,$AW46)+COUNTIF($QV$4:$QY$4,$AW46))&gt;0)),$AV46,"")</f>
        <v/>
      </c>
      <c r="KL46" s="164">
        <f>IF(OR($AW46="",(COUNTIF($EL$5:$EP$5,$AW46)+COUNTIF($QV$5:$QY$5,$AW46))&gt;0),$AV46,"")</f>
        <v/>
      </c>
      <c r="KM46" s="164">
        <f>IF(AND($AX46=1,OR($AW46="",(COUNTIF($EL$5:$EP$5,$AW46)+COUNTIF($QV$5:$QY$5,$AW46))&gt;0)),$AV46,"")</f>
        <v/>
      </c>
      <c r="KR46" s="164">
        <f>IF(OR($AW46="",(COUNTIF($EL$6:$EP$6,$AW46)+COUNTIF($QV$6:$QY$6,$AW46))&gt;0),$AV46,"")</f>
        <v/>
      </c>
      <c r="KS46" s="164">
        <f>IF(AND($AX46=1,OR($AW46="",(COUNTIF($EL$6:$EP$6,$AW46)+COUNTIF($QV$6:$QY$6,$AW46))&gt;0)),$AV46,"")</f>
        <v/>
      </c>
      <c r="KX46" s="164">
        <f>IF(OR($AW46="",(COUNTIF($EL$7:$EP$7,$AW46)+COUNTIF($QV$7:$QY$7,$AW46))&gt;0),$AV46,"")</f>
        <v/>
      </c>
      <c r="KY46" s="164">
        <f>IF(AND($AX46=1,OR($AW46="",(COUNTIF($EL$7:$EP$7,$AW46)+COUNTIF($QV$7:$QY$7,$AW46))&gt;0)),$AV46,"")</f>
        <v/>
      </c>
      <c r="LD46" s="164">
        <f>IF(OR($AW46="",(COUNTIF($EL$8:$EP$8,$AW46)+COUNTIF($QV$8:$QY$8,$AW46))&gt;0),$AV46,"")</f>
        <v/>
      </c>
      <c r="LE46" s="164">
        <f>IF(AND($AX46=1,OR($AW46="",(COUNTIF($EL$8:$EP$8,$AW46)+COUNTIF($QV$8:$QY$8,$AW46))&gt;0)),$AV46,"")</f>
        <v/>
      </c>
      <c r="LJ46" s="164">
        <f>IF(OR($AW46="",(COUNTIF($EL$9:$EP$9,$AW46)+COUNTIF($QV$9:$QY$9,$AW46))&gt;0),$AV46,"")</f>
        <v/>
      </c>
      <c r="LK46" s="164">
        <f>IF(AND($AX46=1,OR($AW46="",(COUNTIF($EL$9:$EP$9,$AW46)+COUNTIF($QV$9:$QY$9,$AW46))&gt;0)),$AV46,"")</f>
        <v/>
      </c>
      <c r="LP46" s="164">
        <f>IF(OR($AW46="",(COUNTIF($EL$10:$EP$10,$AW46)+COUNTIF($QV$10:$QY$10,$AW46))&gt;0),$AV46,"")</f>
        <v/>
      </c>
      <c r="LQ46" s="164">
        <f>IF(AND($AX46=1,OR($AW46="",(COUNTIF($EL$10:$EP$10,$AW46)+COUNTIF($QV$10:$QY$10,$AW46))&gt;0)),$AV46,"")</f>
        <v/>
      </c>
      <c r="LV46" s="164">
        <f>IF(OR($AW46="",(COUNTIF($EL$11:$EP$11,$AW46)+COUNTIF($QV$11:$QY$11,$AW46))&gt;0),$AV46,"")</f>
        <v/>
      </c>
      <c r="LW46" s="164">
        <f>IF(AND($AX46=1,OR($AW46="",(COUNTIF($EL$11:$EP$11,$AW46)+COUNTIF($QV$11:$QY$11,$AW46))&gt;0)),$AV46,"")</f>
        <v/>
      </c>
      <c r="MB46" s="164">
        <f>IF(OR($AW46="",(COUNTIF($EL$12:$EP$12,$AW46)+COUNTIF($QV$12:$QY$12,$AW46))&gt;0),$AV46,"")</f>
        <v/>
      </c>
      <c r="MC46" s="164">
        <f>IF(AND($AX46=1,OR($AW46="",(COUNTIF($EL$12:$EP$12,$AW46)+COUNTIF($QV$12:$QY$12,$AW46))&gt;0)),$AV46,"")</f>
        <v/>
      </c>
      <c r="MH46" s="164">
        <f>IF(OR($AW46="",(COUNTIF($EL$13:$EP$13,$AW46)+COUNTIF($QV$13:$QY$13,$AW46))&gt;0),$AV46,"")</f>
        <v/>
      </c>
      <c r="MI46" s="164">
        <f>IF(AND($AX46=1,OR($AW46="",(COUNTIF($EL$13:$EP$13,$AW46)+COUNTIF($QV$13:$QY$13,$AW46))&gt;0)),$AV46,"")</f>
        <v/>
      </c>
      <c r="MN46" s="162" t="inlineStr">
        <is>
          <t>Ficha 4 · Especial 4</t>
        </is>
      </c>
      <c r="MO46" s="164" t="n">
        <v>4</v>
      </c>
      <c r="MP46" s="164" t="n">
        <v>1</v>
      </c>
      <c r="MQ46" s="164" t="n">
        <v>12</v>
      </c>
      <c r="MR46" s="162" t="inlineStr">
        <is>
          <t>ESPECIAL 4</t>
        </is>
      </c>
      <c r="MS46" s="164">
        <f>MAX(1,MIN(7,N('INVOCAÇÕES'!$U$738)))</f>
        <v/>
      </c>
      <c r="MT46" s="164">
        <f>'INVOCAÇÕES'!$V$738&amp;""</f>
        <v/>
      </c>
      <c r="MU46" s="164">
        <f>'INVOCAÇÕES'!$U$743&amp;""</f>
        <v/>
      </c>
      <c r="MV46" s="164">
        <f>'INVOCAÇÕES'!$U$744&amp;""</f>
        <v/>
      </c>
      <c r="MW46" s="164">
        <f>'INVOCAÇÕES'!$W$744&amp;""</f>
        <v/>
      </c>
      <c r="MX46" s="164">
        <f>'INVOCAÇÕES'!$V$747&amp;""</f>
        <v/>
      </c>
      <c r="MY46" s="164">
        <f>'INVOCAÇÕES'!$V$748&amp;""</f>
        <v/>
      </c>
      <c r="MZ46" s="164">
        <f>'INVOCAÇÕES'!$V$749&amp;""</f>
        <v/>
      </c>
      <c r="NA46" s="164">
        <f>'INVOCAÇÕES'!$V$750&amp;""</f>
        <v/>
      </c>
      <c r="NB46" s="164">
        <f>'INVOCAÇÕES'!$V$751&amp;""</f>
        <v/>
      </c>
      <c r="NC46" s="164">
        <f>'INVOCAÇÕES'!$V$752&amp;""</f>
        <v/>
      </c>
      <c r="ND46" s="164">
        <f>IF($MT46&lt;&gt;"",1,0)</f>
        <v/>
      </c>
      <c r="NE46" s="164">
        <f>INDEX($FO$2:$FO$13,$MO46)</f>
        <v/>
      </c>
      <c r="NF46" s="164">
        <f>INDEX($FP$2:$FP$13,$MO46)</f>
        <v/>
      </c>
      <c r="NG46" s="164">
        <f>INDEX($FQ$2:$FQ$13,$MO46)</f>
        <v/>
      </c>
      <c r="NH46" s="164">
        <f>INDEX($GB$2:$GB$13,$MO46)</f>
        <v/>
      </c>
      <c r="NI46" s="164">
        <f>INDEX($GC$2:$GC$13,$MO46)</f>
        <v/>
      </c>
      <c r="NJ46" s="164">
        <f>IFERROR(MATCH(SUBSTITUTE(SUBSTITUTE(SUBSTITUTE($MU46,"~","~~"),"*","~*"),"?","~?"),'DADOS_FORMAS'!$FZ$2:$FZ$21,0),0)</f>
        <v/>
      </c>
      <c r="NK46" s="164">
        <f>IFERROR(VLOOKUP(SUBSTITUTE(SUBSTITUTE(SUBSTITUTE($MX46,"~","~~"),"*","~*"),"?","~?"),'DADOS_MELHORIAS'!$AG$2:$AL$113,2,FALSE),"")</f>
        <v/>
      </c>
      <c r="NL46" s="164">
        <f>IFERROR(VLOOKUP(SUBSTITUTE(SUBSTITUTE(SUBSTITUTE($MY46,"~","~~"),"*","~*"),"?","~?"),'DADOS_MELHORIAS'!$AG$2:$AL$113,2,FALSE),"")</f>
        <v/>
      </c>
      <c r="NM46" s="164">
        <f>IFERROR(VLOOKUP(SUBSTITUTE(SUBSTITUTE(SUBSTITUTE($MZ46,"~","~~"),"*","~*"),"?","~?"),'DADOS_MELHORIAS'!$AG$2:$AL$113,2,FALSE),"")</f>
        <v/>
      </c>
      <c r="NN46" s="164">
        <f>IFERROR(VLOOKUP(SUBSTITUTE(SUBSTITUTE(SUBSTITUTE($NA46,"~","~~"),"*","~*"),"?","~?"),'DADOS_MELHORIAS'!$AG$2:$AL$113,2,FALSE),"")</f>
        <v/>
      </c>
      <c r="NO46" s="164">
        <f>IFERROR(VLOOKUP(SUBSTITUTE(SUBSTITUTE(SUBSTITUTE($MX46,"~","~~"),"*","~*"),"?","~?"),'DADOS_MELHORIAS'!$AG$2:$AL$113,3,FALSE),0)</f>
        <v/>
      </c>
      <c r="NP46" s="164">
        <f>IFERROR(VLOOKUP(SUBSTITUTE(SUBSTITUTE(SUBSTITUTE($MY46,"~","~~"),"*","~*"),"?","~?"),'DADOS_MELHORIAS'!$AG$2:$AL$113,3,FALSE),0)</f>
        <v/>
      </c>
      <c r="NQ46" s="164">
        <f>IFERROR(VLOOKUP(SUBSTITUTE(SUBSTITUTE(SUBSTITUTE($MZ46,"~","~~"),"*","~*"),"?","~?"),'DADOS_MELHORIAS'!$AG$2:$AL$113,3,FALSE),0)</f>
        <v/>
      </c>
      <c r="NR46" s="164">
        <f>IFERROR(VLOOKUP(SUBSTITUTE(SUBSTITUTE(SUBSTITUTE($NA46,"~","~~"),"*","~*"),"?","~?"),'DADOS_MELHORIAS'!$AG$2:$AL$113,3,FALSE),0)</f>
        <v/>
      </c>
      <c r="NS46" s="164">
        <f>IF($MS46=0,0,IF($NJ46=0,0,INDEX('DADOS_FORMAS'!$GB$2:$GB$21,$NJ46)))</f>
        <v/>
      </c>
      <c r="NT46" s="164">
        <f>IF(OR($NO46=0,$MS46=0),0,$NO46+3*IF(AND($NK46&lt;&gt;"",COUNTIF(INDEX($RB$2:$RJ$13,$MO46,0),$NK46)&gt;0),1,0))</f>
        <v/>
      </c>
      <c r="NU46" s="164">
        <f>IF(OR($NP46=0,$MS46=0),0,$NP46+3*IF(AND($NL46&lt;&gt;"",COUNTIF(INDEX($RB$2:$RJ$13,$MO46,0),$NL46)&gt;0),1,0))</f>
        <v/>
      </c>
      <c r="NV46" s="164">
        <f>IF(OR($NQ46=0,$MS46=0),0,$NQ46+3*IF(AND($NM46&lt;&gt;"",COUNTIF(INDEX($RB$2:$RJ$13,$MO46,0),$NM46)&gt;0),1,0))</f>
        <v/>
      </c>
      <c r="NW46" s="164">
        <f>IF(OR($NR46=0,$MS46=0),0,$NR46+3*IF(AND($NN46&lt;&gt;"",COUNTIF(INDEX($RB$2:$RJ$13,$MO46,0),$NN46)&gt;0),1,0))</f>
        <v/>
      </c>
      <c r="NX46" s="164">
        <f>IF($NJ46=0,0,IF(INDEX('DADOS_FORMAS'!$GA$2:$GA$21,$NJ46)="",0,IF((COUNTIF(INDEX($EL$2:$EP$13,$MO46,0),INDEX('DADOS_FORMAS'!$GA$2:$GA$21,$NJ46))+COUNTIF(INDEX($QV$2:$QY$13,$MO46,0),INDEX('DADOS_FORMAS'!$GA$2:$GA$21,$NJ46)))=0,1,0)))</f>
        <v/>
      </c>
      <c r="NY46" s="164">
        <f>IF(OR($NO46=0,$NK46=""),0,IF((COUNTIF(INDEX($EL$2:$EP$13,$MO46,0),$NK46)+COUNTIF(INDEX($QV$2:$QY$13,$MO46,0),$NK46))=0,1,0))</f>
        <v/>
      </c>
      <c r="NZ46" s="164">
        <f>IF(OR($NP46=0,$NL46=""),0,IF((COUNTIF(INDEX($EL$2:$EP$13,$MO46,0),$NL46)+COUNTIF(INDEX($QV$2:$QY$13,$MO46,0),$NL46))=0,1,0))</f>
        <v/>
      </c>
      <c r="OA46" s="164">
        <f>IF(OR($NQ46=0,$NM46=""),0,IF((COUNTIF(INDEX($EL$2:$EP$13,$MO46,0),$NM46)+COUNTIF(INDEX($QV$2:$QY$13,$MO46,0),$NM46))=0,1,0))</f>
        <v/>
      </c>
      <c r="OB46" s="164">
        <f>IF(OR($NR46=0,$NN46=""),0,IF((COUNTIF(INDEX($EL$2:$EP$13,$MO46,0),$NN46)+COUNTIF(INDEX($QV$2:$QY$13,$MO46,0),$NN46))=0,1,0))</f>
        <v/>
      </c>
      <c r="OC46" s="164">
        <f>IFERROR(VLOOKUP(SUBSTITUTE(SUBSTITUTE(SUBSTITUTE($MX46,"~","~~"),"*","~*"),"?","~?"),'DADOS_MELHORIAS'!$AG$2:$AL$113,4,FALSE),0)+IFERROR(VLOOKUP(SUBSTITUTE(SUBSTITUTE(SUBSTITUTE($MY46,"~","~~"),"*","~*"),"?","~?"),'DADOS_MELHORIAS'!$AG$2:$AL$113,4,FALSE),0)+IFERROR(VLOOKUP(SUBSTITUTE(SUBSTITUTE(SUBSTITUTE($MZ46,"~","~~"),"*","~*"),"?","~?"),'DADOS_MELHORIAS'!$AG$2:$AL$113,4,FALSE),0)+IFERROR(VLOOKUP(SUBSTITUTE(SUBSTITUTE(SUBSTITUTE($NA46,"~","~~"),"*","~*"),"?","~?"),'DADOS_MELHORIAS'!$AG$2:$AL$113,4,FALSE),0)</f>
        <v/>
      </c>
      <c r="OD46" s="164">
        <f>IFERROR(VLOOKUP(SUBSTITUTE(SUBSTITUTE(SUBSTITUTE($MX46,"~","~~"),"*","~*"),"?","~?"),'DADOS_MELHORIAS'!$AG$2:$AL$113,6,FALSE),0)+IFERROR(VLOOKUP(SUBSTITUTE(SUBSTITUTE(SUBSTITUTE($MY46,"~","~~"),"*","~*"),"?","~?"),'DADOS_MELHORIAS'!$AG$2:$AL$113,6,FALSE),0)+IFERROR(VLOOKUP(SUBSTITUTE(SUBSTITUTE(SUBSTITUTE($MZ46,"~","~~"),"*","~*"),"?","~?"),'DADOS_MELHORIAS'!$AG$2:$AL$113,6,FALSE),0)+IFERROR(VLOOKUP(SUBSTITUTE(SUBSTITUTE(SUBSTITUTE($NA46,"~","~~"),"*","~*"),"?","~?"),'DADOS_MELHORIAS'!$AG$2:$AL$113,6,FALSE),0)+IFERROR(N(AND(INDEX('DADOS_FORMAS'!$AO$2:$AO$21,MATCH(SUBSTITUTE(SUBSTITUTE(SUBSTITUTE($MU46,"~","~~"),"*","~*"),"?","~?"),'DADOS_FORMAS'!$AH$2:$AH$21,0))="Acerto",$OH46=1)),0)</f>
        <v/>
      </c>
      <c r="OE46" s="164">
        <f>TEXTJOIN(", ",TRUE,IF(IFERROR(VLOOKUP(SUBSTITUTE(SUBSTITUTE(SUBSTITUTE($MX46,"~","~~"),"*","~*"),"?","~?"),'DADOS_MELHORIAS'!$AG$2:$AL$113,5,FALSE),0)=1,$MX46,""),IF(IFERROR(VLOOKUP(SUBSTITUTE(SUBSTITUTE(SUBSTITUTE($MY46,"~","~~"),"*","~*"),"?","~?"),'DADOS_MELHORIAS'!$AG$2:$AL$113,5,FALSE),0)=1,$MY46,""),IF(IFERROR(VLOOKUP(SUBSTITUTE(SUBSTITUTE(SUBSTITUTE($MZ46,"~","~~"),"*","~*"),"?","~?"),'DADOS_MELHORIAS'!$AG$2:$AL$113,5,FALSE),0)=1,$MZ46,""),IF(IFERROR(VLOOKUP(SUBSTITUTE(SUBSTITUTE(SUBSTITUTE($NA46,"~","~~"),"*","~*"),"?","~?"),'DADOS_MELHORIAS'!$AG$2:$AL$113,5,FALSE),0)=1,$NA46,""))</f>
        <v/>
      </c>
      <c r="OF46" s="164">
        <f>IF($NJ46=0,0,INDEX('DADOS_FORMAS'!$GC$2:$GC$21,$NJ46))</f>
        <v/>
      </c>
      <c r="OG46" s="164">
        <f>IF($NJ46=0,0,INDEX('DADOS_FORMAS'!$GD$2:$GD$21,$NJ46))</f>
        <v/>
      </c>
      <c r="OH46" s="164">
        <f>IF($NJ46=0,0,INDEX('DADOS_FORMAS'!$GF$2:$GF$21,$NJ46))</f>
        <v/>
      </c>
      <c r="OI46" s="164">
        <f>IFERROR(VLOOKUP(SUBSTITUTE(SUBSTITUTE(SUBSTITUTE($NB46,"~","~~"),"*","~*"),"?","~?"),'DADOS_RESTRICOES'!$M$2:$Q$54,3,FALSE),0)</f>
        <v/>
      </c>
      <c r="OJ46" s="164">
        <f>IFERROR(VLOOKUP(SUBSTITUTE(SUBSTITUTE(SUBSTITUTE($NC46,"~","~~"),"*","~*"),"?","~?"),'DADOS_RESTRICOES'!$M$2:$Q$54,3,FALSE),0)</f>
        <v/>
      </c>
      <c r="OK46" s="164">
        <f>IFERROR(VLOOKUP(SUBSTITUTE(SUBSTITUTE(SUBSTITUTE($NB46,"~","~~"),"*","~*"),"?","~?"),'DADOS_RESTRICOES'!$M$2:$Q$54,2,FALSE),"")</f>
        <v/>
      </c>
      <c r="OL46" s="164">
        <f>IFERROR(VLOOKUP(SUBSTITUTE(SUBSTITUTE(SUBSTITUTE($NC46,"~","~~"),"*","~*"),"?","~?"),'DADOS_RESTRICOES'!$M$2:$Q$54,2,FALSE),"")</f>
        <v/>
      </c>
      <c r="OM46" s="164">
        <f>COUNTIF($NS46:$NW46,1)</f>
        <v/>
      </c>
      <c r="ON46" s="164">
        <f>COUNTIF($NS46:$NW46,2)</f>
        <v/>
      </c>
      <c r="OO46" s="164">
        <f>COUNTIF($NS46:$NW46,3)</f>
        <v/>
      </c>
      <c r="OP46" s="164">
        <f>COUNTIF($NS46:$NW46,4)</f>
        <v/>
      </c>
      <c r="OQ46" s="164">
        <f>COUNTIF($NS46:$NW46,5)</f>
        <v/>
      </c>
      <c r="OR46" s="164">
        <f>COUNTIF($NS46:$NW46,6)</f>
        <v/>
      </c>
      <c r="OS46" s="164">
        <f>COUNTIF($OI46:$OJ46,1)+IF(IFERROR(INDEX('DADOS_FORMAS'!$AS$2:$AS$21,MATCH(SUBSTITUTE(SUBSTITUTE(SUBSTITUTE($MU46,"~","~~"),"*","~*"),"?","~?"),'DADOS_FORMAS'!$AH$2:$AH$21,0)),"")="",0,IFERROR(N(VLOOKUP(SUBSTITUTE(SUBSTITUTE(SUBSTITUTE(IFERROR(INDEX('DADOS_FORMAS'!$AS$2:$AS$21,MATCH(SUBSTITUTE(SUBSTITUTE(SUBSTITUTE($MU46,"~","~~"),"*","~*"),"?","~?"),'DADOS_FORMAS'!$AH$2:$AH$21,0)),""),"~","~~"),"*","~*"),"?","~?"),'DADOS_RESTRICOES'!$M$2:$Q$54,3,FALSE)=1),0))</f>
        <v/>
      </c>
      <c r="OT46" s="164">
        <f>COUNTIF($OI46:$OJ46,2)+IF(IFERROR(INDEX('DADOS_FORMAS'!$AS$2:$AS$21,MATCH(SUBSTITUTE(SUBSTITUTE(SUBSTITUTE($MU46,"~","~~"),"*","~*"),"?","~?"),'DADOS_FORMAS'!$AH$2:$AH$21,0)),"")="",0,IFERROR(N(VLOOKUP(SUBSTITUTE(SUBSTITUTE(SUBSTITUTE(IFERROR(INDEX('DADOS_FORMAS'!$AS$2:$AS$21,MATCH(SUBSTITUTE(SUBSTITUTE(SUBSTITUTE($MU46,"~","~~"),"*","~*"),"?","~?"),'DADOS_FORMAS'!$AH$2:$AH$21,0)),""),"~","~~"),"*","~*"),"?","~?"),'DADOS_RESTRICOES'!$M$2:$Q$54,3,FALSE)=2),0))</f>
        <v/>
      </c>
      <c r="OU46" s="164">
        <f>COUNTIF($MX46:$NA46,"?*")</f>
        <v/>
      </c>
      <c r="OV46" s="164">
        <f>COUNTIF($NB46:$NC46,"?*")+$OF46</f>
        <v/>
      </c>
      <c r="OW46" s="164">
        <f>IF($MS46=0,0,SUMPRODUCT($OM46:$OR46,INDEX($I$2:$N$8,MAX(1,$MS46),0)))</f>
        <v/>
      </c>
      <c r="OX46" s="164">
        <f>IF($MS46=0,0,$OS46*CEILING($MS46/2,1)+$OT46*$MS46)</f>
        <v/>
      </c>
      <c r="OY46" s="164">
        <f>MIN(2*$MS46,$OX46)</f>
        <v/>
      </c>
      <c r="OZ46" s="164">
        <f>MIN($OY46,$OW46-IF($NS46=0,0,INDEX($I$2:$N$8,MAX(1,$MS46),$NS46)))</f>
        <v/>
      </c>
      <c r="PA46" s="164">
        <f>$OY46-$OZ46</f>
        <v/>
      </c>
      <c r="PB46" s="164">
        <f>IF($MS46=0,0,INDEX($P$2:$P$8,MAX(1,$MS46)))</f>
        <v/>
      </c>
      <c r="PC46" s="164">
        <f>$PB46-$OW46+$OZ46</f>
        <v/>
      </c>
      <c r="PD46" s="164">
        <f>IF($MS46=0,MAX(0,$NG46-IF(AND($OU46&gt;0,COUNTIF($NB46:$NC46,"?*")=0),1,0)),MAX(0,$PC46))</f>
        <v/>
      </c>
      <c r="PE46" s="164">
        <f>IF($MS46=0,0,(IF(COUNTIF($RK46:$RN46,"Salto")&gt;0,1,0)+IF(COUNTIF($RK46:$RN46,"Queima")&gt;0,1,0)+IF(COUNTIF($RK46:$RN46,"Estilhaço")&gt;0,1,0))*FLOOR($PD46/2,1))</f>
        <v/>
      </c>
      <c r="PF46" s="164">
        <f>MAX(0,2-SUMPRODUCT($OM46:$OR46,$I$2:$N$2)+MIN(2,$OS46*1+$OT46*1,SUMPRODUCT($OM46:$OR46,$I$2:$N$2)-IF($NS46=0,0,INDEX($I$2:$N$2,1,$NS46))))</f>
        <v/>
      </c>
      <c r="PG46" s="164">
        <f>MAX(0,4-SUMPRODUCT($OM46:$OR46,$I$3:$N$3)+MIN(4,$OS46*1+$OT46*2,SUMPRODUCT($OM46:$OR46,$I$3:$N$3)-IF($NS46=0,0,INDEX($I$3:$N$3,1,$NS46))))</f>
        <v/>
      </c>
      <c r="PH46" s="164">
        <f>MAX(0,6-SUMPRODUCT($OM46:$OR46,$I$4:$N$4)+MIN(6,$OS46*2+$OT46*3,SUMPRODUCT($OM46:$OR46,$I$4:$N$4)-IF($NS46=0,0,INDEX($I$4:$N$4,1,$NS46))))</f>
        <v/>
      </c>
      <c r="PI46" s="164">
        <f>MAX(0,9-SUMPRODUCT($OM46:$OR46,$I$5:$N$5)+MIN(8,$OS46*2+$OT46*4,SUMPRODUCT($OM46:$OR46,$I$5:$N$5)-IF($NS46=0,0,INDEX($I$5:$N$5,1,$NS46))))</f>
        <v/>
      </c>
      <c r="PJ46" s="164">
        <f>MAX(0,11-SUMPRODUCT($OM46:$OR46,$I$6:$N$6)+MIN(10,$OS46*3+$OT46*5,SUMPRODUCT($OM46:$OR46,$I$6:$N$6)-IF($NS46=0,0,INDEX($I$6:$N$6,1,$NS46))))</f>
        <v/>
      </c>
      <c r="PK46" s="164">
        <f>MAX(0,13-SUMPRODUCT($OM46:$OR46,$I$7:$N$7)+MIN(12,$OS46*3+$OT46*6,SUMPRODUCT($OM46:$OR46,$I$7:$N$7)-IF($NS46=0,0,INDEX($I$7:$N$7,1,$NS46))))</f>
        <v/>
      </c>
      <c r="PL46" s="164">
        <f>MAX(0,16-SUMPRODUCT($OM46:$OR46,$I$8:$N$8)+MIN(14,$OS46*4+$OT46*7,SUMPRODUCT($OM46:$OR46,$I$8:$N$8)-IF($NS46=0,0,INDEX($I$8:$N$8,1,$NS46))))</f>
        <v/>
      </c>
      <c r="PM46" s="164">
        <f>IF($OG46=2,3*$PF46&amp;" de vida temp.",IF($OG46=3,"sem dano",IF($PF46=0,IF($OG46=1,"sem cura","sem dano"),IF($OG46=1,"cura ","")&amp;$PF46&amp;"d8")))</f>
        <v/>
      </c>
      <c r="PN46" s="164">
        <f>IF($OG46=2,3*$PG46&amp;" de vida temp.",IF($OG46=3,"sem dano",IF($PG46=0,IF($OG46=1,"sem cura","sem dano"),IF($OG46=1,"cura ","")&amp;$PG46&amp;"d8")))</f>
        <v/>
      </c>
      <c r="PO46" s="164">
        <f>IF($OG46=2,3*$PH46&amp;" de vida temp.",IF($OG46=3,"sem dano",IF($PH46=0,IF($OG46=1,"sem cura","sem dano"),IF($OG46=1,"cura ","")&amp;$PH46&amp;"d8")))</f>
        <v/>
      </c>
      <c r="PP46" s="164">
        <f>IF($OG46=2,3*$PI46&amp;" de vida temp.",IF($OG46=3,"sem dano",IF($PI46=0,IF($OG46=1,"sem cura","sem dano"),IF($OG46=1,"cura ","")&amp;$PI46&amp;"d8")))</f>
        <v/>
      </c>
      <c r="PQ46" s="164">
        <f>IF($OG46=2,3*$PJ46&amp;" de vida temp.",IF($OG46=3,"sem dano",IF($PJ46=0,IF($OG46=1,"sem cura","sem dano"),IF($OG46=1,"cura ","")&amp;$PJ46&amp;"d8")))</f>
        <v/>
      </c>
      <c r="PR46" s="164">
        <f>IF($OG46=2,3*$PK46&amp;" de vida temp.",IF($OG46=3,"sem dano",IF($PK46=0,IF($OG46=1,"sem cura","sem dano"),IF($OG46=1,"cura ","")&amp;$PK46&amp;"d8")))</f>
        <v/>
      </c>
      <c r="PS46" s="164">
        <f>IF($OG46=2,3*$PL46&amp;" de vida temp.",IF($OG46=3,"sem dano",IF($PL46=0,IF($OG46=1,"sem cura","sem dano"),IF($OG46=1,"cura ","")&amp;$PL46&amp;"d8")))</f>
        <v/>
      </c>
      <c r="PT46" s="164">
        <f>IF($ND46=0,"",TEXTJOIN(" · ",TRUE,IF($ND46=0,"",TEXTJOIN(" · ",TRUE,IF($ND46=0,"",TEXTJOIN(" · ",TRUE,IF($MQ46&gt;$NE46,"Este lugar abre no nível "&amp;$MQ46,""),IF($MS46&gt;$NF46,"Classe "&amp;$MS46&amp;": o nível "&amp;$NE46&amp;" libera até a "&amp;$NF46,""),IF($NX46=1,"A Forma "&amp;$MU46&amp;" pede "&amp;INDEX('DADOS_FORMAS'!$GA$2:$GA$21,$NJ46)&amp;" aberta",""),IF(AND($MS46=0,$NJ46&gt;0,IF($NJ46=0,0,INDEX('DADOS_FORMAS'!$GJ$2:$GJ$21,$NJ46))=0),$MU46&amp;" não existe na Classe 0",""),IF($NY46=1,"Família Fechada: "&amp;$MX46,""),IF($NZ46=1,"Família Fechada: "&amp;$MY46,""),IF($OA46=1,"Família Fechada: "&amp;$MZ46,""),IF($OB46=1,"Família Fechada: "&amp;$NA46,""),IF(AND($MS46&gt;0,$OU46&gt;INDEX($O$2:$O$8,MAX(1,$MS46))),$OU46&amp;" Melhorias: a Classe "&amp;$MS46&amp;" aceita "&amp;INDEX($O$2:$O$8,MAX(1,$MS46)),""),IF(AND($MS46=0,$OU46&gt;1),"A básica aceita uma Melhoria",""),IF(AND($MS46=0,COUNTIF($NO46:$NR46,"&gt;1")&gt;0),"A básica só aceita Melhoria Leve",""),IF(AND($MS46&gt;0,$OV46&gt;2),$OV46&amp;" Restrições"&amp;IF($OF46=1,", contando a que a Forma "&amp;$MU46&amp;" já traz","")&amp;": o limite é 2",""),IF(AND($MS46=0,COUNTIF($NB46:$NC46,"?*")&gt;1),"A básica aceita uma Restrição Leve",""),IF(AND($MS46=0,COUNTIF($OI46:$OJ46,2)&gt;0),"A básica só aceita Restrição Leve",""),IF(AND($MS46&gt;0,$PC46&lt;0),"Orçamento estourado: faltam "&amp;(-$PC46)&amp;IF($PC46&lt;-1," pontos"," ponto"),""),IF(IFERROR(VLOOKUP(SUBSTITUTE(SUBSTITUTE(SUBSTITUTE($NB46,"~","~~"),"*","~*"),"?","~?"),'DADOS_RESTRICOES'!$M$2:$Q$54,4,FALSE),0)+IFERROR(VLOOKUP(SUBSTITUTE(SUBSTITUTE(SUBSTITUTE($NC46,"~","~~"),"*","~*"),"?","~?"),'DADOS_RESTRICOES'!$M$2:$Q$54,4,FALSE),0)&gt;1,$OK46&amp;" e "&amp;$OL46&amp;" são as duas de frequência",""),IF(AND((COUNTIF($RK46:$RN46,"Rápido")+COUNTIF($OK46:$OL46,"Rápido"))&gt;0,(COUNTIF($MX46:$NA46,"Atrasar")+COUNTIF($OK46:$OL46,"Atrasar"))&gt;0),"Rápido não entra com Atrasar",""),IF(AND((COUNTIF($RK46:$RN46,"Reação")+COUNTIF($OK46:$OL46,"Reação"))&gt;0,(COUNTIF($RK46:$RN46,"Rápido")+COUNTIF($OK46:$OL46,"Rápido"))&gt;0),"Reação não entra com Rápido",""),IF(AND((COUNTIF($RK46:$RN46,"Reação")+COUNTIF($OK46:$OL46,"Reação"))&gt;0,(COUNTIF($RK46:$RN46,"Armado")+COUNTIF($OK46:$OL46,"Armado"))&gt;0),"Reação não entra com Armado",""),IF(AND((COUNTIF($RK46:$RN46,"Reação")+COUNTIF($OK46:$OL46,"Reação"))&gt;0,(COUNTIF($MX46:$NA46,"Atrasar")+COUNTIF($OK46:$OL46,"Atrasar"))&gt;0),"Reação não entra com Atrasar",""),IF(AND((COUNTIF($RK46:$RN46,"Reação")+COUNTIF($OK46:$OL46,"Reação"))&gt;0,(COUNTIF($MX46:$NA46,"Parado")+COUNTIF($OK46:$OL46,"Parado"))&gt;0),"Reação não entra com Parado",""),IF(AND((COUNTIF($MX46:$NA46,"Atrasar")+COUNTIF($OK46:$OL46,"Atrasar"))&gt;0,(COUNTIF($MX46:$NA46,"Parado")+COUNTIF($OK46:$OL46,"Parado"))&gt;0),"Atrasar não entra com Parado",""),IF(AND((COUNTIF($RK46:$RN46,"Armado")+COUNTIF($OK46:$OL46,"Armado"))&gt;0,(COUNTIF($MX46:$NA46,"Carregar")+COUNTIF($OK46:$OL46,"Carregar"))&gt;0),"Armado não entra com Carregar",""),IF(AND(COUNTIF($OK46:$OL46,"Corpo a Corpo")&gt;0,$OF46=0,OR($RO46="Cone",$RO46="Linha")),"Corpo a Corpo não entra em "&amp;$MU46,""),IF(AND(COUNTIF($OK46:$OL46,"Corpo a Corpo")&gt;0,$RP46="Corpo a Corpo"),"A Forma "&amp;$MU46&amp;" já traz o Corpo a Corpo",""),IF(AND(COUNTIF($OK46:$OL46,"Tudo ou Nada")&gt;0,$OH46=0),"Tudo ou Nada só entra em habilidade de Teste de Resistência",""),IF(AND(COUNTIF($RK46:$RN46,"Inescapável")&gt;0,OR($OU46&gt;1,$OV46&gt;0)),"Inescapável não aceita outra peça",""),IF(AND($MS46&gt;0,$PD46*IF(COUNTIF($RK46:$RN46,"Remate")&gt;0,1.25,1)+$PE46&gt;4*$MS46),($PD46*IF(COUNTIF($RK46:$RN46,"Remate")&gt;0,1.25,1)+$PE46)&amp;" dados somando repetições"&amp;IF(COUNTIF($RK46:$RN46,"Remate")&gt;0," e o Remate","")&amp;": o teto da Classe "&amp;$MS46&amp;" é "&amp;4*$MS46,""))),IF(AND($MX46&lt;&gt;"",COUNTIF('DADOS_MELHORIAS'!$O$2:$O$113,SUBSTITUTE(SUBSTITUTE(SUBSTITUTE($MX46,"~","~~"),"*","~*"),"?","~?"))=0),"Melhoria não cadastrada ou com erro: "&amp;$MX46,""),IF(AND($MY46&lt;&gt;"",COUNTIF('DADOS_MELHORIAS'!$O$2:$O$113,SUBSTITUTE(SUBSTITUTE(SUBSTITUTE($MY46,"~","~~"),"*","~*"),"?","~?"))=0),"Melhoria não cadastrada ou com erro: "&amp;$MY46,""),IF(AND($MZ46&lt;&gt;"",COUNTIF('DADOS_MELHORIAS'!$O$2:$O$113,SUBSTITUTE(SUBSTITUTE(SUBSTITUTE($MZ46,"~","~~"),"*","~*"),"?","~?"))=0),"Melhoria não cadastrada ou com erro: "&amp;$MZ46,""),IF(AND($NA46&lt;&gt;"",COUNTIF('DADOS_MELHORIAS'!$O$2:$O$113,SUBSTITUTE(SUBSTITUTE(SUBSTITUTE($NA46,"~","~~"),"*","~*"),"?","~?"))=0),"Melhoria não cadastrada ou com erro: "&amp;$NA46,""),IF(AND($NB46&lt;&gt;"",COUNTIF('DADOS_RESTRICOES'!$M$2:$M$54,SUBSTITUTE(SUBSTITUTE(SUBSTITUTE($NB46,"~","~~"),"*","~*"),"?","~?"))=0),"Restrição não cadastrada ou com erro: "&amp;$NB46,""),IF(AND($NC46&lt;&gt;"",COUNTIF('DADOS_RESTRICOES'!$M$2:$M$54,SUBSTITUTE(SUBSTITUTE(SUBSTITUTE($NC46,"~","~~"),"*","~*"),"?","~?"))=0),"Restrição não cadastrada ou com erro: "&amp;$NC46,""))),IF(AND($MU46&lt;&gt;"",COUNTIF('DADOS_FORMAS'!$AH$2:$AH$21,SUBSTITUTE(SUBSTITUTE(SUBSTITUTE($MU46,"~","~~"),"*","~*"),"?","~?"))=0),"Forma não cadastrada ou com erro: "&amp;$MU46,""),IF(AND(IFERROR(INDEX('DADOS_FORMAS'!$AS$2:$AS$21,MATCH(SUBSTITUTE(SUBSTITUTE(SUBSTITUTE($MU46,"~","~~"),"*","~*"),"?","~?"),'DADOS_FORMAS'!$AH$2:$AH$21,0)),"")&lt;&gt;"",OR(IFERROR(VLOOKUP(SUBSTITUTE(SUBSTITUTE(SUBSTITUTE(IFERROR(INDEX('DADOS_FORMAS'!$AS$2:$AS$21,MATCH(SUBSTITUTE(SUBSTITUTE(SUBSTITUTE($MU46,"~","~~"),"*","~*"),"?","~?"),'DADOS_FORMAS'!$AH$2:$AH$21,0)),""),"~","~~"),"*","~*"),"?","~?"),'DADOS_RESTRICOES'!$M$2:$Q$54,2,FALSE),"")=$OK46,IFERROR(VLOOKUP(SUBSTITUTE(SUBSTITUTE(SUBSTITUTE(IFERROR(INDEX('DADOS_FORMAS'!$AS$2:$AS$21,MATCH(SUBSTITUTE(SUBSTITUTE(SUBSTITUTE($MU46,"~","~~"),"*","~*"),"?","~?"),'DADOS_FORMAS'!$AH$2:$AH$21,0)),""),"~","~~"),"*","~*"),"?","~?"),'DADOS_RESTRICOES'!$M$2:$Q$54,2,FALSE),"")=$OL46)),"Restrição repetida, contando a embutida",""),IF(IF(IFERROR(INDEX('DADOS_FORMAS'!$AS$2:$AS$21,MATCH(SUBSTITUTE(SUBSTITUTE(SUBSTITUTE($MU46,"~","~~"),"*","~*"),"?","~?"),'DADOS_FORMAS'!$AH$2:$AH$21,0)),"")="",0,IFERROR(N(VLOOKUP(SUBSTITUTE(SUBSTITUTE(SUBSTITUTE(IFERROR(INDEX('DADOS_FORMAS'!$AS$2:$AS$21,MATCH(SUBSTITUTE(SUBSTITUTE(SUBSTITUTE($MU46,"~","~~"),"*","~*"),"?","~?"),'DADOS_FORMAS'!$AH$2:$AH$21,0)),""),"~","~~"),"*","~*"),"?","~?"),'DADOS_RESTRICOES'!$M$2:$Q$54,4,FALSE)=1),0))+IF($NB46="",0,IFERROR(N(VLOOKUP(SUBSTITUTE(SUBSTITUTE(SUBSTITUTE($NB46,"~","~~"),"*","~*"),"?","~?"),'DADOS_RESTRICOES'!$M$2:$Q$54,4,FALSE)=1),0))+IF($NC46="",0,IFERROR(N(VLOOKUP(SUBSTITUTE(SUBSTITUTE(SUBSTITUTE($NC46,"~","~~"),"*","~*"),"?","~?"),'DADOS_RESTRICOES'!$M$2:$Q$54,4,FALSE)=1),0))&gt;1,"Duas Restrições de frequência, contando a embutida",""),IF(AND(IFERROR(VLOOKUP(SUBSTITUTE(SUBSTITUTE(SUBSTITUTE(IFERROR(INDEX('DADOS_FORMAS'!$AS$2:$AS$21,MATCH(SUBSTITUTE(SUBSTITUTE(SUBSTITUTE($MU46,"~","~~"),"*","~*"),"?","~?"),'DADOS_FORMAS'!$AH$2:$AH$21,0)),""),"~","~~"),"*","~*"),"?","~?"),'DADOS_RESTRICOES'!$M$2:$Q$54,2,FALSE),"")="Tudo ou Nada",$OH46=0),"Tudo ou Nada exige TR",""),IF(AND(IFERROR(VLOOKUP(SUBSTITUTE(SUBSTITUTE(SUBSTITUTE(IFERROR(INDEX('DADOS_FORMAS'!$AS$2:$AS$21,MATCH(SUBSTITUTE(SUBSTITUTE(SUBSTITUTE($MU46,"~","~~"),"*","~*"),"?","~?"),'DADOS_FORMAS'!$AH$2:$AH$21,0)),""),"~","~~"),"*","~*"),"?","~?"),'DADOS_RESTRICOES'!$M$2:$Q$54,2,FALSE),"")="Corpo a Corpo",OR($RO46="Cone",$RO46="Linha")),"Corpo a Corpo não entra em Cone/Linha","")))</f>
        <v/>
      </c>
      <c r="PU46" s="164">
        <f>IF($PT46="",0,(LEN($PT46)-LEN(SUBSTITUTE($PT46," · ","")))/3+1)</f>
        <v/>
      </c>
      <c r="PV46" s="164">
        <f>IF($ND46=0,"",TEXTJOIN(" · ",TRUE,IF($OX46&gt;2*$MS46,"A devolução parou no teto de "&amp;2*$MS46,""),IF($PA46&gt;0,"Devolução perdida: "&amp;$PA46&amp;IF($PA46&gt;1," pontos"," ponto")&amp;" sem Melhoria para pagar",""),IF(AND($OC46&gt;0,AND($MS46&gt;0,$OG46=0),$PD46=0),"Controle sem dano: uma rodada a mais e CD +2",""),IF(AND($OC46&gt;0,AND($MS46&gt;0,$OG46=0),$PD46&gt;0,$PD46&lt;=$MS46),"Controle com saldo até a Classe: uma rodada a mais",""),IF(AND($MS46&gt;0,$OE46&lt;&gt;""),"Efeito de "&amp;$OE46&amp;" pela Classe "&amp;MAX(1,$MS46-1),"")))</f>
        <v/>
      </c>
      <c r="PW46" s="164">
        <f>IF($PV46="",0,(LEN($PV46)-LEN(SUBSTITUTE($PV46," · ","")))/3+1)</f>
        <v/>
      </c>
      <c r="PX46" s="164">
        <f>IF($ND46=0,IF($OU46+COUNTIF($NB46:$NC46,"?*")&gt;0,"Dê um nome",""),IF($PU46&gt;0,"⚠ "&amp;$PU46&amp;IF($PU46&gt;1," erros"," erro"),IF($PW46&gt;0,"! "&amp;$PW46&amp;IF($PW46&gt;1," avisos"," aviso"),"Na regra")))</f>
        <v/>
      </c>
      <c r="PY46" s="164">
        <f>IF($ND46=0,"",IF($PU46+$PW46=0,"Dentro das regras que a ficha confere",$PT46&amp;IF(AND($PU46&gt;0,$PW46&gt;0)," · ","")&amp;$PV46))</f>
        <v/>
      </c>
      <c r="PZ46" s="164">
        <f>IF($MQ46&gt;$NE46,$MR46&amp;" · ABRE NO NÍVEL "&amp;$MQ46,$MR46)</f>
        <v/>
      </c>
      <c r="QA46" s="164">
        <f>IF($ND46=0,"",IF($MS46=0,"Sem PE",3*$MS46&amp;" PE"))</f>
        <v/>
      </c>
      <c r="QB46" s="164">
        <f>IF($ND46=0,"",IF($MS46=0,"A atuação básica dela",IF(COUNTIF($RQ46:$RS46,"Atrasar")&gt;0,"Sua Ação Completa",IF(COUNTIF($RK46:$RN46,"Rápido")&gt;0,"Sua Bônus",IF(COUNTIF($RK46:$RN46,"Reação")&gt;0,"Sua Reação","Sua Padrão")))&amp;" + a básica dela"&amp;IF(COUNTIF($RK46:$RN46,"Reação")&gt;0," e a coletiva","")&amp;IF(COUNTIF($RQ46:$RS46,"Carregar")&gt;0," · em dois turnos","")))</f>
        <v/>
      </c>
      <c r="QC46" s="164">
        <f>IF($MW46&lt;&gt;"",$MW46,IF($NJ46=0,"",INDEX('DADOS_FORMAS'!$GE$2:$GE$21,$NJ46)))</f>
        <v/>
      </c>
      <c r="QD46" s="164">
        <f>IF(OR($ND46=0,$NJ46=0),"",IF(COUNTIF($RK46:$RN46,"Inescapável")&gt;0,"Automático",IF($QC46="Ataque",IF($NH46="","Ataque","Ataque "&amp;IF(($NH46+2*IF(COUNTIF($RK46:$RN46,"Precisão")&gt;0,1,0))&gt;=0,"+","−")&amp;ABS(($NH46+2*IF(COUNTIF($RK46:$RN46,"Precisão")&gt;0,1,0))))&amp;IF($OD46&gt;0," · TR"&amp;IF($NI46="",""," CD "&amp;$NI46),""),IF(LEFT($QC46,2)="TR",$QC46&amp;IF($NI46="",""," · CD "&amp;$NI46)&amp;IF(COUNTIF($RK46:$RN46,"Certeiro")&gt;0," · metade",""),"Sem rolagem"))))</f>
        <v/>
      </c>
      <c r="QE46" s="164">
        <f>IF(OR($ND46=0,$NJ46=0),"",IF($MS46=0,IF(OR($OG46&gt;=1,$PD46=0),"Sem dano",$PD46&amp;"d6"&amp;IF($MV46="",""," "&amp;$MV46)),IF(OR($OG46&gt;=1,$PD46=0),UPPER(LEFT(INDEX($PM46:$PS46,1,MAX(1,$MS46)),1))&amp;MID(INDEX($PM46:$PS46,1,MAX(1,$MS46)),2,99),UPPER(LEFT(INDEX($PM46:$PS46,1,MAX(1,$MS46)),1))&amp;MID(INDEX($PM46:$PS46,1,MAX(1,$MS46)),2,99)&amp;IF($MV46="",""," "&amp;$MV46)&amp;IF($PE46&gt;0," · +"&amp;$PE46&amp;"d8",""))))</f>
        <v/>
      </c>
      <c r="QF46" s="164">
        <f>COUNTIF($RK46:$RN46,"Longe")+3*COUNTIF($RK46:$RN46,"Muito Longe")</f>
        <v/>
      </c>
      <c r="QG46" s="164">
        <f>COUNTIF($RK46:$RN46,"Maior")+3*COUNTIF($RK46:$RN46,"Muito Maior")</f>
        <v/>
      </c>
      <c r="QH46" s="164">
        <f>IF($NJ46=0,0,CHOOSE(1+INDEX('DADOS_FORMAS'!$GG$2:$GG$21,$NJ46),0,$QF46,$QG46,$QF46+$QG46))</f>
        <v/>
      </c>
      <c r="QI46" s="164">
        <f>IF($NJ46=0,0,CHOOSE(1+INDEX('DADOS_FORMAS'!$GH$2:$GH$21,$NJ46),0,$QF46,$QG46,$QF46+$QG46))</f>
        <v/>
      </c>
      <c r="QJ46" s="164">
        <f>IF(OR($ND46=0,$NJ46=0),"",INDEX('DADOS_FORMAS'!$HU$2:$HZ$81,($NJ46-1)*4+IF($MS46=0,1,IF($MS46&lt;=5,2,IF($MS46=6,3,4))),1+MIN(5,$QH46))&amp;INDEX('DADOS_FORMAS'!$IA$2:$IF$81,($NJ46-1)*4+IF($MS46=0,1,IF($MS46&lt;=5,2,IF($MS46=6,3,4))),1+MIN(5,$QI46))&amp;IF(INDEX('DADOS_FORMAS'!$GI$2:$GI$21,$NJ46)=1,IF(COUNTIF($RK46:$RN46,"Mais Um")&gt;0," · +"&amp;COUNTIF($RK46:$RN46,"Mais Um")&amp;IF(COUNTIF($RK46:$RN46,"Mais Um")&gt;1," alvos"," alvo"),"")&amp;IF(COUNTIF($RK46:$RN46,"Rajada")&gt;0,IF($MS46=0," · 1 tiro"," · "&amp;(MAX(1,$MS46-1)+1)&amp;" tiros"),""),""))</f>
        <v/>
      </c>
      <c r="QK46" s="164">
        <f>IF($ND46=0,"",IF($MS46=0,$NG46&amp;"d6"&amp;IF($OU46&gt;0," − 1 = "&amp;$PD46&amp;"d6"," da básica do nível "&amp;$NE46),$PB46&amp;" − "&amp;$OW46&amp;" + "&amp;$OZ46&amp;" = "&amp;$PC46&amp;" · teto "&amp;4*$MS46&amp;"d8"&amp;IF($OF46=1," · a Forma devolve "&amp;$MS46,"")&amp;IF($PA46&gt;0," · perde "&amp;$PA46,"")))</f>
        <v/>
      </c>
      <c r="QL46" s="164">
        <f>IF($ND46=0,"",IF($MS46=0,"A básica não amplia: os dados dela sobem com o nível",IF($MS46&gt;=$NF46,"Já está na maior Classe que o nível liberou",TEXTJOIN(" · ",TRUE,IF(AND(2&gt;$MS46,2&lt;=$NF46),"2 → "&amp;$PN46&amp;", 6 PE",""),IF(AND(3&gt;$MS46,3&lt;=$NF46),"3 → "&amp;$PO46&amp;", 9 PE",""),IF(AND(4&gt;$MS46,4&lt;=$NF46),"4 → "&amp;$PP46&amp;", 12 PE",""),IF(AND(5&gt;$MS46,5&lt;=$NF46),"5 → "&amp;$PQ46&amp;", 15 PE",""),IF(AND(6&gt;$MS46,6&lt;=$NF46),"6 → "&amp;$PR46&amp;", 18 PE",""),IF(AND(7&gt;$MS46,7&lt;=$NF46),"7 → "&amp;$PS46&amp;", 21 PE","")))))</f>
        <v/>
      </c>
      <c r="QM46" s="164">
        <f>IF(OR($ND46=0,$NO46=0),"",IF($MS46=0,"−1 dado","−"&amp;INDEX($I$2:$N$8,MAX(1,$MS46),MAX(1,$NT46))&amp;" · "&amp;CHOOSE(MAX(1,$NT46),"Leve","Média","Pesada","Leve · Livre","Média · Livre","Pesada · Livre")))</f>
        <v/>
      </c>
      <c r="QN46" s="164">
        <f>IF(OR($ND46=0,$NP46=0),"",IF($MS46=0,"−1 dado","−"&amp;INDEX($I$2:$N$8,MAX(1,$MS46),MAX(1,$NU46))&amp;" · "&amp;CHOOSE(MAX(1,$NU46),"Leve","Média","Pesada","Leve · Livre","Média · Livre","Pesada · Livre")))</f>
        <v/>
      </c>
      <c r="QO46" s="164">
        <f>IF(OR($ND46=0,$NQ46=0),"",IF($MS46=0,"−1 dado","−"&amp;INDEX($I$2:$N$8,MAX(1,$MS46),MAX(1,$NV46))&amp;" · "&amp;CHOOSE(MAX(1,$NV46),"Leve","Média","Pesada","Leve · Livre","Média · Livre","Pesada · Livre")))</f>
        <v/>
      </c>
      <c r="QP46" s="164">
        <f>IF(OR($ND46=0,$NR46=0),"",IF($MS46=0,"−1 dado","−"&amp;INDEX($I$2:$N$8,MAX(1,$MS46),MAX(1,$NW46))&amp;" · "&amp;CHOOSE(MAX(1,$NW46),"Leve","Média","Pesada","Leve · Livre","Média · Livre","Pesada · Livre")))</f>
        <v/>
      </c>
      <c r="QQ46" s="164">
        <f>IF(OR($ND46=0,$NB46=""),"",IF($MS46=0,"não devolve","+"&amp;IF($OI46=1,CEILING($MS46/2,1),$MS46)))</f>
        <v/>
      </c>
      <c r="QR46" s="164">
        <f>IF(OR($ND46=0,$NC46=""),"",IF($MS46=0,"não devolve","+"&amp;IF($OJ46=1,CEILING($MS46/2,1),$MS46)))</f>
        <v/>
      </c>
      <c r="RK46">
        <f>IF($MX46="","",IFERROR(VLOOKUP(SUBSTITUTE(SUBSTITUTE(SUBSTITUTE($MX46,"~","~~"),"*","~*"),"?","~?"),'DADOS_MELHORIAS'!$O$2:$X$113,10,FALSE),$MX46))</f>
        <v/>
      </c>
      <c r="RL46">
        <f>IF($MY46="","",IFERROR(VLOOKUP(SUBSTITUTE(SUBSTITUTE(SUBSTITUTE($MY46,"~","~~"),"*","~*"),"?","~?"),'DADOS_MELHORIAS'!$O$2:$X$113,10,FALSE),$MY46))</f>
        <v/>
      </c>
      <c r="RM46">
        <f>IF($MZ46="","",IFERROR(VLOOKUP(SUBSTITUTE(SUBSTITUTE(SUBSTITUTE($MZ46,"~","~~"),"*","~*"),"?","~?"),'DADOS_MELHORIAS'!$O$2:$X$113,10,FALSE),$MZ46))</f>
        <v/>
      </c>
      <c r="RN46">
        <f>IF($NA46="","",IFERROR(VLOOKUP(SUBSTITUTE(SUBSTITUTE(SUBSTITUTE($NA46,"~","~~"),"*","~*"),"?","~?"),'DADOS_MELHORIAS'!$O$2:$X$113,10,FALSE),$NA46))</f>
        <v/>
      </c>
      <c r="RO46">
        <f>IFERROR(INDEX('DADOS_FORMAS'!$BJ$2:$BJ$21,MATCH(SUBSTITUTE(SUBSTITUTE(SUBSTITUTE($MU46,"~","~~"),"*","~*"),"?","~?"),'DADOS_FORMAS'!$AH$2:$AH$21,0)),"")</f>
        <v/>
      </c>
      <c r="RP46">
        <f>IFERROR(VLOOKUP(SUBSTITUTE(SUBSTITUTE(SUBSTITUTE(IFERROR(INDEX('DADOS_FORMAS'!$AS$2:$AS$21,MATCH(SUBSTITUTE(SUBSTITUTE(SUBSTITUTE($MU46,"~","~~"),"*","~*"),"?","~?"),'DADOS_FORMAS'!$AH$2:$AH$21,0)),""),"~","~~"),"*","~*"),"?","~?"),'DADOS_RESTRICOES'!$M$2:$Q$54,2,FALSE),"")</f>
        <v/>
      </c>
      <c r="RQ46">
        <f>$OK46</f>
        <v/>
      </c>
      <c r="RR46">
        <f>$OL46</f>
        <v/>
      </c>
      <c r="RS46">
        <f>$RP46</f>
        <v/>
      </c>
    </row>
    <row r="47">
      <c r="AV47" s="162" t="inlineStr">
        <is>
          <t>Firmeza</t>
        </is>
      </c>
      <c r="AW47" s="162" t="inlineStr">
        <is>
          <t>Auxiliares</t>
        </is>
      </c>
      <c r="AX47" s="164" t="n">
        <v>2</v>
      </c>
      <c r="AY47" s="164" t="n">
        <v>0</v>
      </c>
      <c r="AZ47" s="164" t="n">
        <v>0</v>
      </c>
      <c r="BA47" s="164" t="n">
        <v>0</v>
      </c>
      <c r="JT47" s="164">
        <f>IF(OR($AW47="",(COUNTIF($EL$2:$EP$2,$AW47)+COUNTIF($QV$2:$QY$2,$AW47))&gt;0),$AV47,"")</f>
        <v/>
      </c>
      <c r="JU47" s="164">
        <f>IF(AND($AX47=1,OR($AW47="",(COUNTIF($EL$2:$EP$2,$AW47)+COUNTIF($QV$2:$QY$2,$AW47))&gt;0)),$AV47,"")</f>
        <v/>
      </c>
      <c r="JZ47" s="164">
        <f>IF(OR($AW47="",(COUNTIF($EL$3:$EP$3,$AW47)+COUNTIF($QV$3:$QY$3,$AW47))&gt;0),$AV47,"")</f>
        <v/>
      </c>
      <c r="KA47" s="164">
        <f>IF(AND($AX47=1,OR($AW47="",(COUNTIF($EL$3:$EP$3,$AW47)+COUNTIF($QV$3:$QY$3,$AW47))&gt;0)),$AV47,"")</f>
        <v/>
      </c>
      <c r="KF47" s="164">
        <f>IF(OR($AW47="",(COUNTIF($EL$4:$EP$4,$AW47)+COUNTIF($QV$4:$QY$4,$AW47))&gt;0),$AV47,"")</f>
        <v/>
      </c>
      <c r="KG47" s="164">
        <f>IF(AND($AX47=1,OR($AW47="",(COUNTIF($EL$4:$EP$4,$AW47)+COUNTIF($QV$4:$QY$4,$AW47))&gt;0)),$AV47,"")</f>
        <v/>
      </c>
      <c r="KL47" s="164">
        <f>IF(OR($AW47="",(COUNTIF($EL$5:$EP$5,$AW47)+COUNTIF($QV$5:$QY$5,$AW47))&gt;0),$AV47,"")</f>
        <v/>
      </c>
      <c r="KM47" s="164">
        <f>IF(AND($AX47=1,OR($AW47="",(COUNTIF($EL$5:$EP$5,$AW47)+COUNTIF($QV$5:$QY$5,$AW47))&gt;0)),$AV47,"")</f>
        <v/>
      </c>
      <c r="KR47" s="164">
        <f>IF(OR($AW47="",(COUNTIF($EL$6:$EP$6,$AW47)+COUNTIF($QV$6:$QY$6,$AW47))&gt;0),$AV47,"")</f>
        <v/>
      </c>
      <c r="KS47" s="164">
        <f>IF(AND($AX47=1,OR($AW47="",(COUNTIF($EL$6:$EP$6,$AW47)+COUNTIF($QV$6:$QY$6,$AW47))&gt;0)),$AV47,"")</f>
        <v/>
      </c>
      <c r="KX47" s="164">
        <f>IF(OR($AW47="",(COUNTIF($EL$7:$EP$7,$AW47)+COUNTIF($QV$7:$QY$7,$AW47))&gt;0),$AV47,"")</f>
        <v/>
      </c>
      <c r="KY47" s="164">
        <f>IF(AND($AX47=1,OR($AW47="",(COUNTIF($EL$7:$EP$7,$AW47)+COUNTIF($QV$7:$QY$7,$AW47))&gt;0)),$AV47,"")</f>
        <v/>
      </c>
      <c r="LD47" s="164">
        <f>IF(OR($AW47="",(COUNTIF($EL$8:$EP$8,$AW47)+COUNTIF($QV$8:$QY$8,$AW47))&gt;0),$AV47,"")</f>
        <v/>
      </c>
      <c r="LE47" s="164">
        <f>IF(AND($AX47=1,OR($AW47="",(COUNTIF($EL$8:$EP$8,$AW47)+COUNTIF($QV$8:$QY$8,$AW47))&gt;0)),$AV47,"")</f>
        <v/>
      </c>
      <c r="LJ47" s="164">
        <f>IF(OR($AW47="",(COUNTIF($EL$9:$EP$9,$AW47)+COUNTIF($QV$9:$QY$9,$AW47))&gt;0),$AV47,"")</f>
        <v/>
      </c>
      <c r="LK47" s="164">
        <f>IF(AND($AX47=1,OR($AW47="",(COUNTIF($EL$9:$EP$9,$AW47)+COUNTIF($QV$9:$QY$9,$AW47))&gt;0)),$AV47,"")</f>
        <v/>
      </c>
      <c r="LP47" s="164">
        <f>IF(OR($AW47="",(COUNTIF($EL$10:$EP$10,$AW47)+COUNTIF($QV$10:$QY$10,$AW47))&gt;0),$AV47,"")</f>
        <v/>
      </c>
      <c r="LQ47" s="164">
        <f>IF(AND($AX47=1,OR($AW47="",(COUNTIF($EL$10:$EP$10,$AW47)+COUNTIF($QV$10:$QY$10,$AW47))&gt;0)),$AV47,"")</f>
        <v/>
      </c>
      <c r="LV47" s="164">
        <f>IF(OR($AW47="",(COUNTIF($EL$11:$EP$11,$AW47)+COUNTIF($QV$11:$QY$11,$AW47))&gt;0),$AV47,"")</f>
        <v/>
      </c>
      <c r="LW47" s="164">
        <f>IF(AND($AX47=1,OR($AW47="",(COUNTIF($EL$11:$EP$11,$AW47)+COUNTIF($QV$11:$QY$11,$AW47))&gt;0)),$AV47,"")</f>
        <v/>
      </c>
      <c r="MB47" s="164">
        <f>IF(OR($AW47="",(COUNTIF($EL$12:$EP$12,$AW47)+COUNTIF($QV$12:$QY$12,$AW47))&gt;0),$AV47,"")</f>
        <v/>
      </c>
      <c r="MC47" s="164">
        <f>IF(AND($AX47=1,OR($AW47="",(COUNTIF($EL$12:$EP$12,$AW47)+COUNTIF($QV$12:$QY$12,$AW47))&gt;0)),$AV47,"")</f>
        <v/>
      </c>
      <c r="MH47" s="164">
        <f>IF(OR($AW47="",(COUNTIF($EL$13:$EP$13,$AW47)+COUNTIF($QV$13:$QY$13,$AW47))&gt;0),$AV47,"")</f>
        <v/>
      </c>
      <c r="MI47" s="164">
        <f>IF(AND($AX47=1,OR($AW47="",(COUNTIF($EL$13:$EP$13,$AW47)+COUNTIF($QV$13:$QY$13,$AW47))&gt;0)),$AV47,"")</f>
        <v/>
      </c>
      <c r="MN47" s="162" t="inlineStr">
        <is>
          <t>Ficha 4 · Especial 5</t>
        </is>
      </c>
      <c r="MO47" s="164" t="n">
        <v>4</v>
      </c>
      <c r="MP47" s="164" t="n">
        <v>1</v>
      </c>
      <c r="MQ47" s="164" t="n">
        <v>16</v>
      </c>
      <c r="MR47" s="162" t="inlineStr">
        <is>
          <t>ESPECIAL 5</t>
        </is>
      </c>
      <c r="MS47" s="164">
        <f>MAX(1,MIN(7,N('INVOCAÇÕES'!$I$760)))</f>
        <v/>
      </c>
      <c r="MT47" s="164">
        <f>'INVOCAÇÕES'!$J$760&amp;""</f>
        <v/>
      </c>
      <c r="MU47" s="164">
        <f>'INVOCAÇÕES'!$I$765&amp;""</f>
        <v/>
      </c>
      <c r="MV47" s="164">
        <f>'INVOCAÇÕES'!$I$766&amp;""</f>
        <v/>
      </c>
      <c r="MW47" s="164">
        <f>'INVOCAÇÕES'!$K$766&amp;""</f>
        <v/>
      </c>
      <c r="MX47" s="164">
        <f>'INVOCAÇÕES'!$J$769&amp;""</f>
        <v/>
      </c>
      <c r="MY47" s="164">
        <f>'INVOCAÇÕES'!$J$770&amp;""</f>
        <v/>
      </c>
      <c r="MZ47" s="164">
        <f>'INVOCAÇÕES'!$J$771&amp;""</f>
        <v/>
      </c>
      <c r="NA47" s="164">
        <f>'INVOCAÇÕES'!$J$772&amp;""</f>
        <v/>
      </c>
      <c r="NB47" s="164">
        <f>'INVOCAÇÕES'!$J$773&amp;""</f>
        <v/>
      </c>
      <c r="NC47" s="164">
        <f>'INVOCAÇÕES'!$J$774&amp;""</f>
        <v/>
      </c>
      <c r="ND47" s="164">
        <f>IF($MT47&lt;&gt;"",1,0)</f>
        <v/>
      </c>
      <c r="NE47" s="164">
        <f>INDEX($FO$2:$FO$13,$MO47)</f>
        <v/>
      </c>
      <c r="NF47" s="164">
        <f>INDEX($FP$2:$FP$13,$MO47)</f>
        <v/>
      </c>
      <c r="NG47" s="164">
        <f>INDEX($FQ$2:$FQ$13,$MO47)</f>
        <v/>
      </c>
      <c r="NH47" s="164">
        <f>INDEX($GB$2:$GB$13,$MO47)</f>
        <v/>
      </c>
      <c r="NI47" s="164">
        <f>INDEX($GC$2:$GC$13,$MO47)</f>
        <v/>
      </c>
      <c r="NJ47" s="164">
        <f>IFERROR(MATCH(SUBSTITUTE(SUBSTITUTE(SUBSTITUTE($MU47,"~","~~"),"*","~*"),"?","~?"),'DADOS_FORMAS'!$FZ$2:$FZ$21,0),0)</f>
        <v/>
      </c>
      <c r="NK47" s="164">
        <f>IFERROR(VLOOKUP(SUBSTITUTE(SUBSTITUTE(SUBSTITUTE($MX47,"~","~~"),"*","~*"),"?","~?"),'DADOS_MELHORIAS'!$AG$2:$AL$113,2,FALSE),"")</f>
        <v/>
      </c>
      <c r="NL47" s="164">
        <f>IFERROR(VLOOKUP(SUBSTITUTE(SUBSTITUTE(SUBSTITUTE($MY47,"~","~~"),"*","~*"),"?","~?"),'DADOS_MELHORIAS'!$AG$2:$AL$113,2,FALSE),"")</f>
        <v/>
      </c>
      <c r="NM47" s="164">
        <f>IFERROR(VLOOKUP(SUBSTITUTE(SUBSTITUTE(SUBSTITUTE($MZ47,"~","~~"),"*","~*"),"?","~?"),'DADOS_MELHORIAS'!$AG$2:$AL$113,2,FALSE),"")</f>
        <v/>
      </c>
      <c r="NN47" s="164">
        <f>IFERROR(VLOOKUP(SUBSTITUTE(SUBSTITUTE(SUBSTITUTE($NA47,"~","~~"),"*","~*"),"?","~?"),'DADOS_MELHORIAS'!$AG$2:$AL$113,2,FALSE),"")</f>
        <v/>
      </c>
      <c r="NO47" s="164">
        <f>IFERROR(VLOOKUP(SUBSTITUTE(SUBSTITUTE(SUBSTITUTE($MX47,"~","~~"),"*","~*"),"?","~?"),'DADOS_MELHORIAS'!$AG$2:$AL$113,3,FALSE),0)</f>
        <v/>
      </c>
      <c r="NP47" s="164">
        <f>IFERROR(VLOOKUP(SUBSTITUTE(SUBSTITUTE(SUBSTITUTE($MY47,"~","~~"),"*","~*"),"?","~?"),'DADOS_MELHORIAS'!$AG$2:$AL$113,3,FALSE),0)</f>
        <v/>
      </c>
      <c r="NQ47" s="164">
        <f>IFERROR(VLOOKUP(SUBSTITUTE(SUBSTITUTE(SUBSTITUTE($MZ47,"~","~~"),"*","~*"),"?","~?"),'DADOS_MELHORIAS'!$AG$2:$AL$113,3,FALSE),0)</f>
        <v/>
      </c>
      <c r="NR47" s="164">
        <f>IFERROR(VLOOKUP(SUBSTITUTE(SUBSTITUTE(SUBSTITUTE($NA47,"~","~~"),"*","~*"),"?","~?"),'DADOS_MELHORIAS'!$AG$2:$AL$113,3,FALSE),0)</f>
        <v/>
      </c>
      <c r="NS47" s="164">
        <f>IF($MS47=0,0,IF($NJ47=0,0,INDEX('DADOS_FORMAS'!$GB$2:$GB$21,$NJ47)))</f>
        <v/>
      </c>
      <c r="NT47" s="164">
        <f>IF(OR($NO47=0,$MS47=0),0,$NO47+3*IF(AND($NK47&lt;&gt;"",COUNTIF(INDEX($RB$2:$RJ$13,$MO47,0),$NK47)&gt;0),1,0))</f>
        <v/>
      </c>
      <c r="NU47" s="164">
        <f>IF(OR($NP47=0,$MS47=0),0,$NP47+3*IF(AND($NL47&lt;&gt;"",COUNTIF(INDEX($RB$2:$RJ$13,$MO47,0),$NL47)&gt;0),1,0))</f>
        <v/>
      </c>
      <c r="NV47" s="164">
        <f>IF(OR($NQ47=0,$MS47=0),0,$NQ47+3*IF(AND($NM47&lt;&gt;"",COUNTIF(INDEX($RB$2:$RJ$13,$MO47,0),$NM47)&gt;0),1,0))</f>
        <v/>
      </c>
      <c r="NW47" s="164">
        <f>IF(OR($NR47=0,$MS47=0),0,$NR47+3*IF(AND($NN47&lt;&gt;"",COUNTIF(INDEX($RB$2:$RJ$13,$MO47,0),$NN47)&gt;0),1,0))</f>
        <v/>
      </c>
      <c r="NX47" s="164">
        <f>IF($NJ47=0,0,IF(INDEX('DADOS_FORMAS'!$GA$2:$GA$21,$NJ47)="",0,IF((COUNTIF(INDEX($EL$2:$EP$13,$MO47,0),INDEX('DADOS_FORMAS'!$GA$2:$GA$21,$NJ47))+COUNTIF(INDEX($QV$2:$QY$13,$MO47,0),INDEX('DADOS_FORMAS'!$GA$2:$GA$21,$NJ47)))=0,1,0)))</f>
        <v/>
      </c>
      <c r="NY47" s="164">
        <f>IF(OR($NO47=0,$NK47=""),0,IF((COUNTIF(INDEX($EL$2:$EP$13,$MO47,0),$NK47)+COUNTIF(INDEX($QV$2:$QY$13,$MO47,0),$NK47))=0,1,0))</f>
        <v/>
      </c>
      <c r="NZ47" s="164">
        <f>IF(OR($NP47=0,$NL47=""),0,IF((COUNTIF(INDEX($EL$2:$EP$13,$MO47,0),$NL47)+COUNTIF(INDEX($QV$2:$QY$13,$MO47,0),$NL47))=0,1,0))</f>
        <v/>
      </c>
      <c r="OA47" s="164">
        <f>IF(OR($NQ47=0,$NM47=""),0,IF((COUNTIF(INDEX($EL$2:$EP$13,$MO47,0),$NM47)+COUNTIF(INDEX($QV$2:$QY$13,$MO47,0),$NM47))=0,1,0))</f>
        <v/>
      </c>
      <c r="OB47" s="164">
        <f>IF(OR($NR47=0,$NN47=""),0,IF((COUNTIF(INDEX($EL$2:$EP$13,$MO47,0),$NN47)+COUNTIF(INDEX($QV$2:$QY$13,$MO47,0),$NN47))=0,1,0))</f>
        <v/>
      </c>
      <c r="OC47" s="164">
        <f>IFERROR(VLOOKUP(SUBSTITUTE(SUBSTITUTE(SUBSTITUTE($MX47,"~","~~"),"*","~*"),"?","~?"),'DADOS_MELHORIAS'!$AG$2:$AL$113,4,FALSE),0)+IFERROR(VLOOKUP(SUBSTITUTE(SUBSTITUTE(SUBSTITUTE($MY47,"~","~~"),"*","~*"),"?","~?"),'DADOS_MELHORIAS'!$AG$2:$AL$113,4,FALSE),0)+IFERROR(VLOOKUP(SUBSTITUTE(SUBSTITUTE(SUBSTITUTE($MZ47,"~","~~"),"*","~*"),"?","~?"),'DADOS_MELHORIAS'!$AG$2:$AL$113,4,FALSE),0)+IFERROR(VLOOKUP(SUBSTITUTE(SUBSTITUTE(SUBSTITUTE($NA47,"~","~~"),"*","~*"),"?","~?"),'DADOS_MELHORIAS'!$AG$2:$AL$113,4,FALSE),0)</f>
        <v/>
      </c>
      <c r="OD47" s="164">
        <f>IFERROR(VLOOKUP(SUBSTITUTE(SUBSTITUTE(SUBSTITUTE($MX47,"~","~~"),"*","~*"),"?","~?"),'DADOS_MELHORIAS'!$AG$2:$AL$113,6,FALSE),0)+IFERROR(VLOOKUP(SUBSTITUTE(SUBSTITUTE(SUBSTITUTE($MY47,"~","~~"),"*","~*"),"?","~?"),'DADOS_MELHORIAS'!$AG$2:$AL$113,6,FALSE),0)+IFERROR(VLOOKUP(SUBSTITUTE(SUBSTITUTE(SUBSTITUTE($MZ47,"~","~~"),"*","~*"),"?","~?"),'DADOS_MELHORIAS'!$AG$2:$AL$113,6,FALSE),0)+IFERROR(VLOOKUP(SUBSTITUTE(SUBSTITUTE(SUBSTITUTE($NA47,"~","~~"),"*","~*"),"?","~?"),'DADOS_MELHORIAS'!$AG$2:$AL$113,6,FALSE),0)+IFERROR(N(AND(INDEX('DADOS_FORMAS'!$AO$2:$AO$21,MATCH(SUBSTITUTE(SUBSTITUTE(SUBSTITUTE($MU47,"~","~~"),"*","~*"),"?","~?"),'DADOS_FORMAS'!$AH$2:$AH$21,0))="Acerto",$OH47=1)),0)</f>
        <v/>
      </c>
      <c r="OE47" s="164">
        <f>TEXTJOIN(", ",TRUE,IF(IFERROR(VLOOKUP(SUBSTITUTE(SUBSTITUTE(SUBSTITUTE($MX47,"~","~~"),"*","~*"),"?","~?"),'DADOS_MELHORIAS'!$AG$2:$AL$113,5,FALSE),0)=1,$MX47,""),IF(IFERROR(VLOOKUP(SUBSTITUTE(SUBSTITUTE(SUBSTITUTE($MY47,"~","~~"),"*","~*"),"?","~?"),'DADOS_MELHORIAS'!$AG$2:$AL$113,5,FALSE),0)=1,$MY47,""),IF(IFERROR(VLOOKUP(SUBSTITUTE(SUBSTITUTE(SUBSTITUTE($MZ47,"~","~~"),"*","~*"),"?","~?"),'DADOS_MELHORIAS'!$AG$2:$AL$113,5,FALSE),0)=1,$MZ47,""),IF(IFERROR(VLOOKUP(SUBSTITUTE(SUBSTITUTE(SUBSTITUTE($NA47,"~","~~"),"*","~*"),"?","~?"),'DADOS_MELHORIAS'!$AG$2:$AL$113,5,FALSE),0)=1,$NA47,""))</f>
        <v/>
      </c>
      <c r="OF47" s="164">
        <f>IF($NJ47=0,0,INDEX('DADOS_FORMAS'!$GC$2:$GC$21,$NJ47))</f>
        <v/>
      </c>
      <c r="OG47" s="164">
        <f>IF($NJ47=0,0,INDEX('DADOS_FORMAS'!$GD$2:$GD$21,$NJ47))</f>
        <v/>
      </c>
      <c r="OH47" s="164">
        <f>IF($NJ47=0,0,INDEX('DADOS_FORMAS'!$GF$2:$GF$21,$NJ47))</f>
        <v/>
      </c>
      <c r="OI47" s="164">
        <f>IFERROR(VLOOKUP(SUBSTITUTE(SUBSTITUTE(SUBSTITUTE($NB47,"~","~~"),"*","~*"),"?","~?"),'DADOS_RESTRICOES'!$M$2:$Q$54,3,FALSE),0)</f>
        <v/>
      </c>
      <c r="OJ47" s="164">
        <f>IFERROR(VLOOKUP(SUBSTITUTE(SUBSTITUTE(SUBSTITUTE($NC47,"~","~~"),"*","~*"),"?","~?"),'DADOS_RESTRICOES'!$M$2:$Q$54,3,FALSE),0)</f>
        <v/>
      </c>
      <c r="OK47" s="164">
        <f>IFERROR(VLOOKUP(SUBSTITUTE(SUBSTITUTE(SUBSTITUTE($NB47,"~","~~"),"*","~*"),"?","~?"),'DADOS_RESTRICOES'!$M$2:$Q$54,2,FALSE),"")</f>
        <v/>
      </c>
      <c r="OL47" s="164">
        <f>IFERROR(VLOOKUP(SUBSTITUTE(SUBSTITUTE(SUBSTITUTE($NC47,"~","~~"),"*","~*"),"?","~?"),'DADOS_RESTRICOES'!$M$2:$Q$54,2,FALSE),"")</f>
        <v/>
      </c>
      <c r="OM47" s="164">
        <f>COUNTIF($NS47:$NW47,1)</f>
        <v/>
      </c>
      <c r="ON47" s="164">
        <f>COUNTIF($NS47:$NW47,2)</f>
        <v/>
      </c>
      <c r="OO47" s="164">
        <f>COUNTIF($NS47:$NW47,3)</f>
        <v/>
      </c>
      <c r="OP47" s="164">
        <f>COUNTIF($NS47:$NW47,4)</f>
        <v/>
      </c>
      <c r="OQ47" s="164">
        <f>COUNTIF($NS47:$NW47,5)</f>
        <v/>
      </c>
      <c r="OR47" s="164">
        <f>COUNTIF($NS47:$NW47,6)</f>
        <v/>
      </c>
      <c r="OS47" s="164">
        <f>COUNTIF($OI47:$OJ47,1)+IF(IFERROR(INDEX('DADOS_FORMAS'!$AS$2:$AS$21,MATCH(SUBSTITUTE(SUBSTITUTE(SUBSTITUTE($MU47,"~","~~"),"*","~*"),"?","~?"),'DADOS_FORMAS'!$AH$2:$AH$21,0)),"")="",0,IFERROR(N(VLOOKUP(SUBSTITUTE(SUBSTITUTE(SUBSTITUTE(IFERROR(INDEX('DADOS_FORMAS'!$AS$2:$AS$21,MATCH(SUBSTITUTE(SUBSTITUTE(SUBSTITUTE($MU47,"~","~~"),"*","~*"),"?","~?"),'DADOS_FORMAS'!$AH$2:$AH$21,0)),""),"~","~~"),"*","~*"),"?","~?"),'DADOS_RESTRICOES'!$M$2:$Q$54,3,FALSE)=1),0))</f>
        <v/>
      </c>
      <c r="OT47" s="164">
        <f>COUNTIF($OI47:$OJ47,2)+IF(IFERROR(INDEX('DADOS_FORMAS'!$AS$2:$AS$21,MATCH(SUBSTITUTE(SUBSTITUTE(SUBSTITUTE($MU47,"~","~~"),"*","~*"),"?","~?"),'DADOS_FORMAS'!$AH$2:$AH$21,0)),"")="",0,IFERROR(N(VLOOKUP(SUBSTITUTE(SUBSTITUTE(SUBSTITUTE(IFERROR(INDEX('DADOS_FORMAS'!$AS$2:$AS$21,MATCH(SUBSTITUTE(SUBSTITUTE(SUBSTITUTE($MU47,"~","~~"),"*","~*"),"?","~?"),'DADOS_FORMAS'!$AH$2:$AH$21,0)),""),"~","~~"),"*","~*"),"?","~?"),'DADOS_RESTRICOES'!$M$2:$Q$54,3,FALSE)=2),0))</f>
        <v/>
      </c>
      <c r="OU47" s="164">
        <f>COUNTIF($MX47:$NA47,"?*")</f>
        <v/>
      </c>
      <c r="OV47" s="164">
        <f>COUNTIF($NB47:$NC47,"?*")+$OF47</f>
        <v/>
      </c>
      <c r="OW47" s="164">
        <f>IF($MS47=0,0,SUMPRODUCT($OM47:$OR47,INDEX($I$2:$N$8,MAX(1,$MS47),0)))</f>
        <v/>
      </c>
      <c r="OX47" s="164">
        <f>IF($MS47=0,0,$OS47*CEILING($MS47/2,1)+$OT47*$MS47)</f>
        <v/>
      </c>
      <c r="OY47" s="164">
        <f>MIN(2*$MS47,$OX47)</f>
        <v/>
      </c>
      <c r="OZ47" s="164">
        <f>MIN($OY47,$OW47-IF($NS47=0,0,INDEX($I$2:$N$8,MAX(1,$MS47),$NS47)))</f>
        <v/>
      </c>
      <c r="PA47" s="164">
        <f>$OY47-$OZ47</f>
        <v/>
      </c>
      <c r="PB47" s="164">
        <f>IF($MS47=0,0,INDEX($P$2:$P$8,MAX(1,$MS47)))</f>
        <v/>
      </c>
      <c r="PC47" s="164">
        <f>$PB47-$OW47+$OZ47</f>
        <v/>
      </c>
      <c r="PD47" s="164">
        <f>IF($MS47=0,MAX(0,$NG47-IF(AND($OU47&gt;0,COUNTIF($NB47:$NC47,"?*")=0),1,0)),MAX(0,$PC47))</f>
        <v/>
      </c>
      <c r="PE47" s="164">
        <f>IF($MS47=0,0,(IF(COUNTIF($RK47:$RN47,"Salto")&gt;0,1,0)+IF(COUNTIF($RK47:$RN47,"Queima")&gt;0,1,0)+IF(COUNTIF($RK47:$RN47,"Estilhaço")&gt;0,1,0))*FLOOR($PD47/2,1))</f>
        <v/>
      </c>
      <c r="PF47" s="164">
        <f>MAX(0,2-SUMPRODUCT($OM47:$OR47,$I$2:$N$2)+MIN(2,$OS47*1+$OT47*1,SUMPRODUCT($OM47:$OR47,$I$2:$N$2)-IF($NS47=0,0,INDEX($I$2:$N$2,1,$NS47))))</f>
        <v/>
      </c>
      <c r="PG47" s="164">
        <f>MAX(0,4-SUMPRODUCT($OM47:$OR47,$I$3:$N$3)+MIN(4,$OS47*1+$OT47*2,SUMPRODUCT($OM47:$OR47,$I$3:$N$3)-IF($NS47=0,0,INDEX($I$3:$N$3,1,$NS47))))</f>
        <v/>
      </c>
      <c r="PH47" s="164">
        <f>MAX(0,6-SUMPRODUCT($OM47:$OR47,$I$4:$N$4)+MIN(6,$OS47*2+$OT47*3,SUMPRODUCT($OM47:$OR47,$I$4:$N$4)-IF($NS47=0,0,INDEX($I$4:$N$4,1,$NS47))))</f>
        <v/>
      </c>
      <c r="PI47" s="164">
        <f>MAX(0,9-SUMPRODUCT($OM47:$OR47,$I$5:$N$5)+MIN(8,$OS47*2+$OT47*4,SUMPRODUCT($OM47:$OR47,$I$5:$N$5)-IF($NS47=0,0,INDEX($I$5:$N$5,1,$NS47))))</f>
        <v/>
      </c>
      <c r="PJ47" s="164">
        <f>MAX(0,11-SUMPRODUCT($OM47:$OR47,$I$6:$N$6)+MIN(10,$OS47*3+$OT47*5,SUMPRODUCT($OM47:$OR47,$I$6:$N$6)-IF($NS47=0,0,INDEX($I$6:$N$6,1,$NS47))))</f>
        <v/>
      </c>
      <c r="PK47" s="164">
        <f>MAX(0,13-SUMPRODUCT($OM47:$OR47,$I$7:$N$7)+MIN(12,$OS47*3+$OT47*6,SUMPRODUCT($OM47:$OR47,$I$7:$N$7)-IF($NS47=0,0,INDEX($I$7:$N$7,1,$NS47))))</f>
        <v/>
      </c>
      <c r="PL47" s="164">
        <f>MAX(0,16-SUMPRODUCT($OM47:$OR47,$I$8:$N$8)+MIN(14,$OS47*4+$OT47*7,SUMPRODUCT($OM47:$OR47,$I$8:$N$8)-IF($NS47=0,0,INDEX($I$8:$N$8,1,$NS47))))</f>
        <v/>
      </c>
      <c r="PM47" s="164">
        <f>IF($OG47=2,3*$PF47&amp;" de vida temp.",IF($OG47=3,"sem dano",IF($PF47=0,IF($OG47=1,"sem cura","sem dano"),IF($OG47=1,"cura ","")&amp;$PF47&amp;"d8")))</f>
        <v/>
      </c>
      <c r="PN47" s="164">
        <f>IF($OG47=2,3*$PG47&amp;" de vida temp.",IF($OG47=3,"sem dano",IF($PG47=0,IF($OG47=1,"sem cura","sem dano"),IF($OG47=1,"cura ","")&amp;$PG47&amp;"d8")))</f>
        <v/>
      </c>
      <c r="PO47" s="164">
        <f>IF($OG47=2,3*$PH47&amp;" de vida temp.",IF($OG47=3,"sem dano",IF($PH47=0,IF($OG47=1,"sem cura","sem dano"),IF($OG47=1,"cura ","")&amp;$PH47&amp;"d8")))</f>
        <v/>
      </c>
      <c r="PP47" s="164">
        <f>IF($OG47=2,3*$PI47&amp;" de vida temp.",IF($OG47=3,"sem dano",IF($PI47=0,IF($OG47=1,"sem cura","sem dano"),IF($OG47=1,"cura ","")&amp;$PI47&amp;"d8")))</f>
        <v/>
      </c>
      <c r="PQ47" s="164">
        <f>IF($OG47=2,3*$PJ47&amp;" de vida temp.",IF($OG47=3,"sem dano",IF($PJ47=0,IF($OG47=1,"sem cura","sem dano"),IF($OG47=1,"cura ","")&amp;$PJ47&amp;"d8")))</f>
        <v/>
      </c>
      <c r="PR47" s="164">
        <f>IF($OG47=2,3*$PK47&amp;" de vida temp.",IF($OG47=3,"sem dano",IF($PK47=0,IF($OG47=1,"sem cura","sem dano"),IF($OG47=1,"cura ","")&amp;$PK47&amp;"d8")))</f>
        <v/>
      </c>
      <c r="PS47" s="164">
        <f>IF($OG47=2,3*$PL47&amp;" de vida temp.",IF($OG47=3,"sem dano",IF($PL47=0,IF($OG47=1,"sem cura","sem dano"),IF($OG47=1,"cura ","")&amp;$PL47&amp;"d8")))</f>
        <v/>
      </c>
      <c r="PT47" s="164">
        <f>IF($ND47=0,"",TEXTJOIN(" · ",TRUE,IF($ND47=0,"",TEXTJOIN(" · ",TRUE,IF($ND47=0,"",TEXTJOIN(" · ",TRUE,IF($MQ47&gt;$NE47,"Este lugar abre no nível "&amp;$MQ47,""),IF($MS47&gt;$NF47,"Classe "&amp;$MS47&amp;": o nível "&amp;$NE47&amp;" libera até a "&amp;$NF47,""),IF($NX47=1,"A Forma "&amp;$MU47&amp;" pede "&amp;INDEX('DADOS_FORMAS'!$GA$2:$GA$21,$NJ47)&amp;" aberta",""),IF(AND($MS47=0,$NJ47&gt;0,IF($NJ47=0,0,INDEX('DADOS_FORMAS'!$GJ$2:$GJ$21,$NJ47))=0),$MU47&amp;" não existe na Classe 0",""),IF($NY47=1,"Família Fechada: "&amp;$MX47,""),IF($NZ47=1,"Família Fechada: "&amp;$MY47,""),IF($OA47=1,"Família Fechada: "&amp;$MZ47,""),IF($OB47=1,"Família Fechada: "&amp;$NA47,""),IF(AND($MS47&gt;0,$OU47&gt;INDEX($O$2:$O$8,MAX(1,$MS47))),$OU47&amp;" Melhorias: a Classe "&amp;$MS47&amp;" aceita "&amp;INDEX($O$2:$O$8,MAX(1,$MS47)),""),IF(AND($MS47=0,$OU47&gt;1),"A básica aceita uma Melhoria",""),IF(AND($MS47=0,COUNTIF($NO47:$NR47,"&gt;1")&gt;0),"A básica só aceita Melhoria Leve",""),IF(AND($MS47&gt;0,$OV47&gt;2),$OV47&amp;" Restrições"&amp;IF($OF47=1,", contando a que a Forma "&amp;$MU47&amp;" já traz","")&amp;": o limite é 2",""),IF(AND($MS47=0,COUNTIF($NB47:$NC47,"?*")&gt;1),"A básica aceita uma Restrição Leve",""),IF(AND($MS47=0,COUNTIF($OI47:$OJ47,2)&gt;0),"A básica só aceita Restrição Leve",""),IF(AND($MS47&gt;0,$PC47&lt;0),"Orçamento estourado: faltam "&amp;(-$PC47)&amp;IF($PC47&lt;-1," pontos"," ponto"),""),IF(IFERROR(VLOOKUP(SUBSTITUTE(SUBSTITUTE(SUBSTITUTE($NB47,"~","~~"),"*","~*"),"?","~?"),'DADOS_RESTRICOES'!$M$2:$Q$54,4,FALSE),0)+IFERROR(VLOOKUP(SUBSTITUTE(SUBSTITUTE(SUBSTITUTE($NC47,"~","~~"),"*","~*"),"?","~?"),'DADOS_RESTRICOES'!$M$2:$Q$54,4,FALSE),0)&gt;1,$OK47&amp;" e "&amp;$OL47&amp;" são as duas de frequência",""),IF(AND((COUNTIF($RK47:$RN47,"Rápido")+COUNTIF($OK47:$OL47,"Rápido"))&gt;0,(COUNTIF($MX47:$NA47,"Atrasar")+COUNTIF($OK47:$OL47,"Atrasar"))&gt;0),"Rápido não entra com Atrasar",""),IF(AND((COUNTIF($RK47:$RN47,"Reação")+COUNTIF($OK47:$OL47,"Reação"))&gt;0,(COUNTIF($RK47:$RN47,"Rápido")+COUNTIF($OK47:$OL47,"Rápido"))&gt;0),"Reação não entra com Rápido",""),IF(AND((COUNTIF($RK47:$RN47,"Reação")+COUNTIF($OK47:$OL47,"Reação"))&gt;0,(COUNTIF($RK47:$RN47,"Armado")+COUNTIF($OK47:$OL47,"Armado"))&gt;0),"Reação não entra com Armado",""),IF(AND((COUNTIF($RK47:$RN47,"Reação")+COUNTIF($OK47:$OL47,"Reação"))&gt;0,(COUNTIF($MX47:$NA47,"Atrasar")+COUNTIF($OK47:$OL47,"Atrasar"))&gt;0),"Reação não entra com Atrasar",""),IF(AND((COUNTIF($RK47:$RN47,"Reação")+COUNTIF($OK47:$OL47,"Reação"))&gt;0,(COUNTIF($MX47:$NA47,"Parado")+COUNTIF($OK47:$OL47,"Parado"))&gt;0),"Reação não entra com Parado",""),IF(AND((COUNTIF($MX47:$NA47,"Atrasar")+COUNTIF($OK47:$OL47,"Atrasar"))&gt;0,(COUNTIF($MX47:$NA47,"Parado")+COUNTIF($OK47:$OL47,"Parado"))&gt;0),"Atrasar não entra com Parado",""),IF(AND((COUNTIF($RK47:$RN47,"Armado")+COUNTIF($OK47:$OL47,"Armado"))&gt;0,(COUNTIF($MX47:$NA47,"Carregar")+COUNTIF($OK47:$OL47,"Carregar"))&gt;0),"Armado não entra com Carregar",""),IF(AND(COUNTIF($OK47:$OL47,"Corpo a Corpo")&gt;0,$OF47=0,OR($RO47="Cone",$RO47="Linha")),"Corpo a Corpo não entra em "&amp;$MU47,""),IF(AND(COUNTIF($OK47:$OL47,"Corpo a Corpo")&gt;0,$RP47="Corpo a Corpo"),"A Forma "&amp;$MU47&amp;" já traz o Corpo a Corpo",""),IF(AND(COUNTIF($OK47:$OL47,"Tudo ou Nada")&gt;0,$OH47=0),"Tudo ou Nada só entra em habilidade de Teste de Resistência",""),IF(AND(COUNTIF($RK47:$RN47,"Inescapável")&gt;0,OR($OU47&gt;1,$OV47&gt;0)),"Inescapável não aceita outra peça",""),IF(AND($MS47&gt;0,$PD47*IF(COUNTIF($RK47:$RN47,"Remate")&gt;0,1.25,1)+$PE47&gt;4*$MS47),($PD47*IF(COUNTIF($RK47:$RN47,"Remate")&gt;0,1.25,1)+$PE47)&amp;" dados somando repetições"&amp;IF(COUNTIF($RK47:$RN47,"Remate")&gt;0," e o Remate","")&amp;": o teto da Classe "&amp;$MS47&amp;" é "&amp;4*$MS47,""))),IF(AND($MX47&lt;&gt;"",COUNTIF('DADOS_MELHORIAS'!$O$2:$O$113,SUBSTITUTE(SUBSTITUTE(SUBSTITUTE($MX47,"~","~~"),"*","~*"),"?","~?"))=0),"Melhoria não cadastrada ou com erro: "&amp;$MX47,""),IF(AND($MY47&lt;&gt;"",COUNTIF('DADOS_MELHORIAS'!$O$2:$O$113,SUBSTITUTE(SUBSTITUTE(SUBSTITUTE($MY47,"~","~~"),"*","~*"),"?","~?"))=0),"Melhoria não cadastrada ou com erro: "&amp;$MY47,""),IF(AND($MZ47&lt;&gt;"",COUNTIF('DADOS_MELHORIAS'!$O$2:$O$113,SUBSTITUTE(SUBSTITUTE(SUBSTITUTE($MZ47,"~","~~"),"*","~*"),"?","~?"))=0),"Melhoria não cadastrada ou com erro: "&amp;$MZ47,""),IF(AND($NA47&lt;&gt;"",COUNTIF('DADOS_MELHORIAS'!$O$2:$O$113,SUBSTITUTE(SUBSTITUTE(SUBSTITUTE($NA47,"~","~~"),"*","~*"),"?","~?"))=0),"Melhoria não cadastrada ou com erro: "&amp;$NA47,""),IF(AND($NB47&lt;&gt;"",COUNTIF('DADOS_RESTRICOES'!$M$2:$M$54,SUBSTITUTE(SUBSTITUTE(SUBSTITUTE($NB47,"~","~~"),"*","~*"),"?","~?"))=0),"Restrição não cadastrada ou com erro: "&amp;$NB47,""),IF(AND($NC47&lt;&gt;"",COUNTIF('DADOS_RESTRICOES'!$M$2:$M$54,SUBSTITUTE(SUBSTITUTE(SUBSTITUTE($NC47,"~","~~"),"*","~*"),"?","~?"))=0),"Restrição não cadastrada ou com erro: "&amp;$NC47,""))),IF(AND($MU47&lt;&gt;"",COUNTIF('DADOS_FORMAS'!$AH$2:$AH$21,SUBSTITUTE(SUBSTITUTE(SUBSTITUTE($MU47,"~","~~"),"*","~*"),"?","~?"))=0),"Forma não cadastrada ou com erro: "&amp;$MU47,""),IF(AND(IFERROR(INDEX('DADOS_FORMAS'!$AS$2:$AS$21,MATCH(SUBSTITUTE(SUBSTITUTE(SUBSTITUTE($MU47,"~","~~"),"*","~*"),"?","~?"),'DADOS_FORMAS'!$AH$2:$AH$21,0)),"")&lt;&gt;"",OR(IFERROR(VLOOKUP(SUBSTITUTE(SUBSTITUTE(SUBSTITUTE(IFERROR(INDEX('DADOS_FORMAS'!$AS$2:$AS$21,MATCH(SUBSTITUTE(SUBSTITUTE(SUBSTITUTE($MU47,"~","~~"),"*","~*"),"?","~?"),'DADOS_FORMAS'!$AH$2:$AH$21,0)),""),"~","~~"),"*","~*"),"?","~?"),'DADOS_RESTRICOES'!$M$2:$Q$54,2,FALSE),"")=$OK47,IFERROR(VLOOKUP(SUBSTITUTE(SUBSTITUTE(SUBSTITUTE(IFERROR(INDEX('DADOS_FORMAS'!$AS$2:$AS$21,MATCH(SUBSTITUTE(SUBSTITUTE(SUBSTITUTE($MU47,"~","~~"),"*","~*"),"?","~?"),'DADOS_FORMAS'!$AH$2:$AH$21,0)),""),"~","~~"),"*","~*"),"?","~?"),'DADOS_RESTRICOES'!$M$2:$Q$54,2,FALSE),"")=$OL47)),"Restrição repetida, contando a embutida",""),IF(IF(IFERROR(INDEX('DADOS_FORMAS'!$AS$2:$AS$21,MATCH(SUBSTITUTE(SUBSTITUTE(SUBSTITUTE($MU47,"~","~~"),"*","~*"),"?","~?"),'DADOS_FORMAS'!$AH$2:$AH$21,0)),"")="",0,IFERROR(N(VLOOKUP(SUBSTITUTE(SUBSTITUTE(SUBSTITUTE(IFERROR(INDEX('DADOS_FORMAS'!$AS$2:$AS$21,MATCH(SUBSTITUTE(SUBSTITUTE(SUBSTITUTE($MU47,"~","~~"),"*","~*"),"?","~?"),'DADOS_FORMAS'!$AH$2:$AH$21,0)),""),"~","~~"),"*","~*"),"?","~?"),'DADOS_RESTRICOES'!$M$2:$Q$54,4,FALSE)=1),0))+IF($NB47="",0,IFERROR(N(VLOOKUP(SUBSTITUTE(SUBSTITUTE(SUBSTITUTE($NB47,"~","~~"),"*","~*"),"?","~?"),'DADOS_RESTRICOES'!$M$2:$Q$54,4,FALSE)=1),0))+IF($NC47="",0,IFERROR(N(VLOOKUP(SUBSTITUTE(SUBSTITUTE(SUBSTITUTE($NC47,"~","~~"),"*","~*"),"?","~?"),'DADOS_RESTRICOES'!$M$2:$Q$54,4,FALSE)=1),0))&gt;1,"Duas Restrições de frequência, contando a embutida",""),IF(AND(IFERROR(VLOOKUP(SUBSTITUTE(SUBSTITUTE(SUBSTITUTE(IFERROR(INDEX('DADOS_FORMAS'!$AS$2:$AS$21,MATCH(SUBSTITUTE(SUBSTITUTE(SUBSTITUTE($MU47,"~","~~"),"*","~*"),"?","~?"),'DADOS_FORMAS'!$AH$2:$AH$21,0)),""),"~","~~"),"*","~*"),"?","~?"),'DADOS_RESTRICOES'!$M$2:$Q$54,2,FALSE),"")="Tudo ou Nada",$OH47=0),"Tudo ou Nada exige TR",""),IF(AND(IFERROR(VLOOKUP(SUBSTITUTE(SUBSTITUTE(SUBSTITUTE(IFERROR(INDEX('DADOS_FORMAS'!$AS$2:$AS$21,MATCH(SUBSTITUTE(SUBSTITUTE(SUBSTITUTE($MU47,"~","~~"),"*","~*"),"?","~?"),'DADOS_FORMAS'!$AH$2:$AH$21,0)),""),"~","~~"),"*","~*"),"?","~?"),'DADOS_RESTRICOES'!$M$2:$Q$54,2,FALSE),"")="Corpo a Corpo",OR($RO47="Cone",$RO47="Linha")),"Corpo a Corpo não entra em Cone/Linha","")))</f>
        <v/>
      </c>
      <c r="PU47" s="164">
        <f>IF($PT47="",0,(LEN($PT47)-LEN(SUBSTITUTE($PT47," · ","")))/3+1)</f>
        <v/>
      </c>
      <c r="PV47" s="164">
        <f>IF($ND47=0,"",TEXTJOIN(" · ",TRUE,IF($OX47&gt;2*$MS47,"A devolução parou no teto de "&amp;2*$MS47,""),IF($PA47&gt;0,"Devolução perdida: "&amp;$PA47&amp;IF($PA47&gt;1," pontos"," ponto")&amp;" sem Melhoria para pagar",""),IF(AND($OC47&gt;0,AND($MS47&gt;0,$OG47=0),$PD47=0),"Controle sem dano: uma rodada a mais e CD +2",""),IF(AND($OC47&gt;0,AND($MS47&gt;0,$OG47=0),$PD47&gt;0,$PD47&lt;=$MS47),"Controle com saldo até a Classe: uma rodada a mais",""),IF(AND($MS47&gt;0,$OE47&lt;&gt;""),"Efeito de "&amp;$OE47&amp;" pela Classe "&amp;MAX(1,$MS47-1),"")))</f>
        <v/>
      </c>
      <c r="PW47" s="164">
        <f>IF($PV47="",0,(LEN($PV47)-LEN(SUBSTITUTE($PV47," · ","")))/3+1)</f>
        <v/>
      </c>
      <c r="PX47" s="164">
        <f>IF($ND47=0,IF($OU47+COUNTIF($NB47:$NC47,"?*")&gt;0,"Dê um nome",""),IF($PU47&gt;0,"⚠ "&amp;$PU47&amp;IF($PU47&gt;1," erros"," erro"),IF($PW47&gt;0,"! "&amp;$PW47&amp;IF($PW47&gt;1," avisos"," aviso"),"Na regra")))</f>
        <v/>
      </c>
      <c r="PY47" s="164">
        <f>IF($ND47=0,"",IF($PU47+$PW47=0,"Dentro das regras que a ficha confere",$PT47&amp;IF(AND($PU47&gt;0,$PW47&gt;0)," · ","")&amp;$PV47))</f>
        <v/>
      </c>
      <c r="PZ47" s="164">
        <f>IF($MQ47&gt;$NE47,$MR47&amp;" · ABRE NO NÍVEL "&amp;$MQ47,$MR47)</f>
        <v/>
      </c>
      <c r="QA47" s="164">
        <f>IF($ND47=0,"",IF($MS47=0,"Sem PE",3*$MS47&amp;" PE"))</f>
        <v/>
      </c>
      <c r="QB47" s="164">
        <f>IF($ND47=0,"",IF($MS47=0,"A atuação básica dela",IF(COUNTIF($RQ47:$RS47,"Atrasar")&gt;0,"Sua Ação Completa",IF(COUNTIF($RK47:$RN47,"Rápido")&gt;0,"Sua Bônus",IF(COUNTIF($RK47:$RN47,"Reação")&gt;0,"Sua Reação","Sua Padrão")))&amp;" + a básica dela"&amp;IF(COUNTIF($RK47:$RN47,"Reação")&gt;0," e a coletiva","")&amp;IF(COUNTIF($RQ47:$RS47,"Carregar")&gt;0," · em dois turnos","")))</f>
        <v/>
      </c>
      <c r="QC47" s="164">
        <f>IF($MW47&lt;&gt;"",$MW47,IF($NJ47=0,"",INDEX('DADOS_FORMAS'!$GE$2:$GE$21,$NJ47)))</f>
        <v/>
      </c>
      <c r="QD47" s="164">
        <f>IF(OR($ND47=0,$NJ47=0),"",IF(COUNTIF($RK47:$RN47,"Inescapável")&gt;0,"Automático",IF($QC47="Ataque",IF($NH47="","Ataque","Ataque "&amp;IF(($NH47+2*IF(COUNTIF($RK47:$RN47,"Precisão")&gt;0,1,0))&gt;=0,"+","−")&amp;ABS(($NH47+2*IF(COUNTIF($RK47:$RN47,"Precisão")&gt;0,1,0))))&amp;IF($OD47&gt;0," · TR"&amp;IF($NI47="",""," CD "&amp;$NI47),""),IF(LEFT($QC47,2)="TR",$QC47&amp;IF($NI47="",""," · CD "&amp;$NI47)&amp;IF(COUNTIF($RK47:$RN47,"Certeiro")&gt;0," · metade",""),"Sem rolagem"))))</f>
        <v/>
      </c>
      <c r="QE47" s="164">
        <f>IF(OR($ND47=0,$NJ47=0),"",IF($MS47=0,IF(OR($OG47&gt;=1,$PD47=0),"Sem dano",$PD47&amp;"d6"&amp;IF($MV47="",""," "&amp;$MV47)),IF(OR($OG47&gt;=1,$PD47=0),UPPER(LEFT(INDEX($PM47:$PS47,1,MAX(1,$MS47)),1))&amp;MID(INDEX($PM47:$PS47,1,MAX(1,$MS47)),2,99),UPPER(LEFT(INDEX($PM47:$PS47,1,MAX(1,$MS47)),1))&amp;MID(INDEX($PM47:$PS47,1,MAX(1,$MS47)),2,99)&amp;IF($MV47="",""," "&amp;$MV47)&amp;IF($PE47&gt;0," · +"&amp;$PE47&amp;"d8",""))))</f>
        <v/>
      </c>
      <c r="QF47" s="164">
        <f>COUNTIF($RK47:$RN47,"Longe")+3*COUNTIF($RK47:$RN47,"Muito Longe")</f>
        <v/>
      </c>
      <c r="QG47" s="164">
        <f>COUNTIF($RK47:$RN47,"Maior")+3*COUNTIF($RK47:$RN47,"Muito Maior")</f>
        <v/>
      </c>
      <c r="QH47" s="164">
        <f>IF($NJ47=0,0,CHOOSE(1+INDEX('DADOS_FORMAS'!$GG$2:$GG$21,$NJ47),0,$QF47,$QG47,$QF47+$QG47))</f>
        <v/>
      </c>
      <c r="QI47" s="164">
        <f>IF($NJ47=0,0,CHOOSE(1+INDEX('DADOS_FORMAS'!$GH$2:$GH$21,$NJ47),0,$QF47,$QG47,$QF47+$QG47))</f>
        <v/>
      </c>
      <c r="QJ47" s="164">
        <f>IF(OR($ND47=0,$NJ47=0),"",INDEX('DADOS_FORMAS'!$HU$2:$HZ$81,($NJ47-1)*4+IF($MS47=0,1,IF($MS47&lt;=5,2,IF($MS47=6,3,4))),1+MIN(5,$QH47))&amp;INDEX('DADOS_FORMAS'!$IA$2:$IF$81,($NJ47-1)*4+IF($MS47=0,1,IF($MS47&lt;=5,2,IF($MS47=6,3,4))),1+MIN(5,$QI47))&amp;IF(INDEX('DADOS_FORMAS'!$GI$2:$GI$21,$NJ47)=1,IF(COUNTIF($RK47:$RN47,"Mais Um")&gt;0," · +"&amp;COUNTIF($RK47:$RN47,"Mais Um")&amp;IF(COUNTIF($RK47:$RN47,"Mais Um")&gt;1," alvos"," alvo"),"")&amp;IF(COUNTIF($RK47:$RN47,"Rajada")&gt;0,IF($MS47=0," · 1 tiro"," · "&amp;(MAX(1,$MS47-1)+1)&amp;" tiros"),""),""))</f>
        <v/>
      </c>
      <c r="QK47" s="164">
        <f>IF($ND47=0,"",IF($MS47=0,$NG47&amp;"d6"&amp;IF($OU47&gt;0," − 1 = "&amp;$PD47&amp;"d6"," da básica do nível "&amp;$NE47),$PB47&amp;" − "&amp;$OW47&amp;" + "&amp;$OZ47&amp;" = "&amp;$PC47&amp;" · teto "&amp;4*$MS47&amp;"d8"&amp;IF($OF47=1," · a Forma devolve "&amp;$MS47,"")&amp;IF($PA47&gt;0," · perde "&amp;$PA47,"")))</f>
        <v/>
      </c>
      <c r="QL47" s="164">
        <f>IF($ND47=0,"",IF($MS47=0,"A básica não amplia: os dados dela sobem com o nível",IF($MS47&gt;=$NF47,"Já está na maior Classe que o nível liberou",TEXTJOIN(" · ",TRUE,IF(AND(2&gt;$MS47,2&lt;=$NF47),"2 → "&amp;$PN47&amp;", 6 PE",""),IF(AND(3&gt;$MS47,3&lt;=$NF47),"3 → "&amp;$PO47&amp;", 9 PE",""),IF(AND(4&gt;$MS47,4&lt;=$NF47),"4 → "&amp;$PP47&amp;", 12 PE",""),IF(AND(5&gt;$MS47,5&lt;=$NF47),"5 → "&amp;$PQ47&amp;", 15 PE",""),IF(AND(6&gt;$MS47,6&lt;=$NF47),"6 → "&amp;$PR47&amp;", 18 PE",""),IF(AND(7&gt;$MS47,7&lt;=$NF47),"7 → "&amp;$PS47&amp;", 21 PE","")))))</f>
        <v/>
      </c>
      <c r="QM47" s="164">
        <f>IF(OR($ND47=0,$NO47=0),"",IF($MS47=0,"−1 dado","−"&amp;INDEX($I$2:$N$8,MAX(1,$MS47),MAX(1,$NT47))&amp;" · "&amp;CHOOSE(MAX(1,$NT47),"Leve","Média","Pesada","Leve · Livre","Média · Livre","Pesada · Livre")))</f>
        <v/>
      </c>
      <c r="QN47" s="164">
        <f>IF(OR($ND47=0,$NP47=0),"",IF($MS47=0,"−1 dado","−"&amp;INDEX($I$2:$N$8,MAX(1,$MS47),MAX(1,$NU47))&amp;" · "&amp;CHOOSE(MAX(1,$NU47),"Leve","Média","Pesada","Leve · Livre","Média · Livre","Pesada · Livre")))</f>
        <v/>
      </c>
      <c r="QO47" s="164">
        <f>IF(OR($ND47=0,$NQ47=0),"",IF($MS47=0,"−1 dado","−"&amp;INDEX($I$2:$N$8,MAX(1,$MS47),MAX(1,$NV47))&amp;" · "&amp;CHOOSE(MAX(1,$NV47),"Leve","Média","Pesada","Leve · Livre","Média · Livre","Pesada · Livre")))</f>
        <v/>
      </c>
      <c r="QP47" s="164">
        <f>IF(OR($ND47=0,$NR47=0),"",IF($MS47=0,"−1 dado","−"&amp;INDEX($I$2:$N$8,MAX(1,$MS47),MAX(1,$NW47))&amp;" · "&amp;CHOOSE(MAX(1,$NW47),"Leve","Média","Pesada","Leve · Livre","Média · Livre","Pesada · Livre")))</f>
        <v/>
      </c>
      <c r="QQ47" s="164">
        <f>IF(OR($ND47=0,$NB47=""),"",IF($MS47=0,"não devolve","+"&amp;IF($OI47=1,CEILING($MS47/2,1),$MS47)))</f>
        <v/>
      </c>
      <c r="QR47" s="164">
        <f>IF(OR($ND47=0,$NC47=""),"",IF($MS47=0,"não devolve","+"&amp;IF($OJ47=1,CEILING($MS47/2,1),$MS47)))</f>
        <v/>
      </c>
      <c r="RK47">
        <f>IF($MX47="","",IFERROR(VLOOKUP(SUBSTITUTE(SUBSTITUTE(SUBSTITUTE($MX47,"~","~~"),"*","~*"),"?","~?"),'DADOS_MELHORIAS'!$O$2:$X$113,10,FALSE),$MX47))</f>
        <v/>
      </c>
      <c r="RL47">
        <f>IF($MY47="","",IFERROR(VLOOKUP(SUBSTITUTE(SUBSTITUTE(SUBSTITUTE($MY47,"~","~~"),"*","~*"),"?","~?"),'DADOS_MELHORIAS'!$O$2:$X$113,10,FALSE),$MY47))</f>
        <v/>
      </c>
      <c r="RM47">
        <f>IF($MZ47="","",IFERROR(VLOOKUP(SUBSTITUTE(SUBSTITUTE(SUBSTITUTE($MZ47,"~","~~"),"*","~*"),"?","~?"),'DADOS_MELHORIAS'!$O$2:$X$113,10,FALSE),$MZ47))</f>
        <v/>
      </c>
      <c r="RN47">
        <f>IF($NA47="","",IFERROR(VLOOKUP(SUBSTITUTE(SUBSTITUTE(SUBSTITUTE($NA47,"~","~~"),"*","~*"),"?","~?"),'DADOS_MELHORIAS'!$O$2:$X$113,10,FALSE),$NA47))</f>
        <v/>
      </c>
      <c r="RO47">
        <f>IFERROR(INDEX('DADOS_FORMAS'!$BJ$2:$BJ$21,MATCH(SUBSTITUTE(SUBSTITUTE(SUBSTITUTE($MU47,"~","~~"),"*","~*"),"?","~?"),'DADOS_FORMAS'!$AH$2:$AH$21,0)),"")</f>
        <v/>
      </c>
      <c r="RP47">
        <f>IFERROR(VLOOKUP(SUBSTITUTE(SUBSTITUTE(SUBSTITUTE(IFERROR(INDEX('DADOS_FORMAS'!$AS$2:$AS$21,MATCH(SUBSTITUTE(SUBSTITUTE(SUBSTITUTE($MU47,"~","~~"),"*","~*"),"?","~?"),'DADOS_FORMAS'!$AH$2:$AH$21,0)),""),"~","~~"),"*","~*"),"?","~?"),'DADOS_RESTRICOES'!$M$2:$Q$54,2,FALSE),"")</f>
        <v/>
      </c>
      <c r="RQ47">
        <f>$OK47</f>
        <v/>
      </c>
      <c r="RR47">
        <f>$OL47</f>
        <v/>
      </c>
      <c r="RS47">
        <f>$RP47</f>
        <v/>
      </c>
    </row>
    <row r="48">
      <c r="AV48" s="162" t="inlineStr">
        <is>
          <t>Guarda</t>
        </is>
      </c>
      <c r="AW48" s="162" t="inlineStr">
        <is>
          <t>Auxiliares</t>
        </is>
      </c>
      <c r="AX48" s="164" t="n">
        <v>2</v>
      </c>
      <c r="AY48" s="164" t="n">
        <v>0</v>
      </c>
      <c r="AZ48" s="164" t="n">
        <v>0</v>
      </c>
      <c r="BA48" s="164" t="n">
        <v>0</v>
      </c>
      <c r="JT48" s="164">
        <f>IF(OR($AW48="",(COUNTIF($EL$2:$EP$2,$AW48)+COUNTIF($QV$2:$QY$2,$AW48))&gt;0),$AV48,"")</f>
        <v/>
      </c>
      <c r="JU48" s="164">
        <f>IF(AND($AX48=1,OR($AW48="",(COUNTIF($EL$2:$EP$2,$AW48)+COUNTIF($QV$2:$QY$2,$AW48))&gt;0)),$AV48,"")</f>
        <v/>
      </c>
      <c r="JZ48" s="164">
        <f>IF(OR($AW48="",(COUNTIF($EL$3:$EP$3,$AW48)+COUNTIF($QV$3:$QY$3,$AW48))&gt;0),$AV48,"")</f>
        <v/>
      </c>
      <c r="KA48" s="164">
        <f>IF(AND($AX48=1,OR($AW48="",(COUNTIF($EL$3:$EP$3,$AW48)+COUNTIF($QV$3:$QY$3,$AW48))&gt;0)),$AV48,"")</f>
        <v/>
      </c>
      <c r="KF48" s="164">
        <f>IF(OR($AW48="",(COUNTIF($EL$4:$EP$4,$AW48)+COUNTIF($QV$4:$QY$4,$AW48))&gt;0),$AV48,"")</f>
        <v/>
      </c>
      <c r="KG48" s="164">
        <f>IF(AND($AX48=1,OR($AW48="",(COUNTIF($EL$4:$EP$4,$AW48)+COUNTIF($QV$4:$QY$4,$AW48))&gt;0)),$AV48,"")</f>
        <v/>
      </c>
      <c r="KL48" s="164">
        <f>IF(OR($AW48="",(COUNTIF($EL$5:$EP$5,$AW48)+COUNTIF($QV$5:$QY$5,$AW48))&gt;0),$AV48,"")</f>
        <v/>
      </c>
      <c r="KM48" s="164">
        <f>IF(AND($AX48=1,OR($AW48="",(COUNTIF($EL$5:$EP$5,$AW48)+COUNTIF($QV$5:$QY$5,$AW48))&gt;0)),$AV48,"")</f>
        <v/>
      </c>
      <c r="KR48" s="164">
        <f>IF(OR($AW48="",(COUNTIF($EL$6:$EP$6,$AW48)+COUNTIF($QV$6:$QY$6,$AW48))&gt;0),$AV48,"")</f>
        <v/>
      </c>
      <c r="KS48" s="164">
        <f>IF(AND($AX48=1,OR($AW48="",(COUNTIF($EL$6:$EP$6,$AW48)+COUNTIF($QV$6:$QY$6,$AW48))&gt;0)),$AV48,"")</f>
        <v/>
      </c>
      <c r="KX48" s="164">
        <f>IF(OR($AW48="",(COUNTIF($EL$7:$EP$7,$AW48)+COUNTIF($QV$7:$QY$7,$AW48))&gt;0),$AV48,"")</f>
        <v/>
      </c>
      <c r="KY48" s="164">
        <f>IF(AND($AX48=1,OR($AW48="",(COUNTIF($EL$7:$EP$7,$AW48)+COUNTIF($QV$7:$QY$7,$AW48))&gt;0)),$AV48,"")</f>
        <v/>
      </c>
      <c r="LD48" s="164">
        <f>IF(OR($AW48="",(COUNTIF($EL$8:$EP$8,$AW48)+COUNTIF($QV$8:$QY$8,$AW48))&gt;0),$AV48,"")</f>
        <v/>
      </c>
      <c r="LE48" s="164">
        <f>IF(AND($AX48=1,OR($AW48="",(COUNTIF($EL$8:$EP$8,$AW48)+COUNTIF($QV$8:$QY$8,$AW48))&gt;0)),$AV48,"")</f>
        <v/>
      </c>
      <c r="LJ48" s="164">
        <f>IF(OR($AW48="",(COUNTIF($EL$9:$EP$9,$AW48)+COUNTIF($QV$9:$QY$9,$AW48))&gt;0),$AV48,"")</f>
        <v/>
      </c>
      <c r="LK48" s="164">
        <f>IF(AND($AX48=1,OR($AW48="",(COUNTIF($EL$9:$EP$9,$AW48)+COUNTIF($QV$9:$QY$9,$AW48))&gt;0)),$AV48,"")</f>
        <v/>
      </c>
      <c r="LP48" s="164">
        <f>IF(OR($AW48="",(COUNTIF($EL$10:$EP$10,$AW48)+COUNTIF($QV$10:$QY$10,$AW48))&gt;0),$AV48,"")</f>
        <v/>
      </c>
      <c r="LQ48" s="164">
        <f>IF(AND($AX48=1,OR($AW48="",(COUNTIF($EL$10:$EP$10,$AW48)+COUNTIF($QV$10:$QY$10,$AW48))&gt;0)),$AV48,"")</f>
        <v/>
      </c>
      <c r="LV48" s="164">
        <f>IF(OR($AW48="",(COUNTIF($EL$11:$EP$11,$AW48)+COUNTIF($QV$11:$QY$11,$AW48))&gt;0),$AV48,"")</f>
        <v/>
      </c>
      <c r="LW48" s="164">
        <f>IF(AND($AX48=1,OR($AW48="",(COUNTIF($EL$11:$EP$11,$AW48)+COUNTIF($QV$11:$QY$11,$AW48))&gt;0)),$AV48,"")</f>
        <v/>
      </c>
      <c r="MB48" s="164">
        <f>IF(OR($AW48="",(COUNTIF($EL$12:$EP$12,$AW48)+COUNTIF($QV$12:$QY$12,$AW48))&gt;0),$AV48,"")</f>
        <v/>
      </c>
      <c r="MC48" s="164">
        <f>IF(AND($AX48=1,OR($AW48="",(COUNTIF($EL$12:$EP$12,$AW48)+COUNTIF($QV$12:$QY$12,$AW48))&gt;0)),$AV48,"")</f>
        <v/>
      </c>
      <c r="MH48" s="164">
        <f>IF(OR($AW48="",(COUNTIF($EL$13:$EP$13,$AW48)+COUNTIF($QV$13:$QY$13,$AW48))&gt;0),$AV48,"")</f>
        <v/>
      </c>
      <c r="MI48" s="164">
        <f>IF(AND($AX48=1,OR($AW48="",(COUNTIF($EL$13:$EP$13,$AW48)+COUNTIF($QV$13:$QY$13,$AW48))&gt;0)),$AV48,"")</f>
        <v/>
      </c>
      <c r="MN48" s="162" t="inlineStr">
        <is>
          <t>Ficha 4 · Especial 6</t>
        </is>
      </c>
      <c r="MO48" s="164" t="n">
        <v>4</v>
      </c>
      <c r="MP48" s="164" t="n">
        <v>1</v>
      </c>
      <c r="MQ48" s="164" t="n">
        <v>20</v>
      </c>
      <c r="MR48" s="162" t="inlineStr">
        <is>
          <t>ESPECIAL 6</t>
        </is>
      </c>
      <c r="MS48" s="164">
        <f>MAX(1,MIN(7,N('INVOCAÇÕES'!$O$760)))</f>
        <v/>
      </c>
      <c r="MT48" s="164">
        <f>'INVOCAÇÕES'!$P$760&amp;""</f>
        <v/>
      </c>
      <c r="MU48" s="164">
        <f>'INVOCAÇÕES'!$O$765&amp;""</f>
        <v/>
      </c>
      <c r="MV48" s="164">
        <f>'INVOCAÇÕES'!$O$766&amp;""</f>
        <v/>
      </c>
      <c r="MW48" s="164">
        <f>'INVOCAÇÕES'!$Q$766&amp;""</f>
        <v/>
      </c>
      <c r="MX48" s="164">
        <f>'INVOCAÇÕES'!$P$769&amp;""</f>
        <v/>
      </c>
      <c r="MY48" s="164">
        <f>'INVOCAÇÕES'!$P$770&amp;""</f>
        <v/>
      </c>
      <c r="MZ48" s="164">
        <f>'INVOCAÇÕES'!$P$771&amp;""</f>
        <v/>
      </c>
      <c r="NA48" s="164">
        <f>'INVOCAÇÕES'!$P$772&amp;""</f>
        <v/>
      </c>
      <c r="NB48" s="164">
        <f>'INVOCAÇÕES'!$P$773&amp;""</f>
        <v/>
      </c>
      <c r="NC48" s="164">
        <f>'INVOCAÇÕES'!$P$774&amp;""</f>
        <v/>
      </c>
      <c r="ND48" s="164">
        <f>IF($MT48&lt;&gt;"",1,0)</f>
        <v/>
      </c>
      <c r="NE48" s="164">
        <f>INDEX($FO$2:$FO$13,$MO48)</f>
        <v/>
      </c>
      <c r="NF48" s="164">
        <f>INDEX($FP$2:$FP$13,$MO48)</f>
        <v/>
      </c>
      <c r="NG48" s="164">
        <f>INDEX($FQ$2:$FQ$13,$MO48)</f>
        <v/>
      </c>
      <c r="NH48" s="164">
        <f>INDEX($GB$2:$GB$13,$MO48)</f>
        <v/>
      </c>
      <c r="NI48" s="164">
        <f>INDEX($GC$2:$GC$13,$MO48)</f>
        <v/>
      </c>
      <c r="NJ48" s="164">
        <f>IFERROR(MATCH(SUBSTITUTE(SUBSTITUTE(SUBSTITUTE($MU48,"~","~~"),"*","~*"),"?","~?"),'DADOS_FORMAS'!$FZ$2:$FZ$21,0),0)</f>
        <v/>
      </c>
      <c r="NK48" s="164">
        <f>IFERROR(VLOOKUP(SUBSTITUTE(SUBSTITUTE(SUBSTITUTE($MX48,"~","~~"),"*","~*"),"?","~?"),'DADOS_MELHORIAS'!$AG$2:$AL$113,2,FALSE),"")</f>
        <v/>
      </c>
      <c r="NL48" s="164">
        <f>IFERROR(VLOOKUP(SUBSTITUTE(SUBSTITUTE(SUBSTITUTE($MY48,"~","~~"),"*","~*"),"?","~?"),'DADOS_MELHORIAS'!$AG$2:$AL$113,2,FALSE),"")</f>
        <v/>
      </c>
      <c r="NM48" s="164">
        <f>IFERROR(VLOOKUP(SUBSTITUTE(SUBSTITUTE(SUBSTITUTE($MZ48,"~","~~"),"*","~*"),"?","~?"),'DADOS_MELHORIAS'!$AG$2:$AL$113,2,FALSE),"")</f>
        <v/>
      </c>
      <c r="NN48" s="164">
        <f>IFERROR(VLOOKUP(SUBSTITUTE(SUBSTITUTE(SUBSTITUTE($NA48,"~","~~"),"*","~*"),"?","~?"),'DADOS_MELHORIAS'!$AG$2:$AL$113,2,FALSE),"")</f>
        <v/>
      </c>
      <c r="NO48" s="164">
        <f>IFERROR(VLOOKUP(SUBSTITUTE(SUBSTITUTE(SUBSTITUTE($MX48,"~","~~"),"*","~*"),"?","~?"),'DADOS_MELHORIAS'!$AG$2:$AL$113,3,FALSE),0)</f>
        <v/>
      </c>
      <c r="NP48" s="164">
        <f>IFERROR(VLOOKUP(SUBSTITUTE(SUBSTITUTE(SUBSTITUTE($MY48,"~","~~"),"*","~*"),"?","~?"),'DADOS_MELHORIAS'!$AG$2:$AL$113,3,FALSE),0)</f>
        <v/>
      </c>
      <c r="NQ48" s="164">
        <f>IFERROR(VLOOKUP(SUBSTITUTE(SUBSTITUTE(SUBSTITUTE($MZ48,"~","~~"),"*","~*"),"?","~?"),'DADOS_MELHORIAS'!$AG$2:$AL$113,3,FALSE),0)</f>
        <v/>
      </c>
      <c r="NR48" s="164">
        <f>IFERROR(VLOOKUP(SUBSTITUTE(SUBSTITUTE(SUBSTITUTE($NA48,"~","~~"),"*","~*"),"?","~?"),'DADOS_MELHORIAS'!$AG$2:$AL$113,3,FALSE),0)</f>
        <v/>
      </c>
      <c r="NS48" s="164">
        <f>IF($MS48=0,0,IF($NJ48=0,0,INDEX('DADOS_FORMAS'!$GB$2:$GB$21,$NJ48)))</f>
        <v/>
      </c>
      <c r="NT48" s="164">
        <f>IF(OR($NO48=0,$MS48=0),0,$NO48+3*IF(AND($NK48&lt;&gt;"",COUNTIF(INDEX($RB$2:$RJ$13,$MO48,0),$NK48)&gt;0),1,0))</f>
        <v/>
      </c>
      <c r="NU48" s="164">
        <f>IF(OR($NP48=0,$MS48=0),0,$NP48+3*IF(AND($NL48&lt;&gt;"",COUNTIF(INDEX($RB$2:$RJ$13,$MO48,0),$NL48)&gt;0),1,0))</f>
        <v/>
      </c>
      <c r="NV48" s="164">
        <f>IF(OR($NQ48=0,$MS48=0),0,$NQ48+3*IF(AND($NM48&lt;&gt;"",COUNTIF(INDEX($RB$2:$RJ$13,$MO48,0),$NM48)&gt;0),1,0))</f>
        <v/>
      </c>
      <c r="NW48" s="164">
        <f>IF(OR($NR48=0,$MS48=0),0,$NR48+3*IF(AND($NN48&lt;&gt;"",COUNTIF(INDEX($RB$2:$RJ$13,$MO48,0),$NN48)&gt;0),1,0))</f>
        <v/>
      </c>
      <c r="NX48" s="164">
        <f>IF($NJ48=0,0,IF(INDEX('DADOS_FORMAS'!$GA$2:$GA$21,$NJ48)="",0,IF((COUNTIF(INDEX($EL$2:$EP$13,$MO48,0),INDEX('DADOS_FORMAS'!$GA$2:$GA$21,$NJ48))+COUNTIF(INDEX($QV$2:$QY$13,$MO48,0),INDEX('DADOS_FORMAS'!$GA$2:$GA$21,$NJ48)))=0,1,0)))</f>
        <v/>
      </c>
      <c r="NY48" s="164">
        <f>IF(OR($NO48=0,$NK48=""),0,IF((COUNTIF(INDEX($EL$2:$EP$13,$MO48,0),$NK48)+COUNTIF(INDEX($QV$2:$QY$13,$MO48,0),$NK48))=0,1,0))</f>
        <v/>
      </c>
      <c r="NZ48" s="164">
        <f>IF(OR($NP48=0,$NL48=""),0,IF((COUNTIF(INDEX($EL$2:$EP$13,$MO48,0),$NL48)+COUNTIF(INDEX($QV$2:$QY$13,$MO48,0),$NL48))=0,1,0))</f>
        <v/>
      </c>
      <c r="OA48" s="164">
        <f>IF(OR($NQ48=0,$NM48=""),0,IF((COUNTIF(INDEX($EL$2:$EP$13,$MO48,0),$NM48)+COUNTIF(INDEX($QV$2:$QY$13,$MO48,0),$NM48))=0,1,0))</f>
        <v/>
      </c>
      <c r="OB48" s="164">
        <f>IF(OR($NR48=0,$NN48=""),0,IF((COUNTIF(INDEX($EL$2:$EP$13,$MO48,0),$NN48)+COUNTIF(INDEX($QV$2:$QY$13,$MO48,0),$NN48))=0,1,0))</f>
        <v/>
      </c>
      <c r="OC48" s="164">
        <f>IFERROR(VLOOKUP(SUBSTITUTE(SUBSTITUTE(SUBSTITUTE($MX48,"~","~~"),"*","~*"),"?","~?"),'DADOS_MELHORIAS'!$AG$2:$AL$113,4,FALSE),0)+IFERROR(VLOOKUP(SUBSTITUTE(SUBSTITUTE(SUBSTITUTE($MY48,"~","~~"),"*","~*"),"?","~?"),'DADOS_MELHORIAS'!$AG$2:$AL$113,4,FALSE),0)+IFERROR(VLOOKUP(SUBSTITUTE(SUBSTITUTE(SUBSTITUTE($MZ48,"~","~~"),"*","~*"),"?","~?"),'DADOS_MELHORIAS'!$AG$2:$AL$113,4,FALSE),0)+IFERROR(VLOOKUP(SUBSTITUTE(SUBSTITUTE(SUBSTITUTE($NA48,"~","~~"),"*","~*"),"?","~?"),'DADOS_MELHORIAS'!$AG$2:$AL$113,4,FALSE),0)</f>
        <v/>
      </c>
      <c r="OD48" s="164">
        <f>IFERROR(VLOOKUP(SUBSTITUTE(SUBSTITUTE(SUBSTITUTE($MX48,"~","~~"),"*","~*"),"?","~?"),'DADOS_MELHORIAS'!$AG$2:$AL$113,6,FALSE),0)+IFERROR(VLOOKUP(SUBSTITUTE(SUBSTITUTE(SUBSTITUTE($MY48,"~","~~"),"*","~*"),"?","~?"),'DADOS_MELHORIAS'!$AG$2:$AL$113,6,FALSE),0)+IFERROR(VLOOKUP(SUBSTITUTE(SUBSTITUTE(SUBSTITUTE($MZ48,"~","~~"),"*","~*"),"?","~?"),'DADOS_MELHORIAS'!$AG$2:$AL$113,6,FALSE),0)+IFERROR(VLOOKUP(SUBSTITUTE(SUBSTITUTE(SUBSTITUTE($NA48,"~","~~"),"*","~*"),"?","~?"),'DADOS_MELHORIAS'!$AG$2:$AL$113,6,FALSE),0)+IFERROR(N(AND(INDEX('DADOS_FORMAS'!$AO$2:$AO$21,MATCH(SUBSTITUTE(SUBSTITUTE(SUBSTITUTE($MU48,"~","~~"),"*","~*"),"?","~?"),'DADOS_FORMAS'!$AH$2:$AH$21,0))="Acerto",$OH48=1)),0)</f>
        <v/>
      </c>
      <c r="OE48" s="164">
        <f>TEXTJOIN(", ",TRUE,IF(IFERROR(VLOOKUP(SUBSTITUTE(SUBSTITUTE(SUBSTITUTE($MX48,"~","~~"),"*","~*"),"?","~?"),'DADOS_MELHORIAS'!$AG$2:$AL$113,5,FALSE),0)=1,$MX48,""),IF(IFERROR(VLOOKUP(SUBSTITUTE(SUBSTITUTE(SUBSTITUTE($MY48,"~","~~"),"*","~*"),"?","~?"),'DADOS_MELHORIAS'!$AG$2:$AL$113,5,FALSE),0)=1,$MY48,""),IF(IFERROR(VLOOKUP(SUBSTITUTE(SUBSTITUTE(SUBSTITUTE($MZ48,"~","~~"),"*","~*"),"?","~?"),'DADOS_MELHORIAS'!$AG$2:$AL$113,5,FALSE),0)=1,$MZ48,""),IF(IFERROR(VLOOKUP(SUBSTITUTE(SUBSTITUTE(SUBSTITUTE($NA48,"~","~~"),"*","~*"),"?","~?"),'DADOS_MELHORIAS'!$AG$2:$AL$113,5,FALSE),0)=1,$NA48,""))</f>
        <v/>
      </c>
      <c r="OF48" s="164">
        <f>IF($NJ48=0,0,INDEX('DADOS_FORMAS'!$GC$2:$GC$21,$NJ48))</f>
        <v/>
      </c>
      <c r="OG48" s="164">
        <f>IF($NJ48=0,0,INDEX('DADOS_FORMAS'!$GD$2:$GD$21,$NJ48))</f>
        <v/>
      </c>
      <c r="OH48" s="164">
        <f>IF($NJ48=0,0,INDEX('DADOS_FORMAS'!$GF$2:$GF$21,$NJ48))</f>
        <v/>
      </c>
      <c r="OI48" s="164">
        <f>IFERROR(VLOOKUP(SUBSTITUTE(SUBSTITUTE(SUBSTITUTE($NB48,"~","~~"),"*","~*"),"?","~?"),'DADOS_RESTRICOES'!$M$2:$Q$54,3,FALSE),0)</f>
        <v/>
      </c>
      <c r="OJ48" s="164">
        <f>IFERROR(VLOOKUP(SUBSTITUTE(SUBSTITUTE(SUBSTITUTE($NC48,"~","~~"),"*","~*"),"?","~?"),'DADOS_RESTRICOES'!$M$2:$Q$54,3,FALSE),0)</f>
        <v/>
      </c>
      <c r="OK48" s="164">
        <f>IFERROR(VLOOKUP(SUBSTITUTE(SUBSTITUTE(SUBSTITUTE($NB48,"~","~~"),"*","~*"),"?","~?"),'DADOS_RESTRICOES'!$M$2:$Q$54,2,FALSE),"")</f>
        <v/>
      </c>
      <c r="OL48" s="164">
        <f>IFERROR(VLOOKUP(SUBSTITUTE(SUBSTITUTE(SUBSTITUTE($NC48,"~","~~"),"*","~*"),"?","~?"),'DADOS_RESTRICOES'!$M$2:$Q$54,2,FALSE),"")</f>
        <v/>
      </c>
      <c r="OM48" s="164">
        <f>COUNTIF($NS48:$NW48,1)</f>
        <v/>
      </c>
      <c r="ON48" s="164">
        <f>COUNTIF($NS48:$NW48,2)</f>
        <v/>
      </c>
      <c r="OO48" s="164">
        <f>COUNTIF($NS48:$NW48,3)</f>
        <v/>
      </c>
      <c r="OP48" s="164">
        <f>COUNTIF($NS48:$NW48,4)</f>
        <v/>
      </c>
      <c r="OQ48" s="164">
        <f>COUNTIF($NS48:$NW48,5)</f>
        <v/>
      </c>
      <c r="OR48" s="164">
        <f>COUNTIF($NS48:$NW48,6)</f>
        <v/>
      </c>
      <c r="OS48" s="164">
        <f>COUNTIF($OI48:$OJ48,1)+IF(IFERROR(INDEX('DADOS_FORMAS'!$AS$2:$AS$21,MATCH(SUBSTITUTE(SUBSTITUTE(SUBSTITUTE($MU48,"~","~~"),"*","~*"),"?","~?"),'DADOS_FORMAS'!$AH$2:$AH$21,0)),"")="",0,IFERROR(N(VLOOKUP(SUBSTITUTE(SUBSTITUTE(SUBSTITUTE(IFERROR(INDEX('DADOS_FORMAS'!$AS$2:$AS$21,MATCH(SUBSTITUTE(SUBSTITUTE(SUBSTITUTE($MU48,"~","~~"),"*","~*"),"?","~?"),'DADOS_FORMAS'!$AH$2:$AH$21,0)),""),"~","~~"),"*","~*"),"?","~?"),'DADOS_RESTRICOES'!$M$2:$Q$54,3,FALSE)=1),0))</f>
        <v/>
      </c>
      <c r="OT48" s="164">
        <f>COUNTIF($OI48:$OJ48,2)+IF(IFERROR(INDEX('DADOS_FORMAS'!$AS$2:$AS$21,MATCH(SUBSTITUTE(SUBSTITUTE(SUBSTITUTE($MU48,"~","~~"),"*","~*"),"?","~?"),'DADOS_FORMAS'!$AH$2:$AH$21,0)),"")="",0,IFERROR(N(VLOOKUP(SUBSTITUTE(SUBSTITUTE(SUBSTITUTE(IFERROR(INDEX('DADOS_FORMAS'!$AS$2:$AS$21,MATCH(SUBSTITUTE(SUBSTITUTE(SUBSTITUTE($MU48,"~","~~"),"*","~*"),"?","~?"),'DADOS_FORMAS'!$AH$2:$AH$21,0)),""),"~","~~"),"*","~*"),"?","~?"),'DADOS_RESTRICOES'!$M$2:$Q$54,3,FALSE)=2),0))</f>
        <v/>
      </c>
      <c r="OU48" s="164">
        <f>COUNTIF($MX48:$NA48,"?*")</f>
        <v/>
      </c>
      <c r="OV48" s="164">
        <f>COUNTIF($NB48:$NC48,"?*")+$OF48</f>
        <v/>
      </c>
      <c r="OW48" s="164">
        <f>IF($MS48=0,0,SUMPRODUCT($OM48:$OR48,INDEX($I$2:$N$8,MAX(1,$MS48),0)))</f>
        <v/>
      </c>
      <c r="OX48" s="164">
        <f>IF($MS48=0,0,$OS48*CEILING($MS48/2,1)+$OT48*$MS48)</f>
        <v/>
      </c>
      <c r="OY48" s="164">
        <f>MIN(2*$MS48,$OX48)</f>
        <v/>
      </c>
      <c r="OZ48" s="164">
        <f>MIN($OY48,$OW48-IF($NS48=0,0,INDEX($I$2:$N$8,MAX(1,$MS48),$NS48)))</f>
        <v/>
      </c>
      <c r="PA48" s="164">
        <f>$OY48-$OZ48</f>
        <v/>
      </c>
      <c r="PB48" s="164">
        <f>IF($MS48=0,0,INDEX($P$2:$P$8,MAX(1,$MS48)))</f>
        <v/>
      </c>
      <c r="PC48" s="164">
        <f>$PB48-$OW48+$OZ48</f>
        <v/>
      </c>
      <c r="PD48" s="164">
        <f>IF($MS48=0,MAX(0,$NG48-IF(AND($OU48&gt;0,COUNTIF($NB48:$NC48,"?*")=0),1,0)),MAX(0,$PC48))</f>
        <v/>
      </c>
      <c r="PE48" s="164">
        <f>IF($MS48=0,0,(IF(COUNTIF($RK48:$RN48,"Salto")&gt;0,1,0)+IF(COUNTIF($RK48:$RN48,"Queima")&gt;0,1,0)+IF(COUNTIF($RK48:$RN48,"Estilhaço")&gt;0,1,0))*FLOOR($PD48/2,1))</f>
        <v/>
      </c>
      <c r="PF48" s="164">
        <f>MAX(0,2-SUMPRODUCT($OM48:$OR48,$I$2:$N$2)+MIN(2,$OS48*1+$OT48*1,SUMPRODUCT($OM48:$OR48,$I$2:$N$2)-IF($NS48=0,0,INDEX($I$2:$N$2,1,$NS48))))</f>
        <v/>
      </c>
      <c r="PG48" s="164">
        <f>MAX(0,4-SUMPRODUCT($OM48:$OR48,$I$3:$N$3)+MIN(4,$OS48*1+$OT48*2,SUMPRODUCT($OM48:$OR48,$I$3:$N$3)-IF($NS48=0,0,INDEX($I$3:$N$3,1,$NS48))))</f>
        <v/>
      </c>
      <c r="PH48" s="164">
        <f>MAX(0,6-SUMPRODUCT($OM48:$OR48,$I$4:$N$4)+MIN(6,$OS48*2+$OT48*3,SUMPRODUCT($OM48:$OR48,$I$4:$N$4)-IF($NS48=0,0,INDEX($I$4:$N$4,1,$NS48))))</f>
        <v/>
      </c>
      <c r="PI48" s="164">
        <f>MAX(0,9-SUMPRODUCT($OM48:$OR48,$I$5:$N$5)+MIN(8,$OS48*2+$OT48*4,SUMPRODUCT($OM48:$OR48,$I$5:$N$5)-IF($NS48=0,0,INDEX($I$5:$N$5,1,$NS48))))</f>
        <v/>
      </c>
      <c r="PJ48" s="164">
        <f>MAX(0,11-SUMPRODUCT($OM48:$OR48,$I$6:$N$6)+MIN(10,$OS48*3+$OT48*5,SUMPRODUCT($OM48:$OR48,$I$6:$N$6)-IF($NS48=0,0,INDEX($I$6:$N$6,1,$NS48))))</f>
        <v/>
      </c>
      <c r="PK48" s="164">
        <f>MAX(0,13-SUMPRODUCT($OM48:$OR48,$I$7:$N$7)+MIN(12,$OS48*3+$OT48*6,SUMPRODUCT($OM48:$OR48,$I$7:$N$7)-IF($NS48=0,0,INDEX($I$7:$N$7,1,$NS48))))</f>
        <v/>
      </c>
      <c r="PL48" s="164">
        <f>MAX(0,16-SUMPRODUCT($OM48:$OR48,$I$8:$N$8)+MIN(14,$OS48*4+$OT48*7,SUMPRODUCT($OM48:$OR48,$I$8:$N$8)-IF($NS48=0,0,INDEX($I$8:$N$8,1,$NS48))))</f>
        <v/>
      </c>
      <c r="PM48" s="164">
        <f>IF($OG48=2,3*$PF48&amp;" de vida temp.",IF($OG48=3,"sem dano",IF($PF48=0,IF($OG48=1,"sem cura","sem dano"),IF($OG48=1,"cura ","")&amp;$PF48&amp;"d8")))</f>
        <v/>
      </c>
      <c r="PN48" s="164">
        <f>IF($OG48=2,3*$PG48&amp;" de vida temp.",IF($OG48=3,"sem dano",IF($PG48=0,IF($OG48=1,"sem cura","sem dano"),IF($OG48=1,"cura ","")&amp;$PG48&amp;"d8")))</f>
        <v/>
      </c>
      <c r="PO48" s="164">
        <f>IF($OG48=2,3*$PH48&amp;" de vida temp.",IF($OG48=3,"sem dano",IF($PH48=0,IF($OG48=1,"sem cura","sem dano"),IF($OG48=1,"cura ","")&amp;$PH48&amp;"d8")))</f>
        <v/>
      </c>
      <c r="PP48" s="164">
        <f>IF($OG48=2,3*$PI48&amp;" de vida temp.",IF($OG48=3,"sem dano",IF($PI48=0,IF($OG48=1,"sem cura","sem dano"),IF($OG48=1,"cura ","")&amp;$PI48&amp;"d8")))</f>
        <v/>
      </c>
      <c r="PQ48" s="164">
        <f>IF($OG48=2,3*$PJ48&amp;" de vida temp.",IF($OG48=3,"sem dano",IF($PJ48=0,IF($OG48=1,"sem cura","sem dano"),IF($OG48=1,"cura ","")&amp;$PJ48&amp;"d8")))</f>
        <v/>
      </c>
      <c r="PR48" s="164">
        <f>IF($OG48=2,3*$PK48&amp;" de vida temp.",IF($OG48=3,"sem dano",IF($PK48=0,IF($OG48=1,"sem cura","sem dano"),IF($OG48=1,"cura ","")&amp;$PK48&amp;"d8")))</f>
        <v/>
      </c>
      <c r="PS48" s="164">
        <f>IF($OG48=2,3*$PL48&amp;" de vida temp.",IF($OG48=3,"sem dano",IF($PL48=0,IF($OG48=1,"sem cura","sem dano"),IF($OG48=1,"cura ","")&amp;$PL48&amp;"d8")))</f>
        <v/>
      </c>
      <c r="PT48" s="164">
        <f>IF($ND48=0,"",TEXTJOIN(" · ",TRUE,IF($ND48=0,"",TEXTJOIN(" · ",TRUE,IF($ND48=0,"",TEXTJOIN(" · ",TRUE,IF($MQ48&gt;$NE48,"Este lugar abre no nível "&amp;$MQ48,""),IF($MS48&gt;$NF48,"Classe "&amp;$MS48&amp;": o nível "&amp;$NE48&amp;" libera até a "&amp;$NF48,""),IF($NX48=1,"A Forma "&amp;$MU48&amp;" pede "&amp;INDEX('DADOS_FORMAS'!$GA$2:$GA$21,$NJ48)&amp;" aberta",""),IF(AND($MS48=0,$NJ48&gt;0,IF($NJ48=0,0,INDEX('DADOS_FORMAS'!$GJ$2:$GJ$21,$NJ48))=0),$MU48&amp;" não existe na Classe 0",""),IF($NY48=1,"Família Fechada: "&amp;$MX48,""),IF($NZ48=1,"Família Fechada: "&amp;$MY48,""),IF($OA48=1,"Família Fechada: "&amp;$MZ48,""),IF($OB48=1,"Família Fechada: "&amp;$NA48,""),IF(AND($MS48&gt;0,$OU48&gt;INDEX($O$2:$O$8,MAX(1,$MS48))),$OU48&amp;" Melhorias: a Classe "&amp;$MS48&amp;" aceita "&amp;INDEX($O$2:$O$8,MAX(1,$MS48)),""),IF(AND($MS48=0,$OU48&gt;1),"A básica aceita uma Melhoria",""),IF(AND($MS48=0,COUNTIF($NO48:$NR48,"&gt;1")&gt;0),"A básica só aceita Melhoria Leve",""),IF(AND($MS48&gt;0,$OV48&gt;2),$OV48&amp;" Restrições"&amp;IF($OF48=1,", contando a que a Forma "&amp;$MU48&amp;" já traz","")&amp;": o limite é 2",""),IF(AND($MS48=0,COUNTIF($NB48:$NC48,"?*")&gt;1),"A básica aceita uma Restrição Leve",""),IF(AND($MS48=0,COUNTIF($OI48:$OJ48,2)&gt;0),"A básica só aceita Restrição Leve",""),IF(AND($MS48&gt;0,$PC48&lt;0),"Orçamento estourado: faltam "&amp;(-$PC48)&amp;IF($PC48&lt;-1," pontos"," ponto"),""),IF(IFERROR(VLOOKUP(SUBSTITUTE(SUBSTITUTE(SUBSTITUTE($NB48,"~","~~"),"*","~*"),"?","~?"),'DADOS_RESTRICOES'!$M$2:$Q$54,4,FALSE),0)+IFERROR(VLOOKUP(SUBSTITUTE(SUBSTITUTE(SUBSTITUTE($NC48,"~","~~"),"*","~*"),"?","~?"),'DADOS_RESTRICOES'!$M$2:$Q$54,4,FALSE),0)&gt;1,$OK48&amp;" e "&amp;$OL48&amp;" são as duas de frequência",""),IF(AND((COUNTIF($RK48:$RN48,"Rápido")+COUNTIF($OK48:$OL48,"Rápido"))&gt;0,(COUNTIF($MX48:$NA48,"Atrasar")+COUNTIF($OK48:$OL48,"Atrasar"))&gt;0),"Rápido não entra com Atrasar",""),IF(AND((COUNTIF($RK48:$RN48,"Reação")+COUNTIF($OK48:$OL48,"Reação"))&gt;0,(COUNTIF($RK48:$RN48,"Rápido")+COUNTIF($OK48:$OL48,"Rápido"))&gt;0),"Reação não entra com Rápido",""),IF(AND((COUNTIF($RK48:$RN48,"Reação")+COUNTIF($OK48:$OL48,"Reação"))&gt;0,(COUNTIF($RK48:$RN48,"Armado")+COUNTIF($OK48:$OL48,"Armado"))&gt;0),"Reação não entra com Armado",""),IF(AND((COUNTIF($RK48:$RN48,"Reação")+COUNTIF($OK48:$OL48,"Reação"))&gt;0,(COUNTIF($MX48:$NA48,"Atrasar")+COUNTIF($OK48:$OL48,"Atrasar"))&gt;0),"Reação não entra com Atrasar",""),IF(AND((COUNTIF($RK48:$RN48,"Reação")+COUNTIF($OK48:$OL48,"Reação"))&gt;0,(COUNTIF($MX48:$NA48,"Parado")+COUNTIF($OK48:$OL48,"Parado"))&gt;0),"Reação não entra com Parado",""),IF(AND((COUNTIF($MX48:$NA48,"Atrasar")+COUNTIF($OK48:$OL48,"Atrasar"))&gt;0,(COUNTIF($MX48:$NA48,"Parado")+COUNTIF($OK48:$OL48,"Parado"))&gt;0),"Atrasar não entra com Parado",""),IF(AND((COUNTIF($RK48:$RN48,"Armado")+COUNTIF($OK48:$OL48,"Armado"))&gt;0,(COUNTIF($MX48:$NA48,"Carregar")+COUNTIF($OK48:$OL48,"Carregar"))&gt;0),"Armado não entra com Carregar",""),IF(AND(COUNTIF($OK48:$OL48,"Corpo a Corpo")&gt;0,$OF48=0,OR($RO48="Cone",$RO48="Linha")),"Corpo a Corpo não entra em "&amp;$MU48,""),IF(AND(COUNTIF($OK48:$OL48,"Corpo a Corpo")&gt;0,$RP48="Corpo a Corpo"),"A Forma "&amp;$MU48&amp;" já traz o Corpo a Corpo",""),IF(AND(COUNTIF($OK48:$OL48,"Tudo ou Nada")&gt;0,$OH48=0),"Tudo ou Nada só entra em habilidade de Teste de Resistência",""),IF(AND(COUNTIF($RK48:$RN48,"Inescapável")&gt;0,OR($OU48&gt;1,$OV48&gt;0)),"Inescapável não aceita outra peça",""),IF(AND($MS48&gt;0,$PD48*IF(COUNTIF($RK48:$RN48,"Remate")&gt;0,1.25,1)+$PE48&gt;4*$MS48),($PD48*IF(COUNTIF($RK48:$RN48,"Remate")&gt;0,1.25,1)+$PE48)&amp;" dados somando repetições"&amp;IF(COUNTIF($RK48:$RN48,"Remate")&gt;0," e o Remate","")&amp;": o teto da Classe "&amp;$MS48&amp;" é "&amp;4*$MS48,""))),IF(AND($MX48&lt;&gt;"",COUNTIF('DADOS_MELHORIAS'!$O$2:$O$113,SUBSTITUTE(SUBSTITUTE(SUBSTITUTE($MX48,"~","~~"),"*","~*"),"?","~?"))=0),"Melhoria não cadastrada ou com erro: "&amp;$MX48,""),IF(AND($MY48&lt;&gt;"",COUNTIF('DADOS_MELHORIAS'!$O$2:$O$113,SUBSTITUTE(SUBSTITUTE(SUBSTITUTE($MY48,"~","~~"),"*","~*"),"?","~?"))=0),"Melhoria não cadastrada ou com erro: "&amp;$MY48,""),IF(AND($MZ48&lt;&gt;"",COUNTIF('DADOS_MELHORIAS'!$O$2:$O$113,SUBSTITUTE(SUBSTITUTE(SUBSTITUTE($MZ48,"~","~~"),"*","~*"),"?","~?"))=0),"Melhoria não cadastrada ou com erro: "&amp;$MZ48,""),IF(AND($NA48&lt;&gt;"",COUNTIF('DADOS_MELHORIAS'!$O$2:$O$113,SUBSTITUTE(SUBSTITUTE(SUBSTITUTE($NA48,"~","~~"),"*","~*"),"?","~?"))=0),"Melhoria não cadastrada ou com erro: "&amp;$NA48,""),IF(AND($NB48&lt;&gt;"",COUNTIF('DADOS_RESTRICOES'!$M$2:$M$54,SUBSTITUTE(SUBSTITUTE(SUBSTITUTE($NB48,"~","~~"),"*","~*"),"?","~?"))=0),"Restrição não cadastrada ou com erro: "&amp;$NB48,""),IF(AND($NC48&lt;&gt;"",COUNTIF('DADOS_RESTRICOES'!$M$2:$M$54,SUBSTITUTE(SUBSTITUTE(SUBSTITUTE($NC48,"~","~~"),"*","~*"),"?","~?"))=0),"Restrição não cadastrada ou com erro: "&amp;$NC48,""))),IF(AND($MU48&lt;&gt;"",COUNTIF('DADOS_FORMAS'!$AH$2:$AH$21,SUBSTITUTE(SUBSTITUTE(SUBSTITUTE($MU48,"~","~~"),"*","~*"),"?","~?"))=0),"Forma não cadastrada ou com erro: "&amp;$MU48,""),IF(AND(IFERROR(INDEX('DADOS_FORMAS'!$AS$2:$AS$21,MATCH(SUBSTITUTE(SUBSTITUTE(SUBSTITUTE($MU48,"~","~~"),"*","~*"),"?","~?"),'DADOS_FORMAS'!$AH$2:$AH$21,0)),"")&lt;&gt;"",OR(IFERROR(VLOOKUP(SUBSTITUTE(SUBSTITUTE(SUBSTITUTE(IFERROR(INDEX('DADOS_FORMAS'!$AS$2:$AS$21,MATCH(SUBSTITUTE(SUBSTITUTE(SUBSTITUTE($MU48,"~","~~"),"*","~*"),"?","~?"),'DADOS_FORMAS'!$AH$2:$AH$21,0)),""),"~","~~"),"*","~*"),"?","~?"),'DADOS_RESTRICOES'!$M$2:$Q$54,2,FALSE),"")=$OK48,IFERROR(VLOOKUP(SUBSTITUTE(SUBSTITUTE(SUBSTITUTE(IFERROR(INDEX('DADOS_FORMAS'!$AS$2:$AS$21,MATCH(SUBSTITUTE(SUBSTITUTE(SUBSTITUTE($MU48,"~","~~"),"*","~*"),"?","~?"),'DADOS_FORMAS'!$AH$2:$AH$21,0)),""),"~","~~"),"*","~*"),"?","~?"),'DADOS_RESTRICOES'!$M$2:$Q$54,2,FALSE),"")=$OL48)),"Restrição repetida, contando a embutida",""),IF(IF(IFERROR(INDEX('DADOS_FORMAS'!$AS$2:$AS$21,MATCH(SUBSTITUTE(SUBSTITUTE(SUBSTITUTE($MU48,"~","~~"),"*","~*"),"?","~?"),'DADOS_FORMAS'!$AH$2:$AH$21,0)),"")="",0,IFERROR(N(VLOOKUP(SUBSTITUTE(SUBSTITUTE(SUBSTITUTE(IFERROR(INDEX('DADOS_FORMAS'!$AS$2:$AS$21,MATCH(SUBSTITUTE(SUBSTITUTE(SUBSTITUTE($MU48,"~","~~"),"*","~*"),"?","~?"),'DADOS_FORMAS'!$AH$2:$AH$21,0)),""),"~","~~"),"*","~*"),"?","~?"),'DADOS_RESTRICOES'!$M$2:$Q$54,4,FALSE)=1),0))+IF($NB48="",0,IFERROR(N(VLOOKUP(SUBSTITUTE(SUBSTITUTE(SUBSTITUTE($NB48,"~","~~"),"*","~*"),"?","~?"),'DADOS_RESTRICOES'!$M$2:$Q$54,4,FALSE)=1),0))+IF($NC48="",0,IFERROR(N(VLOOKUP(SUBSTITUTE(SUBSTITUTE(SUBSTITUTE($NC48,"~","~~"),"*","~*"),"?","~?"),'DADOS_RESTRICOES'!$M$2:$Q$54,4,FALSE)=1),0))&gt;1,"Duas Restrições de frequência, contando a embutida",""),IF(AND(IFERROR(VLOOKUP(SUBSTITUTE(SUBSTITUTE(SUBSTITUTE(IFERROR(INDEX('DADOS_FORMAS'!$AS$2:$AS$21,MATCH(SUBSTITUTE(SUBSTITUTE(SUBSTITUTE($MU48,"~","~~"),"*","~*"),"?","~?"),'DADOS_FORMAS'!$AH$2:$AH$21,0)),""),"~","~~"),"*","~*"),"?","~?"),'DADOS_RESTRICOES'!$M$2:$Q$54,2,FALSE),"")="Tudo ou Nada",$OH48=0),"Tudo ou Nada exige TR",""),IF(AND(IFERROR(VLOOKUP(SUBSTITUTE(SUBSTITUTE(SUBSTITUTE(IFERROR(INDEX('DADOS_FORMAS'!$AS$2:$AS$21,MATCH(SUBSTITUTE(SUBSTITUTE(SUBSTITUTE($MU48,"~","~~"),"*","~*"),"?","~?"),'DADOS_FORMAS'!$AH$2:$AH$21,0)),""),"~","~~"),"*","~*"),"?","~?"),'DADOS_RESTRICOES'!$M$2:$Q$54,2,FALSE),"")="Corpo a Corpo",OR($RO48="Cone",$RO48="Linha")),"Corpo a Corpo não entra em Cone/Linha","")))</f>
        <v/>
      </c>
      <c r="PU48" s="164">
        <f>IF($PT48="",0,(LEN($PT48)-LEN(SUBSTITUTE($PT48," · ","")))/3+1)</f>
        <v/>
      </c>
      <c r="PV48" s="164">
        <f>IF($ND48=0,"",TEXTJOIN(" · ",TRUE,IF($OX48&gt;2*$MS48,"A devolução parou no teto de "&amp;2*$MS48,""),IF($PA48&gt;0,"Devolução perdida: "&amp;$PA48&amp;IF($PA48&gt;1," pontos"," ponto")&amp;" sem Melhoria para pagar",""),IF(AND($OC48&gt;0,AND($MS48&gt;0,$OG48=0),$PD48=0),"Controle sem dano: uma rodada a mais e CD +2",""),IF(AND($OC48&gt;0,AND($MS48&gt;0,$OG48=0),$PD48&gt;0,$PD48&lt;=$MS48),"Controle com saldo até a Classe: uma rodada a mais",""),IF(AND($MS48&gt;0,$OE48&lt;&gt;""),"Efeito de "&amp;$OE48&amp;" pela Classe "&amp;MAX(1,$MS48-1),"")))</f>
        <v/>
      </c>
      <c r="PW48" s="164">
        <f>IF($PV48="",0,(LEN($PV48)-LEN(SUBSTITUTE($PV48," · ","")))/3+1)</f>
        <v/>
      </c>
      <c r="PX48" s="164">
        <f>IF($ND48=0,IF($OU48+COUNTIF($NB48:$NC48,"?*")&gt;0,"Dê um nome",""),IF($PU48&gt;0,"⚠ "&amp;$PU48&amp;IF($PU48&gt;1," erros"," erro"),IF($PW48&gt;0,"! "&amp;$PW48&amp;IF($PW48&gt;1," avisos"," aviso"),"Na regra")))</f>
        <v/>
      </c>
      <c r="PY48" s="164">
        <f>IF($ND48=0,"",IF($PU48+$PW48=0,"Dentro das regras que a ficha confere",$PT48&amp;IF(AND($PU48&gt;0,$PW48&gt;0)," · ","")&amp;$PV48))</f>
        <v/>
      </c>
      <c r="PZ48" s="164">
        <f>IF($MQ48&gt;$NE48,$MR48&amp;" · ABRE NO NÍVEL "&amp;$MQ48,$MR48)</f>
        <v/>
      </c>
      <c r="QA48" s="164">
        <f>IF($ND48=0,"",IF($MS48=0,"Sem PE",3*$MS48&amp;" PE"))</f>
        <v/>
      </c>
      <c r="QB48" s="164">
        <f>IF($ND48=0,"",IF($MS48=0,"A atuação básica dela",IF(COUNTIF($RQ48:$RS48,"Atrasar")&gt;0,"Sua Ação Completa",IF(COUNTIF($RK48:$RN48,"Rápido")&gt;0,"Sua Bônus",IF(COUNTIF($RK48:$RN48,"Reação")&gt;0,"Sua Reação","Sua Padrão")))&amp;" + a básica dela"&amp;IF(COUNTIF($RK48:$RN48,"Reação")&gt;0," e a coletiva","")&amp;IF(COUNTIF($RQ48:$RS48,"Carregar")&gt;0," · em dois turnos","")))</f>
        <v/>
      </c>
      <c r="QC48" s="164">
        <f>IF($MW48&lt;&gt;"",$MW48,IF($NJ48=0,"",INDEX('DADOS_FORMAS'!$GE$2:$GE$21,$NJ48)))</f>
        <v/>
      </c>
      <c r="QD48" s="164">
        <f>IF(OR($ND48=0,$NJ48=0),"",IF(COUNTIF($RK48:$RN48,"Inescapável")&gt;0,"Automático",IF($QC48="Ataque",IF($NH48="","Ataque","Ataque "&amp;IF(($NH48+2*IF(COUNTIF($RK48:$RN48,"Precisão")&gt;0,1,0))&gt;=0,"+","−")&amp;ABS(($NH48+2*IF(COUNTIF($RK48:$RN48,"Precisão")&gt;0,1,0))))&amp;IF($OD48&gt;0," · TR"&amp;IF($NI48="",""," CD "&amp;$NI48),""),IF(LEFT($QC48,2)="TR",$QC48&amp;IF($NI48="",""," · CD "&amp;$NI48)&amp;IF(COUNTIF($RK48:$RN48,"Certeiro")&gt;0," · metade",""),"Sem rolagem"))))</f>
        <v/>
      </c>
      <c r="QE48" s="164">
        <f>IF(OR($ND48=0,$NJ48=0),"",IF($MS48=0,IF(OR($OG48&gt;=1,$PD48=0),"Sem dano",$PD48&amp;"d6"&amp;IF($MV48="",""," "&amp;$MV48)),IF(OR($OG48&gt;=1,$PD48=0),UPPER(LEFT(INDEX($PM48:$PS48,1,MAX(1,$MS48)),1))&amp;MID(INDEX($PM48:$PS48,1,MAX(1,$MS48)),2,99),UPPER(LEFT(INDEX($PM48:$PS48,1,MAX(1,$MS48)),1))&amp;MID(INDEX($PM48:$PS48,1,MAX(1,$MS48)),2,99)&amp;IF($MV48="",""," "&amp;$MV48)&amp;IF($PE48&gt;0," · +"&amp;$PE48&amp;"d8",""))))</f>
        <v/>
      </c>
      <c r="QF48" s="164">
        <f>COUNTIF($RK48:$RN48,"Longe")+3*COUNTIF($RK48:$RN48,"Muito Longe")</f>
        <v/>
      </c>
      <c r="QG48" s="164">
        <f>COUNTIF($RK48:$RN48,"Maior")+3*COUNTIF($RK48:$RN48,"Muito Maior")</f>
        <v/>
      </c>
      <c r="QH48" s="164">
        <f>IF($NJ48=0,0,CHOOSE(1+INDEX('DADOS_FORMAS'!$GG$2:$GG$21,$NJ48),0,$QF48,$QG48,$QF48+$QG48))</f>
        <v/>
      </c>
      <c r="QI48" s="164">
        <f>IF($NJ48=0,0,CHOOSE(1+INDEX('DADOS_FORMAS'!$GH$2:$GH$21,$NJ48),0,$QF48,$QG48,$QF48+$QG48))</f>
        <v/>
      </c>
      <c r="QJ48" s="164">
        <f>IF(OR($ND48=0,$NJ48=0),"",INDEX('DADOS_FORMAS'!$HU$2:$HZ$81,($NJ48-1)*4+IF($MS48=0,1,IF($MS48&lt;=5,2,IF($MS48=6,3,4))),1+MIN(5,$QH48))&amp;INDEX('DADOS_FORMAS'!$IA$2:$IF$81,($NJ48-1)*4+IF($MS48=0,1,IF($MS48&lt;=5,2,IF($MS48=6,3,4))),1+MIN(5,$QI48))&amp;IF(INDEX('DADOS_FORMAS'!$GI$2:$GI$21,$NJ48)=1,IF(COUNTIF($RK48:$RN48,"Mais Um")&gt;0," · +"&amp;COUNTIF($RK48:$RN48,"Mais Um")&amp;IF(COUNTIF($RK48:$RN48,"Mais Um")&gt;1," alvos"," alvo"),"")&amp;IF(COUNTIF($RK48:$RN48,"Rajada")&gt;0,IF($MS48=0," · 1 tiro"," · "&amp;(MAX(1,$MS48-1)+1)&amp;" tiros"),""),""))</f>
        <v/>
      </c>
      <c r="QK48" s="164">
        <f>IF($ND48=0,"",IF($MS48=0,$NG48&amp;"d6"&amp;IF($OU48&gt;0," − 1 = "&amp;$PD48&amp;"d6"," da básica do nível "&amp;$NE48),$PB48&amp;" − "&amp;$OW48&amp;" + "&amp;$OZ48&amp;" = "&amp;$PC48&amp;" · teto "&amp;4*$MS48&amp;"d8"&amp;IF($OF48=1," · a Forma devolve "&amp;$MS48,"")&amp;IF($PA48&gt;0," · perde "&amp;$PA48,"")))</f>
        <v/>
      </c>
      <c r="QL48" s="164">
        <f>IF($ND48=0,"",IF($MS48=0,"A básica não amplia: os dados dela sobem com o nível",IF($MS48&gt;=$NF48,"Já está na maior Classe que o nível liberou",TEXTJOIN(" · ",TRUE,IF(AND(2&gt;$MS48,2&lt;=$NF48),"2 → "&amp;$PN48&amp;", 6 PE",""),IF(AND(3&gt;$MS48,3&lt;=$NF48),"3 → "&amp;$PO48&amp;", 9 PE",""),IF(AND(4&gt;$MS48,4&lt;=$NF48),"4 → "&amp;$PP48&amp;", 12 PE",""),IF(AND(5&gt;$MS48,5&lt;=$NF48),"5 → "&amp;$PQ48&amp;", 15 PE",""),IF(AND(6&gt;$MS48,6&lt;=$NF48),"6 → "&amp;$PR48&amp;", 18 PE",""),IF(AND(7&gt;$MS48,7&lt;=$NF48),"7 → "&amp;$PS48&amp;", 21 PE","")))))</f>
        <v/>
      </c>
      <c r="QM48" s="164">
        <f>IF(OR($ND48=0,$NO48=0),"",IF($MS48=0,"−1 dado","−"&amp;INDEX($I$2:$N$8,MAX(1,$MS48),MAX(1,$NT48))&amp;" · "&amp;CHOOSE(MAX(1,$NT48),"Leve","Média","Pesada","Leve · Livre","Média · Livre","Pesada · Livre")))</f>
        <v/>
      </c>
      <c r="QN48" s="164">
        <f>IF(OR($ND48=0,$NP48=0),"",IF($MS48=0,"−1 dado","−"&amp;INDEX($I$2:$N$8,MAX(1,$MS48),MAX(1,$NU48))&amp;" · "&amp;CHOOSE(MAX(1,$NU48),"Leve","Média","Pesada","Leve · Livre","Média · Livre","Pesada · Livre")))</f>
        <v/>
      </c>
      <c r="QO48" s="164">
        <f>IF(OR($ND48=0,$NQ48=0),"",IF($MS48=0,"−1 dado","−"&amp;INDEX($I$2:$N$8,MAX(1,$MS48),MAX(1,$NV48))&amp;" · "&amp;CHOOSE(MAX(1,$NV48),"Leve","Média","Pesada","Leve · Livre","Média · Livre","Pesada · Livre")))</f>
        <v/>
      </c>
      <c r="QP48" s="164">
        <f>IF(OR($ND48=0,$NR48=0),"",IF($MS48=0,"−1 dado","−"&amp;INDEX($I$2:$N$8,MAX(1,$MS48),MAX(1,$NW48))&amp;" · "&amp;CHOOSE(MAX(1,$NW48),"Leve","Média","Pesada","Leve · Livre","Média · Livre","Pesada · Livre")))</f>
        <v/>
      </c>
      <c r="QQ48" s="164">
        <f>IF(OR($ND48=0,$NB48=""),"",IF($MS48=0,"não devolve","+"&amp;IF($OI48=1,CEILING($MS48/2,1),$MS48)))</f>
        <v/>
      </c>
      <c r="QR48" s="164">
        <f>IF(OR($ND48=0,$NC48=""),"",IF($MS48=0,"não devolve","+"&amp;IF($OJ48=1,CEILING($MS48/2,1),$MS48)))</f>
        <v/>
      </c>
      <c r="RK48">
        <f>IF($MX48="","",IFERROR(VLOOKUP(SUBSTITUTE(SUBSTITUTE(SUBSTITUTE($MX48,"~","~~"),"*","~*"),"?","~?"),'DADOS_MELHORIAS'!$O$2:$X$113,10,FALSE),$MX48))</f>
        <v/>
      </c>
      <c r="RL48">
        <f>IF($MY48="","",IFERROR(VLOOKUP(SUBSTITUTE(SUBSTITUTE(SUBSTITUTE($MY48,"~","~~"),"*","~*"),"?","~?"),'DADOS_MELHORIAS'!$O$2:$X$113,10,FALSE),$MY48))</f>
        <v/>
      </c>
      <c r="RM48">
        <f>IF($MZ48="","",IFERROR(VLOOKUP(SUBSTITUTE(SUBSTITUTE(SUBSTITUTE($MZ48,"~","~~"),"*","~*"),"?","~?"),'DADOS_MELHORIAS'!$O$2:$X$113,10,FALSE),$MZ48))</f>
        <v/>
      </c>
      <c r="RN48">
        <f>IF($NA48="","",IFERROR(VLOOKUP(SUBSTITUTE(SUBSTITUTE(SUBSTITUTE($NA48,"~","~~"),"*","~*"),"?","~?"),'DADOS_MELHORIAS'!$O$2:$X$113,10,FALSE),$NA48))</f>
        <v/>
      </c>
      <c r="RO48">
        <f>IFERROR(INDEX('DADOS_FORMAS'!$BJ$2:$BJ$21,MATCH(SUBSTITUTE(SUBSTITUTE(SUBSTITUTE($MU48,"~","~~"),"*","~*"),"?","~?"),'DADOS_FORMAS'!$AH$2:$AH$21,0)),"")</f>
        <v/>
      </c>
      <c r="RP48">
        <f>IFERROR(VLOOKUP(SUBSTITUTE(SUBSTITUTE(SUBSTITUTE(IFERROR(INDEX('DADOS_FORMAS'!$AS$2:$AS$21,MATCH(SUBSTITUTE(SUBSTITUTE(SUBSTITUTE($MU48,"~","~~"),"*","~*"),"?","~?"),'DADOS_FORMAS'!$AH$2:$AH$21,0)),""),"~","~~"),"*","~*"),"?","~?"),'DADOS_RESTRICOES'!$M$2:$Q$54,2,FALSE),"")</f>
        <v/>
      </c>
      <c r="RQ48">
        <f>$OK48</f>
        <v/>
      </c>
      <c r="RR48">
        <f>$OL48</f>
        <v/>
      </c>
      <c r="RS48">
        <f>$RP48</f>
        <v/>
      </c>
    </row>
    <row r="49">
      <c r="AV49" s="162" t="inlineStr">
        <is>
          <t>Pressa</t>
        </is>
      </c>
      <c r="AW49" s="162" t="inlineStr">
        <is>
          <t>Auxiliares</t>
        </is>
      </c>
      <c r="AX49" s="164" t="n">
        <v>2</v>
      </c>
      <c r="AY49" s="164" t="n">
        <v>0</v>
      </c>
      <c r="AZ49" s="164" t="n">
        <v>0</v>
      </c>
      <c r="BA49" s="164" t="n">
        <v>0</v>
      </c>
      <c r="JT49" s="164">
        <f>IF(OR($AW49="",(COUNTIF($EL$2:$EP$2,$AW49)+COUNTIF($QV$2:$QY$2,$AW49))&gt;0),$AV49,"")</f>
        <v/>
      </c>
      <c r="JU49" s="164">
        <f>IF(AND($AX49=1,OR($AW49="",(COUNTIF($EL$2:$EP$2,$AW49)+COUNTIF($QV$2:$QY$2,$AW49))&gt;0)),$AV49,"")</f>
        <v/>
      </c>
      <c r="JZ49" s="164">
        <f>IF(OR($AW49="",(COUNTIF($EL$3:$EP$3,$AW49)+COUNTIF($QV$3:$QY$3,$AW49))&gt;0),$AV49,"")</f>
        <v/>
      </c>
      <c r="KA49" s="164">
        <f>IF(AND($AX49=1,OR($AW49="",(COUNTIF($EL$3:$EP$3,$AW49)+COUNTIF($QV$3:$QY$3,$AW49))&gt;0)),$AV49,"")</f>
        <v/>
      </c>
      <c r="KF49" s="164">
        <f>IF(OR($AW49="",(COUNTIF($EL$4:$EP$4,$AW49)+COUNTIF($QV$4:$QY$4,$AW49))&gt;0),$AV49,"")</f>
        <v/>
      </c>
      <c r="KG49" s="164">
        <f>IF(AND($AX49=1,OR($AW49="",(COUNTIF($EL$4:$EP$4,$AW49)+COUNTIF($QV$4:$QY$4,$AW49))&gt;0)),$AV49,"")</f>
        <v/>
      </c>
      <c r="KL49" s="164">
        <f>IF(OR($AW49="",(COUNTIF($EL$5:$EP$5,$AW49)+COUNTIF($QV$5:$QY$5,$AW49))&gt;0),$AV49,"")</f>
        <v/>
      </c>
      <c r="KM49" s="164">
        <f>IF(AND($AX49=1,OR($AW49="",(COUNTIF($EL$5:$EP$5,$AW49)+COUNTIF($QV$5:$QY$5,$AW49))&gt;0)),$AV49,"")</f>
        <v/>
      </c>
      <c r="KR49" s="164">
        <f>IF(OR($AW49="",(COUNTIF($EL$6:$EP$6,$AW49)+COUNTIF($QV$6:$QY$6,$AW49))&gt;0),$AV49,"")</f>
        <v/>
      </c>
      <c r="KS49" s="164">
        <f>IF(AND($AX49=1,OR($AW49="",(COUNTIF($EL$6:$EP$6,$AW49)+COUNTIF($QV$6:$QY$6,$AW49))&gt;0)),$AV49,"")</f>
        <v/>
      </c>
      <c r="KX49" s="164">
        <f>IF(OR($AW49="",(COUNTIF($EL$7:$EP$7,$AW49)+COUNTIF($QV$7:$QY$7,$AW49))&gt;0),$AV49,"")</f>
        <v/>
      </c>
      <c r="KY49" s="164">
        <f>IF(AND($AX49=1,OR($AW49="",(COUNTIF($EL$7:$EP$7,$AW49)+COUNTIF($QV$7:$QY$7,$AW49))&gt;0)),$AV49,"")</f>
        <v/>
      </c>
      <c r="LD49" s="164">
        <f>IF(OR($AW49="",(COUNTIF($EL$8:$EP$8,$AW49)+COUNTIF($QV$8:$QY$8,$AW49))&gt;0),$AV49,"")</f>
        <v/>
      </c>
      <c r="LE49" s="164">
        <f>IF(AND($AX49=1,OR($AW49="",(COUNTIF($EL$8:$EP$8,$AW49)+COUNTIF($QV$8:$QY$8,$AW49))&gt;0)),$AV49,"")</f>
        <v/>
      </c>
      <c r="LJ49" s="164">
        <f>IF(OR($AW49="",(COUNTIF($EL$9:$EP$9,$AW49)+COUNTIF($QV$9:$QY$9,$AW49))&gt;0),$AV49,"")</f>
        <v/>
      </c>
      <c r="LK49" s="164">
        <f>IF(AND($AX49=1,OR($AW49="",(COUNTIF($EL$9:$EP$9,$AW49)+COUNTIF($QV$9:$QY$9,$AW49))&gt;0)),$AV49,"")</f>
        <v/>
      </c>
      <c r="LP49" s="164">
        <f>IF(OR($AW49="",(COUNTIF($EL$10:$EP$10,$AW49)+COUNTIF($QV$10:$QY$10,$AW49))&gt;0),$AV49,"")</f>
        <v/>
      </c>
      <c r="LQ49" s="164">
        <f>IF(AND($AX49=1,OR($AW49="",(COUNTIF($EL$10:$EP$10,$AW49)+COUNTIF($QV$10:$QY$10,$AW49))&gt;0)),$AV49,"")</f>
        <v/>
      </c>
      <c r="LV49" s="164">
        <f>IF(OR($AW49="",(COUNTIF($EL$11:$EP$11,$AW49)+COUNTIF($QV$11:$QY$11,$AW49))&gt;0),$AV49,"")</f>
        <v/>
      </c>
      <c r="LW49" s="164">
        <f>IF(AND($AX49=1,OR($AW49="",(COUNTIF($EL$11:$EP$11,$AW49)+COUNTIF($QV$11:$QY$11,$AW49))&gt;0)),$AV49,"")</f>
        <v/>
      </c>
      <c r="MB49" s="164">
        <f>IF(OR($AW49="",(COUNTIF($EL$12:$EP$12,$AW49)+COUNTIF($QV$12:$QY$12,$AW49))&gt;0),$AV49,"")</f>
        <v/>
      </c>
      <c r="MC49" s="164">
        <f>IF(AND($AX49=1,OR($AW49="",(COUNTIF($EL$12:$EP$12,$AW49)+COUNTIF($QV$12:$QY$12,$AW49))&gt;0)),$AV49,"")</f>
        <v/>
      </c>
      <c r="MH49" s="164">
        <f>IF(OR($AW49="",(COUNTIF($EL$13:$EP$13,$AW49)+COUNTIF($QV$13:$QY$13,$AW49))&gt;0),$AV49,"")</f>
        <v/>
      </c>
      <c r="MI49" s="164">
        <f>IF(AND($AX49=1,OR($AW49="",(COUNTIF($EL$13:$EP$13,$AW49)+COUNTIF($QV$13:$QY$13,$AW49))&gt;0)),$AV49,"")</f>
        <v/>
      </c>
      <c r="MN49" s="162" t="inlineStr">
        <is>
          <t>Ficha 4 · Especial 7</t>
        </is>
      </c>
      <c r="MO49" s="164" t="n">
        <v>4</v>
      </c>
      <c r="MP49" s="164" t="n">
        <v>1</v>
      </c>
      <c r="MQ49" s="164" t="n">
        <v>24</v>
      </c>
      <c r="MR49" s="162" t="inlineStr">
        <is>
          <t>ESPECIAL 7</t>
        </is>
      </c>
      <c r="MS49" s="164">
        <f>MAX(1,MIN(7,N('INVOCAÇÕES'!$U$760)))</f>
        <v/>
      </c>
      <c r="MT49" s="164">
        <f>'INVOCAÇÕES'!$V$760&amp;""</f>
        <v/>
      </c>
      <c r="MU49" s="164">
        <f>'INVOCAÇÕES'!$U$765&amp;""</f>
        <v/>
      </c>
      <c r="MV49" s="164">
        <f>'INVOCAÇÕES'!$U$766&amp;""</f>
        <v/>
      </c>
      <c r="MW49" s="164">
        <f>'INVOCAÇÕES'!$W$766&amp;""</f>
        <v/>
      </c>
      <c r="MX49" s="164">
        <f>'INVOCAÇÕES'!$V$769&amp;""</f>
        <v/>
      </c>
      <c r="MY49" s="164">
        <f>'INVOCAÇÕES'!$V$770&amp;""</f>
        <v/>
      </c>
      <c r="MZ49" s="164">
        <f>'INVOCAÇÕES'!$V$771&amp;""</f>
        <v/>
      </c>
      <c r="NA49" s="164">
        <f>'INVOCAÇÕES'!$V$772&amp;""</f>
        <v/>
      </c>
      <c r="NB49" s="164">
        <f>'INVOCAÇÕES'!$V$773&amp;""</f>
        <v/>
      </c>
      <c r="NC49" s="164">
        <f>'INVOCAÇÕES'!$V$774&amp;""</f>
        <v/>
      </c>
      <c r="ND49" s="164">
        <f>IF($MT49&lt;&gt;"",1,0)</f>
        <v/>
      </c>
      <c r="NE49" s="164">
        <f>INDEX($FO$2:$FO$13,$MO49)</f>
        <v/>
      </c>
      <c r="NF49" s="164">
        <f>INDEX($FP$2:$FP$13,$MO49)</f>
        <v/>
      </c>
      <c r="NG49" s="164">
        <f>INDEX($FQ$2:$FQ$13,$MO49)</f>
        <v/>
      </c>
      <c r="NH49" s="164">
        <f>INDEX($GB$2:$GB$13,$MO49)</f>
        <v/>
      </c>
      <c r="NI49" s="164">
        <f>INDEX($GC$2:$GC$13,$MO49)</f>
        <v/>
      </c>
      <c r="NJ49" s="164">
        <f>IFERROR(MATCH(SUBSTITUTE(SUBSTITUTE(SUBSTITUTE($MU49,"~","~~"),"*","~*"),"?","~?"),'DADOS_FORMAS'!$FZ$2:$FZ$21,0),0)</f>
        <v/>
      </c>
      <c r="NK49" s="164">
        <f>IFERROR(VLOOKUP(SUBSTITUTE(SUBSTITUTE(SUBSTITUTE($MX49,"~","~~"),"*","~*"),"?","~?"),'DADOS_MELHORIAS'!$AG$2:$AL$113,2,FALSE),"")</f>
        <v/>
      </c>
      <c r="NL49" s="164">
        <f>IFERROR(VLOOKUP(SUBSTITUTE(SUBSTITUTE(SUBSTITUTE($MY49,"~","~~"),"*","~*"),"?","~?"),'DADOS_MELHORIAS'!$AG$2:$AL$113,2,FALSE),"")</f>
        <v/>
      </c>
      <c r="NM49" s="164">
        <f>IFERROR(VLOOKUP(SUBSTITUTE(SUBSTITUTE(SUBSTITUTE($MZ49,"~","~~"),"*","~*"),"?","~?"),'DADOS_MELHORIAS'!$AG$2:$AL$113,2,FALSE),"")</f>
        <v/>
      </c>
      <c r="NN49" s="164">
        <f>IFERROR(VLOOKUP(SUBSTITUTE(SUBSTITUTE(SUBSTITUTE($NA49,"~","~~"),"*","~*"),"?","~?"),'DADOS_MELHORIAS'!$AG$2:$AL$113,2,FALSE),"")</f>
        <v/>
      </c>
      <c r="NO49" s="164">
        <f>IFERROR(VLOOKUP(SUBSTITUTE(SUBSTITUTE(SUBSTITUTE($MX49,"~","~~"),"*","~*"),"?","~?"),'DADOS_MELHORIAS'!$AG$2:$AL$113,3,FALSE),0)</f>
        <v/>
      </c>
      <c r="NP49" s="164">
        <f>IFERROR(VLOOKUP(SUBSTITUTE(SUBSTITUTE(SUBSTITUTE($MY49,"~","~~"),"*","~*"),"?","~?"),'DADOS_MELHORIAS'!$AG$2:$AL$113,3,FALSE),0)</f>
        <v/>
      </c>
      <c r="NQ49" s="164">
        <f>IFERROR(VLOOKUP(SUBSTITUTE(SUBSTITUTE(SUBSTITUTE($MZ49,"~","~~"),"*","~*"),"?","~?"),'DADOS_MELHORIAS'!$AG$2:$AL$113,3,FALSE),0)</f>
        <v/>
      </c>
      <c r="NR49" s="164">
        <f>IFERROR(VLOOKUP(SUBSTITUTE(SUBSTITUTE(SUBSTITUTE($NA49,"~","~~"),"*","~*"),"?","~?"),'DADOS_MELHORIAS'!$AG$2:$AL$113,3,FALSE),0)</f>
        <v/>
      </c>
      <c r="NS49" s="164">
        <f>IF($MS49=0,0,IF($NJ49=0,0,INDEX('DADOS_FORMAS'!$GB$2:$GB$21,$NJ49)))</f>
        <v/>
      </c>
      <c r="NT49" s="164">
        <f>IF(OR($NO49=0,$MS49=0),0,$NO49+3*IF(AND($NK49&lt;&gt;"",COUNTIF(INDEX($RB$2:$RJ$13,$MO49,0),$NK49)&gt;0),1,0))</f>
        <v/>
      </c>
      <c r="NU49" s="164">
        <f>IF(OR($NP49=0,$MS49=0),0,$NP49+3*IF(AND($NL49&lt;&gt;"",COUNTIF(INDEX($RB$2:$RJ$13,$MO49,0),$NL49)&gt;0),1,0))</f>
        <v/>
      </c>
      <c r="NV49" s="164">
        <f>IF(OR($NQ49=0,$MS49=0),0,$NQ49+3*IF(AND($NM49&lt;&gt;"",COUNTIF(INDEX($RB$2:$RJ$13,$MO49,0),$NM49)&gt;0),1,0))</f>
        <v/>
      </c>
      <c r="NW49" s="164">
        <f>IF(OR($NR49=0,$MS49=0),0,$NR49+3*IF(AND($NN49&lt;&gt;"",COUNTIF(INDEX($RB$2:$RJ$13,$MO49,0),$NN49)&gt;0),1,0))</f>
        <v/>
      </c>
      <c r="NX49" s="164">
        <f>IF($NJ49=0,0,IF(INDEX('DADOS_FORMAS'!$GA$2:$GA$21,$NJ49)="",0,IF((COUNTIF(INDEX($EL$2:$EP$13,$MO49,0),INDEX('DADOS_FORMAS'!$GA$2:$GA$21,$NJ49))+COUNTIF(INDEX($QV$2:$QY$13,$MO49,0),INDEX('DADOS_FORMAS'!$GA$2:$GA$21,$NJ49)))=0,1,0)))</f>
        <v/>
      </c>
      <c r="NY49" s="164">
        <f>IF(OR($NO49=0,$NK49=""),0,IF((COUNTIF(INDEX($EL$2:$EP$13,$MO49,0),$NK49)+COUNTIF(INDEX($QV$2:$QY$13,$MO49,0),$NK49))=0,1,0))</f>
        <v/>
      </c>
      <c r="NZ49" s="164">
        <f>IF(OR($NP49=0,$NL49=""),0,IF((COUNTIF(INDEX($EL$2:$EP$13,$MO49,0),$NL49)+COUNTIF(INDEX($QV$2:$QY$13,$MO49,0),$NL49))=0,1,0))</f>
        <v/>
      </c>
      <c r="OA49" s="164">
        <f>IF(OR($NQ49=0,$NM49=""),0,IF((COUNTIF(INDEX($EL$2:$EP$13,$MO49,0),$NM49)+COUNTIF(INDEX($QV$2:$QY$13,$MO49,0),$NM49))=0,1,0))</f>
        <v/>
      </c>
      <c r="OB49" s="164">
        <f>IF(OR($NR49=0,$NN49=""),0,IF((COUNTIF(INDEX($EL$2:$EP$13,$MO49,0),$NN49)+COUNTIF(INDEX($QV$2:$QY$13,$MO49,0),$NN49))=0,1,0))</f>
        <v/>
      </c>
      <c r="OC49" s="164">
        <f>IFERROR(VLOOKUP(SUBSTITUTE(SUBSTITUTE(SUBSTITUTE($MX49,"~","~~"),"*","~*"),"?","~?"),'DADOS_MELHORIAS'!$AG$2:$AL$113,4,FALSE),0)+IFERROR(VLOOKUP(SUBSTITUTE(SUBSTITUTE(SUBSTITUTE($MY49,"~","~~"),"*","~*"),"?","~?"),'DADOS_MELHORIAS'!$AG$2:$AL$113,4,FALSE),0)+IFERROR(VLOOKUP(SUBSTITUTE(SUBSTITUTE(SUBSTITUTE($MZ49,"~","~~"),"*","~*"),"?","~?"),'DADOS_MELHORIAS'!$AG$2:$AL$113,4,FALSE),0)+IFERROR(VLOOKUP(SUBSTITUTE(SUBSTITUTE(SUBSTITUTE($NA49,"~","~~"),"*","~*"),"?","~?"),'DADOS_MELHORIAS'!$AG$2:$AL$113,4,FALSE),0)</f>
        <v/>
      </c>
      <c r="OD49" s="164">
        <f>IFERROR(VLOOKUP(SUBSTITUTE(SUBSTITUTE(SUBSTITUTE($MX49,"~","~~"),"*","~*"),"?","~?"),'DADOS_MELHORIAS'!$AG$2:$AL$113,6,FALSE),0)+IFERROR(VLOOKUP(SUBSTITUTE(SUBSTITUTE(SUBSTITUTE($MY49,"~","~~"),"*","~*"),"?","~?"),'DADOS_MELHORIAS'!$AG$2:$AL$113,6,FALSE),0)+IFERROR(VLOOKUP(SUBSTITUTE(SUBSTITUTE(SUBSTITUTE($MZ49,"~","~~"),"*","~*"),"?","~?"),'DADOS_MELHORIAS'!$AG$2:$AL$113,6,FALSE),0)+IFERROR(VLOOKUP(SUBSTITUTE(SUBSTITUTE(SUBSTITUTE($NA49,"~","~~"),"*","~*"),"?","~?"),'DADOS_MELHORIAS'!$AG$2:$AL$113,6,FALSE),0)+IFERROR(N(AND(INDEX('DADOS_FORMAS'!$AO$2:$AO$21,MATCH(SUBSTITUTE(SUBSTITUTE(SUBSTITUTE($MU49,"~","~~"),"*","~*"),"?","~?"),'DADOS_FORMAS'!$AH$2:$AH$21,0))="Acerto",$OH49=1)),0)</f>
        <v/>
      </c>
      <c r="OE49" s="164">
        <f>TEXTJOIN(", ",TRUE,IF(IFERROR(VLOOKUP(SUBSTITUTE(SUBSTITUTE(SUBSTITUTE($MX49,"~","~~"),"*","~*"),"?","~?"),'DADOS_MELHORIAS'!$AG$2:$AL$113,5,FALSE),0)=1,$MX49,""),IF(IFERROR(VLOOKUP(SUBSTITUTE(SUBSTITUTE(SUBSTITUTE($MY49,"~","~~"),"*","~*"),"?","~?"),'DADOS_MELHORIAS'!$AG$2:$AL$113,5,FALSE),0)=1,$MY49,""),IF(IFERROR(VLOOKUP(SUBSTITUTE(SUBSTITUTE(SUBSTITUTE($MZ49,"~","~~"),"*","~*"),"?","~?"),'DADOS_MELHORIAS'!$AG$2:$AL$113,5,FALSE),0)=1,$MZ49,""),IF(IFERROR(VLOOKUP(SUBSTITUTE(SUBSTITUTE(SUBSTITUTE($NA49,"~","~~"),"*","~*"),"?","~?"),'DADOS_MELHORIAS'!$AG$2:$AL$113,5,FALSE),0)=1,$NA49,""))</f>
        <v/>
      </c>
      <c r="OF49" s="164">
        <f>IF($NJ49=0,0,INDEX('DADOS_FORMAS'!$GC$2:$GC$21,$NJ49))</f>
        <v/>
      </c>
      <c r="OG49" s="164">
        <f>IF($NJ49=0,0,INDEX('DADOS_FORMAS'!$GD$2:$GD$21,$NJ49))</f>
        <v/>
      </c>
      <c r="OH49" s="164">
        <f>IF($NJ49=0,0,INDEX('DADOS_FORMAS'!$GF$2:$GF$21,$NJ49))</f>
        <v/>
      </c>
      <c r="OI49" s="164">
        <f>IFERROR(VLOOKUP(SUBSTITUTE(SUBSTITUTE(SUBSTITUTE($NB49,"~","~~"),"*","~*"),"?","~?"),'DADOS_RESTRICOES'!$M$2:$Q$54,3,FALSE),0)</f>
        <v/>
      </c>
      <c r="OJ49" s="164">
        <f>IFERROR(VLOOKUP(SUBSTITUTE(SUBSTITUTE(SUBSTITUTE($NC49,"~","~~"),"*","~*"),"?","~?"),'DADOS_RESTRICOES'!$M$2:$Q$54,3,FALSE),0)</f>
        <v/>
      </c>
      <c r="OK49" s="164">
        <f>IFERROR(VLOOKUP(SUBSTITUTE(SUBSTITUTE(SUBSTITUTE($NB49,"~","~~"),"*","~*"),"?","~?"),'DADOS_RESTRICOES'!$M$2:$Q$54,2,FALSE),"")</f>
        <v/>
      </c>
      <c r="OL49" s="164">
        <f>IFERROR(VLOOKUP(SUBSTITUTE(SUBSTITUTE(SUBSTITUTE($NC49,"~","~~"),"*","~*"),"?","~?"),'DADOS_RESTRICOES'!$M$2:$Q$54,2,FALSE),"")</f>
        <v/>
      </c>
      <c r="OM49" s="164">
        <f>COUNTIF($NS49:$NW49,1)</f>
        <v/>
      </c>
      <c r="ON49" s="164">
        <f>COUNTIF($NS49:$NW49,2)</f>
        <v/>
      </c>
      <c r="OO49" s="164">
        <f>COUNTIF($NS49:$NW49,3)</f>
        <v/>
      </c>
      <c r="OP49" s="164">
        <f>COUNTIF($NS49:$NW49,4)</f>
        <v/>
      </c>
      <c r="OQ49" s="164">
        <f>COUNTIF($NS49:$NW49,5)</f>
        <v/>
      </c>
      <c r="OR49" s="164">
        <f>COUNTIF($NS49:$NW49,6)</f>
        <v/>
      </c>
      <c r="OS49" s="164">
        <f>COUNTIF($OI49:$OJ49,1)+IF(IFERROR(INDEX('DADOS_FORMAS'!$AS$2:$AS$21,MATCH(SUBSTITUTE(SUBSTITUTE(SUBSTITUTE($MU49,"~","~~"),"*","~*"),"?","~?"),'DADOS_FORMAS'!$AH$2:$AH$21,0)),"")="",0,IFERROR(N(VLOOKUP(SUBSTITUTE(SUBSTITUTE(SUBSTITUTE(IFERROR(INDEX('DADOS_FORMAS'!$AS$2:$AS$21,MATCH(SUBSTITUTE(SUBSTITUTE(SUBSTITUTE($MU49,"~","~~"),"*","~*"),"?","~?"),'DADOS_FORMAS'!$AH$2:$AH$21,0)),""),"~","~~"),"*","~*"),"?","~?"),'DADOS_RESTRICOES'!$M$2:$Q$54,3,FALSE)=1),0))</f>
        <v/>
      </c>
      <c r="OT49" s="164">
        <f>COUNTIF($OI49:$OJ49,2)+IF(IFERROR(INDEX('DADOS_FORMAS'!$AS$2:$AS$21,MATCH(SUBSTITUTE(SUBSTITUTE(SUBSTITUTE($MU49,"~","~~"),"*","~*"),"?","~?"),'DADOS_FORMAS'!$AH$2:$AH$21,0)),"")="",0,IFERROR(N(VLOOKUP(SUBSTITUTE(SUBSTITUTE(SUBSTITUTE(IFERROR(INDEX('DADOS_FORMAS'!$AS$2:$AS$21,MATCH(SUBSTITUTE(SUBSTITUTE(SUBSTITUTE($MU49,"~","~~"),"*","~*"),"?","~?"),'DADOS_FORMAS'!$AH$2:$AH$21,0)),""),"~","~~"),"*","~*"),"?","~?"),'DADOS_RESTRICOES'!$M$2:$Q$54,3,FALSE)=2),0))</f>
        <v/>
      </c>
      <c r="OU49" s="164">
        <f>COUNTIF($MX49:$NA49,"?*")</f>
        <v/>
      </c>
      <c r="OV49" s="164">
        <f>COUNTIF($NB49:$NC49,"?*")+$OF49</f>
        <v/>
      </c>
      <c r="OW49" s="164">
        <f>IF($MS49=0,0,SUMPRODUCT($OM49:$OR49,INDEX($I$2:$N$8,MAX(1,$MS49),0)))</f>
        <v/>
      </c>
      <c r="OX49" s="164">
        <f>IF($MS49=0,0,$OS49*CEILING($MS49/2,1)+$OT49*$MS49)</f>
        <v/>
      </c>
      <c r="OY49" s="164">
        <f>MIN(2*$MS49,$OX49)</f>
        <v/>
      </c>
      <c r="OZ49" s="164">
        <f>MIN($OY49,$OW49-IF($NS49=0,0,INDEX($I$2:$N$8,MAX(1,$MS49),$NS49)))</f>
        <v/>
      </c>
      <c r="PA49" s="164">
        <f>$OY49-$OZ49</f>
        <v/>
      </c>
      <c r="PB49" s="164">
        <f>IF($MS49=0,0,INDEX($P$2:$P$8,MAX(1,$MS49)))</f>
        <v/>
      </c>
      <c r="PC49" s="164">
        <f>$PB49-$OW49+$OZ49</f>
        <v/>
      </c>
      <c r="PD49" s="164">
        <f>IF($MS49=0,MAX(0,$NG49-IF(AND($OU49&gt;0,COUNTIF($NB49:$NC49,"?*")=0),1,0)),MAX(0,$PC49))</f>
        <v/>
      </c>
      <c r="PE49" s="164">
        <f>IF($MS49=0,0,(IF(COUNTIF($RK49:$RN49,"Salto")&gt;0,1,0)+IF(COUNTIF($RK49:$RN49,"Queima")&gt;0,1,0)+IF(COUNTIF($RK49:$RN49,"Estilhaço")&gt;0,1,0))*FLOOR($PD49/2,1))</f>
        <v/>
      </c>
      <c r="PF49" s="164">
        <f>MAX(0,2-SUMPRODUCT($OM49:$OR49,$I$2:$N$2)+MIN(2,$OS49*1+$OT49*1,SUMPRODUCT($OM49:$OR49,$I$2:$N$2)-IF($NS49=0,0,INDEX($I$2:$N$2,1,$NS49))))</f>
        <v/>
      </c>
      <c r="PG49" s="164">
        <f>MAX(0,4-SUMPRODUCT($OM49:$OR49,$I$3:$N$3)+MIN(4,$OS49*1+$OT49*2,SUMPRODUCT($OM49:$OR49,$I$3:$N$3)-IF($NS49=0,0,INDEX($I$3:$N$3,1,$NS49))))</f>
        <v/>
      </c>
      <c r="PH49" s="164">
        <f>MAX(0,6-SUMPRODUCT($OM49:$OR49,$I$4:$N$4)+MIN(6,$OS49*2+$OT49*3,SUMPRODUCT($OM49:$OR49,$I$4:$N$4)-IF($NS49=0,0,INDEX($I$4:$N$4,1,$NS49))))</f>
        <v/>
      </c>
      <c r="PI49" s="164">
        <f>MAX(0,9-SUMPRODUCT($OM49:$OR49,$I$5:$N$5)+MIN(8,$OS49*2+$OT49*4,SUMPRODUCT($OM49:$OR49,$I$5:$N$5)-IF($NS49=0,0,INDEX($I$5:$N$5,1,$NS49))))</f>
        <v/>
      </c>
      <c r="PJ49" s="164">
        <f>MAX(0,11-SUMPRODUCT($OM49:$OR49,$I$6:$N$6)+MIN(10,$OS49*3+$OT49*5,SUMPRODUCT($OM49:$OR49,$I$6:$N$6)-IF($NS49=0,0,INDEX($I$6:$N$6,1,$NS49))))</f>
        <v/>
      </c>
      <c r="PK49" s="164">
        <f>MAX(0,13-SUMPRODUCT($OM49:$OR49,$I$7:$N$7)+MIN(12,$OS49*3+$OT49*6,SUMPRODUCT($OM49:$OR49,$I$7:$N$7)-IF($NS49=0,0,INDEX($I$7:$N$7,1,$NS49))))</f>
        <v/>
      </c>
      <c r="PL49" s="164">
        <f>MAX(0,16-SUMPRODUCT($OM49:$OR49,$I$8:$N$8)+MIN(14,$OS49*4+$OT49*7,SUMPRODUCT($OM49:$OR49,$I$8:$N$8)-IF($NS49=0,0,INDEX($I$8:$N$8,1,$NS49))))</f>
        <v/>
      </c>
      <c r="PM49" s="164">
        <f>IF($OG49=2,3*$PF49&amp;" de vida temp.",IF($OG49=3,"sem dano",IF($PF49=0,IF($OG49=1,"sem cura","sem dano"),IF($OG49=1,"cura ","")&amp;$PF49&amp;"d8")))</f>
        <v/>
      </c>
      <c r="PN49" s="164">
        <f>IF($OG49=2,3*$PG49&amp;" de vida temp.",IF($OG49=3,"sem dano",IF($PG49=0,IF($OG49=1,"sem cura","sem dano"),IF($OG49=1,"cura ","")&amp;$PG49&amp;"d8")))</f>
        <v/>
      </c>
      <c r="PO49" s="164">
        <f>IF($OG49=2,3*$PH49&amp;" de vida temp.",IF($OG49=3,"sem dano",IF($PH49=0,IF($OG49=1,"sem cura","sem dano"),IF($OG49=1,"cura ","")&amp;$PH49&amp;"d8")))</f>
        <v/>
      </c>
      <c r="PP49" s="164">
        <f>IF($OG49=2,3*$PI49&amp;" de vida temp.",IF($OG49=3,"sem dano",IF($PI49=0,IF($OG49=1,"sem cura","sem dano"),IF($OG49=1,"cura ","")&amp;$PI49&amp;"d8")))</f>
        <v/>
      </c>
      <c r="PQ49" s="164">
        <f>IF($OG49=2,3*$PJ49&amp;" de vida temp.",IF($OG49=3,"sem dano",IF($PJ49=0,IF($OG49=1,"sem cura","sem dano"),IF($OG49=1,"cura ","")&amp;$PJ49&amp;"d8")))</f>
        <v/>
      </c>
      <c r="PR49" s="164">
        <f>IF($OG49=2,3*$PK49&amp;" de vida temp.",IF($OG49=3,"sem dano",IF($PK49=0,IF($OG49=1,"sem cura","sem dano"),IF($OG49=1,"cura ","")&amp;$PK49&amp;"d8")))</f>
        <v/>
      </c>
      <c r="PS49" s="164">
        <f>IF($OG49=2,3*$PL49&amp;" de vida temp.",IF($OG49=3,"sem dano",IF($PL49=0,IF($OG49=1,"sem cura","sem dano"),IF($OG49=1,"cura ","")&amp;$PL49&amp;"d8")))</f>
        <v/>
      </c>
      <c r="PT49" s="164">
        <f>IF($ND49=0,"",TEXTJOIN(" · ",TRUE,IF($ND49=0,"",TEXTJOIN(" · ",TRUE,IF($ND49=0,"",TEXTJOIN(" · ",TRUE,IF($MQ49&gt;$NE49,"Este lugar abre no nível "&amp;$MQ49,""),IF($MS49&gt;$NF49,"Classe "&amp;$MS49&amp;": o nível "&amp;$NE49&amp;" libera até a "&amp;$NF49,""),IF($NX49=1,"A Forma "&amp;$MU49&amp;" pede "&amp;INDEX('DADOS_FORMAS'!$GA$2:$GA$21,$NJ49)&amp;" aberta",""),IF(AND($MS49=0,$NJ49&gt;0,IF($NJ49=0,0,INDEX('DADOS_FORMAS'!$GJ$2:$GJ$21,$NJ49))=0),$MU49&amp;" não existe na Classe 0",""),IF($NY49=1,"Família Fechada: "&amp;$MX49,""),IF($NZ49=1,"Família Fechada: "&amp;$MY49,""),IF($OA49=1,"Família Fechada: "&amp;$MZ49,""),IF($OB49=1,"Família Fechada: "&amp;$NA49,""),IF(AND($MS49&gt;0,$OU49&gt;INDEX($O$2:$O$8,MAX(1,$MS49))),$OU49&amp;" Melhorias: a Classe "&amp;$MS49&amp;" aceita "&amp;INDEX($O$2:$O$8,MAX(1,$MS49)),""),IF(AND($MS49=0,$OU49&gt;1),"A básica aceita uma Melhoria",""),IF(AND($MS49=0,COUNTIF($NO49:$NR49,"&gt;1")&gt;0),"A básica só aceita Melhoria Leve",""),IF(AND($MS49&gt;0,$OV49&gt;2),$OV49&amp;" Restrições"&amp;IF($OF49=1,", contando a que a Forma "&amp;$MU49&amp;" já traz","")&amp;": o limite é 2",""),IF(AND($MS49=0,COUNTIF($NB49:$NC49,"?*")&gt;1),"A básica aceita uma Restrição Leve",""),IF(AND($MS49=0,COUNTIF($OI49:$OJ49,2)&gt;0),"A básica só aceita Restrição Leve",""),IF(AND($MS49&gt;0,$PC49&lt;0),"Orçamento estourado: faltam "&amp;(-$PC49)&amp;IF($PC49&lt;-1," pontos"," ponto"),""),IF(IFERROR(VLOOKUP(SUBSTITUTE(SUBSTITUTE(SUBSTITUTE($NB49,"~","~~"),"*","~*"),"?","~?"),'DADOS_RESTRICOES'!$M$2:$Q$54,4,FALSE),0)+IFERROR(VLOOKUP(SUBSTITUTE(SUBSTITUTE(SUBSTITUTE($NC49,"~","~~"),"*","~*"),"?","~?"),'DADOS_RESTRICOES'!$M$2:$Q$54,4,FALSE),0)&gt;1,$OK49&amp;" e "&amp;$OL49&amp;" são as duas de frequência",""),IF(AND((COUNTIF($RK49:$RN49,"Rápido")+COUNTIF($OK49:$OL49,"Rápido"))&gt;0,(COUNTIF($MX49:$NA49,"Atrasar")+COUNTIF($OK49:$OL49,"Atrasar"))&gt;0),"Rápido não entra com Atrasar",""),IF(AND((COUNTIF($RK49:$RN49,"Reação")+COUNTIF($OK49:$OL49,"Reação"))&gt;0,(COUNTIF($RK49:$RN49,"Rápido")+COUNTIF($OK49:$OL49,"Rápido"))&gt;0),"Reação não entra com Rápido",""),IF(AND((COUNTIF($RK49:$RN49,"Reação")+COUNTIF($OK49:$OL49,"Reação"))&gt;0,(COUNTIF($RK49:$RN49,"Armado")+COUNTIF($OK49:$OL49,"Armado"))&gt;0),"Reação não entra com Armado",""),IF(AND((COUNTIF($RK49:$RN49,"Reação")+COUNTIF($OK49:$OL49,"Reação"))&gt;0,(COUNTIF($MX49:$NA49,"Atrasar")+COUNTIF($OK49:$OL49,"Atrasar"))&gt;0),"Reação não entra com Atrasar",""),IF(AND((COUNTIF($RK49:$RN49,"Reação")+COUNTIF($OK49:$OL49,"Reação"))&gt;0,(COUNTIF($MX49:$NA49,"Parado")+COUNTIF($OK49:$OL49,"Parado"))&gt;0),"Reação não entra com Parado",""),IF(AND((COUNTIF($MX49:$NA49,"Atrasar")+COUNTIF($OK49:$OL49,"Atrasar"))&gt;0,(COUNTIF($MX49:$NA49,"Parado")+COUNTIF($OK49:$OL49,"Parado"))&gt;0),"Atrasar não entra com Parado",""),IF(AND((COUNTIF($RK49:$RN49,"Armado")+COUNTIF($OK49:$OL49,"Armado"))&gt;0,(COUNTIF($MX49:$NA49,"Carregar")+COUNTIF($OK49:$OL49,"Carregar"))&gt;0),"Armado não entra com Carregar",""),IF(AND(COUNTIF($OK49:$OL49,"Corpo a Corpo")&gt;0,$OF49=0,OR($RO49="Cone",$RO49="Linha")),"Corpo a Corpo não entra em "&amp;$MU49,""),IF(AND(COUNTIF($OK49:$OL49,"Corpo a Corpo")&gt;0,$RP49="Corpo a Corpo"),"A Forma "&amp;$MU49&amp;" já traz o Corpo a Corpo",""),IF(AND(COUNTIF($OK49:$OL49,"Tudo ou Nada")&gt;0,$OH49=0),"Tudo ou Nada só entra em habilidade de Teste de Resistência",""),IF(AND(COUNTIF($RK49:$RN49,"Inescapável")&gt;0,OR($OU49&gt;1,$OV49&gt;0)),"Inescapável não aceita outra peça",""),IF(AND($MS49&gt;0,$PD49*IF(COUNTIF($RK49:$RN49,"Remate")&gt;0,1.25,1)+$PE49&gt;4*$MS49),($PD49*IF(COUNTIF($RK49:$RN49,"Remate")&gt;0,1.25,1)+$PE49)&amp;" dados somando repetições"&amp;IF(COUNTIF($RK49:$RN49,"Remate")&gt;0," e o Remate","")&amp;": o teto da Classe "&amp;$MS49&amp;" é "&amp;4*$MS49,""))),IF(AND($MX49&lt;&gt;"",COUNTIF('DADOS_MELHORIAS'!$O$2:$O$113,SUBSTITUTE(SUBSTITUTE(SUBSTITUTE($MX49,"~","~~"),"*","~*"),"?","~?"))=0),"Melhoria não cadastrada ou com erro: "&amp;$MX49,""),IF(AND($MY49&lt;&gt;"",COUNTIF('DADOS_MELHORIAS'!$O$2:$O$113,SUBSTITUTE(SUBSTITUTE(SUBSTITUTE($MY49,"~","~~"),"*","~*"),"?","~?"))=0),"Melhoria não cadastrada ou com erro: "&amp;$MY49,""),IF(AND($MZ49&lt;&gt;"",COUNTIF('DADOS_MELHORIAS'!$O$2:$O$113,SUBSTITUTE(SUBSTITUTE(SUBSTITUTE($MZ49,"~","~~"),"*","~*"),"?","~?"))=0),"Melhoria não cadastrada ou com erro: "&amp;$MZ49,""),IF(AND($NA49&lt;&gt;"",COUNTIF('DADOS_MELHORIAS'!$O$2:$O$113,SUBSTITUTE(SUBSTITUTE(SUBSTITUTE($NA49,"~","~~"),"*","~*"),"?","~?"))=0),"Melhoria não cadastrada ou com erro: "&amp;$NA49,""),IF(AND($NB49&lt;&gt;"",COUNTIF('DADOS_RESTRICOES'!$M$2:$M$54,SUBSTITUTE(SUBSTITUTE(SUBSTITUTE($NB49,"~","~~"),"*","~*"),"?","~?"))=0),"Restrição não cadastrada ou com erro: "&amp;$NB49,""),IF(AND($NC49&lt;&gt;"",COUNTIF('DADOS_RESTRICOES'!$M$2:$M$54,SUBSTITUTE(SUBSTITUTE(SUBSTITUTE($NC49,"~","~~"),"*","~*"),"?","~?"))=0),"Restrição não cadastrada ou com erro: "&amp;$NC49,""))),IF(AND($MU49&lt;&gt;"",COUNTIF('DADOS_FORMAS'!$AH$2:$AH$21,SUBSTITUTE(SUBSTITUTE(SUBSTITUTE($MU49,"~","~~"),"*","~*"),"?","~?"))=0),"Forma não cadastrada ou com erro: "&amp;$MU49,""),IF(AND(IFERROR(INDEX('DADOS_FORMAS'!$AS$2:$AS$21,MATCH(SUBSTITUTE(SUBSTITUTE(SUBSTITUTE($MU49,"~","~~"),"*","~*"),"?","~?"),'DADOS_FORMAS'!$AH$2:$AH$21,0)),"")&lt;&gt;"",OR(IFERROR(VLOOKUP(SUBSTITUTE(SUBSTITUTE(SUBSTITUTE(IFERROR(INDEX('DADOS_FORMAS'!$AS$2:$AS$21,MATCH(SUBSTITUTE(SUBSTITUTE(SUBSTITUTE($MU49,"~","~~"),"*","~*"),"?","~?"),'DADOS_FORMAS'!$AH$2:$AH$21,0)),""),"~","~~"),"*","~*"),"?","~?"),'DADOS_RESTRICOES'!$M$2:$Q$54,2,FALSE),"")=$OK49,IFERROR(VLOOKUP(SUBSTITUTE(SUBSTITUTE(SUBSTITUTE(IFERROR(INDEX('DADOS_FORMAS'!$AS$2:$AS$21,MATCH(SUBSTITUTE(SUBSTITUTE(SUBSTITUTE($MU49,"~","~~"),"*","~*"),"?","~?"),'DADOS_FORMAS'!$AH$2:$AH$21,0)),""),"~","~~"),"*","~*"),"?","~?"),'DADOS_RESTRICOES'!$M$2:$Q$54,2,FALSE),"")=$OL49)),"Restrição repetida, contando a embutida",""),IF(IF(IFERROR(INDEX('DADOS_FORMAS'!$AS$2:$AS$21,MATCH(SUBSTITUTE(SUBSTITUTE(SUBSTITUTE($MU49,"~","~~"),"*","~*"),"?","~?"),'DADOS_FORMAS'!$AH$2:$AH$21,0)),"")="",0,IFERROR(N(VLOOKUP(SUBSTITUTE(SUBSTITUTE(SUBSTITUTE(IFERROR(INDEX('DADOS_FORMAS'!$AS$2:$AS$21,MATCH(SUBSTITUTE(SUBSTITUTE(SUBSTITUTE($MU49,"~","~~"),"*","~*"),"?","~?"),'DADOS_FORMAS'!$AH$2:$AH$21,0)),""),"~","~~"),"*","~*"),"?","~?"),'DADOS_RESTRICOES'!$M$2:$Q$54,4,FALSE)=1),0))+IF($NB49="",0,IFERROR(N(VLOOKUP(SUBSTITUTE(SUBSTITUTE(SUBSTITUTE($NB49,"~","~~"),"*","~*"),"?","~?"),'DADOS_RESTRICOES'!$M$2:$Q$54,4,FALSE)=1),0))+IF($NC49="",0,IFERROR(N(VLOOKUP(SUBSTITUTE(SUBSTITUTE(SUBSTITUTE($NC49,"~","~~"),"*","~*"),"?","~?"),'DADOS_RESTRICOES'!$M$2:$Q$54,4,FALSE)=1),0))&gt;1,"Duas Restrições de frequência, contando a embutida",""),IF(AND(IFERROR(VLOOKUP(SUBSTITUTE(SUBSTITUTE(SUBSTITUTE(IFERROR(INDEX('DADOS_FORMAS'!$AS$2:$AS$21,MATCH(SUBSTITUTE(SUBSTITUTE(SUBSTITUTE($MU49,"~","~~"),"*","~*"),"?","~?"),'DADOS_FORMAS'!$AH$2:$AH$21,0)),""),"~","~~"),"*","~*"),"?","~?"),'DADOS_RESTRICOES'!$M$2:$Q$54,2,FALSE),"")="Tudo ou Nada",$OH49=0),"Tudo ou Nada exige TR",""),IF(AND(IFERROR(VLOOKUP(SUBSTITUTE(SUBSTITUTE(SUBSTITUTE(IFERROR(INDEX('DADOS_FORMAS'!$AS$2:$AS$21,MATCH(SUBSTITUTE(SUBSTITUTE(SUBSTITUTE($MU49,"~","~~"),"*","~*"),"?","~?"),'DADOS_FORMAS'!$AH$2:$AH$21,0)),""),"~","~~"),"*","~*"),"?","~?"),'DADOS_RESTRICOES'!$M$2:$Q$54,2,FALSE),"")="Corpo a Corpo",OR($RO49="Cone",$RO49="Linha")),"Corpo a Corpo não entra em Cone/Linha","")))</f>
        <v/>
      </c>
      <c r="PU49" s="164">
        <f>IF($PT49="",0,(LEN($PT49)-LEN(SUBSTITUTE($PT49," · ","")))/3+1)</f>
        <v/>
      </c>
      <c r="PV49" s="164">
        <f>IF($ND49=0,"",TEXTJOIN(" · ",TRUE,IF($OX49&gt;2*$MS49,"A devolução parou no teto de "&amp;2*$MS49,""),IF($PA49&gt;0,"Devolução perdida: "&amp;$PA49&amp;IF($PA49&gt;1," pontos"," ponto")&amp;" sem Melhoria para pagar",""),IF(AND($OC49&gt;0,AND($MS49&gt;0,$OG49=0),$PD49=0),"Controle sem dano: uma rodada a mais e CD +2",""),IF(AND($OC49&gt;0,AND($MS49&gt;0,$OG49=0),$PD49&gt;0,$PD49&lt;=$MS49),"Controle com saldo até a Classe: uma rodada a mais",""),IF(AND($MS49&gt;0,$OE49&lt;&gt;""),"Efeito de "&amp;$OE49&amp;" pela Classe "&amp;MAX(1,$MS49-1),"")))</f>
        <v/>
      </c>
      <c r="PW49" s="164">
        <f>IF($PV49="",0,(LEN($PV49)-LEN(SUBSTITUTE($PV49," · ","")))/3+1)</f>
        <v/>
      </c>
      <c r="PX49" s="164">
        <f>IF($ND49=0,IF($OU49+COUNTIF($NB49:$NC49,"?*")&gt;0,"Dê um nome",""),IF($PU49&gt;0,"⚠ "&amp;$PU49&amp;IF($PU49&gt;1," erros"," erro"),IF($PW49&gt;0,"! "&amp;$PW49&amp;IF($PW49&gt;1," avisos"," aviso"),"Na regra")))</f>
        <v/>
      </c>
      <c r="PY49" s="164">
        <f>IF($ND49=0,"",IF($PU49+$PW49=0,"Dentro das regras que a ficha confere",$PT49&amp;IF(AND($PU49&gt;0,$PW49&gt;0)," · ","")&amp;$PV49))</f>
        <v/>
      </c>
      <c r="PZ49" s="164">
        <f>IF($MQ49&gt;$NE49,$MR49&amp;" · ABRE NO NÍVEL "&amp;$MQ49,$MR49)</f>
        <v/>
      </c>
      <c r="QA49" s="164">
        <f>IF($ND49=0,"",IF($MS49=0,"Sem PE",3*$MS49&amp;" PE"))</f>
        <v/>
      </c>
      <c r="QB49" s="164">
        <f>IF($ND49=0,"",IF($MS49=0,"A atuação básica dela",IF(COUNTIF($RQ49:$RS49,"Atrasar")&gt;0,"Sua Ação Completa",IF(COUNTIF($RK49:$RN49,"Rápido")&gt;0,"Sua Bônus",IF(COUNTIF($RK49:$RN49,"Reação")&gt;0,"Sua Reação","Sua Padrão")))&amp;" + a básica dela"&amp;IF(COUNTIF($RK49:$RN49,"Reação")&gt;0," e a coletiva","")&amp;IF(COUNTIF($RQ49:$RS49,"Carregar")&gt;0," · em dois turnos","")))</f>
        <v/>
      </c>
      <c r="QC49" s="164">
        <f>IF($MW49&lt;&gt;"",$MW49,IF($NJ49=0,"",INDEX('DADOS_FORMAS'!$GE$2:$GE$21,$NJ49)))</f>
        <v/>
      </c>
      <c r="QD49" s="164">
        <f>IF(OR($ND49=0,$NJ49=0),"",IF(COUNTIF($RK49:$RN49,"Inescapável")&gt;0,"Automático",IF($QC49="Ataque",IF($NH49="","Ataque","Ataque "&amp;IF(($NH49+2*IF(COUNTIF($RK49:$RN49,"Precisão")&gt;0,1,0))&gt;=0,"+","−")&amp;ABS(($NH49+2*IF(COUNTIF($RK49:$RN49,"Precisão")&gt;0,1,0))))&amp;IF($OD49&gt;0," · TR"&amp;IF($NI49="",""," CD "&amp;$NI49),""),IF(LEFT($QC49,2)="TR",$QC49&amp;IF($NI49="",""," · CD "&amp;$NI49)&amp;IF(COUNTIF($RK49:$RN49,"Certeiro")&gt;0," · metade",""),"Sem rolagem"))))</f>
        <v/>
      </c>
      <c r="QE49" s="164">
        <f>IF(OR($ND49=0,$NJ49=0),"",IF($MS49=0,IF(OR($OG49&gt;=1,$PD49=0),"Sem dano",$PD49&amp;"d6"&amp;IF($MV49="",""," "&amp;$MV49)),IF(OR($OG49&gt;=1,$PD49=0),UPPER(LEFT(INDEX($PM49:$PS49,1,MAX(1,$MS49)),1))&amp;MID(INDEX($PM49:$PS49,1,MAX(1,$MS49)),2,99),UPPER(LEFT(INDEX($PM49:$PS49,1,MAX(1,$MS49)),1))&amp;MID(INDEX($PM49:$PS49,1,MAX(1,$MS49)),2,99)&amp;IF($MV49="",""," "&amp;$MV49)&amp;IF($PE49&gt;0," · +"&amp;$PE49&amp;"d8",""))))</f>
        <v/>
      </c>
      <c r="QF49" s="164">
        <f>COUNTIF($RK49:$RN49,"Longe")+3*COUNTIF($RK49:$RN49,"Muito Longe")</f>
        <v/>
      </c>
      <c r="QG49" s="164">
        <f>COUNTIF($RK49:$RN49,"Maior")+3*COUNTIF($RK49:$RN49,"Muito Maior")</f>
        <v/>
      </c>
      <c r="QH49" s="164">
        <f>IF($NJ49=0,0,CHOOSE(1+INDEX('DADOS_FORMAS'!$GG$2:$GG$21,$NJ49),0,$QF49,$QG49,$QF49+$QG49))</f>
        <v/>
      </c>
      <c r="QI49" s="164">
        <f>IF($NJ49=0,0,CHOOSE(1+INDEX('DADOS_FORMAS'!$GH$2:$GH$21,$NJ49),0,$QF49,$QG49,$QF49+$QG49))</f>
        <v/>
      </c>
      <c r="QJ49" s="164">
        <f>IF(OR($ND49=0,$NJ49=0),"",INDEX('DADOS_FORMAS'!$HU$2:$HZ$81,($NJ49-1)*4+IF($MS49=0,1,IF($MS49&lt;=5,2,IF($MS49=6,3,4))),1+MIN(5,$QH49))&amp;INDEX('DADOS_FORMAS'!$IA$2:$IF$81,($NJ49-1)*4+IF($MS49=0,1,IF($MS49&lt;=5,2,IF($MS49=6,3,4))),1+MIN(5,$QI49))&amp;IF(INDEX('DADOS_FORMAS'!$GI$2:$GI$21,$NJ49)=1,IF(COUNTIF($RK49:$RN49,"Mais Um")&gt;0," · +"&amp;COUNTIF($RK49:$RN49,"Mais Um")&amp;IF(COUNTIF($RK49:$RN49,"Mais Um")&gt;1," alvos"," alvo"),"")&amp;IF(COUNTIF($RK49:$RN49,"Rajada")&gt;0,IF($MS49=0," · 1 tiro"," · "&amp;(MAX(1,$MS49-1)+1)&amp;" tiros"),""),""))</f>
        <v/>
      </c>
      <c r="QK49" s="164">
        <f>IF($ND49=0,"",IF($MS49=0,$NG49&amp;"d6"&amp;IF($OU49&gt;0," − 1 = "&amp;$PD49&amp;"d6"," da básica do nível "&amp;$NE49),$PB49&amp;" − "&amp;$OW49&amp;" + "&amp;$OZ49&amp;" = "&amp;$PC49&amp;" · teto "&amp;4*$MS49&amp;"d8"&amp;IF($OF49=1," · a Forma devolve "&amp;$MS49,"")&amp;IF($PA49&gt;0," · perde "&amp;$PA49,"")))</f>
        <v/>
      </c>
      <c r="QL49" s="164">
        <f>IF($ND49=0,"",IF($MS49=0,"A básica não amplia: os dados dela sobem com o nível",IF($MS49&gt;=$NF49,"Já está na maior Classe que o nível liberou",TEXTJOIN(" · ",TRUE,IF(AND(2&gt;$MS49,2&lt;=$NF49),"2 → "&amp;$PN49&amp;", 6 PE",""),IF(AND(3&gt;$MS49,3&lt;=$NF49),"3 → "&amp;$PO49&amp;", 9 PE",""),IF(AND(4&gt;$MS49,4&lt;=$NF49),"4 → "&amp;$PP49&amp;", 12 PE",""),IF(AND(5&gt;$MS49,5&lt;=$NF49),"5 → "&amp;$PQ49&amp;", 15 PE",""),IF(AND(6&gt;$MS49,6&lt;=$NF49),"6 → "&amp;$PR49&amp;", 18 PE",""),IF(AND(7&gt;$MS49,7&lt;=$NF49),"7 → "&amp;$PS49&amp;", 21 PE","")))))</f>
        <v/>
      </c>
      <c r="QM49" s="164">
        <f>IF(OR($ND49=0,$NO49=0),"",IF($MS49=0,"−1 dado","−"&amp;INDEX($I$2:$N$8,MAX(1,$MS49),MAX(1,$NT49))&amp;" · "&amp;CHOOSE(MAX(1,$NT49),"Leve","Média","Pesada","Leve · Livre","Média · Livre","Pesada · Livre")))</f>
        <v/>
      </c>
      <c r="QN49" s="164">
        <f>IF(OR($ND49=0,$NP49=0),"",IF($MS49=0,"−1 dado","−"&amp;INDEX($I$2:$N$8,MAX(1,$MS49),MAX(1,$NU49))&amp;" · "&amp;CHOOSE(MAX(1,$NU49),"Leve","Média","Pesada","Leve · Livre","Média · Livre","Pesada · Livre")))</f>
        <v/>
      </c>
      <c r="QO49" s="164">
        <f>IF(OR($ND49=0,$NQ49=0),"",IF($MS49=0,"−1 dado","−"&amp;INDEX($I$2:$N$8,MAX(1,$MS49),MAX(1,$NV49))&amp;" · "&amp;CHOOSE(MAX(1,$NV49),"Leve","Média","Pesada","Leve · Livre","Média · Livre","Pesada · Livre")))</f>
        <v/>
      </c>
      <c r="QP49" s="164">
        <f>IF(OR($ND49=0,$NR49=0),"",IF($MS49=0,"−1 dado","−"&amp;INDEX($I$2:$N$8,MAX(1,$MS49),MAX(1,$NW49))&amp;" · "&amp;CHOOSE(MAX(1,$NW49),"Leve","Média","Pesada","Leve · Livre","Média · Livre","Pesada · Livre")))</f>
        <v/>
      </c>
      <c r="QQ49" s="164">
        <f>IF(OR($ND49=0,$NB49=""),"",IF($MS49=0,"não devolve","+"&amp;IF($OI49=1,CEILING($MS49/2,1),$MS49)))</f>
        <v/>
      </c>
      <c r="QR49" s="164">
        <f>IF(OR($ND49=0,$NC49=""),"",IF($MS49=0,"não devolve","+"&amp;IF($OJ49=1,CEILING($MS49/2,1),$MS49)))</f>
        <v/>
      </c>
      <c r="RK49">
        <f>IF($MX49="","",IFERROR(VLOOKUP(SUBSTITUTE(SUBSTITUTE(SUBSTITUTE($MX49,"~","~~"),"*","~*"),"?","~?"),'DADOS_MELHORIAS'!$O$2:$X$113,10,FALSE),$MX49))</f>
        <v/>
      </c>
      <c r="RL49">
        <f>IF($MY49="","",IFERROR(VLOOKUP(SUBSTITUTE(SUBSTITUTE(SUBSTITUTE($MY49,"~","~~"),"*","~*"),"?","~?"),'DADOS_MELHORIAS'!$O$2:$X$113,10,FALSE),$MY49))</f>
        <v/>
      </c>
      <c r="RM49">
        <f>IF($MZ49="","",IFERROR(VLOOKUP(SUBSTITUTE(SUBSTITUTE(SUBSTITUTE($MZ49,"~","~~"),"*","~*"),"?","~?"),'DADOS_MELHORIAS'!$O$2:$X$113,10,FALSE),$MZ49))</f>
        <v/>
      </c>
      <c r="RN49">
        <f>IF($NA49="","",IFERROR(VLOOKUP(SUBSTITUTE(SUBSTITUTE(SUBSTITUTE($NA49,"~","~~"),"*","~*"),"?","~?"),'DADOS_MELHORIAS'!$O$2:$X$113,10,FALSE),$NA49))</f>
        <v/>
      </c>
      <c r="RO49">
        <f>IFERROR(INDEX('DADOS_FORMAS'!$BJ$2:$BJ$21,MATCH(SUBSTITUTE(SUBSTITUTE(SUBSTITUTE($MU49,"~","~~"),"*","~*"),"?","~?"),'DADOS_FORMAS'!$AH$2:$AH$21,0)),"")</f>
        <v/>
      </c>
      <c r="RP49">
        <f>IFERROR(VLOOKUP(SUBSTITUTE(SUBSTITUTE(SUBSTITUTE(IFERROR(INDEX('DADOS_FORMAS'!$AS$2:$AS$21,MATCH(SUBSTITUTE(SUBSTITUTE(SUBSTITUTE($MU49,"~","~~"),"*","~*"),"?","~?"),'DADOS_FORMAS'!$AH$2:$AH$21,0)),""),"~","~~"),"*","~*"),"?","~?"),'DADOS_RESTRICOES'!$M$2:$Q$54,2,FALSE),"")</f>
        <v/>
      </c>
      <c r="RQ49">
        <f>$OK49</f>
        <v/>
      </c>
      <c r="RR49">
        <f>$OL49</f>
        <v/>
      </c>
      <c r="RS49">
        <f>$RP49</f>
        <v/>
      </c>
    </row>
    <row r="50">
      <c r="AV50" s="162" t="inlineStr">
        <is>
          <t>Enfraquece</t>
        </is>
      </c>
      <c r="AW50" s="162" t="inlineStr">
        <is>
          <t>Auxiliares</t>
        </is>
      </c>
      <c r="AX50" s="164" t="n">
        <v>2</v>
      </c>
      <c r="AY50" s="164" t="n">
        <v>0</v>
      </c>
      <c r="AZ50" s="164" t="n">
        <v>0</v>
      </c>
      <c r="BA50" s="164" t="n">
        <v>0</v>
      </c>
      <c r="JT50" s="164">
        <f>IF(OR($AW50="",(COUNTIF($EL$2:$EP$2,$AW50)+COUNTIF($QV$2:$QY$2,$AW50))&gt;0),$AV50,"")</f>
        <v/>
      </c>
      <c r="JU50" s="164">
        <f>IF(AND($AX50=1,OR($AW50="",(COUNTIF($EL$2:$EP$2,$AW50)+COUNTIF($QV$2:$QY$2,$AW50))&gt;0)),$AV50,"")</f>
        <v/>
      </c>
      <c r="JZ50" s="164">
        <f>IF(OR($AW50="",(COUNTIF($EL$3:$EP$3,$AW50)+COUNTIF($QV$3:$QY$3,$AW50))&gt;0),$AV50,"")</f>
        <v/>
      </c>
      <c r="KA50" s="164">
        <f>IF(AND($AX50=1,OR($AW50="",(COUNTIF($EL$3:$EP$3,$AW50)+COUNTIF($QV$3:$QY$3,$AW50))&gt;0)),$AV50,"")</f>
        <v/>
      </c>
      <c r="KF50" s="164">
        <f>IF(OR($AW50="",(COUNTIF($EL$4:$EP$4,$AW50)+COUNTIF($QV$4:$QY$4,$AW50))&gt;0),$AV50,"")</f>
        <v/>
      </c>
      <c r="KG50" s="164">
        <f>IF(AND($AX50=1,OR($AW50="",(COUNTIF($EL$4:$EP$4,$AW50)+COUNTIF($QV$4:$QY$4,$AW50))&gt;0)),$AV50,"")</f>
        <v/>
      </c>
      <c r="KL50" s="164">
        <f>IF(OR($AW50="",(COUNTIF($EL$5:$EP$5,$AW50)+COUNTIF($QV$5:$QY$5,$AW50))&gt;0),$AV50,"")</f>
        <v/>
      </c>
      <c r="KM50" s="164">
        <f>IF(AND($AX50=1,OR($AW50="",(COUNTIF($EL$5:$EP$5,$AW50)+COUNTIF($QV$5:$QY$5,$AW50))&gt;0)),$AV50,"")</f>
        <v/>
      </c>
      <c r="KR50" s="164">
        <f>IF(OR($AW50="",(COUNTIF($EL$6:$EP$6,$AW50)+COUNTIF($QV$6:$QY$6,$AW50))&gt;0),$AV50,"")</f>
        <v/>
      </c>
      <c r="KS50" s="164">
        <f>IF(AND($AX50=1,OR($AW50="",(COUNTIF($EL$6:$EP$6,$AW50)+COUNTIF($QV$6:$QY$6,$AW50))&gt;0)),$AV50,"")</f>
        <v/>
      </c>
      <c r="KX50" s="164">
        <f>IF(OR($AW50="",(COUNTIF($EL$7:$EP$7,$AW50)+COUNTIF($QV$7:$QY$7,$AW50))&gt;0),$AV50,"")</f>
        <v/>
      </c>
      <c r="KY50" s="164">
        <f>IF(AND($AX50=1,OR($AW50="",(COUNTIF($EL$7:$EP$7,$AW50)+COUNTIF($QV$7:$QY$7,$AW50))&gt;0)),$AV50,"")</f>
        <v/>
      </c>
      <c r="LD50" s="164">
        <f>IF(OR($AW50="",(COUNTIF($EL$8:$EP$8,$AW50)+COUNTIF($QV$8:$QY$8,$AW50))&gt;0),$AV50,"")</f>
        <v/>
      </c>
      <c r="LE50" s="164">
        <f>IF(AND($AX50=1,OR($AW50="",(COUNTIF($EL$8:$EP$8,$AW50)+COUNTIF($QV$8:$QY$8,$AW50))&gt;0)),$AV50,"")</f>
        <v/>
      </c>
      <c r="LJ50" s="164">
        <f>IF(OR($AW50="",(COUNTIF($EL$9:$EP$9,$AW50)+COUNTIF($QV$9:$QY$9,$AW50))&gt;0),$AV50,"")</f>
        <v/>
      </c>
      <c r="LK50" s="164">
        <f>IF(AND($AX50=1,OR($AW50="",(COUNTIF($EL$9:$EP$9,$AW50)+COUNTIF($QV$9:$QY$9,$AW50))&gt;0)),$AV50,"")</f>
        <v/>
      </c>
      <c r="LP50" s="164">
        <f>IF(OR($AW50="",(COUNTIF($EL$10:$EP$10,$AW50)+COUNTIF($QV$10:$QY$10,$AW50))&gt;0),$AV50,"")</f>
        <v/>
      </c>
      <c r="LQ50" s="164">
        <f>IF(AND($AX50=1,OR($AW50="",(COUNTIF($EL$10:$EP$10,$AW50)+COUNTIF($QV$10:$QY$10,$AW50))&gt;0)),$AV50,"")</f>
        <v/>
      </c>
      <c r="LV50" s="164">
        <f>IF(OR($AW50="",(COUNTIF($EL$11:$EP$11,$AW50)+COUNTIF($QV$11:$QY$11,$AW50))&gt;0),$AV50,"")</f>
        <v/>
      </c>
      <c r="LW50" s="164">
        <f>IF(AND($AX50=1,OR($AW50="",(COUNTIF($EL$11:$EP$11,$AW50)+COUNTIF($QV$11:$QY$11,$AW50))&gt;0)),$AV50,"")</f>
        <v/>
      </c>
      <c r="MB50" s="164">
        <f>IF(OR($AW50="",(COUNTIF($EL$12:$EP$12,$AW50)+COUNTIF($QV$12:$QY$12,$AW50))&gt;0),$AV50,"")</f>
        <v/>
      </c>
      <c r="MC50" s="164">
        <f>IF(AND($AX50=1,OR($AW50="",(COUNTIF($EL$12:$EP$12,$AW50)+COUNTIF($QV$12:$QY$12,$AW50))&gt;0)),$AV50,"")</f>
        <v/>
      </c>
      <c r="MH50" s="164">
        <f>IF(OR($AW50="",(COUNTIF($EL$13:$EP$13,$AW50)+COUNTIF($QV$13:$QY$13,$AW50))&gt;0),$AV50,"")</f>
        <v/>
      </c>
      <c r="MI50" s="164">
        <f>IF(AND($AX50=1,OR($AW50="",(COUNTIF($EL$13:$EP$13,$AW50)+COUNTIF($QV$13:$QY$13,$AW50))&gt;0)),$AV50,"")</f>
        <v/>
      </c>
      <c r="MN50" s="162" t="inlineStr">
        <is>
          <t>Ficha 4 · Especial 8</t>
        </is>
      </c>
      <c r="MO50" s="164" t="n">
        <v>4</v>
      </c>
      <c r="MP50" s="164" t="n">
        <v>1</v>
      </c>
      <c r="MQ50" s="164" t="n">
        <v>28</v>
      </c>
      <c r="MR50" s="162" t="inlineStr">
        <is>
          <t>ESPECIAL 8</t>
        </is>
      </c>
      <c r="MS50" s="164">
        <f>MAX(1,MIN(7,N('INVOCAÇÕES'!$I$782)))</f>
        <v/>
      </c>
      <c r="MT50" s="164">
        <f>'INVOCAÇÕES'!$J$782&amp;""</f>
        <v/>
      </c>
      <c r="MU50" s="164">
        <f>'INVOCAÇÕES'!$I$787&amp;""</f>
        <v/>
      </c>
      <c r="MV50" s="164">
        <f>'INVOCAÇÕES'!$I$788&amp;""</f>
        <v/>
      </c>
      <c r="MW50" s="164">
        <f>'INVOCAÇÕES'!$K$788&amp;""</f>
        <v/>
      </c>
      <c r="MX50" s="164">
        <f>'INVOCAÇÕES'!$J$791&amp;""</f>
        <v/>
      </c>
      <c r="MY50" s="164">
        <f>'INVOCAÇÕES'!$J$792&amp;""</f>
        <v/>
      </c>
      <c r="MZ50" s="164">
        <f>'INVOCAÇÕES'!$J$793&amp;""</f>
        <v/>
      </c>
      <c r="NA50" s="164">
        <f>'INVOCAÇÕES'!$J$794&amp;""</f>
        <v/>
      </c>
      <c r="NB50" s="164">
        <f>'INVOCAÇÕES'!$J$795&amp;""</f>
        <v/>
      </c>
      <c r="NC50" s="164">
        <f>'INVOCAÇÕES'!$J$796&amp;""</f>
        <v/>
      </c>
      <c r="ND50" s="164">
        <f>IF($MT50&lt;&gt;"",1,0)</f>
        <v/>
      </c>
      <c r="NE50" s="164">
        <f>INDEX($FO$2:$FO$13,$MO50)</f>
        <v/>
      </c>
      <c r="NF50" s="164">
        <f>INDEX($FP$2:$FP$13,$MO50)</f>
        <v/>
      </c>
      <c r="NG50" s="164">
        <f>INDEX($FQ$2:$FQ$13,$MO50)</f>
        <v/>
      </c>
      <c r="NH50" s="164">
        <f>INDEX($GB$2:$GB$13,$MO50)</f>
        <v/>
      </c>
      <c r="NI50" s="164">
        <f>INDEX($GC$2:$GC$13,$MO50)</f>
        <v/>
      </c>
      <c r="NJ50" s="164">
        <f>IFERROR(MATCH(SUBSTITUTE(SUBSTITUTE(SUBSTITUTE($MU50,"~","~~"),"*","~*"),"?","~?"),'DADOS_FORMAS'!$FZ$2:$FZ$21,0),0)</f>
        <v/>
      </c>
      <c r="NK50" s="164">
        <f>IFERROR(VLOOKUP(SUBSTITUTE(SUBSTITUTE(SUBSTITUTE($MX50,"~","~~"),"*","~*"),"?","~?"),'DADOS_MELHORIAS'!$AG$2:$AL$113,2,FALSE),"")</f>
        <v/>
      </c>
      <c r="NL50" s="164">
        <f>IFERROR(VLOOKUP(SUBSTITUTE(SUBSTITUTE(SUBSTITUTE($MY50,"~","~~"),"*","~*"),"?","~?"),'DADOS_MELHORIAS'!$AG$2:$AL$113,2,FALSE),"")</f>
        <v/>
      </c>
      <c r="NM50" s="164">
        <f>IFERROR(VLOOKUP(SUBSTITUTE(SUBSTITUTE(SUBSTITUTE($MZ50,"~","~~"),"*","~*"),"?","~?"),'DADOS_MELHORIAS'!$AG$2:$AL$113,2,FALSE),"")</f>
        <v/>
      </c>
      <c r="NN50" s="164">
        <f>IFERROR(VLOOKUP(SUBSTITUTE(SUBSTITUTE(SUBSTITUTE($NA50,"~","~~"),"*","~*"),"?","~?"),'DADOS_MELHORIAS'!$AG$2:$AL$113,2,FALSE),"")</f>
        <v/>
      </c>
      <c r="NO50" s="164">
        <f>IFERROR(VLOOKUP(SUBSTITUTE(SUBSTITUTE(SUBSTITUTE($MX50,"~","~~"),"*","~*"),"?","~?"),'DADOS_MELHORIAS'!$AG$2:$AL$113,3,FALSE),0)</f>
        <v/>
      </c>
      <c r="NP50" s="164">
        <f>IFERROR(VLOOKUP(SUBSTITUTE(SUBSTITUTE(SUBSTITUTE($MY50,"~","~~"),"*","~*"),"?","~?"),'DADOS_MELHORIAS'!$AG$2:$AL$113,3,FALSE),0)</f>
        <v/>
      </c>
      <c r="NQ50" s="164">
        <f>IFERROR(VLOOKUP(SUBSTITUTE(SUBSTITUTE(SUBSTITUTE($MZ50,"~","~~"),"*","~*"),"?","~?"),'DADOS_MELHORIAS'!$AG$2:$AL$113,3,FALSE),0)</f>
        <v/>
      </c>
      <c r="NR50" s="164">
        <f>IFERROR(VLOOKUP(SUBSTITUTE(SUBSTITUTE(SUBSTITUTE($NA50,"~","~~"),"*","~*"),"?","~?"),'DADOS_MELHORIAS'!$AG$2:$AL$113,3,FALSE),0)</f>
        <v/>
      </c>
      <c r="NS50" s="164">
        <f>IF($MS50=0,0,IF($NJ50=0,0,INDEX('DADOS_FORMAS'!$GB$2:$GB$21,$NJ50)))</f>
        <v/>
      </c>
      <c r="NT50" s="164">
        <f>IF(OR($NO50=0,$MS50=0),0,$NO50+3*IF(AND($NK50&lt;&gt;"",COUNTIF(INDEX($RB$2:$RJ$13,$MO50,0),$NK50)&gt;0),1,0))</f>
        <v/>
      </c>
      <c r="NU50" s="164">
        <f>IF(OR($NP50=0,$MS50=0),0,$NP50+3*IF(AND($NL50&lt;&gt;"",COUNTIF(INDEX($RB$2:$RJ$13,$MO50,0),$NL50)&gt;0),1,0))</f>
        <v/>
      </c>
      <c r="NV50" s="164">
        <f>IF(OR($NQ50=0,$MS50=0),0,$NQ50+3*IF(AND($NM50&lt;&gt;"",COUNTIF(INDEX($RB$2:$RJ$13,$MO50,0),$NM50)&gt;0),1,0))</f>
        <v/>
      </c>
      <c r="NW50" s="164">
        <f>IF(OR($NR50=0,$MS50=0),0,$NR50+3*IF(AND($NN50&lt;&gt;"",COUNTIF(INDEX($RB$2:$RJ$13,$MO50,0),$NN50)&gt;0),1,0))</f>
        <v/>
      </c>
      <c r="NX50" s="164">
        <f>IF($NJ50=0,0,IF(INDEX('DADOS_FORMAS'!$GA$2:$GA$21,$NJ50)="",0,IF((COUNTIF(INDEX($EL$2:$EP$13,$MO50,0),INDEX('DADOS_FORMAS'!$GA$2:$GA$21,$NJ50))+COUNTIF(INDEX($QV$2:$QY$13,$MO50,0),INDEX('DADOS_FORMAS'!$GA$2:$GA$21,$NJ50)))=0,1,0)))</f>
        <v/>
      </c>
      <c r="NY50" s="164">
        <f>IF(OR($NO50=0,$NK50=""),0,IF((COUNTIF(INDEX($EL$2:$EP$13,$MO50,0),$NK50)+COUNTIF(INDEX($QV$2:$QY$13,$MO50,0),$NK50))=0,1,0))</f>
        <v/>
      </c>
      <c r="NZ50" s="164">
        <f>IF(OR($NP50=0,$NL50=""),0,IF((COUNTIF(INDEX($EL$2:$EP$13,$MO50,0),$NL50)+COUNTIF(INDEX($QV$2:$QY$13,$MO50,0),$NL50))=0,1,0))</f>
        <v/>
      </c>
      <c r="OA50" s="164">
        <f>IF(OR($NQ50=0,$NM50=""),0,IF((COUNTIF(INDEX($EL$2:$EP$13,$MO50,0),$NM50)+COUNTIF(INDEX($QV$2:$QY$13,$MO50,0),$NM50))=0,1,0))</f>
        <v/>
      </c>
      <c r="OB50" s="164">
        <f>IF(OR($NR50=0,$NN50=""),0,IF((COUNTIF(INDEX($EL$2:$EP$13,$MO50,0),$NN50)+COUNTIF(INDEX($QV$2:$QY$13,$MO50,0),$NN50))=0,1,0))</f>
        <v/>
      </c>
      <c r="OC50" s="164">
        <f>IFERROR(VLOOKUP(SUBSTITUTE(SUBSTITUTE(SUBSTITUTE($MX50,"~","~~"),"*","~*"),"?","~?"),'DADOS_MELHORIAS'!$AG$2:$AL$113,4,FALSE),0)+IFERROR(VLOOKUP(SUBSTITUTE(SUBSTITUTE(SUBSTITUTE($MY50,"~","~~"),"*","~*"),"?","~?"),'DADOS_MELHORIAS'!$AG$2:$AL$113,4,FALSE),0)+IFERROR(VLOOKUP(SUBSTITUTE(SUBSTITUTE(SUBSTITUTE($MZ50,"~","~~"),"*","~*"),"?","~?"),'DADOS_MELHORIAS'!$AG$2:$AL$113,4,FALSE),0)+IFERROR(VLOOKUP(SUBSTITUTE(SUBSTITUTE(SUBSTITUTE($NA50,"~","~~"),"*","~*"),"?","~?"),'DADOS_MELHORIAS'!$AG$2:$AL$113,4,FALSE),0)</f>
        <v/>
      </c>
      <c r="OD50" s="164">
        <f>IFERROR(VLOOKUP(SUBSTITUTE(SUBSTITUTE(SUBSTITUTE($MX50,"~","~~"),"*","~*"),"?","~?"),'DADOS_MELHORIAS'!$AG$2:$AL$113,6,FALSE),0)+IFERROR(VLOOKUP(SUBSTITUTE(SUBSTITUTE(SUBSTITUTE($MY50,"~","~~"),"*","~*"),"?","~?"),'DADOS_MELHORIAS'!$AG$2:$AL$113,6,FALSE),0)+IFERROR(VLOOKUP(SUBSTITUTE(SUBSTITUTE(SUBSTITUTE($MZ50,"~","~~"),"*","~*"),"?","~?"),'DADOS_MELHORIAS'!$AG$2:$AL$113,6,FALSE),0)+IFERROR(VLOOKUP(SUBSTITUTE(SUBSTITUTE(SUBSTITUTE($NA50,"~","~~"),"*","~*"),"?","~?"),'DADOS_MELHORIAS'!$AG$2:$AL$113,6,FALSE),0)+IFERROR(N(AND(INDEX('DADOS_FORMAS'!$AO$2:$AO$21,MATCH(SUBSTITUTE(SUBSTITUTE(SUBSTITUTE($MU50,"~","~~"),"*","~*"),"?","~?"),'DADOS_FORMAS'!$AH$2:$AH$21,0))="Acerto",$OH50=1)),0)</f>
        <v/>
      </c>
      <c r="OE50" s="164">
        <f>TEXTJOIN(", ",TRUE,IF(IFERROR(VLOOKUP(SUBSTITUTE(SUBSTITUTE(SUBSTITUTE($MX50,"~","~~"),"*","~*"),"?","~?"),'DADOS_MELHORIAS'!$AG$2:$AL$113,5,FALSE),0)=1,$MX50,""),IF(IFERROR(VLOOKUP(SUBSTITUTE(SUBSTITUTE(SUBSTITUTE($MY50,"~","~~"),"*","~*"),"?","~?"),'DADOS_MELHORIAS'!$AG$2:$AL$113,5,FALSE),0)=1,$MY50,""),IF(IFERROR(VLOOKUP(SUBSTITUTE(SUBSTITUTE(SUBSTITUTE($MZ50,"~","~~"),"*","~*"),"?","~?"),'DADOS_MELHORIAS'!$AG$2:$AL$113,5,FALSE),0)=1,$MZ50,""),IF(IFERROR(VLOOKUP(SUBSTITUTE(SUBSTITUTE(SUBSTITUTE($NA50,"~","~~"),"*","~*"),"?","~?"),'DADOS_MELHORIAS'!$AG$2:$AL$113,5,FALSE),0)=1,$NA50,""))</f>
        <v/>
      </c>
      <c r="OF50" s="164">
        <f>IF($NJ50=0,0,INDEX('DADOS_FORMAS'!$GC$2:$GC$21,$NJ50))</f>
        <v/>
      </c>
      <c r="OG50" s="164">
        <f>IF($NJ50=0,0,INDEX('DADOS_FORMAS'!$GD$2:$GD$21,$NJ50))</f>
        <v/>
      </c>
      <c r="OH50" s="164">
        <f>IF($NJ50=0,0,INDEX('DADOS_FORMAS'!$GF$2:$GF$21,$NJ50))</f>
        <v/>
      </c>
      <c r="OI50" s="164">
        <f>IFERROR(VLOOKUP(SUBSTITUTE(SUBSTITUTE(SUBSTITUTE($NB50,"~","~~"),"*","~*"),"?","~?"),'DADOS_RESTRICOES'!$M$2:$Q$54,3,FALSE),0)</f>
        <v/>
      </c>
      <c r="OJ50" s="164">
        <f>IFERROR(VLOOKUP(SUBSTITUTE(SUBSTITUTE(SUBSTITUTE($NC50,"~","~~"),"*","~*"),"?","~?"),'DADOS_RESTRICOES'!$M$2:$Q$54,3,FALSE),0)</f>
        <v/>
      </c>
      <c r="OK50" s="164">
        <f>IFERROR(VLOOKUP(SUBSTITUTE(SUBSTITUTE(SUBSTITUTE($NB50,"~","~~"),"*","~*"),"?","~?"),'DADOS_RESTRICOES'!$M$2:$Q$54,2,FALSE),"")</f>
        <v/>
      </c>
      <c r="OL50" s="164">
        <f>IFERROR(VLOOKUP(SUBSTITUTE(SUBSTITUTE(SUBSTITUTE($NC50,"~","~~"),"*","~*"),"?","~?"),'DADOS_RESTRICOES'!$M$2:$Q$54,2,FALSE),"")</f>
        <v/>
      </c>
      <c r="OM50" s="164">
        <f>COUNTIF($NS50:$NW50,1)</f>
        <v/>
      </c>
      <c r="ON50" s="164">
        <f>COUNTIF($NS50:$NW50,2)</f>
        <v/>
      </c>
      <c r="OO50" s="164">
        <f>COUNTIF($NS50:$NW50,3)</f>
        <v/>
      </c>
      <c r="OP50" s="164">
        <f>COUNTIF($NS50:$NW50,4)</f>
        <v/>
      </c>
      <c r="OQ50" s="164">
        <f>COUNTIF($NS50:$NW50,5)</f>
        <v/>
      </c>
      <c r="OR50" s="164">
        <f>COUNTIF($NS50:$NW50,6)</f>
        <v/>
      </c>
      <c r="OS50" s="164">
        <f>COUNTIF($OI50:$OJ50,1)+IF(IFERROR(INDEX('DADOS_FORMAS'!$AS$2:$AS$21,MATCH(SUBSTITUTE(SUBSTITUTE(SUBSTITUTE($MU50,"~","~~"),"*","~*"),"?","~?"),'DADOS_FORMAS'!$AH$2:$AH$21,0)),"")="",0,IFERROR(N(VLOOKUP(SUBSTITUTE(SUBSTITUTE(SUBSTITUTE(IFERROR(INDEX('DADOS_FORMAS'!$AS$2:$AS$21,MATCH(SUBSTITUTE(SUBSTITUTE(SUBSTITUTE($MU50,"~","~~"),"*","~*"),"?","~?"),'DADOS_FORMAS'!$AH$2:$AH$21,0)),""),"~","~~"),"*","~*"),"?","~?"),'DADOS_RESTRICOES'!$M$2:$Q$54,3,FALSE)=1),0))</f>
        <v/>
      </c>
      <c r="OT50" s="164">
        <f>COUNTIF($OI50:$OJ50,2)+IF(IFERROR(INDEX('DADOS_FORMAS'!$AS$2:$AS$21,MATCH(SUBSTITUTE(SUBSTITUTE(SUBSTITUTE($MU50,"~","~~"),"*","~*"),"?","~?"),'DADOS_FORMAS'!$AH$2:$AH$21,0)),"")="",0,IFERROR(N(VLOOKUP(SUBSTITUTE(SUBSTITUTE(SUBSTITUTE(IFERROR(INDEX('DADOS_FORMAS'!$AS$2:$AS$21,MATCH(SUBSTITUTE(SUBSTITUTE(SUBSTITUTE($MU50,"~","~~"),"*","~*"),"?","~?"),'DADOS_FORMAS'!$AH$2:$AH$21,0)),""),"~","~~"),"*","~*"),"?","~?"),'DADOS_RESTRICOES'!$M$2:$Q$54,3,FALSE)=2),0))</f>
        <v/>
      </c>
      <c r="OU50" s="164">
        <f>COUNTIF($MX50:$NA50,"?*")</f>
        <v/>
      </c>
      <c r="OV50" s="164">
        <f>COUNTIF($NB50:$NC50,"?*")+$OF50</f>
        <v/>
      </c>
      <c r="OW50" s="164">
        <f>IF($MS50=0,0,SUMPRODUCT($OM50:$OR50,INDEX($I$2:$N$8,MAX(1,$MS50),0)))</f>
        <v/>
      </c>
      <c r="OX50" s="164">
        <f>IF($MS50=0,0,$OS50*CEILING($MS50/2,1)+$OT50*$MS50)</f>
        <v/>
      </c>
      <c r="OY50" s="164">
        <f>MIN(2*$MS50,$OX50)</f>
        <v/>
      </c>
      <c r="OZ50" s="164">
        <f>MIN($OY50,$OW50-IF($NS50=0,0,INDEX($I$2:$N$8,MAX(1,$MS50),$NS50)))</f>
        <v/>
      </c>
      <c r="PA50" s="164">
        <f>$OY50-$OZ50</f>
        <v/>
      </c>
      <c r="PB50" s="164">
        <f>IF($MS50=0,0,INDEX($P$2:$P$8,MAX(1,$MS50)))</f>
        <v/>
      </c>
      <c r="PC50" s="164">
        <f>$PB50-$OW50+$OZ50</f>
        <v/>
      </c>
      <c r="PD50" s="164">
        <f>IF($MS50=0,MAX(0,$NG50-IF(AND($OU50&gt;0,COUNTIF($NB50:$NC50,"?*")=0),1,0)),MAX(0,$PC50))</f>
        <v/>
      </c>
      <c r="PE50" s="164">
        <f>IF($MS50=0,0,(IF(COUNTIF($RK50:$RN50,"Salto")&gt;0,1,0)+IF(COUNTIF($RK50:$RN50,"Queima")&gt;0,1,0)+IF(COUNTIF($RK50:$RN50,"Estilhaço")&gt;0,1,0))*FLOOR($PD50/2,1))</f>
        <v/>
      </c>
      <c r="PF50" s="164">
        <f>MAX(0,2-SUMPRODUCT($OM50:$OR50,$I$2:$N$2)+MIN(2,$OS50*1+$OT50*1,SUMPRODUCT($OM50:$OR50,$I$2:$N$2)-IF($NS50=0,0,INDEX($I$2:$N$2,1,$NS50))))</f>
        <v/>
      </c>
      <c r="PG50" s="164">
        <f>MAX(0,4-SUMPRODUCT($OM50:$OR50,$I$3:$N$3)+MIN(4,$OS50*1+$OT50*2,SUMPRODUCT($OM50:$OR50,$I$3:$N$3)-IF($NS50=0,0,INDEX($I$3:$N$3,1,$NS50))))</f>
        <v/>
      </c>
      <c r="PH50" s="164">
        <f>MAX(0,6-SUMPRODUCT($OM50:$OR50,$I$4:$N$4)+MIN(6,$OS50*2+$OT50*3,SUMPRODUCT($OM50:$OR50,$I$4:$N$4)-IF($NS50=0,0,INDEX($I$4:$N$4,1,$NS50))))</f>
        <v/>
      </c>
      <c r="PI50" s="164">
        <f>MAX(0,9-SUMPRODUCT($OM50:$OR50,$I$5:$N$5)+MIN(8,$OS50*2+$OT50*4,SUMPRODUCT($OM50:$OR50,$I$5:$N$5)-IF($NS50=0,0,INDEX($I$5:$N$5,1,$NS50))))</f>
        <v/>
      </c>
      <c r="PJ50" s="164">
        <f>MAX(0,11-SUMPRODUCT($OM50:$OR50,$I$6:$N$6)+MIN(10,$OS50*3+$OT50*5,SUMPRODUCT($OM50:$OR50,$I$6:$N$6)-IF($NS50=0,0,INDEX($I$6:$N$6,1,$NS50))))</f>
        <v/>
      </c>
      <c r="PK50" s="164">
        <f>MAX(0,13-SUMPRODUCT($OM50:$OR50,$I$7:$N$7)+MIN(12,$OS50*3+$OT50*6,SUMPRODUCT($OM50:$OR50,$I$7:$N$7)-IF($NS50=0,0,INDEX($I$7:$N$7,1,$NS50))))</f>
        <v/>
      </c>
      <c r="PL50" s="164">
        <f>MAX(0,16-SUMPRODUCT($OM50:$OR50,$I$8:$N$8)+MIN(14,$OS50*4+$OT50*7,SUMPRODUCT($OM50:$OR50,$I$8:$N$8)-IF($NS50=0,0,INDEX($I$8:$N$8,1,$NS50))))</f>
        <v/>
      </c>
      <c r="PM50" s="164">
        <f>IF($OG50=2,3*$PF50&amp;" de vida temp.",IF($OG50=3,"sem dano",IF($PF50=0,IF($OG50=1,"sem cura","sem dano"),IF($OG50=1,"cura ","")&amp;$PF50&amp;"d8")))</f>
        <v/>
      </c>
      <c r="PN50" s="164">
        <f>IF($OG50=2,3*$PG50&amp;" de vida temp.",IF($OG50=3,"sem dano",IF($PG50=0,IF($OG50=1,"sem cura","sem dano"),IF($OG50=1,"cura ","")&amp;$PG50&amp;"d8")))</f>
        <v/>
      </c>
      <c r="PO50" s="164">
        <f>IF($OG50=2,3*$PH50&amp;" de vida temp.",IF($OG50=3,"sem dano",IF($PH50=0,IF($OG50=1,"sem cura","sem dano"),IF($OG50=1,"cura ","")&amp;$PH50&amp;"d8")))</f>
        <v/>
      </c>
      <c r="PP50" s="164">
        <f>IF($OG50=2,3*$PI50&amp;" de vida temp.",IF($OG50=3,"sem dano",IF($PI50=0,IF($OG50=1,"sem cura","sem dano"),IF($OG50=1,"cura ","")&amp;$PI50&amp;"d8")))</f>
        <v/>
      </c>
      <c r="PQ50" s="164">
        <f>IF($OG50=2,3*$PJ50&amp;" de vida temp.",IF($OG50=3,"sem dano",IF($PJ50=0,IF($OG50=1,"sem cura","sem dano"),IF($OG50=1,"cura ","")&amp;$PJ50&amp;"d8")))</f>
        <v/>
      </c>
      <c r="PR50" s="164">
        <f>IF($OG50=2,3*$PK50&amp;" de vida temp.",IF($OG50=3,"sem dano",IF($PK50=0,IF($OG50=1,"sem cura","sem dano"),IF($OG50=1,"cura ","")&amp;$PK50&amp;"d8")))</f>
        <v/>
      </c>
      <c r="PS50" s="164">
        <f>IF($OG50=2,3*$PL50&amp;" de vida temp.",IF($OG50=3,"sem dano",IF($PL50=0,IF($OG50=1,"sem cura","sem dano"),IF($OG50=1,"cura ","")&amp;$PL50&amp;"d8")))</f>
        <v/>
      </c>
      <c r="PT50" s="164">
        <f>IF($ND50=0,"",TEXTJOIN(" · ",TRUE,IF($ND50=0,"",TEXTJOIN(" · ",TRUE,IF($ND50=0,"",TEXTJOIN(" · ",TRUE,IF($MQ50&gt;$NE50,"Este lugar abre no nível "&amp;$MQ50,""),IF($MS50&gt;$NF50,"Classe "&amp;$MS50&amp;": o nível "&amp;$NE50&amp;" libera até a "&amp;$NF50,""),IF($NX50=1,"A Forma "&amp;$MU50&amp;" pede "&amp;INDEX('DADOS_FORMAS'!$GA$2:$GA$21,$NJ50)&amp;" aberta",""),IF(AND($MS50=0,$NJ50&gt;0,IF($NJ50=0,0,INDEX('DADOS_FORMAS'!$GJ$2:$GJ$21,$NJ50))=0),$MU50&amp;" não existe na Classe 0",""),IF($NY50=1,"Família Fechada: "&amp;$MX50,""),IF($NZ50=1,"Família Fechada: "&amp;$MY50,""),IF($OA50=1,"Família Fechada: "&amp;$MZ50,""),IF($OB50=1,"Família Fechada: "&amp;$NA50,""),IF(AND($MS50&gt;0,$OU50&gt;INDEX($O$2:$O$8,MAX(1,$MS50))),$OU50&amp;" Melhorias: a Classe "&amp;$MS50&amp;" aceita "&amp;INDEX($O$2:$O$8,MAX(1,$MS50)),""),IF(AND($MS50=0,$OU50&gt;1),"A básica aceita uma Melhoria",""),IF(AND($MS50=0,COUNTIF($NO50:$NR50,"&gt;1")&gt;0),"A básica só aceita Melhoria Leve",""),IF(AND($MS50&gt;0,$OV50&gt;2),$OV50&amp;" Restrições"&amp;IF($OF50=1,", contando a que a Forma "&amp;$MU50&amp;" já traz","")&amp;": o limite é 2",""),IF(AND($MS50=0,COUNTIF($NB50:$NC50,"?*")&gt;1),"A básica aceita uma Restrição Leve",""),IF(AND($MS50=0,COUNTIF($OI50:$OJ50,2)&gt;0),"A básica só aceita Restrição Leve",""),IF(AND($MS50&gt;0,$PC50&lt;0),"Orçamento estourado: faltam "&amp;(-$PC50)&amp;IF($PC50&lt;-1," pontos"," ponto"),""),IF(IFERROR(VLOOKUP(SUBSTITUTE(SUBSTITUTE(SUBSTITUTE($NB50,"~","~~"),"*","~*"),"?","~?"),'DADOS_RESTRICOES'!$M$2:$Q$54,4,FALSE),0)+IFERROR(VLOOKUP(SUBSTITUTE(SUBSTITUTE(SUBSTITUTE($NC50,"~","~~"),"*","~*"),"?","~?"),'DADOS_RESTRICOES'!$M$2:$Q$54,4,FALSE),0)&gt;1,$OK50&amp;" e "&amp;$OL50&amp;" são as duas de frequência",""),IF(AND((COUNTIF($RK50:$RN50,"Rápido")+COUNTIF($OK50:$OL50,"Rápido"))&gt;0,(COUNTIF($MX50:$NA50,"Atrasar")+COUNTIF($OK50:$OL50,"Atrasar"))&gt;0),"Rápido não entra com Atrasar",""),IF(AND((COUNTIF($RK50:$RN50,"Reação")+COUNTIF($OK50:$OL50,"Reação"))&gt;0,(COUNTIF($RK50:$RN50,"Rápido")+COUNTIF($OK50:$OL50,"Rápido"))&gt;0),"Reação não entra com Rápido",""),IF(AND((COUNTIF($RK50:$RN50,"Reação")+COUNTIF($OK50:$OL50,"Reação"))&gt;0,(COUNTIF($RK50:$RN50,"Armado")+COUNTIF($OK50:$OL50,"Armado"))&gt;0),"Reação não entra com Armado",""),IF(AND((COUNTIF($RK50:$RN50,"Reação")+COUNTIF($OK50:$OL50,"Reação"))&gt;0,(COUNTIF($MX50:$NA50,"Atrasar")+COUNTIF($OK50:$OL50,"Atrasar"))&gt;0),"Reação não entra com Atrasar",""),IF(AND((COUNTIF($RK50:$RN50,"Reação")+COUNTIF($OK50:$OL50,"Reação"))&gt;0,(COUNTIF($MX50:$NA50,"Parado")+COUNTIF($OK50:$OL50,"Parado"))&gt;0),"Reação não entra com Parado",""),IF(AND((COUNTIF($MX50:$NA50,"Atrasar")+COUNTIF($OK50:$OL50,"Atrasar"))&gt;0,(COUNTIF($MX50:$NA50,"Parado")+COUNTIF($OK50:$OL50,"Parado"))&gt;0),"Atrasar não entra com Parado",""),IF(AND((COUNTIF($RK50:$RN50,"Armado")+COUNTIF($OK50:$OL50,"Armado"))&gt;0,(COUNTIF($MX50:$NA50,"Carregar")+COUNTIF($OK50:$OL50,"Carregar"))&gt;0),"Armado não entra com Carregar",""),IF(AND(COUNTIF($OK50:$OL50,"Corpo a Corpo")&gt;0,$OF50=0,OR($RO50="Cone",$RO50="Linha")),"Corpo a Corpo não entra em "&amp;$MU50,""),IF(AND(COUNTIF($OK50:$OL50,"Corpo a Corpo")&gt;0,$RP50="Corpo a Corpo"),"A Forma "&amp;$MU50&amp;" já traz o Corpo a Corpo",""),IF(AND(COUNTIF($OK50:$OL50,"Tudo ou Nada")&gt;0,$OH50=0),"Tudo ou Nada só entra em habilidade de Teste de Resistência",""),IF(AND(COUNTIF($RK50:$RN50,"Inescapável")&gt;0,OR($OU50&gt;1,$OV50&gt;0)),"Inescapável não aceita outra peça",""),IF(AND($MS50&gt;0,$PD50*IF(COUNTIF($RK50:$RN50,"Remate")&gt;0,1.25,1)+$PE50&gt;4*$MS50),($PD50*IF(COUNTIF($RK50:$RN50,"Remate")&gt;0,1.25,1)+$PE50)&amp;" dados somando repetições"&amp;IF(COUNTIF($RK50:$RN50,"Remate")&gt;0," e o Remate","")&amp;": o teto da Classe "&amp;$MS50&amp;" é "&amp;4*$MS50,""))),IF(AND($MX50&lt;&gt;"",COUNTIF('DADOS_MELHORIAS'!$O$2:$O$113,SUBSTITUTE(SUBSTITUTE(SUBSTITUTE($MX50,"~","~~"),"*","~*"),"?","~?"))=0),"Melhoria não cadastrada ou com erro: "&amp;$MX50,""),IF(AND($MY50&lt;&gt;"",COUNTIF('DADOS_MELHORIAS'!$O$2:$O$113,SUBSTITUTE(SUBSTITUTE(SUBSTITUTE($MY50,"~","~~"),"*","~*"),"?","~?"))=0),"Melhoria não cadastrada ou com erro: "&amp;$MY50,""),IF(AND($MZ50&lt;&gt;"",COUNTIF('DADOS_MELHORIAS'!$O$2:$O$113,SUBSTITUTE(SUBSTITUTE(SUBSTITUTE($MZ50,"~","~~"),"*","~*"),"?","~?"))=0),"Melhoria não cadastrada ou com erro: "&amp;$MZ50,""),IF(AND($NA50&lt;&gt;"",COUNTIF('DADOS_MELHORIAS'!$O$2:$O$113,SUBSTITUTE(SUBSTITUTE(SUBSTITUTE($NA50,"~","~~"),"*","~*"),"?","~?"))=0),"Melhoria não cadastrada ou com erro: "&amp;$NA50,""),IF(AND($NB50&lt;&gt;"",COUNTIF('DADOS_RESTRICOES'!$M$2:$M$54,SUBSTITUTE(SUBSTITUTE(SUBSTITUTE($NB50,"~","~~"),"*","~*"),"?","~?"))=0),"Restrição não cadastrada ou com erro: "&amp;$NB50,""),IF(AND($NC50&lt;&gt;"",COUNTIF('DADOS_RESTRICOES'!$M$2:$M$54,SUBSTITUTE(SUBSTITUTE(SUBSTITUTE($NC50,"~","~~"),"*","~*"),"?","~?"))=0),"Restrição não cadastrada ou com erro: "&amp;$NC50,""))),IF(AND($MU50&lt;&gt;"",COUNTIF('DADOS_FORMAS'!$AH$2:$AH$21,SUBSTITUTE(SUBSTITUTE(SUBSTITUTE($MU50,"~","~~"),"*","~*"),"?","~?"))=0),"Forma não cadastrada ou com erro: "&amp;$MU50,""),IF(AND(IFERROR(INDEX('DADOS_FORMAS'!$AS$2:$AS$21,MATCH(SUBSTITUTE(SUBSTITUTE(SUBSTITUTE($MU50,"~","~~"),"*","~*"),"?","~?"),'DADOS_FORMAS'!$AH$2:$AH$21,0)),"")&lt;&gt;"",OR(IFERROR(VLOOKUP(SUBSTITUTE(SUBSTITUTE(SUBSTITUTE(IFERROR(INDEX('DADOS_FORMAS'!$AS$2:$AS$21,MATCH(SUBSTITUTE(SUBSTITUTE(SUBSTITUTE($MU50,"~","~~"),"*","~*"),"?","~?"),'DADOS_FORMAS'!$AH$2:$AH$21,0)),""),"~","~~"),"*","~*"),"?","~?"),'DADOS_RESTRICOES'!$M$2:$Q$54,2,FALSE),"")=$OK50,IFERROR(VLOOKUP(SUBSTITUTE(SUBSTITUTE(SUBSTITUTE(IFERROR(INDEX('DADOS_FORMAS'!$AS$2:$AS$21,MATCH(SUBSTITUTE(SUBSTITUTE(SUBSTITUTE($MU50,"~","~~"),"*","~*"),"?","~?"),'DADOS_FORMAS'!$AH$2:$AH$21,0)),""),"~","~~"),"*","~*"),"?","~?"),'DADOS_RESTRICOES'!$M$2:$Q$54,2,FALSE),"")=$OL50)),"Restrição repetida, contando a embutida",""),IF(IF(IFERROR(INDEX('DADOS_FORMAS'!$AS$2:$AS$21,MATCH(SUBSTITUTE(SUBSTITUTE(SUBSTITUTE($MU50,"~","~~"),"*","~*"),"?","~?"),'DADOS_FORMAS'!$AH$2:$AH$21,0)),"")="",0,IFERROR(N(VLOOKUP(SUBSTITUTE(SUBSTITUTE(SUBSTITUTE(IFERROR(INDEX('DADOS_FORMAS'!$AS$2:$AS$21,MATCH(SUBSTITUTE(SUBSTITUTE(SUBSTITUTE($MU50,"~","~~"),"*","~*"),"?","~?"),'DADOS_FORMAS'!$AH$2:$AH$21,0)),""),"~","~~"),"*","~*"),"?","~?"),'DADOS_RESTRICOES'!$M$2:$Q$54,4,FALSE)=1),0))+IF($NB50="",0,IFERROR(N(VLOOKUP(SUBSTITUTE(SUBSTITUTE(SUBSTITUTE($NB50,"~","~~"),"*","~*"),"?","~?"),'DADOS_RESTRICOES'!$M$2:$Q$54,4,FALSE)=1),0))+IF($NC50="",0,IFERROR(N(VLOOKUP(SUBSTITUTE(SUBSTITUTE(SUBSTITUTE($NC50,"~","~~"),"*","~*"),"?","~?"),'DADOS_RESTRICOES'!$M$2:$Q$54,4,FALSE)=1),0))&gt;1,"Duas Restrições de frequência, contando a embutida",""),IF(AND(IFERROR(VLOOKUP(SUBSTITUTE(SUBSTITUTE(SUBSTITUTE(IFERROR(INDEX('DADOS_FORMAS'!$AS$2:$AS$21,MATCH(SUBSTITUTE(SUBSTITUTE(SUBSTITUTE($MU50,"~","~~"),"*","~*"),"?","~?"),'DADOS_FORMAS'!$AH$2:$AH$21,0)),""),"~","~~"),"*","~*"),"?","~?"),'DADOS_RESTRICOES'!$M$2:$Q$54,2,FALSE),"")="Tudo ou Nada",$OH50=0),"Tudo ou Nada exige TR",""),IF(AND(IFERROR(VLOOKUP(SUBSTITUTE(SUBSTITUTE(SUBSTITUTE(IFERROR(INDEX('DADOS_FORMAS'!$AS$2:$AS$21,MATCH(SUBSTITUTE(SUBSTITUTE(SUBSTITUTE($MU50,"~","~~"),"*","~*"),"?","~?"),'DADOS_FORMAS'!$AH$2:$AH$21,0)),""),"~","~~"),"*","~*"),"?","~?"),'DADOS_RESTRICOES'!$M$2:$Q$54,2,FALSE),"")="Corpo a Corpo",OR($RO50="Cone",$RO50="Linha")),"Corpo a Corpo não entra em Cone/Linha","")))</f>
        <v/>
      </c>
      <c r="PU50" s="164">
        <f>IF($PT50="",0,(LEN($PT50)-LEN(SUBSTITUTE($PT50," · ","")))/3+1)</f>
        <v/>
      </c>
      <c r="PV50" s="164">
        <f>IF($ND50=0,"",TEXTJOIN(" · ",TRUE,IF($OX50&gt;2*$MS50,"A devolução parou no teto de "&amp;2*$MS50,""),IF($PA50&gt;0,"Devolução perdida: "&amp;$PA50&amp;IF($PA50&gt;1," pontos"," ponto")&amp;" sem Melhoria para pagar",""),IF(AND($OC50&gt;0,AND($MS50&gt;0,$OG50=0),$PD50=0),"Controle sem dano: uma rodada a mais e CD +2",""),IF(AND($OC50&gt;0,AND($MS50&gt;0,$OG50=0),$PD50&gt;0,$PD50&lt;=$MS50),"Controle com saldo até a Classe: uma rodada a mais",""),IF(AND($MS50&gt;0,$OE50&lt;&gt;""),"Efeito de "&amp;$OE50&amp;" pela Classe "&amp;MAX(1,$MS50-1),"")))</f>
        <v/>
      </c>
      <c r="PW50" s="164">
        <f>IF($PV50="",0,(LEN($PV50)-LEN(SUBSTITUTE($PV50," · ","")))/3+1)</f>
        <v/>
      </c>
      <c r="PX50" s="164">
        <f>IF($ND50=0,IF($OU50+COUNTIF($NB50:$NC50,"?*")&gt;0,"Dê um nome",""),IF($PU50&gt;0,"⚠ "&amp;$PU50&amp;IF($PU50&gt;1," erros"," erro"),IF($PW50&gt;0,"! "&amp;$PW50&amp;IF($PW50&gt;1," avisos"," aviso"),"Na regra")))</f>
        <v/>
      </c>
      <c r="PY50" s="164">
        <f>IF($ND50=0,"",IF($PU50+$PW50=0,"Dentro das regras que a ficha confere",$PT50&amp;IF(AND($PU50&gt;0,$PW50&gt;0)," · ","")&amp;$PV50))</f>
        <v/>
      </c>
      <c r="PZ50" s="164">
        <f>IF($MQ50&gt;$NE50,$MR50&amp;" · ABRE NO NÍVEL "&amp;$MQ50,$MR50)</f>
        <v/>
      </c>
      <c r="QA50" s="164">
        <f>IF($ND50=0,"",IF($MS50=0,"Sem PE",3*$MS50&amp;" PE"))</f>
        <v/>
      </c>
      <c r="QB50" s="164">
        <f>IF($ND50=0,"",IF($MS50=0,"A atuação básica dela",IF(COUNTIF($RQ50:$RS50,"Atrasar")&gt;0,"Sua Ação Completa",IF(COUNTIF($RK50:$RN50,"Rápido")&gt;0,"Sua Bônus",IF(COUNTIF($RK50:$RN50,"Reação")&gt;0,"Sua Reação","Sua Padrão")))&amp;" + a básica dela"&amp;IF(COUNTIF($RK50:$RN50,"Reação")&gt;0," e a coletiva","")&amp;IF(COUNTIF($RQ50:$RS50,"Carregar")&gt;0," · em dois turnos","")))</f>
        <v/>
      </c>
      <c r="QC50" s="164">
        <f>IF($MW50&lt;&gt;"",$MW50,IF($NJ50=0,"",INDEX('DADOS_FORMAS'!$GE$2:$GE$21,$NJ50)))</f>
        <v/>
      </c>
      <c r="QD50" s="164">
        <f>IF(OR($ND50=0,$NJ50=0),"",IF(COUNTIF($RK50:$RN50,"Inescapável")&gt;0,"Automático",IF($QC50="Ataque",IF($NH50="","Ataque","Ataque "&amp;IF(($NH50+2*IF(COUNTIF($RK50:$RN50,"Precisão")&gt;0,1,0))&gt;=0,"+","−")&amp;ABS(($NH50+2*IF(COUNTIF($RK50:$RN50,"Precisão")&gt;0,1,0))))&amp;IF($OD50&gt;0," · TR"&amp;IF($NI50="",""," CD "&amp;$NI50),""),IF(LEFT($QC50,2)="TR",$QC50&amp;IF($NI50="",""," · CD "&amp;$NI50)&amp;IF(COUNTIF($RK50:$RN50,"Certeiro")&gt;0," · metade",""),"Sem rolagem"))))</f>
        <v/>
      </c>
      <c r="QE50" s="164">
        <f>IF(OR($ND50=0,$NJ50=0),"",IF($MS50=0,IF(OR($OG50&gt;=1,$PD50=0),"Sem dano",$PD50&amp;"d6"&amp;IF($MV50="",""," "&amp;$MV50)),IF(OR($OG50&gt;=1,$PD50=0),UPPER(LEFT(INDEX($PM50:$PS50,1,MAX(1,$MS50)),1))&amp;MID(INDEX($PM50:$PS50,1,MAX(1,$MS50)),2,99),UPPER(LEFT(INDEX($PM50:$PS50,1,MAX(1,$MS50)),1))&amp;MID(INDEX($PM50:$PS50,1,MAX(1,$MS50)),2,99)&amp;IF($MV50="",""," "&amp;$MV50)&amp;IF($PE50&gt;0," · +"&amp;$PE50&amp;"d8",""))))</f>
        <v/>
      </c>
      <c r="QF50" s="164">
        <f>COUNTIF($RK50:$RN50,"Longe")+3*COUNTIF($RK50:$RN50,"Muito Longe")</f>
        <v/>
      </c>
      <c r="QG50" s="164">
        <f>COUNTIF($RK50:$RN50,"Maior")+3*COUNTIF($RK50:$RN50,"Muito Maior")</f>
        <v/>
      </c>
      <c r="QH50" s="164">
        <f>IF($NJ50=0,0,CHOOSE(1+INDEX('DADOS_FORMAS'!$GG$2:$GG$21,$NJ50),0,$QF50,$QG50,$QF50+$QG50))</f>
        <v/>
      </c>
      <c r="QI50" s="164">
        <f>IF($NJ50=0,0,CHOOSE(1+INDEX('DADOS_FORMAS'!$GH$2:$GH$21,$NJ50),0,$QF50,$QG50,$QF50+$QG50))</f>
        <v/>
      </c>
      <c r="QJ50" s="164">
        <f>IF(OR($ND50=0,$NJ50=0),"",INDEX('DADOS_FORMAS'!$HU$2:$HZ$81,($NJ50-1)*4+IF($MS50=0,1,IF($MS50&lt;=5,2,IF($MS50=6,3,4))),1+MIN(5,$QH50))&amp;INDEX('DADOS_FORMAS'!$IA$2:$IF$81,($NJ50-1)*4+IF($MS50=0,1,IF($MS50&lt;=5,2,IF($MS50=6,3,4))),1+MIN(5,$QI50))&amp;IF(INDEX('DADOS_FORMAS'!$GI$2:$GI$21,$NJ50)=1,IF(COUNTIF($RK50:$RN50,"Mais Um")&gt;0," · +"&amp;COUNTIF($RK50:$RN50,"Mais Um")&amp;IF(COUNTIF($RK50:$RN50,"Mais Um")&gt;1," alvos"," alvo"),"")&amp;IF(COUNTIF($RK50:$RN50,"Rajada")&gt;0,IF($MS50=0," · 1 tiro"," · "&amp;(MAX(1,$MS50-1)+1)&amp;" tiros"),""),""))</f>
        <v/>
      </c>
      <c r="QK50" s="164">
        <f>IF($ND50=0,"",IF($MS50=0,$NG50&amp;"d6"&amp;IF($OU50&gt;0," − 1 = "&amp;$PD50&amp;"d6"," da básica do nível "&amp;$NE50),$PB50&amp;" − "&amp;$OW50&amp;" + "&amp;$OZ50&amp;" = "&amp;$PC50&amp;" · teto "&amp;4*$MS50&amp;"d8"&amp;IF($OF50=1," · a Forma devolve "&amp;$MS50,"")&amp;IF($PA50&gt;0," · perde "&amp;$PA50,"")))</f>
        <v/>
      </c>
      <c r="QL50" s="164">
        <f>IF($ND50=0,"",IF($MS50=0,"A básica não amplia: os dados dela sobem com o nível",IF($MS50&gt;=$NF50,"Já está na maior Classe que o nível liberou",TEXTJOIN(" · ",TRUE,IF(AND(2&gt;$MS50,2&lt;=$NF50),"2 → "&amp;$PN50&amp;", 6 PE",""),IF(AND(3&gt;$MS50,3&lt;=$NF50),"3 → "&amp;$PO50&amp;", 9 PE",""),IF(AND(4&gt;$MS50,4&lt;=$NF50),"4 → "&amp;$PP50&amp;", 12 PE",""),IF(AND(5&gt;$MS50,5&lt;=$NF50),"5 → "&amp;$PQ50&amp;", 15 PE",""),IF(AND(6&gt;$MS50,6&lt;=$NF50),"6 → "&amp;$PR50&amp;", 18 PE",""),IF(AND(7&gt;$MS50,7&lt;=$NF50),"7 → "&amp;$PS50&amp;", 21 PE","")))))</f>
        <v/>
      </c>
      <c r="QM50" s="164">
        <f>IF(OR($ND50=0,$NO50=0),"",IF($MS50=0,"−1 dado","−"&amp;INDEX($I$2:$N$8,MAX(1,$MS50),MAX(1,$NT50))&amp;" · "&amp;CHOOSE(MAX(1,$NT50),"Leve","Média","Pesada","Leve · Livre","Média · Livre","Pesada · Livre")))</f>
        <v/>
      </c>
      <c r="QN50" s="164">
        <f>IF(OR($ND50=0,$NP50=0),"",IF($MS50=0,"−1 dado","−"&amp;INDEX($I$2:$N$8,MAX(1,$MS50),MAX(1,$NU50))&amp;" · "&amp;CHOOSE(MAX(1,$NU50),"Leve","Média","Pesada","Leve · Livre","Média · Livre","Pesada · Livre")))</f>
        <v/>
      </c>
      <c r="QO50" s="164">
        <f>IF(OR($ND50=0,$NQ50=0),"",IF($MS50=0,"−1 dado","−"&amp;INDEX($I$2:$N$8,MAX(1,$MS50),MAX(1,$NV50))&amp;" · "&amp;CHOOSE(MAX(1,$NV50),"Leve","Média","Pesada","Leve · Livre","Média · Livre","Pesada · Livre")))</f>
        <v/>
      </c>
      <c r="QP50" s="164">
        <f>IF(OR($ND50=0,$NR50=0),"",IF($MS50=0,"−1 dado","−"&amp;INDEX($I$2:$N$8,MAX(1,$MS50),MAX(1,$NW50))&amp;" · "&amp;CHOOSE(MAX(1,$NW50),"Leve","Média","Pesada","Leve · Livre","Média · Livre","Pesada · Livre")))</f>
        <v/>
      </c>
      <c r="QQ50" s="164">
        <f>IF(OR($ND50=0,$NB50=""),"",IF($MS50=0,"não devolve","+"&amp;IF($OI50=1,CEILING($MS50/2,1),$MS50)))</f>
        <v/>
      </c>
      <c r="QR50" s="164">
        <f>IF(OR($ND50=0,$NC50=""),"",IF($MS50=0,"não devolve","+"&amp;IF($OJ50=1,CEILING($MS50/2,1),$MS50)))</f>
        <v/>
      </c>
      <c r="RK50">
        <f>IF($MX50="","",IFERROR(VLOOKUP(SUBSTITUTE(SUBSTITUTE(SUBSTITUTE($MX50,"~","~~"),"*","~*"),"?","~?"),'DADOS_MELHORIAS'!$O$2:$X$113,10,FALSE),$MX50))</f>
        <v/>
      </c>
      <c r="RL50">
        <f>IF($MY50="","",IFERROR(VLOOKUP(SUBSTITUTE(SUBSTITUTE(SUBSTITUTE($MY50,"~","~~"),"*","~*"),"?","~?"),'DADOS_MELHORIAS'!$O$2:$X$113,10,FALSE),$MY50))</f>
        <v/>
      </c>
      <c r="RM50">
        <f>IF($MZ50="","",IFERROR(VLOOKUP(SUBSTITUTE(SUBSTITUTE(SUBSTITUTE($MZ50,"~","~~"),"*","~*"),"?","~?"),'DADOS_MELHORIAS'!$O$2:$X$113,10,FALSE),$MZ50))</f>
        <v/>
      </c>
      <c r="RN50">
        <f>IF($NA50="","",IFERROR(VLOOKUP(SUBSTITUTE(SUBSTITUTE(SUBSTITUTE($NA50,"~","~~"),"*","~*"),"?","~?"),'DADOS_MELHORIAS'!$O$2:$X$113,10,FALSE),$NA50))</f>
        <v/>
      </c>
      <c r="RO50">
        <f>IFERROR(INDEX('DADOS_FORMAS'!$BJ$2:$BJ$21,MATCH(SUBSTITUTE(SUBSTITUTE(SUBSTITUTE($MU50,"~","~~"),"*","~*"),"?","~?"),'DADOS_FORMAS'!$AH$2:$AH$21,0)),"")</f>
        <v/>
      </c>
      <c r="RP50">
        <f>IFERROR(VLOOKUP(SUBSTITUTE(SUBSTITUTE(SUBSTITUTE(IFERROR(INDEX('DADOS_FORMAS'!$AS$2:$AS$21,MATCH(SUBSTITUTE(SUBSTITUTE(SUBSTITUTE($MU50,"~","~~"),"*","~*"),"?","~?"),'DADOS_FORMAS'!$AH$2:$AH$21,0)),""),"~","~~"),"*","~*"),"?","~?"),'DADOS_RESTRICOES'!$M$2:$Q$54,2,FALSE),"")</f>
        <v/>
      </c>
      <c r="RQ50">
        <f>$OK50</f>
        <v/>
      </c>
      <c r="RR50">
        <f>$OL50</f>
        <v/>
      </c>
      <c r="RS50">
        <f>$RP50</f>
        <v/>
      </c>
    </row>
    <row r="51">
      <c r="AV51" s="162" t="inlineStr">
        <is>
          <t>Ecoa</t>
        </is>
      </c>
      <c r="AW51" s="162" t="inlineStr">
        <is>
          <t>Auxiliares</t>
        </is>
      </c>
      <c r="AX51" s="164" t="n">
        <v>2</v>
      </c>
      <c r="AY51" s="164" t="n">
        <v>0</v>
      </c>
      <c r="AZ51" s="164" t="n">
        <v>0</v>
      </c>
      <c r="BA51" s="164" t="n">
        <v>0</v>
      </c>
      <c r="JT51" s="164">
        <f>IF(OR($AW51="",(COUNTIF($EL$2:$EP$2,$AW51)+COUNTIF($QV$2:$QY$2,$AW51))&gt;0),$AV51,"")</f>
        <v/>
      </c>
      <c r="JU51" s="164">
        <f>IF(AND($AX51=1,OR($AW51="",(COUNTIF($EL$2:$EP$2,$AW51)+COUNTIF($QV$2:$QY$2,$AW51))&gt;0)),$AV51,"")</f>
        <v/>
      </c>
      <c r="JZ51" s="164">
        <f>IF(OR($AW51="",(COUNTIF($EL$3:$EP$3,$AW51)+COUNTIF($QV$3:$QY$3,$AW51))&gt;0),$AV51,"")</f>
        <v/>
      </c>
      <c r="KA51" s="164">
        <f>IF(AND($AX51=1,OR($AW51="",(COUNTIF($EL$3:$EP$3,$AW51)+COUNTIF($QV$3:$QY$3,$AW51))&gt;0)),$AV51,"")</f>
        <v/>
      </c>
      <c r="KF51" s="164">
        <f>IF(OR($AW51="",(COUNTIF($EL$4:$EP$4,$AW51)+COUNTIF($QV$4:$QY$4,$AW51))&gt;0),$AV51,"")</f>
        <v/>
      </c>
      <c r="KG51" s="164">
        <f>IF(AND($AX51=1,OR($AW51="",(COUNTIF($EL$4:$EP$4,$AW51)+COUNTIF($QV$4:$QY$4,$AW51))&gt;0)),$AV51,"")</f>
        <v/>
      </c>
      <c r="KL51" s="164">
        <f>IF(OR($AW51="",(COUNTIF($EL$5:$EP$5,$AW51)+COUNTIF($QV$5:$QY$5,$AW51))&gt;0),$AV51,"")</f>
        <v/>
      </c>
      <c r="KM51" s="164">
        <f>IF(AND($AX51=1,OR($AW51="",(COUNTIF($EL$5:$EP$5,$AW51)+COUNTIF($QV$5:$QY$5,$AW51))&gt;0)),$AV51,"")</f>
        <v/>
      </c>
      <c r="KR51" s="164">
        <f>IF(OR($AW51="",(COUNTIF($EL$6:$EP$6,$AW51)+COUNTIF($QV$6:$QY$6,$AW51))&gt;0),$AV51,"")</f>
        <v/>
      </c>
      <c r="KS51" s="164">
        <f>IF(AND($AX51=1,OR($AW51="",(COUNTIF($EL$6:$EP$6,$AW51)+COUNTIF($QV$6:$QY$6,$AW51))&gt;0)),$AV51,"")</f>
        <v/>
      </c>
      <c r="KX51" s="164">
        <f>IF(OR($AW51="",(COUNTIF($EL$7:$EP$7,$AW51)+COUNTIF($QV$7:$QY$7,$AW51))&gt;0),$AV51,"")</f>
        <v/>
      </c>
      <c r="KY51" s="164">
        <f>IF(AND($AX51=1,OR($AW51="",(COUNTIF($EL$7:$EP$7,$AW51)+COUNTIF($QV$7:$QY$7,$AW51))&gt;0)),$AV51,"")</f>
        <v/>
      </c>
      <c r="LD51" s="164">
        <f>IF(OR($AW51="",(COUNTIF($EL$8:$EP$8,$AW51)+COUNTIF($QV$8:$QY$8,$AW51))&gt;0),$AV51,"")</f>
        <v/>
      </c>
      <c r="LE51" s="164">
        <f>IF(AND($AX51=1,OR($AW51="",(COUNTIF($EL$8:$EP$8,$AW51)+COUNTIF($QV$8:$QY$8,$AW51))&gt;0)),$AV51,"")</f>
        <v/>
      </c>
      <c r="LJ51" s="164">
        <f>IF(OR($AW51="",(COUNTIF($EL$9:$EP$9,$AW51)+COUNTIF($QV$9:$QY$9,$AW51))&gt;0),$AV51,"")</f>
        <v/>
      </c>
      <c r="LK51" s="164">
        <f>IF(AND($AX51=1,OR($AW51="",(COUNTIF($EL$9:$EP$9,$AW51)+COUNTIF($QV$9:$QY$9,$AW51))&gt;0)),$AV51,"")</f>
        <v/>
      </c>
      <c r="LP51" s="164">
        <f>IF(OR($AW51="",(COUNTIF($EL$10:$EP$10,$AW51)+COUNTIF($QV$10:$QY$10,$AW51))&gt;0),$AV51,"")</f>
        <v/>
      </c>
      <c r="LQ51" s="164">
        <f>IF(AND($AX51=1,OR($AW51="",(COUNTIF($EL$10:$EP$10,$AW51)+COUNTIF($QV$10:$QY$10,$AW51))&gt;0)),$AV51,"")</f>
        <v/>
      </c>
      <c r="LV51" s="164">
        <f>IF(OR($AW51="",(COUNTIF($EL$11:$EP$11,$AW51)+COUNTIF($QV$11:$QY$11,$AW51))&gt;0),$AV51,"")</f>
        <v/>
      </c>
      <c r="LW51" s="164">
        <f>IF(AND($AX51=1,OR($AW51="",(COUNTIF($EL$11:$EP$11,$AW51)+COUNTIF($QV$11:$QY$11,$AW51))&gt;0)),$AV51,"")</f>
        <v/>
      </c>
      <c r="MB51" s="164">
        <f>IF(OR($AW51="",(COUNTIF($EL$12:$EP$12,$AW51)+COUNTIF($QV$12:$QY$12,$AW51))&gt;0),$AV51,"")</f>
        <v/>
      </c>
      <c r="MC51" s="164">
        <f>IF(AND($AX51=1,OR($AW51="",(COUNTIF($EL$12:$EP$12,$AW51)+COUNTIF($QV$12:$QY$12,$AW51))&gt;0)),$AV51,"")</f>
        <v/>
      </c>
      <c r="MH51" s="164">
        <f>IF(OR($AW51="",(COUNTIF($EL$13:$EP$13,$AW51)+COUNTIF($QV$13:$QY$13,$AW51))&gt;0),$AV51,"")</f>
        <v/>
      </c>
      <c r="MI51" s="164">
        <f>IF(AND($AX51=1,OR($AW51="",(COUNTIF($EL$13:$EP$13,$AW51)+COUNTIF($QV$13:$QY$13,$AW51))&gt;0)),$AV51,"")</f>
        <v/>
      </c>
      <c r="MN51" s="162" t="inlineStr">
        <is>
          <t>Ficha 4 · Escolha da trilha 1</t>
        </is>
      </c>
      <c r="MO51" s="164" t="n">
        <v>4</v>
      </c>
      <c r="MP51" s="164" t="n">
        <v>2</v>
      </c>
      <c r="MQ51" s="164" t="n">
        <v>0</v>
      </c>
      <c r="MR51" s="162" t="inlineStr">
        <is>
          <t>ESCOLHA DA TRILHA 1</t>
        </is>
      </c>
      <c r="MS51" s="164">
        <f>MAX(0,MIN(7,N('INVOCAÇÕES'!$I$806)))</f>
        <v/>
      </c>
      <c r="MT51" s="164">
        <f>'INVOCAÇÕES'!$J$806&amp;""</f>
        <v/>
      </c>
      <c r="MU51" s="164">
        <f>'INVOCAÇÕES'!$I$811&amp;""</f>
        <v/>
      </c>
      <c r="MV51" s="164">
        <f>'INVOCAÇÕES'!$I$812&amp;""</f>
        <v/>
      </c>
      <c r="MW51" s="164">
        <f>'INVOCAÇÕES'!$K$812&amp;""</f>
        <v/>
      </c>
      <c r="MX51" s="164">
        <f>'INVOCAÇÕES'!$J$815&amp;""</f>
        <v/>
      </c>
      <c r="MY51" s="164">
        <f>'INVOCAÇÕES'!$J$816&amp;""</f>
        <v/>
      </c>
      <c r="MZ51" s="164">
        <f>'INVOCAÇÕES'!$J$817&amp;""</f>
        <v/>
      </c>
      <c r="NA51" s="164">
        <f>'INVOCAÇÕES'!$J$818&amp;""</f>
        <v/>
      </c>
      <c r="NB51" s="164">
        <f>'INVOCAÇÕES'!$J$819&amp;""</f>
        <v/>
      </c>
      <c r="NC51" s="164">
        <f>'INVOCAÇÕES'!$J$820&amp;""</f>
        <v/>
      </c>
      <c r="ND51" s="164">
        <f>IF($MT51&lt;&gt;"",1,0)</f>
        <v/>
      </c>
      <c r="NE51" s="164">
        <f>INDEX($FO$2:$FO$13,$MO51)</f>
        <v/>
      </c>
      <c r="NF51" s="164">
        <f>INDEX($FP$2:$FP$13,$MO51)</f>
        <v/>
      </c>
      <c r="NG51" s="164">
        <f>INDEX($FQ$2:$FQ$13,$MO51)</f>
        <v/>
      </c>
      <c r="NH51" s="164">
        <f>INDEX($GB$2:$GB$13,$MO51)</f>
        <v/>
      </c>
      <c r="NI51" s="164">
        <f>INDEX($GC$2:$GC$13,$MO51)</f>
        <v/>
      </c>
      <c r="NJ51" s="164">
        <f>IFERROR(MATCH(SUBSTITUTE(SUBSTITUTE(SUBSTITUTE($MU51,"~","~~"),"*","~*"),"?","~?"),'DADOS_FORMAS'!$FZ$2:$FZ$21,0),0)</f>
        <v/>
      </c>
      <c r="NK51" s="164">
        <f>IFERROR(VLOOKUP(SUBSTITUTE(SUBSTITUTE(SUBSTITUTE($MX51,"~","~~"),"*","~*"),"?","~?"),'DADOS_MELHORIAS'!$AG$2:$AL$113,2,FALSE),"")</f>
        <v/>
      </c>
      <c r="NL51" s="164">
        <f>IFERROR(VLOOKUP(SUBSTITUTE(SUBSTITUTE(SUBSTITUTE($MY51,"~","~~"),"*","~*"),"?","~?"),'DADOS_MELHORIAS'!$AG$2:$AL$113,2,FALSE),"")</f>
        <v/>
      </c>
      <c r="NM51" s="164">
        <f>IFERROR(VLOOKUP(SUBSTITUTE(SUBSTITUTE(SUBSTITUTE($MZ51,"~","~~"),"*","~*"),"?","~?"),'DADOS_MELHORIAS'!$AG$2:$AL$113,2,FALSE),"")</f>
        <v/>
      </c>
      <c r="NN51" s="164">
        <f>IFERROR(VLOOKUP(SUBSTITUTE(SUBSTITUTE(SUBSTITUTE($NA51,"~","~~"),"*","~*"),"?","~?"),'DADOS_MELHORIAS'!$AG$2:$AL$113,2,FALSE),"")</f>
        <v/>
      </c>
      <c r="NO51" s="164">
        <f>IFERROR(VLOOKUP(SUBSTITUTE(SUBSTITUTE(SUBSTITUTE($MX51,"~","~~"),"*","~*"),"?","~?"),'DADOS_MELHORIAS'!$AG$2:$AL$113,3,FALSE),0)</f>
        <v/>
      </c>
      <c r="NP51" s="164">
        <f>IFERROR(VLOOKUP(SUBSTITUTE(SUBSTITUTE(SUBSTITUTE($MY51,"~","~~"),"*","~*"),"?","~?"),'DADOS_MELHORIAS'!$AG$2:$AL$113,3,FALSE),0)</f>
        <v/>
      </c>
      <c r="NQ51" s="164">
        <f>IFERROR(VLOOKUP(SUBSTITUTE(SUBSTITUTE(SUBSTITUTE($MZ51,"~","~~"),"*","~*"),"?","~?"),'DADOS_MELHORIAS'!$AG$2:$AL$113,3,FALSE),0)</f>
        <v/>
      </c>
      <c r="NR51" s="164">
        <f>IFERROR(VLOOKUP(SUBSTITUTE(SUBSTITUTE(SUBSTITUTE($NA51,"~","~~"),"*","~*"),"?","~?"),'DADOS_MELHORIAS'!$AG$2:$AL$113,3,FALSE),0)</f>
        <v/>
      </c>
      <c r="NS51" s="164">
        <f>IF($MS51=0,0,IF($NJ51=0,0,INDEX('DADOS_FORMAS'!$GB$2:$GB$21,$NJ51)))</f>
        <v/>
      </c>
      <c r="NT51" s="164">
        <f>IF(OR($NO51=0,$MS51=0),0,$NO51+3*IF(AND($NK51&lt;&gt;"",COUNTIF(INDEX($RB$2:$RJ$13,$MO51,0),$NK51)&gt;0),1,0))</f>
        <v/>
      </c>
      <c r="NU51" s="164">
        <f>IF(OR($NP51=0,$MS51=0),0,$NP51+3*IF(AND($NL51&lt;&gt;"",COUNTIF(INDEX($RB$2:$RJ$13,$MO51,0),$NL51)&gt;0),1,0))</f>
        <v/>
      </c>
      <c r="NV51" s="164">
        <f>IF(OR($NQ51=0,$MS51=0),0,$NQ51+3*IF(AND($NM51&lt;&gt;"",COUNTIF(INDEX($RB$2:$RJ$13,$MO51,0),$NM51)&gt;0),1,0))</f>
        <v/>
      </c>
      <c r="NW51" s="164">
        <f>IF(OR($NR51=0,$MS51=0),0,$NR51+3*IF(AND($NN51&lt;&gt;"",COUNTIF(INDEX($RB$2:$RJ$13,$MO51,0),$NN51)&gt;0),1,0))</f>
        <v/>
      </c>
      <c r="NX51" s="164">
        <f>IF($NJ51=0,0,IF(INDEX('DADOS_FORMAS'!$GA$2:$GA$21,$NJ51)="",0,IF((COUNTIF(INDEX($EL$2:$EP$13,$MO51,0),INDEX('DADOS_FORMAS'!$GA$2:$GA$21,$NJ51))+COUNTIF(INDEX($QV$2:$QY$13,$MO51,0),INDEX('DADOS_FORMAS'!$GA$2:$GA$21,$NJ51)))=0,1,0)))</f>
        <v/>
      </c>
      <c r="NY51" s="164">
        <f>IF(OR($NO51=0,$NK51=""),0,IF((COUNTIF(INDEX($EL$2:$EP$13,$MO51,0),$NK51)+COUNTIF(INDEX($QV$2:$QY$13,$MO51,0),$NK51))=0,1,0))</f>
        <v/>
      </c>
      <c r="NZ51" s="164">
        <f>IF(OR($NP51=0,$NL51=""),0,IF((COUNTIF(INDEX($EL$2:$EP$13,$MO51,0),$NL51)+COUNTIF(INDEX($QV$2:$QY$13,$MO51,0),$NL51))=0,1,0))</f>
        <v/>
      </c>
      <c r="OA51" s="164">
        <f>IF(OR($NQ51=0,$NM51=""),0,IF((COUNTIF(INDEX($EL$2:$EP$13,$MO51,0),$NM51)+COUNTIF(INDEX($QV$2:$QY$13,$MO51,0),$NM51))=0,1,0))</f>
        <v/>
      </c>
      <c r="OB51" s="164">
        <f>IF(OR($NR51=0,$NN51=""),0,IF((COUNTIF(INDEX($EL$2:$EP$13,$MO51,0),$NN51)+COUNTIF(INDEX($QV$2:$QY$13,$MO51,0),$NN51))=0,1,0))</f>
        <v/>
      </c>
      <c r="OC51" s="164">
        <f>IFERROR(VLOOKUP(SUBSTITUTE(SUBSTITUTE(SUBSTITUTE($MX51,"~","~~"),"*","~*"),"?","~?"),'DADOS_MELHORIAS'!$AG$2:$AL$113,4,FALSE),0)+IFERROR(VLOOKUP(SUBSTITUTE(SUBSTITUTE(SUBSTITUTE($MY51,"~","~~"),"*","~*"),"?","~?"),'DADOS_MELHORIAS'!$AG$2:$AL$113,4,FALSE),0)+IFERROR(VLOOKUP(SUBSTITUTE(SUBSTITUTE(SUBSTITUTE($MZ51,"~","~~"),"*","~*"),"?","~?"),'DADOS_MELHORIAS'!$AG$2:$AL$113,4,FALSE),0)+IFERROR(VLOOKUP(SUBSTITUTE(SUBSTITUTE(SUBSTITUTE($NA51,"~","~~"),"*","~*"),"?","~?"),'DADOS_MELHORIAS'!$AG$2:$AL$113,4,FALSE),0)</f>
        <v/>
      </c>
      <c r="OD51" s="164">
        <f>IFERROR(VLOOKUP(SUBSTITUTE(SUBSTITUTE(SUBSTITUTE($MX51,"~","~~"),"*","~*"),"?","~?"),'DADOS_MELHORIAS'!$AG$2:$AL$113,6,FALSE),0)+IFERROR(VLOOKUP(SUBSTITUTE(SUBSTITUTE(SUBSTITUTE($MY51,"~","~~"),"*","~*"),"?","~?"),'DADOS_MELHORIAS'!$AG$2:$AL$113,6,FALSE),0)+IFERROR(VLOOKUP(SUBSTITUTE(SUBSTITUTE(SUBSTITUTE($MZ51,"~","~~"),"*","~*"),"?","~?"),'DADOS_MELHORIAS'!$AG$2:$AL$113,6,FALSE),0)+IFERROR(VLOOKUP(SUBSTITUTE(SUBSTITUTE(SUBSTITUTE($NA51,"~","~~"),"*","~*"),"?","~?"),'DADOS_MELHORIAS'!$AG$2:$AL$113,6,FALSE),0)+IFERROR(N(AND(INDEX('DADOS_FORMAS'!$AO$2:$AO$21,MATCH(SUBSTITUTE(SUBSTITUTE(SUBSTITUTE($MU51,"~","~~"),"*","~*"),"?","~?"),'DADOS_FORMAS'!$AH$2:$AH$21,0))="Acerto",$OH51=1)),0)</f>
        <v/>
      </c>
      <c r="OE51" s="164">
        <f>TEXTJOIN(", ",TRUE,IF(IFERROR(VLOOKUP(SUBSTITUTE(SUBSTITUTE(SUBSTITUTE($MX51,"~","~~"),"*","~*"),"?","~?"),'DADOS_MELHORIAS'!$AG$2:$AL$113,5,FALSE),0)=1,$MX51,""),IF(IFERROR(VLOOKUP(SUBSTITUTE(SUBSTITUTE(SUBSTITUTE($MY51,"~","~~"),"*","~*"),"?","~?"),'DADOS_MELHORIAS'!$AG$2:$AL$113,5,FALSE),0)=1,$MY51,""),IF(IFERROR(VLOOKUP(SUBSTITUTE(SUBSTITUTE(SUBSTITUTE($MZ51,"~","~~"),"*","~*"),"?","~?"),'DADOS_MELHORIAS'!$AG$2:$AL$113,5,FALSE),0)=1,$MZ51,""),IF(IFERROR(VLOOKUP(SUBSTITUTE(SUBSTITUTE(SUBSTITUTE($NA51,"~","~~"),"*","~*"),"?","~?"),'DADOS_MELHORIAS'!$AG$2:$AL$113,5,FALSE),0)=1,$NA51,""))</f>
        <v/>
      </c>
      <c r="OF51" s="164">
        <f>IF($NJ51=0,0,INDEX('DADOS_FORMAS'!$GC$2:$GC$21,$NJ51))</f>
        <v/>
      </c>
      <c r="OG51" s="164">
        <f>IF($NJ51=0,0,INDEX('DADOS_FORMAS'!$GD$2:$GD$21,$NJ51))</f>
        <v/>
      </c>
      <c r="OH51" s="164">
        <f>IF($NJ51=0,0,INDEX('DADOS_FORMAS'!$GF$2:$GF$21,$NJ51))</f>
        <v/>
      </c>
      <c r="OI51" s="164">
        <f>IFERROR(VLOOKUP(SUBSTITUTE(SUBSTITUTE(SUBSTITUTE($NB51,"~","~~"),"*","~*"),"?","~?"),'DADOS_RESTRICOES'!$M$2:$Q$54,3,FALSE),0)</f>
        <v/>
      </c>
      <c r="OJ51" s="164">
        <f>IFERROR(VLOOKUP(SUBSTITUTE(SUBSTITUTE(SUBSTITUTE($NC51,"~","~~"),"*","~*"),"?","~?"),'DADOS_RESTRICOES'!$M$2:$Q$54,3,FALSE),0)</f>
        <v/>
      </c>
      <c r="OK51" s="164">
        <f>IFERROR(VLOOKUP(SUBSTITUTE(SUBSTITUTE(SUBSTITUTE($NB51,"~","~~"),"*","~*"),"?","~?"),'DADOS_RESTRICOES'!$M$2:$Q$54,2,FALSE),"")</f>
        <v/>
      </c>
      <c r="OL51" s="164">
        <f>IFERROR(VLOOKUP(SUBSTITUTE(SUBSTITUTE(SUBSTITUTE($NC51,"~","~~"),"*","~*"),"?","~?"),'DADOS_RESTRICOES'!$M$2:$Q$54,2,FALSE),"")</f>
        <v/>
      </c>
      <c r="OM51" s="164">
        <f>COUNTIF($NS51:$NW51,1)</f>
        <v/>
      </c>
      <c r="ON51" s="164">
        <f>COUNTIF($NS51:$NW51,2)</f>
        <v/>
      </c>
      <c r="OO51" s="164">
        <f>COUNTIF($NS51:$NW51,3)</f>
        <v/>
      </c>
      <c r="OP51" s="164">
        <f>COUNTIF($NS51:$NW51,4)</f>
        <v/>
      </c>
      <c r="OQ51" s="164">
        <f>COUNTIF($NS51:$NW51,5)</f>
        <v/>
      </c>
      <c r="OR51" s="164">
        <f>COUNTIF($NS51:$NW51,6)</f>
        <v/>
      </c>
      <c r="OS51" s="164">
        <f>COUNTIF($OI51:$OJ51,1)+IF(IFERROR(INDEX('DADOS_FORMAS'!$AS$2:$AS$21,MATCH(SUBSTITUTE(SUBSTITUTE(SUBSTITUTE($MU51,"~","~~"),"*","~*"),"?","~?"),'DADOS_FORMAS'!$AH$2:$AH$21,0)),"")="",0,IFERROR(N(VLOOKUP(SUBSTITUTE(SUBSTITUTE(SUBSTITUTE(IFERROR(INDEX('DADOS_FORMAS'!$AS$2:$AS$21,MATCH(SUBSTITUTE(SUBSTITUTE(SUBSTITUTE($MU51,"~","~~"),"*","~*"),"?","~?"),'DADOS_FORMAS'!$AH$2:$AH$21,0)),""),"~","~~"),"*","~*"),"?","~?"),'DADOS_RESTRICOES'!$M$2:$Q$54,3,FALSE)=1),0))</f>
        <v/>
      </c>
      <c r="OT51" s="164">
        <f>COUNTIF($OI51:$OJ51,2)+IF(IFERROR(INDEX('DADOS_FORMAS'!$AS$2:$AS$21,MATCH(SUBSTITUTE(SUBSTITUTE(SUBSTITUTE($MU51,"~","~~"),"*","~*"),"?","~?"),'DADOS_FORMAS'!$AH$2:$AH$21,0)),"")="",0,IFERROR(N(VLOOKUP(SUBSTITUTE(SUBSTITUTE(SUBSTITUTE(IFERROR(INDEX('DADOS_FORMAS'!$AS$2:$AS$21,MATCH(SUBSTITUTE(SUBSTITUTE(SUBSTITUTE($MU51,"~","~~"),"*","~*"),"?","~?"),'DADOS_FORMAS'!$AH$2:$AH$21,0)),""),"~","~~"),"*","~*"),"?","~?"),'DADOS_RESTRICOES'!$M$2:$Q$54,3,FALSE)=2),0))</f>
        <v/>
      </c>
      <c r="OU51" s="164">
        <f>COUNTIF($MX51:$NA51,"?*")</f>
        <v/>
      </c>
      <c r="OV51" s="164">
        <f>COUNTIF($NB51:$NC51,"?*")+$OF51</f>
        <v/>
      </c>
      <c r="OW51" s="164">
        <f>IF($MS51=0,0,SUMPRODUCT($OM51:$OR51,INDEX($I$2:$N$8,MAX(1,$MS51),0)))</f>
        <v/>
      </c>
      <c r="OX51" s="164">
        <f>IF($MS51=0,0,$OS51*CEILING($MS51/2,1)+$OT51*$MS51)</f>
        <v/>
      </c>
      <c r="OY51" s="164">
        <f>MIN(2*$MS51,$OX51)</f>
        <v/>
      </c>
      <c r="OZ51" s="164">
        <f>MIN($OY51,$OW51-IF($NS51=0,0,INDEX($I$2:$N$8,MAX(1,$MS51),$NS51)))</f>
        <v/>
      </c>
      <c r="PA51" s="164">
        <f>$OY51-$OZ51</f>
        <v/>
      </c>
      <c r="PB51" s="164">
        <f>IF($MS51=0,0,INDEX($P$2:$P$8,MAX(1,$MS51)))</f>
        <v/>
      </c>
      <c r="PC51" s="164">
        <f>$PB51-$OW51+$OZ51</f>
        <v/>
      </c>
      <c r="PD51" s="164">
        <f>IF($MS51=0,MAX(0,$NG51-IF(AND($OU51&gt;0,COUNTIF($NB51:$NC51,"?*")=0),1,0)),MAX(0,$PC51))</f>
        <v/>
      </c>
      <c r="PE51" s="164">
        <f>IF($MS51=0,0,(IF(COUNTIF($RK51:$RN51,"Salto")&gt;0,1,0)+IF(COUNTIF($RK51:$RN51,"Queima")&gt;0,1,0)+IF(COUNTIF($RK51:$RN51,"Estilhaço")&gt;0,1,0))*FLOOR($PD51/2,1))</f>
        <v/>
      </c>
      <c r="PF51" s="164">
        <f>MAX(0,2-SUMPRODUCT($OM51:$OR51,$I$2:$N$2)+MIN(2,$OS51*1+$OT51*1,SUMPRODUCT($OM51:$OR51,$I$2:$N$2)-IF($NS51=0,0,INDEX($I$2:$N$2,1,$NS51))))</f>
        <v/>
      </c>
      <c r="PG51" s="164">
        <f>MAX(0,4-SUMPRODUCT($OM51:$OR51,$I$3:$N$3)+MIN(4,$OS51*1+$OT51*2,SUMPRODUCT($OM51:$OR51,$I$3:$N$3)-IF($NS51=0,0,INDEX($I$3:$N$3,1,$NS51))))</f>
        <v/>
      </c>
      <c r="PH51" s="164">
        <f>MAX(0,6-SUMPRODUCT($OM51:$OR51,$I$4:$N$4)+MIN(6,$OS51*2+$OT51*3,SUMPRODUCT($OM51:$OR51,$I$4:$N$4)-IF($NS51=0,0,INDEX($I$4:$N$4,1,$NS51))))</f>
        <v/>
      </c>
      <c r="PI51" s="164">
        <f>MAX(0,9-SUMPRODUCT($OM51:$OR51,$I$5:$N$5)+MIN(8,$OS51*2+$OT51*4,SUMPRODUCT($OM51:$OR51,$I$5:$N$5)-IF($NS51=0,0,INDEX($I$5:$N$5,1,$NS51))))</f>
        <v/>
      </c>
      <c r="PJ51" s="164">
        <f>MAX(0,11-SUMPRODUCT($OM51:$OR51,$I$6:$N$6)+MIN(10,$OS51*3+$OT51*5,SUMPRODUCT($OM51:$OR51,$I$6:$N$6)-IF($NS51=0,0,INDEX($I$6:$N$6,1,$NS51))))</f>
        <v/>
      </c>
      <c r="PK51" s="164">
        <f>MAX(0,13-SUMPRODUCT($OM51:$OR51,$I$7:$N$7)+MIN(12,$OS51*3+$OT51*6,SUMPRODUCT($OM51:$OR51,$I$7:$N$7)-IF($NS51=0,0,INDEX($I$7:$N$7,1,$NS51))))</f>
        <v/>
      </c>
      <c r="PL51" s="164">
        <f>MAX(0,16-SUMPRODUCT($OM51:$OR51,$I$8:$N$8)+MIN(14,$OS51*4+$OT51*7,SUMPRODUCT($OM51:$OR51,$I$8:$N$8)-IF($NS51=0,0,INDEX($I$8:$N$8,1,$NS51))))</f>
        <v/>
      </c>
      <c r="PM51" s="164">
        <f>IF($OG51=2,3*$PF51&amp;" de vida temp.",IF($OG51=3,"sem dano",IF($PF51=0,IF($OG51=1,"sem cura","sem dano"),IF($OG51=1,"cura ","")&amp;$PF51&amp;"d8")))</f>
        <v/>
      </c>
      <c r="PN51" s="164">
        <f>IF($OG51=2,3*$PG51&amp;" de vida temp.",IF($OG51=3,"sem dano",IF($PG51=0,IF($OG51=1,"sem cura","sem dano"),IF($OG51=1,"cura ","")&amp;$PG51&amp;"d8")))</f>
        <v/>
      </c>
      <c r="PO51" s="164">
        <f>IF($OG51=2,3*$PH51&amp;" de vida temp.",IF($OG51=3,"sem dano",IF($PH51=0,IF($OG51=1,"sem cura","sem dano"),IF($OG51=1,"cura ","")&amp;$PH51&amp;"d8")))</f>
        <v/>
      </c>
      <c r="PP51" s="164">
        <f>IF($OG51=2,3*$PI51&amp;" de vida temp.",IF($OG51=3,"sem dano",IF($PI51=0,IF($OG51=1,"sem cura","sem dano"),IF($OG51=1,"cura ","")&amp;$PI51&amp;"d8")))</f>
        <v/>
      </c>
      <c r="PQ51" s="164">
        <f>IF($OG51=2,3*$PJ51&amp;" de vida temp.",IF($OG51=3,"sem dano",IF($PJ51=0,IF($OG51=1,"sem cura","sem dano"),IF($OG51=1,"cura ","")&amp;$PJ51&amp;"d8")))</f>
        <v/>
      </c>
      <c r="PR51" s="164">
        <f>IF($OG51=2,3*$PK51&amp;" de vida temp.",IF($OG51=3,"sem dano",IF($PK51=0,IF($OG51=1,"sem cura","sem dano"),IF($OG51=1,"cura ","")&amp;$PK51&amp;"d8")))</f>
        <v/>
      </c>
      <c r="PS51" s="164">
        <f>IF($OG51=2,3*$PL51&amp;" de vida temp.",IF($OG51=3,"sem dano",IF($PL51=0,IF($OG51=1,"sem cura","sem dano"),IF($OG51=1,"cura ","")&amp;$PL51&amp;"d8")))</f>
        <v/>
      </c>
      <c r="PT51" s="164">
        <f>IF($ND51=0,"",TEXTJOIN(" · ",TRUE,IF($ND51=0,"",TEXTJOIN(" · ",TRUE,IF($ND51=0,"",TEXTJOIN(" · ",TRUE,IF($MQ51&gt;$NE51,"Este lugar abre no nível "&amp;$MQ51,""),IF($MS51&gt;$NF51,"Classe "&amp;$MS51&amp;": o nível "&amp;$NE51&amp;" libera até a "&amp;$NF51,""),IF($NX51=1,"A Forma "&amp;$MU51&amp;" pede "&amp;INDEX('DADOS_FORMAS'!$GA$2:$GA$21,$NJ51)&amp;" aberta",""),IF(AND($MS51=0,$NJ51&gt;0,IF($NJ51=0,0,INDEX('DADOS_FORMAS'!$GJ$2:$GJ$21,$NJ51))=0),$MU51&amp;" não existe na Classe 0",""),IF($NY51=1,"Família Fechada: "&amp;$MX51,""),IF($NZ51=1,"Família Fechada: "&amp;$MY51,""),IF($OA51=1,"Família Fechada: "&amp;$MZ51,""),IF($OB51=1,"Família Fechada: "&amp;$NA51,""),IF(AND($MS51&gt;0,$OU51&gt;INDEX($O$2:$O$8,MAX(1,$MS51))),$OU51&amp;" Melhorias: a Classe "&amp;$MS51&amp;" aceita "&amp;INDEX($O$2:$O$8,MAX(1,$MS51)),""),IF(AND($MS51=0,$OU51&gt;1),"A básica aceita uma Melhoria",""),IF(AND($MS51=0,COUNTIF($NO51:$NR51,"&gt;1")&gt;0),"A básica só aceita Melhoria Leve",""),IF(AND($MS51&gt;0,$OV51&gt;2),$OV51&amp;" Restrições"&amp;IF($OF51=1,", contando a que a Forma "&amp;$MU51&amp;" já traz","")&amp;": o limite é 2",""),IF(AND($MS51=0,COUNTIF($NB51:$NC51,"?*")&gt;1),"A básica aceita uma Restrição Leve",""),IF(AND($MS51=0,COUNTIF($OI51:$OJ51,2)&gt;0),"A básica só aceita Restrição Leve",""),IF(AND($MS51&gt;0,$PC51&lt;0),"Orçamento estourado: faltam "&amp;(-$PC51)&amp;IF($PC51&lt;-1," pontos"," ponto"),""),IF(IFERROR(VLOOKUP(SUBSTITUTE(SUBSTITUTE(SUBSTITUTE($NB51,"~","~~"),"*","~*"),"?","~?"),'DADOS_RESTRICOES'!$M$2:$Q$54,4,FALSE),0)+IFERROR(VLOOKUP(SUBSTITUTE(SUBSTITUTE(SUBSTITUTE($NC51,"~","~~"),"*","~*"),"?","~?"),'DADOS_RESTRICOES'!$M$2:$Q$54,4,FALSE),0)&gt;1,$OK51&amp;" e "&amp;$OL51&amp;" são as duas de frequência",""),IF(AND((COUNTIF($RK51:$RN51,"Rápido")+COUNTIF($OK51:$OL51,"Rápido"))&gt;0,(COUNTIF($MX51:$NA51,"Atrasar")+COUNTIF($OK51:$OL51,"Atrasar"))&gt;0),"Rápido não entra com Atrasar",""),IF(AND((COUNTIF($RK51:$RN51,"Reação")+COUNTIF($OK51:$OL51,"Reação"))&gt;0,(COUNTIF($RK51:$RN51,"Rápido")+COUNTIF($OK51:$OL51,"Rápido"))&gt;0),"Reação não entra com Rápido",""),IF(AND((COUNTIF($RK51:$RN51,"Reação")+COUNTIF($OK51:$OL51,"Reação"))&gt;0,(COUNTIF($RK51:$RN51,"Armado")+COUNTIF($OK51:$OL51,"Armado"))&gt;0),"Reação não entra com Armado",""),IF(AND((COUNTIF($RK51:$RN51,"Reação")+COUNTIF($OK51:$OL51,"Reação"))&gt;0,(COUNTIF($MX51:$NA51,"Atrasar")+COUNTIF($OK51:$OL51,"Atrasar"))&gt;0),"Reação não entra com Atrasar",""),IF(AND((COUNTIF($RK51:$RN51,"Reação")+COUNTIF($OK51:$OL51,"Reação"))&gt;0,(COUNTIF($MX51:$NA51,"Parado")+COUNTIF($OK51:$OL51,"Parado"))&gt;0),"Reação não entra com Parado",""),IF(AND((COUNTIF($MX51:$NA51,"Atrasar")+COUNTIF($OK51:$OL51,"Atrasar"))&gt;0,(COUNTIF($MX51:$NA51,"Parado")+COUNTIF($OK51:$OL51,"Parado"))&gt;0),"Atrasar não entra com Parado",""),IF(AND((COUNTIF($RK51:$RN51,"Armado")+COUNTIF($OK51:$OL51,"Armado"))&gt;0,(COUNTIF($MX51:$NA51,"Carregar")+COUNTIF($OK51:$OL51,"Carregar"))&gt;0),"Armado não entra com Carregar",""),IF(AND(COUNTIF($OK51:$OL51,"Corpo a Corpo")&gt;0,$OF51=0,OR($RO51="Cone",$RO51="Linha")),"Corpo a Corpo não entra em "&amp;$MU51,""),IF(AND(COUNTIF($OK51:$OL51,"Corpo a Corpo")&gt;0,$RP51="Corpo a Corpo"),"A Forma "&amp;$MU51&amp;" já traz o Corpo a Corpo",""),IF(AND(COUNTIF($OK51:$OL51,"Tudo ou Nada")&gt;0,$OH51=0),"Tudo ou Nada só entra em habilidade de Teste de Resistência",""),IF(AND(COUNTIF($RK51:$RN51,"Inescapável")&gt;0,OR($OU51&gt;1,$OV51&gt;0)),"Inescapável não aceita outra peça",""),IF(AND($MS51&gt;0,$PD51*IF(COUNTIF($RK51:$RN51,"Remate")&gt;0,1.25,1)+$PE51&gt;4*$MS51),($PD51*IF(COUNTIF($RK51:$RN51,"Remate")&gt;0,1.25,1)+$PE51)&amp;" dados somando repetições"&amp;IF(COUNTIF($RK51:$RN51,"Remate")&gt;0," e o Remate","")&amp;": o teto da Classe "&amp;$MS51&amp;" é "&amp;4*$MS51,""))),IF(AND($MX51&lt;&gt;"",COUNTIF('DADOS_MELHORIAS'!$O$2:$O$113,SUBSTITUTE(SUBSTITUTE(SUBSTITUTE($MX51,"~","~~"),"*","~*"),"?","~?"))=0),"Melhoria não cadastrada ou com erro: "&amp;$MX51,""),IF(AND($MY51&lt;&gt;"",COUNTIF('DADOS_MELHORIAS'!$O$2:$O$113,SUBSTITUTE(SUBSTITUTE(SUBSTITUTE($MY51,"~","~~"),"*","~*"),"?","~?"))=0),"Melhoria não cadastrada ou com erro: "&amp;$MY51,""),IF(AND($MZ51&lt;&gt;"",COUNTIF('DADOS_MELHORIAS'!$O$2:$O$113,SUBSTITUTE(SUBSTITUTE(SUBSTITUTE($MZ51,"~","~~"),"*","~*"),"?","~?"))=0),"Melhoria não cadastrada ou com erro: "&amp;$MZ51,""),IF(AND($NA51&lt;&gt;"",COUNTIF('DADOS_MELHORIAS'!$O$2:$O$113,SUBSTITUTE(SUBSTITUTE(SUBSTITUTE($NA51,"~","~~"),"*","~*"),"?","~?"))=0),"Melhoria não cadastrada ou com erro: "&amp;$NA51,""),IF(AND($NB51&lt;&gt;"",COUNTIF('DADOS_RESTRICOES'!$M$2:$M$54,SUBSTITUTE(SUBSTITUTE(SUBSTITUTE($NB51,"~","~~"),"*","~*"),"?","~?"))=0),"Restrição não cadastrada ou com erro: "&amp;$NB51,""),IF(AND($NC51&lt;&gt;"",COUNTIF('DADOS_RESTRICOES'!$M$2:$M$54,SUBSTITUTE(SUBSTITUTE(SUBSTITUTE($NC51,"~","~~"),"*","~*"),"?","~?"))=0),"Restrição não cadastrada ou com erro: "&amp;$NC51,""))),IF(AND($MU51&lt;&gt;"",COUNTIF('DADOS_FORMAS'!$AH$2:$AH$21,SUBSTITUTE(SUBSTITUTE(SUBSTITUTE($MU51,"~","~~"),"*","~*"),"?","~?"))=0),"Forma não cadastrada ou com erro: "&amp;$MU51,""),IF(AND(IFERROR(INDEX('DADOS_FORMAS'!$AS$2:$AS$21,MATCH(SUBSTITUTE(SUBSTITUTE(SUBSTITUTE($MU51,"~","~~"),"*","~*"),"?","~?"),'DADOS_FORMAS'!$AH$2:$AH$21,0)),"")&lt;&gt;"",OR(IFERROR(VLOOKUP(SUBSTITUTE(SUBSTITUTE(SUBSTITUTE(IFERROR(INDEX('DADOS_FORMAS'!$AS$2:$AS$21,MATCH(SUBSTITUTE(SUBSTITUTE(SUBSTITUTE($MU51,"~","~~"),"*","~*"),"?","~?"),'DADOS_FORMAS'!$AH$2:$AH$21,0)),""),"~","~~"),"*","~*"),"?","~?"),'DADOS_RESTRICOES'!$M$2:$Q$54,2,FALSE),"")=$OK51,IFERROR(VLOOKUP(SUBSTITUTE(SUBSTITUTE(SUBSTITUTE(IFERROR(INDEX('DADOS_FORMAS'!$AS$2:$AS$21,MATCH(SUBSTITUTE(SUBSTITUTE(SUBSTITUTE($MU51,"~","~~"),"*","~*"),"?","~?"),'DADOS_FORMAS'!$AH$2:$AH$21,0)),""),"~","~~"),"*","~*"),"?","~?"),'DADOS_RESTRICOES'!$M$2:$Q$54,2,FALSE),"")=$OL51)),"Restrição repetida, contando a embutida",""),IF(IF(IFERROR(INDEX('DADOS_FORMAS'!$AS$2:$AS$21,MATCH(SUBSTITUTE(SUBSTITUTE(SUBSTITUTE($MU51,"~","~~"),"*","~*"),"?","~?"),'DADOS_FORMAS'!$AH$2:$AH$21,0)),"")="",0,IFERROR(N(VLOOKUP(SUBSTITUTE(SUBSTITUTE(SUBSTITUTE(IFERROR(INDEX('DADOS_FORMAS'!$AS$2:$AS$21,MATCH(SUBSTITUTE(SUBSTITUTE(SUBSTITUTE($MU51,"~","~~"),"*","~*"),"?","~?"),'DADOS_FORMAS'!$AH$2:$AH$21,0)),""),"~","~~"),"*","~*"),"?","~?"),'DADOS_RESTRICOES'!$M$2:$Q$54,4,FALSE)=1),0))+IF($NB51="",0,IFERROR(N(VLOOKUP(SUBSTITUTE(SUBSTITUTE(SUBSTITUTE($NB51,"~","~~"),"*","~*"),"?","~?"),'DADOS_RESTRICOES'!$M$2:$Q$54,4,FALSE)=1),0))+IF($NC51="",0,IFERROR(N(VLOOKUP(SUBSTITUTE(SUBSTITUTE(SUBSTITUTE($NC51,"~","~~"),"*","~*"),"?","~?"),'DADOS_RESTRICOES'!$M$2:$Q$54,4,FALSE)=1),0))&gt;1,"Duas Restrições de frequência, contando a embutida",""),IF(AND(IFERROR(VLOOKUP(SUBSTITUTE(SUBSTITUTE(SUBSTITUTE(IFERROR(INDEX('DADOS_FORMAS'!$AS$2:$AS$21,MATCH(SUBSTITUTE(SUBSTITUTE(SUBSTITUTE($MU51,"~","~~"),"*","~*"),"?","~?"),'DADOS_FORMAS'!$AH$2:$AH$21,0)),""),"~","~~"),"*","~*"),"?","~?"),'DADOS_RESTRICOES'!$M$2:$Q$54,2,FALSE),"")="Tudo ou Nada",$OH51=0),"Tudo ou Nada exige TR",""),IF(AND(IFERROR(VLOOKUP(SUBSTITUTE(SUBSTITUTE(SUBSTITUTE(IFERROR(INDEX('DADOS_FORMAS'!$AS$2:$AS$21,MATCH(SUBSTITUTE(SUBSTITUTE(SUBSTITUTE($MU51,"~","~~"),"*","~*"),"?","~?"),'DADOS_FORMAS'!$AH$2:$AH$21,0)),""),"~","~~"),"*","~*"),"?","~?"),'DADOS_RESTRICOES'!$M$2:$Q$54,2,FALSE),"")="Corpo a Corpo",OR($RO51="Cone",$RO51="Linha")),"Corpo a Corpo não entra em Cone/Linha","")))</f>
        <v/>
      </c>
      <c r="PU51" s="164">
        <f>IF($PT51="",0,(LEN($PT51)-LEN(SUBSTITUTE($PT51," · ","")))/3+1)</f>
        <v/>
      </c>
      <c r="PV51" s="164">
        <f>IF($ND51=0,"",TEXTJOIN(" · ",TRUE,IF($OX51&gt;2*$MS51,"A devolução parou no teto de "&amp;2*$MS51,""),IF($PA51&gt;0,"Devolução perdida: "&amp;$PA51&amp;IF($PA51&gt;1," pontos"," ponto")&amp;" sem Melhoria para pagar",""),IF(AND($OC51&gt;0,AND($MS51&gt;0,$OG51=0),$PD51=0),"Controle sem dano: uma rodada a mais e CD +2",""),IF(AND($OC51&gt;0,AND($MS51&gt;0,$OG51=0),$PD51&gt;0,$PD51&lt;=$MS51),"Controle com saldo até a Classe: uma rodada a mais",""),IF(AND($MS51&gt;0,$OE51&lt;&gt;""),"Efeito de "&amp;$OE51&amp;" pela Classe "&amp;MAX(1,$MS51-1),"")))</f>
        <v/>
      </c>
      <c r="PW51" s="164">
        <f>IF($PV51="",0,(LEN($PV51)-LEN(SUBSTITUTE($PV51," · ","")))/3+1)</f>
        <v/>
      </c>
      <c r="PX51" s="164">
        <f>IF($ND51=0,IF($OU51+COUNTIF($NB51:$NC51,"?*")&gt;0,"Dê um nome",""),IF($PU51&gt;0,"⚠ "&amp;$PU51&amp;IF($PU51&gt;1," erros"," erro"),IF($PW51&gt;0,"! "&amp;$PW51&amp;IF($PW51&gt;1," avisos"," aviso"),"Na regra")))</f>
        <v/>
      </c>
      <c r="PY51" s="164">
        <f>IF($ND51=0,"",IF($PU51+$PW51=0,"Dentro das regras que a ficha confere",$PT51&amp;IF(AND($PU51&gt;0,$PW51&gt;0)," · ","")&amp;$PV51))</f>
        <v/>
      </c>
      <c r="PZ51" s="164">
        <f>IF($MQ51&gt;$NE51,$MR51&amp;" · ABRE NO NÍVEL "&amp;$MQ51,$MR51)</f>
        <v/>
      </c>
      <c r="QA51" s="164">
        <f>IF($ND51=0,"",IF($MS51=0,"Sem PE",3*$MS51&amp;" PE"))</f>
        <v/>
      </c>
      <c r="QB51" s="164">
        <f>IF($ND51=0,"",IF($MS51=0,"A atuação básica dela",IF(COUNTIF($RQ51:$RS51,"Atrasar")&gt;0,"Sua Ação Completa",IF(COUNTIF($RK51:$RN51,"Rápido")&gt;0,"Sua Bônus",IF(COUNTIF($RK51:$RN51,"Reação")&gt;0,"Sua Reação","Sua Padrão")))&amp;" + a básica dela"&amp;IF(COUNTIF($RK51:$RN51,"Reação")&gt;0," e a coletiva","")&amp;IF(COUNTIF($RQ51:$RS51,"Carregar")&gt;0," · em dois turnos","")))</f>
        <v/>
      </c>
      <c r="QC51" s="164">
        <f>IF($MW51&lt;&gt;"",$MW51,IF($NJ51=0,"",INDEX('DADOS_FORMAS'!$GE$2:$GE$21,$NJ51)))</f>
        <v/>
      </c>
      <c r="QD51" s="164">
        <f>IF(OR($ND51=0,$NJ51=0),"",IF(COUNTIF($RK51:$RN51,"Inescapável")&gt;0,"Automático",IF($QC51="Ataque",IF($NH51="","Ataque","Ataque "&amp;IF(($NH51+2*IF(COUNTIF($RK51:$RN51,"Precisão")&gt;0,1,0))&gt;=0,"+","−")&amp;ABS(($NH51+2*IF(COUNTIF($RK51:$RN51,"Precisão")&gt;0,1,0))))&amp;IF($OD51&gt;0," · TR"&amp;IF($NI51="",""," CD "&amp;$NI51),""),IF(LEFT($QC51,2)="TR",$QC51&amp;IF($NI51="",""," · CD "&amp;$NI51)&amp;IF(COUNTIF($RK51:$RN51,"Certeiro")&gt;0," · metade",""),"Sem rolagem"))))</f>
        <v/>
      </c>
      <c r="QE51" s="164">
        <f>IF(OR($ND51=0,$NJ51=0),"",IF($MS51=0,IF(OR($OG51&gt;=1,$PD51=0),"Sem dano",$PD51&amp;"d6"&amp;IF($MV51="",""," "&amp;$MV51)),IF(OR($OG51&gt;=1,$PD51=0),UPPER(LEFT(INDEX($PM51:$PS51,1,MAX(1,$MS51)),1))&amp;MID(INDEX($PM51:$PS51,1,MAX(1,$MS51)),2,99),UPPER(LEFT(INDEX($PM51:$PS51,1,MAX(1,$MS51)),1))&amp;MID(INDEX($PM51:$PS51,1,MAX(1,$MS51)),2,99)&amp;IF($MV51="",""," "&amp;$MV51)&amp;IF($PE51&gt;0," · +"&amp;$PE51&amp;"d8",""))))</f>
        <v/>
      </c>
      <c r="QF51" s="164">
        <f>COUNTIF($RK51:$RN51,"Longe")+3*COUNTIF($RK51:$RN51,"Muito Longe")</f>
        <v/>
      </c>
      <c r="QG51" s="164">
        <f>COUNTIF($RK51:$RN51,"Maior")+3*COUNTIF($RK51:$RN51,"Muito Maior")</f>
        <v/>
      </c>
      <c r="QH51" s="164">
        <f>IF($NJ51=0,0,CHOOSE(1+INDEX('DADOS_FORMAS'!$GG$2:$GG$21,$NJ51),0,$QF51,$QG51,$QF51+$QG51))</f>
        <v/>
      </c>
      <c r="QI51" s="164">
        <f>IF($NJ51=0,0,CHOOSE(1+INDEX('DADOS_FORMAS'!$GH$2:$GH$21,$NJ51),0,$QF51,$QG51,$QF51+$QG51))</f>
        <v/>
      </c>
      <c r="QJ51" s="164">
        <f>IF(OR($ND51=0,$NJ51=0),"",INDEX('DADOS_FORMAS'!$HU$2:$HZ$81,($NJ51-1)*4+IF($MS51=0,1,IF($MS51&lt;=5,2,IF($MS51=6,3,4))),1+MIN(5,$QH51))&amp;INDEX('DADOS_FORMAS'!$IA$2:$IF$81,($NJ51-1)*4+IF($MS51=0,1,IF($MS51&lt;=5,2,IF($MS51=6,3,4))),1+MIN(5,$QI51))&amp;IF(INDEX('DADOS_FORMAS'!$GI$2:$GI$21,$NJ51)=1,IF(COUNTIF($RK51:$RN51,"Mais Um")&gt;0," · +"&amp;COUNTIF($RK51:$RN51,"Mais Um")&amp;IF(COUNTIF($RK51:$RN51,"Mais Um")&gt;1," alvos"," alvo"),"")&amp;IF(COUNTIF($RK51:$RN51,"Rajada")&gt;0,IF($MS51=0," · 1 tiro"," · "&amp;(MAX(1,$MS51-1)+1)&amp;" tiros"),""),""))</f>
        <v/>
      </c>
      <c r="QK51" s="164">
        <f>IF($ND51=0,"",IF($MS51=0,$NG51&amp;"d6"&amp;IF($OU51&gt;0," − 1 = "&amp;$PD51&amp;"d6"," da básica do nível "&amp;$NE51),$PB51&amp;" − "&amp;$OW51&amp;" + "&amp;$OZ51&amp;" = "&amp;$PC51&amp;" · teto "&amp;4*$MS51&amp;"d8"&amp;IF($OF51=1," · a Forma devolve "&amp;$MS51,"")&amp;IF($PA51&gt;0," · perde "&amp;$PA51,"")))</f>
        <v/>
      </c>
      <c r="QL51" s="164">
        <f>IF($ND51=0,"",IF($MS51=0,"A básica não amplia: os dados dela sobem com o nível",IF($MS51&gt;=$NF51,"Já está na maior Classe que o nível liberou",TEXTJOIN(" · ",TRUE,IF(AND(2&gt;$MS51,2&lt;=$NF51),"2 → "&amp;$PN51&amp;", 6 PE",""),IF(AND(3&gt;$MS51,3&lt;=$NF51),"3 → "&amp;$PO51&amp;", 9 PE",""),IF(AND(4&gt;$MS51,4&lt;=$NF51),"4 → "&amp;$PP51&amp;", 12 PE",""),IF(AND(5&gt;$MS51,5&lt;=$NF51),"5 → "&amp;$PQ51&amp;", 15 PE",""),IF(AND(6&gt;$MS51,6&lt;=$NF51),"6 → "&amp;$PR51&amp;", 18 PE",""),IF(AND(7&gt;$MS51,7&lt;=$NF51),"7 → "&amp;$PS51&amp;", 21 PE","")))))</f>
        <v/>
      </c>
      <c r="QM51" s="164">
        <f>IF(OR($ND51=0,$NO51=0),"",IF($MS51=0,"−1 dado","−"&amp;INDEX($I$2:$N$8,MAX(1,$MS51),MAX(1,$NT51))&amp;" · "&amp;CHOOSE(MAX(1,$NT51),"Leve","Média","Pesada","Leve · Livre","Média · Livre","Pesada · Livre")))</f>
        <v/>
      </c>
      <c r="QN51" s="164">
        <f>IF(OR($ND51=0,$NP51=0),"",IF($MS51=0,"−1 dado","−"&amp;INDEX($I$2:$N$8,MAX(1,$MS51),MAX(1,$NU51))&amp;" · "&amp;CHOOSE(MAX(1,$NU51),"Leve","Média","Pesada","Leve · Livre","Média · Livre","Pesada · Livre")))</f>
        <v/>
      </c>
      <c r="QO51" s="164">
        <f>IF(OR($ND51=0,$NQ51=0),"",IF($MS51=0,"−1 dado","−"&amp;INDEX($I$2:$N$8,MAX(1,$MS51),MAX(1,$NV51))&amp;" · "&amp;CHOOSE(MAX(1,$NV51),"Leve","Média","Pesada","Leve · Livre","Média · Livre","Pesada · Livre")))</f>
        <v/>
      </c>
      <c r="QP51" s="164">
        <f>IF(OR($ND51=0,$NR51=0),"",IF($MS51=0,"−1 dado","−"&amp;INDEX($I$2:$N$8,MAX(1,$MS51),MAX(1,$NW51))&amp;" · "&amp;CHOOSE(MAX(1,$NW51),"Leve","Média","Pesada","Leve · Livre","Média · Livre","Pesada · Livre")))</f>
        <v/>
      </c>
      <c r="QQ51" s="164">
        <f>IF(OR($ND51=0,$NB51=""),"",IF($MS51=0,"não devolve","+"&amp;IF($OI51=1,CEILING($MS51/2,1),$MS51)))</f>
        <v/>
      </c>
      <c r="QR51" s="164">
        <f>IF(OR($ND51=0,$NC51=""),"",IF($MS51=0,"não devolve","+"&amp;IF($OJ51=1,CEILING($MS51/2,1),$MS51)))</f>
        <v/>
      </c>
      <c r="RK51">
        <f>IF($MX51="","",IFERROR(VLOOKUP(SUBSTITUTE(SUBSTITUTE(SUBSTITUTE($MX51,"~","~~"),"*","~*"),"?","~?"),'DADOS_MELHORIAS'!$O$2:$X$113,10,FALSE),$MX51))</f>
        <v/>
      </c>
      <c r="RL51">
        <f>IF($MY51="","",IFERROR(VLOOKUP(SUBSTITUTE(SUBSTITUTE(SUBSTITUTE($MY51,"~","~~"),"*","~*"),"?","~?"),'DADOS_MELHORIAS'!$O$2:$X$113,10,FALSE),$MY51))</f>
        <v/>
      </c>
      <c r="RM51">
        <f>IF($MZ51="","",IFERROR(VLOOKUP(SUBSTITUTE(SUBSTITUTE(SUBSTITUTE($MZ51,"~","~~"),"*","~*"),"?","~?"),'DADOS_MELHORIAS'!$O$2:$X$113,10,FALSE),$MZ51))</f>
        <v/>
      </c>
      <c r="RN51">
        <f>IF($NA51="","",IFERROR(VLOOKUP(SUBSTITUTE(SUBSTITUTE(SUBSTITUTE($NA51,"~","~~"),"*","~*"),"?","~?"),'DADOS_MELHORIAS'!$O$2:$X$113,10,FALSE),$NA51))</f>
        <v/>
      </c>
      <c r="RO51">
        <f>IFERROR(INDEX('DADOS_FORMAS'!$BJ$2:$BJ$21,MATCH(SUBSTITUTE(SUBSTITUTE(SUBSTITUTE($MU51,"~","~~"),"*","~*"),"?","~?"),'DADOS_FORMAS'!$AH$2:$AH$21,0)),"")</f>
        <v/>
      </c>
      <c r="RP51">
        <f>IFERROR(VLOOKUP(SUBSTITUTE(SUBSTITUTE(SUBSTITUTE(IFERROR(INDEX('DADOS_FORMAS'!$AS$2:$AS$21,MATCH(SUBSTITUTE(SUBSTITUTE(SUBSTITUTE($MU51,"~","~~"),"*","~*"),"?","~?"),'DADOS_FORMAS'!$AH$2:$AH$21,0)),""),"~","~~"),"*","~*"),"?","~?"),'DADOS_RESTRICOES'!$M$2:$Q$54,2,FALSE),"")</f>
        <v/>
      </c>
      <c r="RQ51">
        <f>$OK51</f>
        <v/>
      </c>
      <c r="RR51">
        <f>$OL51</f>
        <v/>
      </c>
      <c r="RS51">
        <f>$RP51</f>
        <v/>
      </c>
    </row>
    <row r="52">
      <c r="AV52" s="162" t="inlineStr">
        <is>
          <t>Queima</t>
        </is>
      </c>
      <c r="AW52" s="162" t="inlineStr">
        <is>
          <t>Castigo</t>
        </is>
      </c>
      <c r="AX52" s="164" t="n">
        <v>2</v>
      </c>
      <c r="AY52" s="164" t="n">
        <v>0</v>
      </c>
      <c r="AZ52" s="164" t="n">
        <v>0</v>
      </c>
      <c r="BA52" s="164" t="n">
        <v>0</v>
      </c>
      <c r="JT52" s="164">
        <f>IF(OR($AW52="",(COUNTIF($EL$2:$EP$2,$AW52)+COUNTIF($QV$2:$QY$2,$AW52))&gt;0),$AV52,"")</f>
        <v/>
      </c>
      <c r="JU52" s="164">
        <f>IF(AND($AX52=1,OR($AW52="",(COUNTIF($EL$2:$EP$2,$AW52)+COUNTIF($QV$2:$QY$2,$AW52))&gt;0)),$AV52,"")</f>
        <v/>
      </c>
      <c r="JZ52" s="164">
        <f>IF(OR($AW52="",(COUNTIF($EL$3:$EP$3,$AW52)+COUNTIF($QV$3:$QY$3,$AW52))&gt;0),$AV52,"")</f>
        <v/>
      </c>
      <c r="KA52" s="164">
        <f>IF(AND($AX52=1,OR($AW52="",(COUNTIF($EL$3:$EP$3,$AW52)+COUNTIF($QV$3:$QY$3,$AW52))&gt;0)),$AV52,"")</f>
        <v/>
      </c>
      <c r="KF52" s="164">
        <f>IF(OR($AW52="",(COUNTIF($EL$4:$EP$4,$AW52)+COUNTIF($QV$4:$QY$4,$AW52))&gt;0),$AV52,"")</f>
        <v/>
      </c>
      <c r="KG52" s="164">
        <f>IF(AND($AX52=1,OR($AW52="",(COUNTIF($EL$4:$EP$4,$AW52)+COUNTIF($QV$4:$QY$4,$AW52))&gt;0)),$AV52,"")</f>
        <v/>
      </c>
      <c r="KL52" s="164">
        <f>IF(OR($AW52="",(COUNTIF($EL$5:$EP$5,$AW52)+COUNTIF($QV$5:$QY$5,$AW52))&gt;0),$AV52,"")</f>
        <v/>
      </c>
      <c r="KM52" s="164">
        <f>IF(AND($AX52=1,OR($AW52="",(COUNTIF($EL$5:$EP$5,$AW52)+COUNTIF($QV$5:$QY$5,$AW52))&gt;0)),$AV52,"")</f>
        <v/>
      </c>
      <c r="KR52" s="164">
        <f>IF(OR($AW52="",(COUNTIF($EL$6:$EP$6,$AW52)+COUNTIF($QV$6:$QY$6,$AW52))&gt;0),$AV52,"")</f>
        <v/>
      </c>
      <c r="KS52" s="164">
        <f>IF(AND($AX52=1,OR($AW52="",(COUNTIF($EL$6:$EP$6,$AW52)+COUNTIF($QV$6:$QY$6,$AW52))&gt;0)),$AV52,"")</f>
        <v/>
      </c>
      <c r="KX52" s="164">
        <f>IF(OR($AW52="",(COUNTIF($EL$7:$EP$7,$AW52)+COUNTIF($QV$7:$QY$7,$AW52))&gt;0),$AV52,"")</f>
        <v/>
      </c>
      <c r="KY52" s="164">
        <f>IF(AND($AX52=1,OR($AW52="",(COUNTIF($EL$7:$EP$7,$AW52)+COUNTIF($QV$7:$QY$7,$AW52))&gt;0)),$AV52,"")</f>
        <v/>
      </c>
      <c r="LD52" s="164">
        <f>IF(OR($AW52="",(COUNTIF($EL$8:$EP$8,$AW52)+COUNTIF($QV$8:$QY$8,$AW52))&gt;0),$AV52,"")</f>
        <v/>
      </c>
      <c r="LE52" s="164">
        <f>IF(AND($AX52=1,OR($AW52="",(COUNTIF($EL$8:$EP$8,$AW52)+COUNTIF($QV$8:$QY$8,$AW52))&gt;0)),$AV52,"")</f>
        <v/>
      </c>
      <c r="LJ52" s="164">
        <f>IF(OR($AW52="",(COUNTIF($EL$9:$EP$9,$AW52)+COUNTIF($QV$9:$QY$9,$AW52))&gt;0),$AV52,"")</f>
        <v/>
      </c>
      <c r="LK52" s="164">
        <f>IF(AND($AX52=1,OR($AW52="",(COUNTIF($EL$9:$EP$9,$AW52)+COUNTIF($QV$9:$QY$9,$AW52))&gt;0)),$AV52,"")</f>
        <v/>
      </c>
      <c r="LP52" s="164">
        <f>IF(OR($AW52="",(COUNTIF($EL$10:$EP$10,$AW52)+COUNTIF($QV$10:$QY$10,$AW52))&gt;0),$AV52,"")</f>
        <v/>
      </c>
      <c r="LQ52" s="164">
        <f>IF(AND($AX52=1,OR($AW52="",(COUNTIF($EL$10:$EP$10,$AW52)+COUNTIF($QV$10:$QY$10,$AW52))&gt;0)),$AV52,"")</f>
        <v/>
      </c>
      <c r="LV52" s="164">
        <f>IF(OR($AW52="",(COUNTIF($EL$11:$EP$11,$AW52)+COUNTIF($QV$11:$QY$11,$AW52))&gt;0),$AV52,"")</f>
        <v/>
      </c>
      <c r="LW52" s="164">
        <f>IF(AND($AX52=1,OR($AW52="",(COUNTIF($EL$11:$EP$11,$AW52)+COUNTIF($QV$11:$QY$11,$AW52))&gt;0)),$AV52,"")</f>
        <v/>
      </c>
      <c r="MB52" s="164">
        <f>IF(OR($AW52="",(COUNTIF($EL$12:$EP$12,$AW52)+COUNTIF($QV$12:$QY$12,$AW52))&gt;0),$AV52,"")</f>
        <v/>
      </c>
      <c r="MC52" s="164">
        <f>IF(AND($AX52=1,OR($AW52="",(COUNTIF($EL$12:$EP$12,$AW52)+COUNTIF($QV$12:$QY$12,$AW52))&gt;0)),$AV52,"")</f>
        <v/>
      </c>
      <c r="MH52" s="164">
        <f>IF(OR($AW52="",(COUNTIF($EL$13:$EP$13,$AW52)+COUNTIF($QV$13:$QY$13,$AW52))&gt;0),$AV52,"")</f>
        <v/>
      </c>
      <c r="MI52" s="164">
        <f>IF(AND($AX52=1,OR($AW52="",(COUNTIF($EL$13:$EP$13,$AW52)+COUNTIF($QV$13:$QY$13,$AW52))&gt;0)),$AV52,"")</f>
        <v/>
      </c>
      <c r="MN52" s="162" t="inlineStr">
        <is>
          <t>Ficha 4 · Escolha da trilha 2</t>
        </is>
      </c>
      <c r="MO52" s="164" t="n">
        <v>4</v>
      </c>
      <c r="MP52" s="164" t="n">
        <v>2</v>
      </c>
      <c r="MQ52" s="164" t="n">
        <v>0</v>
      </c>
      <c r="MR52" s="162" t="inlineStr">
        <is>
          <t>ESCOLHA DA TRILHA 2</t>
        </is>
      </c>
      <c r="MS52" s="164">
        <f>MAX(0,MIN(7,N('INVOCAÇÕES'!$O$806)))</f>
        <v/>
      </c>
      <c r="MT52" s="164">
        <f>'INVOCAÇÕES'!$P$806&amp;""</f>
        <v/>
      </c>
      <c r="MU52" s="164">
        <f>'INVOCAÇÕES'!$O$811&amp;""</f>
        <v/>
      </c>
      <c r="MV52" s="164">
        <f>'INVOCAÇÕES'!$O$812&amp;""</f>
        <v/>
      </c>
      <c r="MW52" s="164">
        <f>'INVOCAÇÕES'!$Q$812&amp;""</f>
        <v/>
      </c>
      <c r="MX52" s="164">
        <f>'INVOCAÇÕES'!$P$815&amp;""</f>
        <v/>
      </c>
      <c r="MY52" s="164">
        <f>'INVOCAÇÕES'!$P$816&amp;""</f>
        <v/>
      </c>
      <c r="MZ52" s="164">
        <f>'INVOCAÇÕES'!$P$817&amp;""</f>
        <v/>
      </c>
      <c r="NA52" s="164">
        <f>'INVOCAÇÕES'!$P$818&amp;""</f>
        <v/>
      </c>
      <c r="NB52" s="164">
        <f>'INVOCAÇÕES'!$P$819&amp;""</f>
        <v/>
      </c>
      <c r="NC52" s="164">
        <f>'INVOCAÇÕES'!$P$820&amp;""</f>
        <v/>
      </c>
      <c r="ND52" s="164">
        <f>IF($MT52&lt;&gt;"",1,0)</f>
        <v/>
      </c>
      <c r="NE52" s="164">
        <f>INDEX($FO$2:$FO$13,$MO52)</f>
        <v/>
      </c>
      <c r="NF52" s="164">
        <f>INDEX($FP$2:$FP$13,$MO52)</f>
        <v/>
      </c>
      <c r="NG52" s="164">
        <f>INDEX($FQ$2:$FQ$13,$MO52)</f>
        <v/>
      </c>
      <c r="NH52" s="164">
        <f>INDEX($GB$2:$GB$13,$MO52)</f>
        <v/>
      </c>
      <c r="NI52" s="164">
        <f>INDEX($GC$2:$GC$13,$MO52)</f>
        <v/>
      </c>
      <c r="NJ52" s="164">
        <f>IFERROR(MATCH(SUBSTITUTE(SUBSTITUTE(SUBSTITUTE($MU52,"~","~~"),"*","~*"),"?","~?"),'DADOS_FORMAS'!$FZ$2:$FZ$21,0),0)</f>
        <v/>
      </c>
      <c r="NK52" s="164">
        <f>IFERROR(VLOOKUP(SUBSTITUTE(SUBSTITUTE(SUBSTITUTE($MX52,"~","~~"),"*","~*"),"?","~?"),'DADOS_MELHORIAS'!$AG$2:$AL$113,2,FALSE),"")</f>
        <v/>
      </c>
      <c r="NL52" s="164">
        <f>IFERROR(VLOOKUP(SUBSTITUTE(SUBSTITUTE(SUBSTITUTE($MY52,"~","~~"),"*","~*"),"?","~?"),'DADOS_MELHORIAS'!$AG$2:$AL$113,2,FALSE),"")</f>
        <v/>
      </c>
      <c r="NM52" s="164">
        <f>IFERROR(VLOOKUP(SUBSTITUTE(SUBSTITUTE(SUBSTITUTE($MZ52,"~","~~"),"*","~*"),"?","~?"),'DADOS_MELHORIAS'!$AG$2:$AL$113,2,FALSE),"")</f>
        <v/>
      </c>
      <c r="NN52" s="164">
        <f>IFERROR(VLOOKUP(SUBSTITUTE(SUBSTITUTE(SUBSTITUTE($NA52,"~","~~"),"*","~*"),"?","~?"),'DADOS_MELHORIAS'!$AG$2:$AL$113,2,FALSE),"")</f>
        <v/>
      </c>
      <c r="NO52" s="164">
        <f>IFERROR(VLOOKUP(SUBSTITUTE(SUBSTITUTE(SUBSTITUTE($MX52,"~","~~"),"*","~*"),"?","~?"),'DADOS_MELHORIAS'!$AG$2:$AL$113,3,FALSE),0)</f>
        <v/>
      </c>
      <c r="NP52" s="164">
        <f>IFERROR(VLOOKUP(SUBSTITUTE(SUBSTITUTE(SUBSTITUTE($MY52,"~","~~"),"*","~*"),"?","~?"),'DADOS_MELHORIAS'!$AG$2:$AL$113,3,FALSE),0)</f>
        <v/>
      </c>
      <c r="NQ52" s="164">
        <f>IFERROR(VLOOKUP(SUBSTITUTE(SUBSTITUTE(SUBSTITUTE($MZ52,"~","~~"),"*","~*"),"?","~?"),'DADOS_MELHORIAS'!$AG$2:$AL$113,3,FALSE),0)</f>
        <v/>
      </c>
      <c r="NR52" s="164">
        <f>IFERROR(VLOOKUP(SUBSTITUTE(SUBSTITUTE(SUBSTITUTE($NA52,"~","~~"),"*","~*"),"?","~?"),'DADOS_MELHORIAS'!$AG$2:$AL$113,3,FALSE),0)</f>
        <v/>
      </c>
      <c r="NS52" s="164">
        <f>IF($MS52=0,0,IF($NJ52=0,0,INDEX('DADOS_FORMAS'!$GB$2:$GB$21,$NJ52)))</f>
        <v/>
      </c>
      <c r="NT52" s="164">
        <f>IF(OR($NO52=0,$MS52=0),0,$NO52+3*IF(AND($NK52&lt;&gt;"",COUNTIF(INDEX($RB$2:$RJ$13,$MO52,0),$NK52)&gt;0),1,0))</f>
        <v/>
      </c>
      <c r="NU52" s="164">
        <f>IF(OR($NP52=0,$MS52=0),0,$NP52+3*IF(AND($NL52&lt;&gt;"",COUNTIF(INDEX($RB$2:$RJ$13,$MO52,0),$NL52)&gt;0),1,0))</f>
        <v/>
      </c>
      <c r="NV52" s="164">
        <f>IF(OR($NQ52=0,$MS52=0),0,$NQ52+3*IF(AND($NM52&lt;&gt;"",COUNTIF(INDEX($RB$2:$RJ$13,$MO52,0),$NM52)&gt;0),1,0))</f>
        <v/>
      </c>
      <c r="NW52" s="164">
        <f>IF(OR($NR52=0,$MS52=0),0,$NR52+3*IF(AND($NN52&lt;&gt;"",COUNTIF(INDEX($RB$2:$RJ$13,$MO52,0),$NN52)&gt;0),1,0))</f>
        <v/>
      </c>
      <c r="NX52" s="164">
        <f>IF($NJ52=0,0,IF(INDEX('DADOS_FORMAS'!$GA$2:$GA$21,$NJ52)="",0,IF((COUNTIF(INDEX($EL$2:$EP$13,$MO52,0),INDEX('DADOS_FORMAS'!$GA$2:$GA$21,$NJ52))+COUNTIF(INDEX($QV$2:$QY$13,$MO52,0),INDEX('DADOS_FORMAS'!$GA$2:$GA$21,$NJ52)))=0,1,0)))</f>
        <v/>
      </c>
      <c r="NY52" s="164">
        <f>IF(OR($NO52=0,$NK52=""),0,IF((COUNTIF(INDEX($EL$2:$EP$13,$MO52,0),$NK52)+COUNTIF(INDEX($QV$2:$QY$13,$MO52,0),$NK52))=0,1,0))</f>
        <v/>
      </c>
      <c r="NZ52" s="164">
        <f>IF(OR($NP52=0,$NL52=""),0,IF((COUNTIF(INDEX($EL$2:$EP$13,$MO52,0),$NL52)+COUNTIF(INDEX($QV$2:$QY$13,$MO52,0),$NL52))=0,1,0))</f>
        <v/>
      </c>
      <c r="OA52" s="164">
        <f>IF(OR($NQ52=0,$NM52=""),0,IF((COUNTIF(INDEX($EL$2:$EP$13,$MO52,0),$NM52)+COUNTIF(INDEX($QV$2:$QY$13,$MO52,0),$NM52))=0,1,0))</f>
        <v/>
      </c>
      <c r="OB52" s="164">
        <f>IF(OR($NR52=0,$NN52=""),0,IF((COUNTIF(INDEX($EL$2:$EP$13,$MO52,0),$NN52)+COUNTIF(INDEX($QV$2:$QY$13,$MO52,0),$NN52))=0,1,0))</f>
        <v/>
      </c>
      <c r="OC52" s="164">
        <f>IFERROR(VLOOKUP(SUBSTITUTE(SUBSTITUTE(SUBSTITUTE($MX52,"~","~~"),"*","~*"),"?","~?"),'DADOS_MELHORIAS'!$AG$2:$AL$113,4,FALSE),0)+IFERROR(VLOOKUP(SUBSTITUTE(SUBSTITUTE(SUBSTITUTE($MY52,"~","~~"),"*","~*"),"?","~?"),'DADOS_MELHORIAS'!$AG$2:$AL$113,4,FALSE),0)+IFERROR(VLOOKUP(SUBSTITUTE(SUBSTITUTE(SUBSTITUTE($MZ52,"~","~~"),"*","~*"),"?","~?"),'DADOS_MELHORIAS'!$AG$2:$AL$113,4,FALSE),0)+IFERROR(VLOOKUP(SUBSTITUTE(SUBSTITUTE(SUBSTITUTE($NA52,"~","~~"),"*","~*"),"?","~?"),'DADOS_MELHORIAS'!$AG$2:$AL$113,4,FALSE),0)</f>
        <v/>
      </c>
      <c r="OD52" s="164">
        <f>IFERROR(VLOOKUP(SUBSTITUTE(SUBSTITUTE(SUBSTITUTE($MX52,"~","~~"),"*","~*"),"?","~?"),'DADOS_MELHORIAS'!$AG$2:$AL$113,6,FALSE),0)+IFERROR(VLOOKUP(SUBSTITUTE(SUBSTITUTE(SUBSTITUTE($MY52,"~","~~"),"*","~*"),"?","~?"),'DADOS_MELHORIAS'!$AG$2:$AL$113,6,FALSE),0)+IFERROR(VLOOKUP(SUBSTITUTE(SUBSTITUTE(SUBSTITUTE($MZ52,"~","~~"),"*","~*"),"?","~?"),'DADOS_MELHORIAS'!$AG$2:$AL$113,6,FALSE),0)+IFERROR(VLOOKUP(SUBSTITUTE(SUBSTITUTE(SUBSTITUTE($NA52,"~","~~"),"*","~*"),"?","~?"),'DADOS_MELHORIAS'!$AG$2:$AL$113,6,FALSE),0)+IFERROR(N(AND(INDEX('DADOS_FORMAS'!$AO$2:$AO$21,MATCH(SUBSTITUTE(SUBSTITUTE(SUBSTITUTE($MU52,"~","~~"),"*","~*"),"?","~?"),'DADOS_FORMAS'!$AH$2:$AH$21,0))="Acerto",$OH52=1)),0)</f>
        <v/>
      </c>
      <c r="OE52" s="164">
        <f>TEXTJOIN(", ",TRUE,IF(IFERROR(VLOOKUP(SUBSTITUTE(SUBSTITUTE(SUBSTITUTE($MX52,"~","~~"),"*","~*"),"?","~?"),'DADOS_MELHORIAS'!$AG$2:$AL$113,5,FALSE),0)=1,$MX52,""),IF(IFERROR(VLOOKUP(SUBSTITUTE(SUBSTITUTE(SUBSTITUTE($MY52,"~","~~"),"*","~*"),"?","~?"),'DADOS_MELHORIAS'!$AG$2:$AL$113,5,FALSE),0)=1,$MY52,""),IF(IFERROR(VLOOKUP(SUBSTITUTE(SUBSTITUTE(SUBSTITUTE($MZ52,"~","~~"),"*","~*"),"?","~?"),'DADOS_MELHORIAS'!$AG$2:$AL$113,5,FALSE),0)=1,$MZ52,""),IF(IFERROR(VLOOKUP(SUBSTITUTE(SUBSTITUTE(SUBSTITUTE($NA52,"~","~~"),"*","~*"),"?","~?"),'DADOS_MELHORIAS'!$AG$2:$AL$113,5,FALSE),0)=1,$NA52,""))</f>
        <v/>
      </c>
      <c r="OF52" s="164">
        <f>IF($NJ52=0,0,INDEX('DADOS_FORMAS'!$GC$2:$GC$21,$NJ52))</f>
        <v/>
      </c>
      <c r="OG52" s="164">
        <f>IF($NJ52=0,0,INDEX('DADOS_FORMAS'!$GD$2:$GD$21,$NJ52))</f>
        <v/>
      </c>
      <c r="OH52" s="164">
        <f>IF($NJ52=0,0,INDEX('DADOS_FORMAS'!$GF$2:$GF$21,$NJ52))</f>
        <v/>
      </c>
      <c r="OI52" s="164">
        <f>IFERROR(VLOOKUP(SUBSTITUTE(SUBSTITUTE(SUBSTITUTE($NB52,"~","~~"),"*","~*"),"?","~?"),'DADOS_RESTRICOES'!$M$2:$Q$54,3,FALSE),0)</f>
        <v/>
      </c>
      <c r="OJ52" s="164">
        <f>IFERROR(VLOOKUP(SUBSTITUTE(SUBSTITUTE(SUBSTITUTE($NC52,"~","~~"),"*","~*"),"?","~?"),'DADOS_RESTRICOES'!$M$2:$Q$54,3,FALSE),0)</f>
        <v/>
      </c>
      <c r="OK52" s="164">
        <f>IFERROR(VLOOKUP(SUBSTITUTE(SUBSTITUTE(SUBSTITUTE($NB52,"~","~~"),"*","~*"),"?","~?"),'DADOS_RESTRICOES'!$M$2:$Q$54,2,FALSE),"")</f>
        <v/>
      </c>
      <c r="OL52" s="164">
        <f>IFERROR(VLOOKUP(SUBSTITUTE(SUBSTITUTE(SUBSTITUTE($NC52,"~","~~"),"*","~*"),"?","~?"),'DADOS_RESTRICOES'!$M$2:$Q$54,2,FALSE),"")</f>
        <v/>
      </c>
      <c r="OM52" s="164">
        <f>COUNTIF($NS52:$NW52,1)</f>
        <v/>
      </c>
      <c r="ON52" s="164">
        <f>COUNTIF($NS52:$NW52,2)</f>
        <v/>
      </c>
      <c r="OO52" s="164">
        <f>COUNTIF($NS52:$NW52,3)</f>
        <v/>
      </c>
      <c r="OP52" s="164">
        <f>COUNTIF($NS52:$NW52,4)</f>
        <v/>
      </c>
      <c r="OQ52" s="164">
        <f>COUNTIF($NS52:$NW52,5)</f>
        <v/>
      </c>
      <c r="OR52" s="164">
        <f>COUNTIF($NS52:$NW52,6)</f>
        <v/>
      </c>
      <c r="OS52" s="164">
        <f>COUNTIF($OI52:$OJ52,1)+IF(IFERROR(INDEX('DADOS_FORMAS'!$AS$2:$AS$21,MATCH(SUBSTITUTE(SUBSTITUTE(SUBSTITUTE($MU52,"~","~~"),"*","~*"),"?","~?"),'DADOS_FORMAS'!$AH$2:$AH$21,0)),"")="",0,IFERROR(N(VLOOKUP(SUBSTITUTE(SUBSTITUTE(SUBSTITUTE(IFERROR(INDEX('DADOS_FORMAS'!$AS$2:$AS$21,MATCH(SUBSTITUTE(SUBSTITUTE(SUBSTITUTE($MU52,"~","~~"),"*","~*"),"?","~?"),'DADOS_FORMAS'!$AH$2:$AH$21,0)),""),"~","~~"),"*","~*"),"?","~?"),'DADOS_RESTRICOES'!$M$2:$Q$54,3,FALSE)=1),0))</f>
        <v/>
      </c>
      <c r="OT52" s="164">
        <f>COUNTIF($OI52:$OJ52,2)+IF(IFERROR(INDEX('DADOS_FORMAS'!$AS$2:$AS$21,MATCH(SUBSTITUTE(SUBSTITUTE(SUBSTITUTE($MU52,"~","~~"),"*","~*"),"?","~?"),'DADOS_FORMAS'!$AH$2:$AH$21,0)),"")="",0,IFERROR(N(VLOOKUP(SUBSTITUTE(SUBSTITUTE(SUBSTITUTE(IFERROR(INDEX('DADOS_FORMAS'!$AS$2:$AS$21,MATCH(SUBSTITUTE(SUBSTITUTE(SUBSTITUTE($MU52,"~","~~"),"*","~*"),"?","~?"),'DADOS_FORMAS'!$AH$2:$AH$21,0)),""),"~","~~"),"*","~*"),"?","~?"),'DADOS_RESTRICOES'!$M$2:$Q$54,3,FALSE)=2),0))</f>
        <v/>
      </c>
      <c r="OU52" s="164">
        <f>COUNTIF($MX52:$NA52,"?*")</f>
        <v/>
      </c>
      <c r="OV52" s="164">
        <f>COUNTIF($NB52:$NC52,"?*")+$OF52</f>
        <v/>
      </c>
      <c r="OW52" s="164">
        <f>IF($MS52=0,0,SUMPRODUCT($OM52:$OR52,INDEX($I$2:$N$8,MAX(1,$MS52),0)))</f>
        <v/>
      </c>
      <c r="OX52" s="164">
        <f>IF($MS52=0,0,$OS52*CEILING($MS52/2,1)+$OT52*$MS52)</f>
        <v/>
      </c>
      <c r="OY52" s="164">
        <f>MIN(2*$MS52,$OX52)</f>
        <v/>
      </c>
      <c r="OZ52" s="164">
        <f>MIN($OY52,$OW52-IF($NS52=0,0,INDEX($I$2:$N$8,MAX(1,$MS52),$NS52)))</f>
        <v/>
      </c>
      <c r="PA52" s="164">
        <f>$OY52-$OZ52</f>
        <v/>
      </c>
      <c r="PB52" s="164">
        <f>IF($MS52=0,0,INDEX($P$2:$P$8,MAX(1,$MS52)))</f>
        <v/>
      </c>
      <c r="PC52" s="164">
        <f>$PB52-$OW52+$OZ52</f>
        <v/>
      </c>
      <c r="PD52" s="164">
        <f>IF($MS52=0,MAX(0,$NG52-IF(AND($OU52&gt;0,COUNTIF($NB52:$NC52,"?*")=0),1,0)),MAX(0,$PC52))</f>
        <v/>
      </c>
      <c r="PE52" s="164">
        <f>IF($MS52=0,0,(IF(COUNTIF($RK52:$RN52,"Salto")&gt;0,1,0)+IF(COUNTIF($RK52:$RN52,"Queima")&gt;0,1,0)+IF(COUNTIF($RK52:$RN52,"Estilhaço")&gt;0,1,0))*FLOOR($PD52/2,1))</f>
        <v/>
      </c>
      <c r="PF52" s="164">
        <f>MAX(0,2-SUMPRODUCT($OM52:$OR52,$I$2:$N$2)+MIN(2,$OS52*1+$OT52*1,SUMPRODUCT($OM52:$OR52,$I$2:$N$2)-IF($NS52=0,0,INDEX($I$2:$N$2,1,$NS52))))</f>
        <v/>
      </c>
      <c r="PG52" s="164">
        <f>MAX(0,4-SUMPRODUCT($OM52:$OR52,$I$3:$N$3)+MIN(4,$OS52*1+$OT52*2,SUMPRODUCT($OM52:$OR52,$I$3:$N$3)-IF($NS52=0,0,INDEX($I$3:$N$3,1,$NS52))))</f>
        <v/>
      </c>
      <c r="PH52" s="164">
        <f>MAX(0,6-SUMPRODUCT($OM52:$OR52,$I$4:$N$4)+MIN(6,$OS52*2+$OT52*3,SUMPRODUCT($OM52:$OR52,$I$4:$N$4)-IF($NS52=0,0,INDEX($I$4:$N$4,1,$NS52))))</f>
        <v/>
      </c>
      <c r="PI52" s="164">
        <f>MAX(0,9-SUMPRODUCT($OM52:$OR52,$I$5:$N$5)+MIN(8,$OS52*2+$OT52*4,SUMPRODUCT($OM52:$OR52,$I$5:$N$5)-IF($NS52=0,0,INDEX($I$5:$N$5,1,$NS52))))</f>
        <v/>
      </c>
      <c r="PJ52" s="164">
        <f>MAX(0,11-SUMPRODUCT($OM52:$OR52,$I$6:$N$6)+MIN(10,$OS52*3+$OT52*5,SUMPRODUCT($OM52:$OR52,$I$6:$N$6)-IF($NS52=0,0,INDEX($I$6:$N$6,1,$NS52))))</f>
        <v/>
      </c>
      <c r="PK52" s="164">
        <f>MAX(0,13-SUMPRODUCT($OM52:$OR52,$I$7:$N$7)+MIN(12,$OS52*3+$OT52*6,SUMPRODUCT($OM52:$OR52,$I$7:$N$7)-IF($NS52=0,0,INDEX($I$7:$N$7,1,$NS52))))</f>
        <v/>
      </c>
      <c r="PL52" s="164">
        <f>MAX(0,16-SUMPRODUCT($OM52:$OR52,$I$8:$N$8)+MIN(14,$OS52*4+$OT52*7,SUMPRODUCT($OM52:$OR52,$I$8:$N$8)-IF($NS52=0,0,INDEX($I$8:$N$8,1,$NS52))))</f>
        <v/>
      </c>
      <c r="PM52" s="164">
        <f>IF($OG52=2,3*$PF52&amp;" de vida temp.",IF($OG52=3,"sem dano",IF($PF52=0,IF($OG52=1,"sem cura","sem dano"),IF($OG52=1,"cura ","")&amp;$PF52&amp;"d8")))</f>
        <v/>
      </c>
      <c r="PN52" s="164">
        <f>IF($OG52=2,3*$PG52&amp;" de vida temp.",IF($OG52=3,"sem dano",IF($PG52=0,IF($OG52=1,"sem cura","sem dano"),IF($OG52=1,"cura ","")&amp;$PG52&amp;"d8")))</f>
        <v/>
      </c>
      <c r="PO52" s="164">
        <f>IF($OG52=2,3*$PH52&amp;" de vida temp.",IF($OG52=3,"sem dano",IF($PH52=0,IF($OG52=1,"sem cura","sem dano"),IF($OG52=1,"cura ","")&amp;$PH52&amp;"d8")))</f>
        <v/>
      </c>
      <c r="PP52" s="164">
        <f>IF($OG52=2,3*$PI52&amp;" de vida temp.",IF($OG52=3,"sem dano",IF($PI52=0,IF($OG52=1,"sem cura","sem dano"),IF($OG52=1,"cura ","")&amp;$PI52&amp;"d8")))</f>
        <v/>
      </c>
      <c r="PQ52" s="164">
        <f>IF($OG52=2,3*$PJ52&amp;" de vida temp.",IF($OG52=3,"sem dano",IF($PJ52=0,IF($OG52=1,"sem cura","sem dano"),IF($OG52=1,"cura ","")&amp;$PJ52&amp;"d8")))</f>
        <v/>
      </c>
      <c r="PR52" s="164">
        <f>IF($OG52=2,3*$PK52&amp;" de vida temp.",IF($OG52=3,"sem dano",IF($PK52=0,IF($OG52=1,"sem cura","sem dano"),IF($OG52=1,"cura ","")&amp;$PK52&amp;"d8")))</f>
        <v/>
      </c>
      <c r="PS52" s="164">
        <f>IF($OG52=2,3*$PL52&amp;" de vida temp.",IF($OG52=3,"sem dano",IF($PL52=0,IF($OG52=1,"sem cura","sem dano"),IF($OG52=1,"cura ","")&amp;$PL52&amp;"d8")))</f>
        <v/>
      </c>
      <c r="PT52" s="164">
        <f>IF($ND52=0,"",TEXTJOIN(" · ",TRUE,IF($ND52=0,"",TEXTJOIN(" · ",TRUE,IF($ND52=0,"",TEXTJOIN(" · ",TRUE,IF($MQ52&gt;$NE52,"Este lugar abre no nível "&amp;$MQ52,""),IF($MS52&gt;$NF52,"Classe "&amp;$MS52&amp;": o nível "&amp;$NE52&amp;" libera até a "&amp;$NF52,""),IF($NX52=1,"A Forma "&amp;$MU52&amp;" pede "&amp;INDEX('DADOS_FORMAS'!$GA$2:$GA$21,$NJ52)&amp;" aberta",""),IF(AND($MS52=0,$NJ52&gt;0,IF($NJ52=0,0,INDEX('DADOS_FORMAS'!$GJ$2:$GJ$21,$NJ52))=0),$MU52&amp;" não existe na Classe 0",""),IF($NY52=1,"Família Fechada: "&amp;$MX52,""),IF($NZ52=1,"Família Fechada: "&amp;$MY52,""),IF($OA52=1,"Família Fechada: "&amp;$MZ52,""),IF($OB52=1,"Família Fechada: "&amp;$NA52,""),IF(AND($MS52&gt;0,$OU52&gt;INDEX($O$2:$O$8,MAX(1,$MS52))),$OU52&amp;" Melhorias: a Classe "&amp;$MS52&amp;" aceita "&amp;INDEX($O$2:$O$8,MAX(1,$MS52)),""),IF(AND($MS52=0,$OU52&gt;1),"A básica aceita uma Melhoria",""),IF(AND($MS52=0,COUNTIF($NO52:$NR52,"&gt;1")&gt;0),"A básica só aceita Melhoria Leve",""),IF(AND($MS52&gt;0,$OV52&gt;2),$OV52&amp;" Restrições"&amp;IF($OF52=1,", contando a que a Forma "&amp;$MU52&amp;" já traz","")&amp;": o limite é 2",""),IF(AND($MS52=0,COUNTIF($NB52:$NC52,"?*")&gt;1),"A básica aceita uma Restrição Leve",""),IF(AND($MS52=0,COUNTIF($OI52:$OJ52,2)&gt;0),"A básica só aceita Restrição Leve",""),IF(AND($MS52&gt;0,$PC52&lt;0),"Orçamento estourado: faltam "&amp;(-$PC52)&amp;IF($PC52&lt;-1," pontos"," ponto"),""),IF(IFERROR(VLOOKUP(SUBSTITUTE(SUBSTITUTE(SUBSTITUTE($NB52,"~","~~"),"*","~*"),"?","~?"),'DADOS_RESTRICOES'!$M$2:$Q$54,4,FALSE),0)+IFERROR(VLOOKUP(SUBSTITUTE(SUBSTITUTE(SUBSTITUTE($NC52,"~","~~"),"*","~*"),"?","~?"),'DADOS_RESTRICOES'!$M$2:$Q$54,4,FALSE),0)&gt;1,$OK52&amp;" e "&amp;$OL52&amp;" são as duas de frequência",""),IF(AND((COUNTIF($RK52:$RN52,"Rápido")+COUNTIF($OK52:$OL52,"Rápido"))&gt;0,(COUNTIF($MX52:$NA52,"Atrasar")+COUNTIF($OK52:$OL52,"Atrasar"))&gt;0),"Rápido não entra com Atrasar",""),IF(AND((COUNTIF($RK52:$RN52,"Reação")+COUNTIF($OK52:$OL52,"Reação"))&gt;0,(COUNTIF($RK52:$RN52,"Rápido")+COUNTIF($OK52:$OL52,"Rápido"))&gt;0),"Reação não entra com Rápido",""),IF(AND((COUNTIF($RK52:$RN52,"Reação")+COUNTIF($OK52:$OL52,"Reação"))&gt;0,(COUNTIF($RK52:$RN52,"Armado")+COUNTIF($OK52:$OL52,"Armado"))&gt;0),"Reação não entra com Armado",""),IF(AND((COUNTIF($RK52:$RN52,"Reação")+COUNTIF($OK52:$OL52,"Reação"))&gt;0,(COUNTIF($MX52:$NA52,"Atrasar")+COUNTIF($OK52:$OL52,"Atrasar"))&gt;0),"Reação não entra com Atrasar",""),IF(AND((COUNTIF($RK52:$RN52,"Reação")+COUNTIF($OK52:$OL52,"Reação"))&gt;0,(COUNTIF($MX52:$NA52,"Parado")+COUNTIF($OK52:$OL52,"Parado"))&gt;0),"Reação não entra com Parado",""),IF(AND((COUNTIF($MX52:$NA52,"Atrasar")+COUNTIF($OK52:$OL52,"Atrasar"))&gt;0,(COUNTIF($MX52:$NA52,"Parado")+COUNTIF($OK52:$OL52,"Parado"))&gt;0),"Atrasar não entra com Parado",""),IF(AND((COUNTIF($RK52:$RN52,"Armado")+COUNTIF($OK52:$OL52,"Armado"))&gt;0,(COUNTIF($MX52:$NA52,"Carregar")+COUNTIF($OK52:$OL52,"Carregar"))&gt;0),"Armado não entra com Carregar",""),IF(AND(COUNTIF($OK52:$OL52,"Corpo a Corpo")&gt;0,$OF52=0,OR($RO52="Cone",$RO52="Linha")),"Corpo a Corpo não entra em "&amp;$MU52,""),IF(AND(COUNTIF($OK52:$OL52,"Corpo a Corpo")&gt;0,$RP52="Corpo a Corpo"),"A Forma "&amp;$MU52&amp;" já traz o Corpo a Corpo",""),IF(AND(COUNTIF($OK52:$OL52,"Tudo ou Nada")&gt;0,$OH52=0),"Tudo ou Nada só entra em habilidade de Teste de Resistência",""),IF(AND(COUNTIF($RK52:$RN52,"Inescapável")&gt;0,OR($OU52&gt;1,$OV52&gt;0)),"Inescapável não aceita outra peça",""),IF(AND($MS52&gt;0,$PD52*IF(COUNTIF($RK52:$RN52,"Remate")&gt;0,1.25,1)+$PE52&gt;4*$MS52),($PD52*IF(COUNTIF($RK52:$RN52,"Remate")&gt;0,1.25,1)+$PE52)&amp;" dados somando repetições"&amp;IF(COUNTIF($RK52:$RN52,"Remate")&gt;0," e o Remate","")&amp;": o teto da Classe "&amp;$MS52&amp;" é "&amp;4*$MS52,""))),IF(AND($MX52&lt;&gt;"",COUNTIF('DADOS_MELHORIAS'!$O$2:$O$113,SUBSTITUTE(SUBSTITUTE(SUBSTITUTE($MX52,"~","~~"),"*","~*"),"?","~?"))=0),"Melhoria não cadastrada ou com erro: "&amp;$MX52,""),IF(AND($MY52&lt;&gt;"",COUNTIF('DADOS_MELHORIAS'!$O$2:$O$113,SUBSTITUTE(SUBSTITUTE(SUBSTITUTE($MY52,"~","~~"),"*","~*"),"?","~?"))=0),"Melhoria não cadastrada ou com erro: "&amp;$MY52,""),IF(AND($MZ52&lt;&gt;"",COUNTIF('DADOS_MELHORIAS'!$O$2:$O$113,SUBSTITUTE(SUBSTITUTE(SUBSTITUTE($MZ52,"~","~~"),"*","~*"),"?","~?"))=0),"Melhoria não cadastrada ou com erro: "&amp;$MZ52,""),IF(AND($NA52&lt;&gt;"",COUNTIF('DADOS_MELHORIAS'!$O$2:$O$113,SUBSTITUTE(SUBSTITUTE(SUBSTITUTE($NA52,"~","~~"),"*","~*"),"?","~?"))=0),"Melhoria não cadastrada ou com erro: "&amp;$NA52,""),IF(AND($NB52&lt;&gt;"",COUNTIF('DADOS_RESTRICOES'!$M$2:$M$54,SUBSTITUTE(SUBSTITUTE(SUBSTITUTE($NB52,"~","~~"),"*","~*"),"?","~?"))=0),"Restrição não cadastrada ou com erro: "&amp;$NB52,""),IF(AND($NC52&lt;&gt;"",COUNTIF('DADOS_RESTRICOES'!$M$2:$M$54,SUBSTITUTE(SUBSTITUTE(SUBSTITUTE($NC52,"~","~~"),"*","~*"),"?","~?"))=0),"Restrição não cadastrada ou com erro: "&amp;$NC52,""))),IF(AND($MU52&lt;&gt;"",COUNTIF('DADOS_FORMAS'!$AH$2:$AH$21,SUBSTITUTE(SUBSTITUTE(SUBSTITUTE($MU52,"~","~~"),"*","~*"),"?","~?"))=0),"Forma não cadastrada ou com erro: "&amp;$MU52,""),IF(AND(IFERROR(INDEX('DADOS_FORMAS'!$AS$2:$AS$21,MATCH(SUBSTITUTE(SUBSTITUTE(SUBSTITUTE($MU52,"~","~~"),"*","~*"),"?","~?"),'DADOS_FORMAS'!$AH$2:$AH$21,0)),"")&lt;&gt;"",OR(IFERROR(VLOOKUP(SUBSTITUTE(SUBSTITUTE(SUBSTITUTE(IFERROR(INDEX('DADOS_FORMAS'!$AS$2:$AS$21,MATCH(SUBSTITUTE(SUBSTITUTE(SUBSTITUTE($MU52,"~","~~"),"*","~*"),"?","~?"),'DADOS_FORMAS'!$AH$2:$AH$21,0)),""),"~","~~"),"*","~*"),"?","~?"),'DADOS_RESTRICOES'!$M$2:$Q$54,2,FALSE),"")=$OK52,IFERROR(VLOOKUP(SUBSTITUTE(SUBSTITUTE(SUBSTITUTE(IFERROR(INDEX('DADOS_FORMAS'!$AS$2:$AS$21,MATCH(SUBSTITUTE(SUBSTITUTE(SUBSTITUTE($MU52,"~","~~"),"*","~*"),"?","~?"),'DADOS_FORMAS'!$AH$2:$AH$21,0)),""),"~","~~"),"*","~*"),"?","~?"),'DADOS_RESTRICOES'!$M$2:$Q$54,2,FALSE),"")=$OL52)),"Restrição repetida, contando a embutida",""),IF(IF(IFERROR(INDEX('DADOS_FORMAS'!$AS$2:$AS$21,MATCH(SUBSTITUTE(SUBSTITUTE(SUBSTITUTE($MU52,"~","~~"),"*","~*"),"?","~?"),'DADOS_FORMAS'!$AH$2:$AH$21,0)),"")="",0,IFERROR(N(VLOOKUP(SUBSTITUTE(SUBSTITUTE(SUBSTITUTE(IFERROR(INDEX('DADOS_FORMAS'!$AS$2:$AS$21,MATCH(SUBSTITUTE(SUBSTITUTE(SUBSTITUTE($MU52,"~","~~"),"*","~*"),"?","~?"),'DADOS_FORMAS'!$AH$2:$AH$21,0)),""),"~","~~"),"*","~*"),"?","~?"),'DADOS_RESTRICOES'!$M$2:$Q$54,4,FALSE)=1),0))+IF($NB52="",0,IFERROR(N(VLOOKUP(SUBSTITUTE(SUBSTITUTE(SUBSTITUTE($NB52,"~","~~"),"*","~*"),"?","~?"),'DADOS_RESTRICOES'!$M$2:$Q$54,4,FALSE)=1),0))+IF($NC52="",0,IFERROR(N(VLOOKUP(SUBSTITUTE(SUBSTITUTE(SUBSTITUTE($NC52,"~","~~"),"*","~*"),"?","~?"),'DADOS_RESTRICOES'!$M$2:$Q$54,4,FALSE)=1),0))&gt;1,"Duas Restrições de frequência, contando a embutida",""),IF(AND(IFERROR(VLOOKUP(SUBSTITUTE(SUBSTITUTE(SUBSTITUTE(IFERROR(INDEX('DADOS_FORMAS'!$AS$2:$AS$21,MATCH(SUBSTITUTE(SUBSTITUTE(SUBSTITUTE($MU52,"~","~~"),"*","~*"),"?","~?"),'DADOS_FORMAS'!$AH$2:$AH$21,0)),""),"~","~~"),"*","~*"),"?","~?"),'DADOS_RESTRICOES'!$M$2:$Q$54,2,FALSE),"")="Tudo ou Nada",$OH52=0),"Tudo ou Nada exige TR",""),IF(AND(IFERROR(VLOOKUP(SUBSTITUTE(SUBSTITUTE(SUBSTITUTE(IFERROR(INDEX('DADOS_FORMAS'!$AS$2:$AS$21,MATCH(SUBSTITUTE(SUBSTITUTE(SUBSTITUTE($MU52,"~","~~"),"*","~*"),"?","~?"),'DADOS_FORMAS'!$AH$2:$AH$21,0)),""),"~","~~"),"*","~*"),"?","~?"),'DADOS_RESTRICOES'!$M$2:$Q$54,2,FALSE),"")="Corpo a Corpo",OR($RO52="Cone",$RO52="Linha")),"Corpo a Corpo não entra em Cone/Linha","")))</f>
        <v/>
      </c>
      <c r="PU52" s="164">
        <f>IF($PT52="",0,(LEN($PT52)-LEN(SUBSTITUTE($PT52," · ","")))/3+1)</f>
        <v/>
      </c>
      <c r="PV52" s="164">
        <f>IF($ND52=0,"",TEXTJOIN(" · ",TRUE,IF($OX52&gt;2*$MS52,"A devolução parou no teto de "&amp;2*$MS52,""),IF($PA52&gt;0,"Devolução perdida: "&amp;$PA52&amp;IF($PA52&gt;1," pontos"," ponto")&amp;" sem Melhoria para pagar",""),IF(AND($OC52&gt;0,AND($MS52&gt;0,$OG52=0),$PD52=0),"Controle sem dano: uma rodada a mais e CD +2",""),IF(AND($OC52&gt;0,AND($MS52&gt;0,$OG52=0),$PD52&gt;0,$PD52&lt;=$MS52),"Controle com saldo até a Classe: uma rodada a mais",""),IF(AND($MS52&gt;0,$OE52&lt;&gt;""),"Efeito de "&amp;$OE52&amp;" pela Classe "&amp;MAX(1,$MS52-1),"")))</f>
        <v/>
      </c>
      <c r="PW52" s="164">
        <f>IF($PV52="",0,(LEN($PV52)-LEN(SUBSTITUTE($PV52," · ","")))/3+1)</f>
        <v/>
      </c>
      <c r="PX52" s="164">
        <f>IF($ND52=0,IF($OU52+COUNTIF($NB52:$NC52,"?*")&gt;0,"Dê um nome",""),IF($PU52&gt;0,"⚠ "&amp;$PU52&amp;IF($PU52&gt;1," erros"," erro"),IF($PW52&gt;0,"! "&amp;$PW52&amp;IF($PW52&gt;1," avisos"," aviso"),"Na regra")))</f>
        <v/>
      </c>
      <c r="PY52" s="164">
        <f>IF($ND52=0,"",IF($PU52+$PW52=0,"Dentro das regras que a ficha confere",$PT52&amp;IF(AND($PU52&gt;0,$PW52&gt;0)," · ","")&amp;$PV52))</f>
        <v/>
      </c>
      <c r="PZ52" s="164">
        <f>IF($MQ52&gt;$NE52,$MR52&amp;" · ABRE NO NÍVEL "&amp;$MQ52,$MR52)</f>
        <v/>
      </c>
      <c r="QA52" s="164">
        <f>IF($ND52=0,"",IF($MS52=0,"Sem PE",3*$MS52&amp;" PE"))</f>
        <v/>
      </c>
      <c r="QB52" s="164">
        <f>IF($ND52=0,"",IF($MS52=0,"A atuação básica dela",IF(COUNTIF($RQ52:$RS52,"Atrasar")&gt;0,"Sua Ação Completa",IF(COUNTIF($RK52:$RN52,"Rápido")&gt;0,"Sua Bônus",IF(COUNTIF($RK52:$RN52,"Reação")&gt;0,"Sua Reação","Sua Padrão")))&amp;" + a básica dela"&amp;IF(COUNTIF($RK52:$RN52,"Reação")&gt;0," e a coletiva","")&amp;IF(COUNTIF($RQ52:$RS52,"Carregar")&gt;0," · em dois turnos","")))</f>
        <v/>
      </c>
      <c r="QC52" s="164">
        <f>IF($MW52&lt;&gt;"",$MW52,IF($NJ52=0,"",INDEX('DADOS_FORMAS'!$GE$2:$GE$21,$NJ52)))</f>
        <v/>
      </c>
      <c r="QD52" s="164">
        <f>IF(OR($ND52=0,$NJ52=0),"",IF(COUNTIF($RK52:$RN52,"Inescapável")&gt;0,"Automático",IF($QC52="Ataque",IF($NH52="","Ataque","Ataque "&amp;IF(($NH52+2*IF(COUNTIF($RK52:$RN52,"Precisão")&gt;0,1,0))&gt;=0,"+","−")&amp;ABS(($NH52+2*IF(COUNTIF($RK52:$RN52,"Precisão")&gt;0,1,0))))&amp;IF($OD52&gt;0," · TR"&amp;IF($NI52="",""," CD "&amp;$NI52),""),IF(LEFT($QC52,2)="TR",$QC52&amp;IF($NI52="",""," · CD "&amp;$NI52)&amp;IF(COUNTIF($RK52:$RN52,"Certeiro")&gt;0," · metade",""),"Sem rolagem"))))</f>
        <v/>
      </c>
      <c r="QE52" s="164">
        <f>IF(OR($ND52=0,$NJ52=0),"",IF($MS52=0,IF(OR($OG52&gt;=1,$PD52=0),"Sem dano",$PD52&amp;"d6"&amp;IF($MV52="",""," "&amp;$MV52)),IF(OR($OG52&gt;=1,$PD52=0),UPPER(LEFT(INDEX($PM52:$PS52,1,MAX(1,$MS52)),1))&amp;MID(INDEX($PM52:$PS52,1,MAX(1,$MS52)),2,99),UPPER(LEFT(INDEX($PM52:$PS52,1,MAX(1,$MS52)),1))&amp;MID(INDEX($PM52:$PS52,1,MAX(1,$MS52)),2,99)&amp;IF($MV52="",""," "&amp;$MV52)&amp;IF($PE52&gt;0," · +"&amp;$PE52&amp;"d8",""))))</f>
        <v/>
      </c>
      <c r="QF52" s="164">
        <f>COUNTIF($RK52:$RN52,"Longe")+3*COUNTIF($RK52:$RN52,"Muito Longe")</f>
        <v/>
      </c>
      <c r="QG52" s="164">
        <f>COUNTIF($RK52:$RN52,"Maior")+3*COUNTIF($RK52:$RN52,"Muito Maior")</f>
        <v/>
      </c>
      <c r="QH52" s="164">
        <f>IF($NJ52=0,0,CHOOSE(1+INDEX('DADOS_FORMAS'!$GG$2:$GG$21,$NJ52),0,$QF52,$QG52,$QF52+$QG52))</f>
        <v/>
      </c>
      <c r="QI52" s="164">
        <f>IF($NJ52=0,0,CHOOSE(1+INDEX('DADOS_FORMAS'!$GH$2:$GH$21,$NJ52),0,$QF52,$QG52,$QF52+$QG52))</f>
        <v/>
      </c>
      <c r="QJ52" s="164">
        <f>IF(OR($ND52=0,$NJ52=0),"",INDEX('DADOS_FORMAS'!$HU$2:$HZ$81,($NJ52-1)*4+IF($MS52=0,1,IF($MS52&lt;=5,2,IF($MS52=6,3,4))),1+MIN(5,$QH52))&amp;INDEX('DADOS_FORMAS'!$IA$2:$IF$81,($NJ52-1)*4+IF($MS52=0,1,IF($MS52&lt;=5,2,IF($MS52=6,3,4))),1+MIN(5,$QI52))&amp;IF(INDEX('DADOS_FORMAS'!$GI$2:$GI$21,$NJ52)=1,IF(COUNTIF($RK52:$RN52,"Mais Um")&gt;0," · +"&amp;COUNTIF($RK52:$RN52,"Mais Um")&amp;IF(COUNTIF($RK52:$RN52,"Mais Um")&gt;1," alvos"," alvo"),"")&amp;IF(COUNTIF($RK52:$RN52,"Rajada")&gt;0,IF($MS52=0," · 1 tiro"," · "&amp;(MAX(1,$MS52-1)+1)&amp;" tiros"),""),""))</f>
        <v/>
      </c>
      <c r="QK52" s="164">
        <f>IF($ND52=0,"",IF($MS52=0,$NG52&amp;"d6"&amp;IF($OU52&gt;0," − 1 = "&amp;$PD52&amp;"d6"," da básica do nível "&amp;$NE52),$PB52&amp;" − "&amp;$OW52&amp;" + "&amp;$OZ52&amp;" = "&amp;$PC52&amp;" · teto "&amp;4*$MS52&amp;"d8"&amp;IF($OF52=1," · a Forma devolve "&amp;$MS52,"")&amp;IF($PA52&gt;0," · perde "&amp;$PA52,"")))</f>
        <v/>
      </c>
      <c r="QL52" s="164">
        <f>IF($ND52=0,"",IF($MS52=0,"A básica não amplia: os dados dela sobem com o nível",IF($MS52&gt;=$NF52,"Já está na maior Classe que o nível liberou",TEXTJOIN(" · ",TRUE,IF(AND(2&gt;$MS52,2&lt;=$NF52),"2 → "&amp;$PN52&amp;", 6 PE",""),IF(AND(3&gt;$MS52,3&lt;=$NF52),"3 → "&amp;$PO52&amp;", 9 PE",""),IF(AND(4&gt;$MS52,4&lt;=$NF52),"4 → "&amp;$PP52&amp;", 12 PE",""),IF(AND(5&gt;$MS52,5&lt;=$NF52),"5 → "&amp;$PQ52&amp;", 15 PE",""),IF(AND(6&gt;$MS52,6&lt;=$NF52),"6 → "&amp;$PR52&amp;", 18 PE",""),IF(AND(7&gt;$MS52,7&lt;=$NF52),"7 → "&amp;$PS52&amp;", 21 PE","")))))</f>
        <v/>
      </c>
      <c r="QM52" s="164">
        <f>IF(OR($ND52=0,$NO52=0),"",IF($MS52=0,"−1 dado","−"&amp;INDEX($I$2:$N$8,MAX(1,$MS52),MAX(1,$NT52))&amp;" · "&amp;CHOOSE(MAX(1,$NT52),"Leve","Média","Pesada","Leve · Livre","Média · Livre","Pesada · Livre")))</f>
        <v/>
      </c>
      <c r="QN52" s="164">
        <f>IF(OR($ND52=0,$NP52=0),"",IF($MS52=0,"−1 dado","−"&amp;INDEX($I$2:$N$8,MAX(1,$MS52),MAX(1,$NU52))&amp;" · "&amp;CHOOSE(MAX(1,$NU52),"Leve","Média","Pesada","Leve · Livre","Média · Livre","Pesada · Livre")))</f>
        <v/>
      </c>
      <c r="QO52" s="164">
        <f>IF(OR($ND52=0,$NQ52=0),"",IF($MS52=0,"−1 dado","−"&amp;INDEX($I$2:$N$8,MAX(1,$MS52),MAX(1,$NV52))&amp;" · "&amp;CHOOSE(MAX(1,$NV52),"Leve","Média","Pesada","Leve · Livre","Média · Livre","Pesada · Livre")))</f>
        <v/>
      </c>
      <c r="QP52" s="164">
        <f>IF(OR($ND52=0,$NR52=0),"",IF($MS52=0,"−1 dado","−"&amp;INDEX($I$2:$N$8,MAX(1,$MS52),MAX(1,$NW52))&amp;" · "&amp;CHOOSE(MAX(1,$NW52),"Leve","Média","Pesada","Leve · Livre","Média · Livre","Pesada · Livre")))</f>
        <v/>
      </c>
      <c r="QQ52" s="164">
        <f>IF(OR($ND52=0,$NB52=""),"",IF($MS52=0,"não devolve","+"&amp;IF($OI52=1,CEILING($MS52/2,1),$MS52)))</f>
        <v/>
      </c>
      <c r="QR52" s="164">
        <f>IF(OR($ND52=0,$NC52=""),"",IF($MS52=0,"não devolve","+"&amp;IF($OJ52=1,CEILING($MS52/2,1),$MS52)))</f>
        <v/>
      </c>
      <c r="RK52">
        <f>IF($MX52="","",IFERROR(VLOOKUP(SUBSTITUTE(SUBSTITUTE(SUBSTITUTE($MX52,"~","~~"),"*","~*"),"?","~?"),'DADOS_MELHORIAS'!$O$2:$X$113,10,FALSE),$MX52))</f>
        <v/>
      </c>
      <c r="RL52">
        <f>IF($MY52="","",IFERROR(VLOOKUP(SUBSTITUTE(SUBSTITUTE(SUBSTITUTE($MY52,"~","~~"),"*","~*"),"?","~?"),'DADOS_MELHORIAS'!$O$2:$X$113,10,FALSE),$MY52))</f>
        <v/>
      </c>
      <c r="RM52">
        <f>IF($MZ52="","",IFERROR(VLOOKUP(SUBSTITUTE(SUBSTITUTE(SUBSTITUTE($MZ52,"~","~~"),"*","~*"),"?","~?"),'DADOS_MELHORIAS'!$O$2:$X$113,10,FALSE),$MZ52))</f>
        <v/>
      </c>
      <c r="RN52">
        <f>IF($NA52="","",IFERROR(VLOOKUP(SUBSTITUTE(SUBSTITUTE(SUBSTITUTE($NA52,"~","~~"),"*","~*"),"?","~?"),'DADOS_MELHORIAS'!$O$2:$X$113,10,FALSE),$NA52))</f>
        <v/>
      </c>
      <c r="RO52">
        <f>IFERROR(INDEX('DADOS_FORMAS'!$BJ$2:$BJ$21,MATCH(SUBSTITUTE(SUBSTITUTE(SUBSTITUTE($MU52,"~","~~"),"*","~*"),"?","~?"),'DADOS_FORMAS'!$AH$2:$AH$21,0)),"")</f>
        <v/>
      </c>
      <c r="RP52">
        <f>IFERROR(VLOOKUP(SUBSTITUTE(SUBSTITUTE(SUBSTITUTE(IFERROR(INDEX('DADOS_FORMAS'!$AS$2:$AS$21,MATCH(SUBSTITUTE(SUBSTITUTE(SUBSTITUTE($MU52,"~","~~"),"*","~*"),"?","~?"),'DADOS_FORMAS'!$AH$2:$AH$21,0)),""),"~","~~"),"*","~*"),"?","~?"),'DADOS_RESTRICOES'!$M$2:$Q$54,2,FALSE),"")</f>
        <v/>
      </c>
      <c r="RQ52">
        <f>$OK52</f>
        <v/>
      </c>
      <c r="RR52">
        <f>$OL52</f>
        <v/>
      </c>
      <c r="RS52">
        <f>$RP52</f>
        <v/>
      </c>
    </row>
    <row r="53">
      <c r="AV53" s="162" t="inlineStr">
        <is>
          <t>Acúmulo</t>
        </is>
      </c>
      <c r="AW53" s="162" t="inlineStr">
        <is>
          <t>Castigo</t>
        </is>
      </c>
      <c r="AX53" s="164" t="n">
        <v>2</v>
      </c>
      <c r="AY53" s="164" t="n">
        <v>0</v>
      </c>
      <c r="AZ53" s="164" t="n">
        <v>0</v>
      </c>
      <c r="BA53" s="164" t="n">
        <v>0</v>
      </c>
      <c r="JT53" s="164">
        <f>IF(OR($AW53="",(COUNTIF($EL$2:$EP$2,$AW53)+COUNTIF($QV$2:$QY$2,$AW53))&gt;0),$AV53,"")</f>
        <v/>
      </c>
      <c r="JU53" s="164">
        <f>IF(AND($AX53=1,OR($AW53="",(COUNTIF($EL$2:$EP$2,$AW53)+COUNTIF($QV$2:$QY$2,$AW53))&gt;0)),$AV53,"")</f>
        <v/>
      </c>
      <c r="JZ53" s="164">
        <f>IF(OR($AW53="",(COUNTIF($EL$3:$EP$3,$AW53)+COUNTIF($QV$3:$QY$3,$AW53))&gt;0),$AV53,"")</f>
        <v/>
      </c>
      <c r="KA53" s="164">
        <f>IF(AND($AX53=1,OR($AW53="",(COUNTIF($EL$3:$EP$3,$AW53)+COUNTIF($QV$3:$QY$3,$AW53))&gt;0)),$AV53,"")</f>
        <v/>
      </c>
      <c r="KF53" s="164">
        <f>IF(OR($AW53="",(COUNTIF($EL$4:$EP$4,$AW53)+COUNTIF($QV$4:$QY$4,$AW53))&gt;0),$AV53,"")</f>
        <v/>
      </c>
      <c r="KG53" s="164">
        <f>IF(AND($AX53=1,OR($AW53="",(COUNTIF($EL$4:$EP$4,$AW53)+COUNTIF($QV$4:$QY$4,$AW53))&gt;0)),$AV53,"")</f>
        <v/>
      </c>
      <c r="KL53" s="164">
        <f>IF(OR($AW53="",(COUNTIF($EL$5:$EP$5,$AW53)+COUNTIF($QV$5:$QY$5,$AW53))&gt;0),$AV53,"")</f>
        <v/>
      </c>
      <c r="KM53" s="164">
        <f>IF(AND($AX53=1,OR($AW53="",(COUNTIF($EL$5:$EP$5,$AW53)+COUNTIF($QV$5:$QY$5,$AW53))&gt;0)),$AV53,"")</f>
        <v/>
      </c>
      <c r="KR53" s="164">
        <f>IF(OR($AW53="",(COUNTIF($EL$6:$EP$6,$AW53)+COUNTIF($QV$6:$QY$6,$AW53))&gt;0),$AV53,"")</f>
        <v/>
      </c>
      <c r="KS53" s="164">
        <f>IF(AND($AX53=1,OR($AW53="",(COUNTIF($EL$6:$EP$6,$AW53)+COUNTIF($QV$6:$QY$6,$AW53))&gt;0)),$AV53,"")</f>
        <v/>
      </c>
      <c r="KX53" s="164">
        <f>IF(OR($AW53="",(COUNTIF($EL$7:$EP$7,$AW53)+COUNTIF($QV$7:$QY$7,$AW53))&gt;0),$AV53,"")</f>
        <v/>
      </c>
      <c r="KY53" s="164">
        <f>IF(AND($AX53=1,OR($AW53="",(COUNTIF($EL$7:$EP$7,$AW53)+COUNTIF($QV$7:$QY$7,$AW53))&gt;0)),$AV53,"")</f>
        <v/>
      </c>
      <c r="LD53" s="164">
        <f>IF(OR($AW53="",(COUNTIF($EL$8:$EP$8,$AW53)+COUNTIF($QV$8:$QY$8,$AW53))&gt;0),$AV53,"")</f>
        <v/>
      </c>
      <c r="LE53" s="164">
        <f>IF(AND($AX53=1,OR($AW53="",(COUNTIF($EL$8:$EP$8,$AW53)+COUNTIF($QV$8:$QY$8,$AW53))&gt;0)),$AV53,"")</f>
        <v/>
      </c>
      <c r="LJ53" s="164">
        <f>IF(OR($AW53="",(COUNTIF($EL$9:$EP$9,$AW53)+COUNTIF($QV$9:$QY$9,$AW53))&gt;0),$AV53,"")</f>
        <v/>
      </c>
      <c r="LK53" s="164">
        <f>IF(AND($AX53=1,OR($AW53="",(COUNTIF($EL$9:$EP$9,$AW53)+COUNTIF($QV$9:$QY$9,$AW53))&gt;0)),$AV53,"")</f>
        <v/>
      </c>
      <c r="LP53" s="164">
        <f>IF(OR($AW53="",(COUNTIF($EL$10:$EP$10,$AW53)+COUNTIF($QV$10:$QY$10,$AW53))&gt;0),$AV53,"")</f>
        <v/>
      </c>
      <c r="LQ53" s="164">
        <f>IF(AND($AX53=1,OR($AW53="",(COUNTIF($EL$10:$EP$10,$AW53)+COUNTIF($QV$10:$QY$10,$AW53))&gt;0)),$AV53,"")</f>
        <v/>
      </c>
      <c r="LV53" s="164">
        <f>IF(OR($AW53="",(COUNTIF($EL$11:$EP$11,$AW53)+COUNTIF($QV$11:$QY$11,$AW53))&gt;0),$AV53,"")</f>
        <v/>
      </c>
      <c r="LW53" s="164">
        <f>IF(AND($AX53=1,OR($AW53="",(COUNTIF($EL$11:$EP$11,$AW53)+COUNTIF($QV$11:$QY$11,$AW53))&gt;0)),$AV53,"")</f>
        <v/>
      </c>
      <c r="MB53" s="164">
        <f>IF(OR($AW53="",(COUNTIF($EL$12:$EP$12,$AW53)+COUNTIF($QV$12:$QY$12,$AW53))&gt;0),$AV53,"")</f>
        <v/>
      </c>
      <c r="MC53" s="164">
        <f>IF(AND($AX53=1,OR($AW53="",(COUNTIF($EL$12:$EP$12,$AW53)+COUNTIF($QV$12:$QY$12,$AW53))&gt;0)),$AV53,"")</f>
        <v/>
      </c>
      <c r="MH53" s="164">
        <f>IF(OR($AW53="",(COUNTIF($EL$13:$EP$13,$AW53)+COUNTIF($QV$13:$QY$13,$AW53))&gt;0),$AV53,"")</f>
        <v/>
      </c>
      <c r="MI53" s="164">
        <f>IF(AND($AX53=1,OR($AW53="",(COUNTIF($EL$13:$EP$13,$AW53)+COUNTIF($QV$13:$QY$13,$AW53))&gt;0)),$AV53,"")</f>
        <v/>
      </c>
      <c r="MN53" s="162" t="inlineStr">
        <is>
          <t>Ficha 4 · Escolha da trilha 3</t>
        </is>
      </c>
      <c r="MO53" s="164" t="n">
        <v>4</v>
      </c>
      <c r="MP53" s="164" t="n">
        <v>2</v>
      </c>
      <c r="MQ53" s="164" t="n">
        <v>0</v>
      </c>
      <c r="MR53" s="162" t="inlineStr">
        <is>
          <t>ESCOLHA DA TRILHA 3</t>
        </is>
      </c>
      <c r="MS53" s="164">
        <f>MAX(0,MIN(7,N('INVOCAÇÕES'!$U$806)))</f>
        <v/>
      </c>
      <c r="MT53" s="164">
        <f>'INVOCAÇÕES'!$V$806&amp;""</f>
        <v/>
      </c>
      <c r="MU53" s="164">
        <f>'INVOCAÇÕES'!$U$811&amp;""</f>
        <v/>
      </c>
      <c r="MV53" s="164">
        <f>'INVOCAÇÕES'!$U$812&amp;""</f>
        <v/>
      </c>
      <c r="MW53" s="164">
        <f>'INVOCAÇÕES'!$W$812&amp;""</f>
        <v/>
      </c>
      <c r="MX53" s="164">
        <f>'INVOCAÇÕES'!$V$815&amp;""</f>
        <v/>
      </c>
      <c r="MY53" s="164">
        <f>'INVOCAÇÕES'!$V$816&amp;""</f>
        <v/>
      </c>
      <c r="MZ53" s="164">
        <f>'INVOCAÇÕES'!$V$817&amp;""</f>
        <v/>
      </c>
      <c r="NA53" s="164">
        <f>'INVOCAÇÕES'!$V$818&amp;""</f>
        <v/>
      </c>
      <c r="NB53" s="164">
        <f>'INVOCAÇÕES'!$V$819&amp;""</f>
        <v/>
      </c>
      <c r="NC53" s="164">
        <f>'INVOCAÇÕES'!$V$820&amp;""</f>
        <v/>
      </c>
      <c r="ND53" s="164">
        <f>IF($MT53&lt;&gt;"",1,0)</f>
        <v/>
      </c>
      <c r="NE53" s="164">
        <f>INDEX($FO$2:$FO$13,$MO53)</f>
        <v/>
      </c>
      <c r="NF53" s="164">
        <f>INDEX($FP$2:$FP$13,$MO53)</f>
        <v/>
      </c>
      <c r="NG53" s="164">
        <f>INDEX($FQ$2:$FQ$13,$MO53)</f>
        <v/>
      </c>
      <c r="NH53" s="164">
        <f>INDEX($GB$2:$GB$13,$MO53)</f>
        <v/>
      </c>
      <c r="NI53" s="164">
        <f>INDEX($GC$2:$GC$13,$MO53)</f>
        <v/>
      </c>
      <c r="NJ53" s="164">
        <f>IFERROR(MATCH(SUBSTITUTE(SUBSTITUTE(SUBSTITUTE($MU53,"~","~~"),"*","~*"),"?","~?"),'DADOS_FORMAS'!$FZ$2:$FZ$21,0),0)</f>
        <v/>
      </c>
      <c r="NK53" s="164">
        <f>IFERROR(VLOOKUP(SUBSTITUTE(SUBSTITUTE(SUBSTITUTE($MX53,"~","~~"),"*","~*"),"?","~?"),'DADOS_MELHORIAS'!$AG$2:$AL$113,2,FALSE),"")</f>
        <v/>
      </c>
      <c r="NL53" s="164">
        <f>IFERROR(VLOOKUP(SUBSTITUTE(SUBSTITUTE(SUBSTITUTE($MY53,"~","~~"),"*","~*"),"?","~?"),'DADOS_MELHORIAS'!$AG$2:$AL$113,2,FALSE),"")</f>
        <v/>
      </c>
      <c r="NM53" s="164">
        <f>IFERROR(VLOOKUP(SUBSTITUTE(SUBSTITUTE(SUBSTITUTE($MZ53,"~","~~"),"*","~*"),"?","~?"),'DADOS_MELHORIAS'!$AG$2:$AL$113,2,FALSE),"")</f>
        <v/>
      </c>
      <c r="NN53" s="164">
        <f>IFERROR(VLOOKUP(SUBSTITUTE(SUBSTITUTE(SUBSTITUTE($NA53,"~","~~"),"*","~*"),"?","~?"),'DADOS_MELHORIAS'!$AG$2:$AL$113,2,FALSE),"")</f>
        <v/>
      </c>
      <c r="NO53" s="164">
        <f>IFERROR(VLOOKUP(SUBSTITUTE(SUBSTITUTE(SUBSTITUTE($MX53,"~","~~"),"*","~*"),"?","~?"),'DADOS_MELHORIAS'!$AG$2:$AL$113,3,FALSE),0)</f>
        <v/>
      </c>
      <c r="NP53" s="164">
        <f>IFERROR(VLOOKUP(SUBSTITUTE(SUBSTITUTE(SUBSTITUTE($MY53,"~","~~"),"*","~*"),"?","~?"),'DADOS_MELHORIAS'!$AG$2:$AL$113,3,FALSE),0)</f>
        <v/>
      </c>
      <c r="NQ53" s="164">
        <f>IFERROR(VLOOKUP(SUBSTITUTE(SUBSTITUTE(SUBSTITUTE($MZ53,"~","~~"),"*","~*"),"?","~?"),'DADOS_MELHORIAS'!$AG$2:$AL$113,3,FALSE),0)</f>
        <v/>
      </c>
      <c r="NR53" s="164">
        <f>IFERROR(VLOOKUP(SUBSTITUTE(SUBSTITUTE(SUBSTITUTE($NA53,"~","~~"),"*","~*"),"?","~?"),'DADOS_MELHORIAS'!$AG$2:$AL$113,3,FALSE),0)</f>
        <v/>
      </c>
      <c r="NS53" s="164">
        <f>IF($MS53=0,0,IF($NJ53=0,0,INDEX('DADOS_FORMAS'!$GB$2:$GB$21,$NJ53)))</f>
        <v/>
      </c>
      <c r="NT53" s="164">
        <f>IF(OR($NO53=0,$MS53=0),0,$NO53+3*IF(AND($NK53&lt;&gt;"",COUNTIF(INDEX($RB$2:$RJ$13,$MO53,0),$NK53)&gt;0),1,0))</f>
        <v/>
      </c>
      <c r="NU53" s="164">
        <f>IF(OR($NP53=0,$MS53=0),0,$NP53+3*IF(AND($NL53&lt;&gt;"",COUNTIF(INDEX($RB$2:$RJ$13,$MO53,0),$NL53)&gt;0),1,0))</f>
        <v/>
      </c>
      <c r="NV53" s="164">
        <f>IF(OR($NQ53=0,$MS53=0),0,$NQ53+3*IF(AND($NM53&lt;&gt;"",COUNTIF(INDEX($RB$2:$RJ$13,$MO53,0),$NM53)&gt;0),1,0))</f>
        <v/>
      </c>
      <c r="NW53" s="164">
        <f>IF(OR($NR53=0,$MS53=0),0,$NR53+3*IF(AND($NN53&lt;&gt;"",COUNTIF(INDEX($RB$2:$RJ$13,$MO53,0),$NN53)&gt;0),1,0))</f>
        <v/>
      </c>
      <c r="NX53" s="164">
        <f>IF($NJ53=0,0,IF(INDEX('DADOS_FORMAS'!$GA$2:$GA$21,$NJ53)="",0,IF((COUNTIF(INDEX($EL$2:$EP$13,$MO53,0),INDEX('DADOS_FORMAS'!$GA$2:$GA$21,$NJ53))+COUNTIF(INDEX($QV$2:$QY$13,$MO53,0),INDEX('DADOS_FORMAS'!$GA$2:$GA$21,$NJ53)))=0,1,0)))</f>
        <v/>
      </c>
      <c r="NY53" s="164">
        <f>IF(OR($NO53=0,$NK53=""),0,IF((COUNTIF(INDEX($EL$2:$EP$13,$MO53,0),$NK53)+COUNTIF(INDEX($QV$2:$QY$13,$MO53,0),$NK53))=0,1,0))</f>
        <v/>
      </c>
      <c r="NZ53" s="164">
        <f>IF(OR($NP53=0,$NL53=""),0,IF((COUNTIF(INDEX($EL$2:$EP$13,$MO53,0),$NL53)+COUNTIF(INDEX($QV$2:$QY$13,$MO53,0),$NL53))=0,1,0))</f>
        <v/>
      </c>
      <c r="OA53" s="164">
        <f>IF(OR($NQ53=0,$NM53=""),0,IF((COUNTIF(INDEX($EL$2:$EP$13,$MO53,0),$NM53)+COUNTIF(INDEX($QV$2:$QY$13,$MO53,0),$NM53))=0,1,0))</f>
        <v/>
      </c>
      <c r="OB53" s="164">
        <f>IF(OR($NR53=0,$NN53=""),0,IF((COUNTIF(INDEX($EL$2:$EP$13,$MO53,0),$NN53)+COUNTIF(INDEX($QV$2:$QY$13,$MO53,0),$NN53))=0,1,0))</f>
        <v/>
      </c>
      <c r="OC53" s="164">
        <f>IFERROR(VLOOKUP(SUBSTITUTE(SUBSTITUTE(SUBSTITUTE($MX53,"~","~~"),"*","~*"),"?","~?"),'DADOS_MELHORIAS'!$AG$2:$AL$113,4,FALSE),0)+IFERROR(VLOOKUP(SUBSTITUTE(SUBSTITUTE(SUBSTITUTE($MY53,"~","~~"),"*","~*"),"?","~?"),'DADOS_MELHORIAS'!$AG$2:$AL$113,4,FALSE),0)+IFERROR(VLOOKUP(SUBSTITUTE(SUBSTITUTE(SUBSTITUTE($MZ53,"~","~~"),"*","~*"),"?","~?"),'DADOS_MELHORIAS'!$AG$2:$AL$113,4,FALSE),0)+IFERROR(VLOOKUP(SUBSTITUTE(SUBSTITUTE(SUBSTITUTE($NA53,"~","~~"),"*","~*"),"?","~?"),'DADOS_MELHORIAS'!$AG$2:$AL$113,4,FALSE),0)</f>
        <v/>
      </c>
      <c r="OD53" s="164">
        <f>IFERROR(VLOOKUP(SUBSTITUTE(SUBSTITUTE(SUBSTITUTE($MX53,"~","~~"),"*","~*"),"?","~?"),'DADOS_MELHORIAS'!$AG$2:$AL$113,6,FALSE),0)+IFERROR(VLOOKUP(SUBSTITUTE(SUBSTITUTE(SUBSTITUTE($MY53,"~","~~"),"*","~*"),"?","~?"),'DADOS_MELHORIAS'!$AG$2:$AL$113,6,FALSE),0)+IFERROR(VLOOKUP(SUBSTITUTE(SUBSTITUTE(SUBSTITUTE($MZ53,"~","~~"),"*","~*"),"?","~?"),'DADOS_MELHORIAS'!$AG$2:$AL$113,6,FALSE),0)+IFERROR(VLOOKUP(SUBSTITUTE(SUBSTITUTE(SUBSTITUTE($NA53,"~","~~"),"*","~*"),"?","~?"),'DADOS_MELHORIAS'!$AG$2:$AL$113,6,FALSE),0)+IFERROR(N(AND(INDEX('DADOS_FORMAS'!$AO$2:$AO$21,MATCH(SUBSTITUTE(SUBSTITUTE(SUBSTITUTE($MU53,"~","~~"),"*","~*"),"?","~?"),'DADOS_FORMAS'!$AH$2:$AH$21,0))="Acerto",$OH53=1)),0)</f>
        <v/>
      </c>
      <c r="OE53" s="164">
        <f>TEXTJOIN(", ",TRUE,IF(IFERROR(VLOOKUP(SUBSTITUTE(SUBSTITUTE(SUBSTITUTE($MX53,"~","~~"),"*","~*"),"?","~?"),'DADOS_MELHORIAS'!$AG$2:$AL$113,5,FALSE),0)=1,$MX53,""),IF(IFERROR(VLOOKUP(SUBSTITUTE(SUBSTITUTE(SUBSTITUTE($MY53,"~","~~"),"*","~*"),"?","~?"),'DADOS_MELHORIAS'!$AG$2:$AL$113,5,FALSE),0)=1,$MY53,""),IF(IFERROR(VLOOKUP(SUBSTITUTE(SUBSTITUTE(SUBSTITUTE($MZ53,"~","~~"),"*","~*"),"?","~?"),'DADOS_MELHORIAS'!$AG$2:$AL$113,5,FALSE),0)=1,$MZ53,""),IF(IFERROR(VLOOKUP(SUBSTITUTE(SUBSTITUTE(SUBSTITUTE($NA53,"~","~~"),"*","~*"),"?","~?"),'DADOS_MELHORIAS'!$AG$2:$AL$113,5,FALSE),0)=1,$NA53,""))</f>
        <v/>
      </c>
      <c r="OF53" s="164">
        <f>IF($NJ53=0,0,INDEX('DADOS_FORMAS'!$GC$2:$GC$21,$NJ53))</f>
        <v/>
      </c>
      <c r="OG53" s="164">
        <f>IF($NJ53=0,0,INDEX('DADOS_FORMAS'!$GD$2:$GD$21,$NJ53))</f>
        <v/>
      </c>
      <c r="OH53" s="164">
        <f>IF($NJ53=0,0,INDEX('DADOS_FORMAS'!$GF$2:$GF$21,$NJ53))</f>
        <v/>
      </c>
      <c r="OI53" s="164">
        <f>IFERROR(VLOOKUP(SUBSTITUTE(SUBSTITUTE(SUBSTITUTE($NB53,"~","~~"),"*","~*"),"?","~?"),'DADOS_RESTRICOES'!$M$2:$Q$54,3,FALSE),0)</f>
        <v/>
      </c>
      <c r="OJ53" s="164">
        <f>IFERROR(VLOOKUP(SUBSTITUTE(SUBSTITUTE(SUBSTITUTE($NC53,"~","~~"),"*","~*"),"?","~?"),'DADOS_RESTRICOES'!$M$2:$Q$54,3,FALSE),0)</f>
        <v/>
      </c>
      <c r="OK53" s="164">
        <f>IFERROR(VLOOKUP(SUBSTITUTE(SUBSTITUTE(SUBSTITUTE($NB53,"~","~~"),"*","~*"),"?","~?"),'DADOS_RESTRICOES'!$M$2:$Q$54,2,FALSE),"")</f>
        <v/>
      </c>
      <c r="OL53" s="164">
        <f>IFERROR(VLOOKUP(SUBSTITUTE(SUBSTITUTE(SUBSTITUTE($NC53,"~","~~"),"*","~*"),"?","~?"),'DADOS_RESTRICOES'!$M$2:$Q$54,2,FALSE),"")</f>
        <v/>
      </c>
      <c r="OM53" s="164">
        <f>COUNTIF($NS53:$NW53,1)</f>
        <v/>
      </c>
      <c r="ON53" s="164">
        <f>COUNTIF($NS53:$NW53,2)</f>
        <v/>
      </c>
      <c r="OO53" s="164">
        <f>COUNTIF($NS53:$NW53,3)</f>
        <v/>
      </c>
      <c r="OP53" s="164">
        <f>COUNTIF($NS53:$NW53,4)</f>
        <v/>
      </c>
      <c r="OQ53" s="164">
        <f>COUNTIF($NS53:$NW53,5)</f>
        <v/>
      </c>
      <c r="OR53" s="164">
        <f>COUNTIF($NS53:$NW53,6)</f>
        <v/>
      </c>
      <c r="OS53" s="164">
        <f>COUNTIF($OI53:$OJ53,1)+IF(IFERROR(INDEX('DADOS_FORMAS'!$AS$2:$AS$21,MATCH(SUBSTITUTE(SUBSTITUTE(SUBSTITUTE($MU53,"~","~~"),"*","~*"),"?","~?"),'DADOS_FORMAS'!$AH$2:$AH$21,0)),"")="",0,IFERROR(N(VLOOKUP(SUBSTITUTE(SUBSTITUTE(SUBSTITUTE(IFERROR(INDEX('DADOS_FORMAS'!$AS$2:$AS$21,MATCH(SUBSTITUTE(SUBSTITUTE(SUBSTITUTE($MU53,"~","~~"),"*","~*"),"?","~?"),'DADOS_FORMAS'!$AH$2:$AH$21,0)),""),"~","~~"),"*","~*"),"?","~?"),'DADOS_RESTRICOES'!$M$2:$Q$54,3,FALSE)=1),0))</f>
        <v/>
      </c>
      <c r="OT53" s="164">
        <f>COUNTIF($OI53:$OJ53,2)+IF(IFERROR(INDEX('DADOS_FORMAS'!$AS$2:$AS$21,MATCH(SUBSTITUTE(SUBSTITUTE(SUBSTITUTE($MU53,"~","~~"),"*","~*"),"?","~?"),'DADOS_FORMAS'!$AH$2:$AH$21,0)),"")="",0,IFERROR(N(VLOOKUP(SUBSTITUTE(SUBSTITUTE(SUBSTITUTE(IFERROR(INDEX('DADOS_FORMAS'!$AS$2:$AS$21,MATCH(SUBSTITUTE(SUBSTITUTE(SUBSTITUTE($MU53,"~","~~"),"*","~*"),"?","~?"),'DADOS_FORMAS'!$AH$2:$AH$21,0)),""),"~","~~"),"*","~*"),"?","~?"),'DADOS_RESTRICOES'!$M$2:$Q$54,3,FALSE)=2),0))</f>
        <v/>
      </c>
      <c r="OU53" s="164">
        <f>COUNTIF($MX53:$NA53,"?*")</f>
        <v/>
      </c>
      <c r="OV53" s="164">
        <f>COUNTIF($NB53:$NC53,"?*")+$OF53</f>
        <v/>
      </c>
      <c r="OW53" s="164">
        <f>IF($MS53=0,0,SUMPRODUCT($OM53:$OR53,INDEX($I$2:$N$8,MAX(1,$MS53),0)))</f>
        <v/>
      </c>
      <c r="OX53" s="164">
        <f>IF($MS53=0,0,$OS53*CEILING($MS53/2,1)+$OT53*$MS53)</f>
        <v/>
      </c>
      <c r="OY53" s="164">
        <f>MIN(2*$MS53,$OX53)</f>
        <v/>
      </c>
      <c r="OZ53" s="164">
        <f>MIN($OY53,$OW53-IF($NS53=0,0,INDEX($I$2:$N$8,MAX(1,$MS53),$NS53)))</f>
        <v/>
      </c>
      <c r="PA53" s="164">
        <f>$OY53-$OZ53</f>
        <v/>
      </c>
      <c r="PB53" s="164">
        <f>IF($MS53=0,0,INDEX($P$2:$P$8,MAX(1,$MS53)))</f>
        <v/>
      </c>
      <c r="PC53" s="164">
        <f>$PB53-$OW53+$OZ53</f>
        <v/>
      </c>
      <c r="PD53" s="164">
        <f>IF($MS53=0,MAX(0,$NG53-IF(AND($OU53&gt;0,COUNTIF($NB53:$NC53,"?*")=0),1,0)),MAX(0,$PC53))</f>
        <v/>
      </c>
      <c r="PE53" s="164">
        <f>IF($MS53=0,0,(IF(COUNTIF($RK53:$RN53,"Salto")&gt;0,1,0)+IF(COUNTIF($RK53:$RN53,"Queima")&gt;0,1,0)+IF(COUNTIF($RK53:$RN53,"Estilhaço")&gt;0,1,0))*FLOOR($PD53/2,1))</f>
        <v/>
      </c>
      <c r="PF53" s="164">
        <f>MAX(0,2-SUMPRODUCT($OM53:$OR53,$I$2:$N$2)+MIN(2,$OS53*1+$OT53*1,SUMPRODUCT($OM53:$OR53,$I$2:$N$2)-IF($NS53=0,0,INDEX($I$2:$N$2,1,$NS53))))</f>
        <v/>
      </c>
      <c r="PG53" s="164">
        <f>MAX(0,4-SUMPRODUCT($OM53:$OR53,$I$3:$N$3)+MIN(4,$OS53*1+$OT53*2,SUMPRODUCT($OM53:$OR53,$I$3:$N$3)-IF($NS53=0,0,INDEX($I$3:$N$3,1,$NS53))))</f>
        <v/>
      </c>
      <c r="PH53" s="164">
        <f>MAX(0,6-SUMPRODUCT($OM53:$OR53,$I$4:$N$4)+MIN(6,$OS53*2+$OT53*3,SUMPRODUCT($OM53:$OR53,$I$4:$N$4)-IF($NS53=0,0,INDEX($I$4:$N$4,1,$NS53))))</f>
        <v/>
      </c>
      <c r="PI53" s="164">
        <f>MAX(0,9-SUMPRODUCT($OM53:$OR53,$I$5:$N$5)+MIN(8,$OS53*2+$OT53*4,SUMPRODUCT($OM53:$OR53,$I$5:$N$5)-IF($NS53=0,0,INDEX($I$5:$N$5,1,$NS53))))</f>
        <v/>
      </c>
      <c r="PJ53" s="164">
        <f>MAX(0,11-SUMPRODUCT($OM53:$OR53,$I$6:$N$6)+MIN(10,$OS53*3+$OT53*5,SUMPRODUCT($OM53:$OR53,$I$6:$N$6)-IF($NS53=0,0,INDEX($I$6:$N$6,1,$NS53))))</f>
        <v/>
      </c>
      <c r="PK53" s="164">
        <f>MAX(0,13-SUMPRODUCT($OM53:$OR53,$I$7:$N$7)+MIN(12,$OS53*3+$OT53*6,SUMPRODUCT($OM53:$OR53,$I$7:$N$7)-IF($NS53=0,0,INDEX($I$7:$N$7,1,$NS53))))</f>
        <v/>
      </c>
      <c r="PL53" s="164">
        <f>MAX(0,16-SUMPRODUCT($OM53:$OR53,$I$8:$N$8)+MIN(14,$OS53*4+$OT53*7,SUMPRODUCT($OM53:$OR53,$I$8:$N$8)-IF($NS53=0,0,INDEX($I$8:$N$8,1,$NS53))))</f>
        <v/>
      </c>
      <c r="PM53" s="164">
        <f>IF($OG53=2,3*$PF53&amp;" de vida temp.",IF($OG53=3,"sem dano",IF($PF53=0,IF($OG53=1,"sem cura","sem dano"),IF($OG53=1,"cura ","")&amp;$PF53&amp;"d8")))</f>
        <v/>
      </c>
      <c r="PN53" s="164">
        <f>IF($OG53=2,3*$PG53&amp;" de vida temp.",IF($OG53=3,"sem dano",IF($PG53=0,IF($OG53=1,"sem cura","sem dano"),IF($OG53=1,"cura ","")&amp;$PG53&amp;"d8")))</f>
        <v/>
      </c>
      <c r="PO53" s="164">
        <f>IF($OG53=2,3*$PH53&amp;" de vida temp.",IF($OG53=3,"sem dano",IF($PH53=0,IF($OG53=1,"sem cura","sem dano"),IF($OG53=1,"cura ","")&amp;$PH53&amp;"d8")))</f>
        <v/>
      </c>
      <c r="PP53" s="164">
        <f>IF($OG53=2,3*$PI53&amp;" de vida temp.",IF($OG53=3,"sem dano",IF($PI53=0,IF($OG53=1,"sem cura","sem dano"),IF($OG53=1,"cura ","")&amp;$PI53&amp;"d8")))</f>
        <v/>
      </c>
      <c r="PQ53" s="164">
        <f>IF($OG53=2,3*$PJ53&amp;" de vida temp.",IF($OG53=3,"sem dano",IF($PJ53=0,IF($OG53=1,"sem cura","sem dano"),IF($OG53=1,"cura ","")&amp;$PJ53&amp;"d8")))</f>
        <v/>
      </c>
      <c r="PR53" s="164">
        <f>IF($OG53=2,3*$PK53&amp;" de vida temp.",IF($OG53=3,"sem dano",IF($PK53=0,IF($OG53=1,"sem cura","sem dano"),IF($OG53=1,"cura ","")&amp;$PK53&amp;"d8")))</f>
        <v/>
      </c>
      <c r="PS53" s="164">
        <f>IF($OG53=2,3*$PL53&amp;" de vida temp.",IF($OG53=3,"sem dano",IF($PL53=0,IF($OG53=1,"sem cura","sem dano"),IF($OG53=1,"cura ","")&amp;$PL53&amp;"d8")))</f>
        <v/>
      </c>
      <c r="PT53" s="164">
        <f>IF($ND53=0,"",TEXTJOIN(" · ",TRUE,IF($ND53=0,"",TEXTJOIN(" · ",TRUE,IF($ND53=0,"",TEXTJOIN(" · ",TRUE,IF($MQ53&gt;$NE53,"Este lugar abre no nível "&amp;$MQ53,""),IF($MS53&gt;$NF53,"Classe "&amp;$MS53&amp;": o nível "&amp;$NE53&amp;" libera até a "&amp;$NF53,""),IF($NX53=1,"A Forma "&amp;$MU53&amp;" pede "&amp;INDEX('DADOS_FORMAS'!$GA$2:$GA$21,$NJ53)&amp;" aberta",""),IF(AND($MS53=0,$NJ53&gt;0,IF($NJ53=0,0,INDEX('DADOS_FORMAS'!$GJ$2:$GJ$21,$NJ53))=0),$MU53&amp;" não existe na Classe 0",""),IF($NY53=1,"Família Fechada: "&amp;$MX53,""),IF($NZ53=1,"Família Fechada: "&amp;$MY53,""),IF($OA53=1,"Família Fechada: "&amp;$MZ53,""),IF($OB53=1,"Família Fechada: "&amp;$NA53,""),IF(AND($MS53&gt;0,$OU53&gt;INDEX($O$2:$O$8,MAX(1,$MS53))),$OU53&amp;" Melhorias: a Classe "&amp;$MS53&amp;" aceita "&amp;INDEX($O$2:$O$8,MAX(1,$MS53)),""),IF(AND($MS53=0,$OU53&gt;1),"A básica aceita uma Melhoria",""),IF(AND($MS53=0,COUNTIF($NO53:$NR53,"&gt;1")&gt;0),"A básica só aceita Melhoria Leve",""),IF(AND($MS53&gt;0,$OV53&gt;2),$OV53&amp;" Restrições"&amp;IF($OF53=1,", contando a que a Forma "&amp;$MU53&amp;" já traz","")&amp;": o limite é 2",""),IF(AND($MS53=0,COUNTIF($NB53:$NC53,"?*")&gt;1),"A básica aceita uma Restrição Leve",""),IF(AND($MS53=0,COUNTIF($OI53:$OJ53,2)&gt;0),"A básica só aceita Restrição Leve",""),IF(AND($MS53&gt;0,$PC53&lt;0),"Orçamento estourado: faltam "&amp;(-$PC53)&amp;IF($PC53&lt;-1," pontos"," ponto"),""),IF(IFERROR(VLOOKUP(SUBSTITUTE(SUBSTITUTE(SUBSTITUTE($NB53,"~","~~"),"*","~*"),"?","~?"),'DADOS_RESTRICOES'!$M$2:$Q$54,4,FALSE),0)+IFERROR(VLOOKUP(SUBSTITUTE(SUBSTITUTE(SUBSTITUTE($NC53,"~","~~"),"*","~*"),"?","~?"),'DADOS_RESTRICOES'!$M$2:$Q$54,4,FALSE),0)&gt;1,$OK53&amp;" e "&amp;$OL53&amp;" são as duas de frequência",""),IF(AND((COUNTIF($RK53:$RN53,"Rápido")+COUNTIF($OK53:$OL53,"Rápido"))&gt;0,(COUNTIF($MX53:$NA53,"Atrasar")+COUNTIF($OK53:$OL53,"Atrasar"))&gt;0),"Rápido não entra com Atrasar",""),IF(AND((COUNTIF($RK53:$RN53,"Reação")+COUNTIF($OK53:$OL53,"Reação"))&gt;0,(COUNTIF($RK53:$RN53,"Rápido")+COUNTIF($OK53:$OL53,"Rápido"))&gt;0),"Reação não entra com Rápido",""),IF(AND((COUNTIF($RK53:$RN53,"Reação")+COUNTIF($OK53:$OL53,"Reação"))&gt;0,(COUNTIF($RK53:$RN53,"Armado")+COUNTIF($OK53:$OL53,"Armado"))&gt;0),"Reação não entra com Armado",""),IF(AND((COUNTIF($RK53:$RN53,"Reação")+COUNTIF($OK53:$OL53,"Reação"))&gt;0,(COUNTIF($MX53:$NA53,"Atrasar")+COUNTIF($OK53:$OL53,"Atrasar"))&gt;0),"Reação não entra com Atrasar",""),IF(AND((COUNTIF($RK53:$RN53,"Reação")+COUNTIF($OK53:$OL53,"Reação"))&gt;0,(COUNTIF($MX53:$NA53,"Parado")+COUNTIF($OK53:$OL53,"Parado"))&gt;0),"Reação não entra com Parado",""),IF(AND((COUNTIF($MX53:$NA53,"Atrasar")+COUNTIF($OK53:$OL53,"Atrasar"))&gt;0,(COUNTIF($MX53:$NA53,"Parado")+COUNTIF($OK53:$OL53,"Parado"))&gt;0),"Atrasar não entra com Parado",""),IF(AND((COUNTIF($RK53:$RN53,"Armado")+COUNTIF($OK53:$OL53,"Armado"))&gt;0,(COUNTIF($MX53:$NA53,"Carregar")+COUNTIF($OK53:$OL53,"Carregar"))&gt;0),"Armado não entra com Carregar",""),IF(AND(COUNTIF($OK53:$OL53,"Corpo a Corpo")&gt;0,$OF53=0,OR($RO53="Cone",$RO53="Linha")),"Corpo a Corpo não entra em "&amp;$MU53,""),IF(AND(COUNTIF($OK53:$OL53,"Corpo a Corpo")&gt;0,$RP53="Corpo a Corpo"),"A Forma "&amp;$MU53&amp;" já traz o Corpo a Corpo",""),IF(AND(COUNTIF($OK53:$OL53,"Tudo ou Nada")&gt;0,$OH53=0),"Tudo ou Nada só entra em habilidade de Teste de Resistência",""),IF(AND(COUNTIF($RK53:$RN53,"Inescapável")&gt;0,OR($OU53&gt;1,$OV53&gt;0)),"Inescapável não aceita outra peça",""),IF(AND($MS53&gt;0,$PD53*IF(COUNTIF($RK53:$RN53,"Remate")&gt;0,1.25,1)+$PE53&gt;4*$MS53),($PD53*IF(COUNTIF($RK53:$RN53,"Remate")&gt;0,1.25,1)+$PE53)&amp;" dados somando repetições"&amp;IF(COUNTIF($RK53:$RN53,"Remate")&gt;0," e o Remate","")&amp;": o teto da Classe "&amp;$MS53&amp;" é "&amp;4*$MS53,""))),IF(AND($MX53&lt;&gt;"",COUNTIF('DADOS_MELHORIAS'!$O$2:$O$113,SUBSTITUTE(SUBSTITUTE(SUBSTITUTE($MX53,"~","~~"),"*","~*"),"?","~?"))=0),"Melhoria não cadastrada ou com erro: "&amp;$MX53,""),IF(AND($MY53&lt;&gt;"",COUNTIF('DADOS_MELHORIAS'!$O$2:$O$113,SUBSTITUTE(SUBSTITUTE(SUBSTITUTE($MY53,"~","~~"),"*","~*"),"?","~?"))=0),"Melhoria não cadastrada ou com erro: "&amp;$MY53,""),IF(AND($MZ53&lt;&gt;"",COUNTIF('DADOS_MELHORIAS'!$O$2:$O$113,SUBSTITUTE(SUBSTITUTE(SUBSTITUTE($MZ53,"~","~~"),"*","~*"),"?","~?"))=0),"Melhoria não cadastrada ou com erro: "&amp;$MZ53,""),IF(AND($NA53&lt;&gt;"",COUNTIF('DADOS_MELHORIAS'!$O$2:$O$113,SUBSTITUTE(SUBSTITUTE(SUBSTITUTE($NA53,"~","~~"),"*","~*"),"?","~?"))=0),"Melhoria não cadastrada ou com erro: "&amp;$NA53,""),IF(AND($NB53&lt;&gt;"",COUNTIF('DADOS_RESTRICOES'!$M$2:$M$54,SUBSTITUTE(SUBSTITUTE(SUBSTITUTE($NB53,"~","~~"),"*","~*"),"?","~?"))=0),"Restrição não cadastrada ou com erro: "&amp;$NB53,""),IF(AND($NC53&lt;&gt;"",COUNTIF('DADOS_RESTRICOES'!$M$2:$M$54,SUBSTITUTE(SUBSTITUTE(SUBSTITUTE($NC53,"~","~~"),"*","~*"),"?","~?"))=0),"Restrição não cadastrada ou com erro: "&amp;$NC53,""))),IF(AND($MU53&lt;&gt;"",COUNTIF('DADOS_FORMAS'!$AH$2:$AH$21,SUBSTITUTE(SUBSTITUTE(SUBSTITUTE($MU53,"~","~~"),"*","~*"),"?","~?"))=0),"Forma não cadastrada ou com erro: "&amp;$MU53,""),IF(AND(IFERROR(INDEX('DADOS_FORMAS'!$AS$2:$AS$21,MATCH(SUBSTITUTE(SUBSTITUTE(SUBSTITUTE($MU53,"~","~~"),"*","~*"),"?","~?"),'DADOS_FORMAS'!$AH$2:$AH$21,0)),"")&lt;&gt;"",OR(IFERROR(VLOOKUP(SUBSTITUTE(SUBSTITUTE(SUBSTITUTE(IFERROR(INDEX('DADOS_FORMAS'!$AS$2:$AS$21,MATCH(SUBSTITUTE(SUBSTITUTE(SUBSTITUTE($MU53,"~","~~"),"*","~*"),"?","~?"),'DADOS_FORMAS'!$AH$2:$AH$21,0)),""),"~","~~"),"*","~*"),"?","~?"),'DADOS_RESTRICOES'!$M$2:$Q$54,2,FALSE),"")=$OK53,IFERROR(VLOOKUP(SUBSTITUTE(SUBSTITUTE(SUBSTITUTE(IFERROR(INDEX('DADOS_FORMAS'!$AS$2:$AS$21,MATCH(SUBSTITUTE(SUBSTITUTE(SUBSTITUTE($MU53,"~","~~"),"*","~*"),"?","~?"),'DADOS_FORMAS'!$AH$2:$AH$21,0)),""),"~","~~"),"*","~*"),"?","~?"),'DADOS_RESTRICOES'!$M$2:$Q$54,2,FALSE),"")=$OL53)),"Restrição repetida, contando a embutida",""),IF(IF(IFERROR(INDEX('DADOS_FORMAS'!$AS$2:$AS$21,MATCH(SUBSTITUTE(SUBSTITUTE(SUBSTITUTE($MU53,"~","~~"),"*","~*"),"?","~?"),'DADOS_FORMAS'!$AH$2:$AH$21,0)),"")="",0,IFERROR(N(VLOOKUP(SUBSTITUTE(SUBSTITUTE(SUBSTITUTE(IFERROR(INDEX('DADOS_FORMAS'!$AS$2:$AS$21,MATCH(SUBSTITUTE(SUBSTITUTE(SUBSTITUTE($MU53,"~","~~"),"*","~*"),"?","~?"),'DADOS_FORMAS'!$AH$2:$AH$21,0)),""),"~","~~"),"*","~*"),"?","~?"),'DADOS_RESTRICOES'!$M$2:$Q$54,4,FALSE)=1),0))+IF($NB53="",0,IFERROR(N(VLOOKUP(SUBSTITUTE(SUBSTITUTE(SUBSTITUTE($NB53,"~","~~"),"*","~*"),"?","~?"),'DADOS_RESTRICOES'!$M$2:$Q$54,4,FALSE)=1),0))+IF($NC53="",0,IFERROR(N(VLOOKUP(SUBSTITUTE(SUBSTITUTE(SUBSTITUTE($NC53,"~","~~"),"*","~*"),"?","~?"),'DADOS_RESTRICOES'!$M$2:$Q$54,4,FALSE)=1),0))&gt;1,"Duas Restrições de frequência, contando a embutida",""),IF(AND(IFERROR(VLOOKUP(SUBSTITUTE(SUBSTITUTE(SUBSTITUTE(IFERROR(INDEX('DADOS_FORMAS'!$AS$2:$AS$21,MATCH(SUBSTITUTE(SUBSTITUTE(SUBSTITUTE($MU53,"~","~~"),"*","~*"),"?","~?"),'DADOS_FORMAS'!$AH$2:$AH$21,0)),""),"~","~~"),"*","~*"),"?","~?"),'DADOS_RESTRICOES'!$M$2:$Q$54,2,FALSE),"")="Tudo ou Nada",$OH53=0),"Tudo ou Nada exige TR",""),IF(AND(IFERROR(VLOOKUP(SUBSTITUTE(SUBSTITUTE(SUBSTITUTE(IFERROR(INDEX('DADOS_FORMAS'!$AS$2:$AS$21,MATCH(SUBSTITUTE(SUBSTITUTE(SUBSTITUTE($MU53,"~","~~"),"*","~*"),"?","~?"),'DADOS_FORMAS'!$AH$2:$AH$21,0)),""),"~","~~"),"*","~*"),"?","~?"),'DADOS_RESTRICOES'!$M$2:$Q$54,2,FALSE),"")="Corpo a Corpo",OR($RO53="Cone",$RO53="Linha")),"Corpo a Corpo não entra em Cone/Linha","")))</f>
        <v/>
      </c>
      <c r="PU53" s="164">
        <f>IF($PT53="",0,(LEN($PT53)-LEN(SUBSTITUTE($PT53," · ","")))/3+1)</f>
        <v/>
      </c>
      <c r="PV53" s="164">
        <f>IF($ND53=0,"",TEXTJOIN(" · ",TRUE,IF($OX53&gt;2*$MS53,"A devolução parou no teto de "&amp;2*$MS53,""),IF($PA53&gt;0,"Devolução perdida: "&amp;$PA53&amp;IF($PA53&gt;1," pontos"," ponto")&amp;" sem Melhoria para pagar",""),IF(AND($OC53&gt;0,AND($MS53&gt;0,$OG53=0),$PD53=0),"Controle sem dano: uma rodada a mais e CD +2",""),IF(AND($OC53&gt;0,AND($MS53&gt;0,$OG53=0),$PD53&gt;0,$PD53&lt;=$MS53),"Controle com saldo até a Classe: uma rodada a mais",""),IF(AND($MS53&gt;0,$OE53&lt;&gt;""),"Efeito de "&amp;$OE53&amp;" pela Classe "&amp;MAX(1,$MS53-1),"")))</f>
        <v/>
      </c>
      <c r="PW53" s="164">
        <f>IF($PV53="",0,(LEN($PV53)-LEN(SUBSTITUTE($PV53," · ","")))/3+1)</f>
        <v/>
      </c>
      <c r="PX53" s="164">
        <f>IF($ND53=0,IF($OU53+COUNTIF($NB53:$NC53,"?*")&gt;0,"Dê um nome",""),IF($PU53&gt;0,"⚠ "&amp;$PU53&amp;IF($PU53&gt;1," erros"," erro"),IF($PW53&gt;0,"! "&amp;$PW53&amp;IF($PW53&gt;1," avisos"," aviso"),"Na regra")))</f>
        <v/>
      </c>
      <c r="PY53" s="164">
        <f>IF($ND53=0,"",IF($PU53+$PW53=0,"Dentro das regras que a ficha confere",$PT53&amp;IF(AND($PU53&gt;0,$PW53&gt;0)," · ","")&amp;$PV53))</f>
        <v/>
      </c>
      <c r="PZ53" s="164">
        <f>IF($MQ53&gt;$NE53,$MR53&amp;" · ABRE NO NÍVEL "&amp;$MQ53,$MR53)</f>
        <v/>
      </c>
      <c r="QA53" s="164">
        <f>IF($ND53=0,"",IF($MS53=0,"Sem PE",3*$MS53&amp;" PE"))</f>
        <v/>
      </c>
      <c r="QB53" s="164">
        <f>IF($ND53=0,"",IF($MS53=0,"A atuação básica dela",IF(COUNTIF($RQ53:$RS53,"Atrasar")&gt;0,"Sua Ação Completa",IF(COUNTIF($RK53:$RN53,"Rápido")&gt;0,"Sua Bônus",IF(COUNTIF($RK53:$RN53,"Reação")&gt;0,"Sua Reação","Sua Padrão")))&amp;" + a básica dela"&amp;IF(COUNTIF($RK53:$RN53,"Reação")&gt;0," e a coletiva","")&amp;IF(COUNTIF($RQ53:$RS53,"Carregar")&gt;0," · em dois turnos","")))</f>
        <v/>
      </c>
      <c r="QC53" s="164">
        <f>IF($MW53&lt;&gt;"",$MW53,IF($NJ53=0,"",INDEX('DADOS_FORMAS'!$GE$2:$GE$21,$NJ53)))</f>
        <v/>
      </c>
      <c r="QD53" s="164">
        <f>IF(OR($ND53=0,$NJ53=0),"",IF(COUNTIF($RK53:$RN53,"Inescapável")&gt;0,"Automático",IF($QC53="Ataque",IF($NH53="","Ataque","Ataque "&amp;IF(($NH53+2*IF(COUNTIF($RK53:$RN53,"Precisão")&gt;0,1,0))&gt;=0,"+","−")&amp;ABS(($NH53+2*IF(COUNTIF($RK53:$RN53,"Precisão")&gt;0,1,0))))&amp;IF($OD53&gt;0," · TR"&amp;IF($NI53="",""," CD "&amp;$NI53),""),IF(LEFT($QC53,2)="TR",$QC53&amp;IF($NI53="",""," · CD "&amp;$NI53)&amp;IF(COUNTIF($RK53:$RN53,"Certeiro")&gt;0," · metade",""),"Sem rolagem"))))</f>
        <v/>
      </c>
      <c r="QE53" s="164">
        <f>IF(OR($ND53=0,$NJ53=0),"",IF($MS53=0,IF(OR($OG53&gt;=1,$PD53=0),"Sem dano",$PD53&amp;"d6"&amp;IF($MV53="",""," "&amp;$MV53)),IF(OR($OG53&gt;=1,$PD53=0),UPPER(LEFT(INDEX($PM53:$PS53,1,MAX(1,$MS53)),1))&amp;MID(INDEX($PM53:$PS53,1,MAX(1,$MS53)),2,99),UPPER(LEFT(INDEX($PM53:$PS53,1,MAX(1,$MS53)),1))&amp;MID(INDEX($PM53:$PS53,1,MAX(1,$MS53)),2,99)&amp;IF($MV53="",""," "&amp;$MV53)&amp;IF($PE53&gt;0," · +"&amp;$PE53&amp;"d8",""))))</f>
        <v/>
      </c>
      <c r="QF53" s="164">
        <f>COUNTIF($RK53:$RN53,"Longe")+3*COUNTIF($RK53:$RN53,"Muito Longe")</f>
        <v/>
      </c>
      <c r="QG53" s="164">
        <f>COUNTIF($RK53:$RN53,"Maior")+3*COUNTIF($RK53:$RN53,"Muito Maior")</f>
        <v/>
      </c>
      <c r="QH53" s="164">
        <f>IF($NJ53=0,0,CHOOSE(1+INDEX('DADOS_FORMAS'!$GG$2:$GG$21,$NJ53),0,$QF53,$QG53,$QF53+$QG53))</f>
        <v/>
      </c>
      <c r="QI53" s="164">
        <f>IF($NJ53=0,0,CHOOSE(1+INDEX('DADOS_FORMAS'!$GH$2:$GH$21,$NJ53),0,$QF53,$QG53,$QF53+$QG53))</f>
        <v/>
      </c>
      <c r="QJ53" s="164">
        <f>IF(OR($ND53=0,$NJ53=0),"",INDEX('DADOS_FORMAS'!$HU$2:$HZ$81,($NJ53-1)*4+IF($MS53=0,1,IF($MS53&lt;=5,2,IF($MS53=6,3,4))),1+MIN(5,$QH53))&amp;INDEX('DADOS_FORMAS'!$IA$2:$IF$81,($NJ53-1)*4+IF($MS53=0,1,IF($MS53&lt;=5,2,IF($MS53=6,3,4))),1+MIN(5,$QI53))&amp;IF(INDEX('DADOS_FORMAS'!$GI$2:$GI$21,$NJ53)=1,IF(COUNTIF($RK53:$RN53,"Mais Um")&gt;0," · +"&amp;COUNTIF($RK53:$RN53,"Mais Um")&amp;IF(COUNTIF($RK53:$RN53,"Mais Um")&gt;1," alvos"," alvo"),"")&amp;IF(COUNTIF($RK53:$RN53,"Rajada")&gt;0,IF($MS53=0," · 1 tiro"," · "&amp;(MAX(1,$MS53-1)+1)&amp;" tiros"),""),""))</f>
        <v/>
      </c>
      <c r="QK53" s="164">
        <f>IF($ND53=0,"",IF($MS53=0,$NG53&amp;"d6"&amp;IF($OU53&gt;0," − 1 = "&amp;$PD53&amp;"d6"," da básica do nível "&amp;$NE53),$PB53&amp;" − "&amp;$OW53&amp;" + "&amp;$OZ53&amp;" = "&amp;$PC53&amp;" · teto "&amp;4*$MS53&amp;"d8"&amp;IF($OF53=1," · a Forma devolve "&amp;$MS53,"")&amp;IF($PA53&gt;0," · perde "&amp;$PA53,"")))</f>
        <v/>
      </c>
      <c r="QL53" s="164">
        <f>IF($ND53=0,"",IF($MS53=0,"A básica não amplia: os dados dela sobem com o nível",IF($MS53&gt;=$NF53,"Já está na maior Classe que o nível liberou",TEXTJOIN(" · ",TRUE,IF(AND(2&gt;$MS53,2&lt;=$NF53),"2 → "&amp;$PN53&amp;", 6 PE",""),IF(AND(3&gt;$MS53,3&lt;=$NF53),"3 → "&amp;$PO53&amp;", 9 PE",""),IF(AND(4&gt;$MS53,4&lt;=$NF53),"4 → "&amp;$PP53&amp;", 12 PE",""),IF(AND(5&gt;$MS53,5&lt;=$NF53),"5 → "&amp;$PQ53&amp;", 15 PE",""),IF(AND(6&gt;$MS53,6&lt;=$NF53),"6 → "&amp;$PR53&amp;", 18 PE",""),IF(AND(7&gt;$MS53,7&lt;=$NF53),"7 → "&amp;$PS53&amp;", 21 PE","")))))</f>
        <v/>
      </c>
      <c r="QM53" s="164">
        <f>IF(OR($ND53=0,$NO53=0),"",IF($MS53=0,"−1 dado","−"&amp;INDEX($I$2:$N$8,MAX(1,$MS53),MAX(1,$NT53))&amp;" · "&amp;CHOOSE(MAX(1,$NT53),"Leve","Média","Pesada","Leve · Livre","Média · Livre","Pesada · Livre")))</f>
        <v/>
      </c>
      <c r="QN53" s="164">
        <f>IF(OR($ND53=0,$NP53=0),"",IF($MS53=0,"−1 dado","−"&amp;INDEX($I$2:$N$8,MAX(1,$MS53),MAX(1,$NU53))&amp;" · "&amp;CHOOSE(MAX(1,$NU53),"Leve","Média","Pesada","Leve · Livre","Média · Livre","Pesada · Livre")))</f>
        <v/>
      </c>
      <c r="QO53" s="164">
        <f>IF(OR($ND53=0,$NQ53=0),"",IF($MS53=0,"−1 dado","−"&amp;INDEX($I$2:$N$8,MAX(1,$MS53),MAX(1,$NV53))&amp;" · "&amp;CHOOSE(MAX(1,$NV53),"Leve","Média","Pesada","Leve · Livre","Média · Livre","Pesada · Livre")))</f>
        <v/>
      </c>
      <c r="QP53" s="164">
        <f>IF(OR($ND53=0,$NR53=0),"",IF($MS53=0,"−1 dado","−"&amp;INDEX($I$2:$N$8,MAX(1,$MS53),MAX(1,$NW53))&amp;" · "&amp;CHOOSE(MAX(1,$NW53),"Leve","Média","Pesada","Leve · Livre","Média · Livre","Pesada · Livre")))</f>
        <v/>
      </c>
      <c r="QQ53" s="164">
        <f>IF(OR($ND53=0,$NB53=""),"",IF($MS53=0,"não devolve","+"&amp;IF($OI53=1,CEILING($MS53/2,1),$MS53)))</f>
        <v/>
      </c>
      <c r="QR53" s="164">
        <f>IF(OR($ND53=0,$NC53=""),"",IF($MS53=0,"não devolve","+"&amp;IF($OJ53=1,CEILING($MS53/2,1),$MS53)))</f>
        <v/>
      </c>
      <c r="RK53">
        <f>IF($MX53="","",IFERROR(VLOOKUP(SUBSTITUTE(SUBSTITUTE(SUBSTITUTE($MX53,"~","~~"),"*","~*"),"?","~?"),'DADOS_MELHORIAS'!$O$2:$X$113,10,FALSE),$MX53))</f>
        <v/>
      </c>
      <c r="RL53">
        <f>IF($MY53="","",IFERROR(VLOOKUP(SUBSTITUTE(SUBSTITUTE(SUBSTITUTE($MY53,"~","~~"),"*","~*"),"?","~?"),'DADOS_MELHORIAS'!$O$2:$X$113,10,FALSE),$MY53))</f>
        <v/>
      </c>
      <c r="RM53">
        <f>IF($MZ53="","",IFERROR(VLOOKUP(SUBSTITUTE(SUBSTITUTE(SUBSTITUTE($MZ53,"~","~~"),"*","~*"),"?","~?"),'DADOS_MELHORIAS'!$O$2:$X$113,10,FALSE),$MZ53))</f>
        <v/>
      </c>
      <c r="RN53">
        <f>IF($NA53="","",IFERROR(VLOOKUP(SUBSTITUTE(SUBSTITUTE(SUBSTITUTE($NA53,"~","~~"),"*","~*"),"?","~?"),'DADOS_MELHORIAS'!$O$2:$X$113,10,FALSE),$NA53))</f>
        <v/>
      </c>
      <c r="RO53">
        <f>IFERROR(INDEX('DADOS_FORMAS'!$BJ$2:$BJ$21,MATCH(SUBSTITUTE(SUBSTITUTE(SUBSTITUTE($MU53,"~","~~"),"*","~*"),"?","~?"),'DADOS_FORMAS'!$AH$2:$AH$21,0)),"")</f>
        <v/>
      </c>
      <c r="RP53">
        <f>IFERROR(VLOOKUP(SUBSTITUTE(SUBSTITUTE(SUBSTITUTE(IFERROR(INDEX('DADOS_FORMAS'!$AS$2:$AS$21,MATCH(SUBSTITUTE(SUBSTITUTE(SUBSTITUTE($MU53,"~","~~"),"*","~*"),"?","~?"),'DADOS_FORMAS'!$AH$2:$AH$21,0)),""),"~","~~"),"*","~*"),"?","~?"),'DADOS_RESTRICOES'!$M$2:$Q$54,2,FALSE),"")</f>
        <v/>
      </c>
      <c r="RQ53">
        <f>$OK53</f>
        <v/>
      </c>
      <c r="RR53">
        <f>$OL53</f>
        <v/>
      </c>
      <c r="RS53">
        <f>$RP53</f>
        <v/>
      </c>
    </row>
    <row r="54">
      <c r="AV54" s="162" t="inlineStr">
        <is>
          <t>Remate</t>
        </is>
      </c>
      <c r="AW54" s="162" t="inlineStr">
        <is>
          <t>Castigo</t>
        </is>
      </c>
      <c r="AX54" s="164" t="n">
        <v>2</v>
      </c>
      <c r="AY54" s="164" t="n">
        <v>0</v>
      </c>
      <c r="AZ54" s="164" t="n">
        <v>0</v>
      </c>
      <c r="BA54" s="164" t="n">
        <v>0</v>
      </c>
      <c r="JT54" s="164">
        <f>IF(OR($AW54="",(COUNTIF($EL$2:$EP$2,$AW54)+COUNTIF($QV$2:$QY$2,$AW54))&gt;0),$AV54,"")</f>
        <v/>
      </c>
      <c r="JU54" s="164">
        <f>IF(AND($AX54=1,OR($AW54="",(COUNTIF($EL$2:$EP$2,$AW54)+COUNTIF($QV$2:$QY$2,$AW54))&gt;0)),$AV54,"")</f>
        <v/>
      </c>
      <c r="JZ54" s="164">
        <f>IF(OR($AW54="",(COUNTIF($EL$3:$EP$3,$AW54)+COUNTIF($QV$3:$QY$3,$AW54))&gt;0),$AV54,"")</f>
        <v/>
      </c>
      <c r="KA54" s="164">
        <f>IF(AND($AX54=1,OR($AW54="",(COUNTIF($EL$3:$EP$3,$AW54)+COUNTIF($QV$3:$QY$3,$AW54))&gt;0)),$AV54,"")</f>
        <v/>
      </c>
      <c r="KF54" s="164">
        <f>IF(OR($AW54="",(COUNTIF($EL$4:$EP$4,$AW54)+COUNTIF($QV$4:$QY$4,$AW54))&gt;0),$AV54,"")</f>
        <v/>
      </c>
      <c r="KG54" s="164">
        <f>IF(AND($AX54=1,OR($AW54="",(COUNTIF($EL$4:$EP$4,$AW54)+COUNTIF($QV$4:$QY$4,$AW54))&gt;0)),$AV54,"")</f>
        <v/>
      </c>
      <c r="KL54" s="164">
        <f>IF(OR($AW54="",(COUNTIF($EL$5:$EP$5,$AW54)+COUNTIF($QV$5:$QY$5,$AW54))&gt;0),$AV54,"")</f>
        <v/>
      </c>
      <c r="KM54" s="164">
        <f>IF(AND($AX54=1,OR($AW54="",(COUNTIF($EL$5:$EP$5,$AW54)+COUNTIF($QV$5:$QY$5,$AW54))&gt;0)),$AV54,"")</f>
        <v/>
      </c>
      <c r="KR54" s="164">
        <f>IF(OR($AW54="",(COUNTIF($EL$6:$EP$6,$AW54)+COUNTIF($QV$6:$QY$6,$AW54))&gt;0),$AV54,"")</f>
        <v/>
      </c>
      <c r="KS54" s="164">
        <f>IF(AND($AX54=1,OR($AW54="",(COUNTIF($EL$6:$EP$6,$AW54)+COUNTIF($QV$6:$QY$6,$AW54))&gt;0)),$AV54,"")</f>
        <v/>
      </c>
      <c r="KX54" s="164">
        <f>IF(OR($AW54="",(COUNTIF($EL$7:$EP$7,$AW54)+COUNTIF($QV$7:$QY$7,$AW54))&gt;0),$AV54,"")</f>
        <v/>
      </c>
      <c r="KY54" s="164">
        <f>IF(AND($AX54=1,OR($AW54="",(COUNTIF($EL$7:$EP$7,$AW54)+COUNTIF($QV$7:$QY$7,$AW54))&gt;0)),$AV54,"")</f>
        <v/>
      </c>
      <c r="LD54" s="164">
        <f>IF(OR($AW54="",(COUNTIF($EL$8:$EP$8,$AW54)+COUNTIF($QV$8:$QY$8,$AW54))&gt;0),$AV54,"")</f>
        <v/>
      </c>
      <c r="LE54" s="164">
        <f>IF(AND($AX54=1,OR($AW54="",(COUNTIF($EL$8:$EP$8,$AW54)+COUNTIF($QV$8:$QY$8,$AW54))&gt;0)),$AV54,"")</f>
        <v/>
      </c>
      <c r="LJ54" s="164">
        <f>IF(OR($AW54="",(COUNTIF($EL$9:$EP$9,$AW54)+COUNTIF($QV$9:$QY$9,$AW54))&gt;0),$AV54,"")</f>
        <v/>
      </c>
      <c r="LK54" s="164">
        <f>IF(AND($AX54=1,OR($AW54="",(COUNTIF($EL$9:$EP$9,$AW54)+COUNTIF($QV$9:$QY$9,$AW54))&gt;0)),$AV54,"")</f>
        <v/>
      </c>
      <c r="LP54" s="164">
        <f>IF(OR($AW54="",(COUNTIF($EL$10:$EP$10,$AW54)+COUNTIF($QV$10:$QY$10,$AW54))&gt;0),$AV54,"")</f>
        <v/>
      </c>
      <c r="LQ54" s="164">
        <f>IF(AND($AX54=1,OR($AW54="",(COUNTIF($EL$10:$EP$10,$AW54)+COUNTIF($QV$10:$QY$10,$AW54))&gt;0)),$AV54,"")</f>
        <v/>
      </c>
      <c r="LV54" s="164">
        <f>IF(OR($AW54="",(COUNTIF($EL$11:$EP$11,$AW54)+COUNTIF($QV$11:$QY$11,$AW54))&gt;0),$AV54,"")</f>
        <v/>
      </c>
      <c r="LW54" s="164">
        <f>IF(AND($AX54=1,OR($AW54="",(COUNTIF($EL$11:$EP$11,$AW54)+COUNTIF($QV$11:$QY$11,$AW54))&gt;0)),$AV54,"")</f>
        <v/>
      </c>
      <c r="MB54" s="164">
        <f>IF(OR($AW54="",(COUNTIF($EL$12:$EP$12,$AW54)+COUNTIF($QV$12:$QY$12,$AW54))&gt;0),$AV54,"")</f>
        <v/>
      </c>
      <c r="MC54" s="164">
        <f>IF(AND($AX54=1,OR($AW54="",(COUNTIF($EL$12:$EP$12,$AW54)+COUNTIF($QV$12:$QY$12,$AW54))&gt;0)),$AV54,"")</f>
        <v/>
      </c>
      <c r="MH54" s="164">
        <f>IF(OR($AW54="",(COUNTIF($EL$13:$EP$13,$AW54)+COUNTIF($QV$13:$QY$13,$AW54))&gt;0),$AV54,"")</f>
        <v/>
      </c>
      <c r="MI54" s="164">
        <f>IF(AND($AX54=1,OR($AW54="",(COUNTIF($EL$13:$EP$13,$AW54)+COUNTIF($QV$13:$QY$13,$AW54))&gt;0)),$AV54,"")</f>
        <v/>
      </c>
      <c r="MN54" s="162" t="inlineStr">
        <is>
          <t>Ficha 5 · Básica 1</t>
        </is>
      </c>
      <c r="MO54" s="164" t="n">
        <v>5</v>
      </c>
      <c r="MP54" s="164" t="n">
        <v>0</v>
      </c>
      <c r="MQ54" s="164" t="n">
        <v>1</v>
      </c>
      <c r="MR54" s="162" t="inlineStr">
        <is>
          <t>BÁSICA 1</t>
        </is>
      </c>
      <c r="MS54" s="164" t="n">
        <v>0</v>
      </c>
      <c r="MT54" s="164">
        <f>'INVOCAÇÕES'!$J$915&amp;""</f>
        <v/>
      </c>
      <c r="MU54" s="164">
        <f>'INVOCAÇÕES'!$I$920&amp;""</f>
        <v/>
      </c>
      <c r="MV54" s="164">
        <f>'INVOCAÇÕES'!$I$921&amp;""</f>
        <v/>
      </c>
      <c r="MW54" s="164">
        <f>'INVOCAÇÕES'!$K$921&amp;""</f>
        <v/>
      </c>
      <c r="MX54" s="164">
        <f>'INVOCAÇÕES'!$J$924&amp;""</f>
        <v/>
      </c>
      <c r="MY54" s="164">
        <f>'INVOCAÇÕES'!$J$925&amp;""</f>
        <v/>
      </c>
      <c r="MZ54" s="164">
        <f>'INVOCAÇÕES'!$J$926&amp;""</f>
        <v/>
      </c>
      <c r="NA54" s="164">
        <f>'INVOCAÇÕES'!$J$927&amp;""</f>
        <v/>
      </c>
      <c r="NB54" s="164">
        <f>'INVOCAÇÕES'!$J$928&amp;""</f>
        <v/>
      </c>
      <c r="NC54" s="164">
        <f>'INVOCAÇÕES'!$J$929&amp;""</f>
        <v/>
      </c>
      <c r="ND54" s="164">
        <f>IF($MT54&lt;&gt;"",1,0)</f>
        <v/>
      </c>
      <c r="NE54" s="164">
        <f>INDEX($FO$2:$FO$13,$MO54)</f>
        <v/>
      </c>
      <c r="NF54" s="164">
        <f>INDEX($FP$2:$FP$13,$MO54)</f>
        <v/>
      </c>
      <c r="NG54" s="164">
        <f>INDEX($FQ$2:$FQ$13,$MO54)</f>
        <v/>
      </c>
      <c r="NH54" s="164">
        <f>INDEX($GB$2:$GB$13,$MO54)</f>
        <v/>
      </c>
      <c r="NI54" s="164">
        <f>INDEX($GC$2:$GC$13,$MO54)</f>
        <v/>
      </c>
      <c r="NJ54" s="164">
        <f>IFERROR(MATCH(SUBSTITUTE(SUBSTITUTE(SUBSTITUTE($MU54,"~","~~"),"*","~*"),"?","~?"),'DADOS_FORMAS'!$FZ$2:$FZ$21,0),0)</f>
        <v/>
      </c>
      <c r="NK54" s="164">
        <f>IFERROR(VLOOKUP(SUBSTITUTE(SUBSTITUTE(SUBSTITUTE($MX54,"~","~~"),"*","~*"),"?","~?"),'DADOS_MELHORIAS'!$AG$2:$AL$113,2,FALSE),"")</f>
        <v/>
      </c>
      <c r="NL54" s="164">
        <f>IFERROR(VLOOKUP(SUBSTITUTE(SUBSTITUTE(SUBSTITUTE($MY54,"~","~~"),"*","~*"),"?","~?"),'DADOS_MELHORIAS'!$AG$2:$AL$113,2,FALSE),"")</f>
        <v/>
      </c>
      <c r="NM54" s="164">
        <f>IFERROR(VLOOKUP(SUBSTITUTE(SUBSTITUTE(SUBSTITUTE($MZ54,"~","~~"),"*","~*"),"?","~?"),'DADOS_MELHORIAS'!$AG$2:$AL$113,2,FALSE),"")</f>
        <v/>
      </c>
      <c r="NN54" s="164">
        <f>IFERROR(VLOOKUP(SUBSTITUTE(SUBSTITUTE(SUBSTITUTE($NA54,"~","~~"),"*","~*"),"?","~?"),'DADOS_MELHORIAS'!$AG$2:$AL$113,2,FALSE),"")</f>
        <v/>
      </c>
      <c r="NO54" s="164">
        <f>IFERROR(VLOOKUP(SUBSTITUTE(SUBSTITUTE(SUBSTITUTE($MX54,"~","~~"),"*","~*"),"?","~?"),'DADOS_MELHORIAS'!$AG$2:$AL$113,3,FALSE),0)</f>
        <v/>
      </c>
      <c r="NP54" s="164">
        <f>IFERROR(VLOOKUP(SUBSTITUTE(SUBSTITUTE(SUBSTITUTE($MY54,"~","~~"),"*","~*"),"?","~?"),'DADOS_MELHORIAS'!$AG$2:$AL$113,3,FALSE),0)</f>
        <v/>
      </c>
      <c r="NQ54" s="164">
        <f>IFERROR(VLOOKUP(SUBSTITUTE(SUBSTITUTE(SUBSTITUTE($MZ54,"~","~~"),"*","~*"),"?","~?"),'DADOS_MELHORIAS'!$AG$2:$AL$113,3,FALSE),0)</f>
        <v/>
      </c>
      <c r="NR54" s="164">
        <f>IFERROR(VLOOKUP(SUBSTITUTE(SUBSTITUTE(SUBSTITUTE($NA54,"~","~~"),"*","~*"),"?","~?"),'DADOS_MELHORIAS'!$AG$2:$AL$113,3,FALSE),0)</f>
        <v/>
      </c>
      <c r="NS54" s="164">
        <f>IF($MS54=0,0,IF($NJ54=0,0,INDEX('DADOS_FORMAS'!$GB$2:$GB$21,$NJ54)))</f>
        <v/>
      </c>
      <c r="NT54" s="164">
        <f>IF(OR($NO54=0,$MS54=0),0,$NO54+3*IF(AND($NK54&lt;&gt;"",COUNTIF(INDEX($RB$2:$RJ$13,$MO54,0),$NK54)&gt;0),1,0))</f>
        <v/>
      </c>
      <c r="NU54" s="164">
        <f>IF(OR($NP54=0,$MS54=0),0,$NP54+3*IF(AND($NL54&lt;&gt;"",COUNTIF(INDEX($RB$2:$RJ$13,$MO54,0),$NL54)&gt;0),1,0))</f>
        <v/>
      </c>
      <c r="NV54" s="164">
        <f>IF(OR($NQ54=0,$MS54=0),0,$NQ54+3*IF(AND($NM54&lt;&gt;"",COUNTIF(INDEX($RB$2:$RJ$13,$MO54,0),$NM54)&gt;0),1,0))</f>
        <v/>
      </c>
      <c r="NW54" s="164">
        <f>IF(OR($NR54=0,$MS54=0),0,$NR54+3*IF(AND($NN54&lt;&gt;"",COUNTIF(INDEX($RB$2:$RJ$13,$MO54,0),$NN54)&gt;0),1,0))</f>
        <v/>
      </c>
      <c r="NX54" s="164">
        <f>IF($NJ54=0,0,IF(INDEX('DADOS_FORMAS'!$GA$2:$GA$21,$NJ54)="",0,IF((COUNTIF(INDEX($EL$2:$EP$13,$MO54,0),INDEX('DADOS_FORMAS'!$GA$2:$GA$21,$NJ54))+COUNTIF(INDEX($QV$2:$QY$13,$MO54,0),INDEX('DADOS_FORMAS'!$GA$2:$GA$21,$NJ54)))=0,1,0)))</f>
        <v/>
      </c>
      <c r="NY54" s="164">
        <f>IF(OR($NO54=0,$NK54=""),0,IF((COUNTIF(INDEX($EL$2:$EP$13,$MO54,0),$NK54)+COUNTIF(INDEX($QV$2:$QY$13,$MO54,0),$NK54))=0,1,0))</f>
        <v/>
      </c>
      <c r="NZ54" s="164">
        <f>IF(OR($NP54=0,$NL54=""),0,IF((COUNTIF(INDEX($EL$2:$EP$13,$MO54,0),$NL54)+COUNTIF(INDEX($QV$2:$QY$13,$MO54,0),$NL54))=0,1,0))</f>
        <v/>
      </c>
      <c r="OA54" s="164">
        <f>IF(OR($NQ54=0,$NM54=""),0,IF((COUNTIF(INDEX($EL$2:$EP$13,$MO54,0),$NM54)+COUNTIF(INDEX($QV$2:$QY$13,$MO54,0),$NM54))=0,1,0))</f>
        <v/>
      </c>
      <c r="OB54" s="164">
        <f>IF(OR($NR54=0,$NN54=""),0,IF((COUNTIF(INDEX($EL$2:$EP$13,$MO54,0),$NN54)+COUNTIF(INDEX($QV$2:$QY$13,$MO54,0),$NN54))=0,1,0))</f>
        <v/>
      </c>
      <c r="OC54" s="164">
        <f>IFERROR(VLOOKUP(SUBSTITUTE(SUBSTITUTE(SUBSTITUTE($MX54,"~","~~"),"*","~*"),"?","~?"),'DADOS_MELHORIAS'!$AG$2:$AL$113,4,FALSE),0)+IFERROR(VLOOKUP(SUBSTITUTE(SUBSTITUTE(SUBSTITUTE($MY54,"~","~~"),"*","~*"),"?","~?"),'DADOS_MELHORIAS'!$AG$2:$AL$113,4,FALSE),0)+IFERROR(VLOOKUP(SUBSTITUTE(SUBSTITUTE(SUBSTITUTE($MZ54,"~","~~"),"*","~*"),"?","~?"),'DADOS_MELHORIAS'!$AG$2:$AL$113,4,FALSE),0)+IFERROR(VLOOKUP(SUBSTITUTE(SUBSTITUTE(SUBSTITUTE($NA54,"~","~~"),"*","~*"),"?","~?"),'DADOS_MELHORIAS'!$AG$2:$AL$113,4,FALSE),0)</f>
        <v/>
      </c>
      <c r="OD54" s="164">
        <f>IFERROR(VLOOKUP(SUBSTITUTE(SUBSTITUTE(SUBSTITUTE($MX54,"~","~~"),"*","~*"),"?","~?"),'DADOS_MELHORIAS'!$AG$2:$AL$113,6,FALSE),0)+IFERROR(VLOOKUP(SUBSTITUTE(SUBSTITUTE(SUBSTITUTE($MY54,"~","~~"),"*","~*"),"?","~?"),'DADOS_MELHORIAS'!$AG$2:$AL$113,6,FALSE),0)+IFERROR(VLOOKUP(SUBSTITUTE(SUBSTITUTE(SUBSTITUTE($MZ54,"~","~~"),"*","~*"),"?","~?"),'DADOS_MELHORIAS'!$AG$2:$AL$113,6,FALSE),0)+IFERROR(VLOOKUP(SUBSTITUTE(SUBSTITUTE(SUBSTITUTE($NA54,"~","~~"),"*","~*"),"?","~?"),'DADOS_MELHORIAS'!$AG$2:$AL$113,6,FALSE),0)+IFERROR(N(AND(INDEX('DADOS_FORMAS'!$AO$2:$AO$21,MATCH(SUBSTITUTE(SUBSTITUTE(SUBSTITUTE($MU54,"~","~~"),"*","~*"),"?","~?"),'DADOS_FORMAS'!$AH$2:$AH$21,0))="Acerto",$OH54=1)),0)</f>
        <v/>
      </c>
      <c r="OE54" s="164">
        <f>TEXTJOIN(", ",TRUE,IF(IFERROR(VLOOKUP(SUBSTITUTE(SUBSTITUTE(SUBSTITUTE($MX54,"~","~~"),"*","~*"),"?","~?"),'DADOS_MELHORIAS'!$AG$2:$AL$113,5,FALSE),0)=1,$MX54,""),IF(IFERROR(VLOOKUP(SUBSTITUTE(SUBSTITUTE(SUBSTITUTE($MY54,"~","~~"),"*","~*"),"?","~?"),'DADOS_MELHORIAS'!$AG$2:$AL$113,5,FALSE),0)=1,$MY54,""),IF(IFERROR(VLOOKUP(SUBSTITUTE(SUBSTITUTE(SUBSTITUTE($MZ54,"~","~~"),"*","~*"),"?","~?"),'DADOS_MELHORIAS'!$AG$2:$AL$113,5,FALSE),0)=1,$MZ54,""),IF(IFERROR(VLOOKUP(SUBSTITUTE(SUBSTITUTE(SUBSTITUTE($NA54,"~","~~"),"*","~*"),"?","~?"),'DADOS_MELHORIAS'!$AG$2:$AL$113,5,FALSE),0)=1,$NA54,""))</f>
        <v/>
      </c>
      <c r="OF54" s="164">
        <f>IF($NJ54=0,0,INDEX('DADOS_FORMAS'!$GC$2:$GC$21,$NJ54))</f>
        <v/>
      </c>
      <c r="OG54" s="164">
        <f>IF($NJ54=0,0,INDEX('DADOS_FORMAS'!$GD$2:$GD$21,$NJ54))</f>
        <v/>
      </c>
      <c r="OH54" s="164">
        <f>IF($NJ54=0,0,INDEX('DADOS_FORMAS'!$GF$2:$GF$21,$NJ54))</f>
        <v/>
      </c>
      <c r="OI54" s="164">
        <f>IFERROR(VLOOKUP(SUBSTITUTE(SUBSTITUTE(SUBSTITUTE($NB54,"~","~~"),"*","~*"),"?","~?"),'DADOS_RESTRICOES'!$M$2:$Q$54,3,FALSE),0)</f>
        <v/>
      </c>
      <c r="OJ54" s="164">
        <f>IFERROR(VLOOKUP(SUBSTITUTE(SUBSTITUTE(SUBSTITUTE($NC54,"~","~~"),"*","~*"),"?","~?"),'DADOS_RESTRICOES'!$M$2:$Q$54,3,FALSE),0)</f>
        <v/>
      </c>
      <c r="OK54" s="164">
        <f>IFERROR(VLOOKUP(SUBSTITUTE(SUBSTITUTE(SUBSTITUTE($NB54,"~","~~"),"*","~*"),"?","~?"),'DADOS_RESTRICOES'!$M$2:$Q$54,2,FALSE),"")</f>
        <v/>
      </c>
      <c r="OL54" s="164">
        <f>IFERROR(VLOOKUP(SUBSTITUTE(SUBSTITUTE(SUBSTITUTE($NC54,"~","~~"),"*","~*"),"?","~?"),'DADOS_RESTRICOES'!$M$2:$Q$54,2,FALSE),"")</f>
        <v/>
      </c>
      <c r="OM54" s="164">
        <f>COUNTIF($NS54:$NW54,1)</f>
        <v/>
      </c>
      <c r="ON54" s="164">
        <f>COUNTIF($NS54:$NW54,2)</f>
        <v/>
      </c>
      <c r="OO54" s="164">
        <f>COUNTIF($NS54:$NW54,3)</f>
        <v/>
      </c>
      <c r="OP54" s="164">
        <f>COUNTIF($NS54:$NW54,4)</f>
        <v/>
      </c>
      <c r="OQ54" s="164">
        <f>COUNTIF($NS54:$NW54,5)</f>
        <v/>
      </c>
      <c r="OR54" s="164">
        <f>COUNTIF($NS54:$NW54,6)</f>
        <v/>
      </c>
      <c r="OS54" s="164">
        <f>COUNTIF($OI54:$OJ54,1)+IF(IFERROR(INDEX('DADOS_FORMAS'!$AS$2:$AS$21,MATCH(SUBSTITUTE(SUBSTITUTE(SUBSTITUTE($MU54,"~","~~"),"*","~*"),"?","~?"),'DADOS_FORMAS'!$AH$2:$AH$21,0)),"")="",0,IFERROR(N(VLOOKUP(SUBSTITUTE(SUBSTITUTE(SUBSTITUTE(IFERROR(INDEX('DADOS_FORMAS'!$AS$2:$AS$21,MATCH(SUBSTITUTE(SUBSTITUTE(SUBSTITUTE($MU54,"~","~~"),"*","~*"),"?","~?"),'DADOS_FORMAS'!$AH$2:$AH$21,0)),""),"~","~~"),"*","~*"),"?","~?"),'DADOS_RESTRICOES'!$M$2:$Q$54,3,FALSE)=1),0))</f>
        <v/>
      </c>
      <c r="OT54" s="164">
        <f>COUNTIF($OI54:$OJ54,2)+IF(IFERROR(INDEX('DADOS_FORMAS'!$AS$2:$AS$21,MATCH(SUBSTITUTE(SUBSTITUTE(SUBSTITUTE($MU54,"~","~~"),"*","~*"),"?","~?"),'DADOS_FORMAS'!$AH$2:$AH$21,0)),"")="",0,IFERROR(N(VLOOKUP(SUBSTITUTE(SUBSTITUTE(SUBSTITUTE(IFERROR(INDEX('DADOS_FORMAS'!$AS$2:$AS$21,MATCH(SUBSTITUTE(SUBSTITUTE(SUBSTITUTE($MU54,"~","~~"),"*","~*"),"?","~?"),'DADOS_FORMAS'!$AH$2:$AH$21,0)),""),"~","~~"),"*","~*"),"?","~?"),'DADOS_RESTRICOES'!$M$2:$Q$54,3,FALSE)=2),0))</f>
        <v/>
      </c>
      <c r="OU54" s="164">
        <f>COUNTIF($MX54:$NA54,"?*")</f>
        <v/>
      </c>
      <c r="OV54" s="164">
        <f>COUNTIF($NB54:$NC54,"?*")+$OF54</f>
        <v/>
      </c>
      <c r="OW54" s="164">
        <f>IF($MS54=0,0,SUMPRODUCT($OM54:$OR54,INDEX($I$2:$N$8,MAX(1,$MS54),0)))</f>
        <v/>
      </c>
      <c r="OX54" s="164">
        <f>IF($MS54=0,0,$OS54*CEILING($MS54/2,1)+$OT54*$MS54)</f>
        <v/>
      </c>
      <c r="OY54" s="164">
        <f>MIN(2*$MS54,$OX54)</f>
        <v/>
      </c>
      <c r="OZ54" s="164">
        <f>MIN($OY54,$OW54-IF($NS54=0,0,INDEX($I$2:$N$8,MAX(1,$MS54),$NS54)))</f>
        <v/>
      </c>
      <c r="PA54" s="164">
        <f>$OY54-$OZ54</f>
        <v/>
      </c>
      <c r="PB54" s="164">
        <f>IF($MS54=0,0,INDEX($P$2:$P$8,MAX(1,$MS54)))</f>
        <v/>
      </c>
      <c r="PC54" s="164">
        <f>$PB54-$OW54+$OZ54</f>
        <v/>
      </c>
      <c r="PD54" s="164">
        <f>IF($MS54=0,MAX(0,$NG54-IF(AND($OU54&gt;0,COUNTIF($NB54:$NC54,"?*")=0),1,0)),MAX(0,$PC54))</f>
        <v/>
      </c>
      <c r="PE54" s="164">
        <f>IF($MS54=0,0,(IF(COUNTIF($RK54:$RN54,"Salto")&gt;0,1,0)+IF(COUNTIF($RK54:$RN54,"Queima")&gt;0,1,0)+IF(COUNTIF($RK54:$RN54,"Estilhaço")&gt;0,1,0))*FLOOR($PD54/2,1))</f>
        <v/>
      </c>
      <c r="PF54" s="164">
        <f>MAX(0,2-SUMPRODUCT($OM54:$OR54,$I$2:$N$2)+MIN(2,$OS54*1+$OT54*1,SUMPRODUCT($OM54:$OR54,$I$2:$N$2)-IF($NS54=0,0,INDEX($I$2:$N$2,1,$NS54))))</f>
        <v/>
      </c>
      <c r="PG54" s="164">
        <f>MAX(0,4-SUMPRODUCT($OM54:$OR54,$I$3:$N$3)+MIN(4,$OS54*1+$OT54*2,SUMPRODUCT($OM54:$OR54,$I$3:$N$3)-IF($NS54=0,0,INDEX($I$3:$N$3,1,$NS54))))</f>
        <v/>
      </c>
      <c r="PH54" s="164">
        <f>MAX(0,6-SUMPRODUCT($OM54:$OR54,$I$4:$N$4)+MIN(6,$OS54*2+$OT54*3,SUMPRODUCT($OM54:$OR54,$I$4:$N$4)-IF($NS54=0,0,INDEX($I$4:$N$4,1,$NS54))))</f>
        <v/>
      </c>
      <c r="PI54" s="164">
        <f>MAX(0,9-SUMPRODUCT($OM54:$OR54,$I$5:$N$5)+MIN(8,$OS54*2+$OT54*4,SUMPRODUCT($OM54:$OR54,$I$5:$N$5)-IF($NS54=0,0,INDEX($I$5:$N$5,1,$NS54))))</f>
        <v/>
      </c>
      <c r="PJ54" s="164">
        <f>MAX(0,11-SUMPRODUCT($OM54:$OR54,$I$6:$N$6)+MIN(10,$OS54*3+$OT54*5,SUMPRODUCT($OM54:$OR54,$I$6:$N$6)-IF($NS54=0,0,INDEX($I$6:$N$6,1,$NS54))))</f>
        <v/>
      </c>
      <c r="PK54" s="164">
        <f>MAX(0,13-SUMPRODUCT($OM54:$OR54,$I$7:$N$7)+MIN(12,$OS54*3+$OT54*6,SUMPRODUCT($OM54:$OR54,$I$7:$N$7)-IF($NS54=0,0,INDEX($I$7:$N$7,1,$NS54))))</f>
        <v/>
      </c>
      <c r="PL54" s="164">
        <f>MAX(0,16-SUMPRODUCT($OM54:$OR54,$I$8:$N$8)+MIN(14,$OS54*4+$OT54*7,SUMPRODUCT($OM54:$OR54,$I$8:$N$8)-IF($NS54=0,0,INDEX($I$8:$N$8,1,$NS54))))</f>
        <v/>
      </c>
      <c r="PM54" s="164">
        <f>IF($OG54=2,3*$PF54&amp;" de vida temp.",IF($OG54=3,"sem dano",IF($PF54=0,IF($OG54=1,"sem cura","sem dano"),IF($OG54=1,"cura ","")&amp;$PF54&amp;"d8")))</f>
        <v/>
      </c>
      <c r="PN54" s="164">
        <f>IF($OG54=2,3*$PG54&amp;" de vida temp.",IF($OG54=3,"sem dano",IF($PG54=0,IF($OG54=1,"sem cura","sem dano"),IF($OG54=1,"cura ","")&amp;$PG54&amp;"d8")))</f>
        <v/>
      </c>
      <c r="PO54" s="164">
        <f>IF($OG54=2,3*$PH54&amp;" de vida temp.",IF($OG54=3,"sem dano",IF($PH54=0,IF($OG54=1,"sem cura","sem dano"),IF($OG54=1,"cura ","")&amp;$PH54&amp;"d8")))</f>
        <v/>
      </c>
      <c r="PP54" s="164">
        <f>IF($OG54=2,3*$PI54&amp;" de vida temp.",IF($OG54=3,"sem dano",IF($PI54=0,IF($OG54=1,"sem cura","sem dano"),IF($OG54=1,"cura ","")&amp;$PI54&amp;"d8")))</f>
        <v/>
      </c>
      <c r="PQ54" s="164">
        <f>IF($OG54=2,3*$PJ54&amp;" de vida temp.",IF($OG54=3,"sem dano",IF($PJ54=0,IF($OG54=1,"sem cura","sem dano"),IF($OG54=1,"cura ","")&amp;$PJ54&amp;"d8")))</f>
        <v/>
      </c>
      <c r="PR54" s="164">
        <f>IF($OG54=2,3*$PK54&amp;" de vida temp.",IF($OG54=3,"sem dano",IF($PK54=0,IF($OG54=1,"sem cura","sem dano"),IF($OG54=1,"cura ","")&amp;$PK54&amp;"d8")))</f>
        <v/>
      </c>
      <c r="PS54" s="164">
        <f>IF($OG54=2,3*$PL54&amp;" de vida temp.",IF($OG54=3,"sem dano",IF($PL54=0,IF($OG54=1,"sem cura","sem dano"),IF($OG54=1,"cura ","")&amp;$PL54&amp;"d8")))</f>
        <v/>
      </c>
      <c r="PT54" s="164">
        <f>IF($ND54=0,"",TEXTJOIN(" · ",TRUE,IF($ND54=0,"",TEXTJOIN(" · ",TRUE,IF($ND54=0,"",TEXTJOIN(" · ",TRUE,IF($MQ54&gt;$NE54,"Este lugar abre no nível "&amp;$MQ54,""),IF($MS54&gt;$NF54,"Classe "&amp;$MS54&amp;": o nível "&amp;$NE54&amp;" libera até a "&amp;$NF54,""),IF($NX54=1,"A Forma "&amp;$MU54&amp;" pede "&amp;INDEX('DADOS_FORMAS'!$GA$2:$GA$21,$NJ54)&amp;" aberta",""),IF(AND($MS54=0,$NJ54&gt;0,IF($NJ54=0,0,INDEX('DADOS_FORMAS'!$GJ$2:$GJ$21,$NJ54))=0),$MU54&amp;" não existe na Classe 0",""),IF($NY54=1,"Família Fechada: "&amp;$MX54,""),IF($NZ54=1,"Família Fechada: "&amp;$MY54,""),IF($OA54=1,"Família Fechada: "&amp;$MZ54,""),IF($OB54=1,"Família Fechada: "&amp;$NA54,""),IF(AND($MS54&gt;0,$OU54&gt;INDEX($O$2:$O$8,MAX(1,$MS54))),$OU54&amp;" Melhorias: a Classe "&amp;$MS54&amp;" aceita "&amp;INDEX($O$2:$O$8,MAX(1,$MS54)),""),IF(AND($MS54=0,$OU54&gt;1),"A básica aceita uma Melhoria",""),IF(AND($MS54=0,COUNTIF($NO54:$NR54,"&gt;1")&gt;0),"A básica só aceita Melhoria Leve",""),IF(AND($MS54&gt;0,$OV54&gt;2),$OV54&amp;" Restrições"&amp;IF($OF54=1,", contando a que a Forma "&amp;$MU54&amp;" já traz","")&amp;": o limite é 2",""),IF(AND($MS54=0,COUNTIF($NB54:$NC54,"?*")&gt;1),"A básica aceita uma Restrição Leve",""),IF(AND($MS54=0,COUNTIF($OI54:$OJ54,2)&gt;0),"A básica só aceita Restrição Leve",""),IF(AND($MS54&gt;0,$PC54&lt;0),"Orçamento estourado: faltam "&amp;(-$PC54)&amp;IF($PC54&lt;-1," pontos"," ponto"),""),IF(IFERROR(VLOOKUP(SUBSTITUTE(SUBSTITUTE(SUBSTITUTE($NB54,"~","~~"),"*","~*"),"?","~?"),'DADOS_RESTRICOES'!$M$2:$Q$54,4,FALSE),0)+IFERROR(VLOOKUP(SUBSTITUTE(SUBSTITUTE(SUBSTITUTE($NC54,"~","~~"),"*","~*"),"?","~?"),'DADOS_RESTRICOES'!$M$2:$Q$54,4,FALSE),0)&gt;1,$OK54&amp;" e "&amp;$OL54&amp;" são as duas de frequência",""),IF(AND((COUNTIF($RK54:$RN54,"Rápido")+COUNTIF($OK54:$OL54,"Rápido"))&gt;0,(COUNTIF($MX54:$NA54,"Atrasar")+COUNTIF($OK54:$OL54,"Atrasar"))&gt;0),"Rápido não entra com Atrasar",""),IF(AND((COUNTIF($RK54:$RN54,"Reação")+COUNTIF($OK54:$OL54,"Reação"))&gt;0,(COUNTIF($RK54:$RN54,"Rápido")+COUNTIF($OK54:$OL54,"Rápido"))&gt;0),"Reação não entra com Rápido",""),IF(AND((COUNTIF($RK54:$RN54,"Reação")+COUNTIF($OK54:$OL54,"Reação"))&gt;0,(COUNTIF($RK54:$RN54,"Armado")+COUNTIF($OK54:$OL54,"Armado"))&gt;0),"Reação não entra com Armado",""),IF(AND((COUNTIF($RK54:$RN54,"Reação")+COUNTIF($OK54:$OL54,"Reação"))&gt;0,(COUNTIF($MX54:$NA54,"Atrasar")+COUNTIF($OK54:$OL54,"Atrasar"))&gt;0),"Reação não entra com Atrasar",""),IF(AND((COUNTIF($RK54:$RN54,"Reação")+COUNTIF($OK54:$OL54,"Reação"))&gt;0,(COUNTIF($MX54:$NA54,"Parado")+COUNTIF($OK54:$OL54,"Parado"))&gt;0),"Reação não entra com Parado",""),IF(AND((COUNTIF($MX54:$NA54,"Atrasar")+COUNTIF($OK54:$OL54,"Atrasar"))&gt;0,(COUNTIF($MX54:$NA54,"Parado")+COUNTIF($OK54:$OL54,"Parado"))&gt;0),"Atrasar não entra com Parado",""),IF(AND((COUNTIF($RK54:$RN54,"Armado")+COUNTIF($OK54:$OL54,"Armado"))&gt;0,(COUNTIF($MX54:$NA54,"Carregar")+COUNTIF($OK54:$OL54,"Carregar"))&gt;0),"Armado não entra com Carregar",""),IF(AND(COUNTIF($OK54:$OL54,"Corpo a Corpo")&gt;0,$OF54=0,OR($RO54="Cone",$RO54="Linha")),"Corpo a Corpo não entra em "&amp;$MU54,""),IF(AND(COUNTIF($OK54:$OL54,"Corpo a Corpo")&gt;0,$RP54="Corpo a Corpo"),"A Forma "&amp;$MU54&amp;" já traz o Corpo a Corpo",""),IF(AND(COUNTIF($OK54:$OL54,"Tudo ou Nada")&gt;0,$OH54=0),"Tudo ou Nada só entra em habilidade de Teste de Resistência",""),IF(AND(COUNTIF($RK54:$RN54,"Inescapável")&gt;0,OR($OU54&gt;1,$OV54&gt;0)),"Inescapável não aceita outra peça",""),IF(AND($MS54&gt;0,$PD54*IF(COUNTIF($RK54:$RN54,"Remate")&gt;0,1.25,1)+$PE54&gt;4*$MS54),($PD54*IF(COUNTIF($RK54:$RN54,"Remate")&gt;0,1.25,1)+$PE54)&amp;" dados somando repetições"&amp;IF(COUNTIF($RK54:$RN54,"Remate")&gt;0," e o Remate","")&amp;": o teto da Classe "&amp;$MS54&amp;" é "&amp;4*$MS54,""))),IF(AND($MX54&lt;&gt;"",COUNTIF('DADOS_MELHORIAS'!$O$2:$O$113,SUBSTITUTE(SUBSTITUTE(SUBSTITUTE($MX54,"~","~~"),"*","~*"),"?","~?"))=0),"Melhoria não cadastrada ou com erro: "&amp;$MX54,""),IF(AND($MY54&lt;&gt;"",COUNTIF('DADOS_MELHORIAS'!$O$2:$O$113,SUBSTITUTE(SUBSTITUTE(SUBSTITUTE($MY54,"~","~~"),"*","~*"),"?","~?"))=0),"Melhoria não cadastrada ou com erro: "&amp;$MY54,""),IF(AND($MZ54&lt;&gt;"",COUNTIF('DADOS_MELHORIAS'!$O$2:$O$113,SUBSTITUTE(SUBSTITUTE(SUBSTITUTE($MZ54,"~","~~"),"*","~*"),"?","~?"))=0),"Melhoria não cadastrada ou com erro: "&amp;$MZ54,""),IF(AND($NA54&lt;&gt;"",COUNTIF('DADOS_MELHORIAS'!$O$2:$O$113,SUBSTITUTE(SUBSTITUTE(SUBSTITUTE($NA54,"~","~~"),"*","~*"),"?","~?"))=0),"Melhoria não cadastrada ou com erro: "&amp;$NA54,""),IF(AND($NB54&lt;&gt;"",COUNTIF('DADOS_RESTRICOES'!$M$2:$M$54,SUBSTITUTE(SUBSTITUTE(SUBSTITUTE($NB54,"~","~~"),"*","~*"),"?","~?"))=0),"Restrição não cadastrada ou com erro: "&amp;$NB54,""),IF(AND($NC54&lt;&gt;"",COUNTIF('DADOS_RESTRICOES'!$M$2:$M$54,SUBSTITUTE(SUBSTITUTE(SUBSTITUTE($NC54,"~","~~"),"*","~*"),"?","~?"))=0),"Restrição não cadastrada ou com erro: "&amp;$NC54,""))),IF(AND($MU54&lt;&gt;"",COUNTIF('DADOS_FORMAS'!$AH$2:$AH$21,SUBSTITUTE(SUBSTITUTE(SUBSTITUTE($MU54,"~","~~"),"*","~*"),"?","~?"))=0),"Forma não cadastrada ou com erro: "&amp;$MU54,""),IF(AND(IFERROR(INDEX('DADOS_FORMAS'!$AS$2:$AS$21,MATCH(SUBSTITUTE(SUBSTITUTE(SUBSTITUTE($MU54,"~","~~"),"*","~*"),"?","~?"),'DADOS_FORMAS'!$AH$2:$AH$21,0)),"")&lt;&gt;"",OR(IFERROR(VLOOKUP(SUBSTITUTE(SUBSTITUTE(SUBSTITUTE(IFERROR(INDEX('DADOS_FORMAS'!$AS$2:$AS$21,MATCH(SUBSTITUTE(SUBSTITUTE(SUBSTITUTE($MU54,"~","~~"),"*","~*"),"?","~?"),'DADOS_FORMAS'!$AH$2:$AH$21,0)),""),"~","~~"),"*","~*"),"?","~?"),'DADOS_RESTRICOES'!$M$2:$Q$54,2,FALSE),"")=$OK54,IFERROR(VLOOKUP(SUBSTITUTE(SUBSTITUTE(SUBSTITUTE(IFERROR(INDEX('DADOS_FORMAS'!$AS$2:$AS$21,MATCH(SUBSTITUTE(SUBSTITUTE(SUBSTITUTE($MU54,"~","~~"),"*","~*"),"?","~?"),'DADOS_FORMAS'!$AH$2:$AH$21,0)),""),"~","~~"),"*","~*"),"?","~?"),'DADOS_RESTRICOES'!$M$2:$Q$54,2,FALSE),"")=$OL54)),"Restrição repetida, contando a embutida",""),IF(IF(IFERROR(INDEX('DADOS_FORMAS'!$AS$2:$AS$21,MATCH(SUBSTITUTE(SUBSTITUTE(SUBSTITUTE($MU54,"~","~~"),"*","~*"),"?","~?"),'DADOS_FORMAS'!$AH$2:$AH$21,0)),"")="",0,IFERROR(N(VLOOKUP(SUBSTITUTE(SUBSTITUTE(SUBSTITUTE(IFERROR(INDEX('DADOS_FORMAS'!$AS$2:$AS$21,MATCH(SUBSTITUTE(SUBSTITUTE(SUBSTITUTE($MU54,"~","~~"),"*","~*"),"?","~?"),'DADOS_FORMAS'!$AH$2:$AH$21,0)),""),"~","~~"),"*","~*"),"?","~?"),'DADOS_RESTRICOES'!$M$2:$Q$54,4,FALSE)=1),0))+IF($NB54="",0,IFERROR(N(VLOOKUP(SUBSTITUTE(SUBSTITUTE(SUBSTITUTE($NB54,"~","~~"),"*","~*"),"?","~?"),'DADOS_RESTRICOES'!$M$2:$Q$54,4,FALSE)=1),0))+IF($NC54="",0,IFERROR(N(VLOOKUP(SUBSTITUTE(SUBSTITUTE(SUBSTITUTE($NC54,"~","~~"),"*","~*"),"?","~?"),'DADOS_RESTRICOES'!$M$2:$Q$54,4,FALSE)=1),0))&gt;1,"Duas Restrições de frequência, contando a embutida",""),IF(AND(IFERROR(VLOOKUP(SUBSTITUTE(SUBSTITUTE(SUBSTITUTE(IFERROR(INDEX('DADOS_FORMAS'!$AS$2:$AS$21,MATCH(SUBSTITUTE(SUBSTITUTE(SUBSTITUTE($MU54,"~","~~"),"*","~*"),"?","~?"),'DADOS_FORMAS'!$AH$2:$AH$21,0)),""),"~","~~"),"*","~*"),"?","~?"),'DADOS_RESTRICOES'!$M$2:$Q$54,2,FALSE),"")="Tudo ou Nada",$OH54=0),"Tudo ou Nada exige TR",""),IF(AND(IFERROR(VLOOKUP(SUBSTITUTE(SUBSTITUTE(SUBSTITUTE(IFERROR(INDEX('DADOS_FORMAS'!$AS$2:$AS$21,MATCH(SUBSTITUTE(SUBSTITUTE(SUBSTITUTE($MU54,"~","~~"),"*","~*"),"?","~?"),'DADOS_FORMAS'!$AH$2:$AH$21,0)),""),"~","~~"),"*","~*"),"?","~?"),'DADOS_RESTRICOES'!$M$2:$Q$54,2,FALSE),"")="Corpo a Corpo",OR($RO54="Cone",$RO54="Linha")),"Corpo a Corpo não entra em Cone/Linha","")))</f>
        <v/>
      </c>
      <c r="PU54" s="164">
        <f>IF($PT54="",0,(LEN($PT54)-LEN(SUBSTITUTE($PT54," · ","")))/3+1)</f>
        <v/>
      </c>
      <c r="PV54" s="164">
        <f>IF($ND54=0,"",TEXTJOIN(" · ",TRUE,IF($OX54&gt;2*$MS54,"A devolução parou no teto de "&amp;2*$MS54,""),IF($PA54&gt;0,"Devolução perdida: "&amp;$PA54&amp;IF($PA54&gt;1," pontos"," ponto")&amp;" sem Melhoria para pagar",""),IF(AND($OC54&gt;0,AND($MS54&gt;0,$OG54=0),$PD54=0),"Controle sem dano: uma rodada a mais e CD +2",""),IF(AND($OC54&gt;0,AND($MS54&gt;0,$OG54=0),$PD54&gt;0,$PD54&lt;=$MS54),"Controle com saldo até a Classe: uma rodada a mais",""),IF(AND($MS54&gt;0,$OE54&lt;&gt;""),"Efeito de "&amp;$OE54&amp;" pela Classe "&amp;MAX(1,$MS54-1),"")))</f>
        <v/>
      </c>
      <c r="PW54" s="164">
        <f>IF($PV54="",0,(LEN($PV54)-LEN(SUBSTITUTE($PV54," · ","")))/3+1)</f>
        <v/>
      </c>
      <c r="PX54" s="164">
        <f>IF($ND54=0,IF($OU54+COUNTIF($NB54:$NC54,"?*")&gt;0,"Dê um nome",""),IF($PU54&gt;0,"⚠ "&amp;$PU54&amp;IF($PU54&gt;1," erros"," erro"),IF($PW54&gt;0,"! "&amp;$PW54&amp;IF($PW54&gt;1," avisos"," aviso"),"Na regra")))</f>
        <v/>
      </c>
      <c r="PY54" s="164">
        <f>IF($ND54=0,"",IF($PU54+$PW54=0,"Dentro das regras que a ficha confere",$PT54&amp;IF(AND($PU54&gt;0,$PW54&gt;0)," · ","")&amp;$PV54))</f>
        <v/>
      </c>
      <c r="PZ54" s="164">
        <f>IF($MQ54&gt;$NE54,$MR54&amp;" · ABRE NO NÍVEL "&amp;$MQ54,$MR54)</f>
        <v/>
      </c>
      <c r="QA54" s="164">
        <f>IF($ND54=0,"",IF($MS54=0,"Sem PE",3*$MS54&amp;" PE"))</f>
        <v/>
      </c>
      <c r="QB54" s="164">
        <f>IF($ND54=0,"",IF($MS54=0,"A atuação básica dela",IF(COUNTIF($RQ54:$RS54,"Atrasar")&gt;0,"Sua Ação Completa",IF(COUNTIF($RK54:$RN54,"Rápido")&gt;0,"Sua Bônus",IF(COUNTIF($RK54:$RN54,"Reação")&gt;0,"Sua Reação","Sua Padrão")))&amp;" + a básica dela"&amp;IF(COUNTIF($RK54:$RN54,"Reação")&gt;0," e a coletiva","")&amp;IF(COUNTIF($RQ54:$RS54,"Carregar")&gt;0," · em dois turnos","")))</f>
        <v/>
      </c>
      <c r="QC54" s="164">
        <f>IF($MW54&lt;&gt;"",$MW54,IF($NJ54=0,"",INDEX('DADOS_FORMAS'!$GE$2:$GE$21,$NJ54)))</f>
        <v/>
      </c>
      <c r="QD54" s="164">
        <f>IF(OR($ND54=0,$NJ54=0),"",IF(COUNTIF($RK54:$RN54,"Inescapável")&gt;0,"Automático",IF($QC54="Ataque",IF($NH54="","Ataque","Ataque "&amp;IF(($NH54+2*IF(COUNTIF($RK54:$RN54,"Precisão")&gt;0,1,0))&gt;=0,"+","−")&amp;ABS(($NH54+2*IF(COUNTIF($RK54:$RN54,"Precisão")&gt;0,1,0))))&amp;IF($OD54&gt;0," · TR"&amp;IF($NI54="",""," CD "&amp;$NI54),""),IF(LEFT($QC54,2)="TR",$QC54&amp;IF($NI54="",""," · CD "&amp;$NI54)&amp;IF(COUNTIF($RK54:$RN54,"Certeiro")&gt;0," · metade",""),"Sem rolagem"))))</f>
        <v/>
      </c>
      <c r="QE54" s="164">
        <f>IF(OR($ND54=0,$NJ54=0),"",IF($MS54=0,IF(OR($OG54&gt;=1,$PD54=0),"Sem dano",$PD54&amp;"d6"&amp;IF($MV54="",""," "&amp;$MV54)),IF(OR($OG54&gt;=1,$PD54=0),UPPER(LEFT(INDEX($PM54:$PS54,1,MAX(1,$MS54)),1))&amp;MID(INDEX($PM54:$PS54,1,MAX(1,$MS54)),2,99),UPPER(LEFT(INDEX($PM54:$PS54,1,MAX(1,$MS54)),1))&amp;MID(INDEX($PM54:$PS54,1,MAX(1,$MS54)),2,99)&amp;IF($MV54="",""," "&amp;$MV54)&amp;IF($PE54&gt;0," · +"&amp;$PE54&amp;"d8",""))))</f>
        <v/>
      </c>
      <c r="QF54" s="164">
        <f>COUNTIF($RK54:$RN54,"Longe")+3*COUNTIF($RK54:$RN54,"Muito Longe")</f>
        <v/>
      </c>
      <c r="QG54" s="164">
        <f>COUNTIF($RK54:$RN54,"Maior")+3*COUNTIF($RK54:$RN54,"Muito Maior")</f>
        <v/>
      </c>
      <c r="QH54" s="164">
        <f>IF($NJ54=0,0,CHOOSE(1+INDEX('DADOS_FORMAS'!$GG$2:$GG$21,$NJ54),0,$QF54,$QG54,$QF54+$QG54))</f>
        <v/>
      </c>
      <c r="QI54" s="164">
        <f>IF($NJ54=0,0,CHOOSE(1+INDEX('DADOS_FORMAS'!$GH$2:$GH$21,$NJ54),0,$QF54,$QG54,$QF54+$QG54))</f>
        <v/>
      </c>
      <c r="QJ54" s="164">
        <f>IF(OR($ND54=0,$NJ54=0),"",INDEX('DADOS_FORMAS'!$HU$2:$HZ$81,($NJ54-1)*4+IF($MS54=0,1,IF($MS54&lt;=5,2,IF($MS54=6,3,4))),1+MIN(5,$QH54))&amp;INDEX('DADOS_FORMAS'!$IA$2:$IF$81,($NJ54-1)*4+IF($MS54=0,1,IF($MS54&lt;=5,2,IF($MS54=6,3,4))),1+MIN(5,$QI54))&amp;IF(INDEX('DADOS_FORMAS'!$GI$2:$GI$21,$NJ54)=1,IF(COUNTIF($RK54:$RN54,"Mais Um")&gt;0," · +"&amp;COUNTIF($RK54:$RN54,"Mais Um")&amp;IF(COUNTIF($RK54:$RN54,"Mais Um")&gt;1," alvos"," alvo"),"")&amp;IF(COUNTIF($RK54:$RN54,"Rajada")&gt;0,IF($MS54=0," · 1 tiro"," · "&amp;(MAX(1,$MS54-1)+1)&amp;" tiros"),""),""))</f>
        <v/>
      </c>
      <c r="QK54" s="164">
        <f>IF($ND54=0,"",IF($MS54=0,$NG54&amp;"d6"&amp;IF($OU54&gt;0," − 1 = "&amp;$PD54&amp;"d6"," da básica do nível "&amp;$NE54),$PB54&amp;" − "&amp;$OW54&amp;" + "&amp;$OZ54&amp;" = "&amp;$PC54&amp;" · teto "&amp;4*$MS54&amp;"d8"&amp;IF($OF54=1," · a Forma devolve "&amp;$MS54,"")&amp;IF($PA54&gt;0," · perde "&amp;$PA54,"")))</f>
        <v/>
      </c>
      <c r="QL54" s="164">
        <f>IF($ND54=0,"",IF($MS54=0,"A básica não amplia: os dados dela sobem com o nível",IF($MS54&gt;=$NF54,"Já está na maior Classe que o nível liberou",TEXTJOIN(" · ",TRUE,IF(AND(2&gt;$MS54,2&lt;=$NF54),"2 → "&amp;$PN54&amp;", 6 PE",""),IF(AND(3&gt;$MS54,3&lt;=$NF54),"3 → "&amp;$PO54&amp;", 9 PE",""),IF(AND(4&gt;$MS54,4&lt;=$NF54),"4 → "&amp;$PP54&amp;", 12 PE",""),IF(AND(5&gt;$MS54,5&lt;=$NF54),"5 → "&amp;$PQ54&amp;", 15 PE",""),IF(AND(6&gt;$MS54,6&lt;=$NF54),"6 → "&amp;$PR54&amp;", 18 PE",""),IF(AND(7&gt;$MS54,7&lt;=$NF54),"7 → "&amp;$PS54&amp;", 21 PE","")))))</f>
        <v/>
      </c>
      <c r="QM54" s="164">
        <f>IF(OR($ND54=0,$NO54=0),"",IF($MS54=0,"−1 dado","−"&amp;INDEX($I$2:$N$8,MAX(1,$MS54),MAX(1,$NT54))&amp;" · "&amp;CHOOSE(MAX(1,$NT54),"Leve","Média","Pesada","Leve · Livre","Média · Livre","Pesada · Livre")))</f>
        <v/>
      </c>
      <c r="QN54" s="164">
        <f>IF(OR($ND54=0,$NP54=0),"",IF($MS54=0,"−1 dado","−"&amp;INDEX($I$2:$N$8,MAX(1,$MS54),MAX(1,$NU54))&amp;" · "&amp;CHOOSE(MAX(1,$NU54),"Leve","Média","Pesada","Leve · Livre","Média · Livre","Pesada · Livre")))</f>
        <v/>
      </c>
      <c r="QO54" s="164">
        <f>IF(OR($ND54=0,$NQ54=0),"",IF($MS54=0,"−1 dado","−"&amp;INDEX($I$2:$N$8,MAX(1,$MS54),MAX(1,$NV54))&amp;" · "&amp;CHOOSE(MAX(1,$NV54),"Leve","Média","Pesada","Leve · Livre","Média · Livre","Pesada · Livre")))</f>
        <v/>
      </c>
      <c r="QP54" s="164">
        <f>IF(OR($ND54=0,$NR54=0),"",IF($MS54=0,"−1 dado","−"&amp;INDEX($I$2:$N$8,MAX(1,$MS54),MAX(1,$NW54))&amp;" · "&amp;CHOOSE(MAX(1,$NW54),"Leve","Média","Pesada","Leve · Livre","Média · Livre","Pesada · Livre")))</f>
        <v/>
      </c>
      <c r="QQ54" s="164">
        <f>IF(OR($ND54=0,$NB54=""),"",IF($MS54=0,"não devolve","+"&amp;IF($OI54=1,CEILING($MS54/2,1),$MS54)))</f>
        <v/>
      </c>
      <c r="QR54" s="164">
        <f>IF(OR($ND54=0,$NC54=""),"",IF($MS54=0,"não devolve","+"&amp;IF($OJ54=1,CEILING($MS54/2,1),$MS54)))</f>
        <v/>
      </c>
      <c r="RK54">
        <f>IF($MX54="","",IFERROR(VLOOKUP(SUBSTITUTE(SUBSTITUTE(SUBSTITUTE($MX54,"~","~~"),"*","~*"),"?","~?"),'DADOS_MELHORIAS'!$O$2:$X$113,10,FALSE),$MX54))</f>
        <v/>
      </c>
      <c r="RL54">
        <f>IF($MY54="","",IFERROR(VLOOKUP(SUBSTITUTE(SUBSTITUTE(SUBSTITUTE($MY54,"~","~~"),"*","~*"),"?","~?"),'DADOS_MELHORIAS'!$O$2:$X$113,10,FALSE),$MY54))</f>
        <v/>
      </c>
      <c r="RM54">
        <f>IF($MZ54="","",IFERROR(VLOOKUP(SUBSTITUTE(SUBSTITUTE(SUBSTITUTE($MZ54,"~","~~"),"*","~*"),"?","~?"),'DADOS_MELHORIAS'!$O$2:$X$113,10,FALSE),$MZ54))</f>
        <v/>
      </c>
      <c r="RN54">
        <f>IF($NA54="","",IFERROR(VLOOKUP(SUBSTITUTE(SUBSTITUTE(SUBSTITUTE($NA54,"~","~~"),"*","~*"),"?","~?"),'DADOS_MELHORIAS'!$O$2:$X$113,10,FALSE),$NA54))</f>
        <v/>
      </c>
      <c r="RO54">
        <f>IFERROR(INDEX('DADOS_FORMAS'!$BJ$2:$BJ$21,MATCH(SUBSTITUTE(SUBSTITUTE(SUBSTITUTE($MU54,"~","~~"),"*","~*"),"?","~?"),'DADOS_FORMAS'!$AH$2:$AH$21,0)),"")</f>
        <v/>
      </c>
      <c r="RP54">
        <f>IFERROR(VLOOKUP(SUBSTITUTE(SUBSTITUTE(SUBSTITUTE(IFERROR(INDEX('DADOS_FORMAS'!$AS$2:$AS$21,MATCH(SUBSTITUTE(SUBSTITUTE(SUBSTITUTE($MU54,"~","~~"),"*","~*"),"?","~?"),'DADOS_FORMAS'!$AH$2:$AH$21,0)),""),"~","~~"),"*","~*"),"?","~?"),'DADOS_RESTRICOES'!$M$2:$Q$54,2,FALSE),"")</f>
        <v/>
      </c>
      <c r="RQ54">
        <f>$OK54</f>
        <v/>
      </c>
      <c r="RR54">
        <f>$OL54</f>
        <v/>
      </c>
      <c r="RS54">
        <f>$RP54</f>
        <v/>
      </c>
    </row>
    <row r="55">
      <c r="AV55" s="162" t="inlineStr">
        <is>
          <t>Estilhaço</t>
        </is>
      </c>
      <c r="AW55" s="162" t="inlineStr">
        <is>
          <t>Castigo</t>
        </is>
      </c>
      <c r="AX55" s="164" t="n">
        <v>1</v>
      </c>
      <c r="AY55" s="164" t="n">
        <v>0</v>
      </c>
      <c r="AZ55" s="164" t="n">
        <v>0</v>
      </c>
      <c r="BA55" s="164" t="n">
        <v>0</v>
      </c>
      <c r="JT55" s="164">
        <f>IF(OR($AW55="",(COUNTIF($EL$2:$EP$2,$AW55)+COUNTIF($QV$2:$QY$2,$AW55))&gt;0),$AV55,"")</f>
        <v/>
      </c>
      <c r="JU55" s="164">
        <f>IF(AND($AX55=1,OR($AW55="",(COUNTIF($EL$2:$EP$2,$AW55)+COUNTIF($QV$2:$QY$2,$AW55))&gt;0)),$AV55,"")</f>
        <v/>
      </c>
      <c r="JZ55" s="164">
        <f>IF(OR($AW55="",(COUNTIF($EL$3:$EP$3,$AW55)+COUNTIF($QV$3:$QY$3,$AW55))&gt;0),$AV55,"")</f>
        <v/>
      </c>
      <c r="KA55" s="164">
        <f>IF(AND($AX55=1,OR($AW55="",(COUNTIF($EL$3:$EP$3,$AW55)+COUNTIF($QV$3:$QY$3,$AW55))&gt;0)),$AV55,"")</f>
        <v/>
      </c>
      <c r="KF55" s="164">
        <f>IF(OR($AW55="",(COUNTIF($EL$4:$EP$4,$AW55)+COUNTIF($QV$4:$QY$4,$AW55))&gt;0),$AV55,"")</f>
        <v/>
      </c>
      <c r="KG55" s="164">
        <f>IF(AND($AX55=1,OR($AW55="",(COUNTIF($EL$4:$EP$4,$AW55)+COUNTIF($QV$4:$QY$4,$AW55))&gt;0)),$AV55,"")</f>
        <v/>
      </c>
      <c r="KL55" s="164">
        <f>IF(OR($AW55="",(COUNTIF($EL$5:$EP$5,$AW55)+COUNTIF($QV$5:$QY$5,$AW55))&gt;0),$AV55,"")</f>
        <v/>
      </c>
      <c r="KM55" s="164">
        <f>IF(AND($AX55=1,OR($AW55="",(COUNTIF($EL$5:$EP$5,$AW55)+COUNTIF($QV$5:$QY$5,$AW55))&gt;0)),$AV55,"")</f>
        <v/>
      </c>
      <c r="KR55" s="164">
        <f>IF(OR($AW55="",(COUNTIF($EL$6:$EP$6,$AW55)+COUNTIF($QV$6:$QY$6,$AW55))&gt;0),$AV55,"")</f>
        <v/>
      </c>
      <c r="KS55" s="164">
        <f>IF(AND($AX55=1,OR($AW55="",(COUNTIF($EL$6:$EP$6,$AW55)+COUNTIF($QV$6:$QY$6,$AW55))&gt;0)),$AV55,"")</f>
        <v/>
      </c>
      <c r="KX55" s="164">
        <f>IF(OR($AW55="",(COUNTIF($EL$7:$EP$7,$AW55)+COUNTIF($QV$7:$QY$7,$AW55))&gt;0),$AV55,"")</f>
        <v/>
      </c>
      <c r="KY55" s="164">
        <f>IF(AND($AX55=1,OR($AW55="",(COUNTIF($EL$7:$EP$7,$AW55)+COUNTIF($QV$7:$QY$7,$AW55))&gt;0)),$AV55,"")</f>
        <v/>
      </c>
      <c r="LD55" s="164">
        <f>IF(OR($AW55="",(COUNTIF($EL$8:$EP$8,$AW55)+COUNTIF($QV$8:$QY$8,$AW55))&gt;0),$AV55,"")</f>
        <v/>
      </c>
      <c r="LE55" s="164">
        <f>IF(AND($AX55=1,OR($AW55="",(COUNTIF($EL$8:$EP$8,$AW55)+COUNTIF($QV$8:$QY$8,$AW55))&gt;0)),$AV55,"")</f>
        <v/>
      </c>
      <c r="LJ55" s="164">
        <f>IF(OR($AW55="",(COUNTIF($EL$9:$EP$9,$AW55)+COUNTIF($QV$9:$QY$9,$AW55))&gt;0),$AV55,"")</f>
        <v/>
      </c>
      <c r="LK55" s="164">
        <f>IF(AND($AX55=1,OR($AW55="",(COUNTIF($EL$9:$EP$9,$AW55)+COUNTIF($QV$9:$QY$9,$AW55))&gt;0)),$AV55,"")</f>
        <v/>
      </c>
      <c r="LP55" s="164">
        <f>IF(OR($AW55="",(COUNTIF($EL$10:$EP$10,$AW55)+COUNTIF($QV$10:$QY$10,$AW55))&gt;0),$AV55,"")</f>
        <v/>
      </c>
      <c r="LQ55" s="164">
        <f>IF(AND($AX55=1,OR($AW55="",(COUNTIF($EL$10:$EP$10,$AW55)+COUNTIF($QV$10:$QY$10,$AW55))&gt;0)),$AV55,"")</f>
        <v/>
      </c>
      <c r="LV55" s="164">
        <f>IF(OR($AW55="",(COUNTIF($EL$11:$EP$11,$AW55)+COUNTIF($QV$11:$QY$11,$AW55))&gt;0),$AV55,"")</f>
        <v/>
      </c>
      <c r="LW55" s="164">
        <f>IF(AND($AX55=1,OR($AW55="",(COUNTIF($EL$11:$EP$11,$AW55)+COUNTIF($QV$11:$QY$11,$AW55))&gt;0)),$AV55,"")</f>
        <v/>
      </c>
      <c r="MB55" s="164">
        <f>IF(OR($AW55="",(COUNTIF($EL$12:$EP$12,$AW55)+COUNTIF($QV$12:$QY$12,$AW55))&gt;0),$AV55,"")</f>
        <v/>
      </c>
      <c r="MC55" s="164">
        <f>IF(AND($AX55=1,OR($AW55="",(COUNTIF($EL$12:$EP$12,$AW55)+COUNTIF($QV$12:$QY$12,$AW55))&gt;0)),$AV55,"")</f>
        <v/>
      </c>
      <c r="MH55" s="164">
        <f>IF(OR($AW55="",(COUNTIF($EL$13:$EP$13,$AW55)+COUNTIF($QV$13:$QY$13,$AW55))&gt;0),$AV55,"")</f>
        <v/>
      </c>
      <c r="MI55" s="164">
        <f>IF(AND($AX55=1,OR($AW55="",(COUNTIF($EL$13:$EP$13,$AW55)+COUNTIF($QV$13:$QY$13,$AW55))&gt;0)),$AV55,"")</f>
        <v/>
      </c>
      <c r="MN55" s="162" t="inlineStr">
        <is>
          <t>Ficha 5 · Especial 1</t>
        </is>
      </c>
      <c r="MO55" s="164" t="n">
        <v>5</v>
      </c>
      <c r="MP55" s="164" t="n">
        <v>1</v>
      </c>
      <c r="MQ55" s="164" t="n">
        <v>1</v>
      </c>
      <c r="MR55" s="162" t="inlineStr">
        <is>
          <t>ESPECIAL 1</t>
        </is>
      </c>
      <c r="MS55" s="164">
        <f>MAX(1,MIN(7,N('INVOCAÇÕES'!$O$915)))</f>
        <v/>
      </c>
      <c r="MT55" s="164">
        <f>'INVOCAÇÕES'!$P$915&amp;""</f>
        <v/>
      </c>
      <c r="MU55" s="164">
        <f>'INVOCAÇÕES'!$O$920&amp;""</f>
        <v/>
      </c>
      <c r="MV55" s="164">
        <f>'INVOCAÇÕES'!$O$921&amp;""</f>
        <v/>
      </c>
      <c r="MW55" s="164">
        <f>'INVOCAÇÕES'!$Q$921&amp;""</f>
        <v/>
      </c>
      <c r="MX55" s="164">
        <f>'INVOCAÇÕES'!$P$924&amp;""</f>
        <v/>
      </c>
      <c r="MY55" s="164">
        <f>'INVOCAÇÕES'!$P$925&amp;""</f>
        <v/>
      </c>
      <c r="MZ55" s="164">
        <f>'INVOCAÇÕES'!$P$926&amp;""</f>
        <v/>
      </c>
      <c r="NA55" s="164">
        <f>'INVOCAÇÕES'!$P$927&amp;""</f>
        <v/>
      </c>
      <c r="NB55" s="164">
        <f>'INVOCAÇÕES'!$P$928&amp;""</f>
        <v/>
      </c>
      <c r="NC55" s="164">
        <f>'INVOCAÇÕES'!$P$929&amp;""</f>
        <v/>
      </c>
      <c r="ND55" s="164">
        <f>IF($MT55&lt;&gt;"",1,0)</f>
        <v/>
      </c>
      <c r="NE55" s="164">
        <f>INDEX($FO$2:$FO$13,$MO55)</f>
        <v/>
      </c>
      <c r="NF55" s="164">
        <f>INDEX($FP$2:$FP$13,$MO55)</f>
        <v/>
      </c>
      <c r="NG55" s="164">
        <f>INDEX($FQ$2:$FQ$13,$MO55)</f>
        <v/>
      </c>
      <c r="NH55" s="164">
        <f>INDEX($GB$2:$GB$13,$MO55)</f>
        <v/>
      </c>
      <c r="NI55" s="164">
        <f>INDEX($GC$2:$GC$13,$MO55)</f>
        <v/>
      </c>
      <c r="NJ55" s="164">
        <f>IFERROR(MATCH(SUBSTITUTE(SUBSTITUTE(SUBSTITUTE($MU55,"~","~~"),"*","~*"),"?","~?"),'DADOS_FORMAS'!$FZ$2:$FZ$21,0),0)</f>
        <v/>
      </c>
      <c r="NK55" s="164">
        <f>IFERROR(VLOOKUP(SUBSTITUTE(SUBSTITUTE(SUBSTITUTE($MX55,"~","~~"),"*","~*"),"?","~?"),'DADOS_MELHORIAS'!$AG$2:$AL$113,2,FALSE),"")</f>
        <v/>
      </c>
      <c r="NL55" s="164">
        <f>IFERROR(VLOOKUP(SUBSTITUTE(SUBSTITUTE(SUBSTITUTE($MY55,"~","~~"),"*","~*"),"?","~?"),'DADOS_MELHORIAS'!$AG$2:$AL$113,2,FALSE),"")</f>
        <v/>
      </c>
      <c r="NM55" s="164">
        <f>IFERROR(VLOOKUP(SUBSTITUTE(SUBSTITUTE(SUBSTITUTE($MZ55,"~","~~"),"*","~*"),"?","~?"),'DADOS_MELHORIAS'!$AG$2:$AL$113,2,FALSE),"")</f>
        <v/>
      </c>
      <c r="NN55" s="164">
        <f>IFERROR(VLOOKUP(SUBSTITUTE(SUBSTITUTE(SUBSTITUTE($NA55,"~","~~"),"*","~*"),"?","~?"),'DADOS_MELHORIAS'!$AG$2:$AL$113,2,FALSE),"")</f>
        <v/>
      </c>
      <c r="NO55" s="164">
        <f>IFERROR(VLOOKUP(SUBSTITUTE(SUBSTITUTE(SUBSTITUTE($MX55,"~","~~"),"*","~*"),"?","~?"),'DADOS_MELHORIAS'!$AG$2:$AL$113,3,FALSE),0)</f>
        <v/>
      </c>
      <c r="NP55" s="164">
        <f>IFERROR(VLOOKUP(SUBSTITUTE(SUBSTITUTE(SUBSTITUTE($MY55,"~","~~"),"*","~*"),"?","~?"),'DADOS_MELHORIAS'!$AG$2:$AL$113,3,FALSE),0)</f>
        <v/>
      </c>
      <c r="NQ55" s="164">
        <f>IFERROR(VLOOKUP(SUBSTITUTE(SUBSTITUTE(SUBSTITUTE($MZ55,"~","~~"),"*","~*"),"?","~?"),'DADOS_MELHORIAS'!$AG$2:$AL$113,3,FALSE),0)</f>
        <v/>
      </c>
      <c r="NR55" s="164">
        <f>IFERROR(VLOOKUP(SUBSTITUTE(SUBSTITUTE(SUBSTITUTE($NA55,"~","~~"),"*","~*"),"?","~?"),'DADOS_MELHORIAS'!$AG$2:$AL$113,3,FALSE),0)</f>
        <v/>
      </c>
      <c r="NS55" s="164">
        <f>IF($MS55=0,0,IF($NJ55=0,0,INDEX('DADOS_FORMAS'!$GB$2:$GB$21,$NJ55)))</f>
        <v/>
      </c>
      <c r="NT55" s="164">
        <f>IF(OR($NO55=0,$MS55=0),0,$NO55+3*IF(AND($NK55&lt;&gt;"",COUNTIF(INDEX($RB$2:$RJ$13,$MO55,0),$NK55)&gt;0),1,0))</f>
        <v/>
      </c>
      <c r="NU55" s="164">
        <f>IF(OR($NP55=0,$MS55=0),0,$NP55+3*IF(AND($NL55&lt;&gt;"",COUNTIF(INDEX($RB$2:$RJ$13,$MO55,0),$NL55)&gt;0),1,0))</f>
        <v/>
      </c>
      <c r="NV55" s="164">
        <f>IF(OR($NQ55=0,$MS55=0),0,$NQ55+3*IF(AND($NM55&lt;&gt;"",COUNTIF(INDEX($RB$2:$RJ$13,$MO55,0),$NM55)&gt;0),1,0))</f>
        <v/>
      </c>
      <c r="NW55" s="164">
        <f>IF(OR($NR55=0,$MS55=0),0,$NR55+3*IF(AND($NN55&lt;&gt;"",COUNTIF(INDEX($RB$2:$RJ$13,$MO55,0),$NN55)&gt;0),1,0))</f>
        <v/>
      </c>
      <c r="NX55" s="164">
        <f>IF($NJ55=0,0,IF(INDEX('DADOS_FORMAS'!$GA$2:$GA$21,$NJ55)="",0,IF((COUNTIF(INDEX($EL$2:$EP$13,$MO55,0),INDEX('DADOS_FORMAS'!$GA$2:$GA$21,$NJ55))+COUNTIF(INDEX($QV$2:$QY$13,$MO55,0),INDEX('DADOS_FORMAS'!$GA$2:$GA$21,$NJ55)))=0,1,0)))</f>
        <v/>
      </c>
      <c r="NY55" s="164">
        <f>IF(OR($NO55=0,$NK55=""),0,IF((COUNTIF(INDEX($EL$2:$EP$13,$MO55,0),$NK55)+COUNTIF(INDEX($QV$2:$QY$13,$MO55,0),$NK55))=0,1,0))</f>
        <v/>
      </c>
      <c r="NZ55" s="164">
        <f>IF(OR($NP55=0,$NL55=""),0,IF((COUNTIF(INDEX($EL$2:$EP$13,$MO55,0),$NL55)+COUNTIF(INDEX($QV$2:$QY$13,$MO55,0),$NL55))=0,1,0))</f>
        <v/>
      </c>
      <c r="OA55" s="164">
        <f>IF(OR($NQ55=0,$NM55=""),0,IF((COUNTIF(INDEX($EL$2:$EP$13,$MO55,0),$NM55)+COUNTIF(INDEX($QV$2:$QY$13,$MO55,0),$NM55))=0,1,0))</f>
        <v/>
      </c>
      <c r="OB55" s="164">
        <f>IF(OR($NR55=0,$NN55=""),0,IF((COUNTIF(INDEX($EL$2:$EP$13,$MO55,0),$NN55)+COUNTIF(INDEX($QV$2:$QY$13,$MO55,0),$NN55))=0,1,0))</f>
        <v/>
      </c>
      <c r="OC55" s="164">
        <f>IFERROR(VLOOKUP(SUBSTITUTE(SUBSTITUTE(SUBSTITUTE($MX55,"~","~~"),"*","~*"),"?","~?"),'DADOS_MELHORIAS'!$AG$2:$AL$113,4,FALSE),0)+IFERROR(VLOOKUP(SUBSTITUTE(SUBSTITUTE(SUBSTITUTE($MY55,"~","~~"),"*","~*"),"?","~?"),'DADOS_MELHORIAS'!$AG$2:$AL$113,4,FALSE),0)+IFERROR(VLOOKUP(SUBSTITUTE(SUBSTITUTE(SUBSTITUTE($MZ55,"~","~~"),"*","~*"),"?","~?"),'DADOS_MELHORIAS'!$AG$2:$AL$113,4,FALSE),0)+IFERROR(VLOOKUP(SUBSTITUTE(SUBSTITUTE(SUBSTITUTE($NA55,"~","~~"),"*","~*"),"?","~?"),'DADOS_MELHORIAS'!$AG$2:$AL$113,4,FALSE),0)</f>
        <v/>
      </c>
      <c r="OD55" s="164">
        <f>IFERROR(VLOOKUP(SUBSTITUTE(SUBSTITUTE(SUBSTITUTE($MX55,"~","~~"),"*","~*"),"?","~?"),'DADOS_MELHORIAS'!$AG$2:$AL$113,6,FALSE),0)+IFERROR(VLOOKUP(SUBSTITUTE(SUBSTITUTE(SUBSTITUTE($MY55,"~","~~"),"*","~*"),"?","~?"),'DADOS_MELHORIAS'!$AG$2:$AL$113,6,FALSE),0)+IFERROR(VLOOKUP(SUBSTITUTE(SUBSTITUTE(SUBSTITUTE($MZ55,"~","~~"),"*","~*"),"?","~?"),'DADOS_MELHORIAS'!$AG$2:$AL$113,6,FALSE),0)+IFERROR(VLOOKUP(SUBSTITUTE(SUBSTITUTE(SUBSTITUTE($NA55,"~","~~"),"*","~*"),"?","~?"),'DADOS_MELHORIAS'!$AG$2:$AL$113,6,FALSE),0)+IFERROR(N(AND(INDEX('DADOS_FORMAS'!$AO$2:$AO$21,MATCH(SUBSTITUTE(SUBSTITUTE(SUBSTITUTE($MU55,"~","~~"),"*","~*"),"?","~?"),'DADOS_FORMAS'!$AH$2:$AH$21,0))="Acerto",$OH55=1)),0)</f>
        <v/>
      </c>
      <c r="OE55" s="164">
        <f>TEXTJOIN(", ",TRUE,IF(IFERROR(VLOOKUP(SUBSTITUTE(SUBSTITUTE(SUBSTITUTE($MX55,"~","~~"),"*","~*"),"?","~?"),'DADOS_MELHORIAS'!$AG$2:$AL$113,5,FALSE),0)=1,$MX55,""),IF(IFERROR(VLOOKUP(SUBSTITUTE(SUBSTITUTE(SUBSTITUTE($MY55,"~","~~"),"*","~*"),"?","~?"),'DADOS_MELHORIAS'!$AG$2:$AL$113,5,FALSE),0)=1,$MY55,""),IF(IFERROR(VLOOKUP(SUBSTITUTE(SUBSTITUTE(SUBSTITUTE($MZ55,"~","~~"),"*","~*"),"?","~?"),'DADOS_MELHORIAS'!$AG$2:$AL$113,5,FALSE),0)=1,$MZ55,""),IF(IFERROR(VLOOKUP(SUBSTITUTE(SUBSTITUTE(SUBSTITUTE($NA55,"~","~~"),"*","~*"),"?","~?"),'DADOS_MELHORIAS'!$AG$2:$AL$113,5,FALSE),0)=1,$NA55,""))</f>
        <v/>
      </c>
      <c r="OF55" s="164">
        <f>IF($NJ55=0,0,INDEX('DADOS_FORMAS'!$GC$2:$GC$21,$NJ55))</f>
        <v/>
      </c>
      <c r="OG55" s="164">
        <f>IF($NJ55=0,0,INDEX('DADOS_FORMAS'!$GD$2:$GD$21,$NJ55))</f>
        <v/>
      </c>
      <c r="OH55" s="164">
        <f>IF($NJ55=0,0,INDEX('DADOS_FORMAS'!$GF$2:$GF$21,$NJ55))</f>
        <v/>
      </c>
      <c r="OI55" s="164">
        <f>IFERROR(VLOOKUP(SUBSTITUTE(SUBSTITUTE(SUBSTITUTE($NB55,"~","~~"),"*","~*"),"?","~?"),'DADOS_RESTRICOES'!$M$2:$Q$54,3,FALSE),0)</f>
        <v/>
      </c>
      <c r="OJ55" s="164">
        <f>IFERROR(VLOOKUP(SUBSTITUTE(SUBSTITUTE(SUBSTITUTE($NC55,"~","~~"),"*","~*"),"?","~?"),'DADOS_RESTRICOES'!$M$2:$Q$54,3,FALSE),0)</f>
        <v/>
      </c>
      <c r="OK55" s="164">
        <f>IFERROR(VLOOKUP(SUBSTITUTE(SUBSTITUTE(SUBSTITUTE($NB55,"~","~~"),"*","~*"),"?","~?"),'DADOS_RESTRICOES'!$M$2:$Q$54,2,FALSE),"")</f>
        <v/>
      </c>
      <c r="OL55" s="164">
        <f>IFERROR(VLOOKUP(SUBSTITUTE(SUBSTITUTE(SUBSTITUTE($NC55,"~","~~"),"*","~*"),"?","~?"),'DADOS_RESTRICOES'!$M$2:$Q$54,2,FALSE),"")</f>
        <v/>
      </c>
      <c r="OM55" s="164">
        <f>COUNTIF($NS55:$NW55,1)</f>
        <v/>
      </c>
      <c r="ON55" s="164">
        <f>COUNTIF($NS55:$NW55,2)</f>
        <v/>
      </c>
      <c r="OO55" s="164">
        <f>COUNTIF($NS55:$NW55,3)</f>
        <v/>
      </c>
      <c r="OP55" s="164">
        <f>COUNTIF($NS55:$NW55,4)</f>
        <v/>
      </c>
      <c r="OQ55" s="164">
        <f>COUNTIF($NS55:$NW55,5)</f>
        <v/>
      </c>
      <c r="OR55" s="164">
        <f>COUNTIF($NS55:$NW55,6)</f>
        <v/>
      </c>
      <c r="OS55" s="164">
        <f>COUNTIF($OI55:$OJ55,1)+IF(IFERROR(INDEX('DADOS_FORMAS'!$AS$2:$AS$21,MATCH(SUBSTITUTE(SUBSTITUTE(SUBSTITUTE($MU55,"~","~~"),"*","~*"),"?","~?"),'DADOS_FORMAS'!$AH$2:$AH$21,0)),"")="",0,IFERROR(N(VLOOKUP(SUBSTITUTE(SUBSTITUTE(SUBSTITUTE(IFERROR(INDEX('DADOS_FORMAS'!$AS$2:$AS$21,MATCH(SUBSTITUTE(SUBSTITUTE(SUBSTITUTE($MU55,"~","~~"),"*","~*"),"?","~?"),'DADOS_FORMAS'!$AH$2:$AH$21,0)),""),"~","~~"),"*","~*"),"?","~?"),'DADOS_RESTRICOES'!$M$2:$Q$54,3,FALSE)=1),0))</f>
        <v/>
      </c>
      <c r="OT55" s="164">
        <f>COUNTIF($OI55:$OJ55,2)+IF(IFERROR(INDEX('DADOS_FORMAS'!$AS$2:$AS$21,MATCH(SUBSTITUTE(SUBSTITUTE(SUBSTITUTE($MU55,"~","~~"),"*","~*"),"?","~?"),'DADOS_FORMAS'!$AH$2:$AH$21,0)),"")="",0,IFERROR(N(VLOOKUP(SUBSTITUTE(SUBSTITUTE(SUBSTITUTE(IFERROR(INDEX('DADOS_FORMAS'!$AS$2:$AS$21,MATCH(SUBSTITUTE(SUBSTITUTE(SUBSTITUTE($MU55,"~","~~"),"*","~*"),"?","~?"),'DADOS_FORMAS'!$AH$2:$AH$21,0)),""),"~","~~"),"*","~*"),"?","~?"),'DADOS_RESTRICOES'!$M$2:$Q$54,3,FALSE)=2),0))</f>
        <v/>
      </c>
      <c r="OU55" s="164">
        <f>COUNTIF($MX55:$NA55,"?*")</f>
        <v/>
      </c>
      <c r="OV55" s="164">
        <f>COUNTIF($NB55:$NC55,"?*")+$OF55</f>
        <v/>
      </c>
      <c r="OW55" s="164">
        <f>IF($MS55=0,0,SUMPRODUCT($OM55:$OR55,INDEX($I$2:$N$8,MAX(1,$MS55),0)))</f>
        <v/>
      </c>
      <c r="OX55" s="164">
        <f>IF($MS55=0,0,$OS55*CEILING($MS55/2,1)+$OT55*$MS55)</f>
        <v/>
      </c>
      <c r="OY55" s="164">
        <f>MIN(2*$MS55,$OX55)</f>
        <v/>
      </c>
      <c r="OZ55" s="164">
        <f>MIN($OY55,$OW55-IF($NS55=0,0,INDEX($I$2:$N$8,MAX(1,$MS55),$NS55)))</f>
        <v/>
      </c>
      <c r="PA55" s="164">
        <f>$OY55-$OZ55</f>
        <v/>
      </c>
      <c r="PB55" s="164">
        <f>IF($MS55=0,0,INDEX($P$2:$P$8,MAX(1,$MS55)))</f>
        <v/>
      </c>
      <c r="PC55" s="164">
        <f>$PB55-$OW55+$OZ55</f>
        <v/>
      </c>
      <c r="PD55" s="164">
        <f>IF($MS55=0,MAX(0,$NG55-IF(AND($OU55&gt;0,COUNTIF($NB55:$NC55,"?*")=0),1,0)),MAX(0,$PC55))</f>
        <v/>
      </c>
      <c r="PE55" s="164">
        <f>IF($MS55=0,0,(IF(COUNTIF($RK55:$RN55,"Salto")&gt;0,1,0)+IF(COUNTIF($RK55:$RN55,"Queima")&gt;0,1,0)+IF(COUNTIF($RK55:$RN55,"Estilhaço")&gt;0,1,0))*FLOOR($PD55/2,1))</f>
        <v/>
      </c>
      <c r="PF55" s="164">
        <f>MAX(0,2-SUMPRODUCT($OM55:$OR55,$I$2:$N$2)+MIN(2,$OS55*1+$OT55*1,SUMPRODUCT($OM55:$OR55,$I$2:$N$2)-IF($NS55=0,0,INDEX($I$2:$N$2,1,$NS55))))</f>
        <v/>
      </c>
      <c r="PG55" s="164">
        <f>MAX(0,4-SUMPRODUCT($OM55:$OR55,$I$3:$N$3)+MIN(4,$OS55*1+$OT55*2,SUMPRODUCT($OM55:$OR55,$I$3:$N$3)-IF($NS55=0,0,INDEX($I$3:$N$3,1,$NS55))))</f>
        <v/>
      </c>
      <c r="PH55" s="164">
        <f>MAX(0,6-SUMPRODUCT($OM55:$OR55,$I$4:$N$4)+MIN(6,$OS55*2+$OT55*3,SUMPRODUCT($OM55:$OR55,$I$4:$N$4)-IF($NS55=0,0,INDEX($I$4:$N$4,1,$NS55))))</f>
        <v/>
      </c>
      <c r="PI55" s="164">
        <f>MAX(0,9-SUMPRODUCT($OM55:$OR55,$I$5:$N$5)+MIN(8,$OS55*2+$OT55*4,SUMPRODUCT($OM55:$OR55,$I$5:$N$5)-IF($NS55=0,0,INDEX($I$5:$N$5,1,$NS55))))</f>
        <v/>
      </c>
      <c r="PJ55" s="164">
        <f>MAX(0,11-SUMPRODUCT($OM55:$OR55,$I$6:$N$6)+MIN(10,$OS55*3+$OT55*5,SUMPRODUCT($OM55:$OR55,$I$6:$N$6)-IF($NS55=0,0,INDEX($I$6:$N$6,1,$NS55))))</f>
        <v/>
      </c>
      <c r="PK55" s="164">
        <f>MAX(0,13-SUMPRODUCT($OM55:$OR55,$I$7:$N$7)+MIN(12,$OS55*3+$OT55*6,SUMPRODUCT($OM55:$OR55,$I$7:$N$7)-IF($NS55=0,0,INDEX($I$7:$N$7,1,$NS55))))</f>
        <v/>
      </c>
      <c r="PL55" s="164">
        <f>MAX(0,16-SUMPRODUCT($OM55:$OR55,$I$8:$N$8)+MIN(14,$OS55*4+$OT55*7,SUMPRODUCT($OM55:$OR55,$I$8:$N$8)-IF($NS55=0,0,INDEX($I$8:$N$8,1,$NS55))))</f>
        <v/>
      </c>
      <c r="PM55" s="164">
        <f>IF($OG55=2,3*$PF55&amp;" de vida temp.",IF($OG55=3,"sem dano",IF($PF55=0,IF($OG55=1,"sem cura","sem dano"),IF($OG55=1,"cura ","")&amp;$PF55&amp;"d8")))</f>
        <v/>
      </c>
      <c r="PN55" s="164">
        <f>IF($OG55=2,3*$PG55&amp;" de vida temp.",IF($OG55=3,"sem dano",IF($PG55=0,IF($OG55=1,"sem cura","sem dano"),IF($OG55=1,"cura ","")&amp;$PG55&amp;"d8")))</f>
        <v/>
      </c>
      <c r="PO55" s="164">
        <f>IF($OG55=2,3*$PH55&amp;" de vida temp.",IF($OG55=3,"sem dano",IF($PH55=0,IF($OG55=1,"sem cura","sem dano"),IF($OG55=1,"cura ","")&amp;$PH55&amp;"d8")))</f>
        <v/>
      </c>
      <c r="PP55" s="164">
        <f>IF($OG55=2,3*$PI55&amp;" de vida temp.",IF($OG55=3,"sem dano",IF($PI55=0,IF($OG55=1,"sem cura","sem dano"),IF($OG55=1,"cura ","")&amp;$PI55&amp;"d8")))</f>
        <v/>
      </c>
      <c r="PQ55" s="164">
        <f>IF($OG55=2,3*$PJ55&amp;" de vida temp.",IF($OG55=3,"sem dano",IF($PJ55=0,IF($OG55=1,"sem cura","sem dano"),IF($OG55=1,"cura ","")&amp;$PJ55&amp;"d8")))</f>
        <v/>
      </c>
      <c r="PR55" s="164">
        <f>IF($OG55=2,3*$PK55&amp;" de vida temp.",IF($OG55=3,"sem dano",IF($PK55=0,IF($OG55=1,"sem cura","sem dano"),IF($OG55=1,"cura ","")&amp;$PK55&amp;"d8")))</f>
        <v/>
      </c>
      <c r="PS55" s="164">
        <f>IF($OG55=2,3*$PL55&amp;" de vida temp.",IF($OG55=3,"sem dano",IF($PL55=0,IF($OG55=1,"sem cura","sem dano"),IF($OG55=1,"cura ","")&amp;$PL55&amp;"d8")))</f>
        <v/>
      </c>
      <c r="PT55" s="164">
        <f>IF($ND55=0,"",TEXTJOIN(" · ",TRUE,IF($ND55=0,"",TEXTJOIN(" · ",TRUE,IF($ND55=0,"",TEXTJOIN(" · ",TRUE,IF($MQ55&gt;$NE55,"Este lugar abre no nível "&amp;$MQ55,""),IF($MS55&gt;$NF55,"Classe "&amp;$MS55&amp;": o nível "&amp;$NE55&amp;" libera até a "&amp;$NF55,""),IF($NX55=1,"A Forma "&amp;$MU55&amp;" pede "&amp;INDEX('DADOS_FORMAS'!$GA$2:$GA$21,$NJ55)&amp;" aberta",""),IF(AND($MS55=0,$NJ55&gt;0,IF($NJ55=0,0,INDEX('DADOS_FORMAS'!$GJ$2:$GJ$21,$NJ55))=0),$MU55&amp;" não existe na Classe 0",""),IF($NY55=1,"Família Fechada: "&amp;$MX55,""),IF($NZ55=1,"Família Fechada: "&amp;$MY55,""),IF($OA55=1,"Família Fechada: "&amp;$MZ55,""),IF($OB55=1,"Família Fechada: "&amp;$NA55,""),IF(AND($MS55&gt;0,$OU55&gt;INDEX($O$2:$O$8,MAX(1,$MS55))),$OU55&amp;" Melhorias: a Classe "&amp;$MS55&amp;" aceita "&amp;INDEX($O$2:$O$8,MAX(1,$MS55)),""),IF(AND($MS55=0,$OU55&gt;1),"A básica aceita uma Melhoria",""),IF(AND($MS55=0,COUNTIF($NO55:$NR55,"&gt;1")&gt;0),"A básica só aceita Melhoria Leve",""),IF(AND($MS55&gt;0,$OV55&gt;2),$OV55&amp;" Restrições"&amp;IF($OF55=1,", contando a que a Forma "&amp;$MU55&amp;" já traz","")&amp;": o limite é 2",""),IF(AND($MS55=0,COUNTIF($NB55:$NC55,"?*")&gt;1),"A básica aceita uma Restrição Leve",""),IF(AND($MS55=0,COUNTIF($OI55:$OJ55,2)&gt;0),"A básica só aceita Restrição Leve",""),IF(AND($MS55&gt;0,$PC55&lt;0),"Orçamento estourado: faltam "&amp;(-$PC55)&amp;IF($PC55&lt;-1," pontos"," ponto"),""),IF(IFERROR(VLOOKUP(SUBSTITUTE(SUBSTITUTE(SUBSTITUTE($NB55,"~","~~"),"*","~*"),"?","~?"),'DADOS_RESTRICOES'!$M$2:$Q$54,4,FALSE),0)+IFERROR(VLOOKUP(SUBSTITUTE(SUBSTITUTE(SUBSTITUTE($NC55,"~","~~"),"*","~*"),"?","~?"),'DADOS_RESTRICOES'!$M$2:$Q$54,4,FALSE),0)&gt;1,$OK55&amp;" e "&amp;$OL55&amp;" são as duas de frequência",""),IF(AND((COUNTIF($RK55:$RN55,"Rápido")+COUNTIF($OK55:$OL55,"Rápido"))&gt;0,(COUNTIF($MX55:$NA55,"Atrasar")+COUNTIF($OK55:$OL55,"Atrasar"))&gt;0),"Rápido não entra com Atrasar",""),IF(AND((COUNTIF($RK55:$RN55,"Reação")+COUNTIF($OK55:$OL55,"Reação"))&gt;0,(COUNTIF($RK55:$RN55,"Rápido")+COUNTIF($OK55:$OL55,"Rápido"))&gt;0),"Reação não entra com Rápido",""),IF(AND((COUNTIF($RK55:$RN55,"Reação")+COUNTIF($OK55:$OL55,"Reação"))&gt;0,(COUNTIF($RK55:$RN55,"Armado")+COUNTIF($OK55:$OL55,"Armado"))&gt;0),"Reação não entra com Armado",""),IF(AND((COUNTIF($RK55:$RN55,"Reação")+COUNTIF($OK55:$OL55,"Reação"))&gt;0,(COUNTIF($MX55:$NA55,"Atrasar")+COUNTIF($OK55:$OL55,"Atrasar"))&gt;0),"Reação não entra com Atrasar",""),IF(AND((COUNTIF($RK55:$RN55,"Reação")+COUNTIF($OK55:$OL55,"Reação"))&gt;0,(COUNTIF($MX55:$NA55,"Parado")+COUNTIF($OK55:$OL55,"Parado"))&gt;0),"Reação não entra com Parado",""),IF(AND((COUNTIF($MX55:$NA55,"Atrasar")+COUNTIF($OK55:$OL55,"Atrasar"))&gt;0,(COUNTIF($MX55:$NA55,"Parado")+COUNTIF($OK55:$OL55,"Parado"))&gt;0),"Atrasar não entra com Parado",""),IF(AND((COUNTIF($RK55:$RN55,"Armado")+COUNTIF($OK55:$OL55,"Armado"))&gt;0,(COUNTIF($MX55:$NA55,"Carregar")+COUNTIF($OK55:$OL55,"Carregar"))&gt;0),"Armado não entra com Carregar",""),IF(AND(COUNTIF($OK55:$OL55,"Corpo a Corpo")&gt;0,$OF55=0,OR($RO55="Cone",$RO55="Linha")),"Corpo a Corpo não entra em "&amp;$MU55,""),IF(AND(COUNTIF($OK55:$OL55,"Corpo a Corpo")&gt;0,$RP55="Corpo a Corpo"),"A Forma "&amp;$MU55&amp;" já traz o Corpo a Corpo",""),IF(AND(COUNTIF($OK55:$OL55,"Tudo ou Nada")&gt;0,$OH55=0),"Tudo ou Nada só entra em habilidade de Teste de Resistência",""),IF(AND(COUNTIF($RK55:$RN55,"Inescapável")&gt;0,OR($OU55&gt;1,$OV55&gt;0)),"Inescapável não aceita outra peça",""),IF(AND($MS55&gt;0,$PD55*IF(COUNTIF($RK55:$RN55,"Remate")&gt;0,1.25,1)+$PE55&gt;4*$MS55),($PD55*IF(COUNTIF($RK55:$RN55,"Remate")&gt;0,1.25,1)+$PE55)&amp;" dados somando repetições"&amp;IF(COUNTIF($RK55:$RN55,"Remate")&gt;0," e o Remate","")&amp;": o teto da Classe "&amp;$MS55&amp;" é "&amp;4*$MS55,""))),IF(AND($MX55&lt;&gt;"",COUNTIF('DADOS_MELHORIAS'!$O$2:$O$113,SUBSTITUTE(SUBSTITUTE(SUBSTITUTE($MX55,"~","~~"),"*","~*"),"?","~?"))=0),"Melhoria não cadastrada ou com erro: "&amp;$MX55,""),IF(AND($MY55&lt;&gt;"",COUNTIF('DADOS_MELHORIAS'!$O$2:$O$113,SUBSTITUTE(SUBSTITUTE(SUBSTITUTE($MY55,"~","~~"),"*","~*"),"?","~?"))=0),"Melhoria não cadastrada ou com erro: "&amp;$MY55,""),IF(AND($MZ55&lt;&gt;"",COUNTIF('DADOS_MELHORIAS'!$O$2:$O$113,SUBSTITUTE(SUBSTITUTE(SUBSTITUTE($MZ55,"~","~~"),"*","~*"),"?","~?"))=0),"Melhoria não cadastrada ou com erro: "&amp;$MZ55,""),IF(AND($NA55&lt;&gt;"",COUNTIF('DADOS_MELHORIAS'!$O$2:$O$113,SUBSTITUTE(SUBSTITUTE(SUBSTITUTE($NA55,"~","~~"),"*","~*"),"?","~?"))=0),"Melhoria não cadastrada ou com erro: "&amp;$NA55,""),IF(AND($NB55&lt;&gt;"",COUNTIF('DADOS_RESTRICOES'!$M$2:$M$54,SUBSTITUTE(SUBSTITUTE(SUBSTITUTE($NB55,"~","~~"),"*","~*"),"?","~?"))=0),"Restrição não cadastrada ou com erro: "&amp;$NB55,""),IF(AND($NC55&lt;&gt;"",COUNTIF('DADOS_RESTRICOES'!$M$2:$M$54,SUBSTITUTE(SUBSTITUTE(SUBSTITUTE($NC55,"~","~~"),"*","~*"),"?","~?"))=0),"Restrição não cadastrada ou com erro: "&amp;$NC55,""))),IF(AND($MU55&lt;&gt;"",COUNTIF('DADOS_FORMAS'!$AH$2:$AH$21,SUBSTITUTE(SUBSTITUTE(SUBSTITUTE($MU55,"~","~~"),"*","~*"),"?","~?"))=0),"Forma não cadastrada ou com erro: "&amp;$MU55,""),IF(AND(IFERROR(INDEX('DADOS_FORMAS'!$AS$2:$AS$21,MATCH(SUBSTITUTE(SUBSTITUTE(SUBSTITUTE($MU55,"~","~~"),"*","~*"),"?","~?"),'DADOS_FORMAS'!$AH$2:$AH$21,0)),"")&lt;&gt;"",OR(IFERROR(VLOOKUP(SUBSTITUTE(SUBSTITUTE(SUBSTITUTE(IFERROR(INDEX('DADOS_FORMAS'!$AS$2:$AS$21,MATCH(SUBSTITUTE(SUBSTITUTE(SUBSTITUTE($MU55,"~","~~"),"*","~*"),"?","~?"),'DADOS_FORMAS'!$AH$2:$AH$21,0)),""),"~","~~"),"*","~*"),"?","~?"),'DADOS_RESTRICOES'!$M$2:$Q$54,2,FALSE),"")=$OK55,IFERROR(VLOOKUP(SUBSTITUTE(SUBSTITUTE(SUBSTITUTE(IFERROR(INDEX('DADOS_FORMAS'!$AS$2:$AS$21,MATCH(SUBSTITUTE(SUBSTITUTE(SUBSTITUTE($MU55,"~","~~"),"*","~*"),"?","~?"),'DADOS_FORMAS'!$AH$2:$AH$21,0)),""),"~","~~"),"*","~*"),"?","~?"),'DADOS_RESTRICOES'!$M$2:$Q$54,2,FALSE),"")=$OL55)),"Restrição repetida, contando a embutida",""),IF(IF(IFERROR(INDEX('DADOS_FORMAS'!$AS$2:$AS$21,MATCH(SUBSTITUTE(SUBSTITUTE(SUBSTITUTE($MU55,"~","~~"),"*","~*"),"?","~?"),'DADOS_FORMAS'!$AH$2:$AH$21,0)),"")="",0,IFERROR(N(VLOOKUP(SUBSTITUTE(SUBSTITUTE(SUBSTITUTE(IFERROR(INDEX('DADOS_FORMAS'!$AS$2:$AS$21,MATCH(SUBSTITUTE(SUBSTITUTE(SUBSTITUTE($MU55,"~","~~"),"*","~*"),"?","~?"),'DADOS_FORMAS'!$AH$2:$AH$21,0)),""),"~","~~"),"*","~*"),"?","~?"),'DADOS_RESTRICOES'!$M$2:$Q$54,4,FALSE)=1),0))+IF($NB55="",0,IFERROR(N(VLOOKUP(SUBSTITUTE(SUBSTITUTE(SUBSTITUTE($NB55,"~","~~"),"*","~*"),"?","~?"),'DADOS_RESTRICOES'!$M$2:$Q$54,4,FALSE)=1),0))+IF($NC55="",0,IFERROR(N(VLOOKUP(SUBSTITUTE(SUBSTITUTE(SUBSTITUTE($NC55,"~","~~"),"*","~*"),"?","~?"),'DADOS_RESTRICOES'!$M$2:$Q$54,4,FALSE)=1),0))&gt;1,"Duas Restrições de frequência, contando a embutida",""),IF(AND(IFERROR(VLOOKUP(SUBSTITUTE(SUBSTITUTE(SUBSTITUTE(IFERROR(INDEX('DADOS_FORMAS'!$AS$2:$AS$21,MATCH(SUBSTITUTE(SUBSTITUTE(SUBSTITUTE($MU55,"~","~~"),"*","~*"),"?","~?"),'DADOS_FORMAS'!$AH$2:$AH$21,0)),""),"~","~~"),"*","~*"),"?","~?"),'DADOS_RESTRICOES'!$M$2:$Q$54,2,FALSE),"")="Tudo ou Nada",$OH55=0),"Tudo ou Nada exige TR",""),IF(AND(IFERROR(VLOOKUP(SUBSTITUTE(SUBSTITUTE(SUBSTITUTE(IFERROR(INDEX('DADOS_FORMAS'!$AS$2:$AS$21,MATCH(SUBSTITUTE(SUBSTITUTE(SUBSTITUTE($MU55,"~","~~"),"*","~*"),"?","~?"),'DADOS_FORMAS'!$AH$2:$AH$21,0)),""),"~","~~"),"*","~*"),"?","~?"),'DADOS_RESTRICOES'!$M$2:$Q$54,2,FALSE),"")="Corpo a Corpo",OR($RO55="Cone",$RO55="Linha")),"Corpo a Corpo não entra em Cone/Linha","")))</f>
        <v/>
      </c>
      <c r="PU55" s="164">
        <f>IF($PT55="",0,(LEN($PT55)-LEN(SUBSTITUTE($PT55," · ","")))/3+1)</f>
        <v/>
      </c>
      <c r="PV55" s="164">
        <f>IF($ND55=0,"",TEXTJOIN(" · ",TRUE,IF($OX55&gt;2*$MS55,"A devolução parou no teto de "&amp;2*$MS55,""),IF($PA55&gt;0,"Devolução perdida: "&amp;$PA55&amp;IF($PA55&gt;1," pontos"," ponto")&amp;" sem Melhoria para pagar",""),IF(AND($OC55&gt;0,AND($MS55&gt;0,$OG55=0),$PD55=0),"Controle sem dano: uma rodada a mais e CD +2",""),IF(AND($OC55&gt;0,AND($MS55&gt;0,$OG55=0),$PD55&gt;0,$PD55&lt;=$MS55),"Controle com saldo até a Classe: uma rodada a mais",""),IF(AND($MS55&gt;0,$OE55&lt;&gt;""),"Efeito de "&amp;$OE55&amp;" pela Classe "&amp;MAX(1,$MS55-1),"")))</f>
        <v/>
      </c>
      <c r="PW55" s="164">
        <f>IF($PV55="",0,(LEN($PV55)-LEN(SUBSTITUTE($PV55," · ","")))/3+1)</f>
        <v/>
      </c>
      <c r="PX55" s="164">
        <f>IF($ND55=0,IF($OU55+COUNTIF($NB55:$NC55,"?*")&gt;0,"Dê um nome",""),IF($PU55&gt;0,"⚠ "&amp;$PU55&amp;IF($PU55&gt;1," erros"," erro"),IF($PW55&gt;0,"! "&amp;$PW55&amp;IF($PW55&gt;1," avisos"," aviso"),"Na regra")))</f>
        <v/>
      </c>
      <c r="PY55" s="164">
        <f>IF($ND55=0,"",IF($PU55+$PW55=0,"Dentro das regras que a ficha confere",$PT55&amp;IF(AND($PU55&gt;0,$PW55&gt;0)," · ","")&amp;$PV55))</f>
        <v/>
      </c>
      <c r="PZ55" s="164">
        <f>IF($MQ55&gt;$NE55,$MR55&amp;" · ABRE NO NÍVEL "&amp;$MQ55,$MR55)</f>
        <v/>
      </c>
      <c r="QA55" s="164">
        <f>IF($ND55=0,"",IF($MS55=0,"Sem PE",3*$MS55&amp;" PE"))</f>
        <v/>
      </c>
      <c r="QB55" s="164">
        <f>IF($ND55=0,"",IF($MS55=0,"A atuação básica dela",IF(COUNTIF($RQ55:$RS55,"Atrasar")&gt;0,"Sua Ação Completa",IF(COUNTIF($RK55:$RN55,"Rápido")&gt;0,"Sua Bônus",IF(COUNTIF($RK55:$RN55,"Reação")&gt;0,"Sua Reação","Sua Padrão")))&amp;" + a básica dela"&amp;IF(COUNTIF($RK55:$RN55,"Reação")&gt;0," e a coletiva","")&amp;IF(COUNTIF($RQ55:$RS55,"Carregar")&gt;0," · em dois turnos","")))</f>
        <v/>
      </c>
      <c r="QC55" s="164">
        <f>IF($MW55&lt;&gt;"",$MW55,IF($NJ55=0,"",INDEX('DADOS_FORMAS'!$GE$2:$GE$21,$NJ55)))</f>
        <v/>
      </c>
      <c r="QD55" s="164">
        <f>IF(OR($ND55=0,$NJ55=0),"",IF(COUNTIF($RK55:$RN55,"Inescapável")&gt;0,"Automático",IF($QC55="Ataque",IF($NH55="","Ataque","Ataque "&amp;IF(($NH55+2*IF(COUNTIF($RK55:$RN55,"Precisão")&gt;0,1,0))&gt;=0,"+","−")&amp;ABS(($NH55+2*IF(COUNTIF($RK55:$RN55,"Precisão")&gt;0,1,0))))&amp;IF($OD55&gt;0," · TR"&amp;IF($NI55="",""," CD "&amp;$NI55),""),IF(LEFT($QC55,2)="TR",$QC55&amp;IF($NI55="",""," · CD "&amp;$NI55)&amp;IF(COUNTIF($RK55:$RN55,"Certeiro")&gt;0," · metade",""),"Sem rolagem"))))</f>
        <v/>
      </c>
      <c r="QE55" s="164">
        <f>IF(OR($ND55=0,$NJ55=0),"",IF($MS55=0,IF(OR($OG55&gt;=1,$PD55=0),"Sem dano",$PD55&amp;"d6"&amp;IF($MV55="",""," "&amp;$MV55)),IF(OR($OG55&gt;=1,$PD55=0),UPPER(LEFT(INDEX($PM55:$PS55,1,MAX(1,$MS55)),1))&amp;MID(INDEX($PM55:$PS55,1,MAX(1,$MS55)),2,99),UPPER(LEFT(INDEX($PM55:$PS55,1,MAX(1,$MS55)),1))&amp;MID(INDEX($PM55:$PS55,1,MAX(1,$MS55)),2,99)&amp;IF($MV55="",""," "&amp;$MV55)&amp;IF($PE55&gt;0," · +"&amp;$PE55&amp;"d8",""))))</f>
        <v/>
      </c>
      <c r="QF55" s="164">
        <f>COUNTIF($RK55:$RN55,"Longe")+3*COUNTIF($RK55:$RN55,"Muito Longe")</f>
        <v/>
      </c>
      <c r="QG55" s="164">
        <f>COUNTIF($RK55:$RN55,"Maior")+3*COUNTIF($RK55:$RN55,"Muito Maior")</f>
        <v/>
      </c>
      <c r="QH55" s="164">
        <f>IF($NJ55=0,0,CHOOSE(1+INDEX('DADOS_FORMAS'!$GG$2:$GG$21,$NJ55),0,$QF55,$QG55,$QF55+$QG55))</f>
        <v/>
      </c>
      <c r="QI55" s="164">
        <f>IF($NJ55=0,0,CHOOSE(1+INDEX('DADOS_FORMAS'!$GH$2:$GH$21,$NJ55),0,$QF55,$QG55,$QF55+$QG55))</f>
        <v/>
      </c>
      <c r="QJ55" s="164">
        <f>IF(OR($ND55=0,$NJ55=0),"",INDEX('DADOS_FORMAS'!$HU$2:$HZ$81,($NJ55-1)*4+IF($MS55=0,1,IF($MS55&lt;=5,2,IF($MS55=6,3,4))),1+MIN(5,$QH55))&amp;INDEX('DADOS_FORMAS'!$IA$2:$IF$81,($NJ55-1)*4+IF($MS55=0,1,IF($MS55&lt;=5,2,IF($MS55=6,3,4))),1+MIN(5,$QI55))&amp;IF(INDEX('DADOS_FORMAS'!$GI$2:$GI$21,$NJ55)=1,IF(COUNTIF($RK55:$RN55,"Mais Um")&gt;0," · +"&amp;COUNTIF($RK55:$RN55,"Mais Um")&amp;IF(COUNTIF($RK55:$RN55,"Mais Um")&gt;1," alvos"," alvo"),"")&amp;IF(COUNTIF($RK55:$RN55,"Rajada")&gt;0,IF($MS55=0," · 1 tiro"," · "&amp;(MAX(1,$MS55-1)+1)&amp;" tiros"),""),""))</f>
        <v/>
      </c>
      <c r="QK55" s="164">
        <f>IF($ND55=0,"",IF($MS55=0,$NG55&amp;"d6"&amp;IF($OU55&gt;0," − 1 = "&amp;$PD55&amp;"d6"," da básica do nível "&amp;$NE55),$PB55&amp;" − "&amp;$OW55&amp;" + "&amp;$OZ55&amp;" = "&amp;$PC55&amp;" · teto "&amp;4*$MS55&amp;"d8"&amp;IF($OF55=1," · a Forma devolve "&amp;$MS55,"")&amp;IF($PA55&gt;0," · perde "&amp;$PA55,"")))</f>
        <v/>
      </c>
      <c r="QL55" s="164">
        <f>IF($ND55=0,"",IF($MS55=0,"A básica não amplia: os dados dela sobem com o nível",IF($MS55&gt;=$NF55,"Já está na maior Classe que o nível liberou",TEXTJOIN(" · ",TRUE,IF(AND(2&gt;$MS55,2&lt;=$NF55),"2 → "&amp;$PN55&amp;", 6 PE",""),IF(AND(3&gt;$MS55,3&lt;=$NF55),"3 → "&amp;$PO55&amp;", 9 PE",""),IF(AND(4&gt;$MS55,4&lt;=$NF55),"4 → "&amp;$PP55&amp;", 12 PE",""),IF(AND(5&gt;$MS55,5&lt;=$NF55),"5 → "&amp;$PQ55&amp;", 15 PE",""),IF(AND(6&gt;$MS55,6&lt;=$NF55),"6 → "&amp;$PR55&amp;", 18 PE",""),IF(AND(7&gt;$MS55,7&lt;=$NF55),"7 → "&amp;$PS55&amp;", 21 PE","")))))</f>
        <v/>
      </c>
      <c r="QM55" s="164">
        <f>IF(OR($ND55=0,$NO55=0),"",IF($MS55=0,"−1 dado","−"&amp;INDEX($I$2:$N$8,MAX(1,$MS55),MAX(1,$NT55))&amp;" · "&amp;CHOOSE(MAX(1,$NT55),"Leve","Média","Pesada","Leve · Livre","Média · Livre","Pesada · Livre")))</f>
        <v/>
      </c>
      <c r="QN55" s="164">
        <f>IF(OR($ND55=0,$NP55=0),"",IF($MS55=0,"−1 dado","−"&amp;INDEX($I$2:$N$8,MAX(1,$MS55),MAX(1,$NU55))&amp;" · "&amp;CHOOSE(MAX(1,$NU55),"Leve","Média","Pesada","Leve · Livre","Média · Livre","Pesada · Livre")))</f>
        <v/>
      </c>
      <c r="QO55" s="164">
        <f>IF(OR($ND55=0,$NQ55=0),"",IF($MS55=0,"−1 dado","−"&amp;INDEX($I$2:$N$8,MAX(1,$MS55),MAX(1,$NV55))&amp;" · "&amp;CHOOSE(MAX(1,$NV55),"Leve","Média","Pesada","Leve · Livre","Média · Livre","Pesada · Livre")))</f>
        <v/>
      </c>
      <c r="QP55" s="164">
        <f>IF(OR($ND55=0,$NR55=0),"",IF($MS55=0,"−1 dado","−"&amp;INDEX($I$2:$N$8,MAX(1,$MS55),MAX(1,$NW55))&amp;" · "&amp;CHOOSE(MAX(1,$NW55),"Leve","Média","Pesada","Leve · Livre","Média · Livre","Pesada · Livre")))</f>
        <v/>
      </c>
      <c r="QQ55" s="164">
        <f>IF(OR($ND55=0,$NB55=""),"",IF($MS55=0,"não devolve","+"&amp;IF($OI55=1,CEILING($MS55/2,1),$MS55)))</f>
        <v/>
      </c>
      <c r="QR55" s="164">
        <f>IF(OR($ND55=0,$NC55=""),"",IF($MS55=0,"não devolve","+"&amp;IF($OJ55=1,CEILING($MS55/2,1),$MS55)))</f>
        <v/>
      </c>
      <c r="RK55">
        <f>IF($MX55="","",IFERROR(VLOOKUP(SUBSTITUTE(SUBSTITUTE(SUBSTITUTE($MX55,"~","~~"),"*","~*"),"?","~?"),'DADOS_MELHORIAS'!$O$2:$X$113,10,FALSE),$MX55))</f>
        <v/>
      </c>
      <c r="RL55">
        <f>IF($MY55="","",IFERROR(VLOOKUP(SUBSTITUTE(SUBSTITUTE(SUBSTITUTE($MY55,"~","~~"),"*","~*"),"?","~?"),'DADOS_MELHORIAS'!$O$2:$X$113,10,FALSE),$MY55))</f>
        <v/>
      </c>
      <c r="RM55">
        <f>IF($MZ55="","",IFERROR(VLOOKUP(SUBSTITUTE(SUBSTITUTE(SUBSTITUTE($MZ55,"~","~~"),"*","~*"),"?","~?"),'DADOS_MELHORIAS'!$O$2:$X$113,10,FALSE),$MZ55))</f>
        <v/>
      </c>
      <c r="RN55">
        <f>IF($NA55="","",IFERROR(VLOOKUP(SUBSTITUTE(SUBSTITUTE(SUBSTITUTE($NA55,"~","~~"),"*","~*"),"?","~?"),'DADOS_MELHORIAS'!$O$2:$X$113,10,FALSE),$NA55))</f>
        <v/>
      </c>
      <c r="RO55">
        <f>IFERROR(INDEX('DADOS_FORMAS'!$BJ$2:$BJ$21,MATCH(SUBSTITUTE(SUBSTITUTE(SUBSTITUTE($MU55,"~","~~"),"*","~*"),"?","~?"),'DADOS_FORMAS'!$AH$2:$AH$21,0)),"")</f>
        <v/>
      </c>
      <c r="RP55">
        <f>IFERROR(VLOOKUP(SUBSTITUTE(SUBSTITUTE(SUBSTITUTE(IFERROR(INDEX('DADOS_FORMAS'!$AS$2:$AS$21,MATCH(SUBSTITUTE(SUBSTITUTE(SUBSTITUTE($MU55,"~","~~"),"*","~*"),"?","~?"),'DADOS_FORMAS'!$AH$2:$AH$21,0)),""),"~","~~"),"*","~*"),"?","~?"),'DADOS_RESTRICOES'!$M$2:$Q$54,2,FALSE),"")</f>
        <v/>
      </c>
      <c r="RQ55">
        <f>$OK55</f>
        <v/>
      </c>
      <c r="RR55">
        <f>$OL55</f>
        <v/>
      </c>
      <c r="RS55">
        <f>$RP55</f>
        <v/>
      </c>
    </row>
    <row r="56">
      <c r="AV56" s="162" t="inlineStr">
        <is>
          <t>Quebra Coisa</t>
        </is>
      </c>
      <c r="AW56" s="162" t="inlineStr">
        <is>
          <t>Castigo</t>
        </is>
      </c>
      <c r="AX56" s="164" t="n">
        <v>1</v>
      </c>
      <c r="AY56" s="164" t="n">
        <v>0</v>
      </c>
      <c r="AZ56" s="164" t="n">
        <v>0</v>
      </c>
      <c r="BA56" s="164" t="n">
        <v>0</v>
      </c>
      <c r="JT56" s="164">
        <f>IF(OR($AW56="",(COUNTIF($EL$2:$EP$2,$AW56)+COUNTIF($QV$2:$QY$2,$AW56))&gt;0),$AV56,"")</f>
        <v/>
      </c>
      <c r="JU56" s="164">
        <f>IF(AND($AX56=1,OR($AW56="",(COUNTIF($EL$2:$EP$2,$AW56)+COUNTIF($QV$2:$QY$2,$AW56))&gt;0)),$AV56,"")</f>
        <v/>
      </c>
      <c r="JZ56" s="164">
        <f>IF(OR($AW56="",(COUNTIF($EL$3:$EP$3,$AW56)+COUNTIF($QV$3:$QY$3,$AW56))&gt;0),$AV56,"")</f>
        <v/>
      </c>
      <c r="KA56" s="164">
        <f>IF(AND($AX56=1,OR($AW56="",(COUNTIF($EL$3:$EP$3,$AW56)+COUNTIF($QV$3:$QY$3,$AW56))&gt;0)),$AV56,"")</f>
        <v/>
      </c>
      <c r="KF56" s="164">
        <f>IF(OR($AW56="",(COUNTIF($EL$4:$EP$4,$AW56)+COUNTIF($QV$4:$QY$4,$AW56))&gt;0),$AV56,"")</f>
        <v/>
      </c>
      <c r="KG56" s="164">
        <f>IF(AND($AX56=1,OR($AW56="",(COUNTIF($EL$4:$EP$4,$AW56)+COUNTIF($QV$4:$QY$4,$AW56))&gt;0)),$AV56,"")</f>
        <v/>
      </c>
      <c r="KL56" s="164">
        <f>IF(OR($AW56="",(COUNTIF($EL$5:$EP$5,$AW56)+COUNTIF($QV$5:$QY$5,$AW56))&gt;0),$AV56,"")</f>
        <v/>
      </c>
      <c r="KM56" s="164">
        <f>IF(AND($AX56=1,OR($AW56="",(COUNTIF($EL$5:$EP$5,$AW56)+COUNTIF($QV$5:$QY$5,$AW56))&gt;0)),$AV56,"")</f>
        <v/>
      </c>
      <c r="KR56" s="164">
        <f>IF(OR($AW56="",(COUNTIF($EL$6:$EP$6,$AW56)+COUNTIF($QV$6:$QY$6,$AW56))&gt;0),$AV56,"")</f>
        <v/>
      </c>
      <c r="KS56" s="164">
        <f>IF(AND($AX56=1,OR($AW56="",(COUNTIF($EL$6:$EP$6,$AW56)+COUNTIF($QV$6:$QY$6,$AW56))&gt;0)),$AV56,"")</f>
        <v/>
      </c>
      <c r="KX56" s="164">
        <f>IF(OR($AW56="",(COUNTIF($EL$7:$EP$7,$AW56)+COUNTIF($QV$7:$QY$7,$AW56))&gt;0),$AV56,"")</f>
        <v/>
      </c>
      <c r="KY56" s="164">
        <f>IF(AND($AX56=1,OR($AW56="",(COUNTIF($EL$7:$EP$7,$AW56)+COUNTIF($QV$7:$QY$7,$AW56))&gt;0)),$AV56,"")</f>
        <v/>
      </c>
      <c r="LD56" s="164">
        <f>IF(OR($AW56="",(COUNTIF($EL$8:$EP$8,$AW56)+COUNTIF($QV$8:$QY$8,$AW56))&gt;0),$AV56,"")</f>
        <v/>
      </c>
      <c r="LE56" s="164">
        <f>IF(AND($AX56=1,OR($AW56="",(COUNTIF($EL$8:$EP$8,$AW56)+COUNTIF($QV$8:$QY$8,$AW56))&gt;0)),$AV56,"")</f>
        <v/>
      </c>
      <c r="LJ56" s="164">
        <f>IF(OR($AW56="",(COUNTIF($EL$9:$EP$9,$AW56)+COUNTIF($QV$9:$QY$9,$AW56))&gt;0),$AV56,"")</f>
        <v/>
      </c>
      <c r="LK56" s="164">
        <f>IF(AND($AX56=1,OR($AW56="",(COUNTIF($EL$9:$EP$9,$AW56)+COUNTIF($QV$9:$QY$9,$AW56))&gt;0)),$AV56,"")</f>
        <v/>
      </c>
      <c r="LP56" s="164">
        <f>IF(OR($AW56="",(COUNTIF($EL$10:$EP$10,$AW56)+COUNTIF($QV$10:$QY$10,$AW56))&gt;0),$AV56,"")</f>
        <v/>
      </c>
      <c r="LQ56" s="164">
        <f>IF(AND($AX56=1,OR($AW56="",(COUNTIF($EL$10:$EP$10,$AW56)+COUNTIF($QV$10:$QY$10,$AW56))&gt;0)),$AV56,"")</f>
        <v/>
      </c>
      <c r="LV56" s="164">
        <f>IF(OR($AW56="",(COUNTIF($EL$11:$EP$11,$AW56)+COUNTIF($QV$11:$QY$11,$AW56))&gt;0),$AV56,"")</f>
        <v/>
      </c>
      <c r="LW56" s="164">
        <f>IF(AND($AX56=1,OR($AW56="",(COUNTIF($EL$11:$EP$11,$AW56)+COUNTIF($QV$11:$QY$11,$AW56))&gt;0)),$AV56,"")</f>
        <v/>
      </c>
      <c r="MB56" s="164">
        <f>IF(OR($AW56="",(COUNTIF($EL$12:$EP$12,$AW56)+COUNTIF($QV$12:$QY$12,$AW56))&gt;0),$AV56,"")</f>
        <v/>
      </c>
      <c r="MC56" s="164">
        <f>IF(AND($AX56=1,OR($AW56="",(COUNTIF($EL$12:$EP$12,$AW56)+COUNTIF($QV$12:$QY$12,$AW56))&gt;0)),$AV56,"")</f>
        <v/>
      </c>
      <c r="MH56" s="164">
        <f>IF(OR($AW56="",(COUNTIF($EL$13:$EP$13,$AW56)+COUNTIF($QV$13:$QY$13,$AW56))&gt;0),$AV56,"")</f>
        <v/>
      </c>
      <c r="MI56" s="164">
        <f>IF(AND($AX56=1,OR($AW56="",(COUNTIF($EL$13:$EP$13,$AW56)+COUNTIF($QV$13:$QY$13,$AW56))&gt;0)),$AV56,"")</f>
        <v/>
      </c>
      <c r="MN56" s="162" t="inlineStr">
        <is>
          <t>Ficha 5 · Especial 2</t>
        </is>
      </c>
      <c r="MO56" s="164" t="n">
        <v>5</v>
      </c>
      <c r="MP56" s="164" t="n">
        <v>1</v>
      </c>
      <c r="MQ56" s="164" t="n">
        <v>4</v>
      </c>
      <c r="MR56" s="162" t="inlineStr">
        <is>
          <t>ESPECIAL 2</t>
        </is>
      </c>
      <c r="MS56" s="164">
        <f>MAX(1,MIN(7,N('INVOCAÇÕES'!$U$915)))</f>
        <v/>
      </c>
      <c r="MT56" s="164">
        <f>'INVOCAÇÕES'!$V$915&amp;""</f>
        <v/>
      </c>
      <c r="MU56" s="164">
        <f>'INVOCAÇÕES'!$U$920&amp;""</f>
        <v/>
      </c>
      <c r="MV56" s="164">
        <f>'INVOCAÇÕES'!$U$921&amp;""</f>
        <v/>
      </c>
      <c r="MW56" s="164">
        <f>'INVOCAÇÕES'!$W$921&amp;""</f>
        <v/>
      </c>
      <c r="MX56" s="164">
        <f>'INVOCAÇÕES'!$V$924&amp;""</f>
        <v/>
      </c>
      <c r="MY56" s="164">
        <f>'INVOCAÇÕES'!$V$925&amp;""</f>
        <v/>
      </c>
      <c r="MZ56" s="164">
        <f>'INVOCAÇÕES'!$V$926&amp;""</f>
        <v/>
      </c>
      <c r="NA56" s="164">
        <f>'INVOCAÇÕES'!$V$927&amp;""</f>
        <v/>
      </c>
      <c r="NB56" s="164">
        <f>'INVOCAÇÕES'!$V$928&amp;""</f>
        <v/>
      </c>
      <c r="NC56" s="164">
        <f>'INVOCAÇÕES'!$V$929&amp;""</f>
        <v/>
      </c>
      <c r="ND56" s="164">
        <f>IF($MT56&lt;&gt;"",1,0)</f>
        <v/>
      </c>
      <c r="NE56" s="164">
        <f>INDEX($FO$2:$FO$13,$MO56)</f>
        <v/>
      </c>
      <c r="NF56" s="164">
        <f>INDEX($FP$2:$FP$13,$MO56)</f>
        <v/>
      </c>
      <c r="NG56" s="164">
        <f>INDEX($FQ$2:$FQ$13,$MO56)</f>
        <v/>
      </c>
      <c r="NH56" s="164">
        <f>INDEX($GB$2:$GB$13,$MO56)</f>
        <v/>
      </c>
      <c r="NI56" s="164">
        <f>INDEX($GC$2:$GC$13,$MO56)</f>
        <v/>
      </c>
      <c r="NJ56" s="164">
        <f>IFERROR(MATCH(SUBSTITUTE(SUBSTITUTE(SUBSTITUTE($MU56,"~","~~"),"*","~*"),"?","~?"),'DADOS_FORMAS'!$FZ$2:$FZ$21,0),0)</f>
        <v/>
      </c>
      <c r="NK56" s="164">
        <f>IFERROR(VLOOKUP(SUBSTITUTE(SUBSTITUTE(SUBSTITUTE($MX56,"~","~~"),"*","~*"),"?","~?"),'DADOS_MELHORIAS'!$AG$2:$AL$113,2,FALSE),"")</f>
        <v/>
      </c>
      <c r="NL56" s="164">
        <f>IFERROR(VLOOKUP(SUBSTITUTE(SUBSTITUTE(SUBSTITUTE($MY56,"~","~~"),"*","~*"),"?","~?"),'DADOS_MELHORIAS'!$AG$2:$AL$113,2,FALSE),"")</f>
        <v/>
      </c>
      <c r="NM56" s="164">
        <f>IFERROR(VLOOKUP(SUBSTITUTE(SUBSTITUTE(SUBSTITUTE($MZ56,"~","~~"),"*","~*"),"?","~?"),'DADOS_MELHORIAS'!$AG$2:$AL$113,2,FALSE),"")</f>
        <v/>
      </c>
      <c r="NN56" s="164">
        <f>IFERROR(VLOOKUP(SUBSTITUTE(SUBSTITUTE(SUBSTITUTE($NA56,"~","~~"),"*","~*"),"?","~?"),'DADOS_MELHORIAS'!$AG$2:$AL$113,2,FALSE),"")</f>
        <v/>
      </c>
      <c r="NO56" s="164">
        <f>IFERROR(VLOOKUP(SUBSTITUTE(SUBSTITUTE(SUBSTITUTE($MX56,"~","~~"),"*","~*"),"?","~?"),'DADOS_MELHORIAS'!$AG$2:$AL$113,3,FALSE),0)</f>
        <v/>
      </c>
      <c r="NP56" s="164">
        <f>IFERROR(VLOOKUP(SUBSTITUTE(SUBSTITUTE(SUBSTITUTE($MY56,"~","~~"),"*","~*"),"?","~?"),'DADOS_MELHORIAS'!$AG$2:$AL$113,3,FALSE),0)</f>
        <v/>
      </c>
      <c r="NQ56" s="164">
        <f>IFERROR(VLOOKUP(SUBSTITUTE(SUBSTITUTE(SUBSTITUTE($MZ56,"~","~~"),"*","~*"),"?","~?"),'DADOS_MELHORIAS'!$AG$2:$AL$113,3,FALSE),0)</f>
        <v/>
      </c>
      <c r="NR56" s="164">
        <f>IFERROR(VLOOKUP(SUBSTITUTE(SUBSTITUTE(SUBSTITUTE($NA56,"~","~~"),"*","~*"),"?","~?"),'DADOS_MELHORIAS'!$AG$2:$AL$113,3,FALSE),0)</f>
        <v/>
      </c>
      <c r="NS56" s="164">
        <f>IF($MS56=0,0,IF($NJ56=0,0,INDEX('DADOS_FORMAS'!$GB$2:$GB$21,$NJ56)))</f>
        <v/>
      </c>
      <c r="NT56" s="164">
        <f>IF(OR($NO56=0,$MS56=0),0,$NO56+3*IF(AND($NK56&lt;&gt;"",COUNTIF(INDEX($RB$2:$RJ$13,$MO56,0),$NK56)&gt;0),1,0))</f>
        <v/>
      </c>
      <c r="NU56" s="164">
        <f>IF(OR($NP56=0,$MS56=0),0,$NP56+3*IF(AND($NL56&lt;&gt;"",COUNTIF(INDEX($RB$2:$RJ$13,$MO56,0),$NL56)&gt;0),1,0))</f>
        <v/>
      </c>
      <c r="NV56" s="164">
        <f>IF(OR($NQ56=0,$MS56=0),0,$NQ56+3*IF(AND($NM56&lt;&gt;"",COUNTIF(INDEX($RB$2:$RJ$13,$MO56,0),$NM56)&gt;0),1,0))</f>
        <v/>
      </c>
      <c r="NW56" s="164">
        <f>IF(OR($NR56=0,$MS56=0),0,$NR56+3*IF(AND($NN56&lt;&gt;"",COUNTIF(INDEX($RB$2:$RJ$13,$MO56,0),$NN56)&gt;0),1,0))</f>
        <v/>
      </c>
      <c r="NX56" s="164">
        <f>IF($NJ56=0,0,IF(INDEX('DADOS_FORMAS'!$GA$2:$GA$21,$NJ56)="",0,IF((COUNTIF(INDEX($EL$2:$EP$13,$MO56,0),INDEX('DADOS_FORMAS'!$GA$2:$GA$21,$NJ56))+COUNTIF(INDEX($QV$2:$QY$13,$MO56,0),INDEX('DADOS_FORMAS'!$GA$2:$GA$21,$NJ56)))=0,1,0)))</f>
        <v/>
      </c>
      <c r="NY56" s="164">
        <f>IF(OR($NO56=0,$NK56=""),0,IF((COUNTIF(INDEX($EL$2:$EP$13,$MO56,0),$NK56)+COUNTIF(INDEX($QV$2:$QY$13,$MO56,0),$NK56))=0,1,0))</f>
        <v/>
      </c>
      <c r="NZ56" s="164">
        <f>IF(OR($NP56=0,$NL56=""),0,IF((COUNTIF(INDEX($EL$2:$EP$13,$MO56,0),$NL56)+COUNTIF(INDEX($QV$2:$QY$13,$MO56,0),$NL56))=0,1,0))</f>
        <v/>
      </c>
      <c r="OA56" s="164">
        <f>IF(OR($NQ56=0,$NM56=""),0,IF((COUNTIF(INDEX($EL$2:$EP$13,$MO56,0),$NM56)+COUNTIF(INDEX($QV$2:$QY$13,$MO56,0),$NM56))=0,1,0))</f>
        <v/>
      </c>
      <c r="OB56" s="164">
        <f>IF(OR($NR56=0,$NN56=""),0,IF((COUNTIF(INDEX($EL$2:$EP$13,$MO56,0),$NN56)+COUNTIF(INDEX($QV$2:$QY$13,$MO56,0),$NN56))=0,1,0))</f>
        <v/>
      </c>
      <c r="OC56" s="164">
        <f>IFERROR(VLOOKUP(SUBSTITUTE(SUBSTITUTE(SUBSTITUTE($MX56,"~","~~"),"*","~*"),"?","~?"),'DADOS_MELHORIAS'!$AG$2:$AL$113,4,FALSE),0)+IFERROR(VLOOKUP(SUBSTITUTE(SUBSTITUTE(SUBSTITUTE($MY56,"~","~~"),"*","~*"),"?","~?"),'DADOS_MELHORIAS'!$AG$2:$AL$113,4,FALSE),0)+IFERROR(VLOOKUP(SUBSTITUTE(SUBSTITUTE(SUBSTITUTE($MZ56,"~","~~"),"*","~*"),"?","~?"),'DADOS_MELHORIAS'!$AG$2:$AL$113,4,FALSE),0)+IFERROR(VLOOKUP(SUBSTITUTE(SUBSTITUTE(SUBSTITUTE($NA56,"~","~~"),"*","~*"),"?","~?"),'DADOS_MELHORIAS'!$AG$2:$AL$113,4,FALSE),0)</f>
        <v/>
      </c>
      <c r="OD56" s="164">
        <f>IFERROR(VLOOKUP(SUBSTITUTE(SUBSTITUTE(SUBSTITUTE($MX56,"~","~~"),"*","~*"),"?","~?"),'DADOS_MELHORIAS'!$AG$2:$AL$113,6,FALSE),0)+IFERROR(VLOOKUP(SUBSTITUTE(SUBSTITUTE(SUBSTITUTE($MY56,"~","~~"),"*","~*"),"?","~?"),'DADOS_MELHORIAS'!$AG$2:$AL$113,6,FALSE),0)+IFERROR(VLOOKUP(SUBSTITUTE(SUBSTITUTE(SUBSTITUTE($MZ56,"~","~~"),"*","~*"),"?","~?"),'DADOS_MELHORIAS'!$AG$2:$AL$113,6,FALSE),0)+IFERROR(VLOOKUP(SUBSTITUTE(SUBSTITUTE(SUBSTITUTE($NA56,"~","~~"),"*","~*"),"?","~?"),'DADOS_MELHORIAS'!$AG$2:$AL$113,6,FALSE),0)+IFERROR(N(AND(INDEX('DADOS_FORMAS'!$AO$2:$AO$21,MATCH(SUBSTITUTE(SUBSTITUTE(SUBSTITUTE($MU56,"~","~~"),"*","~*"),"?","~?"),'DADOS_FORMAS'!$AH$2:$AH$21,0))="Acerto",$OH56=1)),0)</f>
        <v/>
      </c>
      <c r="OE56" s="164">
        <f>TEXTJOIN(", ",TRUE,IF(IFERROR(VLOOKUP(SUBSTITUTE(SUBSTITUTE(SUBSTITUTE($MX56,"~","~~"),"*","~*"),"?","~?"),'DADOS_MELHORIAS'!$AG$2:$AL$113,5,FALSE),0)=1,$MX56,""),IF(IFERROR(VLOOKUP(SUBSTITUTE(SUBSTITUTE(SUBSTITUTE($MY56,"~","~~"),"*","~*"),"?","~?"),'DADOS_MELHORIAS'!$AG$2:$AL$113,5,FALSE),0)=1,$MY56,""),IF(IFERROR(VLOOKUP(SUBSTITUTE(SUBSTITUTE(SUBSTITUTE($MZ56,"~","~~"),"*","~*"),"?","~?"),'DADOS_MELHORIAS'!$AG$2:$AL$113,5,FALSE),0)=1,$MZ56,""),IF(IFERROR(VLOOKUP(SUBSTITUTE(SUBSTITUTE(SUBSTITUTE($NA56,"~","~~"),"*","~*"),"?","~?"),'DADOS_MELHORIAS'!$AG$2:$AL$113,5,FALSE),0)=1,$NA56,""))</f>
        <v/>
      </c>
      <c r="OF56" s="164">
        <f>IF($NJ56=0,0,INDEX('DADOS_FORMAS'!$GC$2:$GC$21,$NJ56))</f>
        <v/>
      </c>
      <c r="OG56" s="164">
        <f>IF($NJ56=0,0,INDEX('DADOS_FORMAS'!$GD$2:$GD$21,$NJ56))</f>
        <v/>
      </c>
      <c r="OH56" s="164">
        <f>IF($NJ56=0,0,INDEX('DADOS_FORMAS'!$GF$2:$GF$21,$NJ56))</f>
        <v/>
      </c>
      <c r="OI56" s="164">
        <f>IFERROR(VLOOKUP(SUBSTITUTE(SUBSTITUTE(SUBSTITUTE($NB56,"~","~~"),"*","~*"),"?","~?"),'DADOS_RESTRICOES'!$M$2:$Q$54,3,FALSE),0)</f>
        <v/>
      </c>
      <c r="OJ56" s="164">
        <f>IFERROR(VLOOKUP(SUBSTITUTE(SUBSTITUTE(SUBSTITUTE($NC56,"~","~~"),"*","~*"),"?","~?"),'DADOS_RESTRICOES'!$M$2:$Q$54,3,FALSE),0)</f>
        <v/>
      </c>
      <c r="OK56" s="164">
        <f>IFERROR(VLOOKUP(SUBSTITUTE(SUBSTITUTE(SUBSTITUTE($NB56,"~","~~"),"*","~*"),"?","~?"),'DADOS_RESTRICOES'!$M$2:$Q$54,2,FALSE),"")</f>
        <v/>
      </c>
      <c r="OL56" s="164">
        <f>IFERROR(VLOOKUP(SUBSTITUTE(SUBSTITUTE(SUBSTITUTE($NC56,"~","~~"),"*","~*"),"?","~?"),'DADOS_RESTRICOES'!$M$2:$Q$54,2,FALSE),"")</f>
        <v/>
      </c>
      <c r="OM56" s="164">
        <f>COUNTIF($NS56:$NW56,1)</f>
        <v/>
      </c>
      <c r="ON56" s="164">
        <f>COUNTIF($NS56:$NW56,2)</f>
        <v/>
      </c>
      <c r="OO56" s="164">
        <f>COUNTIF($NS56:$NW56,3)</f>
        <v/>
      </c>
      <c r="OP56" s="164">
        <f>COUNTIF($NS56:$NW56,4)</f>
        <v/>
      </c>
      <c r="OQ56" s="164">
        <f>COUNTIF($NS56:$NW56,5)</f>
        <v/>
      </c>
      <c r="OR56" s="164">
        <f>COUNTIF($NS56:$NW56,6)</f>
        <v/>
      </c>
      <c r="OS56" s="164">
        <f>COUNTIF($OI56:$OJ56,1)+IF(IFERROR(INDEX('DADOS_FORMAS'!$AS$2:$AS$21,MATCH(SUBSTITUTE(SUBSTITUTE(SUBSTITUTE($MU56,"~","~~"),"*","~*"),"?","~?"),'DADOS_FORMAS'!$AH$2:$AH$21,0)),"")="",0,IFERROR(N(VLOOKUP(SUBSTITUTE(SUBSTITUTE(SUBSTITUTE(IFERROR(INDEX('DADOS_FORMAS'!$AS$2:$AS$21,MATCH(SUBSTITUTE(SUBSTITUTE(SUBSTITUTE($MU56,"~","~~"),"*","~*"),"?","~?"),'DADOS_FORMAS'!$AH$2:$AH$21,0)),""),"~","~~"),"*","~*"),"?","~?"),'DADOS_RESTRICOES'!$M$2:$Q$54,3,FALSE)=1),0))</f>
        <v/>
      </c>
      <c r="OT56" s="164">
        <f>COUNTIF($OI56:$OJ56,2)+IF(IFERROR(INDEX('DADOS_FORMAS'!$AS$2:$AS$21,MATCH(SUBSTITUTE(SUBSTITUTE(SUBSTITUTE($MU56,"~","~~"),"*","~*"),"?","~?"),'DADOS_FORMAS'!$AH$2:$AH$21,0)),"")="",0,IFERROR(N(VLOOKUP(SUBSTITUTE(SUBSTITUTE(SUBSTITUTE(IFERROR(INDEX('DADOS_FORMAS'!$AS$2:$AS$21,MATCH(SUBSTITUTE(SUBSTITUTE(SUBSTITUTE($MU56,"~","~~"),"*","~*"),"?","~?"),'DADOS_FORMAS'!$AH$2:$AH$21,0)),""),"~","~~"),"*","~*"),"?","~?"),'DADOS_RESTRICOES'!$M$2:$Q$54,3,FALSE)=2),0))</f>
        <v/>
      </c>
      <c r="OU56" s="164">
        <f>COUNTIF($MX56:$NA56,"?*")</f>
        <v/>
      </c>
      <c r="OV56" s="164">
        <f>COUNTIF($NB56:$NC56,"?*")+$OF56</f>
        <v/>
      </c>
      <c r="OW56" s="164">
        <f>IF($MS56=0,0,SUMPRODUCT($OM56:$OR56,INDEX($I$2:$N$8,MAX(1,$MS56),0)))</f>
        <v/>
      </c>
      <c r="OX56" s="164">
        <f>IF($MS56=0,0,$OS56*CEILING($MS56/2,1)+$OT56*$MS56)</f>
        <v/>
      </c>
      <c r="OY56" s="164">
        <f>MIN(2*$MS56,$OX56)</f>
        <v/>
      </c>
      <c r="OZ56" s="164">
        <f>MIN($OY56,$OW56-IF($NS56=0,0,INDEX($I$2:$N$8,MAX(1,$MS56),$NS56)))</f>
        <v/>
      </c>
      <c r="PA56" s="164">
        <f>$OY56-$OZ56</f>
        <v/>
      </c>
      <c r="PB56" s="164">
        <f>IF($MS56=0,0,INDEX($P$2:$P$8,MAX(1,$MS56)))</f>
        <v/>
      </c>
      <c r="PC56" s="164">
        <f>$PB56-$OW56+$OZ56</f>
        <v/>
      </c>
      <c r="PD56" s="164">
        <f>IF($MS56=0,MAX(0,$NG56-IF(AND($OU56&gt;0,COUNTIF($NB56:$NC56,"?*")=0),1,0)),MAX(0,$PC56))</f>
        <v/>
      </c>
      <c r="PE56" s="164">
        <f>IF($MS56=0,0,(IF(COUNTIF($RK56:$RN56,"Salto")&gt;0,1,0)+IF(COUNTIF($RK56:$RN56,"Queima")&gt;0,1,0)+IF(COUNTIF($RK56:$RN56,"Estilhaço")&gt;0,1,0))*FLOOR($PD56/2,1))</f>
        <v/>
      </c>
      <c r="PF56" s="164">
        <f>MAX(0,2-SUMPRODUCT($OM56:$OR56,$I$2:$N$2)+MIN(2,$OS56*1+$OT56*1,SUMPRODUCT($OM56:$OR56,$I$2:$N$2)-IF($NS56=0,0,INDEX($I$2:$N$2,1,$NS56))))</f>
        <v/>
      </c>
      <c r="PG56" s="164">
        <f>MAX(0,4-SUMPRODUCT($OM56:$OR56,$I$3:$N$3)+MIN(4,$OS56*1+$OT56*2,SUMPRODUCT($OM56:$OR56,$I$3:$N$3)-IF($NS56=0,0,INDEX($I$3:$N$3,1,$NS56))))</f>
        <v/>
      </c>
      <c r="PH56" s="164">
        <f>MAX(0,6-SUMPRODUCT($OM56:$OR56,$I$4:$N$4)+MIN(6,$OS56*2+$OT56*3,SUMPRODUCT($OM56:$OR56,$I$4:$N$4)-IF($NS56=0,0,INDEX($I$4:$N$4,1,$NS56))))</f>
        <v/>
      </c>
      <c r="PI56" s="164">
        <f>MAX(0,9-SUMPRODUCT($OM56:$OR56,$I$5:$N$5)+MIN(8,$OS56*2+$OT56*4,SUMPRODUCT($OM56:$OR56,$I$5:$N$5)-IF($NS56=0,0,INDEX($I$5:$N$5,1,$NS56))))</f>
        <v/>
      </c>
      <c r="PJ56" s="164">
        <f>MAX(0,11-SUMPRODUCT($OM56:$OR56,$I$6:$N$6)+MIN(10,$OS56*3+$OT56*5,SUMPRODUCT($OM56:$OR56,$I$6:$N$6)-IF($NS56=0,0,INDEX($I$6:$N$6,1,$NS56))))</f>
        <v/>
      </c>
      <c r="PK56" s="164">
        <f>MAX(0,13-SUMPRODUCT($OM56:$OR56,$I$7:$N$7)+MIN(12,$OS56*3+$OT56*6,SUMPRODUCT($OM56:$OR56,$I$7:$N$7)-IF($NS56=0,0,INDEX($I$7:$N$7,1,$NS56))))</f>
        <v/>
      </c>
      <c r="PL56" s="164">
        <f>MAX(0,16-SUMPRODUCT($OM56:$OR56,$I$8:$N$8)+MIN(14,$OS56*4+$OT56*7,SUMPRODUCT($OM56:$OR56,$I$8:$N$8)-IF($NS56=0,0,INDEX($I$8:$N$8,1,$NS56))))</f>
        <v/>
      </c>
      <c r="PM56" s="164">
        <f>IF($OG56=2,3*$PF56&amp;" de vida temp.",IF($OG56=3,"sem dano",IF($PF56=0,IF($OG56=1,"sem cura","sem dano"),IF($OG56=1,"cura ","")&amp;$PF56&amp;"d8")))</f>
        <v/>
      </c>
      <c r="PN56" s="164">
        <f>IF($OG56=2,3*$PG56&amp;" de vida temp.",IF($OG56=3,"sem dano",IF($PG56=0,IF($OG56=1,"sem cura","sem dano"),IF($OG56=1,"cura ","")&amp;$PG56&amp;"d8")))</f>
        <v/>
      </c>
      <c r="PO56" s="164">
        <f>IF($OG56=2,3*$PH56&amp;" de vida temp.",IF($OG56=3,"sem dano",IF($PH56=0,IF($OG56=1,"sem cura","sem dano"),IF($OG56=1,"cura ","")&amp;$PH56&amp;"d8")))</f>
        <v/>
      </c>
      <c r="PP56" s="164">
        <f>IF($OG56=2,3*$PI56&amp;" de vida temp.",IF($OG56=3,"sem dano",IF($PI56=0,IF($OG56=1,"sem cura","sem dano"),IF($OG56=1,"cura ","")&amp;$PI56&amp;"d8")))</f>
        <v/>
      </c>
      <c r="PQ56" s="164">
        <f>IF($OG56=2,3*$PJ56&amp;" de vida temp.",IF($OG56=3,"sem dano",IF($PJ56=0,IF($OG56=1,"sem cura","sem dano"),IF($OG56=1,"cura ","")&amp;$PJ56&amp;"d8")))</f>
        <v/>
      </c>
      <c r="PR56" s="164">
        <f>IF($OG56=2,3*$PK56&amp;" de vida temp.",IF($OG56=3,"sem dano",IF($PK56=0,IF($OG56=1,"sem cura","sem dano"),IF($OG56=1,"cura ","")&amp;$PK56&amp;"d8")))</f>
        <v/>
      </c>
      <c r="PS56" s="164">
        <f>IF($OG56=2,3*$PL56&amp;" de vida temp.",IF($OG56=3,"sem dano",IF($PL56=0,IF($OG56=1,"sem cura","sem dano"),IF($OG56=1,"cura ","")&amp;$PL56&amp;"d8")))</f>
        <v/>
      </c>
      <c r="PT56" s="164">
        <f>IF($ND56=0,"",TEXTJOIN(" · ",TRUE,IF($ND56=0,"",TEXTJOIN(" · ",TRUE,IF($ND56=0,"",TEXTJOIN(" · ",TRUE,IF($MQ56&gt;$NE56,"Este lugar abre no nível "&amp;$MQ56,""),IF($MS56&gt;$NF56,"Classe "&amp;$MS56&amp;": o nível "&amp;$NE56&amp;" libera até a "&amp;$NF56,""),IF($NX56=1,"A Forma "&amp;$MU56&amp;" pede "&amp;INDEX('DADOS_FORMAS'!$GA$2:$GA$21,$NJ56)&amp;" aberta",""),IF(AND($MS56=0,$NJ56&gt;0,IF($NJ56=0,0,INDEX('DADOS_FORMAS'!$GJ$2:$GJ$21,$NJ56))=0),$MU56&amp;" não existe na Classe 0",""),IF($NY56=1,"Família Fechada: "&amp;$MX56,""),IF($NZ56=1,"Família Fechada: "&amp;$MY56,""),IF($OA56=1,"Família Fechada: "&amp;$MZ56,""),IF($OB56=1,"Família Fechada: "&amp;$NA56,""),IF(AND($MS56&gt;0,$OU56&gt;INDEX($O$2:$O$8,MAX(1,$MS56))),$OU56&amp;" Melhorias: a Classe "&amp;$MS56&amp;" aceita "&amp;INDEX($O$2:$O$8,MAX(1,$MS56)),""),IF(AND($MS56=0,$OU56&gt;1),"A básica aceita uma Melhoria",""),IF(AND($MS56=0,COUNTIF($NO56:$NR56,"&gt;1")&gt;0),"A básica só aceita Melhoria Leve",""),IF(AND($MS56&gt;0,$OV56&gt;2),$OV56&amp;" Restrições"&amp;IF($OF56=1,", contando a que a Forma "&amp;$MU56&amp;" já traz","")&amp;": o limite é 2",""),IF(AND($MS56=0,COUNTIF($NB56:$NC56,"?*")&gt;1),"A básica aceita uma Restrição Leve",""),IF(AND($MS56=0,COUNTIF($OI56:$OJ56,2)&gt;0),"A básica só aceita Restrição Leve",""),IF(AND($MS56&gt;0,$PC56&lt;0),"Orçamento estourado: faltam "&amp;(-$PC56)&amp;IF($PC56&lt;-1," pontos"," ponto"),""),IF(IFERROR(VLOOKUP(SUBSTITUTE(SUBSTITUTE(SUBSTITUTE($NB56,"~","~~"),"*","~*"),"?","~?"),'DADOS_RESTRICOES'!$M$2:$Q$54,4,FALSE),0)+IFERROR(VLOOKUP(SUBSTITUTE(SUBSTITUTE(SUBSTITUTE($NC56,"~","~~"),"*","~*"),"?","~?"),'DADOS_RESTRICOES'!$M$2:$Q$54,4,FALSE),0)&gt;1,$OK56&amp;" e "&amp;$OL56&amp;" são as duas de frequência",""),IF(AND((COUNTIF($RK56:$RN56,"Rápido")+COUNTIF($OK56:$OL56,"Rápido"))&gt;0,(COUNTIF($MX56:$NA56,"Atrasar")+COUNTIF($OK56:$OL56,"Atrasar"))&gt;0),"Rápido não entra com Atrasar",""),IF(AND((COUNTIF($RK56:$RN56,"Reação")+COUNTIF($OK56:$OL56,"Reação"))&gt;0,(COUNTIF($RK56:$RN56,"Rápido")+COUNTIF($OK56:$OL56,"Rápido"))&gt;0),"Reação não entra com Rápido",""),IF(AND((COUNTIF($RK56:$RN56,"Reação")+COUNTIF($OK56:$OL56,"Reação"))&gt;0,(COUNTIF($RK56:$RN56,"Armado")+COUNTIF($OK56:$OL56,"Armado"))&gt;0),"Reação não entra com Armado",""),IF(AND((COUNTIF($RK56:$RN56,"Reação")+COUNTIF($OK56:$OL56,"Reação"))&gt;0,(COUNTIF($MX56:$NA56,"Atrasar")+COUNTIF($OK56:$OL56,"Atrasar"))&gt;0),"Reação não entra com Atrasar",""),IF(AND((COUNTIF($RK56:$RN56,"Reação")+COUNTIF($OK56:$OL56,"Reação"))&gt;0,(COUNTIF($MX56:$NA56,"Parado")+COUNTIF($OK56:$OL56,"Parado"))&gt;0),"Reação não entra com Parado",""),IF(AND((COUNTIF($MX56:$NA56,"Atrasar")+COUNTIF($OK56:$OL56,"Atrasar"))&gt;0,(COUNTIF($MX56:$NA56,"Parado")+COUNTIF($OK56:$OL56,"Parado"))&gt;0),"Atrasar não entra com Parado",""),IF(AND((COUNTIF($RK56:$RN56,"Armado")+COUNTIF($OK56:$OL56,"Armado"))&gt;0,(COUNTIF($MX56:$NA56,"Carregar")+COUNTIF($OK56:$OL56,"Carregar"))&gt;0),"Armado não entra com Carregar",""),IF(AND(COUNTIF($OK56:$OL56,"Corpo a Corpo")&gt;0,$OF56=0,OR($RO56="Cone",$RO56="Linha")),"Corpo a Corpo não entra em "&amp;$MU56,""),IF(AND(COUNTIF($OK56:$OL56,"Corpo a Corpo")&gt;0,$RP56="Corpo a Corpo"),"A Forma "&amp;$MU56&amp;" já traz o Corpo a Corpo",""),IF(AND(COUNTIF($OK56:$OL56,"Tudo ou Nada")&gt;0,$OH56=0),"Tudo ou Nada só entra em habilidade de Teste de Resistência",""),IF(AND(COUNTIF($RK56:$RN56,"Inescapável")&gt;0,OR($OU56&gt;1,$OV56&gt;0)),"Inescapável não aceita outra peça",""),IF(AND($MS56&gt;0,$PD56*IF(COUNTIF($RK56:$RN56,"Remate")&gt;0,1.25,1)+$PE56&gt;4*$MS56),($PD56*IF(COUNTIF($RK56:$RN56,"Remate")&gt;0,1.25,1)+$PE56)&amp;" dados somando repetições"&amp;IF(COUNTIF($RK56:$RN56,"Remate")&gt;0," e o Remate","")&amp;": o teto da Classe "&amp;$MS56&amp;" é "&amp;4*$MS56,""))),IF(AND($MX56&lt;&gt;"",COUNTIF('DADOS_MELHORIAS'!$O$2:$O$113,SUBSTITUTE(SUBSTITUTE(SUBSTITUTE($MX56,"~","~~"),"*","~*"),"?","~?"))=0),"Melhoria não cadastrada ou com erro: "&amp;$MX56,""),IF(AND($MY56&lt;&gt;"",COUNTIF('DADOS_MELHORIAS'!$O$2:$O$113,SUBSTITUTE(SUBSTITUTE(SUBSTITUTE($MY56,"~","~~"),"*","~*"),"?","~?"))=0),"Melhoria não cadastrada ou com erro: "&amp;$MY56,""),IF(AND($MZ56&lt;&gt;"",COUNTIF('DADOS_MELHORIAS'!$O$2:$O$113,SUBSTITUTE(SUBSTITUTE(SUBSTITUTE($MZ56,"~","~~"),"*","~*"),"?","~?"))=0),"Melhoria não cadastrada ou com erro: "&amp;$MZ56,""),IF(AND($NA56&lt;&gt;"",COUNTIF('DADOS_MELHORIAS'!$O$2:$O$113,SUBSTITUTE(SUBSTITUTE(SUBSTITUTE($NA56,"~","~~"),"*","~*"),"?","~?"))=0),"Melhoria não cadastrada ou com erro: "&amp;$NA56,""),IF(AND($NB56&lt;&gt;"",COUNTIF('DADOS_RESTRICOES'!$M$2:$M$54,SUBSTITUTE(SUBSTITUTE(SUBSTITUTE($NB56,"~","~~"),"*","~*"),"?","~?"))=0),"Restrição não cadastrada ou com erro: "&amp;$NB56,""),IF(AND($NC56&lt;&gt;"",COUNTIF('DADOS_RESTRICOES'!$M$2:$M$54,SUBSTITUTE(SUBSTITUTE(SUBSTITUTE($NC56,"~","~~"),"*","~*"),"?","~?"))=0),"Restrição não cadastrada ou com erro: "&amp;$NC56,""))),IF(AND($MU56&lt;&gt;"",COUNTIF('DADOS_FORMAS'!$AH$2:$AH$21,SUBSTITUTE(SUBSTITUTE(SUBSTITUTE($MU56,"~","~~"),"*","~*"),"?","~?"))=0),"Forma não cadastrada ou com erro: "&amp;$MU56,""),IF(AND(IFERROR(INDEX('DADOS_FORMAS'!$AS$2:$AS$21,MATCH(SUBSTITUTE(SUBSTITUTE(SUBSTITUTE($MU56,"~","~~"),"*","~*"),"?","~?"),'DADOS_FORMAS'!$AH$2:$AH$21,0)),"")&lt;&gt;"",OR(IFERROR(VLOOKUP(SUBSTITUTE(SUBSTITUTE(SUBSTITUTE(IFERROR(INDEX('DADOS_FORMAS'!$AS$2:$AS$21,MATCH(SUBSTITUTE(SUBSTITUTE(SUBSTITUTE($MU56,"~","~~"),"*","~*"),"?","~?"),'DADOS_FORMAS'!$AH$2:$AH$21,0)),""),"~","~~"),"*","~*"),"?","~?"),'DADOS_RESTRICOES'!$M$2:$Q$54,2,FALSE),"")=$OK56,IFERROR(VLOOKUP(SUBSTITUTE(SUBSTITUTE(SUBSTITUTE(IFERROR(INDEX('DADOS_FORMAS'!$AS$2:$AS$21,MATCH(SUBSTITUTE(SUBSTITUTE(SUBSTITUTE($MU56,"~","~~"),"*","~*"),"?","~?"),'DADOS_FORMAS'!$AH$2:$AH$21,0)),""),"~","~~"),"*","~*"),"?","~?"),'DADOS_RESTRICOES'!$M$2:$Q$54,2,FALSE),"")=$OL56)),"Restrição repetida, contando a embutida",""),IF(IF(IFERROR(INDEX('DADOS_FORMAS'!$AS$2:$AS$21,MATCH(SUBSTITUTE(SUBSTITUTE(SUBSTITUTE($MU56,"~","~~"),"*","~*"),"?","~?"),'DADOS_FORMAS'!$AH$2:$AH$21,0)),"")="",0,IFERROR(N(VLOOKUP(SUBSTITUTE(SUBSTITUTE(SUBSTITUTE(IFERROR(INDEX('DADOS_FORMAS'!$AS$2:$AS$21,MATCH(SUBSTITUTE(SUBSTITUTE(SUBSTITUTE($MU56,"~","~~"),"*","~*"),"?","~?"),'DADOS_FORMAS'!$AH$2:$AH$21,0)),""),"~","~~"),"*","~*"),"?","~?"),'DADOS_RESTRICOES'!$M$2:$Q$54,4,FALSE)=1),0))+IF($NB56="",0,IFERROR(N(VLOOKUP(SUBSTITUTE(SUBSTITUTE(SUBSTITUTE($NB56,"~","~~"),"*","~*"),"?","~?"),'DADOS_RESTRICOES'!$M$2:$Q$54,4,FALSE)=1),0))+IF($NC56="",0,IFERROR(N(VLOOKUP(SUBSTITUTE(SUBSTITUTE(SUBSTITUTE($NC56,"~","~~"),"*","~*"),"?","~?"),'DADOS_RESTRICOES'!$M$2:$Q$54,4,FALSE)=1),0))&gt;1,"Duas Restrições de frequência, contando a embutida",""),IF(AND(IFERROR(VLOOKUP(SUBSTITUTE(SUBSTITUTE(SUBSTITUTE(IFERROR(INDEX('DADOS_FORMAS'!$AS$2:$AS$21,MATCH(SUBSTITUTE(SUBSTITUTE(SUBSTITUTE($MU56,"~","~~"),"*","~*"),"?","~?"),'DADOS_FORMAS'!$AH$2:$AH$21,0)),""),"~","~~"),"*","~*"),"?","~?"),'DADOS_RESTRICOES'!$M$2:$Q$54,2,FALSE),"")="Tudo ou Nada",$OH56=0),"Tudo ou Nada exige TR",""),IF(AND(IFERROR(VLOOKUP(SUBSTITUTE(SUBSTITUTE(SUBSTITUTE(IFERROR(INDEX('DADOS_FORMAS'!$AS$2:$AS$21,MATCH(SUBSTITUTE(SUBSTITUTE(SUBSTITUTE($MU56,"~","~~"),"*","~*"),"?","~?"),'DADOS_FORMAS'!$AH$2:$AH$21,0)),""),"~","~~"),"*","~*"),"?","~?"),'DADOS_RESTRICOES'!$M$2:$Q$54,2,FALSE),"")="Corpo a Corpo",OR($RO56="Cone",$RO56="Linha")),"Corpo a Corpo não entra em Cone/Linha","")))</f>
        <v/>
      </c>
      <c r="PU56" s="164">
        <f>IF($PT56="",0,(LEN($PT56)-LEN(SUBSTITUTE($PT56," · ","")))/3+1)</f>
        <v/>
      </c>
      <c r="PV56" s="164">
        <f>IF($ND56=0,"",TEXTJOIN(" · ",TRUE,IF($OX56&gt;2*$MS56,"A devolução parou no teto de "&amp;2*$MS56,""),IF($PA56&gt;0,"Devolução perdida: "&amp;$PA56&amp;IF($PA56&gt;1," pontos"," ponto")&amp;" sem Melhoria para pagar",""),IF(AND($OC56&gt;0,AND($MS56&gt;0,$OG56=0),$PD56=0),"Controle sem dano: uma rodada a mais e CD +2",""),IF(AND($OC56&gt;0,AND($MS56&gt;0,$OG56=0),$PD56&gt;0,$PD56&lt;=$MS56),"Controle com saldo até a Classe: uma rodada a mais",""),IF(AND($MS56&gt;0,$OE56&lt;&gt;""),"Efeito de "&amp;$OE56&amp;" pela Classe "&amp;MAX(1,$MS56-1),"")))</f>
        <v/>
      </c>
      <c r="PW56" s="164">
        <f>IF($PV56="",0,(LEN($PV56)-LEN(SUBSTITUTE($PV56," · ","")))/3+1)</f>
        <v/>
      </c>
      <c r="PX56" s="164">
        <f>IF($ND56=0,IF($OU56+COUNTIF($NB56:$NC56,"?*")&gt;0,"Dê um nome",""),IF($PU56&gt;0,"⚠ "&amp;$PU56&amp;IF($PU56&gt;1," erros"," erro"),IF($PW56&gt;0,"! "&amp;$PW56&amp;IF($PW56&gt;1," avisos"," aviso"),"Na regra")))</f>
        <v/>
      </c>
      <c r="PY56" s="164">
        <f>IF($ND56=0,"",IF($PU56+$PW56=0,"Dentro das regras que a ficha confere",$PT56&amp;IF(AND($PU56&gt;0,$PW56&gt;0)," · ","")&amp;$PV56))</f>
        <v/>
      </c>
      <c r="PZ56" s="164">
        <f>IF($MQ56&gt;$NE56,$MR56&amp;" · ABRE NO NÍVEL "&amp;$MQ56,$MR56)</f>
        <v/>
      </c>
      <c r="QA56" s="164">
        <f>IF($ND56=0,"",IF($MS56=0,"Sem PE",3*$MS56&amp;" PE"))</f>
        <v/>
      </c>
      <c r="QB56" s="164">
        <f>IF($ND56=0,"",IF($MS56=0,"A atuação básica dela",IF(COUNTIF($RQ56:$RS56,"Atrasar")&gt;0,"Sua Ação Completa",IF(COUNTIF($RK56:$RN56,"Rápido")&gt;0,"Sua Bônus",IF(COUNTIF($RK56:$RN56,"Reação")&gt;0,"Sua Reação","Sua Padrão")))&amp;" + a básica dela"&amp;IF(COUNTIF($RK56:$RN56,"Reação")&gt;0," e a coletiva","")&amp;IF(COUNTIF($RQ56:$RS56,"Carregar")&gt;0," · em dois turnos","")))</f>
        <v/>
      </c>
      <c r="QC56" s="164">
        <f>IF($MW56&lt;&gt;"",$MW56,IF($NJ56=0,"",INDEX('DADOS_FORMAS'!$GE$2:$GE$21,$NJ56)))</f>
        <v/>
      </c>
      <c r="QD56" s="164">
        <f>IF(OR($ND56=0,$NJ56=0),"",IF(COUNTIF($RK56:$RN56,"Inescapável")&gt;0,"Automático",IF($QC56="Ataque",IF($NH56="","Ataque","Ataque "&amp;IF(($NH56+2*IF(COUNTIF($RK56:$RN56,"Precisão")&gt;0,1,0))&gt;=0,"+","−")&amp;ABS(($NH56+2*IF(COUNTIF($RK56:$RN56,"Precisão")&gt;0,1,0))))&amp;IF($OD56&gt;0," · TR"&amp;IF($NI56="",""," CD "&amp;$NI56),""),IF(LEFT($QC56,2)="TR",$QC56&amp;IF($NI56="",""," · CD "&amp;$NI56)&amp;IF(COUNTIF($RK56:$RN56,"Certeiro")&gt;0," · metade",""),"Sem rolagem"))))</f>
        <v/>
      </c>
      <c r="QE56" s="164">
        <f>IF(OR($ND56=0,$NJ56=0),"",IF($MS56=0,IF(OR($OG56&gt;=1,$PD56=0),"Sem dano",$PD56&amp;"d6"&amp;IF($MV56="",""," "&amp;$MV56)),IF(OR($OG56&gt;=1,$PD56=0),UPPER(LEFT(INDEX($PM56:$PS56,1,MAX(1,$MS56)),1))&amp;MID(INDEX($PM56:$PS56,1,MAX(1,$MS56)),2,99),UPPER(LEFT(INDEX($PM56:$PS56,1,MAX(1,$MS56)),1))&amp;MID(INDEX($PM56:$PS56,1,MAX(1,$MS56)),2,99)&amp;IF($MV56="",""," "&amp;$MV56)&amp;IF($PE56&gt;0," · +"&amp;$PE56&amp;"d8",""))))</f>
        <v/>
      </c>
      <c r="QF56" s="164">
        <f>COUNTIF($RK56:$RN56,"Longe")+3*COUNTIF($RK56:$RN56,"Muito Longe")</f>
        <v/>
      </c>
      <c r="QG56" s="164">
        <f>COUNTIF($RK56:$RN56,"Maior")+3*COUNTIF($RK56:$RN56,"Muito Maior")</f>
        <v/>
      </c>
      <c r="QH56" s="164">
        <f>IF($NJ56=0,0,CHOOSE(1+INDEX('DADOS_FORMAS'!$GG$2:$GG$21,$NJ56),0,$QF56,$QG56,$QF56+$QG56))</f>
        <v/>
      </c>
      <c r="QI56" s="164">
        <f>IF($NJ56=0,0,CHOOSE(1+INDEX('DADOS_FORMAS'!$GH$2:$GH$21,$NJ56),0,$QF56,$QG56,$QF56+$QG56))</f>
        <v/>
      </c>
      <c r="QJ56" s="164">
        <f>IF(OR($ND56=0,$NJ56=0),"",INDEX('DADOS_FORMAS'!$HU$2:$HZ$81,($NJ56-1)*4+IF($MS56=0,1,IF($MS56&lt;=5,2,IF($MS56=6,3,4))),1+MIN(5,$QH56))&amp;INDEX('DADOS_FORMAS'!$IA$2:$IF$81,($NJ56-1)*4+IF($MS56=0,1,IF($MS56&lt;=5,2,IF($MS56=6,3,4))),1+MIN(5,$QI56))&amp;IF(INDEX('DADOS_FORMAS'!$GI$2:$GI$21,$NJ56)=1,IF(COUNTIF($RK56:$RN56,"Mais Um")&gt;0," · +"&amp;COUNTIF($RK56:$RN56,"Mais Um")&amp;IF(COUNTIF($RK56:$RN56,"Mais Um")&gt;1," alvos"," alvo"),"")&amp;IF(COUNTIF($RK56:$RN56,"Rajada")&gt;0,IF($MS56=0," · 1 tiro"," · "&amp;(MAX(1,$MS56-1)+1)&amp;" tiros"),""),""))</f>
        <v/>
      </c>
      <c r="QK56" s="164">
        <f>IF($ND56=0,"",IF($MS56=0,$NG56&amp;"d6"&amp;IF($OU56&gt;0," − 1 = "&amp;$PD56&amp;"d6"," da básica do nível "&amp;$NE56),$PB56&amp;" − "&amp;$OW56&amp;" + "&amp;$OZ56&amp;" = "&amp;$PC56&amp;" · teto "&amp;4*$MS56&amp;"d8"&amp;IF($OF56=1," · a Forma devolve "&amp;$MS56,"")&amp;IF($PA56&gt;0," · perde "&amp;$PA56,"")))</f>
        <v/>
      </c>
      <c r="QL56" s="164">
        <f>IF($ND56=0,"",IF($MS56=0,"A básica não amplia: os dados dela sobem com o nível",IF($MS56&gt;=$NF56,"Já está na maior Classe que o nível liberou",TEXTJOIN(" · ",TRUE,IF(AND(2&gt;$MS56,2&lt;=$NF56),"2 → "&amp;$PN56&amp;", 6 PE",""),IF(AND(3&gt;$MS56,3&lt;=$NF56),"3 → "&amp;$PO56&amp;", 9 PE",""),IF(AND(4&gt;$MS56,4&lt;=$NF56),"4 → "&amp;$PP56&amp;", 12 PE",""),IF(AND(5&gt;$MS56,5&lt;=$NF56),"5 → "&amp;$PQ56&amp;", 15 PE",""),IF(AND(6&gt;$MS56,6&lt;=$NF56),"6 → "&amp;$PR56&amp;", 18 PE",""),IF(AND(7&gt;$MS56,7&lt;=$NF56),"7 → "&amp;$PS56&amp;", 21 PE","")))))</f>
        <v/>
      </c>
      <c r="QM56" s="164">
        <f>IF(OR($ND56=0,$NO56=0),"",IF($MS56=0,"−1 dado","−"&amp;INDEX($I$2:$N$8,MAX(1,$MS56),MAX(1,$NT56))&amp;" · "&amp;CHOOSE(MAX(1,$NT56),"Leve","Média","Pesada","Leve · Livre","Média · Livre","Pesada · Livre")))</f>
        <v/>
      </c>
      <c r="QN56" s="164">
        <f>IF(OR($ND56=0,$NP56=0),"",IF($MS56=0,"−1 dado","−"&amp;INDEX($I$2:$N$8,MAX(1,$MS56),MAX(1,$NU56))&amp;" · "&amp;CHOOSE(MAX(1,$NU56),"Leve","Média","Pesada","Leve · Livre","Média · Livre","Pesada · Livre")))</f>
        <v/>
      </c>
      <c r="QO56" s="164">
        <f>IF(OR($ND56=0,$NQ56=0),"",IF($MS56=0,"−1 dado","−"&amp;INDEX($I$2:$N$8,MAX(1,$MS56),MAX(1,$NV56))&amp;" · "&amp;CHOOSE(MAX(1,$NV56),"Leve","Média","Pesada","Leve · Livre","Média · Livre","Pesada · Livre")))</f>
        <v/>
      </c>
      <c r="QP56" s="164">
        <f>IF(OR($ND56=0,$NR56=0),"",IF($MS56=0,"−1 dado","−"&amp;INDEX($I$2:$N$8,MAX(1,$MS56),MAX(1,$NW56))&amp;" · "&amp;CHOOSE(MAX(1,$NW56),"Leve","Média","Pesada","Leve · Livre","Média · Livre","Pesada · Livre")))</f>
        <v/>
      </c>
      <c r="QQ56" s="164">
        <f>IF(OR($ND56=0,$NB56=""),"",IF($MS56=0,"não devolve","+"&amp;IF($OI56=1,CEILING($MS56/2,1),$MS56)))</f>
        <v/>
      </c>
      <c r="QR56" s="164">
        <f>IF(OR($ND56=0,$NC56=""),"",IF($MS56=0,"não devolve","+"&amp;IF($OJ56=1,CEILING($MS56/2,1),$MS56)))</f>
        <v/>
      </c>
      <c r="RK56">
        <f>IF($MX56="","",IFERROR(VLOOKUP(SUBSTITUTE(SUBSTITUTE(SUBSTITUTE($MX56,"~","~~"),"*","~*"),"?","~?"),'DADOS_MELHORIAS'!$O$2:$X$113,10,FALSE),$MX56))</f>
        <v/>
      </c>
      <c r="RL56">
        <f>IF($MY56="","",IFERROR(VLOOKUP(SUBSTITUTE(SUBSTITUTE(SUBSTITUTE($MY56,"~","~~"),"*","~*"),"?","~?"),'DADOS_MELHORIAS'!$O$2:$X$113,10,FALSE),$MY56))</f>
        <v/>
      </c>
      <c r="RM56">
        <f>IF($MZ56="","",IFERROR(VLOOKUP(SUBSTITUTE(SUBSTITUTE(SUBSTITUTE($MZ56,"~","~~"),"*","~*"),"?","~?"),'DADOS_MELHORIAS'!$O$2:$X$113,10,FALSE),$MZ56))</f>
        <v/>
      </c>
      <c r="RN56">
        <f>IF($NA56="","",IFERROR(VLOOKUP(SUBSTITUTE(SUBSTITUTE(SUBSTITUTE($NA56,"~","~~"),"*","~*"),"?","~?"),'DADOS_MELHORIAS'!$O$2:$X$113,10,FALSE),$NA56))</f>
        <v/>
      </c>
      <c r="RO56">
        <f>IFERROR(INDEX('DADOS_FORMAS'!$BJ$2:$BJ$21,MATCH(SUBSTITUTE(SUBSTITUTE(SUBSTITUTE($MU56,"~","~~"),"*","~*"),"?","~?"),'DADOS_FORMAS'!$AH$2:$AH$21,0)),"")</f>
        <v/>
      </c>
      <c r="RP56">
        <f>IFERROR(VLOOKUP(SUBSTITUTE(SUBSTITUTE(SUBSTITUTE(IFERROR(INDEX('DADOS_FORMAS'!$AS$2:$AS$21,MATCH(SUBSTITUTE(SUBSTITUTE(SUBSTITUTE($MU56,"~","~~"),"*","~*"),"?","~?"),'DADOS_FORMAS'!$AH$2:$AH$21,0)),""),"~","~~"),"*","~*"),"?","~?"),'DADOS_RESTRICOES'!$M$2:$Q$54,2,FALSE),"")</f>
        <v/>
      </c>
      <c r="RQ56">
        <f>$OK56</f>
        <v/>
      </c>
      <c r="RR56">
        <f>$OL56</f>
        <v/>
      </c>
      <c r="RS56">
        <f>$RP56</f>
        <v/>
      </c>
    </row>
    <row r="57">
      <c r="AV57" s="162" t="inlineStr">
        <is>
          <t>Rasga Escudo</t>
        </is>
      </c>
      <c r="AW57" s="162" t="inlineStr">
        <is>
          <t>Castigo</t>
        </is>
      </c>
      <c r="AX57" s="164" t="n">
        <v>2</v>
      </c>
      <c r="AY57" s="164" t="n">
        <v>0</v>
      </c>
      <c r="AZ57" s="164" t="n">
        <v>0</v>
      </c>
      <c r="BA57" s="164" t="n">
        <v>0</v>
      </c>
      <c r="JT57" s="164">
        <f>IF(OR($AW57="",(COUNTIF($EL$2:$EP$2,$AW57)+COUNTIF($QV$2:$QY$2,$AW57))&gt;0),$AV57,"")</f>
        <v/>
      </c>
      <c r="JU57" s="164">
        <f>IF(AND($AX57=1,OR($AW57="",(COUNTIF($EL$2:$EP$2,$AW57)+COUNTIF($QV$2:$QY$2,$AW57))&gt;0)),$AV57,"")</f>
        <v/>
      </c>
      <c r="JZ57" s="164">
        <f>IF(OR($AW57="",(COUNTIF($EL$3:$EP$3,$AW57)+COUNTIF($QV$3:$QY$3,$AW57))&gt;0),$AV57,"")</f>
        <v/>
      </c>
      <c r="KA57" s="164">
        <f>IF(AND($AX57=1,OR($AW57="",(COUNTIF($EL$3:$EP$3,$AW57)+COUNTIF($QV$3:$QY$3,$AW57))&gt;0)),$AV57,"")</f>
        <v/>
      </c>
      <c r="KF57" s="164">
        <f>IF(OR($AW57="",(COUNTIF($EL$4:$EP$4,$AW57)+COUNTIF($QV$4:$QY$4,$AW57))&gt;0),$AV57,"")</f>
        <v/>
      </c>
      <c r="KG57" s="164">
        <f>IF(AND($AX57=1,OR($AW57="",(COUNTIF($EL$4:$EP$4,$AW57)+COUNTIF($QV$4:$QY$4,$AW57))&gt;0)),$AV57,"")</f>
        <v/>
      </c>
      <c r="KL57" s="164">
        <f>IF(OR($AW57="",(COUNTIF($EL$5:$EP$5,$AW57)+COUNTIF($QV$5:$QY$5,$AW57))&gt;0),$AV57,"")</f>
        <v/>
      </c>
      <c r="KM57" s="164">
        <f>IF(AND($AX57=1,OR($AW57="",(COUNTIF($EL$5:$EP$5,$AW57)+COUNTIF($QV$5:$QY$5,$AW57))&gt;0)),$AV57,"")</f>
        <v/>
      </c>
      <c r="KR57" s="164">
        <f>IF(OR($AW57="",(COUNTIF($EL$6:$EP$6,$AW57)+COUNTIF($QV$6:$QY$6,$AW57))&gt;0),$AV57,"")</f>
        <v/>
      </c>
      <c r="KS57" s="164">
        <f>IF(AND($AX57=1,OR($AW57="",(COUNTIF($EL$6:$EP$6,$AW57)+COUNTIF($QV$6:$QY$6,$AW57))&gt;0)),$AV57,"")</f>
        <v/>
      </c>
      <c r="KX57" s="164">
        <f>IF(OR($AW57="",(COUNTIF($EL$7:$EP$7,$AW57)+COUNTIF($QV$7:$QY$7,$AW57))&gt;0),$AV57,"")</f>
        <v/>
      </c>
      <c r="KY57" s="164">
        <f>IF(AND($AX57=1,OR($AW57="",(COUNTIF($EL$7:$EP$7,$AW57)+COUNTIF($QV$7:$QY$7,$AW57))&gt;0)),$AV57,"")</f>
        <v/>
      </c>
      <c r="LD57" s="164">
        <f>IF(OR($AW57="",(COUNTIF($EL$8:$EP$8,$AW57)+COUNTIF($QV$8:$QY$8,$AW57))&gt;0),$AV57,"")</f>
        <v/>
      </c>
      <c r="LE57" s="164">
        <f>IF(AND($AX57=1,OR($AW57="",(COUNTIF($EL$8:$EP$8,$AW57)+COUNTIF($QV$8:$QY$8,$AW57))&gt;0)),$AV57,"")</f>
        <v/>
      </c>
      <c r="LJ57" s="164">
        <f>IF(OR($AW57="",(COUNTIF($EL$9:$EP$9,$AW57)+COUNTIF($QV$9:$QY$9,$AW57))&gt;0),$AV57,"")</f>
        <v/>
      </c>
      <c r="LK57" s="164">
        <f>IF(AND($AX57=1,OR($AW57="",(COUNTIF($EL$9:$EP$9,$AW57)+COUNTIF($QV$9:$QY$9,$AW57))&gt;0)),$AV57,"")</f>
        <v/>
      </c>
      <c r="LP57" s="164">
        <f>IF(OR($AW57="",(COUNTIF($EL$10:$EP$10,$AW57)+COUNTIF($QV$10:$QY$10,$AW57))&gt;0),$AV57,"")</f>
        <v/>
      </c>
      <c r="LQ57" s="164">
        <f>IF(AND($AX57=1,OR($AW57="",(COUNTIF($EL$10:$EP$10,$AW57)+COUNTIF($QV$10:$QY$10,$AW57))&gt;0)),$AV57,"")</f>
        <v/>
      </c>
      <c r="LV57" s="164">
        <f>IF(OR($AW57="",(COUNTIF($EL$11:$EP$11,$AW57)+COUNTIF($QV$11:$QY$11,$AW57))&gt;0),$AV57,"")</f>
        <v/>
      </c>
      <c r="LW57" s="164">
        <f>IF(AND($AX57=1,OR($AW57="",(COUNTIF($EL$11:$EP$11,$AW57)+COUNTIF($QV$11:$QY$11,$AW57))&gt;0)),$AV57,"")</f>
        <v/>
      </c>
      <c r="MB57" s="164">
        <f>IF(OR($AW57="",(COUNTIF($EL$12:$EP$12,$AW57)+COUNTIF($QV$12:$QY$12,$AW57))&gt;0),$AV57,"")</f>
        <v/>
      </c>
      <c r="MC57" s="164">
        <f>IF(AND($AX57=1,OR($AW57="",(COUNTIF($EL$12:$EP$12,$AW57)+COUNTIF($QV$12:$QY$12,$AW57))&gt;0)),$AV57,"")</f>
        <v/>
      </c>
      <c r="MH57" s="164">
        <f>IF(OR($AW57="",(COUNTIF($EL$13:$EP$13,$AW57)+COUNTIF($QV$13:$QY$13,$AW57))&gt;0),$AV57,"")</f>
        <v/>
      </c>
      <c r="MI57" s="164">
        <f>IF(AND($AX57=1,OR($AW57="",(COUNTIF($EL$13:$EP$13,$AW57)+COUNTIF($QV$13:$QY$13,$AW57))&gt;0)),$AV57,"")</f>
        <v/>
      </c>
      <c r="MN57" s="162" t="inlineStr">
        <is>
          <t>Ficha 5 · Básica 2</t>
        </is>
      </c>
      <c r="MO57" s="164" t="n">
        <v>5</v>
      </c>
      <c r="MP57" s="164" t="n">
        <v>0</v>
      </c>
      <c r="MQ57" s="164" t="n">
        <v>11</v>
      </c>
      <c r="MR57" s="162" t="inlineStr">
        <is>
          <t>BÁSICA 2</t>
        </is>
      </c>
      <c r="MS57" s="164" t="n">
        <v>0</v>
      </c>
      <c r="MT57" s="164">
        <f>'INVOCAÇÕES'!$J$949&amp;""</f>
        <v/>
      </c>
      <c r="MU57" s="164">
        <f>'INVOCAÇÕES'!$I$954&amp;""</f>
        <v/>
      </c>
      <c r="MV57" s="164">
        <f>'INVOCAÇÕES'!$I$955&amp;""</f>
        <v/>
      </c>
      <c r="MW57" s="164">
        <f>'INVOCAÇÕES'!$K$955&amp;""</f>
        <v/>
      </c>
      <c r="MX57" s="164">
        <f>'INVOCAÇÕES'!$J$958&amp;""</f>
        <v/>
      </c>
      <c r="MY57" s="164">
        <f>'INVOCAÇÕES'!$J$959&amp;""</f>
        <v/>
      </c>
      <c r="MZ57" s="164">
        <f>'INVOCAÇÕES'!$J$960&amp;""</f>
        <v/>
      </c>
      <c r="NA57" s="164">
        <f>'INVOCAÇÕES'!$J$961&amp;""</f>
        <v/>
      </c>
      <c r="NB57" s="164">
        <f>'INVOCAÇÕES'!$J$962&amp;""</f>
        <v/>
      </c>
      <c r="NC57" s="164">
        <f>'INVOCAÇÕES'!$J$963&amp;""</f>
        <v/>
      </c>
      <c r="ND57" s="164">
        <f>IF($MT57&lt;&gt;"",1,0)</f>
        <v/>
      </c>
      <c r="NE57" s="164">
        <f>INDEX($FO$2:$FO$13,$MO57)</f>
        <v/>
      </c>
      <c r="NF57" s="164">
        <f>INDEX($FP$2:$FP$13,$MO57)</f>
        <v/>
      </c>
      <c r="NG57" s="164">
        <f>INDEX($FQ$2:$FQ$13,$MO57)</f>
        <v/>
      </c>
      <c r="NH57" s="164">
        <f>INDEX($GB$2:$GB$13,$MO57)</f>
        <v/>
      </c>
      <c r="NI57" s="164">
        <f>INDEX($GC$2:$GC$13,$MO57)</f>
        <v/>
      </c>
      <c r="NJ57" s="164">
        <f>IFERROR(MATCH(SUBSTITUTE(SUBSTITUTE(SUBSTITUTE($MU57,"~","~~"),"*","~*"),"?","~?"),'DADOS_FORMAS'!$FZ$2:$FZ$21,0),0)</f>
        <v/>
      </c>
      <c r="NK57" s="164">
        <f>IFERROR(VLOOKUP(SUBSTITUTE(SUBSTITUTE(SUBSTITUTE($MX57,"~","~~"),"*","~*"),"?","~?"),'DADOS_MELHORIAS'!$AG$2:$AL$113,2,FALSE),"")</f>
        <v/>
      </c>
      <c r="NL57" s="164">
        <f>IFERROR(VLOOKUP(SUBSTITUTE(SUBSTITUTE(SUBSTITUTE($MY57,"~","~~"),"*","~*"),"?","~?"),'DADOS_MELHORIAS'!$AG$2:$AL$113,2,FALSE),"")</f>
        <v/>
      </c>
      <c r="NM57" s="164">
        <f>IFERROR(VLOOKUP(SUBSTITUTE(SUBSTITUTE(SUBSTITUTE($MZ57,"~","~~"),"*","~*"),"?","~?"),'DADOS_MELHORIAS'!$AG$2:$AL$113,2,FALSE),"")</f>
        <v/>
      </c>
      <c r="NN57" s="164">
        <f>IFERROR(VLOOKUP(SUBSTITUTE(SUBSTITUTE(SUBSTITUTE($NA57,"~","~~"),"*","~*"),"?","~?"),'DADOS_MELHORIAS'!$AG$2:$AL$113,2,FALSE),"")</f>
        <v/>
      </c>
      <c r="NO57" s="164">
        <f>IFERROR(VLOOKUP(SUBSTITUTE(SUBSTITUTE(SUBSTITUTE($MX57,"~","~~"),"*","~*"),"?","~?"),'DADOS_MELHORIAS'!$AG$2:$AL$113,3,FALSE),0)</f>
        <v/>
      </c>
      <c r="NP57" s="164">
        <f>IFERROR(VLOOKUP(SUBSTITUTE(SUBSTITUTE(SUBSTITUTE($MY57,"~","~~"),"*","~*"),"?","~?"),'DADOS_MELHORIAS'!$AG$2:$AL$113,3,FALSE),0)</f>
        <v/>
      </c>
      <c r="NQ57" s="164">
        <f>IFERROR(VLOOKUP(SUBSTITUTE(SUBSTITUTE(SUBSTITUTE($MZ57,"~","~~"),"*","~*"),"?","~?"),'DADOS_MELHORIAS'!$AG$2:$AL$113,3,FALSE),0)</f>
        <v/>
      </c>
      <c r="NR57" s="164">
        <f>IFERROR(VLOOKUP(SUBSTITUTE(SUBSTITUTE(SUBSTITUTE($NA57,"~","~~"),"*","~*"),"?","~?"),'DADOS_MELHORIAS'!$AG$2:$AL$113,3,FALSE),0)</f>
        <v/>
      </c>
      <c r="NS57" s="164">
        <f>IF($MS57=0,0,IF($NJ57=0,0,INDEX('DADOS_FORMAS'!$GB$2:$GB$21,$NJ57)))</f>
        <v/>
      </c>
      <c r="NT57" s="164">
        <f>IF(OR($NO57=0,$MS57=0),0,$NO57+3*IF(AND($NK57&lt;&gt;"",COUNTIF(INDEX($RB$2:$RJ$13,$MO57,0),$NK57)&gt;0),1,0))</f>
        <v/>
      </c>
      <c r="NU57" s="164">
        <f>IF(OR($NP57=0,$MS57=0),0,$NP57+3*IF(AND($NL57&lt;&gt;"",COUNTIF(INDEX($RB$2:$RJ$13,$MO57,0),$NL57)&gt;0),1,0))</f>
        <v/>
      </c>
      <c r="NV57" s="164">
        <f>IF(OR($NQ57=0,$MS57=0),0,$NQ57+3*IF(AND($NM57&lt;&gt;"",COUNTIF(INDEX($RB$2:$RJ$13,$MO57,0),$NM57)&gt;0),1,0))</f>
        <v/>
      </c>
      <c r="NW57" s="164">
        <f>IF(OR($NR57=0,$MS57=0),0,$NR57+3*IF(AND($NN57&lt;&gt;"",COUNTIF(INDEX($RB$2:$RJ$13,$MO57,0),$NN57)&gt;0),1,0))</f>
        <v/>
      </c>
      <c r="NX57" s="164">
        <f>IF($NJ57=0,0,IF(INDEX('DADOS_FORMAS'!$GA$2:$GA$21,$NJ57)="",0,IF((COUNTIF(INDEX($EL$2:$EP$13,$MO57,0),INDEX('DADOS_FORMAS'!$GA$2:$GA$21,$NJ57))+COUNTIF(INDEX($QV$2:$QY$13,$MO57,0),INDEX('DADOS_FORMAS'!$GA$2:$GA$21,$NJ57)))=0,1,0)))</f>
        <v/>
      </c>
      <c r="NY57" s="164">
        <f>IF(OR($NO57=0,$NK57=""),0,IF((COUNTIF(INDEX($EL$2:$EP$13,$MO57,0),$NK57)+COUNTIF(INDEX($QV$2:$QY$13,$MO57,0),$NK57))=0,1,0))</f>
        <v/>
      </c>
      <c r="NZ57" s="164">
        <f>IF(OR($NP57=0,$NL57=""),0,IF((COUNTIF(INDEX($EL$2:$EP$13,$MO57,0),$NL57)+COUNTIF(INDEX($QV$2:$QY$13,$MO57,0),$NL57))=0,1,0))</f>
        <v/>
      </c>
      <c r="OA57" s="164">
        <f>IF(OR($NQ57=0,$NM57=""),0,IF((COUNTIF(INDEX($EL$2:$EP$13,$MO57,0),$NM57)+COUNTIF(INDEX($QV$2:$QY$13,$MO57,0),$NM57))=0,1,0))</f>
        <v/>
      </c>
      <c r="OB57" s="164">
        <f>IF(OR($NR57=0,$NN57=""),0,IF((COUNTIF(INDEX($EL$2:$EP$13,$MO57,0),$NN57)+COUNTIF(INDEX($QV$2:$QY$13,$MO57,0),$NN57))=0,1,0))</f>
        <v/>
      </c>
      <c r="OC57" s="164">
        <f>IFERROR(VLOOKUP(SUBSTITUTE(SUBSTITUTE(SUBSTITUTE($MX57,"~","~~"),"*","~*"),"?","~?"),'DADOS_MELHORIAS'!$AG$2:$AL$113,4,FALSE),0)+IFERROR(VLOOKUP(SUBSTITUTE(SUBSTITUTE(SUBSTITUTE($MY57,"~","~~"),"*","~*"),"?","~?"),'DADOS_MELHORIAS'!$AG$2:$AL$113,4,FALSE),0)+IFERROR(VLOOKUP(SUBSTITUTE(SUBSTITUTE(SUBSTITUTE($MZ57,"~","~~"),"*","~*"),"?","~?"),'DADOS_MELHORIAS'!$AG$2:$AL$113,4,FALSE),0)+IFERROR(VLOOKUP(SUBSTITUTE(SUBSTITUTE(SUBSTITUTE($NA57,"~","~~"),"*","~*"),"?","~?"),'DADOS_MELHORIAS'!$AG$2:$AL$113,4,FALSE),0)</f>
        <v/>
      </c>
      <c r="OD57" s="164">
        <f>IFERROR(VLOOKUP(SUBSTITUTE(SUBSTITUTE(SUBSTITUTE($MX57,"~","~~"),"*","~*"),"?","~?"),'DADOS_MELHORIAS'!$AG$2:$AL$113,6,FALSE),0)+IFERROR(VLOOKUP(SUBSTITUTE(SUBSTITUTE(SUBSTITUTE($MY57,"~","~~"),"*","~*"),"?","~?"),'DADOS_MELHORIAS'!$AG$2:$AL$113,6,FALSE),0)+IFERROR(VLOOKUP(SUBSTITUTE(SUBSTITUTE(SUBSTITUTE($MZ57,"~","~~"),"*","~*"),"?","~?"),'DADOS_MELHORIAS'!$AG$2:$AL$113,6,FALSE),0)+IFERROR(VLOOKUP(SUBSTITUTE(SUBSTITUTE(SUBSTITUTE($NA57,"~","~~"),"*","~*"),"?","~?"),'DADOS_MELHORIAS'!$AG$2:$AL$113,6,FALSE),0)+IFERROR(N(AND(INDEX('DADOS_FORMAS'!$AO$2:$AO$21,MATCH(SUBSTITUTE(SUBSTITUTE(SUBSTITUTE($MU57,"~","~~"),"*","~*"),"?","~?"),'DADOS_FORMAS'!$AH$2:$AH$21,0))="Acerto",$OH57=1)),0)</f>
        <v/>
      </c>
      <c r="OE57" s="164">
        <f>TEXTJOIN(", ",TRUE,IF(IFERROR(VLOOKUP(SUBSTITUTE(SUBSTITUTE(SUBSTITUTE($MX57,"~","~~"),"*","~*"),"?","~?"),'DADOS_MELHORIAS'!$AG$2:$AL$113,5,FALSE),0)=1,$MX57,""),IF(IFERROR(VLOOKUP(SUBSTITUTE(SUBSTITUTE(SUBSTITUTE($MY57,"~","~~"),"*","~*"),"?","~?"),'DADOS_MELHORIAS'!$AG$2:$AL$113,5,FALSE),0)=1,$MY57,""),IF(IFERROR(VLOOKUP(SUBSTITUTE(SUBSTITUTE(SUBSTITUTE($MZ57,"~","~~"),"*","~*"),"?","~?"),'DADOS_MELHORIAS'!$AG$2:$AL$113,5,FALSE),0)=1,$MZ57,""),IF(IFERROR(VLOOKUP(SUBSTITUTE(SUBSTITUTE(SUBSTITUTE($NA57,"~","~~"),"*","~*"),"?","~?"),'DADOS_MELHORIAS'!$AG$2:$AL$113,5,FALSE),0)=1,$NA57,""))</f>
        <v/>
      </c>
      <c r="OF57" s="164">
        <f>IF($NJ57=0,0,INDEX('DADOS_FORMAS'!$GC$2:$GC$21,$NJ57))</f>
        <v/>
      </c>
      <c r="OG57" s="164">
        <f>IF($NJ57=0,0,INDEX('DADOS_FORMAS'!$GD$2:$GD$21,$NJ57))</f>
        <v/>
      </c>
      <c r="OH57" s="164">
        <f>IF($NJ57=0,0,INDEX('DADOS_FORMAS'!$GF$2:$GF$21,$NJ57))</f>
        <v/>
      </c>
      <c r="OI57" s="164">
        <f>IFERROR(VLOOKUP(SUBSTITUTE(SUBSTITUTE(SUBSTITUTE($NB57,"~","~~"),"*","~*"),"?","~?"),'DADOS_RESTRICOES'!$M$2:$Q$54,3,FALSE),0)</f>
        <v/>
      </c>
      <c r="OJ57" s="164">
        <f>IFERROR(VLOOKUP(SUBSTITUTE(SUBSTITUTE(SUBSTITUTE($NC57,"~","~~"),"*","~*"),"?","~?"),'DADOS_RESTRICOES'!$M$2:$Q$54,3,FALSE),0)</f>
        <v/>
      </c>
      <c r="OK57" s="164">
        <f>IFERROR(VLOOKUP(SUBSTITUTE(SUBSTITUTE(SUBSTITUTE($NB57,"~","~~"),"*","~*"),"?","~?"),'DADOS_RESTRICOES'!$M$2:$Q$54,2,FALSE),"")</f>
        <v/>
      </c>
      <c r="OL57" s="164">
        <f>IFERROR(VLOOKUP(SUBSTITUTE(SUBSTITUTE(SUBSTITUTE($NC57,"~","~~"),"*","~*"),"?","~?"),'DADOS_RESTRICOES'!$M$2:$Q$54,2,FALSE),"")</f>
        <v/>
      </c>
      <c r="OM57" s="164">
        <f>COUNTIF($NS57:$NW57,1)</f>
        <v/>
      </c>
      <c r="ON57" s="164">
        <f>COUNTIF($NS57:$NW57,2)</f>
        <v/>
      </c>
      <c r="OO57" s="164">
        <f>COUNTIF($NS57:$NW57,3)</f>
        <v/>
      </c>
      <c r="OP57" s="164">
        <f>COUNTIF($NS57:$NW57,4)</f>
        <v/>
      </c>
      <c r="OQ57" s="164">
        <f>COUNTIF($NS57:$NW57,5)</f>
        <v/>
      </c>
      <c r="OR57" s="164">
        <f>COUNTIF($NS57:$NW57,6)</f>
        <v/>
      </c>
      <c r="OS57" s="164">
        <f>COUNTIF($OI57:$OJ57,1)+IF(IFERROR(INDEX('DADOS_FORMAS'!$AS$2:$AS$21,MATCH(SUBSTITUTE(SUBSTITUTE(SUBSTITUTE($MU57,"~","~~"),"*","~*"),"?","~?"),'DADOS_FORMAS'!$AH$2:$AH$21,0)),"")="",0,IFERROR(N(VLOOKUP(SUBSTITUTE(SUBSTITUTE(SUBSTITUTE(IFERROR(INDEX('DADOS_FORMAS'!$AS$2:$AS$21,MATCH(SUBSTITUTE(SUBSTITUTE(SUBSTITUTE($MU57,"~","~~"),"*","~*"),"?","~?"),'DADOS_FORMAS'!$AH$2:$AH$21,0)),""),"~","~~"),"*","~*"),"?","~?"),'DADOS_RESTRICOES'!$M$2:$Q$54,3,FALSE)=1),0))</f>
        <v/>
      </c>
      <c r="OT57" s="164">
        <f>COUNTIF($OI57:$OJ57,2)+IF(IFERROR(INDEX('DADOS_FORMAS'!$AS$2:$AS$21,MATCH(SUBSTITUTE(SUBSTITUTE(SUBSTITUTE($MU57,"~","~~"),"*","~*"),"?","~?"),'DADOS_FORMAS'!$AH$2:$AH$21,0)),"")="",0,IFERROR(N(VLOOKUP(SUBSTITUTE(SUBSTITUTE(SUBSTITUTE(IFERROR(INDEX('DADOS_FORMAS'!$AS$2:$AS$21,MATCH(SUBSTITUTE(SUBSTITUTE(SUBSTITUTE($MU57,"~","~~"),"*","~*"),"?","~?"),'DADOS_FORMAS'!$AH$2:$AH$21,0)),""),"~","~~"),"*","~*"),"?","~?"),'DADOS_RESTRICOES'!$M$2:$Q$54,3,FALSE)=2),0))</f>
        <v/>
      </c>
      <c r="OU57" s="164">
        <f>COUNTIF($MX57:$NA57,"?*")</f>
        <v/>
      </c>
      <c r="OV57" s="164">
        <f>COUNTIF($NB57:$NC57,"?*")+$OF57</f>
        <v/>
      </c>
      <c r="OW57" s="164">
        <f>IF($MS57=0,0,SUMPRODUCT($OM57:$OR57,INDEX($I$2:$N$8,MAX(1,$MS57),0)))</f>
        <v/>
      </c>
      <c r="OX57" s="164">
        <f>IF($MS57=0,0,$OS57*CEILING($MS57/2,1)+$OT57*$MS57)</f>
        <v/>
      </c>
      <c r="OY57" s="164">
        <f>MIN(2*$MS57,$OX57)</f>
        <v/>
      </c>
      <c r="OZ57" s="164">
        <f>MIN($OY57,$OW57-IF($NS57=0,0,INDEX($I$2:$N$8,MAX(1,$MS57),$NS57)))</f>
        <v/>
      </c>
      <c r="PA57" s="164">
        <f>$OY57-$OZ57</f>
        <v/>
      </c>
      <c r="PB57" s="164">
        <f>IF($MS57=0,0,INDEX($P$2:$P$8,MAX(1,$MS57)))</f>
        <v/>
      </c>
      <c r="PC57" s="164">
        <f>$PB57-$OW57+$OZ57</f>
        <v/>
      </c>
      <c r="PD57" s="164">
        <f>IF($MS57=0,MAX(0,$NG57-IF(AND($OU57&gt;0,COUNTIF($NB57:$NC57,"?*")=0),1,0)),MAX(0,$PC57))</f>
        <v/>
      </c>
      <c r="PE57" s="164">
        <f>IF($MS57=0,0,(IF(COUNTIF($RK57:$RN57,"Salto")&gt;0,1,0)+IF(COUNTIF($RK57:$RN57,"Queima")&gt;0,1,0)+IF(COUNTIF($RK57:$RN57,"Estilhaço")&gt;0,1,0))*FLOOR($PD57/2,1))</f>
        <v/>
      </c>
      <c r="PF57" s="164">
        <f>MAX(0,2-SUMPRODUCT($OM57:$OR57,$I$2:$N$2)+MIN(2,$OS57*1+$OT57*1,SUMPRODUCT($OM57:$OR57,$I$2:$N$2)-IF($NS57=0,0,INDEX($I$2:$N$2,1,$NS57))))</f>
        <v/>
      </c>
      <c r="PG57" s="164">
        <f>MAX(0,4-SUMPRODUCT($OM57:$OR57,$I$3:$N$3)+MIN(4,$OS57*1+$OT57*2,SUMPRODUCT($OM57:$OR57,$I$3:$N$3)-IF($NS57=0,0,INDEX($I$3:$N$3,1,$NS57))))</f>
        <v/>
      </c>
      <c r="PH57" s="164">
        <f>MAX(0,6-SUMPRODUCT($OM57:$OR57,$I$4:$N$4)+MIN(6,$OS57*2+$OT57*3,SUMPRODUCT($OM57:$OR57,$I$4:$N$4)-IF($NS57=0,0,INDEX($I$4:$N$4,1,$NS57))))</f>
        <v/>
      </c>
      <c r="PI57" s="164">
        <f>MAX(0,9-SUMPRODUCT($OM57:$OR57,$I$5:$N$5)+MIN(8,$OS57*2+$OT57*4,SUMPRODUCT($OM57:$OR57,$I$5:$N$5)-IF($NS57=0,0,INDEX($I$5:$N$5,1,$NS57))))</f>
        <v/>
      </c>
      <c r="PJ57" s="164">
        <f>MAX(0,11-SUMPRODUCT($OM57:$OR57,$I$6:$N$6)+MIN(10,$OS57*3+$OT57*5,SUMPRODUCT($OM57:$OR57,$I$6:$N$6)-IF($NS57=0,0,INDEX($I$6:$N$6,1,$NS57))))</f>
        <v/>
      </c>
      <c r="PK57" s="164">
        <f>MAX(0,13-SUMPRODUCT($OM57:$OR57,$I$7:$N$7)+MIN(12,$OS57*3+$OT57*6,SUMPRODUCT($OM57:$OR57,$I$7:$N$7)-IF($NS57=0,0,INDEX($I$7:$N$7,1,$NS57))))</f>
        <v/>
      </c>
      <c r="PL57" s="164">
        <f>MAX(0,16-SUMPRODUCT($OM57:$OR57,$I$8:$N$8)+MIN(14,$OS57*4+$OT57*7,SUMPRODUCT($OM57:$OR57,$I$8:$N$8)-IF($NS57=0,0,INDEX($I$8:$N$8,1,$NS57))))</f>
        <v/>
      </c>
      <c r="PM57" s="164">
        <f>IF($OG57=2,3*$PF57&amp;" de vida temp.",IF($OG57=3,"sem dano",IF($PF57=0,IF($OG57=1,"sem cura","sem dano"),IF($OG57=1,"cura ","")&amp;$PF57&amp;"d8")))</f>
        <v/>
      </c>
      <c r="PN57" s="164">
        <f>IF($OG57=2,3*$PG57&amp;" de vida temp.",IF($OG57=3,"sem dano",IF($PG57=0,IF($OG57=1,"sem cura","sem dano"),IF($OG57=1,"cura ","")&amp;$PG57&amp;"d8")))</f>
        <v/>
      </c>
      <c r="PO57" s="164">
        <f>IF($OG57=2,3*$PH57&amp;" de vida temp.",IF($OG57=3,"sem dano",IF($PH57=0,IF($OG57=1,"sem cura","sem dano"),IF($OG57=1,"cura ","")&amp;$PH57&amp;"d8")))</f>
        <v/>
      </c>
      <c r="PP57" s="164">
        <f>IF($OG57=2,3*$PI57&amp;" de vida temp.",IF($OG57=3,"sem dano",IF($PI57=0,IF($OG57=1,"sem cura","sem dano"),IF($OG57=1,"cura ","")&amp;$PI57&amp;"d8")))</f>
        <v/>
      </c>
      <c r="PQ57" s="164">
        <f>IF($OG57=2,3*$PJ57&amp;" de vida temp.",IF($OG57=3,"sem dano",IF($PJ57=0,IF($OG57=1,"sem cura","sem dano"),IF($OG57=1,"cura ","")&amp;$PJ57&amp;"d8")))</f>
        <v/>
      </c>
      <c r="PR57" s="164">
        <f>IF($OG57=2,3*$PK57&amp;" de vida temp.",IF($OG57=3,"sem dano",IF($PK57=0,IF($OG57=1,"sem cura","sem dano"),IF($OG57=1,"cura ","")&amp;$PK57&amp;"d8")))</f>
        <v/>
      </c>
      <c r="PS57" s="164">
        <f>IF($OG57=2,3*$PL57&amp;" de vida temp.",IF($OG57=3,"sem dano",IF($PL57=0,IF($OG57=1,"sem cura","sem dano"),IF($OG57=1,"cura ","")&amp;$PL57&amp;"d8")))</f>
        <v/>
      </c>
      <c r="PT57" s="164">
        <f>IF($ND57=0,"",TEXTJOIN(" · ",TRUE,IF($ND57=0,"",TEXTJOIN(" · ",TRUE,IF($ND57=0,"",TEXTJOIN(" · ",TRUE,IF($MQ57&gt;$NE57,"Este lugar abre no nível "&amp;$MQ57,""),IF($MS57&gt;$NF57,"Classe "&amp;$MS57&amp;": o nível "&amp;$NE57&amp;" libera até a "&amp;$NF57,""),IF($NX57=1,"A Forma "&amp;$MU57&amp;" pede "&amp;INDEX('DADOS_FORMAS'!$GA$2:$GA$21,$NJ57)&amp;" aberta",""),IF(AND($MS57=0,$NJ57&gt;0,IF($NJ57=0,0,INDEX('DADOS_FORMAS'!$GJ$2:$GJ$21,$NJ57))=0),$MU57&amp;" não existe na Classe 0",""),IF($NY57=1,"Família Fechada: "&amp;$MX57,""),IF($NZ57=1,"Família Fechada: "&amp;$MY57,""),IF($OA57=1,"Família Fechada: "&amp;$MZ57,""),IF($OB57=1,"Família Fechada: "&amp;$NA57,""),IF(AND($MS57&gt;0,$OU57&gt;INDEX($O$2:$O$8,MAX(1,$MS57))),$OU57&amp;" Melhorias: a Classe "&amp;$MS57&amp;" aceita "&amp;INDEX($O$2:$O$8,MAX(1,$MS57)),""),IF(AND($MS57=0,$OU57&gt;1),"A básica aceita uma Melhoria",""),IF(AND($MS57=0,COUNTIF($NO57:$NR57,"&gt;1")&gt;0),"A básica só aceita Melhoria Leve",""),IF(AND($MS57&gt;0,$OV57&gt;2),$OV57&amp;" Restrições"&amp;IF($OF57=1,", contando a que a Forma "&amp;$MU57&amp;" já traz","")&amp;": o limite é 2",""),IF(AND($MS57=0,COUNTIF($NB57:$NC57,"?*")&gt;1),"A básica aceita uma Restrição Leve",""),IF(AND($MS57=0,COUNTIF($OI57:$OJ57,2)&gt;0),"A básica só aceita Restrição Leve",""),IF(AND($MS57&gt;0,$PC57&lt;0),"Orçamento estourado: faltam "&amp;(-$PC57)&amp;IF($PC57&lt;-1," pontos"," ponto"),""),IF(IFERROR(VLOOKUP(SUBSTITUTE(SUBSTITUTE(SUBSTITUTE($NB57,"~","~~"),"*","~*"),"?","~?"),'DADOS_RESTRICOES'!$M$2:$Q$54,4,FALSE),0)+IFERROR(VLOOKUP(SUBSTITUTE(SUBSTITUTE(SUBSTITUTE($NC57,"~","~~"),"*","~*"),"?","~?"),'DADOS_RESTRICOES'!$M$2:$Q$54,4,FALSE),0)&gt;1,$OK57&amp;" e "&amp;$OL57&amp;" são as duas de frequência",""),IF(AND((COUNTIF($RK57:$RN57,"Rápido")+COUNTIF($OK57:$OL57,"Rápido"))&gt;0,(COUNTIF($MX57:$NA57,"Atrasar")+COUNTIF($OK57:$OL57,"Atrasar"))&gt;0),"Rápido não entra com Atrasar",""),IF(AND((COUNTIF($RK57:$RN57,"Reação")+COUNTIF($OK57:$OL57,"Reação"))&gt;0,(COUNTIF($RK57:$RN57,"Rápido")+COUNTIF($OK57:$OL57,"Rápido"))&gt;0),"Reação não entra com Rápido",""),IF(AND((COUNTIF($RK57:$RN57,"Reação")+COUNTIF($OK57:$OL57,"Reação"))&gt;0,(COUNTIF($RK57:$RN57,"Armado")+COUNTIF($OK57:$OL57,"Armado"))&gt;0),"Reação não entra com Armado",""),IF(AND((COUNTIF($RK57:$RN57,"Reação")+COUNTIF($OK57:$OL57,"Reação"))&gt;0,(COUNTIF($MX57:$NA57,"Atrasar")+COUNTIF($OK57:$OL57,"Atrasar"))&gt;0),"Reação não entra com Atrasar",""),IF(AND((COUNTIF($RK57:$RN57,"Reação")+COUNTIF($OK57:$OL57,"Reação"))&gt;0,(COUNTIF($MX57:$NA57,"Parado")+COUNTIF($OK57:$OL57,"Parado"))&gt;0),"Reação não entra com Parado",""),IF(AND((COUNTIF($MX57:$NA57,"Atrasar")+COUNTIF($OK57:$OL57,"Atrasar"))&gt;0,(COUNTIF($MX57:$NA57,"Parado")+COUNTIF($OK57:$OL57,"Parado"))&gt;0),"Atrasar não entra com Parado",""),IF(AND((COUNTIF($RK57:$RN57,"Armado")+COUNTIF($OK57:$OL57,"Armado"))&gt;0,(COUNTIF($MX57:$NA57,"Carregar")+COUNTIF($OK57:$OL57,"Carregar"))&gt;0),"Armado não entra com Carregar",""),IF(AND(COUNTIF($OK57:$OL57,"Corpo a Corpo")&gt;0,$OF57=0,OR($RO57="Cone",$RO57="Linha")),"Corpo a Corpo não entra em "&amp;$MU57,""),IF(AND(COUNTIF($OK57:$OL57,"Corpo a Corpo")&gt;0,$RP57="Corpo a Corpo"),"A Forma "&amp;$MU57&amp;" já traz o Corpo a Corpo",""),IF(AND(COUNTIF($OK57:$OL57,"Tudo ou Nada")&gt;0,$OH57=0),"Tudo ou Nada só entra em habilidade de Teste de Resistência",""),IF(AND(COUNTIF($RK57:$RN57,"Inescapável")&gt;0,OR($OU57&gt;1,$OV57&gt;0)),"Inescapável não aceita outra peça",""),IF(AND($MS57&gt;0,$PD57*IF(COUNTIF($RK57:$RN57,"Remate")&gt;0,1.25,1)+$PE57&gt;4*$MS57),($PD57*IF(COUNTIF($RK57:$RN57,"Remate")&gt;0,1.25,1)+$PE57)&amp;" dados somando repetições"&amp;IF(COUNTIF($RK57:$RN57,"Remate")&gt;0," e o Remate","")&amp;": o teto da Classe "&amp;$MS57&amp;" é "&amp;4*$MS57,""))),IF(AND($MX57&lt;&gt;"",COUNTIF('DADOS_MELHORIAS'!$O$2:$O$113,SUBSTITUTE(SUBSTITUTE(SUBSTITUTE($MX57,"~","~~"),"*","~*"),"?","~?"))=0),"Melhoria não cadastrada ou com erro: "&amp;$MX57,""),IF(AND($MY57&lt;&gt;"",COUNTIF('DADOS_MELHORIAS'!$O$2:$O$113,SUBSTITUTE(SUBSTITUTE(SUBSTITUTE($MY57,"~","~~"),"*","~*"),"?","~?"))=0),"Melhoria não cadastrada ou com erro: "&amp;$MY57,""),IF(AND($MZ57&lt;&gt;"",COUNTIF('DADOS_MELHORIAS'!$O$2:$O$113,SUBSTITUTE(SUBSTITUTE(SUBSTITUTE($MZ57,"~","~~"),"*","~*"),"?","~?"))=0),"Melhoria não cadastrada ou com erro: "&amp;$MZ57,""),IF(AND($NA57&lt;&gt;"",COUNTIF('DADOS_MELHORIAS'!$O$2:$O$113,SUBSTITUTE(SUBSTITUTE(SUBSTITUTE($NA57,"~","~~"),"*","~*"),"?","~?"))=0),"Melhoria não cadastrada ou com erro: "&amp;$NA57,""),IF(AND($NB57&lt;&gt;"",COUNTIF('DADOS_RESTRICOES'!$M$2:$M$54,SUBSTITUTE(SUBSTITUTE(SUBSTITUTE($NB57,"~","~~"),"*","~*"),"?","~?"))=0),"Restrição não cadastrada ou com erro: "&amp;$NB57,""),IF(AND($NC57&lt;&gt;"",COUNTIF('DADOS_RESTRICOES'!$M$2:$M$54,SUBSTITUTE(SUBSTITUTE(SUBSTITUTE($NC57,"~","~~"),"*","~*"),"?","~?"))=0),"Restrição não cadastrada ou com erro: "&amp;$NC57,""))),IF(AND($MU57&lt;&gt;"",COUNTIF('DADOS_FORMAS'!$AH$2:$AH$21,SUBSTITUTE(SUBSTITUTE(SUBSTITUTE($MU57,"~","~~"),"*","~*"),"?","~?"))=0),"Forma não cadastrada ou com erro: "&amp;$MU57,""),IF(AND(IFERROR(INDEX('DADOS_FORMAS'!$AS$2:$AS$21,MATCH(SUBSTITUTE(SUBSTITUTE(SUBSTITUTE($MU57,"~","~~"),"*","~*"),"?","~?"),'DADOS_FORMAS'!$AH$2:$AH$21,0)),"")&lt;&gt;"",OR(IFERROR(VLOOKUP(SUBSTITUTE(SUBSTITUTE(SUBSTITUTE(IFERROR(INDEX('DADOS_FORMAS'!$AS$2:$AS$21,MATCH(SUBSTITUTE(SUBSTITUTE(SUBSTITUTE($MU57,"~","~~"),"*","~*"),"?","~?"),'DADOS_FORMAS'!$AH$2:$AH$21,0)),""),"~","~~"),"*","~*"),"?","~?"),'DADOS_RESTRICOES'!$M$2:$Q$54,2,FALSE),"")=$OK57,IFERROR(VLOOKUP(SUBSTITUTE(SUBSTITUTE(SUBSTITUTE(IFERROR(INDEX('DADOS_FORMAS'!$AS$2:$AS$21,MATCH(SUBSTITUTE(SUBSTITUTE(SUBSTITUTE($MU57,"~","~~"),"*","~*"),"?","~?"),'DADOS_FORMAS'!$AH$2:$AH$21,0)),""),"~","~~"),"*","~*"),"?","~?"),'DADOS_RESTRICOES'!$M$2:$Q$54,2,FALSE),"")=$OL57)),"Restrição repetida, contando a embutida",""),IF(IF(IFERROR(INDEX('DADOS_FORMAS'!$AS$2:$AS$21,MATCH(SUBSTITUTE(SUBSTITUTE(SUBSTITUTE($MU57,"~","~~"),"*","~*"),"?","~?"),'DADOS_FORMAS'!$AH$2:$AH$21,0)),"")="",0,IFERROR(N(VLOOKUP(SUBSTITUTE(SUBSTITUTE(SUBSTITUTE(IFERROR(INDEX('DADOS_FORMAS'!$AS$2:$AS$21,MATCH(SUBSTITUTE(SUBSTITUTE(SUBSTITUTE($MU57,"~","~~"),"*","~*"),"?","~?"),'DADOS_FORMAS'!$AH$2:$AH$21,0)),""),"~","~~"),"*","~*"),"?","~?"),'DADOS_RESTRICOES'!$M$2:$Q$54,4,FALSE)=1),0))+IF($NB57="",0,IFERROR(N(VLOOKUP(SUBSTITUTE(SUBSTITUTE(SUBSTITUTE($NB57,"~","~~"),"*","~*"),"?","~?"),'DADOS_RESTRICOES'!$M$2:$Q$54,4,FALSE)=1),0))+IF($NC57="",0,IFERROR(N(VLOOKUP(SUBSTITUTE(SUBSTITUTE(SUBSTITUTE($NC57,"~","~~"),"*","~*"),"?","~?"),'DADOS_RESTRICOES'!$M$2:$Q$54,4,FALSE)=1),0))&gt;1,"Duas Restrições de frequência, contando a embutida",""),IF(AND(IFERROR(VLOOKUP(SUBSTITUTE(SUBSTITUTE(SUBSTITUTE(IFERROR(INDEX('DADOS_FORMAS'!$AS$2:$AS$21,MATCH(SUBSTITUTE(SUBSTITUTE(SUBSTITUTE($MU57,"~","~~"),"*","~*"),"?","~?"),'DADOS_FORMAS'!$AH$2:$AH$21,0)),""),"~","~~"),"*","~*"),"?","~?"),'DADOS_RESTRICOES'!$M$2:$Q$54,2,FALSE),"")="Tudo ou Nada",$OH57=0),"Tudo ou Nada exige TR",""),IF(AND(IFERROR(VLOOKUP(SUBSTITUTE(SUBSTITUTE(SUBSTITUTE(IFERROR(INDEX('DADOS_FORMAS'!$AS$2:$AS$21,MATCH(SUBSTITUTE(SUBSTITUTE(SUBSTITUTE($MU57,"~","~~"),"*","~*"),"?","~?"),'DADOS_FORMAS'!$AH$2:$AH$21,0)),""),"~","~~"),"*","~*"),"?","~?"),'DADOS_RESTRICOES'!$M$2:$Q$54,2,FALSE),"")="Corpo a Corpo",OR($RO57="Cone",$RO57="Linha")),"Corpo a Corpo não entra em Cone/Linha","")))</f>
        <v/>
      </c>
      <c r="PU57" s="164">
        <f>IF($PT57="",0,(LEN($PT57)-LEN(SUBSTITUTE($PT57," · ","")))/3+1)</f>
        <v/>
      </c>
      <c r="PV57" s="164">
        <f>IF($ND57=0,"",TEXTJOIN(" · ",TRUE,IF($OX57&gt;2*$MS57,"A devolução parou no teto de "&amp;2*$MS57,""),IF($PA57&gt;0,"Devolução perdida: "&amp;$PA57&amp;IF($PA57&gt;1," pontos"," ponto")&amp;" sem Melhoria para pagar",""),IF(AND($OC57&gt;0,AND($MS57&gt;0,$OG57=0),$PD57=0),"Controle sem dano: uma rodada a mais e CD +2",""),IF(AND($OC57&gt;0,AND($MS57&gt;0,$OG57=0),$PD57&gt;0,$PD57&lt;=$MS57),"Controle com saldo até a Classe: uma rodada a mais",""),IF(AND($MS57&gt;0,$OE57&lt;&gt;""),"Efeito de "&amp;$OE57&amp;" pela Classe "&amp;MAX(1,$MS57-1),"")))</f>
        <v/>
      </c>
      <c r="PW57" s="164">
        <f>IF($PV57="",0,(LEN($PV57)-LEN(SUBSTITUTE($PV57," · ","")))/3+1)</f>
        <v/>
      </c>
      <c r="PX57" s="164">
        <f>IF($ND57=0,IF($OU57+COUNTIF($NB57:$NC57,"?*")&gt;0,"Dê um nome",""),IF($PU57&gt;0,"⚠ "&amp;$PU57&amp;IF($PU57&gt;1," erros"," erro"),IF($PW57&gt;0,"! "&amp;$PW57&amp;IF($PW57&gt;1," avisos"," aviso"),"Na regra")))</f>
        <v/>
      </c>
      <c r="PY57" s="164">
        <f>IF($ND57=0,"",IF($PU57+$PW57=0,"Dentro das regras que a ficha confere",$PT57&amp;IF(AND($PU57&gt;0,$PW57&gt;0)," · ","")&amp;$PV57))</f>
        <v/>
      </c>
      <c r="PZ57" s="164">
        <f>IF($MQ57&gt;$NE57,$MR57&amp;" · ABRE NO NÍVEL "&amp;$MQ57,$MR57)</f>
        <v/>
      </c>
      <c r="QA57" s="164">
        <f>IF($ND57=0,"",IF($MS57=0,"Sem PE",3*$MS57&amp;" PE"))</f>
        <v/>
      </c>
      <c r="QB57" s="164">
        <f>IF($ND57=0,"",IF($MS57=0,"A atuação básica dela",IF(COUNTIF($RQ57:$RS57,"Atrasar")&gt;0,"Sua Ação Completa",IF(COUNTIF($RK57:$RN57,"Rápido")&gt;0,"Sua Bônus",IF(COUNTIF($RK57:$RN57,"Reação")&gt;0,"Sua Reação","Sua Padrão")))&amp;" + a básica dela"&amp;IF(COUNTIF($RK57:$RN57,"Reação")&gt;0," e a coletiva","")&amp;IF(COUNTIF($RQ57:$RS57,"Carregar")&gt;0," · em dois turnos","")))</f>
        <v/>
      </c>
      <c r="QC57" s="164">
        <f>IF($MW57&lt;&gt;"",$MW57,IF($NJ57=0,"",INDEX('DADOS_FORMAS'!$GE$2:$GE$21,$NJ57)))</f>
        <v/>
      </c>
      <c r="QD57" s="164">
        <f>IF(OR($ND57=0,$NJ57=0),"",IF(COUNTIF($RK57:$RN57,"Inescapável")&gt;0,"Automático",IF($QC57="Ataque",IF($NH57="","Ataque","Ataque "&amp;IF(($NH57+2*IF(COUNTIF($RK57:$RN57,"Precisão")&gt;0,1,0))&gt;=0,"+","−")&amp;ABS(($NH57+2*IF(COUNTIF($RK57:$RN57,"Precisão")&gt;0,1,0))))&amp;IF($OD57&gt;0," · TR"&amp;IF($NI57="",""," CD "&amp;$NI57),""),IF(LEFT($QC57,2)="TR",$QC57&amp;IF($NI57="",""," · CD "&amp;$NI57)&amp;IF(COUNTIF($RK57:$RN57,"Certeiro")&gt;0," · metade",""),"Sem rolagem"))))</f>
        <v/>
      </c>
      <c r="QE57" s="164">
        <f>IF(OR($ND57=0,$NJ57=0),"",IF($MS57=0,IF(OR($OG57&gt;=1,$PD57=0),"Sem dano",$PD57&amp;"d6"&amp;IF($MV57="",""," "&amp;$MV57)),IF(OR($OG57&gt;=1,$PD57=0),UPPER(LEFT(INDEX($PM57:$PS57,1,MAX(1,$MS57)),1))&amp;MID(INDEX($PM57:$PS57,1,MAX(1,$MS57)),2,99),UPPER(LEFT(INDEX($PM57:$PS57,1,MAX(1,$MS57)),1))&amp;MID(INDEX($PM57:$PS57,1,MAX(1,$MS57)),2,99)&amp;IF($MV57="",""," "&amp;$MV57)&amp;IF($PE57&gt;0," · +"&amp;$PE57&amp;"d8",""))))</f>
        <v/>
      </c>
      <c r="QF57" s="164">
        <f>COUNTIF($RK57:$RN57,"Longe")+3*COUNTIF($RK57:$RN57,"Muito Longe")</f>
        <v/>
      </c>
      <c r="QG57" s="164">
        <f>COUNTIF($RK57:$RN57,"Maior")+3*COUNTIF($RK57:$RN57,"Muito Maior")</f>
        <v/>
      </c>
      <c r="QH57" s="164">
        <f>IF($NJ57=0,0,CHOOSE(1+INDEX('DADOS_FORMAS'!$GG$2:$GG$21,$NJ57),0,$QF57,$QG57,$QF57+$QG57))</f>
        <v/>
      </c>
      <c r="QI57" s="164">
        <f>IF($NJ57=0,0,CHOOSE(1+INDEX('DADOS_FORMAS'!$GH$2:$GH$21,$NJ57),0,$QF57,$QG57,$QF57+$QG57))</f>
        <v/>
      </c>
      <c r="QJ57" s="164">
        <f>IF(OR($ND57=0,$NJ57=0),"",INDEX('DADOS_FORMAS'!$HU$2:$HZ$81,($NJ57-1)*4+IF($MS57=0,1,IF($MS57&lt;=5,2,IF($MS57=6,3,4))),1+MIN(5,$QH57))&amp;INDEX('DADOS_FORMAS'!$IA$2:$IF$81,($NJ57-1)*4+IF($MS57=0,1,IF($MS57&lt;=5,2,IF($MS57=6,3,4))),1+MIN(5,$QI57))&amp;IF(INDEX('DADOS_FORMAS'!$GI$2:$GI$21,$NJ57)=1,IF(COUNTIF($RK57:$RN57,"Mais Um")&gt;0," · +"&amp;COUNTIF($RK57:$RN57,"Mais Um")&amp;IF(COUNTIF($RK57:$RN57,"Mais Um")&gt;1," alvos"," alvo"),"")&amp;IF(COUNTIF($RK57:$RN57,"Rajada")&gt;0,IF($MS57=0," · 1 tiro"," · "&amp;(MAX(1,$MS57-1)+1)&amp;" tiros"),""),""))</f>
        <v/>
      </c>
      <c r="QK57" s="164">
        <f>IF($ND57=0,"",IF($MS57=0,$NG57&amp;"d6"&amp;IF($OU57&gt;0," − 1 = "&amp;$PD57&amp;"d6"," da básica do nível "&amp;$NE57),$PB57&amp;" − "&amp;$OW57&amp;" + "&amp;$OZ57&amp;" = "&amp;$PC57&amp;" · teto "&amp;4*$MS57&amp;"d8"&amp;IF($OF57=1," · a Forma devolve "&amp;$MS57,"")&amp;IF($PA57&gt;0," · perde "&amp;$PA57,"")))</f>
        <v/>
      </c>
      <c r="QL57" s="164">
        <f>IF($ND57=0,"",IF($MS57=0,"A básica não amplia: os dados dela sobem com o nível",IF($MS57&gt;=$NF57,"Já está na maior Classe que o nível liberou",TEXTJOIN(" · ",TRUE,IF(AND(2&gt;$MS57,2&lt;=$NF57),"2 → "&amp;$PN57&amp;", 6 PE",""),IF(AND(3&gt;$MS57,3&lt;=$NF57),"3 → "&amp;$PO57&amp;", 9 PE",""),IF(AND(4&gt;$MS57,4&lt;=$NF57),"4 → "&amp;$PP57&amp;", 12 PE",""),IF(AND(5&gt;$MS57,5&lt;=$NF57),"5 → "&amp;$PQ57&amp;", 15 PE",""),IF(AND(6&gt;$MS57,6&lt;=$NF57),"6 → "&amp;$PR57&amp;", 18 PE",""),IF(AND(7&gt;$MS57,7&lt;=$NF57),"7 → "&amp;$PS57&amp;", 21 PE","")))))</f>
        <v/>
      </c>
      <c r="QM57" s="164">
        <f>IF(OR($ND57=0,$NO57=0),"",IF($MS57=0,"−1 dado","−"&amp;INDEX($I$2:$N$8,MAX(1,$MS57),MAX(1,$NT57))&amp;" · "&amp;CHOOSE(MAX(1,$NT57),"Leve","Média","Pesada","Leve · Livre","Média · Livre","Pesada · Livre")))</f>
        <v/>
      </c>
      <c r="QN57" s="164">
        <f>IF(OR($ND57=0,$NP57=0),"",IF($MS57=0,"−1 dado","−"&amp;INDEX($I$2:$N$8,MAX(1,$MS57),MAX(1,$NU57))&amp;" · "&amp;CHOOSE(MAX(1,$NU57),"Leve","Média","Pesada","Leve · Livre","Média · Livre","Pesada · Livre")))</f>
        <v/>
      </c>
      <c r="QO57" s="164">
        <f>IF(OR($ND57=0,$NQ57=0),"",IF($MS57=0,"−1 dado","−"&amp;INDEX($I$2:$N$8,MAX(1,$MS57),MAX(1,$NV57))&amp;" · "&amp;CHOOSE(MAX(1,$NV57),"Leve","Média","Pesada","Leve · Livre","Média · Livre","Pesada · Livre")))</f>
        <v/>
      </c>
      <c r="QP57" s="164">
        <f>IF(OR($ND57=0,$NR57=0),"",IF($MS57=0,"−1 dado","−"&amp;INDEX($I$2:$N$8,MAX(1,$MS57),MAX(1,$NW57))&amp;" · "&amp;CHOOSE(MAX(1,$NW57),"Leve","Média","Pesada","Leve · Livre","Média · Livre","Pesada · Livre")))</f>
        <v/>
      </c>
      <c r="QQ57" s="164">
        <f>IF(OR($ND57=0,$NB57=""),"",IF($MS57=0,"não devolve","+"&amp;IF($OI57=1,CEILING($MS57/2,1),$MS57)))</f>
        <v/>
      </c>
      <c r="QR57" s="164">
        <f>IF(OR($ND57=0,$NC57=""),"",IF($MS57=0,"não devolve","+"&amp;IF($OJ57=1,CEILING($MS57/2,1),$MS57)))</f>
        <v/>
      </c>
      <c r="RK57">
        <f>IF($MX57="","",IFERROR(VLOOKUP(SUBSTITUTE(SUBSTITUTE(SUBSTITUTE($MX57,"~","~~"),"*","~*"),"?","~?"),'DADOS_MELHORIAS'!$O$2:$X$113,10,FALSE),$MX57))</f>
        <v/>
      </c>
      <c r="RL57">
        <f>IF($MY57="","",IFERROR(VLOOKUP(SUBSTITUTE(SUBSTITUTE(SUBSTITUTE($MY57,"~","~~"),"*","~*"),"?","~?"),'DADOS_MELHORIAS'!$O$2:$X$113,10,FALSE),$MY57))</f>
        <v/>
      </c>
      <c r="RM57">
        <f>IF($MZ57="","",IFERROR(VLOOKUP(SUBSTITUTE(SUBSTITUTE(SUBSTITUTE($MZ57,"~","~~"),"*","~*"),"?","~?"),'DADOS_MELHORIAS'!$O$2:$X$113,10,FALSE),$MZ57))</f>
        <v/>
      </c>
      <c r="RN57">
        <f>IF($NA57="","",IFERROR(VLOOKUP(SUBSTITUTE(SUBSTITUTE(SUBSTITUTE($NA57,"~","~~"),"*","~*"),"?","~?"),'DADOS_MELHORIAS'!$O$2:$X$113,10,FALSE),$NA57))</f>
        <v/>
      </c>
      <c r="RO57">
        <f>IFERROR(INDEX('DADOS_FORMAS'!$BJ$2:$BJ$21,MATCH(SUBSTITUTE(SUBSTITUTE(SUBSTITUTE($MU57,"~","~~"),"*","~*"),"?","~?"),'DADOS_FORMAS'!$AH$2:$AH$21,0)),"")</f>
        <v/>
      </c>
      <c r="RP57">
        <f>IFERROR(VLOOKUP(SUBSTITUTE(SUBSTITUTE(SUBSTITUTE(IFERROR(INDEX('DADOS_FORMAS'!$AS$2:$AS$21,MATCH(SUBSTITUTE(SUBSTITUTE(SUBSTITUTE($MU57,"~","~~"),"*","~*"),"?","~?"),'DADOS_FORMAS'!$AH$2:$AH$21,0)),""),"~","~~"),"*","~*"),"?","~?"),'DADOS_RESTRICOES'!$M$2:$Q$54,2,FALSE),"")</f>
        <v/>
      </c>
      <c r="RQ57">
        <f>$OK57</f>
        <v/>
      </c>
      <c r="RR57">
        <f>$OL57</f>
        <v/>
      </c>
      <c r="RS57">
        <f>$RP57</f>
        <v/>
      </c>
    </row>
    <row r="58">
      <c r="AV58" s="162" t="inlineStr">
        <is>
          <t>Sem Cura</t>
        </is>
      </c>
      <c r="AW58" s="162" t="inlineStr">
        <is>
          <t>Castigo</t>
        </is>
      </c>
      <c r="AX58" s="164" t="n">
        <v>2</v>
      </c>
      <c r="AY58" s="164" t="n">
        <v>0</v>
      </c>
      <c r="AZ58" s="164" t="n">
        <v>0</v>
      </c>
      <c r="BA58" s="164" t="n">
        <v>0</v>
      </c>
      <c r="JT58" s="164">
        <f>IF(OR($AW58="",(COUNTIF($EL$2:$EP$2,$AW58)+COUNTIF($QV$2:$QY$2,$AW58))&gt;0),$AV58,"")</f>
        <v/>
      </c>
      <c r="JU58" s="164">
        <f>IF(AND($AX58=1,OR($AW58="",(COUNTIF($EL$2:$EP$2,$AW58)+COUNTIF($QV$2:$QY$2,$AW58))&gt;0)),$AV58,"")</f>
        <v/>
      </c>
      <c r="JZ58" s="164">
        <f>IF(OR($AW58="",(COUNTIF($EL$3:$EP$3,$AW58)+COUNTIF($QV$3:$QY$3,$AW58))&gt;0),$AV58,"")</f>
        <v/>
      </c>
      <c r="KA58" s="164">
        <f>IF(AND($AX58=1,OR($AW58="",(COUNTIF($EL$3:$EP$3,$AW58)+COUNTIF($QV$3:$QY$3,$AW58))&gt;0)),$AV58,"")</f>
        <v/>
      </c>
      <c r="KF58" s="164">
        <f>IF(OR($AW58="",(COUNTIF($EL$4:$EP$4,$AW58)+COUNTIF($QV$4:$QY$4,$AW58))&gt;0),$AV58,"")</f>
        <v/>
      </c>
      <c r="KG58" s="164">
        <f>IF(AND($AX58=1,OR($AW58="",(COUNTIF($EL$4:$EP$4,$AW58)+COUNTIF($QV$4:$QY$4,$AW58))&gt;0)),$AV58,"")</f>
        <v/>
      </c>
      <c r="KL58" s="164">
        <f>IF(OR($AW58="",(COUNTIF($EL$5:$EP$5,$AW58)+COUNTIF($QV$5:$QY$5,$AW58))&gt;0),$AV58,"")</f>
        <v/>
      </c>
      <c r="KM58" s="164">
        <f>IF(AND($AX58=1,OR($AW58="",(COUNTIF($EL$5:$EP$5,$AW58)+COUNTIF($QV$5:$QY$5,$AW58))&gt;0)),$AV58,"")</f>
        <v/>
      </c>
      <c r="KR58" s="164">
        <f>IF(OR($AW58="",(COUNTIF($EL$6:$EP$6,$AW58)+COUNTIF($QV$6:$QY$6,$AW58))&gt;0),$AV58,"")</f>
        <v/>
      </c>
      <c r="KS58" s="164">
        <f>IF(AND($AX58=1,OR($AW58="",(COUNTIF($EL$6:$EP$6,$AW58)+COUNTIF($QV$6:$QY$6,$AW58))&gt;0)),$AV58,"")</f>
        <v/>
      </c>
      <c r="KX58" s="164">
        <f>IF(OR($AW58="",(COUNTIF($EL$7:$EP$7,$AW58)+COUNTIF($QV$7:$QY$7,$AW58))&gt;0),$AV58,"")</f>
        <v/>
      </c>
      <c r="KY58" s="164">
        <f>IF(AND($AX58=1,OR($AW58="",(COUNTIF($EL$7:$EP$7,$AW58)+COUNTIF($QV$7:$QY$7,$AW58))&gt;0)),$AV58,"")</f>
        <v/>
      </c>
      <c r="LD58" s="164">
        <f>IF(OR($AW58="",(COUNTIF($EL$8:$EP$8,$AW58)+COUNTIF($QV$8:$QY$8,$AW58))&gt;0),$AV58,"")</f>
        <v/>
      </c>
      <c r="LE58" s="164">
        <f>IF(AND($AX58=1,OR($AW58="",(COUNTIF($EL$8:$EP$8,$AW58)+COUNTIF($QV$8:$QY$8,$AW58))&gt;0)),$AV58,"")</f>
        <v/>
      </c>
      <c r="LJ58" s="164">
        <f>IF(OR($AW58="",(COUNTIF($EL$9:$EP$9,$AW58)+COUNTIF($QV$9:$QY$9,$AW58))&gt;0),$AV58,"")</f>
        <v/>
      </c>
      <c r="LK58" s="164">
        <f>IF(AND($AX58=1,OR($AW58="",(COUNTIF($EL$9:$EP$9,$AW58)+COUNTIF($QV$9:$QY$9,$AW58))&gt;0)),$AV58,"")</f>
        <v/>
      </c>
      <c r="LP58" s="164">
        <f>IF(OR($AW58="",(COUNTIF($EL$10:$EP$10,$AW58)+COUNTIF($QV$10:$QY$10,$AW58))&gt;0),$AV58,"")</f>
        <v/>
      </c>
      <c r="LQ58" s="164">
        <f>IF(AND($AX58=1,OR($AW58="",(COUNTIF($EL$10:$EP$10,$AW58)+COUNTIF($QV$10:$QY$10,$AW58))&gt;0)),$AV58,"")</f>
        <v/>
      </c>
      <c r="LV58" s="164">
        <f>IF(OR($AW58="",(COUNTIF($EL$11:$EP$11,$AW58)+COUNTIF($QV$11:$QY$11,$AW58))&gt;0),$AV58,"")</f>
        <v/>
      </c>
      <c r="LW58" s="164">
        <f>IF(AND($AX58=1,OR($AW58="",(COUNTIF($EL$11:$EP$11,$AW58)+COUNTIF($QV$11:$QY$11,$AW58))&gt;0)),$AV58,"")</f>
        <v/>
      </c>
      <c r="MB58" s="164">
        <f>IF(OR($AW58="",(COUNTIF($EL$12:$EP$12,$AW58)+COUNTIF($QV$12:$QY$12,$AW58))&gt;0),$AV58,"")</f>
        <v/>
      </c>
      <c r="MC58" s="164">
        <f>IF(AND($AX58=1,OR($AW58="",(COUNTIF($EL$12:$EP$12,$AW58)+COUNTIF($QV$12:$QY$12,$AW58))&gt;0)),$AV58,"")</f>
        <v/>
      </c>
      <c r="MH58" s="164">
        <f>IF(OR($AW58="",(COUNTIF($EL$13:$EP$13,$AW58)+COUNTIF($QV$13:$QY$13,$AW58))&gt;0),$AV58,"")</f>
        <v/>
      </c>
      <c r="MI58" s="164">
        <f>IF(AND($AX58=1,OR($AW58="",(COUNTIF($EL$13:$EP$13,$AW58)+COUNTIF($QV$13:$QY$13,$AW58))&gt;0)),$AV58,"")</f>
        <v/>
      </c>
      <c r="MN58" s="162" t="inlineStr">
        <is>
          <t>Ficha 5 · Especial 3</t>
        </is>
      </c>
      <c r="MO58" s="164" t="n">
        <v>5</v>
      </c>
      <c r="MP58" s="164" t="n">
        <v>1</v>
      </c>
      <c r="MQ58" s="164" t="n">
        <v>8</v>
      </c>
      <c r="MR58" s="162" t="inlineStr">
        <is>
          <t>ESPECIAL 3</t>
        </is>
      </c>
      <c r="MS58" s="164">
        <f>MAX(1,MIN(7,N('INVOCAÇÕES'!$O$949)))</f>
        <v/>
      </c>
      <c r="MT58" s="164">
        <f>'INVOCAÇÕES'!$P$949&amp;""</f>
        <v/>
      </c>
      <c r="MU58" s="164">
        <f>'INVOCAÇÕES'!$O$954&amp;""</f>
        <v/>
      </c>
      <c r="MV58" s="164">
        <f>'INVOCAÇÕES'!$O$955&amp;""</f>
        <v/>
      </c>
      <c r="MW58" s="164">
        <f>'INVOCAÇÕES'!$Q$955&amp;""</f>
        <v/>
      </c>
      <c r="MX58" s="164">
        <f>'INVOCAÇÕES'!$P$958&amp;""</f>
        <v/>
      </c>
      <c r="MY58" s="164">
        <f>'INVOCAÇÕES'!$P$959&amp;""</f>
        <v/>
      </c>
      <c r="MZ58" s="164">
        <f>'INVOCAÇÕES'!$P$960&amp;""</f>
        <v/>
      </c>
      <c r="NA58" s="164">
        <f>'INVOCAÇÕES'!$P$961&amp;""</f>
        <v/>
      </c>
      <c r="NB58" s="164">
        <f>'INVOCAÇÕES'!$P$962&amp;""</f>
        <v/>
      </c>
      <c r="NC58" s="164">
        <f>'INVOCAÇÕES'!$P$963&amp;""</f>
        <v/>
      </c>
      <c r="ND58" s="164">
        <f>IF($MT58&lt;&gt;"",1,0)</f>
        <v/>
      </c>
      <c r="NE58" s="164">
        <f>INDEX($FO$2:$FO$13,$MO58)</f>
        <v/>
      </c>
      <c r="NF58" s="164">
        <f>INDEX($FP$2:$FP$13,$MO58)</f>
        <v/>
      </c>
      <c r="NG58" s="164">
        <f>INDEX($FQ$2:$FQ$13,$MO58)</f>
        <v/>
      </c>
      <c r="NH58" s="164">
        <f>INDEX($GB$2:$GB$13,$MO58)</f>
        <v/>
      </c>
      <c r="NI58" s="164">
        <f>INDEX($GC$2:$GC$13,$MO58)</f>
        <v/>
      </c>
      <c r="NJ58" s="164">
        <f>IFERROR(MATCH(SUBSTITUTE(SUBSTITUTE(SUBSTITUTE($MU58,"~","~~"),"*","~*"),"?","~?"),'DADOS_FORMAS'!$FZ$2:$FZ$21,0),0)</f>
        <v/>
      </c>
      <c r="NK58" s="164">
        <f>IFERROR(VLOOKUP(SUBSTITUTE(SUBSTITUTE(SUBSTITUTE($MX58,"~","~~"),"*","~*"),"?","~?"),'DADOS_MELHORIAS'!$AG$2:$AL$113,2,FALSE),"")</f>
        <v/>
      </c>
      <c r="NL58" s="164">
        <f>IFERROR(VLOOKUP(SUBSTITUTE(SUBSTITUTE(SUBSTITUTE($MY58,"~","~~"),"*","~*"),"?","~?"),'DADOS_MELHORIAS'!$AG$2:$AL$113,2,FALSE),"")</f>
        <v/>
      </c>
      <c r="NM58" s="164">
        <f>IFERROR(VLOOKUP(SUBSTITUTE(SUBSTITUTE(SUBSTITUTE($MZ58,"~","~~"),"*","~*"),"?","~?"),'DADOS_MELHORIAS'!$AG$2:$AL$113,2,FALSE),"")</f>
        <v/>
      </c>
      <c r="NN58" s="164">
        <f>IFERROR(VLOOKUP(SUBSTITUTE(SUBSTITUTE(SUBSTITUTE($NA58,"~","~~"),"*","~*"),"?","~?"),'DADOS_MELHORIAS'!$AG$2:$AL$113,2,FALSE),"")</f>
        <v/>
      </c>
      <c r="NO58" s="164">
        <f>IFERROR(VLOOKUP(SUBSTITUTE(SUBSTITUTE(SUBSTITUTE($MX58,"~","~~"),"*","~*"),"?","~?"),'DADOS_MELHORIAS'!$AG$2:$AL$113,3,FALSE),0)</f>
        <v/>
      </c>
      <c r="NP58" s="164">
        <f>IFERROR(VLOOKUP(SUBSTITUTE(SUBSTITUTE(SUBSTITUTE($MY58,"~","~~"),"*","~*"),"?","~?"),'DADOS_MELHORIAS'!$AG$2:$AL$113,3,FALSE),0)</f>
        <v/>
      </c>
      <c r="NQ58" s="164">
        <f>IFERROR(VLOOKUP(SUBSTITUTE(SUBSTITUTE(SUBSTITUTE($MZ58,"~","~~"),"*","~*"),"?","~?"),'DADOS_MELHORIAS'!$AG$2:$AL$113,3,FALSE),0)</f>
        <v/>
      </c>
      <c r="NR58" s="164">
        <f>IFERROR(VLOOKUP(SUBSTITUTE(SUBSTITUTE(SUBSTITUTE($NA58,"~","~~"),"*","~*"),"?","~?"),'DADOS_MELHORIAS'!$AG$2:$AL$113,3,FALSE),0)</f>
        <v/>
      </c>
      <c r="NS58" s="164">
        <f>IF($MS58=0,0,IF($NJ58=0,0,INDEX('DADOS_FORMAS'!$GB$2:$GB$21,$NJ58)))</f>
        <v/>
      </c>
      <c r="NT58" s="164">
        <f>IF(OR($NO58=0,$MS58=0),0,$NO58+3*IF(AND($NK58&lt;&gt;"",COUNTIF(INDEX($RB$2:$RJ$13,$MO58,0),$NK58)&gt;0),1,0))</f>
        <v/>
      </c>
      <c r="NU58" s="164">
        <f>IF(OR($NP58=0,$MS58=0),0,$NP58+3*IF(AND($NL58&lt;&gt;"",COUNTIF(INDEX($RB$2:$RJ$13,$MO58,0),$NL58)&gt;0),1,0))</f>
        <v/>
      </c>
      <c r="NV58" s="164">
        <f>IF(OR($NQ58=0,$MS58=0),0,$NQ58+3*IF(AND($NM58&lt;&gt;"",COUNTIF(INDEX($RB$2:$RJ$13,$MO58,0),$NM58)&gt;0),1,0))</f>
        <v/>
      </c>
      <c r="NW58" s="164">
        <f>IF(OR($NR58=0,$MS58=0),0,$NR58+3*IF(AND($NN58&lt;&gt;"",COUNTIF(INDEX($RB$2:$RJ$13,$MO58,0),$NN58)&gt;0),1,0))</f>
        <v/>
      </c>
      <c r="NX58" s="164">
        <f>IF($NJ58=0,0,IF(INDEX('DADOS_FORMAS'!$GA$2:$GA$21,$NJ58)="",0,IF((COUNTIF(INDEX($EL$2:$EP$13,$MO58,0),INDEX('DADOS_FORMAS'!$GA$2:$GA$21,$NJ58))+COUNTIF(INDEX($QV$2:$QY$13,$MO58,0),INDEX('DADOS_FORMAS'!$GA$2:$GA$21,$NJ58)))=0,1,0)))</f>
        <v/>
      </c>
      <c r="NY58" s="164">
        <f>IF(OR($NO58=0,$NK58=""),0,IF((COUNTIF(INDEX($EL$2:$EP$13,$MO58,0),$NK58)+COUNTIF(INDEX($QV$2:$QY$13,$MO58,0),$NK58))=0,1,0))</f>
        <v/>
      </c>
      <c r="NZ58" s="164">
        <f>IF(OR($NP58=0,$NL58=""),0,IF((COUNTIF(INDEX($EL$2:$EP$13,$MO58,0),$NL58)+COUNTIF(INDEX($QV$2:$QY$13,$MO58,0),$NL58))=0,1,0))</f>
        <v/>
      </c>
      <c r="OA58" s="164">
        <f>IF(OR($NQ58=0,$NM58=""),0,IF((COUNTIF(INDEX($EL$2:$EP$13,$MO58,0),$NM58)+COUNTIF(INDEX($QV$2:$QY$13,$MO58,0),$NM58))=0,1,0))</f>
        <v/>
      </c>
      <c r="OB58" s="164">
        <f>IF(OR($NR58=0,$NN58=""),0,IF((COUNTIF(INDEX($EL$2:$EP$13,$MO58,0),$NN58)+COUNTIF(INDEX($QV$2:$QY$13,$MO58,0),$NN58))=0,1,0))</f>
        <v/>
      </c>
      <c r="OC58" s="164">
        <f>IFERROR(VLOOKUP(SUBSTITUTE(SUBSTITUTE(SUBSTITUTE($MX58,"~","~~"),"*","~*"),"?","~?"),'DADOS_MELHORIAS'!$AG$2:$AL$113,4,FALSE),0)+IFERROR(VLOOKUP(SUBSTITUTE(SUBSTITUTE(SUBSTITUTE($MY58,"~","~~"),"*","~*"),"?","~?"),'DADOS_MELHORIAS'!$AG$2:$AL$113,4,FALSE),0)+IFERROR(VLOOKUP(SUBSTITUTE(SUBSTITUTE(SUBSTITUTE($MZ58,"~","~~"),"*","~*"),"?","~?"),'DADOS_MELHORIAS'!$AG$2:$AL$113,4,FALSE),0)+IFERROR(VLOOKUP(SUBSTITUTE(SUBSTITUTE(SUBSTITUTE($NA58,"~","~~"),"*","~*"),"?","~?"),'DADOS_MELHORIAS'!$AG$2:$AL$113,4,FALSE),0)</f>
        <v/>
      </c>
      <c r="OD58" s="164">
        <f>IFERROR(VLOOKUP(SUBSTITUTE(SUBSTITUTE(SUBSTITUTE($MX58,"~","~~"),"*","~*"),"?","~?"),'DADOS_MELHORIAS'!$AG$2:$AL$113,6,FALSE),0)+IFERROR(VLOOKUP(SUBSTITUTE(SUBSTITUTE(SUBSTITUTE($MY58,"~","~~"),"*","~*"),"?","~?"),'DADOS_MELHORIAS'!$AG$2:$AL$113,6,FALSE),0)+IFERROR(VLOOKUP(SUBSTITUTE(SUBSTITUTE(SUBSTITUTE($MZ58,"~","~~"),"*","~*"),"?","~?"),'DADOS_MELHORIAS'!$AG$2:$AL$113,6,FALSE),0)+IFERROR(VLOOKUP(SUBSTITUTE(SUBSTITUTE(SUBSTITUTE($NA58,"~","~~"),"*","~*"),"?","~?"),'DADOS_MELHORIAS'!$AG$2:$AL$113,6,FALSE),0)+IFERROR(N(AND(INDEX('DADOS_FORMAS'!$AO$2:$AO$21,MATCH(SUBSTITUTE(SUBSTITUTE(SUBSTITUTE($MU58,"~","~~"),"*","~*"),"?","~?"),'DADOS_FORMAS'!$AH$2:$AH$21,0))="Acerto",$OH58=1)),0)</f>
        <v/>
      </c>
      <c r="OE58" s="164">
        <f>TEXTJOIN(", ",TRUE,IF(IFERROR(VLOOKUP(SUBSTITUTE(SUBSTITUTE(SUBSTITUTE($MX58,"~","~~"),"*","~*"),"?","~?"),'DADOS_MELHORIAS'!$AG$2:$AL$113,5,FALSE),0)=1,$MX58,""),IF(IFERROR(VLOOKUP(SUBSTITUTE(SUBSTITUTE(SUBSTITUTE($MY58,"~","~~"),"*","~*"),"?","~?"),'DADOS_MELHORIAS'!$AG$2:$AL$113,5,FALSE),0)=1,$MY58,""),IF(IFERROR(VLOOKUP(SUBSTITUTE(SUBSTITUTE(SUBSTITUTE($MZ58,"~","~~"),"*","~*"),"?","~?"),'DADOS_MELHORIAS'!$AG$2:$AL$113,5,FALSE),0)=1,$MZ58,""),IF(IFERROR(VLOOKUP(SUBSTITUTE(SUBSTITUTE(SUBSTITUTE($NA58,"~","~~"),"*","~*"),"?","~?"),'DADOS_MELHORIAS'!$AG$2:$AL$113,5,FALSE),0)=1,$NA58,""))</f>
        <v/>
      </c>
      <c r="OF58" s="164">
        <f>IF($NJ58=0,0,INDEX('DADOS_FORMAS'!$GC$2:$GC$21,$NJ58))</f>
        <v/>
      </c>
      <c r="OG58" s="164">
        <f>IF($NJ58=0,0,INDEX('DADOS_FORMAS'!$GD$2:$GD$21,$NJ58))</f>
        <v/>
      </c>
      <c r="OH58" s="164">
        <f>IF($NJ58=0,0,INDEX('DADOS_FORMAS'!$GF$2:$GF$21,$NJ58))</f>
        <v/>
      </c>
      <c r="OI58" s="164">
        <f>IFERROR(VLOOKUP(SUBSTITUTE(SUBSTITUTE(SUBSTITUTE($NB58,"~","~~"),"*","~*"),"?","~?"),'DADOS_RESTRICOES'!$M$2:$Q$54,3,FALSE),0)</f>
        <v/>
      </c>
      <c r="OJ58" s="164">
        <f>IFERROR(VLOOKUP(SUBSTITUTE(SUBSTITUTE(SUBSTITUTE($NC58,"~","~~"),"*","~*"),"?","~?"),'DADOS_RESTRICOES'!$M$2:$Q$54,3,FALSE),0)</f>
        <v/>
      </c>
      <c r="OK58" s="164">
        <f>IFERROR(VLOOKUP(SUBSTITUTE(SUBSTITUTE(SUBSTITUTE($NB58,"~","~~"),"*","~*"),"?","~?"),'DADOS_RESTRICOES'!$M$2:$Q$54,2,FALSE),"")</f>
        <v/>
      </c>
      <c r="OL58" s="164">
        <f>IFERROR(VLOOKUP(SUBSTITUTE(SUBSTITUTE(SUBSTITUTE($NC58,"~","~~"),"*","~*"),"?","~?"),'DADOS_RESTRICOES'!$M$2:$Q$54,2,FALSE),"")</f>
        <v/>
      </c>
      <c r="OM58" s="164">
        <f>COUNTIF($NS58:$NW58,1)</f>
        <v/>
      </c>
      <c r="ON58" s="164">
        <f>COUNTIF($NS58:$NW58,2)</f>
        <v/>
      </c>
      <c r="OO58" s="164">
        <f>COUNTIF($NS58:$NW58,3)</f>
        <v/>
      </c>
      <c r="OP58" s="164">
        <f>COUNTIF($NS58:$NW58,4)</f>
        <v/>
      </c>
      <c r="OQ58" s="164">
        <f>COUNTIF($NS58:$NW58,5)</f>
        <v/>
      </c>
      <c r="OR58" s="164">
        <f>COUNTIF($NS58:$NW58,6)</f>
        <v/>
      </c>
      <c r="OS58" s="164">
        <f>COUNTIF($OI58:$OJ58,1)+IF(IFERROR(INDEX('DADOS_FORMAS'!$AS$2:$AS$21,MATCH(SUBSTITUTE(SUBSTITUTE(SUBSTITUTE($MU58,"~","~~"),"*","~*"),"?","~?"),'DADOS_FORMAS'!$AH$2:$AH$21,0)),"")="",0,IFERROR(N(VLOOKUP(SUBSTITUTE(SUBSTITUTE(SUBSTITUTE(IFERROR(INDEX('DADOS_FORMAS'!$AS$2:$AS$21,MATCH(SUBSTITUTE(SUBSTITUTE(SUBSTITUTE($MU58,"~","~~"),"*","~*"),"?","~?"),'DADOS_FORMAS'!$AH$2:$AH$21,0)),""),"~","~~"),"*","~*"),"?","~?"),'DADOS_RESTRICOES'!$M$2:$Q$54,3,FALSE)=1),0))</f>
        <v/>
      </c>
      <c r="OT58" s="164">
        <f>COUNTIF($OI58:$OJ58,2)+IF(IFERROR(INDEX('DADOS_FORMAS'!$AS$2:$AS$21,MATCH(SUBSTITUTE(SUBSTITUTE(SUBSTITUTE($MU58,"~","~~"),"*","~*"),"?","~?"),'DADOS_FORMAS'!$AH$2:$AH$21,0)),"")="",0,IFERROR(N(VLOOKUP(SUBSTITUTE(SUBSTITUTE(SUBSTITUTE(IFERROR(INDEX('DADOS_FORMAS'!$AS$2:$AS$21,MATCH(SUBSTITUTE(SUBSTITUTE(SUBSTITUTE($MU58,"~","~~"),"*","~*"),"?","~?"),'DADOS_FORMAS'!$AH$2:$AH$21,0)),""),"~","~~"),"*","~*"),"?","~?"),'DADOS_RESTRICOES'!$M$2:$Q$54,3,FALSE)=2),0))</f>
        <v/>
      </c>
      <c r="OU58" s="164">
        <f>COUNTIF($MX58:$NA58,"?*")</f>
        <v/>
      </c>
      <c r="OV58" s="164">
        <f>COUNTIF($NB58:$NC58,"?*")+$OF58</f>
        <v/>
      </c>
      <c r="OW58" s="164">
        <f>IF($MS58=0,0,SUMPRODUCT($OM58:$OR58,INDEX($I$2:$N$8,MAX(1,$MS58),0)))</f>
        <v/>
      </c>
      <c r="OX58" s="164">
        <f>IF($MS58=0,0,$OS58*CEILING($MS58/2,1)+$OT58*$MS58)</f>
        <v/>
      </c>
      <c r="OY58" s="164">
        <f>MIN(2*$MS58,$OX58)</f>
        <v/>
      </c>
      <c r="OZ58" s="164">
        <f>MIN($OY58,$OW58-IF($NS58=0,0,INDEX($I$2:$N$8,MAX(1,$MS58),$NS58)))</f>
        <v/>
      </c>
      <c r="PA58" s="164">
        <f>$OY58-$OZ58</f>
        <v/>
      </c>
      <c r="PB58" s="164">
        <f>IF($MS58=0,0,INDEX($P$2:$P$8,MAX(1,$MS58)))</f>
        <v/>
      </c>
      <c r="PC58" s="164">
        <f>$PB58-$OW58+$OZ58</f>
        <v/>
      </c>
      <c r="PD58" s="164">
        <f>IF($MS58=0,MAX(0,$NG58-IF(AND($OU58&gt;0,COUNTIF($NB58:$NC58,"?*")=0),1,0)),MAX(0,$PC58))</f>
        <v/>
      </c>
      <c r="PE58" s="164">
        <f>IF($MS58=0,0,(IF(COUNTIF($RK58:$RN58,"Salto")&gt;0,1,0)+IF(COUNTIF($RK58:$RN58,"Queima")&gt;0,1,0)+IF(COUNTIF($RK58:$RN58,"Estilhaço")&gt;0,1,0))*FLOOR($PD58/2,1))</f>
        <v/>
      </c>
      <c r="PF58" s="164">
        <f>MAX(0,2-SUMPRODUCT($OM58:$OR58,$I$2:$N$2)+MIN(2,$OS58*1+$OT58*1,SUMPRODUCT($OM58:$OR58,$I$2:$N$2)-IF($NS58=0,0,INDEX($I$2:$N$2,1,$NS58))))</f>
        <v/>
      </c>
      <c r="PG58" s="164">
        <f>MAX(0,4-SUMPRODUCT($OM58:$OR58,$I$3:$N$3)+MIN(4,$OS58*1+$OT58*2,SUMPRODUCT($OM58:$OR58,$I$3:$N$3)-IF($NS58=0,0,INDEX($I$3:$N$3,1,$NS58))))</f>
        <v/>
      </c>
      <c r="PH58" s="164">
        <f>MAX(0,6-SUMPRODUCT($OM58:$OR58,$I$4:$N$4)+MIN(6,$OS58*2+$OT58*3,SUMPRODUCT($OM58:$OR58,$I$4:$N$4)-IF($NS58=0,0,INDEX($I$4:$N$4,1,$NS58))))</f>
        <v/>
      </c>
      <c r="PI58" s="164">
        <f>MAX(0,9-SUMPRODUCT($OM58:$OR58,$I$5:$N$5)+MIN(8,$OS58*2+$OT58*4,SUMPRODUCT($OM58:$OR58,$I$5:$N$5)-IF($NS58=0,0,INDEX($I$5:$N$5,1,$NS58))))</f>
        <v/>
      </c>
      <c r="PJ58" s="164">
        <f>MAX(0,11-SUMPRODUCT($OM58:$OR58,$I$6:$N$6)+MIN(10,$OS58*3+$OT58*5,SUMPRODUCT($OM58:$OR58,$I$6:$N$6)-IF($NS58=0,0,INDEX($I$6:$N$6,1,$NS58))))</f>
        <v/>
      </c>
      <c r="PK58" s="164">
        <f>MAX(0,13-SUMPRODUCT($OM58:$OR58,$I$7:$N$7)+MIN(12,$OS58*3+$OT58*6,SUMPRODUCT($OM58:$OR58,$I$7:$N$7)-IF($NS58=0,0,INDEX($I$7:$N$7,1,$NS58))))</f>
        <v/>
      </c>
      <c r="PL58" s="164">
        <f>MAX(0,16-SUMPRODUCT($OM58:$OR58,$I$8:$N$8)+MIN(14,$OS58*4+$OT58*7,SUMPRODUCT($OM58:$OR58,$I$8:$N$8)-IF($NS58=0,0,INDEX($I$8:$N$8,1,$NS58))))</f>
        <v/>
      </c>
      <c r="PM58" s="164">
        <f>IF($OG58=2,3*$PF58&amp;" de vida temp.",IF($OG58=3,"sem dano",IF($PF58=0,IF($OG58=1,"sem cura","sem dano"),IF($OG58=1,"cura ","")&amp;$PF58&amp;"d8")))</f>
        <v/>
      </c>
      <c r="PN58" s="164">
        <f>IF($OG58=2,3*$PG58&amp;" de vida temp.",IF($OG58=3,"sem dano",IF($PG58=0,IF($OG58=1,"sem cura","sem dano"),IF($OG58=1,"cura ","")&amp;$PG58&amp;"d8")))</f>
        <v/>
      </c>
      <c r="PO58" s="164">
        <f>IF($OG58=2,3*$PH58&amp;" de vida temp.",IF($OG58=3,"sem dano",IF($PH58=0,IF($OG58=1,"sem cura","sem dano"),IF($OG58=1,"cura ","")&amp;$PH58&amp;"d8")))</f>
        <v/>
      </c>
      <c r="PP58" s="164">
        <f>IF($OG58=2,3*$PI58&amp;" de vida temp.",IF($OG58=3,"sem dano",IF($PI58=0,IF($OG58=1,"sem cura","sem dano"),IF($OG58=1,"cura ","")&amp;$PI58&amp;"d8")))</f>
        <v/>
      </c>
      <c r="PQ58" s="164">
        <f>IF($OG58=2,3*$PJ58&amp;" de vida temp.",IF($OG58=3,"sem dano",IF($PJ58=0,IF($OG58=1,"sem cura","sem dano"),IF($OG58=1,"cura ","")&amp;$PJ58&amp;"d8")))</f>
        <v/>
      </c>
      <c r="PR58" s="164">
        <f>IF($OG58=2,3*$PK58&amp;" de vida temp.",IF($OG58=3,"sem dano",IF($PK58=0,IF($OG58=1,"sem cura","sem dano"),IF($OG58=1,"cura ","")&amp;$PK58&amp;"d8")))</f>
        <v/>
      </c>
      <c r="PS58" s="164">
        <f>IF($OG58=2,3*$PL58&amp;" de vida temp.",IF($OG58=3,"sem dano",IF($PL58=0,IF($OG58=1,"sem cura","sem dano"),IF($OG58=1,"cura ","")&amp;$PL58&amp;"d8")))</f>
        <v/>
      </c>
      <c r="PT58" s="164">
        <f>IF($ND58=0,"",TEXTJOIN(" · ",TRUE,IF($ND58=0,"",TEXTJOIN(" · ",TRUE,IF($ND58=0,"",TEXTJOIN(" · ",TRUE,IF($MQ58&gt;$NE58,"Este lugar abre no nível "&amp;$MQ58,""),IF($MS58&gt;$NF58,"Classe "&amp;$MS58&amp;": o nível "&amp;$NE58&amp;" libera até a "&amp;$NF58,""),IF($NX58=1,"A Forma "&amp;$MU58&amp;" pede "&amp;INDEX('DADOS_FORMAS'!$GA$2:$GA$21,$NJ58)&amp;" aberta",""),IF(AND($MS58=0,$NJ58&gt;0,IF($NJ58=0,0,INDEX('DADOS_FORMAS'!$GJ$2:$GJ$21,$NJ58))=0),$MU58&amp;" não existe na Classe 0",""),IF($NY58=1,"Família Fechada: "&amp;$MX58,""),IF($NZ58=1,"Família Fechada: "&amp;$MY58,""),IF($OA58=1,"Família Fechada: "&amp;$MZ58,""),IF($OB58=1,"Família Fechada: "&amp;$NA58,""),IF(AND($MS58&gt;0,$OU58&gt;INDEX($O$2:$O$8,MAX(1,$MS58))),$OU58&amp;" Melhorias: a Classe "&amp;$MS58&amp;" aceita "&amp;INDEX($O$2:$O$8,MAX(1,$MS58)),""),IF(AND($MS58=0,$OU58&gt;1),"A básica aceita uma Melhoria",""),IF(AND($MS58=0,COUNTIF($NO58:$NR58,"&gt;1")&gt;0),"A básica só aceita Melhoria Leve",""),IF(AND($MS58&gt;0,$OV58&gt;2),$OV58&amp;" Restrições"&amp;IF($OF58=1,", contando a que a Forma "&amp;$MU58&amp;" já traz","")&amp;": o limite é 2",""),IF(AND($MS58=0,COUNTIF($NB58:$NC58,"?*")&gt;1),"A básica aceita uma Restrição Leve",""),IF(AND($MS58=0,COUNTIF($OI58:$OJ58,2)&gt;0),"A básica só aceita Restrição Leve",""),IF(AND($MS58&gt;0,$PC58&lt;0),"Orçamento estourado: faltam "&amp;(-$PC58)&amp;IF($PC58&lt;-1," pontos"," ponto"),""),IF(IFERROR(VLOOKUP(SUBSTITUTE(SUBSTITUTE(SUBSTITUTE($NB58,"~","~~"),"*","~*"),"?","~?"),'DADOS_RESTRICOES'!$M$2:$Q$54,4,FALSE),0)+IFERROR(VLOOKUP(SUBSTITUTE(SUBSTITUTE(SUBSTITUTE($NC58,"~","~~"),"*","~*"),"?","~?"),'DADOS_RESTRICOES'!$M$2:$Q$54,4,FALSE),0)&gt;1,$OK58&amp;" e "&amp;$OL58&amp;" são as duas de frequência",""),IF(AND((COUNTIF($RK58:$RN58,"Rápido")+COUNTIF($OK58:$OL58,"Rápido"))&gt;0,(COUNTIF($MX58:$NA58,"Atrasar")+COUNTIF($OK58:$OL58,"Atrasar"))&gt;0),"Rápido não entra com Atrasar",""),IF(AND((COUNTIF($RK58:$RN58,"Reação")+COUNTIF($OK58:$OL58,"Reação"))&gt;0,(COUNTIF($RK58:$RN58,"Rápido")+COUNTIF($OK58:$OL58,"Rápido"))&gt;0),"Reação não entra com Rápido",""),IF(AND((COUNTIF($RK58:$RN58,"Reação")+COUNTIF($OK58:$OL58,"Reação"))&gt;0,(COUNTIF($RK58:$RN58,"Armado")+COUNTIF($OK58:$OL58,"Armado"))&gt;0),"Reação não entra com Armado",""),IF(AND((COUNTIF($RK58:$RN58,"Reação")+COUNTIF($OK58:$OL58,"Reação"))&gt;0,(COUNTIF($MX58:$NA58,"Atrasar")+COUNTIF($OK58:$OL58,"Atrasar"))&gt;0),"Reação não entra com Atrasar",""),IF(AND((COUNTIF($RK58:$RN58,"Reação")+COUNTIF($OK58:$OL58,"Reação"))&gt;0,(COUNTIF($MX58:$NA58,"Parado")+COUNTIF($OK58:$OL58,"Parado"))&gt;0),"Reação não entra com Parado",""),IF(AND((COUNTIF($MX58:$NA58,"Atrasar")+COUNTIF($OK58:$OL58,"Atrasar"))&gt;0,(COUNTIF($MX58:$NA58,"Parado")+COUNTIF($OK58:$OL58,"Parado"))&gt;0),"Atrasar não entra com Parado",""),IF(AND((COUNTIF($RK58:$RN58,"Armado")+COUNTIF($OK58:$OL58,"Armado"))&gt;0,(COUNTIF($MX58:$NA58,"Carregar")+COUNTIF($OK58:$OL58,"Carregar"))&gt;0),"Armado não entra com Carregar",""),IF(AND(COUNTIF($OK58:$OL58,"Corpo a Corpo")&gt;0,$OF58=0,OR($RO58="Cone",$RO58="Linha")),"Corpo a Corpo não entra em "&amp;$MU58,""),IF(AND(COUNTIF($OK58:$OL58,"Corpo a Corpo")&gt;0,$RP58="Corpo a Corpo"),"A Forma "&amp;$MU58&amp;" já traz o Corpo a Corpo",""),IF(AND(COUNTIF($OK58:$OL58,"Tudo ou Nada")&gt;0,$OH58=0),"Tudo ou Nada só entra em habilidade de Teste de Resistência",""),IF(AND(COUNTIF($RK58:$RN58,"Inescapável")&gt;0,OR($OU58&gt;1,$OV58&gt;0)),"Inescapável não aceita outra peça",""),IF(AND($MS58&gt;0,$PD58*IF(COUNTIF($RK58:$RN58,"Remate")&gt;0,1.25,1)+$PE58&gt;4*$MS58),($PD58*IF(COUNTIF($RK58:$RN58,"Remate")&gt;0,1.25,1)+$PE58)&amp;" dados somando repetições"&amp;IF(COUNTIF($RK58:$RN58,"Remate")&gt;0," e o Remate","")&amp;": o teto da Classe "&amp;$MS58&amp;" é "&amp;4*$MS58,""))),IF(AND($MX58&lt;&gt;"",COUNTIF('DADOS_MELHORIAS'!$O$2:$O$113,SUBSTITUTE(SUBSTITUTE(SUBSTITUTE($MX58,"~","~~"),"*","~*"),"?","~?"))=0),"Melhoria não cadastrada ou com erro: "&amp;$MX58,""),IF(AND($MY58&lt;&gt;"",COUNTIF('DADOS_MELHORIAS'!$O$2:$O$113,SUBSTITUTE(SUBSTITUTE(SUBSTITUTE($MY58,"~","~~"),"*","~*"),"?","~?"))=0),"Melhoria não cadastrada ou com erro: "&amp;$MY58,""),IF(AND($MZ58&lt;&gt;"",COUNTIF('DADOS_MELHORIAS'!$O$2:$O$113,SUBSTITUTE(SUBSTITUTE(SUBSTITUTE($MZ58,"~","~~"),"*","~*"),"?","~?"))=0),"Melhoria não cadastrada ou com erro: "&amp;$MZ58,""),IF(AND($NA58&lt;&gt;"",COUNTIF('DADOS_MELHORIAS'!$O$2:$O$113,SUBSTITUTE(SUBSTITUTE(SUBSTITUTE($NA58,"~","~~"),"*","~*"),"?","~?"))=0),"Melhoria não cadastrada ou com erro: "&amp;$NA58,""),IF(AND($NB58&lt;&gt;"",COUNTIF('DADOS_RESTRICOES'!$M$2:$M$54,SUBSTITUTE(SUBSTITUTE(SUBSTITUTE($NB58,"~","~~"),"*","~*"),"?","~?"))=0),"Restrição não cadastrada ou com erro: "&amp;$NB58,""),IF(AND($NC58&lt;&gt;"",COUNTIF('DADOS_RESTRICOES'!$M$2:$M$54,SUBSTITUTE(SUBSTITUTE(SUBSTITUTE($NC58,"~","~~"),"*","~*"),"?","~?"))=0),"Restrição não cadastrada ou com erro: "&amp;$NC58,""))),IF(AND($MU58&lt;&gt;"",COUNTIF('DADOS_FORMAS'!$AH$2:$AH$21,SUBSTITUTE(SUBSTITUTE(SUBSTITUTE($MU58,"~","~~"),"*","~*"),"?","~?"))=0),"Forma não cadastrada ou com erro: "&amp;$MU58,""),IF(AND(IFERROR(INDEX('DADOS_FORMAS'!$AS$2:$AS$21,MATCH(SUBSTITUTE(SUBSTITUTE(SUBSTITUTE($MU58,"~","~~"),"*","~*"),"?","~?"),'DADOS_FORMAS'!$AH$2:$AH$21,0)),"")&lt;&gt;"",OR(IFERROR(VLOOKUP(SUBSTITUTE(SUBSTITUTE(SUBSTITUTE(IFERROR(INDEX('DADOS_FORMAS'!$AS$2:$AS$21,MATCH(SUBSTITUTE(SUBSTITUTE(SUBSTITUTE($MU58,"~","~~"),"*","~*"),"?","~?"),'DADOS_FORMAS'!$AH$2:$AH$21,0)),""),"~","~~"),"*","~*"),"?","~?"),'DADOS_RESTRICOES'!$M$2:$Q$54,2,FALSE),"")=$OK58,IFERROR(VLOOKUP(SUBSTITUTE(SUBSTITUTE(SUBSTITUTE(IFERROR(INDEX('DADOS_FORMAS'!$AS$2:$AS$21,MATCH(SUBSTITUTE(SUBSTITUTE(SUBSTITUTE($MU58,"~","~~"),"*","~*"),"?","~?"),'DADOS_FORMAS'!$AH$2:$AH$21,0)),""),"~","~~"),"*","~*"),"?","~?"),'DADOS_RESTRICOES'!$M$2:$Q$54,2,FALSE),"")=$OL58)),"Restrição repetida, contando a embutida",""),IF(IF(IFERROR(INDEX('DADOS_FORMAS'!$AS$2:$AS$21,MATCH(SUBSTITUTE(SUBSTITUTE(SUBSTITUTE($MU58,"~","~~"),"*","~*"),"?","~?"),'DADOS_FORMAS'!$AH$2:$AH$21,0)),"")="",0,IFERROR(N(VLOOKUP(SUBSTITUTE(SUBSTITUTE(SUBSTITUTE(IFERROR(INDEX('DADOS_FORMAS'!$AS$2:$AS$21,MATCH(SUBSTITUTE(SUBSTITUTE(SUBSTITUTE($MU58,"~","~~"),"*","~*"),"?","~?"),'DADOS_FORMAS'!$AH$2:$AH$21,0)),""),"~","~~"),"*","~*"),"?","~?"),'DADOS_RESTRICOES'!$M$2:$Q$54,4,FALSE)=1),0))+IF($NB58="",0,IFERROR(N(VLOOKUP(SUBSTITUTE(SUBSTITUTE(SUBSTITUTE($NB58,"~","~~"),"*","~*"),"?","~?"),'DADOS_RESTRICOES'!$M$2:$Q$54,4,FALSE)=1),0))+IF($NC58="",0,IFERROR(N(VLOOKUP(SUBSTITUTE(SUBSTITUTE(SUBSTITUTE($NC58,"~","~~"),"*","~*"),"?","~?"),'DADOS_RESTRICOES'!$M$2:$Q$54,4,FALSE)=1),0))&gt;1,"Duas Restrições de frequência, contando a embutida",""),IF(AND(IFERROR(VLOOKUP(SUBSTITUTE(SUBSTITUTE(SUBSTITUTE(IFERROR(INDEX('DADOS_FORMAS'!$AS$2:$AS$21,MATCH(SUBSTITUTE(SUBSTITUTE(SUBSTITUTE($MU58,"~","~~"),"*","~*"),"?","~?"),'DADOS_FORMAS'!$AH$2:$AH$21,0)),""),"~","~~"),"*","~*"),"?","~?"),'DADOS_RESTRICOES'!$M$2:$Q$54,2,FALSE),"")="Tudo ou Nada",$OH58=0),"Tudo ou Nada exige TR",""),IF(AND(IFERROR(VLOOKUP(SUBSTITUTE(SUBSTITUTE(SUBSTITUTE(IFERROR(INDEX('DADOS_FORMAS'!$AS$2:$AS$21,MATCH(SUBSTITUTE(SUBSTITUTE(SUBSTITUTE($MU58,"~","~~"),"*","~*"),"?","~?"),'DADOS_FORMAS'!$AH$2:$AH$21,0)),""),"~","~~"),"*","~*"),"?","~?"),'DADOS_RESTRICOES'!$M$2:$Q$54,2,FALSE),"")="Corpo a Corpo",OR($RO58="Cone",$RO58="Linha")),"Corpo a Corpo não entra em Cone/Linha","")))</f>
        <v/>
      </c>
      <c r="PU58" s="164">
        <f>IF($PT58="",0,(LEN($PT58)-LEN(SUBSTITUTE($PT58," · ","")))/3+1)</f>
        <v/>
      </c>
      <c r="PV58" s="164">
        <f>IF($ND58=0,"",TEXTJOIN(" · ",TRUE,IF($OX58&gt;2*$MS58,"A devolução parou no teto de "&amp;2*$MS58,""),IF($PA58&gt;0,"Devolução perdida: "&amp;$PA58&amp;IF($PA58&gt;1," pontos"," ponto")&amp;" sem Melhoria para pagar",""),IF(AND($OC58&gt;0,AND($MS58&gt;0,$OG58=0),$PD58=0),"Controle sem dano: uma rodada a mais e CD +2",""),IF(AND($OC58&gt;0,AND($MS58&gt;0,$OG58=0),$PD58&gt;0,$PD58&lt;=$MS58),"Controle com saldo até a Classe: uma rodada a mais",""),IF(AND($MS58&gt;0,$OE58&lt;&gt;""),"Efeito de "&amp;$OE58&amp;" pela Classe "&amp;MAX(1,$MS58-1),"")))</f>
        <v/>
      </c>
      <c r="PW58" s="164">
        <f>IF($PV58="",0,(LEN($PV58)-LEN(SUBSTITUTE($PV58," · ","")))/3+1)</f>
        <v/>
      </c>
      <c r="PX58" s="164">
        <f>IF($ND58=0,IF($OU58+COUNTIF($NB58:$NC58,"?*")&gt;0,"Dê um nome",""),IF($PU58&gt;0,"⚠ "&amp;$PU58&amp;IF($PU58&gt;1," erros"," erro"),IF($PW58&gt;0,"! "&amp;$PW58&amp;IF($PW58&gt;1," avisos"," aviso"),"Na regra")))</f>
        <v/>
      </c>
      <c r="PY58" s="164">
        <f>IF($ND58=0,"",IF($PU58+$PW58=0,"Dentro das regras que a ficha confere",$PT58&amp;IF(AND($PU58&gt;0,$PW58&gt;0)," · ","")&amp;$PV58))</f>
        <v/>
      </c>
      <c r="PZ58" s="164">
        <f>IF($MQ58&gt;$NE58,$MR58&amp;" · ABRE NO NÍVEL "&amp;$MQ58,$MR58)</f>
        <v/>
      </c>
      <c r="QA58" s="164">
        <f>IF($ND58=0,"",IF($MS58=0,"Sem PE",3*$MS58&amp;" PE"))</f>
        <v/>
      </c>
      <c r="QB58" s="164">
        <f>IF($ND58=0,"",IF($MS58=0,"A atuação básica dela",IF(COUNTIF($RQ58:$RS58,"Atrasar")&gt;0,"Sua Ação Completa",IF(COUNTIF($RK58:$RN58,"Rápido")&gt;0,"Sua Bônus",IF(COUNTIF($RK58:$RN58,"Reação")&gt;0,"Sua Reação","Sua Padrão")))&amp;" + a básica dela"&amp;IF(COUNTIF($RK58:$RN58,"Reação")&gt;0," e a coletiva","")&amp;IF(COUNTIF($RQ58:$RS58,"Carregar")&gt;0," · em dois turnos","")))</f>
        <v/>
      </c>
      <c r="QC58" s="164">
        <f>IF($MW58&lt;&gt;"",$MW58,IF($NJ58=0,"",INDEX('DADOS_FORMAS'!$GE$2:$GE$21,$NJ58)))</f>
        <v/>
      </c>
      <c r="QD58" s="164">
        <f>IF(OR($ND58=0,$NJ58=0),"",IF(COUNTIF($RK58:$RN58,"Inescapável")&gt;0,"Automático",IF($QC58="Ataque",IF($NH58="","Ataque","Ataque "&amp;IF(($NH58+2*IF(COUNTIF($RK58:$RN58,"Precisão")&gt;0,1,0))&gt;=0,"+","−")&amp;ABS(($NH58+2*IF(COUNTIF($RK58:$RN58,"Precisão")&gt;0,1,0))))&amp;IF($OD58&gt;0," · TR"&amp;IF($NI58="",""," CD "&amp;$NI58),""),IF(LEFT($QC58,2)="TR",$QC58&amp;IF($NI58="",""," · CD "&amp;$NI58)&amp;IF(COUNTIF($RK58:$RN58,"Certeiro")&gt;0," · metade",""),"Sem rolagem"))))</f>
        <v/>
      </c>
      <c r="QE58" s="164">
        <f>IF(OR($ND58=0,$NJ58=0),"",IF($MS58=0,IF(OR($OG58&gt;=1,$PD58=0),"Sem dano",$PD58&amp;"d6"&amp;IF($MV58="",""," "&amp;$MV58)),IF(OR($OG58&gt;=1,$PD58=0),UPPER(LEFT(INDEX($PM58:$PS58,1,MAX(1,$MS58)),1))&amp;MID(INDEX($PM58:$PS58,1,MAX(1,$MS58)),2,99),UPPER(LEFT(INDEX($PM58:$PS58,1,MAX(1,$MS58)),1))&amp;MID(INDEX($PM58:$PS58,1,MAX(1,$MS58)),2,99)&amp;IF($MV58="",""," "&amp;$MV58)&amp;IF($PE58&gt;0," · +"&amp;$PE58&amp;"d8",""))))</f>
        <v/>
      </c>
      <c r="QF58" s="164">
        <f>COUNTIF($RK58:$RN58,"Longe")+3*COUNTIF($RK58:$RN58,"Muito Longe")</f>
        <v/>
      </c>
      <c r="QG58" s="164">
        <f>COUNTIF($RK58:$RN58,"Maior")+3*COUNTIF($RK58:$RN58,"Muito Maior")</f>
        <v/>
      </c>
      <c r="QH58" s="164">
        <f>IF($NJ58=0,0,CHOOSE(1+INDEX('DADOS_FORMAS'!$GG$2:$GG$21,$NJ58),0,$QF58,$QG58,$QF58+$QG58))</f>
        <v/>
      </c>
      <c r="QI58" s="164">
        <f>IF($NJ58=0,0,CHOOSE(1+INDEX('DADOS_FORMAS'!$GH$2:$GH$21,$NJ58),0,$QF58,$QG58,$QF58+$QG58))</f>
        <v/>
      </c>
      <c r="QJ58" s="164">
        <f>IF(OR($ND58=0,$NJ58=0),"",INDEX('DADOS_FORMAS'!$HU$2:$HZ$81,($NJ58-1)*4+IF($MS58=0,1,IF($MS58&lt;=5,2,IF($MS58=6,3,4))),1+MIN(5,$QH58))&amp;INDEX('DADOS_FORMAS'!$IA$2:$IF$81,($NJ58-1)*4+IF($MS58=0,1,IF($MS58&lt;=5,2,IF($MS58=6,3,4))),1+MIN(5,$QI58))&amp;IF(INDEX('DADOS_FORMAS'!$GI$2:$GI$21,$NJ58)=1,IF(COUNTIF($RK58:$RN58,"Mais Um")&gt;0," · +"&amp;COUNTIF($RK58:$RN58,"Mais Um")&amp;IF(COUNTIF($RK58:$RN58,"Mais Um")&gt;1," alvos"," alvo"),"")&amp;IF(COUNTIF($RK58:$RN58,"Rajada")&gt;0,IF($MS58=0," · 1 tiro"," · "&amp;(MAX(1,$MS58-1)+1)&amp;" tiros"),""),""))</f>
        <v/>
      </c>
      <c r="QK58" s="164">
        <f>IF($ND58=0,"",IF($MS58=0,$NG58&amp;"d6"&amp;IF($OU58&gt;0," − 1 = "&amp;$PD58&amp;"d6"," da básica do nível "&amp;$NE58),$PB58&amp;" − "&amp;$OW58&amp;" + "&amp;$OZ58&amp;" = "&amp;$PC58&amp;" · teto "&amp;4*$MS58&amp;"d8"&amp;IF($OF58=1," · a Forma devolve "&amp;$MS58,"")&amp;IF($PA58&gt;0," · perde "&amp;$PA58,"")))</f>
        <v/>
      </c>
      <c r="QL58" s="164">
        <f>IF($ND58=0,"",IF($MS58=0,"A básica não amplia: os dados dela sobem com o nível",IF($MS58&gt;=$NF58,"Já está na maior Classe que o nível liberou",TEXTJOIN(" · ",TRUE,IF(AND(2&gt;$MS58,2&lt;=$NF58),"2 → "&amp;$PN58&amp;", 6 PE",""),IF(AND(3&gt;$MS58,3&lt;=$NF58),"3 → "&amp;$PO58&amp;", 9 PE",""),IF(AND(4&gt;$MS58,4&lt;=$NF58),"4 → "&amp;$PP58&amp;", 12 PE",""),IF(AND(5&gt;$MS58,5&lt;=$NF58),"5 → "&amp;$PQ58&amp;", 15 PE",""),IF(AND(6&gt;$MS58,6&lt;=$NF58),"6 → "&amp;$PR58&amp;", 18 PE",""),IF(AND(7&gt;$MS58,7&lt;=$NF58),"7 → "&amp;$PS58&amp;", 21 PE","")))))</f>
        <v/>
      </c>
      <c r="QM58" s="164">
        <f>IF(OR($ND58=0,$NO58=0),"",IF($MS58=0,"−1 dado","−"&amp;INDEX($I$2:$N$8,MAX(1,$MS58),MAX(1,$NT58))&amp;" · "&amp;CHOOSE(MAX(1,$NT58),"Leve","Média","Pesada","Leve · Livre","Média · Livre","Pesada · Livre")))</f>
        <v/>
      </c>
      <c r="QN58" s="164">
        <f>IF(OR($ND58=0,$NP58=0),"",IF($MS58=0,"−1 dado","−"&amp;INDEX($I$2:$N$8,MAX(1,$MS58),MAX(1,$NU58))&amp;" · "&amp;CHOOSE(MAX(1,$NU58),"Leve","Média","Pesada","Leve · Livre","Média · Livre","Pesada · Livre")))</f>
        <v/>
      </c>
      <c r="QO58" s="164">
        <f>IF(OR($ND58=0,$NQ58=0),"",IF($MS58=0,"−1 dado","−"&amp;INDEX($I$2:$N$8,MAX(1,$MS58),MAX(1,$NV58))&amp;" · "&amp;CHOOSE(MAX(1,$NV58),"Leve","Média","Pesada","Leve · Livre","Média · Livre","Pesada · Livre")))</f>
        <v/>
      </c>
      <c r="QP58" s="164">
        <f>IF(OR($ND58=0,$NR58=0),"",IF($MS58=0,"−1 dado","−"&amp;INDEX($I$2:$N$8,MAX(1,$MS58),MAX(1,$NW58))&amp;" · "&amp;CHOOSE(MAX(1,$NW58),"Leve","Média","Pesada","Leve · Livre","Média · Livre","Pesada · Livre")))</f>
        <v/>
      </c>
      <c r="QQ58" s="164">
        <f>IF(OR($ND58=0,$NB58=""),"",IF($MS58=0,"não devolve","+"&amp;IF($OI58=1,CEILING($MS58/2,1),$MS58)))</f>
        <v/>
      </c>
      <c r="QR58" s="164">
        <f>IF(OR($ND58=0,$NC58=""),"",IF($MS58=0,"não devolve","+"&amp;IF($OJ58=1,CEILING($MS58/2,1),$MS58)))</f>
        <v/>
      </c>
      <c r="RK58">
        <f>IF($MX58="","",IFERROR(VLOOKUP(SUBSTITUTE(SUBSTITUTE(SUBSTITUTE($MX58,"~","~~"),"*","~*"),"?","~?"),'DADOS_MELHORIAS'!$O$2:$X$113,10,FALSE),$MX58))</f>
        <v/>
      </c>
      <c r="RL58">
        <f>IF($MY58="","",IFERROR(VLOOKUP(SUBSTITUTE(SUBSTITUTE(SUBSTITUTE($MY58,"~","~~"),"*","~*"),"?","~?"),'DADOS_MELHORIAS'!$O$2:$X$113,10,FALSE),$MY58))</f>
        <v/>
      </c>
      <c r="RM58">
        <f>IF($MZ58="","",IFERROR(VLOOKUP(SUBSTITUTE(SUBSTITUTE(SUBSTITUTE($MZ58,"~","~~"),"*","~*"),"?","~?"),'DADOS_MELHORIAS'!$O$2:$X$113,10,FALSE),$MZ58))</f>
        <v/>
      </c>
      <c r="RN58">
        <f>IF($NA58="","",IFERROR(VLOOKUP(SUBSTITUTE(SUBSTITUTE(SUBSTITUTE($NA58,"~","~~"),"*","~*"),"?","~?"),'DADOS_MELHORIAS'!$O$2:$X$113,10,FALSE),$NA58))</f>
        <v/>
      </c>
      <c r="RO58">
        <f>IFERROR(INDEX('DADOS_FORMAS'!$BJ$2:$BJ$21,MATCH(SUBSTITUTE(SUBSTITUTE(SUBSTITUTE($MU58,"~","~~"),"*","~*"),"?","~?"),'DADOS_FORMAS'!$AH$2:$AH$21,0)),"")</f>
        <v/>
      </c>
      <c r="RP58">
        <f>IFERROR(VLOOKUP(SUBSTITUTE(SUBSTITUTE(SUBSTITUTE(IFERROR(INDEX('DADOS_FORMAS'!$AS$2:$AS$21,MATCH(SUBSTITUTE(SUBSTITUTE(SUBSTITUTE($MU58,"~","~~"),"*","~*"),"?","~?"),'DADOS_FORMAS'!$AH$2:$AH$21,0)),""),"~","~~"),"*","~*"),"?","~?"),'DADOS_RESTRICOES'!$M$2:$Q$54,2,FALSE),"")</f>
        <v/>
      </c>
      <c r="RQ58">
        <f>$OK58</f>
        <v/>
      </c>
      <c r="RR58">
        <f>$OL58</f>
        <v/>
      </c>
      <c r="RS58">
        <f>$RP58</f>
        <v/>
      </c>
    </row>
    <row r="59">
      <c r="AV59" s="162" t="inlineStr">
        <is>
          <t>Rápido</t>
        </is>
      </c>
      <c r="AW59" s="162" t="inlineStr">
        <is>
          <t>Tempo</t>
        </is>
      </c>
      <c r="AX59" s="164" t="n">
        <v>3</v>
      </c>
      <c r="AY59" s="164" t="n">
        <v>0</v>
      </c>
      <c r="AZ59" s="164" t="n">
        <v>0</v>
      </c>
      <c r="BA59" s="164" t="n">
        <v>0</v>
      </c>
      <c r="JT59" s="164">
        <f>IF(OR($AW59="",(COUNTIF($EL$2:$EP$2,$AW59)+COUNTIF($QV$2:$QY$2,$AW59))&gt;0),$AV59,"")</f>
        <v/>
      </c>
      <c r="JU59" s="164">
        <f>IF(AND($AX59=1,OR($AW59="",(COUNTIF($EL$2:$EP$2,$AW59)+COUNTIF($QV$2:$QY$2,$AW59))&gt;0)),$AV59,"")</f>
        <v/>
      </c>
      <c r="JZ59" s="164">
        <f>IF(OR($AW59="",(COUNTIF($EL$3:$EP$3,$AW59)+COUNTIF($QV$3:$QY$3,$AW59))&gt;0),$AV59,"")</f>
        <v/>
      </c>
      <c r="KA59" s="164">
        <f>IF(AND($AX59=1,OR($AW59="",(COUNTIF($EL$3:$EP$3,$AW59)+COUNTIF($QV$3:$QY$3,$AW59))&gt;0)),$AV59,"")</f>
        <v/>
      </c>
      <c r="KF59" s="164">
        <f>IF(OR($AW59="",(COUNTIF($EL$4:$EP$4,$AW59)+COUNTIF($QV$4:$QY$4,$AW59))&gt;0),$AV59,"")</f>
        <v/>
      </c>
      <c r="KG59" s="164">
        <f>IF(AND($AX59=1,OR($AW59="",(COUNTIF($EL$4:$EP$4,$AW59)+COUNTIF($QV$4:$QY$4,$AW59))&gt;0)),$AV59,"")</f>
        <v/>
      </c>
      <c r="KL59" s="164">
        <f>IF(OR($AW59="",(COUNTIF($EL$5:$EP$5,$AW59)+COUNTIF($QV$5:$QY$5,$AW59))&gt;0),$AV59,"")</f>
        <v/>
      </c>
      <c r="KM59" s="164">
        <f>IF(AND($AX59=1,OR($AW59="",(COUNTIF($EL$5:$EP$5,$AW59)+COUNTIF($QV$5:$QY$5,$AW59))&gt;0)),$AV59,"")</f>
        <v/>
      </c>
      <c r="KR59" s="164">
        <f>IF(OR($AW59="",(COUNTIF($EL$6:$EP$6,$AW59)+COUNTIF($QV$6:$QY$6,$AW59))&gt;0),$AV59,"")</f>
        <v/>
      </c>
      <c r="KS59" s="164">
        <f>IF(AND($AX59=1,OR($AW59="",(COUNTIF($EL$6:$EP$6,$AW59)+COUNTIF($QV$6:$QY$6,$AW59))&gt;0)),$AV59,"")</f>
        <v/>
      </c>
      <c r="KX59" s="164">
        <f>IF(OR($AW59="",(COUNTIF($EL$7:$EP$7,$AW59)+COUNTIF($QV$7:$QY$7,$AW59))&gt;0),$AV59,"")</f>
        <v/>
      </c>
      <c r="KY59" s="164">
        <f>IF(AND($AX59=1,OR($AW59="",(COUNTIF($EL$7:$EP$7,$AW59)+COUNTIF($QV$7:$QY$7,$AW59))&gt;0)),$AV59,"")</f>
        <v/>
      </c>
      <c r="LD59" s="164">
        <f>IF(OR($AW59="",(COUNTIF($EL$8:$EP$8,$AW59)+COUNTIF($QV$8:$QY$8,$AW59))&gt;0),$AV59,"")</f>
        <v/>
      </c>
      <c r="LE59" s="164">
        <f>IF(AND($AX59=1,OR($AW59="",(COUNTIF($EL$8:$EP$8,$AW59)+COUNTIF($QV$8:$QY$8,$AW59))&gt;0)),$AV59,"")</f>
        <v/>
      </c>
      <c r="LJ59" s="164">
        <f>IF(OR($AW59="",(COUNTIF($EL$9:$EP$9,$AW59)+COUNTIF($QV$9:$QY$9,$AW59))&gt;0),$AV59,"")</f>
        <v/>
      </c>
      <c r="LK59" s="164">
        <f>IF(AND($AX59=1,OR($AW59="",(COUNTIF($EL$9:$EP$9,$AW59)+COUNTIF($QV$9:$QY$9,$AW59))&gt;0)),$AV59,"")</f>
        <v/>
      </c>
      <c r="LP59" s="164">
        <f>IF(OR($AW59="",(COUNTIF($EL$10:$EP$10,$AW59)+COUNTIF($QV$10:$QY$10,$AW59))&gt;0),$AV59,"")</f>
        <v/>
      </c>
      <c r="LQ59" s="164">
        <f>IF(AND($AX59=1,OR($AW59="",(COUNTIF($EL$10:$EP$10,$AW59)+COUNTIF($QV$10:$QY$10,$AW59))&gt;0)),$AV59,"")</f>
        <v/>
      </c>
      <c r="LV59" s="164">
        <f>IF(OR($AW59="",(COUNTIF($EL$11:$EP$11,$AW59)+COUNTIF($QV$11:$QY$11,$AW59))&gt;0),$AV59,"")</f>
        <v/>
      </c>
      <c r="LW59" s="164">
        <f>IF(AND($AX59=1,OR($AW59="",(COUNTIF($EL$11:$EP$11,$AW59)+COUNTIF($QV$11:$QY$11,$AW59))&gt;0)),$AV59,"")</f>
        <v/>
      </c>
      <c r="MB59" s="164">
        <f>IF(OR($AW59="",(COUNTIF($EL$12:$EP$12,$AW59)+COUNTIF($QV$12:$QY$12,$AW59))&gt;0),$AV59,"")</f>
        <v/>
      </c>
      <c r="MC59" s="164">
        <f>IF(AND($AX59=1,OR($AW59="",(COUNTIF($EL$12:$EP$12,$AW59)+COUNTIF($QV$12:$QY$12,$AW59))&gt;0)),$AV59,"")</f>
        <v/>
      </c>
      <c r="MH59" s="164">
        <f>IF(OR($AW59="",(COUNTIF($EL$13:$EP$13,$AW59)+COUNTIF($QV$13:$QY$13,$AW59))&gt;0),$AV59,"")</f>
        <v/>
      </c>
      <c r="MI59" s="164">
        <f>IF(AND($AX59=1,OR($AW59="",(COUNTIF($EL$13:$EP$13,$AW59)+COUNTIF($QV$13:$QY$13,$AW59))&gt;0)),$AV59,"")</f>
        <v/>
      </c>
      <c r="MN59" s="162" t="inlineStr">
        <is>
          <t>Ficha 5 · Especial 4</t>
        </is>
      </c>
      <c r="MO59" s="164" t="n">
        <v>5</v>
      </c>
      <c r="MP59" s="164" t="n">
        <v>1</v>
      </c>
      <c r="MQ59" s="164" t="n">
        <v>12</v>
      </c>
      <c r="MR59" s="162" t="inlineStr">
        <is>
          <t>ESPECIAL 4</t>
        </is>
      </c>
      <c r="MS59" s="164">
        <f>MAX(1,MIN(7,N('INVOCAÇÕES'!$U$949)))</f>
        <v/>
      </c>
      <c r="MT59" s="164">
        <f>'INVOCAÇÕES'!$V$949&amp;""</f>
        <v/>
      </c>
      <c r="MU59" s="164">
        <f>'INVOCAÇÕES'!$U$954&amp;""</f>
        <v/>
      </c>
      <c r="MV59" s="164">
        <f>'INVOCAÇÕES'!$U$955&amp;""</f>
        <v/>
      </c>
      <c r="MW59" s="164">
        <f>'INVOCAÇÕES'!$W$955&amp;""</f>
        <v/>
      </c>
      <c r="MX59" s="164">
        <f>'INVOCAÇÕES'!$V$958&amp;""</f>
        <v/>
      </c>
      <c r="MY59" s="164">
        <f>'INVOCAÇÕES'!$V$959&amp;""</f>
        <v/>
      </c>
      <c r="MZ59" s="164">
        <f>'INVOCAÇÕES'!$V$960&amp;""</f>
        <v/>
      </c>
      <c r="NA59" s="164">
        <f>'INVOCAÇÕES'!$V$961&amp;""</f>
        <v/>
      </c>
      <c r="NB59" s="164">
        <f>'INVOCAÇÕES'!$V$962&amp;""</f>
        <v/>
      </c>
      <c r="NC59" s="164">
        <f>'INVOCAÇÕES'!$V$963&amp;""</f>
        <v/>
      </c>
      <c r="ND59" s="164">
        <f>IF($MT59&lt;&gt;"",1,0)</f>
        <v/>
      </c>
      <c r="NE59" s="164">
        <f>INDEX($FO$2:$FO$13,$MO59)</f>
        <v/>
      </c>
      <c r="NF59" s="164">
        <f>INDEX($FP$2:$FP$13,$MO59)</f>
        <v/>
      </c>
      <c r="NG59" s="164">
        <f>INDEX($FQ$2:$FQ$13,$MO59)</f>
        <v/>
      </c>
      <c r="NH59" s="164">
        <f>INDEX($GB$2:$GB$13,$MO59)</f>
        <v/>
      </c>
      <c r="NI59" s="164">
        <f>INDEX($GC$2:$GC$13,$MO59)</f>
        <v/>
      </c>
      <c r="NJ59" s="164">
        <f>IFERROR(MATCH(SUBSTITUTE(SUBSTITUTE(SUBSTITUTE($MU59,"~","~~"),"*","~*"),"?","~?"),'DADOS_FORMAS'!$FZ$2:$FZ$21,0),0)</f>
        <v/>
      </c>
      <c r="NK59" s="164">
        <f>IFERROR(VLOOKUP(SUBSTITUTE(SUBSTITUTE(SUBSTITUTE($MX59,"~","~~"),"*","~*"),"?","~?"),'DADOS_MELHORIAS'!$AG$2:$AL$113,2,FALSE),"")</f>
        <v/>
      </c>
      <c r="NL59" s="164">
        <f>IFERROR(VLOOKUP(SUBSTITUTE(SUBSTITUTE(SUBSTITUTE($MY59,"~","~~"),"*","~*"),"?","~?"),'DADOS_MELHORIAS'!$AG$2:$AL$113,2,FALSE),"")</f>
        <v/>
      </c>
      <c r="NM59" s="164">
        <f>IFERROR(VLOOKUP(SUBSTITUTE(SUBSTITUTE(SUBSTITUTE($MZ59,"~","~~"),"*","~*"),"?","~?"),'DADOS_MELHORIAS'!$AG$2:$AL$113,2,FALSE),"")</f>
        <v/>
      </c>
      <c r="NN59" s="164">
        <f>IFERROR(VLOOKUP(SUBSTITUTE(SUBSTITUTE(SUBSTITUTE($NA59,"~","~~"),"*","~*"),"?","~?"),'DADOS_MELHORIAS'!$AG$2:$AL$113,2,FALSE),"")</f>
        <v/>
      </c>
      <c r="NO59" s="164">
        <f>IFERROR(VLOOKUP(SUBSTITUTE(SUBSTITUTE(SUBSTITUTE($MX59,"~","~~"),"*","~*"),"?","~?"),'DADOS_MELHORIAS'!$AG$2:$AL$113,3,FALSE),0)</f>
        <v/>
      </c>
      <c r="NP59" s="164">
        <f>IFERROR(VLOOKUP(SUBSTITUTE(SUBSTITUTE(SUBSTITUTE($MY59,"~","~~"),"*","~*"),"?","~?"),'DADOS_MELHORIAS'!$AG$2:$AL$113,3,FALSE),0)</f>
        <v/>
      </c>
      <c r="NQ59" s="164">
        <f>IFERROR(VLOOKUP(SUBSTITUTE(SUBSTITUTE(SUBSTITUTE($MZ59,"~","~~"),"*","~*"),"?","~?"),'DADOS_MELHORIAS'!$AG$2:$AL$113,3,FALSE),0)</f>
        <v/>
      </c>
      <c r="NR59" s="164">
        <f>IFERROR(VLOOKUP(SUBSTITUTE(SUBSTITUTE(SUBSTITUTE($NA59,"~","~~"),"*","~*"),"?","~?"),'DADOS_MELHORIAS'!$AG$2:$AL$113,3,FALSE),0)</f>
        <v/>
      </c>
      <c r="NS59" s="164">
        <f>IF($MS59=0,0,IF($NJ59=0,0,INDEX('DADOS_FORMAS'!$GB$2:$GB$21,$NJ59)))</f>
        <v/>
      </c>
      <c r="NT59" s="164">
        <f>IF(OR($NO59=0,$MS59=0),0,$NO59+3*IF(AND($NK59&lt;&gt;"",COUNTIF(INDEX($RB$2:$RJ$13,$MO59,0),$NK59)&gt;0),1,0))</f>
        <v/>
      </c>
      <c r="NU59" s="164">
        <f>IF(OR($NP59=0,$MS59=0),0,$NP59+3*IF(AND($NL59&lt;&gt;"",COUNTIF(INDEX($RB$2:$RJ$13,$MO59,0),$NL59)&gt;0),1,0))</f>
        <v/>
      </c>
      <c r="NV59" s="164">
        <f>IF(OR($NQ59=0,$MS59=0),0,$NQ59+3*IF(AND($NM59&lt;&gt;"",COUNTIF(INDEX($RB$2:$RJ$13,$MO59,0),$NM59)&gt;0),1,0))</f>
        <v/>
      </c>
      <c r="NW59" s="164">
        <f>IF(OR($NR59=0,$MS59=0),0,$NR59+3*IF(AND($NN59&lt;&gt;"",COUNTIF(INDEX($RB$2:$RJ$13,$MO59,0),$NN59)&gt;0),1,0))</f>
        <v/>
      </c>
      <c r="NX59" s="164">
        <f>IF($NJ59=0,0,IF(INDEX('DADOS_FORMAS'!$GA$2:$GA$21,$NJ59)="",0,IF((COUNTIF(INDEX($EL$2:$EP$13,$MO59,0),INDEX('DADOS_FORMAS'!$GA$2:$GA$21,$NJ59))+COUNTIF(INDEX($QV$2:$QY$13,$MO59,0),INDEX('DADOS_FORMAS'!$GA$2:$GA$21,$NJ59)))=0,1,0)))</f>
        <v/>
      </c>
      <c r="NY59" s="164">
        <f>IF(OR($NO59=0,$NK59=""),0,IF((COUNTIF(INDEX($EL$2:$EP$13,$MO59,0),$NK59)+COUNTIF(INDEX($QV$2:$QY$13,$MO59,0),$NK59))=0,1,0))</f>
        <v/>
      </c>
      <c r="NZ59" s="164">
        <f>IF(OR($NP59=0,$NL59=""),0,IF((COUNTIF(INDEX($EL$2:$EP$13,$MO59,0),$NL59)+COUNTIF(INDEX($QV$2:$QY$13,$MO59,0),$NL59))=0,1,0))</f>
        <v/>
      </c>
      <c r="OA59" s="164">
        <f>IF(OR($NQ59=0,$NM59=""),0,IF((COUNTIF(INDEX($EL$2:$EP$13,$MO59,0),$NM59)+COUNTIF(INDEX($QV$2:$QY$13,$MO59,0),$NM59))=0,1,0))</f>
        <v/>
      </c>
      <c r="OB59" s="164">
        <f>IF(OR($NR59=0,$NN59=""),0,IF((COUNTIF(INDEX($EL$2:$EP$13,$MO59,0),$NN59)+COUNTIF(INDEX($QV$2:$QY$13,$MO59,0),$NN59))=0,1,0))</f>
        <v/>
      </c>
      <c r="OC59" s="164">
        <f>IFERROR(VLOOKUP(SUBSTITUTE(SUBSTITUTE(SUBSTITUTE($MX59,"~","~~"),"*","~*"),"?","~?"),'DADOS_MELHORIAS'!$AG$2:$AL$113,4,FALSE),0)+IFERROR(VLOOKUP(SUBSTITUTE(SUBSTITUTE(SUBSTITUTE($MY59,"~","~~"),"*","~*"),"?","~?"),'DADOS_MELHORIAS'!$AG$2:$AL$113,4,FALSE),0)+IFERROR(VLOOKUP(SUBSTITUTE(SUBSTITUTE(SUBSTITUTE($MZ59,"~","~~"),"*","~*"),"?","~?"),'DADOS_MELHORIAS'!$AG$2:$AL$113,4,FALSE),0)+IFERROR(VLOOKUP(SUBSTITUTE(SUBSTITUTE(SUBSTITUTE($NA59,"~","~~"),"*","~*"),"?","~?"),'DADOS_MELHORIAS'!$AG$2:$AL$113,4,FALSE),0)</f>
        <v/>
      </c>
      <c r="OD59" s="164">
        <f>IFERROR(VLOOKUP(SUBSTITUTE(SUBSTITUTE(SUBSTITUTE($MX59,"~","~~"),"*","~*"),"?","~?"),'DADOS_MELHORIAS'!$AG$2:$AL$113,6,FALSE),0)+IFERROR(VLOOKUP(SUBSTITUTE(SUBSTITUTE(SUBSTITUTE($MY59,"~","~~"),"*","~*"),"?","~?"),'DADOS_MELHORIAS'!$AG$2:$AL$113,6,FALSE),0)+IFERROR(VLOOKUP(SUBSTITUTE(SUBSTITUTE(SUBSTITUTE($MZ59,"~","~~"),"*","~*"),"?","~?"),'DADOS_MELHORIAS'!$AG$2:$AL$113,6,FALSE),0)+IFERROR(VLOOKUP(SUBSTITUTE(SUBSTITUTE(SUBSTITUTE($NA59,"~","~~"),"*","~*"),"?","~?"),'DADOS_MELHORIAS'!$AG$2:$AL$113,6,FALSE),0)+IFERROR(N(AND(INDEX('DADOS_FORMAS'!$AO$2:$AO$21,MATCH(SUBSTITUTE(SUBSTITUTE(SUBSTITUTE($MU59,"~","~~"),"*","~*"),"?","~?"),'DADOS_FORMAS'!$AH$2:$AH$21,0))="Acerto",$OH59=1)),0)</f>
        <v/>
      </c>
      <c r="OE59" s="164">
        <f>TEXTJOIN(", ",TRUE,IF(IFERROR(VLOOKUP(SUBSTITUTE(SUBSTITUTE(SUBSTITUTE($MX59,"~","~~"),"*","~*"),"?","~?"),'DADOS_MELHORIAS'!$AG$2:$AL$113,5,FALSE),0)=1,$MX59,""),IF(IFERROR(VLOOKUP(SUBSTITUTE(SUBSTITUTE(SUBSTITUTE($MY59,"~","~~"),"*","~*"),"?","~?"),'DADOS_MELHORIAS'!$AG$2:$AL$113,5,FALSE),0)=1,$MY59,""),IF(IFERROR(VLOOKUP(SUBSTITUTE(SUBSTITUTE(SUBSTITUTE($MZ59,"~","~~"),"*","~*"),"?","~?"),'DADOS_MELHORIAS'!$AG$2:$AL$113,5,FALSE),0)=1,$MZ59,""),IF(IFERROR(VLOOKUP(SUBSTITUTE(SUBSTITUTE(SUBSTITUTE($NA59,"~","~~"),"*","~*"),"?","~?"),'DADOS_MELHORIAS'!$AG$2:$AL$113,5,FALSE),0)=1,$NA59,""))</f>
        <v/>
      </c>
      <c r="OF59" s="164">
        <f>IF($NJ59=0,0,INDEX('DADOS_FORMAS'!$GC$2:$GC$21,$NJ59))</f>
        <v/>
      </c>
      <c r="OG59" s="164">
        <f>IF($NJ59=0,0,INDEX('DADOS_FORMAS'!$GD$2:$GD$21,$NJ59))</f>
        <v/>
      </c>
      <c r="OH59" s="164">
        <f>IF($NJ59=0,0,INDEX('DADOS_FORMAS'!$GF$2:$GF$21,$NJ59))</f>
        <v/>
      </c>
      <c r="OI59" s="164">
        <f>IFERROR(VLOOKUP(SUBSTITUTE(SUBSTITUTE(SUBSTITUTE($NB59,"~","~~"),"*","~*"),"?","~?"),'DADOS_RESTRICOES'!$M$2:$Q$54,3,FALSE),0)</f>
        <v/>
      </c>
      <c r="OJ59" s="164">
        <f>IFERROR(VLOOKUP(SUBSTITUTE(SUBSTITUTE(SUBSTITUTE($NC59,"~","~~"),"*","~*"),"?","~?"),'DADOS_RESTRICOES'!$M$2:$Q$54,3,FALSE),0)</f>
        <v/>
      </c>
      <c r="OK59" s="164">
        <f>IFERROR(VLOOKUP(SUBSTITUTE(SUBSTITUTE(SUBSTITUTE($NB59,"~","~~"),"*","~*"),"?","~?"),'DADOS_RESTRICOES'!$M$2:$Q$54,2,FALSE),"")</f>
        <v/>
      </c>
      <c r="OL59" s="164">
        <f>IFERROR(VLOOKUP(SUBSTITUTE(SUBSTITUTE(SUBSTITUTE($NC59,"~","~~"),"*","~*"),"?","~?"),'DADOS_RESTRICOES'!$M$2:$Q$54,2,FALSE),"")</f>
        <v/>
      </c>
      <c r="OM59" s="164">
        <f>COUNTIF($NS59:$NW59,1)</f>
        <v/>
      </c>
      <c r="ON59" s="164">
        <f>COUNTIF($NS59:$NW59,2)</f>
        <v/>
      </c>
      <c r="OO59" s="164">
        <f>COUNTIF($NS59:$NW59,3)</f>
        <v/>
      </c>
      <c r="OP59" s="164">
        <f>COUNTIF($NS59:$NW59,4)</f>
        <v/>
      </c>
      <c r="OQ59" s="164">
        <f>COUNTIF($NS59:$NW59,5)</f>
        <v/>
      </c>
      <c r="OR59" s="164">
        <f>COUNTIF($NS59:$NW59,6)</f>
        <v/>
      </c>
      <c r="OS59" s="164">
        <f>COUNTIF($OI59:$OJ59,1)+IF(IFERROR(INDEX('DADOS_FORMAS'!$AS$2:$AS$21,MATCH(SUBSTITUTE(SUBSTITUTE(SUBSTITUTE($MU59,"~","~~"),"*","~*"),"?","~?"),'DADOS_FORMAS'!$AH$2:$AH$21,0)),"")="",0,IFERROR(N(VLOOKUP(SUBSTITUTE(SUBSTITUTE(SUBSTITUTE(IFERROR(INDEX('DADOS_FORMAS'!$AS$2:$AS$21,MATCH(SUBSTITUTE(SUBSTITUTE(SUBSTITUTE($MU59,"~","~~"),"*","~*"),"?","~?"),'DADOS_FORMAS'!$AH$2:$AH$21,0)),""),"~","~~"),"*","~*"),"?","~?"),'DADOS_RESTRICOES'!$M$2:$Q$54,3,FALSE)=1),0))</f>
        <v/>
      </c>
      <c r="OT59" s="164">
        <f>COUNTIF($OI59:$OJ59,2)+IF(IFERROR(INDEX('DADOS_FORMAS'!$AS$2:$AS$21,MATCH(SUBSTITUTE(SUBSTITUTE(SUBSTITUTE($MU59,"~","~~"),"*","~*"),"?","~?"),'DADOS_FORMAS'!$AH$2:$AH$21,0)),"")="",0,IFERROR(N(VLOOKUP(SUBSTITUTE(SUBSTITUTE(SUBSTITUTE(IFERROR(INDEX('DADOS_FORMAS'!$AS$2:$AS$21,MATCH(SUBSTITUTE(SUBSTITUTE(SUBSTITUTE($MU59,"~","~~"),"*","~*"),"?","~?"),'DADOS_FORMAS'!$AH$2:$AH$21,0)),""),"~","~~"),"*","~*"),"?","~?"),'DADOS_RESTRICOES'!$M$2:$Q$54,3,FALSE)=2),0))</f>
        <v/>
      </c>
      <c r="OU59" s="164">
        <f>COUNTIF($MX59:$NA59,"?*")</f>
        <v/>
      </c>
      <c r="OV59" s="164">
        <f>COUNTIF($NB59:$NC59,"?*")+$OF59</f>
        <v/>
      </c>
      <c r="OW59" s="164">
        <f>IF($MS59=0,0,SUMPRODUCT($OM59:$OR59,INDEX($I$2:$N$8,MAX(1,$MS59),0)))</f>
        <v/>
      </c>
      <c r="OX59" s="164">
        <f>IF($MS59=0,0,$OS59*CEILING($MS59/2,1)+$OT59*$MS59)</f>
        <v/>
      </c>
      <c r="OY59" s="164">
        <f>MIN(2*$MS59,$OX59)</f>
        <v/>
      </c>
      <c r="OZ59" s="164">
        <f>MIN($OY59,$OW59-IF($NS59=0,0,INDEX($I$2:$N$8,MAX(1,$MS59),$NS59)))</f>
        <v/>
      </c>
      <c r="PA59" s="164">
        <f>$OY59-$OZ59</f>
        <v/>
      </c>
      <c r="PB59" s="164">
        <f>IF($MS59=0,0,INDEX($P$2:$P$8,MAX(1,$MS59)))</f>
        <v/>
      </c>
      <c r="PC59" s="164">
        <f>$PB59-$OW59+$OZ59</f>
        <v/>
      </c>
      <c r="PD59" s="164">
        <f>IF($MS59=0,MAX(0,$NG59-IF(AND($OU59&gt;0,COUNTIF($NB59:$NC59,"?*")=0),1,0)),MAX(0,$PC59))</f>
        <v/>
      </c>
      <c r="PE59" s="164">
        <f>IF($MS59=0,0,(IF(COUNTIF($RK59:$RN59,"Salto")&gt;0,1,0)+IF(COUNTIF($RK59:$RN59,"Queima")&gt;0,1,0)+IF(COUNTIF($RK59:$RN59,"Estilhaço")&gt;0,1,0))*FLOOR($PD59/2,1))</f>
        <v/>
      </c>
      <c r="PF59" s="164">
        <f>MAX(0,2-SUMPRODUCT($OM59:$OR59,$I$2:$N$2)+MIN(2,$OS59*1+$OT59*1,SUMPRODUCT($OM59:$OR59,$I$2:$N$2)-IF($NS59=0,0,INDEX($I$2:$N$2,1,$NS59))))</f>
        <v/>
      </c>
      <c r="PG59" s="164">
        <f>MAX(0,4-SUMPRODUCT($OM59:$OR59,$I$3:$N$3)+MIN(4,$OS59*1+$OT59*2,SUMPRODUCT($OM59:$OR59,$I$3:$N$3)-IF($NS59=0,0,INDEX($I$3:$N$3,1,$NS59))))</f>
        <v/>
      </c>
      <c r="PH59" s="164">
        <f>MAX(0,6-SUMPRODUCT($OM59:$OR59,$I$4:$N$4)+MIN(6,$OS59*2+$OT59*3,SUMPRODUCT($OM59:$OR59,$I$4:$N$4)-IF($NS59=0,0,INDEX($I$4:$N$4,1,$NS59))))</f>
        <v/>
      </c>
      <c r="PI59" s="164">
        <f>MAX(0,9-SUMPRODUCT($OM59:$OR59,$I$5:$N$5)+MIN(8,$OS59*2+$OT59*4,SUMPRODUCT($OM59:$OR59,$I$5:$N$5)-IF($NS59=0,0,INDEX($I$5:$N$5,1,$NS59))))</f>
        <v/>
      </c>
      <c r="PJ59" s="164">
        <f>MAX(0,11-SUMPRODUCT($OM59:$OR59,$I$6:$N$6)+MIN(10,$OS59*3+$OT59*5,SUMPRODUCT($OM59:$OR59,$I$6:$N$6)-IF($NS59=0,0,INDEX($I$6:$N$6,1,$NS59))))</f>
        <v/>
      </c>
      <c r="PK59" s="164">
        <f>MAX(0,13-SUMPRODUCT($OM59:$OR59,$I$7:$N$7)+MIN(12,$OS59*3+$OT59*6,SUMPRODUCT($OM59:$OR59,$I$7:$N$7)-IF($NS59=0,0,INDEX($I$7:$N$7,1,$NS59))))</f>
        <v/>
      </c>
      <c r="PL59" s="164">
        <f>MAX(0,16-SUMPRODUCT($OM59:$OR59,$I$8:$N$8)+MIN(14,$OS59*4+$OT59*7,SUMPRODUCT($OM59:$OR59,$I$8:$N$8)-IF($NS59=0,0,INDEX($I$8:$N$8,1,$NS59))))</f>
        <v/>
      </c>
      <c r="PM59" s="164">
        <f>IF($OG59=2,3*$PF59&amp;" de vida temp.",IF($OG59=3,"sem dano",IF($PF59=0,IF($OG59=1,"sem cura","sem dano"),IF($OG59=1,"cura ","")&amp;$PF59&amp;"d8")))</f>
        <v/>
      </c>
      <c r="PN59" s="164">
        <f>IF($OG59=2,3*$PG59&amp;" de vida temp.",IF($OG59=3,"sem dano",IF($PG59=0,IF($OG59=1,"sem cura","sem dano"),IF($OG59=1,"cura ","")&amp;$PG59&amp;"d8")))</f>
        <v/>
      </c>
      <c r="PO59" s="164">
        <f>IF($OG59=2,3*$PH59&amp;" de vida temp.",IF($OG59=3,"sem dano",IF($PH59=0,IF($OG59=1,"sem cura","sem dano"),IF($OG59=1,"cura ","")&amp;$PH59&amp;"d8")))</f>
        <v/>
      </c>
      <c r="PP59" s="164">
        <f>IF($OG59=2,3*$PI59&amp;" de vida temp.",IF($OG59=3,"sem dano",IF($PI59=0,IF($OG59=1,"sem cura","sem dano"),IF($OG59=1,"cura ","")&amp;$PI59&amp;"d8")))</f>
        <v/>
      </c>
      <c r="PQ59" s="164">
        <f>IF($OG59=2,3*$PJ59&amp;" de vida temp.",IF($OG59=3,"sem dano",IF($PJ59=0,IF($OG59=1,"sem cura","sem dano"),IF($OG59=1,"cura ","")&amp;$PJ59&amp;"d8")))</f>
        <v/>
      </c>
      <c r="PR59" s="164">
        <f>IF($OG59=2,3*$PK59&amp;" de vida temp.",IF($OG59=3,"sem dano",IF($PK59=0,IF($OG59=1,"sem cura","sem dano"),IF($OG59=1,"cura ","")&amp;$PK59&amp;"d8")))</f>
        <v/>
      </c>
      <c r="PS59" s="164">
        <f>IF($OG59=2,3*$PL59&amp;" de vida temp.",IF($OG59=3,"sem dano",IF($PL59=0,IF($OG59=1,"sem cura","sem dano"),IF($OG59=1,"cura ","")&amp;$PL59&amp;"d8")))</f>
        <v/>
      </c>
      <c r="PT59" s="164">
        <f>IF($ND59=0,"",TEXTJOIN(" · ",TRUE,IF($ND59=0,"",TEXTJOIN(" · ",TRUE,IF($ND59=0,"",TEXTJOIN(" · ",TRUE,IF($MQ59&gt;$NE59,"Este lugar abre no nível "&amp;$MQ59,""),IF($MS59&gt;$NF59,"Classe "&amp;$MS59&amp;": o nível "&amp;$NE59&amp;" libera até a "&amp;$NF59,""),IF($NX59=1,"A Forma "&amp;$MU59&amp;" pede "&amp;INDEX('DADOS_FORMAS'!$GA$2:$GA$21,$NJ59)&amp;" aberta",""),IF(AND($MS59=0,$NJ59&gt;0,IF($NJ59=0,0,INDEX('DADOS_FORMAS'!$GJ$2:$GJ$21,$NJ59))=0),$MU59&amp;" não existe na Classe 0",""),IF($NY59=1,"Família Fechada: "&amp;$MX59,""),IF($NZ59=1,"Família Fechada: "&amp;$MY59,""),IF($OA59=1,"Família Fechada: "&amp;$MZ59,""),IF($OB59=1,"Família Fechada: "&amp;$NA59,""),IF(AND($MS59&gt;0,$OU59&gt;INDEX($O$2:$O$8,MAX(1,$MS59))),$OU59&amp;" Melhorias: a Classe "&amp;$MS59&amp;" aceita "&amp;INDEX($O$2:$O$8,MAX(1,$MS59)),""),IF(AND($MS59=0,$OU59&gt;1),"A básica aceita uma Melhoria",""),IF(AND($MS59=0,COUNTIF($NO59:$NR59,"&gt;1")&gt;0),"A básica só aceita Melhoria Leve",""),IF(AND($MS59&gt;0,$OV59&gt;2),$OV59&amp;" Restrições"&amp;IF($OF59=1,", contando a que a Forma "&amp;$MU59&amp;" já traz","")&amp;": o limite é 2",""),IF(AND($MS59=0,COUNTIF($NB59:$NC59,"?*")&gt;1),"A básica aceita uma Restrição Leve",""),IF(AND($MS59=0,COUNTIF($OI59:$OJ59,2)&gt;0),"A básica só aceita Restrição Leve",""),IF(AND($MS59&gt;0,$PC59&lt;0),"Orçamento estourado: faltam "&amp;(-$PC59)&amp;IF($PC59&lt;-1," pontos"," ponto"),""),IF(IFERROR(VLOOKUP(SUBSTITUTE(SUBSTITUTE(SUBSTITUTE($NB59,"~","~~"),"*","~*"),"?","~?"),'DADOS_RESTRICOES'!$M$2:$Q$54,4,FALSE),0)+IFERROR(VLOOKUP(SUBSTITUTE(SUBSTITUTE(SUBSTITUTE($NC59,"~","~~"),"*","~*"),"?","~?"),'DADOS_RESTRICOES'!$M$2:$Q$54,4,FALSE),0)&gt;1,$OK59&amp;" e "&amp;$OL59&amp;" são as duas de frequência",""),IF(AND((COUNTIF($RK59:$RN59,"Rápido")+COUNTIF($OK59:$OL59,"Rápido"))&gt;0,(COUNTIF($MX59:$NA59,"Atrasar")+COUNTIF($OK59:$OL59,"Atrasar"))&gt;0),"Rápido não entra com Atrasar",""),IF(AND((COUNTIF($RK59:$RN59,"Reação")+COUNTIF($OK59:$OL59,"Reação"))&gt;0,(COUNTIF($RK59:$RN59,"Rápido")+COUNTIF($OK59:$OL59,"Rápido"))&gt;0),"Reação não entra com Rápido",""),IF(AND((COUNTIF($RK59:$RN59,"Reação")+COUNTIF($OK59:$OL59,"Reação"))&gt;0,(COUNTIF($RK59:$RN59,"Armado")+COUNTIF($OK59:$OL59,"Armado"))&gt;0),"Reação não entra com Armado",""),IF(AND((COUNTIF($RK59:$RN59,"Reação")+COUNTIF($OK59:$OL59,"Reação"))&gt;0,(COUNTIF($MX59:$NA59,"Atrasar")+COUNTIF($OK59:$OL59,"Atrasar"))&gt;0),"Reação não entra com Atrasar",""),IF(AND((COUNTIF($RK59:$RN59,"Reação")+COUNTIF($OK59:$OL59,"Reação"))&gt;0,(COUNTIF($MX59:$NA59,"Parado")+COUNTIF($OK59:$OL59,"Parado"))&gt;0),"Reação não entra com Parado",""),IF(AND((COUNTIF($MX59:$NA59,"Atrasar")+COUNTIF($OK59:$OL59,"Atrasar"))&gt;0,(COUNTIF($MX59:$NA59,"Parado")+COUNTIF($OK59:$OL59,"Parado"))&gt;0),"Atrasar não entra com Parado",""),IF(AND((COUNTIF($RK59:$RN59,"Armado")+COUNTIF($OK59:$OL59,"Armado"))&gt;0,(COUNTIF($MX59:$NA59,"Carregar")+COUNTIF($OK59:$OL59,"Carregar"))&gt;0),"Armado não entra com Carregar",""),IF(AND(COUNTIF($OK59:$OL59,"Corpo a Corpo")&gt;0,$OF59=0,OR($RO59="Cone",$RO59="Linha")),"Corpo a Corpo não entra em "&amp;$MU59,""),IF(AND(COUNTIF($OK59:$OL59,"Corpo a Corpo")&gt;0,$RP59="Corpo a Corpo"),"A Forma "&amp;$MU59&amp;" já traz o Corpo a Corpo",""),IF(AND(COUNTIF($OK59:$OL59,"Tudo ou Nada")&gt;0,$OH59=0),"Tudo ou Nada só entra em habilidade de Teste de Resistência",""),IF(AND(COUNTIF($RK59:$RN59,"Inescapável")&gt;0,OR($OU59&gt;1,$OV59&gt;0)),"Inescapável não aceita outra peça",""),IF(AND($MS59&gt;0,$PD59*IF(COUNTIF($RK59:$RN59,"Remate")&gt;0,1.25,1)+$PE59&gt;4*$MS59),($PD59*IF(COUNTIF($RK59:$RN59,"Remate")&gt;0,1.25,1)+$PE59)&amp;" dados somando repetições"&amp;IF(COUNTIF($RK59:$RN59,"Remate")&gt;0," e o Remate","")&amp;": o teto da Classe "&amp;$MS59&amp;" é "&amp;4*$MS59,""))),IF(AND($MX59&lt;&gt;"",COUNTIF('DADOS_MELHORIAS'!$O$2:$O$113,SUBSTITUTE(SUBSTITUTE(SUBSTITUTE($MX59,"~","~~"),"*","~*"),"?","~?"))=0),"Melhoria não cadastrada ou com erro: "&amp;$MX59,""),IF(AND($MY59&lt;&gt;"",COUNTIF('DADOS_MELHORIAS'!$O$2:$O$113,SUBSTITUTE(SUBSTITUTE(SUBSTITUTE($MY59,"~","~~"),"*","~*"),"?","~?"))=0),"Melhoria não cadastrada ou com erro: "&amp;$MY59,""),IF(AND($MZ59&lt;&gt;"",COUNTIF('DADOS_MELHORIAS'!$O$2:$O$113,SUBSTITUTE(SUBSTITUTE(SUBSTITUTE($MZ59,"~","~~"),"*","~*"),"?","~?"))=0),"Melhoria não cadastrada ou com erro: "&amp;$MZ59,""),IF(AND($NA59&lt;&gt;"",COUNTIF('DADOS_MELHORIAS'!$O$2:$O$113,SUBSTITUTE(SUBSTITUTE(SUBSTITUTE($NA59,"~","~~"),"*","~*"),"?","~?"))=0),"Melhoria não cadastrada ou com erro: "&amp;$NA59,""),IF(AND($NB59&lt;&gt;"",COUNTIF('DADOS_RESTRICOES'!$M$2:$M$54,SUBSTITUTE(SUBSTITUTE(SUBSTITUTE($NB59,"~","~~"),"*","~*"),"?","~?"))=0),"Restrição não cadastrada ou com erro: "&amp;$NB59,""),IF(AND($NC59&lt;&gt;"",COUNTIF('DADOS_RESTRICOES'!$M$2:$M$54,SUBSTITUTE(SUBSTITUTE(SUBSTITUTE($NC59,"~","~~"),"*","~*"),"?","~?"))=0),"Restrição não cadastrada ou com erro: "&amp;$NC59,""))),IF(AND($MU59&lt;&gt;"",COUNTIF('DADOS_FORMAS'!$AH$2:$AH$21,SUBSTITUTE(SUBSTITUTE(SUBSTITUTE($MU59,"~","~~"),"*","~*"),"?","~?"))=0),"Forma não cadastrada ou com erro: "&amp;$MU59,""),IF(AND(IFERROR(INDEX('DADOS_FORMAS'!$AS$2:$AS$21,MATCH(SUBSTITUTE(SUBSTITUTE(SUBSTITUTE($MU59,"~","~~"),"*","~*"),"?","~?"),'DADOS_FORMAS'!$AH$2:$AH$21,0)),"")&lt;&gt;"",OR(IFERROR(VLOOKUP(SUBSTITUTE(SUBSTITUTE(SUBSTITUTE(IFERROR(INDEX('DADOS_FORMAS'!$AS$2:$AS$21,MATCH(SUBSTITUTE(SUBSTITUTE(SUBSTITUTE($MU59,"~","~~"),"*","~*"),"?","~?"),'DADOS_FORMAS'!$AH$2:$AH$21,0)),""),"~","~~"),"*","~*"),"?","~?"),'DADOS_RESTRICOES'!$M$2:$Q$54,2,FALSE),"")=$OK59,IFERROR(VLOOKUP(SUBSTITUTE(SUBSTITUTE(SUBSTITUTE(IFERROR(INDEX('DADOS_FORMAS'!$AS$2:$AS$21,MATCH(SUBSTITUTE(SUBSTITUTE(SUBSTITUTE($MU59,"~","~~"),"*","~*"),"?","~?"),'DADOS_FORMAS'!$AH$2:$AH$21,0)),""),"~","~~"),"*","~*"),"?","~?"),'DADOS_RESTRICOES'!$M$2:$Q$54,2,FALSE),"")=$OL59)),"Restrição repetida, contando a embutida",""),IF(IF(IFERROR(INDEX('DADOS_FORMAS'!$AS$2:$AS$21,MATCH(SUBSTITUTE(SUBSTITUTE(SUBSTITUTE($MU59,"~","~~"),"*","~*"),"?","~?"),'DADOS_FORMAS'!$AH$2:$AH$21,0)),"")="",0,IFERROR(N(VLOOKUP(SUBSTITUTE(SUBSTITUTE(SUBSTITUTE(IFERROR(INDEX('DADOS_FORMAS'!$AS$2:$AS$21,MATCH(SUBSTITUTE(SUBSTITUTE(SUBSTITUTE($MU59,"~","~~"),"*","~*"),"?","~?"),'DADOS_FORMAS'!$AH$2:$AH$21,0)),""),"~","~~"),"*","~*"),"?","~?"),'DADOS_RESTRICOES'!$M$2:$Q$54,4,FALSE)=1),0))+IF($NB59="",0,IFERROR(N(VLOOKUP(SUBSTITUTE(SUBSTITUTE(SUBSTITUTE($NB59,"~","~~"),"*","~*"),"?","~?"),'DADOS_RESTRICOES'!$M$2:$Q$54,4,FALSE)=1),0))+IF($NC59="",0,IFERROR(N(VLOOKUP(SUBSTITUTE(SUBSTITUTE(SUBSTITUTE($NC59,"~","~~"),"*","~*"),"?","~?"),'DADOS_RESTRICOES'!$M$2:$Q$54,4,FALSE)=1),0))&gt;1,"Duas Restrições de frequência, contando a embutida",""),IF(AND(IFERROR(VLOOKUP(SUBSTITUTE(SUBSTITUTE(SUBSTITUTE(IFERROR(INDEX('DADOS_FORMAS'!$AS$2:$AS$21,MATCH(SUBSTITUTE(SUBSTITUTE(SUBSTITUTE($MU59,"~","~~"),"*","~*"),"?","~?"),'DADOS_FORMAS'!$AH$2:$AH$21,0)),""),"~","~~"),"*","~*"),"?","~?"),'DADOS_RESTRICOES'!$M$2:$Q$54,2,FALSE),"")="Tudo ou Nada",$OH59=0),"Tudo ou Nada exige TR",""),IF(AND(IFERROR(VLOOKUP(SUBSTITUTE(SUBSTITUTE(SUBSTITUTE(IFERROR(INDEX('DADOS_FORMAS'!$AS$2:$AS$21,MATCH(SUBSTITUTE(SUBSTITUTE(SUBSTITUTE($MU59,"~","~~"),"*","~*"),"?","~?"),'DADOS_FORMAS'!$AH$2:$AH$21,0)),""),"~","~~"),"*","~*"),"?","~?"),'DADOS_RESTRICOES'!$M$2:$Q$54,2,FALSE),"")="Corpo a Corpo",OR($RO59="Cone",$RO59="Linha")),"Corpo a Corpo não entra em Cone/Linha","")))</f>
        <v/>
      </c>
      <c r="PU59" s="164">
        <f>IF($PT59="",0,(LEN($PT59)-LEN(SUBSTITUTE($PT59," · ","")))/3+1)</f>
        <v/>
      </c>
      <c r="PV59" s="164">
        <f>IF($ND59=0,"",TEXTJOIN(" · ",TRUE,IF($OX59&gt;2*$MS59,"A devolução parou no teto de "&amp;2*$MS59,""),IF($PA59&gt;0,"Devolução perdida: "&amp;$PA59&amp;IF($PA59&gt;1," pontos"," ponto")&amp;" sem Melhoria para pagar",""),IF(AND($OC59&gt;0,AND($MS59&gt;0,$OG59=0),$PD59=0),"Controle sem dano: uma rodada a mais e CD +2",""),IF(AND($OC59&gt;0,AND($MS59&gt;0,$OG59=0),$PD59&gt;0,$PD59&lt;=$MS59),"Controle com saldo até a Classe: uma rodada a mais",""),IF(AND($MS59&gt;0,$OE59&lt;&gt;""),"Efeito de "&amp;$OE59&amp;" pela Classe "&amp;MAX(1,$MS59-1),"")))</f>
        <v/>
      </c>
      <c r="PW59" s="164">
        <f>IF($PV59="",0,(LEN($PV59)-LEN(SUBSTITUTE($PV59," · ","")))/3+1)</f>
        <v/>
      </c>
      <c r="PX59" s="164">
        <f>IF($ND59=0,IF($OU59+COUNTIF($NB59:$NC59,"?*")&gt;0,"Dê um nome",""),IF($PU59&gt;0,"⚠ "&amp;$PU59&amp;IF($PU59&gt;1," erros"," erro"),IF($PW59&gt;0,"! "&amp;$PW59&amp;IF($PW59&gt;1," avisos"," aviso"),"Na regra")))</f>
        <v/>
      </c>
      <c r="PY59" s="164">
        <f>IF($ND59=0,"",IF($PU59+$PW59=0,"Dentro das regras que a ficha confere",$PT59&amp;IF(AND($PU59&gt;0,$PW59&gt;0)," · ","")&amp;$PV59))</f>
        <v/>
      </c>
      <c r="PZ59" s="164">
        <f>IF($MQ59&gt;$NE59,$MR59&amp;" · ABRE NO NÍVEL "&amp;$MQ59,$MR59)</f>
        <v/>
      </c>
      <c r="QA59" s="164">
        <f>IF($ND59=0,"",IF($MS59=0,"Sem PE",3*$MS59&amp;" PE"))</f>
        <v/>
      </c>
      <c r="QB59" s="164">
        <f>IF($ND59=0,"",IF($MS59=0,"A atuação básica dela",IF(COUNTIF($RQ59:$RS59,"Atrasar")&gt;0,"Sua Ação Completa",IF(COUNTIF($RK59:$RN59,"Rápido")&gt;0,"Sua Bônus",IF(COUNTIF($RK59:$RN59,"Reação")&gt;0,"Sua Reação","Sua Padrão")))&amp;" + a básica dela"&amp;IF(COUNTIF($RK59:$RN59,"Reação")&gt;0," e a coletiva","")&amp;IF(COUNTIF($RQ59:$RS59,"Carregar")&gt;0," · em dois turnos","")))</f>
        <v/>
      </c>
      <c r="QC59" s="164">
        <f>IF($MW59&lt;&gt;"",$MW59,IF($NJ59=0,"",INDEX('DADOS_FORMAS'!$GE$2:$GE$21,$NJ59)))</f>
        <v/>
      </c>
      <c r="QD59" s="164">
        <f>IF(OR($ND59=0,$NJ59=0),"",IF(COUNTIF($RK59:$RN59,"Inescapável")&gt;0,"Automático",IF($QC59="Ataque",IF($NH59="","Ataque","Ataque "&amp;IF(($NH59+2*IF(COUNTIF($RK59:$RN59,"Precisão")&gt;0,1,0))&gt;=0,"+","−")&amp;ABS(($NH59+2*IF(COUNTIF($RK59:$RN59,"Precisão")&gt;0,1,0))))&amp;IF($OD59&gt;0," · TR"&amp;IF($NI59="",""," CD "&amp;$NI59),""),IF(LEFT($QC59,2)="TR",$QC59&amp;IF($NI59="",""," · CD "&amp;$NI59)&amp;IF(COUNTIF($RK59:$RN59,"Certeiro")&gt;0," · metade",""),"Sem rolagem"))))</f>
        <v/>
      </c>
      <c r="QE59" s="164">
        <f>IF(OR($ND59=0,$NJ59=0),"",IF($MS59=0,IF(OR($OG59&gt;=1,$PD59=0),"Sem dano",$PD59&amp;"d6"&amp;IF($MV59="",""," "&amp;$MV59)),IF(OR($OG59&gt;=1,$PD59=0),UPPER(LEFT(INDEX($PM59:$PS59,1,MAX(1,$MS59)),1))&amp;MID(INDEX($PM59:$PS59,1,MAX(1,$MS59)),2,99),UPPER(LEFT(INDEX($PM59:$PS59,1,MAX(1,$MS59)),1))&amp;MID(INDEX($PM59:$PS59,1,MAX(1,$MS59)),2,99)&amp;IF($MV59="",""," "&amp;$MV59)&amp;IF($PE59&gt;0," · +"&amp;$PE59&amp;"d8",""))))</f>
        <v/>
      </c>
      <c r="QF59" s="164">
        <f>COUNTIF($RK59:$RN59,"Longe")+3*COUNTIF($RK59:$RN59,"Muito Longe")</f>
        <v/>
      </c>
      <c r="QG59" s="164">
        <f>COUNTIF($RK59:$RN59,"Maior")+3*COUNTIF($RK59:$RN59,"Muito Maior")</f>
        <v/>
      </c>
      <c r="QH59" s="164">
        <f>IF($NJ59=0,0,CHOOSE(1+INDEX('DADOS_FORMAS'!$GG$2:$GG$21,$NJ59),0,$QF59,$QG59,$QF59+$QG59))</f>
        <v/>
      </c>
      <c r="QI59" s="164">
        <f>IF($NJ59=0,0,CHOOSE(1+INDEX('DADOS_FORMAS'!$GH$2:$GH$21,$NJ59),0,$QF59,$QG59,$QF59+$QG59))</f>
        <v/>
      </c>
      <c r="QJ59" s="164">
        <f>IF(OR($ND59=0,$NJ59=0),"",INDEX('DADOS_FORMAS'!$HU$2:$HZ$81,($NJ59-1)*4+IF($MS59=0,1,IF($MS59&lt;=5,2,IF($MS59=6,3,4))),1+MIN(5,$QH59))&amp;INDEX('DADOS_FORMAS'!$IA$2:$IF$81,($NJ59-1)*4+IF($MS59=0,1,IF($MS59&lt;=5,2,IF($MS59=6,3,4))),1+MIN(5,$QI59))&amp;IF(INDEX('DADOS_FORMAS'!$GI$2:$GI$21,$NJ59)=1,IF(COUNTIF($RK59:$RN59,"Mais Um")&gt;0," · +"&amp;COUNTIF($RK59:$RN59,"Mais Um")&amp;IF(COUNTIF($RK59:$RN59,"Mais Um")&gt;1," alvos"," alvo"),"")&amp;IF(COUNTIF($RK59:$RN59,"Rajada")&gt;0,IF($MS59=0," · 1 tiro"," · "&amp;(MAX(1,$MS59-1)+1)&amp;" tiros"),""),""))</f>
        <v/>
      </c>
      <c r="QK59" s="164">
        <f>IF($ND59=0,"",IF($MS59=0,$NG59&amp;"d6"&amp;IF($OU59&gt;0," − 1 = "&amp;$PD59&amp;"d6"," da básica do nível "&amp;$NE59),$PB59&amp;" − "&amp;$OW59&amp;" + "&amp;$OZ59&amp;" = "&amp;$PC59&amp;" · teto "&amp;4*$MS59&amp;"d8"&amp;IF($OF59=1," · a Forma devolve "&amp;$MS59,"")&amp;IF($PA59&gt;0," · perde "&amp;$PA59,"")))</f>
        <v/>
      </c>
      <c r="QL59" s="164">
        <f>IF($ND59=0,"",IF($MS59=0,"A básica não amplia: os dados dela sobem com o nível",IF($MS59&gt;=$NF59,"Já está na maior Classe que o nível liberou",TEXTJOIN(" · ",TRUE,IF(AND(2&gt;$MS59,2&lt;=$NF59),"2 → "&amp;$PN59&amp;", 6 PE",""),IF(AND(3&gt;$MS59,3&lt;=$NF59),"3 → "&amp;$PO59&amp;", 9 PE",""),IF(AND(4&gt;$MS59,4&lt;=$NF59),"4 → "&amp;$PP59&amp;", 12 PE",""),IF(AND(5&gt;$MS59,5&lt;=$NF59),"5 → "&amp;$PQ59&amp;", 15 PE",""),IF(AND(6&gt;$MS59,6&lt;=$NF59),"6 → "&amp;$PR59&amp;", 18 PE",""),IF(AND(7&gt;$MS59,7&lt;=$NF59),"7 → "&amp;$PS59&amp;", 21 PE","")))))</f>
        <v/>
      </c>
      <c r="QM59" s="164">
        <f>IF(OR($ND59=0,$NO59=0),"",IF($MS59=0,"−1 dado","−"&amp;INDEX($I$2:$N$8,MAX(1,$MS59),MAX(1,$NT59))&amp;" · "&amp;CHOOSE(MAX(1,$NT59),"Leve","Média","Pesada","Leve · Livre","Média · Livre","Pesada · Livre")))</f>
        <v/>
      </c>
      <c r="QN59" s="164">
        <f>IF(OR($ND59=0,$NP59=0),"",IF($MS59=0,"−1 dado","−"&amp;INDEX($I$2:$N$8,MAX(1,$MS59),MAX(1,$NU59))&amp;" · "&amp;CHOOSE(MAX(1,$NU59),"Leve","Média","Pesada","Leve · Livre","Média · Livre","Pesada · Livre")))</f>
        <v/>
      </c>
      <c r="QO59" s="164">
        <f>IF(OR($ND59=0,$NQ59=0),"",IF($MS59=0,"−1 dado","−"&amp;INDEX($I$2:$N$8,MAX(1,$MS59),MAX(1,$NV59))&amp;" · "&amp;CHOOSE(MAX(1,$NV59),"Leve","Média","Pesada","Leve · Livre","Média · Livre","Pesada · Livre")))</f>
        <v/>
      </c>
      <c r="QP59" s="164">
        <f>IF(OR($ND59=0,$NR59=0),"",IF($MS59=0,"−1 dado","−"&amp;INDEX($I$2:$N$8,MAX(1,$MS59),MAX(1,$NW59))&amp;" · "&amp;CHOOSE(MAX(1,$NW59),"Leve","Média","Pesada","Leve · Livre","Média · Livre","Pesada · Livre")))</f>
        <v/>
      </c>
      <c r="QQ59" s="164">
        <f>IF(OR($ND59=0,$NB59=""),"",IF($MS59=0,"não devolve","+"&amp;IF($OI59=1,CEILING($MS59/2,1),$MS59)))</f>
        <v/>
      </c>
      <c r="QR59" s="164">
        <f>IF(OR($ND59=0,$NC59=""),"",IF($MS59=0,"não devolve","+"&amp;IF($OJ59=1,CEILING($MS59/2,1),$MS59)))</f>
        <v/>
      </c>
      <c r="RK59">
        <f>IF($MX59="","",IFERROR(VLOOKUP(SUBSTITUTE(SUBSTITUTE(SUBSTITUTE($MX59,"~","~~"),"*","~*"),"?","~?"),'DADOS_MELHORIAS'!$O$2:$X$113,10,FALSE),$MX59))</f>
        <v/>
      </c>
      <c r="RL59">
        <f>IF($MY59="","",IFERROR(VLOOKUP(SUBSTITUTE(SUBSTITUTE(SUBSTITUTE($MY59,"~","~~"),"*","~*"),"?","~?"),'DADOS_MELHORIAS'!$O$2:$X$113,10,FALSE),$MY59))</f>
        <v/>
      </c>
      <c r="RM59">
        <f>IF($MZ59="","",IFERROR(VLOOKUP(SUBSTITUTE(SUBSTITUTE(SUBSTITUTE($MZ59,"~","~~"),"*","~*"),"?","~?"),'DADOS_MELHORIAS'!$O$2:$X$113,10,FALSE),$MZ59))</f>
        <v/>
      </c>
      <c r="RN59">
        <f>IF($NA59="","",IFERROR(VLOOKUP(SUBSTITUTE(SUBSTITUTE(SUBSTITUTE($NA59,"~","~~"),"*","~*"),"?","~?"),'DADOS_MELHORIAS'!$O$2:$X$113,10,FALSE),$NA59))</f>
        <v/>
      </c>
      <c r="RO59">
        <f>IFERROR(INDEX('DADOS_FORMAS'!$BJ$2:$BJ$21,MATCH(SUBSTITUTE(SUBSTITUTE(SUBSTITUTE($MU59,"~","~~"),"*","~*"),"?","~?"),'DADOS_FORMAS'!$AH$2:$AH$21,0)),"")</f>
        <v/>
      </c>
      <c r="RP59">
        <f>IFERROR(VLOOKUP(SUBSTITUTE(SUBSTITUTE(SUBSTITUTE(IFERROR(INDEX('DADOS_FORMAS'!$AS$2:$AS$21,MATCH(SUBSTITUTE(SUBSTITUTE(SUBSTITUTE($MU59,"~","~~"),"*","~*"),"?","~?"),'DADOS_FORMAS'!$AH$2:$AH$21,0)),""),"~","~~"),"*","~*"),"?","~?"),'DADOS_RESTRICOES'!$M$2:$Q$54,2,FALSE),"")</f>
        <v/>
      </c>
      <c r="RQ59">
        <f>$OK59</f>
        <v/>
      </c>
      <c r="RR59">
        <f>$OL59</f>
        <v/>
      </c>
      <c r="RS59">
        <f>$RP59</f>
        <v/>
      </c>
    </row>
    <row r="60">
      <c r="AV60" s="162" t="inlineStr">
        <is>
          <t>Reação</t>
        </is>
      </c>
      <c r="AW60" s="162" t="inlineStr">
        <is>
          <t>Tempo</t>
        </is>
      </c>
      <c r="AX60" s="164" t="n">
        <v>3</v>
      </c>
      <c r="AY60" s="164" t="n">
        <v>0</v>
      </c>
      <c r="AZ60" s="164" t="n">
        <v>0</v>
      </c>
      <c r="BA60" s="164" t="n">
        <v>0</v>
      </c>
      <c r="JT60" s="164">
        <f>IF(OR($AW60="",(COUNTIF($EL$2:$EP$2,$AW60)+COUNTIF($QV$2:$QY$2,$AW60))&gt;0),$AV60,"")</f>
        <v/>
      </c>
      <c r="JU60" s="164">
        <f>IF(AND($AX60=1,OR($AW60="",(COUNTIF($EL$2:$EP$2,$AW60)+COUNTIF($QV$2:$QY$2,$AW60))&gt;0)),$AV60,"")</f>
        <v/>
      </c>
      <c r="JZ60" s="164">
        <f>IF(OR($AW60="",(COUNTIF($EL$3:$EP$3,$AW60)+COUNTIF($QV$3:$QY$3,$AW60))&gt;0),$AV60,"")</f>
        <v/>
      </c>
      <c r="KA60" s="164">
        <f>IF(AND($AX60=1,OR($AW60="",(COUNTIF($EL$3:$EP$3,$AW60)+COUNTIF($QV$3:$QY$3,$AW60))&gt;0)),$AV60,"")</f>
        <v/>
      </c>
      <c r="KF60" s="164">
        <f>IF(OR($AW60="",(COUNTIF($EL$4:$EP$4,$AW60)+COUNTIF($QV$4:$QY$4,$AW60))&gt;0),$AV60,"")</f>
        <v/>
      </c>
      <c r="KG60" s="164">
        <f>IF(AND($AX60=1,OR($AW60="",(COUNTIF($EL$4:$EP$4,$AW60)+COUNTIF($QV$4:$QY$4,$AW60))&gt;0)),$AV60,"")</f>
        <v/>
      </c>
      <c r="KL60" s="164">
        <f>IF(OR($AW60="",(COUNTIF($EL$5:$EP$5,$AW60)+COUNTIF($QV$5:$QY$5,$AW60))&gt;0),$AV60,"")</f>
        <v/>
      </c>
      <c r="KM60" s="164">
        <f>IF(AND($AX60=1,OR($AW60="",(COUNTIF($EL$5:$EP$5,$AW60)+COUNTIF($QV$5:$QY$5,$AW60))&gt;0)),$AV60,"")</f>
        <v/>
      </c>
      <c r="KR60" s="164">
        <f>IF(OR($AW60="",(COUNTIF($EL$6:$EP$6,$AW60)+COUNTIF($QV$6:$QY$6,$AW60))&gt;0),$AV60,"")</f>
        <v/>
      </c>
      <c r="KS60" s="164">
        <f>IF(AND($AX60=1,OR($AW60="",(COUNTIF($EL$6:$EP$6,$AW60)+COUNTIF($QV$6:$QY$6,$AW60))&gt;0)),$AV60,"")</f>
        <v/>
      </c>
      <c r="KX60" s="164">
        <f>IF(OR($AW60="",(COUNTIF($EL$7:$EP$7,$AW60)+COUNTIF($QV$7:$QY$7,$AW60))&gt;0),$AV60,"")</f>
        <v/>
      </c>
      <c r="KY60" s="164">
        <f>IF(AND($AX60=1,OR($AW60="",(COUNTIF($EL$7:$EP$7,$AW60)+COUNTIF($QV$7:$QY$7,$AW60))&gt;0)),$AV60,"")</f>
        <v/>
      </c>
      <c r="LD60" s="164">
        <f>IF(OR($AW60="",(COUNTIF($EL$8:$EP$8,$AW60)+COUNTIF($QV$8:$QY$8,$AW60))&gt;0),$AV60,"")</f>
        <v/>
      </c>
      <c r="LE60" s="164">
        <f>IF(AND($AX60=1,OR($AW60="",(COUNTIF($EL$8:$EP$8,$AW60)+COUNTIF($QV$8:$QY$8,$AW60))&gt;0)),$AV60,"")</f>
        <v/>
      </c>
      <c r="LJ60" s="164">
        <f>IF(OR($AW60="",(COUNTIF($EL$9:$EP$9,$AW60)+COUNTIF($QV$9:$QY$9,$AW60))&gt;0),$AV60,"")</f>
        <v/>
      </c>
      <c r="LK60" s="164">
        <f>IF(AND($AX60=1,OR($AW60="",(COUNTIF($EL$9:$EP$9,$AW60)+COUNTIF($QV$9:$QY$9,$AW60))&gt;0)),$AV60,"")</f>
        <v/>
      </c>
      <c r="LP60" s="164">
        <f>IF(OR($AW60="",(COUNTIF($EL$10:$EP$10,$AW60)+COUNTIF($QV$10:$QY$10,$AW60))&gt;0),$AV60,"")</f>
        <v/>
      </c>
      <c r="LQ60" s="164">
        <f>IF(AND($AX60=1,OR($AW60="",(COUNTIF($EL$10:$EP$10,$AW60)+COUNTIF($QV$10:$QY$10,$AW60))&gt;0)),$AV60,"")</f>
        <v/>
      </c>
      <c r="LV60" s="164">
        <f>IF(OR($AW60="",(COUNTIF($EL$11:$EP$11,$AW60)+COUNTIF($QV$11:$QY$11,$AW60))&gt;0),$AV60,"")</f>
        <v/>
      </c>
      <c r="LW60" s="164">
        <f>IF(AND($AX60=1,OR($AW60="",(COUNTIF($EL$11:$EP$11,$AW60)+COUNTIF($QV$11:$QY$11,$AW60))&gt;0)),$AV60,"")</f>
        <v/>
      </c>
      <c r="MB60" s="164">
        <f>IF(OR($AW60="",(COUNTIF($EL$12:$EP$12,$AW60)+COUNTIF($QV$12:$QY$12,$AW60))&gt;0),$AV60,"")</f>
        <v/>
      </c>
      <c r="MC60" s="164">
        <f>IF(AND($AX60=1,OR($AW60="",(COUNTIF($EL$12:$EP$12,$AW60)+COUNTIF($QV$12:$QY$12,$AW60))&gt;0)),$AV60,"")</f>
        <v/>
      </c>
      <c r="MH60" s="164">
        <f>IF(OR($AW60="",(COUNTIF($EL$13:$EP$13,$AW60)+COUNTIF($QV$13:$QY$13,$AW60))&gt;0),$AV60,"")</f>
        <v/>
      </c>
      <c r="MI60" s="164">
        <f>IF(AND($AX60=1,OR($AW60="",(COUNTIF($EL$13:$EP$13,$AW60)+COUNTIF($QV$13:$QY$13,$AW60))&gt;0)),$AV60,"")</f>
        <v/>
      </c>
      <c r="MN60" s="162" t="inlineStr">
        <is>
          <t>Ficha 5 · Especial 5</t>
        </is>
      </c>
      <c r="MO60" s="164" t="n">
        <v>5</v>
      </c>
      <c r="MP60" s="164" t="n">
        <v>1</v>
      </c>
      <c r="MQ60" s="164" t="n">
        <v>16</v>
      </c>
      <c r="MR60" s="162" t="inlineStr">
        <is>
          <t>ESPECIAL 5</t>
        </is>
      </c>
      <c r="MS60" s="164">
        <f>MAX(1,MIN(7,N('INVOCAÇÕES'!$I$971)))</f>
        <v/>
      </c>
      <c r="MT60" s="164">
        <f>'INVOCAÇÕES'!$J$971&amp;""</f>
        <v/>
      </c>
      <c r="MU60" s="164">
        <f>'INVOCAÇÕES'!$I$976&amp;""</f>
        <v/>
      </c>
      <c r="MV60" s="164">
        <f>'INVOCAÇÕES'!$I$977&amp;""</f>
        <v/>
      </c>
      <c r="MW60" s="164">
        <f>'INVOCAÇÕES'!$K$977&amp;""</f>
        <v/>
      </c>
      <c r="MX60" s="164">
        <f>'INVOCAÇÕES'!$J$980&amp;""</f>
        <v/>
      </c>
      <c r="MY60" s="164">
        <f>'INVOCAÇÕES'!$J$981&amp;""</f>
        <v/>
      </c>
      <c r="MZ60" s="164">
        <f>'INVOCAÇÕES'!$J$982&amp;""</f>
        <v/>
      </c>
      <c r="NA60" s="164">
        <f>'INVOCAÇÕES'!$J$983&amp;""</f>
        <v/>
      </c>
      <c r="NB60" s="164">
        <f>'INVOCAÇÕES'!$J$984&amp;""</f>
        <v/>
      </c>
      <c r="NC60" s="164">
        <f>'INVOCAÇÕES'!$J$985&amp;""</f>
        <v/>
      </c>
      <c r="ND60" s="164">
        <f>IF($MT60&lt;&gt;"",1,0)</f>
        <v/>
      </c>
      <c r="NE60" s="164">
        <f>INDEX($FO$2:$FO$13,$MO60)</f>
        <v/>
      </c>
      <c r="NF60" s="164">
        <f>INDEX($FP$2:$FP$13,$MO60)</f>
        <v/>
      </c>
      <c r="NG60" s="164">
        <f>INDEX($FQ$2:$FQ$13,$MO60)</f>
        <v/>
      </c>
      <c r="NH60" s="164">
        <f>INDEX($GB$2:$GB$13,$MO60)</f>
        <v/>
      </c>
      <c r="NI60" s="164">
        <f>INDEX($GC$2:$GC$13,$MO60)</f>
        <v/>
      </c>
      <c r="NJ60" s="164">
        <f>IFERROR(MATCH(SUBSTITUTE(SUBSTITUTE(SUBSTITUTE($MU60,"~","~~"),"*","~*"),"?","~?"),'DADOS_FORMAS'!$FZ$2:$FZ$21,0),0)</f>
        <v/>
      </c>
      <c r="NK60" s="164">
        <f>IFERROR(VLOOKUP(SUBSTITUTE(SUBSTITUTE(SUBSTITUTE($MX60,"~","~~"),"*","~*"),"?","~?"),'DADOS_MELHORIAS'!$AG$2:$AL$113,2,FALSE),"")</f>
        <v/>
      </c>
      <c r="NL60" s="164">
        <f>IFERROR(VLOOKUP(SUBSTITUTE(SUBSTITUTE(SUBSTITUTE($MY60,"~","~~"),"*","~*"),"?","~?"),'DADOS_MELHORIAS'!$AG$2:$AL$113,2,FALSE),"")</f>
        <v/>
      </c>
      <c r="NM60" s="164">
        <f>IFERROR(VLOOKUP(SUBSTITUTE(SUBSTITUTE(SUBSTITUTE($MZ60,"~","~~"),"*","~*"),"?","~?"),'DADOS_MELHORIAS'!$AG$2:$AL$113,2,FALSE),"")</f>
        <v/>
      </c>
      <c r="NN60" s="164">
        <f>IFERROR(VLOOKUP(SUBSTITUTE(SUBSTITUTE(SUBSTITUTE($NA60,"~","~~"),"*","~*"),"?","~?"),'DADOS_MELHORIAS'!$AG$2:$AL$113,2,FALSE),"")</f>
        <v/>
      </c>
      <c r="NO60" s="164">
        <f>IFERROR(VLOOKUP(SUBSTITUTE(SUBSTITUTE(SUBSTITUTE($MX60,"~","~~"),"*","~*"),"?","~?"),'DADOS_MELHORIAS'!$AG$2:$AL$113,3,FALSE),0)</f>
        <v/>
      </c>
      <c r="NP60" s="164">
        <f>IFERROR(VLOOKUP(SUBSTITUTE(SUBSTITUTE(SUBSTITUTE($MY60,"~","~~"),"*","~*"),"?","~?"),'DADOS_MELHORIAS'!$AG$2:$AL$113,3,FALSE),0)</f>
        <v/>
      </c>
      <c r="NQ60" s="164">
        <f>IFERROR(VLOOKUP(SUBSTITUTE(SUBSTITUTE(SUBSTITUTE($MZ60,"~","~~"),"*","~*"),"?","~?"),'DADOS_MELHORIAS'!$AG$2:$AL$113,3,FALSE),0)</f>
        <v/>
      </c>
      <c r="NR60" s="164">
        <f>IFERROR(VLOOKUP(SUBSTITUTE(SUBSTITUTE(SUBSTITUTE($NA60,"~","~~"),"*","~*"),"?","~?"),'DADOS_MELHORIAS'!$AG$2:$AL$113,3,FALSE),0)</f>
        <v/>
      </c>
      <c r="NS60" s="164">
        <f>IF($MS60=0,0,IF($NJ60=0,0,INDEX('DADOS_FORMAS'!$GB$2:$GB$21,$NJ60)))</f>
        <v/>
      </c>
      <c r="NT60" s="164">
        <f>IF(OR($NO60=0,$MS60=0),0,$NO60+3*IF(AND($NK60&lt;&gt;"",COUNTIF(INDEX($RB$2:$RJ$13,$MO60,0),$NK60)&gt;0),1,0))</f>
        <v/>
      </c>
      <c r="NU60" s="164">
        <f>IF(OR($NP60=0,$MS60=0),0,$NP60+3*IF(AND($NL60&lt;&gt;"",COUNTIF(INDEX($RB$2:$RJ$13,$MO60,0),$NL60)&gt;0),1,0))</f>
        <v/>
      </c>
      <c r="NV60" s="164">
        <f>IF(OR($NQ60=0,$MS60=0),0,$NQ60+3*IF(AND($NM60&lt;&gt;"",COUNTIF(INDEX($RB$2:$RJ$13,$MO60,0),$NM60)&gt;0),1,0))</f>
        <v/>
      </c>
      <c r="NW60" s="164">
        <f>IF(OR($NR60=0,$MS60=0),0,$NR60+3*IF(AND($NN60&lt;&gt;"",COUNTIF(INDEX($RB$2:$RJ$13,$MO60,0),$NN60)&gt;0),1,0))</f>
        <v/>
      </c>
      <c r="NX60" s="164">
        <f>IF($NJ60=0,0,IF(INDEX('DADOS_FORMAS'!$GA$2:$GA$21,$NJ60)="",0,IF((COUNTIF(INDEX($EL$2:$EP$13,$MO60,0),INDEX('DADOS_FORMAS'!$GA$2:$GA$21,$NJ60))+COUNTIF(INDEX($QV$2:$QY$13,$MO60,0),INDEX('DADOS_FORMAS'!$GA$2:$GA$21,$NJ60)))=0,1,0)))</f>
        <v/>
      </c>
      <c r="NY60" s="164">
        <f>IF(OR($NO60=0,$NK60=""),0,IF((COUNTIF(INDEX($EL$2:$EP$13,$MO60,0),$NK60)+COUNTIF(INDEX($QV$2:$QY$13,$MO60,0),$NK60))=0,1,0))</f>
        <v/>
      </c>
      <c r="NZ60" s="164">
        <f>IF(OR($NP60=0,$NL60=""),0,IF((COUNTIF(INDEX($EL$2:$EP$13,$MO60,0),$NL60)+COUNTIF(INDEX($QV$2:$QY$13,$MO60,0),$NL60))=0,1,0))</f>
        <v/>
      </c>
      <c r="OA60" s="164">
        <f>IF(OR($NQ60=0,$NM60=""),0,IF((COUNTIF(INDEX($EL$2:$EP$13,$MO60,0),$NM60)+COUNTIF(INDEX($QV$2:$QY$13,$MO60,0),$NM60))=0,1,0))</f>
        <v/>
      </c>
      <c r="OB60" s="164">
        <f>IF(OR($NR60=0,$NN60=""),0,IF((COUNTIF(INDEX($EL$2:$EP$13,$MO60,0),$NN60)+COUNTIF(INDEX($QV$2:$QY$13,$MO60,0),$NN60))=0,1,0))</f>
        <v/>
      </c>
      <c r="OC60" s="164">
        <f>IFERROR(VLOOKUP(SUBSTITUTE(SUBSTITUTE(SUBSTITUTE($MX60,"~","~~"),"*","~*"),"?","~?"),'DADOS_MELHORIAS'!$AG$2:$AL$113,4,FALSE),0)+IFERROR(VLOOKUP(SUBSTITUTE(SUBSTITUTE(SUBSTITUTE($MY60,"~","~~"),"*","~*"),"?","~?"),'DADOS_MELHORIAS'!$AG$2:$AL$113,4,FALSE),0)+IFERROR(VLOOKUP(SUBSTITUTE(SUBSTITUTE(SUBSTITUTE($MZ60,"~","~~"),"*","~*"),"?","~?"),'DADOS_MELHORIAS'!$AG$2:$AL$113,4,FALSE),0)+IFERROR(VLOOKUP(SUBSTITUTE(SUBSTITUTE(SUBSTITUTE($NA60,"~","~~"),"*","~*"),"?","~?"),'DADOS_MELHORIAS'!$AG$2:$AL$113,4,FALSE),0)</f>
        <v/>
      </c>
      <c r="OD60" s="164">
        <f>IFERROR(VLOOKUP(SUBSTITUTE(SUBSTITUTE(SUBSTITUTE($MX60,"~","~~"),"*","~*"),"?","~?"),'DADOS_MELHORIAS'!$AG$2:$AL$113,6,FALSE),0)+IFERROR(VLOOKUP(SUBSTITUTE(SUBSTITUTE(SUBSTITUTE($MY60,"~","~~"),"*","~*"),"?","~?"),'DADOS_MELHORIAS'!$AG$2:$AL$113,6,FALSE),0)+IFERROR(VLOOKUP(SUBSTITUTE(SUBSTITUTE(SUBSTITUTE($MZ60,"~","~~"),"*","~*"),"?","~?"),'DADOS_MELHORIAS'!$AG$2:$AL$113,6,FALSE),0)+IFERROR(VLOOKUP(SUBSTITUTE(SUBSTITUTE(SUBSTITUTE($NA60,"~","~~"),"*","~*"),"?","~?"),'DADOS_MELHORIAS'!$AG$2:$AL$113,6,FALSE),0)+IFERROR(N(AND(INDEX('DADOS_FORMAS'!$AO$2:$AO$21,MATCH(SUBSTITUTE(SUBSTITUTE(SUBSTITUTE($MU60,"~","~~"),"*","~*"),"?","~?"),'DADOS_FORMAS'!$AH$2:$AH$21,0))="Acerto",$OH60=1)),0)</f>
        <v/>
      </c>
      <c r="OE60" s="164">
        <f>TEXTJOIN(", ",TRUE,IF(IFERROR(VLOOKUP(SUBSTITUTE(SUBSTITUTE(SUBSTITUTE($MX60,"~","~~"),"*","~*"),"?","~?"),'DADOS_MELHORIAS'!$AG$2:$AL$113,5,FALSE),0)=1,$MX60,""),IF(IFERROR(VLOOKUP(SUBSTITUTE(SUBSTITUTE(SUBSTITUTE($MY60,"~","~~"),"*","~*"),"?","~?"),'DADOS_MELHORIAS'!$AG$2:$AL$113,5,FALSE),0)=1,$MY60,""),IF(IFERROR(VLOOKUP(SUBSTITUTE(SUBSTITUTE(SUBSTITUTE($MZ60,"~","~~"),"*","~*"),"?","~?"),'DADOS_MELHORIAS'!$AG$2:$AL$113,5,FALSE),0)=1,$MZ60,""),IF(IFERROR(VLOOKUP(SUBSTITUTE(SUBSTITUTE(SUBSTITUTE($NA60,"~","~~"),"*","~*"),"?","~?"),'DADOS_MELHORIAS'!$AG$2:$AL$113,5,FALSE),0)=1,$NA60,""))</f>
        <v/>
      </c>
      <c r="OF60" s="164">
        <f>IF($NJ60=0,0,INDEX('DADOS_FORMAS'!$GC$2:$GC$21,$NJ60))</f>
        <v/>
      </c>
      <c r="OG60" s="164">
        <f>IF($NJ60=0,0,INDEX('DADOS_FORMAS'!$GD$2:$GD$21,$NJ60))</f>
        <v/>
      </c>
      <c r="OH60" s="164">
        <f>IF($NJ60=0,0,INDEX('DADOS_FORMAS'!$GF$2:$GF$21,$NJ60))</f>
        <v/>
      </c>
      <c r="OI60" s="164">
        <f>IFERROR(VLOOKUP(SUBSTITUTE(SUBSTITUTE(SUBSTITUTE($NB60,"~","~~"),"*","~*"),"?","~?"),'DADOS_RESTRICOES'!$M$2:$Q$54,3,FALSE),0)</f>
        <v/>
      </c>
      <c r="OJ60" s="164">
        <f>IFERROR(VLOOKUP(SUBSTITUTE(SUBSTITUTE(SUBSTITUTE($NC60,"~","~~"),"*","~*"),"?","~?"),'DADOS_RESTRICOES'!$M$2:$Q$54,3,FALSE),0)</f>
        <v/>
      </c>
      <c r="OK60" s="164">
        <f>IFERROR(VLOOKUP(SUBSTITUTE(SUBSTITUTE(SUBSTITUTE($NB60,"~","~~"),"*","~*"),"?","~?"),'DADOS_RESTRICOES'!$M$2:$Q$54,2,FALSE),"")</f>
        <v/>
      </c>
      <c r="OL60" s="164">
        <f>IFERROR(VLOOKUP(SUBSTITUTE(SUBSTITUTE(SUBSTITUTE($NC60,"~","~~"),"*","~*"),"?","~?"),'DADOS_RESTRICOES'!$M$2:$Q$54,2,FALSE),"")</f>
        <v/>
      </c>
      <c r="OM60" s="164">
        <f>COUNTIF($NS60:$NW60,1)</f>
        <v/>
      </c>
      <c r="ON60" s="164">
        <f>COUNTIF($NS60:$NW60,2)</f>
        <v/>
      </c>
      <c r="OO60" s="164">
        <f>COUNTIF($NS60:$NW60,3)</f>
        <v/>
      </c>
      <c r="OP60" s="164">
        <f>COUNTIF($NS60:$NW60,4)</f>
        <v/>
      </c>
      <c r="OQ60" s="164">
        <f>COUNTIF($NS60:$NW60,5)</f>
        <v/>
      </c>
      <c r="OR60" s="164">
        <f>COUNTIF($NS60:$NW60,6)</f>
        <v/>
      </c>
      <c r="OS60" s="164">
        <f>COUNTIF($OI60:$OJ60,1)+IF(IFERROR(INDEX('DADOS_FORMAS'!$AS$2:$AS$21,MATCH(SUBSTITUTE(SUBSTITUTE(SUBSTITUTE($MU60,"~","~~"),"*","~*"),"?","~?"),'DADOS_FORMAS'!$AH$2:$AH$21,0)),"")="",0,IFERROR(N(VLOOKUP(SUBSTITUTE(SUBSTITUTE(SUBSTITUTE(IFERROR(INDEX('DADOS_FORMAS'!$AS$2:$AS$21,MATCH(SUBSTITUTE(SUBSTITUTE(SUBSTITUTE($MU60,"~","~~"),"*","~*"),"?","~?"),'DADOS_FORMAS'!$AH$2:$AH$21,0)),""),"~","~~"),"*","~*"),"?","~?"),'DADOS_RESTRICOES'!$M$2:$Q$54,3,FALSE)=1),0))</f>
        <v/>
      </c>
      <c r="OT60" s="164">
        <f>COUNTIF($OI60:$OJ60,2)+IF(IFERROR(INDEX('DADOS_FORMAS'!$AS$2:$AS$21,MATCH(SUBSTITUTE(SUBSTITUTE(SUBSTITUTE($MU60,"~","~~"),"*","~*"),"?","~?"),'DADOS_FORMAS'!$AH$2:$AH$21,0)),"")="",0,IFERROR(N(VLOOKUP(SUBSTITUTE(SUBSTITUTE(SUBSTITUTE(IFERROR(INDEX('DADOS_FORMAS'!$AS$2:$AS$21,MATCH(SUBSTITUTE(SUBSTITUTE(SUBSTITUTE($MU60,"~","~~"),"*","~*"),"?","~?"),'DADOS_FORMAS'!$AH$2:$AH$21,0)),""),"~","~~"),"*","~*"),"?","~?"),'DADOS_RESTRICOES'!$M$2:$Q$54,3,FALSE)=2),0))</f>
        <v/>
      </c>
      <c r="OU60" s="164">
        <f>COUNTIF($MX60:$NA60,"?*")</f>
        <v/>
      </c>
      <c r="OV60" s="164">
        <f>COUNTIF($NB60:$NC60,"?*")+$OF60</f>
        <v/>
      </c>
      <c r="OW60" s="164">
        <f>IF($MS60=0,0,SUMPRODUCT($OM60:$OR60,INDEX($I$2:$N$8,MAX(1,$MS60),0)))</f>
        <v/>
      </c>
      <c r="OX60" s="164">
        <f>IF($MS60=0,0,$OS60*CEILING($MS60/2,1)+$OT60*$MS60)</f>
        <v/>
      </c>
      <c r="OY60" s="164">
        <f>MIN(2*$MS60,$OX60)</f>
        <v/>
      </c>
      <c r="OZ60" s="164">
        <f>MIN($OY60,$OW60-IF($NS60=0,0,INDEX($I$2:$N$8,MAX(1,$MS60),$NS60)))</f>
        <v/>
      </c>
      <c r="PA60" s="164">
        <f>$OY60-$OZ60</f>
        <v/>
      </c>
      <c r="PB60" s="164">
        <f>IF($MS60=0,0,INDEX($P$2:$P$8,MAX(1,$MS60)))</f>
        <v/>
      </c>
      <c r="PC60" s="164">
        <f>$PB60-$OW60+$OZ60</f>
        <v/>
      </c>
      <c r="PD60" s="164">
        <f>IF($MS60=0,MAX(0,$NG60-IF(AND($OU60&gt;0,COUNTIF($NB60:$NC60,"?*")=0),1,0)),MAX(0,$PC60))</f>
        <v/>
      </c>
      <c r="PE60" s="164">
        <f>IF($MS60=0,0,(IF(COUNTIF($RK60:$RN60,"Salto")&gt;0,1,0)+IF(COUNTIF($RK60:$RN60,"Queima")&gt;0,1,0)+IF(COUNTIF($RK60:$RN60,"Estilhaço")&gt;0,1,0))*FLOOR($PD60/2,1))</f>
        <v/>
      </c>
      <c r="PF60" s="164">
        <f>MAX(0,2-SUMPRODUCT($OM60:$OR60,$I$2:$N$2)+MIN(2,$OS60*1+$OT60*1,SUMPRODUCT($OM60:$OR60,$I$2:$N$2)-IF($NS60=0,0,INDEX($I$2:$N$2,1,$NS60))))</f>
        <v/>
      </c>
      <c r="PG60" s="164">
        <f>MAX(0,4-SUMPRODUCT($OM60:$OR60,$I$3:$N$3)+MIN(4,$OS60*1+$OT60*2,SUMPRODUCT($OM60:$OR60,$I$3:$N$3)-IF($NS60=0,0,INDEX($I$3:$N$3,1,$NS60))))</f>
        <v/>
      </c>
      <c r="PH60" s="164">
        <f>MAX(0,6-SUMPRODUCT($OM60:$OR60,$I$4:$N$4)+MIN(6,$OS60*2+$OT60*3,SUMPRODUCT($OM60:$OR60,$I$4:$N$4)-IF($NS60=0,0,INDEX($I$4:$N$4,1,$NS60))))</f>
        <v/>
      </c>
      <c r="PI60" s="164">
        <f>MAX(0,9-SUMPRODUCT($OM60:$OR60,$I$5:$N$5)+MIN(8,$OS60*2+$OT60*4,SUMPRODUCT($OM60:$OR60,$I$5:$N$5)-IF($NS60=0,0,INDEX($I$5:$N$5,1,$NS60))))</f>
        <v/>
      </c>
      <c r="PJ60" s="164">
        <f>MAX(0,11-SUMPRODUCT($OM60:$OR60,$I$6:$N$6)+MIN(10,$OS60*3+$OT60*5,SUMPRODUCT($OM60:$OR60,$I$6:$N$6)-IF($NS60=0,0,INDEX($I$6:$N$6,1,$NS60))))</f>
        <v/>
      </c>
      <c r="PK60" s="164">
        <f>MAX(0,13-SUMPRODUCT($OM60:$OR60,$I$7:$N$7)+MIN(12,$OS60*3+$OT60*6,SUMPRODUCT($OM60:$OR60,$I$7:$N$7)-IF($NS60=0,0,INDEX($I$7:$N$7,1,$NS60))))</f>
        <v/>
      </c>
      <c r="PL60" s="164">
        <f>MAX(0,16-SUMPRODUCT($OM60:$OR60,$I$8:$N$8)+MIN(14,$OS60*4+$OT60*7,SUMPRODUCT($OM60:$OR60,$I$8:$N$8)-IF($NS60=0,0,INDEX($I$8:$N$8,1,$NS60))))</f>
        <v/>
      </c>
      <c r="PM60" s="164">
        <f>IF($OG60=2,3*$PF60&amp;" de vida temp.",IF($OG60=3,"sem dano",IF($PF60=0,IF($OG60=1,"sem cura","sem dano"),IF($OG60=1,"cura ","")&amp;$PF60&amp;"d8")))</f>
        <v/>
      </c>
      <c r="PN60" s="164">
        <f>IF($OG60=2,3*$PG60&amp;" de vida temp.",IF($OG60=3,"sem dano",IF($PG60=0,IF($OG60=1,"sem cura","sem dano"),IF($OG60=1,"cura ","")&amp;$PG60&amp;"d8")))</f>
        <v/>
      </c>
      <c r="PO60" s="164">
        <f>IF($OG60=2,3*$PH60&amp;" de vida temp.",IF($OG60=3,"sem dano",IF($PH60=0,IF($OG60=1,"sem cura","sem dano"),IF($OG60=1,"cura ","")&amp;$PH60&amp;"d8")))</f>
        <v/>
      </c>
      <c r="PP60" s="164">
        <f>IF($OG60=2,3*$PI60&amp;" de vida temp.",IF($OG60=3,"sem dano",IF($PI60=0,IF($OG60=1,"sem cura","sem dano"),IF($OG60=1,"cura ","")&amp;$PI60&amp;"d8")))</f>
        <v/>
      </c>
      <c r="PQ60" s="164">
        <f>IF($OG60=2,3*$PJ60&amp;" de vida temp.",IF($OG60=3,"sem dano",IF($PJ60=0,IF($OG60=1,"sem cura","sem dano"),IF($OG60=1,"cura ","")&amp;$PJ60&amp;"d8")))</f>
        <v/>
      </c>
      <c r="PR60" s="164">
        <f>IF($OG60=2,3*$PK60&amp;" de vida temp.",IF($OG60=3,"sem dano",IF($PK60=0,IF($OG60=1,"sem cura","sem dano"),IF($OG60=1,"cura ","")&amp;$PK60&amp;"d8")))</f>
        <v/>
      </c>
      <c r="PS60" s="164">
        <f>IF($OG60=2,3*$PL60&amp;" de vida temp.",IF($OG60=3,"sem dano",IF($PL60=0,IF($OG60=1,"sem cura","sem dano"),IF($OG60=1,"cura ","")&amp;$PL60&amp;"d8")))</f>
        <v/>
      </c>
      <c r="PT60" s="164">
        <f>IF($ND60=0,"",TEXTJOIN(" · ",TRUE,IF($ND60=0,"",TEXTJOIN(" · ",TRUE,IF($ND60=0,"",TEXTJOIN(" · ",TRUE,IF($MQ60&gt;$NE60,"Este lugar abre no nível "&amp;$MQ60,""),IF($MS60&gt;$NF60,"Classe "&amp;$MS60&amp;": o nível "&amp;$NE60&amp;" libera até a "&amp;$NF60,""),IF($NX60=1,"A Forma "&amp;$MU60&amp;" pede "&amp;INDEX('DADOS_FORMAS'!$GA$2:$GA$21,$NJ60)&amp;" aberta",""),IF(AND($MS60=0,$NJ60&gt;0,IF($NJ60=0,0,INDEX('DADOS_FORMAS'!$GJ$2:$GJ$21,$NJ60))=0),$MU60&amp;" não existe na Classe 0",""),IF($NY60=1,"Família Fechada: "&amp;$MX60,""),IF($NZ60=1,"Família Fechada: "&amp;$MY60,""),IF($OA60=1,"Família Fechada: "&amp;$MZ60,""),IF($OB60=1,"Família Fechada: "&amp;$NA60,""),IF(AND($MS60&gt;0,$OU60&gt;INDEX($O$2:$O$8,MAX(1,$MS60))),$OU60&amp;" Melhorias: a Classe "&amp;$MS60&amp;" aceita "&amp;INDEX($O$2:$O$8,MAX(1,$MS60)),""),IF(AND($MS60=0,$OU60&gt;1),"A básica aceita uma Melhoria",""),IF(AND($MS60=0,COUNTIF($NO60:$NR60,"&gt;1")&gt;0),"A básica só aceita Melhoria Leve",""),IF(AND($MS60&gt;0,$OV60&gt;2),$OV60&amp;" Restrições"&amp;IF($OF60=1,", contando a que a Forma "&amp;$MU60&amp;" já traz","")&amp;": o limite é 2",""),IF(AND($MS60=0,COUNTIF($NB60:$NC60,"?*")&gt;1),"A básica aceita uma Restrição Leve",""),IF(AND($MS60=0,COUNTIF($OI60:$OJ60,2)&gt;0),"A básica só aceita Restrição Leve",""),IF(AND($MS60&gt;0,$PC60&lt;0),"Orçamento estourado: faltam "&amp;(-$PC60)&amp;IF($PC60&lt;-1," pontos"," ponto"),""),IF(IFERROR(VLOOKUP(SUBSTITUTE(SUBSTITUTE(SUBSTITUTE($NB60,"~","~~"),"*","~*"),"?","~?"),'DADOS_RESTRICOES'!$M$2:$Q$54,4,FALSE),0)+IFERROR(VLOOKUP(SUBSTITUTE(SUBSTITUTE(SUBSTITUTE($NC60,"~","~~"),"*","~*"),"?","~?"),'DADOS_RESTRICOES'!$M$2:$Q$54,4,FALSE),0)&gt;1,$OK60&amp;" e "&amp;$OL60&amp;" são as duas de frequência",""),IF(AND((COUNTIF($RK60:$RN60,"Rápido")+COUNTIF($OK60:$OL60,"Rápido"))&gt;0,(COUNTIF($MX60:$NA60,"Atrasar")+COUNTIF($OK60:$OL60,"Atrasar"))&gt;0),"Rápido não entra com Atrasar",""),IF(AND((COUNTIF($RK60:$RN60,"Reação")+COUNTIF($OK60:$OL60,"Reação"))&gt;0,(COUNTIF($RK60:$RN60,"Rápido")+COUNTIF($OK60:$OL60,"Rápido"))&gt;0),"Reação não entra com Rápido",""),IF(AND((COUNTIF($RK60:$RN60,"Reação")+COUNTIF($OK60:$OL60,"Reação"))&gt;0,(COUNTIF($RK60:$RN60,"Armado")+COUNTIF($OK60:$OL60,"Armado"))&gt;0),"Reação não entra com Armado",""),IF(AND((COUNTIF($RK60:$RN60,"Reação")+COUNTIF($OK60:$OL60,"Reação"))&gt;0,(COUNTIF($MX60:$NA60,"Atrasar")+COUNTIF($OK60:$OL60,"Atrasar"))&gt;0),"Reação não entra com Atrasar",""),IF(AND((COUNTIF($RK60:$RN60,"Reação")+COUNTIF($OK60:$OL60,"Reação"))&gt;0,(COUNTIF($MX60:$NA60,"Parado")+COUNTIF($OK60:$OL60,"Parado"))&gt;0),"Reação não entra com Parado",""),IF(AND((COUNTIF($MX60:$NA60,"Atrasar")+COUNTIF($OK60:$OL60,"Atrasar"))&gt;0,(COUNTIF($MX60:$NA60,"Parado")+COUNTIF($OK60:$OL60,"Parado"))&gt;0),"Atrasar não entra com Parado",""),IF(AND((COUNTIF($RK60:$RN60,"Armado")+COUNTIF($OK60:$OL60,"Armado"))&gt;0,(COUNTIF($MX60:$NA60,"Carregar")+COUNTIF($OK60:$OL60,"Carregar"))&gt;0),"Armado não entra com Carregar",""),IF(AND(COUNTIF($OK60:$OL60,"Corpo a Corpo")&gt;0,$OF60=0,OR($RO60="Cone",$RO60="Linha")),"Corpo a Corpo não entra em "&amp;$MU60,""),IF(AND(COUNTIF($OK60:$OL60,"Corpo a Corpo")&gt;0,$RP60="Corpo a Corpo"),"A Forma "&amp;$MU60&amp;" já traz o Corpo a Corpo",""),IF(AND(COUNTIF($OK60:$OL60,"Tudo ou Nada")&gt;0,$OH60=0),"Tudo ou Nada só entra em habilidade de Teste de Resistência",""),IF(AND(COUNTIF($RK60:$RN60,"Inescapável")&gt;0,OR($OU60&gt;1,$OV60&gt;0)),"Inescapável não aceita outra peça",""),IF(AND($MS60&gt;0,$PD60*IF(COUNTIF($RK60:$RN60,"Remate")&gt;0,1.25,1)+$PE60&gt;4*$MS60),($PD60*IF(COUNTIF($RK60:$RN60,"Remate")&gt;0,1.25,1)+$PE60)&amp;" dados somando repetições"&amp;IF(COUNTIF($RK60:$RN60,"Remate")&gt;0," e o Remate","")&amp;": o teto da Classe "&amp;$MS60&amp;" é "&amp;4*$MS60,""))),IF(AND($MX60&lt;&gt;"",COUNTIF('DADOS_MELHORIAS'!$O$2:$O$113,SUBSTITUTE(SUBSTITUTE(SUBSTITUTE($MX60,"~","~~"),"*","~*"),"?","~?"))=0),"Melhoria não cadastrada ou com erro: "&amp;$MX60,""),IF(AND($MY60&lt;&gt;"",COUNTIF('DADOS_MELHORIAS'!$O$2:$O$113,SUBSTITUTE(SUBSTITUTE(SUBSTITUTE($MY60,"~","~~"),"*","~*"),"?","~?"))=0),"Melhoria não cadastrada ou com erro: "&amp;$MY60,""),IF(AND($MZ60&lt;&gt;"",COUNTIF('DADOS_MELHORIAS'!$O$2:$O$113,SUBSTITUTE(SUBSTITUTE(SUBSTITUTE($MZ60,"~","~~"),"*","~*"),"?","~?"))=0),"Melhoria não cadastrada ou com erro: "&amp;$MZ60,""),IF(AND($NA60&lt;&gt;"",COUNTIF('DADOS_MELHORIAS'!$O$2:$O$113,SUBSTITUTE(SUBSTITUTE(SUBSTITUTE($NA60,"~","~~"),"*","~*"),"?","~?"))=0),"Melhoria não cadastrada ou com erro: "&amp;$NA60,""),IF(AND($NB60&lt;&gt;"",COUNTIF('DADOS_RESTRICOES'!$M$2:$M$54,SUBSTITUTE(SUBSTITUTE(SUBSTITUTE($NB60,"~","~~"),"*","~*"),"?","~?"))=0),"Restrição não cadastrada ou com erro: "&amp;$NB60,""),IF(AND($NC60&lt;&gt;"",COUNTIF('DADOS_RESTRICOES'!$M$2:$M$54,SUBSTITUTE(SUBSTITUTE(SUBSTITUTE($NC60,"~","~~"),"*","~*"),"?","~?"))=0),"Restrição não cadastrada ou com erro: "&amp;$NC60,""))),IF(AND($MU60&lt;&gt;"",COUNTIF('DADOS_FORMAS'!$AH$2:$AH$21,SUBSTITUTE(SUBSTITUTE(SUBSTITUTE($MU60,"~","~~"),"*","~*"),"?","~?"))=0),"Forma não cadastrada ou com erro: "&amp;$MU60,""),IF(AND(IFERROR(INDEX('DADOS_FORMAS'!$AS$2:$AS$21,MATCH(SUBSTITUTE(SUBSTITUTE(SUBSTITUTE($MU60,"~","~~"),"*","~*"),"?","~?"),'DADOS_FORMAS'!$AH$2:$AH$21,0)),"")&lt;&gt;"",OR(IFERROR(VLOOKUP(SUBSTITUTE(SUBSTITUTE(SUBSTITUTE(IFERROR(INDEX('DADOS_FORMAS'!$AS$2:$AS$21,MATCH(SUBSTITUTE(SUBSTITUTE(SUBSTITUTE($MU60,"~","~~"),"*","~*"),"?","~?"),'DADOS_FORMAS'!$AH$2:$AH$21,0)),""),"~","~~"),"*","~*"),"?","~?"),'DADOS_RESTRICOES'!$M$2:$Q$54,2,FALSE),"")=$OK60,IFERROR(VLOOKUP(SUBSTITUTE(SUBSTITUTE(SUBSTITUTE(IFERROR(INDEX('DADOS_FORMAS'!$AS$2:$AS$21,MATCH(SUBSTITUTE(SUBSTITUTE(SUBSTITUTE($MU60,"~","~~"),"*","~*"),"?","~?"),'DADOS_FORMAS'!$AH$2:$AH$21,0)),""),"~","~~"),"*","~*"),"?","~?"),'DADOS_RESTRICOES'!$M$2:$Q$54,2,FALSE),"")=$OL60)),"Restrição repetida, contando a embutida",""),IF(IF(IFERROR(INDEX('DADOS_FORMAS'!$AS$2:$AS$21,MATCH(SUBSTITUTE(SUBSTITUTE(SUBSTITUTE($MU60,"~","~~"),"*","~*"),"?","~?"),'DADOS_FORMAS'!$AH$2:$AH$21,0)),"")="",0,IFERROR(N(VLOOKUP(SUBSTITUTE(SUBSTITUTE(SUBSTITUTE(IFERROR(INDEX('DADOS_FORMAS'!$AS$2:$AS$21,MATCH(SUBSTITUTE(SUBSTITUTE(SUBSTITUTE($MU60,"~","~~"),"*","~*"),"?","~?"),'DADOS_FORMAS'!$AH$2:$AH$21,0)),""),"~","~~"),"*","~*"),"?","~?"),'DADOS_RESTRICOES'!$M$2:$Q$54,4,FALSE)=1),0))+IF($NB60="",0,IFERROR(N(VLOOKUP(SUBSTITUTE(SUBSTITUTE(SUBSTITUTE($NB60,"~","~~"),"*","~*"),"?","~?"),'DADOS_RESTRICOES'!$M$2:$Q$54,4,FALSE)=1),0))+IF($NC60="",0,IFERROR(N(VLOOKUP(SUBSTITUTE(SUBSTITUTE(SUBSTITUTE($NC60,"~","~~"),"*","~*"),"?","~?"),'DADOS_RESTRICOES'!$M$2:$Q$54,4,FALSE)=1),0))&gt;1,"Duas Restrições de frequência, contando a embutida",""),IF(AND(IFERROR(VLOOKUP(SUBSTITUTE(SUBSTITUTE(SUBSTITUTE(IFERROR(INDEX('DADOS_FORMAS'!$AS$2:$AS$21,MATCH(SUBSTITUTE(SUBSTITUTE(SUBSTITUTE($MU60,"~","~~"),"*","~*"),"?","~?"),'DADOS_FORMAS'!$AH$2:$AH$21,0)),""),"~","~~"),"*","~*"),"?","~?"),'DADOS_RESTRICOES'!$M$2:$Q$54,2,FALSE),"")="Tudo ou Nada",$OH60=0),"Tudo ou Nada exige TR",""),IF(AND(IFERROR(VLOOKUP(SUBSTITUTE(SUBSTITUTE(SUBSTITUTE(IFERROR(INDEX('DADOS_FORMAS'!$AS$2:$AS$21,MATCH(SUBSTITUTE(SUBSTITUTE(SUBSTITUTE($MU60,"~","~~"),"*","~*"),"?","~?"),'DADOS_FORMAS'!$AH$2:$AH$21,0)),""),"~","~~"),"*","~*"),"?","~?"),'DADOS_RESTRICOES'!$M$2:$Q$54,2,FALSE),"")="Corpo a Corpo",OR($RO60="Cone",$RO60="Linha")),"Corpo a Corpo não entra em Cone/Linha","")))</f>
        <v/>
      </c>
      <c r="PU60" s="164">
        <f>IF($PT60="",0,(LEN($PT60)-LEN(SUBSTITUTE($PT60," · ","")))/3+1)</f>
        <v/>
      </c>
      <c r="PV60" s="164">
        <f>IF($ND60=0,"",TEXTJOIN(" · ",TRUE,IF($OX60&gt;2*$MS60,"A devolução parou no teto de "&amp;2*$MS60,""),IF($PA60&gt;0,"Devolução perdida: "&amp;$PA60&amp;IF($PA60&gt;1," pontos"," ponto")&amp;" sem Melhoria para pagar",""),IF(AND($OC60&gt;0,AND($MS60&gt;0,$OG60=0),$PD60=0),"Controle sem dano: uma rodada a mais e CD +2",""),IF(AND($OC60&gt;0,AND($MS60&gt;0,$OG60=0),$PD60&gt;0,$PD60&lt;=$MS60),"Controle com saldo até a Classe: uma rodada a mais",""),IF(AND($MS60&gt;0,$OE60&lt;&gt;""),"Efeito de "&amp;$OE60&amp;" pela Classe "&amp;MAX(1,$MS60-1),"")))</f>
        <v/>
      </c>
      <c r="PW60" s="164">
        <f>IF($PV60="",0,(LEN($PV60)-LEN(SUBSTITUTE($PV60," · ","")))/3+1)</f>
        <v/>
      </c>
      <c r="PX60" s="164">
        <f>IF($ND60=0,IF($OU60+COUNTIF($NB60:$NC60,"?*")&gt;0,"Dê um nome",""),IF($PU60&gt;0,"⚠ "&amp;$PU60&amp;IF($PU60&gt;1," erros"," erro"),IF($PW60&gt;0,"! "&amp;$PW60&amp;IF($PW60&gt;1," avisos"," aviso"),"Na regra")))</f>
        <v/>
      </c>
      <c r="PY60" s="164">
        <f>IF($ND60=0,"",IF($PU60+$PW60=0,"Dentro das regras que a ficha confere",$PT60&amp;IF(AND($PU60&gt;0,$PW60&gt;0)," · ","")&amp;$PV60))</f>
        <v/>
      </c>
      <c r="PZ60" s="164">
        <f>IF($MQ60&gt;$NE60,$MR60&amp;" · ABRE NO NÍVEL "&amp;$MQ60,$MR60)</f>
        <v/>
      </c>
      <c r="QA60" s="164">
        <f>IF($ND60=0,"",IF($MS60=0,"Sem PE",3*$MS60&amp;" PE"))</f>
        <v/>
      </c>
      <c r="QB60" s="164">
        <f>IF($ND60=0,"",IF($MS60=0,"A atuação básica dela",IF(COUNTIF($RQ60:$RS60,"Atrasar")&gt;0,"Sua Ação Completa",IF(COUNTIF($RK60:$RN60,"Rápido")&gt;0,"Sua Bônus",IF(COUNTIF($RK60:$RN60,"Reação")&gt;0,"Sua Reação","Sua Padrão")))&amp;" + a básica dela"&amp;IF(COUNTIF($RK60:$RN60,"Reação")&gt;0," e a coletiva","")&amp;IF(COUNTIF($RQ60:$RS60,"Carregar")&gt;0," · em dois turnos","")))</f>
        <v/>
      </c>
      <c r="QC60" s="164">
        <f>IF($MW60&lt;&gt;"",$MW60,IF($NJ60=0,"",INDEX('DADOS_FORMAS'!$GE$2:$GE$21,$NJ60)))</f>
        <v/>
      </c>
      <c r="QD60" s="164">
        <f>IF(OR($ND60=0,$NJ60=0),"",IF(COUNTIF($RK60:$RN60,"Inescapável")&gt;0,"Automático",IF($QC60="Ataque",IF($NH60="","Ataque","Ataque "&amp;IF(($NH60+2*IF(COUNTIF($RK60:$RN60,"Precisão")&gt;0,1,0))&gt;=0,"+","−")&amp;ABS(($NH60+2*IF(COUNTIF($RK60:$RN60,"Precisão")&gt;0,1,0))))&amp;IF($OD60&gt;0," · TR"&amp;IF($NI60="",""," CD "&amp;$NI60),""),IF(LEFT($QC60,2)="TR",$QC60&amp;IF($NI60="",""," · CD "&amp;$NI60)&amp;IF(COUNTIF($RK60:$RN60,"Certeiro")&gt;0," · metade",""),"Sem rolagem"))))</f>
        <v/>
      </c>
      <c r="QE60" s="164">
        <f>IF(OR($ND60=0,$NJ60=0),"",IF($MS60=0,IF(OR($OG60&gt;=1,$PD60=0),"Sem dano",$PD60&amp;"d6"&amp;IF($MV60="",""," "&amp;$MV60)),IF(OR($OG60&gt;=1,$PD60=0),UPPER(LEFT(INDEX($PM60:$PS60,1,MAX(1,$MS60)),1))&amp;MID(INDEX($PM60:$PS60,1,MAX(1,$MS60)),2,99),UPPER(LEFT(INDEX($PM60:$PS60,1,MAX(1,$MS60)),1))&amp;MID(INDEX($PM60:$PS60,1,MAX(1,$MS60)),2,99)&amp;IF($MV60="",""," "&amp;$MV60)&amp;IF($PE60&gt;0," · +"&amp;$PE60&amp;"d8",""))))</f>
        <v/>
      </c>
      <c r="QF60" s="164">
        <f>COUNTIF($RK60:$RN60,"Longe")+3*COUNTIF($RK60:$RN60,"Muito Longe")</f>
        <v/>
      </c>
      <c r="QG60" s="164">
        <f>COUNTIF($RK60:$RN60,"Maior")+3*COUNTIF($RK60:$RN60,"Muito Maior")</f>
        <v/>
      </c>
      <c r="QH60" s="164">
        <f>IF($NJ60=0,0,CHOOSE(1+INDEX('DADOS_FORMAS'!$GG$2:$GG$21,$NJ60),0,$QF60,$QG60,$QF60+$QG60))</f>
        <v/>
      </c>
      <c r="QI60" s="164">
        <f>IF($NJ60=0,0,CHOOSE(1+INDEX('DADOS_FORMAS'!$GH$2:$GH$21,$NJ60),0,$QF60,$QG60,$QF60+$QG60))</f>
        <v/>
      </c>
      <c r="QJ60" s="164">
        <f>IF(OR($ND60=0,$NJ60=0),"",INDEX('DADOS_FORMAS'!$HU$2:$HZ$81,($NJ60-1)*4+IF($MS60=0,1,IF($MS60&lt;=5,2,IF($MS60=6,3,4))),1+MIN(5,$QH60))&amp;INDEX('DADOS_FORMAS'!$IA$2:$IF$81,($NJ60-1)*4+IF($MS60=0,1,IF($MS60&lt;=5,2,IF($MS60=6,3,4))),1+MIN(5,$QI60))&amp;IF(INDEX('DADOS_FORMAS'!$GI$2:$GI$21,$NJ60)=1,IF(COUNTIF($RK60:$RN60,"Mais Um")&gt;0," · +"&amp;COUNTIF($RK60:$RN60,"Mais Um")&amp;IF(COUNTIF($RK60:$RN60,"Mais Um")&gt;1," alvos"," alvo"),"")&amp;IF(COUNTIF($RK60:$RN60,"Rajada")&gt;0,IF($MS60=0," · 1 tiro"," · "&amp;(MAX(1,$MS60-1)+1)&amp;" tiros"),""),""))</f>
        <v/>
      </c>
      <c r="QK60" s="164">
        <f>IF($ND60=0,"",IF($MS60=0,$NG60&amp;"d6"&amp;IF($OU60&gt;0," − 1 = "&amp;$PD60&amp;"d6"," da básica do nível "&amp;$NE60),$PB60&amp;" − "&amp;$OW60&amp;" + "&amp;$OZ60&amp;" = "&amp;$PC60&amp;" · teto "&amp;4*$MS60&amp;"d8"&amp;IF($OF60=1," · a Forma devolve "&amp;$MS60,"")&amp;IF($PA60&gt;0," · perde "&amp;$PA60,"")))</f>
        <v/>
      </c>
      <c r="QL60" s="164">
        <f>IF($ND60=0,"",IF($MS60=0,"A básica não amplia: os dados dela sobem com o nível",IF($MS60&gt;=$NF60,"Já está na maior Classe que o nível liberou",TEXTJOIN(" · ",TRUE,IF(AND(2&gt;$MS60,2&lt;=$NF60),"2 → "&amp;$PN60&amp;", 6 PE",""),IF(AND(3&gt;$MS60,3&lt;=$NF60),"3 → "&amp;$PO60&amp;", 9 PE",""),IF(AND(4&gt;$MS60,4&lt;=$NF60),"4 → "&amp;$PP60&amp;", 12 PE",""),IF(AND(5&gt;$MS60,5&lt;=$NF60),"5 → "&amp;$PQ60&amp;", 15 PE",""),IF(AND(6&gt;$MS60,6&lt;=$NF60),"6 → "&amp;$PR60&amp;", 18 PE",""),IF(AND(7&gt;$MS60,7&lt;=$NF60),"7 → "&amp;$PS60&amp;", 21 PE","")))))</f>
        <v/>
      </c>
      <c r="QM60" s="164">
        <f>IF(OR($ND60=0,$NO60=0),"",IF($MS60=0,"−1 dado","−"&amp;INDEX($I$2:$N$8,MAX(1,$MS60),MAX(1,$NT60))&amp;" · "&amp;CHOOSE(MAX(1,$NT60),"Leve","Média","Pesada","Leve · Livre","Média · Livre","Pesada · Livre")))</f>
        <v/>
      </c>
      <c r="QN60" s="164">
        <f>IF(OR($ND60=0,$NP60=0),"",IF($MS60=0,"−1 dado","−"&amp;INDEX($I$2:$N$8,MAX(1,$MS60),MAX(1,$NU60))&amp;" · "&amp;CHOOSE(MAX(1,$NU60),"Leve","Média","Pesada","Leve · Livre","Média · Livre","Pesada · Livre")))</f>
        <v/>
      </c>
      <c r="QO60" s="164">
        <f>IF(OR($ND60=0,$NQ60=0),"",IF($MS60=0,"−1 dado","−"&amp;INDEX($I$2:$N$8,MAX(1,$MS60),MAX(1,$NV60))&amp;" · "&amp;CHOOSE(MAX(1,$NV60),"Leve","Média","Pesada","Leve · Livre","Média · Livre","Pesada · Livre")))</f>
        <v/>
      </c>
      <c r="QP60" s="164">
        <f>IF(OR($ND60=0,$NR60=0),"",IF($MS60=0,"−1 dado","−"&amp;INDEX($I$2:$N$8,MAX(1,$MS60),MAX(1,$NW60))&amp;" · "&amp;CHOOSE(MAX(1,$NW60),"Leve","Média","Pesada","Leve · Livre","Média · Livre","Pesada · Livre")))</f>
        <v/>
      </c>
      <c r="QQ60" s="164">
        <f>IF(OR($ND60=0,$NB60=""),"",IF($MS60=0,"não devolve","+"&amp;IF($OI60=1,CEILING($MS60/2,1),$MS60)))</f>
        <v/>
      </c>
      <c r="QR60" s="164">
        <f>IF(OR($ND60=0,$NC60=""),"",IF($MS60=0,"não devolve","+"&amp;IF($OJ60=1,CEILING($MS60/2,1),$MS60)))</f>
        <v/>
      </c>
      <c r="RK60">
        <f>IF($MX60="","",IFERROR(VLOOKUP(SUBSTITUTE(SUBSTITUTE(SUBSTITUTE($MX60,"~","~~"),"*","~*"),"?","~?"),'DADOS_MELHORIAS'!$O$2:$X$113,10,FALSE),$MX60))</f>
        <v/>
      </c>
      <c r="RL60">
        <f>IF($MY60="","",IFERROR(VLOOKUP(SUBSTITUTE(SUBSTITUTE(SUBSTITUTE($MY60,"~","~~"),"*","~*"),"?","~?"),'DADOS_MELHORIAS'!$O$2:$X$113,10,FALSE),$MY60))</f>
        <v/>
      </c>
      <c r="RM60">
        <f>IF($MZ60="","",IFERROR(VLOOKUP(SUBSTITUTE(SUBSTITUTE(SUBSTITUTE($MZ60,"~","~~"),"*","~*"),"?","~?"),'DADOS_MELHORIAS'!$O$2:$X$113,10,FALSE),$MZ60))</f>
        <v/>
      </c>
      <c r="RN60">
        <f>IF($NA60="","",IFERROR(VLOOKUP(SUBSTITUTE(SUBSTITUTE(SUBSTITUTE($NA60,"~","~~"),"*","~*"),"?","~?"),'DADOS_MELHORIAS'!$O$2:$X$113,10,FALSE),$NA60))</f>
        <v/>
      </c>
      <c r="RO60">
        <f>IFERROR(INDEX('DADOS_FORMAS'!$BJ$2:$BJ$21,MATCH(SUBSTITUTE(SUBSTITUTE(SUBSTITUTE($MU60,"~","~~"),"*","~*"),"?","~?"),'DADOS_FORMAS'!$AH$2:$AH$21,0)),"")</f>
        <v/>
      </c>
      <c r="RP60">
        <f>IFERROR(VLOOKUP(SUBSTITUTE(SUBSTITUTE(SUBSTITUTE(IFERROR(INDEX('DADOS_FORMAS'!$AS$2:$AS$21,MATCH(SUBSTITUTE(SUBSTITUTE(SUBSTITUTE($MU60,"~","~~"),"*","~*"),"?","~?"),'DADOS_FORMAS'!$AH$2:$AH$21,0)),""),"~","~~"),"*","~*"),"?","~?"),'DADOS_RESTRICOES'!$M$2:$Q$54,2,FALSE),"")</f>
        <v/>
      </c>
      <c r="RQ60">
        <f>$OK60</f>
        <v/>
      </c>
      <c r="RR60">
        <f>$OL60</f>
        <v/>
      </c>
      <c r="RS60">
        <f>$RP60</f>
        <v/>
      </c>
    </row>
    <row r="61">
      <c r="AV61" s="162" t="inlineStr">
        <is>
          <t>Armado</t>
        </is>
      </c>
      <c r="AW61" s="162" t="inlineStr">
        <is>
          <t>Tempo</t>
        </is>
      </c>
      <c r="AX61" s="164" t="n">
        <v>1</v>
      </c>
      <c r="AY61" s="164" t="n">
        <v>0</v>
      </c>
      <c r="AZ61" s="164" t="n">
        <v>0</v>
      </c>
      <c r="BA61" s="164" t="n">
        <v>0</v>
      </c>
      <c r="JT61" s="164">
        <f>IF(OR($AW61="",(COUNTIF($EL$2:$EP$2,$AW61)+COUNTIF($QV$2:$QY$2,$AW61))&gt;0),$AV61,"")</f>
        <v/>
      </c>
      <c r="JU61" s="164">
        <f>IF(AND($AX61=1,OR($AW61="",(COUNTIF($EL$2:$EP$2,$AW61)+COUNTIF($QV$2:$QY$2,$AW61))&gt;0)),$AV61,"")</f>
        <v/>
      </c>
      <c r="JZ61" s="164">
        <f>IF(OR($AW61="",(COUNTIF($EL$3:$EP$3,$AW61)+COUNTIF($QV$3:$QY$3,$AW61))&gt;0),$AV61,"")</f>
        <v/>
      </c>
      <c r="KA61" s="164">
        <f>IF(AND($AX61=1,OR($AW61="",(COUNTIF($EL$3:$EP$3,$AW61)+COUNTIF($QV$3:$QY$3,$AW61))&gt;0)),$AV61,"")</f>
        <v/>
      </c>
      <c r="KF61" s="164">
        <f>IF(OR($AW61="",(COUNTIF($EL$4:$EP$4,$AW61)+COUNTIF($QV$4:$QY$4,$AW61))&gt;0),$AV61,"")</f>
        <v/>
      </c>
      <c r="KG61" s="164">
        <f>IF(AND($AX61=1,OR($AW61="",(COUNTIF($EL$4:$EP$4,$AW61)+COUNTIF($QV$4:$QY$4,$AW61))&gt;0)),$AV61,"")</f>
        <v/>
      </c>
      <c r="KL61" s="164">
        <f>IF(OR($AW61="",(COUNTIF($EL$5:$EP$5,$AW61)+COUNTIF($QV$5:$QY$5,$AW61))&gt;0),$AV61,"")</f>
        <v/>
      </c>
      <c r="KM61" s="164">
        <f>IF(AND($AX61=1,OR($AW61="",(COUNTIF($EL$5:$EP$5,$AW61)+COUNTIF($QV$5:$QY$5,$AW61))&gt;0)),$AV61,"")</f>
        <v/>
      </c>
      <c r="KR61" s="164">
        <f>IF(OR($AW61="",(COUNTIF($EL$6:$EP$6,$AW61)+COUNTIF($QV$6:$QY$6,$AW61))&gt;0),$AV61,"")</f>
        <v/>
      </c>
      <c r="KS61" s="164">
        <f>IF(AND($AX61=1,OR($AW61="",(COUNTIF($EL$6:$EP$6,$AW61)+COUNTIF($QV$6:$QY$6,$AW61))&gt;0)),$AV61,"")</f>
        <v/>
      </c>
      <c r="KX61" s="164">
        <f>IF(OR($AW61="",(COUNTIF($EL$7:$EP$7,$AW61)+COUNTIF($QV$7:$QY$7,$AW61))&gt;0),$AV61,"")</f>
        <v/>
      </c>
      <c r="KY61" s="164">
        <f>IF(AND($AX61=1,OR($AW61="",(COUNTIF($EL$7:$EP$7,$AW61)+COUNTIF($QV$7:$QY$7,$AW61))&gt;0)),$AV61,"")</f>
        <v/>
      </c>
      <c r="LD61" s="164">
        <f>IF(OR($AW61="",(COUNTIF($EL$8:$EP$8,$AW61)+COUNTIF($QV$8:$QY$8,$AW61))&gt;0),$AV61,"")</f>
        <v/>
      </c>
      <c r="LE61" s="164">
        <f>IF(AND($AX61=1,OR($AW61="",(COUNTIF($EL$8:$EP$8,$AW61)+COUNTIF($QV$8:$QY$8,$AW61))&gt;0)),$AV61,"")</f>
        <v/>
      </c>
      <c r="LJ61" s="164">
        <f>IF(OR($AW61="",(COUNTIF($EL$9:$EP$9,$AW61)+COUNTIF($QV$9:$QY$9,$AW61))&gt;0),$AV61,"")</f>
        <v/>
      </c>
      <c r="LK61" s="164">
        <f>IF(AND($AX61=1,OR($AW61="",(COUNTIF($EL$9:$EP$9,$AW61)+COUNTIF($QV$9:$QY$9,$AW61))&gt;0)),$AV61,"")</f>
        <v/>
      </c>
      <c r="LP61" s="164">
        <f>IF(OR($AW61="",(COUNTIF($EL$10:$EP$10,$AW61)+COUNTIF($QV$10:$QY$10,$AW61))&gt;0),$AV61,"")</f>
        <v/>
      </c>
      <c r="LQ61" s="164">
        <f>IF(AND($AX61=1,OR($AW61="",(COUNTIF($EL$10:$EP$10,$AW61)+COUNTIF($QV$10:$QY$10,$AW61))&gt;0)),$AV61,"")</f>
        <v/>
      </c>
      <c r="LV61" s="164">
        <f>IF(OR($AW61="",(COUNTIF($EL$11:$EP$11,$AW61)+COUNTIF($QV$11:$QY$11,$AW61))&gt;0),$AV61,"")</f>
        <v/>
      </c>
      <c r="LW61" s="164">
        <f>IF(AND($AX61=1,OR($AW61="",(COUNTIF($EL$11:$EP$11,$AW61)+COUNTIF($QV$11:$QY$11,$AW61))&gt;0)),$AV61,"")</f>
        <v/>
      </c>
      <c r="MB61" s="164">
        <f>IF(OR($AW61="",(COUNTIF($EL$12:$EP$12,$AW61)+COUNTIF($QV$12:$QY$12,$AW61))&gt;0),$AV61,"")</f>
        <v/>
      </c>
      <c r="MC61" s="164">
        <f>IF(AND($AX61=1,OR($AW61="",(COUNTIF($EL$12:$EP$12,$AW61)+COUNTIF($QV$12:$QY$12,$AW61))&gt;0)),$AV61,"")</f>
        <v/>
      </c>
      <c r="MH61" s="164">
        <f>IF(OR($AW61="",(COUNTIF($EL$13:$EP$13,$AW61)+COUNTIF($QV$13:$QY$13,$AW61))&gt;0),$AV61,"")</f>
        <v/>
      </c>
      <c r="MI61" s="164">
        <f>IF(AND($AX61=1,OR($AW61="",(COUNTIF($EL$13:$EP$13,$AW61)+COUNTIF($QV$13:$QY$13,$AW61))&gt;0)),$AV61,"")</f>
        <v/>
      </c>
      <c r="MN61" s="162" t="inlineStr">
        <is>
          <t>Ficha 5 · Especial 6</t>
        </is>
      </c>
      <c r="MO61" s="164" t="n">
        <v>5</v>
      </c>
      <c r="MP61" s="164" t="n">
        <v>1</v>
      </c>
      <c r="MQ61" s="164" t="n">
        <v>20</v>
      </c>
      <c r="MR61" s="162" t="inlineStr">
        <is>
          <t>ESPECIAL 6</t>
        </is>
      </c>
      <c r="MS61" s="164">
        <f>MAX(1,MIN(7,N('INVOCAÇÕES'!$O$971)))</f>
        <v/>
      </c>
      <c r="MT61" s="164">
        <f>'INVOCAÇÕES'!$P$971&amp;""</f>
        <v/>
      </c>
      <c r="MU61" s="164">
        <f>'INVOCAÇÕES'!$O$976&amp;""</f>
        <v/>
      </c>
      <c r="MV61" s="164">
        <f>'INVOCAÇÕES'!$O$977&amp;""</f>
        <v/>
      </c>
      <c r="MW61" s="164">
        <f>'INVOCAÇÕES'!$Q$977&amp;""</f>
        <v/>
      </c>
      <c r="MX61" s="164">
        <f>'INVOCAÇÕES'!$P$980&amp;""</f>
        <v/>
      </c>
      <c r="MY61" s="164">
        <f>'INVOCAÇÕES'!$P$981&amp;""</f>
        <v/>
      </c>
      <c r="MZ61" s="164">
        <f>'INVOCAÇÕES'!$P$982&amp;""</f>
        <v/>
      </c>
      <c r="NA61" s="164">
        <f>'INVOCAÇÕES'!$P$983&amp;""</f>
        <v/>
      </c>
      <c r="NB61" s="164">
        <f>'INVOCAÇÕES'!$P$984&amp;""</f>
        <v/>
      </c>
      <c r="NC61" s="164">
        <f>'INVOCAÇÕES'!$P$985&amp;""</f>
        <v/>
      </c>
      <c r="ND61" s="164">
        <f>IF($MT61&lt;&gt;"",1,0)</f>
        <v/>
      </c>
      <c r="NE61" s="164">
        <f>INDEX($FO$2:$FO$13,$MO61)</f>
        <v/>
      </c>
      <c r="NF61" s="164">
        <f>INDEX($FP$2:$FP$13,$MO61)</f>
        <v/>
      </c>
      <c r="NG61" s="164">
        <f>INDEX($FQ$2:$FQ$13,$MO61)</f>
        <v/>
      </c>
      <c r="NH61" s="164">
        <f>INDEX($GB$2:$GB$13,$MO61)</f>
        <v/>
      </c>
      <c r="NI61" s="164">
        <f>INDEX($GC$2:$GC$13,$MO61)</f>
        <v/>
      </c>
      <c r="NJ61" s="164">
        <f>IFERROR(MATCH(SUBSTITUTE(SUBSTITUTE(SUBSTITUTE($MU61,"~","~~"),"*","~*"),"?","~?"),'DADOS_FORMAS'!$FZ$2:$FZ$21,0),0)</f>
        <v/>
      </c>
      <c r="NK61" s="164">
        <f>IFERROR(VLOOKUP(SUBSTITUTE(SUBSTITUTE(SUBSTITUTE($MX61,"~","~~"),"*","~*"),"?","~?"),'DADOS_MELHORIAS'!$AG$2:$AL$113,2,FALSE),"")</f>
        <v/>
      </c>
      <c r="NL61" s="164">
        <f>IFERROR(VLOOKUP(SUBSTITUTE(SUBSTITUTE(SUBSTITUTE($MY61,"~","~~"),"*","~*"),"?","~?"),'DADOS_MELHORIAS'!$AG$2:$AL$113,2,FALSE),"")</f>
        <v/>
      </c>
      <c r="NM61" s="164">
        <f>IFERROR(VLOOKUP(SUBSTITUTE(SUBSTITUTE(SUBSTITUTE($MZ61,"~","~~"),"*","~*"),"?","~?"),'DADOS_MELHORIAS'!$AG$2:$AL$113,2,FALSE),"")</f>
        <v/>
      </c>
      <c r="NN61" s="164">
        <f>IFERROR(VLOOKUP(SUBSTITUTE(SUBSTITUTE(SUBSTITUTE($NA61,"~","~~"),"*","~*"),"?","~?"),'DADOS_MELHORIAS'!$AG$2:$AL$113,2,FALSE),"")</f>
        <v/>
      </c>
      <c r="NO61" s="164">
        <f>IFERROR(VLOOKUP(SUBSTITUTE(SUBSTITUTE(SUBSTITUTE($MX61,"~","~~"),"*","~*"),"?","~?"),'DADOS_MELHORIAS'!$AG$2:$AL$113,3,FALSE),0)</f>
        <v/>
      </c>
      <c r="NP61" s="164">
        <f>IFERROR(VLOOKUP(SUBSTITUTE(SUBSTITUTE(SUBSTITUTE($MY61,"~","~~"),"*","~*"),"?","~?"),'DADOS_MELHORIAS'!$AG$2:$AL$113,3,FALSE),0)</f>
        <v/>
      </c>
      <c r="NQ61" s="164">
        <f>IFERROR(VLOOKUP(SUBSTITUTE(SUBSTITUTE(SUBSTITUTE($MZ61,"~","~~"),"*","~*"),"?","~?"),'DADOS_MELHORIAS'!$AG$2:$AL$113,3,FALSE),0)</f>
        <v/>
      </c>
      <c r="NR61" s="164">
        <f>IFERROR(VLOOKUP(SUBSTITUTE(SUBSTITUTE(SUBSTITUTE($NA61,"~","~~"),"*","~*"),"?","~?"),'DADOS_MELHORIAS'!$AG$2:$AL$113,3,FALSE),0)</f>
        <v/>
      </c>
      <c r="NS61" s="164">
        <f>IF($MS61=0,0,IF($NJ61=0,0,INDEX('DADOS_FORMAS'!$GB$2:$GB$21,$NJ61)))</f>
        <v/>
      </c>
      <c r="NT61" s="164">
        <f>IF(OR($NO61=0,$MS61=0),0,$NO61+3*IF(AND($NK61&lt;&gt;"",COUNTIF(INDEX($RB$2:$RJ$13,$MO61,0),$NK61)&gt;0),1,0))</f>
        <v/>
      </c>
      <c r="NU61" s="164">
        <f>IF(OR($NP61=0,$MS61=0),0,$NP61+3*IF(AND($NL61&lt;&gt;"",COUNTIF(INDEX($RB$2:$RJ$13,$MO61,0),$NL61)&gt;0),1,0))</f>
        <v/>
      </c>
      <c r="NV61" s="164">
        <f>IF(OR($NQ61=0,$MS61=0),0,$NQ61+3*IF(AND($NM61&lt;&gt;"",COUNTIF(INDEX($RB$2:$RJ$13,$MO61,0),$NM61)&gt;0),1,0))</f>
        <v/>
      </c>
      <c r="NW61" s="164">
        <f>IF(OR($NR61=0,$MS61=0),0,$NR61+3*IF(AND($NN61&lt;&gt;"",COUNTIF(INDEX($RB$2:$RJ$13,$MO61,0),$NN61)&gt;0),1,0))</f>
        <v/>
      </c>
      <c r="NX61" s="164">
        <f>IF($NJ61=0,0,IF(INDEX('DADOS_FORMAS'!$GA$2:$GA$21,$NJ61)="",0,IF((COUNTIF(INDEX($EL$2:$EP$13,$MO61,0),INDEX('DADOS_FORMAS'!$GA$2:$GA$21,$NJ61))+COUNTIF(INDEX($QV$2:$QY$13,$MO61,0),INDEX('DADOS_FORMAS'!$GA$2:$GA$21,$NJ61)))=0,1,0)))</f>
        <v/>
      </c>
      <c r="NY61" s="164">
        <f>IF(OR($NO61=0,$NK61=""),0,IF((COUNTIF(INDEX($EL$2:$EP$13,$MO61,0),$NK61)+COUNTIF(INDEX($QV$2:$QY$13,$MO61,0),$NK61))=0,1,0))</f>
        <v/>
      </c>
      <c r="NZ61" s="164">
        <f>IF(OR($NP61=0,$NL61=""),0,IF((COUNTIF(INDEX($EL$2:$EP$13,$MO61,0),$NL61)+COUNTIF(INDEX($QV$2:$QY$13,$MO61,0),$NL61))=0,1,0))</f>
        <v/>
      </c>
      <c r="OA61" s="164">
        <f>IF(OR($NQ61=0,$NM61=""),0,IF((COUNTIF(INDEX($EL$2:$EP$13,$MO61,0),$NM61)+COUNTIF(INDEX($QV$2:$QY$13,$MO61,0),$NM61))=0,1,0))</f>
        <v/>
      </c>
      <c r="OB61" s="164">
        <f>IF(OR($NR61=0,$NN61=""),0,IF((COUNTIF(INDEX($EL$2:$EP$13,$MO61,0),$NN61)+COUNTIF(INDEX($QV$2:$QY$13,$MO61,0),$NN61))=0,1,0))</f>
        <v/>
      </c>
      <c r="OC61" s="164">
        <f>IFERROR(VLOOKUP(SUBSTITUTE(SUBSTITUTE(SUBSTITUTE($MX61,"~","~~"),"*","~*"),"?","~?"),'DADOS_MELHORIAS'!$AG$2:$AL$113,4,FALSE),0)+IFERROR(VLOOKUP(SUBSTITUTE(SUBSTITUTE(SUBSTITUTE($MY61,"~","~~"),"*","~*"),"?","~?"),'DADOS_MELHORIAS'!$AG$2:$AL$113,4,FALSE),0)+IFERROR(VLOOKUP(SUBSTITUTE(SUBSTITUTE(SUBSTITUTE($MZ61,"~","~~"),"*","~*"),"?","~?"),'DADOS_MELHORIAS'!$AG$2:$AL$113,4,FALSE),0)+IFERROR(VLOOKUP(SUBSTITUTE(SUBSTITUTE(SUBSTITUTE($NA61,"~","~~"),"*","~*"),"?","~?"),'DADOS_MELHORIAS'!$AG$2:$AL$113,4,FALSE),0)</f>
        <v/>
      </c>
      <c r="OD61" s="164">
        <f>IFERROR(VLOOKUP(SUBSTITUTE(SUBSTITUTE(SUBSTITUTE($MX61,"~","~~"),"*","~*"),"?","~?"),'DADOS_MELHORIAS'!$AG$2:$AL$113,6,FALSE),0)+IFERROR(VLOOKUP(SUBSTITUTE(SUBSTITUTE(SUBSTITUTE($MY61,"~","~~"),"*","~*"),"?","~?"),'DADOS_MELHORIAS'!$AG$2:$AL$113,6,FALSE),0)+IFERROR(VLOOKUP(SUBSTITUTE(SUBSTITUTE(SUBSTITUTE($MZ61,"~","~~"),"*","~*"),"?","~?"),'DADOS_MELHORIAS'!$AG$2:$AL$113,6,FALSE),0)+IFERROR(VLOOKUP(SUBSTITUTE(SUBSTITUTE(SUBSTITUTE($NA61,"~","~~"),"*","~*"),"?","~?"),'DADOS_MELHORIAS'!$AG$2:$AL$113,6,FALSE),0)+IFERROR(N(AND(INDEX('DADOS_FORMAS'!$AO$2:$AO$21,MATCH(SUBSTITUTE(SUBSTITUTE(SUBSTITUTE($MU61,"~","~~"),"*","~*"),"?","~?"),'DADOS_FORMAS'!$AH$2:$AH$21,0))="Acerto",$OH61=1)),0)</f>
        <v/>
      </c>
      <c r="OE61" s="164">
        <f>TEXTJOIN(", ",TRUE,IF(IFERROR(VLOOKUP(SUBSTITUTE(SUBSTITUTE(SUBSTITUTE($MX61,"~","~~"),"*","~*"),"?","~?"),'DADOS_MELHORIAS'!$AG$2:$AL$113,5,FALSE),0)=1,$MX61,""),IF(IFERROR(VLOOKUP(SUBSTITUTE(SUBSTITUTE(SUBSTITUTE($MY61,"~","~~"),"*","~*"),"?","~?"),'DADOS_MELHORIAS'!$AG$2:$AL$113,5,FALSE),0)=1,$MY61,""),IF(IFERROR(VLOOKUP(SUBSTITUTE(SUBSTITUTE(SUBSTITUTE($MZ61,"~","~~"),"*","~*"),"?","~?"),'DADOS_MELHORIAS'!$AG$2:$AL$113,5,FALSE),0)=1,$MZ61,""),IF(IFERROR(VLOOKUP(SUBSTITUTE(SUBSTITUTE(SUBSTITUTE($NA61,"~","~~"),"*","~*"),"?","~?"),'DADOS_MELHORIAS'!$AG$2:$AL$113,5,FALSE),0)=1,$NA61,""))</f>
        <v/>
      </c>
      <c r="OF61" s="164">
        <f>IF($NJ61=0,0,INDEX('DADOS_FORMAS'!$GC$2:$GC$21,$NJ61))</f>
        <v/>
      </c>
      <c r="OG61" s="164">
        <f>IF($NJ61=0,0,INDEX('DADOS_FORMAS'!$GD$2:$GD$21,$NJ61))</f>
        <v/>
      </c>
      <c r="OH61" s="164">
        <f>IF($NJ61=0,0,INDEX('DADOS_FORMAS'!$GF$2:$GF$21,$NJ61))</f>
        <v/>
      </c>
      <c r="OI61" s="164">
        <f>IFERROR(VLOOKUP(SUBSTITUTE(SUBSTITUTE(SUBSTITUTE($NB61,"~","~~"),"*","~*"),"?","~?"),'DADOS_RESTRICOES'!$M$2:$Q$54,3,FALSE),0)</f>
        <v/>
      </c>
      <c r="OJ61" s="164">
        <f>IFERROR(VLOOKUP(SUBSTITUTE(SUBSTITUTE(SUBSTITUTE($NC61,"~","~~"),"*","~*"),"?","~?"),'DADOS_RESTRICOES'!$M$2:$Q$54,3,FALSE),0)</f>
        <v/>
      </c>
      <c r="OK61" s="164">
        <f>IFERROR(VLOOKUP(SUBSTITUTE(SUBSTITUTE(SUBSTITUTE($NB61,"~","~~"),"*","~*"),"?","~?"),'DADOS_RESTRICOES'!$M$2:$Q$54,2,FALSE),"")</f>
        <v/>
      </c>
      <c r="OL61" s="164">
        <f>IFERROR(VLOOKUP(SUBSTITUTE(SUBSTITUTE(SUBSTITUTE($NC61,"~","~~"),"*","~*"),"?","~?"),'DADOS_RESTRICOES'!$M$2:$Q$54,2,FALSE),"")</f>
        <v/>
      </c>
      <c r="OM61" s="164">
        <f>COUNTIF($NS61:$NW61,1)</f>
        <v/>
      </c>
      <c r="ON61" s="164">
        <f>COUNTIF($NS61:$NW61,2)</f>
        <v/>
      </c>
      <c r="OO61" s="164">
        <f>COUNTIF($NS61:$NW61,3)</f>
        <v/>
      </c>
      <c r="OP61" s="164">
        <f>COUNTIF($NS61:$NW61,4)</f>
        <v/>
      </c>
      <c r="OQ61" s="164">
        <f>COUNTIF($NS61:$NW61,5)</f>
        <v/>
      </c>
      <c r="OR61" s="164">
        <f>COUNTIF($NS61:$NW61,6)</f>
        <v/>
      </c>
      <c r="OS61" s="164">
        <f>COUNTIF($OI61:$OJ61,1)+IF(IFERROR(INDEX('DADOS_FORMAS'!$AS$2:$AS$21,MATCH(SUBSTITUTE(SUBSTITUTE(SUBSTITUTE($MU61,"~","~~"),"*","~*"),"?","~?"),'DADOS_FORMAS'!$AH$2:$AH$21,0)),"")="",0,IFERROR(N(VLOOKUP(SUBSTITUTE(SUBSTITUTE(SUBSTITUTE(IFERROR(INDEX('DADOS_FORMAS'!$AS$2:$AS$21,MATCH(SUBSTITUTE(SUBSTITUTE(SUBSTITUTE($MU61,"~","~~"),"*","~*"),"?","~?"),'DADOS_FORMAS'!$AH$2:$AH$21,0)),""),"~","~~"),"*","~*"),"?","~?"),'DADOS_RESTRICOES'!$M$2:$Q$54,3,FALSE)=1),0))</f>
        <v/>
      </c>
      <c r="OT61" s="164">
        <f>COUNTIF($OI61:$OJ61,2)+IF(IFERROR(INDEX('DADOS_FORMAS'!$AS$2:$AS$21,MATCH(SUBSTITUTE(SUBSTITUTE(SUBSTITUTE($MU61,"~","~~"),"*","~*"),"?","~?"),'DADOS_FORMAS'!$AH$2:$AH$21,0)),"")="",0,IFERROR(N(VLOOKUP(SUBSTITUTE(SUBSTITUTE(SUBSTITUTE(IFERROR(INDEX('DADOS_FORMAS'!$AS$2:$AS$21,MATCH(SUBSTITUTE(SUBSTITUTE(SUBSTITUTE($MU61,"~","~~"),"*","~*"),"?","~?"),'DADOS_FORMAS'!$AH$2:$AH$21,0)),""),"~","~~"),"*","~*"),"?","~?"),'DADOS_RESTRICOES'!$M$2:$Q$54,3,FALSE)=2),0))</f>
        <v/>
      </c>
      <c r="OU61" s="164">
        <f>COUNTIF($MX61:$NA61,"?*")</f>
        <v/>
      </c>
      <c r="OV61" s="164">
        <f>COUNTIF($NB61:$NC61,"?*")+$OF61</f>
        <v/>
      </c>
      <c r="OW61" s="164">
        <f>IF($MS61=0,0,SUMPRODUCT($OM61:$OR61,INDEX($I$2:$N$8,MAX(1,$MS61),0)))</f>
        <v/>
      </c>
      <c r="OX61" s="164">
        <f>IF($MS61=0,0,$OS61*CEILING($MS61/2,1)+$OT61*$MS61)</f>
        <v/>
      </c>
      <c r="OY61" s="164">
        <f>MIN(2*$MS61,$OX61)</f>
        <v/>
      </c>
      <c r="OZ61" s="164">
        <f>MIN($OY61,$OW61-IF($NS61=0,0,INDEX($I$2:$N$8,MAX(1,$MS61),$NS61)))</f>
        <v/>
      </c>
      <c r="PA61" s="164">
        <f>$OY61-$OZ61</f>
        <v/>
      </c>
      <c r="PB61" s="164">
        <f>IF($MS61=0,0,INDEX($P$2:$P$8,MAX(1,$MS61)))</f>
        <v/>
      </c>
      <c r="PC61" s="164">
        <f>$PB61-$OW61+$OZ61</f>
        <v/>
      </c>
      <c r="PD61" s="164">
        <f>IF($MS61=0,MAX(0,$NG61-IF(AND($OU61&gt;0,COUNTIF($NB61:$NC61,"?*")=0),1,0)),MAX(0,$PC61))</f>
        <v/>
      </c>
      <c r="PE61" s="164">
        <f>IF($MS61=0,0,(IF(COUNTIF($RK61:$RN61,"Salto")&gt;0,1,0)+IF(COUNTIF($RK61:$RN61,"Queima")&gt;0,1,0)+IF(COUNTIF($RK61:$RN61,"Estilhaço")&gt;0,1,0))*FLOOR($PD61/2,1))</f>
        <v/>
      </c>
      <c r="PF61" s="164">
        <f>MAX(0,2-SUMPRODUCT($OM61:$OR61,$I$2:$N$2)+MIN(2,$OS61*1+$OT61*1,SUMPRODUCT($OM61:$OR61,$I$2:$N$2)-IF($NS61=0,0,INDEX($I$2:$N$2,1,$NS61))))</f>
        <v/>
      </c>
      <c r="PG61" s="164">
        <f>MAX(0,4-SUMPRODUCT($OM61:$OR61,$I$3:$N$3)+MIN(4,$OS61*1+$OT61*2,SUMPRODUCT($OM61:$OR61,$I$3:$N$3)-IF($NS61=0,0,INDEX($I$3:$N$3,1,$NS61))))</f>
        <v/>
      </c>
      <c r="PH61" s="164">
        <f>MAX(0,6-SUMPRODUCT($OM61:$OR61,$I$4:$N$4)+MIN(6,$OS61*2+$OT61*3,SUMPRODUCT($OM61:$OR61,$I$4:$N$4)-IF($NS61=0,0,INDEX($I$4:$N$4,1,$NS61))))</f>
        <v/>
      </c>
      <c r="PI61" s="164">
        <f>MAX(0,9-SUMPRODUCT($OM61:$OR61,$I$5:$N$5)+MIN(8,$OS61*2+$OT61*4,SUMPRODUCT($OM61:$OR61,$I$5:$N$5)-IF($NS61=0,0,INDEX($I$5:$N$5,1,$NS61))))</f>
        <v/>
      </c>
      <c r="PJ61" s="164">
        <f>MAX(0,11-SUMPRODUCT($OM61:$OR61,$I$6:$N$6)+MIN(10,$OS61*3+$OT61*5,SUMPRODUCT($OM61:$OR61,$I$6:$N$6)-IF($NS61=0,0,INDEX($I$6:$N$6,1,$NS61))))</f>
        <v/>
      </c>
      <c r="PK61" s="164">
        <f>MAX(0,13-SUMPRODUCT($OM61:$OR61,$I$7:$N$7)+MIN(12,$OS61*3+$OT61*6,SUMPRODUCT($OM61:$OR61,$I$7:$N$7)-IF($NS61=0,0,INDEX($I$7:$N$7,1,$NS61))))</f>
        <v/>
      </c>
      <c r="PL61" s="164">
        <f>MAX(0,16-SUMPRODUCT($OM61:$OR61,$I$8:$N$8)+MIN(14,$OS61*4+$OT61*7,SUMPRODUCT($OM61:$OR61,$I$8:$N$8)-IF($NS61=0,0,INDEX($I$8:$N$8,1,$NS61))))</f>
        <v/>
      </c>
      <c r="PM61" s="164">
        <f>IF($OG61=2,3*$PF61&amp;" de vida temp.",IF($OG61=3,"sem dano",IF($PF61=0,IF($OG61=1,"sem cura","sem dano"),IF($OG61=1,"cura ","")&amp;$PF61&amp;"d8")))</f>
        <v/>
      </c>
      <c r="PN61" s="164">
        <f>IF($OG61=2,3*$PG61&amp;" de vida temp.",IF($OG61=3,"sem dano",IF($PG61=0,IF($OG61=1,"sem cura","sem dano"),IF($OG61=1,"cura ","")&amp;$PG61&amp;"d8")))</f>
        <v/>
      </c>
      <c r="PO61" s="164">
        <f>IF($OG61=2,3*$PH61&amp;" de vida temp.",IF($OG61=3,"sem dano",IF($PH61=0,IF($OG61=1,"sem cura","sem dano"),IF($OG61=1,"cura ","")&amp;$PH61&amp;"d8")))</f>
        <v/>
      </c>
      <c r="PP61" s="164">
        <f>IF($OG61=2,3*$PI61&amp;" de vida temp.",IF($OG61=3,"sem dano",IF($PI61=0,IF($OG61=1,"sem cura","sem dano"),IF($OG61=1,"cura ","")&amp;$PI61&amp;"d8")))</f>
        <v/>
      </c>
      <c r="PQ61" s="164">
        <f>IF($OG61=2,3*$PJ61&amp;" de vida temp.",IF($OG61=3,"sem dano",IF($PJ61=0,IF($OG61=1,"sem cura","sem dano"),IF($OG61=1,"cura ","")&amp;$PJ61&amp;"d8")))</f>
        <v/>
      </c>
      <c r="PR61" s="164">
        <f>IF($OG61=2,3*$PK61&amp;" de vida temp.",IF($OG61=3,"sem dano",IF($PK61=0,IF($OG61=1,"sem cura","sem dano"),IF($OG61=1,"cura ","")&amp;$PK61&amp;"d8")))</f>
        <v/>
      </c>
      <c r="PS61" s="164">
        <f>IF($OG61=2,3*$PL61&amp;" de vida temp.",IF($OG61=3,"sem dano",IF($PL61=0,IF($OG61=1,"sem cura","sem dano"),IF($OG61=1,"cura ","")&amp;$PL61&amp;"d8")))</f>
        <v/>
      </c>
      <c r="PT61" s="164">
        <f>IF($ND61=0,"",TEXTJOIN(" · ",TRUE,IF($ND61=0,"",TEXTJOIN(" · ",TRUE,IF($ND61=0,"",TEXTJOIN(" · ",TRUE,IF($MQ61&gt;$NE61,"Este lugar abre no nível "&amp;$MQ61,""),IF($MS61&gt;$NF61,"Classe "&amp;$MS61&amp;": o nível "&amp;$NE61&amp;" libera até a "&amp;$NF61,""),IF($NX61=1,"A Forma "&amp;$MU61&amp;" pede "&amp;INDEX('DADOS_FORMAS'!$GA$2:$GA$21,$NJ61)&amp;" aberta",""),IF(AND($MS61=0,$NJ61&gt;0,IF($NJ61=0,0,INDEX('DADOS_FORMAS'!$GJ$2:$GJ$21,$NJ61))=0),$MU61&amp;" não existe na Classe 0",""),IF($NY61=1,"Família Fechada: "&amp;$MX61,""),IF($NZ61=1,"Família Fechada: "&amp;$MY61,""),IF($OA61=1,"Família Fechada: "&amp;$MZ61,""),IF($OB61=1,"Família Fechada: "&amp;$NA61,""),IF(AND($MS61&gt;0,$OU61&gt;INDEX($O$2:$O$8,MAX(1,$MS61))),$OU61&amp;" Melhorias: a Classe "&amp;$MS61&amp;" aceita "&amp;INDEX($O$2:$O$8,MAX(1,$MS61)),""),IF(AND($MS61=0,$OU61&gt;1),"A básica aceita uma Melhoria",""),IF(AND($MS61=0,COUNTIF($NO61:$NR61,"&gt;1")&gt;0),"A básica só aceita Melhoria Leve",""),IF(AND($MS61&gt;0,$OV61&gt;2),$OV61&amp;" Restrições"&amp;IF($OF61=1,", contando a que a Forma "&amp;$MU61&amp;" já traz","")&amp;": o limite é 2",""),IF(AND($MS61=0,COUNTIF($NB61:$NC61,"?*")&gt;1),"A básica aceita uma Restrição Leve",""),IF(AND($MS61=0,COUNTIF($OI61:$OJ61,2)&gt;0),"A básica só aceita Restrição Leve",""),IF(AND($MS61&gt;0,$PC61&lt;0),"Orçamento estourado: faltam "&amp;(-$PC61)&amp;IF($PC61&lt;-1," pontos"," ponto"),""),IF(IFERROR(VLOOKUP(SUBSTITUTE(SUBSTITUTE(SUBSTITUTE($NB61,"~","~~"),"*","~*"),"?","~?"),'DADOS_RESTRICOES'!$M$2:$Q$54,4,FALSE),0)+IFERROR(VLOOKUP(SUBSTITUTE(SUBSTITUTE(SUBSTITUTE($NC61,"~","~~"),"*","~*"),"?","~?"),'DADOS_RESTRICOES'!$M$2:$Q$54,4,FALSE),0)&gt;1,$OK61&amp;" e "&amp;$OL61&amp;" são as duas de frequência",""),IF(AND((COUNTIF($RK61:$RN61,"Rápido")+COUNTIF($OK61:$OL61,"Rápido"))&gt;0,(COUNTIF($MX61:$NA61,"Atrasar")+COUNTIF($OK61:$OL61,"Atrasar"))&gt;0),"Rápido não entra com Atrasar",""),IF(AND((COUNTIF($RK61:$RN61,"Reação")+COUNTIF($OK61:$OL61,"Reação"))&gt;0,(COUNTIF($RK61:$RN61,"Rápido")+COUNTIF($OK61:$OL61,"Rápido"))&gt;0),"Reação não entra com Rápido",""),IF(AND((COUNTIF($RK61:$RN61,"Reação")+COUNTIF($OK61:$OL61,"Reação"))&gt;0,(COUNTIF($RK61:$RN61,"Armado")+COUNTIF($OK61:$OL61,"Armado"))&gt;0),"Reação não entra com Armado",""),IF(AND((COUNTIF($RK61:$RN61,"Reação")+COUNTIF($OK61:$OL61,"Reação"))&gt;0,(COUNTIF($MX61:$NA61,"Atrasar")+COUNTIF($OK61:$OL61,"Atrasar"))&gt;0),"Reação não entra com Atrasar",""),IF(AND((COUNTIF($RK61:$RN61,"Reação")+COUNTIF($OK61:$OL61,"Reação"))&gt;0,(COUNTIF($MX61:$NA61,"Parado")+COUNTIF($OK61:$OL61,"Parado"))&gt;0),"Reação não entra com Parado",""),IF(AND((COUNTIF($MX61:$NA61,"Atrasar")+COUNTIF($OK61:$OL61,"Atrasar"))&gt;0,(COUNTIF($MX61:$NA61,"Parado")+COUNTIF($OK61:$OL61,"Parado"))&gt;0),"Atrasar não entra com Parado",""),IF(AND((COUNTIF($RK61:$RN61,"Armado")+COUNTIF($OK61:$OL61,"Armado"))&gt;0,(COUNTIF($MX61:$NA61,"Carregar")+COUNTIF($OK61:$OL61,"Carregar"))&gt;0),"Armado não entra com Carregar",""),IF(AND(COUNTIF($OK61:$OL61,"Corpo a Corpo")&gt;0,$OF61=0,OR($RO61="Cone",$RO61="Linha")),"Corpo a Corpo não entra em "&amp;$MU61,""),IF(AND(COUNTIF($OK61:$OL61,"Corpo a Corpo")&gt;0,$RP61="Corpo a Corpo"),"A Forma "&amp;$MU61&amp;" já traz o Corpo a Corpo",""),IF(AND(COUNTIF($OK61:$OL61,"Tudo ou Nada")&gt;0,$OH61=0),"Tudo ou Nada só entra em habilidade de Teste de Resistência",""),IF(AND(COUNTIF($RK61:$RN61,"Inescapável")&gt;0,OR($OU61&gt;1,$OV61&gt;0)),"Inescapável não aceita outra peça",""),IF(AND($MS61&gt;0,$PD61*IF(COUNTIF($RK61:$RN61,"Remate")&gt;0,1.25,1)+$PE61&gt;4*$MS61),($PD61*IF(COUNTIF($RK61:$RN61,"Remate")&gt;0,1.25,1)+$PE61)&amp;" dados somando repetições"&amp;IF(COUNTIF($RK61:$RN61,"Remate")&gt;0," e o Remate","")&amp;": o teto da Classe "&amp;$MS61&amp;" é "&amp;4*$MS61,""))),IF(AND($MX61&lt;&gt;"",COUNTIF('DADOS_MELHORIAS'!$O$2:$O$113,SUBSTITUTE(SUBSTITUTE(SUBSTITUTE($MX61,"~","~~"),"*","~*"),"?","~?"))=0),"Melhoria não cadastrada ou com erro: "&amp;$MX61,""),IF(AND($MY61&lt;&gt;"",COUNTIF('DADOS_MELHORIAS'!$O$2:$O$113,SUBSTITUTE(SUBSTITUTE(SUBSTITUTE($MY61,"~","~~"),"*","~*"),"?","~?"))=0),"Melhoria não cadastrada ou com erro: "&amp;$MY61,""),IF(AND($MZ61&lt;&gt;"",COUNTIF('DADOS_MELHORIAS'!$O$2:$O$113,SUBSTITUTE(SUBSTITUTE(SUBSTITUTE($MZ61,"~","~~"),"*","~*"),"?","~?"))=0),"Melhoria não cadastrada ou com erro: "&amp;$MZ61,""),IF(AND($NA61&lt;&gt;"",COUNTIF('DADOS_MELHORIAS'!$O$2:$O$113,SUBSTITUTE(SUBSTITUTE(SUBSTITUTE($NA61,"~","~~"),"*","~*"),"?","~?"))=0),"Melhoria não cadastrada ou com erro: "&amp;$NA61,""),IF(AND($NB61&lt;&gt;"",COUNTIF('DADOS_RESTRICOES'!$M$2:$M$54,SUBSTITUTE(SUBSTITUTE(SUBSTITUTE($NB61,"~","~~"),"*","~*"),"?","~?"))=0),"Restrição não cadastrada ou com erro: "&amp;$NB61,""),IF(AND($NC61&lt;&gt;"",COUNTIF('DADOS_RESTRICOES'!$M$2:$M$54,SUBSTITUTE(SUBSTITUTE(SUBSTITUTE($NC61,"~","~~"),"*","~*"),"?","~?"))=0),"Restrição não cadastrada ou com erro: "&amp;$NC61,""))),IF(AND($MU61&lt;&gt;"",COUNTIF('DADOS_FORMAS'!$AH$2:$AH$21,SUBSTITUTE(SUBSTITUTE(SUBSTITUTE($MU61,"~","~~"),"*","~*"),"?","~?"))=0),"Forma não cadastrada ou com erro: "&amp;$MU61,""),IF(AND(IFERROR(INDEX('DADOS_FORMAS'!$AS$2:$AS$21,MATCH(SUBSTITUTE(SUBSTITUTE(SUBSTITUTE($MU61,"~","~~"),"*","~*"),"?","~?"),'DADOS_FORMAS'!$AH$2:$AH$21,0)),"")&lt;&gt;"",OR(IFERROR(VLOOKUP(SUBSTITUTE(SUBSTITUTE(SUBSTITUTE(IFERROR(INDEX('DADOS_FORMAS'!$AS$2:$AS$21,MATCH(SUBSTITUTE(SUBSTITUTE(SUBSTITUTE($MU61,"~","~~"),"*","~*"),"?","~?"),'DADOS_FORMAS'!$AH$2:$AH$21,0)),""),"~","~~"),"*","~*"),"?","~?"),'DADOS_RESTRICOES'!$M$2:$Q$54,2,FALSE),"")=$OK61,IFERROR(VLOOKUP(SUBSTITUTE(SUBSTITUTE(SUBSTITUTE(IFERROR(INDEX('DADOS_FORMAS'!$AS$2:$AS$21,MATCH(SUBSTITUTE(SUBSTITUTE(SUBSTITUTE($MU61,"~","~~"),"*","~*"),"?","~?"),'DADOS_FORMAS'!$AH$2:$AH$21,0)),""),"~","~~"),"*","~*"),"?","~?"),'DADOS_RESTRICOES'!$M$2:$Q$54,2,FALSE),"")=$OL61)),"Restrição repetida, contando a embutida",""),IF(IF(IFERROR(INDEX('DADOS_FORMAS'!$AS$2:$AS$21,MATCH(SUBSTITUTE(SUBSTITUTE(SUBSTITUTE($MU61,"~","~~"),"*","~*"),"?","~?"),'DADOS_FORMAS'!$AH$2:$AH$21,0)),"")="",0,IFERROR(N(VLOOKUP(SUBSTITUTE(SUBSTITUTE(SUBSTITUTE(IFERROR(INDEX('DADOS_FORMAS'!$AS$2:$AS$21,MATCH(SUBSTITUTE(SUBSTITUTE(SUBSTITUTE($MU61,"~","~~"),"*","~*"),"?","~?"),'DADOS_FORMAS'!$AH$2:$AH$21,0)),""),"~","~~"),"*","~*"),"?","~?"),'DADOS_RESTRICOES'!$M$2:$Q$54,4,FALSE)=1),0))+IF($NB61="",0,IFERROR(N(VLOOKUP(SUBSTITUTE(SUBSTITUTE(SUBSTITUTE($NB61,"~","~~"),"*","~*"),"?","~?"),'DADOS_RESTRICOES'!$M$2:$Q$54,4,FALSE)=1),0))+IF($NC61="",0,IFERROR(N(VLOOKUP(SUBSTITUTE(SUBSTITUTE(SUBSTITUTE($NC61,"~","~~"),"*","~*"),"?","~?"),'DADOS_RESTRICOES'!$M$2:$Q$54,4,FALSE)=1),0))&gt;1,"Duas Restrições de frequência, contando a embutida",""),IF(AND(IFERROR(VLOOKUP(SUBSTITUTE(SUBSTITUTE(SUBSTITUTE(IFERROR(INDEX('DADOS_FORMAS'!$AS$2:$AS$21,MATCH(SUBSTITUTE(SUBSTITUTE(SUBSTITUTE($MU61,"~","~~"),"*","~*"),"?","~?"),'DADOS_FORMAS'!$AH$2:$AH$21,0)),""),"~","~~"),"*","~*"),"?","~?"),'DADOS_RESTRICOES'!$M$2:$Q$54,2,FALSE),"")="Tudo ou Nada",$OH61=0),"Tudo ou Nada exige TR",""),IF(AND(IFERROR(VLOOKUP(SUBSTITUTE(SUBSTITUTE(SUBSTITUTE(IFERROR(INDEX('DADOS_FORMAS'!$AS$2:$AS$21,MATCH(SUBSTITUTE(SUBSTITUTE(SUBSTITUTE($MU61,"~","~~"),"*","~*"),"?","~?"),'DADOS_FORMAS'!$AH$2:$AH$21,0)),""),"~","~~"),"*","~*"),"?","~?"),'DADOS_RESTRICOES'!$M$2:$Q$54,2,FALSE),"")="Corpo a Corpo",OR($RO61="Cone",$RO61="Linha")),"Corpo a Corpo não entra em Cone/Linha","")))</f>
        <v/>
      </c>
      <c r="PU61" s="164">
        <f>IF($PT61="",0,(LEN($PT61)-LEN(SUBSTITUTE($PT61," · ","")))/3+1)</f>
        <v/>
      </c>
      <c r="PV61" s="164">
        <f>IF($ND61=0,"",TEXTJOIN(" · ",TRUE,IF($OX61&gt;2*$MS61,"A devolução parou no teto de "&amp;2*$MS61,""),IF($PA61&gt;0,"Devolução perdida: "&amp;$PA61&amp;IF($PA61&gt;1," pontos"," ponto")&amp;" sem Melhoria para pagar",""),IF(AND($OC61&gt;0,AND($MS61&gt;0,$OG61=0),$PD61=0),"Controle sem dano: uma rodada a mais e CD +2",""),IF(AND($OC61&gt;0,AND($MS61&gt;0,$OG61=0),$PD61&gt;0,$PD61&lt;=$MS61),"Controle com saldo até a Classe: uma rodada a mais",""),IF(AND($MS61&gt;0,$OE61&lt;&gt;""),"Efeito de "&amp;$OE61&amp;" pela Classe "&amp;MAX(1,$MS61-1),"")))</f>
        <v/>
      </c>
      <c r="PW61" s="164">
        <f>IF($PV61="",0,(LEN($PV61)-LEN(SUBSTITUTE($PV61," · ","")))/3+1)</f>
        <v/>
      </c>
      <c r="PX61" s="164">
        <f>IF($ND61=0,IF($OU61+COUNTIF($NB61:$NC61,"?*")&gt;0,"Dê um nome",""),IF($PU61&gt;0,"⚠ "&amp;$PU61&amp;IF($PU61&gt;1," erros"," erro"),IF($PW61&gt;0,"! "&amp;$PW61&amp;IF($PW61&gt;1," avisos"," aviso"),"Na regra")))</f>
        <v/>
      </c>
      <c r="PY61" s="164">
        <f>IF($ND61=0,"",IF($PU61+$PW61=0,"Dentro das regras que a ficha confere",$PT61&amp;IF(AND($PU61&gt;0,$PW61&gt;0)," · ","")&amp;$PV61))</f>
        <v/>
      </c>
      <c r="PZ61" s="164">
        <f>IF($MQ61&gt;$NE61,$MR61&amp;" · ABRE NO NÍVEL "&amp;$MQ61,$MR61)</f>
        <v/>
      </c>
      <c r="QA61" s="164">
        <f>IF($ND61=0,"",IF($MS61=0,"Sem PE",3*$MS61&amp;" PE"))</f>
        <v/>
      </c>
      <c r="QB61" s="164">
        <f>IF($ND61=0,"",IF($MS61=0,"A atuação básica dela",IF(COUNTIF($RQ61:$RS61,"Atrasar")&gt;0,"Sua Ação Completa",IF(COUNTIF($RK61:$RN61,"Rápido")&gt;0,"Sua Bônus",IF(COUNTIF($RK61:$RN61,"Reação")&gt;0,"Sua Reação","Sua Padrão")))&amp;" + a básica dela"&amp;IF(COUNTIF($RK61:$RN61,"Reação")&gt;0," e a coletiva","")&amp;IF(COUNTIF($RQ61:$RS61,"Carregar")&gt;0," · em dois turnos","")))</f>
        <v/>
      </c>
      <c r="QC61" s="164">
        <f>IF($MW61&lt;&gt;"",$MW61,IF($NJ61=0,"",INDEX('DADOS_FORMAS'!$GE$2:$GE$21,$NJ61)))</f>
        <v/>
      </c>
      <c r="QD61" s="164">
        <f>IF(OR($ND61=0,$NJ61=0),"",IF(COUNTIF($RK61:$RN61,"Inescapável")&gt;0,"Automático",IF($QC61="Ataque",IF($NH61="","Ataque","Ataque "&amp;IF(($NH61+2*IF(COUNTIF($RK61:$RN61,"Precisão")&gt;0,1,0))&gt;=0,"+","−")&amp;ABS(($NH61+2*IF(COUNTIF($RK61:$RN61,"Precisão")&gt;0,1,0))))&amp;IF($OD61&gt;0," · TR"&amp;IF($NI61="",""," CD "&amp;$NI61),""),IF(LEFT($QC61,2)="TR",$QC61&amp;IF($NI61="",""," · CD "&amp;$NI61)&amp;IF(COUNTIF($RK61:$RN61,"Certeiro")&gt;0," · metade",""),"Sem rolagem"))))</f>
        <v/>
      </c>
      <c r="QE61" s="164">
        <f>IF(OR($ND61=0,$NJ61=0),"",IF($MS61=0,IF(OR($OG61&gt;=1,$PD61=0),"Sem dano",$PD61&amp;"d6"&amp;IF($MV61="",""," "&amp;$MV61)),IF(OR($OG61&gt;=1,$PD61=0),UPPER(LEFT(INDEX($PM61:$PS61,1,MAX(1,$MS61)),1))&amp;MID(INDEX($PM61:$PS61,1,MAX(1,$MS61)),2,99),UPPER(LEFT(INDEX($PM61:$PS61,1,MAX(1,$MS61)),1))&amp;MID(INDEX($PM61:$PS61,1,MAX(1,$MS61)),2,99)&amp;IF($MV61="",""," "&amp;$MV61)&amp;IF($PE61&gt;0," · +"&amp;$PE61&amp;"d8",""))))</f>
        <v/>
      </c>
      <c r="QF61" s="164">
        <f>COUNTIF($RK61:$RN61,"Longe")+3*COUNTIF($RK61:$RN61,"Muito Longe")</f>
        <v/>
      </c>
      <c r="QG61" s="164">
        <f>COUNTIF($RK61:$RN61,"Maior")+3*COUNTIF($RK61:$RN61,"Muito Maior")</f>
        <v/>
      </c>
      <c r="QH61" s="164">
        <f>IF($NJ61=0,0,CHOOSE(1+INDEX('DADOS_FORMAS'!$GG$2:$GG$21,$NJ61),0,$QF61,$QG61,$QF61+$QG61))</f>
        <v/>
      </c>
      <c r="QI61" s="164">
        <f>IF($NJ61=0,0,CHOOSE(1+INDEX('DADOS_FORMAS'!$GH$2:$GH$21,$NJ61),0,$QF61,$QG61,$QF61+$QG61))</f>
        <v/>
      </c>
      <c r="QJ61" s="164">
        <f>IF(OR($ND61=0,$NJ61=0),"",INDEX('DADOS_FORMAS'!$HU$2:$HZ$81,($NJ61-1)*4+IF($MS61=0,1,IF($MS61&lt;=5,2,IF($MS61=6,3,4))),1+MIN(5,$QH61))&amp;INDEX('DADOS_FORMAS'!$IA$2:$IF$81,($NJ61-1)*4+IF($MS61=0,1,IF($MS61&lt;=5,2,IF($MS61=6,3,4))),1+MIN(5,$QI61))&amp;IF(INDEX('DADOS_FORMAS'!$GI$2:$GI$21,$NJ61)=1,IF(COUNTIF($RK61:$RN61,"Mais Um")&gt;0," · +"&amp;COUNTIF($RK61:$RN61,"Mais Um")&amp;IF(COUNTIF($RK61:$RN61,"Mais Um")&gt;1," alvos"," alvo"),"")&amp;IF(COUNTIF($RK61:$RN61,"Rajada")&gt;0,IF($MS61=0," · 1 tiro"," · "&amp;(MAX(1,$MS61-1)+1)&amp;" tiros"),""),""))</f>
        <v/>
      </c>
      <c r="QK61" s="164">
        <f>IF($ND61=0,"",IF($MS61=0,$NG61&amp;"d6"&amp;IF($OU61&gt;0," − 1 = "&amp;$PD61&amp;"d6"," da básica do nível "&amp;$NE61),$PB61&amp;" − "&amp;$OW61&amp;" + "&amp;$OZ61&amp;" = "&amp;$PC61&amp;" · teto "&amp;4*$MS61&amp;"d8"&amp;IF($OF61=1," · a Forma devolve "&amp;$MS61,"")&amp;IF($PA61&gt;0," · perde "&amp;$PA61,"")))</f>
        <v/>
      </c>
      <c r="QL61" s="164">
        <f>IF($ND61=0,"",IF($MS61=0,"A básica não amplia: os dados dela sobem com o nível",IF($MS61&gt;=$NF61,"Já está na maior Classe que o nível liberou",TEXTJOIN(" · ",TRUE,IF(AND(2&gt;$MS61,2&lt;=$NF61),"2 → "&amp;$PN61&amp;", 6 PE",""),IF(AND(3&gt;$MS61,3&lt;=$NF61),"3 → "&amp;$PO61&amp;", 9 PE",""),IF(AND(4&gt;$MS61,4&lt;=$NF61),"4 → "&amp;$PP61&amp;", 12 PE",""),IF(AND(5&gt;$MS61,5&lt;=$NF61),"5 → "&amp;$PQ61&amp;", 15 PE",""),IF(AND(6&gt;$MS61,6&lt;=$NF61),"6 → "&amp;$PR61&amp;", 18 PE",""),IF(AND(7&gt;$MS61,7&lt;=$NF61),"7 → "&amp;$PS61&amp;", 21 PE","")))))</f>
        <v/>
      </c>
      <c r="QM61" s="164">
        <f>IF(OR($ND61=0,$NO61=0),"",IF($MS61=0,"−1 dado","−"&amp;INDEX($I$2:$N$8,MAX(1,$MS61),MAX(1,$NT61))&amp;" · "&amp;CHOOSE(MAX(1,$NT61),"Leve","Média","Pesada","Leve · Livre","Média · Livre","Pesada · Livre")))</f>
        <v/>
      </c>
      <c r="QN61" s="164">
        <f>IF(OR($ND61=0,$NP61=0),"",IF($MS61=0,"−1 dado","−"&amp;INDEX($I$2:$N$8,MAX(1,$MS61),MAX(1,$NU61))&amp;" · "&amp;CHOOSE(MAX(1,$NU61),"Leve","Média","Pesada","Leve · Livre","Média · Livre","Pesada · Livre")))</f>
        <v/>
      </c>
      <c r="QO61" s="164">
        <f>IF(OR($ND61=0,$NQ61=0),"",IF($MS61=0,"−1 dado","−"&amp;INDEX($I$2:$N$8,MAX(1,$MS61),MAX(1,$NV61))&amp;" · "&amp;CHOOSE(MAX(1,$NV61),"Leve","Média","Pesada","Leve · Livre","Média · Livre","Pesada · Livre")))</f>
        <v/>
      </c>
      <c r="QP61" s="164">
        <f>IF(OR($ND61=0,$NR61=0),"",IF($MS61=0,"−1 dado","−"&amp;INDEX($I$2:$N$8,MAX(1,$MS61),MAX(1,$NW61))&amp;" · "&amp;CHOOSE(MAX(1,$NW61),"Leve","Média","Pesada","Leve · Livre","Média · Livre","Pesada · Livre")))</f>
        <v/>
      </c>
      <c r="QQ61" s="164">
        <f>IF(OR($ND61=0,$NB61=""),"",IF($MS61=0,"não devolve","+"&amp;IF($OI61=1,CEILING($MS61/2,1),$MS61)))</f>
        <v/>
      </c>
      <c r="QR61" s="164">
        <f>IF(OR($ND61=0,$NC61=""),"",IF($MS61=0,"não devolve","+"&amp;IF($OJ61=1,CEILING($MS61/2,1),$MS61)))</f>
        <v/>
      </c>
      <c r="RK61">
        <f>IF($MX61="","",IFERROR(VLOOKUP(SUBSTITUTE(SUBSTITUTE(SUBSTITUTE($MX61,"~","~~"),"*","~*"),"?","~?"),'DADOS_MELHORIAS'!$O$2:$X$113,10,FALSE),$MX61))</f>
        <v/>
      </c>
      <c r="RL61">
        <f>IF($MY61="","",IFERROR(VLOOKUP(SUBSTITUTE(SUBSTITUTE(SUBSTITUTE($MY61,"~","~~"),"*","~*"),"?","~?"),'DADOS_MELHORIAS'!$O$2:$X$113,10,FALSE),$MY61))</f>
        <v/>
      </c>
      <c r="RM61">
        <f>IF($MZ61="","",IFERROR(VLOOKUP(SUBSTITUTE(SUBSTITUTE(SUBSTITUTE($MZ61,"~","~~"),"*","~*"),"?","~?"),'DADOS_MELHORIAS'!$O$2:$X$113,10,FALSE),$MZ61))</f>
        <v/>
      </c>
      <c r="RN61">
        <f>IF($NA61="","",IFERROR(VLOOKUP(SUBSTITUTE(SUBSTITUTE(SUBSTITUTE($NA61,"~","~~"),"*","~*"),"?","~?"),'DADOS_MELHORIAS'!$O$2:$X$113,10,FALSE),$NA61))</f>
        <v/>
      </c>
      <c r="RO61">
        <f>IFERROR(INDEX('DADOS_FORMAS'!$BJ$2:$BJ$21,MATCH(SUBSTITUTE(SUBSTITUTE(SUBSTITUTE($MU61,"~","~~"),"*","~*"),"?","~?"),'DADOS_FORMAS'!$AH$2:$AH$21,0)),"")</f>
        <v/>
      </c>
      <c r="RP61">
        <f>IFERROR(VLOOKUP(SUBSTITUTE(SUBSTITUTE(SUBSTITUTE(IFERROR(INDEX('DADOS_FORMAS'!$AS$2:$AS$21,MATCH(SUBSTITUTE(SUBSTITUTE(SUBSTITUTE($MU61,"~","~~"),"*","~*"),"?","~?"),'DADOS_FORMAS'!$AH$2:$AH$21,0)),""),"~","~~"),"*","~*"),"?","~?"),'DADOS_RESTRICOES'!$M$2:$Q$54,2,FALSE),"")</f>
        <v/>
      </c>
      <c r="RQ61">
        <f>$OK61</f>
        <v/>
      </c>
      <c r="RR61">
        <f>$OL61</f>
        <v/>
      </c>
      <c r="RS61">
        <f>$RP61</f>
        <v/>
      </c>
    </row>
    <row r="62">
      <c r="AV62" s="162" t="inlineStr">
        <is>
          <t>Silencioso</t>
        </is>
      </c>
      <c r="AW62" s="162" t="inlineStr">
        <is>
          <t>Tempo</t>
        </is>
      </c>
      <c r="AX62" s="164" t="n">
        <v>1</v>
      </c>
      <c r="AY62" s="164" t="n">
        <v>0</v>
      </c>
      <c r="AZ62" s="164" t="n">
        <v>0</v>
      </c>
      <c r="BA62" s="164" t="n">
        <v>0</v>
      </c>
      <c r="JT62" s="164">
        <f>IF(OR($AW62="",(COUNTIF($EL$2:$EP$2,$AW62)+COUNTIF($QV$2:$QY$2,$AW62))&gt;0),$AV62,"")</f>
        <v/>
      </c>
      <c r="JU62" s="164">
        <f>IF(AND($AX62=1,OR($AW62="",(COUNTIF($EL$2:$EP$2,$AW62)+COUNTIF($QV$2:$QY$2,$AW62))&gt;0)),$AV62,"")</f>
        <v/>
      </c>
      <c r="JZ62" s="164">
        <f>IF(OR($AW62="",(COUNTIF($EL$3:$EP$3,$AW62)+COUNTIF($QV$3:$QY$3,$AW62))&gt;0),$AV62,"")</f>
        <v/>
      </c>
      <c r="KA62" s="164">
        <f>IF(AND($AX62=1,OR($AW62="",(COUNTIF($EL$3:$EP$3,$AW62)+COUNTIF($QV$3:$QY$3,$AW62))&gt;0)),$AV62,"")</f>
        <v/>
      </c>
      <c r="KF62" s="164">
        <f>IF(OR($AW62="",(COUNTIF($EL$4:$EP$4,$AW62)+COUNTIF($QV$4:$QY$4,$AW62))&gt;0),$AV62,"")</f>
        <v/>
      </c>
      <c r="KG62" s="164">
        <f>IF(AND($AX62=1,OR($AW62="",(COUNTIF($EL$4:$EP$4,$AW62)+COUNTIF($QV$4:$QY$4,$AW62))&gt;0)),$AV62,"")</f>
        <v/>
      </c>
      <c r="KL62" s="164">
        <f>IF(OR($AW62="",(COUNTIF($EL$5:$EP$5,$AW62)+COUNTIF($QV$5:$QY$5,$AW62))&gt;0),$AV62,"")</f>
        <v/>
      </c>
      <c r="KM62" s="164">
        <f>IF(AND($AX62=1,OR($AW62="",(COUNTIF($EL$5:$EP$5,$AW62)+COUNTIF($QV$5:$QY$5,$AW62))&gt;0)),$AV62,"")</f>
        <v/>
      </c>
      <c r="KR62" s="164">
        <f>IF(OR($AW62="",(COUNTIF($EL$6:$EP$6,$AW62)+COUNTIF($QV$6:$QY$6,$AW62))&gt;0),$AV62,"")</f>
        <v/>
      </c>
      <c r="KS62" s="164">
        <f>IF(AND($AX62=1,OR($AW62="",(COUNTIF($EL$6:$EP$6,$AW62)+COUNTIF($QV$6:$QY$6,$AW62))&gt;0)),$AV62,"")</f>
        <v/>
      </c>
      <c r="KX62" s="164">
        <f>IF(OR($AW62="",(COUNTIF($EL$7:$EP$7,$AW62)+COUNTIF($QV$7:$QY$7,$AW62))&gt;0),$AV62,"")</f>
        <v/>
      </c>
      <c r="KY62" s="164">
        <f>IF(AND($AX62=1,OR($AW62="",(COUNTIF($EL$7:$EP$7,$AW62)+COUNTIF($QV$7:$QY$7,$AW62))&gt;0)),$AV62,"")</f>
        <v/>
      </c>
      <c r="LD62" s="164">
        <f>IF(OR($AW62="",(COUNTIF($EL$8:$EP$8,$AW62)+COUNTIF($QV$8:$QY$8,$AW62))&gt;0),$AV62,"")</f>
        <v/>
      </c>
      <c r="LE62" s="164">
        <f>IF(AND($AX62=1,OR($AW62="",(COUNTIF($EL$8:$EP$8,$AW62)+COUNTIF($QV$8:$QY$8,$AW62))&gt;0)),$AV62,"")</f>
        <v/>
      </c>
      <c r="LJ62" s="164">
        <f>IF(OR($AW62="",(COUNTIF($EL$9:$EP$9,$AW62)+COUNTIF($QV$9:$QY$9,$AW62))&gt;0),$AV62,"")</f>
        <v/>
      </c>
      <c r="LK62" s="164">
        <f>IF(AND($AX62=1,OR($AW62="",(COUNTIF($EL$9:$EP$9,$AW62)+COUNTIF($QV$9:$QY$9,$AW62))&gt;0)),$AV62,"")</f>
        <v/>
      </c>
      <c r="LP62" s="164">
        <f>IF(OR($AW62="",(COUNTIF($EL$10:$EP$10,$AW62)+COUNTIF($QV$10:$QY$10,$AW62))&gt;0),$AV62,"")</f>
        <v/>
      </c>
      <c r="LQ62" s="164">
        <f>IF(AND($AX62=1,OR($AW62="",(COUNTIF($EL$10:$EP$10,$AW62)+COUNTIF($QV$10:$QY$10,$AW62))&gt;0)),$AV62,"")</f>
        <v/>
      </c>
      <c r="LV62" s="164">
        <f>IF(OR($AW62="",(COUNTIF($EL$11:$EP$11,$AW62)+COUNTIF($QV$11:$QY$11,$AW62))&gt;0),$AV62,"")</f>
        <v/>
      </c>
      <c r="LW62" s="164">
        <f>IF(AND($AX62=1,OR($AW62="",(COUNTIF($EL$11:$EP$11,$AW62)+COUNTIF($QV$11:$QY$11,$AW62))&gt;0)),$AV62,"")</f>
        <v/>
      </c>
      <c r="MB62" s="164">
        <f>IF(OR($AW62="",(COUNTIF($EL$12:$EP$12,$AW62)+COUNTIF($QV$12:$QY$12,$AW62))&gt;0),$AV62,"")</f>
        <v/>
      </c>
      <c r="MC62" s="164">
        <f>IF(AND($AX62=1,OR($AW62="",(COUNTIF($EL$12:$EP$12,$AW62)+COUNTIF($QV$12:$QY$12,$AW62))&gt;0)),$AV62,"")</f>
        <v/>
      </c>
      <c r="MH62" s="164">
        <f>IF(OR($AW62="",(COUNTIF($EL$13:$EP$13,$AW62)+COUNTIF($QV$13:$QY$13,$AW62))&gt;0),$AV62,"")</f>
        <v/>
      </c>
      <c r="MI62" s="164">
        <f>IF(AND($AX62=1,OR($AW62="",(COUNTIF($EL$13:$EP$13,$AW62)+COUNTIF($QV$13:$QY$13,$AW62))&gt;0)),$AV62,"")</f>
        <v/>
      </c>
      <c r="MN62" s="162" t="inlineStr">
        <is>
          <t>Ficha 5 · Especial 7</t>
        </is>
      </c>
      <c r="MO62" s="164" t="n">
        <v>5</v>
      </c>
      <c r="MP62" s="164" t="n">
        <v>1</v>
      </c>
      <c r="MQ62" s="164" t="n">
        <v>24</v>
      </c>
      <c r="MR62" s="162" t="inlineStr">
        <is>
          <t>ESPECIAL 7</t>
        </is>
      </c>
      <c r="MS62" s="164">
        <f>MAX(1,MIN(7,N('INVOCAÇÕES'!$U$971)))</f>
        <v/>
      </c>
      <c r="MT62" s="164">
        <f>'INVOCAÇÕES'!$V$971&amp;""</f>
        <v/>
      </c>
      <c r="MU62" s="164">
        <f>'INVOCAÇÕES'!$U$976&amp;""</f>
        <v/>
      </c>
      <c r="MV62" s="164">
        <f>'INVOCAÇÕES'!$U$977&amp;""</f>
        <v/>
      </c>
      <c r="MW62" s="164">
        <f>'INVOCAÇÕES'!$W$977&amp;""</f>
        <v/>
      </c>
      <c r="MX62" s="164">
        <f>'INVOCAÇÕES'!$V$980&amp;""</f>
        <v/>
      </c>
      <c r="MY62" s="164">
        <f>'INVOCAÇÕES'!$V$981&amp;""</f>
        <v/>
      </c>
      <c r="MZ62" s="164">
        <f>'INVOCAÇÕES'!$V$982&amp;""</f>
        <v/>
      </c>
      <c r="NA62" s="164">
        <f>'INVOCAÇÕES'!$V$983&amp;""</f>
        <v/>
      </c>
      <c r="NB62" s="164">
        <f>'INVOCAÇÕES'!$V$984&amp;""</f>
        <v/>
      </c>
      <c r="NC62" s="164">
        <f>'INVOCAÇÕES'!$V$985&amp;""</f>
        <v/>
      </c>
      <c r="ND62" s="164">
        <f>IF($MT62&lt;&gt;"",1,0)</f>
        <v/>
      </c>
      <c r="NE62" s="164">
        <f>INDEX($FO$2:$FO$13,$MO62)</f>
        <v/>
      </c>
      <c r="NF62" s="164">
        <f>INDEX($FP$2:$FP$13,$MO62)</f>
        <v/>
      </c>
      <c r="NG62" s="164">
        <f>INDEX($FQ$2:$FQ$13,$MO62)</f>
        <v/>
      </c>
      <c r="NH62" s="164">
        <f>INDEX($GB$2:$GB$13,$MO62)</f>
        <v/>
      </c>
      <c r="NI62" s="164">
        <f>INDEX($GC$2:$GC$13,$MO62)</f>
        <v/>
      </c>
      <c r="NJ62" s="164">
        <f>IFERROR(MATCH(SUBSTITUTE(SUBSTITUTE(SUBSTITUTE($MU62,"~","~~"),"*","~*"),"?","~?"),'DADOS_FORMAS'!$FZ$2:$FZ$21,0),0)</f>
        <v/>
      </c>
      <c r="NK62" s="164">
        <f>IFERROR(VLOOKUP(SUBSTITUTE(SUBSTITUTE(SUBSTITUTE($MX62,"~","~~"),"*","~*"),"?","~?"),'DADOS_MELHORIAS'!$AG$2:$AL$113,2,FALSE),"")</f>
        <v/>
      </c>
      <c r="NL62" s="164">
        <f>IFERROR(VLOOKUP(SUBSTITUTE(SUBSTITUTE(SUBSTITUTE($MY62,"~","~~"),"*","~*"),"?","~?"),'DADOS_MELHORIAS'!$AG$2:$AL$113,2,FALSE),"")</f>
        <v/>
      </c>
      <c r="NM62" s="164">
        <f>IFERROR(VLOOKUP(SUBSTITUTE(SUBSTITUTE(SUBSTITUTE($MZ62,"~","~~"),"*","~*"),"?","~?"),'DADOS_MELHORIAS'!$AG$2:$AL$113,2,FALSE),"")</f>
        <v/>
      </c>
      <c r="NN62" s="164">
        <f>IFERROR(VLOOKUP(SUBSTITUTE(SUBSTITUTE(SUBSTITUTE($NA62,"~","~~"),"*","~*"),"?","~?"),'DADOS_MELHORIAS'!$AG$2:$AL$113,2,FALSE),"")</f>
        <v/>
      </c>
      <c r="NO62" s="164">
        <f>IFERROR(VLOOKUP(SUBSTITUTE(SUBSTITUTE(SUBSTITUTE($MX62,"~","~~"),"*","~*"),"?","~?"),'DADOS_MELHORIAS'!$AG$2:$AL$113,3,FALSE),0)</f>
        <v/>
      </c>
      <c r="NP62" s="164">
        <f>IFERROR(VLOOKUP(SUBSTITUTE(SUBSTITUTE(SUBSTITUTE($MY62,"~","~~"),"*","~*"),"?","~?"),'DADOS_MELHORIAS'!$AG$2:$AL$113,3,FALSE),0)</f>
        <v/>
      </c>
      <c r="NQ62" s="164">
        <f>IFERROR(VLOOKUP(SUBSTITUTE(SUBSTITUTE(SUBSTITUTE($MZ62,"~","~~"),"*","~*"),"?","~?"),'DADOS_MELHORIAS'!$AG$2:$AL$113,3,FALSE),0)</f>
        <v/>
      </c>
      <c r="NR62" s="164">
        <f>IFERROR(VLOOKUP(SUBSTITUTE(SUBSTITUTE(SUBSTITUTE($NA62,"~","~~"),"*","~*"),"?","~?"),'DADOS_MELHORIAS'!$AG$2:$AL$113,3,FALSE),0)</f>
        <v/>
      </c>
      <c r="NS62" s="164">
        <f>IF($MS62=0,0,IF($NJ62=0,0,INDEX('DADOS_FORMAS'!$GB$2:$GB$21,$NJ62)))</f>
        <v/>
      </c>
      <c r="NT62" s="164">
        <f>IF(OR($NO62=0,$MS62=0),0,$NO62+3*IF(AND($NK62&lt;&gt;"",COUNTIF(INDEX($RB$2:$RJ$13,$MO62,0),$NK62)&gt;0),1,0))</f>
        <v/>
      </c>
      <c r="NU62" s="164">
        <f>IF(OR($NP62=0,$MS62=0),0,$NP62+3*IF(AND($NL62&lt;&gt;"",COUNTIF(INDEX($RB$2:$RJ$13,$MO62,0),$NL62)&gt;0),1,0))</f>
        <v/>
      </c>
      <c r="NV62" s="164">
        <f>IF(OR($NQ62=0,$MS62=0),0,$NQ62+3*IF(AND($NM62&lt;&gt;"",COUNTIF(INDEX($RB$2:$RJ$13,$MO62,0),$NM62)&gt;0),1,0))</f>
        <v/>
      </c>
      <c r="NW62" s="164">
        <f>IF(OR($NR62=0,$MS62=0),0,$NR62+3*IF(AND($NN62&lt;&gt;"",COUNTIF(INDEX($RB$2:$RJ$13,$MO62,0),$NN62)&gt;0),1,0))</f>
        <v/>
      </c>
      <c r="NX62" s="164">
        <f>IF($NJ62=0,0,IF(INDEX('DADOS_FORMAS'!$GA$2:$GA$21,$NJ62)="",0,IF((COUNTIF(INDEX($EL$2:$EP$13,$MO62,0),INDEX('DADOS_FORMAS'!$GA$2:$GA$21,$NJ62))+COUNTIF(INDEX($QV$2:$QY$13,$MO62,0),INDEX('DADOS_FORMAS'!$GA$2:$GA$21,$NJ62)))=0,1,0)))</f>
        <v/>
      </c>
      <c r="NY62" s="164">
        <f>IF(OR($NO62=0,$NK62=""),0,IF((COUNTIF(INDEX($EL$2:$EP$13,$MO62,0),$NK62)+COUNTIF(INDEX($QV$2:$QY$13,$MO62,0),$NK62))=0,1,0))</f>
        <v/>
      </c>
      <c r="NZ62" s="164">
        <f>IF(OR($NP62=0,$NL62=""),0,IF((COUNTIF(INDEX($EL$2:$EP$13,$MO62,0),$NL62)+COUNTIF(INDEX($QV$2:$QY$13,$MO62,0),$NL62))=0,1,0))</f>
        <v/>
      </c>
      <c r="OA62" s="164">
        <f>IF(OR($NQ62=0,$NM62=""),0,IF((COUNTIF(INDEX($EL$2:$EP$13,$MO62,0),$NM62)+COUNTIF(INDEX($QV$2:$QY$13,$MO62,0),$NM62))=0,1,0))</f>
        <v/>
      </c>
      <c r="OB62" s="164">
        <f>IF(OR($NR62=0,$NN62=""),0,IF((COUNTIF(INDEX($EL$2:$EP$13,$MO62,0),$NN62)+COUNTIF(INDEX($QV$2:$QY$13,$MO62,0),$NN62))=0,1,0))</f>
        <v/>
      </c>
      <c r="OC62" s="164">
        <f>IFERROR(VLOOKUP(SUBSTITUTE(SUBSTITUTE(SUBSTITUTE($MX62,"~","~~"),"*","~*"),"?","~?"),'DADOS_MELHORIAS'!$AG$2:$AL$113,4,FALSE),0)+IFERROR(VLOOKUP(SUBSTITUTE(SUBSTITUTE(SUBSTITUTE($MY62,"~","~~"),"*","~*"),"?","~?"),'DADOS_MELHORIAS'!$AG$2:$AL$113,4,FALSE),0)+IFERROR(VLOOKUP(SUBSTITUTE(SUBSTITUTE(SUBSTITUTE($MZ62,"~","~~"),"*","~*"),"?","~?"),'DADOS_MELHORIAS'!$AG$2:$AL$113,4,FALSE),0)+IFERROR(VLOOKUP(SUBSTITUTE(SUBSTITUTE(SUBSTITUTE($NA62,"~","~~"),"*","~*"),"?","~?"),'DADOS_MELHORIAS'!$AG$2:$AL$113,4,FALSE),0)</f>
        <v/>
      </c>
      <c r="OD62" s="164">
        <f>IFERROR(VLOOKUP(SUBSTITUTE(SUBSTITUTE(SUBSTITUTE($MX62,"~","~~"),"*","~*"),"?","~?"),'DADOS_MELHORIAS'!$AG$2:$AL$113,6,FALSE),0)+IFERROR(VLOOKUP(SUBSTITUTE(SUBSTITUTE(SUBSTITUTE($MY62,"~","~~"),"*","~*"),"?","~?"),'DADOS_MELHORIAS'!$AG$2:$AL$113,6,FALSE),0)+IFERROR(VLOOKUP(SUBSTITUTE(SUBSTITUTE(SUBSTITUTE($MZ62,"~","~~"),"*","~*"),"?","~?"),'DADOS_MELHORIAS'!$AG$2:$AL$113,6,FALSE),0)+IFERROR(VLOOKUP(SUBSTITUTE(SUBSTITUTE(SUBSTITUTE($NA62,"~","~~"),"*","~*"),"?","~?"),'DADOS_MELHORIAS'!$AG$2:$AL$113,6,FALSE),0)+IFERROR(N(AND(INDEX('DADOS_FORMAS'!$AO$2:$AO$21,MATCH(SUBSTITUTE(SUBSTITUTE(SUBSTITUTE($MU62,"~","~~"),"*","~*"),"?","~?"),'DADOS_FORMAS'!$AH$2:$AH$21,0))="Acerto",$OH62=1)),0)</f>
        <v/>
      </c>
      <c r="OE62" s="164">
        <f>TEXTJOIN(", ",TRUE,IF(IFERROR(VLOOKUP(SUBSTITUTE(SUBSTITUTE(SUBSTITUTE($MX62,"~","~~"),"*","~*"),"?","~?"),'DADOS_MELHORIAS'!$AG$2:$AL$113,5,FALSE),0)=1,$MX62,""),IF(IFERROR(VLOOKUP(SUBSTITUTE(SUBSTITUTE(SUBSTITUTE($MY62,"~","~~"),"*","~*"),"?","~?"),'DADOS_MELHORIAS'!$AG$2:$AL$113,5,FALSE),0)=1,$MY62,""),IF(IFERROR(VLOOKUP(SUBSTITUTE(SUBSTITUTE(SUBSTITUTE($MZ62,"~","~~"),"*","~*"),"?","~?"),'DADOS_MELHORIAS'!$AG$2:$AL$113,5,FALSE),0)=1,$MZ62,""),IF(IFERROR(VLOOKUP(SUBSTITUTE(SUBSTITUTE(SUBSTITUTE($NA62,"~","~~"),"*","~*"),"?","~?"),'DADOS_MELHORIAS'!$AG$2:$AL$113,5,FALSE),0)=1,$NA62,""))</f>
        <v/>
      </c>
      <c r="OF62" s="164">
        <f>IF($NJ62=0,0,INDEX('DADOS_FORMAS'!$GC$2:$GC$21,$NJ62))</f>
        <v/>
      </c>
      <c r="OG62" s="164">
        <f>IF($NJ62=0,0,INDEX('DADOS_FORMAS'!$GD$2:$GD$21,$NJ62))</f>
        <v/>
      </c>
      <c r="OH62" s="164">
        <f>IF($NJ62=0,0,INDEX('DADOS_FORMAS'!$GF$2:$GF$21,$NJ62))</f>
        <v/>
      </c>
      <c r="OI62" s="164">
        <f>IFERROR(VLOOKUP(SUBSTITUTE(SUBSTITUTE(SUBSTITUTE($NB62,"~","~~"),"*","~*"),"?","~?"),'DADOS_RESTRICOES'!$M$2:$Q$54,3,FALSE),0)</f>
        <v/>
      </c>
      <c r="OJ62" s="164">
        <f>IFERROR(VLOOKUP(SUBSTITUTE(SUBSTITUTE(SUBSTITUTE($NC62,"~","~~"),"*","~*"),"?","~?"),'DADOS_RESTRICOES'!$M$2:$Q$54,3,FALSE),0)</f>
        <v/>
      </c>
      <c r="OK62" s="164">
        <f>IFERROR(VLOOKUP(SUBSTITUTE(SUBSTITUTE(SUBSTITUTE($NB62,"~","~~"),"*","~*"),"?","~?"),'DADOS_RESTRICOES'!$M$2:$Q$54,2,FALSE),"")</f>
        <v/>
      </c>
      <c r="OL62" s="164">
        <f>IFERROR(VLOOKUP(SUBSTITUTE(SUBSTITUTE(SUBSTITUTE($NC62,"~","~~"),"*","~*"),"?","~?"),'DADOS_RESTRICOES'!$M$2:$Q$54,2,FALSE),"")</f>
        <v/>
      </c>
      <c r="OM62" s="164">
        <f>COUNTIF($NS62:$NW62,1)</f>
        <v/>
      </c>
      <c r="ON62" s="164">
        <f>COUNTIF($NS62:$NW62,2)</f>
        <v/>
      </c>
      <c r="OO62" s="164">
        <f>COUNTIF($NS62:$NW62,3)</f>
        <v/>
      </c>
      <c r="OP62" s="164">
        <f>COUNTIF($NS62:$NW62,4)</f>
        <v/>
      </c>
      <c r="OQ62" s="164">
        <f>COUNTIF($NS62:$NW62,5)</f>
        <v/>
      </c>
      <c r="OR62" s="164">
        <f>COUNTIF($NS62:$NW62,6)</f>
        <v/>
      </c>
      <c r="OS62" s="164">
        <f>COUNTIF($OI62:$OJ62,1)+IF(IFERROR(INDEX('DADOS_FORMAS'!$AS$2:$AS$21,MATCH(SUBSTITUTE(SUBSTITUTE(SUBSTITUTE($MU62,"~","~~"),"*","~*"),"?","~?"),'DADOS_FORMAS'!$AH$2:$AH$21,0)),"")="",0,IFERROR(N(VLOOKUP(SUBSTITUTE(SUBSTITUTE(SUBSTITUTE(IFERROR(INDEX('DADOS_FORMAS'!$AS$2:$AS$21,MATCH(SUBSTITUTE(SUBSTITUTE(SUBSTITUTE($MU62,"~","~~"),"*","~*"),"?","~?"),'DADOS_FORMAS'!$AH$2:$AH$21,0)),""),"~","~~"),"*","~*"),"?","~?"),'DADOS_RESTRICOES'!$M$2:$Q$54,3,FALSE)=1),0))</f>
        <v/>
      </c>
      <c r="OT62" s="164">
        <f>COUNTIF($OI62:$OJ62,2)+IF(IFERROR(INDEX('DADOS_FORMAS'!$AS$2:$AS$21,MATCH(SUBSTITUTE(SUBSTITUTE(SUBSTITUTE($MU62,"~","~~"),"*","~*"),"?","~?"),'DADOS_FORMAS'!$AH$2:$AH$21,0)),"")="",0,IFERROR(N(VLOOKUP(SUBSTITUTE(SUBSTITUTE(SUBSTITUTE(IFERROR(INDEX('DADOS_FORMAS'!$AS$2:$AS$21,MATCH(SUBSTITUTE(SUBSTITUTE(SUBSTITUTE($MU62,"~","~~"),"*","~*"),"?","~?"),'DADOS_FORMAS'!$AH$2:$AH$21,0)),""),"~","~~"),"*","~*"),"?","~?"),'DADOS_RESTRICOES'!$M$2:$Q$54,3,FALSE)=2),0))</f>
        <v/>
      </c>
      <c r="OU62" s="164">
        <f>COUNTIF($MX62:$NA62,"?*")</f>
        <v/>
      </c>
      <c r="OV62" s="164">
        <f>COUNTIF($NB62:$NC62,"?*")+$OF62</f>
        <v/>
      </c>
      <c r="OW62" s="164">
        <f>IF($MS62=0,0,SUMPRODUCT($OM62:$OR62,INDEX($I$2:$N$8,MAX(1,$MS62),0)))</f>
        <v/>
      </c>
      <c r="OX62" s="164">
        <f>IF($MS62=0,0,$OS62*CEILING($MS62/2,1)+$OT62*$MS62)</f>
        <v/>
      </c>
      <c r="OY62" s="164">
        <f>MIN(2*$MS62,$OX62)</f>
        <v/>
      </c>
      <c r="OZ62" s="164">
        <f>MIN($OY62,$OW62-IF($NS62=0,0,INDEX($I$2:$N$8,MAX(1,$MS62),$NS62)))</f>
        <v/>
      </c>
      <c r="PA62" s="164">
        <f>$OY62-$OZ62</f>
        <v/>
      </c>
      <c r="PB62" s="164">
        <f>IF($MS62=0,0,INDEX($P$2:$P$8,MAX(1,$MS62)))</f>
        <v/>
      </c>
      <c r="PC62" s="164">
        <f>$PB62-$OW62+$OZ62</f>
        <v/>
      </c>
      <c r="PD62" s="164">
        <f>IF($MS62=0,MAX(0,$NG62-IF(AND($OU62&gt;0,COUNTIF($NB62:$NC62,"?*")=0),1,0)),MAX(0,$PC62))</f>
        <v/>
      </c>
      <c r="PE62" s="164">
        <f>IF($MS62=0,0,(IF(COUNTIF($RK62:$RN62,"Salto")&gt;0,1,0)+IF(COUNTIF($RK62:$RN62,"Queima")&gt;0,1,0)+IF(COUNTIF($RK62:$RN62,"Estilhaço")&gt;0,1,0))*FLOOR($PD62/2,1))</f>
        <v/>
      </c>
      <c r="PF62" s="164">
        <f>MAX(0,2-SUMPRODUCT($OM62:$OR62,$I$2:$N$2)+MIN(2,$OS62*1+$OT62*1,SUMPRODUCT($OM62:$OR62,$I$2:$N$2)-IF($NS62=0,0,INDEX($I$2:$N$2,1,$NS62))))</f>
        <v/>
      </c>
      <c r="PG62" s="164">
        <f>MAX(0,4-SUMPRODUCT($OM62:$OR62,$I$3:$N$3)+MIN(4,$OS62*1+$OT62*2,SUMPRODUCT($OM62:$OR62,$I$3:$N$3)-IF($NS62=0,0,INDEX($I$3:$N$3,1,$NS62))))</f>
        <v/>
      </c>
      <c r="PH62" s="164">
        <f>MAX(0,6-SUMPRODUCT($OM62:$OR62,$I$4:$N$4)+MIN(6,$OS62*2+$OT62*3,SUMPRODUCT($OM62:$OR62,$I$4:$N$4)-IF($NS62=0,0,INDEX($I$4:$N$4,1,$NS62))))</f>
        <v/>
      </c>
      <c r="PI62" s="164">
        <f>MAX(0,9-SUMPRODUCT($OM62:$OR62,$I$5:$N$5)+MIN(8,$OS62*2+$OT62*4,SUMPRODUCT($OM62:$OR62,$I$5:$N$5)-IF($NS62=0,0,INDEX($I$5:$N$5,1,$NS62))))</f>
        <v/>
      </c>
      <c r="PJ62" s="164">
        <f>MAX(0,11-SUMPRODUCT($OM62:$OR62,$I$6:$N$6)+MIN(10,$OS62*3+$OT62*5,SUMPRODUCT($OM62:$OR62,$I$6:$N$6)-IF($NS62=0,0,INDEX($I$6:$N$6,1,$NS62))))</f>
        <v/>
      </c>
      <c r="PK62" s="164">
        <f>MAX(0,13-SUMPRODUCT($OM62:$OR62,$I$7:$N$7)+MIN(12,$OS62*3+$OT62*6,SUMPRODUCT($OM62:$OR62,$I$7:$N$7)-IF($NS62=0,0,INDEX($I$7:$N$7,1,$NS62))))</f>
        <v/>
      </c>
      <c r="PL62" s="164">
        <f>MAX(0,16-SUMPRODUCT($OM62:$OR62,$I$8:$N$8)+MIN(14,$OS62*4+$OT62*7,SUMPRODUCT($OM62:$OR62,$I$8:$N$8)-IF($NS62=0,0,INDEX($I$8:$N$8,1,$NS62))))</f>
        <v/>
      </c>
      <c r="PM62" s="164">
        <f>IF($OG62=2,3*$PF62&amp;" de vida temp.",IF($OG62=3,"sem dano",IF($PF62=0,IF($OG62=1,"sem cura","sem dano"),IF($OG62=1,"cura ","")&amp;$PF62&amp;"d8")))</f>
        <v/>
      </c>
      <c r="PN62" s="164">
        <f>IF($OG62=2,3*$PG62&amp;" de vida temp.",IF($OG62=3,"sem dano",IF($PG62=0,IF($OG62=1,"sem cura","sem dano"),IF($OG62=1,"cura ","")&amp;$PG62&amp;"d8")))</f>
        <v/>
      </c>
      <c r="PO62" s="164">
        <f>IF($OG62=2,3*$PH62&amp;" de vida temp.",IF($OG62=3,"sem dano",IF($PH62=0,IF($OG62=1,"sem cura","sem dano"),IF($OG62=1,"cura ","")&amp;$PH62&amp;"d8")))</f>
        <v/>
      </c>
      <c r="PP62" s="164">
        <f>IF($OG62=2,3*$PI62&amp;" de vida temp.",IF($OG62=3,"sem dano",IF($PI62=0,IF($OG62=1,"sem cura","sem dano"),IF($OG62=1,"cura ","")&amp;$PI62&amp;"d8")))</f>
        <v/>
      </c>
      <c r="PQ62" s="164">
        <f>IF($OG62=2,3*$PJ62&amp;" de vida temp.",IF($OG62=3,"sem dano",IF($PJ62=0,IF($OG62=1,"sem cura","sem dano"),IF($OG62=1,"cura ","")&amp;$PJ62&amp;"d8")))</f>
        <v/>
      </c>
      <c r="PR62" s="164">
        <f>IF($OG62=2,3*$PK62&amp;" de vida temp.",IF($OG62=3,"sem dano",IF($PK62=0,IF($OG62=1,"sem cura","sem dano"),IF($OG62=1,"cura ","")&amp;$PK62&amp;"d8")))</f>
        <v/>
      </c>
      <c r="PS62" s="164">
        <f>IF($OG62=2,3*$PL62&amp;" de vida temp.",IF($OG62=3,"sem dano",IF($PL62=0,IF($OG62=1,"sem cura","sem dano"),IF($OG62=1,"cura ","")&amp;$PL62&amp;"d8")))</f>
        <v/>
      </c>
      <c r="PT62" s="164">
        <f>IF($ND62=0,"",TEXTJOIN(" · ",TRUE,IF($ND62=0,"",TEXTJOIN(" · ",TRUE,IF($ND62=0,"",TEXTJOIN(" · ",TRUE,IF($MQ62&gt;$NE62,"Este lugar abre no nível "&amp;$MQ62,""),IF($MS62&gt;$NF62,"Classe "&amp;$MS62&amp;": o nível "&amp;$NE62&amp;" libera até a "&amp;$NF62,""),IF($NX62=1,"A Forma "&amp;$MU62&amp;" pede "&amp;INDEX('DADOS_FORMAS'!$GA$2:$GA$21,$NJ62)&amp;" aberta",""),IF(AND($MS62=0,$NJ62&gt;0,IF($NJ62=0,0,INDEX('DADOS_FORMAS'!$GJ$2:$GJ$21,$NJ62))=0),$MU62&amp;" não existe na Classe 0",""),IF($NY62=1,"Família Fechada: "&amp;$MX62,""),IF($NZ62=1,"Família Fechada: "&amp;$MY62,""),IF($OA62=1,"Família Fechada: "&amp;$MZ62,""),IF($OB62=1,"Família Fechada: "&amp;$NA62,""),IF(AND($MS62&gt;0,$OU62&gt;INDEX($O$2:$O$8,MAX(1,$MS62))),$OU62&amp;" Melhorias: a Classe "&amp;$MS62&amp;" aceita "&amp;INDEX($O$2:$O$8,MAX(1,$MS62)),""),IF(AND($MS62=0,$OU62&gt;1),"A básica aceita uma Melhoria",""),IF(AND($MS62=0,COUNTIF($NO62:$NR62,"&gt;1")&gt;0),"A básica só aceita Melhoria Leve",""),IF(AND($MS62&gt;0,$OV62&gt;2),$OV62&amp;" Restrições"&amp;IF($OF62=1,", contando a que a Forma "&amp;$MU62&amp;" já traz","")&amp;": o limite é 2",""),IF(AND($MS62=0,COUNTIF($NB62:$NC62,"?*")&gt;1),"A básica aceita uma Restrição Leve",""),IF(AND($MS62=0,COUNTIF($OI62:$OJ62,2)&gt;0),"A básica só aceita Restrição Leve",""),IF(AND($MS62&gt;0,$PC62&lt;0),"Orçamento estourado: faltam "&amp;(-$PC62)&amp;IF($PC62&lt;-1," pontos"," ponto"),""),IF(IFERROR(VLOOKUP(SUBSTITUTE(SUBSTITUTE(SUBSTITUTE($NB62,"~","~~"),"*","~*"),"?","~?"),'DADOS_RESTRICOES'!$M$2:$Q$54,4,FALSE),0)+IFERROR(VLOOKUP(SUBSTITUTE(SUBSTITUTE(SUBSTITUTE($NC62,"~","~~"),"*","~*"),"?","~?"),'DADOS_RESTRICOES'!$M$2:$Q$54,4,FALSE),0)&gt;1,$OK62&amp;" e "&amp;$OL62&amp;" são as duas de frequência",""),IF(AND((COUNTIF($RK62:$RN62,"Rápido")+COUNTIF($OK62:$OL62,"Rápido"))&gt;0,(COUNTIF($MX62:$NA62,"Atrasar")+COUNTIF($OK62:$OL62,"Atrasar"))&gt;0),"Rápido não entra com Atrasar",""),IF(AND((COUNTIF($RK62:$RN62,"Reação")+COUNTIF($OK62:$OL62,"Reação"))&gt;0,(COUNTIF($RK62:$RN62,"Rápido")+COUNTIF($OK62:$OL62,"Rápido"))&gt;0),"Reação não entra com Rápido",""),IF(AND((COUNTIF($RK62:$RN62,"Reação")+COUNTIF($OK62:$OL62,"Reação"))&gt;0,(COUNTIF($RK62:$RN62,"Armado")+COUNTIF($OK62:$OL62,"Armado"))&gt;0),"Reação não entra com Armado",""),IF(AND((COUNTIF($RK62:$RN62,"Reação")+COUNTIF($OK62:$OL62,"Reação"))&gt;0,(COUNTIF($MX62:$NA62,"Atrasar")+COUNTIF($OK62:$OL62,"Atrasar"))&gt;0),"Reação não entra com Atrasar",""),IF(AND((COUNTIF($RK62:$RN62,"Reação")+COUNTIF($OK62:$OL62,"Reação"))&gt;0,(COUNTIF($MX62:$NA62,"Parado")+COUNTIF($OK62:$OL62,"Parado"))&gt;0),"Reação não entra com Parado",""),IF(AND((COUNTIF($MX62:$NA62,"Atrasar")+COUNTIF($OK62:$OL62,"Atrasar"))&gt;0,(COUNTIF($MX62:$NA62,"Parado")+COUNTIF($OK62:$OL62,"Parado"))&gt;0),"Atrasar não entra com Parado",""),IF(AND((COUNTIF($RK62:$RN62,"Armado")+COUNTIF($OK62:$OL62,"Armado"))&gt;0,(COUNTIF($MX62:$NA62,"Carregar")+COUNTIF($OK62:$OL62,"Carregar"))&gt;0),"Armado não entra com Carregar",""),IF(AND(COUNTIF($OK62:$OL62,"Corpo a Corpo")&gt;0,$OF62=0,OR($RO62="Cone",$RO62="Linha")),"Corpo a Corpo não entra em "&amp;$MU62,""),IF(AND(COUNTIF($OK62:$OL62,"Corpo a Corpo")&gt;0,$RP62="Corpo a Corpo"),"A Forma "&amp;$MU62&amp;" já traz o Corpo a Corpo",""),IF(AND(COUNTIF($OK62:$OL62,"Tudo ou Nada")&gt;0,$OH62=0),"Tudo ou Nada só entra em habilidade de Teste de Resistência",""),IF(AND(COUNTIF($RK62:$RN62,"Inescapável")&gt;0,OR($OU62&gt;1,$OV62&gt;0)),"Inescapável não aceita outra peça",""),IF(AND($MS62&gt;0,$PD62*IF(COUNTIF($RK62:$RN62,"Remate")&gt;0,1.25,1)+$PE62&gt;4*$MS62),($PD62*IF(COUNTIF($RK62:$RN62,"Remate")&gt;0,1.25,1)+$PE62)&amp;" dados somando repetições"&amp;IF(COUNTIF($RK62:$RN62,"Remate")&gt;0," e o Remate","")&amp;": o teto da Classe "&amp;$MS62&amp;" é "&amp;4*$MS62,""))),IF(AND($MX62&lt;&gt;"",COUNTIF('DADOS_MELHORIAS'!$O$2:$O$113,SUBSTITUTE(SUBSTITUTE(SUBSTITUTE($MX62,"~","~~"),"*","~*"),"?","~?"))=0),"Melhoria não cadastrada ou com erro: "&amp;$MX62,""),IF(AND($MY62&lt;&gt;"",COUNTIF('DADOS_MELHORIAS'!$O$2:$O$113,SUBSTITUTE(SUBSTITUTE(SUBSTITUTE($MY62,"~","~~"),"*","~*"),"?","~?"))=0),"Melhoria não cadastrada ou com erro: "&amp;$MY62,""),IF(AND($MZ62&lt;&gt;"",COUNTIF('DADOS_MELHORIAS'!$O$2:$O$113,SUBSTITUTE(SUBSTITUTE(SUBSTITUTE($MZ62,"~","~~"),"*","~*"),"?","~?"))=0),"Melhoria não cadastrada ou com erro: "&amp;$MZ62,""),IF(AND($NA62&lt;&gt;"",COUNTIF('DADOS_MELHORIAS'!$O$2:$O$113,SUBSTITUTE(SUBSTITUTE(SUBSTITUTE($NA62,"~","~~"),"*","~*"),"?","~?"))=0),"Melhoria não cadastrada ou com erro: "&amp;$NA62,""),IF(AND($NB62&lt;&gt;"",COUNTIF('DADOS_RESTRICOES'!$M$2:$M$54,SUBSTITUTE(SUBSTITUTE(SUBSTITUTE($NB62,"~","~~"),"*","~*"),"?","~?"))=0),"Restrição não cadastrada ou com erro: "&amp;$NB62,""),IF(AND($NC62&lt;&gt;"",COUNTIF('DADOS_RESTRICOES'!$M$2:$M$54,SUBSTITUTE(SUBSTITUTE(SUBSTITUTE($NC62,"~","~~"),"*","~*"),"?","~?"))=0),"Restrição não cadastrada ou com erro: "&amp;$NC62,""))),IF(AND($MU62&lt;&gt;"",COUNTIF('DADOS_FORMAS'!$AH$2:$AH$21,SUBSTITUTE(SUBSTITUTE(SUBSTITUTE($MU62,"~","~~"),"*","~*"),"?","~?"))=0),"Forma não cadastrada ou com erro: "&amp;$MU62,""),IF(AND(IFERROR(INDEX('DADOS_FORMAS'!$AS$2:$AS$21,MATCH(SUBSTITUTE(SUBSTITUTE(SUBSTITUTE($MU62,"~","~~"),"*","~*"),"?","~?"),'DADOS_FORMAS'!$AH$2:$AH$21,0)),"")&lt;&gt;"",OR(IFERROR(VLOOKUP(SUBSTITUTE(SUBSTITUTE(SUBSTITUTE(IFERROR(INDEX('DADOS_FORMAS'!$AS$2:$AS$21,MATCH(SUBSTITUTE(SUBSTITUTE(SUBSTITUTE($MU62,"~","~~"),"*","~*"),"?","~?"),'DADOS_FORMAS'!$AH$2:$AH$21,0)),""),"~","~~"),"*","~*"),"?","~?"),'DADOS_RESTRICOES'!$M$2:$Q$54,2,FALSE),"")=$OK62,IFERROR(VLOOKUP(SUBSTITUTE(SUBSTITUTE(SUBSTITUTE(IFERROR(INDEX('DADOS_FORMAS'!$AS$2:$AS$21,MATCH(SUBSTITUTE(SUBSTITUTE(SUBSTITUTE($MU62,"~","~~"),"*","~*"),"?","~?"),'DADOS_FORMAS'!$AH$2:$AH$21,0)),""),"~","~~"),"*","~*"),"?","~?"),'DADOS_RESTRICOES'!$M$2:$Q$54,2,FALSE),"")=$OL62)),"Restrição repetida, contando a embutida",""),IF(IF(IFERROR(INDEX('DADOS_FORMAS'!$AS$2:$AS$21,MATCH(SUBSTITUTE(SUBSTITUTE(SUBSTITUTE($MU62,"~","~~"),"*","~*"),"?","~?"),'DADOS_FORMAS'!$AH$2:$AH$21,0)),"")="",0,IFERROR(N(VLOOKUP(SUBSTITUTE(SUBSTITUTE(SUBSTITUTE(IFERROR(INDEX('DADOS_FORMAS'!$AS$2:$AS$21,MATCH(SUBSTITUTE(SUBSTITUTE(SUBSTITUTE($MU62,"~","~~"),"*","~*"),"?","~?"),'DADOS_FORMAS'!$AH$2:$AH$21,0)),""),"~","~~"),"*","~*"),"?","~?"),'DADOS_RESTRICOES'!$M$2:$Q$54,4,FALSE)=1),0))+IF($NB62="",0,IFERROR(N(VLOOKUP(SUBSTITUTE(SUBSTITUTE(SUBSTITUTE($NB62,"~","~~"),"*","~*"),"?","~?"),'DADOS_RESTRICOES'!$M$2:$Q$54,4,FALSE)=1),0))+IF($NC62="",0,IFERROR(N(VLOOKUP(SUBSTITUTE(SUBSTITUTE(SUBSTITUTE($NC62,"~","~~"),"*","~*"),"?","~?"),'DADOS_RESTRICOES'!$M$2:$Q$54,4,FALSE)=1),0))&gt;1,"Duas Restrições de frequência, contando a embutida",""),IF(AND(IFERROR(VLOOKUP(SUBSTITUTE(SUBSTITUTE(SUBSTITUTE(IFERROR(INDEX('DADOS_FORMAS'!$AS$2:$AS$21,MATCH(SUBSTITUTE(SUBSTITUTE(SUBSTITUTE($MU62,"~","~~"),"*","~*"),"?","~?"),'DADOS_FORMAS'!$AH$2:$AH$21,0)),""),"~","~~"),"*","~*"),"?","~?"),'DADOS_RESTRICOES'!$M$2:$Q$54,2,FALSE),"")="Tudo ou Nada",$OH62=0),"Tudo ou Nada exige TR",""),IF(AND(IFERROR(VLOOKUP(SUBSTITUTE(SUBSTITUTE(SUBSTITUTE(IFERROR(INDEX('DADOS_FORMAS'!$AS$2:$AS$21,MATCH(SUBSTITUTE(SUBSTITUTE(SUBSTITUTE($MU62,"~","~~"),"*","~*"),"?","~?"),'DADOS_FORMAS'!$AH$2:$AH$21,0)),""),"~","~~"),"*","~*"),"?","~?"),'DADOS_RESTRICOES'!$M$2:$Q$54,2,FALSE),"")="Corpo a Corpo",OR($RO62="Cone",$RO62="Linha")),"Corpo a Corpo não entra em Cone/Linha","")))</f>
        <v/>
      </c>
      <c r="PU62" s="164">
        <f>IF($PT62="",0,(LEN($PT62)-LEN(SUBSTITUTE($PT62," · ","")))/3+1)</f>
        <v/>
      </c>
      <c r="PV62" s="164">
        <f>IF($ND62=0,"",TEXTJOIN(" · ",TRUE,IF($OX62&gt;2*$MS62,"A devolução parou no teto de "&amp;2*$MS62,""),IF($PA62&gt;0,"Devolução perdida: "&amp;$PA62&amp;IF($PA62&gt;1," pontos"," ponto")&amp;" sem Melhoria para pagar",""),IF(AND($OC62&gt;0,AND($MS62&gt;0,$OG62=0),$PD62=0),"Controle sem dano: uma rodada a mais e CD +2",""),IF(AND($OC62&gt;0,AND($MS62&gt;0,$OG62=0),$PD62&gt;0,$PD62&lt;=$MS62),"Controle com saldo até a Classe: uma rodada a mais",""),IF(AND($MS62&gt;0,$OE62&lt;&gt;""),"Efeito de "&amp;$OE62&amp;" pela Classe "&amp;MAX(1,$MS62-1),"")))</f>
        <v/>
      </c>
      <c r="PW62" s="164">
        <f>IF($PV62="",0,(LEN($PV62)-LEN(SUBSTITUTE($PV62," · ","")))/3+1)</f>
        <v/>
      </c>
      <c r="PX62" s="164">
        <f>IF($ND62=0,IF($OU62+COUNTIF($NB62:$NC62,"?*")&gt;0,"Dê um nome",""),IF($PU62&gt;0,"⚠ "&amp;$PU62&amp;IF($PU62&gt;1," erros"," erro"),IF($PW62&gt;0,"! "&amp;$PW62&amp;IF($PW62&gt;1," avisos"," aviso"),"Na regra")))</f>
        <v/>
      </c>
      <c r="PY62" s="164">
        <f>IF($ND62=0,"",IF($PU62+$PW62=0,"Dentro das regras que a ficha confere",$PT62&amp;IF(AND($PU62&gt;0,$PW62&gt;0)," · ","")&amp;$PV62))</f>
        <v/>
      </c>
      <c r="PZ62" s="164">
        <f>IF($MQ62&gt;$NE62,$MR62&amp;" · ABRE NO NÍVEL "&amp;$MQ62,$MR62)</f>
        <v/>
      </c>
      <c r="QA62" s="164">
        <f>IF($ND62=0,"",IF($MS62=0,"Sem PE",3*$MS62&amp;" PE"))</f>
        <v/>
      </c>
      <c r="QB62" s="164">
        <f>IF($ND62=0,"",IF($MS62=0,"A atuação básica dela",IF(COUNTIF($RQ62:$RS62,"Atrasar")&gt;0,"Sua Ação Completa",IF(COUNTIF($RK62:$RN62,"Rápido")&gt;0,"Sua Bônus",IF(COUNTIF($RK62:$RN62,"Reação")&gt;0,"Sua Reação","Sua Padrão")))&amp;" + a básica dela"&amp;IF(COUNTIF($RK62:$RN62,"Reação")&gt;0," e a coletiva","")&amp;IF(COUNTIF($RQ62:$RS62,"Carregar")&gt;0," · em dois turnos","")))</f>
        <v/>
      </c>
      <c r="QC62" s="164">
        <f>IF($MW62&lt;&gt;"",$MW62,IF($NJ62=0,"",INDEX('DADOS_FORMAS'!$GE$2:$GE$21,$NJ62)))</f>
        <v/>
      </c>
      <c r="QD62" s="164">
        <f>IF(OR($ND62=0,$NJ62=0),"",IF(COUNTIF($RK62:$RN62,"Inescapável")&gt;0,"Automático",IF($QC62="Ataque",IF($NH62="","Ataque","Ataque "&amp;IF(($NH62+2*IF(COUNTIF($RK62:$RN62,"Precisão")&gt;0,1,0))&gt;=0,"+","−")&amp;ABS(($NH62+2*IF(COUNTIF($RK62:$RN62,"Precisão")&gt;0,1,0))))&amp;IF($OD62&gt;0," · TR"&amp;IF($NI62="",""," CD "&amp;$NI62),""),IF(LEFT($QC62,2)="TR",$QC62&amp;IF($NI62="",""," · CD "&amp;$NI62)&amp;IF(COUNTIF($RK62:$RN62,"Certeiro")&gt;0," · metade",""),"Sem rolagem"))))</f>
        <v/>
      </c>
      <c r="QE62" s="164">
        <f>IF(OR($ND62=0,$NJ62=0),"",IF($MS62=0,IF(OR($OG62&gt;=1,$PD62=0),"Sem dano",$PD62&amp;"d6"&amp;IF($MV62="",""," "&amp;$MV62)),IF(OR($OG62&gt;=1,$PD62=0),UPPER(LEFT(INDEX($PM62:$PS62,1,MAX(1,$MS62)),1))&amp;MID(INDEX($PM62:$PS62,1,MAX(1,$MS62)),2,99),UPPER(LEFT(INDEX($PM62:$PS62,1,MAX(1,$MS62)),1))&amp;MID(INDEX($PM62:$PS62,1,MAX(1,$MS62)),2,99)&amp;IF($MV62="",""," "&amp;$MV62)&amp;IF($PE62&gt;0," · +"&amp;$PE62&amp;"d8",""))))</f>
        <v/>
      </c>
      <c r="QF62" s="164">
        <f>COUNTIF($RK62:$RN62,"Longe")+3*COUNTIF($RK62:$RN62,"Muito Longe")</f>
        <v/>
      </c>
      <c r="QG62" s="164">
        <f>COUNTIF($RK62:$RN62,"Maior")+3*COUNTIF($RK62:$RN62,"Muito Maior")</f>
        <v/>
      </c>
      <c r="QH62" s="164">
        <f>IF($NJ62=0,0,CHOOSE(1+INDEX('DADOS_FORMAS'!$GG$2:$GG$21,$NJ62),0,$QF62,$QG62,$QF62+$QG62))</f>
        <v/>
      </c>
      <c r="QI62" s="164">
        <f>IF($NJ62=0,0,CHOOSE(1+INDEX('DADOS_FORMAS'!$GH$2:$GH$21,$NJ62),0,$QF62,$QG62,$QF62+$QG62))</f>
        <v/>
      </c>
      <c r="QJ62" s="164">
        <f>IF(OR($ND62=0,$NJ62=0),"",INDEX('DADOS_FORMAS'!$HU$2:$HZ$81,($NJ62-1)*4+IF($MS62=0,1,IF($MS62&lt;=5,2,IF($MS62=6,3,4))),1+MIN(5,$QH62))&amp;INDEX('DADOS_FORMAS'!$IA$2:$IF$81,($NJ62-1)*4+IF($MS62=0,1,IF($MS62&lt;=5,2,IF($MS62=6,3,4))),1+MIN(5,$QI62))&amp;IF(INDEX('DADOS_FORMAS'!$GI$2:$GI$21,$NJ62)=1,IF(COUNTIF($RK62:$RN62,"Mais Um")&gt;0," · +"&amp;COUNTIF($RK62:$RN62,"Mais Um")&amp;IF(COUNTIF($RK62:$RN62,"Mais Um")&gt;1," alvos"," alvo"),"")&amp;IF(COUNTIF($RK62:$RN62,"Rajada")&gt;0,IF($MS62=0," · 1 tiro"," · "&amp;(MAX(1,$MS62-1)+1)&amp;" tiros"),""),""))</f>
        <v/>
      </c>
      <c r="QK62" s="164">
        <f>IF($ND62=0,"",IF($MS62=0,$NG62&amp;"d6"&amp;IF($OU62&gt;0," − 1 = "&amp;$PD62&amp;"d6"," da básica do nível "&amp;$NE62),$PB62&amp;" − "&amp;$OW62&amp;" + "&amp;$OZ62&amp;" = "&amp;$PC62&amp;" · teto "&amp;4*$MS62&amp;"d8"&amp;IF($OF62=1," · a Forma devolve "&amp;$MS62,"")&amp;IF($PA62&gt;0," · perde "&amp;$PA62,"")))</f>
        <v/>
      </c>
      <c r="QL62" s="164">
        <f>IF($ND62=0,"",IF($MS62=0,"A básica não amplia: os dados dela sobem com o nível",IF($MS62&gt;=$NF62,"Já está na maior Classe que o nível liberou",TEXTJOIN(" · ",TRUE,IF(AND(2&gt;$MS62,2&lt;=$NF62),"2 → "&amp;$PN62&amp;", 6 PE",""),IF(AND(3&gt;$MS62,3&lt;=$NF62),"3 → "&amp;$PO62&amp;", 9 PE",""),IF(AND(4&gt;$MS62,4&lt;=$NF62),"4 → "&amp;$PP62&amp;", 12 PE",""),IF(AND(5&gt;$MS62,5&lt;=$NF62),"5 → "&amp;$PQ62&amp;", 15 PE",""),IF(AND(6&gt;$MS62,6&lt;=$NF62),"6 → "&amp;$PR62&amp;", 18 PE",""),IF(AND(7&gt;$MS62,7&lt;=$NF62),"7 → "&amp;$PS62&amp;", 21 PE","")))))</f>
        <v/>
      </c>
      <c r="QM62" s="164">
        <f>IF(OR($ND62=0,$NO62=0),"",IF($MS62=0,"−1 dado","−"&amp;INDEX($I$2:$N$8,MAX(1,$MS62),MAX(1,$NT62))&amp;" · "&amp;CHOOSE(MAX(1,$NT62),"Leve","Média","Pesada","Leve · Livre","Média · Livre","Pesada · Livre")))</f>
        <v/>
      </c>
      <c r="QN62" s="164">
        <f>IF(OR($ND62=0,$NP62=0),"",IF($MS62=0,"−1 dado","−"&amp;INDEX($I$2:$N$8,MAX(1,$MS62),MAX(1,$NU62))&amp;" · "&amp;CHOOSE(MAX(1,$NU62),"Leve","Média","Pesada","Leve · Livre","Média · Livre","Pesada · Livre")))</f>
        <v/>
      </c>
      <c r="QO62" s="164">
        <f>IF(OR($ND62=0,$NQ62=0),"",IF($MS62=0,"−1 dado","−"&amp;INDEX($I$2:$N$8,MAX(1,$MS62),MAX(1,$NV62))&amp;" · "&amp;CHOOSE(MAX(1,$NV62),"Leve","Média","Pesada","Leve · Livre","Média · Livre","Pesada · Livre")))</f>
        <v/>
      </c>
      <c r="QP62" s="164">
        <f>IF(OR($ND62=0,$NR62=0),"",IF($MS62=0,"−1 dado","−"&amp;INDEX($I$2:$N$8,MAX(1,$MS62),MAX(1,$NW62))&amp;" · "&amp;CHOOSE(MAX(1,$NW62),"Leve","Média","Pesada","Leve · Livre","Média · Livre","Pesada · Livre")))</f>
        <v/>
      </c>
      <c r="QQ62" s="164">
        <f>IF(OR($ND62=0,$NB62=""),"",IF($MS62=0,"não devolve","+"&amp;IF($OI62=1,CEILING($MS62/2,1),$MS62)))</f>
        <v/>
      </c>
      <c r="QR62" s="164">
        <f>IF(OR($ND62=0,$NC62=""),"",IF($MS62=0,"não devolve","+"&amp;IF($OJ62=1,CEILING($MS62/2,1),$MS62)))</f>
        <v/>
      </c>
      <c r="RK62">
        <f>IF($MX62="","",IFERROR(VLOOKUP(SUBSTITUTE(SUBSTITUTE(SUBSTITUTE($MX62,"~","~~"),"*","~*"),"?","~?"),'DADOS_MELHORIAS'!$O$2:$X$113,10,FALSE),$MX62))</f>
        <v/>
      </c>
      <c r="RL62">
        <f>IF($MY62="","",IFERROR(VLOOKUP(SUBSTITUTE(SUBSTITUTE(SUBSTITUTE($MY62,"~","~~"),"*","~*"),"?","~?"),'DADOS_MELHORIAS'!$O$2:$X$113,10,FALSE),$MY62))</f>
        <v/>
      </c>
      <c r="RM62">
        <f>IF($MZ62="","",IFERROR(VLOOKUP(SUBSTITUTE(SUBSTITUTE(SUBSTITUTE($MZ62,"~","~~"),"*","~*"),"?","~?"),'DADOS_MELHORIAS'!$O$2:$X$113,10,FALSE),$MZ62))</f>
        <v/>
      </c>
      <c r="RN62">
        <f>IF($NA62="","",IFERROR(VLOOKUP(SUBSTITUTE(SUBSTITUTE(SUBSTITUTE($NA62,"~","~~"),"*","~*"),"?","~?"),'DADOS_MELHORIAS'!$O$2:$X$113,10,FALSE),$NA62))</f>
        <v/>
      </c>
      <c r="RO62">
        <f>IFERROR(INDEX('DADOS_FORMAS'!$BJ$2:$BJ$21,MATCH(SUBSTITUTE(SUBSTITUTE(SUBSTITUTE($MU62,"~","~~"),"*","~*"),"?","~?"),'DADOS_FORMAS'!$AH$2:$AH$21,0)),"")</f>
        <v/>
      </c>
      <c r="RP62">
        <f>IFERROR(VLOOKUP(SUBSTITUTE(SUBSTITUTE(SUBSTITUTE(IFERROR(INDEX('DADOS_FORMAS'!$AS$2:$AS$21,MATCH(SUBSTITUTE(SUBSTITUTE(SUBSTITUTE($MU62,"~","~~"),"*","~*"),"?","~?"),'DADOS_FORMAS'!$AH$2:$AH$21,0)),""),"~","~~"),"*","~*"),"?","~?"),'DADOS_RESTRICOES'!$M$2:$Q$54,2,FALSE),"")</f>
        <v/>
      </c>
      <c r="RQ62">
        <f>$OK62</f>
        <v/>
      </c>
      <c r="RR62">
        <f>$OL62</f>
        <v/>
      </c>
      <c r="RS62">
        <f>$RP62</f>
        <v/>
      </c>
    </row>
    <row r="63">
      <c r="AV63" s="162" t="inlineStr">
        <is>
          <t>Adianta</t>
        </is>
      </c>
      <c r="AW63" s="162" t="inlineStr">
        <is>
          <t>Tempo</t>
        </is>
      </c>
      <c r="AX63" s="164" t="n">
        <v>2</v>
      </c>
      <c r="AY63" s="164" t="n">
        <v>0</v>
      </c>
      <c r="AZ63" s="164" t="n">
        <v>0</v>
      </c>
      <c r="BA63" s="164" t="n">
        <v>0</v>
      </c>
      <c r="JT63" s="164">
        <f>IF(OR($AW63="",(COUNTIF($EL$2:$EP$2,$AW63)+COUNTIF($QV$2:$QY$2,$AW63))&gt;0),$AV63,"")</f>
        <v/>
      </c>
      <c r="JU63" s="164">
        <f>IF(AND($AX63=1,OR($AW63="",(COUNTIF($EL$2:$EP$2,$AW63)+COUNTIF($QV$2:$QY$2,$AW63))&gt;0)),$AV63,"")</f>
        <v/>
      </c>
      <c r="JZ63" s="164">
        <f>IF(OR($AW63="",(COUNTIF($EL$3:$EP$3,$AW63)+COUNTIF($QV$3:$QY$3,$AW63))&gt;0),$AV63,"")</f>
        <v/>
      </c>
      <c r="KA63" s="164">
        <f>IF(AND($AX63=1,OR($AW63="",(COUNTIF($EL$3:$EP$3,$AW63)+COUNTIF($QV$3:$QY$3,$AW63))&gt;0)),$AV63,"")</f>
        <v/>
      </c>
      <c r="KF63" s="164">
        <f>IF(OR($AW63="",(COUNTIF($EL$4:$EP$4,$AW63)+COUNTIF($QV$4:$QY$4,$AW63))&gt;0),$AV63,"")</f>
        <v/>
      </c>
      <c r="KG63" s="164">
        <f>IF(AND($AX63=1,OR($AW63="",(COUNTIF($EL$4:$EP$4,$AW63)+COUNTIF($QV$4:$QY$4,$AW63))&gt;0)),$AV63,"")</f>
        <v/>
      </c>
      <c r="KL63" s="164">
        <f>IF(OR($AW63="",(COUNTIF($EL$5:$EP$5,$AW63)+COUNTIF($QV$5:$QY$5,$AW63))&gt;0),$AV63,"")</f>
        <v/>
      </c>
      <c r="KM63" s="164">
        <f>IF(AND($AX63=1,OR($AW63="",(COUNTIF($EL$5:$EP$5,$AW63)+COUNTIF($QV$5:$QY$5,$AW63))&gt;0)),$AV63,"")</f>
        <v/>
      </c>
      <c r="KR63" s="164">
        <f>IF(OR($AW63="",(COUNTIF($EL$6:$EP$6,$AW63)+COUNTIF($QV$6:$QY$6,$AW63))&gt;0),$AV63,"")</f>
        <v/>
      </c>
      <c r="KS63" s="164">
        <f>IF(AND($AX63=1,OR($AW63="",(COUNTIF($EL$6:$EP$6,$AW63)+COUNTIF($QV$6:$QY$6,$AW63))&gt;0)),$AV63,"")</f>
        <v/>
      </c>
      <c r="KX63" s="164">
        <f>IF(OR($AW63="",(COUNTIF($EL$7:$EP$7,$AW63)+COUNTIF($QV$7:$QY$7,$AW63))&gt;0),$AV63,"")</f>
        <v/>
      </c>
      <c r="KY63" s="164">
        <f>IF(AND($AX63=1,OR($AW63="",(COUNTIF($EL$7:$EP$7,$AW63)+COUNTIF($QV$7:$QY$7,$AW63))&gt;0)),$AV63,"")</f>
        <v/>
      </c>
      <c r="LD63" s="164">
        <f>IF(OR($AW63="",(COUNTIF($EL$8:$EP$8,$AW63)+COUNTIF($QV$8:$QY$8,$AW63))&gt;0),$AV63,"")</f>
        <v/>
      </c>
      <c r="LE63" s="164">
        <f>IF(AND($AX63=1,OR($AW63="",(COUNTIF($EL$8:$EP$8,$AW63)+COUNTIF($QV$8:$QY$8,$AW63))&gt;0)),$AV63,"")</f>
        <v/>
      </c>
      <c r="LJ63" s="164">
        <f>IF(OR($AW63="",(COUNTIF($EL$9:$EP$9,$AW63)+COUNTIF($QV$9:$QY$9,$AW63))&gt;0),$AV63,"")</f>
        <v/>
      </c>
      <c r="LK63" s="164">
        <f>IF(AND($AX63=1,OR($AW63="",(COUNTIF($EL$9:$EP$9,$AW63)+COUNTIF($QV$9:$QY$9,$AW63))&gt;0)),$AV63,"")</f>
        <v/>
      </c>
      <c r="LP63" s="164">
        <f>IF(OR($AW63="",(COUNTIF($EL$10:$EP$10,$AW63)+COUNTIF($QV$10:$QY$10,$AW63))&gt;0),$AV63,"")</f>
        <v/>
      </c>
      <c r="LQ63" s="164">
        <f>IF(AND($AX63=1,OR($AW63="",(COUNTIF($EL$10:$EP$10,$AW63)+COUNTIF($QV$10:$QY$10,$AW63))&gt;0)),$AV63,"")</f>
        <v/>
      </c>
      <c r="LV63" s="164">
        <f>IF(OR($AW63="",(COUNTIF($EL$11:$EP$11,$AW63)+COUNTIF($QV$11:$QY$11,$AW63))&gt;0),$AV63,"")</f>
        <v/>
      </c>
      <c r="LW63" s="164">
        <f>IF(AND($AX63=1,OR($AW63="",(COUNTIF($EL$11:$EP$11,$AW63)+COUNTIF($QV$11:$QY$11,$AW63))&gt;0)),$AV63,"")</f>
        <v/>
      </c>
      <c r="MB63" s="164">
        <f>IF(OR($AW63="",(COUNTIF($EL$12:$EP$12,$AW63)+COUNTIF($QV$12:$QY$12,$AW63))&gt;0),$AV63,"")</f>
        <v/>
      </c>
      <c r="MC63" s="164">
        <f>IF(AND($AX63=1,OR($AW63="",(COUNTIF($EL$12:$EP$12,$AW63)+COUNTIF($QV$12:$QY$12,$AW63))&gt;0)),$AV63,"")</f>
        <v/>
      </c>
      <c r="MH63" s="164">
        <f>IF(OR($AW63="",(COUNTIF($EL$13:$EP$13,$AW63)+COUNTIF($QV$13:$QY$13,$AW63))&gt;0),$AV63,"")</f>
        <v/>
      </c>
      <c r="MI63" s="164">
        <f>IF(AND($AX63=1,OR($AW63="",(COUNTIF($EL$13:$EP$13,$AW63)+COUNTIF($QV$13:$QY$13,$AW63))&gt;0)),$AV63,"")</f>
        <v/>
      </c>
      <c r="MN63" s="162" t="inlineStr">
        <is>
          <t>Ficha 5 · Especial 8</t>
        </is>
      </c>
      <c r="MO63" s="164" t="n">
        <v>5</v>
      </c>
      <c r="MP63" s="164" t="n">
        <v>1</v>
      </c>
      <c r="MQ63" s="164" t="n">
        <v>28</v>
      </c>
      <c r="MR63" s="162" t="inlineStr">
        <is>
          <t>ESPECIAL 8</t>
        </is>
      </c>
      <c r="MS63" s="164">
        <f>MAX(1,MIN(7,N('INVOCAÇÕES'!$I$993)))</f>
        <v/>
      </c>
      <c r="MT63" s="164">
        <f>'INVOCAÇÕES'!$J$993&amp;""</f>
        <v/>
      </c>
      <c r="MU63" s="164">
        <f>'INVOCAÇÕES'!$I$998&amp;""</f>
        <v/>
      </c>
      <c r="MV63" s="164">
        <f>'INVOCAÇÕES'!$I$999&amp;""</f>
        <v/>
      </c>
      <c r="MW63" s="164">
        <f>'INVOCAÇÕES'!$K$999&amp;""</f>
        <v/>
      </c>
      <c r="MX63" s="164">
        <f>'INVOCAÇÕES'!$J$1002&amp;""</f>
        <v/>
      </c>
      <c r="MY63" s="164">
        <f>'INVOCAÇÕES'!$J$1003&amp;""</f>
        <v/>
      </c>
      <c r="MZ63" s="164">
        <f>'INVOCAÇÕES'!$J$1004&amp;""</f>
        <v/>
      </c>
      <c r="NA63" s="164">
        <f>'INVOCAÇÕES'!$J$1005&amp;""</f>
        <v/>
      </c>
      <c r="NB63" s="164">
        <f>'INVOCAÇÕES'!$J$1006&amp;""</f>
        <v/>
      </c>
      <c r="NC63" s="164">
        <f>'INVOCAÇÕES'!$J$1007&amp;""</f>
        <v/>
      </c>
      <c r="ND63" s="164">
        <f>IF($MT63&lt;&gt;"",1,0)</f>
        <v/>
      </c>
      <c r="NE63" s="164">
        <f>INDEX($FO$2:$FO$13,$MO63)</f>
        <v/>
      </c>
      <c r="NF63" s="164">
        <f>INDEX($FP$2:$FP$13,$MO63)</f>
        <v/>
      </c>
      <c r="NG63" s="164">
        <f>INDEX($FQ$2:$FQ$13,$MO63)</f>
        <v/>
      </c>
      <c r="NH63" s="164">
        <f>INDEX($GB$2:$GB$13,$MO63)</f>
        <v/>
      </c>
      <c r="NI63" s="164">
        <f>INDEX($GC$2:$GC$13,$MO63)</f>
        <v/>
      </c>
      <c r="NJ63" s="164">
        <f>IFERROR(MATCH(SUBSTITUTE(SUBSTITUTE(SUBSTITUTE($MU63,"~","~~"),"*","~*"),"?","~?"),'DADOS_FORMAS'!$FZ$2:$FZ$21,0),0)</f>
        <v/>
      </c>
      <c r="NK63" s="164">
        <f>IFERROR(VLOOKUP(SUBSTITUTE(SUBSTITUTE(SUBSTITUTE($MX63,"~","~~"),"*","~*"),"?","~?"),'DADOS_MELHORIAS'!$AG$2:$AL$113,2,FALSE),"")</f>
        <v/>
      </c>
      <c r="NL63" s="164">
        <f>IFERROR(VLOOKUP(SUBSTITUTE(SUBSTITUTE(SUBSTITUTE($MY63,"~","~~"),"*","~*"),"?","~?"),'DADOS_MELHORIAS'!$AG$2:$AL$113,2,FALSE),"")</f>
        <v/>
      </c>
      <c r="NM63" s="164">
        <f>IFERROR(VLOOKUP(SUBSTITUTE(SUBSTITUTE(SUBSTITUTE($MZ63,"~","~~"),"*","~*"),"?","~?"),'DADOS_MELHORIAS'!$AG$2:$AL$113,2,FALSE),"")</f>
        <v/>
      </c>
      <c r="NN63" s="164">
        <f>IFERROR(VLOOKUP(SUBSTITUTE(SUBSTITUTE(SUBSTITUTE($NA63,"~","~~"),"*","~*"),"?","~?"),'DADOS_MELHORIAS'!$AG$2:$AL$113,2,FALSE),"")</f>
        <v/>
      </c>
      <c r="NO63" s="164">
        <f>IFERROR(VLOOKUP(SUBSTITUTE(SUBSTITUTE(SUBSTITUTE($MX63,"~","~~"),"*","~*"),"?","~?"),'DADOS_MELHORIAS'!$AG$2:$AL$113,3,FALSE),0)</f>
        <v/>
      </c>
      <c r="NP63" s="164">
        <f>IFERROR(VLOOKUP(SUBSTITUTE(SUBSTITUTE(SUBSTITUTE($MY63,"~","~~"),"*","~*"),"?","~?"),'DADOS_MELHORIAS'!$AG$2:$AL$113,3,FALSE),0)</f>
        <v/>
      </c>
      <c r="NQ63" s="164">
        <f>IFERROR(VLOOKUP(SUBSTITUTE(SUBSTITUTE(SUBSTITUTE($MZ63,"~","~~"),"*","~*"),"?","~?"),'DADOS_MELHORIAS'!$AG$2:$AL$113,3,FALSE),0)</f>
        <v/>
      </c>
      <c r="NR63" s="164">
        <f>IFERROR(VLOOKUP(SUBSTITUTE(SUBSTITUTE(SUBSTITUTE($NA63,"~","~~"),"*","~*"),"?","~?"),'DADOS_MELHORIAS'!$AG$2:$AL$113,3,FALSE),0)</f>
        <v/>
      </c>
      <c r="NS63" s="164">
        <f>IF($MS63=0,0,IF($NJ63=0,0,INDEX('DADOS_FORMAS'!$GB$2:$GB$21,$NJ63)))</f>
        <v/>
      </c>
      <c r="NT63" s="164">
        <f>IF(OR($NO63=0,$MS63=0),0,$NO63+3*IF(AND($NK63&lt;&gt;"",COUNTIF(INDEX($RB$2:$RJ$13,$MO63,0),$NK63)&gt;0),1,0))</f>
        <v/>
      </c>
      <c r="NU63" s="164">
        <f>IF(OR($NP63=0,$MS63=0),0,$NP63+3*IF(AND($NL63&lt;&gt;"",COUNTIF(INDEX($RB$2:$RJ$13,$MO63,0),$NL63)&gt;0),1,0))</f>
        <v/>
      </c>
      <c r="NV63" s="164">
        <f>IF(OR($NQ63=0,$MS63=0),0,$NQ63+3*IF(AND($NM63&lt;&gt;"",COUNTIF(INDEX($RB$2:$RJ$13,$MO63,0),$NM63)&gt;0),1,0))</f>
        <v/>
      </c>
      <c r="NW63" s="164">
        <f>IF(OR($NR63=0,$MS63=0),0,$NR63+3*IF(AND($NN63&lt;&gt;"",COUNTIF(INDEX($RB$2:$RJ$13,$MO63,0),$NN63)&gt;0),1,0))</f>
        <v/>
      </c>
      <c r="NX63" s="164">
        <f>IF($NJ63=0,0,IF(INDEX('DADOS_FORMAS'!$GA$2:$GA$21,$NJ63)="",0,IF((COUNTIF(INDEX($EL$2:$EP$13,$MO63,0),INDEX('DADOS_FORMAS'!$GA$2:$GA$21,$NJ63))+COUNTIF(INDEX($QV$2:$QY$13,$MO63,0),INDEX('DADOS_FORMAS'!$GA$2:$GA$21,$NJ63)))=0,1,0)))</f>
        <v/>
      </c>
      <c r="NY63" s="164">
        <f>IF(OR($NO63=0,$NK63=""),0,IF((COUNTIF(INDEX($EL$2:$EP$13,$MO63,0),$NK63)+COUNTIF(INDEX($QV$2:$QY$13,$MO63,0),$NK63))=0,1,0))</f>
        <v/>
      </c>
      <c r="NZ63" s="164">
        <f>IF(OR($NP63=0,$NL63=""),0,IF((COUNTIF(INDEX($EL$2:$EP$13,$MO63,0),$NL63)+COUNTIF(INDEX($QV$2:$QY$13,$MO63,0),$NL63))=0,1,0))</f>
        <v/>
      </c>
      <c r="OA63" s="164">
        <f>IF(OR($NQ63=0,$NM63=""),0,IF((COUNTIF(INDEX($EL$2:$EP$13,$MO63,0),$NM63)+COUNTIF(INDEX($QV$2:$QY$13,$MO63,0),$NM63))=0,1,0))</f>
        <v/>
      </c>
      <c r="OB63" s="164">
        <f>IF(OR($NR63=0,$NN63=""),0,IF((COUNTIF(INDEX($EL$2:$EP$13,$MO63,0),$NN63)+COUNTIF(INDEX($QV$2:$QY$13,$MO63,0),$NN63))=0,1,0))</f>
        <v/>
      </c>
      <c r="OC63" s="164">
        <f>IFERROR(VLOOKUP(SUBSTITUTE(SUBSTITUTE(SUBSTITUTE($MX63,"~","~~"),"*","~*"),"?","~?"),'DADOS_MELHORIAS'!$AG$2:$AL$113,4,FALSE),0)+IFERROR(VLOOKUP(SUBSTITUTE(SUBSTITUTE(SUBSTITUTE($MY63,"~","~~"),"*","~*"),"?","~?"),'DADOS_MELHORIAS'!$AG$2:$AL$113,4,FALSE),0)+IFERROR(VLOOKUP(SUBSTITUTE(SUBSTITUTE(SUBSTITUTE($MZ63,"~","~~"),"*","~*"),"?","~?"),'DADOS_MELHORIAS'!$AG$2:$AL$113,4,FALSE),0)+IFERROR(VLOOKUP(SUBSTITUTE(SUBSTITUTE(SUBSTITUTE($NA63,"~","~~"),"*","~*"),"?","~?"),'DADOS_MELHORIAS'!$AG$2:$AL$113,4,FALSE),0)</f>
        <v/>
      </c>
      <c r="OD63" s="164">
        <f>IFERROR(VLOOKUP(SUBSTITUTE(SUBSTITUTE(SUBSTITUTE($MX63,"~","~~"),"*","~*"),"?","~?"),'DADOS_MELHORIAS'!$AG$2:$AL$113,6,FALSE),0)+IFERROR(VLOOKUP(SUBSTITUTE(SUBSTITUTE(SUBSTITUTE($MY63,"~","~~"),"*","~*"),"?","~?"),'DADOS_MELHORIAS'!$AG$2:$AL$113,6,FALSE),0)+IFERROR(VLOOKUP(SUBSTITUTE(SUBSTITUTE(SUBSTITUTE($MZ63,"~","~~"),"*","~*"),"?","~?"),'DADOS_MELHORIAS'!$AG$2:$AL$113,6,FALSE),0)+IFERROR(VLOOKUP(SUBSTITUTE(SUBSTITUTE(SUBSTITUTE($NA63,"~","~~"),"*","~*"),"?","~?"),'DADOS_MELHORIAS'!$AG$2:$AL$113,6,FALSE),0)+IFERROR(N(AND(INDEX('DADOS_FORMAS'!$AO$2:$AO$21,MATCH(SUBSTITUTE(SUBSTITUTE(SUBSTITUTE($MU63,"~","~~"),"*","~*"),"?","~?"),'DADOS_FORMAS'!$AH$2:$AH$21,0))="Acerto",$OH63=1)),0)</f>
        <v/>
      </c>
      <c r="OE63" s="164">
        <f>TEXTJOIN(", ",TRUE,IF(IFERROR(VLOOKUP(SUBSTITUTE(SUBSTITUTE(SUBSTITUTE($MX63,"~","~~"),"*","~*"),"?","~?"),'DADOS_MELHORIAS'!$AG$2:$AL$113,5,FALSE),0)=1,$MX63,""),IF(IFERROR(VLOOKUP(SUBSTITUTE(SUBSTITUTE(SUBSTITUTE($MY63,"~","~~"),"*","~*"),"?","~?"),'DADOS_MELHORIAS'!$AG$2:$AL$113,5,FALSE),0)=1,$MY63,""),IF(IFERROR(VLOOKUP(SUBSTITUTE(SUBSTITUTE(SUBSTITUTE($MZ63,"~","~~"),"*","~*"),"?","~?"),'DADOS_MELHORIAS'!$AG$2:$AL$113,5,FALSE),0)=1,$MZ63,""),IF(IFERROR(VLOOKUP(SUBSTITUTE(SUBSTITUTE(SUBSTITUTE($NA63,"~","~~"),"*","~*"),"?","~?"),'DADOS_MELHORIAS'!$AG$2:$AL$113,5,FALSE),0)=1,$NA63,""))</f>
        <v/>
      </c>
      <c r="OF63" s="164">
        <f>IF($NJ63=0,0,INDEX('DADOS_FORMAS'!$GC$2:$GC$21,$NJ63))</f>
        <v/>
      </c>
      <c r="OG63" s="164">
        <f>IF($NJ63=0,0,INDEX('DADOS_FORMAS'!$GD$2:$GD$21,$NJ63))</f>
        <v/>
      </c>
      <c r="OH63" s="164">
        <f>IF($NJ63=0,0,INDEX('DADOS_FORMAS'!$GF$2:$GF$21,$NJ63))</f>
        <v/>
      </c>
      <c r="OI63" s="164">
        <f>IFERROR(VLOOKUP(SUBSTITUTE(SUBSTITUTE(SUBSTITUTE($NB63,"~","~~"),"*","~*"),"?","~?"),'DADOS_RESTRICOES'!$M$2:$Q$54,3,FALSE),0)</f>
        <v/>
      </c>
      <c r="OJ63" s="164">
        <f>IFERROR(VLOOKUP(SUBSTITUTE(SUBSTITUTE(SUBSTITUTE($NC63,"~","~~"),"*","~*"),"?","~?"),'DADOS_RESTRICOES'!$M$2:$Q$54,3,FALSE),0)</f>
        <v/>
      </c>
      <c r="OK63" s="164">
        <f>IFERROR(VLOOKUP(SUBSTITUTE(SUBSTITUTE(SUBSTITUTE($NB63,"~","~~"),"*","~*"),"?","~?"),'DADOS_RESTRICOES'!$M$2:$Q$54,2,FALSE),"")</f>
        <v/>
      </c>
      <c r="OL63" s="164">
        <f>IFERROR(VLOOKUP(SUBSTITUTE(SUBSTITUTE(SUBSTITUTE($NC63,"~","~~"),"*","~*"),"?","~?"),'DADOS_RESTRICOES'!$M$2:$Q$54,2,FALSE),"")</f>
        <v/>
      </c>
      <c r="OM63" s="164">
        <f>COUNTIF($NS63:$NW63,1)</f>
        <v/>
      </c>
      <c r="ON63" s="164">
        <f>COUNTIF($NS63:$NW63,2)</f>
        <v/>
      </c>
      <c r="OO63" s="164">
        <f>COUNTIF($NS63:$NW63,3)</f>
        <v/>
      </c>
      <c r="OP63" s="164">
        <f>COUNTIF($NS63:$NW63,4)</f>
        <v/>
      </c>
      <c r="OQ63" s="164">
        <f>COUNTIF($NS63:$NW63,5)</f>
        <v/>
      </c>
      <c r="OR63" s="164">
        <f>COUNTIF($NS63:$NW63,6)</f>
        <v/>
      </c>
      <c r="OS63" s="164">
        <f>COUNTIF($OI63:$OJ63,1)+IF(IFERROR(INDEX('DADOS_FORMAS'!$AS$2:$AS$21,MATCH(SUBSTITUTE(SUBSTITUTE(SUBSTITUTE($MU63,"~","~~"),"*","~*"),"?","~?"),'DADOS_FORMAS'!$AH$2:$AH$21,0)),"")="",0,IFERROR(N(VLOOKUP(SUBSTITUTE(SUBSTITUTE(SUBSTITUTE(IFERROR(INDEX('DADOS_FORMAS'!$AS$2:$AS$21,MATCH(SUBSTITUTE(SUBSTITUTE(SUBSTITUTE($MU63,"~","~~"),"*","~*"),"?","~?"),'DADOS_FORMAS'!$AH$2:$AH$21,0)),""),"~","~~"),"*","~*"),"?","~?"),'DADOS_RESTRICOES'!$M$2:$Q$54,3,FALSE)=1),0))</f>
        <v/>
      </c>
      <c r="OT63" s="164">
        <f>COUNTIF($OI63:$OJ63,2)+IF(IFERROR(INDEX('DADOS_FORMAS'!$AS$2:$AS$21,MATCH(SUBSTITUTE(SUBSTITUTE(SUBSTITUTE($MU63,"~","~~"),"*","~*"),"?","~?"),'DADOS_FORMAS'!$AH$2:$AH$21,0)),"")="",0,IFERROR(N(VLOOKUP(SUBSTITUTE(SUBSTITUTE(SUBSTITUTE(IFERROR(INDEX('DADOS_FORMAS'!$AS$2:$AS$21,MATCH(SUBSTITUTE(SUBSTITUTE(SUBSTITUTE($MU63,"~","~~"),"*","~*"),"?","~?"),'DADOS_FORMAS'!$AH$2:$AH$21,0)),""),"~","~~"),"*","~*"),"?","~?"),'DADOS_RESTRICOES'!$M$2:$Q$54,3,FALSE)=2),0))</f>
        <v/>
      </c>
      <c r="OU63" s="164">
        <f>COUNTIF($MX63:$NA63,"?*")</f>
        <v/>
      </c>
      <c r="OV63" s="164">
        <f>COUNTIF($NB63:$NC63,"?*")+$OF63</f>
        <v/>
      </c>
      <c r="OW63" s="164">
        <f>IF($MS63=0,0,SUMPRODUCT($OM63:$OR63,INDEX($I$2:$N$8,MAX(1,$MS63),0)))</f>
        <v/>
      </c>
      <c r="OX63" s="164">
        <f>IF($MS63=0,0,$OS63*CEILING($MS63/2,1)+$OT63*$MS63)</f>
        <v/>
      </c>
      <c r="OY63" s="164">
        <f>MIN(2*$MS63,$OX63)</f>
        <v/>
      </c>
      <c r="OZ63" s="164">
        <f>MIN($OY63,$OW63-IF($NS63=0,0,INDEX($I$2:$N$8,MAX(1,$MS63),$NS63)))</f>
        <v/>
      </c>
      <c r="PA63" s="164">
        <f>$OY63-$OZ63</f>
        <v/>
      </c>
      <c r="PB63" s="164">
        <f>IF($MS63=0,0,INDEX($P$2:$P$8,MAX(1,$MS63)))</f>
        <v/>
      </c>
      <c r="PC63" s="164">
        <f>$PB63-$OW63+$OZ63</f>
        <v/>
      </c>
      <c r="PD63" s="164">
        <f>IF($MS63=0,MAX(0,$NG63-IF(AND($OU63&gt;0,COUNTIF($NB63:$NC63,"?*")=0),1,0)),MAX(0,$PC63))</f>
        <v/>
      </c>
      <c r="PE63" s="164">
        <f>IF($MS63=0,0,(IF(COUNTIF($RK63:$RN63,"Salto")&gt;0,1,0)+IF(COUNTIF($RK63:$RN63,"Queima")&gt;0,1,0)+IF(COUNTIF($RK63:$RN63,"Estilhaço")&gt;0,1,0))*FLOOR($PD63/2,1))</f>
        <v/>
      </c>
      <c r="PF63" s="164">
        <f>MAX(0,2-SUMPRODUCT($OM63:$OR63,$I$2:$N$2)+MIN(2,$OS63*1+$OT63*1,SUMPRODUCT($OM63:$OR63,$I$2:$N$2)-IF($NS63=0,0,INDEX($I$2:$N$2,1,$NS63))))</f>
        <v/>
      </c>
      <c r="PG63" s="164">
        <f>MAX(0,4-SUMPRODUCT($OM63:$OR63,$I$3:$N$3)+MIN(4,$OS63*1+$OT63*2,SUMPRODUCT($OM63:$OR63,$I$3:$N$3)-IF($NS63=0,0,INDEX($I$3:$N$3,1,$NS63))))</f>
        <v/>
      </c>
      <c r="PH63" s="164">
        <f>MAX(0,6-SUMPRODUCT($OM63:$OR63,$I$4:$N$4)+MIN(6,$OS63*2+$OT63*3,SUMPRODUCT($OM63:$OR63,$I$4:$N$4)-IF($NS63=0,0,INDEX($I$4:$N$4,1,$NS63))))</f>
        <v/>
      </c>
      <c r="PI63" s="164">
        <f>MAX(0,9-SUMPRODUCT($OM63:$OR63,$I$5:$N$5)+MIN(8,$OS63*2+$OT63*4,SUMPRODUCT($OM63:$OR63,$I$5:$N$5)-IF($NS63=0,0,INDEX($I$5:$N$5,1,$NS63))))</f>
        <v/>
      </c>
      <c r="PJ63" s="164">
        <f>MAX(0,11-SUMPRODUCT($OM63:$OR63,$I$6:$N$6)+MIN(10,$OS63*3+$OT63*5,SUMPRODUCT($OM63:$OR63,$I$6:$N$6)-IF($NS63=0,0,INDEX($I$6:$N$6,1,$NS63))))</f>
        <v/>
      </c>
      <c r="PK63" s="164">
        <f>MAX(0,13-SUMPRODUCT($OM63:$OR63,$I$7:$N$7)+MIN(12,$OS63*3+$OT63*6,SUMPRODUCT($OM63:$OR63,$I$7:$N$7)-IF($NS63=0,0,INDEX($I$7:$N$7,1,$NS63))))</f>
        <v/>
      </c>
      <c r="PL63" s="164">
        <f>MAX(0,16-SUMPRODUCT($OM63:$OR63,$I$8:$N$8)+MIN(14,$OS63*4+$OT63*7,SUMPRODUCT($OM63:$OR63,$I$8:$N$8)-IF($NS63=0,0,INDEX($I$8:$N$8,1,$NS63))))</f>
        <v/>
      </c>
      <c r="PM63" s="164">
        <f>IF($OG63=2,3*$PF63&amp;" de vida temp.",IF($OG63=3,"sem dano",IF($PF63=0,IF($OG63=1,"sem cura","sem dano"),IF($OG63=1,"cura ","")&amp;$PF63&amp;"d8")))</f>
        <v/>
      </c>
      <c r="PN63" s="164">
        <f>IF($OG63=2,3*$PG63&amp;" de vida temp.",IF($OG63=3,"sem dano",IF($PG63=0,IF($OG63=1,"sem cura","sem dano"),IF($OG63=1,"cura ","")&amp;$PG63&amp;"d8")))</f>
        <v/>
      </c>
      <c r="PO63" s="164">
        <f>IF($OG63=2,3*$PH63&amp;" de vida temp.",IF($OG63=3,"sem dano",IF($PH63=0,IF($OG63=1,"sem cura","sem dano"),IF($OG63=1,"cura ","")&amp;$PH63&amp;"d8")))</f>
        <v/>
      </c>
      <c r="PP63" s="164">
        <f>IF($OG63=2,3*$PI63&amp;" de vida temp.",IF($OG63=3,"sem dano",IF($PI63=0,IF($OG63=1,"sem cura","sem dano"),IF($OG63=1,"cura ","")&amp;$PI63&amp;"d8")))</f>
        <v/>
      </c>
      <c r="PQ63" s="164">
        <f>IF($OG63=2,3*$PJ63&amp;" de vida temp.",IF($OG63=3,"sem dano",IF($PJ63=0,IF($OG63=1,"sem cura","sem dano"),IF($OG63=1,"cura ","")&amp;$PJ63&amp;"d8")))</f>
        <v/>
      </c>
      <c r="PR63" s="164">
        <f>IF($OG63=2,3*$PK63&amp;" de vida temp.",IF($OG63=3,"sem dano",IF($PK63=0,IF($OG63=1,"sem cura","sem dano"),IF($OG63=1,"cura ","")&amp;$PK63&amp;"d8")))</f>
        <v/>
      </c>
      <c r="PS63" s="164">
        <f>IF($OG63=2,3*$PL63&amp;" de vida temp.",IF($OG63=3,"sem dano",IF($PL63=0,IF($OG63=1,"sem cura","sem dano"),IF($OG63=1,"cura ","")&amp;$PL63&amp;"d8")))</f>
        <v/>
      </c>
      <c r="PT63" s="164">
        <f>IF($ND63=0,"",TEXTJOIN(" · ",TRUE,IF($ND63=0,"",TEXTJOIN(" · ",TRUE,IF($ND63=0,"",TEXTJOIN(" · ",TRUE,IF($MQ63&gt;$NE63,"Este lugar abre no nível "&amp;$MQ63,""),IF($MS63&gt;$NF63,"Classe "&amp;$MS63&amp;": o nível "&amp;$NE63&amp;" libera até a "&amp;$NF63,""),IF($NX63=1,"A Forma "&amp;$MU63&amp;" pede "&amp;INDEX('DADOS_FORMAS'!$GA$2:$GA$21,$NJ63)&amp;" aberta",""),IF(AND($MS63=0,$NJ63&gt;0,IF($NJ63=0,0,INDEX('DADOS_FORMAS'!$GJ$2:$GJ$21,$NJ63))=0),$MU63&amp;" não existe na Classe 0",""),IF($NY63=1,"Família Fechada: "&amp;$MX63,""),IF($NZ63=1,"Família Fechada: "&amp;$MY63,""),IF($OA63=1,"Família Fechada: "&amp;$MZ63,""),IF($OB63=1,"Família Fechada: "&amp;$NA63,""),IF(AND($MS63&gt;0,$OU63&gt;INDEX($O$2:$O$8,MAX(1,$MS63))),$OU63&amp;" Melhorias: a Classe "&amp;$MS63&amp;" aceita "&amp;INDEX($O$2:$O$8,MAX(1,$MS63)),""),IF(AND($MS63=0,$OU63&gt;1),"A básica aceita uma Melhoria",""),IF(AND($MS63=0,COUNTIF($NO63:$NR63,"&gt;1")&gt;0),"A básica só aceita Melhoria Leve",""),IF(AND($MS63&gt;0,$OV63&gt;2),$OV63&amp;" Restrições"&amp;IF($OF63=1,", contando a que a Forma "&amp;$MU63&amp;" já traz","")&amp;": o limite é 2",""),IF(AND($MS63=0,COUNTIF($NB63:$NC63,"?*")&gt;1),"A básica aceita uma Restrição Leve",""),IF(AND($MS63=0,COUNTIF($OI63:$OJ63,2)&gt;0),"A básica só aceita Restrição Leve",""),IF(AND($MS63&gt;0,$PC63&lt;0),"Orçamento estourado: faltam "&amp;(-$PC63)&amp;IF($PC63&lt;-1," pontos"," ponto"),""),IF(IFERROR(VLOOKUP(SUBSTITUTE(SUBSTITUTE(SUBSTITUTE($NB63,"~","~~"),"*","~*"),"?","~?"),'DADOS_RESTRICOES'!$M$2:$Q$54,4,FALSE),0)+IFERROR(VLOOKUP(SUBSTITUTE(SUBSTITUTE(SUBSTITUTE($NC63,"~","~~"),"*","~*"),"?","~?"),'DADOS_RESTRICOES'!$M$2:$Q$54,4,FALSE),0)&gt;1,$OK63&amp;" e "&amp;$OL63&amp;" são as duas de frequência",""),IF(AND((COUNTIF($RK63:$RN63,"Rápido")+COUNTIF($OK63:$OL63,"Rápido"))&gt;0,(COUNTIF($MX63:$NA63,"Atrasar")+COUNTIF($OK63:$OL63,"Atrasar"))&gt;0),"Rápido não entra com Atrasar",""),IF(AND((COUNTIF($RK63:$RN63,"Reação")+COUNTIF($OK63:$OL63,"Reação"))&gt;0,(COUNTIF($RK63:$RN63,"Rápido")+COUNTIF($OK63:$OL63,"Rápido"))&gt;0),"Reação não entra com Rápido",""),IF(AND((COUNTIF($RK63:$RN63,"Reação")+COUNTIF($OK63:$OL63,"Reação"))&gt;0,(COUNTIF($RK63:$RN63,"Armado")+COUNTIF($OK63:$OL63,"Armado"))&gt;0),"Reação não entra com Armado",""),IF(AND((COUNTIF($RK63:$RN63,"Reação")+COUNTIF($OK63:$OL63,"Reação"))&gt;0,(COUNTIF($MX63:$NA63,"Atrasar")+COUNTIF($OK63:$OL63,"Atrasar"))&gt;0),"Reação não entra com Atrasar",""),IF(AND((COUNTIF($RK63:$RN63,"Reação")+COUNTIF($OK63:$OL63,"Reação"))&gt;0,(COUNTIF($MX63:$NA63,"Parado")+COUNTIF($OK63:$OL63,"Parado"))&gt;0),"Reação não entra com Parado",""),IF(AND((COUNTIF($MX63:$NA63,"Atrasar")+COUNTIF($OK63:$OL63,"Atrasar"))&gt;0,(COUNTIF($MX63:$NA63,"Parado")+COUNTIF($OK63:$OL63,"Parado"))&gt;0),"Atrasar não entra com Parado",""),IF(AND((COUNTIF($RK63:$RN63,"Armado")+COUNTIF($OK63:$OL63,"Armado"))&gt;0,(COUNTIF($MX63:$NA63,"Carregar")+COUNTIF($OK63:$OL63,"Carregar"))&gt;0),"Armado não entra com Carregar",""),IF(AND(COUNTIF($OK63:$OL63,"Corpo a Corpo")&gt;0,$OF63=0,OR($RO63="Cone",$RO63="Linha")),"Corpo a Corpo não entra em "&amp;$MU63,""),IF(AND(COUNTIF($OK63:$OL63,"Corpo a Corpo")&gt;0,$RP63="Corpo a Corpo"),"A Forma "&amp;$MU63&amp;" já traz o Corpo a Corpo",""),IF(AND(COUNTIF($OK63:$OL63,"Tudo ou Nada")&gt;0,$OH63=0),"Tudo ou Nada só entra em habilidade de Teste de Resistência",""),IF(AND(COUNTIF($RK63:$RN63,"Inescapável")&gt;0,OR($OU63&gt;1,$OV63&gt;0)),"Inescapável não aceita outra peça",""),IF(AND($MS63&gt;0,$PD63*IF(COUNTIF($RK63:$RN63,"Remate")&gt;0,1.25,1)+$PE63&gt;4*$MS63),($PD63*IF(COUNTIF($RK63:$RN63,"Remate")&gt;0,1.25,1)+$PE63)&amp;" dados somando repetições"&amp;IF(COUNTIF($RK63:$RN63,"Remate")&gt;0," e o Remate","")&amp;": o teto da Classe "&amp;$MS63&amp;" é "&amp;4*$MS63,""))),IF(AND($MX63&lt;&gt;"",COUNTIF('DADOS_MELHORIAS'!$O$2:$O$113,SUBSTITUTE(SUBSTITUTE(SUBSTITUTE($MX63,"~","~~"),"*","~*"),"?","~?"))=0),"Melhoria não cadastrada ou com erro: "&amp;$MX63,""),IF(AND($MY63&lt;&gt;"",COUNTIF('DADOS_MELHORIAS'!$O$2:$O$113,SUBSTITUTE(SUBSTITUTE(SUBSTITUTE($MY63,"~","~~"),"*","~*"),"?","~?"))=0),"Melhoria não cadastrada ou com erro: "&amp;$MY63,""),IF(AND($MZ63&lt;&gt;"",COUNTIF('DADOS_MELHORIAS'!$O$2:$O$113,SUBSTITUTE(SUBSTITUTE(SUBSTITUTE($MZ63,"~","~~"),"*","~*"),"?","~?"))=0),"Melhoria não cadastrada ou com erro: "&amp;$MZ63,""),IF(AND($NA63&lt;&gt;"",COUNTIF('DADOS_MELHORIAS'!$O$2:$O$113,SUBSTITUTE(SUBSTITUTE(SUBSTITUTE($NA63,"~","~~"),"*","~*"),"?","~?"))=0),"Melhoria não cadastrada ou com erro: "&amp;$NA63,""),IF(AND($NB63&lt;&gt;"",COUNTIF('DADOS_RESTRICOES'!$M$2:$M$54,SUBSTITUTE(SUBSTITUTE(SUBSTITUTE($NB63,"~","~~"),"*","~*"),"?","~?"))=0),"Restrição não cadastrada ou com erro: "&amp;$NB63,""),IF(AND($NC63&lt;&gt;"",COUNTIF('DADOS_RESTRICOES'!$M$2:$M$54,SUBSTITUTE(SUBSTITUTE(SUBSTITUTE($NC63,"~","~~"),"*","~*"),"?","~?"))=0),"Restrição não cadastrada ou com erro: "&amp;$NC63,""))),IF(AND($MU63&lt;&gt;"",COUNTIF('DADOS_FORMAS'!$AH$2:$AH$21,SUBSTITUTE(SUBSTITUTE(SUBSTITUTE($MU63,"~","~~"),"*","~*"),"?","~?"))=0),"Forma não cadastrada ou com erro: "&amp;$MU63,""),IF(AND(IFERROR(INDEX('DADOS_FORMAS'!$AS$2:$AS$21,MATCH(SUBSTITUTE(SUBSTITUTE(SUBSTITUTE($MU63,"~","~~"),"*","~*"),"?","~?"),'DADOS_FORMAS'!$AH$2:$AH$21,0)),"")&lt;&gt;"",OR(IFERROR(VLOOKUP(SUBSTITUTE(SUBSTITUTE(SUBSTITUTE(IFERROR(INDEX('DADOS_FORMAS'!$AS$2:$AS$21,MATCH(SUBSTITUTE(SUBSTITUTE(SUBSTITUTE($MU63,"~","~~"),"*","~*"),"?","~?"),'DADOS_FORMAS'!$AH$2:$AH$21,0)),""),"~","~~"),"*","~*"),"?","~?"),'DADOS_RESTRICOES'!$M$2:$Q$54,2,FALSE),"")=$OK63,IFERROR(VLOOKUP(SUBSTITUTE(SUBSTITUTE(SUBSTITUTE(IFERROR(INDEX('DADOS_FORMAS'!$AS$2:$AS$21,MATCH(SUBSTITUTE(SUBSTITUTE(SUBSTITUTE($MU63,"~","~~"),"*","~*"),"?","~?"),'DADOS_FORMAS'!$AH$2:$AH$21,0)),""),"~","~~"),"*","~*"),"?","~?"),'DADOS_RESTRICOES'!$M$2:$Q$54,2,FALSE),"")=$OL63)),"Restrição repetida, contando a embutida",""),IF(IF(IFERROR(INDEX('DADOS_FORMAS'!$AS$2:$AS$21,MATCH(SUBSTITUTE(SUBSTITUTE(SUBSTITUTE($MU63,"~","~~"),"*","~*"),"?","~?"),'DADOS_FORMAS'!$AH$2:$AH$21,0)),"")="",0,IFERROR(N(VLOOKUP(SUBSTITUTE(SUBSTITUTE(SUBSTITUTE(IFERROR(INDEX('DADOS_FORMAS'!$AS$2:$AS$21,MATCH(SUBSTITUTE(SUBSTITUTE(SUBSTITUTE($MU63,"~","~~"),"*","~*"),"?","~?"),'DADOS_FORMAS'!$AH$2:$AH$21,0)),""),"~","~~"),"*","~*"),"?","~?"),'DADOS_RESTRICOES'!$M$2:$Q$54,4,FALSE)=1),0))+IF($NB63="",0,IFERROR(N(VLOOKUP(SUBSTITUTE(SUBSTITUTE(SUBSTITUTE($NB63,"~","~~"),"*","~*"),"?","~?"),'DADOS_RESTRICOES'!$M$2:$Q$54,4,FALSE)=1),0))+IF($NC63="",0,IFERROR(N(VLOOKUP(SUBSTITUTE(SUBSTITUTE(SUBSTITUTE($NC63,"~","~~"),"*","~*"),"?","~?"),'DADOS_RESTRICOES'!$M$2:$Q$54,4,FALSE)=1),0))&gt;1,"Duas Restrições de frequência, contando a embutida",""),IF(AND(IFERROR(VLOOKUP(SUBSTITUTE(SUBSTITUTE(SUBSTITUTE(IFERROR(INDEX('DADOS_FORMAS'!$AS$2:$AS$21,MATCH(SUBSTITUTE(SUBSTITUTE(SUBSTITUTE($MU63,"~","~~"),"*","~*"),"?","~?"),'DADOS_FORMAS'!$AH$2:$AH$21,0)),""),"~","~~"),"*","~*"),"?","~?"),'DADOS_RESTRICOES'!$M$2:$Q$54,2,FALSE),"")="Tudo ou Nada",$OH63=0),"Tudo ou Nada exige TR",""),IF(AND(IFERROR(VLOOKUP(SUBSTITUTE(SUBSTITUTE(SUBSTITUTE(IFERROR(INDEX('DADOS_FORMAS'!$AS$2:$AS$21,MATCH(SUBSTITUTE(SUBSTITUTE(SUBSTITUTE($MU63,"~","~~"),"*","~*"),"?","~?"),'DADOS_FORMAS'!$AH$2:$AH$21,0)),""),"~","~~"),"*","~*"),"?","~?"),'DADOS_RESTRICOES'!$M$2:$Q$54,2,FALSE),"")="Corpo a Corpo",OR($RO63="Cone",$RO63="Linha")),"Corpo a Corpo não entra em Cone/Linha","")))</f>
        <v/>
      </c>
      <c r="PU63" s="164">
        <f>IF($PT63="",0,(LEN($PT63)-LEN(SUBSTITUTE($PT63," · ","")))/3+1)</f>
        <v/>
      </c>
      <c r="PV63" s="164">
        <f>IF($ND63=0,"",TEXTJOIN(" · ",TRUE,IF($OX63&gt;2*$MS63,"A devolução parou no teto de "&amp;2*$MS63,""),IF($PA63&gt;0,"Devolução perdida: "&amp;$PA63&amp;IF($PA63&gt;1," pontos"," ponto")&amp;" sem Melhoria para pagar",""),IF(AND($OC63&gt;0,AND($MS63&gt;0,$OG63=0),$PD63=0),"Controle sem dano: uma rodada a mais e CD +2",""),IF(AND($OC63&gt;0,AND($MS63&gt;0,$OG63=0),$PD63&gt;0,$PD63&lt;=$MS63),"Controle com saldo até a Classe: uma rodada a mais",""),IF(AND($MS63&gt;0,$OE63&lt;&gt;""),"Efeito de "&amp;$OE63&amp;" pela Classe "&amp;MAX(1,$MS63-1),"")))</f>
        <v/>
      </c>
      <c r="PW63" s="164">
        <f>IF($PV63="",0,(LEN($PV63)-LEN(SUBSTITUTE($PV63," · ","")))/3+1)</f>
        <v/>
      </c>
      <c r="PX63" s="164">
        <f>IF($ND63=0,IF($OU63+COUNTIF($NB63:$NC63,"?*")&gt;0,"Dê um nome",""),IF($PU63&gt;0,"⚠ "&amp;$PU63&amp;IF($PU63&gt;1," erros"," erro"),IF($PW63&gt;0,"! "&amp;$PW63&amp;IF($PW63&gt;1," avisos"," aviso"),"Na regra")))</f>
        <v/>
      </c>
      <c r="PY63" s="164">
        <f>IF($ND63=0,"",IF($PU63+$PW63=0,"Dentro das regras que a ficha confere",$PT63&amp;IF(AND($PU63&gt;0,$PW63&gt;0)," · ","")&amp;$PV63))</f>
        <v/>
      </c>
      <c r="PZ63" s="164">
        <f>IF($MQ63&gt;$NE63,$MR63&amp;" · ABRE NO NÍVEL "&amp;$MQ63,$MR63)</f>
        <v/>
      </c>
      <c r="QA63" s="164">
        <f>IF($ND63=0,"",IF($MS63=0,"Sem PE",3*$MS63&amp;" PE"))</f>
        <v/>
      </c>
      <c r="QB63" s="164">
        <f>IF($ND63=0,"",IF($MS63=0,"A atuação básica dela",IF(COUNTIF($RQ63:$RS63,"Atrasar")&gt;0,"Sua Ação Completa",IF(COUNTIF($RK63:$RN63,"Rápido")&gt;0,"Sua Bônus",IF(COUNTIF($RK63:$RN63,"Reação")&gt;0,"Sua Reação","Sua Padrão")))&amp;" + a básica dela"&amp;IF(COUNTIF($RK63:$RN63,"Reação")&gt;0," e a coletiva","")&amp;IF(COUNTIF($RQ63:$RS63,"Carregar")&gt;0," · em dois turnos","")))</f>
        <v/>
      </c>
      <c r="QC63" s="164">
        <f>IF($MW63&lt;&gt;"",$MW63,IF($NJ63=0,"",INDEX('DADOS_FORMAS'!$GE$2:$GE$21,$NJ63)))</f>
        <v/>
      </c>
      <c r="QD63" s="164">
        <f>IF(OR($ND63=0,$NJ63=0),"",IF(COUNTIF($RK63:$RN63,"Inescapável")&gt;0,"Automático",IF($QC63="Ataque",IF($NH63="","Ataque","Ataque "&amp;IF(($NH63+2*IF(COUNTIF($RK63:$RN63,"Precisão")&gt;0,1,0))&gt;=0,"+","−")&amp;ABS(($NH63+2*IF(COUNTIF($RK63:$RN63,"Precisão")&gt;0,1,0))))&amp;IF($OD63&gt;0," · TR"&amp;IF($NI63="",""," CD "&amp;$NI63),""),IF(LEFT($QC63,2)="TR",$QC63&amp;IF($NI63="",""," · CD "&amp;$NI63)&amp;IF(COUNTIF($RK63:$RN63,"Certeiro")&gt;0," · metade",""),"Sem rolagem"))))</f>
        <v/>
      </c>
      <c r="QE63" s="164">
        <f>IF(OR($ND63=0,$NJ63=0),"",IF($MS63=0,IF(OR($OG63&gt;=1,$PD63=0),"Sem dano",$PD63&amp;"d6"&amp;IF($MV63="",""," "&amp;$MV63)),IF(OR($OG63&gt;=1,$PD63=0),UPPER(LEFT(INDEX($PM63:$PS63,1,MAX(1,$MS63)),1))&amp;MID(INDEX($PM63:$PS63,1,MAX(1,$MS63)),2,99),UPPER(LEFT(INDEX($PM63:$PS63,1,MAX(1,$MS63)),1))&amp;MID(INDEX($PM63:$PS63,1,MAX(1,$MS63)),2,99)&amp;IF($MV63="",""," "&amp;$MV63)&amp;IF($PE63&gt;0," · +"&amp;$PE63&amp;"d8",""))))</f>
        <v/>
      </c>
      <c r="QF63" s="164">
        <f>COUNTIF($RK63:$RN63,"Longe")+3*COUNTIF($RK63:$RN63,"Muito Longe")</f>
        <v/>
      </c>
      <c r="QG63" s="164">
        <f>COUNTIF($RK63:$RN63,"Maior")+3*COUNTIF($RK63:$RN63,"Muito Maior")</f>
        <v/>
      </c>
      <c r="QH63" s="164">
        <f>IF($NJ63=0,0,CHOOSE(1+INDEX('DADOS_FORMAS'!$GG$2:$GG$21,$NJ63),0,$QF63,$QG63,$QF63+$QG63))</f>
        <v/>
      </c>
      <c r="QI63" s="164">
        <f>IF($NJ63=0,0,CHOOSE(1+INDEX('DADOS_FORMAS'!$GH$2:$GH$21,$NJ63),0,$QF63,$QG63,$QF63+$QG63))</f>
        <v/>
      </c>
      <c r="QJ63" s="164">
        <f>IF(OR($ND63=0,$NJ63=0),"",INDEX('DADOS_FORMAS'!$HU$2:$HZ$81,($NJ63-1)*4+IF($MS63=0,1,IF($MS63&lt;=5,2,IF($MS63=6,3,4))),1+MIN(5,$QH63))&amp;INDEX('DADOS_FORMAS'!$IA$2:$IF$81,($NJ63-1)*4+IF($MS63=0,1,IF($MS63&lt;=5,2,IF($MS63=6,3,4))),1+MIN(5,$QI63))&amp;IF(INDEX('DADOS_FORMAS'!$GI$2:$GI$21,$NJ63)=1,IF(COUNTIF($RK63:$RN63,"Mais Um")&gt;0," · +"&amp;COUNTIF($RK63:$RN63,"Mais Um")&amp;IF(COUNTIF($RK63:$RN63,"Mais Um")&gt;1," alvos"," alvo"),"")&amp;IF(COUNTIF($RK63:$RN63,"Rajada")&gt;0,IF($MS63=0," · 1 tiro"," · "&amp;(MAX(1,$MS63-1)+1)&amp;" tiros"),""),""))</f>
        <v/>
      </c>
      <c r="QK63" s="164">
        <f>IF($ND63=0,"",IF($MS63=0,$NG63&amp;"d6"&amp;IF($OU63&gt;0," − 1 = "&amp;$PD63&amp;"d6"," da básica do nível "&amp;$NE63),$PB63&amp;" − "&amp;$OW63&amp;" + "&amp;$OZ63&amp;" = "&amp;$PC63&amp;" · teto "&amp;4*$MS63&amp;"d8"&amp;IF($OF63=1," · a Forma devolve "&amp;$MS63,"")&amp;IF($PA63&gt;0," · perde "&amp;$PA63,"")))</f>
        <v/>
      </c>
      <c r="QL63" s="164">
        <f>IF($ND63=0,"",IF($MS63=0,"A básica não amplia: os dados dela sobem com o nível",IF($MS63&gt;=$NF63,"Já está na maior Classe que o nível liberou",TEXTJOIN(" · ",TRUE,IF(AND(2&gt;$MS63,2&lt;=$NF63),"2 → "&amp;$PN63&amp;", 6 PE",""),IF(AND(3&gt;$MS63,3&lt;=$NF63),"3 → "&amp;$PO63&amp;", 9 PE",""),IF(AND(4&gt;$MS63,4&lt;=$NF63),"4 → "&amp;$PP63&amp;", 12 PE",""),IF(AND(5&gt;$MS63,5&lt;=$NF63),"5 → "&amp;$PQ63&amp;", 15 PE",""),IF(AND(6&gt;$MS63,6&lt;=$NF63),"6 → "&amp;$PR63&amp;", 18 PE",""),IF(AND(7&gt;$MS63,7&lt;=$NF63),"7 → "&amp;$PS63&amp;", 21 PE","")))))</f>
        <v/>
      </c>
      <c r="QM63" s="164">
        <f>IF(OR($ND63=0,$NO63=0),"",IF($MS63=0,"−1 dado","−"&amp;INDEX($I$2:$N$8,MAX(1,$MS63),MAX(1,$NT63))&amp;" · "&amp;CHOOSE(MAX(1,$NT63),"Leve","Média","Pesada","Leve · Livre","Média · Livre","Pesada · Livre")))</f>
        <v/>
      </c>
      <c r="QN63" s="164">
        <f>IF(OR($ND63=0,$NP63=0),"",IF($MS63=0,"−1 dado","−"&amp;INDEX($I$2:$N$8,MAX(1,$MS63),MAX(1,$NU63))&amp;" · "&amp;CHOOSE(MAX(1,$NU63),"Leve","Média","Pesada","Leve · Livre","Média · Livre","Pesada · Livre")))</f>
        <v/>
      </c>
      <c r="QO63" s="164">
        <f>IF(OR($ND63=0,$NQ63=0),"",IF($MS63=0,"−1 dado","−"&amp;INDEX($I$2:$N$8,MAX(1,$MS63),MAX(1,$NV63))&amp;" · "&amp;CHOOSE(MAX(1,$NV63),"Leve","Média","Pesada","Leve · Livre","Média · Livre","Pesada · Livre")))</f>
        <v/>
      </c>
      <c r="QP63" s="164">
        <f>IF(OR($ND63=0,$NR63=0),"",IF($MS63=0,"−1 dado","−"&amp;INDEX($I$2:$N$8,MAX(1,$MS63),MAX(1,$NW63))&amp;" · "&amp;CHOOSE(MAX(1,$NW63),"Leve","Média","Pesada","Leve · Livre","Média · Livre","Pesada · Livre")))</f>
        <v/>
      </c>
      <c r="QQ63" s="164">
        <f>IF(OR($ND63=0,$NB63=""),"",IF($MS63=0,"não devolve","+"&amp;IF($OI63=1,CEILING($MS63/2,1),$MS63)))</f>
        <v/>
      </c>
      <c r="QR63" s="164">
        <f>IF(OR($ND63=0,$NC63=""),"",IF($MS63=0,"não devolve","+"&amp;IF($OJ63=1,CEILING($MS63/2,1),$MS63)))</f>
        <v/>
      </c>
      <c r="RK63">
        <f>IF($MX63="","",IFERROR(VLOOKUP(SUBSTITUTE(SUBSTITUTE(SUBSTITUTE($MX63,"~","~~"),"*","~*"),"?","~?"),'DADOS_MELHORIAS'!$O$2:$X$113,10,FALSE),$MX63))</f>
        <v/>
      </c>
      <c r="RL63">
        <f>IF($MY63="","",IFERROR(VLOOKUP(SUBSTITUTE(SUBSTITUTE(SUBSTITUTE($MY63,"~","~~"),"*","~*"),"?","~?"),'DADOS_MELHORIAS'!$O$2:$X$113,10,FALSE),$MY63))</f>
        <v/>
      </c>
      <c r="RM63">
        <f>IF($MZ63="","",IFERROR(VLOOKUP(SUBSTITUTE(SUBSTITUTE(SUBSTITUTE($MZ63,"~","~~"),"*","~*"),"?","~?"),'DADOS_MELHORIAS'!$O$2:$X$113,10,FALSE),$MZ63))</f>
        <v/>
      </c>
      <c r="RN63">
        <f>IF($NA63="","",IFERROR(VLOOKUP(SUBSTITUTE(SUBSTITUTE(SUBSTITUTE($NA63,"~","~~"),"*","~*"),"?","~?"),'DADOS_MELHORIAS'!$O$2:$X$113,10,FALSE),$NA63))</f>
        <v/>
      </c>
      <c r="RO63">
        <f>IFERROR(INDEX('DADOS_FORMAS'!$BJ$2:$BJ$21,MATCH(SUBSTITUTE(SUBSTITUTE(SUBSTITUTE($MU63,"~","~~"),"*","~*"),"?","~?"),'DADOS_FORMAS'!$AH$2:$AH$21,0)),"")</f>
        <v/>
      </c>
      <c r="RP63">
        <f>IFERROR(VLOOKUP(SUBSTITUTE(SUBSTITUTE(SUBSTITUTE(IFERROR(INDEX('DADOS_FORMAS'!$AS$2:$AS$21,MATCH(SUBSTITUTE(SUBSTITUTE(SUBSTITUTE($MU63,"~","~~"),"*","~*"),"?","~?"),'DADOS_FORMAS'!$AH$2:$AH$21,0)),""),"~","~~"),"*","~*"),"?","~?"),'DADOS_RESTRICOES'!$M$2:$Q$54,2,FALSE),"")</f>
        <v/>
      </c>
      <c r="RQ63">
        <f>$OK63</f>
        <v/>
      </c>
      <c r="RR63">
        <f>$OL63</f>
        <v/>
      </c>
      <c r="RS63">
        <f>$RP63</f>
        <v/>
      </c>
    </row>
    <row r="64">
      <c r="AV64" s="162" t="inlineStr">
        <is>
          <t>Segura</t>
        </is>
      </c>
      <c r="AW64" s="162" t="inlineStr">
        <is>
          <t>Tempo</t>
        </is>
      </c>
      <c r="AX64" s="164" t="n">
        <v>1</v>
      </c>
      <c r="AY64" s="164" t="n">
        <v>0</v>
      </c>
      <c r="AZ64" s="164" t="n">
        <v>0</v>
      </c>
      <c r="BA64" s="164" t="n">
        <v>0</v>
      </c>
      <c r="JT64" s="164">
        <f>IF(OR($AW64="",(COUNTIF($EL$2:$EP$2,$AW64)+COUNTIF($QV$2:$QY$2,$AW64))&gt;0),$AV64,"")</f>
        <v/>
      </c>
      <c r="JU64" s="164">
        <f>IF(AND($AX64=1,OR($AW64="",(COUNTIF($EL$2:$EP$2,$AW64)+COUNTIF($QV$2:$QY$2,$AW64))&gt;0)),$AV64,"")</f>
        <v/>
      </c>
      <c r="JZ64" s="164">
        <f>IF(OR($AW64="",(COUNTIF($EL$3:$EP$3,$AW64)+COUNTIF($QV$3:$QY$3,$AW64))&gt;0),$AV64,"")</f>
        <v/>
      </c>
      <c r="KA64" s="164">
        <f>IF(AND($AX64=1,OR($AW64="",(COUNTIF($EL$3:$EP$3,$AW64)+COUNTIF($QV$3:$QY$3,$AW64))&gt;0)),$AV64,"")</f>
        <v/>
      </c>
      <c r="KF64" s="164">
        <f>IF(OR($AW64="",(COUNTIF($EL$4:$EP$4,$AW64)+COUNTIF($QV$4:$QY$4,$AW64))&gt;0),$AV64,"")</f>
        <v/>
      </c>
      <c r="KG64" s="164">
        <f>IF(AND($AX64=1,OR($AW64="",(COUNTIF($EL$4:$EP$4,$AW64)+COUNTIF($QV$4:$QY$4,$AW64))&gt;0)),$AV64,"")</f>
        <v/>
      </c>
      <c r="KL64" s="164">
        <f>IF(OR($AW64="",(COUNTIF($EL$5:$EP$5,$AW64)+COUNTIF($QV$5:$QY$5,$AW64))&gt;0),$AV64,"")</f>
        <v/>
      </c>
      <c r="KM64" s="164">
        <f>IF(AND($AX64=1,OR($AW64="",(COUNTIF($EL$5:$EP$5,$AW64)+COUNTIF($QV$5:$QY$5,$AW64))&gt;0)),$AV64,"")</f>
        <v/>
      </c>
      <c r="KR64" s="164">
        <f>IF(OR($AW64="",(COUNTIF($EL$6:$EP$6,$AW64)+COUNTIF($QV$6:$QY$6,$AW64))&gt;0),$AV64,"")</f>
        <v/>
      </c>
      <c r="KS64" s="164">
        <f>IF(AND($AX64=1,OR($AW64="",(COUNTIF($EL$6:$EP$6,$AW64)+COUNTIF($QV$6:$QY$6,$AW64))&gt;0)),$AV64,"")</f>
        <v/>
      </c>
      <c r="KX64" s="164">
        <f>IF(OR($AW64="",(COUNTIF($EL$7:$EP$7,$AW64)+COUNTIF($QV$7:$QY$7,$AW64))&gt;0),$AV64,"")</f>
        <v/>
      </c>
      <c r="KY64" s="164">
        <f>IF(AND($AX64=1,OR($AW64="",(COUNTIF($EL$7:$EP$7,$AW64)+COUNTIF($QV$7:$QY$7,$AW64))&gt;0)),$AV64,"")</f>
        <v/>
      </c>
      <c r="LD64" s="164">
        <f>IF(OR($AW64="",(COUNTIF($EL$8:$EP$8,$AW64)+COUNTIF($QV$8:$QY$8,$AW64))&gt;0),$AV64,"")</f>
        <v/>
      </c>
      <c r="LE64" s="164">
        <f>IF(AND($AX64=1,OR($AW64="",(COUNTIF($EL$8:$EP$8,$AW64)+COUNTIF($QV$8:$QY$8,$AW64))&gt;0)),$AV64,"")</f>
        <v/>
      </c>
      <c r="LJ64" s="164">
        <f>IF(OR($AW64="",(COUNTIF($EL$9:$EP$9,$AW64)+COUNTIF($QV$9:$QY$9,$AW64))&gt;0),$AV64,"")</f>
        <v/>
      </c>
      <c r="LK64" s="164">
        <f>IF(AND($AX64=1,OR($AW64="",(COUNTIF($EL$9:$EP$9,$AW64)+COUNTIF($QV$9:$QY$9,$AW64))&gt;0)),$AV64,"")</f>
        <v/>
      </c>
      <c r="LP64" s="164">
        <f>IF(OR($AW64="",(COUNTIF($EL$10:$EP$10,$AW64)+COUNTIF($QV$10:$QY$10,$AW64))&gt;0),$AV64,"")</f>
        <v/>
      </c>
      <c r="LQ64" s="164">
        <f>IF(AND($AX64=1,OR($AW64="",(COUNTIF($EL$10:$EP$10,$AW64)+COUNTIF($QV$10:$QY$10,$AW64))&gt;0)),$AV64,"")</f>
        <v/>
      </c>
      <c r="LV64" s="164">
        <f>IF(OR($AW64="",(COUNTIF($EL$11:$EP$11,$AW64)+COUNTIF($QV$11:$QY$11,$AW64))&gt;0),$AV64,"")</f>
        <v/>
      </c>
      <c r="LW64" s="164">
        <f>IF(AND($AX64=1,OR($AW64="",(COUNTIF($EL$11:$EP$11,$AW64)+COUNTIF($QV$11:$QY$11,$AW64))&gt;0)),$AV64,"")</f>
        <v/>
      </c>
      <c r="MB64" s="164">
        <f>IF(OR($AW64="",(COUNTIF($EL$12:$EP$12,$AW64)+COUNTIF($QV$12:$QY$12,$AW64))&gt;0),$AV64,"")</f>
        <v/>
      </c>
      <c r="MC64" s="164">
        <f>IF(AND($AX64=1,OR($AW64="",(COUNTIF($EL$12:$EP$12,$AW64)+COUNTIF($QV$12:$QY$12,$AW64))&gt;0)),$AV64,"")</f>
        <v/>
      </c>
      <c r="MH64" s="164">
        <f>IF(OR($AW64="",(COUNTIF($EL$13:$EP$13,$AW64)+COUNTIF($QV$13:$QY$13,$AW64))&gt;0),$AV64,"")</f>
        <v/>
      </c>
      <c r="MI64" s="164">
        <f>IF(AND($AX64=1,OR($AW64="",(COUNTIF($EL$13:$EP$13,$AW64)+COUNTIF($QV$13:$QY$13,$AW64))&gt;0)),$AV64,"")</f>
        <v/>
      </c>
      <c r="MN64" s="162" t="inlineStr">
        <is>
          <t>Ficha 5 · Escolha da trilha 1</t>
        </is>
      </c>
      <c r="MO64" s="164" t="n">
        <v>5</v>
      </c>
      <c r="MP64" s="164" t="n">
        <v>2</v>
      </c>
      <c r="MQ64" s="164" t="n">
        <v>0</v>
      </c>
      <c r="MR64" s="162" t="inlineStr">
        <is>
          <t>ESCOLHA DA TRILHA 1</t>
        </is>
      </c>
      <c r="MS64" s="164">
        <f>MAX(0,MIN(7,N('INVOCAÇÕES'!$I$1017)))</f>
        <v/>
      </c>
      <c r="MT64" s="164">
        <f>'INVOCAÇÕES'!$J$1017&amp;""</f>
        <v/>
      </c>
      <c r="MU64" s="164">
        <f>'INVOCAÇÕES'!$I$1022&amp;""</f>
        <v/>
      </c>
      <c r="MV64" s="164">
        <f>'INVOCAÇÕES'!$I$1023&amp;""</f>
        <v/>
      </c>
      <c r="MW64" s="164">
        <f>'INVOCAÇÕES'!$K$1023&amp;""</f>
        <v/>
      </c>
      <c r="MX64" s="164">
        <f>'INVOCAÇÕES'!$J$1026&amp;""</f>
        <v/>
      </c>
      <c r="MY64" s="164">
        <f>'INVOCAÇÕES'!$J$1027&amp;""</f>
        <v/>
      </c>
      <c r="MZ64" s="164">
        <f>'INVOCAÇÕES'!$J$1028&amp;""</f>
        <v/>
      </c>
      <c r="NA64" s="164">
        <f>'INVOCAÇÕES'!$J$1029&amp;""</f>
        <v/>
      </c>
      <c r="NB64" s="164">
        <f>'INVOCAÇÕES'!$J$1030&amp;""</f>
        <v/>
      </c>
      <c r="NC64" s="164">
        <f>'INVOCAÇÕES'!$J$1031&amp;""</f>
        <v/>
      </c>
      <c r="ND64" s="164">
        <f>IF($MT64&lt;&gt;"",1,0)</f>
        <v/>
      </c>
      <c r="NE64" s="164">
        <f>INDEX($FO$2:$FO$13,$MO64)</f>
        <v/>
      </c>
      <c r="NF64" s="164">
        <f>INDEX($FP$2:$FP$13,$MO64)</f>
        <v/>
      </c>
      <c r="NG64" s="164">
        <f>INDEX($FQ$2:$FQ$13,$MO64)</f>
        <v/>
      </c>
      <c r="NH64" s="164">
        <f>INDEX($GB$2:$GB$13,$MO64)</f>
        <v/>
      </c>
      <c r="NI64" s="164">
        <f>INDEX($GC$2:$GC$13,$MO64)</f>
        <v/>
      </c>
      <c r="NJ64" s="164">
        <f>IFERROR(MATCH(SUBSTITUTE(SUBSTITUTE(SUBSTITUTE($MU64,"~","~~"),"*","~*"),"?","~?"),'DADOS_FORMAS'!$FZ$2:$FZ$21,0),0)</f>
        <v/>
      </c>
      <c r="NK64" s="164">
        <f>IFERROR(VLOOKUP(SUBSTITUTE(SUBSTITUTE(SUBSTITUTE($MX64,"~","~~"),"*","~*"),"?","~?"),'DADOS_MELHORIAS'!$AG$2:$AL$113,2,FALSE),"")</f>
        <v/>
      </c>
      <c r="NL64" s="164">
        <f>IFERROR(VLOOKUP(SUBSTITUTE(SUBSTITUTE(SUBSTITUTE($MY64,"~","~~"),"*","~*"),"?","~?"),'DADOS_MELHORIAS'!$AG$2:$AL$113,2,FALSE),"")</f>
        <v/>
      </c>
      <c r="NM64" s="164">
        <f>IFERROR(VLOOKUP(SUBSTITUTE(SUBSTITUTE(SUBSTITUTE($MZ64,"~","~~"),"*","~*"),"?","~?"),'DADOS_MELHORIAS'!$AG$2:$AL$113,2,FALSE),"")</f>
        <v/>
      </c>
      <c r="NN64" s="164">
        <f>IFERROR(VLOOKUP(SUBSTITUTE(SUBSTITUTE(SUBSTITUTE($NA64,"~","~~"),"*","~*"),"?","~?"),'DADOS_MELHORIAS'!$AG$2:$AL$113,2,FALSE),"")</f>
        <v/>
      </c>
      <c r="NO64" s="164">
        <f>IFERROR(VLOOKUP(SUBSTITUTE(SUBSTITUTE(SUBSTITUTE($MX64,"~","~~"),"*","~*"),"?","~?"),'DADOS_MELHORIAS'!$AG$2:$AL$113,3,FALSE),0)</f>
        <v/>
      </c>
      <c r="NP64" s="164">
        <f>IFERROR(VLOOKUP(SUBSTITUTE(SUBSTITUTE(SUBSTITUTE($MY64,"~","~~"),"*","~*"),"?","~?"),'DADOS_MELHORIAS'!$AG$2:$AL$113,3,FALSE),0)</f>
        <v/>
      </c>
      <c r="NQ64" s="164">
        <f>IFERROR(VLOOKUP(SUBSTITUTE(SUBSTITUTE(SUBSTITUTE($MZ64,"~","~~"),"*","~*"),"?","~?"),'DADOS_MELHORIAS'!$AG$2:$AL$113,3,FALSE),0)</f>
        <v/>
      </c>
      <c r="NR64" s="164">
        <f>IFERROR(VLOOKUP(SUBSTITUTE(SUBSTITUTE(SUBSTITUTE($NA64,"~","~~"),"*","~*"),"?","~?"),'DADOS_MELHORIAS'!$AG$2:$AL$113,3,FALSE),0)</f>
        <v/>
      </c>
      <c r="NS64" s="164">
        <f>IF($MS64=0,0,IF($NJ64=0,0,INDEX('DADOS_FORMAS'!$GB$2:$GB$21,$NJ64)))</f>
        <v/>
      </c>
      <c r="NT64" s="164">
        <f>IF(OR($NO64=0,$MS64=0),0,$NO64+3*IF(AND($NK64&lt;&gt;"",COUNTIF(INDEX($RB$2:$RJ$13,$MO64,0),$NK64)&gt;0),1,0))</f>
        <v/>
      </c>
      <c r="NU64" s="164">
        <f>IF(OR($NP64=0,$MS64=0),0,$NP64+3*IF(AND($NL64&lt;&gt;"",COUNTIF(INDEX($RB$2:$RJ$13,$MO64,0),$NL64)&gt;0),1,0))</f>
        <v/>
      </c>
      <c r="NV64" s="164">
        <f>IF(OR($NQ64=0,$MS64=0),0,$NQ64+3*IF(AND($NM64&lt;&gt;"",COUNTIF(INDEX($RB$2:$RJ$13,$MO64,0),$NM64)&gt;0),1,0))</f>
        <v/>
      </c>
      <c r="NW64" s="164">
        <f>IF(OR($NR64=0,$MS64=0),0,$NR64+3*IF(AND($NN64&lt;&gt;"",COUNTIF(INDEX($RB$2:$RJ$13,$MO64,0),$NN64)&gt;0),1,0))</f>
        <v/>
      </c>
      <c r="NX64" s="164">
        <f>IF($NJ64=0,0,IF(INDEX('DADOS_FORMAS'!$GA$2:$GA$21,$NJ64)="",0,IF((COUNTIF(INDEX($EL$2:$EP$13,$MO64,0),INDEX('DADOS_FORMAS'!$GA$2:$GA$21,$NJ64))+COUNTIF(INDEX($QV$2:$QY$13,$MO64,0),INDEX('DADOS_FORMAS'!$GA$2:$GA$21,$NJ64)))=0,1,0)))</f>
        <v/>
      </c>
      <c r="NY64" s="164">
        <f>IF(OR($NO64=0,$NK64=""),0,IF((COUNTIF(INDEX($EL$2:$EP$13,$MO64,0),$NK64)+COUNTIF(INDEX($QV$2:$QY$13,$MO64,0),$NK64))=0,1,0))</f>
        <v/>
      </c>
      <c r="NZ64" s="164">
        <f>IF(OR($NP64=0,$NL64=""),0,IF((COUNTIF(INDEX($EL$2:$EP$13,$MO64,0),$NL64)+COUNTIF(INDEX($QV$2:$QY$13,$MO64,0),$NL64))=0,1,0))</f>
        <v/>
      </c>
      <c r="OA64" s="164">
        <f>IF(OR($NQ64=0,$NM64=""),0,IF((COUNTIF(INDEX($EL$2:$EP$13,$MO64,0),$NM64)+COUNTIF(INDEX($QV$2:$QY$13,$MO64,0),$NM64))=0,1,0))</f>
        <v/>
      </c>
      <c r="OB64" s="164">
        <f>IF(OR($NR64=0,$NN64=""),0,IF((COUNTIF(INDEX($EL$2:$EP$13,$MO64,0),$NN64)+COUNTIF(INDEX($QV$2:$QY$13,$MO64,0),$NN64))=0,1,0))</f>
        <v/>
      </c>
      <c r="OC64" s="164">
        <f>IFERROR(VLOOKUP(SUBSTITUTE(SUBSTITUTE(SUBSTITUTE($MX64,"~","~~"),"*","~*"),"?","~?"),'DADOS_MELHORIAS'!$AG$2:$AL$113,4,FALSE),0)+IFERROR(VLOOKUP(SUBSTITUTE(SUBSTITUTE(SUBSTITUTE($MY64,"~","~~"),"*","~*"),"?","~?"),'DADOS_MELHORIAS'!$AG$2:$AL$113,4,FALSE),0)+IFERROR(VLOOKUP(SUBSTITUTE(SUBSTITUTE(SUBSTITUTE($MZ64,"~","~~"),"*","~*"),"?","~?"),'DADOS_MELHORIAS'!$AG$2:$AL$113,4,FALSE),0)+IFERROR(VLOOKUP(SUBSTITUTE(SUBSTITUTE(SUBSTITUTE($NA64,"~","~~"),"*","~*"),"?","~?"),'DADOS_MELHORIAS'!$AG$2:$AL$113,4,FALSE),0)</f>
        <v/>
      </c>
      <c r="OD64" s="164">
        <f>IFERROR(VLOOKUP(SUBSTITUTE(SUBSTITUTE(SUBSTITUTE($MX64,"~","~~"),"*","~*"),"?","~?"),'DADOS_MELHORIAS'!$AG$2:$AL$113,6,FALSE),0)+IFERROR(VLOOKUP(SUBSTITUTE(SUBSTITUTE(SUBSTITUTE($MY64,"~","~~"),"*","~*"),"?","~?"),'DADOS_MELHORIAS'!$AG$2:$AL$113,6,FALSE),0)+IFERROR(VLOOKUP(SUBSTITUTE(SUBSTITUTE(SUBSTITUTE($MZ64,"~","~~"),"*","~*"),"?","~?"),'DADOS_MELHORIAS'!$AG$2:$AL$113,6,FALSE),0)+IFERROR(VLOOKUP(SUBSTITUTE(SUBSTITUTE(SUBSTITUTE($NA64,"~","~~"),"*","~*"),"?","~?"),'DADOS_MELHORIAS'!$AG$2:$AL$113,6,FALSE),0)+IFERROR(N(AND(INDEX('DADOS_FORMAS'!$AO$2:$AO$21,MATCH(SUBSTITUTE(SUBSTITUTE(SUBSTITUTE($MU64,"~","~~"),"*","~*"),"?","~?"),'DADOS_FORMAS'!$AH$2:$AH$21,0))="Acerto",$OH64=1)),0)</f>
        <v/>
      </c>
      <c r="OE64" s="164">
        <f>TEXTJOIN(", ",TRUE,IF(IFERROR(VLOOKUP(SUBSTITUTE(SUBSTITUTE(SUBSTITUTE($MX64,"~","~~"),"*","~*"),"?","~?"),'DADOS_MELHORIAS'!$AG$2:$AL$113,5,FALSE),0)=1,$MX64,""),IF(IFERROR(VLOOKUP(SUBSTITUTE(SUBSTITUTE(SUBSTITUTE($MY64,"~","~~"),"*","~*"),"?","~?"),'DADOS_MELHORIAS'!$AG$2:$AL$113,5,FALSE),0)=1,$MY64,""),IF(IFERROR(VLOOKUP(SUBSTITUTE(SUBSTITUTE(SUBSTITUTE($MZ64,"~","~~"),"*","~*"),"?","~?"),'DADOS_MELHORIAS'!$AG$2:$AL$113,5,FALSE),0)=1,$MZ64,""),IF(IFERROR(VLOOKUP(SUBSTITUTE(SUBSTITUTE(SUBSTITUTE($NA64,"~","~~"),"*","~*"),"?","~?"),'DADOS_MELHORIAS'!$AG$2:$AL$113,5,FALSE),0)=1,$NA64,""))</f>
        <v/>
      </c>
      <c r="OF64" s="164">
        <f>IF($NJ64=0,0,INDEX('DADOS_FORMAS'!$GC$2:$GC$21,$NJ64))</f>
        <v/>
      </c>
      <c r="OG64" s="164">
        <f>IF($NJ64=0,0,INDEX('DADOS_FORMAS'!$GD$2:$GD$21,$NJ64))</f>
        <v/>
      </c>
      <c r="OH64" s="164">
        <f>IF($NJ64=0,0,INDEX('DADOS_FORMAS'!$GF$2:$GF$21,$NJ64))</f>
        <v/>
      </c>
      <c r="OI64" s="164">
        <f>IFERROR(VLOOKUP(SUBSTITUTE(SUBSTITUTE(SUBSTITUTE($NB64,"~","~~"),"*","~*"),"?","~?"),'DADOS_RESTRICOES'!$M$2:$Q$54,3,FALSE),0)</f>
        <v/>
      </c>
      <c r="OJ64" s="164">
        <f>IFERROR(VLOOKUP(SUBSTITUTE(SUBSTITUTE(SUBSTITUTE($NC64,"~","~~"),"*","~*"),"?","~?"),'DADOS_RESTRICOES'!$M$2:$Q$54,3,FALSE),0)</f>
        <v/>
      </c>
      <c r="OK64" s="164">
        <f>IFERROR(VLOOKUP(SUBSTITUTE(SUBSTITUTE(SUBSTITUTE($NB64,"~","~~"),"*","~*"),"?","~?"),'DADOS_RESTRICOES'!$M$2:$Q$54,2,FALSE),"")</f>
        <v/>
      </c>
      <c r="OL64" s="164">
        <f>IFERROR(VLOOKUP(SUBSTITUTE(SUBSTITUTE(SUBSTITUTE($NC64,"~","~~"),"*","~*"),"?","~?"),'DADOS_RESTRICOES'!$M$2:$Q$54,2,FALSE),"")</f>
        <v/>
      </c>
      <c r="OM64" s="164">
        <f>COUNTIF($NS64:$NW64,1)</f>
        <v/>
      </c>
      <c r="ON64" s="164">
        <f>COUNTIF($NS64:$NW64,2)</f>
        <v/>
      </c>
      <c r="OO64" s="164">
        <f>COUNTIF($NS64:$NW64,3)</f>
        <v/>
      </c>
      <c r="OP64" s="164">
        <f>COUNTIF($NS64:$NW64,4)</f>
        <v/>
      </c>
      <c r="OQ64" s="164">
        <f>COUNTIF($NS64:$NW64,5)</f>
        <v/>
      </c>
      <c r="OR64" s="164">
        <f>COUNTIF($NS64:$NW64,6)</f>
        <v/>
      </c>
      <c r="OS64" s="164">
        <f>COUNTIF($OI64:$OJ64,1)+IF(IFERROR(INDEX('DADOS_FORMAS'!$AS$2:$AS$21,MATCH(SUBSTITUTE(SUBSTITUTE(SUBSTITUTE($MU64,"~","~~"),"*","~*"),"?","~?"),'DADOS_FORMAS'!$AH$2:$AH$21,0)),"")="",0,IFERROR(N(VLOOKUP(SUBSTITUTE(SUBSTITUTE(SUBSTITUTE(IFERROR(INDEX('DADOS_FORMAS'!$AS$2:$AS$21,MATCH(SUBSTITUTE(SUBSTITUTE(SUBSTITUTE($MU64,"~","~~"),"*","~*"),"?","~?"),'DADOS_FORMAS'!$AH$2:$AH$21,0)),""),"~","~~"),"*","~*"),"?","~?"),'DADOS_RESTRICOES'!$M$2:$Q$54,3,FALSE)=1),0))</f>
        <v/>
      </c>
      <c r="OT64" s="164">
        <f>COUNTIF($OI64:$OJ64,2)+IF(IFERROR(INDEX('DADOS_FORMAS'!$AS$2:$AS$21,MATCH(SUBSTITUTE(SUBSTITUTE(SUBSTITUTE($MU64,"~","~~"),"*","~*"),"?","~?"),'DADOS_FORMAS'!$AH$2:$AH$21,0)),"")="",0,IFERROR(N(VLOOKUP(SUBSTITUTE(SUBSTITUTE(SUBSTITUTE(IFERROR(INDEX('DADOS_FORMAS'!$AS$2:$AS$21,MATCH(SUBSTITUTE(SUBSTITUTE(SUBSTITUTE($MU64,"~","~~"),"*","~*"),"?","~?"),'DADOS_FORMAS'!$AH$2:$AH$21,0)),""),"~","~~"),"*","~*"),"?","~?"),'DADOS_RESTRICOES'!$M$2:$Q$54,3,FALSE)=2),0))</f>
        <v/>
      </c>
      <c r="OU64" s="164">
        <f>COUNTIF($MX64:$NA64,"?*")</f>
        <v/>
      </c>
      <c r="OV64" s="164">
        <f>COUNTIF($NB64:$NC64,"?*")+$OF64</f>
        <v/>
      </c>
      <c r="OW64" s="164">
        <f>IF($MS64=0,0,SUMPRODUCT($OM64:$OR64,INDEX($I$2:$N$8,MAX(1,$MS64),0)))</f>
        <v/>
      </c>
      <c r="OX64" s="164">
        <f>IF($MS64=0,0,$OS64*CEILING($MS64/2,1)+$OT64*$MS64)</f>
        <v/>
      </c>
      <c r="OY64" s="164">
        <f>MIN(2*$MS64,$OX64)</f>
        <v/>
      </c>
      <c r="OZ64" s="164">
        <f>MIN($OY64,$OW64-IF($NS64=0,0,INDEX($I$2:$N$8,MAX(1,$MS64),$NS64)))</f>
        <v/>
      </c>
      <c r="PA64" s="164">
        <f>$OY64-$OZ64</f>
        <v/>
      </c>
      <c r="PB64" s="164">
        <f>IF($MS64=0,0,INDEX($P$2:$P$8,MAX(1,$MS64)))</f>
        <v/>
      </c>
      <c r="PC64" s="164">
        <f>$PB64-$OW64+$OZ64</f>
        <v/>
      </c>
      <c r="PD64" s="164">
        <f>IF($MS64=0,MAX(0,$NG64-IF(AND($OU64&gt;0,COUNTIF($NB64:$NC64,"?*")=0),1,0)),MAX(0,$PC64))</f>
        <v/>
      </c>
      <c r="PE64" s="164">
        <f>IF($MS64=0,0,(IF(COUNTIF($RK64:$RN64,"Salto")&gt;0,1,0)+IF(COUNTIF($RK64:$RN64,"Queima")&gt;0,1,0)+IF(COUNTIF($RK64:$RN64,"Estilhaço")&gt;0,1,0))*FLOOR($PD64/2,1))</f>
        <v/>
      </c>
      <c r="PF64" s="164">
        <f>MAX(0,2-SUMPRODUCT($OM64:$OR64,$I$2:$N$2)+MIN(2,$OS64*1+$OT64*1,SUMPRODUCT($OM64:$OR64,$I$2:$N$2)-IF($NS64=0,0,INDEX($I$2:$N$2,1,$NS64))))</f>
        <v/>
      </c>
      <c r="PG64" s="164">
        <f>MAX(0,4-SUMPRODUCT($OM64:$OR64,$I$3:$N$3)+MIN(4,$OS64*1+$OT64*2,SUMPRODUCT($OM64:$OR64,$I$3:$N$3)-IF($NS64=0,0,INDEX($I$3:$N$3,1,$NS64))))</f>
        <v/>
      </c>
      <c r="PH64" s="164">
        <f>MAX(0,6-SUMPRODUCT($OM64:$OR64,$I$4:$N$4)+MIN(6,$OS64*2+$OT64*3,SUMPRODUCT($OM64:$OR64,$I$4:$N$4)-IF($NS64=0,0,INDEX($I$4:$N$4,1,$NS64))))</f>
        <v/>
      </c>
      <c r="PI64" s="164">
        <f>MAX(0,9-SUMPRODUCT($OM64:$OR64,$I$5:$N$5)+MIN(8,$OS64*2+$OT64*4,SUMPRODUCT($OM64:$OR64,$I$5:$N$5)-IF($NS64=0,0,INDEX($I$5:$N$5,1,$NS64))))</f>
        <v/>
      </c>
      <c r="PJ64" s="164">
        <f>MAX(0,11-SUMPRODUCT($OM64:$OR64,$I$6:$N$6)+MIN(10,$OS64*3+$OT64*5,SUMPRODUCT($OM64:$OR64,$I$6:$N$6)-IF($NS64=0,0,INDEX($I$6:$N$6,1,$NS64))))</f>
        <v/>
      </c>
      <c r="PK64" s="164">
        <f>MAX(0,13-SUMPRODUCT($OM64:$OR64,$I$7:$N$7)+MIN(12,$OS64*3+$OT64*6,SUMPRODUCT($OM64:$OR64,$I$7:$N$7)-IF($NS64=0,0,INDEX($I$7:$N$7,1,$NS64))))</f>
        <v/>
      </c>
      <c r="PL64" s="164">
        <f>MAX(0,16-SUMPRODUCT($OM64:$OR64,$I$8:$N$8)+MIN(14,$OS64*4+$OT64*7,SUMPRODUCT($OM64:$OR64,$I$8:$N$8)-IF($NS64=0,0,INDEX($I$8:$N$8,1,$NS64))))</f>
        <v/>
      </c>
      <c r="PM64" s="164">
        <f>IF($OG64=2,3*$PF64&amp;" de vida temp.",IF($OG64=3,"sem dano",IF($PF64=0,IF($OG64=1,"sem cura","sem dano"),IF($OG64=1,"cura ","")&amp;$PF64&amp;"d8")))</f>
        <v/>
      </c>
      <c r="PN64" s="164">
        <f>IF($OG64=2,3*$PG64&amp;" de vida temp.",IF($OG64=3,"sem dano",IF($PG64=0,IF($OG64=1,"sem cura","sem dano"),IF($OG64=1,"cura ","")&amp;$PG64&amp;"d8")))</f>
        <v/>
      </c>
      <c r="PO64" s="164">
        <f>IF($OG64=2,3*$PH64&amp;" de vida temp.",IF($OG64=3,"sem dano",IF($PH64=0,IF($OG64=1,"sem cura","sem dano"),IF($OG64=1,"cura ","")&amp;$PH64&amp;"d8")))</f>
        <v/>
      </c>
      <c r="PP64" s="164">
        <f>IF($OG64=2,3*$PI64&amp;" de vida temp.",IF($OG64=3,"sem dano",IF($PI64=0,IF($OG64=1,"sem cura","sem dano"),IF($OG64=1,"cura ","")&amp;$PI64&amp;"d8")))</f>
        <v/>
      </c>
      <c r="PQ64" s="164">
        <f>IF($OG64=2,3*$PJ64&amp;" de vida temp.",IF($OG64=3,"sem dano",IF($PJ64=0,IF($OG64=1,"sem cura","sem dano"),IF($OG64=1,"cura ","")&amp;$PJ64&amp;"d8")))</f>
        <v/>
      </c>
      <c r="PR64" s="164">
        <f>IF($OG64=2,3*$PK64&amp;" de vida temp.",IF($OG64=3,"sem dano",IF($PK64=0,IF($OG64=1,"sem cura","sem dano"),IF($OG64=1,"cura ","")&amp;$PK64&amp;"d8")))</f>
        <v/>
      </c>
      <c r="PS64" s="164">
        <f>IF($OG64=2,3*$PL64&amp;" de vida temp.",IF($OG64=3,"sem dano",IF($PL64=0,IF($OG64=1,"sem cura","sem dano"),IF($OG64=1,"cura ","")&amp;$PL64&amp;"d8")))</f>
        <v/>
      </c>
      <c r="PT64" s="164">
        <f>IF($ND64=0,"",TEXTJOIN(" · ",TRUE,IF($ND64=0,"",TEXTJOIN(" · ",TRUE,IF($ND64=0,"",TEXTJOIN(" · ",TRUE,IF($MQ64&gt;$NE64,"Este lugar abre no nível "&amp;$MQ64,""),IF($MS64&gt;$NF64,"Classe "&amp;$MS64&amp;": o nível "&amp;$NE64&amp;" libera até a "&amp;$NF64,""),IF($NX64=1,"A Forma "&amp;$MU64&amp;" pede "&amp;INDEX('DADOS_FORMAS'!$GA$2:$GA$21,$NJ64)&amp;" aberta",""),IF(AND($MS64=0,$NJ64&gt;0,IF($NJ64=0,0,INDEX('DADOS_FORMAS'!$GJ$2:$GJ$21,$NJ64))=0),$MU64&amp;" não existe na Classe 0",""),IF($NY64=1,"Família Fechada: "&amp;$MX64,""),IF($NZ64=1,"Família Fechada: "&amp;$MY64,""),IF($OA64=1,"Família Fechada: "&amp;$MZ64,""),IF($OB64=1,"Família Fechada: "&amp;$NA64,""),IF(AND($MS64&gt;0,$OU64&gt;INDEX($O$2:$O$8,MAX(1,$MS64))),$OU64&amp;" Melhorias: a Classe "&amp;$MS64&amp;" aceita "&amp;INDEX($O$2:$O$8,MAX(1,$MS64)),""),IF(AND($MS64=0,$OU64&gt;1),"A básica aceita uma Melhoria",""),IF(AND($MS64=0,COUNTIF($NO64:$NR64,"&gt;1")&gt;0),"A básica só aceita Melhoria Leve",""),IF(AND($MS64&gt;0,$OV64&gt;2),$OV64&amp;" Restrições"&amp;IF($OF64=1,", contando a que a Forma "&amp;$MU64&amp;" já traz","")&amp;": o limite é 2",""),IF(AND($MS64=0,COUNTIF($NB64:$NC64,"?*")&gt;1),"A básica aceita uma Restrição Leve",""),IF(AND($MS64=0,COUNTIF($OI64:$OJ64,2)&gt;0),"A básica só aceita Restrição Leve",""),IF(AND($MS64&gt;0,$PC64&lt;0),"Orçamento estourado: faltam "&amp;(-$PC64)&amp;IF($PC64&lt;-1," pontos"," ponto"),""),IF(IFERROR(VLOOKUP(SUBSTITUTE(SUBSTITUTE(SUBSTITUTE($NB64,"~","~~"),"*","~*"),"?","~?"),'DADOS_RESTRICOES'!$M$2:$Q$54,4,FALSE),0)+IFERROR(VLOOKUP(SUBSTITUTE(SUBSTITUTE(SUBSTITUTE($NC64,"~","~~"),"*","~*"),"?","~?"),'DADOS_RESTRICOES'!$M$2:$Q$54,4,FALSE),0)&gt;1,$OK64&amp;" e "&amp;$OL64&amp;" são as duas de frequência",""),IF(AND((COUNTIF($RK64:$RN64,"Rápido")+COUNTIF($OK64:$OL64,"Rápido"))&gt;0,(COUNTIF($MX64:$NA64,"Atrasar")+COUNTIF($OK64:$OL64,"Atrasar"))&gt;0),"Rápido não entra com Atrasar",""),IF(AND((COUNTIF($RK64:$RN64,"Reação")+COUNTIF($OK64:$OL64,"Reação"))&gt;0,(COUNTIF($RK64:$RN64,"Rápido")+COUNTIF($OK64:$OL64,"Rápido"))&gt;0),"Reação não entra com Rápido",""),IF(AND((COUNTIF($RK64:$RN64,"Reação")+COUNTIF($OK64:$OL64,"Reação"))&gt;0,(COUNTIF($RK64:$RN64,"Armado")+COUNTIF($OK64:$OL64,"Armado"))&gt;0),"Reação não entra com Armado",""),IF(AND((COUNTIF($RK64:$RN64,"Reação")+COUNTIF($OK64:$OL64,"Reação"))&gt;0,(COUNTIF($MX64:$NA64,"Atrasar")+COUNTIF($OK64:$OL64,"Atrasar"))&gt;0),"Reação não entra com Atrasar",""),IF(AND((COUNTIF($RK64:$RN64,"Reação")+COUNTIF($OK64:$OL64,"Reação"))&gt;0,(COUNTIF($MX64:$NA64,"Parado")+COUNTIF($OK64:$OL64,"Parado"))&gt;0),"Reação não entra com Parado",""),IF(AND((COUNTIF($MX64:$NA64,"Atrasar")+COUNTIF($OK64:$OL64,"Atrasar"))&gt;0,(COUNTIF($MX64:$NA64,"Parado")+COUNTIF($OK64:$OL64,"Parado"))&gt;0),"Atrasar não entra com Parado",""),IF(AND((COUNTIF($RK64:$RN64,"Armado")+COUNTIF($OK64:$OL64,"Armado"))&gt;0,(COUNTIF($MX64:$NA64,"Carregar")+COUNTIF($OK64:$OL64,"Carregar"))&gt;0),"Armado não entra com Carregar",""),IF(AND(COUNTIF($OK64:$OL64,"Corpo a Corpo")&gt;0,$OF64=0,OR($RO64="Cone",$RO64="Linha")),"Corpo a Corpo não entra em "&amp;$MU64,""),IF(AND(COUNTIF($OK64:$OL64,"Corpo a Corpo")&gt;0,$RP64="Corpo a Corpo"),"A Forma "&amp;$MU64&amp;" já traz o Corpo a Corpo",""),IF(AND(COUNTIF($OK64:$OL64,"Tudo ou Nada")&gt;0,$OH64=0),"Tudo ou Nada só entra em habilidade de Teste de Resistência",""),IF(AND(COUNTIF($RK64:$RN64,"Inescapável")&gt;0,OR($OU64&gt;1,$OV64&gt;0)),"Inescapável não aceita outra peça",""),IF(AND($MS64&gt;0,$PD64*IF(COUNTIF($RK64:$RN64,"Remate")&gt;0,1.25,1)+$PE64&gt;4*$MS64),($PD64*IF(COUNTIF($RK64:$RN64,"Remate")&gt;0,1.25,1)+$PE64)&amp;" dados somando repetições"&amp;IF(COUNTIF($RK64:$RN64,"Remate")&gt;0," e o Remate","")&amp;": o teto da Classe "&amp;$MS64&amp;" é "&amp;4*$MS64,""))),IF(AND($MX64&lt;&gt;"",COUNTIF('DADOS_MELHORIAS'!$O$2:$O$113,SUBSTITUTE(SUBSTITUTE(SUBSTITUTE($MX64,"~","~~"),"*","~*"),"?","~?"))=0),"Melhoria não cadastrada ou com erro: "&amp;$MX64,""),IF(AND($MY64&lt;&gt;"",COUNTIF('DADOS_MELHORIAS'!$O$2:$O$113,SUBSTITUTE(SUBSTITUTE(SUBSTITUTE($MY64,"~","~~"),"*","~*"),"?","~?"))=0),"Melhoria não cadastrada ou com erro: "&amp;$MY64,""),IF(AND($MZ64&lt;&gt;"",COUNTIF('DADOS_MELHORIAS'!$O$2:$O$113,SUBSTITUTE(SUBSTITUTE(SUBSTITUTE($MZ64,"~","~~"),"*","~*"),"?","~?"))=0),"Melhoria não cadastrada ou com erro: "&amp;$MZ64,""),IF(AND($NA64&lt;&gt;"",COUNTIF('DADOS_MELHORIAS'!$O$2:$O$113,SUBSTITUTE(SUBSTITUTE(SUBSTITUTE($NA64,"~","~~"),"*","~*"),"?","~?"))=0),"Melhoria não cadastrada ou com erro: "&amp;$NA64,""),IF(AND($NB64&lt;&gt;"",COUNTIF('DADOS_RESTRICOES'!$M$2:$M$54,SUBSTITUTE(SUBSTITUTE(SUBSTITUTE($NB64,"~","~~"),"*","~*"),"?","~?"))=0),"Restrição não cadastrada ou com erro: "&amp;$NB64,""),IF(AND($NC64&lt;&gt;"",COUNTIF('DADOS_RESTRICOES'!$M$2:$M$54,SUBSTITUTE(SUBSTITUTE(SUBSTITUTE($NC64,"~","~~"),"*","~*"),"?","~?"))=0),"Restrição não cadastrada ou com erro: "&amp;$NC64,""))),IF(AND($MU64&lt;&gt;"",COUNTIF('DADOS_FORMAS'!$AH$2:$AH$21,SUBSTITUTE(SUBSTITUTE(SUBSTITUTE($MU64,"~","~~"),"*","~*"),"?","~?"))=0),"Forma não cadastrada ou com erro: "&amp;$MU64,""),IF(AND(IFERROR(INDEX('DADOS_FORMAS'!$AS$2:$AS$21,MATCH(SUBSTITUTE(SUBSTITUTE(SUBSTITUTE($MU64,"~","~~"),"*","~*"),"?","~?"),'DADOS_FORMAS'!$AH$2:$AH$21,0)),"")&lt;&gt;"",OR(IFERROR(VLOOKUP(SUBSTITUTE(SUBSTITUTE(SUBSTITUTE(IFERROR(INDEX('DADOS_FORMAS'!$AS$2:$AS$21,MATCH(SUBSTITUTE(SUBSTITUTE(SUBSTITUTE($MU64,"~","~~"),"*","~*"),"?","~?"),'DADOS_FORMAS'!$AH$2:$AH$21,0)),""),"~","~~"),"*","~*"),"?","~?"),'DADOS_RESTRICOES'!$M$2:$Q$54,2,FALSE),"")=$OK64,IFERROR(VLOOKUP(SUBSTITUTE(SUBSTITUTE(SUBSTITUTE(IFERROR(INDEX('DADOS_FORMAS'!$AS$2:$AS$21,MATCH(SUBSTITUTE(SUBSTITUTE(SUBSTITUTE($MU64,"~","~~"),"*","~*"),"?","~?"),'DADOS_FORMAS'!$AH$2:$AH$21,0)),""),"~","~~"),"*","~*"),"?","~?"),'DADOS_RESTRICOES'!$M$2:$Q$54,2,FALSE),"")=$OL64)),"Restrição repetida, contando a embutida",""),IF(IF(IFERROR(INDEX('DADOS_FORMAS'!$AS$2:$AS$21,MATCH(SUBSTITUTE(SUBSTITUTE(SUBSTITUTE($MU64,"~","~~"),"*","~*"),"?","~?"),'DADOS_FORMAS'!$AH$2:$AH$21,0)),"")="",0,IFERROR(N(VLOOKUP(SUBSTITUTE(SUBSTITUTE(SUBSTITUTE(IFERROR(INDEX('DADOS_FORMAS'!$AS$2:$AS$21,MATCH(SUBSTITUTE(SUBSTITUTE(SUBSTITUTE($MU64,"~","~~"),"*","~*"),"?","~?"),'DADOS_FORMAS'!$AH$2:$AH$21,0)),""),"~","~~"),"*","~*"),"?","~?"),'DADOS_RESTRICOES'!$M$2:$Q$54,4,FALSE)=1),0))+IF($NB64="",0,IFERROR(N(VLOOKUP(SUBSTITUTE(SUBSTITUTE(SUBSTITUTE($NB64,"~","~~"),"*","~*"),"?","~?"),'DADOS_RESTRICOES'!$M$2:$Q$54,4,FALSE)=1),0))+IF($NC64="",0,IFERROR(N(VLOOKUP(SUBSTITUTE(SUBSTITUTE(SUBSTITUTE($NC64,"~","~~"),"*","~*"),"?","~?"),'DADOS_RESTRICOES'!$M$2:$Q$54,4,FALSE)=1),0))&gt;1,"Duas Restrições de frequência, contando a embutida",""),IF(AND(IFERROR(VLOOKUP(SUBSTITUTE(SUBSTITUTE(SUBSTITUTE(IFERROR(INDEX('DADOS_FORMAS'!$AS$2:$AS$21,MATCH(SUBSTITUTE(SUBSTITUTE(SUBSTITUTE($MU64,"~","~~"),"*","~*"),"?","~?"),'DADOS_FORMAS'!$AH$2:$AH$21,0)),""),"~","~~"),"*","~*"),"?","~?"),'DADOS_RESTRICOES'!$M$2:$Q$54,2,FALSE),"")="Tudo ou Nada",$OH64=0),"Tudo ou Nada exige TR",""),IF(AND(IFERROR(VLOOKUP(SUBSTITUTE(SUBSTITUTE(SUBSTITUTE(IFERROR(INDEX('DADOS_FORMAS'!$AS$2:$AS$21,MATCH(SUBSTITUTE(SUBSTITUTE(SUBSTITUTE($MU64,"~","~~"),"*","~*"),"?","~?"),'DADOS_FORMAS'!$AH$2:$AH$21,0)),""),"~","~~"),"*","~*"),"?","~?"),'DADOS_RESTRICOES'!$M$2:$Q$54,2,FALSE),"")="Corpo a Corpo",OR($RO64="Cone",$RO64="Linha")),"Corpo a Corpo não entra em Cone/Linha","")))</f>
        <v/>
      </c>
      <c r="PU64" s="164">
        <f>IF($PT64="",0,(LEN($PT64)-LEN(SUBSTITUTE($PT64," · ","")))/3+1)</f>
        <v/>
      </c>
      <c r="PV64" s="164">
        <f>IF($ND64=0,"",TEXTJOIN(" · ",TRUE,IF($OX64&gt;2*$MS64,"A devolução parou no teto de "&amp;2*$MS64,""),IF($PA64&gt;0,"Devolução perdida: "&amp;$PA64&amp;IF($PA64&gt;1," pontos"," ponto")&amp;" sem Melhoria para pagar",""),IF(AND($OC64&gt;0,AND($MS64&gt;0,$OG64=0),$PD64=0),"Controle sem dano: uma rodada a mais e CD +2",""),IF(AND($OC64&gt;0,AND($MS64&gt;0,$OG64=0),$PD64&gt;0,$PD64&lt;=$MS64),"Controle com saldo até a Classe: uma rodada a mais",""),IF(AND($MS64&gt;0,$OE64&lt;&gt;""),"Efeito de "&amp;$OE64&amp;" pela Classe "&amp;MAX(1,$MS64-1),"")))</f>
        <v/>
      </c>
      <c r="PW64" s="164">
        <f>IF($PV64="",0,(LEN($PV64)-LEN(SUBSTITUTE($PV64," · ","")))/3+1)</f>
        <v/>
      </c>
      <c r="PX64" s="164">
        <f>IF($ND64=0,IF($OU64+COUNTIF($NB64:$NC64,"?*")&gt;0,"Dê um nome",""),IF($PU64&gt;0,"⚠ "&amp;$PU64&amp;IF($PU64&gt;1," erros"," erro"),IF($PW64&gt;0,"! "&amp;$PW64&amp;IF($PW64&gt;1," avisos"," aviso"),"Na regra")))</f>
        <v/>
      </c>
      <c r="PY64" s="164">
        <f>IF($ND64=0,"",IF($PU64+$PW64=0,"Dentro das regras que a ficha confere",$PT64&amp;IF(AND($PU64&gt;0,$PW64&gt;0)," · ","")&amp;$PV64))</f>
        <v/>
      </c>
      <c r="PZ64" s="164">
        <f>IF($MQ64&gt;$NE64,$MR64&amp;" · ABRE NO NÍVEL "&amp;$MQ64,$MR64)</f>
        <v/>
      </c>
      <c r="QA64" s="164">
        <f>IF($ND64=0,"",IF($MS64=0,"Sem PE",3*$MS64&amp;" PE"))</f>
        <v/>
      </c>
      <c r="QB64" s="164">
        <f>IF($ND64=0,"",IF($MS64=0,"A atuação básica dela",IF(COUNTIF($RQ64:$RS64,"Atrasar")&gt;0,"Sua Ação Completa",IF(COUNTIF($RK64:$RN64,"Rápido")&gt;0,"Sua Bônus",IF(COUNTIF($RK64:$RN64,"Reação")&gt;0,"Sua Reação","Sua Padrão")))&amp;" + a básica dela"&amp;IF(COUNTIF($RK64:$RN64,"Reação")&gt;0," e a coletiva","")&amp;IF(COUNTIF($RQ64:$RS64,"Carregar")&gt;0," · em dois turnos","")))</f>
        <v/>
      </c>
      <c r="QC64" s="164">
        <f>IF($MW64&lt;&gt;"",$MW64,IF($NJ64=0,"",INDEX('DADOS_FORMAS'!$GE$2:$GE$21,$NJ64)))</f>
        <v/>
      </c>
      <c r="QD64" s="164">
        <f>IF(OR($ND64=0,$NJ64=0),"",IF(COUNTIF($RK64:$RN64,"Inescapável")&gt;0,"Automático",IF($QC64="Ataque",IF($NH64="","Ataque","Ataque "&amp;IF(($NH64+2*IF(COUNTIF($RK64:$RN64,"Precisão")&gt;0,1,0))&gt;=0,"+","−")&amp;ABS(($NH64+2*IF(COUNTIF($RK64:$RN64,"Precisão")&gt;0,1,0))))&amp;IF($OD64&gt;0," · TR"&amp;IF($NI64="",""," CD "&amp;$NI64),""),IF(LEFT($QC64,2)="TR",$QC64&amp;IF($NI64="",""," · CD "&amp;$NI64)&amp;IF(COUNTIF($RK64:$RN64,"Certeiro")&gt;0," · metade",""),"Sem rolagem"))))</f>
        <v/>
      </c>
      <c r="QE64" s="164">
        <f>IF(OR($ND64=0,$NJ64=0),"",IF($MS64=0,IF(OR($OG64&gt;=1,$PD64=0),"Sem dano",$PD64&amp;"d6"&amp;IF($MV64="",""," "&amp;$MV64)),IF(OR($OG64&gt;=1,$PD64=0),UPPER(LEFT(INDEX($PM64:$PS64,1,MAX(1,$MS64)),1))&amp;MID(INDEX($PM64:$PS64,1,MAX(1,$MS64)),2,99),UPPER(LEFT(INDEX($PM64:$PS64,1,MAX(1,$MS64)),1))&amp;MID(INDEX($PM64:$PS64,1,MAX(1,$MS64)),2,99)&amp;IF($MV64="",""," "&amp;$MV64)&amp;IF($PE64&gt;0," · +"&amp;$PE64&amp;"d8",""))))</f>
        <v/>
      </c>
      <c r="QF64" s="164">
        <f>COUNTIF($RK64:$RN64,"Longe")+3*COUNTIF($RK64:$RN64,"Muito Longe")</f>
        <v/>
      </c>
      <c r="QG64" s="164">
        <f>COUNTIF($RK64:$RN64,"Maior")+3*COUNTIF($RK64:$RN64,"Muito Maior")</f>
        <v/>
      </c>
      <c r="QH64" s="164">
        <f>IF($NJ64=0,0,CHOOSE(1+INDEX('DADOS_FORMAS'!$GG$2:$GG$21,$NJ64),0,$QF64,$QG64,$QF64+$QG64))</f>
        <v/>
      </c>
      <c r="QI64" s="164">
        <f>IF($NJ64=0,0,CHOOSE(1+INDEX('DADOS_FORMAS'!$GH$2:$GH$21,$NJ64),0,$QF64,$QG64,$QF64+$QG64))</f>
        <v/>
      </c>
      <c r="QJ64" s="164">
        <f>IF(OR($ND64=0,$NJ64=0),"",INDEX('DADOS_FORMAS'!$HU$2:$HZ$81,($NJ64-1)*4+IF($MS64=0,1,IF($MS64&lt;=5,2,IF($MS64=6,3,4))),1+MIN(5,$QH64))&amp;INDEX('DADOS_FORMAS'!$IA$2:$IF$81,($NJ64-1)*4+IF($MS64=0,1,IF($MS64&lt;=5,2,IF($MS64=6,3,4))),1+MIN(5,$QI64))&amp;IF(INDEX('DADOS_FORMAS'!$GI$2:$GI$21,$NJ64)=1,IF(COUNTIF($RK64:$RN64,"Mais Um")&gt;0," · +"&amp;COUNTIF($RK64:$RN64,"Mais Um")&amp;IF(COUNTIF($RK64:$RN64,"Mais Um")&gt;1," alvos"," alvo"),"")&amp;IF(COUNTIF($RK64:$RN64,"Rajada")&gt;0,IF($MS64=0," · 1 tiro"," · "&amp;(MAX(1,$MS64-1)+1)&amp;" tiros"),""),""))</f>
        <v/>
      </c>
      <c r="QK64" s="164">
        <f>IF($ND64=0,"",IF($MS64=0,$NG64&amp;"d6"&amp;IF($OU64&gt;0," − 1 = "&amp;$PD64&amp;"d6"," da básica do nível "&amp;$NE64),$PB64&amp;" − "&amp;$OW64&amp;" + "&amp;$OZ64&amp;" = "&amp;$PC64&amp;" · teto "&amp;4*$MS64&amp;"d8"&amp;IF($OF64=1," · a Forma devolve "&amp;$MS64,"")&amp;IF($PA64&gt;0," · perde "&amp;$PA64,"")))</f>
        <v/>
      </c>
      <c r="QL64" s="164">
        <f>IF($ND64=0,"",IF($MS64=0,"A básica não amplia: os dados dela sobem com o nível",IF($MS64&gt;=$NF64,"Já está na maior Classe que o nível liberou",TEXTJOIN(" · ",TRUE,IF(AND(2&gt;$MS64,2&lt;=$NF64),"2 → "&amp;$PN64&amp;", 6 PE",""),IF(AND(3&gt;$MS64,3&lt;=$NF64),"3 → "&amp;$PO64&amp;", 9 PE",""),IF(AND(4&gt;$MS64,4&lt;=$NF64),"4 → "&amp;$PP64&amp;", 12 PE",""),IF(AND(5&gt;$MS64,5&lt;=$NF64),"5 → "&amp;$PQ64&amp;", 15 PE",""),IF(AND(6&gt;$MS64,6&lt;=$NF64),"6 → "&amp;$PR64&amp;", 18 PE",""),IF(AND(7&gt;$MS64,7&lt;=$NF64),"7 → "&amp;$PS64&amp;", 21 PE","")))))</f>
        <v/>
      </c>
      <c r="QM64" s="164">
        <f>IF(OR($ND64=0,$NO64=0),"",IF($MS64=0,"−1 dado","−"&amp;INDEX($I$2:$N$8,MAX(1,$MS64),MAX(1,$NT64))&amp;" · "&amp;CHOOSE(MAX(1,$NT64),"Leve","Média","Pesada","Leve · Livre","Média · Livre","Pesada · Livre")))</f>
        <v/>
      </c>
      <c r="QN64" s="164">
        <f>IF(OR($ND64=0,$NP64=0),"",IF($MS64=0,"−1 dado","−"&amp;INDEX($I$2:$N$8,MAX(1,$MS64),MAX(1,$NU64))&amp;" · "&amp;CHOOSE(MAX(1,$NU64),"Leve","Média","Pesada","Leve · Livre","Média · Livre","Pesada · Livre")))</f>
        <v/>
      </c>
      <c r="QO64" s="164">
        <f>IF(OR($ND64=0,$NQ64=0),"",IF($MS64=0,"−1 dado","−"&amp;INDEX($I$2:$N$8,MAX(1,$MS64),MAX(1,$NV64))&amp;" · "&amp;CHOOSE(MAX(1,$NV64),"Leve","Média","Pesada","Leve · Livre","Média · Livre","Pesada · Livre")))</f>
        <v/>
      </c>
      <c r="QP64" s="164">
        <f>IF(OR($ND64=0,$NR64=0),"",IF($MS64=0,"−1 dado","−"&amp;INDEX($I$2:$N$8,MAX(1,$MS64),MAX(1,$NW64))&amp;" · "&amp;CHOOSE(MAX(1,$NW64),"Leve","Média","Pesada","Leve · Livre","Média · Livre","Pesada · Livre")))</f>
        <v/>
      </c>
      <c r="QQ64" s="164">
        <f>IF(OR($ND64=0,$NB64=""),"",IF($MS64=0,"não devolve","+"&amp;IF($OI64=1,CEILING($MS64/2,1),$MS64)))</f>
        <v/>
      </c>
      <c r="QR64" s="164">
        <f>IF(OR($ND64=0,$NC64=""),"",IF($MS64=0,"não devolve","+"&amp;IF($OJ64=1,CEILING($MS64/2,1),$MS64)))</f>
        <v/>
      </c>
      <c r="RK64">
        <f>IF($MX64="","",IFERROR(VLOOKUP(SUBSTITUTE(SUBSTITUTE(SUBSTITUTE($MX64,"~","~~"),"*","~*"),"?","~?"),'DADOS_MELHORIAS'!$O$2:$X$113,10,FALSE),$MX64))</f>
        <v/>
      </c>
      <c r="RL64">
        <f>IF($MY64="","",IFERROR(VLOOKUP(SUBSTITUTE(SUBSTITUTE(SUBSTITUTE($MY64,"~","~~"),"*","~*"),"?","~?"),'DADOS_MELHORIAS'!$O$2:$X$113,10,FALSE),$MY64))</f>
        <v/>
      </c>
      <c r="RM64">
        <f>IF($MZ64="","",IFERROR(VLOOKUP(SUBSTITUTE(SUBSTITUTE(SUBSTITUTE($MZ64,"~","~~"),"*","~*"),"?","~?"),'DADOS_MELHORIAS'!$O$2:$X$113,10,FALSE),$MZ64))</f>
        <v/>
      </c>
      <c r="RN64">
        <f>IF($NA64="","",IFERROR(VLOOKUP(SUBSTITUTE(SUBSTITUTE(SUBSTITUTE($NA64,"~","~~"),"*","~*"),"?","~?"),'DADOS_MELHORIAS'!$O$2:$X$113,10,FALSE),$NA64))</f>
        <v/>
      </c>
      <c r="RO64">
        <f>IFERROR(INDEX('DADOS_FORMAS'!$BJ$2:$BJ$21,MATCH(SUBSTITUTE(SUBSTITUTE(SUBSTITUTE($MU64,"~","~~"),"*","~*"),"?","~?"),'DADOS_FORMAS'!$AH$2:$AH$21,0)),"")</f>
        <v/>
      </c>
      <c r="RP64">
        <f>IFERROR(VLOOKUP(SUBSTITUTE(SUBSTITUTE(SUBSTITUTE(IFERROR(INDEX('DADOS_FORMAS'!$AS$2:$AS$21,MATCH(SUBSTITUTE(SUBSTITUTE(SUBSTITUTE($MU64,"~","~~"),"*","~*"),"?","~?"),'DADOS_FORMAS'!$AH$2:$AH$21,0)),""),"~","~~"),"*","~*"),"?","~?"),'DADOS_RESTRICOES'!$M$2:$Q$54,2,FALSE),"")</f>
        <v/>
      </c>
      <c r="RQ64">
        <f>$OK64</f>
        <v/>
      </c>
      <c r="RR64">
        <f>$OL64</f>
        <v/>
      </c>
      <c r="RS64">
        <f>$RP64</f>
        <v/>
      </c>
    </row>
    <row r="65">
      <c r="AV65" s="162" t="inlineStr">
        <is>
          <t>Concentrada</t>
        </is>
      </c>
      <c r="AW65" s="162" t="inlineStr">
        <is>
          <t>Tempo</t>
        </is>
      </c>
      <c r="AX65" s="164" t="n">
        <v>1</v>
      </c>
      <c r="AY65" s="164" t="n">
        <v>0</v>
      </c>
      <c r="AZ65" s="164" t="n">
        <v>0</v>
      </c>
      <c r="BA65" s="164" t="n">
        <v>0</v>
      </c>
      <c r="JT65" s="164">
        <f>IF(OR($AW65="",(COUNTIF($EL$2:$EP$2,$AW65)+COUNTIF($QV$2:$QY$2,$AW65))&gt;0),$AV65,"")</f>
        <v/>
      </c>
      <c r="JU65" s="164">
        <f>IF(AND($AX65=1,OR($AW65="",(COUNTIF($EL$2:$EP$2,$AW65)+COUNTIF($QV$2:$QY$2,$AW65))&gt;0)),$AV65,"")</f>
        <v/>
      </c>
      <c r="JZ65" s="164">
        <f>IF(OR($AW65="",(COUNTIF($EL$3:$EP$3,$AW65)+COUNTIF($QV$3:$QY$3,$AW65))&gt;0),$AV65,"")</f>
        <v/>
      </c>
      <c r="KA65" s="164">
        <f>IF(AND($AX65=1,OR($AW65="",(COUNTIF($EL$3:$EP$3,$AW65)+COUNTIF($QV$3:$QY$3,$AW65))&gt;0)),$AV65,"")</f>
        <v/>
      </c>
      <c r="KF65" s="164">
        <f>IF(OR($AW65="",(COUNTIF($EL$4:$EP$4,$AW65)+COUNTIF($QV$4:$QY$4,$AW65))&gt;0),$AV65,"")</f>
        <v/>
      </c>
      <c r="KG65" s="164">
        <f>IF(AND($AX65=1,OR($AW65="",(COUNTIF($EL$4:$EP$4,$AW65)+COUNTIF($QV$4:$QY$4,$AW65))&gt;0)),$AV65,"")</f>
        <v/>
      </c>
      <c r="KL65" s="164">
        <f>IF(OR($AW65="",(COUNTIF($EL$5:$EP$5,$AW65)+COUNTIF($QV$5:$QY$5,$AW65))&gt;0),$AV65,"")</f>
        <v/>
      </c>
      <c r="KM65" s="164">
        <f>IF(AND($AX65=1,OR($AW65="",(COUNTIF($EL$5:$EP$5,$AW65)+COUNTIF($QV$5:$QY$5,$AW65))&gt;0)),$AV65,"")</f>
        <v/>
      </c>
      <c r="KR65" s="164">
        <f>IF(OR($AW65="",(COUNTIF($EL$6:$EP$6,$AW65)+COUNTIF($QV$6:$QY$6,$AW65))&gt;0),$AV65,"")</f>
        <v/>
      </c>
      <c r="KS65" s="164">
        <f>IF(AND($AX65=1,OR($AW65="",(COUNTIF($EL$6:$EP$6,$AW65)+COUNTIF($QV$6:$QY$6,$AW65))&gt;0)),$AV65,"")</f>
        <v/>
      </c>
      <c r="KX65" s="164">
        <f>IF(OR($AW65="",(COUNTIF($EL$7:$EP$7,$AW65)+COUNTIF($QV$7:$QY$7,$AW65))&gt;0),$AV65,"")</f>
        <v/>
      </c>
      <c r="KY65" s="164">
        <f>IF(AND($AX65=1,OR($AW65="",(COUNTIF($EL$7:$EP$7,$AW65)+COUNTIF($QV$7:$QY$7,$AW65))&gt;0)),$AV65,"")</f>
        <v/>
      </c>
      <c r="LD65" s="164">
        <f>IF(OR($AW65="",(COUNTIF($EL$8:$EP$8,$AW65)+COUNTIF($QV$8:$QY$8,$AW65))&gt;0),$AV65,"")</f>
        <v/>
      </c>
      <c r="LE65" s="164">
        <f>IF(AND($AX65=1,OR($AW65="",(COUNTIF($EL$8:$EP$8,$AW65)+COUNTIF($QV$8:$QY$8,$AW65))&gt;0)),$AV65,"")</f>
        <v/>
      </c>
      <c r="LJ65" s="164">
        <f>IF(OR($AW65="",(COUNTIF($EL$9:$EP$9,$AW65)+COUNTIF($QV$9:$QY$9,$AW65))&gt;0),$AV65,"")</f>
        <v/>
      </c>
      <c r="LK65" s="164">
        <f>IF(AND($AX65=1,OR($AW65="",(COUNTIF($EL$9:$EP$9,$AW65)+COUNTIF($QV$9:$QY$9,$AW65))&gt;0)),$AV65,"")</f>
        <v/>
      </c>
      <c r="LP65" s="164">
        <f>IF(OR($AW65="",(COUNTIF($EL$10:$EP$10,$AW65)+COUNTIF($QV$10:$QY$10,$AW65))&gt;0),$AV65,"")</f>
        <v/>
      </c>
      <c r="LQ65" s="164">
        <f>IF(AND($AX65=1,OR($AW65="",(COUNTIF($EL$10:$EP$10,$AW65)+COUNTIF($QV$10:$QY$10,$AW65))&gt;0)),$AV65,"")</f>
        <v/>
      </c>
      <c r="LV65" s="164">
        <f>IF(OR($AW65="",(COUNTIF($EL$11:$EP$11,$AW65)+COUNTIF($QV$11:$QY$11,$AW65))&gt;0),$AV65,"")</f>
        <v/>
      </c>
      <c r="LW65" s="164">
        <f>IF(AND($AX65=1,OR($AW65="",(COUNTIF($EL$11:$EP$11,$AW65)+COUNTIF($QV$11:$QY$11,$AW65))&gt;0)),$AV65,"")</f>
        <v/>
      </c>
      <c r="MB65" s="164">
        <f>IF(OR($AW65="",(COUNTIF($EL$12:$EP$12,$AW65)+COUNTIF($QV$12:$QY$12,$AW65))&gt;0),$AV65,"")</f>
        <v/>
      </c>
      <c r="MC65" s="164">
        <f>IF(AND($AX65=1,OR($AW65="",(COUNTIF($EL$12:$EP$12,$AW65)+COUNTIF($QV$12:$QY$12,$AW65))&gt;0)),$AV65,"")</f>
        <v/>
      </c>
      <c r="MH65" s="164">
        <f>IF(OR($AW65="",(COUNTIF($EL$13:$EP$13,$AW65)+COUNTIF($QV$13:$QY$13,$AW65))&gt;0),$AV65,"")</f>
        <v/>
      </c>
      <c r="MI65" s="164">
        <f>IF(AND($AX65=1,OR($AW65="",(COUNTIF($EL$13:$EP$13,$AW65)+COUNTIF($QV$13:$QY$13,$AW65))&gt;0)),$AV65,"")</f>
        <v/>
      </c>
      <c r="MN65" s="162" t="inlineStr">
        <is>
          <t>Ficha 5 · Escolha da trilha 2</t>
        </is>
      </c>
      <c r="MO65" s="164" t="n">
        <v>5</v>
      </c>
      <c r="MP65" s="164" t="n">
        <v>2</v>
      </c>
      <c r="MQ65" s="164" t="n">
        <v>0</v>
      </c>
      <c r="MR65" s="162" t="inlineStr">
        <is>
          <t>ESCOLHA DA TRILHA 2</t>
        </is>
      </c>
      <c r="MS65" s="164">
        <f>MAX(0,MIN(7,N('INVOCAÇÕES'!$O$1017)))</f>
        <v/>
      </c>
      <c r="MT65" s="164">
        <f>'INVOCAÇÕES'!$P$1017&amp;""</f>
        <v/>
      </c>
      <c r="MU65" s="164">
        <f>'INVOCAÇÕES'!$O$1022&amp;""</f>
        <v/>
      </c>
      <c r="MV65" s="164">
        <f>'INVOCAÇÕES'!$O$1023&amp;""</f>
        <v/>
      </c>
      <c r="MW65" s="164">
        <f>'INVOCAÇÕES'!$Q$1023&amp;""</f>
        <v/>
      </c>
      <c r="MX65" s="164">
        <f>'INVOCAÇÕES'!$P$1026&amp;""</f>
        <v/>
      </c>
      <c r="MY65" s="164">
        <f>'INVOCAÇÕES'!$P$1027&amp;""</f>
        <v/>
      </c>
      <c r="MZ65" s="164">
        <f>'INVOCAÇÕES'!$P$1028&amp;""</f>
        <v/>
      </c>
      <c r="NA65" s="164">
        <f>'INVOCAÇÕES'!$P$1029&amp;""</f>
        <v/>
      </c>
      <c r="NB65" s="164">
        <f>'INVOCAÇÕES'!$P$1030&amp;""</f>
        <v/>
      </c>
      <c r="NC65" s="164">
        <f>'INVOCAÇÕES'!$P$1031&amp;""</f>
        <v/>
      </c>
      <c r="ND65" s="164">
        <f>IF($MT65&lt;&gt;"",1,0)</f>
        <v/>
      </c>
      <c r="NE65" s="164">
        <f>INDEX($FO$2:$FO$13,$MO65)</f>
        <v/>
      </c>
      <c r="NF65" s="164">
        <f>INDEX($FP$2:$FP$13,$MO65)</f>
        <v/>
      </c>
      <c r="NG65" s="164">
        <f>INDEX($FQ$2:$FQ$13,$MO65)</f>
        <v/>
      </c>
      <c r="NH65" s="164">
        <f>INDEX($GB$2:$GB$13,$MO65)</f>
        <v/>
      </c>
      <c r="NI65" s="164">
        <f>INDEX($GC$2:$GC$13,$MO65)</f>
        <v/>
      </c>
      <c r="NJ65" s="164">
        <f>IFERROR(MATCH(SUBSTITUTE(SUBSTITUTE(SUBSTITUTE($MU65,"~","~~"),"*","~*"),"?","~?"),'DADOS_FORMAS'!$FZ$2:$FZ$21,0),0)</f>
        <v/>
      </c>
      <c r="NK65" s="164">
        <f>IFERROR(VLOOKUP(SUBSTITUTE(SUBSTITUTE(SUBSTITUTE($MX65,"~","~~"),"*","~*"),"?","~?"),'DADOS_MELHORIAS'!$AG$2:$AL$113,2,FALSE),"")</f>
        <v/>
      </c>
      <c r="NL65" s="164">
        <f>IFERROR(VLOOKUP(SUBSTITUTE(SUBSTITUTE(SUBSTITUTE($MY65,"~","~~"),"*","~*"),"?","~?"),'DADOS_MELHORIAS'!$AG$2:$AL$113,2,FALSE),"")</f>
        <v/>
      </c>
      <c r="NM65" s="164">
        <f>IFERROR(VLOOKUP(SUBSTITUTE(SUBSTITUTE(SUBSTITUTE($MZ65,"~","~~"),"*","~*"),"?","~?"),'DADOS_MELHORIAS'!$AG$2:$AL$113,2,FALSE),"")</f>
        <v/>
      </c>
      <c r="NN65" s="164">
        <f>IFERROR(VLOOKUP(SUBSTITUTE(SUBSTITUTE(SUBSTITUTE($NA65,"~","~~"),"*","~*"),"?","~?"),'DADOS_MELHORIAS'!$AG$2:$AL$113,2,FALSE),"")</f>
        <v/>
      </c>
      <c r="NO65" s="164">
        <f>IFERROR(VLOOKUP(SUBSTITUTE(SUBSTITUTE(SUBSTITUTE($MX65,"~","~~"),"*","~*"),"?","~?"),'DADOS_MELHORIAS'!$AG$2:$AL$113,3,FALSE),0)</f>
        <v/>
      </c>
      <c r="NP65" s="164">
        <f>IFERROR(VLOOKUP(SUBSTITUTE(SUBSTITUTE(SUBSTITUTE($MY65,"~","~~"),"*","~*"),"?","~?"),'DADOS_MELHORIAS'!$AG$2:$AL$113,3,FALSE),0)</f>
        <v/>
      </c>
      <c r="NQ65" s="164">
        <f>IFERROR(VLOOKUP(SUBSTITUTE(SUBSTITUTE(SUBSTITUTE($MZ65,"~","~~"),"*","~*"),"?","~?"),'DADOS_MELHORIAS'!$AG$2:$AL$113,3,FALSE),0)</f>
        <v/>
      </c>
      <c r="NR65" s="164">
        <f>IFERROR(VLOOKUP(SUBSTITUTE(SUBSTITUTE(SUBSTITUTE($NA65,"~","~~"),"*","~*"),"?","~?"),'DADOS_MELHORIAS'!$AG$2:$AL$113,3,FALSE),0)</f>
        <v/>
      </c>
      <c r="NS65" s="164">
        <f>IF($MS65=0,0,IF($NJ65=0,0,INDEX('DADOS_FORMAS'!$GB$2:$GB$21,$NJ65)))</f>
        <v/>
      </c>
      <c r="NT65" s="164">
        <f>IF(OR($NO65=0,$MS65=0),0,$NO65+3*IF(AND($NK65&lt;&gt;"",COUNTIF(INDEX($RB$2:$RJ$13,$MO65,0),$NK65)&gt;0),1,0))</f>
        <v/>
      </c>
      <c r="NU65" s="164">
        <f>IF(OR($NP65=0,$MS65=0),0,$NP65+3*IF(AND($NL65&lt;&gt;"",COUNTIF(INDEX($RB$2:$RJ$13,$MO65,0),$NL65)&gt;0),1,0))</f>
        <v/>
      </c>
      <c r="NV65" s="164">
        <f>IF(OR($NQ65=0,$MS65=0),0,$NQ65+3*IF(AND($NM65&lt;&gt;"",COUNTIF(INDEX($RB$2:$RJ$13,$MO65,0),$NM65)&gt;0),1,0))</f>
        <v/>
      </c>
      <c r="NW65" s="164">
        <f>IF(OR($NR65=0,$MS65=0),0,$NR65+3*IF(AND($NN65&lt;&gt;"",COUNTIF(INDEX($RB$2:$RJ$13,$MO65,0),$NN65)&gt;0),1,0))</f>
        <v/>
      </c>
      <c r="NX65" s="164">
        <f>IF($NJ65=0,0,IF(INDEX('DADOS_FORMAS'!$GA$2:$GA$21,$NJ65)="",0,IF((COUNTIF(INDEX($EL$2:$EP$13,$MO65,0),INDEX('DADOS_FORMAS'!$GA$2:$GA$21,$NJ65))+COUNTIF(INDEX($QV$2:$QY$13,$MO65,0),INDEX('DADOS_FORMAS'!$GA$2:$GA$21,$NJ65)))=0,1,0)))</f>
        <v/>
      </c>
      <c r="NY65" s="164">
        <f>IF(OR($NO65=0,$NK65=""),0,IF((COUNTIF(INDEX($EL$2:$EP$13,$MO65,0),$NK65)+COUNTIF(INDEX($QV$2:$QY$13,$MO65,0),$NK65))=0,1,0))</f>
        <v/>
      </c>
      <c r="NZ65" s="164">
        <f>IF(OR($NP65=0,$NL65=""),0,IF((COUNTIF(INDEX($EL$2:$EP$13,$MO65,0),$NL65)+COUNTIF(INDEX($QV$2:$QY$13,$MO65,0),$NL65))=0,1,0))</f>
        <v/>
      </c>
      <c r="OA65" s="164">
        <f>IF(OR($NQ65=0,$NM65=""),0,IF((COUNTIF(INDEX($EL$2:$EP$13,$MO65,0),$NM65)+COUNTIF(INDEX($QV$2:$QY$13,$MO65,0),$NM65))=0,1,0))</f>
        <v/>
      </c>
      <c r="OB65" s="164">
        <f>IF(OR($NR65=0,$NN65=""),0,IF((COUNTIF(INDEX($EL$2:$EP$13,$MO65,0),$NN65)+COUNTIF(INDEX($QV$2:$QY$13,$MO65,0),$NN65))=0,1,0))</f>
        <v/>
      </c>
      <c r="OC65" s="164">
        <f>IFERROR(VLOOKUP(SUBSTITUTE(SUBSTITUTE(SUBSTITUTE($MX65,"~","~~"),"*","~*"),"?","~?"),'DADOS_MELHORIAS'!$AG$2:$AL$113,4,FALSE),0)+IFERROR(VLOOKUP(SUBSTITUTE(SUBSTITUTE(SUBSTITUTE($MY65,"~","~~"),"*","~*"),"?","~?"),'DADOS_MELHORIAS'!$AG$2:$AL$113,4,FALSE),0)+IFERROR(VLOOKUP(SUBSTITUTE(SUBSTITUTE(SUBSTITUTE($MZ65,"~","~~"),"*","~*"),"?","~?"),'DADOS_MELHORIAS'!$AG$2:$AL$113,4,FALSE),0)+IFERROR(VLOOKUP(SUBSTITUTE(SUBSTITUTE(SUBSTITUTE($NA65,"~","~~"),"*","~*"),"?","~?"),'DADOS_MELHORIAS'!$AG$2:$AL$113,4,FALSE),0)</f>
        <v/>
      </c>
      <c r="OD65" s="164">
        <f>IFERROR(VLOOKUP(SUBSTITUTE(SUBSTITUTE(SUBSTITUTE($MX65,"~","~~"),"*","~*"),"?","~?"),'DADOS_MELHORIAS'!$AG$2:$AL$113,6,FALSE),0)+IFERROR(VLOOKUP(SUBSTITUTE(SUBSTITUTE(SUBSTITUTE($MY65,"~","~~"),"*","~*"),"?","~?"),'DADOS_MELHORIAS'!$AG$2:$AL$113,6,FALSE),0)+IFERROR(VLOOKUP(SUBSTITUTE(SUBSTITUTE(SUBSTITUTE($MZ65,"~","~~"),"*","~*"),"?","~?"),'DADOS_MELHORIAS'!$AG$2:$AL$113,6,FALSE),0)+IFERROR(VLOOKUP(SUBSTITUTE(SUBSTITUTE(SUBSTITUTE($NA65,"~","~~"),"*","~*"),"?","~?"),'DADOS_MELHORIAS'!$AG$2:$AL$113,6,FALSE),0)+IFERROR(N(AND(INDEX('DADOS_FORMAS'!$AO$2:$AO$21,MATCH(SUBSTITUTE(SUBSTITUTE(SUBSTITUTE($MU65,"~","~~"),"*","~*"),"?","~?"),'DADOS_FORMAS'!$AH$2:$AH$21,0))="Acerto",$OH65=1)),0)</f>
        <v/>
      </c>
      <c r="OE65" s="164">
        <f>TEXTJOIN(", ",TRUE,IF(IFERROR(VLOOKUP(SUBSTITUTE(SUBSTITUTE(SUBSTITUTE($MX65,"~","~~"),"*","~*"),"?","~?"),'DADOS_MELHORIAS'!$AG$2:$AL$113,5,FALSE),0)=1,$MX65,""),IF(IFERROR(VLOOKUP(SUBSTITUTE(SUBSTITUTE(SUBSTITUTE($MY65,"~","~~"),"*","~*"),"?","~?"),'DADOS_MELHORIAS'!$AG$2:$AL$113,5,FALSE),0)=1,$MY65,""),IF(IFERROR(VLOOKUP(SUBSTITUTE(SUBSTITUTE(SUBSTITUTE($MZ65,"~","~~"),"*","~*"),"?","~?"),'DADOS_MELHORIAS'!$AG$2:$AL$113,5,FALSE),0)=1,$MZ65,""),IF(IFERROR(VLOOKUP(SUBSTITUTE(SUBSTITUTE(SUBSTITUTE($NA65,"~","~~"),"*","~*"),"?","~?"),'DADOS_MELHORIAS'!$AG$2:$AL$113,5,FALSE),0)=1,$NA65,""))</f>
        <v/>
      </c>
      <c r="OF65" s="164">
        <f>IF($NJ65=0,0,INDEX('DADOS_FORMAS'!$GC$2:$GC$21,$NJ65))</f>
        <v/>
      </c>
      <c r="OG65" s="164">
        <f>IF($NJ65=0,0,INDEX('DADOS_FORMAS'!$GD$2:$GD$21,$NJ65))</f>
        <v/>
      </c>
      <c r="OH65" s="164">
        <f>IF($NJ65=0,0,INDEX('DADOS_FORMAS'!$GF$2:$GF$21,$NJ65))</f>
        <v/>
      </c>
      <c r="OI65" s="164">
        <f>IFERROR(VLOOKUP(SUBSTITUTE(SUBSTITUTE(SUBSTITUTE($NB65,"~","~~"),"*","~*"),"?","~?"),'DADOS_RESTRICOES'!$M$2:$Q$54,3,FALSE),0)</f>
        <v/>
      </c>
      <c r="OJ65" s="164">
        <f>IFERROR(VLOOKUP(SUBSTITUTE(SUBSTITUTE(SUBSTITUTE($NC65,"~","~~"),"*","~*"),"?","~?"),'DADOS_RESTRICOES'!$M$2:$Q$54,3,FALSE),0)</f>
        <v/>
      </c>
      <c r="OK65" s="164">
        <f>IFERROR(VLOOKUP(SUBSTITUTE(SUBSTITUTE(SUBSTITUTE($NB65,"~","~~"),"*","~*"),"?","~?"),'DADOS_RESTRICOES'!$M$2:$Q$54,2,FALSE),"")</f>
        <v/>
      </c>
      <c r="OL65" s="164">
        <f>IFERROR(VLOOKUP(SUBSTITUTE(SUBSTITUTE(SUBSTITUTE($NC65,"~","~~"),"*","~*"),"?","~?"),'DADOS_RESTRICOES'!$M$2:$Q$54,2,FALSE),"")</f>
        <v/>
      </c>
      <c r="OM65" s="164">
        <f>COUNTIF($NS65:$NW65,1)</f>
        <v/>
      </c>
      <c r="ON65" s="164">
        <f>COUNTIF($NS65:$NW65,2)</f>
        <v/>
      </c>
      <c r="OO65" s="164">
        <f>COUNTIF($NS65:$NW65,3)</f>
        <v/>
      </c>
      <c r="OP65" s="164">
        <f>COUNTIF($NS65:$NW65,4)</f>
        <v/>
      </c>
      <c r="OQ65" s="164">
        <f>COUNTIF($NS65:$NW65,5)</f>
        <v/>
      </c>
      <c r="OR65" s="164">
        <f>COUNTIF($NS65:$NW65,6)</f>
        <v/>
      </c>
      <c r="OS65" s="164">
        <f>COUNTIF($OI65:$OJ65,1)+IF(IFERROR(INDEX('DADOS_FORMAS'!$AS$2:$AS$21,MATCH(SUBSTITUTE(SUBSTITUTE(SUBSTITUTE($MU65,"~","~~"),"*","~*"),"?","~?"),'DADOS_FORMAS'!$AH$2:$AH$21,0)),"")="",0,IFERROR(N(VLOOKUP(SUBSTITUTE(SUBSTITUTE(SUBSTITUTE(IFERROR(INDEX('DADOS_FORMAS'!$AS$2:$AS$21,MATCH(SUBSTITUTE(SUBSTITUTE(SUBSTITUTE($MU65,"~","~~"),"*","~*"),"?","~?"),'DADOS_FORMAS'!$AH$2:$AH$21,0)),""),"~","~~"),"*","~*"),"?","~?"),'DADOS_RESTRICOES'!$M$2:$Q$54,3,FALSE)=1),0))</f>
        <v/>
      </c>
      <c r="OT65" s="164">
        <f>COUNTIF($OI65:$OJ65,2)+IF(IFERROR(INDEX('DADOS_FORMAS'!$AS$2:$AS$21,MATCH(SUBSTITUTE(SUBSTITUTE(SUBSTITUTE($MU65,"~","~~"),"*","~*"),"?","~?"),'DADOS_FORMAS'!$AH$2:$AH$21,0)),"")="",0,IFERROR(N(VLOOKUP(SUBSTITUTE(SUBSTITUTE(SUBSTITUTE(IFERROR(INDEX('DADOS_FORMAS'!$AS$2:$AS$21,MATCH(SUBSTITUTE(SUBSTITUTE(SUBSTITUTE($MU65,"~","~~"),"*","~*"),"?","~?"),'DADOS_FORMAS'!$AH$2:$AH$21,0)),""),"~","~~"),"*","~*"),"?","~?"),'DADOS_RESTRICOES'!$M$2:$Q$54,3,FALSE)=2),0))</f>
        <v/>
      </c>
      <c r="OU65" s="164">
        <f>COUNTIF($MX65:$NA65,"?*")</f>
        <v/>
      </c>
      <c r="OV65" s="164">
        <f>COUNTIF($NB65:$NC65,"?*")+$OF65</f>
        <v/>
      </c>
      <c r="OW65" s="164">
        <f>IF($MS65=0,0,SUMPRODUCT($OM65:$OR65,INDEX($I$2:$N$8,MAX(1,$MS65),0)))</f>
        <v/>
      </c>
      <c r="OX65" s="164">
        <f>IF($MS65=0,0,$OS65*CEILING($MS65/2,1)+$OT65*$MS65)</f>
        <v/>
      </c>
      <c r="OY65" s="164">
        <f>MIN(2*$MS65,$OX65)</f>
        <v/>
      </c>
      <c r="OZ65" s="164">
        <f>MIN($OY65,$OW65-IF($NS65=0,0,INDEX($I$2:$N$8,MAX(1,$MS65),$NS65)))</f>
        <v/>
      </c>
      <c r="PA65" s="164">
        <f>$OY65-$OZ65</f>
        <v/>
      </c>
      <c r="PB65" s="164">
        <f>IF($MS65=0,0,INDEX($P$2:$P$8,MAX(1,$MS65)))</f>
        <v/>
      </c>
      <c r="PC65" s="164">
        <f>$PB65-$OW65+$OZ65</f>
        <v/>
      </c>
      <c r="PD65" s="164">
        <f>IF($MS65=0,MAX(0,$NG65-IF(AND($OU65&gt;0,COUNTIF($NB65:$NC65,"?*")=0),1,0)),MAX(0,$PC65))</f>
        <v/>
      </c>
      <c r="PE65" s="164">
        <f>IF($MS65=0,0,(IF(COUNTIF($RK65:$RN65,"Salto")&gt;0,1,0)+IF(COUNTIF($RK65:$RN65,"Queima")&gt;0,1,0)+IF(COUNTIF($RK65:$RN65,"Estilhaço")&gt;0,1,0))*FLOOR($PD65/2,1))</f>
        <v/>
      </c>
      <c r="PF65" s="164">
        <f>MAX(0,2-SUMPRODUCT($OM65:$OR65,$I$2:$N$2)+MIN(2,$OS65*1+$OT65*1,SUMPRODUCT($OM65:$OR65,$I$2:$N$2)-IF($NS65=0,0,INDEX($I$2:$N$2,1,$NS65))))</f>
        <v/>
      </c>
      <c r="PG65" s="164">
        <f>MAX(0,4-SUMPRODUCT($OM65:$OR65,$I$3:$N$3)+MIN(4,$OS65*1+$OT65*2,SUMPRODUCT($OM65:$OR65,$I$3:$N$3)-IF($NS65=0,0,INDEX($I$3:$N$3,1,$NS65))))</f>
        <v/>
      </c>
      <c r="PH65" s="164">
        <f>MAX(0,6-SUMPRODUCT($OM65:$OR65,$I$4:$N$4)+MIN(6,$OS65*2+$OT65*3,SUMPRODUCT($OM65:$OR65,$I$4:$N$4)-IF($NS65=0,0,INDEX($I$4:$N$4,1,$NS65))))</f>
        <v/>
      </c>
      <c r="PI65" s="164">
        <f>MAX(0,9-SUMPRODUCT($OM65:$OR65,$I$5:$N$5)+MIN(8,$OS65*2+$OT65*4,SUMPRODUCT($OM65:$OR65,$I$5:$N$5)-IF($NS65=0,0,INDEX($I$5:$N$5,1,$NS65))))</f>
        <v/>
      </c>
      <c r="PJ65" s="164">
        <f>MAX(0,11-SUMPRODUCT($OM65:$OR65,$I$6:$N$6)+MIN(10,$OS65*3+$OT65*5,SUMPRODUCT($OM65:$OR65,$I$6:$N$6)-IF($NS65=0,0,INDEX($I$6:$N$6,1,$NS65))))</f>
        <v/>
      </c>
      <c r="PK65" s="164">
        <f>MAX(0,13-SUMPRODUCT($OM65:$OR65,$I$7:$N$7)+MIN(12,$OS65*3+$OT65*6,SUMPRODUCT($OM65:$OR65,$I$7:$N$7)-IF($NS65=0,0,INDEX($I$7:$N$7,1,$NS65))))</f>
        <v/>
      </c>
      <c r="PL65" s="164">
        <f>MAX(0,16-SUMPRODUCT($OM65:$OR65,$I$8:$N$8)+MIN(14,$OS65*4+$OT65*7,SUMPRODUCT($OM65:$OR65,$I$8:$N$8)-IF($NS65=0,0,INDEX($I$8:$N$8,1,$NS65))))</f>
        <v/>
      </c>
      <c r="PM65" s="164">
        <f>IF($OG65=2,3*$PF65&amp;" de vida temp.",IF($OG65=3,"sem dano",IF($PF65=0,IF($OG65=1,"sem cura","sem dano"),IF($OG65=1,"cura ","")&amp;$PF65&amp;"d8")))</f>
        <v/>
      </c>
      <c r="PN65" s="164">
        <f>IF($OG65=2,3*$PG65&amp;" de vida temp.",IF($OG65=3,"sem dano",IF($PG65=0,IF($OG65=1,"sem cura","sem dano"),IF($OG65=1,"cura ","")&amp;$PG65&amp;"d8")))</f>
        <v/>
      </c>
      <c r="PO65" s="164">
        <f>IF($OG65=2,3*$PH65&amp;" de vida temp.",IF($OG65=3,"sem dano",IF($PH65=0,IF($OG65=1,"sem cura","sem dano"),IF($OG65=1,"cura ","")&amp;$PH65&amp;"d8")))</f>
        <v/>
      </c>
      <c r="PP65" s="164">
        <f>IF($OG65=2,3*$PI65&amp;" de vida temp.",IF($OG65=3,"sem dano",IF($PI65=0,IF($OG65=1,"sem cura","sem dano"),IF($OG65=1,"cura ","")&amp;$PI65&amp;"d8")))</f>
        <v/>
      </c>
      <c r="PQ65" s="164">
        <f>IF($OG65=2,3*$PJ65&amp;" de vida temp.",IF($OG65=3,"sem dano",IF($PJ65=0,IF($OG65=1,"sem cura","sem dano"),IF($OG65=1,"cura ","")&amp;$PJ65&amp;"d8")))</f>
        <v/>
      </c>
      <c r="PR65" s="164">
        <f>IF($OG65=2,3*$PK65&amp;" de vida temp.",IF($OG65=3,"sem dano",IF($PK65=0,IF($OG65=1,"sem cura","sem dano"),IF($OG65=1,"cura ","")&amp;$PK65&amp;"d8")))</f>
        <v/>
      </c>
      <c r="PS65" s="164">
        <f>IF($OG65=2,3*$PL65&amp;" de vida temp.",IF($OG65=3,"sem dano",IF($PL65=0,IF($OG65=1,"sem cura","sem dano"),IF($OG65=1,"cura ","")&amp;$PL65&amp;"d8")))</f>
        <v/>
      </c>
      <c r="PT65" s="164">
        <f>IF($ND65=0,"",TEXTJOIN(" · ",TRUE,IF($ND65=0,"",TEXTJOIN(" · ",TRUE,IF($ND65=0,"",TEXTJOIN(" · ",TRUE,IF($MQ65&gt;$NE65,"Este lugar abre no nível "&amp;$MQ65,""),IF($MS65&gt;$NF65,"Classe "&amp;$MS65&amp;": o nível "&amp;$NE65&amp;" libera até a "&amp;$NF65,""),IF($NX65=1,"A Forma "&amp;$MU65&amp;" pede "&amp;INDEX('DADOS_FORMAS'!$GA$2:$GA$21,$NJ65)&amp;" aberta",""),IF(AND($MS65=0,$NJ65&gt;0,IF($NJ65=0,0,INDEX('DADOS_FORMAS'!$GJ$2:$GJ$21,$NJ65))=0),$MU65&amp;" não existe na Classe 0",""),IF($NY65=1,"Família Fechada: "&amp;$MX65,""),IF($NZ65=1,"Família Fechada: "&amp;$MY65,""),IF($OA65=1,"Família Fechada: "&amp;$MZ65,""),IF($OB65=1,"Família Fechada: "&amp;$NA65,""),IF(AND($MS65&gt;0,$OU65&gt;INDEX($O$2:$O$8,MAX(1,$MS65))),$OU65&amp;" Melhorias: a Classe "&amp;$MS65&amp;" aceita "&amp;INDEX($O$2:$O$8,MAX(1,$MS65)),""),IF(AND($MS65=0,$OU65&gt;1),"A básica aceita uma Melhoria",""),IF(AND($MS65=0,COUNTIF($NO65:$NR65,"&gt;1")&gt;0),"A básica só aceita Melhoria Leve",""),IF(AND($MS65&gt;0,$OV65&gt;2),$OV65&amp;" Restrições"&amp;IF($OF65=1,", contando a que a Forma "&amp;$MU65&amp;" já traz","")&amp;": o limite é 2",""),IF(AND($MS65=0,COUNTIF($NB65:$NC65,"?*")&gt;1),"A básica aceita uma Restrição Leve",""),IF(AND($MS65=0,COUNTIF($OI65:$OJ65,2)&gt;0),"A básica só aceita Restrição Leve",""),IF(AND($MS65&gt;0,$PC65&lt;0),"Orçamento estourado: faltam "&amp;(-$PC65)&amp;IF($PC65&lt;-1," pontos"," ponto"),""),IF(IFERROR(VLOOKUP(SUBSTITUTE(SUBSTITUTE(SUBSTITUTE($NB65,"~","~~"),"*","~*"),"?","~?"),'DADOS_RESTRICOES'!$M$2:$Q$54,4,FALSE),0)+IFERROR(VLOOKUP(SUBSTITUTE(SUBSTITUTE(SUBSTITUTE($NC65,"~","~~"),"*","~*"),"?","~?"),'DADOS_RESTRICOES'!$M$2:$Q$54,4,FALSE),0)&gt;1,$OK65&amp;" e "&amp;$OL65&amp;" são as duas de frequência",""),IF(AND((COUNTIF($RK65:$RN65,"Rápido")+COUNTIF($OK65:$OL65,"Rápido"))&gt;0,(COUNTIF($MX65:$NA65,"Atrasar")+COUNTIF($OK65:$OL65,"Atrasar"))&gt;0),"Rápido não entra com Atrasar",""),IF(AND((COUNTIF($RK65:$RN65,"Reação")+COUNTIF($OK65:$OL65,"Reação"))&gt;0,(COUNTIF($RK65:$RN65,"Rápido")+COUNTIF($OK65:$OL65,"Rápido"))&gt;0),"Reação não entra com Rápido",""),IF(AND((COUNTIF($RK65:$RN65,"Reação")+COUNTIF($OK65:$OL65,"Reação"))&gt;0,(COUNTIF($RK65:$RN65,"Armado")+COUNTIF($OK65:$OL65,"Armado"))&gt;0),"Reação não entra com Armado",""),IF(AND((COUNTIF($RK65:$RN65,"Reação")+COUNTIF($OK65:$OL65,"Reação"))&gt;0,(COUNTIF($MX65:$NA65,"Atrasar")+COUNTIF($OK65:$OL65,"Atrasar"))&gt;0),"Reação não entra com Atrasar",""),IF(AND((COUNTIF($RK65:$RN65,"Reação")+COUNTIF($OK65:$OL65,"Reação"))&gt;0,(COUNTIF($MX65:$NA65,"Parado")+COUNTIF($OK65:$OL65,"Parado"))&gt;0),"Reação não entra com Parado",""),IF(AND((COUNTIF($MX65:$NA65,"Atrasar")+COUNTIF($OK65:$OL65,"Atrasar"))&gt;0,(COUNTIF($MX65:$NA65,"Parado")+COUNTIF($OK65:$OL65,"Parado"))&gt;0),"Atrasar não entra com Parado",""),IF(AND((COUNTIF($RK65:$RN65,"Armado")+COUNTIF($OK65:$OL65,"Armado"))&gt;0,(COUNTIF($MX65:$NA65,"Carregar")+COUNTIF($OK65:$OL65,"Carregar"))&gt;0),"Armado não entra com Carregar",""),IF(AND(COUNTIF($OK65:$OL65,"Corpo a Corpo")&gt;0,$OF65=0,OR($RO65="Cone",$RO65="Linha")),"Corpo a Corpo não entra em "&amp;$MU65,""),IF(AND(COUNTIF($OK65:$OL65,"Corpo a Corpo")&gt;0,$RP65="Corpo a Corpo"),"A Forma "&amp;$MU65&amp;" já traz o Corpo a Corpo",""),IF(AND(COUNTIF($OK65:$OL65,"Tudo ou Nada")&gt;0,$OH65=0),"Tudo ou Nada só entra em habilidade de Teste de Resistência",""),IF(AND(COUNTIF($RK65:$RN65,"Inescapável")&gt;0,OR($OU65&gt;1,$OV65&gt;0)),"Inescapável não aceita outra peça",""),IF(AND($MS65&gt;0,$PD65*IF(COUNTIF($RK65:$RN65,"Remate")&gt;0,1.25,1)+$PE65&gt;4*$MS65),($PD65*IF(COUNTIF($RK65:$RN65,"Remate")&gt;0,1.25,1)+$PE65)&amp;" dados somando repetições"&amp;IF(COUNTIF($RK65:$RN65,"Remate")&gt;0," e o Remate","")&amp;": o teto da Classe "&amp;$MS65&amp;" é "&amp;4*$MS65,""))),IF(AND($MX65&lt;&gt;"",COUNTIF('DADOS_MELHORIAS'!$O$2:$O$113,SUBSTITUTE(SUBSTITUTE(SUBSTITUTE($MX65,"~","~~"),"*","~*"),"?","~?"))=0),"Melhoria não cadastrada ou com erro: "&amp;$MX65,""),IF(AND($MY65&lt;&gt;"",COUNTIF('DADOS_MELHORIAS'!$O$2:$O$113,SUBSTITUTE(SUBSTITUTE(SUBSTITUTE($MY65,"~","~~"),"*","~*"),"?","~?"))=0),"Melhoria não cadastrada ou com erro: "&amp;$MY65,""),IF(AND($MZ65&lt;&gt;"",COUNTIF('DADOS_MELHORIAS'!$O$2:$O$113,SUBSTITUTE(SUBSTITUTE(SUBSTITUTE($MZ65,"~","~~"),"*","~*"),"?","~?"))=0),"Melhoria não cadastrada ou com erro: "&amp;$MZ65,""),IF(AND($NA65&lt;&gt;"",COUNTIF('DADOS_MELHORIAS'!$O$2:$O$113,SUBSTITUTE(SUBSTITUTE(SUBSTITUTE($NA65,"~","~~"),"*","~*"),"?","~?"))=0),"Melhoria não cadastrada ou com erro: "&amp;$NA65,""),IF(AND($NB65&lt;&gt;"",COUNTIF('DADOS_RESTRICOES'!$M$2:$M$54,SUBSTITUTE(SUBSTITUTE(SUBSTITUTE($NB65,"~","~~"),"*","~*"),"?","~?"))=0),"Restrição não cadastrada ou com erro: "&amp;$NB65,""),IF(AND($NC65&lt;&gt;"",COUNTIF('DADOS_RESTRICOES'!$M$2:$M$54,SUBSTITUTE(SUBSTITUTE(SUBSTITUTE($NC65,"~","~~"),"*","~*"),"?","~?"))=0),"Restrição não cadastrada ou com erro: "&amp;$NC65,""))),IF(AND($MU65&lt;&gt;"",COUNTIF('DADOS_FORMAS'!$AH$2:$AH$21,SUBSTITUTE(SUBSTITUTE(SUBSTITUTE($MU65,"~","~~"),"*","~*"),"?","~?"))=0),"Forma não cadastrada ou com erro: "&amp;$MU65,""),IF(AND(IFERROR(INDEX('DADOS_FORMAS'!$AS$2:$AS$21,MATCH(SUBSTITUTE(SUBSTITUTE(SUBSTITUTE($MU65,"~","~~"),"*","~*"),"?","~?"),'DADOS_FORMAS'!$AH$2:$AH$21,0)),"")&lt;&gt;"",OR(IFERROR(VLOOKUP(SUBSTITUTE(SUBSTITUTE(SUBSTITUTE(IFERROR(INDEX('DADOS_FORMAS'!$AS$2:$AS$21,MATCH(SUBSTITUTE(SUBSTITUTE(SUBSTITUTE($MU65,"~","~~"),"*","~*"),"?","~?"),'DADOS_FORMAS'!$AH$2:$AH$21,0)),""),"~","~~"),"*","~*"),"?","~?"),'DADOS_RESTRICOES'!$M$2:$Q$54,2,FALSE),"")=$OK65,IFERROR(VLOOKUP(SUBSTITUTE(SUBSTITUTE(SUBSTITUTE(IFERROR(INDEX('DADOS_FORMAS'!$AS$2:$AS$21,MATCH(SUBSTITUTE(SUBSTITUTE(SUBSTITUTE($MU65,"~","~~"),"*","~*"),"?","~?"),'DADOS_FORMAS'!$AH$2:$AH$21,0)),""),"~","~~"),"*","~*"),"?","~?"),'DADOS_RESTRICOES'!$M$2:$Q$54,2,FALSE),"")=$OL65)),"Restrição repetida, contando a embutida",""),IF(IF(IFERROR(INDEX('DADOS_FORMAS'!$AS$2:$AS$21,MATCH(SUBSTITUTE(SUBSTITUTE(SUBSTITUTE($MU65,"~","~~"),"*","~*"),"?","~?"),'DADOS_FORMAS'!$AH$2:$AH$21,0)),"")="",0,IFERROR(N(VLOOKUP(SUBSTITUTE(SUBSTITUTE(SUBSTITUTE(IFERROR(INDEX('DADOS_FORMAS'!$AS$2:$AS$21,MATCH(SUBSTITUTE(SUBSTITUTE(SUBSTITUTE($MU65,"~","~~"),"*","~*"),"?","~?"),'DADOS_FORMAS'!$AH$2:$AH$21,0)),""),"~","~~"),"*","~*"),"?","~?"),'DADOS_RESTRICOES'!$M$2:$Q$54,4,FALSE)=1),0))+IF($NB65="",0,IFERROR(N(VLOOKUP(SUBSTITUTE(SUBSTITUTE(SUBSTITUTE($NB65,"~","~~"),"*","~*"),"?","~?"),'DADOS_RESTRICOES'!$M$2:$Q$54,4,FALSE)=1),0))+IF($NC65="",0,IFERROR(N(VLOOKUP(SUBSTITUTE(SUBSTITUTE(SUBSTITUTE($NC65,"~","~~"),"*","~*"),"?","~?"),'DADOS_RESTRICOES'!$M$2:$Q$54,4,FALSE)=1),0))&gt;1,"Duas Restrições de frequência, contando a embutida",""),IF(AND(IFERROR(VLOOKUP(SUBSTITUTE(SUBSTITUTE(SUBSTITUTE(IFERROR(INDEX('DADOS_FORMAS'!$AS$2:$AS$21,MATCH(SUBSTITUTE(SUBSTITUTE(SUBSTITUTE($MU65,"~","~~"),"*","~*"),"?","~?"),'DADOS_FORMAS'!$AH$2:$AH$21,0)),""),"~","~~"),"*","~*"),"?","~?"),'DADOS_RESTRICOES'!$M$2:$Q$54,2,FALSE),"")="Tudo ou Nada",$OH65=0),"Tudo ou Nada exige TR",""),IF(AND(IFERROR(VLOOKUP(SUBSTITUTE(SUBSTITUTE(SUBSTITUTE(IFERROR(INDEX('DADOS_FORMAS'!$AS$2:$AS$21,MATCH(SUBSTITUTE(SUBSTITUTE(SUBSTITUTE($MU65,"~","~~"),"*","~*"),"?","~?"),'DADOS_FORMAS'!$AH$2:$AH$21,0)),""),"~","~~"),"*","~*"),"?","~?"),'DADOS_RESTRICOES'!$M$2:$Q$54,2,FALSE),"")="Corpo a Corpo",OR($RO65="Cone",$RO65="Linha")),"Corpo a Corpo não entra em Cone/Linha","")))</f>
        <v/>
      </c>
      <c r="PU65" s="164">
        <f>IF($PT65="",0,(LEN($PT65)-LEN(SUBSTITUTE($PT65," · ","")))/3+1)</f>
        <v/>
      </c>
      <c r="PV65" s="164">
        <f>IF($ND65=0,"",TEXTJOIN(" · ",TRUE,IF($OX65&gt;2*$MS65,"A devolução parou no teto de "&amp;2*$MS65,""),IF($PA65&gt;0,"Devolução perdida: "&amp;$PA65&amp;IF($PA65&gt;1," pontos"," ponto")&amp;" sem Melhoria para pagar",""),IF(AND($OC65&gt;0,AND($MS65&gt;0,$OG65=0),$PD65=0),"Controle sem dano: uma rodada a mais e CD +2",""),IF(AND($OC65&gt;0,AND($MS65&gt;0,$OG65=0),$PD65&gt;0,$PD65&lt;=$MS65),"Controle com saldo até a Classe: uma rodada a mais",""),IF(AND($MS65&gt;0,$OE65&lt;&gt;""),"Efeito de "&amp;$OE65&amp;" pela Classe "&amp;MAX(1,$MS65-1),"")))</f>
        <v/>
      </c>
      <c r="PW65" s="164">
        <f>IF($PV65="",0,(LEN($PV65)-LEN(SUBSTITUTE($PV65," · ","")))/3+1)</f>
        <v/>
      </c>
      <c r="PX65" s="164">
        <f>IF($ND65=0,IF($OU65+COUNTIF($NB65:$NC65,"?*")&gt;0,"Dê um nome",""),IF($PU65&gt;0,"⚠ "&amp;$PU65&amp;IF($PU65&gt;1," erros"," erro"),IF($PW65&gt;0,"! "&amp;$PW65&amp;IF($PW65&gt;1," avisos"," aviso"),"Na regra")))</f>
        <v/>
      </c>
      <c r="PY65" s="164">
        <f>IF($ND65=0,"",IF($PU65+$PW65=0,"Dentro das regras que a ficha confere",$PT65&amp;IF(AND($PU65&gt;0,$PW65&gt;0)," · ","")&amp;$PV65))</f>
        <v/>
      </c>
      <c r="PZ65" s="164">
        <f>IF($MQ65&gt;$NE65,$MR65&amp;" · ABRE NO NÍVEL "&amp;$MQ65,$MR65)</f>
        <v/>
      </c>
      <c r="QA65" s="164">
        <f>IF($ND65=0,"",IF($MS65=0,"Sem PE",3*$MS65&amp;" PE"))</f>
        <v/>
      </c>
      <c r="QB65" s="164">
        <f>IF($ND65=0,"",IF($MS65=0,"A atuação básica dela",IF(COUNTIF($RQ65:$RS65,"Atrasar")&gt;0,"Sua Ação Completa",IF(COUNTIF($RK65:$RN65,"Rápido")&gt;0,"Sua Bônus",IF(COUNTIF($RK65:$RN65,"Reação")&gt;0,"Sua Reação","Sua Padrão")))&amp;" + a básica dela"&amp;IF(COUNTIF($RK65:$RN65,"Reação")&gt;0," e a coletiva","")&amp;IF(COUNTIF($RQ65:$RS65,"Carregar")&gt;0," · em dois turnos","")))</f>
        <v/>
      </c>
      <c r="QC65" s="164">
        <f>IF($MW65&lt;&gt;"",$MW65,IF($NJ65=0,"",INDEX('DADOS_FORMAS'!$GE$2:$GE$21,$NJ65)))</f>
        <v/>
      </c>
      <c r="QD65" s="164">
        <f>IF(OR($ND65=0,$NJ65=0),"",IF(COUNTIF($RK65:$RN65,"Inescapável")&gt;0,"Automático",IF($QC65="Ataque",IF($NH65="","Ataque","Ataque "&amp;IF(($NH65+2*IF(COUNTIF($RK65:$RN65,"Precisão")&gt;0,1,0))&gt;=0,"+","−")&amp;ABS(($NH65+2*IF(COUNTIF($RK65:$RN65,"Precisão")&gt;0,1,0))))&amp;IF($OD65&gt;0," · TR"&amp;IF($NI65="",""," CD "&amp;$NI65),""),IF(LEFT($QC65,2)="TR",$QC65&amp;IF($NI65="",""," · CD "&amp;$NI65)&amp;IF(COUNTIF($RK65:$RN65,"Certeiro")&gt;0," · metade",""),"Sem rolagem"))))</f>
        <v/>
      </c>
      <c r="QE65" s="164">
        <f>IF(OR($ND65=0,$NJ65=0),"",IF($MS65=0,IF(OR($OG65&gt;=1,$PD65=0),"Sem dano",$PD65&amp;"d6"&amp;IF($MV65="",""," "&amp;$MV65)),IF(OR($OG65&gt;=1,$PD65=0),UPPER(LEFT(INDEX($PM65:$PS65,1,MAX(1,$MS65)),1))&amp;MID(INDEX($PM65:$PS65,1,MAX(1,$MS65)),2,99),UPPER(LEFT(INDEX($PM65:$PS65,1,MAX(1,$MS65)),1))&amp;MID(INDEX($PM65:$PS65,1,MAX(1,$MS65)),2,99)&amp;IF($MV65="",""," "&amp;$MV65)&amp;IF($PE65&gt;0," · +"&amp;$PE65&amp;"d8",""))))</f>
        <v/>
      </c>
      <c r="QF65" s="164">
        <f>COUNTIF($RK65:$RN65,"Longe")+3*COUNTIF($RK65:$RN65,"Muito Longe")</f>
        <v/>
      </c>
      <c r="QG65" s="164">
        <f>COUNTIF($RK65:$RN65,"Maior")+3*COUNTIF($RK65:$RN65,"Muito Maior")</f>
        <v/>
      </c>
      <c r="QH65" s="164">
        <f>IF($NJ65=0,0,CHOOSE(1+INDEX('DADOS_FORMAS'!$GG$2:$GG$21,$NJ65),0,$QF65,$QG65,$QF65+$QG65))</f>
        <v/>
      </c>
      <c r="QI65" s="164">
        <f>IF($NJ65=0,0,CHOOSE(1+INDEX('DADOS_FORMAS'!$GH$2:$GH$21,$NJ65),0,$QF65,$QG65,$QF65+$QG65))</f>
        <v/>
      </c>
      <c r="QJ65" s="164">
        <f>IF(OR($ND65=0,$NJ65=0),"",INDEX('DADOS_FORMAS'!$HU$2:$HZ$81,($NJ65-1)*4+IF($MS65=0,1,IF($MS65&lt;=5,2,IF($MS65=6,3,4))),1+MIN(5,$QH65))&amp;INDEX('DADOS_FORMAS'!$IA$2:$IF$81,($NJ65-1)*4+IF($MS65=0,1,IF($MS65&lt;=5,2,IF($MS65=6,3,4))),1+MIN(5,$QI65))&amp;IF(INDEX('DADOS_FORMAS'!$GI$2:$GI$21,$NJ65)=1,IF(COUNTIF($RK65:$RN65,"Mais Um")&gt;0," · +"&amp;COUNTIF($RK65:$RN65,"Mais Um")&amp;IF(COUNTIF($RK65:$RN65,"Mais Um")&gt;1," alvos"," alvo"),"")&amp;IF(COUNTIF($RK65:$RN65,"Rajada")&gt;0,IF($MS65=0," · 1 tiro"," · "&amp;(MAX(1,$MS65-1)+1)&amp;" tiros"),""),""))</f>
        <v/>
      </c>
      <c r="QK65" s="164">
        <f>IF($ND65=0,"",IF($MS65=0,$NG65&amp;"d6"&amp;IF($OU65&gt;0," − 1 = "&amp;$PD65&amp;"d6"," da básica do nível "&amp;$NE65),$PB65&amp;" − "&amp;$OW65&amp;" + "&amp;$OZ65&amp;" = "&amp;$PC65&amp;" · teto "&amp;4*$MS65&amp;"d8"&amp;IF($OF65=1," · a Forma devolve "&amp;$MS65,"")&amp;IF($PA65&gt;0," · perde "&amp;$PA65,"")))</f>
        <v/>
      </c>
      <c r="QL65" s="164">
        <f>IF($ND65=0,"",IF($MS65=0,"A básica não amplia: os dados dela sobem com o nível",IF($MS65&gt;=$NF65,"Já está na maior Classe que o nível liberou",TEXTJOIN(" · ",TRUE,IF(AND(2&gt;$MS65,2&lt;=$NF65),"2 → "&amp;$PN65&amp;", 6 PE",""),IF(AND(3&gt;$MS65,3&lt;=$NF65),"3 → "&amp;$PO65&amp;", 9 PE",""),IF(AND(4&gt;$MS65,4&lt;=$NF65),"4 → "&amp;$PP65&amp;", 12 PE",""),IF(AND(5&gt;$MS65,5&lt;=$NF65),"5 → "&amp;$PQ65&amp;", 15 PE",""),IF(AND(6&gt;$MS65,6&lt;=$NF65),"6 → "&amp;$PR65&amp;", 18 PE",""),IF(AND(7&gt;$MS65,7&lt;=$NF65),"7 → "&amp;$PS65&amp;", 21 PE","")))))</f>
        <v/>
      </c>
      <c r="QM65" s="164">
        <f>IF(OR($ND65=0,$NO65=0),"",IF($MS65=0,"−1 dado","−"&amp;INDEX($I$2:$N$8,MAX(1,$MS65),MAX(1,$NT65))&amp;" · "&amp;CHOOSE(MAX(1,$NT65),"Leve","Média","Pesada","Leve · Livre","Média · Livre","Pesada · Livre")))</f>
        <v/>
      </c>
      <c r="QN65" s="164">
        <f>IF(OR($ND65=0,$NP65=0),"",IF($MS65=0,"−1 dado","−"&amp;INDEX($I$2:$N$8,MAX(1,$MS65),MAX(1,$NU65))&amp;" · "&amp;CHOOSE(MAX(1,$NU65),"Leve","Média","Pesada","Leve · Livre","Média · Livre","Pesada · Livre")))</f>
        <v/>
      </c>
      <c r="QO65" s="164">
        <f>IF(OR($ND65=0,$NQ65=0),"",IF($MS65=0,"−1 dado","−"&amp;INDEX($I$2:$N$8,MAX(1,$MS65),MAX(1,$NV65))&amp;" · "&amp;CHOOSE(MAX(1,$NV65),"Leve","Média","Pesada","Leve · Livre","Média · Livre","Pesada · Livre")))</f>
        <v/>
      </c>
      <c r="QP65" s="164">
        <f>IF(OR($ND65=0,$NR65=0),"",IF($MS65=0,"−1 dado","−"&amp;INDEX($I$2:$N$8,MAX(1,$MS65),MAX(1,$NW65))&amp;" · "&amp;CHOOSE(MAX(1,$NW65),"Leve","Média","Pesada","Leve · Livre","Média · Livre","Pesada · Livre")))</f>
        <v/>
      </c>
      <c r="QQ65" s="164">
        <f>IF(OR($ND65=0,$NB65=""),"",IF($MS65=0,"não devolve","+"&amp;IF($OI65=1,CEILING($MS65/2,1),$MS65)))</f>
        <v/>
      </c>
      <c r="QR65" s="164">
        <f>IF(OR($ND65=0,$NC65=""),"",IF($MS65=0,"não devolve","+"&amp;IF($OJ65=1,CEILING($MS65/2,1),$MS65)))</f>
        <v/>
      </c>
      <c r="RK65">
        <f>IF($MX65="","",IFERROR(VLOOKUP(SUBSTITUTE(SUBSTITUTE(SUBSTITUTE($MX65,"~","~~"),"*","~*"),"?","~?"),'DADOS_MELHORIAS'!$O$2:$X$113,10,FALSE),$MX65))</f>
        <v/>
      </c>
      <c r="RL65">
        <f>IF($MY65="","",IFERROR(VLOOKUP(SUBSTITUTE(SUBSTITUTE(SUBSTITUTE($MY65,"~","~~"),"*","~*"),"?","~?"),'DADOS_MELHORIAS'!$O$2:$X$113,10,FALSE),$MY65))</f>
        <v/>
      </c>
      <c r="RM65">
        <f>IF($MZ65="","",IFERROR(VLOOKUP(SUBSTITUTE(SUBSTITUTE(SUBSTITUTE($MZ65,"~","~~"),"*","~*"),"?","~?"),'DADOS_MELHORIAS'!$O$2:$X$113,10,FALSE),$MZ65))</f>
        <v/>
      </c>
      <c r="RN65">
        <f>IF($NA65="","",IFERROR(VLOOKUP(SUBSTITUTE(SUBSTITUTE(SUBSTITUTE($NA65,"~","~~"),"*","~*"),"?","~?"),'DADOS_MELHORIAS'!$O$2:$X$113,10,FALSE),$NA65))</f>
        <v/>
      </c>
      <c r="RO65">
        <f>IFERROR(INDEX('DADOS_FORMAS'!$BJ$2:$BJ$21,MATCH(SUBSTITUTE(SUBSTITUTE(SUBSTITUTE($MU65,"~","~~"),"*","~*"),"?","~?"),'DADOS_FORMAS'!$AH$2:$AH$21,0)),"")</f>
        <v/>
      </c>
      <c r="RP65">
        <f>IFERROR(VLOOKUP(SUBSTITUTE(SUBSTITUTE(SUBSTITUTE(IFERROR(INDEX('DADOS_FORMAS'!$AS$2:$AS$21,MATCH(SUBSTITUTE(SUBSTITUTE(SUBSTITUTE($MU65,"~","~~"),"*","~*"),"?","~?"),'DADOS_FORMAS'!$AH$2:$AH$21,0)),""),"~","~~"),"*","~*"),"?","~?"),'DADOS_RESTRICOES'!$M$2:$Q$54,2,FALSE),"")</f>
        <v/>
      </c>
      <c r="RQ65">
        <f>$OK65</f>
        <v/>
      </c>
      <c r="RR65">
        <f>$OL65</f>
        <v/>
      </c>
      <c r="RS65">
        <f>$RP65</f>
        <v/>
      </c>
    </row>
    <row r="66">
      <c r="AV66" s="162" t="inlineStr">
        <is>
          <t>Duradoura</t>
        </is>
      </c>
      <c r="AW66" s="162" t="inlineStr">
        <is>
          <t>Tempo</t>
        </is>
      </c>
      <c r="AX66" s="164" t="n">
        <v>2</v>
      </c>
      <c r="AY66" s="164" t="n">
        <v>0</v>
      </c>
      <c r="AZ66" s="164" t="n">
        <v>0</v>
      </c>
      <c r="BA66" s="164" t="n">
        <v>0</v>
      </c>
      <c r="JT66" s="164">
        <f>IF(OR($AW66="",(COUNTIF($EL$2:$EP$2,$AW66)+COUNTIF($QV$2:$QY$2,$AW66))&gt;0),$AV66,"")</f>
        <v/>
      </c>
      <c r="JU66" s="164">
        <f>IF(AND($AX66=1,OR($AW66="",(COUNTIF($EL$2:$EP$2,$AW66)+COUNTIF($QV$2:$QY$2,$AW66))&gt;0)),$AV66,"")</f>
        <v/>
      </c>
      <c r="JZ66" s="164">
        <f>IF(OR($AW66="",(COUNTIF($EL$3:$EP$3,$AW66)+COUNTIF($QV$3:$QY$3,$AW66))&gt;0),$AV66,"")</f>
        <v/>
      </c>
      <c r="KA66" s="164">
        <f>IF(AND($AX66=1,OR($AW66="",(COUNTIF($EL$3:$EP$3,$AW66)+COUNTIF($QV$3:$QY$3,$AW66))&gt;0)),$AV66,"")</f>
        <v/>
      </c>
      <c r="KF66" s="164">
        <f>IF(OR($AW66="",(COUNTIF($EL$4:$EP$4,$AW66)+COUNTIF($QV$4:$QY$4,$AW66))&gt;0),$AV66,"")</f>
        <v/>
      </c>
      <c r="KG66" s="164">
        <f>IF(AND($AX66=1,OR($AW66="",(COUNTIF($EL$4:$EP$4,$AW66)+COUNTIF($QV$4:$QY$4,$AW66))&gt;0)),$AV66,"")</f>
        <v/>
      </c>
      <c r="KL66" s="164">
        <f>IF(OR($AW66="",(COUNTIF($EL$5:$EP$5,$AW66)+COUNTIF($QV$5:$QY$5,$AW66))&gt;0),$AV66,"")</f>
        <v/>
      </c>
      <c r="KM66" s="164">
        <f>IF(AND($AX66=1,OR($AW66="",(COUNTIF($EL$5:$EP$5,$AW66)+COUNTIF($QV$5:$QY$5,$AW66))&gt;0)),$AV66,"")</f>
        <v/>
      </c>
      <c r="KR66" s="164">
        <f>IF(OR($AW66="",(COUNTIF($EL$6:$EP$6,$AW66)+COUNTIF($QV$6:$QY$6,$AW66))&gt;0),$AV66,"")</f>
        <v/>
      </c>
      <c r="KS66" s="164">
        <f>IF(AND($AX66=1,OR($AW66="",(COUNTIF($EL$6:$EP$6,$AW66)+COUNTIF($QV$6:$QY$6,$AW66))&gt;0)),$AV66,"")</f>
        <v/>
      </c>
      <c r="KX66" s="164">
        <f>IF(OR($AW66="",(COUNTIF($EL$7:$EP$7,$AW66)+COUNTIF($QV$7:$QY$7,$AW66))&gt;0),$AV66,"")</f>
        <v/>
      </c>
      <c r="KY66" s="164">
        <f>IF(AND($AX66=1,OR($AW66="",(COUNTIF($EL$7:$EP$7,$AW66)+COUNTIF($QV$7:$QY$7,$AW66))&gt;0)),$AV66,"")</f>
        <v/>
      </c>
      <c r="LD66" s="164">
        <f>IF(OR($AW66="",(COUNTIF($EL$8:$EP$8,$AW66)+COUNTIF($QV$8:$QY$8,$AW66))&gt;0),$AV66,"")</f>
        <v/>
      </c>
      <c r="LE66" s="164">
        <f>IF(AND($AX66=1,OR($AW66="",(COUNTIF($EL$8:$EP$8,$AW66)+COUNTIF($QV$8:$QY$8,$AW66))&gt;0)),$AV66,"")</f>
        <v/>
      </c>
      <c r="LJ66" s="164">
        <f>IF(OR($AW66="",(COUNTIF($EL$9:$EP$9,$AW66)+COUNTIF($QV$9:$QY$9,$AW66))&gt;0),$AV66,"")</f>
        <v/>
      </c>
      <c r="LK66" s="164">
        <f>IF(AND($AX66=1,OR($AW66="",(COUNTIF($EL$9:$EP$9,$AW66)+COUNTIF($QV$9:$QY$9,$AW66))&gt;0)),$AV66,"")</f>
        <v/>
      </c>
      <c r="LP66" s="164">
        <f>IF(OR($AW66="",(COUNTIF($EL$10:$EP$10,$AW66)+COUNTIF($QV$10:$QY$10,$AW66))&gt;0),$AV66,"")</f>
        <v/>
      </c>
      <c r="LQ66" s="164">
        <f>IF(AND($AX66=1,OR($AW66="",(COUNTIF($EL$10:$EP$10,$AW66)+COUNTIF($QV$10:$QY$10,$AW66))&gt;0)),$AV66,"")</f>
        <v/>
      </c>
      <c r="LV66" s="164">
        <f>IF(OR($AW66="",(COUNTIF($EL$11:$EP$11,$AW66)+COUNTIF($QV$11:$QY$11,$AW66))&gt;0),$AV66,"")</f>
        <v/>
      </c>
      <c r="LW66" s="164">
        <f>IF(AND($AX66=1,OR($AW66="",(COUNTIF($EL$11:$EP$11,$AW66)+COUNTIF($QV$11:$QY$11,$AW66))&gt;0)),$AV66,"")</f>
        <v/>
      </c>
      <c r="MB66" s="164">
        <f>IF(OR($AW66="",(COUNTIF($EL$12:$EP$12,$AW66)+COUNTIF($QV$12:$QY$12,$AW66))&gt;0),$AV66,"")</f>
        <v/>
      </c>
      <c r="MC66" s="164">
        <f>IF(AND($AX66=1,OR($AW66="",(COUNTIF($EL$12:$EP$12,$AW66)+COUNTIF($QV$12:$QY$12,$AW66))&gt;0)),$AV66,"")</f>
        <v/>
      </c>
      <c r="MH66" s="164">
        <f>IF(OR($AW66="",(COUNTIF($EL$13:$EP$13,$AW66)+COUNTIF($QV$13:$QY$13,$AW66))&gt;0),$AV66,"")</f>
        <v/>
      </c>
      <c r="MI66" s="164">
        <f>IF(AND($AX66=1,OR($AW66="",(COUNTIF($EL$13:$EP$13,$AW66)+COUNTIF($QV$13:$QY$13,$AW66))&gt;0)),$AV66,"")</f>
        <v/>
      </c>
      <c r="MN66" s="162" t="inlineStr">
        <is>
          <t>Ficha 5 · Escolha da trilha 3</t>
        </is>
      </c>
      <c r="MO66" s="164" t="n">
        <v>5</v>
      </c>
      <c r="MP66" s="164" t="n">
        <v>2</v>
      </c>
      <c r="MQ66" s="164" t="n">
        <v>0</v>
      </c>
      <c r="MR66" s="162" t="inlineStr">
        <is>
          <t>ESCOLHA DA TRILHA 3</t>
        </is>
      </c>
      <c r="MS66" s="164">
        <f>MAX(0,MIN(7,N('INVOCAÇÕES'!$U$1017)))</f>
        <v/>
      </c>
      <c r="MT66" s="164">
        <f>'INVOCAÇÕES'!$V$1017&amp;""</f>
        <v/>
      </c>
      <c r="MU66" s="164">
        <f>'INVOCAÇÕES'!$U$1022&amp;""</f>
        <v/>
      </c>
      <c r="MV66" s="164">
        <f>'INVOCAÇÕES'!$U$1023&amp;""</f>
        <v/>
      </c>
      <c r="MW66" s="164">
        <f>'INVOCAÇÕES'!$W$1023&amp;""</f>
        <v/>
      </c>
      <c r="MX66" s="164">
        <f>'INVOCAÇÕES'!$V$1026&amp;""</f>
        <v/>
      </c>
      <c r="MY66" s="164">
        <f>'INVOCAÇÕES'!$V$1027&amp;""</f>
        <v/>
      </c>
      <c r="MZ66" s="164">
        <f>'INVOCAÇÕES'!$V$1028&amp;""</f>
        <v/>
      </c>
      <c r="NA66" s="164">
        <f>'INVOCAÇÕES'!$V$1029&amp;""</f>
        <v/>
      </c>
      <c r="NB66" s="164">
        <f>'INVOCAÇÕES'!$V$1030&amp;""</f>
        <v/>
      </c>
      <c r="NC66" s="164">
        <f>'INVOCAÇÕES'!$V$1031&amp;""</f>
        <v/>
      </c>
      <c r="ND66" s="164">
        <f>IF($MT66&lt;&gt;"",1,0)</f>
        <v/>
      </c>
      <c r="NE66" s="164">
        <f>INDEX($FO$2:$FO$13,$MO66)</f>
        <v/>
      </c>
      <c r="NF66" s="164">
        <f>INDEX($FP$2:$FP$13,$MO66)</f>
        <v/>
      </c>
      <c r="NG66" s="164">
        <f>INDEX($FQ$2:$FQ$13,$MO66)</f>
        <v/>
      </c>
      <c r="NH66" s="164">
        <f>INDEX($GB$2:$GB$13,$MO66)</f>
        <v/>
      </c>
      <c r="NI66" s="164">
        <f>INDEX($GC$2:$GC$13,$MO66)</f>
        <v/>
      </c>
      <c r="NJ66" s="164">
        <f>IFERROR(MATCH(SUBSTITUTE(SUBSTITUTE(SUBSTITUTE($MU66,"~","~~"),"*","~*"),"?","~?"),'DADOS_FORMAS'!$FZ$2:$FZ$21,0),0)</f>
        <v/>
      </c>
      <c r="NK66" s="164">
        <f>IFERROR(VLOOKUP(SUBSTITUTE(SUBSTITUTE(SUBSTITUTE($MX66,"~","~~"),"*","~*"),"?","~?"),'DADOS_MELHORIAS'!$AG$2:$AL$113,2,FALSE),"")</f>
        <v/>
      </c>
      <c r="NL66" s="164">
        <f>IFERROR(VLOOKUP(SUBSTITUTE(SUBSTITUTE(SUBSTITUTE($MY66,"~","~~"),"*","~*"),"?","~?"),'DADOS_MELHORIAS'!$AG$2:$AL$113,2,FALSE),"")</f>
        <v/>
      </c>
      <c r="NM66" s="164">
        <f>IFERROR(VLOOKUP(SUBSTITUTE(SUBSTITUTE(SUBSTITUTE($MZ66,"~","~~"),"*","~*"),"?","~?"),'DADOS_MELHORIAS'!$AG$2:$AL$113,2,FALSE),"")</f>
        <v/>
      </c>
      <c r="NN66" s="164">
        <f>IFERROR(VLOOKUP(SUBSTITUTE(SUBSTITUTE(SUBSTITUTE($NA66,"~","~~"),"*","~*"),"?","~?"),'DADOS_MELHORIAS'!$AG$2:$AL$113,2,FALSE),"")</f>
        <v/>
      </c>
      <c r="NO66" s="164">
        <f>IFERROR(VLOOKUP(SUBSTITUTE(SUBSTITUTE(SUBSTITUTE($MX66,"~","~~"),"*","~*"),"?","~?"),'DADOS_MELHORIAS'!$AG$2:$AL$113,3,FALSE),0)</f>
        <v/>
      </c>
      <c r="NP66" s="164">
        <f>IFERROR(VLOOKUP(SUBSTITUTE(SUBSTITUTE(SUBSTITUTE($MY66,"~","~~"),"*","~*"),"?","~?"),'DADOS_MELHORIAS'!$AG$2:$AL$113,3,FALSE),0)</f>
        <v/>
      </c>
      <c r="NQ66" s="164">
        <f>IFERROR(VLOOKUP(SUBSTITUTE(SUBSTITUTE(SUBSTITUTE($MZ66,"~","~~"),"*","~*"),"?","~?"),'DADOS_MELHORIAS'!$AG$2:$AL$113,3,FALSE),0)</f>
        <v/>
      </c>
      <c r="NR66" s="164">
        <f>IFERROR(VLOOKUP(SUBSTITUTE(SUBSTITUTE(SUBSTITUTE($NA66,"~","~~"),"*","~*"),"?","~?"),'DADOS_MELHORIAS'!$AG$2:$AL$113,3,FALSE),0)</f>
        <v/>
      </c>
      <c r="NS66" s="164">
        <f>IF($MS66=0,0,IF($NJ66=0,0,INDEX('DADOS_FORMAS'!$GB$2:$GB$21,$NJ66)))</f>
        <v/>
      </c>
      <c r="NT66" s="164">
        <f>IF(OR($NO66=0,$MS66=0),0,$NO66+3*IF(AND($NK66&lt;&gt;"",COUNTIF(INDEX($RB$2:$RJ$13,$MO66,0),$NK66)&gt;0),1,0))</f>
        <v/>
      </c>
      <c r="NU66" s="164">
        <f>IF(OR($NP66=0,$MS66=0),0,$NP66+3*IF(AND($NL66&lt;&gt;"",COUNTIF(INDEX($RB$2:$RJ$13,$MO66,0),$NL66)&gt;0),1,0))</f>
        <v/>
      </c>
      <c r="NV66" s="164">
        <f>IF(OR($NQ66=0,$MS66=0),0,$NQ66+3*IF(AND($NM66&lt;&gt;"",COUNTIF(INDEX($RB$2:$RJ$13,$MO66,0),$NM66)&gt;0),1,0))</f>
        <v/>
      </c>
      <c r="NW66" s="164">
        <f>IF(OR($NR66=0,$MS66=0),0,$NR66+3*IF(AND($NN66&lt;&gt;"",COUNTIF(INDEX($RB$2:$RJ$13,$MO66,0),$NN66)&gt;0),1,0))</f>
        <v/>
      </c>
      <c r="NX66" s="164">
        <f>IF($NJ66=0,0,IF(INDEX('DADOS_FORMAS'!$GA$2:$GA$21,$NJ66)="",0,IF((COUNTIF(INDEX($EL$2:$EP$13,$MO66,0),INDEX('DADOS_FORMAS'!$GA$2:$GA$21,$NJ66))+COUNTIF(INDEX($QV$2:$QY$13,$MO66,0),INDEX('DADOS_FORMAS'!$GA$2:$GA$21,$NJ66)))=0,1,0)))</f>
        <v/>
      </c>
      <c r="NY66" s="164">
        <f>IF(OR($NO66=0,$NK66=""),0,IF((COUNTIF(INDEX($EL$2:$EP$13,$MO66,0),$NK66)+COUNTIF(INDEX($QV$2:$QY$13,$MO66,0),$NK66))=0,1,0))</f>
        <v/>
      </c>
      <c r="NZ66" s="164">
        <f>IF(OR($NP66=0,$NL66=""),0,IF((COUNTIF(INDEX($EL$2:$EP$13,$MO66,0),$NL66)+COUNTIF(INDEX($QV$2:$QY$13,$MO66,0),$NL66))=0,1,0))</f>
        <v/>
      </c>
      <c r="OA66" s="164">
        <f>IF(OR($NQ66=0,$NM66=""),0,IF((COUNTIF(INDEX($EL$2:$EP$13,$MO66,0),$NM66)+COUNTIF(INDEX($QV$2:$QY$13,$MO66,0),$NM66))=0,1,0))</f>
        <v/>
      </c>
      <c r="OB66" s="164">
        <f>IF(OR($NR66=0,$NN66=""),0,IF((COUNTIF(INDEX($EL$2:$EP$13,$MO66,0),$NN66)+COUNTIF(INDEX($QV$2:$QY$13,$MO66,0),$NN66))=0,1,0))</f>
        <v/>
      </c>
      <c r="OC66" s="164">
        <f>IFERROR(VLOOKUP(SUBSTITUTE(SUBSTITUTE(SUBSTITUTE($MX66,"~","~~"),"*","~*"),"?","~?"),'DADOS_MELHORIAS'!$AG$2:$AL$113,4,FALSE),0)+IFERROR(VLOOKUP(SUBSTITUTE(SUBSTITUTE(SUBSTITUTE($MY66,"~","~~"),"*","~*"),"?","~?"),'DADOS_MELHORIAS'!$AG$2:$AL$113,4,FALSE),0)+IFERROR(VLOOKUP(SUBSTITUTE(SUBSTITUTE(SUBSTITUTE($MZ66,"~","~~"),"*","~*"),"?","~?"),'DADOS_MELHORIAS'!$AG$2:$AL$113,4,FALSE),0)+IFERROR(VLOOKUP(SUBSTITUTE(SUBSTITUTE(SUBSTITUTE($NA66,"~","~~"),"*","~*"),"?","~?"),'DADOS_MELHORIAS'!$AG$2:$AL$113,4,FALSE),0)</f>
        <v/>
      </c>
      <c r="OD66" s="164">
        <f>IFERROR(VLOOKUP(SUBSTITUTE(SUBSTITUTE(SUBSTITUTE($MX66,"~","~~"),"*","~*"),"?","~?"),'DADOS_MELHORIAS'!$AG$2:$AL$113,6,FALSE),0)+IFERROR(VLOOKUP(SUBSTITUTE(SUBSTITUTE(SUBSTITUTE($MY66,"~","~~"),"*","~*"),"?","~?"),'DADOS_MELHORIAS'!$AG$2:$AL$113,6,FALSE),0)+IFERROR(VLOOKUP(SUBSTITUTE(SUBSTITUTE(SUBSTITUTE($MZ66,"~","~~"),"*","~*"),"?","~?"),'DADOS_MELHORIAS'!$AG$2:$AL$113,6,FALSE),0)+IFERROR(VLOOKUP(SUBSTITUTE(SUBSTITUTE(SUBSTITUTE($NA66,"~","~~"),"*","~*"),"?","~?"),'DADOS_MELHORIAS'!$AG$2:$AL$113,6,FALSE),0)+IFERROR(N(AND(INDEX('DADOS_FORMAS'!$AO$2:$AO$21,MATCH(SUBSTITUTE(SUBSTITUTE(SUBSTITUTE($MU66,"~","~~"),"*","~*"),"?","~?"),'DADOS_FORMAS'!$AH$2:$AH$21,0))="Acerto",$OH66=1)),0)</f>
        <v/>
      </c>
      <c r="OE66" s="164">
        <f>TEXTJOIN(", ",TRUE,IF(IFERROR(VLOOKUP(SUBSTITUTE(SUBSTITUTE(SUBSTITUTE($MX66,"~","~~"),"*","~*"),"?","~?"),'DADOS_MELHORIAS'!$AG$2:$AL$113,5,FALSE),0)=1,$MX66,""),IF(IFERROR(VLOOKUP(SUBSTITUTE(SUBSTITUTE(SUBSTITUTE($MY66,"~","~~"),"*","~*"),"?","~?"),'DADOS_MELHORIAS'!$AG$2:$AL$113,5,FALSE),0)=1,$MY66,""),IF(IFERROR(VLOOKUP(SUBSTITUTE(SUBSTITUTE(SUBSTITUTE($MZ66,"~","~~"),"*","~*"),"?","~?"),'DADOS_MELHORIAS'!$AG$2:$AL$113,5,FALSE),0)=1,$MZ66,""),IF(IFERROR(VLOOKUP(SUBSTITUTE(SUBSTITUTE(SUBSTITUTE($NA66,"~","~~"),"*","~*"),"?","~?"),'DADOS_MELHORIAS'!$AG$2:$AL$113,5,FALSE),0)=1,$NA66,""))</f>
        <v/>
      </c>
      <c r="OF66" s="164">
        <f>IF($NJ66=0,0,INDEX('DADOS_FORMAS'!$GC$2:$GC$21,$NJ66))</f>
        <v/>
      </c>
      <c r="OG66" s="164">
        <f>IF($NJ66=0,0,INDEX('DADOS_FORMAS'!$GD$2:$GD$21,$NJ66))</f>
        <v/>
      </c>
      <c r="OH66" s="164">
        <f>IF($NJ66=0,0,INDEX('DADOS_FORMAS'!$GF$2:$GF$21,$NJ66))</f>
        <v/>
      </c>
      <c r="OI66" s="164">
        <f>IFERROR(VLOOKUP(SUBSTITUTE(SUBSTITUTE(SUBSTITUTE($NB66,"~","~~"),"*","~*"),"?","~?"),'DADOS_RESTRICOES'!$M$2:$Q$54,3,FALSE),0)</f>
        <v/>
      </c>
      <c r="OJ66" s="164">
        <f>IFERROR(VLOOKUP(SUBSTITUTE(SUBSTITUTE(SUBSTITUTE($NC66,"~","~~"),"*","~*"),"?","~?"),'DADOS_RESTRICOES'!$M$2:$Q$54,3,FALSE),0)</f>
        <v/>
      </c>
      <c r="OK66" s="164">
        <f>IFERROR(VLOOKUP(SUBSTITUTE(SUBSTITUTE(SUBSTITUTE($NB66,"~","~~"),"*","~*"),"?","~?"),'DADOS_RESTRICOES'!$M$2:$Q$54,2,FALSE),"")</f>
        <v/>
      </c>
      <c r="OL66" s="164">
        <f>IFERROR(VLOOKUP(SUBSTITUTE(SUBSTITUTE(SUBSTITUTE($NC66,"~","~~"),"*","~*"),"?","~?"),'DADOS_RESTRICOES'!$M$2:$Q$54,2,FALSE),"")</f>
        <v/>
      </c>
      <c r="OM66" s="164">
        <f>COUNTIF($NS66:$NW66,1)</f>
        <v/>
      </c>
      <c r="ON66" s="164">
        <f>COUNTIF($NS66:$NW66,2)</f>
        <v/>
      </c>
      <c r="OO66" s="164">
        <f>COUNTIF($NS66:$NW66,3)</f>
        <v/>
      </c>
      <c r="OP66" s="164">
        <f>COUNTIF($NS66:$NW66,4)</f>
        <v/>
      </c>
      <c r="OQ66" s="164">
        <f>COUNTIF($NS66:$NW66,5)</f>
        <v/>
      </c>
      <c r="OR66" s="164">
        <f>COUNTIF($NS66:$NW66,6)</f>
        <v/>
      </c>
      <c r="OS66" s="164">
        <f>COUNTIF($OI66:$OJ66,1)+IF(IFERROR(INDEX('DADOS_FORMAS'!$AS$2:$AS$21,MATCH(SUBSTITUTE(SUBSTITUTE(SUBSTITUTE($MU66,"~","~~"),"*","~*"),"?","~?"),'DADOS_FORMAS'!$AH$2:$AH$21,0)),"")="",0,IFERROR(N(VLOOKUP(SUBSTITUTE(SUBSTITUTE(SUBSTITUTE(IFERROR(INDEX('DADOS_FORMAS'!$AS$2:$AS$21,MATCH(SUBSTITUTE(SUBSTITUTE(SUBSTITUTE($MU66,"~","~~"),"*","~*"),"?","~?"),'DADOS_FORMAS'!$AH$2:$AH$21,0)),""),"~","~~"),"*","~*"),"?","~?"),'DADOS_RESTRICOES'!$M$2:$Q$54,3,FALSE)=1),0))</f>
        <v/>
      </c>
      <c r="OT66" s="164">
        <f>COUNTIF($OI66:$OJ66,2)+IF(IFERROR(INDEX('DADOS_FORMAS'!$AS$2:$AS$21,MATCH(SUBSTITUTE(SUBSTITUTE(SUBSTITUTE($MU66,"~","~~"),"*","~*"),"?","~?"),'DADOS_FORMAS'!$AH$2:$AH$21,0)),"")="",0,IFERROR(N(VLOOKUP(SUBSTITUTE(SUBSTITUTE(SUBSTITUTE(IFERROR(INDEX('DADOS_FORMAS'!$AS$2:$AS$21,MATCH(SUBSTITUTE(SUBSTITUTE(SUBSTITUTE($MU66,"~","~~"),"*","~*"),"?","~?"),'DADOS_FORMAS'!$AH$2:$AH$21,0)),""),"~","~~"),"*","~*"),"?","~?"),'DADOS_RESTRICOES'!$M$2:$Q$54,3,FALSE)=2),0))</f>
        <v/>
      </c>
      <c r="OU66" s="164">
        <f>COUNTIF($MX66:$NA66,"?*")</f>
        <v/>
      </c>
      <c r="OV66" s="164">
        <f>COUNTIF($NB66:$NC66,"?*")+$OF66</f>
        <v/>
      </c>
      <c r="OW66" s="164">
        <f>IF($MS66=0,0,SUMPRODUCT($OM66:$OR66,INDEX($I$2:$N$8,MAX(1,$MS66),0)))</f>
        <v/>
      </c>
      <c r="OX66" s="164">
        <f>IF($MS66=0,0,$OS66*CEILING($MS66/2,1)+$OT66*$MS66)</f>
        <v/>
      </c>
      <c r="OY66" s="164">
        <f>MIN(2*$MS66,$OX66)</f>
        <v/>
      </c>
      <c r="OZ66" s="164">
        <f>MIN($OY66,$OW66-IF($NS66=0,0,INDEX($I$2:$N$8,MAX(1,$MS66),$NS66)))</f>
        <v/>
      </c>
      <c r="PA66" s="164">
        <f>$OY66-$OZ66</f>
        <v/>
      </c>
      <c r="PB66" s="164">
        <f>IF($MS66=0,0,INDEX($P$2:$P$8,MAX(1,$MS66)))</f>
        <v/>
      </c>
      <c r="PC66" s="164">
        <f>$PB66-$OW66+$OZ66</f>
        <v/>
      </c>
      <c r="PD66" s="164">
        <f>IF($MS66=0,MAX(0,$NG66-IF(AND($OU66&gt;0,COUNTIF($NB66:$NC66,"?*")=0),1,0)),MAX(0,$PC66))</f>
        <v/>
      </c>
      <c r="PE66" s="164">
        <f>IF($MS66=0,0,(IF(COUNTIF($RK66:$RN66,"Salto")&gt;0,1,0)+IF(COUNTIF($RK66:$RN66,"Queima")&gt;0,1,0)+IF(COUNTIF($RK66:$RN66,"Estilhaço")&gt;0,1,0))*FLOOR($PD66/2,1))</f>
        <v/>
      </c>
      <c r="PF66" s="164">
        <f>MAX(0,2-SUMPRODUCT($OM66:$OR66,$I$2:$N$2)+MIN(2,$OS66*1+$OT66*1,SUMPRODUCT($OM66:$OR66,$I$2:$N$2)-IF($NS66=0,0,INDEX($I$2:$N$2,1,$NS66))))</f>
        <v/>
      </c>
      <c r="PG66" s="164">
        <f>MAX(0,4-SUMPRODUCT($OM66:$OR66,$I$3:$N$3)+MIN(4,$OS66*1+$OT66*2,SUMPRODUCT($OM66:$OR66,$I$3:$N$3)-IF($NS66=0,0,INDEX($I$3:$N$3,1,$NS66))))</f>
        <v/>
      </c>
      <c r="PH66" s="164">
        <f>MAX(0,6-SUMPRODUCT($OM66:$OR66,$I$4:$N$4)+MIN(6,$OS66*2+$OT66*3,SUMPRODUCT($OM66:$OR66,$I$4:$N$4)-IF($NS66=0,0,INDEX($I$4:$N$4,1,$NS66))))</f>
        <v/>
      </c>
      <c r="PI66" s="164">
        <f>MAX(0,9-SUMPRODUCT($OM66:$OR66,$I$5:$N$5)+MIN(8,$OS66*2+$OT66*4,SUMPRODUCT($OM66:$OR66,$I$5:$N$5)-IF($NS66=0,0,INDEX($I$5:$N$5,1,$NS66))))</f>
        <v/>
      </c>
      <c r="PJ66" s="164">
        <f>MAX(0,11-SUMPRODUCT($OM66:$OR66,$I$6:$N$6)+MIN(10,$OS66*3+$OT66*5,SUMPRODUCT($OM66:$OR66,$I$6:$N$6)-IF($NS66=0,0,INDEX($I$6:$N$6,1,$NS66))))</f>
        <v/>
      </c>
      <c r="PK66" s="164">
        <f>MAX(0,13-SUMPRODUCT($OM66:$OR66,$I$7:$N$7)+MIN(12,$OS66*3+$OT66*6,SUMPRODUCT($OM66:$OR66,$I$7:$N$7)-IF($NS66=0,0,INDEX($I$7:$N$7,1,$NS66))))</f>
        <v/>
      </c>
      <c r="PL66" s="164">
        <f>MAX(0,16-SUMPRODUCT($OM66:$OR66,$I$8:$N$8)+MIN(14,$OS66*4+$OT66*7,SUMPRODUCT($OM66:$OR66,$I$8:$N$8)-IF($NS66=0,0,INDEX($I$8:$N$8,1,$NS66))))</f>
        <v/>
      </c>
      <c r="PM66" s="164">
        <f>IF($OG66=2,3*$PF66&amp;" de vida temp.",IF($OG66=3,"sem dano",IF($PF66=0,IF($OG66=1,"sem cura","sem dano"),IF($OG66=1,"cura ","")&amp;$PF66&amp;"d8")))</f>
        <v/>
      </c>
      <c r="PN66" s="164">
        <f>IF($OG66=2,3*$PG66&amp;" de vida temp.",IF($OG66=3,"sem dano",IF($PG66=0,IF($OG66=1,"sem cura","sem dano"),IF($OG66=1,"cura ","")&amp;$PG66&amp;"d8")))</f>
        <v/>
      </c>
      <c r="PO66" s="164">
        <f>IF($OG66=2,3*$PH66&amp;" de vida temp.",IF($OG66=3,"sem dano",IF($PH66=0,IF($OG66=1,"sem cura","sem dano"),IF($OG66=1,"cura ","")&amp;$PH66&amp;"d8")))</f>
        <v/>
      </c>
      <c r="PP66" s="164">
        <f>IF($OG66=2,3*$PI66&amp;" de vida temp.",IF($OG66=3,"sem dano",IF($PI66=0,IF($OG66=1,"sem cura","sem dano"),IF($OG66=1,"cura ","")&amp;$PI66&amp;"d8")))</f>
        <v/>
      </c>
      <c r="PQ66" s="164">
        <f>IF($OG66=2,3*$PJ66&amp;" de vida temp.",IF($OG66=3,"sem dano",IF($PJ66=0,IF($OG66=1,"sem cura","sem dano"),IF($OG66=1,"cura ","")&amp;$PJ66&amp;"d8")))</f>
        <v/>
      </c>
      <c r="PR66" s="164">
        <f>IF($OG66=2,3*$PK66&amp;" de vida temp.",IF($OG66=3,"sem dano",IF($PK66=0,IF($OG66=1,"sem cura","sem dano"),IF($OG66=1,"cura ","")&amp;$PK66&amp;"d8")))</f>
        <v/>
      </c>
      <c r="PS66" s="164">
        <f>IF($OG66=2,3*$PL66&amp;" de vida temp.",IF($OG66=3,"sem dano",IF($PL66=0,IF($OG66=1,"sem cura","sem dano"),IF($OG66=1,"cura ","")&amp;$PL66&amp;"d8")))</f>
        <v/>
      </c>
      <c r="PT66" s="164">
        <f>IF($ND66=0,"",TEXTJOIN(" · ",TRUE,IF($ND66=0,"",TEXTJOIN(" · ",TRUE,IF($ND66=0,"",TEXTJOIN(" · ",TRUE,IF($MQ66&gt;$NE66,"Este lugar abre no nível "&amp;$MQ66,""),IF($MS66&gt;$NF66,"Classe "&amp;$MS66&amp;": o nível "&amp;$NE66&amp;" libera até a "&amp;$NF66,""),IF($NX66=1,"A Forma "&amp;$MU66&amp;" pede "&amp;INDEX('DADOS_FORMAS'!$GA$2:$GA$21,$NJ66)&amp;" aberta",""),IF(AND($MS66=0,$NJ66&gt;0,IF($NJ66=0,0,INDEX('DADOS_FORMAS'!$GJ$2:$GJ$21,$NJ66))=0),$MU66&amp;" não existe na Classe 0",""),IF($NY66=1,"Família Fechada: "&amp;$MX66,""),IF($NZ66=1,"Família Fechada: "&amp;$MY66,""),IF($OA66=1,"Família Fechada: "&amp;$MZ66,""),IF($OB66=1,"Família Fechada: "&amp;$NA66,""),IF(AND($MS66&gt;0,$OU66&gt;INDEX($O$2:$O$8,MAX(1,$MS66))),$OU66&amp;" Melhorias: a Classe "&amp;$MS66&amp;" aceita "&amp;INDEX($O$2:$O$8,MAX(1,$MS66)),""),IF(AND($MS66=0,$OU66&gt;1),"A básica aceita uma Melhoria",""),IF(AND($MS66=0,COUNTIF($NO66:$NR66,"&gt;1")&gt;0),"A básica só aceita Melhoria Leve",""),IF(AND($MS66&gt;0,$OV66&gt;2),$OV66&amp;" Restrições"&amp;IF($OF66=1,", contando a que a Forma "&amp;$MU66&amp;" já traz","")&amp;": o limite é 2",""),IF(AND($MS66=0,COUNTIF($NB66:$NC66,"?*")&gt;1),"A básica aceita uma Restrição Leve",""),IF(AND($MS66=0,COUNTIF($OI66:$OJ66,2)&gt;0),"A básica só aceita Restrição Leve",""),IF(AND($MS66&gt;0,$PC66&lt;0),"Orçamento estourado: faltam "&amp;(-$PC66)&amp;IF($PC66&lt;-1," pontos"," ponto"),""),IF(IFERROR(VLOOKUP(SUBSTITUTE(SUBSTITUTE(SUBSTITUTE($NB66,"~","~~"),"*","~*"),"?","~?"),'DADOS_RESTRICOES'!$M$2:$Q$54,4,FALSE),0)+IFERROR(VLOOKUP(SUBSTITUTE(SUBSTITUTE(SUBSTITUTE($NC66,"~","~~"),"*","~*"),"?","~?"),'DADOS_RESTRICOES'!$M$2:$Q$54,4,FALSE),0)&gt;1,$OK66&amp;" e "&amp;$OL66&amp;" são as duas de frequência",""),IF(AND((COUNTIF($RK66:$RN66,"Rápido")+COUNTIF($OK66:$OL66,"Rápido"))&gt;0,(COUNTIF($MX66:$NA66,"Atrasar")+COUNTIF($OK66:$OL66,"Atrasar"))&gt;0),"Rápido não entra com Atrasar",""),IF(AND((COUNTIF($RK66:$RN66,"Reação")+COUNTIF($OK66:$OL66,"Reação"))&gt;0,(COUNTIF($RK66:$RN66,"Rápido")+COUNTIF($OK66:$OL66,"Rápido"))&gt;0),"Reação não entra com Rápido",""),IF(AND((COUNTIF($RK66:$RN66,"Reação")+COUNTIF($OK66:$OL66,"Reação"))&gt;0,(COUNTIF($RK66:$RN66,"Armado")+COUNTIF($OK66:$OL66,"Armado"))&gt;0),"Reação não entra com Armado",""),IF(AND((COUNTIF($RK66:$RN66,"Reação")+COUNTIF($OK66:$OL66,"Reação"))&gt;0,(COUNTIF($MX66:$NA66,"Atrasar")+COUNTIF($OK66:$OL66,"Atrasar"))&gt;0),"Reação não entra com Atrasar",""),IF(AND((COUNTIF($RK66:$RN66,"Reação")+COUNTIF($OK66:$OL66,"Reação"))&gt;0,(COUNTIF($MX66:$NA66,"Parado")+COUNTIF($OK66:$OL66,"Parado"))&gt;0),"Reação não entra com Parado",""),IF(AND((COUNTIF($MX66:$NA66,"Atrasar")+COUNTIF($OK66:$OL66,"Atrasar"))&gt;0,(COUNTIF($MX66:$NA66,"Parado")+COUNTIF($OK66:$OL66,"Parado"))&gt;0),"Atrasar não entra com Parado",""),IF(AND((COUNTIF($RK66:$RN66,"Armado")+COUNTIF($OK66:$OL66,"Armado"))&gt;0,(COUNTIF($MX66:$NA66,"Carregar")+COUNTIF($OK66:$OL66,"Carregar"))&gt;0),"Armado não entra com Carregar",""),IF(AND(COUNTIF($OK66:$OL66,"Corpo a Corpo")&gt;0,$OF66=0,OR($RO66="Cone",$RO66="Linha")),"Corpo a Corpo não entra em "&amp;$MU66,""),IF(AND(COUNTIF($OK66:$OL66,"Corpo a Corpo")&gt;0,$RP66="Corpo a Corpo"),"A Forma "&amp;$MU66&amp;" já traz o Corpo a Corpo",""),IF(AND(COUNTIF($OK66:$OL66,"Tudo ou Nada")&gt;0,$OH66=0),"Tudo ou Nada só entra em habilidade de Teste de Resistência",""),IF(AND(COUNTIF($RK66:$RN66,"Inescapável")&gt;0,OR($OU66&gt;1,$OV66&gt;0)),"Inescapável não aceita outra peça",""),IF(AND($MS66&gt;0,$PD66*IF(COUNTIF($RK66:$RN66,"Remate")&gt;0,1.25,1)+$PE66&gt;4*$MS66),($PD66*IF(COUNTIF($RK66:$RN66,"Remate")&gt;0,1.25,1)+$PE66)&amp;" dados somando repetições"&amp;IF(COUNTIF($RK66:$RN66,"Remate")&gt;0," e o Remate","")&amp;": o teto da Classe "&amp;$MS66&amp;" é "&amp;4*$MS66,""))),IF(AND($MX66&lt;&gt;"",COUNTIF('DADOS_MELHORIAS'!$O$2:$O$113,SUBSTITUTE(SUBSTITUTE(SUBSTITUTE($MX66,"~","~~"),"*","~*"),"?","~?"))=0),"Melhoria não cadastrada ou com erro: "&amp;$MX66,""),IF(AND($MY66&lt;&gt;"",COUNTIF('DADOS_MELHORIAS'!$O$2:$O$113,SUBSTITUTE(SUBSTITUTE(SUBSTITUTE($MY66,"~","~~"),"*","~*"),"?","~?"))=0),"Melhoria não cadastrada ou com erro: "&amp;$MY66,""),IF(AND($MZ66&lt;&gt;"",COUNTIF('DADOS_MELHORIAS'!$O$2:$O$113,SUBSTITUTE(SUBSTITUTE(SUBSTITUTE($MZ66,"~","~~"),"*","~*"),"?","~?"))=0),"Melhoria não cadastrada ou com erro: "&amp;$MZ66,""),IF(AND($NA66&lt;&gt;"",COUNTIF('DADOS_MELHORIAS'!$O$2:$O$113,SUBSTITUTE(SUBSTITUTE(SUBSTITUTE($NA66,"~","~~"),"*","~*"),"?","~?"))=0),"Melhoria não cadastrada ou com erro: "&amp;$NA66,""),IF(AND($NB66&lt;&gt;"",COUNTIF('DADOS_RESTRICOES'!$M$2:$M$54,SUBSTITUTE(SUBSTITUTE(SUBSTITUTE($NB66,"~","~~"),"*","~*"),"?","~?"))=0),"Restrição não cadastrada ou com erro: "&amp;$NB66,""),IF(AND($NC66&lt;&gt;"",COUNTIF('DADOS_RESTRICOES'!$M$2:$M$54,SUBSTITUTE(SUBSTITUTE(SUBSTITUTE($NC66,"~","~~"),"*","~*"),"?","~?"))=0),"Restrição não cadastrada ou com erro: "&amp;$NC66,""))),IF(AND($MU66&lt;&gt;"",COUNTIF('DADOS_FORMAS'!$AH$2:$AH$21,SUBSTITUTE(SUBSTITUTE(SUBSTITUTE($MU66,"~","~~"),"*","~*"),"?","~?"))=0),"Forma não cadastrada ou com erro: "&amp;$MU66,""),IF(AND(IFERROR(INDEX('DADOS_FORMAS'!$AS$2:$AS$21,MATCH(SUBSTITUTE(SUBSTITUTE(SUBSTITUTE($MU66,"~","~~"),"*","~*"),"?","~?"),'DADOS_FORMAS'!$AH$2:$AH$21,0)),"")&lt;&gt;"",OR(IFERROR(VLOOKUP(SUBSTITUTE(SUBSTITUTE(SUBSTITUTE(IFERROR(INDEX('DADOS_FORMAS'!$AS$2:$AS$21,MATCH(SUBSTITUTE(SUBSTITUTE(SUBSTITUTE($MU66,"~","~~"),"*","~*"),"?","~?"),'DADOS_FORMAS'!$AH$2:$AH$21,0)),""),"~","~~"),"*","~*"),"?","~?"),'DADOS_RESTRICOES'!$M$2:$Q$54,2,FALSE),"")=$OK66,IFERROR(VLOOKUP(SUBSTITUTE(SUBSTITUTE(SUBSTITUTE(IFERROR(INDEX('DADOS_FORMAS'!$AS$2:$AS$21,MATCH(SUBSTITUTE(SUBSTITUTE(SUBSTITUTE($MU66,"~","~~"),"*","~*"),"?","~?"),'DADOS_FORMAS'!$AH$2:$AH$21,0)),""),"~","~~"),"*","~*"),"?","~?"),'DADOS_RESTRICOES'!$M$2:$Q$54,2,FALSE),"")=$OL66)),"Restrição repetida, contando a embutida",""),IF(IF(IFERROR(INDEX('DADOS_FORMAS'!$AS$2:$AS$21,MATCH(SUBSTITUTE(SUBSTITUTE(SUBSTITUTE($MU66,"~","~~"),"*","~*"),"?","~?"),'DADOS_FORMAS'!$AH$2:$AH$21,0)),"")="",0,IFERROR(N(VLOOKUP(SUBSTITUTE(SUBSTITUTE(SUBSTITUTE(IFERROR(INDEX('DADOS_FORMAS'!$AS$2:$AS$21,MATCH(SUBSTITUTE(SUBSTITUTE(SUBSTITUTE($MU66,"~","~~"),"*","~*"),"?","~?"),'DADOS_FORMAS'!$AH$2:$AH$21,0)),""),"~","~~"),"*","~*"),"?","~?"),'DADOS_RESTRICOES'!$M$2:$Q$54,4,FALSE)=1),0))+IF($NB66="",0,IFERROR(N(VLOOKUP(SUBSTITUTE(SUBSTITUTE(SUBSTITUTE($NB66,"~","~~"),"*","~*"),"?","~?"),'DADOS_RESTRICOES'!$M$2:$Q$54,4,FALSE)=1),0))+IF($NC66="",0,IFERROR(N(VLOOKUP(SUBSTITUTE(SUBSTITUTE(SUBSTITUTE($NC66,"~","~~"),"*","~*"),"?","~?"),'DADOS_RESTRICOES'!$M$2:$Q$54,4,FALSE)=1),0))&gt;1,"Duas Restrições de frequência, contando a embutida",""),IF(AND(IFERROR(VLOOKUP(SUBSTITUTE(SUBSTITUTE(SUBSTITUTE(IFERROR(INDEX('DADOS_FORMAS'!$AS$2:$AS$21,MATCH(SUBSTITUTE(SUBSTITUTE(SUBSTITUTE($MU66,"~","~~"),"*","~*"),"?","~?"),'DADOS_FORMAS'!$AH$2:$AH$21,0)),""),"~","~~"),"*","~*"),"?","~?"),'DADOS_RESTRICOES'!$M$2:$Q$54,2,FALSE),"")="Tudo ou Nada",$OH66=0),"Tudo ou Nada exige TR",""),IF(AND(IFERROR(VLOOKUP(SUBSTITUTE(SUBSTITUTE(SUBSTITUTE(IFERROR(INDEX('DADOS_FORMAS'!$AS$2:$AS$21,MATCH(SUBSTITUTE(SUBSTITUTE(SUBSTITUTE($MU66,"~","~~"),"*","~*"),"?","~?"),'DADOS_FORMAS'!$AH$2:$AH$21,0)),""),"~","~~"),"*","~*"),"?","~?"),'DADOS_RESTRICOES'!$M$2:$Q$54,2,FALSE),"")="Corpo a Corpo",OR($RO66="Cone",$RO66="Linha")),"Corpo a Corpo não entra em Cone/Linha","")))</f>
        <v/>
      </c>
      <c r="PU66" s="164">
        <f>IF($PT66="",0,(LEN($PT66)-LEN(SUBSTITUTE($PT66," · ","")))/3+1)</f>
        <v/>
      </c>
      <c r="PV66" s="164">
        <f>IF($ND66=0,"",TEXTJOIN(" · ",TRUE,IF($OX66&gt;2*$MS66,"A devolução parou no teto de "&amp;2*$MS66,""),IF($PA66&gt;0,"Devolução perdida: "&amp;$PA66&amp;IF($PA66&gt;1," pontos"," ponto")&amp;" sem Melhoria para pagar",""),IF(AND($OC66&gt;0,AND($MS66&gt;0,$OG66=0),$PD66=0),"Controle sem dano: uma rodada a mais e CD +2",""),IF(AND($OC66&gt;0,AND($MS66&gt;0,$OG66=0),$PD66&gt;0,$PD66&lt;=$MS66),"Controle com saldo até a Classe: uma rodada a mais",""),IF(AND($MS66&gt;0,$OE66&lt;&gt;""),"Efeito de "&amp;$OE66&amp;" pela Classe "&amp;MAX(1,$MS66-1),"")))</f>
        <v/>
      </c>
      <c r="PW66" s="164">
        <f>IF($PV66="",0,(LEN($PV66)-LEN(SUBSTITUTE($PV66," · ","")))/3+1)</f>
        <v/>
      </c>
      <c r="PX66" s="164">
        <f>IF($ND66=0,IF($OU66+COUNTIF($NB66:$NC66,"?*")&gt;0,"Dê um nome",""),IF($PU66&gt;0,"⚠ "&amp;$PU66&amp;IF($PU66&gt;1," erros"," erro"),IF($PW66&gt;0,"! "&amp;$PW66&amp;IF($PW66&gt;1," avisos"," aviso"),"Na regra")))</f>
        <v/>
      </c>
      <c r="PY66" s="164">
        <f>IF($ND66=0,"",IF($PU66+$PW66=0,"Dentro das regras que a ficha confere",$PT66&amp;IF(AND($PU66&gt;0,$PW66&gt;0)," · ","")&amp;$PV66))</f>
        <v/>
      </c>
      <c r="PZ66" s="164">
        <f>IF($MQ66&gt;$NE66,$MR66&amp;" · ABRE NO NÍVEL "&amp;$MQ66,$MR66)</f>
        <v/>
      </c>
      <c r="QA66" s="164">
        <f>IF($ND66=0,"",IF($MS66=0,"Sem PE",3*$MS66&amp;" PE"))</f>
        <v/>
      </c>
      <c r="QB66" s="164">
        <f>IF($ND66=0,"",IF($MS66=0,"A atuação básica dela",IF(COUNTIF($RQ66:$RS66,"Atrasar")&gt;0,"Sua Ação Completa",IF(COUNTIF($RK66:$RN66,"Rápido")&gt;0,"Sua Bônus",IF(COUNTIF($RK66:$RN66,"Reação")&gt;0,"Sua Reação","Sua Padrão")))&amp;" + a básica dela"&amp;IF(COUNTIF($RK66:$RN66,"Reação")&gt;0," e a coletiva","")&amp;IF(COUNTIF($RQ66:$RS66,"Carregar")&gt;0," · em dois turnos","")))</f>
        <v/>
      </c>
      <c r="QC66" s="164">
        <f>IF($MW66&lt;&gt;"",$MW66,IF($NJ66=0,"",INDEX('DADOS_FORMAS'!$GE$2:$GE$21,$NJ66)))</f>
        <v/>
      </c>
      <c r="QD66" s="164">
        <f>IF(OR($ND66=0,$NJ66=0),"",IF(COUNTIF($RK66:$RN66,"Inescapável")&gt;0,"Automático",IF($QC66="Ataque",IF($NH66="","Ataque","Ataque "&amp;IF(($NH66+2*IF(COUNTIF($RK66:$RN66,"Precisão")&gt;0,1,0))&gt;=0,"+","−")&amp;ABS(($NH66+2*IF(COUNTIF($RK66:$RN66,"Precisão")&gt;0,1,0))))&amp;IF($OD66&gt;0," · TR"&amp;IF($NI66="",""," CD "&amp;$NI66),""),IF(LEFT($QC66,2)="TR",$QC66&amp;IF($NI66="",""," · CD "&amp;$NI66)&amp;IF(COUNTIF($RK66:$RN66,"Certeiro")&gt;0," · metade",""),"Sem rolagem"))))</f>
        <v/>
      </c>
      <c r="QE66" s="164">
        <f>IF(OR($ND66=0,$NJ66=0),"",IF($MS66=0,IF(OR($OG66&gt;=1,$PD66=0),"Sem dano",$PD66&amp;"d6"&amp;IF($MV66="",""," "&amp;$MV66)),IF(OR($OG66&gt;=1,$PD66=0),UPPER(LEFT(INDEX($PM66:$PS66,1,MAX(1,$MS66)),1))&amp;MID(INDEX($PM66:$PS66,1,MAX(1,$MS66)),2,99),UPPER(LEFT(INDEX($PM66:$PS66,1,MAX(1,$MS66)),1))&amp;MID(INDEX($PM66:$PS66,1,MAX(1,$MS66)),2,99)&amp;IF($MV66="",""," "&amp;$MV66)&amp;IF($PE66&gt;0," · +"&amp;$PE66&amp;"d8",""))))</f>
        <v/>
      </c>
      <c r="QF66" s="164">
        <f>COUNTIF($RK66:$RN66,"Longe")+3*COUNTIF($RK66:$RN66,"Muito Longe")</f>
        <v/>
      </c>
      <c r="QG66" s="164">
        <f>COUNTIF($RK66:$RN66,"Maior")+3*COUNTIF($RK66:$RN66,"Muito Maior")</f>
        <v/>
      </c>
      <c r="QH66" s="164">
        <f>IF($NJ66=0,0,CHOOSE(1+INDEX('DADOS_FORMAS'!$GG$2:$GG$21,$NJ66),0,$QF66,$QG66,$QF66+$QG66))</f>
        <v/>
      </c>
      <c r="QI66" s="164">
        <f>IF($NJ66=0,0,CHOOSE(1+INDEX('DADOS_FORMAS'!$GH$2:$GH$21,$NJ66),0,$QF66,$QG66,$QF66+$QG66))</f>
        <v/>
      </c>
      <c r="QJ66" s="164">
        <f>IF(OR($ND66=0,$NJ66=0),"",INDEX('DADOS_FORMAS'!$HU$2:$HZ$81,($NJ66-1)*4+IF($MS66=0,1,IF($MS66&lt;=5,2,IF($MS66=6,3,4))),1+MIN(5,$QH66))&amp;INDEX('DADOS_FORMAS'!$IA$2:$IF$81,($NJ66-1)*4+IF($MS66=0,1,IF($MS66&lt;=5,2,IF($MS66=6,3,4))),1+MIN(5,$QI66))&amp;IF(INDEX('DADOS_FORMAS'!$GI$2:$GI$21,$NJ66)=1,IF(COUNTIF($RK66:$RN66,"Mais Um")&gt;0," · +"&amp;COUNTIF($RK66:$RN66,"Mais Um")&amp;IF(COUNTIF($RK66:$RN66,"Mais Um")&gt;1," alvos"," alvo"),"")&amp;IF(COUNTIF($RK66:$RN66,"Rajada")&gt;0,IF($MS66=0," · 1 tiro"," · "&amp;(MAX(1,$MS66-1)+1)&amp;" tiros"),""),""))</f>
        <v/>
      </c>
      <c r="QK66" s="164">
        <f>IF($ND66=0,"",IF($MS66=0,$NG66&amp;"d6"&amp;IF($OU66&gt;0," − 1 = "&amp;$PD66&amp;"d6"," da básica do nível "&amp;$NE66),$PB66&amp;" − "&amp;$OW66&amp;" + "&amp;$OZ66&amp;" = "&amp;$PC66&amp;" · teto "&amp;4*$MS66&amp;"d8"&amp;IF($OF66=1," · a Forma devolve "&amp;$MS66,"")&amp;IF($PA66&gt;0," · perde "&amp;$PA66,"")))</f>
        <v/>
      </c>
      <c r="QL66" s="164">
        <f>IF($ND66=0,"",IF($MS66=0,"A básica não amplia: os dados dela sobem com o nível",IF($MS66&gt;=$NF66,"Já está na maior Classe que o nível liberou",TEXTJOIN(" · ",TRUE,IF(AND(2&gt;$MS66,2&lt;=$NF66),"2 → "&amp;$PN66&amp;", 6 PE",""),IF(AND(3&gt;$MS66,3&lt;=$NF66),"3 → "&amp;$PO66&amp;", 9 PE",""),IF(AND(4&gt;$MS66,4&lt;=$NF66),"4 → "&amp;$PP66&amp;", 12 PE",""),IF(AND(5&gt;$MS66,5&lt;=$NF66),"5 → "&amp;$PQ66&amp;", 15 PE",""),IF(AND(6&gt;$MS66,6&lt;=$NF66),"6 → "&amp;$PR66&amp;", 18 PE",""),IF(AND(7&gt;$MS66,7&lt;=$NF66),"7 → "&amp;$PS66&amp;", 21 PE","")))))</f>
        <v/>
      </c>
      <c r="QM66" s="164">
        <f>IF(OR($ND66=0,$NO66=0),"",IF($MS66=0,"−1 dado","−"&amp;INDEX($I$2:$N$8,MAX(1,$MS66),MAX(1,$NT66))&amp;" · "&amp;CHOOSE(MAX(1,$NT66),"Leve","Média","Pesada","Leve · Livre","Média · Livre","Pesada · Livre")))</f>
        <v/>
      </c>
      <c r="QN66" s="164">
        <f>IF(OR($ND66=0,$NP66=0),"",IF($MS66=0,"−1 dado","−"&amp;INDEX($I$2:$N$8,MAX(1,$MS66),MAX(1,$NU66))&amp;" · "&amp;CHOOSE(MAX(1,$NU66),"Leve","Média","Pesada","Leve · Livre","Média · Livre","Pesada · Livre")))</f>
        <v/>
      </c>
      <c r="QO66" s="164">
        <f>IF(OR($ND66=0,$NQ66=0),"",IF($MS66=0,"−1 dado","−"&amp;INDEX($I$2:$N$8,MAX(1,$MS66),MAX(1,$NV66))&amp;" · "&amp;CHOOSE(MAX(1,$NV66),"Leve","Média","Pesada","Leve · Livre","Média · Livre","Pesada · Livre")))</f>
        <v/>
      </c>
      <c r="QP66" s="164">
        <f>IF(OR($ND66=0,$NR66=0),"",IF($MS66=0,"−1 dado","−"&amp;INDEX($I$2:$N$8,MAX(1,$MS66),MAX(1,$NW66))&amp;" · "&amp;CHOOSE(MAX(1,$NW66),"Leve","Média","Pesada","Leve · Livre","Média · Livre","Pesada · Livre")))</f>
        <v/>
      </c>
      <c r="QQ66" s="164">
        <f>IF(OR($ND66=0,$NB66=""),"",IF($MS66=0,"não devolve","+"&amp;IF($OI66=1,CEILING($MS66/2,1),$MS66)))</f>
        <v/>
      </c>
      <c r="QR66" s="164">
        <f>IF(OR($ND66=0,$NC66=""),"",IF($MS66=0,"não devolve","+"&amp;IF($OJ66=1,CEILING($MS66/2,1),$MS66)))</f>
        <v/>
      </c>
      <c r="RK66">
        <f>IF($MX66="","",IFERROR(VLOOKUP(SUBSTITUTE(SUBSTITUTE(SUBSTITUTE($MX66,"~","~~"),"*","~*"),"?","~?"),'DADOS_MELHORIAS'!$O$2:$X$113,10,FALSE),$MX66))</f>
        <v/>
      </c>
      <c r="RL66">
        <f>IF($MY66="","",IFERROR(VLOOKUP(SUBSTITUTE(SUBSTITUTE(SUBSTITUTE($MY66,"~","~~"),"*","~*"),"?","~?"),'DADOS_MELHORIAS'!$O$2:$X$113,10,FALSE),$MY66))</f>
        <v/>
      </c>
      <c r="RM66">
        <f>IF($MZ66="","",IFERROR(VLOOKUP(SUBSTITUTE(SUBSTITUTE(SUBSTITUTE($MZ66,"~","~~"),"*","~*"),"?","~?"),'DADOS_MELHORIAS'!$O$2:$X$113,10,FALSE),$MZ66))</f>
        <v/>
      </c>
      <c r="RN66">
        <f>IF($NA66="","",IFERROR(VLOOKUP(SUBSTITUTE(SUBSTITUTE(SUBSTITUTE($NA66,"~","~~"),"*","~*"),"?","~?"),'DADOS_MELHORIAS'!$O$2:$X$113,10,FALSE),$NA66))</f>
        <v/>
      </c>
      <c r="RO66">
        <f>IFERROR(INDEX('DADOS_FORMAS'!$BJ$2:$BJ$21,MATCH(SUBSTITUTE(SUBSTITUTE(SUBSTITUTE($MU66,"~","~~"),"*","~*"),"?","~?"),'DADOS_FORMAS'!$AH$2:$AH$21,0)),"")</f>
        <v/>
      </c>
      <c r="RP66">
        <f>IFERROR(VLOOKUP(SUBSTITUTE(SUBSTITUTE(SUBSTITUTE(IFERROR(INDEX('DADOS_FORMAS'!$AS$2:$AS$21,MATCH(SUBSTITUTE(SUBSTITUTE(SUBSTITUTE($MU66,"~","~~"),"*","~*"),"?","~?"),'DADOS_FORMAS'!$AH$2:$AH$21,0)),""),"~","~~"),"*","~*"),"?","~?"),'DADOS_RESTRICOES'!$M$2:$Q$54,2,FALSE),"")</f>
        <v/>
      </c>
      <c r="RQ66">
        <f>$OK66</f>
        <v/>
      </c>
      <c r="RR66">
        <f>$OL66</f>
        <v/>
      </c>
      <c r="RS66">
        <f>$RP66</f>
        <v/>
      </c>
    </row>
    <row r="67">
      <c r="AV67" s="162" t="inlineStr">
        <is>
          <t>Marca</t>
        </is>
      </c>
      <c r="AW67" s="162" t="inlineStr">
        <is>
          <t>Marca</t>
        </is>
      </c>
      <c r="AX67" s="164" t="n">
        <v>1</v>
      </c>
      <c r="AY67" s="164" t="n">
        <v>0</v>
      </c>
      <c r="AZ67" s="164" t="n">
        <v>0</v>
      </c>
      <c r="BA67" s="164" t="n">
        <v>0</v>
      </c>
      <c r="JT67" s="164">
        <f>IF(OR($AW67="",(COUNTIF($EL$2:$EP$2,$AW67)+COUNTIF($QV$2:$QY$2,$AW67))&gt;0),$AV67,"")</f>
        <v/>
      </c>
      <c r="JU67" s="164">
        <f>IF(AND($AX67=1,OR($AW67="",(COUNTIF($EL$2:$EP$2,$AW67)+COUNTIF($QV$2:$QY$2,$AW67))&gt;0)),$AV67,"")</f>
        <v/>
      </c>
      <c r="JZ67" s="164">
        <f>IF(OR($AW67="",(COUNTIF($EL$3:$EP$3,$AW67)+COUNTIF($QV$3:$QY$3,$AW67))&gt;0),$AV67,"")</f>
        <v/>
      </c>
      <c r="KA67" s="164">
        <f>IF(AND($AX67=1,OR($AW67="",(COUNTIF($EL$3:$EP$3,$AW67)+COUNTIF($QV$3:$QY$3,$AW67))&gt;0)),$AV67,"")</f>
        <v/>
      </c>
      <c r="KF67" s="164">
        <f>IF(OR($AW67="",(COUNTIF($EL$4:$EP$4,$AW67)+COUNTIF($QV$4:$QY$4,$AW67))&gt;0),$AV67,"")</f>
        <v/>
      </c>
      <c r="KG67" s="164">
        <f>IF(AND($AX67=1,OR($AW67="",(COUNTIF($EL$4:$EP$4,$AW67)+COUNTIF($QV$4:$QY$4,$AW67))&gt;0)),$AV67,"")</f>
        <v/>
      </c>
      <c r="KL67" s="164">
        <f>IF(OR($AW67="",(COUNTIF($EL$5:$EP$5,$AW67)+COUNTIF($QV$5:$QY$5,$AW67))&gt;0),$AV67,"")</f>
        <v/>
      </c>
      <c r="KM67" s="164">
        <f>IF(AND($AX67=1,OR($AW67="",(COUNTIF($EL$5:$EP$5,$AW67)+COUNTIF($QV$5:$QY$5,$AW67))&gt;0)),$AV67,"")</f>
        <v/>
      </c>
      <c r="KR67" s="164">
        <f>IF(OR($AW67="",(COUNTIF($EL$6:$EP$6,$AW67)+COUNTIF($QV$6:$QY$6,$AW67))&gt;0),$AV67,"")</f>
        <v/>
      </c>
      <c r="KS67" s="164">
        <f>IF(AND($AX67=1,OR($AW67="",(COUNTIF($EL$6:$EP$6,$AW67)+COUNTIF($QV$6:$QY$6,$AW67))&gt;0)),$AV67,"")</f>
        <v/>
      </c>
      <c r="KX67" s="164">
        <f>IF(OR($AW67="",(COUNTIF($EL$7:$EP$7,$AW67)+COUNTIF($QV$7:$QY$7,$AW67))&gt;0),$AV67,"")</f>
        <v/>
      </c>
      <c r="KY67" s="164">
        <f>IF(AND($AX67=1,OR($AW67="",(COUNTIF($EL$7:$EP$7,$AW67)+COUNTIF($QV$7:$QY$7,$AW67))&gt;0)),$AV67,"")</f>
        <v/>
      </c>
      <c r="LD67" s="164">
        <f>IF(OR($AW67="",(COUNTIF($EL$8:$EP$8,$AW67)+COUNTIF($QV$8:$QY$8,$AW67))&gt;0),$AV67,"")</f>
        <v/>
      </c>
      <c r="LE67" s="164">
        <f>IF(AND($AX67=1,OR($AW67="",(COUNTIF($EL$8:$EP$8,$AW67)+COUNTIF($QV$8:$QY$8,$AW67))&gt;0)),$AV67,"")</f>
        <v/>
      </c>
      <c r="LJ67" s="164">
        <f>IF(OR($AW67="",(COUNTIF($EL$9:$EP$9,$AW67)+COUNTIF($QV$9:$QY$9,$AW67))&gt;0),$AV67,"")</f>
        <v/>
      </c>
      <c r="LK67" s="164">
        <f>IF(AND($AX67=1,OR($AW67="",(COUNTIF($EL$9:$EP$9,$AW67)+COUNTIF($QV$9:$QY$9,$AW67))&gt;0)),$AV67,"")</f>
        <v/>
      </c>
      <c r="LP67" s="164">
        <f>IF(OR($AW67="",(COUNTIF($EL$10:$EP$10,$AW67)+COUNTIF($QV$10:$QY$10,$AW67))&gt;0),$AV67,"")</f>
        <v/>
      </c>
      <c r="LQ67" s="164">
        <f>IF(AND($AX67=1,OR($AW67="",(COUNTIF($EL$10:$EP$10,$AW67)+COUNTIF($QV$10:$QY$10,$AW67))&gt;0)),$AV67,"")</f>
        <v/>
      </c>
      <c r="LV67" s="164">
        <f>IF(OR($AW67="",(COUNTIF($EL$11:$EP$11,$AW67)+COUNTIF($QV$11:$QY$11,$AW67))&gt;0),$AV67,"")</f>
        <v/>
      </c>
      <c r="LW67" s="164">
        <f>IF(AND($AX67=1,OR($AW67="",(COUNTIF($EL$11:$EP$11,$AW67)+COUNTIF($QV$11:$QY$11,$AW67))&gt;0)),$AV67,"")</f>
        <v/>
      </c>
      <c r="MB67" s="164">
        <f>IF(OR($AW67="",(COUNTIF($EL$12:$EP$12,$AW67)+COUNTIF($QV$12:$QY$12,$AW67))&gt;0),$AV67,"")</f>
        <v/>
      </c>
      <c r="MC67" s="164">
        <f>IF(AND($AX67=1,OR($AW67="",(COUNTIF($EL$12:$EP$12,$AW67)+COUNTIF($QV$12:$QY$12,$AW67))&gt;0)),$AV67,"")</f>
        <v/>
      </c>
      <c r="MH67" s="164">
        <f>IF(OR($AW67="",(COUNTIF($EL$13:$EP$13,$AW67)+COUNTIF($QV$13:$QY$13,$AW67))&gt;0),$AV67,"")</f>
        <v/>
      </c>
      <c r="MI67" s="164">
        <f>IF(AND($AX67=1,OR($AW67="",(COUNTIF($EL$13:$EP$13,$AW67)+COUNTIF($QV$13:$QY$13,$AW67))&gt;0)),$AV67,"")</f>
        <v/>
      </c>
      <c r="MN67" s="162" t="inlineStr">
        <is>
          <t>Ficha 6 · Básica 1</t>
        </is>
      </c>
      <c r="MO67" s="164" t="n">
        <v>6</v>
      </c>
      <c r="MP67" s="164" t="n">
        <v>0</v>
      </c>
      <c r="MQ67" s="164" t="n">
        <v>1</v>
      </c>
      <c r="MR67" s="162" t="inlineStr">
        <is>
          <t>BÁSICA 1</t>
        </is>
      </c>
      <c r="MS67" s="164" t="n">
        <v>0</v>
      </c>
      <c r="MT67" s="164">
        <f>'INVOCAÇÕES'!$J$1126&amp;""</f>
        <v/>
      </c>
      <c r="MU67" s="164">
        <f>'INVOCAÇÕES'!$I$1131&amp;""</f>
        <v/>
      </c>
      <c r="MV67" s="164">
        <f>'INVOCAÇÕES'!$I$1132&amp;""</f>
        <v/>
      </c>
      <c r="MW67" s="164">
        <f>'INVOCAÇÕES'!$K$1132&amp;""</f>
        <v/>
      </c>
      <c r="MX67" s="164">
        <f>'INVOCAÇÕES'!$J$1135&amp;""</f>
        <v/>
      </c>
      <c r="MY67" s="164">
        <f>'INVOCAÇÕES'!$J$1136&amp;""</f>
        <v/>
      </c>
      <c r="MZ67" s="164">
        <f>'INVOCAÇÕES'!$J$1137&amp;""</f>
        <v/>
      </c>
      <c r="NA67" s="164">
        <f>'INVOCAÇÕES'!$J$1138&amp;""</f>
        <v/>
      </c>
      <c r="NB67" s="164">
        <f>'INVOCAÇÕES'!$J$1139&amp;""</f>
        <v/>
      </c>
      <c r="NC67" s="164">
        <f>'INVOCAÇÕES'!$J$1140&amp;""</f>
        <v/>
      </c>
      <c r="ND67" s="164">
        <f>IF($MT67&lt;&gt;"",1,0)</f>
        <v/>
      </c>
      <c r="NE67" s="164">
        <f>INDEX($FO$2:$FO$13,$MO67)</f>
        <v/>
      </c>
      <c r="NF67" s="164">
        <f>INDEX($FP$2:$FP$13,$MO67)</f>
        <v/>
      </c>
      <c r="NG67" s="164">
        <f>INDEX($FQ$2:$FQ$13,$MO67)</f>
        <v/>
      </c>
      <c r="NH67" s="164">
        <f>INDEX($GB$2:$GB$13,$MO67)</f>
        <v/>
      </c>
      <c r="NI67" s="164">
        <f>INDEX($GC$2:$GC$13,$MO67)</f>
        <v/>
      </c>
      <c r="NJ67" s="164">
        <f>IFERROR(MATCH(SUBSTITUTE(SUBSTITUTE(SUBSTITUTE($MU67,"~","~~"),"*","~*"),"?","~?"),'DADOS_FORMAS'!$FZ$2:$FZ$21,0),0)</f>
        <v/>
      </c>
      <c r="NK67" s="164">
        <f>IFERROR(VLOOKUP(SUBSTITUTE(SUBSTITUTE(SUBSTITUTE($MX67,"~","~~"),"*","~*"),"?","~?"),'DADOS_MELHORIAS'!$AG$2:$AL$113,2,FALSE),"")</f>
        <v/>
      </c>
      <c r="NL67" s="164">
        <f>IFERROR(VLOOKUP(SUBSTITUTE(SUBSTITUTE(SUBSTITUTE($MY67,"~","~~"),"*","~*"),"?","~?"),'DADOS_MELHORIAS'!$AG$2:$AL$113,2,FALSE),"")</f>
        <v/>
      </c>
      <c r="NM67" s="164">
        <f>IFERROR(VLOOKUP(SUBSTITUTE(SUBSTITUTE(SUBSTITUTE($MZ67,"~","~~"),"*","~*"),"?","~?"),'DADOS_MELHORIAS'!$AG$2:$AL$113,2,FALSE),"")</f>
        <v/>
      </c>
      <c r="NN67" s="164">
        <f>IFERROR(VLOOKUP(SUBSTITUTE(SUBSTITUTE(SUBSTITUTE($NA67,"~","~~"),"*","~*"),"?","~?"),'DADOS_MELHORIAS'!$AG$2:$AL$113,2,FALSE),"")</f>
        <v/>
      </c>
      <c r="NO67" s="164">
        <f>IFERROR(VLOOKUP(SUBSTITUTE(SUBSTITUTE(SUBSTITUTE($MX67,"~","~~"),"*","~*"),"?","~?"),'DADOS_MELHORIAS'!$AG$2:$AL$113,3,FALSE),0)</f>
        <v/>
      </c>
      <c r="NP67" s="164">
        <f>IFERROR(VLOOKUP(SUBSTITUTE(SUBSTITUTE(SUBSTITUTE($MY67,"~","~~"),"*","~*"),"?","~?"),'DADOS_MELHORIAS'!$AG$2:$AL$113,3,FALSE),0)</f>
        <v/>
      </c>
      <c r="NQ67" s="164">
        <f>IFERROR(VLOOKUP(SUBSTITUTE(SUBSTITUTE(SUBSTITUTE($MZ67,"~","~~"),"*","~*"),"?","~?"),'DADOS_MELHORIAS'!$AG$2:$AL$113,3,FALSE),0)</f>
        <v/>
      </c>
      <c r="NR67" s="164">
        <f>IFERROR(VLOOKUP(SUBSTITUTE(SUBSTITUTE(SUBSTITUTE($NA67,"~","~~"),"*","~*"),"?","~?"),'DADOS_MELHORIAS'!$AG$2:$AL$113,3,FALSE),0)</f>
        <v/>
      </c>
      <c r="NS67" s="164">
        <f>IF($MS67=0,0,IF($NJ67=0,0,INDEX('DADOS_FORMAS'!$GB$2:$GB$21,$NJ67)))</f>
        <v/>
      </c>
      <c r="NT67" s="164">
        <f>IF(OR($NO67=0,$MS67=0),0,$NO67+3*IF(AND($NK67&lt;&gt;"",COUNTIF(INDEX($RB$2:$RJ$13,$MO67,0),$NK67)&gt;0),1,0))</f>
        <v/>
      </c>
      <c r="NU67" s="164">
        <f>IF(OR($NP67=0,$MS67=0),0,$NP67+3*IF(AND($NL67&lt;&gt;"",COUNTIF(INDEX($RB$2:$RJ$13,$MO67,0),$NL67)&gt;0),1,0))</f>
        <v/>
      </c>
      <c r="NV67" s="164">
        <f>IF(OR($NQ67=0,$MS67=0),0,$NQ67+3*IF(AND($NM67&lt;&gt;"",COUNTIF(INDEX($RB$2:$RJ$13,$MO67,0),$NM67)&gt;0),1,0))</f>
        <v/>
      </c>
      <c r="NW67" s="164">
        <f>IF(OR($NR67=0,$MS67=0),0,$NR67+3*IF(AND($NN67&lt;&gt;"",COUNTIF(INDEX($RB$2:$RJ$13,$MO67,0),$NN67)&gt;0),1,0))</f>
        <v/>
      </c>
      <c r="NX67" s="164">
        <f>IF($NJ67=0,0,IF(INDEX('DADOS_FORMAS'!$GA$2:$GA$21,$NJ67)="",0,IF((COUNTIF(INDEX($EL$2:$EP$13,$MO67,0),INDEX('DADOS_FORMAS'!$GA$2:$GA$21,$NJ67))+COUNTIF(INDEX($QV$2:$QY$13,$MO67,0),INDEX('DADOS_FORMAS'!$GA$2:$GA$21,$NJ67)))=0,1,0)))</f>
        <v/>
      </c>
      <c r="NY67" s="164">
        <f>IF(OR($NO67=0,$NK67=""),0,IF((COUNTIF(INDEX($EL$2:$EP$13,$MO67,0),$NK67)+COUNTIF(INDEX($QV$2:$QY$13,$MO67,0),$NK67))=0,1,0))</f>
        <v/>
      </c>
      <c r="NZ67" s="164">
        <f>IF(OR($NP67=0,$NL67=""),0,IF((COUNTIF(INDEX($EL$2:$EP$13,$MO67,0),$NL67)+COUNTIF(INDEX($QV$2:$QY$13,$MO67,0),$NL67))=0,1,0))</f>
        <v/>
      </c>
      <c r="OA67" s="164">
        <f>IF(OR($NQ67=0,$NM67=""),0,IF((COUNTIF(INDEX($EL$2:$EP$13,$MO67,0),$NM67)+COUNTIF(INDEX($QV$2:$QY$13,$MO67,0),$NM67))=0,1,0))</f>
        <v/>
      </c>
      <c r="OB67" s="164">
        <f>IF(OR($NR67=0,$NN67=""),0,IF((COUNTIF(INDEX($EL$2:$EP$13,$MO67,0),$NN67)+COUNTIF(INDEX($QV$2:$QY$13,$MO67,0),$NN67))=0,1,0))</f>
        <v/>
      </c>
      <c r="OC67" s="164">
        <f>IFERROR(VLOOKUP(SUBSTITUTE(SUBSTITUTE(SUBSTITUTE($MX67,"~","~~"),"*","~*"),"?","~?"),'DADOS_MELHORIAS'!$AG$2:$AL$113,4,FALSE),0)+IFERROR(VLOOKUP(SUBSTITUTE(SUBSTITUTE(SUBSTITUTE($MY67,"~","~~"),"*","~*"),"?","~?"),'DADOS_MELHORIAS'!$AG$2:$AL$113,4,FALSE),0)+IFERROR(VLOOKUP(SUBSTITUTE(SUBSTITUTE(SUBSTITUTE($MZ67,"~","~~"),"*","~*"),"?","~?"),'DADOS_MELHORIAS'!$AG$2:$AL$113,4,FALSE),0)+IFERROR(VLOOKUP(SUBSTITUTE(SUBSTITUTE(SUBSTITUTE($NA67,"~","~~"),"*","~*"),"?","~?"),'DADOS_MELHORIAS'!$AG$2:$AL$113,4,FALSE),0)</f>
        <v/>
      </c>
      <c r="OD67" s="164">
        <f>IFERROR(VLOOKUP(SUBSTITUTE(SUBSTITUTE(SUBSTITUTE($MX67,"~","~~"),"*","~*"),"?","~?"),'DADOS_MELHORIAS'!$AG$2:$AL$113,6,FALSE),0)+IFERROR(VLOOKUP(SUBSTITUTE(SUBSTITUTE(SUBSTITUTE($MY67,"~","~~"),"*","~*"),"?","~?"),'DADOS_MELHORIAS'!$AG$2:$AL$113,6,FALSE),0)+IFERROR(VLOOKUP(SUBSTITUTE(SUBSTITUTE(SUBSTITUTE($MZ67,"~","~~"),"*","~*"),"?","~?"),'DADOS_MELHORIAS'!$AG$2:$AL$113,6,FALSE),0)+IFERROR(VLOOKUP(SUBSTITUTE(SUBSTITUTE(SUBSTITUTE($NA67,"~","~~"),"*","~*"),"?","~?"),'DADOS_MELHORIAS'!$AG$2:$AL$113,6,FALSE),0)+IFERROR(N(AND(INDEX('DADOS_FORMAS'!$AO$2:$AO$21,MATCH(SUBSTITUTE(SUBSTITUTE(SUBSTITUTE($MU67,"~","~~"),"*","~*"),"?","~?"),'DADOS_FORMAS'!$AH$2:$AH$21,0))="Acerto",$OH67=1)),0)</f>
        <v/>
      </c>
      <c r="OE67" s="164">
        <f>TEXTJOIN(", ",TRUE,IF(IFERROR(VLOOKUP(SUBSTITUTE(SUBSTITUTE(SUBSTITUTE($MX67,"~","~~"),"*","~*"),"?","~?"),'DADOS_MELHORIAS'!$AG$2:$AL$113,5,FALSE),0)=1,$MX67,""),IF(IFERROR(VLOOKUP(SUBSTITUTE(SUBSTITUTE(SUBSTITUTE($MY67,"~","~~"),"*","~*"),"?","~?"),'DADOS_MELHORIAS'!$AG$2:$AL$113,5,FALSE),0)=1,$MY67,""),IF(IFERROR(VLOOKUP(SUBSTITUTE(SUBSTITUTE(SUBSTITUTE($MZ67,"~","~~"),"*","~*"),"?","~?"),'DADOS_MELHORIAS'!$AG$2:$AL$113,5,FALSE),0)=1,$MZ67,""),IF(IFERROR(VLOOKUP(SUBSTITUTE(SUBSTITUTE(SUBSTITUTE($NA67,"~","~~"),"*","~*"),"?","~?"),'DADOS_MELHORIAS'!$AG$2:$AL$113,5,FALSE),0)=1,$NA67,""))</f>
        <v/>
      </c>
      <c r="OF67" s="164">
        <f>IF($NJ67=0,0,INDEX('DADOS_FORMAS'!$GC$2:$GC$21,$NJ67))</f>
        <v/>
      </c>
      <c r="OG67" s="164">
        <f>IF($NJ67=0,0,INDEX('DADOS_FORMAS'!$GD$2:$GD$21,$NJ67))</f>
        <v/>
      </c>
      <c r="OH67" s="164">
        <f>IF($NJ67=0,0,INDEX('DADOS_FORMAS'!$GF$2:$GF$21,$NJ67))</f>
        <v/>
      </c>
      <c r="OI67" s="164">
        <f>IFERROR(VLOOKUP(SUBSTITUTE(SUBSTITUTE(SUBSTITUTE($NB67,"~","~~"),"*","~*"),"?","~?"),'DADOS_RESTRICOES'!$M$2:$Q$54,3,FALSE),0)</f>
        <v/>
      </c>
      <c r="OJ67" s="164">
        <f>IFERROR(VLOOKUP(SUBSTITUTE(SUBSTITUTE(SUBSTITUTE($NC67,"~","~~"),"*","~*"),"?","~?"),'DADOS_RESTRICOES'!$M$2:$Q$54,3,FALSE),0)</f>
        <v/>
      </c>
      <c r="OK67" s="164">
        <f>IFERROR(VLOOKUP(SUBSTITUTE(SUBSTITUTE(SUBSTITUTE($NB67,"~","~~"),"*","~*"),"?","~?"),'DADOS_RESTRICOES'!$M$2:$Q$54,2,FALSE),"")</f>
        <v/>
      </c>
      <c r="OL67" s="164">
        <f>IFERROR(VLOOKUP(SUBSTITUTE(SUBSTITUTE(SUBSTITUTE($NC67,"~","~~"),"*","~*"),"?","~?"),'DADOS_RESTRICOES'!$M$2:$Q$54,2,FALSE),"")</f>
        <v/>
      </c>
      <c r="OM67" s="164">
        <f>COUNTIF($NS67:$NW67,1)</f>
        <v/>
      </c>
      <c r="ON67" s="164">
        <f>COUNTIF($NS67:$NW67,2)</f>
        <v/>
      </c>
      <c r="OO67" s="164">
        <f>COUNTIF($NS67:$NW67,3)</f>
        <v/>
      </c>
      <c r="OP67" s="164">
        <f>COUNTIF($NS67:$NW67,4)</f>
        <v/>
      </c>
      <c r="OQ67" s="164">
        <f>COUNTIF($NS67:$NW67,5)</f>
        <v/>
      </c>
      <c r="OR67" s="164">
        <f>COUNTIF($NS67:$NW67,6)</f>
        <v/>
      </c>
      <c r="OS67" s="164">
        <f>COUNTIF($OI67:$OJ67,1)+IF(IFERROR(INDEX('DADOS_FORMAS'!$AS$2:$AS$21,MATCH(SUBSTITUTE(SUBSTITUTE(SUBSTITUTE($MU67,"~","~~"),"*","~*"),"?","~?"),'DADOS_FORMAS'!$AH$2:$AH$21,0)),"")="",0,IFERROR(N(VLOOKUP(SUBSTITUTE(SUBSTITUTE(SUBSTITUTE(IFERROR(INDEX('DADOS_FORMAS'!$AS$2:$AS$21,MATCH(SUBSTITUTE(SUBSTITUTE(SUBSTITUTE($MU67,"~","~~"),"*","~*"),"?","~?"),'DADOS_FORMAS'!$AH$2:$AH$21,0)),""),"~","~~"),"*","~*"),"?","~?"),'DADOS_RESTRICOES'!$M$2:$Q$54,3,FALSE)=1),0))</f>
        <v/>
      </c>
      <c r="OT67" s="164">
        <f>COUNTIF($OI67:$OJ67,2)+IF(IFERROR(INDEX('DADOS_FORMAS'!$AS$2:$AS$21,MATCH(SUBSTITUTE(SUBSTITUTE(SUBSTITUTE($MU67,"~","~~"),"*","~*"),"?","~?"),'DADOS_FORMAS'!$AH$2:$AH$21,0)),"")="",0,IFERROR(N(VLOOKUP(SUBSTITUTE(SUBSTITUTE(SUBSTITUTE(IFERROR(INDEX('DADOS_FORMAS'!$AS$2:$AS$21,MATCH(SUBSTITUTE(SUBSTITUTE(SUBSTITUTE($MU67,"~","~~"),"*","~*"),"?","~?"),'DADOS_FORMAS'!$AH$2:$AH$21,0)),""),"~","~~"),"*","~*"),"?","~?"),'DADOS_RESTRICOES'!$M$2:$Q$54,3,FALSE)=2),0))</f>
        <v/>
      </c>
      <c r="OU67" s="164">
        <f>COUNTIF($MX67:$NA67,"?*")</f>
        <v/>
      </c>
      <c r="OV67" s="164">
        <f>COUNTIF($NB67:$NC67,"?*")+$OF67</f>
        <v/>
      </c>
      <c r="OW67" s="164">
        <f>IF($MS67=0,0,SUMPRODUCT($OM67:$OR67,INDEX($I$2:$N$8,MAX(1,$MS67),0)))</f>
        <v/>
      </c>
      <c r="OX67" s="164">
        <f>IF($MS67=0,0,$OS67*CEILING($MS67/2,1)+$OT67*$MS67)</f>
        <v/>
      </c>
      <c r="OY67" s="164">
        <f>MIN(2*$MS67,$OX67)</f>
        <v/>
      </c>
      <c r="OZ67" s="164">
        <f>MIN($OY67,$OW67-IF($NS67=0,0,INDEX($I$2:$N$8,MAX(1,$MS67),$NS67)))</f>
        <v/>
      </c>
      <c r="PA67" s="164">
        <f>$OY67-$OZ67</f>
        <v/>
      </c>
      <c r="PB67" s="164">
        <f>IF($MS67=0,0,INDEX($P$2:$P$8,MAX(1,$MS67)))</f>
        <v/>
      </c>
      <c r="PC67" s="164">
        <f>$PB67-$OW67+$OZ67</f>
        <v/>
      </c>
      <c r="PD67" s="164">
        <f>IF($MS67=0,MAX(0,$NG67-IF(AND($OU67&gt;0,COUNTIF($NB67:$NC67,"?*")=0),1,0)),MAX(0,$PC67))</f>
        <v/>
      </c>
      <c r="PE67" s="164">
        <f>IF($MS67=0,0,(IF(COUNTIF($RK67:$RN67,"Salto")&gt;0,1,0)+IF(COUNTIF($RK67:$RN67,"Queima")&gt;0,1,0)+IF(COUNTIF($RK67:$RN67,"Estilhaço")&gt;0,1,0))*FLOOR($PD67/2,1))</f>
        <v/>
      </c>
      <c r="PF67" s="164">
        <f>MAX(0,2-SUMPRODUCT($OM67:$OR67,$I$2:$N$2)+MIN(2,$OS67*1+$OT67*1,SUMPRODUCT($OM67:$OR67,$I$2:$N$2)-IF($NS67=0,0,INDEX($I$2:$N$2,1,$NS67))))</f>
        <v/>
      </c>
      <c r="PG67" s="164">
        <f>MAX(0,4-SUMPRODUCT($OM67:$OR67,$I$3:$N$3)+MIN(4,$OS67*1+$OT67*2,SUMPRODUCT($OM67:$OR67,$I$3:$N$3)-IF($NS67=0,0,INDEX($I$3:$N$3,1,$NS67))))</f>
        <v/>
      </c>
      <c r="PH67" s="164">
        <f>MAX(0,6-SUMPRODUCT($OM67:$OR67,$I$4:$N$4)+MIN(6,$OS67*2+$OT67*3,SUMPRODUCT($OM67:$OR67,$I$4:$N$4)-IF($NS67=0,0,INDEX($I$4:$N$4,1,$NS67))))</f>
        <v/>
      </c>
      <c r="PI67" s="164">
        <f>MAX(0,9-SUMPRODUCT($OM67:$OR67,$I$5:$N$5)+MIN(8,$OS67*2+$OT67*4,SUMPRODUCT($OM67:$OR67,$I$5:$N$5)-IF($NS67=0,0,INDEX($I$5:$N$5,1,$NS67))))</f>
        <v/>
      </c>
      <c r="PJ67" s="164">
        <f>MAX(0,11-SUMPRODUCT($OM67:$OR67,$I$6:$N$6)+MIN(10,$OS67*3+$OT67*5,SUMPRODUCT($OM67:$OR67,$I$6:$N$6)-IF($NS67=0,0,INDEX($I$6:$N$6,1,$NS67))))</f>
        <v/>
      </c>
      <c r="PK67" s="164">
        <f>MAX(0,13-SUMPRODUCT($OM67:$OR67,$I$7:$N$7)+MIN(12,$OS67*3+$OT67*6,SUMPRODUCT($OM67:$OR67,$I$7:$N$7)-IF($NS67=0,0,INDEX($I$7:$N$7,1,$NS67))))</f>
        <v/>
      </c>
      <c r="PL67" s="164">
        <f>MAX(0,16-SUMPRODUCT($OM67:$OR67,$I$8:$N$8)+MIN(14,$OS67*4+$OT67*7,SUMPRODUCT($OM67:$OR67,$I$8:$N$8)-IF($NS67=0,0,INDEX($I$8:$N$8,1,$NS67))))</f>
        <v/>
      </c>
      <c r="PM67" s="164">
        <f>IF($OG67=2,3*$PF67&amp;" de vida temp.",IF($OG67=3,"sem dano",IF($PF67=0,IF($OG67=1,"sem cura","sem dano"),IF($OG67=1,"cura ","")&amp;$PF67&amp;"d8")))</f>
        <v/>
      </c>
      <c r="PN67" s="164">
        <f>IF($OG67=2,3*$PG67&amp;" de vida temp.",IF($OG67=3,"sem dano",IF($PG67=0,IF($OG67=1,"sem cura","sem dano"),IF($OG67=1,"cura ","")&amp;$PG67&amp;"d8")))</f>
        <v/>
      </c>
      <c r="PO67" s="164">
        <f>IF($OG67=2,3*$PH67&amp;" de vida temp.",IF($OG67=3,"sem dano",IF($PH67=0,IF($OG67=1,"sem cura","sem dano"),IF($OG67=1,"cura ","")&amp;$PH67&amp;"d8")))</f>
        <v/>
      </c>
      <c r="PP67" s="164">
        <f>IF($OG67=2,3*$PI67&amp;" de vida temp.",IF($OG67=3,"sem dano",IF($PI67=0,IF($OG67=1,"sem cura","sem dano"),IF($OG67=1,"cura ","")&amp;$PI67&amp;"d8")))</f>
        <v/>
      </c>
      <c r="PQ67" s="164">
        <f>IF($OG67=2,3*$PJ67&amp;" de vida temp.",IF($OG67=3,"sem dano",IF($PJ67=0,IF($OG67=1,"sem cura","sem dano"),IF($OG67=1,"cura ","")&amp;$PJ67&amp;"d8")))</f>
        <v/>
      </c>
      <c r="PR67" s="164">
        <f>IF($OG67=2,3*$PK67&amp;" de vida temp.",IF($OG67=3,"sem dano",IF($PK67=0,IF($OG67=1,"sem cura","sem dano"),IF($OG67=1,"cura ","")&amp;$PK67&amp;"d8")))</f>
        <v/>
      </c>
      <c r="PS67" s="164">
        <f>IF($OG67=2,3*$PL67&amp;" de vida temp.",IF($OG67=3,"sem dano",IF($PL67=0,IF($OG67=1,"sem cura","sem dano"),IF($OG67=1,"cura ","")&amp;$PL67&amp;"d8")))</f>
        <v/>
      </c>
      <c r="PT67" s="164">
        <f>IF($ND67=0,"",TEXTJOIN(" · ",TRUE,IF($ND67=0,"",TEXTJOIN(" · ",TRUE,IF($ND67=0,"",TEXTJOIN(" · ",TRUE,IF($MQ67&gt;$NE67,"Este lugar abre no nível "&amp;$MQ67,""),IF($MS67&gt;$NF67,"Classe "&amp;$MS67&amp;": o nível "&amp;$NE67&amp;" libera até a "&amp;$NF67,""),IF($NX67=1,"A Forma "&amp;$MU67&amp;" pede "&amp;INDEX('DADOS_FORMAS'!$GA$2:$GA$21,$NJ67)&amp;" aberta",""),IF(AND($MS67=0,$NJ67&gt;0,IF($NJ67=0,0,INDEX('DADOS_FORMAS'!$GJ$2:$GJ$21,$NJ67))=0),$MU67&amp;" não existe na Classe 0",""),IF($NY67=1,"Família Fechada: "&amp;$MX67,""),IF($NZ67=1,"Família Fechada: "&amp;$MY67,""),IF($OA67=1,"Família Fechada: "&amp;$MZ67,""),IF($OB67=1,"Família Fechada: "&amp;$NA67,""),IF(AND($MS67&gt;0,$OU67&gt;INDEX($O$2:$O$8,MAX(1,$MS67))),$OU67&amp;" Melhorias: a Classe "&amp;$MS67&amp;" aceita "&amp;INDEX($O$2:$O$8,MAX(1,$MS67)),""),IF(AND($MS67=0,$OU67&gt;1),"A básica aceita uma Melhoria",""),IF(AND($MS67=0,COUNTIF($NO67:$NR67,"&gt;1")&gt;0),"A básica só aceita Melhoria Leve",""),IF(AND($MS67&gt;0,$OV67&gt;2),$OV67&amp;" Restrições"&amp;IF($OF67=1,", contando a que a Forma "&amp;$MU67&amp;" já traz","")&amp;": o limite é 2",""),IF(AND($MS67=0,COUNTIF($NB67:$NC67,"?*")&gt;1),"A básica aceita uma Restrição Leve",""),IF(AND($MS67=0,COUNTIF($OI67:$OJ67,2)&gt;0),"A básica só aceita Restrição Leve",""),IF(AND($MS67&gt;0,$PC67&lt;0),"Orçamento estourado: faltam "&amp;(-$PC67)&amp;IF($PC67&lt;-1," pontos"," ponto"),""),IF(IFERROR(VLOOKUP(SUBSTITUTE(SUBSTITUTE(SUBSTITUTE($NB67,"~","~~"),"*","~*"),"?","~?"),'DADOS_RESTRICOES'!$M$2:$Q$54,4,FALSE),0)+IFERROR(VLOOKUP(SUBSTITUTE(SUBSTITUTE(SUBSTITUTE($NC67,"~","~~"),"*","~*"),"?","~?"),'DADOS_RESTRICOES'!$M$2:$Q$54,4,FALSE),0)&gt;1,$OK67&amp;" e "&amp;$OL67&amp;" são as duas de frequência",""),IF(AND((COUNTIF($RK67:$RN67,"Rápido")+COUNTIF($OK67:$OL67,"Rápido"))&gt;0,(COUNTIF($MX67:$NA67,"Atrasar")+COUNTIF($OK67:$OL67,"Atrasar"))&gt;0),"Rápido não entra com Atrasar",""),IF(AND((COUNTIF($RK67:$RN67,"Reação")+COUNTIF($OK67:$OL67,"Reação"))&gt;0,(COUNTIF($RK67:$RN67,"Rápido")+COUNTIF($OK67:$OL67,"Rápido"))&gt;0),"Reação não entra com Rápido",""),IF(AND((COUNTIF($RK67:$RN67,"Reação")+COUNTIF($OK67:$OL67,"Reação"))&gt;0,(COUNTIF($RK67:$RN67,"Armado")+COUNTIF($OK67:$OL67,"Armado"))&gt;0),"Reação não entra com Armado",""),IF(AND((COUNTIF($RK67:$RN67,"Reação")+COUNTIF($OK67:$OL67,"Reação"))&gt;0,(COUNTIF($MX67:$NA67,"Atrasar")+COUNTIF($OK67:$OL67,"Atrasar"))&gt;0),"Reação não entra com Atrasar",""),IF(AND((COUNTIF($RK67:$RN67,"Reação")+COUNTIF($OK67:$OL67,"Reação"))&gt;0,(COUNTIF($MX67:$NA67,"Parado")+COUNTIF($OK67:$OL67,"Parado"))&gt;0),"Reação não entra com Parado",""),IF(AND((COUNTIF($MX67:$NA67,"Atrasar")+COUNTIF($OK67:$OL67,"Atrasar"))&gt;0,(COUNTIF($MX67:$NA67,"Parado")+COUNTIF($OK67:$OL67,"Parado"))&gt;0),"Atrasar não entra com Parado",""),IF(AND((COUNTIF($RK67:$RN67,"Armado")+COUNTIF($OK67:$OL67,"Armado"))&gt;0,(COUNTIF($MX67:$NA67,"Carregar")+COUNTIF($OK67:$OL67,"Carregar"))&gt;0),"Armado não entra com Carregar",""),IF(AND(COUNTIF($OK67:$OL67,"Corpo a Corpo")&gt;0,$OF67=0,OR($RO67="Cone",$RO67="Linha")),"Corpo a Corpo não entra em "&amp;$MU67,""),IF(AND(COUNTIF($OK67:$OL67,"Corpo a Corpo")&gt;0,$RP67="Corpo a Corpo"),"A Forma "&amp;$MU67&amp;" já traz o Corpo a Corpo",""),IF(AND(COUNTIF($OK67:$OL67,"Tudo ou Nada")&gt;0,$OH67=0),"Tudo ou Nada só entra em habilidade de Teste de Resistência",""),IF(AND(COUNTIF($RK67:$RN67,"Inescapável")&gt;0,OR($OU67&gt;1,$OV67&gt;0)),"Inescapável não aceita outra peça",""),IF(AND($MS67&gt;0,$PD67*IF(COUNTIF($RK67:$RN67,"Remate")&gt;0,1.25,1)+$PE67&gt;4*$MS67),($PD67*IF(COUNTIF($RK67:$RN67,"Remate")&gt;0,1.25,1)+$PE67)&amp;" dados somando repetições"&amp;IF(COUNTIF($RK67:$RN67,"Remate")&gt;0," e o Remate","")&amp;": o teto da Classe "&amp;$MS67&amp;" é "&amp;4*$MS67,""))),IF(AND($MX67&lt;&gt;"",COUNTIF('DADOS_MELHORIAS'!$O$2:$O$113,SUBSTITUTE(SUBSTITUTE(SUBSTITUTE($MX67,"~","~~"),"*","~*"),"?","~?"))=0),"Melhoria não cadastrada ou com erro: "&amp;$MX67,""),IF(AND($MY67&lt;&gt;"",COUNTIF('DADOS_MELHORIAS'!$O$2:$O$113,SUBSTITUTE(SUBSTITUTE(SUBSTITUTE($MY67,"~","~~"),"*","~*"),"?","~?"))=0),"Melhoria não cadastrada ou com erro: "&amp;$MY67,""),IF(AND($MZ67&lt;&gt;"",COUNTIF('DADOS_MELHORIAS'!$O$2:$O$113,SUBSTITUTE(SUBSTITUTE(SUBSTITUTE($MZ67,"~","~~"),"*","~*"),"?","~?"))=0),"Melhoria não cadastrada ou com erro: "&amp;$MZ67,""),IF(AND($NA67&lt;&gt;"",COUNTIF('DADOS_MELHORIAS'!$O$2:$O$113,SUBSTITUTE(SUBSTITUTE(SUBSTITUTE($NA67,"~","~~"),"*","~*"),"?","~?"))=0),"Melhoria não cadastrada ou com erro: "&amp;$NA67,""),IF(AND($NB67&lt;&gt;"",COUNTIF('DADOS_RESTRICOES'!$M$2:$M$54,SUBSTITUTE(SUBSTITUTE(SUBSTITUTE($NB67,"~","~~"),"*","~*"),"?","~?"))=0),"Restrição não cadastrada ou com erro: "&amp;$NB67,""),IF(AND($NC67&lt;&gt;"",COUNTIF('DADOS_RESTRICOES'!$M$2:$M$54,SUBSTITUTE(SUBSTITUTE(SUBSTITUTE($NC67,"~","~~"),"*","~*"),"?","~?"))=0),"Restrição não cadastrada ou com erro: "&amp;$NC67,""))),IF(AND($MU67&lt;&gt;"",COUNTIF('DADOS_FORMAS'!$AH$2:$AH$21,SUBSTITUTE(SUBSTITUTE(SUBSTITUTE($MU67,"~","~~"),"*","~*"),"?","~?"))=0),"Forma não cadastrada ou com erro: "&amp;$MU67,""),IF(AND(IFERROR(INDEX('DADOS_FORMAS'!$AS$2:$AS$21,MATCH(SUBSTITUTE(SUBSTITUTE(SUBSTITUTE($MU67,"~","~~"),"*","~*"),"?","~?"),'DADOS_FORMAS'!$AH$2:$AH$21,0)),"")&lt;&gt;"",OR(IFERROR(VLOOKUP(SUBSTITUTE(SUBSTITUTE(SUBSTITUTE(IFERROR(INDEX('DADOS_FORMAS'!$AS$2:$AS$21,MATCH(SUBSTITUTE(SUBSTITUTE(SUBSTITUTE($MU67,"~","~~"),"*","~*"),"?","~?"),'DADOS_FORMAS'!$AH$2:$AH$21,0)),""),"~","~~"),"*","~*"),"?","~?"),'DADOS_RESTRICOES'!$M$2:$Q$54,2,FALSE),"")=$OK67,IFERROR(VLOOKUP(SUBSTITUTE(SUBSTITUTE(SUBSTITUTE(IFERROR(INDEX('DADOS_FORMAS'!$AS$2:$AS$21,MATCH(SUBSTITUTE(SUBSTITUTE(SUBSTITUTE($MU67,"~","~~"),"*","~*"),"?","~?"),'DADOS_FORMAS'!$AH$2:$AH$21,0)),""),"~","~~"),"*","~*"),"?","~?"),'DADOS_RESTRICOES'!$M$2:$Q$54,2,FALSE),"")=$OL67)),"Restrição repetida, contando a embutida",""),IF(IF(IFERROR(INDEX('DADOS_FORMAS'!$AS$2:$AS$21,MATCH(SUBSTITUTE(SUBSTITUTE(SUBSTITUTE($MU67,"~","~~"),"*","~*"),"?","~?"),'DADOS_FORMAS'!$AH$2:$AH$21,0)),"")="",0,IFERROR(N(VLOOKUP(SUBSTITUTE(SUBSTITUTE(SUBSTITUTE(IFERROR(INDEX('DADOS_FORMAS'!$AS$2:$AS$21,MATCH(SUBSTITUTE(SUBSTITUTE(SUBSTITUTE($MU67,"~","~~"),"*","~*"),"?","~?"),'DADOS_FORMAS'!$AH$2:$AH$21,0)),""),"~","~~"),"*","~*"),"?","~?"),'DADOS_RESTRICOES'!$M$2:$Q$54,4,FALSE)=1),0))+IF($NB67="",0,IFERROR(N(VLOOKUP(SUBSTITUTE(SUBSTITUTE(SUBSTITUTE($NB67,"~","~~"),"*","~*"),"?","~?"),'DADOS_RESTRICOES'!$M$2:$Q$54,4,FALSE)=1),0))+IF($NC67="",0,IFERROR(N(VLOOKUP(SUBSTITUTE(SUBSTITUTE(SUBSTITUTE($NC67,"~","~~"),"*","~*"),"?","~?"),'DADOS_RESTRICOES'!$M$2:$Q$54,4,FALSE)=1),0))&gt;1,"Duas Restrições de frequência, contando a embutida",""),IF(AND(IFERROR(VLOOKUP(SUBSTITUTE(SUBSTITUTE(SUBSTITUTE(IFERROR(INDEX('DADOS_FORMAS'!$AS$2:$AS$21,MATCH(SUBSTITUTE(SUBSTITUTE(SUBSTITUTE($MU67,"~","~~"),"*","~*"),"?","~?"),'DADOS_FORMAS'!$AH$2:$AH$21,0)),""),"~","~~"),"*","~*"),"?","~?"),'DADOS_RESTRICOES'!$M$2:$Q$54,2,FALSE),"")="Tudo ou Nada",$OH67=0),"Tudo ou Nada exige TR",""),IF(AND(IFERROR(VLOOKUP(SUBSTITUTE(SUBSTITUTE(SUBSTITUTE(IFERROR(INDEX('DADOS_FORMAS'!$AS$2:$AS$21,MATCH(SUBSTITUTE(SUBSTITUTE(SUBSTITUTE($MU67,"~","~~"),"*","~*"),"?","~?"),'DADOS_FORMAS'!$AH$2:$AH$21,0)),""),"~","~~"),"*","~*"),"?","~?"),'DADOS_RESTRICOES'!$M$2:$Q$54,2,FALSE),"")="Corpo a Corpo",OR($RO67="Cone",$RO67="Linha")),"Corpo a Corpo não entra em Cone/Linha","")))</f>
        <v/>
      </c>
      <c r="PU67" s="164">
        <f>IF($PT67="",0,(LEN($PT67)-LEN(SUBSTITUTE($PT67," · ","")))/3+1)</f>
        <v/>
      </c>
      <c r="PV67" s="164">
        <f>IF($ND67=0,"",TEXTJOIN(" · ",TRUE,IF($OX67&gt;2*$MS67,"A devolução parou no teto de "&amp;2*$MS67,""),IF($PA67&gt;0,"Devolução perdida: "&amp;$PA67&amp;IF($PA67&gt;1," pontos"," ponto")&amp;" sem Melhoria para pagar",""),IF(AND($OC67&gt;0,AND($MS67&gt;0,$OG67=0),$PD67=0),"Controle sem dano: uma rodada a mais e CD +2",""),IF(AND($OC67&gt;0,AND($MS67&gt;0,$OG67=0),$PD67&gt;0,$PD67&lt;=$MS67),"Controle com saldo até a Classe: uma rodada a mais",""),IF(AND($MS67&gt;0,$OE67&lt;&gt;""),"Efeito de "&amp;$OE67&amp;" pela Classe "&amp;MAX(1,$MS67-1),"")))</f>
        <v/>
      </c>
      <c r="PW67" s="164">
        <f>IF($PV67="",0,(LEN($PV67)-LEN(SUBSTITUTE($PV67," · ","")))/3+1)</f>
        <v/>
      </c>
      <c r="PX67" s="164">
        <f>IF($ND67=0,IF($OU67+COUNTIF($NB67:$NC67,"?*")&gt;0,"Dê um nome",""),IF($PU67&gt;0,"⚠ "&amp;$PU67&amp;IF($PU67&gt;1," erros"," erro"),IF($PW67&gt;0,"! "&amp;$PW67&amp;IF($PW67&gt;1," avisos"," aviso"),"Na regra")))</f>
        <v/>
      </c>
      <c r="PY67" s="164">
        <f>IF($ND67=0,"",IF($PU67+$PW67=0,"Dentro das regras que a ficha confere",$PT67&amp;IF(AND($PU67&gt;0,$PW67&gt;0)," · ","")&amp;$PV67))</f>
        <v/>
      </c>
      <c r="PZ67" s="164">
        <f>IF($MQ67&gt;$NE67,$MR67&amp;" · ABRE NO NÍVEL "&amp;$MQ67,$MR67)</f>
        <v/>
      </c>
      <c r="QA67" s="164">
        <f>IF($ND67=0,"",IF($MS67=0,"Sem PE",3*$MS67&amp;" PE"))</f>
        <v/>
      </c>
      <c r="QB67" s="164">
        <f>IF($ND67=0,"",IF($MS67=0,"A atuação básica dela",IF(COUNTIF($RQ67:$RS67,"Atrasar")&gt;0,"Sua Ação Completa",IF(COUNTIF($RK67:$RN67,"Rápido")&gt;0,"Sua Bônus",IF(COUNTIF($RK67:$RN67,"Reação")&gt;0,"Sua Reação","Sua Padrão")))&amp;" + a básica dela"&amp;IF(COUNTIF($RK67:$RN67,"Reação")&gt;0," e a coletiva","")&amp;IF(COUNTIF($RQ67:$RS67,"Carregar")&gt;0," · em dois turnos","")))</f>
        <v/>
      </c>
      <c r="QC67" s="164">
        <f>IF($MW67&lt;&gt;"",$MW67,IF($NJ67=0,"",INDEX('DADOS_FORMAS'!$GE$2:$GE$21,$NJ67)))</f>
        <v/>
      </c>
      <c r="QD67" s="164">
        <f>IF(OR($ND67=0,$NJ67=0),"",IF(COUNTIF($RK67:$RN67,"Inescapável")&gt;0,"Automático",IF($QC67="Ataque",IF($NH67="","Ataque","Ataque "&amp;IF(($NH67+2*IF(COUNTIF($RK67:$RN67,"Precisão")&gt;0,1,0))&gt;=0,"+","−")&amp;ABS(($NH67+2*IF(COUNTIF($RK67:$RN67,"Precisão")&gt;0,1,0))))&amp;IF($OD67&gt;0," · TR"&amp;IF($NI67="",""," CD "&amp;$NI67),""),IF(LEFT($QC67,2)="TR",$QC67&amp;IF($NI67="",""," · CD "&amp;$NI67)&amp;IF(COUNTIF($RK67:$RN67,"Certeiro")&gt;0," · metade",""),"Sem rolagem"))))</f>
        <v/>
      </c>
      <c r="QE67" s="164">
        <f>IF(OR($ND67=0,$NJ67=0),"",IF($MS67=0,IF(OR($OG67&gt;=1,$PD67=0),"Sem dano",$PD67&amp;"d6"&amp;IF($MV67="",""," "&amp;$MV67)),IF(OR($OG67&gt;=1,$PD67=0),UPPER(LEFT(INDEX($PM67:$PS67,1,MAX(1,$MS67)),1))&amp;MID(INDEX($PM67:$PS67,1,MAX(1,$MS67)),2,99),UPPER(LEFT(INDEX($PM67:$PS67,1,MAX(1,$MS67)),1))&amp;MID(INDEX($PM67:$PS67,1,MAX(1,$MS67)),2,99)&amp;IF($MV67="",""," "&amp;$MV67)&amp;IF($PE67&gt;0," · +"&amp;$PE67&amp;"d8",""))))</f>
        <v/>
      </c>
      <c r="QF67" s="164">
        <f>COUNTIF($RK67:$RN67,"Longe")+3*COUNTIF($RK67:$RN67,"Muito Longe")</f>
        <v/>
      </c>
      <c r="QG67" s="164">
        <f>COUNTIF($RK67:$RN67,"Maior")+3*COUNTIF($RK67:$RN67,"Muito Maior")</f>
        <v/>
      </c>
      <c r="QH67" s="164">
        <f>IF($NJ67=0,0,CHOOSE(1+INDEX('DADOS_FORMAS'!$GG$2:$GG$21,$NJ67),0,$QF67,$QG67,$QF67+$QG67))</f>
        <v/>
      </c>
      <c r="QI67" s="164">
        <f>IF($NJ67=0,0,CHOOSE(1+INDEX('DADOS_FORMAS'!$GH$2:$GH$21,$NJ67),0,$QF67,$QG67,$QF67+$QG67))</f>
        <v/>
      </c>
      <c r="QJ67" s="164">
        <f>IF(OR($ND67=0,$NJ67=0),"",INDEX('DADOS_FORMAS'!$HU$2:$HZ$81,($NJ67-1)*4+IF($MS67=0,1,IF($MS67&lt;=5,2,IF($MS67=6,3,4))),1+MIN(5,$QH67))&amp;INDEX('DADOS_FORMAS'!$IA$2:$IF$81,($NJ67-1)*4+IF($MS67=0,1,IF($MS67&lt;=5,2,IF($MS67=6,3,4))),1+MIN(5,$QI67))&amp;IF(INDEX('DADOS_FORMAS'!$GI$2:$GI$21,$NJ67)=1,IF(COUNTIF($RK67:$RN67,"Mais Um")&gt;0," · +"&amp;COUNTIF($RK67:$RN67,"Mais Um")&amp;IF(COUNTIF($RK67:$RN67,"Mais Um")&gt;1," alvos"," alvo"),"")&amp;IF(COUNTIF($RK67:$RN67,"Rajada")&gt;0,IF($MS67=0," · 1 tiro"," · "&amp;(MAX(1,$MS67-1)+1)&amp;" tiros"),""),""))</f>
        <v/>
      </c>
      <c r="QK67" s="164">
        <f>IF($ND67=0,"",IF($MS67=0,$NG67&amp;"d6"&amp;IF($OU67&gt;0," − 1 = "&amp;$PD67&amp;"d6"," da básica do nível "&amp;$NE67),$PB67&amp;" − "&amp;$OW67&amp;" + "&amp;$OZ67&amp;" = "&amp;$PC67&amp;" · teto "&amp;4*$MS67&amp;"d8"&amp;IF($OF67=1," · a Forma devolve "&amp;$MS67,"")&amp;IF($PA67&gt;0," · perde "&amp;$PA67,"")))</f>
        <v/>
      </c>
      <c r="QL67" s="164">
        <f>IF($ND67=0,"",IF($MS67=0,"A básica não amplia: os dados dela sobem com o nível",IF($MS67&gt;=$NF67,"Já está na maior Classe que o nível liberou",TEXTJOIN(" · ",TRUE,IF(AND(2&gt;$MS67,2&lt;=$NF67),"2 → "&amp;$PN67&amp;", 6 PE",""),IF(AND(3&gt;$MS67,3&lt;=$NF67),"3 → "&amp;$PO67&amp;", 9 PE",""),IF(AND(4&gt;$MS67,4&lt;=$NF67),"4 → "&amp;$PP67&amp;", 12 PE",""),IF(AND(5&gt;$MS67,5&lt;=$NF67),"5 → "&amp;$PQ67&amp;", 15 PE",""),IF(AND(6&gt;$MS67,6&lt;=$NF67),"6 → "&amp;$PR67&amp;", 18 PE",""),IF(AND(7&gt;$MS67,7&lt;=$NF67),"7 → "&amp;$PS67&amp;", 21 PE","")))))</f>
        <v/>
      </c>
      <c r="QM67" s="164">
        <f>IF(OR($ND67=0,$NO67=0),"",IF($MS67=0,"−1 dado","−"&amp;INDEX($I$2:$N$8,MAX(1,$MS67),MAX(1,$NT67))&amp;" · "&amp;CHOOSE(MAX(1,$NT67),"Leve","Média","Pesada","Leve · Livre","Média · Livre","Pesada · Livre")))</f>
        <v/>
      </c>
      <c r="QN67" s="164">
        <f>IF(OR($ND67=0,$NP67=0),"",IF($MS67=0,"−1 dado","−"&amp;INDEX($I$2:$N$8,MAX(1,$MS67),MAX(1,$NU67))&amp;" · "&amp;CHOOSE(MAX(1,$NU67),"Leve","Média","Pesada","Leve · Livre","Média · Livre","Pesada · Livre")))</f>
        <v/>
      </c>
      <c r="QO67" s="164">
        <f>IF(OR($ND67=0,$NQ67=0),"",IF($MS67=0,"−1 dado","−"&amp;INDEX($I$2:$N$8,MAX(1,$MS67),MAX(1,$NV67))&amp;" · "&amp;CHOOSE(MAX(1,$NV67),"Leve","Média","Pesada","Leve · Livre","Média · Livre","Pesada · Livre")))</f>
        <v/>
      </c>
      <c r="QP67" s="164">
        <f>IF(OR($ND67=0,$NR67=0),"",IF($MS67=0,"−1 dado","−"&amp;INDEX($I$2:$N$8,MAX(1,$MS67),MAX(1,$NW67))&amp;" · "&amp;CHOOSE(MAX(1,$NW67),"Leve","Média","Pesada","Leve · Livre","Média · Livre","Pesada · Livre")))</f>
        <v/>
      </c>
      <c r="QQ67" s="164">
        <f>IF(OR($ND67=0,$NB67=""),"",IF($MS67=0,"não devolve","+"&amp;IF($OI67=1,CEILING($MS67/2,1),$MS67)))</f>
        <v/>
      </c>
      <c r="QR67" s="164">
        <f>IF(OR($ND67=0,$NC67=""),"",IF($MS67=0,"não devolve","+"&amp;IF($OJ67=1,CEILING($MS67/2,1),$MS67)))</f>
        <v/>
      </c>
      <c r="RK67">
        <f>IF($MX67="","",IFERROR(VLOOKUP(SUBSTITUTE(SUBSTITUTE(SUBSTITUTE($MX67,"~","~~"),"*","~*"),"?","~?"),'DADOS_MELHORIAS'!$O$2:$X$113,10,FALSE),$MX67))</f>
        <v/>
      </c>
      <c r="RL67">
        <f>IF($MY67="","",IFERROR(VLOOKUP(SUBSTITUTE(SUBSTITUTE(SUBSTITUTE($MY67,"~","~~"),"*","~*"),"?","~?"),'DADOS_MELHORIAS'!$O$2:$X$113,10,FALSE),$MY67))</f>
        <v/>
      </c>
      <c r="RM67">
        <f>IF($MZ67="","",IFERROR(VLOOKUP(SUBSTITUTE(SUBSTITUTE(SUBSTITUTE($MZ67,"~","~~"),"*","~*"),"?","~?"),'DADOS_MELHORIAS'!$O$2:$X$113,10,FALSE),$MZ67))</f>
        <v/>
      </c>
      <c r="RN67">
        <f>IF($NA67="","",IFERROR(VLOOKUP(SUBSTITUTE(SUBSTITUTE(SUBSTITUTE($NA67,"~","~~"),"*","~*"),"?","~?"),'DADOS_MELHORIAS'!$O$2:$X$113,10,FALSE),$NA67))</f>
        <v/>
      </c>
      <c r="RO67">
        <f>IFERROR(INDEX('DADOS_FORMAS'!$BJ$2:$BJ$21,MATCH(SUBSTITUTE(SUBSTITUTE(SUBSTITUTE($MU67,"~","~~"),"*","~*"),"?","~?"),'DADOS_FORMAS'!$AH$2:$AH$21,0)),"")</f>
        <v/>
      </c>
      <c r="RP67">
        <f>IFERROR(VLOOKUP(SUBSTITUTE(SUBSTITUTE(SUBSTITUTE(IFERROR(INDEX('DADOS_FORMAS'!$AS$2:$AS$21,MATCH(SUBSTITUTE(SUBSTITUTE(SUBSTITUTE($MU67,"~","~~"),"*","~*"),"?","~?"),'DADOS_FORMAS'!$AH$2:$AH$21,0)),""),"~","~~"),"*","~*"),"?","~?"),'DADOS_RESTRICOES'!$M$2:$Q$54,2,FALSE),"")</f>
        <v/>
      </c>
      <c r="RQ67">
        <f>$OK67</f>
        <v/>
      </c>
      <c r="RR67">
        <f>$OL67</f>
        <v/>
      </c>
      <c r="RS67">
        <f>$RP67</f>
        <v/>
      </c>
    </row>
    <row r="68">
      <c r="AV68" s="162" t="inlineStr">
        <is>
          <t>Alvo de Caça</t>
        </is>
      </c>
      <c r="AW68" s="162" t="inlineStr">
        <is>
          <t>Marca</t>
        </is>
      </c>
      <c r="AX68" s="164" t="n">
        <v>1</v>
      </c>
      <c r="AY68" s="164" t="n">
        <v>0</v>
      </c>
      <c r="AZ68" s="164" t="n">
        <v>0</v>
      </c>
      <c r="BA68" s="164" t="n">
        <v>0</v>
      </c>
      <c r="JT68" s="164">
        <f>IF(OR($AW68="",(COUNTIF($EL$2:$EP$2,$AW68)+COUNTIF($QV$2:$QY$2,$AW68))&gt;0),$AV68,"")</f>
        <v/>
      </c>
      <c r="JU68" s="164">
        <f>IF(AND($AX68=1,OR($AW68="",(COUNTIF($EL$2:$EP$2,$AW68)+COUNTIF($QV$2:$QY$2,$AW68))&gt;0)),$AV68,"")</f>
        <v/>
      </c>
      <c r="JZ68" s="164">
        <f>IF(OR($AW68="",(COUNTIF($EL$3:$EP$3,$AW68)+COUNTIF($QV$3:$QY$3,$AW68))&gt;0),$AV68,"")</f>
        <v/>
      </c>
      <c r="KA68" s="164">
        <f>IF(AND($AX68=1,OR($AW68="",(COUNTIF($EL$3:$EP$3,$AW68)+COUNTIF($QV$3:$QY$3,$AW68))&gt;0)),$AV68,"")</f>
        <v/>
      </c>
      <c r="KF68" s="164">
        <f>IF(OR($AW68="",(COUNTIF($EL$4:$EP$4,$AW68)+COUNTIF($QV$4:$QY$4,$AW68))&gt;0),$AV68,"")</f>
        <v/>
      </c>
      <c r="KG68" s="164">
        <f>IF(AND($AX68=1,OR($AW68="",(COUNTIF($EL$4:$EP$4,$AW68)+COUNTIF($QV$4:$QY$4,$AW68))&gt;0)),$AV68,"")</f>
        <v/>
      </c>
      <c r="KL68" s="164">
        <f>IF(OR($AW68="",(COUNTIF($EL$5:$EP$5,$AW68)+COUNTIF($QV$5:$QY$5,$AW68))&gt;0),$AV68,"")</f>
        <v/>
      </c>
      <c r="KM68" s="164">
        <f>IF(AND($AX68=1,OR($AW68="",(COUNTIF($EL$5:$EP$5,$AW68)+COUNTIF($QV$5:$QY$5,$AW68))&gt;0)),$AV68,"")</f>
        <v/>
      </c>
      <c r="KR68" s="164">
        <f>IF(OR($AW68="",(COUNTIF($EL$6:$EP$6,$AW68)+COUNTIF($QV$6:$QY$6,$AW68))&gt;0),$AV68,"")</f>
        <v/>
      </c>
      <c r="KS68" s="164">
        <f>IF(AND($AX68=1,OR($AW68="",(COUNTIF($EL$6:$EP$6,$AW68)+COUNTIF($QV$6:$QY$6,$AW68))&gt;0)),$AV68,"")</f>
        <v/>
      </c>
      <c r="KX68" s="164">
        <f>IF(OR($AW68="",(COUNTIF($EL$7:$EP$7,$AW68)+COUNTIF($QV$7:$QY$7,$AW68))&gt;0),$AV68,"")</f>
        <v/>
      </c>
      <c r="KY68" s="164">
        <f>IF(AND($AX68=1,OR($AW68="",(COUNTIF($EL$7:$EP$7,$AW68)+COUNTIF($QV$7:$QY$7,$AW68))&gt;0)),$AV68,"")</f>
        <v/>
      </c>
      <c r="LD68" s="164">
        <f>IF(OR($AW68="",(COUNTIF($EL$8:$EP$8,$AW68)+COUNTIF($QV$8:$QY$8,$AW68))&gt;0),$AV68,"")</f>
        <v/>
      </c>
      <c r="LE68" s="164">
        <f>IF(AND($AX68=1,OR($AW68="",(COUNTIF($EL$8:$EP$8,$AW68)+COUNTIF($QV$8:$QY$8,$AW68))&gt;0)),$AV68,"")</f>
        <v/>
      </c>
      <c r="LJ68" s="164">
        <f>IF(OR($AW68="",(COUNTIF($EL$9:$EP$9,$AW68)+COUNTIF($QV$9:$QY$9,$AW68))&gt;0),$AV68,"")</f>
        <v/>
      </c>
      <c r="LK68" s="164">
        <f>IF(AND($AX68=1,OR($AW68="",(COUNTIF($EL$9:$EP$9,$AW68)+COUNTIF($QV$9:$QY$9,$AW68))&gt;0)),$AV68,"")</f>
        <v/>
      </c>
      <c r="LP68" s="164">
        <f>IF(OR($AW68="",(COUNTIF($EL$10:$EP$10,$AW68)+COUNTIF($QV$10:$QY$10,$AW68))&gt;0),$AV68,"")</f>
        <v/>
      </c>
      <c r="LQ68" s="164">
        <f>IF(AND($AX68=1,OR($AW68="",(COUNTIF($EL$10:$EP$10,$AW68)+COUNTIF($QV$10:$QY$10,$AW68))&gt;0)),$AV68,"")</f>
        <v/>
      </c>
      <c r="LV68" s="164">
        <f>IF(OR($AW68="",(COUNTIF($EL$11:$EP$11,$AW68)+COUNTIF($QV$11:$QY$11,$AW68))&gt;0),$AV68,"")</f>
        <v/>
      </c>
      <c r="LW68" s="164">
        <f>IF(AND($AX68=1,OR($AW68="",(COUNTIF($EL$11:$EP$11,$AW68)+COUNTIF($QV$11:$QY$11,$AW68))&gt;0)),$AV68,"")</f>
        <v/>
      </c>
      <c r="MB68" s="164">
        <f>IF(OR($AW68="",(COUNTIF($EL$12:$EP$12,$AW68)+COUNTIF($QV$12:$QY$12,$AW68))&gt;0),$AV68,"")</f>
        <v/>
      </c>
      <c r="MC68" s="164">
        <f>IF(AND($AX68=1,OR($AW68="",(COUNTIF($EL$12:$EP$12,$AW68)+COUNTIF($QV$12:$QY$12,$AW68))&gt;0)),$AV68,"")</f>
        <v/>
      </c>
      <c r="MH68" s="164">
        <f>IF(OR($AW68="",(COUNTIF($EL$13:$EP$13,$AW68)+COUNTIF($QV$13:$QY$13,$AW68))&gt;0),$AV68,"")</f>
        <v/>
      </c>
      <c r="MI68" s="164">
        <f>IF(AND($AX68=1,OR($AW68="",(COUNTIF($EL$13:$EP$13,$AW68)+COUNTIF($QV$13:$QY$13,$AW68))&gt;0)),$AV68,"")</f>
        <v/>
      </c>
      <c r="MN68" s="162" t="inlineStr">
        <is>
          <t>Ficha 6 · Especial 1</t>
        </is>
      </c>
      <c r="MO68" s="164" t="n">
        <v>6</v>
      </c>
      <c r="MP68" s="164" t="n">
        <v>1</v>
      </c>
      <c r="MQ68" s="164" t="n">
        <v>1</v>
      </c>
      <c r="MR68" s="162" t="inlineStr">
        <is>
          <t>ESPECIAL 1</t>
        </is>
      </c>
      <c r="MS68" s="164">
        <f>MAX(1,MIN(7,N('INVOCAÇÕES'!$O$1126)))</f>
        <v/>
      </c>
      <c r="MT68" s="164">
        <f>'INVOCAÇÕES'!$P$1126&amp;""</f>
        <v/>
      </c>
      <c r="MU68" s="164">
        <f>'INVOCAÇÕES'!$O$1131&amp;""</f>
        <v/>
      </c>
      <c r="MV68" s="164">
        <f>'INVOCAÇÕES'!$O$1132&amp;""</f>
        <v/>
      </c>
      <c r="MW68" s="164">
        <f>'INVOCAÇÕES'!$Q$1132&amp;""</f>
        <v/>
      </c>
      <c r="MX68" s="164">
        <f>'INVOCAÇÕES'!$P$1135&amp;""</f>
        <v/>
      </c>
      <c r="MY68" s="164">
        <f>'INVOCAÇÕES'!$P$1136&amp;""</f>
        <v/>
      </c>
      <c r="MZ68" s="164">
        <f>'INVOCAÇÕES'!$P$1137&amp;""</f>
        <v/>
      </c>
      <c r="NA68" s="164">
        <f>'INVOCAÇÕES'!$P$1138&amp;""</f>
        <v/>
      </c>
      <c r="NB68" s="164">
        <f>'INVOCAÇÕES'!$P$1139&amp;""</f>
        <v/>
      </c>
      <c r="NC68" s="164">
        <f>'INVOCAÇÕES'!$P$1140&amp;""</f>
        <v/>
      </c>
      <c r="ND68" s="164">
        <f>IF($MT68&lt;&gt;"",1,0)</f>
        <v/>
      </c>
      <c r="NE68" s="164">
        <f>INDEX($FO$2:$FO$13,$MO68)</f>
        <v/>
      </c>
      <c r="NF68" s="164">
        <f>INDEX($FP$2:$FP$13,$MO68)</f>
        <v/>
      </c>
      <c r="NG68" s="164">
        <f>INDEX($FQ$2:$FQ$13,$MO68)</f>
        <v/>
      </c>
      <c r="NH68" s="164">
        <f>INDEX($GB$2:$GB$13,$MO68)</f>
        <v/>
      </c>
      <c r="NI68" s="164">
        <f>INDEX($GC$2:$GC$13,$MO68)</f>
        <v/>
      </c>
      <c r="NJ68" s="164">
        <f>IFERROR(MATCH(SUBSTITUTE(SUBSTITUTE(SUBSTITUTE($MU68,"~","~~"),"*","~*"),"?","~?"),'DADOS_FORMAS'!$FZ$2:$FZ$21,0),0)</f>
        <v/>
      </c>
      <c r="NK68" s="164">
        <f>IFERROR(VLOOKUP(SUBSTITUTE(SUBSTITUTE(SUBSTITUTE($MX68,"~","~~"),"*","~*"),"?","~?"),'DADOS_MELHORIAS'!$AG$2:$AL$113,2,FALSE),"")</f>
        <v/>
      </c>
      <c r="NL68" s="164">
        <f>IFERROR(VLOOKUP(SUBSTITUTE(SUBSTITUTE(SUBSTITUTE($MY68,"~","~~"),"*","~*"),"?","~?"),'DADOS_MELHORIAS'!$AG$2:$AL$113,2,FALSE),"")</f>
        <v/>
      </c>
      <c r="NM68" s="164">
        <f>IFERROR(VLOOKUP(SUBSTITUTE(SUBSTITUTE(SUBSTITUTE($MZ68,"~","~~"),"*","~*"),"?","~?"),'DADOS_MELHORIAS'!$AG$2:$AL$113,2,FALSE),"")</f>
        <v/>
      </c>
      <c r="NN68" s="164">
        <f>IFERROR(VLOOKUP(SUBSTITUTE(SUBSTITUTE(SUBSTITUTE($NA68,"~","~~"),"*","~*"),"?","~?"),'DADOS_MELHORIAS'!$AG$2:$AL$113,2,FALSE),"")</f>
        <v/>
      </c>
      <c r="NO68" s="164">
        <f>IFERROR(VLOOKUP(SUBSTITUTE(SUBSTITUTE(SUBSTITUTE($MX68,"~","~~"),"*","~*"),"?","~?"),'DADOS_MELHORIAS'!$AG$2:$AL$113,3,FALSE),0)</f>
        <v/>
      </c>
      <c r="NP68" s="164">
        <f>IFERROR(VLOOKUP(SUBSTITUTE(SUBSTITUTE(SUBSTITUTE($MY68,"~","~~"),"*","~*"),"?","~?"),'DADOS_MELHORIAS'!$AG$2:$AL$113,3,FALSE),0)</f>
        <v/>
      </c>
      <c r="NQ68" s="164">
        <f>IFERROR(VLOOKUP(SUBSTITUTE(SUBSTITUTE(SUBSTITUTE($MZ68,"~","~~"),"*","~*"),"?","~?"),'DADOS_MELHORIAS'!$AG$2:$AL$113,3,FALSE),0)</f>
        <v/>
      </c>
      <c r="NR68" s="164">
        <f>IFERROR(VLOOKUP(SUBSTITUTE(SUBSTITUTE(SUBSTITUTE($NA68,"~","~~"),"*","~*"),"?","~?"),'DADOS_MELHORIAS'!$AG$2:$AL$113,3,FALSE),0)</f>
        <v/>
      </c>
      <c r="NS68" s="164">
        <f>IF($MS68=0,0,IF($NJ68=0,0,INDEX('DADOS_FORMAS'!$GB$2:$GB$21,$NJ68)))</f>
        <v/>
      </c>
      <c r="NT68" s="164">
        <f>IF(OR($NO68=0,$MS68=0),0,$NO68+3*IF(AND($NK68&lt;&gt;"",COUNTIF(INDEX($RB$2:$RJ$13,$MO68,0),$NK68)&gt;0),1,0))</f>
        <v/>
      </c>
      <c r="NU68" s="164">
        <f>IF(OR($NP68=0,$MS68=0),0,$NP68+3*IF(AND($NL68&lt;&gt;"",COUNTIF(INDEX($RB$2:$RJ$13,$MO68,0),$NL68)&gt;0),1,0))</f>
        <v/>
      </c>
      <c r="NV68" s="164">
        <f>IF(OR($NQ68=0,$MS68=0),0,$NQ68+3*IF(AND($NM68&lt;&gt;"",COUNTIF(INDEX($RB$2:$RJ$13,$MO68,0),$NM68)&gt;0),1,0))</f>
        <v/>
      </c>
      <c r="NW68" s="164">
        <f>IF(OR($NR68=0,$MS68=0),0,$NR68+3*IF(AND($NN68&lt;&gt;"",COUNTIF(INDEX($RB$2:$RJ$13,$MO68,0),$NN68)&gt;0),1,0))</f>
        <v/>
      </c>
      <c r="NX68" s="164">
        <f>IF($NJ68=0,0,IF(INDEX('DADOS_FORMAS'!$GA$2:$GA$21,$NJ68)="",0,IF((COUNTIF(INDEX($EL$2:$EP$13,$MO68,0),INDEX('DADOS_FORMAS'!$GA$2:$GA$21,$NJ68))+COUNTIF(INDEX($QV$2:$QY$13,$MO68,0),INDEX('DADOS_FORMAS'!$GA$2:$GA$21,$NJ68)))=0,1,0)))</f>
        <v/>
      </c>
      <c r="NY68" s="164">
        <f>IF(OR($NO68=0,$NK68=""),0,IF((COUNTIF(INDEX($EL$2:$EP$13,$MO68,0),$NK68)+COUNTIF(INDEX($QV$2:$QY$13,$MO68,0),$NK68))=0,1,0))</f>
        <v/>
      </c>
      <c r="NZ68" s="164">
        <f>IF(OR($NP68=0,$NL68=""),0,IF((COUNTIF(INDEX($EL$2:$EP$13,$MO68,0),$NL68)+COUNTIF(INDEX($QV$2:$QY$13,$MO68,0),$NL68))=0,1,0))</f>
        <v/>
      </c>
      <c r="OA68" s="164">
        <f>IF(OR($NQ68=0,$NM68=""),0,IF((COUNTIF(INDEX($EL$2:$EP$13,$MO68,0),$NM68)+COUNTIF(INDEX($QV$2:$QY$13,$MO68,0),$NM68))=0,1,0))</f>
        <v/>
      </c>
      <c r="OB68" s="164">
        <f>IF(OR($NR68=0,$NN68=""),0,IF((COUNTIF(INDEX($EL$2:$EP$13,$MO68,0),$NN68)+COUNTIF(INDEX($QV$2:$QY$13,$MO68,0),$NN68))=0,1,0))</f>
        <v/>
      </c>
      <c r="OC68" s="164">
        <f>IFERROR(VLOOKUP(SUBSTITUTE(SUBSTITUTE(SUBSTITUTE($MX68,"~","~~"),"*","~*"),"?","~?"),'DADOS_MELHORIAS'!$AG$2:$AL$113,4,FALSE),0)+IFERROR(VLOOKUP(SUBSTITUTE(SUBSTITUTE(SUBSTITUTE($MY68,"~","~~"),"*","~*"),"?","~?"),'DADOS_MELHORIAS'!$AG$2:$AL$113,4,FALSE),0)+IFERROR(VLOOKUP(SUBSTITUTE(SUBSTITUTE(SUBSTITUTE($MZ68,"~","~~"),"*","~*"),"?","~?"),'DADOS_MELHORIAS'!$AG$2:$AL$113,4,FALSE),0)+IFERROR(VLOOKUP(SUBSTITUTE(SUBSTITUTE(SUBSTITUTE($NA68,"~","~~"),"*","~*"),"?","~?"),'DADOS_MELHORIAS'!$AG$2:$AL$113,4,FALSE),0)</f>
        <v/>
      </c>
      <c r="OD68" s="164">
        <f>IFERROR(VLOOKUP(SUBSTITUTE(SUBSTITUTE(SUBSTITUTE($MX68,"~","~~"),"*","~*"),"?","~?"),'DADOS_MELHORIAS'!$AG$2:$AL$113,6,FALSE),0)+IFERROR(VLOOKUP(SUBSTITUTE(SUBSTITUTE(SUBSTITUTE($MY68,"~","~~"),"*","~*"),"?","~?"),'DADOS_MELHORIAS'!$AG$2:$AL$113,6,FALSE),0)+IFERROR(VLOOKUP(SUBSTITUTE(SUBSTITUTE(SUBSTITUTE($MZ68,"~","~~"),"*","~*"),"?","~?"),'DADOS_MELHORIAS'!$AG$2:$AL$113,6,FALSE),0)+IFERROR(VLOOKUP(SUBSTITUTE(SUBSTITUTE(SUBSTITUTE($NA68,"~","~~"),"*","~*"),"?","~?"),'DADOS_MELHORIAS'!$AG$2:$AL$113,6,FALSE),0)+IFERROR(N(AND(INDEX('DADOS_FORMAS'!$AO$2:$AO$21,MATCH(SUBSTITUTE(SUBSTITUTE(SUBSTITUTE($MU68,"~","~~"),"*","~*"),"?","~?"),'DADOS_FORMAS'!$AH$2:$AH$21,0))="Acerto",$OH68=1)),0)</f>
        <v/>
      </c>
      <c r="OE68" s="164">
        <f>TEXTJOIN(", ",TRUE,IF(IFERROR(VLOOKUP(SUBSTITUTE(SUBSTITUTE(SUBSTITUTE($MX68,"~","~~"),"*","~*"),"?","~?"),'DADOS_MELHORIAS'!$AG$2:$AL$113,5,FALSE),0)=1,$MX68,""),IF(IFERROR(VLOOKUP(SUBSTITUTE(SUBSTITUTE(SUBSTITUTE($MY68,"~","~~"),"*","~*"),"?","~?"),'DADOS_MELHORIAS'!$AG$2:$AL$113,5,FALSE),0)=1,$MY68,""),IF(IFERROR(VLOOKUP(SUBSTITUTE(SUBSTITUTE(SUBSTITUTE($MZ68,"~","~~"),"*","~*"),"?","~?"),'DADOS_MELHORIAS'!$AG$2:$AL$113,5,FALSE),0)=1,$MZ68,""),IF(IFERROR(VLOOKUP(SUBSTITUTE(SUBSTITUTE(SUBSTITUTE($NA68,"~","~~"),"*","~*"),"?","~?"),'DADOS_MELHORIAS'!$AG$2:$AL$113,5,FALSE),0)=1,$NA68,""))</f>
        <v/>
      </c>
      <c r="OF68" s="164">
        <f>IF($NJ68=0,0,INDEX('DADOS_FORMAS'!$GC$2:$GC$21,$NJ68))</f>
        <v/>
      </c>
      <c r="OG68" s="164">
        <f>IF($NJ68=0,0,INDEX('DADOS_FORMAS'!$GD$2:$GD$21,$NJ68))</f>
        <v/>
      </c>
      <c r="OH68" s="164">
        <f>IF($NJ68=0,0,INDEX('DADOS_FORMAS'!$GF$2:$GF$21,$NJ68))</f>
        <v/>
      </c>
      <c r="OI68" s="164">
        <f>IFERROR(VLOOKUP(SUBSTITUTE(SUBSTITUTE(SUBSTITUTE($NB68,"~","~~"),"*","~*"),"?","~?"),'DADOS_RESTRICOES'!$M$2:$Q$54,3,FALSE),0)</f>
        <v/>
      </c>
      <c r="OJ68" s="164">
        <f>IFERROR(VLOOKUP(SUBSTITUTE(SUBSTITUTE(SUBSTITUTE($NC68,"~","~~"),"*","~*"),"?","~?"),'DADOS_RESTRICOES'!$M$2:$Q$54,3,FALSE),0)</f>
        <v/>
      </c>
      <c r="OK68" s="164">
        <f>IFERROR(VLOOKUP(SUBSTITUTE(SUBSTITUTE(SUBSTITUTE($NB68,"~","~~"),"*","~*"),"?","~?"),'DADOS_RESTRICOES'!$M$2:$Q$54,2,FALSE),"")</f>
        <v/>
      </c>
      <c r="OL68" s="164">
        <f>IFERROR(VLOOKUP(SUBSTITUTE(SUBSTITUTE(SUBSTITUTE($NC68,"~","~~"),"*","~*"),"?","~?"),'DADOS_RESTRICOES'!$M$2:$Q$54,2,FALSE),"")</f>
        <v/>
      </c>
      <c r="OM68" s="164">
        <f>COUNTIF($NS68:$NW68,1)</f>
        <v/>
      </c>
      <c r="ON68" s="164">
        <f>COUNTIF($NS68:$NW68,2)</f>
        <v/>
      </c>
      <c r="OO68" s="164">
        <f>COUNTIF($NS68:$NW68,3)</f>
        <v/>
      </c>
      <c r="OP68" s="164">
        <f>COUNTIF($NS68:$NW68,4)</f>
        <v/>
      </c>
      <c r="OQ68" s="164">
        <f>COUNTIF($NS68:$NW68,5)</f>
        <v/>
      </c>
      <c r="OR68" s="164">
        <f>COUNTIF($NS68:$NW68,6)</f>
        <v/>
      </c>
      <c r="OS68" s="164">
        <f>COUNTIF($OI68:$OJ68,1)+IF(IFERROR(INDEX('DADOS_FORMAS'!$AS$2:$AS$21,MATCH(SUBSTITUTE(SUBSTITUTE(SUBSTITUTE($MU68,"~","~~"),"*","~*"),"?","~?"),'DADOS_FORMAS'!$AH$2:$AH$21,0)),"")="",0,IFERROR(N(VLOOKUP(SUBSTITUTE(SUBSTITUTE(SUBSTITUTE(IFERROR(INDEX('DADOS_FORMAS'!$AS$2:$AS$21,MATCH(SUBSTITUTE(SUBSTITUTE(SUBSTITUTE($MU68,"~","~~"),"*","~*"),"?","~?"),'DADOS_FORMAS'!$AH$2:$AH$21,0)),""),"~","~~"),"*","~*"),"?","~?"),'DADOS_RESTRICOES'!$M$2:$Q$54,3,FALSE)=1),0))</f>
        <v/>
      </c>
      <c r="OT68" s="164">
        <f>COUNTIF($OI68:$OJ68,2)+IF(IFERROR(INDEX('DADOS_FORMAS'!$AS$2:$AS$21,MATCH(SUBSTITUTE(SUBSTITUTE(SUBSTITUTE($MU68,"~","~~"),"*","~*"),"?","~?"),'DADOS_FORMAS'!$AH$2:$AH$21,0)),"")="",0,IFERROR(N(VLOOKUP(SUBSTITUTE(SUBSTITUTE(SUBSTITUTE(IFERROR(INDEX('DADOS_FORMAS'!$AS$2:$AS$21,MATCH(SUBSTITUTE(SUBSTITUTE(SUBSTITUTE($MU68,"~","~~"),"*","~*"),"?","~?"),'DADOS_FORMAS'!$AH$2:$AH$21,0)),""),"~","~~"),"*","~*"),"?","~?"),'DADOS_RESTRICOES'!$M$2:$Q$54,3,FALSE)=2),0))</f>
        <v/>
      </c>
      <c r="OU68" s="164">
        <f>COUNTIF($MX68:$NA68,"?*")</f>
        <v/>
      </c>
      <c r="OV68" s="164">
        <f>COUNTIF($NB68:$NC68,"?*")+$OF68</f>
        <v/>
      </c>
      <c r="OW68" s="164">
        <f>IF($MS68=0,0,SUMPRODUCT($OM68:$OR68,INDEX($I$2:$N$8,MAX(1,$MS68),0)))</f>
        <v/>
      </c>
      <c r="OX68" s="164">
        <f>IF($MS68=0,0,$OS68*CEILING($MS68/2,1)+$OT68*$MS68)</f>
        <v/>
      </c>
      <c r="OY68" s="164">
        <f>MIN(2*$MS68,$OX68)</f>
        <v/>
      </c>
      <c r="OZ68" s="164">
        <f>MIN($OY68,$OW68-IF($NS68=0,0,INDEX($I$2:$N$8,MAX(1,$MS68),$NS68)))</f>
        <v/>
      </c>
      <c r="PA68" s="164">
        <f>$OY68-$OZ68</f>
        <v/>
      </c>
      <c r="PB68" s="164">
        <f>IF($MS68=0,0,INDEX($P$2:$P$8,MAX(1,$MS68)))</f>
        <v/>
      </c>
      <c r="PC68" s="164">
        <f>$PB68-$OW68+$OZ68</f>
        <v/>
      </c>
      <c r="PD68" s="164">
        <f>IF($MS68=0,MAX(0,$NG68-IF(AND($OU68&gt;0,COUNTIF($NB68:$NC68,"?*")=0),1,0)),MAX(0,$PC68))</f>
        <v/>
      </c>
      <c r="PE68" s="164">
        <f>IF($MS68=0,0,(IF(COUNTIF($RK68:$RN68,"Salto")&gt;0,1,0)+IF(COUNTIF($RK68:$RN68,"Queima")&gt;0,1,0)+IF(COUNTIF($RK68:$RN68,"Estilhaço")&gt;0,1,0))*FLOOR($PD68/2,1))</f>
        <v/>
      </c>
      <c r="PF68" s="164">
        <f>MAX(0,2-SUMPRODUCT($OM68:$OR68,$I$2:$N$2)+MIN(2,$OS68*1+$OT68*1,SUMPRODUCT($OM68:$OR68,$I$2:$N$2)-IF($NS68=0,0,INDEX($I$2:$N$2,1,$NS68))))</f>
        <v/>
      </c>
      <c r="PG68" s="164">
        <f>MAX(0,4-SUMPRODUCT($OM68:$OR68,$I$3:$N$3)+MIN(4,$OS68*1+$OT68*2,SUMPRODUCT($OM68:$OR68,$I$3:$N$3)-IF($NS68=0,0,INDEX($I$3:$N$3,1,$NS68))))</f>
        <v/>
      </c>
      <c r="PH68" s="164">
        <f>MAX(0,6-SUMPRODUCT($OM68:$OR68,$I$4:$N$4)+MIN(6,$OS68*2+$OT68*3,SUMPRODUCT($OM68:$OR68,$I$4:$N$4)-IF($NS68=0,0,INDEX($I$4:$N$4,1,$NS68))))</f>
        <v/>
      </c>
      <c r="PI68" s="164">
        <f>MAX(0,9-SUMPRODUCT($OM68:$OR68,$I$5:$N$5)+MIN(8,$OS68*2+$OT68*4,SUMPRODUCT($OM68:$OR68,$I$5:$N$5)-IF($NS68=0,0,INDEX($I$5:$N$5,1,$NS68))))</f>
        <v/>
      </c>
      <c r="PJ68" s="164">
        <f>MAX(0,11-SUMPRODUCT($OM68:$OR68,$I$6:$N$6)+MIN(10,$OS68*3+$OT68*5,SUMPRODUCT($OM68:$OR68,$I$6:$N$6)-IF($NS68=0,0,INDEX($I$6:$N$6,1,$NS68))))</f>
        <v/>
      </c>
      <c r="PK68" s="164">
        <f>MAX(0,13-SUMPRODUCT($OM68:$OR68,$I$7:$N$7)+MIN(12,$OS68*3+$OT68*6,SUMPRODUCT($OM68:$OR68,$I$7:$N$7)-IF($NS68=0,0,INDEX($I$7:$N$7,1,$NS68))))</f>
        <v/>
      </c>
      <c r="PL68" s="164">
        <f>MAX(0,16-SUMPRODUCT($OM68:$OR68,$I$8:$N$8)+MIN(14,$OS68*4+$OT68*7,SUMPRODUCT($OM68:$OR68,$I$8:$N$8)-IF($NS68=0,0,INDEX($I$8:$N$8,1,$NS68))))</f>
        <v/>
      </c>
      <c r="PM68" s="164">
        <f>IF($OG68=2,3*$PF68&amp;" de vida temp.",IF($OG68=3,"sem dano",IF($PF68=0,IF($OG68=1,"sem cura","sem dano"),IF($OG68=1,"cura ","")&amp;$PF68&amp;"d8")))</f>
        <v/>
      </c>
      <c r="PN68" s="164">
        <f>IF($OG68=2,3*$PG68&amp;" de vida temp.",IF($OG68=3,"sem dano",IF($PG68=0,IF($OG68=1,"sem cura","sem dano"),IF($OG68=1,"cura ","")&amp;$PG68&amp;"d8")))</f>
        <v/>
      </c>
      <c r="PO68" s="164">
        <f>IF($OG68=2,3*$PH68&amp;" de vida temp.",IF($OG68=3,"sem dano",IF($PH68=0,IF($OG68=1,"sem cura","sem dano"),IF($OG68=1,"cura ","")&amp;$PH68&amp;"d8")))</f>
        <v/>
      </c>
      <c r="PP68" s="164">
        <f>IF($OG68=2,3*$PI68&amp;" de vida temp.",IF($OG68=3,"sem dano",IF($PI68=0,IF($OG68=1,"sem cura","sem dano"),IF($OG68=1,"cura ","")&amp;$PI68&amp;"d8")))</f>
        <v/>
      </c>
      <c r="PQ68" s="164">
        <f>IF($OG68=2,3*$PJ68&amp;" de vida temp.",IF($OG68=3,"sem dano",IF($PJ68=0,IF($OG68=1,"sem cura","sem dano"),IF($OG68=1,"cura ","")&amp;$PJ68&amp;"d8")))</f>
        <v/>
      </c>
      <c r="PR68" s="164">
        <f>IF($OG68=2,3*$PK68&amp;" de vida temp.",IF($OG68=3,"sem dano",IF($PK68=0,IF($OG68=1,"sem cura","sem dano"),IF($OG68=1,"cura ","")&amp;$PK68&amp;"d8")))</f>
        <v/>
      </c>
      <c r="PS68" s="164">
        <f>IF($OG68=2,3*$PL68&amp;" de vida temp.",IF($OG68=3,"sem dano",IF($PL68=0,IF($OG68=1,"sem cura","sem dano"),IF($OG68=1,"cura ","")&amp;$PL68&amp;"d8")))</f>
        <v/>
      </c>
      <c r="PT68" s="164">
        <f>IF($ND68=0,"",TEXTJOIN(" · ",TRUE,IF($ND68=0,"",TEXTJOIN(" · ",TRUE,IF($ND68=0,"",TEXTJOIN(" · ",TRUE,IF($MQ68&gt;$NE68,"Este lugar abre no nível "&amp;$MQ68,""),IF($MS68&gt;$NF68,"Classe "&amp;$MS68&amp;": o nível "&amp;$NE68&amp;" libera até a "&amp;$NF68,""),IF($NX68=1,"A Forma "&amp;$MU68&amp;" pede "&amp;INDEX('DADOS_FORMAS'!$GA$2:$GA$21,$NJ68)&amp;" aberta",""),IF(AND($MS68=0,$NJ68&gt;0,IF($NJ68=0,0,INDEX('DADOS_FORMAS'!$GJ$2:$GJ$21,$NJ68))=0),$MU68&amp;" não existe na Classe 0",""),IF($NY68=1,"Família Fechada: "&amp;$MX68,""),IF($NZ68=1,"Família Fechada: "&amp;$MY68,""),IF($OA68=1,"Família Fechada: "&amp;$MZ68,""),IF($OB68=1,"Família Fechada: "&amp;$NA68,""),IF(AND($MS68&gt;0,$OU68&gt;INDEX($O$2:$O$8,MAX(1,$MS68))),$OU68&amp;" Melhorias: a Classe "&amp;$MS68&amp;" aceita "&amp;INDEX($O$2:$O$8,MAX(1,$MS68)),""),IF(AND($MS68=0,$OU68&gt;1),"A básica aceita uma Melhoria",""),IF(AND($MS68=0,COUNTIF($NO68:$NR68,"&gt;1")&gt;0),"A básica só aceita Melhoria Leve",""),IF(AND($MS68&gt;0,$OV68&gt;2),$OV68&amp;" Restrições"&amp;IF($OF68=1,", contando a que a Forma "&amp;$MU68&amp;" já traz","")&amp;": o limite é 2",""),IF(AND($MS68=0,COUNTIF($NB68:$NC68,"?*")&gt;1),"A básica aceita uma Restrição Leve",""),IF(AND($MS68=0,COUNTIF($OI68:$OJ68,2)&gt;0),"A básica só aceita Restrição Leve",""),IF(AND($MS68&gt;0,$PC68&lt;0),"Orçamento estourado: faltam "&amp;(-$PC68)&amp;IF($PC68&lt;-1," pontos"," ponto"),""),IF(IFERROR(VLOOKUP(SUBSTITUTE(SUBSTITUTE(SUBSTITUTE($NB68,"~","~~"),"*","~*"),"?","~?"),'DADOS_RESTRICOES'!$M$2:$Q$54,4,FALSE),0)+IFERROR(VLOOKUP(SUBSTITUTE(SUBSTITUTE(SUBSTITUTE($NC68,"~","~~"),"*","~*"),"?","~?"),'DADOS_RESTRICOES'!$M$2:$Q$54,4,FALSE),0)&gt;1,$OK68&amp;" e "&amp;$OL68&amp;" são as duas de frequência",""),IF(AND((COUNTIF($RK68:$RN68,"Rápido")+COUNTIF($OK68:$OL68,"Rápido"))&gt;0,(COUNTIF($MX68:$NA68,"Atrasar")+COUNTIF($OK68:$OL68,"Atrasar"))&gt;0),"Rápido não entra com Atrasar",""),IF(AND((COUNTIF($RK68:$RN68,"Reação")+COUNTIF($OK68:$OL68,"Reação"))&gt;0,(COUNTIF($RK68:$RN68,"Rápido")+COUNTIF($OK68:$OL68,"Rápido"))&gt;0),"Reação não entra com Rápido",""),IF(AND((COUNTIF($RK68:$RN68,"Reação")+COUNTIF($OK68:$OL68,"Reação"))&gt;0,(COUNTIF($RK68:$RN68,"Armado")+COUNTIF($OK68:$OL68,"Armado"))&gt;0),"Reação não entra com Armado",""),IF(AND((COUNTIF($RK68:$RN68,"Reação")+COUNTIF($OK68:$OL68,"Reação"))&gt;0,(COUNTIF($MX68:$NA68,"Atrasar")+COUNTIF($OK68:$OL68,"Atrasar"))&gt;0),"Reação não entra com Atrasar",""),IF(AND((COUNTIF($RK68:$RN68,"Reação")+COUNTIF($OK68:$OL68,"Reação"))&gt;0,(COUNTIF($MX68:$NA68,"Parado")+COUNTIF($OK68:$OL68,"Parado"))&gt;0),"Reação não entra com Parado",""),IF(AND((COUNTIF($MX68:$NA68,"Atrasar")+COUNTIF($OK68:$OL68,"Atrasar"))&gt;0,(COUNTIF($MX68:$NA68,"Parado")+COUNTIF($OK68:$OL68,"Parado"))&gt;0),"Atrasar não entra com Parado",""),IF(AND((COUNTIF($RK68:$RN68,"Armado")+COUNTIF($OK68:$OL68,"Armado"))&gt;0,(COUNTIF($MX68:$NA68,"Carregar")+COUNTIF($OK68:$OL68,"Carregar"))&gt;0),"Armado não entra com Carregar",""),IF(AND(COUNTIF($OK68:$OL68,"Corpo a Corpo")&gt;0,$OF68=0,OR($RO68="Cone",$RO68="Linha")),"Corpo a Corpo não entra em "&amp;$MU68,""),IF(AND(COUNTIF($OK68:$OL68,"Corpo a Corpo")&gt;0,$RP68="Corpo a Corpo"),"A Forma "&amp;$MU68&amp;" já traz o Corpo a Corpo",""),IF(AND(COUNTIF($OK68:$OL68,"Tudo ou Nada")&gt;0,$OH68=0),"Tudo ou Nada só entra em habilidade de Teste de Resistência",""),IF(AND(COUNTIF($RK68:$RN68,"Inescapável")&gt;0,OR($OU68&gt;1,$OV68&gt;0)),"Inescapável não aceita outra peça",""),IF(AND($MS68&gt;0,$PD68*IF(COUNTIF($RK68:$RN68,"Remate")&gt;0,1.25,1)+$PE68&gt;4*$MS68),($PD68*IF(COUNTIF($RK68:$RN68,"Remate")&gt;0,1.25,1)+$PE68)&amp;" dados somando repetições"&amp;IF(COUNTIF($RK68:$RN68,"Remate")&gt;0," e o Remate","")&amp;": o teto da Classe "&amp;$MS68&amp;" é "&amp;4*$MS68,""))),IF(AND($MX68&lt;&gt;"",COUNTIF('DADOS_MELHORIAS'!$O$2:$O$113,SUBSTITUTE(SUBSTITUTE(SUBSTITUTE($MX68,"~","~~"),"*","~*"),"?","~?"))=0),"Melhoria não cadastrada ou com erro: "&amp;$MX68,""),IF(AND($MY68&lt;&gt;"",COUNTIF('DADOS_MELHORIAS'!$O$2:$O$113,SUBSTITUTE(SUBSTITUTE(SUBSTITUTE($MY68,"~","~~"),"*","~*"),"?","~?"))=0),"Melhoria não cadastrada ou com erro: "&amp;$MY68,""),IF(AND($MZ68&lt;&gt;"",COUNTIF('DADOS_MELHORIAS'!$O$2:$O$113,SUBSTITUTE(SUBSTITUTE(SUBSTITUTE($MZ68,"~","~~"),"*","~*"),"?","~?"))=0),"Melhoria não cadastrada ou com erro: "&amp;$MZ68,""),IF(AND($NA68&lt;&gt;"",COUNTIF('DADOS_MELHORIAS'!$O$2:$O$113,SUBSTITUTE(SUBSTITUTE(SUBSTITUTE($NA68,"~","~~"),"*","~*"),"?","~?"))=0),"Melhoria não cadastrada ou com erro: "&amp;$NA68,""),IF(AND($NB68&lt;&gt;"",COUNTIF('DADOS_RESTRICOES'!$M$2:$M$54,SUBSTITUTE(SUBSTITUTE(SUBSTITUTE($NB68,"~","~~"),"*","~*"),"?","~?"))=0),"Restrição não cadastrada ou com erro: "&amp;$NB68,""),IF(AND($NC68&lt;&gt;"",COUNTIF('DADOS_RESTRICOES'!$M$2:$M$54,SUBSTITUTE(SUBSTITUTE(SUBSTITUTE($NC68,"~","~~"),"*","~*"),"?","~?"))=0),"Restrição não cadastrada ou com erro: "&amp;$NC68,""))),IF(AND($MU68&lt;&gt;"",COUNTIF('DADOS_FORMAS'!$AH$2:$AH$21,SUBSTITUTE(SUBSTITUTE(SUBSTITUTE($MU68,"~","~~"),"*","~*"),"?","~?"))=0),"Forma não cadastrada ou com erro: "&amp;$MU68,""),IF(AND(IFERROR(INDEX('DADOS_FORMAS'!$AS$2:$AS$21,MATCH(SUBSTITUTE(SUBSTITUTE(SUBSTITUTE($MU68,"~","~~"),"*","~*"),"?","~?"),'DADOS_FORMAS'!$AH$2:$AH$21,0)),"")&lt;&gt;"",OR(IFERROR(VLOOKUP(SUBSTITUTE(SUBSTITUTE(SUBSTITUTE(IFERROR(INDEX('DADOS_FORMAS'!$AS$2:$AS$21,MATCH(SUBSTITUTE(SUBSTITUTE(SUBSTITUTE($MU68,"~","~~"),"*","~*"),"?","~?"),'DADOS_FORMAS'!$AH$2:$AH$21,0)),""),"~","~~"),"*","~*"),"?","~?"),'DADOS_RESTRICOES'!$M$2:$Q$54,2,FALSE),"")=$OK68,IFERROR(VLOOKUP(SUBSTITUTE(SUBSTITUTE(SUBSTITUTE(IFERROR(INDEX('DADOS_FORMAS'!$AS$2:$AS$21,MATCH(SUBSTITUTE(SUBSTITUTE(SUBSTITUTE($MU68,"~","~~"),"*","~*"),"?","~?"),'DADOS_FORMAS'!$AH$2:$AH$21,0)),""),"~","~~"),"*","~*"),"?","~?"),'DADOS_RESTRICOES'!$M$2:$Q$54,2,FALSE),"")=$OL68)),"Restrição repetida, contando a embutida",""),IF(IF(IFERROR(INDEX('DADOS_FORMAS'!$AS$2:$AS$21,MATCH(SUBSTITUTE(SUBSTITUTE(SUBSTITUTE($MU68,"~","~~"),"*","~*"),"?","~?"),'DADOS_FORMAS'!$AH$2:$AH$21,0)),"")="",0,IFERROR(N(VLOOKUP(SUBSTITUTE(SUBSTITUTE(SUBSTITUTE(IFERROR(INDEX('DADOS_FORMAS'!$AS$2:$AS$21,MATCH(SUBSTITUTE(SUBSTITUTE(SUBSTITUTE($MU68,"~","~~"),"*","~*"),"?","~?"),'DADOS_FORMAS'!$AH$2:$AH$21,0)),""),"~","~~"),"*","~*"),"?","~?"),'DADOS_RESTRICOES'!$M$2:$Q$54,4,FALSE)=1),0))+IF($NB68="",0,IFERROR(N(VLOOKUP(SUBSTITUTE(SUBSTITUTE(SUBSTITUTE($NB68,"~","~~"),"*","~*"),"?","~?"),'DADOS_RESTRICOES'!$M$2:$Q$54,4,FALSE)=1),0))+IF($NC68="",0,IFERROR(N(VLOOKUP(SUBSTITUTE(SUBSTITUTE(SUBSTITUTE($NC68,"~","~~"),"*","~*"),"?","~?"),'DADOS_RESTRICOES'!$M$2:$Q$54,4,FALSE)=1),0))&gt;1,"Duas Restrições de frequência, contando a embutida",""),IF(AND(IFERROR(VLOOKUP(SUBSTITUTE(SUBSTITUTE(SUBSTITUTE(IFERROR(INDEX('DADOS_FORMAS'!$AS$2:$AS$21,MATCH(SUBSTITUTE(SUBSTITUTE(SUBSTITUTE($MU68,"~","~~"),"*","~*"),"?","~?"),'DADOS_FORMAS'!$AH$2:$AH$21,0)),""),"~","~~"),"*","~*"),"?","~?"),'DADOS_RESTRICOES'!$M$2:$Q$54,2,FALSE),"")="Tudo ou Nada",$OH68=0),"Tudo ou Nada exige TR",""),IF(AND(IFERROR(VLOOKUP(SUBSTITUTE(SUBSTITUTE(SUBSTITUTE(IFERROR(INDEX('DADOS_FORMAS'!$AS$2:$AS$21,MATCH(SUBSTITUTE(SUBSTITUTE(SUBSTITUTE($MU68,"~","~~"),"*","~*"),"?","~?"),'DADOS_FORMAS'!$AH$2:$AH$21,0)),""),"~","~~"),"*","~*"),"?","~?"),'DADOS_RESTRICOES'!$M$2:$Q$54,2,FALSE),"")="Corpo a Corpo",OR($RO68="Cone",$RO68="Linha")),"Corpo a Corpo não entra em Cone/Linha","")))</f>
        <v/>
      </c>
      <c r="PU68" s="164">
        <f>IF($PT68="",0,(LEN($PT68)-LEN(SUBSTITUTE($PT68," · ","")))/3+1)</f>
        <v/>
      </c>
      <c r="PV68" s="164">
        <f>IF($ND68=0,"",TEXTJOIN(" · ",TRUE,IF($OX68&gt;2*$MS68,"A devolução parou no teto de "&amp;2*$MS68,""),IF($PA68&gt;0,"Devolução perdida: "&amp;$PA68&amp;IF($PA68&gt;1," pontos"," ponto")&amp;" sem Melhoria para pagar",""),IF(AND($OC68&gt;0,AND($MS68&gt;0,$OG68=0),$PD68=0),"Controle sem dano: uma rodada a mais e CD +2",""),IF(AND($OC68&gt;0,AND($MS68&gt;0,$OG68=0),$PD68&gt;0,$PD68&lt;=$MS68),"Controle com saldo até a Classe: uma rodada a mais",""),IF(AND($MS68&gt;0,$OE68&lt;&gt;""),"Efeito de "&amp;$OE68&amp;" pela Classe "&amp;MAX(1,$MS68-1),"")))</f>
        <v/>
      </c>
      <c r="PW68" s="164">
        <f>IF($PV68="",0,(LEN($PV68)-LEN(SUBSTITUTE($PV68," · ","")))/3+1)</f>
        <v/>
      </c>
      <c r="PX68" s="164">
        <f>IF($ND68=0,IF($OU68+COUNTIF($NB68:$NC68,"?*")&gt;0,"Dê um nome",""),IF($PU68&gt;0,"⚠ "&amp;$PU68&amp;IF($PU68&gt;1," erros"," erro"),IF($PW68&gt;0,"! "&amp;$PW68&amp;IF($PW68&gt;1," avisos"," aviso"),"Na regra")))</f>
        <v/>
      </c>
      <c r="PY68" s="164">
        <f>IF($ND68=0,"",IF($PU68+$PW68=0,"Dentro das regras que a ficha confere",$PT68&amp;IF(AND($PU68&gt;0,$PW68&gt;0)," · ","")&amp;$PV68))</f>
        <v/>
      </c>
      <c r="PZ68" s="164">
        <f>IF($MQ68&gt;$NE68,$MR68&amp;" · ABRE NO NÍVEL "&amp;$MQ68,$MR68)</f>
        <v/>
      </c>
      <c r="QA68" s="164">
        <f>IF($ND68=0,"",IF($MS68=0,"Sem PE",3*$MS68&amp;" PE"))</f>
        <v/>
      </c>
      <c r="QB68" s="164">
        <f>IF($ND68=0,"",IF($MS68=0,"A atuação básica dela",IF(COUNTIF($RQ68:$RS68,"Atrasar")&gt;0,"Sua Ação Completa",IF(COUNTIF($RK68:$RN68,"Rápido")&gt;0,"Sua Bônus",IF(COUNTIF($RK68:$RN68,"Reação")&gt;0,"Sua Reação","Sua Padrão")))&amp;" + a básica dela"&amp;IF(COUNTIF($RK68:$RN68,"Reação")&gt;0," e a coletiva","")&amp;IF(COUNTIF($RQ68:$RS68,"Carregar")&gt;0," · em dois turnos","")))</f>
        <v/>
      </c>
      <c r="QC68" s="164">
        <f>IF($MW68&lt;&gt;"",$MW68,IF($NJ68=0,"",INDEX('DADOS_FORMAS'!$GE$2:$GE$21,$NJ68)))</f>
        <v/>
      </c>
      <c r="QD68" s="164">
        <f>IF(OR($ND68=0,$NJ68=0),"",IF(COUNTIF($RK68:$RN68,"Inescapável")&gt;0,"Automático",IF($QC68="Ataque",IF($NH68="","Ataque","Ataque "&amp;IF(($NH68+2*IF(COUNTIF($RK68:$RN68,"Precisão")&gt;0,1,0))&gt;=0,"+","−")&amp;ABS(($NH68+2*IF(COUNTIF($RK68:$RN68,"Precisão")&gt;0,1,0))))&amp;IF($OD68&gt;0," · TR"&amp;IF($NI68="",""," CD "&amp;$NI68),""),IF(LEFT($QC68,2)="TR",$QC68&amp;IF($NI68="",""," · CD "&amp;$NI68)&amp;IF(COUNTIF($RK68:$RN68,"Certeiro")&gt;0," · metade",""),"Sem rolagem"))))</f>
        <v/>
      </c>
      <c r="QE68" s="164">
        <f>IF(OR($ND68=0,$NJ68=0),"",IF($MS68=0,IF(OR($OG68&gt;=1,$PD68=0),"Sem dano",$PD68&amp;"d6"&amp;IF($MV68="",""," "&amp;$MV68)),IF(OR($OG68&gt;=1,$PD68=0),UPPER(LEFT(INDEX($PM68:$PS68,1,MAX(1,$MS68)),1))&amp;MID(INDEX($PM68:$PS68,1,MAX(1,$MS68)),2,99),UPPER(LEFT(INDEX($PM68:$PS68,1,MAX(1,$MS68)),1))&amp;MID(INDEX($PM68:$PS68,1,MAX(1,$MS68)),2,99)&amp;IF($MV68="",""," "&amp;$MV68)&amp;IF($PE68&gt;0," · +"&amp;$PE68&amp;"d8",""))))</f>
        <v/>
      </c>
      <c r="QF68" s="164">
        <f>COUNTIF($RK68:$RN68,"Longe")+3*COUNTIF($RK68:$RN68,"Muito Longe")</f>
        <v/>
      </c>
      <c r="QG68" s="164">
        <f>COUNTIF($RK68:$RN68,"Maior")+3*COUNTIF($RK68:$RN68,"Muito Maior")</f>
        <v/>
      </c>
      <c r="QH68" s="164">
        <f>IF($NJ68=0,0,CHOOSE(1+INDEX('DADOS_FORMAS'!$GG$2:$GG$21,$NJ68),0,$QF68,$QG68,$QF68+$QG68))</f>
        <v/>
      </c>
      <c r="QI68" s="164">
        <f>IF($NJ68=0,0,CHOOSE(1+INDEX('DADOS_FORMAS'!$GH$2:$GH$21,$NJ68),0,$QF68,$QG68,$QF68+$QG68))</f>
        <v/>
      </c>
      <c r="QJ68" s="164">
        <f>IF(OR($ND68=0,$NJ68=0),"",INDEX('DADOS_FORMAS'!$HU$2:$HZ$81,($NJ68-1)*4+IF($MS68=0,1,IF($MS68&lt;=5,2,IF($MS68=6,3,4))),1+MIN(5,$QH68))&amp;INDEX('DADOS_FORMAS'!$IA$2:$IF$81,($NJ68-1)*4+IF($MS68=0,1,IF($MS68&lt;=5,2,IF($MS68=6,3,4))),1+MIN(5,$QI68))&amp;IF(INDEX('DADOS_FORMAS'!$GI$2:$GI$21,$NJ68)=1,IF(COUNTIF($RK68:$RN68,"Mais Um")&gt;0," · +"&amp;COUNTIF($RK68:$RN68,"Mais Um")&amp;IF(COUNTIF($RK68:$RN68,"Mais Um")&gt;1," alvos"," alvo"),"")&amp;IF(COUNTIF($RK68:$RN68,"Rajada")&gt;0,IF($MS68=0," · 1 tiro"," · "&amp;(MAX(1,$MS68-1)+1)&amp;" tiros"),""),""))</f>
        <v/>
      </c>
      <c r="QK68" s="164">
        <f>IF($ND68=0,"",IF($MS68=0,$NG68&amp;"d6"&amp;IF($OU68&gt;0," − 1 = "&amp;$PD68&amp;"d6"," da básica do nível "&amp;$NE68),$PB68&amp;" − "&amp;$OW68&amp;" + "&amp;$OZ68&amp;" = "&amp;$PC68&amp;" · teto "&amp;4*$MS68&amp;"d8"&amp;IF($OF68=1," · a Forma devolve "&amp;$MS68,"")&amp;IF($PA68&gt;0," · perde "&amp;$PA68,"")))</f>
        <v/>
      </c>
      <c r="QL68" s="164">
        <f>IF($ND68=0,"",IF($MS68=0,"A básica não amplia: os dados dela sobem com o nível",IF($MS68&gt;=$NF68,"Já está na maior Classe que o nível liberou",TEXTJOIN(" · ",TRUE,IF(AND(2&gt;$MS68,2&lt;=$NF68),"2 → "&amp;$PN68&amp;", 6 PE",""),IF(AND(3&gt;$MS68,3&lt;=$NF68),"3 → "&amp;$PO68&amp;", 9 PE",""),IF(AND(4&gt;$MS68,4&lt;=$NF68),"4 → "&amp;$PP68&amp;", 12 PE",""),IF(AND(5&gt;$MS68,5&lt;=$NF68),"5 → "&amp;$PQ68&amp;", 15 PE",""),IF(AND(6&gt;$MS68,6&lt;=$NF68),"6 → "&amp;$PR68&amp;", 18 PE",""),IF(AND(7&gt;$MS68,7&lt;=$NF68),"7 → "&amp;$PS68&amp;", 21 PE","")))))</f>
        <v/>
      </c>
      <c r="QM68" s="164">
        <f>IF(OR($ND68=0,$NO68=0),"",IF($MS68=0,"−1 dado","−"&amp;INDEX($I$2:$N$8,MAX(1,$MS68),MAX(1,$NT68))&amp;" · "&amp;CHOOSE(MAX(1,$NT68),"Leve","Média","Pesada","Leve · Livre","Média · Livre","Pesada · Livre")))</f>
        <v/>
      </c>
      <c r="QN68" s="164">
        <f>IF(OR($ND68=0,$NP68=0),"",IF($MS68=0,"−1 dado","−"&amp;INDEX($I$2:$N$8,MAX(1,$MS68),MAX(1,$NU68))&amp;" · "&amp;CHOOSE(MAX(1,$NU68),"Leve","Média","Pesada","Leve · Livre","Média · Livre","Pesada · Livre")))</f>
        <v/>
      </c>
      <c r="QO68" s="164">
        <f>IF(OR($ND68=0,$NQ68=0),"",IF($MS68=0,"−1 dado","−"&amp;INDEX($I$2:$N$8,MAX(1,$MS68),MAX(1,$NV68))&amp;" · "&amp;CHOOSE(MAX(1,$NV68),"Leve","Média","Pesada","Leve · Livre","Média · Livre","Pesada · Livre")))</f>
        <v/>
      </c>
      <c r="QP68" s="164">
        <f>IF(OR($ND68=0,$NR68=0),"",IF($MS68=0,"−1 dado","−"&amp;INDEX($I$2:$N$8,MAX(1,$MS68),MAX(1,$NW68))&amp;" · "&amp;CHOOSE(MAX(1,$NW68),"Leve","Média","Pesada","Leve · Livre","Média · Livre","Pesada · Livre")))</f>
        <v/>
      </c>
      <c r="QQ68" s="164">
        <f>IF(OR($ND68=0,$NB68=""),"",IF($MS68=0,"não devolve","+"&amp;IF($OI68=1,CEILING($MS68/2,1),$MS68)))</f>
        <v/>
      </c>
      <c r="QR68" s="164">
        <f>IF(OR($ND68=0,$NC68=""),"",IF($MS68=0,"não devolve","+"&amp;IF($OJ68=1,CEILING($MS68/2,1),$MS68)))</f>
        <v/>
      </c>
      <c r="RK68">
        <f>IF($MX68="","",IFERROR(VLOOKUP(SUBSTITUTE(SUBSTITUTE(SUBSTITUTE($MX68,"~","~~"),"*","~*"),"?","~?"),'DADOS_MELHORIAS'!$O$2:$X$113,10,FALSE),$MX68))</f>
        <v/>
      </c>
      <c r="RL68">
        <f>IF($MY68="","",IFERROR(VLOOKUP(SUBSTITUTE(SUBSTITUTE(SUBSTITUTE($MY68,"~","~~"),"*","~*"),"?","~?"),'DADOS_MELHORIAS'!$O$2:$X$113,10,FALSE),$MY68))</f>
        <v/>
      </c>
      <c r="RM68">
        <f>IF($MZ68="","",IFERROR(VLOOKUP(SUBSTITUTE(SUBSTITUTE(SUBSTITUTE($MZ68,"~","~~"),"*","~*"),"?","~?"),'DADOS_MELHORIAS'!$O$2:$X$113,10,FALSE),$MZ68))</f>
        <v/>
      </c>
      <c r="RN68">
        <f>IF($NA68="","",IFERROR(VLOOKUP(SUBSTITUTE(SUBSTITUTE(SUBSTITUTE($NA68,"~","~~"),"*","~*"),"?","~?"),'DADOS_MELHORIAS'!$O$2:$X$113,10,FALSE),$NA68))</f>
        <v/>
      </c>
      <c r="RO68">
        <f>IFERROR(INDEX('DADOS_FORMAS'!$BJ$2:$BJ$21,MATCH(SUBSTITUTE(SUBSTITUTE(SUBSTITUTE($MU68,"~","~~"),"*","~*"),"?","~?"),'DADOS_FORMAS'!$AH$2:$AH$21,0)),"")</f>
        <v/>
      </c>
      <c r="RP68">
        <f>IFERROR(VLOOKUP(SUBSTITUTE(SUBSTITUTE(SUBSTITUTE(IFERROR(INDEX('DADOS_FORMAS'!$AS$2:$AS$21,MATCH(SUBSTITUTE(SUBSTITUTE(SUBSTITUTE($MU68,"~","~~"),"*","~*"),"?","~?"),'DADOS_FORMAS'!$AH$2:$AH$21,0)),""),"~","~~"),"*","~*"),"?","~?"),'DADOS_RESTRICOES'!$M$2:$Q$54,2,FALSE),"")</f>
        <v/>
      </c>
      <c r="RQ68">
        <f>$OK68</f>
        <v/>
      </c>
      <c r="RR68">
        <f>$OL68</f>
        <v/>
      </c>
      <c r="RS68">
        <f>$RP68</f>
        <v/>
      </c>
    </row>
    <row r="69">
      <c r="AV69" s="162" t="inlineStr">
        <is>
          <t>Rastro</t>
        </is>
      </c>
      <c r="AW69" s="162" t="inlineStr">
        <is>
          <t>Marca</t>
        </is>
      </c>
      <c r="AX69" s="164" t="n">
        <v>1</v>
      </c>
      <c r="AY69" s="164" t="n">
        <v>0</v>
      </c>
      <c r="AZ69" s="164" t="n">
        <v>0</v>
      </c>
      <c r="BA69" s="164" t="n">
        <v>0</v>
      </c>
      <c r="JT69" s="164">
        <f>IF(OR($AW69="",(COUNTIF($EL$2:$EP$2,$AW69)+COUNTIF($QV$2:$QY$2,$AW69))&gt;0),$AV69,"")</f>
        <v/>
      </c>
      <c r="JU69" s="164">
        <f>IF(AND($AX69=1,OR($AW69="",(COUNTIF($EL$2:$EP$2,$AW69)+COUNTIF($QV$2:$QY$2,$AW69))&gt;0)),$AV69,"")</f>
        <v/>
      </c>
      <c r="JZ69" s="164">
        <f>IF(OR($AW69="",(COUNTIF($EL$3:$EP$3,$AW69)+COUNTIF($QV$3:$QY$3,$AW69))&gt;0),$AV69,"")</f>
        <v/>
      </c>
      <c r="KA69" s="164">
        <f>IF(AND($AX69=1,OR($AW69="",(COUNTIF($EL$3:$EP$3,$AW69)+COUNTIF($QV$3:$QY$3,$AW69))&gt;0)),$AV69,"")</f>
        <v/>
      </c>
      <c r="KF69" s="164">
        <f>IF(OR($AW69="",(COUNTIF($EL$4:$EP$4,$AW69)+COUNTIF($QV$4:$QY$4,$AW69))&gt;0),$AV69,"")</f>
        <v/>
      </c>
      <c r="KG69" s="164">
        <f>IF(AND($AX69=1,OR($AW69="",(COUNTIF($EL$4:$EP$4,$AW69)+COUNTIF($QV$4:$QY$4,$AW69))&gt;0)),$AV69,"")</f>
        <v/>
      </c>
      <c r="KL69" s="164">
        <f>IF(OR($AW69="",(COUNTIF($EL$5:$EP$5,$AW69)+COUNTIF($QV$5:$QY$5,$AW69))&gt;0),$AV69,"")</f>
        <v/>
      </c>
      <c r="KM69" s="164">
        <f>IF(AND($AX69=1,OR($AW69="",(COUNTIF($EL$5:$EP$5,$AW69)+COUNTIF($QV$5:$QY$5,$AW69))&gt;0)),$AV69,"")</f>
        <v/>
      </c>
      <c r="KR69" s="164">
        <f>IF(OR($AW69="",(COUNTIF($EL$6:$EP$6,$AW69)+COUNTIF($QV$6:$QY$6,$AW69))&gt;0),$AV69,"")</f>
        <v/>
      </c>
      <c r="KS69" s="164">
        <f>IF(AND($AX69=1,OR($AW69="",(COUNTIF($EL$6:$EP$6,$AW69)+COUNTIF($QV$6:$QY$6,$AW69))&gt;0)),$AV69,"")</f>
        <v/>
      </c>
      <c r="KX69" s="164">
        <f>IF(OR($AW69="",(COUNTIF($EL$7:$EP$7,$AW69)+COUNTIF($QV$7:$QY$7,$AW69))&gt;0),$AV69,"")</f>
        <v/>
      </c>
      <c r="KY69" s="164">
        <f>IF(AND($AX69=1,OR($AW69="",(COUNTIF($EL$7:$EP$7,$AW69)+COUNTIF($QV$7:$QY$7,$AW69))&gt;0)),$AV69,"")</f>
        <v/>
      </c>
      <c r="LD69" s="164">
        <f>IF(OR($AW69="",(COUNTIF($EL$8:$EP$8,$AW69)+COUNTIF($QV$8:$QY$8,$AW69))&gt;0),$AV69,"")</f>
        <v/>
      </c>
      <c r="LE69" s="164">
        <f>IF(AND($AX69=1,OR($AW69="",(COUNTIF($EL$8:$EP$8,$AW69)+COUNTIF($QV$8:$QY$8,$AW69))&gt;0)),$AV69,"")</f>
        <v/>
      </c>
      <c r="LJ69" s="164">
        <f>IF(OR($AW69="",(COUNTIF($EL$9:$EP$9,$AW69)+COUNTIF($QV$9:$QY$9,$AW69))&gt;0),$AV69,"")</f>
        <v/>
      </c>
      <c r="LK69" s="164">
        <f>IF(AND($AX69=1,OR($AW69="",(COUNTIF($EL$9:$EP$9,$AW69)+COUNTIF($QV$9:$QY$9,$AW69))&gt;0)),$AV69,"")</f>
        <v/>
      </c>
      <c r="LP69" s="164">
        <f>IF(OR($AW69="",(COUNTIF($EL$10:$EP$10,$AW69)+COUNTIF($QV$10:$QY$10,$AW69))&gt;0),$AV69,"")</f>
        <v/>
      </c>
      <c r="LQ69" s="164">
        <f>IF(AND($AX69=1,OR($AW69="",(COUNTIF($EL$10:$EP$10,$AW69)+COUNTIF($QV$10:$QY$10,$AW69))&gt;0)),$AV69,"")</f>
        <v/>
      </c>
      <c r="LV69" s="164">
        <f>IF(OR($AW69="",(COUNTIF($EL$11:$EP$11,$AW69)+COUNTIF($QV$11:$QY$11,$AW69))&gt;0),$AV69,"")</f>
        <v/>
      </c>
      <c r="LW69" s="164">
        <f>IF(AND($AX69=1,OR($AW69="",(COUNTIF($EL$11:$EP$11,$AW69)+COUNTIF($QV$11:$QY$11,$AW69))&gt;0)),$AV69,"")</f>
        <v/>
      </c>
      <c r="MB69" s="164">
        <f>IF(OR($AW69="",(COUNTIF($EL$12:$EP$12,$AW69)+COUNTIF($QV$12:$QY$12,$AW69))&gt;0),$AV69,"")</f>
        <v/>
      </c>
      <c r="MC69" s="164">
        <f>IF(AND($AX69=1,OR($AW69="",(COUNTIF($EL$12:$EP$12,$AW69)+COUNTIF($QV$12:$QY$12,$AW69))&gt;0)),$AV69,"")</f>
        <v/>
      </c>
      <c r="MH69" s="164">
        <f>IF(OR($AW69="",(COUNTIF($EL$13:$EP$13,$AW69)+COUNTIF($QV$13:$QY$13,$AW69))&gt;0),$AV69,"")</f>
        <v/>
      </c>
      <c r="MI69" s="164">
        <f>IF(AND($AX69=1,OR($AW69="",(COUNTIF($EL$13:$EP$13,$AW69)+COUNTIF($QV$13:$QY$13,$AW69))&gt;0)),$AV69,"")</f>
        <v/>
      </c>
      <c r="MN69" s="162" t="inlineStr">
        <is>
          <t>Ficha 6 · Especial 2</t>
        </is>
      </c>
      <c r="MO69" s="164" t="n">
        <v>6</v>
      </c>
      <c r="MP69" s="164" t="n">
        <v>1</v>
      </c>
      <c r="MQ69" s="164" t="n">
        <v>4</v>
      </c>
      <c r="MR69" s="162" t="inlineStr">
        <is>
          <t>ESPECIAL 2</t>
        </is>
      </c>
      <c r="MS69" s="164">
        <f>MAX(1,MIN(7,N('INVOCAÇÕES'!$U$1126)))</f>
        <v/>
      </c>
      <c r="MT69" s="164">
        <f>'INVOCAÇÕES'!$V$1126&amp;""</f>
        <v/>
      </c>
      <c r="MU69" s="164">
        <f>'INVOCAÇÕES'!$U$1131&amp;""</f>
        <v/>
      </c>
      <c r="MV69" s="164">
        <f>'INVOCAÇÕES'!$U$1132&amp;""</f>
        <v/>
      </c>
      <c r="MW69" s="164">
        <f>'INVOCAÇÕES'!$W$1132&amp;""</f>
        <v/>
      </c>
      <c r="MX69" s="164">
        <f>'INVOCAÇÕES'!$V$1135&amp;""</f>
        <v/>
      </c>
      <c r="MY69" s="164">
        <f>'INVOCAÇÕES'!$V$1136&amp;""</f>
        <v/>
      </c>
      <c r="MZ69" s="164">
        <f>'INVOCAÇÕES'!$V$1137&amp;""</f>
        <v/>
      </c>
      <c r="NA69" s="164">
        <f>'INVOCAÇÕES'!$V$1138&amp;""</f>
        <v/>
      </c>
      <c r="NB69" s="164">
        <f>'INVOCAÇÕES'!$V$1139&amp;""</f>
        <v/>
      </c>
      <c r="NC69" s="164">
        <f>'INVOCAÇÕES'!$V$1140&amp;""</f>
        <v/>
      </c>
      <c r="ND69" s="164">
        <f>IF($MT69&lt;&gt;"",1,0)</f>
        <v/>
      </c>
      <c r="NE69" s="164">
        <f>INDEX($FO$2:$FO$13,$MO69)</f>
        <v/>
      </c>
      <c r="NF69" s="164">
        <f>INDEX($FP$2:$FP$13,$MO69)</f>
        <v/>
      </c>
      <c r="NG69" s="164">
        <f>INDEX($FQ$2:$FQ$13,$MO69)</f>
        <v/>
      </c>
      <c r="NH69" s="164">
        <f>INDEX($GB$2:$GB$13,$MO69)</f>
        <v/>
      </c>
      <c r="NI69" s="164">
        <f>INDEX($GC$2:$GC$13,$MO69)</f>
        <v/>
      </c>
      <c r="NJ69" s="164">
        <f>IFERROR(MATCH(SUBSTITUTE(SUBSTITUTE(SUBSTITUTE($MU69,"~","~~"),"*","~*"),"?","~?"),'DADOS_FORMAS'!$FZ$2:$FZ$21,0),0)</f>
        <v/>
      </c>
      <c r="NK69" s="164">
        <f>IFERROR(VLOOKUP(SUBSTITUTE(SUBSTITUTE(SUBSTITUTE($MX69,"~","~~"),"*","~*"),"?","~?"),'DADOS_MELHORIAS'!$AG$2:$AL$113,2,FALSE),"")</f>
        <v/>
      </c>
      <c r="NL69" s="164">
        <f>IFERROR(VLOOKUP(SUBSTITUTE(SUBSTITUTE(SUBSTITUTE($MY69,"~","~~"),"*","~*"),"?","~?"),'DADOS_MELHORIAS'!$AG$2:$AL$113,2,FALSE),"")</f>
        <v/>
      </c>
      <c r="NM69" s="164">
        <f>IFERROR(VLOOKUP(SUBSTITUTE(SUBSTITUTE(SUBSTITUTE($MZ69,"~","~~"),"*","~*"),"?","~?"),'DADOS_MELHORIAS'!$AG$2:$AL$113,2,FALSE),"")</f>
        <v/>
      </c>
      <c r="NN69" s="164">
        <f>IFERROR(VLOOKUP(SUBSTITUTE(SUBSTITUTE(SUBSTITUTE($NA69,"~","~~"),"*","~*"),"?","~?"),'DADOS_MELHORIAS'!$AG$2:$AL$113,2,FALSE),"")</f>
        <v/>
      </c>
      <c r="NO69" s="164">
        <f>IFERROR(VLOOKUP(SUBSTITUTE(SUBSTITUTE(SUBSTITUTE($MX69,"~","~~"),"*","~*"),"?","~?"),'DADOS_MELHORIAS'!$AG$2:$AL$113,3,FALSE),0)</f>
        <v/>
      </c>
      <c r="NP69" s="164">
        <f>IFERROR(VLOOKUP(SUBSTITUTE(SUBSTITUTE(SUBSTITUTE($MY69,"~","~~"),"*","~*"),"?","~?"),'DADOS_MELHORIAS'!$AG$2:$AL$113,3,FALSE),0)</f>
        <v/>
      </c>
      <c r="NQ69" s="164">
        <f>IFERROR(VLOOKUP(SUBSTITUTE(SUBSTITUTE(SUBSTITUTE($MZ69,"~","~~"),"*","~*"),"?","~?"),'DADOS_MELHORIAS'!$AG$2:$AL$113,3,FALSE),0)</f>
        <v/>
      </c>
      <c r="NR69" s="164">
        <f>IFERROR(VLOOKUP(SUBSTITUTE(SUBSTITUTE(SUBSTITUTE($NA69,"~","~~"),"*","~*"),"?","~?"),'DADOS_MELHORIAS'!$AG$2:$AL$113,3,FALSE),0)</f>
        <v/>
      </c>
      <c r="NS69" s="164">
        <f>IF($MS69=0,0,IF($NJ69=0,0,INDEX('DADOS_FORMAS'!$GB$2:$GB$21,$NJ69)))</f>
        <v/>
      </c>
      <c r="NT69" s="164">
        <f>IF(OR($NO69=0,$MS69=0),0,$NO69+3*IF(AND($NK69&lt;&gt;"",COUNTIF(INDEX($RB$2:$RJ$13,$MO69,0),$NK69)&gt;0),1,0))</f>
        <v/>
      </c>
      <c r="NU69" s="164">
        <f>IF(OR($NP69=0,$MS69=0),0,$NP69+3*IF(AND($NL69&lt;&gt;"",COUNTIF(INDEX($RB$2:$RJ$13,$MO69,0),$NL69)&gt;0),1,0))</f>
        <v/>
      </c>
      <c r="NV69" s="164">
        <f>IF(OR($NQ69=0,$MS69=0),0,$NQ69+3*IF(AND($NM69&lt;&gt;"",COUNTIF(INDEX($RB$2:$RJ$13,$MO69,0),$NM69)&gt;0),1,0))</f>
        <v/>
      </c>
      <c r="NW69" s="164">
        <f>IF(OR($NR69=0,$MS69=0),0,$NR69+3*IF(AND($NN69&lt;&gt;"",COUNTIF(INDEX($RB$2:$RJ$13,$MO69,0),$NN69)&gt;0),1,0))</f>
        <v/>
      </c>
      <c r="NX69" s="164">
        <f>IF($NJ69=0,0,IF(INDEX('DADOS_FORMAS'!$GA$2:$GA$21,$NJ69)="",0,IF((COUNTIF(INDEX($EL$2:$EP$13,$MO69,0),INDEX('DADOS_FORMAS'!$GA$2:$GA$21,$NJ69))+COUNTIF(INDEX($QV$2:$QY$13,$MO69,0),INDEX('DADOS_FORMAS'!$GA$2:$GA$21,$NJ69)))=0,1,0)))</f>
        <v/>
      </c>
      <c r="NY69" s="164">
        <f>IF(OR($NO69=0,$NK69=""),0,IF((COUNTIF(INDEX($EL$2:$EP$13,$MO69,0),$NK69)+COUNTIF(INDEX($QV$2:$QY$13,$MO69,0),$NK69))=0,1,0))</f>
        <v/>
      </c>
      <c r="NZ69" s="164">
        <f>IF(OR($NP69=0,$NL69=""),0,IF((COUNTIF(INDEX($EL$2:$EP$13,$MO69,0),$NL69)+COUNTIF(INDEX($QV$2:$QY$13,$MO69,0),$NL69))=0,1,0))</f>
        <v/>
      </c>
      <c r="OA69" s="164">
        <f>IF(OR($NQ69=0,$NM69=""),0,IF((COUNTIF(INDEX($EL$2:$EP$13,$MO69,0),$NM69)+COUNTIF(INDEX($QV$2:$QY$13,$MO69,0),$NM69))=0,1,0))</f>
        <v/>
      </c>
      <c r="OB69" s="164">
        <f>IF(OR($NR69=0,$NN69=""),0,IF((COUNTIF(INDEX($EL$2:$EP$13,$MO69,0),$NN69)+COUNTIF(INDEX($QV$2:$QY$13,$MO69,0),$NN69))=0,1,0))</f>
        <v/>
      </c>
      <c r="OC69" s="164">
        <f>IFERROR(VLOOKUP(SUBSTITUTE(SUBSTITUTE(SUBSTITUTE($MX69,"~","~~"),"*","~*"),"?","~?"),'DADOS_MELHORIAS'!$AG$2:$AL$113,4,FALSE),0)+IFERROR(VLOOKUP(SUBSTITUTE(SUBSTITUTE(SUBSTITUTE($MY69,"~","~~"),"*","~*"),"?","~?"),'DADOS_MELHORIAS'!$AG$2:$AL$113,4,FALSE),0)+IFERROR(VLOOKUP(SUBSTITUTE(SUBSTITUTE(SUBSTITUTE($MZ69,"~","~~"),"*","~*"),"?","~?"),'DADOS_MELHORIAS'!$AG$2:$AL$113,4,FALSE),0)+IFERROR(VLOOKUP(SUBSTITUTE(SUBSTITUTE(SUBSTITUTE($NA69,"~","~~"),"*","~*"),"?","~?"),'DADOS_MELHORIAS'!$AG$2:$AL$113,4,FALSE),0)</f>
        <v/>
      </c>
      <c r="OD69" s="164">
        <f>IFERROR(VLOOKUP(SUBSTITUTE(SUBSTITUTE(SUBSTITUTE($MX69,"~","~~"),"*","~*"),"?","~?"),'DADOS_MELHORIAS'!$AG$2:$AL$113,6,FALSE),0)+IFERROR(VLOOKUP(SUBSTITUTE(SUBSTITUTE(SUBSTITUTE($MY69,"~","~~"),"*","~*"),"?","~?"),'DADOS_MELHORIAS'!$AG$2:$AL$113,6,FALSE),0)+IFERROR(VLOOKUP(SUBSTITUTE(SUBSTITUTE(SUBSTITUTE($MZ69,"~","~~"),"*","~*"),"?","~?"),'DADOS_MELHORIAS'!$AG$2:$AL$113,6,FALSE),0)+IFERROR(VLOOKUP(SUBSTITUTE(SUBSTITUTE(SUBSTITUTE($NA69,"~","~~"),"*","~*"),"?","~?"),'DADOS_MELHORIAS'!$AG$2:$AL$113,6,FALSE),0)+IFERROR(N(AND(INDEX('DADOS_FORMAS'!$AO$2:$AO$21,MATCH(SUBSTITUTE(SUBSTITUTE(SUBSTITUTE($MU69,"~","~~"),"*","~*"),"?","~?"),'DADOS_FORMAS'!$AH$2:$AH$21,0))="Acerto",$OH69=1)),0)</f>
        <v/>
      </c>
      <c r="OE69" s="164">
        <f>TEXTJOIN(", ",TRUE,IF(IFERROR(VLOOKUP(SUBSTITUTE(SUBSTITUTE(SUBSTITUTE($MX69,"~","~~"),"*","~*"),"?","~?"),'DADOS_MELHORIAS'!$AG$2:$AL$113,5,FALSE),0)=1,$MX69,""),IF(IFERROR(VLOOKUP(SUBSTITUTE(SUBSTITUTE(SUBSTITUTE($MY69,"~","~~"),"*","~*"),"?","~?"),'DADOS_MELHORIAS'!$AG$2:$AL$113,5,FALSE),0)=1,$MY69,""),IF(IFERROR(VLOOKUP(SUBSTITUTE(SUBSTITUTE(SUBSTITUTE($MZ69,"~","~~"),"*","~*"),"?","~?"),'DADOS_MELHORIAS'!$AG$2:$AL$113,5,FALSE),0)=1,$MZ69,""),IF(IFERROR(VLOOKUP(SUBSTITUTE(SUBSTITUTE(SUBSTITUTE($NA69,"~","~~"),"*","~*"),"?","~?"),'DADOS_MELHORIAS'!$AG$2:$AL$113,5,FALSE),0)=1,$NA69,""))</f>
        <v/>
      </c>
      <c r="OF69" s="164">
        <f>IF($NJ69=0,0,INDEX('DADOS_FORMAS'!$GC$2:$GC$21,$NJ69))</f>
        <v/>
      </c>
      <c r="OG69" s="164">
        <f>IF($NJ69=0,0,INDEX('DADOS_FORMAS'!$GD$2:$GD$21,$NJ69))</f>
        <v/>
      </c>
      <c r="OH69" s="164">
        <f>IF($NJ69=0,0,INDEX('DADOS_FORMAS'!$GF$2:$GF$21,$NJ69))</f>
        <v/>
      </c>
      <c r="OI69" s="164">
        <f>IFERROR(VLOOKUP(SUBSTITUTE(SUBSTITUTE(SUBSTITUTE($NB69,"~","~~"),"*","~*"),"?","~?"),'DADOS_RESTRICOES'!$M$2:$Q$54,3,FALSE),0)</f>
        <v/>
      </c>
      <c r="OJ69" s="164">
        <f>IFERROR(VLOOKUP(SUBSTITUTE(SUBSTITUTE(SUBSTITUTE($NC69,"~","~~"),"*","~*"),"?","~?"),'DADOS_RESTRICOES'!$M$2:$Q$54,3,FALSE),0)</f>
        <v/>
      </c>
      <c r="OK69" s="164">
        <f>IFERROR(VLOOKUP(SUBSTITUTE(SUBSTITUTE(SUBSTITUTE($NB69,"~","~~"),"*","~*"),"?","~?"),'DADOS_RESTRICOES'!$M$2:$Q$54,2,FALSE),"")</f>
        <v/>
      </c>
      <c r="OL69" s="164">
        <f>IFERROR(VLOOKUP(SUBSTITUTE(SUBSTITUTE(SUBSTITUTE($NC69,"~","~~"),"*","~*"),"?","~?"),'DADOS_RESTRICOES'!$M$2:$Q$54,2,FALSE),"")</f>
        <v/>
      </c>
      <c r="OM69" s="164">
        <f>COUNTIF($NS69:$NW69,1)</f>
        <v/>
      </c>
      <c r="ON69" s="164">
        <f>COUNTIF($NS69:$NW69,2)</f>
        <v/>
      </c>
      <c r="OO69" s="164">
        <f>COUNTIF($NS69:$NW69,3)</f>
        <v/>
      </c>
      <c r="OP69" s="164">
        <f>COUNTIF($NS69:$NW69,4)</f>
        <v/>
      </c>
      <c r="OQ69" s="164">
        <f>COUNTIF($NS69:$NW69,5)</f>
        <v/>
      </c>
      <c r="OR69" s="164">
        <f>COUNTIF($NS69:$NW69,6)</f>
        <v/>
      </c>
      <c r="OS69" s="164">
        <f>COUNTIF($OI69:$OJ69,1)+IF(IFERROR(INDEX('DADOS_FORMAS'!$AS$2:$AS$21,MATCH(SUBSTITUTE(SUBSTITUTE(SUBSTITUTE($MU69,"~","~~"),"*","~*"),"?","~?"),'DADOS_FORMAS'!$AH$2:$AH$21,0)),"")="",0,IFERROR(N(VLOOKUP(SUBSTITUTE(SUBSTITUTE(SUBSTITUTE(IFERROR(INDEX('DADOS_FORMAS'!$AS$2:$AS$21,MATCH(SUBSTITUTE(SUBSTITUTE(SUBSTITUTE($MU69,"~","~~"),"*","~*"),"?","~?"),'DADOS_FORMAS'!$AH$2:$AH$21,0)),""),"~","~~"),"*","~*"),"?","~?"),'DADOS_RESTRICOES'!$M$2:$Q$54,3,FALSE)=1),0))</f>
        <v/>
      </c>
      <c r="OT69" s="164">
        <f>COUNTIF($OI69:$OJ69,2)+IF(IFERROR(INDEX('DADOS_FORMAS'!$AS$2:$AS$21,MATCH(SUBSTITUTE(SUBSTITUTE(SUBSTITUTE($MU69,"~","~~"),"*","~*"),"?","~?"),'DADOS_FORMAS'!$AH$2:$AH$21,0)),"")="",0,IFERROR(N(VLOOKUP(SUBSTITUTE(SUBSTITUTE(SUBSTITUTE(IFERROR(INDEX('DADOS_FORMAS'!$AS$2:$AS$21,MATCH(SUBSTITUTE(SUBSTITUTE(SUBSTITUTE($MU69,"~","~~"),"*","~*"),"?","~?"),'DADOS_FORMAS'!$AH$2:$AH$21,0)),""),"~","~~"),"*","~*"),"?","~?"),'DADOS_RESTRICOES'!$M$2:$Q$54,3,FALSE)=2),0))</f>
        <v/>
      </c>
      <c r="OU69" s="164">
        <f>COUNTIF($MX69:$NA69,"?*")</f>
        <v/>
      </c>
      <c r="OV69" s="164">
        <f>COUNTIF($NB69:$NC69,"?*")+$OF69</f>
        <v/>
      </c>
      <c r="OW69" s="164">
        <f>IF($MS69=0,0,SUMPRODUCT($OM69:$OR69,INDEX($I$2:$N$8,MAX(1,$MS69),0)))</f>
        <v/>
      </c>
      <c r="OX69" s="164">
        <f>IF($MS69=0,0,$OS69*CEILING($MS69/2,1)+$OT69*$MS69)</f>
        <v/>
      </c>
      <c r="OY69" s="164">
        <f>MIN(2*$MS69,$OX69)</f>
        <v/>
      </c>
      <c r="OZ69" s="164">
        <f>MIN($OY69,$OW69-IF($NS69=0,0,INDEX($I$2:$N$8,MAX(1,$MS69),$NS69)))</f>
        <v/>
      </c>
      <c r="PA69" s="164">
        <f>$OY69-$OZ69</f>
        <v/>
      </c>
      <c r="PB69" s="164">
        <f>IF($MS69=0,0,INDEX($P$2:$P$8,MAX(1,$MS69)))</f>
        <v/>
      </c>
      <c r="PC69" s="164">
        <f>$PB69-$OW69+$OZ69</f>
        <v/>
      </c>
      <c r="PD69" s="164">
        <f>IF($MS69=0,MAX(0,$NG69-IF(AND($OU69&gt;0,COUNTIF($NB69:$NC69,"?*")=0),1,0)),MAX(0,$PC69))</f>
        <v/>
      </c>
      <c r="PE69" s="164">
        <f>IF($MS69=0,0,(IF(COUNTIF($RK69:$RN69,"Salto")&gt;0,1,0)+IF(COUNTIF($RK69:$RN69,"Queima")&gt;0,1,0)+IF(COUNTIF($RK69:$RN69,"Estilhaço")&gt;0,1,0))*FLOOR($PD69/2,1))</f>
        <v/>
      </c>
      <c r="PF69" s="164">
        <f>MAX(0,2-SUMPRODUCT($OM69:$OR69,$I$2:$N$2)+MIN(2,$OS69*1+$OT69*1,SUMPRODUCT($OM69:$OR69,$I$2:$N$2)-IF($NS69=0,0,INDEX($I$2:$N$2,1,$NS69))))</f>
        <v/>
      </c>
      <c r="PG69" s="164">
        <f>MAX(0,4-SUMPRODUCT($OM69:$OR69,$I$3:$N$3)+MIN(4,$OS69*1+$OT69*2,SUMPRODUCT($OM69:$OR69,$I$3:$N$3)-IF($NS69=0,0,INDEX($I$3:$N$3,1,$NS69))))</f>
        <v/>
      </c>
      <c r="PH69" s="164">
        <f>MAX(0,6-SUMPRODUCT($OM69:$OR69,$I$4:$N$4)+MIN(6,$OS69*2+$OT69*3,SUMPRODUCT($OM69:$OR69,$I$4:$N$4)-IF($NS69=0,0,INDEX($I$4:$N$4,1,$NS69))))</f>
        <v/>
      </c>
      <c r="PI69" s="164">
        <f>MAX(0,9-SUMPRODUCT($OM69:$OR69,$I$5:$N$5)+MIN(8,$OS69*2+$OT69*4,SUMPRODUCT($OM69:$OR69,$I$5:$N$5)-IF($NS69=0,0,INDEX($I$5:$N$5,1,$NS69))))</f>
        <v/>
      </c>
      <c r="PJ69" s="164">
        <f>MAX(0,11-SUMPRODUCT($OM69:$OR69,$I$6:$N$6)+MIN(10,$OS69*3+$OT69*5,SUMPRODUCT($OM69:$OR69,$I$6:$N$6)-IF($NS69=0,0,INDEX($I$6:$N$6,1,$NS69))))</f>
        <v/>
      </c>
      <c r="PK69" s="164">
        <f>MAX(0,13-SUMPRODUCT($OM69:$OR69,$I$7:$N$7)+MIN(12,$OS69*3+$OT69*6,SUMPRODUCT($OM69:$OR69,$I$7:$N$7)-IF($NS69=0,0,INDEX($I$7:$N$7,1,$NS69))))</f>
        <v/>
      </c>
      <c r="PL69" s="164">
        <f>MAX(0,16-SUMPRODUCT($OM69:$OR69,$I$8:$N$8)+MIN(14,$OS69*4+$OT69*7,SUMPRODUCT($OM69:$OR69,$I$8:$N$8)-IF($NS69=0,0,INDEX($I$8:$N$8,1,$NS69))))</f>
        <v/>
      </c>
      <c r="PM69" s="164">
        <f>IF($OG69=2,3*$PF69&amp;" de vida temp.",IF($OG69=3,"sem dano",IF($PF69=0,IF($OG69=1,"sem cura","sem dano"),IF($OG69=1,"cura ","")&amp;$PF69&amp;"d8")))</f>
        <v/>
      </c>
      <c r="PN69" s="164">
        <f>IF($OG69=2,3*$PG69&amp;" de vida temp.",IF($OG69=3,"sem dano",IF($PG69=0,IF($OG69=1,"sem cura","sem dano"),IF($OG69=1,"cura ","")&amp;$PG69&amp;"d8")))</f>
        <v/>
      </c>
      <c r="PO69" s="164">
        <f>IF($OG69=2,3*$PH69&amp;" de vida temp.",IF($OG69=3,"sem dano",IF($PH69=0,IF($OG69=1,"sem cura","sem dano"),IF($OG69=1,"cura ","")&amp;$PH69&amp;"d8")))</f>
        <v/>
      </c>
      <c r="PP69" s="164">
        <f>IF($OG69=2,3*$PI69&amp;" de vida temp.",IF($OG69=3,"sem dano",IF($PI69=0,IF($OG69=1,"sem cura","sem dano"),IF($OG69=1,"cura ","")&amp;$PI69&amp;"d8")))</f>
        <v/>
      </c>
      <c r="PQ69" s="164">
        <f>IF($OG69=2,3*$PJ69&amp;" de vida temp.",IF($OG69=3,"sem dano",IF($PJ69=0,IF($OG69=1,"sem cura","sem dano"),IF($OG69=1,"cura ","")&amp;$PJ69&amp;"d8")))</f>
        <v/>
      </c>
      <c r="PR69" s="164">
        <f>IF($OG69=2,3*$PK69&amp;" de vida temp.",IF($OG69=3,"sem dano",IF($PK69=0,IF($OG69=1,"sem cura","sem dano"),IF($OG69=1,"cura ","")&amp;$PK69&amp;"d8")))</f>
        <v/>
      </c>
      <c r="PS69" s="164">
        <f>IF($OG69=2,3*$PL69&amp;" de vida temp.",IF($OG69=3,"sem dano",IF($PL69=0,IF($OG69=1,"sem cura","sem dano"),IF($OG69=1,"cura ","")&amp;$PL69&amp;"d8")))</f>
        <v/>
      </c>
      <c r="PT69" s="164">
        <f>IF($ND69=0,"",TEXTJOIN(" · ",TRUE,IF($ND69=0,"",TEXTJOIN(" · ",TRUE,IF($ND69=0,"",TEXTJOIN(" · ",TRUE,IF($MQ69&gt;$NE69,"Este lugar abre no nível "&amp;$MQ69,""),IF($MS69&gt;$NF69,"Classe "&amp;$MS69&amp;": o nível "&amp;$NE69&amp;" libera até a "&amp;$NF69,""),IF($NX69=1,"A Forma "&amp;$MU69&amp;" pede "&amp;INDEX('DADOS_FORMAS'!$GA$2:$GA$21,$NJ69)&amp;" aberta",""),IF(AND($MS69=0,$NJ69&gt;0,IF($NJ69=0,0,INDEX('DADOS_FORMAS'!$GJ$2:$GJ$21,$NJ69))=0),$MU69&amp;" não existe na Classe 0",""),IF($NY69=1,"Família Fechada: "&amp;$MX69,""),IF($NZ69=1,"Família Fechada: "&amp;$MY69,""),IF($OA69=1,"Família Fechada: "&amp;$MZ69,""),IF($OB69=1,"Família Fechada: "&amp;$NA69,""),IF(AND($MS69&gt;0,$OU69&gt;INDEX($O$2:$O$8,MAX(1,$MS69))),$OU69&amp;" Melhorias: a Classe "&amp;$MS69&amp;" aceita "&amp;INDEX($O$2:$O$8,MAX(1,$MS69)),""),IF(AND($MS69=0,$OU69&gt;1),"A básica aceita uma Melhoria",""),IF(AND($MS69=0,COUNTIF($NO69:$NR69,"&gt;1")&gt;0),"A básica só aceita Melhoria Leve",""),IF(AND($MS69&gt;0,$OV69&gt;2),$OV69&amp;" Restrições"&amp;IF($OF69=1,", contando a que a Forma "&amp;$MU69&amp;" já traz","")&amp;": o limite é 2",""),IF(AND($MS69=0,COUNTIF($NB69:$NC69,"?*")&gt;1),"A básica aceita uma Restrição Leve",""),IF(AND($MS69=0,COUNTIF($OI69:$OJ69,2)&gt;0),"A básica só aceita Restrição Leve",""),IF(AND($MS69&gt;0,$PC69&lt;0),"Orçamento estourado: faltam "&amp;(-$PC69)&amp;IF($PC69&lt;-1," pontos"," ponto"),""),IF(IFERROR(VLOOKUP(SUBSTITUTE(SUBSTITUTE(SUBSTITUTE($NB69,"~","~~"),"*","~*"),"?","~?"),'DADOS_RESTRICOES'!$M$2:$Q$54,4,FALSE),0)+IFERROR(VLOOKUP(SUBSTITUTE(SUBSTITUTE(SUBSTITUTE($NC69,"~","~~"),"*","~*"),"?","~?"),'DADOS_RESTRICOES'!$M$2:$Q$54,4,FALSE),0)&gt;1,$OK69&amp;" e "&amp;$OL69&amp;" são as duas de frequência",""),IF(AND((COUNTIF($RK69:$RN69,"Rápido")+COUNTIF($OK69:$OL69,"Rápido"))&gt;0,(COUNTIF($MX69:$NA69,"Atrasar")+COUNTIF($OK69:$OL69,"Atrasar"))&gt;0),"Rápido não entra com Atrasar",""),IF(AND((COUNTIF($RK69:$RN69,"Reação")+COUNTIF($OK69:$OL69,"Reação"))&gt;0,(COUNTIF($RK69:$RN69,"Rápido")+COUNTIF($OK69:$OL69,"Rápido"))&gt;0),"Reação não entra com Rápido",""),IF(AND((COUNTIF($RK69:$RN69,"Reação")+COUNTIF($OK69:$OL69,"Reação"))&gt;0,(COUNTIF($RK69:$RN69,"Armado")+COUNTIF($OK69:$OL69,"Armado"))&gt;0),"Reação não entra com Armado",""),IF(AND((COUNTIF($RK69:$RN69,"Reação")+COUNTIF($OK69:$OL69,"Reação"))&gt;0,(COUNTIF($MX69:$NA69,"Atrasar")+COUNTIF($OK69:$OL69,"Atrasar"))&gt;0),"Reação não entra com Atrasar",""),IF(AND((COUNTIF($RK69:$RN69,"Reação")+COUNTIF($OK69:$OL69,"Reação"))&gt;0,(COUNTIF($MX69:$NA69,"Parado")+COUNTIF($OK69:$OL69,"Parado"))&gt;0),"Reação não entra com Parado",""),IF(AND((COUNTIF($MX69:$NA69,"Atrasar")+COUNTIF($OK69:$OL69,"Atrasar"))&gt;0,(COUNTIF($MX69:$NA69,"Parado")+COUNTIF($OK69:$OL69,"Parado"))&gt;0),"Atrasar não entra com Parado",""),IF(AND((COUNTIF($RK69:$RN69,"Armado")+COUNTIF($OK69:$OL69,"Armado"))&gt;0,(COUNTIF($MX69:$NA69,"Carregar")+COUNTIF($OK69:$OL69,"Carregar"))&gt;0),"Armado não entra com Carregar",""),IF(AND(COUNTIF($OK69:$OL69,"Corpo a Corpo")&gt;0,$OF69=0,OR($RO69="Cone",$RO69="Linha")),"Corpo a Corpo não entra em "&amp;$MU69,""),IF(AND(COUNTIF($OK69:$OL69,"Corpo a Corpo")&gt;0,$RP69="Corpo a Corpo"),"A Forma "&amp;$MU69&amp;" já traz o Corpo a Corpo",""),IF(AND(COUNTIF($OK69:$OL69,"Tudo ou Nada")&gt;0,$OH69=0),"Tudo ou Nada só entra em habilidade de Teste de Resistência",""),IF(AND(COUNTIF($RK69:$RN69,"Inescapável")&gt;0,OR($OU69&gt;1,$OV69&gt;0)),"Inescapável não aceita outra peça",""),IF(AND($MS69&gt;0,$PD69*IF(COUNTIF($RK69:$RN69,"Remate")&gt;0,1.25,1)+$PE69&gt;4*$MS69),($PD69*IF(COUNTIF($RK69:$RN69,"Remate")&gt;0,1.25,1)+$PE69)&amp;" dados somando repetições"&amp;IF(COUNTIF($RK69:$RN69,"Remate")&gt;0," e o Remate","")&amp;": o teto da Classe "&amp;$MS69&amp;" é "&amp;4*$MS69,""))),IF(AND($MX69&lt;&gt;"",COUNTIF('DADOS_MELHORIAS'!$O$2:$O$113,SUBSTITUTE(SUBSTITUTE(SUBSTITUTE($MX69,"~","~~"),"*","~*"),"?","~?"))=0),"Melhoria não cadastrada ou com erro: "&amp;$MX69,""),IF(AND($MY69&lt;&gt;"",COUNTIF('DADOS_MELHORIAS'!$O$2:$O$113,SUBSTITUTE(SUBSTITUTE(SUBSTITUTE($MY69,"~","~~"),"*","~*"),"?","~?"))=0),"Melhoria não cadastrada ou com erro: "&amp;$MY69,""),IF(AND($MZ69&lt;&gt;"",COUNTIF('DADOS_MELHORIAS'!$O$2:$O$113,SUBSTITUTE(SUBSTITUTE(SUBSTITUTE($MZ69,"~","~~"),"*","~*"),"?","~?"))=0),"Melhoria não cadastrada ou com erro: "&amp;$MZ69,""),IF(AND($NA69&lt;&gt;"",COUNTIF('DADOS_MELHORIAS'!$O$2:$O$113,SUBSTITUTE(SUBSTITUTE(SUBSTITUTE($NA69,"~","~~"),"*","~*"),"?","~?"))=0),"Melhoria não cadastrada ou com erro: "&amp;$NA69,""),IF(AND($NB69&lt;&gt;"",COUNTIF('DADOS_RESTRICOES'!$M$2:$M$54,SUBSTITUTE(SUBSTITUTE(SUBSTITUTE($NB69,"~","~~"),"*","~*"),"?","~?"))=0),"Restrição não cadastrada ou com erro: "&amp;$NB69,""),IF(AND($NC69&lt;&gt;"",COUNTIF('DADOS_RESTRICOES'!$M$2:$M$54,SUBSTITUTE(SUBSTITUTE(SUBSTITUTE($NC69,"~","~~"),"*","~*"),"?","~?"))=0),"Restrição não cadastrada ou com erro: "&amp;$NC69,""))),IF(AND($MU69&lt;&gt;"",COUNTIF('DADOS_FORMAS'!$AH$2:$AH$21,SUBSTITUTE(SUBSTITUTE(SUBSTITUTE($MU69,"~","~~"),"*","~*"),"?","~?"))=0),"Forma não cadastrada ou com erro: "&amp;$MU69,""),IF(AND(IFERROR(INDEX('DADOS_FORMAS'!$AS$2:$AS$21,MATCH(SUBSTITUTE(SUBSTITUTE(SUBSTITUTE($MU69,"~","~~"),"*","~*"),"?","~?"),'DADOS_FORMAS'!$AH$2:$AH$21,0)),"")&lt;&gt;"",OR(IFERROR(VLOOKUP(SUBSTITUTE(SUBSTITUTE(SUBSTITUTE(IFERROR(INDEX('DADOS_FORMAS'!$AS$2:$AS$21,MATCH(SUBSTITUTE(SUBSTITUTE(SUBSTITUTE($MU69,"~","~~"),"*","~*"),"?","~?"),'DADOS_FORMAS'!$AH$2:$AH$21,0)),""),"~","~~"),"*","~*"),"?","~?"),'DADOS_RESTRICOES'!$M$2:$Q$54,2,FALSE),"")=$OK69,IFERROR(VLOOKUP(SUBSTITUTE(SUBSTITUTE(SUBSTITUTE(IFERROR(INDEX('DADOS_FORMAS'!$AS$2:$AS$21,MATCH(SUBSTITUTE(SUBSTITUTE(SUBSTITUTE($MU69,"~","~~"),"*","~*"),"?","~?"),'DADOS_FORMAS'!$AH$2:$AH$21,0)),""),"~","~~"),"*","~*"),"?","~?"),'DADOS_RESTRICOES'!$M$2:$Q$54,2,FALSE),"")=$OL69)),"Restrição repetida, contando a embutida",""),IF(IF(IFERROR(INDEX('DADOS_FORMAS'!$AS$2:$AS$21,MATCH(SUBSTITUTE(SUBSTITUTE(SUBSTITUTE($MU69,"~","~~"),"*","~*"),"?","~?"),'DADOS_FORMAS'!$AH$2:$AH$21,0)),"")="",0,IFERROR(N(VLOOKUP(SUBSTITUTE(SUBSTITUTE(SUBSTITUTE(IFERROR(INDEX('DADOS_FORMAS'!$AS$2:$AS$21,MATCH(SUBSTITUTE(SUBSTITUTE(SUBSTITUTE($MU69,"~","~~"),"*","~*"),"?","~?"),'DADOS_FORMAS'!$AH$2:$AH$21,0)),""),"~","~~"),"*","~*"),"?","~?"),'DADOS_RESTRICOES'!$M$2:$Q$54,4,FALSE)=1),0))+IF($NB69="",0,IFERROR(N(VLOOKUP(SUBSTITUTE(SUBSTITUTE(SUBSTITUTE($NB69,"~","~~"),"*","~*"),"?","~?"),'DADOS_RESTRICOES'!$M$2:$Q$54,4,FALSE)=1),0))+IF($NC69="",0,IFERROR(N(VLOOKUP(SUBSTITUTE(SUBSTITUTE(SUBSTITUTE($NC69,"~","~~"),"*","~*"),"?","~?"),'DADOS_RESTRICOES'!$M$2:$Q$54,4,FALSE)=1),0))&gt;1,"Duas Restrições de frequência, contando a embutida",""),IF(AND(IFERROR(VLOOKUP(SUBSTITUTE(SUBSTITUTE(SUBSTITUTE(IFERROR(INDEX('DADOS_FORMAS'!$AS$2:$AS$21,MATCH(SUBSTITUTE(SUBSTITUTE(SUBSTITUTE($MU69,"~","~~"),"*","~*"),"?","~?"),'DADOS_FORMAS'!$AH$2:$AH$21,0)),""),"~","~~"),"*","~*"),"?","~?"),'DADOS_RESTRICOES'!$M$2:$Q$54,2,FALSE),"")="Tudo ou Nada",$OH69=0),"Tudo ou Nada exige TR",""),IF(AND(IFERROR(VLOOKUP(SUBSTITUTE(SUBSTITUTE(SUBSTITUTE(IFERROR(INDEX('DADOS_FORMAS'!$AS$2:$AS$21,MATCH(SUBSTITUTE(SUBSTITUTE(SUBSTITUTE($MU69,"~","~~"),"*","~*"),"?","~?"),'DADOS_FORMAS'!$AH$2:$AH$21,0)),""),"~","~~"),"*","~*"),"?","~?"),'DADOS_RESTRICOES'!$M$2:$Q$54,2,FALSE),"")="Corpo a Corpo",OR($RO69="Cone",$RO69="Linha")),"Corpo a Corpo não entra em Cone/Linha","")))</f>
        <v/>
      </c>
      <c r="PU69" s="164">
        <f>IF($PT69="",0,(LEN($PT69)-LEN(SUBSTITUTE($PT69," · ","")))/3+1)</f>
        <v/>
      </c>
      <c r="PV69" s="164">
        <f>IF($ND69=0,"",TEXTJOIN(" · ",TRUE,IF($OX69&gt;2*$MS69,"A devolução parou no teto de "&amp;2*$MS69,""),IF($PA69&gt;0,"Devolução perdida: "&amp;$PA69&amp;IF($PA69&gt;1," pontos"," ponto")&amp;" sem Melhoria para pagar",""),IF(AND($OC69&gt;0,AND($MS69&gt;0,$OG69=0),$PD69=0),"Controle sem dano: uma rodada a mais e CD +2",""),IF(AND($OC69&gt;0,AND($MS69&gt;0,$OG69=0),$PD69&gt;0,$PD69&lt;=$MS69),"Controle com saldo até a Classe: uma rodada a mais",""),IF(AND($MS69&gt;0,$OE69&lt;&gt;""),"Efeito de "&amp;$OE69&amp;" pela Classe "&amp;MAX(1,$MS69-1),"")))</f>
        <v/>
      </c>
      <c r="PW69" s="164">
        <f>IF($PV69="",0,(LEN($PV69)-LEN(SUBSTITUTE($PV69," · ","")))/3+1)</f>
        <v/>
      </c>
      <c r="PX69" s="164">
        <f>IF($ND69=0,IF($OU69+COUNTIF($NB69:$NC69,"?*")&gt;0,"Dê um nome",""),IF($PU69&gt;0,"⚠ "&amp;$PU69&amp;IF($PU69&gt;1," erros"," erro"),IF($PW69&gt;0,"! "&amp;$PW69&amp;IF($PW69&gt;1," avisos"," aviso"),"Na regra")))</f>
        <v/>
      </c>
      <c r="PY69" s="164">
        <f>IF($ND69=0,"",IF($PU69+$PW69=0,"Dentro das regras que a ficha confere",$PT69&amp;IF(AND($PU69&gt;0,$PW69&gt;0)," · ","")&amp;$PV69))</f>
        <v/>
      </c>
      <c r="PZ69" s="164">
        <f>IF($MQ69&gt;$NE69,$MR69&amp;" · ABRE NO NÍVEL "&amp;$MQ69,$MR69)</f>
        <v/>
      </c>
      <c r="QA69" s="164">
        <f>IF($ND69=0,"",IF($MS69=0,"Sem PE",3*$MS69&amp;" PE"))</f>
        <v/>
      </c>
      <c r="QB69" s="164">
        <f>IF($ND69=0,"",IF($MS69=0,"A atuação básica dela",IF(COUNTIF($RQ69:$RS69,"Atrasar")&gt;0,"Sua Ação Completa",IF(COUNTIF($RK69:$RN69,"Rápido")&gt;0,"Sua Bônus",IF(COUNTIF($RK69:$RN69,"Reação")&gt;0,"Sua Reação","Sua Padrão")))&amp;" + a básica dela"&amp;IF(COUNTIF($RK69:$RN69,"Reação")&gt;0," e a coletiva","")&amp;IF(COUNTIF($RQ69:$RS69,"Carregar")&gt;0," · em dois turnos","")))</f>
        <v/>
      </c>
      <c r="QC69" s="164">
        <f>IF($MW69&lt;&gt;"",$MW69,IF($NJ69=0,"",INDEX('DADOS_FORMAS'!$GE$2:$GE$21,$NJ69)))</f>
        <v/>
      </c>
      <c r="QD69" s="164">
        <f>IF(OR($ND69=0,$NJ69=0),"",IF(COUNTIF($RK69:$RN69,"Inescapável")&gt;0,"Automático",IF($QC69="Ataque",IF($NH69="","Ataque","Ataque "&amp;IF(($NH69+2*IF(COUNTIF($RK69:$RN69,"Precisão")&gt;0,1,0))&gt;=0,"+","−")&amp;ABS(($NH69+2*IF(COUNTIF($RK69:$RN69,"Precisão")&gt;0,1,0))))&amp;IF($OD69&gt;0," · TR"&amp;IF($NI69="",""," CD "&amp;$NI69),""),IF(LEFT($QC69,2)="TR",$QC69&amp;IF($NI69="",""," · CD "&amp;$NI69)&amp;IF(COUNTIF($RK69:$RN69,"Certeiro")&gt;0," · metade",""),"Sem rolagem"))))</f>
        <v/>
      </c>
      <c r="QE69" s="164">
        <f>IF(OR($ND69=0,$NJ69=0),"",IF($MS69=0,IF(OR($OG69&gt;=1,$PD69=0),"Sem dano",$PD69&amp;"d6"&amp;IF($MV69="",""," "&amp;$MV69)),IF(OR($OG69&gt;=1,$PD69=0),UPPER(LEFT(INDEX($PM69:$PS69,1,MAX(1,$MS69)),1))&amp;MID(INDEX($PM69:$PS69,1,MAX(1,$MS69)),2,99),UPPER(LEFT(INDEX($PM69:$PS69,1,MAX(1,$MS69)),1))&amp;MID(INDEX($PM69:$PS69,1,MAX(1,$MS69)),2,99)&amp;IF($MV69="",""," "&amp;$MV69)&amp;IF($PE69&gt;0," · +"&amp;$PE69&amp;"d8",""))))</f>
        <v/>
      </c>
      <c r="QF69" s="164">
        <f>COUNTIF($RK69:$RN69,"Longe")+3*COUNTIF($RK69:$RN69,"Muito Longe")</f>
        <v/>
      </c>
      <c r="QG69" s="164">
        <f>COUNTIF($RK69:$RN69,"Maior")+3*COUNTIF($RK69:$RN69,"Muito Maior")</f>
        <v/>
      </c>
      <c r="QH69" s="164">
        <f>IF($NJ69=0,0,CHOOSE(1+INDEX('DADOS_FORMAS'!$GG$2:$GG$21,$NJ69),0,$QF69,$QG69,$QF69+$QG69))</f>
        <v/>
      </c>
      <c r="QI69" s="164">
        <f>IF($NJ69=0,0,CHOOSE(1+INDEX('DADOS_FORMAS'!$GH$2:$GH$21,$NJ69),0,$QF69,$QG69,$QF69+$QG69))</f>
        <v/>
      </c>
      <c r="QJ69" s="164">
        <f>IF(OR($ND69=0,$NJ69=0),"",INDEX('DADOS_FORMAS'!$HU$2:$HZ$81,($NJ69-1)*4+IF($MS69=0,1,IF($MS69&lt;=5,2,IF($MS69=6,3,4))),1+MIN(5,$QH69))&amp;INDEX('DADOS_FORMAS'!$IA$2:$IF$81,($NJ69-1)*4+IF($MS69=0,1,IF($MS69&lt;=5,2,IF($MS69=6,3,4))),1+MIN(5,$QI69))&amp;IF(INDEX('DADOS_FORMAS'!$GI$2:$GI$21,$NJ69)=1,IF(COUNTIF($RK69:$RN69,"Mais Um")&gt;0," · +"&amp;COUNTIF($RK69:$RN69,"Mais Um")&amp;IF(COUNTIF($RK69:$RN69,"Mais Um")&gt;1," alvos"," alvo"),"")&amp;IF(COUNTIF($RK69:$RN69,"Rajada")&gt;0,IF($MS69=0," · 1 tiro"," · "&amp;(MAX(1,$MS69-1)+1)&amp;" tiros"),""),""))</f>
        <v/>
      </c>
      <c r="QK69" s="164">
        <f>IF($ND69=0,"",IF($MS69=0,$NG69&amp;"d6"&amp;IF($OU69&gt;0," − 1 = "&amp;$PD69&amp;"d6"," da básica do nível "&amp;$NE69),$PB69&amp;" − "&amp;$OW69&amp;" + "&amp;$OZ69&amp;" = "&amp;$PC69&amp;" · teto "&amp;4*$MS69&amp;"d8"&amp;IF($OF69=1," · a Forma devolve "&amp;$MS69,"")&amp;IF($PA69&gt;0," · perde "&amp;$PA69,"")))</f>
        <v/>
      </c>
      <c r="QL69" s="164">
        <f>IF($ND69=0,"",IF($MS69=0,"A básica não amplia: os dados dela sobem com o nível",IF($MS69&gt;=$NF69,"Já está na maior Classe que o nível liberou",TEXTJOIN(" · ",TRUE,IF(AND(2&gt;$MS69,2&lt;=$NF69),"2 → "&amp;$PN69&amp;", 6 PE",""),IF(AND(3&gt;$MS69,3&lt;=$NF69),"3 → "&amp;$PO69&amp;", 9 PE",""),IF(AND(4&gt;$MS69,4&lt;=$NF69),"4 → "&amp;$PP69&amp;", 12 PE",""),IF(AND(5&gt;$MS69,5&lt;=$NF69),"5 → "&amp;$PQ69&amp;", 15 PE",""),IF(AND(6&gt;$MS69,6&lt;=$NF69),"6 → "&amp;$PR69&amp;", 18 PE",""),IF(AND(7&gt;$MS69,7&lt;=$NF69),"7 → "&amp;$PS69&amp;", 21 PE","")))))</f>
        <v/>
      </c>
      <c r="QM69" s="164">
        <f>IF(OR($ND69=0,$NO69=0),"",IF($MS69=0,"−1 dado","−"&amp;INDEX($I$2:$N$8,MAX(1,$MS69),MAX(1,$NT69))&amp;" · "&amp;CHOOSE(MAX(1,$NT69),"Leve","Média","Pesada","Leve · Livre","Média · Livre","Pesada · Livre")))</f>
        <v/>
      </c>
      <c r="QN69" s="164">
        <f>IF(OR($ND69=0,$NP69=0),"",IF($MS69=0,"−1 dado","−"&amp;INDEX($I$2:$N$8,MAX(1,$MS69),MAX(1,$NU69))&amp;" · "&amp;CHOOSE(MAX(1,$NU69),"Leve","Média","Pesada","Leve · Livre","Média · Livre","Pesada · Livre")))</f>
        <v/>
      </c>
      <c r="QO69" s="164">
        <f>IF(OR($ND69=0,$NQ69=0),"",IF($MS69=0,"−1 dado","−"&amp;INDEX($I$2:$N$8,MAX(1,$MS69),MAX(1,$NV69))&amp;" · "&amp;CHOOSE(MAX(1,$NV69),"Leve","Média","Pesada","Leve · Livre","Média · Livre","Pesada · Livre")))</f>
        <v/>
      </c>
      <c r="QP69" s="164">
        <f>IF(OR($ND69=0,$NR69=0),"",IF($MS69=0,"−1 dado","−"&amp;INDEX($I$2:$N$8,MAX(1,$MS69),MAX(1,$NW69))&amp;" · "&amp;CHOOSE(MAX(1,$NW69),"Leve","Média","Pesada","Leve · Livre","Média · Livre","Pesada · Livre")))</f>
        <v/>
      </c>
      <c r="QQ69" s="164">
        <f>IF(OR($ND69=0,$NB69=""),"",IF($MS69=0,"não devolve","+"&amp;IF($OI69=1,CEILING($MS69/2,1),$MS69)))</f>
        <v/>
      </c>
      <c r="QR69" s="164">
        <f>IF(OR($ND69=0,$NC69=""),"",IF($MS69=0,"não devolve","+"&amp;IF($OJ69=1,CEILING($MS69/2,1),$MS69)))</f>
        <v/>
      </c>
      <c r="RK69">
        <f>IF($MX69="","",IFERROR(VLOOKUP(SUBSTITUTE(SUBSTITUTE(SUBSTITUTE($MX69,"~","~~"),"*","~*"),"?","~?"),'DADOS_MELHORIAS'!$O$2:$X$113,10,FALSE),$MX69))</f>
        <v/>
      </c>
      <c r="RL69">
        <f>IF($MY69="","",IFERROR(VLOOKUP(SUBSTITUTE(SUBSTITUTE(SUBSTITUTE($MY69,"~","~~"),"*","~*"),"?","~?"),'DADOS_MELHORIAS'!$O$2:$X$113,10,FALSE),$MY69))</f>
        <v/>
      </c>
      <c r="RM69">
        <f>IF($MZ69="","",IFERROR(VLOOKUP(SUBSTITUTE(SUBSTITUTE(SUBSTITUTE($MZ69,"~","~~"),"*","~*"),"?","~?"),'DADOS_MELHORIAS'!$O$2:$X$113,10,FALSE),$MZ69))</f>
        <v/>
      </c>
      <c r="RN69">
        <f>IF($NA69="","",IFERROR(VLOOKUP(SUBSTITUTE(SUBSTITUTE(SUBSTITUTE($NA69,"~","~~"),"*","~*"),"?","~?"),'DADOS_MELHORIAS'!$O$2:$X$113,10,FALSE),$NA69))</f>
        <v/>
      </c>
      <c r="RO69">
        <f>IFERROR(INDEX('DADOS_FORMAS'!$BJ$2:$BJ$21,MATCH(SUBSTITUTE(SUBSTITUTE(SUBSTITUTE($MU69,"~","~~"),"*","~*"),"?","~?"),'DADOS_FORMAS'!$AH$2:$AH$21,0)),"")</f>
        <v/>
      </c>
      <c r="RP69">
        <f>IFERROR(VLOOKUP(SUBSTITUTE(SUBSTITUTE(SUBSTITUTE(IFERROR(INDEX('DADOS_FORMAS'!$AS$2:$AS$21,MATCH(SUBSTITUTE(SUBSTITUTE(SUBSTITUTE($MU69,"~","~~"),"*","~*"),"?","~?"),'DADOS_FORMAS'!$AH$2:$AH$21,0)),""),"~","~~"),"*","~*"),"?","~?"),'DADOS_RESTRICOES'!$M$2:$Q$54,2,FALSE),"")</f>
        <v/>
      </c>
      <c r="RQ69">
        <f>$OK69</f>
        <v/>
      </c>
      <c r="RR69">
        <f>$OL69</f>
        <v/>
      </c>
      <c r="RS69">
        <f>$RP69</f>
        <v/>
      </c>
    </row>
    <row r="70">
      <c r="AV70" s="162" t="inlineStr">
        <is>
          <t>Isca</t>
        </is>
      </c>
      <c r="AW70" s="162" t="inlineStr">
        <is>
          <t>Marca</t>
        </is>
      </c>
      <c r="AX70" s="164" t="n">
        <v>1</v>
      </c>
      <c r="AY70" s="164" t="n">
        <v>0</v>
      </c>
      <c r="AZ70" s="164" t="n">
        <v>0</v>
      </c>
      <c r="BA70" s="164" t="n">
        <v>0</v>
      </c>
      <c r="JT70" s="164">
        <f>IF(OR($AW70="",(COUNTIF($EL$2:$EP$2,$AW70)+COUNTIF($QV$2:$QY$2,$AW70))&gt;0),$AV70,"")</f>
        <v/>
      </c>
      <c r="JU70" s="164">
        <f>IF(AND($AX70=1,OR($AW70="",(COUNTIF($EL$2:$EP$2,$AW70)+COUNTIF($QV$2:$QY$2,$AW70))&gt;0)),$AV70,"")</f>
        <v/>
      </c>
      <c r="JZ70" s="164">
        <f>IF(OR($AW70="",(COUNTIF($EL$3:$EP$3,$AW70)+COUNTIF($QV$3:$QY$3,$AW70))&gt;0),$AV70,"")</f>
        <v/>
      </c>
      <c r="KA70" s="164">
        <f>IF(AND($AX70=1,OR($AW70="",(COUNTIF($EL$3:$EP$3,$AW70)+COUNTIF($QV$3:$QY$3,$AW70))&gt;0)),$AV70,"")</f>
        <v/>
      </c>
      <c r="KF70" s="164">
        <f>IF(OR($AW70="",(COUNTIF($EL$4:$EP$4,$AW70)+COUNTIF($QV$4:$QY$4,$AW70))&gt;0),$AV70,"")</f>
        <v/>
      </c>
      <c r="KG70" s="164">
        <f>IF(AND($AX70=1,OR($AW70="",(COUNTIF($EL$4:$EP$4,$AW70)+COUNTIF($QV$4:$QY$4,$AW70))&gt;0)),$AV70,"")</f>
        <v/>
      </c>
      <c r="KL70" s="164">
        <f>IF(OR($AW70="",(COUNTIF($EL$5:$EP$5,$AW70)+COUNTIF($QV$5:$QY$5,$AW70))&gt;0),$AV70,"")</f>
        <v/>
      </c>
      <c r="KM70" s="164">
        <f>IF(AND($AX70=1,OR($AW70="",(COUNTIF($EL$5:$EP$5,$AW70)+COUNTIF($QV$5:$QY$5,$AW70))&gt;0)),$AV70,"")</f>
        <v/>
      </c>
      <c r="KR70" s="164">
        <f>IF(OR($AW70="",(COUNTIF($EL$6:$EP$6,$AW70)+COUNTIF($QV$6:$QY$6,$AW70))&gt;0),$AV70,"")</f>
        <v/>
      </c>
      <c r="KS70" s="164">
        <f>IF(AND($AX70=1,OR($AW70="",(COUNTIF($EL$6:$EP$6,$AW70)+COUNTIF($QV$6:$QY$6,$AW70))&gt;0)),$AV70,"")</f>
        <v/>
      </c>
      <c r="KX70" s="164">
        <f>IF(OR($AW70="",(COUNTIF($EL$7:$EP$7,$AW70)+COUNTIF($QV$7:$QY$7,$AW70))&gt;0),$AV70,"")</f>
        <v/>
      </c>
      <c r="KY70" s="164">
        <f>IF(AND($AX70=1,OR($AW70="",(COUNTIF($EL$7:$EP$7,$AW70)+COUNTIF($QV$7:$QY$7,$AW70))&gt;0)),$AV70,"")</f>
        <v/>
      </c>
      <c r="LD70" s="164">
        <f>IF(OR($AW70="",(COUNTIF($EL$8:$EP$8,$AW70)+COUNTIF($QV$8:$QY$8,$AW70))&gt;0),$AV70,"")</f>
        <v/>
      </c>
      <c r="LE70" s="164">
        <f>IF(AND($AX70=1,OR($AW70="",(COUNTIF($EL$8:$EP$8,$AW70)+COUNTIF($QV$8:$QY$8,$AW70))&gt;0)),$AV70,"")</f>
        <v/>
      </c>
      <c r="LJ70" s="164">
        <f>IF(OR($AW70="",(COUNTIF($EL$9:$EP$9,$AW70)+COUNTIF($QV$9:$QY$9,$AW70))&gt;0),$AV70,"")</f>
        <v/>
      </c>
      <c r="LK70" s="164">
        <f>IF(AND($AX70=1,OR($AW70="",(COUNTIF($EL$9:$EP$9,$AW70)+COUNTIF($QV$9:$QY$9,$AW70))&gt;0)),$AV70,"")</f>
        <v/>
      </c>
      <c r="LP70" s="164">
        <f>IF(OR($AW70="",(COUNTIF($EL$10:$EP$10,$AW70)+COUNTIF($QV$10:$QY$10,$AW70))&gt;0),$AV70,"")</f>
        <v/>
      </c>
      <c r="LQ70" s="164">
        <f>IF(AND($AX70=1,OR($AW70="",(COUNTIF($EL$10:$EP$10,$AW70)+COUNTIF($QV$10:$QY$10,$AW70))&gt;0)),$AV70,"")</f>
        <v/>
      </c>
      <c r="LV70" s="164">
        <f>IF(OR($AW70="",(COUNTIF($EL$11:$EP$11,$AW70)+COUNTIF($QV$11:$QY$11,$AW70))&gt;0),$AV70,"")</f>
        <v/>
      </c>
      <c r="LW70" s="164">
        <f>IF(AND($AX70=1,OR($AW70="",(COUNTIF($EL$11:$EP$11,$AW70)+COUNTIF($QV$11:$QY$11,$AW70))&gt;0)),$AV70,"")</f>
        <v/>
      </c>
      <c r="MB70" s="164">
        <f>IF(OR($AW70="",(COUNTIF($EL$12:$EP$12,$AW70)+COUNTIF($QV$12:$QY$12,$AW70))&gt;0),$AV70,"")</f>
        <v/>
      </c>
      <c r="MC70" s="164">
        <f>IF(AND($AX70=1,OR($AW70="",(COUNTIF($EL$12:$EP$12,$AW70)+COUNTIF($QV$12:$QY$12,$AW70))&gt;0)),$AV70,"")</f>
        <v/>
      </c>
      <c r="MH70" s="164">
        <f>IF(OR($AW70="",(COUNTIF($EL$13:$EP$13,$AW70)+COUNTIF($QV$13:$QY$13,$AW70))&gt;0),$AV70,"")</f>
        <v/>
      </c>
      <c r="MI70" s="164">
        <f>IF(AND($AX70=1,OR($AW70="",(COUNTIF($EL$13:$EP$13,$AW70)+COUNTIF($QV$13:$QY$13,$AW70))&gt;0)),$AV70,"")</f>
        <v/>
      </c>
      <c r="MN70" s="162" t="inlineStr">
        <is>
          <t>Ficha 6 · Básica 2</t>
        </is>
      </c>
      <c r="MO70" s="164" t="n">
        <v>6</v>
      </c>
      <c r="MP70" s="164" t="n">
        <v>0</v>
      </c>
      <c r="MQ70" s="164" t="n">
        <v>11</v>
      </c>
      <c r="MR70" s="162" t="inlineStr">
        <is>
          <t>BÁSICA 2</t>
        </is>
      </c>
      <c r="MS70" s="164" t="n">
        <v>0</v>
      </c>
      <c r="MT70" s="164">
        <f>'INVOCAÇÕES'!$J$1160&amp;""</f>
        <v/>
      </c>
      <c r="MU70" s="164">
        <f>'INVOCAÇÕES'!$I$1165&amp;""</f>
        <v/>
      </c>
      <c r="MV70" s="164">
        <f>'INVOCAÇÕES'!$I$1166&amp;""</f>
        <v/>
      </c>
      <c r="MW70" s="164">
        <f>'INVOCAÇÕES'!$K$1166&amp;""</f>
        <v/>
      </c>
      <c r="MX70" s="164">
        <f>'INVOCAÇÕES'!$J$1169&amp;""</f>
        <v/>
      </c>
      <c r="MY70" s="164">
        <f>'INVOCAÇÕES'!$J$1170&amp;""</f>
        <v/>
      </c>
      <c r="MZ70" s="164">
        <f>'INVOCAÇÕES'!$J$1171&amp;""</f>
        <v/>
      </c>
      <c r="NA70" s="164">
        <f>'INVOCAÇÕES'!$J$1172&amp;""</f>
        <v/>
      </c>
      <c r="NB70" s="164">
        <f>'INVOCAÇÕES'!$J$1173&amp;""</f>
        <v/>
      </c>
      <c r="NC70" s="164">
        <f>'INVOCAÇÕES'!$J$1174&amp;""</f>
        <v/>
      </c>
      <c r="ND70" s="164">
        <f>IF($MT70&lt;&gt;"",1,0)</f>
        <v/>
      </c>
      <c r="NE70" s="164">
        <f>INDEX($FO$2:$FO$13,$MO70)</f>
        <v/>
      </c>
      <c r="NF70" s="164">
        <f>INDEX($FP$2:$FP$13,$MO70)</f>
        <v/>
      </c>
      <c r="NG70" s="164">
        <f>INDEX($FQ$2:$FQ$13,$MO70)</f>
        <v/>
      </c>
      <c r="NH70" s="164">
        <f>INDEX($GB$2:$GB$13,$MO70)</f>
        <v/>
      </c>
      <c r="NI70" s="164">
        <f>INDEX($GC$2:$GC$13,$MO70)</f>
        <v/>
      </c>
      <c r="NJ70" s="164">
        <f>IFERROR(MATCH(SUBSTITUTE(SUBSTITUTE(SUBSTITUTE($MU70,"~","~~"),"*","~*"),"?","~?"),'DADOS_FORMAS'!$FZ$2:$FZ$21,0),0)</f>
        <v/>
      </c>
      <c r="NK70" s="164">
        <f>IFERROR(VLOOKUP(SUBSTITUTE(SUBSTITUTE(SUBSTITUTE($MX70,"~","~~"),"*","~*"),"?","~?"),'DADOS_MELHORIAS'!$AG$2:$AL$113,2,FALSE),"")</f>
        <v/>
      </c>
      <c r="NL70" s="164">
        <f>IFERROR(VLOOKUP(SUBSTITUTE(SUBSTITUTE(SUBSTITUTE($MY70,"~","~~"),"*","~*"),"?","~?"),'DADOS_MELHORIAS'!$AG$2:$AL$113,2,FALSE),"")</f>
        <v/>
      </c>
      <c r="NM70" s="164">
        <f>IFERROR(VLOOKUP(SUBSTITUTE(SUBSTITUTE(SUBSTITUTE($MZ70,"~","~~"),"*","~*"),"?","~?"),'DADOS_MELHORIAS'!$AG$2:$AL$113,2,FALSE),"")</f>
        <v/>
      </c>
      <c r="NN70" s="164">
        <f>IFERROR(VLOOKUP(SUBSTITUTE(SUBSTITUTE(SUBSTITUTE($NA70,"~","~~"),"*","~*"),"?","~?"),'DADOS_MELHORIAS'!$AG$2:$AL$113,2,FALSE),"")</f>
        <v/>
      </c>
      <c r="NO70" s="164">
        <f>IFERROR(VLOOKUP(SUBSTITUTE(SUBSTITUTE(SUBSTITUTE($MX70,"~","~~"),"*","~*"),"?","~?"),'DADOS_MELHORIAS'!$AG$2:$AL$113,3,FALSE),0)</f>
        <v/>
      </c>
      <c r="NP70" s="164">
        <f>IFERROR(VLOOKUP(SUBSTITUTE(SUBSTITUTE(SUBSTITUTE($MY70,"~","~~"),"*","~*"),"?","~?"),'DADOS_MELHORIAS'!$AG$2:$AL$113,3,FALSE),0)</f>
        <v/>
      </c>
      <c r="NQ70" s="164">
        <f>IFERROR(VLOOKUP(SUBSTITUTE(SUBSTITUTE(SUBSTITUTE($MZ70,"~","~~"),"*","~*"),"?","~?"),'DADOS_MELHORIAS'!$AG$2:$AL$113,3,FALSE),0)</f>
        <v/>
      </c>
      <c r="NR70" s="164">
        <f>IFERROR(VLOOKUP(SUBSTITUTE(SUBSTITUTE(SUBSTITUTE($NA70,"~","~~"),"*","~*"),"?","~?"),'DADOS_MELHORIAS'!$AG$2:$AL$113,3,FALSE),0)</f>
        <v/>
      </c>
      <c r="NS70" s="164">
        <f>IF($MS70=0,0,IF($NJ70=0,0,INDEX('DADOS_FORMAS'!$GB$2:$GB$21,$NJ70)))</f>
        <v/>
      </c>
      <c r="NT70" s="164">
        <f>IF(OR($NO70=0,$MS70=0),0,$NO70+3*IF(AND($NK70&lt;&gt;"",COUNTIF(INDEX($RB$2:$RJ$13,$MO70,0),$NK70)&gt;0),1,0))</f>
        <v/>
      </c>
      <c r="NU70" s="164">
        <f>IF(OR($NP70=0,$MS70=0),0,$NP70+3*IF(AND($NL70&lt;&gt;"",COUNTIF(INDEX($RB$2:$RJ$13,$MO70,0),$NL70)&gt;0),1,0))</f>
        <v/>
      </c>
      <c r="NV70" s="164">
        <f>IF(OR($NQ70=0,$MS70=0),0,$NQ70+3*IF(AND($NM70&lt;&gt;"",COUNTIF(INDEX($RB$2:$RJ$13,$MO70,0),$NM70)&gt;0),1,0))</f>
        <v/>
      </c>
      <c r="NW70" s="164">
        <f>IF(OR($NR70=0,$MS70=0),0,$NR70+3*IF(AND($NN70&lt;&gt;"",COUNTIF(INDEX($RB$2:$RJ$13,$MO70,0),$NN70)&gt;0),1,0))</f>
        <v/>
      </c>
      <c r="NX70" s="164">
        <f>IF($NJ70=0,0,IF(INDEX('DADOS_FORMAS'!$GA$2:$GA$21,$NJ70)="",0,IF((COUNTIF(INDEX($EL$2:$EP$13,$MO70,0),INDEX('DADOS_FORMAS'!$GA$2:$GA$21,$NJ70))+COUNTIF(INDEX($QV$2:$QY$13,$MO70,0),INDEX('DADOS_FORMAS'!$GA$2:$GA$21,$NJ70)))=0,1,0)))</f>
        <v/>
      </c>
      <c r="NY70" s="164">
        <f>IF(OR($NO70=0,$NK70=""),0,IF((COUNTIF(INDEX($EL$2:$EP$13,$MO70,0),$NK70)+COUNTIF(INDEX($QV$2:$QY$13,$MO70,0),$NK70))=0,1,0))</f>
        <v/>
      </c>
      <c r="NZ70" s="164">
        <f>IF(OR($NP70=0,$NL70=""),0,IF((COUNTIF(INDEX($EL$2:$EP$13,$MO70,0),$NL70)+COUNTIF(INDEX($QV$2:$QY$13,$MO70,0),$NL70))=0,1,0))</f>
        <v/>
      </c>
      <c r="OA70" s="164">
        <f>IF(OR($NQ70=0,$NM70=""),0,IF((COUNTIF(INDEX($EL$2:$EP$13,$MO70,0),$NM70)+COUNTIF(INDEX($QV$2:$QY$13,$MO70,0),$NM70))=0,1,0))</f>
        <v/>
      </c>
      <c r="OB70" s="164">
        <f>IF(OR($NR70=0,$NN70=""),0,IF((COUNTIF(INDEX($EL$2:$EP$13,$MO70,0),$NN70)+COUNTIF(INDEX($QV$2:$QY$13,$MO70,0),$NN70))=0,1,0))</f>
        <v/>
      </c>
      <c r="OC70" s="164">
        <f>IFERROR(VLOOKUP(SUBSTITUTE(SUBSTITUTE(SUBSTITUTE($MX70,"~","~~"),"*","~*"),"?","~?"),'DADOS_MELHORIAS'!$AG$2:$AL$113,4,FALSE),0)+IFERROR(VLOOKUP(SUBSTITUTE(SUBSTITUTE(SUBSTITUTE($MY70,"~","~~"),"*","~*"),"?","~?"),'DADOS_MELHORIAS'!$AG$2:$AL$113,4,FALSE),0)+IFERROR(VLOOKUP(SUBSTITUTE(SUBSTITUTE(SUBSTITUTE($MZ70,"~","~~"),"*","~*"),"?","~?"),'DADOS_MELHORIAS'!$AG$2:$AL$113,4,FALSE),0)+IFERROR(VLOOKUP(SUBSTITUTE(SUBSTITUTE(SUBSTITUTE($NA70,"~","~~"),"*","~*"),"?","~?"),'DADOS_MELHORIAS'!$AG$2:$AL$113,4,FALSE),0)</f>
        <v/>
      </c>
      <c r="OD70" s="164">
        <f>IFERROR(VLOOKUP(SUBSTITUTE(SUBSTITUTE(SUBSTITUTE($MX70,"~","~~"),"*","~*"),"?","~?"),'DADOS_MELHORIAS'!$AG$2:$AL$113,6,FALSE),0)+IFERROR(VLOOKUP(SUBSTITUTE(SUBSTITUTE(SUBSTITUTE($MY70,"~","~~"),"*","~*"),"?","~?"),'DADOS_MELHORIAS'!$AG$2:$AL$113,6,FALSE),0)+IFERROR(VLOOKUP(SUBSTITUTE(SUBSTITUTE(SUBSTITUTE($MZ70,"~","~~"),"*","~*"),"?","~?"),'DADOS_MELHORIAS'!$AG$2:$AL$113,6,FALSE),0)+IFERROR(VLOOKUP(SUBSTITUTE(SUBSTITUTE(SUBSTITUTE($NA70,"~","~~"),"*","~*"),"?","~?"),'DADOS_MELHORIAS'!$AG$2:$AL$113,6,FALSE),0)+IFERROR(N(AND(INDEX('DADOS_FORMAS'!$AO$2:$AO$21,MATCH(SUBSTITUTE(SUBSTITUTE(SUBSTITUTE($MU70,"~","~~"),"*","~*"),"?","~?"),'DADOS_FORMAS'!$AH$2:$AH$21,0))="Acerto",$OH70=1)),0)</f>
        <v/>
      </c>
      <c r="OE70" s="164">
        <f>TEXTJOIN(", ",TRUE,IF(IFERROR(VLOOKUP(SUBSTITUTE(SUBSTITUTE(SUBSTITUTE($MX70,"~","~~"),"*","~*"),"?","~?"),'DADOS_MELHORIAS'!$AG$2:$AL$113,5,FALSE),0)=1,$MX70,""),IF(IFERROR(VLOOKUP(SUBSTITUTE(SUBSTITUTE(SUBSTITUTE($MY70,"~","~~"),"*","~*"),"?","~?"),'DADOS_MELHORIAS'!$AG$2:$AL$113,5,FALSE),0)=1,$MY70,""),IF(IFERROR(VLOOKUP(SUBSTITUTE(SUBSTITUTE(SUBSTITUTE($MZ70,"~","~~"),"*","~*"),"?","~?"),'DADOS_MELHORIAS'!$AG$2:$AL$113,5,FALSE),0)=1,$MZ70,""),IF(IFERROR(VLOOKUP(SUBSTITUTE(SUBSTITUTE(SUBSTITUTE($NA70,"~","~~"),"*","~*"),"?","~?"),'DADOS_MELHORIAS'!$AG$2:$AL$113,5,FALSE),0)=1,$NA70,""))</f>
        <v/>
      </c>
      <c r="OF70" s="164">
        <f>IF($NJ70=0,0,INDEX('DADOS_FORMAS'!$GC$2:$GC$21,$NJ70))</f>
        <v/>
      </c>
      <c r="OG70" s="164">
        <f>IF($NJ70=0,0,INDEX('DADOS_FORMAS'!$GD$2:$GD$21,$NJ70))</f>
        <v/>
      </c>
      <c r="OH70" s="164">
        <f>IF($NJ70=0,0,INDEX('DADOS_FORMAS'!$GF$2:$GF$21,$NJ70))</f>
        <v/>
      </c>
      <c r="OI70" s="164">
        <f>IFERROR(VLOOKUP(SUBSTITUTE(SUBSTITUTE(SUBSTITUTE($NB70,"~","~~"),"*","~*"),"?","~?"),'DADOS_RESTRICOES'!$M$2:$Q$54,3,FALSE),0)</f>
        <v/>
      </c>
      <c r="OJ70" s="164">
        <f>IFERROR(VLOOKUP(SUBSTITUTE(SUBSTITUTE(SUBSTITUTE($NC70,"~","~~"),"*","~*"),"?","~?"),'DADOS_RESTRICOES'!$M$2:$Q$54,3,FALSE),0)</f>
        <v/>
      </c>
      <c r="OK70" s="164">
        <f>IFERROR(VLOOKUP(SUBSTITUTE(SUBSTITUTE(SUBSTITUTE($NB70,"~","~~"),"*","~*"),"?","~?"),'DADOS_RESTRICOES'!$M$2:$Q$54,2,FALSE),"")</f>
        <v/>
      </c>
      <c r="OL70" s="164">
        <f>IFERROR(VLOOKUP(SUBSTITUTE(SUBSTITUTE(SUBSTITUTE($NC70,"~","~~"),"*","~*"),"?","~?"),'DADOS_RESTRICOES'!$M$2:$Q$54,2,FALSE),"")</f>
        <v/>
      </c>
      <c r="OM70" s="164">
        <f>COUNTIF($NS70:$NW70,1)</f>
        <v/>
      </c>
      <c r="ON70" s="164">
        <f>COUNTIF($NS70:$NW70,2)</f>
        <v/>
      </c>
      <c r="OO70" s="164">
        <f>COUNTIF($NS70:$NW70,3)</f>
        <v/>
      </c>
      <c r="OP70" s="164">
        <f>COUNTIF($NS70:$NW70,4)</f>
        <v/>
      </c>
      <c r="OQ70" s="164">
        <f>COUNTIF($NS70:$NW70,5)</f>
        <v/>
      </c>
      <c r="OR70" s="164">
        <f>COUNTIF($NS70:$NW70,6)</f>
        <v/>
      </c>
      <c r="OS70" s="164">
        <f>COUNTIF($OI70:$OJ70,1)+IF(IFERROR(INDEX('DADOS_FORMAS'!$AS$2:$AS$21,MATCH(SUBSTITUTE(SUBSTITUTE(SUBSTITUTE($MU70,"~","~~"),"*","~*"),"?","~?"),'DADOS_FORMAS'!$AH$2:$AH$21,0)),"")="",0,IFERROR(N(VLOOKUP(SUBSTITUTE(SUBSTITUTE(SUBSTITUTE(IFERROR(INDEX('DADOS_FORMAS'!$AS$2:$AS$21,MATCH(SUBSTITUTE(SUBSTITUTE(SUBSTITUTE($MU70,"~","~~"),"*","~*"),"?","~?"),'DADOS_FORMAS'!$AH$2:$AH$21,0)),""),"~","~~"),"*","~*"),"?","~?"),'DADOS_RESTRICOES'!$M$2:$Q$54,3,FALSE)=1),0))</f>
        <v/>
      </c>
      <c r="OT70" s="164">
        <f>COUNTIF($OI70:$OJ70,2)+IF(IFERROR(INDEX('DADOS_FORMAS'!$AS$2:$AS$21,MATCH(SUBSTITUTE(SUBSTITUTE(SUBSTITUTE($MU70,"~","~~"),"*","~*"),"?","~?"),'DADOS_FORMAS'!$AH$2:$AH$21,0)),"")="",0,IFERROR(N(VLOOKUP(SUBSTITUTE(SUBSTITUTE(SUBSTITUTE(IFERROR(INDEX('DADOS_FORMAS'!$AS$2:$AS$21,MATCH(SUBSTITUTE(SUBSTITUTE(SUBSTITUTE($MU70,"~","~~"),"*","~*"),"?","~?"),'DADOS_FORMAS'!$AH$2:$AH$21,0)),""),"~","~~"),"*","~*"),"?","~?"),'DADOS_RESTRICOES'!$M$2:$Q$54,3,FALSE)=2),0))</f>
        <v/>
      </c>
      <c r="OU70" s="164">
        <f>COUNTIF($MX70:$NA70,"?*")</f>
        <v/>
      </c>
      <c r="OV70" s="164">
        <f>COUNTIF($NB70:$NC70,"?*")+$OF70</f>
        <v/>
      </c>
      <c r="OW70" s="164">
        <f>IF($MS70=0,0,SUMPRODUCT($OM70:$OR70,INDEX($I$2:$N$8,MAX(1,$MS70),0)))</f>
        <v/>
      </c>
      <c r="OX70" s="164">
        <f>IF($MS70=0,0,$OS70*CEILING($MS70/2,1)+$OT70*$MS70)</f>
        <v/>
      </c>
      <c r="OY70" s="164">
        <f>MIN(2*$MS70,$OX70)</f>
        <v/>
      </c>
      <c r="OZ70" s="164">
        <f>MIN($OY70,$OW70-IF($NS70=0,0,INDEX($I$2:$N$8,MAX(1,$MS70),$NS70)))</f>
        <v/>
      </c>
      <c r="PA70" s="164">
        <f>$OY70-$OZ70</f>
        <v/>
      </c>
      <c r="PB70" s="164">
        <f>IF($MS70=0,0,INDEX($P$2:$P$8,MAX(1,$MS70)))</f>
        <v/>
      </c>
      <c r="PC70" s="164">
        <f>$PB70-$OW70+$OZ70</f>
        <v/>
      </c>
      <c r="PD70" s="164">
        <f>IF($MS70=0,MAX(0,$NG70-IF(AND($OU70&gt;0,COUNTIF($NB70:$NC70,"?*")=0),1,0)),MAX(0,$PC70))</f>
        <v/>
      </c>
      <c r="PE70" s="164">
        <f>IF($MS70=0,0,(IF(COUNTIF($RK70:$RN70,"Salto")&gt;0,1,0)+IF(COUNTIF($RK70:$RN70,"Queima")&gt;0,1,0)+IF(COUNTIF($RK70:$RN70,"Estilhaço")&gt;0,1,0))*FLOOR($PD70/2,1))</f>
        <v/>
      </c>
      <c r="PF70" s="164">
        <f>MAX(0,2-SUMPRODUCT($OM70:$OR70,$I$2:$N$2)+MIN(2,$OS70*1+$OT70*1,SUMPRODUCT($OM70:$OR70,$I$2:$N$2)-IF($NS70=0,0,INDEX($I$2:$N$2,1,$NS70))))</f>
        <v/>
      </c>
      <c r="PG70" s="164">
        <f>MAX(0,4-SUMPRODUCT($OM70:$OR70,$I$3:$N$3)+MIN(4,$OS70*1+$OT70*2,SUMPRODUCT($OM70:$OR70,$I$3:$N$3)-IF($NS70=0,0,INDEX($I$3:$N$3,1,$NS70))))</f>
        <v/>
      </c>
      <c r="PH70" s="164">
        <f>MAX(0,6-SUMPRODUCT($OM70:$OR70,$I$4:$N$4)+MIN(6,$OS70*2+$OT70*3,SUMPRODUCT($OM70:$OR70,$I$4:$N$4)-IF($NS70=0,0,INDEX($I$4:$N$4,1,$NS70))))</f>
        <v/>
      </c>
      <c r="PI70" s="164">
        <f>MAX(0,9-SUMPRODUCT($OM70:$OR70,$I$5:$N$5)+MIN(8,$OS70*2+$OT70*4,SUMPRODUCT($OM70:$OR70,$I$5:$N$5)-IF($NS70=0,0,INDEX($I$5:$N$5,1,$NS70))))</f>
        <v/>
      </c>
      <c r="PJ70" s="164">
        <f>MAX(0,11-SUMPRODUCT($OM70:$OR70,$I$6:$N$6)+MIN(10,$OS70*3+$OT70*5,SUMPRODUCT($OM70:$OR70,$I$6:$N$6)-IF($NS70=0,0,INDEX($I$6:$N$6,1,$NS70))))</f>
        <v/>
      </c>
      <c r="PK70" s="164">
        <f>MAX(0,13-SUMPRODUCT($OM70:$OR70,$I$7:$N$7)+MIN(12,$OS70*3+$OT70*6,SUMPRODUCT($OM70:$OR70,$I$7:$N$7)-IF($NS70=0,0,INDEX($I$7:$N$7,1,$NS70))))</f>
        <v/>
      </c>
      <c r="PL70" s="164">
        <f>MAX(0,16-SUMPRODUCT($OM70:$OR70,$I$8:$N$8)+MIN(14,$OS70*4+$OT70*7,SUMPRODUCT($OM70:$OR70,$I$8:$N$8)-IF($NS70=0,0,INDEX($I$8:$N$8,1,$NS70))))</f>
        <v/>
      </c>
      <c r="PM70" s="164">
        <f>IF($OG70=2,3*$PF70&amp;" de vida temp.",IF($OG70=3,"sem dano",IF($PF70=0,IF($OG70=1,"sem cura","sem dano"),IF($OG70=1,"cura ","")&amp;$PF70&amp;"d8")))</f>
        <v/>
      </c>
      <c r="PN70" s="164">
        <f>IF($OG70=2,3*$PG70&amp;" de vida temp.",IF($OG70=3,"sem dano",IF($PG70=0,IF($OG70=1,"sem cura","sem dano"),IF($OG70=1,"cura ","")&amp;$PG70&amp;"d8")))</f>
        <v/>
      </c>
      <c r="PO70" s="164">
        <f>IF($OG70=2,3*$PH70&amp;" de vida temp.",IF($OG70=3,"sem dano",IF($PH70=0,IF($OG70=1,"sem cura","sem dano"),IF($OG70=1,"cura ","")&amp;$PH70&amp;"d8")))</f>
        <v/>
      </c>
      <c r="PP70" s="164">
        <f>IF($OG70=2,3*$PI70&amp;" de vida temp.",IF($OG70=3,"sem dano",IF($PI70=0,IF($OG70=1,"sem cura","sem dano"),IF($OG70=1,"cura ","")&amp;$PI70&amp;"d8")))</f>
        <v/>
      </c>
      <c r="PQ70" s="164">
        <f>IF($OG70=2,3*$PJ70&amp;" de vida temp.",IF($OG70=3,"sem dano",IF($PJ70=0,IF($OG70=1,"sem cura","sem dano"),IF($OG70=1,"cura ","")&amp;$PJ70&amp;"d8")))</f>
        <v/>
      </c>
      <c r="PR70" s="164">
        <f>IF($OG70=2,3*$PK70&amp;" de vida temp.",IF($OG70=3,"sem dano",IF($PK70=0,IF($OG70=1,"sem cura","sem dano"),IF($OG70=1,"cura ","")&amp;$PK70&amp;"d8")))</f>
        <v/>
      </c>
      <c r="PS70" s="164">
        <f>IF($OG70=2,3*$PL70&amp;" de vida temp.",IF($OG70=3,"sem dano",IF($PL70=0,IF($OG70=1,"sem cura","sem dano"),IF($OG70=1,"cura ","")&amp;$PL70&amp;"d8")))</f>
        <v/>
      </c>
      <c r="PT70" s="164">
        <f>IF($ND70=0,"",TEXTJOIN(" · ",TRUE,IF($ND70=0,"",TEXTJOIN(" · ",TRUE,IF($ND70=0,"",TEXTJOIN(" · ",TRUE,IF($MQ70&gt;$NE70,"Este lugar abre no nível "&amp;$MQ70,""),IF($MS70&gt;$NF70,"Classe "&amp;$MS70&amp;": o nível "&amp;$NE70&amp;" libera até a "&amp;$NF70,""),IF($NX70=1,"A Forma "&amp;$MU70&amp;" pede "&amp;INDEX('DADOS_FORMAS'!$GA$2:$GA$21,$NJ70)&amp;" aberta",""),IF(AND($MS70=0,$NJ70&gt;0,IF($NJ70=0,0,INDEX('DADOS_FORMAS'!$GJ$2:$GJ$21,$NJ70))=0),$MU70&amp;" não existe na Classe 0",""),IF($NY70=1,"Família Fechada: "&amp;$MX70,""),IF($NZ70=1,"Família Fechada: "&amp;$MY70,""),IF($OA70=1,"Família Fechada: "&amp;$MZ70,""),IF($OB70=1,"Família Fechada: "&amp;$NA70,""),IF(AND($MS70&gt;0,$OU70&gt;INDEX($O$2:$O$8,MAX(1,$MS70))),$OU70&amp;" Melhorias: a Classe "&amp;$MS70&amp;" aceita "&amp;INDEX($O$2:$O$8,MAX(1,$MS70)),""),IF(AND($MS70=0,$OU70&gt;1),"A básica aceita uma Melhoria",""),IF(AND($MS70=0,COUNTIF($NO70:$NR70,"&gt;1")&gt;0),"A básica só aceita Melhoria Leve",""),IF(AND($MS70&gt;0,$OV70&gt;2),$OV70&amp;" Restrições"&amp;IF($OF70=1,", contando a que a Forma "&amp;$MU70&amp;" já traz","")&amp;": o limite é 2",""),IF(AND($MS70=0,COUNTIF($NB70:$NC70,"?*")&gt;1),"A básica aceita uma Restrição Leve",""),IF(AND($MS70=0,COUNTIF($OI70:$OJ70,2)&gt;0),"A básica só aceita Restrição Leve",""),IF(AND($MS70&gt;0,$PC70&lt;0),"Orçamento estourado: faltam "&amp;(-$PC70)&amp;IF($PC70&lt;-1," pontos"," ponto"),""),IF(IFERROR(VLOOKUP(SUBSTITUTE(SUBSTITUTE(SUBSTITUTE($NB70,"~","~~"),"*","~*"),"?","~?"),'DADOS_RESTRICOES'!$M$2:$Q$54,4,FALSE),0)+IFERROR(VLOOKUP(SUBSTITUTE(SUBSTITUTE(SUBSTITUTE($NC70,"~","~~"),"*","~*"),"?","~?"),'DADOS_RESTRICOES'!$M$2:$Q$54,4,FALSE),0)&gt;1,$OK70&amp;" e "&amp;$OL70&amp;" são as duas de frequência",""),IF(AND((COUNTIF($RK70:$RN70,"Rápido")+COUNTIF($OK70:$OL70,"Rápido"))&gt;0,(COUNTIF($MX70:$NA70,"Atrasar")+COUNTIF($OK70:$OL70,"Atrasar"))&gt;0),"Rápido não entra com Atrasar",""),IF(AND((COUNTIF($RK70:$RN70,"Reação")+COUNTIF($OK70:$OL70,"Reação"))&gt;0,(COUNTIF($RK70:$RN70,"Rápido")+COUNTIF($OK70:$OL70,"Rápido"))&gt;0),"Reação não entra com Rápido",""),IF(AND((COUNTIF($RK70:$RN70,"Reação")+COUNTIF($OK70:$OL70,"Reação"))&gt;0,(COUNTIF($RK70:$RN70,"Armado")+COUNTIF($OK70:$OL70,"Armado"))&gt;0),"Reação não entra com Armado",""),IF(AND((COUNTIF($RK70:$RN70,"Reação")+COUNTIF($OK70:$OL70,"Reação"))&gt;0,(COUNTIF($MX70:$NA70,"Atrasar")+COUNTIF($OK70:$OL70,"Atrasar"))&gt;0),"Reação não entra com Atrasar",""),IF(AND((COUNTIF($RK70:$RN70,"Reação")+COUNTIF($OK70:$OL70,"Reação"))&gt;0,(COUNTIF($MX70:$NA70,"Parado")+COUNTIF($OK70:$OL70,"Parado"))&gt;0),"Reação não entra com Parado",""),IF(AND((COUNTIF($MX70:$NA70,"Atrasar")+COUNTIF($OK70:$OL70,"Atrasar"))&gt;0,(COUNTIF($MX70:$NA70,"Parado")+COUNTIF($OK70:$OL70,"Parado"))&gt;0),"Atrasar não entra com Parado",""),IF(AND((COUNTIF($RK70:$RN70,"Armado")+COUNTIF($OK70:$OL70,"Armado"))&gt;0,(COUNTIF($MX70:$NA70,"Carregar")+COUNTIF($OK70:$OL70,"Carregar"))&gt;0),"Armado não entra com Carregar",""),IF(AND(COUNTIF($OK70:$OL70,"Corpo a Corpo")&gt;0,$OF70=0,OR($RO70="Cone",$RO70="Linha")),"Corpo a Corpo não entra em "&amp;$MU70,""),IF(AND(COUNTIF($OK70:$OL70,"Corpo a Corpo")&gt;0,$RP70="Corpo a Corpo"),"A Forma "&amp;$MU70&amp;" já traz o Corpo a Corpo",""),IF(AND(COUNTIF($OK70:$OL70,"Tudo ou Nada")&gt;0,$OH70=0),"Tudo ou Nada só entra em habilidade de Teste de Resistência",""),IF(AND(COUNTIF($RK70:$RN70,"Inescapável")&gt;0,OR($OU70&gt;1,$OV70&gt;0)),"Inescapável não aceita outra peça",""),IF(AND($MS70&gt;0,$PD70*IF(COUNTIF($RK70:$RN70,"Remate")&gt;0,1.25,1)+$PE70&gt;4*$MS70),($PD70*IF(COUNTIF($RK70:$RN70,"Remate")&gt;0,1.25,1)+$PE70)&amp;" dados somando repetições"&amp;IF(COUNTIF($RK70:$RN70,"Remate")&gt;0," e o Remate","")&amp;": o teto da Classe "&amp;$MS70&amp;" é "&amp;4*$MS70,""))),IF(AND($MX70&lt;&gt;"",COUNTIF('DADOS_MELHORIAS'!$O$2:$O$113,SUBSTITUTE(SUBSTITUTE(SUBSTITUTE($MX70,"~","~~"),"*","~*"),"?","~?"))=0),"Melhoria não cadastrada ou com erro: "&amp;$MX70,""),IF(AND($MY70&lt;&gt;"",COUNTIF('DADOS_MELHORIAS'!$O$2:$O$113,SUBSTITUTE(SUBSTITUTE(SUBSTITUTE($MY70,"~","~~"),"*","~*"),"?","~?"))=0),"Melhoria não cadastrada ou com erro: "&amp;$MY70,""),IF(AND($MZ70&lt;&gt;"",COUNTIF('DADOS_MELHORIAS'!$O$2:$O$113,SUBSTITUTE(SUBSTITUTE(SUBSTITUTE($MZ70,"~","~~"),"*","~*"),"?","~?"))=0),"Melhoria não cadastrada ou com erro: "&amp;$MZ70,""),IF(AND($NA70&lt;&gt;"",COUNTIF('DADOS_MELHORIAS'!$O$2:$O$113,SUBSTITUTE(SUBSTITUTE(SUBSTITUTE($NA70,"~","~~"),"*","~*"),"?","~?"))=0),"Melhoria não cadastrada ou com erro: "&amp;$NA70,""),IF(AND($NB70&lt;&gt;"",COUNTIF('DADOS_RESTRICOES'!$M$2:$M$54,SUBSTITUTE(SUBSTITUTE(SUBSTITUTE($NB70,"~","~~"),"*","~*"),"?","~?"))=0),"Restrição não cadastrada ou com erro: "&amp;$NB70,""),IF(AND($NC70&lt;&gt;"",COUNTIF('DADOS_RESTRICOES'!$M$2:$M$54,SUBSTITUTE(SUBSTITUTE(SUBSTITUTE($NC70,"~","~~"),"*","~*"),"?","~?"))=0),"Restrição não cadastrada ou com erro: "&amp;$NC70,""))),IF(AND($MU70&lt;&gt;"",COUNTIF('DADOS_FORMAS'!$AH$2:$AH$21,SUBSTITUTE(SUBSTITUTE(SUBSTITUTE($MU70,"~","~~"),"*","~*"),"?","~?"))=0),"Forma não cadastrada ou com erro: "&amp;$MU70,""),IF(AND(IFERROR(INDEX('DADOS_FORMAS'!$AS$2:$AS$21,MATCH(SUBSTITUTE(SUBSTITUTE(SUBSTITUTE($MU70,"~","~~"),"*","~*"),"?","~?"),'DADOS_FORMAS'!$AH$2:$AH$21,0)),"")&lt;&gt;"",OR(IFERROR(VLOOKUP(SUBSTITUTE(SUBSTITUTE(SUBSTITUTE(IFERROR(INDEX('DADOS_FORMAS'!$AS$2:$AS$21,MATCH(SUBSTITUTE(SUBSTITUTE(SUBSTITUTE($MU70,"~","~~"),"*","~*"),"?","~?"),'DADOS_FORMAS'!$AH$2:$AH$21,0)),""),"~","~~"),"*","~*"),"?","~?"),'DADOS_RESTRICOES'!$M$2:$Q$54,2,FALSE),"")=$OK70,IFERROR(VLOOKUP(SUBSTITUTE(SUBSTITUTE(SUBSTITUTE(IFERROR(INDEX('DADOS_FORMAS'!$AS$2:$AS$21,MATCH(SUBSTITUTE(SUBSTITUTE(SUBSTITUTE($MU70,"~","~~"),"*","~*"),"?","~?"),'DADOS_FORMAS'!$AH$2:$AH$21,0)),""),"~","~~"),"*","~*"),"?","~?"),'DADOS_RESTRICOES'!$M$2:$Q$54,2,FALSE),"")=$OL70)),"Restrição repetida, contando a embutida",""),IF(IF(IFERROR(INDEX('DADOS_FORMAS'!$AS$2:$AS$21,MATCH(SUBSTITUTE(SUBSTITUTE(SUBSTITUTE($MU70,"~","~~"),"*","~*"),"?","~?"),'DADOS_FORMAS'!$AH$2:$AH$21,0)),"")="",0,IFERROR(N(VLOOKUP(SUBSTITUTE(SUBSTITUTE(SUBSTITUTE(IFERROR(INDEX('DADOS_FORMAS'!$AS$2:$AS$21,MATCH(SUBSTITUTE(SUBSTITUTE(SUBSTITUTE($MU70,"~","~~"),"*","~*"),"?","~?"),'DADOS_FORMAS'!$AH$2:$AH$21,0)),""),"~","~~"),"*","~*"),"?","~?"),'DADOS_RESTRICOES'!$M$2:$Q$54,4,FALSE)=1),0))+IF($NB70="",0,IFERROR(N(VLOOKUP(SUBSTITUTE(SUBSTITUTE(SUBSTITUTE($NB70,"~","~~"),"*","~*"),"?","~?"),'DADOS_RESTRICOES'!$M$2:$Q$54,4,FALSE)=1),0))+IF($NC70="",0,IFERROR(N(VLOOKUP(SUBSTITUTE(SUBSTITUTE(SUBSTITUTE($NC70,"~","~~"),"*","~*"),"?","~?"),'DADOS_RESTRICOES'!$M$2:$Q$54,4,FALSE)=1),0))&gt;1,"Duas Restrições de frequência, contando a embutida",""),IF(AND(IFERROR(VLOOKUP(SUBSTITUTE(SUBSTITUTE(SUBSTITUTE(IFERROR(INDEX('DADOS_FORMAS'!$AS$2:$AS$21,MATCH(SUBSTITUTE(SUBSTITUTE(SUBSTITUTE($MU70,"~","~~"),"*","~*"),"?","~?"),'DADOS_FORMAS'!$AH$2:$AH$21,0)),""),"~","~~"),"*","~*"),"?","~?"),'DADOS_RESTRICOES'!$M$2:$Q$54,2,FALSE),"")="Tudo ou Nada",$OH70=0),"Tudo ou Nada exige TR",""),IF(AND(IFERROR(VLOOKUP(SUBSTITUTE(SUBSTITUTE(SUBSTITUTE(IFERROR(INDEX('DADOS_FORMAS'!$AS$2:$AS$21,MATCH(SUBSTITUTE(SUBSTITUTE(SUBSTITUTE($MU70,"~","~~"),"*","~*"),"?","~?"),'DADOS_FORMAS'!$AH$2:$AH$21,0)),""),"~","~~"),"*","~*"),"?","~?"),'DADOS_RESTRICOES'!$M$2:$Q$54,2,FALSE),"")="Corpo a Corpo",OR($RO70="Cone",$RO70="Linha")),"Corpo a Corpo não entra em Cone/Linha","")))</f>
        <v/>
      </c>
      <c r="PU70" s="164">
        <f>IF($PT70="",0,(LEN($PT70)-LEN(SUBSTITUTE($PT70," · ","")))/3+1)</f>
        <v/>
      </c>
      <c r="PV70" s="164">
        <f>IF($ND70=0,"",TEXTJOIN(" · ",TRUE,IF($OX70&gt;2*$MS70,"A devolução parou no teto de "&amp;2*$MS70,""),IF($PA70&gt;0,"Devolução perdida: "&amp;$PA70&amp;IF($PA70&gt;1," pontos"," ponto")&amp;" sem Melhoria para pagar",""),IF(AND($OC70&gt;0,AND($MS70&gt;0,$OG70=0),$PD70=0),"Controle sem dano: uma rodada a mais e CD +2",""),IF(AND($OC70&gt;0,AND($MS70&gt;0,$OG70=0),$PD70&gt;0,$PD70&lt;=$MS70),"Controle com saldo até a Classe: uma rodada a mais",""),IF(AND($MS70&gt;0,$OE70&lt;&gt;""),"Efeito de "&amp;$OE70&amp;" pela Classe "&amp;MAX(1,$MS70-1),"")))</f>
        <v/>
      </c>
      <c r="PW70" s="164">
        <f>IF($PV70="",0,(LEN($PV70)-LEN(SUBSTITUTE($PV70," · ","")))/3+1)</f>
        <v/>
      </c>
      <c r="PX70" s="164">
        <f>IF($ND70=0,IF($OU70+COUNTIF($NB70:$NC70,"?*")&gt;0,"Dê um nome",""),IF($PU70&gt;0,"⚠ "&amp;$PU70&amp;IF($PU70&gt;1," erros"," erro"),IF($PW70&gt;0,"! "&amp;$PW70&amp;IF($PW70&gt;1," avisos"," aviso"),"Na regra")))</f>
        <v/>
      </c>
      <c r="PY70" s="164">
        <f>IF($ND70=0,"",IF($PU70+$PW70=0,"Dentro das regras que a ficha confere",$PT70&amp;IF(AND($PU70&gt;0,$PW70&gt;0)," · ","")&amp;$PV70))</f>
        <v/>
      </c>
      <c r="PZ70" s="164">
        <f>IF($MQ70&gt;$NE70,$MR70&amp;" · ABRE NO NÍVEL "&amp;$MQ70,$MR70)</f>
        <v/>
      </c>
      <c r="QA70" s="164">
        <f>IF($ND70=0,"",IF($MS70=0,"Sem PE",3*$MS70&amp;" PE"))</f>
        <v/>
      </c>
      <c r="QB70" s="164">
        <f>IF($ND70=0,"",IF($MS70=0,"A atuação básica dela",IF(COUNTIF($RQ70:$RS70,"Atrasar")&gt;0,"Sua Ação Completa",IF(COUNTIF($RK70:$RN70,"Rápido")&gt;0,"Sua Bônus",IF(COUNTIF($RK70:$RN70,"Reação")&gt;0,"Sua Reação","Sua Padrão")))&amp;" + a básica dela"&amp;IF(COUNTIF($RK70:$RN70,"Reação")&gt;0," e a coletiva","")&amp;IF(COUNTIF($RQ70:$RS70,"Carregar")&gt;0," · em dois turnos","")))</f>
        <v/>
      </c>
      <c r="QC70" s="164">
        <f>IF($MW70&lt;&gt;"",$MW70,IF($NJ70=0,"",INDEX('DADOS_FORMAS'!$GE$2:$GE$21,$NJ70)))</f>
        <v/>
      </c>
      <c r="QD70" s="164">
        <f>IF(OR($ND70=0,$NJ70=0),"",IF(COUNTIF($RK70:$RN70,"Inescapável")&gt;0,"Automático",IF($QC70="Ataque",IF($NH70="","Ataque","Ataque "&amp;IF(($NH70+2*IF(COUNTIF($RK70:$RN70,"Precisão")&gt;0,1,0))&gt;=0,"+","−")&amp;ABS(($NH70+2*IF(COUNTIF($RK70:$RN70,"Precisão")&gt;0,1,0))))&amp;IF($OD70&gt;0," · TR"&amp;IF($NI70="",""," CD "&amp;$NI70),""),IF(LEFT($QC70,2)="TR",$QC70&amp;IF($NI70="",""," · CD "&amp;$NI70)&amp;IF(COUNTIF($RK70:$RN70,"Certeiro")&gt;0," · metade",""),"Sem rolagem"))))</f>
        <v/>
      </c>
      <c r="QE70" s="164">
        <f>IF(OR($ND70=0,$NJ70=0),"",IF($MS70=0,IF(OR($OG70&gt;=1,$PD70=0),"Sem dano",$PD70&amp;"d6"&amp;IF($MV70="",""," "&amp;$MV70)),IF(OR($OG70&gt;=1,$PD70=0),UPPER(LEFT(INDEX($PM70:$PS70,1,MAX(1,$MS70)),1))&amp;MID(INDEX($PM70:$PS70,1,MAX(1,$MS70)),2,99),UPPER(LEFT(INDEX($PM70:$PS70,1,MAX(1,$MS70)),1))&amp;MID(INDEX($PM70:$PS70,1,MAX(1,$MS70)),2,99)&amp;IF($MV70="",""," "&amp;$MV70)&amp;IF($PE70&gt;0," · +"&amp;$PE70&amp;"d8",""))))</f>
        <v/>
      </c>
      <c r="QF70" s="164">
        <f>COUNTIF($RK70:$RN70,"Longe")+3*COUNTIF($RK70:$RN70,"Muito Longe")</f>
        <v/>
      </c>
      <c r="QG70" s="164">
        <f>COUNTIF($RK70:$RN70,"Maior")+3*COUNTIF($RK70:$RN70,"Muito Maior")</f>
        <v/>
      </c>
      <c r="QH70" s="164">
        <f>IF($NJ70=0,0,CHOOSE(1+INDEX('DADOS_FORMAS'!$GG$2:$GG$21,$NJ70),0,$QF70,$QG70,$QF70+$QG70))</f>
        <v/>
      </c>
      <c r="QI70" s="164">
        <f>IF($NJ70=0,0,CHOOSE(1+INDEX('DADOS_FORMAS'!$GH$2:$GH$21,$NJ70),0,$QF70,$QG70,$QF70+$QG70))</f>
        <v/>
      </c>
      <c r="QJ70" s="164">
        <f>IF(OR($ND70=0,$NJ70=0),"",INDEX('DADOS_FORMAS'!$HU$2:$HZ$81,($NJ70-1)*4+IF($MS70=0,1,IF($MS70&lt;=5,2,IF($MS70=6,3,4))),1+MIN(5,$QH70))&amp;INDEX('DADOS_FORMAS'!$IA$2:$IF$81,($NJ70-1)*4+IF($MS70=0,1,IF($MS70&lt;=5,2,IF($MS70=6,3,4))),1+MIN(5,$QI70))&amp;IF(INDEX('DADOS_FORMAS'!$GI$2:$GI$21,$NJ70)=1,IF(COUNTIF($RK70:$RN70,"Mais Um")&gt;0," · +"&amp;COUNTIF($RK70:$RN70,"Mais Um")&amp;IF(COUNTIF($RK70:$RN70,"Mais Um")&gt;1," alvos"," alvo"),"")&amp;IF(COUNTIF($RK70:$RN70,"Rajada")&gt;0,IF($MS70=0," · 1 tiro"," · "&amp;(MAX(1,$MS70-1)+1)&amp;" tiros"),""),""))</f>
        <v/>
      </c>
      <c r="QK70" s="164">
        <f>IF($ND70=0,"",IF($MS70=0,$NG70&amp;"d6"&amp;IF($OU70&gt;0," − 1 = "&amp;$PD70&amp;"d6"," da básica do nível "&amp;$NE70),$PB70&amp;" − "&amp;$OW70&amp;" + "&amp;$OZ70&amp;" = "&amp;$PC70&amp;" · teto "&amp;4*$MS70&amp;"d8"&amp;IF($OF70=1," · a Forma devolve "&amp;$MS70,"")&amp;IF($PA70&gt;0," · perde "&amp;$PA70,"")))</f>
        <v/>
      </c>
      <c r="QL70" s="164">
        <f>IF($ND70=0,"",IF($MS70=0,"A básica não amplia: os dados dela sobem com o nível",IF($MS70&gt;=$NF70,"Já está na maior Classe que o nível liberou",TEXTJOIN(" · ",TRUE,IF(AND(2&gt;$MS70,2&lt;=$NF70),"2 → "&amp;$PN70&amp;", 6 PE",""),IF(AND(3&gt;$MS70,3&lt;=$NF70),"3 → "&amp;$PO70&amp;", 9 PE",""),IF(AND(4&gt;$MS70,4&lt;=$NF70),"4 → "&amp;$PP70&amp;", 12 PE",""),IF(AND(5&gt;$MS70,5&lt;=$NF70),"5 → "&amp;$PQ70&amp;", 15 PE",""),IF(AND(6&gt;$MS70,6&lt;=$NF70),"6 → "&amp;$PR70&amp;", 18 PE",""),IF(AND(7&gt;$MS70,7&lt;=$NF70),"7 → "&amp;$PS70&amp;", 21 PE","")))))</f>
        <v/>
      </c>
      <c r="QM70" s="164">
        <f>IF(OR($ND70=0,$NO70=0),"",IF($MS70=0,"−1 dado","−"&amp;INDEX($I$2:$N$8,MAX(1,$MS70),MAX(1,$NT70))&amp;" · "&amp;CHOOSE(MAX(1,$NT70),"Leve","Média","Pesada","Leve · Livre","Média · Livre","Pesada · Livre")))</f>
        <v/>
      </c>
      <c r="QN70" s="164">
        <f>IF(OR($ND70=0,$NP70=0),"",IF($MS70=0,"−1 dado","−"&amp;INDEX($I$2:$N$8,MAX(1,$MS70),MAX(1,$NU70))&amp;" · "&amp;CHOOSE(MAX(1,$NU70),"Leve","Média","Pesada","Leve · Livre","Média · Livre","Pesada · Livre")))</f>
        <v/>
      </c>
      <c r="QO70" s="164">
        <f>IF(OR($ND70=0,$NQ70=0),"",IF($MS70=0,"−1 dado","−"&amp;INDEX($I$2:$N$8,MAX(1,$MS70),MAX(1,$NV70))&amp;" · "&amp;CHOOSE(MAX(1,$NV70),"Leve","Média","Pesada","Leve · Livre","Média · Livre","Pesada · Livre")))</f>
        <v/>
      </c>
      <c r="QP70" s="164">
        <f>IF(OR($ND70=0,$NR70=0),"",IF($MS70=0,"−1 dado","−"&amp;INDEX($I$2:$N$8,MAX(1,$MS70),MAX(1,$NW70))&amp;" · "&amp;CHOOSE(MAX(1,$NW70),"Leve","Média","Pesada","Leve · Livre","Média · Livre","Pesada · Livre")))</f>
        <v/>
      </c>
      <c r="QQ70" s="164">
        <f>IF(OR($ND70=0,$NB70=""),"",IF($MS70=0,"não devolve","+"&amp;IF($OI70=1,CEILING($MS70/2,1),$MS70)))</f>
        <v/>
      </c>
      <c r="QR70" s="164">
        <f>IF(OR($ND70=0,$NC70=""),"",IF($MS70=0,"não devolve","+"&amp;IF($OJ70=1,CEILING($MS70/2,1),$MS70)))</f>
        <v/>
      </c>
      <c r="RK70">
        <f>IF($MX70="","",IFERROR(VLOOKUP(SUBSTITUTE(SUBSTITUTE(SUBSTITUTE($MX70,"~","~~"),"*","~*"),"?","~?"),'DADOS_MELHORIAS'!$O$2:$X$113,10,FALSE),$MX70))</f>
        <v/>
      </c>
      <c r="RL70">
        <f>IF($MY70="","",IFERROR(VLOOKUP(SUBSTITUTE(SUBSTITUTE(SUBSTITUTE($MY70,"~","~~"),"*","~*"),"?","~?"),'DADOS_MELHORIAS'!$O$2:$X$113,10,FALSE),$MY70))</f>
        <v/>
      </c>
      <c r="RM70">
        <f>IF($MZ70="","",IFERROR(VLOOKUP(SUBSTITUTE(SUBSTITUTE(SUBSTITUTE($MZ70,"~","~~"),"*","~*"),"?","~?"),'DADOS_MELHORIAS'!$O$2:$X$113,10,FALSE),$MZ70))</f>
        <v/>
      </c>
      <c r="RN70">
        <f>IF($NA70="","",IFERROR(VLOOKUP(SUBSTITUTE(SUBSTITUTE(SUBSTITUTE($NA70,"~","~~"),"*","~*"),"?","~?"),'DADOS_MELHORIAS'!$O$2:$X$113,10,FALSE),$NA70))</f>
        <v/>
      </c>
      <c r="RO70">
        <f>IFERROR(INDEX('DADOS_FORMAS'!$BJ$2:$BJ$21,MATCH(SUBSTITUTE(SUBSTITUTE(SUBSTITUTE($MU70,"~","~~"),"*","~*"),"?","~?"),'DADOS_FORMAS'!$AH$2:$AH$21,0)),"")</f>
        <v/>
      </c>
      <c r="RP70">
        <f>IFERROR(VLOOKUP(SUBSTITUTE(SUBSTITUTE(SUBSTITUTE(IFERROR(INDEX('DADOS_FORMAS'!$AS$2:$AS$21,MATCH(SUBSTITUTE(SUBSTITUTE(SUBSTITUTE($MU70,"~","~~"),"*","~*"),"?","~?"),'DADOS_FORMAS'!$AH$2:$AH$21,0)),""),"~","~~"),"*","~*"),"?","~?"),'DADOS_RESTRICOES'!$M$2:$Q$54,2,FALSE),"")</f>
        <v/>
      </c>
      <c r="RQ70">
        <f>$OK70</f>
        <v/>
      </c>
      <c r="RR70">
        <f>$OL70</f>
        <v/>
      </c>
      <c r="RS70">
        <f>$RP70</f>
        <v/>
      </c>
    </row>
    <row r="71">
      <c r="AV71" s="162" t="inlineStr">
        <is>
          <t>Sugar</t>
        </is>
      </c>
      <c r="AW71" s="162" t="inlineStr">
        <is>
          <t>Marca</t>
        </is>
      </c>
      <c r="AX71" s="164" t="n">
        <v>2</v>
      </c>
      <c r="AY71" s="164" t="n">
        <v>0</v>
      </c>
      <c r="AZ71" s="164" t="n">
        <v>1</v>
      </c>
      <c r="BA71" s="164" t="n">
        <v>0</v>
      </c>
      <c r="JT71" s="164">
        <f>IF(OR($AW71="",(COUNTIF($EL$2:$EP$2,$AW71)+COUNTIF($QV$2:$QY$2,$AW71))&gt;0),$AV71,"")</f>
        <v/>
      </c>
      <c r="JU71" s="164">
        <f>IF(AND($AX71=1,OR($AW71="",(COUNTIF($EL$2:$EP$2,$AW71)+COUNTIF($QV$2:$QY$2,$AW71))&gt;0)),$AV71,"")</f>
        <v/>
      </c>
      <c r="JZ71" s="164">
        <f>IF(OR($AW71="",(COUNTIF($EL$3:$EP$3,$AW71)+COUNTIF($QV$3:$QY$3,$AW71))&gt;0),$AV71,"")</f>
        <v/>
      </c>
      <c r="KA71" s="164">
        <f>IF(AND($AX71=1,OR($AW71="",(COUNTIF($EL$3:$EP$3,$AW71)+COUNTIF($QV$3:$QY$3,$AW71))&gt;0)),$AV71,"")</f>
        <v/>
      </c>
      <c r="KF71" s="164">
        <f>IF(OR($AW71="",(COUNTIF($EL$4:$EP$4,$AW71)+COUNTIF($QV$4:$QY$4,$AW71))&gt;0),$AV71,"")</f>
        <v/>
      </c>
      <c r="KG71" s="164">
        <f>IF(AND($AX71=1,OR($AW71="",(COUNTIF($EL$4:$EP$4,$AW71)+COUNTIF($QV$4:$QY$4,$AW71))&gt;0)),$AV71,"")</f>
        <v/>
      </c>
      <c r="KL71" s="164">
        <f>IF(OR($AW71="",(COUNTIF($EL$5:$EP$5,$AW71)+COUNTIF($QV$5:$QY$5,$AW71))&gt;0),$AV71,"")</f>
        <v/>
      </c>
      <c r="KM71" s="164">
        <f>IF(AND($AX71=1,OR($AW71="",(COUNTIF($EL$5:$EP$5,$AW71)+COUNTIF($QV$5:$QY$5,$AW71))&gt;0)),$AV71,"")</f>
        <v/>
      </c>
      <c r="KR71" s="164">
        <f>IF(OR($AW71="",(COUNTIF($EL$6:$EP$6,$AW71)+COUNTIF($QV$6:$QY$6,$AW71))&gt;0),$AV71,"")</f>
        <v/>
      </c>
      <c r="KS71" s="164">
        <f>IF(AND($AX71=1,OR($AW71="",(COUNTIF($EL$6:$EP$6,$AW71)+COUNTIF($QV$6:$QY$6,$AW71))&gt;0)),$AV71,"")</f>
        <v/>
      </c>
      <c r="KX71" s="164">
        <f>IF(OR($AW71="",(COUNTIF($EL$7:$EP$7,$AW71)+COUNTIF($QV$7:$QY$7,$AW71))&gt;0),$AV71,"")</f>
        <v/>
      </c>
      <c r="KY71" s="164">
        <f>IF(AND($AX71=1,OR($AW71="",(COUNTIF($EL$7:$EP$7,$AW71)+COUNTIF($QV$7:$QY$7,$AW71))&gt;0)),$AV71,"")</f>
        <v/>
      </c>
      <c r="LD71" s="164">
        <f>IF(OR($AW71="",(COUNTIF($EL$8:$EP$8,$AW71)+COUNTIF($QV$8:$QY$8,$AW71))&gt;0),$AV71,"")</f>
        <v/>
      </c>
      <c r="LE71" s="164">
        <f>IF(AND($AX71=1,OR($AW71="",(COUNTIF($EL$8:$EP$8,$AW71)+COUNTIF($QV$8:$QY$8,$AW71))&gt;0)),$AV71,"")</f>
        <v/>
      </c>
      <c r="LJ71" s="164">
        <f>IF(OR($AW71="",(COUNTIF($EL$9:$EP$9,$AW71)+COUNTIF($QV$9:$QY$9,$AW71))&gt;0),$AV71,"")</f>
        <v/>
      </c>
      <c r="LK71" s="164">
        <f>IF(AND($AX71=1,OR($AW71="",(COUNTIF($EL$9:$EP$9,$AW71)+COUNTIF($QV$9:$QY$9,$AW71))&gt;0)),$AV71,"")</f>
        <v/>
      </c>
      <c r="LP71" s="164">
        <f>IF(OR($AW71="",(COUNTIF($EL$10:$EP$10,$AW71)+COUNTIF($QV$10:$QY$10,$AW71))&gt;0),$AV71,"")</f>
        <v/>
      </c>
      <c r="LQ71" s="164">
        <f>IF(AND($AX71=1,OR($AW71="",(COUNTIF($EL$10:$EP$10,$AW71)+COUNTIF($QV$10:$QY$10,$AW71))&gt;0)),$AV71,"")</f>
        <v/>
      </c>
      <c r="LV71" s="164">
        <f>IF(OR($AW71="",(COUNTIF($EL$11:$EP$11,$AW71)+COUNTIF($QV$11:$QY$11,$AW71))&gt;0),$AV71,"")</f>
        <v/>
      </c>
      <c r="LW71" s="164">
        <f>IF(AND($AX71=1,OR($AW71="",(COUNTIF($EL$11:$EP$11,$AW71)+COUNTIF($QV$11:$QY$11,$AW71))&gt;0)),$AV71,"")</f>
        <v/>
      </c>
      <c r="MB71" s="164">
        <f>IF(OR($AW71="",(COUNTIF($EL$12:$EP$12,$AW71)+COUNTIF($QV$12:$QY$12,$AW71))&gt;0),$AV71,"")</f>
        <v/>
      </c>
      <c r="MC71" s="164">
        <f>IF(AND($AX71=1,OR($AW71="",(COUNTIF($EL$12:$EP$12,$AW71)+COUNTIF($QV$12:$QY$12,$AW71))&gt;0)),$AV71,"")</f>
        <v/>
      </c>
      <c r="MH71" s="164">
        <f>IF(OR($AW71="",(COUNTIF($EL$13:$EP$13,$AW71)+COUNTIF($QV$13:$QY$13,$AW71))&gt;0),$AV71,"")</f>
        <v/>
      </c>
      <c r="MI71" s="164">
        <f>IF(AND($AX71=1,OR($AW71="",(COUNTIF($EL$13:$EP$13,$AW71)+COUNTIF($QV$13:$QY$13,$AW71))&gt;0)),$AV71,"")</f>
        <v/>
      </c>
      <c r="MN71" s="162" t="inlineStr">
        <is>
          <t>Ficha 6 · Especial 3</t>
        </is>
      </c>
      <c r="MO71" s="164" t="n">
        <v>6</v>
      </c>
      <c r="MP71" s="164" t="n">
        <v>1</v>
      </c>
      <c r="MQ71" s="164" t="n">
        <v>8</v>
      </c>
      <c r="MR71" s="162" t="inlineStr">
        <is>
          <t>ESPECIAL 3</t>
        </is>
      </c>
      <c r="MS71" s="164">
        <f>MAX(1,MIN(7,N('INVOCAÇÕES'!$O$1160)))</f>
        <v/>
      </c>
      <c r="MT71" s="164">
        <f>'INVOCAÇÕES'!$P$1160&amp;""</f>
        <v/>
      </c>
      <c r="MU71" s="164">
        <f>'INVOCAÇÕES'!$O$1165&amp;""</f>
        <v/>
      </c>
      <c r="MV71" s="164">
        <f>'INVOCAÇÕES'!$O$1166&amp;""</f>
        <v/>
      </c>
      <c r="MW71" s="164">
        <f>'INVOCAÇÕES'!$Q$1166&amp;""</f>
        <v/>
      </c>
      <c r="MX71" s="164">
        <f>'INVOCAÇÕES'!$P$1169&amp;""</f>
        <v/>
      </c>
      <c r="MY71" s="164">
        <f>'INVOCAÇÕES'!$P$1170&amp;""</f>
        <v/>
      </c>
      <c r="MZ71" s="164">
        <f>'INVOCAÇÕES'!$P$1171&amp;""</f>
        <v/>
      </c>
      <c r="NA71" s="164">
        <f>'INVOCAÇÕES'!$P$1172&amp;""</f>
        <v/>
      </c>
      <c r="NB71" s="164">
        <f>'INVOCAÇÕES'!$P$1173&amp;""</f>
        <v/>
      </c>
      <c r="NC71" s="164">
        <f>'INVOCAÇÕES'!$P$1174&amp;""</f>
        <v/>
      </c>
      <c r="ND71" s="164">
        <f>IF($MT71&lt;&gt;"",1,0)</f>
        <v/>
      </c>
      <c r="NE71" s="164">
        <f>INDEX($FO$2:$FO$13,$MO71)</f>
        <v/>
      </c>
      <c r="NF71" s="164">
        <f>INDEX($FP$2:$FP$13,$MO71)</f>
        <v/>
      </c>
      <c r="NG71" s="164">
        <f>INDEX($FQ$2:$FQ$13,$MO71)</f>
        <v/>
      </c>
      <c r="NH71" s="164">
        <f>INDEX($GB$2:$GB$13,$MO71)</f>
        <v/>
      </c>
      <c r="NI71" s="164">
        <f>INDEX($GC$2:$GC$13,$MO71)</f>
        <v/>
      </c>
      <c r="NJ71" s="164">
        <f>IFERROR(MATCH(SUBSTITUTE(SUBSTITUTE(SUBSTITUTE($MU71,"~","~~"),"*","~*"),"?","~?"),'DADOS_FORMAS'!$FZ$2:$FZ$21,0),0)</f>
        <v/>
      </c>
      <c r="NK71" s="164">
        <f>IFERROR(VLOOKUP(SUBSTITUTE(SUBSTITUTE(SUBSTITUTE($MX71,"~","~~"),"*","~*"),"?","~?"),'DADOS_MELHORIAS'!$AG$2:$AL$113,2,FALSE),"")</f>
        <v/>
      </c>
      <c r="NL71" s="164">
        <f>IFERROR(VLOOKUP(SUBSTITUTE(SUBSTITUTE(SUBSTITUTE($MY71,"~","~~"),"*","~*"),"?","~?"),'DADOS_MELHORIAS'!$AG$2:$AL$113,2,FALSE),"")</f>
        <v/>
      </c>
      <c r="NM71" s="164">
        <f>IFERROR(VLOOKUP(SUBSTITUTE(SUBSTITUTE(SUBSTITUTE($MZ71,"~","~~"),"*","~*"),"?","~?"),'DADOS_MELHORIAS'!$AG$2:$AL$113,2,FALSE),"")</f>
        <v/>
      </c>
      <c r="NN71" s="164">
        <f>IFERROR(VLOOKUP(SUBSTITUTE(SUBSTITUTE(SUBSTITUTE($NA71,"~","~~"),"*","~*"),"?","~?"),'DADOS_MELHORIAS'!$AG$2:$AL$113,2,FALSE),"")</f>
        <v/>
      </c>
      <c r="NO71" s="164">
        <f>IFERROR(VLOOKUP(SUBSTITUTE(SUBSTITUTE(SUBSTITUTE($MX71,"~","~~"),"*","~*"),"?","~?"),'DADOS_MELHORIAS'!$AG$2:$AL$113,3,FALSE),0)</f>
        <v/>
      </c>
      <c r="NP71" s="164">
        <f>IFERROR(VLOOKUP(SUBSTITUTE(SUBSTITUTE(SUBSTITUTE($MY71,"~","~~"),"*","~*"),"?","~?"),'DADOS_MELHORIAS'!$AG$2:$AL$113,3,FALSE),0)</f>
        <v/>
      </c>
      <c r="NQ71" s="164">
        <f>IFERROR(VLOOKUP(SUBSTITUTE(SUBSTITUTE(SUBSTITUTE($MZ71,"~","~~"),"*","~*"),"?","~?"),'DADOS_MELHORIAS'!$AG$2:$AL$113,3,FALSE),0)</f>
        <v/>
      </c>
      <c r="NR71" s="164">
        <f>IFERROR(VLOOKUP(SUBSTITUTE(SUBSTITUTE(SUBSTITUTE($NA71,"~","~~"),"*","~*"),"?","~?"),'DADOS_MELHORIAS'!$AG$2:$AL$113,3,FALSE),0)</f>
        <v/>
      </c>
      <c r="NS71" s="164">
        <f>IF($MS71=0,0,IF($NJ71=0,0,INDEX('DADOS_FORMAS'!$GB$2:$GB$21,$NJ71)))</f>
        <v/>
      </c>
      <c r="NT71" s="164">
        <f>IF(OR($NO71=0,$MS71=0),0,$NO71+3*IF(AND($NK71&lt;&gt;"",COUNTIF(INDEX($RB$2:$RJ$13,$MO71,0),$NK71)&gt;0),1,0))</f>
        <v/>
      </c>
      <c r="NU71" s="164">
        <f>IF(OR($NP71=0,$MS71=0),0,$NP71+3*IF(AND($NL71&lt;&gt;"",COUNTIF(INDEX($RB$2:$RJ$13,$MO71,0),$NL71)&gt;0),1,0))</f>
        <v/>
      </c>
      <c r="NV71" s="164">
        <f>IF(OR($NQ71=0,$MS71=0),0,$NQ71+3*IF(AND($NM71&lt;&gt;"",COUNTIF(INDEX($RB$2:$RJ$13,$MO71,0),$NM71)&gt;0),1,0))</f>
        <v/>
      </c>
      <c r="NW71" s="164">
        <f>IF(OR($NR71=0,$MS71=0),0,$NR71+3*IF(AND($NN71&lt;&gt;"",COUNTIF(INDEX($RB$2:$RJ$13,$MO71,0),$NN71)&gt;0),1,0))</f>
        <v/>
      </c>
      <c r="NX71" s="164">
        <f>IF($NJ71=0,0,IF(INDEX('DADOS_FORMAS'!$GA$2:$GA$21,$NJ71)="",0,IF((COUNTIF(INDEX($EL$2:$EP$13,$MO71,0),INDEX('DADOS_FORMAS'!$GA$2:$GA$21,$NJ71))+COUNTIF(INDEX($QV$2:$QY$13,$MO71,0),INDEX('DADOS_FORMAS'!$GA$2:$GA$21,$NJ71)))=0,1,0)))</f>
        <v/>
      </c>
      <c r="NY71" s="164">
        <f>IF(OR($NO71=0,$NK71=""),0,IF((COUNTIF(INDEX($EL$2:$EP$13,$MO71,0),$NK71)+COUNTIF(INDEX($QV$2:$QY$13,$MO71,0),$NK71))=0,1,0))</f>
        <v/>
      </c>
      <c r="NZ71" s="164">
        <f>IF(OR($NP71=0,$NL71=""),0,IF((COUNTIF(INDEX($EL$2:$EP$13,$MO71,0),$NL71)+COUNTIF(INDEX($QV$2:$QY$13,$MO71,0),$NL71))=0,1,0))</f>
        <v/>
      </c>
      <c r="OA71" s="164">
        <f>IF(OR($NQ71=0,$NM71=""),0,IF((COUNTIF(INDEX($EL$2:$EP$13,$MO71,0),$NM71)+COUNTIF(INDEX($QV$2:$QY$13,$MO71,0),$NM71))=0,1,0))</f>
        <v/>
      </c>
      <c r="OB71" s="164">
        <f>IF(OR($NR71=0,$NN71=""),0,IF((COUNTIF(INDEX($EL$2:$EP$13,$MO71,0),$NN71)+COUNTIF(INDEX($QV$2:$QY$13,$MO71,0),$NN71))=0,1,0))</f>
        <v/>
      </c>
      <c r="OC71" s="164">
        <f>IFERROR(VLOOKUP(SUBSTITUTE(SUBSTITUTE(SUBSTITUTE($MX71,"~","~~"),"*","~*"),"?","~?"),'DADOS_MELHORIAS'!$AG$2:$AL$113,4,FALSE),0)+IFERROR(VLOOKUP(SUBSTITUTE(SUBSTITUTE(SUBSTITUTE($MY71,"~","~~"),"*","~*"),"?","~?"),'DADOS_MELHORIAS'!$AG$2:$AL$113,4,FALSE),0)+IFERROR(VLOOKUP(SUBSTITUTE(SUBSTITUTE(SUBSTITUTE($MZ71,"~","~~"),"*","~*"),"?","~?"),'DADOS_MELHORIAS'!$AG$2:$AL$113,4,FALSE),0)+IFERROR(VLOOKUP(SUBSTITUTE(SUBSTITUTE(SUBSTITUTE($NA71,"~","~~"),"*","~*"),"?","~?"),'DADOS_MELHORIAS'!$AG$2:$AL$113,4,FALSE),0)</f>
        <v/>
      </c>
      <c r="OD71" s="164">
        <f>IFERROR(VLOOKUP(SUBSTITUTE(SUBSTITUTE(SUBSTITUTE($MX71,"~","~~"),"*","~*"),"?","~?"),'DADOS_MELHORIAS'!$AG$2:$AL$113,6,FALSE),0)+IFERROR(VLOOKUP(SUBSTITUTE(SUBSTITUTE(SUBSTITUTE($MY71,"~","~~"),"*","~*"),"?","~?"),'DADOS_MELHORIAS'!$AG$2:$AL$113,6,FALSE),0)+IFERROR(VLOOKUP(SUBSTITUTE(SUBSTITUTE(SUBSTITUTE($MZ71,"~","~~"),"*","~*"),"?","~?"),'DADOS_MELHORIAS'!$AG$2:$AL$113,6,FALSE),0)+IFERROR(VLOOKUP(SUBSTITUTE(SUBSTITUTE(SUBSTITUTE($NA71,"~","~~"),"*","~*"),"?","~?"),'DADOS_MELHORIAS'!$AG$2:$AL$113,6,FALSE),0)+IFERROR(N(AND(INDEX('DADOS_FORMAS'!$AO$2:$AO$21,MATCH(SUBSTITUTE(SUBSTITUTE(SUBSTITUTE($MU71,"~","~~"),"*","~*"),"?","~?"),'DADOS_FORMAS'!$AH$2:$AH$21,0))="Acerto",$OH71=1)),0)</f>
        <v/>
      </c>
      <c r="OE71" s="164">
        <f>TEXTJOIN(", ",TRUE,IF(IFERROR(VLOOKUP(SUBSTITUTE(SUBSTITUTE(SUBSTITUTE($MX71,"~","~~"),"*","~*"),"?","~?"),'DADOS_MELHORIAS'!$AG$2:$AL$113,5,FALSE),0)=1,$MX71,""),IF(IFERROR(VLOOKUP(SUBSTITUTE(SUBSTITUTE(SUBSTITUTE($MY71,"~","~~"),"*","~*"),"?","~?"),'DADOS_MELHORIAS'!$AG$2:$AL$113,5,FALSE),0)=1,$MY71,""),IF(IFERROR(VLOOKUP(SUBSTITUTE(SUBSTITUTE(SUBSTITUTE($MZ71,"~","~~"),"*","~*"),"?","~?"),'DADOS_MELHORIAS'!$AG$2:$AL$113,5,FALSE),0)=1,$MZ71,""),IF(IFERROR(VLOOKUP(SUBSTITUTE(SUBSTITUTE(SUBSTITUTE($NA71,"~","~~"),"*","~*"),"?","~?"),'DADOS_MELHORIAS'!$AG$2:$AL$113,5,FALSE),0)=1,$NA71,""))</f>
        <v/>
      </c>
      <c r="OF71" s="164">
        <f>IF($NJ71=0,0,INDEX('DADOS_FORMAS'!$GC$2:$GC$21,$NJ71))</f>
        <v/>
      </c>
      <c r="OG71" s="164">
        <f>IF($NJ71=0,0,INDEX('DADOS_FORMAS'!$GD$2:$GD$21,$NJ71))</f>
        <v/>
      </c>
      <c r="OH71" s="164">
        <f>IF($NJ71=0,0,INDEX('DADOS_FORMAS'!$GF$2:$GF$21,$NJ71))</f>
        <v/>
      </c>
      <c r="OI71" s="164">
        <f>IFERROR(VLOOKUP(SUBSTITUTE(SUBSTITUTE(SUBSTITUTE($NB71,"~","~~"),"*","~*"),"?","~?"),'DADOS_RESTRICOES'!$M$2:$Q$54,3,FALSE),0)</f>
        <v/>
      </c>
      <c r="OJ71" s="164">
        <f>IFERROR(VLOOKUP(SUBSTITUTE(SUBSTITUTE(SUBSTITUTE($NC71,"~","~~"),"*","~*"),"?","~?"),'DADOS_RESTRICOES'!$M$2:$Q$54,3,FALSE),0)</f>
        <v/>
      </c>
      <c r="OK71" s="164">
        <f>IFERROR(VLOOKUP(SUBSTITUTE(SUBSTITUTE(SUBSTITUTE($NB71,"~","~~"),"*","~*"),"?","~?"),'DADOS_RESTRICOES'!$M$2:$Q$54,2,FALSE),"")</f>
        <v/>
      </c>
      <c r="OL71" s="164">
        <f>IFERROR(VLOOKUP(SUBSTITUTE(SUBSTITUTE(SUBSTITUTE($NC71,"~","~~"),"*","~*"),"?","~?"),'DADOS_RESTRICOES'!$M$2:$Q$54,2,FALSE),"")</f>
        <v/>
      </c>
      <c r="OM71" s="164">
        <f>COUNTIF($NS71:$NW71,1)</f>
        <v/>
      </c>
      <c r="ON71" s="164">
        <f>COUNTIF($NS71:$NW71,2)</f>
        <v/>
      </c>
      <c r="OO71" s="164">
        <f>COUNTIF($NS71:$NW71,3)</f>
        <v/>
      </c>
      <c r="OP71" s="164">
        <f>COUNTIF($NS71:$NW71,4)</f>
        <v/>
      </c>
      <c r="OQ71" s="164">
        <f>COUNTIF($NS71:$NW71,5)</f>
        <v/>
      </c>
      <c r="OR71" s="164">
        <f>COUNTIF($NS71:$NW71,6)</f>
        <v/>
      </c>
      <c r="OS71" s="164">
        <f>COUNTIF($OI71:$OJ71,1)+IF(IFERROR(INDEX('DADOS_FORMAS'!$AS$2:$AS$21,MATCH(SUBSTITUTE(SUBSTITUTE(SUBSTITUTE($MU71,"~","~~"),"*","~*"),"?","~?"),'DADOS_FORMAS'!$AH$2:$AH$21,0)),"")="",0,IFERROR(N(VLOOKUP(SUBSTITUTE(SUBSTITUTE(SUBSTITUTE(IFERROR(INDEX('DADOS_FORMAS'!$AS$2:$AS$21,MATCH(SUBSTITUTE(SUBSTITUTE(SUBSTITUTE($MU71,"~","~~"),"*","~*"),"?","~?"),'DADOS_FORMAS'!$AH$2:$AH$21,0)),""),"~","~~"),"*","~*"),"?","~?"),'DADOS_RESTRICOES'!$M$2:$Q$54,3,FALSE)=1),0))</f>
        <v/>
      </c>
      <c r="OT71" s="164">
        <f>COUNTIF($OI71:$OJ71,2)+IF(IFERROR(INDEX('DADOS_FORMAS'!$AS$2:$AS$21,MATCH(SUBSTITUTE(SUBSTITUTE(SUBSTITUTE($MU71,"~","~~"),"*","~*"),"?","~?"),'DADOS_FORMAS'!$AH$2:$AH$21,0)),"")="",0,IFERROR(N(VLOOKUP(SUBSTITUTE(SUBSTITUTE(SUBSTITUTE(IFERROR(INDEX('DADOS_FORMAS'!$AS$2:$AS$21,MATCH(SUBSTITUTE(SUBSTITUTE(SUBSTITUTE($MU71,"~","~~"),"*","~*"),"?","~?"),'DADOS_FORMAS'!$AH$2:$AH$21,0)),""),"~","~~"),"*","~*"),"?","~?"),'DADOS_RESTRICOES'!$M$2:$Q$54,3,FALSE)=2),0))</f>
        <v/>
      </c>
      <c r="OU71" s="164">
        <f>COUNTIF($MX71:$NA71,"?*")</f>
        <v/>
      </c>
      <c r="OV71" s="164">
        <f>COUNTIF($NB71:$NC71,"?*")+$OF71</f>
        <v/>
      </c>
      <c r="OW71" s="164">
        <f>IF($MS71=0,0,SUMPRODUCT($OM71:$OR71,INDEX($I$2:$N$8,MAX(1,$MS71),0)))</f>
        <v/>
      </c>
      <c r="OX71" s="164">
        <f>IF($MS71=0,0,$OS71*CEILING($MS71/2,1)+$OT71*$MS71)</f>
        <v/>
      </c>
      <c r="OY71" s="164">
        <f>MIN(2*$MS71,$OX71)</f>
        <v/>
      </c>
      <c r="OZ71" s="164">
        <f>MIN($OY71,$OW71-IF($NS71=0,0,INDEX($I$2:$N$8,MAX(1,$MS71),$NS71)))</f>
        <v/>
      </c>
      <c r="PA71" s="164">
        <f>$OY71-$OZ71</f>
        <v/>
      </c>
      <c r="PB71" s="164">
        <f>IF($MS71=0,0,INDEX($P$2:$P$8,MAX(1,$MS71)))</f>
        <v/>
      </c>
      <c r="PC71" s="164">
        <f>$PB71-$OW71+$OZ71</f>
        <v/>
      </c>
      <c r="PD71" s="164">
        <f>IF($MS71=0,MAX(0,$NG71-IF(AND($OU71&gt;0,COUNTIF($NB71:$NC71,"?*")=0),1,0)),MAX(0,$PC71))</f>
        <v/>
      </c>
      <c r="PE71" s="164">
        <f>IF($MS71=0,0,(IF(COUNTIF($RK71:$RN71,"Salto")&gt;0,1,0)+IF(COUNTIF($RK71:$RN71,"Queima")&gt;0,1,0)+IF(COUNTIF($RK71:$RN71,"Estilhaço")&gt;0,1,0))*FLOOR($PD71/2,1))</f>
        <v/>
      </c>
      <c r="PF71" s="164">
        <f>MAX(0,2-SUMPRODUCT($OM71:$OR71,$I$2:$N$2)+MIN(2,$OS71*1+$OT71*1,SUMPRODUCT($OM71:$OR71,$I$2:$N$2)-IF($NS71=0,0,INDEX($I$2:$N$2,1,$NS71))))</f>
        <v/>
      </c>
      <c r="PG71" s="164">
        <f>MAX(0,4-SUMPRODUCT($OM71:$OR71,$I$3:$N$3)+MIN(4,$OS71*1+$OT71*2,SUMPRODUCT($OM71:$OR71,$I$3:$N$3)-IF($NS71=0,0,INDEX($I$3:$N$3,1,$NS71))))</f>
        <v/>
      </c>
      <c r="PH71" s="164">
        <f>MAX(0,6-SUMPRODUCT($OM71:$OR71,$I$4:$N$4)+MIN(6,$OS71*2+$OT71*3,SUMPRODUCT($OM71:$OR71,$I$4:$N$4)-IF($NS71=0,0,INDEX($I$4:$N$4,1,$NS71))))</f>
        <v/>
      </c>
      <c r="PI71" s="164">
        <f>MAX(0,9-SUMPRODUCT($OM71:$OR71,$I$5:$N$5)+MIN(8,$OS71*2+$OT71*4,SUMPRODUCT($OM71:$OR71,$I$5:$N$5)-IF($NS71=0,0,INDEX($I$5:$N$5,1,$NS71))))</f>
        <v/>
      </c>
      <c r="PJ71" s="164">
        <f>MAX(0,11-SUMPRODUCT($OM71:$OR71,$I$6:$N$6)+MIN(10,$OS71*3+$OT71*5,SUMPRODUCT($OM71:$OR71,$I$6:$N$6)-IF($NS71=0,0,INDEX($I$6:$N$6,1,$NS71))))</f>
        <v/>
      </c>
      <c r="PK71" s="164">
        <f>MAX(0,13-SUMPRODUCT($OM71:$OR71,$I$7:$N$7)+MIN(12,$OS71*3+$OT71*6,SUMPRODUCT($OM71:$OR71,$I$7:$N$7)-IF($NS71=0,0,INDEX($I$7:$N$7,1,$NS71))))</f>
        <v/>
      </c>
      <c r="PL71" s="164">
        <f>MAX(0,16-SUMPRODUCT($OM71:$OR71,$I$8:$N$8)+MIN(14,$OS71*4+$OT71*7,SUMPRODUCT($OM71:$OR71,$I$8:$N$8)-IF($NS71=0,0,INDEX($I$8:$N$8,1,$NS71))))</f>
        <v/>
      </c>
      <c r="PM71" s="164">
        <f>IF($OG71=2,3*$PF71&amp;" de vida temp.",IF($OG71=3,"sem dano",IF($PF71=0,IF($OG71=1,"sem cura","sem dano"),IF($OG71=1,"cura ","")&amp;$PF71&amp;"d8")))</f>
        <v/>
      </c>
      <c r="PN71" s="164">
        <f>IF($OG71=2,3*$PG71&amp;" de vida temp.",IF($OG71=3,"sem dano",IF($PG71=0,IF($OG71=1,"sem cura","sem dano"),IF($OG71=1,"cura ","")&amp;$PG71&amp;"d8")))</f>
        <v/>
      </c>
      <c r="PO71" s="164">
        <f>IF($OG71=2,3*$PH71&amp;" de vida temp.",IF($OG71=3,"sem dano",IF($PH71=0,IF($OG71=1,"sem cura","sem dano"),IF($OG71=1,"cura ","")&amp;$PH71&amp;"d8")))</f>
        <v/>
      </c>
      <c r="PP71" s="164">
        <f>IF($OG71=2,3*$PI71&amp;" de vida temp.",IF($OG71=3,"sem dano",IF($PI71=0,IF($OG71=1,"sem cura","sem dano"),IF($OG71=1,"cura ","")&amp;$PI71&amp;"d8")))</f>
        <v/>
      </c>
      <c r="PQ71" s="164">
        <f>IF($OG71=2,3*$PJ71&amp;" de vida temp.",IF($OG71=3,"sem dano",IF($PJ71=0,IF($OG71=1,"sem cura","sem dano"),IF($OG71=1,"cura ","")&amp;$PJ71&amp;"d8")))</f>
        <v/>
      </c>
      <c r="PR71" s="164">
        <f>IF($OG71=2,3*$PK71&amp;" de vida temp.",IF($OG71=3,"sem dano",IF($PK71=0,IF($OG71=1,"sem cura","sem dano"),IF($OG71=1,"cura ","")&amp;$PK71&amp;"d8")))</f>
        <v/>
      </c>
      <c r="PS71" s="164">
        <f>IF($OG71=2,3*$PL71&amp;" de vida temp.",IF($OG71=3,"sem dano",IF($PL71=0,IF($OG71=1,"sem cura","sem dano"),IF($OG71=1,"cura ","")&amp;$PL71&amp;"d8")))</f>
        <v/>
      </c>
      <c r="PT71" s="164">
        <f>IF($ND71=0,"",TEXTJOIN(" · ",TRUE,IF($ND71=0,"",TEXTJOIN(" · ",TRUE,IF($ND71=0,"",TEXTJOIN(" · ",TRUE,IF($MQ71&gt;$NE71,"Este lugar abre no nível "&amp;$MQ71,""),IF($MS71&gt;$NF71,"Classe "&amp;$MS71&amp;": o nível "&amp;$NE71&amp;" libera até a "&amp;$NF71,""),IF($NX71=1,"A Forma "&amp;$MU71&amp;" pede "&amp;INDEX('DADOS_FORMAS'!$GA$2:$GA$21,$NJ71)&amp;" aberta",""),IF(AND($MS71=0,$NJ71&gt;0,IF($NJ71=0,0,INDEX('DADOS_FORMAS'!$GJ$2:$GJ$21,$NJ71))=0),$MU71&amp;" não existe na Classe 0",""),IF($NY71=1,"Família Fechada: "&amp;$MX71,""),IF($NZ71=1,"Família Fechada: "&amp;$MY71,""),IF($OA71=1,"Família Fechada: "&amp;$MZ71,""),IF($OB71=1,"Família Fechada: "&amp;$NA71,""),IF(AND($MS71&gt;0,$OU71&gt;INDEX($O$2:$O$8,MAX(1,$MS71))),$OU71&amp;" Melhorias: a Classe "&amp;$MS71&amp;" aceita "&amp;INDEX($O$2:$O$8,MAX(1,$MS71)),""),IF(AND($MS71=0,$OU71&gt;1),"A básica aceita uma Melhoria",""),IF(AND($MS71=0,COUNTIF($NO71:$NR71,"&gt;1")&gt;0),"A básica só aceita Melhoria Leve",""),IF(AND($MS71&gt;0,$OV71&gt;2),$OV71&amp;" Restrições"&amp;IF($OF71=1,", contando a que a Forma "&amp;$MU71&amp;" já traz","")&amp;": o limite é 2",""),IF(AND($MS71=0,COUNTIF($NB71:$NC71,"?*")&gt;1),"A básica aceita uma Restrição Leve",""),IF(AND($MS71=0,COUNTIF($OI71:$OJ71,2)&gt;0),"A básica só aceita Restrição Leve",""),IF(AND($MS71&gt;0,$PC71&lt;0),"Orçamento estourado: faltam "&amp;(-$PC71)&amp;IF($PC71&lt;-1," pontos"," ponto"),""),IF(IFERROR(VLOOKUP(SUBSTITUTE(SUBSTITUTE(SUBSTITUTE($NB71,"~","~~"),"*","~*"),"?","~?"),'DADOS_RESTRICOES'!$M$2:$Q$54,4,FALSE),0)+IFERROR(VLOOKUP(SUBSTITUTE(SUBSTITUTE(SUBSTITUTE($NC71,"~","~~"),"*","~*"),"?","~?"),'DADOS_RESTRICOES'!$M$2:$Q$54,4,FALSE),0)&gt;1,$OK71&amp;" e "&amp;$OL71&amp;" são as duas de frequência",""),IF(AND((COUNTIF($RK71:$RN71,"Rápido")+COUNTIF($OK71:$OL71,"Rápido"))&gt;0,(COUNTIF($MX71:$NA71,"Atrasar")+COUNTIF($OK71:$OL71,"Atrasar"))&gt;0),"Rápido não entra com Atrasar",""),IF(AND((COUNTIF($RK71:$RN71,"Reação")+COUNTIF($OK71:$OL71,"Reação"))&gt;0,(COUNTIF($RK71:$RN71,"Rápido")+COUNTIF($OK71:$OL71,"Rápido"))&gt;0),"Reação não entra com Rápido",""),IF(AND((COUNTIF($RK71:$RN71,"Reação")+COUNTIF($OK71:$OL71,"Reação"))&gt;0,(COUNTIF($RK71:$RN71,"Armado")+COUNTIF($OK71:$OL71,"Armado"))&gt;0),"Reação não entra com Armado",""),IF(AND((COUNTIF($RK71:$RN71,"Reação")+COUNTIF($OK71:$OL71,"Reação"))&gt;0,(COUNTIF($MX71:$NA71,"Atrasar")+COUNTIF($OK71:$OL71,"Atrasar"))&gt;0),"Reação não entra com Atrasar",""),IF(AND((COUNTIF($RK71:$RN71,"Reação")+COUNTIF($OK71:$OL71,"Reação"))&gt;0,(COUNTIF($MX71:$NA71,"Parado")+COUNTIF($OK71:$OL71,"Parado"))&gt;0),"Reação não entra com Parado",""),IF(AND((COUNTIF($MX71:$NA71,"Atrasar")+COUNTIF($OK71:$OL71,"Atrasar"))&gt;0,(COUNTIF($MX71:$NA71,"Parado")+COUNTIF($OK71:$OL71,"Parado"))&gt;0),"Atrasar não entra com Parado",""),IF(AND((COUNTIF($RK71:$RN71,"Armado")+COUNTIF($OK71:$OL71,"Armado"))&gt;0,(COUNTIF($MX71:$NA71,"Carregar")+COUNTIF($OK71:$OL71,"Carregar"))&gt;0),"Armado não entra com Carregar",""),IF(AND(COUNTIF($OK71:$OL71,"Corpo a Corpo")&gt;0,$OF71=0,OR($RO71="Cone",$RO71="Linha")),"Corpo a Corpo não entra em "&amp;$MU71,""),IF(AND(COUNTIF($OK71:$OL71,"Corpo a Corpo")&gt;0,$RP71="Corpo a Corpo"),"A Forma "&amp;$MU71&amp;" já traz o Corpo a Corpo",""),IF(AND(COUNTIF($OK71:$OL71,"Tudo ou Nada")&gt;0,$OH71=0),"Tudo ou Nada só entra em habilidade de Teste de Resistência",""),IF(AND(COUNTIF($RK71:$RN71,"Inescapável")&gt;0,OR($OU71&gt;1,$OV71&gt;0)),"Inescapável não aceita outra peça",""),IF(AND($MS71&gt;0,$PD71*IF(COUNTIF($RK71:$RN71,"Remate")&gt;0,1.25,1)+$PE71&gt;4*$MS71),($PD71*IF(COUNTIF($RK71:$RN71,"Remate")&gt;0,1.25,1)+$PE71)&amp;" dados somando repetições"&amp;IF(COUNTIF($RK71:$RN71,"Remate")&gt;0," e o Remate","")&amp;": o teto da Classe "&amp;$MS71&amp;" é "&amp;4*$MS71,""))),IF(AND($MX71&lt;&gt;"",COUNTIF('DADOS_MELHORIAS'!$O$2:$O$113,SUBSTITUTE(SUBSTITUTE(SUBSTITUTE($MX71,"~","~~"),"*","~*"),"?","~?"))=0),"Melhoria não cadastrada ou com erro: "&amp;$MX71,""),IF(AND($MY71&lt;&gt;"",COUNTIF('DADOS_MELHORIAS'!$O$2:$O$113,SUBSTITUTE(SUBSTITUTE(SUBSTITUTE($MY71,"~","~~"),"*","~*"),"?","~?"))=0),"Melhoria não cadastrada ou com erro: "&amp;$MY71,""),IF(AND($MZ71&lt;&gt;"",COUNTIF('DADOS_MELHORIAS'!$O$2:$O$113,SUBSTITUTE(SUBSTITUTE(SUBSTITUTE($MZ71,"~","~~"),"*","~*"),"?","~?"))=0),"Melhoria não cadastrada ou com erro: "&amp;$MZ71,""),IF(AND($NA71&lt;&gt;"",COUNTIF('DADOS_MELHORIAS'!$O$2:$O$113,SUBSTITUTE(SUBSTITUTE(SUBSTITUTE($NA71,"~","~~"),"*","~*"),"?","~?"))=0),"Melhoria não cadastrada ou com erro: "&amp;$NA71,""),IF(AND($NB71&lt;&gt;"",COUNTIF('DADOS_RESTRICOES'!$M$2:$M$54,SUBSTITUTE(SUBSTITUTE(SUBSTITUTE($NB71,"~","~~"),"*","~*"),"?","~?"))=0),"Restrição não cadastrada ou com erro: "&amp;$NB71,""),IF(AND($NC71&lt;&gt;"",COUNTIF('DADOS_RESTRICOES'!$M$2:$M$54,SUBSTITUTE(SUBSTITUTE(SUBSTITUTE($NC71,"~","~~"),"*","~*"),"?","~?"))=0),"Restrição não cadastrada ou com erro: "&amp;$NC71,""))),IF(AND($MU71&lt;&gt;"",COUNTIF('DADOS_FORMAS'!$AH$2:$AH$21,SUBSTITUTE(SUBSTITUTE(SUBSTITUTE($MU71,"~","~~"),"*","~*"),"?","~?"))=0),"Forma não cadastrada ou com erro: "&amp;$MU71,""),IF(AND(IFERROR(INDEX('DADOS_FORMAS'!$AS$2:$AS$21,MATCH(SUBSTITUTE(SUBSTITUTE(SUBSTITUTE($MU71,"~","~~"),"*","~*"),"?","~?"),'DADOS_FORMAS'!$AH$2:$AH$21,0)),"")&lt;&gt;"",OR(IFERROR(VLOOKUP(SUBSTITUTE(SUBSTITUTE(SUBSTITUTE(IFERROR(INDEX('DADOS_FORMAS'!$AS$2:$AS$21,MATCH(SUBSTITUTE(SUBSTITUTE(SUBSTITUTE($MU71,"~","~~"),"*","~*"),"?","~?"),'DADOS_FORMAS'!$AH$2:$AH$21,0)),""),"~","~~"),"*","~*"),"?","~?"),'DADOS_RESTRICOES'!$M$2:$Q$54,2,FALSE),"")=$OK71,IFERROR(VLOOKUP(SUBSTITUTE(SUBSTITUTE(SUBSTITUTE(IFERROR(INDEX('DADOS_FORMAS'!$AS$2:$AS$21,MATCH(SUBSTITUTE(SUBSTITUTE(SUBSTITUTE($MU71,"~","~~"),"*","~*"),"?","~?"),'DADOS_FORMAS'!$AH$2:$AH$21,0)),""),"~","~~"),"*","~*"),"?","~?"),'DADOS_RESTRICOES'!$M$2:$Q$54,2,FALSE),"")=$OL71)),"Restrição repetida, contando a embutida",""),IF(IF(IFERROR(INDEX('DADOS_FORMAS'!$AS$2:$AS$21,MATCH(SUBSTITUTE(SUBSTITUTE(SUBSTITUTE($MU71,"~","~~"),"*","~*"),"?","~?"),'DADOS_FORMAS'!$AH$2:$AH$21,0)),"")="",0,IFERROR(N(VLOOKUP(SUBSTITUTE(SUBSTITUTE(SUBSTITUTE(IFERROR(INDEX('DADOS_FORMAS'!$AS$2:$AS$21,MATCH(SUBSTITUTE(SUBSTITUTE(SUBSTITUTE($MU71,"~","~~"),"*","~*"),"?","~?"),'DADOS_FORMAS'!$AH$2:$AH$21,0)),""),"~","~~"),"*","~*"),"?","~?"),'DADOS_RESTRICOES'!$M$2:$Q$54,4,FALSE)=1),0))+IF($NB71="",0,IFERROR(N(VLOOKUP(SUBSTITUTE(SUBSTITUTE(SUBSTITUTE($NB71,"~","~~"),"*","~*"),"?","~?"),'DADOS_RESTRICOES'!$M$2:$Q$54,4,FALSE)=1),0))+IF($NC71="",0,IFERROR(N(VLOOKUP(SUBSTITUTE(SUBSTITUTE(SUBSTITUTE($NC71,"~","~~"),"*","~*"),"?","~?"),'DADOS_RESTRICOES'!$M$2:$Q$54,4,FALSE)=1),0))&gt;1,"Duas Restrições de frequência, contando a embutida",""),IF(AND(IFERROR(VLOOKUP(SUBSTITUTE(SUBSTITUTE(SUBSTITUTE(IFERROR(INDEX('DADOS_FORMAS'!$AS$2:$AS$21,MATCH(SUBSTITUTE(SUBSTITUTE(SUBSTITUTE($MU71,"~","~~"),"*","~*"),"?","~?"),'DADOS_FORMAS'!$AH$2:$AH$21,0)),""),"~","~~"),"*","~*"),"?","~?"),'DADOS_RESTRICOES'!$M$2:$Q$54,2,FALSE),"")="Tudo ou Nada",$OH71=0),"Tudo ou Nada exige TR",""),IF(AND(IFERROR(VLOOKUP(SUBSTITUTE(SUBSTITUTE(SUBSTITUTE(IFERROR(INDEX('DADOS_FORMAS'!$AS$2:$AS$21,MATCH(SUBSTITUTE(SUBSTITUTE(SUBSTITUTE($MU71,"~","~~"),"*","~*"),"?","~?"),'DADOS_FORMAS'!$AH$2:$AH$21,0)),""),"~","~~"),"*","~*"),"?","~?"),'DADOS_RESTRICOES'!$M$2:$Q$54,2,FALSE),"")="Corpo a Corpo",OR($RO71="Cone",$RO71="Linha")),"Corpo a Corpo não entra em Cone/Linha","")))</f>
        <v/>
      </c>
      <c r="PU71" s="164">
        <f>IF($PT71="",0,(LEN($PT71)-LEN(SUBSTITUTE($PT71," · ","")))/3+1)</f>
        <v/>
      </c>
      <c r="PV71" s="164">
        <f>IF($ND71=0,"",TEXTJOIN(" · ",TRUE,IF($OX71&gt;2*$MS71,"A devolução parou no teto de "&amp;2*$MS71,""),IF($PA71&gt;0,"Devolução perdida: "&amp;$PA71&amp;IF($PA71&gt;1," pontos"," ponto")&amp;" sem Melhoria para pagar",""),IF(AND($OC71&gt;0,AND($MS71&gt;0,$OG71=0),$PD71=0),"Controle sem dano: uma rodada a mais e CD +2",""),IF(AND($OC71&gt;0,AND($MS71&gt;0,$OG71=0),$PD71&gt;0,$PD71&lt;=$MS71),"Controle com saldo até a Classe: uma rodada a mais",""),IF(AND($MS71&gt;0,$OE71&lt;&gt;""),"Efeito de "&amp;$OE71&amp;" pela Classe "&amp;MAX(1,$MS71-1),"")))</f>
        <v/>
      </c>
      <c r="PW71" s="164">
        <f>IF($PV71="",0,(LEN($PV71)-LEN(SUBSTITUTE($PV71," · ","")))/3+1)</f>
        <v/>
      </c>
      <c r="PX71" s="164">
        <f>IF($ND71=0,IF($OU71+COUNTIF($NB71:$NC71,"?*")&gt;0,"Dê um nome",""),IF($PU71&gt;0,"⚠ "&amp;$PU71&amp;IF($PU71&gt;1," erros"," erro"),IF($PW71&gt;0,"! "&amp;$PW71&amp;IF($PW71&gt;1," avisos"," aviso"),"Na regra")))</f>
        <v/>
      </c>
      <c r="PY71" s="164">
        <f>IF($ND71=0,"",IF($PU71+$PW71=0,"Dentro das regras que a ficha confere",$PT71&amp;IF(AND($PU71&gt;0,$PW71&gt;0)," · ","")&amp;$PV71))</f>
        <v/>
      </c>
      <c r="PZ71" s="164">
        <f>IF($MQ71&gt;$NE71,$MR71&amp;" · ABRE NO NÍVEL "&amp;$MQ71,$MR71)</f>
        <v/>
      </c>
      <c r="QA71" s="164">
        <f>IF($ND71=0,"",IF($MS71=0,"Sem PE",3*$MS71&amp;" PE"))</f>
        <v/>
      </c>
      <c r="QB71" s="164">
        <f>IF($ND71=0,"",IF($MS71=0,"A atuação básica dela",IF(COUNTIF($RQ71:$RS71,"Atrasar")&gt;0,"Sua Ação Completa",IF(COUNTIF($RK71:$RN71,"Rápido")&gt;0,"Sua Bônus",IF(COUNTIF($RK71:$RN71,"Reação")&gt;0,"Sua Reação","Sua Padrão")))&amp;" + a básica dela"&amp;IF(COUNTIF($RK71:$RN71,"Reação")&gt;0," e a coletiva","")&amp;IF(COUNTIF($RQ71:$RS71,"Carregar")&gt;0," · em dois turnos","")))</f>
        <v/>
      </c>
      <c r="QC71" s="164">
        <f>IF($MW71&lt;&gt;"",$MW71,IF($NJ71=0,"",INDEX('DADOS_FORMAS'!$GE$2:$GE$21,$NJ71)))</f>
        <v/>
      </c>
      <c r="QD71" s="164">
        <f>IF(OR($ND71=0,$NJ71=0),"",IF(COUNTIF($RK71:$RN71,"Inescapável")&gt;0,"Automático",IF($QC71="Ataque",IF($NH71="","Ataque","Ataque "&amp;IF(($NH71+2*IF(COUNTIF($RK71:$RN71,"Precisão")&gt;0,1,0))&gt;=0,"+","−")&amp;ABS(($NH71+2*IF(COUNTIF($RK71:$RN71,"Precisão")&gt;0,1,0))))&amp;IF($OD71&gt;0," · TR"&amp;IF($NI71="",""," CD "&amp;$NI71),""),IF(LEFT($QC71,2)="TR",$QC71&amp;IF($NI71="",""," · CD "&amp;$NI71)&amp;IF(COUNTIF($RK71:$RN71,"Certeiro")&gt;0," · metade",""),"Sem rolagem"))))</f>
        <v/>
      </c>
      <c r="QE71" s="164">
        <f>IF(OR($ND71=0,$NJ71=0),"",IF($MS71=0,IF(OR($OG71&gt;=1,$PD71=0),"Sem dano",$PD71&amp;"d6"&amp;IF($MV71="",""," "&amp;$MV71)),IF(OR($OG71&gt;=1,$PD71=0),UPPER(LEFT(INDEX($PM71:$PS71,1,MAX(1,$MS71)),1))&amp;MID(INDEX($PM71:$PS71,1,MAX(1,$MS71)),2,99),UPPER(LEFT(INDEX($PM71:$PS71,1,MAX(1,$MS71)),1))&amp;MID(INDEX($PM71:$PS71,1,MAX(1,$MS71)),2,99)&amp;IF($MV71="",""," "&amp;$MV71)&amp;IF($PE71&gt;0," · +"&amp;$PE71&amp;"d8",""))))</f>
        <v/>
      </c>
      <c r="QF71" s="164">
        <f>COUNTIF($RK71:$RN71,"Longe")+3*COUNTIF($RK71:$RN71,"Muito Longe")</f>
        <v/>
      </c>
      <c r="QG71" s="164">
        <f>COUNTIF($RK71:$RN71,"Maior")+3*COUNTIF($RK71:$RN71,"Muito Maior")</f>
        <v/>
      </c>
      <c r="QH71" s="164">
        <f>IF($NJ71=0,0,CHOOSE(1+INDEX('DADOS_FORMAS'!$GG$2:$GG$21,$NJ71),0,$QF71,$QG71,$QF71+$QG71))</f>
        <v/>
      </c>
      <c r="QI71" s="164">
        <f>IF($NJ71=0,0,CHOOSE(1+INDEX('DADOS_FORMAS'!$GH$2:$GH$21,$NJ71),0,$QF71,$QG71,$QF71+$QG71))</f>
        <v/>
      </c>
      <c r="QJ71" s="164">
        <f>IF(OR($ND71=0,$NJ71=0),"",INDEX('DADOS_FORMAS'!$HU$2:$HZ$81,($NJ71-1)*4+IF($MS71=0,1,IF($MS71&lt;=5,2,IF($MS71=6,3,4))),1+MIN(5,$QH71))&amp;INDEX('DADOS_FORMAS'!$IA$2:$IF$81,($NJ71-1)*4+IF($MS71=0,1,IF($MS71&lt;=5,2,IF($MS71=6,3,4))),1+MIN(5,$QI71))&amp;IF(INDEX('DADOS_FORMAS'!$GI$2:$GI$21,$NJ71)=1,IF(COUNTIF($RK71:$RN71,"Mais Um")&gt;0," · +"&amp;COUNTIF($RK71:$RN71,"Mais Um")&amp;IF(COUNTIF($RK71:$RN71,"Mais Um")&gt;1," alvos"," alvo"),"")&amp;IF(COUNTIF($RK71:$RN71,"Rajada")&gt;0,IF($MS71=0," · 1 tiro"," · "&amp;(MAX(1,$MS71-1)+1)&amp;" tiros"),""),""))</f>
        <v/>
      </c>
      <c r="QK71" s="164">
        <f>IF($ND71=0,"",IF($MS71=0,$NG71&amp;"d6"&amp;IF($OU71&gt;0," − 1 = "&amp;$PD71&amp;"d6"," da básica do nível "&amp;$NE71),$PB71&amp;" − "&amp;$OW71&amp;" + "&amp;$OZ71&amp;" = "&amp;$PC71&amp;" · teto "&amp;4*$MS71&amp;"d8"&amp;IF($OF71=1," · a Forma devolve "&amp;$MS71,"")&amp;IF($PA71&gt;0," · perde "&amp;$PA71,"")))</f>
        <v/>
      </c>
      <c r="QL71" s="164">
        <f>IF($ND71=0,"",IF($MS71=0,"A básica não amplia: os dados dela sobem com o nível",IF($MS71&gt;=$NF71,"Já está na maior Classe que o nível liberou",TEXTJOIN(" · ",TRUE,IF(AND(2&gt;$MS71,2&lt;=$NF71),"2 → "&amp;$PN71&amp;", 6 PE",""),IF(AND(3&gt;$MS71,3&lt;=$NF71),"3 → "&amp;$PO71&amp;", 9 PE",""),IF(AND(4&gt;$MS71,4&lt;=$NF71),"4 → "&amp;$PP71&amp;", 12 PE",""),IF(AND(5&gt;$MS71,5&lt;=$NF71),"5 → "&amp;$PQ71&amp;", 15 PE",""),IF(AND(6&gt;$MS71,6&lt;=$NF71),"6 → "&amp;$PR71&amp;", 18 PE",""),IF(AND(7&gt;$MS71,7&lt;=$NF71),"7 → "&amp;$PS71&amp;", 21 PE","")))))</f>
        <v/>
      </c>
      <c r="QM71" s="164">
        <f>IF(OR($ND71=0,$NO71=0),"",IF($MS71=0,"−1 dado","−"&amp;INDEX($I$2:$N$8,MAX(1,$MS71),MAX(1,$NT71))&amp;" · "&amp;CHOOSE(MAX(1,$NT71),"Leve","Média","Pesada","Leve · Livre","Média · Livre","Pesada · Livre")))</f>
        <v/>
      </c>
      <c r="QN71" s="164">
        <f>IF(OR($ND71=0,$NP71=0),"",IF($MS71=0,"−1 dado","−"&amp;INDEX($I$2:$N$8,MAX(1,$MS71),MAX(1,$NU71))&amp;" · "&amp;CHOOSE(MAX(1,$NU71),"Leve","Média","Pesada","Leve · Livre","Média · Livre","Pesada · Livre")))</f>
        <v/>
      </c>
      <c r="QO71" s="164">
        <f>IF(OR($ND71=0,$NQ71=0),"",IF($MS71=0,"−1 dado","−"&amp;INDEX($I$2:$N$8,MAX(1,$MS71),MAX(1,$NV71))&amp;" · "&amp;CHOOSE(MAX(1,$NV71),"Leve","Média","Pesada","Leve · Livre","Média · Livre","Pesada · Livre")))</f>
        <v/>
      </c>
      <c r="QP71" s="164">
        <f>IF(OR($ND71=0,$NR71=0),"",IF($MS71=0,"−1 dado","−"&amp;INDEX($I$2:$N$8,MAX(1,$MS71),MAX(1,$NW71))&amp;" · "&amp;CHOOSE(MAX(1,$NW71),"Leve","Média","Pesada","Leve · Livre","Média · Livre","Pesada · Livre")))</f>
        <v/>
      </c>
      <c r="QQ71" s="164">
        <f>IF(OR($ND71=0,$NB71=""),"",IF($MS71=0,"não devolve","+"&amp;IF($OI71=1,CEILING($MS71/2,1),$MS71)))</f>
        <v/>
      </c>
      <c r="QR71" s="164">
        <f>IF(OR($ND71=0,$NC71=""),"",IF($MS71=0,"não devolve","+"&amp;IF($OJ71=1,CEILING($MS71/2,1),$MS71)))</f>
        <v/>
      </c>
      <c r="RK71">
        <f>IF($MX71="","",IFERROR(VLOOKUP(SUBSTITUTE(SUBSTITUTE(SUBSTITUTE($MX71,"~","~~"),"*","~*"),"?","~?"),'DADOS_MELHORIAS'!$O$2:$X$113,10,FALSE),$MX71))</f>
        <v/>
      </c>
      <c r="RL71">
        <f>IF($MY71="","",IFERROR(VLOOKUP(SUBSTITUTE(SUBSTITUTE(SUBSTITUTE($MY71,"~","~~"),"*","~*"),"?","~?"),'DADOS_MELHORIAS'!$O$2:$X$113,10,FALSE),$MY71))</f>
        <v/>
      </c>
      <c r="RM71">
        <f>IF($MZ71="","",IFERROR(VLOOKUP(SUBSTITUTE(SUBSTITUTE(SUBSTITUTE($MZ71,"~","~~"),"*","~*"),"?","~?"),'DADOS_MELHORIAS'!$O$2:$X$113,10,FALSE),$MZ71))</f>
        <v/>
      </c>
      <c r="RN71">
        <f>IF($NA71="","",IFERROR(VLOOKUP(SUBSTITUTE(SUBSTITUTE(SUBSTITUTE($NA71,"~","~~"),"*","~*"),"?","~?"),'DADOS_MELHORIAS'!$O$2:$X$113,10,FALSE),$NA71))</f>
        <v/>
      </c>
      <c r="RO71">
        <f>IFERROR(INDEX('DADOS_FORMAS'!$BJ$2:$BJ$21,MATCH(SUBSTITUTE(SUBSTITUTE(SUBSTITUTE($MU71,"~","~~"),"*","~*"),"?","~?"),'DADOS_FORMAS'!$AH$2:$AH$21,0)),"")</f>
        <v/>
      </c>
      <c r="RP71">
        <f>IFERROR(VLOOKUP(SUBSTITUTE(SUBSTITUTE(SUBSTITUTE(IFERROR(INDEX('DADOS_FORMAS'!$AS$2:$AS$21,MATCH(SUBSTITUTE(SUBSTITUTE(SUBSTITUTE($MU71,"~","~~"),"*","~*"),"?","~?"),'DADOS_FORMAS'!$AH$2:$AH$21,0)),""),"~","~~"),"*","~*"),"?","~?"),'DADOS_RESTRICOES'!$M$2:$Q$54,2,FALSE),"")</f>
        <v/>
      </c>
      <c r="RQ71">
        <f>$OK71</f>
        <v/>
      </c>
      <c r="RR71">
        <f>$OL71</f>
        <v/>
      </c>
      <c r="RS71">
        <f>$RP71</f>
        <v/>
      </c>
    </row>
    <row r="72">
      <c r="AV72" s="162" t="inlineStr">
        <is>
          <t>Cobrança</t>
        </is>
      </c>
      <c r="AW72" s="162" t="inlineStr">
        <is>
          <t>Marca</t>
        </is>
      </c>
      <c r="AX72" s="164" t="n">
        <v>2</v>
      </c>
      <c r="AY72" s="164" t="n">
        <v>0</v>
      </c>
      <c r="AZ72" s="164" t="n">
        <v>0</v>
      </c>
      <c r="BA72" s="164" t="n">
        <v>0</v>
      </c>
      <c r="JT72" s="164">
        <f>IF(OR($AW72="",(COUNTIF($EL$2:$EP$2,$AW72)+COUNTIF($QV$2:$QY$2,$AW72))&gt;0),$AV72,"")</f>
        <v/>
      </c>
      <c r="JU72" s="164">
        <f>IF(AND($AX72=1,OR($AW72="",(COUNTIF($EL$2:$EP$2,$AW72)+COUNTIF($QV$2:$QY$2,$AW72))&gt;0)),$AV72,"")</f>
        <v/>
      </c>
      <c r="JZ72" s="164">
        <f>IF(OR($AW72="",(COUNTIF($EL$3:$EP$3,$AW72)+COUNTIF($QV$3:$QY$3,$AW72))&gt;0),$AV72,"")</f>
        <v/>
      </c>
      <c r="KA72" s="164">
        <f>IF(AND($AX72=1,OR($AW72="",(COUNTIF($EL$3:$EP$3,$AW72)+COUNTIF($QV$3:$QY$3,$AW72))&gt;0)),$AV72,"")</f>
        <v/>
      </c>
      <c r="KF72" s="164">
        <f>IF(OR($AW72="",(COUNTIF($EL$4:$EP$4,$AW72)+COUNTIF($QV$4:$QY$4,$AW72))&gt;0),$AV72,"")</f>
        <v/>
      </c>
      <c r="KG72" s="164">
        <f>IF(AND($AX72=1,OR($AW72="",(COUNTIF($EL$4:$EP$4,$AW72)+COUNTIF($QV$4:$QY$4,$AW72))&gt;0)),$AV72,"")</f>
        <v/>
      </c>
      <c r="KL72" s="164">
        <f>IF(OR($AW72="",(COUNTIF($EL$5:$EP$5,$AW72)+COUNTIF($QV$5:$QY$5,$AW72))&gt;0),$AV72,"")</f>
        <v/>
      </c>
      <c r="KM72" s="164">
        <f>IF(AND($AX72=1,OR($AW72="",(COUNTIF($EL$5:$EP$5,$AW72)+COUNTIF($QV$5:$QY$5,$AW72))&gt;0)),$AV72,"")</f>
        <v/>
      </c>
      <c r="KR72" s="164">
        <f>IF(OR($AW72="",(COUNTIF($EL$6:$EP$6,$AW72)+COUNTIF($QV$6:$QY$6,$AW72))&gt;0),$AV72,"")</f>
        <v/>
      </c>
      <c r="KS72" s="164">
        <f>IF(AND($AX72=1,OR($AW72="",(COUNTIF($EL$6:$EP$6,$AW72)+COUNTIF($QV$6:$QY$6,$AW72))&gt;0)),$AV72,"")</f>
        <v/>
      </c>
      <c r="KX72" s="164">
        <f>IF(OR($AW72="",(COUNTIF($EL$7:$EP$7,$AW72)+COUNTIF($QV$7:$QY$7,$AW72))&gt;0),$AV72,"")</f>
        <v/>
      </c>
      <c r="KY72" s="164">
        <f>IF(AND($AX72=1,OR($AW72="",(COUNTIF($EL$7:$EP$7,$AW72)+COUNTIF($QV$7:$QY$7,$AW72))&gt;0)),$AV72,"")</f>
        <v/>
      </c>
      <c r="LD72" s="164">
        <f>IF(OR($AW72="",(COUNTIF($EL$8:$EP$8,$AW72)+COUNTIF($QV$8:$QY$8,$AW72))&gt;0),$AV72,"")</f>
        <v/>
      </c>
      <c r="LE72" s="164">
        <f>IF(AND($AX72=1,OR($AW72="",(COUNTIF($EL$8:$EP$8,$AW72)+COUNTIF($QV$8:$QY$8,$AW72))&gt;0)),$AV72,"")</f>
        <v/>
      </c>
      <c r="LJ72" s="164">
        <f>IF(OR($AW72="",(COUNTIF($EL$9:$EP$9,$AW72)+COUNTIF($QV$9:$QY$9,$AW72))&gt;0),$AV72,"")</f>
        <v/>
      </c>
      <c r="LK72" s="164">
        <f>IF(AND($AX72=1,OR($AW72="",(COUNTIF($EL$9:$EP$9,$AW72)+COUNTIF($QV$9:$QY$9,$AW72))&gt;0)),$AV72,"")</f>
        <v/>
      </c>
      <c r="LP72" s="164">
        <f>IF(OR($AW72="",(COUNTIF($EL$10:$EP$10,$AW72)+COUNTIF($QV$10:$QY$10,$AW72))&gt;0),$AV72,"")</f>
        <v/>
      </c>
      <c r="LQ72" s="164">
        <f>IF(AND($AX72=1,OR($AW72="",(COUNTIF($EL$10:$EP$10,$AW72)+COUNTIF($QV$10:$QY$10,$AW72))&gt;0)),$AV72,"")</f>
        <v/>
      </c>
      <c r="LV72" s="164">
        <f>IF(OR($AW72="",(COUNTIF($EL$11:$EP$11,$AW72)+COUNTIF($QV$11:$QY$11,$AW72))&gt;0),$AV72,"")</f>
        <v/>
      </c>
      <c r="LW72" s="164">
        <f>IF(AND($AX72=1,OR($AW72="",(COUNTIF($EL$11:$EP$11,$AW72)+COUNTIF($QV$11:$QY$11,$AW72))&gt;0)),$AV72,"")</f>
        <v/>
      </c>
      <c r="MB72" s="164">
        <f>IF(OR($AW72="",(COUNTIF($EL$12:$EP$12,$AW72)+COUNTIF($QV$12:$QY$12,$AW72))&gt;0),$AV72,"")</f>
        <v/>
      </c>
      <c r="MC72" s="164">
        <f>IF(AND($AX72=1,OR($AW72="",(COUNTIF($EL$12:$EP$12,$AW72)+COUNTIF($QV$12:$QY$12,$AW72))&gt;0)),$AV72,"")</f>
        <v/>
      </c>
      <c r="MH72" s="164">
        <f>IF(OR($AW72="",(COUNTIF($EL$13:$EP$13,$AW72)+COUNTIF($QV$13:$QY$13,$AW72))&gt;0),$AV72,"")</f>
        <v/>
      </c>
      <c r="MI72" s="164">
        <f>IF(AND($AX72=1,OR($AW72="",(COUNTIF($EL$13:$EP$13,$AW72)+COUNTIF($QV$13:$QY$13,$AW72))&gt;0)),$AV72,"")</f>
        <v/>
      </c>
      <c r="MN72" s="162" t="inlineStr">
        <is>
          <t>Ficha 6 · Especial 4</t>
        </is>
      </c>
      <c r="MO72" s="164" t="n">
        <v>6</v>
      </c>
      <c r="MP72" s="164" t="n">
        <v>1</v>
      </c>
      <c r="MQ72" s="164" t="n">
        <v>12</v>
      </c>
      <c r="MR72" s="162" t="inlineStr">
        <is>
          <t>ESPECIAL 4</t>
        </is>
      </c>
      <c r="MS72" s="164">
        <f>MAX(1,MIN(7,N('INVOCAÇÕES'!$U$1160)))</f>
        <v/>
      </c>
      <c r="MT72" s="164">
        <f>'INVOCAÇÕES'!$V$1160&amp;""</f>
        <v/>
      </c>
      <c r="MU72" s="164">
        <f>'INVOCAÇÕES'!$U$1165&amp;""</f>
        <v/>
      </c>
      <c r="MV72" s="164">
        <f>'INVOCAÇÕES'!$U$1166&amp;""</f>
        <v/>
      </c>
      <c r="MW72" s="164">
        <f>'INVOCAÇÕES'!$W$1166&amp;""</f>
        <v/>
      </c>
      <c r="MX72" s="164">
        <f>'INVOCAÇÕES'!$V$1169&amp;""</f>
        <v/>
      </c>
      <c r="MY72" s="164">
        <f>'INVOCAÇÕES'!$V$1170&amp;""</f>
        <v/>
      </c>
      <c r="MZ72" s="164">
        <f>'INVOCAÇÕES'!$V$1171&amp;""</f>
        <v/>
      </c>
      <c r="NA72" s="164">
        <f>'INVOCAÇÕES'!$V$1172&amp;""</f>
        <v/>
      </c>
      <c r="NB72" s="164">
        <f>'INVOCAÇÕES'!$V$1173&amp;""</f>
        <v/>
      </c>
      <c r="NC72" s="164">
        <f>'INVOCAÇÕES'!$V$1174&amp;""</f>
        <v/>
      </c>
      <c r="ND72" s="164">
        <f>IF($MT72&lt;&gt;"",1,0)</f>
        <v/>
      </c>
      <c r="NE72" s="164">
        <f>INDEX($FO$2:$FO$13,$MO72)</f>
        <v/>
      </c>
      <c r="NF72" s="164">
        <f>INDEX($FP$2:$FP$13,$MO72)</f>
        <v/>
      </c>
      <c r="NG72" s="164">
        <f>INDEX($FQ$2:$FQ$13,$MO72)</f>
        <v/>
      </c>
      <c r="NH72" s="164">
        <f>INDEX($GB$2:$GB$13,$MO72)</f>
        <v/>
      </c>
      <c r="NI72" s="164">
        <f>INDEX($GC$2:$GC$13,$MO72)</f>
        <v/>
      </c>
      <c r="NJ72" s="164">
        <f>IFERROR(MATCH(SUBSTITUTE(SUBSTITUTE(SUBSTITUTE($MU72,"~","~~"),"*","~*"),"?","~?"),'DADOS_FORMAS'!$FZ$2:$FZ$21,0),0)</f>
        <v/>
      </c>
      <c r="NK72" s="164">
        <f>IFERROR(VLOOKUP(SUBSTITUTE(SUBSTITUTE(SUBSTITUTE($MX72,"~","~~"),"*","~*"),"?","~?"),'DADOS_MELHORIAS'!$AG$2:$AL$113,2,FALSE),"")</f>
        <v/>
      </c>
      <c r="NL72" s="164">
        <f>IFERROR(VLOOKUP(SUBSTITUTE(SUBSTITUTE(SUBSTITUTE($MY72,"~","~~"),"*","~*"),"?","~?"),'DADOS_MELHORIAS'!$AG$2:$AL$113,2,FALSE),"")</f>
        <v/>
      </c>
      <c r="NM72" s="164">
        <f>IFERROR(VLOOKUP(SUBSTITUTE(SUBSTITUTE(SUBSTITUTE($MZ72,"~","~~"),"*","~*"),"?","~?"),'DADOS_MELHORIAS'!$AG$2:$AL$113,2,FALSE),"")</f>
        <v/>
      </c>
      <c r="NN72" s="164">
        <f>IFERROR(VLOOKUP(SUBSTITUTE(SUBSTITUTE(SUBSTITUTE($NA72,"~","~~"),"*","~*"),"?","~?"),'DADOS_MELHORIAS'!$AG$2:$AL$113,2,FALSE),"")</f>
        <v/>
      </c>
      <c r="NO72" s="164">
        <f>IFERROR(VLOOKUP(SUBSTITUTE(SUBSTITUTE(SUBSTITUTE($MX72,"~","~~"),"*","~*"),"?","~?"),'DADOS_MELHORIAS'!$AG$2:$AL$113,3,FALSE),0)</f>
        <v/>
      </c>
      <c r="NP72" s="164">
        <f>IFERROR(VLOOKUP(SUBSTITUTE(SUBSTITUTE(SUBSTITUTE($MY72,"~","~~"),"*","~*"),"?","~?"),'DADOS_MELHORIAS'!$AG$2:$AL$113,3,FALSE),0)</f>
        <v/>
      </c>
      <c r="NQ72" s="164">
        <f>IFERROR(VLOOKUP(SUBSTITUTE(SUBSTITUTE(SUBSTITUTE($MZ72,"~","~~"),"*","~*"),"?","~?"),'DADOS_MELHORIAS'!$AG$2:$AL$113,3,FALSE),0)</f>
        <v/>
      </c>
      <c r="NR72" s="164">
        <f>IFERROR(VLOOKUP(SUBSTITUTE(SUBSTITUTE(SUBSTITUTE($NA72,"~","~~"),"*","~*"),"?","~?"),'DADOS_MELHORIAS'!$AG$2:$AL$113,3,FALSE),0)</f>
        <v/>
      </c>
      <c r="NS72" s="164">
        <f>IF($MS72=0,0,IF($NJ72=0,0,INDEX('DADOS_FORMAS'!$GB$2:$GB$21,$NJ72)))</f>
        <v/>
      </c>
      <c r="NT72" s="164">
        <f>IF(OR($NO72=0,$MS72=0),0,$NO72+3*IF(AND($NK72&lt;&gt;"",COUNTIF(INDEX($RB$2:$RJ$13,$MO72,0),$NK72)&gt;0),1,0))</f>
        <v/>
      </c>
      <c r="NU72" s="164">
        <f>IF(OR($NP72=0,$MS72=0),0,$NP72+3*IF(AND($NL72&lt;&gt;"",COUNTIF(INDEX($RB$2:$RJ$13,$MO72,0),$NL72)&gt;0),1,0))</f>
        <v/>
      </c>
      <c r="NV72" s="164">
        <f>IF(OR($NQ72=0,$MS72=0),0,$NQ72+3*IF(AND($NM72&lt;&gt;"",COUNTIF(INDEX($RB$2:$RJ$13,$MO72,0),$NM72)&gt;0),1,0))</f>
        <v/>
      </c>
      <c r="NW72" s="164">
        <f>IF(OR($NR72=0,$MS72=0),0,$NR72+3*IF(AND($NN72&lt;&gt;"",COUNTIF(INDEX($RB$2:$RJ$13,$MO72,0),$NN72)&gt;0),1,0))</f>
        <v/>
      </c>
      <c r="NX72" s="164">
        <f>IF($NJ72=0,0,IF(INDEX('DADOS_FORMAS'!$GA$2:$GA$21,$NJ72)="",0,IF((COUNTIF(INDEX($EL$2:$EP$13,$MO72,0),INDEX('DADOS_FORMAS'!$GA$2:$GA$21,$NJ72))+COUNTIF(INDEX($QV$2:$QY$13,$MO72,0),INDEX('DADOS_FORMAS'!$GA$2:$GA$21,$NJ72)))=0,1,0)))</f>
        <v/>
      </c>
      <c r="NY72" s="164">
        <f>IF(OR($NO72=0,$NK72=""),0,IF((COUNTIF(INDEX($EL$2:$EP$13,$MO72,0),$NK72)+COUNTIF(INDEX($QV$2:$QY$13,$MO72,0),$NK72))=0,1,0))</f>
        <v/>
      </c>
      <c r="NZ72" s="164">
        <f>IF(OR($NP72=0,$NL72=""),0,IF((COUNTIF(INDEX($EL$2:$EP$13,$MO72,0),$NL72)+COUNTIF(INDEX($QV$2:$QY$13,$MO72,0),$NL72))=0,1,0))</f>
        <v/>
      </c>
      <c r="OA72" s="164">
        <f>IF(OR($NQ72=0,$NM72=""),0,IF((COUNTIF(INDEX($EL$2:$EP$13,$MO72,0),$NM72)+COUNTIF(INDEX($QV$2:$QY$13,$MO72,0),$NM72))=0,1,0))</f>
        <v/>
      </c>
      <c r="OB72" s="164">
        <f>IF(OR($NR72=0,$NN72=""),0,IF((COUNTIF(INDEX($EL$2:$EP$13,$MO72,0),$NN72)+COUNTIF(INDEX($QV$2:$QY$13,$MO72,0),$NN72))=0,1,0))</f>
        <v/>
      </c>
      <c r="OC72" s="164">
        <f>IFERROR(VLOOKUP(SUBSTITUTE(SUBSTITUTE(SUBSTITUTE($MX72,"~","~~"),"*","~*"),"?","~?"),'DADOS_MELHORIAS'!$AG$2:$AL$113,4,FALSE),0)+IFERROR(VLOOKUP(SUBSTITUTE(SUBSTITUTE(SUBSTITUTE($MY72,"~","~~"),"*","~*"),"?","~?"),'DADOS_MELHORIAS'!$AG$2:$AL$113,4,FALSE),0)+IFERROR(VLOOKUP(SUBSTITUTE(SUBSTITUTE(SUBSTITUTE($MZ72,"~","~~"),"*","~*"),"?","~?"),'DADOS_MELHORIAS'!$AG$2:$AL$113,4,FALSE),0)+IFERROR(VLOOKUP(SUBSTITUTE(SUBSTITUTE(SUBSTITUTE($NA72,"~","~~"),"*","~*"),"?","~?"),'DADOS_MELHORIAS'!$AG$2:$AL$113,4,FALSE),0)</f>
        <v/>
      </c>
      <c r="OD72" s="164">
        <f>IFERROR(VLOOKUP(SUBSTITUTE(SUBSTITUTE(SUBSTITUTE($MX72,"~","~~"),"*","~*"),"?","~?"),'DADOS_MELHORIAS'!$AG$2:$AL$113,6,FALSE),0)+IFERROR(VLOOKUP(SUBSTITUTE(SUBSTITUTE(SUBSTITUTE($MY72,"~","~~"),"*","~*"),"?","~?"),'DADOS_MELHORIAS'!$AG$2:$AL$113,6,FALSE),0)+IFERROR(VLOOKUP(SUBSTITUTE(SUBSTITUTE(SUBSTITUTE($MZ72,"~","~~"),"*","~*"),"?","~?"),'DADOS_MELHORIAS'!$AG$2:$AL$113,6,FALSE),0)+IFERROR(VLOOKUP(SUBSTITUTE(SUBSTITUTE(SUBSTITUTE($NA72,"~","~~"),"*","~*"),"?","~?"),'DADOS_MELHORIAS'!$AG$2:$AL$113,6,FALSE),0)+IFERROR(N(AND(INDEX('DADOS_FORMAS'!$AO$2:$AO$21,MATCH(SUBSTITUTE(SUBSTITUTE(SUBSTITUTE($MU72,"~","~~"),"*","~*"),"?","~?"),'DADOS_FORMAS'!$AH$2:$AH$21,0))="Acerto",$OH72=1)),0)</f>
        <v/>
      </c>
      <c r="OE72" s="164">
        <f>TEXTJOIN(", ",TRUE,IF(IFERROR(VLOOKUP(SUBSTITUTE(SUBSTITUTE(SUBSTITUTE($MX72,"~","~~"),"*","~*"),"?","~?"),'DADOS_MELHORIAS'!$AG$2:$AL$113,5,FALSE),0)=1,$MX72,""),IF(IFERROR(VLOOKUP(SUBSTITUTE(SUBSTITUTE(SUBSTITUTE($MY72,"~","~~"),"*","~*"),"?","~?"),'DADOS_MELHORIAS'!$AG$2:$AL$113,5,FALSE),0)=1,$MY72,""),IF(IFERROR(VLOOKUP(SUBSTITUTE(SUBSTITUTE(SUBSTITUTE($MZ72,"~","~~"),"*","~*"),"?","~?"),'DADOS_MELHORIAS'!$AG$2:$AL$113,5,FALSE),0)=1,$MZ72,""),IF(IFERROR(VLOOKUP(SUBSTITUTE(SUBSTITUTE(SUBSTITUTE($NA72,"~","~~"),"*","~*"),"?","~?"),'DADOS_MELHORIAS'!$AG$2:$AL$113,5,FALSE),0)=1,$NA72,""))</f>
        <v/>
      </c>
      <c r="OF72" s="164">
        <f>IF($NJ72=0,0,INDEX('DADOS_FORMAS'!$GC$2:$GC$21,$NJ72))</f>
        <v/>
      </c>
      <c r="OG72" s="164">
        <f>IF($NJ72=0,0,INDEX('DADOS_FORMAS'!$GD$2:$GD$21,$NJ72))</f>
        <v/>
      </c>
      <c r="OH72" s="164">
        <f>IF($NJ72=0,0,INDEX('DADOS_FORMAS'!$GF$2:$GF$21,$NJ72))</f>
        <v/>
      </c>
      <c r="OI72" s="164">
        <f>IFERROR(VLOOKUP(SUBSTITUTE(SUBSTITUTE(SUBSTITUTE($NB72,"~","~~"),"*","~*"),"?","~?"),'DADOS_RESTRICOES'!$M$2:$Q$54,3,FALSE),0)</f>
        <v/>
      </c>
      <c r="OJ72" s="164">
        <f>IFERROR(VLOOKUP(SUBSTITUTE(SUBSTITUTE(SUBSTITUTE($NC72,"~","~~"),"*","~*"),"?","~?"),'DADOS_RESTRICOES'!$M$2:$Q$54,3,FALSE),0)</f>
        <v/>
      </c>
      <c r="OK72" s="164">
        <f>IFERROR(VLOOKUP(SUBSTITUTE(SUBSTITUTE(SUBSTITUTE($NB72,"~","~~"),"*","~*"),"?","~?"),'DADOS_RESTRICOES'!$M$2:$Q$54,2,FALSE),"")</f>
        <v/>
      </c>
      <c r="OL72" s="164">
        <f>IFERROR(VLOOKUP(SUBSTITUTE(SUBSTITUTE(SUBSTITUTE($NC72,"~","~~"),"*","~*"),"?","~?"),'DADOS_RESTRICOES'!$M$2:$Q$54,2,FALSE),"")</f>
        <v/>
      </c>
      <c r="OM72" s="164">
        <f>COUNTIF($NS72:$NW72,1)</f>
        <v/>
      </c>
      <c r="ON72" s="164">
        <f>COUNTIF($NS72:$NW72,2)</f>
        <v/>
      </c>
      <c r="OO72" s="164">
        <f>COUNTIF($NS72:$NW72,3)</f>
        <v/>
      </c>
      <c r="OP72" s="164">
        <f>COUNTIF($NS72:$NW72,4)</f>
        <v/>
      </c>
      <c r="OQ72" s="164">
        <f>COUNTIF($NS72:$NW72,5)</f>
        <v/>
      </c>
      <c r="OR72" s="164">
        <f>COUNTIF($NS72:$NW72,6)</f>
        <v/>
      </c>
      <c r="OS72" s="164">
        <f>COUNTIF($OI72:$OJ72,1)+IF(IFERROR(INDEX('DADOS_FORMAS'!$AS$2:$AS$21,MATCH(SUBSTITUTE(SUBSTITUTE(SUBSTITUTE($MU72,"~","~~"),"*","~*"),"?","~?"),'DADOS_FORMAS'!$AH$2:$AH$21,0)),"")="",0,IFERROR(N(VLOOKUP(SUBSTITUTE(SUBSTITUTE(SUBSTITUTE(IFERROR(INDEX('DADOS_FORMAS'!$AS$2:$AS$21,MATCH(SUBSTITUTE(SUBSTITUTE(SUBSTITUTE($MU72,"~","~~"),"*","~*"),"?","~?"),'DADOS_FORMAS'!$AH$2:$AH$21,0)),""),"~","~~"),"*","~*"),"?","~?"),'DADOS_RESTRICOES'!$M$2:$Q$54,3,FALSE)=1),0))</f>
        <v/>
      </c>
      <c r="OT72" s="164">
        <f>COUNTIF($OI72:$OJ72,2)+IF(IFERROR(INDEX('DADOS_FORMAS'!$AS$2:$AS$21,MATCH(SUBSTITUTE(SUBSTITUTE(SUBSTITUTE($MU72,"~","~~"),"*","~*"),"?","~?"),'DADOS_FORMAS'!$AH$2:$AH$21,0)),"")="",0,IFERROR(N(VLOOKUP(SUBSTITUTE(SUBSTITUTE(SUBSTITUTE(IFERROR(INDEX('DADOS_FORMAS'!$AS$2:$AS$21,MATCH(SUBSTITUTE(SUBSTITUTE(SUBSTITUTE($MU72,"~","~~"),"*","~*"),"?","~?"),'DADOS_FORMAS'!$AH$2:$AH$21,0)),""),"~","~~"),"*","~*"),"?","~?"),'DADOS_RESTRICOES'!$M$2:$Q$54,3,FALSE)=2),0))</f>
        <v/>
      </c>
      <c r="OU72" s="164">
        <f>COUNTIF($MX72:$NA72,"?*")</f>
        <v/>
      </c>
      <c r="OV72" s="164">
        <f>COUNTIF($NB72:$NC72,"?*")+$OF72</f>
        <v/>
      </c>
      <c r="OW72" s="164">
        <f>IF($MS72=0,0,SUMPRODUCT($OM72:$OR72,INDEX($I$2:$N$8,MAX(1,$MS72),0)))</f>
        <v/>
      </c>
      <c r="OX72" s="164">
        <f>IF($MS72=0,0,$OS72*CEILING($MS72/2,1)+$OT72*$MS72)</f>
        <v/>
      </c>
      <c r="OY72" s="164">
        <f>MIN(2*$MS72,$OX72)</f>
        <v/>
      </c>
      <c r="OZ72" s="164">
        <f>MIN($OY72,$OW72-IF($NS72=0,0,INDEX($I$2:$N$8,MAX(1,$MS72),$NS72)))</f>
        <v/>
      </c>
      <c r="PA72" s="164">
        <f>$OY72-$OZ72</f>
        <v/>
      </c>
      <c r="PB72" s="164">
        <f>IF($MS72=0,0,INDEX($P$2:$P$8,MAX(1,$MS72)))</f>
        <v/>
      </c>
      <c r="PC72" s="164">
        <f>$PB72-$OW72+$OZ72</f>
        <v/>
      </c>
      <c r="PD72" s="164">
        <f>IF($MS72=0,MAX(0,$NG72-IF(AND($OU72&gt;0,COUNTIF($NB72:$NC72,"?*")=0),1,0)),MAX(0,$PC72))</f>
        <v/>
      </c>
      <c r="PE72" s="164">
        <f>IF($MS72=0,0,(IF(COUNTIF($RK72:$RN72,"Salto")&gt;0,1,0)+IF(COUNTIF($RK72:$RN72,"Queima")&gt;0,1,0)+IF(COUNTIF($RK72:$RN72,"Estilhaço")&gt;0,1,0))*FLOOR($PD72/2,1))</f>
        <v/>
      </c>
      <c r="PF72" s="164">
        <f>MAX(0,2-SUMPRODUCT($OM72:$OR72,$I$2:$N$2)+MIN(2,$OS72*1+$OT72*1,SUMPRODUCT($OM72:$OR72,$I$2:$N$2)-IF($NS72=0,0,INDEX($I$2:$N$2,1,$NS72))))</f>
        <v/>
      </c>
      <c r="PG72" s="164">
        <f>MAX(0,4-SUMPRODUCT($OM72:$OR72,$I$3:$N$3)+MIN(4,$OS72*1+$OT72*2,SUMPRODUCT($OM72:$OR72,$I$3:$N$3)-IF($NS72=0,0,INDEX($I$3:$N$3,1,$NS72))))</f>
        <v/>
      </c>
      <c r="PH72" s="164">
        <f>MAX(0,6-SUMPRODUCT($OM72:$OR72,$I$4:$N$4)+MIN(6,$OS72*2+$OT72*3,SUMPRODUCT($OM72:$OR72,$I$4:$N$4)-IF($NS72=0,0,INDEX($I$4:$N$4,1,$NS72))))</f>
        <v/>
      </c>
      <c r="PI72" s="164">
        <f>MAX(0,9-SUMPRODUCT($OM72:$OR72,$I$5:$N$5)+MIN(8,$OS72*2+$OT72*4,SUMPRODUCT($OM72:$OR72,$I$5:$N$5)-IF($NS72=0,0,INDEX($I$5:$N$5,1,$NS72))))</f>
        <v/>
      </c>
      <c r="PJ72" s="164">
        <f>MAX(0,11-SUMPRODUCT($OM72:$OR72,$I$6:$N$6)+MIN(10,$OS72*3+$OT72*5,SUMPRODUCT($OM72:$OR72,$I$6:$N$6)-IF($NS72=0,0,INDEX($I$6:$N$6,1,$NS72))))</f>
        <v/>
      </c>
      <c r="PK72" s="164">
        <f>MAX(0,13-SUMPRODUCT($OM72:$OR72,$I$7:$N$7)+MIN(12,$OS72*3+$OT72*6,SUMPRODUCT($OM72:$OR72,$I$7:$N$7)-IF($NS72=0,0,INDEX($I$7:$N$7,1,$NS72))))</f>
        <v/>
      </c>
      <c r="PL72" s="164">
        <f>MAX(0,16-SUMPRODUCT($OM72:$OR72,$I$8:$N$8)+MIN(14,$OS72*4+$OT72*7,SUMPRODUCT($OM72:$OR72,$I$8:$N$8)-IF($NS72=0,0,INDEX($I$8:$N$8,1,$NS72))))</f>
        <v/>
      </c>
      <c r="PM72" s="164">
        <f>IF($OG72=2,3*$PF72&amp;" de vida temp.",IF($OG72=3,"sem dano",IF($PF72=0,IF($OG72=1,"sem cura","sem dano"),IF($OG72=1,"cura ","")&amp;$PF72&amp;"d8")))</f>
        <v/>
      </c>
      <c r="PN72" s="164">
        <f>IF($OG72=2,3*$PG72&amp;" de vida temp.",IF($OG72=3,"sem dano",IF($PG72=0,IF($OG72=1,"sem cura","sem dano"),IF($OG72=1,"cura ","")&amp;$PG72&amp;"d8")))</f>
        <v/>
      </c>
      <c r="PO72" s="164">
        <f>IF($OG72=2,3*$PH72&amp;" de vida temp.",IF($OG72=3,"sem dano",IF($PH72=0,IF($OG72=1,"sem cura","sem dano"),IF($OG72=1,"cura ","")&amp;$PH72&amp;"d8")))</f>
        <v/>
      </c>
      <c r="PP72" s="164">
        <f>IF($OG72=2,3*$PI72&amp;" de vida temp.",IF($OG72=3,"sem dano",IF($PI72=0,IF($OG72=1,"sem cura","sem dano"),IF($OG72=1,"cura ","")&amp;$PI72&amp;"d8")))</f>
        <v/>
      </c>
      <c r="PQ72" s="164">
        <f>IF($OG72=2,3*$PJ72&amp;" de vida temp.",IF($OG72=3,"sem dano",IF($PJ72=0,IF($OG72=1,"sem cura","sem dano"),IF($OG72=1,"cura ","")&amp;$PJ72&amp;"d8")))</f>
        <v/>
      </c>
      <c r="PR72" s="164">
        <f>IF($OG72=2,3*$PK72&amp;" de vida temp.",IF($OG72=3,"sem dano",IF($PK72=0,IF($OG72=1,"sem cura","sem dano"),IF($OG72=1,"cura ","")&amp;$PK72&amp;"d8")))</f>
        <v/>
      </c>
      <c r="PS72" s="164">
        <f>IF($OG72=2,3*$PL72&amp;" de vida temp.",IF($OG72=3,"sem dano",IF($PL72=0,IF($OG72=1,"sem cura","sem dano"),IF($OG72=1,"cura ","")&amp;$PL72&amp;"d8")))</f>
        <v/>
      </c>
      <c r="PT72" s="164">
        <f>IF($ND72=0,"",TEXTJOIN(" · ",TRUE,IF($ND72=0,"",TEXTJOIN(" · ",TRUE,IF($ND72=0,"",TEXTJOIN(" · ",TRUE,IF($MQ72&gt;$NE72,"Este lugar abre no nível "&amp;$MQ72,""),IF($MS72&gt;$NF72,"Classe "&amp;$MS72&amp;": o nível "&amp;$NE72&amp;" libera até a "&amp;$NF72,""),IF($NX72=1,"A Forma "&amp;$MU72&amp;" pede "&amp;INDEX('DADOS_FORMAS'!$GA$2:$GA$21,$NJ72)&amp;" aberta",""),IF(AND($MS72=0,$NJ72&gt;0,IF($NJ72=0,0,INDEX('DADOS_FORMAS'!$GJ$2:$GJ$21,$NJ72))=0),$MU72&amp;" não existe na Classe 0",""),IF($NY72=1,"Família Fechada: "&amp;$MX72,""),IF($NZ72=1,"Família Fechada: "&amp;$MY72,""),IF($OA72=1,"Família Fechada: "&amp;$MZ72,""),IF($OB72=1,"Família Fechada: "&amp;$NA72,""),IF(AND($MS72&gt;0,$OU72&gt;INDEX($O$2:$O$8,MAX(1,$MS72))),$OU72&amp;" Melhorias: a Classe "&amp;$MS72&amp;" aceita "&amp;INDEX($O$2:$O$8,MAX(1,$MS72)),""),IF(AND($MS72=0,$OU72&gt;1),"A básica aceita uma Melhoria",""),IF(AND($MS72=0,COUNTIF($NO72:$NR72,"&gt;1")&gt;0),"A básica só aceita Melhoria Leve",""),IF(AND($MS72&gt;0,$OV72&gt;2),$OV72&amp;" Restrições"&amp;IF($OF72=1,", contando a que a Forma "&amp;$MU72&amp;" já traz","")&amp;": o limite é 2",""),IF(AND($MS72=0,COUNTIF($NB72:$NC72,"?*")&gt;1),"A básica aceita uma Restrição Leve",""),IF(AND($MS72=0,COUNTIF($OI72:$OJ72,2)&gt;0),"A básica só aceita Restrição Leve",""),IF(AND($MS72&gt;0,$PC72&lt;0),"Orçamento estourado: faltam "&amp;(-$PC72)&amp;IF($PC72&lt;-1," pontos"," ponto"),""),IF(IFERROR(VLOOKUP(SUBSTITUTE(SUBSTITUTE(SUBSTITUTE($NB72,"~","~~"),"*","~*"),"?","~?"),'DADOS_RESTRICOES'!$M$2:$Q$54,4,FALSE),0)+IFERROR(VLOOKUP(SUBSTITUTE(SUBSTITUTE(SUBSTITUTE($NC72,"~","~~"),"*","~*"),"?","~?"),'DADOS_RESTRICOES'!$M$2:$Q$54,4,FALSE),0)&gt;1,$OK72&amp;" e "&amp;$OL72&amp;" são as duas de frequência",""),IF(AND((COUNTIF($RK72:$RN72,"Rápido")+COUNTIF($OK72:$OL72,"Rápido"))&gt;0,(COUNTIF($MX72:$NA72,"Atrasar")+COUNTIF($OK72:$OL72,"Atrasar"))&gt;0),"Rápido não entra com Atrasar",""),IF(AND((COUNTIF($RK72:$RN72,"Reação")+COUNTIF($OK72:$OL72,"Reação"))&gt;0,(COUNTIF($RK72:$RN72,"Rápido")+COUNTIF($OK72:$OL72,"Rápido"))&gt;0),"Reação não entra com Rápido",""),IF(AND((COUNTIF($RK72:$RN72,"Reação")+COUNTIF($OK72:$OL72,"Reação"))&gt;0,(COUNTIF($RK72:$RN72,"Armado")+COUNTIF($OK72:$OL72,"Armado"))&gt;0),"Reação não entra com Armado",""),IF(AND((COUNTIF($RK72:$RN72,"Reação")+COUNTIF($OK72:$OL72,"Reação"))&gt;0,(COUNTIF($MX72:$NA72,"Atrasar")+COUNTIF($OK72:$OL72,"Atrasar"))&gt;0),"Reação não entra com Atrasar",""),IF(AND((COUNTIF($RK72:$RN72,"Reação")+COUNTIF($OK72:$OL72,"Reação"))&gt;0,(COUNTIF($MX72:$NA72,"Parado")+COUNTIF($OK72:$OL72,"Parado"))&gt;0),"Reação não entra com Parado",""),IF(AND((COUNTIF($MX72:$NA72,"Atrasar")+COUNTIF($OK72:$OL72,"Atrasar"))&gt;0,(COUNTIF($MX72:$NA72,"Parado")+COUNTIF($OK72:$OL72,"Parado"))&gt;0),"Atrasar não entra com Parado",""),IF(AND((COUNTIF($RK72:$RN72,"Armado")+COUNTIF($OK72:$OL72,"Armado"))&gt;0,(COUNTIF($MX72:$NA72,"Carregar")+COUNTIF($OK72:$OL72,"Carregar"))&gt;0),"Armado não entra com Carregar",""),IF(AND(COUNTIF($OK72:$OL72,"Corpo a Corpo")&gt;0,$OF72=0,OR($RO72="Cone",$RO72="Linha")),"Corpo a Corpo não entra em "&amp;$MU72,""),IF(AND(COUNTIF($OK72:$OL72,"Corpo a Corpo")&gt;0,$RP72="Corpo a Corpo"),"A Forma "&amp;$MU72&amp;" já traz o Corpo a Corpo",""),IF(AND(COUNTIF($OK72:$OL72,"Tudo ou Nada")&gt;0,$OH72=0),"Tudo ou Nada só entra em habilidade de Teste de Resistência",""),IF(AND(COUNTIF($RK72:$RN72,"Inescapável")&gt;0,OR($OU72&gt;1,$OV72&gt;0)),"Inescapável não aceita outra peça",""),IF(AND($MS72&gt;0,$PD72*IF(COUNTIF($RK72:$RN72,"Remate")&gt;0,1.25,1)+$PE72&gt;4*$MS72),($PD72*IF(COUNTIF($RK72:$RN72,"Remate")&gt;0,1.25,1)+$PE72)&amp;" dados somando repetições"&amp;IF(COUNTIF($RK72:$RN72,"Remate")&gt;0," e o Remate","")&amp;": o teto da Classe "&amp;$MS72&amp;" é "&amp;4*$MS72,""))),IF(AND($MX72&lt;&gt;"",COUNTIF('DADOS_MELHORIAS'!$O$2:$O$113,SUBSTITUTE(SUBSTITUTE(SUBSTITUTE($MX72,"~","~~"),"*","~*"),"?","~?"))=0),"Melhoria não cadastrada ou com erro: "&amp;$MX72,""),IF(AND($MY72&lt;&gt;"",COUNTIF('DADOS_MELHORIAS'!$O$2:$O$113,SUBSTITUTE(SUBSTITUTE(SUBSTITUTE($MY72,"~","~~"),"*","~*"),"?","~?"))=0),"Melhoria não cadastrada ou com erro: "&amp;$MY72,""),IF(AND($MZ72&lt;&gt;"",COUNTIF('DADOS_MELHORIAS'!$O$2:$O$113,SUBSTITUTE(SUBSTITUTE(SUBSTITUTE($MZ72,"~","~~"),"*","~*"),"?","~?"))=0),"Melhoria não cadastrada ou com erro: "&amp;$MZ72,""),IF(AND($NA72&lt;&gt;"",COUNTIF('DADOS_MELHORIAS'!$O$2:$O$113,SUBSTITUTE(SUBSTITUTE(SUBSTITUTE($NA72,"~","~~"),"*","~*"),"?","~?"))=0),"Melhoria não cadastrada ou com erro: "&amp;$NA72,""),IF(AND($NB72&lt;&gt;"",COUNTIF('DADOS_RESTRICOES'!$M$2:$M$54,SUBSTITUTE(SUBSTITUTE(SUBSTITUTE($NB72,"~","~~"),"*","~*"),"?","~?"))=0),"Restrição não cadastrada ou com erro: "&amp;$NB72,""),IF(AND($NC72&lt;&gt;"",COUNTIF('DADOS_RESTRICOES'!$M$2:$M$54,SUBSTITUTE(SUBSTITUTE(SUBSTITUTE($NC72,"~","~~"),"*","~*"),"?","~?"))=0),"Restrição não cadastrada ou com erro: "&amp;$NC72,""))),IF(AND($MU72&lt;&gt;"",COUNTIF('DADOS_FORMAS'!$AH$2:$AH$21,SUBSTITUTE(SUBSTITUTE(SUBSTITUTE($MU72,"~","~~"),"*","~*"),"?","~?"))=0),"Forma não cadastrada ou com erro: "&amp;$MU72,""),IF(AND(IFERROR(INDEX('DADOS_FORMAS'!$AS$2:$AS$21,MATCH(SUBSTITUTE(SUBSTITUTE(SUBSTITUTE($MU72,"~","~~"),"*","~*"),"?","~?"),'DADOS_FORMAS'!$AH$2:$AH$21,0)),"")&lt;&gt;"",OR(IFERROR(VLOOKUP(SUBSTITUTE(SUBSTITUTE(SUBSTITUTE(IFERROR(INDEX('DADOS_FORMAS'!$AS$2:$AS$21,MATCH(SUBSTITUTE(SUBSTITUTE(SUBSTITUTE($MU72,"~","~~"),"*","~*"),"?","~?"),'DADOS_FORMAS'!$AH$2:$AH$21,0)),""),"~","~~"),"*","~*"),"?","~?"),'DADOS_RESTRICOES'!$M$2:$Q$54,2,FALSE),"")=$OK72,IFERROR(VLOOKUP(SUBSTITUTE(SUBSTITUTE(SUBSTITUTE(IFERROR(INDEX('DADOS_FORMAS'!$AS$2:$AS$21,MATCH(SUBSTITUTE(SUBSTITUTE(SUBSTITUTE($MU72,"~","~~"),"*","~*"),"?","~?"),'DADOS_FORMAS'!$AH$2:$AH$21,0)),""),"~","~~"),"*","~*"),"?","~?"),'DADOS_RESTRICOES'!$M$2:$Q$54,2,FALSE),"")=$OL72)),"Restrição repetida, contando a embutida",""),IF(IF(IFERROR(INDEX('DADOS_FORMAS'!$AS$2:$AS$21,MATCH(SUBSTITUTE(SUBSTITUTE(SUBSTITUTE($MU72,"~","~~"),"*","~*"),"?","~?"),'DADOS_FORMAS'!$AH$2:$AH$21,0)),"")="",0,IFERROR(N(VLOOKUP(SUBSTITUTE(SUBSTITUTE(SUBSTITUTE(IFERROR(INDEX('DADOS_FORMAS'!$AS$2:$AS$21,MATCH(SUBSTITUTE(SUBSTITUTE(SUBSTITUTE($MU72,"~","~~"),"*","~*"),"?","~?"),'DADOS_FORMAS'!$AH$2:$AH$21,0)),""),"~","~~"),"*","~*"),"?","~?"),'DADOS_RESTRICOES'!$M$2:$Q$54,4,FALSE)=1),0))+IF($NB72="",0,IFERROR(N(VLOOKUP(SUBSTITUTE(SUBSTITUTE(SUBSTITUTE($NB72,"~","~~"),"*","~*"),"?","~?"),'DADOS_RESTRICOES'!$M$2:$Q$54,4,FALSE)=1),0))+IF($NC72="",0,IFERROR(N(VLOOKUP(SUBSTITUTE(SUBSTITUTE(SUBSTITUTE($NC72,"~","~~"),"*","~*"),"?","~?"),'DADOS_RESTRICOES'!$M$2:$Q$54,4,FALSE)=1),0))&gt;1,"Duas Restrições de frequência, contando a embutida",""),IF(AND(IFERROR(VLOOKUP(SUBSTITUTE(SUBSTITUTE(SUBSTITUTE(IFERROR(INDEX('DADOS_FORMAS'!$AS$2:$AS$21,MATCH(SUBSTITUTE(SUBSTITUTE(SUBSTITUTE($MU72,"~","~~"),"*","~*"),"?","~?"),'DADOS_FORMAS'!$AH$2:$AH$21,0)),""),"~","~~"),"*","~*"),"?","~?"),'DADOS_RESTRICOES'!$M$2:$Q$54,2,FALSE),"")="Tudo ou Nada",$OH72=0),"Tudo ou Nada exige TR",""),IF(AND(IFERROR(VLOOKUP(SUBSTITUTE(SUBSTITUTE(SUBSTITUTE(IFERROR(INDEX('DADOS_FORMAS'!$AS$2:$AS$21,MATCH(SUBSTITUTE(SUBSTITUTE(SUBSTITUTE($MU72,"~","~~"),"*","~*"),"?","~?"),'DADOS_FORMAS'!$AH$2:$AH$21,0)),""),"~","~~"),"*","~*"),"?","~?"),'DADOS_RESTRICOES'!$M$2:$Q$54,2,FALSE),"")="Corpo a Corpo",OR($RO72="Cone",$RO72="Linha")),"Corpo a Corpo não entra em Cone/Linha","")))</f>
        <v/>
      </c>
      <c r="PU72" s="164">
        <f>IF($PT72="",0,(LEN($PT72)-LEN(SUBSTITUTE($PT72," · ","")))/3+1)</f>
        <v/>
      </c>
      <c r="PV72" s="164">
        <f>IF($ND72=0,"",TEXTJOIN(" · ",TRUE,IF($OX72&gt;2*$MS72,"A devolução parou no teto de "&amp;2*$MS72,""),IF($PA72&gt;0,"Devolução perdida: "&amp;$PA72&amp;IF($PA72&gt;1," pontos"," ponto")&amp;" sem Melhoria para pagar",""),IF(AND($OC72&gt;0,AND($MS72&gt;0,$OG72=0),$PD72=0),"Controle sem dano: uma rodada a mais e CD +2",""),IF(AND($OC72&gt;0,AND($MS72&gt;0,$OG72=0),$PD72&gt;0,$PD72&lt;=$MS72),"Controle com saldo até a Classe: uma rodada a mais",""),IF(AND($MS72&gt;0,$OE72&lt;&gt;""),"Efeito de "&amp;$OE72&amp;" pela Classe "&amp;MAX(1,$MS72-1),"")))</f>
        <v/>
      </c>
      <c r="PW72" s="164">
        <f>IF($PV72="",0,(LEN($PV72)-LEN(SUBSTITUTE($PV72," · ","")))/3+1)</f>
        <v/>
      </c>
      <c r="PX72" s="164">
        <f>IF($ND72=0,IF($OU72+COUNTIF($NB72:$NC72,"?*")&gt;0,"Dê um nome",""),IF($PU72&gt;0,"⚠ "&amp;$PU72&amp;IF($PU72&gt;1," erros"," erro"),IF($PW72&gt;0,"! "&amp;$PW72&amp;IF($PW72&gt;1," avisos"," aviso"),"Na regra")))</f>
        <v/>
      </c>
      <c r="PY72" s="164">
        <f>IF($ND72=0,"",IF($PU72+$PW72=0,"Dentro das regras que a ficha confere",$PT72&amp;IF(AND($PU72&gt;0,$PW72&gt;0)," · ","")&amp;$PV72))</f>
        <v/>
      </c>
      <c r="PZ72" s="164">
        <f>IF($MQ72&gt;$NE72,$MR72&amp;" · ABRE NO NÍVEL "&amp;$MQ72,$MR72)</f>
        <v/>
      </c>
      <c r="QA72" s="164">
        <f>IF($ND72=0,"",IF($MS72=0,"Sem PE",3*$MS72&amp;" PE"))</f>
        <v/>
      </c>
      <c r="QB72" s="164">
        <f>IF($ND72=0,"",IF($MS72=0,"A atuação básica dela",IF(COUNTIF($RQ72:$RS72,"Atrasar")&gt;0,"Sua Ação Completa",IF(COUNTIF($RK72:$RN72,"Rápido")&gt;0,"Sua Bônus",IF(COUNTIF($RK72:$RN72,"Reação")&gt;0,"Sua Reação","Sua Padrão")))&amp;" + a básica dela"&amp;IF(COUNTIF($RK72:$RN72,"Reação")&gt;0," e a coletiva","")&amp;IF(COUNTIF($RQ72:$RS72,"Carregar")&gt;0," · em dois turnos","")))</f>
        <v/>
      </c>
      <c r="QC72" s="164">
        <f>IF($MW72&lt;&gt;"",$MW72,IF($NJ72=0,"",INDEX('DADOS_FORMAS'!$GE$2:$GE$21,$NJ72)))</f>
        <v/>
      </c>
      <c r="QD72" s="164">
        <f>IF(OR($ND72=0,$NJ72=0),"",IF(COUNTIF($RK72:$RN72,"Inescapável")&gt;0,"Automático",IF($QC72="Ataque",IF($NH72="","Ataque","Ataque "&amp;IF(($NH72+2*IF(COUNTIF($RK72:$RN72,"Precisão")&gt;0,1,0))&gt;=0,"+","−")&amp;ABS(($NH72+2*IF(COUNTIF($RK72:$RN72,"Precisão")&gt;0,1,0))))&amp;IF($OD72&gt;0," · TR"&amp;IF($NI72="",""," CD "&amp;$NI72),""),IF(LEFT($QC72,2)="TR",$QC72&amp;IF($NI72="",""," · CD "&amp;$NI72)&amp;IF(COUNTIF($RK72:$RN72,"Certeiro")&gt;0," · metade",""),"Sem rolagem"))))</f>
        <v/>
      </c>
      <c r="QE72" s="164">
        <f>IF(OR($ND72=0,$NJ72=0),"",IF($MS72=0,IF(OR($OG72&gt;=1,$PD72=0),"Sem dano",$PD72&amp;"d6"&amp;IF($MV72="",""," "&amp;$MV72)),IF(OR($OG72&gt;=1,$PD72=0),UPPER(LEFT(INDEX($PM72:$PS72,1,MAX(1,$MS72)),1))&amp;MID(INDEX($PM72:$PS72,1,MAX(1,$MS72)),2,99),UPPER(LEFT(INDEX($PM72:$PS72,1,MAX(1,$MS72)),1))&amp;MID(INDEX($PM72:$PS72,1,MAX(1,$MS72)),2,99)&amp;IF($MV72="",""," "&amp;$MV72)&amp;IF($PE72&gt;0," · +"&amp;$PE72&amp;"d8",""))))</f>
        <v/>
      </c>
      <c r="QF72" s="164">
        <f>COUNTIF($RK72:$RN72,"Longe")+3*COUNTIF($RK72:$RN72,"Muito Longe")</f>
        <v/>
      </c>
      <c r="QG72" s="164">
        <f>COUNTIF($RK72:$RN72,"Maior")+3*COUNTIF($RK72:$RN72,"Muito Maior")</f>
        <v/>
      </c>
      <c r="QH72" s="164">
        <f>IF($NJ72=0,0,CHOOSE(1+INDEX('DADOS_FORMAS'!$GG$2:$GG$21,$NJ72),0,$QF72,$QG72,$QF72+$QG72))</f>
        <v/>
      </c>
      <c r="QI72" s="164">
        <f>IF($NJ72=0,0,CHOOSE(1+INDEX('DADOS_FORMAS'!$GH$2:$GH$21,$NJ72),0,$QF72,$QG72,$QF72+$QG72))</f>
        <v/>
      </c>
      <c r="QJ72" s="164">
        <f>IF(OR($ND72=0,$NJ72=0),"",INDEX('DADOS_FORMAS'!$HU$2:$HZ$81,($NJ72-1)*4+IF($MS72=0,1,IF($MS72&lt;=5,2,IF($MS72=6,3,4))),1+MIN(5,$QH72))&amp;INDEX('DADOS_FORMAS'!$IA$2:$IF$81,($NJ72-1)*4+IF($MS72=0,1,IF($MS72&lt;=5,2,IF($MS72=6,3,4))),1+MIN(5,$QI72))&amp;IF(INDEX('DADOS_FORMAS'!$GI$2:$GI$21,$NJ72)=1,IF(COUNTIF($RK72:$RN72,"Mais Um")&gt;0," · +"&amp;COUNTIF($RK72:$RN72,"Mais Um")&amp;IF(COUNTIF($RK72:$RN72,"Mais Um")&gt;1," alvos"," alvo"),"")&amp;IF(COUNTIF($RK72:$RN72,"Rajada")&gt;0,IF($MS72=0," · 1 tiro"," · "&amp;(MAX(1,$MS72-1)+1)&amp;" tiros"),""),""))</f>
        <v/>
      </c>
      <c r="QK72" s="164">
        <f>IF($ND72=0,"",IF($MS72=0,$NG72&amp;"d6"&amp;IF($OU72&gt;0," − 1 = "&amp;$PD72&amp;"d6"," da básica do nível "&amp;$NE72),$PB72&amp;" − "&amp;$OW72&amp;" + "&amp;$OZ72&amp;" = "&amp;$PC72&amp;" · teto "&amp;4*$MS72&amp;"d8"&amp;IF($OF72=1," · a Forma devolve "&amp;$MS72,"")&amp;IF($PA72&gt;0," · perde "&amp;$PA72,"")))</f>
        <v/>
      </c>
      <c r="QL72" s="164">
        <f>IF($ND72=0,"",IF($MS72=0,"A básica não amplia: os dados dela sobem com o nível",IF($MS72&gt;=$NF72,"Já está na maior Classe que o nível liberou",TEXTJOIN(" · ",TRUE,IF(AND(2&gt;$MS72,2&lt;=$NF72),"2 → "&amp;$PN72&amp;", 6 PE",""),IF(AND(3&gt;$MS72,3&lt;=$NF72),"3 → "&amp;$PO72&amp;", 9 PE",""),IF(AND(4&gt;$MS72,4&lt;=$NF72),"4 → "&amp;$PP72&amp;", 12 PE",""),IF(AND(5&gt;$MS72,5&lt;=$NF72),"5 → "&amp;$PQ72&amp;", 15 PE",""),IF(AND(6&gt;$MS72,6&lt;=$NF72),"6 → "&amp;$PR72&amp;", 18 PE",""),IF(AND(7&gt;$MS72,7&lt;=$NF72),"7 → "&amp;$PS72&amp;", 21 PE","")))))</f>
        <v/>
      </c>
      <c r="QM72" s="164">
        <f>IF(OR($ND72=0,$NO72=0),"",IF($MS72=0,"−1 dado","−"&amp;INDEX($I$2:$N$8,MAX(1,$MS72),MAX(1,$NT72))&amp;" · "&amp;CHOOSE(MAX(1,$NT72),"Leve","Média","Pesada","Leve · Livre","Média · Livre","Pesada · Livre")))</f>
        <v/>
      </c>
      <c r="QN72" s="164">
        <f>IF(OR($ND72=0,$NP72=0),"",IF($MS72=0,"−1 dado","−"&amp;INDEX($I$2:$N$8,MAX(1,$MS72),MAX(1,$NU72))&amp;" · "&amp;CHOOSE(MAX(1,$NU72),"Leve","Média","Pesada","Leve · Livre","Média · Livre","Pesada · Livre")))</f>
        <v/>
      </c>
      <c r="QO72" s="164">
        <f>IF(OR($ND72=0,$NQ72=0),"",IF($MS72=0,"−1 dado","−"&amp;INDEX($I$2:$N$8,MAX(1,$MS72),MAX(1,$NV72))&amp;" · "&amp;CHOOSE(MAX(1,$NV72),"Leve","Média","Pesada","Leve · Livre","Média · Livre","Pesada · Livre")))</f>
        <v/>
      </c>
      <c r="QP72" s="164">
        <f>IF(OR($ND72=0,$NR72=0),"",IF($MS72=0,"−1 dado","−"&amp;INDEX($I$2:$N$8,MAX(1,$MS72),MAX(1,$NW72))&amp;" · "&amp;CHOOSE(MAX(1,$NW72),"Leve","Média","Pesada","Leve · Livre","Média · Livre","Pesada · Livre")))</f>
        <v/>
      </c>
      <c r="QQ72" s="164">
        <f>IF(OR($ND72=0,$NB72=""),"",IF($MS72=0,"não devolve","+"&amp;IF($OI72=1,CEILING($MS72/2,1),$MS72)))</f>
        <v/>
      </c>
      <c r="QR72" s="164">
        <f>IF(OR($ND72=0,$NC72=""),"",IF($MS72=0,"não devolve","+"&amp;IF($OJ72=1,CEILING($MS72/2,1),$MS72)))</f>
        <v/>
      </c>
      <c r="RK72">
        <f>IF($MX72="","",IFERROR(VLOOKUP(SUBSTITUTE(SUBSTITUTE(SUBSTITUTE($MX72,"~","~~"),"*","~*"),"?","~?"),'DADOS_MELHORIAS'!$O$2:$X$113,10,FALSE),$MX72))</f>
        <v/>
      </c>
      <c r="RL72">
        <f>IF($MY72="","",IFERROR(VLOOKUP(SUBSTITUTE(SUBSTITUTE(SUBSTITUTE($MY72,"~","~~"),"*","~*"),"?","~?"),'DADOS_MELHORIAS'!$O$2:$X$113,10,FALSE),$MY72))</f>
        <v/>
      </c>
      <c r="RM72">
        <f>IF($MZ72="","",IFERROR(VLOOKUP(SUBSTITUTE(SUBSTITUTE(SUBSTITUTE($MZ72,"~","~~"),"*","~*"),"?","~?"),'DADOS_MELHORIAS'!$O$2:$X$113,10,FALSE),$MZ72))</f>
        <v/>
      </c>
      <c r="RN72">
        <f>IF($NA72="","",IFERROR(VLOOKUP(SUBSTITUTE(SUBSTITUTE(SUBSTITUTE($NA72,"~","~~"),"*","~*"),"?","~?"),'DADOS_MELHORIAS'!$O$2:$X$113,10,FALSE),$NA72))</f>
        <v/>
      </c>
      <c r="RO72">
        <f>IFERROR(INDEX('DADOS_FORMAS'!$BJ$2:$BJ$21,MATCH(SUBSTITUTE(SUBSTITUTE(SUBSTITUTE($MU72,"~","~~"),"*","~*"),"?","~?"),'DADOS_FORMAS'!$AH$2:$AH$21,0)),"")</f>
        <v/>
      </c>
      <c r="RP72">
        <f>IFERROR(VLOOKUP(SUBSTITUTE(SUBSTITUTE(SUBSTITUTE(IFERROR(INDEX('DADOS_FORMAS'!$AS$2:$AS$21,MATCH(SUBSTITUTE(SUBSTITUTE(SUBSTITUTE($MU72,"~","~~"),"*","~*"),"?","~?"),'DADOS_FORMAS'!$AH$2:$AH$21,0)),""),"~","~~"),"*","~*"),"?","~?"),'DADOS_RESTRICOES'!$M$2:$Q$54,2,FALSE),"")</f>
        <v/>
      </c>
      <c r="RQ72">
        <f>$OK72</f>
        <v/>
      </c>
      <c r="RR72">
        <f>$OL72</f>
        <v/>
      </c>
      <c r="RS72">
        <f>$RP72</f>
        <v/>
      </c>
    </row>
    <row r="73">
      <c r="AV73" s="162" t="inlineStr">
        <is>
          <t>Identificar Feitiço</t>
        </is>
      </c>
      <c r="AW73" s="162" t="inlineStr">
        <is>
          <t>Marca</t>
        </is>
      </c>
      <c r="AX73" s="164" t="n">
        <v>1</v>
      </c>
      <c r="AY73" s="164" t="n">
        <v>0</v>
      </c>
      <c r="AZ73" s="164" t="n">
        <v>0</v>
      </c>
      <c r="BA73" s="164" t="n">
        <v>0</v>
      </c>
      <c r="JT73" s="164">
        <f>IF(OR($AW73="",(COUNTIF($EL$2:$EP$2,$AW73)+COUNTIF($QV$2:$QY$2,$AW73))&gt;0),$AV73,"")</f>
        <v/>
      </c>
      <c r="JU73" s="164">
        <f>IF(AND($AX73=1,OR($AW73="",(COUNTIF($EL$2:$EP$2,$AW73)+COUNTIF($QV$2:$QY$2,$AW73))&gt;0)),$AV73,"")</f>
        <v/>
      </c>
      <c r="JZ73" s="164">
        <f>IF(OR($AW73="",(COUNTIF($EL$3:$EP$3,$AW73)+COUNTIF($QV$3:$QY$3,$AW73))&gt;0),$AV73,"")</f>
        <v/>
      </c>
      <c r="KA73" s="164">
        <f>IF(AND($AX73=1,OR($AW73="",(COUNTIF($EL$3:$EP$3,$AW73)+COUNTIF($QV$3:$QY$3,$AW73))&gt;0)),$AV73,"")</f>
        <v/>
      </c>
      <c r="KF73" s="164">
        <f>IF(OR($AW73="",(COUNTIF($EL$4:$EP$4,$AW73)+COUNTIF($QV$4:$QY$4,$AW73))&gt;0),$AV73,"")</f>
        <v/>
      </c>
      <c r="KG73" s="164">
        <f>IF(AND($AX73=1,OR($AW73="",(COUNTIF($EL$4:$EP$4,$AW73)+COUNTIF($QV$4:$QY$4,$AW73))&gt;0)),$AV73,"")</f>
        <v/>
      </c>
      <c r="KL73" s="164">
        <f>IF(OR($AW73="",(COUNTIF($EL$5:$EP$5,$AW73)+COUNTIF($QV$5:$QY$5,$AW73))&gt;0),$AV73,"")</f>
        <v/>
      </c>
      <c r="KM73" s="164">
        <f>IF(AND($AX73=1,OR($AW73="",(COUNTIF($EL$5:$EP$5,$AW73)+COUNTIF($QV$5:$QY$5,$AW73))&gt;0)),$AV73,"")</f>
        <v/>
      </c>
      <c r="KR73" s="164">
        <f>IF(OR($AW73="",(COUNTIF($EL$6:$EP$6,$AW73)+COUNTIF($QV$6:$QY$6,$AW73))&gt;0),$AV73,"")</f>
        <v/>
      </c>
      <c r="KS73" s="164">
        <f>IF(AND($AX73=1,OR($AW73="",(COUNTIF($EL$6:$EP$6,$AW73)+COUNTIF($QV$6:$QY$6,$AW73))&gt;0)),$AV73,"")</f>
        <v/>
      </c>
      <c r="KX73" s="164">
        <f>IF(OR($AW73="",(COUNTIF($EL$7:$EP$7,$AW73)+COUNTIF($QV$7:$QY$7,$AW73))&gt;0),$AV73,"")</f>
        <v/>
      </c>
      <c r="KY73" s="164">
        <f>IF(AND($AX73=1,OR($AW73="",(COUNTIF($EL$7:$EP$7,$AW73)+COUNTIF($QV$7:$QY$7,$AW73))&gt;0)),$AV73,"")</f>
        <v/>
      </c>
      <c r="LD73" s="164">
        <f>IF(OR($AW73="",(COUNTIF($EL$8:$EP$8,$AW73)+COUNTIF($QV$8:$QY$8,$AW73))&gt;0),$AV73,"")</f>
        <v/>
      </c>
      <c r="LE73" s="164">
        <f>IF(AND($AX73=1,OR($AW73="",(COUNTIF($EL$8:$EP$8,$AW73)+COUNTIF($QV$8:$QY$8,$AW73))&gt;0)),$AV73,"")</f>
        <v/>
      </c>
      <c r="LJ73" s="164">
        <f>IF(OR($AW73="",(COUNTIF($EL$9:$EP$9,$AW73)+COUNTIF($QV$9:$QY$9,$AW73))&gt;0),$AV73,"")</f>
        <v/>
      </c>
      <c r="LK73" s="164">
        <f>IF(AND($AX73=1,OR($AW73="",(COUNTIF($EL$9:$EP$9,$AW73)+COUNTIF($QV$9:$QY$9,$AW73))&gt;0)),$AV73,"")</f>
        <v/>
      </c>
      <c r="LP73" s="164">
        <f>IF(OR($AW73="",(COUNTIF($EL$10:$EP$10,$AW73)+COUNTIF($QV$10:$QY$10,$AW73))&gt;0),$AV73,"")</f>
        <v/>
      </c>
      <c r="LQ73" s="164">
        <f>IF(AND($AX73=1,OR($AW73="",(COUNTIF($EL$10:$EP$10,$AW73)+COUNTIF($QV$10:$QY$10,$AW73))&gt;0)),$AV73,"")</f>
        <v/>
      </c>
      <c r="LV73" s="164">
        <f>IF(OR($AW73="",(COUNTIF($EL$11:$EP$11,$AW73)+COUNTIF($QV$11:$QY$11,$AW73))&gt;0),$AV73,"")</f>
        <v/>
      </c>
      <c r="LW73" s="164">
        <f>IF(AND($AX73=1,OR($AW73="",(COUNTIF($EL$11:$EP$11,$AW73)+COUNTIF($QV$11:$QY$11,$AW73))&gt;0)),$AV73,"")</f>
        <v/>
      </c>
      <c r="MB73" s="164">
        <f>IF(OR($AW73="",(COUNTIF($EL$12:$EP$12,$AW73)+COUNTIF($QV$12:$QY$12,$AW73))&gt;0),$AV73,"")</f>
        <v/>
      </c>
      <c r="MC73" s="164">
        <f>IF(AND($AX73=1,OR($AW73="",(COUNTIF($EL$12:$EP$12,$AW73)+COUNTIF($QV$12:$QY$12,$AW73))&gt;0)),$AV73,"")</f>
        <v/>
      </c>
      <c r="MH73" s="164">
        <f>IF(OR($AW73="",(COUNTIF($EL$13:$EP$13,$AW73)+COUNTIF($QV$13:$QY$13,$AW73))&gt;0),$AV73,"")</f>
        <v/>
      </c>
      <c r="MI73" s="164">
        <f>IF(AND($AX73=1,OR($AW73="",(COUNTIF($EL$13:$EP$13,$AW73)+COUNTIF($QV$13:$QY$13,$AW73))&gt;0)),$AV73,"")</f>
        <v/>
      </c>
      <c r="MN73" s="162" t="inlineStr">
        <is>
          <t>Ficha 6 · Especial 5</t>
        </is>
      </c>
      <c r="MO73" s="164" t="n">
        <v>6</v>
      </c>
      <c r="MP73" s="164" t="n">
        <v>1</v>
      </c>
      <c r="MQ73" s="164" t="n">
        <v>16</v>
      </c>
      <c r="MR73" s="162" t="inlineStr">
        <is>
          <t>ESPECIAL 5</t>
        </is>
      </c>
      <c r="MS73" s="164">
        <f>MAX(1,MIN(7,N('INVOCAÇÕES'!$I$1182)))</f>
        <v/>
      </c>
      <c r="MT73" s="164">
        <f>'INVOCAÇÕES'!$J$1182&amp;""</f>
        <v/>
      </c>
      <c r="MU73" s="164">
        <f>'INVOCAÇÕES'!$I$1187&amp;""</f>
        <v/>
      </c>
      <c r="MV73" s="164">
        <f>'INVOCAÇÕES'!$I$1188&amp;""</f>
        <v/>
      </c>
      <c r="MW73" s="164">
        <f>'INVOCAÇÕES'!$K$1188&amp;""</f>
        <v/>
      </c>
      <c r="MX73" s="164">
        <f>'INVOCAÇÕES'!$J$1191&amp;""</f>
        <v/>
      </c>
      <c r="MY73" s="164">
        <f>'INVOCAÇÕES'!$J$1192&amp;""</f>
        <v/>
      </c>
      <c r="MZ73" s="164">
        <f>'INVOCAÇÕES'!$J$1193&amp;""</f>
        <v/>
      </c>
      <c r="NA73" s="164">
        <f>'INVOCAÇÕES'!$J$1194&amp;""</f>
        <v/>
      </c>
      <c r="NB73" s="164">
        <f>'INVOCAÇÕES'!$J$1195&amp;""</f>
        <v/>
      </c>
      <c r="NC73" s="164">
        <f>'INVOCAÇÕES'!$J$1196&amp;""</f>
        <v/>
      </c>
      <c r="ND73" s="164">
        <f>IF($MT73&lt;&gt;"",1,0)</f>
        <v/>
      </c>
      <c r="NE73" s="164">
        <f>INDEX($FO$2:$FO$13,$MO73)</f>
        <v/>
      </c>
      <c r="NF73" s="164">
        <f>INDEX($FP$2:$FP$13,$MO73)</f>
        <v/>
      </c>
      <c r="NG73" s="164">
        <f>INDEX($FQ$2:$FQ$13,$MO73)</f>
        <v/>
      </c>
      <c r="NH73" s="164">
        <f>INDEX($GB$2:$GB$13,$MO73)</f>
        <v/>
      </c>
      <c r="NI73" s="164">
        <f>INDEX($GC$2:$GC$13,$MO73)</f>
        <v/>
      </c>
      <c r="NJ73" s="164">
        <f>IFERROR(MATCH(SUBSTITUTE(SUBSTITUTE(SUBSTITUTE($MU73,"~","~~"),"*","~*"),"?","~?"),'DADOS_FORMAS'!$FZ$2:$FZ$21,0),0)</f>
        <v/>
      </c>
      <c r="NK73" s="164">
        <f>IFERROR(VLOOKUP(SUBSTITUTE(SUBSTITUTE(SUBSTITUTE($MX73,"~","~~"),"*","~*"),"?","~?"),'DADOS_MELHORIAS'!$AG$2:$AL$113,2,FALSE),"")</f>
        <v/>
      </c>
      <c r="NL73" s="164">
        <f>IFERROR(VLOOKUP(SUBSTITUTE(SUBSTITUTE(SUBSTITUTE($MY73,"~","~~"),"*","~*"),"?","~?"),'DADOS_MELHORIAS'!$AG$2:$AL$113,2,FALSE),"")</f>
        <v/>
      </c>
      <c r="NM73" s="164">
        <f>IFERROR(VLOOKUP(SUBSTITUTE(SUBSTITUTE(SUBSTITUTE($MZ73,"~","~~"),"*","~*"),"?","~?"),'DADOS_MELHORIAS'!$AG$2:$AL$113,2,FALSE),"")</f>
        <v/>
      </c>
      <c r="NN73" s="164">
        <f>IFERROR(VLOOKUP(SUBSTITUTE(SUBSTITUTE(SUBSTITUTE($NA73,"~","~~"),"*","~*"),"?","~?"),'DADOS_MELHORIAS'!$AG$2:$AL$113,2,FALSE),"")</f>
        <v/>
      </c>
      <c r="NO73" s="164">
        <f>IFERROR(VLOOKUP(SUBSTITUTE(SUBSTITUTE(SUBSTITUTE($MX73,"~","~~"),"*","~*"),"?","~?"),'DADOS_MELHORIAS'!$AG$2:$AL$113,3,FALSE),0)</f>
        <v/>
      </c>
      <c r="NP73" s="164">
        <f>IFERROR(VLOOKUP(SUBSTITUTE(SUBSTITUTE(SUBSTITUTE($MY73,"~","~~"),"*","~*"),"?","~?"),'DADOS_MELHORIAS'!$AG$2:$AL$113,3,FALSE),0)</f>
        <v/>
      </c>
      <c r="NQ73" s="164">
        <f>IFERROR(VLOOKUP(SUBSTITUTE(SUBSTITUTE(SUBSTITUTE($MZ73,"~","~~"),"*","~*"),"?","~?"),'DADOS_MELHORIAS'!$AG$2:$AL$113,3,FALSE),0)</f>
        <v/>
      </c>
      <c r="NR73" s="164">
        <f>IFERROR(VLOOKUP(SUBSTITUTE(SUBSTITUTE(SUBSTITUTE($NA73,"~","~~"),"*","~*"),"?","~?"),'DADOS_MELHORIAS'!$AG$2:$AL$113,3,FALSE),0)</f>
        <v/>
      </c>
      <c r="NS73" s="164">
        <f>IF($MS73=0,0,IF($NJ73=0,0,INDEX('DADOS_FORMAS'!$GB$2:$GB$21,$NJ73)))</f>
        <v/>
      </c>
      <c r="NT73" s="164">
        <f>IF(OR($NO73=0,$MS73=0),0,$NO73+3*IF(AND($NK73&lt;&gt;"",COUNTIF(INDEX($RB$2:$RJ$13,$MO73,0),$NK73)&gt;0),1,0))</f>
        <v/>
      </c>
      <c r="NU73" s="164">
        <f>IF(OR($NP73=0,$MS73=0),0,$NP73+3*IF(AND($NL73&lt;&gt;"",COUNTIF(INDEX($RB$2:$RJ$13,$MO73,0),$NL73)&gt;0),1,0))</f>
        <v/>
      </c>
      <c r="NV73" s="164">
        <f>IF(OR($NQ73=0,$MS73=0),0,$NQ73+3*IF(AND($NM73&lt;&gt;"",COUNTIF(INDEX($RB$2:$RJ$13,$MO73,0),$NM73)&gt;0),1,0))</f>
        <v/>
      </c>
      <c r="NW73" s="164">
        <f>IF(OR($NR73=0,$MS73=0),0,$NR73+3*IF(AND($NN73&lt;&gt;"",COUNTIF(INDEX($RB$2:$RJ$13,$MO73,0),$NN73)&gt;0),1,0))</f>
        <v/>
      </c>
      <c r="NX73" s="164">
        <f>IF($NJ73=0,0,IF(INDEX('DADOS_FORMAS'!$GA$2:$GA$21,$NJ73)="",0,IF((COUNTIF(INDEX($EL$2:$EP$13,$MO73,0),INDEX('DADOS_FORMAS'!$GA$2:$GA$21,$NJ73))+COUNTIF(INDEX($QV$2:$QY$13,$MO73,0),INDEX('DADOS_FORMAS'!$GA$2:$GA$21,$NJ73)))=0,1,0)))</f>
        <v/>
      </c>
      <c r="NY73" s="164">
        <f>IF(OR($NO73=0,$NK73=""),0,IF((COUNTIF(INDEX($EL$2:$EP$13,$MO73,0),$NK73)+COUNTIF(INDEX($QV$2:$QY$13,$MO73,0),$NK73))=0,1,0))</f>
        <v/>
      </c>
      <c r="NZ73" s="164">
        <f>IF(OR($NP73=0,$NL73=""),0,IF((COUNTIF(INDEX($EL$2:$EP$13,$MO73,0),$NL73)+COUNTIF(INDEX($QV$2:$QY$13,$MO73,0),$NL73))=0,1,0))</f>
        <v/>
      </c>
      <c r="OA73" s="164">
        <f>IF(OR($NQ73=0,$NM73=""),0,IF((COUNTIF(INDEX($EL$2:$EP$13,$MO73,0),$NM73)+COUNTIF(INDEX($QV$2:$QY$13,$MO73,0),$NM73))=0,1,0))</f>
        <v/>
      </c>
      <c r="OB73" s="164">
        <f>IF(OR($NR73=0,$NN73=""),0,IF((COUNTIF(INDEX($EL$2:$EP$13,$MO73,0),$NN73)+COUNTIF(INDEX($QV$2:$QY$13,$MO73,0),$NN73))=0,1,0))</f>
        <v/>
      </c>
      <c r="OC73" s="164">
        <f>IFERROR(VLOOKUP(SUBSTITUTE(SUBSTITUTE(SUBSTITUTE($MX73,"~","~~"),"*","~*"),"?","~?"),'DADOS_MELHORIAS'!$AG$2:$AL$113,4,FALSE),0)+IFERROR(VLOOKUP(SUBSTITUTE(SUBSTITUTE(SUBSTITUTE($MY73,"~","~~"),"*","~*"),"?","~?"),'DADOS_MELHORIAS'!$AG$2:$AL$113,4,FALSE),0)+IFERROR(VLOOKUP(SUBSTITUTE(SUBSTITUTE(SUBSTITUTE($MZ73,"~","~~"),"*","~*"),"?","~?"),'DADOS_MELHORIAS'!$AG$2:$AL$113,4,FALSE),0)+IFERROR(VLOOKUP(SUBSTITUTE(SUBSTITUTE(SUBSTITUTE($NA73,"~","~~"),"*","~*"),"?","~?"),'DADOS_MELHORIAS'!$AG$2:$AL$113,4,FALSE),0)</f>
        <v/>
      </c>
      <c r="OD73" s="164">
        <f>IFERROR(VLOOKUP(SUBSTITUTE(SUBSTITUTE(SUBSTITUTE($MX73,"~","~~"),"*","~*"),"?","~?"),'DADOS_MELHORIAS'!$AG$2:$AL$113,6,FALSE),0)+IFERROR(VLOOKUP(SUBSTITUTE(SUBSTITUTE(SUBSTITUTE($MY73,"~","~~"),"*","~*"),"?","~?"),'DADOS_MELHORIAS'!$AG$2:$AL$113,6,FALSE),0)+IFERROR(VLOOKUP(SUBSTITUTE(SUBSTITUTE(SUBSTITUTE($MZ73,"~","~~"),"*","~*"),"?","~?"),'DADOS_MELHORIAS'!$AG$2:$AL$113,6,FALSE),0)+IFERROR(VLOOKUP(SUBSTITUTE(SUBSTITUTE(SUBSTITUTE($NA73,"~","~~"),"*","~*"),"?","~?"),'DADOS_MELHORIAS'!$AG$2:$AL$113,6,FALSE),0)+IFERROR(N(AND(INDEX('DADOS_FORMAS'!$AO$2:$AO$21,MATCH(SUBSTITUTE(SUBSTITUTE(SUBSTITUTE($MU73,"~","~~"),"*","~*"),"?","~?"),'DADOS_FORMAS'!$AH$2:$AH$21,0))="Acerto",$OH73=1)),0)</f>
        <v/>
      </c>
      <c r="OE73" s="164">
        <f>TEXTJOIN(", ",TRUE,IF(IFERROR(VLOOKUP(SUBSTITUTE(SUBSTITUTE(SUBSTITUTE($MX73,"~","~~"),"*","~*"),"?","~?"),'DADOS_MELHORIAS'!$AG$2:$AL$113,5,FALSE),0)=1,$MX73,""),IF(IFERROR(VLOOKUP(SUBSTITUTE(SUBSTITUTE(SUBSTITUTE($MY73,"~","~~"),"*","~*"),"?","~?"),'DADOS_MELHORIAS'!$AG$2:$AL$113,5,FALSE),0)=1,$MY73,""),IF(IFERROR(VLOOKUP(SUBSTITUTE(SUBSTITUTE(SUBSTITUTE($MZ73,"~","~~"),"*","~*"),"?","~?"),'DADOS_MELHORIAS'!$AG$2:$AL$113,5,FALSE),0)=1,$MZ73,""),IF(IFERROR(VLOOKUP(SUBSTITUTE(SUBSTITUTE(SUBSTITUTE($NA73,"~","~~"),"*","~*"),"?","~?"),'DADOS_MELHORIAS'!$AG$2:$AL$113,5,FALSE),0)=1,$NA73,""))</f>
        <v/>
      </c>
      <c r="OF73" s="164">
        <f>IF($NJ73=0,0,INDEX('DADOS_FORMAS'!$GC$2:$GC$21,$NJ73))</f>
        <v/>
      </c>
      <c r="OG73" s="164">
        <f>IF($NJ73=0,0,INDEX('DADOS_FORMAS'!$GD$2:$GD$21,$NJ73))</f>
        <v/>
      </c>
      <c r="OH73" s="164">
        <f>IF($NJ73=0,0,INDEX('DADOS_FORMAS'!$GF$2:$GF$21,$NJ73))</f>
        <v/>
      </c>
      <c r="OI73" s="164">
        <f>IFERROR(VLOOKUP(SUBSTITUTE(SUBSTITUTE(SUBSTITUTE($NB73,"~","~~"),"*","~*"),"?","~?"),'DADOS_RESTRICOES'!$M$2:$Q$54,3,FALSE),0)</f>
        <v/>
      </c>
      <c r="OJ73" s="164">
        <f>IFERROR(VLOOKUP(SUBSTITUTE(SUBSTITUTE(SUBSTITUTE($NC73,"~","~~"),"*","~*"),"?","~?"),'DADOS_RESTRICOES'!$M$2:$Q$54,3,FALSE),0)</f>
        <v/>
      </c>
      <c r="OK73" s="164">
        <f>IFERROR(VLOOKUP(SUBSTITUTE(SUBSTITUTE(SUBSTITUTE($NB73,"~","~~"),"*","~*"),"?","~?"),'DADOS_RESTRICOES'!$M$2:$Q$54,2,FALSE),"")</f>
        <v/>
      </c>
      <c r="OL73" s="164">
        <f>IFERROR(VLOOKUP(SUBSTITUTE(SUBSTITUTE(SUBSTITUTE($NC73,"~","~~"),"*","~*"),"?","~?"),'DADOS_RESTRICOES'!$M$2:$Q$54,2,FALSE),"")</f>
        <v/>
      </c>
      <c r="OM73" s="164">
        <f>COUNTIF($NS73:$NW73,1)</f>
        <v/>
      </c>
      <c r="ON73" s="164">
        <f>COUNTIF($NS73:$NW73,2)</f>
        <v/>
      </c>
      <c r="OO73" s="164">
        <f>COUNTIF($NS73:$NW73,3)</f>
        <v/>
      </c>
      <c r="OP73" s="164">
        <f>COUNTIF($NS73:$NW73,4)</f>
        <v/>
      </c>
      <c r="OQ73" s="164">
        <f>COUNTIF($NS73:$NW73,5)</f>
        <v/>
      </c>
      <c r="OR73" s="164">
        <f>COUNTIF($NS73:$NW73,6)</f>
        <v/>
      </c>
      <c r="OS73" s="164">
        <f>COUNTIF($OI73:$OJ73,1)+IF(IFERROR(INDEX('DADOS_FORMAS'!$AS$2:$AS$21,MATCH(SUBSTITUTE(SUBSTITUTE(SUBSTITUTE($MU73,"~","~~"),"*","~*"),"?","~?"),'DADOS_FORMAS'!$AH$2:$AH$21,0)),"")="",0,IFERROR(N(VLOOKUP(SUBSTITUTE(SUBSTITUTE(SUBSTITUTE(IFERROR(INDEX('DADOS_FORMAS'!$AS$2:$AS$21,MATCH(SUBSTITUTE(SUBSTITUTE(SUBSTITUTE($MU73,"~","~~"),"*","~*"),"?","~?"),'DADOS_FORMAS'!$AH$2:$AH$21,0)),""),"~","~~"),"*","~*"),"?","~?"),'DADOS_RESTRICOES'!$M$2:$Q$54,3,FALSE)=1),0))</f>
        <v/>
      </c>
      <c r="OT73" s="164">
        <f>COUNTIF($OI73:$OJ73,2)+IF(IFERROR(INDEX('DADOS_FORMAS'!$AS$2:$AS$21,MATCH(SUBSTITUTE(SUBSTITUTE(SUBSTITUTE($MU73,"~","~~"),"*","~*"),"?","~?"),'DADOS_FORMAS'!$AH$2:$AH$21,0)),"")="",0,IFERROR(N(VLOOKUP(SUBSTITUTE(SUBSTITUTE(SUBSTITUTE(IFERROR(INDEX('DADOS_FORMAS'!$AS$2:$AS$21,MATCH(SUBSTITUTE(SUBSTITUTE(SUBSTITUTE($MU73,"~","~~"),"*","~*"),"?","~?"),'DADOS_FORMAS'!$AH$2:$AH$21,0)),""),"~","~~"),"*","~*"),"?","~?"),'DADOS_RESTRICOES'!$M$2:$Q$54,3,FALSE)=2),0))</f>
        <v/>
      </c>
      <c r="OU73" s="164">
        <f>COUNTIF($MX73:$NA73,"?*")</f>
        <v/>
      </c>
      <c r="OV73" s="164">
        <f>COUNTIF($NB73:$NC73,"?*")+$OF73</f>
        <v/>
      </c>
      <c r="OW73" s="164">
        <f>IF($MS73=0,0,SUMPRODUCT($OM73:$OR73,INDEX($I$2:$N$8,MAX(1,$MS73),0)))</f>
        <v/>
      </c>
      <c r="OX73" s="164">
        <f>IF($MS73=0,0,$OS73*CEILING($MS73/2,1)+$OT73*$MS73)</f>
        <v/>
      </c>
      <c r="OY73" s="164">
        <f>MIN(2*$MS73,$OX73)</f>
        <v/>
      </c>
      <c r="OZ73" s="164">
        <f>MIN($OY73,$OW73-IF($NS73=0,0,INDEX($I$2:$N$8,MAX(1,$MS73),$NS73)))</f>
        <v/>
      </c>
      <c r="PA73" s="164">
        <f>$OY73-$OZ73</f>
        <v/>
      </c>
      <c r="PB73" s="164">
        <f>IF($MS73=0,0,INDEX($P$2:$P$8,MAX(1,$MS73)))</f>
        <v/>
      </c>
      <c r="PC73" s="164">
        <f>$PB73-$OW73+$OZ73</f>
        <v/>
      </c>
      <c r="PD73" s="164">
        <f>IF($MS73=0,MAX(0,$NG73-IF(AND($OU73&gt;0,COUNTIF($NB73:$NC73,"?*")=0),1,0)),MAX(0,$PC73))</f>
        <v/>
      </c>
      <c r="PE73" s="164">
        <f>IF($MS73=0,0,(IF(COUNTIF($RK73:$RN73,"Salto")&gt;0,1,0)+IF(COUNTIF($RK73:$RN73,"Queima")&gt;0,1,0)+IF(COUNTIF($RK73:$RN73,"Estilhaço")&gt;0,1,0))*FLOOR($PD73/2,1))</f>
        <v/>
      </c>
      <c r="PF73" s="164">
        <f>MAX(0,2-SUMPRODUCT($OM73:$OR73,$I$2:$N$2)+MIN(2,$OS73*1+$OT73*1,SUMPRODUCT($OM73:$OR73,$I$2:$N$2)-IF($NS73=0,0,INDEX($I$2:$N$2,1,$NS73))))</f>
        <v/>
      </c>
      <c r="PG73" s="164">
        <f>MAX(0,4-SUMPRODUCT($OM73:$OR73,$I$3:$N$3)+MIN(4,$OS73*1+$OT73*2,SUMPRODUCT($OM73:$OR73,$I$3:$N$3)-IF($NS73=0,0,INDEX($I$3:$N$3,1,$NS73))))</f>
        <v/>
      </c>
      <c r="PH73" s="164">
        <f>MAX(0,6-SUMPRODUCT($OM73:$OR73,$I$4:$N$4)+MIN(6,$OS73*2+$OT73*3,SUMPRODUCT($OM73:$OR73,$I$4:$N$4)-IF($NS73=0,0,INDEX($I$4:$N$4,1,$NS73))))</f>
        <v/>
      </c>
      <c r="PI73" s="164">
        <f>MAX(0,9-SUMPRODUCT($OM73:$OR73,$I$5:$N$5)+MIN(8,$OS73*2+$OT73*4,SUMPRODUCT($OM73:$OR73,$I$5:$N$5)-IF($NS73=0,0,INDEX($I$5:$N$5,1,$NS73))))</f>
        <v/>
      </c>
      <c r="PJ73" s="164">
        <f>MAX(0,11-SUMPRODUCT($OM73:$OR73,$I$6:$N$6)+MIN(10,$OS73*3+$OT73*5,SUMPRODUCT($OM73:$OR73,$I$6:$N$6)-IF($NS73=0,0,INDEX($I$6:$N$6,1,$NS73))))</f>
        <v/>
      </c>
      <c r="PK73" s="164">
        <f>MAX(0,13-SUMPRODUCT($OM73:$OR73,$I$7:$N$7)+MIN(12,$OS73*3+$OT73*6,SUMPRODUCT($OM73:$OR73,$I$7:$N$7)-IF($NS73=0,0,INDEX($I$7:$N$7,1,$NS73))))</f>
        <v/>
      </c>
      <c r="PL73" s="164">
        <f>MAX(0,16-SUMPRODUCT($OM73:$OR73,$I$8:$N$8)+MIN(14,$OS73*4+$OT73*7,SUMPRODUCT($OM73:$OR73,$I$8:$N$8)-IF($NS73=0,0,INDEX($I$8:$N$8,1,$NS73))))</f>
        <v/>
      </c>
      <c r="PM73" s="164">
        <f>IF($OG73=2,3*$PF73&amp;" de vida temp.",IF($OG73=3,"sem dano",IF($PF73=0,IF($OG73=1,"sem cura","sem dano"),IF($OG73=1,"cura ","")&amp;$PF73&amp;"d8")))</f>
        <v/>
      </c>
      <c r="PN73" s="164">
        <f>IF($OG73=2,3*$PG73&amp;" de vida temp.",IF($OG73=3,"sem dano",IF($PG73=0,IF($OG73=1,"sem cura","sem dano"),IF($OG73=1,"cura ","")&amp;$PG73&amp;"d8")))</f>
        <v/>
      </c>
      <c r="PO73" s="164">
        <f>IF($OG73=2,3*$PH73&amp;" de vida temp.",IF($OG73=3,"sem dano",IF($PH73=0,IF($OG73=1,"sem cura","sem dano"),IF($OG73=1,"cura ","")&amp;$PH73&amp;"d8")))</f>
        <v/>
      </c>
      <c r="PP73" s="164">
        <f>IF($OG73=2,3*$PI73&amp;" de vida temp.",IF($OG73=3,"sem dano",IF($PI73=0,IF($OG73=1,"sem cura","sem dano"),IF($OG73=1,"cura ","")&amp;$PI73&amp;"d8")))</f>
        <v/>
      </c>
      <c r="PQ73" s="164">
        <f>IF($OG73=2,3*$PJ73&amp;" de vida temp.",IF($OG73=3,"sem dano",IF($PJ73=0,IF($OG73=1,"sem cura","sem dano"),IF($OG73=1,"cura ","")&amp;$PJ73&amp;"d8")))</f>
        <v/>
      </c>
      <c r="PR73" s="164">
        <f>IF($OG73=2,3*$PK73&amp;" de vida temp.",IF($OG73=3,"sem dano",IF($PK73=0,IF($OG73=1,"sem cura","sem dano"),IF($OG73=1,"cura ","")&amp;$PK73&amp;"d8")))</f>
        <v/>
      </c>
      <c r="PS73" s="164">
        <f>IF($OG73=2,3*$PL73&amp;" de vida temp.",IF($OG73=3,"sem dano",IF($PL73=0,IF($OG73=1,"sem cura","sem dano"),IF($OG73=1,"cura ","")&amp;$PL73&amp;"d8")))</f>
        <v/>
      </c>
      <c r="PT73" s="164">
        <f>IF($ND73=0,"",TEXTJOIN(" · ",TRUE,IF($ND73=0,"",TEXTJOIN(" · ",TRUE,IF($ND73=0,"",TEXTJOIN(" · ",TRUE,IF($MQ73&gt;$NE73,"Este lugar abre no nível "&amp;$MQ73,""),IF($MS73&gt;$NF73,"Classe "&amp;$MS73&amp;": o nível "&amp;$NE73&amp;" libera até a "&amp;$NF73,""),IF($NX73=1,"A Forma "&amp;$MU73&amp;" pede "&amp;INDEX('DADOS_FORMAS'!$GA$2:$GA$21,$NJ73)&amp;" aberta",""),IF(AND($MS73=0,$NJ73&gt;0,IF($NJ73=0,0,INDEX('DADOS_FORMAS'!$GJ$2:$GJ$21,$NJ73))=0),$MU73&amp;" não existe na Classe 0",""),IF($NY73=1,"Família Fechada: "&amp;$MX73,""),IF($NZ73=1,"Família Fechada: "&amp;$MY73,""),IF($OA73=1,"Família Fechada: "&amp;$MZ73,""),IF($OB73=1,"Família Fechada: "&amp;$NA73,""),IF(AND($MS73&gt;0,$OU73&gt;INDEX($O$2:$O$8,MAX(1,$MS73))),$OU73&amp;" Melhorias: a Classe "&amp;$MS73&amp;" aceita "&amp;INDEX($O$2:$O$8,MAX(1,$MS73)),""),IF(AND($MS73=0,$OU73&gt;1),"A básica aceita uma Melhoria",""),IF(AND($MS73=0,COUNTIF($NO73:$NR73,"&gt;1")&gt;0),"A básica só aceita Melhoria Leve",""),IF(AND($MS73&gt;0,$OV73&gt;2),$OV73&amp;" Restrições"&amp;IF($OF73=1,", contando a que a Forma "&amp;$MU73&amp;" já traz","")&amp;": o limite é 2",""),IF(AND($MS73=0,COUNTIF($NB73:$NC73,"?*")&gt;1),"A básica aceita uma Restrição Leve",""),IF(AND($MS73=0,COUNTIF($OI73:$OJ73,2)&gt;0),"A básica só aceita Restrição Leve",""),IF(AND($MS73&gt;0,$PC73&lt;0),"Orçamento estourado: faltam "&amp;(-$PC73)&amp;IF($PC73&lt;-1," pontos"," ponto"),""),IF(IFERROR(VLOOKUP(SUBSTITUTE(SUBSTITUTE(SUBSTITUTE($NB73,"~","~~"),"*","~*"),"?","~?"),'DADOS_RESTRICOES'!$M$2:$Q$54,4,FALSE),0)+IFERROR(VLOOKUP(SUBSTITUTE(SUBSTITUTE(SUBSTITUTE($NC73,"~","~~"),"*","~*"),"?","~?"),'DADOS_RESTRICOES'!$M$2:$Q$54,4,FALSE),0)&gt;1,$OK73&amp;" e "&amp;$OL73&amp;" são as duas de frequência",""),IF(AND((COUNTIF($RK73:$RN73,"Rápido")+COUNTIF($OK73:$OL73,"Rápido"))&gt;0,(COUNTIF($MX73:$NA73,"Atrasar")+COUNTIF($OK73:$OL73,"Atrasar"))&gt;0),"Rápido não entra com Atrasar",""),IF(AND((COUNTIF($RK73:$RN73,"Reação")+COUNTIF($OK73:$OL73,"Reação"))&gt;0,(COUNTIF($RK73:$RN73,"Rápido")+COUNTIF($OK73:$OL73,"Rápido"))&gt;0),"Reação não entra com Rápido",""),IF(AND((COUNTIF($RK73:$RN73,"Reação")+COUNTIF($OK73:$OL73,"Reação"))&gt;0,(COUNTIF($RK73:$RN73,"Armado")+COUNTIF($OK73:$OL73,"Armado"))&gt;0),"Reação não entra com Armado",""),IF(AND((COUNTIF($RK73:$RN73,"Reação")+COUNTIF($OK73:$OL73,"Reação"))&gt;0,(COUNTIF($MX73:$NA73,"Atrasar")+COUNTIF($OK73:$OL73,"Atrasar"))&gt;0),"Reação não entra com Atrasar",""),IF(AND((COUNTIF($RK73:$RN73,"Reação")+COUNTIF($OK73:$OL73,"Reação"))&gt;0,(COUNTIF($MX73:$NA73,"Parado")+COUNTIF($OK73:$OL73,"Parado"))&gt;0),"Reação não entra com Parado",""),IF(AND((COUNTIF($MX73:$NA73,"Atrasar")+COUNTIF($OK73:$OL73,"Atrasar"))&gt;0,(COUNTIF($MX73:$NA73,"Parado")+COUNTIF($OK73:$OL73,"Parado"))&gt;0),"Atrasar não entra com Parado",""),IF(AND((COUNTIF($RK73:$RN73,"Armado")+COUNTIF($OK73:$OL73,"Armado"))&gt;0,(COUNTIF($MX73:$NA73,"Carregar")+COUNTIF($OK73:$OL73,"Carregar"))&gt;0),"Armado não entra com Carregar",""),IF(AND(COUNTIF($OK73:$OL73,"Corpo a Corpo")&gt;0,$OF73=0,OR($RO73="Cone",$RO73="Linha")),"Corpo a Corpo não entra em "&amp;$MU73,""),IF(AND(COUNTIF($OK73:$OL73,"Corpo a Corpo")&gt;0,$RP73="Corpo a Corpo"),"A Forma "&amp;$MU73&amp;" já traz o Corpo a Corpo",""),IF(AND(COUNTIF($OK73:$OL73,"Tudo ou Nada")&gt;0,$OH73=0),"Tudo ou Nada só entra em habilidade de Teste de Resistência",""),IF(AND(COUNTIF($RK73:$RN73,"Inescapável")&gt;0,OR($OU73&gt;1,$OV73&gt;0)),"Inescapável não aceita outra peça",""),IF(AND($MS73&gt;0,$PD73*IF(COUNTIF($RK73:$RN73,"Remate")&gt;0,1.25,1)+$PE73&gt;4*$MS73),($PD73*IF(COUNTIF($RK73:$RN73,"Remate")&gt;0,1.25,1)+$PE73)&amp;" dados somando repetições"&amp;IF(COUNTIF($RK73:$RN73,"Remate")&gt;0," e o Remate","")&amp;": o teto da Classe "&amp;$MS73&amp;" é "&amp;4*$MS73,""))),IF(AND($MX73&lt;&gt;"",COUNTIF('DADOS_MELHORIAS'!$O$2:$O$113,SUBSTITUTE(SUBSTITUTE(SUBSTITUTE($MX73,"~","~~"),"*","~*"),"?","~?"))=0),"Melhoria não cadastrada ou com erro: "&amp;$MX73,""),IF(AND($MY73&lt;&gt;"",COUNTIF('DADOS_MELHORIAS'!$O$2:$O$113,SUBSTITUTE(SUBSTITUTE(SUBSTITUTE($MY73,"~","~~"),"*","~*"),"?","~?"))=0),"Melhoria não cadastrada ou com erro: "&amp;$MY73,""),IF(AND($MZ73&lt;&gt;"",COUNTIF('DADOS_MELHORIAS'!$O$2:$O$113,SUBSTITUTE(SUBSTITUTE(SUBSTITUTE($MZ73,"~","~~"),"*","~*"),"?","~?"))=0),"Melhoria não cadastrada ou com erro: "&amp;$MZ73,""),IF(AND($NA73&lt;&gt;"",COUNTIF('DADOS_MELHORIAS'!$O$2:$O$113,SUBSTITUTE(SUBSTITUTE(SUBSTITUTE($NA73,"~","~~"),"*","~*"),"?","~?"))=0),"Melhoria não cadastrada ou com erro: "&amp;$NA73,""),IF(AND($NB73&lt;&gt;"",COUNTIF('DADOS_RESTRICOES'!$M$2:$M$54,SUBSTITUTE(SUBSTITUTE(SUBSTITUTE($NB73,"~","~~"),"*","~*"),"?","~?"))=0),"Restrição não cadastrada ou com erro: "&amp;$NB73,""),IF(AND($NC73&lt;&gt;"",COUNTIF('DADOS_RESTRICOES'!$M$2:$M$54,SUBSTITUTE(SUBSTITUTE(SUBSTITUTE($NC73,"~","~~"),"*","~*"),"?","~?"))=0),"Restrição não cadastrada ou com erro: "&amp;$NC73,""))),IF(AND($MU73&lt;&gt;"",COUNTIF('DADOS_FORMAS'!$AH$2:$AH$21,SUBSTITUTE(SUBSTITUTE(SUBSTITUTE($MU73,"~","~~"),"*","~*"),"?","~?"))=0),"Forma não cadastrada ou com erro: "&amp;$MU73,""),IF(AND(IFERROR(INDEX('DADOS_FORMAS'!$AS$2:$AS$21,MATCH(SUBSTITUTE(SUBSTITUTE(SUBSTITUTE($MU73,"~","~~"),"*","~*"),"?","~?"),'DADOS_FORMAS'!$AH$2:$AH$21,0)),"")&lt;&gt;"",OR(IFERROR(VLOOKUP(SUBSTITUTE(SUBSTITUTE(SUBSTITUTE(IFERROR(INDEX('DADOS_FORMAS'!$AS$2:$AS$21,MATCH(SUBSTITUTE(SUBSTITUTE(SUBSTITUTE($MU73,"~","~~"),"*","~*"),"?","~?"),'DADOS_FORMAS'!$AH$2:$AH$21,0)),""),"~","~~"),"*","~*"),"?","~?"),'DADOS_RESTRICOES'!$M$2:$Q$54,2,FALSE),"")=$OK73,IFERROR(VLOOKUP(SUBSTITUTE(SUBSTITUTE(SUBSTITUTE(IFERROR(INDEX('DADOS_FORMAS'!$AS$2:$AS$21,MATCH(SUBSTITUTE(SUBSTITUTE(SUBSTITUTE($MU73,"~","~~"),"*","~*"),"?","~?"),'DADOS_FORMAS'!$AH$2:$AH$21,0)),""),"~","~~"),"*","~*"),"?","~?"),'DADOS_RESTRICOES'!$M$2:$Q$54,2,FALSE),"")=$OL73)),"Restrição repetida, contando a embutida",""),IF(IF(IFERROR(INDEX('DADOS_FORMAS'!$AS$2:$AS$21,MATCH(SUBSTITUTE(SUBSTITUTE(SUBSTITUTE($MU73,"~","~~"),"*","~*"),"?","~?"),'DADOS_FORMAS'!$AH$2:$AH$21,0)),"")="",0,IFERROR(N(VLOOKUP(SUBSTITUTE(SUBSTITUTE(SUBSTITUTE(IFERROR(INDEX('DADOS_FORMAS'!$AS$2:$AS$21,MATCH(SUBSTITUTE(SUBSTITUTE(SUBSTITUTE($MU73,"~","~~"),"*","~*"),"?","~?"),'DADOS_FORMAS'!$AH$2:$AH$21,0)),""),"~","~~"),"*","~*"),"?","~?"),'DADOS_RESTRICOES'!$M$2:$Q$54,4,FALSE)=1),0))+IF($NB73="",0,IFERROR(N(VLOOKUP(SUBSTITUTE(SUBSTITUTE(SUBSTITUTE($NB73,"~","~~"),"*","~*"),"?","~?"),'DADOS_RESTRICOES'!$M$2:$Q$54,4,FALSE)=1),0))+IF($NC73="",0,IFERROR(N(VLOOKUP(SUBSTITUTE(SUBSTITUTE(SUBSTITUTE($NC73,"~","~~"),"*","~*"),"?","~?"),'DADOS_RESTRICOES'!$M$2:$Q$54,4,FALSE)=1),0))&gt;1,"Duas Restrições de frequência, contando a embutida",""),IF(AND(IFERROR(VLOOKUP(SUBSTITUTE(SUBSTITUTE(SUBSTITUTE(IFERROR(INDEX('DADOS_FORMAS'!$AS$2:$AS$21,MATCH(SUBSTITUTE(SUBSTITUTE(SUBSTITUTE($MU73,"~","~~"),"*","~*"),"?","~?"),'DADOS_FORMAS'!$AH$2:$AH$21,0)),""),"~","~~"),"*","~*"),"?","~?"),'DADOS_RESTRICOES'!$M$2:$Q$54,2,FALSE),"")="Tudo ou Nada",$OH73=0),"Tudo ou Nada exige TR",""),IF(AND(IFERROR(VLOOKUP(SUBSTITUTE(SUBSTITUTE(SUBSTITUTE(IFERROR(INDEX('DADOS_FORMAS'!$AS$2:$AS$21,MATCH(SUBSTITUTE(SUBSTITUTE(SUBSTITUTE($MU73,"~","~~"),"*","~*"),"?","~?"),'DADOS_FORMAS'!$AH$2:$AH$21,0)),""),"~","~~"),"*","~*"),"?","~?"),'DADOS_RESTRICOES'!$M$2:$Q$54,2,FALSE),"")="Corpo a Corpo",OR($RO73="Cone",$RO73="Linha")),"Corpo a Corpo não entra em Cone/Linha","")))</f>
        <v/>
      </c>
      <c r="PU73" s="164">
        <f>IF($PT73="",0,(LEN($PT73)-LEN(SUBSTITUTE($PT73," · ","")))/3+1)</f>
        <v/>
      </c>
      <c r="PV73" s="164">
        <f>IF($ND73=0,"",TEXTJOIN(" · ",TRUE,IF($OX73&gt;2*$MS73,"A devolução parou no teto de "&amp;2*$MS73,""),IF($PA73&gt;0,"Devolução perdida: "&amp;$PA73&amp;IF($PA73&gt;1," pontos"," ponto")&amp;" sem Melhoria para pagar",""),IF(AND($OC73&gt;0,AND($MS73&gt;0,$OG73=0),$PD73=0),"Controle sem dano: uma rodada a mais e CD +2",""),IF(AND($OC73&gt;0,AND($MS73&gt;0,$OG73=0),$PD73&gt;0,$PD73&lt;=$MS73),"Controle com saldo até a Classe: uma rodada a mais",""),IF(AND($MS73&gt;0,$OE73&lt;&gt;""),"Efeito de "&amp;$OE73&amp;" pela Classe "&amp;MAX(1,$MS73-1),"")))</f>
        <v/>
      </c>
      <c r="PW73" s="164">
        <f>IF($PV73="",0,(LEN($PV73)-LEN(SUBSTITUTE($PV73," · ","")))/3+1)</f>
        <v/>
      </c>
      <c r="PX73" s="164">
        <f>IF($ND73=0,IF($OU73+COUNTIF($NB73:$NC73,"?*")&gt;0,"Dê um nome",""),IF($PU73&gt;0,"⚠ "&amp;$PU73&amp;IF($PU73&gt;1," erros"," erro"),IF($PW73&gt;0,"! "&amp;$PW73&amp;IF($PW73&gt;1," avisos"," aviso"),"Na regra")))</f>
        <v/>
      </c>
      <c r="PY73" s="164">
        <f>IF($ND73=0,"",IF($PU73+$PW73=0,"Dentro das regras que a ficha confere",$PT73&amp;IF(AND($PU73&gt;0,$PW73&gt;0)," · ","")&amp;$PV73))</f>
        <v/>
      </c>
      <c r="PZ73" s="164">
        <f>IF($MQ73&gt;$NE73,$MR73&amp;" · ABRE NO NÍVEL "&amp;$MQ73,$MR73)</f>
        <v/>
      </c>
      <c r="QA73" s="164">
        <f>IF($ND73=0,"",IF($MS73=0,"Sem PE",3*$MS73&amp;" PE"))</f>
        <v/>
      </c>
      <c r="QB73" s="164">
        <f>IF($ND73=0,"",IF($MS73=0,"A atuação básica dela",IF(COUNTIF($RQ73:$RS73,"Atrasar")&gt;0,"Sua Ação Completa",IF(COUNTIF($RK73:$RN73,"Rápido")&gt;0,"Sua Bônus",IF(COUNTIF($RK73:$RN73,"Reação")&gt;0,"Sua Reação","Sua Padrão")))&amp;" + a básica dela"&amp;IF(COUNTIF($RK73:$RN73,"Reação")&gt;0," e a coletiva","")&amp;IF(COUNTIF($RQ73:$RS73,"Carregar")&gt;0," · em dois turnos","")))</f>
        <v/>
      </c>
      <c r="QC73" s="164">
        <f>IF($MW73&lt;&gt;"",$MW73,IF($NJ73=0,"",INDEX('DADOS_FORMAS'!$GE$2:$GE$21,$NJ73)))</f>
        <v/>
      </c>
      <c r="QD73" s="164">
        <f>IF(OR($ND73=0,$NJ73=0),"",IF(COUNTIF($RK73:$RN73,"Inescapável")&gt;0,"Automático",IF($QC73="Ataque",IF($NH73="","Ataque","Ataque "&amp;IF(($NH73+2*IF(COUNTIF($RK73:$RN73,"Precisão")&gt;0,1,0))&gt;=0,"+","−")&amp;ABS(($NH73+2*IF(COUNTIF($RK73:$RN73,"Precisão")&gt;0,1,0))))&amp;IF($OD73&gt;0," · TR"&amp;IF($NI73="",""," CD "&amp;$NI73),""),IF(LEFT($QC73,2)="TR",$QC73&amp;IF($NI73="",""," · CD "&amp;$NI73)&amp;IF(COUNTIF($RK73:$RN73,"Certeiro")&gt;0," · metade",""),"Sem rolagem"))))</f>
        <v/>
      </c>
      <c r="QE73" s="164">
        <f>IF(OR($ND73=0,$NJ73=0),"",IF($MS73=0,IF(OR($OG73&gt;=1,$PD73=0),"Sem dano",$PD73&amp;"d6"&amp;IF($MV73="",""," "&amp;$MV73)),IF(OR($OG73&gt;=1,$PD73=0),UPPER(LEFT(INDEX($PM73:$PS73,1,MAX(1,$MS73)),1))&amp;MID(INDEX($PM73:$PS73,1,MAX(1,$MS73)),2,99),UPPER(LEFT(INDEX($PM73:$PS73,1,MAX(1,$MS73)),1))&amp;MID(INDEX($PM73:$PS73,1,MAX(1,$MS73)),2,99)&amp;IF($MV73="",""," "&amp;$MV73)&amp;IF($PE73&gt;0," · +"&amp;$PE73&amp;"d8",""))))</f>
        <v/>
      </c>
      <c r="QF73" s="164">
        <f>COUNTIF($RK73:$RN73,"Longe")+3*COUNTIF($RK73:$RN73,"Muito Longe")</f>
        <v/>
      </c>
      <c r="QG73" s="164">
        <f>COUNTIF($RK73:$RN73,"Maior")+3*COUNTIF($RK73:$RN73,"Muito Maior")</f>
        <v/>
      </c>
      <c r="QH73" s="164">
        <f>IF($NJ73=0,0,CHOOSE(1+INDEX('DADOS_FORMAS'!$GG$2:$GG$21,$NJ73),0,$QF73,$QG73,$QF73+$QG73))</f>
        <v/>
      </c>
      <c r="QI73" s="164">
        <f>IF($NJ73=0,0,CHOOSE(1+INDEX('DADOS_FORMAS'!$GH$2:$GH$21,$NJ73),0,$QF73,$QG73,$QF73+$QG73))</f>
        <v/>
      </c>
      <c r="QJ73" s="164">
        <f>IF(OR($ND73=0,$NJ73=0),"",INDEX('DADOS_FORMAS'!$HU$2:$HZ$81,($NJ73-1)*4+IF($MS73=0,1,IF($MS73&lt;=5,2,IF($MS73=6,3,4))),1+MIN(5,$QH73))&amp;INDEX('DADOS_FORMAS'!$IA$2:$IF$81,($NJ73-1)*4+IF($MS73=0,1,IF($MS73&lt;=5,2,IF($MS73=6,3,4))),1+MIN(5,$QI73))&amp;IF(INDEX('DADOS_FORMAS'!$GI$2:$GI$21,$NJ73)=1,IF(COUNTIF($RK73:$RN73,"Mais Um")&gt;0," · +"&amp;COUNTIF($RK73:$RN73,"Mais Um")&amp;IF(COUNTIF($RK73:$RN73,"Mais Um")&gt;1," alvos"," alvo"),"")&amp;IF(COUNTIF($RK73:$RN73,"Rajada")&gt;0,IF($MS73=0," · 1 tiro"," · "&amp;(MAX(1,$MS73-1)+1)&amp;" tiros"),""),""))</f>
        <v/>
      </c>
      <c r="QK73" s="164">
        <f>IF($ND73=0,"",IF($MS73=0,$NG73&amp;"d6"&amp;IF($OU73&gt;0," − 1 = "&amp;$PD73&amp;"d6"," da básica do nível "&amp;$NE73),$PB73&amp;" − "&amp;$OW73&amp;" + "&amp;$OZ73&amp;" = "&amp;$PC73&amp;" · teto "&amp;4*$MS73&amp;"d8"&amp;IF($OF73=1," · a Forma devolve "&amp;$MS73,"")&amp;IF($PA73&gt;0," · perde "&amp;$PA73,"")))</f>
        <v/>
      </c>
      <c r="QL73" s="164">
        <f>IF($ND73=0,"",IF($MS73=0,"A básica não amplia: os dados dela sobem com o nível",IF($MS73&gt;=$NF73,"Já está na maior Classe que o nível liberou",TEXTJOIN(" · ",TRUE,IF(AND(2&gt;$MS73,2&lt;=$NF73),"2 → "&amp;$PN73&amp;", 6 PE",""),IF(AND(3&gt;$MS73,3&lt;=$NF73),"3 → "&amp;$PO73&amp;", 9 PE",""),IF(AND(4&gt;$MS73,4&lt;=$NF73),"4 → "&amp;$PP73&amp;", 12 PE",""),IF(AND(5&gt;$MS73,5&lt;=$NF73),"5 → "&amp;$PQ73&amp;", 15 PE",""),IF(AND(6&gt;$MS73,6&lt;=$NF73),"6 → "&amp;$PR73&amp;", 18 PE",""),IF(AND(7&gt;$MS73,7&lt;=$NF73),"7 → "&amp;$PS73&amp;", 21 PE","")))))</f>
        <v/>
      </c>
      <c r="QM73" s="164">
        <f>IF(OR($ND73=0,$NO73=0),"",IF($MS73=0,"−1 dado","−"&amp;INDEX($I$2:$N$8,MAX(1,$MS73),MAX(1,$NT73))&amp;" · "&amp;CHOOSE(MAX(1,$NT73),"Leve","Média","Pesada","Leve · Livre","Média · Livre","Pesada · Livre")))</f>
        <v/>
      </c>
      <c r="QN73" s="164">
        <f>IF(OR($ND73=0,$NP73=0),"",IF($MS73=0,"−1 dado","−"&amp;INDEX($I$2:$N$8,MAX(1,$MS73),MAX(1,$NU73))&amp;" · "&amp;CHOOSE(MAX(1,$NU73),"Leve","Média","Pesada","Leve · Livre","Média · Livre","Pesada · Livre")))</f>
        <v/>
      </c>
      <c r="QO73" s="164">
        <f>IF(OR($ND73=0,$NQ73=0),"",IF($MS73=0,"−1 dado","−"&amp;INDEX($I$2:$N$8,MAX(1,$MS73),MAX(1,$NV73))&amp;" · "&amp;CHOOSE(MAX(1,$NV73),"Leve","Média","Pesada","Leve · Livre","Média · Livre","Pesada · Livre")))</f>
        <v/>
      </c>
      <c r="QP73" s="164">
        <f>IF(OR($ND73=0,$NR73=0),"",IF($MS73=0,"−1 dado","−"&amp;INDEX($I$2:$N$8,MAX(1,$MS73),MAX(1,$NW73))&amp;" · "&amp;CHOOSE(MAX(1,$NW73),"Leve","Média","Pesada","Leve · Livre","Média · Livre","Pesada · Livre")))</f>
        <v/>
      </c>
      <c r="QQ73" s="164">
        <f>IF(OR($ND73=0,$NB73=""),"",IF($MS73=0,"não devolve","+"&amp;IF($OI73=1,CEILING($MS73/2,1),$MS73)))</f>
        <v/>
      </c>
      <c r="QR73" s="164">
        <f>IF(OR($ND73=0,$NC73=""),"",IF($MS73=0,"não devolve","+"&amp;IF($OJ73=1,CEILING($MS73/2,1),$MS73)))</f>
        <v/>
      </c>
      <c r="RK73">
        <f>IF($MX73="","",IFERROR(VLOOKUP(SUBSTITUTE(SUBSTITUTE(SUBSTITUTE($MX73,"~","~~"),"*","~*"),"?","~?"),'DADOS_MELHORIAS'!$O$2:$X$113,10,FALSE),$MX73))</f>
        <v/>
      </c>
      <c r="RL73">
        <f>IF($MY73="","",IFERROR(VLOOKUP(SUBSTITUTE(SUBSTITUTE(SUBSTITUTE($MY73,"~","~~"),"*","~*"),"?","~?"),'DADOS_MELHORIAS'!$O$2:$X$113,10,FALSE),$MY73))</f>
        <v/>
      </c>
      <c r="RM73">
        <f>IF($MZ73="","",IFERROR(VLOOKUP(SUBSTITUTE(SUBSTITUTE(SUBSTITUTE($MZ73,"~","~~"),"*","~*"),"?","~?"),'DADOS_MELHORIAS'!$O$2:$X$113,10,FALSE),$MZ73))</f>
        <v/>
      </c>
      <c r="RN73">
        <f>IF($NA73="","",IFERROR(VLOOKUP(SUBSTITUTE(SUBSTITUTE(SUBSTITUTE($NA73,"~","~~"),"*","~*"),"?","~?"),'DADOS_MELHORIAS'!$O$2:$X$113,10,FALSE),$NA73))</f>
        <v/>
      </c>
      <c r="RO73">
        <f>IFERROR(INDEX('DADOS_FORMAS'!$BJ$2:$BJ$21,MATCH(SUBSTITUTE(SUBSTITUTE(SUBSTITUTE($MU73,"~","~~"),"*","~*"),"?","~?"),'DADOS_FORMAS'!$AH$2:$AH$21,0)),"")</f>
        <v/>
      </c>
      <c r="RP73">
        <f>IFERROR(VLOOKUP(SUBSTITUTE(SUBSTITUTE(SUBSTITUTE(IFERROR(INDEX('DADOS_FORMAS'!$AS$2:$AS$21,MATCH(SUBSTITUTE(SUBSTITUTE(SUBSTITUTE($MU73,"~","~~"),"*","~*"),"?","~?"),'DADOS_FORMAS'!$AH$2:$AH$21,0)),""),"~","~~"),"*","~*"),"?","~?"),'DADOS_RESTRICOES'!$M$2:$Q$54,2,FALSE),"")</f>
        <v/>
      </c>
      <c r="RQ73">
        <f>$OK73</f>
        <v/>
      </c>
      <c r="RR73">
        <f>$OL73</f>
        <v/>
      </c>
      <c r="RS73">
        <f>$RP73</f>
        <v/>
      </c>
    </row>
    <row r="74">
      <c r="AV74" s="162" t="inlineStr">
        <is>
          <t>Limpa</t>
        </is>
      </c>
      <c r="AW74" s="162" t="inlineStr">
        <is>
          <t>Amparo</t>
        </is>
      </c>
      <c r="AX74" s="164" t="n">
        <v>2</v>
      </c>
      <c r="AY74" s="164" t="n">
        <v>0</v>
      </c>
      <c r="AZ74" s="164" t="n">
        <v>0</v>
      </c>
      <c r="BA74" s="164" t="n">
        <v>0</v>
      </c>
      <c r="JT74" s="164">
        <f>IF(OR($AW74="",(COUNTIF($EL$2:$EP$2,$AW74)+COUNTIF($QV$2:$QY$2,$AW74))&gt;0),$AV74,"")</f>
        <v/>
      </c>
      <c r="JU74" s="164">
        <f>IF(AND($AX74=1,OR($AW74="",(COUNTIF($EL$2:$EP$2,$AW74)+COUNTIF($QV$2:$QY$2,$AW74))&gt;0)),$AV74,"")</f>
        <v/>
      </c>
      <c r="JZ74" s="164">
        <f>IF(OR($AW74="",(COUNTIF($EL$3:$EP$3,$AW74)+COUNTIF($QV$3:$QY$3,$AW74))&gt;0),$AV74,"")</f>
        <v/>
      </c>
      <c r="KA74" s="164">
        <f>IF(AND($AX74=1,OR($AW74="",(COUNTIF($EL$3:$EP$3,$AW74)+COUNTIF($QV$3:$QY$3,$AW74))&gt;0)),$AV74,"")</f>
        <v/>
      </c>
      <c r="KF74" s="164">
        <f>IF(OR($AW74="",(COUNTIF($EL$4:$EP$4,$AW74)+COUNTIF($QV$4:$QY$4,$AW74))&gt;0),$AV74,"")</f>
        <v/>
      </c>
      <c r="KG74" s="164">
        <f>IF(AND($AX74=1,OR($AW74="",(COUNTIF($EL$4:$EP$4,$AW74)+COUNTIF($QV$4:$QY$4,$AW74))&gt;0)),$AV74,"")</f>
        <v/>
      </c>
      <c r="KL74" s="164">
        <f>IF(OR($AW74="",(COUNTIF($EL$5:$EP$5,$AW74)+COUNTIF($QV$5:$QY$5,$AW74))&gt;0),$AV74,"")</f>
        <v/>
      </c>
      <c r="KM74" s="164">
        <f>IF(AND($AX74=1,OR($AW74="",(COUNTIF($EL$5:$EP$5,$AW74)+COUNTIF($QV$5:$QY$5,$AW74))&gt;0)),$AV74,"")</f>
        <v/>
      </c>
      <c r="KR74" s="164">
        <f>IF(OR($AW74="",(COUNTIF($EL$6:$EP$6,$AW74)+COUNTIF($QV$6:$QY$6,$AW74))&gt;0),$AV74,"")</f>
        <v/>
      </c>
      <c r="KS74" s="164">
        <f>IF(AND($AX74=1,OR($AW74="",(COUNTIF($EL$6:$EP$6,$AW74)+COUNTIF($QV$6:$QY$6,$AW74))&gt;0)),$AV74,"")</f>
        <v/>
      </c>
      <c r="KX74" s="164">
        <f>IF(OR($AW74="",(COUNTIF($EL$7:$EP$7,$AW74)+COUNTIF($QV$7:$QY$7,$AW74))&gt;0),$AV74,"")</f>
        <v/>
      </c>
      <c r="KY74" s="164">
        <f>IF(AND($AX74=1,OR($AW74="",(COUNTIF($EL$7:$EP$7,$AW74)+COUNTIF($QV$7:$QY$7,$AW74))&gt;0)),$AV74,"")</f>
        <v/>
      </c>
      <c r="LD74" s="164">
        <f>IF(OR($AW74="",(COUNTIF($EL$8:$EP$8,$AW74)+COUNTIF($QV$8:$QY$8,$AW74))&gt;0),$AV74,"")</f>
        <v/>
      </c>
      <c r="LE74" s="164">
        <f>IF(AND($AX74=1,OR($AW74="",(COUNTIF($EL$8:$EP$8,$AW74)+COUNTIF($QV$8:$QY$8,$AW74))&gt;0)),$AV74,"")</f>
        <v/>
      </c>
      <c r="LJ74" s="164">
        <f>IF(OR($AW74="",(COUNTIF($EL$9:$EP$9,$AW74)+COUNTIF($QV$9:$QY$9,$AW74))&gt;0),$AV74,"")</f>
        <v/>
      </c>
      <c r="LK74" s="164">
        <f>IF(AND($AX74=1,OR($AW74="",(COUNTIF($EL$9:$EP$9,$AW74)+COUNTIF($QV$9:$QY$9,$AW74))&gt;0)),$AV74,"")</f>
        <v/>
      </c>
      <c r="LP74" s="164">
        <f>IF(OR($AW74="",(COUNTIF($EL$10:$EP$10,$AW74)+COUNTIF($QV$10:$QY$10,$AW74))&gt;0),$AV74,"")</f>
        <v/>
      </c>
      <c r="LQ74" s="164">
        <f>IF(AND($AX74=1,OR($AW74="",(COUNTIF($EL$10:$EP$10,$AW74)+COUNTIF($QV$10:$QY$10,$AW74))&gt;0)),$AV74,"")</f>
        <v/>
      </c>
      <c r="LV74" s="164">
        <f>IF(OR($AW74="",(COUNTIF($EL$11:$EP$11,$AW74)+COUNTIF($QV$11:$QY$11,$AW74))&gt;0),$AV74,"")</f>
        <v/>
      </c>
      <c r="LW74" s="164">
        <f>IF(AND($AX74=1,OR($AW74="",(COUNTIF($EL$11:$EP$11,$AW74)+COUNTIF($QV$11:$QY$11,$AW74))&gt;0)),$AV74,"")</f>
        <v/>
      </c>
      <c r="MB74" s="164">
        <f>IF(OR($AW74="",(COUNTIF($EL$12:$EP$12,$AW74)+COUNTIF($QV$12:$QY$12,$AW74))&gt;0),$AV74,"")</f>
        <v/>
      </c>
      <c r="MC74" s="164">
        <f>IF(AND($AX74=1,OR($AW74="",(COUNTIF($EL$12:$EP$12,$AW74)+COUNTIF($QV$12:$QY$12,$AW74))&gt;0)),$AV74,"")</f>
        <v/>
      </c>
      <c r="MH74" s="164">
        <f>IF(OR($AW74="",(COUNTIF($EL$13:$EP$13,$AW74)+COUNTIF($QV$13:$QY$13,$AW74))&gt;0),$AV74,"")</f>
        <v/>
      </c>
      <c r="MI74" s="164">
        <f>IF(AND($AX74=1,OR($AW74="",(COUNTIF($EL$13:$EP$13,$AW74)+COUNTIF($QV$13:$QY$13,$AW74))&gt;0)),$AV74,"")</f>
        <v/>
      </c>
      <c r="MN74" s="162" t="inlineStr">
        <is>
          <t>Ficha 6 · Especial 6</t>
        </is>
      </c>
      <c r="MO74" s="164" t="n">
        <v>6</v>
      </c>
      <c r="MP74" s="164" t="n">
        <v>1</v>
      </c>
      <c r="MQ74" s="164" t="n">
        <v>20</v>
      </c>
      <c r="MR74" s="162" t="inlineStr">
        <is>
          <t>ESPECIAL 6</t>
        </is>
      </c>
      <c r="MS74" s="164">
        <f>MAX(1,MIN(7,N('INVOCAÇÕES'!$O$1182)))</f>
        <v/>
      </c>
      <c r="MT74" s="164">
        <f>'INVOCAÇÕES'!$P$1182&amp;""</f>
        <v/>
      </c>
      <c r="MU74" s="164">
        <f>'INVOCAÇÕES'!$O$1187&amp;""</f>
        <v/>
      </c>
      <c r="MV74" s="164">
        <f>'INVOCAÇÕES'!$O$1188&amp;""</f>
        <v/>
      </c>
      <c r="MW74" s="164">
        <f>'INVOCAÇÕES'!$Q$1188&amp;""</f>
        <v/>
      </c>
      <c r="MX74" s="164">
        <f>'INVOCAÇÕES'!$P$1191&amp;""</f>
        <v/>
      </c>
      <c r="MY74" s="164">
        <f>'INVOCAÇÕES'!$P$1192&amp;""</f>
        <v/>
      </c>
      <c r="MZ74" s="164">
        <f>'INVOCAÇÕES'!$P$1193&amp;""</f>
        <v/>
      </c>
      <c r="NA74" s="164">
        <f>'INVOCAÇÕES'!$P$1194&amp;""</f>
        <v/>
      </c>
      <c r="NB74" s="164">
        <f>'INVOCAÇÕES'!$P$1195&amp;""</f>
        <v/>
      </c>
      <c r="NC74" s="164">
        <f>'INVOCAÇÕES'!$P$1196&amp;""</f>
        <v/>
      </c>
      <c r="ND74" s="164">
        <f>IF($MT74&lt;&gt;"",1,0)</f>
        <v/>
      </c>
      <c r="NE74" s="164">
        <f>INDEX($FO$2:$FO$13,$MO74)</f>
        <v/>
      </c>
      <c r="NF74" s="164">
        <f>INDEX($FP$2:$FP$13,$MO74)</f>
        <v/>
      </c>
      <c r="NG74" s="164">
        <f>INDEX($FQ$2:$FQ$13,$MO74)</f>
        <v/>
      </c>
      <c r="NH74" s="164">
        <f>INDEX($GB$2:$GB$13,$MO74)</f>
        <v/>
      </c>
      <c r="NI74" s="164">
        <f>INDEX($GC$2:$GC$13,$MO74)</f>
        <v/>
      </c>
      <c r="NJ74" s="164">
        <f>IFERROR(MATCH(SUBSTITUTE(SUBSTITUTE(SUBSTITUTE($MU74,"~","~~"),"*","~*"),"?","~?"),'DADOS_FORMAS'!$FZ$2:$FZ$21,0),0)</f>
        <v/>
      </c>
      <c r="NK74" s="164">
        <f>IFERROR(VLOOKUP(SUBSTITUTE(SUBSTITUTE(SUBSTITUTE($MX74,"~","~~"),"*","~*"),"?","~?"),'DADOS_MELHORIAS'!$AG$2:$AL$113,2,FALSE),"")</f>
        <v/>
      </c>
      <c r="NL74" s="164">
        <f>IFERROR(VLOOKUP(SUBSTITUTE(SUBSTITUTE(SUBSTITUTE($MY74,"~","~~"),"*","~*"),"?","~?"),'DADOS_MELHORIAS'!$AG$2:$AL$113,2,FALSE),"")</f>
        <v/>
      </c>
      <c r="NM74" s="164">
        <f>IFERROR(VLOOKUP(SUBSTITUTE(SUBSTITUTE(SUBSTITUTE($MZ74,"~","~~"),"*","~*"),"?","~?"),'DADOS_MELHORIAS'!$AG$2:$AL$113,2,FALSE),"")</f>
        <v/>
      </c>
      <c r="NN74" s="164">
        <f>IFERROR(VLOOKUP(SUBSTITUTE(SUBSTITUTE(SUBSTITUTE($NA74,"~","~~"),"*","~*"),"?","~?"),'DADOS_MELHORIAS'!$AG$2:$AL$113,2,FALSE),"")</f>
        <v/>
      </c>
      <c r="NO74" s="164">
        <f>IFERROR(VLOOKUP(SUBSTITUTE(SUBSTITUTE(SUBSTITUTE($MX74,"~","~~"),"*","~*"),"?","~?"),'DADOS_MELHORIAS'!$AG$2:$AL$113,3,FALSE),0)</f>
        <v/>
      </c>
      <c r="NP74" s="164">
        <f>IFERROR(VLOOKUP(SUBSTITUTE(SUBSTITUTE(SUBSTITUTE($MY74,"~","~~"),"*","~*"),"?","~?"),'DADOS_MELHORIAS'!$AG$2:$AL$113,3,FALSE),0)</f>
        <v/>
      </c>
      <c r="NQ74" s="164">
        <f>IFERROR(VLOOKUP(SUBSTITUTE(SUBSTITUTE(SUBSTITUTE($MZ74,"~","~~"),"*","~*"),"?","~?"),'DADOS_MELHORIAS'!$AG$2:$AL$113,3,FALSE),0)</f>
        <v/>
      </c>
      <c r="NR74" s="164">
        <f>IFERROR(VLOOKUP(SUBSTITUTE(SUBSTITUTE(SUBSTITUTE($NA74,"~","~~"),"*","~*"),"?","~?"),'DADOS_MELHORIAS'!$AG$2:$AL$113,3,FALSE),0)</f>
        <v/>
      </c>
      <c r="NS74" s="164">
        <f>IF($MS74=0,0,IF($NJ74=0,0,INDEX('DADOS_FORMAS'!$GB$2:$GB$21,$NJ74)))</f>
        <v/>
      </c>
      <c r="NT74" s="164">
        <f>IF(OR($NO74=0,$MS74=0),0,$NO74+3*IF(AND($NK74&lt;&gt;"",COUNTIF(INDEX($RB$2:$RJ$13,$MO74,0),$NK74)&gt;0),1,0))</f>
        <v/>
      </c>
      <c r="NU74" s="164">
        <f>IF(OR($NP74=0,$MS74=0),0,$NP74+3*IF(AND($NL74&lt;&gt;"",COUNTIF(INDEX($RB$2:$RJ$13,$MO74,0),$NL74)&gt;0),1,0))</f>
        <v/>
      </c>
      <c r="NV74" s="164">
        <f>IF(OR($NQ74=0,$MS74=0),0,$NQ74+3*IF(AND($NM74&lt;&gt;"",COUNTIF(INDEX($RB$2:$RJ$13,$MO74,0),$NM74)&gt;0),1,0))</f>
        <v/>
      </c>
      <c r="NW74" s="164">
        <f>IF(OR($NR74=0,$MS74=0),0,$NR74+3*IF(AND($NN74&lt;&gt;"",COUNTIF(INDEX($RB$2:$RJ$13,$MO74,0),$NN74)&gt;0),1,0))</f>
        <v/>
      </c>
      <c r="NX74" s="164">
        <f>IF($NJ74=0,0,IF(INDEX('DADOS_FORMAS'!$GA$2:$GA$21,$NJ74)="",0,IF((COUNTIF(INDEX($EL$2:$EP$13,$MO74,0),INDEX('DADOS_FORMAS'!$GA$2:$GA$21,$NJ74))+COUNTIF(INDEX($QV$2:$QY$13,$MO74,0),INDEX('DADOS_FORMAS'!$GA$2:$GA$21,$NJ74)))=0,1,0)))</f>
        <v/>
      </c>
      <c r="NY74" s="164">
        <f>IF(OR($NO74=0,$NK74=""),0,IF((COUNTIF(INDEX($EL$2:$EP$13,$MO74,0),$NK74)+COUNTIF(INDEX($QV$2:$QY$13,$MO74,0),$NK74))=0,1,0))</f>
        <v/>
      </c>
      <c r="NZ74" s="164">
        <f>IF(OR($NP74=0,$NL74=""),0,IF((COUNTIF(INDEX($EL$2:$EP$13,$MO74,0),$NL74)+COUNTIF(INDEX($QV$2:$QY$13,$MO74,0),$NL74))=0,1,0))</f>
        <v/>
      </c>
      <c r="OA74" s="164">
        <f>IF(OR($NQ74=0,$NM74=""),0,IF((COUNTIF(INDEX($EL$2:$EP$13,$MO74,0),$NM74)+COUNTIF(INDEX($QV$2:$QY$13,$MO74,0),$NM74))=0,1,0))</f>
        <v/>
      </c>
      <c r="OB74" s="164">
        <f>IF(OR($NR74=0,$NN74=""),0,IF((COUNTIF(INDEX($EL$2:$EP$13,$MO74,0),$NN74)+COUNTIF(INDEX($QV$2:$QY$13,$MO74,0),$NN74))=0,1,0))</f>
        <v/>
      </c>
      <c r="OC74" s="164">
        <f>IFERROR(VLOOKUP(SUBSTITUTE(SUBSTITUTE(SUBSTITUTE($MX74,"~","~~"),"*","~*"),"?","~?"),'DADOS_MELHORIAS'!$AG$2:$AL$113,4,FALSE),0)+IFERROR(VLOOKUP(SUBSTITUTE(SUBSTITUTE(SUBSTITUTE($MY74,"~","~~"),"*","~*"),"?","~?"),'DADOS_MELHORIAS'!$AG$2:$AL$113,4,FALSE),0)+IFERROR(VLOOKUP(SUBSTITUTE(SUBSTITUTE(SUBSTITUTE($MZ74,"~","~~"),"*","~*"),"?","~?"),'DADOS_MELHORIAS'!$AG$2:$AL$113,4,FALSE),0)+IFERROR(VLOOKUP(SUBSTITUTE(SUBSTITUTE(SUBSTITUTE($NA74,"~","~~"),"*","~*"),"?","~?"),'DADOS_MELHORIAS'!$AG$2:$AL$113,4,FALSE),0)</f>
        <v/>
      </c>
      <c r="OD74" s="164">
        <f>IFERROR(VLOOKUP(SUBSTITUTE(SUBSTITUTE(SUBSTITUTE($MX74,"~","~~"),"*","~*"),"?","~?"),'DADOS_MELHORIAS'!$AG$2:$AL$113,6,FALSE),0)+IFERROR(VLOOKUP(SUBSTITUTE(SUBSTITUTE(SUBSTITUTE($MY74,"~","~~"),"*","~*"),"?","~?"),'DADOS_MELHORIAS'!$AG$2:$AL$113,6,FALSE),0)+IFERROR(VLOOKUP(SUBSTITUTE(SUBSTITUTE(SUBSTITUTE($MZ74,"~","~~"),"*","~*"),"?","~?"),'DADOS_MELHORIAS'!$AG$2:$AL$113,6,FALSE),0)+IFERROR(VLOOKUP(SUBSTITUTE(SUBSTITUTE(SUBSTITUTE($NA74,"~","~~"),"*","~*"),"?","~?"),'DADOS_MELHORIAS'!$AG$2:$AL$113,6,FALSE),0)+IFERROR(N(AND(INDEX('DADOS_FORMAS'!$AO$2:$AO$21,MATCH(SUBSTITUTE(SUBSTITUTE(SUBSTITUTE($MU74,"~","~~"),"*","~*"),"?","~?"),'DADOS_FORMAS'!$AH$2:$AH$21,0))="Acerto",$OH74=1)),0)</f>
        <v/>
      </c>
      <c r="OE74" s="164">
        <f>TEXTJOIN(", ",TRUE,IF(IFERROR(VLOOKUP(SUBSTITUTE(SUBSTITUTE(SUBSTITUTE($MX74,"~","~~"),"*","~*"),"?","~?"),'DADOS_MELHORIAS'!$AG$2:$AL$113,5,FALSE),0)=1,$MX74,""),IF(IFERROR(VLOOKUP(SUBSTITUTE(SUBSTITUTE(SUBSTITUTE($MY74,"~","~~"),"*","~*"),"?","~?"),'DADOS_MELHORIAS'!$AG$2:$AL$113,5,FALSE),0)=1,$MY74,""),IF(IFERROR(VLOOKUP(SUBSTITUTE(SUBSTITUTE(SUBSTITUTE($MZ74,"~","~~"),"*","~*"),"?","~?"),'DADOS_MELHORIAS'!$AG$2:$AL$113,5,FALSE),0)=1,$MZ74,""),IF(IFERROR(VLOOKUP(SUBSTITUTE(SUBSTITUTE(SUBSTITUTE($NA74,"~","~~"),"*","~*"),"?","~?"),'DADOS_MELHORIAS'!$AG$2:$AL$113,5,FALSE),0)=1,$NA74,""))</f>
        <v/>
      </c>
      <c r="OF74" s="164">
        <f>IF($NJ74=0,0,INDEX('DADOS_FORMAS'!$GC$2:$GC$21,$NJ74))</f>
        <v/>
      </c>
      <c r="OG74" s="164">
        <f>IF($NJ74=0,0,INDEX('DADOS_FORMAS'!$GD$2:$GD$21,$NJ74))</f>
        <v/>
      </c>
      <c r="OH74" s="164">
        <f>IF($NJ74=0,0,INDEX('DADOS_FORMAS'!$GF$2:$GF$21,$NJ74))</f>
        <v/>
      </c>
      <c r="OI74" s="164">
        <f>IFERROR(VLOOKUP(SUBSTITUTE(SUBSTITUTE(SUBSTITUTE($NB74,"~","~~"),"*","~*"),"?","~?"),'DADOS_RESTRICOES'!$M$2:$Q$54,3,FALSE),0)</f>
        <v/>
      </c>
      <c r="OJ74" s="164">
        <f>IFERROR(VLOOKUP(SUBSTITUTE(SUBSTITUTE(SUBSTITUTE($NC74,"~","~~"),"*","~*"),"?","~?"),'DADOS_RESTRICOES'!$M$2:$Q$54,3,FALSE),0)</f>
        <v/>
      </c>
      <c r="OK74" s="164">
        <f>IFERROR(VLOOKUP(SUBSTITUTE(SUBSTITUTE(SUBSTITUTE($NB74,"~","~~"),"*","~*"),"?","~?"),'DADOS_RESTRICOES'!$M$2:$Q$54,2,FALSE),"")</f>
        <v/>
      </c>
      <c r="OL74" s="164">
        <f>IFERROR(VLOOKUP(SUBSTITUTE(SUBSTITUTE(SUBSTITUTE($NC74,"~","~~"),"*","~*"),"?","~?"),'DADOS_RESTRICOES'!$M$2:$Q$54,2,FALSE),"")</f>
        <v/>
      </c>
      <c r="OM74" s="164">
        <f>COUNTIF($NS74:$NW74,1)</f>
        <v/>
      </c>
      <c r="ON74" s="164">
        <f>COUNTIF($NS74:$NW74,2)</f>
        <v/>
      </c>
      <c r="OO74" s="164">
        <f>COUNTIF($NS74:$NW74,3)</f>
        <v/>
      </c>
      <c r="OP74" s="164">
        <f>COUNTIF($NS74:$NW74,4)</f>
        <v/>
      </c>
      <c r="OQ74" s="164">
        <f>COUNTIF($NS74:$NW74,5)</f>
        <v/>
      </c>
      <c r="OR74" s="164">
        <f>COUNTIF($NS74:$NW74,6)</f>
        <v/>
      </c>
      <c r="OS74" s="164">
        <f>COUNTIF($OI74:$OJ74,1)+IF(IFERROR(INDEX('DADOS_FORMAS'!$AS$2:$AS$21,MATCH(SUBSTITUTE(SUBSTITUTE(SUBSTITUTE($MU74,"~","~~"),"*","~*"),"?","~?"),'DADOS_FORMAS'!$AH$2:$AH$21,0)),"")="",0,IFERROR(N(VLOOKUP(SUBSTITUTE(SUBSTITUTE(SUBSTITUTE(IFERROR(INDEX('DADOS_FORMAS'!$AS$2:$AS$21,MATCH(SUBSTITUTE(SUBSTITUTE(SUBSTITUTE($MU74,"~","~~"),"*","~*"),"?","~?"),'DADOS_FORMAS'!$AH$2:$AH$21,0)),""),"~","~~"),"*","~*"),"?","~?"),'DADOS_RESTRICOES'!$M$2:$Q$54,3,FALSE)=1),0))</f>
        <v/>
      </c>
      <c r="OT74" s="164">
        <f>COUNTIF($OI74:$OJ74,2)+IF(IFERROR(INDEX('DADOS_FORMAS'!$AS$2:$AS$21,MATCH(SUBSTITUTE(SUBSTITUTE(SUBSTITUTE($MU74,"~","~~"),"*","~*"),"?","~?"),'DADOS_FORMAS'!$AH$2:$AH$21,0)),"")="",0,IFERROR(N(VLOOKUP(SUBSTITUTE(SUBSTITUTE(SUBSTITUTE(IFERROR(INDEX('DADOS_FORMAS'!$AS$2:$AS$21,MATCH(SUBSTITUTE(SUBSTITUTE(SUBSTITUTE($MU74,"~","~~"),"*","~*"),"?","~?"),'DADOS_FORMAS'!$AH$2:$AH$21,0)),""),"~","~~"),"*","~*"),"?","~?"),'DADOS_RESTRICOES'!$M$2:$Q$54,3,FALSE)=2),0))</f>
        <v/>
      </c>
      <c r="OU74" s="164">
        <f>COUNTIF($MX74:$NA74,"?*")</f>
        <v/>
      </c>
      <c r="OV74" s="164">
        <f>COUNTIF($NB74:$NC74,"?*")+$OF74</f>
        <v/>
      </c>
      <c r="OW74" s="164">
        <f>IF($MS74=0,0,SUMPRODUCT($OM74:$OR74,INDEX($I$2:$N$8,MAX(1,$MS74),0)))</f>
        <v/>
      </c>
      <c r="OX74" s="164">
        <f>IF($MS74=0,0,$OS74*CEILING($MS74/2,1)+$OT74*$MS74)</f>
        <v/>
      </c>
      <c r="OY74" s="164">
        <f>MIN(2*$MS74,$OX74)</f>
        <v/>
      </c>
      <c r="OZ74" s="164">
        <f>MIN($OY74,$OW74-IF($NS74=0,0,INDEX($I$2:$N$8,MAX(1,$MS74),$NS74)))</f>
        <v/>
      </c>
      <c r="PA74" s="164">
        <f>$OY74-$OZ74</f>
        <v/>
      </c>
      <c r="PB74" s="164">
        <f>IF($MS74=0,0,INDEX($P$2:$P$8,MAX(1,$MS74)))</f>
        <v/>
      </c>
      <c r="PC74" s="164">
        <f>$PB74-$OW74+$OZ74</f>
        <v/>
      </c>
      <c r="PD74" s="164">
        <f>IF($MS74=0,MAX(0,$NG74-IF(AND($OU74&gt;0,COUNTIF($NB74:$NC74,"?*")=0),1,0)),MAX(0,$PC74))</f>
        <v/>
      </c>
      <c r="PE74" s="164">
        <f>IF($MS74=0,0,(IF(COUNTIF($RK74:$RN74,"Salto")&gt;0,1,0)+IF(COUNTIF($RK74:$RN74,"Queima")&gt;0,1,0)+IF(COUNTIF($RK74:$RN74,"Estilhaço")&gt;0,1,0))*FLOOR($PD74/2,1))</f>
        <v/>
      </c>
      <c r="PF74" s="164">
        <f>MAX(0,2-SUMPRODUCT($OM74:$OR74,$I$2:$N$2)+MIN(2,$OS74*1+$OT74*1,SUMPRODUCT($OM74:$OR74,$I$2:$N$2)-IF($NS74=0,0,INDEX($I$2:$N$2,1,$NS74))))</f>
        <v/>
      </c>
      <c r="PG74" s="164">
        <f>MAX(0,4-SUMPRODUCT($OM74:$OR74,$I$3:$N$3)+MIN(4,$OS74*1+$OT74*2,SUMPRODUCT($OM74:$OR74,$I$3:$N$3)-IF($NS74=0,0,INDEX($I$3:$N$3,1,$NS74))))</f>
        <v/>
      </c>
      <c r="PH74" s="164">
        <f>MAX(0,6-SUMPRODUCT($OM74:$OR74,$I$4:$N$4)+MIN(6,$OS74*2+$OT74*3,SUMPRODUCT($OM74:$OR74,$I$4:$N$4)-IF($NS74=0,0,INDEX($I$4:$N$4,1,$NS74))))</f>
        <v/>
      </c>
      <c r="PI74" s="164">
        <f>MAX(0,9-SUMPRODUCT($OM74:$OR74,$I$5:$N$5)+MIN(8,$OS74*2+$OT74*4,SUMPRODUCT($OM74:$OR74,$I$5:$N$5)-IF($NS74=0,0,INDEX($I$5:$N$5,1,$NS74))))</f>
        <v/>
      </c>
      <c r="PJ74" s="164">
        <f>MAX(0,11-SUMPRODUCT($OM74:$OR74,$I$6:$N$6)+MIN(10,$OS74*3+$OT74*5,SUMPRODUCT($OM74:$OR74,$I$6:$N$6)-IF($NS74=0,0,INDEX($I$6:$N$6,1,$NS74))))</f>
        <v/>
      </c>
      <c r="PK74" s="164">
        <f>MAX(0,13-SUMPRODUCT($OM74:$OR74,$I$7:$N$7)+MIN(12,$OS74*3+$OT74*6,SUMPRODUCT($OM74:$OR74,$I$7:$N$7)-IF($NS74=0,0,INDEX($I$7:$N$7,1,$NS74))))</f>
        <v/>
      </c>
      <c r="PL74" s="164">
        <f>MAX(0,16-SUMPRODUCT($OM74:$OR74,$I$8:$N$8)+MIN(14,$OS74*4+$OT74*7,SUMPRODUCT($OM74:$OR74,$I$8:$N$8)-IF($NS74=0,0,INDEX($I$8:$N$8,1,$NS74))))</f>
        <v/>
      </c>
      <c r="PM74" s="164">
        <f>IF($OG74=2,3*$PF74&amp;" de vida temp.",IF($OG74=3,"sem dano",IF($PF74=0,IF($OG74=1,"sem cura","sem dano"),IF($OG74=1,"cura ","")&amp;$PF74&amp;"d8")))</f>
        <v/>
      </c>
      <c r="PN74" s="164">
        <f>IF($OG74=2,3*$PG74&amp;" de vida temp.",IF($OG74=3,"sem dano",IF($PG74=0,IF($OG74=1,"sem cura","sem dano"),IF($OG74=1,"cura ","")&amp;$PG74&amp;"d8")))</f>
        <v/>
      </c>
      <c r="PO74" s="164">
        <f>IF($OG74=2,3*$PH74&amp;" de vida temp.",IF($OG74=3,"sem dano",IF($PH74=0,IF($OG74=1,"sem cura","sem dano"),IF($OG74=1,"cura ","")&amp;$PH74&amp;"d8")))</f>
        <v/>
      </c>
      <c r="PP74" s="164">
        <f>IF($OG74=2,3*$PI74&amp;" de vida temp.",IF($OG74=3,"sem dano",IF($PI74=0,IF($OG74=1,"sem cura","sem dano"),IF($OG74=1,"cura ","")&amp;$PI74&amp;"d8")))</f>
        <v/>
      </c>
      <c r="PQ74" s="164">
        <f>IF($OG74=2,3*$PJ74&amp;" de vida temp.",IF($OG74=3,"sem dano",IF($PJ74=0,IF($OG74=1,"sem cura","sem dano"),IF($OG74=1,"cura ","")&amp;$PJ74&amp;"d8")))</f>
        <v/>
      </c>
      <c r="PR74" s="164">
        <f>IF($OG74=2,3*$PK74&amp;" de vida temp.",IF($OG74=3,"sem dano",IF($PK74=0,IF($OG74=1,"sem cura","sem dano"),IF($OG74=1,"cura ","")&amp;$PK74&amp;"d8")))</f>
        <v/>
      </c>
      <c r="PS74" s="164">
        <f>IF($OG74=2,3*$PL74&amp;" de vida temp.",IF($OG74=3,"sem dano",IF($PL74=0,IF($OG74=1,"sem cura","sem dano"),IF($OG74=1,"cura ","")&amp;$PL74&amp;"d8")))</f>
        <v/>
      </c>
      <c r="PT74" s="164">
        <f>IF($ND74=0,"",TEXTJOIN(" · ",TRUE,IF($ND74=0,"",TEXTJOIN(" · ",TRUE,IF($ND74=0,"",TEXTJOIN(" · ",TRUE,IF($MQ74&gt;$NE74,"Este lugar abre no nível "&amp;$MQ74,""),IF($MS74&gt;$NF74,"Classe "&amp;$MS74&amp;": o nível "&amp;$NE74&amp;" libera até a "&amp;$NF74,""),IF($NX74=1,"A Forma "&amp;$MU74&amp;" pede "&amp;INDEX('DADOS_FORMAS'!$GA$2:$GA$21,$NJ74)&amp;" aberta",""),IF(AND($MS74=0,$NJ74&gt;0,IF($NJ74=0,0,INDEX('DADOS_FORMAS'!$GJ$2:$GJ$21,$NJ74))=0),$MU74&amp;" não existe na Classe 0",""),IF($NY74=1,"Família Fechada: "&amp;$MX74,""),IF($NZ74=1,"Família Fechada: "&amp;$MY74,""),IF($OA74=1,"Família Fechada: "&amp;$MZ74,""),IF($OB74=1,"Família Fechada: "&amp;$NA74,""),IF(AND($MS74&gt;0,$OU74&gt;INDEX($O$2:$O$8,MAX(1,$MS74))),$OU74&amp;" Melhorias: a Classe "&amp;$MS74&amp;" aceita "&amp;INDEX($O$2:$O$8,MAX(1,$MS74)),""),IF(AND($MS74=0,$OU74&gt;1),"A básica aceita uma Melhoria",""),IF(AND($MS74=0,COUNTIF($NO74:$NR74,"&gt;1")&gt;0),"A básica só aceita Melhoria Leve",""),IF(AND($MS74&gt;0,$OV74&gt;2),$OV74&amp;" Restrições"&amp;IF($OF74=1,", contando a que a Forma "&amp;$MU74&amp;" já traz","")&amp;": o limite é 2",""),IF(AND($MS74=0,COUNTIF($NB74:$NC74,"?*")&gt;1),"A básica aceita uma Restrição Leve",""),IF(AND($MS74=0,COUNTIF($OI74:$OJ74,2)&gt;0),"A básica só aceita Restrição Leve",""),IF(AND($MS74&gt;0,$PC74&lt;0),"Orçamento estourado: faltam "&amp;(-$PC74)&amp;IF($PC74&lt;-1," pontos"," ponto"),""),IF(IFERROR(VLOOKUP(SUBSTITUTE(SUBSTITUTE(SUBSTITUTE($NB74,"~","~~"),"*","~*"),"?","~?"),'DADOS_RESTRICOES'!$M$2:$Q$54,4,FALSE),0)+IFERROR(VLOOKUP(SUBSTITUTE(SUBSTITUTE(SUBSTITUTE($NC74,"~","~~"),"*","~*"),"?","~?"),'DADOS_RESTRICOES'!$M$2:$Q$54,4,FALSE),0)&gt;1,$OK74&amp;" e "&amp;$OL74&amp;" são as duas de frequência",""),IF(AND((COUNTIF($RK74:$RN74,"Rápido")+COUNTIF($OK74:$OL74,"Rápido"))&gt;0,(COUNTIF($MX74:$NA74,"Atrasar")+COUNTIF($OK74:$OL74,"Atrasar"))&gt;0),"Rápido não entra com Atrasar",""),IF(AND((COUNTIF($RK74:$RN74,"Reação")+COUNTIF($OK74:$OL74,"Reação"))&gt;0,(COUNTIF($RK74:$RN74,"Rápido")+COUNTIF($OK74:$OL74,"Rápido"))&gt;0),"Reação não entra com Rápido",""),IF(AND((COUNTIF($RK74:$RN74,"Reação")+COUNTIF($OK74:$OL74,"Reação"))&gt;0,(COUNTIF($RK74:$RN74,"Armado")+COUNTIF($OK74:$OL74,"Armado"))&gt;0),"Reação não entra com Armado",""),IF(AND((COUNTIF($RK74:$RN74,"Reação")+COUNTIF($OK74:$OL74,"Reação"))&gt;0,(COUNTIF($MX74:$NA74,"Atrasar")+COUNTIF($OK74:$OL74,"Atrasar"))&gt;0),"Reação não entra com Atrasar",""),IF(AND((COUNTIF($RK74:$RN74,"Reação")+COUNTIF($OK74:$OL74,"Reação"))&gt;0,(COUNTIF($MX74:$NA74,"Parado")+COUNTIF($OK74:$OL74,"Parado"))&gt;0),"Reação não entra com Parado",""),IF(AND((COUNTIF($MX74:$NA74,"Atrasar")+COUNTIF($OK74:$OL74,"Atrasar"))&gt;0,(COUNTIF($MX74:$NA74,"Parado")+COUNTIF($OK74:$OL74,"Parado"))&gt;0),"Atrasar não entra com Parado",""),IF(AND((COUNTIF($RK74:$RN74,"Armado")+COUNTIF($OK74:$OL74,"Armado"))&gt;0,(COUNTIF($MX74:$NA74,"Carregar")+COUNTIF($OK74:$OL74,"Carregar"))&gt;0),"Armado não entra com Carregar",""),IF(AND(COUNTIF($OK74:$OL74,"Corpo a Corpo")&gt;0,$OF74=0,OR($RO74="Cone",$RO74="Linha")),"Corpo a Corpo não entra em "&amp;$MU74,""),IF(AND(COUNTIF($OK74:$OL74,"Corpo a Corpo")&gt;0,$RP74="Corpo a Corpo"),"A Forma "&amp;$MU74&amp;" já traz o Corpo a Corpo",""),IF(AND(COUNTIF($OK74:$OL74,"Tudo ou Nada")&gt;0,$OH74=0),"Tudo ou Nada só entra em habilidade de Teste de Resistência",""),IF(AND(COUNTIF($RK74:$RN74,"Inescapável")&gt;0,OR($OU74&gt;1,$OV74&gt;0)),"Inescapável não aceita outra peça",""),IF(AND($MS74&gt;0,$PD74*IF(COUNTIF($RK74:$RN74,"Remate")&gt;0,1.25,1)+$PE74&gt;4*$MS74),($PD74*IF(COUNTIF($RK74:$RN74,"Remate")&gt;0,1.25,1)+$PE74)&amp;" dados somando repetições"&amp;IF(COUNTIF($RK74:$RN74,"Remate")&gt;0," e o Remate","")&amp;": o teto da Classe "&amp;$MS74&amp;" é "&amp;4*$MS74,""))),IF(AND($MX74&lt;&gt;"",COUNTIF('DADOS_MELHORIAS'!$O$2:$O$113,SUBSTITUTE(SUBSTITUTE(SUBSTITUTE($MX74,"~","~~"),"*","~*"),"?","~?"))=0),"Melhoria não cadastrada ou com erro: "&amp;$MX74,""),IF(AND($MY74&lt;&gt;"",COUNTIF('DADOS_MELHORIAS'!$O$2:$O$113,SUBSTITUTE(SUBSTITUTE(SUBSTITUTE($MY74,"~","~~"),"*","~*"),"?","~?"))=0),"Melhoria não cadastrada ou com erro: "&amp;$MY74,""),IF(AND($MZ74&lt;&gt;"",COUNTIF('DADOS_MELHORIAS'!$O$2:$O$113,SUBSTITUTE(SUBSTITUTE(SUBSTITUTE($MZ74,"~","~~"),"*","~*"),"?","~?"))=0),"Melhoria não cadastrada ou com erro: "&amp;$MZ74,""),IF(AND($NA74&lt;&gt;"",COUNTIF('DADOS_MELHORIAS'!$O$2:$O$113,SUBSTITUTE(SUBSTITUTE(SUBSTITUTE($NA74,"~","~~"),"*","~*"),"?","~?"))=0),"Melhoria não cadastrada ou com erro: "&amp;$NA74,""),IF(AND($NB74&lt;&gt;"",COUNTIF('DADOS_RESTRICOES'!$M$2:$M$54,SUBSTITUTE(SUBSTITUTE(SUBSTITUTE($NB74,"~","~~"),"*","~*"),"?","~?"))=0),"Restrição não cadastrada ou com erro: "&amp;$NB74,""),IF(AND($NC74&lt;&gt;"",COUNTIF('DADOS_RESTRICOES'!$M$2:$M$54,SUBSTITUTE(SUBSTITUTE(SUBSTITUTE($NC74,"~","~~"),"*","~*"),"?","~?"))=0),"Restrição não cadastrada ou com erro: "&amp;$NC74,""))),IF(AND($MU74&lt;&gt;"",COUNTIF('DADOS_FORMAS'!$AH$2:$AH$21,SUBSTITUTE(SUBSTITUTE(SUBSTITUTE($MU74,"~","~~"),"*","~*"),"?","~?"))=0),"Forma não cadastrada ou com erro: "&amp;$MU74,""),IF(AND(IFERROR(INDEX('DADOS_FORMAS'!$AS$2:$AS$21,MATCH(SUBSTITUTE(SUBSTITUTE(SUBSTITUTE($MU74,"~","~~"),"*","~*"),"?","~?"),'DADOS_FORMAS'!$AH$2:$AH$21,0)),"")&lt;&gt;"",OR(IFERROR(VLOOKUP(SUBSTITUTE(SUBSTITUTE(SUBSTITUTE(IFERROR(INDEX('DADOS_FORMAS'!$AS$2:$AS$21,MATCH(SUBSTITUTE(SUBSTITUTE(SUBSTITUTE($MU74,"~","~~"),"*","~*"),"?","~?"),'DADOS_FORMAS'!$AH$2:$AH$21,0)),""),"~","~~"),"*","~*"),"?","~?"),'DADOS_RESTRICOES'!$M$2:$Q$54,2,FALSE),"")=$OK74,IFERROR(VLOOKUP(SUBSTITUTE(SUBSTITUTE(SUBSTITUTE(IFERROR(INDEX('DADOS_FORMAS'!$AS$2:$AS$21,MATCH(SUBSTITUTE(SUBSTITUTE(SUBSTITUTE($MU74,"~","~~"),"*","~*"),"?","~?"),'DADOS_FORMAS'!$AH$2:$AH$21,0)),""),"~","~~"),"*","~*"),"?","~?"),'DADOS_RESTRICOES'!$M$2:$Q$54,2,FALSE),"")=$OL74)),"Restrição repetida, contando a embutida",""),IF(IF(IFERROR(INDEX('DADOS_FORMAS'!$AS$2:$AS$21,MATCH(SUBSTITUTE(SUBSTITUTE(SUBSTITUTE($MU74,"~","~~"),"*","~*"),"?","~?"),'DADOS_FORMAS'!$AH$2:$AH$21,0)),"")="",0,IFERROR(N(VLOOKUP(SUBSTITUTE(SUBSTITUTE(SUBSTITUTE(IFERROR(INDEX('DADOS_FORMAS'!$AS$2:$AS$21,MATCH(SUBSTITUTE(SUBSTITUTE(SUBSTITUTE($MU74,"~","~~"),"*","~*"),"?","~?"),'DADOS_FORMAS'!$AH$2:$AH$21,0)),""),"~","~~"),"*","~*"),"?","~?"),'DADOS_RESTRICOES'!$M$2:$Q$54,4,FALSE)=1),0))+IF($NB74="",0,IFERROR(N(VLOOKUP(SUBSTITUTE(SUBSTITUTE(SUBSTITUTE($NB74,"~","~~"),"*","~*"),"?","~?"),'DADOS_RESTRICOES'!$M$2:$Q$54,4,FALSE)=1),0))+IF($NC74="",0,IFERROR(N(VLOOKUP(SUBSTITUTE(SUBSTITUTE(SUBSTITUTE($NC74,"~","~~"),"*","~*"),"?","~?"),'DADOS_RESTRICOES'!$M$2:$Q$54,4,FALSE)=1),0))&gt;1,"Duas Restrições de frequência, contando a embutida",""),IF(AND(IFERROR(VLOOKUP(SUBSTITUTE(SUBSTITUTE(SUBSTITUTE(IFERROR(INDEX('DADOS_FORMAS'!$AS$2:$AS$21,MATCH(SUBSTITUTE(SUBSTITUTE(SUBSTITUTE($MU74,"~","~~"),"*","~*"),"?","~?"),'DADOS_FORMAS'!$AH$2:$AH$21,0)),""),"~","~~"),"*","~*"),"?","~?"),'DADOS_RESTRICOES'!$M$2:$Q$54,2,FALSE),"")="Tudo ou Nada",$OH74=0),"Tudo ou Nada exige TR",""),IF(AND(IFERROR(VLOOKUP(SUBSTITUTE(SUBSTITUTE(SUBSTITUTE(IFERROR(INDEX('DADOS_FORMAS'!$AS$2:$AS$21,MATCH(SUBSTITUTE(SUBSTITUTE(SUBSTITUTE($MU74,"~","~~"),"*","~*"),"?","~?"),'DADOS_FORMAS'!$AH$2:$AH$21,0)),""),"~","~~"),"*","~*"),"?","~?"),'DADOS_RESTRICOES'!$M$2:$Q$54,2,FALSE),"")="Corpo a Corpo",OR($RO74="Cone",$RO74="Linha")),"Corpo a Corpo não entra em Cone/Linha","")))</f>
        <v/>
      </c>
      <c r="PU74" s="164">
        <f>IF($PT74="",0,(LEN($PT74)-LEN(SUBSTITUTE($PT74," · ","")))/3+1)</f>
        <v/>
      </c>
      <c r="PV74" s="164">
        <f>IF($ND74=0,"",TEXTJOIN(" · ",TRUE,IF($OX74&gt;2*$MS74,"A devolução parou no teto de "&amp;2*$MS74,""),IF($PA74&gt;0,"Devolução perdida: "&amp;$PA74&amp;IF($PA74&gt;1," pontos"," ponto")&amp;" sem Melhoria para pagar",""),IF(AND($OC74&gt;0,AND($MS74&gt;0,$OG74=0),$PD74=0),"Controle sem dano: uma rodada a mais e CD +2",""),IF(AND($OC74&gt;0,AND($MS74&gt;0,$OG74=0),$PD74&gt;0,$PD74&lt;=$MS74),"Controle com saldo até a Classe: uma rodada a mais",""),IF(AND($MS74&gt;0,$OE74&lt;&gt;""),"Efeito de "&amp;$OE74&amp;" pela Classe "&amp;MAX(1,$MS74-1),"")))</f>
        <v/>
      </c>
      <c r="PW74" s="164">
        <f>IF($PV74="",0,(LEN($PV74)-LEN(SUBSTITUTE($PV74," · ","")))/3+1)</f>
        <v/>
      </c>
      <c r="PX74" s="164">
        <f>IF($ND74=0,IF($OU74+COUNTIF($NB74:$NC74,"?*")&gt;0,"Dê um nome",""),IF($PU74&gt;0,"⚠ "&amp;$PU74&amp;IF($PU74&gt;1," erros"," erro"),IF($PW74&gt;0,"! "&amp;$PW74&amp;IF($PW74&gt;1," avisos"," aviso"),"Na regra")))</f>
        <v/>
      </c>
      <c r="PY74" s="164">
        <f>IF($ND74=0,"",IF($PU74+$PW74=0,"Dentro das regras que a ficha confere",$PT74&amp;IF(AND($PU74&gt;0,$PW74&gt;0)," · ","")&amp;$PV74))</f>
        <v/>
      </c>
      <c r="PZ74" s="164">
        <f>IF($MQ74&gt;$NE74,$MR74&amp;" · ABRE NO NÍVEL "&amp;$MQ74,$MR74)</f>
        <v/>
      </c>
      <c r="QA74" s="164">
        <f>IF($ND74=0,"",IF($MS74=0,"Sem PE",3*$MS74&amp;" PE"))</f>
        <v/>
      </c>
      <c r="QB74" s="164">
        <f>IF($ND74=0,"",IF($MS74=0,"A atuação básica dela",IF(COUNTIF($RQ74:$RS74,"Atrasar")&gt;0,"Sua Ação Completa",IF(COUNTIF($RK74:$RN74,"Rápido")&gt;0,"Sua Bônus",IF(COUNTIF($RK74:$RN74,"Reação")&gt;0,"Sua Reação","Sua Padrão")))&amp;" + a básica dela"&amp;IF(COUNTIF($RK74:$RN74,"Reação")&gt;0," e a coletiva","")&amp;IF(COUNTIF($RQ74:$RS74,"Carregar")&gt;0," · em dois turnos","")))</f>
        <v/>
      </c>
      <c r="QC74" s="164">
        <f>IF($MW74&lt;&gt;"",$MW74,IF($NJ74=0,"",INDEX('DADOS_FORMAS'!$GE$2:$GE$21,$NJ74)))</f>
        <v/>
      </c>
      <c r="QD74" s="164">
        <f>IF(OR($ND74=0,$NJ74=0),"",IF(COUNTIF($RK74:$RN74,"Inescapável")&gt;0,"Automático",IF($QC74="Ataque",IF($NH74="","Ataque","Ataque "&amp;IF(($NH74+2*IF(COUNTIF($RK74:$RN74,"Precisão")&gt;0,1,0))&gt;=0,"+","−")&amp;ABS(($NH74+2*IF(COUNTIF($RK74:$RN74,"Precisão")&gt;0,1,0))))&amp;IF($OD74&gt;0," · TR"&amp;IF($NI74="",""," CD "&amp;$NI74),""),IF(LEFT($QC74,2)="TR",$QC74&amp;IF($NI74="",""," · CD "&amp;$NI74)&amp;IF(COUNTIF($RK74:$RN74,"Certeiro")&gt;0," · metade",""),"Sem rolagem"))))</f>
        <v/>
      </c>
      <c r="QE74" s="164">
        <f>IF(OR($ND74=0,$NJ74=0),"",IF($MS74=0,IF(OR($OG74&gt;=1,$PD74=0),"Sem dano",$PD74&amp;"d6"&amp;IF($MV74="",""," "&amp;$MV74)),IF(OR($OG74&gt;=1,$PD74=0),UPPER(LEFT(INDEX($PM74:$PS74,1,MAX(1,$MS74)),1))&amp;MID(INDEX($PM74:$PS74,1,MAX(1,$MS74)),2,99),UPPER(LEFT(INDEX($PM74:$PS74,1,MAX(1,$MS74)),1))&amp;MID(INDEX($PM74:$PS74,1,MAX(1,$MS74)),2,99)&amp;IF($MV74="",""," "&amp;$MV74)&amp;IF($PE74&gt;0," · +"&amp;$PE74&amp;"d8",""))))</f>
        <v/>
      </c>
      <c r="QF74" s="164">
        <f>COUNTIF($RK74:$RN74,"Longe")+3*COUNTIF($RK74:$RN74,"Muito Longe")</f>
        <v/>
      </c>
      <c r="QG74" s="164">
        <f>COUNTIF($RK74:$RN74,"Maior")+3*COUNTIF($RK74:$RN74,"Muito Maior")</f>
        <v/>
      </c>
      <c r="QH74" s="164">
        <f>IF($NJ74=0,0,CHOOSE(1+INDEX('DADOS_FORMAS'!$GG$2:$GG$21,$NJ74),0,$QF74,$QG74,$QF74+$QG74))</f>
        <v/>
      </c>
      <c r="QI74" s="164">
        <f>IF($NJ74=0,0,CHOOSE(1+INDEX('DADOS_FORMAS'!$GH$2:$GH$21,$NJ74),0,$QF74,$QG74,$QF74+$QG74))</f>
        <v/>
      </c>
      <c r="QJ74" s="164">
        <f>IF(OR($ND74=0,$NJ74=0),"",INDEX('DADOS_FORMAS'!$HU$2:$HZ$81,($NJ74-1)*4+IF($MS74=0,1,IF($MS74&lt;=5,2,IF($MS74=6,3,4))),1+MIN(5,$QH74))&amp;INDEX('DADOS_FORMAS'!$IA$2:$IF$81,($NJ74-1)*4+IF($MS74=0,1,IF($MS74&lt;=5,2,IF($MS74=6,3,4))),1+MIN(5,$QI74))&amp;IF(INDEX('DADOS_FORMAS'!$GI$2:$GI$21,$NJ74)=1,IF(COUNTIF($RK74:$RN74,"Mais Um")&gt;0," · +"&amp;COUNTIF($RK74:$RN74,"Mais Um")&amp;IF(COUNTIF($RK74:$RN74,"Mais Um")&gt;1," alvos"," alvo"),"")&amp;IF(COUNTIF($RK74:$RN74,"Rajada")&gt;0,IF($MS74=0," · 1 tiro"," · "&amp;(MAX(1,$MS74-1)+1)&amp;" tiros"),""),""))</f>
        <v/>
      </c>
      <c r="QK74" s="164">
        <f>IF($ND74=0,"",IF($MS74=0,$NG74&amp;"d6"&amp;IF($OU74&gt;0," − 1 = "&amp;$PD74&amp;"d6"," da básica do nível "&amp;$NE74),$PB74&amp;" − "&amp;$OW74&amp;" + "&amp;$OZ74&amp;" = "&amp;$PC74&amp;" · teto "&amp;4*$MS74&amp;"d8"&amp;IF($OF74=1," · a Forma devolve "&amp;$MS74,"")&amp;IF($PA74&gt;0," · perde "&amp;$PA74,"")))</f>
        <v/>
      </c>
      <c r="QL74" s="164">
        <f>IF($ND74=0,"",IF($MS74=0,"A básica não amplia: os dados dela sobem com o nível",IF($MS74&gt;=$NF74,"Já está na maior Classe que o nível liberou",TEXTJOIN(" · ",TRUE,IF(AND(2&gt;$MS74,2&lt;=$NF74),"2 → "&amp;$PN74&amp;", 6 PE",""),IF(AND(3&gt;$MS74,3&lt;=$NF74),"3 → "&amp;$PO74&amp;", 9 PE",""),IF(AND(4&gt;$MS74,4&lt;=$NF74),"4 → "&amp;$PP74&amp;", 12 PE",""),IF(AND(5&gt;$MS74,5&lt;=$NF74),"5 → "&amp;$PQ74&amp;", 15 PE",""),IF(AND(6&gt;$MS74,6&lt;=$NF74),"6 → "&amp;$PR74&amp;", 18 PE",""),IF(AND(7&gt;$MS74,7&lt;=$NF74),"7 → "&amp;$PS74&amp;", 21 PE","")))))</f>
        <v/>
      </c>
      <c r="QM74" s="164">
        <f>IF(OR($ND74=0,$NO74=0),"",IF($MS74=0,"−1 dado","−"&amp;INDEX($I$2:$N$8,MAX(1,$MS74),MAX(1,$NT74))&amp;" · "&amp;CHOOSE(MAX(1,$NT74),"Leve","Média","Pesada","Leve · Livre","Média · Livre","Pesada · Livre")))</f>
        <v/>
      </c>
      <c r="QN74" s="164">
        <f>IF(OR($ND74=0,$NP74=0),"",IF($MS74=0,"−1 dado","−"&amp;INDEX($I$2:$N$8,MAX(1,$MS74),MAX(1,$NU74))&amp;" · "&amp;CHOOSE(MAX(1,$NU74),"Leve","Média","Pesada","Leve · Livre","Média · Livre","Pesada · Livre")))</f>
        <v/>
      </c>
      <c r="QO74" s="164">
        <f>IF(OR($ND74=0,$NQ74=0),"",IF($MS74=0,"−1 dado","−"&amp;INDEX($I$2:$N$8,MAX(1,$MS74),MAX(1,$NV74))&amp;" · "&amp;CHOOSE(MAX(1,$NV74),"Leve","Média","Pesada","Leve · Livre","Média · Livre","Pesada · Livre")))</f>
        <v/>
      </c>
      <c r="QP74" s="164">
        <f>IF(OR($ND74=0,$NR74=0),"",IF($MS74=0,"−1 dado","−"&amp;INDEX($I$2:$N$8,MAX(1,$MS74),MAX(1,$NW74))&amp;" · "&amp;CHOOSE(MAX(1,$NW74),"Leve","Média","Pesada","Leve · Livre","Média · Livre","Pesada · Livre")))</f>
        <v/>
      </c>
      <c r="QQ74" s="164">
        <f>IF(OR($ND74=0,$NB74=""),"",IF($MS74=0,"não devolve","+"&amp;IF($OI74=1,CEILING($MS74/2,1),$MS74)))</f>
        <v/>
      </c>
      <c r="QR74" s="164">
        <f>IF(OR($ND74=0,$NC74=""),"",IF($MS74=0,"não devolve","+"&amp;IF($OJ74=1,CEILING($MS74/2,1),$MS74)))</f>
        <v/>
      </c>
      <c r="RK74">
        <f>IF($MX74="","",IFERROR(VLOOKUP(SUBSTITUTE(SUBSTITUTE(SUBSTITUTE($MX74,"~","~~"),"*","~*"),"?","~?"),'DADOS_MELHORIAS'!$O$2:$X$113,10,FALSE),$MX74))</f>
        <v/>
      </c>
      <c r="RL74">
        <f>IF($MY74="","",IFERROR(VLOOKUP(SUBSTITUTE(SUBSTITUTE(SUBSTITUTE($MY74,"~","~~"),"*","~*"),"?","~?"),'DADOS_MELHORIAS'!$O$2:$X$113,10,FALSE),$MY74))</f>
        <v/>
      </c>
      <c r="RM74">
        <f>IF($MZ74="","",IFERROR(VLOOKUP(SUBSTITUTE(SUBSTITUTE(SUBSTITUTE($MZ74,"~","~~"),"*","~*"),"?","~?"),'DADOS_MELHORIAS'!$O$2:$X$113,10,FALSE),$MZ74))</f>
        <v/>
      </c>
      <c r="RN74">
        <f>IF($NA74="","",IFERROR(VLOOKUP(SUBSTITUTE(SUBSTITUTE(SUBSTITUTE($NA74,"~","~~"),"*","~*"),"?","~?"),'DADOS_MELHORIAS'!$O$2:$X$113,10,FALSE),$NA74))</f>
        <v/>
      </c>
      <c r="RO74">
        <f>IFERROR(INDEX('DADOS_FORMAS'!$BJ$2:$BJ$21,MATCH(SUBSTITUTE(SUBSTITUTE(SUBSTITUTE($MU74,"~","~~"),"*","~*"),"?","~?"),'DADOS_FORMAS'!$AH$2:$AH$21,0)),"")</f>
        <v/>
      </c>
      <c r="RP74">
        <f>IFERROR(VLOOKUP(SUBSTITUTE(SUBSTITUTE(SUBSTITUTE(IFERROR(INDEX('DADOS_FORMAS'!$AS$2:$AS$21,MATCH(SUBSTITUTE(SUBSTITUTE(SUBSTITUTE($MU74,"~","~~"),"*","~*"),"?","~?"),'DADOS_FORMAS'!$AH$2:$AH$21,0)),""),"~","~~"),"*","~*"),"?","~?"),'DADOS_RESTRICOES'!$M$2:$Q$54,2,FALSE),"")</f>
        <v/>
      </c>
      <c r="RQ74">
        <f>$OK74</f>
        <v/>
      </c>
      <c r="RR74">
        <f>$OL74</f>
        <v/>
      </c>
      <c r="RS74">
        <f>$RP74</f>
        <v/>
      </c>
    </row>
    <row r="75">
      <c r="AV75" s="162" t="inlineStr">
        <is>
          <t>Limpa Fundo</t>
        </is>
      </c>
      <c r="AW75" s="162" t="inlineStr">
        <is>
          <t>Amparo</t>
        </is>
      </c>
      <c r="AX75" s="164" t="n">
        <v>3</v>
      </c>
      <c r="AY75" s="164" t="n">
        <v>0</v>
      </c>
      <c r="AZ75" s="164" t="n">
        <v>0</v>
      </c>
      <c r="BA75" s="164" t="n">
        <v>0</v>
      </c>
      <c r="JT75" s="164">
        <f>IF(OR($AW75="",(COUNTIF($EL$2:$EP$2,$AW75)+COUNTIF($QV$2:$QY$2,$AW75))&gt;0),$AV75,"")</f>
        <v/>
      </c>
      <c r="JU75" s="164">
        <f>IF(AND($AX75=1,OR($AW75="",(COUNTIF($EL$2:$EP$2,$AW75)+COUNTIF($QV$2:$QY$2,$AW75))&gt;0)),$AV75,"")</f>
        <v/>
      </c>
      <c r="JZ75" s="164">
        <f>IF(OR($AW75="",(COUNTIF($EL$3:$EP$3,$AW75)+COUNTIF($QV$3:$QY$3,$AW75))&gt;0),$AV75,"")</f>
        <v/>
      </c>
      <c r="KA75" s="164">
        <f>IF(AND($AX75=1,OR($AW75="",(COUNTIF($EL$3:$EP$3,$AW75)+COUNTIF($QV$3:$QY$3,$AW75))&gt;0)),$AV75,"")</f>
        <v/>
      </c>
      <c r="KF75" s="164">
        <f>IF(OR($AW75="",(COUNTIF($EL$4:$EP$4,$AW75)+COUNTIF($QV$4:$QY$4,$AW75))&gt;0),$AV75,"")</f>
        <v/>
      </c>
      <c r="KG75" s="164">
        <f>IF(AND($AX75=1,OR($AW75="",(COUNTIF($EL$4:$EP$4,$AW75)+COUNTIF($QV$4:$QY$4,$AW75))&gt;0)),$AV75,"")</f>
        <v/>
      </c>
      <c r="KL75" s="164">
        <f>IF(OR($AW75="",(COUNTIF($EL$5:$EP$5,$AW75)+COUNTIF($QV$5:$QY$5,$AW75))&gt;0),$AV75,"")</f>
        <v/>
      </c>
      <c r="KM75" s="164">
        <f>IF(AND($AX75=1,OR($AW75="",(COUNTIF($EL$5:$EP$5,$AW75)+COUNTIF($QV$5:$QY$5,$AW75))&gt;0)),$AV75,"")</f>
        <v/>
      </c>
      <c r="KR75" s="164">
        <f>IF(OR($AW75="",(COUNTIF($EL$6:$EP$6,$AW75)+COUNTIF($QV$6:$QY$6,$AW75))&gt;0),$AV75,"")</f>
        <v/>
      </c>
      <c r="KS75" s="164">
        <f>IF(AND($AX75=1,OR($AW75="",(COUNTIF($EL$6:$EP$6,$AW75)+COUNTIF($QV$6:$QY$6,$AW75))&gt;0)),$AV75,"")</f>
        <v/>
      </c>
      <c r="KX75" s="164">
        <f>IF(OR($AW75="",(COUNTIF($EL$7:$EP$7,$AW75)+COUNTIF($QV$7:$QY$7,$AW75))&gt;0),$AV75,"")</f>
        <v/>
      </c>
      <c r="KY75" s="164">
        <f>IF(AND($AX75=1,OR($AW75="",(COUNTIF($EL$7:$EP$7,$AW75)+COUNTIF($QV$7:$QY$7,$AW75))&gt;0)),$AV75,"")</f>
        <v/>
      </c>
      <c r="LD75" s="164">
        <f>IF(OR($AW75="",(COUNTIF($EL$8:$EP$8,$AW75)+COUNTIF($QV$8:$QY$8,$AW75))&gt;0),$AV75,"")</f>
        <v/>
      </c>
      <c r="LE75" s="164">
        <f>IF(AND($AX75=1,OR($AW75="",(COUNTIF($EL$8:$EP$8,$AW75)+COUNTIF($QV$8:$QY$8,$AW75))&gt;0)),$AV75,"")</f>
        <v/>
      </c>
      <c r="LJ75" s="164">
        <f>IF(OR($AW75="",(COUNTIF($EL$9:$EP$9,$AW75)+COUNTIF($QV$9:$QY$9,$AW75))&gt;0),$AV75,"")</f>
        <v/>
      </c>
      <c r="LK75" s="164">
        <f>IF(AND($AX75=1,OR($AW75="",(COUNTIF($EL$9:$EP$9,$AW75)+COUNTIF($QV$9:$QY$9,$AW75))&gt;0)),$AV75,"")</f>
        <v/>
      </c>
      <c r="LP75" s="164">
        <f>IF(OR($AW75="",(COUNTIF($EL$10:$EP$10,$AW75)+COUNTIF($QV$10:$QY$10,$AW75))&gt;0),$AV75,"")</f>
        <v/>
      </c>
      <c r="LQ75" s="164">
        <f>IF(AND($AX75=1,OR($AW75="",(COUNTIF($EL$10:$EP$10,$AW75)+COUNTIF($QV$10:$QY$10,$AW75))&gt;0)),$AV75,"")</f>
        <v/>
      </c>
      <c r="LV75" s="164">
        <f>IF(OR($AW75="",(COUNTIF($EL$11:$EP$11,$AW75)+COUNTIF($QV$11:$QY$11,$AW75))&gt;0),$AV75,"")</f>
        <v/>
      </c>
      <c r="LW75" s="164">
        <f>IF(AND($AX75=1,OR($AW75="",(COUNTIF($EL$11:$EP$11,$AW75)+COUNTIF($QV$11:$QY$11,$AW75))&gt;0)),$AV75,"")</f>
        <v/>
      </c>
      <c r="MB75" s="164">
        <f>IF(OR($AW75="",(COUNTIF($EL$12:$EP$12,$AW75)+COUNTIF($QV$12:$QY$12,$AW75))&gt;0),$AV75,"")</f>
        <v/>
      </c>
      <c r="MC75" s="164">
        <f>IF(AND($AX75=1,OR($AW75="",(COUNTIF($EL$12:$EP$12,$AW75)+COUNTIF($QV$12:$QY$12,$AW75))&gt;0)),$AV75,"")</f>
        <v/>
      </c>
      <c r="MH75" s="164">
        <f>IF(OR($AW75="",(COUNTIF($EL$13:$EP$13,$AW75)+COUNTIF($QV$13:$QY$13,$AW75))&gt;0),$AV75,"")</f>
        <v/>
      </c>
      <c r="MI75" s="164">
        <f>IF(AND($AX75=1,OR($AW75="",(COUNTIF($EL$13:$EP$13,$AW75)+COUNTIF($QV$13:$QY$13,$AW75))&gt;0)),$AV75,"")</f>
        <v/>
      </c>
      <c r="MN75" s="162" t="inlineStr">
        <is>
          <t>Ficha 6 · Especial 7</t>
        </is>
      </c>
      <c r="MO75" s="164" t="n">
        <v>6</v>
      </c>
      <c r="MP75" s="164" t="n">
        <v>1</v>
      </c>
      <c r="MQ75" s="164" t="n">
        <v>24</v>
      </c>
      <c r="MR75" s="162" t="inlineStr">
        <is>
          <t>ESPECIAL 7</t>
        </is>
      </c>
      <c r="MS75" s="164">
        <f>MAX(1,MIN(7,N('INVOCAÇÕES'!$U$1182)))</f>
        <v/>
      </c>
      <c r="MT75" s="164">
        <f>'INVOCAÇÕES'!$V$1182&amp;""</f>
        <v/>
      </c>
      <c r="MU75" s="164">
        <f>'INVOCAÇÕES'!$U$1187&amp;""</f>
        <v/>
      </c>
      <c r="MV75" s="164">
        <f>'INVOCAÇÕES'!$U$1188&amp;""</f>
        <v/>
      </c>
      <c r="MW75" s="164">
        <f>'INVOCAÇÕES'!$W$1188&amp;""</f>
        <v/>
      </c>
      <c r="MX75" s="164">
        <f>'INVOCAÇÕES'!$V$1191&amp;""</f>
        <v/>
      </c>
      <c r="MY75" s="164">
        <f>'INVOCAÇÕES'!$V$1192&amp;""</f>
        <v/>
      </c>
      <c r="MZ75" s="164">
        <f>'INVOCAÇÕES'!$V$1193&amp;""</f>
        <v/>
      </c>
      <c r="NA75" s="164">
        <f>'INVOCAÇÕES'!$V$1194&amp;""</f>
        <v/>
      </c>
      <c r="NB75" s="164">
        <f>'INVOCAÇÕES'!$V$1195&amp;""</f>
        <v/>
      </c>
      <c r="NC75" s="164">
        <f>'INVOCAÇÕES'!$V$1196&amp;""</f>
        <v/>
      </c>
      <c r="ND75" s="164">
        <f>IF($MT75&lt;&gt;"",1,0)</f>
        <v/>
      </c>
      <c r="NE75" s="164">
        <f>INDEX($FO$2:$FO$13,$MO75)</f>
        <v/>
      </c>
      <c r="NF75" s="164">
        <f>INDEX($FP$2:$FP$13,$MO75)</f>
        <v/>
      </c>
      <c r="NG75" s="164">
        <f>INDEX($FQ$2:$FQ$13,$MO75)</f>
        <v/>
      </c>
      <c r="NH75" s="164">
        <f>INDEX($GB$2:$GB$13,$MO75)</f>
        <v/>
      </c>
      <c r="NI75" s="164">
        <f>INDEX($GC$2:$GC$13,$MO75)</f>
        <v/>
      </c>
      <c r="NJ75" s="164">
        <f>IFERROR(MATCH(SUBSTITUTE(SUBSTITUTE(SUBSTITUTE($MU75,"~","~~"),"*","~*"),"?","~?"),'DADOS_FORMAS'!$FZ$2:$FZ$21,0),0)</f>
        <v/>
      </c>
      <c r="NK75" s="164">
        <f>IFERROR(VLOOKUP(SUBSTITUTE(SUBSTITUTE(SUBSTITUTE($MX75,"~","~~"),"*","~*"),"?","~?"),'DADOS_MELHORIAS'!$AG$2:$AL$113,2,FALSE),"")</f>
        <v/>
      </c>
      <c r="NL75" s="164">
        <f>IFERROR(VLOOKUP(SUBSTITUTE(SUBSTITUTE(SUBSTITUTE($MY75,"~","~~"),"*","~*"),"?","~?"),'DADOS_MELHORIAS'!$AG$2:$AL$113,2,FALSE),"")</f>
        <v/>
      </c>
      <c r="NM75" s="164">
        <f>IFERROR(VLOOKUP(SUBSTITUTE(SUBSTITUTE(SUBSTITUTE($MZ75,"~","~~"),"*","~*"),"?","~?"),'DADOS_MELHORIAS'!$AG$2:$AL$113,2,FALSE),"")</f>
        <v/>
      </c>
      <c r="NN75" s="164">
        <f>IFERROR(VLOOKUP(SUBSTITUTE(SUBSTITUTE(SUBSTITUTE($NA75,"~","~~"),"*","~*"),"?","~?"),'DADOS_MELHORIAS'!$AG$2:$AL$113,2,FALSE),"")</f>
        <v/>
      </c>
      <c r="NO75" s="164">
        <f>IFERROR(VLOOKUP(SUBSTITUTE(SUBSTITUTE(SUBSTITUTE($MX75,"~","~~"),"*","~*"),"?","~?"),'DADOS_MELHORIAS'!$AG$2:$AL$113,3,FALSE),0)</f>
        <v/>
      </c>
      <c r="NP75" s="164">
        <f>IFERROR(VLOOKUP(SUBSTITUTE(SUBSTITUTE(SUBSTITUTE($MY75,"~","~~"),"*","~*"),"?","~?"),'DADOS_MELHORIAS'!$AG$2:$AL$113,3,FALSE),0)</f>
        <v/>
      </c>
      <c r="NQ75" s="164">
        <f>IFERROR(VLOOKUP(SUBSTITUTE(SUBSTITUTE(SUBSTITUTE($MZ75,"~","~~"),"*","~*"),"?","~?"),'DADOS_MELHORIAS'!$AG$2:$AL$113,3,FALSE),0)</f>
        <v/>
      </c>
      <c r="NR75" s="164">
        <f>IFERROR(VLOOKUP(SUBSTITUTE(SUBSTITUTE(SUBSTITUTE($NA75,"~","~~"),"*","~*"),"?","~?"),'DADOS_MELHORIAS'!$AG$2:$AL$113,3,FALSE),0)</f>
        <v/>
      </c>
      <c r="NS75" s="164">
        <f>IF($MS75=0,0,IF($NJ75=0,0,INDEX('DADOS_FORMAS'!$GB$2:$GB$21,$NJ75)))</f>
        <v/>
      </c>
      <c r="NT75" s="164">
        <f>IF(OR($NO75=0,$MS75=0),0,$NO75+3*IF(AND($NK75&lt;&gt;"",COUNTIF(INDEX($RB$2:$RJ$13,$MO75,0),$NK75)&gt;0),1,0))</f>
        <v/>
      </c>
      <c r="NU75" s="164">
        <f>IF(OR($NP75=0,$MS75=0),0,$NP75+3*IF(AND($NL75&lt;&gt;"",COUNTIF(INDEX($RB$2:$RJ$13,$MO75,0),$NL75)&gt;0),1,0))</f>
        <v/>
      </c>
      <c r="NV75" s="164">
        <f>IF(OR($NQ75=0,$MS75=0),0,$NQ75+3*IF(AND($NM75&lt;&gt;"",COUNTIF(INDEX($RB$2:$RJ$13,$MO75,0),$NM75)&gt;0),1,0))</f>
        <v/>
      </c>
      <c r="NW75" s="164">
        <f>IF(OR($NR75=0,$MS75=0),0,$NR75+3*IF(AND($NN75&lt;&gt;"",COUNTIF(INDEX($RB$2:$RJ$13,$MO75,0),$NN75)&gt;0),1,0))</f>
        <v/>
      </c>
      <c r="NX75" s="164">
        <f>IF($NJ75=0,0,IF(INDEX('DADOS_FORMAS'!$GA$2:$GA$21,$NJ75)="",0,IF((COUNTIF(INDEX($EL$2:$EP$13,$MO75,0),INDEX('DADOS_FORMAS'!$GA$2:$GA$21,$NJ75))+COUNTIF(INDEX($QV$2:$QY$13,$MO75,0),INDEX('DADOS_FORMAS'!$GA$2:$GA$21,$NJ75)))=0,1,0)))</f>
        <v/>
      </c>
      <c r="NY75" s="164">
        <f>IF(OR($NO75=0,$NK75=""),0,IF((COUNTIF(INDEX($EL$2:$EP$13,$MO75,0),$NK75)+COUNTIF(INDEX($QV$2:$QY$13,$MO75,0),$NK75))=0,1,0))</f>
        <v/>
      </c>
      <c r="NZ75" s="164">
        <f>IF(OR($NP75=0,$NL75=""),0,IF((COUNTIF(INDEX($EL$2:$EP$13,$MO75,0),$NL75)+COUNTIF(INDEX($QV$2:$QY$13,$MO75,0),$NL75))=0,1,0))</f>
        <v/>
      </c>
      <c r="OA75" s="164">
        <f>IF(OR($NQ75=0,$NM75=""),0,IF((COUNTIF(INDEX($EL$2:$EP$13,$MO75,0),$NM75)+COUNTIF(INDEX($QV$2:$QY$13,$MO75,0),$NM75))=0,1,0))</f>
        <v/>
      </c>
      <c r="OB75" s="164">
        <f>IF(OR($NR75=0,$NN75=""),0,IF((COUNTIF(INDEX($EL$2:$EP$13,$MO75,0),$NN75)+COUNTIF(INDEX($QV$2:$QY$13,$MO75,0),$NN75))=0,1,0))</f>
        <v/>
      </c>
      <c r="OC75" s="164">
        <f>IFERROR(VLOOKUP(SUBSTITUTE(SUBSTITUTE(SUBSTITUTE($MX75,"~","~~"),"*","~*"),"?","~?"),'DADOS_MELHORIAS'!$AG$2:$AL$113,4,FALSE),0)+IFERROR(VLOOKUP(SUBSTITUTE(SUBSTITUTE(SUBSTITUTE($MY75,"~","~~"),"*","~*"),"?","~?"),'DADOS_MELHORIAS'!$AG$2:$AL$113,4,FALSE),0)+IFERROR(VLOOKUP(SUBSTITUTE(SUBSTITUTE(SUBSTITUTE($MZ75,"~","~~"),"*","~*"),"?","~?"),'DADOS_MELHORIAS'!$AG$2:$AL$113,4,FALSE),0)+IFERROR(VLOOKUP(SUBSTITUTE(SUBSTITUTE(SUBSTITUTE($NA75,"~","~~"),"*","~*"),"?","~?"),'DADOS_MELHORIAS'!$AG$2:$AL$113,4,FALSE),0)</f>
        <v/>
      </c>
      <c r="OD75" s="164">
        <f>IFERROR(VLOOKUP(SUBSTITUTE(SUBSTITUTE(SUBSTITUTE($MX75,"~","~~"),"*","~*"),"?","~?"),'DADOS_MELHORIAS'!$AG$2:$AL$113,6,FALSE),0)+IFERROR(VLOOKUP(SUBSTITUTE(SUBSTITUTE(SUBSTITUTE($MY75,"~","~~"),"*","~*"),"?","~?"),'DADOS_MELHORIAS'!$AG$2:$AL$113,6,FALSE),0)+IFERROR(VLOOKUP(SUBSTITUTE(SUBSTITUTE(SUBSTITUTE($MZ75,"~","~~"),"*","~*"),"?","~?"),'DADOS_MELHORIAS'!$AG$2:$AL$113,6,FALSE),0)+IFERROR(VLOOKUP(SUBSTITUTE(SUBSTITUTE(SUBSTITUTE($NA75,"~","~~"),"*","~*"),"?","~?"),'DADOS_MELHORIAS'!$AG$2:$AL$113,6,FALSE),0)+IFERROR(N(AND(INDEX('DADOS_FORMAS'!$AO$2:$AO$21,MATCH(SUBSTITUTE(SUBSTITUTE(SUBSTITUTE($MU75,"~","~~"),"*","~*"),"?","~?"),'DADOS_FORMAS'!$AH$2:$AH$21,0))="Acerto",$OH75=1)),0)</f>
        <v/>
      </c>
      <c r="OE75" s="164">
        <f>TEXTJOIN(", ",TRUE,IF(IFERROR(VLOOKUP(SUBSTITUTE(SUBSTITUTE(SUBSTITUTE($MX75,"~","~~"),"*","~*"),"?","~?"),'DADOS_MELHORIAS'!$AG$2:$AL$113,5,FALSE),0)=1,$MX75,""),IF(IFERROR(VLOOKUP(SUBSTITUTE(SUBSTITUTE(SUBSTITUTE($MY75,"~","~~"),"*","~*"),"?","~?"),'DADOS_MELHORIAS'!$AG$2:$AL$113,5,FALSE),0)=1,$MY75,""),IF(IFERROR(VLOOKUP(SUBSTITUTE(SUBSTITUTE(SUBSTITUTE($MZ75,"~","~~"),"*","~*"),"?","~?"),'DADOS_MELHORIAS'!$AG$2:$AL$113,5,FALSE),0)=1,$MZ75,""),IF(IFERROR(VLOOKUP(SUBSTITUTE(SUBSTITUTE(SUBSTITUTE($NA75,"~","~~"),"*","~*"),"?","~?"),'DADOS_MELHORIAS'!$AG$2:$AL$113,5,FALSE),0)=1,$NA75,""))</f>
        <v/>
      </c>
      <c r="OF75" s="164">
        <f>IF($NJ75=0,0,INDEX('DADOS_FORMAS'!$GC$2:$GC$21,$NJ75))</f>
        <v/>
      </c>
      <c r="OG75" s="164">
        <f>IF($NJ75=0,0,INDEX('DADOS_FORMAS'!$GD$2:$GD$21,$NJ75))</f>
        <v/>
      </c>
      <c r="OH75" s="164">
        <f>IF($NJ75=0,0,INDEX('DADOS_FORMAS'!$GF$2:$GF$21,$NJ75))</f>
        <v/>
      </c>
      <c r="OI75" s="164">
        <f>IFERROR(VLOOKUP(SUBSTITUTE(SUBSTITUTE(SUBSTITUTE($NB75,"~","~~"),"*","~*"),"?","~?"),'DADOS_RESTRICOES'!$M$2:$Q$54,3,FALSE),0)</f>
        <v/>
      </c>
      <c r="OJ75" s="164">
        <f>IFERROR(VLOOKUP(SUBSTITUTE(SUBSTITUTE(SUBSTITUTE($NC75,"~","~~"),"*","~*"),"?","~?"),'DADOS_RESTRICOES'!$M$2:$Q$54,3,FALSE),0)</f>
        <v/>
      </c>
      <c r="OK75" s="164">
        <f>IFERROR(VLOOKUP(SUBSTITUTE(SUBSTITUTE(SUBSTITUTE($NB75,"~","~~"),"*","~*"),"?","~?"),'DADOS_RESTRICOES'!$M$2:$Q$54,2,FALSE),"")</f>
        <v/>
      </c>
      <c r="OL75" s="164">
        <f>IFERROR(VLOOKUP(SUBSTITUTE(SUBSTITUTE(SUBSTITUTE($NC75,"~","~~"),"*","~*"),"?","~?"),'DADOS_RESTRICOES'!$M$2:$Q$54,2,FALSE),"")</f>
        <v/>
      </c>
      <c r="OM75" s="164">
        <f>COUNTIF($NS75:$NW75,1)</f>
        <v/>
      </c>
      <c r="ON75" s="164">
        <f>COUNTIF($NS75:$NW75,2)</f>
        <v/>
      </c>
      <c r="OO75" s="164">
        <f>COUNTIF($NS75:$NW75,3)</f>
        <v/>
      </c>
      <c r="OP75" s="164">
        <f>COUNTIF($NS75:$NW75,4)</f>
        <v/>
      </c>
      <c r="OQ75" s="164">
        <f>COUNTIF($NS75:$NW75,5)</f>
        <v/>
      </c>
      <c r="OR75" s="164">
        <f>COUNTIF($NS75:$NW75,6)</f>
        <v/>
      </c>
      <c r="OS75" s="164">
        <f>COUNTIF($OI75:$OJ75,1)+IF(IFERROR(INDEX('DADOS_FORMAS'!$AS$2:$AS$21,MATCH(SUBSTITUTE(SUBSTITUTE(SUBSTITUTE($MU75,"~","~~"),"*","~*"),"?","~?"),'DADOS_FORMAS'!$AH$2:$AH$21,0)),"")="",0,IFERROR(N(VLOOKUP(SUBSTITUTE(SUBSTITUTE(SUBSTITUTE(IFERROR(INDEX('DADOS_FORMAS'!$AS$2:$AS$21,MATCH(SUBSTITUTE(SUBSTITUTE(SUBSTITUTE($MU75,"~","~~"),"*","~*"),"?","~?"),'DADOS_FORMAS'!$AH$2:$AH$21,0)),""),"~","~~"),"*","~*"),"?","~?"),'DADOS_RESTRICOES'!$M$2:$Q$54,3,FALSE)=1),0))</f>
        <v/>
      </c>
      <c r="OT75" s="164">
        <f>COUNTIF($OI75:$OJ75,2)+IF(IFERROR(INDEX('DADOS_FORMAS'!$AS$2:$AS$21,MATCH(SUBSTITUTE(SUBSTITUTE(SUBSTITUTE($MU75,"~","~~"),"*","~*"),"?","~?"),'DADOS_FORMAS'!$AH$2:$AH$21,0)),"")="",0,IFERROR(N(VLOOKUP(SUBSTITUTE(SUBSTITUTE(SUBSTITUTE(IFERROR(INDEX('DADOS_FORMAS'!$AS$2:$AS$21,MATCH(SUBSTITUTE(SUBSTITUTE(SUBSTITUTE($MU75,"~","~~"),"*","~*"),"?","~?"),'DADOS_FORMAS'!$AH$2:$AH$21,0)),""),"~","~~"),"*","~*"),"?","~?"),'DADOS_RESTRICOES'!$M$2:$Q$54,3,FALSE)=2),0))</f>
        <v/>
      </c>
      <c r="OU75" s="164">
        <f>COUNTIF($MX75:$NA75,"?*")</f>
        <v/>
      </c>
      <c r="OV75" s="164">
        <f>COUNTIF($NB75:$NC75,"?*")+$OF75</f>
        <v/>
      </c>
      <c r="OW75" s="164">
        <f>IF($MS75=0,0,SUMPRODUCT($OM75:$OR75,INDEX($I$2:$N$8,MAX(1,$MS75),0)))</f>
        <v/>
      </c>
      <c r="OX75" s="164">
        <f>IF($MS75=0,0,$OS75*CEILING($MS75/2,1)+$OT75*$MS75)</f>
        <v/>
      </c>
      <c r="OY75" s="164">
        <f>MIN(2*$MS75,$OX75)</f>
        <v/>
      </c>
      <c r="OZ75" s="164">
        <f>MIN($OY75,$OW75-IF($NS75=0,0,INDEX($I$2:$N$8,MAX(1,$MS75),$NS75)))</f>
        <v/>
      </c>
      <c r="PA75" s="164">
        <f>$OY75-$OZ75</f>
        <v/>
      </c>
      <c r="PB75" s="164">
        <f>IF($MS75=0,0,INDEX($P$2:$P$8,MAX(1,$MS75)))</f>
        <v/>
      </c>
      <c r="PC75" s="164">
        <f>$PB75-$OW75+$OZ75</f>
        <v/>
      </c>
      <c r="PD75" s="164">
        <f>IF($MS75=0,MAX(0,$NG75-IF(AND($OU75&gt;0,COUNTIF($NB75:$NC75,"?*")=0),1,0)),MAX(0,$PC75))</f>
        <v/>
      </c>
      <c r="PE75" s="164">
        <f>IF($MS75=0,0,(IF(COUNTIF($RK75:$RN75,"Salto")&gt;0,1,0)+IF(COUNTIF($RK75:$RN75,"Queima")&gt;0,1,0)+IF(COUNTIF($RK75:$RN75,"Estilhaço")&gt;0,1,0))*FLOOR($PD75/2,1))</f>
        <v/>
      </c>
      <c r="PF75" s="164">
        <f>MAX(0,2-SUMPRODUCT($OM75:$OR75,$I$2:$N$2)+MIN(2,$OS75*1+$OT75*1,SUMPRODUCT($OM75:$OR75,$I$2:$N$2)-IF($NS75=0,0,INDEX($I$2:$N$2,1,$NS75))))</f>
        <v/>
      </c>
      <c r="PG75" s="164">
        <f>MAX(0,4-SUMPRODUCT($OM75:$OR75,$I$3:$N$3)+MIN(4,$OS75*1+$OT75*2,SUMPRODUCT($OM75:$OR75,$I$3:$N$3)-IF($NS75=0,0,INDEX($I$3:$N$3,1,$NS75))))</f>
        <v/>
      </c>
      <c r="PH75" s="164">
        <f>MAX(0,6-SUMPRODUCT($OM75:$OR75,$I$4:$N$4)+MIN(6,$OS75*2+$OT75*3,SUMPRODUCT($OM75:$OR75,$I$4:$N$4)-IF($NS75=0,0,INDEX($I$4:$N$4,1,$NS75))))</f>
        <v/>
      </c>
      <c r="PI75" s="164">
        <f>MAX(0,9-SUMPRODUCT($OM75:$OR75,$I$5:$N$5)+MIN(8,$OS75*2+$OT75*4,SUMPRODUCT($OM75:$OR75,$I$5:$N$5)-IF($NS75=0,0,INDEX($I$5:$N$5,1,$NS75))))</f>
        <v/>
      </c>
      <c r="PJ75" s="164">
        <f>MAX(0,11-SUMPRODUCT($OM75:$OR75,$I$6:$N$6)+MIN(10,$OS75*3+$OT75*5,SUMPRODUCT($OM75:$OR75,$I$6:$N$6)-IF($NS75=0,0,INDEX($I$6:$N$6,1,$NS75))))</f>
        <v/>
      </c>
      <c r="PK75" s="164">
        <f>MAX(0,13-SUMPRODUCT($OM75:$OR75,$I$7:$N$7)+MIN(12,$OS75*3+$OT75*6,SUMPRODUCT($OM75:$OR75,$I$7:$N$7)-IF($NS75=0,0,INDEX($I$7:$N$7,1,$NS75))))</f>
        <v/>
      </c>
      <c r="PL75" s="164">
        <f>MAX(0,16-SUMPRODUCT($OM75:$OR75,$I$8:$N$8)+MIN(14,$OS75*4+$OT75*7,SUMPRODUCT($OM75:$OR75,$I$8:$N$8)-IF($NS75=0,0,INDEX($I$8:$N$8,1,$NS75))))</f>
        <v/>
      </c>
      <c r="PM75" s="164">
        <f>IF($OG75=2,3*$PF75&amp;" de vida temp.",IF($OG75=3,"sem dano",IF($PF75=0,IF($OG75=1,"sem cura","sem dano"),IF($OG75=1,"cura ","")&amp;$PF75&amp;"d8")))</f>
        <v/>
      </c>
      <c r="PN75" s="164">
        <f>IF($OG75=2,3*$PG75&amp;" de vida temp.",IF($OG75=3,"sem dano",IF($PG75=0,IF($OG75=1,"sem cura","sem dano"),IF($OG75=1,"cura ","")&amp;$PG75&amp;"d8")))</f>
        <v/>
      </c>
      <c r="PO75" s="164">
        <f>IF($OG75=2,3*$PH75&amp;" de vida temp.",IF($OG75=3,"sem dano",IF($PH75=0,IF($OG75=1,"sem cura","sem dano"),IF($OG75=1,"cura ","")&amp;$PH75&amp;"d8")))</f>
        <v/>
      </c>
      <c r="PP75" s="164">
        <f>IF($OG75=2,3*$PI75&amp;" de vida temp.",IF($OG75=3,"sem dano",IF($PI75=0,IF($OG75=1,"sem cura","sem dano"),IF($OG75=1,"cura ","")&amp;$PI75&amp;"d8")))</f>
        <v/>
      </c>
      <c r="PQ75" s="164">
        <f>IF($OG75=2,3*$PJ75&amp;" de vida temp.",IF($OG75=3,"sem dano",IF($PJ75=0,IF($OG75=1,"sem cura","sem dano"),IF($OG75=1,"cura ","")&amp;$PJ75&amp;"d8")))</f>
        <v/>
      </c>
      <c r="PR75" s="164">
        <f>IF($OG75=2,3*$PK75&amp;" de vida temp.",IF($OG75=3,"sem dano",IF($PK75=0,IF($OG75=1,"sem cura","sem dano"),IF($OG75=1,"cura ","")&amp;$PK75&amp;"d8")))</f>
        <v/>
      </c>
      <c r="PS75" s="164">
        <f>IF($OG75=2,3*$PL75&amp;" de vida temp.",IF($OG75=3,"sem dano",IF($PL75=0,IF($OG75=1,"sem cura","sem dano"),IF($OG75=1,"cura ","")&amp;$PL75&amp;"d8")))</f>
        <v/>
      </c>
      <c r="PT75" s="164">
        <f>IF($ND75=0,"",TEXTJOIN(" · ",TRUE,IF($ND75=0,"",TEXTJOIN(" · ",TRUE,IF($ND75=0,"",TEXTJOIN(" · ",TRUE,IF($MQ75&gt;$NE75,"Este lugar abre no nível "&amp;$MQ75,""),IF($MS75&gt;$NF75,"Classe "&amp;$MS75&amp;": o nível "&amp;$NE75&amp;" libera até a "&amp;$NF75,""),IF($NX75=1,"A Forma "&amp;$MU75&amp;" pede "&amp;INDEX('DADOS_FORMAS'!$GA$2:$GA$21,$NJ75)&amp;" aberta",""),IF(AND($MS75=0,$NJ75&gt;0,IF($NJ75=0,0,INDEX('DADOS_FORMAS'!$GJ$2:$GJ$21,$NJ75))=0),$MU75&amp;" não existe na Classe 0",""),IF($NY75=1,"Família Fechada: "&amp;$MX75,""),IF($NZ75=1,"Família Fechada: "&amp;$MY75,""),IF($OA75=1,"Família Fechada: "&amp;$MZ75,""),IF($OB75=1,"Família Fechada: "&amp;$NA75,""),IF(AND($MS75&gt;0,$OU75&gt;INDEX($O$2:$O$8,MAX(1,$MS75))),$OU75&amp;" Melhorias: a Classe "&amp;$MS75&amp;" aceita "&amp;INDEX($O$2:$O$8,MAX(1,$MS75)),""),IF(AND($MS75=0,$OU75&gt;1),"A básica aceita uma Melhoria",""),IF(AND($MS75=0,COUNTIF($NO75:$NR75,"&gt;1")&gt;0),"A básica só aceita Melhoria Leve",""),IF(AND($MS75&gt;0,$OV75&gt;2),$OV75&amp;" Restrições"&amp;IF($OF75=1,", contando a que a Forma "&amp;$MU75&amp;" já traz","")&amp;": o limite é 2",""),IF(AND($MS75=0,COUNTIF($NB75:$NC75,"?*")&gt;1),"A básica aceita uma Restrição Leve",""),IF(AND($MS75=0,COUNTIF($OI75:$OJ75,2)&gt;0),"A básica só aceita Restrição Leve",""),IF(AND($MS75&gt;0,$PC75&lt;0),"Orçamento estourado: faltam "&amp;(-$PC75)&amp;IF($PC75&lt;-1," pontos"," ponto"),""),IF(IFERROR(VLOOKUP(SUBSTITUTE(SUBSTITUTE(SUBSTITUTE($NB75,"~","~~"),"*","~*"),"?","~?"),'DADOS_RESTRICOES'!$M$2:$Q$54,4,FALSE),0)+IFERROR(VLOOKUP(SUBSTITUTE(SUBSTITUTE(SUBSTITUTE($NC75,"~","~~"),"*","~*"),"?","~?"),'DADOS_RESTRICOES'!$M$2:$Q$54,4,FALSE),0)&gt;1,$OK75&amp;" e "&amp;$OL75&amp;" são as duas de frequência",""),IF(AND((COUNTIF($RK75:$RN75,"Rápido")+COUNTIF($OK75:$OL75,"Rápido"))&gt;0,(COUNTIF($MX75:$NA75,"Atrasar")+COUNTIF($OK75:$OL75,"Atrasar"))&gt;0),"Rápido não entra com Atrasar",""),IF(AND((COUNTIF($RK75:$RN75,"Reação")+COUNTIF($OK75:$OL75,"Reação"))&gt;0,(COUNTIF($RK75:$RN75,"Rápido")+COUNTIF($OK75:$OL75,"Rápido"))&gt;0),"Reação não entra com Rápido",""),IF(AND((COUNTIF($RK75:$RN75,"Reação")+COUNTIF($OK75:$OL75,"Reação"))&gt;0,(COUNTIF($RK75:$RN75,"Armado")+COUNTIF($OK75:$OL75,"Armado"))&gt;0),"Reação não entra com Armado",""),IF(AND((COUNTIF($RK75:$RN75,"Reação")+COUNTIF($OK75:$OL75,"Reação"))&gt;0,(COUNTIF($MX75:$NA75,"Atrasar")+COUNTIF($OK75:$OL75,"Atrasar"))&gt;0),"Reação não entra com Atrasar",""),IF(AND((COUNTIF($RK75:$RN75,"Reação")+COUNTIF($OK75:$OL75,"Reação"))&gt;0,(COUNTIF($MX75:$NA75,"Parado")+COUNTIF($OK75:$OL75,"Parado"))&gt;0),"Reação não entra com Parado",""),IF(AND((COUNTIF($MX75:$NA75,"Atrasar")+COUNTIF($OK75:$OL75,"Atrasar"))&gt;0,(COUNTIF($MX75:$NA75,"Parado")+COUNTIF($OK75:$OL75,"Parado"))&gt;0),"Atrasar não entra com Parado",""),IF(AND((COUNTIF($RK75:$RN75,"Armado")+COUNTIF($OK75:$OL75,"Armado"))&gt;0,(COUNTIF($MX75:$NA75,"Carregar")+COUNTIF($OK75:$OL75,"Carregar"))&gt;0),"Armado não entra com Carregar",""),IF(AND(COUNTIF($OK75:$OL75,"Corpo a Corpo")&gt;0,$OF75=0,OR($RO75="Cone",$RO75="Linha")),"Corpo a Corpo não entra em "&amp;$MU75,""),IF(AND(COUNTIF($OK75:$OL75,"Corpo a Corpo")&gt;0,$RP75="Corpo a Corpo"),"A Forma "&amp;$MU75&amp;" já traz o Corpo a Corpo",""),IF(AND(COUNTIF($OK75:$OL75,"Tudo ou Nada")&gt;0,$OH75=0),"Tudo ou Nada só entra em habilidade de Teste de Resistência",""),IF(AND(COUNTIF($RK75:$RN75,"Inescapável")&gt;0,OR($OU75&gt;1,$OV75&gt;0)),"Inescapável não aceita outra peça",""),IF(AND($MS75&gt;0,$PD75*IF(COUNTIF($RK75:$RN75,"Remate")&gt;0,1.25,1)+$PE75&gt;4*$MS75),($PD75*IF(COUNTIF($RK75:$RN75,"Remate")&gt;0,1.25,1)+$PE75)&amp;" dados somando repetições"&amp;IF(COUNTIF($RK75:$RN75,"Remate")&gt;0," e o Remate","")&amp;": o teto da Classe "&amp;$MS75&amp;" é "&amp;4*$MS75,""))),IF(AND($MX75&lt;&gt;"",COUNTIF('DADOS_MELHORIAS'!$O$2:$O$113,SUBSTITUTE(SUBSTITUTE(SUBSTITUTE($MX75,"~","~~"),"*","~*"),"?","~?"))=0),"Melhoria não cadastrada ou com erro: "&amp;$MX75,""),IF(AND($MY75&lt;&gt;"",COUNTIF('DADOS_MELHORIAS'!$O$2:$O$113,SUBSTITUTE(SUBSTITUTE(SUBSTITUTE($MY75,"~","~~"),"*","~*"),"?","~?"))=0),"Melhoria não cadastrada ou com erro: "&amp;$MY75,""),IF(AND($MZ75&lt;&gt;"",COUNTIF('DADOS_MELHORIAS'!$O$2:$O$113,SUBSTITUTE(SUBSTITUTE(SUBSTITUTE($MZ75,"~","~~"),"*","~*"),"?","~?"))=0),"Melhoria não cadastrada ou com erro: "&amp;$MZ75,""),IF(AND($NA75&lt;&gt;"",COUNTIF('DADOS_MELHORIAS'!$O$2:$O$113,SUBSTITUTE(SUBSTITUTE(SUBSTITUTE($NA75,"~","~~"),"*","~*"),"?","~?"))=0),"Melhoria não cadastrada ou com erro: "&amp;$NA75,""),IF(AND($NB75&lt;&gt;"",COUNTIF('DADOS_RESTRICOES'!$M$2:$M$54,SUBSTITUTE(SUBSTITUTE(SUBSTITUTE($NB75,"~","~~"),"*","~*"),"?","~?"))=0),"Restrição não cadastrada ou com erro: "&amp;$NB75,""),IF(AND($NC75&lt;&gt;"",COUNTIF('DADOS_RESTRICOES'!$M$2:$M$54,SUBSTITUTE(SUBSTITUTE(SUBSTITUTE($NC75,"~","~~"),"*","~*"),"?","~?"))=0),"Restrição não cadastrada ou com erro: "&amp;$NC75,""))),IF(AND($MU75&lt;&gt;"",COUNTIF('DADOS_FORMAS'!$AH$2:$AH$21,SUBSTITUTE(SUBSTITUTE(SUBSTITUTE($MU75,"~","~~"),"*","~*"),"?","~?"))=0),"Forma não cadastrada ou com erro: "&amp;$MU75,""),IF(AND(IFERROR(INDEX('DADOS_FORMAS'!$AS$2:$AS$21,MATCH(SUBSTITUTE(SUBSTITUTE(SUBSTITUTE($MU75,"~","~~"),"*","~*"),"?","~?"),'DADOS_FORMAS'!$AH$2:$AH$21,0)),"")&lt;&gt;"",OR(IFERROR(VLOOKUP(SUBSTITUTE(SUBSTITUTE(SUBSTITUTE(IFERROR(INDEX('DADOS_FORMAS'!$AS$2:$AS$21,MATCH(SUBSTITUTE(SUBSTITUTE(SUBSTITUTE($MU75,"~","~~"),"*","~*"),"?","~?"),'DADOS_FORMAS'!$AH$2:$AH$21,0)),""),"~","~~"),"*","~*"),"?","~?"),'DADOS_RESTRICOES'!$M$2:$Q$54,2,FALSE),"")=$OK75,IFERROR(VLOOKUP(SUBSTITUTE(SUBSTITUTE(SUBSTITUTE(IFERROR(INDEX('DADOS_FORMAS'!$AS$2:$AS$21,MATCH(SUBSTITUTE(SUBSTITUTE(SUBSTITUTE($MU75,"~","~~"),"*","~*"),"?","~?"),'DADOS_FORMAS'!$AH$2:$AH$21,0)),""),"~","~~"),"*","~*"),"?","~?"),'DADOS_RESTRICOES'!$M$2:$Q$54,2,FALSE),"")=$OL75)),"Restrição repetida, contando a embutida",""),IF(IF(IFERROR(INDEX('DADOS_FORMAS'!$AS$2:$AS$21,MATCH(SUBSTITUTE(SUBSTITUTE(SUBSTITUTE($MU75,"~","~~"),"*","~*"),"?","~?"),'DADOS_FORMAS'!$AH$2:$AH$21,0)),"")="",0,IFERROR(N(VLOOKUP(SUBSTITUTE(SUBSTITUTE(SUBSTITUTE(IFERROR(INDEX('DADOS_FORMAS'!$AS$2:$AS$21,MATCH(SUBSTITUTE(SUBSTITUTE(SUBSTITUTE($MU75,"~","~~"),"*","~*"),"?","~?"),'DADOS_FORMAS'!$AH$2:$AH$21,0)),""),"~","~~"),"*","~*"),"?","~?"),'DADOS_RESTRICOES'!$M$2:$Q$54,4,FALSE)=1),0))+IF($NB75="",0,IFERROR(N(VLOOKUP(SUBSTITUTE(SUBSTITUTE(SUBSTITUTE($NB75,"~","~~"),"*","~*"),"?","~?"),'DADOS_RESTRICOES'!$M$2:$Q$54,4,FALSE)=1),0))+IF($NC75="",0,IFERROR(N(VLOOKUP(SUBSTITUTE(SUBSTITUTE(SUBSTITUTE($NC75,"~","~~"),"*","~*"),"?","~?"),'DADOS_RESTRICOES'!$M$2:$Q$54,4,FALSE)=1),0))&gt;1,"Duas Restrições de frequência, contando a embutida",""),IF(AND(IFERROR(VLOOKUP(SUBSTITUTE(SUBSTITUTE(SUBSTITUTE(IFERROR(INDEX('DADOS_FORMAS'!$AS$2:$AS$21,MATCH(SUBSTITUTE(SUBSTITUTE(SUBSTITUTE($MU75,"~","~~"),"*","~*"),"?","~?"),'DADOS_FORMAS'!$AH$2:$AH$21,0)),""),"~","~~"),"*","~*"),"?","~?"),'DADOS_RESTRICOES'!$M$2:$Q$54,2,FALSE),"")="Tudo ou Nada",$OH75=0),"Tudo ou Nada exige TR",""),IF(AND(IFERROR(VLOOKUP(SUBSTITUTE(SUBSTITUTE(SUBSTITUTE(IFERROR(INDEX('DADOS_FORMAS'!$AS$2:$AS$21,MATCH(SUBSTITUTE(SUBSTITUTE(SUBSTITUTE($MU75,"~","~~"),"*","~*"),"?","~?"),'DADOS_FORMAS'!$AH$2:$AH$21,0)),""),"~","~~"),"*","~*"),"?","~?"),'DADOS_RESTRICOES'!$M$2:$Q$54,2,FALSE),"")="Corpo a Corpo",OR($RO75="Cone",$RO75="Linha")),"Corpo a Corpo não entra em Cone/Linha","")))</f>
        <v/>
      </c>
      <c r="PU75" s="164">
        <f>IF($PT75="",0,(LEN($PT75)-LEN(SUBSTITUTE($PT75," · ","")))/3+1)</f>
        <v/>
      </c>
      <c r="PV75" s="164">
        <f>IF($ND75=0,"",TEXTJOIN(" · ",TRUE,IF($OX75&gt;2*$MS75,"A devolução parou no teto de "&amp;2*$MS75,""),IF($PA75&gt;0,"Devolução perdida: "&amp;$PA75&amp;IF($PA75&gt;1," pontos"," ponto")&amp;" sem Melhoria para pagar",""),IF(AND($OC75&gt;0,AND($MS75&gt;0,$OG75=0),$PD75=0),"Controle sem dano: uma rodada a mais e CD +2",""),IF(AND($OC75&gt;0,AND($MS75&gt;0,$OG75=0),$PD75&gt;0,$PD75&lt;=$MS75),"Controle com saldo até a Classe: uma rodada a mais",""),IF(AND($MS75&gt;0,$OE75&lt;&gt;""),"Efeito de "&amp;$OE75&amp;" pela Classe "&amp;MAX(1,$MS75-1),"")))</f>
        <v/>
      </c>
      <c r="PW75" s="164">
        <f>IF($PV75="",0,(LEN($PV75)-LEN(SUBSTITUTE($PV75," · ","")))/3+1)</f>
        <v/>
      </c>
      <c r="PX75" s="164">
        <f>IF($ND75=0,IF($OU75+COUNTIF($NB75:$NC75,"?*")&gt;0,"Dê um nome",""),IF($PU75&gt;0,"⚠ "&amp;$PU75&amp;IF($PU75&gt;1," erros"," erro"),IF($PW75&gt;0,"! "&amp;$PW75&amp;IF($PW75&gt;1," avisos"," aviso"),"Na regra")))</f>
        <v/>
      </c>
      <c r="PY75" s="164">
        <f>IF($ND75=0,"",IF($PU75+$PW75=0,"Dentro das regras que a ficha confere",$PT75&amp;IF(AND($PU75&gt;0,$PW75&gt;0)," · ","")&amp;$PV75))</f>
        <v/>
      </c>
      <c r="PZ75" s="164">
        <f>IF($MQ75&gt;$NE75,$MR75&amp;" · ABRE NO NÍVEL "&amp;$MQ75,$MR75)</f>
        <v/>
      </c>
      <c r="QA75" s="164">
        <f>IF($ND75=0,"",IF($MS75=0,"Sem PE",3*$MS75&amp;" PE"))</f>
        <v/>
      </c>
      <c r="QB75" s="164">
        <f>IF($ND75=0,"",IF($MS75=0,"A atuação básica dela",IF(COUNTIF($RQ75:$RS75,"Atrasar")&gt;0,"Sua Ação Completa",IF(COUNTIF($RK75:$RN75,"Rápido")&gt;0,"Sua Bônus",IF(COUNTIF($RK75:$RN75,"Reação")&gt;0,"Sua Reação","Sua Padrão")))&amp;" + a básica dela"&amp;IF(COUNTIF($RK75:$RN75,"Reação")&gt;0," e a coletiva","")&amp;IF(COUNTIF($RQ75:$RS75,"Carregar")&gt;0," · em dois turnos","")))</f>
        <v/>
      </c>
      <c r="QC75" s="164">
        <f>IF($MW75&lt;&gt;"",$MW75,IF($NJ75=0,"",INDEX('DADOS_FORMAS'!$GE$2:$GE$21,$NJ75)))</f>
        <v/>
      </c>
      <c r="QD75" s="164">
        <f>IF(OR($ND75=0,$NJ75=0),"",IF(COUNTIF($RK75:$RN75,"Inescapável")&gt;0,"Automático",IF($QC75="Ataque",IF($NH75="","Ataque","Ataque "&amp;IF(($NH75+2*IF(COUNTIF($RK75:$RN75,"Precisão")&gt;0,1,0))&gt;=0,"+","−")&amp;ABS(($NH75+2*IF(COUNTIF($RK75:$RN75,"Precisão")&gt;0,1,0))))&amp;IF($OD75&gt;0," · TR"&amp;IF($NI75="",""," CD "&amp;$NI75),""),IF(LEFT($QC75,2)="TR",$QC75&amp;IF($NI75="",""," · CD "&amp;$NI75)&amp;IF(COUNTIF($RK75:$RN75,"Certeiro")&gt;0," · metade",""),"Sem rolagem"))))</f>
        <v/>
      </c>
      <c r="QE75" s="164">
        <f>IF(OR($ND75=0,$NJ75=0),"",IF($MS75=0,IF(OR($OG75&gt;=1,$PD75=0),"Sem dano",$PD75&amp;"d6"&amp;IF($MV75="",""," "&amp;$MV75)),IF(OR($OG75&gt;=1,$PD75=0),UPPER(LEFT(INDEX($PM75:$PS75,1,MAX(1,$MS75)),1))&amp;MID(INDEX($PM75:$PS75,1,MAX(1,$MS75)),2,99),UPPER(LEFT(INDEX($PM75:$PS75,1,MAX(1,$MS75)),1))&amp;MID(INDEX($PM75:$PS75,1,MAX(1,$MS75)),2,99)&amp;IF($MV75="",""," "&amp;$MV75)&amp;IF($PE75&gt;0," · +"&amp;$PE75&amp;"d8",""))))</f>
        <v/>
      </c>
      <c r="QF75" s="164">
        <f>COUNTIF($RK75:$RN75,"Longe")+3*COUNTIF($RK75:$RN75,"Muito Longe")</f>
        <v/>
      </c>
      <c r="QG75" s="164">
        <f>COUNTIF($RK75:$RN75,"Maior")+3*COUNTIF($RK75:$RN75,"Muito Maior")</f>
        <v/>
      </c>
      <c r="QH75" s="164">
        <f>IF($NJ75=0,0,CHOOSE(1+INDEX('DADOS_FORMAS'!$GG$2:$GG$21,$NJ75),0,$QF75,$QG75,$QF75+$QG75))</f>
        <v/>
      </c>
      <c r="QI75" s="164">
        <f>IF($NJ75=0,0,CHOOSE(1+INDEX('DADOS_FORMAS'!$GH$2:$GH$21,$NJ75),0,$QF75,$QG75,$QF75+$QG75))</f>
        <v/>
      </c>
      <c r="QJ75" s="164">
        <f>IF(OR($ND75=0,$NJ75=0),"",INDEX('DADOS_FORMAS'!$HU$2:$HZ$81,($NJ75-1)*4+IF($MS75=0,1,IF($MS75&lt;=5,2,IF($MS75=6,3,4))),1+MIN(5,$QH75))&amp;INDEX('DADOS_FORMAS'!$IA$2:$IF$81,($NJ75-1)*4+IF($MS75=0,1,IF($MS75&lt;=5,2,IF($MS75=6,3,4))),1+MIN(5,$QI75))&amp;IF(INDEX('DADOS_FORMAS'!$GI$2:$GI$21,$NJ75)=1,IF(COUNTIF($RK75:$RN75,"Mais Um")&gt;0," · +"&amp;COUNTIF($RK75:$RN75,"Mais Um")&amp;IF(COUNTIF($RK75:$RN75,"Mais Um")&gt;1," alvos"," alvo"),"")&amp;IF(COUNTIF($RK75:$RN75,"Rajada")&gt;0,IF($MS75=0," · 1 tiro"," · "&amp;(MAX(1,$MS75-1)+1)&amp;" tiros"),""),""))</f>
        <v/>
      </c>
      <c r="QK75" s="164">
        <f>IF($ND75=0,"",IF($MS75=0,$NG75&amp;"d6"&amp;IF($OU75&gt;0," − 1 = "&amp;$PD75&amp;"d6"," da básica do nível "&amp;$NE75),$PB75&amp;" − "&amp;$OW75&amp;" + "&amp;$OZ75&amp;" = "&amp;$PC75&amp;" · teto "&amp;4*$MS75&amp;"d8"&amp;IF($OF75=1," · a Forma devolve "&amp;$MS75,"")&amp;IF($PA75&gt;0," · perde "&amp;$PA75,"")))</f>
        <v/>
      </c>
      <c r="QL75" s="164">
        <f>IF($ND75=0,"",IF($MS75=0,"A básica não amplia: os dados dela sobem com o nível",IF($MS75&gt;=$NF75,"Já está na maior Classe que o nível liberou",TEXTJOIN(" · ",TRUE,IF(AND(2&gt;$MS75,2&lt;=$NF75),"2 → "&amp;$PN75&amp;", 6 PE",""),IF(AND(3&gt;$MS75,3&lt;=$NF75),"3 → "&amp;$PO75&amp;", 9 PE",""),IF(AND(4&gt;$MS75,4&lt;=$NF75),"4 → "&amp;$PP75&amp;", 12 PE",""),IF(AND(5&gt;$MS75,5&lt;=$NF75),"5 → "&amp;$PQ75&amp;", 15 PE",""),IF(AND(6&gt;$MS75,6&lt;=$NF75),"6 → "&amp;$PR75&amp;", 18 PE",""),IF(AND(7&gt;$MS75,7&lt;=$NF75),"7 → "&amp;$PS75&amp;", 21 PE","")))))</f>
        <v/>
      </c>
      <c r="QM75" s="164">
        <f>IF(OR($ND75=0,$NO75=0),"",IF($MS75=0,"−1 dado","−"&amp;INDEX($I$2:$N$8,MAX(1,$MS75),MAX(1,$NT75))&amp;" · "&amp;CHOOSE(MAX(1,$NT75),"Leve","Média","Pesada","Leve · Livre","Média · Livre","Pesada · Livre")))</f>
        <v/>
      </c>
      <c r="QN75" s="164">
        <f>IF(OR($ND75=0,$NP75=0),"",IF($MS75=0,"−1 dado","−"&amp;INDEX($I$2:$N$8,MAX(1,$MS75),MAX(1,$NU75))&amp;" · "&amp;CHOOSE(MAX(1,$NU75),"Leve","Média","Pesada","Leve · Livre","Média · Livre","Pesada · Livre")))</f>
        <v/>
      </c>
      <c r="QO75" s="164">
        <f>IF(OR($ND75=0,$NQ75=0),"",IF($MS75=0,"−1 dado","−"&amp;INDEX($I$2:$N$8,MAX(1,$MS75),MAX(1,$NV75))&amp;" · "&amp;CHOOSE(MAX(1,$NV75),"Leve","Média","Pesada","Leve · Livre","Média · Livre","Pesada · Livre")))</f>
        <v/>
      </c>
      <c r="QP75" s="164">
        <f>IF(OR($ND75=0,$NR75=0),"",IF($MS75=0,"−1 dado","−"&amp;INDEX($I$2:$N$8,MAX(1,$MS75),MAX(1,$NW75))&amp;" · "&amp;CHOOSE(MAX(1,$NW75),"Leve","Média","Pesada","Leve · Livre","Média · Livre","Pesada · Livre")))</f>
        <v/>
      </c>
      <c r="QQ75" s="164">
        <f>IF(OR($ND75=0,$NB75=""),"",IF($MS75=0,"não devolve","+"&amp;IF($OI75=1,CEILING($MS75/2,1),$MS75)))</f>
        <v/>
      </c>
      <c r="QR75" s="164">
        <f>IF(OR($ND75=0,$NC75=""),"",IF($MS75=0,"não devolve","+"&amp;IF($OJ75=1,CEILING($MS75/2,1),$MS75)))</f>
        <v/>
      </c>
      <c r="RK75">
        <f>IF($MX75="","",IFERROR(VLOOKUP(SUBSTITUTE(SUBSTITUTE(SUBSTITUTE($MX75,"~","~~"),"*","~*"),"?","~?"),'DADOS_MELHORIAS'!$O$2:$X$113,10,FALSE),$MX75))</f>
        <v/>
      </c>
      <c r="RL75">
        <f>IF($MY75="","",IFERROR(VLOOKUP(SUBSTITUTE(SUBSTITUTE(SUBSTITUTE($MY75,"~","~~"),"*","~*"),"?","~?"),'DADOS_MELHORIAS'!$O$2:$X$113,10,FALSE),$MY75))</f>
        <v/>
      </c>
      <c r="RM75">
        <f>IF($MZ75="","",IFERROR(VLOOKUP(SUBSTITUTE(SUBSTITUTE(SUBSTITUTE($MZ75,"~","~~"),"*","~*"),"?","~?"),'DADOS_MELHORIAS'!$O$2:$X$113,10,FALSE),$MZ75))</f>
        <v/>
      </c>
      <c r="RN75">
        <f>IF($NA75="","",IFERROR(VLOOKUP(SUBSTITUTE(SUBSTITUTE(SUBSTITUTE($NA75,"~","~~"),"*","~*"),"?","~?"),'DADOS_MELHORIAS'!$O$2:$X$113,10,FALSE),$NA75))</f>
        <v/>
      </c>
      <c r="RO75">
        <f>IFERROR(INDEX('DADOS_FORMAS'!$BJ$2:$BJ$21,MATCH(SUBSTITUTE(SUBSTITUTE(SUBSTITUTE($MU75,"~","~~"),"*","~*"),"?","~?"),'DADOS_FORMAS'!$AH$2:$AH$21,0)),"")</f>
        <v/>
      </c>
      <c r="RP75">
        <f>IFERROR(VLOOKUP(SUBSTITUTE(SUBSTITUTE(SUBSTITUTE(IFERROR(INDEX('DADOS_FORMAS'!$AS$2:$AS$21,MATCH(SUBSTITUTE(SUBSTITUTE(SUBSTITUTE($MU75,"~","~~"),"*","~*"),"?","~?"),'DADOS_FORMAS'!$AH$2:$AH$21,0)),""),"~","~~"),"*","~*"),"?","~?"),'DADOS_RESTRICOES'!$M$2:$Q$54,2,FALSE),"")</f>
        <v/>
      </c>
      <c r="RQ75">
        <f>$OK75</f>
        <v/>
      </c>
      <c r="RR75">
        <f>$OL75</f>
        <v/>
      </c>
      <c r="RS75">
        <f>$RP75</f>
        <v/>
      </c>
    </row>
    <row r="76">
      <c r="AV76" s="162" t="inlineStr">
        <is>
          <t>Levanta</t>
        </is>
      </c>
      <c r="AW76" s="162" t="inlineStr">
        <is>
          <t>Amparo</t>
        </is>
      </c>
      <c r="AX76" s="164" t="n">
        <v>3</v>
      </c>
      <c r="AY76" s="164" t="n">
        <v>0</v>
      </c>
      <c r="AZ76" s="164" t="n">
        <v>1</v>
      </c>
      <c r="BA76" s="164" t="n">
        <v>0</v>
      </c>
      <c r="JT76" s="164">
        <f>IF(OR($AW76="",(COUNTIF($EL$2:$EP$2,$AW76)+COUNTIF($QV$2:$QY$2,$AW76))&gt;0),$AV76,"")</f>
        <v/>
      </c>
      <c r="JU76" s="164">
        <f>IF(AND($AX76=1,OR($AW76="",(COUNTIF($EL$2:$EP$2,$AW76)+COUNTIF($QV$2:$QY$2,$AW76))&gt;0)),$AV76,"")</f>
        <v/>
      </c>
      <c r="JZ76" s="164">
        <f>IF(OR($AW76="",(COUNTIF($EL$3:$EP$3,$AW76)+COUNTIF($QV$3:$QY$3,$AW76))&gt;0),$AV76,"")</f>
        <v/>
      </c>
      <c r="KA76" s="164">
        <f>IF(AND($AX76=1,OR($AW76="",(COUNTIF($EL$3:$EP$3,$AW76)+COUNTIF($QV$3:$QY$3,$AW76))&gt;0)),$AV76,"")</f>
        <v/>
      </c>
      <c r="KF76" s="164">
        <f>IF(OR($AW76="",(COUNTIF($EL$4:$EP$4,$AW76)+COUNTIF($QV$4:$QY$4,$AW76))&gt;0),$AV76,"")</f>
        <v/>
      </c>
      <c r="KG76" s="164">
        <f>IF(AND($AX76=1,OR($AW76="",(COUNTIF($EL$4:$EP$4,$AW76)+COUNTIF($QV$4:$QY$4,$AW76))&gt;0)),$AV76,"")</f>
        <v/>
      </c>
      <c r="KL76" s="164">
        <f>IF(OR($AW76="",(COUNTIF($EL$5:$EP$5,$AW76)+COUNTIF($QV$5:$QY$5,$AW76))&gt;0),$AV76,"")</f>
        <v/>
      </c>
      <c r="KM76" s="164">
        <f>IF(AND($AX76=1,OR($AW76="",(COUNTIF($EL$5:$EP$5,$AW76)+COUNTIF($QV$5:$QY$5,$AW76))&gt;0)),$AV76,"")</f>
        <v/>
      </c>
      <c r="KR76" s="164">
        <f>IF(OR($AW76="",(COUNTIF($EL$6:$EP$6,$AW76)+COUNTIF($QV$6:$QY$6,$AW76))&gt;0),$AV76,"")</f>
        <v/>
      </c>
      <c r="KS76" s="164">
        <f>IF(AND($AX76=1,OR($AW76="",(COUNTIF($EL$6:$EP$6,$AW76)+COUNTIF($QV$6:$QY$6,$AW76))&gt;0)),$AV76,"")</f>
        <v/>
      </c>
      <c r="KX76" s="164">
        <f>IF(OR($AW76="",(COUNTIF($EL$7:$EP$7,$AW76)+COUNTIF($QV$7:$QY$7,$AW76))&gt;0),$AV76,"")</f>
        <v/>
      </c>
      <c r="KY76" s="164">
        <f>IF(AND($AX76=1,OR($AW76="",(COUNTIF($EL$7:$EP$7,$AW76)+COUNTIF($QV$7:$QY$7,$AW76))&gt;0)),$AV76,"")</f>
        <v/>
      </c>
      <c r="LD76" s="164">
        <f>IF(OR($AW76="",(COUNTIF($EL$8:$EP$8,$AW76)+COUNTIF($QV$8:$QY$8,$AW76))&gt;0),$AV76,"")</f>
        <v/>
      </c>
      <c r="LE76" s="164">
        <f>IF(AND($AX76=1,OR($AW76="",(COUNTIF($EL$8:$EP$8,$AW76)+COUNTIF($QV$8:$QY$8,$AW76))&gt;0)),$AV76,"")</f>
        <v/>
      </c>
      <c r="LJ76" s="164">
        <f>IF(OR($AW76="",(COUNTIF($EL$9:$EP$9,$AW76)+COUNTIF($QV$9:$QY$9,$AW76))&gt;0),$AV76,"")</f>
        <v/>
      </c>
      <c r="LK76" s="164">
        <f>IF(AND($AX76=1,OR($AW76="",(COUNTIF($EL$9:$EP$9,$AW76)+COUNTIF($QV$9:$QY$9,$AW76))&gt;0)),$AV76,"")</f>
        <v/>
      </c>
      <c r="LP76" s="164">
        <f>IF(OR($AW76="",(COUNTIF($EL$10:$EP$10,$AW76)+COUNTIF($QV$10:$QY$10,$AW76))&gt;0),$AV76,"")</f>
        <v/>
      </c>
      <c r="LQ76" s="164">
        <f>IF(AND($AX76=1,OR($AW76="",(COUNTIF($EL$10:$EP$10,$AW76)+COUNTIF($QV$10:$QY$10,$AW76))&gt;0)),$AV76,"")</f>
        <v/>
      </c>
      <c r="LV76" s="164">
        <f>IF(OR($AW76="",(COUNTIF($EL$11:$EP$11,$AW76)+COUNTIF($QV$11:$QY$11,$AW76))&gt;0),$AV76,"")</f>
        <v/>
      </c>
      <c r="LW76" s="164">
        <f>IF(AND($AX76=1,OR($AW76="",(COUNTIF($EL$11:$EP$11,$AW76)+COUNTIF($QV$11:$QY$11,$AW76))&gt;0)),$AV76,"")</f>
        <v/>
      </c>
      <c r="MB76" s="164">
        <f>IF(OR($AW76="",(COUNTIF($EL$12:$EP$12,$AW76)+COUNTIF($QV$12:$QY$12,$AW76))&gt;0),$AV76,"")</f>
        <v/>
      </c>
      <c r="MC76" s="164">
        <f>IF(AND($AX76=1,OR($AW76="",(COUNTIF($EL$12:$EP$12,$AW76)+COUNTIF($QV$12:$QY$12,$AW76))&gt;0)),$AV76,"")</f>
        <v/>
      </c>
      <c r="MH76" s="164">
        <f>IF(OR($AW76="",(COUNTIF($EL$13:$EP$13,$AW76)+COUNTIF($QV$13:$QY$13,$AW76))&gt;0),$AV76,"")</f>
        <v/>
      </c>
      <c r="MI76" s="164">
        <f>IF(AND($AX76=1,OR($AW76="",(COUNTIF($EL$13:$EP$13,$AW76)+COUNTIF($QV$13:$QY$13,$AW76))&gt;0)),$AV76,"")</f>
        <v/>
      </c>
      <c r="MN76" s="162" t="inlineStr">
        <is>
          <t>Ficha 6 · Especial 8</t>
        </is>
      </c>
      <c r="MO76" s="164" t="n">
        <v>6</v>
      </c>
      <c r="MP76" s="164" t="n">
        <v>1</v>
      </c>
      <c r="MQ76" s="164" t="n">
        <v>28</v>
      </c>
      <c r="MR76" s="162" t="inlineStr">
        <is>
          <t>ESPECIAL 8</t>
        </is>
      </c>
      <c r="MS76" s="164">
        <f>MAX(1,MIN(7,N('INVOCAÇÕES'!$I$1204)))</f>
        <v/>
      </c>
      <c r="MT76" s="164">
        <f>'INVOCAÇÕES'!$J$1204&amp;""</f>
        <v/>
      </c>
      <c r="MU76" s="164">
        <f>'INVOCAÇÕES'!$I$1209&amp;""</f>
        <v/>
      </c>
      <c r="MV76" s="164">
        <f>'INVOCAÇÕES'!$I$1210&amp;""</f>
        <v/>
      </c>
      <c r="MW76" s="164">
        <f>'INVOCAÇÕES'!$K$1210&amp;""</f>
        <v/>
      </c>
      <c r="MX76" s="164">
        <f>'INVOCAÇÕES'!$J$1213&amp;""</f>
        <v/>
      </c>
      <c r="MY76" s="164">
        <f>'INVOCAÇÕES'!$J$1214&amp;""</f>
        <v/>
      </c>
      <c r="MZ76" s="164">
        <f>'INVOCAÇÕES'!$J$1215&amp;""</f>
        <v/>
      </c>
      <c r="NA76" s="164">
        <f>'INVOCAÇÕES'!$J$1216&amp;""</f>
        <v/>
      </c>
      <c r="NB76" s="164">
        <f>'INVOCAÇÕES'!$J$1217&amp;""</f>
        <v/>
      </c>
      <c r="NC76" s="164">
        <f>'INVOCAÇÕES'!$J$1218&amp;""</f>
        <v/>
      </c>
      <c r="ND76" s="164">
        <f>IF($MT76&lt;&gt;"",1,0)</f>
        <v/>
      </c>
      <c r="NE76" s="164">
        <f>INDEX($FO$2:$FO$13,$MO76)</f>
        <v/>
      </c>
      <c r="NF76" s="164">
        <f>INDEX($FP$2:$FP$13,$MO76)</f>
        <v/>
      </c>
      <c r="NG76" s="164">
        <f>INDEX($FQ$2:$FQ$13,$MO76)</f>
        <v/>
      </c>
      <c r="NH76" s="164">
        <f>INDEX($GB$2:$GB$13,$MO76)</f>
        <v/>
      </c>
      <c r="NI76" s="164">
        <f>INDEX($GC$2:$GC$13,$MO76)</f>
        <v/>
      </c>
      <c r="NJ76" s="164">
        <f>IFERROR(MATCH(SUBSTITUTE(SUBSTITUTE(SUBSTITUTE($MU76,"~","~~"),"*","~*"),"?","~?"),'DADOS_FORMAS'!$FZ$2:$FZ$21,0),0)</f>
        <v/>
      </c>
      <c r="NK76" s="164">
        <f>IFERROR(VLOOKUP(SUBSTITUTE(SUBSTITUTE(SUBSTITUTE($MX76,"~","~~"),"*","~*"),"?","~?"),'DADOS_MELHORIAS'!$AG$2:$AL$113,2,FALSE),"")</f>
        <v/>
      </c>
      <c r="NL76" s="164">
        <f>IFERROR(VLOOKUP(SUBSTITUTE(SUBSTITUTE(SUBSTITUTE($MY76,"~","~~"),"*","~*"),"?","~?"),'DADOS_MELHORIAS'!$AG$2:$AL$113,2,FALSE),"")</f>
        <v/>
      </c>
      <c r="NM76" s="164">
        <f>IFERROR(VLOOKUP(SUBSTITUTE(SUBSTITUTE(SUBSTITUTE($MZ76,"~","~~"),"*","~*"),"?","~?"),'DADOS_MELHORIAS'!$AG$2:$AL$113,2,FALSE),"")</f>
        <v/>
      </c>
      <c r="NN76" s="164">
        <f>IFERROR(VLOOKUP(SUBSTITUTE(SUBSTITUTE(SUBSTITUTE($NA76,"~","~~"),"*","~*"),"?","~?"),'DADOS_MELHORIAS'!$AG$2:$AL$113,2,FALSE),"")</f>
        <v/>
      </c>
      <c r="NO76" s="164">
        <f>IFERROR(VLOOKUP(SUBSTITUTE(SUBSTITUTE(SUBSTITUTE($MX76,"~","~~"),"*","~*"),"?","~?"),'DADOS_MELHORIAS'!$AG$2:$AL$113,3,FALSE),0)</f>
        <v/>
      </c>
      <c r="NP76" s="164">
        <f>IFERROR(VLOOKUP(SUBSTITUTE(SUBSTITUTE(SUBSTITUTE($MY76,"~","~~"),"*","~*"),"?","~?"),'DADOS_MELHORIAS'!$AG$2:$AL$113,3,FALSE),0)</f>
        <v/>
      </c>
      <c r="NQ76" s="164">
        <f>IFERROR(VLOOKUP(SUBSTITUTE(SUBSTITUTE(SUBSTITUTE($MZ76,"~","~~"),"*","~*"),"?","~?"),'DADOS_MELHORIAS'!$AG$2:$AL$113,3,FALSE),0)</f>
        <v/>
      </c>
      <c r="NR76" s="164">
        <f>IFERROR(VLOOKUP(SUBSTITUTE(SUBSTITUTE(SUBSTITUTE($NA76,"~","~~"),"*","~*"),"?","~?"),'DADOS_MELHORIAS'!$AG$2:$AL$113,3,FALSE),0)</f>
        <v/>
      </c>
      <c r="NS76" s="164">
        <f>IF($MS76=0,0,IF($NJ76=0,0,INDEX('DADOS_FORMAS'!$GB$2:$GB$21,$NJ76)))</f>
        <v/>
      </c>
      <c r="NT76" s="164">
        <f>IF(OR($NO76=0,$MS76=0),0,$NO76+3*IF(AND($NK76&lt;&gt;"",COUNTIF(INDEX($RB$2:$RJ$13,$MO76,0),$NK76)&gt;0),1,0))</f>
        <v/>
      </c>
      <c r="NU76" s="164">
        <f>IF(OR($NP76=0,$MS76=0),0,$NP76+3*IF(AND($NL76&lt;&gt;"",COUNTIF(INDEX($RB$2:$RJ$13,$MO76,0),$NL76)&gt;0),1,0))</f>
        <v/>
      </c>
      <c r="NV76" s="164">
        <f>IF(OR($NQ76=0,$MS76=0),0,$NQ76+3*IF(AND($NM76&lt;&gt;"",COUNTIF(INDEX($RB$2:$RJ$13,$MO76,0),$NM76)&gt;0),1,0))</f>
        <v/>
      </c>
      <c r="NW76" s="164">
        <f>IF(OR($NR76=0,$MS76=0),0,$NR76+3*IF(AND($NN76&lt;&gt;"",COUNTIF(INDEX($RB$2:$RJ$13,$MO76,0),$NN76)&gt;0),1,0))</f>
        <v/>
      </c>
      <c r="NX76" s="164">
        <f>IF($NJ76=0,0,IF(INDEX('DADOS_FORMAS'!$GA$2:$GA$21,$NJ76)="",0,IF((COUNTIF(INDEX($EL$2:$EP$13,$MO76,0),INDEX('DADOS_FORMAS'!$GA$2:$GA$21,$NJ76))+COUNTIF(INDEX($QV$2:$QY$13,$MO76,0),INDEX('DADOS_FORMAS'!$GA$2:$GA$21,$NJ76)))=0,1,0)))</f>
        <v/>
      </c>
      <c r="NY76" s="164">
        <f>IF(OR($NO76=0,$NK76=""),0,IF((COUNTIF(INDEX($EL$2:$EP$13,$MO76,0),$NK76)+COUNTIF(INDEX($QV$2:$QY$13,$MO76,0),$NK76))=0,1,0))</f>
        <v/>
      </c>
      <c r="NZ76" s="164">
        <f>IF(OR($NP76=0,$NL76=""),0,IF((COUNTIF(INDEX($EL$2:$EP$13,$MO76,0),$NL76)+COUNTIF(INDEX($QV$2:$QY$13,$MO76,0),$NL76))=0,1,0))</f>
        <v/>
      </c>
      <c r="OA76" s="164">
        <f>IF(OR($NQ76=0,$NM76=""),0,IF((COUNTIF(INDEX($EL$2:$EP$13,$MO76,0),$NM76)+COUNTIF(INDEX($QV$2:$QY$13,$MO76,0),$NM76))=0,1,0))</f>
        <v/>
      </c>
      <c r="OB76" s="164">
        <f>IF(OR($NR76=0,$NN76=""),0,IF((COUNTIF(INDEX($EL$2:$EP$13,$MO76,0),$NN76)+COUNTIF(INDEX($QV$2:$QY$13,$MO76,0),$NN76))=0,1,0))</f>
        <v/>
      </c>
      <c r="OC76" s="164">
        <f>IFERROR(VLOOKUP(SUBSTITUTE(SUBSTITUTE(SUBSTITUTE($MX76,"~","~~"),"*","~*"),"?","~?"),'DADOS_MELHORIAS'!$AG$2:$AL$113,4,FALSE),0)+IFERROR(VLOOKUP(SUBSTITUTE(SUBSTITUTE(SUBSTITUTE($MY76,"~","~~"),"*","~*"),"?","~?"),'DADOS_MELHORIAS'!$AG$2:$AL$113,4,FALSE),0)+IFERROR(VLOOKUP(SUBSTITUTE(SUBSTITUTE(SUBSTITUTE($MZ76,"~","~~"),"*","~*"),"?","~?"),'DADOS_MELHORIAS'!$AG$2:$AL$113,4,FALSE),0)+IFERROR(VLOOKUP(SUBSTITUTE(SUBSTITUTE(SUBSTITUTE($NA76,"~","~~"),"*","~*"),"?","~?"),'DADOS_MELHORIAS'!$AG$2:$AL$113,4,FALSE),0)</f>
        <v/>
      </c>
      <c r="OD76" s="164">
        <f>IFERROR(VLOOKUP(SUBSTITUTE(SUBSTITUTE(SUBSTITUTE($MX76,"~","~~"),"*","~*"),"?","~?"),'DADOS_MELHORIAS'!$AG$2:$AL$113,6,FALSE),0)+IFERROR(VLOOKUP(SUBSTITUTE(SUBSTITUTE(SUBSTITUTE($MY76,"~","~~"),"*","~*"),"?","~?"),'DADOS_MELHORIAS'!$AG$2:$AL$113,6,FALSE),0)+IFERROR(VLOOKUP(SUBSTITUTE(SUBSTITUTE(SUBSTITUTE($MZ76,"~","~~"),"*","~*"),"?","~?"),'DADOS_MELHORIAS'!$AG$2:$AL$113,6,FALSE),0)+IFERROR(VLOOKUP(SUBSTITUTE(SUBSTITUTE(SUBSTITUTE($NA76,"~","~~"),"*","~*"),"?","~?"),'DADOS_MELHORIAS'!$AG$2:$AL$113,6,FALSE),0)+IFERROR(N(AND(INDEX('DADOS_FORMAS'!$AO$2:$AO$21,MATCH(SUBSTITUTE(SUBSTITUTE(SUBSTITUTE($MU76,"~","~~"),"*","~*"),"?","~?"),'DADOS_FORMAS'!$AH$2:$AH$21,0))="Acerto",$OH76=1)),0)</f>
        <v/>
      </c>
      <c r="OE76" s="164">
        <f>TEXTJOIN(", ",TRUE,IF(IFERROR(VLOOKUP(SUBSTITUTE(SUBSTITUTE(SUBSTITUTE($MX76,"~","~~"),"*","~*"),"?","~?"),'DADOS_MELHORIAS'!$AG$2:$AL$113,5,FALSE),0)=1,$MX76,""),IF(IFERROR(VLOOKUP(SUBSTITUTE(SUBSTITUTE(SUBSTITUTE($MY76,"~","~~"),"*","~*"),"?","~?"),'DADOS_MELHORIAS'!$AG$2:$AL$113,5,FALSE),0)=1,$MY76,""),IF(IFERROR(VLOOKUP(SUBSTITUTE(SUBSTITUTE(SUBSTITUTE($MZ76,"~","~~"),"*","~*"),"?","~?"),'DADOS_MELHORIAS'!$AG$2:$AL$113,5,FALSE),0)=1,$MZ76,""),IF(IFERROR(VLOOKUP(SUBSTITUTE(SUBSTITUTE(SUBSTITUTE($NA76,"~","~~"),"*","~*"),"?","~?"),'DADOS_MELHORIAS'!$AG$2:$AL$113,5,FALSE),0)=1,$NA76,""))</f>
        <v/>
      </c>
      <c r="OF76" s="164">
        <f>IF($NJ76=0,0,INDEX('DADOS_FORMAS'!$GC$2:$GC$21,$NJ76))</f>
        <v/>
      </c>
      <c r="OG76" s="164">
        <f>IF($NJ76=0,0,INDEX('DADOS_FORMAS'!$GD$2:$GD$21,$NJ76))</f>
        <v/>
      </c>
      <c r="OH76" s="164">
        <f>IF($NJ76=0,0,INDEX('DADOS_FORMAS'!$GF$2:$GF$21,$NJ76))</f>
        <v/>
      </c>
      <c r="OI76" s="164">
        <f>IFERROR(VLOOKUP(SUBSTITUTE(SUBSTITUTE(SUBSTITUTE($NB76,"~","~~"),"*","~*"),"?","~?"),'DADOS_RESTRICOES'!$M$2:$Q$54,3,FALSE),0)</f>
        <v/>
      </c>
      <c r="OJ76" s="164">
        <f>IFERROR(VLOOKUP(SUBSTITUTE(SUBSTITUTE(SUBSTITUTE($NC76,"~","~~"),"*","~*"),"?","~?"),'DADOS_RESTRICOES'!$M$2:$Q$54,3,FALSE),0)</f>
        <v/>
      </c>
      <c r="OK76" s="164">
        <f>IFERROR(VLOOKUP(SUBSTITUTE(SUBSTITUTE(SUBSTITUTE($NB76,"~","~~"),"*","~*"),"?","~?"),'DADOS_RESTRICOES'!$M$2:$Q$54,2,FALSE),"")</f>
        <v/>
      </c>
      <c r="OL76" s="164">
        <f>IFERROR(VLOOKUP(SUBSTITUTE(SUBSTITUTE(SUBSTITUTE($NC76,"~","~~"),"*","~*"),"?","~?"),'DADOS_RESTRICOES'!$M$2:$Q$54,2,FALSE),"")</f>
        <v/>
      </c>
      <c r="OM76" s="164">
        <f>COUNTIF($NS76:$NW76,1)</f>
        <v/>
      </c>
      <c r="ON76" s="164">
        <f>COUNTIF($NS76:$NW76,2)</f>
        <v/>
      </c>
      <c r="OO76" s="164">
        <f>COUNTIF($NS76:$NW76,3)</f>
        <v/>
      </c>
      <c r="OP76" s="164">
        <f>COUNTIF($NS76:$NW76,4)</f>
        <v/>
      </c>
      <c r="OQ76" s="164">
        <f>COUNTIF($NS76:$NW76,5)</f>
        <v/>
      </c>
      <c r="OR76" s="164">
        <f>COUNTIF($NS76:$NW76,6)</f>
        <v/>
      </c>
      <c r="OS76" s="164">
        <f>COUNTIF($OI76:$OJ76,1)+IF(IFERROR(INDEX('DADOS_FORMAS'!$AS$2:$AS$21,MATCH(SUBSTITUTE(SUBSTITUTE(SUBSTITUTE($MU76,"~","~~"),"*","~*"),"?","~?"),'DADOS_FORMAS'!$AH$2:$AH$21,0)),"")="",0,IFERROR(N(VLOOKUP(SUBSTITUTE(SUBSTITUTE(SUBSTITUTE(IFERROR(INDEX('DADOS_FORMAS'!$AS$2:$AS$21,MATCH(SUBSTITUTE(SUBSTITUTE(SUBSTITUTE($MU76,"~","~~"),"*","~*"),"?","~?"),'DADOS_FORMAS'!$AH$2:$AH$21,0)),""),"~","~~"),"*","~*"),"?","~?"),'DADOS_RESTRICOES'!$M$2:$Q$54,3,FALSE)=1),0))</f>
        <v/>
      </c>
      <c r="OT76" s="164">
        <f>COUNTIF($OI76:$OJ76,2)+IF(IFERROR(INDEX('DADOS_FORMAS'!$AS$2:$AS$21,MATCH(SUBSTITUTE(SUBSTITUTE(SUBSTITUTE($MU76,"~","~~"),"*","~*"),"?","~?"),'DADOS_FORMAS'!$AH$2:$AH$21,0)),"")="",0,IFERROR(N(VLOOKUP(SUBSTITUTE(SUBSTITUTE(SUBSTITUTE(IFERROR(INDEX('DADOS_FORMAS'!$AS$2:$AS$21,MATCH(SUBSTITUTE(SUBSTITUTE(SUBSTITUTE($MU76,"~","~~"),"*","~*"),"?","~?"),'DADOS_FORMAS'!$AH$2:$AH$21,0)),""),"~","~~"),"*","~*"),"?","~?"),'DADOS_RESTRICOES'!$M$2:$Q$54,3,FALSE)=2),0))</f>
        <v/>
      </c>
      <c r="OU76" s="164">
        <f>COUNTIF($MX76:$NA76,"?*")</f>
        <v/>
      </c>
      <c r="OV76" s="164">
        <f>COUNTIF($NB76:$NC76,"?*")+$OF76</f>
        <v/>
      </c>
      <c r="OW76" s="164">
        <f>IF($MS76=0,0,SUMPRODUCT($OM76:$OR76,INDEX($I$2:$N$8,MAX(1,$MS76),0)))</f>
        <v/>
      </c>
      <c r="OX76" s="164">
        <f>IF($MS76=0,0,$OS76*CEILING($MS76/2,1)+$OT76*$MS76)</f>
        <v/>
      </c>
      <c r="OY76" s="164">
        <f>MIN(2*$MS76,$OX76)</f>
        <v/>
      </c>
      <c r="OZ76" s="164">
        <f>MIN($OY76,$OW76-IF($NS76=0,0,INDEX($I$2:$N$8,MAX(1,$MS76),$NS76)))</f>
        <v/>
      </c>
      <c r="PA76" s="164">
        <f>$OY76-$OZ76</f>
        <v/>
      </c>
      <c r="PB76" s="164">
        <f>IF($MS76=0,0,INDEX($P$2:$P$8,MAX(1,$MS76)))</f>
        <v/>
      </c>
      <c r="PC76" s="164">
        <f>$PB76-$OW76+$OZ76</f>
        <v/>
      </c>
      <c r="PD76" s="164">
        <f>IF($MS76=0,MAX(0,$NG76-IF(AND($OU76&gt;0,COUNTIF($NB76:$NC76,"?*")=0),1,0)),MAX(0,$PC76))</f>
        <v/>
      </c>
      <c r="PE76" s="164">
        <f>IF($MS76=0,0,(IF(COUNTIF($RK76:$RN76,"Salto")&gt;0,1,0)+IF(COUNTIF($RK76:$RN76,"Queima")&gt;0,1,0)+IF(COUNTIF($RK76:$RN76,"Estilhaço")&gt;0,1,0))*FLOOR($PD76/2,1))</f>
        <v/>
      </c>
      <c r="PF76" s="164">
        <f>MAX(0,2-SUMPRODUCT($OM76:$OR76,$I$2:$N$2)+MIN(2,$OS76*1+$OT76*1,SUMPRODUCT($OM76:$OR76,$I$2:$N$2)-IF($NS76=0,0,INDEX($I$2:$N$2,1,$NS76))))</f>
        <v/>
      </c>
      <c r="PG76" s="164">
        <f>MAX(0,4-SUMPRODUCT($OM76:$OR76,$I$3:$N$3)+MIN(4,$OS76*1+$OT76*2,SUMPRODUCT($OM76:$OR76,$I$3:$N$3)-IF($NS76=0,0,INDEX($I$3:$N$3,1,$NS76))))</f>
        <v/>
      </c>
      <c r="PH76" s="164">
        <f>MAX(0,6-SUMPRODUCT($OM76:$OR76,$I$4:$N$4)+MIN(6,$OS76*2+$OT76*3,SUMPRODUCT($OM76:$OR76,$I$4:$N$4)-IF($NS76=0,0,INDEX($I$4:$N$4,1,$NS76))))</f>
        <v/>
      </c>
      <c r="PI76" s="164">
        <f>MAX(0,9-SUMPRODUCT($OM76:$OR76,$I$5:$N$5)+MIN(8,$OS76*2+$OT76*4,SUMPRODUCT($OM76:$OR76,$I$5:$N$5)-IF($NS76=0,0,INDEX($I$5:$N$5,1,$NS76))))</f>
        <v/>
      </c>
      <c r="PJ76" s="164">
        <f>MAX(0,11-SUMPRODUCT($OM76:$OR76,$I$6:$N$6)+MIN(10,$OS76*3+$OT76*5,SUMPRODUCT($OM76:$OR76,$I$6:$N$6)-IF($NS76=0,0,INDEX($I$6:$N$6,1,$NS76))))</f>
        <v/>
      </c>
      <c r="PK76" s="164">
        <f>MAX(0,13-SUMPRODUCT($OM76:$OR76,$I$7:$N$7)+MIN(12,$OS76*3+$OT76*6,SUMPRODUCT($OM76:$OR76,$I$7:$N$7)-IF($NS76=0,0,INDEX($I$7:$N$7,1,$NS76))))</f>
        <v/>
      </c>
      <c r="PL76" s="164">
        <f>MAX(0,16-SUMPRODUCT($OM76:$OR76,$I$8:$N$8)+MIN(14,$OS76*4+$OT76*7,SUMPRODUCT($OM76:$OR76,$I$8:$N$8)-IF($NS76=0,0,INDEX($I$8:$N$8,1,$NS76))))</f>
        <v/>
      </c>
      <c r="PM76" s="164">
        <f>IF($OG76=2,3*$PF76&amp;" de vida temp.",IF($OG76=3,"sem dano",IF($PF76=0,IF($OG76=1,"sem cura","sem dano"),IF($OG76=1,"cura ","")&amp;$PF76&amp;"d8")))</f>
        <v/>
      </c>
      <c r="PN76" s="164">
        <f>IF($OG76=2,3*$PG76&amp;" de vida temp.",IF($OG76=3,"sem dano",IF($PG76=0,IF($OG76=1,"sem cura","sem dano"),IF($OG76=1,"cura ","")&amp;$PG76&amp;"d8")))</f>
        <v/>
      </c>
      <c r="PO76" s="164">
        <f>IF($OG76=2,3*$PH76&amp;" de vida temp.",IF($OG76=3,"sem dano",IF($PH76=0,IF($OG76=1,"sem cura","sem dano"),IF($OG76=1,"cura ","")&amp;$PH76&amp;"d8")))</f>
        <v/>
      </c>
      <c r="PP76" s="164">
        <f>IF($OG76=2,3*$PI76&amp;" de vida temp.",IF($OG76=3,"sem dano",IF($PI76=0,IF($OG76=1,"sem cura","sem dano"),IF($OG76=1,"cura ","")&amp;$PI76&amp;"d8")))</f>
        <v/>
      </c>
      <c r="PQ76" s="164">
        <f>IF($OG76=2,3*$PJ76&amp;" de vida temp.",IF($OG76=3,"sem dano",IF($PJ76=0,IF($OG76=1,"sem cura","sem dano"),IF($OG76=1,"cura ","")&amp;$PJ76&amp;"d8")))</f>
        <v/>
      </c>
      <c r="PR76" s="164">
        <f>IF($OG76=2,3*$PK76&amp;" de vida temp.",IF($OG76=3,"sem dano",IF($PK76=0,IF($OG76=1,"sem cura","sem dano"),IF($OG76=1,"cura ","")&amp;$PK76&amp;"d8")))</f>
        <v/>
      </c>
      <c r="PS76" s="164">
        <f>IF($OG76=2,3*$PL76&amp;" de vida temp.",IF($OG76=3,"sem dano",IF($PL76=0,IF($OG76=1,"sem cura","sem dano"),IF($OG76=1,"cura ","")&amp;$PL76&amp;"d8")))</f>
        <v/>
      </c>
      <c r="PT76" s="164">
        <f>IF($ND76=0,"",TEXTJOIN(" · ",TRUE,IF($ND76=0,"",TEXTJOIN(" · ",TRUE,IF($ND76=0,"",TEXTJOIN(" · ",TRUE,IF($MQ76&gt;$NE76,"Este lugar abre no nível "&amp;$MQ76,""),IF($MS76&gt;$NF76,"Classe "&amp;$MS76&amp;": o nível "&amp;$NE76&amp;" libera até a "&amp;$NF76,""),IF($NX76=1,"A Forma "&amp;$MU76&amp;" pede "&amp;INDEX('DADOS_FORMAS'!$GA$2:$GA$21,$NJ76)&amp;" aberta",""),IF(AND($MS76=0,$NJ76&gt;0,IF($NJ76=0,0,INDEX('DADOS_FORMAS'!$GJ$2:$GJ$21,$NJ76))=0),$MU76&amp;" não existe na Classe 0",""),IF($NY76=1,"Família Fechada: "&amp;$MX76,""),IF($NZ76=1,"Família Fechada: "&amp;$MY76,""),IF($OA76=1,"Família Fechada: "&amp;$MZ76,""),IF($OB76=1,"Família Fechada: "&amp;$NA76,""),IF(AND($MS76&gt;0,$OU76&gt;INDEX($O$2:$O$8,MAX(1,$MS76))),$OU76&amp;" Melhorias: a Classe "&amp;$MS76&amp;" aceita "&amp;INDEX($O$2:$O$8,MAX(1,$MS76)),""),IF(AND($MS76=0,$OU76&gt;1),"A básica aceita uma Melhoria",""),IF(AND($MS76=0,COUNTIF($NO76:$NR76,"&gt;1")&gt;0),"A básica só aceita Melhoria Leve",""),IF(AND($MS76&gt;0,$OV76&gt;2),$OV76&amp;" Restrições"&amp;IF($OF76=1,", contando a que a Forma "&amp;$MU76&amp;" já traz","")&amp;": o limite é 2",""),IF(AND($MS76=0,COUNTIF($NB76:$NC76,"?*")&gt;1),"A básica aceita uma Restrição Leve",""),IF(AND($MS76=0,COUNTIF($OI76:$OJ76,2)&gt;0),"A básica só aceita Restrição Leve",""),IF(AND($MS76&gt;0,$PC76&lt;0),"Orçamento estourado: faltam "&amp;(-$PC76)&amp;IF($PC76&lt;-1," pontos"," ponto"),""),IF(IFERROR(VLOOKUP(SUBSTITUTE(SUBSTITUTE(SUBSTITUTE($NB76,"~","~~"),"*","~*"),"?","~?"),'DADOS_RESTRICOES'!$M$2:$Q$54,4,FALSE),0)+IFERROR(VLOOKUP(SUBSTITUTE(SUBSTITUTE(SUBSTITUTE($NC76,"~","~~"),"*","~*"),"?","~?"),'DADOS_RESTRICOES'!$M$2:$Q$54,4,FALSE),0)&gt;1,$OK76&amp;" e "&amp;$OL76&amp;" são as duas de frequência",""),IF(AND((COUNTIF($RK76:$RN76,"Rápido")+COUNTIF($OK76:$OL76,"Rápido"))&gt;0,(COUNTIF($MX76:$NA76,"Atrasar")+COUNTIF($OK76:$OL76,"Atrasar"))&gt;0),"Rápido não entra com Atrasar",""),IF(AND((COUNTIF($RK76:$RN76,"Reação")+COUNTIF($OK76:$OL76,"Reação"))&gt;0,(COUNTIF($RK76:$RN76,"Rápido")+COUNTIF($OK76:$OL76,"Rápido"))&gt;0),"Reação não entra com Rápido",""),IF(AND((COUNTIF($RK76:$RN76,"Reação")+COUNTIF($OK76:$OL76,"Reação"))&gt;0,(COUNTIF($RK76:$RN76,"Armado")+COUNTIF($OK76:$OL76,"Armado"))&gt;0),"Reação não entra com Armado",""),IF(AND((COUNTIF($RK76:$RN76,"Reação")+COUNTIF($OK76:$OL76,"Reação"))&gt;0,(COUNTIF($MX76:$NA76,"Atrasar")+COUNTIF($OK76:$OL76,"Atrasar"))&gt;0),"Reação não entra com Atrasar",""),IF(AND((COUNTIF($RK76:$RN76,"Reação")+COUNTIF($OK76:$OL76,"Reação"))&gt;0,(COUNTIF($MX76:$NA76,"Parado")+COUNTIF($OK76:$OL76,"Parado"))&gt;0),"Reação não entra com Parado",""),IF(AND((COUNTIF($MX76:$NA76,"Atrasar")+COUNTIF($OK76:$OL76,"Atrasar"))&gt;0,(COUNTIF($MX76:$NA76,"Parado")+COUNTIF($OK76:$OL76,"Parado"))&gt;0),"Atrasar não entra com Parado",""),IF(AND((COUNTIF($RK76:$RN76,"Armado")+COUNTIF($OK76:$OL76,"Armado"))&gt;0,(COUNTIF($MX76:$NA76,"Carregar")+COUNTIF($OK76:$OL76,"Carregar"))&gt;0),"Armado não entra com Carregar",""),IF(AND(COUNTIF($OK76:$OL76,"Corpo a Corpo")&gt;0,$OF76=0,OR($RO76="Cone",$RO76="Linha")),"Corpo a Corpo não entra em "&amp;$MU76,""),IF(AND(COUNTIF($OK76:$OL76,"Corpo a Corpo")&gt;0,$RP76="Corpo a Corpo"),"A Forma "&amp;$MU76&amp;" já traz o Corpo a Corpo",""),IF(AND(COUNTIF($OK76:$OL76,"Tudo ou Nada")&gt;0,$OH76=0),"Tudo ou Nada só entra em habilidade de Teste de Resistência",""),IF(AND(COUNTIF($RK76:$RN76,"Inescapável")&gt;0,OR($OU76&gt;1,$OV76&gt;0)),"Inescapável não aceita outra peça",""),IF(AND($MS76&gt;0,$PD76*IF(COUNTIF($RK76:$RN76,"Remate")&gt;0,1.25,1)+$PE76&gt;4*$MS76),($PD76*IF(COUNTIF($RK76:$RN76,"Remate")&gt;0,1.25,1)+$PE76)&amp;" dados somando repetições"&amp;IF(COUNTIF($RK76:$RN76,"Remate")&gt;0," e o Remate","")&amp;": o teto da Classe "&amp;$MS76&amp;" é "&amp;4*$MS76,""))),IF(AND($MX76&lt;&gt;"",COUNTIF('DADOS_MELHORIAS'!$O$2:$O$113,SUBSTITUTE(SUBSTITUTE(SUBSTITUTE($MX76,"~","~~"),"*","~*"),"?","~?"))=0),"Melhoria não cadastrada ou com erro: "&amp;$MX76,""),IF(AND($MY76&lt;&gt;"",COUNTIF('DADOS_MELHORIAS'!$O$2:$O$113,SUBSTITUTE(SUBSTITUTE(SUBSTITUTE($MY76,"~","~~"),"*","~*"),"?","~?"))=0),"Melhoria não cadastrada ou com erro: "&amp;$MY76,""),IF(AND($MZ76&lt;&gt;"",COUNTIF('DADOS_MELHORIAS'!$O$2:$O$113,SUBSTITUTE(SUBSTITUTE(SUBSTITUTE($MZ76,"~","~~"),"*","~*"),"?","~?"))=0),"Melhoria não cadastrada ou com erro: "&amp;$MZ76,""),IF(AND($NA76&lt;&gt;"",COUNTIF('DADOS_MELHORIAS'!$O$2:$O$113,SUBSTITUTE(SUBSTITUTE(SUBSTITUTE($NA76,"~","~~"),"*","~*"),"?","~?"))=0),"Melhoria não cadastrada ou com erro: "&amp;$NA76,""),IF(AND($NB76&lt;&gt;"",COUNTIF('DADOS_RESTRICOES'!$M$2:$M$54,SUBSTITUTE(SUBSTITUTE(SUBSTITUTE($NB76,"~","~~"),"*","~*"),"?","~?"))=0),"Restrição não cadastrada ou com erro: "&amp;$NB76,""),IF(AND($NC76&lt;&gt;"",COUNTIF('DADOS_RESTRICOES'!$M$2:$M$54,SUBSTITUTE(SUBSTITUTE(SUBSTITUTE($NC76,"~","~~"),"*","~*"),"?","~?"))=0),"Restrição não cadastrada ou com erro: "&amp;$NC76,""))),IF(AND($MU76&lt;&gt;"",COUNTIF('DADOS_FORMAS'!$AH$2:$AH$21,SUBSTITUTE(SUBSTITUTE(SUBSTITUTE($MU76,"~","~~"),"*","~*"),"?","~?"))=0),"Forma não cadastrada ou com erro: "&amp;$MU76,""),IF(AND(IFERROR(INDEX('DADOS_FORMAS'!$AS$2:$AS$21,MATCH(SUBSTITUTE(SUBSTITUTE(SUBSTITUTE($MU76,"~","~~"),"*","~*"),"?","~?"),'DADOS_FORMAS'!$AH$2:$AH$21,0)),"")&lt;&gt;"",OR(IFERROR(VLOOKUP(SUBSTITUTE(SUBSTITUTE(SUBSTITUTE(IFERROR(INDEX('DADOS_FORMAS'!$AS$2:$AS$21,MATCH(SUBSTITUTE(SUBSTITUTE(SUBSTITUTE($MU76,"~","~~"),"*","~*"),"?","~?"),'DADOS_FORMAS'!$AH$2:$AH$21,0)),""),"~","~~"),"*","~*"),"?","~?"),'DADOS_RESTRICOES'!$M$2:$Q$54,2,FALSE),"")=$OK76,IFERROR(VLOOKUP(SUBSTITUTE(SUBSTITUTE(SUBSTITUTE(IFERROR(INDEX('DADOS_FORMAS'!$AS$2:$AS$21,MATCH(SUBSTITUTE(SUBSTITUTE(SUBSTITUTE($MU76,"~","~~"),"*","~*"),"?","~?"),'DADOS_FORMAS'!$AH$2:$AH$21,0)),""),"~","~~"),"*","~*"),"?","~?"),'DADOS_RESTRICOES'!$M$2:$Q$54,2,FALSE),"")=$OL76)),"Restrição repetida, contando a embutida",""),IF(IF(IFERROR(INDEX('DADOS_FORMAS'!$AS$2:$AS$21,MATCH(SUBSTITUTE(SUBSTITUTE(SUBSTITUTE($MU76,"~","~~"),"*","~*"),"?","~?"),'DADOS_FORMAS'!$AH$2:$AH$21,0)),"")="",0,IFERROR(N(VLOOKUP(SUBSTITUTE(SUBSTITUTE(SUBSTITUTE(IFERROR(INDEX('DADOS_FORMAS'!$AS$2:$AS$21,MATCH(SUBSTITUTE(SUBSTITUTE(SUBSTITUTE($MU76,"~","~~"),"*","~*"),"?","~?"),'DADOS_FORMAS'!$AH$2:$AH$21,0)),""),"~","~~"),"*","~*"),"?","~?"),'DADOS_RESTRICOES'!$M$2:$Q$54,4,FALSE)=1),0))+IF($NB76="",0,IFERROR(N(VLOOKUP(SUBSTITUTE(SUBSTITUTE(SUBSTITUTE($NB76,"~","~~"),"*","~*"),"?","~?"),'DADOS_RESTRICOES'!$M$2:$Q$54,4,FALSE)=1),0))+IF($NC76="",0,IFERROR(N(VLOOKUP(SUBSTITUTE(SUBSTITUTE(SUBSTITUTE($NC76,"~","~~"),"*","~*"),"?","~?"),'DADOS_RESTRICOES'!$M$2:$Q$54,4,FALSE)=1),0))&gt;1,"Duas Restrições de frequência, contando a embutida",""),IF(AND(IFERROR(VLOOKUP(SUBSTITUTE(SUBSTITUTE(SUBSTITUTE(IFERROR(INDEX('DADOS_FORMAS'!$AS$2:$AS$21,MATCH(SUBSTITUTE(SUBSTITUTE(SUBSTITUTE($MU76,"~","~~"),"*","~*"),"?","~?"),'DADOS_FORMAS'!$AH$2:$AH$21,0)),""),"~","~~"),"*","~*"),"?","~?"),'DADOS_RESTRICOES'!$M$2:$Q$54,2,FALSE),"")="Tudo ou Nada",$OH76=0),"Tudo ou Nada exige TR",""),IF(AND(IFERROR(VLOOKUP(SUBSTITUTE(SUBSTITUTE(SUBSTITUTE(IFERROR(INDEX('DADOS_FORMAS'!$AS$2:$AS$21,MATCH(SUBSTITUTE(SUBSTITUTE(SUBSTITUTE($MU76,"~","~~"),"*","~*"),"?","~?"),'DADOS_FORMAS'!$AH$2:$AH$21,0)),""),"~","~~"),"*","~*"),"?","~?"),'DADOS_RESTRICOES'!$M$2:$Q$54,2,FALSE),"")="Corpo a Corpo",OR($RO76="Cone",$RO76="Linha")),"Corpo a Corpo não entra em Cone/Linha","")))</f>
        <v/>
      </c>
      <c r="PU76" s="164">
        <f>IF($PT76="",0,(LEN($PT76)-LEN(SUBSTITUTE($PT76," · ","")))/3+1)</f>
        <v/>
      </c>
      <c r="PV76" s="164">
        <f>IF($ND76=0,"",TEXTJOIN(" · ",TRUE,IF($OX76&gt;2*$MS76,"A devolução parou no teto de "&amp;2*$MS76,""),IF($PA76&gt;0,"Devolução perdida: "&amp;$PA76&amp;IF($PA76&gt;1," pontos"," ponto")&amp;" sem Melhoria para pagar",""),IF(AND($OC76&gt;0,AND($MS76&gt;0,$OG76=0),$PD76=0),"Controle sem dano: uma rodada a mais e CD +2",""),IF(AND($OC76&gt;0,AND($MS76&gt;0,$OG76=0),$PD76&gt;0,$PD76&lt;=$MS76),"Controle com saldo até a Classe: uma rodada a mais",""),IF(AND($MS76&gt;0,$OE76&lt;&gt;""),"Efeito de "&amp;$OE76&amp;" pela Classe "&amp;MAX(1,$MS76-1),"")))</f>
        <v/>
      </c>
      <c r="PW76" s="164">
        <f>IF($PV76="",0,(LEN($PV76)-LEN(SUBSTITUTE($PV76," · ","")))/3+1)</f>
        <v/>
      </c>
      <c r="PX76" s="164">
        <f>IF($ND76=0,IF($OU76+COUNTIF($NB76:$NC76,"?*")&gt;0,"Dê um nome",""),IF($PU76&gt;0,"⚠ "&amp;$PU76&amp;IF($PU76&gt;1," erros"," erro"),IF($PW76&gt;0,"! "&amp;$PW76&amp;IF($PW76&gt;1," avisos"," aviso"),"Na regra")))</f>
        <v/>
      </c>
      <c r="PY76" s="164">
        <f>IF($ND76=0,"",IF($PU76+$PW76=0,"Dentro das regras que a ficha confere",$PT76&amp;IF(AND($PU76&gt;0,$PW76&gt;0)," · ","")&amp;$PV76))</f>
        <v/>
      </c>
      <c r="PZ76" s="164">
        <f>IF($MQ76&gt;$NE76,$MR76&amp;" · ABRE NO NÍVEL "&amp;$MQ76,$MR76)</f>
        <v/>
      </c>
      <c r="QA76" s="164">
        <f>IF($ND76=0,"",IF($MS76=0,"Sem PE",3*$MS76&amp;" PE"))</f>
        <v/>
      </c>
      <c r="QB76" s="164">
        <f>IF($ND76=0,"",IF($MS76=0,"A atuação básica dela",IF(COUNTIF($RQ76:$RS76,"Atrasar")&gt;0,"Sua Ação Completa",IF(COUNTIF($RK76:$RN76,"Rápido")&gt;0,"Sua Bônus",IF(COUNTIF($RK76:$RN76,"Reação")&gt;0,"Sua Reação","Sua Padrão")))&amp;" + a básica dela"&amp;IF(COUNTIF($RK76:$RN76,"Reação")&gt;0," e a coletiva","")&amp;IF(COUNTIF($RQ76:$RS76,"Carregar")&gt;0," · em dois turnos","")))</f>
        <v/>
      </c>
      <c r="QC76" s="164">
        <f>IF($MW76&lt;&gt;"",$MW76,IF($NJ76=0,"",INDEX('DADOS_FORMAS'!$GE$2:$GE$21,$NJ76)))</f>
        <v/>
      </c>
      <c r="QD76" s="164">
        <f>IF(OR($ND76=0,$NJ76=0),"",IF(COUNTIF($RK76:$RN76,"Inescapável")&gt;0,"Automático",IF($QC76="Ataque",IF($NH76="","Ataque","Ataque "&amp;IF(($NH76+2*IF(COUNTIF($RK76:$RN76,"Precisão")&gt;0,1,0))&gt;=0,"+","−")&amp;ABS(($NH76+2*IF(COUNTIF($RK76:$RN76,"Precisão")&gt;0,1,0))))&amp;IF($OD76&gt;0," · TR"&amp;IF($NI76="",""," CD "&amp;$NI76),""),IF(LEFT($QC76,2)="TR",$QC76&amp;IF($NI76="",""," · CD "&amp;$NI76)&amp;IF(COUNTIF($RK76:$RN76,"Certeiro")&gt;0," · metade",""),"Sem rolagem"))))</f>
        <v/>
      </c>
      <c r="QE76" s="164">
        <f>IF(OR($ND76=0,$NJ76=0),"",IF($MS76=0,IF(OR($OG76&gt;=1,$PD76=0),"Sem dano",$PD76&amp;"d6"&amp;IF($MV76="",""," "&amp;$MV76)),IF(OR($OG76&gt;=1,$PD76=0),UPPER(LEFT(INDEX($PM76:$PS76,1,MAX(1,$MS76)),1))&amp;MID(INDEX($PM76:$PS76,1,MAX(1,$MS76)),2,99),UPPER(LEFT(INDEX($PM76:$PS76,1,MAX(1,$MS76)),1))&amp;MID(INDEX($PM76:$PS76,1,MAX(1,$MS76)),2,99)&amp;IF($MV76="",""," "&amp;$MV76)&amp;IF($PE76&gt;0," · +"&amp;$PE76&amp;"d8",""))))</f>
        <v/>
      </c>
      <c r="QF76" s="164">
        <f>COUNTIF($RK76:$RN76,"Longe")+3*COUNTIF($RK76:$RN76,"Muito Longe")</f>
        <v/>
      </c>
      <c r="QG76" s="164">
        <f>COUNTIF($RK76:$RN76,"Maior")+3*COUNTIF($RK76:$RN76,"Muito Maior")</f>
        <v/>
      </c>
      <c r="QH76" s="164">
        <f>IF($NJ76=0,0,CHOOSE(1+INDEX('DADOS_FORMAS'!$GG$2:$GG$21,$NJ76),0,$QF76,$QG76,$QF76+$QG76))</f>
        <v/>
      </c>
      <c r="QI76" s="164">
        <f>IF($NJ76=0,0,CHOOSE(1+INDEX('DADOS_FORMAS'!$GH$2:$GH$21,$NJ76),0,$QF76,$QG76,$QF76+$QG76))</f>
        <v/>
      </c>
      <c r="QJ76" s="164">
        <f>IF(OR($ND76=0,$NJ76=0),"",INDEX('DADOS_FORMAS'!$HU$2:$HZ$81,($NJ76-1)*4+IF($MS76=0,1,IF($MS76&lt;=5,2,IF($MS76=6,3,4))),1+MIN(5,$QH76))&amp;INDEX('DADOS_FORMAS'!$IA$2:$IF$81,($NJ76-1)*4+IF($MS76=0,1,IF($MS76&lt;=5,2,IF($MS76=6,3,4))),1+MIN(5,$QI76))&amp;IF(INDEX('DADOS_FORMAS'!$GI$2:$GI$21,$NJ76)=1,IF(COUNTIF($RK76:$RN76,"Mais Um")&gt;0," · +"&amp;COUNTIF($RK76:$RN76,"Mais Um")&amp;IF(COUNTIF($RK76:$RN76,"Mais Um")&gt;1," alvos"," alvo"),"")&amp;IF(COUNTIF($RK76:$RN76,"Rajada")&gt;0,IF($MS76=0," · 1 tiro"," · "&amp;(MAX(1,$MS76-1)+1)&amp;" tiros"),""),""))</f>
        <v/>
      </c>
      <c r="QK76" s="164">
        <f>IF($ND76=0,"",IF($MS76=0,$NG76&amp;"d6"&amp;IF($OU76&gt;0," − 1 = "&amp;$PD76&amp;"d6"," da básica do nível "&amp;$NE76),$PB76&amp;" − "&amp;$OW76&amp;" + "&amp;$OZ76&amp;" = "&amp;$PC76&amp;" · teto "&amp;4*$MS76&amp;"d8"&amp;IF($OF76=1," · a Forma devolve "&amp;$MS76,"")&amp;IF($PA76&gt;0," · perde "&amp;$PA76,"")))</f>
        <v/>
      </c>
      <c r="QL76" s="164">
        <f>IF($ND76=0,"",IF($MS76=0,"A básica não amplia: os dados dela sobem com o nível",IF($MS76&gt;=$NF76,"Já está na maior Classe que o nível liberou",TEXTJOIN(" · ",TRUE,IF(AND(2&gt;$MS76,2&lt;=$NF76),"2 → "&amp;$PN76&amp;", 6 PE",""),IF(AND(3&gt;$MS76,3&lt;=$NF76),"3 → "&amp;$PO76&amp;", 9 PE",""),IF(AND(4&gt;$MS76,4&lt;=$NF76),"4 → "&amp;$PP76&amp;", 12 PE",""),IF(AND(5&gt;$MS76,5&lt;=$NF76),"5 → "&amp;$PQ76&amp;", 15 PE",""),IF(AND(6&gt;$MS76,6&lt;=$NF76),"6 → "&amp;$PR76&amp;", 18 PE",""),IF(AND(7&gt;$MS76,7&lt;=$NF76),"7 → "&amp;$PS76&amp;", 21 PE","")))))</f>
        <v/>
      </c>
      <c r="QM76" s="164">
        <f>IF(OR($ND76=0,$NO76=0),"",IF($MS76=0,"−1 dado","−"&amp;INDEX($I$2:$N$8,MAX(1,$MS76),MAX(1,$NT76))&amp;" · "&amp;CHOOSE(MAX(1,$NT76),"Leve","Média","Pesada","Leve · Livre","Média · Livre","Pesada · Livre")))</f>
        <v/>
      </c>
      <c r="QN76" s="164">
        <f>IF(OR($ND76=0,$NP76=0),"",IF($MS76=0,"−1 dado","−"&amp;INDEX($I$2:$N$8,MAX(1,$MS76),MAX(1,$NU76))&amp;" · "&amp;CHOOSE(MAX(1,$NU76),"Leve","Média","Pesada","Leve · Livre","Média · Livre","Pesada · Livre")))</f>
        <v/>
      </c>
      <c r="QO76" s="164">
        <f>IF(OR($ND76=0,$NQ76=0),"",IF($MS76=0,"−1 dado","−"&amp;INDEX($I$2:$N$8,MAX(1,$MS76),MAX(1,$NV76))&amp;" · "&amp;CHOOSE(MAX(1,$NV76),"Leve","Média","Pesada","Leve · Livre","Média · Livre","Pesada · Livre")))</f>
        <v/>
      </c>
      <c r="QP76" s="164">
        <f>IF(OR($ND76=0,$NR76=0),"",IF($MS76=0,"−1 dado","−"&amp;INDEX($I$2:$N$8,MAX(1,$MS76),MAX(1,$NW76))&amp;" · "&amp;CHOOSE(MAX(1,$NW76),"Leve","Média","Pesada","Leve · Livre","Média · Livre","Pesada · Livre")))</f>
        <v/>
      </c>
      <c r="QQ76" s="164">
        <f>IF(OR($ND76=0,$NB76=""),"",IF($MS76=0,"não devolve","+"&amp;IF($OI76=1,CEILING($MS76/2,1),$MS76)))</f>
        <v/>
      </c>
      <c r="QR76" s="164">
        <f>IF(OR($ND76=0,$NC76=""),"",IF($MS76=0,"não devolve","+"&amp;IF($OJ76=1,CEILING($MS76/2,1),$MS76)))</f>
        <v/>
      </c>
      <c r="RK76">
        <f>IF($MX76="","",IFERROR(VLOOKUP(SUBSTITUTE(SUBSTITUTE(SUBSTITUTE($MX76,"~","~~"),"*","~*"),"?","~?"),'DADOS_MELHORIAS'!$O$2:$X$113,10,FALSE),$MX76))</f>
        <v/>
      </c>
      <c r="RL76">
        <f>IF($MY76="","",IFERROR(VLOOKUP(SUBSTITUTE(SUBSTITUTE(SUBSTITUTE($MY76,"~","~~"),"*","~*"),"?","~?"),'DADOS_MELHORIAS'!$O$2:$X$113,10,FALSE),$MY76))</f>
        <v/>
      </c>
      <c r="RM76">
        <f>IF($MZ76="","",IFERROR(VLOOKUP(SUBSTITUTE(SUBSTITUTE(SUBSTITUTE($MZ76,"~","~~"),"*","~*"),"?","~?"),'DADOS_MELHORIAS'!$O$2:$X$113,10,FALSE),$MZ76))</f>
        <v/>
      </c>
      <c r="RN76">
        <f>IF($NA76="","",IFERROR(VLOOKUP(SUBSTITUTE(SUBSTITUTE(SUBSTITUTE($NA76,"~","~~"),"*","~*"),"?","~?"),'DADOS_MELHORIAS'!$O$2:$X$113,10,FALSE),$NA76))</f>
        <v/>
      </c>
      <c r="RO76">
        <f>IFERROR(INDEX('DADOS_FORMAS'!$BJ$2:$BJ$21,MATCH(SUBSTITUTE(SUBSTITUTE(SUBSTITUTE($MU76,"~","~~"),"*","~*"),"?","~?"),'DADOS_FORMAS'!$AH$2:$AH$21,0)),"")</f>
        <v/>
      </c>
      <c r="RP76">
        <f>IFERROR(VLOOKUP(SUBSTITUTE(SUBSTITUTE(SUBSTITUTE(IFERROR(INDEX('DADOS_FORMAS'!$AS$2:$AS$21,MATCH(SUBSTITUTE(SUBSTITUTE(SUBSTITUTE($MU76,"~","~~"),"*","~*"),"?","~?"),'DADOS_FORMAS'!$AH$2:$AH$21,0)),""),"~","~~"),"*","~*"),"?","~?"),'DADOS_RESTRICOES'!$M$2:$Q$54,2,FALSE),"")</f>
        <v/>
      </c>
      <c r="RQ76">
        <f>$OK76</f>
        <v/>
      </c>
      <c r="RR76">
        <f>$OL76</f>
        <v/>
      </c>
      <c r="RS76">
        <f>$RP76</f>
        <v/>
      </c>
    </row>
    <row r="77">
      <c r="AV77" s="162" t="inlineStr">
        <is>
          <t>Remenda</t>
        </is>
      </c>
      <c r="AW77" s="162" t="inlineStr">
        <is>
          <t>Amparo</t>
        </is>
      </c>
      <c r="AX77" s="164" t="n">
        <v>3</v>
      </c>
      <c r="AY77" s="164" t="n">
        <v>0</v>
      </c>
      <c r="AZ77" s="164" t="n">
        <v>1</v>
      </c>
      <c r="BA77" s="164" t="n">
        <v>0</v>
      </c>
      <c r="JT77" s="164">
        <f>IF(OR($AW77="",(COUNTIF($EL$2:$EP$2,$AW77)+COUNTIF($QV$2:$QY$2,$AW77))&gt;0),$AV77,"")</f>
        <v/>
      </c>
      <c r="JU77" s="164">
        <f>IF(AND($AX77=1,OR($AW77="",(COUNTIF($EL$2:$EP$2,$AW77)+COUNTIF($QV$2:$QY$2,$AW77))&gt;0)),$AV77,"")</f>
        <v/>
      </c>
      <c r="JZ77" s="164">
        <f>IF(OR($AW77="",(COUNTIF($EL$3:$EP$3,$AW77)+COUNTIF($QV$3:$QY$3,$AW77))&gt;0),$AV77,"")</f>
        <v/>
      </c>
      <c r="KA77" s="164">
        <f>IF(AND($AX77=1,OR($AW77="",(COUNTIF($EL$3:$EP$3,$AW77)+COUNTIF($QV$3:$QY$3,$AW77))&gt;0)),$AV77,"")</f>
        <v/>
      </c>
      <c r="KF77" s="164">
        <f>IF(OR($AW77="",(COUNTIF($EL$4:$EP$4,$AW77)+COUNTIF($QV$4:$QY$4,$AW77))&gt;0),$AV77,"")</f>
        <v/>
      </c>
      <c r="KG77" s="164">
        <f>IF(AND($AX77=1,OR($AW77="",(COUNTIF($EL$4:$EP$4,$AW77)+COUNTIF($QV$4:$QY$4,$AW77))&gt;0)),$AV77,"")</f>
        <v/>
      </c>
      <c r="KL77" s="164">
        <f>IF(OR($AW77="",(COUNTIF($EL$5:$EP$5,$AW77)+COUNTIF($QV$5:$QY$5,$AW77))&gt;0),$AV77,"")</f>
        <v/>
      </c>
      <c r="KM77" s="164">
        <f>IF(AND($AX77=1,OR($AW77="",(COUNTIF($EL$5:$EP$5,$AW77)+COUNTIF($QV$5:$QY$5,$AW77))&gt;0)),$AV77,"")</f>
        <v/>
      </c>
      <c r="KR77" s="164">
        <f>IF(OR($AW77="",(COUNTIF($EL$6:$EP$6,$AW77)+COUNTIF($QV$6:$QY$6,$AW77))&gt;0),$AV77,"")</f>
        <v/>
      </c>
      <c r="KS77" s="164">
        <f>IF(AND($AX77=1,OR($AW77="",(COUNTIF($EL$6:$EP$6,$AW77)+COUNTIF($QV$6:$QY$6,$AW77))&gt;0)),$AV77,"")</f>
        <v/>
      </c>
      <c r="KX77" s="164">
        <f>IF(OR($AW77="",(COUNTIF($EL$7:$EP$7,$AW77)+COUNTIF($QV$7:$QY$7,$AW77))&gt;0),$AV77,"")</f>
        <v/>
      </c>
      <c r="KY77" s="164">
        <f>IF(AND($AX77=1,OR($AW77="",(COUNTIF($EL$7:$EP$7,$AW77)+COUNTIF($QV$7:$QY$7,$AW77))&gt;0)),$AV77,"")</f>
        <v/>
      </c>
      <c r="LD77" s="164">
        <f>IF(OR($AW77="",(COUNTIF($EL$8:$EP$8,$AW77)+COUNTIF($QV$8:$QY$8,$AW77))&gt;0),$AV77,"")</f>
        <v/>
      </c>
      <c r="LE77" s="164">
        <f>IF(AND($AX77=1,OR($AW77="",(COUNTIF($EL$8:$EP$8,$AW77)+COUNTIF($QV$8:$QY$8,$AW77))&gt;0)),$AV77,"")</f>
        <v/>
      </c>
      <c r="LJ77" s="164">
        <f>IF(OR($AW77="",(COUNTIF($EL$9:$EP$9,$AW77)+COUNTIF($QV$9:$QY$9,$AW77))&gt;0),$AV77,"")</f>
        <v/>
      </c>
      <c r="LK77" s="164">
        <f>IF(AND($AX77=1,OR($AW77="",(COUNTIF($EL$9:$EP$9,$AW77)+COUNTIF($QV$9:$QY$9,$AW77))&gt;0)),$AV77,"")</f>
        <v/>
      </c>
      <c r="LP77" s="164">
        <f>IF(OR($AW77="",(COUNTIF($EL$10:$EP$10,$AW77)+COUNTIF($QV$10:$QY$10,$AW77))&gt;0),$AV77,"")</f>
        <v/>
      </c>
      <c r="LQ77" s="164">
        <f>IF(AND($AX77=1,OR($AW77="",(COUNTIF($EL$10:$EP$10,$AW77)+COUNTIF($QV$10:$QY$10,$AW77))&gt;0)),$AV77,"")</f>
        <v/>
      </c>
      <c r="LV77" s="164">
        <f>IF(OR($AW77="",(COUNTIF($EL$11:$EP$11,$AW77)+COUNTIF($QV$11:$QY$11,$AW77))&gt;0),$AV77,"")</f>
        <v/>
      </c>
      <c r="LW77" s="164">
        <f>IF(AND($AX77=1,OR($AW77="",(COUNTIF($EL$11:$EP$11,$AW77)+COUNTIF($QV$11:$QY$11,$AW77))&gt;0)),$AV77,"")</f>
        <v/>
      </c>
      <c r="MB77" s="164">
        <f>IF(OR($AW77="",(COUNTIF($EL$12:$EP$12,$AW77)+COUNTIF($QV$12:$QY$12,$AW77))&gt;0),$AV77,"")</f>
        <v/>
      </c>
      <c r="MC77" s="164">
        <f>IF(AND($AX77=1,OR($AW77="",(COUNTIF($EL$12:$EP$12,$AW77)+COUNTIF($QV$12:$QY$12,$AW77))&gt;0)),$AV77,"")</f>
        <v/>
      </c>
      <c r="MH77" s="164">
        <f>IF(OR($AW77="",(COUNTIF($EL$13:$EP$13,$AW77)+COUNTIF($QV$13:$QY$13,$AW77))&gt;0),$AV77,"")</f>
        <v/>
      </c>
      <c r="MI77" s="164">
        <f>IF(AND($AX77=1,OR($AW77="",(COUNTIF($EL$13:$EP$13,$AW77)+COUNTIF($QV$13:$QY$13,$AW77))&gt;0)),$AV77,"")</f>
        <v/>
      </c>
      <c r="MN77" s="162" t="inlineStr">
        <is>
          <t>Ficha 6 · Escolha da trilha 1</t>
        </is>
      </c>
      <c r="MO77" s="164" t="n">
        <v>6</v>
      </c>
      <c r="MP77" s="164" t="n">
        <v>2</v>
      </c>
      <c r="MQ77" s="164" t="n">
        <v>0</v>
      </c>
      <c r="MR77" s="162" t="inlineStr">
        <is>
          <t>ESCOLHA DA TRILHA 1</t>
        </is>
      </c>
      <c r="MS77" s="164">
        <f>MAX(0,MIN(7,N('INVOCAÇÕES'!$I$1228)))</f>
        <v/>
      </c>
      <c r="MT77" s="164">
        <f>'INVOCAÇÕES'!$J$1228&amp;""</f>
        <v/>
      </c>
      <c r="MU77" s="164">
        <f>'INVOCAÇÕES'!$I$1233&amp;""</f>
        <v/>
      </c>
      <c r="MV77" s="164">
        <f>'INVOCAÇÕES'!$I$1234&amp;""</f>
        <v/>
      </c>
      <c r="MW77" s="164">
        <f>'INVOCAÇÕES'!$K$1234&amp;""</f>
        <v/>
      </c>
      <c r="MX77" s="164">
        <f>'INVOCAÇÕES'!$J$1237&amp;""</f>
        <v/>
      </c>
      <c r="MY77" s="164">
        <f>'INVOCAÇÕES'!$J$1238&amp;""</f>
        <v/>
      </c>
      <c r="MZ77" s="164">
        <f>'INVOCAÇÕES'!$J$1239&amp;""</f>
        <v/>
      </c>
      <c r="NA77" s="164">
        <f>'INVOCAÇÕES'!$J$1240&amp;""</f>
        <v/>
      </c>
      <c r="NB77" s="164">
        <f>'INVOCAÇÕES'!$J$1241&amp;""</f>
        <v/>
      </c>
      <c r="NC77" s="164">
        <f>'INVOCAÇÕES'!$J$1242&amp;""</f>
        <v/>
      </c>
      <c r="ND77" s="164">
        <f>IF($MT77&lt;&gt;"",1,0)</f>
        <v/>
      </c>
      <c r="NE77" s="164">
        <f>INDEX($FO$2:$FO$13,$MO77)</f>
        <v/>
      </c>
      <c r="NF77" s="164">
        <f>INDEX($FP$2:$FP$13,$MO77)</f>
        <v/>
      </c>
      <c r="NG77" s="164">
        <f>INDEX($FQ$2:$FQ$13,$MO77)</f>
        <v/>
      </c>
      <c r="NH77" s="164">
        <f>INDEX($GB$2:$GB$13,$MO77)</f>
        <v/>
      </c>
      <c r="NI77" s="164">
        <f>INDEX($GC$2:$GC$13,$MO77)</f>
        <v/>
      </c>
      <c r="NJ77" s="164">
        <f>IFERROR(MATCH(SUBSTITUTE(SUBSTITUTE(SUBSTITUTE($MU77,"~","~~"),"*","~*"),"?","~?"),'DADOS_FORMAS'!$FZ$2:$FZ$21,0),0)</f>
        <v/>
      </c>
      <c r="NK77" s="164">
        <f>IFERROR(VLOOKUP(SUBSTITUTE(SUBSTITUTE(SUBSTITUTE($MX77,"~","~~"),"*","~*"),"?","~?"),'DADOS_MELHORIAS'!$AG$2:$AL$113,2,FALSE),"")</f>
        <v/>
      </c>
      <c r="NL77" s="164">
        <f>IFERROR(VLOOKUP(SUBSTITUTE(SUBSTITUTE(SUBSTITUTE($MY77,"~","~~"),"*","~*"),"?","~?"),'DADOS_MELHORIAS'!$AG$2:$AL$113,2,FALSE),"")</f>
        <v/>
      </c>
      <c r="NM77" s="164">
        <f>IFERROR(VLOOKUP(SUBSTITUTE(SUBSTITUTE(SUBSTITUTE($MZ77,"~","~~"),"*","~*"),"?","~?"),'DADOS_MELHORIAS'!$AG$2:$AL$113,2,FALSE),"")</f>
        <v/>
      </c>
      <c r="NN77" s="164">
        <f>IFERROR(VLOOKUP(SUBSTITUTE(SUBSTITUTE(SUBSTITUTE($NA77,"~","~~"),"*","~*"),"?","~?"),'DADOS_MELHORIAS'!$AG$2:$AL$113,2,FALSE),"")</f>
        <v/>
      </c>
      <c r="NO77" s="164">
        <f>IFERROR(VLOOKUP(SUBSTITUTE(SUBSTITUTE(SUBSTITUTE($MX77,"~","~~"),"*","~*"),"?","~?"),'DADOS_MELHORIAS'!$AG$2:$AL$113,3,FALSE),0)</f>
        <v/>
      </c>
      <c r="NP77" s="164">
        <f>IFERROR(VLOOKUP(SUBSTITUTE(SUBSTITUTE(SUBSTITUTE($MY77,"~","~~"),"*","~*"),"?","~?"),'DADOS_MELHORIAS'!$AG$2:$AL$113,3,FALSE),0)</f>
        <v/>
      </c>
      <c r="NQ77" s="164">
        <f>IFERROR(VLOOKUP(SUBSTITUTE(SUBSTITUTE(SUBSTITUTE($MZ77,"~","~~"),"*","~*"),"?","~?"),'DADOS_MELHORIAS'!$AG$2:$AL$113,3,FALSE),0)</f>
        <v/>
      </c>
      <c r="NR77" s="164">
        <f>IFERROR(VLOOKUP(SUBSTITUTE(SUBSTITUTE(SUBSTITUTE($NA77,"~","~~"),"*","~*"),"?","~?"),'DADOS_MELHORIAS'!$AG$2:$AL$113,3,FALSE),0)</f>
        <v/>
      </c>
      <c r="NS77" s="164">
        <f>IF($MS77=0,0,IF($NJ77=0,0,INDEX('DADOS_FORMAS'!$GB$2:$GB$21,$NJ77)))</f>
        <v/>
      </c>
      <c r="NT77" s="164">
        <f>IF(OR($NO77=0,$MS77=0),0,$NO77+3*IF(AND($NK77&lt;&gt;"",COUNTIF(INDEX($RB$2:$RJ$13,$MO77,0),$NK77)&gt;0),1,0))</f>
        <v/>
      </c>
      <c r="NU77" s="164">
        <f>IF(OR($NP77=0,$MS77=0),0,$NP77+3*IF(AND($NL77&lt;&gt;"",COUNTIF(INDEX($RB$2:$RJ$13,$MO77,0),$NL77)&gt;0),1,0))</f>
        <v/>
      </c>
      <c r="NV77" s="164">
        <f>IF(OR($NQ77=0,$MS77=0),0,$NQ77+3*IF(AND($NM77&lt;&gt;"",COUNTIF(INDEX($RB$2:$RJ$13,$MO77,0),$NM77)&gt;0),1,0))</f>
        <v/>
      </c>
      <c r="NW77" s="164">
        <f>IF(OR($NR77=0,$MS77=0),0,$NR77+3*IF(AND($NN77&lt;&gt;"",COUNTIF(INDEX($RB$2:$RJ$13,$MO77,0),$NN77)&gt;0),1,0))</f>
        <v/>
      </c>
      <c r="NX77" s="164">
        <f>IF($NJ77=0,0,IF(INDEX('DADOS_FORMAS'!$GA$2:$GA$21,$NJ77)="",0,IF((COUNTIF(INDEX($EL$2:$EP$13,$MO77,0),INDEX('DADOS_FORMAS'!$GA$2:$GA$21,$NJ77))+COUNTIF(INDEX($QV$2:$QY$13,$MO77,0),INDEX('DADOS_FORMAS'!$GA$2:$GA$21,$NJ77)))=0,1,0)))</f>
        <v/>
      </c>
      <c r="NY77" s="164">
        <f>IF(OR($NO77=0,$NK77=""),0,IF((COUNTIF(INDEX($EL$2:$EP$13,$MO77,0),$NK77)+COUNTIF(INDEX($QV$2:$QY$13,$MO77,0),$NK77))=0,1,0))</f>
        <v/>
      </c>
      <c r="NZ77" s="164">
        <f>IF(OR($NP77=0,$NL77=""),0,IF((COUNTIF(INDEX($EL$2:$EP$13,$MO77,0),$NL77)+COUNTIF(INDEX($QV$2:$QY$13,$MO77,0),$NL77))=0,1,0))</f>
        <v/>
      </c>
      <c r="OA77" s="164">
        <f>IF(OR($NQ77=0,$NM77=""),0,IF((COUNTIF(INDEX($EL$2:$EP$13,$MO77,0),$NM77)+COUNTIF(INDEX($QV$2:$QY$13,$MO77,0),$NM77))=0,1,0))</f>
        <v/>
      </c>
      <c r="OB77" s="164">
        <f>IF(OR($NR77=0,$NN77=""),0,IF((COUNTIF(INDEX($EL$2:$EP$13,$MO77,0),$NN77)+COUNTIF(INDEX($QV$2:$QY$13,$MO77,0),$NN77))=0,1,0))</f>
        <v/>
      </c>
      <c r="OC77" s="164">
        <f>IFERROR(VLOOKUP(SUBSTITUTE(SUBSTITUTE(SUBSTITUTE($MX77,"~","~~"),"*","~*"),"?","~?"),'DADOS_MELHORIAS'!$AG$2:$AL$113,4,FALSE),0)+IFERROR(VLOOKUP(SUBSTITUTE(SUBSTITUTE(SUBSTITUTE($MY77,"~","~~"),"*","~*"),"?","~?"),'DADOS_MELHORIAS'!$AG$2:$AL$113,4,FALSE),0)+IFERROR(VLOOKUP(SUBSTITUTE(SUBSTITUTE(SUBSTITUTE($MZ77,"~","~~"),"*","~*"),"?","~?"),'DADOS_MELHORIAS'!$AG$2:$AL$113,4,FALSE),0)+IFERROR(VLOOKUP(SUBSTITUTE(SUBSTITUTE(SUBSTITUTE($NA77,"~","~~"),"*","~*"),"?","~?"),'DADOS_MELHORIAS'!$AG$2:$AL$113,4,FALSE),0)</f>
        <v/>
      </c>
      <c r="OD77" s="164">
        <f>IFERROR(VLOOKUP(SUBSTITUTE(SUBSTITUTE(SUBSTITUTE($MX77,"~","~~"),"*","~*"),"?","~?"),'DADOS_MELHORIAS'!$AG$2:$AL$113,6,FALSE),0)+IFERROR(VLOOKUP(SUBSTITUTE(SUBSTITUTE(SUBSTITUTE($MY77,"~","~~"),"*","~*"),"?","~?"),'DADOS_MELHORIAS'!$AG$2:$AL$113,6,FALSE),0)+IFERROR(VLOOKUP(SUBSTITUTE(SUBSTITUTE(SUBSTITUTE($MZ77,"~","~~"),"*","~*"),"?","~?"),'DADOS_MELHORIAS'!$AG$2:$AL$113,6,FALSE),0)+IFERROR(VLOOKUP(SUBSTITUTE(SUBSTITUTE(SUBSTITUTE($NA77,"~","~~"),"*","~*"),"?","~?"),'DADOS_MELHORIAS'!$AG$2:$AL$113,6,FALSE),0)+IFERROR(N(AND(INDEX('DADOS_FORMAS'!$AO$2:$AO$21,MATCH(SUBSTITUTE(SUBSTITUTE(SUBSTITUTE($MU77,"~","~~"),"*","~*"),"?","~?"),'DADOS_FORMAS'!$AH$2:$AH$21,0))="Acerto",$OH77=1)),0)</f>
        <v/>
      </c>
      <c r="OE77" s="164">
        <f>TEXTJOIN(", ",TRUE,IF(IFERROR(VLOOKUP(SUBSTITUTE(SUBSTITUTE(SUBSTITUTE($MX77,"~","~~"),"*","~*"),"?","~?"),'DADOS_MELHORIAS'!$AG$2:$AL$113,5,FALSE),0)=1,$MX77,""),IF(IFERROR(VLOOKUP(SUBSTITUTE(SUBSTITUTE(SUBSTITUTE($MY77,"~","~~"),"*","~*"),"?","~?"),'DADOS_MELHORIAS'!$AG$2:$AL$113,5,FALSE),0)=1,$MY77,""),IF(IFERROR(VLOOKUP(SUBSTITUTE(SUBSTITUTE(SUBSTITUTE($MZ77,"~","~~"),"*","~*"),"?","~?"),'DADOS_MELHORIAS'!$AG$2:$AL$113,5,FALSE),0)=1,$MZ77,""),IF(IFERROR(VLOOKUP(SUBSTITUTE(SUBSTITUTE(SUBSTITUTE($NA77,"~","~~"),"*","~*"),"?","~?"),'DADOS_MELHORIAS'!$AG$2:$AL$113,5,FALSE),0)=1,$NA77,""))</f>
        <v/>
      </c>
      <c r="OF77" s="164">
        <f>IF($NJ77=0,0,INDEX('DADOS_FORMAS'!$GC$2:$GC$21,$NJ77))</f>
        <v/>
      </c>
      <c r="OG77" s="164">
        <f>IF($NJ77=0,0,INDEX('DADOS_FORMAS'!$GD$2:$GD$21,$NJ77))</f>
        <v/>
      </c>
      <c r="OH77" s="164">
        <f>IF($NJ77=0,0,INDEX('DADOS_FORMAS'!$GF$2:$GF$21,$NJ77))</f>
        <v/>
      </c>
      <c r="OI77" s="164">
        <f>IFERROR(VLOOKUP(SUBSTITUTE(SUBSTITUTE(SUBSTITUTE($NB77,"~","~~"),"*","~*"),"?","~?"),'DADOS_RESTRICOES'!$M$2:$Q$54,3,FALSE),0)</f>
        <v/>
      </c>
      <c r="OJ77" s="164">
        <f>IFERROR(VLOOKUP(SUBSTITUTE(SUBSTITUTE(SUBSTITUTE($NC77,"~","~~"),"*","~*"),"?","~?"),'DADOS_RESTRICOES'!$M$2:$Q$54,3,FALSE),0)</f>
        <v/>
      </c>
      <c r="OK77" s="164">
        <f>IFERROR(VLOOKUP(SUBSTITUTE(SUBSTITUTE(SUBSTITUTE($NB77,"~","~~"),"*","~*"),"?","~?"),'DADOS_RESTRICOES'!$M$2:$Q$54,2,FALSE),"")</f>
        <v/>
      </c>
      <c r="OL77" s="164">
        <f>IFERROR(VLOOKUP(SUBSTITUTE(SUBSTITUTE(SUBSTITUTE($NC77,"~","~~"),"*","~*"),"?","~?"),'DADOS_RESTRICOES'!$M$2:$Q$54,2,FALSE),"")</f>
        <v/>
      </c>
      <c r="OM77" s="164">
        <f>COUNTIF($NS77:$NW77,1)</f>
        <v/>
      </c>
      <c r="ON77" s="164">
        <f>COUNTIF($NS77:$NW77,2)</f>
        <v/>
      </c>
      <c r="OO77" s="164">
        <f>COUNTIF($NS77:$NW77,3)</f>
        <v/>
      </c>
      <c r="OP77" s="164">
        <f>COUNTIF($NS77:$NW77,4)</f>
        <v/>
      </c>
      <c r="OQ77" s="164">
        <f>COUNTIF($NS77:$NW77,5)</f>
        <v/>
      </c>
      <c r="OR77" s="164">
        <f>COUNTIF($NS77:$NW77,6)</f>
        <v/>
      </c>
      <c r="OS77" s="164">
        <f>COUNTIF($OI77:$OJ77,1)+IF(IFERROR(INDEX('DADOS_FORMAS'!$AS$2:$AS$21,MATCH(SUBSTITUTE(SUBSTITUTE(SUBSTITUTE($MU77,"~","~~"),"*","~*"),"?","~?"),'DADOS_FORMAS'!$AH$2:$AH$21,0)),"")="",0,IFERROR(N(VLOOKUP(SUBSTITUTE(SUBSTITUTE(SUBSTITUTE(IFERROR(INDEX('DADOS_FORMAS'!$AS$2:$AS$21,MATCH(SUBSTITUTE(SUBSTITUTE(SUBSTITUTE($MU77,"~","~~"),"*","~*"),"?","~?"),'DADOS_FORMAS'!$AH$2:$AH$21,0)),""),"~","~~"),"*","~*"),"?","~?"),'DADOS_RESTRICOES'!$M$2:$Q$54,3,FALSE)=1),0))</f>
        <v/>
      </c>
      <c r="OT77" s="164">
        <f>COUNTIF($OI77:$OJ77,2)+IF(IFERROR(INDEX('DADOS_FORMAS'!$AS$2:$AS$21,MATCH(SUBSTITUTE(SUBSTITUTE(SUBSTITUTE($MU77,"~","~~"),"*","~*"),"?","~?"),'DADOS_FORMAS'!$AH$2:$AH$21,0)),"")="",0,IFERROR(N(VLOOKUP(SUBSTITUTE(SUBSTITUTE(SUBSTITUTE(IFERROR(INDEX('DADOS_FORMAS'!$AS$2:$AS$21,MATCH(SUBSTITUTE(SUBSTITUTE(SUBSTITUTE($MU77,"~","~~"),"*","~*"),"?","~?"),'DADOS_FORMAS'!$AH$2:$AH$21,0)),""),"~","~~"),"*","~*"),"?","~?"),'DADOS_RESTRICOES'!$M$2:$Q$54,3,FALSE)=2),0))</f>
        <v/>
      </c>
      <c r="OU77" s="164">
        <f>COUNTIF($MX77:$NA77,"?*")</f>
        <v/>
      </c>
      <c r="OV77" s="164">
        <f>COUNTIF($NB77:$NC77,"?*")+$OF77</f>
        <v/>
      </c>
      <c r="OW77" s="164">
        <f>IF($MS77=0,0,SUMPRODUCT($OM77:$OR77,INDEX($I$2:$N$8,MAX(1,$MS77),0)))</f>
        <v/>
      </c>
      <c r="OX77" s="164">
        <f>IF($MS77=0,0,$OS77*CEILING($MS77/2,1)+$OT77*$MS77)</f>
        <v/>
      </c>
      <c r="OY77" s="164">
        <f>MIN(2*$MS77,$OX77)</f>
        <v/>
      </c>
      <c r="OZ77" s="164">
        <f>MIN($OY77,$OW77-IF($NS77=0,0,INDEX($I$2:$N$8,MAX(1,$MS77),$NS77)))</f>
        <v/>
      </c>
      <c r="PA77" s="164">
        <f>$OY77-$OZ77</f>
        <v/>
      </c>
      <c r="PB77" s="164">
        <f>IF($MS77=0,0,INDEX($P$2:$P$8,MAX(1,$MS77)))</f>
        <v/>
      </c>
      <c r="PC77" s="164">
        <f>$PB77-$OW77+$OZ77</f>
        <v/>
      </c>
      <c r="PD77" s="164">
        <f>IF($MS77=0,MAX(0,$NG77-IF(AND($OU77&gt;0,COUNTIF($NB77:$NC77,"?*")=0),1,0)),MAX(0,$PC77))</f>
        <v/>
      </c>
      <c r="PE77" s="164">
        <f>IF($MS77=0,0,(IF(COUNTIF($RK77:$RN77,"Salto")&gt;0,1,0)+IF(COUNTIF($RK77:$RN77,"Queima")&gt;0,1,0)+IF(COUNTIF($RK77:$RN77,"Estilhaço")&gt;0,1,0))*FLOOR($PD77/2,1))</f>
        <v/>
      </c>
      <c r="PF77" s="164">
        <f>MAX(0,2-SUMPRODUCT($OM77:$OR77,$I$2:$N$2)+MIN(2,$OS77*1+$OT77*1,SUMPRODUCT($OM77:$OR77,$I$2:$N$2)-IF($NS77=0,0,INDEX($I$2:$N$2,1,$NS77))))</f>
        <v/>
      </c>
      <c r="PG77" s="164">
        <f>MAX(0,4-SUMPRODUCT($OM77:$OR77,$I$3:$N$3)+MIN(4,$OS77*1+$OT77*2,SUMPRODUCT($OM77:$OR77,$I$3:$N$3)-IF($NS77=0,0,INDEX($I$3:$N$3,1,$NS77))))</f>
        <v/>
      </c>
      <c r="PH77" s="164">
        <f>MAX(0,6-SUMPRODUCT($OM77:$OR77,$I$4:$N$4)+MIN(6,$OS77*2+$OT77*3,SUMPRODUCT($OM77:$OR77,$I$4:$N$4)-IF($NS77=0,0,INDEX($I$4:$N$4,1,$NS77))))</f>
        <v/>
      </c>
      <c r="PI77" s="164">
        <f>MAX(0,9-SUMPRODUCT($OM77:$OR77,$I$5:$N$5)+MIN(8,$OS77*2+$OT77*4,SUMPRODUCT($OM77:$OR77,$I$5:$N$5)-IF($NS77=0,0,INDEX($I$5:$N$5,1,$NS77))))</f>
        <v/>
      </c>
      <c r="PJ77" s="164">
        <f>MAX(0,11-SUMPRODUCT($OM77:$OR77,$I$6:$N$6)+MIN(10,$OS77*3+$OT77*5,SUMPRODUCT($OM77:$OR77,$I$6:$N$6)-IF($NS77=0,0,INDEX($I$6:$N$6,1,$NS77))))</f>
        <v/>
      </c>
      <c r="PK77" s="164">
        <f>MAX(0,13-SUMPRODUCT($OM77:$OR77,$I$7:$N$7)+MIN(12,$OS77*3+$OT77*6,SUMPRODUCT($OM77:$OR77,$I$7:$N$7)-IF($NS77=0,0,INDEX($I$7:$N$7,1,$NS77))))</f>
        <v/>
      </c>
      <c r="PL77" s="164">
        <f>MAX(0,16-SUMPRODUCT($OM77:$OR77,$I$8:$N$8)+MIN(14,$OS77*4+$OT77*7,SUMPRODUCT($OM77:$OR77,$I$8:$N$8)-IF($NS77=0,0,INDEX($I$8:$N$8,1,$NS77))))</f>
        <v/>
      </c>
      <c r="PM77" s="164">
        <f>IF($OG77=2,3*$PF77&amp;" de vida temp.",IF($OG77=3,"sem dano",IF($PF77=0,IF($OG77=1,"sem cura","sem dano"),IF($OG77=1,"cura ","")&amp;$PF77&amp;"d8")))</f>
        <v/>
      </c>
      <c r="PN77" s="164">
        <f>IF($OG77=2,3*$PG77&amp;" de vida temp.",IF($OG77=3,"sem dano",IF($PG77=0,IF($OG77=1,"sem cura","sem dano"),IF($OG77=1,"cura ","")&amp;$PG77&amp;"d8")))</f>
        <v/>
      </c>
      <c r="PO77" s="164">
        <f>IF($OG77=2,3*$PH77&amp;" de vida temp.",IF($OG77=3,"sem dano",IF($PH77=0,IF($OG77=1,"sem cura","sem dano"),IF($OG77=1,"cura ","")&amp;$PH77&amp;"d8")))</f>
        <v/>
      </c>
      <c r="PP77" s="164">
        <f>IF($OG77=2,3*$PI77&amp;" de vida temp.",IF($OG77=3,"sem dano",IF($PI77=0,IF($OG77=1,"sem cura","sem dano"),IF($OG77=1,"cura ","")&amp;$PI77&amp;"d8")))</f>
        <v/>
      </c>
      <c r="PQ77" s="164">
        <f>IF($OG77=2,3*$PJ77&amp;" de vida temp.",IF($OG77=3,"sem dano",IF($PJ77=0,IF($OG77=1,"sem cura","sem dano"),IF($OG77=1,"cura ","")&amp;$PJ77&amp;"d8")))</f>
        <v/>
      </c>
      <c r="PR77" s="164">
        <f>IF($OG77=2,3*$PK77&amp;" de vida temp.",IF($OG77=3,"sem dano",IF($PK77=0,IF($OG77=1,"sem cura","sem dano"),IF($OG77=1,"cura ","")&amp;$PK77&amp;"d8")))</f>
        <v/>
      </c>
      <c r="PS77" s="164">
        <f>IF($OG77=2,3*$PL77&amp;" de vida temp.",IF($OG77=3,"sem dano",IF($PL77=0,IF($OG77=1,"sem cura","sem dano"),IF($OG77=1,"cura ","")&amp;$PL77&amp;"d8")))</f>
        <v/>
      </c>
      <c r="PT77" s="164">
        <f>IF($ND77=0,"",TEXTJOIN(" · ",TRUE,IF($ND77=0,"",TEXTJOIN(" · ",TRUE,IF($ND77=0,"",TEXTJOIN(" · ",TRUE,IF($MQ77&gt;$NE77,"Este lugar abre no nível "&amp;$MQ77,""),IF($MS77&gt;$NF77,"Classe "&amp;$MS77&amp;": o nível "&amp;$NE77&amp;" libera até a "&amp;$NF77,""),IF($NX77=1,"A Forma "&amp;$MU77&amp;" pede "&amp;INDEX('DADOS_FORMAS'!$GA$2:$GA$21,$NJ77)&amp;" aberta",""),IF(AND($MS77=0,$NJ77&gt;0,IF($NJ77=0,0,INDEX('DADOS_FORMAS'!$GJ$2:$GJ$21,$NJ77))=0),$MU77&amp;" não existe na Classe 0",""),IF($NY77=1,"Família Fechada: "&amp;$MX77,""),IF($NZ77=1,"Família Fechada: "&amp;$MY77,""),IF($OA77=1,"Família Fechada: "&amp;$MZ77,""),IF($OB77=1,"Família Fechada: "&amp;$NA77,""),IF(AND($MS77&gt;0,$OU77&gt;INDEX($O$2:$O$8,MAX(1,$MS77))),$OU77&amp;" Melhorias: a Classe "&amp;$MS77&amp;" aceita "&amp;INDEX($O$2:$O$8,MAX(1,$MS77)),""),IF(AND($MS77=0,$OU77&gt;1),"A básica aceita uma Melhoria",""),IF(AND($MS77=0,COUNTIF($NO77:$NR77,"&gt;1")&gt;0),"A básica só aceita Melhoria Leve",""),IF(AND($MS77&gt;0,$OV77&gt;2),$OV77&amp;" Restrições"&amp;IF($OF77=1,", contando a que a Forma "&amp;$MU77&amp;" já traz","")&amp;": o limite é 2",""),IF(AND($MS77=0,COUNTIF($NB77:$NC77,"?*")&gt;1),"A básica aceita uma Restrição Leve",""),IF(AND($MS77=0,COUNTIF($OI77:$OJ77,2)&gt;0),"A básica só aceita Restrição Leve",""),IF(AND($MS77&gt;0,$PC77&lt;0),"Orçamento estourado: faltam "&amp;(-$PC77)&amp;IF($PC77&lt;-1," pontos"," ponto"),""),IF(IFERROR(VLOOKUP(SUBSTITUTE(SUBSTITUTE(SUBSTITUTE($NB77,"~","~~"),"*","~*"),"?","~?"),'DADOS_RESTRICOES'!$M$2:$Q$54,4,FALSE),0)+IFERROR(VLOOKUP(SUBSTITUTE(SUBSTITUTE(SUBSTITUTE($NC77,"~","~~"),"*","~*"),"?","~?"),'DADOS_RESTRICOES'!$M$2:$Q$54,4,FALSE),0)&gt;1,$OK77&amp;" e "&amp;$OL77&amp;" são as duas de frequência",""),IF(AND((COUNTIF($RK77:$RN77,"Rápido")+COUNTIF($OK77:$OL77,"Rápido"))&gt;0,(COUNTIF($MX77:$NA77,"Atrasar")+COUNTIF($OK77:$OL77,"Atrasar"))&gt;0),"Rápido não entra com Atrasar",""),IF(AND((COUNTIF($RK77:$RN77,"Reação")+COUNTIF($OK77:$OL77,"Reação"))&gt;0,(COUNTIF($RK77:$RN77,"Rápido")+COUNTIF($OK77:$OL77,"Rápido"))&gt;0),"Reação não entra com Rápido",""),IF(AND((COUNTIF($RK77:$RN77,"Reação")+COUNTIF($OK77:$OL77,"Reação"))&gt;0,(COUNTIF($RK77:$RN77,"Armado")+COUNTIF($OK77:$OL77,"Armado"))&gt;0),"Reação não entra com Armado",""),IF(AND((COUNTIF($RK77:$RN77,"Reação")+COUNTIF($OK77:$OL77,"Reação"))&gt;0,(COUNTIF($MX77:$NA77,"Atrasar")+COUNTIF($OK77:$OL77,"Atrasar"))&gt;0),"Reação não entra com Atrasar",""),IF(AND((COUNTIF($RK77:$RN77,"Reação")+COUNTIF($OK77:$OL77,"Reação"))&gt;0,(COUNTIF($MX77:$NA77,"Parado")+COUNTIF($OK77:$OL77,"Parado"))&gt;0),"Reação não entra com Parado",""),IF(AND((COUNTIF($MX77:$NA77,"Atrasar")+COUNTIF($OK77:$OL77,"Atrasar"))&gt;0,(COUNTIF($MX77:$NA77,"Parado")+COUNTIF($OK77:$OL77,"Parado"))&gt;0),"Atrasar não entra com Parado",""),IF(AND((COUNTIF($RK77:$RN77,"Armado")+COUNTIF($OK77:$OL77,"Armado"))&gt;0,(COUNTIF($MX77:$NA77,"Carregar")+COUNTIF($OK77:$OL77,"Carregar"))&gt;0),"Armado não entra com Carregar",""),IF(AND(COUNTIF($OK77:$OL77,"Corpo a Corpo")&gt;0,$OF77=0,OR($RO77="Cone",$RO77="Linha")),"Corpo a Corpo não entra em "&amp;$MU77,""),IF(AND(COUNTIF($OK77:$OL77,"Corpo a Corpo")&gt;0,$RP77="Corpo a Corpo"),"A Forma "&amp;$MU77&amp;" já traz o Corpo a Corpo",""),IF(AND(COUNTIF($OK77:$OL77,"Tudo ou Nada")&gt;0,$OH77=0),"Tudo ou Nada só entra em habilidade de Teste de Resistência",""),IF(AND(COUNTIF($RK77:$RN77,"Inescapável")&gt;0,OR($OU77&gt;1,$OV77&gt;0)),"Inescapável não aceita outra peça",""),IF(AND($MS77&gt;0,$PD77*IF(COUNTIF($RK77:$RN77,"Remate")&gt;0,1.25,1)+$PE77&gt;4*$MS77),($PD77*IF(COUNTIF($RK77:$RN77,"Remate")&gt;0,1.25,1)+$PE77)&amp;" dados somando repetições"&amp;IF(COUNTIF($RK77:$RN77,"Remate")&gt;0," e o Remate","")&amp;": o teto da Classe "&amp;$MS77&amp;" é "&amp;4*$MS77,""))),IF(AND($MX77&lt;&gt;"",COUNTIF('DADOS_MELHORIAS'!$O$2:$O$113,SUBSTITUTE(SUBSTITUTE(SUBSTITUTE($MX77,"~","~~"),"*","~*"),"?","~?"))=0),"Melhoria não cadastrada ou com erro: "&amp;$MX77,""),IF(AND($MY77&lt;&gt;"",COUNTIF('DADOS_MELHORIAS'!$O$2:$O$113,SUBSTITUTE(SUBSTITUTE(SUBSTITUTE($MY77,"~","~~"),"*","~*"),"?","~?"))=0),"Melhoria não cadastrada ou com erro: "&amp;$MY77,""),IF(AND($MZ77&lt;&gt;"",COUNTIF('DADOS_MELHORIAS'!$O$2:$O$113,SUBSTITUTE(SUBSTITUTE(SUBSTITUTE($MZ77,"~","~~"),"*","~*"),"?","~?"))=0),"Melhoria não cadastrada ou com erro: "&amp;$MZ77,""),IF(AND($NA77&lt;&gt;"",COUNTIF('DADOS_MELHORIAS'!$O$2:$O$113,SUBSTITUTE(SUBSTITUTE(SUBSTITUTE($NA77,"~","~~"),"*","~*"),"?","~?"))=0),"Melhoria não cadastrada ou com erro: "&amp;$NA77,""),IF(AND($NB77&lt;&gt;"",COUNTIF('DADOS_RESTRICOES'!$M$2:$M$54,SUBSTITUTE(SUBSTITUTE(SUBSTITUTE($NB77,"~","~~"),"*","~*"),"?","~?"))=0),"Restrição não cadastrada ou com erro: "&amp;$NB77,""),IF(AND($NC77&lt;&gt;"",COUNTIF('DADOS_RESTRICOES'!$M$2:$M$54,SUBSTITUTE(SUBSTITUTE(SUBSTITUTE($NC77,"~","~~"),"*","~*"),"?","~?"))=0),"Restrição não cadastrada ou com erro: "&amp;$NC77,""))),IF(AND($MU77&lt;&gt;"",COUNTIF('DADOS_FORMAS'!$AH$2:$AH$21,SUBSTITUTE(SUBSTITUTE(SUBSTITUTE($MU77,"~","~~"),"*","~*"),"?","~?"))=0),"Forma não cadastrada ou com erro: "&amp;$MU77,""),IF(AND(IFERROR(INDEX('DADOS_FORMAS'!$AS$2:$AS$21,MATCH(SUBSTITUTE(SUBSTITUTE(SUBSTITUTE($MU77,"~","~~"),"*","~*"),"?","~?"),'DADOS_FORMAS'!$AH$2:$AH$21,0)),"")&lt;&gt;"",OR(IFERROR(VLOOKUP(SUBSTITUTE(SUBSTITUTE(SUBSTITUTE(IFERROR(INDEX('DADOS_FORMAS'!$AS$2:$AS$21,MATCH(SUBSTITUTE(SUBSTITUTE(SUBSTITUTE($MU77,"~","~~"),"*","~*"),"?","~?"),'DADOS_FORMAS'!$AH$2:$AH$21,0)),""),"~","~~"),"*","~*"),"?","~?"),'DADOS_RESTRICOES'!$M$2:$Q$54,2,FALSE),"")=$OK77,IFERROR(VLOOKUP(SUBSTITUTE(SUBSTITUTE(SUBSTITUTE(IFERROR(INDEX('DADOS_FORMAS'!$AS$2:$AS$21,MATCH(SUBSTITUTE(SUBSTITUTE(SUBSTITUTE($MU77,"~","~~"),"*","~*"),"?","~?"),'DADOS_FORMAS'!$AH$2:$AH$21,0)),""),"~","~~"),"*","~*"),"?","~?"),'DADOS_RESTRICOES'!$M$2:$Q$54,2,FALSE),"")=$OL77)),"Restrição repetida, contando a embutida",""),IF(IF(IFERROR(INDEX('DADOS_FORMAS'!$AS$2:$AS$21,MATCH(SUBSTITUTE(SUBSTITUTE(SUBSTITUTE($MU77,"~","~~"),"*","~*"),"?","~?"),'DADOS_FORMAS'!$AH$2:$AH$21,0)),"")="",0,IFERROR(N(VLOOKUP(SUBSTITUTE(SUBSTITUTE(SUBSTITUTE(IFERROR(INDEX('DADOS_FORMAS'!$AS$2:$AS$21,MATCH(SUBSTITUTE(SUBSTITUTE(SUBSTITUTE($MU77,"~","~~"),"*","~*"),"?","~?"),'DADOS_FORMAS'!$AH$2:$AH$21,0)),""),"~","~~"),"*","~*"),"?","~?"),'DADOS_RESTRICOES'!$M$2:$Q$54,4,FALSE)=1),0))+IF($NB77="",0,IFERROR(N(VLOOKUP(SUBSTITUTE(SUBSTITUTE(SUBSTITUTE($NB77,"~","~~"),"*","~*"),"?","~?"),'DADOS_RESTRICOES'!$M$2:$Q$54,4,FALSE)=1),0))+IF($NC77="",0,IFERROR(N(VLOOKUP(SUBSTITUTE(SUBSTITUTE(SUBSTITUTE($NC77,"~","~~"),"*","~*"),"?","~?"),'DADOS_RESTRICOES'!$M$2:$Q$54,4,FALSE)=1),0))&gt;1,"Duas Restrições de frequência, contando a embutida",""),IF(AND(IFERROR(VLOOKUP(SUBSTITUTE(SUBSTITUTE(SUBSTITUTE(IFERROR(INDEX('DADOS_FORMAS'!$AS$2:$AS$21,MATCH(SUBSTITUTE(SUBSTITUTE(SUBSTITUTE($MU77,"~","~~"),"*","~*"),"?","~?"),'DADOS_FORMAS'!$AH$2:$AH$21,0)),""),"~","~~"),"*","~*"),"?","~?"),'DADOS_RESTRICOES'!$M$2:$Q$54,2,FALSE),"")="Tudo ou Nada",$OH77=0),"Tudo ou Nada exige TR",""),IF(AND(IFERROR(VLOOKUP(SUBSTITUTE(SUBSTITUTE(SUBSTITUTE(IFERROR(INDEX('DADOS_FORMAS'!$AS$2:$AS$21,MATCH(SUBSTITUTE(SUBSTITUTE(SUBSTITUTE($MU77,"~","~~"),"*","~*"),"?","~?"),'DADOS_FORMAS'!$AH$2:$AH$21,0)),""),"~","~~"),"*","~*"),"?","~?"),'DADOS_RESTRICOES'!$M$2:$Q$54,2,FALSE),"")="Corpo a Corpo",OR($RO77="Cone",$RO77="Linha")),"Corpo a Corpo não entra em Cone/Linha","")))</f>
        <v/>
      </c>
      <c r="PU77" s="164">
        <f>IF($PT77="",0,(LEN($PT77)-LEN(SUBSTITUTE($PT77," · ","")))/3+1)</f>
        <v/>
      </c>
      <c r="PV77" s="164">
        <f>IF($ND77=0,"",TEXTJOIN(" · ",TRUE,IF($OX77&gt;2*$MS77,"A devolução parou no teto de "&amp;2*$MS77,""),IF($PA77&gt;0,"Devolução perdida: "&amp;$PA77&amp;IF($PA77&gt;1," pontos"," ponto")&amp;" sem Melhoria para pagar",""),IF(AND($OC77&gt;0,AND($MS77&gt;0,$OG77=0),$PD77=0),"Controle sem dano: uma rodada a mais e CD +2",""),IF(AND($OC77&gt;0,AND($MS77&gt;0,$OG77=0),$PD77&gt;0,$PD77&lt;=$MS77),"Controle com saldo até a Classe: uma rodada a mais",""),IF(AND($MS77&gt;0,$OE77&lt;&gt;""),"Efeito de "&amp;$OE77&amp;" pela Classe "&amp;MAX(1,$MS77-1),"")))</f>
        <v/>
      </c>
      <c r="PW77" s="164">
        <f>IF($PV77="",0,(LEN($PV77)-LEN(SUBSTITUTE($PV77," · ","")))/3+1)</f>
        <v/>
      </c>
      <c r="PX77" s="164">
        <f>IF($ND77=0,IF($OU77+COUNTIF($NB77:$NC77,"?*")&gt;0,"Dê um nome",""),IF($PU77&gt;0,"⚠ "&amp;$PU77&amp;IF($PU77&gt;1," erros"," erro"),IF($PW77&gt;0,"! "&amp;$PW77&amp;IF($PW77&gt;1," avisos"," aviso"),"Na regra")))</f>
        <v/>
      </c>
      <c r="PY77" s="164">
        <f>IF($ND77=0,"",IF($PU77+$PW77=0,"Dentro das regras que a ficha confere",$PT77&amp;IF(AND($PU77&gt;0,$PW77&gt;0)," · ","")&amp;$PV77))</f>
        <v/>
      </c>
      <c r="PZ77" s="164">
        <f>IF($MQ77&gt;$NE77,$MR77&amp;" · ABRE NO NÍVEL "&amp;$MQ77,$MR77)</f>
        <v/>
      </c>
      <c r="QA77" s="164">
        <f>IF($ND77=0,"",IF($MS77=0,"Sem PE",3*$MS77&amp;" PE"))</f>
        <v/>
      </c>
      <c r="QB77" s="164">
        <f>IF($ND77=0,"",IF($MS77=0,"A atuação básica dela",IF(COUNTIF($RQ77:$RS77,"Atrasar")&gt;0,"Sua Ação Completa",IF(COUNTIF($RK77:$RN77,"Rápido")&gt;0,"Sua Bônus",IF(COUNTIF($RK77:$RN77,"Reação")&gt;0,"Sua Reação","Sua Padrão")))&amp;" + a básica dela"&amp;IF(COUNTIF($RK77:$RN77,"Reação")&gt;0," e a coletiva","")&amp;IF(COUNTIF($RQ77:$RS77,"Carregar")&gt;0," · em dois turnos","")))</f>
        <v/>
      </c>
      <c r="QC77" s="164">
        <f>IF($MW77&lt;&gt;"",$MW77,IF($NJ77=0,"",INDEX('DADOS_FORMAS'!$GE$2:$GE$21,$NJ77)))</f>
        <v/>
      </c>
      <c r="QD77" s="164">
        <f>IF(OR($ND77=0,$NJ77=0),"",IF(COUNTIF($RK77:$RN77,"Inescapável")&gt;0,"Automático",IF($QC77="Ataque",IF($NH77="","Ataque","Ataque "&amp;IF(($NH77+2*IF(COUNTIF($RK77:$RN77,"Precisão")&gt;0,1,0))&gt;=0,"+","−")&amp;ABS(($NH77+2*IF(COUNTIF($RK77:$RN77,"Precisão")&gt;0,1,0))))&amp;IF($OD77&gt;0," · TR"&amp;IF($NI77="",""," CD "&amp;$NI77),""),IF(LEFT($QC77,2)="TR",$QC77&amp;IF($NI77="",""," · CD "&amp;$NI77)&amp;IF(COUNTIF($RK77:$RN77,"Certeiro")&gt;0," · metade",""),"Sem rolagem"))))</f>
        <v/>
      </c>
      <c r="QE77" s="164">
        <f>IF(OR($ND77=0,$NJ77=0),"",IF($MS77=0,IF(OR($OG77&gt;=1,$PD77=0),"Sem dano",$PD77&amp;"d6"&amp;IF($MV77="",""," "&amp;$MV77)),IF(OR($OG77&gt;=1,$PD77=0),UPPER(LEFT(INDEX($PM77:$PS77,1,MAX(1,$MS77)),1))&amp;MID(INDEX($PM77:$PS77,1,MAX(1,$MS77)),2,99),UPPER(LEFT(INDEX($PM77:$PS77,1,MAX(1,$MS77)),1))&amp;MID(INDEX($PM77:$PS77,1,MAX(1,$MS77)),2,99)&amp;IF($MV77="",""," "&amp;$MV77)&amp;IF($PE77&gt;0," · +"&amp;$PE77&amp;"d8",""))))</f>
        <v/>
      </c>
      <c r="QF77" s="164">
        <f>COUNTIF($RK77:$RN77,"Longe")+3*COUNTIF($RK77:$RN77,"Muito Longe")</f>
        <v/>
      </c>
      <c r="QG77" s="164">
        <f>COUNTIF($RK77:$RN77,"Maior")+3*COUNTIF($RK77:$RN77,"Muito Maior")</f>
        <v/>
      </c>
      <c r="QH77" s="164">
        <f>IF($NJ77=0,0,CHOOSE(1+INDEX('DADOS_FORMAS'!$GG$2:$GG$21,$NJ77),0,$QF77,$QG77,$QF77+$QG77))</f>
        <v/>
      </c>
      <c r="QI77" s="164">
        <f>IF($NJ77=0,0,CHOOSE(1+INDEX('DADOS_FORMAS'!$GH$2:$GH$21,$NJ77),0,$QF77,$QG77,$QF77+$QG77))</f>
        <v/>
      </c>
      <c r="QJ77" s="164">
        <f>IF(OR($ND77=0,$NJ77=0),"",INDEX('DADOS_FORMAS'!$HU$2:$HZ$81,($NJ77-1)*4+IF($MS77=0,1,IF($MS77&lt;=5,2,IF($MS77=6,3,4))),1+MIN(5,$QH77))&amp;INDEX('DADOS_FORMAS'!$IA$2:$IF$81,($NJ77-1)*4+IF($MS77=0,1,IF($MS77&lt;=5,2,IF($MS77=6,3,4))),1+MIN(5,$QI77))&amp;IF(INDEX('DADOS_FORMAS'!$GI$2:$GI$21,$NJ77)=1,IF(COUNTIF($RK77:$RN77,"Mais Um")&gt;0," · +"&amp;COUNTIF($RK77:$RN77,"Mais Um")&amp;IF(COUNTIF($RK77:$RN77,"Mais Um")&gt;1," alvos"," alvo"),"")&amp;IF(COUNTIF($RK77:$RN77,"Rajada")&gt;0,IF($MS77=0," · 1 tiro"," · "&amp;(MAX(1,$MS77-1)+1)&amp;" tiros"),""),""))</f>
        <v/>
      </c>
      <c r="QK77" s="164">
        <f>IF($ND77=0,"",IF($MS77=0,$NG77&amp;"d6"&amp;IF($OU77&gt;0," − 1 = "&amp;$PD77&amp;"d6"," da básica do nível "&amp;$NE77),$PB77&amp;" − "&amp;$OW77&amp;" + "&amp;$OZ77&amp;" = "&amp;$PC77&amp;" · teto "&amp;4*$MS77&amp;"d8"&amp;IF($OF77=1," · a Forma devolve "&amp;$MS77,"")&amp;IF($PA77&gt;0," · perde "&amp;$PA77,"")))</f>
        <v/>
      </c>
      <c r="QL77" s="164">
        <f>IF($ND77=0,"",IF($MS77=0,"A básica não amplia: os dados dela sobem com o nível",IF($MS77&gt;=$NF77,"Já está na maior Classe que o nível liberou",TEXTJOIN(" · ",TRUE,IF(AND(2&gt;$MS77,2&lt;=$NF77),"2 → "&amp;$PN77&amp;", 6 PE",""),IF(AND(3&gt;$MS77,3&lt;=$NF77),"3 → "&amp;$PO77&amp;", 9 PE",""),IF(AND(4&gt;$MS77,4&lt;=$NF77),"4 → "&amp;$PP77&amp;", 12 PE",""),IF(AND(5&gt;$MS77,5&lt;=$NF77),"5 → "&amp;$PQ77&amp;", 15 PE",""),IF(AND(6&gt;$MS77,6&lt;=$NF77),"6 → "&amp;$PR77&amp;", 18 PE",""),IF(AND(7&gt;$MS77,7&lt;=$NF77),"7 → "&amp;$PS77&amp;", 21 PE","")))))</f>
        <v/>
      </c>
      <c r="QM77" s="164">
        <f>IF(OR($ND77=0,$NO77=0),"",IF($MS77=0,"−1 dado","−"&amp;INDEX($I$2:$N$8,MAX(1,$MS77),MAX(1,$NT77))&amp;" · "&amp;CHOOSE(MAX(1,$NT77),"Leve","Média","Pesada","Leve · Livre","Média · Livre","Pesada · Livre")))</f>
        <v/>
      </c>
      <c r="QN77" s="164">
        <f>IF(OR($ND77=0,$NP77=0),"",IF($MS77=0,"−1 dado","−"&amp;INDEX($I$2:$N$8,MAX(1,$MS77),MAX(1,$NU77))&amp;" · "&amp;CHOOSE(MAX(1,$NU77),"Leve","Média","Pesada","Leve · Livre","Média · Livre","Pesada · Livre")))</f>
        <v/>
      </c>
      <c r="QO77" s="164">
        <f>IF(OR($ND77=0,$NQ77=0),"",IF($MS77=0,"−1 dado","−"&amp;INDEX($I$2:$N$8,MAX(1,$MS77),MAX(1,$NV77))&amp;" · "&amp;CHOOSE(MAX(1,$NV77),"Leve","Média","Pesada","Leve · Livre","Média · Livre","Pesada · Livre")))</f>
        <v/>
      </c>
      <c r="QP77" s="164">
        <f>IF(OR($ND77=0,$NR77=0),"",IF($MS77=0,"−1 dado","−"&amp;INDEX($I$2:$N$8,MAX(1,$MS77),MAX(1,$NW77))&amp;" · "&amp;CHOOSE(MAX(1,$NW77),"Leve","Média","Pesada","Leve · Livre","Média · Livre","Pesada · Livre")))</f>
        <v/>
      </c>
      <c r="QQ77" s="164">
        <f>IF(OR($ND77=0,$NB77=""),"",IF($MS77=0,"não devolve","+"&amp;IF($OI77=1,CEILING($MS77/2,1),$MS77)))</f>
        <v/>
      </c>
      <c r="QR77" s="164">
        <f>IF(OR($ND77=0,$NC77=""),"",IF($MS77=0,"não devolve","+"&amp;IF($OJ77=1,CEILING($MS77/2,1),$MS77)))</f>
        <v/>
      </c>
      <c r="RK77">
        <f>IF($MX77="","",IFERROR(VLOOKUP(SUBSTITUTE(SUBSTITUTE(SUBSTITUTE($MX77,"~","~~"),"*","~*"),"?","~?"),'DADOS_MELHORIAS'!$O$2:$X$113,10,FALSE),$MX77))</f>
        <v/>
      </c>
      <c r="RL77">
        <f>IF($MY77="","",IFERROR(VLOOKUP(SUBSTITUTE(SUBSTITUTE(SUBSTITUTE($MY77,"~","~~"),"*","~*"),"?","~?"),'DADOS_MELHORIAS'!$O$2:$X$113,10,FALSE),$MY77))</f>
        <v/>
      </c>
      <c r="RM77">
        <f>IF($MZ77="","",IFERROR(VLOOKUP(SUBSTITUTE(SUBSTITUTE(SUBSTITUTE($MZ77,"~","~~"),"*","~*"),"?","~?"),'DADOS_MELHORIAS'!$O$2:$X$113,10,FALSE),$MZ77))</f>
        <v/>
      </c>
      <c r="RN77">
        <f>IF($NA77="","",IFERROR(VLOOKUP(SUBSTITUTE(SUBSTITUTE(SUBSTITUTE($NA77,"~","~~"),"*","~*"),"?","~?"),'DADOS_MELHORIAS'!$O$2:$X$113,10,FALSE),$NA77))</f>
        <v/>
      </c>
      <c r="RO77">
        <f>IFERROR(INDEX('DADOS_FORMAS'!$BJ$2:$BJ$21,MATCH(SUBSTITUTE(SUBSTITUTE(SUBSTITUTE($MU77,"~","~~"),"*","~*"),"?","~?"),'DADOS_FORMAS'!$AH$2:$AH$21,0)),"")</f>
        <v/>
      </c>
      <c r="RP77">
        <f>IFERROR(VLOOKUP(SUBSTITUTE(SUBSTITUTE(SUBSTITUTE(IFERROR(INDEX('DADOS_FORMAS'!$AS$2:$AS$21,MATCH(SUBSTITUTE(SUBSTITUTE(SUBSTITUTE($MU77,"~","~~"),"*","~*"),"?","~?"),'DADOS_FORMAS'!$AH$2:$AH$21,0)),""),"~","~~"),"*","~*"),"?","~?"),'DADOS_RESTRICOES'!$M$2:$Q$54,2,FALSE),"")</f>
        <v/>
      </c>
      <c r="RQ77">
        <f>$OK77</f>
        <v/>
      </c>
      <c r="RR77">
        <f>$OL77</f>
        <v/>
      </c>
      <c r="RS77">
        <f>$RP77</f>
        <v/>
      </c>
    </row>
    <row r="78">
      <c r="AV78" s="162" t="inlineStr">
        <is>
          <t>Divide</t>
        </is>
      </c>
      <c r="AW78" s="162" t="inlineStr">
        <is>
          <t>Amparo</t>
        </is>
      </c>
      <c r="AX78" s="164" t="n">
        <v>2</v>
      </c>
      <c r="AY78" s="164" t="n">
        <v>0</v>
      </c>
      <c r="AZ78" s="164" t="n">
        <v>0</v>
      </c>
      <c r="BA78" s="164" t="n">
        <v>0</v>
      </c>
      <c r="JT78" s="164">
        <f>IF(OR($AW78="",(COUNTIF($EL$2:$EP$2,$AW78)+COUNTIF($QV$2:$QY$2,$AW78))&gt;0),$AV78,"")</f>
        <v/>
      </c>
      <c r="JU78" s="164">
        <f>IF(AND($AX78=1,OR($AW78="",(COUNTIF($EL$2:$EP$2,$AW78)+COUNTIF($QV$2:$QY$2,$AW78))&gt;0)),$AV78,"")</f>
        <v/>
      </c>
      <c r="JZ78" s="164">
        <f>IF(OR($AW78="",(COUNTIF($EL$3:$EP$3,$AW78)+COUNTIF($QV$3:$QY$3,$AW78))&gt;0),$AV78,"")</f>
        <v/>
      </c>
      <c r="KA78" s="164">
        <f>IF(AND($AX78=1,OR($AW78="",(COUNTIF($EL$3:$EP$3,$AW78)+COUNTIF($QV$3:$QY$3,$AW78))&gt;0)),$AV78,"")</f>
        <v/>
      </c>
      <c r="KF78" s="164">
        <f>IF(OR($AW78="",(COUNTIF($EL$4:$EP$4,$AW78)+COUNTIF($QV$4:$QY$4,$AW78))&gt;0),$AV78,"")</f>
        <v/>
      </c>
      <c r="KG78" s="164">
        <f>IF(AND($AX78=1,OR($AW78="",(COUNTIF($EL$4:$EP$4,$AW78)+COUNTIF($QV$4:$QY$4,$AW78))&gt;0)),$AV78,"")</f>
        <v/>
      </c>
      <c r="KL78" s="164">
        <f>IF(OR($AW78="",(COUNTIF($EL$5:$EP$5,$AW78)+COUNTIF($QV$5:$QY$5,$AW78))&gt;0),$AV78,"")</f>
        <v/>
      </c>
      <c r="KM78" s="164">
        <f>IF(AND($AX78=1,OR($AW78="",(COUNTIF($EL$5:$EP$5,$AW78)+COUNTIF($QV$5:$QY$5,$AW78))&gt;0)),$AV78,"")</f>
        <v/>
      </c>
      <c r="KR78" s="164">
        <f>IF(OR($AW78="",(COUNTIF($EL$6:$EP$6,$AW78)+COUNTIF($QV$6:$QY$6,$AW78))&gt;0),$AV78,"")</f>
        <v/>
      </c>
      <c r="KS78" s="164">
        <f>IF(AND($AX78=1,OR($AW78="",(COUNTIF($EL$6:$EP$6,$AW78)+COUNTIF($QV$6:$QY$6,$AW78))&gt;0)),$AV78,"")</f>
        <v/>
      </c>
      <c r="KX78" s="164">
        <f>IF(OR($AW78="",(COUNTIF($EL$7:$EP$7,$AW78)+COUNTIF($QV$7:$QY$7,$AW78))&gt;0),$AV78,"")</f>
        <v/>
      </c>
      <c r="KY78" s="164">
        <f>IF(AND($AX78=1,OR($AW78="",(COUNTIF($EL$7:$EP$7,$AW78)+COUNTIF($QV$7:$QY$7,$AW78))&gt;0)),$AV78,"")</f>
        <v/>
      </c>
      <c r="LD78" s="164">
        <f>IF(OR($AW78="",(COUNTIF($EL$8:$EP$8,$AW78)+COUNTIF($QV$8:$QY$8,$AW78))&gt;0),$AV78,"")</f>
        <v/>
      </c>
      <c r="LE78" s="164">
        <f>IF(AND($AX78=1,OR($AW78="",(COUNTIF($EL$8:$EP$8,$AW78)+COUNTIF($QV$8:$QY$8,$AW78))&gt;0)),$AV78,"")</f>
        <v/>
      </c>
      <c r="LJ78" s="164">
        <f>IF(OR($AW78="",(COUNTIF($EL$9:$EP$9,$AW78)+COUNTIF($QV$9:$QY$9,$AW78))&gt;0),$AV78,"")</f>
        <v/>
      </c>
      <c r="LK78" s="164">
        <f>IF(AND($AX78=1,OR($AW78="",(COUNTIF($EL$9:$EP$9,$AW78)+COUNTIF($QV$9:$QY$9,$AW78))&gt;0)),$AV78,"")</f>
        <v/>
      </c>
      <c r="LP78" s="164">
        <f>IF(OR($AW78="",(COUNTIF($EL$10:$EP$10,$AW78)+COUNTIF($QV$10:$QY$10,$AW78))&gt;0),$AV78,"")</f>
        <v/>
      </c>
      <c r="LQ78" s="164">
        <f>IF(AND($AX78=1,OR($AW78="",(COUNTIF($EL$10:$EP$10,$AW78)+COUNTIF($QV$10:$QY$10,$AW78))&gt;0)),$AV78,"")</f>
        <v/>
      </c>
      <c r="LV78" s="164">
        <f>IF(OR($AW78="",(COUNTIF($EL$11:$EP$11,$AW78)+COUNTIF($QV$11:$QY$11,$AW78))&gt;0),$AV78,"")</f>
        <v/>
      </c>
      <c r="LW78" s="164">
        <f>IF(AND($AX78=1,OR($AW78="",(COUNTIF($EL$11:$EP$11,$AW78)+COUNTIF($QV$11:$QY$11,$AW78))&gt;0)),$AV78,"")</f>
        <v/>
      </c>
      <c r="MB78" s="164">
        <f>IF(OR($AW78="",(COUNTIF($EL$12:$EP$12,$AW78)+COUNTIF($QV$12:$QY$12,$AW78))&gt;0),$AV78,"")</f>
        <v/>
      </c>
      <c r="MC78" s="164">
        <f>IF(AND($AX78=1,OR($AW78="",(COUNTIF($EL$12:$EP$12,$AW78)+COUNTIF($QV$12:$QY$12,$AW78))&gt;0)),$AV78,"")</f>
        <v/>
      </c>
      <c r="MH78" s="164">
        <f>IF(OR($AW78="",(COUNTIF($EL$13:$EP$13,$AW78)+COUNTIF($QV$13:$QY$13,$AW78))&gt;0),$AV78,"")</f>
        <v/>
      </c>
      <c r="MI78" s="164">
        <f>IF(AND($AX78=1,OR($AW78="",(COUNTIF($EL$13:$EP$13,$AW78)+COUNTIF($QV$13:$QY$13,$AW78))&gt;0)),$AV78,"")</f>
        <v/>
      </c>
      <c r="MN78" s="162" t="inlineStr">
        <is>
          <t>Ficha 6 · Escolha da trilha 2</t>
        </is>
      </c>
      <c r="MO78" s="164" t="n">
        <v>6</v>
      </c>
      <c r="MP78" s="164" t="n">
        <v>2</v>
      </c>
      <c r="MQ78" s="164" t="n">
        <v>0</v>
      </c>
      <c r="MR78" s="162" t="inlineStr">
        <is>
          <t>ESCOLHA DA TRILHA 2</t>
        </is>
      </c>
      <c r="MS78" s="164">
        <f>MAX(0,MIN(7,N('INVOCAÇÕES'!$O$1228)))</f>
        <v/>
      </c>
      <c r="MT78" s="164">
        <f>'INVOCAÇÕES'!$P$1228&amp;""</f>
        <v/>
      </c>
      <c r="MU78" s="164">
        <f>'INVOCAÇÕES'!$O$1233&amp;""</f>
        <v/>
      </c>
      <c r="MV78" s="164">
        <f>'INVOCAÇÕES'!$O$1234&amp;""</f>
        <v/>
      </c>
      <c r="MW78" s="164">
        <f>'INVOCAÇÕES'!$Q$1234&amp;""</f>
        <v/>
      </c>
      <c r="MX78" s="164">
        <f>'INVOCAÇÕES'!$P$1237&amp;""</f>
        <v/>
      </c>
      <c r="MY78" s="164">
        <f>'INVOCAÇÕES'!$P$1238&amp;""</f>
        <v/>
      </c>
      <c r="MZ78" s="164">
        <f>'INVOCAÇÕES'!$P$1239&amp;""</f>
        <v/>
      </c>
      <c r="NA78" s="164">
        <f>'INVOCAÇÕES'!$P$1240&amp;""</f>
        <v/>
      </c>
      <c r="NB78" s="164">
        <f>'INVOCAÇÕES'!$P$1241&amp;""</f>
        <v/>
      </c>
      <c r="NC78" s="164">
        <f>'INVOCAÇÕES'!$P$1242&amp;""</f>
        <v/>
      </c>
      <c r="ND78" s="164">
        <f>IF($MT78&lt;&gt;"",1,0)</f>
        <v/>
      </c>
      <c r="NE78" s="164">
        <f>INDEX($FO$2:$FO$13,$MO78)</f>
        <v/>
      </c>
      <c r="NF78" s="164">
        <f>INDEX($FP$2:$FP$13,$MO78)</f>
        <v/>
      </c>
      <c r="NG78" s="164">
        <f>INDEX($FQ$2:$FQ$13,$MO78)</f>
        <v/>
      </c>
      <c r="NH78" s="164">
        <f>INDEX($GB$2:$GB$13,$MO78)</f>
        <v/>
      </c>
      <c r="NI78" s="164">
        <f>INDEX($GC$2:$GC$13,$MO78)</f>
        <v/>
      </c>
      <c r="NJ78" s="164">
        <f>IFERROR(MATCH(SUBSTITUTE(SUBSTITUTE(SUBSTITUTE($MU78,"~","~~"),"*","~*"),"?","~?"),'DADOS_FORMAS'!$FZ$2:$FZ$21,0),0)</f>
        <v/>
      </c>
      <c r="NK78" s="164">
        <f>IFERROR(VLOOKUP(SUBSTITUTE(SUBSTITUTE(SUBSTITUTE($MX78,"~","~~"),"*","~*"),"?","~?"),'DADOS_MELHORIAS'!$AG$2:$AL$113,2,FALSE),"")</f>
        <v/>
      </c>
      <c r="NL78" s="164">
        <f>IFERROR(VLOOKUP(SUBSTITUTE(SUBSTITUTE(SUBSTITUTE($MY78,"~","~~"),"*","~*"),"?","~?"),'DADOS_MELHORIAS'!$AG$2:$AL$113,2,FALSE),"")</f>
        <v/>
      </c>
      <c r="NM78" s="164">
        <f>IFERROR(VLOOKUP(SUBSTITUTE(SUBSTITUTE(SUBSTITUTE($MZ78,"~","~~"),"*","~*"),"?","~?"),'DADOS_MELHORIAS'!$AG$2:$AL$113,2,FALSE),"")</f>
        <v/>
      </c>
      <c r="NN78" s="164">
        <f>IFERROR(VLOOKUP(SUBSTITUTE(SUBSTITUTE(SUBSTITUTE($NA78,"~","~~"),"*","~*"),"?","~?"),'DADOS_MELHORIAS'!$AG$2:$AL$113,2,FALSE),"")</f>
        <v/>
      </c>
      <c r="NO78" s="164">
        <f>IFERROR(VLOOKUP(SUBSTITUTE(SUBSTITUTE(SUBSTITUTE($MX78,"~","~~"),"*","~*"),"?","~?"),'DADOS_MELHORIAS'!$AG$2:$AL$113,3,FALSE),0)</f>
        <v/>
      </c>
      <c r="NP78" s="164">
        <f>IFERROR(VLOOKUP(SUBSTITUTE(SUBSTITUTE(SUBSTITUTE($MY78,"~","~~"),"*","~*"),"?","~?"),'DADOS_MELHORIAS'!$AG$2:$AL$113,3,FALSE),0)</f>
        <v/>
      </c>
      <c r="NQ78" s="164">
        <f>IFERROR(VLOOKUP(SUBSTITUTE(SUBSTITUTE(SUBSTITUTE($MZ78,"~","~~"),"*","~*"),"?","~?"),'DADOS_MELHORIAS'!$AG$2:$AL$113,3,FALSE),0)</f>
        <v/>
      </c>
      <c r="NR78" s="164">
        <f>IFERROR(VLOOKUP(SUBSTITUTE(SUBSTITUTE(SUBSTITUTE($NA78,"~","~~"),"*","~*"),"?","~?"),'DADOS_MELHORIAS'!$AG$2:$AL$113,3,FALSE),0)</f>
        <v/>
      </c>
      <c r="NS78" s="164">
        <f>IF($MS78=0,0,IF($NJ78=0,0,INDEX('DADOS_FORMAS'!$GB$2:$GB$21,$NJ78)))</f>
        <v/>
      </c>
      <c r="NT78" s="164">
        <f>IF(OR($NO78=0,$MS78=0),0,$NO78+3*IF(AND($NK78&lt;&gt;"",COUNTIF(INDEX($RB$2:$RJ$13,$MO78,0),$NK78)&gt;0),1,0))</f>
        <v/>
      </c>
      <c r="NU78" s="164">
        <f>IF(OR($NP78=0,$MS78=0),0,$NP78+3*IF(AND($NL78&lt;&gt;"",COUNTIF(INDEX($RB$2:$RJ$13,$MO78,0),$NL78)&gt;0),1,0))</f>
        <v/>
      </c>
      <c r="NV78" s="164">
        <f>IF(OR($NQ78=0,$MS78=0),0,$NQ78+3*IF(AND($NM78&lt;&gt;"",COUNTIF(INDEX($RB$2:$RJ$13,$MO78,0),$NM78)&gt;0),1,0))</f>
        <v/>
      </c>
      <c r="NW78" s="164">
        <f>IF(OR($NR78=0,$MS78=0),0,$NR78+3*IF(AND($NN78&lt;&gt;"",COUNTIF(INDEX($RB$2:$RJ$13,$MO78,0),$NN78)&gt;0),1,0))</f>
        <v/>
      </c>
      <c r="NX78" s="164">
        <f>IF($NJ78=0,0,IF(INDEX('DADOS_FORMAS'!$GA$2:$GA$21,$NJ78)="",0,IF((COUNTIF(INDEX($EL$2:$EP$13,$MO78,0),INDEX('DADOS_FORMAS'!$GA$2:$GA$21,$NJ78))+COUNTIF(INDEX($QV$2:$QY$13,$MO78,0),INDEX('DADOS_FORMAS'!$GA$2:$GA$21,$NJ78)))=0,1,0)))</f>
        <v/>
      </c>
      <c r="NY78" s="164">
        <f>IF(OR($NO78=0,$NK78=""),0,IF((COUNTIF(INDEX($EL$2:$EP$13,$MO78,0),$NK78)+COUNTIF(INDEX($QV$2:$QY$13,$MO78,0),$NK78))=0,1,0))</f>
        <v/>
      </c>
      <c r="NZ78" s="164">
        <f>IF(OR($NP78=0,$NL78=""),0,IF((COUNTIF(INDEX($EL$2:$EP$13,$MO78,0),$NL78)+COUNTIF(INDEX($QV$2:$QY$13,$MO78,0),$NL78))=0,1,0))</f>
        <v/>
      </c>
      <c r="OA78" s="164">
        <f>IF(OR($NQ78=0,$NM78=""),0,IF((COUNTIF(INDEX($EL$2:$EP$13,$MO78,0),$NM78)+COUNTIF(INDEX($QV$2:$QY$13,$MO78,0),$NM78))=0,1,0))</f>
        <v/>
      </c>
      <c r="OB78" s="164">
        <f>IF(OR($NR78=0,$NN78=""),0,IF((COUNTIF(INDEX($EL$2:$EP$13,$MO78,0),$NN78)+COUNTIF(INDEX($QV$2:$QY$13,$MO78,0),$NN78))=0,1,0))</f>
        <v/>
      </c>
      <c r="OC78" s="164">
        <f>IFERROR(VLOOKUP(SUBSTITUTE(SUBSTITUTE(SUBSTITUTE($MX78,"~","~~"),"*","~*"),"?","~?"),'DADOS_MELHORIAS'!$AG$2:$AL$113,4,FALSE),0)+IFERROR(VLOOKUP(SUBSTITUTE(SUBSTITUTE(SUBSTITUTE($MY78,"~","~~"),"*","~*"),"?","~?"),'DADOS_MELHORIAS'!$AG$2:$AL$113,4,FALSE),0)+IFERROR(VLOOKUP(SUBSTITUTE(SUBSTITUTE(SUBSTITUTE($MZ78,"~","~~"),"*","~*"),"?","~?"),'DADOS_MELHORIAS'!$AG$2:$AL$113,4,FALSE),0)+IFERROR(VLOOKUP(SUBSTITUTE(SUBSTITUTE(SUBSTITUTE($NA78,"~","~~"),"*","~*"),"?","~?"),'DADOS_MELHORIAS'!$AG$2:$AL$113,4,FALSE),0)</f>
        <v/>
      </c>
      <c r="OD78" s="164">
        <f>IFERROR(VLOOKUP(SUBSTITUTE(SUBSTITUTE(SUBSTITUTE($MX78,"~","~~"),"*","~*"),"?","~?"),'DADOS_MELHORIAS'!$AG$2:$AL$113,6,FALSE),0)+IFERROR(VLOOKUP(SUBSTITUTE(SUBSTITUTE(SUBSTITUTE($MY78,"~","~~"),"*","~*"),"?","~?"),'DADOS_MELHORIAS'!$AG$2:$AL$113,6,FALSE),0)+IFERROR(VLOOKUP(SUBSTITUTE(SUBSTITUTE(SUBSTITUTE($MZ78,"~","~~"),"*","~*"),"?","~?"),'DADOS_MELHORIAS'!$AG$2:$AL$113,6,FALSE),0)+IFERROR(VLOOKUP(SUBSTITUTE(SUBSTITUTE(SUBSTITUTE($NA78,"~","~~"),"*","~*"),"?","~?"),'DADOS_MELHORIAS'!$AG$2:$AL$113,6,FALSE),0)+IFERROR(N(AND(INDEX('DADOS_FORMAS'!$AO$2:$AO$21,MATCH(SUBSTITUTE(SUBSTITUTE(SUBSTITUTE($MU78,"~","~~"),"*","~*"),"?","~?"),'DADOS_FORMAS'!$AH$2:$AH$21,0))="Acerto",$OH78=1)),0)</f>
        <v/>
      </c>
      <c r="OE78" s="164">
        <f>TEXTJOIN(", ",TRUE,IF(IFERROR(VLOOKUP(SUBSTITUTE(SUBSTITUTE(SUBSTITUTE($MX78,"~","~~"),"*","~*"),"?","~?"),'DADOS_MELHORIAS'!$AG$2:$AL$113,5,FALSE),0)=1,$MX78,""),IF(IFERROR(VLOOKUP(SUBSTITUTE(SUBSTITUTE(SUBSTITUTE($MY78,"~","~~"),"*","~*"),"?","~?"),'DADOS_MELHORIAS'!$AG$2:$AL$113,5,FALSE),0)=1,$MY78,""),IF(IFERROR(VLOOKUP(SUBSTITUTE(SUBSTITUTE(SUBSTITUTE($MZ78,"~","~~"),"*","~*"),"?","~?"),'DADOS_MELHORIAS'!$AG$2:$AL$113,5,FALSE),0)=1,$MZ78,""),IF(IFERROR(VLOOKUP(SUBSTITUTE(SUBSTITUTE(SUBSTITUTE($NA78,"~","~~"),"*","~*"),"?","~?"),'DADOS_MELHORIAS'!$AG$2:$AL$113,5,FALSE),0)=1,$NA78,""))</f>
        <v/>
      </c>
      <c r="OF78" s="164">
        <f>IF($NJ78=0,0,INDEX('DADOS_FORMAS'!$GC$2:$GC$21,$NJ78))</f>
        <v/>
      </c>
      <c r="OG78" s="164">
        <f>IF($NJ78=0,0,INDEX('DADOS_FORMAS'!$GD$2:$GD$21,$NJ78))</f>
        <v/>
      </c>
      <c r="OH78" s="164">
        <f>IF($NJ78=0,0,INDEX('DADOS_FORMAS'!$GF$2:$GF$21,$NJ78))</f>
        <v/>
      </c>
      <c r="OI78" s="164">
        <f>IFERROR(VLOOKUP(SUBSTITUTE(SUBSTITUTE(SUBSTITUTE($NB78,"~","~~"),"*","~*"),"?","~?"),'DADOS_RESTRICOES'!$M$2:$Q$54,3,FALSE),0)</f>
        <v/>
      </c>
      <c r="OJ78" s="164">
        <f>IFERROR(VLOOKUP(SUBSTITUTE(SUBSTITUTE(SUBSTITUTE($NC78,"~","~~"),"*","~*"),"?","~?"),'DADOS_RESTRICOES'!$M$2:$Q$54,3,FALSE),0)</f>
        <v/>
      </c>
      <c r="OK78" s="164">
        <f>IFERROR(VLOOKUP(SUBSTITUTE(SUBSTITUTE(SUBSTITUTE($NB78,"~","~~"),"*","~*"),"?","~?"),'DADOS_RESTRICOES'!$M$2:$Q$54,2,FALSE),"")</f>
        <v/>
      </c>
      <c r="OL78" s="164">
        <f>IFERROR(VLOOKUP(SUBSTITUTE(SUBSTITUTE(SUBSTITUTE($NC78,"~","~~"),"*","~*"),"?","~?"),'DADOS_RESTRICOES'!$M$2:$Q$54,2,FALSE),"")</f>
        <v/>
      </c>
      <c r="OM78" s="164">
        <f>COUNTIF($NS78:$NW78,1)</f>
        <v/>
      </c>
      <c r="ON78" s="164">
        <f>COUNTIF($NS78:$NW78,2)</f>
        <v/>
      </c>
      <c r="OO78" s="164">
        <f>COUNTIF($NS78:$NW78,3)</f>
        <v/>
      </c>
      <c r="OP78" s="164">
        <f>COUNTIF($NS78:$NW78,4)</f>
        <v/>
      </c>
      <c r="OQ78" s="164">
        <f>COUNTIF($NS78:$NW78,5)</f>
        <v/>
      </c>
      <c r="OR78" s="164">
        <f>COUNTIF($NS78:$NW78,6)</f>
        <v/>
      </c>
      <c r="OS78" s="164">
        <f>COUNTIF($OI78:$OJ78,1)+IF(IFERROR(INDEX('DADOS_FORMAS'!$AS$2:$AS$21,MATCH(SUBSTITUTE(SUBSTITUTE(SUBSTITUTE($MU78,"~","~~"),"*","~*"),"?","~?"),'DADOS_FORMAS'!$AH$2:$AH$21,0)),"")="",0,IFERROR(N(VLOOKUP(SUBSTITUTE(SUBSTITUTE(SUBSTITUTE(IFERROR(INDEX('DADOS_FORMAS'!$AS$2:$AS$21,MATCH(SUBSTITUTE(SUBSTITUTE(SUBSTITUTE($MU78,"~","~~"),"*","~*"),"?","~?"),'DADOS_FORMAS'!$AH$2:$AH$21,0)),""),"~","~~"),"*","~*"),"?","~?"),'DADOS_RESTRICOES'!$M$2:$Q$54,3,FALSE)=1),0))</f>
        <v/>
      </c>
      <c r="OT78" s="164">
        <f>COUNTIF($OI78:$OJ78,2)+IF(IFERROR(INDEX('DADOS_FORMAS'!$AS$2:$AS$21,MATCH(SUBSTITUTE(SUBSTITUTE(SUBSTITUTE($MU78,"~","~~"),"*","~*"),"?","~?"),'DADOS_FORMAS'!$AH$2:$AH$21,0)),"")="",0,IFERROR(N(VLOOKUP(SUBSTITUTE(SUBSTITUTE(SUBSTITUTE(IFERROR(INDEX('DADOS_FORMAS'!$AS$2:$AS$21,MATCH(SUBSTITUTE(SUBSTITUTE(SUBSTITUTE($MU78,"~","~~"),"*","~*"),"?","~?"),'DADOS_FORMAS'!$AH$2:$AH$21,0)),""),"~","~~"),"*","~*"),"?","~?"),'DADOS_RESTRICOES'!$M$2:$Q$54,3,FALSE)=2),0))</f>
        <v/>
      </c>
      <c r="OU78" s="164">
        <f>COUNTIF($MX78:$NA78,"?*")</f>
        <v/>
      </c>
      <c r="OV78" s="164">
        <f>COUNTIF($NB78:$NC78,"?*")+$OF78</f>
        <v/>
      </c>
      <c r="OW78" s="164">
        <f>IF($MS78=0,0,SUMPRODUCT($OM78:$OR78,INDEX($I$2:$N$8,MAX(1,$MS78),0)))</f>
        <v/>
      </c>
      <c r="OX78" s="164">
        <f>IF($MS78=0,0,$OS78*CEILING($MS78/2,1)+$OT78*$MS78)</f>
        <v/>
      </c>
      <c r="OY78" s="164">
        <f>MIN(2*$MS78,$OX78)</f>
        <v/>
      </c>
      <c r="OZ78" s="164">
        <f>MIN($OY78,$OW78-IF($NS78=0,0,INDEX($I$2:$N$8,MAX(1,$MS78),$NS78)))</f>
        <v/>
      </c>
      <c r="PA78" s="164">
        <f>$OY78-$OZ78</f>
        <v/>
      </c>
      <c r="PB78" s="164">
        <f>IF($MS78=0,0,INDEX($P$2:$P$8,MAX(1,$MS78)))</f>
        <v/>
      </c>
      <c r="PC78" s="164">
        <f>$PB78-$OW78+$OZ78</f>
        <v/>
      </c>
      <c r="PD78" s="164">
        <f>IF($MS78=0,MAX(0,$NG78-IF(AND($OU78&gt;0,COUNTIF($NB78:$NC78,"?*")=0),1,0)),MAX(0,$PC78))</f>
        <v/>
      </c>
      <c r="PE78" s="164">
        <f>IF($MS78=0,0,(IF(COUNTIF($RK78:$RN78,"Salto")&gt;0,1,0)+IF(COUNTIF($RK78:$RN78,"Queima")&gt;0,1,0)+IF(COUNTIF($RK78:$RN78,"Estilhaço")&gt;0,1,0))*FLOOR($PD78/2,1))</f>
        <v/>
      </c>
      <c r="PF78" s="164">
        <f>MAX(0,2-SUMPRODUCT($OM78:$OR78,$I$2:$N$2)+MIN(2,$OS78*1+$OT78*1,SUMPRODUCT($OM78:$OR78,$I$2:$N$2)-IF($NS78=0,0,INDEX($I$2:$N$2,1,$NS78))))</f>
        <v/>
      </c>
      <c r="PG78" s="164">
        <f>MAX(0,4-SUMPRODUCT($OM78:$OR78,$I$3:$N$3)+MIN(4,$OS78*1+$OT78*2,SUMPRODUCT($OM78:$OR78,$I$3:$N$3)-IF($NS78=0,0,INDEX($I$3:$N$3,1,$NS78))))</f>
        <v/>
      </c>
      <c r="PH78" s="164">
        <f>MAX(0,6-SUMPRODUCT($OM78:$OR78,$I$4:$N$4)+MIN(6,$OS78*2+$OT78*3,SUMPRODUCT($OM78:$OR78,$I$4:$N$4)-IF($NS78=0,0,INDEX($I$4:$N$4,1,$NS78))))</f>
        <v/>
      </c>
      <c r="PI78" s="164">
        <f>MAX(0,9-SUMPRODUCT($OM78:$OR78,$I$5:$N$5)+MIN(8,$OS78*2+$OT78*4,SUMPRODUCT($OM78:$OR78,$I$5:$N$5)-IF($NS78=0,0,INDEX($I$5:$N$5,1,$NS78))))</f>
        <v/>
      </c>
      <c r="PJ78" s="164">
        <f>MAX(0,11-SUMPRODUCT($OM78:$OR78,$I$6:$N$6)+MIN(10,$OS78*3+$OT78*5,SUMPRODUCT($OM78:$OR78,$I$6:$N$6)-IF($NS78=0,0,INDEX($I$6:$N$6,1,$NS78))))</f>
        <v/>
      </c>
      <c r="PK78" s="164">
        <f>MAX(0,13-SUMPRODUCT($OM78:$OR78,$I$7:$N$7)+MIN(12,$OS78*3+$OT78*6,SUMPRODUCT($OM78:$OR78,$I$7:$N$7)-IF($NS78=0,0,INDEX($I$7:$N$7,1,$NS78))))</f>
        <v/>
      </c>
      <c r="PL78" s="164">
        <f>MAX(0,16-SUMPRODUCT($OM78:$OR78,$I$8:$N$8)+MIN(14,$OS78*4+$OT78*7,SUMPRODUCT($OM78:$OR78,$I$8:$N$8)-IF($NS78=0,0,INDEX($I$8:$N$8,1,$NS78))))</f>
        <v/>
      </c>
      <c r="PM78" s="164">
        <f>IF($OG78=2,3*$PF78&amp;" de vida temp.",IF($OG78=3,"sem dano",IF($PF78=0,IF($OG78=1,"sem cura","sem dano"),IF($OG78=1,"cura ","")&amp;$PF78&amp;"d8")))</f>
        <v/>
      </c>
      <c r="PN78" s="164">
        <f>IF($OG78=2,3*$PG78&amp;" de vida temp.",IF($OG78=3,"sem dano",IF($PG78=0,IF($OG78=1,"sem cura","sem dano"),IF($OG78=1,"cura ","")&amp;$PG78&amp;"d8")))</f>
        <v/>
      </c>
      <c r="PO78" s="164">
        <f>IF($OG78=2,3*$PH78&amp;" de vida temp.",IF($OG78=3,"sem dano",IF($PH78=0,IF($OG78=1,"sem cura","sem dano"),IF($OG78=1,"cura ","")&amp;$PH78&amp;"d8")))</f>
        <v/>
      </c>
      <c r="PP78" s="164">
        <f>IF($OG78=2,3*$PI78&amp;" de vida temp.",IF($OG78=3,"sem dano",IF($PI78=0,IF($OG78=1,"sem cura","sem dano"),IF($OG78=1,"cura ","")&amp;$PI78&amp;"d8")))</f>
        <v/>
      </c>
      <c r="PQ78" s="164">
        <f>IF($OG78=2,3*$PJ78&amp;" de vida temp.",IF($OG78=3,"sem dano",IF($PJ78=0,IF($OG78=1,"sem cura","sem dano"),IF($OG78=1,"cura ","")&amp;$PJ78&amp;"d8")))</f>
        <v/>
      </c>
      <c r="PR78" s="164">
        <f>IF($OG78=2,3*$PK78&amp;" de vida temp.",IF($OG78=3,"sem dano",IF($PK78=0,IF($OG78=1,"sem cura","sem dano"),IF($OG78=1,"cura ","")&amp;$PK78&amp;"d8")))</f>
        <v/>
      </c>
      <c r="PS78" s="164">
        <f>IF($OG78=2,3*$PL78&amp;" de vida temp.",IF($OG78=3,"sem dano",IF($PL78=0,IF($OG78=1,"sem cura","sem dano"),IF($OG78=1,"cura ","")&amp;$PL78&amp;"d8")))</f>
        <v/>
      </c>
      <c r="PT78" s="164">
        <f>IF($ND78=0,"",TEXTJOIN(" · ",TRUE,IF($ND78=0,"",TEXTJOIN(" · ",TRUE,IF($ND78=0,"",TEXTJOIN(" · ",TRUE,IF($MQ78&gt;$NE78,"Este lugar abre no nível "&amp;$MQ78,""),IF($MS78&gt;$NF78,"Classe "&amp;$MS78&amp;": o nível "&amp;$NE78&amp;" libera até a "&amp;$NF78,""),IF($NX78=1,"A Forma "&amp;$MU78&amp;" pede "&amp;INDEX('DADOS_FORMAS'!$GA$2:$GA$21,$NJ78)&amp;" aberta",""),IF(AND($MS78=0,$NJ78&gt;0,IF($NJ78=0,0,INDEX('DADOS_FORMAS'!$GJ$2:$GJ$21,$NJ78))=0),$MU78&amp;" não existe na Classe 0",""),IF($NY78=1,"Família Fechada: "&amp;$MX78,""),IF($NZ78=1,"Família Fechada: "&amp;$MY78,""),IF($OA78=1,"Família Fechada: "&amp;$MZ78,""),IF($OB78=1,"Família Fechada: "&amp;$NA78,""),IF(AND($MS78&gt;0,$OU78&gt;INDEX($O$2:$O$8,MAX(1,$MS78))),$OU78&amp;" Melhorias: a Classe "&amp;$MS78&amp;" aceita "&amp;INDEX($O$2:$O$8,MAX(1,$MS78)),""),IF(AND($MS78=0,$OU78&gt;1),"A básica aceita uma Melhoria",""),IF(AND($MS78=0,COUNTIF($NO78:$NR78,"&gt;1")&gt;0),"A básica só aceita Melhoria Leve",""),IF(AND($MS78&gt;0,$OV78&gt;2),$OV78&amp;" Restrições"&amp;IF($OF78=1,", contando a que a Forma "&amp;$MU78&amp;" já traz","")&amp;": o limite é 2",""),IF(AND($MS78=0,COUNTIF($NB78:$NC78,"?*")&gt;1),"A básica aceita uma Restrição Leve",""),IF(AND($MS78=0,COUNTIF($OI78:$OJ78,2)&gt;0),"A básica só aceita Restrição Leve",""),IF(AND($MS78&gt;0,$PC78&lt;0),"Orçamento estourado: faltam "&amp;(-$PC78)&amp;IF($PC78&lt;-1," pontos"," ponto"),""),IF(IFERROR(VLOOKUP(SUBSTITUTE(SUBSTITUTE(SUBSTITUTE($NB78,"~","~~"),"*","~*"),"?","~?"),'DADOS_RESTRICOES'!$M$2:$Q$54,4,FALSE),0)+IFERROR(VLOOKUP(SUBSTITUTE(SUBSTITUTE(SUBSTITUTE($NC78,"~","~~"),"*","~*"),"?","~?"),'DADOS_RESTRICOES'!$M$2:$Q$54,4,FALSE),0)&gt;1,$OK78&amp;" e "&amp;$OL78&amp;" são as duas de frequência",""),IF(AND((COUNTIF($RK78:$RN78,"Rápido")+COUNTIF($OK78:$OL78,"Rápido"))&gt;0,(COUNTIF($MX78:$NA78,"Atrasar")+COUNTIF($OK78:$OL78,"Atrasar"))&gt;0),"Rápido não entra com Atrasar",""),IF(AND((COUNTIF($RK78:$RN78,"Reação")+COUNTIF($OK78:$OL78,"Reação"))&gt;0,(COUNTIF($RK78:$RN78,"Rápido")+COUNTIF($OK78:$OL78,"Rápido"))&gt;0),"Reação não entra com Rápido",""),IF(AND((COUNTIF($RK78:$RN78,"Reação")+COUNTIF($OK78:$OL78,"Reação"))&gt;0,(COUNTIF($RK78:$RN78,"Armado")+COUNTIF($OK78:$OL78,"Armado"))&gt;0),"Reação não entra com Armado",""),IF(AND((COUNTIF($RK78:$RN78,"Reação")+COUNTIF($OK78:$OL78,"Reação"))&gt;0,(COUNTIF($MX78:$NA78,"Atrasar")+COUNTIF($OK78:$OL78,"Atrasar"))&gt;0),"Reação não entra com Atrasar",""),IF(AND((COUNTIF($RK78:$RN78,"Reação")+COUNTIF($OK78:$OL78,"Reação"))&gt;0,(COUNTIF($MX78:$NA78,"Parado")+COUNTIF($OK78:$OL78,"Parado"))&gt;0),"Reação não entra com Parado",""),IF(AND((COUNTIF($MX78:$NA78,"Atrasar")+COUNTIF($OK78:$OL78,"Atrasar"))&gt;0,(COUNTIF($MX78:$NA78,"Parado")+COUNTIF($OK78:$OL78,"Parado"))&gt;0),"Atrasar não entra com Parado",""),IF(AND((COUNTIF($RK78:$RN78,"Armado")+COUNTIF($OK78:$OL78,"Armado"))&gt;0,(COUNTIF($MX78:$NA78,"Carregar")+COUNTIF($OK78:$OL78,"Carregar"))&gt;0),"Armado não entra com Carregar",""),IF(AND(COUNTIF($OK78:$OL78,"Corpo a Corpo")&gt;0,$OF78=0,OR($RO78="Cone",$RO78="Linha")),"Corpo a Corpo não entra em "&amp;$MU78,""),IF(AND(COUNTIF($OK78:$OL78,"Corpo a Corpo")&gt;0,$RP78="Corpo a Corpo"),"A Forma "&amp;$MU78&amp;" já traz o Corpo a Corpo",""),IF(AND(COUNTIF($OK78:$OL78,"Tudo ou Nada")&gt;0,$OH78=0),"Tudo ou Nada só entra em habilidade de Teste de Resistência",""),IF(AND(COUNTIF($RK78:$RN78,"Inescapável")&gt;0,OR($OU78&gt;1,$OV78&gt;0)),"Inescapável não aceita outra peça",""),IF(AND($MS78&gt;0,$PD78*IF(COUNTIF($RK78:$RN78,"Remate")&gt;0,1.25,1)+$PE78&gt;4*$MS78),($PD78*IF(COUNTIF($RK78:$RN78,"Remate")&gt;0,1.25,1)+$PE78)&amp;" dados somando repetições"&amp;IF(COUNTIF($RK78:$RN78,"Remate")&gt;0," e o Remate","")&amp;": o teto da Classe "&amp;$MS78&amp;" é "&amp;4*$MS78,""))),IF(AND($MX78&lt;&gt;"",COUNTIF('DADOS_MELHORIAS'!$O$2:$O$113,SUBSTITUTE(SUBSTITUTE(SUBSTITUTE($MX78,"~","~~"),"*","~*"),"?","~?"))=0),"Melhoria não cadastrada ou com erro: "&amp;$MX78,""),IF(AND($MY78&lt;&gt;"",COUNTIF('DADOS_MELHORIAS'!$O$2:$O$113,SUBSTITUTE(SUBSTITUTE(SUBSTITUTE($MY78,"~","~~"),"*","~*"),"?","~?"))=0),"Melhoria não cadastrada ou com erro: "&amp;$MY78,""),IF(AND($MZ78&lt;&gt;"",COUNTIF('DADOS_MELHORIAS'!$O$2:$O$113,SUBSTITUTE(SUBSTITUTE(SUBSTITUTE($MZ78,"~","~~"),"*","~*"),"?","~?"))=0),"Melhoria não cadastrada ou com erro: "&amp;$MZ78,""),IF(AND($NA78&lt;&gt;"",COUNTIF('DADOS_MELHORIAS'!$O$2:$O$113,SUBSTITUTE(SUBSTITUTE(SUBSTITUTE($NA78,"~","~~"),"*","~*"),"?","~?"))=0),"Melhoria não cadastrada ou com erro: "&amp;$NA78,""),IF(AND($NB78&lt;&gt;"",COUNTIF('DADOS_RESTRICOES'!$M$2:$M$54,SUBSTITUTE(SUBSTITUTE(SUBSTITUTE($NB78,"~","~~"),"*","~*"),"?","~?"))=0),"Restrição não cadastrada ou com erro: "&amp;$NB78,""),IF(AND($NC78&lt;&gt;"",COUNTIF('DADOS_RESTRICOES'!$M$2:$M$54,SUBSTITUTE(SUBSTITUTE(SUBSTITUTE($NC78,"~","~~"),"*","~*"),"?","~?"))=0),"Restrição não cadastrada ou com erro: "&amp;$NC78,""))),IF(AND($MU78&lt;&gt;"",COUNTIF('DADOS_FORMAS'!$AH$2:$AH$21,SUBSTITUTE(SUBSTITUTE(SUBSTITUTE($MU78,"~","~~"),"*","~*"),"?","~?"))=0),"Forma não cadastrada ou com erro: "&amp;$MU78,""),IF(AND(IFERROR(INDEX('DADOS_FORMAS'!$AS$2:$AS$21,MATCH(SUBSTITUTE(SUBSTITUTE(SUBSTITUTE($MU78,"~","~~"),"*","~*"),"?","~?"),'DADOS_FORMAS'!$AH$2:$AH$21,0)),"")&lt;&gt;"",OR(IFERROR(VLOOKUP(SUBSTITUTE(SUBSTITUTE(SUBSTITUTE(IFERROR(INDEX('DADOS_FORMAS'!$AS$2:$AS$21,MATCH(SUBSTITUTE(SUBSTITUTE(SUBSTITUTE($MU78,"~","~~"),"*","~*"),"?","~?"),'DADOS_FORMAS'!$AH$2:$AH$21,0)),""),"~","~~"),"*","~*"),"?","~?"),'DADOS_RESTRICOES'!$M$2:$Q$54,2,FALSE),"")=$OK78,IFERROR(VLOOKUP(SUBSTITUTE(SUBSTITUTE(SUBSTITUTE(IFERROR(INDEX('DADOS_FORMAS'!$AS$2:$AS$21,MATCH(SUBSTITUTE(SUBSTITUTE(SUBSTITUTE($MU78,"~","~~"),"*","~*"),"?","~?"),'DADOS_FORMAS'!$AH$2:$AH$21,0)),""),"~","~~"),"*","~*"),"?","~?"),'DADOS_RESTRICOES'!$M$2:$Q$54,2,FALSE),"")=$OL78)),"Restrição repetida, contando a embutida",""),IF(IF(IFERROR(INDEX('DADOS_FORMAS'!$AS$2:$AS$21,MATCH(SUBSTITUTE(SUBSTITUTE(SUBSTITUTE($MU78,"~","~~"),"*","~*"),"?","~?"),'DADOS_FORMAS'!$AH$2:$AH$21,0)),"")="",0,IFERROR(N(VLOOKUP(SUBSTITUTE(SUBSTITUTE(SUBSTITUTE(IFERROR(INDEX('DADOS_FORMAS'!$AS$2:$AS$21,MATCH(SUBSTITUTE(SUBSTITUTE(SUBSTITUTE($MU78,"~","~~"),"*","~*"),"?","~?"),'DADOS_FORMAS'!$AH$2:$AH$21,0)),""),"~","~~"),"*","~*"),"?","~?"),'DADOS_RESTRICOES'!$M$2:$Q$54,4,FALSE)=1),0))+IF($NB78="",0,IFERROR(N(VLOOKUP(SUBSTITUTE(SUBSTITUTE(SUBSTITUTE($NB78,"~","~~"),"*","~*"),"?","~?"),'DADOS_RESTRICOES'!$M$2:$Q$54,4,FALSE)=1),0))+IF($NC78="",0,IFERROR(N(VLOOKUP(SUBSTITUTE(SUBSTITUTE(SUBSTITUTE($NC78,"~","~~"),"*","~*"),"?","~?"),'DADOS_RESTRICOES'!$M$2:$Q$54,4,FALSE)=1),0))&gt;1,"Duas Restrições de frequência, contando a embutida",""),IF(AND(IFERROR(VLOOKUP(SUBSTITUTE(SUBSTITUTE(SUBSTITUTE(IFERROR(INDEX('DADOS_FORMAS'!$AS$2:$AS$21,MATCH(SUBSTITUTE(SUBSTITUTE(SUBSTITUTE($MU78,"~","~~"),"*","~*"),"?","~?"),'DADOS_FORMAS'!$AH$2:$AH$21,0)),""),"~","~~"),"*","~*"),"?","~?"),'DADOS_RESTRICOES'!$M$2:$Q$54,2,FALSE),"")="Tudo ou Nada",$OH78=0),"Tudo ou Nada exige TR",""),IF(AND(IFERROR(VLOOKUP(SUBSTITUTE(SUBSTITUTE(SUBSTITUTE(IFERROR(INDEX('DADOS_FORMAS'!$AS$2:$AS$21,MATCH(SUBSTITUTE(SUBSTITUTE(SUBSTITUTE($MU78,"~","~~"),"*","~*"),"?","~?"),'DADOS_FORMAS'!$AH$2:$AH$21,0)),""),"~","~~"),"*","~*"),"?","~?"),'DADOS_RESTRICOES'!$M$2:$Q$54,2,FALSE),"")="Corpo a Corpo",OR($RO78="Cone",$RO78="Linha")),"Corpo a Corpo não entra em Cone/Linha","")))</f>
        <v/>
      </c>
      <c r="PU78" s="164">
        <f>IF($PT78="",0,(LEN($PT78)-LEN(SUBSTITUTE($PT78," · ","")))/3+1)</f>
        <v/>
      </c>
      <c r="PV78" s="164">
        <f>IF($ND78=0,"",TEXTJOIN(" · ",TRUE,IF($OX78&gt;2*$MS78,"A devolução parou no teto de "&amp;2*$MS78,""),IF($PA78&gt;0,"Devolução perdida: "&amp;$PA78&amp;IF($PA78&gt;1," pontos"," ponto")&amp;" sem Melhoria para pagar",""),IF(AND($OC78&gt;0,AND($MS78&gt;0,$OG78=0),$PD78=0),"Controle sem dano: uma rodada a mais e CD +2",""),IF(AND($OC78&gt;0,AND($MS78&gt;0,$OG78=0),$PD78&gt;0,$PD78&lt;=$MS78),"Controle com saldo até a Classe: uma rodada a mais",""),IF(AND($MS78&gt;0,$OE78&lt;&gt;""),"Efeito de "&amp;$OE78&amp;" pela Classe "&amp;MAX(1,$MS78-1),"")))</f>
        <v/>
      </c>
      <c r="PW78" s="164">
        <f>IF($PV78="",0,(LEN($PV78)-LEN(SUBSTITUTE($PV78," · ","")))/3+1)</f>
        <v/>
      </c>
      <c r="PX78" s="164">
        <f>IF($ND78=0,IF($OU78+COUNTIF($NB78:$NC78,"?*")&gt;0,"Dê um nome",""),IF($PU78&gt;0,"⚠ "&amp;$PU78&amp;IF($PU78&gt;1," erros"," erro"),IF($PW78&gt;0,"! "&amp;$PW78&amp;IF($PW78&gt;1," avisos"," aviso"),"Na regra")))</f>
        <v/>
      </c>
      <c r="PY78" s="164">
        <f>IF($ND78=0,"",IF($PU78+$PW78=0,"Dentro das regras que a ficha confere",$PT78&amp;IF(AND($PU78&gt;0,$PW78&gt;0)," · ","")&amp;$PV78))</f>
        <v/>
      </c>
      <c r="PZ78" s="164">
        <f>IF($MQ78&gt;$NE78,$MR78&amp;" · ABRE NO NÍVEL "&amp;$MQ78,$MR78)</f>
        <v/>
      </c>
      <c r="QA78" s="164">
        <f>IF($ND78=0,"",IF($MS78=0,"Sem PE",3*$MS78&amp;" PE"))</f>
        <v/>
      </c>
      <c r="QB78" s="164">
        <f>IF($ND78=0,"",IF($MS78=0,"A atuação básica dela",IF(COUNTIF($RQ78:$RS78,"Atrasar")&gt;0,"Sua Ação Completa",IF(COUNTIF($RK78:$RN78,"Rápido")&gt;0,"Sua Bônus",IF(COUNTIF($RK78:$RN78,"Reação")&gt;0,"Sua Reação","Sua Padrão")))&amp;" + a básica dela"&amp;IF(COUNTIF($RK78:$RN78,"Reação")&gt;0," e a coletiva","")&amp;IF(COUNTIF($RQ78:$RS78,"Carregar")&gt;0," · em dois turnos","")))</f>
        <v/>
      </c>
      <c r="QC78" s="164">
        <f>IF($MW78&lt;&gt;"",$MW78,IF($NJ78=0,"",INDEX('DADOS_FORMAS'!$GE$2:$GE$21,$NJ78)))</f>
        <v/>
      </c>
      <c r="QD78" s="164">
        <f>IF(OR($ND78=0,$NJ78=0),"",IF(COUNTIF($RK78:$RN78,"Inescapável")&gt;0,"Automático",IF($QC78="Ataque",IF($NH78="","Ataque","Ataque "&amp;IF(($NH78+2*IF(COUNTIF($RK78:$RN78,"Precisão")&gt;0,1,0))&gt;=0,"+","−")&amp;ABS(($NH78+2*IF(COUNTIF($RK78:$RN78,"Precisão")&gt;0,1,0))))&amp;IF($OD78&gt;0," · TR"&amp;IF($NI78="",""," CD "&amp;$NI78),""),IF(LEFT($QC78,2)="TR",$QC78&amp;IF($NI78="",""," · CD "&amp;$NI78)&amp;IF(COUNTIF($RK78:$RN78,"Certeiro")&gt;0," · metade",""),"Sem rolagem"))))</f>
        <v/>
      </c>
      <c r="QE78" s="164">
        <f>IF(OR($ND78=0,$NJ78=0),"",IF($MS78=0,IF(OR($OG78&gt;=1,$PD78=0),"Sem dano",$PD78&amp;"d6"&amp;IF($MV78="",""," "&amp;$MV78)),IF(OR($OG78&gt;=1,$PD78=0),UPPER(LEFT(INDEX($PM78:$PS78,1,MAX(1,$MS78)),1))&amp;MID(INDEX($PM78:$PS78,1,MAX(1,$MS78)),2,99),UPPER(LEFT(INDEX($PM78:$PS78,1,MAX(1,$MS78)),1))&amp;MID(INDEX($PM78:$PS78,1,MAX(1,$MS78)),2,99)&amp;IF($MV78="",""," "&amp;$MV78)&amp;IF($PE78&gt;0," · +"&amp;$PE78&amp;"d8",""))))</f>
        <v/>
      </c>
      <c r="QF78" s="164">
        <f>COUNTIF($RK78:$RN78,"Longe")+3*COUNTIF($RK78:$RN78,"Muito Longe")</f>
        <v/>
      </c>
      <c r="QG78" s="164">
        <f>COUNTIF($RK78:$RN78,"Maior")+3*COUNTIF($RK78:$RN78,"Muito Maior")</f>
        <v/>
      </c>
      <c r="QH78" s="164">
        <f>IF($NJ78=0,0,CHOOSE(1+INDEX('DADOS_FORMAS'!$GG$2:$GG$21,$NJ78),0,$QF78,$QG78,$QF78+$QG78))</f>
        <v/>
      </c>
      <c r="QI78" s="164">
        <f>IF($NJ78=0,0,CHOOSE(1+INDEX('DADOS_FORMAS'!$GH$2:$GH$21,$NJ78),0,$QF78,$QG78,$QF78+$QG78))</f>
        <v/>
      </c>
      <c r="QJ78" s="164">
        <f>IF(OR($ND78=0,$NJ78=0),"",INDEX('DADOS_FORMAS'!$HU$2:$HZ$81,($NJ78-1)*4+IF($MS78=0,1,IF($MS78&lt;=5,2,IF($MS78=6,3,4))),1+MIN(5,$QH78))&amp;INDEX('DADOS_FORMAS'!$IA$2:$IF$81,($NJ78-1)*4+IF($MS78=0,1,IF($MS78&lt;=5,2,IF($MS78=6,3,4))),1+MIN(5,$QI78))&amp;IF(INDEX('DADOS_FORMAS'!$GI$2:$GI$21,$NJ78)=1,IF(COUNTIF($RK78:$RN78,"Mais Um")&gt;0," · +"&amp;COUNTIF($RK78:$RN78,"Mais Um")&amp;IF(COUNTIF($RK78:$RN78,"Mais Um")&gt;1," alvos"," alvo"),"")&amp;IF(COUNTIF($RK78:$RN78,"Rajada")&gt;0,IF($MS78=0," · 1 tiro"," · "&amp;(MAX(1,$MS78-1)+1)&amp;" tiros"),""),""))</f>
        <v/>
      </c>
      <c r="QK78" s="164">
        <f>IF($ND78=0,"",IF($MS78=0,$NG78&amp;"d6"&amp;IF($OU78&gt;0," − 1 = "&amp;$PD78&amp;"d6"," da básica do nível "&amp;$NE78),$PB78&amp;" − "&amp;$OW78&amp;" + "&amp;$OZ78&amp;" = "&amp;$PC78&amp;" · teto "&amp;4*$MS78&amp;"d8"&amp;IF($OF78=1," · a Forma devolve "&amp;$MS78,"")&amp;IF($PA78&gt;0," · perde "&amp;$PA78,"")))</f>
        <v/>
      </c>
      <c r="QL78" s="164">
        <f>IF($ND78=0,"",IF($MS78=0,"A básica não amplia: os dados dela sobem com o nível",IF($MS78&gt;=$NF78,"Já está na maior Classe que o nível liberou",TEXTJOIN(" · ",TRUE,IF(AND(2&gt;$MS78,2&lt;=$NF78),"2 → "&amp;$PN78&amp;", 6 PE",""),IF(AND(3&gt;$MS78,3&lt;=$NF78),"3 → "&amp;$PO78&amp;", 9 PE",""),IF(AND(4&gt;$MS78,4&lt;=$NF78),"4 → "&amp;$PP78&amp;", 12 PE",""),IF(AND(5&gt;$MS78,5&lt;=$NF78),"5 → "&amp;$PQ78&amp;", 15 PE",""),IF(AND(6&gt;$MS78,6&lt;=$NF78),"6 → "&amp;$PR78&amp;", 18 PE",""),IF(AND(7&gt;$MS78,7&lt;=$NF78),"7 → "&amp;$PS78&amp;", 21 PE","")))))</f>
        <v/>
      </c>
      <c r="QM78" s="164">
        <f>IF(OR($ND78=0,$NO78=0),"",IF($MS78=0,"−1 dado","−"&amp;INDEX($I$2:$N$8,MAX(1,$MS78),MAX(1,$NT78))&amp;" · "&amp;CHOOSE(MAX(1,$NT78),"Leve","Média","Pesada","Leve · Livre","Média · Livre","Pesada · Livre")))</f>
        <v/>
      </c>
      <c r="QN78" s="164">
        <f>IF(OR($ND78=0,$NP78=0),"",IF($MS78=0,"−1 dado","−"&amp;INDEX($I$2:$N$8,MAX(1,$MS78),MAX(1,$NU78))&amp;" · "&amp;CHOOSE(MAX(1,$NU78),"Leve","Média","Pesada","Leve · Livre","Média · Livre","Pesada · Livre")))</f>
        <v/>
      </c>
      <c r="QO78" s="164">
        <f>IF(OR($ND78=0,$NQ78=0),"",IF($MS78=0,"−1 dado","−"&amp;INDEX($I$2:$N$8,MAX(1,$MS78),MAX(1,$NV78))&amp;" · "&amp;CHOOSE(MAX(1,$NV78),"Leve","Média","Pesada","Leve · Livre","Média · Livre","Pesada · Livre")))</f>
        <v/>
      </c>
      <c r="QP78" s="164">
        <f>IF(OR($ND78=0,$NR78=0),"",IF($MS78=0,"−1 dado","−"&amp;INDEX($I$2:$N$8,MAX(1,$MS78),MAX(1,$NW78))&amp;" · "&amp;CHOOSE(MAX(1,$NW78),"Leve","Média","Pesada","Leve · Livre","Média · Livre","Pesada · Livre")))</f>
        <v/>
      </c>
      <c r="QQ78" s="164">
        <f>IF(OR($ND78=0,$NB78=""),"",IF($MS78=0,"não devolve","+"&amp;IF($OI78=1,CEILING($MS78/2,1),$MS78)))</f>
        <v/>
      </c>
      <c r="QR78" s="164">
        <f>IF(OR($ND78=0,$NC78=""),"",IF($MS78=0,"não devolve","+"&amp;IF($OJ78=1,CEILING($MS78/2,1),$MS78)))</f>
        <v/>
      </c>
      <c r="RK78">
        <f>IF($MX78="","",IFERROR(VLOOKUP(SUBSTITUTE(SUBSTITUTE(SUBSTITUTE($MX78,"~","~~"),"*","~*"),"?","~?"),'DADOS_MELHORIAS'!$O$2:$X$113,10,FALSE),$MX78))</f>
        <v/>
      </c>
      <c r="RL78">
        <f>IF($MY78="","",IFERROR(VLOOKUP(SUBSTITUTE(SUBSTITUTE(SUBSTITUTE($MY78,"~","~~"),"*","~*"),"?","~?"),'DADOS_MELHORIAS'!$O$2:$X$113,10,FALSE),$MY78))</f>
        <v/>
      </c>
      <c r="RM78">
        <f>IF($MZ78="","",IFERROR(VLOOKUP(SUBSTITUTE(SUBSTITUTE(SUBSTITUTE($MZ78,"~","~~"),"*","~*"),"?","~?"),'DADOS_MELHORIAS'!$O$2:$X$113,10,FALSE),$MZ78))</f>
        <v/>
      </c>
      <c r="RN78">
        <f>IF($NA78="","",IFERROR(VLOOKUP(SUBSTITUTE(SUBSTITUTE(SUBSTITUTE($NA78,"~","~~"),"*","~*"),"?","~?"),'DADOS_MELHORIAS'!$O$2:$X$113,10,FALSE),$NA78))</f>
        <v/>
      </c>
      <c r="RO78">
        <f>IFERROR(INDEX('DADOS_FORMAS'!$BJ$2:$BJ$21,MATCH(SUBSTITUTE(SUBSTITUTE(SUBSTITUTE($MU78,"~","~~"),"*","~*"),"?","~?"),'DADOS_FORMAS'!$AH$2:$AH$21,0)),"")</f>
        <v/>
      </c>
      <c r="RP78">
        <f>IFERROR(VLOOKUP(SUBSTITUTE(SUBSTITUTE(SUBSTITUTE(IFERROR(INDEX('DADOS_FORMAS'!$AS$2:$AS$21,MATCH(SUBSTITUTE(SUBSTITUTE(SUBSTITUTE($MU78,"~","~~"),"*","~*"),"?","~?"),'DADOS_FORMAS'!$AH$2:$AH$21,0)),""),"~","~~"),"*","~*"),"?","~?"),'DADOS_RESTRICOES'!$M$2:$Q$54,2,FALSE),"")</f>
        <v/>
      </c>
      <c r="RQ78">
        <f>$OK78</f>
        <v/>
      </c>
      <c r="RR78">
        <f>$OL78</f>
        <v/>
      </c>
      <c r="RS78">
        <f>$RP78</f>
        <v/>
      </c>
    </row>
    <row r="79">
      <c r="AV79" s="162" t="inlineStr">
        <is>
          <t>Junto</t>
        </is>
      </c>
      <c r="AW79" s="162" t="inlineStr">
        <is>
          <t>Amparo</t>
        </is>
      </c>
      <c r="AX79" s="164" t="n">
        <v>1</v>
      </c>
      <c r="AY79" s="164" t="n">
        <v>0</v>
      </c>
      <c r="AZ79" s="164" t="n">
        <v>0</v>
      </c>
      <c r="BA79" s="164" t="n">
        <v>0</v>
      </c>
      <c r="JT79" s="164">
        <f>IF(OR($AW79="",(COUNTIF($EL$2:$EP$2,$AW79)+COUNTIF($QV$2:$QY$2,$AW79))&gt;0),$AV79,"")</f>
        <v/>
      </c>
      <c r="JU79" s="164">
        <f>IF(AND($AX79=1,OR($AW79="",(COUNTIF($EL$2:$EP$2,$AW79)+COUNTIF($QV$2:$QY$2,$AW79))&gt;0)),$AV79,"")</f>
        <v/>
      </c>
      <c r="JZ79" s="164">
        <f>IF(OR($AW79="",(COUNTIF($EL$3:$EP$3,$AW79)+COUNTIF($QV$3:$QY$3,$AW79))&gt;0),$AV79,"")</f>
        <v/>
      </c>
      <c r="KA79" s="164">
        <f>IF(AND($AX79=1,OR($AW79="",(COUNTIF($EL$3:$EP$3,$AW79)+COUNTIF($QV$3:$QY$3,$AW79))&gt;0)),$AV79,"")</f>
        <v/>
      </c>
      <c r="KF79" s="164">
        <f>IF(OR($AW79="",(COUNTIF($EL$4:$EP$4,$AW79)+COUNTIF($QV$4:$QY$4,$AW79))&gt;0),$AV79,"")</f>
        <v/>
      </c>
      <c r="KG79" s="164">
        <f>IF(AND($AX79=1,OR($AW79="",(COUNTIF($EL$4:$EP$4,$AW79)+COUNTIF($QV$4:$QY$4,$AW79))&gt;0)),$AV79,"")</f>
        <v/>
      </c>
      <c r="KL79" s="164">
        <f>IF(OR($AW79="",(COUNTIF($EL$5:$EP$5,$AW79)+COUNTIF($QV$5:$QY$5,$AW79))&gt;0),$AV79,"")</f>
        <v/>
      </c>
      <c r="KM79" s="164">
        <f>IF(AND($AX79=1,OR($AW79="",(COUNTIF($EL$5:$EP$5,$AW79)+COUNTIF($QV$5:$QY$5,$AW79))&gt;0)),$AV79,"")</f>
        <v/>
      </c>
      <c r="KR79" s="164">
        <f>IF(OR($AW79="",(COUNTIF($EL$6:$EP$6,$AW79)+COUNTIF($QV$6:$QY$6,$AW79))&gt;0),$AV79,"")</f>
        <v/>
      </c>
      <c r="KS79" s="164">
        <f>IF(AND($AX79=1,OR($AW79="",(COUNTIF($EL$6:$EP$6,$AW79)+COUNTIF($QV$6:$QY$6,$AW79))&gt;0)),$AV79,"")</f>
        <v/>
      </c>
      <c r="KX79" s="164">
        <f>IF(OR($AW79="",(COUNTIF($EL$7:$EP$7,$AW79)+COUNTIF($QV$7:$QY$7,$AW79))&gt;0),$AV79,"")</f>
        <v/>
      </c>
      <c r="KY79" s="164">
        <f>IF(AND($AX79=1,OR($AW79="",(COUNTIF($EL$7:$EP$7,$AW79)+COUNTIF($QV$7:$QY$7,$AW79))&gt;0)),$AV79,"")</f>
        <v/>
      </c>
      <c r="LD79" s="164">
        <f>IF(OR($AW79="",(COUNTIF($EL$8:$EP$8,$AW79)+COUNTIF($QV$8:$QY$8,$AW79))&gt;0),$AV79,"")</f>
        <v/>
      </c>
      <c r="LE79" s="164">
        <f>IF(AND($AX79=1,OR($AW79="",(COUNTIF($EL$8:$EP$8,$AW79)+COUNTIF($QV$8:$QY$8,$AW79))&gt;0)),$AV79,"")</f>
        <v/>
      </c>
      <c r="LJ79" s="164">
        <f>IF(OR($AW79="",(COUNTIF($EL$9:$EP$9,$AW79)+COUNTIF($QV$9:$QY$9,$AW79))&gt;0),$AV79,"")</f>
        <v/>
      </c>
      <c r="LK79" s="164">
        <f>IF(AND($AX79=1,OR($AW79="",(COUNTIF($EL$9:$EP$9,$AW79)+COUNTIF($QV$9:$QY$9,$AW79))&gt;0)),$AV79,"")</f>
        <v/>
      </c>
      <c r="LP79" s="164">
        <f>IF(OR($AW79="",(COUNTIF($EL$10:$EP$10,$AW79)+COUNTIF($QV$10:$QY$10,$AW79))&gt;0),$AV79,"")</f>
        <v/>
      </c>
      <c r="LQ79" s="164">
        <f>IF(AND($AX79=1,OR($AW79="",(COUNTIF($EL$10:$EP$10,$AW79)+COUNTIF($QV$10:$QY$10,$AW79))&gt;0)),$AV79,"")</f>
        <v/>
      </c>
      <c r="LV79" s="164">
        <f>IF(OR($AW79="",(COUNTIF($EL$11:$EP$11,$AW79)+COUNTIF($QV$11:$QY$11,$AW79))&gt;0),$AV79,"")</f>
        <v/>
      </c>
      <c r="LW79" s="164">
        <f>IF(AND($AX79=1,OR($AW79="",(COUNTIF($EL$11:$EP$11,$AW79)+COUNTIF($QV$11:$QY$11,$AW79))&gt;0)),$AV79,"")</f>
        <v/>
      </c>
      <c r="MB79" s="164">
        <f>IF(OR($AW79="",(COUNTIF($EL$12:$EP$12,$AW79)+COUNTIF($QV$12:$QY$12,$AW79))&gt;0),$AV79,"")</f>
        <v/>
      </c>
      <c r="MC79" s="164">
        <f>IF(AND($AX79=1,OR($AW79="",(COUNTIF($EL$12:$EP$12,$AW79)+COUNTIF($QV$12:$QY$12,$AW79))&gt;0)),$AV79,"")</f>
        <v/>
      </c>
      <c r="MH79" s="164">
        <f>IF(OR($AW79="",(COUNTIF($EL$13:$EP$13,$AW79)+COUNTIF($QV$13:$QY$13,$AW79))&gt;0),$AV79,"")</f>
        <v/>
      </c>
      <c r="MI79" s="164">
        <f>IF(AND($AX79=1,OR($AW79="",(COUNTIF($EL$13:$EP$13,$AW79)+COUNTIF($QV$13:$QY$13,$AW79))&gt;0)),$AV79,"")</f>
        <v/>
      </c>
      <c r="MN79" s="162" t="inlineStr">
        <is>
          <t>Ficha 6 · Escolha da trilha 3</t>
        </is>
      </c>
      <c r="MO79" s="164" t="n">
        <v>6</v>
      </c>
      <c r="MP79" s="164" t="n">
        <v>2</v>
      </c>
      <c r="MQ79" s="164" t="n">
        <v>0</v>
      </c>
      <c r="MR79" s="162" t="inlineStr">
        <is>
          <t>ESCOLHA DA TRILHA 3</t>
        </is>
      </c>
      <c r="MS79" s="164">
        <f>MAX(0,MIN(7,N('INVOCAÇÕES'!$U$1228)))</f>
        <v/>
      </c>
      <c r="MT79" s="164">
        <f>'INVOCAÇÕES'!$V$1228&amp;""</f>
        <v/>
      </c>
      <c r="MU79" s="164">
        <f>'INVOCAÇÕES'!$U$1233&amp;""</f>
        <v/>
      </c>
      <c r="MV79" s="164">
        <f>'INVOCAÇÕES'!$U$1234&amp;""</f>
        <v/>
      </c>
      <c r="MW79" s="164">
        <f>'INVOCAÇÕES'!$W$1234&amp;""</f>
        <v/>
      </c>
      <c r="MX79" s="164">
        <f>'INVOCAÇÕES'!$V$1237&amp;""</f>
        <v/>
      </c>
      <c r="MY79" s="164">
        <f>'INVOCAÇÕES'!$V$1238&amp;""</f>
        <v/>
      </c>
      <c r="MZ79" s="164">
        <f>'INVOCAÇÕES'!$V$1239&amp;""</f>
        <v/>
      </c>
      <c r="NA79" s="164">
        <f>'INVOCAÇÕES'!$V$1240&amp;""</f>
        <v/>
      </c>
      <c r="NB79" s="164">
        <f>'INVOCAÇÕES'!$V$1241&amp;""</f>
        <v/>
      </c>
      <c r="NC79" s="164">
        <f>'INVOCAÇÕES'!$V$1242&amp;""</f>
        <v/>
      </c>
      <c r="ND79" s="164">
        <f>IF($MT79&lt;&gt;"",1,0)</f>
        <v/>
      </c>
      <c r="NE79" s="164">
        <f>INDEX($FO$2:$FO$13,$MO79)</f>
        <v/>
      </c>
      <c r="NF79" s="164">
        <f>INDEX($FP$2:$FP$13,$MO79)</f>
        <v/>
      </c>
      <c r="NG79" s="164">
        <f>INDEX($FQ$2:$FQ$13,$MO79)</f>
        <v/>
      </c>
      <c r="NH79" s="164">
        <f>INDEX($GB$2:$GB$13,$MO79)</f>
        <v/>
      </c>
      <c r="NI79" s="164">
        <f>INDEX($GC$2:$GC$13,$MO79)</f>
        <v/>
      </c>
      <c r="NJ79" s="164">
        <f>IFERROR(MATCH(SUBSTITUTE(SUBSTITUTE(SUBSTITUTE($MU79,"~","~~"),"*","~*"),"?","~?"),'DADOS_FORMAS'!$FZ$2:$FZ$21,0),0)</f>
        <v/>
      </c>
      <c r="NK79" s="164">
        <f>IFERROR(VLOOKUP(SUBSTITUTE(SUBSTITUTE(SUBSTITUTE($MX79,"~","~~"),"*","~*"),"?","~?"),'DADOS_MELHORIAS'!$AG$2:$AL$113,2,FALSE),"")</f>
        <v/>
      </c>
      <c r="NL79" s="164">
        <f>IFERROR(VLOOKUP(SUBSTITUTE(SUBSTITUTE(SUBSTITUTE($MY79,"~","~~"),"*","~*"),"?","~?"),'DADOS_MELHORIAS'!$AG$2:$AL$113,2,FALSE),"")</f>
        <v/>
      </c>
      <c r="NM79" s="164">
        <f>IFERROR(VLOOKUP(SUBSTITUTE(SUBSTITUTE(SUBSTITUTE($MZ79,"~","~~"),"*","~*"),"?","~?"),'DADOS_MELHORIAS'!$AG$2:$AL$113,2,FALSE),"")</f>
        <v/>
      </c>
      <c r="NN79" s="164">
        <f>IFERROR(VLOOKUP(SUBSTITUTE(SUBSTITUTE(SUBSTITUTE($NA79,"~","~~"),"*","~*"),"?","~?"),'DADOS_MELHORIAS'!$AG$2:$AL$113,2,FALSE),"")</f>
        <v/>
      </c>
      <c r="NO79" s="164">
        <f>IFERROR(VLOOKUP(SUBSTITUTE(SUBSTITUTE(SUBSTITUTE($MX79,"~","~~"),"*","~*"),"?","~?"),'DADOS_MELHORIAS'!$AG$2:$AL$113,3,FALSE),0)</f>
        <v/>
      </c>
      <c r="NP79" s="164">
        <f>IFERROR(VLOOKUP(SUBSTITUTE(SUBSTITUTE(SUBSTITUTE($MY79,"~","~~"),"*","~*"),"?","~?"),'DADOS_MELHORIAS'!$AG$2:$AL$113,3,FALSE),0)</f>
        <v/>
      </c>
      <c r="NQ79" s="164">
        <f>IFERROR(VLOOKUP(SUBSTITUTE(SUBSTITUTE(SUBSTITUTE($MZ79,"~","~~"),"*","~*"),"?","~?"),'DADOS_MELHORIAS'!$AG$2:$AL$113,3,FALSE),0)</f>
        <v/>
      </c>
      <c r="NR79" s="164">
        <f>IFERROR(VLOOKUP(SUBSTITUTE(SUBSTITUTE(SUBSTITUTE($NA79,"~","~~"),"*","~*"),"?","~?"),'DADOS_MELHORIAS'!$AG$2:$AL$113,3,FALSE),0)</f>
        <v/>
      </c>
      <c r="NS79" s="164">
        <f>IF($MS79=0,0,IF($NJ79=0,0,INDEX('DADOS_FORMAS'!$GB$2:$GB$21,$NJ79)))</f>
        <v/>
      </c>
      <c r="NT79" s="164">
        <f>IF(OR($NO79=0,$MS79=0),0,$NO79+3*IF(AND($NK79&lt;&gt;"",COUNTIF(INDEX($RB$2:$RJ$13,$MO79,0),$NK79)&gt;0),1,0))</f>
        <v/>
      </c>
      <c r="NU79" s="164">
        <f>IF(OR($NP79=0,$MS79=0),0,$NP79+3*IF(AND($NL79&lt;&gt;"",COUNTIF(INDEX($RB$2:$RJ$13,$MO79,0),$NL79)&gt;0),1,0))</f>
        <v/>
      </c>
      <c r="NV79" s="164">
        <f>IF(OR($NQ79=0,$MS79=0),0,$NQ79+3*IF(AND($NM79&lt;&gt;"",COUNTIF(INDEX($RB$2:$RJ$13,$MO79,0),$NM79)&gt;0),1,0))</f>
        <v/>
      </c>
      <c r="NW79" s="164">
        <f>IF(OR($NR79=0,$MS79=0),0,$NR79+3*IF(AND($NN79&lt;&gt;"",COUNTIF(INDEX($RB$2:$RJ$13,$MO79,0),$NN79)&gt;0),1,0))</f>
        <v/>
      </c>
      <c r="NX79" s="164">
        <f>IF($NJ79=0,0,IF(INDEX('DADOS_FORMAS'!$GA$2:$GA$21,$NJ79)="",0,IF((COUNTIF(INDEX($EL$2:$EP$13,$MO79,0),INDEX('DADOS_FORMAS'!$GA$2:$GA$21,$NJ79))+COUNTIF(INDEX($QV$2:$QY$13,$MO79,0),INDEX('DADOS_FORMAS'!$GA$2:$GA$21,$NJ79)))=0,1,0)))</f>
        <v/>
      </c>
      <c r="NY79" s="164">
        <f>IF(OR($NO79=0,$NK79=""),0,IF((COUNTIF(INDEX($EL$2:$EP$13,$MO79,0),$NK79)+COUNTIF(INDEX($QV$2:$QY$13,$MO79,0),$NK79))=0,1,0))</f>
        <v/>
      </c>
      <c r="NZ79" s="164">
        <f>IF(OR($NP79=0,$NL79=""),0,IF((COUNTIF(INDEX($EL$2:$EP$13,$MO79,0),$NL79)+COUNTIF(INDEX($QV$2:$QY$13,$MO79,0),$NL79))=0,1,0))</f>
        <v/>
      </c>
      <c r="OA79" s="164">
        <f>IF(OR($NQ79=0,$NM79=""),0,IF((COUNTIF(INDEX($EL$2:$EP$13,$MO79,0),$NM79)+COUNTIF(INDEX($QV$2:$QY$13,$MO79,0),$NM79))=0,1,0))</f>
        <v/>
      </c>
      <c r="OB79" s="164">
        <f>IF(OR($NR79=0,$NN79=""),0,IF((COUNTIF(INDEX($EL$2:$EP$13,$MO79,0),$NN79)+COUNTIF(INDEX($QV$2:$QY$13,$MO79,0),$NN79))=0,1,0))</f>
        <v/>
      </c>
      <c r="OC79" s="164">
        <f>IFERROR(VLOOKUP(SUBSTITUTE(SUBSTITUTE(SUBSTITUTE($MX79,"~","~~"),"*","~*"),"?","~?"),'DADOS_MELHORIAS'!$AG$2:$AL$113,4,FALSE),0)+IFERROR(VLOOKUP(SUBSTITUTE(SUBSTITUTE(SUBSTITUTE($MY79,"~","~~"),"*","~*"),"?","~?"),'DADOS_MELHORIAS'!$AG$2:$AL$113,4,FALSE),0)+IFERROR(VLOOKUP(SUBSTITUTE(SUBSTITUTE(SUBSTITUTE($MZ79,"~","~~"),"*","~*"),"?","~?"),'DADOS_MELHORIAS'!$AG$2:$AL$113,4,FALSE),0)+IFERROR(VLOOKUP(SUBSTITUTE(SUBSTITUTE(SUBSTITUTE($NA79,"~","~~"),"*","~*"),"?","~?"),'DADOS_MELHORIAS'!$AG$2:$AL$113,4,FALSE),0)</f>
        <v/>
      </c>
      <c r="OD79" s="164">
        <f>IFERROR(VLOOKUP(SUBSTITUTE(SUBSTITUTE(SUBSTITUTE($MX79,"~","~~"),"*","~*"),"?","~?"),'DADOS_MELHORIAS'!$AG$2:$AL$113,6,FALSE),0)+IFERROR(VLOOKUP(SUBSTITUTE(SUBSTITUTE(SUBSTITUTE($MY79,"~","~~"),"*","~*"),"?","~?"),'DADOS_MELHORIAS'!$AG$2:$AL$113,6,FALSE),0)+IFERROR(VLOOKUP(SUBSTITUTE(SUBSTITUTE(SUBSTITUTE($MZ79,"~","~~"),"*","~*"),"?","~?"),'DADOS_MELHORIAS'!$AG$2:$AL$113,6,FALSE),0)+IFERROR(VLOOKUP(SUBSTITUTE(SUBSTITUTE(SUBSTITUTE($NA79,"~","~~"),"*","~*"),"?","~?"),'DADOS_MELHORIAS'!$AG$2:$AL$113,6,FALSE),0)+IFERROR(N(AND(INDEX('DADOS_FORMAS'!$AO$2:$AO$21,MATCH(SUBSTITUTE(SUBSTITUTE(SUBSTITUTE($MU79,"~","~~"),"*","~*"),"?","~?"),'DADOS_FORMAS'!$AH$2:$AH$21,0))="Acerto",$OH79=1)),0)</f>
        <v/>
      </c>
      <c r="OE79" s="164">
        <f>TEXTJOIN(", ",TRUE,IF(IFERROR(VLOOKUP(SUBSTITUTE(SUBSTITUTE(SUBSTITUTE($MX79,"~","~~"),"*","~*"),"?","~?"),'DADOS_MELHORIAS'!$AG$2:$AL$113,5,FALSE),0)=1,$MX79,""),IF(IFERROR(VLOOKUP(SUBSTITUTE(SUBSTITUTE(SUBSTITUTE($MY79,"~","~~"),"*","~*"),"?","~?"),'DADOS_MELHORIAS'!$AG$2:$AL$113,5,FALSE),0)=1,$MY79,""),IF(IFERROR(VLOOKUP(SUBSTITUTE(SUBSTITUTE(SUBSTITUTE($MZ79,"~","~~"),"*","~*"),"?","~?"),'DADOS_MELHORIAS'!$AG$2:$AL$113,5,FALSE),0)=1,$MZ79,""),IF(IFERROR(VLOOKUP(SUBSTITUTE(SUBSTITUTE(SUBSTITUTE($NA79,"~","~~"),"*","~*"),"?","~?"),'DADOS_MELHORIAS'!$AG$2:$AL$113,5,FALSE),0)=1,$NA79,""))</f>
        <v/>
      </c>
      <c r="OF79" s="164">
        <f>IF($NJ79=0,0,INDEX('DADOS_FORMAS'!$GC$2:$GC$21,$NJ79))</f>
        <v/>
      </c>
      <c r="OG79" s="164">
        <f>IF($NJ79=0,0,INDEX('DADOS_FORMAS'!$GD$2:$GD$21,$NJ79))</f>
        <v/>
      </c>
      <c r="OH79" s="164">
        <f>IF($NJ79=0,0,INDEX('DADOS_FORMAS'!$GF$2:$GF$21,$NJ79))</f>
        <v/>
      </c>
      <c r="OI79" s="164">
        <f>IFERROR(VLOOKUP(SUBSTITUTE(SUBSTITUTE(SUBSTITUTE($NB79,"~","~~"),"*","~*"),"?","~?"),'DADOS_RESTRICOES'!$M$2:$Q$54,3,FALSE),0)</f>
        <v/>
      </c>
      <c r="OJ79" s="164">
        <f>IFERROR(VLOOKUP(SUBSTITUTE(SUBSTITUTE(SUBSTITUTE($NC79,"~","~~"),"*","~*"),"?","~?"),'DADOS_RESTRICOES'!$M$2:$Q$54,3,FALSE),0)</f>
        <v/>
      </c>
      <c r="OK79" s="164">
        <f>IFERROR(VLOOKUP(SUBSTITUTE(SUBSTITUTE(SUBSTITUTE($NB79,"~","~~"),"*","~*"),"?","~?"),'DADOS_RESTRICOES'!$M$2:$Q$54,2,FALSE),"")</f>
        <v/>
      </c>
      <c r="OL79" s="164">
        <f>IFERROR(VLOOKUP(SUBSTITUTE(SUBSTITUTE(SUBSTITUTE($NC79,"~","~~"),"*","~*"),"?","~?"),'DADOS_RESTRICOES'!$M$2:$Q$54,2,FALSE),"")</f>
        <v/>
      </c>
      <c r="OM79" s="164">
        <f>COUNTIF($NS79:$NW79,1)</f>
        <v/>
      </c>
      <c r="ON79" s="164">
        <f>COUNTIF($NS79:$NW79,2)</f>
        <v/>
      </c>
      <c r="OO79" s="164">
        <f>COUNTIF($NS79:$NW79,3)</f>
        <v/>
      </c>
      <c r="OP79" s="164">
        <f>COUNTIF($NS79:$NW79,4)</f>
        <v/>
      </c>
      <c r="OQ79" s="164">
        <f>COUNTIF($NS79:$NW79,5)</f>
        <v/>
      </c>
      <c r="OR79" s="164">
        <f>COUNTIF($NS79:$NW79,6)</f>
        <v/>
      </c>
      <c r="OS79" s="164">
        <f>COUNTIF($OI79:$OJ79,1)+IF(IFERROR(INDEX('DADOS_FORMAS'!$AS$2:$AS$21,MATCH(SUBSTITUTE(SUBSTITUTE(SUBSTITUTE($MU79,"~","~~"),"*","~*"),"?","~?"),'DADOS_FORMAS'!$AH$2:$AH$21,0)),"")="",0,IFERROR(N(VLOOKUP(SUBSTITUTE(SUBSTITUTE(SUBSTITUTE(IFERROR(INDEX('DADOS_FORMAS'!$AS$2:$AS$21,MATCH(SUBSTITUTE(SUBSTITUTE(SUBSTITUTE($MU79,"~","~~"),"*","~*"),"?","~?"),'DADOS_FORMAS'!$AH$2:$AH$21,0)),""),"~","~~"),"*","~*"),"?","~?"),'DADOS_RESTRICOES'!$M$2:$Q$54,3,FALSE)=1),0))</f>
        <v/>
      </c>
      <c r="OT79" s="164">
        <f>COUNTIF($OI79:$OJ79,2)+IF(IFERROR(INDEX('DADOS_FORMAS'!$AS$2:$AS$21,MATCH(SUBSTITUTE(SUBSTITUTE(SUBSTITUTE($MU79,"~","~~"),"*","~*"),"?","~?"),'DADOS_FORMAS'!$AH$2:$AH$21,0)),"")="",0,IFERROR(N(VLOOKUP(SUBSTITUTE(SUBSTITUTE(SUBSTITUTE(IFERROR(INDEX('DADOS_FORMAS'!$AS$2:$AS$21,MATCH(SUBSTITUTE(SUBSTITUTE(SUBSTITUTE($MU79,"~","~~"),"*","~*"),"?","~?"),'DADOS_FORMAS'!$AH$2:$AH$21,0)),""),"~","~~"),"*","~*"),"?","~?"),'DADOS_RESTRICOES'!$M$2:$Q$54,3,FALSE)=2),0))</f>
        <v/>
      </c>
      <c r="OU79" s="164">
        <f>COUNTIF($MX79:$NA79,"?*")</f>
        <v/>
      </c>
      <c r="OV79" s="164">
        <f>COUNTIF($NB79:$NC79,"?*")+$OF79</f>
        <v/>
      </c>
      <c r="OW79" s="164">
        <f>IF($MS79=0,0,SUMPRODUCT($OM79:$OR79,INDEX($I$2:$N$8,MAX(1,$MS79),0)))</f>
        <v/>
      </c>
      <c r="OX79" s="164">
        <f>IF($MS79=0,0,$OS79*CEILING($MS79/2,1)+$OT79*$MS79)</f>
        <v/>
      </c>
      <c r="OY79" s="164">
        <f>MIN(2*$MS79,$OX79)</f>
        <v/>
      </c>
      <c r="OZ79" s="164">
        <f>MIN($OY79,$OW79-IF($NS79=0,0,INDEX($I$2:$N$8,MAX(1,$MS79),$NS79)))</f>
        <v/>
      </c>
      <c r="PA79" s="164">
        <f>$OY79-$OZ79</f>
        <v/>
      </c>
      <c r="PB79" s="164">
        <f>IF($MS79=0,0,INDEX($P$2:$P$8,MAX(1,$MS79)))</f>
        <v/>
      </c>
      <c r="PC79" s="164">
        <f>$PB79-$OW79+$OZ79</f>
        <v/>
      </c>
      <c r="PD79" s="164">
        <f>IF($MS79=0,MAX(0,$NG79-IF(AND($OU79&gt;0,COUNTIF($NB79:$NC79,"?*")=0),1,0)),MAX(0,$PC79))</f>
        <v/>
      </c>
      <c r="PE79" s="164">
        <f>IF($MS79=0,0,(IF(COUNTIF($RK79:$RN79,"Salto")&gt;0,1,0)+IF(COUNTIF($RK79:$RN79,"Queima")&gt;0,1,0)+IF(COUNTIF($RK79:$RN79,"Estilhaço")&gt;0,1,0))*FLOOR($PD79/2,1))</f>
        <v/>
      </c>
      <c r="PF79" s="164">
        <f>MAX(0,2-SUMPRODUCT($OM79:$OR79,$I$2:$N$2)+MIN(2,$OS79*1+$OT79*1,SUMPRODUCT($OM79:$OR79,$I$2:$N$2)-IF($NS79=0,0,INDEX($I$2:$N$2,1,$NS79))))</f>
        <v/>
      </c>
      <c r="PG79" s="164">
        <f>MAX(0,4-SUMPRODUCT($OM79:$OR79,$I$3:$N$3)+MIN(4,$OS79*1+$OT79*2,SUMPRODUCT($OM79:$OR79,$I$3:$N$3)-IF($NS79=0,0,INDEX($I$3:$N$3,1,$NS79))))</f>
        <v/>
      </c>
      <c r="PH79" s="164">
        <f>MAX(0,6-SUMPRODUCT($OM79:$OR79,$I$4:$N$4)+MIN(6,$OS79*2+$OT79*3,SUMPRODUCT($OM79:$OR79,$I$4:$N$4)-IF($NS79=0,0,INDEX($I$4:$N$4,1,$NS79))))</f>
        <v/>
      </c>
      <c r="PI79" s="164">
        <f>MAX(0,9-SUMPRODUCT($OM79:$OR79,$I$5:$N$5)+MIN(8,$OS79*2+$OT79*4,SUMPRODUCT($OM79:$OR79,$I$5:$N$5)-IF($NS79=0,0,INDEX($I$5:$N$5,1,$NS79))))</f>
        <v/>
      </c>
      <c r="PJ79" s="164">
        <f>MAX(0,11-SUMPRODUCT($OM79:$OR79,$I$6:$N$6)+MIN(10,$OS79*3+$OT79*5,SUMPRODUCT($OM79:$OR79,$I$6:$N$6)-IF($NS79=0,0,INDEX($I$6:$N$6,1,$NS79))))</f>
        <v/>
      </c>
      <c r="PK79" s="164">
        <f>MAX(0,13-SUMPRODUCT($OM79:$OR79,$I$7:$N$7)+MIN(12,$OS79*3+$OT79*6,SUMPRODUCT($OM79:$OR79,$I$7:$N$7)-IF($NS79=0,0,INDEX($I$7:$N$7,1,$NS79))))</f>
        <v/>
      </c>
      <c r="PL79" s="164">
        <f>MAX(0,16-SUMPRODUCT($OM79:$OR79,$I$8:$N$8)+MIN(14,$OS79*4+$OT79*7,SUMPRODUCT($OM79:$OR79,$I$8:$N$8)-IF($NS79=0,0,INDEX($I$8:$N$8,1,$NS79))))</f>
        <v/>
      </c>
      <c r="PM79" s="164">
        <f>IF($OG79=2,3*$PF79&amp;" de vida temp.",IF($OG79=3,"sem dano",IF($PF79=0,IF($OG79=1,"sem cura","sem dano"),IF($OG79=1,"cura ","")&amp;$PF79&amp;"d8")))</f>
        <v/>
      </c>
      <c r="PN79" s="164">
        <f>IF($OG79=2,3*$PG79&amp;" de vida temp.",IF($OG79=3,"sem dano",IF($PG79=0,IF($OG79=1,"sem cura","sem dano"),IF($OG79=1,"cura ","")&amp;$PG79&amp;"d8")))</f>
        <v/>
      </c>
      <c r="PO79" s="164">
        <f>IF($OG79=2,3*$PH79&amp;" de vida temp.",IF($OG79=3,"sem dano",IF($PH79=0,IF($OG79=1,"sem cura","sem dano"),IF($OG79=1,"cura ","")&amp;$PH79&amp;"d8")))</f>
        <v/>
      </c>
      <c r="PP79" s="164">
        <f>IF($OG79=2,3*$PI79&amp;" de vida temp.",IF($OG79=3,"sem dano",IF($PI79=0,IF($OG79=1,"sem cura","sem dano"),IF($OG79=1,"cura ","")&amp;$PI79&amp;"d8")))</f>
        <v/>
      </c>
      <c r="PQ79" s="164">
        <f>IF($OG79=2,3*$PJ79&amp;" de vida temp.",IF($OG79=3,"sem dano",IF($PJ79=0,IF($OG79=1,"sem cura","sem dano"),IF($OG79=1,"cura ","")&amp;$PJ79&amp;"d8")))</f>
        <v/>
      </c>
      <c r="PR79" s="164">
        <f>IF($OG79=2,3*$PK79&amp;" de vida temp.",IF($OG79=3,"sem dano",IF($PK79=0,IF($OG79=1,"sem cura","sem dano"),IF($OG79=1,"cura ","")&amp;$PK79&amp;"d8")))</f>
        <v/>
      </c>
      <c r="PS79" s="164">
        <f>IF($OG79=2,3*$PL79&amp;" de vida temp.",IF($OG79=3,"sem dano",IF($PL79=0,IF($OG79=1,"sem cura","sem dano"),IF($OG79=1,"cura ","")&amp;$PL79&amp;"d8")))</f>
        <v/>
      </c>
      <c r="PT79" s="164">
        <f>IF($ND79=0,"",TEXTJOIN(" · ",TRUE,IF($ND79=0,"",TEXTJOIN(" · ",TRUE,IF($ND79=0,"",TEXTJOIN(" · ",TRUE,IF($MQ79&gt;$NE79,"Este lugar abre no nível "&amp;$MQ79,""),IF($MS79&gt;$NF79,"Classe "&amp;$MS79&amp;": o nível "&amp;$NE79&amp;" libera até a "&amp;$NF79,""),IF($NX79=1,"A Forma "&amp;$MU79&amp;" pede "&amp;INDEX('DADOS_FORMAS'!$GA$2:$GA$21,$NJ79)&amp;" aberta",""),IF(AND($MS79=0,$NJ79&gt;0,IF($NJ79=0,0,INDEX('DADOS_FORMAS'!$GJ$2:$GJ$21,$NJ79))=0),$MU79&amp;" não existe na Classe 0",""),IF($NY79=1,"Família Fechada: "&amp;$MX79,""),IF($NZ79=1,"Família Fechada: "&amp;$MY79,""),IF($OA79=1,"Família Fechada: "&amp;$MZ79,""),IF($OB79=1,"Família Fechada: "&amp;$NA79,""),IF(AND($MS79&gt;0,$OU79&gt;INDEX($O$2:$O$8,MAX(1,$MS79))),$OU79&amp;" Melhorias: a Classe "&amp;$MS79&amp;" aceita "&amp;INDEX($O$2:$O$8,MAX(1,$MS79)),""),IF(AND($MS79=0,$OU79&gt;1),"A básica aceita uma Melhoria",""),IF(AND($MS79=0,COUNTIF($NO79:$NR79,"&gt;1")&gt;0),"A básica só aceita Melhoria Leve",""),IF(AND($MS79&gt;0,$OV79&gt;2),$OV79&amp;" Restrições"&amp;IF($OF79=1,", contando a que a Forma "&amp;$MU79&amp;" já traz","")&amp;": o limite é 2",""),IF(AND($MS79=0,COUNTIF($NB79:$NC79,"?*")&gt;1),"A básica aceita uma Restrição Leve",""),IF(AND($MS79=0,COUNTIF($OI79:$OJ79,2)&gt;0),"A básica só aceita Restrição Leve",""),IF(AND($MS79&gt;0,$PC79&lt;0),"Orçamento estourado: faltam "&amp;(-$PC79)&amp;IF($PC79&lt;-1," pontos"," ponto"),""),IF(IFERROR(VLOOKUP(SUBSTITUTE(SUBSTITUTE(SUBSTITUTE($NB79,"~","~~"),"*","~*"),"?","~?"),'DADOS_RESTRICOES'!$M$2:$Q$54,4,FALSE),0)+IFERROR(VLOOKUP(SUBSTITUTE(SUBSTITUTE(SUBSTITUTE($NC79,"~","~~"),"*","~*"),"?","~?"),'DADOS_RESTRICOES'!$M$2:$Q$54,4,FALSE),0)&gt;1,$OK79&amp;" e "&amp;$OL79&amp;" são as duas de frequência",""),IF(AND((COUNTIF($RK79:$RN79,"Rápido")+COUNTIF($OK79:$OL79,"Rápido"))&gt;0,(COUNTIF($MX79:$NA79,"Atrasar")+COUNTIF($OK79:$OL79,"Atrasar"))&gt;0),"Rápido não entra com Atrasar",""),IF(AND((COUNTIF($RK79:$RN79,"Reação")+COUNTIF($OK79:$OL79,"Reação"))&gt;0,(COUNTIF($RK79:$RN79,"Rápido")+COUNTIF($OK79:$OL79,"Rápido"))&gt;0),"Reação não entra com Rápido",""),IF(AND((COUNTIF($RK79:$RN79,"Reação")+COUNTIF($OK79:$OL79,"Reação"))&gt;0,(COUNTIF($RK79:$RN79,"Armado")+COUNTIF($OK79:$OL79,"Armado"))&gt;0),"Reação não entra com Armado",""),IF(AND((COUNTIF($RK79:$RN79,"Reação")+COUNTIF($OK79:$OL79,"Reação"))&gt;0,(COUNTIF($MX79:$NA79,"Atrasar")+COUNTIF($OK79:$OL79,"Atrasar"))&gt;0),"Reação não entra com Atrasar",""),IF(AND((COUNTIF($RK79:$RN79,"Reação")+COUNTIF($OK79:$OL79,"Reação"))&gt;0,(COUNTIF($MX79:$NA79,"Parado")+COUNTIF($OK79:$OL79,"Parado"))&gt;0),"Reação não entra com Parado",""),IF(AND((COUNTIF($MX79:$NA79,"Atrasar")+COUNTIF($OK79:$OL79,"Atrasar"))&gt;0,(COUNTIF($MX79:$NA79,"Parado")+COUNTIF($OK79:$OL79,"Parado"))&gt;0),"Atrasar não entra com Parado",""),IF(AND((COUNTIF($RK79:$RN79,"Armado")+COUNTIF($OK79:$OL79,"Armado"))&gt;0,(COUNTIF($MX79:$NA79,"Carregar")+COUNTIF($OK79:$OL79,"Carregar"))&gt;0),"Armado não entra com Carregar",""),IF(AND(COUNTIF($OK79:$OL79,"Corpo a Corpo")&gt;0,$OF79=0,OR($RO79="Cone",$RO79="Linha")),"Corpo a Corpo não entra em "&amp;$MU79,""),IF(AND(COUNTIF($OK79:$OL79,"Corpo a Corpo")&gt;0,$RP79="Corpo a Corpo"),"A Forma "&amp;$MU79&amp;" já traz o Corpo a Corpo",""),IF(AND(COUNTIF($OK79:$OL79,"Tudo ou Nada")&gt;0,$OH79=0),"Tudo ou Nada só entra em habilidade de Teste de Resistência",""),IF(AND(COUNTIF($RK79:$RN79,"Inescapável")&gt;0,OR($OU79&gt;1,$OV79&gt;0)),"Inescapável não aceita outra peça",""),IF(AND($MS79&gt;0,$PD79*IF(COUNTIF($RK79:$RN79,"Remate")&gt;0,1.25,1)+$PE79&gt;4*$MS79),($PD79*IF(COUNTIF($RK79:$RN79,"Remate")&gt;0,1.25,1)+$PE79)&amp;" dados somando repetições"&amp;IF(COUNTIF($RK79:$RN79,"Remate")&gt;0," e o Remate","")&amp;": o teto da Classe "&amp;$MS79&amp;" é "&amp;4*$MS79,""))),IF(AND($MX79&lt;&gt;"",COUNTIF('DADOS_MELHORIAS'!$O$2:$O$113,SUBSTITUTE(SUBSTITUTE(SUBSTITUTE($MX79,"~","~~"),"*","~*"),"?","~?"))=0),"Melhoria não cadastrada ou com erro: "&amp;$MX79,""),IF(AND($MY79&lt;&gt;"",COUNTIF('DADOS_MELHORIAS'!$O$2:$O$113,SUBSTITUTE(SUBSTITUTE(SUBSTITUTE($MY79,"~","~~"),"*","~*"),"?","~?"))=0),"Melhoria não cadastrada ou com erro: "&amp;$MY79,""),IF(AND($MZ79&lt;&gt;"",COUNTIF('DADOS_MELHORIAS'!$O$2:$O$113,SUBSTITUTE(SUBSTITUTE(SUBSTITUTE($MZ79,"~","~~"),"*","~*"),"?","~?"))=0),"Melhoria não cadastrada ou com erro: "&amp;$MZ79,""),IF(AND($NA79&lt;&gt;"",COUNTIF('DADOS_MELHORIAS'!$O$2:$O$113,SUBSTITUTE(SUBSTITUTE(SUBSTITUTE($NA79,"~","~~"),"*","~*"),"?","~?"))=0),"Melhoria não cadastrada ou com erro: "&amp;$NA79,""),IF(AND($NB79&lt;&gt;"",COUNTIF('DADOS_RESTRICOES'!$M$2:$M$54,SUBSTITUTE(SUBSTITUTE(SUBSTITUTE($NB79,"~","~~"),"*","~*"),"?","~?"))=0),"Restrição não cadastrada ou com erro: "&amp;$NB79,""),IF(AND($NC79&lt;&gt;"",COUNTIF('DADOS_RESTRICOES'!$M$2:$M$54,SUBSTITUTE(SUBSTITUTE(SUBSTITUTE($NC79,"~","~~"),"*","~*"),"?","~?"))=0),"Restrição não cadastrada ou com erro: "&amp;$NC79,""))),IF(AND($MU79&lt;&gt;"",COUNTIF('DADOS_FORMAS'!$AH$2:$AH$21,SUBSTITUTE(SUBSTITUTE(SUBSTITUTE($MU79,"~","~~"),"*","~*"),"?","~?"))=0),"Forma não cadastrada ou com erro: "&amp;$MU79,""),IF(AND(IFERROR(INDEX('DADOS_FORMAS'!$AS$2:$AS$21,MATCH(SUBSTITUTE(SUBSTITUTE(SUBSTITUTE($MU79,"~","~~"),"*","~*"),"?","~?"),'DADOS_FORMAS'!$AH$2:$AH$21,0)),"")&lt;&gt;"",OR(IFERROR(VLOOKUP(SUBSTITUTE(SUBSTITUTE(SUBSTITUTE(IFERROR(INDEX('DADOS_FORMAS'!$AS$2:$AS$21,MATCH(SUBSTITUTE(SUBSTITUTE(SUBSTITUTE($MU79,"~","~~"),"*","~*"),"?","~?"),'DADOS_FORMAS'!$AH$2:$AH$21,0)),""),"~","~~"),"*","~*"),"?","~?"),'DADOS_RESTRICOES'!$M$2:$Q$54,2,FALSE),"")=$OK79,IFERROR(VLOOKUP(SUBSTITUTE(SUBSTITUTE(SUBSTITUTE(IFERROR(INDEX('DADOS_FORMAS'!$AS$2:$AS$21,MATCH(SUBSTITUTE(SUBSTITUTE(SUBSTITUTE($MU79,"~","~~"),"*","~*"),"?","~?"),'DADOS_FORMAS'!$AH$2:$AH$21,0)),""),"~","~~"),"*","~*"),"?","~?"),'DADOS_RESTRICOES'!$M$2:$Q$54,2,FALSE),"")=$OL79)),"Restrição repetida, contando a embutida",""),IF(IF(IFERROR(INDEX('DADOS_FORMAS'!$AS$2:$AS$21,MATCH(SUBSTITUTE(SUBSTITUTE(SUBSTITUTE($MU79,"~","~~"),"*","~*"),"?","~?"),'DADOS_FORMAS'!$AH$2:$AH$21,0)),"")="",0,IFERROR(N(VLOOKUP(SUBSTITUTE(SUBSTITUTE(SUBSTITUTE(IFERROR(INDEX('DADOS_FORMAS'!$AS$2:$AS$21,MATCH(SUBSTITUTE(SUBSTITUTE(SUBSTITUTE($MU79,"~","~~"),"*","~*"),"?","~?"),'DADOS_FORMAS'!$AH$2:$AH$21,0)),""),"~","~~"),"*","~*"),"?","~?"),'DADOS_RESTRICOES'!$M$2:$Q$54,4,FALSE)=1),0))+IF($NB79="",0,IFERROR(N(VLOOKUP(SUBSTITUTE(SUBSTITUTE(SUBSTITUTE($NB79,"~","~~"),"*","~*"),"?","~?"),'DADOS_RESTRICOES'!$M$2:$Q$54,4,FALSE)=1),0))+IF($NC79="",0,IFERROR(N(VLOOKUP(SUBSTITUTE(SUBSTITUTE(SUBSTITUTE($NC79,"~","~~"),"*","~*"),"?","~?"),'DADOS_RESTRICOES'!$M$2:$Q$54,4,FALSE)=1),0))&gt;1,"Duas Restrições de frequência, contando a embutida",""),IF(AND(IFERROR(VLOOKUP(SUBSTITUTE(SUBSTITUTE(SUBSTITUTE(IFERROR(INDEX('DADOS_FORMAS'!$AS$2:$AS$21,MATCH(SUBSTITUTE(SUBSTITUTE(SUBSTITUTE($MU79,"~","~~"),"*","~*"),"?","~?"),'DADOS_FORMAS'!$AH$2:$AH$21,0)),""),"~","~~"),"*","~*"),"?","~?"),'DADOS_RESTRICOES'!$M$2:$Q$54,2,FALSE),"")="Tudo ou Nada",$OH79=0),"Tudo ou Nada exige TR",""),IF(AND(IFERROR(VLOOKUP(SUBSTITUTE(SUBSTITUTE(SUBSTITUTE(IFERROR(INDEX('DADOS_FORMAS'!$AS$2:$AS$21,MATCH(SUBSTITUTE(SUBSTITUTE(SUBSTITUTE($MU79,"~","~~"),"*","~*"),"?","~?"),'DADOS_FORMAS'!$AH$2:$AH$21,0)),""),"~","~~"),"*","~*"),"?","~?"),'DADOS_RESTRICOES'!$M$2:$Q$54,2,FALSE),"")="Corpo a Corpo",OR($RO79="Cone",$RO79="Linha")),"Corpo a Corpo não entra em Cone/Linha","")))</f>
        <v/>
      </c>
      <c r="PU79" s="164">
        <f>IF($PT79="",0,(LEN($PT79)-LEN(SUBSTITUTE($PT79," · ","")))/3+1)</f>
        <v/>
      </c>
      <c r="PV79" s="164">
        <f>IF($ND79=0,"",TEXTJOIN(" · ",TRUE,IF($OX79&gt;2*$MS79,"A devolução parou no teto de "&amp;2*$MS79,""),IF($PA79&gt;0,"Devolução perdida: "&amp;$PA79&amp;IF($PA79&gt;1," pontos"," ponto")&amp;" sem Melhoria para pagar",""),IF(AND($OC79&gt;0,AND($MS79&gt;0,$OG79=0),$PD79=0),"Controle sem dano: uma rodada a mais e CD +2",""),IF(AND($OC79&gt;0,AND($MS79&gt;0,$OG79=0),$PD79&gt;0,$PD79&lt;=$MS79),"Controle com saldo até a Classe: uma rodada a mais",""),IF(AND($MS79&gt;0,$OE79&lt;&gt;""),"Efeito de "&amp;$OE79&amp;" pela Classe "&amp;MAX(1,$MS79-1),"")))</f>
        <v/>
      </c>
      <c r="PW79" s="164">
        <f>IF($PV79="",0,(LEN($PV79)-LEN(SUBSTITUTE($PV79," · ","")))/3+1)</f>
        <v/>
      </c>
      <c r="PX79" s="164">
        <f>IF($ND79=0,IF($OU79+COUNTIF($NB79:$NC79,"?*")&gt;0,"Dê um nome",""),IF($PU79&gt;0,"⚠ "&amp;$PU79&amp;IF($PU79&gt;1," erros"," erro"),IF($PW79&gt;0,"! "&amp;$PW79&amp;IF($PW79&gt;1," avisos"," aviso"),"Na regra")))</f>
        <v/>
      </c>
      <c r="PY79" s="164">
        <f>IF($ND79=0,"",IF($PU79+$PW79=0,"Dentro das regras que a ficha confere",$PT79&amp;IF(AND($PU79&gt;0,$PW79&gt;0)," · ","")&amp;$PV79))</f>
        <v/>
      </c>
      <c r="PZ79" s="164">
        <f>IF($MQ79&gt;$NE79,$MR79&amp;" · ABRE NO NÍVEL "&amp;$MQ79,$MR79)</f>
        <v/>
      </c>
      <c r="QA79" s="164">
        <f>IF($ND79=0,"",IF($MS79=0,"Sem PE",3*$MS79&amp;" PE"))</f>
        <v/>
      </c>
      <c r="QB79" s="164">
        <f>IF($ND79=0,"",IF($MS79=0,"A atuação básica dela",IF(COUNTIF($RQ79:$RS79,"Atrasar")&gt;0,"Sua Ação Completa",IF(COUNTIF($RK79:$RN79,"Rápido")&gt;0,"Sua Bônus",IF(COUNTIF($RK79:$RN79,"Reação")&gt;0,"Sua Reação","Sua Padrão")))&amp;" + a básica dela"&amp;IF(COUNTIF($RK79:$RN79,"Reação")&gt;0," e a coletiva","")&amp;IF(COUNTIF($RQ79:$RS79,"Carregar")&gt;0," · em dois turnos","")))</f>
        <v/>
      </c>
      <c r="QC79" s="164">
        <f>IF($MW79&lt;&gt;"",$MW79,IF($NJ79=0,"",INDEX('DADOS_FORMAS'!$GE$2:$GE$21,$NJ79)))</f>
        <v/>
      </c>
      <c r="QD79" s="164">
        <f>IF(OR($ND79=0,$NJ79=0),"",IF(COUNTIF($RK79:$RN79,"Inescapável")&gt;0,"Automático",IF($QC79="Ataque",IF($NH79="","Ataque","Ataque "&amp;IF(($NH79+2*IF(COUNTIF($RK79:$RN79,"Precisão")&gt;0,1,0))&gt;=0,"+","−")&amp;ABS(($NH79+2*IF(COUNTIF($RK79:$RN79,"Precisão")&gt;0,1,0))))&amp;IF($OD79&gt;0," · TR"&amp;IF($NI79="",""," CD "&amp;$NI79),""),IF(LEFT($QC79,2)="TR",$QC79&amp;IF($NI79="",""," · CD "&amp;$NI79)&amp;IF(COUNTIF($RK79:$RN79,"Certeiro")&gt;0," · metade",""),"Sem rolagem"))))</f>
        <v/>
      </c>
      <c r="QE79" s="164">
        <f>IF(OR($ND79=0,$NJ79=0),"",IF($MS79=0,IF(OR($OG79&gt;=1,$PD79=0),"Sem dano",$PD79&amp;"d6"&amp;IF($MV79="",""," "&amp;$MV79)),IF(OR($OG79&gt;=1,$PD79=0),UPPER(LEFT(INDEX($PM79:$PS79,1,MAX(1,$MS79)),1))&amp;MID(INDEX($PM79:$PS79,1,MAX(1,$MS79)),2,99),UPPER(LEFT(INDEX($PM79:$PS79,1,MAX(1,$MS79)),1))&amp;MID(INDEX($PM79:$PS79,1,MAX(1,$MS79)),2,99)&amp;IF($MV79="",""," "&amp;$MV79)&amp;IF($PE79&gt;0," · +"&amp;$PE79&amp;"d8",""))))</f>
        <v/>
      </c>
      <c r="QF79" s="164">
        <f>COUNTIF($RK79:$RN79,"Longe")+3*COUNTIF($RK79:$RN79,"Muito Longe")</f>
        <v/>
      </c>
      <c r="QG79" s="164">
        <f>COUNTIF($RK79:$RN79,"Maior")+3*COUNTIF($RK79:$RN79,"Muito Maior")</f>
        <v/>
      </c>
      <c r="QH79" s="164">
        <f>IF($NJ79=0,0,CHOOSE(1+INDEX('DADOS_FORMAS'!$GG$2:$GG$21,$NJ79),0,$QF79,$QG79,$QF79+$QG79))</f>
        <v/>
      </c>
      <c r="QI79" s="164">
        <f>IF($NJ79=0,0,CHOOSE(1+INDEX('DADOS_FORMAS'!$GH$2:$GH$21,$NJ79),0,$QF79,$QG79,$QF79+$QG79))</f>
        <v/>
      </c>
      <c r="QJ79" s="164">
        <f>IF(OR($ND79=0,$NJ79=0),"",INDEX('DADOS_FORMAS'!$HU$2:$HZ$81,($NJ79-1)*4+IF($MS79=0,1,IF($MS79&lt;=5,2,IF($MS79=6,3,4))),1+MIN(5,$QH79))&amp;INDEX('DADOS_FORMAS'!$IA$2:$IF$81,($NJ79-1)*4+IF($MS79=0,1,IF($MS79&lt;=5,2,IF($MS79=6,3,4))),1+MIN(5,$QI79))&amp;IF(INDEX('DADOS_FORMAS'!$GI$2:$GI$21,$NJ79)=1,IF(COUNTIF($RK79:$RN79,"Mais Um")&gt;0," · +"&amp;COUNTIF($RK79:$RN79,"Mais Um")&amp;IF(COUNTIF($RK79:$RN79,"Mais Um")&gt;1," alvos"," alvo"),"")&amp;IF(COUNTIF($RK79:$RN79,"Rajada")&gt;0,IF($MS79=0," · 1 tiro"," · "&amp;(MAX(1,$MS79-1)+1)&amp;" tiros"),""),""))</f>
        <v/>
      </c>
      <c r="QK79" s="164">
        <f>IF($ND79=0,"",IF($MS79=0,$NG79&amp;"d6"&amp;IF($OU79&gt;0," − 1 = "&amp;$PD79&amp;"d6"," da básica do nível "&amp;$NE79),$PB79&amp;" − "&amp;$OW79&amp;" + "&amp;$OZ79&amp;" = "&amp;$PC79&amp;" · teto "&amp;4*$MS79&amp;"d8"&amp;IF($OF79=1," · a Forma devolve "&amp;$MS79,"")&amp;IF($PA79&gt;0," · perde "&amp;$PA79,"")))</f>
        <v/>
      </c>
      <c r="QL79" s="164">
        <f>IF($ND79=0,"",IF($MS79=0,"A básica não amplia: os dados dela sobem com o nível",IF($MS79&gt;=$NF79,"Já está na maior Classe que o nível liberou",TEXTJOIN(" · ",TRUE,IF(AND(2&gt;$MS79,2&lt;=$NF79),"2 → "&amp;$PN79&amp;", 6 PE",""),IF(AND(3&gt;$MS79,3&lt;=$NF79),"3 → "&amp;$PO79&amp;", 9 PE",""),IF(AND(4&gt;$MS79,4&lt;=$NF79),"4 → "&amp;$PP79&amp;", 12 PE",""),IF(AND(5&gt;$MS79,5&lt;=$NF79),"5 → "&amp;$PQ79&amp;", 15 PE",""),IF(AND(6&gt;$MS79,6&lt;=$NF79),"6 → "&amp;$PR79&amp;", 18 PE",""),IF(AND(7&gt;$MS79,7&lt;=$NF79),"7 → "&amp;$PS79&amp;", 21 PE","")))))</f>
        <v/>
      </c>
      <c r="QM79" s="164">
        <f>IF(OR($ND79=0,$NO79=0),"",IF($MS79=0,"−1 dado","−"&amp;INDEX($I$2:$N$8,MAX(1,$MS79),MAX(1,$NT79))&amp;" · "&amp;CHOOSE(MAX(1,$NT79),"Leve","Média","Pesada","Leve · Livre","Média · Livre","Pesada · Livre")))</f>
        <v/>
      </c>
      <c r="QN79" s="164">
        <f>IF(OR($ND79=0,$NP79=0),"",IF($MS79=0,"−1 dado","−"&amp;INDEX($I$2:$N$8,MAX(1,$MS79),MAX(1,$NU79))&amp;" · "&amp;CHOOSE(MAX(1,$NU79),"Leve","Média","Pesada","Leve · Livre","Média · Livre","Pesada · Livre")))</f>
        <v/>
      </c>
      <c r="QO79" s="164">
        <f>IF(OR($ND79=0,$NQ79=0),"",IF($MS79=0,"−1 dado","−"&amp;INDEX($I$2:$N$8,MAX(1,$MS79),MAX(1,$NV79))&amp;" · "&amp;CHOOSE(MAX(1,$NV79),"Leve","Média","Pesada","Leve · Livre","Média · Livre","Pesada · Livre")))</f>
        <v/>
      </c>
      <c r="QP79" s="164">
        <f>IF(OR($ND79=0,$NR79=0),"",IF($MS79=0,"−1 dado","−"&amp;INDEX($I$2:$N$8,MAX(1,$MS79),MAX(1,$NW79))&amp;" · "&amp;CHOOSE(MAX(1,$NW79),"Leve","Média","Pesada","Leve · Livre","Média · Livre","Pesada · Livre")))</f>
        <v/>
      </c>
      <c r="QQ79" s="164">
        <f>IF(OR($ND79=0,$NB79=""),"",IF($MS79=0,"não devolve","+"&amp;IF($OI79=1,CEILING($MS79/2,1),$MS79)))</f>
        <v/>
      </c>
      <c r="QR79" s="164">
        <f>IF(OR($ND79=0,$NC79=""),"",IF($MS79=0,"não devolve","+"&amp;IF($OJ79=1,CEILING($MS79/2,1),$MS79)))</f>
        <v/>
      </c>
      <c r="RK79">
        <f>IF($MX79="","",IFERROR(VLOOKUP(SUBSTITUTE(SUBSTITUTE(SUBSTITUTE($MX79,"~","~~"),"*","~*"),"?","~?"),'DADOS_MELHORIAS'!$O$2:$X$113,10,FALSE),$MX79))</f>
        <v/>
      </c>
      <c r="RL79">
        <f>IF($MY79="","",IFERROR(VLOOKUP(SUBSTITUTE(SUBSTITUTE(SUBSTITUTE($MY79,"~","~~"),"*","~*"),"?","~?"),'DADOS_MELHORIAS'!$O$2:$X$113,10,FALSE),$MY79))</f>
        <v/>
      </c>
      <c r="RM79">
        <f>IF($MZ79="","",IFERROR(VLOOKUP(SUBSTITUTE(SUBSTITUTE(SUBSTITUTE($MZ79,"~","~~"),"*","~*"),"?","~?"),'DADOS_MELHORIAS'!$O$2:$X$113,10,FALSE),$MZ79))</f>
        <v/>
      </c>
      <c r="RN79">
        <f>IF($NA79="","",IFERROR(VLOOKUP(SUBSTITUTE(SUBSTITUTE(SUBSTITUTE($NA79,"~","~~"),"*","~*"),"?","~?"),'DADOS_MELHORIAS'!$O$2:$X$113,10,FALSE),$NA79))</f>
        <v/>
      </c>
      <c r="RO79">
        <f>IFERROR(INDEX('DADOS_FORMAS'!$BJ$2:$BJ$21,MATCH(SUBSTITUTE(SUBSTITUTE(SUBSTITUTE($MU79,"~","~~"),"*","~*"),"?","~?"),'DADOS_FORMAS'!$AH$2:$AH$21,0)),"")</f>
        <v/>
      </c>
      <c r="RP79">
        <f>IFERROR(VLOOKUP(SUBSTITUTE(SUBSTITUTE(SUBSTITUTE(IFERROR(INDEX('DADOS_FORMAS'!$AS$2:$AS$21,MATCH(SUBSTITUTE(SUBSTITUTE(SUBSTITUTE($MU79,"~","~~"),"*","~*"),"?","~?"),'DADOS_FORMAS'!$AH$2:$AH$21,0)),""),"~","~~"),"*","~*"),"?","~?"),'DADOS_RESTRICOES'!$M$2:$Q$54,2,FALSE),"")</f>
        <v/>
      </c>
      <c r="RQ79">
        <f>$OK79</f>
        <v/>
      </c>
      <c r="RR79">
        <f>$OL79</f>
        <v/>
      </c>
      <c r="RS79">
        <f>$RP79</f>
        <v/>
      </c>
    </row>
    <row r="80">
      <c r="AV80" s="162" t="inlineStr">
        <is>
          <t>Reserva</t>
        </is>
      </c>
      <c r="AW80" s="162" t="inlineStr">
        <is>
          <t>Amparo</t>
        </is>
      </c>
      <c r="AX80" s="164" t="n">
        <v>2</v>
      </c>
      <c r="AY80" s="164" t="n">
        <v>0</v>
      </c>
      <c r="AZ80" s="164" t="n">
        <v>0</v>
      </c>
      <c r="BA80" s="164" t="n">
        <v>0</v>
      </c>
      <c r="JT80" s="164">
        <f>IF(OR($AW80="",(COUNTIF($EL$2:$EP$2,$AW80)+COUNTIF($QV$2:$QY$2,$AW80))&gt;0),$AV80,"")</f>
        <v/>
      </c>
      <c r="JU80" s="164">
        <f>IF(AND($AX80=1,OR($AW80="",(COUNTIF($EL$2:$EP$2,$AW80)+COUNTIF($QV$2:$QY$2,$AW80))&gt;0)),$AV80,"")</f>
        <v/>
      </c>
      <c r="JZ80" s="164">
        <f>IF(OR($AW80="",(COUNTIF($EL$3:$EP$3,$AW80)+COUNTIF($QV$3:$QY$3,$AW80))&gt;0),$AV80,"")</f>
        <v/>
      </c>
      <c r="KA80" s="164">
        <f>IF(AND($AX80=1,OR($AW80="",(COUNTIF($EL$3:$EP$3,$AW80)+COUNTIF($QV$3:$QY$3,$AW80))&gt;0)),$AV80,"")</f>
        <v/>
      </c>
      <c r="KF80" s="164">
        <f>IF(OR($AW80="",(COUNTIF($EL$4:$EP$4,$AW80)+COUNTIF($QV$4:$QY$4,$AW80))&gt;0),$AV80,"")</f>
        <v/>
      </c>
      <c r="KG80" s="164">
        <f>IF(AND($AX80=1,OR($AW80="",(COUNTIF($EL$4:$EP$4,$AW80)+COUNTIF($QV$4:$QY$4,$AW80))&gt;0)),$AV80,"")</f>
        <v/>
      </c>
      <c r="KL80" s="164">
        <f>IF(OR($AW80="",(COUNTIF($EL$5:$EP$5,$AW80)+COUNTIF($QV$5:$QY$5,$AW80))&gt;0),$AV80,"")</f>
        <v/>
      </c>
      <c r="KM80" s="164">
        <f>IF(AND($AX80=1,OR($AW80="",(COUNTIF($EL$5:$EP$5,$AW80)+COUNTIF($QV$5:$QY$5,$AW80))&gt;0)),$AV80,"")</f>
        <v/>
      </c>
      <c r="KR80" s="164">
        <f>IF(OR($AW80="",(COUNTIF($EL$6:$EP$6,$AW80)+COUNTIF($QV$6:$QY$6,$AW80))&gt;0),$AV80,"")</f>
        <v/>
      </c>
      <c r="KS80" s="164">
        <f>IF(AND($AX80=1,OR($AW80="",(COUNTIF($EL$6:$EP$6,$AW80)+COUNTIF($QV$6:$QY$6,$AW80))&gt;0)),$AV80,"")</f>
        <v/>
      </c>
      <c r="KX80" s="164">
        <f>IF(OR($AW80="",(COUNTIF($EL$7:$EP$7,$AW80)+COUNTIF($QV$7:$QY$7,$AW80))&gt;0),$AV80,"")</f>
        <v/>
      </c>
      <c r="KY80" s="164">
        <f>IF(AND($AX80=1,OR($AW80="",(COUNTIF($EL$7:$EP$7,$AW80)+COUNTIF($QV$7:$QY$7,$AW80))&gt;0)),$AV80,"")</f>
        <v/>
      </c>
      <c r="LD80" s="164">
        <f>IF(OR($AW80="",(COUNTIF($EL$8:$EP$8,$AW80)+COUNTIF($QV$8:$QY$8,$AW80))&gt;0),$AV80,"")</f>
        <v/>
      </c>
      <c r="LE80" s="164">
        <f>IF(AND($AX80=1,OR($AW80="",(COUNTIF($EL$8:$EP$8,$AW80)+COUNTIF($QV$8:$QY$8,$AW80))&gt;0)),$AV80,"")</f>
        <v/>
      </c>
      <c r="LJ80" s="164">
        <f>IF(OR($AW80="",(COUNTIF($EL$9:$EP$9,$AW80)+COUNTIF($QV$9:$QY$9,$AW80))&gt;0),$AV80,"")</f>
        <v/>
      </c>
      <c r="LK80" s="164">
        <f>IF(AND($AX80=1,OR($AW80="",(COUNTIF($EL$9:$EP$9,$AW80)+COUNTIF($QV$9:$QY$9,$AW80))&gt;0)),$AV80,"")</f>
        <v/>
      </c>
      <c r="LP80" s="164">
        <f>IF(OR($AW80="",(COUNTIF($EL$10:$EP$10,$AW80)+COUNTIF($QV$10:$QY$10,$AW80))&gt;0),$AV80,"")</f>
        <v/>
      </c>
      <c r="LQ80" s="164">
        <f>IF(AND($AX80=1,OR($AW80="",(COUNTIF($EL$10:$EP$10,$AW80)+COUNTIF($QV$10:$QY$10,$AW80))&gt;0)),$AV80,"")</f>
        <v/>
      </c>
      <c r="LV80" s="164">
        <f>IF(OR($AW80="",(COUNTIF($EL$11:$EP$11,$AW80)+COUNTIF($QV$11:$QY$11,$AW80))&gt;0),$AV80,"")</f>
        <v/>
      </c>
      <c r="LW80" s="164">
        <f>IF(AND($AX80=1,OR($AW80="",(COUNTIF($EL$11:$EP$11,$AW80)+COUNTIF($QV$11:$QY$11,$AW80))&gt;0)),$AV80,"")</f>
        <v/>
      </c>
      <c r="MB80" s="164">
        <f>IF(OR($AW80="",(COUNTIF($EL$12:$EP$12,$AW80)+COUNTIF($QV$12:$QY$12,$AW80))&gt;0),$AV80,"")</f>
        <v/>
      </c>
      <c r="MC80" s="164">
        <f>IF(AND($AX80=1,OR($AW80="",(COUNTIF($EL$12:$EP$12,$AW80)+COUNTIF($QV$12:$QY$12,$AW80))&gt;0)),$AV80,"")</f>
        <v/>
      </c>
      <c r="MH80" s="164">
        <f>IF(OR($AW80="",(COUNTIF($EL$13:$EP$13,$AW80)+COUNTIF($QV$13:$QY$13,$AW80))&gt;0),$AV80,"")</f>
        <v/>
      </c>
      <c r="MI80" s="164">
        <f>IF(AND($AX80=1,OR($AW80="",(COUNTIF($EL$13:$EP$13,$AW80)+COUNTIF($QV$13:$QY$13,$AW80))&gt;0)),$AV80,"")</f>
        <v/>
      </c>
      <c r="MN80" s="162" t="inlineStr">
        <is>
          <t>Ficha 7 · Básica 1</t>
        </is>
      </c>
      <c r="MO80" s="164" t="n">
        <v>7</v>
      </c>
      <c r="MP80" s="164" t="n">
        <v>0</v>
      </c>
      <c r="MQ80" s="164" t="n">
        <v>1</v>
      </c>
      <c r="MR80" s="162" t="inlineStr">
        <is>
          <t>BÁSICA 1</t>
        </is>
      </c>
      <c r="MS80" s="164" t="n">
        <v>0</v>
      </c>
      <c r="MT80" s="164">
        <f>'INVOCAÇÕES'!$AC$71&amp;""</f>
        <v/>
      </c>
      <c r="MU80" s="164">
        <f>'INVOCAÇÕES'!$AB$76&amp;""</f>
        <v/>
      </c>
      <c r="MV80" s="164">
        <f>'INVOCAÇÕES'!$AB$77&amp;""</f>
        <v/>
      </c>
      <c r="MW80" s="164">
        <f>'INVOCAÇÕES'!$AD$77&amp;""</f>
        <v/>
      </c>
      <c r="MX80" s="164">
        <f>'INVOCAÇÕES'!$AC$80&amp;""</f>
        <v/>
      </c>
      <c r="MY80" s="164">
        <f>'INVOCAÇÕES'!$AC$81&amp;""</f>
        <v/>
      </c>
      <c r="MZ80" s="164">
        <f>'INVOCAÇÕES'!$AC$82&amp;""</f>
        <v/>
      </c>
      <c r="NA80" s="164">
        <f>'INVOCAÇÕES'!$AC$83&amp;""</f>
        <v/>
      </c>
      <c r="NB80" s="164">
        <f>'INVOCAÇÕES'!$AC$84&amp;""</f>
        <v/>
      </c>
      <c r="NC80" s="164">
        <f>'INVOCAÇÕES'!$AC$85&amp;""</f>
        <v/>
      </c>
      <c r="ND80" s="164">
        <f>IF($MT80&lt;&gt;"",1,0)</f>
        <v/>
      </c>
      <c r="NE80" s="164">
        <f>INDEX($FO$2:$FO$13,$MO80)</f>
        <v/>
      </c>
      <c r="NF80" s="164">
        <f>INDEX($FP$2:$FP$13,$MO80)</f>
        <v/>
      </c>
      <c r="NG80" s="164">
        <f>INDEX($FQ$2:$FQ$13,$MO80)</f>
        <v/>
      </c>
      <c r="NH80" s="164">
        <f>INDEX($GB$2:$GB$13,$MO80)</f>
        <v/>
      </c>
      <c r="NI80" s="164">
        <f>INDEX($GC$2:$GC$13,$MO80)</f>
        <v/>
      </c>
      <c r="NJ80" s="164">
        <f>IFERROR(MATCH(SUBSTITUTE(SUBSTITUTE(SUBSTITUTE($MU80,"~","~~"),"*","~*"),"?","~?"),'DADOS_FORMAS'!$FZ$2:$FZ$21,0),0)</f>
        <v/>
      </c>
      <c r="NK80" s="164">
        <f>IFERROR(VLOOKUP(SUBSTITUTE(SUBSTITUTE(SUBSTITUTE($MX80,"~","~~"),"*","~*"),"?","~?"),'DADOS_MELHORIAS'!$AG$2:$AL$113,2,FALSE),"")</f>
        <v/>
      </c>
      <c r="NL80" s="164">
        <f>IFERROR(VLOOKUP(SUBSTITUTE(SUBSTITUTE(SUBSTITUTE($MY80,"~","~~"),"*","~*"),"?","~?"),'DADOS_MELHORIAS'!$AG$2:$AL$113,2,FALSE),"")</f>
        <v/>
      </c>
      <c r="NM80" s="164">
        <f>IFERROR(VLOOKUP(SUBSTITUTE(SUBSTITUTE(SUBSTITUTE($MZ80,"~","~~"),"*","~*"),"?","~?"),'DADOS_MELHORIAS'!$AG$2:$AL$113,2,FALSE),"")</f>
        <v/>
      </c>
      <c r="NN80" s="164">
        <f>IFERROR(VLOOKUP(SUBSTITUTE(SUBSTITUTE(SUBSTITUTE($NA80,"~","~~"),"*","~*"),"?","~?"),'DADOS_MELHORIAS'!$AG$2:$AL$113,2,FALSE),"")</f>
        <v/>
      </c>
      <c r="NO80" s="164">
        <f>IFERROR(VLOOKUP(SUBSTITUTE(SUBSTITUTE(SUBSTITUTE($MX80,"~","~~"),"*","~*"),"?","~?"),'DADOS_MELHORIAS'!$AG$2:$AL$113,3,FALSE),0)</f>
        <v/>
      </c>
      <c r="NP80" s="164">
        <f>IFERROR(VLOOKUP(SUBSTITUTE(SUBSTITUTE(SUBSTITUTE($MY80,"~","~~"),"*","~*"),"?","~?"),'DADOS_MELHORIAS'!$AG$2:$AL$113,3,FALSE),0)</f>
        <v/>
      </c>
      <c r="NQ80" s="164">
        <f>IFERROR(VLOOKUP(SUBSTITUTE(SUBSTITUTE(SUBSTITUTE($MZ80,"~","~~"),"*","~*"),"?","~?"),'DADOS_MELHORIAS'!$AG$2:$AL$113,3,FALSE),0)</f>
        <v/>
      </c>
      <c r="NR80" s="164">
        <f>IFERROR(VLOOKUP(SUBSTITUTE(SUBSTITUTE(SUBSTITUTE($NA80,"~","~~"),"*","~*"),"?","~?"),'DADOS_MELHORIAS'!$AG$2:$AL$113,3,FALSE),0)</f>
        <v/>
      </c>
      <c r="NS80" s="164">
        <f>IF($MS80=0,0,IF($NJ80=0,0,INDEX('DADOS_FORMAS'!$GB$2:$GB$21,$NJ80)))</f>
        <v/>
      </c>
      <c r="NT80" s="164">
        <f>IF(OR($NO80=0,$MS80=0),0,$NO80+3*IF(AND($NK80&lt;&gt;"",COUNTIF(INDEX($RB$2:$RJ$13,$MO80,0),$NK80)&gt;0),1,0))</f>
        <v/>
      </c>
      <c r="NU80" s="164">
        <f>IF(OR($NP80=0,$MS80=0),0,$NP80+3*IF(AND($NL80&lt;&gt;"",COUNTIF(INDEX($RB$2:$RJ$13,$MO80,0),$NL80)&gt;0),1,0))</f>
        <v/>
      </c>
      <c r="NV80" s="164">
        <f>IF(OR($NQ80=0,$MS80=0),0,$NQ80+3*IF(AND($NM80&lt;&gt;"",COUNTIF(INDEX($RB$2:$RJ$13,$MO80,0),$NM80)&gt;0),1,0))</f>
        <v/>
      </c>
      <c r="NW80" s="164">
        <f>IF(OR($NR80=0,$MS80=0),0,$NR80+3*IF(AND($NN80&lt;&gt;"",COUNTIF(INDEX($RB$2:$RJ$13,$MO80,0),$NN80)&gt;0),1,0))</f>
        <v/>
      </c>
      <c r="NX80" s="164">
        <f>IF($NJ80=0,0,IF(INDEX('DADOS_FORMAS'!$GA$2:$GA$21,$NJ80)="",0,IF((COUNTIF(INDEX($EL$2:$EP$13,$MO80,0),INDEX('DADOS_FORMAS'!$GA$2:$GA$21,$NJ80))+COUNTIF(INDEX($QV$2:$QY$13,$MO80,0),INDEX('DADOS_FORMAS'!$GA$2:$GA$21,$NJ80)))=0,1,0)))</f>
        <v/>
      </c>
      <c r="NY80" s="164">
        <f>IF(OR($NO80=0,$NK80=""),0,IF((COUNTIF(INDEX($EL$2:$EP$13,$MO80,0),$NK80)+COUNTIF(INDEX($QV$2:$QY$13,$MO80,0),$NK80))=0,1,0))</f>
        <v/>
      </c>
      <c r="NZ80" s="164">
        <f>IF(OR($NP80=0,$NL80=""),0,IF((COUNTIF(INDEX($EL$2:$EP$13,$MO80,0),$NL80)+COUNTIF(INDEX($QV$2:$QY$13,$MO80,0),$NL80))=0,1,0))</f>
        <v/>
      </c>
      <c r="OA80" s="164">
        <f>IF(OR($NQ80=0,$NM80=""),0,IF((COUNTIF(INDEX($EL$2:$EP$13,$MO80,0),$NM80)+COUNTIF(INDEX($QV$2:$QY$13,$MO80,0),$NM80))=0,1,0))</f>
        <v/>
      </c>
      <c r="OB80" s="164">
        <f>IF(OR($NR80=0,$NN80=""),0,IF((COUNTIF(INDEX($EL$2:$EP$13,$MO80,0),$NN80)+COUNTIF(INDEX($QV$2:$QY$13,$MO80,0),$NN80))=0,1,0))</f>
        <v/>
      </c>
      <c r="OC80" s="164">
        <f>IFERROR(VLOOKUP(SUBSTITUTE(SUBSTITUTE(SUBSTITUTE($MX80,"~","~~"),"*","~*"),"?","~?"),'DADOS_MELHORIAS'!$AG$2:$AL$113,4,FALSE),0)+IFERROR(VLOOKUP(SUBSTITUTE(SUBSTITUTE(SUBSTITUTE($MY80,"~","~~"),"*","~*"),"?","~?"),'DADOS_MELHORIAS'!$AG$2:$AL$113,4,FALSE),0)+IFERROR(VLOOKUP(SUBSTITUTE(SUBSTITUTE(SUBSTITUTE($MZ80,"~","~~"),"*","~*"),"?","~?"),'DADOS_MELHORIAS'!$AG$2:$AL$113,4,FALSE),0)+IFERROR(VLOOKUP(SUBSTITUTE(SUBSTITUTE(SUBSTITUTE($NA80,"~","~~"),"*","~*"),"?","~?"),'DADOS_MELHORIAS'!$AG$2:$AL$113,4,FALSE),0)</f>
        <v/>
      </c>
      <c r="OD80" s="164">
        <f>IFERROR(VLOOKUP(SUBSTITUTE(SUBSTITUTE(SUBSTITUTE($MX80,"~","~~"),"*","~*"),"?","~?"),'DADOS_MELHORIAS'!$AG$2:$AL$113,6,FALSE),0)+IFERROR(VLOOKUP(SUBSTITUTE(SUBSTITUTE(SUBSTITUTE($MY80,"~","~~"),"*","~*"),"?","~?"),'DADOS_MELHORIAS'!$AG$2:$AL$113,6,FALSE),0)+IFERROR(VLOOKUP(SUBSTITUTE(SUBSTITUTE(SUBSTITUTE($MZ80,"~","~~"),"*","~*"),"?","~?"),'DADOS_MELHORIAS'!$AG$2:$AL$113,6,FALSE),0)+IFERROR(VLOOKUP(SUBSTITUTE(SUBSTITUTE(SUBSTITUTE($NA80,"~","~~"),"*","~*"),"?","~?"),'DADOS_MELHORIAS'!$AG$2:$AL$113,6,FALSE),0)+IFERROR(N(AND(INDEX('DADOS_FORMAS'!$AO$2:$AO$21,MATCH(SUBSTITUTE(SUBSTITUTE(SUBSTITUTE($MU80,"~","~~"),"*","~*"),"?","~?"),'DADOS_FORMAS'!$AH$2:$AH$21,0))="Acerto",$OH80=1)),0)</f>
        <v/>
      </c>
      <c r="OE80" s="164">
        <f>TEXTJOIN(", ",TRUE,IF(IFERROR(VLOOKUP(SUBSTITUTE(SUBSTITUTE(SUBSTITUTE($MX80,"~","~~"),"*","~*"),"?","~?"),'DADOS_MELHORIAS'!$AG$2:$AL$113,5,FALSE),0)=1,$MX80,""),IF(IFERROR(VLOOKUP(SUBSTITUTE(SUBSTITUTE(SUBSTITUTE($MY80,"~","~~"),"*","~*"),"?","~?"),'DADOS_MELHORIAS'!$AG$2:$AL$113,5,FALSE),0)=1,$MY80,""),IF(IFERROR(VLOOKUP(SUBSTITUTE(SUBSTITUTE(SUBSTITUTE($MZ80,"~","~~"),"*","~*"),"?","~?"),'DADOS_MELHORIAS'!$AG$2:$AL$113,5,FALSE),0)=1,$MZ80,""),IF(IFERROR(VLOOKUP(SUBSTITUTE(SUBSTITUTE(SUBSTITUTE($NA80,"~","~~"),"*","~*"),"?","~?"),'DADOS_MELHORIAS'!$AG$2:$AL$113,5,FALSE),0)=1,$NA80,""))</f>
        <v/>
      </c>
      <c r="OF80" s="164">
        <f>IF($NJ80=0,0,INDEX('DADOS_FORMAS'!$GC$2:$GC$21,$NJ80))</f>
        <v/>
      </c>
      <c r="OG80" s="164">
        <f>IF($NJ80=0,0,INDEX('DADOS_FORMAS'!$GD$2:$GD$21,$NJ80))</f>
        <v/>
      </c>
      <c r="OH80" s="164">
        <f>IF($NJ80=0,0,INDEX('DADOS_FORMAS'!$GF$2:$GF$21,$NJ80))</f>
        <v/>
      </c>
      <c r="OI80" s="164">
        <f>IFERROR(VLOOKUP(SUBSTITUTE(SUBSTITUTE(SUBSTITUTE($NB80,"~","~~"),"*","~*"),"?","~?"),'DADOS_RESTRICOES'!$M$2:$Q$54,3,FALSE),0)</f>
        <v/>
      </c>
      <c r="OJ80" s="164">
        <f>IFERROR(VLOOKUP(SUBSTITUTE(SUBSTITUTE(SUBSTITUTE($NC80,"~","~~"),"*","~*"),"?","~?"),'DADOS_RESTRICOES'!$M$2:$Q$54,3,FALSE),0)</f>
        <v/>
      </c>
      <c r="OK80" s="164">
        <f>IFERROR(VLOOKUP(SUBSTITUTE(SUBSTITUTE(SUBSTITUTE($NB80,"~","~~"),"*","~*"),"?","~?"),'DADOS_RESTRICOES'!$M$2:$Q$54,2,FALSE),"")</f>
        <v/>
      </c>
      <c r="OL80" s="164">
        <f>IFERROR(VLOOKUP(SUBSTITUTE(SUBSTITUTE(SUBSTITUTE($NC80,"~","~~"),"*","~*"),"?","~?"),'DADOS_RESTRICOES'!$M$2:$Q$54,2,FALSE),"")</f>
        <v/>
      </c>
      <c r="OM80" s="164">
        <f>COUNTIF($NS80:$NW80,1)</f>
        <v/>
      </c>
      <c r="ON80" s="164">
        <f>COUNTIF($NS80:$NW80,2)</f>
        <v/>
      </c>
      <c r="OO80" s="164">
        <f>COUNTIF($NS80:$NW80,3)</f>
        <v/>
      </c>
      <c r="OP80" s="164">
        <f>COUNTIF($NS80:$NW80,4)</f>
        <v/>
      </c>
      <c r="OQ80" s="164">
        <f>COUNTIF($NS80:$NW80,5)</f>
        <v/>
      </c>
      <c r="OR80" s="164">
        <f>COUNTIF($NS80:$NW80,6)</f>
        <v/>
      </c>
      <c r="OS80" s="164">
        <f>COUNTIF($OI80:$OJ80,1)+IF(IFERROR(INDEX('DADOS_FORMAS'!$AS$2:$AS$21,MATCH(SUBSTITUTE(SUBSTITUTE(SUBSTITUTE($MU80,"~","~~"),"*","~*"),"?","~?"),'DADOS_FORMAS'!$AH$2:$AH$21,0)),"")="",0,IFERROR(N(VLOOKUP(SUBSTITUTE(SUBSTITUTE(SUBSTITUTE(IFERROR(INDEX('DADOS_FORMAS'!$AS$2:$AS$21,MATCH(SUBSTITUTE(SUBSTITUTE(SUBSTITUTE($MU80,"~","~~"),"*","~*"),"?","~?"),'DADOS_FORMAS'!$AH$2:$AH$21,0)),""),"~","~~"),"*","~*"),"?","~?"),'DADOS_RESTRICOES'!$M$2:$Q$54,3,FALSE)=1),0))</f>
        <v/>
      </c>
      <c r="OT80" s="164">
        <f>COUNTIF($OI80:$OJ80,2)+IF(IFERROR(INDEX('DADOS_FORMAS'!$AS$2:$AS$21,MATCH(SUBSTITUTE(SUBSTITUTE(SUBSTITUTE($MU80,"~","~~"),"*","~*"),"?","~?"),'DADOS_FORMAS'!$AH$2:$AH$21,0)),"")="",0,IFERROR(N(VLOOKUP(SUBSTITUTE(SUBSTITUTE(SUBSTITUTE(IFERROR(INDEX('DADOS_FORMAS'!$AS$2:$AS$21,MATCH(SUBSTITUTE(SUBSTITUTE(SUBSTITUTE($MU80,"~","~~"),"*","~*"),"?","~?"),'DADOS_FORMAS'!$AH$2:$AH$21,0)),""),"~","~~"),"*","~*"),"?","~?"),'DADOS_RESTRICOES'!$M$2:$Q$54,3,FALSE)=2),0))</f>
        <v/>
      </c>
      <c r="OU80" s="164">
        <f>COUNTIF($MX80:$NA80,"?*")</f>
        <v/>
      </c>
      <c r="OV80" s="164">
        <f>COUNTIF($NB80:$NC80,"?*")+$OF80</f>
        <v/>
      </c>
      <c r="OW80" s="164">
        <f>IF($MS80=0,0,SUMPRODUCT($OM80:$OR80,INDEX($I$2:$N$8,MAX(1,$MS80),0)))</f>
        <v/>
      </c>
      <c r="OX80" s="164">
        <f>IF($MS80=0,0,$OS80*CEILING($MS80/2,1)+$OT80*$MS80)</f>
        <v/>
      </c>
      <c r="OY80" s="164">
        <f>MIN(2*$MS80,$OX80)</f>
        <v/>
      </c>
      <c r="OZ80" s="164">
        <f>MIN($OY80,$OW80-IF($NS80=0,0,INDEX($I$2:$N$8,MAX(1,$MS80),$NS80)))</f>
        <v/>
      </c>
      <c r="PA80" s="164">
        <f>$OY80-$OZ80</f>
        <v/>
      </c>
      <c r="PB80" s="164">
        <f>IF($MS80=0,0,INDEX($P$2:$P$8,MAX(1,$MS80)))</f>
        <v/>
      </c>
      <c r="PC80" s="164">
        <f>$PB80-$OW80+$OZ80</f>
        <v/>
      </c>
      <c r="PD80" s="164">
        <f>IF($MS80=0,MAX(0,$NG80-IF(AND($OU80&gt;0,COUNTIF($NB80:$NC80,"?*")=0),1,0)),MAX(0,$PC80))</f>
        <v/>
      </c>
      <c r="PE80" s="164">
        <f>IF($MS80=0,0,(IF(COUNTIF($RK80:$RN80,"Salto")&gt;0,1,0)+IF(COUNTIF($RK80:$RN80,"Queima")&gt;0,1,0)+IF(COUNTIF($RK80:$RN80,"Estilhaço")&gt;0,1,0))*FLOOR($PD80/2,1))</f>
        <v/>
      </c>
      <c r="PF80" s="164">
        <f>MAX(0,2-SUMPRODUCT($OM80:$OR80,$I$2:$N$2)+MIN(2,$OS80*1+$OT80*1,SUMPRODUCT($OM80:$OR80,$I$2:$N$2)-IF($NS80=0,0,INDEX($I$2:$N$2,1,$NS80))))</f>
        <v/>
      </c>
      <c r="PG80" s="164">
        <f>MAX(0,4-SUMPRODUCT($OM80:$OR80,$I$3:$N$3)+MIN(4,$OS80*1+$OT80*2,SUMPRODUCT($OM80:$OR80,$I$3:$N$3)-IF($NS80=0,0,INDEX($I$3:$N$3,1,$NS80))))</f>
        <v/>
      </c>
      <c r="PH80" s="164">
        <f>MAX(0,6-SUMPRODUCT($OM80:$OR80,$I$4:$N$4)+MIN(6,$OS80*2+$OT80*3,SUMPRODUCT($OM80:$OR80,$I$4:$N$4)-IF($NS80=0,0,INDEX($I$4:$N$4,1,$NS80))))</f>
        <v/>
      </c>
      <c r="PI80" s="164">
        <f>MAX(0,9-SUMPRODUCT($OM80:$OR80,$I$5:$N$5)+MIN(8,$OS80*2+$OT80*4,SUMPRODUCT($OM80:$OR80,$I$5:$N$5)-IF($NS80=0,0,INDEX($I$5:$N$5,1,$NS80))))</f>
        <v/>
      </c>
      <c r="PJ80" s="164">
        <f>MAX(0,11-SUMPRODUCT($OM80:$OR80,$I$6:$N$6)+MIN(10,$OS80*3+$OT80*5,SUMPRODUCT($OM80:$OR80,$I$6:$N$6)-IF($NS80=0,0,INDEX($I$6:$N$6,1,$NS80))))</f>
        <v/>
      </c>
      <c r="PK80" s="164">
        <f>MAX(0,13-SUMPRODUCT($OM80:$OR80,$I$7:$N$7)+MIN(12,$OS80*3+$OT80*6,SUMPRODUCT($OM80:$OR80,$I$7:$N$7)-IF($NS80=0,0,INDEX($I$7:$N$7,1,$NS80))))</f>
        <v/>
      </c>
      <c r="PL80" s="164">
        <f>MAX(0,16-SUMPRODUCT($OM80:$OR80,$I$8:$N$8)+MIN(14,$OS80*4+$OT80*7,SUMPRODUCT($OM80:$OR80,$I$8:$N$8)-IF($NS80=0,0,INDEX($I$8:$N$8,1,$NS80))))</f>
        <v/>
      </c>
      <c r="PM80" s="164">
        <f>IF($OG80=2,3*$PF80&amp;" de vida temp.",IF($OG80=3,"sem dano",IF($PF80=0,IF($OG80=1,"sem cura","sem dano"),IF($OG80=1,"cura ","")&amp;$PF80&amp;"d8")))</f>
        <v/>
      </c>
      <c r="PN80" s="164">
        <f>IF($OG80=2,3*$PG80&amp;" de vida temp.",IF($OG80=3,"sem dano",IF($PG80=0,IF($OG80=1,"sem cura","sem dano"),IF($OG80=1,"cura ","")&amp;$PG80&amp;"d8")))</f>
        <v/>
      </c>
      <c r="PO80" s="164">
        <f>IF($OG80=2,3*$PH80&amp;" de vida temp.",IF($OG80=3,"sem dano",IF($PH80=0,IF($OG80=1,"sem cura","sem dano"),IF($OG80=1,"cura ","")&amp;$PH80&amp;"d8")))</f>
        <v/>
      </c>
      <c r="PP80" s="164">
        <f>IF($OG80=2,3*$PI80&amp;" de vida temp.",IF($OG80=3,"sem dano",IF($PI80=0,IF($OG80=1,"sem cura","sem dano"),IF($OG80=1,"cura ","")&amp;$PI80&amp;"d8")))</f>
        <v/>
      </c>
      <c r="PQ80" s="164">
        <f>IF($OG80=2,3*$PJ80&amp;" de vida temp.",IF($OG80=3,"sem dano",IF($PJ80=0,IF($OG80=1,"sem cura","sem dano"),IF($OG80=1,"cura ","")&amp;$PJ80&amp;"d8")))</f>
        <v/>
      </c>
      <c r="PR80" s="164">
        <f>IF($OG80=2,3*$PK80&amp;" de vida temp.",IF($OG80=3,"sem dano",IF($PK80=0,IF($OG80=1,"sem cura","sem dano"),IF($OG80=1,"cura ","")&amp;$PK80&amp;"d8")))</f>
        <v/>
      </c>
      <c r="PS80" s="164">
        <f>IF($OG80=2,3*$PL80&amp;" de vida temp.",IF($OG80=3,"sem dano",IF($PL80=0,IF($OG80=1,"sem cura","sem dano"),IF($OG80=1,"cura ","")&amp;$PL80&amp;"d8")))</f>
        <v/>
      </c>
      <c r="PT80" s="164">
        <f>IF($ND80=0,"",TEXTJOIN(" · ",TRUE,IF($ND80=0,"",TEXTJOIN(" · ",TRUE,IF($ND80=0,"",TEXTJOIN(" · ",TRUE,IF($MQ80&gt;$NE80,"Este lugar abre no nível "&amp;$MQ80,""),IF($MS80&gt;$NF80,"Classe "&amp;$MS80&amp;": o nível "&amp;$NE80&amp;" libera até a "&amp;$NF80,""),IF($NX80=1,"A Forma "&amp;$MU80&amp;" pede "&amp;INDEX('DADOS_FORMAS'!$GA$2:$GA$21,$NJ80)&amp;" aberta",""),IF(AND($MS80=0,$NJ80&gt;0,IF($NJ80=0,0,INDEX('DADOS_FORMAS'!$GJ$2:$GJ$21,$NJ80))=0),$MU80&amp;" não existe na Classe 0",""),IF($NY80=1,"Família Fechada: "&amp;$MX80,""),IF($NZ80=1,"Família Fechada: "&amp;$MY80,""),IF($OA80=1,"Família Fechada: "&amp;$MZ80,""),IF($OB80=1,"Família Fechada: "&amp;$NA80,""),IF(AND($MS80&gt;0,$OU80&gt;INDEX($O$2:$O$8,MAX(1,$MS80))),$OU80&amp;" Melhorias: a Classe "&amp;$MS80&amp;" aceita "&amp;INDEX($O$2:$O$8,MAX(1,$MS80)),""),IF(AND($MS80=0,$OU80&gt;1),"A básica aceita uma Melhoria",""),IF(AND($MS80=0,COUNTIF($NO80:$NR80,"&gt;1")&gt;0),"A básica só aceita Melhoria Leve",""),IF(AND($MS80&gt;0,$OV80&gt;2),$OV80&amp;" Restrições"&amp;IF($OF80=1,", contando a que a Forma "&amp;$MU80&amp;" já traz","")&amp;": o limite é 2",""),IF(AND($MS80=0,COUNTIF($NB80:$NC80,"?*")&gt;1),"A básica aceita uma Restrição Leve",""),IF(AND($MS80=0,COUNTIF($OI80:$OJ80,2)&gt;0),"A básica só aceita Restrição Leve",""),IF(AND($MS80&gt;0,$PC80&lt;0),"Orçamento estourado: faltam "&amp;(-$PC80)&amp;IF($PC80&lt;-1," pontos"," ponto"),""),IF(IFERROR(VLOOKUP(SUBSTITUTE(SUBSTITUTE(SUBSTITUTE($NB80,"~","~~"),"*","~*"),"?","~?"),'DADOS_RESTRICOES'!$M$2:$Q$54,4,FALSE),0)+IFERROR(VLOOKUP(SUBSTITUTE(SUBSTITUTE(SUBSTITUTE($NC80,"~","~~"),"*","~*"),"?","~?"),'DADOS_RESTRICOES'!$M$2:$Q$54,4,FALSE),0)&gt;1,$OK80&amp;" e "&amp;$OL80&amp;" são as duas de frequência",""),IF(AND((COUNTIF($RK80:$RN80,"Rápido")+COUNTIF($OK80:$OL80,"Rápido"))&gt;0,(COUNTIF($MX80:$NA80,"Atrasar")+COUNTIF($OK80:$OL80,"Atrasar"))&gt;0),"Rápido não entra com Atrasar",""),IF(AND((COUNTIF($RK80:$RN80,"Reação")+COUNTIF($OK80:$OL80,"Reação"))&gt;0,(COUNTIF($RK80:$RN80,"Rápido")+COUNTIF($OK80:$OL80,"Rápido"))&gt;0),"Reação não entra com Rápido",""),IF(AND((COUNTIF($RK80:$RN80,"Reação")+COUNTIF($OK80:$OL80,"Reação"))&gt;0,(COUNTIF($RK80:$RN80,"Armado")+COUNTIF($OK80:$OL80,"Armado"))&gt;0),"Reação não entra com Armado",""),IF(AND((COUNTIF($RK80:$RN80,"Reação")+COUNTIF($OK80:$OL80,"Reação"))&gt;0,(COUNTIF($MX80:$NA80,"Atrasar")+COUNTIF($OK80:$OL80,"Atrasar"))&gt;0),"Reação não entra com Atrasar",""),IF(AND((COUNTIF($RK80:$RN80,"Reação")+COUNTIF($OK80:$OL80,"Reação"))&gt;0,(COUNTIF($MX80:$NA80,"Parado")+COUNTIF($OK80:$OL80,"Parado"))&gt;0),"Reação não entra com Parado",""),IF(AND((COUNTIF($MX80:$NA80,"Atrasar")+COUNTIF($OK80:$OL80,"Atrasar"))&gt;0,(COUNTIF($MX80:$NA80,"Parado")+COUNTIF($OK80:$OL80,"Parado"))&gt;0),"Atrasar não entra com Parado",""),IF(AND((COUNTIF($RK80:$RN80,"Armado")+COUNTIF($OK80:$OL80,"Armado"))&gt;0,(COUNTIF($MX80:$NA80,"Carregar")+COUNTIF($OK80:$OL80,"Carregar"))&gt;0),"Armado não entra com Carregar",""),IF(AND(COUNTIF($OK80:$OL80,"Corpo a Corpo")&gt;0,$OF80=0,OR($RO80="Cone",$RO80="Linha")),"Corpo a Corpo não entra em "&amp;$MU80,""),IF(AND(COUNTIF($OK80:$OL80,"Corpo a Corpo")&gt;0,$RP80="Corpo a Corpo"),"A Forma "&amp;$MU80&amp;" já traz o Corpo a Corpo",""),IF(AND(COUNTIF($OK80:$OL80,"Tudo ou Nada")&gt;0,$OH80=0),"Tudo ou Nada só entra em habilidade de Teste de Resistência",""),IF(AND(COUNTIF($RK80:$RN80,"Inescapável")&gt;0,OR($OU80&gt;1,$OV80&gt;0)),"Inescapável não aceita outra peça",""),IF(AND($MS80&gt;0,$PD80*IF(COUNTIF($RK80:$RN80,"Remate")&gt;0,1.25,1)+$PE80&gt;4*$MS80),($PD80*IF(COUNTIF($RK80:$RN80,"Remate")&gt;0,1.25,1)+$PE80)&amp;" dados somando repetições"&amp;IF(COUNTIF($RK80:$RN80,"Remate")&gt;0," e o Remate","")&amp;": o teto da Classe "&amp;$MS80&amp;" é "&amp;4*$MS80,""))),IF(AND($MX80&lt;&gt;"",COUNTIF('DADOS_MELHORIAS'!$O$2:$O$113,SUBSTITUTE(SUBSTITUTE(SUBSTITUTE($MX80,"~","~~"),"*","~*"),"?","~?"))=0),"Melhoria não cadastrada ou com erro: "&amp;$MX80,""),IF(AND($MY80&lt;&gt;"",COUNTIF('DADOS_MELHORIAS'!$O$2:$O$113,SUBSTITUTE(SUBSTITUTE(SUBSTITUTE($MY80,"~","~~"),"*","~*"),"?","~?"))=0),"Melhoria não cadastrada ou com erro: "&amp;$MY80,""),IF(AND($MZ80&lt;&gt;"",COUNTIF('DADOS_MELHORIAS'!$O$2:$O$113,SUBSTITUTE(SUBSTITUTE(SUBSTITUTE($MZ80,"~","~~"),"*","~*"),"?","~?"))=0),"Melhoria não cadastrada ou com erro: "&amp;$MZ80,""),IF(AND($NA80&lt;&gt;"",COUNTIF('DADOS_MELHORIAS'!$O$2:$O$113,SUBSTITUTE(SUBSTITUTE(SUBSTITUTE($NA80,"~","~~"),"*","~*"),"?","~?"))=0),"Melhoria não cadastrada ou com erro: "&amp;$NA80,""),IF(AND($NB80&lt;&gt;"",COUNTIF('DADOS_RESTRICOES'!$M$2:$M$54,SUBSTITUTE(SUBSTITUTE(SUBSTITUTE($NB80,"~","~~"),"*","~*"),"?","~?"))=0),"Restrição não cadastrada ou com erro: "&amp;$NB80,""),IF(AND($NC80&lt;&gt;"",COUNTIF('DADOS_RESTRICOES'!$M$2:$M$54,SUBSTITUTE(SUBSTITUTE(SUBSTITUTE($NC80,"~","~~"),"*","~*"),"?","~?"))=0),"Restrição não cadastrada ou com erro: "&amp;$NC80,""))),IF(AND($MU80&lt;&gt;"",COUNTIF('DADOS_FORMAS'!$AH$2:$AH$21,SUBSTITUTE(SUBSTITUTE(SUBSTITUTE($MU80,"~","~~"),"*","~*"),"?","~?"))=0),"Forma não cadastrada ou com erro: "&amp;$MU80,""),IF(AND(IFERROR(INDEX('DADOS_FORMAS'!$AS$2:$AS$21,MATCH(SUBSTITUTE(SUBSTITUTE(SUBSTITUTE($MU80,"~","~~"),"*","~*"),"?","~?"),'DADOS_FORMAS'!$AH$2:$AH$21,0)),"")&lt;&gt;"",OR(IFERROR(VLOOKUP(SUBSTITUTE(SUBSTITUTE(SUBSTITUTE(IFERROR(INDEX('DADOS_FORMAS'!$AS$2:$AS$21,MATCH(SUBSTITUTE(SUBSTITUTE(SUBSTITUTE($MU80,"~","~~"),"*","~*"),"?","~?"),'DADOS_FORMAS'!$AH$2:$AH$21,0)),""),"~","~~"),"*","~*"),"?","~?"),'DADOS_RESTRICOES'!$M$2:$Q$54,2,FALSE),"")=$OK80,IFERROR(VLOOKUP(SUBSTITUTE(SUBSTITUTE(SUBSTITUTE(IFERROR(INDEX('DADOS_FORMAS'!$AS$2:$AS$21,MATCH(SUBSTITUTE(SUBSTITUTE(SUBSTITUTE($MU80,"~","~~"),"*","~*"),"?","~?"),'DADOS_FORMAS'!$AH$2:$AH$21,0)),""),"~","~~"),"*","~*"),"?","~?"),'DADOS_RESTRICOES'!$M$2:$Q$54,2,FALSE),"")=$OL80)),"Restrição repetida, contando a embutida",""),IF(IF(IFERROR(INDEX('DADOS_FORMAS'!$AS$2:$AS$21,MATCH(SUBSTITUTE(SUBSTITUTE(SUBSTITUTE($MU80,"~","~~"),"*","~*"),"?","~?"),'DADOS_FORMAS'!$AH$2:$AH$21,0)),"")="",0,IFERROR(N(VLOOKUP(SUBSTITUTE(SUBSTITUTE(SUBSTITUTE(IFERROR(INDEX('DADOS_FORMAS'!$AS$2:$AS$21,MATCH(SUBSTITUTE(SUBSTITUTE(SUBSTITUTE($MU80,"~","~~"),"*","~*"),"?","~?"),'DADOS_FORMAS'!$AH$2:$AH$21,0)),""),"~","~~"),"*","~*"),"?","~?"),'DADOS_RESTRICOES'!$M$2:$Q$54,4,FALSE)=1),0))+IF($NB80="",0,IFERROR(N(VLOOKUP(SUBSTITUTE(SUBSTITUTE(SUBSTITUTE($NB80,"~","~~"),"*","~*"),"?","~?"),'DADOS_RESTRICOES'!$M$2:$Q$54,4,FALSE)=1),0))+IF($NC80="",0,IFERROR(N(VLOOKUP(SUBSTITUTE(SUBSTITUTE(SUBSTITUTE($NC80,"~","~~"),"*","~*"),"?","~?"),'DADOS_RESTRICOES'!$M$2:$Q$54,4,FALSE)=1),0))&gt;1,"Duas Restrições de frequência, contando a embutida",""),IF(AND(IFERROR(VLOOKUP(SUBSTITUTE(SUBSTITUTE(SUBSTITUTE(IFERROR(INDEX('DADOS_FORMAS'!$AS$2:$AS$21,MATCH(SUBSTITUTE(SUBSTITUTE(SUBSTITUTE($MU80,"~","~~"),"*","~*"),"?","~?"),'DADOS_FORMAS'!$AH$2:$AH$21,0)),""),"~","~~"),"*","~*"),"?","~?"),'DADOS_RESTRICOES'!$M$2:$Q$54,2,FALSE),"")="Tudo ou Nada",$OH80=0),"Tudo ou Nada exige TR",""),IF(AND(IFERROR(VLOOKUP(SUBSTITUTE(SUBSTITUTE(SUBSTITUTE(IFERROR(INDEX('DADOS_FORMAS'!$AS$2:$AS$21,MATCH(SUBSTITUTE(SUBSTITUTE(SUBSTITUTE($MU80,"~","~~"),"*","~*"),"?","~?"),'DADOS_FORMAS'!$AH$2:$AH$21,0)),""),"~","~~"),"*","~*"),"?","~?"),'DADOS_RESTRICOES'!$M$2:$Q$54,2,FALSE),"")="Corpo a Corpo",OR($RO80="Cone",$RO80="Linha")),"Corpo a Corpo não entra em Cone/Linha","")))</f>
        <v/>
      </c>
      <c r="PU80" s="164">
        <f>IF($PT80="",0,(LEN($PT80)-LEN(SUBSTITUTE($PT80," · ","")))/3+1)</f>
        <v/>
      </c>
      <c r="PV80" s="164">
        <f>IF($ND80=0,"",TEXTJOIN(" · ",TRUE,IF($OX80&gt;2*$MS80,"A devolução parou no teto de "&amp;2*$MS80,""),IF($PA80&gt;0,"Devolução perdida: "&amp;$PA80&amp;IF($PA80&gt;1," pontos"," ponto")&amp;" sem Melhoria para pagar",""),IF(AND($OC80&gt;0,AND($MS80&gt;0,$OG80=0),$PD80=0),"Controle sem dano: uma rodada a mais e CD +2",""),IF(AND($OC80&gt;0,AND($MS80&gt;0,$OG80=0),$PD80&gt;0,$PD80&lt;=$MS80),"Controle com saldo até a Classe: uma rodada a mais",""),IF(AND($MS80&gt;0,$OE80&lt;&gt;""),"Efeito de "&amp;$OE80&amp;" pela Classe "&amp;MAX(1,$MS80-1),"")))</f>
        <v/>
      </c>
      <c r="PW80" s="164">
        <f>IF($PV80="",0,(LEN($PV80)-LEN(SUBSTITUTE($PV80," · ","")))/3+1)</f>
        <v/>
      </c>
      <c r="PX80" s="164">
        <f>IF($ND80=0,IF($OU80+COUNTIF($NB80:$NC80,"?*")&gt;0,"Dê um nome",""),IF($PU80&gt;0,"⚠ "&amp;$PU80&amp;IF($PU80&gt;1," erros"," erro"),IF($PW80&gt;0,"! "&amp;$PW80&amp;IF($PW80&gt;1," avisos"," aviso"),"Na regra")))</f>
        <v/>
      </c>
      <c r="PY80" s="164">
        <f>IF($ND80=0,"",IF($PU80+$PW80=0,"Dentro das regras que a ficha confere",$PT80&amp;IF(AND($PU80&gt;0,$PW80&gt;0)," · ","")&amp;$PV80))</f>
        <v/>
      </c>
      <c r="PZ80" s="164">
        <f>IF($MQ80&gt;$NE80,$MR80&amp;" · ABRE NO NÍVEL "&amp;$MQ80,$MR80)</f>
        <v/>
      </c>
      <c r="QA80" s="164">
        <f>IF($ND80=0,"",IF($MS80=0,"Sem PE",3*$MS80&amp;" PE"))</f>
        <v/>
      </c>
      <c r="QB80" s="164">
        <f>IF($ND80=0,"",IF($MS80=0,"A atuação básica dela",IF(COUNTIF($RQ80:$RS80,"Atrasar")&gt;0,"Sua Ação Completa",IF(COUNTIF($RK80:$RN80,"Rápido")&gt;0,"Sua Bônus",IF(COUNTIF($RK80:$RN80,"Reação")&gt;0,"Sua Reação","Sua Padrão")))&amp;" + a básica dela"&amp;IF(COUNTIF($RK80:$RN80,"Reação")&gt;0," e a coletiva","")&amp;IF(COUNTIF($RQ80:$RS80,"Carregar")&gt;0," · em dois turnos","")))</f>
        <v/>
      </c>
      <c r="QC80" s="164">
        <f>IF($MW80&lt;&gt;"",$MW80,IF($NJ80=0,"",INDEX('DADOS_FORMAS'!$GE$2:$GE$21,$NJ80)))</f>
        <v/>
      </c>
      <c r="QD80" s="164">
        <f>IF(OR($ND80=0,$NJ80=0),"",IF(COUNTIF($RK80:$RN80,"Inescapável")&gt;0,"Automático",IF($QC80="Ataque",IF($NH80="","Ataque","Ataque "&amp;IF(($NH80+2*IF(COUNTIF($RK80:$RN80,"Precisão")&gt;0,1,0))&gt;=0,"+","−")&amp;ABS(($NH80+2*IF(COUNTIF($RK80:$RN80,"Precisão")&gt;0,1,0))))&amp;IF($OD80&gt;0," · TR"&amp;IF($NI80="",""," CD "&amp;$NI80),""),IF(LEFT($QC80,2)="TR",$QC80&amp;IF($NI80="",""," · CD "&amp;$NI80)&amp;IF(COUNTIF($RK80:$RN80,"Certeiro")&gt;0," · metade",""),"Sem rolagem"))))</f>
        <v/>
      </c>
      <c r="QE80" s="164">
        <f>IF(OR($ND80=0,$NJ80=0),"",IF($MS80=0,IF(OR($OG80&gt;=1,$PD80=0),"Sem dano",$PD80&amp;"d6"&amp;IF($MV80="",""," "&amp;$MV80)),IF(OR($OG80&gt;=1,$PD80=0),UPPER(LEFT(INDEX($PM80:$PS80,1,MAX(1,$MS80)),1))&amp;MID(INDEX($PM80:$PS80,1,MAX(1,$MS80)),2,99),UPPER(LEFT(INDEX($PM80:$PS80,1,MAX(1,$MS80)),1))&amp;MID(INDEX($PM80:$PS80,1,MAX(1,$MS80)),2,99)&amp;IF($MV80="",""," "&amp;$MV80)&amp;IF($PE80&gt;0," · +"&amp;$PE80&amp;"d8",""))))</f>
        <v/>
      </c>
      <c r="QF80" s="164">
        <f>COUNTIF($RK80:$RN80,"Longe")+3*COUNTIF($RK80:$RN80,"Muito Longe")</f>
        <v/>
      </c>
      <c r="QG80" s="164">
        <f>COUNTIF($RK80:$RN80,"Maior")+3*COUNTIF($RK80:$RN80,"Muito Maior")</f>
        <v/>
      </c>
      <c r="QH80" s="164">
        <f>IF($NJ80=0,0,CHOOSE(1+INDEX('DADOS_FORMAS'!$GG$2:$GG$21,$NJ80),0,$QF80,$QG80,$QF80+$QG80))</f>
        <v/>
      </c>
      <c r="QI80" s="164">
        <f>IF($NJ80=0,0,CHOOSE(1+INDEX('DADOS_FORMAS'!$GH$2:$GH$21,$NJ80),0,$QF80,$QG80,$QF80+$QG80))</f>
        <v/>
      </c>
      <c r="QJ80" s="164">
        <f>IF(OR($ND80=0,$NJ80=0),"",INDEX('DADOS_FORMAS'!$HU$2:$HZ$81,($NJ80-1)*4+IF($MS80=0,1,IF($MS80&lt;=5,2,IF($MS80=6,3,4))),1+MIN(5,$QH80))&amp;INDEX('DADOS_FORMAS'!$IA$2:$IF$81,($NJ80-1)*4+IF($MS80=0,1,IF($MS80&lt;=5,2,IF($MS80=6,3,4))),1+MIN(5,$QI80))&amp;IF(INDEX('DADOS_FORMAS'!$GI$2:$GI$21,$NJ80)=1,IF(COUNTIF($RK80:$RN80,"Mais Um")&gt;0," · +"&amp;COUNTIF($RK80:$RN80,"Mais Um")&amp;IF(COUNTIF($RK80:$RN80,"Mais Um")&gt;1," alvos"," alvo"),"")&amp;IF(COUNTIF($RK80:$RN80,"Rajada")&gt;0,IF($MS80=0," · 1 tiro"," · "&amp;(MAX(1,$MS80-1)+1)&amp;" tiros"),""),""))</f>
        <v/>
      </c>
      <c r="QK80" s="164">
        <f>IF($ND80=0,"",IF($MS80=0,$NG80&amp;"d6"&amp;IF($OU80&gt;0," − 1 = "&amp;$PD80&amp;"d6"," da básica do nível "&amp;$NE80),$PB80&amp;" − "&amp;$OW80&amp;" + "&amp;$OZ80&amp;" = "&amp;$PC80&amp;" · teto "&amp;4*$MS80&amp;"d8"&amp;IF($OF80=1," · a Forma devolve "&amp;$MS80,"")&amp;IF($PA80&gt;0," · perde "&amp;$PA80,"")))</f>
        <v/>
      </c>
      <c r="QL80" s="164">
        <f>IF($ND80=0,"",IF($MS80=0,"A básica não amplia: os dados dela sobem com o nível",IF($MS80&gt;=$NF80,"Já está na maior Classe que o nível liberou",TEXTJOIN(" · ",TRUE,IF(AND(2&gt;$MS80,2&lt;=$NF80),"2 → "&amp;$PN80&amp;", 6 PE",""),IF(AND(3&gt;$MS80,3&lt;=$NF80),"3 → "&amp;$PO80&amp;", 9 PE",""),IF(AND(4&gt;$MS80,4&lt;=$NF80),"4 → "&amp;$PP80&amp;", 12 PE",""),IF(AND(5&gt;$MS80,5&lt;=$NF80),"5 → "&amp;$PQ80&amp;", 15 PE",""),IF(AND(6&gt;$MS80,6&lt;=$NF80),"6 → "&amp;$PR80&amp;", 18 PE",""),IF(AND(7&gt;$MS80,7&lt;=$NF80),"7 → "&amp;$PS80&amp;", 21 PE","")))))</f>
        <v/>
      </c>
      <c r="QM80" s="164">
        <f>IF(OR($ND80=0,$NO80=0),"",IF($MS80=0,"−1 dado","−"&amp;INDEX($I$2:$N$8,MAX(1,$MS80),MAX(1,$NT80))&amp;" · "&amp;CHOOSE(MAX(1,$NT80),"Leve","Média","Pesada","Leve · Livre","Média · Livre","Pesada · Livre")))</f>
        <v/>
      </c>
      <c r="QN80" s="164">
        <f>IF(OR($ND80=0,$NP80=0),"",IF($MS80=0,"−1 dado","−"&amp;INDEX($I$2:$N$8,MAX(1,$MS80),MAX(1,$NU80))&amp;" · "&amp;CHOOSE(MAX(1,$NU80),"Leve","Média","Pesada","Leve · Livre","Média · Livre","Pesada · Livre")))</f>
        <v/>
      </c>
      <c r="QO80" s="164">
        <f>IF(OR($ND80=0,$NQ80=0),"",IF($MS80=0,"−1 dado","−"&amp;INDEX($I$2:$N$8,MAX(1,$MS80),MAX(1,$NV80))&amp;" · "&amp;CHOOSE(MAX(1,$NV80),"Leve","Média","Pesada","Leve · Livre","Média · Livre","Pesada · Livre")))</f>
        <v/>
      </c>
      <c r="QP80" s="164">
        <f>IF(OR($ND80=0,$NR80=0),"",IF($MS80=0,"−1 dado","−"&amp;INDEX($I$2:$N$8,MAX(1,$MS80),MAX(1,$NW80))&amp;" · "&amp;CHOOSE(MAX(1,$NW80),"Leve","Média","Pesada","Leve · Livre","Média · Livre","Pesada · Livre")))</f>
        <v/>
      </c>
      <c r="QQ80" s="164">
        <f>IF(OR($ND80=0,$NB80=""),"",IF($MS80=0,"não devolve","+"&amp;IF($OI80=1,CEILING($MS80/2,1),$MS80)))</f>
        <v/>
      </c>
      <c r="QR80" s="164">
        <f>IF(OR($ND80=0,$NC80=""),"",IF($MS80=0,"não devolve","+"&amp;IF($OJ80=1,CEILING($MS80/2,1),$MS80)))</f>
        <v/>
      </c>
      <c r="RK80">
        <f>IF($MX80="","",IFERROR(VLOOKUP(SUBSTITUTE(SUBSTITUTE(SUBSTITUTE($MX80,"~","~~"),"*","~*"),"?","~?"),'DADOS_MELHORIAS'!$O$2:$X$113,10,FALSE),$MX80))</f>
        <v/>
      </c>
      <c r="RL80">
        <f>IF($MY80="","",IFERROR(VLOOKUP(SUBSTITUTE(SUBSTITUTE(SUBSTITUTE($MY80,"~","~~"),"*","~*"),"?","~?"),'DADOS_MELHORIAS'!$O$2:$X$113,10,FALSE),$MY80))</f>
        <v/>
      </c>
      <c r="RM80">
        <f>IF($MZ80="","",IFERROR(VLOOKUP(SUBSTITUTE(SUBSTITUTE(SUBSTITUTE($MZ80,"~","~~"),"*","~*"),"?","~?"),'DADOS_MELHORIAS'!$O$2:$X$113,10,FALSE),$MZ80))</f>
        <v/>
      </c>
      <c r="RN80">
        <f>IF($NA80="","",IFERROR(VLOOKUP(SUBSTITUTE(SUBSTITUTE(SUBSTITUTE($NA80,"~","~~"),"*","~*"),"?","~?"),'DADOS_MELHORIAS'!$O$2:$X$113,10,FALSE),$NA80))</f>
        <v/>
      </c>
      <c r="RO80">
        <f>IFERROR(INDEX('DADOS_FORMAS'!$BJ$2:$BJ$21,MATCH(SUBSTITUTE(SUBSTITUTE(SUBSTITUTE($MU80,"~","~~"),"*","~*"),"?","~?"),'DADOS_FORMAS'!$AH$2:$AH$21,0)),"")</f>
        <v/>
      </c>
      <c r="RP80">
        <f>IFERROR(VLOOKUP(SUBSTITUTE(SUBSTITUTE(SUBSTITUTE(IFERROR(INDEX('DADOS_FORMAS'!$AS$2:$AS$21,MATCH(SUBSTITUTE(SUBSTITUTE(SUBSTITUTE($MU80,"~","~~"),"*","~*"),"?","~?"),'DADOS_FORMAS'!$AH$2:$AH$21,0)),""),"~","~~"),"*","~*"),"?","~?"),'DADOS_RESTRICOES'!$M$2:$Q$54,2,FALSE),"")</f>
        <v/>
      </c>
      <c r="RQ80">
        <f>$OK80</f>
        <v/>
      </c>
      <c r="RR80">
        <f>$OL80</f>
        <v/>
      </c>
      <c r="RS80">
        <f>$RP80</f>
        <v/>
      </c>
    </row>
    <row r="81">
      <c r="AV81" s="162" t="inlineStr">
        <is>
          <t>Efeito Próprio (Leve)</t>
        </is>
      </c>
      <c r="AW81" s="162" t="inlineStr"/>
      <c r="AX81" s="164" t="n">
        <v>1</v>
      </c>
      <c r="AY81" s="164" t="n">
        <v>0</v>
      </c>
      <c r="AZ81" s="164" t="n">
        <v>0</v>
      </c>
      <c r="BA81" s="164" t="n">
        <v>0</v>
      </c>
      <c r="JT81" s="164">
        <f>IF(OR($AW81="",(COUNTIF($EL$2:$EP$2,$AW81)+COUNTIF($QV$2:$QY$2,$AW81))&gt;0),$AV81,"")</f>
        <v/>
      </c>
      <c r="JU81" s="164">
        <f>IF(AND($AX81=1,OR($AW81="",(COUNTIF($EL$2:$EP$2,$AW81)+COUNTIF($QV$2:$QY$2,$AW81))&gt;0)),$AV81,"")</f>
        <v/>
      </c>
      <c r="JZ81" s="164">
        <f>IF(OR($AW81="",(COUNTIF($EL$3:$EP$3,$AW81)+COUNTIF($QV$3:$QY$3,$AW81))&gt;0),$AV81,"")</f>
        <v/>
      </c>
      <c r="KA81" s="164">
        <f>IF(AND($AX81=1,OR($AW81="",(COUNTIF($EL$3:$EP$3,$AW81)+COUNTIF($QV$3:$QY$3,$AW81))&gt;0)),$AV81,"")</f>
        <v/>
      </c>
      <c r="KF81" s="164">
        <f>IF(OR($AW81="",(COUNTIF($EL$4:$EP$4,$AW81)+COUNTIF($QV$4:$QY$4,$AW81))&gt;0),$AV81,"")</f>
        <v/>
      </c>
      <c r="KG81" s="164">
        <f>IF(AND($AX81=1,OR($AW81="",(COUNTIF($EL$4:$EP$4,$AW81)+COUNTIF($QV$4:$QY$4,$AW81))&gt;0)),$AV81,"")</f>
        <v/>
      </c>
      <c r="KL81" s="164">
        <f>IF(OR($AW81="",(COUNTIF($EL$5:$EP$5,$AW81)+COUNTIF($QV$5:$QY$5,$AW81))&gt;0),$AV81,"")</f>
        <v/>
      </c>
      <c r="KM81" s="164">
        <f>IF(AND($AX81=1,OR($AW81="",(COUNTIF($EL$5:$EP$5,$AW81)+COUNTIF($QV$5:$QY$5,$AW81))&gt;0)),$AV81,"")</f>
        <v/>
      </c>
      <c r="KR81" s="164">
        <f>IF(OR($AW81="",(COUNTIF($EL$6:$EP$6,$AW81)+COUNTIF($QV$6:$QY$6,$AW81))&gt;0),$AV81,"")</f>
        <v/>
      </c>
      <c r="KS81" s="164">
        <f>IF(AND($AX81=1,OR($AW81="",(COUNTIF($EL$6:$EP$6,$AW81)+COUNTIF($QV$6:$QY$6,$AW81))&gt;0)),$AV81,"")</f>
        <v/>
      </c>
      <c r="KX81" s="164">
        <f>IF(OR($AW81="",(COUNTIF($EL$7:$EP$7,$AW81)+COUNTIF($QV$7:$QY$7,$AW81))&gt;0),$AV81,"")</f>
        <v/>
      </c>
      <c r="KY81" s="164">
        <f>IF(AND($AX81=1,OR($AW81="",(COUNTIF($EL$7:$EP$7,$AW81)+COUNTIF($QV$7:$QY$7,$AW81))&gt;0)),$AV81,"")</f>
        <v/>
      </c>
      <c r="LD81" s="164">
        <f>IF(OR($AW81="",(COUNTIF($EL$8:$EP$8,$AW81)+COUNTIF($QV$8:$QY$8,$AW81))&gt;0),$AV81,"")</f>
        <v/>
      </c>
      <c r="LE81" s="164">
        <f>IF(AND($AX81=1,OR($AW81="",(COUNTIF($EL$8:$EP$8,$AW81)+COUNTIF($QV$8:$QY$8,$AW81))&gt;0)),$AV81,"")</f>
        <v/>
      </c>
      <c r="LJ81" s="164">
        <f>IF(OR($AW81="",(COUNTIF($EL$9:$EP$9,$AW81)+COUNTIF($QV$9:$QY$9,$AW81))&gt;0),$AV81,"")</f>
        <v/>
      </c>
      <c r="LK81" s="164">
        <f>IF(AND($AX81=1,OR($AW81="",(COUNTIF($EL$9:$EP$9,$AW81)+COUNTIF($QV$9:$QY$9,$AW81))&gt;0)),$AV81,"")</f>
        <v/>
      </c>
      <c r="LP81" s="164">
        <f>IF(OR($AW81="",(COUNTIF($EL$10:$EP$10,$AW81)+COUNTIF($QV$10:$QY$10,$AW81))&gt;0),$AV81,"")</f>
        <v/>
      </c>
      <c r="LQ81" s="164">
        <f>IF(AND($AX81=1,OR($AW81="",(COUNTIF($EL$10:$EP$10,$AW81)+COUNTIF($QV$10:$QY$10,$AW81))&gt;0)),$AV81,"")</f>
        <v/>
      </c>
      <c r="LV81" s="164">
        <f>IF(OR($AW81="",(COUNTIF($EL$11:$EP$11,$AW81)+COUNTIF($QV$11:$QY$11,$AW81))&gt;0),$AV81,"")</f>
        <v/>
      </c>
      <c r="LW81" s="164">
        <f>IF(AND($AX81=1,OR($AW81="",(COUNTIF($EL$11:$EP$11,$AW81)+COUNTIF($QV$11:$QY$11,$AW81))&gt;0)),$AV81,"")</f>
        <v/>
      </c>
      <c r="MB81" s="164">
        <f>IF(OR($AW81="",(COUNTIF($EL$12:$EP$12,$AW81)+COUNTIF($QV$12:$QY$12,$AW81))&gt;0),$AV81,"")</f>
        <v/>
      </c>
      <c r="MC81" s="164">
        <f>IF(AND($AX81=1,OR($AW81="",(COUNTIF($EL$12:$EP$12,$AW81)+COUNTIF($QV$12:$QY$12,$AW81))&gt;0)),$AV81,"")</f>
        <v/>
      </c>
      <c r="MH81" s="164">
        <f>IF(OR($AW81="",(COUNTIF($EL$13:$EP$13,$AW81)+COUNTIF($QV$13:$QY$13,$AW81))&gt;0),$AV81,"")</f>
        <v/>
      </c>
      <c r="MI81" s="164">
        <f>IF(AND($AX81=1,OR($AW81="",(COUNTIF($EL$13:$EP$13,$AW81)+COUNTIF($QV$13:$QY$13,$AW81))&gt;0)),$AV81,"")</f>
        <v/>
      </c>
      <c r="MN81" s="162" t="inlineStr">
        <is>
          <t>Ficha 7 · Especial 1</t>
        </is>
      </c>
      <c r="MO81" s="164" t="n">
        <v>7</v>
      </c>
      <c r="MP81" s="164" t="n">
        <v>1</v>
      </c>
      <c r="MQ81" s="164" t="n">
        <v>1</v>
      </c>
      <c r="MR81" s="162" t="inlineStr">
        <is>
          <t>ESPECIAL 1</t>
        </is>
      </c>
      <c r="MS81" s="164">
        <f>MAX(1,MIN(7,N('INVOCAÇÕES'!$AH$71)))</f>
        <v/>
      </c>
      <c r="MT81" s="164">
        <f>'INVOCAÇÕES'!$AI$71&amp;""</f>
        <v/>
      </c>
      <c r="MU81" s="164">
        <f>'INVOCAÇÕES'!$AH$76&amp;""</f>
        <v/>
      </c>
      <c r="MV81" s="164">
        <f>'INVOCAÇÕES'!$AH$77&amp;""</f>
        <v/>
      </c>
      <c r="MW81" s="164">
        <f>'INVOCAÇÕES'!$AJ$77&amp;""</f>
        <v/>
      </c>
      <c r="MX81" s="164">
        <f>'INVOCAÇÕES'!$AI$80&amp;""</f>
        <v/>
      </c>
      <c r="MY81" s="164">
        <f>'INVOCAÇÕES'!$AI$81&amp;""</f>
        <v/>
      </c>
      <c r="MZ81" s="164">
        <f>'INVOCAÇÕES'!$AI$82&amp;""</f>
        <v/>
      </c>
      <c r="NA81" s="164">
        <f>'INVOCAÇÕES'!$AI$83&amp;""</f>
        <v/>
      </c>
      <c r="NB81" s="164">
        <f>'INVOCAÇÕES'!$AI$84&amp;""</f>
        <v/>
      </c>
      <c r="NC81" s="164">
        <f>'INVOCAÇÕES'!$AI$85&amp;""</f>
        <v/>
      </c>
      <c r="ND81" s="164">
        <f>IF($MT81&lt;&gt;"",1,0)</f>
        <v/>
      </c>
      <c r="NE81" s="164">
        <f>INDEX($FO$2:$FO$13,$MO81)</f>
        <v/>
      </c>
      <c r="NF81" s="164">
        <f>INDEX($FP$2:$FP$13,$MO81)</f>
        <v/>
      </c>
      <c r="NG81" s="164">
        <f>INDEX($FQ$2:$FQ$13,$MO81)</f>
        <v/>
      </c>
      <c r="NH81" s="164">
        <f>INDEX($GB$2:$GB$13,$MO81)</f>
        <v/>
      </c>
      <c r="NI81" s="164">
        <f>INDEX($GC$2:$GC$13,$MO81)</f>
        <v/>
      </c>
      <c r="NJ81" s="164">
        <f>IFERROR(MATCH(SUBSTITUTE(SUBSTITUTE(SUBSTITUTE($MU81,"~","~~"),"*","~*"),"?","~?"),'DADOS_FORMAS'!$FZ$2:$FZ$21,0),0)</f>
        <v/>
      </c>
      <c r="NK81" s="164">
        <f>IFERROR(VLOOKUP(SUBSTITUTE(SUBSTITUTE(SUBSTITUTE($MX81,"~","~~"),"*","~*"),"?","~?"),'DADOS_MELHORIAS'!$AG$2:$AL$113,2,FALSE),"")</f>
        <v/>
      </c>
      <c r="NL81" s="164">
        <f>IFERROR(VLOOKUP(SUBSTITUTE(SUBSTITUTE(SUBSTITUTE($MY81,"~","~~"),"*","~*"),"?","~?"),'DADOS_MELHORIAS'!$AG$2:$AL$113,2,FALSE),"")</f>
        <v/>
      </c>
      <c r="NM81" s="164">
        <f>IFERROR(VLOOKUP(SUBSTITUTE(SUBSTITUTE(SUBSTITUTE($MZ81,"~","~~"),"*","~*"),"?","~?"),'DADOS_MELHORIAS'!$AG$2:$AL$113,2,FALSE),"")</f>
        <v/>
      </c>
      <c r="NN81" s="164">
        <f>IFERROR(VLOOKUP(SUBSTITUTE(SUBSTITUTE(SUBSTITUTE($NA81,"~","~~"),"*","~*"),"?","~?"),'DADOS_MELHORIAS'!$AG$2:$AL$113,2,FALSE),"")</f>
        <v/>
      </c>
      <c r="NO81" s="164">
        <f>IFERROR(VLOOKUP(SUBSTITUTE(SUBSTITUTE(SUBSTITUTE($MX81,"~","~~"),"*","~*"),"?","~?"),'DADOS_MELHORIAS'!$AG$2:$AL$113,3,FALSE),0)</f>
        <v/>
      </c>
      <c r="NP81" s="164">
        <f>IFERROR(VLOOKUP(SUBSTITUTE(SUBSTITUTE(SUBSTITUTE($MY81,"~","~~"),"*","~*"),"?","~?"),'DADOS_MELHORIAS'!$AG$2:$AL$113,3,FALSE),0)</f>
        <v/>
      </c>
      <c r="NQ81" s="164">
        <f>IFERROR(VLOOKUP(SUBSTITUTE(SUBSTITUTE(SUBSTITUTE($MZ81,"~","~~"),"*","~*"),"?","~?"),'DADOS_MELHORIAS'!$AG$2:$AL$113,3,FALSE),0)</f>
        <v/>
      </c>
      <c r="NR81" s="164">
        <f>IFERROR(VLOOKUP(SUBSTITUTE(SUBSTITUTE(SUBSTITUTE($NA81,"~","~~"),"*","~*"),"?","~?"),'DADOS_MELHORIAS'!$AG$2:$AL$113,3,FALSE),0)</f>
        <v/>
      </c>
      <c r="NS81" s="164">
        <f>IF($MS81=0,0,IF($NJ81=0,0,INDEX('DADOS_FORMAS'!$GB$2:$GB$21,$NJ81)))</f>
        <v/>
      </c>
      <c r="NT81" s="164">
        <f>IF(OR($NO81=0,$MS81=0),0,$NO81+3*IF(AND($NK81&lt;&gt;"",COUNTIF(INDEX($RB$2:$RJ$13,$MO81,0),$NK81)&gt;0),1,0))</f>
        <v/>
      </c>
      <c r="NU81" s="164">
        <f>IF(OR($NP81=0,$MS81=0),0,$NP81+3*IF(AND($NL81&lt;&gt;"",COUNTIF(INDEX($RB$2:$RJ$13,$MO81,0),$NL81)&gt;0),1,0))</f>
        <v/>
      </c>
      <c r="NV81" s="164">
        <f>IF(OR($NQ81=0,$MS81=0),0,$NQ81+3*IF(AND($NM81&lt;&gt;"",COUNTIF(INDEX($RB$2:$RJ$13,$MO81,0),$NM81)&gt;0),1,0))</f>
        <v/>
      </c>
      <c r="NW81" s="164">
        <f>IF(OR($NR81=0,$MS81=0),0,$NR81+3*IF(AND($NN81&lt;&gt;"",COUNTIF(INDEX($RB$2:$RJ$13,$MO81,0),$NN81)&gt;0),1,0))</f>
        <v/>
      </c>
      <c r="NX81" s="164">
        <f>IF($NJ81=0,0,IF(INDEX('DADOS_FORMAS'!$GA$2:$GA$21,$NJ81)="",0,IF((COUNTIF(INDEX($EL$2:$EP$13,$MO81,0),INDEX('DADOS_FORMAS'!$GA$2:$GA$21,$NJ81))+COUNTIF(INDEX($QV$2:$QY$13,$MO81,0),INDEX('DADOS_FORMAS'!$GA$2:$GA$21,$NJ81)))=0,1,0)))</f>
        <v/>
      </c>
      <c r="NY81" s="164">
        <f>IF(OR($NO81=0,$NK81=""),0,IF((COUNTIF(INDEX($EL$2:$EP$13,$MO81,0),$NK81)+COUNTIF(INDEX($QV$2:$QY$13,$MO81,0),$NK81))=0,1,0))</f>
        <v/>
      </c>
      <c r="NZ81" s="164">
        <f>IF(OR($NP81=0,$NL81=""),0,IF((COUNTIF(INDEX($EL$2:$EP$13,$MO81,0),$NL81)+COUNTIF(INDEX($QV$2:$QY$13,$MO81,0),$NL81))=0,1,0))</f>
        <v/>
      </c>
      <c r="OA81" s="164">
        <f>IF(OR($NQ81=0,$NM81=""),0,IF((COUNTIF(INDEX($EL$2:$EP$13,$MO81,0),$NM81)+COUNTIF(INDEX($QV$2:$QY$13,$MO81,0),$NM81))=0,1,0))</f>
        <v/>
      </c>
      <c r="OB81" s="164">
        <f>IF(OR($NR81=0,$NN81=""),0,IF((COUNTIF(INDEX($EL$2:$EP$13,$MO81,0),$NN81)+COUNTIF(INDEX($QV$2:$QY$13,$MO81,0),$NN81))=0,1,0))</f>
        <v/>
      </c>
      <c r="OC81" s="164">
        <f>IFERROR(VLOOKUP(SUBSTITUTE(SUBSTITUTE(SUBSTITUTE($MX81,"~","~~"),"*","~*"),"?","~?"),'DADOS_MELHORIAS'!$AG$2:$AL$113,4,FALSE),0)+IFERROR(VLOOKUP(SUBSTITUTE(SUBSTITUTE(SUBSTITUTE($MY81,"~","~~"),"*","~*"),"?","~?"),'DADOS_MELHORIAS'!$AG$2:$AL$113,4,FALSE),0)+IFERROR(VLOOKUP(SUBSTITUTE(SUBSTITUTE(SUBSTITUTE($MZ81,"~","~~"),"*","~*"),"?","~?"),'DADOS_MELHORIAS'!$AG$2:$AL$113,4,FALSE),0)+IFERROR(VLOOKUP(SUBSTITUTE(SUBSTITUTE(SUBSTITUTE($NA81,"~","~~"),"*","~*"),"?","~?"),'DADOS_MELHORIAS'!$AG$2:$AL$113,4,FALSE),0)</f>
        <v/>
      </c>
      <c r="OD81" s="164">
        <f>IFERROR(VLOOKUP(SUBSTITUTE(SUBSTITUTE(SUBSTITUTE($MX81,"~","~~"),"*","~*"),"?","~?"),'DADOS_MELHORIAS'!$AG$2:$AL$113,6,FALSE),0)+IFERROR(VLOOKUP(SUBSTITUTE(SUBSTITUTE(SUBSTITUTE($MY81,"~","~~"),"*","~*"),"?","~?"),'DADOS_MELHORIAS'!$AG$2:$AL$113,6,FALSE),0)+IFERROR(VLOOKUP(SUBSTITUTE(SUBSTITUTE(SUBSTITUTE($MZ81,"~","~~"),"*","~*"),"?","~?"),'DADOS_MELHORIAS'!$AG$2:$AL$113,6,FALSE),0)+IFERROR(VLOOKUP(SUBSTITUTE(SUBSTITUTE(SUBSTITUTE($NA81,"~","~~"),"*","~*"),"?","~?"),'DADOS_MELHORIAS'!$AG$2:$AL$113,6,FALSE),0)+IFERROR(N(AND(INDEX('DADOS_FORMAS'!$AO$2:$AO$21,MATCH(SUBSTITUTE(SUBSTITUTE(SUBSTITUTE($MU81,"~","~~"),"*","~*"),"?","~?"),'DADOS_FORMAS'!$AH$2:$AH$21,0))="Acerto",$OH81=1)),0)</f>
        <v/>
      </c>
      <c r="OE81" s="164">
        <f>TEXTJOIN(", ",TRUE,IF(IFERROR(VLOOKUP(SUBSTITUTE(SUBSTITUTE(SUBSTITUTE($MX81,"~","~~"),"*","~*"),"?","~?"),'DADOS_MELHORIAS'!$AG$2:$AL$113,5,FALSE),0)=1,$MX81,""),IF(IFERROR(VLOOKUP(SUBSTITUTE(SUBSTITUTE(SUBSTITUTE($MY81,"~","~~"),"*","~*"),"?","~?"),'DADOS_MELHORIAS'!$AG$2:$AL$113,5,FALSE),0)=1,$MY81,""),IF(IFERROR(VLOOKUP(SUBSTITUTE(SUBSTITUTE(SUBSTITUTE($MZ81,"~","~~"),"*","~*"),"?","~?"),'DADOS_MELHORIAS'!$AG$2:$AL$113,5,FALSE),0)=1,$MZ81,""),IF(IFERROR(VLOOKUP(SUBSTITUTE(SUBSTITUTE(SUBSTITUTE($NA81,"~","~~"),"*","~*"),"?","~?"),'DADOS_MELHORIAS'!$AG$2:$AL$113,5,FALSE),0)=1,$NA81,""))</f>
        <v/>
      </c>
      <c r="OF81" s="164">
        <f>IF($NJ81=0,0,INDEX('DADOS_FORMAS'!$GC$2:$GC$21,$NJ81))</f>
        <v/>
      </c>
      <c r="OG81" s="164">
        <f>IF($NJ81=0,0,INDEX('DADOS_FORMAS'!$GD$2:$GD$21,$NJ81))</f>
        <v/>
      </c>
      <c r="OH81" s="164">
        <f>IF($NJ81=0,0,INDEX('DADOS_FORMAS'!$GF$2:$GF$21,$NJ81))</f>
        <v/>
      </c>
      <c r="OI81" s="164">
        <f>IFERROR(VLOOKUP(SUBSTITUTE(SUBSTITUTE(SUBSTITUTE($NB81,"~","~~"),"*","~*"),"?","~?"),'DADOS_RESTRICOES'!$M$2:$Q$54,3,FALSE),0)</f>
        <v/>
      </c>
      <c r="OJ81" s="164">
        <f>IFERROR(VLOOKUP(SUBSTITUTE(SUBSTITUTE(SUBSTITUTE($NC81,"~","~~"),"*","~*"),"?","~?"),'DADOS_RESTRICOES'!$M$2:$Q$54,3,FALSE),0)</f>
        <v/>
      </c>
      <c r="OK81" s="164">
        <f>IFERROR(VLOOKUP(SUBSTITUTE(SUBSTITUTE(SUBSTITUTE($NB81,"~","~~"),"*","~*"),"?","~?"),'DADOS_RESTRICOES'!$M$2:$Q$54,2,FALSE),"")</f>
        <v/>
      </c>
      <c r="OL81" s="164">
        <f>IFERROR(VLOOKUP(SUBSTITUTE(SUBSTITUTE(SUBSTITUTE($NC81,"~","~~"),"*","~*"),"?","~?"),'DADOS_RESTRICOES'!$M$2:$Q$54,2,FALSE),"")</f>
        <v/>
      </c>
      <c r="OM81" s="164">
        <f>COUNTIF($NS81:$NW81,1)</f>
        <v/>
      </c>
      <c r="ON81" s="164">
        <f>COUNTIF($NS81:$NW81,2)</f>
        <v/>
      </c>
      <c r="OO81" s="164">
        <f>COUNTIF($NS81:$NW81,3)</f>
        <v/>
      </c>
      <c r="OP81" s="164">
        <f>COUNTIF($NS81:$NW81,4)</f>
        <v/>
      </c>
      <c r="OQ81" s="164">
        <f>COUNTIF($NS81:$NW81,5)</f>
        <v/>
      </c>
      <c r="OR81" s="164">
        <f>COUNTIF($NS81:$NW81,6)</f>
        <v/>
      </c>
      <c r="OS81" s="164">
        <f>COUNTIF($OI81:$OJ81,1)+IF(IFERROR(INDEX('DADOS_FORMAS'!$AS$2:$AS$21,MATCH(SUBSTITUTE(SUBSTITUTE(SUBSTITUTE($MU81,"~","~~"),"*","~*"),"?","~?"),'DADOS_FORMAS'!$AH$2:$AH$21,0)),"")="",0,IFERROR(N(VLOOKUP(SUBSTITUTE(SUBSTITUTE(SUBSTITUTE(IFERROR(INDEX('DADOS_FORMAS'!$AS$2:$AS$21,MATCH(SUBSTITUTE(SUBSTITUTE(SUBSTITUTE($MU81,"~","~~"),"*","~*"),"?","~?"),'DADOS_FORMAS'!$AH$2:$AH$21,0)),""),"~","~~"),"*","~*"),"?","~?"),'DADOS_RESTRICOES'!$M$2:$Q$54,3,FALSE)=1),0))</f>
        <v/>
      </c>
      <c r="OT81" s="164">
        <f>COUNTIF($OI81:$OJ81,2)+IF(IFERROR(INDEX('DADOS_FORMAS'!$AS$2:$AS$21,MATCH(SUBSTITUTE(SUBSTITUTE(SUBSTITUTE($MU81,"~","~~"),"*","~*"),"?","~?"),'DADOS_FORMAS'!$AH$2:$AH$21,0)),"")="",0,IFERROR(N(VLOOKUP(SUBSTITUTE(SUBSTITUTE(SUBSTITUTE(IFERROR(INDEX('DADOS_FORMAS'!$AS$2:$AS$21,MATCH(SUBSTITUTE(SUBSTITUTE(SUBSTITUTE($MU81,"~","~~"),"*","~*"),"?","~?"),'DADOS_FORMAS'!$AH$2:$AH$21,0)),""),"~","~~"),"*","~*"),"?","~?"),'DADOS_RESTRICOES'!$M$2:$Q$54,3,FALSE)=2),0))</f>
        <v/>
      </c>
      <c r="OU81" s="164">
        <f>COUNTIF($MX81:$NA81,"?*")</f>
        <v/>
      </c>
      <c r="OV81" s="164">
        <f>COUNTIF($NB81:$NC81,"?*")+$OF81</f>
        <v/>
      </c>
      <c r="OW81" s="164">
        <f>IF($MS81=0,0,SUMPRODUCT($OM81:$OR81,INDEX($I$2:$N$8,MAX(1,$MS81),0)))</f>
        <v/>
      </c>
      <c r="OX81" s="164">
        <f>IF($MS81=0,0,$OS81*CEILING($MS81/2,1)+$OT81*$MS81)</f>
        <v/>
      </c>
      <c r="OY81" s="164">
        <f>MIN(2*$MS81,$OX81)</f>
        <v/>
      </c>
      <c r="OZ81" s="164">
        <f>MIN($OY81,$OW81-IF($NS81=0,0,INDEX($I$2:$N$8,MAX(1,$MS81),$NS81)))</f>
        <v/>
      </c>
      <c r="PA81" s="164">
        <f>$OY81-$OZ81</f>
        <v/>
      </c>
      <c r="PB81" s="164">
        <f>IF($MS81=0,0,INDEX($P$2:$P$8,MAX(1,$MS81)))</f>
        <v/>
      </c>
      <c r="PC81" s="164">
        <f>$PB81-$OW81+$OZ81</f>
        <v/>
      </c>
      <c r="PD81" s="164">
        <f>IF($MS81=0,MAX(0,$NG81-IF(AND($OU81&gt;0,COUNTIF($NB81:$NC81,"?*")=0),1,0)),MAX(0,$PC81))</f>
        <v/>
      </c>
      <c r="PE81" s="164">
        <f>IF($MS81=0,0,(IF(COUNTIF($RK81:$RN81,"Salto")&gt;0,1,0)+IF(COUNTIF($RK81:$RN81,"Queima")&gt;0,1,0)+IF(COUNTIF($RK81:$RN81,"Estilhaço")&gt;0,1,0))*FLOOR($PD81/2,1))</f>
        <v/>
      </c>
      <c r="PF81" s="164">
        <f>MAX(0,2-SUMPRODUCT($OM81:$OR81,$I$2:$N$2)+MIN(2,$OS81*1+$OT81*1,SUMPRODUCT($OM81:$OR81,$I$2:$N$2)-IF($NS81=0,0,INDEX($I$2:$N$2,1,$NS81))))</f>
        <v/>
      </c>
      <c r="PG81" s="164">
        <f>MAX(0,4-SUMPRODUCT($OM81:$OR81,$I$3:$N$3)+MIN(4,$OS81*1+$OT81*2,SUMPRODUCT($OM81:$OR81,$I$3:$N$3)-IF($NS81=0,0,INDEX($I$3:$N$3,1,$NS81))))</f>
        <v/>
      </c>
      <c r="PH81" s="164">
        <f>MAX(0,6-SUMPRODUCT($OM81:$OR81,$I$4:$N$4)+MIN(6,$OS81*2+$OT81*3,SUMPRODUCT($OM81:$OR81,$I$4:$N$4)-IF($NS81=0,0,INDEX($I$4:$N$4,1,$NS81))))</f>
        <v/>
      </c>
      <c r="PI81" s="164">
        <f>MAX(0,9-SUMPRODUCT($OM81:$OR81,$I$5:$N$5)+MIN(8,$OS81*2+$OT81*4,SUMPRODUCT($OM81:$OR81,$I$5:$N$5)-IF($NS81=0,0,INDEX($I$5:$N$5,1,$NS81))))</f>
        <v/>
      </c>
      <c r="PJ81" s="164">
        <f>MAX(0,11-SUMPRODUCT($OM81:$OR81,$I$6:$N$6)+MIN(10,$OS81*3+$OT81*5,SUMPRODUCT($OM81:$OR81,$I$6:$N$6)-IF($NS81=0,0,INDEX($I$6:$N$6,1,$NS81))))</f>
        <v/>
      </c>
      <c r="PK81" s="164">
        <f>MAX(0,13-SUMPRODUCT($OM81:$OR81,$I$7:$N$7)+MIN(12,$OS81*3+$OT81*6,SUMPRODUCT($OM81:$OR81,$I$7:$N$7)-IF($NS81=0,0,INDEX($I$7:$N$7,1,$NS81))))</f>
        <v/>
      </c>
      <c r="PL81" s="164">
        <f>MAX(0,16-SUMPRODUCT($OM81:$OR81,$I$8:$N$8)+MIN(14,$OS81*4+$OT81*7,SUMPRODUCT($OM81:$OR81,$I$8:$N$8)-IF($NS81=0,0,INDEX($I$8:$N$8,1,$NS81))))</f>
        <v/>
      </c>
      <c r="PM81" s="164">
        <f>IF($OG81=2,3*$PF81&amp;" de vida temp.",IF($OG81=3,"sem dano",IF($PF81=0,IF($OG81=1,"sem cura","sem dano"),IF($OG81=1,"cura ","")&amp;$PF81&amp;"d8")))</f>
        <v/>
      </c>
      <c r="PN81" s="164">
        <f>IF($OG81=2,3*$PG81&amp;" de vida temp.",IF($OG81=3,"sem dano",IF($PG81=0,IF($OG81=1,"sem cura","sem dano"),IF($OG81=1,"cura ","")&amp;$PG81&amp;"d8")))</f>
        <v/>
      </c>
      <c r="PO81" s="164">
        <f>IF($OG81=2,3*$PH81&amp;" de vida temp.",IF($OG81=3,"sem dano",IF($PH81=0,IF($OG81=1,"sem cura","sem dano"),IF($OG81=1,"cura ","")&amp;$PH81&amp;"d8")))</f>
        <v/>
      </c>
      <c r="PP81" s="164">
        <f>IF($OG81=2,3*$PI81&amp;" de vida temp.",IF($OG81=3,"sem dano",IF($PI81=0,IF($OG81=1,"sem cura","sem dano"),IF($OG81=1,"cura ","")&amp;$PI81&amp;"d8")))</f>
        <v/>
      </c>
      <c r="PQ81" s="164">
        <f>IF($OG81=2,3*$PJ81&amp;" de vida temp.",IF($OG81=3,"sem dano",IF($PJ81=0,IF($OG81=1,"sem cura","sem dano"),IF($OG81=1,"cura ","")&amp;$PJ81&amp;"d8")))</f>
        <v/>
      </c>
      <c r="PR81" s="164">
        <f>IF($OG81=2,3*$PK81&amp;" de vida temp.",IF($OG81=3,"sem dano",IF($PK81=0,IF($OG81=1,"sem cura","sem dano"),IF($OG81=1,"cura ","")&amp;$PK81&amp;"d8")))</f>
        <v/>
      </c>
      <c r="PS81" s="164">
        <f>IF($OG81=2,3*$PL81&amp;" de vida temp.",IF($OG81=3,"sem dano",IF($PL81=0,IF($OG81=1,"sem cura","sem dano"),IF($OG81=1,"cura ","")&amp;$PL81&amp;"d8")))</f>
        <v/>
      </c>
      <c r="PT81" s="164">
        <f>IF($ND81=0,"",TEXTJOIN(" · ",TRUE,IF($ND81=0,"",TEXTJOIN(" · ",TRUE,IF($ND81=0,"",TEXTJOIN(" · ",TRUE,IF($MQ81&gt;$NE81,"Este lugar abre no nível "&amp;$MQ81,""),IF($MS81&gt;$NF81,"Classe "&amp;$MS81&amp;": o nível "&amp;$NE81&amp;" libera até a "&amp;$NF81,""),IF($NX81=1,"A Forma "&amp;$MU81&amp;" pede "&amp;INDEX('DADOS_FORMAS'!$GA$2:$GA$21,$NJ81)&amp;" aberta",""),IF(AND($MS81=0,$NJ81&gt;0,IF($NJ81=0,0,INDEX('DADOS_FORMAS'!$GJ$2:$GJ$21,$NJ81))=0),$MU81&amp;" não existe na Classe 0",""),IF($NY81=1,"Família Fechada: "&amp;$MX81,""),IF($NZ81=1,"Família Fechada: "&amp;$MY81,""),IF($OA81=1,"Família Fechada: "&amp;$MZ81,""),IF($OB81=1,"Família Fechada: "&amp;$NA81,""),IF(AND($MS81&gt;0,$OU81&gt;INDEX($O$2:$O$8,MAX(1,$MS81))),$OU81&amp;" Melhorias: a Classe "&amp;$MS81&amp;" aceita "&amp;INDEX($O$2:$O$8,MAX(1,$MS81)),""),IF(AND($MS81=0,$OU81&gt;1),"A básica aceita uma Melhoria",""),IF(AND($MS81=0,COUNTIF($NO81:$NR81,"&gt;1")&gt;0),"A básica só aceita Melhoria Leve",""),IF(AND($MS81&gt;0,$OV81&gt;2),$OV81&amp;" Restrições"&amp;IF($OF81=1,", contando a que a Forma "&amp;$MU81&amp;" já traz","")&amp;": o limite é 2",""),IF(AND($MS81=0,COUNTIF($NB81:$NC81,"?*")&gt;1),"A básica aceita uma Restrição Leve",""),IF(AND($MS81=0,COUNTIF($OI81:$OJ81,2)&gt;0),"A básica só aceita Restrição Leve",""),IF(AND($MS81&gt;0,$PC81&lt;0),"Orçamento estourado: faltam "&amp;(-$PC81)&amp;IF($PC81&lt;-1," pontos"," ponto"),""),IF(IFERROR(VLOOKUP(SUBSTITUTE(SUBSTITUTE(SUBSTITUTE($NB81,"~","~~"),"*","~*"),"?","~?"),'DADOS_RESTRICOES'!$M$2:$Q$54,4,FALSE),0)+IFERROR(VLOOKUP(SUBSTITUTE(SUBSTITUTE(SUBSTITUTE($NC81,"~","~~"),"*","~*"),"?","~?"),'DADOS_RESTRICOES'!$M$2:$Q$54,4,FALSE),0)&gt;1,$OK81&amp;" e "&amp;$OL81&amp;" são as duas de frequência",""),IF(AND((COUNTIF($RK81:$RN81,"Rápido")+COUNTIF($OK81:$OL81,"Rápido"))&gt;0,(COUNTIF($MX81:$NA81,"Atrasar")+COUNTIF($OK81:$OL81,"Atrasar"))&gt;0),"Rápido não entra com Atrasar",""),IF(AND((COUNTIF($RK81:$RN81,"Reação")+COUNTIF($OK81:$OL81,"Reação"))&gt;0,(COUNTIF($RK81:$RN81,"Rápido")+COUNTIF($OK81:$OL81,"Rápido"))&gt;0),"Reação não entra com Rápido",""),IF(AND((COUNTIF($RK81:$RN81,"Reação")+COUNTIF($OK81:$OL81,"Reação"))&gt;0,(COUNTIF($RK81:$RN81,"Armado")+COUNTIF($OK81:$OL81,"Armado"))&gt;0),"Reação não entra com Armado",""),IF(AND((COUNTIF($RK81:$RN81,"Reação")+COUNTIF($OK81:$OL81,"Reação"))&gt;0,(COUNTIF($MX81:$NA81,"Atrasar")+COUNTIF($OK81:$OL81,"Atrasar"))&gt;0),"Reação não entra com Atrasar",""),IF(AND((COUNTIF($RK81:$RN81,"Reação")+COUNTIF($OK81:$OL81,"Reação"))&gt;0,(COUNTIF($MX81:$NA81,"Parado")+COUNTIF($OK81:$OL81,"Parado"))&gt;0),"Reação não entra com Parado",""),IF(AND((COUNTIF($MX81:$NA81,"Atrasar")+COUNTIF($OK81:$OL81,"Atrasar"))&gt;0,(COUNTIF($MX81:$NA81,"Parado")+COUNTIF($OK81:$OL81,"Parado"))&gt;0),"Atrasar não entra com Parado",""),IF(AND((COUNTIF($RK81:$RN81,"Armado")+COUNTIF($OK81:$OL81,"Armado"))&gt;0,(COUNTIF($MX81:$NA81,"Carregar")+COUNTIF($OK81:$OL81,"Carregar"))&gt;0),"Armado não entra com Carregar",""),IF(AND(COUNTIF($OK81:$OL81,"Corpo a Corpo")&gt;0,$OF81=0,OR($RO81="Cone",$RO81="Linha")),"Corpo a Corpo não entra em "&amp;$MU81,""),IF(AND(COUNTIF($OK81:$OL81,"Corpo a Corpo")&gt;0,$RP81="Corpo a Corpo"),"A Forma "&amp;$MU81&amp;" já traz o Corpo a Corpo",""),IF(AND(COUNTIF($OK81:$OL81,"Tudo ou Nada")&gt;0,$OH81=0),"Tudo ou Nada só entra em habilidade de Teste de Resistência",""),IF(AND(COUNTIF($RK81:$RN81,"Inescapável")&gt;0,OR($OU81&gt;1,$OV81&gt;0)),"Inescapável não aceita outra peça",""),IF(AND($MS81&gt;0,$PD81*IF(COUNTIF($RK81:$RN81,"Remate")&gt;0,1.25,1)+$PE81&gt;4*$MS81),($PD81*IF(COUNTIF($RK81:$RN81,"Remate")&gt;0,1.25,1)+$PE81)&amp;" dados somando repetições"&amp;IF(COUNTIF($RK81:$RN81,"Remate")&gt;0," e o Remate","")&amp;": o teto da Classe "&amp;$MS81&amp;" é "&amp;4*$MS81,""))),IF(AND($MX81&lt;&gt;"",COUNTIF('DADOS_MELHORIAS'!$O$2:$O$113,SUBSTITUTE(SUBSTITUTE(SUBSTITUTE($MX81,"~","~~"),"*","~*"),"?","~?"))=0),"Melhoria não cadastrada ou com erro: "&amp;$MX81,""),IF(AND($MY81&lt;&gt;"",COUNTIF('DADOS_MELHORIAS'!$O$2:$O$113,SUBSTITUTE(SUBSTITUTE(SUBSTITUTE($MY81,"~","~~"),"*","~*"),"?","~?"))=0),"Melhoria não cadastrada ou com erro: "&amp;$MY81,""),IF(AND($MZ81&lt;&gt;"",COUNTIF('DADOS_MELHORIAS'!$O$2:$O$113,SUBSTITUTE(SUBSTITUTE(SUBSTITUTE($MZ81,"~","~~"),"*","~*"),"?","~?"))=0),"Melhoria não cadastrada ou com erro: "&amp;$MZ81,""),IF(AND($NA81&lt;&gt;"",COUNTIF('DADOS_MELHORIAS'!$O$2:$O$113,SUBSTITUTE(SUBSTITUTE(SUBSTITUTE($NA81,"~","~~"),"*","~*"),"?","~?"))=0),"Melhoria não cadastrada ou com erro: "&amp;$NA81,""),IF(AND($NB81&lt;&gt;"",COUNTIF('DADOS_RESTRICOES'!$M$2:$M$54,SUBSTITUTE(SUBSTITUTE(SUBSTITUTE($NB81,"~","~~"),"*","~*"),"?","~?"))=0),"Restrição não cadastrada ou com erro: "&amp;$NB81,""),IF(AND($NC81&lt;&gt;"",COUNTIF('DADOS_RESTRICOES'!$M$2:$M$54,SUBSTITUTE(SUBSTITUTE(SUBSTITUTE($NC81,"~","~~"),"*","~*"),"?","~?"))=0),"Restrição não cadastrada ou com erro: "&amp;$NC81,""))),IF(AND($MU81&lt;&gt;"",COUNTIF('DADOS_FORMAS'!$AH$2:$AH$21,SUBSTITUTE(SUBSTITUTE(SUBSTITUTE($MU81,"~","~~"),"*","~*"),"?","~?"))=0),"Forma não cadastrada ou com erro: "&amp;$MU81,""),IF(AND(IFERROR(INDEX('DADOS_FORMAS'!$AS$2:$AS$21,MATCH(SUBSTITUTE(SUBSTITUTE(SUBSTITUTE($MU81,"~","~~"),"*","~*"),"?","~?"),'DADOS_FORMAS'!$AH$2:$AH$21,0)),"")&lt;&gt;"",OR(IFERROR(VLOOKUP(SUBSTITUTE(SUBSTITUTE(SUBSTITUTE(IFERROR(INDEX('DADOS_FORMAS'!$AS$2:$AS$21,MATCH(SUBSTITUTE(SUBSTITUTE(SUBSTITUTE($MU81,"~","~~"),"*","~*"),"?","~?"),'DADOS_FORMAS'!$AH$2:$AH$21,0)),""),"~","~~"),"*","~*"),"?","~?"),'DADOS_RESTRICOES'!$M$2:$Q$54,2,FALSE),"")=$OK81,IFERROR(VLOOKUP(SUBSTITUTE(SUBSTITUTE(SUBSTITUTE(IFERROR(INDEX('DADOS_FORMAS'!$AS$2:$AS$21,MATCH(SUBSTITUTE(SUBSTITUTE(SUBSTITUTE($MU81,"~","~~"),"*","~*"),"?","~?"),'DADOS_FORMAS'!$AH$2:$AH$21,0)),""),"~","~~"),"*","~*"),"?","~?"),'DADOS_RESTRICOES'!$M$2:$Q$54,2,FALSE),"")=$OL81)),"Restrição repetida, contando a embutida",""),IF(IF(IFERROR(INDEX('DADOS_FORMAS'!$AS$2:$AS$21,MATCH(SUBSTITUTE(SUBSTITUTE(SUBSTITUTE($MU81,"~","~~"),"*","~*"),"?","~?"),'DADOS_FORMAS'!$AH$2:$AH$21,0)),"")="",0,IFERROR(N(VLOOKUP(SUBSTITUTE(SUBSTITUTE(SUBSTITUTE(IFERROR(INDEX('DADOS_FORMAS'!$AS$2:$AS$21,MATCH(SUBSTITUTE(SUBSTITUTE(SUBSTITUTE($MU81,"~","~~"),"*","~*"),"?","~?"),'DADOS_FORMAS'!$AH$2:$AH$21,0)),""),"~","~~"),"*","~*"),"?","~?"),'DADOS_RESTRICOES'!$M$2:$Q$54,4,FALSE)=1),0))+IF($NB81="",0,IFERROR(N(VLOOKUP(SUBSTITUTE(SUBSTITUTE(SUBSTITUTE($NB81,"~","~~"),"*","~*"),"?","~?"),'DADOS_RESTRICOES'!$M$2:$Q$54,4,FALSE)=1),0))+IF($NC81="",0,IFERROR(N(VLOOKUP(SUBSTITUTE(SUBSTITUTE(SUBSTITUTE($NC81,"~","~~"),"*","~*"),"?","~?"),'DADOS_RESTRICOES'!$M$2:$Q$54,4,FALSE)=1),0))&gt;1,"Duas Restrições de frequência, contando a embutida",""),IF(AND(IFERROR(VLOOKUP(SUBSTITUTE(SUBSTITUTE(SUBSTITUTE(IFERROR(INDEX('DADOS_FORMAS'!$AS$2:$AS$21,MATCH(SUBSTITUTE(SUBSTITUTE(SUBSTITUTE($MU81,"~","~~"),"*","~*"),"?","~?"),'DADOS_FORMAS'!$AH$2:$AH$21,0)),""),"~","~~"),"*","~*"),"?","~?"),'DADOS_RESTRICOES'!$M$2:$Q$54,2,FALSE),"")="Tudo ou Nada",$OH81=0),"Tudo ou Nada exige TR",""),IF(AND(IFERROR(VLOOKUP(SUBSTITUTE(SUBSTITUTE(SUBSTITUTE(IFERROR(INDEX('DADOS_FORMAS'!$AS$2:$AS$21,MATCH(SUBSTITUTE(SUBSTITUTE(SUBSTITUTE($MU81,"~","~~"),"*","~*"),"?","~?"),'DADOS_FORMAS'!$AH$2:$AH$21,0)),""),"~","~~"),"*","~*"),"?","~?"),'DADOS_RESTRICOES'!$M$2:$Q$54,2,FALSE),"")="Corpo a Corpo",OR($RO81="Cone",$RO81="Linha")),"Corpo a Corpo não entra em Cone/Linha","")))</f>
        <v/>
      </c>
      <c r="PU81" s="164">
        <f>IF($PT81="",0,(LEN($PT81)-LEN(SUBSTITUTE($PT81," · ","")))/3+1)</f>
        <v/>
      </c>
      <c r="PV81" s="164">
        <f>IF($ND81=0,"",TEXTJOIN(" · ",TRUE,IF($OX81&gt;2*$MS81,"A devolução parou no teto de "&amp;2*$MS81,""),IF($PA81&gt;0,"Devolução perdida: "&amp;$PA81&amp;IF($PA81&gt;1," pontos"," ponto")&amp;" sem Melhoria para pagar",""),IF(AND($OC81&gt;0,AND($MS81&gt;0,$OG81=0),$PD81=0),"Controle sem dano: uma rodada a mais e CD +2",""),IF(AND($OC81&gt;0,AND($MS81&gt;0,$OG81=0),$PD81&gt;0,$PD81&lt;=$MS81),"Controle com saldo até a Classe: uma rodada a mais",""),IF(AND($MS81&gt;0,$OE81&lt;&gt;""),"Efeito de "&amp;$OE81&amp;" pela Classe "&amp;MAX(1,$MS81-1),"")))</f>
        <v/>
      </c>
      <c r="PW81" s="164">
        <f>IF($PV81="",0,(LEN($PV81)-LEN(SUBSTITUTE($PV81," · ","")))/3+1)</f>
        <v/>
      </c>
      <c r="PX81" s="164">
        <f>IF($ND81=0,IF($OU81+COUNTIF($NB81:$NC81,"?*")&gt;0,"Dê um nome",""),IF($PU81&gt;0,"⚠ "&amp;$PU81&amp;IF($PU81&gt;1," erros"," erro"),IF($PW81&gt;0,"! "&amp;$PW81&amp;IF($PW81&gt;1," avisos"," aviso"),"Na regra")))</f>
        <v/>
      </c>
      <c r="PY81" s="164">
        <f>IF($ND81=0,"",IF($PU81+$PW81=0,"Dentro das regras que a ficha confere",$PT81&amp;IF(AND($PU81&gt;0,$PW81&gt;0)," · ","")&amp;$PV81))</f>
        <v/>
      </c>
      <c r="PZ81" s="164">
        <f>IF($MQ81&gt;$NE81,$MR81&amp;" · ABRE NO NÍVEL "&amp;$MQ81,$MR81)</f>
        <v/>
      </c>
      <c r="QA81" s="164">
        <f>IF($ND81=0,"",IF($MS81=0,"Sem PE",3*$MS81&amp;" PE"))</f>
        <v/>
      </c>
      <c r="QB81" s="164">
        <f>IF($ND81=0,"",IF($MS81=0,"A atuação básica dela",IF(COUNTIF($RQ81:$RS81,"Atrasar")&gt;0,"Sua Ação Completa",IF(COUNTIF($RK81:$RN81,"Rápido")&gt;0,"Sua Bônus",IF(COUNTIF($RK81:$RN81,"Reação")&gt;0,"Sua Reação","Sua Padrão")))&amp;" + a básica dela"&amp;IF(COUNTIF($RK81:$RN81,"Reação")&gt;0," e a coletiva","")&amp;IF(COUNTIF($RQ81:$RS81,"Carregar")&gt;0," · em dois turnos","")))</f>
        <v/>
      </c>
      <c r="QC81" s="164">
        <f>IF($MW81&lt;&gt;"",$MW81,IF($NJ81=0,"",INDEX('DADOS_FORMAS'!$GE$2:$GE$21,$NJ81)))</f>
        <v/>
      </c>
      <c r="QD81" s="164">
        <f>IF(OR($ND81=0,$NJ81=0),"",IF(COUNTIF($RK81:$RN81,"Inescapável")&gt;0,"Automático",IF($QC81="Ataque",IF($NH81="","Ataque","Ataque "&amp;IF(($NH81+2*IF(COUNTIF($RK81:$RN81,"Precisão")&gt;0,1,0))&gt;=0,"+","−")&amp;ABS(($NH81+2*IF(COUNTIF($RK81:$RN81,"Precisão")&gt;0,1,0))))&amp;IF($OD81&gt;0," · TR"&amp;IF($NI81="",""," CD "&amp;$NI81),""),IF(LEFT($QC81,2)="TR",$QC81&amp;IF($NI81="",""," · CD "&amp;$NI81)&amp;IF(COUNTIF($RK81:$RN81,"Certeiro")&gt;0," · metade",""),"Sem rolagem"))))</f>
        <v/>
      </c>
      <c r="QE81" s="164">
        <f>IF(OR($ND81=0,$NJ81=0),"",IF($MS81=0,IF(OR($OG81&gt;=1,$PD81=0),"Sem dano",$PD81&amp;"d6"&amp;IF($MV81="",""," "&amp;$MV81)),IF(OR($OG81&gt;=1,$PD81=0),UPPER(LEFT(INDEX($PM81:$PS81,1,MAX(1,$MS81)),1))&amp;MID(INDEX($PM81:$PS81,1,MAX(1,$MS81)),2,99),UPPER(LEFT(INDEX($PM81:$PS81,1,MAX(1,$MS81)),1))&amp;MID(INDEX($PM81:$PS81,1,MAX(1,$MS81)),2,99)&amp;IF($MV81="",""," "&amp;$MV81)&amp;IF($PE81&gt;0," · +"&amp;$PE81&amp;"d8",""))))</f>
        <v/>
      </c>
      <c r="QF81" s="164">
        <f>COUNTIF($RK81:$RN81,"Longe")+3*COUNTIF($RK81:$RN81,"Muito Longe")</f>
        <v/>
      </c>
      <c r="QG81" s="164">
        <f>COUNTIF($RK81:$RN81,"Maior")+3*COUNTIF($RK81:$RN81,"Muito Maior")</f>
        <v/>
      </c>
      <c r="QH81" s="164">
        <f>IF($NJ81=0,0,CHOOSE(1+INDEX('DADOS_FORMAS'!$GG$2:$GG$21,$NJ81),0,$QF81,$QG81,$QF81+$QG81))</f>
        <v/>
      </c>
      <c r="QI81" s="164">
        <f>IF($NJ81=0,0,CHOOSE(1+INDEX('DADOS_FORMAS'!$GH$2:$GH$21,$NJ81),0,$QF81,$QG81,$QF81+$QG81))</f>
        <v/>
      </c>
      <c r="QJ81" s="164">
        <f>IF(OR($ND81=0,$NJ81=0),"",INDEX('DADOS_FORMAS'!$HU$2:$HZ$81,($NJ81-1)*4+IF($MS81=0,1,IF($MS81&lt;=5,2,IF($MS81=6,3,4))),1+MIN(5,$QH81))&amp;INDEX('DADOS_FORMAS'!$IA$2:$IF$81,($NJ81-1)*4+IF($MS81=0,1,IF($MS81&lt;=5,2,IF($MS81=6,3,4))),1+MIN(5,$QI81))&amp;IF(INDEX('DADOS_FORMAS'!$GI$2:$GI$21,$NJ81)=1,IF(COUNTIF($RK81:$RN81,"Mais Um")&gt;0," · +"&amp;COUNTIF($RK81:$RN81,"Mais Um")&amp;IF(COUNTIF($RK81:$RN81,"Mais Um")&gt;1," alvos"," alvo"),"")&amp;IF(COUNTIF($RK81:$RN81,"Rajada")&gt;0,IF($MS81=0," · 1 tiro"," · "&amp;(MAX(1,$MS81-1)+1)&amp;" tiros"),""),""))</f>
        <v/>
      </c>
      <c r="QK81" s="164">
        <f>IF($ND81=0,"",IF($MS81=0,$NG81&amp;"d6"&amp;IF($OU81&gt;0," − 1 = "&amp;$PD81&amp;"d6"," da básica do nível "&amp;$NE81),$PB81&amp;" − "&amp;$OW81&amp;" + "&amp;$OZ81&amp;" = "&amp;$PC81&amp;" · teto "&amp;4*$MS81&amp;"d8"&amp;IF($OF81=1," · a Forma devolve "&amp;$MS81,"")&amp;IF($PA81&gt;0," · perde "&amp;$PA81,"")))</f>
        <v/>
      </c>
      <c r="QL81" s="164">
        <f>IF($ND81=0,"",IF($MS81=0,"A básica não amplia: os dados dela sobem com o nível",IF($MS81&gt;=$NF81,"Já está na maior Classe que o nível liberou",TEXTJOIN(" · ",TRUE,IF(AND(2&gt;$MS81,2&lt;=$NF81),"2 → "&amp;$PN81&amp;", 6 PE",""),IF(AND(3&gt;$MS81,3&lt;=$NF81),"3 → "&amp;$PO81&amp;", 9 PE",""),IF(AND(4&gt;$MS81,4&lt;=$NF81),"4 → "&amp;$PP81&amp;", 12 PE",""),IF(AND(5&gt;$MS81,5&lt;=$NF81),"5 → "&amp;$PQ81&amp;", 15 PE",""),IF(AND(6&gt;$MS81,6&lt;=$NF81),"6 → "&amp;$PR81&amp;", 18 PE",""),IF(AND(7&gt;$MS81,7&lt;=$NF81),"7 → "&amp;$PS81&amp;", 21 PE","")))))</f>
        <v/>
      </c>
      <c r="QM81" s="164">
        <f>IF(OR($ND81=0,$NO81=0),"",IF($MS81=0,"−1 dado","−"&amp;INDEX($I$2:$N$8,MAX(1,$MS81),MAX(1,$NT81))&amp;" · "&amp;CHOOSE(MAX(1,$NT81),"Leve","Média","Pesada","Leve · Livre","Média · Livre","Pesada · Livre")))</f>
        <v/>
      </c>
      <c r="QN81" s="164">
        <f>IF(OR($ND81=0,$NP81=0),"",IF($MS81=0,"−1 dado","−"&amp;INDEX($I$2:$N$8,MAX(1,$MS81),MAX(1,$NU81))&amp;" · "&amp;CHOOSE(MAX(1,$NU81),"Leve","Média","Pesada","Leve · Livre","Média · Livre","Pesada · Livre")))</f>
        <v/>
      </c>
      <c r="QO81" s="164">
        <f>IF(OR($ND81=0,$NQ81=0),"",IF($MS81=0,"−1 dado","−"&amp;INDEX($I$2:$N$8,MAX(1,$MS81),MAX(1,$NV81))&amp;" · "&amp;CHOOSE(MAX(1,$NV81),"Leve","Média","Pesada","Leve · Livre","Média · Livre","Pesada · Livre")))</f>
        <v/>
      </c>
      <c r="QP81" s="164">
        <f>IF(OR($ND81=0,$NR81=0),"",IF($MS81=0,"−1 dado","−"&amp;INDEX($I$2:$N$8,MAX(1,$MS81),MAX(1,$NW81))&amp;" · "&amp;CHOOSE(MAX(1,$NW81),"Leve","Média","Pesada","Leve · Livre","Média · Livre","Pesada · Livre")))</f>
        <v/>
      </c>
      <c r="QQ81" s="164">
        <f>IF(OR($ND81=0,$NB81=""),"",IF($MS81=0,"não devolve","+"&amp;IF($OI81=1,CEILING($MS81/2,1),$MS81)))</f>
        <v/>
      </c>
      <c r="QR81" s="164">
        <f>IF(OR($ND81=0,$NC81=""),"",IF($MS81=0,"não devolve","+"&amp;IF($OJ81=1,CEILING($MS81/2,1),$MS81)))</f>
        <v/>
      </c>
      <c r="RK81">
        <f>IF($MX81="","",IFERROR(VLOOKUP(SUBSTITUTE(SUBSTITUTE(SUBSTITUTE($MX81,"~","~~"),"*","~*"),"?","~?"),'DADOS_MELHORIAS'!$O$2:$X$113,10,FALSE),$MX81))</f>
        <v/>
      </c>
      <c r="RL81">
        <f>IF($MY81="","",IFERROR(VLOOKUP(SUBSTITUTE(SUBSTITUTE(SUBSTITUTE($MY81,"~","~~"),"*","~*"),"?","~?"),'DADOS_MELHORIAS'!$O$2:$X$113,10,FALSE),$MY81))</f>
        <v/>
      </c>
      <c r="RM81">
        <f>IF($MZ81="","",IFERROR(VLOOKUP(SUBSTITUTE(SUBSTITUTE(SUBSTITUTE($MZ81,"~","~~"),"*","~*"),"?","~?"),'DADOS_MELHORIAS'!$O$2:$X$113,10,FALSE),$MZ81))</f>
        <v/>
      </c>
      <c r="RN81">
        <f>IF($NA81="","",IFERROR(VLOOKUP(SUBSTITUTE(SUBSTITUTE(SUBSTITUTE($NA81,"~","~~"),"*","~*"),"?","~?"),'DADOS_MELHORIAS'!$O$2:$X$113,10,FALSE),$NA81))</f>
        <v/>
      </c>
      <c r="RO81">
        <f>IFERROR(INDEX('DADOS_FORMAS'!$BJ$2:$BJ$21,MATCH(SUBSTITUTE(SUBSTITUTE(SUBSTITUTE($MU81,"~","~~"),"*","~*"),"?","~?"),'DADOS_FORMAS'!$AH$2:$AH$21,0)),"")</f>
        <v/>
      </c>
      <c r="RP81">
        <f>IFERROR(VLOOKUP(SUBSTITUTE(SUBSTITUTE(SUBSTITUTE(IFERROR(INDEX('DADOS_FORMAS'!$AS$2:$AS$21,MATCH(SUBSTITUTE(SUBSTITUTE(SUBSTITUTE($MU81,"~","~~"),"*","~*"),"?","~?"),'DADOS_FORMAS'!$AH$2:$AH$21,0)),""),"~","~~"),"*","~*"),"?","~?"),'DADOS_RESTRICOES'!$M$2:$Q$54,2,FALSE),"")</f>
        <v/>
      </c>
      <c r="RQ81">
        <f>$OK81</f>
        <v/>
      </c>
      <c r="RR81">
        <f>$OL81</f>
        <v/>
      </c>
      <c r="RS81">
        <f>$RP81</f>
        <v/>
      </c>
    </row>
    <row r="82">
      <c r="AV82" s="162" t="inlineStr">
        <is>
          <t>Efeito Próprio (Média)</t>
        </is>
      </c>
      <c r="AW82" s="162" t="inlineStr"/>
      <c r="AX82" s="164" t="n">
        <v>2</v>
      </c>
      <c r="AY82" s="164" t="n">
        <v>0</v>
      </c>
      <c r="AZ82" s="164" t="n">
        <v>0</v>
      </c>
      <c r="BA82" s="164" t="n">
        <v>0</v>
      </c>
      <c r="JT82" s="164">
        <f>IF(OR($AW82="",(COUNTIF($EL$2:$EP$2,$AW82)+COUNTIF($QV$2:$QY$2,$AW82))&gt;0),$AV82,"")</f>
        <v/>
      </c>
      <c r="JU82" s="164">
        <f>IF(AND($AX82=1,OR($AW82="",(COUNTIF($EL$2:$EP$2,$AW82)+COUNTIF($QV$2:$QY$2,$AW82))&gt;0)),$AV82,"")</f>
        <v/>
      </c>
      <c r="JZ82" s="164">
        <f>IF(OR($AW82="",(COUNTIF($EL$3:$EP$3,$AW82)+COUNTIF($QV$3:$QY$3,$AW82))&gt;0),$AV82,"")</f>
        <v/>
      </c>
      <c r="KA82" s="164">
        <f>IF(AND($AX82=1,OR($AW82="",(COUNTIF($EL$3:$EP$3,$AW82)+COUNTIF($QV$3:$QY$3,$AW82))&gt;0)),$AV82,"")</f>
        <v/>
      </c>
      <c r="KF82" s="164">
        <f>IF(OR($AW82="",(COUNTIF($EL$4:$EP$4,$AW82)+COUNTIF($QV$4:$QY$4,$AW82))&gt;0),$AV82,"")</f>
        <v/>
      </c>
      <c r="KG82" s="164">
        <f>IF(AND($AX82=1,OR($AW82="",(COUNTIF($EL$4:$EP$4,$AW82)+COUNTIF($QV$4:$QY$4,$AW82))&gt;0)),$AV82,"")</f>
        <v/>
      </c>
      <c r="KL82" s="164">
        <f>IF(OR($AW82="",(COUNTIF($EL$5:$EP$5,$AW82)+COUNTIF($QV$5:$QY$5,$AW82))&gt;0),$AV82,"")</f>
        <v/>
      </c>
      <c r="KM82" s="164">
        <f>IF(AND($AX82=1,OR($AW82="",(COUNTIF($EL$5:$EP$5,$AW82)+COUNTIF($QV$5:$QY$5,$AW82))&gt;0)),$AV82,"")</f>
        <v/>
      </c>
      <c r="KR82" s="164">
        <f>IF(OR($AW82="",(COUNTIF($EL$6:$EP$6,$AW82)+COUNTIF($QV$6:$QY$6,$AW82))&gt;0),$AV82,"")</f>
        <v/>
      </c>
      <c r="KS82" s="164">
        <f>IF(AND($AX82=1,OR($AW82="",(COUNTIF($EL$6:$EP$6,$AW82)+COUNTIF($QV$6:$QY$6,$AW82))&gt;0)),$AV82,"")</f>
        <v/>
      </c>
      <c r="KX82" s="164">
        <f>IF(OR($AW82="",(COUNTIF($EL$7:$EP$7,$AW82)+COUNTIF($QV$7:$QY$7,$AW82))&gt;0),$AV82,"")</f>
        <v/>
      </c>
      <c r="KY82" s="164">
        <f>IF(AND($AX82=1,OR($AW82="",(COUNTIF($EL$7:$EP$7,$AW82)+COUNTIF($QV$7:$QY$7,$AW82))&gt;0)),$AV82,"")</f>
        <v/>
      </c>
      <c r="LD82" s="164">
        <f>IF(OR($AW82="",(COUNTIF($EL$8:$EP$8,$AW82)+COUNTIF($QV$8:$QY$8,$AW82))&gt;0),$AV82,"")</f>
        <v/>
      </c>
      <c r="LE82" s="164">
        <f>IF(AND($AX82=1,OR($AW82="",(COUNTIF($EL$8:$EP$8,$AW82)+COUNTIF($QV$8:$QY$8,$AW82))&gt;0)),$AV82,"")</f>
        <v/>
      </c>
      <c r="LJ82" s="164">
        <f>IF(OR($AW82="",(COUNTIF($EL$9:$EP$9,$AW82)+COUNTIF($QV$9:$QY$9,$AW82))&gt;0),$AV82,"")</f>
        <v/>
      </c>
      <c r="LK82" s="164">
        <f>IF(AND($AX82=1,OR($AW82="",(COUNTIF($EL$9:$EP$9,$AW82)+COUNTIF($QV$9:$QY$9,$AW82))&gt;0)),$AV82,"")</f>
        <v/>
      </c>
      <c r="LP82" s="164">
        <f>IF(OR($AW82="",(COUNTIF($EL$10:$EP$10,$AW82)+COUNTIF($QV$10:$QY$10,$AW82))&gt;0),$AV82,"")</f>
        <v/>
      </c>
      <c r="LQ82" s="164">
        <f>IF(AND($AX82=1,OR($AW82="",(COUNTIF($EL$10:$EP$10,$AW82)+COUNTIF($QV$10:$QY$10,$AW82))&gt;0)),$AV82,"")</f>
        <v/>
      </c>
      <c r="LV82" s="164">
        <f>IF(OR($AW82="",(COUNTIF($EL$11:$EP$11,$AW82)+COUNTIF($QV$11:$QY$11,$AW82))&gt;0),$AV82,"")</f>
        <v/>
      </c>
      <c r="LW82" s="164">
        <f>IF(AND($AX82=1,OR($AW82="",(COUNTIF($EL$11:$EP$11,$AW82)+COUNTIF($QV$11:$QY$11,$AW82))&gt;0)),$AV82,"")</f>
        <v/>
      </c>
      <c r="MB82" s="164">
        <f>IF(OR($AW82="",(COUNTIF($EL$12:$EP$12,$AW82)+COUNTIF($QV$12:$QY$12,$AW82))&gt;0),$AV82,"")</f>
        <v/>
      </c>
      <c r="MC82" s="164">
        <f>IF(AND($AX82=1,OR($AW82="",(COUNTIF($EL$12:$EP$12,$AW82)+COUNTIF($QV$12:$QY$12,$AW82))&gt;0)),$AV82,"")</f>
        <v/>
      </c>
      <c r="MH82" s="164">
        <f>IF(OR($AW82="",(COUNTIF($EL$13:$EP$13,$AW82)+COUNTIF($QV$13:$QY$13,$AW82))&gt;0),$AV82,"")</f>
        <v/>
      </c>
      <c r="MI82" s="164">
        <f>IF(AND($AX82=1,OR($AW82="",(COUNTIF($EL$13:$EP$13,$AW82)+COUNTIF($QV$13:$QY$13,$AW82))&gt;0)),$AV82,"")</f>
        <v/>
      </c>
      <c r="MN82" s="162" t="inlineStr">
        <is>
          <t>Ficha 7 · Especial 2</t>
        </is>
      </c>
      <c r="MO82" s="164" t="n">
        <v>7</v>
      </c>
      <c r="MP82" s="164" t="n">
        <v>1</v>
      </c>
      <c r="MQ82" s="164" t="n">
        <v>4</v>
      </c>
      <c r="MR82" s="162" t="inlineStr">
        <is>
          <t>ESPECIAL 2</t>
        </is>
      </c>
      <c r="MS82" s="164">
        <f>MAX(1,MIN(7,N('INVOCAÇÕES'!$AN$71)))</f>
        <v/>
      </c>
      <c r="MT82" s="164">
        <f>'INVOCAÇÕES'!$AO$71&amp;""</f>
        <v/>
      </c>
      <c r="MU82" s="164">
        <f>'INVOCAÇÕES'!$AN$76&amp;""</f>
        <v/>
      </c>
      <c r="MV82" s="164">
        <f>'INVOCAÇÕES'!$AN$77&amp;""</f>
        <v/>
      </c>
      <c r="MW82" s="164">
        <f>'INVOCAÇÕES'!$AP$77&amp;""</f>
        <v/>
      </c>
      <c r="MX82" s="164">
        <f>'INVOCAÇÕES'!$AO$80&amp;""</f>
        <v/>
      </c>
      <c r="MY82" s="164">
        <f>'INVOCAÇÕES'!$AO$81&amp;""</f>
        <v/>
      </c>
      <c r="MZ82" s="164">
        <f>'INVOCAÇÕES'!$AO$82&amp;""</f>
        <v/>
      </c>
      <c r="NA82" s="164">
        <f>'INVOCAÇÕES'!$AO$83&amp;""</f>
        <v/>
      </c>
      <c r="NB82" s="164">
        <f>'INVOCAÇÕES'!$AO$84&amp;""</f>
        <v/>
      </c>
      <c r="NC82" s="164">
        <f>'INVOCAÇÕES'!$AO$85&amp;""</f>
        <v/>
      </c>
      <c r="ND82" s="164">
        <f>IF($MT82&lt;&gt;"",1,0)</f>
        <v/>
      </c>
      <c r="NE82" s="164">
        <f>INDEX($FO$2:$FO$13,$MO82)</f>
        <v/>
      </c>
      <c r="NF82" s="164">
        <f>INDEX($FP$2:$FP$13,$MO82)</f>
        <v/>
      </c>
      <c r="NG82" s="164">
        <f>INDEX($FQ$2:$FQ$13,$MO82)</f>
        <v/>
      </c>
      <c r="NH82" s="164">
        <f>INDEX($GB$2:$GB$13,$MO82)</f>
        <v/>
      </c>
      <c r="NI82" s="164">
        <f>INDEX($GC$2:$GC$13,$MO82)</f>
        <v/>
      </c>
      <c r="NJ82" s="164">
        <f>IFERROR(MATCH(SUBSTITUTE(SUBSTITUTE(SUBSTITUTE($MU82,"~","~~"),"*","~*"),"?","~?"),'DADOS_FORMAS'!$FZ$2:$FZ$21,0),0)</f>
        <v/>
      </c>
      <c r="NK82" s="164">
        <f>IFERROR(VLOOKUP(SUBSTITUTE(SUBSTITUTE(SUBSTITUTE($MX82,"~","~~"),"*","~*"),"?","~?"),'DADOS_MELHORIAS'!$AG$2:$AL$113,2,FALSE),"")</f>
        <v/>
      </c>
      <c r="NL82" s="164">
        <f>IFERROR(VLOOKUP(SUBSTITUTE(SUBSTITUTE(SUBSTITUTE($MY82,"~","~~"),"*","~*"),"?","~?"),'DADOS_MELHORIAS'!$AG$2:$AL$113,2,FALSE),"")</f>
        <v/>
      </c>
      <c r="NM82" s="164">
        <f>IFERROR(VLOOKUP(SUBSTITUTE(SUBSTITUTE(SUBSTITUTE($MZ82,"~","~~"),"*","~*"),"?","~?"),'DADOS_MELHORIAS'!$AG$2:$AL$113,2,FALSE),"")</f>
        <v/>
      </c>
      <c r="NN82" s="164">
        <f>IFERROR(VLOOKUP(SUBSTITUTE(SUBSTITUTE(SUBSTITUTE($NA82,"~","~~"),"*","~*"),"?","~?"),'DADOS_MELHORIAS'!$AG$2:$AL$113,2,FALSE),"")</f>
        <v/>
      </c>
      <c r="NO82" s="164">
        <f>IFERROR(VLOOKUP(SUBSTITUTE(SUBSTITUTE(SUBSTITUTE($MX82,"~","~~"),"*","~*"),"?","~?"),'DADOS_MELHORIAS'!$AG$2:$AL$113,3,FALSE),0)</f>
        <v/>
      </c>
      <c r="NP82" s="164">
        <f>IFERROR(VLOOKUP(SUBSTITUTE(SUBSTITUTE(SUBSTITUTE($MY82,"~","~~"),"*","~*"),"?","~?"),'DADOS_MELHORIAS'!$AG$2:$AL$113,3,FALSE),0)</f>
        <v/>
      </c>
      <c r="NQ82" s="164">
        <f>IFERROR(VLOOKUP(SUBSTITUTE(SUBSTITUTE(SUBSTITUTE($MZ82,"~","~~"),"*","~*"),"?","~?"),'DADOS_MELHORIAS'!$AG$2:$AL$113,3,FALSE),0)</f>
        <v/>
      </c>
      <c r="NR82" s="164">
        <f>IFERROR(VLOOKUP(SUBSTITUTE(SUBSTITUTE(SUBSTITUTE($NA82,"~","~~"),"*","~*"),"?","~?"),'DADOS_MELHORIAS'!$AG$2:$AL$113,3,FALSE),0)</f>
        <v/>
      </c>
      <c r="NS82" s="164">
        <f>IF($MS82=0,0,IF($NJ82=0,0,INDEX('DADOS_FORMAS'!$GB$2:$GB$21,$NJ82)))</f>
        <v/>
      </c>
      <c r="NT82" s="164">
        <f>IF(OR($NO82=0,$MS82=0),0,$NO82+3*IF(AND($NK82&lt;&gt;"",COUNTIF(INDEX($RB$2:$RJ$13,$MO82,0),$NK82)&gt;0),1,0))</f>
        <v/>
      </c>
      <c r="NU82" s="164">
        <f>IF(OR($NP82=0,$MS82=0),0,$NP82+3*IF(AND($NL82&lt;&gt;"",COUNTIF(INDEX($RB$2:$RJ$13,$MO82,0),$NL82)&gt;0),1,0))</f>
        <v/>
      </c>
      <c r="NV82" s="164">
        <f>IF(OR($NQ82=0,$MS82=0),0,$NQ82+3*IF(AND($NM82&lt;&gt;"",COUNTIF(INDEX($RB$2:$RJ$13,$MO82,0),$NM82)&gt;0),1,0))</f>
        <v/>
      </c>
      <c r="NW82" s="164">
        <f>IF(OR($NR82=0,$MS82=0),0,$NR82+3*IF(AND($NN82&lt;&gt;"",COUNTIF(INDEX($RB$2:$RJ$13,$MO82,0),$NN82)&gt;0),1,0))</f>
        <v/>
      </c>
      <c r="NX82" s="164">
        <f>IF($NJ82=0,0,IF(INDEX('DADOS_FORMAS'!$GA$2:$GA$21,$NJ82)="",0,IF((COUNTIF(INDEX($EL$2:$EP$13,$MO82,0),INDEX('DADOS_FORMAS'!$GA$2:$GA$21,$NJ82))+COUNTIF(INDEX($QV$2:$QY$13,$MO82,0),INDEX('DADOS_FORMAS'!$GA$2:$GA$21,$NJ82)))=0,1,0)))</f>
        <v/>
      </c>
      <c r="NY82" s="164">
        <f>IF(OR($NO82=0,$NK82=""),0,IF((COUNTIF(INDEX($EL$2:$EP$13,$MO82,0),$NK82)+COUNTIF(INDEX($QV$2:$QY$13,$MO82,0),$NK82))=0,1,0))</f>
        <v/>
      </c>
      <c r="NZ82" s="164">
        <f>IF(OR($NP82=0,$NL82=""),0,IF((COUNTIF(INDEX($EL$2:$EP$13,$MO82,0),$NL82)+COUNTIF(INDEX($QV$2:$QY$13,$MO82,0),$NL82))=0,1,0))</f>
        <v/>
      </c>
      <c r="OA82" s="164">
        <f>IF(OR($NQ82=0,$NM82=""),0,IF((COUNTIF(INDEX($EL$2:$EP$13,$MO82,0),$NM82)+COUNTIF(INDEX($QV$2:$QY$13,$MO82,0),$NM82))=0,1,0))</f>
        <v/>
      </c>
      <c r="OB82" s="164">
        <f>IF(OR($NR82=0,$NN82=""),0,IF((COUNTIF(INDEX($EL$2:$EP$13,$MO82,0),$NN82)+COUNTIF(INDEX($QV$2:$QY$13,$MO82,0),$NN82))=0,1,0))</f>
        <v/>
      </c>
      <c r="OC82" s="164">
        <f>IFERROR(VLOOKUP(SUBSTITUTE(SUBSTITUTE(SUBSTITUTE($MX82,"~","~~"),"*","~*"),"?","~?"),'DADOS_MELHORIAS'!$AG$2:$AL$113,4,FALSE),0)+IFERROR(VLOOKUP(SUBSTITUTE(SUBSTITUTE(SUBSTITUTE($MY82,"~","~~"),"*","~*"),"?","~?"),'DADOS_MELHORIAS'!$AG$2:$AL$113,4,FALSE),0)+IFERROR(VLOOKUP(SUBSTITUTE(SUBSTITUTE(SUBSTITUTE($MZ82,"~","~~"),"*","~*"),"?","~?"),'DADOS_MELHORIAS'!$AG$2:$AL$113,4,FALSE),0)+IFERROR(VLOOKUP(SUBSTITUTE(SUBSTITUTE(SUBSTITUTE($NA82,"~","~~"),"*","~*"),"?","~?"),'DADOS_MELHORIAS'!$AG$2:$AL$113,4,FALSE),0)</f>
        <v/>
      </c>
      <c r="OD82" s="164">
        <f>IFERROR(VLOOKUP(SUBSTITUTE(SUBSTITUTE(SUBSTITUTE($MX82,"~","~~"),"*","~*"),"?","~?"),'DADOS_MELHORIAS'!$AG$2:$AL$113,6,FALSE),0)+IFERROR(VLOOKUP(SUBSTITUTE(SUBSTITUTE(SUBSTITUTE($MY82,"~","~~"),"*","~*"),"?","~?"),'DADOS_MELHORIAS'!$AG$2:$AL$113,6,FALSE),0)+IFERROR(VLOOKUP(SUBSTITUTE(SUBSTITUTE(SUBSTITUTE($MZ82,"~","~~"),"*","~*"),"?","~?"),'DADOS_MELHORIAS'!$AG$2:$AL$113,6,FALSE),0)+IFERROR(VLOOKUP(SUBSTITUTE(SUBSTITUTE(SUBSTITUTE($NA82,"~","~~"),"*","~*"),"?","~?"),'DADOS_MELHORIAS'!$AG$2:$AL$113,6,FALSE),0)+IFERROR(N(AND(INDEX('DADOS_FORMAS'!$AO$2:$AO$21,MATCH(SUBSTITUTE(SUBSTITUTE(SUBSTITUTE($MU82,"~","~~"),"*","~*"),"?","~?"),'DADOS_FORMAS'!$AH$2:$AH$21,0))="Acerto",$OH82=1)),0)</f>
        <v/>
      </c>
      <c r="OE82" s="164">
        <f>TEXTJOIN(", ",TRUE,IF(IFERROR(VLOOKUP(SUBSTITUTE(SUBSTITUTE(SUBSTITUTE($MX82,"~","~~"),"*","~*"),"?","~?"),'DADOS_MELHORIAS'!$AG$2:$AL$113,5,FALSE),0)=1,$MX82,""),IF(IFERROR(VLOOKUP(SUBSTITUTE(SUBSTITUTE(SUBSTITUTE($MY82,"~","~~"),"*","~*"),"?","~?"),'DADOS_MELHORIAS'!$AG$2:$AL$113,5,FALSE),0)=1,$MY82,""),IF(IFERROR(VLOOKUP(SUBSTITUTE(SUBSTITUTE(SUBSTITUTE($MZ82,"~","~~"),"*","~*"),"?","~?"),'DADOS_MELHORIAS'!$AG$2:$AL$113,5,FALSE),0)=1,$MZ82,""),IF(IFERROR(VLOOKUP(SUBSTITUTE(SUBSTITUTE(SUBSTITUTE($NA82,"~","~~"),"*","~*"),"?","~?"),'DADOS_MELHORIAS'!$AG$2:$AL$113,5,FALSE),0)=1,$NA82,""))</f>
        <v/>
      </c>
      <c r="OF82" s="164">
        <f>IF($NJ82=0,0,INDEX('DADOS_FORMAS'!$GC$2:$GC$21,$NJ82))</f>
        <v/>
      </c>
      <c r="OG82" s="164">
        <f>IF($NJ82=0,0,INDEX('DADOS_FORMAS'!$GD$2:$GD$21,$NJ82))</f>
        <v/>
      </c>
      <c r="OH82" s="164">
        <f>IF($NJ82=0,0,INDEX('DADOS_FORMAS'!$GF$2:$GF$21,$NJ82))</f>
        <v/>
      </c>
      <c r="OI82" s="164">
        <f>IFERROR(VLOOKUP(SUBSTITUTE(SUBSTITUTE(SUBSTITUTE($NB82,"~","~~"),"*","~*"),"?","~?"),'DADOS_RESTRICOES'!$M$2:$Q$54,3,FALSE),0)</f>
        <v/>
      </c>
      <c r="OJ82" s="164">
        <f>IFERROR(VLOOKUP(SUBSTITUTE(SUBSTITUTE(SUBSTITUTE($NC82,"~","~~"),"*","~*"),"?","~?"),'DADOS_RESTRICOES'!$M$2:$Q$54,3,FALSE),0)</f>
        <v/>
      </c>
      <c r="OK82" s="164">
        <f>IFERROR(VLOOKUP(SUBSTITUTE(SUBSTITUTE(SUBSTITUTE($NB82,"~","~~"),"*","~*"),"?","~?"),'DADOS_RESTRICOES'!$M$2:$Q$54,2,FALSE),"")</f>
        <v/>
      </c>
      <c r="OL82" s="164">
        <f>IFERROR(VLOOKUP(SUBSTITUTE(SUBSTITUTE(SUBSTITUTE($NC82,"~","~~"),"*","~*"),"?","~?"),'DADOS_RESTRICOES'!$M$2:$Q$54,2,FALSE),"")</f>
        <v/>
      </c>
      <c r="OM82" s="164">
        <f>COUNTIF($NS82:$NW82,1)</f>
        <v/>
      </c>
      <c r="ON82" s="164">
        <f>COUNTIF($NS82:$NW82,2)</f>
        <v/>
      </c>
      <c r="OO82" s="164">
        <f>COUNTIF($NS82:$NW82,3)</f>
        <v/>
      </c>
      <c r="OP82" s="164">
        <f>COUNTIF($NS82:$NW82,4)</f>
        <v/>
      </c>
      <c r="OQ82" s="164">
        <f>COUNTIF($NS82:$NW82,5)</f>
        <v/>
      </c>
      <c r="OR82" s="164">
        <f>COUNTIF($NS82:$NW82,6)</f>
        <v/>
      </c>
      <c r="OS82" s="164">
        <f>COUNTIF($OI82:$OJ82,1)+IF(IFERROR(INDEX('DADOS_FORMAS'!$AS$2:$AS$21,MATCH(SUBSTITUTE(SUBSTITUTE(SUBSTITUTE($MU82,"~","~~"),"*","~*"),"?","~?"),'DADOS_FORMAS'!$AH$2:$AH$21,0)),"")="",0,IFERROR(N(VLOOKUP(SUBSTITUTE(SUBSTITUTE(SUBSTITUTE(IFERROR(INDEX('DADOS_FORMAS'!$AS$2:$AS$21,MATCH(SUBSTITUTE(SUBSTITUTE(SUBSTITUTE($MU82,"~","~~"),"*","~*"),"?","~?"),'DADOS_FORMAS'!$AH$2:$AH$21,0)),""),"~","~~"),"*","~*"),"?","~?"),'DADOS_RESTRICOES'!$M$2:$Q$54,3,FALSE)=1),0))</f>
        <v/>
      </c>
      <c r="OT82" s="164">
        <f>COUNTIF($OI82:$OJ82,2)+IF(IFERROR(INDEX('DADOS_FORMAS'!$AS$2:$AS$21,MATCH(SUBSTITUTE(SUBSTITUTE(SUBSTITUTE($MU82,"~","~~"),"*","~*"),"?","~?"),'DADOS_FORMAS'!$AH$2:$AH$21,0)),"")="",0,IFERROR(N(VLOOKUP(SUBSTITUTE(SUBSTITUTE(SUBSTITUTE(IFERROR(INDEX('DADOS_FORMAS'!$AS$2:$AS$21,MATCH(SUBSTITUTE(SUBSTITUTE(SUBSTITUTE($MU82,"~","~~"),"*","~*"),"?","~?"),'DADOS_FORMAS'!$AH$2:$AH$21,0)),""),"~","~~"),"*","~*"),"?","~?"),'DADOS_RESTRICOES'!$M$2:$Q$54,3,FALSE)=2),0))</f>
        <v/>
      </c>
      <c r="OU82" s="164">
        <f>COUNTIF($MX82:$NA82,"?*")</f>
        <v/>
      </c>
      <c r="OV82" s="164">
        <f>COUNTIF($NB82:$NC82,"?*")+$OF82</f>
        <v/>
      </c>
      <c r="OW82" s="164">
        <f>IF($MS82=0,0,SUMPRODUCT($OM82:$OR82,INDEX($I$2:$N$8,MAX(1,$MS82),0)))</f>
        <v/>
      </c>
      <c r="OX82" s="164">
        <f>IF($MS82=0,0,$OS82*CEILING($MS82/2,1)+$OT82*$MS82)</f>
        <v/>
      </c>
      <c r="OY82" s="164">
        <f>MIN(2*$MS82,$OX82)</f>
        <v/>
      </c>
      <c r="OZ82" s="164">
        <f>MIN($OY82,$OW82-IF($NS82=0,0,INDEX($I$2:$N$8,MAX(1,$MS82),$NS82)))</f>
        <v/>
      </c>
      <c r="PA82" s="164">
        <f>$OY82-$OZ82</f>
        <v/>
      </c>
      <c r="PB82" s="164">
        <f>IF($MS82=0,0,INDEX($P$2:$P$8,MAX(1,$MS82)))</f>
        <v/>
      </c>
      <c r="PC82" s="164">
        <f>$PB82-$OW82+$OZ82</f>
        <v/>
      </c>
      <c r="PD82" s="164">
        <f>IF($MS82=0,MAX(0,$NG82-IF(AND($OU82&gt;0,COUNTIF($NB82:$NC82,"?*")=0),1,0)),MAX(0,$PC82))</f>
        <v/>
      </c>
      <c r="PE82" s="164">
        <f>IF($MS82=0,0,(IF(COUNTIF($RK82:$RN82,"Salto")&gt;0,1,0)+IF(COUNTIF($RK82:$RN82,"Queima")&gt;0,1,0)+IF(COUNTIF($RK82:$RN82,"Estilhaço")&gt;0,1,0))*FLOOR($PD82/2,1))</f>
        <v/>
      </c>
      <c r="PF82" s="164">
        <f>MAX(0,2-SUMPRODUCT($OM82:$OR82,$I$2:$N$2)+MIN(2,$OS82*1+$OT82*1,SUMPRODUCT($OM82:$OR82,$I$2:$N$2)-IF($NS82=0,0,INDEX($I$2:$N$2,1,$NS82))))</f>
        <v/>
      </c>
      <c r="PG82" s="164">
        <f>MAX(0,4-SUMPRODUCT($OM82:$OR82,$I$3:$N$3)+MIN(4,$OS82*1+$OT82*2,SUMPRODUCT($OM82:$OR82,$I$3:$N$3)-IF($NS82=0,0,INDEX($I$3:$N$3,1,$NS82))))</f>
        <v/>
      </c>
      <c r="PH82" s="164">
        <f>MAX(0,6-SUMPRODUCT($OM82:$OR82,$I$4:$N$4)+MIN(6,$OS82*2+$OT82*3,SUMPRODUCT($OM82:$OR82,$I$4:$N$4)-IF($NS82=0,0,INDEX($I$4:$N$4,1,$NS82))))</f>
        <v/>
      </c>
      <c r="PI82" s="164">
        <f>MAX(0,9-SUMPRODUCT($OM82:$OR82,$I$5:$N$5)+MIN(8,$OS82*2+$OT82*4,SUMPRODUCT($OM82:$OR82,$I$5:$N$5)-IF($NS82=0,0,INDEX($I$5:$N$5,1,$NS82))))</f>
        <v/>
      </c>
      <c r="PJ82" s="164">
        <f>MAX(0,11-SUMPRODUCT($OM82:$OR82,$I$6:$N$6)+MIN(10,$OS82*3+$OT82*5,SUMPRODUCT($OM82:$OR82,$I$6:$N$6)-IF($NS82=0,0,INDEX($I$6:$N$6,1,$NS82))))</f>
        <v/>
      </c>
      <c r="PK82" s="164">
        <f>MAX(0,13-SUMPRODUCT($OM82:$OR82,$I$7:$N$7)+MIN(12,$OS82*3+$OT82*6,SUMPRODUCT($OM82:$OR82,$I$7:$N$7)-IF($NS82=0,0,INDEX($I$7:$N$7,1,$NS82))))</f>
        <v/>
      </c>
      <c r="PL82" s="164">
        <f>MAX(0,16-SUMPRODUCT($OM82:$OR82,$I$8:$N$8)+MIN(14,$OS82*4+$OT82*7,SUMPRODUCT($OM82:$OR82,$I$8:$N$8)-IF($NS82=0,0,INDEX($I$8:$N$8,1,$NS82))))</f>
        <v/>
      </c>
      <c r="PM82" s="164">
        <f>IF($OG82=2,3*$PF82&amp;" de vida temp.",IF($OG82=3,"sem dano",IF($PF82=0,IF($OG82=1,"sem cura","sem dano"),IF($OG82=1,"cura ","")&amp;$PF82&amp;"d8")))</f>
        <v/>
      </c>
      <c r="PN82" s="164">
        <f>IF($OG82=2,3*$PG82&amp;" de vida temp.",IF($OG82=3,"sem dano",IF($PG82=0,IF($OG82=1,"sem cura","sem dano"),IF($OG82=1,"cura ","")&amp;$PG82&amp;"d8")))</f>
        <v/>
      </c>
      <c r="PO82" s="164">
        <f>IF($OG82=2,3*$PH82&amp;" de vida temp.",IF($OG82=3,"sem dano",IF($PH82=0,IF($OG82=1,"sem cura","sem dano"),IF($OG82=1,"cura ","")&amp;$PH82&amp;"d8")))</f>
        <v/>
      </c>
      <c r="PP82" s="164">
        <f>IF($OG82=2,3*$PI82&amp;" de vida temp.",IF($OG82=3,"sem dano",IF($PI82=0,IF($OG82=1,"sem cura","sem dano"),IF($OG82=1,"cura ","")&amp;$PI82&amp;"d8")))</f>
        <v/>
      </c>
      <c r="PQ82" s="164">
        <f>IF($OG82=2,3*$PJ82&amp;" de vida temp.",IF($OG82=3,"sem dano",IF($PJ82=0,IF($OG82=1,"sem cura","sem dano"),IF($OG82=1,"cura ","")&amp;$PJ82&amp;"d8")))</f>
        <v/>
      </c>
      <c r="PR82" s="164">
        <f>IF($OG82=2,3*$PK82&amp;" de vida temp.",IF($OG82=3,"sem dano",IF($PK82=0,IF($OG82=1,"sem cura","sem dano"),IF($OG82=1,"cura ","")&amp;$PK82&amp;"d8")))</f>
        <v/>
      </c>
      <c r="PS82" s="164">
        <f>IF($OG82=2,3*$PL82&amp;" de vida temp.",IF($OG82=3,"sem dano",IF($PL82=0,IF($OG82=1,"sem cura","sem dano"),IF($OG82=1,"cura ","")&amp;$PL82&amp;"d8")))</f>
        <v/>
      </c>
      <c r="PT82" s="164">
        <f>IF($ND82=0,"",TEXTJOIN(" · ",TRUE,IF($ND82=0,"",TEXTJOIN(" · ",TRUE,IF($ND82=0,"",TEXTJOIN(" · ",TRUE,IF($MQ82&gt;$NE82,"Este lugar abre no nível "&amp;$MQ82,""),IF($MS82&gt;$NF82,"Classe "&amp;$MS82&amp;": o nível "&amp;$NE82&amp;" libera até a "&amp;$NF82,""),IF($NX82=1,"A Forma "&amp;$MU82&amp;" pede "&amp;INDEX('DADOS_FORMAS'!$GA$2:$GA$21,$NJ82)&amp;" aberta",""),IF(AND($MS82=0,$NJ82&gt;0,IF($NJ82=0,0,INDEX('DADOS_FORMAS'!$GJ$2:$GJ$21,$NJ82))=0),$MU82&amp;" não existe na Classe 0",""),IF($NY82=1,"Família Fechada: "&amp;$MX82,""),IF($NZ82=1,"Família Fechada: "&amp;$MY82,""),IF($OA82=1,"Família Fechada: "&amp;$MZ82,""),IF($OB82=1,"Família Fechada: "&amp;$NA82,""),IF(AND($MS82&gt;0,$OU82&gt;INDEX($O$2:$O$8,MAX(1,$MS82))),$OU82&amp;" Melhorias: a Classe "&amp;$MS82&amp;" aceita "&amp;INDEX($O$2:$O$8,MAX(1,$MS82)),""),IF(AND($MS82=0,$OU82&gt;1),"A básica aceita uma Melhoria",""),IF(AND($MS82=0,COUNTIF($NO82:$NR82,"&gt;1")&gt;0),"A básica só aceita Melhoria Leve",""),IF(AND($MS82&gt;0,$OV82&gt;2),$OV82&amp;" Restrições"&amp;IF($OF82=1,", contando a que a Forma "&amp;$MU82&amp;" já traz","")&amp;": o limite é 2",""),IF(AND($MS82=0,COUNTIF($NB82:$NC82,"?*")&gt;1),"A básica aceita uma Restrição Leve",""),IF(AND($MS82=0,COUNTIF($OI82:$OJ82,2)&gt;0),"A básica só aceita Restrição Leve",""),IF(AND($MS82&gt;0,$PC82&lt;0),"Orçamento estourado: faltam "&amp;(-$PC82)&amp;IF($PC82&lt;-1," pontos"," ponto"),""),IF(IFERROR(VLOOKUP(SUBSTITUTE(SUBSTITUTE(SUBSTITUTE($NB82,"~","~~"),"*","~*"),"?","~?"),'DADOS_RESTRICOES'!$M$2:$Q$54,4,FALSE),0)+IFERROR(VLOOKUP(SUBSTITUTE(SUBSTITUTE(SUBSTITUTE($NC82,"~","~~"),"*","~*"),"?","~?"),'DADOS_RESTRICOES'!$M$2:$Q$54,4,FALSE),0)&gt;1,$OK82&amp;" e "&amp;$OL82&amp;" são as duas de frequência",""),IF(AND((COUNTIF($RK82:$RN82,"Rápido")+COUNTIF($OK82:$OL82,"Rápido"))&gt;0,(COUNTIF($MX82:$NA82,"Atrasar")+COUNTIF($OK82:$OL82,"Atrasar"))&gt;0),"Rápido não entra com Atrasar",""),IF(AND((COUNTIF($RK82:$RN82,"Reação")+COUNTIF($OK82:$OL82,"Reação"))&gt;0,(COUNTIF($RK82:$RN82,"Rápido")+COUNTIF($OK82:$OL82,"Rápido"))&gt;0),"Reação não entra com Rápido",""),IF(AND((COUNTIF($RK82:$RN82,"Reação")+COUNTIF($OK82:$OL82,"Reação"))&gt;0,(COUNTIF($RK82:$RN82,"Armado")+COUNTIF($OK82:$OL82,"Armado"))&gt;0),"Reação não entra com Armado",""),IF(AND((COUNTIF($RK82:$RN82,"Reação")+COUNTIF($OK82:$OL82,"Reação"))&gt;0,(COUNTIF($MX82:$NA82,"Atrasar")+COUNTIF($OK82:$OL82,"Atrasar"))&gt;0),"Reação não entra com Atrasar",""),IF(AND((COUNTIF($RK82:$RN82,"Reação")+COUNTIF($OK82:$OL82,"Reação"))&gt;0,(COUNTIF($MX82:$NA82,"Parado")+COUNTIF($OK82:$OL82,"Parado"))&gt;0),"Reação não entra com Parado",""),IF(AND((COUNTIF($MX82:$NA82,"Atrasar")+COUNTIF($OK82:$OL82,"Atrasar"))&gt;0,(COUNTIF($MX82:$NA82,"Parado")+COUNTIF($OK82:$OL82,"Parado"))&gt;0),"Atrasar não entra com Parado",""),IF(AND((COUNTIF($RK82:$RN82,"Armado")+COUNTIF($OK82:$OL82,"Armado"))&gt;0,(COUNTIF($MX82:$NA82,"Carregar")+COUNTIF($OK82:$OL82,"Carregar"))&gt;0),"Armado não entra com Carregar",""),IF(AND(COUNTIF($OK82:$OL82,"Corpo a Corpo")&gt;0,$OF82=0,OR($RO82="Cone",$RO82="Linha")),"Corpo a Corpo não entra em "&amp;$MU82,""),IF(AND(COUNTIF($OK82:$OL82,"Corpo a Corpo")&gt;0,$RP82="Corpo a Corpo"),"A Forma "&amp;$MU82&amp;" já traz o Corpo a Corpo",""),IF(AND(COUNTIF($OK82:$OL82,"Tudo ou Nada")&gt;0,$OH82=0),"Tudo ou Nada só entra em habilidade de Teste de Resistência",""),IF(AND(COUNTIF($RK82:$RN82,"Inescapável")&gt;0,OR($OU82&gt;1,$OV82&gt;0)),"Inescapável não aceita outra peça",""),IF(AND($MS82&gt;0,$PD82*IF(COUNTIF($RK82:$RN82,"Remate")&gt;0,1.25,1)+$PE82&gt;4*$MS82),($PD82*IF(COUNTIF($RK82:$RN82,"Remate")&gt;0,1.25,1)+$PE82)&amp;" dados somando repetições"&amp;IF(COUNTIF($RK82:$RN82,"Remate")&gt;0," e o Remate","")&amp;": o teto da Classe "&amp;$MS82&amp;" é "&amp;4*$MS82,""))),IF(AND($MX82&lt;&gt;"",COUNTIF('DADOS_MELHORIAS'!$O$2:$O$113,SUBSTITUTE(SUBSTITUTE(SUBSTITUTE($MX82,"~","~~"),"*","~*"),"?","~?"))=0),"Melhoria não cadastrada ou com erro: "&amp;$MX82,""),IF(AND($MY82&lt;&gt;"",COUNTIF('DADOS_MELHORIAS'!$O$2:$O$113,SUBSTITUTE(SUBSTITUTE(SUBSTITUTE($MY82,"~","~~"),"*","~*"),"?","~?"))=0),"Melhoria não cadastrada ou com erro: "&amp;$MY82,""),IF(AND($MZ82&lt;&gt;"",COUNTIF('DADOS_MELHORIAS'!$O$2:$O$113,SUBSTITUTE(SUBSTITUTE(SUBSTITUTE($MZ82,"~","~~"),"*","~*"),"?","~?"))=0),"Melhoria não cadastrada ou com erro: "&amp;$MZ82,""),IF(AND($NA82&lt;&gt;"",COUNTIF('DADOS_MELHORIAS'!$O$2:$O$113,SUBSTITUTE(SUBSTITUTE(SUBSTITUTE($NA82,"~","~~"),"*","~*"),"?","~?"))=0),"Melhoria não cadastrada ou com erro: "&amp;$NA82,""),IF(AND($NB82&lt;&gt;"",COUNTIF('DADOS_RESTRICOES'!$M$2:$M$54,SUBSTITUTE(SUBSTITUTE(SUBSTITUTE($NB82,"~","~~"),"*","~*"),"?","~?"))=0),"Restrição não cadastrada ou com erro: "&amp;$NB82,""),IF(AND($NC82&lt;&gt;"",COUNTIF('DADOS_RESTRICOES'!$M$2:$M$54,SUBSTITUTE(SUBSTITUTE(SUBSTITUTE($NC82,"~","~~"),"*","~*"),"?","~?"))=0),"Restrição não cadastrada ou com erro: "&amp;$NC82,""))),IF(AND($MU82&lt;&gt;"",COUNTIF('DADOS_FORMAS'!$AH$2:$AH$21,SUBSTITUTE(SUBSTITUTE(SUBSTITUTE($MU82,"~","~~"),"*","~*"),"?","~?"))=0),"Forma não cadastrada ou com erro: "&amp;$MU82,""),IF(AND(IFERROR(INDEX('DADOS_FORMAS'!$AS$2:$AS$21,MATCH(SUBSTITUTE(SUBSTITUTE(SUBSTITUTE($MU82,"~","~~"),"*","~*"),"?","~?"),'DADOS_FORMAS'!$AH$2:$AH$21,0)),"")&lt;&gt;"",OR(IFERROR(VLOOKUP(SUBSTITUTE(SUBSTITUTE(SUBSTITUTE(IFERROR(INDEX('DADOS_FORMAS'!$AS$2:$AS$21,MATCH(SUBSTITUTE(SUBSTITUTE(SUBSTITUTE($MU82,"~","~~"),"*","~*"),"?","~?"),'DADOS_FORMAS'!$AH$2:$AH$21,0)),""),"~","~~"),"*","~*"),"?","~?"),'DADOS_RESTRICOES'!$M$2:$Q$54,2,FALSE),"")=$OK82,IFERROR(VLOOKUP(SUBSTITUTE(SUBSTITUTE(SUBSTITUTE(IFERROR(INDEX('DADOS_FORMAS'!$AS$2:$AS$21,MATCH(SUBSTITUTE(SUBSTITUTE(SUBSTITUTE($MU82,"~","~~"),"*","~*"),"?","~?"),'DADOS_FORMAS'!$AH$2:$AH$21,0)),""),"~","~~"),"*","~*"),"?","~?"),'DADOS_RESTRICOES'!$M$2:$Q$54,2,FALSE),"")=$OL82)),"Restrição repetida, contando a embutida",""),IF(IF(IFERROR(INDEX('DADOS_FORMAS'!$AS$2:$AS$21,MATCH(SUBSTITUTE(SUBSTITUTE(SUBSTITUTE($MU82,"~","~~"),"*","~*"),"?","~?"),'DADOS_FORMAS'!$AH$2:$AH$21,0)),"")="",0,IFERROR(N(VLOOKUP(SUBSTITUTE(SUBSTITUTE(SUBSTITUTE(IFERROR(INDEX('DADOS_FORMAS'!$AS$2:$AS$21,MATCH(SUBSTITUTE(SUBSTITUTE(SUBSTITUTE($MU82,"~","~~"),"*","~*"),"?","~?"),'DADOS_FORMAS'!$AH$2:$AH$21,0)),""),"~","~~"),"*","~*"),"?","~?"),'DADOS_RESTRICOES'!$M$2:$Q$54,4,FALSE)=1),0))+IF($NB82="",0,IFERROR(N(VLOOKUP(SUBSTITUTE(SUBSTITUTE(SUBSTITUTE($NB82,"~","~~"),"*","~*"),"?","~?"),'DADOS_RESTRICOES'!$M$2:$Q$54,4,FALSE)=1),0))+IF($NC82="",0,IFERROR(N(VLOOKUP(SUBSTITUTE(SUBSTITUTE(SUBSTITUTE($NC82,"~","~~"),"*","~*"),"?","~?"),'DADOS_RESTRICOES'!$M$2:$Q$54,4,FALSE)=1),0))&gt;1,"Duas Restrições de frequência, contando a embutida",""),IF(AND(IFERROR(VLOOKUP(SUBSTITUTE(SUBSTITUTE(SUBSTITUTE(IFERROR(INDEX('DADOS_FORMAS'!$AS$2:$AS$21,MATCH(SUBSTITUTE(SUBSTITUTE(SUBSTITUTE($MU82,"~","~~"),"*","~*"),"?","~?"),'DADOS_FORMAS'!$AH$2:$AH$21,0)),""),"~","~~"),"*","~*"),"?","~?"),'DADOS_RESTRICOES'!$M$2:$Q$54,2,FALSE),"")="Tudo ou Nada",$OH82=0),"Tudo ou Nada exige TR",""),IF(AND(IFERROR(VLOOKUP(SUBSTITUTE(SUBSTITUTE(SUBSTITUTE(IFERROR(INDEX('DADOS_FORMAS'!$AS$2:$AS$21,MATCH(SUBSTITUTE(SUBSTITUTE(SUBSTITUTE($MU82,"~","~~"),"*","~*"),"?","~?"),'DADOS_FORMAS'!$AH$2:$AH$21,0)),""),"~","~~"),"*","~*"),"?","~?"),'DADOS_RESTRICOES'!$M$2:$Q$54,2,FALSE),"")="Corpo a Corpo",OR($RO82="Cone",$RO82="Linha")),"Corpo a Corpo não entra em Cone/Linha","")))</f>
        <v/>
      </c>
      <c r="PU82" s="164">
        <f>IF($PT82="",0,(LEN($PT82)-LEN(SUBSTITUTE($PT82," · ","")))/3+1)</f>
        <v/>
      </c>
      <c r="PV82" s="164">
        <f>IF($ND82=0,"",TEXTJOIN(" · ",TRUE,IF($OX82&gt;2*$MS82,"A devolução parou no teto de "&amp;2*$MS82,""),IF($PA82&gt;0,"Devolução perdida: "&amp;$PA82&amp;IF($PA82&gt;1," pontos"," ponto")&amp;" sem Melhoria para pagar",""),IF(AND($OC82&gt;0,AND($MS82&gt;0,$OG82=0),$PD82=0),"Controle sem dano: uma rodada a mais e CD +2",""),IF(AND($OC82&gt;0,AND($MS82&gt;0,$OG82=0),$PD82&gt;0,$PD82&lt;=$MS82),"Controle com saldo até a Classe: uma rodada a mais",""),IF(AND($MS82&gt;0,$OE82&lt;&gt;""),"Efeito de "&amp;$OE82&amp;" pela Classe "&amp;MAX(1,$MS82-1),"")))</f>
        <v/>
      </c>
      <c r="PW82" s="164">
        <f>IF($PV82="",0,(LEN($PV82)-LEN(SUBSTITUTE($PV82," · ","")))/3+1)</f>
        <v/>
      </c>
      <c r="PX82" s="164">
        <f>IF($ND82=0,IF($OU82+COUNTIF($NB82:$NC82,"?*")&gt;0,"Dê um nome",""),IF($PU82&gt;0,"⚠ "&amp;$PU82&amp;IF($PU82&gt;1," erros"," erro"),IF($PW82&gt;0,"! "&amp;$PW82&amp;IF($PW82&gt;1," avisos"," aviso"),"Na regra")))</f>
        <v/>
      </c>
      <c r="PY82" s="164">
        <f>IF($ND82=0,"",IF($PU82+$PW82=0,"Dentro das regras que a ficha confere",$PT82&amp;IF(AND($PU82&gt;0,$PW82&gt;0)," · ","")&amp;$PV82))</f>
        <v/>
      </c>
      <c r="PZ82" s="164">
        <f>IF($MQ82&gt;$NE82,$MR82&amp;" · ABRE NO NÍVEL "&amp;$MQ82,$MR82)</f>
        <v/>
      </c>
      <c r="QA82" s="164">
        <f>IF($ND82=0,"",IF($MS82=0,"Sem PE",3*$MS82&amp;" PE"))</f>
        <v/>
      </c>
      <c r="QB82" s="164">
        <f>IF($ND82=0,"",IF($MS82=0,"A atuação básica dela",IF(COUNTIF($RQ82:$RS82,"Atrasar")&gt;0,"Sua Ação Completa",IF(COUNTIF($RK82:$RN82,"Rápido")&gt;0,"Sua Bônus",IF(COUNTIF($RK82:$RN82,"Reação")&gt;0,"Sua Reação","Sua Padrão")))&amp;" + a básica dela"&amp;IF(COUNTIF($RK82:$RN82,"Reação")&gt;0," e a coletiva","")&amp;IF(COUNTIF($RQ82:$RS82,"Carregar")&gt;0," · em dois turnos","")))</f>
        <v/>
      </c>
      <c r="QC82" s="164">
        <f>IF($MW82&lt;&gt;"",$MW82,IF($NJ82=0,"",INDEX('DADOS_FORMAS'!$GE$2:$GE$21,$NJ82)))</f>
        <v/>
      </c>
      <c r="QD82" s="164">
        <f>IF(OR($ND82=0,$NJ82=0),"",IF(COUNTIF($RK82:$RN82,"Inescapável")&gt;0,"Automático",IF($QC82="Ataque",IF($NH82="","Ataque","Ataque "&amp;IF(($NH82+2*IF(COUNTIF($RK82:$RN82,"Precisão")&gt;0,1,0))&gt;=0,"+","−")&amp;ABS(($NH82+2*IF(COUNTIF($RK82:$RN82,"Precisão")&gt;0,1,0))))&amp;IF($OD82&gt;0," · TR"&amp;IF($NI82="",""," CD "&amp;$NI82),""),IF(LEFT($QC82,2)="TR",$QC82&amp;IF($NI82="",""," · CD "&amp;$NI82)&amp;IF(COUNTIF($RK82:$RN82,"Certeiro")&gt;0," · metade",""),"Sem rolagem"))))</f>
        <v/>
      </c>
      <c r="QE82" s="164">
        <f>IF(OR($ND82=0,$NJ82=0),"",IF($MS82=0,IF(OR($OG82&gt;=1,$PD82=0),"Sem dano",$PD82&amp;"d6"&amp;IF($MV82="",""," "&amp;$MV82)),IF(OR($OG82&gt;=1,$PD82=0),UPPER(LEFT(INDEX($PM82:$PS82,1,MAX(1,$MS82)),1))&amp;MID(INDEX($PM82:$PS82,1,MAX(1,$MS82)),2,99),UPPER(LEFT(INDEX($PM82:$PS82,1,MAX(1,$MS82)),1))&amp;MID(INDEX($PM82:$PS82,1,MAX(1,$MS82)),2,99)&amp;IF($MV82="",""," "&amp;$MV82)&amp;IF($PE82&gt;0," · +"&amp;$PE82&amp;"d8",""))))</f>
        <v/>
      </c>
      <c r="QF82" s="164">
        <f>COUNTIF($RK82:$RN82,"Longe")+3*COUNTIF($RK82:$RN82,"Muito Longe")</f>
        <v/>
      </c>
      <c r="QG82" s="164">
        <f>COUNTIF($RK82:$RN82,"Maior")+3*COUNTIF($RK82:$RN82,"Muito Maior")</f>
        <v/>
      </c>
      <c r="QH82" s="164">
        <f>IF($NJ82=0,0,CHOOSE(1+INDEX('DADOS_FORMAS'!$GG$2:$GG$21,$NJ82),0,$QF82,$QG82,$QF82+$QG82))</f>
        <v/>
      </c>
      <c r="QI82" s="164">
        <f>IF($NJ82=0,0,CHOOSE(1+INDEX('DADOS_FORMAS'!$GH$2:$GH$21,$NJ82),0,$QF82,$QG82,$QF82+$QG82))</f>
        <v/>
      </c>
      <c r="QJ82" s="164">
        <f>IF(OR($ND82=0,$NJ82=0),"",INDEX('DADOS_FORMAS'!$HU$2:$HZ$81,($NJ82-1)*4+IF($MS82=0,1,IF($MS82&lt;=5,2,IF($MS82=6,3,4))),1+MIN(5,$QH82))&amp;INDEX('DADOS_FORMAS'!$IA$2:$IF$81,($NJ82-1)*4+IF($MS82=0,1,IF($MS82&lt;=5,2,IF($MS82=6,3,4))),1+MIN(5,$QI82))&amp;IF(INDEX('DADOS_FORMAS'!$GI$2:$GI$21,$NJ82)=1,IF(COUNTIF($RK82:$RN82,"Mais Um")&gt;0," · +"&amp;COUNTIF($RK82:$RN82,"Mais Um")&amp;IF(COUNTIF($RK82:$RN82,"Mais Um")&gt;1," alvos"," alvo"),"")&amp;IF(COUNTIF($RK82:$RN82,"Rajada")&gt;0,IF($MS82=0," · 1 tiro"," · "&amp;(MAX(1,$MS82-1)+1)&amp;" tiros"),""),""))</f>
        <v/>
      </c>
      <c r="QK82" s="164">
        <f>IF($ND82=0,"",IF($MS82=0,$NG82&amp;"d6"&amp;IF($OU82&gt;0," − 1 = "&amp;$PD82&amp;"d6"," da básica do nível "&amp;$NE82),$PB82&amp;" − "&amp;$OW82&amp;" + "&amp;$OZ82&amp;" = "&amp;$PC82&amp;" · teto "&amp;4*$MS82&amp;"d8"&amp;IF($OF82=1," · a Forma devolve "&amp;$MS82,"")&amp;IF($PA82&gt;0," · perde "&amp;$PA82,"")))</f>
        <v/>
      </c>
      <c r="QL82" s="164">
        <f>IF($ND82=0,"",IF($MS82=0,"A básica não amplia: os dados dela sobem com o nível",IF($MS82&gt;=$NF82,"Já está na maior Classe que o nível liberou",TEXTJOIN(" · ",TRUE,IF(AND(2&gt;$MS82,2&lt;=$NF82),"2 → "&amp;$PN82&amp;", 6 PE",""),IF(AND(3&gt;$MS82,3&lt;=$NF82),"3 → "&amp;$PO82&amp;", 9 PE",""),IF(AND(4&gt;$MS82,4&lt;=$NF82),"4 → "&amp;$PP82&amp;", 12 PE",""),IF(AND(5&gt;$MS82,5&lt;=$NF82),"5 → "&amp;$PQ82&amp;", 15 PE",""),IF(AND(6&gt;$MS82,6&lt;=$NF82),"6 → "&amp;$PR82&amp;", 18 PE",""),IF(AND(7&gt;$MS82,7&lt;=$NF82),"7 → "&amp;$PS82&amp;", 21 PE","")))))</f>
        <v/>
      </c>
      <c r="QM82" s="164">
        <f>IF(OR($ND82=0,$NO82=0),"",IF($MS82=0,"−1 dado","−"&amp;INDEX($I$2:$N$8,MAX(1,$MS82),MAX(1,$NT82))&amp;" · "&amp;CHOOSE(MAX(1,$NT82),"Leve","Média","Pesada","Leve · Livre","Média · Livre","Pesada · Livre")))</f>
        <v/>
      </c>
      <c r="QN82" s="164">
        <f>IF(OR($ND82=0,$NP82=0),"",IF($MS82=0,"−1 dado","−"&amp;INDEX($I$2:$N$8,MAX(1,$MS82),MAX(1,$NU82))&amp;" · "&amp;CHOOSE(MAX(1,$NU82),"Leve","Média","Pesada","Leve · Livre","Média · Livre","Pesada · Livre")))</f>
        <v/>
      </c>
      <c r="QO82" s="164">
        <f>IF(OR($ND82=0,$NQ82=0),"",IF($MS82=0,"−1 dado","−"&amp;INDEX($I$2:$N$8,MAX(1,$MS82),MAX(1,$NV82))&amp;" · "&amp;CHOOSE(MAX(1,$NV82),"Leve","Média","Pesada","Leve · Livre","Média · Livre","Pesada · Livre")))</f>
        <v/>
      </c>
      <c r="QP82" s="164">
        <f>IF(OR($ND82=0,$NR82=0),"",IF($MS82=0,"−1 dado","−"&amp;INDEX($I$2:$N$8,MAX(1,$MS82),MAX(1,$NW82))&amp;" · "&amp;CHOOSE(MAX(1,$NW82),"Leve","Média","Pesada","Leve · Livre","Média · Livre","Pesada · Livre")))</f>
        <v/>
      </c>
      <c r="QQ82" s="164">
        <f>IF(OR($ND82=0,$NB82=""),"",IF($MS82=0,"não devolve","+"&amp;IF($OI82=1,CEILING($MS82/2,1),$MS82)))</f>
        <v/>
      </c>
      <c r="QR82" s="164">
        <f>IF(OR($ND82=0,$NC82=""),"",IF($MS82=0,"não devolve","+"&amp;IF($OJ82=1,CEILING($MS82/2,1),$MS82)))</f>
        <v/>
      </c>
      <c r="RK82">
        <f>IF($MX82="","",IFERROR(VLOOKUP(SUBSTITUTE(SUBSTITUTE(SUBSTITUTE($MX82,"~","~~"),"*","~*"),"?","~?"),'DADOS_MELHORIAS'!$O$2:$X$113,10,FALSE),$MX82))</f>
        <v/>
      </c>
      <c r="RL82">
        <f>IF($MY82="","",IFERROR(VLOOKUP(SUBSTITUTE(SUBSTITUTE(SUBSTITUTE($MY82,"~","~~"),"*","~*"),"?","~?"),'DADOS_MELHORIAS'!$O$2:$X$113,10,FALSE),$MY82))</f>
        <v/>
      </c>
      <c r="RM82">
        <f>IF($MZ82="","",IFERROR(VLOOKUP(SUBSTITUTE(SUBSTITUTE(SUBSTITUTE($MZ82,"~","~~"),"*","~*"),"?","~?"),'DADOS_MELHORIAS'!$O$2:$X$113,10,FALSE),$MZ82))</f>
        <v/>
      </c>
      <c r="RN82">
        <f>IF($NA82="","",IFERROR(VLOOKUP(SUBSTITUTE(SUBSTITUTE(SUBSTITUTE($NA82,"~","~~"),"*","~*"),"?","~?"),'DADOS_MELHORIAS'!$O$2:$X$113,10,FALSE),$NA82))</f>
        <v/>
      </c>
      <c r="RO82">
        <f>IFERROR(INDEX('DADOS_FORMAS'!$BJ$2:$BJ$21,MATCH(SUBSTITUTE(SUBSTITUTE(SUBSTITUTE($MU82,"~","~~"),"*","~*"),"?","~?"),'DADOS_FORMAS'!$AH$2:$AH$21,0)),"")</f>
        <v/>
      </c>
      <c r="RP82">
        <f>IFERROR(VLOOKUP(SUBSTITUTE(SUBSTITUTE(SUBSTITUTE(IFERROR(INDEX('DADOS_FORMAS'!$AS$2:$AS$21,MATCH(SUBSTITUTE(SUBSTITUTE(SUBSTITUTE($MU82,"~","~~"),"*","~*"),"?","~?"),'DADOS_FORMAS'!$AH$2:$AH$21,0)),""),"~","~~"),"*","~*"),"?","~?"),'DADOS_RESTRICOES'!$M$2:$Q$54,2,FALSE),"")</f>
        <v/>
      </c>
      <c r="RQ82">
        <f>$OK82</f>
        <v/>
      </c>
      <c r="RR82">
        <f>$OL82</f>
        <v/>
      </c>
      <c r="RS82">
        <f>$RP82</f>
        <v/>
      </c>
    </row>
    <row r="83">
      <c r="AV83" s="162" t="inlineStr">
        <is>
          <t>Efeito Próprio (Pesada)</t>
        </is>
      </c>
      <c r="AW83" s="162" t="inlineStr"/>
      <c r="AX83" s="164" t="n">
        <v>3</v>
      </c>
      <c r="AY83" s="164" t="n">
        <v>0</v>
      </c>
      <c r="AZ83" s="164" t="n">
        <v>0</v>
      </c>
      <c r="BA83" s="164" t="n">
        <v>0</v>
      </c>
      <c r="JT83" s="164">
        <f>IF(OR($AW83="",(COUNTIF($EL$2:$EP$2,$AW83)+COUNTIF($QV$2:$QY$2,$AW83))&gt;0),$AV83,"")</f>
        <v/>
      </c>
      <c r="JU83" s="164">
        <f>IF(AND($AX83=1,OR($AW83="",(COUNTIF($EL$2:$EP$2,$AW83)+COUNTIF($QV$2:$QY$2,$AW83))&gt;0)),$AV83,"")</f>
        <v/>
      </c>
      <c r="JZ83" s="164">
        <f>IF(OR($AW83="",(COUNTIF($EL$3:$EP$3,$AW83)+COUNTIF($QV$3:$QY$3,$AW83))&gt;0),$AV83,"")</f>
        <v/>
      </c>
      <c r="KA83" s="164">
        <f>IF(AND($AX83=1,OR($AW83="",(COUNTIF($EL$3:$EP$3,$AW83)+COUNTIF($QV$3:$QY$3,$AW83))&gt;0)),$AV83,"")</f>
        <v/>
      </c>
      <c r="KF83" s="164">
        <f>IF(OR($AW83="",(COUNTIF($EL$4:$EP$4,$AW83)+COUNTIF($QV$4:$QY$4,$AW83))&gt;0),$AV83,"")</f>
        <v/>
      </c>
      <c r="KG83" s="164">
        <f>IF(AND($AX83=1,OR($AW83="",(COUNTIF($EL$4:$EP$4,$AW83)+COUNTIF($QV$4:$QY$4,$AW83))&gt;0)),$AV83,"")</f>
        <v/>
      </c>
      <c r="KL83" s="164">
        <f>IF(OR($AW83="",(COUNTIF($EL$5:$EP$5,$AW83)+COUNTIF($QV$5:$QY$5,$AW83))&gt;0),$AV83,"")</f>
        <v/>
      </c>
      <c r="KM83" s="164">
        <f>IF(AND($AX83=1,OR($AW83="",(COUNTIF($EL$5:$EP$5,$AW83)+COUNTIF($QV$5:$QY$5,$AW83))&gt;0)),$AV83,"")</f>
        <v/>
      </c>
      <c r="KR83" s="164">
        <f>IF(OR($AW83="",(COUNTIF($EL$6:$EP$6,$AW83)+COUNTIF($QV$6:$QY$6,$AW83))&gt;0),$AV83,"")</f>
        <v/>
      </c>
      <c r="KS83" s="164">
        <f>IF(AND($AX83=1,OR($AW83="",(COUNTIF($EL$6:$EP$6,$AW83)+COUNTIF($QV$6:$QY$6,$AW83))&gt;0)),$AV83,"")</f>
        <v/>
      </c>
      <c r="KX83" s="164">
        <f>IF(OR($AW83="",(COUNTIF($EL$7:$EP$7,$AW83)+COUNTIF($QV$7:$QY$7,$AW83))&gt;0),$AV83,"")</f>
        <v/>
      </c>
      <c r="KY83" s="164">
        <f>IF(AND($AX83=1,OR($AW83="",(COUNTIF($EL$7:$EP$7,$AW83)+COUNTIF($QV$7:$QY$7,$AW83))&gt;0)),$AV83,"")</f>
        <v/>
      </c>
      <c r="LD83" s="164">
        <f>IF(OR($AW83="",(COUNTIF($EL$8:$EP$8,$AW83)+COUNTIF($QV$8:$QY$8,$AW83))&gt;0),$AV83,"")</f>
        <v/>
      </c>
      <c r="LE83" s="164">
        <f>IF(AND($AX83=1,OR($AW83="",(COUNTIF($EL$8:$EP$8,$AW83)+COUNTIF($QV$8:$QY$8,$AW83))&gt;0)),$AV83,"")</f>
        <v/>
      </c>
      <c r="LJ83" s="164">
        <f>IF(OR($AW83="",(COUNTIF($EL$9:$EP$9,$AW83)+COUNTIF($QV$9:$QY$9,$AW83))&gt;0),$AV83,"")</f>
        <v/>
      </c>
      <c r="LK83" s="164">
        <f>IF(AND($AX83=1,OR($AW83="",(COUNTIF($EL$9:$EP$9,$AW83)+COUNTIF($QV$9:$QY$9,$AW83))&gt;0)),$AV83,"")</f>
        <v/>
      </c>
      <c r="LP83" s="164">
        <f>IF(OR($AW83="",(COUNTIF($EL$10:$EP$10,$AW83)+COUNTIF($QV$10:$QY$10,$AW83))&gt;0),$AV83,"")</f>
        <v/>
      </c>
      <c r="LQ83" s="164">
        <f>IF(AND($AX83=1,OR($AW83="",(COUNTIF($EL$10:$EP$10,$AW83)+COUNTIF($QV$10:$QY$10,$AW83))&gt;0)),$AV83,"")</f>
        <v/>
      </c>
      <c r="LV83" s="164">
        <f>IF(OR($AW83="",(COUNTIF($EL$11:$EP$11,$AW83)+COUNTIF($QV$11:$QY$11,$AW83))&gt;0),$AV83,"")</f>
        <v/>
      </c>
      <c r="LW83" s="164">
        <f>IF(AND($AX83=1,OR($AW83="",(COUNTIF($EL$11:$EP$11,$AW83)+COUNTIF($QV$11:$QY$11,$AW83))&gt;0)),$AV83,"")</f>
        <v/>
      </c>
      <c r="MB83" s="164">
        <f>IF(OR($AW83="",(COUNTIF($EL$12:$EP$12,$AW83)+COUNTIF($QV$12:$QY$12,$AW83))&gt;0),$AV83,"")</f>
        <v/>
      </c>
      <c r="MC83" s="164">
        <f>IF(AND($AX83=1,OR($AW83="",(COUNTIF($EL$12:$EP$12,$AW83)+COUNTIF($QV$12:$QY$12,$AW83))&gt;0)),$AV83,"")</f>
        <v/>
      </c>
      <c r="MH83" s="164">
        <f>IF(OR($AW83="",(COUNTIF($EL$13:$EP$13,$AW83)+COUNTIF($QV$13:$QY$13,$AW83))&gt;0),$AV83,"")</f>
        <v/>
      </c>
      <c r="MI83" s="164">
        <f>IF(AND($AX83=1,OR($AW83="",(COUNTIF($EL$13:$EP$13,$AW83)+COUNTIF($QV$13:$QY$13,$AW83))&gt;0)),$AV83,"")</f>
        <v/>
      </c>
      <c r="MN83" s="162" t="inlineStr">
        <is>
          <t>Ficha 7 · Básica 2</t>
        </is>
      </c>
      <c r="MO83" s="164" t="n">
        <v>7</v>
      </c>
      <c r="MP83" s="164" t="n">
        <v>0</v>
      </c>
      <c r="MQ83" s="164" t="n">
        <v>11</v>
      </c>
      <c r="MR83" s="162" t="inlineStr">
        <is>
          <t>BÁSICA 2</t>
        </is>
      </c>
      <c r="MS83" s="164" t="n">
        <v>0</v>
      </c>
      <c r="MT83" s="164">
        <f>'INVOCAÇÕES'!$AC$105&amp;""</f>
        <v/>
      </c>
      <c r="MU83" s="164">
        <f>'INVOCAÇÕES'!$AB$110&amp;""</f>
        <v/>
      </c>
      <c r="MV83" s="164">
        <f>'INVOCAÇÕES'!$AB$111&amp;""</f>
        <v/>
      </c>
      <c r="MW83" s="164">
        <f>'INVOCAÇÕES'!$AD$111&amp;""</f>
        <v/>
      </c>
      <c r="MX83" s="164">
        <f>'INVOCAÇÕES'!$AC$114&amp;""</f>
        <v/>
      </c>
      <c r="MY83" s="164">
        <f>'INVOCAÇÕES'!$AC$115&amp;""</f>
        <v/>
      </c>
      <c r="MZ83" s="164">
        <f>'INVOCAÇÕES'!$AC$116&amp;""</f>
        <v/>
      </c>
      <c r="NA83" s="164">
        <f>'INVOCAÇÕES'!$AC$117&amp;""</f>
        <v/>
      </c>
      <c r="NB83" s="164">
        <f>'INVOCAÇÕES'!$AC$118&amp;""</f>
        <v/>
      </c>
      <c r="NC83" s="164">
        <f>'INVOCAÇÕES'!$AC$119&amp;""</f>
        <v/>
      </c>
      <c r="ND83" s="164">
        <f>IF($MT83&lt;&gt;"",1,0)</f>
        <v/>
      </c>
      <c r="NE83" s="164">
        <f>INDEX($FO$2:$FO$13,$MO83)</f>
        <v/>
      </c>
      <c r="NF83" s="164">
        <f>INDEX($FP$2:$FP$13,$MO83)</f>
        <v/>
      </c>
      <c r="NG83" s="164">
        <f>INDEX($FQ$2:$FQ$13,$MO83)</f>
        <v/>
      </c>
      <c r="NH83" s="164">
        <f>INDEX($GB$2:$GB$13,$MO83)</f>
        <v/>
      </c>
      <c r="NI83" s="164">
        <f>INDEX($GC$2:$GC$13,$MO83)</f>
        <v/>
      </c>
      <c r="NJ83" s="164">
        <f>IFERROR(MATCH(SUBSTITUTE(SUBSTITUTE(SUBSTITUTE($MU83,"~","~~"),"*","~*"),"?","~?"),'DADOS_FORMAS'!$FZ$2:$FZ$21,0),0)</f>
        <v/>
      </c>
      <c r="NK83" s="164">
        <f>IFERROR(VLOOKUP(SUBSTITUTE(SUBSTITUTE(SUBSTITUTE($MX83,"~","~~"),"*","~*"),"?","~?"),'DADOS_MELHORIAS'!$AG$2:$AL$113,2,FALSE),"")</f>
        <v/>
      </c>
      <c r="NL83" s="164">
        <f>IFERROR(VLOOKUP(SUBSTITUTE(SUBSTITUTE(SUBSTITUTE($MY83,"~","~~"),"*","~*"),"?","~?"),'DADOS_MELHORIAS'!$AG$2:$AL$113,2,FALSE),"")</f>
        <v/>
      </c>
      <c r="NM83" s="164">
        <f>IFERROR(VLOOKUP(SUBSTITUTE(SUBSTITUTE(SUBSTITUTE($MZ83,"~","~~"),"*","~*"),"?","~?"),'DADOS_MELHORIAS'!$AG$2:$AL$113,2,FALSE),"")</f>
        <v/>
      </c>
      <c r="NN83" s="164">
        <f>IFERROR(VLOOKUP(SUBSTITUTE(SUBSTITUTE(SUBSTITUTE($NA83,"~","~~"),"*","~*"),"?","~?"),'DADOS_MELHORIAS'!$AG$2:$AL$113,2,FALSE),"")</f>
        <v/>
      </c>
      <c r="NO83" s="164">
        <f>IFERROR(VLOOKUP(SUBSTITUTE(SUBSTITUTE(SUBSTITUTE($MX83,"~","~~"),"*","~*"),"?","~?"),'DADOS_MELHORIAS'!$AG$2:$AL$113,3,FALSE),0)</f>
        <v/>
      </c>
      <c r="NP83" s="164">
        <f>IFERROR(VLOOKUP(SUBSTITUTE(SUBSTITUTE(SUBSTITUTE($MY83,"~","~~"),"*","~*"),"?","~?"),'DADOS_MELHORIAS'!$AG$2:$AL$113,3,FALSE),0)</f>
        <v/>
      </c>
      <c r="NQ83" s="164">
        <f>IFERROR(VLOOKUP(SUBSTITUTE(SUBSTITUTE(SUBSTITUTE($MZ83,"~","~~"),"*","~*"),"?","~?"),'DADOS_MELHORIAS'!$AG$2:$AL$113,3,FALSE),0)</f>
        <v/>
      </c>
      <c r="NR83" s="164">
        <f>IFERROR(VLOOKUP(SUBSTITUTE(SUBSTITUTE(SUBSTITUTE($NA83,"~","~~"),"*","~*"),"?","~?"),'DADOS_MELHORIAS'!$AG$2:$AL$113,3,FALSE),0)</f>
        <v/>
      </c>
      <c r="NS83" s="164">
        <f>IF($MS83=0,0,IF($NJ83=0,0,INDEX('DADOS_FORMAS'!$GB$2:$GB$21,$NJ83)))</f>
        <v/>
      </c>
      <c r="NT83" s="164">
        <f>IF(OR($NO83=0,$MS83=0),0,$NO83+3*IF(AND($NK83&lt;&gt;"",COUNTIF(INDEX($RB$2:$RJ$13,$MO83,0),$NK83)&gt;0),1,0))</f>
        <v/>
      </c>
      <c r="NU83" s="164">
        <f>IF(OR($NP83=0,$MS83=0),0,$NP83+3*IF(AND($NL83&lt;&gt;"",COUNTIF(INDEX($RB$2:$RJ$13,$MO83,0),$NL83)&gt;0),1,0))</f>
        <v/>
      </c>
      <c r="NV83" s="164">
        <f>IF(OR($NQ83=0,$MS83=0),0,$NQ83+3*IF(AND($NM83&lt;&gt;"",COUNTIF(INDEX($RB$2:$RJ$13,$MO83,0),$NM83)&gt;0),1,0))</f>
        <v/>
      </c>
      <c r="NW83" s="164">
        <f>IF(OR($NR83=0,$MS83=0),0,$NR83+3*IF(AND($NN83&lt;&gt;"",COUNTIF(INDEX($RB$2:$RJ$13,$MO83,0),$NN83)&gt;0),1,0))</f>
        <v/>
      </c>
      <c r="NX83" s="164">
        <f>IF($NJ83=0,0,IF(INDEX('DADOS_FORMAS'!$GA$2:$GA$21,$NJ83)="",0,IF((COUNTIF(INDEX($EL$2:$EP$13,$MO83,0),INDEX('DADOS_FORMAS'!$GA$2:$GA$21,$NJ83))+COUNTIF(INDEX($QV$2:$QY$13,$MO83,0),INDEX('DADOS_FORMAS'!$GA$2:$GA$21,$NJ83)))=0,1,0)))</f>
        <v/>
      </c>
      <c r="NY83" s="164">
        <f>IF(OR($NO83=0,$NK83=""),0,IF((COUNTIF(INDEX($EL$2:$EP$13,$MO83,0),$NK83)+COUNTIF(INDEX($QV$2:$QY$13,$MO83,0),$NK83))=0,1,0))</f>
        <v/>
      </c>
      <c r="NZ83" s="164">
        <f>IF(OR($NP83=0,$NL83=""),0,IF((COUNTIF(INDEX($EL$2:$EP$13,$MO83,0),$NL83)+COUNTIF(INDEX($QV$2:$QY$13,$MO83,0),$NL83))=0,1,0))</f>
        <v/>
      </c>
      <c r="OA83" s="164">
        <f>IF(OR($NQ83=0,$NM83=""),0,IF((COUNTIF(INDEX($EL$2:$EP$13,$MO83,0),$NM83)+COUNTIF(INDEX($QV$2:$QY$13,$MO83,0),$NM83))=0,1,0))</f>
        <v/>
      </c>
      <c r="OB83" s="164">
        <f>IF(OR($NR83=0,$NN83=""),0,IF((COUNTIF(INDEX($EL$2:$EP$13,$MO83,0),$NN83)+COUNTIF(INDEX($QV$2:$QY$13,$MO83,0),$NN83))=0,1,0))</f>
        <v/>
      </c>
      <c r="OC83" s="164">
        <f>IFERROR(VLOOKUP(SUBSTITUTE(SUBSTITUTE(SUBSTITUTE($MX83,"~","~~"),"*","~*"),"?","~?"),'DADOS_MELHORIAS'!$AG$2:$AL$113,4,FALSE),0)+IFERROR(VLOOKUP(SUBSTITUTE(SUBSTITUTE(SUBSTITUTE($MY83,"~","~~"),"*","~*"),"?","~?"),'DADOS_MELHORIAS'!$AG$2:$AL$113,4,FALSE),0)+IFERROR(VLOOKUP(SUBSTITUTE(SUBSTITUTE(SUBSTITUTE($MZ83,"~","~~"),"*","~*"),"?","~?"),'DADOS_MELHORIAS'!$AG$2:$AL$113,4,FALSE),0)+IFERROR(VLOOKUP(SUBSTITUTE(SUBSTITUTE(SUBSTITUTE($NA83,"~","~~"),"*","~*"),"?","~?"),'DADOS_MELHORIAS'!$AG$2:$AL$113,4,FALSE),0)</f>
        <v/>
      </c>
      <c r="OD83" s="164">
        <f>IFERROR(VLOOKUP(SUBSTITUTE(SUBSTITUTE(SUBSTITUTE($MX83,"~","~~"),"*","~*"),"?","~?"),'DADOS_MELHORIAS'!$AG$2:$AL$113,6,FALSE),0)+IFERROR(VLOOKUP(SUBSTITUTE(SUBSTITUTE(SUBSTITUTE($MY83,"~","~~"),"*","~*"),"?","~?"),'DADOS_MELHORIAS'!$AG$2:$AL$113,6,FALSE),0)+IFERROR(VLOOKUP(SUBSTITUTE(SUBSTITUTE(SUBSTITUTE($MZ83,"~","~~"),"*","~*"),"?","~?"),'DADOS_MELHORIAS'!$AG$2:$AL$113,6,FALSE),0)+IFERROR(VLOOKUP(SUBSTITUTE(SUBSTITUTE(SUBSTITUTE($NA83,"~","~~"),"*","~*"),"?","~?"),'DADOS_MELHORIAS'!$AG$2:$AL$113,6,FALSE),0)+IFERROR(N(AND(INDEX('DADOS_FORMAS'!$AO$2:$AO$21,MATCH(SUBSTITUTE(SUBSTITUTE(SUBSTITUTE($MU83,"~","~~"),"*","~*"),"?","~?"),'DADOS_FORMAS'!$AH$2:$AH$21,0))="Acerto",$OH83=1)),0)</f>
        <v/>
      </c>
      <c r="OE83" s="164">
        <f>TEXTJOIN(", ",TRUE,IF(IFERROR(VLOOKUP(SUBSTITUTE(SUBSTITUTE(SUBSTITUTE($MX83,"~","~~"),"*","~*"),"?","~?"),'DADOS_MELHORIAS'!$AG$2:$AL$113,5,FALSE),0)=1,$MX83,""),IF(IFERROR(VLOOKUP(SUBSTITUTE(SUBSTITUTE(SUBSTITUTE($MY83,"~","~~"),"*","~*"),"?","~?"),'DADOS_MELHORIAS'!$AG$2:$AL$113,5,FALSE),0)=1,$MY83,""),IF(IFERROR(VLOOKUP(SUBSTITUTE(SUBSTITUTE(SUBSTITUTE($MZ83,"~","~~"),"*","~*"),"?","~?"),'DADOS_MELHORIAS'!$AG$2:$AL$113,5,FALSE),0)=1,$MZ83,""),IF(IFERROR(VLOOKUP(SUBSTITUTE(SUBSTITUTE(SUBSTITUTE($NA83,"~","~~"),"*","~*"),"?","~?"),'DADOS_MELHORIAS'!$AG$2:$AL$113,5,FALSE),0)=1,$NA83,""))</f>
        <v/>
      </c>
      <c r="OF83" s="164">
        <f>IF($NJ83=0,0,INDEX('DADOS_FORMAS'!$GC$2:$GC$21,$NJ83))</f>
        <v/>
      </c>
      <c r="OG83" s="164">
        <f>IF($NJ83=0,0,INDEX('DADOS_FORMAS'!$GD$2:$GD$21,$NJ83))</f>
        <v/>
      </c>
      <c r="OH83" s="164">
        <f>IF($NJ83=0,0,INDEX('DADOS_FORMAS'!$GF$2:$GF$21,$NJ83))</f>
        <v/>
      </c>
      <c r="OI83" s="164">
        <f>IFERROR(VLOOKUP(SUBSTITUTE(SUBSTITUTE(SUBSTITUTE($NB83,"~","~~"),"*","~*"),"?","~?"),'DADOS_RESTRICOES'!$M$2:$Q$54,3,FALSE),0)</f>
        <v/>
      </c>
      <c r="OJ83" s="164">
        <f>IFERROR(VLOOKUP(SUBSTITUTE(SUBSTITUTE(SUBSTITUTE($NC83,"~","~~"),"*","~*"),"?","~?"),'DADOS_RESTRICOES'!$M$2:$Q$54,3,FALSE),0)</f>
        <v/>
      </c>
      <c r="OK83" s="164">
        <f>IFERROR(VLOOKUP(SUBSTITUTE(SUBSTITUTE(SUBSTITUTE($NB83,"~","~~"),"*","~*"),"?","~?"),'DADOS_RESTRICOES'!$M$2:$Q$54,2,FALSE),"")</f>
        <v/>
      </c>
      <c r="OL83" s="164">
        <f>IFERROR(VLOOKUP(SUBSTITUTE(SUBSTITUTE(SUBSTITUTE($NC83,"~","~~"),"*","~*"),"?","~?"),'DADOS_RESTRICOES'!$M$2:$Q$54,2,FALSE),"")</f>
        <v/>
      </c>
      <c r="OM83" s="164">
        <f>COUNTIF($NS83:$NW83,1)</f>
        <v/>
      </c>
      <c r="ON83" s="164">
        <f>COUNTIF($NS83:$NW83,2)</f>
        <v/>
      </c>
      <c r="OO83" s="164">
        <f>COUNTIF($NS83:$NW83,3)</f>
        <v/>
      </c>
      <c r="OP83" s="164">
        <f>COUNTIF($NS83:$NW83,4)</f>
        <v/>
      </c>
      <c r="OQ83" s="164">
        <f>COUNTIF($NS83:$NW83,5)</f>
        <v/>
      </c>
      <c r="OR83" s="164">
        <f>COUNTIF($NS83:$NW83,6)</f>
        <v/>
      </c>
      <c r="OS83" s="164">
        <f>COUNTIF($OI83:$OJ83,1)+IF(IFERROR(INDEX('DADOS_FORMAS'!$AS$2:$AS$21,MATCH(SUBSTITUTE(SUBSTITUTE(SUBSTITUTE($MU83,"~","~~"),"*","~*"),"?","~?"),'DADOS_FORMAS'!$AH$2:$AH$21,0)),"")="",0,IFERROR(N(VLOOKUP(SUBSTITUTE(SUBSTITUTE(SUBSTITUTE(IFERROR(INDEX('DADOS_FORMAS'!$AS$2:$AS$21,MATCH(SUBSTITUTE(SUBSTITUTE(SUBSTITUTE($MU83,"~","~~"),"*","~*"),"?","~?"),'DADOS_FORMAS'!$AH$2:$AH$21,0)),""),"~","~~"),"*","~*"),"?","~?"),'DADOS_RESTRICOES'!$M$2:$Q$54,3,FALSE)=1),0))</f>
        <v/>
      </c>
      <c r="OT83" s="164">
        <f>COUNTIF($OI83:$OJ83,2)+IF(IFERROR(INDEX('DADOS_FORMAS'!$AS$2:$AS$21,MATCH(SUBSTITUTE(SUBSTITUTE(SUBSTITUTE($MU83,"~","~~"),"*","~*"),"?","~?"),'DADOS_FORMAS'!$AH$2:$AH$21,0)),"")="",0,IFERROR(N(VLOOKUP(SUBSTITUTE(SUBSTITUTE(SUBSTITUTE(IFERROR(INDEX('DADOS_FORMAS'!$AS$2:$AS$21,MATCH(SUBSTITUTE(SUBSTITUTE(SUBSTITUTE($MU83,"~","~~"),"*","~*"),"?","~?"),'DADOS_FORMAS'!$AH$2:$AH$21,0)),""),"~","~~"),"*","~*"),"?","~?"),'DADOS_RESTRICOES'!$M$2:$Q$54,3,FALSE)=2),0))</f>
        <v/>
      </c>
      <c r="OU83" s="164">
        <f>COUNTIF($MX83:$NA83,"?*")</f>
        <v/>
      </c>
      <c r="OV83" s="164">
        <f>COUNTIF($NB83:$NC83,"?*")+$OF83</f>
        <v/>
      </c>
      <c r="OW83" s="164">
        <f>IF($MS83=0,0,SUMPRODUCT($OM83:$OR83,INDEX($I$2:$N$8,MAX(1,$MS83),0)))</f>
        <v/>
      </c>
      <c r="OX83" s="164">
        <f>IF($MS83=0,0,$OS83*CEILING($MS83/2,1)+$OT83*$MS83)</f>
        <v/>
      </c>
      <c r="OY83" s="164">
        <f>MIN(2*$MS83,$OX83)</f>
        <v/>
      </c>
      <c r="OZ83" s="164">
        <f>MIN($OY83,$OW83-IF($NS83=0,0,INDEX($I$2:$N$8,MAX(1,$MS83),$NS83)))</f>
        <v/>
      </c>
      <c r="PA83" s="164">
        <f>$OY83-$OZ83</f>
        <v/>
      </c>
      <c r="PB83" s="164">
        <f>IF($MS83=0,0,INDEX($P$2:$P$8,MAX(1,$MS83)))</f>
        <v/>
      </c>
      <c r="PC83" s="164">
        <f>$PB83-$OW83+$OZ83</f>
        <v/>
      </c>
      <c r="PD83" s="164">
        <f>IF($MS83=0,MAX(0,$NG83-IF(AND($OU83&gt;0,COUNTIF($NB83:$NC83,"?*")=0),1,0)),MAX(0,$PC83))</f>
        <v/>
      </c>
      <c r="PE83" s="164">
        <f>IF($MS83=0,0,(IF(COUNTIF($RK83:$RN83,"Salto")&gt;0,1,0)+IF(COUNTIF($RK83:$RN83,"Queima")&gt;0,1,0)+IF(COUNTIF($RK83:$RN83,"Estilhaço")&gt;0,1,0))*FLOOR($PD83/2,1))</f>
        <v/>
      </c>
      <c r="PF83" s="164">
        <f>MAX(0,2-SUMPRODUCT($OM83:$OR83,$I$2:$N$2)+MIN(2,$OS83*1+$OT83*1,SUMPRODUCT($OM83:$OR83,$I$2:$N$2)-IF($NS83=0,0,INDEX($I$2:$N$2,1,$NS83))))</f>
        <v/>
      </c>
      <c r="PG83" s="164">
        <f>MAX(0,4-SUMPRODUCT($OM83:$OR83,$I$3:$N$3)+MIN(4,$OS83*1+$OT83*2,SUMPRODUCT($OM83:$OR83,$I$3:$N$3)-IF($NS83=0,0,INDEX($I$3:$N$3,1,$NS83))))</f>
        <v/>
      </c>
      <c r="PH83" s="164">
        <f>MAX(0,6-SUMPRODUCT($OM83:$OR83,$I$4:$N$4)+MIN(6,$OS83*2+$OT83*3,SUMPRODUCT($OM83:$OR83,$I$4:$N$4)-IF($NS83=0,0,INDEX($I$4:$N$4,1,$NS83))))</f>
        <v/>
      </c>
      <c r="PI83" s="164">
        <f>MAX(0,9-SUMPRODUCT($OM83:$OR83,$I$5:$N$5)+MIN(8,$OS83*2+$OT83*4,SUMPRODUCT($OM83:$OR83,$I$5:$N$5)-IF($NS83=0,0,INDEX($I$5:$N$5,1,$NS83))))</f>
        <v/>
      </c>
      <c r="PJ83" s="164">
        <f>MAX(0,11-SUMPRODUCT($OM83:$OR83,$I$6:$N$6)+MIN(10,$OS83*3+$OT83*5,SUMPRODUCT($OM83:$OR83,$I$6:$N$6)-IF($NS83=0,0,INDEX($I$6:$N$6,1,$NS83))))</f>
        <v/>
      </c>
      <c r="PK83" s="164">
        <f>MAX(0,13-SUMPRODUCT($OM83:$OR83,$I$7:$N$7)+MIN(12,$OS83*3+$OT83*6,SUMPRODUCT($OM83:$OR83,$I$7:$N$7)-IF($NS83=0,0,INDEX($I$7:$N$7,1,$NS83))))</f>
        <v/>
      </c>
      <c r="PL83" s="164">
        <f>MAX(0,16-SUMPRODUCT($OM83:$OR83,$I$8:$N$8)+MIN(14,$OS83*4+$OT83*7,SUMPRODUCT($OM83:$OR83,$I$8:$N$8)-IF($NS83=0,0,INDEX($I$8:$N$8,1,$NS83))))</f>
        <v/>
      </c>
      <c r="PM83" s="164">
        <f>IF($OG83=2,3*$PF83&amp;" de vida temp.",IF($OG83=3,"sem dano",IF($PF83=0,IF($OG83=1,"sem cura","sem dano"),IF($OG83=1,"cura ","")&amp;$PF83&amp;"d8")))</f>
        <v/>
      </c>
      <c r="PN83" s="164">
        <f>IF($OG83=2,3*$PG83&amp;" de vida temp.",IF($OG83=3,"sem dano",IF($PG83=0,IF($OG83=1,"sem cura","sem dano"),IF($OG83=1,"cura ","")&amp;$PG83&amp;"d8")))</f>
        <v/>
      </c>
      <c r="PO83" s="164">
        <f>IF($OG83=2,3*$PH83&amp;" de vida temp.",IF($OG83=3,"sem dano",IF($PH83=0,IF($OG83=1,"sem cura","sem dano"),IF($OG83=1,"cura ","")&amp;$PH83&amp;"d8")))</f>
        <v/>
      </c>
      <c r="PP83" s="164">
        <f>IF($OG83=2,3*$PI83&amp;" de vida temp.",IF($OG83=3,"sem dano",IF($PI83=0,IF($OG83=1,"sem cura","sem dano"),IF($OG83=1,"cura ","")&amp;$PI83&amp;"d8")))</f>
        <v/>
      </c>
      <c r="PQ83" s="164">
        <f>IF($OG83=2,3*$PJ83&amp;" de vida temp.",IF($OG83=3,"sem dano",IF($PJ83=0,IF($OG83=1,"sem cura","sem dano"),IF($OG83=1,"cura ","")&amp;$PJ83&amp;"d8")))</f>
        <v/>
      </c>
      <c r="PR83" s="164">
        <f>IF($OG83=2,3*$PK83&amp;" de vida temp.",IF($OG83=3,"sem dano",IF($PK83=0,IF($OG83=1,"sem cura","sem dano"),IF($OG83=1,"cura ","")&amp;$PK83&amp;"d8")))</f>
        <v/>
      </c>
      <c r="PS83" s="164">
        <f>IF($OG83=2,3*$PL83&amp;" de vida temp.",IF($OG83=3,"sem dano",IF($PL83=0,IF($OG83=1,"sem cura","sem dano"),IF($OG83=1,"cura ","")&amp;$PL83&amp;"d8")))</f>
        <v/>
      </c>
      <c r="PT83" s="164">
        <f>IF($ND83=0,"",TEXTJOIN(" · ",TRUE,IF($ND83=0,"",TEXTJOIN(" · ",TRUE,IF($ND83=0,"",TEXTJOIN(" · ",TRUE,IF($MQ83&gt;$NE83,"Este lugar abre no nível "&amp;$MQ83,""),IF($MS83&gt;$NF83,"Classe "&amp;$MS83&amp;": o nível "&amp;$NE83&amp;" libera até a "&amp;$NF83,""),IF($NX83=1,"A Forma "&amp;$MU83&amp;" pede "&amp;INDEX('DADOS_FORMAS'!$GA$2:$GA$21,$NJ83)&amp;" aberta",""),IF(AND($MS83=0,$NJ83&gt;0,IF($NJ83=0,0,INDEX('DADOS_FORMAS'!$GJ$2:$GJ$21,$NJ83))=0),$MU83&amp;" não existe na Classe 0",""),IF($NY83=1,"Família Fechada: "&amp;$MX83,""),IF($NZ83=1,"Família Fechada: "&amp;$MY83,""),IF($OA83=1,"Família Fechada: "&amp;$MZ83,""),IF($OB83=1,"Família Fechada: "&amp;$NA83,""),IF(AND($MS83&gt;0,$OU83&gt;INDEX($O$2:$O$8,MAX(1,$MS83))),$OU83&amp;" Melhorias: a Classe "&amp;$MS83&amp;" aceita "&amp;INDEX($O$2:$O$8,MAX(1,$MS83)),""),IF(AND($MS83=0,$OU83&gt;1),"A básica aceita uma Melhoria",""),IF(AND($MS83=0,COUNTIF($NO83:$NR83,"&gt;1")&gt;0),"A básica só aceita Melhoria Leve",""),IF(AND($MS83&gt;0,$OV83&gt;2),$OV83&amp;" Restrições"&amp;IF($OF83=1,", contando a que a Forma "&amp;$MU83&amp;" já traz","")&amp;": o limite é 2",""),IF(AND($MS83=0,COUNTIF($NB83:$NC83,"?*")&gt;1),"A básica aceita uma Restrição Leve",""),IF(AND($MS83=0,COUNTIF($OI83:$OJ83,2)&gt;0),"A básica só aceita Restrição Leve",""),IF(AND($MS83&gt;0,$PC83&lt;0),"Orçamento estourado: faltam "&amp;(-$PC83)&amp;IF($PC83&lt;-1," pontos"," ponto"),""),IF(IFERROR(VLOOKUP(SUBSTITUTE(SUBSTITUTE(SUBSTITUTE($NB83,"~","~~"),"*","~*"),"?","~?"),'DADOS_RESTRICOES'!$M$2:$Q$54,4,FALSE),0)+IFERROR(VLOOKUP(SUBSTITUTE(SUBSTITUTE(SUBSTITUTE($NC83,"~","~~"),"*","~*"),"?","~?"),'DADOS_RESTRICOES'!$M$2:$Q$54,4,FALSE),0)&gt;1,$OK83&amp;" e "&amp;$OL83&amp;" são as duas de frequência",""),IF(AND((COUNTIF($RK83:$RN83,"Rápido")+COUNTIF($OK83:$OL83,"Rápido"))&gt;0,(COUNTIF($MX83:$NA83,"Atrasar")+COUNTIF($OK83:$OL83,"Atrasar"))&gt;0),"Rápido não entra com Atrasar",""),IF(AND((COUNTIF($RK83:$RN83,"Reação")+COUNTIF($OK83:$OL83,"Reação"))&gt;0,(COUNTIF($RK83:$RN83,"Rápido")+COUNTIF($OK83:$OL83,"Rápido"))&gt;0),"Reação não entra com Rápido",""),IF(AND((COUNTIF($RK83:$RN83,"Reação")+COUNTIF($OK83:$OL83,"Reação"))&gt;0,(COUNTIF($RK83:$RN83,"Armado")+COUNTIF($OK83:$OL83,"Armado"))&gt;0),"Reação não entra com Armado",""),IF(AND((COUNTIF($RK83:$RN83,"Reação")+COUNTIF($OK83:$OL83,"Reação"))&gt;0,(COUNTIF($MX83:$NA83,"Atrasar")+COUNTIF($OK83:$OL83,"Atrasar"))&gt;0),"Reação não entra com Atrasar",""),IF(AND((COUNTIF($RK83:$RN83,"Reação")+COUNTIF($OK83:$OL83,"Reação"))&gt;0,(COUNTIF($MX83:$NA83,"Parado")+COUNTIF($OK83:$OL83,"Parado"))&gt;0),"Reação não entra com Parado",""),IF(AND((COUNTIF($MX83:$NA83,"Atrasar")+COUNTIF($OK83:$OL83,"Atrasar"))&gt;0,(COUNTIF($MX83:$NA83,"Parado")+COUNTIF($OK83:$OL83,"Parado"))&gt;0),"Atrasar não entra com Parado",""),IF(AND((COUNTIF($RK83:$RN83,"Armado")+COUNTIF($OK83:$OL83,"Armado"))&gt;0,(COUNTIF($MX83:$NA83,"Carregar")+COUNTIF($OK83:$OL83,"Carregar"))&gt;0),"Armado não entra com Carregar",""),IF(AND(COUNTIF($OK83:$OL83,"Corpo a Corpo")&gt;0,$OF83=0,OR($RO83="Cone",$RO83="Linha")),"Corpo a Corpo não entra em "&amp;$MU83,""),IF(AND(COUNTIF($OK83:$OL83,"Corpo a Corpo")&gt;0,$RP83="Corpo a Corpo"),"A Forma "&amp;$MU83&amp;" já traz o Corpo a Corpo",""),IF(AND(COUNTIF($OK83:$OL83,"Tudo ou Nada")&gt;0,$OH83=0),"Tudo ou Nada só entra em habilidade de Teste de Resistência",""),IF(AND(COUNTIF($RK83:$RN83,"Inescapável")&gt;0,OR($OU83&gt;1,$OV83&gt;0)),"Inescapável não aceita outra peça",""),IF(AND($MS83&gt;0,$PD83*IF(COUNTIF($RK83:$RN83,"Remate")&gt;0,1.25,1)+$PE83&gt;4*$MS83),($PD83*IF(COUNTIF($RK83:$RN83,"Remate")&gt;0,1.25,1)+$PE83)&amp;" dados somando repetições"&amp;IF(COUNTIF($RK83:$RN83,"Remate")&gt;0," e o Remate","")&amp;": o teto da Classe "&amp;$MS83&amp;" é "&amp;4*$MS83,""))),IF(AND($MX83&lt;&gt;"",COUNTIF('DADOS_MELHORIAS'!$O$2:$O$113,SUBSTITUTE(SUBSTITUTE(SUBSTITUTE($MX83,"~","~~"),"*","~*"),"?","~?"))=0),"Melhoria não cadastrada ou com erro: "&amp;$MX83,""),IF(AND($MY83&lt;&gt;"",COUNTIF('DADOS_MELHORIAS'!$O$2:$O$113,SUBSTITUTE(SUBSTITUTE(SUBSTITUTE($MY83,"~","~~"),"*","~*"),"?","~?"))=0),"Melhoria não cadastrada ou com erro: "&amp;$MY83,""),IF(AND($MZ83&lt;&gt;"",COUNTIF('DADOS_MELHORIAS'!$O$2:$O$113,SUBSTITUTE(SUBSTITUTE(SUBSTITUTE($MZ83,"~","~~"),"*","~*"),"?","~?"))=0),"Melhoria não cadastrada ou com erro: "&amp;$MZ83,""),IF(AND($NA83&lt;&gt;"",COUNTIF('DADOS_MELHORIAS'!$O$2:$O$113,SUBSTITUTE(SUBSTITUTE(SUBSTITUTE($NA83,"~","~~"),"*","~*"),"?","~?"))=0),"Melhoria não cadastrada ou com erro: "&amp;$NA83,""),IF(AND($NB83&lt;&gt;"",COUNTIF('DADOS_RESTRICOES'!$M$2:$M$54,SUBSTITUTE(SUBSTITUTE(SUBSTITUTE($NB83,"~","~~"),"*","~*"),"?","~?"))=0),"Restrição não cadastrada ou com erro: "&amp;$NB83,""),IF(AND($NC83&lt;&gt;"",COUNTIF('DADOS_RESTRICOES'!$M$2:$M$54,SUBSTITUTE(SUBSTITUTE(SUBSTITUTE($NC83,"~","~~"),"*","~*"),"?","~?"))=0),"Restrição não cadastrada ou com erro: "&amp;$NC83,""))),IF(AND($MU83&lt;&gt;"",COUNTIF('DADOS_FORMAS'!$AH$2:$AH$21,SUBSTITUTE(SUBSTITUTE(SUBSTITUTE($MU83,"~","~~"),"*","~*"),"?","~?"))=0),"Forma não cadastrada ou com erro: "&amp;$MU83,""),IF(AND(IFERROR(INDEX('DADOS_FORMAS'!$AS$2:$AS$21,MATCH(SUBSTITUTE(SUBSTITUTE(SUBSTITUTE($MU83,"~","~~"),"*","~*"),"?","~?"),'DADOS_FORMAS'!$AH$2:$AH$21,0)),"")&lt;&gt;"",OR(IFERROR(VLOOKUP(SUBSTITUTE(SUBSTITUTE(SUBSTITUTE(IFERROR(INDEX('DADOS_FORMAS'!$AS$2:$AS$21,MATCH(SUBSTITUTE(SUBSTITUTE(SUBSTITUTE($MU83,"~","~~"),"*","~*"),"?","~?"),'DADOS_FORMAS'!$AH$2:$AH$21,0)),""),"~","~~"),"*","~*"),"?","~?"),'DADOS_RESTRICOES'!$M$2:$Q$54,2,FALSE),"")=$OK83,IFERROR(VLOOKUP(SUBSTITUTE(SUBSTITUTE(SUBSTITUTE(IFERROR(INDEX('DADOS_FORMAS'!$AS$2:$AS$21,MATCH(SUBSTITUTE(SUBSTITUTE(SUBSTITUTE($MU83,"~","~~"),"*","~*"),"?","~?"),'DADOS_FORMAS'!$AH$2:$AH$21,0)),""),"~","~~"),"*","~*"),"?","~?"),'DADOS_RESTRICOES'!$M$2:$Q$54,2,FALSE),"")=$OL83)),"Restrição repetida, contando a embutida",""),IF(IF(IFERROR(INDEX('DADOS_FORMAS'!$AS$2:$AS$21,MATCH(SUBSTITUTE(SUBSTITUTE(SUBSTITUTE($MU83,"~","~~"),"*","~*"),"?","~?"),'DADOS_FORMAS'!$AH$2:$AH$21,0)),"")="",0,IFERROR(N(VLOOKUP(SUBSTITUTE(SUBSTITUTE(SUBSTITUTE(IFERROR(INDEX('DADOS_FORMAS'!$AS$2:$AS$21,MATCH(SUBSTITUTE(SUBSTITUTE(SUBSTITUTE($MU83,"~","~~"),"*","~*"),"?","~?"),'DADOS_FORMAS'!$AH$2:$AH$21,0)),""),"~","~~"),"*","~*"),"?","~?"),'DADOS_RESTRICOES'!$M$2:$Q$54,4,FALSE)=1),0))+IF($NB83="",0,IFERROR(N(VLOOKUP(SUBSTITUTE(SUBSTITUTE(SUBSTITUTE($NB83,"~","~~"),"*","~*"),"?","~?"),'DADOS_RESTRICOES'!$M$2:$Q$54,4,FALSE)=1),0))+IF($NC83="",0,IFERROR(N(VLOOKUP(SUBSTITUTE(SUBSTITUTE(SUBSTITUTE($NC83,"~","~~"),"*","~*"),"?","~?"),'DADOS_RESTRICOES'!$M$2:$Q$54,4,FALSE)=1),0))&gt;1,"Duas Restrições de frequência, contando a embutida",""),IF(AND(IFERROR(VLOOKUP(SUBSTITUTE(SUBSTITUTE(SUBSTITUTE(IFERROR(INDEX('DADOS_FORMAS'!$AS$2:$AS$21,MATCH(SUBSTITUTE(SUBSTITUTE(SUBSTITUTE($MU83,"~","~~"),"*","~*"),"?","~?"),'DADOS_FORMAS'!$AH$2:$AH$21,0)),""),"~","~~"),"*","~*"),"?","~?"),'DADOS_RESTRICOES'!$M$2:$Q$54,2,FALSE),"")="Tudo ou Nada",$OH83=0),"Tudo ou Nada exige TR",""),IF(AND(IFERROR(VLOOKUP(SUBSTITUTE(SUBSTITUTE(SUBSTITUTE(IFERROR(INDEX('DADOS_FORMAS'!$AS$2:$AS$21,MATCH(SUBSTITUTE(SUBSTITUTE(SUBSTITUTE($MU83,"~","~~"),"*","~*"),"?","~?"),'DADOS_FORMAS'!$AH$2:$AH$21,0)),""),"~","~~"),"*","~*"),"?","~?"),'DADOS_RESTRICOES'!$M$2:$Q$54,2,FALSE),"")="Corpo a Corpo",OR($RO83="Cone",$RO83="Linha")),"Corpo a Corpo não entra em Cone/Linha","")))</f>
        <v/>
      </c>
      <c r="PU83" s="164">
        <f>IF($PT83="",0,(LEN($PT83)-LEN(SUBSTITUTE($PT83," · ","")))/3+1)</f>
        <v/>
      </c>
      <c r="PV83" s="164">
        <f>IF($ND83=0,"",TEXTJOIN(" · ",TRUE,IF($OX83&gt;2*$MS83,"A devolução parou no teto de "&amp;2*$MS83,""),IF($PA83&gt;0,"Devolução perdida: "&amp;$PA83&amp;IF($PA83&gt;1," pontos"," ponto")&amp;" sem Melhoria para pagar",""),IF(AND($OC83&gt;0,AND($MS83&gt;0,$OG83=0),$PD83=0),"Controle sem dano: uma rodada a mais e CD +2",""),IF(AND($OC83&gt;0,AND($MS83&gt;0,$OG83=0),$PD83&gt;0,$PD83&lt;=$MS83),"Controle com saldo até a Classe: uma rodada a mais",""),IF(AND($MS83&gt;0,$OE83&lt;&gt;""),"Efeito de "&amp;$OE83&amp;" pela Classe "&amp;MAX(1,$MS83-1),"")))</f>
        <v/>
      </c>
      <c r="PW83" s="164">
        <f>IF($PV83="",0,(LEN($PV83)-LEN(SUBSTITUTE($PV83," · ","")))/3+1)</f>
        <v/>
      </c>
      <c r="PX83" s="164">
        <f>IF($ND83=0,IF($OU83+COUNTIF($NB83:$NC83,"?*")&gt;0,"Dê um nome",""),IF($PU83&gt;0,"⚠ "&amp;$PU83&amp;IF($PU83&gt;1," erros"," erro"),IF($PW83&gt;0,"! "&amp;$PW83&amp;IF($PW83&gt;1," avisos"," aviso"),"Na regra")))</f>
        <v/>
      </c>
      <c r="PY83" s="164">
        <f>IF($ND83=0,"",IF($PU83+$PW83=0,"Dentro das regras que a ficha confere",$PT83&amp;IF(AND($PU83&gt;0,$PW83&gt;0)," · ","")&amp;$PV83))</f>
        <v/>
      </c>
      <c r="PZ83" s="164">
        <f>IF($MQ83&gt;$NE83,$MR83&amp;" · ABRE NO NÍVEL "&amp;$MQ83,$MR83)</f>
        <v/>
      </c>
      <c r="QA83" s="164">
        <f>IF($ND83=0,"",IF($MS83=0,"Sem PE",3*$MS83&amp;" PE"))</f>
        <v/>
      </c>
      <c r="QB83" s="164">
        <f>IF($ND83=0,"",IF($MS83=0,"A atuação básica dela",IF(COUNTIF($RQ83:$RS83,"Atrasar")&gt;0,"Sua Ação Completa",IF(COUNTIF($RK83:$RN83,"Rápido")&gt;0,"Sua Bônus",IF(COUNTIF($RK83:$RN83,"Reação")&gt;0,"Sua Reação","Sua Padrão")))&amp;" + a básica dela"&amp;IF(COUNTIF($RK83:$RN83,"Reação")&gt;0," e a coletiva","")&amp;IF(COUNTIF($RQ83:$RS83,"Carregar")&gt;0," · em dois turnos","")))</f>
        <v/>
      </c>
      <c r="QC83" s="164">
        <f>IF($MW83&lt;&gt;"",$MW83,IF($NJ83=0,"",INDEX('DADOS_FORMAS'!$GE$2:$GE$21,$NJ83)))</f>
        <v/>
      </c>
      <c r="QD83" s="164">
        <f>IF(OR($ND83=0,$NJ83=0),"",IF(COUNTIF($RK83:$RN83,"Inescapável")&gt;0,"Automático",IF($QC83="Ataque",IF($NH83="","Ataque","Ataque "&amp;IF(($NH83+2*IF(COUNTIF($RK83:$RN83,"Precisão")&gt;0,1,0))&gt;=0,"+","−")&amp;ABS(($NH83+2*IF(COUNTIF($RK83:$RN83,"Precisão")&gt;0,1,0))))&amp;IF($OD83&gt;0," · TR"&amp;IF($NI83="",""," CD "&amp;$NI83),""),IF(LEFT($QC83,2)="TR",$QC83&amp;IF($NI83="",""," · CD "&amp;$NI83)&amp;IF(COUNTIF($RK83:$RN83,"Certeiro")&gt;0," · metade",""),"Sem rolagem"))))</f>
        <v/>
      </c>
      <c r="QE83" s="164">
        <f>IF(OR($ND83=0,$NJ83=0),"",IF($MS83=0,IF(OR($OG83&gt;=1,$PD83=0),"Sem dano",$PD83&amp;"d6"&amp;IF($MV83="",""," "&amp;$MV83)),IF(OR($OG83&gt;=1,$PD83=0),UPPER(LEFT(INDEX($PM83:$PS83,1,MAX(1,$MS83)),1))&amp;MID(INDEX($PM83:$PS83,1,MAX(1,$MS83)),2,99),UPPER(LEFT(INDEX($PM83:$PS83,1,MAX(1,$MS83)),1))&amp;MID(INDEX($PM83:$PS83,1,MAX(1,$MS83)),2,99)&amp;IF($MV83="",""," "&amp;$MV83)&amp;IF($PE83&gt;0," · +"&amp;$PE83&amp;"d8",""))))</f>
        <v/>
      </c>
      <c r="QF83" s="164">
        <f>COUNTIF($RK83:$RN83,"Longe")+3*COUNTIF($RK83:$RN83,"Muito Longe")</f>
        <v/>
      </c>
      <c r="QG83" s="164">
        <f>COUNTIF($RK83:$RN83,"Maior")+3*COUNTIF($RK83:$RN83,"Muito Maior")</f>
        <v/>
      </c>
      <c r="QH83" s="164">
        <f>IF($NJ83=0,0,CHOOSE(1+INDEX('DADOS_FORMAS'!$GG$2:$GG$21,$NJ83),0,$QF83,$QG83,$QF83+$QG83))</f>
        <v/>
      </c>
      <c r="QI83" s="164">
        <f>IF($NJ83=0,0,CHOOSE(1+INDEX('DADOS_FORMAS'!$GH$2:$GH$21,$NJ83),0,$QF83,$QG83,$QF83+$QG83))</f>
        <v/>
      </c>
      <c r="QJ83" s="164">
        <f>IF(OR($ND83=0,$NJ83=0),"",INDEX('DADOS_FORMAS'!$HU$2:$HZ$81,($NJ83-1)*4+IF($MS83=0,1,IF($MS83&lt;=5,2,IF($MS83=6,3,4))),1+MIN(5,$QH83))&amp;INDEX('DADOS_FORMAS'!$IA$2:$IF$81,($NJ83-1)*4+IF($MS83=0,1,IF($MS83&lt;=5,2,IF($MS83=6,3,4))),1+MIN(5,$QI83))&amp;IF(INDEX('DADOS_FORMAS'!$GI$2:$GI$21,$NJ83)=1,IF(COUNTIF($RK83:$RN83,"Mais Um")&gt;0," · +"&amp;COUNTIF($RK83:$RN83,"Mais Um")&amp;IF(COUNTIF($RK83:$RN83,"Mais Um")&gt;1," alvos"," alvo"),"")&amp;IF(COUNTIF($RK83:$RN83,"Rajada")&gt;0,IF($MS83=0," · 1 tiro"," · "&amp;(MAX(1,$MS83-1)+1)&amp;" tiros"),""),""))</f>
        <v/>
      </c>
      <c r="QK83" s="164">
        <f>IF($ND83=0,"",IF($MS83=0,$NG83&amp;"d6"&amp;IF($OU83&gt;0," − 1 = "&amp;$PD83&amp;"d6"," da básica do nível "&amp;$NE83),$PB83&amp;" − "&amp;$OW83&amp;" + "&amp;$OZ83&amp;" = "&amp;$PC83&amp;" · teto "&amp;4*$MS83&amp;"d8"&amp;IF($OF83=1," · a Forma devolve "&amp;$MS83,"")&amp;IF($PA83&gt;0," · perde "&amp;$PA83,"")))</f>
        <v/>
      </c>
      <c r="QL83" s="164">
        <f>IF($ND83=0,"",IF($MS83=0,"A básica não amplia: os dados dela sobem com o nível",IF($MS83&gt;=$NF83,"Já está na maior Classe que o nível liberou",TEXTJOIN(" · ",TRUE,IF(AND(2&gt;$MS83,2&lt;=$NF83),"2 → "&amp;$PN83&amp;", 6 PE",""),IF(AND(3&gt;$MS83,3&lt;=$NF83),"3 → "&amp;$PO83&amp;", 9 PE",""),IF(AND(4&gt;$MS83,4&lt;=$NF83),"4 → "&amp;$PP83&amp;", 12 PE",""),IF(AND(5&gt;$MS83,5&lt;=$NF83),"5 → "&amp;$PQ83&amp;", 15 PE",""),IF(AND(6&gt;$MS83,6&lt;=$NF83),"6 → "&amp;$PR83&amp;", 18 PE",""),IF(AND(7&gt;$MS83,7&lt;=$NF83),"7 → "&amp;$PS83&amp;", 21 PE","")))))</f>
        <v/>
      </c>
      <c r="QM83" s="164">
        <f>IF(OR($ND83=0,$NO83=0),"",IF($MS83=0,"−1 dado","−"&amp;INDEX($I$2:$N$8,MAX(1,$MS83),MAX(1,$NT83))&amp;" · "&amp;CHOOSE(MAX(1,$NT83),"Leve","Média","Pesada","Leve · Livre","Média · Livre","Pesada · Livre")))</f>
        <v/>
      </c>
      <c r="QN83" s="164">
        <f>IF(OR($ND83=0,$NP83=0),"",IF($MS83=0,"−1 dado","−"&amp;INDEX($I$2:$N$8,MAX(1,$MS83),MAX(1,$NU83))&amp;" · "&amp;CHOOSE(MAX(1,$NU83),"Leve","Média","Pesada","Leve · Livre","Média · Livre","Pesada · Livre")))</f>
        <v/>
      </c>
      <c r="QO83" s="164">
        <f>IF(OR($ND83=0,$NQ83=0),"",IF($MS83=0,"−1 dado","−"&amp;INDEX($I$2:$N$8,MAX(1,$MS83),MAX(1,$NV83))&amp;" · "&amp;CHOOSE(MAX(1,$NV83),"Leve","Média","Pesada","Leve · Livre","Média · Livre","Pesada · Livre")))</f>
        <v/>
      </c>
      <c r="QP83" s="164">
        <f>IF(OR($ND83=0,$NR83=0),"",IF($MS83=0,"−1 dado","−"&amp;INDEX($I$2:$N$8,MAX(1,$MS83),MAX(1,$NW83))&amp;" · "&amp;CHOOSE(MAX(1,$NW83),"Leve","Média","Pesada","Leve · Livre","Média · Livre","Pesada · Livre")))</f>
        <v/>
      </c>
      <c r="QQ83" s="164">
        <f>IF(OR($ND83=0,$NB83=""),"",IF($MS83=0,"não devolve","+"&amp;IF($OI83=1,CEILING($MS83/2,1),$MS83)))</f>
        <v/>
      </c>
      <c r="QR83" s="164">
        <f>IF(OR($ND83=0,$NC83=""),"",IF($MS83=0,"não devolve","+"&amp;IF($OJ83=1,CEILING($MS83/2,1),$MS83)))</f>
        <v/>
      </c>
      <c r="RK83">
        <f>IF($MX83="","",IFERROR(VLOOKUP(SUBSTITUTE(SUBSTITUTE(SUBSTITUTE($MX83,"~","~~"),"*","~*"),"?","~?"),'DADOS_MELHORIAS'!$O$2:$X$113,10,FALSE),$MX83))</f>
        <v/>
      </c>
      <c r="RL83">
        <f>IF($MY83="","",IFERROR(VLOOKUP(SUBSTITUTE(SUBSTITUTE(SUBSTITUTE($MY83,"~","~~"),"*","~*"),"?","~?"),'DADOS_MELHORIAS'!$O$2:$X$113,10,FALSE),$MY83))</f>
        <v/>
      </c>
      <c r="RM83">
        <f>IF($MZ83="","",IFERROR(VLOOKUP(SUBSTITUTE(SUBSTITUTE(SUBSTITUTE($MZ83,"~","~~"),"*","~*"),"?","~?"),'DADOS_MELHORIAS'!$O$2:$X$113,10,FALSE),$MZ83))</f>
        <v/>
      </c>
      <c r="RN83">
        <f>IF($NA83="","",IFERROR(VLOOKUP(SUBSTITUTE(SUBSTITUTE(SUBSTITUTE($NA83,"~","~~"),"*","~*"),"?","~?"),'DADOS_MELHORIAS'!$O$2:$X$113,10,FALSE),$NA83))</f>
        <v/>
      </c>
      <c r="RO83">
        <f>IFERROR(INDEX('DADOS_FORMAS'!$BJ$2:$BJ$21,MATCH(SUBSTITUTE(SUBSTITUTE(SUBSTITUTE($MU83,"~","~~"),"*","~*"),"?","~?"),'DADOS_FORMAS'!$AH$2:$AH$21,0)),"")</f>
        <v/>
      </c>
      <c r="RP83">
        <f>IFERROR(VLOOKUP(SUBSTITUTE(SUBSTITUTE(SUBSTITUTE(IFERROR(INDEX('DADOS_FORMAS'!$AS$2:$AS$21,MATCH(SUBSTITUTE(SUBSTITUTE(SUBSTITUTE($MU83,"~","~~"),"*","~*"),"?","~?"),'DADOS_FORMAS'!$AH$2:$AH$21,0)),""),"~","~~"),"*","~*"),"?","~?"),'DADOS_RESTRICOES'!$M$2:$Q$54,2,FALSE),"")</f>
        <v/>
      </c>
      <c r="RQ83">
        <f>$OK83</f>
        <v/>
      </c>
      <c r="RR83">
        <f>$OL83</f>
        <v/>
      </c>
      <c r="RS83">
        <f>$RP83</f>
        <v/>
      </c>
    </row>
    <row r="84">
      <c r="MN84" s="162" t="inlineStr">
        <is>
          <t>Ficha 7 · Especial 3</t>
        </is>
      </c>
      <c r="MO84" s="164" t="n">
        <v>7</v>
      </c>
      <c r="MP84" s="164" t="n">
        <v>1</v>
      </c>
      <c r="MQ84" s="164" t="n">
        <v>8</v>
      </c>
      <c r="MR84" s="162" t="inlineStr">
        <is>
          <t>ESPECIAL 3</t>
        </is>
      </c>
      <c r="MS84" s="164">
        <f>MAX(1,MIN(7,N('INVOCAÇÕES'!$AH$105)))</f>
        <v/>
      </c>
      <c r="MT84" s="164">
        <f>'INVOCAÇÕES'!$AI$105&amp;""</f>
        <v/>
      </c>
      <c r="MU84" s="164">
        <f>'INVOCAÇÕES'!$AH$110&amp;""</f>
        <v/>
      </c>
      <c r="MV84" s="164">
        <f>'INVOCAÇÕES'!$AH$111&amp;""</f>
        <v/>
      </c>
      <c r="MW84" s="164">
        <f>'INVOCAÇÕES'!$AJ$111&amp;""</f>
        <v/>
      </c>
      <c r="MX84" s="164">
        <f>'INVOCAÇÕES'!$AI$114&amp;""</f>
        <v/>
      </c>
      <c r="MY84" s="164">
        <f>'INVOCAÇÕES'!$AI$115&amp;""</f>
        <v/>
      </c>
      <c r="MZ84" s="164">
        <f>'INVOCAÇÕES'!$AI$116&amp;""</f>
        <v/>
      </c>
      <c r="NA84" s="164">
        <f>'INVOCAÇÕES'!$AI$117&amp;""</f>
        <v/>
      </c>
      <c r="NB84" s="164">
        <f>'INVOCAÇÕES'!$AI$118&amp;""</f>
        <v/>
      </c>
      <c r="NC84" s="164">
        <f>'INVOCAÇÕES'!$AI$119&amp;""</f>
        <v/>
      </c>
      <c r="ND84" s="164">
        <f>IF($MT84&lt;&gt;"",1,0)</f>
        <v/>
      </c>
      <c r="NE84" s="164">
        <f>INDEX($FO$2:$FO$13,$MO84)</f>
        <v/>
      </c>
      <c r="NF84" s="164">
        <f>INDEX($FP$2:$FP$13,$MO84)</f>
        <v/>
      </c>
      <c r="NG84" s="164">
        <f>INDEX($FQ$2:$FQ$13,$MO84)</f>
        <v/>
      </c>
      <c r="NH84" s="164">
        <f>INDEX($GB$2:$GB$13,$MO84)</f>
        <v/>
      </c>
      <c r="NI84" s="164">
        <f>INDEX($GC$2:$GC$13,$MO84)</f>
        <v/>
      </c>
      <c r="NJ84" s="164">
        <f>IFERROR(MATCH(SUBSTITUTE(SUBSTITUTE(SUBSTITUTE($MU84,"~","~~"),"*","~*"),"?","~?"),'DADOS_FORMAS'!$FZ$2:$FZ$21,0),0)</f>
        <v/>
      </c>
      <c r="NK84" s="164">
        <f>IFERROR(VLOOKUP(SUBSTITUTE(SUBSTITUTE(SUBSTITUTE($MX84,"~","~~"),"*","~*"),"?","~?"),'DADOS_MELHORIAS'!$AG$2:$AL$113,2,FALSE),"")</f>
        <v/>
      </c>
      <c r="NL84" s="164">
        <f>IFERROR(VLOOKUP(SUBSTITUTE(SUBSTITUTE(SUBSTITUTE($MY84,"~","~~"),"*","~*"),"?","~?"),'DADOS_MELHORIAS'!$AG$2:$AL$113,2,FALSE),"")</f>
        <v/>
      </c>
      <c r="NM84" s="164">
        <f>IFERROR(VLOOKUP(SUBSTITUTE(SUBSTITUTE(SUBSTITUTE($MZ84,"~","~~"),"*","~*"),"?","~?"),'DADOS_MELHORIAS'!$AG$2:$AL$113,2,FALSE),"")</f>
        <v/>
      </c>
      <c r="NN84" s="164">
        <f>IFERROR(VLOOKUP(SUBSTITUTE(SUBSTITUTE(SUBSTITUTE($NA84,"~","~~"),"*","~*"),"?","~?"),'DADOS_MELHORIAS'!$AG$2:$AL$113,2,FALSE),"")</f>
        <v/>
      </c>
      <c r="NO84" s="164">
        <f>IFERROR(VLOOKUP(SUBSTITUTE(SUBSTITUTE(SUBSTITUTE($MX84,"~","~~"),"*","~*"),"?","~?"),'DADOS_MELHORIAS'!$AG$2:$AL$113,3,FALSE),0)</f>
        <v/>
      </c>
      <c r="NP84" s="164">
        <f>IFERROR(VLOOKUP(SUBSTITUTE(SUBSTITUTE(SUBSTITUTE($MY84,"~","~~"),"*","~*"),"?","~?"),'DADOS_MELHORIAS'!$AG$2:$AL$113,3,FALSE),0)</f>
        <v/>
      </c>
      <c r="NQ84" s="164">
        <f>IFERROR(VLOOKUP(SUBSTITUTE(SUBSTITUTE(SUBSTITUTE($MZ84,"~","~~"),"*","~*"),"?","~?"),'DADOS_MELHORIAS'!$AG$2:$AL$113,3,FALSE),0)</f>
        <v/>
      </c>
      <c r="NR84" s="164">
        <f>IFERROR(VLOOKUP(SUBSTITUTE(SUBSTITUTE(SUBSTITUTE($NA84,"~","~~"),"*","~*"),"?","~?"),'DADOS_MELHORIAS'!$AG$2:$AL$113,3,FALSE),0)</f>
        <v/>
      </c>
      <c r="NS84" s="164">
        <f>IF($MS84=0,0,IF($NJ84=0,0,INDEX('DADOS_FORMAS'!$GB$2:$GB$21,$NJ84)))</f>
        <v/>
      </c>
      <c r="NT84" s="164">
        <f>IF(OR($NO84=0,$MS84=0),0,$NO84+3*IF(AND($NK84&lt;&gt;"",COUNTIF(INDEX($RB$2:$RJ$13,$MO84,0),$NK84)&gt;0),1,0))</f>
        <v/>
      </c>
      <c r="NU84" s="164">
        <f>IF(OR($NP84=0,$MS84=0),0,$NP84+3*IF(AND($NL84&lt;&gt;"",COUNTIF(INDEX($RB$2:$RJ$13,$MO84,0),$NL84)&gt;0),1,0))</f>
        <v/>
      </c>
      <c r="NV84" s="164">
        <f>IF(OR($NQ84=0,$MS84=0),0,$NQ84+3*IF(AND($NM84&lt;&gt;"",COUNTIF(INDEX($RB$2:$RJ$13,$MO84,0),$NM84)&gt;0),1,0))</f>
        <v/>
      </c>
      <c r="NW84" s="164">
        <f>IF(OR($NR84=0,$MS84=0),0,$NR84+3*IF(AND($NN84&lt;&gt;"",COUNTIF(INDEX($RB$2:$RJ$13,$MO84,0),$NN84)&gt;0),1,0))</f>
        <v/>
      </c>
      <c r="NX84" s="164">
        <f>IF($NJ84=0,0,IF(INDEX('DADOS_FORMAS'!$GA$2:$GA$21,$NJ84)="",0,IF((COUNTIF(INDEX($EL$2:$EP$13,$MO84,0),INDEX('DADOS_FORMAS'!$GA$2:$GA$21,$NJ84))+COUNTIF(INDEX($QV$2:$QY$13,$MO84,0),INDEX('DADOS_FORMAS'!$GA$2:$GA$21,$NJ84)))=0,1,0)))</f>
        <v/>
      </c>
      <c r="NY84" s="164">
        <f>IF(OR($NO84=0,$NK84=""),0,IF((COUNTIF(INDEX($EL$2:$EP$13,$MO84,0),$NK84)+COUNTIF(INDEX($QV$2:$QY$13,$MO84,0),$NK84))=0,1,0))</f>
        <v/>
      </c>
      <c r="NZ84" s="164">
        <f>IF(OR($NP84=0,$NL84=""),0,IF((COUNTIF(INDEX($EL$2:$EP$13,$MO84,0),$NL84)+COUNTIF(INDEX($QV$2:$QY$13,$MO84,0),$NL84))=0,1,0))</f>
        <v/>
      </c>
      <c r="OA84" s="164">
        <f>IF(OR($NQ84=0,$NM84=""),0,IF((COUNTIF(INDEX($EL$2:$EP$13,$MO84,0),$NM84)+COUNTIF(INDEX($QV$2:$QY$13,$MO84,0),$NM84))=0,1,0))</f>
        <v/>
      </c>
      <c r="OB84" s="164">
        <f>IF(OR($NR84=0,$NN84=""),0,IF((COUNTIF(INDEX($EL$2:$EP$13,$MO84,0),$NN84)+COUNTIF(INDEX($QV$2:$QY$13,$MO84,0),$NN84))=0,1,0))</f>
        <v/>
      </c>
      <c r="OC84" s="164">
        <f>IFERROR(VLOOKUP(SUBSTITUTE(SUBSTITUTE(SUBSTITUTE($MX84,"~","~~"),"*","~*"),"?","~?"),'DADOS_MELHORIAS'!$AG$2:$AL$113,4,FALSE),0)+IFERROR(VLOOKUP(SUBSTITUTE(SUBSTITUTE(SUBSTITUTE($MY84,"~","~~"),"*","~*"),"?","~?"),'DADOS_MELHORIAS'!$AG$2:$AL$113,4,FALSE),0)+IFERROR(VLOOKUP(SUBSTITUTE(SUBSTITUTE(SUBSTITUTE($MZ84,"~","~~"),"*","~*"),"?","~?"),'DADOS_MELHORIAS'!$AG$2:$AL$113,4,FALSE),0)+IFERROR(VLOOKUP(SUBSTITUTE(SUBSTITUTE(SUBSTITUTE($NA84,"~","~~"),"*","~*"),"?","~?"),'DADOS_MELHORIAS'!$AG$2:$AL$113,4,FALSE),0)</f>
        <v/>
      </c>
      <c r="OD84" s="164">
        <f>IFERROR(VLOOKUP(SUBSTITUTE(SUBSTITUTE(SUBSTITUTE($MX84,"~","~~"),"*","~*"),"?","~?"),'DADOS_MELHORIAS'!$AG$2:$AL$113,6,FALSE),0)+IFERROR(VLOOKUP(SUBSTITUTE(SUBSTITUTE(SUBSTITUTE($MY84,"~","~~"),"*","~*"),"?","~?"),'DADOS_MELHORIAS'!$AG$2:$AL$113,6,FALSE),0)+IFERROR(VLOOKUP(SUBSTITUTE(SUBSTITUTE(SUBSTITUTE($MZ84,"~","~~"),"*","~*"),"?","~?"),'DADOS_MELHORIAS'!$AG$2:$AL$113,6,FALSE),0)+IFERROR(VLOOKUP(SUBSTITUTE(SUBSTITUTE(SUBSTITUTE($NA84,"~","~~"),"*","~*"),"?","~?"),'DADOS_MELHORIAS'!$AG$2:$AL$113,6,FALSE),0)+IFERROR(N(AND(INDEX('DADOS_FORMAS'!$AO$2:$AO$21,MATCH(SUBSTITUTE(SUBSTITUTE(SUBSTITUTE($MU84,"~","~~"),"*","~*"),"?","~?"),'DADOS_FORMAS'!$AH$2:$AH$21,0))="Acerto",$OH84=1)),0)</f>
        <v/>
      </c>
      <c r="OE84" s="164">
        <f>TEXTJOIN(", ",TRUE,IF(IFERROR(VLOOKUP(SUBSTITUTE(SUBSTITUTE(SUBSTITUTE($MX84,"~","~~"),"*","~*"),"?","~?"),'DADOS_MELHORIAS'!$AG$2:$AL$113,5,FALSE),0)=1,$MX84,""),IF(IFERROR(VLOOKUP(SUBSTITUTE(SUBSTITUTE(SUBSTITUTE($MY84,"~","~~"),"*","~*"),"?","~?"),'DADOS_MELHORIAS'!$AG$2:$AL$113,5,FALSE),0)=1,$MY84,""),IF(IFERROR(VLOOKUP(SUBSTITUTE(SUBSTITUTE(SUBSTITUTE($MZ84,"~","~~"),"*","~*"),"?","~?"),'DADOS_MELHORIAS'!$AG$2:$AL$113,5,FALSE),0)=1,$MZ84,""),IF(IFERROR(VLOOKUP(SUBSTITUTE(SUBSTITUTE(SUBSTITUTE($NA84,"~","~~"),"*","~*"),"?","~?"),'DADOS_MELHORIAS'!$AG$2:$AL$113,5,FALSE),0)=1,$NA84,""))</f>
        <v/>
      </c>
      <c r="OF84" s="164">
        <f>IF($NJ84=0,0,INDEX('DADOS_FORMAS'!$GC$2:$GC$21,$NJ84))</f>
        <v/>
      </c>
      <c r="OG84" s="164">
        <f>IF($NJ84=0,0,INDEX('DADOS_FORMAS'!$GD$2:$GD$21,$NJ84))</f>
        <v/>
      </c>
      <c r="OH84" s="164">
        <f>IF($NJ84=0,0,INDEX('DADOS_FORMAS'!$GF$2:$GF$21,$NJ84))</f>
        <v/>
      </c>
      <c r="OI84" s="164">
        <f>IFERROR(VLOOKUP(SUBSTITUTE(SUBSTITUTE(SUBSTITUTE($NB84,"~","~~"),"*","~*"),"?","~?"),'DADOS_RESTRICOES'!$M$2:$Q$54,3,FALSE),0)</f>
        <v/>
      </c>
      <c r="OJ84" s="164">
        <f>IFERROR(VLOOKUP(SUBSTITUTE(SUBSTITUTE(SUBSTITUTE($NC84,"~","~~"),"*","~*"),"?","~?"),'DADOS_RESTRICOES'!$M$2:$Q$54,3,FALSE),0)</f>
        <v/>
      </c>
      <c r="OK84" s="164">
        <f>IFERROR(VLOOKUP(SUBSTITUTE(SUBSTITUTE(SUBSTITUTE($NB84,"~","~~"),"*","~*"),"?","~?"),'DADOS_RESTRICOES'!$M$2:$Q$54,2,FALSE),"")</f>
        <v/>
      </c>
      <c r="OL84" s="164">
        <f>IFERROR(VLOOKUP(SUBSTITUTE(SUBSTITUTE(SUBSTITUTE($NC84,"~","~~"),"*","~*"),"?","~?"),'DADOS_RESTRICOES'!$M$2:$Q$54,2,FALSE),"")</f>
        <v/>
      </c>
      <c r="OM84" s="164">
        <f>COUNTIF($NS84:$NW84,1)</f>
        <v/>
      </c>
      <c r="ON84" s="164">
        <f>COUNTIF($NS84:$NW84,2)</f>
        <v/>
      </c>
      <c r="OO84" s="164">
        <f>COUNTIF($NS84:$NW84,3)</f>
        <v/>
      </c>
      <c r="OP84" s="164">
        <f>COUNTIF($NS84:$NW84,4)</f>
        <v/>
      </c>
      <c r="OQ84" s="164">
        <f>COUNTIF($NS84:$NW84,5)</f>
        <v/>
      </c>
      <c r="OR84" s="164">
        <f>COUNTIF($NS84:$NW84,6)</f>
        <v/>
      </c>
      <c r="OS84" s="164">
        <f>COUNTIF($OI84:$OJ84,1)+IF(IFERROR(INDEX('DADOS_FORMAS'!$AS$2:$AS$21,MATCH(SUBSTITUTE(SUBSTITUTE(SUBSTITUTE($MU84,"~","~~"),"*","~*"),"?","~?"),'DADOS_FORMAS'!$AH$2:$AH$21,0)),"")="",0,IFERROR(N(VLOOKUP(SUBSTITUTE(SUBSTITUTE(SUBSTITUTE(IFERROR(INDEX('DADOS_FORMAS'!$AS$2:$AS$21,MATCH(SUBSTITUTE(SUBSTITUTE(SUBSTITUTE($MU84,"~","~~"),"*","~*"),"?","~?"),'DADOS_FORMAS'!$AH$2:$AH$21,0)),""),"~","~~"),"*","~*"),"?","~?"),'DADOS_RESTRICOES'!$M$2:$Q$54,3,FALSE)=1),0))</f>
        <v/>
      </c>
      <c r="OT84" s="164">
        <f>COUNTIF($OI84:$OJ84,2)+IF(IFERROR(INDEX('DADOS_FORMAS'!$AS$2:$AS$21,MATCH(SUBSTITUTE(SUBSTITUTE(SUBSTITUTE($MU84,"~","~~"),"*","~*"),"?","~?"),'DADOS_FORMAS'!$AH$2:$AH$21,0)),"")="",0,IFERROR(N(VLOOKUP(SUBSTITUTE(SUBSTITUTE(SUBSTITUTE(IFERROR(INDEX('DADOS_FORMAS'!$AS$2:$AS$21,MATCH(SUBSTITUTE(SUBSTITUTE(SUBSTITUTE($MU84,"~","~~"),"*","~*"),"?","~?"),'DADOS_FORMAS'!$AH$2:$AH$21,0)),""),"~","~~"),"*","~*"),"?","~?"),'DADOS_RESTRICOES'!$M$2:$Q$54,3,FALSE)=2),0))</f>
        <v/>
      </c>
      <c r="OU84" s="164">
        <f>COUNTIF($MX84:$NA84,"?*")</f>
        <v/>
      </c>
      <c r="OV84" s="164">
        <f>COUNTIF($NB84:$NC84,"?*")+$OF84</f>
        <v/>
      </c>
      <c r="OW84" s="164">
        <f>IF($MS84=0,0,SUMPRODUCT($OM84:$OR84,INDEX($I$2:$N$8,MAX(1,$MS84),0)))</f>
        <v/>
      </c>
      <c r="OX84" s="164">
        <f>IF($MS84=0,0,$OS84*CEILING($MS84/2,1)+$OT84*$MS84)</f>
        <v/>
      </c>
      <c r="OY84" s="164">
        <f>MIN(2*$MS84,$OX84)</f>
        <v/>
      </c>
      <c r="OZ84" s="164">
        <f>MIN($OY84,$OW84-IF($NS84=0,0,INDEX($I$2:$N$8,MAX(1,$MS84),$NS84)))</f>
        <v/>
      </c>
      <c r="PA84" s="164">
        <f>$OY84-$OZ84</f>
        <v/>
      </c>
      <c r="PB84" s="164">
        <f>IF($MS84=0,0,INDEX($P$2:$P$8,MAX(1,$MS84)))</f>
        <v/>
      </c>
      <c r="PC84" s="164">
        <f>$PB84-$OW84+$OZ84</f>
        <v/>
      </c>
      <c r="PD84" s="164">
        <f>IF($MS84=0,MAX(0,$NG84-IF(AND($OU84&gt;0,COUNTIF($NB84:$NC84,"?*")=0),1,0)),MAX(0,$PC84))</f>
        <v/>
      </c>
      <c r="PE84" s="164">
        <f>IF($MS84=0,0,(IF(COUNTIF($RK84:$RN84,"Salto")&gt;0,1,0)+IF(COUNTIF($RK84:$RN84,"Queima")&gt;0,1,0)+IF(COUNTIF($RK84:$RN84,"Estilhaço")&gt;0,1,0))*FLOOR($PD84/2,1))</f>
        <v/>
      </c>
      <c r="PF84" s="164">
        <f>MAX(0,2-SUMPRODUCT($OM84:$OR84,$I$2:$N$2)+MIN(2,$OS84*1+$OT84*1,SUMPRODUCT($OM84:$OR84,$I$2:$N$2)-IF($NS84=0,0,INDEX($I$2:$N$2,1,$NS84))))</f>
        <v/>
      </c>
      <c r="PG84" s="164">
        <f>MAX(0,4-SUMPRODUCT($OM84:$OR84,$I$3:$N$3)+MIN(4,$OS84*1+$OT84*2,SUMPRODUCT($OM84:$OR84,$I$3:$N$3)-IF($NS84=0,0,INDEX($I$3:$N$3,1,$NS84))))</f>
        <v/>
      </c>
      <c r="PH84" s="164">
        <f>MAX(0,6-SUMPRODUCT($OM84:$OR84,$I$4:$N$4)+MIN(6,$OS84*2+$OT84*3,SUMPRODUCT($OM84:$OR84,$I$4:$N$4)-IF($NS84=0,0,INDEX($I$4:$N$4,1,$NS84))))</f>
        <v/>
      </c>
      <c r="PI84" s="164">
        <f>MAX(0,9-SUMPRODUCT($OM84:$OR84,$I$5:$N$5)+MIN(8,$OS84*2+$OT84*4,SUMPRODUCT($OM84:$OR84,$I$5:$N$5)-IF($NS84=0,0,INDEX($I$5:$N$5,1,$NS84))))</f>
        <v/>
      </c>
      <c r="PJ84" s="164">
        <f>MAX(0,11-SUMPRODUCT($OM84:$OR84,$I$6:$N$6)+MIN(10,$OS84*3+$OT84*5,SUMPRODUCT($OM84:$OR84,$I$6:$N$6)-IF($NS84=0,0,INDEX($I$6:$N$6,1,$NS84))))</f>
        <v/>
      </c>
      <c r="PK84" s="164">
        <f>MAX(0,13-SUMPRODUCT($OM84:$OR84,$I$7:$N$7)+MIN(12,$OS84*3+$OT84*6,SUMPRODUCT($OM84:$OR84,$I$7:$N$7)-IF($NS84=0,0,INDEX($I$7:$N$7,1,$NS84))))</f>
        <v/>
      </c>
      <c r="PL84" s="164">
        <f>MAX(0,16-SUMPRODUCT($OM84:$OR84,$I$8:$N$8)+MIN(14,$OS84*4+$OT84*7,SUMPRODUCT($OM84:$OR84,$I$8:$N$8)-IF($NS84=0,0,INDEX($I$8:$N$8,1,$NS84))))</f>
        <v/>
      </c>
      <c r="PM84" s="164">
        <f>IF($OG84=2,3*$PF84&amp;" de vida temp.",IF($OG84=3,"sem dano",IF($PF84=0,IF($OG84=1,"sem cura","sem dano"),IF($OG84=1,"cura ","")&amp;$PF84&amp;"d8")))</f>
        <v/>
      </c>
      <c r="PN84" s="164">
        <f>IF($OG84=2,3*$PG84&amp;" de vida temp.",IF($OG84=3,"sem dano",IF($PG84=0,IF($OG84=1,"sem cura","sem dano"),IF($OG84=1,"cura ","")&amp;$PG84&amp;"d8")))</f>
        <v/>
      </c>
      <c r="PO84" s="164">
        <f>IF($OG84=2,3*$PH84&amp;" de vida temp.",IF($OG84=3,"sem dano",IF($PH84=0,IF($OG84=1,"sem cura","sem dano"),IF($OG84=1,"cura ","")&amp;$PH84&amp;"d8")))</f>
        <v/>
      </c>
      <c r="PP84" s="164">
        <f>IF($OG84=2,3*$PI84&amp;" de vida temp.",IF($OG84=3,"sem dano",IF($PI84=0,IF($OG84=1,"sem cura","sem dano"),IF($OG84=1,"cura ","")&amp;$PI84&amp;"d8")))</f>
        <v/>
      </c>
      <c r="PQ84" s="164">
        <f>IF($OG84=2,3*$PJ84&amp;" de vida temp.",IF($OG84=3,"sem dano",IF($PJ84=0,IF($OG84=1,"sem cura","sem dano"),IF($OG84=1,"cura ","")&amp;$PJ84&amp;"d8")))</f>
        <v/>
      </c>
      <c r="PR84" s="164">
        <f>IF($OG84=2,3*$PK84&amp;" de vida temp.",IF($OG84=3,"sem dano",IF($PK84=0,IF($OG84=1,"sem cura","sem dano"),IF($OG84=1,"cura ","")&amp;$PK84&amp;"d8")))</f>
        <v/>
      </c>
      <c r="PS84" s="164">
        <f>IF($OG84=2,3*$PL84&amp;" de vida temp.",IF($OG84=3,"sem dano",IF($PL84=0,IF($OG84=1,"sem cura","sem dano"),IF($OG84=1,"cura ","")&amp;$PL84&amp;"d8")))</f>
        <v/>
      </c>
      <c r="PT84" s="164">
        <f>IF($ND84=0,"",TEXTJOIN(" · ",TRUE,IF($ND84=0,"",TEXTJOIN(" · ",TRUE,IF($ND84=0,"",TEXTJOIN(" · ",TRUE,IF($MQ84&gt;$NE84,"Este lugar abre no nível "&amp;$MQ84,""),IF($MS84&gt;$NF84,"Classe "&amp;$MS84&amp;": o nível "&amp;$NE84&amp;" libera até a "&amp;$NF84,""),IF($NX84=1,"A Forma "&amp;$MU84&amp;" pede "&amp;INDEX('DADOS_FORMAS'!$GA$2:$GA$21,$NJ84)&amp;" aberta",""),IF(AND($MS84=0,$NJ84&gt;0,IF($NJ84=0,0,INDEX('DADOS_FORMAS'!$GJ$2:$GJ$21,$NJ84))=0),$MU84&amp;" não existe na Classe 0",""),IF($NY84=1,"Família Fechada: "&amp;$MX84,""),IF($NZ84=1,"Família Fechada: "&amp;$MY84,""),IF($OA84=1,"Família Fechada: "&amp;$MZ84,""),IF($OB84=1,"Família Fechada: "&amp;$NA84,""),IF(AND($MS84&gt;0,$OU84&gt;INDEX($O$2:$O$8,MAX(1,$MS84))),$OU84&amp;" Melhorias: a Classe "&amp;$MS84&amp;" aceita "&amp;INDEX($O$2:$O$8,MAX(1,$MS84)),""),IF(AND($MS84=0,$OU84&gt;1),"A básica aceita uma Melhoria",""),IF(AND($MS84=0,COUNTIF($NO84:$NR84,"&gt;1")&gt;0),"A básica só aceita Melhoria Leve",""),IF(AND($MS84&gt;0,$OV84&gt;2),$OV84&amp;" Restrições"&amp;IF($OF84=1,", contando a que a Forma "&amp;$MU84&amp;" já traz","")&amp;": o limite é 2",""),IF(AND($MS84=0,COUNTIF($NB84:$NC84,"?*")&gt;1),"A básica aceita uma Restrição Leve",""),IF(AND($MS84=0,COUNTIF($OI84:$OJ84,2)&gt;0),"A básica só aceita Restrição Leve",""),IF(AND($MS84&gt;0,$PC84&lt;0),"Orçamento estourado: faltam "&amp;(-$PC84)&amp;IF($PC84&lt;-1," pontos"," ponto"),""),IF(IFERROR(VLOOKUP(SUBSTITUTE(SUBSTITUTE(SUBSTITUTE($NB84,"~","~~"),"*","~*"),"?","~?"),'DADOS_RESTRICOES'!$M$2:$Q$54,4,FALSE),0)+IFERROR(VLOOKUP(SUBSTITUTE(SUBSTITUTE(SUBSTITUTE($NC84,"~","~~"),"*","~*"),"?","~?"),'DADOS_RESTRICOES'!$M$2:$Q$54,4,FALSE),0)&gt;1,$OK84&amp;" e "&amp;$OL84&amp;" são as duas de frequência",""),IF(AND((COUNTIF($RK84:$RN84,"Rápido")+COUNTIF($OK84:$OL84,"Rápido"))&gt;0,(COUNTIF($MX84:$NA84,"Atrasar")+COUNTIF($OK84:$OL84,"Atrasar"))&gt;0),"Rápido não entra com Atrasar",""),IF(AND((COUNTIF($RK84:$RN84,"Reação")+COUNTIF($OK84:$OL84,"Reação"))&gt;0,(COUNTIF($RK84:$RN84,"Rápido")+COUNTIF($OK84:$OL84,"Rápido"))&gt;0),"Reação não entra com Rápido",""),IF(AND((COUNTIF($RK84:$RN84,"Reação")+COUNTIF($OK84:$OL84,"Reação"))&gt;0,(COUNTIF($RK84:$RN84,"Armado")+COUNTIF($OK84:$OL84,"Armado"))&gt;0),"Reação não entra com Armado",""),IF(AND((COUNTIF($RK84:$RN84,"Reação")+COUNTIF($OK84:$OL84,"Reação"))&gt;0,(COUNTIF($MX84:$NA84,"Atrasar")+COUNTIF($OK84:$OL84,"Atrasar"))&gt;0),"Reação não entra com Atrasar",""),IF(AND((COUNTIF($RK84:$RN84,"Reação")+COUNTIF($OK84:$OL84,"Reação"))&gt;0,(COUNTIF($MX84:$NA84,"Parado")+COUNTIF($OK84:$OL84,"Parado"))&gt;0),"Reação não entra com Parado",""),IF(AND((COUNTIF($MX84:$NA84,"Atrasar")+COUNTIF($OK84:$OL84,"Atrasar"))&gt;0,(COUNTIF($MX84:$NA84,"Parado")+COUNTIF($OK84:$OL84,"Parado"))&gt;0),"Atrasar não entra com Parado",""),IF(AND((COUNTIF($RK84:$RN84,"Armado")+COUNTIF($OK84:$OL84,"Armado"))&gt;0,(COUNTIF($MX84:$NA84,"Carregar")+COUNTIF($OK84:$OL84,"Carregar"))&gt;0),"Armado não entra com Carregar",""),IF(AND(COUNTIF($OK84:$OL84,"Corpo a Corpo")&gt;0,$OF84=0,OR($RO84="Cone",$RO84="Linha")),"Corpo a Corpo não entra em "&amp;$MU84,""),IF(AND(COUNTIF($OK84:$OL84,"Corpo a Corpo")&gt;0,$RP84="Corpo a Corpo"),"A Forma "&amp;$MU84&amp;" já traz o Corpo a Corpo",""),IF(AND(COUNTIF($OK84:$OL84,"Tudo ou Nada")&gt;0,$OH84=0),"Tudo ou Nada só entra em habilidade de Teste de Resistência",""),IF(AND(COUNTIF($RK84:$RN84,"Inescapável")&gt;0,OR($OU84&gt;1,$OV84&gt;0)),"Inescapável não aceita outra peça",""),IF(AND($MS84&gt;0,$PD84*IF(COUNTIF($RK84:$RN84,"Remate")&gt;0,1.25,1)+$PE84&gt;4*$MS84),($PD84*IF(COUNTIF($RK84:$RN84,"Remate")&gt;0,1.25,1)+$PE84)&amp;" dados somando repetições"&amp;IF(COUNTIF($RK84:$RN84,"Remate")&gt;0," e o Remate","")&amp;": o teto da Classe "&amp;$MS84&amp;" é "&amp;4*$MS84,""))),IF(AND($MX84&lt;&gt;"",COUNTIF('DADOS_MELHORIAS'!$O$2:$O$113,SUBSTITUTE(SUBSTITUTE(SUBSTITUTE($MX84,"~","~~"),"*","~*"),"?","~?"))=0),"Melhoria não cadastrada ou com erro: "&amp;$MX84,""),IF(AND($MY84&lt;&gt;"",COUNTIF('DADOS_MELHORIAS'!$O$2:$O$113,SUBSTITUTE(SUBSTITUTE(SUBSTITUTE($MY84,"~","~~"),"*","~*"),"?","~?"))=0),"Melhoria não cadastrada ou com erro: "&amp;$MY84,""),IF(AND($MZ84&lt;&gt;"",COUNTIF('DADOS_MELHORIAS'!$O$2:$O$113,SUBSTITUTE(SUBSTITUTE(SUBSTITUTE($MZ84,"~","~~"),"*","~*"),"?","~?"))=0),"Melhoria não cadastrada ou com erro: "&amp;$MZ84,""),IF(AND($NA84&lt;&gt;"",COUNTIF('DADOS_MELHORIAS'!$O$2:$O$113,SUBSTITUTE(SUBSTITUTE(SUBSTITUTE($NA84,"~","~~"),"*","~*"),"?","~?"))=0),"Melhoria não cadastrada ou com erro: "&amp;$NA84,""),IF(AND($NB84&lt;&gt;"",COUNTIF('DADOS_RESTRICOES'!$M$2:$M$54,SUBSTITUTE(SUBSTITUTE(SUBSTITUTE($NB84,"~","~~"),"*","~*"),"?","~?"))=0),"Restrição não cadastrada ou com erro: "&amp;$NB84,""),IF(AND($NC84&lt;&gt;"",COUNTIF('DADOS_RESTRICOES'!$M$2:$M$54,SUBSTITUTE(SUBSTITUTE(SUBSTITUTE($NC84,"~","~~"),"*","~*"),"?","~?"))=0),"Restrição não cadastrada ou com erro: "&amp;$NC84,""))),IF(AND($MU84&lt;&gt;"",COUNTIF('DADOS_FORMAS'!$AH$2:$AH$21,SUBSTITUTE(SUBSTITUTE(SUBSTITUTE($MU84,"~","~~"),"*","~*"),"?","~?"))=0),"Forma não cadastrada ou com erro: "&amp;$MU84,""),IF(AND(IFERROR(INDEX('DADOS_FORMAS'!$AS$2:$AS$21,MATCH(SUBSTITUTE(SUBSTITUTE(SUBSTITUTE($MU84,"~","~~"),"*","~*"),"?","~?"),'DADOS_FORMAS'!$AH$2:$AH$21,0)),"")&lt;&gt;"",OR(IFERROR(VLOOKUP(SUBSTITUTE(SUBSTITUTE(SUBSTITUTE(IFERROR(INDEX('DADOS_FORMAS'!$AS$2:$AS$21,MATCH(SUBSTITUTE(SUBSTITUTE(SUBSTITUTE($MU84,"~","~~"),"*","~*"),"?","~?"),'DADOS_FORMAS'!$AH$2:$AH$21,0)),""),"~","~~"),"*","~*"),"?","~?"),'DADOS_RESTRICOES'!$M$2:$Q$54,2,FALSE),"")=$OK84,IFERROR(VLOOKUP(SUBSTITUTE(SUBSTITUTE(SUBSTITUTE(IFERROR(INDEX('DADOS_FORMAS'!$AS$2:$AS$21,MATCH(SUBSTITUTE(SUBSTITUTE(SUBSTITUTE($MU84,"~","~~"),"*","~*"),"?","~?"),'DADOS_FORMAS'!$AH$2:$AH$21,0)),""),"~","~~"),"*","~*"),"?","~?"),'DADOS_RESTRICOES'!$M$2:$Q$54,2,FALSE),"")=$OL84)),"Restrição repetida, contando a embutida",""),IF(IF(IFERROR(INDEX('DADOS_FORMAS'!$AS$2:$AS$21,MATCH(SUBSTITUTE(SUBSTITUTE(SUBSTITUTE($MU84,"~","~~"),"*","~*"),"?","~?"),'DADOS_FORMAS'!$AH$2:$AH$21,0)),"")="",0,IFERROR(N(VLOOKUP(SUBSTITUTE(SUBSTITUTE(SUBSTITUTE(IFERROR(INDEX('DADOS_FORMAS'!$AS$2:$AS$21,MATCH(SUBSTITUTE(SUBSTITUTE(SUBSTITUTE($MU84,"~","~~"),"*","~*"),"?","~?"),'DADOS_FORMAS'!$AH$2:$AH$21,0)),""),"~","~~"),"*","~*"),"?","~?"),'DADOS_RESTRICOES'!$M$2:$Q$54,4,FALSE)=1),0))+IF($NB84="",0,IFERROR(N(VLOOKUP(SUBSTITUTE(SUBSTITUTE(SUBSTITUTE($NB84,"~","~~"),"*","~*"),"?","~?"),'DADOS_RESTRICOES'!$M$2:$Q$54,4,FALSE)=1),0))+IF($NC84="",0,IFERROR(N(VLOOKUP(SUBSTITUTE(SUBSTITUTE(SUBSTITUTE($NC84,"~","~~"),"*","~*"),"?","~?"),'DADOS_RESTRICOES'!$M$2:$Q$54,4,FALSE)=1),0))&gt;1,"Duas Restrições de frequência, contando a embutida",""),IF(AND(IFERROR(VLOOKUP(SUBSTITUTE(SUBSTITUTE(SUBSTITUTE(IFERROR(INDEX('DADOS_FORMAS'!$AS$2:$AS$21,MATCH(SUBSTITUTE(SUBSTITUTE(SUBSTITUTE($MU84,"~","~~"),"*","~*"),"?","~?"),'DADOS_FORMAS'!$AH$2:$AH$21,0)),""),"~","~~"),"*","~*"),"?","~?"),'DADOS_RESTRICOES'!$M$2:$Q$54,2,FALSE),"")="Tudo ou Nada",$OH84=0),"Tudo ou Nada exige TR",""),IF(AND(IFERROR(VLOOKUP(SUBSTITUTE(SUBSTITUTE(SUBSTITUTE(IFERROR(INDEX('DADOS_FORMAS'!$AS$2:$AS$21,MATCH(SUBSTITUTE(SUBSTITUTE(SUBSTITUTE($MU84,"~","~~"),"*","~*"),"?","~?"),'DADOS_FORMAS'!$AH$2:$AH$21,0)),""),"~","~~"),"*","~*"),"?","~?"),'DADOS_RESTRICOES'!$M$2:$Q$54,2,FALSE),"")="Corpo a Corpo",OR($RO84="Cone",$RO84="Linha")),"Corpo a Corpo não entra em Cone/Linha","")))</f>
        <v/>
      </c>
      <c r="PU84" s="164">
        <f>IF($PT84="",0,(LEN($PT84)-LEN(SUBSTITUTE($PT84," · ","")))/3+1)</f>
        <v/>
      </c>
      <c r="PV84" s="164">
        <f>IF($ND84=0,"",TEXTJOIN(" · ",TRUE,IF($OX84&gt;2*$MS84,"A devolução parou no teto de "&amp;2*$MS84,""),IF($PA84&gt;0,"Devolução perdida: "&amp;$PA84&amp;IF($PA84&gt;1," pontos"," ponto")&amp;" sem Melhoria para pagar",""),IF(AND($OC84&gt;0,AND($MS84&gt;0,$OG84=0),$PD84=0),"Controle sem dano: uma rodada a mais e CD +2",""),IF(AND($OC84&gt;0,AND($MS84&gt;0,$OG84=0),$PD84&gt;0,$PD84&lt;=$MS84),"Controle com saldo até a Classe: uma rodada a mais",""),IF(AND($MS84&gt;0,$OE84&lt;&gt;""),"Efeito de "&amp;$OE84&amp;" pela Classe "&amp;MAX(1,$MS84-1),"")))</f>
        <v/>
      </c>
      <c r="PW84" s="164">
        <f>IF($PV84="",0,(LEN($PV84)-LEN(SUBSTITUTE($PV84," · ","")))/3+1)</f>
        <v/>
      </c>
      <c r="PX84" s="164">
        <f>IF($ND84=0,IF($OU84+COUNTIF($NB84:$NC84,"?*")&gt;0,"Dê um nome",""),IF($PU84&gt;0,"⚠ "&amp;$PU84&amp;IF($PU84&gt;1," erros"," erro"),IF($PW84&gt;0,"! "&amp;$PW84&amp;IF($PW84&gt;1," avisos"," aviso"),"Na regra")))</f>
        <v/>
      </c>
      <c r="PY84" s="164">
        <f>IF($ND84=0,"",IF($PU84+$PW84=0,"Dentro das regras que a ficha confere",$PT84&amp;IF(AND($PU84&gt;0,$PW84&gt;0)," · ","")&amp;$PV84))</f>
        <v/>
      </c>
      <c r="PZ84" s="164">
        <f>IF($MQ84&gt;$NE84,$MR84&amp;" · ABRE NO NÍVEL "&amp;$MQ84,$MR84)</f>
        <v/>
      </c>
      <c r="QA84" s="164">
        <f>IF($ND84=0,"",IF($MS84=0,"Sem PE",3*$MS84&amp;" PE"))</f>
        <v/>
      </c>
      <c r="QB84" s="164">
        <f>IF($ND84=0,"",IF($MS84=0,"A atuação básica dela",IF(COUNTIF($RQ84:$RS84,"Atrasar")&gt;0,"Sua Ação Completa",IF(COUNTIF($RK84:$RN84,"Rápido")&gt;0,"Sua Bônus",IF(COUNTIF($RK84:$RN84,"Reação")&gt;0,"Sua Reação","Sua Padrão")))&amp;" + a básica dela"&amp;IF(COUNTIF($RK84:$RN84,"Reação")&gt;0," e a coletiva","")&amp;IF(COUNTIF($RQ84:$RS84,"Carregar")&gt;0," · em dois turnos","")))</f>
        <v/>
      </c>
      <c r="QC84" s="164">
        <f>IF($MW84&lt;&gt;"",$MW84,IF($NJ84=0,"",INDEX('DADOS_FORMAS'!$GE$2:$GE$21,$NJ84)))</f>
        <v/>
      </c>
      <c r="QD84" s="164">
        <f>IF(OR($ND84=0,$NJ84=0),"",IF(COUNTIF($RK84:$RN84,"Inescapável")&gt;0,"Automático",IF($QC84="Ataque",IF($NH84="","Ataque","Ataque "&amp;IF(($NH84+2*IF(COUNTIF($RK84:$RN84,"Precisão")&gt;0,1,0))&gt;=0,"+","−")&amp;ABS(($NH84+2*IF(COUNTIF($RK84:$RN84,"Precisão")&gt;0,1,0))))&amp;IF($OD84&gt;0," · TR"&amp;IF($NI84="",""," CD "&amp;$NI84),""),IF(LEFT($QC84,2)="TR",$QC84&amp;IF($NI84="",""," · CD "&amp;$NI84)&amp;IF(COUNTIF($RK84:$RN84,"Certeiro")&gt;0," · metade",""),"Sem rolagem"))))</f>
        <v/>
      </c>
      <c r="QE84" s="164">
        <f>IF(OR($ND84=0,$NJ84=0),"",IF($MS84=0,IF(OR($OG84&gt;=1,$PD84=0),"Sem dano",$PD84&amp;"d6"&amp;IF($MV84="",""," "&amp;$MV84)),IF(OR($OG84&gt;=1,$PD84=0),UPPER(LEFT(INDEX($PM84:$PS84,1,MAX(1,$MS84)),1))&amp;MID(INDEX($PM84:$PS84,1,MAX(1,$MS84)),2,99),UPPER(LEFT(INDEX($PM84:$PS84,1,MAX(1,$MS84)),1))&amp;MID(INDEX($PM84:$PS84,1,MAX(1,$MS84)),2,99)&amp;IF($MV84="",""," "&amp;$MV84)&amp;IF($PE84&gt;0," · +"&amp;$PE84&amp;"d8",""))))</f>
        <v/>
      </c>
      <c r="QF84" s="164">
        <f>COUNTIF($RK84:$RN84,"Longe")+3*COUNTIF($RK84:$RN84,"Muito Longe")</f>
        <v/>
      </c>
      <c r="QG84" s="164">
        <f>COUNTIF($RK84:$RN84,"Maior")+3*COUNTIF($RK84:$RN84,"Muito Maior")</f>
        <v/>
      </c>
      <c r="QH84" s="164">
        <f>IF($NJ84=0,0,CHOOSE(1+INDEX('DADOS_FORMAS'!$GG$2:$GG$21,$NJ84),0,$QF84,$QG84,$QF84+$QG84))</f>
        <v/>
      </c>
      <c r="QI84" s="164">
        <f>IF($NJ84=0,0,CHOOSE(1+INDEX('DADOS_FORMAS'!$GH$2:$GH$21,$NJ84),0,$QF84,$QG84,$QF84+$QG84))</f>
        <v/>
      </c>
      <c r="QJ84" s="164">
        <f>IF(OR($ND84=0,$NJ84=0),"",INDEX('DADOS_FORMAS'!$HU$2:$HZ$81,($NJ84-1)*4+IF($MS84=0,1,IF($MS84&lt;=5,2,IF($MS84=6,3,4))),1+MIN(5,$QH84))&amp;INDEX('DADOS_FORMAS'!$IA$2:$IF$81,($NJ84-1)*4+IF($MS84=0,1,IF($MS84&lt;=5,2,IF($MS84=6,3,4))),1+MIN(5,$QI84))&amp;IF(INDEX('DADOS_FORMAS'!$GI$2:$GI$21,$NJ84)=1,IF(COUNTIF($RK84:$RN84,"Mais Um")&gt;0," · +"&amp;COUNTIF($RK84:$RN84,"Mais Um")&amp;IF(COUNTIF($RK84:$RN84,"Mais Um")&gt;1," alvos"," alvo"),"")&amp;IF(COUNTIF($RK84:$RN84,"Rajada")&gt;0,IF($MS84=0," · 1 tiro"," · "&amp;(MAX(1,$MS84-1)+1)&amp;" tiros"),""),""))</f>
        <v/>
      </c>
      <c r="QK84" s="164">
        <f>IF($ND84=0,"",IF($MS84=0,$NG84&amp;"d6"&amp;IF($OU84&gt;0," − 1 = "&amp;$PD84&amp;"d6"," da básica do nível "&amp;$NE84),$PB84&amp;" − "&amp;$OW84&amp;" + "&amp;$OZ84&amp;" = "&amp;$PC84&amp;" · teto "&amp;4*$MS84&amp;"d8"&amp;IF($OF84=1," · a Forma devolve "&amp;$MS84,"")&amp;IF($PA84&gt;0," · perde "&amp;$PA84,"")))</f>
        <v/>
      </c>
      <c r="QL84" s="164">
        <f>IF($ND84=0,"",IF($MS84=0,"A básica não amplia: os dados dela sobem com o nível",IF($MS84&gt;=$NF84,"Já está na maior Classe que o nível liberou",TEXTJOIN(" · ",TRUE,IF(AND(2&gt;$MS84,2&lt;=$NF84),"2 → "&amp;$PN84&amp;", 6 PE",""),IF(AND(3&gt;$MS84,3&lt;=$NF84),"3 → "&amp;$PO84&amp;", 9 PE",""),IF(AND(4&gt;$MS84,4&lt;=$NF84),"4 → "&amp;$PP84&amp;", 12 PE",""),IF(AND(5&gt;$MS84,5&lt;=$NF84),"5 → "&amp;$PQ84&amp;", 15 PE",""),IF(AND(6&gt;$MS84,6&lt;=$NF84),"6 → "&amp;$PR84&amp;", 18 PE",""),IF(AND(7&gt;$MS84,7&lt;=$NF84),"7 → "&amp;$PS84&amp;", 21 PE","")))))</f>
        <v/>
      </c>
      <c r="QM84" s="164">
        <f>IF(OR($ND84=0,$NO84=0),"",IF($MS84=0,"−1 dado","−"&amp;INDEX($I$2:$N$8,MAX(1,$MS84),MAX(1,$NT84))&amp;" · "&amp;CHOOSE(MAX(1,$NT84),"Leve","Média","Pesada","Leve · Livre","Média · Livre","Pesada · Livre")))</f>
        <v/>
      </c>
      <c r="QN84" s="164">
        <f>IF(OR($ND84=0,$NP84=0),"",IF($MS84=0,"−1 dado","−"&amp;INDEX($I$2:$N$8,MAX(1,$MS84),MAX(1,$NU84))&amp;" · "&amp;CHOOSE(MAX(1,$NU84),"Leve","Média","Pesada","Leve · Livre","Média · Livre","Pesada · Livre")))</f>
        <v/>
      </c>
      <c r="QO84" s="164">
        <f>IF(OR($ND84=0,$NQ84=0),"",IF($MS84=0,"−1 dado","−"&amp;INDEX($I$2:$N$8,MAX(1,$MS84),MAX(1,$NV84))&amp;" · "&amp;CHOOSE(MAX(1,$NV84),"Leve","Média","Pesada","Leve · Livre","Média · Livre","Pesada · Livre")))</f>
        <v/>
      </c>
      <c r="QP84" s="164">
        <f>IF(OR($ND84=0,$NR84=0),"",IF($MS84=0,"−1 dado","−"&amp;INDEX($I$2:$N$8,MAX(1,$MS84),MAX(1,$NW84))&amp;" · "&amp;CHOOSE(MAX(1,$NW84),"Leve","Média","Pesada","Leve · Livre","Média · Livre","Pesada · Livre")))</f>
        <v/>
      </c>
      <c r="QQ84" s="164">
        <f>IF(OR($ND84=0,$NB84=""),"",IF($MS84=0,"não devolve","+"&amp;IF($OI84=1,CEILING($MS84/2,1),$MS84)))</f>
        <v/>
      </c>
      <c r="QR84" s="164">
        <f>IF(OR($ND84=0,$NC84=""),"",IF($MS84=0,"não devolve","+"&amp;IF($OJ84=1,CEILING($MS84/2,1),$MS84)))</f>
        <v/>
      </c>
      <c r="RK84">
        <f>IF($MX84="","",IFERROR(VLOOKUP(SUBSTITUTE(SUBSTITUTE(SUBSTITUTE($MX84,"~","~~"),"*","~*"),"?","~?"),'DADOS_MELHORIAS'!$O$2:$X$113,10,FALSE),$MX84))</f>
        <v/>
      </c>
      <c r="RL84">
        <f>IF($MY84="","",IFERROR(VLOOKUP(SUBSTITUTE(SUBSTITUTE(SUBSTITUTE($MY84,"~","~~"),"*","~*"),"?","~?"),'DADOS_MELHORIAS'!$O$2:$X$113,10,FALSE),$MY84))</f>
        <v/>
      </c>
      <c r="RM84">
        <f>IF($MZ84="","",IFERROR(VLOOKUP(SUBSTITUTE(SUBSTITUTE(SUBSTITUTE($MZ84,"~","~~"),"*","~*"),"?","~?"),'DADOS_MELHORIAS'!$O$2:$X$113,10,FALSE),$MZ84))</f>
        <v/>
      </c>
      <c r="RN84">
        <f>IF($NA84="","",IFERROR(VLOOKUP(SUBSTITUTE(SUBSTITUTE(SUBSTITUTE($NA84,"~","~~"),"*","~*"),"?","~?"),'DADOS_MELHORIAS'!$O$2:$X$113,10,FALSE),$NA84))</f>
        <v/>
      </c>
      <c r="RO84">
        <f>IFERROR(INDEX('DADOS_FORMAS'!$BJ$2:$BJ$21,MATCH(SUBSTITUTE(SUBSTITUTE(SUBSTITUTE($MU84,"~","~~"),"*","~*"),"?","~?"),'DADOS_FORMAS'!$AH$2:$AH$21,0)),"")</f>
        <v/>
      </c>
      <c r="RP84">
        <f>IFERROR(VLOOKUP(SUBSTITUTE(SUBSTITUTE(SUBSTITUTE(IFERROR(INDEX('DADOS_FORMAS'!$AS$2:$AS$21,MATCH(SUBSTITUTE(SUBSTITUTE(SUBSTITUTE($MU84,"~","~~"),"*","~*"),"?","~?"),'DADOS_FORMAS'!$AH$2:$AH$21,0)),""),"~","~~"),"*","~*"),"?","~?"),'DADOS_RESTRICOES'!$M$2:$Q$54,2,FALSE),"")</f>
        <v/>
      </c>
      <c r="RQ84">
        <f>$OK84</f>
        <v/>
      </c>
      <c r="RR84">
        <f>$OL84</f>
        <v/>
      </c>
      <c r="RS84">
        <f>$RP84</f>
        <v/>
      </c>
    </row>
    <row r="85">
      <c r="MN85" s="162" t="inlineStr">
        <is>
          <t>Ficha 7 · Especial 4</t>
        </is>
      </c>
      <c r="MO85" s="164" t="n">
        <v>7</v>
      </c>
      <c r="MP85" s="164" t="n">
        <v>1</v>
      </c>
      <c r="MQ85" s="164" t="n">
        <v>12</v>
      </c>
      <c r="MR85" s="162" t="inlineStr">
        <is>
          <t>ESPECIAL 4</t>
        </is>
      </c>
      <c r="MS85" s="164">
        <f>MAX(1,MIN(7,N('INVOCAÇÕES'!$AN$105)))</f>
        <v/>
      </c>
      <c r="MT85" s="164">
        <f>'INVOCAÇÕES'!$AO$105&amp;""</f>
        <v/>
      </c>
      <c r="MU85" s="164">
        <f>'INVOCAÇÕES'!$AN$110&amp;""</f>
        <v/>
      </c>
      <c r="MV85" s="164">
        <f>'INVOCAÇÕES'!$AN$111&amp;""</f>
        <v/>
      </c>
      <c r="MW85" s="164">
        <f>'INVOCAÇÕES'!$AP$111&amp;""</f>
        <v/>
      </c>
      <c r="MX85" s="164">
        <f>'INVOCAÇÕES'!$AO$114&amp;""</f>
        <v/>
      </c>
      <c r="MY85" s="164">
        <f>'INVOCAÇÕES'!$AO$115&amp;""</f>
        <v/>
      </c>
      <c r="MZ85" s="164">
        <f>'INVOCAÇÕES'!$AO$116&amp;""</f>
        <v/>
      </c>
      <c r="NA85" s="164">
        <f>'INVOCAÇÕES'!$AO$117&amp;""</f>
        <v/>
      </c>
      <c r="NB85" s="164">
        <f>'INVOCAÇÕES'!$AO$118&amp;""</f>
        <v/>
      </c>
      <c r="NC85" s="164">
        <f>'INVOCAÇÕES'!$AO$119&amp;""</f>
        <v/>
      </c>
      <c r="ND85" s="164">
        <f>IF($MT85&lt;&gt;"",1,0)</f>
        <v/>
      </c>
      <c r="NE85" s="164">
        <f>INDEX($FO$2:$FO$13,$MO85)</f>
        <v/>
      </c>
      <c r="NF85" s="164">
        <f>INDEX($FP$2:$FP$13,$MO85)</f>
        <v/>
      </c>
      <c r="NG85" s="164">
        <f>INDEX($FQ$2:$FQ$13,$MO85)</f>
        <v/>
      </c>
      <c r="NH85" s="164">
        <f>INDEX($GB$2:$GB$13,$MO85)</f>
        <v/>
      </c>
      <c r="NI85" s="164">
        <f>INDEX($GC$2:$GC$13,$MO85)</f>
        <v/>
      </c>
      <c r="NJ85" s="164">
        <f>IFERROR(MATCH(SUBSTITUTE(SUBSTITUTE(SUBSTITUTE($MU85,"~","~~"),"*","~*"),"?","~?"),'DADOS_FORMAS'!$FZ$2:$FZ$21,0),0)</f>
        <v/>
      </c>
      <c r="NK85" s="164">
        <f>IFERROR(VLOOKUP(SUBSTITUTE(SUBSTITUTE(SUBSTITUTE($MX85,"~","~~"),"*","~*"),"?","~?"),'DADOS_MELHORIAS'!$AG$2:$AL$113,2,FALSE),"")</f>
        <v/>
      </c>
      <c r="NL85" s="164">
        <f>IFERROR(VLOOKUP(SUBSTITUTE(SUBSTITUTE(SUBSTITUTE($MY85,"~","~~"),"*","~*"),"?","~?"),'DADOS_MELHORIAS'!$AG$2:$AL$113,2,FALSE),"")</f>
        <v/>
      </c>
      <c r="NM85" s="164">
        <f>IFERROR(VLOOKUP(SUBSTITUTE(SUBSTITUTE(SUBSTITUTE($MZ85,"~","~~"),"*","~*"),"?","~?"),'DADOS_MELHORIAS'!$AG$2:$AL$113,2,FALSE),"")</f>
        <v/>
      </c>
      <c r="NN85" s="164">
        <f>IFERROR(VLOOKUP(SUBSTITUTE(SUBSTITUTE(SUBSTITUTE($NA85,"~","~~"),"*","~*"),"?","~?"),'DADOS_MELHORIAS'!$AG$2:$AL$113,2,FALSE),"")</f>
        <v/>
      </c>
      <c r="NO85" s="164">
        <f>IFERROR(VLOOKUP(SUBSTITUTE(SUBSTITUTE(SUBSTITUTE($MX85,"~","~~"),"*","~*"),"?","~?"),'DADOS_MELHORIAS'!$AG$2:$AL$113,3,FALSE),0)</f>
        <v/>
      </c>
      <c r="NP85" s="164">
        <f>IFERROR(VLOOKUP(SUBSTITUTE(SUBSTITUTE(SUBSTITUTE($MY85,"~","~~"),"*","~*"),"?","~?"),'DADOS_MELHORIAS'!$AG$2:$AL$113,3,FALSE),0)</f>
        <v/>
      </c>
      <c r="NQ85" s="164">
        <f>IFERROR(VLOOKUP(SUBSTITUTE(SUBSTITUTE(SUBSTITUTE($MZ85,"~","~~"),"*","~*"),"?","~?"),'DADOS_MELHORIAS'!$AG$2:$AL$113,3,FALSE),0)</f>
        <v/>
      </c>
      <c r="NR85" s="164">
        <f>IFERROR(VLOOKUP(SUBSTITUTE(SUBSTITUTE(SUBSTITUTE($NA85,"~","~~"),"*","~*"),"?","~?"),'DADOS_MELHORIAS'!$AG$2:$AL$113,3,FALSE),0)</f>
        <v/>
      </c>
      <c r="NS85" s="164">
        <f>IF($MS85=0,0,IF($NJ85=0,0,INDEX('DADOS_FORMAS'!$GB$2:$GB$21,$NJ85)))</f>
        <v/>
      </c>
      <c r="NT85" s="164">
        <f>IF(OR($NO85=0,$MS85=0),0,$NO85+3*IF(AND($NK85&lt;&gt;"",COUNTIF(INDEX($RB$2:$RJ$13,$MO85,0),$NK85)&gt;0),1,0))</f>
        <v/>
      </c>
      <c r="NU85" s="164">
        <f>IF(OR($NP85=0,$MS85=0),0,$NP85+3*IF(AND($NL85&lt;&gt;"",COUNTIF(INDEX($RB$2:$RJ$13,$MO85,0),$NL85)&gt;0),1,0))</f>
        <v/>
      </c>
      <c r="NV85" s="164">
        <f>IF(OR($NQ85=0,$MS85=0),0,$NQ85+3*IF(AND($NM85&lt;&gt;"",COUNTIF(INDEX($RB$2:$RJ$13,$MO85,0),$NM85)&gt;0),1,0))</f>
        <v/>
      </c>
      <c r="NW85" s="164">
        <f>IF(OR($NR85=0,$MS85=0),0,$NR85+3*IF(AND($NN85&lt;&gt;"",COUNTIF(INDEX($RB$2:$RJ$13,$MO85,0),$NN85)&gt;0),1,0))</f>
        <v/>
      </c>
      <c r="NX85" s="164">
        <f>IF($NJ85=0,0,IF(INDEX('DADOS_FORMAS'!$GA$2:$GA$21,$NJ85)="",0,IF((COUNTIF(INDEX($EL$2:$EP$13,$MO85,0),INDEX('DADOS_FORMAS'!$GA$2:$GA$21,$NJ85))+COUNTIF(INDEX($QV$2:$QY$13,$MO85,0),INDEX('DADOS_FORMAS'!$GA$2:$GA$21,$NJ85)))=0,1,0)))</f>
        <v/>
      </c>
      <c r="NY85" s="164">
        <f>IF(OR($NO85=0,$NK85=""),0,IF((COUNTIF(INDEX($EL$2:$EP$13,$MO85,0),$NK85)+COUNTIF(INDEX($QV$2:$QY$13,$MO85,0),$NK85))=0,1,0))</f>
        <v/>
      </c>
      <c r="NZ85" s="164">
        <f>IF(OR($NP85=0,$NL85=""),0,IF((COUNTIF(INDEX($EL$2:$EP$13,$MO85,0),$NL85)+COUNTIF(INDEX($QV$2:$QY$13,$MO85,0),$NL85))=0,1,0))</f>
        <v/>
      </c>
      <c r="OA85" s="164">
        <f>IF(OR($NQ85=0,$NM85=""),0,IF((COUNTIF(INDEX($EL$2:$EP$13,$MO85,0),$NM85)+COUNTIF(INDEX($QV$2:$QY$13,$MO85,0),$NM85))=0,1,0))</f>
        <v/>
      </c>
      <c r="OB85" s="164">
        <f>IF(OR($NR85=0,$NN85=""),0,IF((COUNTIF(INDEX($EL$2:$EP$13,$MO85,0),$NN85)+COUNTIF(INDEX($QV$2:$QY$13,$MO85,0),$NN85))=0,1,0))</f>
        <v/>
      </c>
      <c r="OC85" s="164">
        <f>IFERROR(VLOOKUP(SUBSTITUTE(SUBSTITUTE(SUBSTITUTE($MX85,"~","~~"),"*","~*"),"?","~?"),'DADOS_MELHORIAS'!$AG$2:$AL$113,4,FALSE),0)+IFERROR(VLOOKUP(SUBSTITUTE(SUBSTITUTE(SUBSTITUTE($MY85,"~","~~"),"*","~*"),"?","~?"),'DADOS_MELHORIAS'!$AG$2:$AL$113,4,FALSE),0)+IFERROR(VLOOKUP(SUBSTITUTE(SUBSTITUTE(SUBSTITUTE($MZ85,"~","~~"),"*","~*"),"?","~?"),'DADOS_MELHORIAS'!$AG$2:$AL$113,4,FALSE),0)+IFERROR(VLOOKUP(SUBSTITUTE(SUBSTITUTE(SUBSTITUTE($NA85,"~","~~"),"*","~*"),"?","~?"),'DADOS_MELHORIAS'!$AG$2:$AL$113,4,FALSE),0)</f>
        <v/>
      </c>
      <c r="OD85" s="164">
        <f>IFERROR(VLOOKUP(SUBSTITUTE(SUBSTITUTE(SUBSTITUTE($MX85,"~","~~"),"*","~*"),"?","~?"),'DADOS_MELHORIAS'!$AG$2:$AL$113,6,FALSE),0)+IFERROR(VLOOKUP(SUBSTITUTE(SUBSTITUTE(SUBSTITUTE($MY85,"~","~~"),"*","~*"),"?","~?"),'DADOS_MELHORIAS'!$AG$2:$AL$113,6,FALSE),0)+IFERROR(VLOOKUP(SUBSTITUTE(SUBSTITUTE(SUBSTITUTE($MZ85,"~","~~"),"*","~*"),"?","~?"),'DADOS_MELHORIAS'!$AG$2:$AL$113,6,FALSE),0)+IFERROR(VLOOKUP(SUBSTITUTE(SUBSTITUTE(SUBSTITUTE($NA85,"~","~~"),"*","~*"),"?","~?"),'DADOS_MELHORIAS'!$AG$2:$AL$113,6,FALSE),0)+IFERROR(N(AND(INDEX('DADOS_FORMAS'!$AO$2:$AO$21,MATCH(SUBSTITUTE(SUBSTITUTE(SUBSTITUTE($MU85,"~","~~"),"*","~*"),"?","~?"),'DADOS_FORMAS'!$AH$2:$AH$21,0))="Acerto",$OH85=1)),0)</f>
        <v/>
      </c>
      <c r="OE85" s="164">
        <f>TEXTJOIN(", ",TRUE,IF(IFERROR(VLOOKUP(SUBSTITUTE(SUBSTITUTE(SUBSTITUTE($MX85,"~","~~"),"*","~*"),"?","~?"),'DADOS_MELHORIAS'!$AG$2:$AL$113,5,FALSE),0)=1,$MX85,""),IF(IFERROR(VLOOKUP(SUBSTITUTE(SUBSTITUTE(SUBSTITUTE($MY85,"~","~~"),"*","~*"),"?","~?"),'DADOS_MELHORIAS'!$AG$2:$AL$113,5,FALSE),0)=1,$MY85,""),IF(IFERROR(VLOOKUP(SUBSTITUTE(SUBSTITUTE(SUBSTITUTE($MZ85,"~","~~"),"*","~*"),"?","~?"),'DADOS_MELHORIAS'!$AG$2:$AL$113,5,FALSE),0)=1,$MZ85,""),IF(IFERROR(VLOOKUP(SUBSTITUTE(SUBSTITUTE(SUBSTITUTE($NA85,"~","~~"),"*","~*"),"?","~?"),'DADOS_MELHORIAS'!$AG$2:$AL$113,5,FALSE),0)=1,$NA85,""))</f>
        <v/>
      </c>
      <c r="OF85" s="164">
        <f>IF($NJ85=0,0,INDEX('DADOS_FORMAS'!$GC$2:$GC$21,$NJ85))</f>
        <v/>
      </c>
      <c r="OG85" s="164">
        <f>IF($NJ85=0,0,INDEX('DADOS_FORMAS'!$GD$2:$GD$21,$NJ85))</f>
        <v/>
      </c>
      <c r="OH85" s="164">
        <f>IF($NJ85=0,0,INDEX('DADOS_FORMAS'!$GF$2:$GF$21,$NJ85))</f>
        <v/>
      </c>
      <c r="OI85" s="164">
        <f>IFERROR(VLOOKUP(SUBSTITUTE(SUBSTITUTE(SUBSTITUTE($NB85,"~","~~"),"*","~*"),"?","~?"),'DADOS_RESTRICOES'!$M$2:$Q$54,3,FALSE),0)</f>
        <v/>
      </c>
      <c r="OJ85" s="164">
        <f>IFERROR(VLOOKUP(SUBSTITUTE(SUBSTITUTE(SUBSTITUTE($NC85,"~","~~"),"*","~*"),"?","~?"),'DADOS_RESTRICOES'!$M$2:$Q$54,3,FALSE),0)</f>
        <v/>
      </c>
      <c r="OK85" s="164">
        <f>IFERROR(VLOOKUP(SUBSTITUTE(SUBSTITUTE(SUBSTITUTE($NB85,"~","~~"),"*","~*"),"?","~?"),'DADOS_RESTRICOES'!$M$2:$Q$54,2,FALSE),"")</f>
        <v/>
      </c>
      <c r="OL85" s="164">
        <f>IFERROR(VLOOKUP(SUBSTITUTE(SUBSTITUTE(SUBSTITUTE($NC85,"~","~~"),"*","~*"),"?","~?"),'DADOS_RESTRICOES'!$M$2:$Q$54,2,FALSE),"")</f>
        <v/>
      </c>
      <c r="OM85" s="164">
        <f>COUNTIF($NS85:$NW85,1)</f>
        <v/>
      </c>
      <c r="ON85" s="164">
        <f>COUNTIF($NS85:$NW85,2)</f>
        <v/>
      </c>
      <c r="OO85" s="164">
        <f>COUNTIF($NS85:$NW85,3)</f>
        <v/>
      </c>
      <c r="OP85" s="164">
        <f>COUNTIF($NS85:$NW85,4)</f>
        <v/>
      </c>
      <c r="OQ85" s="164">
        <f>COUNTIF($NS85:$NW85,5)</f>
        <v/>
      </c>
      <c r="OR85" s="164">
        <f>COUNTIF($NS85:$NW85,6)</f>
        <v/>
      </c>
      <c r="OS85" s="164">
        <f>COUNTIF($OI85:$OJ85,1)+IF(IFERROR(INDEX('DADOS_FORMAS'!$AS$2:$AS$21,MATCH(SUBSTITUTE(SUBSTITUTE(SUBSTITUTE($MU85,"~","~~"),"*","~*"),"?","~?"),'DADOS_FORMAS'!$AH$2:$AH$21,0)),"")="",0,IFERROR(N(VLOOKUP(SUBSTITUTE(SUBSTITUTE(SUBSTITUTE(IFERROR(INDEX('DADOS_FORMAS'!$AS$2:$AS$21,MATCH(SUBSTITUTE(SUBSTITUTE(SUBSTITUTE($MU85,"~","~~"),"*","~*"),"?","~?"),'DADOS_FORMAS'!$AH$2:$AH$21,0)),""),"~","~~"),"*","~*"),"?","~?"),'DADOS_RESTRICOES'!$M$2:$Q$54,3,FALSE)=1),0))</f>
        <v/>
      </c>
      <c r="OT85" s="164">
        <f>COUNTIF($OI85:$OJ85,2)+IF(IFERROR(INDEX('DADOS_FORMAS'!$AS$2:$AS$21,MATCH(SUBSTITUTE(SUBSTITUTE(SUBSTITUTE($MU85,"~","~~"),"*","~*"),"?","~?"),'DADOS_FORMAS'!$AH$2:$AH$21,0)),"")="",0,IFERROR(N(VLOOKUP(SUBSTITUTE(SUBSTITUTE(SUBSTITUTE(IFERROR(INDEX('DADOS_FORMAS'!$AS$2:$AS$21,MATCH(SUBSTITUTE(SUBSTITUTE(SUBSTITUTE($MU85,"~","~~"),"*","~*"),"?","~?"),'DADOS_FORMAS'!$AH$2:$AH$21,0)),""),"~","~~"),"*","~*"),"?","~?"),'DADOS_RESTRICOES'!$M$2:$Q$54,3,FALSE)=2),0))</f>
        <v/>
      </c>
      <c r="OU85" s="164">
        <f>COUNTIF($MX85:$NA85,"?*")</f>
        <v/>
      </c>
      <c r="OV85" s="164">
        <f>COUNTIF($NB85:$NC85,"?*")+$OF85</f>
        <v/>
      </c>
      <c r="OW85" s="164">
        <f>IF($MS85=0,0,SUMPRODUCT($OM85:$OR85,INDEX($I$2:$N$8,MAX(1,$MS85),0)))</f>
        <v/>
      </c>
      <c r="OX85" s="164">
        <f>IF($MS85=0,0,$OS85*CEILING($MS85/2,1)+$OT85*$MS85)</f>
        <v/>
      </c>
      <c r="OY85" s="164">
        <f>MIN(2*$MS85,$OX85)</f>
        <v/>
      </c>
      <c r="OZ85" s="164">
        <f>MIN($OY85,$OW85-IF($NS85=0,0,INDEX($I$2:$N$8,MAX(1,$MS85),$NS85)))</f>
        <v/>
      </c>
      <c r="PA85" s="164">
        <f>$OY85-$OZ85</f>
        <v/>
      </c>
      <c r="PB85" s="164">
        <f>IF($MS85=0,0,INDEX($P$2:$P$8,MAX(1,$MS85)))</f>
        <v/>
      </c>
      <c r="PC85" s="164">
        <f>$PB85-$OW85+$OZ85</f>
        <v/>
      </c>
      <c r="PD85" s="164">
        <f>IF($MS85=0,MAX(0,$NG85-IF(AND($OU85&gt;0,COUNTIF($NB85:$NC85,"?*")=0),1,0)),MAX(0,$PC85))</f>
        <v/>
      </c>
      <c r="PE85" s="164">
        <f>IF($MS85=0,0,(IF(COUNTIF($RK85:$RN85,"Salto")&gt;0,1,0)+IF(COUNTIF($RK85:$RN85,"Queima")&gt;0,1,0)+IF(COUNTIF($RK85:$RN85,"Estilhaço")&gt;0,1,0))*FLOOR($PD85/2,1))</f>
        <v/>
      </c>
      <c r="PF85" s="164">
        <f>MAX(0,2-SUMPRODUCT($OM85:$OR85,$I$2:$N$2)+MIN(2,$OS85*1+$OT85*1,SUMPRODUCT($OM85:$OR85,$I$2:$N$2)-IF($NS85=0,0,INDEX($I$2:$N$2,1,$NS85))))</f>
        <v/>
      </c>
      <c r="PG85" s="164">
        <f>MAX(0,4-SUMPRODUCT($OM85:$OR85,$I$3:$N$3)+MIN(4,$OS85*1+$OT85*2,SUMPRODUCT($OM85:$OR85,$I$3:$N$3)-IF($NS85=0,0,INDEX($I$3:$N$3,1,$NS85))))</f>
        <v/>
      </c>
      <c r="PH85" s="164">
        <f>MAX(0,6-SUMPRODUCT($OM85:$OR85,$I$4:$N$4)+MIN(6,$OS85*2+$OT85*3,SUMPRODUCT($OM85:$OR85,$I$4:$N$4)-IF($NS85=0,0,INDEX($I$4:$N$4,1,$NS85))))</f>
        <v/>
      </c>
      <c r="PI85" s="164">
        <f>MAX(0,9-SUMPRODUCT($OM85:$OR85,$I$5:$N$5)+MIN(8,$OS85*2+$OT85*4,SUMPRODUCT($OM85:$OR85,$I$5:$N$5)-IF($NS85=0,0,INDEX($I$5:$N$5,1,$NS85))))</f>
        <v/>
      </c>
      <c r="PJ85" s="164">
        <f>MAX(0,11-SUMPRODUCT($OM85:$OR85,$I$6:$N$6)+MIN(10,$OS85*3+$OT85*5,SUMPRODUCT($OM85:$OR85,$I$6:$N$6)-IF($NS85=0,0,INDEX($I$6:$N$6,1,$NS85))))</f>
        <v/>
      </c>
      <c r="PK85" s="164">
        <f>MAX(0,13-SUMPRODUCT($OM85:$OR85,$I$7:$N$7)+MIN(12,$OS85*3+$OT85*6,SUMPRODUCT($OM85:$OR85,$I$7:$N$7)-IF($NS85=0,0,INDEX($I$7:$N$7,1,$NS85))))</f>
        <v/>
      </c>
      <c r="PL85" s="164">
        <f>MAX(0,16-SUMPRODUCT($OM85:$OR85,$I$8:$N$8)+MIN(14,$OS85*4+$OT85*7,SUMPRODUCT($OM85:$OR85,$I$8:$N$8)-IF($NS85=0,0,INDEX($I$8:$N$8,1,$NS85))))</f>
        <v/>
      </c>
      <c r="PM85" s="164">
        <f>IF($OG85=2,3*$PF85&amp;" de vida temp.",IF($OG85=3,"sem dano",IF($PF85=0,IF($OG85=1,"sem cura","sem dano"),IF($OG85=1,"cura ","")&amp;$PF85&amp;"d8")))</f>
        <v/>
      </c>
      <c r="PN85" s="164">
        <f>IF($OG85=2,3*$PG85&amp;" de vida temp.",IF($OG85=3,"sem dano",IF($PG85=0,IF($OG85=1,"sem cura","sem dano"),IF($OG85=1,"cura ","")&amp;$PG85&amp;"d8")))</f>
        <v/>
      </c>
      <c r="PO85" s="164">
        <f>IF($OG85=2,3*$PH85&amp;" de vida temp.",IF($OG85=3,"sem dano",IF($PH85=0,IF($OG85=1,"sem cura","sem dano"),IF($OG85=1,"cura ","")&amp;$PH85&amp;"d8")))</f>
        <v/>
      </c>
      <c r="PP85" s="164">
        <f>IF($OG85=2,3*$PI85&amp;" de vida temp.",IF($OG85=3,"sem dano",IF($PI85=0,IF($OG85=1,"sem cura","sem dano"),IF($OG85=1,"cura ","")&amp;$PI85&amp;"d8")))</f>
        <v/>
      </c>
      <c r="PQ85" s="164">
        <f>IF($OG85=2,3*$PJ85&amp;" de vida temp.",IF($OG85=3,"sem dano",IF($PJ85=0,IF($OG85=1,"sem cura","sem dano"),IF($OG85=1,"cura ","")&amp;$PJ85&amp;"d8")))</f>
        <v/>
      </c>
      <c r="PR85" s="164">
        <f>IF($OG85=2,3*$PK85&amp;" de vida temp.",IF($OG85=3,"sem dano",IF($PK85=0,IF($OG85=1,"sem cura","sem dano"),IF($OG85=1,"cura ","")&amp;$PK85&amp;"d8")))</f>
        <v/>
      </c>
      <c r="PS85" s="164">
        <f>IF($OG85=2,3*$PL85&amp;" de vida temp.",IF($OG85=3,"sem dano",IF($PL85=0,IF($OG85=1,"sem cura","sem dano"),IF($OG85=1,"cura ","")&amp;$PL85&amp;"d8")))</f>
        <v/>
      </c>
      <c r="PT85" s="164">
        <f>IF($ND85=0,"",TEXTJOIN(" · ",TRUE,IF($ND85=0,"",TEXTJOIN(" · ",TRUE,IF($ND85=0,"",TEXTJOIN(" · ",TRUE,IF($MQ85&gt;$NE85,"Este lugar abre no nível "&amp;$MQ85,""),IF($MS85&gt;$NF85,"Classe "&amp;$MS85&amp;": o nível "&amp;$NE85&amp;" libera até a "&amp;$NF85,""),IF($NX85=1,"A Forma "&amp;$MU85&amp;" pede "&amp;INDEX('DADOS_FORMAS'!$GA$2:$GA$21,$NJ85)&amp;" aberta",""),IF(AND($MS85=0,$NJ85&gt;0,IF($NJ85=0,0,INDEX('DADOS_FORMAS'!$GJ$2:$GJ$21,$NJ85))=0),$MU85&amp;" não existe na Classe 0",""),IF($NY85=1,"Família Fechada: "&amp;$MX85,""),IF($NZ85=1,"Família Fechada: "&amp;$MY85,""),IF($OA85=1,"Família Fechada: "&amp;$MZ85,""),IF($OB85=1,"Família Fechada: "&amp;$NA85,""),IF(AND($MS85&gt;0,$OU85&gt;INDEX($O$2:$O$8,MAX(1,$MS85))),$OU85&amp;" Melhorias: a Classe "&amp;$MS85&amp;" aceita "&amp;INDEX($O$2:$O$8,MAX(1,$MS85)),""),IF(AND($MS85=0,$OU85&gt;1),"A básica aceita uma Melhoria",""),IF(AND($MS85=0,COUNTIF($NO85:$NR85,"&gt;1")&gt;0),"A básica só aceita Melhoria Leve",""),IF(AND($MS85&gt;0,$OV85&gt;2),$OV85&amp;" Restrições"&amp;IF($OF85=1,", contando a que a Forma "&amp;$MU85&amp;" já traz","")&amp;": o limite é 2",""),IF(AND($MS85=0,COUNTIF($NB85:$NC85,"?*")&gt;1),"A básica aceita uma Restrição Leve",""),IF(AND($MS85=0,COUNTIF($OI85:$OJ85,2)&gt;0),"A básica só aceita Restrição Leve",""),IF(AND($MS85&gt;0,$PC85&lt;0),"Orçamento estourado: faltam "&amp;(-$PC85)&amp;IF($PC85&lt;-1," pontos"," ponto"),""),IF(IFERROR(VLOOKUP(SUBSTITUTE(SUBSTITUTE(SUBSTITUTE($NB85,"~","~~"),"*","~*"),"?","~?"),'DADOS_RESTRICOES'!$M$2:$Q$54,4,FALSE),0)+IFERROR(VLOOKUP(SUBSTITUTE(SUBSTITUTE(SUBSTITUTE($NC85,"~","~~"),"*","~*"),"?","~?"),'DADOS_RESTRICOES'!$M$2:$Q$54,4,FALSE),0)&gt;1,$OK85&amp;" e "&amp;$OL85&amp;" são as duas de frequência",""),IF(AND((COUNTIF($RK85:$RN85,"Rápido")+COUNTIF($OK85:$OL85,"Rápido"))&gt;0,(COUNTIF($MX85:$NA85,"Atrasar")+COUNTIF($OK85:$OL85,"Atrasar"))&gt;0),"Rápido não entra com Atrasar",""),IF(AND((COUNTIF($RK85:$RN85,"Reação")+COUNTIF($OK85:$OL85,"Reação"))&gt;0,(COUNTIF($RK85:$RN85,"Rápido")+COUNTIF($OK85:$OL85,"Rápido"))&gt;0),"Reação não entra com Rápido",""),IF(AND((COUNTIF($RK85:$RN85,"Reação")+COUNTIF($OK85:$OL85,"Reação"))&gt;0,(COUNTIF($RK85:$RN85,"Armado")+COUNTIF($OK85:$OL85,"Armado"))&gt;0),"Reação não entra com Armado",""),IF(AND((COUNTIF($RK85:$RN85,"Reação")+COUNTIF($OK85:$OL85,"Reação"))&gt;0,(COUNTIF($MX85:$NA85,"Atrasar")+COUNTIF($OK85:$OL85,"Atrasar"))&gt;0),"Reação não entra com Atrasar",""),IF(AND((COUNTIF($RK85:$RN85,"Reação")+COUNTIF($OK85:$OL85,"Reação"))&gt;0,(COUNTIF($MX85:$NA85,"Parado")+COUNTIF($OK85:$OL85,"Parado"))&gt;0),"Reação não entra com Parado",""),IF(AND((COUNTIF($MX85:$NA85,"Atrasar")+COUNTIF($OK85:$OL85,"Atrasar"))&gt;0,(COUNTIF($MX85:$NA85,"Parado")+COUNTIF($OK85:$OL85,"Parado"))&gt;0),"Atrasar não entra com Parado",""),IF(AND((COUNTIF($RK85:$RN85,"Armado")+COUNTIF($OK85:$OL85,"Armado"))&gt;0,(COUNTIF($MX85:$NA85,"Carregar")+COUNTIF($OK85:$OL85,"Carregar"))&gt;0),"Armado não entra com Carregar",""),IF(AND(COUNTIF($OK85:$OL85,"Corpo a Corpo")&gt;0,$OF85=0,OR($RO85="Cone",$RO85="Linha")),"Corpo a Corpo não entra em "&amp;$MU85,""),IF(AND(COUNTIF($OK85:$OL85,"Corpo a Corpo")&gt;0,$RP85="Corpo a Corpo"),"A Forma "&amp;$MU85&amp;" já traz o Corpo a Corpo",""),IF(AND(COUNTIF($OK85:$OL85,"Tudo ou Nada")&gt;0,$OH85=0),"Tudo ou Nada só entra em habilidade de Teste de Resistência",""),IF(AND(COUNTIF($RK85:$RN85,"Inescapável")&gt;0,OR($OU85&gt;1,$OV85&gt;0)),"Inescapável não aceita outra peça",""),IF(AND($MS85&gt;0,$PD85*IF(COUNTIF($RK85:$RN85,"Remate")&gt;0,1.25,1)+$PE85&gt;4*$MS85),($PD85*IF(COUNTIF($RK85:$RN85,"Remate")&gt;0,1.25,1)+$PE85)&amp;" dados somando repetições"&amp;IF(COUNTIF($RK85:$RN85,"Remate")&gt;0," e o Remate","")&amp;": o teto da Classe "&amp;$MS85&amp;" é "&amp;4*$MS85,""))),IF(AND($MX85&lt;&gt;"",COUNTIF('DADOS_MELHORIAS'!$O$2:$O$113,SUBSTITUTE(SUBSTITUTE(SUBSTITUTE($MX85,"~","~~"),"*","~*"),"?","~?"))=0),"Melhoria não cadastrada ou com erro: "&amp;$MX85,""),IF(AND($MY85&lt;&gt;"",COUNTIF('DADOS_MELHORIAS'!$O$2:$O$113,SUBSTITUTE(SUBSTITUTE(SUBSTITUTE($MY85,"~","~~"),"*","~*"),"?","~?"))=0),"Melhoria não cadastrada ou com erro: "&amp;$MY85,""),IF(AND($MZ85&lt;&gt;"",COUNTIF('DADOS_MELHORIAS'!$O$2:$O$113,SUBSTITUTE(SUBSTITUTE(SUBSTITUTE($MZ85,"~","~~"),"*","~*"),"?","~?"))=0),"Melhoria não cadastrada ou com erro: "&amp;$MZ85,""),IF(AND($NA85&lt;&gt;"",COUNTIF('DADOS_MELHORIAS'!$O$2:$O$113,SUBSTITUTE(SUBSTITUTE(SUBSTITUTE($NA85,"~","~~"),"*","~*"),"?","~?"))=0),"Melhoria não cadastrada ou com erro: "&amp;$NA85,""),IF(AND($NB85&lt;&gt;"",COUNTIF('DADOS_RESTRICOES'!$M$2:$M$54,SUBSTITUTE(SUBSTITUTE(SUBSTITUTE($NB85,"~","~~"),"*","~*"),"?","~?"))=0),"Restrição não cadastrada ou com erro: "&amp;$NB85,""),IF(AND($NC85&lt;&gt;"",COUNTIF('DADOS_RESTRICOES'!$M$2:$M$54,SUBSTITUTE(SUBSTITUTE(SUBSTITUTE($NC85,"~","~~"),"*","~*"),"?","~?"))=0),"Restrição não cadastrada ou com erro: "&amp;$NC85,""))),IF(AND($MU85&lt;&gt;"",COUNTIF('DADOS_FORMAS'!$AH$2:$AH$21,SUBSTITUTE(SUBSTITUTE(SUBSTITUTE($MU85,"~","~~"),"*","~*"),"?","~?"))=0),"Forma não cadastrada ou com erro: "&amp;$MU85,""),IF(AND(IFERROR(INDEX('DADOS_FORMAS'!$AS$2:$AS$21,MATCH(SUBSTITUTE(SUBSTITUTE(SUBSTITUTE($MU85,"~","~~"),"*","~*"),"?","~?"),'DADOS_FORMAS'!$AH$2:$AH$21,0)),"")&lt;&gt;"",OR(IFERROR(VLOOKUP(SUBSTITUTE(SUBSTITUTE(SUBSTITUTE(IFERROR(INDEX('DADOS_FORMAS'!$AS$2:$AS$21,MATCH(SUBSTITUTE(SUBSTITUTE(SUBSTITUTE($MU85,"~","~~"),"*","~*"),"?","~?"),'DADOS_FORMAS'!$AH$2:$AH$21,0)),""),"~","~~"),"*","~*"),"?","~?"),'DADOS_RESTRICOES'!$M$2:$Q$54,2,FALSE),"")=$OK85,IFERROR(VLOOKUP(SUBSTITUTE(SUBSTITUTE(SUBSTITUTE(IFERROR(INDEX('DADOS_FORMAS'!$AS$2:$AS$21,MATCH(SUBSTITUTE(SUBSTITUTE(SUBSTITUTE($MU85,"~","~~"),"*","~*"),"?","~?"),'DADOS_FORMAS'!$AH$2:$AH$21,0)),""),"~","~~"),"*","~*"),"?","~?"),'DADOS_RESTRICOES'!$M$2:$Q$54,2,FALSE),"")=$OL85)),"Restrição repetida, contando a embutida",""),IF(IF(IFERROR(INDEX('DADOS_FORMAS'!$AS$2:$AS$21,MATCH(SUBSTITUTE(SUBSTITUTE(SUBSTITUTE($MU85,"~","~~"),"*","~*"),"?","~?"),'DADOS_FORMAS'!$AH$2:$AH$21,0)),"")="",0,IFERROR(N(VLOOKUP(SUBSTITUTE(SUBSTITUTE(SUBSTITUTE(IFERROR(INDEX('DADOS_FORMAS'!$AS$2:$AS$21,MATCH(SUBSTITUTE(SUBSTITUTE(SUBSTITUTE($MU85,"~","~~"),"*","~*"),"?","~?"),'DADOS_FORMAS'!$AH$2:$AH$21,0)),""),"~","~~"),"*","~*"),"?","~?"),'DADOS_RESTRICOES'!$M$2:$Q$54,4,FALSE)=1),0))+IF($NB85="",0,IFERROR(N(VLOOKUP(SUBSTITUTE(SUBSTITUTE(SUBSTITUTE($NB85,"~","~~"),"*","~*"),"?","~?"),'DADOS_RESTRICOES'!$M$2:$Q$54,4,FALSE)=1),0))+IF($NC85="",0,IFERROR(N(VLOOKUP(SUBSTITUTE(SUBSTITUTE(SUBSTITUTE($NC85,"~","~~"),"*","~*"),"?","~?"),'DADOS_RESTRICOES'!$M$2:$Q$54,4,FALSE)=1),0))&gt;1,"Duas Restrições de frequência, contando a embutida",""),IF(AND(IFERROR(VLOOKUP(SUBSTITUTE(SUBSTITUTE(SUBSTITUTE(IFERROR(INDEX('DADOS_FORMAS'!$AS$2:$AS$21,MATCH(SUBSTITUTE(SUBSTITUTE(SUBSTITUTE($MU85,"~","~~"),"*","~*"),"?","~?"),'DADOS_FORMAS'!$AH$2:$AH$21,0)),""),"~","~~"),"*","~*"),"?","~?"),'DADOS_RESTRICOES'!$M$2:$Q$54,2,FALSE),"")="Tudo ou Nada",$OH85=0),"Tudo ou Nada exige TR",""),IF(AND(IFERROR(VLOOKUP(SUBSTITUTE(SUBSTITUTE(SUBSTITUTE(IFERROR(INDEX('DADOS_FORMAS'!$AS$2:$AS$21,MATCH(SUBSTITUTE(SUBSTITUTE(SUBSTITUTE($MU85,"~","~~"),"*","~*"),"?","~?"),'DADOS_FORMAS'!$AH$2:$AH$21,0)),""),"~","~~"),"*","~*"),"?","~?"),'DADOS_RESTRICOES'!$M$2:$Q$54,2,FALSE),"")="Corpo a Corpo",OR($RO85="Cone",$RO85="Linha")),"Corpo a Corpo não entra em Cone/Linha","")))</f>
        <v/>
      </c>
      <c r="PU85" s="164">
        <f>IF($PT85="",0,(LEN($PT85)-LEN(SUBSTITUTE($PT85," · ","")))/3+1)</f>
        <v/>
      </c>
      <c r="PV85" s="164">
        <f>IF($ND85=0,"",TEXTJOIN(" · ",TRUE,IF($OX85&gt;2*$MS85,"A devolução parou no teto de "&amp;2*$MS85,""),IF($PA85&gt;0,"Devolução perdida: "&amp;$PA85&amp;IF($PA85&gt;1," pontos"," ponto")&amp;" sem Melhoria para pagar",""),IF(AND($OC85&gt;0,AND($MS85&gt;0,$OG85=0),$PD85=0),"Controle sem dano: uma rodada a mais e CD +2",""),IF(AND($OC85&gt;0,AND($MS85&gt;0,$OG85=0),$PD85&gt;0,$PD85&lt;=$MS85),"Controle com saldo até a Classe: uma rodada a mais",""),IF(AND($MS85&gt;0,$OE85&lt;&gt;""),"Efeito de "&amp;$OE85&amp;" pela Classe "&amp;MAX(1,$MS85-1),"")))</f>
        <v/>
      </c>
      <c r="PW85" s="164">
        <f>IF($PV85="",0,(LEN($PV85)-LEN(SUBSTITUTE($PV85," · ","")))/3+1)</f>
        <v/>
      </c>
      <c r="PX85" s="164">
        <f>IF($ND85=0,IF($OU85+COUNTIF($NB85:$NC85,"?*")&gt;0,"Dê um nome",""),IF($PU85&gt;0,"⚠ "&amp;$PU85&amp;IF($PU85&gt;1," erros"," erro"),IF($PW85&gt;0,"! "&amp;$PW85&amp;IF($PW85&gt;1," avisos"," aviso"),"Na regra")))</f>
        <v/>
      </c>
      <c r="PY85" s="164">
        <f>IF($ND85=0,"",IF($PU85+$PW85=0,"Dentro das regras que a ficha confere",$PT85&amp;IF(AND($PU85&gt;0,$PW85&gt;0)," · ","")&amp;$PV85))</f>
        <v/>
      </c>
      <c r="PZ85" s="164">
        <f>IF($MQ85&gt;$NE85,$MR85&amp;" · ABRE NO NÍVEL "&amp;$MQ85,$MR85)</f>
        <v/>
      </c>
      <c r="QA85" s="164">
        <f>IF($ND85=0,"",IF($MS85=0,"Sem PE",3*$MS85&amp;" PE"))</f>
        <v/>
      </c>
      <c r="QB85" s="164">
        <f>IF($ND85=0,"",IF($MS85=0,"A atuação básica dela",IF(COUNTIF($RQ85:$RS85,"Atrasar")&gt;0,"Sua Ação Completa",IF(COUNTIF($RK85:$RN85,"Rápido")&gt;0,"Sua Bônus",IF(COUNTIF($RK85:$RN85,"Reação")&gt;0,"Sua Reação","Sua Padrão")))&amp;" + a básica dela"&amp;IF(COUNTIF($RK85:$RN85,"Reação")&gt;0," e a coletiva","")&amp;IF(COUNTIF($RQ85:$RS85,"Carregar")&gt;0," · em dois turnos","")))</f>
        <v/>
      </c>
      <c r="QC85" s="164">
        <f>IF($MW85&lt;&gt;"",$MW85,IF($NJ85=0,"",INDEX('DADOS_FORMAS'!$GE$2:$GE$21,$NJ85)))</f>
        <v/>
      </c>
      <c r="QD85" s="164">
        <f>IF(OR($ND85=0,$NJ85=0),"",IF(COUNTIF($RK85:$RN85,"Inescapável")&gt;0,"Automático",IF($QC85="Ataque",IF($NH85="","Ataque","Ataque "&amp;IF(($NH85+2*IF(COUNTIF($RK85:$RN85,"Precisão")&gt;0,1,0))&gt;=0,"+","−")&amp;ABS(($NH85+2*IF(COUNTIF($RK85:$RN85,"Precisão")&gt;0,1,0))))&amp;IF($OD85&gt;0," · TR"&amp;IF($NI85="",""," CD "&amp;$NI85),""),IF(LEFT($QC85,2)="TR",$QC85&amp;IF($NI85="",""," · CD "&amp;$NI85)&amp;IF(COUNTIF($RK85:$RN85,"Certeiro")&gt;0," · metade",""),"Sem rolagem"))))</f>
        <v/>
      </c>
      <c r="QE85" s="164">
        <f>IF(OR($ND85=0,$NJ85=0),"",IF($MS85=0,IF(OR($OG85&gt;=1,$PD85=0),"Sem dano",$PD85&amp;"d6"&amp;IF($MV85="",""," "&amp;$MV85)),IF(OR($OG85&gt;=1,$PD85=0),UPPER(LEFT(INDEX($PM85:$PS85,1,MAX(1,$MS85)),1))&amp;MID(INDEX($PM85:$PS85,1,MAX(1,$MS85)),2,99),UPPER(LEFT(INDEX($PM85:$PS85,1,MAX(1,$MS85)),1))&amp;MID(INDEX($PM85:$PS85,1,MAX(1,$MS85)),2,99)&amp;IF($MV85="",""," "&amp;$MV85)&amp;IF($PE85&gt;0," · +"&amp;$PE85&amp;"d8",""))))</f>
        <v/>
      </c>
      <c r="QF85" s="164">
        <f>COUNTIF($RK85:$RN85,"Longe")+3*COUNTIF($RK85:$RN85,"Muito Longe")</f>
        <v/>
      </c>
      <c r="QG85" s="164">
        <f>COUNTIF($RK85:$RN85,"Maior")+3*COUNTIF($RK85:$RN85,"Muito Maior")</f>
        <v/>
      </c>
      <c r="QH85" s="164">
        <f>IF($NJ85=0,0,CHOOSE(1+INDEX('DADOS_FORMAS'!$GG$2:$GG$21,$NJ85),0,$QF85,$QG85,$QF85+$QG85))</f>
        <v/>
      </c>
      <c r="QI85" s="164">
        <f>IF($NJ85=0,0,CHOOSE(1+INDEX('DADOS_FORMAS'!$GH$2:$GH$21,$NJ85),0,$QF85,$QG85,$QF85+$QG85))</f>
        <v/>
      </c>
      <c r="QJ85" s="164">
        <f>IF(OR($ND85=0,$NJ85=0),"",INDEX('DADOS_FORMAS'!$HU$2:$HZ$81,($NJ85-1)*4+IF($MS85=0,1,IF($MS85&lt;=5,2,IF($MS85=6,3,4))),1+MIN(5,$QH85))&amp;INDEX('DADOS_FORMAS'!$IA$2:$IF$81,($NJ85-1)*4+IF($MS85=0,1,IF($MS85&lt;=5,2,IF($MS85=6,3,4))),1+MIN(5,$QI85))&amp;IF(INDEX('DADOS_FORMAS'!$GI$2:$GI$21,$NJ85)=1,IF(COUNTIF($RK85:$RN85,"Mais Um")&gt;0," · +"&amp;COUNTIF($RK85:$RN85,"Mais Um")&amp;IF(COUNTIF($RK85:$RN85,"Mais Um")&gt;1," alvos"," alvo"),"")&amp;IF(COUNTIF($RK85:$RN85,"Rajada")&gt;0,IF($MS85=0," · 1 tiro"," · "&amp;(MAX(1,$MS85-1)+1)&amp;" tiros"),""),""))</f>
        <v/>
      </c>
      <c r="QK85" s="164">
        <f>IF($ND85=0,"",IF($MS85=0,$NG85&amp;"d6"&amp;IF($OU85&gt;0," − 1 = "&amp;$PD85&amp;"d6"," da básica do nível "&amp;$NE85),$PB85&amp;" − "&amp;$OW85&amp;" + "&amp;$OZ85&amp;" = "&amp;$PC85&amp;" · teto "&amp;4*$MS85&amp;"d8"&amp;IF($OF85=1," · a Forma devolve "&amp;$MS85,"")&amp;IF($PA85&gt;0," · perde "&amp;$PA85,"")))</f>
        <v/>
      </c>
      <c r="QL85" s="164">
        <f>IF($ND85=0,"",IF($MS85=0,"A básica não amplia: os dados dela sobem com o nível",IF($MS85&gt;=$NF85,"Já está na maior Classe que o nível liberou",TEXTJOIN(" · ",TRUE,IF(AND(2&gt;$MS85,2&lt;=$NF85),"2 → "&amp;$PN85&amp;", 6 PE",""),IF(AND(3&gt;$MS85,3&lt;=$NF85),"3 → "&amp;$PO85&amp;", 9 PE",""),IF(AND(4&gt;$MS85,4&lt;=$NF85),"4 → "&amp;$PP85&amp;", 12 PE",""),IF(AND(5&gt;$MS85,5&lt;=$NF85),"5 → "&amp;$PQ85&amp;", 15 PE",""),IF(AND(6&gt;$MS85,6&lt;=$NF85),"6 → "&amp;$PR85&amp;", 18 PE",""),IF(AND(7&gt;$MS85,7&lt;=$NF85),"7 → "&amp;$PS85&amp;", 21 PE","")))))</f>
        <v/>
      </c>
      <c r="QM85" s="164">
        <f>IF(OR($ND85=0,$NO85=0),"",IF($MS85=0,"−1 dado","−"&amp;INDEX($I$2:$N$8,MAX(1,$MS85),MAX(1,$NT85))&amp;" · "&amp;CHOOSE(MAX(1,$NT85),"Leve","Média","Pesada","Leve · Livre","Média · Livre","Pesada · Livre")))</f>
        <v/>
      </c>
      <c r="QN85" s="164">
        <f>IF(OR($ND85=0,$NP85=0),"",IF($MS85=0,"−1 dado","−"&amp;INDEX($I$2:$N$8,MAX(1,$MS85),MAX(1,$NU85))&amp;" · "&amp;CHOOSE(MAX(1,$NU85),"Leve","Média","Pesada","Leve · Livre","Média · Livre","Pesada · Livre")))</f>
        <v/>
      </c>
      <c r="QO85" s="164">
        <f>IF(OR($ND85=0,$NQ85=0),"",IF($MS85=0,"−1 dado","−"&amp;INDEX($I$2:$N$8,MAX(1,$MS85),MAX(1,$NV85))&amp;" · "&amp;CHOOSE(MAX(1,$NV85),"Leve","Média","Pesada","Leve · Livre","Média · Livre","Pesada · Livre")))</f>
        <v/>
      </c>
      <c r="QP85" s="164">
        <f>IF(OR($ND85=0,$NR85=0),"",IF($MS85=0,"−1 dado","−"&amp;INDEX($I$2:$N$8,MAX(1,$MS85),MAX(1,$NW85))&amp;" · "&amp;CHOOSE(MAX(1,$NW85),"Leve","Média","Pesada","Leve · Livre","Média · Livre","Pesada · Livre")))</f>
        <v/>
      </c>
      <c r="QQ85" s="164">
        <f>IF(OR($ND85=0,$NB85=""),"",IF($MS85=0,"não devolve","+"&amp;IF($OI85=1,CEILING($MS85/2,1),$MS85)))</f>
        <v/>
      </c>
      <c r="QR85" s="164">
        <f>IF(OR($ND85=0,$NC85=""),"",IF($MS85=0,"não devolve","+"&amp;IF($OJ85=1,CEILING($MS85/2,1),$MS85)))</f>
        <v/>
      </c>
      <c r="RK85">
        <f>IF($MX85="","",IFERROR(VLOOKUP(SUBSTITUTE(SUBSTITUTE(SUBSTITUTE($MX85,"~","~~"),"*","~*"),"?","~?"),'DADOS_MELHORIAS'!$O$2:$X$113,10,FALSE),$MX85))</f>
        <v/>
      </c>
      <c r="RL85">
        <f>IF($MY85="","",IFERROR(VLOOKUP(SUBSTITUTE(SUBSTITUTE(SUBSTITUTE($MY85,"~","~~"),"*","~*"),"?","~?"),'DADOS_MELHORIAS'!$O$2:$X$113,10,FALSE),$MY85))</f>
        <v/>
      </c>
      <c r="RM85">
        <f>IF($MZ85="","",IFERROR(VLOOKUP(SUBSTITUTE(SUBSTITUTE(SUBSTITUTE($MZ85,"~","~~"),"*","~*"),"?","~?"),'DADOS_MELHORIAS'!$O$2:$X$113,10,FALSE),$MZ85))</f>
        <v/>
      </c>
      <c r="RN85">
        <f>IF($NA85="","",IFERROR(VLOOKUP(SUBSTITUTE(SUBSTITUTE(SUBSTITUTE($NA85,"~","~~"),"*","~*"),"?","~?"),'DADOS_MELHORIAS'!$O$2:$X$113,10,FALSE),$NA85))</f>
        <v/>
      </c>
      <c r="RO85">
        <f>IFERROR(INDEX('DADOS_FORMAS'!$BJ$2:$BJ$21,MATCH(SUBSTITUTE(SUBSTITUTE(SUBSTITUTE($MU85,"~","~~"),"*","~*"),"?","~?"),'DADOS_FORMAS'!$AH$2:$AH$21,0)),"")</f>
        <v/>
      </c>
      <c r="RP85">
        <f>IFERROR(VLOOKUP(SUBSTITUTE(SUBSTITUTE(SUBSTITUTE(IFERROR(INDEX('DADOS_FORMAS'!$AS$2:$AS$21,MATCH(SUBSTITUTE(SUBSTITUTE(SUBSTITUTE($MU85,"~","~~"),"*","~*"),"?","~?"),'DADOS_FORMAS'!$AH$2:$AH$21,0)),""),"~","~~"),"*","~*"),"?","~?"),'DADOS_RESTRICOES'!$M$2:$Q$54,2,FALSE),"")</f>
        <v/>
      </c>
      <c r="RQ85">
        <f>$OK85</f>
        <v/>
      </c>
      <c r="RR85">
        <f>$OL85</f>
        <v/>
      </c>
      <c r="RS85">
        <f>$RP85</f>
        <v/>
      </c>
    </row>
    <row r="86">
      <c r="MN86" s="162" t="inlineStr">
        <is>
          <t>Ficha 7 · Especial 5</t>
        </is>
      </c>
      <c r="MO86" s="164" t="n">
        <v>7</v>
      </c>
      <c r="MP86" s="164" t="n">
        <v>1</v>
      </c>
      <c r="MQ86" s="164" t="n">
        <v>16</v>
      </c>
      <c r="MR86" s="162" t="inlineStr">
        <is>
          <t>ESPECIAL 5</t>
        </is>
      </c>
      <c r="MS86" s="164">
        <f>MAX(1,MIN(7,N('INVOCAÇÕES'!$AB$127)))</f>
        <v/>
      </c>
      <c r="MT86" s="164">
        <f>'INVOCAÇÕES'!$AC$127&amp;""</f>
        <v/>
      </c>
      <c r="MU86" s="164">
        <f>'INVOCAÇÕES'!$AB$132&amp;""</f>
        <v/>
      </c>
      <c r="MV86" s="164">
        <f>'INVOCAÇÕES'!$AB$133&amp;""</f>
        <v/>
      </c>
      <c r="MW86" s="164">
        <f>'INVOCAÇÕES'!$AD$133&amp;""</f>
        <v/>
      </c>
      <c r="MX86" s="164">
        <f>'INVOCAÇÕES'!$AC$136&amp;""</f>
        <v/>
      </c>
      <c r="MY86" s="164">
        <f>'INVOCAÇÕES'!$AC$137&amp;""</f>
        <v/>
      </c>
      <c r="MZ86" s="164">
        <f>'INVOCAÇÕES'!$AC$138&amp;""</f>
        <v/>
      </c>
      <c r="NA86" s="164">
        <f>'INVOCAÇÕES'!$AC$139&amp;""</f>
        <v/>
      </c>
      <c r="NB86" s="164">
        <f>'INVOCAÇÕES'!$AC$140&amp;""</f>
        <v/>
      </c>
      <c r="NC86" s="164">
        <f>'INVOCAÇÕES'!$AC$141&amp;""</f>
        <v/>
      </c>
      <c r="ND86" s="164">
        <f>IF($MT86&lt;&gt;"",1,0)</f>
        <v/>
      </c>
      <c r="NE86" s="164">
        <f>INDEX($FO$2:$FO$13,$MO86)</f>
        <v/>
      </c>
      <c r="NF86" s="164">
        <f>INDEX($FP$2:$FP$13,$MO86)</f>
        <v/>
      </c>
      <c r="NG86" s="164">
        <f>INDEX($FQ$2:$FQ$13,$MO86)</f>
        <v/>
      </c>
      <c r="NH86" s="164">
        <f>INDEX($GB$2:$GB$13,$MO86)</f>
        <v/>
      </c>
      <c r="NI86" s="164">
        <f>INDEX($GC$2:$GC$13,$MO86)</f>
        <v/>
      </c>
      <c r="NJ86" s="164">
        <f>IFERROR(MATCH(SUBSTITUTE(SUBSTITUTE(SUBSTITUTE($MU86,"~","~~"),"*","~*"),"?","~?"),'DADOS_FORMAS'!$FZ$2:$FZ$21,0),0)</f>
        <v/>
      </c>
      <c r="NK86" s="164">
        <f>IFERROR(VLOOKUP(SUBSTITUTE(SUBSTITUTE(SUBSTITUTE($MX86,"~","~~"),"*","~*"),"?","~?"),'DADOS_MELHORIAS'!$AG$2:$AL$113,2,FALSE),"")</f>
        <v/>
      </c>
      <c r="NL86" s="164">
        <f>IFERROR(VLOOKUP(SUBSTITUTE(SUBSTITUTE(SUBSTITUTE($MY86,"~","~~"),"*","~*"),"?","~?"),'DADOS_MELHORIAS'!$AG$2:$AL$113,2,FALSE),"")</f>
        <v/>
      </c>
      <c r="NM86" s="164">
        <f>IFERROR(VLOOKUP(SUBSTITUTE(SUBSTITUTE(SUBSTITUTE($MZ86,"~","~~"),"*","~*"),"?","~?"),'DADOS_MELHORIAS'!$AG$2:$AL$113,2,FALSE),"")</f>
        <v/>
      </c>
      <c r="NN86" s="164">
        <f>IFERROR(VLOOKUP(SUBSTITUTE(SUBSTITUTE(SUBSTITUTE($NA86,"~","~~"),"*","~*"),"?","~?"),'DADOS_MELHORIAS'!$AG$2:$AL$113,2,FALSE),"")</f>
        <v/>
      </c>
      <c r="NO86" s="164">
        <f>IFERROR(VLOOKUP(SUBSTITUTE(SUBSTITUTE(SUBSTITUTE($MX86,"~","~~"),"*","~*"),"?","~?"),'DADOS_MELHORIAS'!$AG$2:$AL$113,3,FALSE),0)</f>
        <v/>
      </c>
      <c r="NP86" s="164">
        <f>IFERROR(VLOOKUP(SUBSTITUTE(SUBSTITUTE(SUBSTITUTE($MY86,"~","~~"),"*","~*"),"?","~?"),'DADOS_MELHORIAS'!$AG$2:$AL$113,3,FALSE),0)</f>
        <v/>
      </c>
      <c r="NQ86" s="164">
        <f>IFERROR(VLOOKUP(SUBSTITUTE(SUBSTITUTE(SUBSTITUTE($MZ86,"~","~~"),"*","~*"),"?","~?"),'DADOS_MELHORIAS'!$AG$2:$AL$113,3,FALSE),0)</f>
        <v/>
      </c>
      <c r="NR86" s="164">
        <f>IFERROR(VLOOKUP(SUBSTITUTE(SUBSTITUTE(SUBSTITUTE($NA86,"~","~~"),"*","~*"),"?","~?"),'DADOS_MELHORIAS'!$AG$2:$AL$113,3,FALSE),0)</f>
        <v/>
      </c>
      <c r="NS86" s="164">
        <f>IF($MS86=0,0,IF($NJ86=0,0,INDEX('DADOS_FORMAS'!$GB$2:$GB$21,$NJ86)))</f>
        <v/>
      </c>
      <c r="NT86" s="164">
        <f>IF(OR($NO86=0,$MS86=0),0,$NO86+3*IF(AND($NK86&lt;&gt;"",COUNTIF(INDEX($RB$2:$RJ$13,$MO86,0),$NK86)&gt;0),1,0))</f>
        <v/>
      </c>
      <c r="NU86" s="164">
        <f>IF(OR($NP86=0,$MS86=0),0,$NP86+3*IF(AND($NL86&lt;&gt;"",COUNTIF(INDEX($RB$2:$RJ$13,$MO86,0),$NL86)&gt;0),1,0))</f>
        <v/>
      </c>
      <c r="NV86" s="164">
        <f>IF(OR($NQ86=0,$MS86=0),0,$NQ86+3*IF(AND($NM86&lt;&gt;"",COUNTIF(INDEX($RB$2:$RJ$13,$MO86,0),$NM86)&gt;0),1,0))</f>
        <v/>
      </c>
      <c r="NW86" s="164">
        <f>IF(OR($NR86=0,$MS86=0),0,$NR86+3*IF(AND($NN86&lt;&gt;"",COUNTIF(INDEX($RB$2:$RJ$13,$MO86,0),$NN86)&gt;0),1,0))</f>
        <v/>
      </c>
      <c r="NX86" s="164">
        <f>IF($NJ86=0,0,IF(INDEX('DADOS_FORMAS'!$GA$2:$GA$21,$NJ86)="",0,IF((COUNTIF(INDEX($EL$2:$EP$13,$MO86,0),INDEX('DADOS_FORMAS'!$GA$2:$GA$21,$NJ86))+COUNTIF(INDEX($QV$2:$QY$13,$MO86,0),INDEX('DADOS_FORMAS'!$GA$2:$GA$21,$NJ86)))=0,1,0)))</f>
        <v/>
      </c>
      <c r="NY86" s="164">
        <f>IF(OR($NO86=0,$NK86=""),0,IF((COUNTIF(INDEX($EL$2:$EP$13,$MO86,0),$NK86)+COUNTIF(INDEX($QV$2:$QY$13,$MO86,0),$NK86))=0,1,0))</f>
        <v/>
      </c>
      <c r="NZ86" s="164">
        <f>IF(OR($NP86=0,$NL86=""),0,IF((COUNTIF(INDEX($EL$2:$EP$13,$MO86,0),$NL86)+COUNTIF(INDEX($QV$2:$QY$13,$MO86,0),$NL86))=0,1,0))</f>
        <v/>
      </c>
      <c r="OA86" s="164">
        <f>IF(OR($NQ86=0,$NM86=""),0,IF((COUNTIF(INDEX($EL$2:$EP$13,$MO86,0),$NM86)+COUNTIF(INDEX($QV$2:$QY$13,$MO86,0),$NM86))=0,1,0))</f>
        <v/>
      </c>
      <c r="OB86" s="164">
        <f>IF(OR($NR86=0,$NN86=""),0,IF((COUNTIF(INDEX($EL$2:$EP$13,$MO86,0),$NN86)+COUNTIF(INDEX($QV$2:$QY$13,$MO86,0),$NN86))=0,1,0))</f>
        <v/>
      </c>
      <c r="OC86" s="164">
        <f>IFERROR(VLOOKUP(SUBSTITUTE(SUBSTITUTE(SUBSTITUTE($MX86,"~","~~"),"*","~*"),"?","~?"),'DADOS_MELHORIAS'!$AG$2:$AL$113,4,FALSE),0)+IFERROR(VLOOKUP(SUBSTITUTE(SUBSTITUTE(SUBSTITUTE($MY86,"~","~~"),"*","~*"),"?","~?"),'DADOS_MELHORIAS'!$AG$2:$AL$113,4,FALSE),0)+IFERROR(VLOOKUP(SUBSTITUTE(SUBSTITUTE(SUBSTITUTE($MZ86,"~","~~"),"*","~*"),"?","~?"),'DADOS_MELHORIAS'!$AG$2:$AL$113,4,FALSE),0)+IFERROR(VLOOKUP(SUBSTITUTE(SUBSTITUTE(SUBSTITUTE($NA86,"~","~~"),"*","~*"),"?","~?"),'DADOS_MELHORIAS'!$AG$2:$AL$113,4,FALSE),0)</f>
        <v/>
      </c>
      <c r="OD86" s="164">
        <f>IFERROR(VLOOKUP(SUBSTITUTE(SUBSTITUTE(SUBSTITUTE($MX86,"~","~~"),"*","~*"),"?","~?"),'DADOS_MELHORIAS'!$AG$2:$AL$113,6,FALSE),0)+IFERROR(VLOOKUP(SUBSTITUTE(SUBSTITUTE(SUBSTITUTE($MY86,"~","~~"),"*","~*"),"?","~?"),'DADOS_MELHORIAS'!$AG$2:$AL$113,6,FALSE),0)+IFERROR(VLOOKUP(SUBSTITUTE(SUBSTITUTE(SUBSTITUTE($MZ86,"~","~~"),"*","~*"),"?","~?"),'DADOS_MELHORIAS'!$AG$2:$AL$113,6,FALSE),0)+IFERROR(VLOOKUP(SUBSTITUTE(SUBSTITUTE(SUBSTITUTE($NA86,"~","~~"),"*","~*"),"?","~?"),'DADOS_MELHORIAS'!$AG$2:$AL$113,6,FALSE),0)+IFERROR(N(AND(INDEX('DADOS_FORMAS'!$AO$2:$AO$21,MATCH(SUBSTITUTE(SUBSTITUTE(SUBSTITUTE($MU86,"~","~~"),"*","~*"),"?","~?"),'DADOS_FORMAS'!$AH$2:$AH$21,0))="Acerto",$OH86=1)),0)</f>
        <v/>
      </c>
      <c r="OE86" s="164">
        <f>TEXTJOIN(", ",TRUE,IF(IFERROR(VLOOKUP(SUBSTITUTE(SUBSTITUTE(SUBSTITUTE($MX86,"~","~~"),"*","~*"),"?","~?"),'DADOS_MELHORIAS'!$AG$2:$AL$113,5,FALSE),0)=1,$MX86,""),IF(IFERROR(VLOOKUP(SUBSTITUTE(SUBSTITUTE(SUBSTITUTE($MY86,"~","~~"),"*","~*"),"?","~?"),'DADOS_MELHORIAS'!$AG$2:$AL$113,5,FALSE),0)=1,$MY86,""),IF(IFERROR(VLOOKUP(SUBSTITUTE(SUBSTITUTE(SUBSTITUTE($MZ86,"~","~~"),"*","~*"),"?","~?"),'DADOS_MELHORIAS'!$AG$2:$AL$113,5,FALSE),0)=1,$MZ86,""),IF(IFERROR(VLOOKUP(SUBSTITUTE(SUBSTITUTE(SUBSTITUTE($NA86,"~","~~"),"*","~*"),"?","~?"),'DADOS_MELHORIAS'!$AG$2:$AL$113,5,FALSE),0)=1,$NA86,""))</f>
        <v/>
      </c>
      <c r="OF86" s="164">
        <f>IF($NJ86=0,0,INDEX('DADOS_FORMAS'!$GC$2:$GC$21,$NJ86))</f>
        <v/>
      </c>
      <c r="OG86" s="164">
        <f>IF($NJ86=0,0,INDEX('DADOS_FORMAS'!$GD$2:$GD$21,$NJ86))</f>
        <v/>
      </c>
      <c r="OH86" s="164">
        <f>IF($NJ86=0,0,INDEX('DADOS_FORMAS'!$GF$2:$GF$21,$NJ86))</f>
        <v/>
      </c>
      <c r="OI86" s="164">
        <f>IFERROR(VLOOKUP(SUBSTITUTE(SUBSTITUTE(SUBSTITUTE($NB86,"~","~~"),"*","~*"),"?","~?"),'DADOS_RESTRICOES'!$M$2:$Q$54,3,FALSE),0)</f>
        <v/>
      </c>
      <c r="OJ86" s="164">
        <f>IFERROR(VLOOKUP(SUBSTITUTE(SUBSTITUTE(SUBSTITUTE($NC86,"~","~~"),"*","~*"),"?","~?"),'DADOS_RESTRICOES'!$M$2:$Q$54,3,FALSE),0)</f>
        <v/>
      </c>
      <c r="OK86" s="164">
        <f>IFERROR(VLOOKUP(SUBSTITUTE(SUBSTITUTE(SUBSTITUTE($NB86,"~","~~"),"*","~*"),"?","~?"),'DADOS_RESTRICOES'!$M$2:$Q$54,2,FALSE),"")</f>
        <v/>
      </c>
      <c r="OL86" s="164">
        <f>IFERROR(VLOOKUP(SUBSTITUTE(SUBSTITUTE(SUBSTITUTE($NC86,"~","~~"),"*","~*"),"?","~?"),'DADOS_RESTRICOES'!$M$2:$Q$54,2,FALSE),"")</f>
        <v/>
      </c>
      <c r="OM86" s="164">
        <f>COUNTIF($NS86:$NW86,1)</f>
        <v/>
      </c>
      <c r="ON86" s="164">
        <f>COUNTIF($NS86:$NW86,2)</f>
        <v/>
      </c>
      <c r="OO86" s="164">
        <f>COUNTIF($NS86:$NW86,3)</f>
        <v/>
      </c>
      <c r="OP86" s="164">
        <f>COUNTIF($NS86:$NW86,4)</f>
        <v/>
      </c>
      <c r="OQ86" s="164">
        <f>COUNTIF($NS86:$NW86,5)</f>
        <v/>
      </c>
      <c r="OR86" s="164">
        <f>COUNTIF($NS86:$NW86,6)</f>
        <v/>
      </c>
      <c r="OS86" s="164">
        <f>COUNTIF($OI86:$OJ86,1)+IF(IFERROR(INDEX('DADOS_FORMAS'!$AS$2:$AS$21,MATCH(SUBSTITUTE(SUBSTITUTE(SUBSTITUTE($MU86,"~","~~"),"*","~*"),"?","~?"),'DADOS_FORMAS'!$AH$2:$AH$21,0)),"")="",0,IFERROR(N(VLOOKUP(SUBSTITUTE(SUBSTITUTE(SUBSTITUTE(IFERROR(INDEX('DADOS_FORMAS'!$AS$2:$AS$21,MATCH(SUBSTITUTE(SUBSTITUTE(SUBSTITUTE($MU86,"~","~~"),"*","~*"),"?","~?"),'DADOS_FORMAS'!$AH$2:$AH$21,0)),""),"~","~~"),"*","~*"),"?","~?"),'DADOS_RESTRICOES'!$M$2:$Q$54,3,FALSE)=1),0))</f>
        <v/>
      </c>
      <c r="OT86" s="164">
        <f>COUNTIF($OI86:$OJ86,2)+IF(IFERROR(INDEX('DADOS_FORMAS'!$AS$2:$AS$21,MATCH(SUBSTITUTE(SUBSTITUTE(SUBSTITUTE($MU86,"~","~~"),"*","~*"),"?","~?"),'DADOS_FORMAS'!$AH$2:$AH$21,0)),"")="",0,IFERROR(N(VLOOKUP(SUBSTITUTE(SUBSTITUTE(SUBSTITUTE(IFERROR(INDEX('DADOS_FORMAS'!$AS$2:$AS$21,MATCH(SUBSTITUTE(SUBSTITUTE(SUBSTITUTE($MU86,"~","~~"),"*","~*"),"?","~?"),'DADOS_FORMAS'!$AH$2:$AH$21,0)),""),"~","~~"),"*","~*"),"?","~?"),'DADOS_RESTRICOES'!$M$2:$Q$54,3,FALSE)=2),0))</f>
        <v/>
      </c>
      <c r="OU86" s="164">
        <f>COUNTIF($MX86:$NA86,"?*")</f>
        <v/>
      </c>
      <c r="OV86" s="164">
        <f>COUNTIF($NB86:$NC86,"?*")+$OF86</f>
        <v/>
      </c>
      <c r="OW86" s="164">
        <f>IF($MS86=0,0,SUMPRODUCT($OM86:$OR86,INDEX($I$2:$N$8,MAX(1,$MS86),0)))</f>
        <v/>
      </c>
      <c r="OX86" s="164">
        <f>IF($MS86=0,0,$OS86*CEILING($MS86/2,1)+$OT86*$MS86)</f>
        <v/>
      </c>
      <c r="OY86" s="164">
        <f>MIN(2*$MS86,$OX86)</f>
        <v/>
      </c>
      <c r="OZ86" s="164">
        <f>MIN($OY86,$OW86-IF($NS86=0,0,INDEX($I$2:$N$8,MAX(1,$MS86),$NS86)))</f>
        <v/>
      </c>
      <c r="PA86" s="164">
        <f>$OY86-$OZ86</f>
        <v/>
      </c>
      <c r="PB86" s="164">
        <f>IF($MS86=0,0,INDEX($P$2:$P$8,MAX(1,$MS86)))</f>
        <v/>
      </c>
      <c r="PC86" s="164">
        <f>$PB86-$OW86+$OZ86</f>
        <v/>
      </c>
      <c r="PD86" s="164">
        <f>IF($MS86=0,MAX(0,$NG86-IF(AND($OU86&gt;0,COUNTIF($NB86:$NC86,"?*")=0),1,0)),MAX(0,$PC86))</f>
        <v/>
      </c>
      <c r="PE86" s="164">
        <f>IF($MS86=0,0,(IF(COUNTIF($RK86:$RN86,"Salto")&gt;0,1,0)+IF(COUNTIF($RK86:$RN86,"Queima")&gt;0,1,0)+IF(COUNTIF($RK86:$RN86,"Estilhaço")&gt;0,1,0))*FLOOR($PD86/2,1))</f>
        <v/>
      </c>
      <c r="PF86" s="164">
        <f>MAX(0,2-SUMPRODUCT($OM86:$OR86,$I$2:$N$2)+MIN(2,$OS86*1+$OT86*1,SUMPRODUCT($OM86:$OR86,$I$2:$N$2)-IF($NS86=0,0,INDEX($I$2:$N$2,1,$NS86))))</f>
        <v/>
      </c>
      <c r="PG86" s="164">
        <f>MAX(0,4-SUMPRODUCT($OM86:$OR86,$I$3:$N$3)+MIN(4,$OS86*1+$OT86*2,SUMPRODUCT($OM86:$OR86,$I$3:$N$3)-IF($NS86=0,0,INDEX($I$3:$N$3,1,$NS86))))</f>
        <v/>
      </c>
      <c r="PH86" s="164">
        <f>MAX(0,6-SUMPRODUCT($OM86:$OR86,$I$4:$N$4)+MIN(6,$OS86*2+$OT86*3,SUMPRODUCT($OM86:$OR86,$I$4:$N$4)-IF($NS86=0,0,INDEX($I$4:$N$4,1,$NS86))))</f>
        <v/>
      </c>
      <c r="PI86" s="164">
        <f>MAX(0,9-SUMPRODUCT($OM86:$OR86,$I$5:$N$5)+MIN(8,$OS86*2+$OT86*4,SUMPRODUCT($OM86:$OR86,$I$5:$N$5)-IF($NS86=0,0,INDEX($I$5:$N$5,1,$NS86))))</f>
        <v/>
      </c>
      <c r="PJ86" s="164">
        <f>MAX(0,11-SUMPRODUCT($OM86:$OR86,$I$6:$N$6)+MIN(10,$OS86*3+$OT86*5,SUMPRODUCT($OM86:$OR86,$I$6:$N$6)-IF($NS86=0,0,INDEX($I$6:$N$6,1,$NS86))))</f>
        <v/>
      </c>
      <c r="PK86" s="164">
        <f>MAX(0,13-SUMPRODUCT($OM86:$OR86,$I$7:$N$7)+MIN(12,$OS86*3+$OT86*6,SUMPRODUCT($OM86:$OR86,$I$7:$N$7)-IF($NS86=0,0,INDEX($I$7:$N$7,1,$NS86))))</f>
        <v/>
      </c>
      <c r="PL86" s="164">
        <f>MAX(0,16-SUMPRODUCT($OM86:$OR86,$I$8:$N$8)+MIN(14,$OS86*4+$OT86*7,SUMPRODUCT($OM86:$OR86,$I$8:$N$8)-IF($NS86=0,0,INDEX($I$8:$N$8,1,$NS86))))</f>
        <v/>
      </c>
      <c r="PM86" s="164">
        <f>IF($OG86=2,3*$PF86&amp;" de vida temp.",IF($OG86=3,"sem dano",IF($PF86=0,IF($OG86=1,"sem cura","sem dano"),IF($OG86=1,"cura ","")&amp;$PF86&amp;"d8")))</f>
        <v/>
      </c>
      <c r="PN86" s="164">
        <f>IF($OG86=2,3*$PG86&amp;" de vida temp.",IF($OG86=3,"sem dano",IF($PG86=0,IF($OG86=1,"sem cura","sem dano"),IF($OG86=1,"cura ","")&amp;$PG86&amp;"d8")))</f>
        <v/>
      </c>
      <c r="PO86" s="164">
        <f>IF($OG86=2,3*$PH86&amp;" de vida temp.",IF($OG86=3,"sem dano",IF($PH86=0,IF($OG86=1,"sem cura","sem dano"),IF($OG86=1,"cura ","")&amp;$PH86&amp;"d8")))</f>
        <v/>
      </c>
      <c r="PP86" s="164">
        <f>IF($OG86=2,3*$PI86&amp;" de vida temp.",IF($OG86=3,"sem dano",IF($PI86=0,IF($OG86=1,"sem cura","sem dano"),IF($OG86=1,"cura ","")&amp;$PI86&amp;"d8")))</f>
        <v/>
      </c>
      <c r="PQ86" s="164">
        <f>IF($OG86=2,3*$PJ86&amp;" de vida temp.",IF($OG86=3,"sem dano",IF($PJ86=0,IF($OG86=1,"sem cura","sem dano"),IF($OG86=1,"cura ","")&amp;$PJ86&amp;"d8")))</f>
        <v/>
      </c>
      <c r="PR86" s="164">
        <f>IF($OG86=2,3*$PK86&amp;" de vida temp.",IF($OG86=3,"sem dano",IF($PK86=0,IF($OG86=1,"sem cura","sem dano"),IF($OG86=1,"cura ","")&amp;$PK86&amp;"d8")))</f>
        <v/>
      </c>
      <c r="PS86" s="164">
        <f>IF($OG86=2,3*$PL86&amp;" de vida temp.",IF($OG86=3,"sem dano",IF($PL86=0,IF($OG86=1,"sem cura","sem dano"),IF($OG86=1,"cura ","")&amp;$PL86&amp;"d8")))</f>
        <v/>
      </c>
      <c r="PT86" s="164">
        <f>IF($ND86=0,"",TEXTJOIN(" · ",TRUE,IF($ND86=0,"",TEXTJOIN(" · ",TRUE,IF($ND86=0,"",TEXTJOIN(" · ",TRUE,IF($MQ86&gt;$NE86,"Este lugar abre no nível "&amp;$MQ86,""),IF($MS86&gt;$NF86,"Classe "&amp;$MS86&amp;": o nível "&amp;$NE86&amp;" libera até a "&amp;$NF86,""),IF($NX86=1,"A Forma "&amp;$MU86&amp;" pede "&amp;INDEX('DADOS_FORMAS'!$GA$2:$GA$21,$NJ86)&amp;" aberta",""),IF(AND($MS86=0,$NJ86&gt;0,IF($NJ86=0,0,INDEX('DADOS_FORMAS'!$GJ$2:$GJ$21,$NJ86))=0),$MU86&amp;" não existe na Classe 0",""),IF($NY86=1,"Família Fechada: "&amp;$MX86,""),IF($NZ86=1,"Família Fechada: "&amp;$MY86,""),IF($OA86=1,"Família Fechada: "&amp;$MZ86,""),IF($OB86=1,"Família Fechada: "&amp;$NA86,""),IF(AND($MS86&gt;0,$OU86&gt;INDEX($O$2:$O$8,MAX(1,$MS86))),$OU86&amp;" Melhorias: a Classe "&amp;$MS86&amp;" aceita "&amp;INDEX($O$2:$O$8,MAX(1,$MS86)),""),IF(AND($MS86=0,$OU86&gt;1),"A básica aceita uma Melhoria",""),IF(AND($MS86=0,COUNTIF($NO86:$NR86,"&gt;1")&gt;0),"A básica só aceita Melhoria Leve",""),IF(AND($MS86&gt;0,$OV86&gt;2),$OV86&amp;" Restrições"&amp;IF($OF86=1,", contando a que a Forma "&amp;$MU86&amp;" já traz","")&amp;": o limite é 2",""),IF(AND($MS86=0,COUNTIF($NB86:$NC86,"?*")&gt;1),"A básica aceita uma Restrição Leve",""),IF(AND($MS86=0,COUNTIF($OI86:$OJ86,2)&gt;0),"A básica só aceita Restrição Leve",""),IF(AND($MS86&gt;0,$PC86&lt;0),"Orçamento estourado: faltam "&amp;(-$PC86)&amp;IF($PC86&lt;-1," pontos"," ponto"),""),IF(IFERROR(VLOOKUP(SUBSTITUTE(SUBSTITUTE(SUBSTITUTE($NB86,"~","~~"),"*","~*"),"?","~?"),'DADOS_RESTRICOES'!$M$2:$Q$54,4,FALSE),0)+IFERROR(VLOOKUP(SUBSTITUTE(SUBSTITUTE(SUBSTITUTE($NC86,"~","~~"),"*","~*"),"?","~?"),'DADOS_RESTRICOES'!$M$2:$Q$54,4,FALSE),0)&gt;1,$OK86&amp;" e "&amp;$OL86&amp;" são as duas de frequência",""),IF(AND((COUNTIF($RK86:$RN86,"Rápido")+COUNTIF($OK86:$OL86,"Rápido"))&gt;0,(COUNTIF($MX86:$NA86,"Atrasar")+COUNTIF($OK86:$OL86,"Atrasar"))&gt;0),"Rápido não entra com Atrasar",""),IF(AND((COUNTIF($RK86:$RN86,"Reação")+COUNTIF($OK86:$OL86,"Reação"))&gt;0,(COUNTIF($RK86:$RN86,"Rápido")+COUNTIF($OK86:$OL86,"Rápido"))&gt;0),"Reação não entra com Rápido",""),IF(AND((COUNTIF($RK86:$RN86,"Reação")+COUNTIF($OK86:$OL86,"Reação"))&gt;0,(COUNTIF($RK86:$RN86,"Armado")+COUNTIF($OK86:$OL86,"Armado"))&gt;0),"Reação não entra com Armado",""),IF(AND((COUNTIF($RK86:$RN86,"Reação")+COUNTIF($OK86:$OL86,"Reação"))&gt;0,(COUNTIF($MX86:$NA86,"Atrasar")+COUNTIF($OK86:$OL86,"Atrasar"))&gt;0),"Reação não entra com Atrasar",""),IF(AND((COUNTIF($RK86:$RN86,"Reação")+COUNTIF($OK86:$OL86,"Reação"))&gt;0,(COUNTIF($MX86:$NA86,"Parado")+COUNTIF($OK86:$OL86,"Parado"))&gt;0),"Reação não entra com Parado",""),IF(AND((COUNTIF($MX86:$NA86,"Atrasar")+COUNTIF($OK86:$OL86,"Atrasar"))&gt;0,(COUNTIF($MX86:$NA86,"Parado")+COUNTIF($OK86:$OL86,"Parado"))&gt;0),"Atrasar não entra com Parado",""),IF(AND((COUNTIF($RK86:$RN86,"Armado")+COUNTIF($OK86:$OL86,"Armado"))&gt;0,(COUNTIF($MX86:$NA86,"Carregar")+COUNTIF($OK86:$OL86,"Carregar"))&gt;0),"Armado não entra com Carregar",""),IF(AND(COUNTIF($OK86:$OL86,"Corpo a Corpo")&gt;0,$OF86=0,OR($RO86="Cone",$RO86="Linha")),"Corpo a Corpo não entra em "&amp;$MU86,""),IF(AND(COUNTIF($OK86:$OL86,"Corpo a Corpo")&gt;0,$RP86="Corpo a Corpo"),"A Forma "&amp;$MU86&amp;" já traz o Corpo a Corpo",""),IF(AND(COUNTIF($OK86:$OL86,"Tudo ou Nada")&gt;0,$OH86=0),"Tudo ou Nada só entra em habilidade de Teste de Resistência",""),IF(AND(COUNTIF($RK86:$RN86,"Inescapável")&gt;0,OR($OU86&gt;1,$OV86&gt;0)),"Inescapável não aceita outra peça",""),IF(AND($MS86&gt;0,$PD86*IF(COUNTIF($RK86:$RN86,"Remate")&gt;0,1.25,1)+$PE86&gt;4*$MS86),($PD86*IF(COUNTIF($RK86:$RN86,"Remate")&gt;0,1.25,1)+$PE86)&amp;" dados somando repetições"&amp;IF(COUNTIF($RK86:$RN86,"Remate")&gt;0," e o Remate","")&amp;": o teto da Classe "&amp;$MS86&amp;" é "&amp;4*$MS86,""))),IF(AND($MX86&lt;&gt;"",COUNTIF('DADOS_MELHORIAS'!$O$2:$O$113,SUBSTITUTE(SUBSTITUTE(SUBSTITUTE($MX86,"~","~~"),"*","~*"),"?","~?"))=0),"Melhoria não cadastrada ou com erro: "&amp;$MX86,""),IF(AND($MY86&lt;&gt;"",COUNTIF('DADOS_MELHORIAS'!$O$2:$O$113,SUBSTITUTE(SUBSTITUTE(SUBSTITUTE($MY86,"~","~~"),"*","~*"),"?","~?"))=0),"Melhoria não cadastrada ou com erro: "&amp;$MY86,""),IF(AND($MZ86&lt;&gt;"",COUNTIF('DADOS_MELHORIAS'!$O$2:$O$113,SUBSTITUTE(SUBSTITUTE(SUBSTITUTE($MZ86,"~","~~"),"*","~*"),"?","~?"))=0),"Melhoria não cadastrada ou com erro: "&amp;$MZ86,""),IF(AND($NA86&lt;&gt;"",COUNTIF('DADOS_MELHORIAS'!$O$2:$O$113,SUBSTITUTE(SUBSTITUTE(SUBSTITUTE($NA86,"~","~~"),"*","~*"),"?","~?"))=0),"Melhoria não cadastrada ou com erro: "&amp;$NA86,""),IF(AND($NB86&lt;&gt;"",COUNTIF('DADOS_RESTRICOES'!$M$2:$M$54,SUBSTITUTE(SUBSTITUTE(SUBSTITUTE($NB86,"~","~~"),"*","~*"),"?","~?"))=0),"Restrição não cadastrada ou com erro: "&amp;$NB86,""),IF(AND($NC86&lt;&gt;"",COUNTIF('DADOS_RESTRICOES'!$M$2:$M$54,SUBSTITUTE(SUBSTITUTE(SUBSTITUTE($NC86,"~","~~"),"*","~*"),"?","~?"))=0),"Restrição não cadastrada ou com erro: "&amp;$NC86,""))),IF(AND($MU86&lt;&gt;"",COUNTIF('DADOS_FORMAS'!$AH$2:$AH$21,SUBSTITUTE(SUBSTITUTE(SUBSTITUTE($MU86,"~","~~"),"*","~*"),"?","~?"))=0),"Forma não cadastrada ou com erro: "&amp;$MU86,""),IF(AND(IFERROR(INDEX('DADOS_FORMAS'!$AS$2:$AS$21,MATCH(SUBSTITUTE(SUBSTITUTE(SUBSTITUTE($MU86,"~","~~"),"*","~*"),"?","~?"),'DADOS_FORMAS'!$AH$2:$AH$21,0)),"")&lt;&gt;"",OR(IFERROR(VLOOKUP(SUBSTITUTE(SUBSTITUTE(SUBSTITUTE(IFERROR(INDEX('DADOS_FORMAS'!$AS$2:$AS$21,MATCH(SUBSTITUTE(SUBSTITUTE(SUBSTITUTE($MU86,"~","~~"),"*","~*"),"?","~?"),'DADOS_FORMAS'!$AH$2:$AH$21,0)),""),"~","~~"),"*","~*"),"?","~?"),'DADOS_RESTRICOES'!$M$2:$Q$54,2,FALSE),"")=$OK86,IFERROR(VLOOKUP(SUBSTITUTE(SUBSTITUTE(SUBSTITUTE(IFERROR(INDEX('DADOS_FORMAS'!$AS$2:$AS$21,MATCH(SUBSTITUTE(SUBSTITUTE(SUBSTITUTE($MU86,"~","~~"),"*","~*"),"?","~?"),'DADOS_FORMAS'!$AH$2:$AH$21,0)),""),"~","~~"),"*","~*"),"?","~?"),'DADOS_RESTRICOES'!$M$2:$Q$54,2,FALSE),"")=$OL86)),"Restrição repetida, contando a embutida",""),IF(IF(IFERROR(INDEX('DADOS_FORMAS'!$AS$2:$AS$21,MATCH(SUBSTITUTE(SUBSTITUTE(SUBSTITUTE($MU86,"~","~~"),"*","~*"),"?","~?"),'DADOS_FORMAS'!$AH$2:$AH$21,0)),"")="",0,IFERROR(N(VLOOKUP(SUBSTITUTE(SUBSTITUTE(SUBSTITUTE(IFERROR(INDEX('DADOS_FORMAS'!$AS$2:$AS$21,MATCH(SUBSTITUTE(SUBSTITUTE(SUBSTITUTE($MU86,"~","~~"),"*","~*"),"?","~?"),'DADOS_FORMAS'!$AH$2:$AH$21,0)),""),"~","~~"),"*","~*"),"?","~?"),'DADOS_RESTRICOES'!$M$2:$Q$54,4,FALSE)=1),0))+IF($NB86="",0,IFERROR(N(VLOOKUP(SUBSTITUTE(SUBSTITUTE(SUBSTITUTE($NB86,"~","~~"),"*","~*"),"?","~?"),'DADOS_RESTRICOES'!$M$2:$Q$54,4,FALSE)=1),0))+IF($NC86="",0,IFERROR(N(VLOOKUP(SUBSTITUTE(SUBSTITUTE(SUBSTITUTE($NC86,"~","~~"),"*","~*"),"?","~?"),'DADOS_RESTRICOES'!$M$2:$Q$54,4,FALSE)=1),0))&gt;1,"Duas Restrições de frequência, contando a embutida",""),IF(AND(IFERROR(VLOOKUP(SUBSTITUTE(SUBSTITUTE(SUBSTITUTE(IFERROR(INDEX('DADOS_FORMAS'!$AS$2:$AS$21,MATCH(SUBSTITUTE(SUBSTITUTE(SUBSTITUTE($MU86,"~","~~"),"*","~*"),"?","~?"),'DADOS_FORMAS'!$AH$2:$AH$21,0)),""),"~","~~"),"*","~*"),"?","~?"),'DADOS_RESTRICOES'!$M$2:$Q$54,2,FALSE),"")="Tudo ou Nada",$OH86=0),"Tudo ou Nada exige TR",""),IF(AND(IFERROR(VLOOKUP(SUBSTITUTE(SUBSTITUTE(SUBSTITUTE(IFERROR(INDEX('DADOS_FORMAS'!$AS$2:$AS$21,MATCH(SUBSTITUTE(SUBSTITUTE(SUBSTITUTE($MU86,"~","~~"),"*","~*"),"?","~?"),'DADOS_FORMAS'!$AH$2:$AH$21,0)),""),"~","~~"),"*","~*"),"?","~?"),'DADOS_RESTRICOES'!$M$2:$Q$54,2,FALSE),"")="Corpo a Corpo",OR($RO86="Cone",$RO86="Linha")),"Corpo a Corpo não entra em Cone/Linha","")))</f>
        <v/>
      </c>
      <c r="PU86" s="164">
        <f>IF($PT86="",0,(LEN($PT86)-LEN(SUBSTITUTE($PT86," · ","")))/3+1)</f>
        <v/>
      </c>
      <c r="PV86" s="164">
        <f>IF($ND86=0,"",TEXTJOIN(" · ",TRUE,IF($OX86&gt;2*$MS86,"A devolução parou no teto de "&amp;2*$MS86,""),IF($PA86&gt;0,"Devolução perdida: "&amp;$PA86&amp;IF($PA86&gt;1," pontos"," ponto")&amp;" sem Melhoria para pagar",""),IF(AND($OC86&gt;0,AND($MS86&gt;0,$OG86=0),$PD86=0),"Controle sem dano: uma rodada a mais e CD +2",""),IF(AND($OC86&gt;0,AND($MS86&gt;0,$OG86=0),$PD86&gt;0,$PD86&lt;=$MS86),"Controle com saldo até a Classe: uma rodada a mais",""),IF(AND($MS86&gt;0,$OE86&lt;&gt;""),"Efeito de "&amp;$OE86&amp;" pela Classe "&amp;MAX(1,$MS86-1),"")))</f>
        <v/>
      </c>
      <c r="PW86" s="164">
        <f>IF($PV86="",0,(LEN($PV86)-LEN(SUBSTITUTE($PV86," · ","")))/3+1)</f>
        <v/>
      </c>
      <c r="PX86" s="164">
        <f>IF($ND86=0,IF($OU86+COUNTIF($NB86:$NC86,"?*")&gt;0,"Dê um nome",""),IF($PU86&gt;0,"⚠ "&amp;$PU86&amp;IF($PU86&gt;1," erros"," erro"),IF($PW86&gt;0,"! "&amp;$PW86&amp;IF($PW86&gt;1," avisos"," aviso"),"Na regra")))</f>
        <v/>
      </c>
      <c r="PY86" s="164">
        <f>IF($ND86=0,"",IF($PU86+$PW86=0,"Dentro das regras que a ficha confere",$PT86&amp;IF(AND($PU86&gt;0,$PW86&gt;0)," · ","")&amp;$PV86))</f>
        <v/>
      </c>
      <c r="PZ86" s="164">
        <f>IF($MQ86&gt;$NE86,$MR86&amp;" · ABRE NO NÍVEL "&amp;$MQ86,$MR86)</f>
        <v/>
      </c>
      <c r="QA86" s="164">
        <f>IF($ND86=0,"",IF($MS86=0,"Sem PE",3*$MS86&amp;" PE"))</f>
        <v/>
      </c>
      <c r="QB86" s="164">
        <f>IF($ND86=0,"",IF($MS86=0,"A atuação básica dela",IF(COUNTIF($RQ86:$RS86,"Atrasar")&gt;0,"Sua Ação Completa",IF(COUNTIF($RK86:$RN86,"Rápido")&gt;0,"Sua Bônus",IF(COUNTIF($RK86:$RN86,"Reação")&gt;0,"Sua Reação","Sua Padrão")))&amp;" + a básica dela"&amp;IF(COUNTIF($RK86:$RN86,"Reação")&gt;0," e a coletiva","")&amp;IF(COUNTIF($RQ86:$RS86,"Carregar")&gt;0," · em dois turnos","")))</f>
        <v/>
      </c>
      <c r="QC86" s="164">
        <f>IF($MW86&lt;&gt;"",$MW86,IF($NJ86=0,"",INDEX('DADOS_FORMAS'!$GE$2:$GE$21,$NJ86)))</f>
        <v/>
      </c>
      <c r="QD86" s="164">
        <f>IF(OR($ND86=0,$NJ86=0),"",IF(COUNTIF($RK86:$RN86,"Inescapável")&gt;0,"Automático",IF($QC86="Ataque",IF($NH86="","Ataque","Ataque "&amp;IF(($NH86+2*IF(COUNTIF($RK86:$RN86,"Precisão")&gt;0,1,0))&gt;=0,"+","−")&amp;ABS(($NH86+2*IF(COUNTIF($RK86:$RN86,"Precisão")&gt;0,1,0))))&amp;IF($OD86&gt;0," · TR"&amp;IF($NI86="",""," CD "&amp;$NI86),""),IF(LEFT($QC86,2)="TR",$QC86&amp;IF($NI86="",""," · CD "&amp;$NI86)&amp;IF(COUNTIF($RK86:$RN86,"Certeiro")&gt;0," · metade",""),"Sem rolagem"))))</f>
        <v/>
      </c>
      <c r="QE86" s="164">
        <f>IF(OR($ND86=0,$NJ86=0),"",IF($MS86=0,IF(OR($OG86&gt;=1,$PD86=0),"Sem dano",$PD86&amp;"d6"&amp;IF($MV86="",""," "&amp;$MV86)),IF(OR($OG86&gt;=1,$PD86=0),UPPER(LEFT(INDEX($PM86:$PS86,1,MAX(1,$MS86)),1))&amp;MID(INDEX($PM86:$PS86,1,MAX(1,$MS86)),2,99),UPPER(LEFT(INDEX($PM86:$PS86,1,MAX(1,$MS86)),1))&amp;MID(INDEX($PM86:$PS86,1,MAX(1,$MS86)),2,99)&amp;IF($MV86="",""," "&amp;$MV86)&amp;IF($PE86&gt;0," · +"&amp;$PE86&amp;"d8",""))))</f>
        <v/>
      </c>
      <c r="QF86" s="164">
        <f>COUNTIF($RK86:$RN86,"Longe")+3*COUNTIF($RK86:$RN86,"Muito Longe")</f>
        <v/>
      </c>
      <c r="QG86" s="164">
        <f>COUNTIF($RK86:$RN86,"Maior")+3*COUNTIF($RK86:$RN86,"Muito Maior")</f>
        <v/>
      </c>
      <c r="QH86" s="164">
        <f>IF($NJ86=0,0,CHOOSE(1+INDEX('DADOS_FORMAS'!$GG$2:$GG$21,$NJ86),0,$QF86,$QG86,$QF86+$QG86))</f>
        <v/>
      </c>
      <c r="QI86" s="164">
        <f>IF($NJ86=0,0,CHOOSE(1+INDEX('DADOS_FORMAS'!$GH$2:$GH$21,$NJ86),0,$QF86,$QG86,$QF86+$QG86))</f>
        <v/>
      </c>
      <c r="QJ86" s="164">
        <f>IF(OR($ND86=0,$NJ86=0),"",INDEX('DADOS_FORMAS'!$HU$2:$HZ$81,($NJ86-1)*4+IF($MS86=0,1,IF($MS86&lt;=5,2,IF($MS86=6,3,4))),1+MIN(5,$QH86))&amp;INDEX('DADOS_FORMAS'!$IA$2:$IF$81,($NJ86-1)*4+IF($MS86=0,1,IF($MS86&lt;=5,2,IF($MS86=6,3,4))),1+MIN(5,$QI86))&amp;IF(INDEX('DADOS_FORMAS'!$GI$2:$GI$21,$NJ86)=1,IF(COUNTIF($RK86:$RN86,"Mais Um")&gt;0," · +"&amp;COUNTIF($RK86:$RN86,"Mais Um")&amp;IF(COUNTIF($RK86:$RN86,"Mais Um")&gt;1," alvos"," alvo"),"")&amp;IF(COUNTIF($RK86:$RN86,"Rajada")&gt;0,IF($MS86=0," · 1 tiro"," · "&amp;(MAX(1,$MS86-1)+1)&amp;" tiros"),""),""))</f>
        <v/>
      </c>
      <c r="QK86" s="164">
        <f>IF($ND86=0,"",IF($MS86=0,$NG86&amp;"d6"&amp;IF($OU86&gt;0," − 1 = "&amp;$PD86&amp;"d6"," da básica do nível "&amp;$NE86),$PB86&amp;" − "&amp;$OW86&amp;" + "&amp;$OZ86&amp;" = "&amp;$PC86&amp;" · teto "&amp;4*$MS86&amp;"d8"&amp;IF($OF86=1," · a Forma devolve "&amp;$MS86,"")&amp;IF($PA86&gt;0," · perde "&amp;$PA86,"")))</f>
        <v/>
      </c>
      <c r="QL86" s="164">
        <f>IF($ND86=0,"",IF($MS86=0,"A básica não amplia: os dados dela sobem com o nível",IF($MS86&gt;=$NF86,"Já está na maior Classe que o nível liberou",TEXTJOIN(" · ",TRUE,IF(AND(2&gt;$MS86,2&lt;=$NF86),"2 → "&amp;$PN86&amp;", 6 PE",""),IF(AND(3&gt;$MS86,3&lt;=$NF86),"3 → "&amp;$PO86&amp;", 9 PE",""),IF(AND(4&gt;$MS86,4&lt;=$NF86),"4 → "&amp;$PP86&amp;", 12 PE",""),IF(AND(5&gt;$MS86,5&lt;=$NF86),"5 → "&amp;$PQ86&amp;", 15 PE",""),IF(AND(6&gt;$MS86,6&lt;=$NF86),"6 → "&amp;$PR86&amp;", 18 PE",""),IF(AND(7&gt;$MS86,7&lt;=$NF86),"7 → "&amp;$PS86&amp;", 21 PE","")))))</f>
        <v/>
      </c>
      <c r="QM86" s="164">
        <f>IF(OR($ND86=0,$NO86=0),"",IF($MS86=0,"−1 dado","−"&amp;INDEX($I$2:$N$8,MAX(1,$MS86),MAX(1,$NT86))&amp;" · "&amp;CHOOSE(MAX(1,$NT86),"Leve","Média","Pesada","Leve · Livre","Média · Livre","Pesada · Livre")))</f>
        <v/>
      </c>
      <c r="QN86" s="164">
        <f>IF(OR($ND86=0,$NP86=0),"",IF($MS86=0,"−1 dado","−"&amp;INDEX($I$2:$N$8,MAX(1,$MS86),MAX(1,$NU86))&amp;" · "&amp;CHOOSE(MAX(1,$NU86),"Leve","Média","Pesada","Leve · Livre","Média · Livre","Pesada · Livre")))</f>
        <v/>
      </c>
      <c r="QO86" s="164">
        <f>IF(OR($ND86=0,$NQ86=0),"",IF($MS86=0,"−1 dado","−"&amp;INDEX($I$2:$N$8,MAX(1,$MS86),MAX(1,$NV86))&amp;" · "&amp;CHOOSE(MAX(1,$NV86),"Leve","Média","Pesada","Leve · Livre","Média · Livre","Pesada · Livre")))</f>
        <v/>
      </c>
      <c r="QP86" s="164">
        <f>IF(OR($ND86=0,$NR86=0),"",IF($MS86=0,"−1 dado","−"&amp;INDEX($I$2:$N$8,MAX(1,$MS86),MAX(1,$NW86))&amp;" · "&amp;CHOOSE(MAX(1,$NW86),"Leve","Média","Pesada","Leve · Livre","Média · Livre","Pesada · Livre")))</f>
        <v/>
      </c>
      <c r="QQ86" s="164">
        <f>IF(OR($ND86=0,$NB86=""),"",IF($MS86=0,"não devolve","+"&amp;IF($OI86=1,CEILING($MS86/2,1),$MS86)))</f>
        <v/>
      </c>
      <c r="QR86" s="164">
        <f>IF(OR($ND86=0,$NC86=""),"",IF($MS86=0,"não devolve","+"&amp;IF($OJ86=1,CEILING($MS86/2,1),$MS86)))</f>
        <v/>
      </c>
      <c r="RK86">
        <f>IF($MX86="","",IFERROR(VLOOKUP(SUBSTITUTE(SUBSTITUTE(SUBSTITUTE($MX86,"~","~~"),"*","~*"),"?","~?"),'DADOS_MELHORIAS'!$O$2:$X$113,10,FALSE),$MX86))</f>
        <v/>
      </c>
      <c r="RL86">
        <f>IF($MY86="","",IFERROR(VLOOKUP(SUBSTITUTE(SUBSTITUTE(SUBSTITUTE($MY86,"~","~~"),"*","~*"),"?","~?"),'DADOS_MELHORIAS'!$O$2:$X$113,10,FALSE),$MY86))</f>
        <v/>
      </c>
      <c r="RM86">
        <f>IF($MZ86="","",IFERROR(VLOOKUP(SUBSTITUTE(SUBSTITUTE(SUBSTITUTE($MZ86,"~","~~"),"*","~*"),"?","~?"),'DADOS_MELHORIAS'!$O$2:$X$113,10,FALSE),$MZ86))</f>
        <v/>
      </c>
      <c r="RN86">
        <f>IF($NA86="","",IFERROR(VLOOKUP(SUBSTITUTE(SUBSTITUTE(SUBSTITUTE($NA86,"~","~~"),"*","~*"),"?","~?"),'DADOS_MELHORIAS'!$O$2:$X$113,10,FALSE),$NA86))</f>
        <v/>
      </c>
      <c r="RO86">
        <f>IFERROR(INDEX('DADOS_FORMAS'!$BJ$2:$BJ$21,MATCH(SUBSTITUTE(SUBSTITUTE(SUBSTITUTE($MU86,"~","~~"),"*","~*"),"?","~?"),'DADOS_FORMAS'!$AH$2:$AH$21,0)),"")</f>
        <v/>
      </c>
      <c r="RP86">
        <f>IFERROR(VLOOKUP(SUBSTITUTE(SUBSTITUTE(SUBSTITUTE(IFERROR(INDEX('DADOS_FORMAS'!$AS$2:$AS$21,MATCH(SUBSTITUTE(SUBSTITUTE(SUBSTITUTE($MU86,"~","~~"),"*","~*"),"?","~?"),'DADOS_FORMAS'!$AH$2:$AH$21,0)),""),"~","~~"),"*","~*"),"?","~?"),'DADOS_RESTRICOES'!$M$2:$Q$54,2,FALSE),"")</f>
        <v/>
      </c>
      <c r="RQ86">
        <f>$OK86</f>
        <v/>
      </c>
      <c r="RR86">
        <f>$OL86</f>
        <v/>
      </c>
      <c r="RS86">
        <f>$RP86</f>
        <v/>
      </c>
    </row>
    <row r="87">
      <c r="MN87" s="162" t="inlineStr">
        <is>
          <t>Ficha 7 · Especial 6</t>
        </is>
      </c>
      <c r="MO87" s="164" t="n">
        <v>7</v>
      </c>
      <c r="MP87" s="164" t="n">
        <v>1</v>
      </c>
      <c r="MQ87" s="164" t="n">
        <v>20</v>
      </c>
      <c r="MR87" s="162" t="inlineStr">
        <is>
          <t>ESPECIAL 6</t>
        </is>
      </c>
      <c r="MS87" s="164">
        <f>MAX(1,MIN(7,N('INVOCAÇÕES'!$AH$127)))</f>
        <v/>
      </c>
      <c r="MT87" s="164">
        <f>'INVOCAÇÕES'!$AI$127&amp;""</f>
        <v/>
      </c>
      <c r="MU87" s="164">
        <f>'INVOCAÇÕES'!$AH$132&amp;""</f>
        <v/>
      </c>
      <c r="MV87" s="164">
        <f>'INVOCAÇÕES'!$AH$133&amp;""</f>
        <v/>
      </c>
      <c r="MW87" s="164">
        <f>'INVOCAÇÕES'!$AJ$133&amp;""</f>
        <v/>
      </c>
      <c r="MX87" s="164">
        <f>'INVOCAÇÕES'!$AI$136&amp;""</f>
        <v/>
      </c>
      <c r="MY87" s="164">
        <f>'INVOCAÇÕES'!$AI$137&amp;""</f>
        <v/>
      </c>
      <c r="MZ87" s="164">
        <f>'INVOCAÇÕES'!$AI$138&amp;""</f>
        <v/>
      </c>
      <c r="NA87" s="164">
        <f>'INVOCAÇÕES'!$AI$139&amp;""</f>
        <v/>
      </c>
      <c r="NB87" s="164">
        <f>'INVOCAÇÕES'!$AI$140&amp;""</f>
        <v/>
      </c>
      <c r="NC87" s="164">
        <f>'INVOCAÇÕES'!$AI$141&amp;""</f>
        <v/>
      </c>
      <c r="ND87" s="164">
        <f>IF($MT87&lt;&gt;"",1,0)</f>
        <v/>
      </c>
      <c r="NE87" s="164">
        <f>INDEX($FO$2:$FO$13,$MO87)</f>
        <v/>
      </c>
      <c r="NF87" s="164">
        <f>INDEX($FP$2:$FP$13,$MO87)</f>
        <v/>
      </c>
      <c r="NG87" s="164">
        <f>INDEX($FQ$2:$FQ$13,$MO87)</f>
        <v/>
      </c>
      <c r="NH87" s="164">
        <f>INDEX($GB$2:$GB$13,$MO87)</f>
        <v/>
      </c>
      <c r="NI87" s="164">
        <f>INDEX($GC$2:$GC$13,$MO87)</f>
        <v/>
      </c>
      <c r="NJ87" s="164">
        <f>IFERROR(MATCH(SUBSTITUTE(SUBSTITUTE(SUBSTITUTE($MU87,"~","~~"),"*","~*"),"?","~?"),'DADOS_FORMAS'!$FZ$2:$FZ$21,0),0)</f>
        <v/>
      </c>
      <c r="NK87" s="164">
        <f>IFERROR(VLOOKUP(SUBSTITUTE(SUBSTITUTE(SUBSTITUTE($MX87,"~","~~"),"*","~*"),"?","~?"),'DADOS_MELHORIAS'!$AG$2:$AL$113,2,FALSE),"")</f>
        <v/>
      </c>
      <c r="NL87" s="164">
        <f>IFERROR(VLOOKUP(SUBSTITUTE(SUBSTITUTE(SUBSTITUTE($MY87,"~","~~"),"*","~*"),"?","~?"),'DADOS_MELHORIAS'!$AG$2:$AL$113,2,FALSE),"")</f>
        <v/>
      </c>
      <c r="NM87" s="164">
        <f>IFERROR(VLOOKUP(SUBSTITUTE(SUBSTITUTE(SUBSTITUTE($MZ87,"~","~~"),"*","~*"),"?","~?"),'DADOS_MELHORIAS'!$AG$2:$AL$113,2,FALSE),"")</f>
        <v/>
      </c>
      <c r="NN87" s="164">
        <f>IFERROR(VLOOKUP(SUBSTITUTE(SUBSTITUTE(SUBSTITUTE($NA87,"~","~~"),"*","~*"),"?","~?"),'DADOS_MELHORIAS'!$AG$2:$AL$113,2,FALSE),"")</f>
        <v/>
      </c>
      <c r="NO87" s="164">
        <f>IFERROR(VLOOKUP(SUBSTITUTE(SUBSTITUTE(SUBSTITUTE($MX87,"~","~~"),"*","~*"),"?","~?"),'DADOS_MELHORIAS'!$AG$2:$AL$113,3,FALSE),0)</f>
        <v/>
      </c>
      <c r="NP87" s="164">
        <f>IFERROR(VLOOKUP(SUBSTITUTE(SUBSTITUTE(SUBSTITUTE($MY87,"~","~~"),"*","~*"),"?","~?"),'DADOS_MELHORIAS'!$AG$2:$AL$113,3,FALSE),0)</f>
        <v/>
      </c>
      <c r="NQ87" s="164">
        <f>IFERROR(VLOOKUP(SUBSTITUTE(SUBSTITUTE(SUBSTITUTE($MZ87,"~","~~"),"*","~*"),"?","~?"),'DADOS_MELHORIAS'!$AG$2:$AL$113,3,FALSE),0)</f>
        <v/>
      </c>
      <c r="NR87" s="164">
        <f>IFERROR(VLOOKUP(SUBSTITUTE(SUBSTITUTE(SUBSTITUTE($NA87,"~","~~"),"*","~*"),"?","~?"),'DADOS_MELHORIAS'!$AG$2:$AL$113,3,FALSE),0)</f>
        <v/>
      </c>
      <c r="NS87" s="164">
        <f>IF($MS87=0,0,IF($NJ87=0,0,INDEX('DADOS_FORMAS'!$GB$2:$GB$21,$NJ87)))</f>
        <v/>
      </c>
      <c r="NT87" s="164">
        <f>IF(OR($NO87=0,$MS87=0),0,$NO87+3*IF(AND($NK87&lt;&gt;"",COUNTIF(INDEX($RB$2:$RJ$13,$MO87,0),$NK87)&gt;0),1,0))</f>
        <v/>
      </c>
      <c r="NU87" s="164">
        <f>IF(OR($NP87=0,$MS87=0),0,$NP87+3*IF(AND($NL87&lt;&gt;"",COUNTIF(INDEX($RB$2:$RJ$13,$MO87,0),$NL87)&gt;0),1,0))</f>
        <v/>
      </c>
      <c r="NV87" s="164">
        <f>IF(OR($NQ87=0,$MS87=0),0,$NQ87+3*IF(AND($NM87&lt;&gt;"",COUNTIF(INDEX($RB$2:$RJ$13,$MO87,0),$NM87)&gt;0),1,0))</f>
        <v/>
      </c>
      <c r="NW87" s="164">
        <f>IF(OR($NR87=0,$MS87=0),0,$NR87+3*IF(AND($NN87&lt;&gt;"",COUNTIF(INDEX($RB$2:$RJ$13,$MO87,0),$NN87)&gt;0),1,0))</f>
        <v/>
      </c>
      <c r="NX87" s="164">
        <f>IF($NJ87=0,0,IF(INDEX('DADOS_FORMAS'!$GA$2:$GA$21,$NJ87)="",0,IF((COUNTIF(INDEX($EL$2:$EP$13,$MO87,0),INDEX('DADOS_FORMAS'!$GA$2:$GA$21,$NJ87))+COUNTIF(INDEX($QV$2:$QY$13,$MO87,0),INDEX('DADOS_FORMAS'!$GA$2:$GA$21,$NJ87)))=0,1,0)))</f>
        <v/>
      </c>
      <c r="NY87" s="164">
        <f>IF(OR($NO87=0,$NK87=""),0,IF((COUNTIF(INDEX($EL$2:$EP$13,$MO87,0),$NK87)+COUNTIF(INDEX($QV$2:$QY$13,$MO87,0),$NK87))=0,1,0))</f>
        <v/>
      </c>
      <c r="NZ87" s="164">
        <f>IF(OR($NP87=0,$NL87=""),0,IF((COUNTIF(INDEX($EL$2:$EP$13,$MO87,0),$NL87)+COUNTIF(INDEX($QV$2:$QY$13,$MO87,0),$NL87))=0,1,0))</f>
        <v/>
      </c>
      <c r="OA87" s="164">
        <f>IF(OR($NQ87=0,$NM87=""),0,IF((COUNTIF(INDEX($EL$2:$EP$13,$MO87,0),$NM87)+COUNTIF(INDEX($QV$2:$QY$13,$MO87,0),$NM87))=0,1,0))</f>
        <v/>
      </c>
      <c r="OB87" s="164">
        <f>IF(OR($NR87=0,$NN87=""),0,IF((COUNTIF(INDEX($EL$2:$EP$13,$MO87,0),$NN87)+COUNTIF(INDEX($QV$2:$QY$13,$MO87,0),$NN87))=0,1,0))</f>
        <v/>
      </c>
      <c r="OC87" s="164">
        <f>IFERROR(VLOOKUP(SUBSTITUTE(SUBSTITUTE(SUBSTITUTE($MX87,"~","~~"),"*","~*"),"?","~?"),'DADOS_MELHORIAS'!$AG$2:$AL$113,4,FALSE),0)+IFERROR(VLOOKUP(SUBSTITUTE(SUBSTITUTE(SUBSTITUTE($MY87,"~","~~"),"*","~*"),"?","~?"),'DADOS_MELHORIAS'!$AG$2:$AL$113,4,FALSE),0)+IFERROR(VLOOKUP(SUBSTITUTE(SUBSTITUTE(SUBSTITUTE($MZ87,"~","~~"),"*","~*"),"?","~?"),'DADOS_MELHORIAS'!$AG$2:$AL$113,4,FALSE),0)+IFERROR(VLOOKUP(SUBSTITUTE(SUBSTITUTE(SUBSTITUTE($NA87,"~","~~"),"*","~*"),"?","~?"),'DADOS_MELHORIAS'!$AG$2:$AL$113,4,FALSE),0)</f>
        <v/>
      </c>
      <c r="OD87" s="164">
        <f>IFERROR(VLOOKUP(SUBSTITUTE(SUBSTITUTE(SUBSTITUTE($MX87,"~","~~"),"*","~*"),"?","~?"),'DADOS_MELHORIAS'!$AG$2:$AL$113,6,FALSE),0)+IFERROR(VLOOKUP(SUBSTITUTE(SUBSTITUTE(SUBSTITUTE($MY87,"~","~~"),"*","~*"),"?","~?"),'DADOS_MELHORIAS'!$AG$2:$AL$113,6,FALSE),0)+IFERROR(VLOOKUP(SUBSTITUTE(SUBSTITUTE(SUBSTITUTE($MZ87,"~","~~"),"*","~*"),"?","~?"),'DADOS_MELHORIAS'!$AG$2:$AL$113,6,FALSE),0)+IFERROR(VLOOKUP(SUBSTITUTE(SUBSTITUTE(SUBSTITUTE($NA87,"~","~~"),"*","~*"),"?","~?"),'DADOS_MELHORIAS'!$AG$2:$AL$113,6,FALSE),0)+IFERROR(N(AND(INDEX('DADOS_FORMAS'!$AO$2:$AO$21,MATCH(SUBSTITUTE(SUBSTITUTE(SUBSTITUTE($MU87,"~","~~"),"*","~*"),"?","~?"),'DADOS_FORMAS'!$AH$2:$AH$21,0))="Acerto",$OH87=1)),0)</f>
        <v/>
      </c>
      <c r="OE87" s="164">
        <f>TEXTJOIN(", ",TRUE,IF(IFERROR(VLOOKUP(SUBSTITUTE(SUBSTITUTE(SUBSTITUTE($MX87,"~","~~"),"*","~*"),"?","~?"),'DADOS_MELHORIAS'!$AG$2:$AL$113,5,FALSE),0)=1,$MX87,""),IF(IFERROR(VLOOKUP(SUBSTITUTE(SUBSTITUTE(SUBSTITUTE($MY87,"~","~~"),"*","~*"),"?","~?"),'DADOS_MELHORIAS'!$AG$2:$AL$113,5,FALSE),0)=1,$MY87,""),IF(IFERROR(VLOOKUP(SUBSTITUTE(SUBSTITUTE(SUBSTITUTE($MZ87,"~","~~"),"*","~*"),"?","~?"),'DADOS_MELHORIAS'!$AG$2:$AL$113,5,FALSE),0)=1,$MZ87,""),IF(IFERROR(VLOOKUP(SUBSTITUTE(SUBSTITUTE(SUBSTITUTE($NA87,"~","~~"),"*","~*"),"?","~?"),'DADOS_MELHORIAS'!$AG$2:$AL$113,5,FALSE),0)=1,$NA87,""))</f>
        <v/>
      </c>
      <c r="OF87" s="164">
        <f>IF($NJ87=0,0,INDEX('DADOS_FORMAS'!$GC$2:$GC$21,$NJ87))</f>
        <v/>
      </c>
      <c r="OG87" s="164">
        <f>IF($NJ87=0,0,INDEX('DADOS_FORMAS'!$GD$2:$GD$21,$NJ87))</f>
        <v/>
      </c>
      <c r="OH87" s="164">
        <f>IF($NJ87=0,0,INDEX('DADOS_FORMAS'!$GF$2:$GF$21,$NJ87))</f>
        <v/>
      </c>
      <c r="OI87" s="164">
        <f>IFERROR(VLOOKUP(SUBSTITUTE(SUBSTITUTE(SUBSTITUTE($NB87,"~","~~"),"*","~*"),"?","~?"),'DADOS_RESTRICOES'!$M$2:$Q$54,3,FALSE),0)</f>
        <v/>
      </c>
      <c r="OJ87" s="164">
        <f>IFERROR(VLOOKUP(SUBSTITUTE(SUBSTITUTE(SUBSTITUTE($NC87,"~","~~"),"*","~*"),"?","~?"),'DADOS_RESTRICOES'!$M$2:$Q$54,3,FALSE),0)</f>
        <v/>
      </c>
      <c r="OK87" s="164">
        <f>IFERROR(VLOOKUP(SUBSTITUTE(SUBSTITUTE(SUBSTITUTE($NB87,"~","~~"),"*","~*"),"?","~?"),'DADOS_RESTRICOES'!$M$2:$Q$54,2,FALSE),"")</f>
        <v/>
      </c>
      <c r="OL87" s="164">
        <f>IFERROR(VLOOKUP(SUBSTITUTE(SUBSTITUTE(SUBSTITUTE($NC87,"~","~~"),"*","~*"),"?","~?"),'DADOS_RESTRICOES'!$M$2:$Q$54,2,FALSE),"")</f>
        <v/>
      </c>
      <c r="OM87" s="164">
        <f>COUNTIF($NS87:$NW87,1)</f>
        <v/>
      </c>
      <c r="ON87" s="164">
        <f>COUNTIF($NS87:$NW87,2)</f>
        <v/>
      </c>
      <c r="OO87" s="164">
        <f>COUNTIF($NS87:$NW87,3)</f>
        <v/>
      </c>
      <c r="OP87" s="164">
        <f>COUNTIF($NS87:$NW87,4)</f>
        <v/>
      </c>
      <c r="OQ87" s="164">
        <f>COUNTIF($NS87:$NW87,5)</f>
        <v/>
      </c>
      <c r="OR87" s="164">
        <f>COUNTIF($NS87:$NW87,6)</f>
        <v/>
      </c>
      <c r="OS87" s="164">
        <f>COUNTIF($OI87:$OJ87,1)+IF(IFERROR(INDEX('DADOS_FORMAS'!$AS$2:$AS$21,MATCH(SUBSTITUTE(SUBSTITUTE(SUBSTITUTE($MU87,"~","~~"),"*","~*"),"?","~?"),'DADOS_FORMAS'!$AH$2:$AH$21,0)),"")="",0,IFERROR(N(VLOOKUP(SUBSTITUTE(SUBSTITUTE(SUBSTITUTE(IFERROR(INDEX('DADOS_FORMAS'!$AS$2:$AS$21,MATCH(SUBSTITUTE(SUBSTITUTE(SUBSTITUTE($MU87,"~","~~"),"*","~*"),"?","~?"),'DADOS_FORMAS'!$AH$2:$AH$21,0)),""),"~","~~"),"*","~*"),"?","~?"),'DADOS_RESTRICOES'!$M$2:$Q$54,3,FALSE)=1),0))</f>
        <v/>
      </c>
      <c r="OT87" s="164">
        <f>COUNTIF($OI87:$OJ87,2)+IF(IFERROR(INDEX('DADOS_FORMAS'!$AS$2:$AS$21,MATCH(SUBSTITUTE(SUBSTITUTE(SUBSTITUTE($MU87,"~","~~"),"*","~*"),"?","~?"),'DADOS_FORMAS'!$AH$2:$AH$21,0)),"")="",0,IFERROR(N(VLOOKUP(SUBSTITUTE(SUBSTITUTE(SUBSTITUTE(IFERROR(INDEX('DADOS_FORMAS'!$AS$2:$AS$21,MATCH(SUBSTITUTE(SUBSTITUTE(SUBSTITUTE($MU87,"~","~~"),"*","~*"),"?","~?"),'DADOS_FORMAS'!$AH$2:$AH$21,0)),""),"~","~~"),"*","~*"),"?","~?"),'DADOS_RESTRICOES'!$M$2:$Q$54,3,FALSE)=2),0))</f>
        <v/>
      </c>
      <c r="OU87" s="164">
        <f>COUNTIF($MX87:$NA87,"?*")</f>
        <v/>
      </c>
      <c r="OV87" s="164">
        <f>COUNTIF($NB87:$NC87,"?*")+$OF87</f>
        <v/>
      </c>
      <c r="OW87" s="164">
        <f>IF($MS87=0,0,SUMPRODUCT($OM87:$OR87,INDEX($I$2:$N$8,MAX(1,$MS87),0)))</f>
        <v/>
      </c>
      <c r="OX87" s="164">
        <f>IF($MS87=0,0,$OS87*CEILING($MS87/2,1)+$OT87*$MS87)</f>
        <v/>
      </c>
      <c r="OY87" s="164">
        <f>MIN(2*$MS87,$OX87)</f>
        <v/>
      </c>
      <c r="OZ87" s="164">
        <f>MIN($OY87,$OW87-IF($NS87=0,0,INDEX($I$2:$N$8,MAX(1,$MS87),$NS87)))</f>
        <v/>
      </c>
      <c r="PA87" s="164">
        <f>$OY87-$OZ87</f>
        <v/>
      </c>
      <c r="PB87" s="164">
        <f>IF($MS87=0,0,INDEX($P$2:$P$8,MAX(1,$MS87)))</f>
        <v/>
      </c>
      <c r="PC87" s="164">
        <f>$PB87-$OW87+$OZ87</f>
        <v/>
      </c>
      <c r="PD87" s="164">
        <f>IF($MS87=0,MAX(0,$NG87-IF(AND($OU87&gt;0,COUNTIF($NB87:$NC87,"?*")=0),1,0)),MAX(0,$PC87))</f>
        <v/>
      </c>
      <c r="PE87" s="164">
        <f>IF($MS87=0,0,(IF(COUNTIF($RK87:$RN87,"Salto")&gt;0,1,0)+IF(COUNTIF($RK87:$RN87,"Queima")&gt;0,1,0)+IF(COUNTIF($RK87:$RN87,"Estilhaço")&gt;0,1,0))*FLOOR($PD87/2,1))</f>
        <v/>
      </c>
      <c r="PF87" s="164">
        <f>MAX(0,2-SUMPRODUCT($OM87:$OR87,$I$2:$N$2)+MIN(2,$OS87*1+$OT87*1,SUMPRODUCT($OM87:$OR87,$I$2:$N$2)-IF($NS87=0,0,INDEX($I$2:$N$2,1,$NS87))))</f>
        <v/>
      </c>
      <c r="PG87" s="164">
        <f>MAX(0,4-SUMPRODUCT($OM87:$OR87,$I$3:$N$3)+MIN(4,$OS87*1+$OT87*2,SUMPRODUCT($OM87:$OR87,$I$3:$N$3)-IF($NS87=0,0,INDEX($I$3:$N$3,1,$NS87))))</f>
        <v/>
      </c>
      <c r="PH87" s="164">
        <f>MAX(0,6-SUMPRODUCT($OM87:$OR87,$I$4:$N$4)+MIN(6,$OS87*2+$OT87*3,SUMPRODUCT($OM87:$OR87,$I$4:$N$4)-IF($NS87=0,0,INDEX($I$4:$N$4,1,$NS87))))</f>
        <v/>
      </c>
      <c r="PI87" s="164">
        <f>MAX(0,9-SUMPRODUCT($OM87:$OR87,$I$5:$N$5)+MIN(8,$OS87*2+$OT87*4,SUMPRODUCT($OM87:$OR87,$I$5:$N$5)-IF($NS87=0,0,INDEX($I$5:$N$5,1,$NS87))))</f>
        <v/>
      </c>
      <c r="PJ87" s="164">
        <f>MAX(0,11-SUMPRODUCT($OM87:$OR87,$I$6:$N$6)+MIN(10,$OS87*3+$OT87*5,SUMPRODUCT($OM87:$OR87,$I$6:$N$6)-IF($NS87=0,0,INDEX($I$6:$N$6,1,$NS87))))</f>
        <v/>
      </c>
      <c r="PK87" s="164">
        <f>MAX(0,13-SUMPRODUCT($OM87:$OR87,$I$7:$N$7)+MIN(12,$OS87*3+$OT87*6,SUMPRODUCT($OM87:$OR87,$I$7:$N$7)-IF($NS87=0,0,INDEX($I$7:$N$7,1,$NS87))))</f>
        <v/>
      </c>
      <c r="PL87" s="164">
        <f>MAX(0,16-SUMPRODUCT($OM87:$OR87,$I$8:$N$8)+MIN(14,$OS87*4+$OT87*7,SUMPRODUCT($OM87:$OR87,$I$8:$N$8)-IF($NS87=0,0,INDEX($I$8:$N$8,1,$NS87))))</f>
        <v/>
      </c>
      <c r="PM87" s="164">
        <f>IF($OG87=2,3*$PF87&amp;" de vida temp.",IF($OG87=3,"sem dano",IF($PF87=0,IF($OG87=1,"sem cura","sem dano"),IF($OG87=1,"cura ","")&amp;$PF87&amp;"d8")))</f>
        <v/>
      </c>
      <c r="PN87" s="164">
        <f>IF($OG87=2,3*$PG87&amp;" de vida temp.",IF($OG87=3,"sem dano",IF($PG87=0,IF($OG87=1,"sem cura","sem dano"),IF($OG87=1,"cura ","")&amp;$PG87&amp;"d8")))</f>
        <v/>
      </c>
      <c r="PO87" s="164">
        <f>IF($OG87=2,3*$PH87&amp;" de vida temp.",IF($OG87=3,"sem dano",IF($PH87=0,IF($OG87=1,"sem cura","sem dano"),IF($OG87=1,"cura ","")&amp;$PH87&amp;"d8")))</f>
        <v/>
      </c>
      <c r="PP87" s="164">
        <f>IF($OG87=2,3*$PI87&amp;" de vida temp.",IF($OG87=3,"sem dano",IF($PI87=0,IF($OG87=1,"sem cura","sem dano"),IF($OG87=1,"cura ","")&amp;$PI87&amp;"d8")))</f>
        <v/>
      </c>
      <c r="PQ87" s="164">
        <f>IF($OG87=2,3*$PJ87&amp;" de vida temp.",IF($OG87=3,"sem dano",IF($PJ87=0,IF($OG87=1,"sem cura","sem dano"),IF($OG87=1,"cura ","")&amp;$PJ87&amp;"d8")))</f>
        <v/>
      </c>
      <c r="PR87" s="164">
        <f>IF($OG87=2,3*$PK87&amp;" de vida temp.",IF($OG87=3,"sem dano",IF($PK87=0,IF($OG87=1,"sem cura","sem dano"),IF($OG87=1,"cura ","")&amp;$PK87&amp;"d8")))</f>
        <v/>
      </c>
      <c r="PS87" s="164">
        <f>IF($OG87=2,3*$PL87&amp;" de vida temp.",IF($OG87=3,"sem dano",IF($PL87=0,IF($OG87=1,"sem cura","sem dano"),IF($OG87=1,"cura ","")&amp;$PL87&amp;"d8")))</f>
        <v/>
      </c>
      <c r="PT87" s="164">
        <f>IF($ND87=0,"",TEXTJOIN(" · ",TRUE,IF($ND87=0,"",TEXTJOIN(" · ",TRUE,IF($ND87=0,"",TEXTJOIN(" · ",TRUE,IF($MQ87&gt;$NE87,"Este lugar abre no nível "&amp;$MQ87,""),IF($MS87&gt;$NF87,"Classe "&amp;$MS87&amp;": o nível "&amp;$NE87&amp;" libera até a "&amp;$NF87,""),IF($NX87=1,"A Forma "&amp;$MU87&amp;" pede "&amp;INDEX('DADOS_FORMAS'!$GA$2:$GA$21,$NJ87)&amp;" aberta",""),IF(AND($MS87=0,$NJ87&gt;0,IF($NJ87=0,0,INDEX('DADOS_FORMAS'!$GJ$2:$GJ$21,$NJ87))=0),$MU87&amp;" não existe na Classe 0",""),IF($NY87=1,"Família Fechada: "&amp;$MX87,""),IF($NZ87=1,"Família Fechada: "&amp;$MY87,""),IF($OA87=1,"Família Fechada: "&amp;$MZ87,""),IF($OB87=1,"Família Fechada: "&amp;$NA87,""),IF(AND($MS87&gt;0,$OU87&gt;INDEX($O$2:$O$8,MAX(1,$MS87))),$OU87&amp;" Melhorias: a Classe "&amp;$MS87&amp;" aceita "&amp;INDEX($O$2:$O$8,MAX(1,$MS87)),""),IF(AND($MS87=0,$OU87&gt;1),"A básica aceita uma Melhoria",""),IF(AND($MS87=0,COUNTIF($NO87:$NR87,"&gt;1")&gt;0),"A básica só aceita Melhoria Leve",""),IF(AND($MS87&gt;0,$OV87&gt;2),$OV87&amp;" Restrições"&amp;IF($OF87=1,", contando a que a Forma "&amp;$MU87&amp;" já traz","")&amp;": o limite é 2",""),IF(AND($MS87=0,COUNTIF($NB87:$NC87,"?*")&gt;1),"A básica aceita uma Restrição Leve",""),IF(AND($MS87=0,COUNTIF($OI87:$OJ87,2)&gt;0),"A básica só aceita Restrição Leve",""),IF(AND($MS87&gt;0,$PC87&lt;0),"Orçamento estourado: faltam "&amp;(-$PC87)&amp;IF($PC87&lt;-1," pontos"," ponto"),""),IF(IFERROR(VLOOKUP(SUBSTITUTE(SUBSTITUTE(SUBSTITUTE($NB87,"~","~~"),"*","~*"),"?","~?"),'DADOS_RESTRICOES'!$M$2:$Q$54,4,FALSE),0)+IFERROR(VLOOKUP(SUBSTITUTE(SUBSTITUTE(SUBSTITUTE($NC87,"~","~~"),"*","~*"),"?","~?"),'DADOS_RESTRICOES'!$M$2:$Q$54,4,FALSE),0)&gt;1,$OK87&amp;" e "&amp;$OL87&amp;" são as duas de frequência",""),IF(AND((COUNTIF($RK87:$RN87,"Rápido")+COUNTIF($OK87:$OL87,"Rápido"))&gt;0,(COUNTIF($MX87:$NA87,"Atrasar")+COUNTIF($OK87:$OL87,"Atrasar"))&gt;0),"Rápido não entra com Atrasar",""),IF(AND((COUNTIF($RK87:$RN87,"Reação")+COUNTIF($OK87:$OL87,"Reação"))&gt;0,(COUNTIF($RK87:$RN87,"Rápido")+COUNTIF($OK87:$OL87,"Rápido"))&gt;0),"Reação não entra com Rápido",""),IF(AND((COUNTIF($RK87:$RN87,"Reação")+COUNTIF($OK87:$OL87,"Reação"))&gt;0,(COUNTIF($RK87:$RN87,"Armado")+COUNTIF($OK87:$OL87,"Armado"))&gt;0),"Reação não entra com Armado",""),IF(AND((COUNTIF($RK87:$RN87,"Reação")+COUNTIF($OK87:$OL87,"Reação"))&gt;0,(COUNTIF($MX87:$NA87,"Atrasar")+COUNTIF($OK87:$OL87,"Atrasar"))&gt;0),"Reação não entra com Atrasar",""),IF(AND((COUNTIF($RK87:$RN87,"Reação")+COUNTIF($OK87:$OL87,"Reação"))&gt;0,(COUNTIF($MX87:$NA87,"Parado")+COUNTIF($OK87:$OL87,"Parado"))&gt;0),"Reação não entra com Parado",""),IF(AND((COUNTIF($MX87:$NA87,"Atrasar")+COUNTIF($OK87:$OL87,"Atrasar"))&gt;0,(COUNTIF($MX87:$NA87,"Parado")+COUNTIF($OK87:$OL87,"Parado"))&gt;0),"Atrasar não entra com Parado",""),IF(AND((COUNTIF($RK87:$RN87,"Armado")+COUNTIF($OK87:$OL87,"Armado"))&gt;0,(COUNTIF($MX87:$NA87,"Carregar")+COUNTIF($OK87:$OL87,"Carregar"))&gt;0),"Armado não entra com Carregar",""),IF(AND(COUNTIF($OK87:$OL87,"Corpo a Corpo")&gt;0,$OF87=0,OR($RO87="Cone",$RO87="Linha")),"Corpo a Corpo não entra em "&amp;$MU87,""),IF(AND(COUNTIF($OK87:$OL87,"Corpo a Corpo")&gt;0,$RP87="Corpo a Corpo"),"A Forma "&amp;$MU87&amp;" já traz o Corpo a Corpo",""),IF(AND(COUNTIF($OK87:$OL87,"Tudo ou Nada")&gt;0,$OH87=0),"Tudo ou Nada só entra em habilidade de Teste de Resistência",""),IF(AND(COUNTIF($RK87:$RN87,"Inescapável")&gt;0,OR($OU87&gt;1,$OV87&gt;0)),"Inescapável não aceita outra peça",""),IF(AND($MS87&gt;0,$PD87*IF(COUNTIF($RK87:$RN87,"Remate")&gt;0,1.25,1)+$PE87&gt;4*$MS87),($PD87*IF(COUNTIF($RK87:$RN87,"Remate")&gt;0,1.25,1)+$PE87)&amp;" dados somando repetições"&amp;IF(COUNTIF($RK87:$RN87,"Remate")&gt;0," e o Remate","")&amp;": o teto da Classe "&amp;$MS87&amp;" é "&amp;4*$MS87,""))),IF(AND($MX87&lt;&gt;"",COUNTIF('DADOS_MELHORIAS'!$O$2:$O$113,SUBSTITUTE(SUBSTITUTE(SUBSTITUTE($MX87,"~","~~"),"*","~*"),"?","~?"))=0),"Melhoria não cadastrada ou com erro: "&amp;$MX87,""),IF(AND($MY87&lt;&gt;"",COUNTIF('DADOS_MELHORIAS'!$O$2:$O$113,SUBSTITUTE(SUBSTITUTE(SUBSTITUTE($MY87,"~","~~"),"*","~*"),"?","~?"))=0),"Melhoria não cadastrada ou com erro: "&amp;$MY87,""),IF(AND($MZ87&lt;&gt;"",COUNTIF('DADOS_MELHORIAS'!$O$2:$O$113,SUBSTITUTE(SUBSTITUTE(SUBSTITUTE($MZ87,"~","~~"),"*","~*"),"?","~?"))=0),"Melhoria não cadastrada ou com erro: "&amp;$MZ87,""),IF(AND($NA87&lt;&gt;"",COUNTIF('DADOS_MELHORIAS'!$O$2:$O$113,SUBSTITUTE(SUBSTITUTE(SUBSTITUTE($NA87,"~","~~"),"*","~*"),"?","~?"))=0),"Melhoria não cadastrada ou com erro: "&amp;$NA87,""),IF(AND($NB87&lt;&gt;"",COUNTIF('DADOS_RESTRICOES'!$M$2:$M$54,SUBSTITUTE(SUBSTITUTE(SUBSTITUTE($NB87,"~","~~"),"*","~*"),"?","~?"))=0),"Restrição não cadastrada ou com erro: "&amp;$NB87,""),IF(AND($NC87&lt;&gt;"",COUNTIF('DADOS_RESTRICOES'!$M$2:$M$54,SUBSTITUTE(SUBSTITUTE(SUBSTITUTE($NC87,"~","~~"),"*","~*"),"?","~?"))=0),"Restrição não cadastrada ou com erro: "&amp;$NC87,""))),IF(AND($MU87&lt;&gt;"",COUNTIF('DADOS_FORMAS'!$AH$2:$AH$21,SUBSTITUTE(SUBSTITUTE(SUBSTITUTE($MU87,"~","~~"),"*","~*"),"?","~?"))=0),"Forma não cadastrada ou com erro: "&amp;$MU87,""),IF(AND(IFERROR(INDEX('DADOS_FORMAS'!$AS$2:$AS$21,MATCH(SUBSTITUTE(SUBSTITUTE(SUBSTITUTE($MU87,"~","~~"),"*","~*"),"?","~?"),'DADOS_FORMAS'!$AH$2:$AH$21,0)),"")&lt;&gt;"",OR(IFERROR(VLOOKUP(SUBSTITUTE(SUBSTITUTE(SUBSTITUTE(IFERROR(INDEX('DADOS_FORMAS'!$AS$2:$AS$21,MATCH(SUBSTITUTE(SUBSTITUTE(SUBSTITUTE($MU87,"~","~~"),"*","~*"),"?","~?"),'DADOS_FORMAS'!$AH$2:$AH$21,0)),""),"~","~~"),"*","~*"),"?","~?"),'DADOS_RESTRICOES'!$M$2:$Q$54,2,FALSE),"")=$OK87,IFERROR(VLOOKUP(SUBSTITUTE(SUBSTITUTE(SUBSTITUTE(IFERROR(INDEX('DADOS_FORMAS'!$AS$2:$AS$21,MATCH(SUBSTITUTE(SUBSTITUTE(SUBSTITUTE($MU87,"~","~~"),"*","~*"),"?","~?"),'DADOS_FORMAS'!$AH$2:$AH$21,0)),""),"~","~~"),"*","~*"),"?","~?"),'DADOS_RESTRICOES'!$M$2:$Q$54,2,FALSE),"")=$OL87)),"Restrição repetida, contando a embutida",""),IF(IF(IFERROR(INDEX('DADOS_FORMAS'!$AS$2:$AS$21,MATCH(SUBSTITUTE(SUBSTITUTE(SUBSTITUTE($MU87,"~","~~"),"*","~*"),"?","~?"),'DADOS_FORMAS'!$AH$2:$AH$21,0)),"")="",0,IFERROR(N(VLOOKUP(SUBSTITUTE(SUBSTITUTE(SUBSTITUTE(IFERROR(INDEX('DADOS_FORMAS'!$AS$2:$AS$21,MATCH(SUBSTITUTE(SUBSTITUTE(SUBSTITUTE($MU87,"~","~~"),"*","~*"),"?","~?"),'DADOS_FORMAS'!$AH$2:$AH$21,0)),""),"~","~~"),"*","~*"),"?","~?"),'DADOS_RESTRICOES'!$M$2:$Q$54,4,FALSE)=1),0))+IF($NB87="",0,IFERROR(N(VLOOKUP(SUBSTITUTE(SUBSTITUTE(SUBSTITUTE($NB87,"~","~~"),"*","~*"),"?","~?"),'DADOS_RESTRICOES'!$M$2:$Q$54,4,FALSE)=1),0))+IF($NC87="",0,IFERROR(N(VLOOKUP(SUBSTITUTE(SUBSTITUTE(SUBSTITUTE($NC87,"~","~~"),"*","~*"),"?","~?"),'DADOS_RESTRICOES'!$M$2:$Q$54,4,FALSE)=1),0))&gt;1,"Duas Restrições de frequência, contando a embutida",""),IF(AND(IFERROR(VLOOKUP(SUBSTITUTE(SUBSTITUTE(SUBSTITUTE(IFERROR(INDEX('DADOS_FORMAS'!$AS$2:$AS$21,MATCH(SUBSTITUTE(SUBSTITUTE(SUBSTITUTE($MU87,"~","~~"),"*","~*"),"?","~?"),'DADOS_FORMAS'!$AH$2:$AH$21,0)),""),"~","~~"),"*","~*"),"?","~?"),'DADOS_RESTRICOES'!$M$2:$Q$54,2,FALSE),"")="Tudo ou Nada",$OH87=0),"Tudo ou Nada exige TR",""),IF(AND(IFERROR(VLOOKUP(SUBSTITUTE(SUBSTITUTE(SUBSTITUTE(IFERROR(INDEX('DADOS_FORMAS'!$AS$2:$AS$21,MATCH(SUBSTITUTE(SUBSTITUTE(SUBSTITUTE($MU87,"~","~~"),"*","~*"),"?","~?"),'DADOS_FORMAS'!$AH$2:$AH$21,0)),""),"~","~~"),"*","~*"),"?","~?"),'DADOS_RESTRICOES'!$M$2:$Q$54,2,FALSE),"")="Corpo a Corpo",OR($RO87="Cone",$RO87="Linha")),"Corpo a Corpo não entra em Cone/Linha","")))</f>
        <v/>
      </c>
      <c r="PU87" s="164">
        <f>IF($PT87="",0,(LEN($PT87)-LEN(SUBSTITUTE($PT87," · ","")))/3+1)</f>
        <v/>
      </c>
      <c r="PV87" s="164">
        <f>IF($ND87=0,"",TEXTJOIN(" · ",TRUE,IF($OX87&gt;2*$MS87,"A devolução parou no teto de "&amp;2*$MS87,""),IF($PA87&gt;0,"Devolução perdida: "&amp;$PA87&amp;IF($PA87&gt;1," pontos"," ponto")&amp;" sem Melhoria para pagar",""),IF(AND($OC87&gt;0,AND($MS87&gt;0,$OG87=0),$PD87=0),"Controle sem dano: uma rodada a mais e CD +2",""),IF(AND($OC87&gt;0,AND($MS87&gt;0,$OG87=0),$PD87&gt;0,$PD87&lt;=$MS87),"Controle com saldo até a Classe: uma rodada a mais",""),IF(AND($MS87&gt;0,$OE87&lt;&gt;""),"Efeito de "&amp;$OE87&amp;" pela Classe "&amp;MAX(1,$MS87-1),"")))</f>
        <v/>
      </c>
      <c r="PW87" s="164">
        <f>IF($PV87="",0,(LEN($PV87)-LEN(SUBSTITUTE($PV87," · ","")))/3+1)</f>
        <v/>
      </c>
      <c r="PX87" s="164">
        <f>IF($ND87=0,IF($OU87+COUNTIF($NB87:$NC87,"?*")&gt;0,"Dê um nome",""),IF($PU87&gt;0,"⚠ "&amp;$PU87&amp;IF($PU87&gt;1," erros"," erro"),IF($PW87&gt;0,"! "&amp;$PW87&amp;IF($PW87&gt;1," avisos"," aviso"),"Na regra")))</f>
        <v/>
      </c>
      <c r="PY87" s="164">
        <f>IF($ND87=0,"",IF($PU87+$PW87=0,"Dentro das regras que a ficha confere",$PT87&amp;IF(AND($PU87&gt;0,$PW87&gt;0)," · ","")&amp;$PV87))</f>
        <v/>
      </c>
      <c r="PZ87" s="164">
        <f>IF($MQ87&gt;$NE87,$MR87&amp;" · ABRE NO NÍVEL "&amp;$MQ87,$MR87)</f>
        <v/>
      </c>
      <c r="QA87" s="164">
        <f>IF($ND87=0,"",IF($MS87=0,"Sem PE",3*$MS87&amp;" PE"))</f>
        <v/>
      </c>
      <c r="QB87" s="164">
        <f>IF($ND87=0,"",IF($MS87=0,"A atuação básica dela",IF(COUNTIF($RQ87:$RS87,"Atrasar")&gt;0,"Sua Ação Completa",IF(COUNTIF($RK87:$RN87,"Rápido")&gt;0,"Sua Bônus",IF(COUNTIF($RK87:$RN87,"Reação")&gt;0,"Sua Reação","Sua Padrão")))&amp;" + a básica dela"&amp;IF(COUNTIF($RK87:$RN87,"Reação")&gt;0," e a coletiva","")&amp;IF(COUNTIF($RQ87:$RS87,"Carregar")&gt;0," · em dois turnos","")))</f>
        <v/>
      </c>
      <c r="QC87" s="164">
        <f>IF($MW87&lt;&gt;"",$MW87,IF($NJ87=0,"",INDEX('DADOS_FORMAS'!$GE$2:$GE$21,$NJ87)))</f>
        <v/>
      </c>
      <c r="QD87" s="164">
        <f>IF(OR($ND87=0,$NJ87=0),"",IF(COUNTIF($RK87:$RN87,"Inescapável")&gt;0,"Automático",IF($QC87="Ataque",IF($NH87="","Ataque","Ataque "&amp;IF(($NH87+2*IF(COUNTIF($RK87:$RN87,"Precisão")&gt;0,1,0))&gt;=0,"+","−")&amp;ABS(($NH87+2*IF(COUNTIF($RK87:$RN87,"Precisão")&gt;0,1,0))))&amp;IF($OD87&gt;0," · TR"&amp;IF($NI87="",""," CD "&amp;$NI87),""),IF(LEFT($QC87,2)="TR",$QC87&amp;IF($NI87="",""," · CD "&amp;$NI87)&amp;IF(COUNTIF($RK87:$RN87,"Certeiro")&gt;0," · metade",""),"Sem rolagem"))))</f>
        <v/>
      </c>
      <c r="QE87" s="164">
        <f>IF(OR($ND87=0,$NJ87=0),"",IF($MS87=0,IF(OR($OG87&gt;=1,$PD87=0),"Sem dano",$PD87&amp;"d6"&amp;IF($MV87="",""," "&amp;$MV87)),IF(OR($OG87&gt;=1,$PD87=0),UPPER(LEFT(INDEX($PM87:$PS87,1,MAX(1,$MS87)),1))&amp;MID(INDEX($PM87:$PS87,1,MAX(1,$MS87)),2,99),UPPER(LEFT(INDEX($PM87:$PS87,1,MAX(1,$MS87)),1))&amp;MID(INDEX($PM87:$PS87,1,MAX(1,$MS87)),2,99)&amp;IF($MV87="",""," "&amp;$MV87)&amp;IF($PE87&gt;0," · +"&amp;$PE87&amp;"d8",""))))</f>
        <v/>
      </c>
      <c r="QF87" s="164">
        <f>COUNTIF($RK87:$RN87,"Longe")+3*COUNTIF($RK87:$RN87,"Muito Longe")</f>
        <v/>
      </c>
      <c r="QG87" s="164">
        <f>COUNTIF($RK87:$RN87,"Maior")+3*COUNTIF($RK87:$RN87,"Muito Maior")</f>
        <v/>
      </c>
      <c r="QH87" s="164">
        <f>IF($NJ87=0,0,CHOOSE(1+INDEX('DADOS_FORMAS'!$GG$2:$GG$21,$NJ87),0,$QF87,$QG87,$QF87+$QG87))</f>
        <v/>
      </c>
      <c r="QI87" s="164">
        <f>IF($NJ87=0,0,CHOOSE(1+INDEX('DADOS_FORMAS'!$GH$2:$GH$21,$NJ87),0,$QF87,$QG87,$QF87+$QG87))</f>
        <v/>
      </c>
      <c r="QJ87" s="164">
        <f>IF(OR($ND87=0,$NJ87=0),"",INDEX('DADOS_FORMAS'!$HU$2:$HZ$81,($NJ87-1)*4+IF($MS87=0,1,IF($MS87&lt;=5,2,IF($MS87=6,3,4))),1+MIN(5,$QH87))&amp;INDEX('DADOS_FORMAS'!$IA$2:$IF$81,($NJ87-1)*4+IF($MS87=0,1,IF($MS87&lt;=5,2,IF($MS87=6,3,4))),1+MIN(5,$QI87))&amp;IF(INDEX('DADOS_FORMAS'!$GI$2:$GI$21,$NJ87)=1,IF(COUNTIF($RK87:$RN87,"Mais Um")&gt;0," · +"&amp;COUNTIF($RK87:$RN87,"Mais Um")&amp;IF(COUNTIF($RK87:$RN87,"Mais Um")&gt;1," alvos"," alvo"),"")&amp;IF(COUNTIF($RK87:$RN87,"Rajada")&gt;0,IF($MS87=0," · 1 tiro"," · "&amp;(MAX(1,$MS87-1)+1)&amp;" tiros"),""),""))</f>
        <v/>
      </c>
      <c r="QK87" s="164">
        <f>IF($ND87=0,"",IF($MS87=0,$NG87&amp;"d6"&amp;IF($OU87&gt;0," − 1 = "&amp;$PD87&amp;"d6"," da básica do nível "&amp;$NE87),$PB87&amp;" − "&amp;$OW87&amp;" + "&amp;$OZ87&amp;" = "&amp;$PC87&amp;" · teto "&amp;4*$MS87&amp;"d8"&amp;IF($OF87=1," · a Forma devolve "&amp;$MS87,"")&amp;IF($PA87&gt;0," · perde "&amp;$PA87,"")))</f>
        <v/>
      </c>
      <c r="QL87" s="164">
        <f>IF($ND87=0,"",IF($MS87=0,"A básica não amplia: os dados dela sobem com o nível",IF($MS87&gt;=$NF87,"Já está na maior Classe que o nível liberou",TEXTJOIN(" · ",TRUE,IF(AND(2&gt;$MS87,2&lt;=$NF87),"2 → "&amp;$PN87&amp;", 6 PE",""),IF(AND(3&gt;$MS87,3&lt;=$NF87),"3 → "&amp;$PO87&amp;", 9 PE",""),IF(AND(4&gt;$MS87,4&lt;=$NF87),"4 → "&amp;$PP87&amp;", 12 PE",""),IF(AND(5&gt;$MS87,5&lt;=$NF87),"5 → "&amp;$PQ87&amp;", 15 PE",""),IF(AND(6&gt;$MS87,6&lt;=$NF87),"6 → "&amp;$PR87&amp;", 18 PE",""),IF(AND(7&gt;$MS87,7&lt;=$NF87),"7 → "&amp;$PS87&amp;", 21 PE","")))))</f>
        <v/>
      </c>
      <c r="QM87" s="164">
        <f>IF(OR($ND87=0,$NO87=0),"",IF($MS87=0,"−1 dado","−"&amp;INDEX($I$2:$N$8,MAX(1,$MS87),MAX(1,$NT87))&amp;" · "&amp;CHOOSE(MAX(1,$NT87),"Leve","Média","Pesada","Leve · Livre","Média · Livre","Pesada · Livre")))</f>
        <v/>
      </c>
      <c r="QN87" s="164">
        <f>IF(OR($ND87=0,$NP87=0),"",IF($MS87=0,"−1 dado","−"&amp;INDEX($I$2:$N$8,MAX(1,$MS87),MAX(1,$NU87))&amp;" · "&amp;CHOOSE(MAX(1,$NU87),"Leve","Média","Pesada","Leve · Livre","Média · Livre","Pesada · Livre")))</f>
        <v/>
      </c>
      <c r="QO87" s="164">
        <f>IF(OR($ND87=0,$NQ87=0),"",IF($MS87=0,"−1 dado","−"&amp;INDEX($I$2:$N$8,MAX(1,$MS87),MAX(1,$NV87))&amp;" · "&amp;CHOOSE(MAX(1,$NV87),"Leve","Média","Pesada","Leve · Livre","Média · Livre","Pesada · Livre")))</f>
        <v/>
      </c>
      <c r="QP87" s="164">
        <f>IF(OR($ND87=0,$NR87=0),"",IF($MS87=0,"−1 dado","−"&amp;INDEX($I$2:$N$8,MAX(1,$MS87),MAX(1,$NW87))&amp;" · "&amp;CHOOSE(MAX(1,$NW87),"Leve","Média","Pesada","Leve · Livre","Média · Livre","Pesada · Livre")))</f>
        <v/>
      </c>
      <c r="QQ87" s="164">
        <f>IF(OR($ND87=0,$NB87=""),"",IF($MS87=0,"não devolve","+"&amp;IF($OI87=1,CEILING($MS87/2,1),$MS87)))</f>
        <v/>
      </c>
      <c r="QR87" s="164">
        <f>IF(OR($ND87=0,$NC87=""),"",IF($MS87=0,"não devolve","+"&amp;IF($OJ87=1,CEILING($MS87/2,1),$MS87)))</f>
        <v/>
      </c>
      <c r="RK87">
        <f>IF($MX87="","",IFERROR(VLOOKUP(SUBSTITUTE(SUBSTITUTE(SUBSTITUTE($MX87,"~","~~"),"*","~*"),"?","~?"),'DADOS_MELHORIAS'!$O$2:$X$113,10,FALSE),$MX87))</f>
        <v/>
      </c>
      <c r="RL87">
        <f>IF($MY87="","",IFERROR(VLOOKUP(SUBSTITUTE(SUBSTITUTE(SUBSTITUTE($MY87,"~","~~"),"*","~*"),"?","~?"),'DADOS_MELHORIAS'!$O$2:$X$113,10,FALSE),$MY87))</f>
        <v/>
      </c>
      <c r="RM87">
        <f>IF($MZ87="","",IFERROR(VLOOKUP(SUBSTITUTE(SUBSTITUTE(SUBSTITUTE($MZ87,"~","~~"),"*","~*"),"?","~?"),'DADOS_MELHORIAS'!$O$2:$X$113,10,FALSE),$MZ87))</f>
        <v/>
      </c>
      <c r="RN87">
        <f>IF($NA87="","",IFERROR(VLOOKUP(SUBSTITUTE(SUBSTITUTE(SUBSTITUTE($NA87,"~","~~"),"*","~*"),"?","~?"),'DADOS_MELHORIAS'!$O$2:$X$113,10,FALSE),$NA87))</f>
        <v/>
      </c>
      <c r="RO87">
        <f>IFERROR(INDEX('DADOS_FORMAS'!$BJ$2:$BJ$21,MATCH(SUBSTITUTE(SUBSTITUTE(SUBSTITUTE($MU87,"~","~~"),"*","~*"),"?","~?"),'DADOS_FORMAS'!$AH$2:$AH$21,0)),"")</f>
        <v/>
      </c>
      <c r="RP87">
        <f>IFERROR(VLOOKUP(SUBSTITUTE(SUBSTITUTE(SUBSTITUTE(IFERROR(INDEX('DADOS_FORMAS'!$AS$2:$AS$21,MATCH(SUBSTITUTE(SUBSTITUTE(SUBSTITUTE($MU87,"~","~~"),"*","~*"),"?","~?"),'DADOS_FORMAS'!$AH$2:$AH$21,0)),""),"~","~~"),"*","~*"),"?","~?"),'DADOS_RESTRICOES'!$M$2:$Q$54,2,FALSE),"")</f>
        <v/>
      </c>
      <c r="RQ87">
        <f>$OK87</f>
        <v/>
      </c>
      <c r="RR87">
        <f>$OL87</f>
        <v/>
      </c>
      <c r="RS87">
        <f>$RP87</f>
        <v/>
      </c>
    </row>
    <row r="88">
      <c r="MN88" s="162" t="inlineStr">
        <is>
          <t>Ficha 7 · Especial 7</t>
        </is>
      </c>
      <c r="MO88" s="164" t="n">
        <v>7</v>
      </c>
      <c r="MP88" s="164" t="n">
        <v>1</v>
      </c>
      <c r="MQ88" s="164" t="n">
        <v>24</v>
      </c>
      <c r="MR88" s="162" t="inlineStr">
        <is>
          <t>ESPECIAL 7</t>
        </is>
      </c>
      <c r="MS88" s="164">
        <f>MAX(1,MIN(7,N('INVOCAÇÕES'!$AN$127)))</f>
        <v/>
      </c>
      <c r="MT88" s="164">
        <f>'INVOCAÇÕES'!$AO$127&amp;""</f>
        <v/>
      </c>
      <c r="MU88" s="164">
        <f>'INVOCAÇÕES'!$AN$132&amp;""</f>
        <v/>
      </c>
      <c r="MV88" s="164">
        <f>'INVOCAÇÕES'!$AN$133&amp;""</f>
        <v/>
      </c>
      <c r="MW88" s="164">
        <f>'INVOCAÇÕES'!$AP$133&amp;""</f>
        <v/>
      </c>
      <c r="MX88" s="164">
        <f>'INVOCAÇÕES'!$AO$136&amp;""</f>
        <v/>
      </c>
      <c r="MY88" s="164">
        <f>'INVOCAÇÕES'!$AO$137&amp;""</f>
        <v/>
      </c>
      <c r="MZ88" s="164">
        <f>'INVOCAÇÕES'!$AO$138&amp;""</f>
        <v/>
      </c>
      <c r="NA88" s="164">
        <f>'INVOCAÇÕES'!$AO$139&amp;""</f>
        <v/>
      </c>
      <c r="NB88" s="164">
        <f>'INVOCAÇÕES'!$AO$140&amp;""</f>
        <v/>
      </c>
      <c r="NC88" s="164">
        <f>'INVOCAÇÕES'!$AO$141&amp;""</f>
        <v/>
      </c>
      <c r="ND88" s="164">
        <f>IF($MT88&lt;&gt;"",1,0)</f>
        <v/>
      </c>
      <c r="NE88" s="164">
        <f>INDEX($FO$2:$FO$13,$MO88)</f>
        <v/>
      </c>
      <c r="NF88" s="164">
        <f>INDEX($FP$2:$FP$13,$MO88)</f>
        <v/>
      </c>
      <c r="NG88" s="164">
        <f>INDEX($FQ$2:$FQ$13,$MO88)</f>
        <v/>
      </c>
      <c r="NH88" s="164">
        <f>INDEX($GB$2:$GB$13,$MO88)</f>
        <v/>
      </c>
      <c r="NI88" s="164">
        <f>INDEX($GC$2:$GC$13,$MO88)</f>
        <v/>
      </c>
      <c r="NJ88" s="164">
        <f>IFERROR(MATCH(SUBSTITUTE(SUBSTITUTE(SUBSTITUTE($MU88,"~","~~"),"*","~*"),"?","~?"),'DADOS_FORMAS'!$FZ$2:$FZ$21,0),0)</f>
        <v/>
      </c>
      <c r="NK88" s="164">
        <f>IFERROR(VLOOKUP(SUBSTITUTE(SUBSTITUTE(SUBSTITUTE($MX88,"~","~~"),"*","~*"),"?","~?"),'DADOS_MELHORIAS'!$AG$2:$AL$113,2,FALSE),"")</f>
        <v/>
      </c>
      <c r="NL88" s="164">
        <f>IFERROR(VLOOKUP(SUBSTITUTE(SUBSTITUTE(SUBSTITUTE($MY88,"~","~~"),"*","~*"),"?","~?"),'DADOS_MELHORIAS'!$AG$2:$AL$113,2,FALSE),"")</f>
        <v/>
      </c>
      <c r="NM88" s="164">
        <f>IFERROR(VLOOKUP(SUBSTITUTE(SUBSTITUTE(SUBSTITUTE($MZ88,"~","~~"),"*","~*"),"?","~?"),'DADOS_MELHORIAS'!$AG$2:$AL$113,2,FALSE),"")</f>
        <v/>
      </c>
      <c r="NN88" s="164">
        <f>IFERROR(VLOOKUP(SUBSTITUTE(SUBSTITUTE(SUBSTITUTE($NA88,"~","~~"),"*","~*"),"?","~?"),'DADOS_MELHORIAS'!$AG$2:$AL$113,2,FALSE),"")</f>
        <v/>
      </c>
      <c r="NO88" s="164">
        <f>IFERROR(VLOOKUP(SUBSTITUTE(SUBSTITUTE(SUBSTITUTE($MX88,"~","~~"),"*","~*"),"?","~?"),'DADOS_MELHORIAS'!$AG$2:$AL$113,3,FALSE),0)</f>
        <v/>
      </c>
      <c r="NP88" s="164">
        <f>IFERROR(VLOOKUP(SUBSTITUTE(SUBSTITUTE(SUBSTITUTE($MY88,"~","~~"),"*","~*"),"?","~?"),'DADOS_MELHORIAS'!$AG$2:$AL$113,3,FALSE),0)</f>
        <v/>
      </c>
      <c r="NQ88" s="164">
        <f>IFERROR(VLOOKUP(SUBSTITUTE(SUBSTITUTE(SUBSTITUTE($MZ88,"~","~~"),"*","~*"),"?","~?"),'DADOS_MELHORIAS'!$AG$2:$AL$113,3,FALSE),0)</f>
        <v/>
      </c>
      <c r="NR88" s="164">
        <f>IFERROR(VLOOKUP(SUBSTITUTE(SUBSTITUTE(SUBSTITUTE($NA88,"~","~~"),"*","~*"),"?","~?"),'DADOS_MELHORIAS'!$AG$2:$AL$113,3,FALSE),0)</f>
        <v/>
      </c>
      <c r="NS88" s="164">
        <f>IF($MS88=0,0,IF($NJ88=0,0,INDEX('DADOS_FORMAS'!$GB$2:$GB$21,$NJ88)))</f>
        <v/>
      </c>
      <c r="NT88" s="164">
        <f>IF(OR($NO88=0,$MS88=0),0,$NO88+3*IF(AND($NK88&lt;&gt;"",COUNTIF(INDEX($RB$2:$RJ$13,$MO88,0),$NK88)&gt;0),1,0))</f>
        <v/>
      </c>
      <c r="NU88" s="164">
        <f>IF(OR($NP88=0,$MS88=0),0,$NP88+3*IF(AND($NL88&lt;&gt;"",COUNTIF(INDEX($RB$2:$RJ$13,$MO88,0),$NL88)&gt;0),1,0))</f>
        <v/>
      </c>
      <c r="NV88" s="164">
        <f>IF(OR($NQ88=0,$MS88=0),0,$NQ88+3*IF(AND($NM88&lt;&gt;"",COUNTIF(INDEX($RB$2:$RJ$13,$MO88,0),$NM88)&gt;0),1,0))</f>
        <v/>
      </c>
      <c r="NW88" s="164">
        <f>IF(OR($NR88=0,$MS88=0),0,$NR88+3*IF(AND($NN88&lt;&gt;"",COUNTIF(INDEX($RB$2:$RJ$13,$MO88,0),$NN88)&gt;0),1,0))</f>
        <v/>
      </c>
      <c r="NX88" s="164">
        <f>IF($NJ88=0,0,IF(INDEX('DADOS_FORMAS'!$GA$2:$GA$21,$NJ88)="",0,IF((COUNTIF(INDEX($EL$2:$EP$13,$MO88,0),INDEX('DADOS_FORMAS'!$GA$2:$GA$21,$NJ88))+COUNTIF(INDEX($QV$2:$QY$13,$MO88,0),INDEX('DADOS_FORMAS'!$GA$2:$GA$21,$NJ88)))=0,1,0)))</f>
        <v/>
      </c>
      <c r="NY88" s="164">
        <f>IF(OR($NO88=0,$NK88=""),0,IF((COUNTIF(INDEX($EL$2:$EP$13,$MO88,0),$NK88)+COUNTIF(INDEX($QV$2:$QY$13,$MO88,0),$NK88))=0,1,0))</f>
        <v/>
      </c>
      <c r="NZ88" s="164">
        <f>IF(OR($NP88=0,$NL88=""),0,IF((COUNTIF(INDEX($EL$2:$EP$13,$MO88,0),$NL88)+COUNTIF(INDEX($QV$2:$QY$13,$MO88,0),$NL88))=0,1,0))</f>
        <v/>
      </c>
      <c r="OA88" s="164">
        <f>IF(OR($NQ88=0,$NM88=""),0,IF((COUNTIF(INDEX($EL$2:$EP$13,$MO88,0),$NM88)+COUNTIF(INDEX($QV$2:$QY$13,$MO88,0),$NM88))=0,1,0))</f>
        <v/>
      </c>
      <c r="OB88" s="164">
        <f>IF(OR($NR88=0,$NN88=""),0,IF((COUNTIF(INDEX($EL$2:$EP$13,$MO88,0),$NN88)+COUNTIF(INDEX($QV$2:$QY$13,$MO88,0),$NN88))=0,1,0))</f>
        <v/>
      </c>
      <c r="OC88" s="164">
        <f>IFERROR(VLOOKUP(SUBSTITUTE(SUBSTITUTE(SUBSTITUTE($MX88,"~","~~"),"*","~*"),"?","~?"),'DADOS_MELHORIAS'!$AG$2:$AL$113,4,FALSE),0)+IFERROR(VLOOKUP(SUBSTITUTE(SUBSTITUTE(SUBSTITUTE($MY88,"~","~~"),"*","~*"),"?","~?"),'DADOS_MELHORIAS'!$AG$2:$AL$113,4,FALSE),0)+IFERROR(VLOOKUP(SUBSTITUTE(SUBSTITUTE(SUBSTITUTE($MZ88,"~","~~"),"*","~*"),"?","~?"),'DADOS_MELHORIAS'!$AG$2:$AL$113,4,FALSE),0)+IFERROR(VLOOKUP(SUBSTITUTE(SUBSTITUTE(SUBSTITUTE($NA88,"~","~~"),"*","~*"),"?","~?"),'DADOS_MELHORIAS'!$AG$2:$AL$113,4,FALSE),0)</f>
        <v/>
      </c>
      <c r="OD88" s="164">
        <f>IFERROR(VLOOKUP(SUBSTITUTE(SUBSTITUTE(SUBSTITUTE($MX88,"~","~~"),"*","~*"),"?","~?"),'DADOS_MELHORIAS'!$AG$2:$AL$113,6,FALSE),0)+IFERROR(VLOOKUP(SUBSTITUTE(SUBSTITUTE(SUBSTITUTE($MY88,"~","~~"),"*","~*"),"?","~?"),'DADOS_MELHORIAS'!$AG$2:$AL$113,6,FALSE),0)+IFERROR(VLOOKUP(SUBSTITUTE(SUBSTITUTE(SUBSTITUTE($MZ88,"~","~~"),"*","~*"),"?","~?"),'DADOS_MELHORIAS'!$AG$2:$AL$113,6,FALSE),0)+IFERROR(VLOOKUP(SUBSTITUTE(SUBSTITUTE(SUBSTITUTE($NA88,"~","~~"),"*","~*"),"?","~?"),'DADOS_MELHORIAS'!$AG$2:$AL$113,6,FALSE),0)+IFERROR(N(AND(INDEX('DADOS_FORMAS'!$AO$2:$AO$21,MATCH(SUBSTITUTE(SUBSTITUTE(SUBSTITUTE($MU88,"~","~~"),"*","~*"),"?","~?"),'DADOS_FORMAS'!$AH$2:$AH$21,0))="Acerto",$OH88=1)),0)</f>
        <v/>
      </c>
      <c r="OE88" s="164">
        <f>TEXTJOIN(", ",TRUE,IF(IFERROR(VLOOKUP(SUBSTITUTE(SUBSTITUTE(SUBSTITUTE($MX88,"~","~~"),"*","~*"),"?","~?"),'DADOS_MELHORIAS'!$AG$2:$AL$113,5,FALSE),0)=1,$MX88,""),IF(IFERROR(VLOOKUP(SUBSTITUTE(SUBSTITUTE(SUBSTITUTE($MY88,"~","~~"),"*","~*"),"?","~?"),'DADOS_MELHORIAS'!$AG$2:$AL$113,5,FALSE),0)=1,$MY88,""),IF(IFERROR(VLOOKUP(SUBSTITUTE(SUBSTITUTE(SUBSTITUTE($MZ88,"~","~~"),"*","~*"),"?","~?"),'DADOS_MELHORIAS'!$AG$2:$AL$113,5,FALSE),0)=1,$MZ88,""),IF(IFERROR(VLOOKUP(SUBSTITUTE(SUBSTITUTE(SUBSTITUTE($NA88,"~","~~"),"*","~*"),"?","~?"),'DADOS_MELHORIAS'!$AG$2:$AL$113,5,FALSE),0)=1,$NA88,""))</f>
        <v/>
      </c>
      <c r="OF88" s="164">
        <f>IF($NJ88=0,0,INDEX('DADOS_FORMAS'!$GC$2:$GC$21,$NJ88))</f>
        <v/>
      </c>
      <c r="OG88" s="164">
        <f>IF($NJ88=0,0,INDEX('DADOS_FORMAS'!$GD$2:$GD$21,$NJ88))</f>
        <v/>
      </c>
      <c r="OH88" s="164">
        <f>IF($NJ88=0,0,INDEX('DADOS_FORMAS'!$GF$2:$GF$21,$NJ88))</f>
        <v/>
      </c>
      <c r="OI88" s="164">
        <f>IFERROR(VLOOKUP(SUBSTITUTE(SUBSTITUTE(SUBSTITUTE($NB88,"~","~~"),"*","~*"),"?","~?"),'DADOS_RESTRICOES'!$M$2:$Q$54,3,FALSE),0)</f>
        <v/>
      </c>
      <c r="OJ88" s="164">
        <f>IFERROR(VLOOKUP(SUBSTITUTE(SUBSTITUTE(SUBSTITUTE($NC88,"~","~~"),"*","~*"),"?","~?"),'DADOS_RESTRICOES'!$M$2:$Q$54,3,FALSE),0)</f>
        <v/>
      </c>
      <c r="OK88" s="164">
        <f>IFERROR(VLOOKUP(SUBSTITUTE(SUBSTITUTE(SUBSTITUTE($NB88,"~","~~"),"*","~*"),"?","~?"),'DADOS_RESTRICOES'!$M$2:$Q$54,2,FALSE),"")</f>
        <v/>
      </c>
      <c r="OL88" s="164">
        <f>IFERROR(VLOOKUP(SUBSTITUTE(SUBSTITUTE(SUBSTITUTE($NC88,"~","~~"),"*","~*"),"?","~?"),'DADOS_RESTRICOES'!$M$2:$Q$54,2,FALSE),"")</f>
        <v/>
      </c>
      <c r="OM88" s="164">
        <f>COUNTIF($NS88:$NW88,1)</f>
        <v/>
      </c>
      <c r="ON88" s="164">
        <f>COUNTIF($NS88:$NW88,2)</f>
        <v/>
      </c>
      <c r="OO88" s="164">
        <f>COUNTIF($NS88:$NW88,3)</f>
        <v/>
      </c>
      <c r="OP88" s="164">
        <f>COUNTIF($NS88:$NW88,4)</f>
        <v/>
      </c>
      <c r="OQ88" s="164">
        <f>COUNTIF($NS88:$NW88,5)</f>
        <v/>
      </c>
      <c r="OR88" s="164">
        <f>COUNTIF($NS88:$NW88,6)</f>
        <v/>
      </c>
      <c r="OS88" s="164">
        <f>COUNTIF($OI88:$OJ88,1)+IF(IFERROR(INDEX('DADOS_FORMAS'!$AS$2:$AS$21,MATCH(SUBSTITUTE(SUBSTITUTE(SUBSTITUTE($MU88,"~","~~"),"*","~*"),"?","~?"),'DADOS_FORMAS'!$AH$2:$AH$21,0)),"")="",0,IFERROR(N(VLOOKUP(SUBSTITUTE(SUBSTITUTE(SUBSTITUTE(IFERROR(INDEX('DADOS_FORMAS'!$AS$2:$AS$21,MATCH(SUBSTITUTE(SUBSTITUTE(SUBSTITUTE($MU88,"~","~~"),"*","~*"),"?","~?"),'DADOS_FORMAS'!$AH$2:$AH$21,0)),""),"~","~~"),"*","~*"),"?","~?"),'DADOS_RESTRICOES'!$M$2:$Q$54,3,FALSE)=1),0))</f>
        <v/>
      </c>
      <c r="OT88" s="164">
        <f>COUNTIF($OI88:$OJ88,2)+IF(IFERROR(INDEX('DADOS_FORMAS'!$AS$2:$AS$21,MATCH(SUBSTITUTE(SUBSTITUTE(SUBSTITUTE($MU88,"~","~~"),"*","~*"),"?","~?"),'DADOS_FORMAS'!$AH$2:$AH$21,0)),"")="",0,IFERROR(N(VLOOKUP(SUBSTITUTE(SUBSTITUTE(SUBSTITUTE(IFERROR(INDEX('DADOS_FORMAS'!$AS$2:$AS$21,MATCH(SUBSTITUTE(SUBSTITUTE(SUBSTITUTE($MU88,"~","~~"),"*","~*"),"?","~?"),'DADOS_FORMAS'!$AH$2:$AH$21,0)),""),"~","~~"),"*","~*"),"?","~?"),'DADOS_RESTRICOES'!$M$2:$Q$54,3,FALSE)=2),0))</f>
        <v/>
      </c>
      <c r="OU88" s="164">
        <f>COUNTIF($MX88:$NA88,"?*")</f>
        <v/>
      </c>
      <c r="OV88" s="164">
        <f>COUNTIF($NB88:$NC88,"?*")+$OF88</f>
        <v/>
      </c>
      <c r="OW88" s="164">
        <f>IF($MS88=0,0,SUMPRODUCT($OM88:$OR88,INDEX($I$2:$N$8,MAX(1,$MS88),0)))</f>
        <v/>
      </c>
      <c r="OX88" s="164">
        <f>IF($MS88=0,0,$OS88*CEILING($MS88/2,1)+$OT88*$MS88)</f>
        <v/>
      </c>
      <c r="OY88" s="164">
        <f>MIN(2*$MS88,$OX88)</f>
        <v/>
      </c>
      <c r="OZ88" s="164">
        <f>MIN($OY88,$OW88-IF($NS88=0,0,INDEX($I$2:$N$8,MAX(1,$MS88),$NS88)))</f>
        <v/>
      </c>
      <c r="PA88" s="164">
        <f>$OY88-$OZ88</f>
        <v/>
      </c>
      <c r="PB88" s="164">
        <f>IF($MS88=0,0,INDEX($P$2:$P$8,MAX(1,$MS88)))</f>
        <v/>
      </c>
      <c r="PC88" s="164">
        <f>$PB88-$OW88+$OZ88</f>
        <v/>
      </c>
      <c r="PD88" s="164">
        <f>IF($MS88=0,MAX(0,$NG88-IF(AND($OU88&gt;0,COUNTIF($NB88:$NC88,"?*")=0),1,0)),MAX(0,$PC88))</f>
        <v/>
      </c>
      <c r="PE88" s="164">
        <f>IF($MS88=0,0,(IF(COUNTIF($RK88:$RN88,"Salto")&gt;0,1,0)+IF(COUNTIF($RK88:$RN88,"Queima")&gt;0,1,0)+IF(COUNTIF($RK88:$RN88,"Estilhaço")&gt;0,1,0))*FLOOR($PD88/2,1))</f>
        <v/>
      </c>
      <c r="PF88" s="164">
        <f>MAX(0,2-SUMPRODUCT($OM88:$OR88,$I$2:$N$2)+MIN(2,$OS88*1+$OT88*1,SUMPRODUCT($OM88:$OR88,$I$2:$N$2)-IF($NS88=0,0,INDEX($I$2:$N$2,1,$NS88))))</f>
        <v/>
      </c>
      <c r="PG88" s="164">
        <f>MAX(0,4-SUMPRODUCT($OM88:$OR88,$I$3:$N$3)+MIN(4,$OS88*1+$OT88*2,SUMPRODUCT($OM88:$OR88,$I$3:$N$3)-IF($NS88=0,0,INDEX($I$3:$N$3,1,$NS88))))</f>
        <v/>
      </c>
      <c r="PH88" s="164">
        <f>MAX(0,6-SUMPRODUCT($OM88:$OR88,$I$4:$N$4)+MIN(6,$OS88*2+$OT88*3,SUMPRODUCT($OM88:$OR88,$I$4:$N$4)-IF($NS88=0,0,INDEX($I$4:$N$4,1,$NS88))))</f>
        <v/>
      </c>
      <c r="PI88" s="164">
        <f>MAX(0,9-SUMPRODUCT($OM88:$OR88,$I$5:$N$5)+MIN(8,$OS88*2+$OT88*4,SUMPRODUCT($OM88:$OR88,$I$5:$N$5)-IF($NS88=0,0,INDEX($I$5:$N$5,1,$NS88))))</f>
        <v/>
      </c>
      <c r="PJ88" s="164">
        <f>MAX(0,11-SUMPRODUCT($OM88:$OR88,$I$6:$N$6)+MIN(10,$OS88*3+$OT88*5,SUMPRODUCT($OM88:$OR88,$I$6:$N$6)-IF($NS88=0,0,INDEX($I$6:$N$6,1,$NS88))))</f>
        <v/>
      </c>
      <c r="PK88" s="164">
        <f>MAX(0,13-SUMPRODUCT($OM88:$OR88,$I$7:$N$7)+MIN(12,$OS88*3+$OT88*6,SUMPRODUCT($OM88:$OR88,$I$7:$N$7)-IF($NS88=0,0,INDEX($I$7:$N$7,1,$NS88))))</f>
        <v/>
      </c>
      <c r="PL88" s="164">
        <f>MAX(0,16-SUMPRODUCT($OM88:$OR88,$I$8:$N$8)+MIN(14,$OS88*4+$OT88*7,SUMPRODUCT($OM88:$OR88,$I$8:$N$8)-IF($NS88=0,0,INDEX($I$8:$N$8,1,$NS88))))</f>
        <v/>
      </c>
      <c r="PM88" s="164">
        <f>IF($OG88=2,3*$PF88&amp;" de vida temp.",IF($OG88=3,"sem dano",IF($PF88=0,IF($OG88=1,"sem cura","sem dano"),IF($OG88=1,"cura ","")&amp;$PF88&amp;"d8")))</f>
        <v/>
      </c>
      <c r="PN88" s="164">
        <f>IF($OG88=2,3*$PG88&amp;" de vida temp.",IF($OG88=3,"sem dano",IF($PG88=0,IF($OG88=1,"sem cura","sem dano"),IF($OG88=1,"cura ","")&amp;$PG88&amp;"d8")))</f>
        <v/>
      </c>
      <c r="PO88" s="164">
        <f>IF($OG88=2,3*$PH88&amp;" de vida temp.",IF($OG88=3,"sem dano",IF($PH88=0,IF($OG88=1,"sem cura","sem dano"),IF($OG88=1,"cura ","")&amp;$PH88&amp;"d8")))</f>
        <v/>
      </c>
      <c r="PP88" s="164">
        <f>IF($OG88=2,3*$PI88&amp;" de vida temp.",IF($OG88=3,"sem dano",IF($PI88=0,IF($OG88=1,"sem cura","sem dano"),IF($OG88=1,"cura ","")&amp;$PI88&amp;"d8")))</f>
        <v/>
      </c>
      <c r="PQ88" s="164">
        <f>IF($OG88=2,3*$PJ88&amp;" de vida temp.",IF($OG88=3,"sem dano",IF($PJ88=0,IF($OG88=1,"sem cura","sem dano"),IF($OG88=1,"cura ","")&amp;$PJ88&amp;"d8")))</f>
        <v/>
      </c>
      <c r="PR88" s="164">
        <f>IF($OG88=2,3*$PK88&amp;" de vida temp.",IF($OG88=3,"sem dano",IF($PK88=0,IF($OG88=1,"sem cura","sem dano"),IF($OG88=1,"cura ","")&amp;$PK88&amp;"d8")))</f>
        <v/>
      </c>
      <c r="PS88" s="164">
        <f>IF($OG88=2,3*$PL88&amp;" de vida temp.",IF($OG88=3,"sem dano",IF($PL88=0,IF($OG88=1,"sem cura","sem dano"),IF($OG88=1,"cura ","")&amp;$PL88&amp;"d8")))</f>
        <v/>
      </c>
      <c r="PT88" s="164">
        <f>IF($ND88=0,"",TEXTJOIN(" · ",TRUE,IF($ND88=0,"",TEXTJOIN(" · ",TRUE,IF($ND88=0,"",TEXTJOIN(" · ",TRUE,IF($MQ88&gt;$NE88,"Este lugar abre no nível "&amp;$MQ88,""),IF($MS88&gt;$NF88,"Classe "&amp;$MS88&amp;": o nível "&amp;$NE88&amp;" libera até a "&amp;$NF88,""),IF($NX88=1,"A Forma "&amp;$MU88&amp;" pede "&amp;INDEX('DADOS_FORMAS'!$GA$2:$GA$21,$NJ88)&amp;" aberta",""),IF(AND($MS88=0,$NJ88&gt;0,IF($NJ88=0,0,INDEX('DADOS_FORMAS'!$GJ$2:$GJ$21,$NJ88))=0),$MU88&amp;" não existe na Classe 0",""),IF($NY88=1,"Família Fechada: "&amp;$MX88,""),IF($NZ88=1,"Família Fechada: "&amp;$MY88,""),IF($OA88=1,"Família Fechada: "&amp;$MZ88,""),IF($OB88=1,"Família Fechada: "&amp;$NA88,""),IF(AND($MS88&gt;0,$OU88&gt;INDEX($O$2:$O$8,MAX(1,$MS88))),$OU88&amp;" Melhorias: a Classe "&amp;$MS88&amp;" aceita "&amp;INDEX($O$2:$O$8,MAX(1,$MS88)),""),IF(AND($MS88=0,$OU88&gt;1),"A básica aceita uma Melhoria",""),IF(AND($MS88=0,COUNTIF($NO88:$NR88,"&gt;1")&gt;0),"A básica só aceita Melhoria Leve",""),IF(AND($MS88&gt;0,$OV88&gt;2),$OV88&amp;" Restrições"&amp;IF($OF88=1,", contando a que a Forma "&amp;$MU88&amp;" já traz","")&amp;": o limite é 2",""),IF(AND($MS88=0,COUNTIF($NB88:$NC88,"?*")&gt;1),"A básica aceita uma Restrição Leve",""),IF(AND($MS88=0,COUNTIF($OI88:$OJ88,2)&gt;0),"A básica só aceita Restrição Leve",""),IF(AND($MS88&gt;0,$PC88&lt;0),"Orçamento estourado: faltam "&amp;(-$PC88)&amp;IF($PC88&lt;-1," pontos"," ponto"),""),IF(IFERROR(VLOOKUP(SUBSTITUTE(SUBSTITUTE(SUBSTITUTE($NB88,"~","~~"),"*","~*"),"?","~?"),'DADOS_RESTRICOES'!$M$2:$Q$54,4,FALSE),0)+IFERROR(VLOOKUP(SUBSTITUTE(SUBSTITUTE(SUBSTITUTE($NC88,"~","~~"),"*","~*"),"?","~?"),'DADOS_RESTRICOES'!$M$2:$Q$54,4,FALSE),0)&gt;1,$OK88&amp;" e "&amp;$OL88&amp;" são as duas de frequência",""),IF(AND((COUNTIF($RK88:$RN88,"Rápido")+COUNTIF($OK88:$OL88,"Rápido"))&gt;0,(COUNTIF($MX88:$NA88,"Atrasar")+COUNTIF($OK88:$OL88,"Atrasar"))&gt;0),"Rápido não entra com Atrasar",""),IF(AND((COUNTIF($RK88:$RN88,"Reação")+COUNTIF($OK88:$OL88,"Reação"))&gt;0,(COUNTIF($RK88:$RN88,"Rápido")+COUNTIF($OK88:$OL88,"Rápido"))&gt;0),"Reação não entra com Rápido",""),IF(AND((COUNTIF($RK88:$RN88,"Reação")+COUNTIF($OK88:$OL88,"Reação"))&gt;0,(COUNTIF($RK88:$RN88,"Armado")+COUNTIF($OK88:$OL88,"Armado"))&gt;0),"Reação não entra com Armado",""),IF(AND((COUNTIF($RK88:$RN88,"Reação")+COUNTIF($OK88:$OL88,"Reação"))&gt;0,(COUNTIF($MX88:$NA88,"Atrasar")+COUNTIF($OK88:$OL88,"Atrasar"))&gt;0),"Reação não entra com Atrasar",""),IF(AND((COUNTIF($RK88:$RN88,"Reação")+COUNTIF($OK88:$OL88,"Reação"))&gt;0,(COUNTIF($MX88:$NA88,"Parado")+COUNTIF($OK88:$OL88,"Parado"))&gt;0),"Reação não entra com Parado",""),IF(AND((COUNTIF($MX88:$NA88,"Atrasar")+COUNTIF($OK88:$OL88,"Atrasar"))&gt;0,(COUNTIF($MX88:$NA88,"Parado")+COUNTIF($OK88:$OL88,"Parado"))&gt;0),"Atrasar não entra com Parado",""),IF(AND((COUNTIF($RK88:$RN88,"Armado")+COUNTIF($OK88:$OL88,"Armado"))&gt;0,(COUNTIF($MX88:$NA88,"Carregar")+COUNTIF($OK88:$OL88,"Carregar"))&gt;0),"Armado não entra com Carregar",""),IF(AND(COUNTIF($OK88:$OL88,"Corpo a Corpo")&gt;0,$OF88=0,OR($RO88="Cone",$RO88="Linha")),"Corpo a Corpo não entra em "&amp;$MU88,""),IF(AND(COUNTIF($OK88:$OL88,"Corpo a Corpo")&gt;0,$RP88="Corpo a Corpo"),"A Forma "&amp;$MU88&amp;" já traz o Corpo a Corpo",""),IF(AND(COUNTIF($OK88:$OL88,"Tudo ou Nada")&gt;0,$OH88=0),"Tudo ou Nada só entra em habilidade de Teste de Resistência",""),IF(AND(COUNTIF($RK88:$RN88,"Inescapável")&gt;0,OR($OU88&gt;1,$OV88&gt;0)),"Inescapável não aceita outra peça",""),IF(AND($MS88&gt;0,$PD88*IF(COUNTIF($RK88:$RN88,"Remate")&gt;0,1.25,1)+$PE88&gt;4*$MS88),($PD88*IF(COUNTIF($RK88:$RN88,"Remate")&gt;0,1.25,1)+$PE88)&amp;" dados somando repetições"&amp;IF(COUNTIF($RK88:$RN88,"Remate")&gt;0," e o Remate","")&amp;": o teto da Classe "&amp;$MS88&amp;" é "&amp;4*$MS88,""))),IF(AND($MX88&lt;&gt;"",COUNTIF('DADOS_MELHORIAS'!$O$2:$O$113,SUBSTITUTE(SUBSTITUTE(SUBSTITUTE($MX88,"~","~~"),"*","~*"),"?","~?"))=0),"Melhoria não cadastrada ou com erro: "&amp;$MX88,""),IF(AND($MY88&lt;&gt;"",COUNTIF('DADOS_MELHORIAS'!$O$2:$O$113,SUBSTITUTE(SUBSTITUTE(SUBSTITUTE($MY88,"~","~~"),"*","~*"),"?","~?"))=0),"Melhoria não cadastrada ou com erro: "&amp;$MY88,""),IF(AND($MZ88&lt;&gt;"",COUNTIF('DADOS_MELHORIAS'!$O$2:$O$113,SUBSTITUTE(SUBSTITUTE(SUBSTITUTE($MZ88,"~","~~"),"*","~*"),"?","~?"))=0),"Melhoria não cadastrada ou com erro: "&amp;$MZ88,""),IF(AND($NA88&lt;&gt;"",COUNTIF('DADOS_MELHORIAS'!$O$2:$O$113,SUBSTITUTE(SUBSTITUTE(SUBSTITUTE($NA88,"~","~~"),"*","~*"),"?","~?"))=0),"Melhoria não cadastrada ou com erro: "&amp;$NA88,""),IF(AND($NB88&lt;&gt;"",COUNTIF('DADOS_RESTRICOES'!$M$2:$M$54,SUBSTITUTE(SUBSTITUTE(SUBSTITUTE($NB88,"~","~~"),"*","~*"),"?","~?"))=0),"Restrição não cadastrada ou com erro: "&amp;$NB88,""),IF(AND($NC88&lt;&gt;"",COUNTIF('DADOS_RESTRICOES'!$M$2:$M$54,SUBSTITUTE(SUBSTITUTE(SUBSTITUTE($NC88,"~","~~"),"*","~*"),"?","~?"))=0),"Restrição não cadastrada ou com erro: "&amp;$NC88,""))),IF(AND($MU88&lt;&gt;"",COUNTIF('DADOS_FORMAS'!$AH$2:$AH$21,SUBSTITUTE(SUBSTITUTE(SUBSTITUTE($MU88,"~","~~"),"*","~*"),"?","~?"))=0),"Forma não cadastrada ou com erro: "&amp;$MU88,""),IF(AND(IFERROR(INDEX('DADOS_FORMAS'!$AS$2:$AS$21,MATCH(SUBSTITUTE(SUBSTITUTE(SUBSTITUTE($MU88,"~","~~"),"*","~*"),"?","~?"),'DADOS_FORMAS'!$AH$2:$AH$21,0)),"")&lt;&gt;"",OR(IFERROR(VLOOKUP(SUBSTITUTE(SUBSTITUTE(SUBSTITUTE(IFERROR(INDEX('DADOS_FORMAS'!$AS$2:$AS$21,MATCH(SUBSTITUTE(SUBSTITUTE(SUBSTITUTE($MU88,"~","~~"),"*","~*"),"?","~?"),'DADOS_FORMAS'!$AH$2:$AH$21,0)),""),"~","~~"),"*","~*"),"?","~?"),'DADOS_RESTRICOES'!$M$2:$Q$54,2,FALSE),"")=$OK88,IFERROR(VLOOKUP(SUBSTITUTE(SUBSTITUTE(SUBSTITUTE(IFERROR(INDEX('DADOS_FORMAS'!$AS$2:$AS$21,MATCH(SUBSTITUTE(SUBSTITUTE(SUBSTITUTE($MU88,"~","~~"),"*","~*"),"?","~?"),'DADOS_FORMAS'!$AH$2:$AH$21,0)),""),"~","~~"),"*","~*"),"?","~?"),'DADOS_RESTRICOES'!$M$2:$Q$54,2,FALSE),"")=$OL88)),"Restrição repetida, contando a embutida",""),IF(IF(IFERROR(INDEX('DADOS_FORMAS'!$AS$2:$AS$21,MATCH(SUBSTITUTE(SUBSTITUTE(SUBSTITUTE($MU88,"~","~~"),"*","~*"),"?","~?"),'DADOS_FORMAS'!$AH$2:$AH$21,0)),"")="",0,IFERROR(N(VLOOKUP(SUBSTITUTE(SUBSTITUTE(SUBSTITUTE(IFERROR(INDEX('DADOS_FORMAS'!$AS$2:$AS$21,MATCH(SUBSTITUTE(SUBSTITUTE(SUBSTITUTE($MU88,"~","~~"),"*","~*"),"?","~?"),'DADOS_FORMAS'!$AH$2:$AH$21,0)),""),"~","~~"),"*","~*"),"?","~?"),'DADOS_RESTRICOES'!$M$2:$Q$54,4,FALSE)=1),0))+IF($NB88="",0,IFERROR(N(VLOOKUP(SUBSTITUTE(SUBSTITUTE(SUBSTITUTE($NB88,"~","~~"),"*","~*"),"?","~?"),'DADOS_RESTRICOES'!$M$2:$Q$54,4,FALSE)=1),0))+IF($NC88="",0,IFERROR(N(VLOOKUP(SUBSTITUTE(SUBSTITUTE(SUBSTITUTE($NC88,"~","~~"),"*","~*"),"?","~?"),'DADOS_RESTRICOES'!$M$2:$Q$54,4,FALSE)=1),0))&gt;1,"Duas Restrições de frequência, contando a embutida",""),IF(AND(IFERROR(VLOOKUP(SUBSTITUTE(SUBSTITUTE(SUBSTITUTE(IFERROR(INDEX('DADOS_FORMAS'!$AS$2:$AS$21,MATCH(SUBSTITUTE(SUBSTITUTE(SUBSTITUTE($MU88,"~","~~"),"*","~*"),"?","~?"),'DADOS_FORMAS'!$AH$2:$AH$21,0)),""),"~","~~"),"*","~*"),"?","~?"),'DADOS_RESTRICOES'!$M$2:$Q$54,2,FALSE),"")="Tudo ou Nada",$OH88=0),"Tudo ou Nada exige TR",""),IF(AND(IFERROR(VLOOKUP(SUBSTITUTE(SUBSTITUTE(SUBSTITUTE(IFERROR(INDEX('DADOS_FORMAS'!$AS$2:$AS$21,MATCH(SUBSTITUTE(SUBSTITUTE(SUBSTITUTE($MU88,"~","~~"),"*","~*"),"?","~?"),'DADOS_FORMAS'!$AH$2:$AH$21,0)),""),"~","~~"),"*","~*"),"?","~?"),'DADOS_RESTRICOES'!$M$2:$Q$54,2,FALSE),"")="Corpo a Corpo",OR($RO88="Cone",$RO88="Linha")),"Corpo a Corpo não entra em Cone/Linha","")))</f>
        <v/>
      </c>
      <c r="PU88" s="164">
        <f>IF($PT88="",0,(LEN($PT88)-LEN(SUBSTITUTE($PT88," · ","")))/3+1)</f>
        <v/>
      </c>
      <c r="PV88" s="164">
        <f>IF($ND88=0,"",TEXTJOIN(" · ",TRUE,IF($OX88&gt;2*$MS88,"A devolução parou no teto de "&amp;2*$MS88,""),IF($PA88&gt;0,"Devolução perdida: "&amp;$PA88&amp;IF($PA88&gt;1," pontos"," ponto")&amp;" sem Melhoria para pagar",""),IF(AND($OC88&gt;0,AND($MS88&gt;0,$OG88=0),$PD88=0),"Controle sem dano: uma rodada a mais e CD +2",""),IF(AND($OC88&gt;0,AND($MS88&gt;0,$OG88=0),$PD88&gt;0,$PD88&lt;=$MS88),"Controle com saldo até a Classe: uma rodada a mais",""),IF(AND($MS88&gt;0,$OE88&lt;&gt;""),"Efeito de "&amp;$OE88&amp;" pela Classe "&amp;MAX(1,$MS88-1),"")))</f>
        <v/>
      </c>
      <c r="PW88" s="164">
        <f>IF($PV88="",0,(LEN($PV88)-LEN(SUBSTITUTE($PV88," · ","")))/3+1)</f>
        <v/>
      </c>
      <c r="PX88" s="164">
        <f>IF($ND88=0,IF($OU88+COUNTIF($NB88:$NC88,"?*")&gt;0,"Dê um nome",""),IF($PU88&gt;0,"⚠ "&amp;$PU88&amp;IF($PU88&gt;1," erros"," erro"),IF($PW88&gt;0,"! "&amp;$PW88&amp;IF($PW88&gt;1," avisos"," aviso"),"Na regra")))</f>
        <v/>
      </c>
      <c r="PY88" s="164">
        <f>IF($ND88=0,"",IF($PU88+$PW88=0,"Dentro das regras que a ficha confere",$PT88&amp;IF(AND($PU88&gt;0,$PW88&gt;0)," · ","")&amp;$PV88))</f>
        <v/>
      </c>
      <c r="PZ88" s="164">
        <f>IF($MQ88&gt;$NE88,$MR88&amp;" · ABRE NO NÍVEL "&amp;$MQ88,$MR88)</f>
        <v/>
      </c>
      <c r="QA88" s="164">
        <f>IF($ND88=0,"",IF($MS88=0,"Sem PE",3*$MS88&amp;" PE"))</f>
        <v/>
      </c>
      <c r="QB88" s="164">
        <f>IF($ND88=0,"",IF($MS88=0,"A atuação básica dela",IF(COUNTIF($RQ88:$RS88,"Atrasar")&gt;0,"Sua Ação Completa",IF(COUNTIF($RK88:$RN88,"Rápido")&gt;0,"Sua Bônus",IF(COUNTIF($RK88:$RN88,"Reação")&gt;0,"Sua Reação","Sua Padrão")))&amp;" + a básica dela"&amp;IF(COUNTIF($RK88:$RN88,"Reação")&gt;0," e a coletiva","")&amp;IF(COUNTIF($RQ88:$RS88,"Carregar")&gt;0," · em dois turnos","")))</f>
        <v/>
      </c>
      <c r="QC88" s="164">
        <f>IF($MW88&lt;&gt;"",$MW88,IF($NJ88=0,"",INDEX('DADOS_FORMAS'!$GE$2:$GE$21,$NJ88)))</f>
        <v/>
      </c>
      <c r="QD88" s="164">
        <f>IF(OR($ND88=0,$NJ88=0),"",IF(COUNTIF($RK88:$RN88,"Inescapável")&gt;0,"Automático",IF($QC88="Ataque",IF($NH88="","Ataque","Ataque "&amp;IF(($NH88+2*IF(COUNTIF($RK88:$RN88,"Precisão")&gt;0,1,0))&gt;=0,"+","−")&amp;ABS(($NH88+2*IF(COUNTIF($RK88:$RN88,"Precisão")&gt;0,1,0))))&amp;IF($OD88&gt;0," · TR"&amp;IF($NI88="",""," CD "&amp;$NI88),""),IF(LEFT($QC88,2)="TR",$QC88&amp;IF($NI88="",""," · CD "&amp;$NI88)&amp;IF(COUNTIF($RK88:$RN88,"Certeiro")&gt;0," · metade",""),"Sem rolagem"))))</f>
        <v/>
      </c>
      <c r="QE88" s="164">
        <f>IF(OR($ND88=0,$NJ88=0),"",IF($MS88=0,IF(OR($OG88&gt;=1,$PD88=0),"Sem dano",$PD88&amp;"d6"&amp;IF($MV88="",""," "&amp;$MV88)),IF(OR($OG88&gt;=1,$PD88=0),UPPER(LEFT(INDEX($PM88:$PS88,1,MAX(1,$MS88)),1))&amp;MID(INDEX($PM88:$PS88,1,MAX(1,$MS88)),2,99),UPPER(LEFT(INDEX($PM88:$PS88,1,MAX(1,$MS88)),1))&amp;MID(INDEX($PM88:$PS88,1,MAX(1,$MS88)),2,99)&amp;IF($MV88="",""," "&amp;$MV88)&amp;IF($PE88&gt;0," · +"&amp;$PE88&amp;"d8",""))))</f>
        <v/>
      </c>
      <c r="QF88" s="164">
        <f>COUNTIF($RK88:$RN88,"Longe")+3*COUNTIF($RK88:$RN88,"Muito Longe")</f>
        <v/>
      </c>
      <c r="QG88" s="164">
        <f>COUNTIF($RK88:$RN88,"Maior")+3*COUNTIF($RK88:$RN88,"Muito Maior")</f>
        <v/>
      </c>
      <c r="QH88" s="164">
        <f>IF($NJ88=0,0,CHOOSE(1+INDEX('DADOS_FORMAS'!$GG$2:$GG$21,$NJ88),0,$QF88,$QG88,$QF88+$QG88))</f>
        <v/>
      </c>
      <c r="QI88" s="164">
        <f>IF($NJ88=0,0,CHOOSE(1+INDEX('DADOS_FORMAS'!$GH$2:$GH$21,$NJ88),0,$QF88,$QG88,$QF88+$QG88))</f>
        <v/>
      </c>
      <c r="QJ88" s="164">
        <f>IF(OR($ND88=0,$NJ88=0),"",INDEX('DADOS_FORMAS'!$HU$2:$HZ$81,($NJ88-1)*4+IF($MS88=0,1,IF($MS88&lt;=5,2,IF($MS88=6,3,4))),1+MIN(5,$QH88))&amp;INDEX('DADOS_FORMAS'!$IA$2:$IF$81,($NJ88-1)*4+IF($MS88=0,1,IF($MS88&lt;=5,2,IF($MS88=6,3,4))),1+MIN(5,$QI88))&amp;IF(INDEX('DADOS_FORMAS'!$GI$2:$GI$21,$NJ88)=1,IF(COUNTIF($RK88:$RN88,"Mais Um")&gt;0," · +"&amp;COUNTIF($RK88:$RN88,"Mais Um")&amp;IF(COUNTIF($RK88:$RN88,"Mais Um")&gt;1," alvos"," alvo"),"")&amp;IF(COUNTIF($RK88:$RN88,"Rajada")&gt;0,IF($MS88=0," · 1 tiro"," · "&amp;(MAX(1,$MS88-1)+1)&amp;" tiros"),""),""))</f>
        <v/>
      </c>
      <c r="QK88" s="164">
        <f>IF($ND88=0,"",IF($MS88=0,$NG88&amp;"d6"&amp;IF($OU88&gt;0," − 1 = "&amp;$PD88&amp;"d6"," da básica do nível "&amp;$NE88),$PB88&amp;" − "&amp;$OW88&amp;" + "&amp;$OZ88&amp;" = "&amp;$PC88&amp;" · teto "&amp;4*$MS88&amp;"d8"&amp;IF($OF88=1," · a Forma devolve "&amp;$MS88,"")&amp;IF($PA88&gt;0," · perde "&amp;$PA88,"")))</f>
        <v/>
      </c>
      <c r="QL88" s="164">
        <f>IF($ND88=0,"",IF($MS88=0,"A básica não amplia: os dados dela sobem com o nível",IF($MS88&gt;=$NF88,"Já está na maior Classe que o nível liberou",TEXTJOIN(" · ",TRUE,IF(AND(2&gt;$MS88,2&lt;=$NF88),"2 → "&amp;$PN88&amp;", 6 PE",""),IF(AND(3&gt;$MS88,3&lt;=$NF88),"3 → "&amp;$PO88&amp;", 9 PE",""),IF(AND(4&gt;$MS88,4&lt;=$NF88),"4 → "&amp;$PP88&amp;", 12 PE",""),IF(AND(5&gt;$MS88,5&lt;=$NF88),"5 → "&amp;$PQ88&amp;", 15 PE",""),IF(AND(6&gt;$MS88,6&lt;=$NF88),"6 → "&amp;$PR88&amp;", 18 PE",""),IF(AND(7&gt;$MS88,7&lt;=$NF88),"7 → "&amp;$PS88&amp;", 21 PE","")))))</f>
        <v/>
      </c>
      <c r="QM88" s="164">
        <f>IF(OR($ND88=0,$NO88=0),"",IF($MS88=0,"−1 dado","−"&amp;INDEX($I$2:$N$8,MAX(1,$MS88),MAX(1,$NT88))&amp;" · "&amp;CHOOSE(MAX(1,$NT88),"Leve","Média","Pesada","Leve · Livre","Média · Livre","Pesada · Livre")))</f>
        <v/>
      </c>
      <c r="QN88" s="164">
        <f>IF(OR($ND88=0,$NP88=0),"",IF($MS88=0,"−1 dado","−"&amp;INDEX($I$2:$N$8,MAX(1,$MS88),MAX(1,$NU88))&amp;" · "&amp;CHOOSE(MAX(1,$NU88),"Leve","Média","Pesada","Leve · Livre","Média · Livre","Pesada · Livre")))</f>
        <v/>
      </c>
      <c r="QO88" s="164">
        <f>IF(OR($ND88=0,$NQ88=0),"",IF($MS88=0,"−1 dado","−"&amp;INDEX($I$2:$N$8,MAX(1,$MS88),MAX(1,$NV88))&amp;" · "&amp;CHOOSE(MAX(1,$NV88),"Leve","Média","Pesada","Leve · Livre","Média · Livre","Pesada · Livre")))</f>
        <v/>
      </c>
      <c r="QP88" s="164">
        <f>IF(OR($ND88=0,$NR88=0),"",IF($MS88=0,"−1 dado","−"&amp;INDEX($I$2:$N$8,MAX(1,$MS88),MAX(1,$NW88))&amp;" · "&amp;CHOOSE(MAX(1,$NW88),"Leve","Média","Pesada","Leve · Livre","Média · Livre","Pesada · Livre")))</f>
        <v/>
      </c>
      <c r="QQ88" s="164">
        <f>IF(OR($ND88=0,$NB88=""),"",IF($MS88=0,"não devolve","+"&amp;IF($OI88=1,CEILING($MS88/2,1),$MS88)))</f>
        <v/>
      </c>
      <c r="QR88" s="164">
        <f>IF(OR($ND88=0,$NC88=""),"",IF($MS88=0,"não devolve","+"&amp;IF($OJ88=1,CEILING($MS88/2,1),$MS88)))</f>
        <v/>
      </c>
      <c r="RK88">
        <f>IF($MX88="","",IFERROR(VLOOKUP(SUBSTITUTE(SUBSTITUTE(SUBSTITUTE($MX88,"~","~~"),"*","~*"),"?","~?"),'DADOS_MELHORIAS'!$O$2:$X$113,10,FALSE),$MX88))</f>
        <v/>
      </c>
      <c r="RL88">
        <f>IF($MY88="","",IFERROR(VLOOKUP(SUBSTITUTE(SUBSTITUTE(SUBSTITUTE($MY88,"~","~~"),"*","~*"),"?","~?"),'DADOS_MELHORIAS'!$O$2:$X$113,10,FALSE),$MY88))</f>
        <v/>
      </c>
      <c r="RM88">
        <f>IF($MZ88="","",IFERROR(VLOOKUP(SUBSTITUTE(SUBSTITUTE(SUBSTITUTE($MZ88,"~","~~"),"*","~*"),"?","~?"),'DADOS_MELHORIAS'!$O$2:$X$113,10,FALSE),$MZ88))</f>
        <v/>
      </c>
      <c r="RN88">
        <f>IF($NA88="","",IFERROR(VLOOKUP(SUBSTITUTE(SUBSTITUTE(SUBSTITUTE($NA88,"~","~~"),"*","~*"),"?","~?"),'DADOS_MELHORIAS'!$O$2:$X$113,10,FALSE),$NA88))</f>
        <v/>
      </c>
      <c r="RO88">
        <f>IFERROR(INDEX('DADOS_FORMAS'!$BJ$2:$BJ$21,MATCH(SUBSTITUTE(SUBSTITUTE(SUBSTITUTE($MU88,"~","~~"),"*","~*"),"?","~?"),'DADOS_FORMAS'!$AH$2:$AH$21,0)),"")</f>
        <v/>
      </c>
      <c r="RP88">
        <f>IFERROR(VLOOKUP(SUBSTITUTE(SUBSTITUTE(SUBSTITUTE(IFERROR(INDEX('DADOS_FORMAS'!$AS$2:$AS$21,MATCH(SUBSTITUTE(SUBSTITUTE(SUBSTITUTE($MU88,"~","~~"),"*","~*"),"?","~?"),'DADOS_FORMAS'!$AH$2:$AH$21,0)),""),"~","~~"),"*","~*"),"?","~?"),'DADOS_RESTRICOES'!$M$2:$Q$54,2,FALSE),"")</f>
        <v/>
      </c>
      <c r="RQ88">
        <f>$OK88</f>
        <v/>
      </c>
      <c r="RR88">
        <f>$OL88</f>
        <v/>
      </c>
      <c r="RS88">
        <f>$RP88</f>
        <v/>
      </c>
    </row>
    <row r="89">
      <c r="MN89" s="162" t="inlineStr">
        <is>
          <t>Ficha 7 · Especial 8</t>
        </is>
      </c>
      <c r="MO89" s="164" t="n">
        <v>7</v>
      </c>
      <c r="MP89" s="164" t="n">
        <v>1</v>
      </c>
      <c r="MQ89" s="164" t="n">
        <v>28</v>
      </c>
      <c r="MR89" s="162" t="inlineStr">
        <is>
          <t>ESPECIAL 8</t>
        </is>
      </c>
      <c r="MS89" s="164">
        <f>MAX(1,MIN(7,N('INVOCAÇÕES'!$AB$149)))</f>
        <v/>
      </c>
      <c r="MT89" s="164">
        <f>'INVOCAÇÕES'!$AC$149&amp;""</f>
        <v/>
      </c>
      <c r="MU89" s="164">
        <f>'INVOCAÇÕES'!$AB$154&amp;""</f>
        <v/>
      </c>
      <c r="MV89" s="164">
        <f>'INVOCAÇÕES'!$AB$155&amp;""</f>
        <v/>
      </c>
      <c r="MW89" s="164">
        <f>'INVOCAÇÕES'!$AD$155&amp;""</f>
        <v/>
      </c>
      <c r="MX89" s="164">
        <f>'INVOCAÇÕES'!$AC$158&amp;""</f>
        <v/>
      </c>
      <c r="MY89" s="164">
        <f>'INVOCAÇÕES'!$AC$159&amp;""</f>
        <v/>
      </c>
      <c r="MZ89" s="164">
        <f>'INVOCAÇÕES'!$AC$160&amp;""</f>
        <v/>
      </c>
      <c r="NA89" s="164">
        <f>'INVOCAÇÕES'!$AC$161&amp;""</f>
        <v/>
      </c>
      <c r="NB89" s="164">
        <f>'INVOCAÇÕES'!$AC$162&amp;""</f>
        <v/>
      </c>
      <c r="NC89" s="164">
        <f>'INVOCAÇÕES'!$AC$163&amp;""</f>
        <v/>
      </c>
      <c r="ND89" s="164">
        <f>IF($MT89&lt;&gt;"",1,0)</f>
        <v/>
      </c>
      <c r="NE89" s="164">
        <f>INDEX($FO$2:$FO$13,$MO89)</f>
        <v/>
      </c>
      <c r="NF89" s="164">
        <f>INDEX($FP$2:$FP$13,$MO89)</f>
        <v/>
      </c>
      <c r="NG89" s="164">
        <f>INDEX($FQ$2:$FQ$13,$MO89)</f>
        <v/>
      </c>
      <c r="NH89" s="164">
        <f>INDEX($GB$2:$GB$13,$MO89)</f>
        <v/>
      </c>
      <c r="NI89" s="164">
        <f>INDEX($GC$2:$GC$13,$MO89)</f>
        <v/>
      </c>
      <c r="NJ89" s="164">
        <f>IFERROR(MATCH(SUBSTITUTE(SUBSTITUTE(SUBSTITUTE($MU89,"~","~~"),"*","~*"),"?","~?"),'DADOS_FORMAS'!$FZ$2:$FZ$21,0),0)</f>
        <v/>
      </c>
      <c r="NK89" s="164">
        <f>IFERROR(VLOOKUP(SUBSTITUTE(SUBSTITUTE(SUBSTITUTE($MX89,"~","~~"),"*","~*"),"?","~?"),'DADOS_MELHORIAS'!$AG$2:$AL$113,2,FALSE),"")</f>
        <v/>
      </c>
      <c r="NL89" s="164">
        <f>IFERROR(VLOOKUP(SUBSTITUTE(SUBSTITUTE(SUBSTITUTE($MY89,"~","~~"),"*","~*"),"?","~?"),'DADOS_MELHORIAS'!$AG$2:$AL$113,2,FALSE),"")</f>
        <v/>
      </c>
      <c r="NM89" s="164">
        <f>IFERROR(VLOOKUP(SUBSTITUTE(SUBSTITUTE(SUBSTITUTE($MZ89,"~","~~"),"*","~*"),"?","~?"),'DADOS_MELHORIAS'!$AG$2:$AL$113,2,FALSE),"")</f>
        <v/>
      </c>
      <c r="NN89" s="164">
        <f>IFERROR(VLOOKUP(SUBSTITUTE(SUBSTITUTE(SUBSTITUTE($NA89,"~","~~"),"*","~*"),"?","~?"),'DADOS_MELHORIAS'!$AG$2:$AL$113,2,FALSE),"")</f>
        <v/>
      </c>
      <c r="NO89" s="164">
        <f>IFERROR(VLOOKUP(SUBSTITUTE(SUBSTITUTE(SUBSTITUTE($MX89,"~","~~"),"*","~*"),"?","~?"),'DADOS_MELHORIAS'!$AG$2:$AL$113,3,FALSE),0)</f>
        <v/>
      </c>
      <c r="NP89" s="164">
        <f>IFERROR(VLOOKUP(SUBSTITUTE(SUBSTITUTE(SUBSTITUTE($MY89,"~","~~"),"*","~*"),"?","~?"),'DADOS_MELHORIAS'!$AG$2:$AL$113,3,FALSE),0)</f>
        <v/>
      </c>
      <c r="NQ89" s="164">
        <f>IFERROR(VLOOKUP(SUBSTITUTE(SUBSTITUTE(SUBSTITUTE($MZ89,"~","~~"),"*","~*"),"?","~?"),'DADOS_MELHORIAS'!$AG$2:$AL$113,3,FALSE),0)</f>
        <v/>
      </c>
      <c r="NR89" s="164">
        <f>IFERROR(VLOOKUP(SUBSTITUTE(SUBSTITUTE(SUBSTITUTE($NA89,"~","~~"),"*","~*"),"?","~?"),'DADOS_MELHORIAS'!$AG$2:$AL$113,3,FALSE),0)</f>
        <v/>
      </c>
      <c r="NS89" s="164">
        <f>IF($MS89=0,0,IF($NJ89=0,0,INDEX('DADOS_FORMAS'!$GB$2:$GB$21,$NJ89)))</f>
        <v/>
      </c>
      <c r="NT89" s="164">
        <f>IF(OR($NO89=0,$MS89=0),0,$NO89+3*IF(AND($NK89&lt;&gt;"",COUNTIF(INDEX($RB$2:$RJ$13,$MO89,0),$NK89)&gt;0),1,0))</f>
        <v/>
      </c>
      <c r="NU89" s="164">
        <f>IF(OR($NP89=0,$MS89=0),0,$NP89+3*IF(AND($NL89&lt;&gt;"",COUNTIF(INDEX($RB$2:$RJ$13,$MO89,0),$NL89)&gt;0),1,0))</f>
        <v/>
      </c>
      <c r="NV89" s="164">
        <f>IF(OR($NQ89=0,$MS89=0),0,$NQ89+3*IF(AND($NM89&lt;&gt;"",COUNTIF(INDEX($RB$2:$RJ$13,$MO89,0),$NM89)&gt;0),1,0))</f>
        <v/>
      </c>
      <c r="NW89" s="164">
        <f>IF(OR($NR89=0,$MS89=0),0,$NR89+3*IF(AND($NN89&lt;&gt;"",COUNTIF(INDEX($RB$2:$RJ$13,$MO89,0),$NN89)&gt;0),1,0))</f>
        <v/>
      </c>
      <c r="NX89" s="164">
        <f>IF($NJ89=0,0,IF(INDEX('DADOS_FORMAS'!$GA$2:$GA$21,$NJ89)="",0,IF((COUNTIF(INDEX($EL$2:$EP$13,$MO89,0),INDEX('DADOS_FORMAS'!$GA$2:$GA$21,$NJ89))+COUNTIF(INDEX($QV$2:$QY$13,$MO89,0),INDEX('DADOS_FORMAS'!$GA$2:$GA$21,$NJ89)))=0,1,0)))</f>
        <v/>
      </c>
      <c r="NY89" s="164">
        <f>IF(OR($NO89=0,$NK89=""),0,IF((COUNTIF(INDEX($EL$2:$EP$13,$MO89,0),$NK89)+COUNTIF(INDEX($QV$2:$QY$13,$MO89,0),$NK89))=0,1,0))</f>
        <v/>
      </c>
      <c r="NZ89" s="164">
        <f>IF(OR($NP89=0,$NL89=""),0,IF((COUNTIF(INDEX($EL$2:$EP$13,$MO89,0),$NL89)+COUNTIF(INDEX($QV$2:$QY$13,$MO89,0),$NL89))=0,1,0))</f>
        <v/>
      </c>
      <c r="OA89" s="164">
        <f>IF(OR($NQ89=0,$NM89=""),0,IF((COUNTIF(INDEX($EL$2:$EP$13,$MO89,0),$NM89)+COUNTIF(INDEX($QV$2:$QY$13,$MO89,0),$NM89))=0,1,0))</f>
        <v/>
      </c>
      <c r="OB89" s="164">
        <f>IF(OR($NR89=0,$NN89=""),0,IF((COUNTIF(INDEX($EL$2:$EP$13,$MO89,0),$NN89)+COUNTIF(INDEX($QV$2:$QY$13,$MO89,0),$NN89))=0,1,0))</f>
        <v/>
      </c>
      <c r="OC89" s="164">
        <f>IFERROR(VLOOKUP(SUBSTITUTE(SUBSTITUTE(SUBSTITUTE($MX89,"~","~~"),"*","~*"),"?","~?"),'DADOS_MELHORIAS'!$AG$2:$AL$113,4,FALSE),0)+IFERROR(VLOOKUP(SUBSTITUTE(SUBSTITUTE(SUBSTITUTE($MY89,"~","~~"),"*","~*"),"?","~?"),'DADOS_MELHORIAS'!$AG$2:$AL$113,4,FALSE),0)+IFERROR(VLOOKUP(SUBSTITUTE(SUBSTITUTE(SUBSTITUTE($MZ89,"~","~~"),"*","~*"),"?","~?"),'DADOS_MELHORIAS'!$AG$2:$AL$113,4,FALSE),0)+IFERROR(VLOOKUP(SUBSTITUTE(SUBSTITUTE(SUBSTITUTE($NA89,"~","~~"),"*","~*"),"?","~?"),'DADOS_MELHORIAS'!$AG$2:$AL$113,4,FALSE),0)</f>
        <v/>
      </c>
      <c r="OD89" s="164">
        <f>IFERROR(VLOOKUP(SUBSTITUTE(SUBSTITUTE(SUBSTITUTE($MX89,"~","~~"),"*","~*"),"?","~?"),'DADOS_MELHORIAS'!$AG$2:$AL$113,6,FALSE),0)+IFERROR(VLOOKUP(SUBSTITUTE(SUBSTITUTE(SUBSTITUTE($MY89,"~","~~"),"*","~*"),"?","~?"),'DADOS_MELHORIAS'!$AG$2:$AL$113,6,FALSE),0)+IFERROR(VLOOKUP(SUBSTITUTE(SUBSTITUTE(SUBSTITUTE($MZ89,"~","~~"),"*","~*"),"?","~?"),'DADOS_MELHORIAS'!$AG$2:$AL$113,6,FALSE),0)+IFERROR(VLOOKUP(SUBSTITUTE(SUBSTITUTE(SUBSTITUTE($NA89,"~","~~"),"*","~*"),"?","~?"),'DADOS_MELHORIAS'!$AG$2:$AL$113,6,FALSE),0)+IFERROR(N(AND(INDEX('DADOS_FORMAS'!$AO$2:$AO$21,MATCH(SUBSTITUTE(SUBSTITUTE(SUBSTITUTE($MU89,"~","~~"),"*","~*"),"?","~?"),'DADOS_FORMAS'!$AH$2:$AH$21,0))="Acerto",$OH89=1)),0)</f>
        <v/>
      </c>
      <c r="OE89" s="164">
        <f>TEXTJOIN(", ",TRUE,IF(IFERROR(VLOOKUP(SUBSTITUTE(SUBSTITUTE(SUBSTITUTE($MX89,"~","~~"),"*","~*"),"?","~?"),'DADOS_MELHORIAS'!$AG$2:$AL$113,5,FALSE),0)=1,$MX89,""),IF(IFERROR(VLOOKUP(SUBSTITUTE(SUBSTITUTE(SUBSTITUTE($MY89,"~","~~"),"*","~*"),"?","~?"),'DADOS_MELHORIAS'!$AG$2:$AL$113,5,FALSE),0)=1,$MY89,""),IF(IFERROR(VLOOKUP(SUBSTITUTE(SUBSTITUTE(SUBSTITUTE($MZ89,"~","~~"),"*","~*"),"?","~?"),'DADOS_MELHORIAS'!$AG$2:$AL$113,5,FALSE),0)=1,$MZ89,""),IF(IFERROR(VLOOKUP(SUBSTITUTE(SUBSTITUTE(SUBSTITUTE($NA89,"~","~~"),"*","~*"),"?","~?"),'DADOS_MELHORIAS'!$AG$2:$AL$113,5,FALSE),0)=1,$NA89,""))</f>
        <v/>
      </c>
      <c r="OF89" s="164">
        <f>IF($NJ89=0,0,INDEX('DADOS_FORMAS'!$GC$2:$GC$21,$NJ89))</f>
        <v/>
      </c>
      <c r="OG89" s="164">
        <f>IF($NJ89=0,0,INDEX('DADOS_FORMAS'!$GD$2:$GD$21,$NJ89))</f>
        <v/>
      </c>
      <c r="OH89" s="164">
        <f>IF($NJ89=0,0,INDEX('DADOS_FORMAS'!$GF$2:$GF$21,$NJ89))</f>
        <v/>
      </c>
      <c r="OI89" s="164">
        <f>IFERROR(VLOOKUP(SUBSTITUTE(SUBSTITUTE(SUBSTITUTE($NB89,"~","~~"),"*","~*"),"?","~?"),'DADOS_RESTRICOES'!$M$2:$Q$54,3,FALSE),0)</f>
        <v/>
      </c>
      <c r="OJ89" s="164">
        <f>IFERROR(VLOOKUP(SUBSTITUTE(SUBSTITUTE(SUBSTITUTE($NC89,"~","~~"),"*","~*"),"?","~?"),'DADOS_RESTRICOES'!$M$2:$Q$54,3,FALSE),0)</f>
        <v/>
      </c>
      <c r="OK89" s="164">
        <f>IFERROR(VLOOKUP(SUBSTITUTE(SUBSTITUTE(SUBSTITUTE($NB89,"~","~~"),"*","~*"),"?","~?"),'DADOS_RESTRICOES'!$M$2:$Q$54,2,FALSE),"")</f>
        <v/>
      </c>
      <c r="OL89" s="164">
        <f>IFERROR(VLOOKUP(SUBSTITUTE(SUBSTITUTE(SUBSTITUTE($NC89,"~","~~"),"*","~*"),"?","~?"),'DADOS_RESTRICOES'!$M$2:$Q$54,2,FALSE),"")</f>
        <v/>
      </c>
      <c r="OM89" s="164">
        <f>COUNTIF($NS89:$NW89,1)</f>
        <v/>
      </c>
      <c r="ON89" s="164">
        <f>COUNTIF($NS89:$NW89,2)</f>
        <v/>
      </c>
      <c r="OO89" s="164">
        <f>COUNTIF($NS89:$NW89,3)</f>
        <v/>
      </c>
      <c r="OP89" s="164">
        <f>COUNTIF($NS89:$NW89,4)</f>
        <v/>
      </c>
      <c r="OQ89" s="164">
        <f>COUNTIF($NS89:$NW89,5)</f>
        <v/>
      </c>
      <c r="OR89" s="164">
        <f>COUNTIF($NS89:$NW89,6)</f>
        <v/>
      </c>
      <c r="OS89" s="164">
        <f>COUNTIF($OI89:$OJ89,1)+IF(IFERROR(INDEX('DADOS_FORMAS'!$AS$2:$AS$21,MATCH(SUBSTITUTE(SUBSTITUTE(SUBSTITUTE($MU89,"~","~~"),"*","~*"),"?","~?"),'DADOS_FORMAS'!$AH$2:$AH$21,0)),"")="",0,IFERROR(N(VLOOKUP(SUBSTITUTE(SUBSTITUTE(SUBSTITUTE(IFERROR(INDEX('DADOS_FORMAS'!$AS$2:$AS$21,MATCH(SUBSTITUTE(SUBSTITUTE(SUBSTITUTE($MU89,"~","~~"),"*","~*"),"?","~?"),'DADOS_FORMAS'!$AH$2:$AH$21,0)),""),"~","~~"),"*","~*"),"?","~?"),'DADOS_RESTRICOES'!$M$2:$Q$54,3,FALSE)=1),0))</f>
        <v/>
      </c>
      <c r="OT89" s="164">
        <f>COUNTIF($OI89:$OJ89,2)+IF(IFERROR(INDEX('DADOS_FORMAS'!$AS$2:$AS$21,MATCH(SUBSTITUTE(SUBSTITUTE(SUBSTITUTE($MU89,"~","~~"),"*","~*"),"?","~?"),'DADOS_FORMAS'!$AH$2:$AH$21,0)),"")="",0,IFERROR(N(VLOOKUP(SUBSTITUTE(SUBSTITUTE(SUBSTITUTE(IFERROR(INDEX('DADOS_FORMAS'!$AS$2:$AS$21,MATCH(SUBSTITUTE(SUBSTITUTE(SUBSTITUTE($MU89,"~","~~"),"*","~*"),"?","~?"),'DADOS_FORMAS'!$AH$2:$AH$21,0)),""),"~","~~"),"*","~*"),"?","~?"),'DADOS_RESTRICOES'!$M$2:$Q$54,3,FALSE)=2),0))</f>
        <v/>
      </c>
      <c r="OU89" s="164">
        <f>COUNTIF($MX89:$NA89,"?*")</f>
        <v/>
      </c>
      <c r="OV89" s="164">
        <f>COUNTIF($NB89:$NC89,"?*")+$OF89</f>
        <v/>
      </c>
      <c r="OW89" s="164">
        <f>IF($MS89=0,0,SUMPRODUCT($OM89:$OR89,INDEX($I$2:$N$8,MAX(1,$MS89),0)))</f>
        <v/>
      </c>
      <c r="OX89" s="164">
        <f>IF($MS89=0,0,$OS89*CEILING($MS89/2,1)+$OT89*$MS89)</f>
        <v/>
      </c>
      <c r="OY89" s="164">
        <f>MIN(2*$MS89,$OX89)</f>
        <v/>
      </c>
      <c r="OZ89" s="164">
        <f>MIN($OY89,$OW89-IF($NS89=0,0,INDEX($I$2:$N$8,MAX(1,$MS89),$NS89)))</f>
        <v/>
      </c>
      <c r="PA89" s="164">
        <f>$OY89-$OZ89</f>
        <v/>
      </c>
      <c r="PB89" s="164">
        <f>IF($MS89=0,0,INDEX($P$2:$P$8,MAX(1,$MS89)))</f>
        <v/>
      </c>
      <c r="PC89" s="164">
        <f>$PB89-$OW89+$OZ89</f>
        <v/>
      </c>
      <c r="PD89" s="164">
        <f>IF($MS89=0,MAX(0,$NG89-IF(AND($OU89&gt;0,COUNTIF($NB89:$NC89,"?*")=0),1,0)),MAX(0,$PC89))</f>
        <v/>
      </c>
      <c r="PE89" s="164">
        <f>IF($MS89=0,0,(IF(COUNTIF($RK89:$RN89,"Salto")&gt;0,1,0)+IF(COUNTIF($RK89:$RN89,"Queima")&gt;0,1,0)+IF(COUNTIF($RK89:$RN89,"Estilhaço")&gt;0,1,0))*FLOOR($PD89/2,1))</f>
        <v/>
      </c>
      <c r="PF89" s="164">
        <f>MAX(0,2-SUMPRODUCT($OM89:$OR89,$I$2:$N$2)+MIN(2,$OS89*1+$OT89*1,SUMPRODUCT($OM89:$OR89,$I$2:$N$2)-IF($NS89=0,0,INDEX($I$2:$N$2,1,$NS89))))</f>
        <v/>
      </c>
      <c r="PG89" s="164">
        <f>MAX(0,4-SUMPRODUCT($OM89:$OR89,$I$3:$N$3)+MIN(4,$OS89*1+$OT89*2,SUMPRODUCT($OM89:$OR89,$I$3:$N$3)-IF($NS89=0,0,INDEX($I$3:$N$3,1,$NS89))))</f>
        <v/>
      </c>
      <c r="PH89" s="164">
        <f>MAX(0,6-SUMPRODUCT($OM89:$OR89,$I$4:$N$4)+MIN(6,$OS89*2+$OT89*3,SUMPRODUCT($OM89:$OR89,$I$4:$N$4)-IF($NS89=0,0,INDEX($I$4:$N$4,1,$NS89))))</f>
        <v/>
      </c>
      <c r="PI89" s="164">
        <f>MAX(0,9-SUMPRODUCT($OM89:$OR89,$I$5:$N$5)+MIN(8,$OS89*2+$OT89*4,SUMPRODUCT($OM89:$OR89,$I$5:$N$5)-IF($NS89=0,0,INDEX($I$5:$N$5,1,$NS89))))</f>
        <v/>
      </c>
      <c r="PJ89" s="164">
        <f>MAX(0,11-SUMPRODUCT($OM89:$OR89,$I$6:$N$6)+MIN(10,$OS89*3+$OT89*5,SUMPRODUCT($OM89:$OR89,$I$6:$N$6)-IF($NS89=0,0,INDEX($I$6:$N$6,1,$NS89))))</f>
        <v/>
      </c>
      <c r="PK89" s="164">
        <f>MAX(0,13-SUMPRODUCT($OM89:$OR89,$I$7:$N$7)+MIN(12,$OS89*3+$OT89*6,SUMPRODUCT($OM89:$OR89,$I$7:$N$7)-IF($NS89=0,0,INDEX($I$7:$N$7,1,$NS89))))</f>
        <v/>
      </c>
      <c r="PL89" s="164">
        <f>MAX(0,16-SUMPRODUCT($OM89:$OR89,$I$8:$N$8)+MIN(14,$OS89*4+$OT89*7,SUMPRODUCT($OM89:$OR89,$I$8:$N$8)-IF($NS89=0,0,INDEX($I$8:$N$8,1,$NS89))))</f>
        <v/>
      </c>
      <c r="PM89" s="164">
        <f>IF($OG89=2,3*$PF89&amp;" de vida temp.",IF($OG89=3,"sem dano",IF($PF89=0,IF($OG89=1,"sem cura","sem dano"),IF($OG89=1,"cura ","")&amp;$PF89&amp;"d8")))</f>
        <v/>
      </c>
      <c r="PN89" s="164">
        <f>IF($OG89=2,3*$PG89&amp;" de vida temp.",IF($OG89=3,"sem dano",IF($PG89=0,IF($OG89=1,"sem cura","sem dano"),IF($OG89=1,"cura ","")&amp;$PG89&amp;"d8")))</f>
        <v/>
      </c>
      <c r="PO89" s="164">
        <f>IF($OG89=2,3*$PH89&amp;" de vida temp.",IF($OG89=3,"sem dano",IF($PH89=0,IF($OG89=1,"sem cura","sem dano"),IF($OG89=1,"cura ","")&amp;$PH89&amp;"d8")))</f>
        <v/>
      </c>
      <c r="PP89" s="164">
        <f>IF($OG89=2,3*$PI89&amp;" de vida temp.",IF($OG89=3,"sem dano",IF($PI89=0,IF($OG89=1,"sem cura","sem dano"),IF($OG89=1,"cura ","")&amp;$PI89&amp;"d8")))</f>
        <v/>
      </c>
      <c r="PQ89" s="164">
        <f>IF($OG89=2,3*$PJ89&amp;" de vida temp.",IF($OG89=3,"sem dano",IF($PJ89=0,IF($OG89=1,"sem cura","sem dano"),IF($OG89=1,"cura ","")&amp;$PJ89&amp;"d8")))</f>
        <v/>
      </c>
      <c r="PR89" s="164">
        <f>IF($OG89=2,3*$PK89&amp;" de vida temp.",IF($OG89=3,"sem dano",IF($PK89=0,IF($OG89=1,"sem cura","sem dano"),IF($OG89=1,"cura ","")&amp;$PK89&amp;"d8")))</f>
        <v/>
      </c>
      <c r="PS89" s="164">
        <f>IF($OG89=2,3*$PL89&amp;" de vida temp.",IF($OG89=3,"sem dano",IF($PL89=0,IF($OG89=1,"sem cura","sem dano"),IF($OG89=1,"cura ","")&amp;$PL89&amp;"d8")))</f>
        <v/>
      </c>
      <c r="PT89" s="164">
        <f>IF($ND89=0,"",TEXTJOIN(" · ",TRUE,IF($ND89=0,"",TEXTJOIN(" · ",TRUE,IF($ND89=0,"",TEXTJOIN(" · ",TRUE,IF($MQ89&gt;$NE89,"Este lugar abre no nível "&amp;$MQ89,""),IF($MS89&gt;$NF89,"Classe "&amp;$MS89&amp;": o nível "&amp;$NE89&amp;" libera até a "&amp;$NF89,""),IF($NX89=1,"A Forma "&amp;$MU89&amp;" pede "&amp;INDEX('DADOS_FORMAS'!$GA$2:$GA$21,$NJ89)&amp;" aberta",""),IF(AND($MS89=0,$NJ89&gt;0,IF($NJ89=0,0,INDEX('DADOS_FORMAS'!$GJ$2:$GJ$21,$NJ89))=0),$MU89&amp;" não existe na Classe 0",""),IF($NY89=1,"Família Fechada: "&amp;$MX89,""),IF($NZ89=1,"Família Fechada: "&amp;$MY89,""),IF($OA89=1,"Família Fechada: "&amp;$MZ89,""),IF($OB89=1,"Família Fechada: "&amp;$NA89,""),IF(AND($MS89&gt;0,$OU89&gt;INDEX($O$2:$O$8,MAX(1,$MS89))),$OU89&amp;" Melhorias: a Classe "&amp;$MS89&amp;" aceita "&amp;INDEX($O$2:$O$8,MAX(1,$MS89)),""),IF(AND($MS89=0,$OU89&gt;1),"A básica aceita uma Melhoria",""),IF(AND($MS89=0,COUNTIF($NO89:$NR89,"&gt;1")&gt;0),"A básica só aceita Melhoria Leve",""),IF(AND($MS89&gt;0,$OV89&gt;2),$OV89&amp;" Restrições"&amp;IF($OF89=1,", contando a que a Forma "&amp;$MU89&amp;" já traz","")&amp;": o limite é 2",""),IF(AND($MS89=0,COUNTIF($NB89:$NC89,"?*")&gt;1),"A básica aceita uma Restrição Leve",""),IF(AND($MS89=0,COUNTIF($OI89:$OJ89,2)&gt;0),"A básica só aceita Restrição Leve",""),IF(AND($MS89&gt;0,$PC89&lt;0),"Orçamento estourado: faltam "&amp;(-$PC89)&amp;IF($PC89&lt;-1," pontos"," ponto"),""),IF(IFERROR(VLOOKUP(SUBSTITUTE(SUBSTITUTE(SUBSTITUTE($NB89,"~","~~"),"*","~*"),"?","~?"),'DADOS_RESTRICOES'!$M$2:$Q$54,4,FALSE),0)+IFERROR(VLOOKUP(SUBSTITUTE(SUBSTITUTE(SUBSTITUTE($NC89,"~","~~"),"*","~*"),"?","~?"),'DADOS_RESTRICOES'!$M$2:$Q$54,4,FALSE),0)&gt;1,$OK89&amp;" e "&amp;$OL89&amp;" são as duas de frequência",""),IF(AND((COUNTIF($RK89:$RN89,"Rápido")+COUNTIF($OK89:$OL89,"Rápido"))&gt;0,(COUNTIF($MX89:$NA89,"Atrasar")+COUNTIF($OK89:$OL89,"Atrasar"))&gt;0),"Rápido não entra com Atrasar",""),IF(AND((COUNTIF($RK89:$RN89,"Reação")+COUNTIF($OK89:$OL89,"Reação"))&gt;0,(COUNTIF($RK89:$RN89,"Rápido")+COUNTIF($OK89:$OL89,"Rápido"))&gt;0),"Reação não entra com Rápido",""),IF(AND((COUNTIF($RK89:$RN89,"Reação")+COUNTIF($OK89:$OL89,"Reação"))&gt;0,(COUNTIF($RK89:$RN89,"Armado")+COUNTIF($OK89:$OL89,"Armado"))&gt;0),"Reação não entra com Armado",""),IF(AND((COUNTIF($RK89:$RN89,"Reação")+COUNTIF($OK89:$OL89,"Reação"))&gt;0,(COUNTIF($MX89:$NA89,"Atrasar")+COUNTIF($OK89:$OL89,"Atrasar"))&gt;0),"Reação não entra com Atrasar",""),IF(AND((COUNTIF($RK89:$RN89,"Reação")+COUNTIF($OK89:$OL89,"Reação"))&gt;0,(COUNTIF($MX89:$NA89,"Parado")+COUNTIF($OK89:$OL89,"Parado"))&gt;0),"Reação não entra com Parado",""),IF(AND((COUNTIF($MX89:$NA89,"Atrasar")+COUNTIF($OK89:$OL89,"Atrasar"))&gt;0,(COUNTIF($MX89:$NA89,"Parado")+COUNTIF($OK89:$OL89,"Parado"))&gt;0),"Atrasar não entra com Parado",""),IF(AND((COUNTIF($RK89:$RN89,"Armado")+COUNTIF($OK89:$OL89,"Armado"))&gt;0,(COUNTIF($MX89:$NA89,"Carregar")+COUNTIF($OK89:$OL89,"Carregar"))&gt;0),"Armado não entra com Carregar",""),IF(AND(COUNTIF($OK89:$OL89,"Corpo a Corpo")&gt;0,$OF89=0,OR($RO89="Cone",$RO89="Linha")),"Corpo a Corpo não entra em "&amp;$MU89,""),IF(AND(COUNTIF($OK89:$OL89,"Corpo a Corpo")&gt;0,$RP89="Corpo a Corpo"),"A Forma "&amp;$MU89&amp;" já traz o Corpo a Corpo",""),IF(AND(COUNTIF($OK89:$OL89,"Tudo ou Nada")&gt;0,$OH89=0),"Tudo ou Nada só entra em habilidade de Teste de Resistência",""),IF(AND(COUNTIF($RK89:$RN89,"Inescapável")&gt;0,OR($OU89&gt;1,$OV89&gt;0)),"Inescapável não aceita outra peça",""),IF(AND($MS89&gt;0,$PD89*IF(COUNTIF($RK89:$RN89,"Remate")&gt;0,1.25,1)+$PE89&gt;4*$MS89),($PD89*IF(COUNTIF($RK89:$RN89,"Remate")&gt;0,1.25,1)+$PE89)&amp;" dados somando repetições"&amp;IF(COUNTIF($RK89:$RN89,"Remate")&gt;0," e o Remate","")&amp;": o teto da Classe "&amp;$MS89&amp;" é "&amp;4*$MS89,""))),IF(AND($MX89&lt;&gt;"",COUNTIF('DADOS_MELHORIAS'!$O$2:$O$113,SUBSTITUTE(SUBSTITUTE(SUBSTITUTE($MX89,"~","~~"),"*","~*"),"?","~?"))=0),"Melhoria não cadastrada ou com erro: "&amp;$MX89,""),IF(AND($MY89&lt;&gt;"",COUNTIF('DADOS_MELHORIAS'!$O$2:$O$113,SUBSTITUTE(SUBSTITUTE(SUBSTITUTE($MY89,"~","~~"),"*","~*"),"?","~?"))=0),"Melhoria não cadastrada ou com erro: "&amp;$MY89,""),IF(AND($MZ89&lt;&gt;"",COUNTIF('DADOS_MELHORIAS'!$O$2:$O$113,SUBSTITUTE(SUBSTITUTE(SUBSTITUTE($MZ89,"~","~~"),"*","~*"),"?","~?"))=0),"Melhoria não cadastrada ou com erro: "&amp;$MZ89,""),IF(AND($NA89&lt;&gt;"",COUNTIF('DADOS_MELHORIAS'!$O$2:$O$113,SUBSTITUTE(SUBSTITUTE(SUBSTITUTE($NA89,"~","~~"),"*","~*"),"?","~?"))=0),"Melhoria não cadastrada ou com erro: "&amp;$NA89,""),IF(AND($NB89&lt;&gt;"",COUNTIF('DADOS_RESTRICOES'!$M$2:$M$54,SUBSTITUTE(SUBSTITUTE(SUBSTITUTE($NB89,"~","~~"),"*","~*"),"?","~?"))=0),"Restrição não cadastrada ou com erro: "&amp;$NB89,""),IF(AND($NC89&lt;&gt;"",COUNTIF('DADOS_RESTRICOES'!$M$2:$M$54,SUBSTITUTE(SUBSTITUTE(SUBSTITUTE($NC89,"~","~~"),"*","~*"),"?","~?"))=0),"Restrição não cadastrada ou com erro: "&amp;$NC89,""))),IF(AND($MU89&lt;&gt;"",COUNTIF('DADOS_FORMAS'!$AH$2:$AH$21,SUBSTITUTE(SUBSTITUTE(SUBSTITUTE($MU89,"~","~~"),"*","~*"),"?","~?"))=0),"Forma não cadastrada ou com erro: "&amp;$MU89,""),IF(AND(IFERROR(INDEX('DADOS_FORMAS'!$AS$2:$AS$21,MATCH(SUBSTITUTE(SUBSTITUTE(SUBSTITUTE($MU89,"~","~~"),"*","~*"),"?","~?"),'DADOS_FORMAS'!$AH$2:$AH$21,0)),"")&lt;&gt;"",OR(IFERROR(VLOOKUP(SUBSTITUTE(SUBSTITUTE(SUBSTITUTE(IFERROR(INDEX('DADOS_FORMAS'!$AS$2:$AS$21,MATCH(SUBSTITUTE(SUBSTITUTE(SUBSTITUTE($MU89,"~","~~"),"*","~*"),"?","~?"),'DADOS_FORMAS'!$AH$2:$AH$21,0)),""),"~","~~"),"*","~*"),"?","~?"),'DADOS_RESTRICOES'!$M$2:$Q$54,2,FALSE),"")=$OK89,IFERROR(VLOOKUP(SUBSTITUTE(SUBSTITUTE(SUBSTITUTE(IFERROR(INDEX('DADOS_FORMAS'!$AS$2:$AS$21,MATCH(SUBSTITUTE(SUBSTITUTE(SUBSTITUTE($MU89,"~","~~"),"*","~*"),"?","~?"),'DADOS_FORMAS'!$AH$2:$AH$21,0)),""),"~","~~"),"*","~*"),"?","~?"),'DADOS_RESTRICOES'!$M$2:$Q$54,2,FALSE),"")=$OL89)),"Restrição repetida, contando a embutida",""),IF(IF(IFERROR(INDEX('DADOS_FORMAS'!$AS$2:$AS$21,MATCH(SUBSTITUTE(SUBSTITUTE(SUBSTITUTE($MU89,"~","~~"),"*","~*"),"?","~?"),'DADOS_FORMAS'!$AH$2:$AH$21,0)),"")="",0,IFERROR(N(VLOOKUP(SUBSTITUTE(SUBSTITUTE(SUBSTITUTE(IFERROR(INDEX('DADOS_FORMAS'!$AS$2:$AS$21,MATCH(SUBSTITUTE(SUBSTITUTE(SUBSTITUTE($MU89,"~","~~"),"*","~*"),"?","~?"),'DADOS_FORMAS'!$AH$2:$AH$21,0)),""),"~","~~"),"*","~*"),"?","~?"),'DADOS_RESTRICOES'!$M$2:$Q$54,4,FALSE)=1),0))+IF($NB89="",0,IFERROR(N(VLOOKUP(SUBSTITUTE(SUBSTITUTE(SUBSTITUTE($NB89,"~","~~"),"*","~*"),"?","~?"),'DADOS_RESTRICOES'!$M$2:$Q$54,4,FALSE)=1),0))+IF($NC89="",0,IFERROR(N(VLOOKUP(SUBSTITUTE(SUBSTITUTE(SUBSTITUTE($NC89,"~","~~"),"*","~*"),"?","~?"),'DADOS_RESTRICOES'!$M$2:$Q$54,4,FALSE)=1),0))&gt;1,"Duas Restrições de frequência, contando a embutida",""),IF(AND(IFERROR(VLOOKUP(SUBSTITUTE(SUBSTITUTE(SUBSTITUTE(IFERROR(INDEX('DADOS_FORMAS'!$AS$2:$AS$21,MATCH(SUBSTITUTE(SUBSTITUTE(SUBSTITUTE($MU89,"~","~~"),"*","~*"),"?","~?"),'DADOS_FORMAS'!$AH$2:$AH$21,0)),""),"~","~~"),"*","~*"),"?","~?"),'DADOS_RESTRICOES'!$M$2:$Q$54,2,FALSE),"")="Tudo ou Nada",$OH89=0),"Tudo ou Nada exige TR",""),IF(AND(IFERROR(VLOOKUP(SUBSTITUTE(SUBSTITUTE(SUBSTITUTE(IFERROR(INDEX('DADOS_FORMAS'!$AS$2:$AS$21,MATCH(SUBSTITUTE(SUBSTITUTE(SUBSTITUTE($MU89,"~","~~"),"*","~*"),"?","~?"),'DADOS_FORMAS'!$AH$2:$AH$21,0)),""),"~","~~"),"*","~*"),"?","~?"),'DADOS_RESTRICOES'!$M$2:$Q$54,2,FALSE),"")="Corpo a Corpo",OR($RO89="Cone",$RO89="Linha")),"Corpo a Corpo não entra em Cone/Linha","")))</f>
        <v/>
      </c>
      <c r="PU89" s="164">
        <f>IF($PT89="",0,(LEN($PT89)-LEN(SUBSTITUTE($PT89," · ","")))/3+1)</f>
        <v/>
      </c>
      <c r="PV89" s="164">
        <f>IF($ND89=0,"",TEXTJOIN(" · ",TRUE,IF($OX89&gt;2*$MS89,"A devolução parou no teto de "&amp;2*$MS89,""),IF($PA89&gt;0,"Devolução perdida: "&amp;$PA89&amp;IF($PA89&gt;1," pontos"," ponto")&amp;" sem Melhoria para pagar",""),IF(AND($OC89&gt;0,AND($MS89&gt;0,$OG89=0),$PD89=0),"Controle sem dano: uma rodada a mais e CD +2",""),IF(AND($OC89&gt;0,AND($MS89&gt;0,$OG89=0),$PD89&gt;0,$PD89&lt;=$MS89),"Controle com saldo até a Classe: uma rodada a mais",""),IF(AND($MS89&gt;0,$OE89&lt;&gt;""),"Efeito de "&amp;$OE89&amp;" pela Classe "&amp;MAX(1,$MS89-1),"")))</f>
        <v/>
      </c>
      <c r="PW89" s="164">
        <f>IF($PV89="",0,(LEN($PV89)-LEN(SUBSTITUTE($PV89," · ","")))/3+1)</f>
        <v/>
      </c>
      <c r="PX89" s="164">
        <f>IF($ND89=0,IF($OU89+COUNTIF($NB89:$NC89,"?*")&gt;0,"Dê um nome",""),IF($PU89&gt;0,"⚠ "&amp;$PU89&amp;IF($PU89&gt;1," erros"," erro"),IF($PW89&gt;0,"! "&amp;$PW89&amp;IF($PW89&gt;1," avisos"," aviso"),"Na regra")))</f>
        <v/>
      </c>
      <c r="PY89" s="164">
        <f>IF($ND89=0,"",IF($PU89+$PW89=0,"Dentro das regras que a ficha confere",$PT89&amp;IF(AND($PU89&gt;0,$PW89&gt;0)," · ","")&amp;$PV89))</f>
        <v/>
      </c>
      <c r="PZ89" s="164">
        <f>IF($MQ89&gt;$NE89,$MR89&amp;" · ABRE NO NÍVEL "&amp;$MQ89,$MR89)</f>
        <v/>
      </c>
      <c r="QA89" s="164">
        <f>IF($ND89=0,"",IF($MS89=0,"Sem PE",3*$MS89&amp;" PE"))</f>
        <v/>
      </c>
      <c r="QB89" s="164">
        <f>IF($ND89=0,"",IF($MS89=0,"A atuação básica dela",IF(COUNTIF($RQ89:$RS89,"Atrasar")&gt;0,"Sua Ação Completa",IF(COUNTIF($RK89:$RN89,"Rápido")&gt;0,"Sua Bônus",IF(COUNTIF($RK89:$RN89,"Reação")&gt;0,"Sua Reação","Sua Padrão")))&amp;" + a básica dela"&amp;IF(COUNTIF($RK89:$RN89,"Reação")&gt;0," e a coletiva","")&amp;IF(COUNTIF($RQ89:$RS89,"Carregar")&gt;0," · em dois turnos","")))</f>
        <v/>
      </c>
      <c r="QC89" s="164">
        <f>IF($MW89&lt;&gt;"",$MW89,IF($NJ89=0,"",INDEX('DADOS_FORMAS'!$GE$2:$GE$21,$NJ89)))</f>
        <v/>
      </c>
      <c r="QD89" s="164">
        <f>IF(OR($ND89=0,$NJ89=0),"",IF(COUNTIF($RK89:$RN89,"Inescapável")&gt;0,"Automático",IF($QC89="Ataque",IF($NH89="","Ataque","Ataque "&amp;IF(($NH89+2*IF(COUNTIF($RK89:$RN89,"Precisão")&gt;0,1,0))&gt;=0,"+","−")&amp;ABS(($NH89+2*IF(COUNTIF($RK89:$RN89,"Precisão")&gt;0,1,0))))&amp;IF($OD89&gt;0," · TR"&amp;IF($NI89="",""," CD "&amp;$NI89),""),IF(LEFT($QC89,2)="TR",$QC89&amp;IF($NI89="",""," · CD "&amp;$NI89)&amp;IF(COUNTIF($RK89:$RN89,"Certeiro")&gt;0," · metade",""),"Sem rolagem"))))</f>
        <v/>
      </c>
      <c r="QE89" s="164">
        <f>IF(OR($ND89=0,$NJ89=0),"",IF($MS89=0,IF(OR($OG89&gt;=1,$PD89=0),"Sem dano",$PD89&amp;"d6"&amp;IF($MV89="",""," "&amp;$MV89)),IF(OR($OG89&gt;=1,$PD89=0),UPPER(LEFT(INDEX($PM89:$PS89,1,MAX(1,$MS89)),1))&amp;MID(INDEX($PM89:$PS89,1,MAX(1,$MS89)),2,99),UPPER(LEFT(INDEX($PM89:$PS89,1,MAX(1,$MS89)),1))&amp;MID(INDEX($PM89:$PS89,1,MAX(1,$MS89)),2,99)&amp;IF($MV89="",""," "&amp;$MV89)&amp;IF($PE89&gt;0," · +"&amp;$PE89&amp;"d8",""))))</f>
        <v/>
      </c>
      <c r="QF89" s="164">
        <f>COUNTIF($RK89:$RN89,"Longe")+3*COUNTIF($RK89:$RN89,"Muito Longe")</f>
        <v/>
      </c>
      <c r="QG89" s="164">
        <f>COUNTIF($RK89:$RN89,"Maior")+3*COUNTIF($RK89:$RN89,"Muito Maior")</f>
        <v/>
      </c>
      <c r="QH89" s="164">
        <f>IF($NJ89=0,0,CHOOSE(1+INDEX('DADOS_FORMAS'!$GG$2:$GG$21,$NJ89),0,$QF89,$QG89,$QF89+$QG89))</f>
        <v/>
      </c>
      <c r="QI89" s="164">
        <f>IF($NJ89=0,0,CHOOSE(1+INDEX('DADOS_FORMAS'!$GH$2:$GH$21,$NJ89),0,$QF89,$QG89,$QF89+$QG89))</f>
        <v/>
      </c>
      <c r="QJ89" s="164">
        <f>IF(OR($ND89=0,$NJ89=0),"",INDEX('DADOS_FORMAS'!$HU$2:$HZ$81,($NJ89-1)*4+IF($MS89=0,1,IF($MS89&lt;=5,2,IF($MS89=6,3,4))),1+MIN(5,$QH89))&amp;INDEX('DADOS_FORMAS'!$IA$2:$IF$81,($NJ89-1)*4+IF($MS89=0,1,IF($MS89&lt;=5,2,IF($MS89=6,3,4))),1+MIN(5,$QI89))&amp;IF(INDEX('DADOS_FORMAS'!$GI$2:$GI$21,$NJ89)=1,IF(COUNTIF($RK89:$RN89,"Mais Um")&gt;0," · +"&amp;COUNTIF($RK89:$RN89,"Mais Um")&amp;IF(COUNTIF($RK89:$RN89,"Mais Um")&gt;1," alvos"," alvo"),"")&amp;IF(COUNTIF($RK89:$RN89,"Rajada")&gt;0,IF($MS89=0," · 1 tiro"," · "&amp;(MAX(1,$MS89-1)+1)&amp;" tiros"),""),""))</f>
        <v/>
      </c>
      <c r="QK89" s="164">
        <f>IF($ND89=0,"",IF($MS89=0,$NG89&amp;"d6"&amp;IF($OU89&gt;0," − 1 = "&amp;$PD89&amp;"d6"," da básica do nível "&amp;$NE89),$PB89&amp;" − "&amp;$OW89&amp;" + "&amp;$OZ89&amp;" = "&amp;$PC89&amp;" · teto "&amp;4*$MS89&amp;"d8"&amp;IF($OF89=1," · a Forma devolve "&amp;$MS89,"")&amp;IF($PA89&gt;0," · perde "&amp;$PA89,"")))</f>
        <v/>
      </c>
      <c r="QL89" s="164">
        <f>IF($ND89=0,"",IF($MS89=0,"A básica não amplia: os dados dela sobem com o nível",IF($MS89&gt;=$NF89,"Já está na maior Classe que o nível liberou",TEXTJOIN(" · ",TRUE,IF(AND(2&gt;$MS89,2&lt;=$NF89),"2 → "&amp;$PN89&amp;", 6 PE",""),IF(AND(3&gt;$MS89,3&lt;=$NF89),"3 → "&amp;$PO89&amp;", 9 PE",""),IF(AND(4&gt;$MS89,4&lt;=$NF89),"4 → "&amp;$PP89&amp;", 12 PE",""),IF(AND(5&gt;$MS89,5&lt;=$NF89),"5 → "&amp;$PQ89&amp;", 15 PE",""),IF(AND(6&gt;$MS89,6&lt;=$NF89),"6 → "&amp;$PR89&amp;", 18 PE",""),IF(AND(7&gt;$MS89,7&lt;=$NF89),"7 → "&amp;$PS89&amp;", 21 PE","")))))</f>
        <v/>
      </c>
      <c r="QM89" s="164">
        <f>IF(OR($ND89=0,$NO89=0),"",IF($MS89=0,"−1 dado","−"&amp;INDEX($I$2:$N$8,MAX(1,$MS89),MAX(1,$NT89))&amp;" · "&amp;CHOOSE(MAX(1,$NT89),"Leve","Média","Pesada","Leve · Livre","Média · Livre","Pesada · Livre")))</f>
        <v/>
      </c>
      <c r="QN89" s="164">
        <f>IF(OR($ND89=0,$NP89=0),"",IF($MS89=0,"−1 dado","−"&amp;INDEX($I$2:$N$8,MAX(1,$MS89),MAX(1,$NU89))&amp;" · "&amp;CHOOSE(MAX(1,$NU89),"Leve","Média","Pesada","Leve · Livre","Média · Livre","Pesada · Livre")))</f>
        <v/>
      </c>
      <c r="QO89" s="164">
        <f>IF(OR($ND89=0,$NQ89=0),"",IF($MS89=0,"−1 dado","−"&amp;INDEX($I$2:$N$8,MAX(1,$MS89),MAX(1,$NV89))&amp;" · "&amp;CHOOSE(MAX(1,$NV89),"Leve","Média","Pesada","Leve · Livre","Média · Livre","Pesada · Livre")))</f>
        <v/>
      </c>
      <c r="QP89" s="164">
        <f>IF(OR($ND89=0,$NR89=0),"",IF($MS89=0,"−1 dado","−"&amp;INDEX($I$2:$N$8,MAX(1,$MS89),MAX(1,$NW89))&amp;" · "&amp;CHOOSE(MAX(1,$NW89),"Leve","Média","Pesada","Leve · Livre","Média · Livre","Pesada · Livre")))</f>
        <v/>
      </c>
      <c r="QQ89" s="164">
        <f>IF(OR($ND89=0,$NB89=""),"",IF($MS89=0,"não devolve","+"&amp;IF($OI89=1,CEILING($MS89/2,1),$MS89)))</f>
        <v/>
      </c>
      <c r="QR89" s="164">
        <f>IF(OR($ND89=0,$NC89=""),"",IF($MS89=0,"não devolve","+"&amp;IF($OJ89=1,CEILING($MS89/2,1),$MS89)))</f>
        <v/>
      </c>
      <c r="RK89">
        <f>IF($MX89="","",IFERROR(VLOOKUP(SUBSTITUTE(SUBSTITUTE(SUBSTITUTE($MX89,"~","~~"),"*","~*"),"?","~?"),'DADOS_MELHORIAS'!$O$2:$X$113,10,FALSE),$MX89))</f>
        <v/>
      </c>
      <c r="RL89">
        <f>IF($MY89="","",IFERROR(VLOOKUP(SUBSTITUTE(SUBSTITUTE(SUBSTITUTE($MY89,"~","~~"),"*","~*"),"?","~?"),'DADOS_MELHORIAS'!$O$2:$X$113,10,FALSE),$MY89))</f>
        <v/>
      </c>
      <c r="RM89">
        <f>IF($MZ89="","",IFERROR(VLOOKUP(SUBSTITUTE(SUBSTITUTE(SUBSTITUTE($MZ89,"~","~~"),"*","~*"),"?","~?"),'DADOS_MELHORIAS'!$O$2:$X$113,10,FALSE),$MZ89))</f>
        <v/>
      </c>
      <c r="RN89">
        <f>IF($NA89="","",IFERROR(VLOOKUP(SUBSTITUTE(SUBSTITUTE(SUBSTITUTE($NA89,"~","~~"),"*","~*"),"?","~?"),'DADOS_MELHORIAS'!$O$2:$X$113,10,FALSE),$NA89))</f>
        <v/>
      </c>
      <c r="RO89">
        <f>IFERROR(INDEX('DADOS_FORMAS'!$BJ$2:$BJ$21,MATCH(SUBSTITUTE(SUBSTITUTE(SUBSTITUTE($MU89,"~","~~"),"*","~*"),"?","~?"),'DADOS_FORMAS'!$AH$2:$AH$21,0)),"")</f>
        <v/>
      </c>
      <c r="RP89">
        <f>IFERROR(VLOOKUP(SUBSTITUTE(SUBSTITUTE(SUBSTITUTE(IFERROR(INDEX('DADOS_FORMAS'!$AS$2:$AS$21,MATCH(SUBSTITUTE(SUBSTITUTE(SUBSTITUTE($MU89,"~","~~"),"*","~*"),"?","~?"),'DADOS_FORMAS'!$AH$2:$AH$21,0)),""),"~","~~"),"*","~*"),"?","~?"),'DADOS_RESTRICOES'!$M$2:$Q$54,2,FALSE),"")</f>
        <v/>
      </c>
      <c r="RQ89">
        <f>$OK89</f>
        <v/>
      </c>
      <c r="RR89">
        <f>$OL89</f>
        <v/>
      </c>
      <c r="RS89">
        <f>$RP89</f>
        <v/>
      </c>
    </row>
    <row r="90">
      <c r="MN90" s="162" t="inlineStr">
        <is>
          <t>Ficha 7 · Escolha da trilha 1</t>
        </is>
      </c>
      <c r="MO90" s="164" t="n">
        <v>7</v>
      </c>
      <c r="MP90" s="164" t="n">
        <v>2</v>
      </c>
      <c r="MQ90" s="164" t="n">
        <v>0</v>
      </c>
      <c r="MR90" s="162" t="inlineStr">
        <is>
          <t>ESCOLHA DA TRILHA 1</t>
        </is>
      </c>
      <c r="MS90" s="164">
        <f>MAX(0,MIN(7,N('INVOCAÇÕES'!$AB$173)))</f>
        <v/>
      </c>
      <c r="MT90" s="164">
        <f>'INVOCAÇÕES'!$AC$173&amp;""</f>
        <v/>
      </c>
      <c r="MU90" s="164">
        <f>'INVOCAÇÕES'!$AB$178&amp;""</f>
        <v/>
      </c>
      <c r="MV90" s="164">
        <f>'INVOCAÇÕES'!$AB$179&amp;""</f>
        <v/>
      </c>
      <c r="MW90" s="164">
        <f>'INVOCAÇÕES'!$AD$179&amp;""</f>
        <v/>
      </c>
      <c r="MX90" s="164">
        <f>'INVOCAÇÕES'!$AC$182&amp;""</f>
        <v/>
      </c>
      <c r="MY90" s="164">
        <f>'INVOCAÇÕES'!$AC$183&amp;""</f>
        <v/>
      </c>
      <c r="MZ90" s="164">
        <f>'INVOCAÇÕES'!$AC$184&amp;""</f>
        <v/>
      </c>
      <c r="NA90" s="164">
        <f>'INVOCAÇÕES'!$AC$185&amp;""</f>
        <v/>
      </c>
      <c r="NB90" s="164">
        <f>'INVOCAÇÕES'!$AC$186&amp;""</f>
        <v/>
      </c>
      <c r="NC90" s="164">
        <f>'INVOCAÇÕES'!$AC$187&amp;""</f>
        <v/>
      </c>
      <c r="ND90" s="164">
        <f>IF($MT90&lt;&gt;"",1,0)</f>
        <v/>
      </c>
      <c r="NE90" s="164">
        <f>INDEX($FO$2:$FO$13,$MO90)</f>
        <v/>
      </c>
      <c r="NF90" s="164">
        <f>INDEX($FP$2:$FP$13,$MO90)</f>
        <v/>
      </c>
      <c r="NG90" s="164">
        <f>INDEX($FQ$2:$FQ$13,$MO90)</f>
        <v/>
      </c>
      <c r="NH90" s="164">
        <f>INDEX($GB$2:$GB$13,$MO90)</f>
        <v/>
      </c>
      <c r="NI90" s="164">
        <f>INDEX($GC$2:$GC$13,$MO90)</f>
        <v/>
      </c>
      <c r="NJ90" s="164">
        <f>IFERROR(MATCH(SUBSTITUTE(SUBSTITUTE(SUBSTITUTE($MU90,"~","~~"),"*","~*"),"?","~?"),'DADOS_FORMAS'!$FZ$2:$FZ$21,0),0)</f>
        <v/>
      </c>
      <c r="NK90" s="164">
        <f>IFERROR(VLOOKUP(SUBSTITUTE(SUBSTITUTE(SUBSTITUTE($MX90,"~","~~"),"*","~*"),"?","~?"),'DADOS_MELHORIAS'!$AG$2:$AL$113,2,FALSE),"")</f>
        <v/>
      </c>
      <c r="NL90" s="164">
        <f>IFERROR(VLOOKUP(SUBSTITUTE(SUBSTITUTE(SUBSTITUTE($MY90,"~","~~"),"*","~*"),"?","~?"),'DADOS_MELHORIAS'!$AG$2:$AL$113,2,FALSE),"")</f>
        <v/>
      </c>
      <c r="NM90" s="164">
        <f>IFERROR(VLOOKUP(SUBSTITUTE(SUBSTITUTE(SUBSTITUTE($MZ90,"~","~~"),"*","~*"),"?","~?"),'DADOS_MELHORIAS'!$AG$2:$AL$113,2,FALSE),"")</f>
        <v/>
      </c>
      <c r="NN90" s="164">
        <f>IFERROR(VLOOKUP(SUBSTITUTE(SUBSTITUTE(SUBSTITUTE($NA90,"~","~~"),"*","~*"),"?","~?"),'DADOS_MELHORIAS'!$AG$2:$AL$113,2,FALSE),"")</f>
        <v/>
      </c>
      <c r="NO90" s="164">
        <f>IFERROR(VLOOKUP(SUBSTITUTE(SUBSTITUTE(SUBSTITUTE($MX90,"~","~~"),"*","~*"),"?","~?"),'DADOS_MELHORIAS'!$AG$2:$AL$113,3,FALSE),0)</f>
        <v/>
      </c>
      <c r="NP90" s="164">
        <f>IFERROR(VLOOKUP(SUBSTITUTE(SUBSTITUTE(SUBSTITUTE($MY90,"~","~~"),"*","~*"),"?","~?"),'DADOS_MELHORIAS'!$AG$2:$AL$113,3,FALSE),0)</f>
        <v/>
      </c>
      <c r="NQ90" s="164">
        <f>IFERROR(VLOOKUP(SUBSTITUTE(SUBSTITUTE(SUBSTITUTE($MZ90,"~","~~"),"*","~*"),"?","~?"),'DADOS_MELHORIAS'!$AG$2:$AL$113,3,FALSE),0)</f>
        <v/>
      </c>
      <c r="NR90" s="164">
        <f>IFERROR(VLOOKUP(SUBSTITUTE(SUBSTITUTE(SUBSTITUTE($NA90,"~","~~"),"*","~*"),"?","~?"),'DADOS_MELHORIAS'!$AG$2:$AL$113,3,FALSE),0)</f>
        <v/>
      </c>
      <c r="NS90" s="164">
        <f>IF($MS90=0,0,IF($NJ90=0,0,INDEX('DADOS_FORMAS'!$GB$2:$GB$21,$NJ90)))</f>
        <v/>
      </c>
      <c r="NT90" s="164">
        <f>IF(OR($NO90=0,$MS90=0),0,$NO90+3*IF(AND($NK90&lt;&gt;"",COUNTIF(INDEX($RB$2:$RJ$13,$MO90,0),$NK90)&gt;0),1,0))</f>
        <v/>
      </c>
      <c r="NU90" s="164">
        <f>IF(OR($NP90=0,$MS90=0),0,$NP90+3*IF(AND($NL90&lt;&gt;"",COUNTIF(INDEX($RB$2:$RJ$13,$MO90,0),$NL90)&gt;0),1,0))</f>
        <v/>
      </c>
      <c r="NV90" s="164">
        <f>IF(OR($NQ90=0,$MS90=0),0,$NQ90+3*IF(AND($NM90&lt;&gt;"",COUNTIF(INDEX($RB$2:$RJ$13,$MO90,0),$NM90)&gt;0),1,0))</f>
        <v/>
      </c>
      <c r="NW90" s="164">
        <f>IF(OR($NR90=0,$MS90=0),0,$NR90+3*IF(AND($NN90&lt;&gt;"",COUNTIF(INDEX($RB$2:$RJ$13,$MO90,0),$NN90)&gt;0),1,0))</f>
        <v/>
      </c>
      <c r="NX90" s="164">
        <f>IF($NJ90=0,0,IF(INDEX('DADOS_FORMAS'!$GA$2:$GA$21,$NJ90)="",0,IF((COUNTIF(INDEX($EL$2:$EP$13,$MO90,0),INDEX('DADOS_FORMAS'!$GA$2:$GA$21,$NJ90))+COUNTIF(INDEX($QV$2:$QY$13,$MO90,0),INDEX('DADOS_FORMAS'!$GA$2:$GA$21,$NJ90)))=0,1,0)))</f>
        <v/>
      </c>
      <c r="NY90" s="164">
        <f>IF(OR($NO90=0,$NK90=""),0,IF((COUNTIF(INDEX($EL$2:$EP$13,$MO90,0),$NK90)+COUNTIF(INDEX($QV$2:$QY$13,$MO90,0),$NK90))=0,1,0))</f>
        <v/>
      </c>
      <c r="NZ90" s="164">
        <f>IF(OR($NP90=0,$NL90=""),0,IF((COUNTIF(INDEX($EL$2:$EP$13,$MO90,0),$NL90)+COUNTIF(INDEX($QV$2:$QY$13,$MO90,0),$NL90))=0,1,0))</f>
        <v/>
      </c>
      <c r="OA90" s="164">
        <f>IF(OR($NQ90=0,$NM90=""),0,IF((COUNTIF(INDEX($EL$2:$EP$13,$MO90,0),$NM90)+COUNTIF(INDEX($QV$2:$QY$13,$MO90,0),$NM90))=0,1,0))</f>
        <v/>
      </c>
      <c r="OB90" s="164">
        <f>IF(OR($NR90=0,$NN90=""),0,IF((COUNTIF(INDEX($EL$2:$EP$13,$MO90,0),$NN90)+COUNTIF(INDEX($QV$2:$QY$13,$MO90,0),$NN90))=0,1,0))</f>
        <v/>
      </c>
      <c r="OC90" s="164">
        <f>IFERROR(VLOOKUP(SUBSTITUTE(SUBSTITUTE(SUBSTITUTE($MX90,"~","~~"),"*","~*"),"?","~?"),'DADOS_MELHORIAS'!$AG$2:$AL$113,4,FALSE),0)+IFERROR(VLOOKUP(SUBSTITUTE(SUBSTITUTE(SUBSTITUTE($MY90,"~","~~"),"*","~*"),"?","~?"),'DADOS_MELHORIAS'!$AG$2:$AL$113,4,FALSE),0)+IFERROR(VLOOKUP(SUBSTITUTE(SUBSTITUTE(SUBSTITUTE($MZ90,"~","~~"),"*","~*"),"?","~?"),'DADOS_MELHORIAS'!$AG$2:$AL$113,4,FALSE),0)+IFERROR(VLOOKUP(SUBSTITUTE(SUBSTITUTE(SUBSTITUTE($NA90,"~","~~"),"*","~*"),"?","~?"),'DADOS_MELHORIAS'!$AG$2:$AL$113,4,FALSE),0)</f>
        <v/>
      </c>
      <c r="OD90" s="164">
        <f>IFERROR(VLOOKUP(SUBSTITUTE(SUBSTITUTE(SUBSTITUTE($MX90,"~","~~"),"*","~*"),"?","~?"),'DADOS_MELHORIAS'!$AG$2:$AL$113,6,FALSE),0)+IFERROR(VLOOKUP(SUBSTITUTE(SUBSTITUTE(SUBSTITUTE($MY90,"~","~~"),"*","~*"),"?","~?"),'DADOS_MELHORIAS'!$AG$2:$AL$113,6,FALSE),0)+IFERROR(VLOOKUP(SUBSTITUTE(SUBSTITUTE(SUBSTITUTE($MZ90,"~","~~"),"*","~*"),"?","~?"),'DADOS_MELHORIAS'!$AG$2:$AL$113,6,FALSE),0)+IFERROR(VLOOKUP(SUBSTITUTE(SUBSTITUTE(SUBSTITUTE($NA90,"~","~~"),"*","~*"),"?","~?"),'DADOS_MELHORIAS'!$AG$2:$AL$113,6,FALSE),0)+IFERROR(N(AND(INDEX('DADOS_FORMAS'!$AO$2:$AO$21,MATCH(SUBSTITUTE(SUBSTITUTE(SUBSTITUTE($MU90,"~","~~"),"*","~*"),"?","~?"),'DADOS_FORMAS'!$AH$2:$AH$21,0))="Acerto",$OH90=1)),0)</f>
        <v/>
      </c>
      <c r="OE90" s="164">
        <f>TEXTJOIN(", ",TRUE,IF(IFERROR(VLOOKUP(SUBSTITUTE(SUBSTITUTE(SUBSTITUTE($MX90,"~","~~"),"*","~*"),"?","~?"),'DADOS_MELHORIAS'!$AG$2:$AL$113,5,FALSE),0)=1,$MX90,""),IF(IFERROR(VLOOKUP(SUBSTITUTE(SUBSTITUTE(SUBSTITUTE($MY90,"~","~~"),"*","~*"),"?","~?"),'DADOS_MELHORIAS'!$AG$2:$AL$113,5,FALSE),0)=1,$MY90,""),IF(IFERROR(VLOOKUP(SUBSTITUTE(SUBSTITUTE(SUBSTITUTE($MZ90,"~","~~"),"*","~*"),"?","~?"),'DADOS_MELHORIAS'!$AG$2:$AL$113,5,FALSE),0)=1,$MZ90,""),IF(IFERROR(VLOOKUP(SUBSTITUTE(SUBSTITUTE(SUBSTITUTE($NA90,"~","~~"),"*","~*"),"?","~?"),'DADOS_MELHORIAS'!$AG$2:$AL$113,5,FALSE),0)=1,$NA90,""))</f>
        <v/>
      </c>
      <c r="OF90" s="164">
        <f>IF($NJ90=0,0,INDEX('DADOS_FORMAS'!$GC$2:$GC$21,$NJ90))</f>
        <v/>
      </c>
      <c r="OG90" s="164">
        <f>IF($NJ90=0,0,INDEX('DADOS_FORMAS'!$GD$2:$GD$21,$NJ90))</f>
        <v/>
      </c>
      <c r="OH90" s="164">
        <f>IF($NJ90=0,0,INDEX('DADOS_FORMAS'!$GF$2:$GF$21,$NJ90))</f>
        <v/>
      </c>
      <c r="OI90" s="164">
        <f>IFERROR(VLOOKUP(SUBSTITUTE(SUBSTITUTE(SUBSTITUTE($NB90,"~","~~"),"*","~*"),"?","~?"),'DADOS_RESTRICOES'!$M$2:$Q$54,3,FALSE),0)</f>
        <v/>
      </c>
      <c r="OJ90" s="164">
        <f>IFERROR(VLOOKUP(SUBSTITUTE(SUBSTITUTE(SUBSTITUTE($NC90,"~","~~"),"*","~*"),"?","~?"),'DADOS_RESTRICOES'!$M$2:$Q$54,3,FALSE),0)</f>
        <v/>
      </c>
      <c r="OK90" s="164">
        <f>IFERROR(VLOOKUP(SUBSTITUTE(SUBSTITUTE(SUBSTITUTE($NB90,"~","~~"),"*","~*"),"?","~?"),'DADOS_RESTRICOES'!$M$2:$Q$54,2,FALSE),"")</f>
        <v/>
      </c>
      <c r="OL90" s="164">
        <f>IFERROR(VLOOKUP(SUBSTITUTE(SUBSTITUTE(SUBSTITUTE($NC90,"~","~~"),"*","~*"),"?","~?"),'DADOS_RESTRICOES'!$M$2:$Q$54,2,FALSE),"")</f>
        <v/>
      </c>
      <c r="OM90" s="164">
        <f>COUNTIF($NS90:$NW90,1)</f>
        <v/>
      </c>
      <c r="ON90" s="164">
        <f>COUNTIF($NS90:$NW90,2)</f>
        <v/>
      </c>
      <c r="OO90" s="164">
        <f>COUNTIF($NS90:$NW90,3)</f>
        <v/>
      </c>
      <c r="OP90" s="164">
        <f>COUNTIF($NS90:$NW90,4)</f>
        <v/>
      </c>
      <c r="OQ90" s="164">
        <f>COUNTIF($NS90:$NW90,5)</f>
        <v/>
      </c>
      <c r="OR90" s="164">
        <f>COUNTIF($NS90:$NW90,6)</f>
        <v/>
      </c>
      <c r="OS90" s="164">
        <f>COUNTIF($OI90:$OJ90,1)+IF(IFERROR(INDEX('DADOS_FORMAS'!$AS$2:$AS$21,MATCH(SUBSTITUTE(SUBSTITUTE(SUBSTITUTE($MU90,"~","~~"),"*","~*"),"?","~?"),'DADOS_FORMAS'!$AH$2:$AH$21,0)),"")="",0,IFERROR(N(VLOOKUP(SUBSTITUTE(SUBSTITUTE(SUBSTITUTE(IFERROR(INDEX('DADOS_FORMAS'!$AS$2:$AS$21,MATCH(SUBSTITUTE(SUBSTITUTE(SUBSTITUTE($MU90,"~","~~"),"*","~*"),"?","~?"),'DADOS_FORMAS'!$AH$2:$AH$21,0)),""),"~","~~"),"*","~*"),"?","~?"),'DADOS_RESTRICOES'!$M$2:$Q$54,3,FALSE)=1),0))</f>
        <v/>
      </c>
      <c r="OT90" s="164">
        <f>COUNTIF($OI90:$OJ90,2)+IF(IFERROR(INDEX('DADOS_FORMAS'!$AS$2:$AS$21,MATCH(SUBSTITUTE(SUBSTITUTE(SUBSTITUTE($MU90,"~","~~"),"*","~*"),"?","~?"),'DADOS_FORMAS'!$AH$2:$AH$21,0)),"")="",0,IFERROR(N(VLOOKUP(SUBSTITUTE(SUBSTITUTE(SUBSTITUTE(IFERROR(INDEX('DADOS_FORMAS'!$AS$2:$AS$21,MATCH(SUBSTITUTE(SUBSTITUTE(SUBSTITUTE($MU90,"~","~~"),"*","~*"),"?","~?"),'DADOS_FORMAS'!$AH$2:$AH$21,0)),""),"~","~~"),"*","~*"),"?","~?"),'DADOS_RESTRICOES'!$M$2:$Q$54,3,FALSE)=2),0))</f>
        <v/>
      </c>
      <c r="OU90" s="164">
        <f>COUNTIF($MX90:$NA90,"?*")</f>
        <v/>
      </c>
      <c r="OV90" s="164">
        <f>COUNTIF($NB90:$NC90,"?*")+$OF90</f>
        <v/>
      </c>
      <c r="OW90" s="164">
        <f>IF($MS90=0,0,SUMPRODUCT($OM90:$OR90,INDEX($I$2:$N$8,MAX(1,$MS90),0)))</f>
        <v/>
      </c>
      <c r="OX90" s="164">
        <f>IF($MS90=0,0,$OS90*CEILING($MS90/2,1)+$OT90*$MS90)</f>
        <v/>
      </c>
      <c r="OY90" s="164">
        <f>MIN(2*$MS90,$OX90)</f>
        <v/>
      </c>
      <c r="OZ90" s="164">
        <f>MIN($OY90,$OW90-IF($NS90=0,0,INDEX($I$2:$N$8,MAX(1,$MS90),$NS90)))</f>
        <v/>
      </c>
      <c r="PA90" s="164">
        <f>$OY90-$OZ90</f>
        <v/>
      </c>
      <c r="PB90" s="164">
        <f>IF($MS90=0,0,INDEX($P$2:$P$8,MAX(1,$MS90)))</f>
        <v/>
      </c>
      <c r="PC90" s="164">
        <f>$PB90-$OW90+$OZ90</f>
        <v/>
      </c>
      <c r="PD90" s="164">
        <f>IF($MS90=0,MAX(0,$NG90-IF(AND($OU90&gt;0,COUNTIF($NB90:$NC90,"?*")=0),1,0)),MAX(0,$PC90))</f>
        <v/>
      </c>
      <c r="PE90" s="164">
        <f>IF($MS90=0,0,(IF(COUNTIF($RK90:$RN90,"Salto")&gt;0,1,0)+IF(COUNTIF($RK90:$RN90,"Queima")&gt;0,1,0)+IF(COUNTIF($RK90:$RN90,"Estilhaço")&gt;0,1,0))*FLOOR($PD90/2,1))</f>
        <v/>
      </c>
      <c r="PF90" s="164">
        <f>MAX(0,2-SUMPRODUCT($OM90:$OR90,$I$2:$N$2)+MIN(2,$OS90*1+$OT90*1,SUMPRODUCT($OM90:$OR90,$I$2:$N$2)-IF($NS90=0,0,INDEX($I$2:$N$2,1,$NS90))))</f>
        <v/>
      </c>
      <c r="PG90" s="164">
        <f>MAX(0,4-SUMPRODUCT($OM90:$OR90,$I$3:$N$3)+MIN(4,$OS90*1+$OT90*2,SUMPRODUCT($OM90:$OR90,$I$3:$N$3)-IF($NS90=0,0,INDEX($I$3:$N$3,1,$NS90))))</f>
        <v/>
      </c>
      <c r="PH90" s="164">
        <f>MAX(0,6-SUMPRODUCT($OM90:$OR90,$I$4:$N$4)+MIN(6,$OS90*2+$OT90*3,SUMPRODUCT($OM90:$OR90,$I$4:$N$4)-IF($NS90=0,0,INDEX($I$4:$N$4,1,$NS90))))</f>
        <v/>
      </c>
      <c r="PI90" s="164">
        <f>MAX(0,9-SUMPRODUCT($OM90:$OR90,$I$5:$N$5)+MIN(8,$OS90*2+$OT90*4,SUMPRODUCT($OM90:$OR90,$I$5:$N$5)-IF($NS90=0,0,INDEX($I$5:$N$5,1,$NS90))))</f>
        <v/>
      </c>
      <c r="PJ90" s="164">
        <f>MAX(0,11-SUMPRODUCT($OM90:$OR90,$I$6:$N$6)+MIN(10,$OS90*3+$OT90*5,SUMPRODUCT($OM90:$OR90,$I$6:$N$6)-IF($NS90=0,0,INDEX($I$6:$N$6,1,$NS90))))</f>
        <v/>
      </c>
      <c r="PK90" s="164">
        <f>MAX(0,13-SUMPRODUCT($OM90:$OR90,$I$7:$N$7)+MIN(12,$OS90*3+$OT90*6,SUMPRODUCT($OM90:$OR90,$I$7:$N$7)-IF($NS90=0,0,INDEX($I$7:$N$7,1,$NS90))))</f>
        <v/>
      </c>
      <c r="PL90" s="164">
        <f>MAX(0,16-SUMPRODUCT($OM90:$OR90,$I$8:$N$8)+MIN(14,$OS90*4+$OT90*7,SUMPRODUCT($OM90:$OR90,$I$8:$N$8)-IF($NS90=0,0,INDEX($I$8:$N$8,1,$NS90))))</f>
        <v/>
      </c>
      <c r="PM90" s="164">
        <f>IF($OG90=2,3*$PF90&amp;" de vida temp.",IF($OG90=3,"sem dano",IF($PF90=0,IF($OG90=1,"sem cura","sem dano"),IF($OG90=1,"cura ","")&amp;$PF90&amp;"d8")))</f>
        <v/>
      </c>
      <c r="PN90" s="164">
        <f>IF($OG90=2,3*$PG90&amp;" de vida temp.",IF($OG90=3,"sem dano",IF($PG90=0,IF($OG90=1,"sem cura","sem dano"),IF($OG90=1,"cura ","")&amp;$PG90&amp;"d8")))</f>
        <v/>
      </c>
      <c r="PO90" s="164">
        <f>IF($OG90=2,3*$PH90&amp;" de vida temp.",IF($OG90=3,"sem dano",IF($PH90=0,IF($OG90=1,"sem cura","sem dano"),IF($OG90=1,"cura ","")&amp;$PH90&amp;"d8")))</f>
        <v/>
      </c>
      <c r="PP90" s="164">
        <f>IF($OG90=2,3*$PI90&amp;" de vida temp.",IF($OG90=3,"sem dano",IF($PI90=0,IF($OG90=1,"sem cura","sem dano"),IF($OG90=1,"cura ","")&amp;$PI90&amp;"d8")))</f>
        <v/>
      </c>
      <c r="PQ90" s="164">
        <f>IF($OG90=2,3*$PJ90&amp;" de vida temp.",IF($OG90=3,"sem dano",IF($PJ90=0,IF($OG90=1,"sem cura","sem dano"),IF($OG90=1,"cura ","")&amp;$PJ90&amp;"d8")))</f>
        <v/>
      </c>
      <c r="PR90" s="164">
        <f>IF($OG90=2,3*$PK90&amp;" de vida temp.",IF($OG90=3,"sem dano",IF($PK90=0,IF($OG90=1,"sem cura","sem dano"),IF($OG90=1,"cura ","")&amp;$PK90&amp;"d8")))</f>
        <v/>
      </c>
      <c r="PS90" s="164">
        <f>IF($OG90=2,3*$PL90&amp;" de vida temp.",IF($OG90=3,"sem dano",IF($PL90=0,IF($OG90=1,"sem cura","sem dano"),IF($OG90=1,"cura ","")&amp;$PL90&amp;"d8")))</f>
        <v/>
      </c>
      <c r="PT90" s="164">
        <f>IF($ND90=0,"",TEXTJOIN(" · ",TRUE,IF($ND90=0,"",TEXTJOIN(" · ",TRUE,IF($ND90=0,"",TEXTJOIN(" · ",TRUE,IF($MQ90&gt;$NE90,"Este lugar abre no nível "&amp;$MQ90,""),IF($MS90&gt;$NF90,"Classe "&amp;$MS90&amp;": o nível "&amp;$NE90&amp;" libera até a "&amp;$NF90,""),IF($NX90=1,"A Forma "&amp;$MU90&amp;" pede "&amp;INDEX('DADOS_FORMAS'!$GA$2:$GA$21,$NJ90)&amp;" aberta",""),IF(AND($MS90=0,$NJ90&gt;0,IF($NJ90=0,0,INDEX('DADOS_FORMAS'!$GJ$2:$GJ$21,$NJ90))=0),$MU90&amp;" não existe na Classe 0",""),IF($NY90=1,"Família Fechada: "&amp;$MX90,""),IF($NZ90=1,"Família Fechada: "&amp;$MY90,""),IF($OA90=1,"Família Fechada: "&amp;$MZ90,""),IF($OB90=1,"Família Fechada: "&amp;$NA90,""),IF(AND($MS90&gt;0,$OU90&gt;INDEX($O$2:$O$8,MAX(1,$MS90))),$OU90&amp;" Melhorias: a Classe "&amp;$MS90&amp;" aceita "&amp;INDEX($O$2:$O$8,MAX(1,$MS90)),""),IF(AND($MS90=0,$OU90&gt;1),"A básica aceita uma Melhoria",""),IF(AND($MS90=0,COUNTIF($NO90:$NR90,"&gt;1")&gt;0),"A básica só aceita Melhoria Leve",""),IF(AND($MS90&gt;0,$OV90&gt;2),$OV90&amp;" Restrições"&amp;IF($OF90=1,", contando a que a Forma "&amp;$MU90&amp;" já traz","")&amp;": o limite é 2",""),IF(AND($MS90=0,COUNTIF($NB90:$NC90,"?*")&gt;1),"A básica aceita uma Restrição Leve",""),IF(AND($MS90=0,COUNTIF($OI90:$OJ90,2)&gt;0),"A básica só aceita Restrição Leve",""),IF(AND($MS90&gt;0,$PC90&lt;0),"Orçamento estourado: faltam "&amp;(-$PC90)&amp;IF($PC90&lt;-1," pontos"," ponto"),""),IF(IFERROR(VLOOKUP(SUBSTITUTE(SUBSTITUTE(SUBSTITUTE($NB90,"~","~~"),"*","~*"),"?","~?"),'DADOS_RESTRICOES'!$M$2:$Q$54,4,FALSE),0)+IFERROR(VLOOKUP(SUBSTITUTE(SUBSTITUTE(SUBSTITUTE($NC90,"~","~~"),"*","~*"),"?","~?"),'DADOS_RESTRICOES'!$M$2:$Q$54,4,FALSE),0)&gt;1,$OK90&amp;" e "&amp;$OL90&amp;" são as duas de frequência",""),IF(AND((COUNTIF($RK90:$RN90,"Rápido")+COUNTIF($OK90:$OL90,"Rápido"))&gt;0,(COUNTIF($MX90:$NA90,"Atrasar")+COUNTIF($OK90:$OL90,"Atrasar"))&gt;0),"Rápido não entra com Atrasar",""),IF(AND((COUNTIF($RK90:$RN90,"Reação")+COUNTIF($OK90:$OL90,"Reação"))&gt;0,(COUNTIF($RK90:$RN90,"Rápido")+COUNTIF($OK90:$OL90,"Rápido"))&gt;0),"Reação não entra com Rápido",""),IF(AND((COUNTIF($RK90:$RN90,"Reação")+COUNTIF($OK90:$OL90,"Reação"))&gt;0,(COUNTIF($RK90:$RN90,"Armado")+COUNTIF($OK90:$OL90,"Armado"))&gt;0),"Reação não entra com Armado",""),IF(AND((COUNTIF($RK90:$RN90,"Reação")+COUNTIF($OK90:$OL90,"Reação"))&gt;0,(COUNTIF($MX90:$NA90,"Atrasar")+COUNTIF($OK90:$OL90,"Atrasar"))&gt;0),"Reação não entra com Atrasar",""),IF(AND((COUNTIF($RK90:$RN90,"Reação")+COUNTIF($OK90:$OL90,"Reação"))&gt;0,(COUNTIF($MX90:$NA90,"Parado")+COUNTIF($OK90:$OL90,"Parado"))&gt;0),"Reação não entra com Parado",""),IF(AND((COUNTIF($MX90:$NA90,"Atrasar")+COUNTIF($OK90:$OL90,"Atrasar"))&gt;0,(COUNTIF($MX90:$NA90,"Parado")+COUNTIF($OK90:$OL90,"Parado"))&gt;0),"Atrasar não entra com Parado",""),IF(AND((COUNTIF($RK90:$RN90,"Armado")+COUNTIF($OK90:$OL90,"Armado"))&gt;0,(COUNTIF($MX90:$NA90,"Carregar")+COUNTIF($OK90:$OL90,"Carregar"))&gt;0),"Armado não entra com Carregar",""),IF(AND(COUNTIF($OK90:$OL90,"Corpo a Corpo")&gt;0,$OF90=0,OR($RO90="Cone",$RO90="Linha")),"Corpo a Corpo não entra em "&amp;$MU90,""),IF(AND(COUNTIF($OK90:$OL90,"Corpo a Corpo")&gt;0,$RP90="Corpo a Corpo"),"A Forma "&amp;$MU90&amp;" já traz o Corpo a Corpo",""),IF(AND(COUNTIF($OK90:$OL90,"Tudo ou Nada")&gt;0,$OH90=0),"Tudo ou Nada só entra em habilidade de Teste de Resistência",""),IF(AND(COUNTIF($RK90:$RN90,"Inescapável")&gt;0,OR($OU90&gt;1,$OV90&gt;0)),"Inescapável não aceita outra peça",""),IF(AND($MS90&gt;0,$PD90*IF(COUNTIF($RK90:$RN90,"Remate")&gt;0,1.25,1)+$PE90&gt;4*$MS90),($PD90*IF(COUNTIF($RK90:$RN90,"Remate")&gt;0,1.25,1)+$PE90)&amp;" dados somando repetições"&amp;IF(COUNTIF($RK90:$RN90,"Remate")&gt;0," e o Remate","")&amp;": o teto da Classe "&amp;$MS90&amp;" é "&amp;4*$MS90,""))),IF(AND($MX90&lt;&gt;"",COUNTIF('DADOS_MELHORIAS'!$O$2:$O$113,SUBSTITUTE(SUBSTITUTE(SUBSTITUTE($MX90,"~","~~"),"*","~*"),"?","~?"))=0),"Melhoria não cadastrada ou com erro: "&amp;$MX90,""),IF(AND($MY90&lt;&gt;"",COUNTIF('DADOS_MELHORIAS'!$O$2:$O$113,SUBSTITUTE(SUBSTITUTE(SUBSTITUTE($MY90,"~","~~"),"*","~*"),"?","~?"))=0),"Melhoria não cadastrada ou com erro: "&amp;$MY90,""),IF(AND($MZ90&lt;&gt;"",COUNTIF('DADOS_MELHORIAS'!$O$2:$O$113,SUBSTITUTE(SUBSTITUTE(SUBSTITUTE($MZ90,"~","~~"),"*","~*"),"?","~?"))=0),"Melhoria não cadastrada ou com erro: "&amp;$MZ90,""),IF(AND($NA90&lt;&gt;"",COUNTIF('DADOS_MELHORIAS'!$O$2:$O$113,SUBSTITUTE(SUBSTITUTE(SUBSTITUTE($NA90,"~","~~"),"*","~*"),"?","~?"))=0),"Melhoria não cadastrada ou com erro: "&amp;$NA90,""),IF(AND($NB90&lt;&gt;"",COUNTIF('DADOS_RESTRICOES'!$M$2:$M$54,SUBSTITUTE(SUBSTITUTE(SUBSTITUTE($NB90,"~","~~"),"*","~*"),"?","~?"))=0),"Restrição não cadastrada ou com erro: "&amp;$NB90,""),IF(AND($NC90&lt;&gt;"",COUNTIF('DADOS_RESTRICOES'!$M$2:$M$54,SUBSTITUTE(SUBSTITUTE(SUBSTITUTE($NC90,"~","~~"),"*","~*"),"?","~?"))=0),"Restrição não cadastrada ou com erro: "&amp;$NC90,""))),IF(AND($MU90&lt;&gt;"",COUNTIF('DADOS_FORMAS'!$AH$2:$AH$21,SUBSTITUTE(SUBSTITUTE(SUBSTITUTE($MU90,"~","~~"),"*","~*"),"?","~?"))=0),"Forma não cadastrada ou com erro: "&amp;$MU90,""),IF(AND(IFERROR(INDEX('DADOS_FORMAS'!$AS$2:$AS$21,MATCH(SUBSTITUTE(SUBSTITUTE(SUBSTITUTE($MU90,"~","~~"),"*","~*"),"?","~?"),'DADOS_FORMAS'!$AH$2:$AH$21,0)),"")&lt;&gt;"",OR(IFERROR(VLOOKUP(SUBSTITUTE(SUBSTITUTE(SUBSTITUTE(IFERROR(INDEX('DADOS_FORMAS'!$AS$2:$AS$21,MATCH(SUBSTITUTE(SUBSTITUTE(SUBSTITUTE($MU90,"~","~~"),"*","~*"),"?","~?"),'DADOS_FORMAS'!$AH$2:$AH$21,0)),""),"~","~~"),"*","~*"),"?","~?"),'DADOS_RESTRICOES'!$M$2:$Q$54,2,FALSE),"")=$OK90,IFERROR(VLOOKUP(SUBSTITUTE(SUBSTITUTE(SUBSTITUTE(IFERROR(INDEX('DADOS_FORMAS'!$AS$2:$AS$21,MATCH(SUBSTITUTE(SUBSTITUTE(SUBSTITUTE($MU90,"~","~~"),"*","~*"),"?","~?"),'DADOS_FORMAS'!$AH$2:$AH$21,0)),""),"~","~~"),"*","~*"),"?","~?"),'DADOS_RESTRICOES'!$M$2:$Q$54,2,FALSE),"")=$OL90)),"Restrição repetida, contando a embutida",""),IF(IF(IFERROR(INDEX('DADOS_FORMAS'!$AS$2:$AS$21,MATCH(SUBSTITUTE(SUBSTITUTE(SUBSTITUTE($MU90,"~","~~"),"*","~*"),"?","~?"),'DADOS_FORMAS'!$AH$2:$AH$21,0)),"")="",0,IFERROR(N(VLOOKUP(SUBSTITUTE(SUBSTITUTE(SUBSTITUTE(IFERROR(INDEX('DADOS_FORMAS'!$AS$2:$AS$21,MATCH(SUBSTITUTE(SUBSTITUTE(SUBSTITUTE($MU90,"~","~~"),"*","~*"),"?","~?"),'DADOS_FORMAS'!$AH$2:$AH$21,0)),""),"~","~~"),"*","~*"),"?","~?"),'DADOS_RESTRICOES'!$M$2:$Q$54,4,FALSE)=1),0))+IF($NB90="",0,IFERROR(N(VLOOKUP(SUBSTITUTE(SUBSTITUTE(SUBSTITUTE($NB90,"~","~~"),"*","~*"),"?","~?"),'DADOS_RESTRICOES'!$M$2:$Q$54,4,FALSE)=1),0))+IF($NC90="",0,IFERROR(N(VLOOKUP(SUBSTITUTE(SUBSTITUTE(SUBSTITUTE($NC90,"~","~~"),"*","~*"),"?","~?"),'DADOS_RESTRICOES'!$M$2:$Q$54,4,FALSE)=1),0))&gt;1,"Duas Restrições de frequência, contando a embutida",""),IF(AND(IFERROR(VLOOKUP(SUBSTITUTE(SUBSTITUTE(SUBSTITUTE(IFERROR(INDEX('DADOS_FORMAS'!$AS$2:$AS$21,MATCH(SUBSTITUTE(SUBSTITUTE(SUBSTITUTE($MU90,"~","~~"),"*","~*"),"?","~?"),'DADOS_FORMAS'!$AH$2:$AH$21,0)),""),"~","~~"),"*","~*"),"?","~?"),'DADOS_RESTRICOES'!$M$2:$Q$54,2,FALSE),"")="Tudo ou Nada",$OH90=0),"Tudo ou Nada exige TR",""),IF(AND(IFERROR(VLOOKUP(SUBSTITUTE(SUBSTITUTE(SUBSTITUTE(IFERROR(INDEX('DADOS_FORMAS'!$AS$2:$AS$21,MATCH(SUBSTITUTE(SUBSTITUTE(SUBSTITUTE($MU90,"~","~~"),"*","~*"),"?","~?"),'DADOS_FORMAS'!$AH$2:$AH$21,0)),""),"~","~~"),"*","~*"),"?","~?"),'DADOS_RESTRICOES'!$M$2:$Q$54,2,FALSE),"")="Corpo a Corpo",OR($RO90="Cone",$RO90="Linha")),"Corpo a Corpo não entra em Cone/Linha","")))</f>
        <v/>
      </c>
      <c r="PU90" s="164">
        <f>IF($PT90="",0,(LEN($PT90)-LEN(SUBSTITUTE($PT90," · ","")))/3+1)</f>
        <v/>
      </c>
      <c r="PV90" s="164">
        <f>IF($ND90=0,"",TEXTJOIN(" · ",TRUE,IF($OX90&gt;2*$MS90,"A devolução parou no teto de "&amp;2*$MS90,""),IF($PA90&gt;0,"Devolução perdida: "&amp;$PA90&amp;IF($PA90&gt;1," pontos"," ponto")&amp;" sem Melhoria para pagar",""),IF(AND($OC90&gt;0,AND($MS90&gt;0,$OG90=0),$PD90=0),"Controle sem dano: uma rodada a mais e CD +2",""),IF(AND($OC90&gt;0,AND($MS90&gt;0,$OG90=0),$PD90&gt;0,$PD90&lt;=$MS90),"Controle com saldo até a Classe: uma rodada a mais",""),IF(AND($MS90&gt;0,$OE90&lt;&gt;""),"Efeito de "&amp;$OE90&amp;" pela Classe "&amp;MAX(1,$MS90-1),"")))</f>
        <v/>
      </c>
      <c r="PW90" s="164">
        <f>IF($PV90="",0,(LEN($PV90)-LEN(SUBSTITUTE($PV90," · ","")))/3+1)</f>
        <v/>
      </c>
      <c r="PX90" s="164">
        <f>IF($ND90=0,IF($OU90+COUNTIF($NB90:$NC90,"?*")&gt;0,"Dê um nome",""),IF($PU90&gt;0,"⚠ "&amp;$PU90&amp;IF($PU90&gt;1," erros"," erro"),IF($PW90&gt;0,"! "&amp;$PW90&amp;IF($PW90&gt;1," avisos"," aviso"),"Na regra")))</f>
        <v/>
      </c>
      <c r="PY90" s="164">
        <f>IF($ND90=0,"",IF($PU90+$PW90=0,"Dentro das regras que a ficha confere",$PT90&amp;IF(AND($PU90&gt;0,$PW90&gt;0)," · ","")&amp;$PV90))</f>
        <v/>
      </c>
      <c r="PZ90" s="164">
        <f>IF($MQ90&gt;$NE90,$MR90&amp;" · ABRE NO NÍVEL "&amp;$MQ90,$MR90)</f>
        <v/>
      </c>
      <c r="QA90" s="164">
        <f>IF($ND90=0,"",IF($MS90=0,"Sem PE",3*$MS90&amp;" PE"))</f>
        <v/>
      </c>
      <c r="QB90" s="164">
        <f>IF($ND90=0,"",IF($MS90=0,"A atuação básica dela",IF(COUNTIF($RQ90:$RS90,"Atrasar")&gt;0,"Sua Ação Completa",IF(COUNTIF($RK90:$RN90,"Rápido")&gt;0,"Sua Bônus",IF(COUNTIF($RK90:$RN90,"Reação")&gt;0,"Sua Reação","Sua Padrão")))&amp;" + a básica dela"&amp;IF(COUNTIF($RK90:$RN90,"Reação")&gt;0," e a coletiva","")&amp;IF(COUNTIF($RQ90:$RS90,"Carregar")&gt;0," · em dois turnos","")))</f>
        <v/>
      </c>
      <c r="QC90" s="164">
        <f>IF($MW90&lt;&gt;"",$MW90,IF($NJ90=0,"",INDEX('DADOS_FORMAS'!$GE$2:$GE$21,$NJ90)))</f>
        <v/>
      </c>
      <c r="QD90" s="164">
        <f>IF(OR($ND90=0,$NJ90=0),"",IF(COUNTIF($RK90:$RN90,"Inescapável")&gt;0,"Automático",IF($QC90="Ataque",IF($NH90="","Ataque","Ataque "&amp;IF(($NH90+2*IF(COUNTIF($RK90:$RN90,"Precisão")&gt;0,1,0))&gt;=0,"+","−")&amp;ABS(($NH90+2*IF(COUNTIF($RK90:$RN90,"Precisão")&gt;0,1,0))))&amp;IF($OD90&gt;0," · TR"&amp;IF($NI90="",""," CD "&amp;$NI90),""),IF(LEFT($QC90,2)="TR",$QC90&amp;IF($NI90="",""," · CD "&amp;$NI90)&amp;IF(COUNTIF($RK90:$RN90,"Certeiro")&gt;0," · metade",""),"Sem rolagem"))))</f>
        <v/>
      </c>
      <c r="QE90" s="164">
        <f>IF(OR($ND90=0,$NJ90=0),"",IF($MS90=0,IF(OR($OG90&gt;=1,$PD90=0),"Sem dano",$PD90&amp;"d6"&amp;IF($MV90="",""," "&amp;$MV90)),IF(OR($OG90&gt;=1,$PD90=0),UPPER(LEFT(INDEX($PM90:$PS90,1,MAX(1,$MS90)),1))&amp;MID(INDEX($PM90:$PS90,1,MAX(1,$MS90)),2,99),UPPER(LEFT(INDEX($PM90:$PS90,1,MAX(1,$MS90)),1))&amp;MID(INDEX($PM90:$PS90,1,MAX(1,$MS90)),2,99)&amp;IF($MV90="",""," "&amp;$MV90)&amp;IF($PE90&gt;0," · +"&amp;$PE90&amp;"d8",""))))</f>
        <v/>
      </c>
      <c r="QF90" s="164">
        <f>COUNTIF($RK90:$RN90,"Longe")+3*COUNTIF($RK90:$RN90,"Muito Longe")</f>
        <v/>
      </c>
      <c r="QG90" s="164">
        <f>COUNTIF($RK90:$RN90,"Maior")+3*COUNTIF($RK90:$RN90,"Muito Maior")</f>
        <v/>
      </c>
      <c r="QH90" s="164">
        <f>IF($NJ90=0,0,CHOOSE(1+INDEX('DADOS_FORMAS'!$GG$2:$GG$21,$NJ90),0,$QF90,$QG90,$QF90+$QG90))</f>
        <v/>
      </c>
      <c r="QI90" s="164">
        <f>IF($NJ90=0,0,CHOOSE(1+INDEX('DADOS_FORMAS'!$GH$2:$GH$21,$NJ90),0,$QF90,$QG90,$QF90+$QG90))</f>
        <v/>
      </c>
      <c r="QJ90" s="164">
        <f>IF(OR($ND90=0,$NJ90=0),"",INDEX('DADOS_FORMAS'!$HU$2:$HZ$81,($NJ90-1)*4+IF($MS90=0,1,IF($MS90&lt;=5,2,IF($MS90=6,3,4))),1+MIN(5,$QH90))&amp;INDEX('DADOS_FORMAS'!$IA$2:$IF$81,($NJ90-1)*4+IF($MS90=0,1,IF($MS90&lt;=5,2,IF($MS90=6,3,4))),1+MIN(5,$QI90))&amp;IF(INDEX('DADOS_FORMAS'!$GI$2:$GI$21,$NJ90)=1,IF(COUNTIF($RK90:$RN90,"Mais Um")&gt;0," · +"&amp;COUNTIF($RK90:$RN90,"Mais Um")&amp;IF(COUNTIF($RK90:$RN90,"Mais Um")&gt;1," alvos"," alvo"),"")&amp;IF(COUNTIF($RK90:$RN90,"Rajada")&gt;0,IF($MS90=0," · 1 tiro"," · "&amp;(MAX(1,$MS90-1)+1)&amp;" tiros"),""),""))</f>
        <v/>
      </c>
      <c r="QK90" s="164">
        <f>IF($ND90=0,"",IF($MS90=0,$NG90&amp;"d6"&amp;IF($OU90&gt;0," − 1 = "&amp;$PD90&amp;"d6"," da básica do nível "&amp;$NE90),$PB90&amp;" − "&amp;$OW90&amp;" + "&amp;$OZ90&amp;" = "&amp;$PC90&amp;" · teto "&amp;4*$MS90&amp;"d8"&amp;IF($OF90=1," · a Forma devolve "&amp;$MS90,"")&amp;IF($PA90&gt;0," · perde "&amp;$PA90,"")))</f>
        <v/>
      </c>
      <c r="QL90" s="164">
        <f>IF($ND90=0,"",IF($MS90=0,"A básica não amplia: os dados dela sobem com o nível",IF($MS90&gt;=$NF90,"Já está na maior Classe que o nível liberou",TEXTJOIN(" · ",TRUE,IF(AND(2&gt;$MS90,2&lt;=$NF90),"2 → "&amp;$PN90&amp;", 6 PE",""),IF(AND(3&gt;$MS90,3&lt;=$NF90),"3 → "&amp;$PO90&amp;", 9 PE",""),IF(AND(4&gt;$MS90,4&lt;=$NF90),"4 → "&amp;$PP90&amp;", 12 PE",""),IF(AND(5&gt;$MS90,5&lt;=$NF90),"5 → "&amp;$PQ90&amp;", 15 PE",""),IF(AND(6&gt;$MS90,6&lt;=$NF90),"6 → "&amp;$PR90&amp;", 18 PE",""),IF(AND(7&gt;$MS90,7&lt;=$NF90),"7 → "&amp;$PS90&amp;", 21 PE","")))))</f>
        <v/>
      </c>
      <c r="QM90" s="164">
        <f>IF(OR($ND90=0,$NO90=0),"",IF($MS90=0,"−1 dado","−"&amp;INDEX($I$2:$N$8,MAX(1,$MS90),MAX(1,$NT90))&amp;" · "&amp;CHOOSE(MAX(1,$NT90),"Leve","Média","Pesada","Leve · Livre","Média · Livre","Pesada · Livre")))</f>
        <v/>
      </c>
      <c r="QN90" s="164">
        <f>IF(OR($ND90=0,$NP90=0),"",IF($MS90=0,"−1 dado","−"&amp;INDEX($I$2:$N$8,MAX(1,$MS90),MAX(1,$NU90))&amp;" · "&amp;CHOOSE(MAX(1,$NU90),"Leve","Média","Pesada","Leve · Livre","Média · Livre","Pesada · Livre")))</f>
        <v/>
      </c>
      <c r="QO90" s="164">
        <f>IF(OR($ND90=0,$NQ90=0),"",IF($MS90=0,"−1 dado","−"&amp;INDEX($I$2:$N$8,MAX(1,$MS90),MAX(1,$NV90))&amp;" · "&amp;CHOOSE(MAX(1,$NV90),"Leve","Média","Pesada","Leve · Livre","Média · Livre","Pesada · Livre")))</f>
        <v/>
      </c>
      <c r="QP90" s="164">
        <f>IF(OR($ND90=0,$NR90=0),"",IF($MS90=0,"−1 dado","−"&amp;INDEX($I$2:$N$8,MAX(1,$MS90),MAX(1,$NW90))&amp;" · "&amp;CHOOSE(MAX(1,$NW90),"Leve","Média","Pesada","Leve · Livre","Média · Livre","Pesada · Livre")))</f>
        <v/>
      </c>
      <c r="QQ90" s="164">
        <f>IF(OR($ND90=0,$NB90=""),"",IF($MS90=0,"não devolve","+"&amp;IF($OI90=1,CEILING($MS90/2,1),$MS90)))</f>
        <v/>
      </c>
      <c r="QR90" s="164">
        <f>IF(OR($ND90=0,$NC90=""),"",IF($MS90=0,"não devolve","+"&amp;IF($OJ90=1,CEILING($MS90/2,1),$MS90)))</f>
        <v/>
      </c>
      <c r="RK90">
        <f>IF($MX90="","",IFERROR(VLOOKUP(SUBSTITUTE(SUBSTITUTE(SUBSTITUTE($MX90,"~","~~"),"*","~*"),"?","~?"),'DADOS_MELHORIAS'!$O$2:$X$113,10,FALSE),$MX90))</f>
        <v/>
      </c>
      <c r="RL90">
        <f>IF($MY90="","",IFERROR(VLOOKUP(SUBSTITUTE(SUBSTITUTE(SUBSTITUTE($MY90,"~","~~"),"*","~*"),"?","~?"),'DADOS_MELHORIAS'!$O$2:$X$113,10,FALSE),$MY90))</f>
        <v/>
      </c>
      <c r="RM90">
        <f>IF($MZ90="","",IFERROR(VLOOKUP(SUBSTITUTE(SUBSTITUTE(SUBSTITUTE($MZ90,"~","~~"),"*","~*"),"?","~?"),'DADOS_MELHORIAS'!$O$2:$X$113,10,FALSE),$MZ90))</f>
        <v/>
      </c>
      <c r="RN90">
        <f>IF($NA90="","",IFERROR(VLOOKUP(SUBSTITUTE(SUBSTITUTE(SUBSTITUTE($NA90,"~","~~"),"*","~*"),"?","~?"),'DADOS_MELHORIAS'!$O$2:$X$113,10,FALSE),$NA90))</f>
        <v/>
      </c>
      <c r="RO90">
        <f>IFERROR(INDEX('DADOS_FORMAS'!$BJ$2:$BJ$21,MATCH(SUBSTITUTE(SUBSTITUTE(SUBSTITUTE($MU90,"~","~~"),"*","~*"),"?","~?"),'DADOS_FORMAS'!$AH$2:$AH$21,0)),"")</f>
        <v/>
      </c>
      <c r="RP90">
        <f>IFERROR(VLOOKUP(SUBSTITUTE(SUBSTITUTE(SUBSTITUTE(IFERROR(INDEX('DADOS_FORMAS'!$AS$2:$AS$21,MATCH(SUBSTITUTE(SUBSTITUTE(SUBSTITUTE($MU90,"~","~~"),"*","~*"),"?","~?"),'DADOS_FORMAS'!$AH$2:$AH$21,0)),""),"~","~~"),"*","~*"),"?","~?"),'DADOS_RESTRICOES'!$M$2:$Q$54,2,FALSE),"")</f>
        <v/>
      </c>
      <c r="RQ90">
        <f>$OK90</f>
        <v/>
      </c>
      <c r="RR90">
        <f>$OL90</f>
        <v/>
      </c>
      <c r="RS90">
        <f>$RP90</f>
        <v/>
      </c>
    </row>
    <row r="91">
      <c r="MN91" s="162" t="inlineStr">
        <is>
          <t>Ficha 7 · Escolha da trilha 2</t>
        </is>
      </c>
      <c r="MO91" s="164" t="n">
        <v>7</v>
      </c>
      <c r="MP91" s="164" t="n">
        <v>2</v>
      </c>
      <c r="MQ91" s="164" t="n">
        <v>0</v>
      </c>
      <c r="MR91" s="162" t="inlineStr">
        <is>
          <t>ESCOLHA DA TRILHA 2</t>
        </is>
      </c>
      <c r="MS91" s="164">
        <f>MAX(0,MIN(7,N('INVOCAÇÕES'!$AH$173)))</f>
        <v/>
      </c>
      <c r="MT91" s="164">
        <f>'INVOCAÇÕES'!$AI$173&amp;""</f>
        <v/>
      </c>
      <c r="MU91" s="164">
        <f>'INVOCAÇÕES'!$AH$178&amp;""</f>
        <v/>
      </c>
      <c r="MV91" s="164">
        <f>'INVOCAÇÕES'!$AH$179&amp;""</f>
        <v/>
      </c>
      <c r="MW91" s="164">
        <f>'INVOCAÇÕES'!$AJ$179&amp;""</f>
        <v/>
      </c>
      <c r="MX91" s="164">
        <f>'INVOCAÇÕES'!$AI$182&amp;""</f>
        <v/>
      </c>
      <c r="MY91" s="164">
        <f>'INVOCAÇÕES'!$AI$183&amp;""</f>
        <v/>
      </c>
      <c r="MZ91" s="164">
        <f>'INVOCAÇÕES'!$AI$184&amp;""</f>
        <v/>
      </c>
      <c r="NA91" s="164">
        <f>'INVOCAÇÕES'!$AI$185&amp;""</f>
        <v/>
      </c>
      <c r="NB91" s="164">
        <f>'INVOCAÇÕES'!$AI$186&amp;""</f>
        <v/>
      </c>
      <c r="NC91" s="164">
        <f>'INVOCAÇÕES'!$AI$187&amp;""</f>
        <v/>
      </c>
      <c r="ND91" s="164">
        <f>IF($MT91&lt;&gt;"",1,0)</f>
        <v/>
      </c>
      <c r="NE91" s="164">
        <f>INDEX($FO$2:$FO$13,$MO91)</f>
        <v/>
      </c>
      <c r="NF91" s="164">
        <f>INDEX($FP$2:$FP$13,$MO91)</f>
        <v/>
      </c>
      <c r="NG91" s="164">
        <f>INDEX($FQ$2:$FQ$13,$MO91)</f>
        <v/>
      </c>
      <c r="NH91" s="164">
        <f>INDEX($GB$2:$GB$13,$MO91)</f>
        <v/>
      </c>
      <c r="NI91" s="164">
        <f>INDEX($GC$2:$GC$13,$MO91)</f>
        <v/>
      </c>
      <c r="NJ91" s="164">
        <f>IFERROR(MATCH(SUBSTITUTE(SUBSTITUTE(SUBSTITUTE($MU91,"~","~~"),"*","~*"),"?","~?"),'DADOS_FORMAS'!$FZ$2:$FZ$21,0),0)</f>
        <v/>
      </c>
      <c r="NK91" s="164">
        <f>IFERROR(VLOOKUP(SUBSTITUTE(SUBSTITUTE(SUBSTITUTE($MX91,"~","~~"),"*","~*"),"?","~?"),'DADOS_MELHORIAS'!$AG$2:$AL$113,2,FALSE),"")</f>
        <v/>
      </c>
      <c r="NL91" s="164">
        <f>IFERROR(VLOOKUP(SUBSTITUTE(SUBSTITUTE(SUBSTITUTE($MY91,"~","~~"),"*","~*"),"?","~?"),'DADOS_MELHORIAS'!$AG$2:$AL$113,2,FALSE),"")</f>
        <v/>
      </c>
      <c r="NM91" s="164">
        <f>IFERROR(VLOOKUP(SUBSTITUTE(SUBSTITUTE(SUBSTITUTE($MZ91,"~","~~"),"*","~*"),"?","~?"),'DADOS_MELHORIAS'!$AG$2:$AL$113,2,FALSE),"")</f>
        <v/>
      </c>
      <c r="NN91" s="164">
        <f>IFERROR(VLOOKUP(SUBSTITUTE(SUBSTITUTE(SUBSTITUTE($NA91,"~","~~"),"*","~*"),"?","~?"),'DADOS_MELHORIAS'!$AG$2:$AL$113,2,FALSE),"")</f>
        <v/>
      </c>
      <c r="NO91" s="164">
        <f>IFERROR(VLOOKUP(SUBSTITUTE(SUBSTITUTE(SUBSTITUTE($MX91,"~","~~"),"*","~*"),"?","~?"),'DADOS_MELHORIAS'!$AG$2:$AL$113,3,FALSE),0)</f>
        <v/>
      </c>
      <c r="NP91" s="164">
        <f>IFERROR(VLOOKUP(SUBSTITUTE(SUBSTITUTE(SUBSTITUTE($MY91,"~","~~"),"*","~*"),"?","~?"),'DADOS_MELHORIAS'!$AG$2:$AL$113,3,FALSE),0)</f>
        <v/>
      </c>
      <c r="NQ91" s="164">
        <f>IFERROR(VLOOKUP(SUBSTITUTE(SUBSTITUTE(SUBSTITUTE($MZ91,"~","~~"),"*","~*"),"?","~?"),'DADOS_MELHORIAS'!$AG$2:$AL$113,3,FALSE),0)</f>
        <v/>
      </c>
      <c r="NR91" s="164">
        <f>IFERROR(VLOOKUP(SUBSTITUTE(SUBSTITUTE(SUBSTITUTE($NA91,"~","~~"),"*","~*"),"?","~?"),'DADOS_MELHORIAS'!$AG$2:$AL$113,3,FALSE),0)</f>
        <v/>
      </c>
      <c r="NS91" s="164">
        <f>IF($MS91=0,0,IF($NJ91=0,0,INDEX('DADOS_FORMAS'!$GB$2:$GB$21,$NJ91)))</f>
        <v/>
      </c>
      <c r="NT91" s="164">
        <f>IF(OR($NO91=0,$MS91=0),0,$NO91+3*IF(AND($NK91&lt;&gt;"",COUNTIF(INDEX($RB$2:$RJ$13,$MO91,0),$NK91)&gt;0),1,0))</f>
        <v/>
      </c>
      <c r="NU91" s="164">
        <f>IF(OR($NP91=0,$MS91=0),0,$NP91+3*IF(AND($NL91&lt;&gt;"",COUNTIF(INDEX($RB$2:$RJ$13,$MO91,0),$NL91)&gt;0),1,0))</f>
        <v/>
      </c>
      <c r="NV91" s="164">
        <f>IF(OR($NQ91=0,$MS91=0),0,$NQ91+3*IF(AND($NM91&lt;&gt;"",COUNTIF(INDEX($RB$2:$RJ$13,$MO91,0),$NM91)&gt;0),1,0))</f>
        <v/>
      </c>
      <c r="NW91" s="164">
        <f>IF(OR($NR91=0,$MS91=0),0,$NR91+3*IF(AND($NN91&lt;&gt;"",COUNTIF(INDEX($RB$2:$RJ$13,$MO91,0),$NN91)&gt;0),1,0))</f>
        <v/>
      </c>
      <c r="NX91" s="164">
        <f>IF($NJ91=0,0,IF(INDEX('DADOS_FORMAS'!$GA$2:$GA$21,$NJ91)="",0,IF((COUNTIF(INDEX($EL$2:$EP$13,$MO91,0),INDEX('DADOS_FORMAS'!$GA$2:$GA$21,$NJ91))+COUNTIF(INDEX($QV$2:$QY$13,$MO91,0),INDEX('DADOS_FORMAS'!$GA$2:$GA$21,$NJ91)))=0,1,0)))</f>
        <v/>
      </c>
      <c r="NY91" s="164">
        <f>IF(OR($NO91=0,$NK91=""),0,IF((COUNTIF(INDEX($EL$2:$EP$13,$MO91,0),$NK91)+COUNTIF(INDEX($QV$2:$QY$13,$MO91,0),$NK91))=0,1,0))</f>
        <v/>
      </c>
      <c r="NZ91" s="164">
        <f>IF(OR($NP91=0,$NL91=""),0,IF((COUNTIF(INDEX($EL$2:$EP$13,$MO91,0),$NL91)+COUNTIF(INDEX($QV$2:$QY$13,$MO91,0),$NL91))=0,1,0))</f>
        <v/>
      </c>
      <c r="OA91" s="164">
        <f>IF(OR($NQ91=0,$NM91=""),0,IF((COUNTIF(INDEX($EL$2:$EP$13,$MO91,0),$NM91)+COUNTIF(INDEX($QV$2:$QY$13,$MO91,0),$NM91))=0,1,0))</f>
        <v/>
      </c>
      <c r="OB91" s="164">
        <f>IF(OR($NR91=0,$NN91=""),0,IF((COUNTIF(INDEX($EL$2:$EP$13,$MO91,0),$NN91)+COUNTIF(INDEX($QV$2:$QY$13,$MO91,0),$NN91))=0,1,0))</f>
        <v/>
      </c>
      <c r="OC91" s="164">
        <f>IFERROR(VLOOKUP(SUBSTITUTE(SUBSTITUTE(SUBSTITUTE($MX91,"~","~~"),"*","~*"),"?","~?"),'DADOS_MELHORIAS'!$AG$2:$AL$113,4,FALSE),0)+IFERROR(VLOOKUP(SUBSTITUTE(SUBSTITUTE(SUBSTITUTE($MY91,"~","~~"),"*","~*"),"?","~?"),'DADOS_MELHORIAS'!$AG$2:$AL$113,4,FALSE),0)+IFERROR(VLOOKUP(SUBSTITUTE(SUBSTITUTE(SUBSTITUTE($MZ91,"~","~~"),"*","~*"),"?","~?"),'DADOS_MELHORIAS'!$AG$2:$AL$113,4,FALSE),0)+IFERROR(VLOOKUP(SUBSTITUTE(SUBSTITUTE(SUBSTITUTE($NA91,"~","~~"),"*","~*"),"?","~?"),'DADOS_MELHORIAS'!$AG$2:$AL$113,4,FALSE),0)</f>
        <v/>
      </c>
      <c r="OD91" s="164">
        <f>IFERROR(VLOOKUP(SUBSTITUTE(SUBSTITUTE(SUBSTITUTE($MX91,"~","~~"),"*","~*"),"?","~?"),'DADOS_MELHORIAS'!$AG$2:$AL$113,6,FALSE),0)+IFERROR(VLOOKUP(SUBSTITUTE(SUBSTITUTE(SUBSTITUTE($MY91,"~","~~"),"*","~*"),"?","~?"),'DADOS_MELHORIAS'!$AG$2:$AL$113,6,FALSE),0)+IFERROR(VLOOKUP(SUBSTITUTE(SUBSTITUTE(SUBSTITUTE($MZ91,"~","~~"),"*","~*"),"?","~?"),'DADOS_MELHORIAS'!$AG$2:$AL$113,6,FALSE),0)+IFERROR(VLOOKUP(SUBSTITUTE(SUBSTITUTE(SUBSTITUTE($NA91,"~","~~"),"*","~*"),"?","~?"),'DADOS_MELHORIAS'!$AG$2:$AL$113,6,FALSE),0)+IFERROR(N(AND(INDEX('DADOS_FORMAS'!$AO$2:$AO$21,MATCH(SUBSTITUTE(SUBSTITUTE(SUBSTITUTE($MU91,"~","~~"),"*","~*"),"?","~?"),'DADOS_FORMAS'!$AH$2:$AH$21,0))="Acerto",$OH91=1)),0)</f>
        <v/>
      </c>
      <c r="OE91" s="164">
        <f>TEXTJOIN(", ",TRUE,IF(IFERROR(VLOOKUP(SUBSTITUTE(SUBSTITUTE(SUBSTITUTE($MX91,"~","~~"),"*","~*"),"?","~?"),'DADOS_MELHORIAS'!$AG$2:$AL$113,5,FALSE),0)=1,$MX91,""),IF(IFERROR(VLOOKUP(SUBSTITUTE(SUBSTITUTE(SUBSTITUTE($MY91,"~","~~"),"*","~*"),"?","~?"),'DADOS_MELHORIAS'!$AG$2:$AL$113,5,FALSE),0)=1,$MY91,""),IF(IFERROR(VLOOKUP(SUBSTITUTE(SUBSTITUTE(SUBSTITUTE($MZ91,"~","~~"),"*","~*"),"?","~?"),'DADOS_MELHORIAS'!$AG$2:$AL$113,5,FALSE),0)=1,$MZ91,""),IF(IFERROR(VLOOKUP(SUBSTITUTE(SUBSTITUTE(SUBSTITUTE($NA91,"~","~~"),"*","~*"),"?","~?"),'DADOS_MELHORIAS'!$AG$2:$AL$113,5,FALSE),0)=1,$NA91,""))</f>
        <v/>
      </c>
      <c r="OF91" s="164">
        <f>IF($NJ91=0,0,INDEX('DADOS_FORMAS'!$GC$2:$GC$21,$NJ91))</f>
        <v/>
      </c>
      <c r="OG91" s="164">
        <f>IF($NJ91=0,0,INDEX('DADOS_FORMAS'!$GD$2:$GD$21,$NJ91))</f>
        <v/>
      </c>
      <c r="OH91" s="164">
        <f>IF($NJ91=0,0,INDEX('DADOS_FORMAS'!$GF$2:$GF$21,$NJ91))</f>
        <v/>
      </c>
      <c r="OI91" s="164">
        <f>IFERROR(VLOOKUP(SUBSTITUTE(SUBSTITUTE(SUBSTITUTE($NB91,"~","~~"),"*","~*"),"?","~?"),'DADOS_RESTRICOES'!$M$2:$Q$54,3,FALSE),0)</f>
        <v/>
      </c>
      <c r="OJ91" s="164">
        <f>IFERROR(VLOOKUP(SUBSTITUTE(SUBSTITUTE(SUBSTITUTE($NC91,"~","~~"),"*","~*"),"?","~?"),'DADOS_RESTRICOES'!$M$2:$Q$54,3,FALSE),0)</f>
        <v/>
      </c>
      <c r="OK91" s="164">
        <f>IFERROR(VLOOKUP(SUBSTITUTE(SUBSTITUTE(SUBSTITUTE($NB91,"~","~~"),"*","~*"),"?","~?"),'DADOS_RESTRICOES'!$M$2:$Q$54,2,FALSE),"")</f>
        <v/>
      </c>
      <c r="OL91" s="164">
        <f>IFERROR(VLOOKUP(SUBSTITUTE(SUBSTITUTE(SUBSTITUTE($NC91,"~","~~"),"*","~*"),"?","~?"),'DADOS_RESTRICOES'!$M$2:$Q$54,2,FALSE),"")</f>
        <v/>
      </c>
      <c r="OM91" s="164">
        <f>COUNTIF($NS91:$NW91,1)</f>
        <v/>
      </c>
      <c r="ON91" s="164">
        <f>COUNTIF($NS91:$NW91,2)</f>
        <v/>
      </c>
      <c r="OO91" s="164">
        <f>COUNTIF($NS91:$NW91,3)</f>
        <v/>
      </c>
      <c r="OP91" s="164">
        <f>COUNTIF($NS91:$NW91,4)</f>
        <v/>
      </c>
      <c r="OQ91" s="164">
        <f>COUNTIF($NS91:$NW91,5)</f>
        <v/>
      </c>
      <c r="OR91" s="164">
        <f>COUNTIF($NS91:$NW91,6)</f>
        <v/>
      </c>
      <c r="OS91" s="164">
        <f>COUNTIF($OI91:$OJ91,1)+IF(IFERROR(INDEX('DADOS_FORMAS'!$AS$2:$AS$21,MATCH(SUBSTITUTE(SUBSTITUTE(SUBSTITUTE($MU91,"~","~~"),"*","~*"),"?","~?"),'DADOS_FORMAS'!$AH$2:$AH$21,0)),"")="",0,IFERROR(N(VLOOKUP(SUBSTITUTE(SUBSTITUTE(SUBSTITUTE(IFERROR(INDEX('DADOS_FORMAS'!$AS$2:$AS$21,MATCH(SUBSTITUTE(SUBSTITUTE(SUBSTITUTE($MU91,"~","~~"),"*","~*"),"?","~?"),'DADOS_FORMAS'!$AH$2:$AH$21,0)),""),"~","~~"),"*","~*"),"?","~?"),'DADOS_RESTRICOES'!$M$2:$Q$54,3,FALSE)=1),0))</f>
        <v/>
      </c>
      <c r="OT91" s="164">
        <f>COUNTIF($OI91:$OJ91,2)+IF(IFERROR(INDEX('DADOS_FORMAS'!$AS$2:$AS$21,MATCH(SUBSTITUTE(SUBSTITUTE(SUBSTITUTE($MU91,"~","~~"),"*","~*"),"?","~?"),'DADOS_FORMAS'!$AH$2:$AH$21,0)),"")="",0,IFERROR(N(VLOOKUP(SUBSTITUTE(SUBSTITUTE(SUBSTITUTE(IFERROR(INDEX('DADOS_FORMAS'!$AS$2:$AS$21,MATCH(SUBSTITUTE(SUBSTITUTE(SUBSTITUTE($MU91,"~","~~"),"*","~*"),"?","~?"),'DADOS_FORMAS'!$AH$2:$AH$21,0)),""),"~","~~"),"*","~*"),"?","~?"),'DADOS_RESTRICOES'!$M$2:$Q$54,3,FALSE)=2),0))</f>
        <v/>
      </c>
      <c r="OU91" s="164">
        <f>COUNTIF($MX91:$NA91,"?*")</f>
        <v/>
      </c>
      <c r="OV91" s="164">
        <f>COUNTIF($NB91:$NC91,"?*")+$OF91</f>
        <v/>
      </c>
      <c r="OW91" s="164">
        <f>IF($MS91=0,0,SUMPRODUCT($OM91:$OR91,INDEX($I$2:$N$8,MAX(1,$MS91),0)))</f>
        <v/>
      </c>
      <c r="OX91" s="164">
        <f>IF($MS91=0,0,$OS91*CEILING($MS91/2,1)+$OT91*$MS91)</f>
        <v/>
      </c>
      <c r="OY91" s="164">
        <f>MIN(2*$MS91,$OX91)</f>
        <v/>
      </c>
      <c r="OZ91" s="164">
        <f>MIN($OY91,$OW91-IF($NS91=0,0,INDEX($I$2:$N$8,MAX(1,$MS91),$NS91)))</f>
        <v/>
      </c>
      <c r="PA91" s="164">
        <f>$OY91-$OZ91</f>
        <v/>
      </c>
      <c r="PB91" s="164">
        <f>IF($MS91=0,0,INDEX($P$2:$P$8,MAX(1,$MS91)))</f>
        <v/>
      </c>
      <c r="PC91" s="164">
        <f>$PB91-$OW91+$OZ91</f>
        <v/>
      </c>
      <c r="PD91" s="164">
        <f>IF($MS91=0,MAX(0,$NG91-IF(AND($OU91&gt;0,COUNTIF($NB91:$NC91,"?*")=0),1,0)),MAX(0,$PC91))</f>
        <v/>
      </c>
      <c r="PE91" s="164">
        <f>IF($MS91=0,0,(IF(COUNTIF($RK91:$RN91,"Salto")&gt;0,1,0)+IF(COUNTIF($RK91:$RN91,"Queima")&gt;0,1,0)+IF(COUNTIF($RK91:$RN91,"Estilhaço")&gt;0,1,0))*FLOOR($PD91/2,1))</f>
        <v/>
      </c>
      <c r="PF91" s="164">
        <f>MAX(0,2-SUMPRODUCT($OM91:$OR91,$I$2:$N$2)+MIN(2,$OS91*1+$OT91*1,SUMPRODUCT($OM91:$OR91,$I$2:$N$2)-IF($NS91=0,0,INDEX($I$2:$N$2,1,$NS91))))</f>
        <v/>
      </c>
      <c r="PG91" s="164">
        <f>MAX(0,4-SUMPRODUCT($OM91:$OR91,$I$3:$N$3)+MIN(4,$OS91*1+$OT91*2,SUMPRODUCT($OM91:$OR91,$I$3:$N$3)-IF($NS91=0,0,INDEX($I$3:$N$3,1,$NS91))))</f>
        <v/>
      </c>
      <c r="PH91" s="164">
        <f>MAX(0,6-SUMPRODUCT($OM91:$OR91,$I$4:$N$4)+MIN(6,$OS91*2+$OT91*3,SUMPRODUCT($OM91:$OR91,$I$4:$N$4)-IF($NS91=0,0,INDEX($I$4:$N$4,1,$NS91))))</f>
        <v/>
      </c>
      <c r="PI91" s="164">
        <f>MAX(0,9-SUMPRODUCT($OM91:$OR91,$I$5:$N$5)+MIN(8,$OS91*2+$OT91*4,SUMPRODUCT($OM91:$OR91,$I$5:$N$5)-IF($NS91=0,0,INDEX($I$5:$N$5,1,$NS91))))</f>
        <v/>
      </c>
      <c r="PJ91" s="164">
        <f>MAX(0,11-SUMPRODUCT($OM91:$OR91,$I$6:$N$6)+MIN(10,$OS91*3+$OT91*5,SUMPRODUCT($OM91:$OR91,$I$6:$N$6)-IF($NS91=0,0,INDEX($I$6:$N$6,1,$NS91))))</f>
        <v/>
      </c>
      <c r="PK91" s="164">
        <f>MAX(0,13-SUMPRODUCT($OM91:$OR91,$I$7:$N$7)+MIN(12,$OS91*3+$OT91*6,SUMPRODUCT($OM91:$OR91,$I$7:$N$7)-IF($NS91=0,0,INDEX($I$7:$N$7,1,$NS91))))</f>
        <v/>
      </c>
      <c r="PL91" s="164">
        <f>MAX(0,16-SUMPRODUCT($OM91:$OR91,$I$8:$N$8)+MIN(14,$OS91*4+$OT91*7,SUMPRODUCT($OM91:$OR91,$I$8:$N$8)-IF($NS91=0,0,INDEX($I$8:$N$8,1,$NS91))))</f>
        <v/>
      </c>
      <c r="PM91" s="164">
        <f>IF($OG91=2,3*$PF91&amp;" de vida temp.",IF($OG91=3,"sem dano",IF($PF91=0,IF($OG91=1,"sem cura","sem dano"),IF($OG91=1,"cura ","")&amp;$PF91&amp;"d8")))</f>
        <v/>
      </c>
      <c r="PN91" s="164">
        <f>IF($OG91=2,3*$PG91&amp;" de vida temp.",IF($OG91=3,"sem dano",IF($PG91=0,IF($OG91=1,"sem cura","sem dano"),IF($OG91=1,"cura ","")&amp;$PG91&amp;"d8")))</f>
        <v/>
      </c>
      <c r="PO91" s="164">
        <f>IF($OG91=2,3*$PH91&amp;" de vida temp.",IF($OG91=3,"sem dano",IF($PH91=0,IF($OG91=1,"sem cura","sem dano"),IF($OG91=1,"cura ","")&amp;$PH91&amp;"d8")))</f>
        <v/>
      </c>
      <c r="PP91" s="164">
        <f>IF($OG91=2,3*$PI91&amp;" de vida temp.",IF($OG91=3,"sem dano",IF($PI91=0,IF($OG91=1,"sem cura","sem dano"),IF($OG91=1,"cura ","")&amp;$PI91&amp;"d8")))</f>
        <v/>
      </c>
      <c r="PQ91" s="164">
        <f>IF($OG91=2,3*$PJ91&amp;" de vida temp.",IF($OG91=3,"sem dano",IF($PJ91=0,IF($OG91=1,"sem cura","sem dano"),IF($OG91=1,"cura ","")&amp;$PJ91&amp;"d8")))</f>
        <v/>
      </c>
      <c r="PR91" s="164">
        <f>IF($OG91=2,3*$PK91&amp;" de vida temp.",IF($OG91=3,"sem dano",IF($PK91=0,IF($OG91=1,"sem cura","sem dano"),IF($OG91=1,"cura ","")&amp;$PK91&amp;"d8")))</f>
        <v/>
      </c>
      <c r="PS91" s="164">
        <f>IF($OG91=2,3*$PL91&amp;" de vida temp.",IF($OG91=3,"sem dano",IF($PL91=0,IF($OG91=1,"sem cura","sem dano"),IF($OG91=1,"cura ","")&amp;$PL91&amp;"d8")))</f>
        <v/>
      </c>
      <c r="PT91" s="164">
        <f>IF($ND91=0,"",TEXTJOIN(" · ",TRUE,IF($ND91=0,"",TEXTJOIN(" · ",TRUE,IF($ND91=0,"",TEXTJOIN(" · ",TRUE,IF($MQ91&gt;$NE91,"Este lugar abre no nível "&amp;$MQ91,""),IF($MS91&gt;$NF91,"Classe "&amp;$MS91&amp;": o nível "&amp;$NE91&amp;" libera até a "&amp;$NF91,""),IF($NX91=1,"A Forma "&amp;$MU91&amp;" pede "&amp;INDEX('DADOS_FORMAS'!$GA$2:$GA$21,$NJ91)&amp;" aberta",""),IF(AND($MS91=0,$NJ91&gt;0,IF($NJ91=0,0,INDEX('DADOS_FORMAS'!$GJ$2:$GJ$21,$NJ91))=0),$MU91&amp;" não existe na Classe 0",""),IF($NY91=1,"Família Fechada: "&amp;$MX91,""),IF($NZ91=1,"Família Fechada: "&amp;$MY91,""),IF($OA91=1,"Família Fechada: "&amp;$MZ91,""),IF($OB91=1,"Família Fechada: "&amp;$NA91,""),IF(AND($MS91&gt;0,$OU91&gt;INDEX($O$2:$O$8,MAX(1,$MS91))),$OU91&amp;" Melhorias: a Classe "&amp;$MS91&amp;" aceita "&amp;INDEX($O$2:$O$8,MAX(1,$MS91)),""),IF(AND($MS91=0,$OU91&gt;1),"A básica aceita uma Melhoria",""),IF(AND($MS91=0,COUNTIF($NO91:$NR91,"&gt;1")&gt;0),"A básica só aceita Melhoria Leve",""),IF(AND($MS91&gt;0,$OV91&gt;2),$OV91&amp;" Restrições"&amp;IF($OF91=1,", contando a que a Forma "&amp;$MU91&amp;" já traz","")&amp;": o limite é 2",""),IF(AND($MS91=0,COUNTIF($NB91:$NC91,"?*")&gt;1),"A básica aceita uma Restrição Leve",""),IF(AND($MS91=0,COUNTIF($OI91:$OJ91,2)&gt;0),"A básica só aceita Restrição Leve",""),IF(AND($MS91&gt;0,$PC91&lt;0),"Orçamento estourado: faltam "&amp;(-$PC91)&amp;IF($PC91&lt;-1," pontos"," ponto"),""),IF(IFERROR(VLOOKUP(SUBSTITUTE(SUBSTITUTE(SUBSTITUTE($NB91,"~","~~"),"*","~*"),"?","~?"),'DADOS_RESTRICOES'!$M$2:$Q$54,4,FALSE),0)+IFERROR(VLOOKUP(SUBSTITUTE(SUBSTITUTE(SUBSTITUTE($NC91,"~","~~"),"*","~*"),"?","~?"),'DADOS_RESTRICOES'!$M$2:$Q$54,4,FALSE),0)&gt;1,$OK91&amp;" e "&amp;$OL91&amp;" são as duas de frequência",""),IF(AND((COUNTIF($RK91:$RN91,"Rápido")+COUNTIF($OK91:$OL91,"Rápido"))&gt;0,(COUNTIF($MX91:$NA91,"Atrasar")+COUNTIF($OK91:$OL91,"Atrasar"))&gt;0),"Rápido não entra com Atrasar",""),IF(AND((COUNTIF($RK91:$RN91,"Reação")+COUNTIF($OK91:$OL91,"Reação"))&gt;0,(COUNTIF($RK91:$RN91,"Rápido")+COUNTIF($OK91:$OL91,"Rápido"))&gt;0),"Reação não entra com Rápido",""),IF(AND((COUNTIF($RK91:$RN91,"Reação")+COUNTIF($OK91:$OL91,"Reação"))&gt;0,(COUNTIF($RK91:$RN91,"Armado")+COUNTIF($OK91:$OL91,"Armado"))&gt;0),"Reação não entra com Armado",""),IF(AND((COUNTIF($RK91:$RN91,"Reação")+COUNTIF($OK91:$OL91,"Reação"))&gt;0,(COUNTIF($MX91:$NA91,"Atrasar")+COUNTIF($OK91:$OL91,"Atrasar"))&gt;0),"Reação não entra com Atrasar",""),IF(AND((COUNTIF($RK91:$RN91,"Reação")+COUNTIF($OK91:$OL91,"Reação"))&gt;0,(COUNTIF($MX91:$NA91,"Parado")+COUNTIF($OK91:$OL91,"Parado"))&gt;0),"Reação não entra com Parado",""),IF(AND((COUNTIF($MX91:$NA91,"Atrasar")+COUNTIF($OK91:$OL91,"Atrasar"))&gt;0,(COUNTIF($MX91:$NA91,"Parado")+COUNTIF($OK91:$OL91,"Parado"))&gt;0),"Atrasar não entra com Parado",""),IF(AND((COUNTIF($RK91:$RN91,"Armado")+COUNTIF($OK91:$OL91,"Armado"))&gt;0,(COUNTIF($MX91:$NA91,"Carregar")+COUNTIF($OK91:$OL91,"Carregar"))&gt;0),"Armado não entra com Carregar",""),IF(AND(COUNTIF($OK91:$OL91,"Corpo a Corpo")&gt;0,$OF91=0,OR($RO91="Cone",$RO91="Linha")),"Corpo a Corpo não entra em "&amp;$MU91,""),IF(AND(COUNTIF($OK91:$OL91,"Corpo a Corpo")&gt;0,$RP91="Corpo a Corpo"),"A Forma "&amp;$MU91&amp;" já traz o Corpo a Corpo",""),IF(AND(COUNTIF($OK91:$OL91,"Tudo ou Nada")&gt;0,$OH91=0),"Tudo ou Nada só entra em habilidade de Teste de Resistência",""),IF(AND(COUNTIF($RK91:$RN91,"Inescapável")&gt;0,OR($OU91&gt;1,$OV91&gt;0)),"Inescapável não aceita outra peça",""),IF(AND($MS91&gt;0,$PD91*IF(COUNTIF($RK91:$RN91,"Remate")&gt;0,1.25,1)+$PE91&gt;4*$MS91),($PD91*IF(COUNTIF($RK91:$RN91,"Remate")&gt;0,1.25,1)+$PE91)&amp;" dados somando repetições"&amp;IF(COUNTIF($RK91:$RN91,"Remate")&gt;0," e o Remate","")&amp;": o teto da Classe "&amp;$MS91&amp;" é "&amp;4*$MS91,""))),IF(AND($MX91&lt;&gt;"",COUNTIF('DADOS_MELHORIAS'!$O$2:$O$113,SUBSTITUTE(SUBSTITUTE(SUBSTITUTE($MX91,"~","~~"),"*","~*"),"?","~?"))=0),"Melhoria não cadastrada ou com erro: "&amp;$MX91,""),IF(AND($MY91&lt;&gt;"",COUNTIF('DADOS_MELHORIAS'!$O$2:$O$113,SUBSTITUTE(SUBSTITUTE(SUBSTITUTE($MY91,"~","~~"),"*","~*"),"?","~?"))=0),"Melhoria não cadastrada ou com erro: "&amp;$MY91,""),IF(AND($MZ91&lt;&gt;"",COUNTIF('DADOS_MELHORIAS'!$O$2:$O$113,SUBSTITUTE(SUBSTITUTE(SUBSTITUTE($MZ91,"~","~~"),"*","~*"),"?","~?"))=0),"Melhoria não cadastrada ou com erro: "&amp;$MZ91,""),IF(AND($NA91&lt;&gt;"",COUNTIF('DADOS_MELHORIAS'!$O$2:$O$113,SUBSTITUTE(SUBSTITUTE(SUBSTITUTE($NA91,"~","~~"),"*","~*"),"?","~?"))=0),"Melhoria não cadastrada ou com erro: "&amp;$NA91,""),IF(AND($NB91&lt;&gt;"",COUNTIF('DADOS_RESTRICOES'!$M$2:$M$54,SUBSTITUTE(SUBSTITUTE(SUBSTITUTE($NB91,"~","~~"),"*","~*"),"?","~?"))=0),"Restrição não cadastrada ou com erro: "&amp;$NB91,""),IF(AND($NC91&lt;&gt;"",COUNTIF('DADOS_RESTRICOES'!$M$2:$M$54,SUBSTITUTE(SUBSTITUTE(SUBSTITUTE($NC91,"~","~~"),"*","~*"),"?","~?"))=0),"Restrição não cadastrada ou com erro: "&amp;$NC91,""))),IF(AND($MU91&lt;&gt;"",COUNTIF('DADOS_FORMAS'!$AH$2:$AH$21,SUBSTITUTE(SUBSTITUTE(SUBSTITUTE($MU91,"~","~~"),"*","~*"),"?","~?"))=0),"Forma não cadastrada ou com erro: "&amp;$MU91,""),IF(AND(IFERROR(INDEX('DADOS_FORMAS'!$AS$2:$AS$21,MATCH(SUBSTITUTE(SUBSTITUTE(SUBSTITUTE($MU91,"~","~~"),"*","~*"),"?","~?"),'DADOS_FORMAS'!$AH$2:$AH$21,0)),"")&lt;&gt;"",OR(IFERROR(VLOOKUP(SUBSTITUTE(SUBSTITUTE(SUBSTITUTE(IFERROR(INDEX('DADOS_FORMAS'!$AS$2:$AS$21,MATCH(SUBSTITUTE(SUBSTITUTE(SUBSTITUTE($MU91,"~","~~"),"*","~*"),"?","~?"),'DADOS_FORMAS'!$AH$2:$AH$21,0)),""),"~","~~"),"*","~*"),"?","~?"),'DADOS_RESTRICOES'!$M$2:$Q$54,2,FALSE),"")=$OK91,IFERROR(VLOOKUP(SUBSTITUTE(SUBSTITUTE(SUBSTITUTE(IFERROR(INDEX('DADOS_FORMAS'!$AS$2:$AS$21,MATCH(SUBSTITUTE(SUBSTITUTE(SUBSTITUTE($MU91,"~","~~"),"*","~*"),"?","~?"),'DADOS_FORMAS'!$AH$2:$AH$21,0)),""),"~","~~"),"*","~*"),"?","~?"),'DADOS_RESTRICOES'!$M$2:$Q$54,2,FALSE),"")=$OL91)),"Restrição repetida, contando a embutida",""),IF(IF(IFERROR(INDEX('DADOS_FORMAS'!$AS$2:$AS$21,MATCH(SUBSTITUTE(SUBSTITUTE(SUBSTITUTE($MU91,"~","~~"),"*","~*"),"?","~?"),'DADOS_FORMAS'!$AH$2:$AH$21,0)),"")="",0,IFERROR(N(VLOOKUP(SUBSTITUTE(SUBSTITUTE(SUBSTITUTE(IFERROR(INDEX('DADOS_FORMAS'!$AS$2:$AS$21,MATCH(SUBSTITUTE(SUBSTITUTE(SUBSTITUTE($MU91,"~","~~"),"*","~*"),"?","~?"),'DADOS_FORMAS'!$AH$2:$AH$21,0)),""),"~","~~"),"*","~*"),"?","~?"),'DADOS_RESTRICOES'!$M$2:$Q$54,4,FALSE)=1),0))+IF($NB91="",0,IFERROR(N(VLOOKUP(SUBSTITUTE(SUBSTITUTE(SUBSTITUTE($NB91,"~","~~"),"*","~*"),"?","~?"),'DADOS_RESTRICOES'!$M$2:$Q$54,4,FALSE)=1),0))+IF($NC91="",0,IFERROR(N(VLOOKUP(SUBSTITUTE(SUBSTITUTE(SUBSTITUTE($NC91,"~","~~"),"*","~*"),"?","~?"),'DADOS_RESTRICOES'!$M$2:$Q$54,4,FALSE)=1),0))&gt;1,"Duas Restrições de frequência, contando a embutida",""),IF(AND(IFERROR(VLOOKUP(SUBSTITUTE(SUBSTITUTE(SUBSTITUTE(IFERROR(INDEX('DADOS_FORMAS'!$AS$2:$AS$21,MATCH(SUBSTITUTE(SUBSTITUTE(SUBSTITUTE($MU91,"~","~~"),"*","~*"),"?","~?"),'DADOS_FORMAS'!$AH$2:$AH$21,0)),""),"~","~~"),"*","~*"),"?","~?"),'DADOS_RESTRICOES'!$M$2:$Q$54,2,FALSE),"")="Tudo ou Nada",$OH91=0),"Tudo ou Nada exige TR",""),IF(AND(IFERROR(VLOOKUP(SUBSTITUTE(SUBSTITUTE(SUBSTITUTE(IFERROR(INDEX('DADOS_FORMAS'!$AS$2:$AS$21,MATCH(SUBSTITUTE(SUBSTITUTE(SUBSTITUTE($MU91,"~","~~"),"*","~*"),"?","~?"),'DADOS_FORMAS'!$AH$2:$AH$21,0)),""),"~","~~"),"*","~*"),"?","~?"),'DADOS_RESTRICOES'!$M$2:$Q$54,2,FALSE),"")="Corpo a Corpo",OR($RO91="Cone",$RO91="Linha")),"Corpo a Corpo não entra em Cone/Linha","")))</f>
        <v/>
      </c>
      <c r="PU91" s="164">
        <f>IF($PT91="",0,(LEN($PT91)-LEN(SUBSTITUTE($PT91," · ","")))/3+1)</f>
        <v/>
      </c>
      <c r="PV91" s="164">
        <f>IF($ND91=0,"",TEXTJOIN(" · ",TRUE,IF($OX91&gt;2*$MS91,"A devolução parou no teto de "&amp;2*$MS91,""),IF($PA91&gt;0,"Devolução perdida: "&amp;$PA91&amp;IF($PA91&gt;1," pontos"," ponto")&amp;" sem Melhoria para pagar",""),IF(AND($OC91&gt;0,AND($MS91&gt;0,$OG91=0),$PD91=0),"Controle sem dano: uma rodada a mais e CD +2",""),IF(AND($OC91&gt;0,AND($MS91&gt;0,$OG91=0),$PD91&gt;0,$PD91&lt;=$MS91),"Controle com saldo até a Classe: uma rodada a mais",""),IF(AND($MS91&gt;0,$OE91&lt;&gt;""),"Efeito de "&amp;$OE91&amp;" pela Classe "&amp;MAX(1,$MS91-1),"")))</f>
        <v/>
      </c>
      <c r="PW91" s="164">
        <f>IF($PV91="",0,(LEN($PV91)-LEN(SUBSTITUTE($PV91," · ","")))/3+1)</f>
        <v/>
      </c>
      <c r="PX91" s="164">
        <f>IF($ND91=0,IF($OU91+COUNTIF($NB91:$NC91,"?*")&gt;0,"Dê um nome",""),IF($PU91&gt;0,"⚠ "&amp;$PU91&amp;IF($PU91&gt;1," erros"," erro"),IF($PW91&gt;0,"! "&amp;$PW91&amp;IF($PW91&gt;1," avisos"," aviso"),"Na regra")))</f>
        <v/>
      </c>
      <c r="PY91" s="164">
        <f>IF($ND91=0,"",IF($PU91+$PW91=0,"Dentro das regras que a ficha confere",$PT91&amp;IF(AND($PU91&gt;0,$PW91&gt;0)," · ","")&amp;$PV91))</f>
        <v/>
      </c>
      <c r="PZ91" s="164">
        <f>IF($MQ91&gt;$NE91,$MR91&amp;" · ABRE NO NÍVEL "&amp;$MQ91,$MR91)</f>
        <v/>
      </c>
      <c r="QA91" s="164">
        <f>IF($ND91=0,"",IF($MS91=0,"Sem PE",3*$MS91&amp;" PE"))</f>
        <v/>
      </c>
      <c r="QB91" s="164">
        <f>IF($ND91=0,"",IF($MS91=0,"A atuação básica dela",IF(COUNTIF($RQ91:$RS91,"Atrasar")&gt;0,"Sua Ação Completa",IF(COUNTIF($RK91:$RN91,"Rápido")&gt;0,"Sua Bônus",IF(COUNTIF($RK91:$RN91,"Reação")&gt;0,"Sua Reação","Sua Padrão")))&amp;" + a básica dela"&amp;IF(COUNTIF($RK91:$RN91,"Reação")&gt;0," e a coletiva","")&amp;IF(COUNTIF($RQ91:$RS91,"Carregar")&gt;0," · em dois turnos","")))</f>
        <v/>
      </c>
      <c r="QC91" s="164">
        <f>IF($MW91&lt;&gt;"",$MW91,IF($NJ91=0,"",INDEX('DADOS_FORMAS'!$GE$2:$GE$21,$NJ91)))</f>
        <v/>
      </c>
      <c r="QD91" s="164">
        <f>IF(OR($ND91=0,$NJ91=0),"",IF(COUNTIF($RK91:$RN91,"Inescapável")&gt;0,"Automático",IF($QC91="Ataque",IF($NH91="","Ataque","Ataque "&amp;IF(($NH91+2*IF(COUNTIF($RK91:$RN91,"Precisão")&gt;0,1,0))&gt;=0,"+","−")&amp;ABS(($NH91+2*IF(COUNTIF($RK91:$RN91,"Precisão")&gt;0,1,0))))&amp;IF($OD91&gt;0," · TR"&amp;IF($NI91="",""," CD "&amp;$NI91),""),IF(LEFT($QC91,2)="TR",$QC91&amp;IF($NI91="",""," · CD "&amp;$NI91)&amp;IF(COUNTIF($RK91:$RN91,"Certeiro")&gt;0," · metade",""),"Sem rolagem"))))</f>
        <v/>
      </c>
      <c r="QE91" s="164">
        <f>IF(OR($ND91=0,$NJ91=0),"",IF($MS91=0,IF(OR($OG91&gt;=1,$PD91=0),"Sem dano",$PD91&amp;"d6"&amp;IF($MV91="",""," "&amp;$MV91)),IF(OR($OG91&gt;=1,$PD91=0),UPPER(LEFT(INDEX($PM91:$PS91,1,MAX(1,$MS91)),1))&amp;MID(INDEX($PM91:$PS91,1,MAX(1,$MS91)),2,99),UPPER(LEFT(INDEX($PM91:$PS91,1,MAX(1,$MS91)),1))&amp;MID(INDEX($PM91:$PS91,1,MAX(1,$MS91)),2,99)&amp;IF($MV91="",""," "&amp;$MV91)&amp;IF($PE91&gt;0," · +"&amp;$PE91&amp;"d8",""))))</f>
        <v/>
      </c>
      <c r="QF91" s="164">
        <f>COUNTIF($RK91:$RN91,"Longe")+3*COUNTIF($RK91:$RN91,"Muito Longe")</f>
        <v/>
      </c>
      <c r="QG91" s="164">
        <f>COUNTIF($RK91:$RN91,"Maior")+3*COUNTIF($RK91:$RN91,"Muito Maior")</f>
        <v/>
      </c>
      <c r="QH91" s="164">
        <f>IF($NJ91=0,0,CHOOSE(1+INDEX('DADOS_FORMAS'!$GG$2:$GG$21,$NJ91),0,$QF91,$QG91,$QF91+$QG91))</f>
        <v/>
      </c>
      <c r="QI91" s="164">
        <f>IF($NJ91=0,0,CHOOSE(1+INDEX('DADOS_FORMAS'!$GH$2:$GH$21,$NJ91),0,$QF91,$QG91,$QF91+$QG91))</f>
        <v/>
      </c>
      <c r="QJ91" s="164">
        <f>IF(OR($ND91=0,$NJ91=0),"",INDEX('DADOS_FORMAS'!$HU$2:$HZ$81,($NJ91-1)*4+IF($MS91=0,1,IF($MS91&lt;=5,2,IF($MS91=6,3,4))),1+MIN(5,$QH91))&amp;INDEX('DADOS_FORMAS'!$IA$2:$IF$81,($NJ91-1)*4+IF($MS91=0,1,IF($MS91&lt;=5,2,IF($MS91=6,3,4))),1+MIN(5,$QI91))&amp;IF(INDEX('DADOS_FORMAS'!$GI$2:$GI$21,$NJ91)=1,IF(COUNTIF($RK91:$RN91,"Mais Um")&gt;0," · +"&amp;COUNTIF($RK91:$RN91,"Mais Um")&amp;IF(COUNTIF($RK91:$RN91,"Mais Um")&gt;1," alvos"," alvo"),"")&amp;IF(COUNTIF($RK91:$RN91,"Rajada")&gt;0,IF($MS91=0," · 1 tiro"," · "&amp;(MAX(1,$MS91-1)+1)&amp;" tiros"),""),""))</f>
        <v/>
      </c>
      <c r="QK91" s="164">
        <f>IF($ND91=0,"",IF($MS91=0,$NG91&amp;"d6"&amp;IF($OU91&gt;0," − 1 = "&amp;$PD91&amp;"d6"," da básica do nível "&amp;$NE91),$PB91&amp;" − "&amp;$OW91&amp;" + "&amp;$OZ91&amp;" = "&amp;$PC91&amp;" · teto "&amp;4*$MS91&amp;"d8"&amp;IF($OF91=1," · a Forma devolve "&amp;$MS91,"")&amp;IF($PA91&gt;0," · perde "&amp;$PA91,"")))</f>
        <v/>
      </c>
      <c r="QL91" s="164">
        <f>IF($ND91=0,"",IF($MS91=0,"A básica não amplia: os dados dela sobem com o nível",IF($MS91&gt;=$NF91,"Já está na maior Classe que o nível liberou",TEXTJOIN(" · ",TRUE,IF(AND(2&gt;$MS91,2&lt;=$NF91),"2 → "&amp;$PN91&amp;", 6 PE",""),IF(AND(3&gt;$MS91,3&lt;=$NF91),"3 → "&amp;$PO91&amp;", 9 PE",""),IF(AND(4&gt;$MS91,4&lt;=$NF91),"4 → "&amp;$PP91&amp;", 12 PE",""),IF(AND(5&gt;$MS91,5&lt;=$NF91),"5 → "&amp;$PQ91&amp;", 15 PE",""),IF(AND(6&gt;$MS91,6&lt;=$NF91),"6 → "&amp;$PR91&amp;", 18 PE",""),IF(AND(7&gt;$MS91,7&lt;=$NF91),"7 → "&amp;$PS91&amp;", 21 PE","")))))</f>
        <v/>
      </c>
      <c r="QM91" s="164">
        <f>IF(OR($ND91=0,$NO91=0),"",IF($MS91=0,"−1 dado","−"&amp;INDEX($I$2:$N$8,MAX(1,$MS91),MAX(1,$NT91))&amp;" · "&amp;CHOOSE(MAX(1,$NT91),"Leve","Média","Pesada","Leve · Livre","Média · Livre","Pesada · Livre")))</f>
        <v/>
      </c>
      <c r="QN91" s="164">
        <f>IF(OR($ND91=0,$NP91=0),"",IF($MS91=0,"−1 dado","−"&amp;INDEX($I$2:$N$8,MAX(1,$MS91),MAX(1,$NU91))&amp;" · "&amp;CHOOSE(MAX(1,$NU91),"Leve","Média","Pesada","Leve · Livre","Média · Livre","Pesada · Livre")))</f>
        <v/>
      </c>
      <c r="QO91" s="164">
        <f>IF(OR($ND91=0,$NQ91=0),"",IF($MS91=0,"−1 dado","−"&amp;INDEX($I$2:$N$8,MAX(1,$MS91),MAX(1,$NV91))&amp;" · "&amp;CHOOSE(MAX(1,$NV91),"Leve","Média","Pesada","Leve · Livre","Média · Livre","Pesada · Livre")))</f>
        <v/>
      </c>
      <c r="QP91" s="164">
        <f>IF(OR($ND91=0,$NR91=0),"",IF($MS91=0,"−1 dado","−"&amp;INDEX($I$2:$N$8,MAX(1,$MS91),MAX(1,$NW91))&amp;" · "&amp;CHOOSE(MAX(1,$NW91),"Leve","Média","Pesada","Leve · Livre","Média · Livre","Pesada · Livre")))</f>
        <v/>
      </c>
      <c r="QQ91" s="164">
        <f>IF(OR($ND91=0,$NB91=""),"",IF($MS91=0,"não devolve","+"&amp;IF($OI91=1,CEILING($MS91/2,1),$MS91)))</f>
        <v/>
      </c>
      <c r="QR91" s="164">
        <f>IF(OR($ND91=0,$NC91=""),"",IF($MS91=0,"não devolve","+"&amp;IF($OJ91=1,CEILING($MS91/2,1),$MS91)))</f>
        <v/>
      </c>
      <c r="RK91">
        <f>IF($MX91="","",IFERROR(VLOOKUP(SUBSTITUTE(SUBSTITUTE(SUBSTITUTE($MX91,"~","~~"),"*","~*"),"?","~?"),'DADOS_MELHORIAS'!$O$2:$X$113,10,FALSE),$MX91))</f>
        <v/>
      </c>
      <c r="RL91">
        <f>IF($MY91="","",IFERROR(VLOOKUP(SUBSTITUTE(SUBSTITUTE(SUBSTITUTE($MY91,"~","~~"),"*","~*"),"?","~?"),'DADOS_MELHORIAS'!$O$2:$X$113,10,FALSE),$MY91))</f>
        <v/>
      </c>
      <c r="RM91">
        <f>IF($MZ91="","",IFERROR(VLOOKUP(SUBSTITUTE(SUBSTITUTE(SUBSTITUTE($MZ91,"~","~~"),"*","~*"),"?","~?"),'DADOS_MELHORIAS'!$O$2:$X$113,10,FALSE),$MZ91))</f>
        <v/>
      </c>
      <c r="RN91">
        <f>IF($NA91="","",IFERROR(VLOOKUP(SUBSTITUTE(SUBSTITUTE(SUBSTITUTE($NA91,"~","~~"),"*","~*"),"?","~?"),'DADOS_MELHORIAS'!$O$2:$X$113,10,FALSE),$NA91))</f>
        <v/>
      </c>
      <c r="RO91">
        <f>IFERROR(INDEX('DADOS_FORMAS'!$BJ$2:$BJ$21,MATCH(SUBSTITUTE(SUBSTITUTE(SUBSTITUTE($MU91,"~","~~"),"*","~*"),"?","~?"),'DADOS_FORMAS'!$AH$2:$AH$21,0)),"")</f>
        <v/>
      </c>
      <c r="RP91">
        <f>IFERROR(VLOOKUP(SUBSTITUTE(SUBSTITUTE(SUBSTITUTE(IFERROR(INDEX('DADOS_FORMAS'!$AS$2:$AS$21,MATCH(SUBSTITUTE(SUBSTITUTE(SUBSTITUTE($MU91,"~","~~"),"*","~*"),"?","~?"),'DADOS_FORMAS'!$AH$2:$AH$21,0)),""),"~","~~"),"*","~*"),"?","~?"),'DADOS_RESTRICOES'!$M$2:$Q$54,2,FALSE),"")</f>
        <v/>
      </c>
      <c r="RQ91">
        <f>$OK91</f>
        <v/>
      </c>
      <c r="RR91">
        <f>$OL91</f>
        <v/>
      </c>
      <c r="RS91">
        <f>$RP91</f>
        <v/>
      </c>
    </row>
    <row r="92">
      <c r="MN92" s="162" t="inlineStr">
        <is>
          <t>Ficha 7 · Escolha da trilha 3</t>
        </is>
      </c>
      <c r="MO92" s="164" t="n">
        <v>7</v>
      </c>
      <c r="MP92" s="164" t="n">
        <v>2</v>
      </c>
      <c r="MQ92" s="164" t="n">
        <v>0</v>
      </c>
      <c r="MR92" s="162" t="inlineStr">
        <is>
          <t>ESCOLHA DA TRILHA 3</t>
        </is>
      </c>
      <c r="MS92" s="164">
        <f>MAX(0,MIN(7,N('INVOCAÇÕES'!$AN$173)))</f>
        <v/>
      </c>
      <c r="MT92" s="164">
        <f>'INVOCAÇÕES'!$AO$173&amp;""</f>
        <v/>
      </c>
      <c r="MU92" s="164">
        <f>'INVOCAÇÕES'!$AN$178&amp;""</f>
        <v/>
      </c>
      <c r="MV92" s="164">
        <f>'INVOCAÇÕES'!$AN$179&amp;""</f>
        <v/>
      </c>
      <c r="MW92" s="164">
        <f>'INVOCAÇÕES'!$AP$179&amp;""</f>
        <v/>
      </c>
      <c r="MX92" s="164">
        <f>'INVOCAÇÕES'!$AO$182&amp;""</f>
        <v/>
      </c>
      <c r="MY92" s="164">
        <f>'INVOCAÇÕES'!$AO$183&amp;""</f>
        <v/>
      </c>
      <c r="MZ92" s="164">
        <f>'INVOCAÇÕES'!$AO$184&amp;""</f>
        <v/>
      </c>
      <c r="NA92" s="164">
        <f>'INVOCAÇÕES'!$AO$185&amp;""</f>
        <v/>
      </c>
      <c r="NB92" s="164">
        <f>'INVOCAÇÕES'!$AO$186&amp;""</f>
        <v/>
      </c>
      <c r="NC92" s="164">
        <f>'INVOCAÇÕES'!$AO$187&amp;""</f>
        <v/>
      </c>
      <c r="ND92" s="164">
        <f>IF($MT92&lt;&gt;"",1,0)</f>
        <v/>
      </c>
      <c r="NE92" s="164">
        <f>INDEX($FO$2:$FO$13,$MO92)</f>
        <v/>
      </c>
      <c r="NF92" s="164">
        <f>INDEX($FP$2:$FP$13,$MO92)</f>
        <v/>
      </c>
      <c r="NG92" s="164">
        <f>INDEX($FQ$2:$FQ$13,$MO92)</f>
        <v/>
      </c>
      <c r="NH92" s="164">
        <f>INDEX($GB$2:$GB$13,$MO92)</f>
        <v/>
      </c>
      <c r="NI92" s="164">
        <f>INDEX($GC$2:$GC$13,$MO92)</f>
        <v/>
      </c>
      <c r="NJ92" s="164">
        <f>IFERROR(MATCH(SUBSTITUTE(SUBSTITUTE(SUBSTITUTE($MU92,"~","~~"),"*","~*"),"?","~?"),'DADOS_FORMAS'!$FZ$2:$FZ$21,0),0)</f>
        <v/>
      </c>
      <c r="NK92" s="164">
        <f>IFERROR(VLOOKUP(SUBSTITUTE(SUBSTITUTE(SUBSTITUTE($MX92,"~","~~"),"*","~*"),"?","~?"),'DADOS_MELHORIAS'!$AG$2:$AL$113,2,FALSE),"")</f>
        <v/>
      </c>
      <c r="NL92" s="164">
        <f>IFERROR(VLOOKUP(SUBSTITUTE(SUBSTITUTE(SUBSTITUTE($MY92,"~","~~"),"*","~*"),"?","~?"),'DADOS_MELHORIAS'!$AG$2:$AL$113,2,FALSE),"")</f>
        <v/>
      </c>
      <c r="NM92" s="164">
        <f>IFERROR(VLOOKUP(SUBSTITUTE(SUBSTITUTE(SUBSTITUTE($MZ92,"~","~~"),"*","~*"),"?","~?"),'DADOS_MELHORIAS'!$AG$2:$AL$113,2,FALSE),"")</f>
        <v/>
      </c>
      <c r="NN92" s="164">
        <f>IFERROR(VLOOKUP(SUBSTITUTE(SUBSTITUTE(SUBSTITUTE($NA92,"~","~~"),"*","~*"),"?","~?"),'DADOS_MELHORIAS'!$AG$2:$AL$113,2,FALSE),"")</f>
        <v/>
      </c>
      <c r="NO92" s="164">
        <f>IFERROR(VLOOKUP(SUBSTITUTE(SUBSTITUTE(SUBSTITUTE($MX92,"~","~~"),"*","~*"),"?","~?"),'DADOS_MELHORIAS'!$AG$2:$AL$113,3,FALSE),0)</f>
        <v/>
      </c>
      <c r="NP92" s="164">
        <f>IFERROR(VLOOKUP(SUBSTITUTE(SUBSTITUTE(SUBSTITUTE($MY92,"~","~~"),"*","~*"),"?","~?"),'DADOS_MELHORIAS'!$AG$2:$AL$113,3,FALSE),0)</f>
        <v/>
      </c>
      <c r="NQ92" s="164">
        <f>IFERROR(VLOOKUP(SUBSTITUTE(SUBSTITUTE(SUBSTITUTE($MZ92,"~","~~"),"*","~*"),"?","~?"),'DADOS_MELHORIAS'!$AG$2:$AL$113,3,FALSE),0)</f>
        <v/>
      </c>
      <c r="NR92" s="164">
        <f>IFERROR(VLOOKUP(SUBSTITUTE(SUBSTITUTE(SUBSTITUTE($NA92,"~","~~"),"*","~*"),"?","~?"),'DADOS_MELHORIAS'!$AG$2:$AL$113,3,FALSE),0)</f>
        <v/>
      </c>
      <c r="NS92" s="164">
        <f>IF($MS92=0,0,IF($NJ92=0,0,INDEX('DADOS_FORMAS'!$GB$2:$GB$21,$NJ92)))</f>
        <v/>
      </c>
      <c r="NT92" s="164">
        <f>IF(OR($NO92=0,$MS92=0),0,$NO92+3*IF(AND($NK92&lt;&gt;"",COUNTIF(INDEX($RB$2:$RJ$13,$MO92,0),$NK92)&gt;0),1,0))</f>
        <v/>
      </c>
      <c r="NU92" s="164">
        <f>IF(OR($NP92=0,$MS92=0),0,$NP92+3*IF(AND($NL92&lt;&gt;"",COUNTIF(INDEX($RB$2:$RJ$13,$MO92,0),$NL92)&gt;0),1,0))</f>
        <v/>
      </c>
      <c r="NV92" s="164">
        <f>IF(OR($NQ92=0,$MS92=0),0,$NQ92+3*IF(AND($NM92&lt;&gt;"",COUNTIF(INDEX($RB$2:$RJ$13,$MO92,0),$NM92)&gt;0),1,0))</f>
        <v/>
      </c>
      <c r="NW92" s="164">
        <f>IF(OR($NR92=0,$MS92=0),0,$NR92+3*IF(AND($NN92&lt;&gt;"",COUNTIF(INDEX($RB$2:$RJ$13,$MO92,0),$NN92)&gt;0),1,0))</f>
        <v/>
      </c>
      <c r="NX92" s="164">
        <f>IF($NJ92=0,0,IF(INDEX('DADOS_FORMAS'!$GA$2:$GA$21,$NJ92)="",0,IF((COUNTIF(INDEX($EL$2:$EP$13,$MO92,0),INDEX('DADOS_FORMAS'!$GA$2:$GA$21,$NJ92))+COUNTIF(INDEX($QV$2:$QY$13,$MO92,0),INDEX('DADOS_FORMAS'!$GA$2:$GA$21,$NJ92)))=0,1,0)))</f>
        <v/>
      </c>
      <c r="NY92" s="164">
        <f>IF(OR($NO92=0,$NK92=""),0,IF((COUNTIF(INDEX($EL$2:$EP$13,$MO92,0),$NK92)+COUNTIF(INDEX($QV$2:$QY$13,$MO92,0),$NK92))=0,1,0))</f>
        <v/>
      </c>
      <c r="NZ92" s="164">
        <f>IF(OR($NP92=0,$NL92=""),0,IF((COUNTIF(INDEX($EL$2:$EP$13,$MO92,0),$NL92)+COUNTIF(INDEX($QV$2:$QY$13,$MO92,0),$NL92))=0,1,0))</f>
        <v/>
      </c>
      <c r="OA92" s="164">
        <f>IF(OR($NQ92=0,$NM92=""),0,IF((COUNTIF(INDEX($EL$2:$EP$13,$MO92,0),$NM92)+COUNTIF(INDEX($QV$2:$QY$13,$MO92,0),$NM92))=0,1,0))</f>
        <v/>
      </c>
      <c r="OB92" s="164">
        <f>IF(OR($NR92=0,$NN92=""),0,IF((COUNTIF(INDEX($EL$2:$EP$13,$MO92,0),$NN92)+COUNTIF(INDEX($QV$2:$QY$13,$MO92,0),$NN92))=0,1,0))</f>
        <v/>
      </c>
      <c r="OC92" s="164">
        <f>IFERROR(VLOOKUP(SUBSTITUTE(SUBSTITUTE(SUBSTITUTE($MX92,"~","~~"),"*","~*"),"?","~?"),'DADOS_MELHORIAS'!$AG$2:$AL$113,4,FALSE),0)+IFERROR(VLOOKUP(SUBSTITUTE(SUBSTITUTE(SUBSTITUTE($MY92,"~","~~"),"*","~*"),"?","~?"),'DADOS_MELHORIAS'!$AG$2:$AL$113,4,FALSE),0)+IFERROR(VLOOKUP(SUBSTITUTE(SUBSTITUTE(SUBSTITUTE($MZ92,"~","~~"),"*","~*"),"?","~?"),'DADOS_MELHORIAS'!$AG$2:$AL$113,4,FALSE),0)+IFERROR(VLOOKUP(SUBSTITUTE(SUBSTITUTE(SUBSTITUTE($NA92,"~","~~"),"*","~*"),"?","~?"),'DADOS_MELHORIAS'!$AG$2:$AL$113,4,FALSE),0)</f>
        <v/>
      </c>
      <c r="OD92" s="164">
        <f>IFERROR(VLOOKUP(SUBSTITUTE(SUBSTITUTE(SUBSTITUTE($MX92,"~","~~"),"*","~*"),"?","~?"),'DADOS_MELHORIAS'!$AG$2:$AL$113,6,FALSE),0)+IFERROR(VLOOKUP(SUBSTITUTE(SUBSTITUTE(SUBSTITUTE($MY92,"~","~~"),"*","~*"),"?","~?"),'DADOS_MELHORIAS'!$AG$2:$AL$113,6,FALSE),0)+IFERROR(VLOOKUP(SUBSTITUTE(SUBSTITUTE(SUBSTITUTE($MZ92,"~","~~"),"*","~*"),"?","~?"),'DADOS_MELHORIAS'!$AG$2:$AL$113,6,FALSE),0)+IFERROR(VLOOKUP(SUBSTITUTE(SUBSTITUTE(SUBSTITUTE($NA92,"~","~~"),"*","~*"),"?","~?"),'DADOS_MELHORIAS'!$AG$2:$AL$113,6,FALSE),0)+IFERROR(N(AND(INDEX('DADOS_FORMAS'!$AO$2:$AO$21,MATCH(SUBSTITUTE(SUBSTITUTE(SUBSTITUTE($MU92,"~","~~"),"*","~*"),"?","~?"),'DADOS_FORMAS'!$AH$2:$AH$21,0))="Acerto",$OH92=1)),0)</f>
        <v/>
      </c>
      <c r="OE92" s="164">
        <f>TEXTJOIN(", ",TRUE,IF(IFERROR(VLOOKUP(SUBSTITUTE(SUBSTITUTE(SUBSTITUTE($MX92,"~","~~"),"*","~*"),"?","~?"),'DADOS_MELHORIAS'!$AG$2:$AL$113,5,FALSE),0)=1,$MX92,""),IF(IFERROR(VLOOKUP(SUBSTITUTE(SUBSTITUTE(SUBSTITUTE($MY92,"~","~~"),"*","~*"),"?","~?"),'DADOS_MELHORIAS'!$AG$2:$AL$113,5,FALSE),0)=1,$MY92,""),IF(IFERROR(VLOOKUP(SUBSTITUTE(SUBSTITUTE(SUBSTITUTE($MZ92,"~","~~"),"*","~*"),"?","~?"),'DADOS_MELHORIAS'!$AG$2:$AL$113,5,FALSE),0)=1,$MZ92,""),IF(IFERROR(VLOOKUP(SUBSTITUTE(SUBSTITUTE(SUBSTITUTE($NA92,"~","~~"),"*","~*"),"?","~?"),'DADOS_MELHORIAS'!$AG$2:$AL$113,5,FALSE),0)=1,$NA92,""))</f>
        <v/>
      </c>
      <c r="OF92" s="164">
        <f>IF($NJ92=0,0,INDEX('DADOS_FORMAS'!$GC$2:$GC$21,$NJ92))</f>
        <v/>
      </c>
      <c r="OG92" s="164">
        <f>IF($NJ92=0,0,INDEX('DADOS_FORMAS'!$GD$2:$GD$21,$NJ92))</f>
        <v/>
      </c>
      <c r="OH92" s="164">
        <f>IF($NJ92=0,0,INDEX('DADOS_FORMAS'!$GF$2:$GF$21,$NJ92))</f>
        <v/>
      </c>
      <c r="OI92" s="164">
        <f>IFERROR(VLOOKUP(SUBSTITUTE(SUBSTITUTE(SUBSTITUTE($NB92,"~","~~"),"*","~*"),"?","~?"),'DADOS_RESTRICOES'!$M$2:$Q$54,3,FALSE),0)</f>
        <v/>
      </c>
      <c r="OJ92" s="164">
        <f>IFERROR(VLOOKUP(SUBSTITUTE(SUBSTITUTE(SUBSTITUTE($NC92,"~","~~"),"*","~*"),"?","~?"),'DADOS_RESTRICOES'!$M$2:$Q$54,3,FALSE),0)</f>
        <v/>
      </c>
      <c r="OK92" s="164">
        <f>IFERROR(VLOOKUP(SUBSTITUTE(SUBSTITUTE(SUBSTITUTE($NB92,"~","~~"),"*","~*"),"?","~?"),'DADOS_RESTRICOES'!$M$2:$Q$54,2,FALSE),"")</f>
        <v/>
      </c>
      <c r="OL92" s="164">
        <f>IFERROR(VLOOKUP(SUBSTITUTE(SUBSTITUTE(SUBSTITUTE($NC92,"~","~~"),"*","~*"),"?","~?"),'DADOS_RESTRICOES'!$M$2:$Q$54,2,FALSE),"")</f>
        <v/>
      </c>
      <c r="OM92" s="164">
        <f>COUNTIF($NS92:$NW92,1)</f>
        <v/>
      </c>
      <c r="ON92" s="164">
        <f>COUNTIF($NS92:$NW92,2)</f>
        <v/>
      </c>
      <c r="OO92" s="164">
        <f>COUNTIF($NS92:$NW92,3)</f>
        <v/>
      </c>
      <c r="OP92" s="164">
        <f>COUNTIF($NS92:$NW92,4)</f>
        <v/>
      </c>
      <c r="OQ92" s="164">
        <f>COUNTIF($NS92:$NW92,5)</f>
        <v/>
      </c>
      <c r="OR92" s="164">
        <f>COUNTIF($NS92:$NW92,6)</f>
        <v/>
      </c>
      <c r="OS92" s="164">
        <f>COUNTIF($OI92:$OJ92,1)+IF(IFERROR(INDEX('DADOS_FORMAS'!$AS$2:$AS$21,MATCH(SUBSTITUTE(SUBSTITUTE(SUBSTITUTE($MU92,"~","~~"),"*","~*"),"?","~?"),'DADOS_FORMAS'!$AH$2:$AH$21,0)),"")="",0,IFERROR(N(VLOOKUP(SUBSTITUTE(SUBSTITUTE(SUBSTITUTE(IFERROR(INDEX('DADOS_FORMAS'!$AS$2:$AS$21,MATCH(SUBSTITUTE(SUBSTITUTE(SUBSTITUTE($MU92,"~","~~"),"*","~*"),"?","~?"),'DADOS_FORMAS'!$AH$2:$AH$21,0)),""),"~","~~"),"*","~*"),"?","~?"),'DADOS_RESTRICOES'!$M$2:$Q$54,3,FALSE)=1),0))</f>
        <v/>
      </c>
      <c r="OT92" s="164">
        <f>COUNTIF($OI92:$OJ92,2)+IF(IFERROR(INDEX('DADOS_FORMAS'!$AS$2:$AS$21,MATCH(SUBSTITUTE(SUBSTITUTE(SUBSTITUTE($MU92,"~","~~"),"*","~*"),"?","~?"),'DADOS_FORMAS'!$AH$2:$AH$21,0)),"")="",0,IFERROR(N(VLOOKUP(SUBSTITUTE(SUBSTITUTE(SUBSTITUTE(IFERROR(INDEX('DADOS_FORMAS'!$AS$2:$AS$21,MATCH(SUBSTITUTE(SUBSTITUTE(SUBSTITUTE($MU92,"~","~~"),"*","~*"),"?","~?"),'DADOS_FORMAS'!$AH$2:$AH$21,0)),""),"~","~~"),"*","~*"),"?","~?"),'DADOS_RESTRICOES'!$M$2:$Q$54,3,FALSE)=2),0))</f>
        <v/>
      </c>
      <c r="OU92" s="164">
        <f>COUNTIF($MX92:$NA92,"?*")</f>
        <v/>
      </c>
      <c r="OV92" s="164">
        <f>COUNTIF($NB92:$NC92,"?*")+$OF92</f>
        <v/>
      </c>
      <c r="OW92" s="164">
        <f>IF($MS92=0,0,SUMPRODUCT($OM92:$OR92,INDEX($I$2:$N$8,MAX(1,$MS92),0)))</f>
        <v/>
      </c>
      <c r="OX92" s="164">
        <f>IF($MS92=0,0,$OS92*CEILING($MS92/2,1)+$OT92*$MS92)</f>
        <v/>
      </c>
      <c r="OY92" s="164">
        <f>MIN(2*$MS92,$OX92)</f>
        <v/>
      </c>
      <c r="OZ92" s="164">
        <f>MIN($OY92,$OW92-IF($NS92=0,0,INDEX($I$2:$N$8,MAX(1,$MS92),$NS92)))</f>
        <v/>
      </c>
      <c r="PA92" s="164">
        <f>$OY92-$OZ92</f>
        <v/>
      </c>
      <c r="PB92" s="164">
        <f>IF($MS92=0,0,INDEX($P$2:$P$8,MAX(1,$MS92)))</f>
        <v/>
      </c>
      <c r="PC92" s="164">
        <f>$PB92-$OW92+$OZ92</f>
        <v/>
      </c>
      <c r="PD92" s="164">
        <f>IF($MS92=0,MAX(0,$NG92-IF(AND($OU92&gt;0,COUNTIF($NB92:$NC92,"?*")=0),1,0)),MAX(0,$PC92))</f>
        <v/>
      </c>
      <c r="PE92" s="164">
        <f>IF($MS92=0,0,(IF(COUNTIF($RK92:$RN92,"Salto")&gt;0,1,0)+IF(COUNTIF($RK92:$RN92,"Queima")&gt;0,1,0)+IF(COUNTIF($RK92:$RN92,"Estilhaço")&gt;0,1,0))*FLOOR($PD92/2,1))</f>
        <v/>
      </c>
      <c r="PF92" s="164">
        <f>MAX(0,2-SUMPRODUCT($OM92:$OR92,$I$2:$N$2)+MIN(2,$OS92*1+$OT92*1,SUMPRODUCT($OM92:$OR92,$I$2:$N$2)-IF($NS92=0,0,INDEX($I$2:$N$2,1,$NS92))))</f>
        <v/>
      </c>
      <c r="PG92" s="164">
        <f>MAX(0,4-SUMPRODUCT($OM92:$OR92,$I$3:$N$3)+MIN(4,$OS92*1+$OT92*2,SUMPRODUCT($OM92:$OR92,$I$3:$N$3)-IF($NS92=0,0,INDEX($I$3:$N$3,1,$NS92))))</f>
        <v/>
      </c>
      <c r="PH92" s="164">
        <f>MAX(0,6-SUMPRODUCT($OM92:$OR92,$I$4:$N$4)+MIN(6,$OS92*2+$OT92*3,SUMPRODUCT($OM92:$OR92,$I$4:$N$4)-IF($NS92=0,0,INDEX($I$4:$N$4,1,$NS92))))</f>
        <v/>
      </c>
      <c r="PI92" s="164">
        <f>MAX(0,9-SUMPRODUCT($OM92:$OR92,$I$5:$N$5)+MIN(8,$OS92*2+$OT92*4,SUMPRODUCT($OM92:$OR92,$I$5:$N$5)-IF($NS92=0,0,INDEX($I$5:$N$5,1,$NS92))))</f>
        <v/>
      </c>
      <c r="PJ92" s="164">
        <f>MAX(0,11-SUMPRODUCT($OM92:$OR92,$I$6:$N$6)+MIN(10,$OS92*3+$OT92*5,SUMPRODUCT($OM92:$OR92,$I$6:$N$6)-IF($NS92=0,0,INDEX($I$6:$N$6,1,$NS92))))</f>
        <v/>
      </c>
      <c r="PK92" s="164">
        <f>MAX(0,13-SUMPRODUCT($OM92:$OR92,$I$7:$N$7)+MIN(12,$OS92*3+$OT92*6,SUMPRODUCT($OM92:$OR92,$I$7:$N$7)-IF($NS92=0,0,INDEX($I$7:$N$7,1,$NS92))))</f>
        <v/>
      </c>
      <c r="PL92" s="164">
        <f>MAX(0,16-SUMPRODUCT($OM92:$OR92,$I$8:$N$8)+MIN(14,$OS92*4+$OT92*7,SUMPRODUCT($OM92:$OR92,$I$8:$N$8)-IF($NS92=0,0,INDEX($I$8:$N$8,1,$NS92))))</f>
        <v/>
      </c>
      <c r="PM92" s="164">
        <f>IF($OG92=2,3*$PF92&amp;" de vida temp.",IF($OG92=3,"sem dano",IF($PF92=0,IF($OG92=1,"sem cura","sem dano"),IF($OG92=1,"cura ","")&amp;$PF92&amp;"d8")))</f>
        <v/>
      </c>
      <c r="PN92" s="164">
        <f>IF($OG92=2,3*$PG92&amp;" de vida temp.",IF($OG92=3,"sem dano",IF($PG92=0,IF($OG92=1,"sem cura","sem dano"),IF($OG92=1,"cura ","")&amp;$PG92&amp;"d8")))</f>
        <v/>
      </c>
      <c r="PO92" s="164">
        <f>IF($OG92=2,3*$PH92&amp;" de vida temp.",IF($OG92=3,"sem dano",IF($PH92=0,IF($OG92=1,"sem cura","sem dano"),IF($OG92=1,"cura ","")&amp;$PH92&amp;"d8")))</f>
        <v/>
      </c>
      <c r="PP92" s="164">
        <f>IF($OG92=2,3*$PI92&amp;" de vida temp.",IF($OG92=3,"sem dano",IF($PI92=0,IF($OG92=1,"sem cura","sem dano"),IF($OG92=1,"cura ","")&amp;$PI92&amp;"d8")))</f>
        <v/>
      </c>
      <c r="PQ92" s="164">
        <f>IF($OG92=2,3*$PJ92&amp;" de vida temp.",IF($OG92=3,"sem dano",IF($PJ92=0,IF($OG92=1,"sem cura","sem dano"),IF($OG92=1,"cura ","")&amp;$PJ92&amp;"d8")))</f>
        <v/>
      </c>
      <c r="PR92" s="164">
        <f>IF($OG92=2,3*$PK92&amp;" de vida temp.",IF($OG92=3,"sem dano",IF($PK92=0,IF($OG92=1,"sem cura","sem dano"),IF($OG92=1,"cura ","")&amp;$PK92&amp;"d8")))</f>
        <v/>
      </c>
      <c r="PS92" s="164">
        <f>IF($OG92=2,3*$PL92&amp;" de vida temp.",IF($OG92=3,"sem dano",IF($PL92=0,IF($OG92=1,"sem cura","sem dano"),IF($OG92=1,"cura ","")&amp;$PL92&amp;"d8")))</f>
        <v/>
      </c>
      <c r="PT92" s="164">
        <f>IF($ND92=0,"",TEXTJOIN(" · ",TRUE,IF($ND92=0,"",TEXTJOIN(" · ",TRUE,IF($ND92=0,"",TEXTJOIN(" · ",TRUE,IF($MQ92&gt;$NE92,"Este lugar abre no nível "&amp;$MQ92,""),IF($MS92&gt;$NF92,"Classe "&amp;$MS92&amp;": o nível "&amp;$NE92&amp;" libera até a "&amp;$NF92,""),IF($NX92=1,"A Forma "&amp;$MU92&amp;" pede "&amp;INDEX('DADOS_FORMAS'!$GA$2:$GA$21,$NJ92)&amp;" aberta",""),IF(AND($MS92=0,$NJ92&gt;0,IF($NJ92=0,0,INDEX('DADOS_FORMAS'!$GJ$2:$GJ$21,$NJ92))=0),$MU92&amp;" não existe na Classe 0",""),IF($NY92=1,"Família Fechada: "&amp;$MX92,""),IF($NZ92=1,"Família Fechada: "&amp;$MY92,""),IF($OA92=1,"Família Fechada: "&amp;$MZ92,""),IF($OB92=1,"Família Fechada: "&amp;$NA92,""),IF(AND($MS92&gt;0,$OU92&gt;INDEX($O$2:$O$8,MAX(1,$MS92))),$OU92&amp;" Melhorias: a Classe "&amp;$MS92&amp;" aceita "&amp;INDEX($O$2:$O$8,MAX(1,$MS92)),""),IF(AND($MS92=0,$OU92&gt;1),"A básica aceita uma Melhoria",""),IF(AND($MS92=0,COUNTIF($NO92:$NR92,"&gt;1")&gt;0),"A básica só aceita Melhoria Leve",""),IF(AND($MS92&gt;0,$OV92&gt;2),$OV92&amp;" Restrições"&amp;IF($OF92=1,", contando a que a Forma "&amp;$MU92&amp;" já traz","")&amp;": o limite é 2",""),IF(AND($MS92=0,COUNTIF($NB92:$NC92,"?*")&gt;1),"A básica aceita uma Restrição Leve",""),IF(AND($MS92=0,COUNTIF($OI92:$OJ92,2)&gt;0),"A básica só aceita Restrição Leve",""),IF(AND($MS92&gt;0,$PC92&lt;0),"Orçamento estourado: faltam "&amp;(-$PC92)&amp;IF($PC92&lt;-1," pontos"," ponto"),""),IF(IFERROR(VLOOKUP(SUBSTITUTE(SUBSTITUTE(SUBSTITUTE($NB92,"~","~~"),"*","~*"),"?","~?"),'DADOS_RESTRICOES'!$M$2:$Q$54,4,FALSE),0)+IFERROR(VLOOKUP(SUBSTITUTE(SUBSTITUTE(SUBSTITUTE($NC92,"~","~~"),"*","~*"),"?","~?"),'DADOS_RESTRICOES'!$M$2:$Q$54,4,FALSE),0)&gt;1,$OK92&amp;" e "&amp;$OL92&amp;" são as duas de frequência",""),IF(AND((COUNTIF($RK92:$RN92,"Rápido")+COUNTIF($OK92:$OL92,"Rápido"))&gt;0,(COUNTIF($MX92:$NA92,"Atrasar")+COUNTIF($OK92:$OL92,"Atrasar"))&gt;0),"Rápido não entra com Atrasar",""),IF(AND((COUNTIF($RK92:$RN92,"Reação")+COUNTIF($OK92:$OL92,"Reação"))&gt;0,(COUNTIF($RK92:$RN92,"Rápido")+COUNTIF($OK92:$OL92,"Rápido"))&gt;0),"Reação não entra com Rápido",""),IF(AND((COUNTIF($RK92:$RN92,"Reação")+COUNTIF($OK92:$OL92,"Reação"))&gt;0,(COUNTIF($RK92:$RN92,"Armado")+COUNTIF($OK92:$OL92,"Armado"))&gt;0),"Reação não entra com Armado",""),IF(AND((COUNTIF($RK92:$RN92,"Reação")+COUNTIF($OK92:$OL92,"Reação"))&gt;0,(COUNTIF($MX92:$NA92,"Atrasar")+COUNTIF($OK92:$OL92,"Atrasar"))&gt;0),"Reação não entra com Atrasar",""),IF(AND((COUNTIF($RK92:$RN92,"Reação")+COUNTIF($OK92:$OL92,"Reação"))&gt;0,(COUNTIF($MX92:$NA92,"Parado")+COUNTIF($OK92:$OL92,"Parado"))&gt;0),"Reação não entra com Parado",""),IF(AND((COUNTIF($MX92:$NA92,"Atrasar")+COUNTIF($OK92:$OL92,"Atrasar"))&gt;0,(COUNTIF($MX92:$NA92,"Parado")+COUNTIF($OK92:$OL92,"Parado"))&gt;0),"Atrasar não entra com Parado",""),IF(AND((COUNTIF($RK92:$RN92,"Armado")+COUNTIF($OK92:$OL92,"Armado"))&gt;0,(COUNTIF($MX92:$NA92,"Carregar")+COUNTIF($OK92:$OL92,"Carregar"))&gt;0),"Armado não entra com Carregar",""),IF(AND(COUNTIF($OK92:$OL92,"Corpo a Corpo")&gt;0,$OF92=0,OR($RO92="Cone",$RO92="Linha")),"Corpo a Corpo não entra em "&amp;$MU92,""),IF(AND(COUNTIF($OK92:$OL92,"Corpo a Corpo")&gt;0,$RP92="Corpo a Corpo"),"A Forma "&amp;$MU92&amp;" já traz o Corpo a Corpo",""),IF(AND(COUNTIF($OK92:$OL92,"Tudo ou Nada")&gt;0,$OH92=0),"Tudo ou Nada só entra em habilidade de Teste de Resistência",""),IF(AND(COUNTIF($RK92:$RN92,"Inescapável")&gt;0,OR($OU92&gt;1,$OV92&gt;0)),"Inescapável não aceita outra peça",""),IF(AND($MS92&gt;0,$PD92*IF(COUNTIF($RK92:$RN92,"Remate")&gt;0,1.25,1)+$PE92&gt;4*$MS92),($PD92*IF(COUNTIF($RK92:$RN92,"Remate")&gt;0,1.25,1)+$PE92)&amp;" dados somando repetições"&amp;IF(COUNTIF($RK92:$RN92,"Remate")&gt;0," e o Remate","")&amp;": o teto da Classe "&amp;$MS92&amp;" é "&amp;4*$MS92,""))),IF(AND($MX92&lt;&gt;"",COUNTIF('DADOS_MELHORIAS'!$O$2:$O$113,SUBSTITUTE(SUBSTITUTE(SUBSTITUTE($MX92,"~","~~"),"*","~*"),"?","~?"))=0),"Melhoria não cadastrada ou com erro: "&amp;$MX92,""),IF(AND($MY92&lt;&gt;"",COUNTIF('DADOS_MELHORIAS'!$O$2:$O$113,SUBSTITUTE(SUBSTITUTE(SUBSTITUTE($MY92,"~","~~"),"*","~*"),"?","~?"))=0),"Melhoria não cadastrada ou com erro: "&amp;$MY92,""),IF(AND($MZ92&lt;&gt;"",COUNTIF('DADOS_MELHORIAS'!$O$2:$O$113,SUBSTITUTE(SUBSTITUTE(SUBSTITUTE($MZ92,"~","~~"),"*","~*"),"?","~?"))=0),"Melhoria não cadastrada ou com erro: "&amp;$MZ92,""),IF(AND($NA92&lt;&gt;"",COUNTIF('DADOS_MELHORIAS'!$O$2:$O$113,SUBSTITUTE(SUBSTITUTE(SUBSTITUTE($NA92,"~","~~"),"*","~*"),"?","~?"))=0),"Melhoria não cadastrada ou com erro: "&amp;$NA92,""),IF(AND($NB92&lt;&gt;"",COUNTIF('DADOS_RESTRICOES'!$M$2:$M$54,SUBSTITUTE(SUBSTITUTE(SUBSTITUTE($NB92,"~","~~"),"*","~*"),"?","~?"))=0),"Restrição não cadastrada ou com erro: "&amp;$NB92,""),IF(AND($NC92&lt;&gt;"",COUNTIF('DADOS_RESTRICOES'!$M$2:$M$54,SUBSTITUTE(SUBSTITUTE(SUBSTITUTE($NC92,"~","~~"),"*","~*"),"?","~?"))=0),"Restrição não cadastrada ou com erro: "&amp;$NC92,""))),IF(AND($MU92&lt;&gt;"",COUNTIF('DADOS_FORMAS'!$AH$2:$AH$21,SUBSTITUTE(SUBSTITUTE(SUBSTITUTE($MU92,"~","~~"),"*","~*"),"?","~?"))=0),"Forma não cadastrada ou com erro: "&amp;$MU92,""),IF(AND(IFERROR(INDEX('DADOS_FORMAS'!$AS$2:$AS$21,MATCH(SUBSTITUTE(SUBSTITUTE(SUBSTITUTE($MU92,"~","~~"),"*","~*"),"?","~?"),'DADOS_FORMAS'!$AH$2:$AH$21,0)),"")&lt;&gt;"",OR(IFERROR(VLOOKUP(SUBSTITUTE(SUBSTITUTE(SUBSTITUTE(IFERROR(INDEX('DADOS_FORMAS'!$AS$2:$AS$21,MATCH(SUBSTITUTE(SUBSTITUTE(SUBSTITUTE($MU92,"~","~~"),"*","~*"),"?","~?"),'DADOS_FORMAS'!$AH$2:$AH$21,0)),""),"~","~~"),"*","~*"),"?","~?"),'DADOS_RESTRICOES'!$M$2:$Q$54,2,FALSE),"")=$OK92,IFERROR(VLOOKUP(SUBSTITUTE(SUBSTITUTE(SUBSTITUTE(IFERROR(INDEX('DADOS_FORMAS'!$AS$2:$AS$21,MATCH(SUBSTITUTE(SUBSTITUTE(SUBSTITUTE($MU92,"~","~~"),"*","~*"),"?","~?"),'DADOS_FORMAS'!$AH$2:$AH$21,0)),""),"~","~~"),"*","~*"),"?","~?"),'DADOS_RESTRICOES'!$M$2:$Q$54,2,FALSE),"")=$OL92)),"Restrição repetida, contando a embutida",""),IF(IF(IFERROR(INDEX('DADOS_FORMAS'!$AS$2:$AS$21,MATCH(SUBSTITUTE(SUBSTITUTE(SUBSTITUTE($MU92,"~","~~"),"*","~*"),"?","~?"),'DADOS_FORMAS'!$AH$2:$AH$21,0)),"")="",0,IFERROR(N(VLOOKUP(SUBSTITUTE(SUBSTITUTE(SUBSTITUTE(IFERROR(INDEX('DADOS_FORMAS'!$AS$2:$AS$21,MATCH(SUBSTITUTE(SUBSTITUTE(SUBSTITUTE($MU92,"~","~~"),"*","~*"),"?","~?"),'DADOS_FORMAS'!$AH$2:$AH$21,0)),""),"~","~~"),"*","~*"),"?","~?"),'DADOS_RESTRICOES'!$M$2:$Q$54,4,FALSE)=1),0))+IF($NB92="",0,IFERROR(N(VLOOKUP(SUBSTITUTE(SUBSTITUTE(SUBSTITUTE($NB92,"~","~~"),"*","~*"),"?","~?"),'DADOS_RESTRICOES'!$M$2:$Q$54,4,FALSE)=1),0))+IF($NC92="",0,IFERROR(N(VLOOKUP(SUBSTITUTE(SUBSTITUTE(SUBSTITUTE($NC92,"~","~~"),"*","~*"),"?","~?"),'DADOS_RESTRICOES'!$M$2:$Q$54,4,FALSE)=1),0))&gt;1,"Duas Restrições de frequência, contando a embutida",""),IF(AND(IFERROR(VLOOKUP(SUBSTITUTE(SUBSTITUTE(SUBSTITUTE(IFERROR(INDEX('DADOS_FORMAS'!$AS$2:$AS$21,MATCH(SUBSTITUTE(SUBSTITUTE(SUBSTITUTE($MU92,"~","~~"),"*","~*"),"?","~?"),'DADOS_FORMAS'!$AH$2:$AH$21,0)),""),"~","~~"),"*","~*"),"?","~?"),'DADOS_RESTRICOES'!$M$2:$Q$54,2,FALSE),"")="Tudo ou Nada",$OH92=0),"Tudo ou Nada exige TR",""),IF(AND(IFERROR(VLOOKUP(SUBSTITUTE(SUBSTITUTE(SUBSTITUTE(IFERROR(INDEX('DADOS_FORMAS'!$AS$2:$AS$21,MATCH(SUBSTITUTE(SUBSTITUTE(SUBSTITUTE($MU92,"~","~~"),"*","~*"),"?","~?"),'DADOS_FORMAS'!$AH$2:$AH$21,0)),""),"~","~~"),"*","~*"),"?","~?"),'DADOS_RESTRICOES'!$M$2:$Q$54,2,FALSE),"")="Corpo a Corpo",OR($RO92="Cone",$RO92="Linha")),"Corpo a Corpo não entra em Cone/Linha","")))</f>
        <v/>
      </c>
      <c r="PU92" s="164">
        <f>IF($PT92="",0,(LEN($PT92)-LEN(SUBSTITUTE($PT92," · ","")))/3+1)</f>
        <v/>
      </c>
      <c r="PV92" s="164">
        <f>IF($ND92=0,"",TEXTJOIN(" · ",TRUE,IF($OX92&gt;2*$MS92,"A devolução parou no teto de "&amp;2*$MS92,""),IF($PA92&gt;0,"Devolução perdida: "&amp;$PA92&amp;IF($PA92&gt;1," pontos"," ponto")&amp;" sem Melhoria para pagar",""),IF(AND($OC92&gt;0,AND($MS92&gt;0,$OG92=0),$PD92=0),"Controle sem dano: uma rodada a mais e CD +2",""),IF(AND($OC92&gt;0,AND($MS92&gt;0,$OG92=0),$PD92&gt;0,$PD92&lt;=$MS92),"Controle com saldo até a Classe: uma rodada a mais",""),IF(AND($MS92&gt;0,$OE92&lt;&gt;""),"Efeito de "&amp;$OE92&amp;" pela Classe "&amp;MAX(1,$MS92-1),"")))</f>
        <v/>
      </c>
      <c r="PW92" s="164">
        <f>IF($PV92="",0,(LEN($PV92)-LEN(SUBSTITUTE($PV92," · ","")))/3+1)</f>
        <v/>
      </c>
      <c r="PX92" s="164">
        <f>IF($ND92=0,IF($OU92+COUNTIF($NB92:$NC92,"?*")&gt;0,"Dê um nome",""),IF($PU92&gt;0,"⚠ "&amp;$PU92&amp;IF($PU92&gt;1," erros"," erro"),IF($PW92&gt;0,"! "&amp;$PW92&amp;IF($PW92&gt;1," avisos"," aviso"),"Na regra")))</f>
        <v/>
      </c>
      <c r="PY92" s="164">
        <f>IF($ND92=0,"",IF($PU92+$PW92=0,"Dentro das regras que a ficha confere",$PT92&amp;IF(AND($PU92&gt;0,$PW92&gt;0)," · ","")&amp;$PV92))</f>
        <v/>
      </c>
      <c r="PZ92" s="164">
        <f>IF($MQ92&gt;$NE92,$MR92&amp;" · ABRE NO NÍVEL "&amp;$MQ92,$MR92)</f>
        <v/>
      </c>
      <c r="QA92" s="164">
        <f>IF($ND92=0,"",IF($MS92=0,"Sem PE",3*$MS92&amp;" PE"))</f>
        <v/>
      </c>
      <c r="QB92" s="164">
        <f>IF($ND92=0,"",IF($MS92=0,"A atuação básica dela",IF(COUNTIF($RQ92:$RS92,"Atrasar")&gt;0,"Sua Ação Completa",IF(COUNTIF($RK92:$RN92,"Rápido")&gt;0,"Sua Bônus",IF(COUNTIF($RK92:$RN92,"Reação")&gt;0,"Sua Reação","Sua Padrão")))&amp;" + a básica dela"&amp;IF(COUNTIF($RK92:$RN92,"Reação")&gt;0," e a coletiva","")&amp;IF(COUNTIF($RQ92:$RS92,"Carregar")&gt;0," · em dois turnos","")))</f>
        <v/>
      </c>
      <c r="QC92" s="164">
        <f>IF($MW92&lt;&gt;"",$MW92,IF($NJ92=0,"",INDEX('DADOS_FORMAS'!$GE$2:$GE$21,$NJ92)))</f>
        <v/>
      </c>
      <c r="QD92" s="164">
        <f>IF(OR($ND92=0,$NJ92=0),"",IF(COUNTIF($RK92:$RN92,"Inescapável")&gt;0,"Automático",IF($QC92="Ataque",IF($NH92="","Ataque","Ataque "&amp;IF(($NH92+2*IF(COUNTIF($RK92:$RN92,"Precisão")&gt;0,1,0))&gt;=0,"+","−")&amp;ABS(($NH92+2*IF(COUNTIF($RK92:$RN92,"Precisão")&gt;0,1,0))))&amp;IF($OD92&gt;0," · TR"&amp;IF($NI92="",""," CD "&amp;$NI92),""),IF(LEFT($QC92,2)="TR",$QC92&amp;IF($NI92="",""," · CD "&amp;$NI92)&amp;IF(COUNTIF($RK92:$RN92,"Certeiro")&gt;0," · metade",""),"Sem rolagem"))))</f>
        <v/>
      </c>
      <c r="QE92" s="164">
        <f>IF(OR($ND92=0,$NJ92=0),"",IF($MS92=0,IF(OR($OG92&gt;=1,$PD92=0),"Sem dano",$PD92&amp;"d6"&amp;IF($MV92="",""," "&amp;$MV92)),IF(OR($OG92&gt;=1,$PD92=0),UPPER(LEFT(INDEX($PM92:$PS92,1,MAX(1,$MS92)),1))&amp;MID(INDEX($PM92:$PS92,1,MAX(1,$MS92)),2,99),UPPER(LEFT(INDEX($PM92:$PS92,1,MAX(1,$MS92)),1))&amp;MID(INDEX($PM92:$PS92,1,MAX(1,$MS92)),2,99)&amp;IF($MV92="",""," "&amp;$MV92)&amp;IF($PE92&gt;0," · +"&amp;$PE92&amp;"d8",""))))</f>
        <v/>
      </c>
      <c r="QF92" s="164">
        <f>COUNTIF($RK92:$RN92,"Longe")+3*COUNTIF($RK92:$RN92,"Muito Longe")</f>
        <v/>
      </c>
      <c r="QG92" s="164">
        <f>COUNTIF($RK92:$RN92,"Maior")+3*COUNTIF($RK92:$RN92,"Muito Maior")</f>
        <v/>
      </c>
      <c r="QH92" s="164">
        <f>IF($NJ92=0,0,CHOOSE(1+INDEX('DADOS_FORMAS'!$GG$2:$GG$21,$NJ92),0,$QF92,$QG92,$QF92+$QG92))</f>
        <v/>
      </c>
      <c r="QI92" s="164">
        <f>IF($NJ92=0,0,CHOOSE(1+INDEX('DADOS_FORMAS'!$GH$2:$GH$21,$NJ92),0,$QF92,$QG92,$QF92+$QG92))</f>
        <v/>
      </c>
      <c r="QJ92" s="164">
        <f>IF(OR($ND92=0,$NJ92=0),"",INDEX('DADOS_FORMAS'!$HU$2:$HZ$81,($NJ92-1)*4+IF($MS92=0,1,IF($MS92&lt;=5,2,IF($MS92=6,3,4))),1+MIN(5,$QH92))&amp;INDEX('DADOS_FORMAS'!$IA$2:$IF$81,($NJ92-1)*4+IF($MS92=0,1,IF($MS92&lt;=5,2,IF($MS92=6,3,4))),1+MIN(5,$QI92))&amp;IF(INDEX('DADOS_FORMAS'!$GI$2:$GI$21,$NJ92)=1,IF(COUNTIF($RK92:$RN92,"Mais Um")&gt;0," · +"&amp;COUNTIF($RK92:$RN92,"Mais Um")&amp;IF(COUNTIF($RK92:$RN92,"Mais Um")&gt;1," alvos"," alvo"),"")&amp;IF(COUNTIF($RK92:$RN92,"Rajada")&gt;0,IF($MS92=0," · 1 tiro"," · "&amp;(MAX(1,$MS92-1)+1)&amp;" tiros"),""),""))</f>
        <v/>
      </c>
      <c r="QK92" s="164">
        <f>IF($ND92=0,"",IF($MS92=0,$NG92&amp;"d6"&amp;IF($OU92&gt;0," − 1 = "&amp;$PD92&amp;"d6"," da básica do nível "&amp;$NE92),$PB92&amp;" − "&amp;$OW92&amp;" + "&amp;$OZ92&amp;" = "&amp;$PC92&amp;" · teto "&amp;4*$MS92&amp;"d8"&amp;IF($OF92=1," · a Forma devolve "&amp;$MS92,"")&amp;IF($PA92&gt;0," · perde "&amp;$PA92,"")))</f>
        <v/>
      </c>
      <c r="QL92" s="164">
        <f>IF($ND92=0,"",IF($MS92=0,"A básica não amplia: os dados dela sobem com o nível",IF($MS92&gt;=$NF92,"Já está na maior Classe que o nível liberou",TEXTJOIN(" · ",TRUE,IF(AND(2&gt;$MS92,2&lt;=$NF92),"2 → "&amp;$PN92&amp;", 6 PE",""),IF(AND(3&gt;$MS92,3&lt;=$NF92),"3 → "&amp;$PO92&amp;", 9 PE",""),IF(AND(4&gt;$MS92,4&lt;=$NF92),"4 → "&amp;$PP92&amp;", 12 PE",""),IF(AND(5&gt;$MS92,5&lt;=$NF92),"5 → "&amp;$PQ92&amp;", 15 PE",""),IF(AND(6&gt;$MS92,6&lt;=$NF92),"6 → "&amp;$PR92&amp;", 18 PE",""),IF(AND(7&gt;$MS92,7&lt;=$NF92),"7 → "&amp;$PS92&amp;", 21 PE","")))))</f>
        <v/>
      </c>
      <c r="QM92" s="164">
        <f>IF(OR($ND92=0,$NO92=0),"",IF($MS92=0,"−1 dado","−"&amp;INDEX($I$2:$N$8,MAX(1,$MS92),MAX(1,$NT92))&amp;" · "&amp;CHOOSE(MAX(1,$NT92),"Leve","Média","Pesada","Leve · Livre","Média · Livre","Pesada · Livre")))</f>
        <v/>
      </c>
      <c r="QN92" s="164">
        <f>IF(OR($ND92=0,$NP92=0),"",IF($MS92=0,"−1 dado","−"&amp;INDEX($I$2:$N$8,MAX(1,$MS92),MAX(1,$NU92))&amp;" · "&amp;CHOOSE(MAX(1,$NU92),"Leve","Média","Pesada","Leve · Livre","Média · Livre","Pesada · Livre")))</f>
        <v/>
      </c>
      <c r="QO92" s="164">
        <f>IF(OR($ND92=0,$NQ92=0),"",IF($MS92=0,"−1 dado","−"&amp;INDEX($I$2:$N$8,MAX(1,$MS92),MAX(1,$NV92))&amp;" · "&amp;CHOOSE(MAX(1,$NV92),"Leve","Média","Pesada","Leve · Livre","Média · Livre","Pesada · Livre")))</f>
        <v/>
      </c>
      <c r="QP92" s="164">
        <f>IF(OR($ND92=0,$NR92=0),"",IF($MS92=0,"−1 dado","−"&amp;INDEX($I$2:$N$8,MAX(1,$MS92),MAX(1,$NW92))&amp;" · "&amp;CHOOSE(MAX(1,$NW92),"Leve","Média","Pesada","Leve · Livre","Média · Livre","Pesada · Livre")))</f>
        <v/>
      </c>
      <c r="QQ92" s="164">
        <f>IF(OR($ND92=0,$NB92=""),"",IF($MS92=0,"não devolve","+"&amp;IF($OI92=1,CEILING($MS92/2,1),$MS92)))</f>
        <v/>
      </c>
      <c r="QR92" s="164">
        <f>IF(OR($ND92=0,$NC92=""),"",IF($MS92=0,"não devolve","+"&amp;IF($OJ92=1,CEILING($MS92/2,1),$MS92)))</f>
        <v/>
      </c>
      <c r="RK92">
        <f>IF($MX92="","",IFERROR(VLOOKUP(SUBSTITUTE(SUBSTITUTE(SUBSTITUTE($MX92,"~","~~"),"*","~*"),"?","~?"),'DADOS_MELHORIAS'!$O$2:$X$113,10,FALSE),$MX92))</f>
        <v/>
      </c>
      <c r="RL92">
        <f>IF($MY92="","",IFERROR(VLOOKUP(SUBSTITUTE(SUBSTITUTE(SUBSTITUTE($MY92,"~","~~"),"*","~*"),"?","~?"),'DADOS_MELHORIAS'!$O$2:$X$113,10,FALSE),$MY92))</f>
        <v/>
      </c>
      <c r="RM92">
        <f>IF($MZ92="","",IFERROR(VLOOKUP(SUBSTITUTE(SUBSTITUTE(SUBSTITUTE($MZ92,"~","~~"),"*","~*"),"?","~?"),'DADOS_MELHORIAS'!$O$2:$X$113,10,FALSE),$MZ92))</f>
        <v/>
      </c>
      <c r="RN92">
        <f>IF($NA92="","",IFERROR(VLOOKUP(SUBSTITUTE(SUBSTITUTE(SUBSTITUTE($NA92,"~","~~"),"*","~*"),"?","~?"),'DADOS_MELHORIAS'!$O$2:$X$113,10,FALSE),$NA92))</f>
        <v/>
      </c>
      <c r="RO92">
        <f>IFERROR(INDEX('DADOS_FORMAS'!$BJ$2:$BJ$21,MATCH(SUBSTITUTE(SUBSTITUTE(SUBSTITUTE($MU92,"~","~~"),"*","~*"),"?","~?"),'DADOS_FORMAS'!$AH$2:$AH$21,0)),"")</f>
        <v/>
      </c>
      <c r="RP92">
        <f>IFERROR(VLOOKUP(SUBSTITUTE(SUBSTITUTE(SUBSTITUTE(IFERROR(INDEX('DADOS_FORMAS'!$AS$2:$AS$21,MATCH(SUBSTITUTE(SUBSTITUTE(SUBSTITUTE($MU92,"~","~~"),"*","~*"),"?","~?"),'DADOS_FORMAS'!$AH$2:$AH$21,0)),""),"~","~~"),"*","~*"),"?","~?"),'DADOS_RESTRICOES'!$M$2:$Q$54,2,FALSE),"")</f>
        <v/>
      </c>
      <c r="RQ92">
        <f>$OK92</f>
        <v/>
      </c>
      <c r="RR92">
        <f>$OL92</f>
        <v/>
      </c>
      <c r="RS92">
        <f>$RP92</f>
        <v/>
      </c>
    </row>
    <row r="93">
      <c r="MN93" s="162" t="inlineStr">
        <is>
          <t>Ficha 8 · Básica 1</t>
        </is>
      </c>
      <c r="MO93" s="164" t="n">
        <v>8</v>
      </c>
      <c r="MP93" s="164" t="n">
        <v>0</v>
      </c>
      <c r="MQ93" s="164" t="n">
        <v>1</v>
      </c>
      <c r="MR93" s="162" t="inlineStr">
        <is>
          <t>BÁSICA 1</t>
        </is>
      </c>
      <c r="MS93" s="164" t="n">
        <v>0</v>
      </c>
      <c r="MT93" s="164">
        <f>'INVOCAÇÕES'!$AC$282&amp;""</f>
        <v/>
      </c>
      <c r="MU93" s="164">
        <f>'INVOCAÇÕES'!$AB$287&amp;""</f>
        <v/>
      </c>
      <c r="MV93" s="164">
        <f>'INVOCAÇÕES'!$AB$288&amp;""</f>
        <v/>
      </c>
      <c r="MW93" s="164">
        <f>'INVOCAÇÕES'!$AD$288&amp;""</f>
        <v/>
      </c>
      <c r="MX93" s="164">
        <f>'INVOCAÇÕES'!$AC$291&amp;""</f>
        <v/>
      </c>
      <c r="MY93" s="164">
        <f>'INVOCAÇÕES'!$AC$292&amp;""</f>
        <v/>
      </c>
      <c r="MZ93" s="164">
        <f>'INVOCAÇÕES'!$AC$293&amp;""</f>
        <v/>
      </c>
      <c r="NA93" s="164">
        <f>'INVOCAÇÕES'!$AC$294&amp;""</f>
        <v/>
      </c>
      <c r="NB93" s="164">
        <f>'INVOCAÇÕES'!$AC$295&amp;""</f>
        <v/>
      </c>
      <c r="NC93" s="164">
        <f>'INVOCAÇÕES'!$AC$296&amp;""</f>
        <v/>
      </c>
      <c r="ND93" s="164">
        <f>IF($MT93&lt;&gt;"",1,0)</f>
        <v/>
      </c>
      <c r="NE93" s="164">
        <f>INDEX($FO$2:$FO$13,$MO93)</f>
        <v/>
      </c>
      <c r="NF93" s="164">
        <f>INDEX($FP$2:$FP$13,$MO93)</f>
        <v/>
      </c>
      <c r="NG93" s="164">
        <f>INDEX($FQ$2:$FQ$13,$MO93)</f>
        <v/>
      </c>
      <c r="NH93" s="164">
        <f>INDEX($GB$2:$GB$13,$MO93)</f>
        <v/>
      </c>
      <c r="NI93" s="164">
        <f>INDEX($GC$2:$GC$13,$MO93)</f>
        <v/>
      </c>
      <c r="NJ93" s="164">
        <f>IFERROR(MATCH(SUBSTITUTE(SUBSTITUTE(SUBSTITUTE($MU93,"~","~~"),"*","~*"),"?","~?"),'DADOS_FORMAS'!$FZ$2:$FZ$21,0),0)</f>
        <v/>
      </c>
      <c r="NK93" s="164">
        <f>IFERROR(VLOOKUP(SUBSTITUTE(SUBSTITUTE(SUBSTITUTE($MX93,"~","~~"),"*","~*"),"?","~?"),'DADOS_MELHORIAS'!$AG$2:$AL$113,2,FALSE),"")</f>
        <v/>
      </c>
      <c r="NL93" s="164">
        <f>IFERROR(VLOOKUP(SUBSTITUTE(SUBSTITUTE(SUBSTITUTE($MY93,"~","~~"),"*","~*"),"?","~?"),'DADOS_MELHORIAS'!$AG$2:$AL$113,2,FALSE),"")</f>
        <v/>
      </c>
      <c r="NM93" s="164">
        <f>IFERROR(VLOOKUP(SUBSTITUTE(SUBSTITUTE(SUBSTITUTE($MZ93,"~","~~"),"*","~*"),"?","~?"),'DADOS_MELHORIAS'!$AG$2:$AL$113,2,FALSE),"")</f>
        <v/>
      </c>
      <c r="NN93" s="164">
        <f>IFERROR(VLOOKUP(SUBSTITUTE(SUBSTITUTE(SUBSTITUTE($NA93,"~","~~"),"*","~*"),"?","~?"),'DADOS_MELHORIAS'!$AG$2:$AL$113,2,FALSE),"")</f>
        <v/>
      </c>
      <c r="NO93" s="164">
        <f>IFERROR(VLOOKUP(SUBSTITUTE(SUBSTITUTE(SUBSTITUTE($MX93,"~","~~"),"*","~*"),"?","~?"),'DADOS_MELHORIAS'!$AG$2:$AL$113,3,FALSE),0)</f>
        <v/>
      </c>
      <c r="NP93" s="164">
        <f>IFERROR(VLOOKUP(SUBSTITUTE(SUBSTITUTE(SUBSTITUTE($MY93,"~","~~"),"*","~*"),"?","~?"),'DADOS_MELHORIAS'!$AG$2:$AL$113,3,FALSE),0)</f>
        <v/>
      </c>
      <c r="NQ93" s="164">
        <f>IFERROR(VLOOKUP(SUBSTITUTE(SUBSTITUTE(SUBSTITUTE($MZ93,"~","~~"),"*","~*"),"?","~?"),'DADOS_MELHORIAS'!$AG$2:$AL$113,3,FALSE),0)</f>
        <v/>
      </c>
      <c r="NR93" s="164">
        <f>IFERROR(VLOOKUP(SUBSTITUTE(SUBSTITUTE(SUBSTITUTE($NA93,"~","~~"),"*","~*"),"?","~?"),'DADOS_MELHORIAS'!$AG$2:$AL$113,3,FALSE),0)</f>
        <v/>
      </c>
      <c r="NS93" s="164">
        <f>IF($MS93=0,0,IF($NJ93=0,0,INDEX('DADOS_FORMAS'!$GB$2:$GB$21,$NJ93)))</f>
        <v/>
      </c>
      <c r="NT93" s="164">
        <f>IF(OR($NO93=0,$MS93=0),0,$NO93+3*IF(AND($NK93&lt;&gt;"",COUNTIF(INDEX($RB$2:$RJ$13,$MO93,0),$NK93)&gt;0),1,0))</f>
        <v/>
      </c>
      <c r="NU93" s="164">
        <f>IF(OR($NP93=0,$MS93=0),0,$NP93+3*IF(AND($NL93&lt;&gt;"",COUNTIF(INDEX($RB$2:$RJ$13,$MO93,0),$NL93)&gt;0),1,0))</f>
        <v/>
      </c>
      <c r="NV93" s="164">
        <f>IF(OR($NQ93=0,$MS93=0),0,$NQ93+3*IF(AND($NM93&lt;&gt;"",COUNTIF(INDEX($RB$2:$RJ$13,$MO93,0),$NM93)&gt;0),1,0))</f>
        <v/>
      </c>
      <c r="NW93" s="164">
        <f>IF(OR($NR93=0,$MS93=0),0,$NR93+3*IF(AND($NN93&lt;&gt;"",COUNTIF(INDEX($RB$2:$RJ$13,$MO93,0),$NN93)&gt;0),1,0))</f>
        <v/>
      </c>
      <c r="NX93" s="164">
        <f>IF($NJ93=0,0,IF(INDEX('DADOS_FORMAS'!$GA$2:$GA$21,$NJ93)="",0,IF((COUNTIF(INDEX($EL$2:$EP$13,$MO93,0),INDEX('DADOS_FORMAS'!$GA$2:$GA$21,$NJ93))+COUNTIF(INDEX($QV$2:$QY$13,$MO93,0),INDEX('DADOS_FORMAS'!$GA$2:$GA$21,$NJ93)))=0,1,0)))</f>
        <v/>
      </c>
      <c r="NY93" s="164">
        <f>IF(OR($NO93=0,$NK93=""),0,IF((COUNTIF(INDEX($EL$2:$EP$13,$MO93,0),$NK93)+COUNTIF(INDEX($QV$2:$QY$13,$MO93,0),$NK93))=0,1,0))</f>
        <v/>
      </c>
      <c r="NZ93" s="164">
        <f>IF(OR($NP93=0,$NL93=""),0,IF((COUNTIF(INDEX($EL$2:$EP$13,$MO93,0),$NL93)+COUNTIF(INDEX($QV$2:$QY$13,$MO93,0),$NL93))=0,1,0))</f>
        <v/>
      </c>
      <c r="OA93" s="164">
        <f>IF(OR($NQ93=0,$NM93=""),0,IF((COUNTIF(INDEX($EL$2:$EP$13,$MO93,0),$NM93)+COUNTIF(INDEX($QV$2:$QY$13,$MO93,0),$NM93))=0,1,0))</f>
        <v/>
      </c>
      <c r="OB93" s="164">
        <f>IF(OR($NR93=0,$NN93=""),0,IF((COUNTIF(INDEX($EL$2:$EP$13,$MO93,0),$NN93)+COUNTIF(INDEX($QV$2:$QY$13,$MO93,0),$NN93))=0,1,0))</f>
        <v/>
      </c>
      <c r="OC93" s="164">
        <f>IFERROR(VLOOKUP(SUBSTITUTE(SUBSTITUTE(SUBSTITUTE($MX93,"~","~~"),"*","~*"),"?","~?"),'DADOS_MELHORIAS'!$AG$2:$AL$113,4,FALSE),0)+IFERROR(VLOOKUP(SUBSTITUTE(SUBSTITUTE(SUBSTITUTE($MY93,"~","~~"),"*","~*"),"?","~?"),'DADOS_MELHORIAS'!$AG$2:$AL$113,4,FALSE),0)+IFERROR(VLOOKUP(SUBSTITUTE(SUBSTITUTE(SUBSTITUTE($MZ93,"~","~~"),"*","~*"),"?","~?"),'DADOS_MELHORIAS'!$AG$2:$AL$113,4,FALSE),0)+IFERROR(VLOOKUP(SUBSTITUTE(SUBSTITUTE(SUBSTITUTE($NA93,"~","~~"),"*","~*"),"?","~?"),'DADOS_MELHORIAS'!$AG$2:$AL$113,4,FALSE),0)</f>
        <v/>
      </c>
      <c r="OD93" s="164">
        <f>IFERROR(VLOOKUP(SUBSTITUTE(SUBSTITUTE(SUBSTITUTE($MX93,"~","~~"),"*","~*"),"?","~?"),'DADOS_MELHORIAS'!$AG$2:$AL$113,6,FALSE),0)+IFERROR(VLOOKUP(SUBSTITUTE(SUBSTITUTE(SUBSTITUTE($MY93,"~","~~"),"*","~*"),"?","~?"),'DADOS_MELHORIAS'!$AG$2:$AL$113,6,FALSE),0)+IFERROR(VLOOKUP(SUBSTITUTE(SUBSTITUTE(SUBSTITUTE($MZ93,"~","~~"),"*","~*"),"?","~?"),'DADOS_MELHORIAS'!$AG$2:$AL$113,6,FALSE),0)+IFERROR(VLOOKUP(SUBSTITUTE(SUBSTITUTE(SUBSTITUTE($NA93,"~","~~"),"*","~*"),"?","~?"),'DADOS_MELHORIAS'!$AG$2:$AL$113,6,FALSE),0)+IFERROR(N(AND(INDEX('DADOS_FORMAS'!$AO$2:$AO$21,MATCH(SUBSTITUTE(SUBSTITUTE(SUBSTITUTE($MU93,"~","~~"),"*","~*"),"?","~?"),'DADOS_FORMAS'!$AH$2:$AH$21,0))="Acerto",$OH93=1)),0)</f>
        <v/>
      </c>
      <c r="OE93" s="164">
        <f>TEXTJOIN(", ",TRUE,IF(IFERROR(VLOOKUP(SUBSTITUTE(SUBSTITUTE(SUBSTITUTE($MX93,"~","~~"),"*","~*"),"?","~?"),'DADOS_MELHORIAS'!$AG$2:$AL$113,5,FALSE),0)=1,$MX93,""),IF(IFERROR(VLOOKUP(SUBSTITUTE(SUBSTITUTE(SUBSTITUTE($MY93,"~","~~"),"*","~*"),"?","~?"),'DADOS_MELHORIAS'!$AG$2:$AL$113,5,FALSE),0)=1,$MY93,""),IF(IFERROR(VLOOKUP(SUBSTITUTE(SUBSTITUTE(SUBSTITUTE($MZ93,"~","~~"),"*","~*"),"?","~?"),'DADOS_MELHORIAS'!$AG$2:$AL$113,5,FALSE),0)=1,$MZ93,""),IF(IFERROR(VLOOKUP(SUBSTITUTE(SUBSTITUTE(SUBSTITUTE($NA93,"~","~~"),"*","~*"),"?","~?"),'DADOS_MELHORIAS'!$AG$2:$AL$113,5,FALSE),0)=1,$NA93,""))</f>
        <v/>
      </c>
      <c r="OF93" s="164">
        <f>IF($NJ93=0,0,INDEX('DADOS_FORMAS'!$GC$2:$GC$21,$NJ93))</f>
        <v/>
      </c>
      <c r="OG93" s="164">
        <f>IF($NJ93=0,0,INDEX('DADOS_FORMAS'!$GD$2:$GD$21,$NJ93))</f>
        <v/>
      </c>
      <c r="OH93" s="164">
        <f>IF($NJ93=0,0,INDEX('DADOS_FORMAS'!$GF$2:$GF$21,$NJ93))</f>
        <v/>
      </c>
      <c r="OI93" s="164">
        <f>IFERROR(VLOOKUP(SUBSTITUTE(SUBSTITUTE(SUBSTITUTE($NB93,"~","~~"),"*","~*"),"?","~?"),'DADOS_RESTRICOES'!$M$2:$Q$54,3,FALSE),0)</f>
        <v/>
      </c>
      <c r="OJ93" s="164">
        <f>IFERROR(VLOOKUP(SUBSTITUTE(SUBSTITUTE(SUBSTITUTE($NC93,"~","~~"),"*","~*"),"?","~?"),'DADOS_RESTRICOES'!$M$2:$Q$54,3,FALSE),0)</f>
        <v/>
      </c>
      <c r="OK93" s="164">
        <f>IFERROR(VLOOKUP(SUBSTITUTE(SUBSTITUTE(SUBSTITUTE($NB93,"~","~~"),"*","~*"),"?","~?"),'DADOS_RESTRICOES'!$M$2:$Q$54,2,FALSE),"")</f>
        <v/>
      </c>
      <c r="OL93" s="164">
        <f>IFERROR(VLOOKUP(SUBSTITUTE(SUBSTITUTE(SUBSTITUTE($NC93,"~","~~"),"*","~*"),"?","~?"),'DADOS_RESTRICOES'!$M$2:$Q$54,2,FALSE),"")</f>
        <v/>
      </c>
      <c r="OM93" s="164">
        <f>COUNTIF($NS93:$NW93,1)</f>
        <v/>
      </c>
      <c r="ON93" s="164">
        <f>COUNTIF($NS93:$NW93,2)</f>
        <v/>
      </c>
      <c r="OO93" s="164">
        <f>COUNTIF($NS93:$NW93,3)</f>
        <v/>
      </c>
      <c r="OP93" s="164">
        <f>COUNTIF($NS93:$NW93,4)</f>
        <v/>
      </c>
      <c r="OQ93" s="164">
        <f>COUNTIF($NS93:$NW93,5)</f>
        <v/>
      </c>
      <c r="OR93" s="164">
        <f>COUNTIF($NS93:$NW93,6)</f>
        <v/>
      </c>
      <c r="OS93" s="164">
        <f>COUNTIF($OI93:$OJ93,1)+IF(IFERROR(INDEX('DADOS_FORMAS'!$AS$2:$AS$21,MATCH(SUBSTITUTE(SUBSTITUTE(SUBSTITUTE($MU93,"~","~~"),"*","~*"),"?","~?"),'DADOS_FORMAS'!$AH$2:$AH$21,0)),"")="",0,IFERROR(N(VLOOKUP(SUBSTITUTE(SUBSTITUTE(SUBSTITUTE(IFERROR(INDEX('DADOS_FORMAS'!$AS$2:$AS$21,MATCH(SUBSTITUTE(SUBSTITUTE(SUBSTITUTE($MU93,"~","~~"),"*","~*"),"?","~?"),'DADOS_FORMAS'!$AH$2:$AH$21,0)),""),"~","~~"),"*","~*"),"?","~?"),'DADOS_RESTRICOES'!$M$2:$Q$54,3,FALSE)=1),0))</f>
        <v/>
      </c>
      <c r="OT93" s="164">
        <f>COUNTIF($OI93:$OJ93,2)+IF(IFERROR(INDEX('DADOS_FORMAS'!$AS$2:$AS$21,MATCH(SUBSTITUTE(SUBSTITUTE(SUBSTITUTE($MU93,"~","~~"),"*","~*"),"?","~?"),'DADOS_FORMAS'!$AH$2:$AH$21,0)),"")="",0,IFERROR(N(VLOOKUP(SUBSTITUTE(SUBSTITUTE(SUBSTITUTE(IFERROR(INDEX('DADOS_FORMAS'!$AS$2:$AS$21,MATCH(SUBSTITUTE(SUBSTITUTE(SUBSTITUTE($MU93,"~","~~"),"*","~*"),"?","~?"),'DADOS_FORMAS'!$AH$2:$AH$21,0)),""),"~","~~"),"*","~*"),"?","~?"),'DADOS_RESTRICOES'!$M$2:$Q$54,3,FALSE)=2),0))</f>
        <v/>
      </c>
      <c r="OU93" s="164">
        <f>COUNTIF($MX93:$NA93,"?*")</f>
        <v/>
      </c>
      <c r="OV93" s="164">
        <f>COUNTIF($NB93:$NC93,"?*")+$OF93</f>
        <v/>
      </c>
      <c r="OW93" s="164">
        <f>IF($MS93=0,0,SUMPRODUCT($OM93:$OR93,INDEX($I$2:$N$8,MAX(1,$MS93),0)))</f>
        <v/>
      </c>
      <c r="OX93" s="164">
        <f>IF($MS93=0,0,$OS93*CEILING($MS93/2,1)+$OT93*$MS93)</f>
        <v/>
      </c>
      <c r="OY93" s="164">
        <f>MIN(2*$MS93,$OX93)</f>
        <v/>
      </c>
      <c r="OZ93" s="164">
        <f>MIN($OY93,$OW93-IF($NS93=0,0,INDEX($I$2:$N$8,MAX(1,$MS93),$NS93)))</f>
        <v/>
      </c>
      <c r="PA93" s="164">
        <f>$OY93-$OZ93</f>
        <v/>
      </c>
      <c r="PB93" s="164">
        <f>IF($MS93=0,0,INDEX($P$2:$P$8,MAX(1,$MS93)))</f>
        <v/>
      </c>
      <c r="PC93" s="164">
        <f>$PB93-$OW93+$OZ93</f>
        <v/>
      </c>
      <c r="PD93" s="164">
        <f>IF($MS93=0,MAX(0,$NG93-IF(AND($OU93&gt;0,COUNTIF($NB93:$NC93,"?*")=0),1,0)),MAX(0,$PC93))</f>
        <v/>
      </c>
      <c r="PE93" s="164">
        <f>IF($MS93=0,0,(IF(COUNTIF($RK93:$RN93,"Salto")&gt;0,1,0)+IF(COUNTIF($RK93:$RN93,"Queima")&gt;0,1,0)+IF(COUNTIF($RK93:$RN93,"Estilhaço")&gt;0,1,0))*FLOOR($PD93/2,1))</f>
        <v/>
      </c>
      <c r="PF93" s="164">
        <f>MAX(0,2-SUMPRODUCT($OM93:$OR93,$I$2:$N$2)+MIN(2,$OS93*1+$OT93*1,SUMPRODUCT($OM93:$OR93,$I$2:$N$2)-IF($NS93=0,0,INDEX($I$2:$N$2,1,$NS93))))</f>
        <v/>
      </c>
      <c r="PG93" s="164">
        <f>MAX(0,4-SUMPRODUCT($OM93:$OR93,$I$3:$N$3)+MIN(4,$OS93*1+$OT93*2,SUMPRODUCT($OM93:$OR93,$I$3:$N$3)-IF($NS93=0,0,INDEX($I$3:$N$3,1,$NS93))))</f>
        <v/>
      </c>
      <c r="PH93" s="164">
        <f>MAX(0,6-SUMPRODUCT($OM93:$OR93,$I$4:$N$4)+MIN(6,$OS93*2+$OT93*3,SUMPRODUCT($OM93:$OR93,$I$4:$N$4)-IF($NS93=0,0,INDEX($I$4:$N$4,1,$NS93))))</f>
        <v/>
      </c>
      <c r="PI93" s="164">
        <f>MAX(0,9-SUMPRODUCT($OM93:$OR93,$I$5:$N$5)+MIN(8,$OS93*2+$OT93*4,SUMPRODUCT($OM93:$OR93,$I$5:$N$5)-IF($NS93=0,0,INDEX($I$5:$N$5,1,$NS93))))</f>
        <v/>
      </c>
      <c r="PJ93" s="164">
        <f>MAX(0,11-SUMPRODUCT($OM93:$OR93,$I$6:$N$6)+MIN(10,$OS93*3+$OT93*5,SUMPRODUCT($OM93:$OR93,$I$6:$N$6)-IF($NS93=0,0,INDEX($I$6:$N$6,1,$NS93))))</f>
        <v/>
      </c>
      <c r="PK93" s="164">
        <f>MAX(0,13-SUMPRODUCT($OM93:$OR93,$I$7:$N$7)+MIN(12,$OS93*3+$OT93*6,SUMPRODUCT($OM93:$OR93,$I$7:$N$7)-IF($NS93=0,0,INDEX($I$7:$N$7,1,$NS93))))</f>
        <v/>
      </c>
      <c r="PL93" s="164">
        <f>MAX(0,16-SUMPRODUCT($OM93:$OR93,$I$8:$N$8)+MIN(14,$OS93*4+$OT93*7,SUMPRODUCT($OM93:$OR93,$I$8:$N$8)-IF($NS93=0,0,INDEX($I$8:$N$8,1,$NS93))))</f>
        <v/>
      </c>
      <c r="PM93" s="164">
        <f>IF($OG93=2,3*$PF93&amp;" de vida temp.",IF($OG93=3,"sem dano",IF($PF93=0,IF($OG93=1,"sem cura","sem dano"),IF($OG93=1,"cura ","")&amp;$PF93&amp;"d8")))</f>
        <v/>
      </c>
      <c r="PN93" s="164">
        <f>IF($OG93=2,3*$PG93&amp;" de vida temp.",IF($OG93=3,"sem dano",IF($PG93=0,IF($OG93=1,"sem cura","sem dano"),IF($OG93=1,"cura ","")&amp;$PG93&amp;"d8")))</f>
        <v/>
      </c>
      <c r="PO93" s="164">
        <f>IF($OG93=2,3*$PH93&amp;" de vida temp.",IF($OG93=3,"sem dano",IF($PH93=0,IF($OG93=1,"sem cura","sem dano"),IF($OG93=1,"cura ","")&amp;$PH93&amp;"d8")))</f>
        <v/>
      </c>
      <c r="PP93" s="164">
        <f>IF($OG93=2,3*$PI93&amp;" de vida temp.",IF($OG93=3,"sem dano",IF($PI93=0,IF($OG93=1,"sem cura","sem dano"),IF($OG93=1,"cura ","")&amp;$PI93&amp;"d8")))</f>
        <v/>
      </c>
      <c r="PQ93" s="164">
        <f>IF($OG93=2,3*$PJ93&amp;" de vida temp.",IF($OG93=3,"sem dano",IF($PJ93=0,IF($OG93=1,"sem cura","sem dano"),IF($OG93=1,"cura ","")&amp;$PJ93&amp;"d8")))</f>
        <v/>
      </c>
      <c r="PR93" s="164">
        <f>IF($OG93=2,3*$PK93&amp;" de vida temp.",IF($OG93=3,"sem dano",IF($PK93=0,IF($OG93=1,"sem cura","sem dano"),IF($OG93=1,"cura ","")&amp;$PK93&amp;"d8")))</f>
        <v/>
      </c>
      <c r="PS93" s="164">
        <f>IF($OG93=2,3*$PL93&amp;" de vida temp.",IF($OG93=3,"sem dano",IF($PL93=0,IF($OG93=1,"sem cura","sem dano"),IF($OG93=1,"cura ","")&amp;$PL93&amp;"d8")))</f>
        <v/>
      </c>
      <c r="PT93" s="164">
        <f>IF($ND93=0,"",TEXTJOIN(" · ",TRUE,IF($ND93=0,"",TEXTJOIN(" · ",TRUE,IF($ND93=0,"",TEXTJOIN(" · ",TRUE,IF($MQ93&gt;$NE93,"Este lugar abre no nível "&amp;$MQ93,""),IF($MS93&gt;$NF93,"Classe "&amp;$MS93&amp;": o nível "&amp;$NE93&amp;" libera até a "&amp;$NF93,""),IF($NX93=1,"A Forma "&amp;$MU93&amp;" pede "&amp;INDEX('DADOS_FORMAS'!$GA$2:$GA$21,$NJ93)&amp;" aberta",""),IF(AND($MS93=0,$NJ93&gt;0,IF($NJ93=0,0,INDEX('DADOS_FORMAS'!$GJ$2:$GJ$21,$NJ93))=0),$MU93&amp;" não existe na Classe 0",""),IF($NY93=1,"Família Fechada: "&amp;$MX93,""),IF($NZ93=1,"Família Fechada: "&amp;$MY93,""),IF($OA93=1,"Família Fechada: "&amp;$MZ93,""),IF($OB93=1,"Família Fechada: "&amp;$NA93,""),IF(AND($MS93&gt;0,$OU93&gt;INDEX($O$2:$O$8,MAX(1,$MS93))),$OU93&amp;" Melhorias: a Classe "&amp;$MS93&amp;" aceita "&amp;INDEX($O$2:$O$8,MAX(1,$MS93)),""),IF(AND($MS93=0,$OU93&gt;1),"A básica aceita uma Melhoria",""),IF(AND($MS93=0,COUNTIF($NO93:$NR93,"&gt;1")&gt;0),"A básica só aceita Melhoria Leve",""),IF(AND($MS93&gt;0,$OV93&gt;2),$OV93&amp;" Restrições"&amp;IF($OF93=1,", contando a que a Forma "&amp;$MU93&amp;" já traz","")&amp;": o limite é 2",""),IF(AND($MS93=0,COUNTIF($NB93:$NC93,"?*")&gt;1),"A básica aceita uma Restrição Leve",""),IF(AND($MS93=0,COUNTIF($OI93:$OJ93,2)&gt;0),"A básica só aceita Restrição Leve",""),IF(AND($MS93&gt;0,$PC93&lt;0),"Orçamento estourado: faltam "&amp;(-$PC93)&amp;IF($PC93&lt;-1," pontos"," ponto"),""),IF(IFERROR(VLOOKUP(SUBSTITUTE(SUBSTITUTE(SUBSTITUTE($NB93,"~","~~"),"*","~*"),"?","~?"),'DADOS_RESTRICOES'!$M$2:$Q$54,4,FALSE),0)+IFERROR(VLOOKUP(SUBSTITUTE(SUBSTITUTE(SUBSTITUTE($NC93,"~","~~"),"*","~*"),"?","~?"),'DADOS_RESTRICOES'!$M$2:$Q$54,4,FALSE),0)&gt;1,$OK93&amp;" e "&amp;$OL93&amp;" são as duas de frequência",""),IF(AND((COUNTIF($RK93:$RN93,"Rápido")+COUNTIF($OK93:$OL93,"Rápido"))&gt;0,(COUNTIF($MX93:$NA93,"Atrasar")+COUNTIF($OK93:$OL93,"Atrasar"))&gt;0),"Rápido não entra com Atrasar",""),IF(AND((COUNTIF($RK93:$RN93,"Reação")+COUNTIF($OK93:$OL93,"Reação"))&gt;0,(COUNTIF($RK93:$RN93,"Rápido")+COUNTIF($OK93:$OL93,"Rápido"))&gt;0),"Reação não entra com Rápido",""),IF(AND((COUNTIF($RK93:$RN93,"Reação")+COUNTIF($OK93:$OL93,"Reação"))&gt;0,(COUNTIF($RK93:$RN93,"Armado")+COUNTIF($OK93:$OL93,"Armado"))&gt;0),"Reação não entra com Armado",""),IF(AND((COUNTIF($RK93:$RN93,"Reação")+COUNTIF($OK93:$OL93,"Reação"))&gt;0,(COUNTIF($MX93:$NA93,"Atrasar")+COUNTIF($OK93:$OL93,"Atrasar"))&gt;0),"Reação não entra com Atrasar",""),IF(AND((COUNTIF($RK93:$RN93,"Reação")+COUNTIF($OK93:$OL93,"Reação"))&gt;0,(COUNTIF($MX93:$NA93,"Parado")+COUNTIF($OK93:$OL93,"Parado"))&gt;0),"Reação não entra com Parado",""),IF(AND((COUNTIF($MX93:$NA93,"Atrasar")+COUNTIF($OK93:$OL93,"Atrasar"))&gt;0,(COUNTIF($MX93:$NA93,"Parado")+COUNTIF($OK93:$OL93,"Parado"))&gt;0),"Atrasar não entra com Parado",""),IF(AND((COUNTIF($RK93:$RN93,"Armado")+COUNTIF($OK93:$OL93,"Armado"))&gt;0,(COUNTIF($MX93:$NA93,"Carregar")+COUNTIF($OK93:$OL93,"Carregar"))&gt;0),"Armado não entra com Carregar",""),IF(AND(COUNTIF($OK93:$OL93,"Corpo a Corpo")&gt;0,$OF93=0,OR($RO93="Cone",$RO93="Linha")),"Corpo a Corpo não entra em "&amp;$MU93,""),IF(AND(COUNTIF($OK93:$OL93,"Corpo a Corpo")&gt;0,$RP93="Corpo a Corpo"),"A Forma "&amp;$MU93&amp;" já traz o Corpo a Corpo",""),IF(AND(COUNTIF($OK93:$OL93,"Tudo ou Nada")&gt;0,$OH93=0),"Tudo ou Nada só entra em habilidade de Teste de Resistência",""),IF(AND(COUNTIF($RK93:$RN93,"Inescapável")&gt;0,OR($OU93&gt;1,$OV93&gt;0)),"Inescapável não aceita outra peça",""),IF(AND($MS93&gt;0,$PD93*IF(COUNTIF($RK93:$RN93,"Remate")&gt;0,1.25,1)+$PE93&gt;4*$MS93),($PD93*IF(COUNTIF($RK93:$RN93,"Remate")&gt;0,1.25,1)+$PE93)&amp;" dados somando repetições"&amp;IF(COUNTIF($RK93:$RN93,"Remate")&gt;0," e o Remate","")&amp;": o teto da Classe "&amp;$MS93&amp;" é "&amp;4*$MS93,""))),IF(AND($MX93&lt;&gt;"",COUNTIF('DADOS_MELHORIAS'!$O$2:$O$113,SUBSTITUTE(SUBSTITUTE(SUBSTITUTE($MX93,"~","~~"),"*","~*"),"?","~?"))=0),"Melhoria não cadastrada ou com erro: "&amp;$MX93,""),IF(AND($MY93&lt;&gt;"",COUNTIF('DADOS_MELHORIAS'!$O$2:$O$113,SUBSTITUTE(SUBSTITUTE(SUBSTITUTE($MY93,"~","~~"),"*","~*"),"?","~?"))=0),"Melhoria não cadastrada ou com erro: "&amp;$MY93,""),IF(AND($MZ93&lt;&gt;"",COUNTIF('DADOS_MELHORIAS'!$O$2:$O$113,SUBSTITUTE(SUBSTITUTE(SUBSTITUTE($MZ93,"~","~~"),"*","~*"),"?","~?"))=0),"Melhoria não cadastrada ou com erro: "&amp;$MZ93,""),IF(AND($NA93&lt;&gt;"",COUNTIF('DADOS_MELHORIAS'!$O$2:$O$113,SUBSTITUTE(SUBSTITUTE(SUBSTITUTE($NA93,"~","~~"),"*","~*"),"?","~?"))=0),"Melhoria não cadastrada ou com erro: "&amp;$NA93,""),IF(AND($NB93&lt;&gt;"",COUNTIF('DADOS_RESTRICOES'!$M$2:$M$54,SUBSTITUTE(SUBSTITUTE(SUBSTITUTE($NB93,"~","~~"),"*","~*"),"?","~?"))=0),"Restrição não cadastrada ou com erro: "&amp;$NB93,""),IF(AND($NC93&lt;&gt;"",COUNTIF('DADOS_RESTRICOES'!$M$2:$M$54,SUBSTITUTE(SUBSTITUTE(SUBSTITUTE($NC93,"~","~~"),"*","~*"),"?","~?"))=0),"Restrição não cadastrada ou com erro: "&amp;$NC93,""))),IF(AND($MU93&lt;&gt;"",COUNTIF('DADOS_FORMAS'!$AH$2:$AH$21,SUBSTITUTE(SUBSTITUTE(SUBSTITUTE($MU93,"~","~~"),"*","~*"),"?","~?"))=0),"Forma não cadastrada ou com erro: "&amp;$MU93,""),IF(AND(IFERROR(INDEX('DADOS_FORMAS'!$AS$2:$AS$21,MATCH(SUBSTITUTE(SUBSTITUTE(SUBSTITUTE($MU93,"~","~~"),"*","~*"),"?","~?"),'DADOS_FORMAS'!$AH$2:$AH$21,0)),"")&lt;&gt;"",OR(IFERROR(VLOOKUP(SUBSTITUTE(SUBSTITUTE(SUBSTITUTE(IFERROR(INDEX('DADOS_FORMAS'!$AS$2:$AS$21,MATCH(SUBSTITUTE(SUBSTITUTE(SUBSTITUTE($MU93,"~","~~"),"*","~*"),"?","~?"),'DADOS_FORMAS'!$AH$2:$AH$21,0)),""),"~","~~"),"*","~*"),"?","~?"),'DADOS_RESTRICOES'!$M$2:$Q$54,2,FALSE),"")=$OK93,IFERROR(VLOOKUP(SUBSTITUTE(SUBSTITUTE(SUBSTITUTE(IFERROR(INDEX('DADOS_FORMAS'!$AS$2:$AS$21,MATCH(SUBSTITUTE(SUBSTITUTE(SUBSTITUTE($MU93,"~","~~"),"*","~*"),"?","~?"),'DADOS_FORMAS'!$AH$2:$AH$21,0)),""),"~","~~"),"*","~*"),"?","~?"),'DADOS_RESTRICOES'!$M$2:$Q$54,2,FALSE),"")=$OL93)),"Restrição repetida, contando a embutida",""),IF(IF(IFERROR(INDEX('DADOS_FORMAS'!$AS$2:$AS$21,MATCH(SUBSTITUTE(SUBSTITUTE(SUBSTITUTE($MU93,"~","~~"),"*","~*"),"?","~?"),'DADOS_FORMAS'!$AH$2:$AH$21,0)),"")="",0,IFERROR(N(VLOOKUP(SUBSTITUTE(SUBSTITUTE(SUBSTITUTE(IFERROR(INDEX('DADOS_FORMAS'!$AS$2:$AS$21,MATCH(SUBSTITUTE(SUBSTITUTE(SUBSTITUTE($MU93,"~","~~"),"*","~*"),"?","~?"),'DADOS_FORMAS'!$AH$2:$AH$21,0)),""),"~","~~"),"*","~*"),"?","~?"),'DADOS_RESTRICOES'!$M$2:$Q$54,4,FALSE)=1),0))+IF($NB93="",0,IFERROR(N(VLOOKUP(SUBSTITUTE(SUBSTITUTE(SUBSTITUTE($NB93,"~","~~"),"*","~*"),"?","~?"),'DADOS_RESTRICOES'!$M$2:$Q$54,4,FALSE)=1),0))+IF($NC93="",0,IFERROR(N(VLOOKUP(SUBSTITUTE(SUBSTITUTE(SUBSTITUTE($NC93,"~","~~"),"*","~*"),"?","~?"),'DADOS_RESTRICOES'!$M$2:$Q$54,4,FALSE)=1),0))&gt;1,"Duas Restrições de frequência, contando a embutida",""),IF(AND(IFERROR(VLOOKUP(SUBSTITUTE(SUBSTITUTE(SUBSTITUTE(IFERROR(INDEX('DADOS_FORMAS'!$AS$2:$AS$21,MATCH(SUBSTITUTE(SUBSTITUTE(SUBSTITUTE($MU93,"~","~~"),"*","~*"),"?","~?"),'DADOS_FORMAS'!$AH$2:$AH$21,0)),""),"~","~~"),"*","~*"),"?","~?"),'DADOS_RESTRICOES'!$M$2:$Q$54,2,FALSE),"")="Tudo ou Nada",$OH93=0),"Tudo ou Nada exige TR",""),IF(AND(IFERROR(VLOOKUP(SUBSTITUTE(SUBSTITUTE(SUBSTITUTE(IFERROR(INDEX('DADOS_FORMAS'!$AS$2:$AS$21,MATCH(SUBSTITUTE(SUBSTITUTE(SUBSTITUTE($MU93,"~","~~"),"*","~*"),"?","~?"),'DADOS_FORMAS'!$AH$2:$AH$21,0)),""),"~","~~"),"*","~*"),"?","~?"),'DADOS_RESTRICOES'!$M$2:$Q$54,2,FALSE),"")="Corpo a Corpo",OR($RO93="Cone",$RO93="Linha")),"Corpo a Corpo não entra em Cone/Linha","")))</f>
        <v/>
      </c>
      <c r="PU93" s="164">
        <f>IF($PT93="",0,(LEN($PT93)-LEN(SUBSTITUTE($PT93," · ","")))/3+1)</f>
        <v/>
      </c>
      <c r="PV93" s="164">
        <f>IF($ND93=0,"",TEXTJOIN(" · ",TRUE,IF($OX93&gt;2*$MS93,"A devolução parou no teto de "&amp;2*$MS93,""),IF($PA93&gt;0,"Devolução perdida: "&amp;$PA93&amp;IF($PA93&gt;1," pontos"," ponto")&amp;" sem Melhoria para pagar",""),IF(AND($OC93&gt;0,AND($MS93&gt;0,$OG93=0),$PD93=0),"Controle sem dano: uma rodada a mais e CD +2",""),IF(AND($OC93&gt;0,AND($MS93&gt;0,$OG93=0),$PD93&gt;0,$PD93&lt;=$MS93),"Controle com saldo até a Classe: uma rodada a mais",""),IF(AND($MS93&gt;0,$OE93&lt;&gt;""),"Efeito de "&amp;$OE93&amp;" pela Classe "&amp;MAX(1,$MS93-1),"")))</f>
        <v/>
      </c>
      <c r="PW93" s="164">
        <f>IF($PV93="",0,(LEN($PV93)-LEN(SUBSTITUTE($PV93," · ","")))/3+1)</f>
        <v/>
      </c>
      <c r="PX93" s="164">
        <f>IF($ND93=0,IF($OU93+COUNTIF($NB93:$NC93,"?*")&gt;0,"Dê um nome",""),IF($PU93&gt;0,"⚠ "&amp;$PU93&amp;IF($PU93&gt;1," erros"," erro"),IF($PW93&gt;0,"! "&amp;$PW93&amp;IF($PW93&gt;1," avisos"," aviso"),"Na regra")))</f>
        <v/>
      </c>
      <c r="PY93" s="164">
        <f>IF($ND93=0,"",IF($PU93+$PW93=0,"Dentro das regras que a ficha confere",$PT93&amp;IF(AND($PU93&gt;0,$PW93&gt;0)," · ","")&amp;$PV93))</f>
        <v/>
      </c>
      <c r="PZ93" s="164">
        <f>IF($MQ93&gt;$NE93,$MR93&amp;" · ABRE NO NÍVEL "&amp;$MQ93,$MR93)</f>
        <v/>
      </c>
      <c r="QA93" s="164">
        <f>IF($ND93=0,"",IF($MS93=0,"Sem PE",3*$MS93&amp;" PE"))</f>
        <v/>
      </c>
      <c r="QB93" s="164">
        <f>IF($ND93=0,"",IF($MS93=0,"A atuação básica dela",IF(COUNTIF($RQ93:$RS93,"Atrasar")&gt;0,"Sua Ação Completa",IF(COUNTIF($RK93:$RN93,"Rápido")&gt;0,"Sua Bônus",IF(COUNTIF($RK93:$RN93,"Reação")&gt;0,"Sua Reação","Sua Padrão")))&amp;" + a básica dela"&amp;IF(COUNTIF($RK93:$RN93,"Reação")&gt;0," e a coletiva","")&amp;IF(COUNTIF($RQ93:$RS93,"Carregar")&gt;0," · em dois turnos","")))</f>
        <v/>
      </c>
      <c r="QC93" s="164">
        <f>IF($MW93&lt;&gt;"",$MW93,IF($NJ93=0,"",INDEX('DADOS_FORMAS'!$GE$2:$GE$21,$NJ93)))</f>
        <v/>
      </c>
      <c r="QD93" s="164">
        <f>IF(OR($ND93=0,$NJ93=0),"",IF(COUNTIF($RK93:$RN93,"Inescapável")&gt;0,"Automático",IF($QC93="Ataque",IF($NH93="","Ataque","Ataque "&amp;IF(($NH93+2*IF(COUNTIF($RK93:$RN93,"Precisão")&gt;0,1,0))&gt;=0,"+","−")&amp;ABS(($NH93+2*IF(COUNTIF($RK93:$RN93,"Precisão")&gt;0,1,0))))&amp;IF($OD93&gt;0," · TR"&amp;IF($NI93="",""," CD "&amp;$NI93),""),IF(LEFT($QC93,2)="TR",$QC93&amp;IF($NI93="",""," · CD "&amp;$NI93)&amp;IF(COUNTIF($RK93:$RN93,"Certeiro")&gt;0," · metade",""),"Sem rolagem"))))</f>
        <v/>
      </c>
      <c r="QE93" s="164">
        <f>IF(OR($ND93=0,$NJ93=0),"",IF($MS93=0,IF(OR($OG93&gt;=1,$PD93=0),"Sem dano",$PD93&amp;"d6"&amp;IF($MV93="",""," "&amp;$MV93)),IF(OR($OG93&gt;=1,$PD93=0),UPPER(LEFT(INDEX($PM93:$PS93,1,MAX(1,$MS93)),1))&amp;MID(INDEX($PM93:$PS93,1,MAX(1,$MS93)),2,99),UPPER(LEFT(INDEX($PM93:$PS93,1,MAX(1,$MS93)),1))&amp;MID(INDEX($PM93:$PS93,1,MAX(1,$MS93)),2,99)&amp;IF($MV93="",""," "&amp;$MV93)&amp;IF($PE93&gt;0," · +"&amp;$PE93&amp;"d8",""))))</f>
        <v/>
      </c>
      <c r="QF93" s="164">
        <f>COUNTIF($RK93:$RN93,"Longe")+3*COUNTIF($RK93:$RN93,"Muito Longe")</f>
        <v/>
      </c>
      <c r="QG93" s="164">
        <f>COUNTIF($RK93:$RN93,"Maior")+3*COUNTIF($RK93:$RN93,"Muito Maior")</f>
        <v/>
      </c>
      <c r="QH93" s="164">
        <f>IF($NJ93=0,0,CHOOSE(1+INDEX('DADOS_FORMAS'!$GG$2:$GG$21,$NJ93),0,$QF93,$QG93,$QF93+$QG93))</f>
        <v/>
      </c>
      <c r="QI93" s="164">
        <f>IF($NJ93=0,0,CHOOSE(1+INDEX('DADOS_FORMAS'!$GH$2:$GH$21,$NJ93),0,$QF93,$QG93,$QF93+$QG93))</f>
        <v/>
      </c>
      <c r="QJ93" s="164">
        <f>IF(OR($ND93=0,$NJ93=0),"",INDEX('DADOS_FORMAS'!$HU$2:$HZ$81,($NJ93-1)*4+IF($MS93=0,1,IF($MS93&lt;=5,2,IF($MS93=6,3,4))),1+MIN(5,$QH93))&amp;INDEX('DADOS_FORMAS'!$IA$2:$IF$81,($NJ93-1)*4+IF($MS93=0,1,IF($MS93&lt;=5,2,IF($MS93=6,3,4))),1+MIN(5,$QI93))&amp;IF(INDEX('DADOS_FORMAS'!$GI$2:$GI$21,$NJ93)=1,IF(COUNTIF($RK93:$RN93,"Mais Um")&gt;0," · +"&amp;COUNTIF($RK93:$RN93,"Mais Um")&amp;IF(COUNTIF($RK93:$RN93,"Mais Um")&gt;1," alvos"," alvo"),"")&amp;IF(COUNTIF($RK93:$RN93,"Rajada")&gt;0,IF($MS93=0," · 1 tiro"," · "&amp;(MAX(1,$MS93-1)+1)&amp;" tiros"),""),""))</f>
        <v/>
      </c>
      <c r="QK93" s="164">
        <f>IF($ND93=0,"",IF($MS93=0,$NG93&amp;"d6"&amp;IF($OU93&gt;0," − 1 = "&amp;$PD93&amp;"d6"," da básica do nível "&amp;$NE93),$PB93&amp;" − "&amp;$OW93&amp;" + "&amp;$OZ93&amp;" = "&amp;$PC93&amp;" · teto "&amp;4*$MS93&amp;"d8"&amp;IF($OF93=1," · a Forma devolve "&amp;$MS93,"")&amp;IF($PA93&gt;0," · perde "&amp;$PA93,"")))</f>
        <v/>
      </c>
      <c r="QL93" s="164">
        <f>IF($ND93=0,"",IF($MS93=0,"A básica não amplia: os dados dela sobem com o nível",IF($MS93&gt;=$NF93,"Já está na maior Classe que o nível liberou",TEXTJOIN(" · ",TRUE,IF(AND(2&gt;$MS93,2&lt;=$NF93),"2 → "&amp;$PN93&amp;", 6 PE",""),IF(AND(3&gt;$MS93,3&lt;=$NF93),"3 → "&amp;$PO93&amp;", 9 PE",""),IF(AND(4&gt;$MS93,4&lt;=$NF93),"4 → "&amp;$PP93&amp;", 12 PE",""),IF(AND(5&gt;$MS93,5&lt;=$NF93),"5 → "&amp;$PQ93&amp;", 15 PE",""),IF(AND(6&gt;$MS93,6&lt;=$NF93),"6 → "&amp;$PR93&amp;", 18 PE",""),IF(AND(7&gt;$MS93,7&lt;=$NF93),"7 → "&amp;$PS93&amp;", 21 PE","")))))</f>
        <v/>
      </c>
      <c r="QM93" s="164">
        <f>IF(OR($ND93=0,$NO93=0),"",IF($MS93=0,"−1 dado","−"&amp;INDEX($I$2:$N$8,MAX(1,$MS93),MAX(1,$NT93))&amp;" · "&amp;CHOOSE(MAX(1,$NT93),"Leve","Média","Pesada","Leve · Livre","Média · Livre","Pesada · Livre")))</f>
        <v/>
      </c>
      <c r="QN93" s="164">
        <f>IF(OR($ND93=0,$NP93=0),"",IF($MS93=0,"−1 dado","−"&amp;INDEX($I$2:$N$8,MAX(1,$MS93),MAX(1,$NU93))&amp;" · "&amp;CHOOSE(MAX(1,$NU93),"Leve","Média","Pesada","Leve · Livre","Média · Livre","Pesada · Livre")))</f>
        <v/>
      </c>
      <c r="QO93" s="164">
        <f>IF(OR($ND93=0,$NQ93=0),"",IF($MS93=0,"−1 dado","−"&amp;INDEX($I$2:$N$8,MAX(1,$MS93),MAX(1,$NV93))&amp;" · "&amp;CHOOSE(MAX(1,$NV93),"Leve","Média","Pesada","Leve · Livre","Média · Livre","Pesada · Livre")))</f>
        <v/>
      </c>
      <c r="QP93" s="164">
        <f>IF(OR($ND93=0,$NR93=0),"",IF($MS93=0,"−1 dado","−"&amp;INDEX($I$2:$N$8,MAX(1,$MS93),MAX(1,$NW93))&amp;" · "&amp;CHOOSE(MAX(1,$NW93),"Leve","Média","Pesada","Leve · Livre","Média · Livre","Pesada · Livre")))</f>
        <v/>
      </c>
      <c r="QQ93" s="164">
        <f>IF(OR($ND93=0,$NB93=""),"",IF($MS93=0,"não devolve","+"&amp;IF($OI93=1,CEILING($MS93/2,1),$MS93)))</f>
        <v/>
      </c>
      <c r="QR93" s="164">
        <f>IF(OR($ND93=0,$NC93=""),"",IF($MS93=0,"não devolve","+"&amp;IF($OJ93=1,CEILING($MS93/2,1),$MS93)))</f>
        <v/>
      </c>
      <c r="RK93">
        <f>IF($MX93="","",IFERROR(VLOOKUP(SUBSTITUTE(SUBSTITUTE(SUBSTITUTE($MX93,"~","~~"),"*","~*"),"?","~?"),'DADOS_MELHORIAS'!$O$2:$X$113,10,FALSE),$MX93))</f>
        <v/>
      </c>
      <c r="RL93">
        <f>IF($MY93="","",IFERROR(VLOOKUP(SUBSTITUTE(SUBSTITUTE(SUBSTITUTE($MY93,"~","~~"),"*","~*"),"?","~?"),'DADOS_MELHORIAS'!$O$2:$X$113,10,FALSE),$MY93))</f>
        <v/>
      </c>
      <c r="RM93">
        <f>IF($MZ93="","",IFERROR(VLOOKUP(SUBSTITUTE(SUBSTITUTE(SUBSTITUTE($MZ93,"~","~~"),"*","~*"),"?","~?"),'DADOS_MELHORIAS'!$O$2:$X$113,10,FALSE),$MZ93))</f>
        <v/>
      </c>
      <c r="RN93">
        <f>IF($NA93="","",IFERROR(VLOOKUP(SUBSTITUTE(SUBSTITUTE(SUBSTITUTE($NA93,"~","~~"),"*","~*"),"?","~?"),'DADOS_MELHORIAS'!$O$2:$X$113,10,FALSE),$NA93))</f>
        <v/>
      </c>
      <c r="RO93">
        <f>IFERROR(INDEX('DADOS_FORMAS'!$BJ$2:$BJ$21,MATCH(SUBSTITUTE(SUBSTITUTE(SUBSTITUTE($MU93,"~","~~"),"*","~*"),"?","~?"),'DADOS_FORMAS'!$AH$2:$AH$21,0)),"")</f>
        <v/>
      </c>
      <c r="RP93">
        <f>IFERROR(VLOOKUP(SUBSTITUTE(SUBSTITUTE(SUBSTITUTE(IFERROR(INDEX('DADOS_FORMAS'!$AS$2:$AS$21,MATCH(SUBSTITUTE(SUBSTITUTE(SUBSTITUTE($MU93,"~","~~"),"*","~*"),"?","~?"),'DADOS_FORMAS'!$AH$2:$AH$21,0)),""),"~","~~"),"*","~*"),"?","~?"),'DADOS_RESTRICOES'!$M$2:$Q$54,2,FALSE),"")</f>
        <v/>
      </c>
      <c r="RQ93">
        <f>$OK93</f>
        <v/>
      </c>
      <c r="RR93">
        <f>$OL93</f>
        <v/>
      </c>
      <c r="RS93">
        <f>$RP93</f>
        <v/>
      </c>
    </row>
    <row r="94">
      <c r="MN94" s="162" t="inlineStr">
        <is>
          <t>Ficha 8 · Especial 1</t>
        </is>
      </c>
      <c r="MO94" s="164" t="n">
        <v>8</v>
      </c>
      <c r="MP94" s="164" t="n">
        <v>1</v>
      </c>
      <c r="MQ94" s="164" t="n">
        <v>1</v>
      </c>
      <c r="MR94" s="162" t="inlineStr">
        <is>
          <t>ESPECIAL 1</t>
        </is>
      </c>
      <c r="MS94" s="164">
        <f>MAX(1,MIN(7,N('INVOCAÇÕES'!$AH$282)))</f>
        <v/>
      </c>
      <c r="MT94" s="164">
        <f>'INVOCAÇÕES'!$AI$282&amp;""</f>
        <v/>
      </c>
      <c r="MU94" s="164">
        <f>'INVOCAÇÕES'!$AH$287&amp;""</f>
        <v/>
      </c>
      <c r="MV94" s="164">
        <f>'INVOCAÇÕES'!$AH$288&amp;""</f>
        <v/>
      </c>
      <c r="MW94" s="164">
        <f>'INVOCAÇÕES'!$AJ$288&amp;""</f>
        <v/>
      </c>
      <c r="MX94" s="164">
        <f>'INVOCAÇÕES'!$AI$291&amp;""</f>
        <v/>
      </c>
      <c r="MY94" s="164">
        <f>'INVOCAÇÕES'!$AI$292&amp;""</f>
        <v/>
      </c>
      <c r="MZ94" s="164">
        <f>'INVOCAÇÕES'!$AI$293&amp;""</f>
        <v/>
      </c>
      <c r="NA94" s="164">
        <f>'INVOCAÇÕES'!$AI$294&amp;""</f>
        <v/>
      </c>
      <c r="NB94" s="164">
        <f>'INVOCAÇÕES'!$AI$295&amp;""</f>
        <v/>
      </c>
      <c r="NC94" s="164">
        <f>'INVOCAÇÕES'!$AI$296&amp;""</f>
        <v/>
      </c>
      <c r="ND94" s="164">
        <f>IF($MT94&lt;&gt;"",1,0)</f>
        <v/>
      </c>
      <c r="NE94" s="164">
        <f>INDEX($FO$2:$FO$13,$MO94)</f>
        <v/>
      </c>
      <c r="NF94" s="164">
        <f>INDEX($FP$2:$FP$13,$MO94)</f>
        <v/>
      </c>
      <c r="NG94" s="164">
        <f>INDEX($FQ$2:$FQ$13,$MO94)</f>
        <v/>
      </c>
      <c r="NH94" s="164">
        <f>INDEX($GB$2:$GB$13,$MO94)</f>
        <v/>
      </c>
      <c r="NI94" s="164">
        <f>INDEX($GC$2:$GC$13,$MO94)</f>
        <v/>
      </c>
      <c r="NJ94" s="164">
        <f>IFERROR(MATCH(SUBSTITUTE(SUBSTITUTE(SUBSTITUTE($MU94,"~","~~"),"*","~*"),"?","~?"),'DADOS_FORMAS'!$FZ$2:$FZ$21,0),0)</f>
        <v/>
      </c>
      <c r="NK94" s="164">
        <f>IFERROR(VLOOKUP(SUBSTITUTE(SUBSTITUTE(SUBSTITUTE($MX94,"~","~~"),"*","~*"),"?","~?"),'DADOS_MELHORIAS'!$AG$2:$AL$113,2,FALSE),"")</f>
        <v/>
      </c>
      <c r="NL94" s="164">
        <f>IFERROR(VLOOKUP(SUBSTITUTE(SUBSTITUTE(SUBSTITUTE($MY94,"~","~~"),"*","~*"),"?","~?"),'DADOS_MELHORIAS'!$AG$2:$AL$113,2,FALSE),"")</f>
        <v/>
      </c>
      <c r="NM94" s="164">
        <f>IFERROR(VLOOKUP(SUBSTITUTE(SUBSTITUTE(SUBSTITUTE($MZ94,"~","~~"),"*","~*"),"?","~?"),'DADOS_MELHORIAS'!$AG$2:$AL$113,2,FALSE),"")</f>
        <v/>
      </c>
      <c r="NN94" s="164">
        <f>IFERROR(VLOOKUP(SUBSTITUTE(SUBSTITUTE(SUBSTITUTE($NA94,"~","~~"),"*","~*"),"?","~?"),'DADOS_MELHORIAS'!$AG$2:$AL$113,2,FALSE),"")</f>
        <v/>
      </c>
      <c r="NO94" s="164">
        <f>IFERROR(VLOOKUP(SUBSTITUTE(SUBSTITUTE(SUBSTITUTE($MX94,"~","~~"),"*","~*"),"?","~?"),'DADOS_MELHORIAS'!$AG$2:$AL$113,3,FALSE),0)</f>
        <v/>
      </c>
      <c r="NP94" s="164">
        <f>IFERROR(VLOOKUP(SUBSTITUTE(SUBSTITUTE(SUBSTITUTE($MY94,"~","~~"),"*","~*"),"?","~?"),'DADOS_MELHORIAS'!$AG$2:$AL$113,3,FALSE),0)</f>
        <v/>
      </c>
      <c r="NQ94" s="164">
        <f>IFERROR(VLOOKUP(SUBSTITUTE(SUBSTITUTE(SUBSTITUTE($MZ94,"~","~~"),"*","~*"),"?","~?"),'DADOS_MELHORIAS'!$AG$2:$AL$113,3,FALSE),0)</f>
        <v/>
      </c>
      <c r="NR94" s="164">
        <f>IFERROR(VLOOKUP(SUBSTITUTE(SUBSTITUTE(SUBSTITUTE($NA94,"~","~~"),"*","~*"),"?","~?"),'DADOS_MELHORIAS'!$AG$2:$AL$113,3,FALSE),0)</f>
        <v/>
      </c>
      <c r="NS94" s="164">
        <f>IF($MS94=0,0,IF($NJ94=0,0,INDEX('DADOS_FORMAS'!$GB$2:$GB$21,$NJ94)))</f>
        <v/>
      </c>
      <c r="NT94" s="164">
        <f>IF(OR($NO94=0,$MS94=0),0,$NO94+3*IF(AND($NK94&lt;&gt;"",COUNTIF(INDEX($RB$2:$RJ$13,$MO94,0),$NK94)&gt;0),1,0))</f>
        <v/>
      </c>
      <c r="NU94" s="164">
        <f>IF(OR($NP94=0,$MS94=0),0,$NP94+3*IF(AND($NL94&lt;&gt;"",COUNTIF(INDEX($RB$2:$RJ$13,$MO94,0),$NL94)&gt;0),1,0))</f>
        <v/>
      </c>
      <c r="NV94" s="164">
        <f>IF(OR($NQ94=0,$MS94=0),0,$NQ94+3*IF(AND($NM94&lt;&gt;"",COUNTIF(INDEX($RB$2:$RJ$13,$MO94,0),$NM94)&gt;0),1,0))</f>
        <v/>
      </c>
      <c r="NW94" s="164">
        <f>IF(OR($NR94=0,$MS94=0),0,$NR94+3*IF(AND($NN94&lt;&gt;"",COUNTIF(INDEX($RB$2:$RJ$13,$MO94,0),$NN94)&gt;0),1,0))</f>
        <v/>
      </c>
      <c r="NX94" s="164">
        <f>IF($NJ94=0,0,IF(INDEX('DADOS_FORMAS'!$GA$2:$GA$21,$NJ94)="",0,IF((COUNTIF(INDEX($EL$2:$EP$13,$MO94,0),INDEX('DADOS_FORMAS'!$GA$2:$GA$21,$NJ94))+COUNTIF(INDEX($QV$2:$QY$13,$MO94,0),INDEX('DADOS_FORMAS'!$GA$2:$GA$21,$NJ94)))=0,1,0)))</f>
        <v/>
      </c>
      <c r="NY94" s="164">
        <f>IF(OR($NO94=0,$NK94=""),0,IF((COUNTIF(INDEX($EL$2:$EP$13,$MO94,0),$NK94)+COUNTIF(INDEX($QV$2:$QY$13,$MO94,0),$NK94))=0,1,0))</f>
        <v/>
      </c>
      <c r="NZ94" s="164">
        <f>IF(OR($NP94=0,$NL94=""),0,IF((COUNTIF(INDEX($EL$2:$EP$13,$MO94,0),$NL94)+COUNTIF(INDEX($QV$2:$QY$13,$MO94,0),$NL94))=0,1,0))</f>
        <v/>
      </c>
      <c r="OA94" s="164">
        <f>IF(OR($NQ94=0,$NM94=""),0,IF((COUNTIF(INDEX($EL$2:$EP$13,$MO94,0),$NM94)+COUNTIF(INDEX($QV$2:$QY$13,$MO94,0),$NM94))=0,1,0))</f>
        <v/>
      </c>
      <c r="OB94" s="164">
        <f>IF(OR($NR94=0,$NN94=""),0,IF((COUNTIF(INDEX($EL$2:$EP$13,$MO94,0),$NN94)+COUNTIF(INDEX($QV$2:$QY$13,$MO94,0),$NN94))=0,1,0))</f>
        <v/>
      </c>
      <c r="OC94" s="164">
        <f>IFERROR(VLOOKUP(SUBSTITUTE(SUBSTITUTE(SUBSTITUTE($MX94,"~","~~"),"*","~*"),"?","~?"),'DADOS_MELHORIAS'!$AG$2:$AL$113,4,FALSE),0)+IFERROR(VLOOKUP(SUBSTITUTE(SUBSTITUTE(SUBSTITUTE($MY94,"~","~~"),"*","~*"),"?","~?"),'DADOS_MELHORIAS'!$AG$2:$AL$113,4,FALSE),0)+IFERROR(VLOOKUP(SUBSTITUTE(SUBSTITUTE(SUBSTITUTE($MZ94,"~","~~"),"*","~*"),"?","~?"),'DADOS_MELHORIAS'!$AG$2:$AL$113,4,FALSE),0)+IFERROR(VLOOKUP(SUBSTITUTE(SUBSTITUTE(SUBSTITUTE($NA94,"~","~~"),"*","~*"),"?","~?"),'DADOS_MELHORIAS'!$AG$2:$AL$113,4,FALSE),0)</f>
        <v/>
      </c>
      <c r="OD94" s="164">
        <f>IFERROR(VLOOKUP(SUBSTITUTE(SUBSTITUTE(SUBSTITUTE($MX94,"~","~~"),"*","~*"),"?","~?"),'DADOS_MELHORIAS'!$AG$2:$AL$113,6,FALSE),0)+IFERROR(VLOOKUP(SUBSTITUTE(SUBSTITUTE(SUBSTITUTE($MY94,"~","~~"),"*","~*"),"?","~?"),'DADOS_MELHORIAS'!$AG$2:$AL$113,6,FALSE),0)+IFERROR(VLOOKUP(SUBSTITUTE(SUBSTITUTE(SUBSTITUTE($MZ94,"~","~~"),"*","~*"),"?","~?"),'DADOS_MELHORIAS'!$AG$2:$AL$113,6,FALSE),0)+IFERROR(VLOOKUP(SUBSTITUTE(SUBSTITUTE(SUBSTITUTE($NA94,"~","~~"),"*","~*"),"?","~?"),'DADOS_MELHORIAS'!$AG$2:$AL$113,6,FALSE),0)+IFERROR(N(AND(INDEX('DADOS_FORMAS'!$AO$2:$AO$21,MATCH(SUBSTITUTE(SUBSTITUTE(SUBSTITUTE($MU94,"~","~~"),"*","~*"),"?","~?"),'DADOS_FORMAS'!$AH$2:$AH$21,0))="Acerto",$OH94=1)),0)</f>
        <v/>
      </c>
      <c r="OE94" s="164">
        <f>TEXTJOIN(", ",TRUE,IF(IFERROR(VLOOKUP(SUBSTITUTE(SUBSTITUTE(SUBSTITUTE($MX94,"~","~~"),"*","~*"),"?","~?"),'DADOS_MELHORIAS'!$AG$2:$AL$113,5,FALSE),0)=1,$MX94,""),IF(IFERROR(VLOOKUP(SUBSTITUTE(SUBSTITUTE(SUBSTITUTE($MY94,"~","~~"),"*","~*"),"?","~?"),'DADOS_MELHORIAS'!$AG$2:$AL$113,5,FALSE),0)=1,$MY94,""),IF(IFERROR(VLOOKUP(SUBSTITUTE(SUBSTITUTE(SUBSTITUTE($MZ94,"~","~~"),"*","~*"),"?","~?"),'DADOS_MELHORIAS'!$AG$2:$AL$113,5,FALSE),0)=1,$MZ94,""),IF(IFERROR(VLOOKUP(SUBSTITUTE(SUBSTITUTE(SUBSTITUTE($NA94,"~","~~"),"*","~*"),"?","~?"),'DADOS_MELHORIAS'!$AG$2:$AL$113,5,FALSE),0)=1,$NA94,""))</f>
        <v/>
      </c>
      <c r="OF94" s="164">
        <f>IF($NJ94=0,0,INDEX('DADOS_FORMAS'!$GC$2:$GC$21,$NJ94))</f>
        <v/>
      </c>
      <c r="OG94" s="164">
        <f>IF($NJ94=0,0,INDEX('DADOS_FORMAS'!$GD$2:$GD$21,$NJ94))</f>
        <v/>
      </c>
      <c r="OH94" s="164">
        <f>IF($NJ94=0,0,INDEX('DADOS_FORMAS'!$GF$2:$GF$21,$NJ94))</f>
        <v/>
      </c>
      <c r="OI94" s="164">
        <f>IFERROR(VLOOKUP(SUBSTITUTE(SUBSTITUTE(SUBSTITUTE($NB94,"~","~~"),"*","~*"),"?","~?"),'DADOS_RESTRICOES'!$M$2:$Q$54,3,FALSE),0)</f>
        <v/>
      </c>
      <c r="OJ94" s="164">
        <f>IFERROR(VLOOKUP(SUBSTITUTE(SUBSTITUTE(SUBSTITUTE($NC94,"~","~~"),"*","~*"),"?","~?"),'DADOS_RESTRICOES'!$M$2:$Q$54,3,FALSE),0)</f>
        <v/>
      </c>
      <c r="OK94" s="164">
        <f>IFERROR(VLOOKUP(SUBSTITUTE(SUBSTITUTE(SUBSTITUTE($NB94,"~","~~"),"*","~*"),"?","~?"),'DADOS_RESTRICOES'!$M$2:$Q$54,2,FALSE),"")</f>
        <v/>
      </c>
      <c r="OL94" s="164">
        <f>IFERROR(VLOOKUP(SUBSTITUTE(SUBSTITUTE(SUBSTITUTE($NC94,"~","~~"),"*","~*"),"?","~?"),'DADOS_RESTRICOES'!$M$2:$Q$54,2,FALSE),"")</f>
        <v/>
      </c>
      <c r="OM94" s="164">
        <f>COUNTIF($NS94:$NW94,1)</f>
        <v/>
      </c>
      <c r="ON94" s="164">
        <f>COUNTIF($NS94:$NW94,2)</f>
        <v/>
      </c>
      <c r="OO94" s="164">
        <f>COUNTIF($NS94:$NW94,3)</f>
        <v/>
      </c>
      <c r="OP94" s="164">
        <f>COUNTIF($NS94:$NW94,4)</f>
        <v/>
      </c>
      <c r="OQ94" s="164">
        <f>COUNTIF($NS94:$NW94,5)</f>
        <v/>
      </c>
      <c r="OR94" s="164">
        <f>COUNTIF($NS94:$NW94,6)</f>
        <v/>
      </c>
      <c r="OS94" s="164">
        <f>COUNTIF($OI94:$OJ94,1)+IF(IFERROR(INDEX('DADOS_FORMAS'!$AS$2:$AS$21,MATCH(SUBSTITUTE(SUBSTITUTE(SUBSTITUTE($MU94,"~","~~"),"*","~*"),"?","~?"),'DADOS_FORMAS'!$AH$2:$AH$21,0)),"")="",0,IFERROR(N(VLOOKUP(SUBSTITUTE(SUBSTITUTE(SUBSTITUTE(IFERROR(INDEX('DADOS_FORMAS'!$AS$2:$AS$21,MATCH(SUBSTITUTE(SUBSTITUTE(SUBSTITUTE($MU94,"~","~~"),"*","~*"),"?","~?"),'DADOS_FORMAS'!$AH$2:$AH$21,0)),""),"~","~~"),"*","~*"),"?","~?"),'DADOS_RESTRICOES'!$M$2:$Q$54,3,FALSE)=1),0))</f>
        <v/>
      </c>
      <c r="OT94" s="164">
        <f>COUNTIF($OI94:$OJ94,2)+IF(IFERROR(INDEX('DADOS_FORMAS'!$AS$2:$AS$21,MATCH(SUBSTITUTE(SUBSTITUTE(SUBSTITUTE($MU94,"~","~~"),"*","~*"),"?","~?"),'DADOS_FORMAS'!$AH$2:$AH$21,0)),"")="",0,IFERROR(N(VLOOKUP(SUBSTITUTE(SUBSTITUTE(SUBSTITUTE(IFERROR(INDEX('DADOS_FORMAS'!$AS$2:$AS$21,MATCH(SUBSTITUTE(SUBSTITUTE(SUBSTITUTE($MU94,"~","~~"),"*","~*"),"?","~?"),'DADOS_FORMAS'!$AH$2:$AH$21,0)),""),"~","~~"),"*","~*"),"?","~?"),'DADOS_RESTRICOES'!$M$2:$Q$54,3,FALSE)=2),0))</f>
        <v/>
      </c>
      <c r="OU94" s="164">
        <f>COUNTIF($MX94:$NA94,"?*")</f>
        <v/>
      </c>
      <c r="OV94" s="164">
        <f>COUNTIF($NB94:$NC94,"?*")+$OF94</f>
        <v/>
      </c>
      <c r="OW94" s="164">
        <f>IF($MS94=0,0,SUMPRODUCT($OM94:$OR94,INDEX($I$2:$N$8,MAX(1,$MS94),0)))</f>
        <v/>
      </c>
      <c r="OX94" s="164">
        <f>IF($MS94=0,0,$OS94*CEILING($MS94/2,1)+$OT94*$MS94)</f>
        <v/>
      </c>
      <c r="OY94" s="164">
        <f>MIN(2*$MS94,$OX94)</f>
        <v/>
      </c>
      <c r="OZ94" s="164">
        <f>MIN($OY94,$OW94-IF($NS94=0,0,INDEX($I$2:$N$8,MAX(1,$MS94),$NS94)))</f>
        <v/>
      </c>
      <c r="PA94" s="164">
        <f>$OY94-$OZ94</f>
        <v/>
      </c>
      <c r="PB94" s="164">
        <f>IF($MS94=0,0,INDEX($P$2:$P$8,MAX(1,$MS94)))</f>
        <v/>
      </c>
      <c r="PC94" s="164">
        <f>$PB94-$OW94+$OZ94</f>
        <v/>
      </c>
      <c r="PD94" s="164">
        <f>IF($MS94=0,MAX(0,$NG94-IF(AND($OU94&gt;0,COUNTIF($NB94:$NC94,"?*")=0),1,0)),MAX(0,$PC94))</f>
        <v/>
      </c>
      <c r="PE94" s="164">
        <f>IF($MS94=0,0,(IF(COUNTIF($RK94:$RN94,"Salto")&gt;0,1,0)+IF(COUNTIF($RK94:$RN94,"Queima")&gt;0,1,0)+IF(COUNTIF($RK94:$RN94,"Estilhaço")&gt;0,1,0))*FLOOR($PD94/2,1))</f>
        <v/>
      </c>
      <c r="PF94" s="164">
        <f>MAX(0,2-SUMPRODUCT($OM94:$OR94,$I$2:$N$2)+MIN(2,$OS94*1+$OT94*1,SUMPRODUCT($OM94:$OR94,$I$2:$N$2)-IF($NS94=0,0,INDEX($I$2:$N$2,1,$NS94))))</f>
        <v/>
      </c>
      <c r="PG94" s="164">
        <f>MAX(0,4-SUMPRODUCT($OM94:$OR94,$I$3:$N$3)+MIN(4,$OS94*1+$OT94*2,SUMPRODUCT($OM94:$OR94,$I$3:$N$3)-IF($NS94=0,0,INDEX($I$3:$N$3,1,$NS94))))</f>
        <v/>
      </c>
      <c r="PH94" s="164">
        <f>MAX(0,6-SUMPRODUCT($OM94:$OR94,$I$4:$N$4)+MIN(6,$OS94*2+$OT94*3,SUMPRODUCT($OM94:$OR94,$I$4:$N$4)-IF($NS94=0,0,INDEX($I$4:$N$4,1,$NS94))))</f>
        <v/>
      </c>
      <c r="PI94" s="164">
        <f>MAX(0,9-SUMPRODUCT($OM94:$OR94,$I$5:$N$5)+MIN(8,$OS94*2+$OT94*4,SUMPRODUCT($OM94:$OR94,$I$5:$N$5)-IF($NS94=0,0,INDEX($I$5:$N$5,1,$NS94))))</f>
        <v/>
      </c>
      <c r="PJ94" s="164">
        <f>MAX(0,11-SUMPRODUCT($OM94:$OR94,$I$6:$N$6)+MIN(10,$OS94*3+$OT94*5,SUMPRODUCT($OM94:$OR94,$I$6:$N$6)-IF($NS94=0,0,INDEX($I$6:$N$6,1,$NS94))))</f>
        <v/>
      </c>
      <c r="PK94" s="164">
        <f>MAX(0,13-SUMPRODUCT($OM94:$OR94,$I$7:$N$7)+MIN(12,$OS94*3+$OT94*6,SUMPRODUCT($OM94:$OR94,$I$7:$N$7)-IF($NS94=0,0,INDEX($I$7:$N$7,1,$NS94))))</f>
        <v/>
      </c>
      <c r="PL94" s="164">
        <f>MAX(0,16-SUMPRODUCT($OM94:$OR94,$I$8:$N$8)+MIN(14,$OS94*4+$OT94*7,SUMPRODUCT($OM94:$OR94,$I$8:$N$8)-IF($NS94=0,0,INDEX($I$8:$N$8,1,$NS94))))</f>
        <v/>
      </c>
      <c r="PM94" s="164">
        <f>IF($OG94=2,3*$PF94&amp;" de vida temp.",IF($OG94=3,"sem dano",IF($PF94=0,IF($OG94=1,"sem cura","sem dano"),IF($OG94=1,"cura ","")&amp;$PF94&amp;"d8")))</f>
        <v/>
      </c>
      <c r="PN94" s="164">
        <f>IF($OG94=2,3*$PG94&amp;" de vida temp.",IF($OG94=3,"sem dano",IF($PG94=0,IF($OG94=1,"sem cura","sem dano"),IF($OG94=1,"cura ","")&amp;$PG94&amp;"d8")))</f>
        <v/>
      </c>
      <c r="PO94" s="164">
        <f>IF($OG94=2,3*$PH94&amp;" de vida temp.",IF($OG94=3,"sem dano",IF($PH94=0,IF($OG94=1,"sem cura","sem dano"),IF($OG94=1,"cura ","")&amp;$PH94&amp;"d8")))</f>
        <v/>
      </c>
      <c r="PP94" s="164">
        <f>IF($OG94=2,3*$PI94&amp;" de vida temp.",IF($OG94=3,"sem dano",IF($PI94=0,IF($OG94=1,"sem cura","sem dano"),IF($OG94=1,"cura ","")&amp;$PI94&amp;"d8")))</f>
        <v/>
      </c>
      <c r="PQ94" s="164">
        <f>IF($OG94=2,3*$PJ94&amp;" de vida temp.",IF($OG94=3,"sem dano",IF($PJ94=0,IF($OG94=1,"sem cura","sem dano"),IF($OG94=1,"cura ","")&amp;$PJ94&amp;"d8")))</f>
        <v/>
      </c>
      <c r="PR94" s="164">
        <f>IF($OG94=2,3*$PK94&amp;" de vida temp.",IF($OG94=3,"sem dano",IF($PK94=0,IF($OG94=1,"sem cura","sem dano"),IF($OG94=1,"cura ","")&amp;$PK94&amp;"d8")))</f>
        <v/>
      </c>
      <c r="PS94" s="164">
        <f>IF($OG94=2,3*$PL94&amp;" de vida temp.",IF($OG94=3,"sem dano",IF($PL94=0,IF($OG94=1,"sem cura","sem dano"),IF($OG94=1,"cura ","")&amp;$PL94&amp;"d8")))</f>
        <v/>
      </c>
      <c r="PT94" s="164">
        <f>IF($ND94=0,"",TEXTJOIN(" · ",TRUE,IF($ND94=0,"",TEXTJOIN(" · ",TRUE,IF($ND94=0,"",TEXTJOIN(" · ",TRUE,IF($MQ94&gt;$NE94,"Este lugar abre no nível "&amp;$MQ94,""),IF($MS94&gt;$NF94,"Classe "&amp;$MS94&amp;": o nível "&amp;$NE94&amp;" libera até a "&amp;$NF94,""),IF($NX94=1,"A Forma "&amp;$MU94&amp;" pede "&amp;INDEX('DADOS_FORMAS'!$GA$2:$GA$21,$NJ94)&amp;" aberta",""),IF(AND($MS94=0,$NJ94&gt;0,IF($NJ94=0,0,INDEX('DADOS_FORMAS'!$GJ$2:$GJ$21,$NJ94))=0),$MU94&amp;" não existe na Classe 0",""),IF($NY94=1,"Família Fechada: "&amp;$MX94,""),IF($NZ94=1,"Família Fechada: "&amp;$MY94,""),IF($OA94=1,"Família Fechada: "&amp;$MZ94,""),IF($OB94=1,"Família Fechada: "&amp;$NA94,""),IF(AND($MS94&gt;0,$OU94&gt;INDEX($O$2:$O$8,MAX(1,$MS94))),$OU94&amp;" Melhorias: a Classe "&amp;$MS94&amp;" aceita "&amp;INDEX($O$2:$O$8,MAX(1,$MS94)),""),IF(AND($MS94=0,$OU94&gt;1),"A básica aceita uma Melhoria",""),IF(AND($MS94=0,COUNTIF($NO94:$NR94,"&gt;1")&gt;0),"A básica só aceita Melhoria Leve",""),IF(AND($MS94&gt;0,$OV94&gt;2),$OV94&amp;" Restrições"&amp;IF($OF94=1,", contando a que a Forma "&amp;$MU94&amp;" já traz","")&amp;": o limite é 2",""),IF(AND($MS94=0,COUNTIF($NB94:$NC94,"?*")&gt;1),"A básica aceita uma Restrição Leve",""),IF(AND($MS94=0,COUNTIF($OI94:$OJ94,2)&gt;0),"A básica só aceita Restrição Leve",""),IF(AND($MS94&gt;0,$PC94&lt;0),"Orçamento estourado: faltam "&amp;(-$PC94)&amp;IF($PC94&lt;-1," pontos"," ponto"),""),IF(IFERROR(VLOOKUP(SUBSTITUTE(SUBSTITUTE(SUBSTITUTE($NB94,"~","~~"),"*","~*"),"?","~?"),'DADOS_RESTRICOES'!$M$2:$Q$54,4,FALSE),0)+IFERROR(VLOOKUP(SUBSTITUTE(SUBSTITUTE(SUBSTITUTE($NC94,"~","~~"),"*","~*"),"?","~?"),'DADOS_RESTRICOES'!$M$2:$Q$54,4,FALSE),0)&gt;1,$OK94&amp;" e "&amp;$OL94&amp;" são as duas de frequência",""),IF(AND((COUNTIF($RK94:$RN94,"Rápido")+COUNTIF($OK94:$OL94,"Rápido"))&gt;0,(COUNTIF($MX94:$NA94,"Atrasar")+COUNTIF($OK94:$OL94,"Atrasar"))&gt;0),"Rápido não entra com Atrasar",""),IF(AND((COUNTIF($RK94:$RN94,"Reação")+COUNTIF($OK94:$OL94,"Reação"))&gt;0,(COUNTIF($RK94:$RN94,"Rápido")+COUNTIF($OK94:$OL94,"Rápido"))&gt;0),"Reação não entra com Rápido",""),IF(AND((COUNTIF($RK94:$RN94,"Reação")+COUNTIF($OK94:$OL94,"Reação"))&gt;0,(COUNTIF($RK94:$RN94,"Armado")+COUNTIF($OK94:$OL94,"Armado"))&gt;0),"Reação não entra com Armado",""),IF(AND((COUNTIF($RK94:$RN94,"Reação")+COUNTIF($OK94:$OL94,"Reação"))&gt;0,(COUNTIF($MX94:$NA94,"Atrasar")+COUNTIF($OK94:$OL94,"Atrasar"))&gt;0),"Reação não entra com Atrasar",""),IF(AND((COUNTIF($RK94:$RN94,"Reação")+COUNTIF($OK94:$OL94,"Reação"))&gt;0,(COUNTIF($MX94:$NA94,"Parado")+COUNTIF($OK94:$OL94,"Parado"))&gt;0),"Reação não entra com Parado",""),IF(AND((COUNTIF($MX94:$NA94,"Atrasar")+COUNTIF($OK94:$OL94,"Atrasar"))&gt;0,(COUNTIF($MX94:$NA94,"Parado")+COUNTIF($OK94:$OL94,"Parado"))&gt;0),"Atrasar não entra com Parado",""),IF(AND((COUNTIF($RK94:$RN94,"Armado")+COUNTIF($OK94:$OL94,"Armado"))&gt;0,(COUNTIF($MX94:$NA94,"Carregar")+COUNTIF($OK94:$OL94,"Carregar"))&gt;0),"Armado não entra com Carregar",""),IF(AND(COUNTIF($OK94:$OL94,"Corpo a Corpo")&gt;0,$OF94=0,OR($RO94="Cone",$RO94="Linha")),"Corpo a Corpo não entra em "&amp;$MU94,""),IF(AND(COUNTIF($OK94:$OL94,"Corpo a Corpo")&gt;0,$RP94="Corpo a Corpo"),"A Forma "&amp;$MU94&amp;" já traz o Corpo a Corpo",""),IF(AND(COUNTIF($OK94:$OL94,"Tudo ou Nada")&gt;0,$OH94=0),"Tudo ou Nada só entra em habilidade de Teste de Resistência",""),IF(AND(COUNTIF($RK94:$RN94,"Inescapável")&gt;0,OR($OU94&gt;1,$OV94&gt;0)),"Inescapável não aceita outra peça",""),IF(AND($MS94&gt;0,$PD94*IF(COUNTIF($RK94:$RN94,"Remate")&gt;0,1.25,1)+$PE94&gt;4*$MS94),($PD94*IF(COUNTIF($RK94:$RN94,"Remate")&gt;0,1.25,1)+$PE94)&amp;" dados somando repetições"&amp;IF(COUNTIF($RK94:$RN94,"Remate")&gt;0," e o Remate","")&amp;": o teto da Classe "&amp;$MS94&amp;" é "&amp;4*$MS94,""))),IF(AND($MX94&lt;&gt;"",COUNTIF('DADOS_MELHORIAS'!$O$2:$O$113,SUBSTITUTE(SUBSTITUTE(SUBSTITUTE($MX94,"~","~~"),"*","~*"),"?","~?"))=0),"Melhoria não cadastrada ou com erro: "&amp;$MX94,""),IF(AND($MY94&lt;&gt;"",COUNTIF('DADOS_MELHORIAS'!$O$2:$O$113,SUBSTITUTE(SUBSTITUTE(SUBSTITUTE($MY94,"~","~~"),"*","~*"),"?","~?"))=0),"Melhoria não cadastrada ou com erro: "&amp;$MY94,""),IF(AND($MZ94&lt;&gt;"",COUNTIF('DADOS_MELHORIAS'!$O$2:$O$113,SUBSTITUTE(SUBSTITUTE(SUBSTITUTE($MZ94,"~","~~"),"*","~*"),"?","~?"))=0),"Melhoria não cadastrada ou com erro: "&amp;$MZ94,""),IF(AND($NA94&lt;&gt;"",COUNTIF('DADOS_MELHORIAS'!$O$2:$O$113,SUBSTITUTE(SUBSTITUTE(SUBSTITUTE($NA94,"~","~~"),"*","~*"),"?","~?"))=0),"Melhoria não cadastrada ou com erro: "&amp;$NA94,""),IF(AND($NB94&lt;&gt;"",COUNTIF('DADOS_RESTRICOES'!$M$2:$M$54,SUBSTITUTE(SUBSTITUTE(SUBSTITUTE($NB94,"~","~~"),"*","~*"),"?","~?"))=0),"Restrição não cadastrada ou com erro: "&amp;$NB94,""),IF(AND($NC94&lt;&gt;"",COUNTIF('DADOS_RESTRICOES'!$M$2:$M$54,SUBSTITUTE(SUBSTITUTE(SUBSTITUTE($NC94,"~","~~"),"*","~*"),"?","~?"))=0),"Restrição não cadastrada ou com erro: "&amp;$NC94,""))),IF(AND($MU94&lt;&gt;"",COUNTIF('DADOS_FORMAS'!$AH$2:$AH$21,SUBSTITUTE(SUBSTITUTE(SUBSTITUTE($MU94,"~","~~"),"*","~*"),"?","~?"))=0),"Forma não cadastrada ou com erro: "&amp;$MU94,""),IF(AND(IFERROR(INDEX('DADOS_FORMAS'!$AS$2:$AS$21,MATCH(SUBSTITUTE(SUBSTITUTE(SUBSTITUTE($MU94,"~","~~"),"*","~*"),"?","~?"),'DADOS_FORMAS'!$AH$2:$AH$21,0)),"")&lt;&gt;"",OR(IFERROR(VLOOKUP(SUBSTITUTE(SUBSTITUTE(SUBSTITUTE(IFERROR(INDEX('DADOS_FORMAS'!$AS$2:$AS$21,MATCH(SUBSTITUTE(SUBSTITUTE(SUBSTITUTE($MU94,"~","~~"),"*","~*"),"?","~?"),'DADOS_FORMAS'!$AH$2:$AH$21,0)),""),"~","~~"),"*","~*"),"?","~?"),'DADOS_RESTRICOES'!$M$2:$Q$54,2,FALSE),"")=$OK94,IFERROR(VLOOKUP(SUBSTITUTE(SUBSTITUTE(SUBSTITUTE(IFERROR(INDEX('DADOS_FORMAS'!$AS$2:$AS$21,MATCH(SUBSTITUTE(SUBSTITUTE(SUBSTITUTE($MU94,"~","~~"),"*","~*"),"?","~?"),'DADOS_FORMAS'!$AH$2:$AH$21,0)),""),"~","~~"),"*","~*"),"?","~?"),'DADOS_RESTRICOES'!$M$2:$Q$54,2,FALSE),"")=$OL94)),"Restrição repetida, contando a embutida",""),IF(IF(IFERROR(INDEX('DADOS_FORMAS'!$AS$2:$AS$21,MATCH(SUBSTITUTE(SUBSTITUTE(SUBSTITUTE($MU94,"~","~~"),"*","~*"),"?","~?"),'DADOS_FORMAS'!$AH$2:$AH$21,0)),"")="",0,IFERROR(N(VLOOKUP(SUBSTITUTE(SUBSTITUTE(SUBSTITUTE(IFERROR(INDEX('DADOS_FORMAS'!$AS$2:$AS$21,MATCH(SUBSTITUTE(SUBSTITUTE(SUBSTITUTE($MU94,"~","~~"),"*","~*"),"?","~?"),'DADOS_FORMAS'!$AH$2:$AH$21,0)),""),"~","~~"),"*","~*"),"?","~?"),'DADOS_RESTRICOES'!$M$2:$Q$54,4,FALSE)=1),0))+IF($NB94="",0,IFERROR(N(VLOOKUP(SUBSTITUTE(SUBSTITUTE(SUBSTITUTE($NB94,"~","~~"),"*","~*"),"?","~?"),'DADOS_RESTRICOES'!$M$2:$Q$54,4,FALSE)=1),0))+IF($NC94="",0,IFERROR(N(VLOOKUP(SUBSTITUTE(SUBSTITUTE(SUBSTITUTE($NC94,"~","~~"),"*","~*"),"?","~?"),'DADOS_RESTRICOES'!$M$2:$Q$54,4,FALSE)=1),0))&gt;1,"Duas Restrições de frequência, contando a embutida",""),IF(AND(IFERROR(VLOOKUP(SUBSTITUTE(SUBSTITUTE(SUBSTITUTE(IFERROR(INDEX('DADOS_FORMAS'!$AS$2:$AS$21,MATCH(SUBSTITUTE(SUBSTITUTE(SUBSTITUTE($MU94,"~","~~"),"*","~*"),"?","~?"),'DADOS_FORMAS'!$AH$2:$AH$21,0)),""),"~","~~"),"*","~*"),"?","~?"),'DADOS_RESTRICOES'!$M$2:$Q$54,2,FALSE),"")="Tudo ou Nada",$OH94=0),"Tudo ou Nada exige TR",""),IF(AND(IFERROR(VLOOKUP(SUBSTITUTE(SUBSTITUTE(SUBSTITUTE(IFERROR(INDEX('DADOS_FORMAS'!$AS$2:$AS$21,MATCH(SUBSTITUTE(SUBSTITUTE(SUBSTITUTE($MU94,"~","~~"),"*","~*"),"?","~?"),'DADOS_FORMAS'!$AH$2:$AH$21,0)),""),"~","~~"),"*","~*"),"?","~?"),'DADOS_RESTRICOES'!$M$2:$Q$54,2,FALSE),"")="Corpo a Corpo",OR($RO94="Cone",$RO94="Linha")),"Corpo a Corpo não entra em Cone/Linha","")))</f>
        <v/>
      </c>
      <c r="PU94" s="164">
        <f>IF($PT94="",0,(LEN($PT94)-LEN(SUBSTITUTE($PT94," · ","")))/3+1)</f>
        <v/>
      </c>
      <c r="PV94" s="164">
        <f>IF($ND94=0,"",TEXTJOIN(" · ",TRUE,IF($OX94&gt;2*$MS94,"A devolução parou no teto de "&amp;2*$MS94,""),IF($PA94&gt;0,"Devolução perdida: "&amp;$PA94&amp;IF($PA94&gt;1," pontos"," ponto")&amp;" sem Melhoria para pagar",""),IF(AND($OC94&gt;0,AND($MS94&gt;0,$OG94=0),$PD94=0),"Controle sem dano: uma rodada a mais e CD +2",""),IF(AND($OC94&gt;0,AND($MS94&gt;0,$OG94=0),$PD94&gt;0,$PD94&lt;=$MS94),"Controle com saldo até a Classe: uma rodada a mais",""),IF(AND($MS94&gt;0,$OE94&lt;&gt;""),"Efeito de "&amp;$OE94&amp;" pela Classe "&amp;MAX(1,$MS94-1),"")))</f>
        <v/>
      </c>
      <c r="PW94" s="164">
        <f>IF($PV94="",0,(LEN($PV94)-LEN(SUBSTITUTE($PV94," · ","")))/3+1)</f>
        <v/>
      </c>
      <c r="PX94" s="164">
        <f>IF($ND94=0,IF($OU94+COUNTIF($NB94:$NC94,"?*")&gt;0,"Dê um nome",""),IF($PU94&gt;0,"⚠ "&amp;$PU94&amp;IF($PU94&gt;1," erros"," erro"),IF($PW94&gt;0,"! "&amp;$PW94&amp;IF($PW94&gt;1," avisos"," aviso"),"Na regra")))</f>
        <v/>
      </c>
      <c r="PY94" s="164">
        <f>IF($ND94=0,"",IF($PU94+$PW94=0,"Dentro das regras que a ficha confere",$PT94&amp;IF(AND($PU94&gt;0,$PW94&gt;0)," · ","")&amp;$PV94))</f>
        <v/>
      </c>
      <c r="PZ94" s="164">
        <f>IF($MQ94&gt;$NE94,$MR94&amp;" · ABRE NO NÍVEL "&amp;$MQ94,$MR94)</f>
        <v/>
      </c>
      <c r="QA94" s="164">
        <f>IF($ND94=0,"",IF($MS94=0,"Sem PE",3*$MS94&amp;" PE"))</f>
        <v/>
      </c>
      <c r="QB94" s="164">
        <f>IF($ND94=0,"",IF($MS94=0,"A atuação básica dela",IF(COUNTIF($RQ94:$RS94,"Atrasar")&gt;0,"Sua Ação Completa",IF(COUNTIF($RK94:$RN94,"Rápido")&gt;0,"Sua Bônus",IF(COUNTIF($RK94:$RN94,"Reação")&gt;0,"Sua Reação","Sua Padrão")))&amp;" + a básica dela"&amp;IF(COUNTIF($RK94:$RN94,"Reação")&gt;0," e a coletiva","")&amp;IF(COUNTIF($RQ94:$RS94,"Carregar")&gt;0," · em dois turnos","")))</f>
        <v/>
      </c>
      <c r="QC94" s="164">
        <f>IF($MW94&lt;&gt;"",$MW94,IF($NJ94=0,"",INDEX('DADOS_FORMAS'!$GE$2:$GE$21,$NJ94)))</f>
        <v/>
      </c>
      <c r="QD94" s="164">
        <f>IF(OR($ND94=0,$NJ94=0),"",IF(COUNTIF($RK94:$RN94,"Inescapável")&gt;0,"Automático",IF($QC94="Ataque",IF($NH94="","Ataque","Ataque "&amp;IF(($NH94+2*IF(COUNTIF($RK94:$RN94,"Precisão")&gt;0,1,0))&gt;=0,"+","−")&amp;ABS(($NH94+2*IF(COUNTIF($RK94:$RN94,"Precisão")&gt;0,1,0))))&amp;IF($OD94&gt;0," · TR"&amp;IF($NI94="",""," CD "&amp;$NI94),""),IF(LEFT($QC94,2)="TR",$QC94&amp;IF($NI94="",""," · CD "&amp;$NI94)&amp;IF(COUNTIF($RK94:$RN94,"Certeiro")&gt;0," · metade",""),"Sem rolagem"))))</f>
        <v/>
      </c>
      <c r="QE94" s="164">
        <f>IF(OR($ND94=0,$NJ94=0),"",IF($MS94=0,IF(OR($OG94&gt;=1,$PD94=0),"Sem dano",$PD94&amp;"d6"&amp;IF($MV94="",""," "&amp;$MV94)),IF(OR($OG94&gt;=1,$PD94=0),UPPER(LEFT(INDEX($PM94:$PS94,1,MAX(1,$MS94)),1))&amp;MID(INDEX($PM94:$PS94,1,MAX(1,$MS94)),2,99),UPPER(LEFT(INDEX($PM94:$PS94,1,MAX(1,$MS94)),1))&amp;MID(INDEX($PM94:$PS94,1,MAX(1,$MS94)),2,99)&amp;IF($MV94="",""," "&amp;$MV94)&amp;IF($PE94&gt;0," · +"&amp;$PE94&amp;"d8",""))))</f>
        <v/>
      </c>
      <c r="QF94" s="164">
        <f>COUNTIF($RK94:$RN94,"Longe")+3*COUNTIF($RK94:$RN94,"Muito Longe")</f>
        <v/>
      </c>
      <c r="QG94" s="164">
        <f>COUNTIF($RK94:$RN94,"Maior")+3*COUNTIF($RK94:$RN94,"Muito Maior")</f>
        <v/>
      </c>
      <c r="QH94" s="164">
        <f>IF($NJ94=0,0,CHOOSE(1+INDEX('DADOS_FORMAS'!$GG$2:$GG$21,$NJ94),0,$QF94,$QG94,$QF94+$QG94))</f>
        <v/>
      </c>
      <c r="QI94" s="164">
        <f>IF($NJ94=0,0,CHOOSE(1+INDEX('DADOS_FORMAS'!$GH$2:$GH$21,$NJ94),0,$QF94,$QG94,$QF94+$QG94))</f>
        <v/>
      </c>
      <c r="QJ94" s="164">
        <f>IF(OR($ND94=0,$NJ94=0),"",INDEX('DADOS_FORMAS'!$HU$2:$HZ$81,($NJ94-1)*4+IF($MS94=0,1,IF($MS94&lt;=5,2,IF($MS94=6,3,4))),1+MIN(5,$QH94))&amp;INDEX('DADOS_FORMAS'!$IA$2:$IF$81,($NJ94-1)*4+IF($MS94=0,1,IF($MS94&lt;=5,2,IF($MS94=6,3,4))),1+MIN(5,$QI94))&amp;IF(INDEX('DADOS_FORMAS'!$GI$2:$GI$21,$NJ94)=1,IF(COUNTIF($RK94:$RN94,"Mais Um")&gt;0," · +"&amp;COUNTIF($RK94:$RN94,"Mais Um")&amp;IF(COUNTIF($RK94:$RN94,"Mais Um")&gt;1," alvos"," alvo"),"")&amp;IF(COUNTIF($RK94:$RN94,"Rajada")&gt;0,IF($MS94=0," · 1 tiro"," · "&amp;(MAX(1,$MS94-1)+1)&amp;" tiros"),""),""))</f>
        <v/>
      </c>
      <c r="QK94" s="164">
        <f>IF($ND94=0,"",IF($MS94=0,$NG94&amp;"d6"&amp;IF($OU94&gt;0," − 1 = "&amp;$PD94&amp;"d6"," da básica do nível "&amp;$NE94),$PB94&amp;" − "&amp;$OW94&amp;" + "&amp;$OZ94&amp;" = "&amp;$PC94&amp;" · teto "&amp;4*$MS94&amp;"d8"&amp;IF($OF94=1," · a Forma devolve "&amp;$MS94,"")&amp;IF($PA94&gt;0," · perde "&amp;$PA94,"")))</f>
        <v/>
      </c>
      <c r="QL94" s="164">
        <f>IF($ND94=0,"",IF($MS94=0,"A básica não amplia: os dados dela sobem com o nível",IF($MS94&gt;=$NF94,"Já está na maior Classe que o nível liberou",TEXTJOIN(" · ",TRUE,IF(AND(2&gt;$MS94,2&lt;=$NF94),"2 → "&amp;$PN94&amp;", 6 PE",""),IF(AND(3&gt;$MS94,3&lt;=$NF94),"3 → "&amp;$PO94&amp;", 9 PE",""),IF(AND(4&gt;$MS94,4&lt;=$NF94),"4 → "&amp;$PP94&amp;", 12 PE",""),IF(AND(5&gt;$MS94,5&lt;=$NF94),"5 → "&amp;$PQ94&amp;", 15 PE",""),IF(AND(6&gt;$MS94,6&lt;=$NF94),"6 → "&amp;$PR94&amp;", 18 PE",""),IF(AND(7&gt;$MS94,7&lt;=$NF94),"7 → "&amp;$PS94&amp;", 21 PE","")))))</f>
        <v/>
      </c>
      <c r="QM94" s="164">
        <f>IF(OR($ND94=0,$NO94=0),"",IF($MS94=0,"−1 dado","−"&amp;INDEX($I$2:$N$8,MAX(1,$MS94),MAX(1,$NT94))&amp;" · "&amp;CHOOSE(MAX(1,$NT94),"Leve","Média","Pesada","Leve · Livre","Média · Livre","Pesada · Livre")))</f>
        <v/>
      </c>
      <c r="QN94" s="164">
        <f>IF(OR($ND94=0,$NP94=0),"",IF($MS94=0,"−1 dado","−"&amp;INDEX($I$2:$N$8,MAX(1,$MS94),MAX(1,$NU94))&amp;" · "&amp;CHOOSE(MAX(1,$NU94),"Leve","Média","Pesada","Leve · Livre","Média · Livre","Pesada · Livre")))</f>
        <v/>
      </c>
      <c r="QO94" s="164">
        <f>IF(OR($ND94=0,$NQ94=0),"",IF($MS94=0,"−1 dado","−"&amp;INDEX($I$2:$N$8,MAX(1,$MS94),MAX(1,$NV94))&amp;" · "&amp;CHOOSE(MAX(1,$NV94),"Leve","Média","Pesada","Leve · Livre","Média · Livre","Pesada · Livre")))</f>
        <v/>
      </c>
      <c r="QP94" s="164">
        <f>IF(OR($ND94=0,$NR94=0),"",IF($MS94=0,"−1 dado","−"&amp;INDEX($I$2:$N$8,MAX(1,$MS94),MAX(1,$NW94))&amp;" · "&amp;CHOOSE(MAX(1,$NW94),"Leve","Média","Pesada","Leve · Livre","Média · Livre","Pesada · Livre")))</f>
        <v/>
      </c>
      <c r="QQ94" s="164">
        <f>IF(OR($ND94=0,$NB94=""),"",IF($MS94=0,"não devolve","+"&amp;IF($OI94=1,CEILING($MS94/2,1),$MS94)))</f>
        <v/>
      </c>
      <c r="QR94" s="164">
        <f>IF(OR($ND94=0,$NC94=""),"",IF($MS94=0,"não devolve","+"&amp;IF($OJ94=1,CEILING($MS94/2,1),$MS94)))</f>
        <v/>
      </c>
      <c r="RK94">
        <f>IF($MX94="","",IFERROR(VLOOKUP(SUBSTITUTE(SUBSTITUTE(SUBSTITUTE($MX94,"~","~~"),"*","~*"),"?","~?"),'DADOS_MELHORIAS'!$O$2:$X$113,10,FALSE),$MX94))</f>
        <v/>
      </c>
      <c r="RL94">
        <f>IF($MY94="","",IFERROR(VLOOKUP(SUBSTITUTE(SUBSTITUTE(SUBSTITUTE($MY94,"~","~~"),"*","~*"),"?","~?"),'DADOS_MELHORIAS'!$O$2:$X$113,10,FALSE),$MY94))</f>
        <v/>
      </c>
      <c r="RM94">
        <f>IF($MZ94="","",IFERROR(VLOOKUP(SUBSTITUTE(SUBSTITUTE(SUBSTITUTE($MZ94,"~","~~"),"*","~*"),"?","~?"),'DADOS_MELHORIAS'!$O$2:$X$113,10,FALSE),$MZ94))</f>
        <v/>
      </c>
      <c r="RN94">
        <f>IF($NA94="","",IFERROR(VLOOKUP(SUBSTITUTE(SUBSTITUTE(SUBSTITUTE($NA94,"~","~~"),"*","~*"),"?","~?"),'DADOS_MELHORIAS'!$O$2:$X$113,10,FALSE),$NA94))</f>
        <v/>
      </c>
      <c r="RO94">
        <f>IFERROR(INDEX('DADOS_FORMAS'!$BJ$2:$BJ$21,MATCH(SUBSTITUTE(SUBSTITUTE(SUBSTITUTE($MU94,"~","~~"),"*","~*"),"?","~?"),'DADOS_FORMAS'!$AH$2:$AH$21,0)),"")</f>
        <v/>
      </c>
      <c r="RP94">
        <f>IFERROR(VLOOKUP(SUBSTITUTE(SUBSTITUTE(SUBSTITUTE(IFERROR(INDEX('DADOS_FORMAS'!$AS$2:$AS$21,MATCH(SUBSTITUTE(SUBSTITUTE(SUBSTITUTE($MU94,"~","~~"),"*","~*"),"?","~?"),'DADOS_FORMAS'!$AH$2:$AH$21,0)),""),"~","~~"),"*","~*"),"?","~?"),'DADOS_RESTRICOES'!$M$2:$Q$54,2,FALSE),"")</f>
        <v/>
      </c>
      <c r="RQ94">
        <f>$OK94</f>
        <v/>
      </c>
      <c r="RR94">
        <f>$OL94</f>
        <v/>
      </c>
      <c r="RS94">
        <f>$RP94</f>
        <v/>
      </c>
    </row>
    <row r="95">
      <c r="MN95" s="162" t="inlineStr">
        <is>
          <t>Ficha 8 · Especial 2</t>
        </is>
      </c>
      <c r="MO95" s="164" t="n">
        <v>8</v>
      </c>
      <c r="MP95" s="164" t="n">
        <v>1</v>
      </c>
      <c r="MQ95" s="164" t="n">
        <v>4</v>
      </c>
      <c r="MR95" s="162" t="inlineStr">
        <is>
          <t>ESPECIAL 2</t>
        </is>
      </c>
      <c r="MS95" s="164">
        <f>MAX(1,MIN(7,N('INVOCAÇÕES'!$AN$282)))</f>
        <v/>
      </c>
      <c r="MT95" s="164">
        <f>'INVOCAÇÕES'!$AO$282&amp;""</f>
        <v/>
      </c>
      <c r="MU95" s="164">
        <f>'INVOCAÇÕES'!$AN$287&amp;""</f>
        <v/>
      </c>
      <c r="MV95" s="164">
        <f>'INVOCAÇÕES'!$AN$288&amp;""</f>
        <v/>
      </c>
      <c r="MW95" s="164">
        <f>'INVOCAÇÕES'!$AP$288&amp;""</f>
        <v/>
      </c>
      <c r="MX95" s="164">
        <f>'INVOCAÇÕES'!$AO$291&amp;""</f>
        <v/>
      </c>
      <c r="MY95" s="164">
        <f>'INVOCAÇÕES'!$AO$292&amp;""</f>
        <v/>
      </c>
      <c r="MZ95" s="164">
        <f>'INVOCAÇÕES'!$AO$293&amp;""</f>
        <v/>
      </c>
      <c r="NA95" s="164">
        <f>'INVOCAÇÕES'!$AO$294&amp;""</f>
        <v/>
      </c>
      <c r="NB95" s="164">
        <f>'INVOCAÇÕES'!$AO$295&amp;""</f>
        <v/>
      </c>
      <c r="NC95" s="164">
        <f>'INVOCAÇÕES'!$AO$296&amp;""</f>
        <v/>
      </c>
      <c r="ND95" s="164">
        <f>IF($MT95&lt;&gt;"",1,0)</f>
        <v/>
      </c>
      <c r="NE95" s="164">
        <f>INDEX($FO$2:$FO$13,$MO95)</f>
        <v/>
      </c>
      <c r="NF95" s="164">
        <f>INDEX($FP$2:$FP$13,$MO95)</f>
        <v/>
      </c>
      <c r="NG95" s="164">
        <f>INDEX($FQ$2:$FQ$13,$MO95)</f>
        <v/>
      </c>
      <c r="NH95" s="164">
        <f>INDEX($GB$2:$GB$13,$MO95)</f>
        <v/>
      </c>
      <c r="NI95" s="164">
        <f>INDEX($GC$2:$GC$13,$MO95)</f>
        <v/>
      </c>
      <c r="NJ95" s="164">
        <f>IFERROR(MATCH(SUBSTITUTE(SUBSTITUTE(SUBSTITUTE($MU95,"~","~~"),"*","~*"),"?","~?"),'DADOS_FORMAS'!$FZ$2:$FZ$21,0),0)</f>
        <v/>
      </c>
      <c r="NK95" s="164">
        <f>IFERROR(VLOOKUP(SUBSTITUTE(SUBSTITUTE(SUBSTITUTE($MX95,"~","~~"),"*","~*"),"?","~?"),'DADOS_MELHORIAS'!$AG$2:$AL$113,2,FALSE),"")</f>
        <v/>
      </c>
      <c r="NL95" s="164">
        <f>IFERROR(VLOOKUP(SUBSTITUTE(SUBSTITUTE(SUBSTITUTE($MY95,"~","~~"),"*","~*"),"?","~?"),'DADOS_MELHORIAS'!$AG$2:$AL$113,2,FALSE),"")</f>
        <v/>
      </c>
      <c r="NM95" s="164">
        <f>IFERROR(VLOOKUP(SUBSTITUTE(SUBSTITUTE(SUBSTITUTE($MZ95,"~","~~"),"*","~*"),"?","~?"),'DADOS_MELHORIAS'!$AG$2:$AL$113,2,FALSE),"")</f>
        <v/>
      </c>
      <c r="NN95" s="164">
        <f>IFERROR(VLOOKUP(SUBSTITUTE(SUBSTITUTE(SUBSTITUTE($NA95,"~","~~"),"*","~*"),"?","~?"),'DADOS_MELHORIAS'!$AG$2:$AL$113,2,FALSE),"")</f>
        <v/>
      </c>
      <c r="NO95" s="164">
        <f>IFERROR(VLOOKUP(SUBSTITUTE(SUBSTITUTE(SUBSTITUTE($MX95,"~","~~"),"*","~*"),"?","~?"),'DADOS_MELHORIAS'!$AG$2:$AL$113,3,FALSE),0)</f>
        <v/>
      </c>
      <c r="NP95" s="164">
        <f>IFERROR(VLOOKUP(SUBSTITUTE(SUBSTITUTE(SUBSTITUTE($MY95,"~","~~"),"*","~*"),"?","~?"),'DADOS_MELHORIAS'!$AG$2:$AL$113,3,FALSE),0)</f>
        <v/>
      </c>
      <c r="NQ95" s="164">
        <f>IFERROR(VLOOKUP(SUBSTITUTE(SUBSTITUTE(SUBSTITUTE($MZ95,"~","~~"),"*","~*"),"?","~?"),'DADOS_MELHORIAS'!$AG$2:$AL$113,3,FALSE),0)</f>
        <v/>
      </c>
      <c r="NR95" s="164">
        <f>IFERROR(VLOOKUP(SUBSTITUTE(SUBSTITUTE(SUBSTITUTE($NA95,"~","~~"),"*","~*"),"?","~?"),'DADOS_MELHORIAS'!$AG$2:$AL$113,3,FALSE),0)</f>
        <v/>
      </c>
      <c r="NS95" s="164">
        <f>IF($MS95=0,0,IF($NJ95=0,0,INDEX('DADOS_FORMAS'!$GB$2:$GB$21,$NJ95)))</f>
        <v/>
      </c>
      <c r="NT95" s="164">
        <f>IF(OR($NO95=0,$MS95=0),0,$NO95+3*IF(AND($NK95&lt;&gt;"",COUNTIF(INDEX($RB$2:$RJ$13,$MO95,0),$NK95)&gt;0),1,0))</f>
        <v/>
      </c>
      <c r="NU95" s="164">
        <f>IF(OR($NP95=0,$MS95=0),0,$NP95+3*IF(AND($NL95&lt;&gt;"",COUNTIF(INDEX($RB$2:$RJ$13,$MO95,0),$NL95)&gt;0),1,0))</f>
        <v/>
      </c>
      <c r="NV95" s="164">
        <f>IF(OR($NQ95=0,$MS95=0),0,$NQ95+3*IF(AND($NM95&lt;&gt;"",COUNTIF(INDEX($RB$2:$RJ$13,$MO95,0),$NM95)&gt;0),1,0))</f>
        <v/>
      </c>
      <c r="NW95" s="164">
        <f>IF(OR($NR95=0,$MS95=0),0,$NR95+3*IF(AND($NN95&lt;&gt;"",COUNTIF(INDEX($RB$2:$RJ$13,$MO95,0),$NN95)&gt;0),1,0))</f>
        <v/>
      </c>
      <c r="NX95" s="164">
        <f>IF($NJ95=0,0,IF(INDEX('DADOS_FORMAS'!$GA$2:$GA$21,$NJ95)="",0,IF((COUNTIF(INDEX($EL$2:$EP$13,$MO95,0),INDEX('DADOS_FORMAS'!$GA$2:$GA$21,$NJ95))+COUNTIF(INDEX($QV$2:$QY$13,$MO95,0),INDEX('DADOS_FORMAS'!$GA$2:$GA$21,$NJ95)))=0,1,0)))</f>
        <v/>
      </c>
      <c r="NY95" s="164">
        <f>IF(OR($NO95=0,$NK95=""),0,IF((COUNTIF(INDEX($EL$2:$EP$13,$MO95,0),$NK95)+COUNTIF(INDEX($QV$2:$QY$13,$MO95,0),$NK95))=0,1,0))</f>
        <v/>
      </c>
      <c r="NZ95" s="164">
        <f>IF(OR($NP95=0,$NL95=""),0,IF((COUNTIF(INDEX($EL$2:$EP$13,$MO95,0),$NL95)+COUNTIF(INDEX($QV$2:$QY$13,$MO95,0),$NL95))=0,1,0))</f>
        <v/>
      </c>
      <c r="OA95" s="164">
        <f>IF(OR($NQ95=0,$NM95=""),0,IF((COUNTIF(INDEX($EL$2:$EP$13,$MO95,0),$NM95)+COUNTIF(INDEX($QV$2:$QY$13,$MO95,0),$NM95))=0,1,0))</f>
        <v/>
      </c>
      <c r="OB95" s="164">
        <f>IF(OR($NR95=0,$NN95=""),0,IF((COUNTIF(INDEX($EL$2:$EP$13,$MO95,0),$NN95)+COUNTIF(INDEX($QV$2:$QY$13,$MO95,0),$NN95))=0,1,0))</f>
        <v/>
      </c>
      <c r="OC95" s="164">
        <f>IFERROR(VLOOKUP(SUBSTITUTE(SUBSTITUTE(SUBSTITUTE($MX95,"~","~~"),"*","~*"),"?","~?"),'DADOS_MELHORIAS'!$AG$2:$AL$113,4,FALSE),0)+IFERROR(VLOOKUP(SUBSTITUTE(SUBSTITUTE(SUBSTITUTE($MY95,"~","~~"),"*","~*"),"?","~?"),'DADOS_MELHORIAS'!$AG$2:$AL$113,4,FALSE),0)+IFERROR(VLOOKUP(SUBSTITUTE(SUBSTITUTE(SUBSTITUTE($MZ95,"~","~~"),"*","~*"),"?","~?"),'DADOS_MELHORIAS'!$AG$2:$AL$113,4,FALSE),0)+IFERROR(VLOOKUP(SUBSTITUTE(SUBSTITUTE(SUBSTITUTE($NA95,"~","~~"),"*","~*"),"?","~?"),'DADOS_MELHORIAS'!$AG$2:$AL$113,4,FALSE),0)</f>
        <v/>
      </c>
      <c r="OD95" s="164">
        <f>IFERROR(VLOOKUP(SUBSTITUTE(SUBSTITUTE(SUBSTITUTE($MX95,"~","~~"),"*","~*"),"?","~?"),'DADOS_MELHORIAS'!$AG$2:$AL$113,6,FALSE),0)+IFERROR(VLOOKUP(SUBSTITUTE(SUBSTITUTE(SUBSTITUTE($MY95,"~","~~"),"*","~*"),"?","~?"),'DADOS_MELHORIAS'!$AG$2:$AL$113,6,FALSE),0)+IFERROR(VLOOKUP(SUBSTITUTE(SUBSTITUTE(SUBSTITUTE($MZ95,"~","~~"),"*","~*"),"?","~?"),'DADOS_MELHORIAS'!$AG$2:$AL$113,6,FALSE),0)+IFERROR(VLOOKUP(SUBSTITUTE(SUBSTITUTE(SUBSTITUTE($NA95,"~","~~"),"*","~*"),"?","~?"),'DADOS_MELHORIAS'!$AG$2:$AL$113,6,FALSE),0)+IFERROR(N(AND(INDEX('DADOS_FORMAS'!$AO$2:$AO$21,MATCH(SUBSTITUTE(SUBSTITUTE(SUBSTITUTE($MU95,"~","~~"),"*","~*"),"?","~?"),'DADOS_FORMAS'!$AH$2:$AH$21,0))="Acerto",$OH95=1)),0)</f>
        <v/>
      </c>
      <c r="OE95" s="164">
        <f>TEXTJOIN(", ",TRUE,IF(IFERROR(VLOOKUP(SUBSTITUTE(SUBSTITUTE(SUBSTITUTE($MX95,"~","~~"),"*","~*"),"?","~?"),'DADOS_MELHORIAS'!$AG$2:$AL$113,5,FALSE),0)=1,$MX95,""),IF(IFERROR(VLOOKUP(SUBSTITUTE(SUBSTITUTE(SUBSTITUTE($MY95,"~","~~"),"*","~*"),"?","~?"),'DADOS_MELHORIAS'!$AG$2:$AL$113,5,FALSE),0)=1,$MY95,""),IF(IFERROR(VLOOKUP(SUBSTITUTE(SUBSTITUTE(SUBSTITUTE($MZ95,"~","~~"),"*","~*"),"?","~?"),'DADOS_MELHORIAS'!$AG$2:$AL$113,5,FALSE),0)=1,$MZ95,""),IF(IFERROR(VLOOKUP(SUBSTITUTE(SUBSTITUTE(SUBSTITUTE($NA95,"~","~~"),"*","~*"),"?","~?"),'DADOS_MELHORIAS'!$AG$2:$AL$113,5,FALSE),0)=1,$NA95,""))</f>
        <v/>
      </c>
      <c r="OF95" s="164">
        <f>IF($NJ95=0,0,INDEX('DADOS_FORMAS'!$GC$2:$GC$21,$NJ95))</f>
        <v/>
      </c>
      <c r="OG95" s="164">
        <f>IF($NJ95=0,0,INDEX('DADOS_FORMAS'!$GD$2:$GD$21,$NJ95))</f>
        <v/>
      </c>
      <c r="OH95" s="164">
        <f>IF($NJ95=0,0,INDEX('DADOS_FORMAS'!$GF$2:$GF$21,$NJ95))</f>
        <v/>
      </c>
      <c r="OI95" s="164">
        <f>IFERROR(VLOOKUP(SUBSTITUTE(SUBSTITUTE(SUBSTITUTE($NB95,"~","~~"),"*","~*"),"?","~?"),'DADOS_RESTRICOES'!$M$2:$Q$54,3,FALSE),0)</f>
        <v/>
      </c>
      <c r="OJ95" s="164">
        <f>IFERROR(VLOOKUP(SUBSTITUTE(SUBSTITUTE(SUBSTITUTE($NC95,"~","~~"),"*","~*"),"?","~?"),'DADOS_RESTRICOES'!$M$2:$Q$54,3,FALSE),0)</f>
        <v/>
      </c>
      <c r="OK95" s="164">
        <f>IFERROR(VLOOKUP(SUBSTITUTE(SUBSTITUTE(SUBSTITUTE($NB95,"~","~~"),"*","~*"),"?","~?"),'DADOS_RESTRICOES'!$M$2:$Q$54,2,FALSE),"")</f>
        <v/>
      </c>
      <c r="OL95" s="164">
        <f>IFERROR(VLOOKUP(SUBSTITUTE(SUBSTITUTE(SUBSTITUTE($NC95,"~","~~"),"*","~*"),"?","~?"),'DADOS_RESTRICOES'!$M$2:$Q$54,2,FALSE),"")</f>
        <v/>
      </c>
      <c r="OM95" s="164">
        <f>COUNTIF($NS95:$NW95,1)</f>
        <v/>
      </c>
      <c r="ON95" s="164">
        <f>COUNTIF($NS95:$NW95,2)</f>
        <v/>
      </c>
      <c r="OO95" s="164">
        <f>COUNTIF($NS95:$NW95,3)</f>
        <v/>
      </c>
      <c r="OP95" s="164">
        <f>COUNTIF($NS95:$NW95,4)</f>
        <v/>
      </c>
      <c r="OQ95" s="164">
        <f>COUNTIF($NS95:$NW95,5)</f>
        <v/>
      </c>
      <c r="OR95" s="164">
        <f>COUNTIF($NS95:$NW95,6)</f>
        <v/>
      </c>
      <c r="OS95" s="164">
        <f>COUNTIF($OI95:$OJ95,1)+IF(IFERROR(INDEX('DADOS_FORMAS'!$AS$2:$AS$21,MATCH(SUBSTITUTE(SUBSTITUTE(SUBSTITUTE($MU95,"~","~~"),"*","~*"),"?","~?"),'DADOS_FORMAS'!$AH$2:$AH$21,0)),"")="",0,IFERROR(N(VLOOKUP(SUBSTITUTE(SUBSTITUTE(SUBSTITUTE(IFERROR(INDEX('DADOS_FORMAS'!$AS$2:$AS$21,MATCH(SUBSTITUTE(SUBSTITUTE(SUBSTITUTE($MU95,"~","~~"),"*","~*"),"?","~?"),'DADOS_FORMAS'!$AH$2:$AH$21,0)),""),"~","~~"),"*","~*"),"?","~?"),'DADOS_RESTRICOES'!$M$2:$Q$54,3,FALSE)=1),0))</f>
        <v/>
      </c>
      <c r="OT95" s="164">
        <f>COUNTIF($OI95:$OJ95,2)+IF(IFERROR(INDEX('DADOS_FORMAS'!$AS$2:$AS$21,MATCH(SUBSTITUTE(SUBSTITUTE(SUBSTITUTE($MU95,"~","~~"),"*","~*"),"?","~?"),'DADOS_FORMAS'!$AH$2:$AH$21,0)),"")="",0,IFERROR(N(VLOOKUP(SUBSTITUTE(SUBSTITUTE(SUBSTITUTE(IFERROR(INDEX('DADOS_FORMAS'!$AS$2:$AS$21,MATCH(SUBSTITUTE(SUBSTITUTE(SUBSTITUTE($MU95,"~","~~"),"*","~*"),"?","~?"),'DADOS_FORMAS'!$AH$2:$AH$21,0)),""),"~","~~"),"*","~*"),"?","~?"),'DADOS_RESTRICOES'!$M$2:$Q$54,3,FALSE)=2),0))</f>
        <v/>
      </c>
      <c r="OU95" s="164">
        <f>COUNTIF($MX95:$NA95,"?*")</f>
        <v/>
      </c>
      <c r="OV95" s="164">
        <f>COUNTIF($NB95:$NC95,"?*")+$OF95</f>
        <v/>
      </c>
      <c r="OW95" s="164">
        <f>IF($MS95=0,0,SUMPRODUCT($OM95:$OR95,INDEX($I$2:$N$8,MAX(1,$MS95),0)))</f>
        <v/>
      </c>
      <c r="OX95" s="164">
        <f>IF($MS95=0,0,$OS95*CEILING($MS95/2,1)+$OT95*$MS95)</f>
        <v/>
      </c>
      <c r="OY95" s="164">
        <f>MIN(2*$MS95,$OX95)</f>
        <v/>
      </c>
      <c r="OZ95" s="164">
        <f>MIN($OY95,$OW95-IF($NS95=0,0,INDEX($I$2:$N$8,MAX(1,$MS95),$NS95)))</f>
        <v/>
      </c>
      <c r="PA95" s="164">
        <f>$OY95-$OZ95</f>
        <v/>
      </c>
      <c r="PB95" s="164">
        <f>IF($MS95=0,0,INDEX($P$2:$P$8,MAX(1,$MS95)))</f>
        <v/>
      </c>
      <c r="PC95" s="164">
        <f>$PB95-$OW95+$OZ95</f>
        <v/>
      </c>
      <c r="PD95" s="164">
        <f>IF($MS95=0,MAX(0,$NG95-IF(AND($OU95&gt;0,COUNTIF($NB95:$NC95,"?*")=0),1,0)),MAX(0,$PC95))</f>
        <v/>
      </c>
      <c r="PE95" s="164">
        <f>IF($MS95=0,0,(IF(COUNTIF($RK95:$RN95,"Salto")&gt;0,1,0)+IF(COUNTIF($RK95:$RN95,"Queima")&gt;0,1,0)+IF(COUNTIF($RK95:$RN95,"Estilhaço")&gt;0,1,0))*FLOOR($PD95/2,1))</f>
        <v/>
      </c>
      <c r="PF95" s="164">
        <f>MAX(0,2-SUMPRODUCT($OM95:$OR95,$I$2:$N$2)+MIN(2,$OS95*1+$OT95*1,SUMPRODUCT($OM95:$OR95,$I$2:$N$2)-IF($NS95=0,0,INDEX($I$2:$N$2,1,$NS95))))</f>
        <v/>
      </c>
      <c r="PG95" s="164">
        <f>MAX(0,4-SUMPRODUCT($OM95:$OR95,$I$3:$N$3)+MIN(4,$OS95*1+$OT95*2,SUMPRODUCT($OM95:$OR95,$I$3:$N$3)-IF($NS95=0,0,INDEX($I$3:$N$3,1,$NS95))))</f>
        <v/>
      </c>
      <c r="PH95" s="164">
        <f>MAX(0,6-SUMPRODUCT($OM95:$OR95,$I$4:$N$4)+MIN(6,$OS95*2+$OT95*3,SUMPRODUCT($OM95:$OR95,$I$4:$N$4)-IF($NS95=0,0,INDEX($I$4:$N$4,1,$NS95))))</f>
        <v/>
      </c>
      <c r="PI95" s="164">
        <f>MAX(0,9-SUMPRODUCT($OM95:$OR95,$I$5:$N$5)+MIN(8,$OS95*2+$OT95*4,SUMPRODUCT($OM95:$OR95,$I$5:$N$5)-IF($NS95=0,0,INDEX($I$5:$N$5,1,$NS95))))</f>
        <v/>
      </c>
      <c r="PJ95" s="164">
        <f>MAX(0,11-SUMPRODUCT($OM95:$OR95,$I$6:$N$6)+MIN(10,$OS95*3+$OT95*5,SUMPRODUCT($OM95:$OR95,$I$6:$N$6)-IF($NS95=0,0,INDEX($I$6:$N$6,1,$NS95))))</f>
        <v/>
      </c>
      <c r="PK95" s="164">
        <f>MAX(0,13-SUMPRODUCT($OM95:$OR95,$I$7:$N$7)+MIN(12,$OS95*3+$OT95*6,SUMPRODUCT($OM95:$OR95,$I$7:$N$7)-IF($NS95=0,0,INDEX($I$7:$N$7,1,$NS95))))</f>
        <v/>
      </c>
      <c r="PL95" s="164">
        <f>MAX(0,16-SUMPRODUCT($OM95:$OR95,$I$8:$N$8)+MIN(14,$OS95*4+$OT95*7,SUMPRODUCT($OM95:$OR95,$I$8:$N$8)-IF($NS95=0,0,INDEX($I$8:$N$8,1,$NS95))))</f>
        <v/>
      </c>
      <c r="PM95" s="164">
        <f>IF($OG95=2,3*$PF95&amp;" de vida temp.",IF($OG95=3,"sem dano",IF($PF95=0,IF($OG95=1,"sem cura","sem dano"),IF($OG95=1,"cura ","")&amp;$PF95&amp;"d8")))</f>
        <v/>
      </c>
      <c r="PN95" s="164">
        <f>IF($OG95=2,3*$PG95&amp;" de vida temp.",IF($OG95=3,"sem dano",IF($PG95=0,IF($OG95=1,"sem cura","sem dano"),IF($OG95=1,"cura ","")&amp;$PG95&amp;"d8")))</f>
        <v/>
      </c>
      <c r="PO95" s="164">
        <f>IF($OG95=2,3*$PH95&amp;" de vida temp.",IF($OG95=3,"sem dano",IF($PH95=0,IF($OG95=1,"sem cura","sem dano"),IF($OG95=1,"cura ","")&amp;$PH95&amp;"d8")))</f>
        <v/>
      </c>
      <c r="PP95" s="164">
        <f>IF($OG95=2,3*$PI95&amp;" de vida temp.",IF($OG95=3,"sem dano",IF($PI95=0,IF($OG95=1,"sem cura","sem dano"),IF($OG95=1,"cura ","")&amp;$PI95&amp;"d8")))</f>
        <v/>
      </c>
      <c r="PQ95" s="164">
        <f>IF($OG95=2,3*$PJ95&amp;" de vida temp.",IF($OG95=3,"sem dano",IF($PJ95=0,IF($OG95=1,"sem cura","sem dano"),IF($OG95=1,"cura ","")&amp;$PJ95&amp;"d8")))</f>
        <v/>
      </c>
      <c r="PR95" s="164">
        <f>IF($OG95=2,3*$PK95&amp;" de vida temp.",IF($OG95=3,"sem dano",IF($PK95=0,IF($OG95=1,"sem cura","sem dano"),IF($OG95=1,"cura ","")&amp;$PK95&amp;"d8")))</f>
        <v/>
      </c>
      <c r="PS95" s="164">
        <f>IF($OG95=2,3*$PL95&amp;" de vida temp.",IF($OG95=3,"sem dano",IF($PL95=0,IF($OG95=1,"sem cura","sem dano"),IF($OG95=1,"cura ","")&amp;$PL95&amp;"d8")))</f>
        <v/>
      </c>
      <c r="PT95" s="164">
        <f>IF($ND95=0,"",TEXTJOIN(" · ",TRUE,IF($ND95=0,"",TEXTJOIN(" · ",TRUE,IF($ND95=0,"",TEXTJOIN(" · ",TRUE,IF($MQ95&gt;$NE95,"Este lugar abre no nível "&amp;$MQ95,""),IF($MS95&gt;$NF95,"Classe "&amp;$MS95&amp;": o nível "&amp;$NE95&amp;" libera até a "&amp;$NF95,""),IF($NX95=1,"A Forma "&amp;$MU95&amp;" pede "&amp;INDEX('DADOS_FORMAS'!$GA$2:$GA$21,$NJ95)&amp;" aberta",""),IF(AND($MS95=0,$NJ95&gt;0,IF($NJ95=0,0,INDEX('DADOS_FORMAS'!$GJ$2:$GJ$21,$NJ95))=0),$MU95&amp;" não existe na Classe 0",""),IF($NY95=1,"Família Fechada: "&amp;$MX95,""),IF($NZ95=1,"Família Fechada: "&amp;$MY95,""),IF($OA95=1,"Família Fechada: "&amp;$MZ95,""),IF($OB95=1,"Família Fechada: "&amp;$NA95,""),IF(AND($MS95&gt;0,$OU95&gt;INDEX($O$2:$O$8,MAX(1,$MS95))),$OU95&amp;" Melhorias: a Classe "&amp;$MS95&amp;" aceita "&amp;INDEX($O$2:$O$8,MAX(1,$MS95)),""),IF(AND($MS95=0,$OU95&gt;1),"A básica aceita uma Melhoria",""),IF(AND($MS95=0,COUNTIF($NO95:$NR95,"&gt;1")&gt;0),"A básica só aceita Melhoria Leve",""),IF(AND($MS95&gt;0,$OV95&gt;2),$OV95&amp;" Restrições"&amp;IF($OF95=1,", contando a que a Forma "&amp;$MU95&amp;" já traz","")&amp;": o limite é 2",""),IF(AND($MS95=0,COUNTIF($NB95:$NC95,"?*")&gt;1),"A básica aceita uma Restrição Leve",""),IF(AND($MS95=0,COUNTIF($OI95:$OJ95,2)&gt;0),"A básica só aceita Restrição Leve",""),IF(AND($MS95&gt;0,$PC95&lt;0),"Orçamento estourado: faltam "&amp;(-$PC95)&amp;IF($PC95&lt;-1," pontos"," ponto"),""),IF(IFERROR(VLOOKUP(SUBSTITUTE(SUBSTITUTE(SUBSTITUTE($NB95,"~","~~"),"*","~*"),"?","~?"),'DADOS_RESTRICOES'!$M$2:$Q$54,4,FALSE),0)+IFERROR(VLOOKUP(SUBSTITUTE(SUBSTITUTE(SUBSTITUTE($NC95,"~","~~"),"*","~*"),"?","~?"),'DADOS_RESTRICOES'!$M$2:$Q$54,4,FALSE),0)&gt;1,$OK95&amp;" e "&amp;$OL95&amp;" são as duas de frequência",""),IF(AND((COUNTIF($RK95:$RN95,"Rápido")+COUNTIF($OK95:$OL95,"Rápido"))&gt;0,(COUNTIF($MX95:$NA95,"Atrasar")+COUNTIF($OK95:$OL95,"Atrasar"))&gt;0),"Rápido não entra com Atrasar",""),IF(AND((COUNTIF($RK95:$RN95,"Reação")+COUNTIF($OK95:$OL95,"Reação"))&gt;0,(COUNTIF($RK95:$RN95,"Rápido")+COUNTIF($OK95:$OL95,"Rápido"))&gt;0),"Reação não entra com Rápido",""),IF(AND((COUNTIF($RK95:$RN95,"Reação")+COUNTIF($OK95:$OL95,"Reação"))&gt;0,(COUNTIF($RK95:$RN95,"Armado")+COUNTIF($OK95:$OL95,"Armado"))&gt;0),"Reação não entra com Armado",""),IF(AND((COUNTIF($RK95:$RN95,"Reação")+COUNTIF($OK95:$OL95,"Reação"))&gt;0,(COUNTIF($MX95:$NA95,"Atrasar")+COUNTIF($OK95:$OL95,"Atrasar"))&gt;0),"Reação não entra com Atrasar",""),IF(AND((COUNTIF($RK95:$RN95,"Reação")+COUNTIF($OK95:$OL95,"Reação"))&gt;0,(COUNTIF($MX95:$NA95,"Parado")+COUNTIF($OK95:$OL95,"Parado"))&gt;0),"Reação não entra com Parado",""),IF(AND((COUNTIF($MX95:$NA95,"Atrasar")+COUNTIF($OK95:$OL95,"Atrasar"))&gt;0,(COUNTIF($MX95:$NA95,"Parado")+COUNTIF($OK95:$OL95,"Parado"))&gt;0),"Atrasar não entra com Parado",""),IF(AND((COUNTIF($RK95:$RN95,"Armado")+COUNTIF($OK95:$OL95,"Armado"))&gt;0,(COUNTIF($MX95:$NA95,"Carregar")+COUNTIF($OK95:$OL95,"Carregar"))&gt;0),"Armado não entra com Carregar",""),IF(AND(COUNTIF($OK95:$OL95,"Corpo a Corpo")&gt;0,$OF95=0,OR($RO95="Cone",$RO95="Linha")),"Corpo a Corpo não entra em "&amp;$MU95,""),IF(AND(COUNTIF($OK95:$OL95,"Corpo a Corpo")&gt;0,$RP95="Corpo a Corpo"),"A Forma "&amp;$MU95&amp;" já traz o Corpo a Corpo",""),IF(AND(COUNTIF($OK95:$OL95,"Tudo ou Nada")&gt;0,$OH95=0),"Tudo ou Nada só entra em habilidade de Teste de Resistência",""),IF(AND(COUNTIF($RK95:$RN95,"Inescapável")&gt;0,OR($OU95&gt;1,$OV95&gt;0)),"Inescapável não aceita outra peça",""),IF(AND($MS95&gt;0,$PD95*IF(COUNTIF($RK95:$RN95,"Remate")&gt;0,1.25,1)+$PE95&gt;4*$MS95),($PD95*IF(COUNTIF($RK95:$RN95,"Remate")&gt;0,1.25,1)+$PE95)&amp;" dados somando repetições"&amp;IF(COUNTIF($RK95:$RN95,"Remate")&gt;0," e o Remate","")&amp;": o teto da Classe "&amp;$MS95&amp;" é "&amp;4*$MS95,""))),IF(AND($MX95&lt;&gt;"",COUNTIF('DADOS_MELHORIAS'!$O$2:$O$113,SUBSTITUTE(SUBSTITUTE(SUBSTITUTE($MX95,"~","~~"),"*","~*"),"?","~?"))=0),"Melhoria não cadastrada ou com erro: "&amp;$MX95,""),IF(AND($MY95&lt;&gt;"",COUNTIF('DADOS_MELHORIAS'!$O$2:$O$113,SUBSTITUTE(SUBSTITUTE(SUBSTITUTE($MY95,"~","~~"),"*","~*"),"?","~?"))=0),"Melhoria não cadastrada ou com erro: "&amp;$MY95,""),IF(AND($MZ95&lt;&gt;"",COUNTIF('DADOS_MELHORIAS'!$O$2:$O$113,SUBSTITUTE(SUBSTITUTE(SUBSTITUTE($MZ95,"~","~~"),"*","~*"),"?","~?"))=0),"Melhoria não cadastrada ou com erro: "&amp;$MZ95,""),IF(AND($NA95&lt;&gt;"",COUNTIF('DADOS_MELHORIAS'!$O$2:$O$113,SUBSTITUTE(SUBSTITUTE(SUBSTITUTE($NA95,"~","~~"),"*","~*"),"?","~?"))=0),"Melhoria não cadastrada ou com erro: "&amp;$NA95,""),IF(AND($NB95&lt;&gt;"",COUNTIF('DADOS_RESTRICOES'!$M$2:$M$54,SUBSTITUTE(SUBSTITUTE(SUBSTITUTE($NB95,"~","~~"),"*","~*"),"?","~?"))=0),"Restrição não cadastrada ou com erro: "&amp;$NB95,""),IF(AND($NC95&lt;&gt;"",COUNTIF('DADOS_RESTRICOES'!$M$2:$M$54,SUBSTITUTE(SUBSTITUTE(SUBSTITUTE($NC95,"~","~~"),"*","~*"),"?","~?"))=0),"Restrição não cadastrada ou com erro: "&amp;$NC95,""))),IF(AND($MU95&lt;&gt;"",COUNTIF('DADOS_FORMAS'!$AH$2:$AH$21,SUBSTITUTE(SUBSTITUTE(SUBSTITUTE($MU95,"~","~~"),"*","~*"),"?","~?"))=0),"Forma não cadastrada ou com erro: "&amp;$MU95,""),IF(AND(IFERROR(INDEX('DADOS_FORMAS'!$AS$2:$AS$21,MATCH(SUBSTITUTE(SUBSTITUTE(SUBSTITUTE($MU95,"~","~~"),"*","~*"),"?","~?"),'DADOS_FORMAS'!$AH$2:$AH$21,0)),"")&lt;&gt;"",OR(IFERROR(VLOOKUP(SUBSTITUTE(SUBSTITUTE(SUBSTITUTE(IFERROR(INDEX('DADOS_FORMAS'!$AS$2:$AS$21,MATCH(SUBSTITUTE(SUBSTITUTE(SUBSTITUTE($MU95,"~","~~"),"*","~*"),"?","~?"),'DADOS_FORMAS'!$AH$2:$AH$21,0)),""),"~","~~"),"*","~*"),"?","~?"),'DADOS_RESTRICOES'!$M$2:$Q$54,2,FALSE),"")=$OK95,IFERROR(VLOOKUP(SUBSTITUTE(SUBSTITUTE(SUBSTITUTE(IFERROR(INDEX('DADOS_FORMAS'!$AS$2:$AS$21,MATCH(SUBSTITUTE(SUBSTITUTE(SUBSTITUTE($MU95,"~","~~"),"*","~*"),"?","~?"),'DADOS_FORMAS'!$AH$2:$AH$21,0)),""),"~","~~"),"*","~*"),"?","~?"),'DADOS_RESTRICOES'!$M$2:$Q$54,2,FALSE),"")=$OL95)),"Restrição repetida, contando a embutida",""),IF(IF(IFERROR(INDEX('DADOS_FORMAS'!$AS$2:$AS$21,MATCH(SUBSTITUTE(SUBSTITUTE(SUBSTITUTE($MU95,"~","~~"),"*","~*"),"?","~?"),'DADOS_FORMAS'!$AH$2:$AH$21,0)),"")="",0,IFERROR(N(VLOOKUP(SUBSTITUTE(SUBSTITUTE(SUBSTITUTE(IFERROR(INDEX('DADOS_FORMAS'!$AS$2:$AS$21,MATCH(SUBSTITUTE(SUBSTITUTE(SUBSTITUTE($MU95,"~","~~"),"*","~*"),"?","~?"),'DADOS_FORMAS'!$AH$2:$AH$21,0)),""),"~","~~"),"*","~*"),"?","~?"),'DADOS_RESTRICOES'!$M$2:$Q$54,4,FALSE)=1),0))+IF($NB95="",0,IFERROR(N(VLOOKUP(SUBSTITUTE(SUBSTITUTE(SUBSTITUTE($NB95,"~","~~"),"*","~*"),"?","~?"),'DADOS_RESTRICOES'!$M$2:$Q$54,4,FALSE)=1),0))+IF($NC95="",0,IFERROR(N(VLOOKUP(SUBSTITUTE(SUBSTITUTE(SUBSTITUTE($NC95,"~","~~"),"*","~*"),"?","~?"),'DADOS_RESTRICOES'!$M$2:$Q$54,4,FALSE)=1),0))&gt;1,"Duas Restrições de frequência, contando a embutida",""),IF(AND(IFERROR(VLOOKUP(SUBSTITUTE(SUBSTITUTE(SUBSTITUTE(IFERROR(INDEX('DADOS_FORMAS'!$AS$2:$AS$21,MATCH(SUBSTITUTE(SUBSTITUTE(SUBSTITUTE($MU95,"~","~~"),"*","~*"),"?","~?"),'DADOS_FORMAS'!$AH$2:$AH$21,0)),""),"~","~~"),"*","~*"),"?","~?"),'DADOS_RESTRICOES'!$M$2:$Q$54,2,FALSE),"")="Tudo ou Nada",$OH95=0),"Tudo ou Nada exige TR",""),IF(AND(IFERROR(VLOOKUP(SUBSTITUTE(SUBSTITUTE(SUBSTITUTE(IFERROR(INDEX('DADOS_FORMAS'!$AS$2:$AS$21,MATCH(SUBSTITUTE(SUBSTITUTE(SUBSTITUTE($MU95,"~","~~"),"*","~*"),"?","~?"),'DADOS_FORMAS'!$AH$2:$AH$21,0)),""),"~","~~"),"*","~*"),"?","~?"),'DADOS_RESTRICOES'!$M$2:$Q$54,2,FALSE),"")="Corpo a Corpo",OR($RO95="Cone",$RO95="Linha")),"Corpo a Corpo não entra em Cone/Linha","")))</f>
        <v/>
      </c>
      <c r="PU95" s="164">
        <f>IF($PT95="",0,(LEN($PT95)-LEN(SUBSTITUTE($PT95," · ","")))/3+1)</f>
        <v/>
      </c>
      <c r="PV95" s="164">
        <f>IF($ND95=0,"",TEXTJOIN(" · ",TRUE,IF($OX95&gt;2*$MS95,"A devolução parou no teto de "&amp;2*$MS95,""),IF($PA95&gt;0,"Devolução perdida: "&amp;$PA95&amp;IF($PA95&gt;1," pontos"," ponto")&amp;" sem Melhoria para pagar",""),IF(AND($OC95&gt;0,AND($MS95&gt;0,$OG95=0),$PD95=0),"Controle sem dano: uma rodada a mais e CD +2",""),IF(AND($OC95&gt;0,AND($MS95&gt;0,$OG95=0),$PD95&gt;0,$PD95&lt;=$MS95),"Controle com saldo até a Classe: uma rodada a mais",""),IF(AND($MS95&gt;0,$OE95&lt;&gt;""),"Efeito de "&amp;$OE95&amp;" pela Classe "&amp;MAX(1,$MS95-1),"")))</f>
        <v/>
      </c>
      <c r="PW95" s="164">
        <f>IF($PV95="",0,(LEN($PV95)-LEN(SUBSTITUTE($PV95," · ","")))/3+1)</f>
        <v/>
      </c>
      <c r="PX95" s="164">
        <f>IF($ND95=0,IF($OU95+COUNTIF($NB95:$NC95,"?*")&gt;0,"Dê um nome",""),IF($PU95&gt;0,"⚠ "&amp;$PU95&amp;IF($PU95&gt;1," erros"," erro"),IF($PW95&gt;0,"! "&amp;$PW95&amp;IF($PW95&gt;1," avisos"," aviso"),"Na regra")))</f>
        <v/>
      </c>
      <c r="PY95" s="164">
        <f>IF($ND95=0,"",IF($PU95+$PW95=0,"Dentro das regras que a ficha confere",$PT95&amp;IF(AND($PU95&gt;0,$PW95&gt;0)," · ","")&amp;$PV95))</f>
        <v/>
      </c>
      <c r="PZ95" s="164">
        <f>IF($MQ95&gt;$NE95,$MR95&amp;" · ABRE NO NÍVEL "&amp;$MQ95,$MR95)</f>
        <v/>
      </c>
      <c r="QA95" s="164">
        <f>IF($ND95=0,"",IF($MS95=0,"Sem PE",3*$MS95&amp;" PE"))</f>
        <v/>
      </c>
      <c r="QB95" s="164">
        <f>IF($ND95=0,"",IF($MS95=0,"A atuação básica dela",IF(COUNTIF($RQ95:$RS95,"Atrasar")&gt;0,"Sua Ação Completa",IF(COUNTIF($RK95:$RN95,"Rápido")&gt;0,"Sua Bônus",IF(COUNTIF($RK95:$RN95,"Reação")&gt;0,"Sua Reação","Sua Padrão")))&amp;" + a básica dela"&amp;IF(COUNTIF($RK95:$RN95,"Reação")&gt;0," e a coletiva","")&amp;IF(COUNTIF($RQ95:$RS95,"Carregar")&gt;0," · em dois turnos","")))</f>
        <v/>
      </c>
      <c r="QC95" s="164">
        <f>IF($MW95&lt;&gt;"",$MW95,IF($NJ95=0,"",INDEX('DADOS_FORMAS'!$GE$2:$GE$21,$NJ95)))</f>
        <v/>
      </c>
      <c r="QD95" s="164">
        <f>IF(OR($ND95=0,$NJ95=0),"",IF(COUNTIF($RK95:$RN95,"Inescapável")&gt;0,"Automático",IF($QC95="Ataque",IF($NH95="","Ataque","Ataque "&amp;IF(($NH95+2*IF(COUNTIF($RK95:$RN95,"Precisão")&gt;0,1,0))&gt;=0,"+","−")&amp;ABS(($NH95+2*IF(COUNTIF($RK95:$RN95,"Precisão")&gt;0,1,0))))&amp;IF($OD95&gt;0," · TR"&amp;IF($NI95="",""," CD "&amp;$NI95),""),IF(LEFT($QC95,2)="TR",$QC95&amp;IF($NI95="",""," · CD "&amp;$NI95)&amp;IF(COUNTIF($RK95:$RN95,"Certeiro")&gt;0," · metade",""),"Sem rolagem"))))</f>
        <v/>
      </c>
      <c r="QE95" s="164">
        <f>IF(OR($ND95=0,$NJ95=0),"",IF($MS95=0,IF(OR($OG95&gt;=1,$PD95=0),"Sem dano",$PD95&amp;"d6"&amp;IF($MV95="",""," "&amp;$MV95)),IF(OR($OG95&gt;=1,$PD95=0),UPPER(LEFT(INDEX($PM95:$PS95,1,MAX(1,$MS95)),1))&amp;MID(INDEX($PM95:$PS95,1,MAX(1,$MS95)),2,99),UPPER(LEFT(INDEX($PM95:$PS95,1,MAX(1,$MS95)),1))&amp;MID(INDEX($PM95:$PS95,1,MAX(1,$MS95)),2,99)&amp;IF($MV95="",""," "&amp;$MV95)&amp;IF($PE95&gt;0," · +"&amp;$PE95&amp;"d8",""))))</f>
        <v/>
      </c>
      <c r="QF95" s="164">
        <f>COUNTIF($RK95:$RN95,"Longe")+3*COUNTIF($RK95:$RN95,"Muito Longe")</f>
        <v/>
      </c>
      <c r="QG95" s="164">
        <f>COUNTIF($RK95:$RN95,"Maior")+3*COUNTIF($RK95:$RN95,"Muito Maior")</f>
        <v/>
      </c>
      <c r="QH95" s="164">
        <f>IF($NJ95=0,0,CHOOSE(1+INDEX('DADOS_FORMAS'!$GG$2:$GG$21,$NJ95),0,$QF95,$QG95,$QF95+$QG95))</f>
        <v/>
      </c>
      <c r="QI95" s="164">
        <f>IF($NJ95=0,0,CHOOSE(1+INDEX('DADOS_FORMAS'!$GH$2:$GH$21,$NJ95),0,$QF95,$QG95,$QF95+$QG95))</f>
        <v/>
      </c>
      <c r="QJ95" s="164">
        <f>IF(OR($ND95=0,$NJ95=0),"",INDEX('DADOS_FORMAS'!$HU$2:$HZ$81,($NJ95-1)*4+IF($MS95=0,1,IF($MS95&lt;=5,2,IF($MS95=6,3,4))),1+MIN(5,$QH95))&amp;INDEX('DADOS_FORMAS'!$IA$2:$IF$81,($NJ95-1)*4+IF($MS95=0,1,IF($MS95&lt;=5,2,IF($MS95=6,3,4))),1+MIN(5,$QI95))&amp;IF(INDEX('DADOS_FORMAS'!$GI$2:$GI$21,$NJ95)=1,IF(COUNTIF($RK95:$RN95,"Mais Um")&gt;0," · +"&amp;COUNTIF($RK95:$RN95,"Mais Um")&amp;IF(COUNTIF($RK95:$RN95,"Mais Um")&gt;1," alvos"," alvo"),"")&amp;IF(COUNTIF($RK95:$RN95,"Rajada")&gt;0,IF($MS95=0," · 1 tiro"," · "&amp;(MAX(1,$MS95-1)+1)&amp;" tiros"),""),""))</f>
        <v/>
      </c>
      <c r="QK95" s="164">
        <f>IF($ND95=0,"",IF($MS95=0,$NG95&amp;"d6"&amp;IF($OU95&gt;0," − 1 = "&amp;$PD95&amp;"d6"," da básica do nível "&amp;$NE95),$PB95&amp;" − "&amp;$OW95&amp;" + "&amp;$OZ95&amp;" = "&amp;$PC95&amp;" · teto "&amp;4*$MS95&amp;"d8"&amp;IF($OF95=1," · a Forma devolve "&amp;$MS95,"")&amp;IF($PA95&gt;0," · perde "&amp;$PA95,"")))</f>
        <v/>
      </c>
      <c r="QL95" s="164">
        <f>IF($ND95=0,"",IF($MS95=0,"A básica não amplia: os dados dela sobem com o nível",IF($MS95&gt;=$NF95,"Já está na maior Classe que o nível liberou",TEXTJOIN(" · ",TRUE,IF(AND(2&gt;$MS95,2&lt;=$NF95),"2 → "&amp;$PN95&amp;", 6 PE",""),IF(AND(3&gt;$MS95,3&lt;=$NF95),"3 → "&amp;$PO95&amp;", 9 PE",""),IF(AND(4&gt;$MS95,4&lt;=$NF95),"4 → "&amp;$PP95&amp;", 12 PE",""),IF(AND(5&gt;$MS95,5&lt;=$NF95),"5 → "&amp;$PQ95&amp;", 15 PE",""),IF(AND(6&gt;$MS95,6&lt;=$NF95),"6 → "&amp;$PR95&amp;", 18 PE",""),IF(AND(7&gt;$MS95,7&lt;=$NF95),"7 → "&amp;$PS95&amp;", 21 PE","")))))</f>
        <v/>
      </c>
      <c r="QM95" s="164">
        <f>IF(OR($ND95=0,$NO95=0),"",IF($MS95=0,"−1 dado","−"&amp;INDEX($I$2:$N$8,MAX(1,$MS95),MAX(1,$NT95))&amp;" · "&amp;CHOOSE(MAX(1,$NT95),"Leve","Média","Pesada","Leve · Livre","Média · Livre","Pesada · Livre")))</f>
        <v/>
      </c>
      <c r="QN95" s="164">
        <f>IF(OR($ND95=0,$NP95=0),"",IF($MS95=0,"−1 dado","−"&amp;INDEX($I$2:$N$8,MAX(1,$MS95),MAX(1,$NU95))&amp;" · "&amp;CHOOSE(MAX(1,$NU95),"Leve","Média","Pesada","Leve · Livre","Média · Livre","Pesada · Livre")))</f>
        <v/>
      </c>
      <c r="QO95" s="164">
        <f>IF(OR($ND95=0,$NQ95=0),"",IF($MS95=0,"−1 dado","−"&amp;INDEX($I$2:$N$8,MAX(1,$MS95),MAX(1,$NV95))&amp;" · "&amp;CHOOSE(MAX(1,$NV95),"Leve","Média","Pesada","Leve · Livre","Média · Livre","Pesada · Livre")))</f>
        <v/>
      </c>
      <c r="QP95" s="164">
        <f>IF(OR($ND95=0,$NR95=0),"",IF($MS95=0,"−1 dado","−"&amp;INDEX($I$2:$N$8,MAX(1,$MS95),MAX(1,$NW95))&amp;" · "&amp;CHOOSE(MAX(1,$NW95),"Leve","Média","Pesada","Leve · Livre","Média · Livre","Pesada · Livre")))</f>
        <v/>
      </c>
      <c r="QQ95" s="164">
        <f>IF(OR($ND95=0,$NB95=""),"",IF($MS95=0,"não devolve","+"&amp;IF($OI95=1,CEILING($MS95/2,1),$MS95)))</f>
        <v/>
      </c>
      <c r="QR95" s="164">
        <f>IF(OR($ND95=0,$NC95=""),"",IF($MS95=0,"não devolve","+"&amp;IF($OJ95=1,CEILING($MS95/2,1),$MS95)))</f>
        <v/>
      </c>
      <c r="RK95">
        <f>IF($MX95="","",IFERROR(VLOOKUP(SUBSTITUTE(SUBSTITUTE(SUBSTITUTE($MX95,"~","~~"),"*","~*"),"?","~?"),'DADOS_MELHORIAS'!$O$2:$X$113,10,FALSE),$MX95))</f>
        <v/>
      </c>
      <c r="RL95">
        <f>IF($MY95="","",IFERROR(VLOOKUP(SUBSTITUTE(SUBSTITUTE(SUBSTITUTE($MY95,"~","~~"),"*","~*"),"?","~?"),'DADOS_MELHORIAS'!$O$2:$X$113,10,FALSE),$MY95))</f>
        <v/>
      </c>
      <c r="RM95">
        <f>IF($MZ95="","",IFERROR(VLOOKUP(SUBSTITUTE(SUBSTITUTE(SUBSTITUTE($MZ95,"~","~~"),"*","~*"),"?","~?"),'DADOS_MELHORIAS'!$O$2:$X$113,10,FALSE),$MZ95))</f>
        <v/>
      </c>
      <c r="RN95">
        <f>IF($NA95="","",IFERROR(VLOOKUP(SUBSTITUTE(SUBSTITUTE(SUBSTITUTE($NA95,"~","~~"),"*","~*"),"?","~?"),'DADOS_MELHORIAS'!$O$2:$X$113,10,FALSE),$NA95))</f>
        <v/>
      </c>
      <c r="RO95">
        <f>IFERROR(INDEX('DADOS_FORMAS'!$BJ$2:$BJ$21,MATCH(SUBSTITUTE(SUBSTITUTE(SUBSTITUTE($MU95,"~","~~"),"*","~*"),"?","~?"),'DADOS_FORMAS'!$AH$2:$AH$21,0)),"")</f>
        <v/>
      </c>
      <c r="RP95">
        <f>IFERROR(VLOOKUP(SUBSTITUTE(SUBSTITUTE(SUBSTITUTE(IFERROR(INDEX('DADOS_FORMAS'!$AS$2:$AS$21,MATCH(SUBSTITUTE(SUBSTITUTE(SUBSTITUTE($MU95,"~","~~"),"*","~*"),"?","~?"),'DADOS_FORMAS'!$AH$2:$AH$21,0)),""),"~","~~"),"*","~*"),"?","~?"),'DADOS_RESTRICOES'!$M$2:$Q$54,2,FALSE),"")</f>
        <v/>
      </c>
      <c r="RQ95">
        <f>$OK95</f>
        <v/>
      </c>
      <c r="RR95">
        <f>$OL95</f>
        <v/>
      </c>
      <c r="RS95">
        <f>$RP95</f>
        <v/>
      </c>
    </row>
    <row r="96">
      <c r="MN96" s="162" t="inlineStr">
        <is>
          <t>Ficha 8 · Básica 2</t>
        </is>
      </c>
      <c r="MO96" s="164" t="n">
        <v>8</v>
      </c>
      <c r="MP96" s="164" t="n">
        <v>0</v>
      </c>
      <c r="MQ96" s="164" t="n">
        <v>11</v>
      </c>
      <c r="MR96" s="162" t="inlineStr">
        <is>
          <t>BÁSICA 2</t>
        </is>
      </c>
      <c r="MS96" s="164" t="n">
        <v>0</v>
      </c>
      <c r="MT96" s="164">
        <f>'INVOCAÇÕES'!$AC$316&amp;""</f>
        <v/>
      </c>
      <c r="MU96" s="164">
        <f>'INVOCAÇÕES'!$AB$321&amp;""</f>
        <v/>
      </c>
      <c r="MV96" s="164">
        <f>'INVOCAÇÕES'!$AB$322&amp;""</f>
        <v/>
      </c>
      <c r="MW96" s="164">
        <f>'INVOCAÇÕES'!$AD$322&amp;""</f>
        <v/>
      </c>
      <c r="MX96" s="164">
        <f>'INVOCAÇÕES'!$AC$325&amp;""</f>
        <v/>
      </c>
      <c r="MY96" s="164">
        <f>'INVOCAÇÕES'!$AC$326&amp;""</f>
        <v/>
      </c>
      <c r="MZ96" s="164">
        <f>'INVOCAÇÕES'!$AC$327&amp;""</f>
        <v/>
      </c>
      <c r="NA96" s="164">
        <f>'INVOCAÇÕES'!$AC$328&amp;""</f>
        <v/>
      </c>
      <c r="NB96" s="164">
        <f>'INVOCAÇÕES'!$AC$329&amp;""</f>
        <v/>
      </c>
      <c r="NC96" s="164">
        <f>'INVOCAÇÕES'!$AC$330&amp;""</f>
        <v/>
      </c>
      <c r="ND96" s="164">
        <f>IF($MT96&lt;&gt;"",1,0)</f>
        <v/>
      </c>
      <c r="NE96" s="164">
        <f>INDEX($FO$2:$FO$13,$MO96)</f>
        <v/>
      </c>
      <c r="NF96" s="164">
        <f>INDEX($FP$2:$FP$13,$MO96)</f>
        <v/>
      </c>
      <c r="NG96" s="164">
        <f>INDEX($FQ$2:$FQ$13,$MO96)</f>
        <v/>
      </c>
      <c r="NH96" s="164">
        <f>INDEX($GB$2:$GB$13,$MO96)</f>
        <v/>
      </c>
      <c r="NI96" s="164">
        <f>INDEX($GC$2:$GC$13,$MO96)</f>
        <v/>
      </c>
      <c r="NJ96" s="164">
        <f>IFERROR(MATCH(SUBSTITUTE(SUBSTITUTE(SUBSTITUTE($MU96,"~","~~"),"*","~*"),"?","~?"),'DADOS_FORMAS'!$FZ$2:$FZ$21,0),0)</f>
        <v/>
      </c>
      <c r="NK96" s="164">
        <f>IFERROR(VLOOKUP(SUBSTITUTE(SUBSTITUTE(SUBSTITUTE($MX96,"~","~~"),"*","~*"),"?","~?"),'DADOS_MELHORIAS'!$AG$2:$AL$113,2,FALSE),"")</f>
        <v/>
      </c>
      <c r="NL96" s="164">
        <f>IFERROR(VLOOKUP(SUBSTITUTE(SUBSTITUTE(SUBSTITUTE($MY96,"~","~~"),"*","~*"),"?","~?"),'DADOS_MELHORIAS'!$AG$2:$AL$113,2,FALSE),"")</f>
        <v/>
      </c>
      <c r="NM96" s="164">
        <f>IFERROR(VLOOKUP(SUBSTITUTE(SUBSTITUTE(SUBSTITUTE($MZ96,"~","~~"),"*","~*"),"?","~?"),'DADOS_MELHORIAS'!$AG$2:$AL$113,2,FALSE),"")</f>
        <v/>
      </c>
      <c r="NN96" s="164">
        <f>IFERROR(VLOOKUP(SUBSTITUTE(SUBSTITUTE(SUBSTITUTE($NA96,"~","~~"),"*","~*"),"?","~?"),'DADOS_MELHORIAS'!$AG$2:$AL$113,2,FALSE),"")</f>
        <v/>
      </c>
      <c r="NO96" s="164">
        <f>IFERROR(VLOOKUP(SUBSTITUTE(SUBSTITUTE(SUBSTITUTE($MX96,"~","~~"),"*","~*"),"?","~?"),'DADOS_MELHORIAS'!$AG$2:$AL$113,3,FALSE),0)</f>
        <v/>
      </c>
      <c r="NP96" s="164">
        <f>IFERROR(VLOOKUP(SUBSTITUTE(SUBSTITUTE(SUBSTITUTE($MY96,"~","~~"),"*","~*"),"?","~?"),'DADOS_MELHORIAS'!$AG$2:$AL$113,3,FALSE),0)</f>
        <v/>
      </c>
      <c r="NQ96" s="164">
        <f>IFERROR(VLOOKUP(SUBSTITUTE(SUBSTITUTE(SUBSTITUTE($MZ96,"~","~~"),"*","~*"),"?","~?"),'DADOS_MELHORIAS'!$AG$2:$AL$113,3,FALSE),0)</f>
        <v/>
      </c>
      <c r="NR96" s="164">
        <f>IFERROR(VLOOKUP(SUBSTITUTE(SUBSTITUTE(SUBSTITUTE($NA96,"~","~~"),"*","~*"),"?","~?"),'DADOS_MELHORIAS'!$AG$2:$AL$113,3,FALSE),0)</f>
        <v/>
      </c>
      <c r="NS96" s="164">
        <f>IF($MS96=0,0,IF($NJ96=0,0,INDEX('DADOS_FORMAS'!$GB$2:$GB$21,$NJ96)))</f>
        <v/>
      </c>
      <c r="NT96" s="164">
        <f>IF(OR($NO96=0,$MS96=0),0,$NO96+3*IF(AND($NK96&lt;&gt;"",COUNTIF(INDEX($RB$2:$RJ$13,$MO96,0),$NK96)&gt;0),1,0))</f>
        <v/>
      </c>
      <c r="NU96" s="164">
        <f>IF(OR($NP96=0,$MS96=0),0,$NP96+3*IF(AND($NL96&lt;&gt;"",COUNTIF(INDEX($RB$2:$RJ$13,$MO96,0),$NL96)&gt;0),1,0))</f>
        <v/>
      </c>
      <c r="NV96" s="164">
        <f>IF(OR($NQ96=0,$MS96=0),0,$NQ96+3*IF(AND($NM96&lt;&gt;"",COUNTIF(INDEX($RB$2:$RJ$13,$MO96,0),$NM96)&gt;0),1,0))</f>
        <v/>
      </c>
      <c r="NW96" s="164">
        <f>IF(OR($NR96=0,$MS96=0),0,$NR96+3*IF(AND($NN96&lt;&gt;"",COUNTIF(INDEX($RB$2:$RJ$13,$MO96,0),$NN96)&gt;0),1,0))</f>
        <v/>
      </c>
      <c r="NX96" s="164">
        <f>IF($NJ96=0,0,IF(INDEX('DADOS_FORMAS'!$GA$2:$GA$21,$NJ96)="",0,IF((COUNTIF(INDEX($EL$2:$EP$13,$MO96,0),INDEX('DADOS_FORMAS'!$GA$2:$GA$21,$NJ96))+COUNTIF(INDEX($QV$2:$QY$13,$MO96,0),INDEX('DADOS_FORMAS'!$GA$2:$GA$21,$NJ96)))=0,1,0)))</f>
        <v/>
      </c>
      <c r="NY96" s="164">
        <f>IF(OR($NO96=0,$NK96=""),0,IF((COUNTIF(INDEX($EL$2:$EP$13,$MO96,0),$NK96)+COUNTIF(INDEX($QV$2:$QY$13,$MO96,0),$NK96))=0,1,0))</f>
        <v/>
      </c>
      <c r="NZ96" s="164">
        <f>IF(OR($NP96=0,$NL96=""),0,IF((COUNTIF(INDEX($EL$2:$EP$13,$MO96,0),$NL96)+COUNTIF(INDEX($QV$2:$QY$13,$MO96,0),$NL96))=0,1,0))</f>
        <v/>
      </c>
      <c r="OA96" s="164">
        <f>IF(OR($NQ96=0,$NM96=""),0,IF((COUNTIF(INDEX($EL$2:$EP$13,$MO96,0),$NM96)+COUNTIF(INDEX($QV$2:$QY$13,$MO96,0),$NM96))=0,1,0))</f>
        <v/>
      </c>
      <c r="OB96" s="164">
        <f>IF(OR($NR96=0,$NN96=""),0,IF((COUNTIF(INDEX($EL$2:$EP$13,$MO96,0),$NN96)+COUNTIF(INDEX($QV$2:$QY$13,$MO96,0),$NN96))=0,1,0))</f>
        <v/>
      </c>
      <c r="OC96" s="164">
        <f>IFERROR(VLOOKUP(SUBSTITUTE(SUBSTITUTE(SUBSTITUTE($MX96,"~","~~"),"*","~*"),"?","~?"),'DADOS_MELHORIAS'!$AG$2:$AL$113,4,FALSE),0)+IFERROR(VLOOKUP(SUBSTITUTE(SUBSTITUTE(SUBSTITUTE($MY96,"~","~~"),"*","~*"),"?","~?"),'DADOS_MELHORIAS'!$AG$2:$AL$113,4,FALSE),0)+IFERROR(VLOOKUP(SUBSTITUTE(SUBSTITUTE(SUBSTITUTE($MZ96,"~","~~"),"*","~*"),"?","~?"),'DADOS_MELHORIAS'!$AG$2:$AL$113,4,FALSE),0)+IFERROR(VLOOKUP(SUBSTITUTE(SUBSTITUTE(SUBSTITUTE($NA96,"~","~~"),"*","~*"),"?","~?"),'DADOS_MELHORIAS'!$AG$2:$AL$113,4,FALSE),0)</f>
        <v/>
      </c>
      <c r="OD96" s="164">
        <f>IFERROR(VLOOKUP(SUBSTITUTE(SUBSTITUTE(SUBSTITUTE($MX96,"~","~~"),"*","~*"),"?","~?"),'DADOS_MELHORIAS'!$AG$2:$AL$113,6,FALSE),0)+IFERROR(VLOOKUP(SUBSTITUTE(SUBSTITUTE(SUBSTITUTE($MY96,"~","~~"),"*","~*"),"?","~?"),'DADOS_MELHORIAS'!$AG$2:$AL$113,6,FALSE),0)+IFERROR(VLOOKUP(SUBSTITUTE(SUBSTITUTE(SUBSTITUTE($MZ96,"~","~~"),"*","~*"),"?","~?"),'DADOS_MELHORIAS'!$AG$2:$AL$113,6,FALSE),0)+IFERROR(VLOOKUP(SUBSTITUTE(SUBSTITUTE(SUBSTITUTE($NA96,"~","~~"),"*","~*"),"?","~?"),'DADOS_MELHORIAS'!$AG$2:$AL$113,6,FALSE),0)+IFERROR(N(AND(INDEX('DADOS_FORMAS'!$AO$2:$AO$21,MATCH(SUBSTITUTE(SUBSTITUTE(SUBSTITUTE($MU96,"~","~~"),"*","~*"),"?","~?"),'DADOS_FORMAS'!$AH$2:$AH$21,0))="Acerto",$OH96=1)),0)</f>
        <v/>
      </c>
      <c r="OE96" s="164">
        <f>TEXTJOIN(", ",TRUE,IF(IFERROR(VLOOKUP(SUBSTITUTE(SUBSTITUTE(SUBSTITUTE($MX96,"~","~~"),"*","~*"),"?","~?"),'DADOS_MELHORIAS'!$AG$2:$AL$113,5,FALSE),0)=1,$MX96,""),IF(IFERROR(VLOOKUP(SUBSTITUTE(SUBSTITUTE(SUBSTITUTE($MY96,"~","~~"),"*","~*"),"?","~?"),'DADOS_MELHORIAS'!$AG$2:$AL$113,5,FALSE),0)=1,$MY96,""),IF(IFERROR(VLOOKUP(SUBSTITUTE(SUBSTITUTE(SUBSTITUTE($MZ96,"~","~~"),"*","~*"),"?","~?"),'DADOS_MELHORIAS'!$AG$2:$AL$113,5,FALSE),0)=1,$MZ96,""),IF(IFERROR(VLOOKUP(SUBSTITUTE(SUBSTITUTE(SUBSTITUTE($NA96,"~","~~"),"*","~*"),"?","~?"),'DADOS_MELHORIAS'!$AG$2:$AL$113,5,FALSE),0)=1,$NA96,""))</f>
        <v/>
      </c>
      <c r="OF96" s="164">
        <f>IF($NJ96=0,0,INDEX('DADOS_FORMAS'!$GC$2:$GC$21,$NJ96))</f>
        <v/>
      </c>
      <c r="OG96" s="164">
        <f>IF($NJ96=0,0,INDEX('DADOS_FORMAS'!$GD$2:$GD$21,$NJ96))</f>
        <v/>
      </c>
      <c r="OH96" s="164">
        <f>IF($NJ96=0,0,INDEX('DADOS_FORMAS'!$GF$2:$GF$21,$NJ96))</f>
        <v/>
      </c>
      <c r="OI96" s="164">
        <f>IFERROR(VLOOKUP(SUBSTITUTE(SUBSTITUTE(SUBSTITUTE($NB96,"~","~~"),"*","~*"),"?","~?"),'DADOS_RESTRICOES'!$M$2:$Q$54,3,FALSE),0)</f>
        <v/>
      </c>
      <c r="OJ96" s="164">
        <f>IFERROR(VLOOKUP(SUBSTITUTE(SUBSTITUTE(SUBSTITUTE($NC96,"~","~~"),"*","~*"),"?","~?"),'DADOS_RESTRICOES'!$M$2:$Q$54,3,FALSE),0)</f>
        <v/>
      </c>
      <c r="OK96" s="164">
        <f>IFERROR(VLOOKUP(SUBSTITUTE(SUBSTITUTE(SUBSTITUTE($NB96,"~","~~"),"*","~*"),"?","~?"),'DADOS_RESTRICOES'!$M$2:$Q$54,2,FALSE),"")</f>
        <v/>
      </c>
      <c r="OL96" s="164">
        <f>IFERROR(VLOOKUP(SUBSTITUTE(SUBSTITUTE(SUBSTITUTE($NC96,"~","~~"),"*","~*"),"?","~?"),'DADOS_RESTRICOES'!$M$2:$Q$54,2,FALSE),"")</f>
        <v/>
      </c>
      <c r="OM96" s="164">
        <f>COUNTIF($NS96:$NW96,1)</f>
        <v/>
      </c>
      <c r="ON96" s="164">
        <f>COUNTIF($NS96:$NW96,2)</f>
        <v/>
      </c>
      <c r="OO96" s="164">
        <f>COUNTIF($NS96:$NW96,3)</f>
        <v/>
      </c>
      <c r="OP96" s="164">
        <f>COUNTIF($NS96:$NW96,4)</f>
        <v/>
      </c>
      <c r="OQ96" s="164">
        <f>COUNTIF($NS96:$NW96,5)</f>
        <v/>
      </c>
      <c r="OR96" s="164">
        <f>COUNTIF($NS96:$NW96,6)</f>
        <v/>
      </c>
      <c r="OS96" s="164">
        <f>COUNTIF($OI96:$OJ96,1)+IF(IFERROR(INDEX('DADOS_FORMAS'!$AS$2:$AS$21,MATCH(SUBSTITUTE(SUBSTITUTE(SUBSTITUTE($MU96,"~","~~"),"*","~*"),"?","~?"),'DADOS_FORMAS'!$AH$2:$AH$21,0)),"")="",0,IFERROR(N(VLOOKUP(SUBSTITUTE(SUBSTITUTE(SUBSTITUTE(IFERROR(INDEX('DADOS_FORMAS'!$AS$2:$AS$21,MATCH(SUBSTITUTE(SUBSTITUTE(SUBSTITUTE($MU96,"~","~~"),"*","~*"),"?","~?"),'DADOS_FORMAS'!$AH$2:$AH$21,0)),""),"~","~~"),"*","~*"),"?","~?"),'DADOS_RESTRICOES'!$M$2:$Q$54,3,FALSE)=1),0))</f>
        <v/>
      </c>
      <c r="OT96" s="164">
        <f>COUNTIF($OI96:$OJ96,2)+IF(IFERROR(INDEX('DADOS_FORMAS'!$AS$2:$AS$21,MATCH(SUBSTITUTE(SUBSTITUTE(SUBSTITUTE($MU96,"~","~~"),"*","~*"),"?","~?"),'DADOS_FORMAS'!$AH$2:$AH$21,0)),"")="",0,IFERROR(N(VLOOKUP(SUBSTITUTE(SUBSTITUTE(SUBSTITUTE(IFERROR(INDEX('DADOS_FORMAS'!$AS$2:$AS$21,MATCH(SUBSTITUTE(SUBSTITUTE(SUBSTITUTE($MU96,"~","~~"),"*","~*"),"?","~?"),'DADOS_FORMAS'!$AH$2:$AH$21,0)),""),"~","~~"),"*","~*"),"?","~?"),'DADOS_RESTRICOES'!$M$2:$Q$54,3,FALSE)=2),0))</f>
        <v/>
      </c>
      <c r="OU96" s="164">
        <f>COUNTIF($MX96:$NA96,"?*")</f>
        <v/>
      </c>
      <c r="OV96" s="164">
        <f>COUNTIF($NB96:$NC96,"?*")+$OF96</f>
        <v/>
      </c>
      <c r="OW96" s="164">
        <f>IF($MS96=0,0,SUMPRODUCT($OM96:$OR96,INDEX($I$2:$N$8,MAX(1,$MS96),0)))</f>
        <v/>
      </c>
      <c r="OX96" s="164">
        <f>IF($MS96=0,0,$OS96*CEILING($MS96/2,1)+$OT96*$MS96)</f>
        <v/>
      </c>
      <c r="OY96" s="164">
        <f>MIN(2*$MS96,$OX96)</f>
        <v/>
      </c>
      <c r="OZ96" s="164">
        <f>MIN($OY96,$OW96-IF($NS96=0,0,INDEX($I$2:$N$8,MAX(1,$MS96),$NS96)))</f>
        <v/>
      </c>
      <c r="PA96" s="164">
        <f>$OY96-$OZ96</f>
        <v/>
      </c>
      <c r="PB96" s="164">
        <f>IF($MS96=0,0,INDEX($P$2:$P$8,MAX(1,$MS96)))</f>
        <v/>
      </c>
      <c r="PC96" s="164">
        <f>$PB96-$OW96+$OZ96</f>
        <v/>
      </c>
      <c r="PD96" s="164">
        <f>IF($MS96=0,MAX(0,$NG96-IF(AND($OU96&gt;0,COUNTIF($NB96:$NC96,"?*")=0),1,0)),MAX(0,$PC96))</f>
        <v/>
      </c>
      <c r="PE96" s="164">
        <f>IF($MS96=0,0,(IF(COUNTIF($RK96:$RN96,"Salto")&gt;0,1,0)+IF(COUNTIF($RK96:$RN96,"Queima")&gt;0,1,0)+IF(COUNTIF($RK96:$RN96,"Estilhaço")&gt;0,1,0))*FLOOR($PD96/2,1))</f>
        <v/>
      </c>
      <c r="PF96" s="164">
        <f>MAX(0,2-SUMPRODUCT($OM96:$OR96,$I$2:$N$2)+MIN(2,$OS96*1+$OT96*1,SUMPRODUCT($OM96:$OR96,$I$2:$N$2)-IF($NS96=0,0,INDEX($I$2:$N$2,1,$NS96))))</f>
        <v/>
      </c>
      <c r="PG96" s="164">
        <f>MAX(0,4-SUMPRODUCT($OM96:$OR96,$I$3:$N$3)+MIN(4,$OS96*1+$OT96*2,SUMPRODUCT($OM96:$OR96,$I$3:$N$3)-IF($NS96=0,0,INDEX($I$3:$N$3,1,$NS96))))</f>
        <v/>
      </c>
      <c r="PH96" s="164">
        <f>MAX(0,6-SUMPRODUCT($OM96:$OR96,$I$4:$N$4)+MIN(6,$OS96*2+$OT96*3,SUMPRODUCT($OM96:$OR96,$I$4:$N$4)-IF($NS96=0,0,INDEX($I$4:$N$4,1,$NS96))))</f>
        <v/>
      </c>
      <c r="PI96" s="164">
        <f>MAX(0,9-SUMPRODUCT($OM96:$OR96,$I$5:$N$5)+MIN(8,$OS96*2+$OT96*4,SUMPRODUCT($OM96:$OR96,$I$5:$N$5)-IF($NS96=0,0,INDEX($I$5:$N$5,1,$NS96))))</f>
        <v/>
      </c>
      <c r="PJ96" s="164">
        <f>MAX(0,11-SUMPRODUCT($OM96:$OR96,$I$6:$N$6)+MIN(10,$OS96*3+$OT96*5,SUMPRODUCT($OM96:$OR96,$I$6:$N$6)-IF($NS96=0,0,INDEX($I$6:$N$6,1,$NS96))))</f>
        <v/>
      </c>
      <c r="PK96" s="164">
        <f>MAX(0,13-SUMPRODUCT($OM96:$OR96,$I$7:$N$7)+MIN(12,$OS96*3+$OT96*6,SUMPRODUCT($OM96:$OR96,$I$7:$N$7)-IF($NS96=0,0,INDEX($I$7:$N$7,1,$NS96))))</f>
        <v/>
      </c>
      <c r="PL96" s="164">
        <f>MAX(0,16-SUMPRODUCT($OM96:$OR96,$I$8:$N$8)+MIN(14,$OS96*4+$OT96*7,SUMPRODUCT($OM96:$OR96,$I$8:$N$8)-IF($NS96=0,0,INDEX($I$8:$N$8,1,$NS96))))</f>
        <v/>
      </c>
      <c r="PM96" s="164">
        <f>IF($OG96=2,3*$PF96&amp;" de vida temp.",IF($OG96=3,"sem dano",IF($PF96=0,IF($OG96=1,"sem cura","sem dano"),IF($OG96=1,"cura ","")&amp;$PF96&amp;"d8")))</f>
        <v/>
      </c>
      <c r="PN96" s="164">
        <f>IF($OG96=2,3*$PG96&amp;" de vida temp.",IF($OG96=3,"sem dano",IF($PG96=0,IF($OG96=1,"sem cura","sem dano"),IF($OG96=1,"cura ","")&amp;$PG96&amp;"d8")))</f>
        <v/>
      </c>
      <c r="PO96" s="164">
        <f>IF($OG96=2,3*$PH96&amp;" de vida temp.",IF($OG96=3,"sem dano",IF($PH96=0,IF($OG96=1,"sem cura","sem dano"),IF($OG96=1,"cura ","")&amp;$PH96&amp;"d8")))</f>
        <v/>
      </c>
      <c r="PP96" s="164">
        <f>IF($OG96=2,3*$PI96&amp;" de vida temp.",IF($OG96=3,"sem dano",IF($PI96=0,IF($OG96=1,"sem cura","sem dano"),IF($OG96=1,"cura ","")&amp;$PI96&amp;"d8")))</f>
        <v/>
      </c>
      <c r="PQ96" s="164">
        <f>IF($OG96=2,3*$PJ96&amp;" de vida temp.",IF($OG96=3,"sem dano",IF($PJ96=0,IF($OG96=1,"sem cura","sem dano"),IF($OG96=1,"cura ","")&amp;$PJ96&amp;"d8")))</f>
        <v/>
      </c>
      <c r="PR96" s="164">
        <f>IF($OG96=2,3*$PK96&amp;" de vida temp.",IF($OG96=3,"sem dano",IF($PK96=0,IF($OG96=1,"sem cura","sem dano"),IF($OG96=1,"cura ","")&amp;$PK96&amp;"d8")))</f>
        <v/>
      </c>
      <c r="PS96" s="164">
        <f>IF($OG96=2,3*$PL96&amp;" de vida temp.",IF($OG96=3,"sem dano",IF($PL96=0,IF($OG96=1,"sem cura","sem dano"),IF($OG96=1,"cura ","")&amp;$PL96&amp;"d8")))</f>
        <v/>
      </c>
      <c r="PT96" s="164">
        <f>IF($ND96=0,"",TEXTJOIN(" · ",TRUE,IF($ND96=0,"",TEXTJOIN(" · ",TRUE,IF($ND96=0,"",TEXTJOIN(" · ",TRUE,IF($MQ96&gt;$NE96,"Este lugar abre no nível "&amp;$MQ96,""),IF($MS96&gt;$NF96,"Classe "&amp;$MS96&amp;": o nível "&amp;$NE96&amp;" libera até a "&amp;$NF96,""),IF($NX96=1,"A Forma "&amp;$MU96&amp;" pede "&amp;INDEX('DADOS_FORMAS'!$GA$2:$GA$21,$NJ96)&amp;" aberta",""),IF(AND($MS96=0,$NJ96&gt;0,IF($NJ96=0,0,INDEX('DADOS_FORMAS'!$GJ$2:$GJ$21,$NJ96))=0),$MU96&amp;" não existe na Classe 0",""),IF($NY96=1,"Família Fechada: "&amp;$MX96,""),IF($NZ96=1,"Família Fechada: "&amp;$MY96,""),IF($OA96=1,"Família Fechada: "&amp;$MZ96,""),IF($OB96=1,"Família Fechada: "&amp;$NA96,""),IF(AND($MS96&gt;0,$OU96&gt;INDEX($O$2:$O$8,MAX(1,$MS96))),$OU96&amp;" Melhorias: a Classe "&amp;$MS96&amp;" aceita "&amp;INDEX($O$2:$O$8,MAX(1,$MS96)),""),IF(AND($MS96=0,$OU96&gt;1),"A básica aceita uma Melhoria",""),IF(AND($MS96=0,COUNTIF($NO96:$NR96,"&gt;1")&gt;0),"A básica só aceita Melhoria Leve",""),IF(AND($MS96&gt;0,$OV96&gt;2),$OV96&amp;" Restrições"&amp;IF($OF96=1,", contando a que a Forma "&amp;$MU96&amp;" já traz","")&amp;": o limite é 2",""),IF(AND($MS96=0,COUNTIF($NB96:$NC96,"?*")&gt;1),"A básica aceita uma Restrição Leve",""),IF(AND($MS96=0,COUNTIF($OI96:$OJ96,2)&gt;0),"A básica só aceita Restrição Leve",""),IF(AND($MS96&gt;0,$PC96&lt;0),"Orçamento estourado: faltam "&amp;(-$PC96)&amp;IF($PC96&lt;-1," pontos"," ponto"),""),IF(IFERROR(VLOOKUP(SUBSTITUTE(SUBSTITUTE(SUBSTITUTE($NB96,"~","~~"),"*","~*"),"?","~?"),'DADOS_RESTRICOES'!$M$2:$Q$54,4,FALSE),0)+IFERROR(VLOOKUP(SUBSTITUTE(SUBSTITUTE(SUBSTITUTE($NC96,"~","~~"),"*","~*"),"?","~?"),'DADOS_RESTRICOES'!$M$2:$Q$54,4,FALSE),0)&gt;1,$OK96&amp;" e "&amp;$OL96&amp;" são as duas de frequência",""),IF(AND((COUNTIF($RK96:$RN96,"Rápido")+COUNTIF($OK96:$OL96,"Rápido"))&gt;0,(COUNTIF($MX96:$NA96,"Atrasar")+COUNTIF($OK96:$OL96,"Atrasar"))&gt;0),"Rápido não entra com Atrasar",""),IF(AND((COUNTIF($RK96:$RN96,"Reação")+COUNTIF($OK96:$OL96,"Reação"))&gt;0,(COUNTIF($RK96:$RN96,"Rápido")+COUNTIF($OK96:$OL96,"Rápido"))&gt;0),"Reação não entra com Rápido",""),IF(AND((COUNTIF($RK96:$RN96,"Reação")+COUNTIF($OK96:$OL96,"Reação"))&gt;0,(COUNTIF($RK96:$RN96,"Armado")+COUNTIF($OK96:$OL96,"Armado"))&gt;0),"Reação não entra com Armado",""),IF(AND((COUNTIF($RK96:$RN96,"Reação")+COUNTIF($OK96:$OL96,"Reação"))&gt;0,(COUNTIF($MX96:$NA96,"Atrasar")+COUNTIF($OK96:$OL96,"Atrasar"))&gt;0),"Reação não entra com Atrasar",""),IF(AND((COUNTIF($RK96:$RN96,"Reação")+COUNTIF($OK96:$OL96,"Reação"))&gt;0,(COUNTIF($MX96:$NA96,"Parado")+COUNTIF($OK96:$OL96,"Parado"))&gt;0),"Reação não entra com Parado",""),IF(AND((COUNTIF($MX96:$NA96,"Atrasar")+COUNTIF($OK96:$OL96,"Atrasar"))&gt;0,(COUNTIF($MX96:$NA96,"Parado")+COUNTIF($OK96:$OL96,"Parado"))&gt;0),"Atrasar não entra com Parado",""),IF(AND((COUNTIF($RK96:$RN96,"Armado")+COUNTIF($OK96:$OL96,"Armado"))&gt;0,(COUNTIF($MX96:$NA96,"Carregar")+COUNTIF($OK96:$OL96,"Carregar"))&gt;0),"Armado não entra com Carregar",""),IF(AND(COUNTIF($OK96:$OL96,"Corpo a Corpo")&gt;0,$OF96=0,OR($RO96="Cone",$RO96="Linha")),"Corpo a Corpo não entra em "&amp;$MU96,""),IF(AND(COUNTIF($OK96:$OL96,"Corpo a Corpo")&gt;0,$RP96="Corpo a Corpo"),"A Forma "&amp;$MU96&amp;" já traz o Corpo a Corpo",""),IF(AND(COUNTIF($OK96:$OL96,"Tudo ou Nada")&gt;0,$OH96=0),"Tudo ou Nada só entra em habilidade de Teste de Resistência",""),IF(AND(COUNTIF($RK96:$RN96,"Inescapável")&gt;0,OR($OU96&gt;1,$OV96&gt;0)),"Inescapável não aceita outra peça",""),IF(AND($MS96&gt;0,$PD96*IF(COUNTIF($RK96:$RN96,"Remate")&gt;0,1.25,1)+$PE96&gt;4*$MS96),($PD96*IF(COUNTIF($RK96:$RN96,"Remate")&gt;0,1.25,1)+$PE96)&amp;" dados somando repetições"&amp;IF(COUNTIF($RK96:$RN96,"Remate")&gt;0," e o Remate","")&amp;": o teto da Classe "&amp;$MS96&amp;" é "&amp;4*$MS96,""))),IF(AND($MX96&lt;&gt;"",COUNTIF('DADOS_MELHORIAS'!$O$2:$O$113,SUBSTITUTE(SUBSTITUTE(SUBSTITUTE($MX96,"~","~~"),"*","~*"),"?","~?"))=0),"Melhoria não cadastrada ou com erro: "&amp;$MX96,""),IF(AND($MY96&lt;&gt;"",COUNTIF('DADOS_MELHORIAS'!$O$2:$O$113,SUBSTITUTE(SUBSTITUTE(SUBSTITUTE($MY96,"~","~~"),"*","~*"),"?","~?"))=0),"Melhoria não cadastrada ou com erro: "&amp;$MY96,""),IF(AND($MZ96&lt;&gt;"",COUNTIF('DADOS_MELHORIAS'!$O$2:$O$113,SUBSTITUTE(SUBSTITUTE(SUBSTITUTE($MZ96,"~","~~"),"*","~*"),"?","~?"))=0),"Melhoria não cadastrada ou com erro: "&amp;$MZ96,""),IF(AND($NA96&lt;&gt;"",COUNTIF('DADOS_MELHORIAS'!$O$2:$O$113,SUBSTITUTE(SUBSTITUTE(SUBSTITUTE($NA96,"~","~~"),"*","~*"),"?","~?"))=0),"Melhoria não cadastrada ou com erro: "&amp;$NA96,""),IF(AND($NB96&lt;&gt;"",COUNTIF('DADOS_RESTRICOES'!$M$2:$M$54,SUBSTITUTE(SUBSTITUTE(SUBSTITUTE($NB96,"~","~~"),"*","~*"),"?","~?"))=0),"Restrição não cadastrada ou com erro: "&amp;$NB96,""),IF(AND($NC96&lt;&gt;"",COUNTIF('DADOS_RESTRICOES'!$M$2:$M$54,SUBSTITUTE(SUBSTITUTE(SUBSTITUTE($NC96,"~","~~"),"*","~*"),"?","~?"))=0),"Restrição não cadastrada ou com erro: "&amp;$NC96,""))),IF(AND($MU96&lt;&gt;"",COUNTIF('DADOS_FORMAS'!$AH$2:$AH$21,SUBSTITUTE(SUBSTITUTE(SUBSTITUTE($MU96,"~","~~"),"*","~*"),"?","~?"))=0),"Forma não cadastrada ou com erro: "&amp;$MU96,""),IF(AND(IFERROR(INDEX('DADOS_FORMAS'!$AS$2:$AS$21,MATCH(SUBSTITUTE(SUBSTITUTE(SUBSTITUTE($MU96,"~","~~"),"*","~*"),"?","~?"),'DADOS_FORMAS'!$AH$2:$AH$21,0)),"")&lt;&gt;"",OR(IFERROR(VLOOKUP(SUBSTITUTE(SUBSTITUTE(SUBSTITUTE(IFERROR(INDEX('DADOS_FORMAS'!$AS$2:$AS$21,MATCH(SUBSTITUTE(SUBSTITUTE(SUBSTITUTE($MU96,"~","~~"),"*","~*"),"?","~?"),'DADOS_FORMAS'!$AH$2:$AH$21,0)),""),"~","~~"),"*","~*"),"?","~?"),'DADOS_RESTRICOES'!$M$2:$Q$54,2,FALSE),"")=$OK96,IFERROR(VLOOKUP(SUBSTITUTE(SUBSTITUTE(SUBSTITUTE(IFERROR(INDEX('DADOS_FORMAS'!$AS$2:$AS$21,MATCH(SUBSTITUTE(SUBSTITUTE(SUBSTITUTE($MU96,"~","~~"),"*","~*"),"?","~?"),'DADOS_FORMAS'!$AH$2:$AH$21,0)),""),"~","~~"),"*","~*"),"?","~?"),'DADOS_RESTRICOES'!$M$2:$Q$54,2,FALSE),"")=$OL96)),"Restrição repetida, contando a embutida",""),IF(IF(IFERROR(INDEX('DADOS_FORMAS'!$AS$2:$AS$21,MATCH(SUBSTITUTE(SUBSTITUTE(SUBSTITUTE($MU96,"~","~~"),"*","~*"),"?","~?"),'DADOS_FORMAS'!$AH$2:$AH$21,0)),"")="",0,IFERROR(N(VLOOKUP(SUBSTITUTE(SUBSTITUTE(SUBSTITUTE(IFERROR(INDEX('DADOS_FORMAS'!$AS$2:$AS$21,MATCH(SUBSTITUTE(SUBSTITUTE(SUBSTITUTE($MU96,"~","~~"),"*","~*"),"?","~?"),'DADOS_FORMAS'!$AH$2:$AH$21,0)),""),"~","~~"),"*","~*"),"?","~?"),'DADOS_RESTRICOES'!$M$2:$Q$54,4,FALSE)=1),0))+IF($NB96="",0,IFERROR(N(VLOOKUP(SUBSTITUTE(SUBSTITUTE(SUBSTITUTE($NB96,"~","~~"),"*","~*"),"?","~?"),'DADOS_RESTRICOES'!$M$2:$Q$54,4,FALSE)=1),0))+IF($NC96="",0,IFERROR(N(VLOOKUP(SUBSTITUTE(SUBSTITUTE(SUBSTITUTE($NC96,"~","~~"),"*","~*"),"?","~?"),'DADOS_RESTRICOES'!$M$2:$Q$54,4,FALSE)=1),0))&gt;1,"Duas Restrições de frequência, contando a embutida",""),IF(AND(IFERROR(VLOOKUP(SUBSTITUTE(SUBSTITUTE(SUBSTITUTE(IFERROR(INDEX('DADOS_FORMAS'!$AS$2:$AS$21,MATCH(SUBSTITUTE(SUBSTITUTE(SUBSTITUTE($MU96,"~","~~"),"*","~*"),"?","~?"),'DADOS_FORMAS'!$AH$2:$AH$21,0)),""),"~","~~"),"*","~*"),"?","~?"),'DADOS_RESTRICOES'!$M$2:$Q$54,2,FALSE),"")="Tudo ou Nada",$OH96=0),"Tudo ou Nada exige TR",""),IF(AND(IFERROR(VLOOKUP(SUBSTITUTE(SUBSTITUTE(SUBSTITUTE(IFERROR(INDEX('DADOS_FORMAS'!$AS$2:$AS$21,MATCH(SUBSTITUTE(SUBSTITUTE(SUBSTITUTE($MU96,"~","~~"),"*","~*"),"?","~?"),'DADOS_FORMAS'!$AH$2:$AH$21,0)),""),"~","~~"),"*","~*"),"?","~?"),'DADOS_RESTRICOES'!$M$2:$Q$54,2,FALSE),"")="Corpo a Corpo",OR($RO96="Cone",$RO96="Linha")),"Corpo a Corpo não entra em Cone/Linha","")))</f>
        <v/>
      </c>
      <c r="PU96" s="164">
        <f>IF($PT96="",0,(LEN($PT96)-LEN(SUBSTITUTE($PT96," · ","")))/3+1)</f>
        <v/>
      </c>
      <c r="PV96" s="164">
        <f>IF($ND96=0,"",TEXTJOIN(" · ",TRUE,IF($OX96&gt;2*$MS96,"A devolução parou no teto de "&amp;2*$MS96,""),IF($PA96&gt;0,"Devolução perdida: "&amp;$PA96&amp;IF($PA96&gt;1," pontos"," ponto")&amp;" sem Melhoria para pagar",""),IF(AND($OC96&gt;0,AND($MS96&gt;0,$OG96=0),$PD96=0),"Controle sem dano: uma rodada a mais e CD +2",""),IF(AND($OC96&gt;0,AND($MS96&gt;0,$OG96=0),$PD96&gt;0,$PD96&lt;=$MS96),"Controle com saldo até a Classe: uma rodada a mais",""),IF(AND($MS96&gt;0,$OE96&lt;&gt;""),"Efeito de "&amp;$OE96&amp;" pela Classe "&amp;MAX(1,$MS96-1),"")))</f>
        <v/>
      </c>
      <c r="PW96" s="164">
        <f>IF($PV96="",0,(LEN($PV96)-LEN(SUBSTITUTE($PV96," · ","")))/3+1)</f>
        <v/>
      </c>
      <c r="PX96" s="164">
        <f>IF($ND96=0,IF($OU96+COUNTIF($NB96:$NC96,"?*")&gt;0,"Dê um nome",""),IF($PU96&gt;0,"⚠ "&amp;$PU96&amp;IF($PU96&gt;1," erros"," erro"),IF($PW96&gt;0,"! "&amp;$PW96&amp;IF($PW96&gt;1," avisos"," aviso"),"Na regra")))</f>
        <v/>
      </c>
      <c r="PY96" s="164">
        <f>IF($ND96=0,"",IF($PU96+$PW96=0,"Dentro das regras que a ficha confere",$PT96&amp;IF(AND($PU96&gt;0,$PW96&gt;0)," · ","")&amp;$PV96))</f>
        <v/>
      </c>
      <c r="PZ96" s="164">
        <f>IF($MQ96&gt;$NE96,$MR96&amp;" · ABRE NO NÍVEL "&amp;$MQ96,$MR96)</f>
        <v/>
      </c>
      <c r="QA96" s="164">
        <f>IF($ND96=0,"",IF($MS96=0,"Sem PE",3*$MS96&amp;" PE"))</f>
        <v/>
      </c>
      <c r="QB96" s="164">
        <f>IF($ND96=0,"",IF($MS96=0,"A atuação básica dela",IF(COUNTIF($RQ96:$RS96,"Atrasar")&gt;0,"Sua Ação Completa",IF(COUNTIF($RK96:$RN96,"Rápido")&gt;0,"Sua Bônus",IF(COUNTIF($RK96:$RN96,"Reação")&gt;0,"Sua Reação","Sua Padrão")))&amp;" + a básica dela"&amp;IF(COUNTIF($RK96:$RN96,"Reação")&gt;0," e a coletiva","")&amp;IF(COUNTIF($RQ96:$RS96,"Carregar")&gt;0," · em dois turnos","")))</f>
        <v/>
      </c>
      <c r="QC96" s="164">
        <f>IF($MW96&lt;&gt;"",$MW96,IF($NJ96=0,"",INDEX('DADOS_FORMAS'!$GE$2:$GE$21,$NJ96)))</f>
        <v/>
      </c>
      <c r="QD96" s="164">
        <f>IF(OR($ND96=0,$NJ96=0),"",IF(COUNTIF($RK96:$RN96,"Inescapável")&gt;0,"Automático",IF($QC96="Ataque",IF($NH96="","Ataque","Ataque "&amp;IF(($NH96+2*IF(COUNTIF($RK96:$RN96,"Precisão")&gt;0,1,0))&gt;=0,"+","−")&amp;ABS(($NH96+2*IF(COUNTIF($RK96:$RN96,"Precisão")&gt;0,1,0))))&amp;IF($OD96&gt;0," · TR"&amp;IF($NI96="",""," CD "&amp;$NI96),""),IF(LEFT($QC96,2)="TR",$QC96&amp;IF($NI96="",""," · CD "&amp;$NI96)&amp;IF(COUNTIF($RK96:$RN96,"Certeiro")&gt;0," · metade",""),"Sem rolagem"))))</f>
        <v/>
      </c>
      <c r="QE96" s="164">
        <f>IF(OR($ND96=0,$NJ96=0),"",IF($MS96=0,IF(OR($OG96&gt;=1,$PD96=0),"Sem dano",$PD96&amp;"d6"&amp;IF($MV96="",""," "&amp;$MV96)),IF(OR($OG96&gt;=1,$PD96=0),UPPER(LEFT(INDEX($PM96:$PS96,1,MAX(1,$MS96)),1))&amp;MID(INDEX($PM96:$PS96,1,MAX(1,$MS96)),2,99),UPPER(LEFT(INDEX($PM96:$PS96,1,MAX(1,$MS96)),1))&amp;MID(INDEX($PM96:$PS96,1,MAX(1,$MS96)),2,99)&amp;IF($MV96="",""," "&amp;$MV96)&amp;IF($PE96&gt;0," · +"&amp;$PE96&amp;"d8",""))))</f>
        <v/>
      </c>
      <c r="QF96" s="164">
        <f>COUNTIF($RK96:$RN96,"Longe")+3*COUNTIF($RK96:$RN96,"Muito Longe")</f>
        <v/>
      </c>
      <c r="QG96" s="164">
        <f>COUNTIF($RK96:$RN96,"Maior")+3*COUNTIF($RK96:$RN96,"Muito Maior")</f>
        <v/>
      </c>
      <c r="QH96" s="164">
        <f>IF($NJ96=0,0,CHOOSE(1+INDEX('DADOS_FORMAS'!$GG$2:$GG$21,$NJ96),0,$QF96,$QG96,$QF96+$QG96))</f>
        <v/>
      </c>
      <c r="QI96" s="164">
        <f>IF($NJ96=0,0,CHOOSE(1+INDEX('DADOS_FORMAS'!$GH$2:$GH$21,$NJ96),0,$QF96,$QG96,$QF96+$QG96))</f>
        <v/>
      </c>
      <c r="QJ96" s="164">
        <f>IF(OR($ND96=0,$NJ96=0),"",INDEX('DADOS_FORMAS'!$HU$2:$HZ$81,($NJ96-1)*4+IF($MS96=0,1,IF($MS96&lt;=5,2,IF($MS96=6,3,4))),1+MIN(5,$QH96))&amp;INDEX('DADOS_FORMAS'!$IA$2:$IF$81,($NJ96-1)*4+IF($MS96=0,1,IF($MS96&lt;=5,2,IF($MS96=6,3,4))),1+MIN(5,$QI96))&amp;IF(INDEX('DADOS_FORMAS'!$GI$2:$GI$21,$NJ96)=1,IF(COUNTIF($RK96:$RN96,"Mais Um")&gt;0," · +"&amp;COUNTIF($RK96:$RN96,"Mais Um")&amp;IF(COUNTIF($RK96:$RN96,"Mais Um")&gt;1," alvos"," alvo"),"")&amp;IF(COUNTIF($RK96:$RN96,"Rajada")&gt;0,IF($MS96=0," · 1 tiro"," · "&amp;(MAX(1,$MS96-1)+1)&amp;" tiros"),""),""))</f>
        <v/>
      </c>
      <c r="QK96" s="164">
        <f>IF($ND96=0,"",IF($MS96=0,$NG96&amp;"d6"&amp;IF($OU96&gt;0," − 1 = "&amp;$PD96&amp;"d6"," da básica do nível "&amp;$NE96),$PB96&amp;" − "&amp;$OW96&amp;" + "&amp;$OZ96&amp;" = "&amp;$PC96&amp;" · teto "&amp;4*$MS96&amp;"d8"&amp;IF($OF96=1," · a Forma devolve "&amp;$MS96,"")&amp;IF($PA96&gt;0," · perde "&amp;$PA96,"")))</f>
        <v/>
      </c>
      <c r="QL96" s="164">
        <f>IF($ND96=0,"",IF($MS96=0,"A básica não amplia: os dados dela sobem com o nível",IF($MS96&gt;=$NF96,"Já está na maior Classe que o nível liberou",TEXTJOIN(" · ",TRUE,IF(AND(2&gt;$MS96,2&lt;=$NF96),"2 → "&amp;$PN96&amp;", 6 PE",""),IF(AND(3&gt;$MS96,3&lt;=$NF96),"3 → "&amp;$PO96&amp;", 9 PE",""),IF(AND(4&gt;$MS96,4&lt;=$NF96),"4 → "&amp;$PP96&amp;", 12 PE",""),IF(AND(5&gt;$MS96,5&lt;=$NF96),"5 → "&amp;$PQ96&amp;", 15 PE",""),IF(AND(6&gt;$MS96,6&lt;=$NF96),"6 → "&amp;$PR96&amp;", 18 PE",""),IF(AND(7&gt;$MS96,7&lt;=$NF96),"7 → "&amp;$PS96&amp;", 21 PE","")))))</f>
        <v/>
      </c>
      <c r="QM96" s="164">
        <f>IF(OR($ND96=0,$NO96=0),"",IF($MS96=0,"−1 dado","−"&amp;INDEX($I$2:$N$8,MAX(1,$MS96),MAX(1,$NT96))&amp;" · "&amp;CHOOSE(MAX(1,$NT96),"Leve","Média","Pesada","Leve · Livre","Média · Livre","Pesada · Livre")))</f>
        <v/>
      </c>
      <c r="QN96" s="164">
        <f>IF(OR($ND96=0,$NP96=0),"",IF($MS96=0,"−1 dado","−"&amp;INDEX($I$2:$N$8,MAX(1,$MS96),MAX(1,$NU96))&amp;" · "&amp;CHOOSE(MAX(1,$NU96),"Leve","Média","Pesada","Leve · Livre","Média · Livre","Pesada · Livre")))</f>
        <v/>
      </c>
      <c r="QO96" s="164">
        <f>IF(OR($ND96=0,$NQ96=0),"",IF($MS96=0,"−1 dado","−"&amp;INDEX($I$2:$N$8,MAX(1,$MS96),MAX(1,$NV96))&amp;" · "&amp;CHOOSE(MAX(1,$NV96),"Leve","Média","Pesada","Leve · Livre","Média · Livre","Pesada · Livre")))</f>
        <v/>
      </c>
      <c r="QP96" s="164">
        <f>IF(OR($ND96=0,$NR96=0),"",IF($MS96=0,"−1 dado","−"&amp;INDEX($I$2:$N$8,MAX(1,$MS96),MAX(1,$NW96))&amp;" · "&amp;CHOOSE(MAX(1,$NW96),"Leve","Média","Pesada","Leve · Livre","Média · Livre","Pesada · Livre")))</f>
        <v/>
      </c>
      <c r="QQ96" s="164">
        <f>IF(OR($ND96=0,$NB96=""),"",IF($MS96=0,"não devolve","+"&amp;IF($OI96=1,CEILING($MS96/2,1),$MS96)))</f>
        <v/>
      </c>
      <c r="QR96" s="164">
        <f>IF(OR($ND96=0,$NC96=""),"",IF($MS96=0,"não devolve","+"&amp;IF($OJ96=1,CEILING($MS96/2,1),$MS96)))</f>
        <v/>
      </c>
      <c r="RK96">
        <f>IF($MX96="","",IFERROR(VLOOKUP(SUBSTITUTE(SUBSTITUTE(SUBSTITUTE($MX96,"~","~~"),"*","~*"),"?","~?"),'DADOS_MELHORIAS'!$O$2:$X$113,10,FALSE),$MX96))</f>
        <v/>
      </c>
      <c r="RL96">
        <f>IF($MY96="","",IFERROR(VLOOKUP(SUBSTITUTE(SUBSTITUTE(SUBSTITUTE($MY96,"~","~~"),"*","~*"),"?","~?"),'DADOS_MELHORIAS'!$O$2:$X$113,10,FALSE),$MY96))</f>
        <v/>
      </c>
      <c r="RM96">
        <f>IF($MZ96="","",IFERROR(VLOOKUP(SUBSTITUTE(SUBSTITUTE(SUBSTITUTE($MZ96,"~","~~"),"*","~*"),"?","~?"),'DADOS_MELHORIAS'!$O$2:$X$113,10,FALSE),$MZ96))</f>
        <v/>
      </c>
      <c r="RN96">
        <f>IF($NA96="","",IFERROR(VLOOKUP(SUBSTITUTE(SUBSTITUTE(SUBSTITUTE($NA96,"~","~~"),"*","~*"),"?","~?"),'DADOS_MELHORIAS'!$O$2:$X$113,10,FALSE),$NA96))</f>
        <v/>
      </c>
      <c r="RO96">
        <f>IFERROR(INDEX('DADOS_FORMAS'!$BJ$2:$BJ$21,MATCH(SUBSTITUTE(SUBSTITUTE(SUBSTITUTE($MU96,"~","~~"),"*","~*"),"?","~?"),'DADOS_FORMAS'!$AH$2:$AH$21,0)),"")</f>
        <v/>
      </c>
      <c r="RP96">
        <f>IFERROR(VLOOKUP(SUBSTITUTE(SUBSTITUTE(SUBSTITUTE(IFERROR(INDEX('DADOS_FORMAS'!$AS$2:$AS$21,MATCH(SUBSTITUTE(SUBSTITUTE(SUBSTITUTE($MU96,"~","~~"),"*","~*"),"?","~?"),'DADOS_FORMAS'!$AH$2:$AH$21,0)),""),"~","~~"),"*","~*"),"?","~?"),'DADOS_RESTRICOES'!$M$2:$Q$54,2,FALSE),"")</f>
        <v/>
      </c>
      <c r="RQ96">
        <f>$OK96</f>
        <v/>
      </c>
      <c r="RR96">
        <f>$OL96</f>
        <v/>
      </c>
      <c r="RS96">
        <f>$RP96</f>
        <v/>
      </c>
    </row>
    <row r="97">
      <c r="MN97" s="162" t="inlineStr">
        <is>
          <t>Ficha 8 · Especial 3</t>
        </is>
      </c>
      <c r="MO97" s="164" t="n">
        <v>8</v>
      </c>
      <c r="MP97" s="164" t="n">
        <v>1</v>
      </c>
      <c r="MQ97" s="164" t="n">
        <v>8</v>
      </c>
      <c r="MR97" s="162" t="inlineStr">
        <is>
          <t>ESPECIAL 3</t>
        </is>
      </c>
      <c r="MS97" s="164">
        <f>MAX(1,MIN(7,N('INVOCAÇÕES'!$AH$316)))</f>
        <v/>
      </c>
      <c r="MT97" s="164">
        <f>'INVOCAÇÕES'!$AI$316&amp;""</f>
        <v/>
      </c>
      <c r="MU97" s="164">
        <f>'INVOCAÇÕES'!$AH$321&amp;""</f>
        <v/>
      </c>
      <c r="MV97" s="164">
        <f>'INVOCAÇÕES'!$AH$322&amp;""</f>
        <v/>
      </c>
      <c r="MW97" s="164">
        <f>'INVOCAÇÕES'!$AJ$322&amp;""</f>
        <v/>
      </c>
      <c r="MX97" s="164">
        <f>'INVOCAÇÕES'!$AI$325&amp;""</f>
        <v/>
      </c>
      <c r="MY97" s="164">
        <f>'INVOCAÇÕES'!$AI$326&amp;""</f>
        <v/>
      </c>
      <c r="MZ97" s="164">
        <f>'INVOCAÇÕES'!$AI$327&amp;""</f>
        <v/>
      </c>
      <c r="NA97" s="164">
        <f>'INVOCAÇÕES'!$AI$328&amp;""</f>
        <v/>
      </c>
      <c r="NB97" s="164">
        <f>'INVOCAÇÕES'!$AI$329&amp;""</f>
        <v/>
      </c>
      <c r="NC97" s="164">
        <f>'INVOCAÇÕES'!$AI$330&amp;""</f>
        <v/>
      </c>
      <c r="ND97" s="164">
        <f>IF($MT97&lt;&gt;"",1,0)</f>
        <v/>
      </c>
      <c r="NE97" s="164">
        <f>INDEX($FO$2:$FO$13,$MO97)</f>
        <v/>
      </c>
      <c r="NF97" s="164">
        <f>INDEX($FP$2:$FP$13,$MO97)</f>
        <v/>
      </c>
      <c r="NG97" s="164">
        <f>INDEX($FQ$2:$FQ$13,$MO97)</f>
        <v/>
      </c>
      <c r="NH97" s="164">
        <f>INDEX($GB$2:$GB$13,$MO97)</f>
        <v/>
      </c>
      <c r="NI97" s="164">
        <f>INDEX($GC$2:$GC$13,$MO97)</f>
        <v/>
      </c>
      <c r="NJ97" s="164">
        <f>IFERROR(MATCH(SUBSTITUTE(SUBSTITUTE(SUBSTITUTE($MU97,"~","~~"),"*","~*"),"?","~?"),'DADOS_FORMAS'!$FZ$2:$FZ$21,0),0)</f>
        <v/>
      </c>
      <c r="NK97" s="164">
        <f>IFERROR(VLOOKUP(SUBSTITUTE(SUBSTITUTE(SUBSTITUTE($MX97,"~","~~"),"*","~*"),"?","~?"),'DADOS_MELHORIAS'!$AG$2:$AL$113,2,FALSE),"")</f>
        <v/>
      </c>
      <c r="NL97" s="164">
        <f>IFERROR(VLOOKUP(SUBSTITUTE(SUBSTITUTE(SUBSTITUTE($MY97,"~","~~"),"*","~*"),"?","~?"),'DADOS_MELHORIAS'!$AG$2:$AL$113,2,FALSE),"")</f>
        <v/>
      </c>
      <c r="NM97" s="164">
        <f>IFERROR(VLOOKUP(SUBSTITUTE(SUBSTITUTE(SUBSTITUTE($MZ97,"~","~~"),"*","~*"),"?","~?"),'DADOS_MELHORIAS'!$AG$2:$AL$113,2,FALSE),"")</f>
        <v/>
      </c>
      <c r="NN97" s="164">
        <f>IFERROR(VLOOKUP(SUBSTITUTE(SUBSTITUTE(SUBSTITUTE($NA97,"~","~~"),"*","~*"),"?","~?"),'DADOS_MELHORIAS'!$AG$2:$AL$113,2,FALSE),"")</f>
        <v/>
      </c>
      <c r="NO97" s="164">
        <f>IFERROR(VLOOKUP(SUBSTITUTE(SUBSTITUTE(SUBSTITUTE($MX97,"~","~~"),"*","~*"),"?","~?"),'DADOS_MELHORIAS'!$AG$2:$AL$113,3,FALSE),0)</f>
        <v/>
      </c>
      <c r="NP97" s="164">
        <f>IFERROR(VLOOKUP(SUBSTITUTE(SUBSTITUTE(SUBSTITUTE($MY97,"~","~~"),"*","~*"),"?","~?"),'DADOS_MELHORIAS'!$AG$2:$AL$113,3,FALSE),0)</f>
        <v/>
      </c>
      <c r="NQ97" s="164">
        <f>IFERROR(VLOOKUP(SUBSTITUTE(SUBSTITUTE(SUBSTITUTE($MZ97,"~","~~"),"*","~*"),"?","~?"),'DADOS_MELHORIAS'!$AG$2:$AL$113,3,FALSE),0)</f>
        <v/>
      </c>
      <c r="NR97" s="164">
        <f>IFERROR(VLOOKUP(SUBSTITUTE(SUBSTITUTE(SUBSTITUTE($NA97,"~","~~"),"*","~*"),"?","~?"),'DADOS_MELHORIAS'!$AG$2:$AL$113,3,FALSE),0)</f>
        <v/>
      </c>
      <c r="NS97" s="164">
        <f>IF($MS97=0,0,IF($NJ97=0,0,INDEX('DADOS_FORMAS'!$GB$2:$GB$21,$NJ97)))</f>
        <v/>
      </c>
      <c r="NT97" s="164">
        <f>IF(OR($NO97=0,$MS97=0),0,$NO97+3*IF(AND($NK97&lt;&gt;"",COUNTIF(INDEX($RB$2:$RJ$13,$MO97,0),$NK97)&gt;0),1,0))</f>
        <v/>
      </c>
      <c r="NU97" s="164">
        <f>IF(OR($NP97=0,$MS97=0),0,$NP97+3*IF(AND($NL97&lt;&gt;"",COUNTIF(INDEX($RB$2:$RJ$13,$MO97,0),$NL97)&gt;0),1,0))</f>
        <v/>
      </c>
      <c r="NV97" s="164">
        <f>IF(OR($NQ97=0,$MS97=0),0,$NQ97+3*IF(AND($NM97&lt;&gt;"",COUNTIF(INDEX($RB$2:$RJ$13,$MO97,0),$NM97)&gt;0),1,0))</f>
        <v/>
      </c>
      <c r="NW97" s="164">
        <f>IF(OR($NR97=0,$MS97=0),0,$NR97+3*IF(AND($NN97&lt;&gt;"",COUNTIF(INDEX($RB$2:$RJ$13,$MO97,0),$NN97)&gt;0),1,0))</f>
        <v/>
      </c>
      <c r="NX97" s="164">
        <f>IF($NJ97=0,0,IF(INDEX('DADOS_FORMAS'!$GA$2:$GA$21,$NJ97)="",0,IF((COUNTIF(INDEX($EL$2:$EP$13,$MO97,0),INDEX('DADOS_FORMAS'!$GA$2:$GA$21,$NJ97))+COUNTIF(INDEX($QV$2:$QY$13,$MO97,0),INDEX('DADOS_FORMAS'!$GA$2:$GA$21,$NJ97)))=0,1,0)))</f>
        <v/>
      </c>
      <c r="NY97" s="164">
        <f>IF(OR($NO97=0,$NK97=""),0,IF((COUNTIF(INDEX($EL$2:$EP$13,$MO97,0),$NK97)+COUNTIF(INDEX($QV$2:$QY$13,$MO97,0),$NK97))=0,1,0))</f>
        <v/>
      </c>
      <c r="NZ97" s="164">
        <f>IF(OR($NP97=0,$NL97=""),0,IF((COUNTIF(INDEX($EL$2:$EP$13,$MO97,0),$NL97)+COUNTIF(INDEX($QV$2:$QY$13,$MO97,0),$NL97))=0,1,0))</f>
        <v/>
      </c>
      <c r="OA97" s="164">
        <f>IF(OR($NQ97=0,$NM97=""),0,IF((COUNTIF(INDEX($EL$2:$EP$13,$MO97,0),$NM97)+COUNTIF(INDEX($QV$2:$QY$13,$MO97,0),$NM97))=0,1,0))</f>
        <v/>
      </c>
      <c r="OB97" s="164">
        <f>IF(OR($NR97=0,$NN97=""),0,IF((COUNTIF(INDEX($EL$2:$EP$13,$MO97,0),$NN97)+COUNTIF(INDEX($QV$2:$QY$13,$MO97,0),$NN97))=0,1,0))</f>
        <v/>
      </c>
      <c r="OC97" s="164">
        <f>IFERROR(VLOOKUP(SUBSTITUTE(SUBSTITUTE(SUBSTITUTE($MX97,"~","~~"),"*","~*"),"?","~?"),'DADOS_MELHORIAS'!$AG$2:$AL$113,4,FALSE),0)+IFERROR(VLOOKUP(SUBSTITUTE(SUBSTITUTE(SUBSTITUTE($MY97,"~","~~"),"*","~*"),"?","~?"),'DADOS_MELHORIAS'!$AG$2:$AL$113,4,FALSE),0)+IFERROR(VLOOKUP(SUBSTITUTE(SUBSTITUTE(SUBSTITUTE($MZ97,"~","~~"),"*","~*"),"?","~?"),'DADOS_MELHORIAS'!$AG$2:$AL$113,4,FALSE),0)+IFERROR(VLOOKUP(SUBSTITUTE(SUBSTITUTE(SUBSTITUTE($NA97,"~","~~"),"*","~*"),"?","~?"),'DADOS_MELHORIAS'!$AG$2:$AL$113,4,FALSE),0)</f>
        <v/>
      </c>
      <c r="OD97" s="164">
        <f>IFERROR(VLOOKUP(SUBSTITUTE(SUBSTITUTE(SUBSTITUTE($MX97,"~","~~"),"*","~*"),"?","~?"),'DADOS_MELHORIAS'!$AG$2:$AL$113,6,FALSE),0)+IFERROR(VLOOKUP(SUBSTITUTE(SUBSTITUTE(SUBSTITUTE($MY97,"~","~~"),"*","~*"),"?","~?"),'DADOS_MELHORIAS'!$AG$2:$AL$113,6,FALSE),0)+IFERROR(VLOOKUP(SUBSTITUTE(SUBSTITUTE(SUBSTITUTE($MZ97,"~","~~"),"*","~*"),"?","~?"),'DADOS_MELHORIAS'!$AG$2:$AL$113,6,FALSE),0)+IFERROR(VLOOKUP(SUBSTITUTE(SUBSTITUTE(SUBSTITUTE($NA97,"~","~~"),"*","~*"),"?","~?"),'DADOS_MELHORIAS'!$AG$2:$AL$113,6,FALSE),0)+IFERROR(N(AND(INDEX('DADOS_FORMAS'!$AO$2:$AO$21,MATCH(SUBSTITUTE(SUBSTITUTE(SUBSTITUTE($MU97,"~","~~"),"*","~*"),"?","~?"),'DADOS_FORMAS'!$AH$2:$AH$21,0))="Acerto",$OH97=1)),0)</f>
        <v/>
      </c>
      <c r="OE97" s="164">
        <f>TEXTJOIN(", ",TRUE,IF(IFERROR(VLOOKUP(SUBSTITUTE(SUBSTITUTE(SUBSTITUTE($MX97,"~","~~"),"*","~*"),"?","~?"),'DADOS_MELHORIAS'!$AG$2:$AL$113,5,FALSE),0)=1,$MX97,""),IF(IFERROR(VLOOKUP(SUBSTITUTE(SUBSTITUTE(SUBSTITUTE($MY97,"~","~~"),"*","~*"),"?","~?"),'DADOS_MELHORIAS'!$AG$2:$AL$113,5,FALSE),0)=1,$MY97,""),IF(IFERROR(VLOOKUP(SUBSTITUTE(SUBSTITUTE(SUBSTITUTE($MZ97,"~","~~"),"*","~*"),"?","~?"),'DADOS_MELHORIAS'!$AG$2:$AL$113,5,FALSE),0)=1,$MZ97,""),IF(IFERROR(VLOOKUP(SUBSTITUTE(SUBSTITUTE(SUBSTITUTE($NA97,"~","~~"),"*","~*"),"?","~?"),'DADOS_MELHORIAS'!$AG$2:$AL$113,5,FALSE),0)=1,$NA97,""))</f>
        <v/>
      </c>
      <c r="OF97" s="164">
        <f>IF($NJ97=0,0,INDEX('DADOS_FORMAS'!$GC$2:$GC$21,$NJ97))</f>
        <v/>
      </c>
      <c r="OG97" s="164">
        <f>IF($NJ97=0,0,INDEX('DADOS_FORMAS'!$GD$2:$GD$21,$NJ97))</f>
        <v/>
      </c>
      <c r="OH97" s="164">
        <f>IF($NJ97=0,0,INDEX('DADOS_FORMAS'!$GF$2:$GF$21,$NJ97))</f>
        <v/>
      </c>
      <c r="OI97" s="164">
        <f>IFERROR(VLOOKUP(SUBSTITUTE(SUBSTITUTE(SUBSTITUTE($NB97,"~","~~"),"*","~*"),"?","~?"),'DADOS_RESTRICOES'!$M$2:$Q$54,3,FALSE),0)</f>
        <v/>
      </c>
      <c r="OJ97" s="164">
        <f>IFERROR(VLOOKUP(SUBSTITUTE(SUBSTITUTE(SUBSTITUTE($NC97,"~","~~"),"*","~*"),"?","~?"),'DADOS_RESTRICOES'!$M$2:$Q$54,3,FALSE),0)</f>
        <v/>
      </c>
      <c r="OK97" s="164">
        <f>IFERROR(VLOOKUP(SUBSTITUTE(SUBSTITUTE(SUBSTITUTE($NB97,"~","~~"),"*","~*"),"?","~?"),'DADOS_RESTRICOES'!$M$2:$Q$54,2,FALSE),"")</f>
        <v/>
      </c>
      <c r="OL97" s="164">
        <f>IFERROR(VLOOKUP(SUBSTITUTE(SUBSTITUTE(SUBSTITUTE($NC97,"~","~~"),"*","~*"),"?","~?"),'DADOS_RESTRICOES'!$M$2:$Q$54,2,FALSE),"")</f>
        <v/>
      </c>
      <c r="OM97" s="164">
        <f>COUNTIF($NS97:$NW97,1)</f>
        <v/>
      </c>
      <c r="ON97" s="164">
        <f>COUNTIF($NS97:$NW97,2)</f>
        <v/>
      </c>
      <c r="OO97" s="164">
        <f>COUNTIF($NS97:$NW97,3)</f>
        <v/>
      </c>
      <c r="OP97" s="164">
        <f>COUNTIF($NS97:$NW97,4)</f>
        <v/>
      </c>
      <c r="OQ97" s="164">
        <f>COUNTIF($NS97:$NW97,5)</f>
        <v/>
      </c>
      <c r="OR97" s="164">
        <f>COUNTIF($NS97:$NW97,6)</f>
        <v/>
      </c>
      <c r="OS97" s="164">
        <f>COUNTIF($OI97:$OJ97,1)+IF(IFERROR(INDEX('DADOS_FORMAS'!$AS$2:$AS$21,MATCH(SUBSTITUTE(SUBSTITUTE(SUBSTITUTE($MU97,"~","~~"),"*","~*"),"?","~?"),'DADOS_FORMAS'!$AH$2:$AH$21,0)),"")="",0,IFERROR(N(VLOOKUP(SUBSTITUTE(SUBSTITUTE(SUBSTITUTE(IFERROR(INDEX('DADOS_FORMAS'!$AS$2:$AS$21,MATCH(SUBSTITUTE(SUBSTITUTE(SUBSTITUTE($MU97,"~","~~"),"*","~*"),"?","~?"),'DADOS_FORMAS'!$AH$2:$AH$21,0)),""),"~","~~"),"*","~*"),"?","~?"),'DADOS_RESTRICOES'!$M$2:$Q$54,3,FALSE)=1),0))</f>
        <v/>
      </c>
      <c r="OT97" s="164">
        <f>COUNTIF($OI97:$OJ97,2)+IF(IFERROR(INDEX('DADOS_FORMAS'!$AS$2:$AS$21,MATCH(SUBSTITUTE(SUBSTITUTE(SUBSTITUTE($MU97,"~","~~"),"*","~*"),"?","~?"),'DADOS_FORMAS'!$AH$2:$AH$21,0)),"")="",0,IFERROR(N(VLOOKUP(SUBSTITUTE(SUBSTITUTE(SUBSTITUTE(IFERROR(INDEX('DADOS_FORMAS'!$AS$2:$AS$21,MATCH(SUBSTITUTE(SUBSTITUTE(SUBSTITUTE($MU97,"~","~~"),"*","~*"),"?","~?"),'DADOS_FORMAS'!$AH$2:$AH$21,0)),""),"~","~~"),"*","~*"),"?","~?"),'DADOS_RESTRICOES'!$M$2:$Q$54,3,FALSE)=2),0))</f>
        <v/>
      </c>
      <c r="OU97" s="164">
        <f>COUNTIF($MX97:$NA97,"?*")</f>
        <v/>
      </c>
      <c r="OV97" s="164">
        <f>COUNTIF($NB97:$NC97,"?*")+$OF97</f>
        <v/>
      </c>
      <c r="OW97" s="164">
        <f>IF($MS97=0,0,SUMPRODUCT($OM97:$OR97,INDEX($I$2:$N$8,MAX(1,$MS97),0)))</f>
        <v/>
      </c>
      <c r="OX97" s="164">
        <f>IF($MS97=0,0,$OS97*CEILING($MS97/2,1)+$OT97*$MS97)</f>
        <v/>
      </c>
      <c r="OY97" s="164">
        <f>MIN(2*$MS97,$OX97)</f>
        <v/>
      </c>
      <c r="OZ97" s="164">
        <f>MIN($OY97,$OW97-IF($NS97=0,0,INDEX($I$2:$N$8,MAX(1,$MS97),$NS97)))</f>
        <v/>
      </c>
      <c r="PA97" s="164">
        <f>$OY97-$OZ97</f>
        <v/>
      </c>
      <c r="PB97" s="164">
        <f>IF($MS97=0,0,INDEX($P$2:$P$8,MAX(1,$MS97)))</f>
        <v/>
      </c>
      <c r="PC97" s="164">
        <f>$PB97-$OW97+$OZ97</f>
        <v/>
      </c>
      <c r="PD97" s="164">
        <f>IF($MS97=0,MAX(0,$NG97-IF(AND($OU97&gt;0,COUNTIF($NB97:$NC97,"?*")=0),1,0)),MAX(0,$PC97))</f>
        <v/>
      </c>
      <c r="PE97" s="164">
        <f>IF($MS97=0,0,(IF(COUNTIF($RK97:$RN97,"Salto")&gt;0,1,0)+IF(COUNTIF($RK97:$RN97,"Queima")&gt;0,1,0)+IF(COUNTIF($RK97:$RN97,"Estilhaço")&gt;0,1,0))*FLOOR($PD97/2,1))</f>
        <v/>
      </c>
      <c r="PF97" s="164">
        <f>MAX(0,2-SUMPRODUCT($OM97:$OR97,$I$2:$N$2)+MIN(2,$OS97*1+$OT97*1,SUMPRODUCT($OM97:$OR97,$I$2:$N$2)-IF($NS97=0,0,INDEX($I$2:$N$2,1,$NS97))))</f>
        <v/>
      </c>
      <c r="PG97" s="164">
        <f>MAX(0,4-SUMPRODUCT($OM97:$OR97,$I$3:$N$3)+MIN(4,$OS97*1+$OT97*2,SUMPRODUCT($OM97:$OR97,$I$3:$N$3)-IF($NS97=0,0,INDEX($I$3:$N$3,1,$NS97))))</f>
        <v/>
      </c>
      <c r="PH97" s="164">
        <f>MAX(0,6-SUMPRODUCT($OM97:$OR97,$I$4:$N$4)+MIN(6,$OS97*2+$OT97*3,SUMPRODUCT($OM97:$OR97,$I$4:$N$4)-IF($NS97=0,0,INDEX($I$4:$N$4,1,$NS97))))</f>
        <v/>
      </c>
      <c r="PI97" s="164">
        <f>MAX(0,9-SUMPRODUCT($OM97:$OR97,$I$5:$N$5)+MIN(8,$OS97*2+$OT97*4,SUMPRODUCT($OM97:$OR97,$I$5:$N$5)-IF($NS97=0,0,INDEX($I$5:$N$5,1,$NS97))))</f>
        <v/>
      </c>
      <c r="PJ97" s="164">
        <f>MAX(0,11-SUMPRODUCT($OM97:$OR97,$I$6:$N$6)+MIN(10,$OS97*3+$OT97*5,SUMPRODUCT($OM97:$OR97,$I$6:$N$6)-IF($NS97=0,0,INDEX($I$6:$N$6,1,$NS97))))</f>
        <v/>
      </c>
      <c r="PK97" s="164">
        <f>MAX(0,13-SUMPRODUCT($OM97:$OR97,$I$7:$N$7)+MIN(12,$OS97*3+$OT97*6,SUMPRODUCT($OM97:$OR97,$I$7:$N$7)-IF($NS97=0,0,INDEX($I$7:$N$7,1,$NS97))))</f>
        <v/>
      </c>
      <c r="PL97" s="164">
        <f>MAX(0,16-SUMPRODUCT($OM97:$OR97,$I$8:$N$8)+MIN(14,$OS97*4+$OT97*7,SUMPRODUCT($OM97:$OR97,$I$8:$N$8)-IF($NS97=0,0,INDEX($I$8:$N$8,1,$NS97))))</f>
        <v/>
      </c>
      <c r="PM97" s="164">
        <f>IF($OG97=2,3*$PF97&amp;" de vida temp.",IF($OG97=3,"sem dano",IF($PF97=0,IF($OG97=1,"sem cura","sem dano"),IF($OG97=1,"cura ","")&amp;$PF97&amp;"d8")))</f>
        <v/>
      </c>
      <c r="PN97" s="164">
        <f>IF($OG97=2,3*$PG97&amp;" de vida temp.",IF($OG97=3,"sem dano",IF($PG97=0,IF($OG97=1,"sem cura","sem dano"),IF($OG97=1,"cura ","")&amp;$PG97&amp;"d8")))</f>
        <v/>
      </c>
      <c r="PO97" s="164">
        <f>IF($OG97=2,3*$PH97&amp;" de vida temp.",IF($OG97=3,"sem dano",IF($PH97=0,IF($OG97=1,"sem cura","sem dano"),IF($OG97=1,"cura ","")&amp;$PH97&amp;"d8")))</f>
        <v/>
      </c>
      <c r="PP97" s="164">
        <f>IF($OG97=2,3*$PI97&amp;" de vida temp.",IF($OG97=3,"sem dano",IF($PI97=0,IF($OG97=1,"sem cura","sem dano"),IF($OG97=1,"cura ","")&amp;$PI97&amp;"d8")))</f>
        <v/>
      </c>
      <c r="PQ97" s="164">
        <f>IF($OG97=2,3*$PJ97&amp;" de vida temp.",IF($OG97=3,"sem dano",IF($PJ97=0,IF($OG97=1,"sem cura","sem dano"),IF($OG97=1,"cura ","")&amp;$PJ97&amp;"d8")))</f>
        <v/>
      </c>
      <c r="PR97" s="164">
        <f>IF($OG97=2,3*$PK97&amp;" de vida temp.",IF($OG97=3,"sem dano",IF($PK97=0,IF($OG97=1,"sem cura","sem dano"),IF($OG97=1,"cura ","")&amp;$PK97&amp;"d8")))</f>
        <v/>
      </c>
      <c r="PS97" s="164">
        <f>IF($OG97=2,3*$PL97&amp;" de vida temp.",IF($OG97=3,"sem dano",IF($PL97=0,IF($OG97=1,"sem cura","sem dano"),IF($OG97=1,"cura ","")&amp;$PL97&amp;"d8")))</f>
        <v/>
      </c>
      <c r="PT97" s="164">
        <f>IF($ND97=0,"",TEXTJOIN(" · ",TRUE,IF($ND97=0,"",TEXTJOIN(" · ",TRUE,IF($ND97=0,"",TEXTJOIN(" · ",TRUE,IF($MQ97&gt;$NE97,"Este lugar abre no nível "&amp;$MQ97,""),IF($MS97&gt;$NF97,"Classe "&amp;$MS97&amp;": o nível "&amp;$NE97&amp;" libera até a "&amp;$NF97,""),IF($NX97=1,"A Forma "&amp;$MU97&amp;" pede "&amp;INDEX('DADOS_FORMAS'!$GA$2:$GA$21,$NJ97)&amp;" aberta",""),IF(AND($MS97=0,$NJ97&gt;0,IF($NJ97=0,0,INDEX('DADOS_FORMAS'!$GJ$2:$GJ$21,$NJ97))=0),$MU97&amp;" não existe na Classe 0",""),IF($NY97=1,"Família Fechada: "&amp;$MX97,""),IF($NZ97=1,"Família Fechada: "&amp;$MY97,""),IF($OA97=1,"Família Fechada: "&amp;$MZ97,""),IF($OB97=1,"Família Fechada: "&amp;$NA97,""),IF(AND($MS97&gt;0,$OU97&gt;INDEX($O$2:$O$8,MAX(1,$MS97))),$OU97&amp;" Melhorias: a Classe "&amp;$MS97&amp;" aceita "&amp;INDEX($O$2:$O$8,MAX(1,$MS97)),""),IF(AND($MS97=0,$OU97&gt;1),"A básica aceita uma Melhoria",""),IF(AND($MS97=0,COUNTIF($NO97:$NR97,"&gt;1")&gt;0),"A básica só aceita Melhoria Leve",""),IF(AND($MS97&gt;0,$OV97&gt;2),$OV97&amp;" Restrições"&amp;IF($OF97=1,", contando a que a Forma "&amp;$MU97&amp;" já traz","")&amp;": o limite é 2",""),IF(AND($MS97=0,COUNTIF($NB97:$NC97,"?*")&gt;1),"A básica aceita uma Restrição Leve",""),IF(AND($MS97=0,COUNTIF($OI97:$OJ97,2)&gt;0),"A básica só aceita Restrição Leve",""),IF(AND($MS97&gt;0,$PC97&lt;0),"Orçamento estourado: faltam "&amp;(-$PC97)&amp;IF($PC97&lt;-1," pontos"," ponto"),""),IF(IFERROR(VLOOKUP(SUBSTITUTE(SUBSTITUTE(SUBSTITUTE($NB97,"~","~~"),"*","~*"),"?","~?"),'DADOS_RESTRICOES'!$M$2:$Q$54,4,FALSE),0)+IFERROR(VLOOKUP(SUBSTITUTE(SUBSTITUTE(SUBSTITUTE($NC97,"~","~~"),"*","~*"),"?","~?"),'DADOS_RESTRICOES'!$M$2:$Q$54,4,FALSE),0)&gt;1,$OK97&amp;" e "&amp;$OL97&amp;" são as duas de frequência",""),IF(AND((COUNTIF($RK97:$RN97,"Rápido")+COUNTIF($OK97:$OL97,"Rápido"))&gt;0,(COUNTIF($MX97:$NA97,"Atrasar")+COUNTIF($OK97:$OL97,"Atrasar"))&gt;0),"Rápido não entra com Atrasar",""),IF(AND((COUNTIF($RK97:$RN97,"Reação")+COUNTIF($OK97:$OL97,"Reação"))&gt;0,(COUNTIF($RK97:$RN97,"Rápido")+COUNTIF($OK97:$OL97,"Rápido"))&gt;0),"Reação não entra com Rápido",""),IF(AND((COUNTIF($RK97:$RN97,"Reação")+COUNTIF($OK97:$OL97,"Reação"))&gt;0,(COUNTIF($RK97:$RN97,"Armado")+COUNTIF($OK97:$OL97,"Armado"))&gt;0),"Reação não entra com Armado",""),IF(AND((COUNTIF($RK97:$RN97,"Reação")+COUNTIF($OK97:$OL97,"Reação"))&gt;0,(COUNTIF($MX97:$NA97,"Atrasar")+COUNTIF($OK97:$OL97,"Atrasar"))&gt;0),"Reação não entra com Atrasar",""),IF(AND((COUNTIF($RK97:$RN97,"Reação")+COUNTIF($OK97:$OL97,"Reação"))&gt;0,(COUNTIF($MX97:$NA97,"Parado")+COUNTIF($OK97:$OL97,"Parado"))&gt;0),"Reação não entra com Parado",""),IF(AND((COUNTIF($MX97:$NA97,"Atrasar")+COUNTIF($OK97:$OL97,"Atrasar"))&gt;0,(COUNTIF($MX97:$NA97,"Parado")+COUNTIF($OK97:$OL97,"Parado"))&gt;0),"Atrasar não entra com Parado",""),IF(AND((COUNTIF($RK97:$RN97,"Armado")+COUNTIF($OK97:$OL97,"Armado"))&gt;0,(COUNTIF($MX97:$NA97,"Carregar")+COUNTIF($OK97:$OL97,"Carregar"))&gt;0),"Armado não entra com Carregar",""),IF(AND(COUNTIF($OK97:$OL97,"Corpo a Corpo")&gt;0,$OF97=0,OR($RO97="Cone",$RO97="Linha")),"Corpo a Corpo não entra em "&amp;$MU97,""),IF(AND(COUNTIF($OK97:$OL97,"Corpo a Corpo")&gt;0,$RP97="Corpo a Corpo"),"A Forma "&amp;$MU97&amp;" já traz o Corpo a Corpo",""),IF(AND(COUNTIF($OK97:$OL97,"Tudo ou Nada")&gt;0,$OH97=0),"Tudo ou Nada só entra em habilidade de Teste de Resistência",""),IF(AND(COUNTIF($RK97:$RN97,"Inescapável")&gt;0,OR($OU97&gt;1,$OV97&gt;0)),"Inescapável não aceita outra peça",""),IF(AND($MS97&gt;0,$PD97*IF(COUNTIF($RK97:$RN97,"Remate")&gt;0,1.25,1)+$PE97&gt;4*$MS97),($PD97*IF(COUNTIF($RK97:$RN97,"Remate")&gt;0,1.25,1)+$PE97)&amp;" dados somando repetições"&amp;IF(COUNTIF($RK97:$RN97,"Remate")&gt;0," e o Remate","")&amp;": o teto da Classe "&amp;$MS97&amp;" é "&amp;4*$MS97,""))),IF(AND($MX97&lt;&gt;"",COUNTIF('DADOS_MELHORIAS'!$O$2:$O$113,SUBSTITUTE(SUBSTITUTE(SUBSTITUTE($MX97,"~","~~"),"*","~*"),"?","~?"))=0),"Melhoria não cadastrada ou com erro: "&amp;$MX97,""),IF(AND($MY97&lt;&gt;"",COUNTIF('DADOS_MELHORIAS'!$O$2:$O$113,SUBSTITUTE(SUBSTITUTE(SUBSTITUTE($MY97,"~","~~"),"*","~*"),"?","~?"))=0),"Melhoria não cadastrada ou com erro: "&amp;$MY97,""),IF(AND($MZ97&lt;&gt;"",COUNTIF('DADOS_MELHORIAS'!$O$2:$O$113,SUBSTITUTE(SUBSTITUTE(SUBSTITUTE($MZ97,"~","~~"),"*","~*"),"?","~?"))=0),"Melhoria não cadastrada ou com erro: "&amp;$MZ97,""),IF(AND($NA97&lt;&gt;"",COUNTIF('DADOS_MELHORIAS'!$O$2:$O$113,SUBSTITUTE(SUBSTITUTE(SUBSTITUTE($NA97,"~","~~"),"*","~*"),"?","~?"))=0),"Melhoria não cadastrada ou com erro: "&amp;$NA97,""),IF(AND($NB97&lt;&gt;"",COUNTIF('DADOS_RESTRICOES'!$M$2:$M$54,SUBSTITUTE(SUBSTITUTE(SUBSTITUTE($NB97,"~","~~"),"*","~*"),"?","~?"))=0),"Restrição não cadastrada ou com erro: "&amp;$NB97,""),IF(AND($NC97&lt;&gt;"",COUNTIF('DADOS_RESTRICOES'!$M$2:$M$54,SUBSTITUTE(SUBSTITUTE(SUBSTITUTE($NC97,"~","~~"),"*","~*"),"?","~?"))=0),"Restrição não cadastrada ou com erro: "&amp;$NC97,""))),IF(AND($MU97&lt;&gt;"",COUNTIF('DADOS_FORMAS'!$AH$2:$AH$21,SUBSTITUTE(SUBSTITUTE(SUBSTITUTE($MU97,"~","~~"),"*","~*"),"?","~?"))=0),"Forma não cadastrada ou com erro: "&amp;$MU97,""),IF(AND(IFERROR(INDEX('DADOS_FORMAS'!$AS$2:$AS$21,MATCH(SUBSTITUTE(SUBSTITUTE(SUBSTITUTE($MU97,"~","~~"),"*","~*"),"?","~?"),'DADOS_FORMAS'!$AH$2:$AH$21,0)),"")&lt;&gt;"",OR(IFERROR(VLOOKUP(SUBSTITUTE(SUBSTITUTE(SUBSTITUTE(IFERROR(INDEX('DADOS_FORMAS'!$AS$2:$AS$21,MATCH(SUBSTITUTE(SUBSTITUTE(SUBSTITUTE($MU97,"~","~~"),"*","~*"),"?","~?"),'DADOS_FORMAS'!$AH$2:$AH$21,0)),""),"~","~~"),"*","~*"),"?","~?"),'DADOS_RESTRICOES'!$M$2:$Q$54,2,FALSE),"")=$OK97,IFERROR(VLOOKUP(SUBSTITUTE(SUBSTITUTE(SUBSTITUTE(IFERROR(INDEX('DADOS_FORMAS'!$AS$2:$AS$21,MATCH(SUBSTITUTE(SUBSTITUTE(SUBSTITUTE($MU97,"~","~~"),"*","~*"),"?","~?"),'DADOS_FORMAS'!$AH$2:$AH$21,0)),""),"~","~~"),"*","~*"),"?","~?"),'DADOS_RESTRICOES'!$M$2:$Q$54,2,FALSE),"")=$OL97)),"Restrição repetida, contando a embutida",""),IF(IF(IFERROR(INDEX('DADOS_FORMAS'!$AS$2:$AS$21,MATCH(SUBSTITUTE(SUBSTITUTE(SUBSTITUTE($MU97,"~","~~"),"*","~*"),"?","~?"),'DADOS_FORMAS'!$AH$2:$AH$21,0)),"")="",0,IFERROR(N(VLOOKUP(SUBSTITUTE(SUBSTITUTE(SUBSTITUTE(IFERROR(INDEX('DADOS_FORMAS'!$AS$2:$AS$21,MATCH(SUBSTITUTE(SUBSTITUTE(SUBSTITUTE($MU97,"~","~~"),"*","~*"),"?","~?"),'DADOS_FORMAS'!$AH$2:$AH$21,0)),""),"~","~~"),"*","~*"),"?","~?"),'DADOS_RESTRICOES'!$M$2:$Q$54,4,FALSE)=1),0))+IF($NB97="",0,IFERROR(N(VLOOKUP(SUBSTITUTE(SUBSTITUTE(SUBSTITUTE($NB97,"~","~~"),"*","~*"),"?","~?"),'DADOS_RESTRICOES'!$M$2:$Q$54,4,FALSE)=1),0))+IF($NC97="",0,IFERROR(N(VLOOKUP(SUBSTITUTE(SUBSTITUTE(SUBSTITUTE($NC97,"~","~~"),"*","~*"),"?","~?"),'DADOS_RESTRICOES'!$M$2:$Q$54,4,FALSE)=1),0))&gt;1,"Duas Restrições de frequência, contando a embutida",""),IF(AND(IFERROR(VLOOKUP(SUBSTITUTE(SUBSTITUTE(SUBSTITUTE(IFERROR(INDEX('DADOS_FORMAS'!$AS$2:$AS$21,MATCH(SUBSTITUTE(SUBSTITUTE(SUBSTITUTE($MU97,"~","~~"),"*","~*"),"?","~?"),'DADOS_FORMAS'!$AH$2:$AH$21,0)),""),"~","~~"),"*","~*"),"?","~?"),'DADOS_RESTRICOES'!$M$2:$Q$54,2,FALSE),"")="Tudo ou Nada",$OH97=0),"Tudo ou Nada exige TR",""),IF(AND(IFERROR(VLOOKUP(SUBSTITUTE(SUBSTITUTE(SUBSTITUTE(IFERROR(INDEX('DADOS_FORMAS'!$AS$2:$AS$21,MATCH(SUBSTITUTE(SUBSTITUTE(SUBSTITUTE($MU97,"~","~~"),"*","~*"),"?","~?"),'DADOS_FORMAS'!$AH$2:$AH$21,0)),""),"~","~~"),"*","~*"),"?","~?"),'DADOS_RESTRICOES'!$M$2:$Q$54,2,FALSE),"")="Corpo a Corpo",OR($RO97="Cone",$RO97="Linha")),"Corpo a Corpo não entra em Cone/Linha","")))</f>
        <v/>
      </c>
      <c r="PU97" s="164">
        <f>IF($PT97="",0,(LEN($PT97)-LEN(SUBSTITUTE($PT97," · ","")))/3+1)</f>
        <v/>
      </c>
      <c r="PV97" s="164">
        <f>IF($ND97=0,"",TEXTJOIN(" · ",TRUE,IF($OX97&gt;2*$MS97,"A devolução parou no teto de "&amp;2*$MS97,""),IF($PA97&gt;0,"Devolução perdida: "&amp;$PA97&amp;IF($PA97&gt;1," pontos"," ponto")&amp;" sem Melhoria para pagar",""),IF(AND($OC97&gt;0,AND($MS97&gt;0,$OG97=0),$PD97=0),"Controle sem dano: uma rodada a mais e CD +2",""),IF(AND($OC97&gt;0,AND($MS97&gt;0,$OG97=0),$PD97&gt;0,$PD97&lt;=$MS97),"Controle com saldo até a Classe: uma rodada a mais",""),IF(AND($MS97&gt;0,$OE97&lt;&gt;""),"Efeito de "&amp;$OE97&amp;" pela Classe "&amp;MAX(1,$MS97-1),"")))</f>
        <v/>
      </c>
      <c r="PW97" s="164">
        <f>IF($PV97="",0,(LEN($PV97)-LEN(SUBSTITUTE($PV97," · ","")))/3+1)</f>
        <v/>
      </c>
      <c r="PX97" s="164">
        <f>IF($ND97=0,IF($OU97+COUNTIF($NB97:$NC97,"?*")&gt;0,"Dê um nome",""),IF($PU97&gt;0,"⚠ "&amp;$PU97&amp;IF($PU97&gt;1," erros"," erro"),IF($PW97&gt;0,"! "&amp;$PW97&amp;IF($PW97&gt;1," avisos"," aviso"),"Na regra")))</f>
        <v/>
      </c>
      <c r="PY97" s="164">
        <f>IF($ND97=0,"",IF($PU97+$PW97=0,"Dentro das regras que a ficha confere",$PT97&amp;IF(AND($PU97&gt;0,$PW97&gt;0)," · ","")&amp;$PV97))</f>
        <v/>
      </c>
      <c r="PZ97" s="164">
        <f>IF($MQ97&gt;$NE97,$MR97&amp;" · ABRE NO NÍVEL "&amp;$MQ97,$MR97)</f>
        <v/>
      </c>
      <c r="QA97" s="164">
        <f>IF($ND97=0,"",IF($MS97=0,"Sem PE",3*$MS97&amp;" PE"))</f>
        <v/>
      </c>
      <c r="QB97" s="164">
        <f>IF($ND97=0,"",IF($MS97=0,"A atuação básica dela",IF(COUNTIF($RQ97:$RS97,"Atrasar")&gt;0,"Sua Ação Completa",IF(COUNTIF($RK97:$RN97,"Rápido")&gt;0,"Sua Bônus",IF(COUNTIF($RK97:$RN97,"Reação")&gt;0,"Sua Reação","Sua Padrão")))&amp;" + a básica dela"&amp;IF(COUNTIF($RK97:$RN97,"Reação")&gt;0," e a coletiva","")&amp;IF(COUNTIF($RQ97:$RS97,"Carregar")&gt;0," · em dois turnos","")))</f>
        <v/>
      </c>
      <c r="QC97" s="164">
        <f>IF($MW97&lt;&gt;"",$MW97,IF($NJ97=0,"",INDEX('DADOS_FORMAS'!$GE$2:$GE$21,$NJ97)))</f>
        <v/>
      </c>
      <c r="QD97" s="164">
        <f>IF(OR($ND97=0,$NJ97=0),"",IF(COUNTIF($RK97:$RN97,"Inescapável")&gt;0,"Automático",IF($QC97="Ataque",IF($NH97="","Ataque","Ataque "&amp;IF(($NH97+2*IF(COUNTIF($RK97:$RN97,"Precisão")&gt;0,1,0))&gt;=0,"+","−")&amp;ABS(($NH97+2*IF(COUNTIF($RK97:$RN97,"Precisão")&gt;0,1,0))))&amp;IF($OD97&gt;0," · TR"&amp;IF($NI97="",""," CD "&amp;$NI97),""),IF(LEFT($QC97,2)="TR",$QC97&amp;IF($NI97="",""," · CD "&amp;$NI97)&amp;IF(COUNTIF($RK97:$RN97,"Certeiro")&gt;0," · metade",""),"Sem rolagem"))))</f>
        <v/>
      </c>
      <c r="QE97" s="164">
        <f>IF(OR($ND97=0,$NJ97=0),"",IF($MS97=0,IF(OR($OG97&gt;=1,$PD97=0),"Sem dano",$PD97&amp;"d6"&amp;IF($MV97="",""," "&amp;$MV97)),IF(OR($OG97&gt;=1,$PD97=0),UPPER(LEFT(INDEX($PM97:$PS97,1,MAX(1,$MS97)),1))&amp;MID(INDEX($PM97:$PS97,1,MAX(1,$MS97)),2,99),UPPER(LEFT(INDEX($PM97:$PS97,1,MAX(1,$MS97)),1))&amp;MID(INDEX($PM97:$PS97,1,MAX(1,$MS97)),2,99)&amp;IF($MV97="",""," "&amp;$MV97)&amp;IF($PE97&gt;0," · +"&amp;$PE97&amp;"d8",""))))</f>
        <v/>
      </c>
      <c r="QF97" s="164">
        <f>COUNTIF($RK97:$RN97,"Longe")+3*COUNTIF($RK97:$RN97,"Muito Longe")</f>
        <v/>
      </c>
      <c r="QG97" s="164">
        <f>COUNTIF($RK97:$RN97,"Maior")+3*COUNTIF($RK97:$RN97,"Muito Maior")</f>
        <v/>
      </c>
      <c r="QH97" s="164">
        <f>IF($NJ97=0,0,CHOOSE(1+INDEX('DADOS_FORMAS'!$GG$2:$GG$21,$NJ97),0,$QF97,$QG97,$QF97+$QG97))</f>
        <v/>
      </c>
      <c r="QI97" s="164">
        <f>IF($NJ97=0,0,CHOOSE(1+INDEX('DADOS_FORMAS'!$GH$2:$GH$21,$NJ97),0,$QF97,$QG97,$QF97+$QG97))</f>
        <v/>
      </c>
      <c r="QJ97" s="164">
        <f>IF(OR($ND97=0,$NJ97=0),"",INDEX('DADOS_FORMAS'!$HU$2:$HZ$81,($NJ97-1)*4+IF($MS97=0,1,IF($MS97&lt;=5,2,IF($MS97=6,3,4))),1+MIN(5,$QH97))&amp;INDEX('DADOS_FORMAS'!$IA$2:$IF$81,($NJ97-1)*4+IF($MS97=0,1,IF($MS97&lt;=5,2,IF($MS97=6,3,4))),1+MIN(5,$QI97))&amp;IF(INDEX('DADOS_FORMAS'!$GI$2:$GI$21,$NJ97)=1,IF(COUNTIF($RK97:$RN97,"Mais Um")&gt;0," · +"&amp;COUNTIF($RK97:$RN97,"Mais Um")&amp;IF(COUNTIF($RK97:$RN97,"Mais Um")&gt;1," alvos"," alvo"),"")&amp;IF(COUNTIF($RK97:$RN97,"Rajada")&gt;0,IF($MS97=0," · 1 tiro"," · "&amp;(MAX(1,$MS97-1)+1)&amp;" tiros"),""),""))</f>
        <v/>
      </c>
      <c r="QK97" s="164">
        <f>IF($ND97=0,"",IF($MS97=0,$NG97&amp;"d6"&amp;IF($OU97&gt;0," − 1 = "&amp;$PD97&amp;"d6"," da básica do nível "&amp;$NE97),$PB97&amp;" − "&amp;$OW97&amp;" + "&amp;$OZ97&amp;" = "&amp;$PC97&amp;" · teto "&amp;4*$MS97&amp;"d8"&amp;IF($OF97=1," · a Forma devolve "&amp;$MS97,"")&amp;IF($PA97&gt;0," · perde "&amp;$PA97,"")))</f>
        <v/>
      </c>
      <c r="QL97" s="164">
        <f>IF($ND97=0,"",IF($MS97=0,"A básica não amplia: os dados dela sobem com o nível",IF($MS97&gt;=$NF97,"Já está na maior Classe que o nível liberou",TEXTJOIN(" · ",TRUE,IF(AND(2&gt;$MS97,2&lt;=$NF97),"2 → "&amp;$PN97&amp;", 6 PE",""),IF(AND(3&gt;$MS97,3&lt;=$NF97),"3 → "&amp;$PO97&amp;", 9 PE",""),IF(AND(4&gt;$MS97,4&lt;=$NF97),"4 → "&amp;$PP97&amp;", 12 PE",""),IF(AND(5&gt;$MS97,5&lt;=$NF97),"5 → "&amp;$PQ97&amp;", 15 PE",""),IF(AND(6&gt;$MS97,6&lt;=$NF97),"6 → "&amp;$PR97&amp;", 18 PE",""),IF(AND(7&gt;$MS97,7&lt;=$NF97),"7 → "&amp;$PS97&amp;", 21 PE","")))))</f>
        <v/>
      </c>
      <c r="QM97" s="164">
        <f>IF(OR($ND97=0,$NO97=0),"",IF($MS97=0,"−1 dado","−"&amp;INDEX($I$2:$N$8,MAX(1,$MS97),MAX(1,$NT97))&amp;" · "&amp;CHOOSE(MAX(1,$NT97),"Leve","Média","Pesada","Leve · Livre","Média · Livre","Pesada · Livre")))</f>
        <v/>
      </c>
      <c r="QN97" s="164">
        <f>IF(OR($ND97=0,$NP97=0),"",IF($MS97=0,"−1 dado","−"&amp;INDEX($I$2:$N$8,MAX(1,$MS97),MAX(1,$NU97))&amp;" · "&amp;CHOOSE(MAX(1,$NU97),"Leve","Média","Pesada","Leve · Livre","Média · Livre","Pesada · Livre")))</f>
        <v/>
      </c>
      <c r="QO97" s="164">
        <f>IF(OR($ND97=0,$NQ97=0),"",IF($MS97=0,"−1 dado","−"&amp;INDEX($I$2:$N$8,MAX(1,$MS97),MAX(1,$NV97))&amp;" · "&amp;CHOOSE(MAX(1,$NV97),"Leve","Média","Pesada","Leve · Livre","Média · Livre","Pesada · Livre")))</f>
        <v/>
      </c>
      <c r="QP97" s="164">
        <f>IF(OR($ND97=0,$NR97=0),"",IF($MS97=0,"−1 dado","−"&amp;INDEX($I$2:$N$8,MAX(1,$MS97),MAX(1,$NW97))&amp;" · "&amp;CHOOSE(MAX(1,$NW97),"Leve","Média","Pesada","Leve · Livre","Média · Livre","Pesada · Livre")))</f>
        <v/>
      </c>
      <c r="QQ97" s="164">
        <f>IF(OR($ND97=0,$NB97=""),"",IF($MS97=0,"não devolve","+"&amp;IF($OI97=1,CEILING($MS97/2,1),$MS97)))</f>
        <v/>
      </c>
      <c r="QR97" s="164">
        <f>IF(OR($ND97=0,$NC97=""),"",IF($MS97=0,"não devolve","+"&amp;IF($OJ97=1,CEILING($MS97/2,1),$MS97)))</f>
        <v/>
      </c>
      <c r="RK97">
        <f>IF($MX97="","",IFERROR(VLOOKUP(SUBSTITUTE(SUBSTITUTE(SUBSTITUTE($MX97,"~","~~"),"*","~*"),"?","~?"),'DADOS_MELHORIAS'!$O$2:$X$113,10,FALSE),$MX97))</f>
        <v/>
      </c>
      <c r="RL97">
        <f>IF($MY97="","",IFERROR(VLOOKUP(SUBSTITUTE(SUBSTITUTE(SUBSTITUTE($MY97,"~","~~"),"*","~*"),"?","~?"),'DADOS_MELHORIAS'!$O$2:$X$113,10,FALSE),$MY97))</f>
        <v/>
      </c>
      <c r="RM97">
        <f>IF($MZ97="","",IFERROR(VLOOKUP(SUBSTITUTE(SUBSTITUTE(SUBSTITUTE($MZ97,"~","~~"),"*","~*"),"?","~?"),'DADOS_MELHORIAS'!$O$2:$X$113,10,FALSE),$MZ97))</f>
        <v/>
      </c>
      <c r="RN97">
        <f>IF($NA97="","",IFERROR(VLOOKUP(SUBSTITUTE(SUBSTITUTE(SUBSTITUTE($NA97,"~","~~"),"*","~*"),"?","~?"),'DADOS_MELHORIAS'!$O$2:$X$113,10,FALSE),$NA97))</f>
        <v/>
      </c>
      <c r="RO97">
        <f>IFERROR(INDEX('DADOS_FORMAS'!$BJ$2:$BJ$21,MATCH(SUBSTITUTE(SUBSTITUTE(SUBSTITUTE($MU97,"~","~~"),"*","~*"),"?","~?"),'DADOS_FORMAS'!$AH$2:$AH$21,0)),"")</f>
        <v/>
      </c>
      <c r="RP97">
        <f>IFERROR(VLOOKUP(SUBSTITUTE(SUBSTITUTE(SUBSTITUTE(IFERROR(INDEX('DADOS_FORMAS'!$AS$2:$AS$21,MATCH(SUBSTITUTE(SUBSTITUTE(SUBSTITUTE($MU97,"~","~~"),"*","~*"),"?","~?"),'DADOS_FORMAS'!$AH$2:$AH$21,0)),""),"~","~~"),"*","~*"),"?","~?"),'DADOS_RESTRICOES'!$M$2:$Q$54,2,FALSE),"")</f>
        <v/>
      </c>
      <c r="RQ97">
        <f>$OK97</f>
        <v/>
      </c>
      <c r="RR97">
        <f>$OL97</f>
        <v/>
      </c>
      <c r="RS97">
        <f>$RP97</f>
        <v/>
      </c>
    </row>
    <row r="98">
      <c r="MN98" s="162" t="inlineStr">
        <is>
          <t>Ficha 8 · Especial 4</t>
        </is>
      </c>
      <c r="MO98" s="164" t="n">
        <v>8</v>
      </c>
      <c r="MP98" s="164" t="n">
        <v>1</v>
      </c>
      <c r="MQ98" s="164" t="n">
        <v>12</v>
      </c>
      <c r="MR98" s="162" t="inlineStr">
        <is>
          <t>ESPECIAL 4</t>
        </is>
      </c>
      <c r="MS98" s="164">
        <f>MAX(1,MIN(7,N('INVOCAÇÕES'!$AN$316)))</f>
        <v/>
      </c>
      <c r="MT98" s="164">
        <f>'INVOCAÇÕES'!$AO$316&amp;""</f>
        <v/>
      </c>
      <c r="MU98" s="164">
        <f>'INVOCAÇÕES'!$AN$321&amp;""</f>
        <v/>
      </c>
      <c r="MV98" s="164">
        <f>'INVOCAÇÕES'!$AN$322&amp;""</f>
        <v/>
      </c>
      <c r="MW98" s="164">
        <f>'INVOCAÇÕES'!$AP$322&amp;""</f>
        <v/>
      </c>
      <c r="MX98" s="164">
        <f>'INVOCAÇÕES'!$AO$325&amp;""</f>
        <v/>
      </c>
      <c r="MY98" s="164">
        <f>'INVOCAÇÕES'!$AO$326&amp;""</f>
        <v/>
      </c>
      <c r="MZ98" s="164">
        <f>'INVOCAÇÕES'!$AO$327&amp;""</f>
        <v/>
      </c>
      <c r="NA98" s="164">
        <f>'INVOCAÇÕES'!$AO$328&amp;""</f>
        <v/>
      </c>
      <c r="NB98" s="164">
        <f>'INVOCAÇÕES'!$AO$329&amp;""</f>
        <v/>
      </c>
      <c r="NC98" s="164">
        <f>'INVOCAÇÕES'!$AO$330&amp;""</f>
        <v/>
      </c>
      <c r="ND98" s="164">
        <f>IF($MT98&lt;&gt;"",1,0)</f>
        <v/>
      </c>
      <c r="NE98" s="164">
        <f>INDEX($FO$2:$FO$13,$MO98)</f>
        <v/>
      </c>
      <c r="NF98" s="164">
        <f>INDEX($FP$2:$FP$13,$MO98)</f>
        <v/>
      </c>
      <c r="NG98" s="164">
        <f>INDEX($FQ$2:$FQ$13,$MO98)</f>
        <v/>
      </c>
      <c r="NH98" s="164">
        <f>INDEX($GB$2:$GB$13,$MO98)</f>
        <v/>
      </c>
      <c r="NI98" s="164">
        <f>INDEX($GC$2:$GC$13,$MO98)</f>
        <v/>
      </c>
      <c r="NJ98" s="164">
        <f>IFERROR(MATCH(SUBSTITUTE(SUBSTITUTE(SUBSTITUTE($MU98,"~","~~"),"*","~*"),"?","~?"),'DADOS_FORMAS'!$FZ$2:$FZ$21,0),0)</f>
        <v/>
      </c>
      <c r="NK98" s="164">
        <f>IFERROR(VLOOKUP(SUBSTITUTE(SUBSTITUTE(SUBSTITUTE($MX98,"~","~~"),"*","~*"),"?","~?"),'DADOS_MELHORIAS'!$AG$2:$AL$113,2,FALSE),"")</f>
        <v/>
      </c>
      <c r="NL98" s="164">
        <f>IFERROR(VLOOKUP(SUBSTITUTE(SUBSTITUTE(SUBSTITUTE($MY98,"~","~~"),"*","~*"),"?","~?"),'DADOS_MELHORIAS'!$AG$2:$AL$113,2,FALSE),"")</f>
        <v/>
      </c>
      <c r="NM98" s="164">
        <f>IFERROR(VLOOKUP(SUBSTITUTE(SUBSTITUTE(SUBSTITUTE($MZ98,"~","~~"),"*","~*"),"?","~?"),'DADOS_MELHORIAS'!$AG$2:$AL$113,2,FALSE),"")</f>
        <v/>
      </c>
      <c r="NN98" s="164">
        <f>IFERROR(VLOOKUP(SUBSTITUTE(SUBSTITUTE(SUBSTITUTE($NA98,"~","~~"),"*","~*"),"?","~?"),'DADOS_MELHORIAS'!$AG$2:$AL$113,2,FALSE),"")</f>
        <v/>
      </c>
      <c r="NO98" s="164">
        <f>IFERROR(VLOOKUP(SUBSTITUTE(SUBSTITUTE(SUBSTITUTE($MX98,"~","~~"),"*","~*"),"?","~?"),'DADOS_MELHORIAS'!$AG$2:$AL$113,3,FALSE),0)</f>
        <v/>
      </c>
      <c r="NP98" s="164">
        <f>IFERROR(VLOOKUP(SUBSTITUTE(SUBSTITUTE(SUBSTITUTE($MY98,"~","~~"),"*","~*"),"?","~?"),'DADOS_MELHORIAS'!$AG$2:$AL$113,3,FALSE),0)</f>
        <v/>
      </c>
      <c r="NQ98" s="164">
        <f>IFERROR(VLOOKUP(SUBSTITUTE(SUBSTITUTE(SUBSTITUTE($MZ98,"~","~~"),"*","~*"),"?","~?"),'DADOS_MELHORIAS'!$AG$2:$AL$113,3,FALSE),0)</f>
        <v/>
      </c>
      <c r="NR98" s="164">
        <f>IFERROR(VLOOKUP(SUBSTITUTE(SUBSTITUTE(SUBSTITUTE($NA98,"~","~~"),"*","~*"),"?","~?"),'DADOS_MELHORIAS'!$AG$2:$AL$113,3,FALSE),0)</f>
        <v/>
      </c>
      <c r="NS98" s="164">
        <f>IF($MS98=0,0,IF($NJ98=0,0,INDEX('DADOS_FORMAS'!$GB$2:$GB$21,$NJ98)))</f>
        <v/>
      </c>
      <c r="NT98" s="164">
        <f>IF(OR($NO98=0,$MS98=0),0,$NO98+3*IF(AND($NK98&lt;&gt;"",COUNTIF(INDEX($RB$2:$RJ$13,$MO98,0),$NK98)&gt;0),1,0))</f>
        <v/>
      </c>
      <c r="NU98" s="164">
        <f>IF(OR($NP98=0,$MS98=0),0,$NP98+3*IF(AND($NL98&lt;&gt;"",COUNTIF(INDEX($RB$2:$RJ$13,$MO98,0),$NL98)&gt;0),1,0))</f>
        <v/>
      </c>
      <c r="NV98" s="164">
        <f>IF(OR($NQ98=0,$MS98=0),0,$NQ98+3*IF(AND($NM98&lt;&gt;"",COUNTIF(INDEX($RB$2:$RJ$13,$MO98,0),$NM98)&gt;0),1,0))</f>
        <v/>
      </c>
      <c r="NW98" s="164">
        <f>IF(OR($NR98=0,$MS98=0),0,$NR98+3*IF(AND($NN98&lt;&gt;"",COUNTIF(INDEX($RB$2:$RJ$13,$MO98,0),$NN98)&gt;0),1,0))</f>
        <v/>
      </c>
      <c r="NX98" s="164">
        <f>IF($NJ98=0,0,IF(INDEX('DADOS_FORMAS'!$GA$2:$GA$21,$NJ98)="",0,IF((COUNTIF(INDEX($EL$2:$EP$13,$MO98,0),INDEX('DADOS_FORMAS'!$GA$2:$GA$21,$NJ98))+COUNTIF(INDEX($QV$2:$QY$13,$MO98,0),INDEX('DADOS_FORMAS'!$GA$2:$GA$21,$NJ98)))=0,1,0)))</f>
        <v/>
      </c>
      <c r="NY98" s="164">
        <f>IF(OR($NO98=0,$NK98=""),0,IF((COUNTIF(INDEX($EL$2:$EP$13,$MO98,0),$NK98)+COUNTIF(INDEX($QV$2:$QY$13,$MO98,0),$NK98))=0,1,0))</f>
        <v/>
      </c>
      <c r="NZ98" s="164">
        <f>IF(OR($NP98=0,$NL98=""),0,IF((COUNTIF(INDEX($EL$2:$EP$13,$MO98,0),$NL98)+COUNTIF(INDEX($QV$2:$QY$13,$MO98,0),$NL98))=0,1,0))</f>
        <v/>
      </c>
      <c r="OA98" s="164">
        <f>IF(OR($NQ98=0,$NM98=""),0,IF((COUNTIF(INDEX($EL$2:$EP$13,$MO98,0),$NM98)+COUNTIF(INDEX($QV$2:$QY$13,$MO98,0),$NM98))=0,1,0))</f>
        <v/>
      </c>
      <c r="OB98" s="164">
        <f>IF(OR($NR98=0,$NN98=""),0,IF((COUNTIF(INDEX($EL$2:$EP$13,$MO98,0),$NN98)+COUNTIF(INDEX($QV$2:$QY$13,$MO98,0),$NN98))=0,1,0))</f>
        <v/>
      </c>
      <c r="OC98" s="164">
        <f>IFERROR(VLOOKUP(SUBSTITUTE(SUBSTITUTE(SUBSTITUTE($MX98,"~","~~"),"*","~*"),"?","~?"),'DADOS_MELHORIAS'!$AG$2:$AL$113,4,FALSE),0)+IFERROR(VLOOKUP(SUBSTITUTE(SUBSTITUTE(SUBSTITUTE($MY98,"~","~~"),"*","~*"),"?","~?"),'DADOS_MELHORIAS'!$AG$2:$AL$113,4,FALSE),0)+IFERROR(VLOOKUP(SUBSTITUTE(SUBSTITUTE(SUBSTITUTE($MZ98,"~","~~"),"*","~*"),"?","~?"),'DADOS_MELHORIAS'!$AG$2:$AL$113,4,FALSE),0)+IFERROR(VLOOKUP(SUBSTITUTE(SUBSTITUTE(SUBSTITUTE($NA98,"~","~~"),"*","~*"),"?","~?"),'DADOS_MELHORIAS'!$AG$2:$AL$113,4,FALSE),0)</f>
        <v/>
      </c>
      <c r="OD98" s="164">
        <f>IFERROR(VLOOKUP(SUBSTITUTE(SUBSTITUTE(SUBSTITUTE($MX98,"~","~~"),"*","~*"),"?","~?"),'DADOS_MELHORIAS'!$AG$2:$AL$113,6,FALSE),0)+IFERROR(VLOOKUP(SUBSTITUTE(SUBSTITUTE(SUBSTITUTE($MY98,"~","~~"),"*","~*"),"?","~?"),'DADOS_MELHORIAS'!$AG$2:$AL$113,6,FALSE),0)+IFERROR(VLOOKUP(SUBSTITUTE(SUBSTITUTE(SUBSTITUTE($MZ98,"~","~~"),"*","~*"),"?","~?"),'DADOS_MELHORIAS'!$AG$2:$AL$113,6,FALSE),0)+IFERROR(VLOOKUP(SUBSTITUTE(SUBSTITUTE(SUBSTITUTE($NA98,"~","~~"),"*","~*"),"?","~?"),'DADOS_MELHORIAS'!$AG$2:$AL$113,6,FALSE),0)+IFERROR(N(AND(INDEX('DADOS_FORMAS'!$AO$2:$AO$21,MATCH(SUBSTITUTE(SUBSTITUTE(SUBSTITUTE($MU98,"~","~~"),"*","~*"),"?","~?"),'DADOS_FORMAS'!$AH$2:$AH$21,0))="Acerto",$OH98=1)),0)</f>
        <v/>
      </c>
      <c r="OE98" s="164">
        <f>TEXTJOIN(", ",TRUE,IF(IFERROR(VLOOKUP(SUBSTITUTE(SUBSTITUTE(SUBSTITUTE($MX98,"~","~~"),"*","~*"),"?","~?"),'DADOS_MELHORIAS'!$AG$2:$AL$113,5,FALSE),0)=1,$MX98,""),IF(IFERROR(VLOOKUP(SUBSTITUTE(SUBSTITUTE(SUBSTITUTE($MY98,"~","~~"),"*","~*"),"?","~?"),'DADOS_MELHORIAS'!$AG$2:$AL$113,5,FALSE),0)=1,$MY98,""),IF(IFERROR(VLOOKUP(SUBSTITUTE(SUBSTITUTE(SUBSTITUTE($MZ98,"~","~~"),"*","~*"),"?","~?"),'DADOS_MELHORIAS'!$AG$2:$AL$113,5,FALSE),0)=1,$MZ98,""),IF(IFERROR(VLOOKUP(SUBSTITUTE(SUBSTITUTE(SUBSTITUTE($NA98,"~","~~"),"*","~*"),"?","~?"),'DADOS_MELHORIAS'!$AG$2:$AL$113,5,FALSE),0)=1,$NA98,""))</f>
        <v/>
      </c>
      <c r="OF98" s="164">
        <f>IF($NJ98=0,0,INDEX('DADOS_FORMAS'!$GC$2:$GC$21,$NJ98))</f>
        <v/>
      </c>
      <c r="OG98" s="164">
        <f>IF($NJ98=0,0,INDEX('DADOS_FORMAS'!$GD$2:$GD$21,$NJ98))</f>
        <v/>
      </c>
      <c r="OH98" s="164">
        <f>IF($NJ98=0,0,INDEX('DADOS_FORMAS'!$GF$2:$GF$21,$NJ98))</f>
        <v/>
      </c>
      <c r="OI98" s="164">
        <f>IFERROR(VLOOKUP(SUBSTITUTE(SUBSTITUTE(SUBSTITUTE($NB98,"~","~~"),"*","~*"),"?","~?"),'DADOS_RESTRICOES'!$M$2:$Q$54,3,FALSE),0)</f>
        <v/>
      </c>
      <c r="OJ98" s="164">
        <f>IFERROR(VLOOKUP(SUBSTITUTE(SUBSTITUTE(SUBSTITUTE($NC98,"~","~~"),"*","~*"),"?","~?"),'DADOS_RESTRICOES'!$M$2:$Q$54,3,FALSE),0)</f>
        <v/>
      </c>
      <c r="OK98" s="164">
        <f>IFERROR(VLOOKUP(SUBSTITUTE(SUBSTITUTE(SUBSTITUTE($NB98,"~","~~"),"*","~*"),"?","~?"),'DADOS_RESTRICOES'!$M$2:$Q$54,2,FALSE),"")</f>
        <v/>
      </c>
      <c r="OL98" s="164">
        <f>IFERROR(VLOOKUP(SUBSTITUTE(SUBSTITUTE(SUBSTITUTE($NC98,"~","~~"),"*","~*"),"?","~?"),'DADOS_RESTRICOES'!$M$2:$Q$54,2,FALSE),"")</f>
        <v/>
      </c>
      <c r="OM98" s="164">
        <f>COUNTIF($NS98:$NW98,1)</f>
        <v/>
      </c>
      <c r="ON98" s="164">
        <f>COUNTIF($NS98:$NW98,2)</f>
        <v/>
      </c>
      <c r="OO98" s="164">
        <f>COUNTIF($NS98:$NW98,3)</f>
        <v/>
      </c>
      <c r="OP98" s="164">
        <f>COUNTIF($NS98:$NW98,4)</f>
        <v/>
      </c>
      <c r="OQ98" s="164">
        <f>COUNTIF($NS98:$NW98,5)</f>
        <v/>
      </c>
      <c r="OR98" s="164">
        <f>COUNTIF($NS98:$NW98,6)</f>
        <v/>
      </c>
      <c r="OS98" s="164">
        <f>COUNTIF($OI98:$OJ98,1)+IF(IFERROR(INDEX('DADOS_FORMAS'!$AS$2:$AS$21,MATCH(SUBSTITUTE(SUBSTITUTE(SUBSTITUTE($MU98,"~","~~"),"*","~*"),"?","~?"),'DADOS_FORMAS'!$AH$2:$AH$21,0)),"")="",0,IFERROR(N(VLOOKUP(SUBSTITUTE(SUBSTITUTE(SUBSTITUTE(IFERROR(INDEX('DADOS_FORMAS'!$AS$2:$AS$21,MATCH(SUBSTITUTE(SUBSTITUTE(SUBSTITUTE($MU98,"~","~~"),"*","~*"),"?","~?"),'DADOS_FORMAS'!$AH$2:$AH$21,0)),""),"~","~~"),"*","~*"),"?","~?"),'DADOS_RESTRICOES'!$M$2:$Q$54,3,FALSE)=1),0))</f>
        <v/>
      </c>
      <c r="OT98" s="164">
        <f>COUNTIF($OI98:$OJ98,2)+IF(IFERROR(INDEX('DADOS_FORMAS'!$AS$2:$AS$21,MATCH(SUBSTITUTE(SUBSTITUTE(SUBSTITUTE($MU98,"~","~~"),"*","~*"),"?","~?"),'DADOS_FORMAS'!$AH$2:$AH$21,0)),"")="",0,IFERROR(N(VLOOKUP(SUBSTITUTE(SUBSTITUTE(SUBSTITUTE(IFERROR(INDEX('DADOS_FORMAS'!$AS$2:$AS$21,MATCH(SUBSTITUTE(SUBSTITUTE(SUBSTITUTE($MU98,"~","~~"),"*","~*"),"?","~?"),'DADOS_FORMAS'!$AH$2:$AH$21,0)),""),"~","~~"),"*","~*"),"?","~?"),'DADOS_RESTRICOES'!$M$2:$Q$54,3,FALSE)=2),0))</f>
        <v/>
      </c>
      <c r="OU98" s="164">
        <f>COUNTIF($MX98:$NA98,"?*")</f>
        <v/>
      </c>
      <c r="OV98" s="164">
        <f>COUNTIF($NB98:$NC98,"?*")+$OF98</f>
        <v/>
      </c>
      <c r="OW98" s="164">
        <f>IF($MS98=0,0,SUMPRODUCT($OM98:$OR98,INDEX($I$2:$N$8,MAX(1,$MS98),0)))</f>
        <v/>
      </c>
      <c r="OX98" s="164">
        <f>IF($MS98=0,0,$OS98*CEILING($MS98/2,1)+$OT98*$MS98)</f>
        <v/>
      </c>
      <c r="OY98" s="164">
        <f>MIN(2*$MS98,$OX98)</f>
        <v/>
      </c>
      <c r="OZ98" s="164">
        <f>MIN($OY98,$OW98-IF($NS98=0,0,INDEX($I$2:$N$8,MAX(1,$MS98),$NS98)))</f>
        <v/>
      </c>
      <c r="PA98" s="164">
        <f>$OY98-$OZ98</f>
        <v/>
      </c>
      <c r="PB98" s="164">
        <f>IF($MS98=0,0,INDEX($P$2:$P$8,MAX(1,$MS98)))</f>
        <v/>
      </c>
      <c r="PC98" s="164">
        <f>$PB98-$OW98+$OZ98</f>
        <v/>
      </c>
      <c r="PD98" s="164">
        <f>IF($MS98=0,MAX(0,$NG98-IF(AND($OU98&gt;0,COUNTIF($NB98:$NC98,"?*")=0),1,0)),MAX(0,$PC98))</f>
        <v/>
      </c>
      <c r="PE98" s="164">
        <f>IF($MS98=0,0,(IF(COUNTIF($RK98:$RN98,"Salto")&gt;0,1,0)+IF(COUNTIF($RK98:$RN98,"Queima")&gt;0,1,0)+IF(COUNTIF($RK98:$RN98,"Estilhaço")&gt;0,1,0))*FLOOR($PD98/2,1))</f>
        <v/>
      </c>
      <c r="PF98" s="164">
        <f>MAX(0,2-SUMPRODUCT($OM98:$OR98,$I$2:$N$2)+MIN(2,$OS98*1+$OT98*1,SUMPRODUCT($OM98:$OR98,$I$2:$N$2)-IF($NS98=0,0,INDEX($I$2:$N$2,1,$NS98))))</f>
        <v/>
      </c>
      <c r="PG98" s="164">
        <f>MAX(0,4-SUMPRODUCT($OM98:$OR98,$I$3:$N$3)+MIN(4,$OS98*1+$OT98*2,SUMPRODUCT($OM98:$OR98,$I$3:$N$3)-IF($NS98=0,0,INDEX($I$3:$N$3,1,$NS98))))</f>
        <v/>
      </c>
      <c r="PH98" s="164">
        <f>MAX(0,6-SUMPRODUCT($OM98:$OR98,$I$4:$N$4)+MIN(6,$OS98*2+$OT98*3,SUMPRODUCT($OM98:$OR98,$I$4:$N$4)-IF($NS98=0,0,INDEX($I$4:$N$4,1,$NS98))))</f>
        <v/>
      </c>
      <c r="PI98" s="164">
        <f>MAX(0,9-SUMPRODUCT($OM98:$OR98,$I$5:$N$5)+MIN(8,$OS98*2+$OT98*4,SUMPRODUCT($OM98:$OR98,$I$5:$N$5)-IF($NS98=0,0,INDEX($I$5:$N$5,1,$NS98))))</f>
        <v/>
      </c>
      <c r="PJ98" s="164">
        <f>MAX(0,11-SUMPRODUCT($OM98:$OR98,$I$6:$N$6)+MIN(10,$OS98*3+$OT98*5,SUMPRODUCT($OM98:$OR98,$I$6:$N$6)-IF($NS98=0,0,INDEX($I$6:$N$6,1,$NS98))))</f>
        <v/>
      </c>
      <c r="PK98" s="164">
        <f>MAX(0,13-SUMPRODUCT($OM98:$OR98,$I$7:$N$7)+MIN(12,$OS98*3+$OT98*6,SUMPRODUCT($OM98:$OR98,$I$7:$N$7)-IF($NS98=0,0,INDEX($I$7:$N$7,1,$NS98))))</f>
        <v/>
      </c>
      <c r="PL98" s="164">
        <f>MAX(0,16-SUMPRODUCT($OM98:$OR98,$I$8:$N$8)+MIN(14,$OS98*4+$OT98*7,SUMPRODUCT($OM98:$OR98,$I$8:$N$8)-IF($NS98=0,0,INDEX($I$8:$N$8,1,$NS98))))</f>
        <v/>
      </c>
      <c r="PM98" s="164">
        <f>IF($OG98=2,3*$PF98&amp;" de vida temp.",IF($OG98=3,"sem dano",IF($PF98=0,IF($OG98=1,"sem cura","sem dano"),IF($OG98=1,"cura ","")&amp;$PF98&amp;"d8")))</f>
        <v/>
      </c>
      <c r="PN98" s="164">
        <f>IF($OG98=2,3*$PG98&amp;" de vida temp.",IF($OG98=3,"sem dano",IF($PG98=0,IF($OG98=1,"sem cura","sem dano"),IF($OG98=1,"cura ","")&amp;$PG98&amp;"d8")))</f>
        <v/>
      </c>
      <c r="PO98" s="164">
        <f>IF($OG98=2,3*$PH98&amp;" de vida temp.",IF($OG98=3,"sem dano",IF($PH98=0,IF($OG98=1,"sem cura","sem dano"),IF($OG98=1,"cura ","")&amp;$PH98&amp;"d8")))</f>
        <v/>
      </c>
      <c r="PP98" s="164">
        <f>IF($OG98=2,3*$PI98&amp;" de vida temp.",IF($OG98=3,"sem dano",IF($PI98=0,IF($OG98=1,"sem cura","sem dano"),IF($OG98=1,"cura ","")&amp;$PI98&amp;"d8")))</f>
        <v/>
      </c>
      <c r="PQ98" s="164">
        <f>IF($OG98=2,3*$PJ98&amp;" de vida temp.",IF($OG98=3,"sem dano",IF($PJ98=0,IF($OG98=1,"sem cura","sem dano"),IF($OG98=1,"cura ","")&amp;$PJ98&amp;"d8")))</f>
        <v/>
      </c>
      <c r="PR98" s="164">
        <f>IF($OG98=2,3*$PK98&amp;" de vida temp.",IF($OG98=3,"sem dano",IF($PK98=0,IF($OG98=1,"sem cura","sem dano"),IF($OG98=1,"cura ","")&amp;$PK98&amp;"d8")))</f>
        <v/>
      </c>
      <c r="PS98" s="164">
        <f>IF($OG98=2,3*$PL98&amp;" de vida temp.",IF($OG98=3,"sem dano",IF($PL98=0,IF($OG98=1,"sem cura","sem dano"),IF($OG98=1,"cura ","")&amp;$PL98&amp;"d8")))</f>
        <v/>
      </c>
      <c r="PT98" s="164">
        <f>IF($ND98=0,"",TEXTJOIN(" · ",TRUE,IF($ND98=0,"",TEXTJOIN(" · ",TRUE,IF($ND98=0,"",TEXTJOIN(" · ",TRUE,IF($MQ98&gt;$NE98,"Este lugar abre no nível "&amp;$MQ98,""),IF($MS98&gt;$NF98,"Classe "&amp;$MS98&amp;": o nível "&amp;$NE98&amp;" libera até a "&amp;$NF98,""),IF($NX98=1,"A Forma "&amp;$MU98&amp;" pede "&amp;INDEX('DADOS_FORMAS'!$GA$2:$GA$21,$NJ98)&amp;" aberta",""),IF(AND($MS98=0,$NJ98&gt;0,IF($NJ98=0,0,INDEX('DADOS_FORMAS'!$GJ$2:$GJ$21,$NJ98))=0),$MU98&amp;" não existe na Classe 0",""),IF($NY98=1,"Família Fechada: "&amp;$MX98,""),IF($NZ98=1,"Família Fechada: "&amp;$MY98,""),IF($OA98=1,"Família Fechada: "&amp;$MZ98,""),IF($OB98=1,"Família Fechada: "&amp;$NA98,""),IF(AND($MS98&gt;0,$OU98&gt;INDEX($O$2:$O$8,MAX(1,$MS98))),$OU98&amp;" Melhorias: a Classe "&amp;$MS98&amp;" aceita "&amp;INDEX($O$2:$O$8,MAX(1,$MS98)),""),IF(AND($MS98=0,$OU98&gt;1),"A básica aceita uma Melhoria",""),IF(AND($MS98=0,COUNTIF($NO98:$NR98,"&gt;1")&gt;0),"A básica só aceita Melhoria Leve",""),IF(AND($MS98&gt;0,$OV98&gt;2),$OV98&amp;" Restrições"&amp;IF($OF98=1,", contando a que a Forma "&amp;$MU98&amp;" já traz","")&amp;": o limite é 2",""),IF(AND($MS98=0,COUNTIF($NB98:$NC98,"?*")&gt;1),"A básica aceita uma Restrição Leve",""),IF(AND($MS98=0,COUNTIF($OI98:$OJ98,2)&gt;0),"A básica só aceita Restrição Leve",""),IF(AND($MS98&gt;0,$PC98&lt;0),"Orçamento estourado: faltam "&amp;(-$PC98)&amp;IF($PC98&lt;-1," pontos"," ponto"),""),IF(IFERROR(VLOOKUP(SUBSTITUTE(SUBSTITUTE(SUBSTITUTE($NB98,"~","~~"),"*","~*"),"?","~?"),'DADOS_RESTRICOES'!$M$2:$Q$54,4,FALSE),0)+IFERROR(VLOOKUP(SUBSTITUTE(SUBSTITUTE(SUBSTITUTE($NC98,"~","~~"),"*","~*"),"?","~?"),'DADOS_RESTRICOES'!$M$2:$Q$54,4,FALSE),0)&gt;1,$OK98&amp;" e "&amp;$OL98&amp;" são as duas de frequência",""),IF(AND((COUNTIF($RK98:$RN98,"Rápido")+COUNTIF($OK98:$OL98,"Rápido"))&gt;0,(COUNTIF($MX98:$NA98,"Atrasar")+COUNTIF($OK98:$OL98,"Atrasar"))&gt;0),"Rápido não entra com Atrasar",""),IF(AND((COUNTIF($RK98:$RN98,"Reação")+COUNTIF($OK98:$OL98,"Reação"))&gt;0,(COUNTIF($RK98:$RN98,"Rápido")+COUNTIF($OK98:$OL98,"Rápido"))&gt;0),"Reação não entra com Rápido",""),IF(AND((COUNTIF($RK98:$RN98,"Reação")+COUNTIF($OK98:$OL98,"Reação"))&gt;0,(COUNTIF($RK98:$RN98,"Armado")+COUNTIF($OK98:$OL98,"Armado"))&gt;0),"Reação não entra com Armado",""),IF(AND((COUNTIF($RK98:$RN98,"Reação")+COUNTIF($OK98:$OL98,"Reação"))&gt;0,(COUNTIF($MX98:$NA98,"Atrasar")+COUNTIF($OK98:$OL98,"Atrasar"))&gt;0),"Reação não entra com Atrasar",""),IF(AND((COUNTIF($RK98:$RN98,"Reação")+COUNTIF($OK98:$OL98,"Reação"))&gt;0,(COUNTIF($MX98:$NA98,"Parado")+COUNTIF($OK98:$OL98,"Parado"))&gt;0),"Reação não entra com Parado",""),IF(AND((COUNTIF($MX98:$NA98,"Atrasar")+COUNTIF($OK98:$OL98,"Atrasar"))&gt;0,(COUNTIF($MX98:$NA98,"Parado")+COUNTIF($OK98:$OL98,"Parado"))&gt;0),"Atrasar não entra com Parado",""),IF(AND((COUNTIF($RK98:$RN98,"Armado")+COUNTIF($OK98:$OL98,"Armado"))&gt;0,(COUNTIF($MX98:$NA98,"Carregar")+COUNTIF($OK98:$OL98,"Carregar"))&gt;0),"Armado não entra com Carregar",""),IF(AND(COUNTIF($OK98:$OL98,"Corpo a Corpo")&gt;0,$OF98=0,OR($RO98="Cone",$RO98="Linha")),"Corpo a Corpo não entra em "&amp;$MU98,""),IF(AND(COUNTIF($OK98:$OL98,"Corpo a Corpo")&gt;0,$RP98="Corpo a Corpo"),"A Forma "&amp;$MU98&amp;" já traz o Corpo a Corpo",""),IF(AND(COUNTIF($OK98:$OL98,"Tudo ou Nada")&gt;0,$OH98=0),"Tudo ou Nada só entra em habilidade de Teste de Resistência",""),IF(AND(COUNTIF($RK98:$RN98,"Inescapável")&gt;0,OR($OU98&gt;1,$OV98&gt;0)),"Inescapável não aceita outra peça",""),IF(AND($MS98&gt;0,$PD98*IF(COUNTIF($RK98:$RN98,"Remate")&gt;0,1.25,1)+$PE98&gt;4*$MS98),($PD98*IF(COUNTIF($RK98:$RN98,"Remate")&gt;0,1.25,1)+$PE98)&amp;" dados somando repetições"&amp;IF(COUNTIF($RK98:$RN98,"Remate")&gt;0," e o Remate","")&amp;": o teto da Classe "&amp;$MS98&amp;" é "&amp;4*$MS98,""))),IF(AND($MX98&lt;&gt;"",COUNTIF('DADOS_MELHORIAS'!$O$2:$O$113,SUBSTITUTE(SUBSTITUTE(SUBSTITUTE($MX98,"~","~~"),"*","~*"),"?","~?"))=0),"Melhoria não cadastrada ou com erro: "&amp;$MX98,""),IF(AND($MY98&lt;&gt;"",COUNTIF('DADOS_MELHORIAS'!$O$2:$O$113,SUBSTITUTE(SUBSTITUTE(SUBSTITUTE($MY98,"~","~~"),"*","~*"),"?","~?"))=0),"Melhoria não cadastrada ou com erro: "&amp;$MY98,""),IF(AND($MZ98&lt;&gt;"",COUNTIF('DADOS_MELHORIAS'!$O$2:$O$113,SUBSTITUTE(SUBSTITUTE(SUBSTITUTE($MZ98,"~","~~"),"*","~*"),"?","~?"))=0),"Melhoria não cadastrada ou com erro: "&amp;$MZ98,""),IF(AND($NA98&lt;&gt;"",COUNTIF('DADOS_MELHORIAS'!$O$2:$O$113,SUBSTITUTE(SUBSTITUTE(SUBSTITUTE($NA98,"~","~~"),"*","~*"),"?","~?"))=0),"Melhoria não cadastrada ou com erro: "&amp;$NA98,""),IF(AND($NB98&lt;&gt;"",COUNTIF('DADOS_RESTRICOES'!$M$2:$M$54,SUBSTITUTE(SUBSTITUTE(SUBSTITUTE($NB98,"~","~~"),"*","~*"),"?","~?"))=0),"Restrição não cadastrada ou com erro: "&amp;$NB98,""),IF(AND($NC98&lt;&gt;"",COUNTIF('DADOS_RESTRICOES'!$M$2:$M$54,SUBSTITUTE(SUBSTITUTE(SUBSTITUTE($NC98,"~","~~"),"*","~*"),"?","~?"))=0),"Restrição não cadastrada ou com erro: "&amp;$NC98,""))),IF(AND($MU98&lt;&gt;"",COUNTIF('DADOS_FORMAS'!$AH$2:$AH$21,SUBSTITUTE(SUBSTITUTE(SUBSTITUTE($MU98,"~","~~"),"*","~*"),"?","~?"))=0),"Forma não cadastrada ou com erro: "&amp;$MU98,""),IF(AND(IFERROR(INDEX('DADOS_FORMAS'!$AS$2:$AS$21,MATCH(SUBSTITUTE(SUBSTITUTE(SUBSTITUTE($MU98,"~","~~"),"*","~*"),"?","~?"),'DADOS_FORMAS'!$AH$2:$AH$21,0)),"")&lt;&gt;"",OR(IFERROR(VLOOKUP(SUBSTITUTE(SUBSTITUTE(SUBSTITUTE(IFERROR(INDEX('DADOS_FORMAS'!$AS$2:$AS$21,MATCH(SUBSTITUTE(SUBSTITUTE(SUBSTITUTE($MU98,"~","~~"),"*","~*"),"?","~?"),'DADOS_FORMAS'!$AH$2:$AH$21,0)),""),"~","~~"),"*","~*"),"?","~?"),'DADOS_RESTRICOES'!$M$2:$Q$54,2,FALSE),"")=$OK98,IFERROR(VLOOKUP(SUBSTITUTE(SUBSTITUTE(SUBSTITUTE(IFERROR(INDEX('DADOS_FORMAS'!$AS$2:$AS$21,MATCH(SUBSTITUTE(SUBSTITUTE(SUBSTITUTE($MU98,"~","~~"),"*","~*"),"?","~?"),'DADOS_FORMAS'!$AH$2:$AH$21,0)),""),"~","~~"),"*","~*"),"?","~?"),'DADOS_RESTRICOES'!$M$2:$Q$54,2,FALSE),"")=$OL98)),"Restrição repetida, contando a embutida",""),IF(IF(IFERROR(INDEX('DADOS_FORMAS'!$AS$2:$AS$21,MATCH(SUBSTITUTE(SUBSTITUTE(SUBSTITUTE($MU98,"~","~~"),"*","~*"),"?","~?"),'DADOS_FORMAS'!$AH$2:$AH$21,0)),"")="",0,IFERROR(N(VLOOKUP(SUBSTITUTE(SUBSTITUTE(SUBSTITUTE(IFERROR(INDEX('DADOS_FORMAS'!$AS$2:$AS$21,MATCH(SUBSTITUTE(SUBSTITUTE(SUBSTITUTE($MU98,"~","~~"),"*","~*"),"?","~?"),'DADOS_FORMAS'!$AH$2:$AH$21,0)),""),"~","~~"),"*","~*"),"?","~?"),'DADOS_RESTRICOES'!$M$2:$Q$54,4,FALSE)=1),0))+IF($NB98="",0,IFERROR(N(VLOOKUP(SUBSTITUTE(SUBSTITUTE(SUBSTITUTE($NB98,"~","~~"),"*","~*"),"?","~?"),'DADOS_RESTRICOES'!$M$2:$Q$54,4,FALSE)=1),0))+IF($NC98="",0,IFERROR(N(VLOOKUP(SUBSTITUTE(SUBSTITUTE(SUBSTITUTE($NC98,"~","~~"),"*","~*"),"?","~?"),'DADOS_RESTRICOES'!$M$2:$Q$54,4,FALSE)=1),0))&gt;1,"Duas Restrições de frequência, contando a embutida",""),IF(AND(IFERROR(VLOOKUP(SUBSTITUTE(SUBSTITUTE(SUBSTITUTE(IFERROR(INDEX('DADOS_FORMAS'!$AS$2:$AS$21,MATCH(SUBSTITUTE(SUBSTITUTE(SUBSTITUTE($MU98,"~","~~"),"*","~*"),"?","~?"),'DADOS_FORMAS'!$AH$2:$AH$21,0)),""),"~","~~"),"*","~*"),"?","~?"),'DADOS_RESTRICOES'!$M$2:$Q$54,2,FALSE),"")="Tudo ou Nada",$OH98=0),"Tudo ou Nada exige TR",""),IF(AND(IFERROR(VLOOKUP(SUBSTITUTE(SUBSTITUTE(SUBSTITUTE(IFERROR(INDEX('DADOS_FORMAS'!$AS$2:$AS$21,MATCH(SUBSTITUTE(SUBSTITUTE(SUBSTITUTE($MU98,"~","~~"),"*","~*"),"?","~?"),'DADOS_FORMAS'!$AH$2:$AH$21,0)),""),"~","~~"),"*","~*"),"?","~?"),'DADOS_RESTRICOES'!$M$2:$Q$54,2,FALSE),"")="Corpo a Corpo",OR($RO98="Cone",$RO98="Linha")),"Corpo a Corpo não entra em Cone/Linha","")))</f>
        <v/>
      </c>
      <c r="PU98" s="164">
        <f>IF($PT98="",0,(LEN($PT98)-LEN(SUBSTITUTE($PT98," · ","")))/3+1)</f>
        <v/>
      </c>
      <c r="PV98" s="164">
        <f>IF($ND98=0,"",TEXTJOIN(" · ",TRUE,IF($OX98&gt;2*$MS98,"A devolução parou no teto de "&amp;2*$MS98,""),IF($PA98&gt;0,"Devolução perdida: "&amp;$PA98&amp;IF($PA98&gt;1," pontos"," ponto")&amp;" sem Melhoria para pagar",""),IF(AND($OC98&gt;0,AND($MS98&gt;0,$OG98=0),$PD98=0),"Controle sem dano: uma rodada a mais e CD +2",""),IF(AND($OC98&gt;0,AND($MS98&gt;0,$OG98=0),$PD98&gt;0,$PD98&lt;=$MS98),"Controle com saldo até a Classe: uma rodada a mais",""),IF(AND($MS98&gt;0,$OE98&lt;&gt;""),"Efeito de "&amp;$OE98&amp;" pela Classe "&amp;MAX(1,$MS98-1),"")))</f>
        <v/>
      </c>
      <c r="PW98" s="164">
        <f>IF($PV98="",0,(LEN($PV98)-LEN(SUBSTITUTE($PV98," · ","")))/3+1)</f>
        <v/>
      </c>
      <c r="PX98" s="164">
        <f>IF($ND98=0,IF($OU98+COUNTIF($NB98:$NC98,"?*")&gt;0,"Dê um nome",""),IF($PU98&gt;0,"⚠ "&amp;$PU98&amp;IF($PU98&gt;1," erros"," erro"),IF($PW98&gt;0,"! "&amp;$PW98&amp;IF($PW98&gt;1," avisos"," aviso"),"Na regra")))</f>
        <v/>
      </c>
      <c r="PY98" s="164">
        <f>IF($ND98=0,"",IF($PU98+$PW98=0,"Dentro das regras que a ficha confere",$PT98&amp;IF(AND($PU98&gt;0,$PW98&gt;0)," · ","")&amp;$PV98))</f>
        <v/>
      </c>
      <c r="PZ98" s="164">
        <f>IF($MQ98&gt;$NE98,$MR98&amp;" · ABRE NO NÍVEL "&amp;$MQ98,$MR98)</f>
        <v/>
      </c>
      <c r="QA98" s="164">
        <f>IF($ND98=0,"",IF($MS98=0,"Sem PE",3*$MS98&amp;" PE"))</f>
        <v/>
      </c>
      <c r="QB98" s="164">
        <f>IF($ND98=0,"",IF($MS98=0,"A atuação básica dela",IF(COUNTIF($RQ98:$RS98,"Atrasar")&gt;0,"Sua Ação Completa",IF(COUNTIF($RK98:$RN98,"Rápido")&gt;0,"Sua Bônus",IF(COUNTIF($RK98:$RN98,"Reação")&gt;0,"Sua Reação","Sua Padrão")))&amp;" + a básica dela"&amp;IF(COUNTIF($RK98:$RN98,"Reação")&gt;0," e a coletiva","")&amp;IF(COUNTIF($RQ98:$RS98,"Carregar")&gt;0," · em dois turnos","")))</f>
        <v/>
      </c>
      <c r="QC98" s="164">
        <f>IF($MW98&lt;&gt;"",$MW98,IF($NJ98=0,"",INDEX('DADOS_FORMAS'!$GE$2:$GE$21,$NJ98)))</f>
        <v/>
      </c>
      <c r="QD98" s="164">
        <f>IF(OR($ND98=0,$NJ98=0),"",IF(COUNTIF($RK98:$RN98,"Inescapável")&gt;0,"Automático",IF($QC98="Ataque",IF($NH98="","Ataque","Ataque "&amp;IF(($NH98+2*IF(COUNTIF($RK98:$RN98,"Precisão")&gt;0,1,0))&gt;=0,"+","−")&amp;ABS(($NH98+2*IF(COUNTIF($RK98:$RN98,"Precisão")&gt;0,1,0))))&amp;IF($OD98&gt;0," · TR"&amp;IF($NI98="",""," CD "&amp;$NI98),""),IF(LEFT($QC98,2)="TR",$QC98&amp;IF($NI98="",""," · CD "&amp;$NI98)&amp;IF(COUNTIF($RK98:$RN98,"Certeiro")&gt;0," · metade",""),"Sem rolagem"))))</f>
        <v/>
      </c>
      <c r="QE98" s="164">
        <f>IF(OR($ND98=0,$NJ98=0),"",IF($MS98=0,IF(OR($OG98&gt;=1,$PD98=0),"Sem dano",$PD98&amp;"d6"&amp;IF($MV98="",""," "&amp;$MV98)),IF(OR($OG98&gt;=1,$PD98=0),UPPER(LEFT(INDEX($PM98:$PS98,1,MAX(1,$MS98)),1))&amp;MID(INDEX($PM98:$PS98,1,MAX(1,$MS98)),2,99),UPPER(LEFT(INDEX($PM98:$PS98,1,MAX(1,$MS98)),1))&amp;MID(INDEX($PM98:$PS98,1,MAX(1,$MS98)),2,99)&amp;IF($MV98="",""," "&amp;$MV98)&amp;IF($PE98&gt;0," · +"&amp;$PE98&amp;"d8",""))))</f>
        <v/>
      </c>
      <c r="QF98" s="164">
        <f>COUNTIF($RK98:$RN98,"Longe")+3*COUNTIF($RK98:$RN98,"Muito Longe")</f>
        <v/>
      </c>
      <c r="QG98" s="164">
        <f>COUNTIF($RK98:$RN98,"Maior")+3*COUNTIF($RK98:$RN98,"Muito Maior")</f>
        <v/>
      </c>
      <c r="QH98" s="164">
        <f>IF($NJ98=0,0,CHOOSE(1+INDEX('DADOS_FORMAS'!$GG$2:$GG$21,$NJ98),0,$QF98,$QG98,$QF98+$QG98))</f>
        <v/>
      </c>
      <c r="QI98" s="164">
        <f>IF($NJ98=0,0,CHOOSE(1+INDEX('DADOS_FORMAS'!$GH$2:$GH$21,$NJ98),0,$QF98,$QG98,$QF98+$QG98))</f>
        <v/>
      </c>
      <c r="QJ98" s="164">
        <f>IF(OR($ND98=0,$NJ98=0),"",INDEX('DADOS_FORMAS'!$HU$2:$HZ$81,($NJ98-1)*4+IF($MS98=0,1,IF($MS98&lt;=5,2,IF($MS98=6,3,4))),1+MIN(5,$QH98))&amp;INDEX('DADOS_FORMAS'!$IA$2:$IF$81,($NJ98-1)*4+IF($MS98=0,1,IF($MS98&lt;=5,2,IF($MS98=6,3,4))),1+MIN(5,$QI98))&amp;IF(INDEX('DADOS_FORMAS'!$GI$2:$GI$21,$NJ98)=1,IF(COUNTIF($RK98:$RN98,"Mais Um")&gt;0," · +"&amp;COUNTIF($RK98:$RN98,"Mais Um")&amp;IF(COUNTIF($RK98:$RN98,"Mais Um")&gt;1," alvos"," alvo"),"")&amp;IF(COUNTIF($RK98:$RN98,"Rajada")&gt;0,IF($MS98=0," · 1 tiro"," · "&amp;(MAX(1,$MS98-1)+1)&amp;" tiros"),""),""))</f>
        <v/>
      </c>
      <c r="QK98" s="164">
        <f>IF($ND98=0,"",IF($MS98=0,$NG98&amp;"d6"&amp;IF($OU98&gt;0," − 1 = "&amp;$PD98&amp;"d6"," da básica do nível "&amp;$NE98),$PB98&amp;" − "&amp;$OW98&amp;" + "&amp;$OZ98&amp;" = "&amp;$PC98&amp;" · teto "&amp;4*$MS98&amp;"d8"&amp;IF($OF98=1," · a Forma devolve "&amp;$MS98,"")&amp;IF($PA98&gt;0," · perde "&amp;$PA98,"")))</f>
        <v/>
      </c>
      <c r="QL98" s="164">
        <f>IF($ND98=0,"",IF($MS98=0,"A básica não amplia: os dados dela sobem com o nível",IF($MS98&gt;=$NF98,"Já está na maior Classe que o nível liberou",TEXTJOIN(" · ",TRUE,IF(AND(2&gt;$MS98,2&lt;=$NF98),"2 → "&amp;$PN98&amp;", 6 PE",""),IF(AND(3&gt;$MS98,3&lt;=$NF98),"3 → "&amp;$PO98&amp;", 9 PE",""),IF(AND(4&gt;$MS98,4&lt;=$NF98),"4 → "&amp;$PP98&amp;", 12 PE",""),IF(AND(5&gt;$MS98,5&lt;=$NF98),"5 → "&amp;$PQ98&amp;", 15 PE",""),IF(AND(6&gt;$MS98,6&lt;=$NF98),"6 → "&amp;$PR98&amp;", 18 PE",""),IF(AND(7&gt;$MS98,7&lt;=$NF98),"7 → "&amp;$PS98&amp;", 21 PE","")))))</f>
        <v/>
      </c>
      <c r="QM98" s="164">
        <f>IF(OR($ND98=0,$NO98=0),"",IF($MS98=0,"−1 dado","−"&amp;INDEX($I$2:$N$8,MAX(1,$MS98),MAX(1,$NT98))&amp;" · "&amp;CHOOSE(MAX(1,$NT98),"Leve","Média","Pesada","Leve · Livre","Média · Livre","Pesada · Livre")))</f>
        <v/>
      </c>
      <c r="QN98" s="164">
        <f>IF(OR($ND98=0,$NP98=0),"",IF($MS98=0,"−1 dado","−"&amp;INDEX($I$2:$N$8,MAX(1,$MS98),MAX(1,$NU98))&amp;" · "&amp;CHOOSE(MAX(1,$NU98),"Leve","Média","Pesada","Leve · Livre","Média · Livre","Pesada · Livre")))</f>
        <v/>
      </c>
      <c r="QO98" s="164">
        <f>IF(OR($ND98=0,$NQ98=0),"",IF($MS98=0,"−1 dado","−"&amp;INDEX($I$2:$N$8,MAX(1,$MS98),MAX(1,$NV98))&amp;" · "&amp;CHOOSE(MAX(1,$NV98),"Leve","Média","Pesada","Leve · Livre","Média · Livre","Pesada · Livre")))</f>
        <v/>
      </c>
      <c r="QP98" s="164">
        <f>IF(OR($ND98=0,$NR98=0),"",IF($MS98=0,"−1 dado","−"&amp;INDEX($I$2:$N$8,MAX(1,$MS98),MAX(1,$NW98))&amp;" · "&amp;CHOOSE(MAX(1,$NW98),"Leve","Média","Pesada","Leve · Livre","Média · Livre","Pesada · Livre")))</f>
        <v/>
      </c>
      <c r="QQ98" s="164">
        <f>IF(OR($ND98=0,$NB98=""),"",IF($MS98=0,"não devolve","+"&amp;IF($OI98=1,CEILING($MS98/2,1),$MS98)))</f>
        <v/>
      </c>
      <c r="QR98" s="164">
        <f>IF(OR($ND98=0,$NC98=""),"",IF($MS98=0,"não devolve","+"&amp;IF($OJ98=1,CEILING($MS98/2,1),$MS98)))</f>
        <v/>
      </c>
      <c r="RK98">
        <f>IF($MX98="","",IFERROR(VLOOKUP(SUBSTITUTE(SUBSTITUTE(SUBSTITUTE($MX98,"~","~~"),"*","~*"),"?","~?"),'DADOS_MELHORIAS'!$O$2:$X$113,10,FALSE),$MX98))</f>
        <v/>
      </c>
      <c r="RL98">
        <f>IF($MY98="","",IFERROR(VLOOKUP(SUBSTITUTE(SUBSTITUTE(SUBSTITUTE($MY98,"~","~~"),"*","~*"),"?","~?"),'DADOS_MELHORIAS'!$O$2:$X$113,10,FALSE),$MY98))</f>
        <v/>
      </c>
      <c r="RM98">
        <f>IF($MZ98="","",IFERROR(VLOOKUP(SUBSTITUTE(SUBSTITUTE(SUBSTITUTE($MZ98,"~","~~"),"*","~*"),"?","~?"),'DADOS_MELHORIAS'!$O$2:$X$113,10,FALSE),$MZ98))</f>
        <v/>
      </c>
      <c r="RN98">
        <f>IF($NA98="","",IFERROR(VLOOKUP(SUBSTITUTE(SUBSTITUTE(SUBSTITUTE($NA98,"~","~~"),"*","~*"),"?","~?"),'DADOS_MELHORIAS'!$O$2:$X$113,10,FALSE),$NA98))</f>
        <v/>
      </c>
      <c r="RO98">
        <f>IFERROR(INDEX('DADOS_FORMAS'!$BJ$2:$BJ$21,MATCH(SUBSTITUTE(SUBSTITUTE(SUBSTITUTE($MU98,"~","~~"),"*","~*"),"?","~?"),'DADOS_FORMAS'!$AH$2:$AH$21,0)),"")</f>
        <v/>
      </c>
      <c r="RP98">
        <f>IFERROR(VLOOKUP(SUBSTITUTE(SUBSTITUTE(SUBSTITUTE(IFERROR(INDEX('DADOS_FORMAS'!$AS$2:$AS$21,MATCH(SUBSTITUTE(SUBSTITUTE(SUBSTITUTE($MU98,"~","~~"),"*","~*"),"?","~?"),'DADOS_FORMAS'!$AH$2:$AH$21,0)),""),"~","~~"),"*","~*"),"?","~?"),'DADOS_RESTRICOES'!$M$2:$Q$54,2,FALSE),"")</f>
        <v/>
      </c>
      <c r="RQ98">
        <f>$OK98</f>
        <v/>
      </c>
      <c r="RR98">
        <f>$OL98</f>
        <v/>
      </c>
      <c r="RS98">
        <f>$RP98</f>
        <v/>
      </c>
    </row>
    <row r="99">
      <c r="MN99" s="162" t="inlineStr">
        <is>
          <t>Ficha 8 · Especial 5</t>
        </is>
      </c>
      <c r="MO99" s="164" t="n">
        <v>8</v>
      </c>
      <c r="MP99" s="164" t="n">
        <v>1</v>
      </c>
      <c r="MQ99" s="164" t="n">
        <v>16</v>
      </c>
      <c r="MR99" s="162" t="inlineStr">
        <is>
          <t>ESPECIAL 5</t>
        </is>
      </c>
      <c r="MS99" s="164">
        <f>MAX(1,MIN(7,N('INVOCAÇÕES'!$AB$338)))</f>
        <v/>
      </c>
      <c r="MT99" s="164">
        <f>'INVOCAÇÕES'!$AC$338&amp;""</f>
        <v/>
      </c>
      <c r="MU99" s="164">
        <f>'INVOCAÇÕES'!$AB$343&amp;""</f>
        <v/>
      </c>
      <c r="MV99" s="164">
        <f>'INVOCAÇÕES'!$AB$344&amp;""</f>
        <v/>
      </c>
      <c r="MW99" s="164">
        <f>'INVOCAÇÕES'!$AD$344&amp;""</f>
        <v/>
      </c>
      <c r="MX99" s="164">
        <f>'INVOCAÇÕES'!$AC$347&amp;""</f>
        <v/>
      </c>
      <c r="MY99" s="164">
        <f>'INVOCAÇÕES'!$AC$348&amp;""</f>
        <v/>
      </c>
      <c r="MZ99" s="164">
        <f>'INVOCAÇÕES'!$AC$349&amp;""</f>
        <v/>
      </c>
      <c r="NA99" s="164">
        <f>'INVOCAÇÕES'!$AC$350&amp;""</f>
        <v/>
      </c>
      <c r="NB99" s="164">
        <f>'INVOCAÇÕES'!$AC$351&amp;""</f>
        <v/>
      </c>
      <c r="NC99" s="164">
        <f>'INVOCAÇÕES'!$AC$352&amp;""</f>
        <v/>
      </c>
      <c r="ND99" s="164">
        <f>IF($MT99&lt;&gt;"",1,0)</f>
        <v/>
      </c>
      <c r="NE99" s="164">
        <f>INDEX($FO$2:$FO$13,$MO99)</f>
        <v/>
      </c>
      <c r="NF99" s="164">
        <f>INDEX($FP$2:$FP$13,$MO99)</f>
        <v/>
      </c>
      <c r="NG99" s="164">
        <f>INDEX($FQ$2:$FQ$13,$MO99)</f>
        <v/>
      </c>
      <c r="NH99" s="164">
        <f>INDEX($GB$2:$GB$13,$MO99)</f>
        <v/>
      </c>
      <c r="NI99" s="164">
        <f>INDEX($GC$2:$GC$13,$MO99)</f>
        <v/>
      </c>
      <c r="NJ99" s="164">
        <f>IFERROR(MATCH(SUBSTITUTE(SUBSTITUTE(SUBSTITUTE($MU99,"~","~~"),"*","~*"),"?","~?"),'DADOS_FORMAS'!$FZ$2:$FZ$21,0),0)</f>
        <v/>
      </c>
      <c r="NK99" s="164">
        <f>IFERROR(VLOOKUP(SUBSTITUTE(SUBSTITUTE(SUBSTITUTE($MX99,"~","~~"),"*","~*"),"?","~?"),'DADOS_MELHORIAS'!$AG$2:$AL$113,2,FALSE),"")</f>
        <v/>
      </c>
      <c r="NL99" s="164">
        <f>IFERROR(VLOOKUP(SUBSTITUTE(SUBSTITUTE(SUBSTITUTE($MY99,"~","~~"),"*","~*"),"?","~?"),'DADOS_MELHORIAS'!$AG$2:$AL$113,2,FALSE),"")</f>
        <v/>
      </c>
      <c r="NM99" s="164">
        <f>IFERROR(VLOOKUP(SUBSTITUTE(SUBSTITUTE(SUBSTITUTE($MZ99,"~","~~"),"*","~*"),"?","~?"),'DADOS_MELHORIAS'!$AG$2:$AL$113,2,FALSE),"")</f>
        <v/>
      </c>
      <c r="NN99" s="164">
        <f>IFERROR(VLOOKUP(SUBSTITUTE(SUBSTITUTE(SUBSTITUTE($NA99,"~","~~"),"*","~*"),"?","~?"),'DADOS_MELHORIAS'!$AG$2:$AL$113,2,FALSE),"")</f>
        <v/>
      </c>
      <c r="NO99" s="164">
        <f>IFERROR(VLOOKUP(SUBSTITUTE(SUBSTITUTE(SUBSTITUTE($MX99,"~","~~"),"*","~*"),"?","~?"),'DADOS_MELHORIAS'!$AG$2:$AL$113,3,FALSE),0)</f>
        <v/>
      </c>
      <c r="NP99" s="164">
        <f>IFERROR(VLOOKUP(SUBSTITUTE(SUBSTITUTE(SUBSTITUTE($MY99,"~","~~"),"*","~*"),"?","~?"),'DADOS_MELHORIAS'!$AG$2:$AL$113,3,FALSE),0)</f>
        <v/>
      </c>
      <c r="NQ99" s="164">
        <f>IFERROR(VLOOKUP(SUBSTITUTE(SUBSTITUTE(SUBSTITUTE($MZ99,"~","~~"),"*","~*"),"?","~?"),'DADOS_MELHORIAS'!$AG$2:$AL$113,3,FALSE),0)</f>
        <v/>
      </c>
      <c r="NR99" s="164">
        <f>IFERROR(VLOOKUP(SUBSTITUTE(SUBSTITUTE(SUBSTITUTE($NA99,"~","~~"),"*","~*"),"?","~?"),'DADOS_MELHORIAS'!$AG$2:$AL$113,3,FALSE),0)</f>
        <v/>
      </c>
      <c r="NS99" s="164">
        <f>IF($MS99=0,0,IF($NJ99=0,0,INDEX('DADOS_FORMAS'!$GB$2:$GB$21,$NJ99)))</f>
        <v/>
      </c>
      <c r="NT99" s="164">
        <f>IF(OR($NO99=0,$MS99=0),0,$NO99+3*IF(AND($NK99&lt;&gt;"",COUNTIF(INDEX($RB$2:$RJ$13,$MO99,0),$NK99)&gt;0),1,0))</f>
        <v/>
      </c>
      <c r="NU99" s="164">
        <f>IF(OR($NP99=0,$MS99=0),0,$NP99+3*IF(AND($NL99&lt;&gt;"",COUNTIF(INDEX($RB$2:$RJ$13,$MO99,0),$NL99)&gt;0),1,0))</f>
        <v/>
      </c>
      <c r="NV99" s="164">
        <f>IF(OR($NQ99=0,$MS99=0),0,$NQ99+3*IF(AND($NM99&lt;&gt;"",COUNTIF(INDEX($RB$2:$RJ$13,$MO99,0),$NM99)&gt;0),1,0))</f>
        <v/>
      </c>
      <c r="NW99" s="164">
        <f>IF(OR($NR99=0,$MS99=0),0,$NR99+3*IF(AND($NN99&lt;&gt;"",COUNTIF(INDEX($RB$2:$RJ$13,$MO99,0),$NN99)&gt;0),1,0))</f>
        <v/>
      </c>
      <c r="NX99" s="164">
        <f>IF($NJ99=0,0,IF(INDEX('DADOS_FORMAS'!$GA$2:$GA$21,$NJ99)="",0,IF((COUNTIF(INDEX($EL$2:$EP$13,$MO99,0),INDEX('DADOS_FORMAS'!$GA$2:$GA$21,$NJ99))+COUNTIF(INDEX($QV$2:$QY$13,$MO99,0),INDEX('DADOS_FORMAS'!$GA$2:$GA$21,$NJ99)))=0,1,0)))</f>
        <v/>
      </c>
      <c r="NY99" s="164">
        <f>IF(OR($NO99=0,$NK99=""),0,IF((COUNTIF(INDEX($EL$2:$EP$13,$MO99,0),$NK99)+COUNTIF(INDEX($QV$2:$QY$13,$MO99,0),$NK99))=0,1,0))</f>
        <v/>
      </c>
      <c r="NZ99" s="164">
        <f>IF(OR($NP99=0,$NL99=""),0,IF((COUNTIF(INDEX($EL$2:$EP$13,$MO99,0),$NL99)+COUNTIF(INDEX($QV$2:$QY$13,$MO99,0),$NL99))=0,1,0))</f>
        <v/>
      </c>
      <c r="OA99" s="164">
        <f>IF(OR($NQ99=0,$NM99=""),0,IF((COUNTIF(INDEX($EL$2:$EP$13,$MO99,0),$NM99)+COUNTIF(INDEX($QV$2:$QY$13,$MO99,0),$NM99))=0,1,0))</f>
        <v/>
      </c>
      <c r="OB99" s="164">
        <f>IF(OR($NR99=0,$NN99=""),0,IF((COUNTIF(INDEX($EL$2:$EP$13,$MO99,0),$NN99)+COUNTIF(INDEX($QV$2:$QY$13,$MO99,0),$NN99))=0,1,0))</f>
        <v/>
      </c>
      <c r="OC99" s="164">
        <f>IFERROR(VLOOKUP(SUBSTITUTE(SUBSTITUTE(SUBSTITUTE($MX99,"~","~~"),"*","~*"),"?","~?"),'DADOS_MELHORIAS'!$AG$2:$AL$113,4,FALSE),0)+IFERROR(VLOOKUP(SUBSTITUTE(SUBSTITUTE(SUBSTITUTE($MY99,"~","~~"),"*","~*"),"?","~?"),'DADOS_MELHORIAS'!$AG$2:$AL$113,4,FALSE),0)+IFERROR(VLOOKUP(SUBSTITUTE(SUBSTITUTE(SUBSTITUTE($MZ99,"~","~~"),"*","~*"),"?","~?"),'DADOS_MELHORIAS'!$AG$2:$AL$113,4,FALSE),0)+IFERROR(VLOOKUP(SUBSTITUTE(SUBSTITUTE(SUBSTITUTE($NA99,"~","~~"),"*","~*"),"?","~?"),'DADOS_MELHORIAS'!$AG$2:$AL$113,4,FALSE),0)</f>
        <v/>
      </c>
      <c r="OD99" s="164">
        <f>IFERROR(VLOOKUP(SUBSTITUTE(SUBSTITUTE(SUBSTITUTE($MX99,"~","~~"),"*","~*"),"?","~?"),'DADOS_MELHORIAS'!$AG$2:$AL$113,6,FALSE),0)+IFERROR(VLOOKUP(SUBSTITUTE(SUBSTITUTE(SUBSTITUTE($MY99,"~","~~"),"*","~*"),"?","~?"),'DADOS_MELHORIAS'!$AG$2:$AL$113,6,FALSE),0)+IFERROR(VLOOKUP(SUBSTITUTE(SUBSTITUTE(SUBSTITUTE($MZ99,"~","~~"),"*","~*"),"?","~?"),'DADOS_MELHORIAS'!$AG$2:$AL$113,6,FALSE),0)+IFERROR(VLOOKUP(SUBSTITUTE(SUBSTITUTE(SUBSTITUTE($NA99,"~","~~"),"*","~*"),"?","~?"),'DADOS_MELHORIAS'!$AG$2:$AL$113,6,FALSE),0)+IFERROR(N(AND(INDEX('DADOS_FORMAS'!$AO$2:$AO$21,MATCH(SUBSTITUTE(SUBSTITUTE(SUBSTITUTE($MU99,"~","~~"),"*","~*"),"?","~?"),'DADOS_FORMAS'!$AH$2:$AH$21,0))="Acerto",$OH99=1)),0)</f>
        <v/>
      </c>
      <c r="OE99" s="164">
        <f>TEXTJOIN(", ",TRUE,IF(IFERROR(VLOOKUP(SUBSTITUTE(SUBSTITUTE(SUBSTITUTE($MX99,"~","~~"),"*","~*"),"?","~?"),'DADOS_MELHORIAS'!$AG$2:$AL$113,5,FALSE),0)=1,$MX99,""),IF(IFERROR(VLOOKUP(SUBSTITUTE(SUBSTITUTE(SUBSTITUTE($MY99,"~","~~"),"*","~*"),"?","~?"),'DADOS_MELHORIAS'!$AG$2:$AL$113,5,FALSE),0)=1,$MY99,""),IF(IFERROR(VLOOKUP(SUBSTITUTE(SUBSTITUTE(SUBSTITUTE($MZ99,"~","~~"),"*","~*"),"?","~?"),'DADOS_MELHORIAS'!$AG$2:$AL$113,5,FALSE),0)=1,$MZ99,""),IF(IFERROR(VLOOKUP(SUBSTITUTE(SUBSTITUTE(SUBSTITUTE($NA99,"~","~~"),"*","~*"),"?","~?"),'DADOS_MELHORIAS'!$AG$2:$AL$113,5,FALSE),0)=1,$NA99,""))</f>
        <v/>
      </c>
      <c r="OF99" s="164">
        <f>IF($NJ99=0,0,INDEX('DADOS_FORMAS'!$GC$2:$GC$21,$NJ99))</f>
        <v/>
      </c>
      <c r="OG99" s="164">
        <f>IF($NJ99=0,0,INDEX('DADOS_FORMAS'!$GD$2:$GD$21,$NJ99))</f>
        <v/>
      </c>
      <c r="OH99" s="164">
        <f>IF($NJ99=0,0,INDEX('DADOS_FORMAS'!$GF$2:$GF$21,$NJ99))</f>
        <v/>
      </c>
      <c r="OI99" s="164">
        <f>IFERROR(VLOOKUP(SUBSTITUTE(SUBSTITUTE(SUBSTITUTE($NB99,"~","~~"),"*","~*"),"?","~?"),'DADOS_RESTRICOES'!$M$2:$Q$54,3,FALSE),0)</f>
        <v/>
      </c>
      <c r="OJ99" s="164">
        <f>IFERROR(VLOOKUP(SUBSTITUTE(SUBSTITUTE(SUBSTITUTE($NC99,"~","~~"),"*","~*"),"?","~?"),'DADOS_RESTRICOES'!$M$2:$Q$54,3,FALSE),0)</f>
        <v/>
      </c>
      <c r="OK99" s="164">
        <f>IFERROR(VLOOKUP(SUBSTITUTE(SUBSTITUTE(SUBSTITUTE($NB99,"~","~~"),"*","~*"),"?","~?"),'DADOS_RESTRICOES'!$M$2:$Q$54,2,FALSE),"")</f>
        <v/>
      </c>
      <c r="OL99" s="164">
        <f>IFERROR(VLOOKUP(SUBSTITUTE(SUBSTITUTE(SUBSTITUTE($NC99,"~","~~"),"*","~*"),"?","~?"),'DADOS_RESTRICOES'!$M$2:$Q$54,2,FALSE),"")</f>
        <v/>
      </c>
      <c r="OM99" s="164">
        <f>COUNTIF($NS99:$NW99,1)</f>
        <v/>
      </c>
      <c r="ON99" s="164">
        <f>COUNTIF($NS99:$NW99,2)</f>
        <v/>
      </c>
      <c r="OO99" s="164">
        <f>COUNTIF($NS99:$NW99,3)</f>
        <v/>
      </c>
      <c r="OP99" s="164">
        <f>COUNTIF($NS99:$NW99,4)</f>
        <v/>
      </c>
      <c r="OQ99" s="164">
        <f>COUNTIF($NS99:$NW99,5)</f>
        <v/>
      </c>
      <c r="OR99" s="164">
        <f>COUNTIF($NS99:$NW99,6)</f>
        <v/>
      </c>
      <c r="OS99" s="164">
        <f>COUNTIF($OI99:$OJ99,1)+IF(IFERROR(INDEX('DADOS_FORMAS'!$AS$2:$AS$21,MATCH(SUBSTITUTE(SUBSTITUTE(SUBSTITUTE($MU99,"~","~~"),"*","~*"),"?","~?"),'DADOS_FORMAS'!$AH$2:$AH$21,0)),"")="",0,IFERROR(N(VLOOKUP(SUBSTITUTE(SUBSTITUTE(SUBSTITUTE(IFERROR(INDEX('DADOS_FORMAS'!$AS$2:$AS$21,MATCH(SUBSTITUTE(SUBSTITUTE(SUBSTITUTE($MU99,"~","~~"),"*","~*"),"?","~?"),'DADOS_FORMAS'!$AH$2:$AH$21,0)),""),"~","~~"),"*","~*"),"?","~?"),'DADOS_RESTRICOES'!$M$2:$Q$54,3,FALSE)=1),0))</f>
        <v/>
      </c>
      <c r="OT99" s="164">
        <f>COUNTIF($OI99:$OJ99,2)+IF(IFERROR(INDEX('DADOS_FORMAS'!$AS$2:$AS$21,MATCH(SUBSTITUTE(SUBSTITUTE(SUBSTITUTE($MU99,"~","~~"),"*","~*"),"?","~?"),'DADOS_FORMAS'!$AH$2:$AH$21,0)),"")="",0,IFERROR(N(VLOOKUP(SUBSTITUTE(SUBSTITUTE(SUBSTITUTE(IFERROR(INDEX('DADOS_FORMAS'!$AS$2:$AS$21,MATCH(SUBSTITUTE(SUBSTITUTE(SUBSTITUTE($MU99,"~","~~"),"*","~*"),"?","~?"),'DADOS_FORMAS'!$AH$2:$AH$21,0)),""),"~","~~"),"*","~*"),"?","~?"),'DADOS_RESTRICOES'!$M$2:$Q$54,3,FALSE)=2),0))</f>
        <v/>
      </c>
      <c r="OU99" s="164">
        <f>COUNTIF($MX99:$NA99,"?*")</f>
        <v/>
      </c>
      <c r="OV99" s="164">
        <f>COUNTIF($NB99:$NC99,"?*")+$OF99</f>
        <v/>
      </c>
      <c r="OW99" s="164">
        <f>IF($MS99=0,0,SUMPRODUCT($OM99:$OR99,INDEX($I$2:$N$8,MAX(1,$MS99),0)))</f>
        <v/>
      </c>
      <c r="OX99" s="164">
        <f>IF($MS99=0,0,$OS99*CEILING($MS99/2,1)+$OT99*$MS99)</f>
        <v/>
      </c>
      <c r="OY99" s="164">
        <f>MIN(2*$MS99,$OX99)</f>
        <v/>
      </c>
      <c r="OZ99" s="164">
        <f>MIN($OY99,$OW99-IF($NS99=0,0,INDEX($I$2:$N$8,MAX(1,$MS99),$NS99)))</f>
        <v/>
      </c>
      <c r="PA99" s="164">
        <f>$OY99-$OZ99</f>
        <v/>
      </c>
      <c r="PB99" s="164">
        <f>IF($MS99=0,0,INDEX($P$2:$P$8,MAX(1,$MS99)))</f>
        <v/>
      </c>
      <c r="PC99" s="164">
        <f>$PB99-$OW99+$OZ99</f>
        <v/>
      </c>
      <c r="PD99" s="164">
        <f>IF($MS99=0,MAX(0,$NG99-IF(AND($OU99&gt;0,COUNTIF($NB99:$NC99,"?*")=0),1,0)),MAX(0,$PC99))</f>
        <v/>
      </c>
      <c r="PE99" s="164">
        <f>IF($MS99=0,0,(IF(COUNTIF($RK99:$RN99,"Salto")&gt;0,1,0)+IF(COUNTIF($RK99:$RN99,"Queima")&gt;0,1,0)+IF(COUNTIF($RK99:$RN99,"Estilhaço")&gt;0,1,0))*FLOOR($PD99/2,1))</f>
        <v/>
      </c>
      <c r="PF99" s="164">
        <f>MAX(0,2-SUMPRODUCT($OM99:$OR99,$I$2:$N$2)+MIN(2,$OS99*1+$OT99*1,SUMPRODUCT($OM99:$OR99,$I$2:$N$2)-IF($NS99=0,0,INDEX($I$2:$N$2,1,$NS99))))</f>
        <v/>
      </c>
      <c r="PG99" s="164">
        <f>MAX(0,4-SUMPRODUCT($OM99:$OR99,$I$3:$N$3)+MIN(4,$OS99*1+$OT99*2,SUMPRODUCT($OM99:$OR99,$I$3:$N$3)-IF($NS99=0,0,INDEX($I$3:$N$3,1,$NS99))))</f>
        <v/>
      </c>
      <c r="PH99" s="164">
        <f>MAX(0,6-SUMPRODUCT($OM99:$OR99,$I$4:$N$4)+MIN(6,$OS99*2+$OT99*3,SUMPRODUCT($OM99:$OR99,$I$4:$N$4)-IF($NS99=0,0,INDEX($I$4:$N$4,1,$NS99))))</f>
        <v/>
      </c>
      <c r="PI99" s="164">
        <f>MAX(0,9-SUMPRODUCT($OM99:$OR99,$I$5:$N$5)+MIN(8,$OS99*2+$OT99*4,SUMPRODUCT($OM99:$OR99,$I$5:$N$5)-IF($NS99=0,0,INDEX($I$5:$N$5,1,$NS99))))</f>
        <v/>
      </c>
      <c r="PJ99" s="164">
        <f>MAX(0,11-SUMPRODUCT($OM99:$OR99,$I$6:$N$6)+MIN(10,$OS99*3+$OT99*5,SUMPRODUCT($OM99:$OR99,$I$6:$N$6)-IF($NS99=0,0,INDEX($I$6:$N$6,1,$NS99))))</f>
        <v/>
      </c>
      <c r="PK99" s="164">
        <f>MAX(0,13-SUMPRODUCT($OM99:$OR99,$I$7:$N$7)+MIN(12,$OS99*3+$OT99*6,SUMPRODUCT($OM99:$OR99,$I$7:$N$7)-IF($NS99=0,0,INDEX($I$7:$N$7,1,$NS99))))</f>
        <v/>
      </c>
      <c r="PL99" s="164">
        <f>MAX(0,16-SUMPRODUCT($OM99:$OR99,$I$8:$N$8)+MIN(14,$OS99*4+$OT99*7,SUMPRODUCT($OM99:$OR99,$I$8:$N$8)-IF($NS99=0,0,INDEX($I$8:$N$8,1,$NS99))))</f>
        <v/>
      </c>
      <c r="PM99" s="164">
        <f>IF($OG99=2,3*$PF99&amp;" de vida temp.",IF($OG99=3,"sem dano",IF($PF99=0,IF($OG99=1,"sem cura","sem dano"),IF($OG99=1,"cura ","")&amp;$PF99&amp;"d8")))</f>
        <v/>
      </c>
      <c r="PN99" s="164">
        <f>IF($OG99=2,3*$PG99&amp;" de vida temp.",IF($OG99=3,"sem dano",IF($PG99=0,IF($OG99=1,"sem cura","sem dano"),IF($OG99=1,"cura ","")&amp;$PG99&amp;"d8")))</f>
        <v/>
      </c>
      <c r="PO99" s="164">
        <f>IF($OG99=2,3*$PH99&amp;" de vida temp.",IF($OG99=3,"sem dano",IF($PH99=0,IF($OG99=1,"sem cura","sem dano"),IF($OG99=1,"cura ","")&amp;$PH99&amp;"d8")))</f>
        <v/>
      </c>
      <c r="PP99" s="164">
        <f>IF($OG99=2,3*$PI99&amp;" de vida temp.",IF($OG99=3,"sem dano",IF($PI99=0,IF($OG99=1,"sem cura","sem dano"),IF($OG99=1,"cura ","")&amp;$PI99&amp;"d8")))</f>
        <v/>
      </c>
      <c r="PQ99" s="164">
        <f>IF($OG99=2,3*$PJ99&amp;" de vida temp.",IF($OG99=3,"sem dano",IF($PJ99=0,IF($OG99=1,"sem cura","sem dano"),IF($OG99=1,"cura ","")&amp;$PJ99&amp;"d8")))</f>
        <v/>
      </c>
      <c r="PR99" s="164">
        <f>IF($OG99=2,3*$PK99&amp;" de vida temp.",IF($OG99=3,"sem dano",IF($PK99=0,IF($OG99=1,"sem cura","sem dano"),IF($OG99=1,"cura ","")&amp;$PK99&amp;"d8")))</f>
        <v/>
      </c>
      <c r="PS99" s="164">
        <f>IF($OG99=2,3*$PL99&amp;" de vida temp.",IF($OG99=3,"sem dano",IF($PL99=0,IF($OG99=1,"sem cura","sem dano"),IF($OG99=1,"cura ","")&amp;$PL99&amp;"d8")))</f>
        <v/>
      </c>
      <c r="PT99" s="164">
        <f>IF($ND99=0,"",TEXTJOIN(" · ",TRUE,IF($ND99=0,"",TEXTJOIN(" · ",TRUE,IF($ND99=0,"",TEXTJOIN(" · ",TRUE,IF($MQ99&gt;$NE99,"Este lugar abre no nível "&amp;$MQ99,""),IF($MS99&gt;$NF99,"Classe "&amp;$MS99&amp;": o nível "&amp;$NE99&amp;" libera até a "&amp;$NF99,""),IF($NX99=1,"A Forma "&amp;$MU99&amp;" pede "&amp;INDEX('DADOS_FORMAS'!$GA$2:$GA$21,$NJ99)&amp;" aberta",""),IF(AND($MS99=0,$NJ99&gt;0,IF($NJ99=0,0,INDEX('DADOS_FORMAS'!$GJ$2:$GJ$21,$NJ99))=0),$MU99&amp;" não existe na Classe 0",""),IF($NY99=1,"Família Fechada: "&amp;$MX99,""),IF($NZ99=1,"Família Fechada: "&amp;$MY99,""),IF($OA99=1,"Família Fechada: "&amp;$MZ99,""),IF($OB99=1,"Família Fechada: "&amp;$NA99,""),IF(AND($MS99&gt;0,$OU99&gt;INDEX($O$2:$O$8,MAX(1,$MS99))),$OU99&amp;" Melhorias: a Classe "&amp;$MS99&amp;" aceita "&amp;INDEX($O$2:$O$8,MAX(1,$MS99)),""),IF(AND($MS99=0,$OU99&gt;1),"A básica aceita uma Melhoria",""),IF(AND($MS99=0,COUNTIF($NO99:$NR99,"&gt;1")&gt;0),"A básica só aceita Melhoria Leve",""),IF(AND($MS99&gt;0,$OV99&gt;2),$OV99&amp;" Restrições"&amp;IF($OF99=1,", contando a que a Forma "&amp;$MU99&amp;" já traz","")&amp;": o limite é 2",""),IF(AND($MS99=0,COUNTIF($NB99:$NC99,"?*")&gt;1),"A básica aceita uma Restrição Leve",""),IF(AND($MS99=0,COUNTIF($OI99:$OJ99,2)&gt;0),"A básica só aceita Restrição Leve",""),IF(AND($MS99&gt;0,$PC99&lt;0),"Orçamento estourado: faltam "&amp;(-$PC99)&amp;IF($PC99&lt;-1," pontos"," ponto"),""),IF(IFERROR(VLOOKUP(SUBSTITUTE(SUBSTITUTE(SUBSTITUTE($NB99,"~","~~"),"*","~*"),"?","~?"),'DADOS_RESTRICOES'!$M$2:$Q$54,4,FALSE),0)+IFERROR(VLOOKUP(SUBSTITUTE(SUBSTITUTE(SUBSTITUTE($NC99,"~","~~"),"*","~*"),"?","~?"),'DADOS_RESTRICOES'!$M$2:$Q$54,4,FALSE),0)&gt;1,$OK99&amp;" e "&amp;$OL99&amp;" são as duas de frequência",""),IF(AND((COUNTIF($RK99:$RN99,"Rápido")+COUNTIF($OK99:$OL99,"Rápido"))&gt;0,(COUNTIF($MX99:$NA99,"Atrasar")+COUNTIF($OK99:$OL99,"Atrasar"))&gt;0),"Rápido não entra com Atrasar",""),IF(AND((COUNTIF($RK99:$RN99,"Reação")+COUNTIF($OK99:$OL99,"Reação"))&gt;0,(COUNTIF($RK99:$RN99,"Rápido")+COUNTIF($OK99:$OL99,"Rápido"))&gt;0),"Reação não entra com Rápido",""),IF(AND((COUNTIF($RK99:$RN99,"Reação")+COUNTIF($OK99:$OL99,"Reação"))&gt;0,(COUNTIF($RK99:$RN99,"Armado")+COUNTIF($OK99:$OL99,"Armado"))&gt;0),"Reação não entra com Armado",""),IF(AND((COUNTIF($RK99:$RN99,"Reação")+COUNTIF($OK99:$OL99,"Reação"))&gt;0,(COUNTIF($MX99:$NA99,"Atrasar")+COUNTIF($OK99:$OL99,"Atrasar"))&gt;0),"Reação não entra com Atrasar",""),IF(AND((COUNTIF($RK99:$RN99,"Reação")+COUNTIF($OK99:$OL99,"Reação"))&gt;0,(COUNTIF($MX99:$NA99,"Parado")+COUNTIF($OK99:$OL99,"Parado"))&gt;0),"Reação não entra com Parado",""),IF(AND((COUNTIF($MX99:$NA99,"Atrasar")+COUNTIF($OK99:$OL99,"Atrasar"))&gt;0,(COUNTIF($MX99:$NA99,"Parado")+COUNTIF($OK99:$OL99,"Parado"))&gt;0),"Atrasar não entra com Parado",""),IF(AND((COUNTIF($RK99:$RN99,"Armado")+COUNTIF($OK99:$OL99,"Armado"))&gt;0,(COUNTIF($MX99:$NA99,"Carregar")+COUNTIF($OK99:$OL99,"Carregar"))&gt;0),"Armado não entra com Carregar",""),IF(AND(COUNTIF($OK99:$OL99,"Corpo a Corpo")&gt;0,$OF99=0,OR($RO99="Cone",$RO99="Linha")),"Corpo a Corpo não entra em "&amp;$MU99,""),IF(AND(COUNTIF($OK99:$OL99,"Corpo a Corpo")&gt;0,$RP99="Corpo a Corpo"),"A Forma "&amp;$MU99&amp;" já traz o Corpo a Corpo",""),IF(AND(COUNTIF($OK99:$OL99,"Tudo ou Nada")&gt;0,$OH99=0),"Tudo ou Nada só entra em habilidade de Teste de Resistência",""),IF(AND(COUNTIF($RK99:$RN99,"Inescapável")&gt;0,OR($OU99&gt;1,$OV99&gt;0)),"Inescapável não aceita outra peça",""),IF(AND($MS99&gt;0,$PD99*IF(COUNTIF($RK99:$RN99,"Remate")&gt;0,1.25,1)+$PE99&gt;4*$MS99),($PD99*IF(COUNTIF($RK99:$RN99,"Remate")&gt;0,1.25,1)+$PE99)&amp;" dados somando repetições"&amp;IF(COUNTIF($RK99:$RN99,"Remate")&gt;0," e o Remate","")&amp;": o teto da Classe "&amp;$MS99&amp;" é "&amp;4*$MS99,""))),IF(AND($MX99&lt;&gt;"",COUNTIF('DADOS_MELHORIAS'!$O$2:$O$113,SUBSTITUTE(SUBSTITUTE(SUBSTITUTE($MX99,"~","~~"),"*","~*"),"?","~?"))=0),"Melhoria não cadastrada ou com erro: "&amp;$MX99,""),IF(AND($MY99&lt;&gt;"",COUNTIF('DADOS_MELHORIAS'!$O$2:$O$113,SUBSTITUTE(SUBSTITUTE(SUBSTITUTE($MY99,"~","~~"),"*","~*"),"?","~?"))=0),"Melhoria não cadastrada ou com erro: "&amp;$MY99,""),IF(AND($MZ99&lt;&gt;"",COUNTIF('DADOS_MELHORIAS'!$O$2:$O$113,SUBSTITUTE(SUBSTITUTE(SUBSTITUTE($MZ99,"~","~~"),"*","~*"),"?","~?"))=0),"Melhoria não cadastrada ou com erro: "&amp;$MZ99,""),IF(AND($NA99&lt;&gt;"",COUNTIF('DADOS_MELHORIAS'!$O$2:$O$113,SUBSTITUTE(SUBSTITUTE(SUBSTITUTE($NA99,"~","~~"),"*","~*"),"?","~?"))=0),"Melhoria não cadastrada ou com erro: "&amp;$NA99,""),IF(AND($NB99&lt;&gt;"",COUNTIF('DADOS_RESTRICOES'!$M$2:$M$54,SUBSTITUTE(SUBSTITUTE(SUBSTITUTE($NB99,"~","~~"),"*","~*"),"?","~?"))=0),"Restrição não cadastrada ou com erro: "&amp;$NB99,""),IF(AND($NC99&lt;&gt;"",COUNTIF('DADOS_RESTRICOES'!$M$2:$M$54,SUBSTITUTE(SUBSTITUTE(SUBSTITUTE($NC99,"~","~~"),"*","~*"),"?","~?"))=0),"Restrição não cadastrada ou com erro: "&amp;$NC99,""))),IF(AND($MU99&lt;&gt;"",COUNTIF('DADOS_FORMAS'!$AH$2:$AH$21,SUBSTITUTE(SUBSTITUTE(SUBSTITUTE($MU99,"~","~~"),"*","~*"),"?","~?"))=0),"Forma não cadastrada ou com erro: "&amp;$MU99,""),IF(AND(IFERROR(INDEX('DADOS_FORMAS'!$AS$2:$AS$21,MATCH(SUBSTITUTE(SUBSTITUTE(SUBSTITUTE($MU99,"~","~~"),"*","~*"),"?","~?"),'DADOS_FORMAS'!$AH$2:$AH$21,0)),"")&lt;&gt;"",OR(IFERROR(VLOOKUP(SUBSTITUTE(SUBSTITUTE(SUBSTITUTE(IFERROR(INDEX('DADOS_FORMAS'!$AS$2:$AS$21,MATCH(SUBSTITUTE(SUBSTITUTE(SUBSTITUTE($MU99,"~","~~"),"*","~*"),"?","~?"),'DADOS_FORMAS'!$AH$2:$AH$21,0)),""),"~","~~"),"*","~*"),"?","~?"),'DADOS_RESTRICOES'!$M$2:$Q$54,2,FALSE),"")=$OK99,IFERROR(VLOOKUP(SUBSTITUTE(SUBSTITUTE(SUBSTITUTE(IFERROR(INDEX('DADOS_FORMAS'!$AS$2:$AS$21,MATCH(SUBSTITUTE(SUBSTITUTE(SUBSTITUTE($MU99,"~","~~"),"*","~*"),"?","~?"),'DADOS_FORMAS'!$AH$2:$AH$21,0)),""),"~","~~"),"*","~*"),"?","~?"),'DADOS_RESTRICOES'!$M$2:$Q$54,2,FALSE),"")=$OL99)),"Restrição repetida, contando a embutida",""),IF(IF(IFERROR(INDEX('DADOS_FORMAS'!$AS$2:$AS$21,MATCH(SUBSTITUTE(SUBSTITUTE(SUBSTITUTE($MU99,"~","~~"),"*","~*"),"?","~?"),'DADOS_FORMAS'!$AH$2:$AH$21,0)),"")="",0,IFERROR(N(VLOOKUP(SUBSTITUTE(SUBSTITUTE(SUBSTITUTE(IFERROR(INDEX('DADOS_FORMAS'!$AS$2:$AS$21,MATCH(SUBSTITUTE(SUBSTITUTE(SUBSTITUTE($MU99,"~","~~"),"*","~*"),"?","~?"),'DADOS_FORMAS'!$AH$2:$AH$21,0)),""),"~","~~"),"*","~*"),"?","~?"),'DADOS_RESTRICOES'!$M$2:$Q$54,4,FALSE)=1),0))+IF($NB99="",0,IFERROR(N(VLOOKUP(SUBSTITUTE(SUBSTITUTE(SUBSTITUTE($NB99,"~","~~"),"*","~*"),"?","~?"),'DADOS_RESTRICOES'!$M$2:$Q$54,4,FALSE)=1),0))+IF($NC99="",0,IFERROR(N(VLOOKUP(SUBSTITUTE(SUBSTITUTE(SUBSTITUTE($NC99,"~","~~"),"*","~*"),"?","~?"),'DADOS_RESTRICOES'!$M$2:$Q$54,4,FALSE)=1),0))&gt;1,"Duas Restrições de frequência, contando a embutida",""),IF(AND(IFERROR(VLOOKUP(SUBSTITUTE(SUBSTITUTE(SUBSTITUTE(IFERROR(INDEX('DADOS_FORMAS'!$AS$2:$AS$21,MATCH(SUBSTITUTE(SUBSTITUTE(SUBSTITUTE($MU99,"~","~~"),"*","~*"),"?","~?"),'DADOS_FORMAS'!$AH$2:$AH$21,0)),""),"~","~~"),"*","~*"),"?","~?"),'DADOS_RESTRICOES'!$M$2:$Q$54,2,FALSE),"")="Tudo ou Nada",$OH99=0),"Tudo ou Nada exige TR",""),IF(AND(IFERROR(VLOOKUP(SUBSTITUTE(SUBSTITUTE(SUBSTITUTE(IFERROR(INDEX('DADOS_FORMAS'!$AS$2:$AS$21,MATCH(SUBSTITUTE(SUBSTITUTE(SUBSTITUTE($MU99,"~","~~"),"*","~*"),"?","~?"),'DADOS_FORMAS'!$AH$2:$AH$21,0)),""),"~","~~"),"*","~*"),"?","~?"),'DADOS_RESTRICOES'!$M$2:$Q$54,2,FALSE),"")="Corpo a Corpo",OR($RO99="Cone",$RO99="Linha")),"Corpo a Corpo não entra em Cone/Linha","")))</f>
        <v/>
      </c>
      <c r="PU99" s="164">
        <f>IF($PT99="",0,(LEN($PT99)-LEN(SUBSTITUTE($PT99," · ","")))/3+1)</f>
        <v/>
      </c>
      <c r="PV99" s="164">
        <f>IF($ND99=0,"",TEXTJOIN(" · ",TRUE,IF($OX99&gt;2*$MS99,"A devolução parou no teto de "&amp;2*$MS99,""),IF($PA99&gt;0,"Devolução perdida: "&amp;$PA99&amp;IF($PA99&gt;1," pontos"," ponto")&amp;" sem Melhoria para pagar",""),IF(AND($OC99&gt;0,AND($MS99&gt;0,$OG99=0),$PD99=0),"Controle sem dano: uma rodada a mais e CD +2",""),IF(AND($OC99&gt;0,AND($MS99&gt;0,$OG99=0),$PD99&gt;0,$PD99&lt;=$MS99),"Controle com saldo até a Classe: uma rodada a mais",""),IF(AND($MS99&gt;0,$OE99&lt;&gt;""),"Efeito de "&amp;$OE99&amp;" pela Classe "&amp;MAX(1,$MS99-1),"")))</f>
        <v/>
      </c>
      <c r="PW99" s="164">
        <f>IF($PV99="",0,(LEN($PV99)-LEN(SUBSTITUTE($PV99," · ","")))/3+1)</f>
        <v/>
      </c>
      <c r="PX99" s="164">
        <f>IF($ND99=0,IF($OU99+COUNTIF($NB99:$NC99,"?*")&gt;0,"Dê um nome",""),IF($PU99&gt;0,"⚠ "&amp;$PU99&amp;IF($PU99&gt;1," erros"," erro"),IF($PW99&gt;0,"! "&amp;$PW99&amp;IF($PW99&gt;1," avisos"," aviso"),"Na regra")))</f>
        <v/>
      </c>
      <c r="PY99" s="164">
        <f>IF($ND99=0,"",IF($PU99+$PW99=0,"Dentro das regras que a ficha confere",$PT99&amp;IF(AND($PU99&gt;0,$PW99&gt;0)," · ","")&amp;$PV99))</f>
        <v/>
      </c>
      <c r="PZ99" s="164">
        <f>IF($MQ99&gt;$NE99,$MR99&amp;" · ABRE NO NÍVEL "&amp;$MQ99,$MR99)</f>
        <v/>
      </c>
      <c r="QA99" s="164">
        <f>IF($ND99=0,"",IF($MS99=0,"Sem PE",3*$MS99&amp;" PE"))</f>
        <v/>
      </c>
      <c r="QB99" s="164">
        <f>IF($ND99=0,"",IF($MS99=0,"A atuação básica dela",IF(COUNTIF($RQ99:$RS99,"Atrasar")&gt;0,"Sua Ação Completa",IF(COUNTIF($RK99:$RN99,"Rápido")&gt;0,"Sua Bônus",IF(COUNTIF($RK99:$RN99,"Reação")&gt;0,"Sua Reação","Sua Padrão")))&amp;" + a básica dela"&amp;IF(COUNTIF($RK99:$RN99,"Reação")&gt;0," e a coletiva","")&amp;IF(COUNTIF($RQ99:$RS99,"Carregar")&gt;0," · em dois turnos","")))</f>
        <v/>
      </c>
      <c r="QC99" s="164">
        <f>IF($MW99&lt;&gt;"",$MW99,IF($NJ99=0,"",INDEX('DADOS_FORMAS'!$GE$2:$GE$21,$NJ99)))</f>
        <v/>
      </c>
      <c r="QD99" s="164">
        <f>IF(OR($ND99=0,$NJ99=0),"",IF(COUNTIF($RK99:$RN99,"Inescapável")&gt;0,"Automático",IF($QC99="Ataque",IF($NH99="","Ataque","Ataque "&amp;IF(($NH99+2*IF(COUNTIF($RK99:$RN99,"Precisão")&gt;0,1,0))&gt;=0,"+","−")&amp;ABS(($NH99+2*IF(COUNTIF($RK99:$RN99,"Precisão")&gt;0,1,0))))&amp;IF($OD99&gt;0," · TR"&amp;IF($NI99="",""," CD "&amp;$NI99),""),IF(LEFT($QC99,2)="TR",$QC99&amp;IF($NI99="",""," · CD "&amp;$NI99)&amp;IF(COUNTIF($RK99:$RN99,"Certeiro")&gt;0," · metade",""),"Sem rolagem"))))</f>
        <v/>
      </c>
      <c r="QE99" s="164">
        <f>IF(OR($ND99=0,$NJ99=0),"",IF($MS99=0,IF(OR($OG99&gt;=1,$PD99=0),"Sem dano",$PD99&amp;"d6"&amp;IF($MV99="",""," "&amp;$MV99)),IF(OR($OG99&gt;=1,$PD99=0),UPPER(LEFT(INDEX($PM99:$PS99,1,MAX(1,$MS99)),1))&amp;MID(INDEX($PM99:$PS99,1,MAX(1,$MS99)),2,99),UPPER(LEFT(INDEX($PM99:$PS99,1,MAX(1,$MS99)),1))&amp;MID(INDEX($PM99:$PS99,1,MAX(1,$MS99)),2,99)&amp;IF($MV99="",""," "&amp;$MV99)&amp;IF($PE99&gt;0," · +"&amp;$PE99&amp;"d8",""))))</f>
        <v/>
      </c>
      <c r="QF99" s="164">
        <f>COUNTIF($RK99:$RN99,"Longe")+3*COUNTIF($RK99:$RN99,"Muito Longe")</f>
        <v/>
      </c>
      <c r="QG99" s="164">
        <f>COUNTIF($RK99:$RN99,"Maior")+3*COUNTIF($RK99:$RN99,"Muito Maior")</f>
        <v/>
      </c>
      <c r="QH99" s="164">
        <f>IF($NJ99=0,0,CHOOSE(1+INDEX('DADOS_FORMAS'!$GG$2:$GG$21,$NJ99),0,$QF99,$QG99,$QF99+$QG99))</f>
        <v/>
      </c>
      <c r="QI99" s="164">
        <f>IF($NJ99=0,0,CHOOSE(1+INDEX('DADOS_FORMAS'!$GH$2:$GH$21,$NJ99),0,$QF99,$QG99,$QF99+$QG99))</f>
        <v/>
      </c>
      <c r="QJ99" s="164">
        <f>IF(OR($ND99=0,$NJ99=0),"",INDEX('DADOS_FORMAS'!$HU$2:$HZ$81,($NJ99-1)*4+IF($MS99=0,1,IF($MS99&lt;=5,2,IF($MS99=6,3,4))),1+MIN(5,$QH99))&amp;INDEX('DADOS_FORMAS'!$IA$2:$IF$81,($NJ99-1)*4+IF($MS99=0,1,IF($MS99&lt;=5,2,IF($MS99=6,3,4))),1+MIN(5,$QI99))&amp;IF(INDEX('DADOS_FORMAS'!$GI$2:$GI$21,$NJ99)=1,IF(COUNTIF($RK99:$RN99,"Mais Um")&gt;0," · +"&amp;COUNTIF($RK99:$RN99,"Mais Um")&amp;IF(COUNTIF($RK99:$RN99,"Mais Um")&gt;1," alvos"," alvo"),"")&amp;IF(COUNTIF($RK99:$RN99,"Rajada")&gt;0,IF($MS99=0," · 1 tiro"," · "&amp;(MAX(1,$MS99-1)+1)&amp;" tiros"),""),""))</f>
        <v/>
      </c>
      <c r="QK99" s="164">
        <f>IF($ND99=0,"",IF($MS99=0,$NG99&amp;"d6"&amp;IF($OU99&gt;0," − 1 = "&amp;$PD99&amp;"d6"," da básica do nível "&amp;$NE99),$PB99&amp;" − "&amp;$OW99&amp;" + "&amp;$OZ99&amp;" = "&amp;$PC99&amp;" · teto "&amp;4*$MS99&amp;"d8"&amp;IF($OF99=1," · a Forma devolve "&amp;$MS99,"")&amp;IF($PA99&gt;0," · perde "&amp;$PA99,"")))</f>
        <v/>
      </c>
      <c r="QL99" s="164">
        <f>IF($ND99=0,"",IF($MS99=0,"A básica não amplia: os dados dela sobem com o nível",IF($MS99&gt;=$NF99,"Já está na maior Classe que o nível liberou",TEXTJOIN(" · ",TRUE,IF(AND(2&gt;$MS99,2&lt;=$NF99),"2 → "&amp;$PN99&amp;", 6 PE",""),IF(AND(3&gt;$MS99,3&lt;=$NF99),"3 → "&amp;$PO99&amp;", 9 PE",""),IF(AND(4&gt;$MS99,4&lt;=$NF99),"4 → "&amp;$PP99&amp;", 12 PE",""),IF(AND(5&gt;$MS99,5&lt;=$NF99),"5 → "&amp;$PQ99&amp;", 15 PE",""),IF(AND(6&gt;$MS99,6&lt;=$NF99),"6 → "&amp;$PR99&amp;", 18 PE",""),IF(AND(7&gt;$MS99,7&lt;=$NF99),"7 → "&amp;$PS99&amp;", 21 PE","")))))</f>
        <v/>
      </c>
      <c r="QM99" s="164">
        <f>IF(OR($ND99=0,$NO99=0),"",IF($MS99=0,"−1 dado","−"&amp;INDEX($I$2:$N$8,MAX(1,$MS99),MAX(1,$NT99))&amp;" · "&amp;CHOOSE(MAX(1,$NT99),"Leve","Média","Pesada","Leve · Livre","Média · Livre","Pesada · Livre")))</f>
        <v/>
      </c>
      <c r="QN99" s="164">
        <f>IF(OR($ND99=0,$NP99=0),"",IF($MS99=0,"−1 dado","−"&amp;INDEX($I$2:$N$8,MAX(1,$MS99),MAX(1,$NU99))&amp;" · "&amp;CHOOSE(MAX(1,$NU99),"Leve","Média","Pesada","Leve · Livre","Média · Livre","Pesada · Livre")))</f>
        <v/>
      </c>
      <c r="QO99" s="164">
        <f>IF(OR($ND99=0,$NQ99=0),"",IF($MS99=0,"−1 dado","−"&amp;INDEX($I$2:$N$8,MAX(1,$MS99),MAX(1,$NV99))&amp;" · "&amp;CHOOSE(MAX(1,$NV99),"Leve","Média","Pesada","Leve · Livre","Média · Livre","Pesada · Livre")))</f>
        <v/>
      </c>
      <c r="QP99" s="164">
        <f>IF(OR($ND99=0,$NR99=0),"",IF($MS99=0,"−1 dado","−"&amp;INDEX($I$2:$N$8,MAX(1,$MS99),MAX(1,$NW99))&amp;" · "&amp;CHOOSE(MAX(1,$NW99),"Leve","Média","Pesada","Leve · Livre","Média · Livre","Pesada · Livre")))</f>
        <v/>
      </c>
      <c r="QQ99" s="164">
        <f>IF(OR($ND99=0,$NB99=""),"",IF($MS99=0,"não devolve","+"&amp;IF($OI99=1,CEILING($MS99/2,1),$MS99)))</f>
        <v/>
      </c>
      <c r="QR99" s="164">
        <f>IF(OR($ND99=0,$NC99=""),"",IF($MS99=0,"não devolve","+"&amp;IF($OJ99=1,CEILING($MS99/2,1),$MS99)))</f>
        <v/>
      </c>
      <c r="RK99">
        <f>IF($MX99="","",IFERROR(VLOOKUP(SUBSTITUTE(SUBSTITUTE(SUBSTITUTE($MX99,"~","~~"),"*","~*"),"?","~?"),'DADOS_MELHORIAS'!$O$2:$X$113,10,FALSE),$MX99))</f>
        <v/>
      </c>
      <c r="RL99">
        <f>IF($MY99="","",IFERROR(VLOOKUP(SUBSTITUTE(SUBSTITUTE(SUBSTITUTE($MY99,"~","~~"),"*","~*"),"?","~?"),'DADOS_MELHORIAS'!$O$2:$X$113,10,FALSE),$MY99))</f>
        <v/>
      </c>
      <c r="RM99">
        <f>IF($MZ99="","",IFERROR(VLOOKUP(SUBSTITUTE(SUBSTITUTE(SUBSTITUTE($MZ99,"~","~~"),"*","~*"),"?","~?"),'DADOS_MELHORIAS'!$O$2:$X$113,10,FALSE),$MZ99))</f>
        <v/>
      </c>
      <c r="RN99">
        <f>IF($NA99="","",IFERROR(VLOOKUP(SUBSTITUTE(SUBSTITUTE(SUBSTITUTE($NA99,"~","~~"),"*","~*"),"?","~?"),'DADOS_MELHORIAS'!$O$2:$X$113,10,FALSE),$NA99))</f>
        <v/>
      </c>
      <c r="RO99">
        <f>IFERROR(INDEX('DADOS_FORMAS'!$BJ$2:$BJ$21,MATCH(SUBSTITUTE(SUBSTITUTE(SUBSTITUTE($MU99,"~","~~"),"*","~*"),"?","~?"),'DADOS_FORMAS'!$AH$2:$AH$21,0)),"")</f>
        <v/>
      </c>
      <c r="RP99">
        <f>IFERROR(VLOOKUP(SUBSTITUTE(SUBSTITUTE(SUBSTITUTE(IFERROR(INDEX('DADOS_FORMAS'!$AS$2:$AS$21,MATCH(SUBSTITUTE(SUBSTITUTE(SUBSTITUTE($MU99,"~","~~"),"*","~*"),"?","~?"),'DADOS_FORMAS'!$AH$2:$AH$21,0)),""),"~","~~"),"*","~*"),"?","~?"),'DADOS_RESTRICOES'!$M$2:$Q$54,2,FALSE),"")</f>
        <v/>
      </c>
      <c r="RQ99">
        <f>$OK99</f>
        <v/>
      </c>
      <c r="RR99">
        <f>$OL99</f>
        <v/>
      </c>
      <c r="RS99">
        <f>$RP99</f>
        <v/>
      </c>
    </row>
    <row r="100">
      <c r="MN100" s="162" t="inlineStr">
        <is>
          <t>Ficha 8 · Especial 6</t>
        </is>
      </c>
      <c r="MO100" s="164" t="n">
        <v>8</v>
      </c>
      <c r="MP100" s="164" t="n">
        <v>1</v>
      </c>
      <c r="MQ100" s="164" t="n">
        <v>20</v>
      </c>
      <c r="MR100" s="162" t="inlineStr">
        <is>
          <t>ESPECIAL 6</t>
        </is>
      </c>
      <c r="MS100" s="164">
        <f>MAX(1,MIN(7,N('INVOCAÇÕES'!$AH$338)))</f>
        <v/>
      </c>
      <c r="MT100" s="164">
        <f>'INVOCAÇÕES'!$AI$338&amp;""</f>
        <v/>
      </c>
      <c r="MU100" s="164">
        <f>'INVOCAÇÕES'!$AH$343&amp;""</f>
        <v/>
      </c>
      <c r="MV100" s="164">
        <f>'INVOCAÇÕES'!$AH$344&amp;""</f>
        <v/>
      </c>
      <c r="MW100" s="164">
        <f>'INVOCAÇÕES'!$AJ$344&amp;""</f>
        <v/>
      </c>
      <c r="MX100" s="164">
        <f>'INVOCAÇÕES'!$AI$347&amp;""</f>
        <v/>
      </c>
      <c r="MY100" s="164">
        <f>'INVOCAÇÕES'!$AI$348&amp;""</f>
        <v/>
      </c>
      <c r="MZ100" s="164">
        <f>'INVOCAÇÕES'!$AI$349&amp;""</f>
        <v/>
      </c>
      <c r="NA100" s="164">
        <f>'INVOCAÇÕES'!$AI$350&amp;""</f>
        <v/>
      </c>
      <c r="NB100" s="164">
        <f>'INVOCAÇÕES'!$AI$351&amp;""</f>
        <v/>
      </c>
      <c r="NC100" s="164">
        <f>'INVOCAÇÕES'!$AI$352&amp;""</f>
        <v/>
      </c>
      <c r="ND100" s="164">
        <f>IF($MT100&lt;&gt;"",1,0)</f>
        <v/>
      </c>
      <c r="NE100" s="164">
        <f>INDEX($FO$2:$FO$13,$MO100)</f>
        <v/>
      </c>
      <c r="NF100" s="164">
        <f>INDEX($FP$2:$FP$13,$MO100)</f>
        <v/>
      </c>
      <c r="NG100" s="164">
        <f>INDEX($FQ$2:$FQ$13,$MO100)</f>
        <v/>
      </c>
      <c r="NH100" s="164">
        <f>INDEX($GB$2:$GB$13,$MO100)</f>
        <v/>
      </c>
      <c r="NI100" s="164">
        <f>INDEX($GC$2:$GC$13,$MO100)</f>
        <v/>
      </c>
      <c r="NJ100" s="164">
        <f>IFERROR(MATCH(SUBSTITUTE(SUBSTITUTE(SUBSTITUTE($MU100,"~","~~"),"*","~*"),"?","~?"),'DADOS_FORMAS'!$FZ$2:$FZ$21,0),0)</f>
        <v/>
      </c>
      <c r="NK100" s="164">
        <f>IFERROR(VLOOKUP(SUBSTITUTE(SUBSTITUTE(SUBSTITUTE($MX100,"~","~~"),"*","~*"),"?","~?"),'DADOS_MELHORIAS'!$AG$2:$AL$113,2,FALSE),"")</f>
        <v/>
      </c>
      <c r="NL100" s="164">
        <f>IFERROR(VLOOKUP(SUBSTITUTE(SUBSTITUTE(SUBSTITUTE($MY100,"~","~~"),"*","~*"),"?","~?"),'DADOS_MELHORIAS'!$AG$2:$AL$113,2,FALSE),"")</f>
        <v/>
      </c>
      <c r="NM100" s="164">
        <f>IFERROR(VLOOKUP(SUBSTITUTE(SUBSTITUTE(SUBSTITUTE($MZ100,"~","~~"),"*","~*"),"?","~?"),'DADOS_MELHORIAS'!$AG$2:$AL$113,2,FALSE),"")</f>
        <v/>
      </c>
      <c r="NN100" s="164">
        <f>IFERROR(VLOOKUP(SUBSTITUTE(SUBSTITUTE(SUBSTITUTE($NA100,"~","~~"),"*","~*"),"?","~?"),'DADOS_MELHORIAS'!$AG$2:$AL$113,2,FALSE),"")</f>
        <v/>
      </c>
      <c r="NO100" s="164">
        <f>IFERROR(VLOOKUP(SUBSTITUTE(SUBSTITUTE(SUBSTITUTE($MX100,"~","~~"),"*","~*"),"?","~?"),'DADOS_MELHORIAS'!$AG$2:$AL$113,3,FALSE),0)</f>
        <v/>
      </c>
      <c r="NP100" s="164">
        <f>IFERROR(VLOOKUP(SUBSTITUTE(SUBSTITUTE(SUBSTITUTE($MY100,"~","~~"),"*","~*"),"?","~?"),'DADOS_MELHORIAS'!$AG$2:$AL$113,3,FALSE),0)</f>
        <v/>
      </c>
      <c r="NQ100" s="164">
        <f>IFERROR(VLOOKUP(SUBSTITUTE(SUBSTITUTE(SUBSTITUTE($MZ100,"~","~~"),"*","~*"),"?","~?"),'DADOS_MELHORIAS'!$AG$2:$AL$113,3,FALSE),0)</f>
        <v/>
      </c>
      <c r="NR100" s="164">
        <f>IFERROR(VLOOKUP(SUBSTITUTE(SUBSTITUTE(SUBSTITUTE($NA100,"~","~~"),"*","~*"),"?","~?"),'DADOS_MELHORIAS'!$AG$2:$AL$113,3,FALSE),0)</f>
        <v/>
      </c>
      <c r="NS100" s="164">
        <f>IF($MS100=0,0,IF($NJ100=0,0,INDEX('DADOS_FORMAS'!$GB$2:$GB$21,$NJ100)))</f>
        <v/>
      </c>
      <c r="NT100" s="164">
        <f>IF(OR($NO100=0,$MS100=0),0,$NO100+3*IF(AND($NK100&lt;&gt;"",COUNTIF(INDEX($RB$2:$RJ$13,$MO100,0),$NK100)&gt;0),1,0))</f>
        <v/>
      </c>
      <c r="NU100" s="164">
        <f>IF(OR($NP100=0,$MS100=0),0,$NP100+3*IF(AND($NL100&lt;&gt;"",COUNTIF(INDEX($RB$2:$RJ$13,$MO100,0),$NL100)&gt;0),1,0))</f>
        <v/>
      </c>
      <c r="NV100" s="164">
        <f>IF(OR($NQ100=0,$MS100=0),0,$NQ100+3*IF(AND($NM100&lt;&gt;"",COUNTIF(INDEX($RB$2:$RJ$13,$MO100,0),$NM100)&gt;0),1,0))</f>
        <v/>
      </c>
      <c r="NW100" s="164">
        <f>IF(OR($NR100=0,$MS100=0),0,$NR100+3*IF(AND($NN100&lt;&gt;"",COUNTIF(INDEX($RB$2:$RJ$13,$MO100,0),$NN100)&gt;0),1,0))</f>
        <v/>
      </c>
      <c r="NX100" s="164">
        <f>IF($NJ100=0,0,IF(INDEX('DADOS_FORMAS'!$GA$2:$GA$21,$NJ100)="",0,IF((COUNTIF(INDEX($EL$2:$EP$13,$MO100,0),INDEX('DADOS_FORMAS'!$GA$2:$GA$21,$NJ100))+COUNTIF(INDEX($QV$2:$QY$13,$MO100,0),INDEX('DADOS_FORMAS'!$GA$2:$GA$21,$NJ100)))=0,1,0)))</f>
        <v/>
      </c>
      <c r="NY100" s="164">
        <f>IF(OR($NO100=0,$NK100=""),0,IF((COUNTIF(INDEX($EL$2:$EP$13,$MO100,0),$NK100)+COUNTIF(INDEX($QV$2:$QY$13,$MO100,0),$NK100))=0,1,0))</f>
        <v/>
      </c>
      <c r="NZ100" s="164">
        <f>IF(OR($NP100=0,$NL100=""),0,IF((COUNTIF(INDEX($EL$2:$EP$13,$MO100,0),$NL100)+COUNTIF(INDEX($QV$2:$QY$13,$MO100,0),$NL100))=0,1,0))</f>
        <v/>
      </c>
      <c r="OA100" s="164">
        <f>IF(OR($NQ100=0,$NM100=""),0,IF((COUNTIF(INDEX($EL$2:$EP$13,$MO100,0),$NM100)+COUNTIF(INDEX($QV$2:$QY$13,$MO100,0),$NM100))=0,1,0))</f>
        <v/>
      </c>
      <c r="OB100" s="164">
        <f>IF(OR($NR100=0,$NN100=""),0,IF((COUNTIF(INDEX($EL$2:$EP$13,$MO100,0),$NN100)+COUNTIF(INDEX($QV$2:$QY$13,$MO100,0),$NN100))=0,1,0))</f>
        <v/>
      </c>
      <c r="OC100" s="164">
        <f>IFERROR(VLOOKUP(SUBSTITUTE(SUBSTITUTE(SUBSTITUTE($MX100,"~","~~"),"*","~*"),"?","~?"),'DADOS_MELHORIAS'!$AG$2:$AL$113,4,FALSE),0)+IFERROR(VLOOKUP(SUBSTITUTE(SUBSTITUTE(SUBSTITUTE($MY100,"~","~~"),"*","~*"),"?","~?"),'DADOS_MELHORIAS'!$AG$2:$AL$113,4,FALSE),0)+IFERROR(VLOOKUP(SUBSTITUTE(SUBSTITUTE(SUBSTITUTE($MZ100,"~","~~"),"*","~*"),"?","~?"),'DADOS_MELHORIAS'!$AG$2:$AL$113,4,FALSE),0)+IFERROR(VLOOKUP(SUBSTITUTE(SUBSTITUTE(SUBSTITUTE($NA100,"~","~~"),"*","~*"),"?","~?"),'DADOS_MELHORIAS'!$AG$2:$AL$113,4,FALSE),0)</f>
        <v/>
      </c>
      <c r="OD100" s="164">
        <f>IFERROR(VLOOKUP(SUBSTITUTE(SUBSTITUTE(SUBSTITUTE($MX100,"~","~~"),"*","~*"),"?","~?"),'DADOS_MELHORIAS'!$AG$2:$AL$113,6,FALSE),0)+IFERROR(VLOOKUP(SUBSTITUTE(SUBSTITUTE(SUBSTITUTE($MY100,"~","~~"),"*","~*"),"?","~?"),'DADOS_MELHORIAS'!$AG$2:$AL$113,6,FALSE),0)+IFERROR(VLOOKUP(SUBSTITUTE(SUBSTITUTE(SUBSTITUTE($MZ100,"~","~~"),"*","~*"),"?","~?"),'DADOS_MELHORIAS'!$AG$2:$AL$113,6,FALSE),0)+IFERROR(VLOOKUP(SUBSTITUTE(SUBSTITUTE(SUBSTITUTE($NA100,"~","~~"),"*","~*"),"?","~?"),'DADOS_MELHORIAS'!$AG$2:$AL$113,6,FALSE),0)+IFERROR(N(AND(INDEX('DADOS_FORMAS'!$AO$2:$AO$21,MATCH(SUBSTITUTE(SUBSTITUTE(SUBSTITUTE($MU100,"~","~~"),"*","~*"),"?","~?"),'DADOS_FORMAS'!$AH$2:$AH$21,0))="Acerto",$OH100=1)),0)</f>
        <v/>
      </c>
      <c r="OE100" s="164">
        <f>TEXTJOIN(", ",TRUE,IF(IFERROR(VLOOKUP(SUBSTITUTE(SUBSTITUTE(SUBSTITUTE($MX100,"~","~~"),"*","~*"),"?","~?"),'DADOS_MELHORIAS'!$AG$2:$AL$113,5,FALSE),0)=1,$MX100,""),IF(IFERROR(VLOOKUP(SUBSTITUTE(SUBSTITUTE(SUBSTITUTE($MY100,"~","~~"),"*","~*"),"?","~?"),'DADOS_MELHORIAS'!$AG$2:$AL$113,5,FALSE),0)=1,$MY100,""),IF(IFERROR(VLOOKUP(SUBSTITUTE(SUBSTITUTE(SUBSTITUTE($MZ100,"~","~~"),"*","~*"),"?","~?"),'DADOS_MELHORIAS'!$AG$2:$AL$113,5,FALSE),0)=1,$MZ100,""),IF(IFERROR(VLOOKUP(SUBSTITUTE(SUBSTITUTE(SUBSTITUTE($NA100,"~","~~"),"*","~*"),"?","~?"),'DADOS_MELHORIAS'!$AG$2:$AL$113,5,FALSE),0)=1,$NA100,""))</f>
        <v/>
      </c>
      <c r="OF100" s="164">
        <f>IF($NJ100=0,0,INDEX('DADOS_FORMAS'!$GC$2:$GC$21,$NJ100))</f>
        <v/>
      </c>
      <c r="OG100" s="164">
        <f>IF($NJ100=0,0,INDEX('DADOS_FORMAS'!$GD$2:$GD$21,$NJ100))</f>
        <v/>
      </c>
      <c r="OH100" s="164">
        <f>IF($NJ100=0,0,INDEX('DADOS_FORMAS'!$GF$2:$GF$21,$NJ100))</f>
        <v/>
      </c>
      <c r="OI100" s="164">
        <f>IFERROR(VLOOKUP(SUBSTITUTE(SUBSTITUTE(SUBSTITUTE($NB100,"~","~~"),"*","~*"),"?","~?"),'DADOS_RESTRICOES'!$M$2:$Q$54,3,FALSE),0)</f>
        <v/>
      </c>
      <c r="OJ100" s="164">
        <f>IFERROR(VLOOKUP(SUBSTITUTE(SUBSTITUTE(SUBSTITUTE($NC100,"~","~~"),"*","~*"),"?","~?"),'DADOS_RESTRICOES'!$M$2:$Q$54,3,FALSE),0)</f>
        <v/>
      </c>
      <c r="OK100" s="164">
        <f>IFERROR(VLOOKUP(SUBSTITUTE(SUBSTITUTE(SUBSTITUTE($NB100,"~","~~"),"*","~*"),"?","~?"),'DADOS_RESTRICOES'!$M$2:$Q$54,2,FALSE),"")</f>
        <v/>
      </c>
      <c r="OL100" s="164">
        <f>IFERROR(VLOOKUP(SUBSTITUTE(SUBSTITUTE(SUBSTITUTE($NC100,"~","~~"),"*","~*"),"?","~?"),'DADOS_RESTRICOES'!$M$2:$Q$54,2,FALSE),"")</f>
        <v/>
      </c>
      <c r="OM100" s="164">
        <f>COUNTIF($NS100:$NW100,1)</f>
        <v/>
      </c>
      <c r="ON100" s="164">
        <f>COUNTIF($NS100:$NW100,2)</f>
        <v/>
      </c>
      <c r="OO100" s="164">
        <f>COUNTIF($NS100:$NW100,3)</f>
        <v/>
      </c>
      <c r="OP100" s="164">
        <f>COUNTIF($NS100:$NW100,4)</f>
        <v/>
      </c>
      <c r="OQ100" s="164">
        <f>COUNTIF($NS100:$NW100,5)</f>
        <v/>
      </c>
      <c r="OR100" s="164">
        <f>COUNTIF($NS100:$NW100,6)</f>
        <v/>
      </c>
      <c r="OS100" s="164">
        <f>COUNTIF($OI100:$OJ100,1)+IF(IFERROR(INDEX('DADOS_FORMAS'!$AS$2:$AS$21,MATCH(SUBSTITUTE(SUBSTITUTE(SUBSTITUTE($MU100,"~","~~"),"*","~*"),"?","~?"),'DADOS_FORMAS'!$AH$2:$AH$21,0)),"")="",0,IFERROR(N(VLOOKUP(SUBSTITUTE(SUBSTITUTE(SUBSTITUTE(IFERROR(INDEX('DADOS_FORMAS'!$AS$2:$AS$21,MATCH(SUBSTITUTE(SUBSTITUTE(SUBSTITUTE($MU100,"~","~~"),"*","~*"),"?","~?"),'DADOS_FORMAS'!$AH$2:$AH$21,0)),""),"~","~~"),"*","~*"),"?","~?"),'DADOS_RESTRICOES'!$M$2:$Q$54,3,FALSE)=1),0))</f>
        <v/>
      </c>
      <c r="OT100" s="164">
        <f>COUNTIF($OI100:$OJ100,2)+IF(IFERROR(INDEX('DADOS_FORMAS'!$AS$2:$AS$21,MATCH(SUBSTITUTE(SUBSTITUTE(SUBSTITUTE($MU100,"~","~~"),"*","~*"),"?","~?"),'DADOS_FORMAS'!$AH$2:$AH$21,0)),"")="",0,IFERROR(N(VLOOKUP(SUBSTITUTE(SUBSTITUTE(SUBSTITUTE(IFERROR(INDEX('DADOS_FORMAS'!$AS$2:$AS$21,MATCH(SUBSTITUTE(SUBSTITUTE(SUBSTITUTE($MU100,"~","~~"),"*","~*"),"?","~?"),'DADOS_FORMAS'!$AH$2:$AH$21,0)),""),"~","~~"),"*","~*"),"?","~?"),'DADOS_RESTRICOES'!$M$2:$Q$54,3,FALSE)=2),0))</f>
        <v/>
      </c>
      <c r="OU100" s="164">
        <f>COUNTIF($MX100:$NA100,"?*")</f>
        <v/>
      </c>
      <c r="OV100" s="164">
        <f>COUNTIF($NB100:$NC100,"?*")+$OF100</f>
        <v/>
      </c>
      <c r="OW100" s="164">
        <f>IF($MS100=0,0,SUMPRODUCT($OM100:$OR100,INDEX($I$2:$N$8,MAX(1,$MS100),0)))</f>
        <v/>
      </c>
      <c r="OX100" s="164">
        <f>IF($MS100=0,0,$OS100*CEILING($MS100/2,1)+$OT100*$MS100)</f>
        <v/>
      </c>
      <c r="OY100" s="164">
        <f>MIN(2*$MS100,$OX100)</f>
        <v/>
      </c>
      <c r="OZ100" s="164">
        <f>MIN($OY100,$OW100-IF($NS100=0,0,INDEX($I$2:$N$8,MAX(1,$MS100),$NS100)))</f>
        <v/>
      </c>
      <c r="PA100" s="164">
        <f>$OY100-$OZ100</f>
        <v/>
      </c>
      <c r="PB100" s="164">
        <f>IF($MS100=0,0,INDEX($P$2:$P$8,MAX(1,$MS100)))</f>
        <v/>
      </c>
      <c r="PC100" s="164">
        <f>$PB100-$OW100+$OZ100</f>
        <v/>
      </c>
      <c r="PD100" s="164">
        <f>IF($MS100=0,MAX(0,$NG100-IF(AND($OU100&gt;0,COUNTIF($NB100:$NC100,"?*")=0),1,0)),MAX(0,$PC100))</f>
        <v/>
      </c>
      <c r="PE100" s="164">
        <f>IF($MS100=0,0,(IF(COUNTIF($RK100:$RN100,"Salto")&gt;0,1,0)+IF(COUNTIF($RK100:$RN100,"Queima")&gt;0,1,0)+IF(COUNTIF($RK100:$RN100,"Estilhaço")&gt;0,1,0))*FLOOR($PD100/2,1))</f>
        <v/>
      </c>
      <c r="PF100" s="164">
        <f>MAX(0,2-SUMPRODUCT($OM100:$OR100,$I$2:$N$2)+MIN(2,$OS100*1+$OT100*1,SUMPRODUCT($OM100:$OR100,$I$2:$N$2)-IF($NS100=0,0,INDEX($I$2:$N$2,1,$NS100))))</f>
        <v/>
      </c>
      <c r="PG100" s="164">
        <f>MAX(0,4-SUMPRODUCT($OM100:$OR100,$I$3:$N$3)+MIN(4,$OS100*1+$OT100*2,SUMPRODUCT($OM100:$OR100,$I$3:$N$3)-IF($NS100=0,0,INDEX($I$3:$N$3,1,$NS100))))</f>
        <v/>
      </c>
      <c r="PH100" s="164">
        <f>MAX(0,6-SUMPRODUCT($OM100:$OR100,$I$4:$N$4)+MIN(6,$OS100*2+$OT100*3,SUMPRODUCT($OM100:$OR100,$I$4:$N$4)-IF($NS100=0,0,INDEX($I$4:$N$4,1,$NS100))))</f>
        <v/>
      </c>
      <c r="PI100" s="164">
        <f>MAX(0,9-SUMPRODUCT($OM100:$OR100,$I$5:$N$5)+MIN(8,$OS100*2+$OT100*4,SUMPRODUCT($OM100:$OR100,$I$5:$N$5)-IF($NS100=0,0,INDEX($I$5:$N$5,1,$NS100))))</f>
        <v/>
      </c>
      <c r="PJ100" s="164">
        <f>MAX(0,11-SUMPRODUCT($OM100:$OR100,$I$6:$N$6)+MIN(10,$OS100*3+$OT100*5,SUMPRODUCT($OM100:$OR100,$I$6:$N$6)-IF($NS100=0,0,INDEX($I$6:$N$6,1,$NS100))))</f>
        <v/>
      </c>
      <c r="PK100" s="164">
        <f>MAX(0,13-SUMPRODUCT($OM100:$OR100,$I$7:$N$7)+MIN(12,$OS100*3+$OT100*6,SUMPRODUCT($OM100:$OR100,$I$7:$N$7)-IF($NS100=0,0,INDEX($I$7:$N$7,1,$NS100))))</f>
        <v/>
      </c>
      <c r="PL100" s="164">
        <f>MAX(0,16-SUMPRODUCT($OM100:$OR100,$I$8:$N$8)+MIN(14,$OS100*4+$OT100*7,SUMPRODUCT($OM100:$OR100,$I$8:$N$8)-IF($NS100=0,0,INDEX($I$8:$N$8,1,$NS100))))</f>
        <v/>
      </c>
      <c r="PM100" s="164">
        <f>IF($OG100=2,3*$PF100&amp;" de vida temp.",IF($OG100=3,"sem dano",IF($PF100=0,IF($OG100=1,"sem cura","sem dano"),IF($OG100=1,"cura ","")&amp;$PF100&amp;"d8")))</f>
        <v/>
      </c>
      <c r="PN100" s="164">
        <f>IF($OG100=2,3*$PG100&amp;" de vida temp.",IF($OG100=3,"sem dano",IF($PG100=0,IF($OG100=1,"sem cura","sem dano"),IF($OG100=1,"cura ","")&amp;$PG100&amp;"d8")))</f>
        <v/>
      </c>
      <c r="PO100" s="164">
        <f>IF($OG100=2,3*$PH100&amp;" de vida temp.",IF($OG100=3,"sem dano",IF($PH100=0,IF($OG100=1,"sem cura","sem dano"),IF($OG100=1,"cura ","")&amp;$PH100&amp;"d8")))</f>
        <v/>
      </c>
      <c r="PP100" s="164">
        <f>IF($OG100=2,3*$PI100&amp;" de vida temp.",IF($OG100=3,"sem dano",IF($PI100=0,IF($OG100=1,"sem cura","sem dano"),IF($OG100=1,"cura ","")&amp;$PI100&amp;"d8")))</f>
        <v/>
      </c>
      <c r="PQ100" s="164">
        <f>IF($OG100=2,3*$PJ100&amp;" de vida temp.",IF($OG100=3,"sem dano",IF($PJ100=0,IF($OG100=1,"sem cura","sem dano"),IF($OG100=1,"cura ","")&amp;$PJ100&amp;"d8")))</f>
        <v/>
      </c>
      <c r="PR100" s="164">
        <f>IF($OG100=2,3*$PK100&amp;" de vida temp.",IF($OG100=3,"sem dano",IF($PK100=0,IF($OG100=1,"sem cura","sem dano"),IF($OG100=1,"cura ","")&amp;$PK100&amp;"d8")))</f>
        <v/>
      </c>
      <c r="PS100" s="164">
        <f>IF($OG100=2,3*$PL100&amp;" de vida temp.",IF($OG100=3,"sem dano",IF($PL100=0,IF($OG100=1,"sem cura","sem dano"),IF($OG100=1,"cura ","")&amp;$PL100&amp;"d8")))</f>
        <v/>
      </c>
      <c r="PT100" s="164">
        <f>IF($ND100=0,"",TEXTJOIN(" · ",TRUE,IF($ND100=0,"",TEXTJOIN(" · ",TRUE,IF($ND100=0,"",TEXTJOIN(" · ",TRUE,IF($MQ100&gt;$NE100,"Este lugar abre no nível "&amp;$MQ100,""),IF($MS100&gt;$NF100,"Classe "&amp;$MS100&amp;": o nível "&amp;$NE100&amp;" libera até a "&amp;$NF100,""),IF($NX100=1,"A Forma "&amp;$MU100&amp;" pede "&amp;INDEX('DADOS_FORMAS'!$GA$2:$GA$21,$NJ100)&amp;" aberta",""),IF(AND($MS100=0,$NJ100&gt;0,IF($NJ100=0,0,INDEX('DADOS_FORMAS'!$GJ$2:$GJ$21,$NJ100))=0),$MU100&amp;" não existe na Classe 0",""),IF($NY100=1,"Família Fechada: "&amp;$MX100,""),IF($NZ100=1,"Família Fechada: "&amp;$MY100,""),IF($OA100=1,"Família Fechada: "&amp;$MZ100,""),IF($OB100=1,"Família Fechada: "&amp;$NA100,""),IF(AND($MS100&gt;0,$OU100&gt;INDEX($O$2:$O$8,MAX(1,$MS100))),$OU100&amp;" Melhorias: a Classe "&amp;$MS100&amp;" aceita "&amp;INDEX($O$2:$O$8,MAX(1,$MS100)),""),IF(AND($MS100=0,$OU100&gt;1),"A básica aceita uma Melhoria",""),IF(AND($MS100=0,COUNTIF($NO100:$NR100,"&gt;1")&gt;0),"A básica só aceita Melhoria Leve",""),IF(AND($MS100&gt;0,$OV100&gt;2),$OV100&amp;" Restrições"&amp;IF($OF100=1,", contando a que a Forma "&amp;$MU100&amp;" já traz","")&amp;": o limite é 2",""),IF(AND($MS100=0,COUNTIF($NB100:$NC100,"?*")&gt;1),"A básica aceita uma Restrição Leve",""),IF(AND($MS100=0,COUNTIF($OI100:$OJ100,2)&gt;0),"A básica só aceita Restrição Leve",""),IF(AND($MS100&gt;0,$PC100&lt;0),"Orçamento estourado: faltam "&amp;(-$PC100)&amp;IF($PC100&lt;-1," pontos"," ponto"),""),IF(IFERROR(VLOOKUP(SUBSTITUTE(SUBSTITUTE(SUBSTITUTE($NB100,"~","~~"),"*","~*"),"?","~?"),'DADOS_RESTRICOES'!$M$2:$Q$54,4,FALSE),0)+IFERROR(VLOOKUP(SUBSTITUTE(SUBSTITUTE(SUBSTITUTE($NC100,"~","~~"),"*","~*"),"?","~?"),'DADOS_RESTRICOES'!$M$2:$Q$54,4,FALSE),0)&gt;1,$OK100&amp;" e "&amp;$OL100&amp;" são as duas de frequência",""),IF(AND((COUNTIF($RK100:$RN100,"Rápido")+COUNTIF($OK100:$OL100,"Rápido"))&gt;0,(COUNTIF($MX100:$NA100,"Atrasar")+COUNTIF($OK100:$OL100,"Atrasar"))&gt;0),"Rápido não entra com Atrasar",""),IF(AND((COUNTIF($RK100:$RN100,"Reação")+COUNTIF($OK100:$OL100,"Reação"))&gt;0,(COUNTIF($RK100:$RN100,"Rápido")+COUNTIF($OK100:$OL100,"Rápido"))&gt;0),"Reação não entra com Rápido",""),IF(AND((COUNTIF($RK100:$RN100,"Reação")+COUNTIF($OK100:$OL100,"Reação"))&gt;0,(COUNTIF($RK100:$RN100,"Armado")+COUNTIF($OK100:$OL100,"Armado"))&gt;0),"Reação não entra com Armado",""),IF(AND((COUNTIF($RK100:$RN100,"Reação")+COUNTIF($OK100:$OL100,"Reação"))&gt;0,(COUNTIF($MX100:$NA100,"Atrasar")+COUNTIF($OK100:$OL100,"Atrasar"))&gt;0),"Reação não entra com Atrasar",""),IF(AND((COUNTIF($RK100:$RN100,"Reação")+COUNTIF($OK100:$OL100,"Reação"))&gt;0,(COUNTIF($MX100:$NA100,"Parado")+COUNTIF($OK100:$OL100,"Parado"))&gt;0),"Reação não entra com Parado",""),IF(AND((COUNTIF($MX100:$NA100,"Atrasar")+COUNTIF($OK100:$OL100,"Atrasar"))&gt;0,(COUNTIF($MX100:$NA100,"Parado")+COUNTIF($OK100:$OL100,"Parado"))&gt;0),"Atrasar não entra com Parado",""),IF(AND((COUNTIF($RK100:$RN100,"Armado")+COUNTIF($OK100:$OL100,"Armado"))&gt;0,(COUNTIF($MX100:$NA100,"Carregar")+COUNTIF($OK100:$OL100,"Carregar"))&gt;0),"Armado não entra com Carregar",""),IF(AND(COUNTIF($OK100:$OL100,"Corpo a Corpo")&gt;0,$OF100=0,OR($RO100="Cone",$RO100="Linha")),"Corpo a Corpo não entra em "&amp;$MU100,""),IF(AND(COUNTIF($OK100:$OL100,"Corpo a Corpo")&gt;0,$RP100="Corpo a Corpo"),"A Forma "&amp;$MU100&amp;" já traz o Corpo a Corpo",""),IF(AND(COUNTIF($OK100:$OL100,"Tudo ou Nada")&gt;0,$OH100=0),"Tudo ou Nada só entra em habilidade de Teste de Resistência",""),IF(AND(COUNTIF($RK100:$RN100,"Inescapável")&gt;0,OR($OU100&gt;1,$OV100&gt;0)),"Inescapável não aceita outra peça",""),IF(AND($MS100&gt;0,$PD100*IF(COUNTIF($RK100:$RN100,"Remate")&gt;0,1.25,1)+$PE100&gt;4*$MS100),($PD100*IF(COUNTIF($RK100:$RN100,"Remate")&gt;0,1.25,1)+$PE100)&amp;" dados somando repetições"&amp;IF(COUNTIF($RK100:$RN100,"Remate")&gt;0," e o Remate","")&amp;": o teto da Classe "&amp;$MS100&amp;" é "&amp;4*$MS100,""))),IF(AND($MX100&lt;&gt;"",COUNTIF('DADOS_MELHORIAS'!$O$2:$O$113,SUBSTITUTE(SUBSTITUTE(SUBSTITUTE($MX100,"~","~~"),"*","~*"),"?","~?"))=0),"Melhoria não cadastrada ou com erro: "&amp;$MX100,""),IF(AND($MY100&lt;&gt;"",COUNTIF('DADOS_MELHORIAS'!$O$2:$O$113,SUBSTITUTE(SUBSTITUTE(SUBSTITUTE($MY100,"~","~~"),"*","~*"),"?","~?"))=0),"Melhoria não cadastrada ou com erro: "&amp;$MY100,""),IF(AND($MZ100&lt;&gt;"",COUNTIF('DADOS_MELHORIAS'!$O$2:$O$113,SUBSTITUTE(SUBSTITUTE(SUBSTITUTE($MZ100,"~","~~"),"*","~*"),"?","~?"))=0),"Melhoria não cadastrada ou com erro: "&amp;$MZ100,""),IF(AND($NA100&lt;&gt;"",COUNTIF('DADOS_MELHORIAS'!$O$2:$O$113,SUBSTITUTE(SUBSTITUTE(SUBSTITUTE($NA100,"~","~~"),"*","~*"),"?","~?"))=0),"Melhoria não cadastrada ou com erro: "&amp;$NA100,""),IF(AND($NB100&lt;&gt;"",COUNTIF('DADOS_RESTRICOES'!$M$2:$M$54,SUBSTITUTE(SUBSTITUTE(SUBSTITUTE($NB100,"~","~~"),"*","~*"),"?","~?"))=0),"Restrição não cadastrada ou com erro: "&amp;$NB100,""),IF(AND($NC100&lt;&gt;"",COUNTIF('DADOS_RESTRICOES'!$M$2:$M$54,SUBSTITUTE(SUBSTITUTE(SUBSTITUTE($NC100,"~","~~"),"*","~*"),"?","~?"))=0),"Restrição não cadastrada ou com erro: "&amp;$NC100,""))),IF(AND($MU100&lt;&gt;"",COUNTIF('DADOS_FORMAS'!$AH$2:$AH$21,SUBSTITUTE(SUBSTITUTE(SUBSTITUTE($MU100,"~","~~"),"*","~*"),"?","~?"))=0),"Forma não cadastrada ou com erro: "&amp;$MU100,""),IF(AND(IFERROR(INDEX('DADOS_FORMAS'!$AS$2:$AS$21,MATCH(SUBSTITUTE(SUBSTITUTE(SUBSTITUTE($MU100,"~","~~"),"*","~*"),"?","~?"),'DADOS_FORMAS'!$AH$2:$AH$21,0)),"")&lt;&gt;"",OR(IFERROR(VLOOKUP(SUBSTITUTE(SUBSTITUTE(SUBSTITUTE(IFERROR(INDEX('DADOS_FORMAS'!$AS$2:$AS$21,MATCH(SUBSTITUTE(SUBSTITUTE(SUBSTITUTE($MU100,"~","~~"),"*","~*"),"?","~?"),'DADOS_FORMAS'!$AH$2:$AH$21,0)),""),"~","~~"),"*","~*"),"?","~?"),'DADOS_RESTRICOES'!$M$2:$Q$54,2,FALSE),"")=$OK100,IFERROR(VLOOKUP(SUBSTITUTE(SUBSTITUTE(SUBSTITUTE(IFERROR(INDEX('DADOS_FORMAS'!$AS$2:$AS$21,MATCH(SUBSTITUTE(SUBSTITUTE(SUBSTITUTE($MU100,"~","~~"),"*","~*"),"?","~?"),'DADOS_FORMAS'!$AH$2:$AH$21,0)),""),"~","~~"),"*","~*"),"?","~?"),'DADOS_RESTRICOES'!$M$2:$Q$54,2,FALSE),"")=$OL100)),"Restrição repetida, contando a embutida",""),IF(IF(IFERROR(INDEX('DADOS_FORMAS'!$AS$2:$AS$21,MATCH(SUBSTITUTE(SUBSTITUTE(SUBSTITUTE($MU100,"~","~~"),"*","~*"),"?","~?"),'DADOS_FORMAS'!$AH$2:$AH$21,0)),"")="",0,IFERROR(N(VLOOKUP(SUBSTITUTE(SUBSTITUTE(SUBSTITUTE(IFERROR(INDEX('DADOS_FORMAS'!$AS$2:$AS$21,MATCH(SUBSTITUTE(SUBSTITUTE(SUBSTITUTE($MU100,"~","~~"),"*","~*"),"?","~?"),'DADOS_FORMAS'!$AH$2:$AH$21,0)),""),"~","~~"),"*","~*"),"?","~?"),'DADOS_RESTRICOES'!$M$2:$Q$54,4,FALSE)=1),0))+IF($NB100="",0,IFERROR(N(VLOOKUP(SUBSTITUTE(SUBSTITUTE(SUBSTITUTE($NB100,"~","~~"),"*","~*"),"?","~?"),'DADOS_RESTRICOES'!$M$2:$Q$54,4,FALSE)=1),0))+IF($NC100="",0,IFERROR(N(VLOOKUP(SUBSTITUTE(SUBSTITUTE(SUBSTITUTE($NC100,"~","~~"),"*","~*"),"?","~?"),'DADOS_RESTRICOES'!$M$2:$Q$54,4,FALSE)=1),0))&gt;1,"Duas Restrições de frequência, contando a embutida",""),IF(AND(IFERROR(VLOOKUP(SUBSTITUTE(SUBSTITUTE(SUBSTITUTE(IFERROR(INDEX('DADOS_FORMAS'!$AS$2:$AS$21,MATCH(SUBSTITUTE(SUBSTITUTE(SUBSTITUTE($MU100,"~","~~"),"*","~*"),"?","~?"),'DADOS_FORMAS'!$AH$2:$AH$21,0)),""),"~","~~"),"*","~*"),"?","~?"),'DADOS_RESTRICOES'!$M$2:$Q$54,2,FALSE),"")="Tudo ou Nada",$OH100=0),"Tudo ou Nada exige TR",""),IF(AND(IFERROR(VLOOKUP(SUBSTITUTE(SUBSTITUTE(SUBSTITUTE(IFERROR(INDEX('DADOS_FORMAS'!$AS$2:$AS$21,MATCH(SUBSTITUTE(SUBSTITUTE(SUBSTITUTE($MU100,"~","~~"),"*","~*"),"?","~?"),'DADOS_FORMAS'!$AH$2:$AH$21,0)),""),"~","~~"),"*","~*"),"?","~?"),'DADOS_RESTRICOES'!$M$2:$Q$54,2,FALSE),"")="Corpo a Corpo",OR($RO100="Cone",$RO100="Linha")),"Corpo a Corpo não entra em Cone/Linha","")))</f>
        <v/>
      </c>
      <c r="PU100" s="164">
        <f>IF($PT100="",0,(LEN($PT100)-LEN(SUBSTITUTE($PT100," · ","")))/3+1)</f>
        <v/>
      </c>
      <c r="PV100" s="164">
        <f>IF($ND100=0,"",TEXTJOIN(" · ",TRUE,IF($OX100&gt;2*$MS100,"A devolução parou no teto de "&amp;2*$MS100,""),IF($PA100&gt;0,"Devolução perdida: "&amp;$PA100&amp;IF($PA100&gt;1," pontos"," ponto")&amp;" sem Melhoria para pagar",""),IF(AND($OC100&gt;0,AND($MS100&gt;0,$OG100=0),$PD100=0),"Controle sem dano: uma rodada a mais e CD +2",""),IF(AND($OC100&gt;0,AND($MS100&gt;0,$OG100=0),$PD100&gt;0,$PD100&lt;=$MS100),"Controle com saldo até a Classe: uma rodada a mais",""),IF(AND($MS100&gt;0,$OE100&lt;&gt;""),"Efeito de "&amp;$OE100&amp;" pela Classe "&amp;MAX(1,$MS100-1),"")))</f>
        <v/>
      </c>
      <c r="PW100" s="164">
        <f>IF($PV100="",0,(LEN($PV100)-LEN(SUBSTITUTE($PV100," · ","")))/3+1)</f>
        <v/>
      </c>
      <c r="PX100" s="164">
        <f>IF($ND100=0,IF($OU100+COUNTIF($NB100:$NC100,"?*")&gt;0,"Dê um nome",""),IF($PU100&gt;0,"⚠ "&amp;$PU100&amp;IF($PU100&gt;1," erros"," erro"),IF($PW100&gt;0,"! "&amp;$PW100&amp;IF($PW100&gt;1," avisos"," aviso"),"Na regra")))</f>
        <v/>
      </c>
      <c r="PY100" s="164">
        <f>IF($ND100=0,"",IF($PU100+$PW100=0,"Dentro das regras que a ficha confere",$PT100&amp;IF(AND($PU100&gt;0,$PW100&gt;0)," · ","")&amp;$PV100))</f>
        <v/>
      </c>
      <c r="PZ100" s="164">
        <f>IF($MQ100&gt;$NE100,$MR100&amp;" · ABRE NO NÍVEL "&amp;$MQ100,$MR100)</f>
        <v/>
      </c>
      <c r="QA100" s="164">
        <f>IF($ND100=0,"",IF($MS100=0,"Sem PE",3*$MS100&amp;" PE"))</f>
        <v/>
      </c>
      <c r="QB100" s="164">
        <f>IF($ND100=0,"",IF($MS100=0,"A atuação básica dela",IF(COUNTIF($RQ100:$RS100,"Atrasar")&gt;0,"Sua Ação Completa",IF(COUNTIF($RK100:$RN100,"Rápido")&gt;0,"Sua Bônus",IF(COUNTIF($RK100:$RN100,"Reação")&gt;0,"Sua Reação","Sua Padrão")))&amp;" + a básica dela"&amp;IF(COUNTIF($RK100:$RN100,"Reação")&gt;0," e a coletiva","")&amp;IF(COUNTIF($RQ100:$RS100,"Carregar")&gt;0," · em dois turnos","")))</f>
        <v/>
      </c>
      <c r="QC100" s="164">
        <f>IF($MW100&lt;&gt;"",$MW100,IF($NJ100=0,"",INDEX('DADOS_FORMAS'!$GE$2:$GE$21,$NJ100)))</f>
        <v/>
      </c>
      <c r="QD100" s="164">
        <f>IF(OR($ND100=0,$NJ100=0),"",IF(COUNTIF($RK100:$RN100,"Inescapável")&gt;0,"Automático",IF($QC100="Ataque",IF($NH100="","Ataque","Ataque "&amp;IF(($NH100+2*IF(COUNTIF($RK100:$RN100,"Precisão")&gt;0,1,0))&gt;=0,"+","−")&amp;ABS(($NH100+2*IF(COUNTIF($RK100:$RN100,"Precisão")&gt;0,1,0))))&amp;IF($OD100&gt;0," · TR"&amp;IF($NI100="",""," CD "&amp;$NI100),""),IF(LEFT($QC100,2)="TR",$QC100&amp;IF($NI100="",""," · CD "&amp;$NI100)&amp;IF(COUNTIF($RK100:$RN100,"Certeiro")&gt;0," · metade",""),"Sem rolagem"))))</f>
        <v/>
      </c>
      <c r="QE100" s="164">
        <f>IF(OR($ND100=0,$NJ100=0),"",IF($MS100=0,IF(OR($OG100&gt;=1,$PD100=0),"Sem dano",$PD100&amp;"d6"&amp;IF($MV100="",""," "&amp;$MV100)),IF(OR($OG100&gt;=1,$PD100=0),UPPER(LEFT(INDEX($PM100:$PS100,1,MAX(1,$MS100)),1))&amp;MID(INDEX($PM100:$PS100,1,MAX(1,$MS100)),2,99),UPPER(LEFT(INDEX($PM100:$PS100,1,MAX(1,$MS100)),1))&amp;MID(INDEX($PM100:$PS100,1,MAX(1,$MS100)),2,99)&amp;IF($MV100="",""," "&amp;$MV100)&amp;IF($PE100&gt;0," · +"&amp;$PE100&amp;"d8",""))))</f>
        <v/>
      </c>
      <c r="QF100" s="164">
        <f>COUNTIF($RK100:$RN100,"Longe")+3*COUNTIF($RK100:$RN100,"Muito Longe")</f>
        <v/>
      </c>
      <c r="QG100" s="164">
        <f>COUNTIF($RK100:$RN100,"Maior")+3*COUNTIF($RK100:$RN100,"Muito Maior")</f>
        <v/>
      </c>
      <c r="QH100" s="164">
        <f>IF($NJ100=0,0,CHOOSE(1+INDEX('DADOS_FORMAS'!$GG$2:$GG$21,$NJ100),0,$QF100,$QG100,$QF100+$QG100))</f>
        <v/>
      </c>
      <c r="QI100" s="164">
        <f>IF($NJ100=0,0,CHOOSE(1+INDEX('DADOS_FORMAS'!$GH$2:$GH$21,$NJ100),0,$QF100,$QG100,$QF100+$QG100))</f>
        <v/>
      </c>
      <c r="QJ100" s="164">
        <f>IF(OR($ND100=0,$NJ100=0),"",INDEX('DADOS_FORMAS'!$HU$2:$HZ$81,($NJ100-1)*4+IF($MS100=0,1,IF($MS100&lt;=5,2,IF($MS100=6,3,4))),1+MIN(5,$QH100))&amp;INDEX('DADOS_FORMAS'!$IA$2:$IF$81,($NJ100-1)*4+IF($MS100=0,1,IF($MS100&lt;=5,2,IF($MS100=6,3,4))),1+MIN(5,$QI100))&amp;IF(INDEX('DADOS_FORMAS'!$GI$2:$GI$21,$NJ100)=1,IF(COUNTIF($RK100:$RN100,"Mais Um")&gt;0," · +"&amp;COUNTIF($RK100:$RN100,"Mais Um")&amp;IF(COUNTIF($RK100:$RN100,"Mais Um")&gt;1," alvos"," alvo"),"")&amp;IF(COUNTIF($RK100:$RN100,"Rajada")&gt;0,IF($MS100=0," · 1 tiro"," · "&amp;(MAX(1,$MS100-1)+1)&amp;" tiros"),""),""))</f>
        <v/>
      </c>
      <c r="QK100" s="164">
        <f>IF($ND100=0,"",IF($MS100=0,$NG100&amp;"d6"&amp;IF($OU100&gt;0," − 1 = "&amp;$PD100&amp;"d6"," da básica do nível "&amp;$NE100),$PB100&amp;" − "&amp;$OW100&amp;" + "&amp;$OZ100&amp;" = "&amp;$PC100&amp;" · teto "&amp;4*$MS100&amp;"d8"&amp;IF($OF100=1," · a Forma devolve "&amp;$MS100,"")&amp;IF($PA100&gt;0," · perde "&amp;$PA100,"")))</f>
        <v/>
      </c>
      <c r="QL100" s="164">
        <f>IF($ND100=0,"",IF($MS100=0,"A básica não amplia: os dados dela sobem com o nível",IF($MS100&gt;=$NF100,"Já está na maior Classe que o nível liberou",TEXTJOIN(" · ",TRUE,IF(AND(2&gt;$MS100,2&lt;=$NF100),"2 → "&amp;$PN100&amp;", 6 PE",""),IF(AND(3&gt;$MS100,3&lt;=$NF100),"3 → "&amp;$PO100&amp;", 9 PE",""),IF(AND(4&gt;$MS100,4&lt;=$NF100),"4 → "&amp;$PP100&amp;", 12 PE",""),IF(AND(5&gt;$MS100,5&lt;=$NF100),"5 → "&amp;$PQ100&amp;", 15 PE",""),IF(AND(6&gt;$MS100,6&lt;=$NF100),"6 → "&amp;$PR100&amp;", 18 PE",""),IF(AND(7&gt;$MS100,7&lt;=$NF100),"7 → "&amp;$PS100&amp;", 21 PE","")))))</f>
        <v/>
      </c>
      <c r="QM100" s="164">
        <f>IF(OR($ND100=0,$NO100=0),"",IF($MS100=0,"−1 dado","−"&amp;INDEX($I$2:$N$8,MAX(1,$MS100),MAX(1,$NT100))&amp;" · "&amp;CHOOSE(MAX(1,$NT100),"Leve","Média","Pesada","Leve · Livre","Média · Livre","Pesada · Livre")))</f>
        <v/>
      </c>
      <c r="QN100" s="164">
        <f>IF(OR($ND100=0,$NP100=0),"",IF($MS100=0,"−1 dado","−"&amp;INDEX($I$2:$N$8,MAX(1,$MS100),MAX(1,$NU100))&amp;" · "&amp;CHOOSE(MAX(1,$NU100),"Leve","Média","Pesada","Leve · Livre","Média · Livre","Pesada · Livre")))</f>
        <v/>
      </c>
      <c r="QO100" s="164">
        <f>IF(OR($ND100=0,$NQ100=0),"",IF($MS100=0,"−1 dado","−"&amp;INDEX($I$2:$N$8,MAX(1,$MS100),MAX(1,$NV100))&amp;" · "&amp;CHOOSE(MAX(1,$NV100),"Leve","Média","Pesada","Leve · Livre","Média · Livre","Pesada · Livre")))</f>
        <v/>
      </c>
      <c r="QP100" s="164">
        <f>IF(OR($ND100=0,$NR100=0),"",IF($MS100=0,"−1 dado","−"&amp;INDEX($I$2:$N$8,MAX(1,$MS100),MAX(1,$NW100))&amp;" · "&amp;CHOOSE(MAX(1,$NW100),"Leve","Média","Pesada","Leve · Livre","Média · Livre","Pesada · Livre")))</f>
        <v/>
      </c>
      <c r="QQ100" s="164">
        <f>IF(OR($ND100=0,$NB100=""),"",IF($MS100=0,"não devolve","+"&amp;IF($OI100=1,CEILING($MS100/2,1),$MS100)))</f>
        <v/>
      </c>
      <c r="QR100" s="164">
        <f>IF(OR($ND100=0,$NC100=""),"",IF($MS100=0,"não devolve","+"&amp;IF($OJ100=1,CEILING($MS100/2,1),$MS100)))</f>
        <v/>
      </c>
      <c r="RK100">
        <f>IF($MX100="","",IFERROR(VLOOKUP(SUBSTITUTE(SUBSTITUTE(SUBSTITUTE($MX100,"~","~~"),"*","~*"),"?","~?"),'DADOS_MELHORIAS'!$O$2:$X$113,10,FALSE),$MX100))</f>
        <v/>
      </c>
      <c r="RL100">
        <f>IF($MY100="","",IFERROR(VLOOKUP(SUBSTITUTE(SUBSTITUTE(SUBSTITUTE($MY100,"~","~~"),"*","~*"),"?","~?"),'DADOS_MELHORIAS'!$O$2:$X$113,10,FALSE),$MY100))</f>
        <v/>
      </c>
      <c r="RM100">
        <f>IF($MZ100="","",IFERROR(VLOOKUP(SUBSTITUTE(SUBSTITUTE(SUBSTITUTE($MZ100,"~","~~"),"*","~*"),"?","~?"),'DADOS_MELHORIAS'!$O$2:$X$113,10,FALSE),$MZ100))</f>
        <v/>
      </c>
      <c r="RN100">
        <f>IF($NA100="","",IFERROR(VLOOKUP(SUBSTITUTE(SUBSTITUTE(SUBSTITUTE($NA100,"~","~~"),"*","~*"),"?","~?"),'DADOS_MELHORIAS'!$O$2:$X$113,10,FALSE),$NA100))</f>
        <v/>
      </c>
      <c r="RO100">
        <f>IFERROR(INDEX('DADOS_FORMAS'!$BJ$2:$BJ$21,MATCH(SUBSTITUTE(SUBSTITUTE(SUBSTITUTE($MU100,"~","~~"),"*","~*"),"?","~?"),'DADOS_FORMAS'!$AH$2:$AH$21,0)),"")</f>
        <v/>
      </c>
      <c r="RP100">
        <f>IFERROR(VLOOKUP(SUBSTITUTE(SUBSTITUTE(SUBSTITUTE(IFERROR(INDEX('DADOS_FORMAS'!$AS$2:$AS$21,MATCH(SUBSTITUTE(SUBSTITUTE(SUBSTITUTE($MU100,"~","~~"),"*","~*"),"?","~?"),'DADOS_FORMAS'!$AH$2:$AH$21,0)),""),"~","~~"),"*","~*"),"?","~?"),'DADOS_RESTRICOES'!$M$2:$Q$54,2,FALSE),"")</f>
        <v/>
      </c>
      <c r="RQ100">
        <f>$OK100</f>
        <v/>
      </c>
      <c r="RR100">
        <f>$OL100</f>
        <v/>
      </c>
      <c r="RS100">
        <f>$RP100</f>
        <v/>
      </c>
    </row>
    <row r="101">
      <c r="MN101" s="162" t="inlineStr">
        <is>
          <t>Ficha 8 · Especial 7</t>
        </is>
      </c>
      <c r="MO101" s="164" t="n">
        <v>8</v>
      </c>
      <c r="MP101" s="164" t="n">
        <v>1</v>
      </c>
      <c r="MQ101" s="164" t="n">
        <v>24</v>
      </c>
      <c r="MR101" s="162" t="inlineStr">
        <is>
          <t>ESPECIAL 7</t>
        </is>
      </c>
      <c r="MS101" s="164">
        <f>MAX(1,MIN(7,N('INVOCAÇÕES'!$AN$338)))</f>
        <v/>
      </c>
      <c r="MT101" s="164">
        <f>'INVOCAÇÕES'!$AO$338&amp;""</f>
        <v/>
      </c>
      <c r="MU101" s="164">
        <f>'INVOCAÇÕES'!$AN$343&amp;""</f>
        <v/>
      </c>
      <c r="MV101" s="164">
        <f>'INVOCAÇÕES'!$AN$344&amp;""</f>
        <v/>
      </c>
      <c r="MW101" s="164">
        <f>'INVOCAÇÕES'!$AP$344&amp;""</f>
        <v/>
      </c>
      <c r="MX101" s="164">
        <f>'INVOCAÇÕES'!$AO$347&amp;""</f>
        <v/>
      </c>
      <c r="MY101" s="164">
        <f>'INVOCAÇÕES'!$AO$348&amp;""</f>
        <v/>
      </c>
      <c r="MZ101" s="164">
        <f>'INVOCAÇÕES'!$AO$349&amp;""</f>
        <v/>
      </c>
      <c r="NA101" s="164">
        <f>'INVOCAÇÕES'!$AO$350&amp;""</f>
        <v/>
      </c>
      <c r="NB101" s="164">
        <f>'INVOCAÇÕES'!$AO$351&amp;""</f>
        <v/>
      </c>
      <c r="NC101" s="164">
        <f>'INVOCAÇÕES'!$AO$352&amp;""</f>
        <v/>
      </c>
      <c r="ND101" s="164">
        <f>IF($MT101&lt;&gt;"",1,0)</f>
        <v/>
      </c>
      <c r="NE101" s="164">
        <f>INDEX($FO$2:$FO$13,$MO101)</f>
        <v/>
      </c>
      <c r="NF101" s="164">
        <f>INDEX($FP$2:$FP$13,$MO101)</f>
        <v/>
      </c>
      <c r="NG101" s="164">
        <f>INDEX($FQ$2:$FQ$13,$MO101)</f>
        <v/>
      </c>
      <c r="NH101" s="164">
        <f>INDEX($GB$2:$GB$13,$MO101)</f>
        <v/>
      </c>
      <c r="NI101" s="164">
        <f>INDEX($GC$2:$GC$13,$MO101)</f>
        <v/>
      </c>
      <c r="NJ101" s="164">
        <f>IFERROR(MATCH(SUBSTITUTE(SUBSTITUTE(SUBSTITUTE($MU101,"~","~~"),"*","~*"),"?","~?"),'DADOS_FORMAS'!$FZ$2:$FZ$21,0),0)</f>
        <v/>
      </c>
      <c r="NK101" s="164">
        <f>IFERROR(VLOOKUP(SUBSTITUTE(SUBSTITUTE(SUBSTITUTE($MX101,"~","~~"),"*","~*"),"?","~?"),'DADOS_MELHORIAS'!$AG$2:$AL$113,2,FALSE),"")</f>
        <v/>
      </c>
      <c r="NL101" s="164">
        <f>IFERROR(VLOOKUP(SUBSTITUTE(SUBSTITUTE(SUBSTITUTE($MY101,"~","~~"),"*","~*"),"?","~?"),'DADOS_MELHORIAS'!$AG$2:$AL$113,2,FALSE),"")</f>
        <v/>
      </c>
      <c r="NM101" s="164">
        <f>IFERROR(VLOOKUP(SUBSTITUTE(SUBSTITUTE(SUBSTITUTE($MZ101,"~","~~"),"*","~*"),"?","~?"),'DADOS_MELHORIAS'!$AG$2:$AL$113,2,FALSE),"")</f>
        <v/>
      </c>
      <c r="NN101" s="164">
        <f>IFERROR(VLOOKUP(SUBSTITUTE(SUBSTITUTE(SUBSTITUTE($NA101,"~","~~"),"*","~*"),"?","~?"),'DADOS_MELHORIAS'!$AG$2:$AL$113,2,FALSE),"")</f>
        <v/>
      </c>
      <c r="NO101" s="164">
        <f>IFERROR(VLOOKUP(SUBSTITUTE(SUBSTITUTE(SUBSTITUTE($MX101,"~","~~"),"*","~*"),"?","~?"),'DADOS_MELHORIAS'!$AG$2:$AL$113,3,FALSE),0)</f>
        <v/>
      </c>
      <c r="NP101" s="164">
        <f>IFERROR(VLOOKUP(SUBSTITUTE(SUBSTITUTE(SUBSTITUTE($MY101,"~","~~"),"*","~*"),"?","~?"),'DADOS_MELHORIAS'!$AG$2:$AL$113,3,FALSE),0)</f>
        <v/>
      </c>
      <c r="NQ101" s="164">
        <f>IFERROR(VLOOKUP(SUBSTITUTE(SUBSTITUTE(SUBSTITUTE($MZ101,"~","~~"),"*","~*"),"?","~?"),'DADOS_MELHORIAS'!$AG$2:$AL$113,3,FALSE),0)</f>
        <v/>
      </c>
      <c r="NR101" s="164">
        <f>IFERROR(VLOOKUP(SUBSTITUTE(SUBSTITUTE(SUBSTITUTE($NA101,"~","~~"),"*","~*"),"?","~?"),'DADOS_MELHORIAS'!$AG$2:$AL$113,3,FALSE),0)</f>
        <v/>
      </c>
      <c r="NS101" s="164">
        <f>IF($MS101=0,0,IF($NJ101=0,0,INDEX('DADOS_FORMAS'!$GB$2:$GB$21,$NJ101)))</f>
        <v/>
      </c>
      <c r="NT101" s="164">
        <f>IF(OR($NO101=0,$MS101=0),0,$NO101+3*IF(AND($NK101&lt;&gt;"",COUNTIF(INDEX($RB$2:$RJ$13,$MO101,0),$NK101)&gt;0),1,0))</f>
        <v/>
      </c>
      <c r="NU101" s="164">
        <f>IF(OR($NP101=0,$MS101=0),0,$NP101+3*IF(AND($NL101&lt;&gt;"",COUNTIF(INDEX($RB$2:$RJ$13,$MO101,0),$NL101)&gt;0),1,0))</f>
        <v/>
      </c>
      <c r="NV101" s="164">
        <f>IF(OR($NQ101=0,$MS101=0),0,$NQ101+3*IF(AND($NM101&lt;&gt;"",COUNTIF(INDEX($RB$2:$RJ$13,$MO101,0),$NM101)&gt;0),1,0))</f>
        <v/>
      </c>
      <c r="NW101" s="164">
        <f>IF(OR($NR101=0,$MS101=0),0,$NR101+3*IF(AND($NN101&lt;&gt;"",COUNTIF(INDEX($RB$2:$RJ$13,$MO101,0),$NN101)&gt;0),1,0))</f>
        <v/>
      </c>
      <c r="NX101" s="164">
        <f>IF($NJ101=0,0,IF(INDEX('DADOS_FORMAS'!$GA$2:$GA$21,$NJ101)="",0,IF((COUNTIF(INDEX($EL$2:$EP$13,$MO101,0),INDEX('DADOS_FORMAS'!$GA$2:$GA$21,$NJ101))+COUNTIF(INDEX($QV$2:$QY$13,$MO101,0),INDEX('DADOS_FORMAS'!$GA$2:$GA$21,$NJ101)))=0,1,0)))</f>
        <v/>
      </c>
      <c r="NY101" s="164">
        <f>IF(OR($NO101=0,$NK101=""),0,IF((COUNTIF(INDEX($EL$2:$EP$13,$MO101,0),$NK101)+COUNTIF(INDEX($QV$2:$QY$13,$MO101,0),$NK101))=0,1,0))</f>
        <v/>
      </c>
      <c r="NZ101" s="164">
        <f>IF(OR($NP101=0,$NL101=""),0,IF((COUNTIF(INDEX($EL$2:$EP$13,$MO101,0),$NL101)+COUNTIF(INDEX($QV$2:$QY$13,$MO101,0),$NL101))=0,1,0))</f>
        <v/>
      </c>
      <c r="OA101" s="164">
        <f>IF(OR($NQ101=0,$NM101=""),0,IF((COUNTIF(INDEX($EL$2:$EP$13,$MO101,0),$NM101)+COUNTIF(INDEX($QV$2:$QY$13,$MO101,0),$NM101))=0,1,0))</f>
        <v/>
      </c>
      <c r="OB101" s="164">
        <f>IF(OR($NR101=0,$NN101=""),0,IF((COUNTIF(INDEX($EL$2:$EP$13,$MO101,0),$NN101)+COUNTIF(INDEX($QV$2:$QY$13,$MO101,0),$NN101))=0,1,0))</f>
        <v/>
      </c>
      <c r="OC101" s="164">
        <f>IFERROR(VLOOKUP(SUBSTITUTE(SUBSTITUTE(SUBSTITUTE($MX101,"~","~~"),"*","~*"),"?","~?"),'DADOS_MELHORIAS'!$AG$2:$AL$113,4,FALSE),0)+IFERROR(VLOOKUP(SUBSTITUTE(SUBSTITUTE(SUBSTITUTE($MY101,"~","~~"),"*","~*"),"?","~?"),'DADOS_MELHORIAS'!$AG$2:$AL$113,4,FALSE),0)+IFERROR(VLOOKUP(SUBSTITUTE(SUBSTITUTE(SUBSTITUTE($MZ101,"~","~~"),"*","~*"),"?","~?"),'DADOS_MELHORIAS'!$AG$2:$AL$113,4,FALSE),0)+IFERROR(VLOOKUP(SUBSTITUTE(SUBSTITUTE(SUBSTITUTE($NA101,"~","~~"),"*","~*"),"?","~?"),'DADOS_MELHORIAS'!$AG$2:$AL$113,4,FALSE),0)</f>
        <v/>
      </c>
      <c r="OD101" s="164">
        <f>IFERROR(VLOOKUP(SUBSTITUTE(SUBSTITUTE(SUBSTITUTE($MX101,"~","~~"),"*","~*"),"?","~?"),'DADOS_MELHORIAS'!$AG$2:$AL$113,6,FALSE),0)+IFERROR(VLOOKUP(SUBSTITUTE(SUBSTITUTE(SUBSTITUTE($MY101,"~","~~"),"*","~*"),"?","~?"),'DADOS_MELHORIAS'!$AG$2:$AL$113,6,FALSE),0)+IFERROR(VLOOKUP(SUBSTITUTE(SUBSTITUTE(SUBSTITUTE($MZ101,"~","~~"),"*","~*"),"?","~?"),'DADOS_MELHORIAS'!$AG$2:$AL$113,6,FALSE),0)+IFERROR(VLOOKUP(SUBSTITUTE(SUBSTITUTE(SUBSTITUTE($NA101,"~","~~"),"*","~*"),"?","~?"),'DADOS_MELHORIAS'!$AG$2:$AL$113,6,FALSE),0)+IFERROR(N(AND(INDEX('DADOS_FORMAS'!$AO$2:$AO$21,MATCH(SUBSTITUTE(SUBSTITUTE(SUBSTITUTE($MU101,"~","~~"),"*","~*"),"?","~?"),'DADOS_FORMAS'!$AH$2:$AH$21,0))="Acerto",$OH101=1)),0)</f>
        <v/>
      </c>
      <c r="OE101" s="164">
        <f>TEXTJOIN(", ",TRUE,IF(IFERROR(VLOOKUP(SUBSTITUTE(SUBSTITUTE(SUBSTITUTE($MX101,"~","~~"),"*","~*"),"?","~?"),'DADOS_MELHORIAS'!$AG$2:$AL$113,5,FALSE),0)=1,$MX101,""),IF(IFERROR(VLOOKUP(SUBSTITUTE(SUBSTITUTE(SUBSTITUTE($MY101,"~","~~"),"*","~*"),"?","~?"),'DADOS_MELHORIAS'!$AG$2:$AL$113,5,FALSE),0)=1,$MY101,""),IF(IFERROR(VLOOKUP(SUBSTITUTE(SUBSTITUTE(SUBSTITUTE($MZ101,"~","~~"),"*","~*"),"?","~?"),'DADOS_MELHORIAS'!$AG$2:$AL$113,5,FALSE),0)=1,$MZ101,""),IF(IFERROR(VLOOKUP(SUBSTITUTE(SUBSTITUTE(SUBSTITUTE($NA101,"~","~~"),"*","~*"),"?","~?"),'DADOS_MELHORIAS'!$AG$2:$AL$113,5,FALSE),0)=1,$NA101,""))</f>
        <v/>
      </c>
      <c r="OF101" s="164">
        <f>IF($NJ101=0,0,INDEX('DADOS_FORMAS'!$GC$2:$GC$21,$NJ101))</f>
        <v/>
      </c>
      <c r="OG101" s="164">
        <f>IF($NJ101=0,0,INDEX('DADOS_FORMAS'!$GD$2:$GD$21,$NJ101))</f>
        <v/>
      </c>
      <c r="OH101" s="164">
        <f>IF($NJ101=0,0,INDEX('DADOS_FORMAS'!$GF$2:$GF$21,$NJ101))</f>
        <v/>
      </c>
      <c r="OI101" s="164">
        <f>IFERROR(VLOOKUP(SUBSTITUTE(SUBSTITUTE(SUBSTITUTE($NB101,"~","~~"),"*","~*"),"?","~?"),'DADOS_RESTRICOES'!$M$2:$Q$54,3,FALSE),0)</f>
        <v/>
      </c>
      <c r="OJ101" s="164">
        <f>IFERROR(VLOOKUP(SUBSTITUTE(SUBSTITUTE(SUBSTITUTE($NC101,"~","~~"),"*","~*"),"?","~?"),'DADOS_RESTRICOES'!$M$2:$Q$54,3,FALSE),0)</f>
        <v/>
      </c>
      <c r="OK101" s="164">
        <f>IFERROR(VLOOKUP(SUBSTITUTE(SUBSTITUTE(SUBSTITUTE($NB101,"~","~~"),"*","~*"),"?","~?"),'DADOS_RESTRICOES'!$M$2:$Q$54,2,FALSE),"")</f>
        <v/>
      </c>
      <c r="OL101" s="164">
        <f>IFERROR(VLOOKUP(SUBSTITUTE(SUBSTITUTE(SUBSTITUTE($NC101,"~","~~"),"*","~*"),"?","~?"),'DADOS_RESTRICOES'!$M$2:$Q$54,2,FALSE),"")</f>
        <v/>
      </c>
      <c r="OM101" s="164">
        <f>COUNTIF($NS101:$NW101,1)</f>
        <v/>
      </c>
      <c r="ON101" s="164">
        <f>COUNTIF($NS101:$NW101,2)</f>
        <v/>
      </c>
      <c r="OO101" s="164">
        <f>COUNTIF($NS101:$NW101,3)</f>
        <v/>
      </c>
      <c r="OP101" s="164">
        <f>COUNTIF($NS101:$NW101,4)</f>
        <v/>
      </c>
      <c r="OQ101" s="164">
        <f>COUNTIF($NS101:$NW101,5)</f>
        <v/>
      </c>
      <c r="OR101" s="164">
        <f>COUNTIF($NS101:$NW101,6)</f>
        <v/>
      </c>
      <c r="OS101" s="164">
        <f>COUNTIF($OI101:$OJ101,1)+IF(IFERROR(INDEX('DADOS_FORMAS'!$AS$2:$AS$21,MATCH(SUBSTITUTE(SUBSTITUTE(SUBSTITUTE($MU101,"~","~~"),"*","~*"),"?","~?"),'DADOS_FORMAS'!$AH$2:$AH$21,0)),"")="",0,IFERROR(N(VLOOKUP(SUBSTITUTE(SUBSTITUTE(SUBSTITUTE(IFERROR(INDEX('DADOS_FORMAS'!$AS$2:$AS$21,MATCH(SUBSTITUTE(SUBSTITUTE(SUBSTITUTE($MU101,"~","~~"),"*","~*"),"?","~?"),'DADOS_FORMAS'!$AH$2:$AH$21,0)),""),"~","~~"),"*","~*"),"?","~?"),'DADOS_RESTRICOES'!$M$2:$Q$54,3,FALSE)=1),0))</f>
        <v/>
      </c>
      <c r="OT101" s="164">
        <f>COUNTIF($OI101:$OJ101,2)+IF(IFERROR(INDEX('DADOS_FORMAS'!$AS$2:$AS$21,MATCH(SUBSTITUTE(SUBSTITUTE(SUBSTITUTE($MU101,"~","~~"),"*","~*"),"?","~?"),'DADOS_FORMAS'!$AH$2:$AH$21,0)),"")="",0,IFERROR(N(VLOOKUP(SUBSTITUTE(SUBSTITUTE(SUBSTITUTE(IFERROR(INDEX('DADOS_FORMAS'!$AS$2:$AS$21,MATCH(SUBSTITUTE(SUBSTITUTE(SUBSTITUTE($MU101,"~","~~"),"*","~*"),"?","~?"),'DADOS_FORMAS'!$AH$2:$AH$21,0)),""),"~","~~"),"*","~*"),"?","~?"),'DADOS_RESTRICOES'!$M$2:$Q$54,3,FALSE)=2),0))</f>
        <v/>
      </c>
      <c r="OU101" s="164">
        <f>COUNTIF($MX101:$NA101,"?*")</f>
        <v/>
      </c>
      <c r="OV101" s="164">
        <f>COUNTIF($NB101:$NC101,"?*")+$OF101</f>
        <v/>
      </c>
      <c r="OW101" s="164">
        <f>IF($MS101=0,0,SUMPRODUCT($OM101:$OR101,INDEX($I$2:$N$8,MAX(1,$MS101),0)))</f>
        <v/>
      </c>
      <c r="OX101" s="164">
        <f>IF($MS101=0,0,$OS101*CEILING($MS101/2,1)+$OT101*$MS101)</f>
        <v/>
      </c>
      <c r="OY101" s="164">
        <f>MIN(2*$MS101,$OX101)</f>
        <v/>
      </c>
      <c r="OZ101" s="164">
        <f>MIN($OY101,$OW101-IF($NS101=0,0,INDEX($I$2:$N$8,MAX(1,$MS101),$NS101)))</f>
        <v/>
      </c>
      <c r="PA101" s="164">
        <f>$OY101-$OZ101</f>
        <v/>
      </c>
      <c r="PB101" s="164">
        <f>IF($MS101=0,0,INDEX($P$2:$P$8,MAX(1,$MS101)))</f>
        <v/>
      </c>
      <c r="PC101" s="164">
        <f>$PB101-$OW101+$OZ101</f>
        <v/>
      </c>
      <c r="PD101" s="164">
        <f>IF($MS101=0,MAX(0,$NG101-IF(AND($OU101&gt;0,COUNTIF($NB101:$NC101,"?*")=0),1,0)),MAX(0,$PC101))</f>
        <v/>
      </c>
      <c r="PE101" s="164">
        <f>IF($MS101=0,0,(IF(COUNTIF($RK101:$RN101,"Salto")&gt;0,1,0)+IF(COUNTIF($RK101:$RN101,"Queima")&gt;0,1,0)+IF(COUNTIF($RK101:$RN101,"Estilhaço")&gt;0,1,0))*FLOOR($PD101/2,1))</f>
        <v/>
      </c>
      <c r="PF101" s="164">
        <f>MAX(0,2-SUMPRODUCT($OM101:$OR101,$I$2:$N$2)+MIN(2,$OS101*1+$OT101*1,SUMPRODUCT($OM101:$OR101,$I$2:$N$2)-IF($NS101=0,0,INDEX($I$2:$N$2,1,$NS101))))</f>
        <v/>
      </c>
      <c r="PG101" s="164">
        <f>MAX(0,4-SUMPRODUCT($OM101:$OR101,$I$3:$N$3)+MIN(4,$OS101*1+$OT101*2,SUMPRODUCT($OM101:$OR101,$I$3:$N$3)-IF($NS101=0,0,INDEX($I$3:$N$3,1,$NS101))))</f>
        <v/>
      </c>
      <c r="PH101" s="164">
        <f>MAX(0,6-SUMPRODUCT($OM101:$OR101,$I$4:$N$4)+MIN(6,$OS101*2+$OT101*3,SUMPRODUCT($OM101:$OR101,$I$4:$N$4)-IF($NS101=0,0,INDEX($I$4:$N$4,1,$NS101))))</f>
        <v/>
      </c>
      <c r="PI101" s="164">
        <f>MAX(0,9-SUMPRODUCT($OM101:$OR101,$I$5:$N$5)+MIN(8,$OS101*2+$OT101*4,SUMPRODUCT($OM101:$OR101,$I$5:$N$5)-IF($NS101=0,0,INDEX($I$5:$N$5,1,$NS101))))</f>
        <v/>
      </c>
      <c r="PJ101" s="164">
        <f>MAX(0,11-SUMPRODUCT($OM101:$OR101,$I$6:$N$6)+MIN(10,$OS101*3+$OT101*5,SUMPRODUCT($OM101:$OR101,$I$6:$N$6)-IF($NS101=0,0,INDEX($I$6:$N$6,1,$NS101))))</f>
        <v/>
      </c>
      <c r="PK101" s="164">
        <f>MAX(0,13-SUMPRODUCT($OM101:$OR101,$I$7:$N$7)+MIN(12,$OS101*3+$OT101*6,SUMPRODUCT($OM101:$OR101,$I$7:$N$7)-IF($NS101=0,0,INDEX($I$7:$N$7,1,$NS101))))</f>
        <v/>
      </c>
      <c r="PL101" s="164">
        <f>MAX(0,16-SUMPRODUCT($OM101:$OR101,$I$8:$N$8)+MIN(14,$OS101*4+$OT101*7,SUMPRODUCT($OM101:$OR101,$I$8:$N$8)-IF($NS101=0,0,INDEX($I$8:$N$8,1,$NS101))))</f>
        <v/>
      </c>
      <c r="PM101" s="164">
        <f>IF($OG101=2,3*$PF101&amp;" de vida temp.",IF($OG101=3,"sem dano",IF($PF101=0,IF($OG101=1,"sem cura","sem dano"),IF($OG101=1,"cura ","")&amp;$PF101&amp;"d8")))</f>
        <v/>
      </c>
      <c r="PN101" s="164">
        <f>IF($OG101=2,3*$PG101&amp;" de vida temp.",IF($OG101=3,"sem dano",IF($PG101=0,IF($OG101=1,"sem cura","sem dano"),IF($OG101=1,"cura ","")&amp;$PG101&amp;"d8")))</f>
        <v/>
      </c>
      <c r="PO101" s="164">
        <f>IF($OG101=2,3*$PH101&amp;" de vida temp.",IF($OG101=3,"sem dano",IF($PH101=0,IF($OG101=1,"sem cura","sem dano"),IF($OG101=1,"cura ","")&amp;$PH101&amp;"d8")))</f>
        <v/>
      </c>
      <c r="PP101" s="164">
        <f>IF($OG101=2,3*$PI101&amp;" de vida temp.",IF($OG101=3,"sem dano",IF($PI101=0,IF($OG101=1,"sem cura","sem dano"),IF($OG101=1,"cura ","")&amp;$PI101&amp;"d8")))</f>
        <v/>
      </c>
      <c r="PQ101" s="164">
        <f>IF($OG101=2,3*$PJ101&amp;" de vida temp.",IF($OG101=3,"sem dano",IF($PJ101=0,IF($OG101=1,"sem cura","sem dano"),IF($OG101=1,"cura ","")&amp;$PJ101&amp;"d8")))</f>
        <v/>
      </c>
      <c r="PR101" s="164">
        <f>IF($OG101=2,3*$PK101&amp;" de vida temp.",IF($OG101=3,"sem dano",IF($PK101=0,IF($OG101=1,"sem cura","sem dano"),IF($OG101=1,"cura ","")&amp;$PK101&amp;"d8")))</f>
        <v/>
      </c>
      <c r="PS101" s="164">
        <f>IF($OG101=2,3*$PL101&amp;" de vida temp.",IF($OG101=3,"sem dano",IF($PL101=0,IF($OG101=1,"sem cura","sem dano"),IF($OG101=1,"cura ","")&amp;$PL101&amp;"d8")))</f>
        <v/>
      </c>
      <c r="PT101" s="164">
        <f>IF($ND101=0,"",TEXTJOIN(" · ",TRUE,IF($ND101=0,"",TEXTJOIN(" · ",TRUE,IF($ND101=0,"",TEXTJOIN(" · ",TRUE,IF($MQ101&gt;$NE101,"Este lugar abre no nível "&amp;$MQ101,""),IF($MS101&gt;$NF101,"Classe "&amp;$MS101&amp;": o nível "&amp;$NE101&amp;" libera até a "&amp;$NF101,""),IF($NX101=1,"A Forma "&amp;$MU101&amp;" pede "&amp;INDEX('DADOS_FORMAS'!$GA$2:$GA$21,$NJ101)&amp;" aberta",""),IF(AND($MS101=0,$NJ101&gt;0,IF($NJ101=0,0,INDEX('DADOS_FORMAS'!$GJ$2:$GJ$21,$NJ101))=0),$MU101&amp;" não existe na Classe 0",""),IF($NY101=1,"Família Fechada: "&amp;$MX101,""),IF($NZ101=1,"Família Fechada: "&amp;$MY101,""),IF($OA101=1,"Família Fechada: "&amp;$MZ101,""),IF($OB101=1,"Família Fechada: "&amp;$NA101,""),IF(AND($MS101&gt;0,$OU101&gt;INDEX($O$2:$O$8,MAX(1,$MS101))),$OU101&amp;" Melhorias: a Classe "&amp;$MS101&amp;" aceita "&amp;INDEX($O$2:$O$8,MAX(1,$MS101)),""),IF(AND($MS101=0,$OU101&gt;1),"A básica aceita uma Melhoria",""),IF(AND($MS101=0,COUNTIF($NO101:$NR101,"&gt;1")&gt;0),"A básica só aceita Melhoria Leve",""),IF(AND($MS101&gt;0,$OV101&gt;2),$OV101&amp;" Restrições"&amp;IF($OF101=1,", contando a que a Forma "&amp;$MU101&amp;" já traz","")&amp;": o limite é 2",""),IF(AND($MS101=0,COUNTIF($NB101:$NC101,"?*")&gt;1),"A básica aceita uma Restrição Leve",""),IF(AND($MS101=0,COUNTIF($OI101:$OJ101,2)&gt;0),"A básica só aceita Restrição Leve",""),IF(AND($MS101&gt;0,$PC101&lt;0),"Orçamento estourado: faltam "&amp;(-$PC101)&amp;IF($PC101&lt;-1," pontos"," ponto"),""),IF(IFERROR(VLOOKUP(SUBSTITUTE(SUBSTITUTE(SUBSTITUTE($NB101,"~","~~"),"*","~*"),"?","~?"),'DADOS_RESTRICOES'!$M$2:$Q$54,4,FALSE),0)+IFERROR(VLOOKUP(SUBSTITUTE(SUBSTITUTE(SUBSTITUTE($NC101,"~","~~"),"*","~*"),"?","~?"),'DADOS_RESTRICOES'!$M$2:$Q$54,4,FALSE),0)&gt;1,$OK101&amp;" e "&amp;$OL101&amp;" são as duas de frequência",""),IF(AND((COUNTIF($RK101:$RN101,"Rápido")+COUNTIF($OK101:$OL101,"Rápido"))&gt;0,(COUNTIF($MX101:$NA101,"Atrasar")+COUNTIF($OK101:$OL101,"Atrasar"))&gt;0),"Rápido não entra com Atrasar",""),IF(AND((COUNTIF($RK101:$RN101,"Reação")+COUNTIF($OK101:$OL101,"Reação"))&gt;0,(COUNTIF($RK101:$RN101,"Rápido")+COUNTIF($OK101:$OL101,"Rápido"))&gt;0),"Reação não entra com Rápido",""),IF(AND((COUNTIF($RK101:$RN101,"Reação")+COUNTIF($OK101:$OL101,"Reação"))&gt;0,(COUNTIF($RK101:$RN101,"Armado")+COUNTIF($OK101:$OL101,"Armado"))&gt;0),"Reação não entra com Armado",""),IF(AND((COUNTIF($RK101:$RN101,"Reação")+COUNTIF($OK101:$OL101,"Reação"))&gt;0,(COUNTIF($MX101:$NA101,"Atrasar")+COUNTIF($OK101:$OL101,"Atrasar"))&gt;0),"Reação não entra com Atrasar",""),IF(AND((COUNTIF($RK101:$RN101,"Reação")+COUNTIF($OK101:$OL101,"Reação"))&gt;0,(COUNTIF($MX101:$NA101,"Parado")+COUNTIF($OK101:$OL101,"Parado"))&gt;0),"Reação não entra com Parado",""),IF(AND((COUNTIF($MX101:$NA101,"Atrasar")+COUNTIF($OK101:$OL101,"Atrasar"))&gt;0,(COUNTIF($MX101:$NA101,"Parado")+COUNTIF($OK101:$OL101,"Parado"))&gt;0),"Atrasar não entra com Parado",""),IF(AND((COUNTIF($RK101:$RN101,"Armado")+COUNTIF($OK101:$OL101,"Armado"))&gt;0,(COUNTIF($MX101:$NA101,"Carregar")+COUNTIF($OK101:$OL101,"Carregar"))&gt;0),"Armado não entra com Carregar",""),IF(AND(COUNTIF($OK101:$OL101,"Corpo a Corpo")&gt;0,$OF101=0,OR($RO101="Cone",$RO101="Linha")),"Corpo a Corpo não entra em "&amp;$MU101,""),IF(AND(COUNTIF($OK101:$OL101,"Corpo a Corpo")&gt;0,$RP101="Corpo a Corpo"),"A Forma "&amp;$MU101&amp;" já traz o Corpo a Corpo",""),IF(AND(COUNTIF($OK101:$OL101,"Tudo ou Nada")&gt;0,$OH101=0),"Tudo ou Nada só entra em habilidade de Teste de Resistência",""),IF(AND(COUNTIF($RK101:$RN101,"Inescapável")&gt;0,OR($OU101&gt;1,$OV101&gt;0)),"Inescapável não aceita outra peça",""),IF(AND($MS101&gt;0,$PD101*IF(COUNTIF($RK101:$RN101,"Remate")&gt;0,1.25,1)+$PE101&gt;4*$MS101),($PD101*IF(COUNTIF($RK101:$RN101,"Remate")&gt;0,1.25,1)+$PE101)&amp;" dados somando repetições"&amp;IF(COUNTIF($RK101:$RN101,"Remate")&gt;0," e o Remate","")&amp;": o teto da Classe "&amp;$MS101&amp;" é "&amp;4*$MS101,""))),IF(AND($MX101&lt;&gt;"",COUNTIF('DADOS_MELHORIAS'!$O$2:$O$113,SUBSTITUTE(SUBSTITUTE(SUBSTITUTE($MX101,"~","~~"),"*","~*"),"?","~?"))=0),"Melhoria não cadastrada ou com erro: "&amp;$MX101,""),IF(AND($MY101&lt;&gt;"",COUNTIF('DADOS_MELHORIAS'!$O$2:$O$113,SUBSTITUTE(SUBSTITUTE(SUBSTITUTE($MY101,"~","~~"),"*","~*"),"?","~?"))=0),"Melhoria não cadastrada ou com erro: "&amp;$MY101,""),IF(AND($MZ101&lt;&gt;"",COUNTIF('DADOS_MELHORIAS'!$O$2:$O$113,SUBSTITUTE(SUBSTITUTE(SUBSTITUTE($MZ101,"~","~~"),"*","~*"),"?","~?"))=0),"Melhoria não cadastrada ou com erro: "&amp;$MZ101,""),IF(AND($NA101&lt;&gt;"",COUNTIF('DADOS_MELHORIAS'!$O$2:$O$113,SUBSTITUTE(SUBSTITUTE(SUBSTITUTE($NA101,"~","~~"),"*","~*"),"?","~?"))=0),"Melhoria não cadastrada ou com erro: "&amp;$NA101,""),IF(AND($NB101&lt;&gt;"",COUNTIF('DADOS_RESTRICOES'!$M$2:$M$54,SUBSTITUTE(SUBSTITUTE(SUBSTITUTE($NB101,"~","~~"),"*","~*"),"?","~?"))=0),"Restrição não cadastrada ou com erro: "&amp;$NB101,""),IF(AND($NC101&lt;&gt;"",COUNTIF('DADOS_RESTRICOES'!$M$2:$M$54,SUBSTITUTE(SUBSTITUTE(SUBSTITUTE($NC101,"~","~~"),"*","~*"),"?","~?"))=0),"Restrição não cadastrada ou com erro: "&amp;$NC101,""))),IF(AND($MU101&lt;&gt;"",COUNTIF('DADOS_FORMAS'!$AH$2:$AH$21,SUBSTITUTE(SUBSTITUTE(SUBSTITUTE($MU101,"~","~~"),"*","~*"),"?","~?"))=0),"Forma não cadastrada ou com erro: "&amp;$MU101,""),IF(AND(IFERROR(INDEX('DADOS_FORMAS'!$AS$2:$AS$21,MATCH(SUBSTITUTE(SUBSTITUTE(SUBSTITUTE($MU101,"~","~~"),"*","~*"),"?","~?"),'DADOS_FORMAS'!$AH$2:$AH$21,0)),"")&lt;&gt;"",OR(IFERROR(VLOOKUP(SUBSTITUTE(SUBSTITUTE(SUBSTITUTE(IFERROR(INDEX('DADOS_FORMAS'!$AS$2:$AS$21,MATCH(SUBSTITUTE(SUBSTITUTE(SUBSTITUTE($MU101,"~","~~"),"*","~*"),"?","~?"),'DADOS_FORMAS'!$AH$2:$AH$21,0)),""),"~","~~"),"*","~*"),"?","~?"),'DADOS_RESTRICOES'!$M$2:$Q$54,2,FALSE),"")=$OK101,IFERROR(VLOOKUP(SUBSTITUTE(SUBSTITUTE(SUBSTITUTE(IFERROR(INDEX('DADOS_FORMAS'!$AS$2:$AS$21,MATCH(SUBSTITUTE(SUBSTITUTE(SUBSTITUTE($MU101,"~","~~"),"*","~*"),"?","~?"),'DADOS_FORMAS'!$AH$2:$AH$21,0)),""),"~","~~"),"*","~*"),"?","~?"),'DADOS_RESTRICOES'!$M$2:$Q$54,2,FALSE),"")=$OL101)),"Restrição repetida, contando a embutida",""),IF(IF(IFERROR(INDEX('DADOS_FORMAS'!$AS$2:$AS$21,MATCH(SUBSTITUTE(SUBSTITUTE(SUBSTITUTE($MU101,"~","~~"),"*","~*"),"?","~?"),'DADOS_FORMAS'!$AH$2:$AH$21,0)),"")="",0,IFERROR(N(VLOOKUP(SUBSTITUTE(SUBSTITUTE(SUBSTITUTE(IFERROR(INDEX('DADOS_FORMAS'!$AS$2:$AS$21,MATCH(SUBSTITUTE(SUBSTITUTE(SUBSTITUTE($MU101,"~","~~"),"*","~*"),"?","~?"),'DADOS_FORMAS'!$AH$2:$AH$21,0)),""),"~","~~"),"*","~*"),"?","~?"),'DADOS_RESTRICOES'!$M$2:$Q$54,4,FALSE)=1),0))+IF($NB101="",0,IFERROR(N(VLOOKUP(SUBSTITUTE(SUBSTITUTE(SUBSTITUTE($NB101,"~","~~"),"*","~*"),"?","~?"),'DADOS_RESTRICOES'!$M$2:$Q$54,4,FALSE)=1),0))+IF($NC101="",0,IFERROR(N(VLOOKUP(SUBSTITUTE(SUBSTITUTE(SUBSTITUTE($NC101,"~","~~"),"*","~*"),"?","~?"),'DADOS_RESTRICOES'!$M$2:$Q$54,4,FALSE)=1),0))&gt;1,"Duas Restrições de frequência, contando a embutida",""),IF(AND(IFERROR(VLOOKUP(SUBSTITUTE(SUBSTITUTE(SUBSTITUTE(IFERROR(INDEX('DADOS_FORMAS'!$AS$2:$AS$21,MATCH(SUBSTITUTE(SUBSTITUTE(SUBSTITUTE($MU101,"~","~~"),"*","~*"),"?","~?"),'DADOS_FORMAS'!$AH$2:$AH$21,0)),""),"~","~~"),"*","~*"),"?","~?"),'DADOS_RESTRICOES'!$M$2:$Q$54,2,FALSE),"")="Tudo ou Nada",$OH101=0),"Tudo ou Nada exige TR",""),IF(AND(IFERROR(VLOOKUP(SUBSTITUTE(SUBSTITUTE(SUBSTITUTE(IFERROR(INDEX('DADOS_FORMAS'!$AS$2:$AS$21,MATCH(SUBSTITUTE(SUBSTITUTE(SUBSTITUTE($MU101,"~","~~"),"*","~*"),"?","~?"),'DADOS_FORMAS'!$AH$2:$AH$21,0)),""),"~","~~"),"*","~*"),"?","~?"),'DADOS_RESTRICOES'!$M$2:$Q$54,2,FALSE),"")="Corpo a Corpo",OR($RO101="Cone",$RO101="Linha")),"Corpo a Corpo não entra em Cone/Linha","")))</f>
        <v/>
      </c>
      <c r="PU101" s="164">
        <f>IF($PT101="",0,(LEN($PT101)-LEN(SUBSTITUTE($PT101," · ","")))/3+1)</f>
        <v/>
      </c>
      <c r="PV101" s="164">
        <f>IF($ND101=0,"",TEXTJOIN(" · ",TRUE,IF($OX101&gt;2*$MS101,"A devolução parou no teto de "&amp;2*$MS101,""),IF($PA101&gt;0,"Devolução perdida: "&amp;$PA101&amp;IF($PA101&gt;1," pontos"," ponto")&amp;" sem Melhoria para pagar",""),IF(AND($OC101&gt;0,AND($MS101&gt;0,$OG101=0),$PD101=0),"Controle sem dano: uma rodada a mais e CD +2",""),IF(AND($OC101&gt;0,AND($MS101&gt;0,$OG101=0),$PD101&gt;0,$PD101&lt;=$MS101),"Controle com saldo até a Classe: uma rodada a mais",""),IF(AND($MS101&gt;0,$OE101&lt;&gt;""),"Efeito de "&amp;$OE101&amp;" pela Classe "&amp;MAX(1,$MS101-1),"")))</f>
        <v/>
      </c>
      <c r="PW101" s="164">
        <f>IF($PV101="",0,(LEN($PV101)-LEN(SUBSTITUTE($PV101," · ","")))/3+1)</f>
        <v/>
      </c>
      <c r="PX101" s="164">
        <f>IF($ND101=0,IF($OU101+COUNTIF($NB101:$NC101,"?*")&gt;0,"Dê um nome",""),IF($PU101&gt;0,"⚠ "&amp;$PU101&amp;IF($PU101&gt;1," erros"," erro"),IF($PW101&gt;0,"! "&amp;$PW101&amp;IF($PW101&gt;1," avisos"," aviso"),"Na regra")))</f>
        <v/>
      </c>
      <c r="PY101" s="164">
        <f>IF($ND101=0,"",IF($PU101+$PW101=0,"Dentro das regras que a ficha confere",$PT101&amp;IF(AND($PU101&gt;0,$PW101&gt;0)," · ","")&amp;$PV101))</f>
        <v/>
      </c>
      <c r="PZ101" s="164">
        <f>IF($MQ101&gt;$NE101,$MR101&amp;" · ABRE NO NÍVEL "&amp;$MQ101,$MR101)</f>
        <v/>
      </c>
      <c r="QA101" s="164">
        <f>IF($ND101=0,"",IF($MS101=0,"Sem PE",3*$MS101&amp;" PE"))</f>
        <v/>
      </c>
      <c r="QB101" s="164">
        <f>IF($ND101=0,"",IF($MS101=0,"A atuação básica dela",IF(COUNTIF($RQ101:$RS101,"Atrasar")&gt;0,"Sua Ação Completa",IF(COUNTIF($RK101:$RN101,"Rápido")&gt;0,"Sua Bônus",IF(COUNTIF($RK101:$RN101,"Reação")&gt;0,"Sua Reação","Sua Padrão")))&amp;" + a básica dela"&amp;IF(COUNTIF($RK101:$RN101,"Reação")&gt;0," e a coletiva","")&amp;IF(COUNTIF($RQ101:$RS101,"Carregar")&gt;0," · em dois turnos","")))</f>
        <v/>
      </c>
      <c r="QC101" s="164">
        <f>IF($MW101&lt;&gt;"",$MW101,IF($NJ101=0,"",INDEX('DADOS_FORMAS'!$GE$2:$GE$21,$NJ101)))</f>
        <v/>
      </c>
      <c r="QD101" s="164">
        <f>IF(OR($ND101=0,$NJ101=0),"",IF(COUNTIF($RK101:$RN101,"Inescapável")&gt;0,"Automático",IF($QC101="Ataque",IF($NH101="","Ataque","Ataque "&amp;IF(($NH101+2*IF(COUNTIF($RK101:$RN101,"Precisão")&gt;0,1,0))&gt;=0,"+","−")&amp;ABS(($NH101+2*IF(COUNTIF($RK101:$RN101,"Precisão")&gt;0,1,0))))&amp;IF($OD101&gt;0," · TR"&amp;IF($NI101="",""," CD "&amp;$NI101),""),IF(LEFT($QC101,2)="TR",$QC101&amp;IF($NI101="",""," · CD "&amp;$NI101)&amp;IF(COUNTIF($RK101:$RN101,"Certeiro")&gt;0," · metade",""),"Sem rolagem"))))</f>
        <v/>
      </c>
      <c r="QE101" s="164">
        <f>IF(OR($ND101=0,$NJ101=0),"",IF($MS101=0,IF(OR($OG101&gt;=1,$PD101=0),"Sem dano",$PD101&amp;"d6"&amp;IF($MV101="",""," "&amp;$MV101)),IF(OR($OG101&gt;=1,$PD101=0),UPPER(LEFT(INDEX($PM101:$PS101,1,MAX(1,$MS101)),1))&amp;MID(INDEX($PM101:$PS101,1,MAX(1,$MS101)),2,99),UPPER(LEFT(INDEX($PM101:$PS101,1,MAX(1,$MS101)),1))&amp;MID(INDEX($PM101:$PS101,1,MAX(1,$MS101)),2,99)&amp;IF($MV101="",""," "&amp;$MV101)&amp;IF($PE101&gt;0," · +"&amp;$PE101&amp;"d8",""))))</f>
        <v/>
      </c>
      <c r="QF101" s="164">
        <f>COUNTIF($RK101:$RN101,"Longe")+3*COUNTIF($RK101:$RN101,"Muito Longe")</f>
        <v/>
      </c>
      <c r="QG101" s="164">
        <f>COUNTIF($RK101:$RN101,"Maior")+3*COUNTIF($RK101:$RN101,"Muito Maior")</f>
        <v/>
      </c>
      <c r="QH101" s="164">
        <f>IF($NJ101=0,0,CHOOSE(1+INDEX('DADOS_FORMAS'!$GG$2:$GG$21,$NJ101),0,$QF101,$QG101,$QF101+$QG101))</f>
        <v/>
      </c>
      <c r="QI101" s="164">
        <f>IF($NJ101=0,0,CHOOSE(1+INDEX('DADOS_FORMAS'!$GH$2:$GH$21,$NJ101),0,$QF101,$QG101,$QF101+$QG101))</f>
        <v/>
      </c>
      <c r="QJ101" s="164">
        <f>IF(OR($ND101=0,$NJ101=0),"",INDEX('DADOS_FORMAS'!$HU$2:$HZ$81,($NJ101-1)*4+IF($MS101=0,1,IF($MS101&lt;=5,2,IF($MS101=6,3,4))),1+MIN(5,$QH101))&amp;INDEX('DADOS_FORMAS'!$IA$2:$IF$81,($NJ101-1)*4+IF($MS101=0,1,IF($MS101&lt;=5,2,IF($MS101=6,3,4))),1+MIN(5,$QI101))&amp;IF(INDEX('DADOS_FORMAS'!$GI$2:$GI$21,$NJ101)=1,IF(COUNTIF($RK101:$RN101,"Mais Um")&gt;0," · +"&amp;COUNTIF($RK101:$RN101,"Mais Um")&amp;IF(COUNTIF($RK101:$RN101,"Mais Um")&gt;1," alvos"," alvo"),"")&amp;IF(COUNTIF($RK101:$RN101,"Rajada")&gt;0,IF($MS101=0," · 1 tiro"," · "&amp;(MAX(1,$MS101-1)+1)&amp;" tiros"),""),""))</f>
        <v/>
      </c>
      <c r="QK101" s="164">
        <f>IF($ND101=0,"",IF($MS101=0,$NG101&amp;"d6"&amp;IF($OU101&gt;0," − 1 = "&amp;$PD101&amp;"d6"," da básica do nível "&amp;$NE101),$PB101&amp;" − "&amp;$OW101&amp;" + "&amp;$OZ101&amp;" = "&amp;$PC101&amp;" · teto "&amp;4*$MS101&amp;"d8"&amp;IF($OF101=1," · a Forma devolve "&amp;$MS101,"")&amp;IF($PA101&gt;0," · perde "&amp;$PA101,"")))</f>
        <v/>
      </c>
      <c r="QL101" s="164">
        <f>IF($ND101=0,"",IF($MS101=0,"A básica não amplia: os dados dela sobem com o nível",IF($MS101&gt;=$NF101,"Já está na maior Classe que o nível liberou",TEXTJOIN(" · ",TRUE,IF(AND(2&gt;$MS101,2&lt;=$NF101),"2 → "&amp;$PN101&amp;", 6 PE",""),IF(AND(3&gt;$MS101,3&lt;=$NF101),"3 → "&amp;$PO101&amp;", 9 PE",""),IF(AND(4&gt;$MS101,4&lt;=$NF101),"4 → "&amp;$PP101&amp;", 12 PE",""),IF(AND(5&gt;$MS101,5&lt;=$NF101),"5 → "&amp;$PQ101&amp;", 15 PE",""),IF(AND(6&gt;$MS101,6&lt;=$NF101),"6 → "&amp;$PR101&amp;", 18 PE",""),IF(AND(7&gt;$MS101,7&lt;=$NF101),"7 → "&amp;$PS101&amp;", 21 PE","")))))</f>
        <v/>
      </c>
      <c r="QM101" s="164">
        <f>IF(OR($ND101=0,$NO101=0),"",IF($MS101=0,"−1 dado","−"&amp;INDEX($I$2:$N$8,MAX(1,$MS101),MAX(1,$NT101))&amp;" · "&amp;CHOOSE(MAX(1,$NT101),"Leve","Média","Pesada","Leve · Livre","Média · Livre","Pesada · Livre")))</f>
        <v/>
      </c>
      <c r="QN101" s="164">
        <f>IF(OR($ND101=0,$NP101=0),"",IF($MS101=0,"−1 dado","−"&amp;INDEX($I$2:$N$8,MAX(1,$MS101),MAX(1,$NU101))&amp;" · "&amp;CHOOSE(MAX(1,$NU101),"Leve","Média","Pesada","Leve · Livre","Média · Livre","Pesada · Livre")))</f>
        <v/>
      </c>
      <c r="QO101" s="164">
        <f>IF(OR($ND101=0,$NQ101=0),"",IF($MS101=0,"−1 dado","−"&amp;INDEX($I$2:$N$8,MAX(1,$MS101),MAX(1,$NV101))&amp;" · "&amp;CHOOSE(MAX(1,$NV101),"Leve","Média","Pesada","Leve · Livre","Média · Livre","Pesada · Livre")))</f>
        <v/>
      </c>
      <c r="QP101" s="164">
        <f>IF(OR($ND101=0,$NR101=0),"",IF($MS101=0,"−1 dado","−"&amp;INDEX($I$2:$N$8,MAX(1,$MS101),MAX(1,$NW101))&amp;" · "&amp;CHOOSE(MAX(1,$NW101),"Leve","Média","Pesada","Leve · Livre","Média · Livre","Pesada · Livre")))</f>
        <v/>
      </c>
      <c r="QQ101" s="164">
        <f>IF(OR($ND101=0,$NB101=""),"",IF($MS101=0,"não devolve","+"&amp;IF($OI101=1,CEILING($MS101/2,1),$MS101)))</f>
        <v/>
      </c>
      <c r="QR101" s="164">
        <f>IF(OR($ND101=0,$NC101=""),"",IF($MS101=0,"não devolve","+"&amp;IF($OJ101=1,CEILING($MS101/2,1),$MS101)))</f>
        <v/>
      </c>
      <c r="RK101">
        <f>IF($MX101="","",IFERROR(VLOOKUP(SUBSTITUTE(SUBSTITUTE(SUBSTITUTE($MX101,"~","~~"),"*","~*"),"?","~?"),'DADOS_MELHORIAS'!$O$2:$X$113,10,FALSE),$MX101))</f>
        <v/>
      </c>
      <c r="RL101">
        <f>IF($MY101="","",IFERROR(VLOOKUP(SUBSTITUTE(SUBSTITUTE(SUBSTITUTE($MY101,"~","~~"),"*","~*"),"?","~?"),'DADOS_MELHORIAS'!$O$2:$X$113,10,FALSE),$MY101))</f>
        <v/>
      </c>
      <c r="RM101">
        <f>IF($MZ101="","",IFERROR(VLOOKUP(SUBSTITUTE(SUBSTITUTE(SUBSTITUTE($MZ101,"~","~~"),"*","~*"),"?","~?"),'DADOS_MELHORIAS'!$O$2:$X$113,10,FALSE),$MZ101))</f>
        <v/>
      </c>
      <c r="RN101">
        <f>IF($NA101="","",IFERROR(VLOOKUP(SUBSTITUTE(SUBSTITUTE(SUBSTITUTE($NA101,"~","~~"),"*","~*"),"?","~?"),'DADOS_MELHORIAS'!$O$2:$X$113,10,FALSE),$NA101))</f>
        <v/>
      </c>
      <c r="RO101">
        <f>IFERROR(INDEX('DADOS_FORMAS'!$BJ$2:$BJ$21,MATCH(SUBSTITUTE(SUBSTITUTE(SUBSTITUTE($MU101,"~","~~"),"*","~*"),"?","~?"),'DADOS_FORMAS'!$AH$2:$AH$21,0)),"")</f>
        <v/>
      </c>
      <c r="RP101">
        <f>IFERROR(VLOOKUP(SUBSTITUTE(SUBSTITUTE(SUBSTITUTE(IFERROR(INDEX('DADOS_FORMAS'!$AS$2:$AS$21,MATCH(SUBSTITUTE(SUBSTITUTE(SUBSTITUTE($MU101,"~","~~"),"*","~*"),"?","~?"),'DADOS_FORMAS'!$AH$2:$AH$21,0)),""),"~","~~"),"*","~*"),"?","~?"),'DADOS_RESTRICOES'!$M$2:$Q$54,2,FALSE),"")</f>
        <v/>
      </c>
      <c r="RQ101">
        <f>$OK101</f>
        <v/>
      </c>
      <c r="RR101">
        <f>$OL101</f>
        <v/>
      </c>
      <c r="RS101">
        <f>$RP101</f>
        <v/>
      </c>
    </row>
    <row r="102">
      <c r="MN102" s="162" t="inlineStr">
        <is>
          <t>Ficha 8 · Especial 8</t>
        </is>
      </c>
      <c r="MO102" s="164" t="n">
        <v>8</v>
      </c>
      <c r="MP102" s="164" t="n">
        <v>1</v>
      </c>
      <c r="MQ102" s="164" t="n">
        <v>28</v>
      </c>
      <c r="MR102" s="162" t="inlineStr">
        <is>
          <t>ESPECIAL 8</t>
        </is>
      </c>
      <c r="MS102" s="164">
        <f>MAX(1,MIN(7,N('INVOCAÇÕES'!$AB$360)))</f>
        <v/>
      </c>
      <c r="MT102" s="164">
        <f>'INVOCAÇÕES'!$AC$360&amp;""</f>
        <v/>
      </c>
      <c r="MU102" s="164">
        <f>'INVOCAÇÕES'!$AB$365&amp;""</f>
        <v/>
      </c>
      <c r="MV102" s="164">
        <f>'INVOCAÇÕES'!$AB$366&amp;""</f>
        <v/>
      </c>
      <c r="MW102" s="164">
        <f>'INVOCAÇÕES'!$AD$366&amp;""</f>
        <v/>
      </c>
      <c r="MX102" s="164">
        <f>'INVOCAÇÕES'!$AC$369&amp;""</f>
        <v/>
      </c>
      <c r="MY102" s="164">
        <f>'INVOCAÇÕES'!$AC$370&amp;""</f>
        <v/>
      </c>
      <c r="MZ102" s="164">
        <f>'INVOCAÇÕES'!$AC$371&amp;""</f>
        <v/>
      </c>
      <c r="NA102" s="164">
        <f>'INVOCAÇÕES'!$AC$372&amp;""</f>
        <v/>
      </c>
      <c r="NB102" s="164">
        <f>'INVOCAÇÕES'!$AC$373&amp;""</f>
        <v/>
      </c>
      <c r="NC102" s="164">
        <f>'INVOCAÇÕES'!$AC$374&amp;""</f>
        <v/>
      </c>
      <c r="ND102" s="164">
        <f>IF($MT102&lt;&gt;"",1,0)</f>
        <v/>
      </c>
      <c r="NE102" s="164">
        <f>INDEX($FO$2:$FO$13,$MO102)</f>
        <v/>
      </c>
      <c r="NF102" s="164">
        <f>INDEX($FP$2:$FP$13,$MO102)</f>
        <v/>
      </c>
      <c r="NG102" s="164">
        <f>INDEX($FQ$2:$FQ$13,$MO102)</f>
        <v/>
      </c>
      <c r="NH102" s="164">
        <f>INDEX($GB$2:$GB$13,$MO102)</f>
        <v/>
      </c>
      <c r="NI102" s="164">
        <f>INDEX($GC$2:$GC$13,$MO102)</f>
        <v/>
      </c>
      <c r="NJ102" s="164">
        <f>IFERROR(MATCH(SUBSTITUTE(SUBSTITUTE(SUBSTITUTE($MU102,"~","~~"),"*","~*"),"?","~?"),'DADOS_FORMAS'!$FZ$2:$FZ$21,0),0)</f>
        <v/>
      </c>
      <c r="NK102" s="164">
        <f>IFERROR(VLOOKUP(SUBSTITUTE(SUBSTITUTE(SUBSTITUTE($MX102,"~","~~"),"*","~*"),"?","~?"),'DADOS_MELHORIAS'!$AG$2:$AL$113,2,FALSE),"")</f>
        <v/>
      </c>
      <c r="NL102" s="164">
        <f>IFERROR(VLOOKUP(SUBSTITUTE(SUBSTITUTE(SUBSTITUTE($MY102,"~","~~"),"*","~*"),"?","~?"),'DADOS_MELHORIAS'!$AG$2:$AL$113,2,FALSE),"")</f>
        <v/>
      </c>
      <c r="NM102" s="164">
        <f>IFERROR(VLOOKUP(SUBSTITUTE(SUBSTITUTE(SUBSTITUTE($MZ102,"~","~~"),"*","~*"),"?","~?"),'DADOS_MELHORIAS'!$AG$2:$AL$113,2,FALSE),"")</f>
        <v/>
      </c>
      <c r="NN102" s="164">
        <f>IFERROR(VLOOKUP(SUBSTITUTE(SUBSTITUTE(SUBSTITUTE($NA102,"~","~~"),"*","~*"),"?","~?"),'DADOS_MELHORIAS'!$AG$2:$AL$113,2,FALSE),"")</f>
        <v/>
      </c>
      <c r="NO102" s="164">
        <f>IFERROR(VLOOKUP(SUBSTITUTE(SUBSTITUTE(SUBSTITUTE($MX102,"~","~~"),"*","~*"),"?","~?"),'DADOS_MELHORIAS'!$AG$2:$AL$113,3,FALSE),0)</f>
        <v/>
      </c>
      <c r="NP102" s="164">
        <f>IFERROR(VLOOKUP(SUBSTITUTE(SUBSTITUTE(SUBSTITUTE($MY102,"~","~~"),"*","~*"),"?","~?"),'DADOS_MELHORIAS'!$AG$2:$AL$113,3,FALSE),0)</f>
        <v/>
      </c>
      <c r="NQ102" s="164">
        <f>IFERROR(VLOOKUP(SUBSTITUTE(SUBSTITUTE(SUBSTITUTE($MZ102,"~","~~"),"*","~*"),"?","~?"),'DADOS_MELHORIAS'!$AG$2:$AL$113,3,FALSE),0)</f>
        <v/>
      </c>
      <c r="NR102" s="164">
        <f>IFERROR(VLOOKUP(SUBSTITUTE(SUBSTITUTE(SUBSTITUTE($NA102,"~","~~"),"*","~*"),"?","~?"),'DADOS_MELHORIAS'!$AG$2:$AL$113,3,FALSE),0)</f>
        <v/>
      </c>
      <c r="NS102" s="164">
        <f>IF($MS102=0,0,IF($NJ102=0,0,INDEX('DADOS_FORMAS'!$GB$2:$GB$21,$NJ102)))</f>
        <v/>
      </c>
      <c r="NT102" s="164">
        <f>IF(OR($NO102=0,$MS102=0),0,$NO102+3*IF(AND($NK102&lt;&gt;"",COUNTIF(INDEX($RB$2:$RJ$13,$MO102,0),$NK102)&gt;0),1,0))</f>
        <v/>
      </c>
      <c r="NU102" s="164">
        <f>IF(OR($NP102=0,$MS102=0),0,$NP102+3*IF(AND($NL102&lt;&gt;"",COUNTIF(INDEX($RB$2:$RJ$13,$MO102,0),$NL102)&gt;0),1,0))</f>
        <v/>
      </c>
      <c r="NV102" s="164">
        <f>IF(OR($NQ102=0,$MS102=0),0,$NQ102+3*IF(AND($NM102&lt;&gt;"",COUNTIF(INDEX($RB$2:$RJ$13,$MO102,0),$NM102)&gt;0),1,0))</f>
        <v/>
      </c>
      <c r="NW102" s="164">
        <f>IF(OR($NR102=0,$MS102=0),0,$NR102+3*IF(AND($NN102&lt;&gt;"",COUNTIF(INDEX($RB$2:$RJ$13,$MO102,0),$NN102)&gt;0),1,0))</f>
        <v/>
      </c>
      <c r="NX102" s="164">
        <f>IF($NJ102=0,0,IF(INDEX('DADOS_FORMAS'!$GA$2:$GA$21,$NJ102)="",0,IF((COUNTIF(INDEX($EL$2:$EP$13,$MO102,0),INDEX('DADOS_FORMAS'!$GA$2:$GA$21,$NJ102))+COUNTIF(INDEX($QV$2:$QY$13,$MO102,0),INDEX('DADOS_FORMAS'!$GA$2:$GA$21,$NJ102)))=0,1,0)))</f>
        <v/>
      </c>
      <c r="NY102" s="164">
        <f>IF(OR($NO102=0,$NK102=""),0,IF((COUNTIF(INDEX($EL$2:$EP$13,$MO102,0),$NK102)+COUNTIF(INDEX($QV$2:$QY$13,$MO102,0),$NK102))=0,1,0))</f>
        <v/>
      </c>
      <c r="NZ102" s="164">
        <f>IF(OR($NP102=0,$NL102=""),0,IF((COUNTIF(INDEX($EL$2:$EP$13,$MO102,0),$NL102)+COUNTIF(INDEX($QV$2:$QY$13,$MO102,0),$NL102))=0,1,0))</f>
        <v/>
      </c>
      <c r="OA102" s="164">
        <f>IF(OR($NQ102=0,$NM102=""),0,IF((COUNTIF(INDEX($EL$2:$EP$13,$MO102,0),$NM102)+COUNTIF(INDEX($QV$2:$QY$13,$MO102,0),$NM102))=0,1,0))</f>
        <v/>
      </c>
      <c r="OB102" s="164">
        <f>IF(OR($NR102=0,$NN102=""),0,IF((COUNTIF(INDEX($EL$2:$EP$13,$MO102,0),$NN102)+COUNTIF(INDEX($QV$2:$QY$13,$MO102,0),$NN102))=0,1,0))</f>
        <v/>
      </c>
      <c r="OC102" s="164">
        <f>IFERROR(VLOOKUP(SUBSTITUTE(SUBSTITUTE(SUBSTITUTE($MX102,"~","~~"),"*","~*"),"?","~?"),'DADOS_MELHORIAS'!$AG$2:$AL$113,4,FALSE),0)+IFERROR(VLOOKUP(SUBSTITUTE(SUBSTITUTE(SUBSTITUTE($MY102,"~","~~"),"*","~*"),"?","~?"),'DADOS_MELHORIAS'!$AG$2:$AL$113,4,FALSE),0)+IFERROR(VLOOKUP(SUBSTITUTE(SUBSTITUTE(SUBSTITUTE($MZ102,"~","~~"),"*","~*"),"?","~?"),'DADOS_MELHORIAS'!$AG$2:$AL$113,4,FALSE),0)+IFERROR(VLOOKUP(SUBSTITUTE(SUBSTITUTE(SUBSTITUTE($NA102,"~","~~"),"*","~*"),"?","~?"),'DADOS_MELHORIAS'!$AG$2:$AL$113,4,FALSE),0)</f>
        <v/>
      </c>
      <c r="OD102" s="164">
        <f>IFERROR(VLOOKUP(SUBSTITUTE(SUBSTITUTE(SUBSTITUTE($MX102,"~","~~"),"*","~*"),"?","~?"),'DADOS_MELHORIAS'!$AG$2:$AL$113,6,FALSE),0)+IFERROR(VLOOKUP(SUBSTITUTE(SUBSTITUTE(SUBSTITUTE($MY102,"~","~~"),"*","~*"),"?","~?"),'DADOS_MELHORIAS'!$AG$2:$AL$113,6,FALSE),0)+IFERROR(VLOOKUP(SUBSTITUTE(SUBSTITUTE(SUBSTITUTE($MZ102,"~","~~"),"*","~*"),"?","~?"),'DADOS_MELHORIAS'!$AG$2:$AL$113,6,FALSE),0)+IFERROR(VLOOKUP(SUBSTITUTE(SUBSTITUTE(SUBSTITUTE($NA102,"~","~~"),"*","~*"),"?","~?"),'DADOS_MELHORIAS'!$AG$2:$AL$113,6,FALSE),0)+IFERROR(N(AND(INDEX('DADOS_FORMAS'!$AO$2:$AO$21,MATCH(SUBSTITUTE(SUBSTITUTE(SUBSTITUTE($MU102,"~","~~"),"*","~*"),"?","~?"),'DADOS_FORMAS'!$AH$2:$AH$21,0))="Acerto",$OH102=1)),0)</f>
        <v/>
      </c>
      <c r="OE102" s="164">
        <f>TEXTJOIN(", ",TRUE,IF(IFERROR(VLOOKUP(SUBSTITUTE(SUBSTITUTE(SUBSTITUTE($MX102,"~","~~"),"*","~*"),"?","~?"),'DADOS_MELHORIAS'!$AG$2:$AL$113,5,FALSE),0)=1,$MX102,""),IF(IFERROR(VLOOKUP(SUBSTITUTE(SUBSTITUTE(SUBSTITUTE($MY102,"~","~~"),"*","~*"),"?","~?"),'DADOS_MELHORIAS'!$AG$2:$AL$113,5,FALSE),0)=1,$MY102,""),IF(IFERROR(VLOOKUP(SUBSTITUTE(SUBSTITUTE(SUBSTITUTE($MZ102,"~","~~"),"*","~*"),"?","~?"),'DADOS_MELHORIAS'!$AG$2:$AL$113,5,FALSE),0)=1,$MZ102,""),IF(IFERROR(VLOOKUP(SUBSTITUTE(SUBSTITUTE(SUBSTITUTE($NA102,"~","~~"),"*","~*"),"?","~?"),'DADOS_MELHORIAS'!$AG$2:$AL$113,5,FALSE),0)=1,$NA102,""))</f>
        <v/>
      </c>
      <c r="OF102" s="164">
        <f>IF($NJ102=0,0,INDEX('DADOS_FORMAS'!$GC$2:$GC$21,$NJ102))</f>
        <v/>
      </c>
      <c r="OG102" s="164">
        <f>IF($NJ102=0,0,INDEX('DADOS_FORMAS'!$GD$2:$GD$21,$NJ102))</f>
        <v/>
      </c>
      <c r="OH102" s="164">
        <f>IF($NJ102=0,0,INDEX('DADOS_FORMAS'!$GF$2:$GF$21,$NJ102))</f>
        <v/>
      </c>
      <c r="OI102" s="164">
        <f>IFERROR(VLOOKUP(SUBSTITUTE(SUBSTITUTE(SUBSTITUTE($NB102,"~","~~"),"*","~*"),"?","~?"),'DADOS_RESTRICOES'!$M$2:$Q$54,3,FALSE),0)</f>
        <v/>
      </c>
      <c r="OJ102" s="164">
        <f>IFERROR(VLOOKUP(SUBSTITUTE(SUBSTITUTE(SUBSTITUTE($NC102,"~","~~"),"*","~*"),"?","~?"),'DADOS_RESTRICOES'!$M$2:$Q$54,3,FALSE),0)</f>
        <v/>
      </c>
      <c r="OK102" s="164">
        <f>IFERROR(VLOOKUP(SUBSTITUTE(SUBSTITUTE(SUBSTITUTE($NB102,"~","~~"),"*","~*"),"?","~?"),'DADOS_RESTRICOES'!$M$2:$Q$54,2,FALSE),"")</f>
        <v/>
      </c>
      <c r="OL102" s="164">
        <f>IFERROR(VLOOKUP(SUBSTITUTE(SUBSTITUTE(SUBSTITUTE($NC102,"~","~~"),"*","~*"),"?","~?"),'DADOS_RESTRICOES'!$M$2:$Q$54,2,FALSE),"")</f>
        <v/>
      </c>
      <c r="OM102" s="164">
        <f>COUNTIF($NS102:$NW102,1)</f>
        <v/>
      </c>
      <c r="ON102" s="164">
        <f>COUNTIF($NS102:$NW102,2)</f>
        <v/>
      </c>
      <c r="OO102" s="164">
        <f>COUNTIF($NS102:$NW102,3)</f>
        <v/>
      </c>
      <c r="OP102" s="164">
        <f>COUNTIF($NS102:$NW102,4)</f>
        <v/>
      </c>
      <c r="OQ102" s="164">
        <f>COUNTIF($NS102:$NW102,5)</f>
        <v/>
      </c>
      <c r="OR102" s="164">
        <f>COUNTIF($NS102:$NW102,6)</f>
        <v/>
      </c>
      <c r="OS102" s="164">
        <f>COUNTIF($OI102:$OJ102,1)+IF(IFERROR(INDEX('DADOS_FORMAS'!$AS$2:$AS$21,MATCH(SUBSTITUTE(SUBSTITUTE(SUBSTITUTE($MU102,"~","~~"),"*","~*"),"?","~?"),'DADOS_FORMAS'!$AH$2:$AH$21,0)),"")="",0,IFERROR(N(VLOOKUP(SUBSTITUTE(SUBSTITUTE(SUBSTITUTE(IFERROR(INDEX('DADOS_FORMAS'!$AS$2:$AS$21,MATCH(SUBSTITUTE(SUBSTITUTE(SUBSTITUTE($MU102,"~","~~"),"*","~*"),"?","~?"),'DADOS_FORMAS'!$AH$2:$AH$21,0)),""),"~","~~"),"*","~*"),"?","~?"),'DADOS_RESTRICOES'!$M$2:$Q$54,3,FALSE)=1),0))</f>
        <v/>
      </c>
      <c r="OT102" s="164">
        <f>COUNTIF($OI102:$OJ102,2)+IF(IFERROR(INDEX('DADOS_FORMAS'!$AS$2:$AS$21,MATCH(SUBSTITUTE(SUBSTITUTE(SUBSTITUTE($MU102,"~","~~"),"*","~*"),"?","~?"),'DADOS_FORMAS'!$AH$2:$AH$21,0)),"")="",0,IFERROR(N(VLOOKUP(SUBSTITUTE(SUBSTITUTE(SUBSTITUTE(IFERROR(INDEX('DADOS_FORMAS'!$AS$2:$AS$21,MATCH(SUBSTITUTE(SUBSTITUTE(SUBSTITUTE($MU102,"~","~~"),"*","~*"),"?","~?"),'DADOS_FORMAS'!$AH$2:$AH$21,0)),""),"~","~~"),"*","~*"),"?","~?"),'DADOS_RESTRICOES'!$M$2:$Q$54,3,FALSE)=2),0))</f>
        <v/>
      </c>
      <c r="OU102" s="164">
        <f>COUNTIF($MX102:$NA102,"?*")</f>
        <v/>
      </c>
      <c r="OV102" s="164">
        <f>COUNTIF($NB102:$NC102,"?*")+$OF102</f>
        <v/>
      </c>
      <c r="OW102" s="164">
        <f>IF($MS102=0,0,SUMPRODUCT($OM102:$OR102,INDEX($I$2:$N$8,MAX(1,$MS102),0)))</f>
        <v/>
      </c>
      <c r="OX102" s="164">
        <f>IF($MS102=0,0,$OS102*CEILING($MS102/2,1)+$OT102*$MS102)</f>
        <v/>
      </c>
      <c r="OY102" s="164">
        <f>MIN(2*$MS102,$OX102)</f>
        <v/>
      </c>
      <c r="OZ102" s="164">
        <f>MIN($OY102,$OW102-IF($NS102=0,0,INDEX($I$2:$N$8,MAX(1,$MS102),$NS102)))</f>
        <v/>
      </c>
      <c r="PA102" s="164">
        <f>$OY102-$OZ102</f>
        <v/>
      </c>
      <c r="PB102" s="164">
        <f>IF($MS102=0,0,INDEX($P$2:$P$8,MAX(1,$MS102)))</f>
        <v/>
      </c>
      <c r="PC102" s="164">
        <f>$PB102-$OW102+$OZ102</f>
        <v/>
      </c>
      <c r="PD102" s="164">
        <f>IF($MS102=0,MAX(0,$NG102-IF(AND($OU102&gt;0,COUNTIF($NB102:$NC102,"?*")=0),1,0)),MAX(0,$PC102))</f>
        <v/>
      </c>
      <c r="PE102" s="164">
        <f>IF($MS102=0,0,(IF(COUNTIF($RK102:$RN102,"Salto")&gt;0,1,0)+IF(COUNTIF($RK102:$RN102,"Queima")&gt;0,1,0)+IF(COUNTIF($RK102:$RN102,"Estilhaço")&gt;0,1,0))*FLOOR($PD102/2,1))</f>
        <v/>
      </c>
      <c r="PF102" s="164">
        <f>MAX(0,2-SUMPRODUCT($OM102:$OR102,$I$2:$N$2)+MIN(2,$OS102*1+$OT102*1,SUMPRODUCT($OM102:$OR102,$I$2:$N$2)-IF($NS102=0,0,INDEX($I$2:$N$2,1,$NS102))))</f>
        <v/>
      </c>
      <c r="PG102" s="164">
        <f>MAX(0,4-SUMPRODUCT($OM102:$OR102,$I$3:$N$3)+MIN(4,$OS102*1+$OT102*2,SUMPRODUCT($OM102:$OR102,$I$3:$N$3)-IF($NS102=0,0,INDEX($I$3:$N$3,1,$NS102))))</f>
        <v/>
      </c>
      <c r="PH102" s="164">
        <f>MAX(0,6-SUMPRODUCT($OM102:$OR102,$I$4:$N$4)+MIN(6,$OS102*2+$OT102*3,SUMPRODUCT($OM102:$OR102,$I$4:$N$4)-IF($NS102=0,0,INDEX($I$4:$N$4,1,$NS102))))</f>
        <v/>
      </c>
      <c r="PI102" s="164">
        <f>MAX(0,9-SUMPRODUCT($OM102:$OR102,$I$5:$N$5)+MIN(8,$OS102*2+$OT102*4,SUMPRODUCT($OM102:$OR102,$I$5:$N$5)-IF($NS102=0,0,INDEX($I$5:$N$5,1,$NS102))))</f>
        <v/>
      </c>
      <c r="PJ102" s="164">
        <f>MAX(0,11-SUMPRODUCT($OM102:$OR102,$I$6:$N$6)+MIN(10,$OS102*3+$OT102*5,SUMPRODUCT($OM102:$OR102,$I$6:$N$6)-IF($NS102=0,0,INDEX($I$6:$N$6,1,$NS102))))</f>
        <v/>
      </c>
      <c r="PK102" s="164">
        <f>MAX(0,13-SUMPRODUCT($OM102:$OR102,$I$7:$N$7)+MIN(12,$OS102*3+$OT102*6,SUMPRODUCT($OM102:$OR102,$I$7:$N$7)-IF($NS102=0,0,INDEX($I$7:$N$7,1,$NS102))))</f>
        <v/>
      </c>
      <c r="PL102" s="164">
        <f>MAX(0,16-SUMPRODUCT($OM102:$OR102,$I$8:$N$8)+MIN(14,$OS102*4+$OT102*7,SUMPRODUCT($OM102:$OR102,$I$8:$N$8)-IF($NS102=0,0,INDEX($I$8:$N$8,1,$NS102))))</f>
        <v/>
      </c>
      <c r="PM102" s="164">
        <f>IF($OG102=2,3*$PF102&amp;" de vida temp.",IF($OG102=3,"sem dano",IF($PF102=0,IF($OG102=1,"sem cura","sem dano"),IF($OG102=1,"cura ","")&amp;$PF102&amp;"d8")))</f>
        <v/>
      </c>
      <c r="PN102" s="164">
        <f>IF($OG102=2,3*$PG102&amp;" de vida temp.",IF($OG102=3,"sem dano",IF($PG102=0,IF($OG102=1,"sem cura","sem dano"),IF($OG102=1,"cura ","")&amp;$PG102&amp;"d8")))</f>
        <v/>
      </c>
      <c r="PO102" s="164">
        <f>IF($OG102=2,3*$PH102&amp;" de vida temp.",IF($OG102=3,"sem dano",IF($PH102=0,IF($OG102=1,"sem cura","sem dano"),IF($OG102=1,"cura ","")&amp;$PH102&amp;"d8")))</f>
        <v/>
      </c>
      <c r="PP102" s="164">
        <f>IF($OG102=2,3*$PI102&amp;" de vida temp.",IF($OG102=3,"sem dano",IF($PI102=0,IF($OG102=1,"sem cura","sem dano"),IF($OG102=1,"cura ","")&amp;$PI102&amp;"d8")))</f>
        <v/>
      </c>
      <c r="PQ102" s="164">
        <f>IF($OG102=2,3*$PJ102&amp;" de vida temp.",IF($OG102=3,"sem dano",IF($PJ102=0,IF($OG102=1,"sem cura","sem dano"),IF($OG102=1,"cura ","")&amp;$PJ102&amp;"d8")))</f>
        <v/>
      </c>
      <c r="PR102" s="164">
        <f>IF($OG102=2,3*$PK102&amp;" de vida temp.",IF($OG102=3,"sem dano",IF($PK102=0,IF($OG102=1,"sem cura","sem dano"),IF($OG102=1,"cura ","")&amp;$PK102&amp;"d8")))</f>
        <v/>
      </c>
      <c r="PS102" s="164">
        <f>IF($OG102=2,3*$PL102&amp;" de vida temp.",IF($OG102=3,"sem dano",IF($PL102=0,IF($OG102=1,"sem cura","sem dano"),IF($OG102=1,"cura ","")&amp;$PL102&amp;"d8")))</f>
        <v/>
      </c>
      <c r="PT102" s="164">
        <f>IF($ND102=0,"",TEXTJOIN(" · ",TRUE,IF($ND102=0,"",TEXTJOIN(" · ",TRUE,IF($ND102=0,"",TEXTJOIN(" · ",TRUE,IF($MQ102&gt;$NE102,"Este lugar abre no nível "&amp;$MQ102,""),IF($MS102&gt;$NF102,"Classe "&amp;$MS102&amp;": o nível "&amp;$NE102&amp;" libera até a "&amp;$NF102,""),IF($NX102=1,"A Forma "&amp;$MU102&amp;" pede "&amp;INDEX('DADOS_FORMAS'!$GA$2:$GA$21,$NJ102)&amp;" aberta",""),IF(AND($MS102=0,$NJ102&gt;0,IF($NJ102=0,0,INDEX('DADOS_FORMAS'!$GJ$2:$GJ$21,$NJ102))=0),$MU102&amp;" não existe na Classe 0",""),IF($NY102=1,"Família Fechada: "&amp;$MX102,""),IF($NZ102=1,"Família Fechada: "&amp;$MY102,""),IF($OA102=1,"Família Fechada: "&amp;$MZ102,""),IF($OB102=1,"Família Fechada: "&amp;$NA102,""),IF(AND($MS102&gt;0,$OU102&gt;INDEX($O$2:$O$8,MAX(1,$MS102))),$OU102&amp;" Melhorias: a Classe "&amp;$MS102&amp;" aceita "&amp;INDEX($O$2:$O$8,MAX(1,$MS102)),""),IF(AND($MS102=0,$OU102&gt;1),"A básica aceita uma Melhoria",""),IF(AND($MS102=0,COUNTIF($NO102:$NR102,"&gt;1")&gt;0),"A básica só aceita Melhoria Leve",""),IF(AND($MS102&gt;0,$OV102&gt;2),$OV102&amp;" Restrições"&amp;IF($OF102=1,", contando a que a Forma "&amp;$MU102&amp;" já traz","")&amp;": o limite é 2",""),IF(AND($MS102=0,COUNTIF($NB102:$NC102,"?*")&gt;1),"A básica aceita uma Restrição Leve",""),IF(AND($MS102=0,COUNTIF($OI102:$OJ102,2)&gt;0),"A básica só aceita Restrição Leve",""),IF(AND($MS102&gt;0,$PC102&lt;0),"Orçamento estourado: faltam "&amp;(-$PC102)&amp;IF($PC102&lt;-1," pontos"," ponto"),""),IF(IFERROR(VLOOKUP(SUBSTITUTE(SUBSTITUTE(SUBSTITUTE($NB102,"~","~~"),"*","~*"),"?","~?"),'DADOS_RESTRICOES'!$M$2:$Q$54,4,FALSE),0)+IFERROR(VLOOKUP(SUBSTITUTE(SUBSTITUTE(SUBSTITUTE($NC102,"~","~~"),"*","~*"),"?","~?"),'DADOS_RESTRICOES'!$M$2:$Q$54,4,FALSE),0)&gt;1,$OK102&amp;" e "&amp;$OL102&amp;" são as duas de frequência",""),IF(AND((COUNTIF($RK102:$RN102,"Rápido")+COUNTIF($OK102:$OL102,"Rápido"))&gt;0,(COUNTIF($MX102:$NA102,"Atrasar")+COUNTIF($OK102:$OL102,"Atrasar"))&gt;0),"Rápido não entra com Atrasar",""),IF(AND((COUNTIF($RK102:$RN102,"Reação")+COUNTIF($OK102:$OL102,"Reação"))&gt;0,(COUNTIF($RK102:$RN102,"Rápido")+COUNTIF($OK102:$OL102,"Rápido"))&gt;0),"Reação não entra com Rápido",""),IF(AND((COUNTIF($RK102:$RN102,"Reação")+COUNTIF($OK102:$OL102,"Reação"))&gt;0,(COUNTIF($RK102:$RN102,"Armado")+COUNTIF($OK102:$OL102,"Armado"))&gt;0),"Reação não entra com Armado",""),IF(AND((COUNTIF($RK102:$RN102,"Reação")+COUNTIF($OK102:$OL102,"Reação"))&gt;0,(COUNTIF($MX102:$NA102,"Atrasar")+COUNTIF($OK102:$OL102,"Atrasar"))&gt;0),"Reação não entra com Atrasar",""),IF(AND((COUNTIF($RK102:$RN102,"Reação")+COUNTIF($OK102:$OL102,"Reação"))&gt;0,(COUNTIF($MX102:$NA102,"Parado")+COUNTIF($OK102:$OL102,"Parado"))&gt;0),"Reação não entra com Parado",""),IF(AND((COUNTIF($MX102:$NA102,"Atrasar")+COUNTIF($OK102:$OL102,"Atrasar"))&gt;0,(COUNTIF($MX102:$NA102,"Parado")+COUNTIF($OK102:$OL102,"Parado"))&gt;0),"Atrasar não entra com Parado",""),IF(AND((COUNTIF($RK102:$RN102,"Armado")+COUNTIF($OK102:$OL102,"Armado"))&gt;0,(COUNTIF($MX102:$NA102,"Carregar")+COUNTIF($OK102:$OL102,"Carregar"))&gt;0),"Armado não entra com Carregar",""),IF(AND(COUNTIF($OK102:$OL102,"Corpo a Corpo")&gt;0,$OF102=0,OR($RO102="Cone",$RO102="Linha")),"Corpo a Corpo não entra em "&amp;$MU102,""),IF(AND(COUNTIF($OK102:$OL102,"Corpo a Corpo")&gt;0,$RP102="Corpo a Corpo"),"A Forma "&amp;$MU102&amp;" já traz o Corpo a Corpo",""),IF(AND(COUNTIF($OK102:$OL102,"Tudo ou Nada")&gt;0,$OH102=0),"Tudo ou Nada só entra em habilidade de Teste de Resistência",""),IF(AND(COUNTIF($RK102:$RN102,"Inescapável")&gt;0,OR($OU102&gt;1,$OV102&gt;0)),"Inescapável não aceita outra peça",""),IF(AND($MS102&gt;0,$PD102*IF(COUNTIF($RK102:$RN102,"Remate")&gt;0,1.25,1)+$PE102&gt;4*$MS102),($PD102*IF(COUNTIF($RK102:$RN102,"Remate")&gt;0,1.25,1)+$PE102)&amp;" dados somando repetições"&amp;IF(COUNTIF($RK102:$RN102,"Remate")&gt;0," e o Remate","")&amp;": o teto da Classe "&amp;$MS102&amp;" é "&amp;4*$MS102,""))),IF(AND($MX102&lt;&gt;"",COUNTIF('DADOS_MELHORIAS'!$O$2:$O$113,SUBSTITUTE(SUBSTITUTE(SUBSTITUTE($MX102,"~","~~"),"*","~*"),"?","~?"))=0),"Melhoria não cadastrada ou com erro: "&amp;$MX102,""),IF(AND($MY102&lt;&gt;"",COUNTIF('DADOS_MELHORIAS'!$O$2:$O$113,SUBSTITUTE(SUBSTITUTE(SUBSTITUTE($MY102,"~","~~"),"*","~*"),"?","~?"))=0),"Melhoria não cadastrada ou com erro: "&amp;$MY102,""),IF(AND($MZ102&lt;&gt;"",COUNTIF('DADOS_MELHORIAS'!$O$2:$O$113,SUBSTITUTE(SUBSTITUTE(SUBSTITUTE($MZ102,"~","~~"),"*","~*"),"?","~?"))=0),"Melhoria não cadastrada ou com erro: "&amp;$MZ102,""),IF(AND($NA102&lt;&gt;"",COUNTIF('DADOS_MELHORIAS'!$O$2:$O$113,SUBSTITUTE(SUBSTITUTE(SUBSTITUTE($NA102,"~","~~"),"*","~*"),"?","~?"))=0),"Melhoria não cadastrada ou com erro: "&amp;$NA102,""),IF(AND($NB102&lt;&gt;"",COUNTIF('DADOS_RESTRICOES'!$M$2:$M$54,SUBSTITUTE(SUBSTITUTE(SUBSTITUTE($NB102,"~","~~"),"*","~*"),"?","~?"))=0),"Restrição não cadastrada ou com erro: "&amp;$NB102,""),IF(AND($NC102&lt;&gt;"",COUNTIF('DADOS_RESTRICOES'!$M$2:$M$54,SUBSTITUTE(SUBSTITUTE(SUBSTITUTE($NC102,"~","~~"),"*","~*"),"?","~?"))=0),"Restrição não cadastrada ou com erro: "&amp;$NC102,""))),IF(AND($MU102&lt;&gt;"",COUNTIF('DADOS_FORMAS'!$AH$2:$AH$21,SUBSTITUTE(SUBSTITUTE(SUBSTITUTE($MU102,"~","~~"),"*","~*"),"?","~?"))=0),"Forma não cadastrada ou com erro: "&amp;$MU102,""),IF(AND(IFERROR(INDEX('DADOS_FORMAS'!$AS$2:$AS$21,MATCH(SUBSTITUTE(SUBSTITUTE(SUBSTITUTE($MU102,"~","~~"),"*","~*"),"?","~?"),'DADOS_FORMAS'!$AH$2:$AH$21,0)),"")&lt;&gt;"",OR(IFERROR(VLOOKUP(SUBSTITUTE(SUBSTITUTE(SUBSTITUTE(IFERROR(INDEX('DADOS_FORMAS'!$AS$2:$AS$21,MATCH(SUBSTITUTE(SUBSTITUTE(SUBSTITUTE($MU102,"~","~~"),"*","~*"),"?","~?"),'DADOS_FORMAS'!$AH$2:$AH$21,0)),""),"~","~~"),"*","~*"),"?","~?"),'DADOS_RESTRICOES'!$M$2:$Q$54,2,FALSE),"")=$OK102,IFERROR(VLOOKUP(SUBSTITUTE(SUBSTITUTE(SUBSTITUTE(IFERROR(INDEX('DADOS_FORMAS'!$AS$2:$AS$21,MATCH(SUBSTITUTE(SUBSTITUTE(SUBSTITUTE($MU102,"~","~~"),"*","~*"),"?","~?"),'DADOS_FORMAS'!$AH$2:$AH$21,0)),""),"~","~~"),"*","~*"),"?","~?"),'DADOS_RESTRICOES'!$M$2:$Q$54,2,FALSE),"")=$OL102)),"Restrição repetida, contando a embutida",""),IF(IF(IFERROR(INDEX('DADOS_FORMAS'!$AS$2:$AS$21,MATCH(SUBSTITUTE(SUBSTITUTE(SUBSTITUTE($MU102,"~","~~"),"*","~*"),"?","~?"),'DADOS_FORMAS'!$AH$2:$AH$21,0)),"")="",0,IFERROR(N(VLOOKUP(SUBSTITUTE(SUBSTITUTE(SUBSTITUTE(IFERROR(INDEX('DADOS_FORMAS'!$AS$2:$AS$21,MATCH(SUBSTITUTE(SUBSTITUTE(SUBSTITUTE($MU102,"~","~~"),"*","~*"),"?","~?"),'DADOS_FORMAS'!$AH$2:$AH$21,0)),""),"~","~~"),"*","~*"),"?","~?"),'DADOS_RESTRICOES'!$M$2:$Q$54,4,FALSE)=1),0))+IF($NB102="",0,IFERROR(N(VLOOKUP(SUBSTITUTE(SUBSTITUTE(SUBSTITUTE($NB102,"~","~~"),"*","~*"),"?","~?"),'DADOS_RESTRICOES'!$M$2:$Q$54,4,FALSE)=1),0))+IF($NC102="",0,IFERROR(N(VLOOKUP(SUBSTITUTE(SUBSTITUTE(SUBSTITUTE($NC102,"~","~~"),"*","~*"),"?","~?"),'DADOS_RESTRICOES'!$M$2:$Q$54,4,FALSE)=1),0))&gt;1,"Duas Restrições de frequência, contando a embutida",""),IF(AND(IFERROR(VLOOKUP(SUBSTITUTE(SUBSTITUTE(SUBSTITUTE(IFERROR(INDEX('DADOS_FORMAS'!$AS$2:$AS$21,MATCH(SUBSTITUTE(SUBSTITUTE(SUBSTITUTE($MU102,"~","~~"),"*","~*"),"?","~?"),'DADOS_FORMAS'!$AH$2:$AH$21,0)),""),"~","~~"),"*","~*"),"?","~?"),'DADOS_RESTRICOES'!$M$2:$Q$54,2,FALSE),"")="Tudo ou Nada",$OH102=0),"Tudo ou Nada exige TR",""),IF(AND(IFERROR(VLOOKUP(SUBSTITUTE(SUBSTITUTE(SUBSTITUTE(IFERROR(INDEX('DADOS_FORMAS'!$AS$2:$AS$21,MATCH(SUBSTITUTE(SUBSTITUTE(SUBSTITUTE($MU102,"~","~~"),"*","~*"),"?","~?"),'DADOS_FORMAS'!$AH$2:$AH$21,0)),""),"~","~~"),"*","~*"),"?","~?"),'DADOS_RESTRICOES'!$M$2:$Q$54,2,FALSE),"")="Corpo a Corpo",OR($RO102="Cone",$RO102="Linha")),"Corpo a Corpo não entra em Cone/Linha","")))</f>
        <v/>
      </c>
      <c r="PU102" s="164">
        <f>IF($PT102="",0,(LEN($PT102)-LEN(SUBSTITUTE($PT102," · ","")))/3+1)</f>
        <v/>
      </c>
      <c r="PV102" s="164">
        <f>IF($ND102=0,"",TEXTJOIN(" · ",TRUE,IF($OX102&gt;2*$MS102,"A devolução parou no teto de "&amp;2*$MS102,""),IF($PA102&gt;0,"Devolução perdida: "&amp;$PA102&amp;IF($PA102&gt;1," pontos"," ponto")&amp;" sem Melhoria para pagar",""),IF(AND($OC102&gt;0,AND($MS102&gt;0,$OG102=0),$PD102=0),"Controle sem dano: uma rodada a mais e CD +2",""),IF(AND($OC102&gt;0,AND($MS102&gt;0,$OG102=0),$PD102&gt;0,$PD102&lt;=$MS102),"Controle com saldo até a Classe: uma rodada a mais",""),IF(AND($MS102&gt;0,$OE102&lt;&gt;""),"Efeito de "&amp;$OE102&amp;" pela Classe "&amp;MAX(1,$MS102-1),"")))</f>
        <v/>
      </c>
      <c r="PW102" s="164">
        <f>IF($PV102="",0,(LEN($PV102)-LEN(SUBSTITUTE($PV102," · ","")))/3+1)</f>
        <v/>
      </c>
      <c r="PX102" s="164">
        <f>IF($ND102=0,IF($OU102+COUNTIF($NB102:$NC102,"?*")&gt;0,"Dê um nome",""),IF($PU102&gt;0,"⚠ "&amp;$PU102&amp;IF($PU102&gt;1," erros"," erro"),IF($PW102&gt;0,"! "&amp;$PW102&amp;IF($PW102&gt;1," avisos"," aviso"),"Na regra")))</f>
        <v/>
      </c>
      <c r="PY102" s="164">
        <f>IF($ND102=0,"",IF($PU102+$PW102=0,"Dentro das regras que a ficha confere",$PT102&amp;IF(AND($PU102&gt;0,$PW102&gt;0)," · ","")&amp;$PV102))</f>
        <v/>
      </c>
      <c r="PZ102" s="164">
        <f>IF($MQ102&gt;$NE102,$MR102&amp;" · ABRE NO NÍVEL "&amp;$MQ102,$MR102)</f>
        <v/>
      </c>
      <c r="QA102" s="164">
        <f>IF($ND102=0,"",IF($MS102=0,"Sem PE",3*$MS102&amp;" PE"))</f>
        <v/>
      </c>
      <c r="QB102" s="164">
        <f>IF($ND102=0,"",IF($MS102=0,"A atuação básica dela",IF(COUNTIF($RQ102:$RS102,"Atrasar")&gt;0,"Sua Ação Completa",IF(COUNTIF($RK102:$RN102,"Rápido")&gt;0,"Sua Bônus",IF(COUNTIF($RK102:$RN102,"Reação")&gt;0,"Sua Reação","Sua Padrão")))&amp;" + a básica dela"&amp;IF(COUNTIF($RK102:$RN102,"Reação")&gt;0," e a coletiva","")&amp;IF(COUNTIF($RQ102:$RS102,"Carregar")&gt;0," · em dois turnos","")))</f>
        <v/>
      </c>
      <c r="QC102" s="164">
        <f>IF($MW102&lt;&gt;"",$MW102,IF($NJ102=0,"",INDEX('DADOS_FORMAS'!$GE$2:$GE$21,$NJ102)))</f>
        <v/>
      </c>
      <c r="QD102" s="164">
        <f>IF(OR($ND102=0,$NJ102=0),"",IF(COUNTIF($RK102:$RN102,"Inescapável")&gt;0,"Automático",IF($QC102="Ataque",IF($NH102="","Ataque","Ataque "&amp;IF(($NH102+2*IF(COUNTIF($RK102:$RN102,"Precisão")&gt;0,1,0))&gt;=0,"+","−")&amp;ABS(($NH102+2*IF(COUNTIF($RK102:$RN102,"Precisão")&gt;0,1,0))))&amp;IF($OD102&gt;0," · TR"&amp;IF($NI102="",""," CD "&amp;$NI102),""),IF(LEFT($QC102,2)="TR",$QC102&amp;IF($NI102="",""," · CD "&amp;$NI102)&amp;IF(COUNTIF($RK102:$RN102,"Certeiro")&gt;0," · metade",""),"Sem rolagem"))))</f>
        <v/>
      </c>
      <c r="QE102" s="164">
        <f>IF(OR($ND102=0,$NJ102=0),"",IF($MS102=0,IF(OR($OG102&gt;=1,$PD102=0),"Sem dano",$PD102&amp;"d6"&amp;IF($MV102="",""," "&amp;$MV102)),IF(OR($OG102&gt;=1,$PD102=0),UPPER(LEFT(INDEX($PM102:$PS102,1,MAX(1,$MS102)),1))&amp;MID(INDEX($PM102:$PS102,1,MAX(1,$MS102)),2,99),UPPER(LEFT(INDEX($PM102:$PS102,1,MAX(1,$MS102)),1))&amp;MID(INDEX($PM102:$PS102,1,MAX(1,$MS102)),2,99)&amp;IF($MV102="",""," "&amp;$MV102)&amp;IF($PE102&gt;0," · +"&amp;$PE102&amp;"d8",""))))</f>
        <v/>
      </c>
      <c r="QF102" s="164">
        <f>COUNTIF($RK102:$RN102,"Longe")+3*COUNTIF($RK102:$RN102,"Muito Longe")</f>
        <v/>
      </c>
      <c r="QG102" s="164">
        <f>COUNTIF($RK102:$RN102,"Maior")+3*COUNTIF($RK102:$RN102,"Muito Maior")</f>
        <v/>
      </c>
      <c r="QH102" s="164">
        <f>IF($NJ102=0,0,CHOOSE(1+INDEX('DADOS_FORMAS'!$GG$2:$GG$21,$NJ102),0,$QF102,$QG102,$QF102+$QG102))</f>
        <v/>
      </c>
      <c r="QI102" s="164">
        <f>IF($NJ102=0,0,CHOOSE(1+INDEX('DADOS_FORMAS'!$GH$2:$GH$21,$NJ102),0,$QF102,$QG102,$QF102+$QG102))</f>
        <v/>
      </c>
      <c r="QJ102" s="164">
        <f>IF(OR($ND102=0,$NJ102=0),"",INDEX('DADOS_FORMAS'!$HU$2:$HZ$81,($NJ102-1)*4+IF($MS102=0,1,IF($MS102&lt;=5,2,IF($MS102=6,3,4))),1+MIN(5,$QH102))&amp;INDEX('DADOS_FORMAS'!$IA$2:$IF$81,($NJ102-1)*4+IF($MS102=0,1,IF($MS102&lt;=5,2,IF($MS102=6,3,4))),1+MIN(5,$QI102))&amp;IF(INDEX('DADOS_FORMAS'!$GI$2:$GI$21,$NJ102)=1,IF(COUNTIF($RK102:$RN102,"Mais Um")&gt;0," · +"&amp;COUNTIF($RK102:$RN102,"Mais Um")&amp;IF(COUNTIF($RK102:$RN102,"Mais Um")&gt;1," alvos"," alvo"),"")&amp;IF(COUNTIF($RK102:$RN102,"Rajada")&gt;0,IF($MS102=0," · 1 tiro"," · "&amp;(MAX(1,$MS102-1)+1)&amp;" tiros"),""),""))</f>
        <v/>
      </c>
      <c r="QK102" s="164">
        <f>IF($ND102=0,"",IF($MS102=0,$NG102&amp;"d6"&amp;IF($OU102&gt;0," − 1 = "&amp;$PD102&amp;"d6"," da básica do nível "&amp;$NE102),$PB102&amp;" − "&amp;$OW102&amp;" + "&amp;$OZ102&amp;" = "&amp;$PC102&amp;" · teto "&amp;4*$MS102&amp;"d8"&amp;IF($OF102=1," · a Forma devolve "&amp;$MS102,"")&amp;IF($PA102&gt;0," · perde "&amp;$PA102,"")))</f>
        <v/>
      </c>
      <c r="QL102" s="164">
        <f>IF($ND102=0,"",IF($MS102=0,"A básica não amplia: os dados dela sobem com o nível",IF($MS102&gt;=$NF102,"Já está na maior Classe que o nível liberou",TEXTJOIN(" · ",TRUE,IF(AND(2&gt;$MS102,2&lt;=$NF102),"2 → "&amp;$PN102&amp;", 6 PE",""),IF(AND(3&gt;$MS102,3&lt;=$NF102),"3 → "&amp;$PO102&amp;", 9 PE",""),IF(AND(4&gt;$MS102,4&lt;=$NF102),"4 → "&amp;$PP102&amp;", 12 PE",""),IF(AND(5&gt;$MS102,5&lt;=$NF102),"5 → "&amp;$PQ102&amp;", 15 PE",""),IF(AND(6&gt;$MS102,6&lt;=$NF102),"6 → "&amp;$PR102&amp;", 18 PE",""),IF(AND(7&gt;$MS102,7&lt;=$NF102),"7 → "&amp;$PS102&amp;", 21 PE","")))))</f>
        <v/>
      </c>
      <c r="QM102" s="164">
        <f>IF(OR($ND102=0,$NO102=0),"",IF($MS102=0,"−1 dado","−"&amp;INDEX($I$2:$N$8,MAX(1,$MS102),MAX(1,$NT102))&amp;" · "&amp;CHOOSE(MAX(1,$NT102),"Leve","Média","Pesada","Leve · Livre","Média · Livre","Pesada · Livre")))</f>
        <v/>
      </c>
      <c r="QN102" s="164">
        <f>IF(OR($ND102=0,$NP102=0),"",IF($MS102=0,"−1 dado","−"&amp;INDEX($I$2:$N$8,MAX(1,$MS102),MAX(1,$NU102))&amp;" · "&amp;CHOOSE(MAX(1,$NU102),"Leve","Média","Pesada","Leve · Livre","Média · Livre","Pesada · Livre")))</f>
        <v/>
      </c>
      <c r="QO102" s="164">
        <f>IF(OR($ND102=0,$NQ102=0),"",IF($MS102=0,"−1 dado","−"&amp;INDEX($I$2:$N$8,MAX(1,$MS102),MAX(1,$NV102))&amp;" · "&amp;CHOOSE(MAX(1,$NV102),"Leve","Média","Pesada","Leve · Livre","Média · Livre","Pesada · Livre")))</f>
        <v/>
      </c>
      <c r="QP102" s="164">
        <f>IF(OR($ND102=0,$NR102=0),"",IF($MS102=0,"−1 dado","−"&amp;INDEX($I$2:$N$8,MAX(1,$MS102),MAX(1,$NW102))&amp;" · "&amp;CHOOSE(MAX(1,$NW102),"Leve","Média","Pesada","Leve · Livre","Média · Livre","Pesada · Livre")))</f>
        <v/>
      </c>
      <c r="QQ102" s="164">
        <f>IF(OR($ND102=0,$NB102=""),"",IF($MS102=0,"não devolve","+"&amp;IF($OI102=1,CEILING($MS102/2,1),$MS102)))</f>
        <v/>
      </c>
      <c r="QR102" s="164">
        <f>IF(OR($ND102=0,$NC102=""),"",IF($MS102=0,"não devolve","+"&amp;IF($OJ102=1,CEILING($MS102/2,1),$MS102)))</f>
        <v/>
      </c>
      <c r="RK102">
        <f>IF($MX102="","",IFERROR(VLOOKUP(SUBSTITUTE(SUBSTITUTE(SUBSTITUTE($MX102,"~","~~"),"*","~*"),"?","~?"),'DADOS_MELHORIAS'!$O$2:$X$113,10,FALSE),$MX102))</f>
        <v/>
      </c>
      <c r="RL102">
        <f>IF($MY102="","",IFERROR(VLOOKUP(SUBSTITUTE(SUBSTITUTE(SUBSTITUTE($MY102,"~","~~"),"*","~*"),"?","~?"),'DADOS_MELHORIAS'!$O$2:$X$113,10,FALSE),$MY102))</f>
        <v/>
      </c>
      <c r="RM102">
        <f>IF($MZ102="","",IFERROR(VLOOKUP(SUBSTITUTE(SUBSTITUTE(SUBSTITUTE($MZ102,"~","~~"),"*","~*"),"?","~?"),'DADOS_MELHORIAS'!$O$2:$X$113,10,FALSE),$MZ102))</f>
        <v/>
      </c>
      <c r="RN102">
        <f>IF($NA102="","",IFERROR(VLOOKUP(SUBSTITUTE(SUBSTITUTE(SUBSTITUTE($NA102,"~","~~"),"*","~*"),"?","~?"),'DADOS_MELHORIAS'!$O$2:$X$113,10,FALSE),$NA102))</f>
        <v/>
      </c>
      <c r="RO102">
        <f>IFERROR(INDEX('DADOS_FORMAS'!$BJ$2:$BJ$21,MATCH(SUBSTITUTE(SUBSTITUTE(SUBSTITUTE($MU102,"~","~~"),"*","~*"),"?","~?"),'DADOS_FORMAS'!$AH$2:$AH$21,0)),"")</f>
        <v/>
      </c>
      <c r="RP102">
        <f>IFERROR(VLOOKUP(SUBSTITUTE(SUBSTITUTE(SUBSTITUTE(IFERROR(INDEX('DADOS_FORMAS'!$AS$2:$AS$21,MATCH(SUBSTITUTE(SUBSTITUTE(SUBSTITUTE($MU102,"~","~~"),"*","~*"),"?","~?"),'DADOS_FORMAS'!$AH$2:$AH$21,0)),""),"~","~~"),"*","~*"),"?","~?"),'DADOS_RESTRICOES'!$M$2:$Q$54,2,FALSE),"")</f>
        <v/>
      </c>
      <c r="RQ102">
        <f>$OK102</f>
        <v/>
      </c>
      <c r="RR102">
        <f>$OL102</f>
        <v/>
      </c>
      <c r="RS102">
        <f>$RP102</f>
        <v/>
      </c>
    </row>
    <row r="103">
      <c r="MN103" s="162" t="inlineStr">
        <is>
          <t>Ficha 8 · Escolha da trilha 1</t>
        </is>
      </c>
      <c r="MO103" s="164" t="n">
        <v>8</v>
      </c>
      <c r="MP103" s="164" t="n">
        <v>2</v>
      </c>
      <c r="MQ103" s="164" t="n">
        <v>0</v>
      </c>
      <c r="MR103" s="162" t="inlineStr">
        <is>
          <t>ESCOLHA DA TRILHA 1</t>
        </is>
      </c>
      <c r="MS103" s="164">
        <f>MAX(0,MIN(7,N('INVOCAÇÕES'!$AB$384)))</f>
        <v/>
      </c>
      <c r="MT103" s="164">
        <f>'INVOCAÇÕES'!$AC$384&amp;""</f>
        <v/>
      </c>
      <c r="MU103" s="164">
        <f>'INVOCAÇÕES'!$AB$389&amp;""</f>
        <v/>
      </c>
      <c r="MV103" s="164">
        <f>'INVOCAÇÕES'!$AB$390&amp;""</f>
        <v/>
      </c>
      <c r="MW103" s="164">
        <f>'INVOCAÇÕES'!$AD$390&amp;""</f>
        <v/>
      </c>
      <c r="MX103" s="164">
        <f>'INVOCAÇÕES'!$AC$393&amp;""</f>
        <v/>
      </c>
      <c r="MY103" s="164">
        <f>'INVOCAÇÕES'!$AC$394&amp;""</f>
        <v/>
      </c>
      <c r="MZ103" s="164">
        <f>'INVOCAÇÕES'!$AC$395&amp;""</f>
        <v/>
      </c>
      <c r="NA103" s="164">
        <f>'INVOCAÇÕES'!$AC$396&amp;""</f>
        <v/>
      </c>
      <c r="NB103" s="164">
        <f>'INVOCAÇÕES'!$AC$397&amp;""</f>
        <v/>
      </c>
      <c r="NC103" s="164">
        <f>'INVOCAÇÕES'!$AC$398&amp;""</f>
        <v/>
      </c>
      <c r="ND103" s="164">
        <f>IF($MT103&lt;&gt;"",1,0)</f>
        <v/>
      </c>
      <c r="NE103" s="164">
        <f>INDEX($FO$2:$FO$13,$MO103)</f>
        <v/>
      </c>
      <c r="NF103" s="164">
        <f>INDEX($FP$2:$FP$13,$MO103)</f>
        <v/>
      </c>
      <c r="NG103" s="164">
        <f>INDEX($FQ$2:$FQ$13,$MO103)</f>
        <v/>
      </c>
      <c r="NH103" s="164">
        <f>INDEX($GB$2:$GB$13,$MO103)</f>
        <v/>
      </c>
      <c r="NI103" s="164">
        <f>INDEX($GC$2:$GC$13,$MO103)</f>
        <v/>
      </c>
      <c r="NJ103" s="164">
        <f>IFERROR(MATCH(SUBSTITUTE(SUBSTITUTE(SUBSTITUTE($MU103,"~","~~"),"*","~*"),"?","~?"),'DADOS_FORMAS'!$FZ$2:$FZ$21,0),0)</f>
        <v/>
      </c>
      <c r="NK103" s="164">
        <f>IFERROR(VLOOKUP(SUBSTITUTE(SUBSTITUTE(SUBSTITUTE($MX103,"~","~~"),"*","~*"),"?","~?"),'DADOS_MELHORIAS'!$AG$2:$AL$113,2,FALSE),"")</f>
        <v/>
      </c>
      <c r="NL103" s="164">
        <f>IFERROR(VLOOKUP(SUBSTITUTE(SUBSTITUTE(SUBSTITUTE($MY103,"~","~~"),"*","~*"),"?","~?"),'DADOS_MELHORIAS'!$AG$2:$AL$113,2,FALSE),"")</f>
        <v/>
      </c>
      <c r="NM103" s="164">
        <f>IFERROR(VLOOKUP(SUBSTITUTE(SUBSTITUTE(SUBSTITUTE($MZ103,"~","~~"),"*","~*"),"?","~?"),'DADOS_MELHORIAS'!$AG$2:$AL$113,2,FALSE),"")</f>
        <v/>
      </c>
      <c r="NN103" s="164">
        <f>IFERROR(VLOOKUP(SUBSTITUTE(SUBSTITUTE(SUBSTITUTE($NA103,"~","~~"),"*","~*"),"?","~?"),'DADOS_MELHORIAS'!$AG$2:$AL$113,2,FALSE),"")</f>
        <v/>
      </c>
      <c r="NO103" s="164">
        <f>IFERROR(VLOOKUP(SUBSTITUTE(SUBSTITUTE(SUBSTITUTE($MX103,"~","~~"),"*","~*"),"?","~?"),'DADOS_MELHORIAS'!$AG$2:$AL$113,3,FALSE),0)</f>
        <v/>
      </c>
      <c r="NP103" s="164">
        <f>IFERROR(VLOOKUP(SUBSTITUTE(SUBSTITUTE(SUBSTITUTE($MY103,"~","~~"),"*","~*"),"?","~?"),'DADOS_MELHORIAS'!$AG$2:$AL$113,3,FALSE),0)</f>
        <v/>
      </c>
      <c r="NQ103" s="164">
        <f>IFERROR(VLOOKUP(SUBSTITUTE(SUBSTITUTE(SUBSTITUTE($MZ103,"~","~~"),"*","~*"),"?","~?"),'DADOS_MELHORIAS'!$AG$2:$AL$113,3,FALSE),0)</f>
        <v/>
      </c>
      <c r="NR103" s="164">
        <f>IFERROR(VLOOKUP(SUBSTITUTE(SUBSTITUTE(SUBSTITUTE($NA103,"~","~~"),"*","~*"),"?","~?"),'DADOS_MELHORIAS'!$AG$2:$AL$113,3,FALSE),0)</f>
        <v/>
      </c>
      <c r="NS103" s="164">
        <f>IF($MS103=0,0,IF($NJ103=0,0,INDEX('DADOS_FORMAS'!$GB$2:$GB$21,$NJ103)))</f>
        <v/>
      </c>
      <c r="NT103" s="164">
        <f>IF(OR($NO103=0,$MS103=0),0,$NO103+3*IF(AND($NK103&lt;&gt;"",COUNTIF(INDEX($RB$2:$RJ$13,$MO103,0),$NK103)&gt;0),1,0))</f>
        <v/>
      </c>
      <c r="NU103" s="164">
        <f>IF(OR($NP103=0,$MS103=0),0,$NP103+3*IF(AND($NL103&lt;&gt;"",COUNTIF(INDEX($RB$2:$RJ$13,$MO103,0),$NL103)&gt;0),1,0))</f>
        <v/>
      </c>
      <c r="NV103" s="164">
        <f>IF(OR($NQ103=0,$MS103=0),0,$NQ103+3*IF(AND($NM103&lt;&gt;"",COUNTIF(INDEX($RB$2:$RJ$13,$MO103,0),$NM103)&gt;0),1,0))</f>
        <v/>
      </c>
      <c r="NW103" s="164">
        <f>IF(OR($NR103=0,$MS103=0),0,$NR103+3*IF(AND($NN103&lt;&gt;"",COUNTIF(INDEX($RB$2:$RJ$13,$MO103,0),$NN103)&gt;0),1,0))</f>
        <v/>
      </c>
      <c r="NX103" s="164">
        <f>IF($NJ103=0,0,IF(INDEX('DADOS_FORMAS'!$GA$2:$GA$21,$NJ103)="",0,IF((COUNTIF(INDEX($EL$2:$EP$13,$MO103,0),INDEX('DADOS_FORMAS'!$GA$2:$GA$21,$NJ103))+COUNTIF(INDEX($QV$2:$QY$13,$MO103,0),INDEX('DADOS_FORMAS'!$GA$2:$GA$21,$NJ103)))=0,1,0)))</f>
        <v/>
      </c>
      <c r="NY103" s="164">
        <f>IF(OR($NO103=0,$NK103=""),0,IF((COUNTIF(INDEX($EL$2:$EP$13,$MO103,0),$NK103)+COUNTIF(INDEX($QV$2:$QY$13,$MO103,0),$NK103))=0,1,0))</f>
        <v/>
      </c>
      <c r="NZ103" s="164">
        <f>IF(OR($NP103=0,$NL103=""),0,IF((COUNTIF(INDEX($EL$2:$EP$13,$MO103,0),$NL103)+COUNTIF(INDEX($QV$2:$QY$13,$MO103,0),$NL103))=0,1,0))</f>
        <v/>
      </c>
      <c r="OA103" s="164">
        <f>IF(OR($NQ103=0,$NM103=""),0,IF((COUNTIF(INDEX($EL$2:$EP$13,$MO103,0),$NM103)+COUNTIF(INDEX($QV$2:$QY$13,$MO103,0),$NM103))=0,1,0))</f>
        <v/>
      </c>
      <c r="OB103" s="164">
        <f>IF(OR($NR103=0,$NN103=""),0,IF((COUNTIF(INDEX($EL$2:$EP$13,$MO103,0),$NN103)+COUNTIF(INDEX($QV$2:$QY$13,$MO103,0),$NN103))=0,1,0))</f>
        <v/>
      </c>
      <c r="OC103" s="164">
        <f>IFERROR(VLOOKUP(SUBSTITUTE(SUBSTITUTE(SUBSTITUTE($MX103,"~","~~"),"*","~*"),"?","~?"),'DADOS_MELHORIAS'!$AG$2:$AL$113,4,FALSE),0)+IFERROR(VLOOKUP(SUBSTITUTE(SUBSTITUTE(SUBSTITUTE($MY103,"~","~~"),"*","~*"),"?","~?"),'DADOS_MELHORIAS'!$AG$2:$AL$113,4,FALSE),0)+IFERROR(VLOOKUP(SUBSTITUTE(SUBSTITUTE(SUBSTITUTE($MZ103,"~","~~"),"*","~*"),"?","~?"),'DADOS_MELHORIAS'!$AG$2:$AL$113,4,FALSE),0)+IFERROR(VLOOKUP(SUBSTITUTE(SUBSTITUTE(SUBSTITUTE($NA103,"~","~~"),"*","~*"),"?","~?"),'DADOS_MELHORIAS'!$AG$2:$AL$113,4,FALSE),0)</f>
        <v/>
      </c>
      <c r="OD103" s="164">
        <f>IFERROR(VLOOKUP(SUBSTITUTE(SUBSTITUTE(SUBSTITUTE($MX103,"~","~~"),"*","~*"),"?","~?"),'DADOS_MELHORIAS'!$AG$2:$AL$113,6,FALSE),0)+IFERROR(VLOOKUP(SUBSTITUTE(SUBSTITUTE(SUBSTITUTE($MY103,"~","~~"),"*","~*"),"?","~?"),'DADOS_MELHORIAS'!$AG$2:$AL$113,6,FALSE),0)+IFERROR(VLOOKUP(SUBSTITUTE(SUBSTITUTE(SUBSTITUTE($MZ103,"~","~~"),"*","~*"),"?","~?"),'DADOS_MELHORIAS'!$AG$2:$AL$113,6,FALSE),0)+IFERROR(VLOOKUP(SUBSTITUTE(SUBSTITUTE(SUBSTITUTE($NA103,"~","~~"),"*","~*"),"?","~?"),'DADOS_MELHORIAS'!$AG$2:$AL$113,6,FALSE),0)+IFERROR(N(AND(INDEX('DADOS_FORMAS'!$AO$2:$AO$21,MATCH(SUBSTITUTE(SUBSTITUTE(SUBSTITUTE($MU103,"~","~~"),"*","~*"),"?","~?"),'DADOS_FORMAS'!$AH$2:$AH$21,0))="Acerto",$OH103=1)),0)</f>
        <v/>
      </c>
      <c r="OE103" s="164">
        <f>TEXTJOIN(", ",TRUE,IF(IFERROR(VLOOKUP(SUBSTITUTE(SUBSTITUTE(SUBSTITUTE($MX103,"~","~~"),"*","~*"),"?","~?"),'DADOS_MELHORIAS'!$AG$2:$AL$113,5,FALSE),0)=1,$MX103,""),IF(IFERROR(VLOOKUP(SUBSTITUTE(SUBSTITUTE(SUBSTITUTE($MY103,"~","~~"),"*","~*"),"?","~?"),'DADOS_MELHORIAS'!$AG$2:$AL$113,5,FALSE),0)=1,$MY103,""),IF(IFERROR(VLOOKUP(SUBSTITUTE(SUBSTITUTE(SUBSTITUTE($MZ103,"~","~~"),"*","~*"),"?","~?"),'DADOS_MELHORIAS'!$AG$2:$AL$113,5,FALSE),0)=1,$MZ103,""),IF(IFERROR(VLOOKUP(SUBSTITUTE(SUBSTITUTE(SUBSTITUTE($NA103,"~","~~"),"*","~*"),"?","~?"),'DADOS_MELHORIAS'!$AG$2:$AL$113,5,FALSE),0)=1,$NA103,""))</f>
        <v/>
      </c>
      <c r="OF103" s="164">
        <f>IF($NJ103=0,0,INDEX('DADOS_FORMAS'!$GC$2:$GC$21,$NJ103))</f>
        <v/>
      </c>
      <c r="OG103" s="164">
        <f>IF($NJ103=0,0,INDEX('DADOS_FORMAS'!$GD$2:$GD$21,$NJ103))</f>
        <v/>
      </c>
      <c r="OH103" s="164">
        <f>IF($NJ103=0,0,INDEX('DADOS_FORMAS'!$GF$2:$GF$21,$NJ103))</f>
        <v/>
      </c>
      <c r="OI103" s="164">
        <f>IFERROR(VLOOKUP(SUBSTITUTE(SUBSTITUTE(SUBSTITUTE($NB103,"~","~~"),"*","~*"),"?","~?"),'DADOS_RESTRICOES'!$M$2:$Q$54,3,FALSE),0)</f>
        <v/>
      </c>
      <c r="OJ103" s="164">
        <f>IFERROR(VLOOKUP(SUBSTITUTE(SUBSTITUTE(SUBSTITUTE($NC103,"~","~~"),"*","~*"),"?","~?"),'DADOS_RESTRICOES'!$M$2:$Q$54,3,FALSE),0)</f>
        <v/>
      </c>
      <c r="OK103" s="164">
        <f>IFERROR(VLOOKUP(SUBSTITUTE(SUBSTITUTE(SUBSTITUTE($NB103,"~","~~"),"*","~*"),"?","~?"),'DADOS_RESTRICOES'!$M$2:$Q$54,2,FALSE),"")</f>
        <v/>
      </c>
      <c r="OL103" s="164">
        <f>IFERROR(VLOOKUP(SUBSTITUTE(SUBSTITUTE(SUBSTITUTE($NC103,"~","~~"),"*","~*"),"?","~?"),'DADOS_RESTRICOES'!$M$2:$Q$54,2,FALSE),"")</f>
        <v/>
      </c>
      <c r="OM103" s="164">
        <f>COUNTIF($NS103:$NW103,1)</f>
        <v/>
      </c>
      <c r="ON103" s="164">
        <f>COUNTIF($NS103:$NW103,2)</f>
        <v/>
      </c>
      <c r="OO103" s="164">
        <f>COUNTIF($NS103:$NW103,3)</f>
        <v/>
      </c>
      <c r="OP103" s="164">
        <f>COUNTIF($NS103:$NW103,4)</f>
        <v/>
      </c>
      <c r="OQ103" s="164">
        <f>COUNTIF($NS103:$NW103,5)</f>
        <v/>
      </c>
      <c r="OR103" s="164">
        <f>COUNTIF($NS103:$NW103,6)</f>
        <v/>
      </c>
      <c r="OS103" s="164">
        <f>COUNTIF($OI103:$OJ103,1)+IF(IFERROR(INDEX('DADOS_FORMAS'!$AS$2:$AS$21,MATCH(SUBSTITUTE(SUBSTITUTE(SUBSTITUTE($MU103,"~","~~"),"*","~*"),"?","~?"),'DADOS_FORMAS'!$AH$2:$AH$21,0)),"")="",0,IFERROR(N(VLOOKUP(SUBSTITUTE(SUBSTITUTE(SUBSTITUTE(IFERROR(INDEX('DADOS_FORMAS'!$AS$2:$AS$21,MATCH(SUBSTITUTE(SUBSTITUTE(SUBSTITUTE($MU103,"~","~~"),"*","~*"),"?","~?"),'DADOS_FORMAS'!$AH$2:$AH$21,0)),""),"~","~~"),"*","~*"),"?","~?"),'DADOS_RESTRICOES'!$M$2:$Q$54,3,FALSE)=1),0))</f>
        <v/>
      </c>
      <c r="OT103" s="164">
        <f>COUNTIF($OI103:$OJ103,2)+IF(IFERROR(INDEX('DADOS_FORMAS'!$AS$2:$AS$21,MATCH(SUBSTITUTE(SUBSTITUTE(SUBSTITUTE($MU103,"~","~~"),"*","~*"),"?","~?"),'DADOS_FORMAS'!$AH$2:$AH$21,0)),"")="",0,IFERROR(N(VLOOKUP(SUBSTITUTE(SUBSTITUTE(SUBSTITUTE(IFERROR(INDEX('DADOS_FORMAS'!$AS$2:$AS$21,MATCH(SUBSTITUTE(SUBSTITUTE(SUBSTITUTE($MU103,"~","~~"),"*","~*"),"?","~?"),'DADOS_FORMAS'!$AH$2:$AH$21,0)),""),"~","~~"),"*","~*"),"?","~?"),'DADOS_RESTRICOES'!$M$2:$Q$54,3,FALSE)=2),0))</f>
        <v/>
      </c>
      <c r="OU103" s="164">
        <f>COUNTIF($MX103:$NA103,"?*")</f>
        <v/>
      </c>
      <c r="OV103" s="164">
        <f>COUNTIF($NB103:$NC103,"?*")+$OF103</f>
        <v/>
      </c>
      <c r="OW103" s="164">
        <f>IF($MS103=0,0,SUMPRODUCT($OM103:$OR103,INDEX($I$2:$N$8,MAX(1,$MS103),0)))</f>
        <v/>
      </c>
      <c r="OX103" s="164">
        <f>IF($MS103=0,0,$OS103*CEILING($MS103/2,1)+$OT103*$MS103)</f>
        <v/>
      </c>
      <c r="OY103" s="164">
        <f>MIN(2*$MS103,$OX103)</f>
        <v/>
      </c>
      <c r="OZ103" s="164">
        <f>MIN($OY103,$OW103-IF($NS103=0,0,INDEX($I$2:$N$8,MAX(1,$MS103),$NS103)))</f>
        <v/>
      </c>
      <c r="PA103" s="164">
        <f>$OY103-$OZ103</f>
        <v/>
      </c>
      <c r="PB103" s="164">
        <f>IF($MS103=0,0,INDEX($P$2:$P$8,MAX(1,$MS103)))</f>
        <v/>
      </c>
      <c r="PC103" s="164">
        <f>$PB103-$OW103+$OZ103</f>
        <v/>
      </c>
      <c r="PD103" s="164">
        <f>IF($MS103=0,MAX(0,$NG103-IF(AND($OU103&gt;0,COUNTIF($NB103:$NC103,"?*")=0),1,0)),MAX(0,$PC103))</f>
        <v/>
      </c>
      <c r="PE103" s="164">
        <f>IF($MS103=0,0,(IF(COUNTIF($RK103:$RN103,"Salto")&gt;0,1,0)+IF(COUNTIF($RK103:$RN103,"Queima")&gt;0,1,0)+IF(COUNTIF($RK103:$RN103,"Estilhaço")&gt;0,1,0))*FLOOR($PD103/2,1))</f>
        <v/>
      </c>
      <c r="PF103" s="164">
        <f>MAX(0,2-SUMPRODUCT($OM103:$OR103,$I$2:$N$2)+MIN(2,$OS103*1+$OT103*1,SUMPRODUCT($OM103:$OR103,$I$2:$N$2)-IF($NS103=0,0,INDEX($I$2:$N$2,1,$NS103))))</f>
        <v/>
      </c>
      <c r="PG103" s="164">
        <f>MAX(0,4-SUMPRODUCT($OM103:$OR103,$I$3:$N$3)+MIN(4,$OS103*1+$OT103*2,SUMPRODUCT($OM103:$OR103,$I$3:$N$3)-IF($NS103=0,0,INDEX($I$3:$N$3,1,$NS103))))</f>
        <v/>
      </c>
      <c r="PH103" s="164">
        <f>MAX(0,6-SUMPRODUCT($OM103:$OR103,$I$4:$N$4)+MIN(6,$OS103*2+$OT103*3,SUMPRODUCT($OM103:$OR103,$I$4:$N$4)-IF($NS103=0,0,INDEX($I$4:$N$4,1,$NS103))))</f>
        <v/>
      </c>
      <c r="PI103" s="164">
        <f>MAX(0,9-SUMPRODUCT($OM103:$OR103,$I$5:$N$5)+MIN(8,$OS103*2+$OT103*4,SUMPRODUCT($OM103:$OR103,$I$5:$N$5)-IF($NS103=0,0,INDEX($I$5:$N$5,1,$NS103))))</f>
        <v/>
      </c>
      <c r="PJ103" s="164">
        <f>MAX(0,11-SUMPRODUCT($OM103:$OR103,$I$6:$N$6)+MIN(10,$OS103*3+$OT103*5,SUMPRODUCT($OM103:$OR103,$I$6:$N$6)-IF($NS103=0,0,INDEX($I$6:$N$6,1,$NS103))))</f>
        <v/>
      </c>
      <c r="PK103" s="164">
        <f>MAX(0,13-SUMPRODUCT($OM103:$OR103,$I$7:$N$7)+MIN(12,$OS103*3+$OT103*6,SUMPRODUCT($OM103:$OR103,$I$7:$N$7)-IF($NS103=0,0,INDEX($I$7:$N$7,1,$NS103))))</f>
        <v/>
      </c>
      <c r="PL103" s="164">
        <f>MAX(0,16-SUMPRODUCT($OM103:$OR103,$I$8:$N$8)+MIN(14,$OS103*4+$OT103*7,SUMPRODUCT($OM103:$OR103,$I$8:$N$8)-IF($NS103=0,0,INDEX($I$8:$N$8,1,$NS103))))</f>
        <v/>
      </c>
      <c r="PM103" s="164">
        <f>IF($OG103=2,3*$PF103&amp;" de vida temp.",IF($OG103=3,"sem dano",IF($PF103=0,IF($OG103=1,"sem cura","sem dano"),IF($OG103=1,"cura ","")&amp;$PF103&amp;"d8")))</f>
        <v/>
      </c>
      <c r="PN103" s="164">
        <f>IF($OG103=2,3*$PG103&amp;" de vida temp.",IF($OG103=3,"sem dano",IF($PG103=0,IF($OG103=1,"sem cura","sem dano"),IF($OG103=1,"cura ","")&amp;$PG103&amp;"d8")))</f>
        <v/>
      </c>
      <c r="PO103" s="164">
        <f>IF($OG103=2,3*$PH103&amp;" de vida temp.",IF($OG103=3,"sem dano",IF($PH103=0,IF($OG103=1,"sem cura","sem dano"),IF($OG103=1,"cura ","")&amp;$PH103&amp;"d8")))</f>
        <v/>
      </c>
      <c r="PP103" s="164">
        <f>IF($OG103=2,3*$PI103&amp;" de vida temp.",IF($OG103=3,"sem dano",IF($PI103=0,IF($OG103=1,"sem cura","sem dano"),IF($OG103=1,"cura ","")&amp;$PI103&amp;"d8")))</f>
        <v/>
      </c>
      <c r="PQ103" s="164">
        <f>IF($OG103=2,3*$PJ103&amp;" de vida temp.",IF($OG103=3,"sem dano",IF($PJ103=0,IF($OG103=1,"sem cura","sem dano"),IF($OG103=1,"cura ","")&amp;$PJ103&amp;"d8")))</f>
        <v/>
      </c>
      <c r="PR103" s="164">
        <f>IF($OG103=2,3*$PK103&amp;" de vida temp.",IF($OG103=3,"sem dano",IF($PK103=0,IF($OG103=1,"sem cura","sem dano"),IF($OG103=1,"cura ","")&amp;$PK103&amp;"d8")))</f>
        <v/>
      </c>
      <c r="PS103" s="164">
        <f>IF($OG103=2,3*$PL103&amp;" de vida temp.",IF($OG103=3,"sem dano",IF($PL103=0,IF($OG103=1,"sem cura","sem dano"),IF($OG103=1,"cura ","")&amp;$PL103&amp;"d8")))</f>
        <v/>
      </c>
      <c r="PT103" s="164">
        <f>IF($ND103=0,"",TEXTJOIN(" · ",TRUE,IF($ND103=0,"",TEXTJOIN(" · ",TRUE,IF($ND103=0,"",TEXTJOIN(" · ",TRUE,IF($MQ103&gt;$NE103,"Este lugar abre no nível "&amp;$MQ103,""),IF($MS103&gt;$NF103,"Classe "&amp;$MS103&amp;": o nível "&amp;$NE103&amp;" libera até a "&amp;$NF103,""),IF($NX103=1,"A Forma "&amp;$MU103&amp;" pede "&amp;INDEX('DADOS_FORMAS'!$GA$2:$GA$21,$NJ103)&amp;" aberta",""),IF(AND($MS103=0,$NJ103&gt;0,IF($NJ103=0,0,INDEX('DADOS_FORMAS'!$GJ$2:$GJ$21,$NJ103))=0),$MU103&amp;" não existe na Classe 0",""),IF($NY103=1,"Família Fechada: "&amp;$MX103,""),IF($NZ103=1,"Família Fechada: "&amp;$MY103,""),IF($OA103=1,"Família Fechada: "&amp;$MZ103,""),IF($OB103=1,"Família Fechada: "&amp;$NA103,""),IF(AND($MS103&gt;0,$OU103&gt;INDEX($O$2:$O$8,MAX(1,$MS103))),$OU103&amp;" Melhorias: a Classe "&amp;$MS103&amp;" aceita "&amp;INDEX($O$2:$O$8,MAX(1,$MS103)),""),IF(AND($MS103=0,$OU103&gt;1),"A básica aceita uma Melhoria",""),IF(AND($MS103=0,COUNTIF($NO103:$NR103,"&gt;1")&gt;0),"A básica só aceita Melhoria Leve",""),IF(AND($MS103&gt;0,$OV103&gt;2),$OV103&amp;" Restrições"&amp;IF($OF103=1,", contando a que a Forma "&amp;$MU103&amp;" já traz","")&amp;": o limite é 2",""),IF(AND($MS103=0,COUNTIF($NB103:$NC103,"?*")&gt;1),"A básica aceita uma Restrição Leve",""),IF(AND($MS103=0,COUNTIF($OI103:$OJ103,2)&gt;0),"A básica só aceita Restrição Leve",""),IF(AND($MS103&gt;0,$PC103&lt;0),"Orçamento estourado: faltam "&amp;(-$PC103)&amp;IF($PC103&lt;-1," pontos"," ponto"),""),IF(IFERROR(VLOOKUP(SUBSTITUTE(SUBSTITUTE(SUBSTITUTE($NB103,"~","~~"),"*","~*"),"?","~?"),'DADOS_RESTRICOES'!$M$2:$Q$54,4,FALSE),0)+IFERROR(VLOOKUP(SUBSTITUTE(SUBSTITUTE(SUBSTITUTE($NC103,"~","~~"),"*","~*"),"?","~?"),'DADOS_RESTRICOES'!$M$2:$Q$54,4,FALSE),0)&gt;1,$OK103&amp;" e "&amp;$OL103&amp;" são as duas de frequência",""),IF(AND((COUNTIF($RK103:$RN103,"Rápido")+COUNTIF($OK103:$OL103,"Rápido"))&gt;0,(COUNTIF($MX103:$NA103,"Atrasar")+COUNTIF($OK103:$OL103,"Atrasar"))&gt;0),"Rápido não entra com Atrasar",""),IF(AND((COUNTIF($RK103:$RN103,"Reação")+COUNTIF($OK103:$OL103,"Reação"))&gt;0,(COUNTIF($RK103:$RN103,"Rápido")+COUNTIF($OK103:$OL103,"Rápido"))&gt;0),"Reação não entra com Rápido",""),IF(AND((COUNTIF($RK103:$RN103,"Reação")+COUNTIF($OK103:$OL103,"Reação"))&gt;0,(COUNTIF($RK103:$RN103,"Armado")+COUNTIF($OK103:$OL103,"Armado"))&gt;0),"Reação não entra com Armado",""),IF(AND((COUNTIF($RK103:$RN103,"Reação")+COUNTIF($OK103:$OL103,"Reação"))&gt;0,(COUNTIF($MX103:$NA103,"Atrasar")+COUNTIF($OK103:$OL103,"Atrasar"))&gt;0),"Reação não entra com Atrasar",""),IF(AND((COUNTIF($RK103:$RN103,"Reação")+COUNTIF($OK103:$OL103,"Reação"))&gt;0,(COUNTIF($MX103:$NA103,"Parado")+COUNTIF($OK103:$OL103,"Parado"))&gt;0),"Reação não entra com Parado",""),IF(AND((COUNTIF($MX103:$NA103,"Atrasar")+COUNTIF($OK103:$OL103,"Atrasar"))&gt;0,(COUNTIF($MX103:$NA103,"Parado")+COUNTIF($OK103:$OL103,"Parado"))&gt;0),"Atrasar não entra com Parado",""),IF(AND((COUNTIF($RK103:$RN103,"Armado")+COUNTIF($OK103:$OL103,"Armado"))&gt;0,(COUNTIF($MX103:$NA103,"Carregar")+COUNTIF($OK103:$OL103,"Carregar"))&gt;0),"Armado não entra com Carregar",""),IF(AND(COUNTIF($OK103:$OL103,"Corpo a Corpo")&gt;0,$OF103=0,OR($RO103="Cone",$RO103="Linha")),"Corpo a Corpo não entra em "&amp;$MU103,""),IF(AND(COUNTIF($OK103:$OL103,"Corpo a Corpo")&gt;0,$RP103="Corpo a Corpo"),"A Forma "&amp;$MU103&amp;" já traz o Corpo a Corpo",""),IF(AND(COUNTIF($OK103:$OL103,"Tudo ou Nada")&gt;0,$OH103=0),"Tudo ou Nada só entra em habilidade de Teste de Resistência",""),IF(AND(COUNTIF($RK103:$RN103,"Inescapável")&gt;0,OR($OU103&gt;1,$OV103&gt;0)),"Inescapável não aceita outra peça",""),IF(AND($MS103&gt;0,$PD103*IF(COUNTIF($RK103:$RN103,"Remate")&gt;0,1.25,1)+$PE103&gt;4*$MS103),($PD103*IF(COUNTIF($RK103:$RN103,"Remate")&gt;0,1.25,1)+$PE103)&amp;" dados somando repetições"&amp;IF(COUNTIF($RK103:$RN103,"Remate")&gt;0," e o Remate","")&amp;": o teto da Classe "&amp;$MS103&amp;" é "&amp;4*$MS103,""))),IF(AND($MX103&lt;&gt;"",COUNTIF('DADOS_MELHORIAS'!$O$2:$O$113,SUBSTITUTE(SUBSTITUTE(SUBSTITUTE($MX103,"~","~~"),"*","~*"),"?","~?"))=0),"Melhoria não cadastrada ou com erro: "&amp;$MX103,""),IF(AND($MY103&lt;&gt;"",COUNTIF('DADOS_MELHORIAS'!$O$2:$O$113,SUBSTITUTE(SUBSTITUTE(SUBSTITUTE($MY103,"~","~~"),"*","~*"),"?","~?"))=0),"Melhoria não cadastrada ou com erro: "&amp;$MY103,""),IF(AND($MZ103&lt;&gt;"",COUNTIF('DADOS_MELHORIAS'!$O$2:$O$113,SUBSTITUTE(SUBSTITUTE(SUBSTITUTE($MZ103,"~","~~"),"*","~*"),"?","~?"))=0),"Melhoria não cadastrada ou com erro: "&amp;$MZ103,""),IF(AND($NA103&lt;&gt;"",COUNTIF('DADOS_MELHORIAS'!$O$2:$O$113,SUBSTITUTE(SUBSTITUTE(SUBSTITUTE($NA103,"~","~~"),"*","~*"),"?","~?"))=0),"Melhoria não cadastrada ou com erro: "&amp;$NA103,""),IF(AND($NB103&lt;&gt;"",COUNTIF('DADOS_RESTRICOES'!$M$2:$M$54,SUBSTITUTE(SUBSTITUTE(SUBSTITUTE($NB103,"~","~~"),"*","~*"),"?","~?"))=0),"Restrição não cadastrada ou com erro: "&amp;$NB103,""),IF(AND($NC103&lt;&gt;"",COUNTIF('DADOS_RESTRICOES'!$M$2:$M$54,SUBSTITUTE(SUBSTITUTE(SUBSTITUTE($NC103,"~","~~"),"*","~*"),"?","~?"))=0),"Restrição não cadastrada ou com erro: "&amp;$NC103,""))),IF(AND($MU103&lt;&gt;"",COUNTIF('DADOS_FORMAS'!$AH$2:$AH$21,SUBSTITUTE(SUBSTITUTE(SUBSTITUTE($MU103,"~","~~"),"*","~*"),"?","~?"))=0),"Forma não cadastrada ou com erro: "&amp;$MU103,""),IF(AND(IFERROR(INDEX('DADOS_FORMAS'!$AS$2:$AS$21,MATCH(SUBSTITUTE(SUBSTITUTE(SUBSTITUTE($MU103,"~","~~"),"*","~*"),"?","~?"),'DADOS_FORMAS'!$AH$2:$AH$21,0)),"")&lt;&gt;"",OR(IFERROR(VLOOKUP(SUBSTITUTE(SUBSTITUTE(SUBSTITUTE(IFERROR(INDEX('DADOS_FORMAS'!$AS$2:$AS$21,MATCH(SUBSTITUTE(SUBSTITUTE(SUBSTITUTE($MU103,"~","~~"),"*","~*"),"?","~?"),'DADOS_FORMAS'!$AH$2:$AH$21,0)),""),"~","~~"),"*","~*"),"?","~?"),'DADOS_RESTRICOES'!$M$2:$Q$54,2,FALSE),"")=$OK103,IFERROR(VLOOKUP(SUBSTITUTE(SUBSTITUTE(SUBSTITUTE(IFERROR(INDEX('DADOS_FORMAS'!$AS$2:$AS$21,MATCH(SUBSTITUTE(SUBSTITUTE(SUBSTITUTE($MU103,"~","~~"),"*","~*"),"?","~?"),'DADOS_FORMAS'!$AH$2:$AH$21,0)),""),"~","~~"),"*","~*"),"?","~?"),'DADOS_RESTRICOES'!$M$2:$Q$54,2,FALSE),"")=$OL103)),"Restrição repetida, contando a embutida",""),IF(IF(IFERROR(INDEX('DADOS_FORMAS'!$AS$2:$AS$21,MATCH(SUBSTITUTE(SUBSTITUTE(SUBSTITUTE($MU103,"~","~~"),"*","~*"),"?","~?"),'DADOS_FORMAS'!$AH$2:$AH$21,0)),"")="",0,IFERROR(N(VLOOKUP(SUBSTITUTE(SUBSTITUTE(SUBSTITUTE(IFERROR(INDEX('DADOS_FORMAS'!$AS$2:$AS$21,MATCH(SUBSTITUTE(SUBSTITUTE(SUBSTITUTE($MU103,"~","~~"),"*","~*"),"?","~?"),'DADOS_FORMAS'!$AH$2:$AH$21,0)),""),"~","~~"),"*","~*"),"?","~?"),'DADOS_RESTRICOES'!$M$2:$Q$54,4,FALSE)=1),0))+IF($NB103="",0,IFERROR(N(VLOOKUP(SUBSTITUTE(SUBSTITUTE(SUBSTITUTE($NB103,"~","~~"),"*","~*"),"?","~?"),'DADOS_RESTRICOES'!$M$2:$Q$54,4,FALSE)=1),0))+IF($NC103="",0,IFERROR(N(VLOOKUP(SUBSTITUTE(SUBSTITUTE(SUBSTITUTE($NC103,"~","~~"),"*","~*"),"?","~?"),'DADOS_RESTRICOES'!$M$2:$Q$54,4,FALSE)=1),0))&gt;1,"Duas Restrições de frequência, contando a embutida",""),IF(AND(IFERROR(VLOOKUP(SUBSTITUTE(SUBSTITUTE(SUBSTITUTE(IFERROR(INDEX('DADOS_FORMAS'!$AS$2:$AS$21,MATCH(SUBSTITUTE(SUBSTITUTE(SUBSTITUTE($MU103,"~","~~"),"*","~*"),"?","~?"),'DADOS_FORMAS'!$AH$2:$AH$21,0)),""),"~","~~"),"*","~*"),"?","~?"),'DADOS_RESTRICOES'!$M$2:$Q$54,2,FALSE),"")="Tudo ou Nada",$OH103=0),"Tudo ou Nada exige TR",""),IF(AND(IFERROR(VLOOKUP(SUBSTITUTE(SUBSTITUTE(SUBSTITUTE(IFERROR(INDEX('DADOS_FORMAS'!$AS$2:$AS$21,MATCH(SUBSTITUTE(SUBSTITUTE(SUBSTITUTE($MU103,"~","~~"),"*","~*"),"?","~?"),'DADOS_FORMAS'!$AH$2:$AH$21,0)),""),"~","~~"),"*","~*"),"?","~?"),'DADOS_RESTRICOES'!$M$2:$Q$54,2,FALSE),"")="Corpo a Corpo",OR($RO103="Cone",$RO103="Linha")),"Corpo a Corpo não entra em Cone/Linha","")))</f>
        <v/>
      </c>
      <c r="PU103" s="164">
        <f>IF($PT103="",0,(LEN($PT103)-LEN(SUBSTITUTE($PT103," · ","")))/3+1)</f>
        <v/>
      </c>
      <c r="PV103" s="164">
        <f>IF($ND103=0,"",TEXTJOIN(" · ",TRUE,IF($OX103&gt;2*$MS103,"A devolução parou no teto de "&amp;2*$MS103,""),IF($PA103&gt;0,"Devolução perdida: "&amp;$PA103&amp;IF($PA103&gt;1," pontos"," ponto")&amp;" sem Melhoria para pagar",""),IF(AND($OC103&gt;0,AND($MS103&gt;0,$OG103=0),$PD103=0),"Controle sem dano: uma rodada a mais e CD +2",""),IF(AND($OC103&gt;0,AND($MS103&gt;0,$OG103=0),$PD103&gt;0,$PD103&lt;=$MS103),"Controle com saldo até a Classe: uma rodada a mais",""),IF(AND($MS103&gt;0,$OE103&lt;&gt;""),"Efeito de "&amp;$OE103&amp;" pela Classe "&amp;MAX(1,$MS103-1),"")))</f>
        <v/>
      </c>
      <c r="PW103" s="164">
        <f>IF($PV103="",0,(LEN($PV103)-LEN(SUBSTITUTE($PV103," · ","")))/3+1)</f>
        <v/>
      </c>
      <c r="PX103" s="164">
        <f>IF($ND103=0,IF($OU103+COUNTIF($NB103:$NC103,"?*")&gt;0,"Dê um nome",""),IF($PU103&gt;0,"⚠ "&amp;$PU103&amp;IF($PU103&gt;1," erros"," erro"),IF($PW103&gt;0,"! "&amp;$PW103&amp;IF($PW103&gt;1," avisos"," aviso"),"Na regra")))</f>
        <v/>
      </c>
      <c r="PY103" s="164">
        <f>IF($ND103=0,"",IF($PU103+$PW103=0,"Dentro das regras que a ficha confere",$PT103&amp;IF(AND($PU103&gt;0,$PW103&gt;0)," · ","")&amp;$PV103))</f>
        <v/>
      </c>
      <c r="PZ103" s="164">
        <f>IF($MQ103&gt;$NE103,$MR103&amp;" · ABRE NO NÍVEL "&amp;$MQ103,$MR103)</f>
        <v/>
      </c>
      <c r="QA103" s="164">
        <f>IF($ND103=0,"",IF($MS103=0,"Sem PE",3*$MS103&amp;" PE"))</f>
        <v/>
      </c>
      <c r="QB103" s="164">
        <f>IF($ND103=0,"",IF($MS103=0,"A atuação básica dela",IF(COUNTIF($RQ103:$RS103,"Atrasar")&gt;0,"Sua Ação Completa",IF(COUNTIF($RK103:$RN103,"Rápido")&gt;0,"Sua Bônus",IF(COUNTIF($RK103:$RN103,"Reação")&gt;0,"Sua Reação","Sua Padrão")))&amp;" + a básica dela"&amp;IF(COUNTIF($RK103:$RN103,"Reação")&gt;0," e a coletiva","")&amp;IF(COUNTIF($RQ103:$RS103,"Carregar")&gt;0," · em dois turnos","")))</f>
        <v/>
      </c>
      <c r="QC103" s="164">
        <f>IF($MW103&lt;&gt;"",$MW103,IF($NJ103=0,"",INDEX('DADOS_FORMAS'!$GE$2:$GE$21,$NJ103)))</f>
        <v/>
      </c>
      <c r="QD103" s="164">
        <f>IF(OR($ND103=0,$NJ103=0),"",IF(COUNTIF($RK103:$RN103,"Inescapável")&gt;0,"Automático",IF($QC103="Ataque",IF($NH103="","Ataque","Ataque "&amp;IF(($NH103+2*IF(COUNTIF($RK103:$RN103,"Precisão")&gt;0,1,0))&gt;=0,"+","−")&amp;ABS(($NH103+2*IF(COUNTIF($RK103:$RN103,"Precisão")&gt;0,1,0))))&amp;IF($OD103&gt;0," · TR"&amp;IF($NI103="",""," CD "&amp;$NI103),""),IF(LEFT($QC103,2)="TR",$QC103&amp;IF($NI103="",""," · CD "&amp;$NI103)&amp;IF(COUNTIF($RK103:$RN103,"Certeiro")&gt;0," · metade",""),"Sem rolagem"))))</f>
        <v/>
      </c>
      <c r="QE103" s="164">
        <f>IF(OR($ND103=0,$NJ103=0),"",IF($MS103=0,IF(OR($OG103&gt;=1,$PD103=0),"Sem dano",$PD103&amp;"d6"&amp;IF($MV103="",""," "&amp;$MV103)),IF(OR($OG103&gt;=1,$PD103=0),UPPER(LEFT(INDEX($PM103:$PS103,1,MAX(1,$MS103)),1))&amp;MID(INDEX($PM103:$PS103,1,MAX(1,$MS103)),2,99),UPPER(LEFT(INDEX($PM103:$PS103,1,MAX(1,$MS103)),1))&amp;MID(INDEX($PM103:$PS103,1,MAX(1,$MS103)),2,99)&amp;IF($MV103="",""," "&amp;$MV103)&amp;IF($PE103&gt;0," · +"&amp;$PE103&amp;"d8",""))))</f>
        <v/>
      </c>
      <c r="QF103" s="164">
        <f>COUNTIF($RK103:$RN103,"Longe")+3*COUNTIF($RK103:$RN103,"Muito Longe")</f>
        <v/>
      </c>
      <c r="QG103" s="164">
        <f>COUNTIF($RK103:$RN103,"Maior")+3*COUNTIF($RK103:$RN103,"Muito Maior")</f>
        <v/>
      </c>
      <c r="QH103" s="164">
        <f>IF($NJ103=0,0,CHOOSE(1+INDEX('DADOS_FORMAS'!$GG$2:$GG$21,$NJ103),0,$QF103,$QG103,$QF103+$QG103))</f>
        <v/>
      </c>
      <c r="QI103" s="164">
        <f>IF($NJ103=0,0,CHOOSE(1+INDEX('DADOS_FORMAS'!$GH$2:$GH$21,$NJ103),0,$QF103,$QG103,$QF103+$QG103))</f>
        <v/>
      </c>
      <c r="QJ103" s="164">
        <f>IF(OR($ND103=0,$NJ103=0),"",INDEX('DADOS_FORMAS'!$HU$2:$HZ$81,($NJ103-1)*4+IF($MS103=0,1,IF($MS103&lt;=5,2,IF($MS103=6,3,4))),1+MIN(5,$QH103))&amp;INDEX('DADOS_FORMAS'!$IA$2:$IF$81,($NJ103-1)*4+IF($MS103=0,1,IF($MS103&lt;=5,2,IF($MS103=6,3,4))),1+MIN(5,$QI103))&amp;IF(INDEX('DADOS_FORMAS'!$GI$2:$GI$21,$NJ103)=1,IF(COUNTIF($RK103:$RN103,"Mais Um")&gt;0," · +"&amp;COUNTIF($RK103:$RN103,"Mais Um")&amp;IF(COUNTIF($RK103:$RN103,"Mais Um")&gt;1," alvos"," alvo"),"")&amp;IF(COUNTIF($RK103:$RN103,"Rajada")&gt;0,IF($MS103=0," · 1 tiro"," · "&amp;(MAX(1,$MS103-1)+1)&amp;" tiros"),""),""))</f>
        <v/>
      </c>
      <c r="QK103" s="164">
        <f>IF($ND103=0,"",IF($MS103=0,$NG103&amp;"d6"&amp;IF($OU103&gt;0," − 1 = "&amp;$PD103&amp;"d6"," da básica do nível "&amp;$NE103),$PB103&amp;" − "&amp;$OW103&amp;" + "&amp;$OZ103&amp;" = "&amp;$PC103&amp;" · teto "&amp;4*$MS103&amp;"d8"&amp;IF($OF103=1," · a Forma devolve "&amp;$MS103,"")&amp;IF($PA103&gt;0," · perde "&amp;$PA103,"")))</f>
        <v/>
      </c>
      <c r="QL103" s="164">
        <f>IF($ND103=0,"",IF($MS103=0,"A básica não amplia: os dados dela sobem com o nível",IF($MS103&gt;=$NF103,"Já está na maior Classe que o nível liberou",TEXTJOIN(" · ",TRUE,IF(AND(2&gt;$MS103,2&lt;=$NF103),"2 → "&amp;$PN103&amp;", 6 PE",""),IF(AND(3&gt;$MS103,3&lt;=$NF103),"3 → "&amp;$PO103&amp;", 9 PE",""),IF(AND(4&gt;$MS103,4&lt;=$NF103),"4 → "&amp;$PP103&amp;", 12 PE",""),IF(AND(5&gt;$MS103,5&lt;=$NF103),"5 → "&amp;$PQ103&amp;", 15 PE",""),IF(AND(6&gt;$MS103,6&lt;=$NF103),"6 → "&amp;$PR103&amp;", 18 PE",""),IF(AND(7&gt;$MS103,7&lt;=$NF103),"7 → "&amp;$PS103&amp;", 21 PE","")))))</f>
        <v/>
      </c>
      <c r="QM103" s="164">
        <f>IF(OR($ND103=0,$NO103=0),"",IF($MS103=0,"−1 dado","−"&amp;INDEX($I$2:$N$8,MAX(1,$MS103),MAX(1,$NT103))&amp;" · "&amp;CHOOSE(MAX(1,$NT103),"Leve","Média","Pesada","Leve · Livre","Média · Livre","Pesada · Livre")))</f>
        <v/>
      </c>
      <c r="QN103" s="164">
        <f>IF(OR($ND103=0,$NP103=0),"",IF($MS103=0,"−1 dado","−"&amp;INDEX($I$2:$N$8,MAX(1,$MS103),MAX(1,$NU103))&amp;" · "&amp;CHOOSE(MAX(1,$NU103),"Leve","Média","Pesada","Leve · Livre","Média · Livre","Pesada · Livre")))</f>
        <v/>
      </c>
      <c r="QO103" s="164">
        <f>IF(OR($ND103=0,$NQ103=0),"",IF($MS103=0,"−1 dado","−"&amp;INDEX($I$2:$N$8,MAX(1,$MS103),MAX(1,$NV103))&amp;" · "&amp;CHOOSE(MAX(1,$NV103),"Leve","Média","Pesada","Leve · Livre","Média · Livre","Pesada · Livre")))</f>
        <v/>
      </c>
      <c r="QP103" s="164">
        <f>IF(OR($ND103=0,$NR103=0),"",IF($MS103=0,"−1 dado","−"&amp;INDEX($I$2:$N$8,MAX(1,$MS103),MAX(1,$NW103))&amp;" · "&amp;CHOOSE(MAX(1,$NW103),"Leve","Média","Pesada","Leve · Livre","Média · Livre","Pesada · Livre")))</f>
        <v/>
      </c>
      <c r="QQ103" s="164">
        <f>IF(OR($ND103=0,$NB103=""),"",IF($MS103=0,"não devolve","+"&amp;IF($OI103=1,CEILING($MS103/2,1),$MS103)))</f>
        <v/>
      </c>
      <c r="QR103" s="164">
        <f>IF(OR($ND103=0,$NC103=""),"",IF($MS103=0,"não devolve","+"&amp;IF($OJ103=1,CEILING($MS103/2,1),$MS103)))</f>
        <v/>
      </c>
      <c r="RK103">
        <f>IF($MX103="","",IFERROR(VLOOKUP(SUBSTITUTE(SUBSTITUTE(SUBSTITUTE($MX103,"~","~~"),"*","~*"),"?","~?"),'DADOS_MELHORIAS'!$O$2:$X$113,10,FALSE),$MX103))</f>
        <v/>
      </c>
      <c r="RL103">
        <f>IF($MY103="","",IFERROR(VLOOKUP(SUBSTITUTE(SUBSTITUTE(SUBSTITUTE($MY103,"~","~~"),"*","~*"),"?","~?"),'DADOS_MELHORIAS'!$O$2:$X$113,10,FALSE),$MY103))</f>
        <v/>
      </c>
      <c r="RM103">
        <f>IF($MZ103="","",IFERROR(VLOOKUP(SUBSTITUTE(SUBSTITUTE(SUBSTITUTE($MZ103,"~","~~"),"*","~*"),"?","~?"),'DADOS_MELHORIAS'!$O$2:$X$113,10,FALSE),$MZ103))</f>
        <v/>
      </c>
      <c r="RN103">
        <f>IF($NA103="","",IFERROR(VLOOKUP(SUBSTITUTE(SUBSTITUTE(SUBSTITUTE($NA103,"~","~~"),"*","~*"),"?","~?"),'DADOS_MELHORIAS'!$O$2:$X$113,10,FALSE),$NA103))</f>
        <v/>
      </c>
      <c r="RO103">
        <f>IFERROR(INDEX('DADOS_FORMAS'!$BJ$2:$BJ$21,MATCH(SUBSTITUTE(SUBSTITUTE(SUBSTITUTE($MU103,"~","~~"),"*","~*"),"?","~?"),'DADOS_FORMAS'!$AH$2:$AH$21,0)),"")</f>
        <v/>
      </c>
      <c r="RP103">
        <f>IFERROR(VLOOKUP(SUBSTITUTE(SUBSTITUTE(SUBSTITUTE(IFERROR(INDEX('DADOS_FORMAS'!$AS$2:$AS$21,MATCH(SUBSTITUTE(SUBSTITUTE(SUBSTITUTE($MU103,"~","~~"),"*","~*"),"?","~?"),'DADOS_FORMAS'!$AH$2:$AH$21,0)),""),"~","~~"),"*","~*"),"?","~?"),'DADOS_RESTRICOES'!$M$2:$Q$54,2,FALSE),"")</f>
        <v/>
      </c>
      <c r="RQ103">
        <f>$OK103</f>
        <v/>
      </c>
      <c r="RR103">
        <f>$OL103</f>
        <v/>
      </c>
      <c r="RS103">
        <f>$RP103</f>
        <v/>
      </c>
    </row>
    <row r="104">
      <c r="MN104" s="162" t="inlineStr">
        <is>
          <t>Ficha 8 · Escolha da trilha 2</t>
        </is>
      </c>
      <c r="MO104" s="164" t="n">
        <v>8</v>
      </c>
      <c r="MP104" s="164" t="n">
        <v>2</v>
      </c>
      <c r="MQ104" s="164" t="n">
        <v>0</v>
      </c>
      <c r="MR104" s="162" t="inlineStr">
        <is>
          <t>ESCOLHA DA TRILHA 2</t>
        </is>
      </c>
      <c r="MS104" s="164">
        <f>MAX(0,MIN(7,N('INVOCAÇÕES'!$AH$384)))</f>
        <v/>
      </c>
      <c r="MT104" s="164">
        <f>'INVOCAÇÕES'!$AI$384&amp;""</f>
        <v/>
      </c>
      <c r="MU104" s="164">
        <f>'INVOCAÇÕES'!$AH$389&amp;""</f>
        <v/>
      </c>
      <c r="MV104" s="164">
        <f>'INVOCAÇÕES'!$AH$390&amp;""</f>
        <v/>
      </c>
      <c r="MW104" s="164">
        <f>'INVOCAÇÕES'!$AJ$390&amp;""</f>
        <v/>
      </c>
      <c r="MX104" s="164">
        <f>'INVOCAÇÕES'!$AI$393&amp;""</f>
        <v/>
      </c>
      <c r="MY104" s="164">
        <f>'INVOCAÇÕES'!$AI$394&amp;""</f>
        <v/>
      </c>
      <c r="MZ104" s="164">
        <f>'INVOCAÇÕES'!$AI$395&amp;""</f>
        <v/>
      </c>
      <c r="NA104" s="164">
        <f>'INVOCAÇÕES'!$AI$396&amp;""</f>
        <v/>
      </c>
      <c r="NB104" s="164">
        <f>'INVOCAÇÕES'!$AI$397&amp;""</f>
        <v/>
      </c>
      <c r="NC104" s="164">
        <f>'INVOCAÇÕES'!$AI$398&amp;""</f>
        <v/>
      </c>
      <c r="ND104" s="164">
        <f>IF($MT104&lt;&gt;"",1,0)</f>
        <v/>
      </c>
      <c r="NE104" s="164">
        <f>INDEX($FO$2:$FO$13,$MO104)</f>
        <v/>
      </c>
      <c r="NF104" s="164">
        <f>INDEX($FP$2:$FP$13,$MO104)</f>
        <v/>
      </c>
      <c r="NG104" s="164">
        <f>INDEX($FQ$2:$FQ$13,$MO104)</f>
        <v/>
      </c>
      <c r="NH104" s="164">
        <f>INDEX($GB$2:$GB$13,$MO104)</f>
        <v/>
      </c>
      <c r="NI104" s="164">
        <f>INDEX($GC$2:$GC$13,$MO104)</f>
        <v/>
      </c>
      <c r="NJ104" s="164">
        <f>IFERROR(MATCH(SUBSTITUTE(SUBSTITUTE(SUBSTITUTE($MU104,"~","~~"),"*","~*"),"?","~?"),'DADOS_FORMAS'!$FZ$2:$FZ$21,0),0)</f>
        <v/>
      </c>
      <c r="NK104" s="164">
        <f>IFERROR(VLOOKUP(SUBSTITUTE(SUBSTITUTE(SUBSTITUTE($MX104,"~","~~"),"*","~*"),"?","~?"),'DADOS_MELHORIAS'!$AG$2:$AL$113,2,FALSE),"")</f>
        <v/>
      </c>
      <c r="NL104" s="164">
        <f>IFERROR(VLOOKUP(SUBSTITUTE(SUBSTITUTE(SUBSTITUTE($MY104,"~","~~"),"*","~*"),"?","~?"),'DADOS_MELHORIAS'!$AG$2:$AL$113,2,FALSE),"")</f>
        <v/>
      </c>
      <c r="NM104" s="164">
        <f>IFERROR(VLOOKUP(SUBSTITUTE(SUBSTITUTE(SUBSTITUTE($MZ104,"~","~~"),"*","~*"),"?","~?"),'DADOS_MELHORIAS'!$AG$2:$AL$113,2,FALSE),"")</f>
        <v/>
      </c>
      <c r="NN104" s="164">
        <f>IFERROR(VLOOKUP(SUBSTITUTE(SUBSTITUTE(SUBSTITUTE($NA104,"~","~~"),"*","~*"),"?","~?"),'DADOS_MELHORIAS'!$AG$2:$AL$113,2,FALSE),"")</f>
        <v/>
      </c>
      <c r="NO104" s="164">
        <f>IFERROR(VLOOKUP(SUBSTITUTE(SUBSTITUTE(SUBSTITUTE($MX104,"~","~~"),"*","~*"),"?","~?"),'DADOS_MELHORIAS'!$AG$2:$AL$113,3,FALSE),0)</f>
        <v/>
      </c>
      <c r="NP104" s="164">
        <f>IFERROR(VLOOKUP(SUBSTITUTE(SUBSTITUTE(SUBSTITUTE($MY104,"~","~~"),"*","~*"),"?","~?"),'DADOS_MELHORIAS'!$AG$2:$AL$113,3,FALSE),0)</f>
        <v/>
      </c>
      <c r="NQ104" s="164">
        <f>IFERROR(VLOOKUP(SUBSTITUTE(SUBSTITUTE(SUBSTITUTE($MZ104,"~","~~"),"*","~*"),"?","~?"),'DADOS_MELHORIAS'!$AG$2:$AL$113,3,FALSE),0)</f>
        <v/>
      </c>
      <c r="NR104" s="164">
        <f>IFERROR(VLOOKUP(SUBSTITUTE(SUBSTITUTE(SUBSTITUTE($NA104,"~","~~"),"*","~*"),"?","~?"),'DADOS_MELHORIAS'!$AG$2:$AL$113,3,FALSE),0)</f>
        <v/>
      </c>
      <c r="NS104" s="164">
        <f>IF($MS104=0,0,IF($NJ104=0,0,INDEX('DADOS_FORMAS'!$GB$2:$GB$21,$NJ104)))</f>
        <v/>
      </c>
      <c r="NT104" s="164">
        <f>IF(OR($NO104=0,$MS104=0),0,$NO104+3*IF(AND($NK104&lt;&gt;"",COUNTIF(INDEX($RB$2:$RJ$13,$MO104,0),$NK104)&gt;0),1,0))</f>
        <v/>
      </c>
      <c r="NU104" s="164">
        <f>IF(OR($NP104=0,$MS104=0),0,$NP104+3*IF(AND($NL104&lt;&gt;"",COUNTIF(INDEX($RB$2:$RJ$13,$MO104,0),$NL104)&gt;0),1,0))</f>
        <v/>
      </c>
      <c r="NV104" s="164">
        <f>IF(OR($NQ104=0,$MS104=0),0,$NQ104+3*IF(AND($NM104&lt;&gt;"",COUNTIF(INDEX($RB$2:$RJ$13,$MO104,0),$NM104)&gt;0),1,0))</f>
        <v/>
      </c>
      <c r="NW104" s="164">
        <f>IF(OR($NR104=0,$MS104=0),0,$NR104+3*IF(AND($NN104&lt;&gt;"",COUNTIF(INDEX($RB$2:$RJ$13,$MO104,0),$NN104)&gt;0),1,0))</f>
        <v/>
      </c>
      <c r="NX104" s="164">
        <f>IF($NJ104=0,0,IF(INDEX('DADOS_FORMAS'!$GA$2:$GA$21,$NJ104)="",0,IF((COUNTIF(INDEX($EL$2:$EP$13,$MO104,0),INDEX('DADOS_FORMAS'!$GA$2:$GA$21,$NJ104))+COUNTIF(INDEX($QV$2:$QY$13,$MO104,0),INDEX('DADOS_FORMAS'!$GA$2:$GA$21,$NJ104)))=0,1,0)))</f>
        <v/>
      </c>
      <c r="NY104" s="164">
        <f>IF(OR($NO104=0,$NK104=""),0,IF((COUNTIF(INDEX($EL$2:$EP$13,$MO104,0),$NK104)+COUNTIF(INDEX($QV$2:$QY$13,$MO104,0),$NK104))=0,1,0))</f>
        <v/>
      </c>
      <c r="NZ104" s="164">
        <f>IF(OR($NP104=0,$NL104=""),0,IF((COUNTIF(INDEX($EL$2:$EP$13,$MO104,0),$NL104)+COUNTIF(INDEX($QV$2:$QY$13,$MO104,0),$NL104))=0,1,0))</f>
        <v/>
      </c>
      <c r="OA104" s="164">
        <f>IF(OR($NQ104=0,$NM104=""),0,IF((COUNTIF(INDEX($EL$2:$EP$13,$MO104,0),$NM104)+COUNTIF(INDEX($QV$2:$QY$13,$MO104,0),$NM104))=0,1,0))</f>
        <v/>
      </c>
      <c r="OB104" s="164">
        <f>IF(OR($NR104=0,$NN104=""),0,IF((COUNTIF(INDEX($EL$2:$EP$13,$MO104,0),$NN104)+COUNTIF(INDEX($QV$2:$QY$13,$MO104,0),$NN104))=0,1,0))</f>
        <v/>
      </c>
      <c r="OC104" s="164">
        <f>IFERROR(VLOOKUP(SUBSTITUTE(SUBSTITUTE(SUBSTITUTE($MX104,"~","~~"),"*","~*"),"?","~?"),'DADOS_MELHORIAS'!$AG$2:$AL$113,4,FALSE),0)+IFERROR(VLOOKUP(SUBSTITUTE(SUBSTITUTE(SUBSTITUTE($MY104,"~","~~"),"*","~*"),"?","~?"),'DADOS_MELHORIAS'!$AG$2:$AL$113,4,FALSE),0)+IFERROR(VLOOKUP(SUBSTITUTE(SUBSTITUTE(SUBSTITUTE($MZ104,"~","~~"),"*","~*"),"?","~?"),'DADOS_MELHORIAS'!$AG$2:$AL$113,4,FALSE),0)+IFERROR(VLOOKUP(SUBSTITUTE(SUBSTITUTE(SUBSTITUTE($NA104,"~","~~"),"*","~*"),"?","~?"),'DADOS_MELHORIAS'!$AG$2:$AL$113,4,FALSE),0)</f>
        <v/>
      </c>
      <c r="OD104" s="164">
        <f>IFERROR(VLOOKUP(SUBSTITUTE(SUBSTITUTE(SUBSTITUTE($MX104,"~","~~"),"*","~*"),"?","~?"),'DADOS_MELHORIAS'!$AG$2:$AL$113,6,FALSE),0)+IFERROR(VLOOKUP(SUBSTITUTE(SUBSTITUTE(SUBSTITUTE($MY104,"~","~~"),"*","~*"),"?","~?"),'DADOS_MELHORIAS'!$AG$2:$AL$113,6,FALSE),0)+IFERROR(VLOOKUP(SUBSTITUTE(SUBSTITUTE(SUBSTITUTE($MZ104,"~","~~"),"*","~*"),"?","~?"),'DADOS_MELHORIAS'!$AG$2:$AL$113,6,FALSE),0)+IFERROR(VLOOKUP(SUBSTITUTE(SUBSTITUTE(SUBSTITUTE($NA104,"~","~~"),"*","~*"),"?","~?"),'DADOS_MELHORIAS'!$AG$2:$AL$113,6,FALSE),0)+IFERROR(N(AND(INDEX('DADOS_FORMAS'!$AO$2:$AO$21,MATCH(SUBSTITUTE(SUBSTITUTE(SUBSTITUTE($MU104,"~","~~"),"*","~*"),"?","~?"),'DADOS_FORMAS'!$AH$2:$AH$21,0))="Acerto",$OH104=1)),0)</f>
        <v/>
      </c>
      <c r="OE104" s="164">
        <f>TEXTJOIN(", ",TRUE,IF(IFERROR(VLOOKUP(SUBSTITUTE(SUBSTITUTE(SUBSTITUTE($MX104,"~","~~"),"*","~*"),"?","~?"),'DADOS_MELHORIAS'!$AG$2:$AL$113,5,FALSE),0)=1,$MX104,""),IF(IFERROR(VLOOKUP(SUBSTITUTE(SUBSTITUTE(SUBSTITUTE($MY104,"~","~~"),"*","~*"),"?","~?"),'DADOS_MELHORIAS'!$AG$2:$AL$113,5,FALSE),0)=1,$MY104,""),IF(IFERROR(VLOOKUP(SUBSTITUTE(SUBSTITUTE(SUBSTITUTE($MZ104,"~","~~"),"*","~*"),"?","~?"),'DADOS_MELHORIAS'!$AG$2:$AL$113,5,FALSE),0)=1,$MZ104,""),IF(IFERROR(VLOOKUP(SUBSTITUTE(SUBSTITUTE(SUBSTITUTE($NA104,"~","~~"),"*","~*"),"?","~?"),'DADOS_MELHORIAS'!$AG$2:$AL$113,5,FALSE),0)=1,$NA104,""))</f>
        <v/>
      </c>
      <c r="OF104" s="164">
        <f>IF($NJ104=0,0,INDEX('DADOS_FORMAS'!$GC$2:$GC$21,$NJ104))</f>
        <v/>
      </c>
      <c r="OG104" s="164">
        <f>IF($NJ104=0,0,INDEX('DADOS_FORMAS'!$GD$2:$GD$21,$NJ104))</f>
        <v/>
      </c>
      <c r="OH104" s="164">
        <f>IF($NJ104=0,0,INDEX('DADOS_FORMAS'!$GF$2:$GF$21,$NJ104))</f>
        <v/>
      </c>
      <c r="OI104" s="164">
        <f>IFERROR(VLOOKUP(SUBSTITUTE(SUBSTITUTE(SUBSTITUTE($NB104,"~","~~"),"*","~*"),"?","~?"),'DADOS_RESTRICOES'!$M$2:$Q$54,3,FALSE),0)</f>
        <v/>
      </c>
      <c r="OJ104" s="164">
        <f>IFERROR(VLOOKUP(SUBSTITUTE(SUBSTITUTE(SUBSTITUTE($NC104,"~","~~"),"*","~*"),"?","~?"),'DADOS_RESTRICOES'!$M$2:$Q$54,3,FALSE),0)</f>
        <v/>
      </c>
      <c r="OK104" s="164">
        <f>IFERROR(VLOOKUP(SUBSTITUTE(SUBSTITUTE(SUBSTITUTE($NB104,"~","~~"),"*","~*"),"?","~?"),'DADOS_RESTRICOES'!$M$2:$Q$54,2,FALSE),"")</f>
        <v/>
      </c>
      <c r="OL104" s="164">
        <f>IFERROR(VLOOKUP(SUBSTITUTE(SUBSTITUTE(SUBSTITUTE($NC104,"~","~~"),"*","~*"),"?","~?"),'DADOS_RESTRICOES'!$M$2:$Q$54,2,FALSE),"")</f>
        <v/>
      </c>
      <c r="OM104" s="164">
        <f>COUNTIF($NS104:$NW104,1)</f>
        <v/>
      </c>
      <c r="ON104" s="164">
        <f>COUNTIF($NS104:$NW104,2)</f>
        <v/>
      </c>
      <c r="OO104" s="164">
        <f>COUNTIF($NS104:$NW104,3)</f>
        <v/>
      </c>
      <c r="OP104" s="164">
        <f>COUNTIF($NS104:$NW104,4)</f>
        <v/>
      </c>
      <c r="OQ104" s="164">
        <f>COUNTIF($NS104:$NW104,5)</f>
        <v/>
      </c>
      <c r="OR104" s="164">
        <f>COUNTIF($NS104:$NW104,6)</f>
        <v/>
      </c>
      <c r="OS104" s="164">
        <f>COUNTIF($OI104:$OJ104,1)+IF(IFERROR(INDEX('DADOS_FORMAS'!$AS$2:$AS$21,MATCH(SUBSTITUTE(SUBSTITUTE(SUBSTITUTE($MU104,"~","~~"),"*","~*"),"?","~?"),'DADOS_FORMAS'!$AH$2:$AH$21,0)),"")="",0,IFERROR(N(VLOOKUP(SUBSTITUTE(SUBSTITUTE(SUBSTITUTE(IFERROR(INDEX('DADOS_FORMAS'!$AS$2:$AS$21,MATCH(SUBSTITUTE(SUBSTITUTE(SUBSTITUTE($MU104,"~","~~"),"*","~*"),"?","~?"),'DADOS_FORMAS'!$AH$2:$AH$21,0)),""),"~","~~"),"*","~*"),"?","~?"),'DADOS_RESTRICOES'!$M$2:$Q$54,3,FALSE)=1),0))</f>
        <v/>
      </c>
      <c r="OT104" s="164">
        <f>COUNTIF($OI104:$OJ104,2)+IF(IFERROR(INDEX('DADOS_FORMAS'!$AS$2:$AS$21,MATCH(SUBSTITUTE(SUBSTITUTE(SUBSTITUTE($MU104,"~","~~"),"*","~*"),"?","~?"),'DADOS_FORMAS'!$AH$2:$AH$21,0)),"")="",0,IFERROR(N(VLOOKUP(SUBSTITUTE(SUBSTITUTE(SUBSTITUTE(IFERROR(INDEX('DADOS_FORMAS'!$AS$2:$AS$21,MATCH(SUBSTITUTE(SUBSTITUTE(SUBSTITUTE($MU104,"~","~~"),"*","~*"),"?","~?"),'DADOS_FORMAS'!$AH$2:$AH$21,0)),""),"~","~~"),"*","~*"),"?","~?"),'DADOS_RESTRICOES'!$M$2:$Q$54,3,FALSE)=2),0))</f>
        <v/>
      </c>
      <c r="OU104" s="164">
        <f>COUNTIF($MX104:$NA104,"?*")</f>
        <v/>
      </c>
      <c r="OV104" s="164">
        <f>COUNTIF($NB104:$NC104,"?*")+$OF104</f>
        <v/>
      </c>
      <c r="OW104" s="164">
        <f>IF($MS104=0,0,SUMPRODUCT($OM104:$OR104,INDEX($I$2:$N$8,MAX(1,$MS104),0)))</f>
        <v/>
      </c>
      <c r="OX104" s="164">
        <f>IF($MS104=0,0,$OS104*CEILING($MS104/2,1)+$OT104*$MS104)</f>
        <v/>
      </c>
      <c r="OY104" s="164">
        <f>MIN(2*$MS104,$OX104)</f>
        <v/>
      </c>
      <c r="OZ104" s="164">
        <f>MIN($OY104,$OW104-IF($NS104=0,0,INDEX($I$2:$N$8,MAX(1,$MS104),$NS104)))</f>
        <v/>
      </c>
      <c r="PA104" s="164">
        <f>$OY104-$OZ104</f>
        <v/>
      </c>
      <c r="PB104" s="164">
        <f>IF($MS104=0,0,INDEX($P$2:$P$8,MAX(1,$MS104)))</f>
        <v/>
      </c>
      <c r="PC104" s="164">
        <f>$PB104-$OW104+$OZ104</f>
        <v/>
      </c>
      <c r="PD104" s="164">
        <f>IF($MS104=0,MAX(0,$NG104-IF(AND($OU104&gt;0,COUNTIF($NB104:$NC104,"?*")=0),1,0)),MAX(0,$PC104))</f>
        <v/>
      </c>
      <c r="PE104" s="164">
        <f>IF($MS104=0,0,(IF(COUNTIF($RK104:$RN104,"Salto")&gt;0,1,0)+IF(COUNTIF($RK104:$RN104,"Queima")&gt;0,1,0)+IF(COUNTIF($RK104:$RN104,"Estilhaço")&gt;0,1,0))*FLOOR($PD104/2,1))</f>
        <v/>
      </c>
      <c r="PF104" s="164">
        <f>MAX(0,2-SUMPRODUCT($OM104:$OR104,$I$2:$N$2)+MIN(2,$OS104*1+$OT104*1,SUMPRODUCT($OM104:$OR104,$I$2:$N$2)-IF($NS104=0,0,INDEX($I$2:$N$2,1,$NS104))))</f>
        <v/>
      </c>
      <c r="PG104" s="164">
        <f>MAX(0,4-SUMPRODUCT($OM104:$OR104,$I$3:$N$3)+MIN(4,$OS104*1+$OT104*2,SUMPRODUCT($OM104:$OR104,$I$3:$N$3)-IF($NS104=0,0,INDEX($I$3:$N$3,1,$NS104))))</f>
        <v/>
      </c>
      <c r="PH104" s="164">
        <f>MAX(0,6-SUMPRODUCT($OM104:$OR104,$I$4:$N$4)+MIN(6,$OS104*2+$OT104*3,SUMPRODUCT($OM104:$OR104,$I$4:$N$4)-IF($NS104=0,0,INDEX($I$4:$N$4,1,$NS104))))</f>
        <v/>
      </c>
      <c r="PI104" s="164">
        <f>MAX(0,9-SUMPRODUCT($OM104:$OR104,$I$5:$N$5)+MIN(8,$OS104*2+$OT104*4,SUMPRODUCT($OM104:$OR104,$I$5:$N$5)-IF($NS104=0,0,INDEX($I$5:$N$5,1,$NS104))))</f>
        <v/>
      </c>
      <c r="PJ104" s="164">
        <f>MAX(0,11-SUMPRODUCT($OM104:$OR104,$I$6:$N$6)+MIN(10,$OS104*3+$OT104*5,SUMPRODUCT($OM104:$OR104,$I$6:$N$6)-IF($NS104=0,0,INDEX($I$6:$N$6,1,$NS104))))</f>
        <v/>
      </c>
      <c r="PK104" s="164">
        <f>MAX(0,13-SUMPRODUCT($OM104:$OR104,$I$7:$N$7)+MIN(12,$OS104*3+$OT104*6,SUMPRODUCT($OM104:$OR104,$I$7:$N$7)-IF($NS104=0,0,INDEX($I$7:$N$7,1,$NS104))))</f>
        <v/>
      </c>
      <c r="PL104" s="164">
        <f>MAX(0,16-SUMPRODUCT($OM104:$OR104,$I$8:$N$8)+MIN(14,$OS104*4+$OT104*7,SUMPRODUCT($OM104:$OR104,$I$8:$N$8)-IF($NS104=0,0,INDEX($I$8:$N$8,1,$NS104))))</f>
        <v/>
      </c>
      <c r="PM104" s="164">
        <f>IF($OG104=2,3*$PF104&amp;" de vida temp.",IF($OG104=3,"sem dano",IF($PF104=0,IF($OG104=1,"sem cura","sem dano"),IF($OG104=1,"cura ","")&amp;$PF104&amp;"d8")))</f>
        <v/>
      </c>
      <c r="PN104" s="164">
        <f>IF($OG104=2,3*$PG104&amp;" de vida temp.",IF($OG104=3,"sem dano",IF($PG104=0,IF($OG104=1,"sem cura","sem dano"),IF($OG104=1,"cura ","")&amp;$PG104&amp;"d8")))</f>
        <v/>
      </c>
      <c r="PO104" s="164">
        <f>IF($OG104=2,3*$PH104&amp;" de vida temp.",IF($OG104=3,"sem dano",IF($PH104=0,IF($OG104=1,"sem cura","sem dano"),IF($OG104=1,"cura ","")&amp;$PH104&amp;"d8")))</f>
        <v/>
      </c>
      <c r="PP104" s="164">
        <f>IF($OG104=2,3*$PI104&amp;" de vida temp.",IF($OG104=3,"sem dano",IF($PI104=0,IF($OG104=1,"sem cura","sem dano"),IF($OG104=1,"cura ","")&amp;$PI104&amp;"d8")))</f>
        <v/>
      </c>
      <c r="PQ104" s="164">
        <f>IF($OG104=2,3*$PJ104&amp;" de vida temp.",IF($OG104=3,"sem dano",IF($PJ104=0,IF($OG104=1,"sem cura","sem dano"),IF($OG104=1,"cura ","")&amp;$PJ104&amp;"d8")))</f>
        <v/>
      </c>
      <c r="PR104" s="164">
        <f>IF($OG104=2,3*$PK104&amp;" de vida temp.",IF($OG104=3,"sem dano",IF($PK104=0,IF($OG104=1,"sem cura","sem dano"),IF($OG104=1,"cura ","")&amp;$PK104&amp;"d8")))</f>
        <v/>
      </c>
      <c r="PS104" s="164">
        <f>IF($OG104=2,3*$PL104&amp;" de vida temp.",IF($OG104=3,"sem dano",IF($PL104=0,IF($OG104=1,"sem cura","sem dano"),IF($OG104=1,"cura ","")&amp;$PL104&amp;"d8")))</f>
        <v/>
      </c>
      <c r="PT104" s="164">
        <f>IF($ND104=0,"",TEXTJOIN(" · ",TRUE,IF($ND104=0,"",TEXTJOIN(" · ",TRUE,IF($ND104=0,"",TEXTJOIN(" · ",TRUE,IF($MQ104&gt;$NE104,"Este lugar abre no nível "&amp;$MQ104,""),IF($MS104&gt;$NF104,"Classe "&amp;$MS104&amp;": o nível "&amp;$NE104&amp;" libera até a "&amp;$NF104,""),IF($NX104=1,"A Forma "&amp;$MU104&amp;" pede "&amp;INDEX('DADOS_FORMAS'!$GA$2:$GA$21,$NJ104)&amp;" aberta",""),IF(AND($MS104=0,$NJ104&gt;0,IF($NJ104=0,0,INDEX('DADOS_FORMAS'!$GJ$2:$GJ$21,$NJ104))=0),$MU104&amp;" não existe na Classe 0",""),IF($NY104=1,"Família Fechada: "&amp;$MX104,""),IF($NZ104=1,"Família Fechada: "&amp;$MY104,""),IF($OA104=1,"Família Fechada: "&amp;$MZ104,""),IF($OB104=1,"Família Fechada: "&amp;$NA104,""),IF(AND($MS104&gt;0,$OU104&gt;INDEX($O$2:$O$8,MAX(1,$MS104))),$OU104&amp;" Melhorias: a Classe "&amp;$MS104&amp;" aceita "&amp;INDEX($O$2:$O$8,MAX(1,$MS104)),""),IF(AND($MS104=0,$OU104&gt;1),"A básica aceita uma Melhoria",""),IF(AND($MS104=0,COUNTIF($NO104:$NR104,"&gt;1")&gt;0),"A básica só aceita Melhoria Leve",""),IF(AND($MS104&gt;0,$OV104&gt;2),$OV104&amp;" Restrições"&amp;IF($OF104=1,", contando a que a Forma "&amp;$MU104&amp;" já traz","")&amp;": o limite é 2",""),IF(AND($MS104=0,COUNTIF($NB104:$NC104,"?*")&gt;1),"A básica aceita uma Restrição Leve",""),IF(AND($MS104=0,COUNTIF($OI104:$OJ104,2)&gt;0),"A básica só aceita Restrição Leve",""),IF(AND($MS104&gt;0,$PC104&lt;0),"Orçamento estourado: faltam "&amp;(-$PC104)&amp;IF($PC104&lt;-1," pontos"," ponto"),""),IF(IFERROR(VLOOKUP(SUBSTITUTE(SUBSTITUTE(SUBSTITUTE($NB104,"~","~~"),"*","~*"),"?","~?"),'DADOS_RESTRICOES'!$M$2:$Q$54,4,FALSE),0)+IFERROR(VLOOKUP(SUBSTITUTE(SUBSTITUTE(SUBSTITUTE($NC104,"~","~~"),"*","~*"),"?","~?"),'DADOS_RESTRICOES'!$M$2:$Q$54,4,FALSE),0)&gt;1,$OK104&amp;" e "&amp;$OL104&amp;" são as duas de frequência",""),IF(AND((COUNTIF($RK104:$RN104,"Rápido")+COUNTIF($OK104:$OL104,"Rápido"))&gt;0,(COUNTIF($MX104:$NA104,"Atrasar")+COUNTIF($OK104:$OL104,"Atrasar"))&gt;0),"Rápido não entra com Atrasar",""),IF(AND((COUNTIF($RK104:$RN104,"Reação")+COUNTIF($OK104:$OL104,"Reação"))&gt;0,(COUNTIF($RK104:$RN104,"Rápido")+COUNTIF($OK104:$OL104,"Rápido"))&gt;0),"Reação não entra com Rápido",""),IF(AND((COUNTIF($RK104:$RN104,"Reação")+COUNTIF($OK104:$OL104,"Reação"))&gt;0,(COUNTIF($RK104:$RN104,"Armado")+COUNTIF($OK104:$OL104,"Armado"))&gt;0),"Reação não entra com Armado",""),IF(AND((COUNTIF($RK104:$RN104,"Reação")+COUNTIF($OK104:$OL104,"Reação"))&gt;0,(COUNTIF($MX104:$NA104,"Atrasar")+COUNTIF($OK104:$OL104,"Atrasar"))&gt;0),"Reação não entra com Atrasar",""),IF(AND((COUNTIF($RK104:$RN104,"Reação")+COUNTIF($OK104:$OL104,"Reação"))&gt;0,(COUNTIF($MX104:$NA104,"Parado")+COUNTIF($OK104:$OL104,"Parado"))&gt;0),"Reação não entra com Parado",""),IF(AND((COUNTIF($MX104:$NA104,"Atrasar")+COUNTIF($OK104:$OL104,"Atrasar"))&gt;0,(COUNTIF($MX104:$NA104,"Parado")+COUNTIF($OK104:$OL104,"Parado"))&gt;0),"Atrasar não entra com Parado",""),IF(AND((COUNTIF($RK104:$RN104,"Armado")+COUNTIF($OK104:$OL104,"Armado"))&gt;0,(COUNTIF($MX104:$NA104,"Carregar")+COUNTIF($OK104:$OL104,"Carregar"))&gt;0),"Armado não entra com Carregar",""),IF(AND(COUNTIF($OK104:$OL104,"Corpo a Corpo")&gt;0,$OF104=0,OR($RO104="Cone",$RO104="Linha")),"Corpo a Corpo não entra em "&amp;$MU104,""),IF(AND(COUNTIF($OK104:$OL104,"Corpo a Corpo")&gt;0,$RP104="Corpo a Corpo"),"A Forma "&amp;$MU104&amp;" já traz o Corpo a Corpo",""),IF(AND(COUNTIF($OK104:$OL104,"Tudo ou Nada")&gt;0,$OH104=0),"Tudo ou Nada só entra em habilidade de Teste de Resistência",""),IF(AND(COUNTIF($RK104:$RN104,"Inescapável")&gt;0,OR($OU104&gt;1,$OV104&gt;0)),"Inescapável não aceita outra peça",""),IF(AND($MS104&gt;0,$PD104*IF(COUNTIF($RK104:$RN104,"Remate")&gt;0,1.25,1)+$PE104&gt;4*$MS104),($PD104*IF(COUNTIF($RK104:$RN104,"Remate")&gt;0,1.25,1)+$PE104)&amp;" dados somando repetições"&amp;IF(COUNTIF($RK104:$RN104,"Remate")&gt;0," e o Remate","")&amp;": o teto da Classe "&amp;$MS104&amp;" é "&amp;4*$MS104,""))),IF(AND($MX104&lt;&gt;"",COUNTIF('DADOS_MELHORIAS'!$O$2:$O$113,SUBSTITUTE(SUBSTITUTE(SUBSTITUTE($MX104,"~","~~"),"*","~*"),"?","~?"))=0),"Melhoria não cadastrada ou com erro: "&amp;$MX104,""),IF(AND($MY104&lt;&gt;"",COUNTIF('DADOS_MELHORIAS'!$O$2:$O$113,SUBSTITUTE(SUBSTITUTE(SUBSTITUTE($MY104,"~","~~"),"*","~*"),"?","~?"))=0),"Melhoria não cadastrada ou com erro: "&amp;$MY104,""),IF(AND($MZ104&lt;&gt;"",COUNTIF('DADOS_MELHORIAS'!$O$2:$O$113,SUBSTITUTE(SUBSTITUTE(SUBSTITUTE($MZ104,"~","~~"),"*","~*"),"?","~?"))=0),"Melhoria não cadastrada ou com erro: "&amp;$MZ104,""),IF(AND($NA104&lt;&gt;"",COUNTIF('DADOS_MELHORIAS'!$O$2:$O$113,SUBSTITUTE(SUBSTITUTE(SUBSTITUTE($NA104,"~","~~"),"*","~*"),"?","~?"))=0),"Melhoria não cadastrada ou com erro: "&amp;$NA104,""),IF(AND($NB104&lt;&gt;"",COUNTIF('DADOS_RESTRICOES'!$M$2:$M$54,SUBSTITUTE(SUBSTITUTE(SUBSTITUTE($NB104,"~","~~"),"*","~*"),"?","~?"))=0),"Restrição não cadastrada ou com erro: "&amp;$NB104,""),IF(AND($NC104&lt;&gt;"",COUNTIF('DADOS_RESTRICOES'!$M$2:$M$54,SUBSTITUTE(SUBSTITUTE(SUBSTITUTE($NC104,"~","~~"),"*","~*"),"?","~?"))=0),"Restrição não cadastrada ou com erro: "&amp;$NC104,""))),IF(AND($MU104&lt;&gt;"",COUNTIF('DADOS_FORMAS'!$AH$2:$AH$21,SUBSTITUTE(SUBSTITUTE(SUBSTITUTE($MU104,"~","~~"),"*","~*"),"?","~?"))=0),"Forma não cadastrada ou com erro: "&amp;$MU104,""),IF(AND(IFERROR(INDEX('DADOS_FORMAS'!$AS$2:$AS$21,MATCH(SUBSTITUTE(SUBSTITUTE(SUBSTITUTE($MU104,"~","~~"),"*","~*"),"?","~?"),'DADOS_FORMAS'!$AH$2:$AH$21,0)),"")&lt;&gt;"",OR(IFERROR(VLOOKUP(SUBSTITUTE(SUBSTITUTE(SUBSTITUTE(IFERROR(INDEX('DADOS_FORMAS'!$AS$2:$AS$21,MATCH(SUBSTITUTE(SUBSTITUTE(SUBSTITUTE($MU104,"~","~~"),"*","~*"),"?","~?"),'DADOS_FORMAS'!$AH$2:$AH$21,0)),""),"~","~~"),"*","~*"),"?","~?"),'DADOS_RESTRICOES'!$M$2:$Q$54,2,FALSE),"")=$OK104,IFERROR(VLOOKUP(SUBSTITUTE(SUBSTITUTE(SUBSTITUTE(IFERROR(INDEX('DADOS_FORMAS'!$AS$2:$AS$21,MATCH(SUBSTITUTE(SUBSTITUTE(SUBSTITUTE($MU104,"~","~~"),"*","~*"),"?","~?"),'DADOS_FORMAS'!$AH$2:$AH$21,0)),""),"~","~~"),"*","~*"),"?","~?"),'DADOS_RESTRICOES'!$M$2:$Q$54,2,FALSE),"")=$OL104)),"Restrição repetida, contando a embutida",""),IF(IF(IFERROR(INDEX('DADOS_FORMAS'!$AS$2:$AS$21,MATCH(SUBSTITUTE(SUBSTITUTE(SUBSTITUTE($MU104,"~","~~"),"*","~*"),"?","~?"),'DADOS_FORMAS'!$AH$2:$AH$21,0)),"")="",0,IFERROR(N(VLOOKUP(SUBSTITUTE(SUBSTITUTE(SUBSTITUTE(IFERROR(INDEX('DADOS_FORMAS'!$AS$2:$AS$21,MATCH(SUBSTITUTE(SUBSTITUTE(SUBSTITUTE($MU104,"~","~~"),"*","~*"),"?","~?"),'DADOS_FORMAS'!$AH$2:$AH$21,0)),""),"~","~~"),"*","~*"),"?","~?"),'DADOS_RESTRICOES'!$M$2:$Q$54,4,FALSE)=1),0))+IF($NB104="",0,IFERROR(N(VLOOKUP(SUBSTITUTE(SUBSTITUTE(SUBSTITUTE($NB104,"~","~~"),"*","~*"),"?","~?"),'DADOS_RESTRICOES'!$M$2:$Q$54,4,FALSE)=1),0))+IF($NC104="",0,IFERROR(N(VLOOKUP(SUBSTITUTE(SUBSTITUTE(SUBSTITUTE($NC104,"~","~~"),"*","~*"),"?","~?"),'DADOS_RESTRICOES'!$M$2:$Q$54,4,FALSE)=1),0))&gt;1,"Duas Restrições de frequência, contando a embutida",""),IF(AND(IFERROR(VLOOKUP(SUBSTITUTE(SUBSTITUTE(SUBSTITUTE(IFERROR(INDEX('DADOS_FORMAS'!$AS$2:$AS$21,MATCH(SUBSTITUTE(SUBSTITUTE(SUBSTITUTE($MU104,"~","~~"),"*","~*"),"?","~?"),'DADOS_FORMAS'!$AH$2:$AH$21,0)),""),"~","~~"),"*","~*"),"?","~?"),'DADOS_RESTRICOES'!$M$2:$Q$54,2,FALSE),"")="Tudo ou Nada",$OH104=0),"Tudo ou Nada exige TR",""),IF(AND(IFERROR(VLOOKUP(SUBSTITUTE(SUBSTITUTE(SUBSTITUTE(IFERROR(INDEX('DADOS_FORMAS'!$AS$2:$AS$21,MATCH(SUBSTITUTE(SUBSTITUTE(SUBSTITUTE($MU104,"~","~~"),"*","~*"),"?","~?"),'DADOS_FORMAS'!$AH$2:$AH$21,0)),""),"~","~~"),"*","~*"),"?","~?"),'DADOS_RESTRICOES'!$M$2:$Q$54,2,FALSE),"")="Corpo a Corpo",OR($RO104="Cone",$RO104="Linha")),"Corpo a Corpo não entra em Cone/Linha","")))</f>
        <v/>
      </c>
      <c r="PU104" s="164">
        <f>IF($PT104="",0,(LEN($PT104)-LEN(SUBSTITUTE($PT104," · ","")))/3+1)</f>
        <v/>
      </c>
      <c r="PV104" s="164">
        <f>IF($ND104=0,"",TEXTJOIN(" · ",TRUE,IF($OX104&gt;2*$MS104,"A devolução parou no teto de "&amp;2*$MS104,""),IF($PA104&gt;0,"Devolução perdida: "&amp;$PA104&amp;IF($PA104&gt;1," pontos"," ponto")&amp;" sem Melhoria para pagar",""),IF(AND($OC104&gt;0,AND($MS104&gt;0,$OG104=0),$PD104=0),"Controle sem dano: uma rodada a mais e CD +2",""),IF(AND($OC104&gt;0,AND($MS104&gt;0,$OG104=0),$PD104&gt;0,$PD104&lt;=$MS104),"Controle com saldo até a Classe: uma rodada a mais",""),IF(AND($MS104&gt;0,$OE104&lt;&gt;""),"Efeito de "&amp;$OE104&amp;" pela Classe "&amp;MAX(1,$MS104-1),"")))</f>
        <v/>
      </c>
      <c r="PW104" s="164">
        <f>IF($PV104="",0,(LEN($PV104)-LEN(SUBSTITUTE($PV104," · ","")))/3+1)</f>
        <v/>
      </c>
      <c r="PX104" s="164">
        <f>IF($ND104=0,IF($OU104+COUNTIF($NB104:$NC104,"?*")&gt;0,"Dê um nome",""),IF($PU104&gt;0,"⚠ "&amp;$PU104&amp;IF($PU104&gt;1," erros"," erro"),IF($PW104&gt;0,"! "&amp;$PW104&amp;IF($PW104&gt;1," avisos"," aviso"),"Na regra")))</f>
        <v/>
      </c>
      <c r="PY104" s="164">
        <f>IF($ND104=0,"",IF($PU104+$PW104=0,"Dentro das regras que a ficha confere",$PT104&amp;IF(AND($PU104&gt;0,$PW104&gt;0)," · ","")&amp;$PV104))</f>
        <v/>
      </c>
      <c r="PZ104" s="164">
        <f>IF($MQ104&gt;$NE104,$MR104&amp;" · ABRE NO NÍVEL "&amp;$MQ104,$MR104)</f>
        <v/>
      </c>
      <c r="QA104" s="164">
        <f>IF($ND104=0,"",IF($MS104=0,"Sem PE",3*$MS104&amp;" PE"))</f>
        <v/>
      </c>
      <c r="QB104" s="164">
        <f>IF($ND104=0,"",IF($MS104=0,"A atuação básica dela",IF(COUNTIF($RQ104:$RS104,"Atrasar")&gt;0,"Sua Ação Completa",IF(COUNTIF($RK104:$RN104,"Rápido")&gt;0,"Sua Bônus",IF(COUNTIF($RK104:$RN104,"Reação")&gt;0,"Sua Reação","Sua Padrão")))&amp;" + a básica dela"&amp;IF(COUNTIF($RK104:$RN104,"Reação")&gt;0," e a coletiva","")&amp;IF(COUNTIF($RQ104:$RS104,"Carregar")&gt;0," · em dois turnos","")))</f>
        <v/>
      </c>
      <c r="QC104" s="164">
        <f>IF($MW104&lt;&gt;"",$MW104,IF($NJ104=0,"",INDEX('DADOS_FORMAS'!$GE$2:$GE$21,$NJ104)))</f>
        <v/>
      </c>
      <c r="QD104" s="164">
        <f>IF(OR($ND104=0,$NJ104=0),"",IF(COUNTIF($RK104:$RN104,"Inescapável")&gt;0,"Automático",IF($QC104="Ataque",IF($NH104="","Ataque","Ataque "&amp;IF(($NH104+2*IF(COUNTIF($RK104:$RN104,"Precisão")&gt;0,1,0))&gt;=0,"+","−")&amp;ABS(($NH104+2*IF(COUNTIF($RK104:$RN104,"Precisão")&gt;0,1,0))))&amp;IF($OD104&gt;0," · TR"&amp;IF($NI104="",""," CD "&amp;$NI104),""),IF(LEFT($QC104,2)="TR",$QC104&amp;IF($NI104="",""," · CD "&amp;$NI104)&amp;IF(COUNTIF($RK104:$RN104,"Certeiro")&gt;0," · metade",""),"Sem rolagem"))))</f>
        <v/>
      </c>
      <c r="QE104" s="164">
        <f>IF(OR($ND104=0,$NJ104=0),"",IF($MS104=0,IF(OR($OG104&gt;=1,$PD104=0),"Sem dano",$PD104&amp;"d6"&amp;IF($MV104="",""," "&amp;$MV104)),IF(OR($OG104&gt;=1,$PD104=0),UPPER(LEFT(INDEX($PM104:$PS104,1,MAX(1,$MS104)),1))&amp;MID(INDEX($PM104:$PS104,1,MAX(1,$MS104)),2,99),UPPER(LEFT(INDEX($PM104:$PS104,1,MAX(1,$MS104)),1))&amp;MID(INDEX($PM104:$PS104,1,MAX(1,$MS104)),2,99)&amp;IF($MV104="",""," "&amp;$MV104)&amp;IF($PE104&gt;0," · +"&amp;$PE104&amp;"d8",""))))</f>
        <v/>
      </c>
      <c r="QF104" s="164">
        <f>COUNTIF($RK104:$RN104,"Longe")+3*COUNTIF($RK104:$RN104,"Muito Longe")</f>
        <v/>
      </c>
      <c r="QG104" s="164">
        <f>COUNTIF($RK104:$RN104,"Maior")+3*COUNTIF($RK104:$RN104,"Muito Maior")</f>
        <v/>
      </c>
      <c r="QH104" s="164">
        <f>IF($NJ104=0,0,CHOOSE(1+INDEX('DADOS_FORMAS'!$GG$2:$GG$21,$NJ104),0,$QF104,$QG104,$QF104+$QG104))</f>
        <v/>
      </c>
      <c r="QI104" s="164">
        <f>IF($NJ104=0,0,CHOOSE(1+INDEX('DADOS_FORMAS'!$GH$2:$GH$21,$NJ104),0,$QF104,$QG104,$QF104+$QG104))</f>
        <v/>
      </c>
      <c r="QJ104" s="164">
        <f>IF(OR($ND104=0,$NJ104=0),"",INDEX('DADOS_FORMAS'!$HU$2:$HZ$81,($NJ104-1)*4+IF($MS104=0,1,IF($MS104&lt;=5,2,IF($MS104=6,3,4))),1+MIN(5,$QH104))&amp;INDEX('DADOS_FORMAS'!$IA$2:$IF$81,($NJ104-1)*4+IF($MS104=0,1,IF($MS104&lt;=5,2,IF($MS104=6,3,4))),1+MIN(5,$QI104))&amp;IF(INDEX('DADOS_FORMAS'!$GI$2:$GI$21,$NJ104)=1,IF(COUNTIF($RK104:$RN104,"Mais Um")&gt;0," · +"&amp;COUNTIF($RK104:$RN104,"Mais Um")&amp;IF(COUNTIF($RK104:$RN104,"Mais Um")&gt;1," alvos"," alvo"),"")&amp;IF(COUNTIF($RK104:$RN104,"Rajada")&gt;0,IF($MS104=0," · 1 tiro"," · "&amp;(MAX(1,$MS104-1)+1)&amp;" tiros"),""),""))</f>
        <v/>
      </c>
      <c r="QK104" s="164">
        <f>IF($ND104=0,"",IF($MS104=0,$NG104&amp;"d6"&amp;IF($OU104&gt;0," − 1 = "&amp;$PD104&amp;"d6"," da básica do nível "&amp;$NE104),$PB104&amp;" − "&amp;$OW104&amp;" + "&amp;$OZ104&amp;" = "&amp;$PC104&amp;" · teto "&amp;4*$MS104&amp;"d8"&amp;IF($OF104=1," · a Forma devolve "&amp;$MS104,"")&amp;IF($PA104&gt;0," · perde "&amp;$PA104,"")))</f>
        <v/>
      </c>
      <c r="QL104" s="164">
        <f>IF($ND104=0,"",IF($MS104=0,"A básica não amplia: os dados dela sobem com o nível",IF($MS104&gt;=$NF104,"Já está na maior Classe que o nível liberou",TEXTJOIN(" · ",TRUE,IF(AND(2&gt;$MS104,2&lt;=$NF104),"2 → "&amp;$PN104&amp;", 6 PE",""),IF(AND(3&gt;$MS104,3&lt;=$NF104),"3 → "&amp;$PO104&amp;", 9 PE",""),IF(AND(4&gt;$MS104,4&lt;=$NF104),"4 → "&amp;$PP104&amp;", 12 PE",""),IF(AND(5&gt;$MS104,5&lt;=$NF104),"5 → "&amp;$PQ104&amp;", 15 PE",""),IF(AND(6&gt;$MS104,6&lt;=$NF104),"6 → "&amp;$PR104&amp;", 18 PE",""),IF(AND(7&gt;$MS104,7&lt;=$NF104),"7 → "&amp;$PS104&amp;", 21 PE","")))))</f>
        <v/>
      </c>
      <c r="QM104" s="164">
        <f>IF(OR($ND104=0,$NO104=0),"",IF($MS104=0,"−1 dado","−"&amp;INDEX($I$2:$N$8,MAX(1,$MS104),MAX(1,$NT104))&amp;" · "&amp;CHOOSE(MAX(1,$NT104),"Leve","Média","Pesada","Leve · Livre","Média · Livre","Pesada · Livre")))</f>
        <v/>
      </c>
      <c r="QN104" s="164">
        <f>IF(OR($ND104=0,$NP104=0),"",IF($MS104=0,"−1 dado","−"&amp;INDEX($I$2:$N$8,MAX(1,$MS104),MAX(1,$NU104))&amp;" · "&amp;CHOOSE(MAX(1,$NU104),"Leve","Média","Pesada","Leve · Livre","Média · Livre","Pesada · Livre")))</f>
        <v/>
      </c>
      <c r="QO104" s="164">
        <f>IF(OR($ND104=0,$NQ104=0),"",IF($MS104=0,"−1 dado","−"&amp;INDEX($I$2:$N$8,MAX(1,$MS104),MAX(1,$NV104))&amp;" · "&amp;CHOOSE(MAX(1,$NV104),"Leve","Média","Pesada","Leve · Livre","Média · Livre","Pesada · Livre")))</f>
        <v/>
      </c>
      <c r="QP104" s="164">
        <f>IF(OR($ND104=0,$NR104=0),"",IF($MS104=0,"−1 dado","−"&amp;INDEX($I$2:$N$8,MAX(1,$MS104),MAX(1,$NW104))&amp;" · "&amp;CHOOSE(MAX(1,$NW104),"Leve","Média","Pesada","Leve · Livre","Média · Livre","Pesada · Livre")))</f>
        <v/>
      </c>
      <c r="QQ104" s="164">
        <f>IF(OR($ND104=0,$NB104=""),"",IF($MS104=0,"não devolve","+"&amp;IF($OI104=1,CEILING($MS104/2,1),$MS104)))</f>
        <v/>
      </c>
      <c r="QR104" s="164">
        <f>IF(OR($ND104=0,$NC104=""),"",IF($MS104=0,"não devolve","+"&amp;IF($OJ104=1,CEILING($MS104/2,1),$MS104)))</f>
        <v/>
      </c>
      <c r="RK104">
        <f>IF($MX104="","",IFERROR(VLOOKUP(SUBSTITUTE(SUBSTITUTE(SUBSTITUTE($MX104,"~","~~"),"*","~*"),"?","~?"),'DADOS_MELHORIAS'!$O$2:$X$113,10,FALSE),$MX104))</f>
        <v/>
      </c>
      <c r="RL104">
        <f>IF($MY104="","",IFERROR(VLOOKUP(SUBSTITUTE(SUBSTITUTE(SUBSTITUTE($MY104,"~","~~"),"*","~*"),"?","~?"),'DADOS_MELHORIAS'!$O$2:$X$113,10,FALSE),$MY104))</f>
        <v/>
      </c>
      <c r="RM104">
        <f>IF($MZ104="","",IFERROR(VLOOKUP(SUBSTITUTE(SUBSTITUTE(SUBSTITUTE($MZ104,"~","~~"),"*","~*"),"?","~?"),'DADOS_MELHORIAS'!$O$2:$X$113,10,FALSE),$MZ104))</f>
        <v/>
      </c>
      <c r="RN104">
        <f>IF($NA104="","",IFERROR(VLOOKUP(SUBSTITUTE(SUBSTITUTE(SUBSTITUTE($NA104,"~","~~"),"*","~*"),"?","~?"),'DADOS_MELHORIAS'!$O$2:$X$113,10,FALSE),$NA104))</f>
        <v/>
      </c>
      <c r="RO104">
        <f>IFERROR(INDEX('DADOS_FORMAS'!$BJ$2:$BJ$21,MATCH(SUBSTITUTE(SUBSTITUTE(SUBSTITUTE($MU104,"~","~~"),"*","~*"),"?","~?"),'DADOS_FORMAS'!$AH$2:$AH$21,0)),"")</f>
        <v/>
      </c>
      <c r="RP104">
        <f>IFERROR(VLOOKUP(SUBSTITUTE(SUBSTITUTE(SUBSTITUTE(IFERROR(INDEX('DADOS_FORMAS'!$AS$2:$AS$21,MATCH(SUBSTITUTE(SUBSTITUTE(SUBSTITUTE($MU104,"~","~~"),"*","~*"),"?","~?"),'DADOS_FORMAS'!$AH$2:$AH$21,0)),""),"~","~~"),"*","~*"),"?","~?"),'DADOS_RESTRICOES'!$M$2:$Q$54,2,FALSE),"")</f>
        <v/>
      </c>
      <c r="RQ104">
        <f>$OK104</f>
        <v/>
      </c>
      <c r="RR104">
        <f>$OL104</f>
        <v/>
      </c>
      <c r="RS104">
        <f>$RP104</f>
        <v/>
      </c>
    </row>
    <row r="105">
      <c r="MN105" s="162" t="inlineStr">
        <is>
          <t>Ficha 8 · Escolha da trilha 3</t>
        </is>
      </c>
      <c r="MO105" s="164" t="n">
        <v>8</v>
      </c>
      <c r="MP105" s="164" t="n">
        <v>2</v>
      </c>
      <c r="MQ105" s="164" t="n">
        <v>0</v>
      </c>
      <c r="MR105" s="162" t="inlineStr">
        <is>
          <t>ESCOLHA DA TRILHA 3</t>
        </is>
      </c>
      <c r="MS105" s="164">
        <f>MAX(0,MIN(7,N('INVOCAÇÕES'!$AN$384)))</f>
        <v/>
      </c>
      <c r="MT105" s="164">
        <f>'INVOCAÇÕES'!$AO$384&amp;""</f>
        <v/>
      </c>
      <c r="MU105" s="164">
        <f>'INVOCAÇÕES'!$AN$389&amp;""</f>
        <v/>
      </c>
      <c r="MV105" s="164">
        <f>'INVOCAÇÕES'!$AN$390&amp;""</f>
        <v/>
      </c>
      <c r="MW105" s="164">
        <f>'INVOCAÇÕES'!$AP$390&amp;""</f>
        <v/>
      </c>
      <c r="MX105" s="164">
        <f>'INVOCAÇÕES'!$AO$393&amp;""</f>
        <v/>
      </c>
      <c r="MY105" s="164">
        <f>'INVOCAÇÕES'!$AO$394&amp;""</f>
        <v/>
      </c>
      <c r="MZ105" s="164">
        <f>'INVOCAÇÕES'!$AO$395&amp;""</f>
        <v/>
      </c>
      <c r="NA105" s="164">
        <f>'INVOCAÇÕES'!$AO$396&amp;""</f>
        <v/>
      </c>
      <c r="NB105" s="164">
        <f>'INVOCAÇÕES'!$AO$397&amp;""</f>
        <v/>
      </c>
      <c r="NC105" s="164">
        <f>'INVOCAÇÕES'!$AO$398&amp;""</f>
        <v/>
      </c>
      <c r="ND105" s="164">
        <f>IF($MT105&lt;&gt;"",1,0)</f>
        <v/>
      </c>
      <c r="NE105" s="164">
        <f>INDEX($FO$2:$FO$13,$MO105)</f>
        <v/>
      </c>
      <c r="NF105" s="164">
        <f>INDEX($FP$2:$FP$13,$MO105)</f>
        <v/>
      </c>
      <c r="NG105" s="164">
        <f>INDEX($FQ$2:$FQ$13,$MO105)</f>
        <v/>
      </c>
      <c r="NH105" s="164">
        <f>INDEX($GB$2:$GB$13,$MO105)</f>
        <v/>
      </c>
      <c r="NI105" s="164">
        <f>INDEX($GC$2:$GC$13,$MO105)</f>
        <v/>
      </c>
      <c r="NJ105" s="164">
        <f>IFERROR(MATCH(SUBSTITUTE(SUBSTITUTE(SUBSTITUTE($MU105,"~","~~"),"*","~*"),"?","~?"),'DADOS_FORMAS'!$FZ$2:$FZ$21,0),0)</f>
        <v/>
      </c>
      <c r="NK105" s="164">
        <f>IFERROR(VLOOKUP(SUBSTITUTE(SUBSTITUTE(SUBSTITUTE($MX105,"~","~~"),"*","~*"),"?","~?"),'DADOS_MELHORIAS'!$AG$2:$AL$113,2,FALSE),"")</f>
        <v/>
      </c>
      <c r="NL105" s="164">
        <f>IFERROR(VLOOKUP(SUBSTITUTE(SUBSTITUTE(SUBSTITUTE($MY105,"~","~~"),"*","~*"),"?","~?"),'DADOS_MELHORIAS'!$AG$2:$AL$113,2,FALSE),"")</f>
        <v/>
      </c>
      <c r="NM105" s="164">
        <f>IFERROR(VLOOKUP(SUBSTITUTE(SUBSTITUTE(SUBSTITUTE($MZ105,"~","~~"),"*","~*"),"?","~?"),'DADOS_MELHORIAS'!$AG$2:$AL$113,2,FALSE),"")</f>
        <v/>
      </c>
      <c r="NN105" s="164">
        <f>IFERROR(VLOOKUP(SUBSTITUTE(SUBSTITUTE(SUBSTITUTE($NA105,"~","~~"),"*","~*"),"?","~?"),'DADOS_MELHORIAS'!$AG$2:$AL$113,2,FALSE),"")</f>
        <v/>
      </c>
      <c r="NO105" s="164">
        <f>IFERROR(VLOOKUP(SUBSTITUTE(SUBSTITUTE(SUBSTITUTE($MX105,"~","~~"),"*","~*"),"?","~?"),'DADOS_MELHORIAS'!$AG$2:$AL$113,3,FALSE),0)</f>
        <v/>
      </c>
      <c r="NP105" s="164">
        <f>IFERROR(VLOOKUP(SUBSTITUTE(SUBSTITUTE(SUBSTITUTE($MY105,"~","~~"),"*","~*"),"?","~?"),'DADOS_MELHORIAS'!$AG$2:$AL$113,3,FALSE),0)</f>
        <v/>
      </c>
      <c r="NQ105" s="164">
        <f>IFERROR(VLOOKUP(SUBSTITUTE(SUBSTITUTE(SUBSTITUTE($MZ105,"~","~~"),"*","~*"),"?","~?"),'DADOS_MELHORIAS'!$AG$2:$AL$113,3,FALSE),0)</f>
        <v/>
      </c>
      <c r="NR105" s="164">
        <f>IFERROR(VLOOKUP(SUBSTITUTE(SUBSTITUTE(SUBSTITUTE($NA105,"~","~~"),"*","~*"),"?","~?"),'DADOS_MELHORIAS'!$AG$2:$AL$113,3,FALSE),0)</f>
        <v/>
      </c>
      <c r="NS105" s="164">
        <f>IF($MS105=0,0,IF($NJ105=0,0,INDEX('DADOS_FORMAS'!$GB$2:$GB$21,$NJ105)))</f>
        <v/>
      </c>
      <c r="NT105" s="164">
        <f>IF(OR($NO105=0,$MS105=0),0,$NO105+3*IF(AND($NK105&lt;&gt;"",COUNTIF(INDEX($RB$2:$RJ$13,$MO105,0),$NK105)&gt;0),1,0))</f>
        <v/>
      </c>
      <c r="NU105" s="164">
        <f>IF(OR($NP105=0,$MS105=0),0,$NP105+3*IF(AND($NL105&lt;&gt;"",COUNTIF(INDEX($RB$2:$RJ$13,$MO105,0),$NL105)&gt;0),1,0))</f>
        <v/>
      </c>
      <c r="NV105" s="164">
        <f>IF(OR($NQ105=0,$MS105=0),0,$NQ105+3*IF(AND($NM105&lt;&gt;"",COUNTIF(INDEX($RB$2:$RJ$13,$MO105,0),$NM105)&gt;0),1,0))</f>
        <v/>
      </c>
      <c r="NW105" s="164">
        <f>IF(OR($NR105=0,$MS105=0),0,$NR105+3*IF(AND($NN105&lt;&gt;"",COUNTIF(INDEX($RB$2:$RJ$13,$MO105,0),$NN105)&gt;0),1,0))</f>
        <v/>
      </c>
      <c r="NX105" s="164">
        <f>IF($NJ105=0,0,IF(INDEX('DADOS_FORMAS'!$GA$2:$GA$21,$NJ105)="",0,IF((COUNTIF(INDEX($EL$2:$EP$13,$MO105,0),INDEX('DADOS_FORMAS'!$GA$2:$GA$21,$NJ105))+COUNTIF(INDEX($QV$2:$QY$13,$MO105,0),INDEX('DADOS_FORMAS'!$GA$2:$GA$21,$NJ105)))=0,1,0)))</f>
        <v/>
      </c>
      <c r="NY105" s="164">
        <f>IF(OR($NO105=0,$NK105=""),0,IF((COUNTIF(INDEX($EL$2:$EP$13,$MO105,0),$NK105)+COUNTIF(INDEX($QV$2:$QY$13,$MO105,0),$NK105))=0,1,0))</f>
        <v/>
      </c>
      <c r="NZ105" s="164">
        <f>IF(OR($NP105=0,$NL105=""),0,IF((COUNTIF(INDEX($EL$2:$EP$13,$MO105,0),$NL105)+COUNTIF(INDEX($QV$2:$QY$13,$MO105,0),$NL105))=0,1,0))</f>
        <v/>
      </c>
      <c r="OA105" s="164">
        <f>IF(OR($NQ105=0,$NM105=""),0,IF((COUNTIF(INDEX($EL$2:$EP$13,$MO105,0),$NM105)+COUNTIF(INDEX($QV$2:$QY$13,$MO105,0),$NM105))=0,1,0))</f>
        <v/>
      </c>
      <c r="OB105" s="164">
        <f>IF(OR($NR105=0,$NN105=""),0,IF((COUNTIF(INDEX($EL$2:$EP$13,$MO105,0),$NN105)+COUNTIF(INDEX($QV$2:$QY$13,$MO105,0),$NN105))=0,1,0))</f>
        <v/>
      </c>
      <c r="OC105" s="164">
        <f>IFERROR(VLOOKUP(SUBSTITUTE(SUBSTITUTE(SUBSTITUTE($MX105,"~","~~"),"*","~*"),"?","~?"),'DADOS_MELHORIAS'!$AG$2:$AL$113,4,FALSE),0)+IFERROR(VLOOKUP(SUBSTITUTE(SUBSTITUTE(SUBSTITUTE($MY105,"~","~~"),"*","~*"),"?","~?"),'DADOS_MELHORIAS'!$AG$2:$AL$113,4,FALSE),0)+IFERROR(VLOOKUP(SUBSTITUTE(SUBSTITUTE(SUBSTITUTE($MZ105,"~","~~"),"*","~*"),"?","~?"),'DADOS_MELHORIAS'!$AG$2:$AL$113,4,FALSE),0)+IFERROR(VLOOKUP(SUBSTITUTE(SUBSTITUTE(SUBSTITUTE($NA105,"~","~~"),"*","~*"),"?","~?"),'DADOS_MELHORIAS'!$AG$2:$AL$113,4,FALSE),0)</f>
        <v/>
      </c>
      <c r="OD105" s="164">
        <f>IFERROR(VLOOKUP(SUBSTITUTE(SUBSTITUTE(SUBSTITUTE($MX105,"~","~~"),"*","~*"),"?","~?"),'DADOS_MELHORIAS'!$AG$2:$AL$113,6,FALSE),0)+IFERROR(VLOOKUP(SUBSTITUTE(SUBSTITUTE(SUBSTITUTE($MY105,"~","~~"),"*","~*"),"?","~?"),'DADOS_MELHORIAS'!$AG$2:$AL$113,6,FALSE),0)+IFERROR(VLOOKUP(SUBSTITUTE(SUBSTITUTE(SUBSTITUTE($MZ105,"~","~~"),"*","~*"),"?","~?"),'DADOS_MELHORIAS'!$AG$2:$AL$113,6,FALSE),0)+IFERROR(VLOOKUP(SUBSTITUTE(SUBSTITUTE(SUBSTITUTE($NA105,"~","~~"),"*","~*"),"?","~?"),'DADOS_MELHORIAS'!$AG$2:$AL$113,6,FALSE),0)+IFERROR(N(AND(INDEX('DADOS_FORMAS'!$AO$2:$AO$21,MATCH(SUBSTITUTE(SUBSTITUTE(SUBSTITUTE($MU105,"~","~~"),"*","~*"),"?","~?"),'DADOS_FORMAS'!$AH$2:$AH$21,0))="Acerto",$OH105=1)),0)</f>
        <v/>
      </c>
      <c r="OE105" s="164">
        <f>TEXTJOIN(", ",TRUE,IF(IFERROR(VLOOKUP(SUBSTITUTE(SUBSTITUTE(SUBSTITUTE($MX105,"~","~~"),"*","~*"),"?","~?"),'DADOS_MELHORIAS'!$AG$2:$AL$113,5,FALSE),0)=1,$MX105,""),IF(IFERROR(VLOOKUP(SUBSTITUTE(SUBSTITUTE(SUBSTITUTE($MY105,"~","~~"),"*","~*"),"?","~?"),'DADOS_MELHORIAS'!$AG$2:$AL$113,5,FALSE),0)=1,$MY105,""),IF(IFERROR(VLOOKUP(SUBSTITUTE(SUBSTITUTE(SUBSTITUTE($MZ105,"~","~~"),"*","~*"),"?","~?"),'DADOS_MELHORIAS'!$AG$2:$AL$113,5,FALSE),0)=1,$MZ105,""),IF(IFERROR(VLOOKUP(SUBSTITUTE(SUBSTITUTE(SUBSTITUTE($NA105,"~","~~"),"*","~*"),"?","~?"),'DADOS_MELHORIAS'!$AG$2:$AL$113,5,FALSE),0)=1,$NA105,""))</f>
        <v/>
      </c>
      <c r="OF105" s="164">
        <f>IF($NJ105=0,0,INDEX('DADOS_FORMAS'!$GC$2:$GC$21,$NJ105))</f>
        <v/>
      </c>
      <c r="OG105" s="164">
        <f>IF($NJ105=0,0,INDEX('DADOS_FORMAS'!$GD$2:$GD$21,$NJ105))</f>
        <v/>
      </c>
      <c r="OH105" s="164">
        <f>IF($NJ105=0,0,INDEX('DADOS_FORMAS'!$GF$2:$GF$21,$NJ105))</f>
        <v/>
      </c>
      <c r="OI105" s="164">
        <f>IFERROR(VLOOKUP(SUBSTITUTE(SUBSTITUTE(SUBSTITUTE($NB105,"~","~~"),"*","~*"),"?","~?"),'DADOS_RESTRICOES'!$M$2:$Q$54,3,FALSE),0)</f>
        <v/>
      </c>
      <c r="OJ105" s="164">
        <f>IFERROR(VLOOKUP(SUBSTITUTE(SUBSTITUTE(SUBSTITUTE($NC105,"~","~~"),"*","~*"),"?","~?"),'DADOS_RESTRICOES'!$M$2:$Q$54,3,FALSE),0)</f>
        <v/>
      </c>
      <c r="OK105" s="164">
        <f>IFERROR(VLOOKUP(SUBSTITUTE(SUBSTITUTE(SUBSTITUTE($NB105,"~","~~"),"*","~*"),"?","~?"),'DADOS_RESTRICOES'!$M$2:$Q$54,2,FALSE),"")</f>
        <v/>
      </c>
      <c r="OL105" s="164">
        <f>IFERROR(VLOOKUP(SUBSTITUTE(SUBSTITUTE(SUBSTITUTE($NC105,"~","~~"),"*","~*"),"?","~?"),'DADOS_RESTRICOES'!$M$2:$Q$54,2,FALSE),"")</f>
        <v/>
      </c>
      <c r="OM105" s="164">
        <f>COUNTIF($NS105:$NW105,1)</f>
        <v/>
      </c>
      <c r="ON105" s="164">
        <f>COUNTIF($NS105:$NW105,2)</f>
        <v/>
      </c>
      <c r="OO105" s="164">
        <f>COUNTIF($NS105:$NW105,3)</f>
        <v/>
      </c>
      <c r="OP105" s="164">
        <f>COUNTIF($NS105:$NW105,4)</f>
        <v/>
      </c>
      <c r="OQ105" s="164">
        <f>COUNTIF($NS105:$NW105,5)</f>
        <v/>
      </c>
      <c r="OR105" s="164">
        <f>COUNTIF($NS105:$NW105,6)</f>
        <v/>
      </c>
      <c r="OS105" s="164">
        <f>COUNTIF($OI105:$OJ105,1)+IF(IFERROR(INDEX('DADOS_FORMAS'!$AS$2:$AS$21,MATCH(SUBSTITUTE(SUBSTITUTE(SUBSTITUTE($MU105,"~","~~"),"*","~*"),"?","~?"),'DADOS_FORMAS'!$AH$2:$AH$21,0)),"")="",0,IFERROR(N(VLOOKUP(SUBSTITUTE(SUBSTITUTE(SUBSTITUTE(IFERROR(INDEX('DADOS_FORMAS'!$AS$2:$AS$21,MATCH(SUBSTITUTE(SUBSTITUTE(SUBSTITUTE($MU105,"~","~~"),"*","~*"),"?","~?"),'DADOS_FORMAS'!$AH$2:$AH$21,0)),""),"~","~~"),"*","~*"),"?","~?"),'DADOS_RESTRICOES'!$M$2:$Q$54,3,FALSE)=1),0))</f>
        <v/>
      </c>
      <c r="OT105" s="164">
        <f>COUNTIF($OI105:$OJ105,2)+IF(IFERROR(INDEX('DADOS_FORMAS'!$AS$2:$AS$21,MATCH(SUBSTITUTE(SUBSTITUTE(SUBSTITUTE($MU105,"~","~~"),"*","~*"),"?","~?"),'DADOS_FORMAS'!$AH$2:$AH$21,0)),"")="",0,IFERROR(N(VLOOKUP(SUBSTITUTE(SUBSTITUTE(SUBSTITUTE(IFERROR(INDEX('DADOS_FORMAS'!$AS$2:$AS$21,MATCH(SUBSTITUTE(SUBSTITUTE(SUBSTITUTE($MU105,"~","~~"),"*","~*"),"?","~?"),'DADOS_FORMAS'!$AH$2:$AH$21,0)),""),"~","~~"),"*","~*"),"?","~?"),'DADOS_RESTRICOES'!$M$2:$Q$54,3,FALSE)=2),0))</f>
        <v/>
      </c>
      <c r="OU105" s="164">
        <f>COUNTIF($MX105:$NA105,"?*")</f>
        <v/>
      </c>
      <c r="OV105" s="164">
        <f>COUNTIF($NB105:$NC105,"?*")+$OF105</f>
        <v/>
      </c>
      <c r="OW105" s="164">
        <f>IF($MS105=0,0,SUMPRODUCT($OM105:$OR105,INDEX($I$2:$N$8,MAX(1,$MS105),0)))</f>
        <v/>
      </c>
      <c r="OX105" s="164">
        <f>IF($MS105=0,0,$OS105*CEILING($MS105/2,1)+$OT105*$MS105)</f>
        <v/>
      </c>
      <c r="OY105" s="164">
        <f>MIN(2*$MS105,$OX105)</f>
        <v/>
      </c>
      <c r="OZ105" s="164">
        <f>MIN($OY105,$OW105-IF($NS105=0,0,INDEX($I$2:$N$8,MAX(1,$MS105),$NS105)))</f>
        <v/>
      </c>
      <c r="PA105" s="164">
        <f>$OY105-$OZ105</f>
        <v/>
      </c>
      <c r="PB105" s="164">
        <f>IF($MS105=0,0,INDEX($P$2:$P$8,MAX(1,$MS105)))</f>
        <v/>
      </c>
      <c r="PC105" s="164">
        <f>$PB105-$OW105+$OZ105</f>
        <v/>
      </c>
      <c r="PD105" s="164">
        <f>IF($MS105=0,MAX(0,$NG105-IF(AND($OU105&gt;0,COUNTIF($NB105:$NC105,"?*")=0),1,0)),MAX(0,$PC105))</f>
        <v/>
      </c>
      <c r="PE105" s="164">
        <f>IF($MS105=0,0,(IF(COUNTIF($RK105:$RN105,"Salto")&gt;0,1,0)+IF(COUNTIF($RK105:$RN105,"Queima")&gt;0,1,0)+IF(COUNTIF($RK105:$RN105,"Estilhaço")&gt;0,1,0))*FLOOR($PD105/2,1))</f>
        <v/>
      </c>
      <c r="PF105" s="164">
        <f>MAX(0,2-SUMPRODUCT($OM105:$OR105,$I$2:$N$2)+MIN(2,$OS105*1+$OT105*1,SUMPRODUCT($OM105:$OR105,$I$2:$N$2)-IF($NS105=0,0,INDEX($I$2:$N$2,1,$NS105))))</f>
        <v/>
      </c>
      <c r="PG105" s="164">
        <f>MAX(0,4-SUMPRODUCT($OM105:$OR105,$I$3:$N$3)+MIN(4,$OS105*1+$OT105*2,SUMPRODUCT($OM105:$OR105,$I$3:$N$3)-IF($NS105=0,0,INDEX($I$3:$N$3,1,$NS105))))</f>
        <v/>
      </c>
      <c r="PH105" s="164">
        <f>MAX(0,6-SUMPRODUCT($OM105:$OR105,$I$4:$N$4)+MIN(6,$OS105*2+$OT105*3,SUMPRODUCT($OM105:$OR105,$I$4:$N$4)-IF($NS105=0,0,INDEX($I$4:$N$4,1,$NS105))))</f>
        <v/>
      </c>
      <c r="PI105" s="164">
        <f>MAX(0,9-SUMPRODUCT($OM105:$OR105,$I$5:$N$5)+MIN(8,$OS105*2+$OT105*4,SUMPRODUCT($OM105:$OR105,$I$5:$N$5)-IF($NS105=0,0,INDEX($I$5:$N$5,1,$NS105))))</f>
        <v/>
      </c>
      <c r="PJ105" s="164">
        <f>MAX(0,11-SUMPRODUCT($OM105:$OR105,$I$6:$N$6)+MIN(10,$OS105*3+$OT105*5,SUMPRODUCT($OM105:$OR105,$I$6:$N$6)-IF($NS105=0,0,INDEX($I$6:$N$6,1,$NS105))))</f>
        <v/>
      </c>
      <c r="PK105" s="164">
        <f>MAX(0,13-SUMPRODUCT($OM105:$OR105,$I$7:$N$7)+MIN(12,$OS105*3+$OT105*6,SUMPRODUCT($OM105:$OR105,$I$7:$N$7)-IF($NS105=0,0,INDEX($I$7:$N$7,1,$NS105))))</f>
        <v/>
      </c>
      <c r="PL105" s="164">
        <f>MAX(0,16-SUMPRODUCT($OM105:$OR105,$I$8:$N$8)+MIN(14,$OS105*4+$OT105*7,SUMPRODUCT($OM105:$OR105,$I$8:$N$8)-IF($NS105=0,0,INDEX($I$8:$N$8,1,$NS105))))</f>
        <v/>
      </c>
      <c r="PM105" s="164">
        <f>IF($OG105=2,3*$PF105&amp;" de vida temp.",IF($OG105=3,"sem dano",IF($PF105=0,IF($OG105=1,"sem cura","sem dano"),IF($OG105=1,"cura ","")&amp;$PF105&amp;"d8")))</f>
        <v/>
      </c>
      <c r="PN105" s="164">
        <f>IF($OG105=2,3*$PG105&amp;" de vida temp.",IF($OG105=3,"sem dano",IF($PG105=0,IF($OG105=1,"sem cura","sem dano"),IF($OG105=1,"cura ","")&amp;$PG105&amp;"d8")))</f>
        <v/>
      </c>
      <c r="PO105" s="164">
        <f>IF($OG105=2,3*$PH105&amp;" de vida temp.",IF($OG105=3,"sem dano",IF($PH105=0,IF($OG105=1,"sem cura","sem dano"),IF($OG105=1,"cura ","")&amp;$PH105&amp;"d8")))</f>
        <v/>
      </c>
      <c r="PP105" s="164">
        <f>IF($OG105=2,3*$PI105&amp;" de vida temp.",IF($OG105=3,"sem dano",IF($PI105=0,IF($OG105=1,"sem cura","sem dano"),IF($OG105=1,"cura ","")&amp;$PI105&amp;"d8")))</f>
        <v/>
      </c>
      <c r="PQ105" s="164">
        <f>IF($OG105=2,3*$PJ105&amp;" de vida temp.",IF($OG105=3,"sem dano",IF($PJ105=0,IF($OG105=1,"sem cura","sem dano"),IF($OG105=1,"cura ","")&amp;$PJ105&amp;"d8")))</f>
        <v/>
      </c>
      <c r="PR105" s="164">
        <f>IF($OG105=2,3*$PK105&amp;" de vida temp.",IF($OG105=3,"sem dano",IF($PK105=0,IF($OG105=1,"sem cura","sem dano"),IF($OG105=1,"cura ","")&amp;$PK105&amp;"d8")))</f>
        <v/>
      </c>
      <c r="PS105" s="164">
        <f>IF($OG105=2,3*$PL105&amp;" de vida temp.",IF($OG105=3,"sem dano",IF($PL105=0,IF($OG105=1,"sem cura","sem dano"),IF($OG105=1,"cura ","")&amp;$PL105&amp;"d8")))</f>
        <v/>
      </c>
      <c r="PT105" s="164">
        <f>IF($ND105=0,"",TEXTJOIN(" · ",TRUE,IF($ND105=0,"",TEXTJOIN(" · ",TRUE,IF($ND105=0,"",TEXTJOIN(" · ",TRUE,IF($MQ105&gt;$NE105,"Este lugar abre no nível "&amp;$MQ105,""),IF($MS105&gt;$NF105,"Classe "&amp;$MS105&amp;": o nível "&amp;$NE105&amp;" libera até a "&amp;$NF105,""),IF($NX105=1,"A Forma "&amp;$MU105&amp;" pede "&amp;INDEX('DADOS_FORMAS'!$GA$2:$GA$21,$NJ105)&amp;" aberta",""),IF(AND($MS105=0,$NJ105&gt;0,IF($NJ105=0,0,INDEX('DADOS_FORMAS'!$GJ$2:$GJ$21,$NJ105))=0),$MU105&amp;" não existe na Classe 0",""),IF($NY105=1,"Família Fechada: "&amp;$MX105,""),IF($NZ105=1,"Família Fechada: "&amp;$MY105,""),IF($OA105=1,"Família Fechada: "&amp;$MZ105,""),IF($OB105=1,"Família Fechada: "&amp;$NA105,""),IF(AND($MS105&gt;0,$OU105&gt;INDEX($O$2:$O$8,MAX(1,$MS105))),$OU105&amp;" Melhorias: a Classe "&amp;$MS105&amp;" aceita "&amp;INDEX($O$2:$O$8,MAX(1,$MS105)),""),IF(AND($MS105=0,$OU105&gt;1),"A básica aceita uma Melhoria",""),IF(AND($MS105=0,COUNTIF($NO105:$NR105,"&gt;1")&gt;0),"A básica só aceita Melhoria Leve",""),IF(AND($MS105&gt;0,$OV105&gt;2),$OV105&amp;" Restrições"&amp;IF($OF105=1,", contando a que a Forma "&amp;$MU105&amp;" já traz","")&amp;": o limite é 2",""),IF(AND($MS105=0,COUNTIF($NB105:$NC105,"?*")&gt;1),"A básica aceita uma Restrição Leve",""),IF(AND($MS105=0,COUNTIF($OI105:$OJ105,2)&gt;0),"A básica só aceita Restrição Leve",""),IF(AND($MS105&gt;0,$PC105&lt;0),"Orçamento estourado: faltam "&amp;(-$PC105)&amp;IF($PC105&lt;-1," pontos"," ponto"),""),IF(IFERROR(VLOOKUP(SUBSTITUTE(SUBSTITUTE(SUBSTITUTE($NB105,"~","~~"),"*","~*"),"?","~?"),'DADOS_RESTRICOES'!$M$2:$Q$54,4,FALSE),0)+IFERROR(VLOOKUP(SUBSTITUTE(SUBSTITUTE(SUBSTITUTE($NC105,"~","~~"),"*","~*"),"?","~?"),'DADOS_RESTRICOES'!$M$2:$Q$54,4,FALSE),0)&gt;1,$OK105&amp;" e "&amp;$OL105&amp;" são as duas de frequência",""),IF(AND((COUNTIF($RK105:$RN105,"Rápido")+COUNTIF($OK105:$OL105,"Rápido"))&gt;0,(COUNTIF($MX105:$NA105,"Atrasar")+COUNTIF($OK105:$OL105,"Atrasar"))&gt;0),"Rápido não entra com Atrasar",""),IF(AND((COUNTIF($RK105:$RN105,"Reação")+COUNTIF($OK105:$OL105,"Reação"))&gt;0,(COUNTIF($RK105:$RN105,"Rápido")+COUNTIF($OK105:$OL105,"Rápido"))&gt;0),"Reação não entra com Rápido",""),IF(AND((COUNTIF($RK105:$RN105,"Reação")+COUNTIF($OK105:$OL105,"Reação"))&gt;0,(COUNTIF($RK105:$RN105,"Armado")+COUNTIF($OK105:$OL105,"Armado"))&gt;0),"Reação não entra com Armado",""),IF(AND((COUNTIF($RK105:$RN105,"Reação")+COUNTIF($OK105:$OL105,"Reação"))&gt;0,(COUNTIF($MX105:$NA105,"Atrasar")+COUNTIF($OK105:$OL105,"Atrasar"))&gt;0),"Reação não entra com Atrasar",""),IF(AND((COUNTIF($RK105:$RN105,"Reação")+COUNTIF($OK105:$OL105,"Reação"))&gt;0,(COUNTIF($MX105:$NA105,"Parado")+COUNTIF($OK105:$OL105,"Parado"))&gt;0),"Reação não entra com Parado",""),IF(AND((COUNTIF($MX105:$NA105,"Atrasar")+COUNTIF($OK105:$OL105,"Atrasar"))&gt;0,(COUNTIF($MX105:$NA105,"Parado")+COUNTIF($OK105:$OL105,"Parado"))&gt;0),"Atrasar não entra com Parado",""),IF(AND((COUNTIF($RK105:$RN105,"Armado")+COUNTIF($OK105:$OL105,"Armado"))&gt;0,(COUNTIF($MX105:$NA105,"Carregar")+COUNTIF($OK105:$OL105,"Carregar"))&gt;0),"Armado não entra com Carregar",""),IF(AND(COUNTIF($OK105:$OL105,"Corpo a Corpo")&gt;0,$OF105=0,OR($RO105="Cone",$RO105="Linha")),"Corpo a Corpo não entra em "&amp;$MU105,""),IF(AND(COUNTIF($OK105:$OL105,"Corpo a Corpo")&gt;0,$RP105="Corpo a Corpo"),"A Forma "&amp;$MU105&amp;" já traz o Corpo a Corpo",""),IF(AND(COUNTIF($OK105:$OL105,"Tudo ou Nada")&gt;0,$OH105=0),"Tudo ou Nada só entra em habilidade de Teste de Resistência",""),IF(AND(COUNTIF($RK105:$RN105,"Inescapável")&gt;0,OR($OU105&gt;1,$OV105&gt;0)),"Inescapável não aceita outra peça",""),IF(AND($MS105&gt;0,$PD105*IF(COUNTIF($RK105:$RN105,"Remate")&gt;0,1.25,1)+$PE105&gt;4*$MS105),($PD105*IF(COUNTIF($RK105:$RN105,"Remate")&gt;0,1.25,1)+$PE105)&amp;" dados somando repetições"&amp;IF(COUNTIF($RK105:$RN105,"Remate")&gt;0," e o Remate","")&amp;": o teto da Classe "&amp;$MS105&amp;" é "&amp;4*$MS105,""))),IF(AND($MX105&lt;&gt;"",COUNTIF('DADOS_MELHORIAS'!$O$2:$O$113,SUBSTITUTE(SUBSTITUTE(SUBSTITUTE($MX105,"~","~~"),"*","~*"),"?","~?"))=0),"Melhoria não cadastrada ou com erro: "&amp;$MX105,""),IF(AND($MY105&lt;&gt;"",COUNTIF('DADOS_MELHORIAS'!$O$2:$O$113,SUBSTITUTE(SUBSTITUTE(SUBSTITUTE($MY105,"~","~~"),"*","~*"),"?","~?"))=0),"Melhoria não cadastrada ou com erro: "&amp;$MY105,""),IF(AND($MZ105&lt;&gt;"",COUNTIF('DADOS_MELHORIAS'!$O$2:$O$113,SUBSTITUTE(SUBSTITUTE(SUBSTITUTE($MZ105,"~","~~"),"*","~*"),"?","~?"))=0),"Melhoria não cadastrada ou com erro: "&amp;$MZ105,""),IF(AND($NA105&lt;&gt;"",COUNTIF('DADOS_MELHORIAS'!$O$2:$O$113,SUBSTITUTE(SUBSTITUTE(SUBSTITUTE($NA105,"~","~~"),"*","~*"),"?","~?"))=0),"Melhoria não cadastrada ou com erro: "&amp;$NA105,""),IF(AND($NB105&lt;&gt;"",COUNTIF('DADOS_RESTRICOES'!$M$2:$M$54,SUBSTITUTE(SUBSTITUTE(SUBSTITUTE($NB105,"~","~~"),"*","~*"),"?","~?"))=0),"Restrição não cadastrada ou com erro: "&amp;$NB105,""),IF(AND($NC105&lt;&gt;"",COUNTIF('DADOS_RESTRICOES'!$M$2:$M$54,SUBSTITUTE(SUBSTITUTE(SUBSTITUTE($NC105,"~","~~"),"*","~*"),"?","~?"))=0),"Restrição não cadastrada ou com erro: "&amp;$NC105,""))),IF(AND($MU105&lt;&gt;"",COUNTIF('DADOS_FORMAS'!$AH$2:$AH$21,SUBSTITUTE(SUBSTITUTE(SUBSTITUTE($MU105,"~","~~"),"*","~*"),"?","~?"))=0),"Forma não cadastrada ou com erro: "&amp;$MU105,""),IF(AND(IFERROR(INDEX('DADOS_FORMAS'!$AS$2:$AS$21,MATCH(SUBSTITUTE(SUBSTITUTE(SUBSTITUTE($MU105,"~","~~"),"*","~*"),"?","~?"),'DADOS_FORMAS'!$AH$2:$AH$21,0)),"")&lt;&gt;"",OR(IFERROR(VLOOKUP(SUBSTITUTE(SUBSTITUTE(SUBSTITUTE(IFERROR(INDEX('DADOS_FORMAS'!$AS$2:$AS$21,MATCH(SUBSTITUTE(SUBSTITUTE(SUBSTITUTE($MU105,"~","~~"),"*","~*"),"?","~?"),'DADOS_FORMAS'!$AH$2:$AH$21,0)),""),"~","~~"),"*","~*"),"?","~?"),'DADOS_RESTRICOES'!$M$2:$Q$54,2,FALSE),"")=$OK105,IFERROR(VLOOKUP(SUBSTITUTE(SUBSTITUTE(SUBSTITUTE(IFERROR(INDEX('DADOS_FORMAS'!$AS$2:$AS$21,MATCH(SUBSTITUTE(SUBSTITUTE(SUBSTITUTE($MU105,"~","~~"),"*","~*"),"?","~?"),'DADOS_FORMAS'!$AH$2:$AH$21,0)),""),"~","~~"),"*","~*"),"?","~?"),'DADOS_RESTRICOES'!$M$2:$Q$54,2,FALSE),"")=$OL105)),"Restrição repetida, contando a embutida",""),IF(IF(IFERROR(INDEX('DADOS_FORMAS'!$AS$2:$AS$21,MATCH(SUBSTITUTE(SUBSTITUTE(SUBSTITUTE($MU105,"~","~~"),"*","~*"),"?","~?"),'DADOS_FORMAS'!$AH$2:$AH$21,0)),"")="",0,IFERROR(N(VLOOKUP(SUBSTITUTE(SUBSTITUTE(SUBSTITUTE(IFERROR(INDEX('DADOS_FORMAS'!$AS$2:$AS$21,MATCH(SUBSTITUTE(SUBSTITUTE(SUBSTITUTE($MU105,"~","~~"),"*","~*"),"?","~?"),'DADOS_FORMAS'!$AH$2:$AH$21,0)),""),"~","~~"),"*","~*"),"?","~?"),'DADOS_RESTRICOES'!$M$2:$Q$54,4,FALSE)=1),0))+IF($NB105="",0,IFERROR(N(VLOOKUP(SUBSTITUTE(SUBSTITUTE(SUBSTITUTE($NB105,"~","~~"),"*","~*"),"?","~?"),'DADOS_RESTRICOES'!$M$2:$Q$54,4,FALSE)=1),0))+IF($NC105="",0,IFERROR(N(VLOOKUP(SUBSTITUTE(SUBSTITUTE(SUBSTITUTE($NC105,"~","~~"),"*","~*"),"?","~?"),'DADOS_RESTRICOES'!$M$2:$Q$54,4,FALSE)=1),0))&gt;1,"Duas Restrições de frequência, contando a embutida",""),IF(AND(IFERROR(VLOOKUP(SUBSTITUTE(SUBSTITUTE(SUBSTITUTE(IFERROR(INDEX('DADOS_FORMAS'!$AS$2:$AS$21,MATCH(SUBSTITUTE(SUBSTITUTE(SUBSTITUTE($MU105,"~","~~"),"*","~*"),"?","~?"),'DADOS_FORMAS'!$AH$2:$AH$21,0)),""),"~","~~"),"*","~*"),"?","~?"),'DADOS_RESTRICOES'!$M$2:$Q$54,2,FALSE),"")="Tudo ou Nada",$OH105=0),"Tudo ou Nada exige TR",""),IF(AND(IFERROR(VLOOKUP(SUBSTITUTE(SUBSTITUTE(SUBSTITUTE(IFERROR(INDEX('DADOS_FORMAS'!$AS$2:$AS$21,MATCH(SUBSTITUTE(SUBSTITUTE(SUBSTITUTE($MU105,"~","~~"),"*","~*"),"?","~?"),'DADOS_FORMAS'!$AH$2:$AH$21,0)),""),"~","~~"),"*","~*"),"?","~?"),'DADOS_RESTRICOES'!$M$2:$Q$54,2,FALSE),"")="Corpo a Corpo",OR($RO105="Cone",$RO105="Linha")),"Corpo a Corpo não entra em Cone/Linha","")))</f>
        <v/>
      </c>
      <c r="PU105" s="164">
        <f>IF($PT105="",0,(LEN($PT105)-LEN(SUBSTITUTE($PT105," · ","")))/3+1)</f>
        <v/>
      </c>
      <c r="PV105" s="164">
        <f>IF($ND105=0,"",TEXTJOIN(" · ",TRUE,IF($OX105&gt;2*$MS105,"A devolução parou no teto de "&amp;2*$MS105,""),IF($PA105&gt;0,"Devolução perdida: "&amp;$PA105&amp;IF($PA105&gt;1," pontos"," ponto")&amp;" sem Melhoria para pagar",""),IF(AND($OC105&gt;0,AND($MS105&gt;0,$OG105=0),$PD105=0),"Controle sem dano: uma rodada a mais e CD +2",""),IF(AND($OC105&gt;0,AND($MS105&gt;0,$OG105=0),$PD105&gt;0,$PD105&lt;=$MS105),"Controle com saldo até a Classe: uma rodada a mais",""),IF(AND($MS105&gt;0,$OE105&lt;&gt;""),"Efeito de "&amp;$OE105&amp;" pela Classe "&amp;MAX(1,$MS105-1),"")))</f>
        <v/>
      </c>
      <c r="PW105" s="164">
        <f>IF($PV105="",0,(LEN($PV105)-LEN(SUBSTITUTE($PV105," · ","")))/3+1)</f>
        <v/>
      </c>
      <c r="PX105" s="164">
        <f>IF($ND105=0,IF($OU105+COUNTIF($NB105:$NC105,"?*")&gt;0,"Dê um nome",""),IF($PU105&gt;0,"⚠ "&amp;$PU105&amp;IF($PU105&gt;1," erros"," erro"),IF($PW105&gt;0,"! "&amp;$PW105&amp;IF($PW105&gt;1," avisos"," aviso"),"Na regra")))</f>
        <v/>
      </c>
      <c r="PY105" s="164">
        <f>IF($ND105=0,"",IF($PU105+$PW105=0,"Dentro das regras que a ficha confere",$PT105&amp;IF(AND($PU105&gt;0,$PW105&gt;0)," · ","")&amp;$PV105))</f>
        <v/>
      </c>
      <c r="PZ105" s="164">
        <f>IF($MQ105&gt;$NE105,$MR105&amp;" · ABRE NO NÍVEL "&amp;$MQ105,$MR105)</f>
        <v/>
      </c>
      <c r="QA105" s="164">
        <f>IF($ND105=0,"",IF($MS105=0,"Sem PE",3*$MS105&amp;" PE"))</f>
        <v/>
      </c>
      <c r="QB105" s="164">
        <f>IF($ND105=0,"",IF($MS105=0,"A atuação básica dela",IF(COUNTIF($RQ105:$RS105,"Atrasar")&gt;0,"Sua Ação Completa",IF(COUNTIF($RK105:$RN105,"Rápido")&gt;0,"Sua Bônus",IF(COUNTIF($RK105:$RN105,"Reação")&gt;0,"Sua Reação","Sua Padrão")))&amp;" + a básica dela"&amp;IF(COUNTIF($RK105:$RN105,"Reação")&gt;0," e a coletiva","")&amp;IF(COUNTIF($RQ105:$RS105,"Carregar")&gt;0," · em dois turnos","")))</f>
        <v/>
      </c>
      <c r="QC105" s="164">
        <f>IF($MW105&lt;&gt;"",$MW105,IF($NJ105=0,"",INDEX('DADOS_FORMAS'!$GE$2:$GE$21,$NJ105)))</f>
        <v/>
      </c>
      <c r="QD105" s="164">
        <f>IF(OR($ND105=0,$NJ105=0),"",IF(COUNTIF($RK105:$RN105,"Inescapável")&gt;0,"Automático",IF($QC105="Ataque",IF($NH105="","Ataque","Ataque "&amp;IF(($NH105+2*IF(COUNTIF($RK105:$RN105,"Precisão")&gt;0,1,0))&gt;=0,"+","−")&amp;ABS(($NH105+2*IF(COUNTIF($RK105:$RN105,"Precisão")&gt;0,1,0))))&amp;IF($OD105&gt;0," · TR"&amp;IF($NI105="",""," CD "&amp;$NI105),""),IF(LEFT($QC105,2)="TR",$QC105&amp;IF($NI105="",""," · CD "&amp;$NI105)&amp;IF(COUNTIF($RK105:$RN105,"Certeiro")&gt;0," · metade",""),"Sem rolagem"))))</f>
        <v/>
      </c>
      <c r="QE105" s="164">
        <f>IF(OR($ND105=0,$NJ105=0),"",IF($MS105=0,IF(OR($OG105&gt;=1,$PD105=0),"Sem dano",$PD105&amp;"d6"&amp;IF($MV105="",""," "&amp;$MV105)),IF(OR($OG105&gt;=1,$PD105=0),UPPER(LEFT(INDEX($PM105:$PS105,1,MAX(1,$MS105)),1))&amp;MID(INDEX($PM105:$PS105,1,MAX(1,$MS105)),2,99),UPPER(LEFT(INDEX($PM105:$PS105,1,MAX(1,$MS105)),1))&amp;MID(INDEX($PM105:$PS105,1,MAX(1,$MS105)),2,99)&amp;IF($MV105="",""," "&amp;$MV105)&amp;IF($PE105&gt;0," · +"&amp;$PE105&amp;"d8",""))))</f>
        <v/>
      </c>
      <c r="QF105" s="164">
        <f>COUNTIF($RK105:$RN105,"Longe")+3*COUNTIF($RK105:$RN105,"Muito Longe")</f>
        <v/>
      </c>
      <c r="QG105" s="164">
        <f>COUNTIF($RK105:$RN105,"Maior")+3*COUNTIF($RK105:$RN105,"Muito Maior")</f>
        <v/>
      </c>
      <c r="QH105" s="164">
        <f>IF($NJ105=0,0,CHOOSE(1+INDEX('DADOS_FORMAS'!$GG$2:$GG$21,$NJ105),0,$QF105,$QG105,$QF105+$QG105))</f>
        <v/>
      </c>
      <c r="QI105" s="164">
        <f>IF($NJ105=0,0,CHOOSE(1+INDEX('DADOS_FORMAS'!$GH$2:$GH$21,$NJ105),0,$QF105,$QG105,$QF105+$QG105))</f>
        <v/>
      </c>
      <c r="QJ105" s="164">
        <f>IF(OR($ND105=0,$NJ105=0),"",INDEX('DADOS_FORMAS'!$HU$2:$HZ$81,($NJ105-1)*4+IF($MS105=0,1,IF($MS105&lt;=5,2,IF($MS105=6,3,4))),1+MIN(5,$QH105))&amp;INDEX('DADOS_FORMAS'!$IA$2:$IF$81,($NJ105-1)*4+IF($MS105=0,1,IF($MS105&lt;=5,2,IF($MS105=6,3,4))),1+MIN(5,$QI105))&amp;IF(INDEX('DADOS_FORMAS'!$GI$2:$GI$21,$NJ105)=1,IF(COUNTIF($RK105:$RN105,"Mais Um")&gt;0," · +"&amp;COUNTIF($RK105:$RN105,"Mais Um")&amp;IF(COUNTIF($RK105:$RN105,"Mais Um")&gt;1," alvos"," alvo"),"")&amp;IF(COUNTIF($RK105:$RN105,"Rajada")&gt;0,IF($MS105=0," · 1 tiro"," · "&amp;(MAX(1,$MS105-1)+1)&amp;" tiros"),""),""))</f>
        <v/>
      </c>
      <c r="QK105" s="164">
        <f>IF($ND105=0,"",IF($MS105=0,$NG105&amp;"d6"&amp;IF($OU105&gt;0," − 1 = "&amp;$PD105&amp;"d6"," da básica do nível "&amp;$NE105),$PB105&amp;" − "&amp;$OW105&amp;" + "&amp;$OZ105&amp;" = "&amp;$PC105&amp;" · teto "&amp;4*$MS105&amp;"d8"&amp;IF($OF105=1," · a Forma devolve "&amp;$MS105,"")&amp;IF($PA105&gt;0," · perde "&amp;$PA105,"")))</f>
        <v/>
      </c>
      <c r="QL105" s="164">
        <f>IF($ND105=0,"",IF($MS105=0,"A básica não amplia: os dados dela sobem com o nível",IF($MS105&gt;=$NF105,"Já está na maior Classe que o nível liberou",TEXTJOIN(" · ",TRUE,IF(AND(2&gt;$MS105,2&lt;=$NF105),"2 → "&amp;$PN105&amp;", 6 PE",""),IF(AND(3&gt;$MS105,3&lt;=$NF105),"3 → "&amp;$PO105&amp;", 9 PE",""),IF(AND(4&gt;$MS105,4&lt;=$NF105),"4 → "&amp;$PP105&amp;", 12 PE",""),IF(AND(5&gt;$MS105,5&lt;=$NF105),"5 → "&amp;$PQ105&amp;", 15 PE",""),IF(AND(6&gt;$MS105,6&lt;=$NF105),"6 → "&amp;$PR105&amp;", 18 PE",""),IF(AND(7&gt;$MS105,7&lt;=$NF105),"7 → "&amp;$PS105&amp;", 21 PE","")))))</f>
        <v/>
      </c>
      <c r="QM105" s="164">
        <f>IF(OR($ND105=0,$NO105=0),"",IF($MS105=0,"−1 dado","−"&amp;INDEX($I$2:$N$8,MAX(1,$MS105),MAX(1,$NT105))&amp;" · "&amp;CHOOSE(MAX(1,$NT105),"Leve","Média","Pesada","Leve · Livre","Média · Livre","Pesada · Livre")))</f>
        <v/>
      </c>
      <c r="QN105" s="164">
        <f>IF(OR($ND105=0,$NP105=0),"",IF($MS105=0,"−1 dado","−"&amp;INDEX($I$2:$N$8,MAX(1,$MS105),MAX(1,$NU105))&amp;" · "&amp;CHOOSE(MAX(1,$NU105),"Leve","Média","Pesada","Leve · Livre","Média · Livre","Pesada · Livre")))</f>
        <v/>
      </c>
      <c r="QO105" s="164">
        <f>IF(OR($ND105=0,$NQ105=0),"",IF($MS105=0,"−1 dado","−"&amp;INDEX($I$2:$N$8,MAX(1,$MS105),MAX(1,$NV105))&amp;" · "&amp;CHOOSE(MAX(1,$NV105),"Leve","Média","Pesada","Leve · Livre","Média · Livre","Pesada · Livre")))</f>
        <v/>
      </c>
      <c r="QP105" s="164">
        <f>IF(OR($ND105=0,$NR105=0),"",IF($MS105=0,"−1 dado","−"&amp;INDEX($I$2:$N$8,MAX(1,$MS105),MAX(1,$NW105))&amp;" · "&amp;CHOOSE(MAX(1,$NW105),"Leve","Média","Pesada","Leve · Livre","Média · Livre","Pesada · Livre")))</f>
        <v/>
      </c>
      <c r="QQ105" s="164">
        <f>IF(OR($ND105=0,$NB105=""),"",IF($MS105=0,"não devolve","+"&amp;IF($OI105=1,CEILING($MS105/2,1),$MS105)))</f>
        <v/>
      </c>
      <c r="QR105" s="164">
        <f>IF(OR($ND105=0,$NC105=""),"",IF($MS105=0,"não devolve","+"&amp;IF($OJ105=1,CEILING($MS105/2,1),$MS105)))</f>
        <v/>
      </c>
      <c r="RK105">
        <f>IF($MX105="","",IFERROR(VLOOKUP(SUBSTITUTE(SUBSTITUTE(SUBSTITUTE($MX105,"~","~~"),"*","~*"),"?","~?"),'DADOS_MELHORIAS'!$O$2:$X$113,10,FALSE),$MX105))</f>
        <v/>
      </c>
      <c r="RL105">
        <f>IF($MY105="","",IFERROR(VLOOKUP(SUBSTITUTE(SUBSTITUTE(SUBSTITUTE($MY105,"~","~~"),"*","~*"),"?","~?"),'DADOS_MELHORIAS'!$O$2:$X$113,10,FALSE),$MY105))</f>
        <v/>
      </c>
      <c r="RM105">
        <f>IF($MZ105="","",IFERROR(VLOOKUP(SUBSTITUTE(SUBSTITUTE(SUBSTITUTE($MZ105,"~","~~"),"*","~*"),"?","~?"),'DADOS_MELHORIAS'!$O$2:$X$113,10,FALSE),$MZ105))</f>
        <v/>
      </c>
      <c r="RN105">
        <f>IF($NA105="","",IFERROR(VLOOKUP(SUBSTITUTE(SUBSTITUTE(SUBSTITUTE($NA105,"~","~~"),"*","~*"),"?","~?"),'DADOS_MELHORIAS'!$O$2:$X$113,10,FALSE),$NA105))</f>
        <v/>
      </c>
      <c r="RO105">
        <f>IFERROR(INDEX('DADOS_FORMAS'!$BJ$2:$BJ$21,MATCH(SUBSTITUTE(SUBSTITUTE(SUBSTITUTE($MU105,"~","~~"),"*","~*"),"?","~?"),'DADOS_FORMAS'!$AH$2:$AH$21,0)),"")</f>
        <v/>
      </c>
      <c r="RP105">
        <f>IFERROR(VLOOKUP(SUBSTITUTE(SUBSTITUTE(SUBSTITUTE(IFERROR(INDEX('DADOS_FORMAS'!$AS$2:$AS$21,MATCH(SUBSTITUTE(SUBSTITUTE(SUBSTITUTE($MU105,"~","~~"),"*","~*"),"?","~?"),'DADOS_FORMAS'!$AH$2:$AH$21,0)),""),"~","~~"),"*","~*"),"?","~?"),'DADOS_RESTRICOES'!$M$2:$Q$54,2,FALSE),"")</f>
        <v/>
      </c>
      <c r="RQ105">
        <f>$OK105</f>
        <v/>
      </c>
      <c r="RR105">
        <f>$OL105</f>
        <v/>
      </c>
      <c r="RS105">
        <f>$RP105</f>
        <v/>
      </c>
    </row>
    <row r="106">
      <c r="MN106" s="162" t="inlineStr">
        <is>
          <t>Ficha 9 · Básica 1</t>
        </is>
      </c>
      <c r="MO106" s="164" t="n">
        <v>9</v>
      </c>
      <c r="MP106" s="164" t="n">
        <v>0</v>
      </c>
      <c r="MQ106" s="164" t="n">
        <v>1</v>
      </c>
      <c r="MR106" s="162" t="inlineStr">
        <is>
          <t>BÁSICA 1</t>
        </is>
      </c>
      <c r="MS106" s="164" t="n">
        <v>0</v>
      </c>
      <c r="MT106" s="164">
        <f>'INVOCAÇÕES'!$AC$493&amp;""</f>
        <v/>
      </c>
      <c r="MU106" s="164">
        <f>'INVOCAÇÕES'!$AB$498&amp;""</f>
        <v/>
      </c>
      <c r="MV106" s="164">
        <f>'INVOCAÇÕES'!$AB$499&amp;""</f>
        <v/>
      </c>
      <c r="MW106" s="164">
        <f>'INVOCAÇÕES'!$AD$499&amp;""</f>
        <v/>
      </c>
      <c r="MX106" s="164">
        <f>'INVOCAÇÕES'!$AC$502&amp;""</f>
        <v/>
      </c>
      <c r="MY106" s="164">
        <f>'INVOCAÇÕES'!$AC$503&amp;""</f>
        <v/>
      </c>
      <c r="MZ106" s="164">
        <f>'INVOCAÇÕES'!$AC$504&amp;""</f>
        <v/>
      </c>
      <c r="NA106" s="164">
        <f>'INVOCAÇÕES'!$AC$505&amp;""</f>
        <v/>
      </c>
      <c r="NB106" s="164">
        <f>'INVOCAÇÕES'!$AC$506&amp;""</f>
        <v/>
      </c>
      <c r="NC106" s="164">
        <f>'INVOCAÇÕES'!$AC$507&amp;""</f>
        <v/>
      </c>
      <c r="ND106" s="164">
        <f>IF($MT106&lt;&gt;"",1,0)</f>
        <v/>
      </c>
      <c r="NE106" s="164">
        <f>INDEX($FO$2:$FO$13,$MO106)</f>
        <v/>
      </c>
      <c r="NF106" s="164">
        <f>INDEX($FP$2:$FP$13,$MO106)</f>
        <v/>
      </c>
      <c r="NG106" s="164">
        <f>INDEX($FQ$2:$FQ$13,$MO106)</f>
        <v/>
      </c>
      <c r="NH106" s="164">
        <f>INDEX($GB$2:$GB$13,$MO106)</f>
        <v/>
      </c>
      <c r="NI106" s="164">
        <f>INDEX($GC$2:$GC$13,$MO106)</f>
        <v/>
      </c>
      <c r="NJ106" s="164">
        <f>IFERROR(MATCH(SUBSTITUTE(SUBSTITUTE(SUBSTITUTE($MU106,"~","~~"),"*","~*"),"?","~?"),'DADOS_FORMAS'!$FZ$2:$FZ$21,0),0)</f>
        <v/>
      </c>
      <c r="NK106" s="164">
        <f>IFERROR(VLOOKUP(SUBSTITUTE(SUBSTITUTE(SUBSTITUTE($MX106,"~","~~"),"*","~*"),"?","~?"),'DADOS_MELHORIAS'!$AG$2:$AL$113,2,FALSE),"")</f>
        <v/>
      </c>
      <c r="NL106" s="164">
        <f>IFERROR(VLOOKUP(SUBSTITUTE(SUBSTITUTE(SUBSTITUTE($MY106,"~","~~"),"*","~*"),"?","~?"),'DADOS_MELHORIAS'!$AG$2:$AL$113,2,FALSE),"")</f>
        <v/>
      </c>
      <c r="NM106" s="164">
        <f>IFERROR(VLOOKUP(SUBSTITUTE(SUBSTITUTE(SUBSTITUTE($MZ106,"~","~~"),"*","~*"),"?","~?"),'DADOS_MELHORIAS'!$AG$2:$AL$113,2,FALSE),"")</f>
        <v/>
      </c>
      <c r="NN106" s="164">
        <f>IFERROR(VLOOKUP(SUBSTITUTE(SUBSTITUTE(SUBSTITUTE($NA106,"~","~~"),"*","~*"),"?","~?"),'DADOS_MELHORIAS'!$AG$2:$AL$113,2,FALSE),"")</f>
        <v/>
      </c>
      <c r="NO106" s="164">
        <f>IFERROR(VLOOKUP(SUBSTITUTE(SUBSTITUTE(SUBSTITUTE($MX106,"~","~~"),"*","~*"),"?","~?"),'DADOS_MELHORIAS'!$AG$2:$AL$113,3,FALSE),0)</f>
        <v/>
      </c>
      <c r="NP106" s="164">
        <f>IFERROR(VLOOKUP(SUBSTITUTE(SUBSTITUTE(SUBSTITUTE($MY106,"~","~~"),"*","~*"),"?","~?"),'DADOS_MELHORIAS'!$AG$2:$AL$113,3,FALSE),0)</f>
        <v/>
      </c>
      <c r="NQ106" s="164">
        <f>IFERROR(VLOOKUP(SUBSTITUTE(SUBSTITUTE(SUBSTITUTE($MZ106,"~","~~"),"*","~*"),"?","~?"),'DADOS_MELHORIAS'!$AG$2:$AL$113,3,FALSE),0)</f>
        <v/>
      </c>
      <c r="NR106" s="164">
        <f>IFERROR(VLOOKUP(SUBSTITUTE(SUBSTITUTE(SUBSTITUTE($NA106,"~","~~"),"*","~*"),"?","~?"),'DADOS_MELHORIAS'!$AG$2:$AL$113,3,FALSE),0)</f>
        <v/>
      </c>
      <c r="NS106" s="164">
        <f>IF($MS106=0,0,IF($NJ106=0,0,INDEX('DADOS_FORMAS'!$GB$2:$GB$21,$NJ106)))</f>
        <v/>
      </c>
      <c r="NT106" s="164">
        <f>IF(OR($NO106=0,$MS106=0),0,$NO106+3*IF(AND($NK106&lt;&gt;"",COUNTIF(INDEX($RB$2:$RJ$13,$MO106,0),$NK106)&gt;0),1,0))</f>
        <v/>
      </c>
      <c r="NU106" s="164">
        <f>IF(OR($NP106=0,$MS106=0),0,$NP106+3*IF(AND($NL106&lt;&gt;"",COUNTIF(INDEX($RB$2:$RJ$13,$MO106,0),$NL106)&gt;0),1,0))</f>
        <v/>
      </c>
      <c r="NV106" s="164">
        <f>IF(OR($NQ106=0,$MS106=0),0,$NQ106+3*IF(AND($NM106&lt;&gt;"",COUNTIF(INDEX($RB$2:$RJ$13,$MO106,0),$NM106)&gt;0),1,0))</f>
        <v/>
      </c>
      <c r="NW106" s="164">
        <f>IF(OR($NR106=0,$MS106=0),0,$NR106+3*IF(AND($NN106&lt;&gt;"",COUNTIF(INDEX($RB$2:$RJ$13,$MO106,0),$NN106)&gt;0),1,0))</f>
        <v/>
      </c>
      <c r="NX106" s="164">
        <f>IF($NJ106=0,0,IF(INDEX('DADOS_FORMAS'!$GA$2:$GA$21,$NJ106)="",0,IF((COUNTIF(INDEX($EL$2:$EP$13,$MO106,0),INDEX('DADOS_FORMAS'!$GA$2:$GA$21,$NJ106))+COUNTIF(INDEX($QV$2:$QY$13,$MO106,0),INDEX('DADOS_FORMAS'!$GA$2:$GA$21,$NJ106)))=0,1,0)))</f>
        <v/>
      </c>
      <c r="NY106" s="164">
        <f>IF(OR($NO106=0,$NK106=""),0,IF((COUNTIF(INDEX($EL$2:$EP$13,$MO106,0),$NK106)+COUNTIF(INDEX($QV$2:$QY$13,$MO106,0),$NK106))=0,1,0))</f>
        <v/>
      </c>
      <c r="NZ106" s="164">
        <f>IF(OR($NP106=0,$NL106=""),0,IF((COUNTIF(INDEX($EL$2:$EP$13,$MO106,0),$NL106)+COUNTIF(INDEX($QV$2:$QY$13,$MO106,0),$NL106))=0,1,0))</f>
        <v/>
      </c>
      <c r="OA106" s="164">
        <f>IF(OR($NQ106=0,$NM106=""),0,IF((COUNTIF(INDEX($EL$2:$EP$13,$MO106,0),$NM106)+COUNTIF(INDEX($QV$2:$QY$13,$MO106,0),$NM106))=0,1,0))</f>
        <v/>
      </c>
      <c r="OB106" s="164">
        <f>IF(OR($NR106=0,$NN106=""),0,IF((COUNTIF(INDEX($EL$2:$EP$13,$MO106,0),$NN106)+COUNTIF(INDEX($QV$2:$QY$13,$MO106,0),$NN106))=0,1,0))</f>
        <v/>
      </c>
      <c r="OC106" s="164">
        <f>IFERROR(VLOOKUP(SUBSTITUTE(SUBSTITUTE(SUBSTITUTE($MX106,"~","~~"),"*","~*"),"?","~?"),'DADOS_MELHORIAS'!$AG$2:$AL$113,4,FALSE),0)+IFERROR(VLOOKUP(SUBSTITUTE(SUBSTITUTE(SUBSTITUTE($MY106,"~","~~"),"*","~*"),"?","~?"),'DADOS_MELHORIAS'!$AG$2:$AL$113,4,FALSE),0)+IFERROR(VLOOKUP(SUBSTITUTE(SUBSTITUTE(SUBSTITUTE($MZ106,"~","~~"),"*","~*"),"?","~?"),'DADOS_MELHORIAS'!$AG$2:$AL$113,4,FALSE),0)+IFERROR(VLOOKUP(SUBSTITUTE(SUBSTITUTE(SUBSTITUTE($NA106,"~","~~"),"*","~*"),"?","~?"),'DADOS_MELHORIAS'!$AG$2:$AL$113,4,FALSE),0)</f>
        <v/>
      </c>
      <c r="OD106" s="164">
        <f>IFERROR(VLOOKUP(SUBSTITUTE(SUBSTITUTE(SUBSTITUTE($MX106,"~","~~"),"*","~*"),"?","~?"),'DADOS_MELHORIAS'!$AG$2:$AL$113,6,FALSE),0)+IFERROR(VLOOKUP(SUBSTITUTE(SUBSTITUTE(SUBSTITUTE($MY106,"~","~~"),"*","~*"),"?","~?"),'DADOS_MELHORIAS'!$AG$2:$AL$113,6,FALSE),0)+IFERROR(VLOOKUP(SUBSTITUTE(SUBSTITUTE(SUBSTITUTE($MZ106,"~","~~"),"*","~*"),"?","~?"),'DADOS_MELHORIAS'!$AG$2:$AL$113,6,FALSE),0)+IFERROR(VLOOKUP(SUBSTITUTE(SUBSTITUTE(SUBSTITUTE($NA106,"~","~~"),"*","~*"),"?","~?"),'DADOS_MELHORIAS'!$AG$2:$AL$113,6,FALSE),0)+IFERROR(N(AND(INDEX('DADOS_FORMAS'!$AO$2:$AO$21,MATCH(SUBSTITUTE(SUBSTITUTE(SUBSTITUTE($MU106,"~","~~"),"*","~*"),"?","~?"),'DADOS_FORMAS'!$AH$2:$AH$21,0))="Acerto",$OH106=1)),0)</f>
        <v/>
      </c>
      <c r="OE106" s="164">
        <f>TEXTJOIN(", ",TRUE,IF(IFERROR(VLOOKUP(SUBSTITUTE(SUBSTITUTE(SUBSTITUTE($MX106,"~","~~"),"*","~*"),"?","~?"),'DADOS_MELHORIAS'!$AG$2:$AL$113,5,FALSE),0)=1,$MX106,""),IF(IFERROR(VLOOKUP(SUBSTITUTE(SUBSTITUTE(SUBSTITUTE($MY106,"~","~~"),"*","~*"),"?","~?"),'DADOS_MELHORIAS'!$AG$2:$AL$113,5,FALSE),0)=1,$MY106,""),IF(IFERROR(VLOOKUP(SUBSTITUTE(SUBSTITUTE(SUBSTITUTE($MZ106,"~","~~"),"*","~*"),"?","~?"),'DADOS_MELHORIAS'!$AG$2:$AL$113,5,FALSE),0)=1,$MZ106,""),IF(IFERROR(VLOOKUP(SUBSTITUTE(SUBSTITUTE(SUBSTITUTE($NA106,"~","~~"),"*","~*"),"?","~?"),'DADOS_MELHORIAS'!$AG$2:$AL$113,5,FALSE),0)=1,$NA106,""))</f>
        <v/>
      </c>
      <c r="OF106" s="164">
        <f>IF($NJ106=0,0,INDEX('DADOS_FORMAS'!$GC$2:$GC$21,$NJ106))</f>
        <v/>
      </c>
      <c r="OG106" s="164">
        <f>IF($NJ106=0,0,INDEX('DADOS_FORMAS'!$GD$2:$GD$21,$NJ106))</f>
        <v/>
      </c>
      <c r="OH106" s="164">
        <f>IF($NJ106=0,0,INDEX('DADOS_FORMAS'!$GF$2:$GF$21,$NJ106))</f>
        <v/>
      </c>
      <c r="OI106" s="164">
        <f>IFERROR(VLOOKUP(SUBSTITUTE(SUBSTITUTE(SUBSTITUTE($NB106,"~","~~"),"*","~*"),"?","~?"),'DADOS_RESTRICOES'!$M$2:$Q$54,3,FALSE),0)</f>
        <v/>
      </c>
      <c r="OJ106" s="164">
        <f>IFERROR(VLOOKUP(SUBSTITUTE(SUBSTITUTE(SUBSTITUTE($NC106,"~","~~"),"*","~*"),"?","~?"),'DADOS_RESTRICOES'!$M$2:$Q$54,3,FALSE),0)</f>
        <v/>
      </c>
      <c r="OK106" s="164">
        <f>IFERROR(VLOOKUP(SUBSTITUTE(SUBSTITUTE(SUBSTITUTE($NB106,"~","~~"),"*","~*"),"?","~?"),'DADOS_RESTRICOES'!$M$2:$Q$54,2,FALSE),"")</f>
        <v/>
      </c>
      <c r="OL106" s="164">
        <f>IFERROR(VLOOKUP(SUBSTITUTE(SUBSTITUTE(SUBSTITUTE($NC106,"~","~~"),"*","~*"),"?","~?"),'DADOS_RESTRICOES'!$M$2:$Q$54,2,FALSE),"")</f>
        <v/>
      </c>
      <c r="OM106" s="164">
        <f>COUNTIF($NS106:$NW106,1)</f>
        <v/>
      </c>
      <c r="ON106" s="164">
        <f>COUNTIF($NS106:$NW106,2)</f>
        <v/>
      </c>
      <c r="OO106" s="164">
        <f>COUNTIF($NS106:$NW106,3)</f>
        <v/>
      </c>
      <c r="OP106" s="164">
        <f>COUNTIF($NS106:$NW106,4)</f>
        <v/>
      </c>
      <c r="OQ106" s="164">
        <f>COUNTIF($NS106:$NW106,5)</f>
        <v/>
      </c>
      <c r="OR106" s="164">
        <f>COUNTIF($NS106:$NW106,6)</f>
        <v/>
      </c>
      <c r="OS106" s="164">
        <f>COUNTIF($OI106:$OJ106,1)+IF(IFERROR(INDEX('DADOS_FORMAS'!$AS$2:$AS$21,MATCH(SUBSTITUTE(SUBSTITUTE(SUBSTITUTE($MU106,"~","~~"),"*","~*"),"?","~?"),'DADOS_FORMAS'!$AH$2:$AH$21,0)),"")="",0,IFERROR(N(VLOOKUP(SUBSTITUTE(SUBSTITUTE(SUBSTITUTE(IFERROR(INDEX('DADOS_FORMAS'!$AS$2:$AS$21,MATCH(SUBSTITUTE(SUBSTITUTE(SUBSTITUTE($MU106,"~","~~"),"*","~*"),"?","~?"),'DADOS_FORMAS'!$AH$2:$AH$21,0)),""),"~","~~"),"*","~*"),"?","~?"),'DADOS_RESTRICOES'!$M$2:$Q$54,3,FALSE)=1),0))</f>
        <v/>
      </c>
      <c r="OT106" s="164">
        <f>COUNTIF($OI106:$OJ106,2)+IF(IFERROR(INDEX('DADOS_FORMAS'!$AS$2:$AS$21,MATCH(SUBSTITUTE(SUBSTITUTE(SUBSTITUTE($MU106,"~","~~"),"*","~*"),"?","~?"),'DADOS_FORMAS'!$AH$2:$AH$21,0)),"")="",0,IFERROR(N(VLOOKUP(SUBSTITUTE(SUBSTITUTE(SUBSTITUTE(IFERROR(INDEX('DADOS_FORMAS'!$AS$2:$AS$21,MATCH(SUBSTITUTE(SUBSTITUTE(SUBSTITUTE($MU106,"~","~~"),"*","~*"),"?","~?"),'DADOS_FORMAS'!$AH$2:$AH$21,0)),""),"~","~~"),"*","~*"),"?","~?"),'DADOS_RESTRICOES'!$M$2:$Q$54,3,FALSE)=2),0))</f>
        <v/>
      </c>
      <c r="OU106" s="164">
        <f>COUNTIF($MX106:$NA106,"?*")</f>
        <v/>
      </c>
      <c r="OV106" s="164">
        <f>COUNTIF($NB106:$NC106,"?*")+$OF106</f>
        <v/>
      </c>
      <c r="OW106" s="164">
        <f>IF($MS106=0,0,SUMPRODUCT($OM106:$OR106,INDEX($I$2:$N$8,MAX(1,$MS106),0)))</f>
        <v/>
      </c>
      <c r="OX106" s="164">
        <f>IF($MS106=0,0,$OS106*CEILING($MS106/2,1)+$OT106*$MS106)</f>
        <v/>
      </c>
      <c r="OY106" s="164">
        <f>MIN(2*$MS106,$OX106)</f>
        <v/>
      </c>
      <c r="OZ106" s="164">
        <f>MIN($OY106,$OW106-IF($NS106=0,0,INDEX($I$2:$N$8,MAX(1,$MS106),$NS106)))</f>
        <v/>
      </c>
      <c r="PA106" s="164">
        <f>$OY106-$OZ106</f>
        <v/>
      </c>
      <c r="PB106" s="164">
        <f>IF($MS106=0,0,INDEX($P$2:$P$8,MAX(1,$MS106)))</f>
        <v/>
      </c>
      <c r="PC106" s="164">
        <f>$PB106-$OW106+$OZ106</f>
        <v/>
      </c>
      <c r="PD106" s="164">
        <f>IF($MS106=0,MAX(0,$NG106-IF(AND($OU106&gt;0,COUNTIF($NB106:$NC106,"?*")=0),1,0)),MAX(0,$PC106))</f>
        <v/>
      </c>
      <c r="PE106" s="164">
        <f>IF($MS106=0,0,(IF(COUNTIF($RK106:$RN106,"Salto")&gt;0,1,0)+IF(COUNTIF($RK106:$RN106,"Queima")&gt;0,1,0)+IF(COUNTIF($RK106:$RN106,"Estilhaço")&gt;0,1,0))*FLOOR($PD106/2,1))</f>
        <v/>
      </c>
      <c r="PF106" s="164">
        <f>MAX(0,2-SUMPRODUCT($OM106:$OR106,$I$2:$N$2)+MIN(2,$OS106*1+$OT106*1,SUMPRODUCT($OM106:$OR106,$I$2:$N$2)-IF($NS106=0,0,INDEX($I$2:$N$2,1,$NS106))))</f>
        <v/>
      </c>
      <c r="PG106" s="164">
        <f>MAX(0,4-SUMPRODUCT($OM106:$OR106,$I$3:$N$3)+MIN(4,$OS106*1+$OT106*2,SUMPRODUCT($OM106:$OR106,$I$3:$N$3)-IF($NS106=0,0,INDEX($I$3:$N$3,1,$NS106))))</f>
        <v/>
      </c>
      <c r="PH106" s="164">
        <f>MAX(0,6-SUMPRODUCT($OM106:$OR106,$I$4:$N$4)+MIN(6,$OS106*2+$OT106*3,SUMPRODUCT($OM106:$OR106,$I$4:$N$4)-IF($NS106=0,0,INDEX($I$4:$N$4,1,$NS106))))</f>
        <v/>
      </c>
      <c r="PI106" s="164">
        <f>MAX(0,9-SUMPRODUCT($OM106:$OR106,$I$5:$N$5)+MIN(8,$OS106*2+$OT106*4,SUMPRODUCT($OM106:$OR106,$I$5:$N$5)-IF($NS106=0,0,INDEX($I$5:$N$5,1,$NS106))))</f>
        <v/>
      </c>
      <c r="PJ106" s="164">
        <f>MAX(0,11-SUMPRODUCT($OM106:$OR106,$I$6:$N$6)+MIN(10,$OS106*3+$OT106*5,SUMPRODUCT($OM106:$OR106,$I$6:$N$6)-IF($NS106=0,0,INDEX($I$6:$N$6,1,$NS106))))</f>
        <v/>
      </c>
      <c r="PK106" s="164">
        <f>MAX(0,13-SUMPRODUCT($OM106:$OR106,$I$7:$N$7)+MIN(12,$OS106*3+$OT106*6,SUMPRODUCT($OM106:$OR106,$I$7:$N$7)-IF($NS106=0,0,INDEX($I$7:$N$7,1,$NS106))))</f>
        <v/>
      </c>
      <c r="PL106" s="164">
        <f>MAX(0,16-SUMPRODUCT($OM106:$OR106,$I$8:$N$8)+MIN(14,$OS106*4+$OT106*7,SUMPRODUCT($OM106:$OR106,$I$8:$N$8)-IF($NS106=0,0,INDEX($I$8:$N$8,1,$NS106))))</f>
        <v/>
      </c>
      <c r="PM106" s="164">
        <f>IF($OG106=2,3*$PF106&amp;" de vida temp.",IF($OG106=3,"sem dano",IF($PF106=0,IF($OG106=1,"sem cura","sem dano"),IF($OG106=1,"cura ","")&amp;$PF106&amp;"d8")))</f>
        <v/>
      </c>
      <c r="PN106" s="164">
        <f>IF($OG106=2,3*$PG106&amp;" de vida temp.",IF($OG106=3,"sem dano",IF($PG106=0,IF($OG106=1,"sem cura","sem dano"),IF($OG106=1,"cura ","")&amp;$PG106&amp;"d8")))</f>
        <v/>
      </c>
      <c r="PO106" s="164">
        <f>IF($OG106=2,3*$PH106&amp;" de vida temp.",IF($OG106=3,"sem dano",IF($PH106=0,IF($OG106=1,"sem cura","sem dano"),IF($OG106=1,"cura ","")&amp;$PH106&amp;"d8")))</f>
        <v/>
      </c>
      <c r="PP106" s="164">
        <f>IF($OG106=2,3*$PI106&amp;" de vida temp.",IF($OG106=3,"sem dano",IF($PI106=0,IF($OG106=1,"sem cura","sem dano"),IF($OG106=1,"cura ","")&amp;$PI106&amp;"d8")))</f>
        <v/>
      </c>
      <c r="PQ106" s="164">
        <f>IF($OG106=2,3*$PJ106&amp;" de vida temp.",IF($OG106=3,"sem dano",IF($PJ106=0,IF($OG106=1,"sem cura","sem dano"),IF($OG106=1,"cura ","")&amp;$PJ106&amp;"d8")))</f>
        <v/>
      </c>
      <c r="PR106" s="164">
        <f>IF($OG106=2,3*$PK106&amp;" de vida temp.",IF($OG106=3,"sem dano",IF($PK106=0,IF($OG106=1,"sem cura","sem dano"),IF($OG106=1,"cura ","")&amp;$PK106&amp;"d8")))</f>
        <v/>
      </c>
      <c r="PS106" s="164">
        <f>IF($OG106=2,3*$PL106&amp;" de vida temp.",IF($OG106=3,"sem dano",IF($PL106=0,IF($OG106=1,"sem cura","sem dano"),IF($OG106=1,"cura ","")&amp;$PL106&amp;"d8")))</f>
        <v/>
      </c>
      <c r="PT106" s="164">
        <f>IF($ND106=0,"",TEXTJOIN(" · ",TRUE,IF($ND106=0,"",TEXTJOIN(" · ",TRUE,IF($ND106=0,"",TEXTJOIN(" · ",TRUE,IF($MQ106&gt;$NE106,"Este lugar abre no nível "&amp;$MQ106,""),IF($MS106&gt;$NF106,"Classe "&amp;$MS106&amp;": o nível "&amp;$NE106&amp;" libera até a "&amp;$NF106,""),IF($NX106=1,"A Forma "&amp;$MU106&amp;" pede "&amp;INDEX('DADOS_FORMAS'!$GA$2:$GA$21,$NJ106)&amp;" aberta",""),IF(AND($MS106=0,$NJ106&gt;0,IF($NJ106=0,0,INDEX('DADOS_FORMAS'!$GJ$2:$GJ$21,$NJ106))=0),$MU106&amp;" não existe na Classe 0",""),IF($NY106=1,"Família Fechada: "&amp;$MX106,""),IF($NZ106=1,"Família Fechada: "&amp;$MY106,""),IF($OA106=1,"Família Fechada: "&amp;$MZ106,""),IF($OB106=1,"Família Fechada: "&amp;$NA106,""),IF(AND($MS106&gt;0,$OU106&gt;INDEX($O$2:$O$8,MAX(1,$MS106))),$OU106&amp;" Melhorias: a Classe "&amp;$MS106&amp;" aceita "&amp;INDEX($O$2:$O$8,MAX(1,$MS106)),""),IF(AND($MS106=0,$OU106&gt;1),"A básica aceita uma Melhoria",""),IF(AND($MS106=0,COUNTIF($NO106:$NR106,"&gt;1")&gt;0),"A básica só aceita Melhoria Leve",""),IF(AND($MS106&gt;0,$OV106&gt;2),$OV106&amp;" Restrições"&amp;IF($OF106=1,", contando a que a Forma "&amp;$MU106&amp;" já traz","")&amp;": o limite é 2",""),IF(AND($MS106=0,COUNTIF($NB106:$NC106,"?*")&gt;1),"A básica aceita uma Restrição Leve",""),IF(AND($MS106=0,COUNTIF($OI106:$OJ106,2)&gt;0),"A básica só aceita Restrição Leve",""),IF(AND($MS106&gt;0,$PC106&lt;0),"Orçamento estourado: faltam "&amp;(-$PC106)&amp;IF($PC106&lt;-1," pontos"," ponto"),""),IF(IFERROR(VLOOKUP(SUBSTITUTE(SUBSTITUTE(SUBSTITUTE($NB106,"~","~~"),"*","~*"),"?","~?"),'DADOS_RESTRICOES'!$M$2:$Q$54,4,FALSE),0)+IFERROR(VLOOKUP(SUBSTITUTE(SUBSTITUTE(SUBSTITUTE($NC106,"~","~~"),"*","~*"),"?","~?"),'DADOS_RESTRICOES'!$M$2:$Q$54,4,FALSE),0)&gt;1,$OK106&amp;" e "&amp;$OL106&amp;" são as duas de frequência",""),IF(AND((COUNTIF($RK106:$RN106,"Rápido")+COUNTIF($OK106:$OL106,"Rápido"))&gt;0,(COUNTIF($MX106:$NA106,"Atrasar")+COUNTIF($OK106:$OL106,"Atrasar"))&gt;0),"Rápido não entra com Atrasar",""),IF(AND((COUNTIF($RK106:$RN106,"Reação")+COUNTIF($OK106:$OL106,"Reação"))&gt;0,(COUNTIF($RK106:$RN106,"Rápido")+COUNTIF($OK106:$OL106,"Rápido"))&gt;0),"Reação não entra com Rápido",""),IF(AND((COUNTIF($RK106:$RN106,"Reação")+COUNTIF($OK106:$OL106,"Reação"))&gt;0,(COUNTIF($RK106:$RN106,"Armado")+COUNTIF($OK106:$OL106,"Armado"))&gt;0),"Reação não entra com Armado",""),IF(AND((COUNTIF($RK106:$RN106,"Reação")+COUNTIF($OK106:$OL106,"Reação"))&gt;0,(COUNTIF($MX106:$NA106,"Atrasar")+COUNTIF($OK106:$OL106,"Atrasar"))&gt;0),"Reação não entra com Atrasar",""),IF(AND((COUNTIF($RK106:$RN106,"Reação")+COUNTIF($OK106:$OL106,"Reação"))&gt;0,(COUNTIF($MX106:$NA106,"Parado")+COUNTIF($OK106:$OL106,"Parado"))&gt;0),"Reação não entra com Parado",""),IF(AND((COUNTIF($MX106:$NA106,"Atrasar")+COUNTIF($OK106:$OL106,"Atrasar"))&gt;0,(COUNTIF($MX106:$NA106,"Parado")+COUNTIF($OK106:$OL106,"Parado"))&gt;0),"Atrasar não entra com Parado",""),IF(AND((COUNTIF($RK106:$RN106,"Armado")+COUNTIF($OK106:$OL106,"Armado"))&gt;0,(COUNTIF($MX106:$NA106,"Carregar")+COUNTIF($OK106:$OL106,"Carregar"))&gt;0),"Armado não entra com Carregar",""),IF(AND(COUNTIF($OK106:$OL106,"Corpo a Corpo")&gt;0,$OF106=0,OR($RO106="Cone",$RO106="Linha")),"Corpo a Corpo não entra em "&amp;$MU106,""),IF(AND(COUNTIF($OK106:$OL106,"Corpo a Corpo")&gt;0,$RP106="Corpo a Corpo"),"A Forma "&amp;$MU106&amp;" já traz o Corpo a Corpo",""),IF(AND(COUNTIF($OK106:$OL106,"Tudo ou Nada")&gt;0,$OH106=0),"Tudo ou Nada só entra em habilidade de Teste de Resistência",""),IF(AND(COUNTIF($RK106:$RN106,"Inescapável")&gt;0,OR($OU106&gt;1,$OV106&gt;0)),"Inescapável não aceita outra peça",""),IF(AND($MS106&gt;0,$PD106*IF(COUNTIF($RK106:$RN106,"Remate")&gt;0,1.25,1)+$PE106&gt;4*$MS106),($PD106*IF(COUNTIF($RK106:$RN106,"Remate")&gt;0,1.25,1)+$PE106)&amp;" dados somando repetições"&amp;IF(COUNTIF($RK106:$RN106,"Remate")&gt;0," e o Remate","")&amp;": o teto da Classe "&amp;$MS106&amp;" é "&amp;4*$MS106,""))),IF(AND($MX106&lt;&gt;"",COUNTIF('DADOS_MELHORIAS'!$O$2:$O$113,SUBSTITUTE(SUBSTITUTE(SUBSTITUTE($MX106,"~","~~"),"*","~*"),"?","~?"))=0),"Melhoria não cadastrada ou com erro: "&amp;$MX106,""),IF(AND($MY106&lt;&gt;"",COUNTIF('DADOS_MELHORIAS'!$O$2:$O$113,SUBSTITUTE(SUBSTITUTE(SUBSTITUTE($MY106,"~","~~"),"*","~*"),"?","~?"))=0),"Melhoria não cadastrada ou com erro: "&amp;$MY106,""),IF(AND($MZ106&lt;&gt;"",COUNTIF('DADOS_MELHORIAS'!$O$2:$O$113,SUBSTITUTE(SUBSTITUTE(SUBSTITUTE($MZ106,"~","~~"),"*","~*"),"?","~?"))=0),"Melhoria não cadastrada ou com erro: "&amp;$MZ106,""),IF(AND($NA106&lt;&gt;"",COUNTIF('DADOS_MELHORIAS'!$O$2:$O$113,SUBSTITUTE(SUBSTITUTE(SUBSTITUTE($NA106,"~","~~"),"*","~*"),"?","~?"))=0),"Melhoria não cadastrada ou com erro: "&amp;$NA106,""),IF(AND($NB106&lt;&gt;"",COUNTIF('DADOS_RESTRICOES'!$M$2:$M$54,SUBSTITUTE(SUBSTITUTE(SUBSTITUTE($NB106,"~","~~"),"*","~*"),"?","~?"))=0),"Restrição não cadastrada ou com erro: "&amp;$NB106,""),IF(AND($NC106&lt;&gt;"",COUNTIF('DADOS_RESTRICOES'!$M$2:$M$54,SUBSTITUTE(SUBSTITUTE(SUBSTITUTE($NC106,"~","~~"),"*","~*"),"?","~?"))=0),"Restrição não cadastrada ou com erro: "&amp;$NC106,""))),IF(AND($MU106&lt;&gt;"",COUNTIF('DADOS_FORMAS'!$AH$2:$AH$21,SUBSTITUTE(SUBSTITUTE(SUBSTITUTE($MU106,"~","~~"),"*","~*"),"?","~?"))=0),"Forma não cadastrada ou com erro: "&amp;$MU106,""),IF(AND(IFERROR(INDEX('DADOS_FORMAS'!$AS$2:$AS$21,MATCH(SUBSTITUTE(SUBSTITUTE(SUBSTITUTE($MU106,"~","~~"),"*","~*"),"?","~?"),'DADOS_FORMAS'!$AH$2:$AH$21,0)),"")&lt;&gt;"",OR(IFERROR(VLOOKUP(SUBSTITUTE(SUBSTITUTE(SUBSTITUTE(IFERROR(INDEX('DADOS_FORMAS'!$AS$2:$AS$21,MATCH(SUBSTITUTE(SUBSTITUTE(SUBSTITUTE($MU106,"~","~~"),"*","~*"),"?","~?"),'DADOS_FORMAS'!$AH$2:$AH$21,0)),""),"~","~~"),"*","~*"),"?","~?"),'DADOS_RESTRICOES'!$M$2:$Q$54,2,FALSE),"")=$OK106,IFERROR(VLOOKUP(SUBSTITUTE(SUBSTITUTE(SUBSTITUTE(IFERROR(INDEX('DADOS_FORMAS'!$AS$2:$AS$21,MATCH(SUBSTITUTE(SUBSTITUTE(SUBSTITUTE($MU106,"~","~~"),"*","~*"),"?","~?"),'DADOS_FORMAS'!$AH$2:$AH$21,0)),""),"~","~~"),"*","~*"),"?","~?"),'DADOS_RESTRICOES'!$M$2:$Q$54,2,FALSE),"")=$OL106)),"Restrição repetida, contando a embutida",""),IF(IF(IFERROR(INDEX('DADOS_FORMAS'!$AS$2:$AS$21,MATCH(SUBSTITUTE(SUBSTITUTE(SUBSTITUTE($MU106,"~","~~"),"*","~*"),"?","~?"),'DADOS_FORMAS'!$AH$2:$AH$21,0)),"")="",0,IFERROR(N(VLOOKUP(SUBSTITUTE(SUBSTITUTE(SUBSTITUTE(IFERROR(INDEX('DADOS_FORMAS'!$AS$2:$AS$21,MATCH(SUBSTITUTE(SUBSTITUTE(SUBSTITUTE($MU106,"~","~~"),"*","~*"),"?","~?"),'DADOS_FORMAS'!$AH$2:$AH$21,0)),""),"~","~~"),"*","~*"),"?","~?"),'DADOS_RESTRICOES'!$M$2:$Q$54,4,FALSE)=1),0))+IF($NB106="",0,IFERROR(N(VLOOKUP(SUBSTITUTE(SUBSTITUTE(SUBSTITUTE($NB106,"~","~~"),"*","~*"),"?","~?"),'DADOS_RESTRICOES'!$M$2:$Q$54,4,FALSE)=1),0))+IF($NC106="",0,IFERROR(N(VLOOKUP(SUBSTITUTE(SUBSTITUTE(SUBSTITUTE($NC106,"~","~~"),"*","~*"),"?","~?"),'DADOS_RESTRICOES'!$M$2:$Q$54,4,FALSE)=1),0))&gt;1,"Duas Restrições de frequência, contando a embutida",""),IF(AND(IFERROR(VLOOKUP(SUBSTITUTE(SUBSTITUTE(SUBSTITUTE(IFERROR(INDEX('DADOS_FORMAS'!$AS$2:$AS$21,MATCH(SUBSTITUTE(SUBSTITUTE(SUBSTITUTE($MU106,"~","~~"),"*","~*"),"?","~?"),'DADOS_FORMAS'!$AH$2:$AH$21,0)),""),"~","~~"),"*","~*"),"?","~?"),'DADOS_RESTRICOES'!$M$2:$Q$54,2,FALSE),"")="Tudo ou Nada",$OH106=0),"Tudo ou Nada exige TR",""),IF(AND(IFERROR(VLOOKUP(SUBSTITUTE(SUBSTITUTE(SUBSTITUTE(IFERROR(INDEX('DADOS_FORMAS'!$AS$2:$AS$21,MATCH(SUBSTITUTE(SUBSTITUTE(SUBSTITUTE($MU106,"~","~~"),"*","~*"),"?","~?"),'DADOS_FORMAS'!$AH$2:$AH$21,0)),""),"~","~~"),"*","~*"),"?","~?"),'DADOS_RESTRICOES'!$M$2:$Q$54,2,FALSE),"")="Corpo a Corpo",OR($RO106="Cone",$RO106="Linha")),"Corpo a Corpo não entra em Cone/Linha","")))</f>
        <v/>
      </c>
      <c r="PU106" s="164">
        <f>IF($PT106="",0,(LEN($PT106)-LEN(SUBSTITUTE($PT106," · ","")))/3+1)</f>
        <v/>
      </c>
      <c r="PV106" s="164">
        <f>IF($ND106=0,"",TEXTJOIN(" · ",TRUE,IF($OX106&gt;2*$MS106,"A devolução parou no teto de "&amp;2*$MS106,""),IF($PA106&gt;0,"Devolução perdida: "&amp;$PA106&amp;IF($PA106&gt;1," pontos"," ponto")&amp;" sem Melhoria para pagar",""),IF(AND($OC106&gt;0,AND($MS106&gt;0,$OG106=0),$PD106=0),"Controle sem dano: uma rodada a mais e CD +2",""),IF(AND($OC106&gt;0,AND($MS106&gt;0,$OG106=0),$PD106&gt;0,$PD106&lt;=$MS106),"Controle com saldo até a Classe: uma rodada a mais",""),IF(AND($MS106&gt;0,$OE106&lt;&gt;""),"Efeito de "&amp;$OE106&amp;" pela Classe "&amp;MAX(1,$MS106-1),"")))</f>
        <v/>
      </c>
      <c r="PW106" s="164">
        <f>IF($PV106="",0,(LEN($PV106)-LEN(SUBSTITUTE($PV106," · ","")))/3+1)</f>
        <v/>
      </c>
      <c r="PX106" s="164">
        <f>IF($ND106=0,IF($OU106+COUNTIF($NB106:$NC106,"?*")&gt;0,"Dê um nome",""),IF($PU106&gt;0,"⚠ "&amp;$PU106&amp;IF($PU106&gt;1," erros"," erro"),IF($PW106&gt;0,"! "&amp;$PW106&amp;IF($PW106&gt;1," avisos"," aviso"),"Na regra")))</f>
        <v/>
      </c>
      <c r="PY106" s="164">
        <f>IF($ND106=0,"",IF($PU106+$PW106=0,"Dentro das regras que a ficha confere",$PT106&amp;IF(AND($PU106&gt;0,$PW106&gt;0)," · ","")&amp;$PV106))</f>
        <v/>
      </c>
      <c r="PZ106" s="164">
        <f>IF($MQ106&gt;$NE106,$MR106&amp;" · ABRE NO NÍVEL "&amp;$MQ106,$MR106)</f>
        <v/>
      </c>
      <c r="QA106" s="164">
        <f>IF($ND106=0,"",IF($MS106=0,"Sem PE",3*$MS106&amp;" PE"))</f>
        <v/>
      </c>
      <c r="QB106" s="164">
        <f>IF($ND106=0,"",IF($MS106=0,"A atuação básica dela",IF(COUNTIF($RQ106:$RS106,"Atrasar")&gt;0,"Sua Ação Completa",IF(COUNTIF($RK106:$RN106,"Rápido")&gt;0,"Sua Bônus",IF(COUNTIF($RK106:$RN106,"Reação")&gt;0,"Sua Reação","Sua Padrão")))&amp;" + a básica dela"&amp;IF(COUNTIF($RK106:$RN106,"Reação")&gt;0," e a coletiva","")&amp;IF(COUNTIF($RQ106:$RS106,"Carregar")&gt;0," · em dois turnos","")))</f>
        <v/>
      </c>
      <c r="QC106" s="164">
        <f>IF($MW106&lt;&gt;"",$MW106,IF($NJ106=0,"",INDEX('DADOS_FORMAS'!$GE$2:$GE$21,$NJ106)))</f>
        <v/>
      </c>
      <c r="QD106" s="164">
        <f>IF(OR($ND106=0,$NJ106=0),"",IF(COUNTIF($RK106:$RN106,"Inescapável")&gt;0,"Automático",IF($QC106="Ataque",IF($NH106="","Ataque","Ataque "&amp;IF(($NH106+2*IF(COUNTIF($RK106:$RN106,"Precisão")&gt;0,1,0))&gt;=0,"+","−")&amp;ABS(($NH106+2*IF(COUNTIF($RK106:$RN106,"Precisão")&gt;0,1,0))))&amp;IF($OD106&gt;0," · TR"&amp;IF($NI106="",""," CD "&amp;$NI106),""),IF(LEFT($QC106,2)="TR",$QC106&amp;IF($NI106="",""," · CD "&amp;$NI106)&amp;IF(COUNTIF($RK106:$RN106,"Certeiro")&gt;0," · metade",""),"Sem rolagem"))))</f>
        <v/>
      </c>
      <c r="QE106" s="164">
        <f>IF(OR($ND106=0,$NJ106=0),"",IF($MS106=0,IF(OR($OG106&gt;=1,$PD106=0),"Sem dano",$PD106&amp;"d6"&amp;IF($MV106="",""," "&amp;$MV106)),IF(OR($OG106&gt;=1,$PD106=0),UPPER(LEFT(INDEX($PM106:$PS106,1,MAX(1,$MS106)),1))&amp;MID(INDEX($PM106:$PS106,1,MAX(1,$MS106)),2,99),UPPER(LEFT(INDEX($PM106:$PS106,1,MAX(1,$MS106)),1))&amp;MID(INDEX($PM106:$PS106,1,MAX(1,$MS106)),2,99)&amp;IF($MV106="",""," "&amp;$MV106)&amp;IF($PE106&gt;0," · +"&amp;$PE106&amp;"d8",""))))</f>
        <v/>
      </c>
      <c r="QF106" s="164">
        <f>COUNTIF($RK106:$RN106,"Longe")+3*COUNTIF($RK106:$RN106,"Muito Longe")</f>
        <v/>
      </c>
      <c r="QG106" s="164">
        <f>COUNTIF($RK106:$RN106,"Maior")+3*COUNTIF($RK106:$RN106,"Muito Maior")</f>
        <v/>
      </c>
      <c r="QH106" s="164">
        <f>IF($NJ106=0,0,CHOOSE(1+INDEX('DADOS_FORMAS'!$GG$2:$GG$21,$NJ106),0,$QF106,$QG106,$QF106+$QG106))</f>
        <v/>
      </c>
      <c r="QI106" s="164">
        <f>IF($NJ106=0,0,CHOOSE(1+INDEX('DADOS_FORMAS'!$GH$2:$GH$21,$NJ106),0,$QF106,$QG106,$QF106+$QG106))</f>
        <v/>
      </c>
      <c r="QJ106" s="164">
        <f>IF(OR($ND106=0,$NJ106=0),"",INDEX('DADOS_FORMAS'!$HU$2:$HZ$81,($NJ106-1)*4+IF($MS106=0,1,IF($MS106&lt;=5,2,IF($MS106=6,3,4))),1+MIN(5,$QH106))&amp;INDEX('DADOS_FORMAS'!$IA$2:$IF$81,($NJ106-1)*4+IF($MS106=0,1,IF($MS106&lt;=5,2,IF($MS106=6,3,4))),1+MIN(5,$QI106))&amp;IF(INDEX('DADOS_FORMAS'!$GI$2:$GI$21,$NJ106)=1,IF(COUNTIF($RK106:$RN106,"Mais Um")&gt;0," · +"&amp;COUNTIF($RK106:$RN106,"Mais Um")&amp;IF(COUNTIF($RK106:$RN106,"Mais Um")&gt;1," alvos"," alvo"),"")&amp;IF(COUNTIF($RK106:$RN106,"Rajada")&gt;0,IF($MS106=0," · 1 tiro"," · "&amp;(MAX(1,$MS106-1)+1)&amp;" tiros"),""),""))</f>
        <v/>
      </c>
      <c r="QK106" s="164">
        <f>IF($ND106=0,"",IF($MS106=0,$NG106&amp;"d6"&amp;IF($OU106&gt;0," − 1 = "&amp;$PD106&amp;"d6"," da básica do nível "&amp;$NE106),$PB106&amp;" − "&amp;$OW106&amp;" + "&amp;$OZ106&amp;" = "&amp;$PC106&amp;" · teto "&amp;4*$MS106&amp;"d8"&amp;IF($OF106=1," · a Forma devolve "&amp;$MS106,"")&amp;IF($PA106&gt;0," · perde "&amp;$PA106,"")))</f>
        <v/>
      </c>
      <c r="QL106" s="164">
        <f>IF($ND106=0,"",IF($MS106=0,"A básica não amplia: os dados dela sobem com o nível",IF($MS106&gt;=$NF106,"Já está na maior Classe que o nível liberou",TEXTJOIN(" · ",TRUE,IF(AND(2&gt;$MS106,2&lt;=$NF106),"2 → "&amp;$PN106&amp;", 6 PE",""),IF(AND(3&gt;$MS106,3&lt;=$NF106),"3 → "&amp;$PO106&amp;", 9 PE",""),IF(AND(4&gt;$MS106,4&lt;=$NF106),"4 → "&amp;$PP106&amp;", 12 PE",""),IF(AND(5&gt;$MS106,5&lt;=$NF106),"5 → "&amp;$PQ106&amp;", 15 PE",""),IF(AND(6&gt;$MS106,6&lt;=$NF106),"6 → "&amp;$PR106&amp;", 18 PE",""),IF(AND(7&gt;$MS106,7&lt;=$NF106),"7 → "&amp;$PS106&amp;", 21 PE","")))))</f>
        <v/>
      </c>
      <c r="QM106" s="164">
        <f>IF(OR($ND106=0,$NO106=0),"",IF($MS106=0,"−1 dado","−"&amp;INDEX($I$2:$N$8,MAX(1,$MS106),MAX(1,$NT106))&amp;" · "&amp;CHOOSE(MAX(1,$NT106),"Leve","Média","Pesada","Leve · Livre","Média · Livre","Pesada · Livre")))</f>
        <v/>
      </c>
      <c r="QN106" s="164">
        <f>IF(OR($ND106=0,$NP106=0),"",IF($MS106=0,"−1 dado","−"&amp;INDEX($I$2:$N$8,MAX(1,$MS106),MAX(1,$NU106))&amp;" · "&amp;CHOOSE(MAX(1,$NU106),"Leve","Média","Pesada","Leve · Livre","Média · Livre","Pesada · Livre")))</f>
        <v/>
      </c>
      <c r="QO106" s="164">
        <f>IF(OR($ND106=0,$NQ106=0),"",IF($MS106=0,"−1 dado","−"&amp;INDEX($I$2:$N$8,MAX(1,$MS106),MAX(1,$NV106))&amp;" · "&amp;CHOOSE(MAX(1,$NV106),"Leve","Média","Pesada","Leve · Livre","Média · Livre","Pesada · Livre")))</f>
        <v/>
      </c>
      <c r="QP106" s="164">
        <f>IF(OR($ND106=0,$NR106=0),"",IF($MS106=0,"−1 dado","−"&amp;INDEX($I$2:$N$8,MAX(1,$MS106),MAX(1,$NW106))&amp;" · "&amp;CHOOSE(MAX(1,$NW106),"Leve","Média","Pesada","Leve · Livre","Média · Livre","Pesada · Livre")))</f>
        <v/>
      </c>
      <c r="QQ106" s="164">
        <f>IF(OR($ND106=0,$NB106=""),"",IF($MS106=0,"não devolve","+"&amp;IF($OI106=1,CEILING($MS106/2,1),$MS106)))</f>
        <v/>
      </c>
      <c r="QR106" s="164">
        <f>IF(OR($ND106=0,$NC106=""),"",IF($MS106=0,"não devolve","+"&amp;IF($OJ106=1,CEILING($MS106/2,1),$MS106)))</f>
        <v/>
      </c>
      <c r="RK106">
        <f>IF($MX106="","",IFERROR(VLOOKUP(SUBSTITUTE(SUBSTITUTE(SUBSTITUTE($MX106,"~","~~"),"*","~*"),"?","~?"),'DADOS_MELHORIAS'!$O$2:$X$113,10,FALSE),$MX106))</f>
        <v/>
      </c>
      <c r="RL106">
        <f>IF($MY106="","",IFERROR(VLOOKUP(SUBSTITUTE(SUBSTITUTE(SUBSTITUTE($MY106,"~","~~"),"*","~*"),"?","~?"),'DADOS_MELHORIAS'!$O$2:$X$113,10,FALSE),$MY106))</f>
        <v/>
      </c>
      <c r="RM106">
        <f>IF($MZ106="","",IFERROR(VLOOKUP(SUBSTITUTE(SUBSTITUTE(SUBSTITUTE($MZ106,"~","~~"),"*","~*"),"?","~?"),'DADOS_MELHORIAS'!$O$2:$X$113,10,FALSE),$MZ106))</f>
        <v/>
      </c>
      <c r="RN106">
        <f>IF($NA106="","",IFERROR(VLOOKUP(SUBSTITUTE(SUBSTITUTE(SUBSTITUTE($NA106,"~","~~"),"*","~*"),"?","~?"),'DADOS_MELHORIAS'!$O$2:$X$113,10,FALSE),$NA106))</f>
        <v/>
      </c>
      <c r="RO106">
        <f>IFERROR(INDEX('DADOS_FORMAS'!$BJ$2:$BJ$21,MATCH(SUBSTITUTE(SUBSTITUTE(SUBSTITUTE($MU106,"~","~~"),"*","~*"),"?","~?"),'DADOS_FORMAS'!$AH$2:$AH$21,0)),"")</f>
        <v/>
      </c>
      <c r="RP106">
        <f>IFERROR(VLOOKUP(SUBSTITUTE(SUBSTITUTE(SUBSTITUTE(IFERROR(INDEX('DADOS_FORMAS'!$AS$2:$AS$21,MATCH(SUBSTITUTE(SUBSTITUTE(SUBSTITUTE($MU106,"~","~~"),"*","~*"),"?","~?"),'DADOS_FORMAS'!$AH$2:$AH$21,0)),""),"~","~~"),"*","~*"),"?","~?"),'DADOS_RESTRICOES'!$M$2:$Q$54,2,FALSE),"")</f>
        <v/>
      </c>
      <c r="RQ106">
        <f>$OK106</f>
        <v/>
      </c>
      <c r="RR106">
        <f>$OL106</f>
        <v/>
      </c>
      <c r="RS106">
        <f>$RP106</f>
        <v/>
      </c>
    </row>
    <row r="107">
      <c r="MN107" s="162" t="inlineStr">
        <is>
          <t>Ficha 9 · Especial 1</t>
        </is>
      </c>
      <c r="MO107" s="164" t="n">
        <v>9</v>
      </c>
      <c r="MP107" s="164" t="n">
        <v>1</v>
      </c>
      <c r="MQ107" s="164" t="n">
        <v>1</v>
      </c>
      <c r="MR107" s="162" t="inlineStr">
        <is>
          <t>ESPECIAL 1</t>
        </is>
      </c>
      <c r="MS107" s="164">
        <f>MAX(1,MIN(7,N('INVOCAÇÕES'!$AH$493)))</f>
        <v/>
      </c>
      <c r="MT107" s="164">
        <f>'INVOCAÇÕES'!$AI$493&amp;""</f>
        <v/>
      </c>
      <c r="MU107" s="164">
        <f>'INVOCAÇÕES'!$AH$498&amp;""</f>
        <v/>
      </c>
      <c r="MV107" s="164">
        <f>'INVOCAÇÕES'!$AH$499&amp;""</f>
        <v/>
      </c>
      <c r="MW107" s="164">
        <f>'INVOCAÇÕES'!$AJ$499&amp;""</f>
        <v/>
      </c>
      <c r="MX107" s="164">
        <f>'INVOCAÇÕES'!$AI$502&amp;""</f>
        <v/>
      </c>
      <c r="MY107" s="164">
        <f>'INVOCAÇÕES'!$AI$503&amp;""</f>
        <v/>
      </c>
      <c r="MZ107" s="164">
        <f>'INVOCAÇÕES'!$AI$504&amp;""</f>
        <v/>
      </c>
      <c r="NA107" s="164">
        <f>'INVOCAÇÕES'!$AI$505&amp;""</f>
        <v/>
      </c>
      <c r="NB107" s="164">
        <f>'INVOCAÇÕES'!$AI$506&amp;""</f>
        <v/>
      </c>
      <c r="NC107" s="164">
        <f>'INVOCAÇÕES'!$AI$507&amp;""</f>
        <v/>
      </c>
      <c r="ND107" s="164">
        <f>IF($MT107&lt;&gt;"",1,0)</f>
        <v/>
      </c>
      <c r="NE107" s="164">
        <f>INDEX($FO$2:$FO$13,$MO107)</f>
        <v/>
      </c>
      <c r="NF107" s="164">
        <f>INDEX($FP$2:$FP$13,$MO107)</f>
        <v/>
      </c>
      <c r="NG107" s="164">
        <f>INDEX($FQ$2:$FQ$13,$MO107)</f>
        <v/>
      </c>
      <c r="NH107" s="164">
        <f>INDEX($GB$2:$GB$13,$MO107)</f>
        <v/>
      </c>
      <c r="NI107" s="164">
        <f>INDEX($GC$2:$GC$13,$MO107)</f>
        <v/>
      </c>
      <c r="NJ107" s="164">
        <f>IFERROR(MATCH(SUBSTITUTE(SUBSTITUTE(SUBSTITUTE($MU107,"~","~~"),"*","~*"),"?","~?"),'DADOS_FORMAS'!$FZ$2:$FZ$21,0),0)</f>
        <v/>
      </c>
      <c r="NK107" s="164">
        <f>IFERROR(VLOOKUP(SUBSTITUTE(SUBSTITUTE(SUBSTITUTE($MX107,"~","~~"),"*","~*"),"?","~?"),'DADOS_MELHORIAS'!$AG$2:$AL$113,2,FALSE),"")</f>
        <v/>
      </c>
      <c r="NL107" s="164">
        <f>IFERROR(VLOOKUP(SUBSTITUTE(SUBSTITUTE(SUBSTITUTE($MY107,"~","~~"),"*","~*"),"?","~?"),'DADOS_MELHORIAS'!$AG$2:$AL$113,2,FALSE),"")</f>
        <v/>
      </c>
      <c r="NM107" s="164">
        <f>IFERROR(VLOOKUP(SUBSTITUTE(SUBSTITUTE(SUBSTITUTE($MZ107,"~","~~"),"*","~*"),"?","~?"),'DADOS_MELHORIAS'!$AG$2:$AL$113,2,FALSE),"")</f>
        <v/>
      </c>
      <c r="NN107" s="164">
        <f>IFERROR(VLOOKUP(SUBSTITUTE(SUBSTITUTE(SUBSTITUTE($NA107,"~","~~"),"*","~*"),"?","~?"),'DADOS_MELHORIAS'!$AG$2:$AL$113,2,FALSE),"")</f>
        <v/>
      </c>
      <c r="NO107" s="164">
        <f>IFERROR(VLOOKUP(SUBSTITUTE(SUBSTITUTE(SUBSTITUTE($MX107,"~","~~"),"*","~*"),"?","~?"),'DADOS_MELHORIAS'!$AG$2:$AL$113,3,FALSE),0)</f>
        <v/>
      </c>
      <c r="NP107" s="164">
        <f>IFERROR(VLOOKUP(SUBSTITUTE(SUBSTITUTE(SUBSTITUTE($MY107,"~","~~"),"*","~*"),"?","~?"),'DADOS_MELHORIAS'!$AG$2:$AL$113,3,FALSE),0)</f>
        <v/>
      </c>
      <c r="NQ107" s="164">
        <f>IFERROR(VLOOKUP(SUBSTITUTE(SUBSTITUTE(SUBSTITUTE($MZ107,"~","~~"),"*","~*"),"?","~?"),'DADOS_MELHORIAS'!$AG$2:$AL$113,3,FALSE),0)</f>
        <v/>
      </c>
      <c r="NR107" s="164">
        <f>IFERROR(VLOOKUP(SUBSTITUTE(SUBSTITUTE(SUBSTITUTE($NA107,"~","~~"),"*","~*"),"?","~?"),'DADOS_MELHORIAS'!$AG$2:$AL$113,3,FALSE),0)</f>
        <v/>
      </c>
      <c r="NS107" s="164">
        <f>IF($MS107=0,0,IF($NJ107=0,0,INDEX('DADOS_FORMAS'!$GB$2:$GB$21,$NJ107)))</f>
        <v/>
      </c>
      <c r="NT107" s="164">
        <f>IF(OR($NO107=0,$MS107=0),0,$NO107+3*IF(AND($NK107&lt;&gt;"",COUNTIF(INDEX($RB$2:$RJ$13,$MO107,0),$NK107)&gt;0),1,0))</f>
        <v/>
      </c>
      <c r="NU107" s="164">
        <f>IF(OR($NP107=0,$MS107=0),0,$NP107+3*IF(AND($NL107&lt;&gt;"",COUNTIF(INDEX($RB$2:$RJ$13,$MO107,0),$NL107)&gt;0),1,0))</f>
        <v/>
      </c>
      <c r="NV107" s="164">
        <f>IF(OR($NQ107=0,$MS107=0),0,$NQ107+3*IF(AND($NM107&lt;&gt;"",COUNTIF(INDEX($RB$2:$RJ$13,$MO107,0),$NM107)&gt;0),1,0))</f>
        <v/>
      </c>
      <c r="NW107" s="164">
        <f>IF(OR($NR107=0,$MS107=0),0,$NR107+3*IF(AND($NN107&lt;&gt;"",COUNTIF(INDEX($RB$2:$RJ$13,$MO107,0),$NN107)&gt;0),1,0))</f>
        <v/>
      </c>
      <c r="NX107" s="164">
        <f>IF($NJ107=0,0,IF(INDEX('DADOS_FORMAS'!$GA$2:$GA$21,$NJ107)="",0,IF((COUNTIF(INDEX($EL$2:$EP$13,$MO107,0),INDEX('DADOS_FORMAS'!$GA$2:$GA$21,$NJ107))+COUNTIF(INDEX($QV$2:$QY$13,$MO107,0),INDEX('DADOS_FORMAS'!$GA$2:$GA$21,$NJ107)))=0,1,0)))</f>
        <v/>
      </c>
      <c r="NY107" s="164">
        <f>IF(OR($NO107=0,$NK107=""),0,IF((COUNTIF(INDEX($EL$2:$EP$13,$MO107,0),$NK107)+COUNTIF(INDEX($QV$2:$QY$13,$MO107,0),$NK107))=0,1,0))</f>
        <v/>
      </c>
      <c r="NZ107" s="164">
        <f>IF(OR($NP107=0,$NL107=""),0,IF((COUNTIF(INDEX($EL$2:$EP$13,$MO107,0),$NL107)+COUNTIF(INDEX($QV$2:$QY$13,$MO107,0),$NL107))=0,1,0))</f>
        <v/>
      </c>
      <c r="OA107" s="164">
        <f>IF(OR($NQ107=0,$NM107=""),0,IF((COUNTIF(INDEX($EL$2:$EP$13,$MO107,0),$NM107)+COUNTIF(INDEX($QV$2:$QY$13,$MO107,0),$NM107))=0,1,0))</f>
        <v/>
      </c>
      <c r="OB107" s="164">
        <f>IF(OR($NR107=0,$NN107=""),0,IF((COUNTIF(INDEX($EL$2:$EP$13,$MO107,0),$NN107)+COUNTIF(INDEX($QV$2:$QY$13,$MO107,0),$NN107))=0,1,0))</f>
        <v/>
      </c>
      <c r="OC107" s="164">
        <f>IFERROR(VLOOKUP(SUBSTITUTE(SUBSTITUTE(SUBSTITUTE($MX107,"~","~~"),"*","~*"),"?","~?"),'DADOS_MELHORIAS'!$AG$2:$AL$113,4,FALSE),0)+IFERROR(VLOOKUP(SUBSTITUTE(SUBSTITUTE(SUBSTITUTE($MY107,"~","~~"),"*","~*"),"?","~?"),'DADOS_MELHORIAS'!$AG$2:$AL$113,4,FALSE),0)+IFERROR(VLOOKUP(SUBSTITUTE(SUBSTITUTE(SUBSTITUTE($MZ107,"~","~~"),"*","~*"),"?","~?"),'DADOS_MELHORIAS'!$AG$2:$AL$113,4,FALSE),0)+IFERROR(VLOOKUP(SUBSTITUTE(SUBSTITUTE(SUBSTITUTE($NA107,"~","~~"),"*","~*"),"?","~?"),'DADOS_MELHORIAS'!$AG$2:$AL$113,4,FALSE),0)</f>
        <v/>
      </c>
      <c r="OD107" s="164">
        <f>IFERROR(VLOOKUP(SUBSTITUTE(SUBSTITUTE(SUBSTITUTE($MX107,"~","~~"),"*","~*"),"?","~?"),'DADOS_MELHORIAS'!$AG$2:$AL$113,6,FALSE),0)+IFERROR(VLOOKUP(SUBSTITUTE(SUBSTITUTE(SUBSTITUTE($MY107,"~","~~"),"*","~*"),"?","~?"),'DADOS_MELHORIAS'!$AG$2:$AL$113,6,FALSE),0)+IFERROR(VLOOKUP(SUBSTITUTE(SUBSTITUTE(SUBSTITUTE($MZ107,"~","~~"),"*","~*"),"?","~?"),'DADOS_MELHORIAS'!$AG$2:$AL$113,6,FALSE),0)+IFERROR(VLOOKUP(SUBSTITUTE(SUBSTITUTE(SUBSTITUTE($NA107,"~","~~"),"*","~*"),"?","~?"),'DADOS_MELHORIAS'!$AG$2:$AL$113,6,FALSE),0)+IFERROR(N(AND(INDEX('DADOS_FORMAS'!$AO$2:$AO$21,MATCH(SUBSTITUTE(SUBSTITUTE(SUBSTITUTE($MU107,"~","~~"),"*","~*"),"?","~?"),'DADOS_FORMAS'!$AH$2:$AH$21,0))="Acerto",$OH107=1)),0)</f>
        <v/>
      </c>
      <c r="OE107" s="164">
        <f>TEXTJOIN(", ",TRUE,IF(IFERROR(VLOOKUP(SUBSTITUTE(SUBSTITUTE(SUBSTITUTE($MX107,"~","~~"),"*","~*"),"?","~?"),'DADOS_MELHORIAS'!$AG$2:$AL$113,5,FALSE),0)=1,$MX107,""),IF(IFERROR(VLOOKUP(SUBSTITUTE(SUBSTITUTE(SUBSTITUTE($MY107,"~","~~"),"*","~*"),"?","~?"),'DADOS_MELHORIAS'!$AG$2:$AL$113,5,FALSE),0)=1,$MY107,""),IF(IFERROR(VLOOKUP(SUBSTITUTE(SUBSTITUTE(SUBSTITUTE($MZ107,"~","~~"),"*","~*"),"?","~?"),'DADOS_MELHORIAS'!$AG$2:$AL$113,5,FALSE),0)=1,$MZ107,""),IF(IFERROR(VLOOKUP(SUBSTITUTE(SUBSTITUTE(SUBSTITUTE($NA107,"~","~~"),"*","~*"),"?","~?"),'DADOS_MELHORIAS'!$AG$2:$AL$113,5,FALSE),0)=1,$NA107,""))</f>
        <v/>
      </c>
      <c r="OF107" s="164">
        <f>IF($NJ107=0,0,INDEX('DADOS_FORMAS'!$GC$2:$GC$21,$NJ107))</f>
        <v/>
      </c>
      <c r="OG107" s="164">
        <f>IF($NJ107=0,0,INDEX('DADOS_FORMAS'!$GD$2:$GD$21,$NJ107))</f>
        <v/>
      </c>
      <c r="OH107" s="164">
        <f>IF($NJ107=0,0,INDEX('DADOS_FORMAS'!$GF$2:$GF$21,$NJ107))</f>
        <v/>
      </c>
      <c r="OI107" s="164">
        <f>IFERROR(VLOOKUP(SUBSTITUTE(SUBSTITUTE(SUBSTITUTE($NB107,"~","~~"),"*","~*"),"?","~?"),'DADOS_RESTRICOES'!$M$2:$Q$54,3,FALSE),0)</f>
        <v/>
      </c>
      <c r="OJ107" s="164">
        <f>IFERROR(VLOOKUP(SUBSTITUTE(SUBSTITUTE(SUBSTITUTE($NC107,"~","~~"),"*","~*"),"?","~?"),'DADOS_RESTRICOES'!$M$2:$Q$54,3,FALSE),0)</f>
        <v/>
      </c>
      <c r="OK107" s="164">
        <f>IFERROR(VLOOKUP(SUBSTITUTE(SUBSTITUTE(SUBSTITUTE($NB107,"~","~~"),"*","~*"),"?","~?"),'DADOS_RESTRICOES'!$M$2:$Q$54,2,FALSE),"")</f>
        <v/>
      </c>
      <c r="OL107" s="164">
        <f>IFERROR(VLOOKUP(SUBSTITUTE(SUBSTITUTE(SUBSTITUTE($NC107,"~","~~"),"*","~*"),"?","~?"),'DADOS_RESTRICOES'!$M$2:$Q$54,2,FALSE),"")</f>
        <v/>
      </c>
      <c r="OM107" s="164">
        <f>COUNTIF($NS107:$NW107,1)</f>
        <v/>
      </c>
      <c r="ON107" s="164">
        <f>COUNTIF($NS107:$NW107,2)</f>
        <v/>
      </c>
      <c r="OO107" s="164">
        <f>COUNTIF($NS107:$NW107,3)</f>
        <v/>
      </c>
      <c r="OP107" s="164">
        <f>COUNTIF($NS107:$NW107,4)</f>
        <v/>
      </c>
      <c r="OQ107" s="164">
        <f>COUNTIF($NS107:$NW107,5)</f>
        <v/>
      </c>
      <c r="OR107" s="164">
        <f>COUNTIF($NS107:$NW107,6)</f>
        <v/>
      </c>
      <c r="OS107" s="164">
        <f>COUNTIF($OI107:$OJ107,1)+IF(IFERROR(INDEX('DADOS_FORMAS'!$AS$2:$AS$21,MATCH(SUBSTITUTE(SUBSTITUTE(SUBSTITUTE($MU107,"~","~~"),"*","~*"),"?","~?"),'DADOS_FORMAS'!$AH$2:$AH$21,0)),"")="",0,IFERROR(N(VLOOKUP(SUBSTITUTE(SUBSTITUTE(SUBSTITUTE(IFERROR(INDEX('DADOS_FORMAS'!$AS$2:$AS$21,MATCH(SUBSTITUTE(SUBSTITUTE(SUBSTITUTE($MU107,"~","~~"),"*","~*"),"?","~?"),'DADOS_FORMAS'!$AH$2:$AH$21,0)),""),"~","~~"),"*","~*"),"?","~?"),'DADOS_RESTRICOES'!$M$2:$Q$54,3,FALSE)=1),0))</f>
        <v/>
      </c>
      <c r="OT107" s="164">
        <f>COUNTIF($OI107:$OJ107,2)+IF(IFERROR(INDEX('DADOS_FORMAS'!$AS$2:$AS$21,MATCH(SUBSTITUTE(SUBSTITUTE(SUBSTITUTE($MU107,"~","~~"),"*","~*"),"?","~?"),'DADOS_FORMAS'!$AH$2:$AH$21,0)),"")="",0,IFERROR(N(VLOOKUP(SUBSTITUTE(SUBSTITUTE(SUBSTITUTE(IFERROR(INDEX('DADOS_FORMAS'!$AS$2:$AS$21,MATCH(SUBSTITUTE(SUBSTITUTE(SUBSTITUTE($MU107,"~","~~"),"*","~*"),"?","~?"),'DADOS_FORMAS'!$AH$2:$AH$21,0)),""),"~","~~"),"*","~*"),"?","~?"),'DADOS_RESTRICOES'!$M$2:$Q$54,3,FALSE)=2),0))</f>
        <v/>
      </c>
      <c r="OU107" s="164">
        <f>COUNTIF($MX107:$NA107,"?*")</f>
        <v/>
      </c>
      <c r="OV107" s="164">
        <f>COUNTIF($NB107:$NC107,"?*")+$OF107</f>
        <v/>
      </c>
      <c r="OW107" s="164">
        <f>IF($MS107=0,0,SUMPRODUCT($OM107:$OR107,INDEX($I$2:$N$8,MAX(1,$MS107),0)))</f>
        <v/>
      </c>
      <c r="OX107" s="164">
        <f>IF($MS107=0,0,$OS107*CEILING($MS107/2,1)+$OT107*$MS107)</f>
        <v/>
      </c>
      <c r="OY107" s="164">
        <f>MIN(2*$MS107,$OX107)</f>
        <v/>
      </c>
      <c r="OZ107" s="164">
        <f>MIN($OY107,$OW107-IF($NS107=0,0,INDEX($I$2:$N$8,MAX(1,$MS107),$NS107)))</f>
        <v/>
      </c>
      <c r="PA107" s="164">
        <f>$OY107-$OZ107</f>
        <v/>
      </c>
      <c r="PB107" s="164">
        <f>IF($MS107=0,0,INDEX($P$2:$P$8,MAX(1,$MS107)))</f>
        <v/>
      </c>
      <c r="PC107" s="164">
        <f>$PB107-$OW107+$OZ107</f>
        <v/>
      </c>
      <c r="PD107" s="164">
        <f>IF($MS107=0,MAX(0,$NG107-IF(AND($OU107&gt;0,COUNTIF($NB107:$NC107,"?*")=0),1,0)),MAX(0,$PC107))</f>
        <v/>
      </c>
      <c r="PE107" s="164">
        <f>IF($MS107=0,0,(IF(COUNTIF($RK107:$RN107,"Salto")&gt;0,1,0)+IF(COUNTIF($RK107:$RN107,"Queima")&gt;0,1,0)+IF(COUNTIF($RK107:$RN107,"Estilhaço")&gt;0,1,0))*FLOOR($PD107/2,1))</f>
        <v/>
      </c>
      <c r="PF107" s="164">
        <f>MAX(0,2-SUMPRODUCT($OM107:$OR107,$I$2:$N$2)+MIN(2,$OS107*1+$OT107*1,SUMPRODUCT($OM107:$OR107,$I$2:$N$2)-IF($NS107=0,0,INDEX($I$2:$N$2,1,$NS107))))</f>
        <v/>
      </c>
      <c r="PG107" s="164">
        <f>MAX(0,4-SUMPRODUCT($OM107:$OR107,$I$3:$N$3)+MIN(4,$OS107*1+$OT107*2,SUMPRODUCT($OM107:$OR107,$I$3:$N$3)-IF($NS107=0,0,INDEX($I$3:$N$3,1,$NS107))))</f>
        <v/>
      </c>
      <c r="PH107" s="164">
        <f>MAX(0,6-SUMPRODUCT($OM107:$OR107,$I$4:$N$4)+MIN(6,$OS107*2+$OT107*3,SUMPRODUCT($OM107:$OR107,$I$4:$N$4)-IF($NS107=0,0,INDEX($I$4:$N$4,1,$NS107))))</f>
        <v/>
      </c>
      <c r="PI107" s="164">
        <f>MAX(0,9-SUMPRODUCT($OM107:$OR107,$I$5:$N$5)+MIN(8,$OS107*2+$OT107*4,SUMPRODUCT($OM107:$OR107,$I$5:$N$5)-IF($NS107=0,0,INDEX($I$5:$N$5,1,$NS107))))</f>
        <v/>
      </c>
      <c r="PJ107" s="164">
        <f>MAX(0,11-SUMPRODUCT($OM107:$OR107,$I$6:$N$6)+MIN(10,$OS107*3+$OT107*5,SUMPRODUCT($OM107:$OR107,$I$6:$N$6)-IF($NS107=0,0,INDEX($I$6:$N$6,1,$NS107))))</f>
        <v/>
      </c>
      <c r="PK107" s="164">
        <f>MAX(0,13-SUMPRODUCT($OM107:$OR107,$I$7:$N$7)+MIN(12,$OS107*3+$OT107*6,SUMPRODUCT($OM107:$OR107,$I$7:$N$7)-IF($NS107=0,0,INDEX($I$7:$N$7,1,$NS107))))</f>
        <v/>
      </c>
      <c r="PL107" s="164">
        <f>MAX(0,16-SUMPRODUCT($OM107:$OR107,$I$8:$N$8)+MIN(14,$OS107*4+$OT107*7,SUMPRODUCT($OM107:$OR107,$I$8:$N$8)-IF($NS107=0,0,INDEX($I$8:$N$8,1,$NS107))))</f>
        <v/>
      </c>
      <c r="PM107" s="164">
        <f>IF($OG107=2,3*$PF107&amp;" de vida temp.",IF($OG107=3,"sem dano",IF($PF107=0,IF($OG107=1,"sem cura","sem dano"),IF($OG107=1,"cura ","")&amp;$PF107&amp;"d8")))</f>
        <v/>
      </c>
      <c r="PN107" s="164">
        <f>IF($OG107=2,3*$PG107&amp;" de vida temp.",IF($OG107=3,"sem dano",IF($PG107=0,IF($OG107=1,"sem cura","sem dano"),IF($OG107=1,"cura ","")&amp;$PG107&amp;"d8")))</f>
        <v/>
      </c>
      <c r="PO107" s="164">
        <f>IF($OG107=2,3*$PH107&amp;" de vida temp.",IF($OG107=3,"sem dano",IF($PH107=0,IF($OG107=1,"sem cura","sem dano"),IF($OG107=1,"cura ","")&amp;$PH107&amp;"d8")))</f>
        <v/>
      </c>
      <c r="PP107" s="164">
        <f>IF($OG107=2,3*$PI107&amp;" de vida temp.",IF($OG107=3,"sem dano",IF($PI107=0,IF($OG107=1,"sem cura","sem dano"),IF($OG107=1,"cura ","")&amp;$PI107&amp;"d8")))</f>
        <v/>
      </c>
      <c r="PQ107" s="164">
        <f>IF($OG107=2,3*$PJ107&amp;" de vida temp.",IF($OG107=3,"sem dano",IF($PJ107=0,IF($OG107=1,"sem cura","sem dano"),IF($OG107=1,"cura ","")&amp;$PJ107&amp;"d8")))</f>
        <v/>
      </c>
      <c r="PR107" s="164">
        <f>IF($OG107=2,3*$PK107&amp;" de vida temp.",IF($OG107=3,"sem dano",IF($PK107=0,IF($OG107=1,"sem cura","sem dano"),IF($OG107=1,"cura ","")&amp;$PK107&amp;"d8")))</f>
        <v/>
      </c>
      <c r="PS107" s="164">
        <f>IF($OG107=2,3*$PL107&amp;" de vida temp.",IF($OG107=3,"sem dano",IF($PL107=0,IF($OG107=1,"sem cura","sem dano"),IF($OG107=1,"cura ","")&amp;$PL107&amp;"d8")))</f>
        <v/>
      </c>
      <c r="PT107" s="164">
        <f>IF($ND107=0,"",TEXTJOIN(" · ",TRUE,IF($ND107=0,"",TEXTJOIN(" · ",TRUE,IF($ND107=0,"",TEXTJOIN(" · ",TRUE,IF($MQ107&gt;$NE107,"Este lugar abre no nível "&amp;$MQ107,""),IF($MS107&gt;$NF107,"Classe "&amp;$MS107&amp;": o nível "&amp;$NE107&amp;" libera até a "&amp;$NF107,""),IF($NX107=1,"A Forma "&amp;$MU107&amp;" pede "&amp;INDEX('DADOS_FORMAS'!$GA$2:$GA$21,$NJ107)&amp;" aberta",""),IF(AND($MS107=0,$NJ107&gt;0,IF($NJ107=0,0,INDEX('DADOS_FORMAS'!$GJ$2:$GJ$21,$NJ107))=0),$MU107&amp;" não existe na Classe 0",""),IF($NY107=1,"Família Fechada: "&amp;$MX107,""),IF($NZ107=1,"Família Fechada: "&amp;$MY107,""),IF($OA107=1,"Família Fechada: "&amp;$MZ107,""),IF($OB107=1,"Família Fechada: "&amp;$NA107,""),IF(AND($MS107&gt;0,$OU107&gt;INDEX($O$2:$O$8,MAX(1,$MS107))),$OU107&amp;" Melhorias: a Classe "&amp;$MS107&amp;" aceita "&amp;INDEX($O$2:$O$8,MAX(1,$MS107)),""),IF(AND($MS107=0,$OU107&gt;1),"A básica aceita uma Melhoria",""),IF(AND($MS107=0,COUNTIF($NO107:$NR107,"&gt;1")&gt;0),"A básica só aceita Melhoria Leve",""),IF(AND($MS107&gt;0,$OV107&gt;2),$OV107&amp;" Restrições"&amp;IF($OF107=1,", contando a que a Forma "&amp;$MU107&amp;" já traz","")&amp;": o limite é 2",""),IF(AND($MS107=0,COUNTIF($NB107:$NC107,"?*")&gt;1),"A básica aceita uma Restrição Leve",""),IF(AND($MS107=0,COUNTIF($OI107:$OJ107,2)&gt;0),"A básica só aceita Restrição Leve",""),IF(AND($MS107&gt;0,$PC107&lt;0),"Orçamento estourado: faltam "&amp;(-$PC107)&amp;IF($PC107&lt;-1," pontos"," ponto"),""),IF(IFERROR(VLOOKUP(SUBSTITUTE(SUBSTITUTE(SUBSTITUTE($NB107,"~","~~"),"*","~*"),"?","~?"),'DADOS_RESTRICOES'!$M$2:$Q$54,4,FALSE),0)+IFERROR(VLOOKUP(SUBSTITUTE(SUBSTITUTE(SUBSTITUTE($NC107,"~","~~"),"*","~*"),"?","~?"),'DADOS_RESTRICOES'!$M$2:$Q$54,4,FALSE),0)&gt;1,$OK107&amp;" e "&amp;$OL107&amp;" são as duas de frequência",""),IF(AND((COUNTIF($RK107:$RN107,"Rápido")+COUNTIF($OK107:$OL107,"Rápido"))&gt;0,(COUNTIF($MX107:$NA107,"Atrasar")+COUNTIF($OK107:$OL107,"Atrasar"))&gt;0),"Rápido não entra com Atrasar",""),IF(AND((COUNTIF($RK107:$RN107,"Reação")+COUNTIF($OK107:$OL107,"Reação"))&gt;0,(COUNTIF($RK107:$RN107,"Rápido")+COUNTIF($OK107:$OL107,"Rápido"))&gt;0),"Reação não entra com Rápido",""),IF(AND((COUNTIF($RK107:$RN107,"Reação")+COUNTIF($OK107:$OL107,"Reação"))&gt;0,(COUNTIF($RK107:$RN107,"Armado")+COUNTIF($OK107:$OL107,"Armado"))&gt;0),"Reação não entra com Armado",""),IF(AND((COUNTIF($RK107:$RN107,"Reação")+COUNTIF($OK107:$OL107,"Reação"))&gt;0,(COUNTIF($MX107:$NA107,"Atrasar")+COUNTIF($OK107:$OL107,"Atrasar"))&gt;0),"Reação não entra com Atrasar",""),IF(AND((COUNTIF($RK107:$RN107,"Reação")+COUNTIF($OK107:$OL107,"Reação"))&gt;0,(COUNTIF($MX107:$NA107,"Parado")+COUNTIF($OK107:$OL107,"Parado"))&gt;0),"Reação não entra com Parado",""),IF(AND((COUNTIF($MX107:$NA107,"Atrasar")+COUNTIF($OK107:$OL107,"Atrasar"))&gt;0,(COUNTIF($MX107:$NA107,"Parado")+COUNTIF($OK107:$OL107,"Parado"))&gt;0),"Atrasar não entra com Parado",""),IF(AND((COUNTIF($RK107:$RN107,"Armado")+COUNTIF($OK107:$OL107,"Armado"))&gt;0,(COUNTIF($MX107:$NA107,"Carregar")+COUNTIF($OK107:$OL107,"Carregar"))&gt;0),"Armado não entra com Carregar",""),IF(AND(COUNTIF($OK107:$OL107,"Corpo a Corpo")&gt;0,$OF107=0,OR($RO107="Cone",$RO107="Linha")),"Corpo a Corpo não entra em "&amp;$MU107,""),IF(AND(COUNTIF($OK107:$OL107,"Corpo a Corpo")&gt;0,$RP107="Corpo a Corpo"),"A Forma "&amp;$MU107&amp;" já traz o Corpo a Corpo",""),IF(AND(COUNTIF($OK107:$OL107,"Tudo ou Nada")&gt;0,$OH107=0),"Tudo ou Nada só entra em habilidade de Teste de Resistência",""),IF(AND(COUNTIF($RK107:$RN107,"Inescapável")&gt;0,OR($OU107&gt;1,$OV107&gt;0)),"Inescapável não aceita outra peça",""),IF(AND($MS107&gt;0,$PD107*IF(COUNTIF($RK107:$RN107,"Remate")&gt;0,1.25,1)+$PE107&gt;4*$MS107),($PD107*IF(COUNTIF($RK107:$RN107,"Remate")&gt;0,1.25,1)+$PE107)&amp;" dados somando repetições"&amp;IF(COUNTIF($RK107:$RN107,"Remate")&gt;0," e o Remate","")&amp;": o teto da Classe "&amp;$MS107&amp;" é "&amp;4*$MS107,""))),IF(AND($MX107&lt;&gt;"",COUNTIF('DADOS_MELHORIAS'!$O$2:$O$113,SUBSTITUTE(SUBSTITUTE(SUBSTITUTE($MX107,"~","~~"),"*","~*"),"?","~?"))=0),"Melhoria não cadastrada ou com erro: "&amp;$MX107,""),IF(AND($MY107&lt;&gt;"",COUNTIF('DADOS_MELHORIAS'!$O$2:$O$113,SUBSTITUTE(SUBSTITUTE(SUBSTITUTE($MY107,"~","~~"),"*","~*"),"?","~?"))=0),"Melhoria não cadastrada ou com erro: "&amp;$MY107,""),IF(AND($MZ107&lt;&gt;"",COUNTIF('DADOS_MELHORIAS'!$O$2:$O$113,SUBSTITUTE(SUBSTITUTE(SUBSTITUTE($MZ107,"~","~~"),"*","~*"),"?","~?"))=0),"Melhoria não cadastrada ou com erro: "&amp;$MZ107,""),IF(AND($NA107&lt;&gt;"",COUNTIF('DADOS_MELHORIAS'!$O$2:$O$113,SUBSTITUTE(SUBSTITUTE(SUBSTITUTE($NA107,"~","~~"),"*","~*"),"?","~?"))=0),"Melhoria não cadastrada ou com erro: "&amp;$NA107,""),IF(AND($NB107&lt;&gt;"",COUNTIF('DADOS_RESTRICOES'!$M$2:$M$54,SUBSTITUTE(SUBSTITUTE(SUBSTITUTE($NB107,"~","~~"),"*","~*"),"?","~?"))=0),"Restrição não cadastrada ou com erro: "&amp;$NB107,""),IF(AND($NC107&lt;&gt;"",COUNTIF('DADOS_RESTRICOES'!$M$2:$M$54,SUBSTITUTE(SUBSTITUTE(SUBSTITUTE($NC107,"~","~~"),"*","~*"),"?","~?"))=0),"Restrição não cadastrada ou com erro: "&amp;$NC107,""))),IF(AND($MU107&lt;&gt;"",COUNTIF('DADOS_FORMAS'!$AH$2:$AH$21,SUBSTITUTE(SUBSTITUTE(SUBSTITUTE($MU107,"~","~~"),"*","~*"),"?","~?"))=0),"Forma não cadastrada ou com erro: "&amp;$MU107,""),IF(AND(IFERROR(INDEX('DADOS_FORMAS'!$AS$2:$AS$21,MATCH(SUBSTITUTE(SUBSTITUTE(SUBSTITUTE($MU107,"~","~~"),"*","~*"),"?","~?"),'DADOS_FORMAS'!$AH$2:$AH$21,0)),"")&lt;&gt;"",OR(IFERROR(VLOOKUP(SUBSTITUTE(SUBSTITUTE(SUBSTITUTE(IFERROR(INDEX('DADOS_FORMAS'!$AS$2:$AS$21,MATCH(SUBSTITUTE(SUBSTITUTE(SUBSTITUTE($MU107,"~","~~"),"*","~*"),"?","~?"),'DADOS_FORMAS'!$AH$2:$AH$21,0)),""),"~","~~"),"*","~*"),"?","~?"),'DADOS_RESTRICOES'!$M$2:$Q$54,2,FALSE),"")=$OK107,IFERROR(VLOOKUP(SUBSTITUTE(SUBSTITUTE(SUBSTITUTE(IFERROR(INDEX('DADOS_FORMAS'!$AS$2:$AS$21,MATCH(SUBSTITUTE(SUBSTITUTE(SUBSTITUTE($MU107,"~","~~"),"*","~*"),"?","~?"),'DADOS_FORMAS'!$AH$2:$AH$21,0)),""),"~","~~"),"*","~*"),"?","~?"),'DADOS_RESTRICOES'!$M$2:$Q$54,2,FALSE),"")=$OL107)),"Restrição repetida, contando a embutida",""),IF(IF(IFERROR(INDEX('DADOS_FORMAS'!$AS$2:$AS$21,MATCH(SUBSTITUTE(SUBSTITUTE(SUBSTITUTE($MU107,"~","~~"),"*","~*"),"?","~?"),'DADOS_FORMAS'!$AH$2:$AH$21,0)),"")="",0,IFERROR(N(VLOOKUP(SUBSTITUTE(SUBSTITUTE(SUBSTITUTE(IFERROR(INDEX('DADOS_FORMAS'!$AS$2:$AS$21,MATCH(SUBSTITUTE(SUBSTITUTE(SUBSTITUTE($MU107,"~","~~"),"*","~*"),"?","~?"),'DADOS_FORMAS'!$AH$2:$AH$21,0)),""),"~","~~"),"*","~*"),"?","~?"),'DADOS_RESTRICOES'!$M$2:$Q$54,4,FALSE)=1),0))+IF($NB107="",0,IFERROR(N(VLOOKUP(SUBSTITUTE(SUBSTITUTE(SUBSTITUTE($NB107,"~","~~"),"*","~*"),"?","~?"),'DADOS_RESTRICOES'!$M$2:$Q$54,4,FALSE)=1),0))+IF($NC107="",0,IFERROR(N(VLOOKUP(SUBSTITUTE(SUBSTITUTE(SUBSTITUTE($NC107,"~","~~"),"*","~*"),"?","~?"),'DADOS_RESTRICOES'!$M$2:$Q$54,4,FALSE)=1),0))&gt;1,"Duas Restrições de frequência, contando a embutida",""),IF(AND(IFERROR(VLOOKUP(SUBSTITUTE(SUBSTITUTE(SUBSTITUTE(IFERROR(INDEX('DADOS_FORMAS'!$AS$2:$AS$21,MATCH(SUBSTITUTE(SUBSTITUTE(SUBSTITUTE($MU107,"~","~~"),"*","~*"),"?","~?"),'DADOS_FORMAS'!$AH$2:$AH$21,0)),""),"~","~~"),"*","~*"),"?","~?"),'DADOS_RESTRICOES'!$M$2:$Q$54,2,FALSE),"")="Tudo ou Nada",$OH107=0),"Tudo ou Nada exige TR",""),IF(AND(IFERROR(VLOOKUP(SUBSTITUTE(SUBSTITUTE(SUBSTITUTE(IFERROR(INDEX('DADOS_FORMAS'!$AS$2:$AS$21,MATCH(SUBSTITUTE(SUBSTITUTE(SUBSTITUTE($MU107,"~","~~"),"*","~*"),"?","~?"),'DADOS_FORMAS'!$AH$2:$AH$21,0)),""),"~","~~"),"*","~*"),"?","~?"),'DADOS_RESTRICOES'!$M$2:$Q$54,2,FALSE),"")="Corpo a Corpo",OR($RO107="Cone",$RO107="Linha")),"Corpo a Corpo não entra em Cone/Linha","")))</f>
        <v/>
      </c>
      <c r="PU107" s="164">
        <f>IF($PT107="",0,(LEN($PT107)-LEN(SUBSTITUTE($PT107," · ","")))/3+1)</f>
        <v/>
      </c>
      <c r="PV107" s="164">
        <f>IF($ND107=0,"",TEXTJOIN(" · ",TRUE,IF($OX107&gt;2*$MS107,"A devolução parou no teto de "&amp;2*$MS107,""),IF($PA107&gt;0,"Devolução perdida: "&amp;$PA107&amp;IF($PA107&gt;1," pontos"," ponto")&amp;" sem Melhoria para pagar",""),IF(AND($OC107&gt;0,AND($MS107&gt;0,$OG107=0),$PD107=0),"Controle sem dano: uma rodada a mais e CD +2",""),IF(AND($OC107&gt;0,AND($MS107&gt;0,$OG107=0),$PD107&gt;0,$PD107&lt;=$MS107),"Controle com saldo até a Classe: uma rodada a mais",""),IF(AND($MS107&gt;0,$OE107&lt;&gt;""),"Efeito de "&amp;$OE107&amp;" pela Classe "&amp;MAX(1,$MS107-1),"")))</f>
        <v/>
      </c>
      <c r="PW107" s="164">
        <f>IF($PV107="",0,(LEN($PV107)-LEN(SUBSTITUTE($PV107," · ","")))/3+1)</f>
        <v/>
      </c>
      <c r="PX107" s="164">
        <f>IF($ND107=0,IF($OU107+COUNTIF($NB107:$NC107,"?*")&gt;0,"Dê um nome",""),IF($PU107&gt;0,"⚠ "&amp;$PU107&amp;IF($PU107&gt;1," erros"," erro"),IF($PW107&gt;0,"! "&amp;$PW107&amp;IF($PW107&gt;1," avisos"," aviso"),"Na regra")))</f>
        <v/>
      </c>
      <c r="PY107" s="164">
        <f>IF($ND107=0,"",IF($PU107+$PW107=0,"Dentro das regras que a ficha confere",$PT107&amp;IF(AND($PU107&gt;0,$PW107&gt;0)," · ","")&amp;$PV107))</f>
        <v/>
      </c>
      <c r="PZ107" s="164">
        <f>IF($MQ107&gt;$NE107,$MR107&amp;" · ABRE NO NÍVEL "&amp;$MQ107,$MR107)</f>
        <v/>
      </c>
      <c r="QA107" s="164">
        <f>IF($ND107=0,"",IF($MS107=0,"Sem PE",3*$MS107&amp;" PE"))</f>
        <v/>
      </c>
      <c r="QB107" s="164">
        <f>IF($ND107=0,"",IF($MS107=0,"A atuação básica dela",IF(COUNTIF($RQ107:$RS107,"Atrasar")&gt;0,"Sua Ação Completa",IF(COUNTIF($RK107:$RN107,"Rápido")&gt;0,"Sua Bônus",IF(COUNTIF($RK107:$RN107,"Reação")&gt;0,"Sua Reação","Sua Padrão")))&amp;" + a básica dela"&amp;IF(COUNTIF($RK107:$RN107,"Reação")&gt;0," e a coletiva","")&amp;IF(COUNTIF($RQ107:$RS107,"Carregar")&gt;0," · em dois turnos","")))</f>
        <v/>
      </c>
      <c r="QC107" s="164">
        <f>IF($MW107&lt;&gt;"",$MW107,IF($NJ107=0,"",INDEX('DADOS_FORMAS'!$GE$2:$GE$21,$NJ107)))</f>
        <v/>
      </c>
      <c r="QD107" s="164">
        <f>IF(OR($ND107=0,$NJ107=0),"",IF(COUNTIF($RK107:$RN107,"Inescapável")&gt;0,"Automático",IF($QC107="Ataque",IF($NH107="","Ataque","Ataque "&amp;IF(($NH107+2*IF(COUNTIF($RK107:$RN107,"Precisão")&gt;0,1,0))&gt;=0,"+","−")&amp;ABS(($NH107+2*IF(COUNTIF($RK107:$RN107,"Precisão")&gt;0,1,0))))&amp;IF($OD107&gt;0," · TR"&amp;IF($NI107="",""," CD "&amp;$NI107),""),IF(LEFT($QC107,2)="TR",$QC107&amp;IF($NI107="",""," · CD "&amp;$NI107)&amp;IF(COUNTIF($RK107:$RN107,"Certeiro")&gt;0," · metade",""),"Sem rolagem"))))</f>
        <v/>
      </c>
      <c r="QE107" s="164">
        <f>IF(OR($ND107=0,$NJ107=0),"",IF($MS107=0,IF(OR($OG107&gt;=1,$PD107=0),"Sem dano",$PD107&amp;"d6"&amp;IF($MV107="",""," "&amp;$MV107)),IF(OR($OG107&gt;=1,$PD107=0),UPPER(LEFT(INDEX($PM107:$PS107,1,MAX(1,$MS107)),1))&amp;MID(INDEX($PM107:$PS107,1,MAX(1,$MS107)),2,99),UPPER(LEFT(INDEX($PM107:$PS107,1,MAX(1,$MS107)),1))&amp;MID(INDEX($PM107:$PS107,1,MAX(1,$MS107)),2,99)&amp;IF($MV107="",""," "&amp;$MV107)&amp;IF($PE107&gt;0," · +"&amp;$PE107&amp;"d8",""))))</f>
        <v/>
      </c>
      <c r="QF107" s="164">
        <f>COUNTIF($RK107:$RN107,"Longe")+3*COUNTIF($RK107:$RN107,"Muito Longe")</f>
        <v/>
      </c>
      <c r="QG107" s="164">
        <f>COUNTIF($RK107:$RN107,"Maior")+3*COUNTIF($RK107:$RN107,"Muito Maior")</f>
        <v/>
      </c>
      <c r="QH107" s="164">
        <f>IF($NJ107=0,0,CHOOSE(1+INDEX('DADOS_FORMAS'!$GG$2:$GG$21,$NJ107),0,$QF107,$QG107,$QF107+$QG107))</f>
        <v/>
      </c>
      <c r="QI107" s="164">
        <f>IF($NJ107=0,0,CHOOSE(1+INDEX('DADOS_FORMAS'!$GH$2:$GH$21,$NJ107),0,$QF107,$QG107,$QF107+$QG107))</f>
        <v/>
      </c>
      <c r="QJ107" s="164">
        <f>IF(OR($ND107=0,$NJ107=0),"",INDEX('DADOS_FORMAS'!$HU$2:$HZ$81,($NJ107-1)*4+IF($MS107=0,1,IF($MS107&lt;=5,2,IF($MS107=6,3,4))),1+MIN(5,$QH107))&amp;INDEX('DADOS_FORMAS'!$IA$2:$IF$81,($NJ107-1)*4+IF($MS107=0,1,IF($MS107&lt;=5,2,IF($MS107=6,3,4))),1+MIN(5,$QI107))&amp;IF(INDEX('DADOS_FORMAS'!$GI$2:$GI$21,$NJ107)=1,IF(COUNTIF($RK107:$RN107,"Mais Um")&gt;0," · +"&amp;COUNTIF($RK107:$RN107,"Mais Um")&amp;IF(COUNTIF($RK107:$RN107,"Mais Um")&gt;1," alvos"," alvo"),"")&amp;IF(COUNTIF($RK107:$RN107,"Rajada")&gt;0,IF($MS107=0," · 1 tiro"," · "&amp;(MAX(1,$MS107-1)+1)&amp;" tiros"),""),""))</f>
        <v/>
      </c>
      <c r="QK107" s="164">
        <f>IF($ND107=0,"",IF($MS107=0,$NG107&amp;"d6"&amp;IF($OU107&gt;0," − 1 = "&amp;$PD107&amp;"d6"," da básica do nível "&amp;$NE107),$PB107&amp;" − "&amp;$OW107&amp;" + "&amp;$OZ107&amp;" = "&amp;$PC107&amp;" · teto "&amp;4*$MS107&amp;"d8"&amp;IF($OF107=1," · a Forma devolve "&amp;$MS107,"")&amp;IF($PA107&gt;0," · perde "&amp;$PA107,"")))</f>
        <v/>
      </c>
      <c r="QL107" s="164">
        <f>IF($ND107=0,"",IF($MS107=0,"A básica não amplia: os dados dela sobem com o nível",IF($MS107&gt;=$NF107,"Já está na maior Classe que o nível liberou",TEXTJOIN(" · ",TRUE,IF(AND(2&gt;$MS107,2&lt;=$NF107),"2 → "&amp;$PN107&amp;", 6 PE",""),IF(AND(3&gt;$MS107,3&lt;=$NF107),"3 → "&amp;$PO107&amp;", 9 PE",""),IF(AND(4&gt;$MS107,4&lt;=$NF107),"4 → "&amp;$PP107&amp;", 12 PE",""),IF(AND(5&gt;$MS107,5&lt;=$NF107),"5 → "&amp;$PQ107&amp;", 15 PE",""),IF(AND(6&gt;$MS107,6&lt;=$NF107),"6 → "&amp;$PR107&amp;", 18 PE",""),IF(AND(7&gt;$MS107,7&lt;=$NF107),"7 → "&amp;$PS107&amp;", 21 PE","")))))</f>
        <v/>
      </c>
      <c r="QM107" s="164">
        <f>IF(OR($ND107=0,$NO107=0),"",IF($MS107=0,"−1 dado","−"&amp;INDEX($I$2:$N$8,MAX(1,$MS107),MAX(1,$NT107))&amp;" · "&amp;CHOOSE(MAX(1,$NT107),"Leve","Média","Pesada","Leve · Livre","Média · Livre","Pesada · Livre")))</f>
        <v/>
      </c>
      <c r="QN107" s="164">
        <f>IF(OR($ND107=0,$NP107=0),"",IF($MS107=0,"−1 dado","−"&amp;INDEX($I$2:$N$8,MAX(1,$MS107),MAX(1,$NU107))&amp;" · "&amp;CHOOSE(MAX(1,$NU107),"Leve","Média","Pesada","Leve · Livre","Média · Livre","Pesada · Livre")))</f>
        <v/>
      </c>
      <c r="QO107" s="164">
        <f>IF(OR($ND107=0,$NQ107=0),"",IF($MS107=0,"−1 dado","−"&amp;INDEX($I$2:$N$8,MAX(1,$MS107),MAX(1,$NV107))&amp;" · "&amp;CHOOSE(MAX(1,$NV107),"Leve","Média","Pesada","Leve · Livre","Média · Livre","Pesada · Livre")))</f>
        <v/>
      </c>
      <c r="QP107" s="164">
        <f>IF(OR($ND107=0,$NR107=0),"",IF($MS107=0,"−1 dado","−"&amp;INDEX($I$2:$N$8,MAX(1,$MS107),MAX(1,$NW107))&amp;" · "&amp;CHOOSE(MAX(1,$NW107),"Leve","Média","Pesada","Leve · Livre","Média · Livre","Pesada · Livre")))</f>
        <v/>
      </c>
      <c r="QQ107" s="164">
        <f>IF(OR($ND107=0,$NB107=""),"",IF($MS107=0,"não devolve","+"&amp;IF($OI107=1,CEILING($MS107/2,1),$MS107)))</f>
        <v/>
      </c>
      <c r="QR107" s="164">
        <f>IF(OR($ND107=0,$NC107=""),"",IF($MS107=0,"não devolve","+"&amp;IF($OJ107=1,CEILING($MS107/2,1),$MS107)))</f>
        <v/>
      </c>
      <c r="RK107">
        <f>IF($MX107="","",IFERROR(VLOOKUP(SUBSTITUTE(SUBSTITUTE(SUBSTITUTE($MX107,"~","~~"),"*","~*"),"?","~?"),'DADOS_MELHORIAS'!$O$2:$X$113,10,FALSE),$MX107))</f>
        <v/>
      </c>
      <c r="RL107">
        <f>IF($MY107="","",IFERROR(VLOOKUP(SUBSTITUTE(SUBSTITUTE(SUBSTITUTE($MY107,"~","~~"),"*","~*"),"?","~?"),'DADOS_MELHORIAS'!$O$2:$X$113,10,FALSE),$MY107))</f>
        <v/>
      </c>
      <c r="RM107">
        <f>IF($MZ107="","",IFERROR(VLOOKUP(SUBSTITUTE(SUBSTITUTE(SUBSTITUTE($MZ107,"~","~~"),"*","~*"),"?","~?"),'DADOS_MELHORIAS'!$O$2:$X$113,10,FALSE),$MZ107))</f>
        <v/>
      </c>
      <c r="RN107">
        <f>IF($NA107="","",IFERROR(VLOOKUP(SUBSTITUTE(SUBSTITUTE(SUBSTITUTE($NA107,"~","~~"),"*","~*"),"?","~?"),'DADOS_MELHORIAS'!$O$2:$X$113,10,FALSE),$NA107))</f>
        <v/>
      </c>
      <c r="RO107">
        <f>IFERROR(INDEX('DADOS_FORMAS'!$BJ$2:$BJ$21,MATCH(SUBSTITUTE(SUBSTITUTE(SUBSTITUTE($MU107,"~","~~"),"*","~*"),"?","~?"),'DADOS_FORMAS'!$AH$2:$AH$21,0)),"")</f>
        <v/>
      </c>
      <c r="RP107">
        <f>IFERROR(VLOOKUP(SUBSTITUTE(SUBSTITUTE(SUBSTITUTE(IFERROR(INDEX('DADOS_FORMAS'!$AS$2:$AS$21,MATCH(SUBSTITUTE(SUBSTITUTE(SUBSTITUTE($MU107,"~","~~"),"*","~*"),"?","~?"),'DADOS_FORMAS'!$AH$2:$AH$21,0)),""),"~","~~"),"*","~*"),"?","~?"),'DADOS_RESTRICOES'!$M$2:$Q$54,2,FALSE),"")</f>
        <v/>
      </c>
      <c r="RQ107">
        <f>$OK107</f>
        <v/>
      </c>
      <c r="RR107">
        <f>$OL107</f>
        <v/>
      </c>
      <c r="RS107">
        <f>$RP107</f>
        <v/>
      </c>
    </row>
    <row r="108">
      <c r="MN108" s="162" t="inlineStr">
        <is>
          <t>Ficha 9 · Especial 2</t>
        </is>
      </c>
      <c r="MO108" s="164" t="n">
        <v>9</v>
      </c>
      <c r="MP108" s="164" t="n">
        <v>1</v>
      </c>
      <c r="MQ108" s="164" t="n">
        <v>4</v>
      </c>
      <c r="MR108" s="162" t="inlineStr">
        <is>
          <t>ESPECIAL 2</t>
        </is>
      </c>
      <c r="MS108" s="164">
        <f>MAX(1,MIN(7,N('INVOCAÇÕES'!$AN$493)))</f>
        <v/>
      </c>
      <c r="MT108" s="164">
        <f>'INVOCAÇÕES'!$AO$493&amp;""</f>
        <v/>
      </c>
      <c r="MU108" s="164">
        <f>'INVOCAÇÕES'!$AN$498&amp;""</f>
        <v/>
      </c>
      <c r="MV108" s="164">
        <f>'INVOCAÇÕES'!$AN$499&amp;""</f>
        <v/>
      </c>
      <c r="MW108" s="164">
        <f>'INVOCAÇÕES'!$AP$499&amp;""</f>
        <v/>
      </c>
      <c r="MX108" s="164">
        <f>'INVOCAÇÕES'!$AO$502&amp;""</f>
        <v/>
      </c>
      <c r="MY108" s="164">
        <f>'INVOCAÇÕES'!$AO$503&amp;""</f>
        <v/>
      </c>
      <c r="MZ108" s="164">
        <f>'INVOCAÇÕES'!$AO$504&amp;""</f>
        <v/>
      </c>
      <c r="NA108" s="164">
        <f>'INVOCAÇÕES'!$AO$505&amp;""</f>
        <v/>
      </c>
      <c r="NB108" s="164">
        <f>'INVOCAÇÕES'!$AO$506&amp;""</f>
        <v/>
      </c>
      <c r="NC108" s="164">
        <f>'INVOCAÇÕES'!$AO$507&amp;""</f>
        <v/>
      </c>
      <c r="ND108" s="164">
        <f>IF($MT108&lt;&gt;"",1,0)</f>
        <v/>
      </c>
      <c r="NE108" s="164">
        <f>INDEX($FO$2:$FO$13,$MO108)</f>
        <v/>
      </c>
      <c r="NF108" s="164">
        <f>INDEX($FP$2:$FP$13,$MO108)</f>
        <v/>
      </c>
      <c r="NG108" s="164">
        <f>INDEX($FQ$2:$FQ$13,$MO108)</f>
        <v/>
      </c>
      <c r="NH108" s="164">
        <f>INDEX($GB$2:$GB$13,$MO108)</f>
        <v/>
      </c>
      <c r="NI108" s="164">
        <f>INDEX($GC$2:$GC$13,$MO108)</f>
        <v/>
      </c>
      <c r="NJ108" s="164">
        <f>IFERROR(MATCH(SUBSTITUTE(SUBSTITUTE(SUBSTITUTE($MU108,"~","~~"),"*","~*"),"?","~?"),'DADOS_FORMAS'!$FZ$2:$FZ$21,0),0)</f>
        <v/>
      </c>
      <c r="NK108" s="164">
        <f>IFERROR(VLOOKUP(SUBSTITUTE(SUBSTITUTE(SUBSTITUTE($MX108,"~","~~"),"*","~*"),"?","~?"),'DADOS_MELHORIAS'!$AG$2:$AL$113,2,FALSE),"")</f>
        <v/>
      </c>
      <c r="NL108" s="164">
        <f>IFERROR(VLOOKUP(SUBSTITUTE(SUBSTITUTE(SUBSTITUTE($MY108,"~","~~"),"*","~*"),"?","~?"),'DADOS_MELHORIAS'!$AG$2:$AL$113,2,FALSE),"")</f>
        <v/>
      </c>
      <c r="NM108" s="164">
        <f>IFERROR(VLOOKUP(SUBSTITUTE(SUBSTITUTE(SUBSTITUTE($MZ108,"~","~~"),"*","~*"),"?","~?"),'DADOS_MELHORIAS'!$AG$2:$AL$113,2,FALSE),"")</f>
        <v/>
      </c>
      <c r="NN108" s="164">
        <f>IFERROR(VLOOKUP(SUBSTITUTE(SUBSTITUTE(SUBSTITUTE($NA108,"~","~~"),"*","~*"),"?","~?"),'DADOS_MELHORIAS'!$AG$2:$AL$113,2,FALSE),"")</f>
        <v/>
      </c>
      <c r="NO108" s="164">
        <f>IFERROR(VLOOKUP(SUBSTITUTE(SUBSTITUTE(SUBSTITUTE($MX108,"~","~~"),"*","~*"),"?","~?"),'DADOS_MELHORIAS'!$AG$2:$AL$113,3,FALSE),0)</f>
        <v/>
      </c>
      <c r="NP108" s="164">
        <f>IFERROR(VLOOKUP(SUBSTITUTE(SUBSTITUTE(SUBSTITUTE($MY108,"~","~~"),"*","~*"),"?","~?"),'DADOS_MELHORIAS'!$AG$2:$AL$113,3,FALSE),0)</f>
        <v/>
      </c>
      <c r="NQ108" s="164">
        <f>IFERROR(VLOOKUP(SUBSTITUTE(SUBSTITUTE(SUBSTITUTE($MZ108,"~","~~"),"*","~*"),"?","~?"),'DADOS_MELHORIAS'!$AG$2:$AL$113,3,FALSE),0)</f>
        <v/>
      </c>
      <c r="NR108" s="164">
        <f>IFERROR(VLOOKUP(SUBSTITUTE(SUBSTITUTE(SUBSTITUTE($NA108,"~","~~"),"*","~*"),"?","~?"),'DADOS_MELHORIAS'!$AG$2:$AL$113,3,FALSE),0)</f>
        <v/>
      </c>
      <c r="NS108" s="164">
        <f>IF($MS108=0,0,IF($NJ108=0,0,INDEX('DADOS_FORMAS'!$GB$2:$GB$21,$NJ108)))</f>
        <v/>
      </c>
      <c r="NT108" s="164">
        <f>IF(OR($NO108=0,$MS108=0),0,$NO108+3*IF(AND($NK108&lt;&gt;"",COUNTIF(INDEX($RB$2:$RJ$13,$MO108,0),$NK108)&gt;0),1,0))</f>
        <v/>
      </c>
      <c r="NU108" s="164">
        <f>IF(OR($NP108=0,$MS108=0),0,$NP108+3*IF(AND($NL108&lt;&gt;"",COUNTIF(INDEX($RB$2:$RJ$13,$MO108,0),$NL108)&gt;0),1,0))</f>
        <v/>
      </c>
      <c r="NV108" s="164">
        <f>IF(OR($NQ108=0,$MS108=0),0,$NQ108+3*IF(AND($NM108&lt;&gt;"",COUNTIF(INDEX($RB$2:$RJ$13,$MO108,0),$NM108)&gt;0),1,0))</f>
        <v/>
      </c>
      <c r="NW108" s="164">
        <f>IF(OR($NR108=0,$MS108=0),0,$NR108+3*IF(AND($NN108&lt;&gt;"",COUNTIF(INDEX($RB$2:$RJ$13,$MO108,0),$NN108)&gt;0),1,0))</f>
        <v/>
      </c>
      <c r="NX108" s="164">
        <f>IF($NJ108=0,0,IF(INDEX('DADOS_FORMAS'!$GA$2:$GA$21,$NJ108)="",0,IF((COUNTIF(INDEX($EL$2:$EP$13,$MO108,0),INDEX('DADOS_FORMAS'!$GA$2:$GA$21,$NJ108))+COUNTIF(INDEX($QV$2:$QY$13,$MO108,0),INDEX('DADOS_FORMAS'!$GA$2:$GA$21,$NJ108)))=0,1,0)))</f>
        <v/>
      </c>
      <c r="NY108" s="164">
        <f>IF(OR($NO108=0,$NK108=""),0,IF((COUNTIF(INDEX($EL$2:$EP$13,$MO108,0),$NK108)+COUNTIF(INDEX($QV$2:$QY$13,$MO108,0),$NK108))=0,1,0))</f>
        <v/>
      </c>
      <c r="NZ108" s="164">
        <f>IF(OR($NP108=0,$NL108=""),0,IF((COUNTIF(INDEX($EL$2:$EP$13,$MO108,0),$NL108)+COUNTIF(INDEX($QV$2:$QY$13,$MO108,0),$NL108))=0,1,0))</f>
        <v/>
      </c>
      <c r="OA108" s="164">
        <f>IF(OR($NQ108=0,$NM108=""),0,IF((COUNTIF(INDEX($EL$2:$EP$13,$MO108,0),$NM108)+COUNTIF(INDEX($QV$2:$QY$13,$MO108,0),$NM108))=0,1,0))</f>
        <v/>
      </c>
      <c r="OB108" s="164">
        <f>IF(OR($NR108=0,$NN108=""),0,IF((COUNTIF(INDEX($EL$2:$EP$13,$MO108,0),$NN108)+COUNTIF(INDEX($QV$2:$QY$13,$MO108,0),$NN108))=0,1,0))</f>
        <v/>
      </c>
      <c r="OC108" s="164">
        <f>IFERROR(VLOOKUP(SUBSTITUTE(SUBSTITUTE(SUBSTITUTE($MX108,"~","~~"),"*","~*"),"?","~?"),'DADOS_MELHORIAS'!$AG$2:$AL$113,4,FALSE),0)+IFERROR(VLOOKUP(SUBSTITUTE(SUBSTITUTE(SUBSTITUTE($MY108,"~","~~"),"*","~*"),"?","~?"),'DADOS_MELHORIAS'!$AG$2:$AL$113,4,FALSE),0)+IFERROR(VLOOKUP(SUBSTITUTE(SUBSTITUTE(SUBSTITUTE($MZ108,"~","~~"),"*","~*"),"?","~?"),'DADOS_MELHORIAS'!$AG$2:$AL$113,4,FALSE),0)+IFERROR(VLOOKUP(SUBSTITUTE(SUBSTITUTE(SUBSTITUTE($NA108,"~","~~"),"*","~*"),"?","~?"),'DADOS_MELHORIAS'!$AG$2:$AL$113,4,FALSE),0)</f>
        <v/>
      </c>
      <c r="OD108" s="164">
        <f>IFERROR(VLOOKUP(SUBSTITUTE(SUBSTITUTE(SUBSTITUTE($MX108,"~","~~"),"*","~*"),"?","~?"),'DADOS_MELHORIAS'!$AG$2:$AL$113,6,FALSE),0)+IFERROR(VLOOKUP(SUBSTITUTE(SUBSTITUTE(SUBSTITUTE($MY108,"~","~~"),"*","~*"),"?","~?"),'DADOS_MELHORIAS'!$AG$2:$AL$113,6,FALSE),0)+IFERROR(VLOOKUP(SUBSTITUTE(SUBSTITUTE(SUBSTITUTE($MZ108,"~","~~"),"*","~*"),"?","~?"),'DADOS_MELHORIAS'!$AG$2:$AL$113,6,FALSE),0)+IFERROR(VLOOKUP(SUBSTITUTE(SUBSTITUTE(SUBSTITUTE($NA108,"~","~~"),"*","~*"),"?","~?"),'DADOS_MELHORIAS'!$AG$2:$AL$113,6,FALSE),0)+IFERROR(N(AND(INDEX('DADOS_FORMAS'!$AO$2:$AO$21,MATCH(SUBSTITUTE(SUBSTITUTE(SUBSTITUTE($MU108,"~","~~"),"*","~*"),"?","~?"),'DADOS_FORMAS'!$AH$2:$AH$21,0))="Acerto",$OH108=1)),0)</f>
        <v/>
      </c>
      <c r="OE108" s="164">
        <f>TEXTJOIN(", ",TRUE,IF(IFERROR(VLOOKUP(SUBSTITUTE(SUBSTITUTE(SUBSTITUTE($MX108,"~","~~"),"*","~*"),"?","~?"),'DADOS_MELHORIAS'!$AG$2:$AL$113,5,FALSE),0)=1,$MX108,""),IF(IFERROR(VLOOKUP(SUBSTITUTE(SUBSTITUTE(SUBSTITUTE($MY108,"~","~~"),"*","~*"),"?","~?"),'DADOS_MELHORIAS'!$AG$2:$AL$113,5,FALSE),0)=1,$MY108,""),IF(IFERROR(VLOOKUP(SUBSTITUTE(SUBSTITUTE(SUBSTITUTE($MZ108,"~","~~"),"*","~*"),"?","~?"),'DADOS_MELHORIAS'!$AG$2:$AL$113,5,FALSE),0)=1,$MZ108,""),IF(IFERROR(VLOOKUP(SUBSTITUTE(SUBSTITUTE(SUBSTITUTE($NA108,"~","~~"),"*","~*"),"?","~?"),'DADOS_MELHORIAS'!$AG$2:$AL$113,5,FALSE),0)=1,$NA108,""))</f>
        <v/>
      </c>
      <c r="OF108" s="164">
        <f>IF($NJ108=0,0,INDEX('DADOS_FORMAS'!$GC$2:$GC$21,$NJ108))</f>
        <v/>
      </c>
      <c r="OG108" s="164">
        <f>IF($NJ108=0,0,INDEX('DADOS_FORMAS'!$GD$2:$GD$21,$NJ108))</f>
        <v/>
      </c>
      <c r="OH108" s="164">
        <f>IF($NJ108=0,0,INDEX('DADOS_FORMAS'!$GF$2:$GF$21,$NJ108))</f>
        <v/>
      </c>
      <c r="OI108" s="164">
        <f>IFERROR(VLOOKUP(SUBSTITUTE(SUBSTITUTE(SUBSTITUTE($NB108,"~","~~"),"*","~*"),"?","~?"),'DADOS_RESTRICOES'!$M$2:$Q$54,3,FALSE),0)</f>
        <v/>
      </c>
      <c r="OJ108" s="164">
        <f>IFERROR(VLOOKUP(SUBSTITUTE(SUBSTITUTE(SUBSTITUTE($NC108,"~","~~"),"*","~*"),"?","~?"),'DADOS_RESTRICOES'!$M$2:$Q$54,3,FALSE),0)</f>
        <v/>
      </c>
      <c r="OK108" s="164">
        <f>IFERROR(VLOOKUP(SUBSTITUTE(SUBSTITUTE(SUBSTITUTE($NB108,"~","~~"),"*","~*"),"?","~?"),'DADOS_RESTRICOES'!$M$2:$Q$54,2,FALSE),"")</f>
        <v/>
      </c>
      <c r="OL108" s="164">
        <f>IFERROR(VLOOKUP(SUBSTITUTE(SUBSTITUTE(SUBSTITUTE($NC108,"~","~~"),"*","~*"),"?","~?"),'DADOS_RESTRICOES'!$M$2:$Q$54,2,FALSE),"")</f>
        <v/>
      </c>
      <c r="OM108" s="164">
        <f>COUNTIF($NS108:$NW108,1)</f>
        <v/>
      </c>
      <c r="ON108" s="164">
        <f>COUNTIF($NS108:$NW108,2)</f>
        <v/>
      </c>
      <c r="OO108" s="164">
        <f>COUNTIF($NS108:$NW108,3)</f>
        <v/>
      </c>
      <c r="OP108" s="164">
        <f>COUNTIF($NS108:$NW108,4)</f>
        <v/>
      </c>
      <c r="OQ108" s="164">
        <f>COUNTIF($NS108:$NW108,5)</f>
        <v/>
      </c>
      <c r="OR108" s="164">
        <f>COUNTIF($NS108:$NW108,6)</f>
        <v/>
      </c>
      <c r="OS108" s="164">
        <f>COUNTIF($OI108:$OJ108,1)+IF(IFERROR(INDEX('DADOS_FORMAS'!$AS$2:$AS$21,MATCH(SUBSTITUTE(SUBSTITUTE(SUBSTITUTE($MU108,"~","~~"),"*","~*"),"?","~?"),'DADOS_FORMAS'!$AH$2:$AH$21,0)),"")="",0,IFERROR(N(VLOOKUP(SUBSTITUTE(SUBSTITUTE(SUBSTITUTE(IFERROR(INDEX('DADOS_FORMAS'!$AS$2:$AS$21,MATCH(SUBSTITUTE(SUBSTITUTE(SUBSTITUTE($MU108,"~","~~"),"*","~*"),"?","~?"),'DADOS_FORMAS'!$AH$2:$AH$21,0)),""),"~","~~"),"*","~*"),"?","~?"),'DADOS_RESTRICOES'!$M$2:$Q$54,3,FALSE)=1),0))</f>
        <v/>
      </c>
      <c r="OT108" s="164">
        <f>COUNTIF($OI108:$OJ108,2)+IF(IFERROR(INDEX('DADOS_FORMAS'!$AS$2:$AS$21,MATCH(SUBSTITUTE(SUBSTITUTE(SUBSTITUTE($MU108,"~","~~"),"*","~*"),"?","~?"),'DADOS_FORMAS'!$AH$2:$AH$21,0)),"")="",0,IFERROR(N(VLOOKUP(SUBSTITUTE(SUBSTITUTE(SUBSTITUTE(IFERROR(INDEX('DADOS_FORMAS'!$AS$2:$AS$21,MATCH(SUBSTITUTE(SUBSTITUTE(SUBSTITUTE($MU108,"~","~~"),"*","~*"),"?","~?"),'DADOS_FORMAS'!$AH$2:$AH$21,0)),""),"~","~~"),"*","~*"),"?","~?"),'DADOS_RESTRICOES'!$M$2:$Q$54,3,FALSE)=2),0))</f>
        <v/>
      </c>
      <c r="OU108" s="164">
        <f>COUNTIF($MX108:$NA108,"?*")</f>
        <v/>
      </c>
      <c r="OV108" s="164">
        <f>COUNTIF($NB108:$NC108,"?*")+$OF108</f>
        <v/>
      </c>
      <c r="OW108" s="164">
        <f>IF($MS108=0,0,SUMPRODUCT($OM108:$OR108,INDEX($I$2:$N$8,MAX(1,$MS108),0)))</f>
        <v/>
      </c>
      <c r="OX108" s="164">
        <f>IF($MS108=0,0,$OS108*CEILING($MS108/2,1)+$OT108*$MS108)</f>
        <v/>
      </c>
      <c r="OY108" s="164">
        <f>MIN(2*$MS108,$OX108)</f>
        <v/>
      </c>
      <c r="OZ108" s="164">
        <f>MIN($OY108,$OW108-IF($NS108=0,0,INDEX($I$2:$N$8,MAX(1,$MS108),$NS108)))</f>
        <v/>
      </c>
      <c r="PA108" s="164">
        <f>$OY108-$OZ108</f>
        <v/>
      </c>
      <c r="PB108" s="164">
        <f>IF($MS108=0,0,INDEX($P$2:$P$8,MAX(1,$MS108)))</f>
        <v/>
      </c>
      <c r="PC108" s="164">
        <f>$PB108-$OW108+$OZ108</f>
        <v/>
      </c>
      <c r="PD108" s="164">
        <f>IF($MS108=0,MAX(0,$NG108-IF(AND($OU108&gt;0,COUNTIF($NB108:$NC108,"?*")=0),1,0)),MAX(0,$PC108))</f>
        <v/>
      </c>
      <c r="PE108" s="164">
        <f>IF($MS108=0,0,(IF(COUNTIF($RK108:$RN108,"Salto")&gt;0,1,0)+IF(COUNTIF($RK108:$RN108,"Queima")&gt;0,1,0)+IF(COUNTIF($RK108:$RN108,"Estilhaço")&gt;0,1,0))*FLOOR($PD108/2,1))</f>
        <v/>
      </c>
      <c r="PF108" s="164">
        <f>MAX(0,2-SUMPRODUCT($OM108:$OR108,$I$2:$N$2)+MIN(2,$OS108*1+$OT108*1,SUMPRODUCT($OM108:$OR108,$I$2:$N$2)-IF($NS108=0,0,INDEX($I$2:$N$2,1,$NS108))))</f>
        <v/>
      </c>
      <c r="PG108" s="164">
        <f>MAX(0,4-SUMPRODUCT($OM108:$OR108,$I$3:$N$3)+MIN(4,$OS108*1+$OT108*2,SUMPRODUCT($OM108:$OR108,$I$3:$N$3)-IF($NS108=0,0,INDEX($I$3:$N$3,1,$NS108))))</f>
        <v/>
      </c>
      <c r="PH108" s="164">
        <f>MAX(0,6-SUMPRODUCT($OM108:$OR108,$I$4:$N$4)+MIN(6,$OS108*2+$OT108*3,SUMPRODUCT($OM108:$OR108,$I$4:$N$4)-IF($NS108=0,0,INDEX($I$4:$N$4,1,$NS108))))</f>
        <v/>
      </c>
      <c r="PI108" s="164">
        <f>MAX(0,9-SUMPRODUCT($OM108:$OR108,$I$5:$N$5)+MIN(8,$OS108*2+$OT108*4,SUMPRODUCT($OM108:$OR108,$I$5:$N$5)-IF($NS108=0,0,INDEX($I$5:$N$5,1,$NS108))))</f>
        <v/>
      </c>
      <c r="PJ108" s="164">
        <f>MAX(0,11-SUMPRODUCT($OM108:$OR108,$I$6:$N$6)+MIN(10,$OS108*3+$OT108*5,SUMPRODUCT($OM108:$OR108,$I$6:$N$6)-IF($NS108=0,0,INDEX($I$6:$N$6,1,$NS108))))</f>
        <v/>
      </c>
      <c r="PK108" s="164">
        <f>MAX(0,13-SUMPRODUCT($OM108:$OR108,$I$7:$N$7)+MIN(12,$OS108*3+$OT108*6,SUMPRODUCT($OM108:$OR108,$I$7:$N$7)-IF($NS108=0,0,INDEX($I$7:$N$7,1,$NS108))))</f>
        <v/>
      </c>
      <c r="PL108" s="164">
        <f>MAX(0,16-SUMPRODUCT($OM108:$OR108,$I$8:$N$8)+MIN(14,$OS108*4+$OT108*7,SUMPRODUCT($OM108:$OR108,$I$8:$N$8)-IF($NS108=0,0,INDEX($I$8:$N$8,1,$NS108))))</f>
        <v/>
      </c>
      <c r="PM108" s="164">
        <f>IF($OG108=2,3*$PF108&amp;" de vida temp.",IF($OG108=3,"sem dano",IF($PF108=0,IF($OG108=1,"sem cura","sem dano"),IF($OG108=1,"cura ","")&amp;$PF108&amp;"d8")))</f>
        <v/>
      </c>
      <c r="PN108" s="164">
        <f>IF($OG108=2,3*$PG108&amp;" de vida temp.",IF($OG108=3,"sem dano",IF($PG108=0,IF($OG108=1,"sem cura","sem dano"),IF($OG108=1,"cura ","")&amp;$PG108&amp;"d8")))</f>
        <v/>
      </c>
      <c r="PO108" s="164">
        <f>IF($OG108=2,3*$PH108&amp;" de vida temp.",IF($OG108=3,"sem dano",IF($PH108=0,IF($OG108=1,"sem cura","sem dano"),IF($OG108=1,"cura ","")&amp;$PH108&amp;"d8")))</f>
        <v/>
      </c>
      <c r="PP108" s="164">
        <f>IF($OG108=2,3*$PI108&amp;" de vida temp.",IF($OG108=3,"sem dano",IF($PI108=0,IF($OG108=1,"sem cura","sem dano"),IF($OG108=1,"cura ","")&amp;$PI108&amp;"d8")))</f>
        <v/>
      </c>
      <c r="PQ108" s="164">
        <f>IF($OG108=2,3*$PJ108&amp;" de vida temp.",IF($OG108=3,"sem dano",IF($PJ108=0,IF($OG108=1,"sem cura","sem dano"),IF($OG108=1,"cura ","")&amp;$PJ108&amp;"d8")))</f>
        <v/>
      </c>
      <c r="PR108" s="164">
        <f>IF($OG108=2,3*$PK108&amp;" de vida temp.",IF($OG108=3,"sem dano",IF($PK108=0,IF($OG108=1,"sem cura","sem dano"),IF($OG108=1,"cura ","")&amp;$PK108&amp;"d8")))</f>
        <v/>
      </c>
      <c r="PS108" s="164">
        <f>IF($OG108=2,3*$PL108&amp;" de vida temp.",IF($OG108=3,"sem dano",IF($PL108=0,IF($OG108=1,"sem cura","sem dano"),IF($OG108=1,"cura ","")&amp;$PL108&amp;"d8")))</f>
        <v/>
      </c>
      <c r="PT108" s="164">
        <f>IF($ND108=0,"",TEXTJOIN(" · ",TRUE,IF($ND108=0,"",TEXTJOIN(" · ",TRUE,IF($ND108=0,"",TEXTJOIN(" · ",TRUE,IF($MQ108&gt;$NE108,"Este lugar abre no nível "&amp;$MQ108,""),IF($MS108&gt;$NF108,"Classe "&amp;$MS108&amp;": o nível "&amp;$NE108&amp;" libera até a "&amp;$NF108,""),IF($NX108=1,"A Forma "&amp;$MU108&amp;" pede "&amp;INDEX('DADOS_FORMAS'!$GA$2:$GA$21,$NJ108)&amp;" aberta",""),IF(AND($MS108=0,$NJ108&gt;0,IF($NJ108=0,0,INDEX('DADOS_FORMAS'!$GJ$2:$GJ$21,$NJ108))=0),$MU108&amp;" não existe na Classe 0",""),IF($NY108=1,"Família Fechada: "&amp;$MX108,""),IF($NZ108=1,"Família Fechada: "&amp;$MY108,""),IF($OA108=1,"Família Fechada: "&amp;$MZ108,""),IF($OB108=1,"Família Fechada: "&amp;$NA108,""),IF(AND($MS108&gt;0,$OU108&gt;INDEX($O$2:$O$8,MAX(1,$MS108))),$OU108&amp;" Melhorias: a Classe "&amp;$MS108&amp;" aceita "&amp;INDEX($O$2:$O$8,MAX(1,$MS108)),""),IF(AND($MS108=0,$OU108&gt;1),"A básica aceita uma Melhoria",""),IF(AND($MS108=0,COUNTIF($NO108:$NR108,"&gt;1")&gt;0),"A básica só aceita Melhoria Leve",""),IF(AND($MS108&gt;0,$OV108&gt;2),$OV108&amp;" Restrições"&amp;IF($OF108=1,", contando a que a Forma "&amp;$MU108&amp;" já traz","")&amp;": o limite é 2",""),IF(AND($MS108=0,COUNTIF($NB108:$NC108,"?*")&gt;1),"A básica aceita uma Restrição Leve",""),IF(AND($MS108=0,COUNTIF($OI108:$OJ108,2)&gt;0),"A básica só aceita Restrição Leve",""),IF(AND($MS108&gt;0,$PC108&lt;0),"Orçamento estourado: faltam "&amp;(-$PC108)&amp;IF($PC108&lt;-1," pontos"," ponto"),""),IF(IFERROR(VLOOKUP(SUBSTITUTE(SUBSTITUTE(SUBSTITUTE($NB108,"~","~~"),"*","~*"),"?","~?"),'DADOS_RESTRICOES'!$M$2:$Q$54,4,FALSE),0)+IFERROR(VLOOKUP(SUBSTITUTE(SUBSTITUTE(SUBSTITUTE($NC108,"~","~~"),"*","~*"),"?","~?"),'DADOS_RESTRICOES'!$M$2:$Q$54,4,FALSE),0)&gt;1,$OK108&amp;" e "&amp;$OL108&amp;" são as duas de frequência",""),IF(AND((COUNTIF($RK108:$RN108,"Rápido")+COUNTIF($OK108:$OL108,"Rápido"))&gt;0,(COUNTIF($MX108:$NA108,"Atrasar")+COUNTIF($OK108:$OL108,"Atrasar"))&gt;0),"Rápido não entra com Atrasar",""),IF(AND((COUNTIF($RK108:$RN108,"Reação")+COUNTIF($OK108:$OL108,"Reação"))&gt;0,(COUNTIF($RK108:$RN108,"Rápido")+COUNTIF($OK108:$OL108,"Rápido"))&gt;0),"Reação não entra com Rápido",""),IF(AND((COUNTIF($RK108:$RN108,"Reação")+COUNTIF($OK108:$OL108,"Reação"))&gt;0,(COUNTIF($RK108:$RN108,"Armado")+COUNTIF($OK108:$OL108,"Armado"))&gt;0),"Reação não entra com Armado",""),IF(AND((COUNTIF($RK108:$RN108,"Reação")+COUNTIF($OK108:$OL108,"Reação"))&gt;0,(COUNTIF($MX108:$NA108,"Atrasar")+COUNTIF($OK108:$OL108,"Atrasar"))&gt;0),"Reação não entra com Atrasar",""),IF(AND((COUNTIF($RK108:$RN108,"Reação")+COUNTIF($OK108:$OL108,"Reação"))&gt;0,(COUNTIF($MX108:$NA108,"Parado")+COUNTIF($OK108:$OL108,"Parado"))&gt;0),"Reação não entra com Parado",""),IF(AND((COUNTIF($MX108:$NA108,"Atrasar")+COUNTIF($OK108:$OL108,"Atrasar"))&gt;0,(COUNTIF($MX108:$NA108,"Parado")+COUNTIF($OK108:$OL108,"Parado"))&gt;0),"Atrasar não entra com Parado",""),IF(AND((COUNTIF($RK108:$RN108,"Armado")+COUNTIF($OK108:$OL108,"Armado"))&gt;0,(COUNTIF($MX108:$NA108,"Carregar")+COUNTIF($OK108:$OL108,"Carregar"))&gt;0),"Armado não entra com Carregar",""),IF(AND(COUNTIF($OK108:$OL108,"Corpo a Corpo")&gt;0,$OF108=0,OR($RO108="Cone",$RO108="Linha")),"Corpo a Corpo não entra em "&amp;$MU108,""),IF(AND(COUNTIF($OK108:$OL108,"Corpo a Corpo")&gt;0,$RP108="Corpo a Corpo"),"A Forma "&amp;$MU108&amp;" já traz o Corpo a Corpo",""),IF(AND(COUNTIF($OK108:$OL108,"Tudo ou Nada")&gt;0,$OH108=0),"Tudo ou Nada só entra em habilidade de Teste de Resistência",""),IF(AND(COUNTIF($RK108:$RN108,"Inescapável")&gt;0,OR($OU108&gt;1,$OV108&gt;0)),"Inescapável não aceita outra peça",""),IF(AND($MS108&gt;0,$PD108*IF(COUNTIF($RK108:$RN108,"Remate")&gt;0,1.25,1)+$PE108&gt;4*$MS108),($PD108*IF(COUNTIF($RK108:$RN108,"Remate")&gt;0,1.25,1)+$PE108)&amp;" dados somando repetições"&amp;IF(COUNTIF($RK108:$RN108,"Remate")&gt;0," e o Remate","")&amp;": o teto da Classe "&amp;$MS108&amp;" é "&amp;4*$MS108,""))),IF(AND($MX108&lt;&gt;"",COUNTIF('DADOS_MELHORIAS'!$O$2:$O$113,SUBSTITUTE(SUBSTITUTE(SUBSTITUTE($MX108,"~","~~"),"*","~*"),"?","~?"))=0),"Melhoria não cadastrada ou com erro: "&amp;$MX108,""),IF(AND($MY108&lt;&gt;"",COUNTIF('DADOS_MELHORIAS'!$O$2:$O$113,SUBSTITUTE(SUBSTITUTE(SUBSTITUTE($MY108,"~","~~"),"*","~*"),"?","~?"))=0),"Melhoria não cadastrada ou com erro: "&amp;$MY108,""),IF(AND($MZ108&lt;&gt;"",COUNTIF('DADOS_MELHORIAS'!$O$2:$O$113,SUBSTITUTE(SUBSTITUTE(SUBSTITUTE($MZ108,"~","~~"),"*","~*"),"?","~?"))=0),"Melhoria não cadastrada ou com erro: "&amp;$MZ108,""),IF(AND($NA108&lt;&gt;"",COUNTIF('DADOS_MELHORIAS'!$O$2:$O$113,SUBSTITUTE(SUBSTITUTE(SUBSTITUTE($NA108,"~","~~"),"*","~*"),"?","~?"))=0),"Melhoria não cadastrada ou com erro: "&amp;$NA108,""),IF(AND($NB108&lt;&gt;"",COUNTIF('DADOS_RESTRICOES'!$M$2:$M$54,SUBSTITUTE(SUBSTITUTE(SUBSTITUTE($NB108,"~","~~"),"*","~*"),"?","~?"))=0),"Restrição não cadastrada ou com erro: "&amp;$NB108,""),IF(AND($NC108&lt;&gt;"",COUNTIF('DADOS_RESTRICOES'!$M$2:$M$54,SUBSTITUTE(SUBSTITUTE(SUBSTITUTE($NC108,"~","~~"),"*","~*"),"?","~?"))=0),"Restrição não cadastrada ou com erro: "&amp;$NC108,""))),IF(AND($MU108&lt;&gt;"",COUNTIF('DADOS_FORMAS'!$AH$2:$AH$21,SUBSTITUTE(SUBSTITUTE(SUBSTITUTE($MU108,"~","~~"),"*","~*"),"?","~?"))=0),"Forma não cadastrada ou com erro: "&amp;$MU108,""),IF(AND(IFERROR(INDEX('DADOS_FORMAS'!$AS$2:$AS$21,MATCH(SUBSTITUTE(SUBSTITUTE(SUBSTITUTE($MU108,"~","~~"),"*","~*"),"?","~?"),'DADOS_FORMAS'!$AH$2:$AH$21,0)),"")&lt;&gt;"",OR(IFERROR(VLOOKUP(SUBSTITUTE(SUBSTITUTE(SUBSTITUTE(IFERROR(INDEX('DADOS_FORMAS'!$AS$2:$AS$21,MATCH(SUBSTITUTE(SUBSTITUTE(SUBSTITUTE($MU108,"~","~~"),"*","~*"),"?","~?"),'DADOS_FORMAS'!$AH$2:$AH$21,0)),""),"~","~~"),"*","~*"),"?","~?"),'DADOS_RESTRICOES'!$M$2:$Q$54,2,FALSE),"")=$OK108,IFERROR(VLOOKUP(SUBSTITUTE(SUBSTITUTE(SUBSTITUTE(IFERROR(INDEX('DADOS_FORMAS'!$AS$2:$AS$21,MATCH(SUBSTITUTE(SUBSTITUTE(SUBSTITUTE($MU108,"~","~~"),"*","~*"),"?","~?"),'DADOS_FORMAS'!$AH$2:$AH$21,0)),""),"~","~~"),"*","~*"),"?","~?"),'DADOS_RESTRICOES'!$M$2:$Q$54,2,FALSE),"")=$OL108)),"Restrição repetida, contando a embutida",""),IF(IF(IFERROR(INDEX('DADOS_FORMAS'!$AS$2:$AS$21,MATCH(SUBSTITUTE(SUBSTITUTE(SUBSTITUTE($MU108,"~","~~"),"*","~*"),"?","~?"),'DADOS_FORMAS'!$AH$2:$AH$21,0)),"")="",0,IFERROR(N(VLOOKUP(SUBSTITUTE(SUBSTITUTE(SUBSTITUTE(IFERROR(INDEX('DADOS_FORMAS'!$AS$2:$AS$21,MATCH(SUBSTITUTE(SUBSTITUTE(SUBSTITUTE($MU108,"~","~~"),"*","~*"),"?","~?"),'DADOS_FORMAS'!$AH$2:$AH$21,0)),""),"~","~~"),"*","~*"),"?","~?"),'DADOS_RESTRICOES'!$M$2:$Q$54,4,FALSE)=1),0))+IF($NB108="",0,IFERROR(N(VLOOKUP(SUBSTITUTE(SUBSTITUTE(SUBSTITUTE($NB108,"~","~~"),"*","~*"),"?","~?"),'DADOS_RESTRICOES'!$M$2:$Q$54,4,FALSE)=1),0))+IF($NC108="",0,IFERROR(N(VLOOKUP(SUBSTITUTE(SUBSTITUTE(SUBSTITUTE($NC108,"~","~~"),"*","~*"),"?","~?"),'DADOS_RESTRICOES'!$M$2:$Q$54,4,FALSE)=1),0))&gt;1,"Duas Restrições de frequência, contando a embutida",""),IF(AND(IFERROR(VLOOKUP(SUBSTITUTE(SUBSTITUTE(SUBSTITUTE(IFERROR(INDEX('DADOS_FORMAS'!$AS$2:$AS$21,MATCH(SUBSTITUTE(SUBSTITUTE(SUBSTITUTE($MU108,"~","~~"),"*","~*"),"?","~?"),'DADOS_FORMAS'!$AH$2:$AH$21,0)),""),"~","~~"),"*","~*"),"?","~?"),'DADOS_RESTRICOES'!$M$2:$Q$54,2,FALSE),"")="Tudo ou Nada",$OH108=0),"Tudo ou Nada exige TR",""),IF(AND(IFERROR(VLOOKUP(SUBSTITUTE(SUBSTITUTE(SUBSTITUTE(IFERROR(INDEX('DADOS_FORMAS'!$AS$2:$AS$21,MATCH(SUBSTITUTE(SUBSTITUTE(SUBSTITUTE($MU108,"~","~~"),"*","~*"),"?","~?"),'DADOS_FORMAS'!$AH$2:$AH$21,0)),""),"~","~~"),"*","~*"),"?","~?"),'DADOS_RESTRICOES'!$M$2:$Q$54,2,FALSE),"")="Corpo a Corpo",OR($RO108="Cone",$RO108="Linha")),"Corpo a Corpo não entra em Cone/Linha","")))</f>
        <v/>
      </c>
      <c r="PU108" s="164">
        <f>IF($PT108="",0,(LEN($PT108)-LEN(SUBSTITUTE($PT108," · ","")))/3+1)</f>
        <v/>
      </c>
      <c r="PV108" s="164">
        <f>IF($ND108=0,"",TEXTJOIN(" · ",TRUE,IF($OX108&gt;2*$MS108,"A devolução parou no teto de "&amp;2*$MS108,""),IF($PA108&gt;0,"Devolução perdida: "&amp;$PA108&amp;IF($PA108&gt;1," pontos"," ponto")&amp;" sem Melhoria para pagar",""),IF(AND($OC108&gt;0,AND($MS108&gt;0,$OG108=0),$PD108=0),"Controle sem dano: uma rodada a mais e CD +2",""),IF(AND($OC108&gt;0,AND($MS108&gt;0,$OG108=0),$PD108&gt;0,$PD108&lt;=$MS108),"Controle com saldo até a Classe: uma rodada a mais",""),IF(AND($MS108&gt;0,$OE108&lt;&gt;""),"Efeito de "&amp;$OE108&amp;" pela Classe "&amp;MAX(1,$MS108-1),"")))</f>
        <v/>
      </c>
      <c r="PW108" s="164">
        <f>IF($PV108="",0,(LEN($PV108)-LEN(SUBSTITUTE($PV108," · ","")))/3+1)</f>
        <v/>
      </c>
      <c r="PX108" s="164">
        <f>IF($ND108=0,IF($OU108+COUNTIF($NB108:$NC108,"?*")&gt;0,"Dê um nome",""),IF($PU108&gt;0,"⚠ "&amp;$PU108&amp;IF($PU108&gt;1," erros"," erro"),IF($PW108&gt;0,"! "&amp;$PW108&amp;IF($PW108&gt;1," avisos"," aviso"),"Na regra")))</f>
        <v/>
      </c>
      <c r="PY108" s="164">
        <f>IF($ND108=0,"",IF($PU108+$PW108=0,"Dentro das regras que a ficha confere",$PT108&amp;IF(AND($PU108&gt;0,$PW108&gt;0)," · ","")&amp;$PV108))</f>
        <v/>
      </c>
      <c r="PZ108" s="164">
        <f>IF($MQ108&gt;$NE108,$MR108&amp;" · ABRE NO NÍVEL "&amp;$MQ108,$MR108)</f>
        <v/>
      </c>
      <c r="QA108" s="164">
        <f>IF($ND108=0,"",IF($MS108=0,"Sem PE",3*$MS108&amp;" PE"))</f>
        <v/>
      </c>
      <c r="QB108" s="164">
        <f>IF($ND108=0,"",IF($MS108=0,"A atuação básica dela",IF(COUNTIF($RQ108:$RS108,"Atrasar")&gt;0,"Sua Ação Completa",IF(COUNTIF($RK108:$RN108,"Rápido")&gt;0,"Sua Bônus",IF(COUNTIF($RK108:$RN108,"Reação")&gt;0,"Sua Reação","Sua Padrão")))&amp;" + a básica dela"&amp;IF(COUNTIF($RK108:$RN108,"Reação")&gt;0," e a coletiva","")&amp;IF(COUNTIF($RQ108:$RS108,"Carregar")&gt;0," · em dois turnos","")))</f>
        <v/>
      </c>
      <c r="QC108" s="164">
        <f>IF($MW108&lt;&gt;"",$MW108,IF($NJ108=0,"",INDEX('DADOS_FORMAS'!$GE$2:$GE$21,$NJ108)))</f>
        <v/>
      </c>
      <c r="QD108" s="164">
        <f>IF(OR($ND108=0,$NJ108=0),"",IF(COUNTIF($RK108:$RN108,"Inescapável")&gt;0,"Automático",IF($QC108="Ataque",IF($NH108="","Ataque","Ataque "&amp;IF(($NH108+2*IF(COUNTIF($RK108:$RN108,"Precisão")&gt;0,1,0))&gt;=0,"+","−")&amp;ABS(($NH108+2*IF(COUNTIF($RK108:$RN108,"Precisão")&gt;0,1,0))))&amp;IF($OD108&gt;0," · TR"&amp;IF($NI108="",""," CD "&amp;$NI108),""),IF(LEFT($QC108,2)="TR",$QC108&amp;IF($NI108="",""," · CD "&amp;$NI108)&amp;IF(COUNTIF($RK108:$RN108,"Certeiro")&gt;0," · metade",""),"Sem rolagem"))))</f>
        <v/>
      </c>
      <c r="QE108" s="164">
        <f>IF(OR($ND108=0,$NJ108=0),"",IF($MS108=0,IF(OR($OG108&gt;=1,$PD108=0),"Sem dano",$PD108&amp;"d6"&amp;IF($MV108="",""," "&amp;$MV108)),IF(OR($OG108&gt;=1,$PD108=0),UPPER(LEFT(INDEX($PM108:$PS108,1,MAX(1,$MS108)),1))&amp;MID(INDEX($PM108:$PS108,1,MAX(1,$MS108)),2,99),UPPER(LEFT(INDEX($PM108:$PS108,1,MAX(1,$MS108)),1))&amp;MID(INDEX($PM108:$PS108,1,MAX(1,$MS108)),2,99)&amp;IF($MV108="",""," "&amp;$MV108)&amp;IF($PE108&gt;0," · +"&amp;$PE108&amp;"d8",""))))</f>
        <v/>
      </c>
      <c r="QF108" s="164">
        <f>COUNTIF($RK108:$RN108,"Longe")+3*COUNTIF($RK108:$RN108,"Muito Longe")</f>
        <v/>
      </c>
      <c r="QG108" s="164">
        <f>COUNTIF($RK108:$RN108,"Maior")+3*COUNTIF($RK108:$RN108,"Muito Maior")</f>
        <v/>
      </c>
      <c r="QH108" s="164">
        <f>IF($NJ108=0,0,CHOOSE(1+INDEX('DADOS_FORMAS'!$GG$2:$GG$21,$NJ108),0,$QF108,$QG108,$QF108+$QG108))</f>
        <v/>
      </c>
      <c r="QI108" s="164">
        <f>IF($NJ108=0,0,CHOOSE(1+INDEX('DADOS_FORMAS'!$GH$2:$GH$21,$NJ108),0,$QF108,$QG108,$QF108+$QG108))</f>
        <v/>
      </c>
      <c r="QJ108" s="164">
        <f>IF(OR($ND108=0,$NJ108=0),"",INDEX('DADOS_FORMAS'!$HU$2:$HZ$81,($NJ108-1)*4+IF($MS108=0,1,IF($MS108&lt;=5,2,IF($MS108=6,3,4))),1+MIN(5,$QH108))&amp;INDEX('DADOS_FORMAS'!$IA$2:$IF$81,($NJ108-1)*4+IF($MS108=0,1,IF($MS108&lt;=5,2,IF($MS108=6,3,4))),1+MIN(5,$QI108))&amp;IF(INDEX('DADOS_FORMAS'!$GI$2:$GI$21,$NJ108)=1,IF(COUNTIF($RK108:$RN108,"Mais Um")&gt;0," · +"&amp;COUNTIF($RK108:$RN108,"Mais Um")&amp;IF(COUNTIF($RK108:$RN108,"Mais Um")&gt;1," alvos"," alvo"),"")&amp;IF(COUNTIF($RK108:$RN108,"Rajada")&gt;0,IF($MS108=0," · 1 tiro"," · "&amp;(MAX(1,$MS108-1)+1)&amp;" tiros"),""),""))</f>
        <v/>
      </c>
      <c r="QK108" s="164">
        <f>IF($ND108=0,"",IF($MS108=0,$NG108&amp;"d6"&amp;IF($OU108&gt;0," − 1 = "&amp;$PD108&amp;"d6"," da básica do nível "&amp;$NE108),$PB108&amp;" − "&amp;$OW108&amp;" + "&amp;$OZ108&amp;" = "&amp;$PC108&amp;" · teto "&amp;4*$MS108&amp;"d8"&amp;IF($OF108=1," · a Forma devolve "&amp;$MS108,"")&amp;IF($PA108&gt;0," · perde "&amp;$PA108,"")))</f>
        <v/>
      </c>
      <c r="QL108" s="164">
        <f>IF($ND108=0,"",IF($MS108=0,"A básica não amplia: os dados dela sobem com o nível",IF($MS108&gt;=$NF108,"Já está na maior Classe que o nível liberou",TEXTJOIN(" · ",TRUE,IF(AND(2&gt;$MS108,2&lt;=$NF108),"2 → "&amp;$PN108&amp;", 6 PE",""),IF(AND(3&gt;$MS108,3&lt;=$NF108),"3 → "&amp;$PO108&amp;", 9 PE",""),IF(AND(4&gt;$MS108,4&lt;=$NF108),"4 → "&amp;$PP108&amp;", 12 PE",""),IF(AND(5&gt;$MS108,5&lt;=$NF108),"5 → "&amp;$PQ108&amp;", 15 PE",""),IF(AND(6&gt;$MS108,6&lt;=$NF108),"6 → "&amp;$PR108&amp;", 18 PE",""),IF(AND(7&gt;$MS108,7&lt;=$NF108),"7 → "&amp;$PS108&amp;", 21 PE","")))))</f>
        <v/>
      </c>
      <c r="QM108" s="164">
        <f>IF(OR($ND108=0,$NO108=0),"",IF($MS108=0,"−1 dado","−"&amp;INDEX($I$2:$N$8,MAX(1,$MS108),MAX(1,$NT108))&amp;" · "&amp;CHOOSE(MAX(1,$NT108),"Leve","Média","Pesada","Leve · Livre","Média · Livre","Pesada · Livre")))</f>
        <v/>
      </c>
      <c r="QN108" s="164">
        <f>IF(OR($ND108=0,$NP108=0),"",IF($MS108=0,"−1 dado","−"&amp;INDEX($I$2:$N$8,MAX(1,$MS108),MAX(1,$NU108))&amp;" · "&amp;CHOOSE(MAX(1,$NU108),"Leve","Média","Pesada","Leve · Livre","Média · Livre","Pesada · Livre")))</f>
        <v/>
      </c>
      <c r="QO108" s="164">
        <f>IF(OR($ND108=0,$NQ108=0),"",IF($MS108=0,"−1 dado","−"&amp;INDEX($I$2:$N$8,MAX(1,$MS108),MAX(1,$NV108))&amp;" · "&amp;CHOOSE(MAX(1,$NV108),"Leve","Média","Pesada","Leve · Livre","Média · Livre","Pesada · Livre")))</f>
        <v/>
      </c>
      <c r="QP108" s="164">
        <f>IF(OR($ND108=0,$NR108=0),"",IF($MS108=0,"−1 dado","−"&amp;INDEX($I$2:$N$8,MAX(1,$MS108),MAX(1,$NW108))&amp;" · "&amp;CHOOSE(MAX(1,$NW108),"Leve","Média","Pesada","Leve · Livre","Média · Livre","Pesada · Livre")))</f>
        <v/>
      </c>
      <c r="QQ108" s="164">
        <f>IF(OR($ND108=0,$NB108=""),"",IF($MS108=0,"não devolve","+"&amp;IF($OI108=1,CEILING($MS108/2,1),$MS108)))</f>
        <v/>
      </c>
      <c r="QR108" s="164">
        <f>IF(OR($ND108=0,$NC108=""),"",IF($MS108=0,"não devolve","+"&amp;IF($OJ108=1,CEILING($MS108/2,1),$MS108)))</f>
        <v/>
      </c>
      <c r="RK108">
        <f>IF($MX108="","",IFERROR(VLOOKUP(SUBSTITUTE(SUBSTITUTE(SUBSTITUTE($MX108,"~","~~"),"*","~*"),"?","~?"),'DADOS_MELHORIAS'!$O$2:$X$113,10,FALSE),$MX108))</f>
        <v/>
      </c>
      <c r="RL108">
        <f>IF($MY108="","",IFERROR(VLOOKUP(SUBSTITUTE(SUBSTITUTE(SUBSTITUTE($MY108,"~","~~"),"*","~*"),"?","~?"),'DADOS_MELHORIAS'!$O$2:$X$113,10,FALSE),$MY108))</f>
        <v/>
      </c>
      <c r="RM108">
        <f>IF($MZ108="","",IFERROR(VLOOKUP(SUBSTITUTE(SUBSTITUTE(SUBSTITUTE($MZ108,"~","~~"),"*","~*"),"?","~?"),'DADOS_MELHORIAS'!$O$2:$X$113,10,FALSE),$MZ108))</f>
        <v/>
      </c>
      <c r="RN108">
        <f>IF($NA108="","",IFERROR(VLOOKUP(SUBSTITUTE(SUBSTITUTE(SUBSTITUTE($NA108,"~","~~"),"*","~*"),"?","~?"),'DADOS_MELHORIAS'!$O$2:$X$113,10,FALSE),$NA108))</f>
        <v/>
      </c>
      <c r="RO108">
        <f>IFERROR(INDEX('DADOS_FORMAS'!$BJ$2:$BJ$21,MATCH(SUBSTITUTE(SUBSTITUTE(SUBSTITUTE($MU108,"~","~~"),"*","~*"),"?","~?"),'DADOS_FORMAS'!$AH$2:$AH$21,0)),"")</f>
        <v/>
      </c>
      <c r="RP108">
        <f>IFERROR(VLOOKUP(SUBSTITUTE(SUBSTITUTE(SUBSTITUTE(IFERROR(INDEX('DADOS_FORMAS'!$AS$2:$AS$21,MATCH(SUBSTITUTE(SUBSTITUTE(SUBSTITUTE($MU108,"~","~~"),"*","~*"),"?","~?"),'DADOS_FORMAS'!$AH$2:$AH$21,0)),""),"~","~~"),"*","~*"),"?","~?"),'DADOS_RESTRICOES'!$M$2:$Q$54,2,FALSE),"")</f>
        <v/>
      </c>
      <c r="RQ108">
        <f>$OK108</f>
        <v/>
      </c>
      <c r="RR108">
        <f>$OL108</f>
        <v/>
      </c>
      <c r="RS108">
        <f>$RP108</f>
        <v/>
      </c>
    </row>
    <row r="109">
      <c r="MN109" s="162" t="inlineStr">
        <is>
          <t>Ficha 9 · Básica 2</t>
        </is>
      </c>
      <c r="MO109" s="164" t="n">
        <v>9</v>
      </c>
      <c r="MP109" s="164" t="n">
        <v>0</v>
      </c>
      <c r="MQ109" s="164" t="n">
        <v>11</v>
      </c>
      <c r="MR109" s="162" t="inlineStr">
        <is>
          <t>BÁSICA 2</t>
        </is>
      </c>
      <c r="MS109" s="164" t="n">
        <v>0</v>
      </c>
      <c r="MT109" s="164">
        <f>'INVOCAÇÕES'!$AC$527&amp;""</f>
        <v/>
      </c>
      <c r="MU109" s="164">
        <f>'INVOCAÇÕES'!$AB$532&amp;""</f>
        <v/>
      </c>
      <c r="MV109" s="164">
        <f>'INVOCAÇÕES'!$AB$533&amp;""</f>
        <v/>
      </c>
      <c r="MW109" s="164">
        <f>'INVOCAÇÕES'!$AD$533&amp;""</f>
        <v/>
      </c>
      <c r="MX109" s="164">
        <f>'INVOCAÇÕES'!$AC$536&amp;""</f>
        <v/>
      </c>
      <c r="MY109" s="164">
        <f>'INVOCAÇÕES'!$AC$537&amp;""</f>
        <v/>
      </c>
      <c r="MZ109" s="164">
        <f>'INVOCAÇÕES'!$AC$538&amp;""</f>
        <v/>
      </c>
      <c r="NA109" s="164">
        <f>'INVOCAÇÕES'!$AC$539&amp;""</f>
        <v/>
      </c>
      <c r="NB109" s="164">
        <f>'INVOCAÇÕES'!$AC$540&amp;""</f>
        <v/>
      </c>
      <c r="NC109" s="164">
        <f>'INVOCAÇÕES'!$AC$541&amp;""</f>
        <v/>
      </c>
      <c r="ND109" s="164">
        <f>IF($MT109&lt;&gt;"",1,0)</f>
        <v/>
      </c>
      <c r="NE109" s="164">
        <f>INDEX($FO$2:$FO$13,$MO109)</f>
        <v/>
      </c>
      <c r="NF109" s="164">
        <f>INDEX($FP$2:$FP$13,$MO109)</f>
        <v/>
      </c>
      <c r="NG109" s="164">
        <f>INDEX($FQ$2:$FQ$13,$MO109)</f>
        <v/>
      </c>
      <c r="NH109" s="164">
        <f>INDEX($GB$2:$GB$13,$MO109)</f>
        <v/>
      </c>
      <c r="NI109" s="164">
        <f>INDEX($GC$2:$GC$13,$MO109)</f>
        <v/>
      </c>
      <c r="NJ109" s="164">
        <f>IFERROR(MATCH(SUBSTITUTE(SUBSTITUTE(SUBSTITUTE($MU109,"~","~~"),"*","~*"),"?","~?"),'DADOS_FORMAS'!$FZ$2:$FZ$21,0),0)</f>
        <v/>
      </c>
      <c r="NK109" s="164">
        <f>IFERROR(VLOOKUP(SUBSTITUTE(SUBSTITUTE(SUBSTITUTE($MX109,"~","~~"),"*","~*"),"?","~?"),'DADOS_MELHORIAS'!$AG$2:$AL$113,2,FALSE),"")</f>
        <v/>
      </c>
      <c r="NL109" s="164">
        <f>IFERROR(VLOOKUP(SUBSTITUTE(SUBSTITUTE(SUBSTITUTE($MY109,"~","~~"),"*","~*"),"?","~?"),'DADOS_MELHORIAS'!$AG$2:$AL$113,2,FALSE),"")</f>
        <v/>
      </c>
      <c r="NM109" s="164">
        <f>IFERROR(VLOOKUP(SUBSTITUTE(SUBSTITUTE(SUBSTITUTE($MZ109,"~","~~"),"*","~*"),"?","~?"),'DADOS_MELHORIAS'!$AG$2:$AL$113,2,FALSE),"")</f>
        <v/>
      </c>
      <c r="NN109" s="164">
        <f>IFERROR(VLOOKUP(SUBSTITUTE(SUBSTITUTE(SUBSTITUTE($NA109,"~","~~"),"*","~*"),"?","~?"),'DADOS_MELHORIAS'!$AG$2:$AL$113,2,FALSE),"")</f>
        <v/>
      </c>
      <c r="NO109" s="164">
        <f>IFERROR(VLOOKUP(SUBSTITUTE(SUBSTITUTE(SUBSTITUTE($MX109,"~","~~"),"*","~*"),"?","~?"),'DADOS_MELHORIAS'!$AG$2:$AL$113,3,FALSE),0)</f>
        <v/>
      </c>
      <c r="NP109" s="164">
        <f>IFERROR(VLOOKUP(SUBSTITUTE(SUBSTITUTE(SUBSTITUTE($MY109,"~","~~"),"*","~*"),"?","~?"),'DADOS_MELHORIAS'!$AG$2:$AL$113,3,FALSE),0)</f>
        <v/>
      </c>
      <c r="NQ109" s="164">
        <f>IFERROR(VLOOKUP(SUBSTITUTE(SUBSTITUTE(SUBSTITUTE($MZ109,"~","~~"),"*","~*"),"?","~?"),'DADOS_MELHORIAS'!$AG$2:$AL$113,3,FALSE),0)</f>
        <v/>
      </c>
      <c r="NR109" s="164">
        <f>IFERROR(VLOOKUP(SUBSTITUTE(SUBSTITUTE(SUBSTITUTE($NA109,"~","~~"),"*","~*"),"?","~?"),'DADOS_MELHORIAS'!$AG$2:$AL$113,3,FALSE),0)</f>
        <v/>
      </c>
      <c r="NS109" s="164">
        <f>IF($MS109=0,0,IF($NJ109=0,0,INDEX('DADOS_FORMAS'!$GB$2:$GB$21,$NJ109)))</f>
        <v/>
      </c>
      <c r="NT109" s="164">
        <f>IF(OR($NO109=0,$MS109=0),0,$NO109+3*IF(AND($NK109&lt;&gt;"",COUNTIF(INDEX($RB$2:$RJ$13,$MO109,0),$NK109)&gt;0),1,0))</f>
        <v/>
      </c>
      <c r="NU109" s="164">
        <f>IF(OR($NP109=0,$MS109=0),0,$NP109+3*IF(AND($NL109&lt;&gt;"",COUNTIF(INDEX($RB$2:$RJ$13,$MO109,0),$NL109)&gt;0),1,0))</f>
        <v/>
      </c>
      <c r="NV109" s="164">
        <f>IF(OR($NQ109=0,$MS109=0),0,$NQ109+3*IF(AND($NM109&lt;&gt;"",COUNTIF(INDEX($RB$2:$RJ$13,$MO109,0),$NM109)&gt;0),1,0))</f>
        <v/>
      </c>
      <c r="NW109" s="164">
        <f>IF(OR($NR109=0,$MS109=0),0,$NR109+3*IF(AND($NN109&lt;&gt;"",COUNTIF(INDEX($RB$2:$RJ$13,$MO109,0),$NN109)&gt;0),1,0))</f>
        <v/>
      </c>
      <c r="NX109" s="164">
        <f>IF($NJ109=0,0,IF(INDEX('DADOS_FORMAS'!$GA$2:$GA$21,$NJ109)="",0,IF((COUNTIF(INDEX($EL$2:$EP$13,$MO109,0),INDEX('DADOS_FORMAS'!$GA$2:$GA$21,$NJ109))+COUNTIF(INDEX($QV$2:$QY$13,$MO109,0),INDEX('DADOS_FORMAS'!$GA$2:$GA$21,$NJ109)))=0,1,0)))</f>
        <v/>
      </c>
      <c r="NY109" s="164">
        <f>IF(OR($NO109=0,$NK109=""),0,IF((COUNTIF(INDEX($EL$2:$EP$13,$MO109,0),$NK109)+COUNTIF(INDEX($QV$2:$QY$13,$MO109,0),$NK109))=0,1,0))</f>
        <v/>
      </c>
      <c r="NZ109" s="164">
        <f>IF(OR($NP109=0,$NL109=""),0,IF((COUNTIF(INDEX($EL$2:$EP$13,$MO109,0),$NL109)+COUNTIF(INDEX($QV$2:$QY$13,$MO109,0),$NL109))=0,1,0))</f>
        <v/>
      </c>
      <c r="OA109" s="164">
        <f>IF(OR($NQ109=0,$NM109=""),0,IF((COUNTIF(INDEX($EL$2:$EP$13,$MO109,0),$NM109)+COUNTIF(INDEX($QV$2:$QY$13,$MO109,0),$NM109))=0,1,0))</f>
        <v/>
      </c>
      <c r="OB109" s="164">
        <f>IF(OR($NR109=0,$NN109=""),0,IF((COUNTIF(INDEX($EL$2:$EP$13,$MO109,0),$NN109)+COUNTIF(INDEX($QV$2:$QY$13,$MO109,0),$NN109))=0,1,0))</f>
        <v/>
      </c>
      <c r="OC109" s="164">
        <f>IFERROR(VLOOKUP(SUBSTITUTE(SUBSTITUTE(SUBSTITUTE($MX109,"~","~~"),"*","~*"),"?","~?"),'DADOS_MELHORIAS'!$AG$2:$AL$113,4,FALSE),0)+IFERROR(VLOOKUP(SUBSTITUTE(SUBSTITUTE(SUBSTITUTE($MY109,"~","~~"),"*","~*"),"?","~?"),'DADOS_MELHORIAS'!$AG$2:$AL$113,4,FALSE),0)+IFERROR(VLOOKUP(SUBSTITUTE(SUBSTITUTE(SUBSTITUTE($MZ109,"~","~~"),"*","~*"),"?","~?"),'DADOS_MELHORIAS'!$AG$2:$AL$113,4,FALSE),0)+IFERROR(VLOOKUP(SUBSTITUTE(SUBSTITUTE(SUBSTITUTE($NA109,"~","~~"),"*","~*"),"?","~?"),'DADOS_MELHORIAS'!$AG$2:$AL$113,4,FALSE),0)</f>
        <v/>
      </c>
      <c r="OD109" s="164">
        <f>IFERROR(VLOOKUP(SUBSTITUTE(SUBSTITUTE(SUBSTITUTE($MX109,"~","~~"),"*","~*"),"?","~?"),'DADOS_MELHORIAS'!$AG$2:$AL$113,6,FALSE),0)+IFERROR(VLOOKUP(SUBSTITUTE(SUBSTITUTE(SUBSTITUTE($MY109,"~","~~"),"*","~*"),"?","~?"),'DADOS_MELHORIAS'!$AG$2:$AL$113,6,FALSE),0)+IFERROR(VLOOKUP(SUBSTITUTE(SUBSTITUTE(SUBSTITUTE($MZ109,"~","~~"),"*","~*"),"?","~?"),'DADOS_MELHORIAS'!$AG$2:$AL$113,6,FALSE),0)+IFERROR(VLOOKUP(SUBSTITUTE(SUBSTITUTE(SUBSTITUTE($NA109,"~","~~"),"*","~*"),"?","~?"),'DADOS_MELHORIAS'!$AG$2:$AL$113,6,FALSE),0)+IFERROR(N(AND(INDEX('DADOS_FORMAS'!$AO$2:$AO$21,MATCH(SUBSTITUTE(SUBSTITUTE(SUBSTITUTE($MU109,"~","~~"),"*","~*"),"?","~?"),'DADOS_FORMAS'!$AH$2:$AH$21,0))="Acerto",$OH109=1)),0)</f>
        <v/>
      </c>
      <c r="OE109" s="164">
        <f>TEXTJOIN(", ",TRUE,IF(IFERROR(VLOOKUP(SUBSTITUTE(SUBSTITUTE(SUBSTITUTE($MX109,"~","~~"),"*","~*"),"?","~?"),'DADOS_MELHORIAS'!$AG$2:$AL$113,5,FALSE),0)=1,$MX109,""),IF(IFERROR(VLOOKUP(SUBSTITUTE(SUBSTITUTE(SUBSTITUTE($MY109,"~","~~"),"*","~*"),"?","~?"),'DADOS_MELHORIAS'!$AG$2:$AL$113,5,FALSE),0)=1,$MY109,""),IF(IFERROR(VLOOKUP(SUBSTITUTE(SUBSTITUTE(SUBSTITUTE($MZ109,"~","~~"),"*","~*"),"?","~?"),'DADOS_MELHORIAS'!$AG$2:$AL$113,5,FALSE),0)=1,$MZ109,""),IF(IFERROR(VLOOKUP(SUBSTITUTE(SUBSTITUTE(SUBSTITUTE($NA109,"~","~~"),"*","~*"),"?","~?"),'DADOS_MELHORIAS'!$AG$2:$AL$113,5,FALSE),0)=1,$NA109,""))</f>
        <v/>
      </c>
      <c r="OF109" s="164">
        <f>IF($NJ109=0,0,INDEX('DADOS_FORMAS'!$GC$2:$GC$21,$NJ109))</f>
        <v/>
      </c>
      <c r="OG109" s="164">
        <f>IF($NJ109=0,0,INDEX('DADOS_FORMAS'!$GD$2:$GD$21,$NJ109))</f>
        <v/>
      </c>
      <c r="OH109" s="164">
        <f>IF($NJ109=0,0,INDEX('DADOS_FORMAS'!$GF$2:$GF$21,$NJ109))</f>
        <v/>
      </c>
      <c r="OI109" s="164">
        <f>IFERROR(VLOOKUP(SUBSTITUTE(SUBSTITUTE(SUBSTITUTE($NB109,"~","~~"),"*","~*"),"?","~?"),'DADOS_RESTRICOES'!$M$2:$Q$54,3,FALSE),0)</f>
        <v/>
      </c>
      <c r="OJ109" s="164">
        <f>IFERROR(VLOOKUP(SUBSTITUTE(SUBSTITUTE(SUBSTITUTE($NC109,"~","~~"),"*","~*"),"?","~?"),'DADOS_RESTRICOES'!$M$2:$Q$54,3,FALSE),0)</f>
        <v/>
      </c>
      <c r="OK109" s="164">
        <f>IFERROR(VLOOKUP(SUBSTITUTE(SUBSTITUTE(SUBSTITUTE($NB109,"~","~~"),"*","~*"),"?","~?"),'DADOS_RESTRICOES'!$M$2:$Q$54,2,FALSE),"")</f>
        <v/>
      </c>
      <c r="OL109" s="164">
        <f>IFERROR(VLOOKUP(SUBSTITUTE(SUBSTITUTE(SUBSTITUTE($NC109,"~","~~"),"*","~*"),"?","~?"),'DADOS_RESTRICOES'!$M$2:$Q$54,2,FALSE),"")</f>
        <v/>
      </c>
      <c r="OM109" s="164">
        <f>COUNTIF($NS109:$NW109,1)</f>
        <v/>
      </c>
      <c r="ON109" s="164">
        <f>COUNTIF($NS109:$NW109,2)</f>
        <v/>
      </c>
      <c r="OO109" s="164">
        <f>COUNTIF($NS109:$NW109,3)</f>
        <v/>
      </c>
      <c r="OP109" s="164">
        <f>COUNTIF($NS109:$NW109,4)</f>
        <v/>
      </c>
      <c r="OQ109" s="164">
        <f>COUNTIF($NS109:$NW109,5)</f>
        <v/>
      </c>
      <c r="OR109" s="164">
        <f>COUNTIF($NS109:$NW109,6)</f>
        <v/>
      </c>
      <c r="OS109" s="164">
        <f>COUNTIF($OI109:$OJ109,1)+IF(IFERROR(INDEX('DADOS_FORMAS'!$AS$2:$AS$21,MATCH(SUBSTITUTE(SUBSTITUTE(SUBSTITUTE($MU109,"~","~~"),"*","~*"),"?","~?"),'DADOS_FORMAS'!$AH$2:$AH$21,0)),"")="",0,IFERROR(N(VLOOKUP(SUBSTITUTE(SUBSTITUTE(SUBSTITUTE(IFERROR(INDEX('DADOS_FORMAS'!$AS$2:$AS$21,MATCH(SUBSTITUTE(SUBSTITUTE(SUBSTITUTE($MU109,"~","~~"),"*","~*"),"?","~?"),'DADOS_FORMAS'!$AH$2:$AH$21,0)),""),"~","~~"),"*","~*"),"?","~?"),'DADOS_RESTRICOES'!$M$2:$Q$54,3,FALSE)=1),0))</f>
        <v/>
      </c>
      <c r="OT109" s="164">
        <f>COUNTIF($OI109:$OJ109,2)+IF(IFERROR(INDEX('DADOS_FORMAS'!$AS$2:$AS$21,MATCH(SUBSTITUTE(SUBSTITUTE(SUBSTITUTE($MU109,"~","~~"),"*","~*"),"?","~?"),'DADOS_FORMAS'!$AH$2:$AH$21,0)),"")="",0,IFERROR(N(VLOOKUP(SUBSTITUTE(SUBSTITUTE(SUBSTITUTE(IFERROR(INDEX('DADOS_FORMAS'!$AS$2:$AS$21,MATCH(SUBSTITUTE(SUBSTITUTE(SUBSTITUTE($MU109,"~","~~"),"*","~*"),"?","~?"),'DADOS_FORMAS'!$AH$2:$AH$21,0)),""),"~","~~"),"*","~*"),"?","~?"),'DADOS_RESTRICOES'!$M$2:$Q$54,3,FALSE)=2),0))</f>
        <v/>
      </c>
      <c r="OU109" s="164">
        <f>COUNTIF($MX109:$NA109,"?*")</f>
        <v/>
      </c>
      <c r="OV109" s="164">
        <f>COUNTIF($NB109:$NC109,"?*")+$OF109</f>
        <v/>
      </c>
      <c r="OW109" s="164">
        <f>IF($MS109=0,0,SUMPRODUCT($OM109:$OR109,INDEX($I$2:$N$8,MAX(1,$MS109),0)))</f>
        <v/>
      </c>
      <c r="OX109" s="164">
        <f>IF($MS109=0,0,$OS109*CEILING($MS109/2,1)+$OT109*$MS109)</f>
        <v/>
      </c>
      <c r="OY109" s="164">
        <f>MIN(2*$MS109,$OX109)</f>
        <v/>
      </c>
      <c r="OZ109" s="164">
        <f>MIN($OY109,$OW109-IF($NS109=0,0,INDEX($I$2:$N$8,MAX(1,$MS109),$NS109)))</f>
        <v/>
      </c>
      <c r="PA109" s="164">
        <f>$OY109-$OZ109</f>
        <v/>
      </c>
      <c r="PB109" s="164">
        <f>IF($MS109=0,0,INDEX($P$2:$P$8,MAX(1,$MS109)))</f>
        <v/>
      </c>
      <c r="PC109" s="164">
        <f>$PB109-$OW109+$OZ109</f>
        <v/>
      </c>
      <c r="PD109" s="164">
        <f>IF($MS109=0,MAX(0,$NG109-IF(AND($OU109&gt;0,COUNTIF($NB109:$NC109,"?*")=0),1,0)),MAX(0,$PC109))</f>
        <v/>
      </c>
      <c r="PE109" s="164">
        <f>IF($MS109=0,0,(IF(COUNTIF($RK109:$RN109,"Salto")&gt;0,1,0)+IF(COUNTIF($RK109:$RN109,"Queima")&gt;0,1,0)+IF(COUNTIF($RK109:$RN109,"Estilhaço")&gt;0,1,0))*FLOOR($PD109/2,1))</f>
        <v/>
      </c>
      <c r="PF109" s="164">
        <f>MAX(0,2-SUMPRODUCT($OM109:$OR109,$I$2:$N$2)+MIN(2,$OS109*1+$OT109*1,SUMPRODUCT($OM109:$OR109,$I$2:$N$2)-IF($NS109=0,0,INDEX($I$2:$N$2,1,$NS109))))</f>
        <v/>
      </c>
      <c r="PG109" s="164">
        <f>MAX(0,4-SUMPRODUCT($OM109:$OR109,$I$3:$N$3)+MIN(4,$OS109*1+$OT109*2,SUMPRODUCT($OM109:$OR109,$I$3:$N$3)-IF($NS109=0,0,INDEX($I$3:$N$3,1,$NS109))))</f>
        <v/>
      </c>
      <c r="PH109" s="164">
        <f>MAX(0,6-SUMPRODUCT($OM109:$OR109,$I$4:$N$4)+MIN(6,$OS109*2+$OT109*3,SUMPRODUCT($OM109:$OR109,$I$4:$N$4)-IF($NS109=0,0,INDEX($I$4:$N$4,1,$NS109))))</f>
        <v/>
      </c>
      <c r="PI109" s="164">
        <f>MAX(0,9-SUMPRODUCT($OM109:$OR109,$I$5:$N$5)+MIN(8,$OS109*2+$OT109*4,SUMPRODUCT($OM109:$OR109,$I$5:$N$5)-IF($NS109=0,0,INDEX($I$5:$N$5,1,$NS109))))</f>
        <v/>
      </c>
      <c r="PJ109" s="164">
        <f>MAX(0,11-SUMPRODUCT($OM109:$OR109,$I$6:$N$6)+MIN(10,$OS109*3+$OT109*5,SUMPRODUCT($OM109:$OR109,$I$6:$N$6)-IF($NS109=0,0,INDEX($I$6:$N$6,1,$NS109))))</f>
        <v/>
      </c>
      <c r="PK109" s="164">
        <f>MAX(0,13-SUMPRODUCT($OM109:$OR109,$I$7:$N$7)+MIN(12,$OS109*3+$OT109*6,SUMPRODUCT($OM109:$OR109,$I$7:$N$7)-IF($NS109=0,0,INDEX($I$7:$N$7,1,$NS109))))</f>
        <v/>
      </c>
      <c r="PL109" s="164">
        <f>MAX(0,16-SUMPRODUCT($OM109:$OR109,$I$8:$N$8)+MIN(14,$OS109*4+$OT109*7,SUMPRODUCT($OM109:$OR109,$I$8:$N$8)-IF($NS109=0,0,INDEX($I$8:$N$8,1,$NS109))))</f>
        <v/>
      </c>
      <c r="PM109" s="164">
        <f>IF($OG109=2,3*$PF109&amp;" de vida temp.",IF($OG109=3,"sem dano",IF($PF109=0,IF($OG109=1,"sem cura","sem dano"),IF($OG109=1,"cura ","")&amp;$PF109&amp;"d8")))</f>
        <v/>
      </c>
      <c r="PN109" s="164">
        <f>IF($OG109=2,3*$PG109&amp;" de vida temp.",IF($OG109=3,"sem dano",IF($PG109=0,IF($OG109=1,"sem cura","sem dano"),IF($OG109=1,"cura ","")&amp;$PG109&amp;"d8")))</f>
        <v/>
      </c>
      <c r="PO109" s="164">
        <f>IF($OG109=2,3*$PH109&amp;" de vida temp.",IF($OG109=3,"sem dano",IF($PH109=0,IF($OG109=1,"sem cura","sem dano"),IF($OG109=1,"cura ","")&amp;$PH109&amp;"d8")))</f>
        <v/>
      </c>
      <c r="PP109" s="164">
        <f>IF($OG109=2,3*$PI109&amp;" de vida temp.",IF($OG109=3,"sem dano",IF($PI109=0,IF($OG109=1,"sem cura","sem dano"),IF($OG109=1,"cura ","")&amp;$PI109&amp;"d8")))</f>
        <v/>
      </c>
      <c r="PQ109" s="164">
        <f>IF($OG109=2,3*$PJ109&amp;" de vida temp.",IF($OG109=3,"sem dano",IF($PJ109=0,IF($OG109=1,"sem cura","sem dano"),IF($OG109=1,"cura ","")&amp;$PJ109&amp;"d8")))</f>
        <v/>
      </c>
      <c r="PR109" s="164">
        <f>IF($OG109=2,3*$PK109&amp;" de vida temp.",IF($OG109=3,"sem dano",IF($PK109=0,IF($OG109=1,"sem cura","sem dano"),IF($OG109=1,"cura ","")&amp;$PK109&amp;"d8")))</f>
        <v/>
      </c>
      <c r="PS109" s="164">
        <f>IF($OG109=2,3*$PL109&amp;" de vida temp.",IF($OG109=3,"sem dano",IF($PL109=0,IF($OG109=1,"sem cura","sem dano"),IF($OG109=1,"cura ","")&amp;$PL109&amp;"d8")))</f>
        <v/>
      </c>
      <c r="PT109" s="164">
        <f>IF($ND109=0,"",TEXTJOIN(" · ",TRUE,IF($ND109=0,"",TEXTJOIN(" · ",TRUE,IF($ND109=0,"",TEXTJOIN(" · ",TRUE,IF($MQ109&gt;$NE109,"Este lugar abre no nível "&amp;$MQ109,""),IF($MS109&gt;$NF109,"Classe "&amp;$MS109&amp;": o nível "&amp;$NE109&amp;" libera até a "&amp;$NF109,""),IF($NX109=1,"A Forma "&amp;$MU109&amp;" pede "&amp;INDEX('DADOS_FORMAS'!$GA$2:$GA$21,$NJ109)&amp;" aberta",""),IF(AND($MS109=0,$NJ109&gt;0,IF($NJ109=0,0,INDEX('DADOS_FORMAS'!$GJ$2:$GJ$21,$NJ109))=0),$MU109&amp;" não existe na Classe 0",""),IF($NY109=1,"Família Fechada: "&amp;$MX109,""),IF($NZ109=1,"Família Fechada: "&amp;$MY109,""),IF($OA109=1,"Família Fechada: "&amp;$MZ109,""),IF($OB109=1,"Família Fechada: "&amp;$NA109,""),IF(AND($MS109&gt;0,$OU109&gt;INDEX($O$2:$O$8,MAX(1,$MS109))),$OU109&amp;" Melhorias: a Classe "&amp;$MS109&amp;" aceita "&amp;INDEX($O$2:$O$8,MAX(1,$MS109)),""),IF(AND($MS109=0,$OU109&gt;1),"A básica aceita uma Melhoria",""),IF(AND($MS109=0,COUNTIF($NO109:$NR109,"&gt;1")&gt;0),"A básica só aceita Melhoria Leve",""),IF(AND($MS109&gt;0,$OV109&gt;2),$OV109&amp;" Restrições"&amp;IF($OF109=1,", contando a que a Forma "&amp;$MU109&amp;" já traz","")&amp;": o limite é 2",""),IF(AND($MS109=0,COUNTIF($NB109:$NC109,"?*")&gt;1),"A básica aceita uma Restrição Leve",""),IF(AND($MS109=0,COUNTIF($OI109:$OJ109,2)&gt;0),"A básica só aceita Restrição Leve",""),IF(AND($MS109&gt;0,$PC109&lt;0),"Orçamento estourado: faltam "&amp;(-$PC109)&amp;IF($PC109&lt;-1," pontos"," ponto"),""),IF(IFERROR(VLOOKUP(SUBSTITUTE(SUBSTITUTE(SUBSTITUTE($NB109,"~","~~"),"*","~*"),"?","~?"),'DADOS_RESTRICOES'!$M$2:$Q$54,4,FALSE),0)+IFERROR(VLOOKUP(SUBSTITUTE(SUBSTITUTE(SUBSTITUTE($NC109,"~","~~"),"*","~*"),"?","~?"),'DADOS_RESTRICOES'!$M$2:$Q$54,4,FALSE),0)&gt;1,$OK109&amp;" e "&amp;$OL109&amp;" são as duas de frequência",""),IF(AND((COUNTIF($RK109:$RN109,"Rápido")+COUNTIF($OK109:$OL109,"Rápido"))&gt;0,(COUNTIF($MX109:$NA109,"Atrasar")+COUNTIF($OK109:$OL109,"Atrasar"))&gt;0),"Rápido não entra com Atrasar",""),IF(AND((COUNTIF($RK109:$RN109,"Reação")+COUNTIF($OK109:$OL109,"Reação"))&gt;0,(COUNTIF($RK109:$RN109,"Rápido")+COUNTIF($OK109:$OL109,"Rápido"))&gt;0),"Reação não entra com Rápido",""),IF(AND((COUNTIF($RK109:$RN109,"Reação")+COUNTIF($OK109:$OL109,"Reação"))&gt;0,(COUNTIF($RK109:$RN109,"Armado")+COUNTIF($OK109:$OL109,"Armado"))&gt;0),"Reação não entra com Armado",""),IF(AND((COUNTIF($RK109:$RN109,"Reação")+COUNTIF($OK109:$OL109,"Reação"))&gt;0,(COUNTIF($MX109:$NA109,"Atrasar")+COUNTIF($OK109:$OL109,"Atrasar"))&gt;0),"Reação não entra com Atrasar",""),IF(AND((COUNTIF($RK109:$RN109,"Reação")+COUNTIF($OK109:$OL109,"Reação"))&gt;0,(COUNTIF($MX109:$NA109,"Parado")+COUNTIF($OK109:$OL109,"Parado"))&gt;0),"Reação não entra com Parado",""),IF(AND((COUNTIF($MX109:$NA109,"Atrasar")+COUNTIF($OK109:$OL109,"Atrasar"))&gt;0,(COUNTIF($MX109:$NA109,"Parado")+COUNTIF($OK109:$OL109,"Parado"))&gt;0),"Atrasar não entra com Parado",""),IF(AND((COUNTIF($RK109:$RN109,"Armado")+COUNTIF($OK109:$OL109,"Armado"))&gt;0,(COUNTIF($MX109:$NA109,"Carregar")+COUNTIF($OK109:$OL109,"Carregar"))&gt;0),"Armado não entra com Carregar",""),IF(AND(COUNTIF($OK109:$OL109,"Corpo a Corpo")&gt;0,$OF109=0,OR($RO109="Cone",$RO109="Linha")),"Corpo a Corpo não entra em "&amp;$MU109,""),IF(AND(COUNTIF($OK109:$OL109,"Corpo a Corpo")&gt;0,$RP109="Corpo a Corpo"),"A Forma "&amp;$MU109&amp;" já traz o Corpo a Corpo",""),IF(AND(COUNTIF($OK109:$OL109,"Tudo ou Nada")&gt;0,$OH109=0),"Tudo ou Nada só entra em habilidade de Teste de Resistência",""),IF(AND(COUNTIF($RK109:$RN109,"Inescapável")&gt;0,OR($OU109&gt;1,$OV109&gt;0)),"Inescapável não aceita outra peça",""),IF(AND($MS109&gt;0,$PD109*IF(COUNTIF($RK109:$RN109,"Remate")&gt;0,1.25,1)+$PE109&gt;4*$MS109),($PD109*IF(COUNTIF($RK109:$RN109,"Remate")&gt;0,1.25,1)+$PE109)&amp;" dados somando repetições"&amp;IF(COUNTIF($RK109:$RN109,"Remate")&gt;0," e o Remate","")&amp;": o teto da Classe "&amp;$MS109&amp;" é "&amp;4*$MS109,""))),IF(AND($MX109&lt;&gt;"",COUNTIF('DADOS_MELHORIAS'!$O$2:$O$113,SUBSTITUTE(SUBSTITUTE(SUBSTITUTE($MX109,"~","~~"),"*","~*"),"?","~?"))=0),"Melhoria não cadastrada ou com erro: "&amp;$MX109,""),IF(AND($MY109&lt;&gt;"",COUNTIF('DADOS_MELHORIAS'!$O$2:$O$113,SUBSTITUTE(SUBSTITUTE(SUBSTITUTE($MY109,"~","~~"),"*","~*"),"?","~?"))=0),"Melhoria não cadastrada ou com erro: "&amp;$MY109,""),IF(AND($MZ109&lt;&gt;"",COUNTIF('DADOS_MELHORIAS'!$O$2:$O$113,SUBSTITUTE(SUBSTITUTE(SUBSTITUTE($MZ109,"~","~~"),"*","~*"),"?","~?"))=0),"Melhoria não cadastrada ou com erro: "&amp;$MZ109,""),IF(AND($NA109&lt;&gt;"",COUNTIF('DADOS_MELHORIAS'!$O$2:$O$113,SUBSTITUTE(SUBSTITUTE(SUBSTITUTE($NA109,"~","~~"),"*","~*"),"?","~?"))=0),"Melhoria não cadastrada ou com erro: "&amp;$NA109,""),IF(AND($NB109&lt;&gt;"",COUNTIF('DADOS_RESTRICOES'!$M$2:$M$54,SUBSTITUTE(SUBSTITUTE(SUBSTITUTE($NB109,"~","~~"),"*","~*"),"?","~?"))=0),"Restrição não cadastrada ou com erro: "&amp;$NB109,""),IF(AND($NC109&lt;&gt;"",COUNTIF('DADOS_RESTRICOES'!$M$2:$M$54,SUBSTITUTE(SUBSTITUTE(SUBSTITUTE($NC109,"~","~~"),"*","~*"),"?","~?"))=0),"Restrição não cadastrada ou com erro: "&amp;$NC109,""))),IF(AND($MU109&lt;&gt;"",COUNTIF('DADOS_FORMAS'!$AH$2:$AH$21,SUBSTITUTE(SUBSTITUTE(SUBSTITUTE($MU109,"~","~~"),"*","~*"),"?","~?"))=0),"Forma não cadastrada ou com erro: "&amp;$MU109,""),IF(AND(IFERROR(INDEX('DADOS_FORMAS'!$AS$2:$AS$21,MATCH(SUBSTITUTE(SUBSTITUTE(SUBSTITUTE($MU109,"~","~~"),"*","~*"),"?","~?"),'DADOS_FORMAS'!$AH$2:$AH$21,0)),"")&lt;&gt;"",OR(IFERROR(VLOOKUP(SUBSTITUTE(SUBSTITUTE(SUBSTITUTE(IFERROR(INDEX('DADOS_FORMAS'!$AS$2:$AS$21,MATCH(SUBSTITUTE(SUBSTITUTE(SUBSTITUTE($MU109,"~","~~"),"*","~*"),"?","~?"),'DADOS_FORMAS'!$AH$2:$AH$21,0)),""),"~","~~"),"*","~*"),"?","~?"),'DADOS_RESTRICOES'!$M$2:$Q$54,2,FALSE),"")=$OK109,IFERROR(VLOOKUP(SUBSTITUTE(SUBSTITUTE(SUBSTITUTE(IFERROR(INDEX('DADOS_FORMAS'!$AS$2:$AS$21,MATCH(SUBSTITUTE(SUBSTITUTE(SUBSTITUTE($MU109,"~","~~"),"*","~*"),"?","~?"),'DADOS_FORMAS'!$AH$2:$AH$21,0)),""),"~","~~"),"*","~*"),"?","~?"),'DADOS_RESTRICOES'!$M$2:$Q$54,2,FALSE),"")=$OL109)),"Restrição repetida, contando a embutida",""),IF(IF(IFERROR(INDEX('DADOS_FORMAS'!$AS$2:$AS$21,MATCH(SUBSTITUTE(SUBSTITUTE(SUBSTITUTE($MU109,"~","~~"),"*","~*"),"?","~?"),'DADOS_FORMAS'!$AH$2:$AH$21,0)),"")="",0,IFERROR(N(VLOOKUP(SUBSTITUTE(SUBSTITUTE(SUBSTITUTE(IFERROR(INDEX('DADOS_FORMAS'!$AS$2:$AS$21,MATCH(SUBSTITUTE(SUBSTITUTE(SUBSTITUTE($MU109,"~","~~"),"*","~*"),"?","~?"),'DADOS_FORMAS'!$AH$2:$AH$21,0)),""),"~","~~"),"*","~*"),"?","~?"),'DADOS_RESTRICOES'!$M$2:$Q$54,4,FALSE)=1),0))+IF($NB109="",0,IFERROR(N(VLOOKUP(SUBSTITUTE(SUBSTITUTE(SUBSTITUTE($NB109,"~","~~"),"*","~*"),"?","~?"),'DADOS_RESTRICOES'!$M$2:$Q$54,4,FALSE)=1),0))+IF($NC109="",0,IFERROR(N(VLOOKUP(SUBSTITUTE(SUBSTITUTE(SUBSTITUTE($NC109,"~","~~"),"*","~*"),"?","~?"),'DADOS_RESTRICOES'!$M$2:$Q$54,4,FALSE)=1),0))&gt;1,"Duas Restrições de frequência, contando a embutida",""),IF(AND(IFERROR(VLOOKUP(SUBSTITUTE(SUBSTITUTE(SUBSTITUTE(IFERROR(INDEX('DADOS_FORMAS'!$AS$2:$AS$21,MATCH(SUBSTITUTE(SUBSTITUTE(SUBSTITUTE($MU109,"~","~~"),"*","~*"),"?","~?"),'DADOS_FORMAS'!$AH$2:$AH$21,0)),""),"~","~~"),"*","~*"),"?","~?"),'DADOS_RESTRICOES'!$M$2:$Q$54,2,FALSE),"")="Tudo ou Nada",$OH109=0),"Tudo ou Nada exige TR",""),IF(AND(IFERROR(VLOOKUP(SUBSTITUTE(SUBSTITUTE(SUBSTITUTE(IFERROR(INDEX('DADOS_FORMAS'!$AS$2:$AS$21,MATCH(SUBSTITUTE(SUBSTITUTE(SUBSTITUTE($MU109,"~","~~"),"*","~*"),"?","~?"),'DADOS_FORMAS'!$AH$2:$AH$21,0)),""),"~","~~"),"*","~*"),"?","~?"),'DADOS_RESTRICOES'!$M$2:$Q$54,2,FALSE),"")="Corpo a Corpo",OR($RO109="Cone",$RO109="Linha")),"Corpo a Corpo não entra em Cone/Linha","")))</f>
        <v/>
      </c>
      <c r="PU109" s="164">
        <f>IF($PT109="",0,(LEN($PT109)-LEN(SUBSTITUTE($PT109," · ","")))/3+1)</f>
        <v/>
      </c>
      <c r="PV109" s="164">
        <f>IF($ND109=0,"",TEXTJOIN(" · ",TRUE,IF($OX109&gt;2*$MS109,"A devolução parou no teto de "&amp;2*$MS109,""),IF($PA109&gt;0,"Devolução perdida: "&amp;$PA109&amp;IF($PA109&gt;1," pontos"," ponto")&amp;" sem Melhoria para pagar",""),IF(AND($OC109&gt;0,AND($MS109&gt;0,$OG109=0),$PD109=0),"Controle sem dano: uma rodada a mais e CD +2",""),IF(AND($OC109&gt;0,AND($MS109&gt;0,$OG109=0),$PD109&gt;0,$PD109&lt;=$MS109),"Controle com saldo até a Classe: uma rodada a mais",""),IF(AND($MS109&gt;0,$OE109&lt;&gt;""),"Efeito de "&amp;$OE109&amp;" pela Classe "&amp;MAX(1,$MS109-1),"")))</f>
        <v/>
      </c>
      <c r="PW109" s="164">
        <f>IF($PV109="",0,(LEN($PV109)-LEN(SUBSTITUTE($PV109," · ","")))/3+1)</f>
        <v/>
      </c>
      <c r="PX109" s="164">
        <f>IF($ND109=0,IF($OU109+COUNTIF($NB109:$NC109,"?*")&gt;0,"Dê um nome",""),IF($PU109&gt;0,"⚠ "&amp;$PU109&amp;IF($PU109&gt;1," erros"," erro"),IF($PW109&gt;0,"! "&amp;$PW109&amp;IF($PW109&gt;1," avisos"," aviso"),"Na regra")))</f>
        <v/>
      </c>
      <c r="PY109" s="164">
        <f>IF($ND109=0,"",IF($PU109+$PW109=0,"Dentro das regras que a ficha confere",$PT109&amp;IF(AND($PU109&gt;0,$PW109&gt;0)," · ","")&amp;$PV109))</f>
        <v/>
      </c>
      <c r="PZ109" s="164">
        <f>IF($MQ109&gt;$NE109,$MR109&amp;" · ABRE NO NÍVEL "&amp;$MQ109,$MR109)</f>
        <v/>
      </c>
      <c r="QA109" s="164">
        <f>IF($ND109=0,"",IF($MS109=0,"Sem PE",3*$MS109&amp;" PE"))</f>
        <v/>
      </c>
      <c r="QB109" s="164">
        <f>IF($ND109=0,"",IF($MS109=0,"A atuação básica dela",IF(COUNTIF($RQ109:$RS109,"Atrasar")&gt;0,"Sua Ação Completa",IF(COUNTIF($RK109:$RN109,"Rápido")&gt;0,"Sua Bônus",IF(COUNTIF($RK109:$RN109,"Reação")&gt;0,"Sua Reação","Sua Padrão")))&amp;" + a básica dela"&amp;IF(COUNTIF($RK109:$RN109,"Reação")&gt;0," e a coletiva","")&amp;IF(COUNTIF($RQ109:$RS109,"Carregar")&gt;0," · em dois turnos","")))</f>
        <v/>
      </c>
      <c r="QC109" s="164">
        <f>IF($MW109&lt;&gt;"",$MW109,IF($NJ109=0,"",INDEX('DADOS_FORMAS'!$GE$2:$GE$21,$NJ109)))</f>
        <v/>
      </c>
      <c r="QD109" s="164">
        <f>IF(OR($ND109=0,$NJ109=0),"",IF(COUNTIF($RK109:$RN109,"Inescapável")&gt;0,"Automático",IF($QC109="Ataque",IF($NH109="","Ataque","Ataque "&amp;IF(($NH109+2*IF(COUNTIF($RK109:$RN109,"Precisão")&gt;0,1,0))&gt;=0,"+","−")&amp;ABS(($NH109+2*IF(COUNTIF($RK109:$RN109,"Precisão")&gt;0,1,0))))&amp;IF($OD109&gt;0," · TR"&amp;IF($NI109="",""," CD "&amp;$NI109),""),IF(LEFT($QC109,2)="TR",$QC109&amp;IF($NI109="",""," · CD "&amp;$NI109)&amp;IF(COUNTIF($RK109:$RN109,"Certeiro")&gt;0," · metade",""),"Sem rolagem"))))</f>
        <v/>
      </c>
      <c r="QE109" s="164">
        <f>IF(OR($ND109=0,$NJ109=0),"",IF($MS109=0,IF(OR($OG109&gt;=1,$PD109=0),"Sem dano",$PD109&amp;"d6"&amp;IF($MV109="",""," "&amp;$MV109)),IF(OR($OG109&gt;=1,$PD109=0),UPPER(LEFT(INDEX($PM109:$PS109,1,MAX(1,$MS109)),1))&amp;MID(INDEX($PM109:$PS109,1,MAX(1,$MS109)),2,99),UPPER(LEFT(INDEX($PM109:$PS109,1,MAX(1,$MS109)),1))&amp;MID(INDEX($PM109:$PS109,1,MAX(1,$MS109)),2,99)&amp;IF($MV109="",""," "&amp;$MV109)&amp;IF($PE109&gt;0," · +"&amp;$PE109&amp;"d8",""))))</f>
        <v/>
      </c>
      <c r="QF109" s="164">
        <f>COUNTIF($RK109:$RN109,"Longe")+3*COUNTIF($RK109:$RN109,"Muito Longe")</f>
        <v/>
      </c>
      <c r="QG109" s="164">
        <f>COUNTIF($RK109:$RN109,"Maior")+3*COUNTIF($RK109:$RN109,"Muito Maior")</f>
        <v/>
      </c>
      <c r="QH109" s="164">
        <f>IF($NJ109=0,0,CHOOSE(1+INDEX('DADOS_FORMAS'!$GG$2:$GG$21,$NJ109),0,$QF109,$QG109,$QF109+$QG109))</f>
        <v/>
      </c>
      <c r="QI109" s="164">
        <f>IF($NJ109=0,0,CHOOSE(1+INDEX('DADOS_FORMAS'!$GH$2:$GH$21,$NJ109),0,$QF109,$QG109,$QF109+$QG109))</f>
        <v/>
      </c>
      <c r="QJ109" s="164">
        <f>IF(OR($ND109=0,$NJ109=0),"",INDEX('DADOS_FORMAS'!$HU$2:$HZ$81,($NJ109-1)*4+IF($MS109=0,1,IF($MS109&lt;=5,2,IF($MS109=6,3,4))),1+MIN(5,$QH109))&amp;INDEX('DADOS_FORMAS'!$IA$2:$IF$81,($NJ109-1)*4+IF($MS109=0,1,IF($MS109&lt;=5,2,IF($MS109=6,3,4))),1+MIN(5,$QI109))&amp;IF(INDEX('DADOS_FORMAS'!$GI$2:$GI$21,$NJ109)=1,IF(COUNTIF($RK109:$RN109,"Mais Um")&gt;0," · +"&amp;COUNTIF($RK109:$RN109,"Mais Um")&amp;IF(COUNTIF($RK109:$RN109,"Mais Um")&gt;1," alvos"," alvo"),"")&amp;IF(COUNTIF($RK109:$RN109,"Rajada")&gt;0,IF($MS109=0," · 1 tiro"," · "&amp;(MAX(1,$MS109-1)+1)&amp;" tiros"),""),""))</f>
        <v/>
      </c>
      <c r="QK109" s="164">
        <f>IF($ND109=0,"",IF($MS109=0,$NG109&amp;"d6"&amp;IF($OU109&gt;0," − 1 = "&amp;$PD109&amp;"d6"," da básica do nível "&amp;$NE109),$PB109&amp;" − "&amp;$OW109&amp;" + "&amp;$OZ109&amp;" = "&amp;$PC109&amp;" · teto "&amp;4*$MS109&amp;"d8"&amp;IF($OF109=1," · a Forma devolve "&amp;$MS109,"")&amp;IF($PA109&gt;0," · perde "&amp;$PA109,"")))</f>
        <v/>
      </c>
      <c r="QL109" s="164">
        <f>IF($ND109=0,"",IF($MS109=0,"A básica não amplia: os dados dela sobem com o nível",IF($MS109&gt;=$NF109,"Já está na maior Classe que o nível liberou",TEXTJOIN(" · ",TRUE,IF(AND(2&gt;$MS109,2&lt;=$NF109),"2 → "&amp;$PN109&amp;", 6 PE",""),IF(AND(3&gt;$MS109,3&lt;=$NF109),"3 → "&amp;$PO109&amp;", 9 PE",""),IF(AND(4&gt;$MS109,4&lt;=$NF109),"4 → "&amp;$PP109&amp;", 12 PE",""),IF(AND(5&gt;$MS109,5&lt;=$NF109),"5 → "&amp;$PQ109&amp;", 15 PE",""),IF(AND(6&gt;$MS109,6&lt;=$NF109),"6 → "&amp;$PR109&amp;", 18 PE",""),IF(AND(7&gt;$MS109,7&lt;=$NF109),"7 → "&amp;$PS109&amp;", 21 PE","")))))</f>
        <v/>
      </c>
      <c r="QM109" s="164">
        <f>IF(OR($ND109=0,$NO109=0),"",IF($MS109=0,"−1 dado","−"&amp;INDEX($I$2:$N$8,MAX(1,$MS109),MAX(1,$NT109))&amp;" · "&amp;CHOOSE(MAX(1,$NT109),"Leve","Média","Pesada","Leve · Livre","Média · Livre","Pesada · Livre")))</f>
        <v/>
      </c>
      <c r="QN109" s="164">
        <f>IF(OR($ND109=0,$NP109=0),"",IF($MS109=0,"−1 dado","−"&amp;INDEX($I$2:$N$8,MAX(1,$MS109),MAX(1,$NU109))&amp;" · "&amp;CHOOSE(MAX(1,$NU109),"Leve","Média","Pesada","Leve · Livre","Média · Livre","Pesada · Livre")))</f>
        <v/>
      </c>
      <c r="QO109" s="164">
        <f>IF(OR($ND109=0,$NQ109=0),"",IF($MS109=0,"−1 dado","−"&amp;INDEX($I$2:$N$8,MAX(1,$MS109),MAX(1,$NV109))&amp;" · "&amp;CHOOSE(MAX(1,$NV109),"Leve","Média","Pesada","Leve · Livre","Média · Livre","Pesada · Livre")))</f>
        <v/>
      </c>
      <c r="QP109" s="164">
        <f>IF(OR($ND109=0,$NR109=0),"",IF($MS109=0,"−1 dado","−"&amp;INDEX($I$2:$N$8,MAX(1,$MS109),MAX(1,$NW109))&amp;" · "&amp;CHOOSE(MAX(1,$NW109),"Leve","Média","Pesada","Leve · Livre","Média · Livre","Pesada · Livre")))</f>
        <v/>
      </c>
      <c r="QQ109" s="164">
        <f>IF(OR($ND109=0,$NB109=""),"",IF($MS109=0,"não devolve","+"&amp;IF($OI109=1,CEILING($MS109/2,1),$MS109)))</f>
        <v/>
      </c>
      <c r="QR109" s="164">
        <f>IF(OR($ND109=0,$NC109=""),"",IF($MS109=0,"não devolve","+"&amp;IF($OJ109=1,CEILING($MS109/2,1),$MS109)))</f>
        <v/>
      </c>
      <c r="RK109">
        <f>IF($MX109="","",IFERROR(VLOOKUP(SUBSTITUTE(SUBSTITUTE(SUBSTITUTE($MX109,"~","~~"),"*","~*"),"?","~?"),'DADOS_MELHORIAS'!$O$2:$X$113,10,FALSE),$MX109))</f>
        <v/>
      </c>
      <c r="RL109">
        <f>IF($MY109="","",IFERROR(VLOOKUP(SUBSTITUTE(SUBSTITUTE(SUBSTITUTE($MY109,"~","~~"),"*","~*"),"?","~?"),'DADOS_MELHORIAS'!$O$2:$X$113,10,FALSE),$MY109))</f>
        <v/>
      </c>
      <c r="RM109">
        <f>IF($MZ109="","",IFERROR(VLOOKUP(SUBSTITUTE(SUBSTITUTE(SUBSTITUTE($MZ109,"~","~~"),"*","~*"),"?","~?"),'DADOS_MELHORIAS'!$O$2:$X$113,10,FALSE),$MZ109))</f>
        <v/>
      </c>
      <c r="RN109">
        <f>IF($NA109="","",IFERROR(VLOOKUP(SUBSTITUTE(SUBSTITUTE(SUBSTITUTE($NA109,"~","~~"),"*","~*"),"?","~?"),'DADOS_MELHORIAS'!$O$2:$X$113,10,FALSE),$NA109))</f>
        <v/>
      </c>
      <c r="RO109">
        <f>IFERROR(INDEX('DADOS_FORMAS'!$BJ$2:$BJ$21,MATCH(SUBSTITUTE(SUBSTITUTE(SUBSTITUTE($MU109,"~","~~"),"*","~*"),"?","~?"),'DADOS_FORMAS'!$AH$2:$AH$21,0)),"")</f>
        <v/>
      </c>
      <c r="RP109">
        <f>IFERROR(VLOOKUP(SUBSTITUTE(SUBSTITUTE(SUBSTITUTE(IFERROR(INDEX('DADOS_FORMAS'!$AS$2:$AS$21,MATCH(SUBSTITUTE(SUBSTITUTE(SUBSTITUTE($MU109,"~","~~"),"*","~*"),"?","~?"),'DADOS_FORMAS'!$AH$2:$AH$21,0)),""),"~","~~"),"*","~*"),"?","~?"),'DADOS_RESTRICOES'!$M$2:$Q$54,2,FALSE),"")</f>
        <v/>
      </c>
      <c r="RQ109">
        <f>$OK109</f>
        <v/>
      </c>
      <c r="RR109">
        <f>$OL109</f>
        <v/>
      </c>
      <c r="RS109">
        <f>$RP109</f>
        <v/>
      </c>
    </row>
    <row r="110">
      <c r="MN110" s="162" t="inlineStr">
        <is>
          <t>Ficha 9 · Especial 3</t>
        </is>
      </c>
      <c r="MO110" s="164" t="n">
        <v>9</v>
      </c>
      <c r="MP110" s="164" t="n">
        <v>1</v>
      </c>
      <c r="MQ110" s="164" t="n">
        <v>8</v>
      </c>
      <c r="MR110" s="162" t="inlineStr">
        <is>
          <t>ESPECIAL 3</t>
        </is>
      </c>
      <c r="MS110" s="164">
        <f>MAX(1,MIN(7,N('INVOCAÇÕES'!$AH$527)))</f>
        <v/>
      </c>
      <c r="MT110" s="164">
        <f>'INVOCAÇÕES'!$AI$527&amp;""</f>
        <v/>
      </c>
      <c r="MU110" s="164">
        <f>'INVOCAÇÕES'!$AH$532&amp;""</f>
        <v/>
      </c>
      <c r="MV110" s="164">
        <f>'INVOCAÇÕES'!$AH$533&amp;""</f>
        <v/>
      </c>
      <c r="MW110" s="164">
        <f>'INVOCAÇÕES'!$AJ$533&amp;""</f>
        <v/>
      </c>
      <c r="MX110" s="164">
        <f>'INVOCAÇÕES'!$AI$536&amp;""</f>
        <v/>
      </c>
      <c r="MY110" s="164">
        <f>'INVOCAÇÕES'!$AI$537&amp;""</f>
        <v/>
      </c>
      <c r="MZ110" s="164">
        <f>'INVOCAÇÕES'!$AI$538&amp;""</f>
        <v/>
      </c>
      <c r="NA110" s="164">
        <f>'INVOCAÇÕES'!$AI$539&amp;""</f>
        <v/>
      </c>
      <c r="NB110" s="164">
        <f>'INVOCAÇÕES'!$AI$540&amp;""</f>
        <v/>
      </c>
      <c r="NC110" s="164">
        <f>'INVOCAÇÕES'!$AI$541&amp;""</f>
        <v/>
      </c>
      <c r="ND110" s="164">
        <f>IF($MT110&lt;&gt;"",1,0)</f>
        <v/>
      </c>
      <c r="NE110" s="164">
        <f>INDEX($FO$2:$FO$13,$MO110)</f>
        <v/>
      </c>
      <c r="NF110" s="164">
        <f>INDEX($FP$2:$FP$13,$MO110)</f>
        <v/>
      </c>
      <c r="NG110" s="164">
        <f>INDEX($FQ$2:$FQ$13,$MO110)</f>
        <v/>
      </c>
      <c r="NH110" s="164">
        <f>INDEX($GB$2:$GB$13,$MO110)</f>
        <v/>
      </c>
      <c r="NI110" s="164">
        <f>INDEX($GC$2:$GC$13,$MO110)</f>
        <v/>
      </c>
      <c r="NJ110" s="164">
        <f>IFERROR(MATCH(SUBSTITUTE(SUBSTITUTE(SUBSTITUTE($MU110,"~","~~"),"*","~*"),"?","~?"),'DADOS_FORMAS'!$FZ$2:$FZ$21,0),0)</f>
        <v/>
      </c>
      <c r="NK110" s="164">
        <f>IFERROR(VLOOKUP(SUBSTITUTE(SUBSTITUTE(SUBSTITUTE($MX110,"~","~~"),"*","~*"),"?","~?"),'DADOS_MELHORIAS'!$AG$2:$AL$113,2,FALSE),"")</f>
        <v/>
      </c>
      <c r="NL110" s="164">
        <f>IFERROR(VLOOKUP(SUBSTITUTE(SUBSTITUTE(SUBSTITUTE($MY110,"~","~~"),"*","~*"),"?","~?"),'DADOS_MELHORIAS'!$AG$2:$AL$113,2,FALSE),"")</f>
        <v/>
      </c>
      <c r="NM110" s="164">
        <f>IFERROR(VLOOKUP(SUBSTITUTE(SUBSTITUTE(SUBSTITUTE($MZ110,"~","~~"),"*","~*"),"?","~?"),'DADOS_MELHORIAS'!$AG$2:$AL$113,2,FALSE),"")</f>
        <v/>
      </c>
      <c r="NN110" s="164">
        <f>IFERROR(VLOOKUP(SUBSTITUTE(SUBSTITUTE(SUBSTITUTE($NA110,"~","~~"),"*","~*"),"?","~?"),'DADOS_MELHORIAS'!$AG$2:$AL$113,2,FALSE),"")</f>
        <v/>
      </c>
      <c r="NO110" s="164">
        <f>IFERROR(VLOOKUP(SUBSTITUTE(SUBSTITUTE(SUBSTITUTE($MX110,"~","~~"),"*","~*"),"?","~?"),'DADOS_MELHORIAS'!$AG$2:$AL$113,3,FALSE),0)</f>
        <v/>
      </c>
      <c r="NP110" s="164">
        <f>IFERROR(VLOOKUP(SUBSTITUTE(SUBSTITUTE(SUBSTITUTE($MY110,"~","~~"),"*","~*"),"?","~?"),'DADOS_MELHORIAS'!$AG$2:$AL$113,3,FALSE),0)</f>
        <v/>
      </c>
      <c r="NQ110" s="164">
        <f>IFERROR(VLOOKUP(SUBSTITUTE(SUBSTITUTE(SUBSTITUTE($MZ110,"~","~~"),"*","~*"),"?","~?"),'DADOS_MELHORIAS'!$AG$2:$AL$113,3,FALSE),0)</f>
        <v/>
      </c>
      <c r="NR110" s="164">
        <f>IFERROR(VLOOKUP(SUBSTITUTE(SUBSTITUTE(SUBSTITUTE($NA110,"~","~~"),"*","~*"),"?","~?"),'DADOS_MELHORIAS'!$AG$2:$AL$113,3,FALSE),0)</f>
        <v/>
      </c>
      <c r="NS110" s="164">
        <f>IF($MS110=0,0,IF($NJ110=0,0,INDEX('DADOS_FORMAS'!$GB$2:$GB$21,$NJ110)))</f>
        <v/>
      </c>
      <c r="NT110" s="164">
        <f>IF(OR($NO110=0,$MS110=0),0,$NO110+3*IF(AND($NK110&lt;&gt;"",COUNTIF(INDEX($RB$2:$RJ$13,$MO110,0),$NK110)&gt;0),1,0))</f>
        <v/>
      </c>
      <c r="NU110" s="164">
        <f>IF(OR($NP110=0,$MS110=0),0,$NP110+3*IF(AND($NL110&lt;&gt;"",COUNTIF(INDEX($RB$2:$RJ$13,$MO110,0),$NL110)&gt;0),1,0))</f>
        <v/>
      </c>
      <c r="NV110" s="164">
        <f>IF(OR($NQ110=0,$MS110=0),0,$NQ110+3*IF(AND($NM110&lt;&gt;"",COUNTIF(INDEX($RB$2:$RJ$13,$MO110,0),$NM110)&gt;0),1,0))</f>
        <v/>
      </c>
      <c r="NW110" s="164">
        <f>IF(OR($NR110=0,$MS110=0),0,$NR110+3*IF(AND($NN110&lt;&gt;"",COUNTIF(INDEX($RB$2:$RJ$13,$MO110,0),$NN110)&gt;0),1,0))</f>
        <v/>
      </c>
      <c r="NX110" s="164">
        <f>IF($NJ110=0,0,IF(INDEX('DADOS_FORMAS'!$GA$2:$GA$21,$NJ110)="",0,IF((COUNTIF(INDEX($EL$2:$EP$13,$MO110,0),INDEX('DADOS_FORMAS'!$GA$2:$GA$21,$NJ110))+COUNTIF(INDEX($QV$2:$QY$13,$MO110,0),INDEX('DADOS_FORMAS'!$GA$2:$GA$21,$NJ110)))=0,1,0)))</f>
        <v/>
      </c>
      <c r="NY110" s="164">
        <f>IF(OR($NO110=0,$NK110=""),0,IF((COUNTIF(INDEX($EL$2:$EP$13,$MO110,0),$NK110)+COUNTIF(INDEX($QV$2:$QY$13,$MO110,0),$NK110))=0,1,0))</f>
        <v/>
      </c>
      <c r="NZ110" s="164">
        <f>IF(OR($NP110=0,$NL110=""),0,IF((COUNTIF(INDEX($EL$2:$EP$13,$MO110,0),$NL110)+COUNTIF(INDEX($QV$2:$QY$13,$MO110,0),$NL110))=0,1,0))</f>
        <v/>
      </c>
      <c r="OA110" s="164">
        <f>IF(OR($NQ110=0,$NM110=""),0,IF((COUNTIF(INDEX($EL$2:$EP$13,$MO110,0),$NM110)+COUNTIF(INDEX($QV$2:$QY$13,$MO110,0),$NM110))=0,1,0))</f>
        <v/>
      </c>
      <c r="OB110" s="164">
        <f>IF(OR($NR110=0,$NN110=""),0,IF((COUNTIF(INDEX($EL$2:$EP$13,$MO110,0),$NN110)+COUNTIF(INDEX($QV$2:$QY$13,$MO110,0),$NN110))=0,1,0))</f>
        <v/>
      </c>
      <c r="OC110" s="164">
        <f>IFERROR(VLOOKUP(SUBSTITUTE(SUBSTITUTE(SUBSTITUTE($MX110,"~","~~"),"*","~*"),"?","~?"),'DADOS_MELHORIAS'!$AG$2:$AL$113,4,FALSE),0)+IFERROR(VLOOKUP(SUBSTITUTE(SUBSTITUTE(SUBSTITUTE($MY110,"~","~~"),"*","~*"),"?","~?"),'DADOS_MELHORIAS'!$AG$2:$AL$113,4,FALSE),0)+IFERROR(VLOOKUP(SUBSTITUTE(SUBSTITUTE(SUBSTITUTE($MZ110,"~","~~"),"*","~*"),"?","~?"),'DADOS_MELHORIAS'!$AG$2:$AL$113,4,FALSE),0)+IFERROR(VLOOKUP(SUBSTITUTE(SUBSTITUTE(SUBSTITUTE($NA110,"~","~~"),"*","~*"),"?","~?"),'DADOS_MELHORIAS'!$AG$2:$AL$113,4,FALSE),0)</f>
        <v/>
      </c>
      <c r="OD110" s="164">
        <f>IFERROR(VLOOKUP(SUBSTITUTE(SUBSTITUTE(SUBSTITUTE($MX110,"~","~~"),"*","~*"),"?","~?"),'DADOS_MELHORIAS'!$AG$2:$AL$113,6,FALSE),0)+IFERROR(VLOOKUP(SUBSTITUTE(SUBSTITUTE(SUBSTITUTE($MY110,"~","~~"),"*","~*"),"?","~?"),'DADOS_MELHORIAS'!$AG$2:$AL$113,6,FALSE),0)+IFERROR(VLOOKUP(SUBSTITUTE(SUBSTITUTE(SUBSTITUTE($MZ110,"~","~~"),"*","~*"),"?","~?"),'DADOS_MELHORIAS'!$AG$2:$AL$113,6,FALSE),0)+IFERROR(VLOOKUP(SUBSTITUTE(SUBSTITUTE(SUBSTITUTE($NA110,"~","~~"),"*","~*"),"?","~?"),'DADOS_MELHORIAS'!$AG$2:$AL$113,6,FALSE),0)+IFERROR(N(AND(INDEX('DADOS_FORMAS'!$AO$2:$AO$21,MATCH(SUBSTITUTE(SUBSTITUTE(SUBSTITUTE($MU110,"~","~~"),"*","~*"),"?","~?"),'DADOS_FORMAS'!$AH$2:$AH$21,0))="Acerto",$OH110=1)),0)</f>
        <v/>
      </c>
      <c r="OE110" s="164">
        <f>TEXTJOIN(", ",TRUE,IF(IFERROR(VLOOKUP(SUBSTITUTE(SUBSTITUTE(SUBSTITUTE($MX110,"~","~~"),"*","~*"),"?","~?"),'DADOS_MELHORIAS'!$AG$2:$AL$113,5,FALSE),0)=1,$MX110,""),IF(IFERROR(VLOOKUP(SUBSTITUTE(SUBSTITUTE(SUBSTITUTE($MY110,"~","~~"),"*","~*"),"?","~?"),'DADOS_MELHORIAS'!$AG$2:$AL$113,5,FALSE),0)=1,$MY110,""),IF(IFERROR(VLOOKUP(SUBSTITUTE(SUBSTITUTE(SUBSTITUTE($MZ110,"~","~~"),"*","~*"),"?","~?"),'DADOS_MELHORIAS'!$AG$2:$AL$113,5,FALSE),0)=1,$MZ110,""),IF(IFERROR(VLOOKUP(SUBSTITUTE(SUBSTITUTE(SUBSTITUTE($NA110,"~","~~"),"*","~*"),"?","~?"),'DADOS_MELHORIAS'!$AG$2:$AL$113,5,FALSE),0)=1,$NA110,""))</f>
        <v/>
      </c>
      <c r="OF110" s="164">
        <f>IF($NJ110=0,0,INDEX('DADOS_FORMAS'!$GC$2:$GC$21,$NJ110))</f>
        <v/>
      </c>
      <c r="OG110" s="164">
        <f>IF($NJ110=0,0,INDEX('DADOS_FORMAS'!$GD$2:$GD$21,$NJ110))</f>
        <v/>
      </c>
      <c r="OH110" s="164">
        <f>IF($NJ110=0,0,INDEX('DADOS_FORMAS'!$GF$2:$GF$21,$NJ110))</f>
        <v/>
      </c>
      <c r="OI110" s="164">
        <f>IFERROR(VLOOKUP(SUBSTITUTE(SUBSTITUTE(SUBSTITUTE($NB110,"~","~~"),"*","~*"),"?","~?"),'DADOS_RESTRICOES'!$M$2:$Q$54,3,FALSE),0)</f>
        <v/>
      </c>
      <c r="OJ110" s="164">
        <f>IFERROR(VLOOKUP(SUBSTITUTE(SUBSTITUTE(SUBSTITUTE($NC110,"~","~~"),"*","~*"),"?","~?"),'DADOS_RESTRICOES'!$M$2:$Q$54,3,FALSE),0)</f>
        <v/>
      </c>
      <c r="OK110" s="164">
        <f>IFERROR(VLOOKUP(SUBSTITUTE(SUBSTITUTE(SUBSTITUTE($NB110,"~","~~"),"*","~*"),"?","~?"),'DADOS_RESTRICOES'!$M$2:$Q$54,2,FALSE),"")</f>
        <v/>
      </c>
      <c r="OL110" s="164">
        <f>IFERROR(VLOOKUP(SUBSTITUTE(SUBSTITUTE(SUBSTITUTE($NC110,"~","~~"),"*","~*"),"?","~?"),'DADOS_RESTRICOES'!$M$2:$Q$54,2,FALSE),"")</f>
        <v/>
      </c>
      <c r="OM110" s="164">
        <f>COUNTIF($NS110:$NW110,1)</f>
        <v/>
      </c>
      <c r="ON110" s="164">
        <f>COUNTIF($NS110:$NW110,2)</f>
        <v/>
      </c>
      <c r="OO110" s="164">
        <f>COUNTIF($NS110:$NW110,3)</f>
        <v/>
      </c>
      <c r="OP110" s="164">
        <f>COUNTIF($NS110:$NW110,4)</f>
        <v/>
      </c>
      <c r="OQ110" s="164">
        <f>COUNTIF($NS110:$NW110,5)</f>
        <v/>
      </c>
      <c r="OR110" s="164">
        <f>COUNTIF($NS110:$NW110,6)</f>
        <v/>
      </c>
      <c r="OS110" s="164">
        <f>COUNTIF($OI110:$OJ110,1)+IF(IFERROR(INDEX('DADOS_FORMAS'!$AS$2:$AS$21,MATCH(SUBSTITUTE(SUBSTITUTE(SUBSTITUTE($MU110,"~","~~"),"*","~*"),"?","~?"),'DADOS_FORMAS'!$AH$2:$AH$21,0)),"")="",0,IFERROR(N(VLOOKUP(SUBSTITUTE(SUBSTITUTE(SUBSTITUTE(IFERROR(INDEX('DADOS_FORMAS'!$AS$2:$AS$21,MATCH(SUBSTITUTE(SUBSTITUTE(SUBSTITUTE($MU110,"~","~~"),"*","~*"),"?","~?"),'DADOS_FORMAS'!$AH$2:$AH$21,0)),""),"~","~~"),"*","~*"),"?","~?"),'DADOS_RESTRICOES'!$M$2:$Q$54,3,FALSE)=1),0))</f>
        <v/>
      </c>
      <c r="OT110" s="164">
        <f>COUNTIF($OI110:$OJ110,2)+IF(IFERROR(INDEX('DADOS_FORMAS'!$AS$2:$AS$21,MATCH(SUBSTITUTE(SUBSTITUTE(SUBSTITUTE($MU110,"~","~~"),"*","~*"),"?","~?"),'DADOS_FORMAS'!$AH$2:$AH$21,0)),"")="",0,IFERROR(N(VLOOKUP(SUBSTITUTE(SUBSTITUTE(SUBSTITUTE(IFERROR(INDEX('DADOS_FORMAS'!$AS$2:$AS$21,MATCH(SUBSTITUTE(SUBSTITUTE(SUBSTITUTE($MU110,"~","~~"),"*","~*"),"?","~?"),'DADOS_FORMAS'!$AH$2:$AH$21,0)),""),"~","~~"),"*","~*"),"?","~?"),'DADOS_RESTRICOES'!$M$2:$Q$54,3,FALSE)=2),0))</f>
        <v/>
      </c>
      <c r="OU110" s="164">
        <f>COUNTIF($MX110:$NA110,"?*")</f>
        <v/>
      </c>
      <c r="OV110" s="164">
        <f>COUNTIF($NB110:$NC110,"?*")+$OF110</f>
        <v/>
      </c>
      <c r="OW110" s="164">
        <f>IF($MS110=0,0,SUMPRODUCT($OM110:$OR110,INDEX($I$2:$N$8,MAX(1,$MS110),0)))</f>
        <v/>
      </c>
      <c r="OX110" s="164">
        <f>IF($MS110=0,0,$OS110*CEILING($MS110/2,1)+$OT110*$MS110)</f>
        <v/>
      </c>
      <c r="OY110" s="164">
        <f>MIN(2*$MS110,$OX110)</f>
        <v/>
      </c>
      <c r="OZ110" s="164">
        <f>MIN($OY110,$OW110-IF($NS110=0,0,INDEX($I$2:$N$8,MAX(1,$MS110),$NS110)))</f>
        <v/>
      </c>
      <c r="PA110" s="164">
        <f>$OY110-$OZ110</f>
        <v/>
      </c>
      <c r="PB110" s="164">
        <f>IF($MS110=0,0,INDEX($P$2:$P$8,MAX(1,$MS110)))</f>
        <v/>
      </c>
      <c r="PC110" s="164">
        <f>$PB110-$OW110+$OZ110</f>
        <v/>
      </c>
      <c r="PD110" s="164">
        <f>IF($MS110=0,MAX(0,$NG110-IF(AND($OU110&gt;0,COUNTIF($NB110:$NC110,"?*")=0),1,0)),MAX(0,$PC110))</f>
        <v/>
      </c>
      <c r="PE110" s="164">
        <f>IF($MS110=0,0,(IF(COUNTIF($RK110:$RN110,"Salto")&gt;0,1,0)+IF(COUNTIF($RK110:$RN110,"Queima")&gt;0,1,0)+IF(COUNTIF($RK110:$RN110,"Estilhaço")&gt;0,1,0))*FLOOR($PD110/2,1))</f>
        <v/>
      </c>
      <c r="PF110" s="164">
        <f>MAX(0,2-SUMPRODUCT($OM110:$OR110,$I$2:$N$2)+MIN(2,$OS110*1+$OT110*1,SUMPRODUCT($OM110:$OR110,$I$2:$N$2)-IF($NS110=0,0,INDEX($I$2:$N$2,1,$NS110))))</f>
        <v/>
      </c>
      <c r="PG110" s="164">
        <f>MAX(0,4-SUMPRODUCT($OM110:$OR110,$I$3:$N$3)+MIN(4,$OS110*1+$OT110*2,SUMPRODUCT($OM110:$OR110,$I$3:$N$3)-IF($NS110=0,0,INDEX($I$3:$N$3,1,$NS110))))</f>
        <v/>
      </c>
      <c r="PH110" s="164">
        <f>MAX(0,6-SUMPRODUCT($OM110:$OR110,$I$4:$N$4)+MIN(6,$OS110*2+$OT110*3,SUMPRODUCT($OM110:$OR110,$I$4:$N$4)-IF($NS110=0,0,INDEX($I$4:$N$4,1,$NS110))))</f>
        <v/>
      </c>
      <c r="PI110" s="164">
        <f>MAX(0,9-SUMPRODUCT($OM110:$OR110,$I$5:$N$5)+MIN(8,$OS110*2+$OT110*4,SUMPRODUCT($OM110:$OR110,$I$5:$N$5)-IF($NS110=0,0,INDEX($I$5:$N$5,1,$NS110))))</f>
        <v/>
      </c>
      <c r="PJ110" s="164">
        <f>MAX(0,11-SUMPRODUCT($OM110:$OR110,$I$6:$N$6)+MIN(10,$OS110*3+$OT110*5,SUMPRODUCT($OM110:$OR110,$I$6:$N$6)-IF($NS110=0,0,INDEX($I$6:$N$6,1,$NS110))))</f>
        <v/>
      </c>
      <c r="PK110" s="164">
        <f>MAX(0,13-SUMPRODUCT($OM110:$OR110,$I$7:$N$7)+MIN(12,$OS110*3+$OT110*6,SUMPRODUCT($OM110:$OR110,$I$7:$N$7)-IF($NS110=0,0,INDEX($I$7:$N$7,1,$NS110))))</f>
        <v/>
      </c>
      <c r="PL110" s="164">
        <f>MAX(0,16-SUMPRODUCT($OM110:$OR110,$I$8:$N$8)+MIN(14,$OS110*4+$OT110*7,SUMPRODUCT($OM110:$OR110,$I$8:$N$8)-IF($NS110=0,0,INDEX($I$8:$N$8,1,$NS110))))</f>
        <v/>
      </c>
      <c r="PM110" s="164">
        <f>IF($OG110=2,3*$PF110&amp;" de vida temp.",IF($OG110=3,"sem dano",IF($PF110=0,IF($OG110=1,"sem cura","sem dano"),IF($OG110=1,"cura ","")&amp;$PF110&amp;"d8")))</f>
        <v/>
      </c>
      <c r="PN110" s="164">
        <f>IF($OG110=2,3*$PG110&amp;" de vida temp.",IF($OG110=3,"sem dano",IF($PG110=0,IF($OG110=1,"sem cura","sem dano"),IF($OG110=1,"cura ","")&amp;$PG110&amp;"d8")))</f>
        <v/>
      </c>
      <c r="PO110" s="164">
        <f>IF($OG110=2,3*$PH110&amp;" de vida temp.",IF($OG110=3,"sem dano",IF($PH110=0,IF($OG110=1,"sem cura","sem dano"),IF($OG110=1,"cura ","")&amp;$PH110&amp;"d8")))</f>
        <v/>
      </c>
      <c r="PP110" s="164">
        <f>IF($OG110=2,3*$PI110&amp;" de vida temp.",IF($OG110=3,"sem dano",IF($PI110=0,IF($OG110=1,"sem cura","sem dano"),IF($OG110=1,"cura ","")&amp;$PI110&amp;"d8")))</f>
        <v/>
      </c>
      <c r="PQ110" s="164">
        <f>IF($OG110=2,3*$PJ110&amp;" de vida temp.",IF($OG110=3,"sem dano",IF($PJ110=0,IF($OG110=1,"sem cura","sem dano"),IF($OG110=1,"cura ","")&amp;$PJ110&amp;"d8")))</f>
        <v/>
      </c>
      <c r="PR110" s="164">
        <f>IF($OG110=2,3*$PK110&amp;" de vida temp.",IF($OG110=3,"sem dano",IF($PK110=0,IF($OG110=1,"sem cura","sem dano"),IF($OG110=1,"cura ","")&amp;$PK110&amp;"d8")))</f>
        <v/>
      </c>
      <c r="PS110" s="164">
        <f>IF($OG110=2,3*$PL110&amp;" de vida temp.",IF($OG110=3,"sem dano",IF($PL110=0,IF($OG110=1,"sem cura","sem dano"),IF($OG110=1,"cura ","")&amp;$PL110&amp;"d8")))</f>
        <v/>
      </c>
      <c r="PT110" s="164">
        <f>IF($ND110=0,"",TEXTJOIN(" · ",TRUE,IF($ND110=0,"",TEXTJOIN(" · ",TRUE,IF($ND110=0,"",TEXTJOIN(" · ",TRUE,IF($MQ110&gt;$NE110,"Este lugar abre no nível "&amp;$MQ110,""),IF($MS110&gt;$NF110,"Classe "&amp;$MS110&amp;": o nível "&amp;$NE110&amp;" libera até a "&amp;$NF110,""),IF($NX110=1,"A Forma "&amp;$MU110&amp;" pede "&amp;INDEX('DADOS_FORMAS'!$GA$2:$GA$21,$NJ110)&amp;" aberta",""),IF(AND($MS110=0,$NJ110&gt;0,IF($NJ110=0,0,INDEX('DADOS_FORMAS'!$GJ$2:$GJ$21,$NJ110))=0),$MU110&amp;" não existe na Classe 0",""),IF($NY110=1,"Família Fechada: "&amp;$MX110,""),IF($NZ110=1,"Família Fechada: "&amp;$MY110,""),IF($OA110=1,"Família Fechada: "&amp;$MZ110,""),IF($OB110=1,"Família Fechada: "&amp;$NA110,""),IF(AND($MS110&gt;0,$OU110&gt;INDEX($O$2:$O$8,MAX(1,$MS110))),$OU110&amp;" Melhorias: a Classe "&amp;$MS110&amp;" aceita "&amp;INDEX($O$2:$O$8,MAX(1,$MS110)),""),IF(AND($MS110=0,$OU110&gt;1),"A básica aceita uma Melhoria",""),IF(AND($MS110=0,COUNTIF($NO110:$NR110,"&gt;1")&gt;0),"A básica só aceita Melhoria Leve",""),IF(AND($MS110&gt;0,$OV110&gt;2),$OV110&amp;" Restrições"&amp;IF($OF110=1,", contando a que a Forma "&amp;$MU110&amp;" já traz","")&amp;": o limite é 2",""),IF(AND($MS110=0,COUNTIF($NB110:$NC110,"?*")&gt;1),"A básica aceita uma Restrição Leve",""),IF(AND($MS110=0,COUNTIF($OI110:$OJ110,2)&gt;0),"A básica só aceita Restrição Leve",""),IF(AND($MS110&gt;0,$PC110&lt;0),"Orçamento estourado: faltam "&amp;(-$PC110)&amp;IF($PC110&lt;-1," pontos"," ponto"),""),IF(IFERROR(VLOOKUP(SUBSTITUTE(SUBSTITUTE(SUBSTITUTE($NB110,"~","~~"),"*","~*"),"?","~?"),'DADOS_RESTRICOES'!$M$2:$Q$54,4,FALSE),0)+IFERROR(VLOOKUP(SUBSTITUTE(SUBSTITUTE(SUBSTITUTE($NC110,"~","~~"),"*","~*"),"?","~?"),'DADOS_RESTRICOES'!$M$2:$Q$54,4,FALSE),0)&gt;1,$OK110&amp;" e "&amp;$OL110&amp;" são as duas de frequência",""),IF(AND((COUNTIF($RK110:$RN110,"Rápido")+COUNTIF($OK110:$OL110,"Rápido"))&gt;0,(COUNTIF($MX110:$NA110,"Atrasar")+COUNTIF($OK110:$OL110,"Atrasar"))&gt;0),"Rápido não entra com Atrasar",""),IF(AND((COUNTIF($RK110:$RN110,"Reação")+COUNTIF($OK110:$OL110,"Reação"))&gt;0,(COUNTIF($RK110:$RN110,"Rápido")+COUNTIF($OK110:$OL110,"Rápido"))&gt;0),"Reação não entra com Rápido",""),IF(AND((COUNTIF($RK110:$RN110,"Reação")+COUNTIF($OK110:$OL110,"Reação"))&gt;0,(COUNTIF($RK110:$RN110,"Armado")+COUNTIF($OK110:$OL110,"Armado"))&gt;0),"Reação não entra com Armado",""),IF(AND((COUNTIF($RK110:$RN110,"Reação")+COUNTIF($OK110:$OL110,"Reação"))&gt;0,(COUNTIF($MX110:$NA110,"Atrasar")+COUNTIF($OK110:$OL110,"Atrasar"))&gt;0),"Reação não entra com Atrasar",""),IF(AND((COUNTIF($RK110:$RN110,"Reação")+COUNTIF($OK110:$OL110,"Reação"))&gt;0,(COUNTIF($MX110:$NA110,"Parado")+COUNTIF($OK110:$OL110,"Parado"))&gt;0),"Reação não entra com Parado",""),IF(AND((COUNTIF($MX110:$NA110,"Atrasar")+COUNTIF($OK110:$OL110,"Atrasar"))&gt;0,(COUNTIF($MX110:$NA110,"Parado")+COUNTIF($OK110:$OL110,"Parado"))&gt;0),"Atrasar não entra com Parado",""),IF(AND((COUNTIF($RK110:$RN110,"Armado")+COUNTIF($OK110:$OL110,"Armado"))&gt;0,(COUNTIF($MX110:$NA110,"Carregar")+COUNTIF($OK110:$OL110,"Carregar"))&gt;0),"Armado não entra com Carregar",""),IF(AND(COUNTIF($OK110:$OL110,"Corpo a Corpo")&gt;0,$OF110=0,OR($RO110="Cone",$RO110="Linha")),"Corpo a Corpo não entra em "&amp;$MU110,""),IF(AND(COUNTIF($OK110:$OL110,"Corpo a Corpo")&gt;0,$RP110="Corpo a Corpo"),"A Forma "&amp;$MU110&amp;" já traz o Corpo a Corpo",""),IF(AND(COUNTIF($OK110:$OL110,"Tudo ou Nada")&gt;0,$OH110=0),"Tudo ou Nada só entra em habilidade de Teste de Resistência",""),IF(AND(COUNTIF($RK110:$RN110,"Inescapável")&gt;0,OR($OU110&gt;1,$OV110&gt;0)),"Inescapável não aceita outra peça",""),IF(AND($MS110&gt;0,$PD110*IF(COUNTIF($RK110:$RN110,"Remate")&gt;0,1.25,1)+$PE110&gt;4*$MS110),($PD110*IF(COUNTIF($RK110:$RN110,"Remate")&gt;0,1.25,1)+$PE110)&amp;" dados somando repetições"&amp;IF(COUNTIF($RK110:$RN110,"Remate")&gt;0," e o Remate","")&amp;": o teto da Classe "&amp;$MS110&amp;" é "&amp;4*$MS110,""))),IF(AND($MX110&lt;&gt;"",COUNTIF('DADOS_MELHORIAS'!$O$2:$O$113,SUBSTITUTE(SUBSTITUTE(SUBSTITUTE($MX110,"~","~~"),"*","~*"),"?","~?"))=0),"Melhoria não cadastrada ou com erro: "&amp;$MX110,""),IF(AND($MY110&lt;&gt;"",COUNTIF('DADOS_MELHORIAS'!$O$2:$O$113,SUBSTITUTE(SUBSTITUTE(SUBSTITUTE($MY110,"~","~~"),"*","~*"),"?","~?"))=0),"Melhoria não cadastrada ou com erro: "&amp;$MY110,""),IF(AND($MZ110&lt;&gt;"",COUNTIF('DADOS_MELHORIAS'!$O$2:$O$113,SUBSTITUTE(SUBSTITUTE(SUBSTITUTE($MZ110,"~","~~"),"*","~*"),"?","~?"))=0),"Melhoria não cadastrada ou com erro: "&amp;$MZ110,""),IF(AND($NA110&lt;&gt;"",COUNTIF('DADOS_MELHORIAS'!$O$2:$O$113,SUBSTITUTE(SUBSTITUTE(SUBSTITUTE($NA110,"~","~~"),"*","~*"),"?","~?"))=0),"Melhoria não cadastrada ou com erro: "&amp;$NA110,""),IF(AND($NB110&lt;&gt;"",COUNTIF('DADOS_RESTRICOES'!$M$2:$M$54,SUBSTITUTE(SUBSTITUTE(SUBSTITUTE($NB110,"~","~~"),"*","~*"),"?","~?"))=0),"Restrição não cadastrada ou com erro: "&amp;$NB110,""),IF(AND($NC110&lt;&gt;"",COUNTIF('DADOS_RESTRICOES'!$M$2:$M$54,SUBSTITUTE(SUBSTITUTE(SUBSTITUTE($NC110,"~","~~"),"*","~*"),"?","~?"))=0),"Restrição não cadastrada ou com erro: "&amp;$NC110,""))),IF(AND($MU110&lt;&gt;"",COUNTIF('DADOS_FORMAS'!$AH$2:$AH$21,SUBSTITUTE(SUBSTITUTE(SUBSTITUTE($MU110,"~","~~"),"*","~*"),"?","~?"))=0),"Forma não cadastrada ou com erro: "&amp;$MU110,""),IF(AND(IFERROR(INDEX('DADOS_FORMAS'!$AS$2:$AS$21,MATCH(SUBSTITUTE(SUBSTITUTE(SUBSTITUTE($MU110,"~","~~"),"*","~*"),"?","~?"),'DADOS_FORMAS'!$AH$2:$AH$21,0)),"")&lt;&gt;"",OR(IFERROR(VLOOKUP(SUBSTITUTE(SUBSTITUTE(SUBSTITUTE(IFERROR(INDEX('DADOS_FORMAS'!$AS$2:$AS$21,MATCH(SUBSTITUTE(SUBSTITUTE(SUBSTITUTE($MU110,"~","~~"),"*","~*"),"?","~?"),'DADOS_FORMAS'!$AH$2:$AH$21,0)),""),"~","~~"),"*","~*"),"?","~?"),'DADOS_RESTRICOES'!$M$2:$Q$54,2,FALSE),"")=$OK110,IFERROR(VLOOKUP(SUBSTITUTE(SUBSTITUTE(SUBSTITUTE(IFERROR(INDEX('DADOS_FORMAS'!$AS$2:$AS$21,MATCH(SUBSTITUTE(SUBSTITUTE(SUBSTITUTE($MU110,"~","~~"),"*","~*"),"?","~?"),'DADOS_FORMAS'!$AH$2:$AH$21,0)),""),"~","~~"),"*","~*"),"?","~?"),'DADOS_RESTRICOES'!$M$2:$Q$54,2,FALSE),"")=$OL110)),"Restrição repetida, contando a embutida",""),IF(IF(IFERROR(INDEX('DADOS_FORMAS'!$AS$2:$AS$21,MATCH(SUBSTITUTE(SUBSTITUTE(SUBSTITUTE($MU110,"~","~~"),"*","~*"),"?","~?"),'DADOS_FORMAS'!$AH$2:$AH$21,0)),"")="",0,IFERROR(N(VLOOKUP(SUBSTITUTE(SUBSTITUTE(SUBSTITUTE(IFERROR(INDEX('DADOS_FORMAS'!$AS$2:$AS$21,MATCH(SUBSTITUTE(SUBSTITUTE(SUBSTITUTE($MU110,"~","~~"),"*","~*"),"?","~?"),'DADOS_FORMAS'!$AH$2:$AH$21,0)),""),"~","~~"),"*","~*"),"?","~?"),'DADOS_RESTRICOES'!$M$2:$Q$54,4,FALSE)=1),0))+IF($NB110="",0,IFERROR(N(VLOOKUP(SUBSTITUTE(SUBSTITUTE(SUBSTITUTE($NB110,"~","~~"),"*","~*"),"?","~?"),'DADOS_RESTRICOES'!$M$2:$Q$54,4,FALSE)=1),0))+IF($NC110="",0,IFERROR(N(VLOOKUP(SUBSTITUTE(SUBSTITUTE(SUBSTITUTE($NC110,"~","~~"),"*","~*"),"?","~?"),'DADOS_RESTRICOES'!$M$2:$Q$54,4,FALSE)=1),0))&gt;1,"Duas Restrições de frequência, contando a embutida",""),IF(AND(IFERROR(VLOOKUP(SUBSTITUTE(SUBSTITUTE(SUBSTITUTE(IFERROR(INDEX('DADOS_FORMAS'!$AS$2:$AS$21,MATCH(SUBSTITUTE(SUBSTITUTE(SUBSTITUTE($MU110,"~","~~"),"*","~*"),"?","~?"),'DADOS_FORMAS'!$AH$2:$AH$21,0)),""),"~","~~"),"*","~*"),"?","~?"),'DADOS_RESTRICOES'!$M$2:$Q$54,2,FALSE),"")="Tudo ou Nada",$OH110=0),"Tudo ou Nada exige TR",""),IF(AND(IFERROR(VLOOKUP(SUBSTITUTE(SUBSTITUTE(SUBSTITUTE(IFERROR(INDEX('DADOS_FORMAS'!$AS$2:$AS$21,MATCH(SUBSTITUTE(SUBSTITUTE(SUBSTITUTE($MU110,"~","~~"),"*","~*"),"?","~?"),'DADOS_FORMAS'!$AH$2:$AH$21,0)),""),"~","~~"),"*","~*"),"?","~?"),'DADOS_RESTRICOES'!$M$2:$Q$54,2,FALSE),"")="Corpo a Corpo",OR($RO110="Cone",$RO110="Linha")),"Corpo a Corpo não entra em Cone/Linha","")))</f>
        <v/>
      </c>
      <c r="PU110" s="164">
        <f>IF($PT110="",0,(LEN($PT110)-LEN(SUBSTITUTE($PT110," · ","")))/3+1)</f>
        <v/>
      </c>
      <c r="PV110" s="164">
        <f>IF($ND110=0,"",TEXTJOIN(" · ",TRUE,IF($OX110&gt;2*$MS110,"A devolução parou no teto de "&amp;2*$MS110,""),IF($PA110&gt;0,"Devolução perdida: "&amp;$PA110&amp;IF($PA110&gt;1," pontos"," ponto")&amp;" sem Melhoria para pagar",""),IF(AND($OC110&gt;0,AND($MS110&gt;0,$OG110=0),$PD110=0),"Controle sem dano: uma rodada a mais e CD +2",""),IF(AND($OC110&gt;0,AND($MS110&gt;0,$OG110=0),$PD110&gt;0,$PD110&lt;=$MS110),"Controle com saldo até a Classe: uma rodada a mais",""),IF(AND($MS110&gt;0,$OE110&lt;&gt;""),"Efeito de "&amp;$OE110&amp;" pela Classe "&amp;MAX(1,$MS110-1),"")))</f>
        <v/>
      </c>
      <c r="PW110" s="164">
        <f>IF($PV110="",0,(LEN($PV110)-LEN(SUBSTITUTE($PV110," · ","")))/3+1)</f>
        <v/>
      </c>
      <c r="PX110" s="164">
        <f>IF($ND110=0,IF($OU110+COUNTIF($NB110:$NC110,"?*")&gt;0,"Dê um nome",""),IF($PU110&gt;0,"⚠ "&amp;$PU110&amp;IF($PU110&gt;1," erros"," erro"),IF($PW110&gt;0,"! "&amp;$PW110&amp;IF($PW110&gt;1," avisos"," aviso"),"Na regra")))</f>
        <v/>
      </c>
      <c r="PY110" s="164">
        <f>IF($ND110=0,"",IF($PU110+$PW110=0,"Dentro das regras que a ficha confere",$PT110&amp;IF(AND($PU110&gt;0,$PW110&gt;0)," · ","")&amp;$PV110))</f>
        <v/>
      </c>
      <c r="PZ110" s="164">
        <f>IF($MQ110&gt;$NE110,$MR110&amp;" · ABRE NO NÍVEL "&amp;$MQ110,$MR110)</f>
        <v/>
      </c>
      <c r="QA110" s="164">
        <f>IF($ND110=0,"",IF($MS110=0,"Sem PE",3*$MS110&amp;" PE"))</f>
        <v/>
      </c>
      <c r="QB110" s="164">
        <f>IF($ND110=0,"",IF($MS110=0,"A atuação básica dela",IF(COUNTIF($RQ110:$RS110,"Atrasar")&gt;0,"Sua Ação Completa",IF(COUNTIF($RK110:$RN110,"Rápido")&gt;0,"Sua Bônus",IF(COUNTIF($RK110:$RN110,"Reação")&gt;0,"Sua Reação","Sua Padrão")))&amp;" + a básica dela"&amp;IF(COUNTIF($RK110:$RN110,"Reação")&gt;0," e a coletiva","")&amp;IF(COUNTIF($RQ110:$RS110,"Carregar")&gt;0," · em dois turnos","")))</f>
        <v/>
      </c>
      <c r="QC110" s="164">
        <f>IF($MW110&lt;&gt;"",$MW110,IF($NJ110=0,"",INDEX('DADOS_FORMAS'!$GE$2:$GE$21,$NJ110)))</f>
        <v/>
      </c>
      <c r="QD110" s="164">
        <f>IF(OR($ND110=0,$NJ110=0),"",IF(COUNTIF($RK110:$RN110,"Inescapável")&gt;0,"Automático",IF($QC110="Ataque",IF($NH110="","Ataque","Ataque "&amp;IF(($NH110+2*IF(COUNTIF($RK110:$RN110,"Precisão")&gt;0,1,0))&gt;=0,"+","−")&amp;ABS(($NH110+2*IF(COUNTIF($RK110:$RN110,"Precisão")&gt;0,1,0))))&amp;IF($OD110&gt;0," · TR"&amp;IF($NI110="",""," CD "&amp;$NI110),""),IF(LEFT($QC110,2)="TR",$QC110&amp;IF($NI110="",""," · CD "&amp;$NI110)&amp;IF(COUNTIF($RK110:$RN110,"Certeiro")&gt;0," · metade",""),"Sem rolagem"))))</f>
        <v/>
      </c>
      <c r="QE110" s="164">
        <f>IF(OR($ND110=0,$NJ110=0),"",IF($MS110=0,IF(OR($OG110&gt;=1,$PD110=0),"Sem dano",$PD110&amp;"d6"&amp;IF($MV110="",""," "&amp;$MV110)),IF(OR($OG110&gt;=1,$PD110=0),UPPER(LEFT(INDEX($PM110:$PS110,1,MAX(1,$MS110)),1))&amp;MID(INDEX($PM110:$PS110,1,MAX(1,$MS110)),2,99),UPPER(LEFT(INDEX($PM110:$PS110,1,MAX(1,$MS110)),1))&amp;MID(INDEX($PM110:$PS110,1,MAX(1,$MS110)),2,99)&amp;IF($MV110="",""," "&amp;$MV110)&amp;IF($PE110&gt;0," · +"&amp;$PE110&amp;"d8",""))))</f>
        <v/>
      </c>
      <c r="QF110" s="164">
        <f>COUNTIF($RK110:$RN110,"Longe")+3*COUNTIF($RK110:$RN110,"Muito Longe")</f>
        <v/>
      </c>
      <c r="QG110" s="164">
        <f>COUNTIF($RK110:$RN110,"Maior")+3*COUNTIF($RK110:$RN110,"Muito Maior")</f>
        <v/>
      </c>
      <c r="QH110" s="164">
        <f>IF($NJ110=0,0,CHOOSE(1+INDEX('DADOS_FORMAS'!$GG$2:$GG$21,$NJ110),0,$QF110,$QG110,$QF110+$QG110))</f>
        <v/>
      </c>
      <c r="QI110" s="164">
        <f>IF($NJ110=0,0,CHOOSE(1+INDEX('DADOS_FORMAS'!$GH$2:$GH$21,$NJ110),0,$QF110,$QG110,$QF110+$QG110))</f>
        <v/>
      </c>
      <c r="QJ110" s="164">
        <f>IF(OR($ND110=0,$NJ110=0),"",INDEX('DADOS_FORMAS'!$HU$2:$HZ$81,($NJ110-1)*4+IF($MS110=0,1,IF($MS110&lt;=5,2,IF($MS110=6,3,4))),1+MIN(5,$QH110))&amp;INDEX('DADOS_FORMAS'!$IA$2:$IF$81,($NJ110-1)*4+IF($MS110=0,1,IF($MS110&lt;=5,2,IF($MS110=6,3,4))),1+MIN(5,$QI110))&amp;IF(INDEX('DADOS_FORMAS'!$GI$2:$GI$21,$NJ110)=1,IF(COUNTIF($RK110:$RN110,"Mais Um")&gt;0," · +"&amp;COUNTIF($RK110:$RN110,"Mais Um")&amp;IF(COUNTIF($RK110:$RN110,"Mais Um")&gt;1," alvos"," alvo"),"")&amp;IF(COUNTIF($RK110:$RN110,"Rajada")&gt;0,IF($MS110=0," · 1 tiro"," · "&amp;(MAX(1,$MS110-1)+1)&amp;" tiros"),""),""))</f>
        <v/>
      </c>
      <c r="QK110" s="164">
        <f>IF($ND110=0,"",IF($MS110=0,$NG110&amp;"d6"&amp;IF($OU110&gt;0," − 1 = "&amp;$PD110&amp;"d6"," da básica do nível "&amp;$NE110),$PB110&amp;" − "&amp;$OW110&amp;" + "&amp;$OZ110&amp;" = "&amp;$PC110&amp;" · teto "&amp;4*$MS110&amp;"d8"&amp;IF($OF110=1," · a Forma devolve "&amp;$MS110,"")&amp;IF($PA110&gt;0," · perde "&amp;$PA110,"")))</f>
        <v/>
      </c>
      <c r="QL110" s="164">
        <f>IF($ND110=0,"",IF($MS110=0,"A básica não amplia: os dados dela sobem com o nível",IF($MS110&gt;=$NF110,"Já está na maior Classe que o nível liberou",TEXTJOIN(" · ",TRUE,IF(AND(2&gt;$MS110,2&lt;=$NF110),"2 → "&amp;$PN110&amp;", 6 PE",""),IF(AND(3&gt;$MS110,3&lt;=$NF110),"3 → "&amp;$PO110&amp;", 9 PE",""),IF(AND(4&gt;$MS110,4&lt;=$NF110),"4 → "&amp;$PP110&amp;", 12 PE",""),IF(AND(5&gt;$MS110,5&lt;=$NF110),"5 → "&amp;$PQ110&amp;", 15 PE",""),IF(AND(6&gt;$MS110,6&lt;=$NF110),"6 → "&amp;$PR110&amp;", 18 PE",""),IF(AND(7&gt;$MS110,7&lt;=$NF110),"7 → "&amp;$PS110&amp;", 21 PE","")))))</f>
        <v/>
      </c>
      <c r="QM110" s="164">
        <f>IF(OR($ND110=0,$NO110=0),"",IF($MS110=0,"−1 dado","−"&amp;INDEX($I$2:$N$8,MAX(1,$MS110),MAX(1,$NT110))&amp;" · "&amp;CHOOSE(MAX(1,$NT110),"Leve","Média","Pesada","Leve · Livre","Média · Livre","Pesada · Livre")))</f>
        <v/>
      </c>
      <c r="QN110" s="164">
        <f>IF(OR($ND110=0,$NP110=0),"",IF($MS110=0,"−1 dado","−"&amp;INDEX($I$2:$N$8,MAX(1,$MS110),MAX(1,$NU110))&amp;" · "&amp;CHOOSE(MAX(1,$NU110),"Leve","Média","Pesada","Leve · Livre","Média · Livre","Pesada · Livre")))</f>
        <v/>
      </c>
      <c r="QO110" s="164">
        <f>IF(OR($ND110=0,$NQ110=0),"",IF($MS110=0,"−1 dado","−"&amp;INDEX($I$2:$N$8,MAX(1,$MS110),MAX(1,$NV110))&amp;" · "&amp;CHOOSE(MAX(1,$NV110),"Leve","Média","Pesada","Leve · Livre","Média · Livre","Pesada · Livre")))</f>
        <v/>
      </c>
      <c r="QP110" s="164">
        <f>IF(OR($ND110=0,$NR110=0),"",IF($MS110=0,"−1 dado","−"&amp;INDEX($I$2:$N$8,MAX(1,$MS110),MAX(1,$NW110))&amp;" · "&amp;CHOOSE(MAX(1,$NW110),"Leve","Média","Pesada","Leve · Livre","Média · Livre","Pesada · Livre")))</f>
        <v/>
      </c>
      <c r="QQ110" s="164">
        <f>IF(OR($ND110=0,$NB110=""),"",IF($MS110=0,"não devolve","+"&amp;IF($OI110=1,CEILING($MS110/2,1),$MS110)))</f>
        <v/>
      </c>
      <c r="QR110" s="164">
        <f>IF(OR($ND110=0,$NC110=""),"",IF($MS110=0,"não devolve","+"&amp;IF($OJ110=1,CEILING($MS110/2,1),$MS110)))</f>
        <v/>
      </c>
      <c r="RK110">
        <f>IF($MX110="","",IFERROR(VLOOKUP(SUBSTITUTE(SUBSTITUTE(SUBSTITUTE($MX110,"~","~~"),"*","~*"),"?","~?"),'DADOS_MELHORIAS'!$O$2:$X$113,10,FALSE),$MX110))</f>
        <v/>
      </c>
      <c r="RL110">
        <f>IF($MY110="","",IFERROR(VLOOKUP(SUBSTITUTE(SUBSTITUTE(SUBSTITUTE($MY110,"~","~~"),"*","~*"),"?","~?"),'DADOS_MELHORIAS'!$O$2:$X$113,10,FALSE),$MY110))</f>
        <v/>
      </c>
      <c r="RM110">
        <f>IF($MZ110="","",IFERROR(VLOOKUP(SUBSTITUTE(SUBSTITUTE(SUBSTITUTE($MZ110,"~","~~"),"*","~*"),"?","~?"),'DADOS_MELHORIAS'!$O$2:$X$113,10,FALSE),$MZ110))</f>
        <v/>
      </c>
      <c r="RN110">
        <f>IF($NA110="","",IFERROR(VLOOKUP(SUBSTITUTE(SUBSTITUTE(SUBSTITUTE($NA110,"~","~~"),"*","~*"),"?","~?"),'DADOS_MELHORIAS'!$O$2:$X$113,10,FALSE),$NA110))</f>
        <v/>
      </c>
      <c r="RO110">
        <f>IFERROR(INDEX('DADOS_FORMAS'!$BJ$2:$BJ$21,MATCH(SUBSTITUTE(SUBSTITUTE(SUBSTITUTE($MU110,"~","~~"),"*","~*"),"?","~?"),'DADOS_FORMAS'!$AH$2:$AH$21,0)),"")</f>
        <v/>
      </c>
      <c r="RP110">
        <f>IFERROR(VLOOKUP(SUBSTITUTE(SUBSTITUTE(SUBSTITUTE(IFERROR(INDEX('DADOS_FORMAS'!$AS$2:$AS$21,MATCH(SUBSTITUTE(SUBSTITUTE(SUBSTITUTE($MU110,"~","~~"),"*","~*"),"?","~?"),'DADOS_FORMAS'!$AH$2:$AH$21,0)),""),"~","~~"),"*","~*"),"?","~?"),'DADOS_RESTRICOES'!$M$2:$Q$54,2,FALSE),"")</f>
        <v/>
      </c>
      <c r="RQ110">
        <f>$OK110</f>
        <v/>
      </c>
      <c r="RR110">
        <f>$OL110</f>
        <v/>
      </c>
      <c r="RS110">
        <f>$RP110</f>
        <v/>
      </c>
    </row>
    <row r="111">
      <c r="MN111" s="162" t="inlineStr">
        <is>
          <t>Ficha 9 · Especial 4</t>
        </is>
      </c>
      <c r="MO111" s="164" t="n">
        <v>9</v>
      </c>
      <c r="MP111" s="164" t="n">
        <v>1</v>
      </c>
      <c r="MQ111" s="164" t="n">
        <v>12</v>
      </c>
      <c r="MR111" s="162" t="inlineStr">
        <is>
          <t>ESPECIAL 4</t>
        </is>
      </c>
      <c r="MS111" s="164">
        <f>MAX(1,MIN(7,N('INVOCAÇÕES'!$AN$527)))</f>
        <v/>
      </c>
      <c r="MT111" s="164">
        <f>'INVOCAÇÕES'!$AO$527&amp;""</f>
        <v/>
      </c>
      <c r="MU111" s="164">
        <f>'INVOCAÇÕES'!$AN$532&amp;""</f>
        <v/>
      </c>
      <c r="MV111" s="164">
        <f>'INVOCAÇÕES'!$AN$533&amp;""</f>
        <v/>
      </c>
      <c r="MW111" s="164">
        <f>'INVOCAÇÕES'!$AP$533&amp;""</f>
        <v/>
      </c>
      <c r="MX111" s="164">
        <f>'INVOCAÇÕES'!$AO$536&amp;""</f>
        <v/>
      </c>
      <c r="MY111" s="164">
        <f>'INVOCAÇÕES'!$AO$537&amp;""</f>
        <v/>
      </c>
      <c r="MZ111" s="164">
        <f>'INVOCAÇÕES'!$AO$538&amp;""</f>
        <v/>
      </c>
      <c r="NA111" s="164">
        <f>'INVOCAÇÕES'!$AO$539&amp;""</f>
        <v/>
      </c>
      <c r="NB111" s="164">
        <f>'INVOCAÇÕES'!$AO$540&amp;""</f>
        <v/>
      </c>
      <c r="NC111" s="164">
        <f>'INVOCAÇÕES'!$AO$541&amp;""</f>
        <v/>
      </c>
      <c r="ND111" s="164">
        <f>IF($MT111&lt;&gt;"",1,0)</f>
        <v/>
      </c>
      <c r="NE111" s="164">
        <f>INDEX($FO$2:$FO$13,$MO111)</f>
        <v/>
      </c>
      <c r="NF111" s="164">
        <f>INDEX($FP$2:$FP$13,$MO111)</f>
        <v/>
      </c>
      <c r="NG111" s="164">
        <f>INDEX($FQ$2:$FQ$13,$MO111)</f>
        <v/>
      </c>
      <c r="NH111" s="164">
        <f>INDEX($GB$2:$GB$13,$MO111)</f>
        <v/>
      </c>
      <c r="NI111" s="164">
        <f>INDEX($GC$2:$GC$13,$MO111)</f>
        <v/>
      </c>
      <c r="NJ111" s="164">
        <f>IFERROR(MATCH(SUBSTITUTE(SUBSTITUTE(SUBSTITUTE($MU111,"~","~~"),"*","~*"),"?","~?"),'DADOS_FORMAS'!$FZ$2:$FZ$21,0),0)</f>
        <v/>
      </c>
      <c r="NK111" s="164">
        <f>IFERROR(VLOOKUP(SUBSTITUTE(SUBSTITUTE(SUBSTITUTE($MX111,"~","~~"),"*","~*"),"?","~?"),'DADOS_MELHORIAS'!$AG$2:$AL$113,2,FALSE),"")</f>
        <v/>
      </c>
      <c r="NL111" s="164">
        <f>IFERROR(VLOOKUP(SUBSTITUTE(SUBSTITUTE(SUBSTITUTE($MY111,"~","~~"),"*","~*"),"?","~?"),'DADOS_MELHORIAS'!$AG$2:$AL$113,2,FALSE),"")</f>
        <v/>
      </c>
      <c r="NM111" s="164">
        <f>IFERROR(VLOOKUP(SUBSTITUTE(SUBSTITUTE(SUBSTITUTE($MZ111,"~","~~"),"*","~*"),"?","~?"),'DADOS_MELHORIAS'!$AG$2:$AL$113,2,FALSE),"")</f>
        <v/>
      </c>
      <c r="NN111" s="164">
        <f>IFERROR(VLOOKUP(SUBSTITUTE(SUBSTITUTE(SUBSTITUTE($NA111,"~","~~"),"*","~*"),"?","~?"),'DADOS_MELHORIAS'!$AG$2:$AL$113,2,FALSE),"")</f>
        <v/>
      </c>
      <c r="NO111" s="164">
        <f>IFERROR(VLOOKUP(SUBSTITUTE(SUBSTITUTE(SUBSTITUTE($MX111,"~","~~"),"*","~*"),"?","~?"),'DADOS_MELHORIAS'!$AG$2:$AL$113,3,FALSE),0)</f>
        <v/>
      </c>
      <c r="NP111" s="164">
        <f>IFERROR(VLOOKUP(SUBSTITUTE(SUBSTITUTE(SUBSTITUTE($MY111,"~","~~"),"*","~*"),"?","~?"),'DADOS_MELHORIAS'!$AG$2:$AL$113,3,FALSE),0)</f>
        <v/>
      </c>
      <c r="NQ111" s="164">
        <f>IFERROR(VLOOKUP(SUBSTITUTE(SUBSTITUTE(SUBSTITUTE($MZ111,"~","~~"),"*","~*"),"?","~?"),'DADOS_MELHORIAS'!$AG$2:$AL$113,3,FALSE),0)</f>
        <v/>
      </c>
      <c r="NR111" s="164">
        <f>IFERROR(VLOOKUP(SUBSTITUTE(SUBSTITUTE(SUBSTITUTE($NA111,"~","~~"),"*","~*"),"?","~?"),'DADOS_MELHORIAS'!$AG$2:$AL$113,3,FALSE),0)</f>
        <v/>
      </c>
      <c r="NS111" s="164">
        <f>IF($MS111=0,0,IF($NJ111=0,0,INDEX('DADOS_FORMAS'!$GB$2:$GB$21,$NJ111)))</f>
        <v/>
      </c>
      <c r="NT111" s="164">
        <f>IF(OR($NO111=0,$MS111=0),0,$NO111+3*IF(AND($NK111&lt;&gt;"",COUNTIF(INDEX($RB$2:$RJ$13,$MO111,0),$NK111)&gt;0),1,0))</f>
        <v/>
      </c>
      <c r="NU111" s="164">
        <f>IF(OR($NP111=0,$MS111=0),0,$NP111+3*IF(AND($NL111&lt;&gt;"",COUNTIF(INDEX($RB$2:$RJ$13,$MO111,0),$NL111)&gt;0),1,0))</f>
        <v/>
      </c>
      <c r="NV111" s="164">
        <f>IF(OR($NQ111=0,$MS111=0),0,$NQ111+3*IF(AND($NM111&lt;&gt;"",COUNTIF(INDEX($RB$2:$RJ$13,$MO111,0),$NM111)&gt;0),1,0))</f>
        <v/>
      </c>
      <c r="NW111" s="164">
        <f>IF(OR($NR111=0,$MS111=0),0,$NR111+3*IF(AND($NN111&lt;&gt;"",COUNTIF(INDEX($RB$2:$RJ$13,$MO111,0),$NN111)&gt;0),1,0))</f>
        <v/>
      </c>
      <c r="NX111" s="164">
        <f>IF($NJ111=0,0,IF(INDEX('DADOS_FORMAS'!$GA$2:$GA$21,$NJ111)="",0,IF((COUNTIF(INDEX($EL$2:$EP$13,$MO111,0),INDEX('DADOS_FORMAS'!$GA$2:$GA$21,$NJ111))+COUNTIF(INDEX($QV$2:$QY$13,$MO111,0),INDEX('DADOS_FORMAS'!$GA$2:$GA$21,$NJ111)))=0,1,0)))</f>
        <v/>
      </c>
      <c r="NY111" s="164">
        <f>IF(OR($NO111=0,$NK111=""),0,IF((COUNTIF(INDEX($EL$2:$EP$13,$MO111,0),$NK111)+COUNTIF(INDEX($QV$2:$QY$13,$MO111,0),$NK111))=0,1,0))</f>
        <v/>
      </c>
      <c r="NZ111" s="164">
        <f>IF(OR($NP111=0,$NL111=""),0,IF((COUNTIF(INDEX($EL$2:$EP$13,$MO111,0),$NL111)+COUNTIF(INDEX($QV$2:$QY$13,$MO111,0),$NL111))=0,1,0))</f>
        <v/>
      </c>
      <c r="OA111" s="164">
        <f>IF(OR($NQ111=0,$NM111=""),0,IF((COUNTIF(INDEX($EL$2:$EP$13,$MO111,0),$NM111)+COUNTIF(INDEX($QV$2:$QY$13,$MO111,0),$NM111))=0,1,0))</f>
        <v/>
      </c>
      <c r="OB111" s="164">
        <f>IF(OR($NR111=0,$NN111=""),0,IF((COUNTIF(INDEX($EL$2:$EP$13,$MO111,0),$NN111)+COUNTIF(INDEX($QV$2:$QY$13,$MO111,0),$NN111))=0,1,0))</f>
        <v/>
      </c>
      <c r="OC111" s="164">
        <f>IFERROR(VLOOKUP(SUBSTITUTE(SUBSTITUTE(SUBSTITUTE($MX111,"~","~~"),"*","~*"),"?","~?"),'DADOS_MELHORIAS'!$AG$2:$AL$113,4,FALSE),0)+IFERROR(VLOOKUP(SUBSTITUTE(SUBSTITUTE(SUBSTITUTE($MY111,"~","~~"),"*","~*"),"?","~?"),'DADOS_MELHORIAS'!$AG$2:$AL$113,4,FALSE),0)+IFERROR(VLOOKUP(SUBSTITUTE(SUBSTITUTE(SUBSTITUTE($MZ111,"~","~~"),"*","~*"),"?","~?"),'DADOS_MELHORIAS'!$AG$2:$AL$113,4,FALSE),0)+IFERROR(VLOOKUP(SUBSTITUTE(SUBSTITUTE(SUBSTITUTE($NA111,"~","~~"),"*","~*"),"?","~?"),'DADOS_MELHORIAS'!$AG$2:$AL$113,4,FALSE),0)</f>
        <v/>
      </c>
      <c r="OD111" s="164">
        <f>IFERROR(VLOOKUP(SUBSTITUTE(SUBSTITUTE(SUBSTITUTE($MX111,"~","~~"),"*","~*"),"?","~?"),'DADOS_MELHORIAS'!$AG$2:$AL$113,6,FALSE),0)+IFERROR(VLOOKUP(SUBSTITUTE(SUBSTITUTE(SUBSTITUTE($MY111,"~","~~"),"*","~*"),"?","~?"),'DADOS_MELHORIAS'!$AG$2:$AL$113,6,FALSE),0)+IFERROR(VLOOKUP(SUBSTITUTE(SUBSTITUTE(SUBSTITUTE($MZ111,"~","~~"),"*","~*"),"?","~?"),'DADOS_MELHORIAS'!$AG$2:$AL$113,6,FALSE),0)+IFERROR(VLOOKUP(SUBSTITUTE(SUBSTITUTE(SUBSTITUTE($NA111,"~","~~"),"*","~*"),"?","~?"),'DADOS_MELHORIAS'!$AG$2:$AL$113,6,FALSE),0)+IFERROR(N(AND(INDEX('DADOS_FORMAS'!$AO$2:$AO$21,MATCH(SUBSTITUTE(SUBSTITUTE(SUBSTITUTE($MU111,"~","~~"),"*","~*"),"?","~?"),'DADOS_FORMAS'!$AH$2:$AH$21,0))="Acerto",$OH111=1)),0)</f>
        <v/>
      </c>
      <c r="OE111" s="164">
        <f>TEXTJOIN(", ",TRUE,IF(IFERROR(VLOOKUP(SUBSTITUTE(SUBSTITUTE(SUBSTITUTE($MX111,"~","~~"),"*","~*"),"?","~?"),'DADOS_MELHORIAS'!$AG$2:$AL$113,5,FALSE),0)=1,$MX111,""),IF(IFERROR(VLOOKUP(SUBSTITUTE(SUBSTITUTE(SUBSTITUTE($MY111,"~","~~"),"*","~*"),"?","~?"),'DADOS_MELHORIAS'!$AG$2:$AL$113,5,FALSE),0)=1,$MY111,""),IF(IFERROR(VLOOKUP(SUBSTITUTE(SUBSTITUTE(SUBSTITUTE($MZ111,"~","~~"),"*","~*"),"?","~?"),'DADOS_MELHORIAS'!$AG$2:$AL$113,5,FALSE),0)=1,$MZ111,""),IF(IFERROR(VLOOKUP(SUBSTITUTE(SUBSTITUTE(SUBSTITUTE($NA111,"~","~~"),"*","~*"),"?","~?"),'DADOS_MELHORIAS'!$AG$2:$AL$113,5,FALSE),0)=1,$NA111,""))</f>
        <v/>
      </c>
      <c r="OF111" s="164">
        <f>IF($NJ111=0,0,INDEX('DADOS_FORMAS'!$GC$2:$GC$21,$NJ111))</f>
        <v/>
      </c>
      <c r="OG111" s="164">
        <f>IF($NJ111=0,0,INDEX('DADOS_FORMAS'!$GD$2:$GD$21,$NJ111))</f>
        <v/>
      </c>
      <c r="OH111" s="164">
        <f>IF($NJ111=0,0,INDEX('DADOS_FORMAS'!$GF$2:$GF$21,$NJ111))</f>
        <v/>
      </c>
      <c r="OI111" s="164">
        <f>IFERROR(VLOOKUP(SUBSTITUTE(SUBSTITUTE(SUBSTITUTE($NB111,"~","~~"),"*","~*"),"?","~?"),'DADOS_RESTRICOES'!$M$2:$Q$54,3,FALSE),0)</f>
        <v/>
      </c>
      <c r="OJ111" s="164">
        <f>IFERROR(VLOOKUP(SUBSTITUTE(SUBSTITUTE(SUBSTITUTE($NC111,"~","~~"),"*","~*"),"?","~?"),'DADOS_RESTRICOES'!$M$2:$Q$54,3,FALSE),0)</f>
        <v/>
      </c>
      <c r="OK111" s="164">
        <f>IFERROR(VLOOKUP(SUBSTITUTE(SUBSTITUTE(SUBSTITUTE($NB111,"~","~~"),"*","~*"),"?","~?"),'DADOS_RESTRICOES'!$M$2:$Q$54,2,FALSE),"")</f>
        <v/>
      </c>
      <c r="OL111" s="164">
        <f>IFERROR(VLOOKUP(SUBSTITUTE(SUBSTITUTE(SUBSTITUTE($NC111,"~","~~"),"*","~*"),"?","~?"),'DADOS_RESTRICOES'!$M$2:$Q$54,2,FALSE),"")</f>
        <v/>
      </c>
      <c r="OM111" s="164">
        <f>COUNTIF($NS111:$NW111,1)</f>
        <v/>
      </c>
      <c r="ON111" s="164">
        <f>COUNTIF($NS111:$NW111,2)</f>
        <v/>
      </c>
      <c r="OO111" s="164">
        <f>COUNTIF($NS111:$NW111,3)</f>
        <v/>
      </c>
      <c r="OP111" s="164">
        <f>COUNTIF($NS111:$NW111,4)</f>
        <v/>
      </c>
      <c r="OQ111" s="164">
        <f>COUNTIF($NS111:$NW111,5)</f>
        <v/>
      </c>
      <c r="OR111" s="164">
        <f>COUNTIF($NS111:$NW111,6)</f>
        <v/>
      </c>
      <c r="OS111" s="164">
        <f>COUNTIF($OI111:$OJ111,1)+IF(IFERROR(INDEX('DADOS_FORMAS'!$AS$2:$AS$21,MATCH(SUBSTITUTE(SUBSTITUTE(SUBSTITUTE($MU111,"~","~~"),"*","~*"),"?","~?"),'DADOS_FORMAS'!$AH$2:$AH$21,0)),"")="",0,IFERROR(N(VLOOKUP(SUBSTITUTE(SUBSTITUTE(SUBSTITUTE(IFERROR(INDEX('DADOS_FORMAS'!$AS$2:$AS$21,MATCH(SUBSTITUTE(SUBSTITUTE(SUBSTITUTE($MU111,"~","~~"),"*","~*"),"?","~?"),'DADOS_FORMAS'!$AH$2:$AH$21,0)),""),"~","~~"),"*","~*"),"?","~?"),'DADOS_RESTRICOES'!$M$2:$Q$54,3,FALSE)=1),0))</f>
        <v/>
      </c>
      <c r="OT111" s="164">
        <f>COUNTIF($OI111:$OJ111,2)+IF(IFERROR(INDEX('DADOS_FORMAS'!$AS$2:$AS$21,MATCH(SUBSTITUTE(SUBSTITUTE(SUBSTITUTE($MU111,"~","~~"),"*","~*"),"?","~?"),'DADOS_FORMAS'!$AH$2:$AH$21,0)),"")="",0,IFERROR(N(VLOOKUP(SUBSTITUTE(SUBSTITUTE(SUBSTITUTE(IFERROR(INDEX('DADOS_FORMAS'!$AS$2:$AS$21,MATCH(SUBSTITUTE(SUBSTITUTE(SUBSTITUTE($MU111,"~","~~"),"*","~*"),"?","~?"),'DADOS_FORMAS'!$AH$2:$AH$21,0)),""),"~","~~"),"*","~*"),"?","~?"),'DADOS_RESTRICOES'!$M$2:$Q$54,3,FALSE)=2),0))</f>
        <v/>
      </c>
      <c r="OU111" s="164">
        <f>COUNTIF($MX111:$NA111,"?*")</f>
        <v/>
      </c>
      <c r="OV111" s="164">
        <f>COUNTIF($NB111:$NC111,"?*")+$OF111</f>
        <v/>
      </c>
      <c r="OW111" s="164">
        <f>IF($MS111=0,0,SUMPRODUCT($OM111:$OR111,INDEX($I$2:$N$8,MAX(1,$MS111),0)))</f>
        <v/>
      </c>
      <c r="OX111" s="164">
        <f>IF($MS111=0,0,$OS111*CEILING($MS111/2,1)+$OT111*$MS111)</f>
        <v/>
      </c>
      <c r="OY111" s="164">
        <f>MIN(2*$MS111,$OX111)</f>
        <v/>
      </c>
      <c r="OZ111" s="164">
        <f>MIN($OY111,$OW111-IF($NS111=0,0,INDEX($I$2:$N$8,MAX(1,$MS111),$NS111)))</f>
        <v/>
      </c>
      <c r="PA111" s="164">
        <f>$OY111-$OZ111</f>
        <v/>
      </c>
      <c r="PB111" s="164">
        <f>IF($MS111=0,0,INDEX($P$2:$P$8,MAX(1,$MS111)))</f>
        <v/>
      </c>
      <c r="PC111" s="164">
        <f>$PB111-$OW111+$OZ111</f>
        <v/>
      </c>
      <c r="PD111" s="164">
        <f>IF($MS111=0,MAX(0,$NG111-IF(AND($OU111&gt;0,COUNTIF($NB111:$NC111,"?*")=0),1,0)),MAX(0,$PC111))</f>
        <v/>
      </c>
      <c r="PE111" s="164">
        <f>IF($MS111=0,0,(IF(COUNTIF($RK111:$RN111,"Salto")&gt;0,1,0)+IF(COUNTIF($RK111:$RN111,"Queima")&gt;0,1,0)+IF(COUNTIF($RK111:$RN111,"Estilhaço")&gt;0,1,0))*FLOOR($PD111/2,1))</f>
        <v/>
      </c>
      <c r="PF111" s="164">
        <f>MAX(0,2-SUMPRODUCT($OM111:$OR111,$I$2:$N$2)+MIN(2,$OS111*1+$OT111*1,SUMPRODUCT($OM111:$OR111,$I$2:$N$2)-IF($NS111=0,0,INDEX($I$2:$N$2,1,$NS111))))</f>
        <v/>
      </c>
      <c r="PG111" s="164">
        <f>MAX(0,4-SUMPRODUCT($OM111:$OR111,$I$3:$N$3)+MIN(4,$OS111*1+$OT111*2,SUMPRODUCT($OM111:$OR111,$I$3:$N$3)-IF($NS111=0,0,INDEX($I$3:$N$3,1,$NS111))))</f>
        <v/>
      </c>
      <c r="PH111" s="164">
        <f>MAX(0,6-SUMPRODUCT($OM111:$OR111,$I$4:$N$4)+MIN(6,$OS111*2+$OT111*3,SUMPRODUCT($OM111:$OR111,$I$4:$N$4)-IF($NS111=0,0,INDEX($I$4:$N$4,1,$NS111))))</f>
        <v/>
      </c>
      <c r="PI111" s="164">
        <f>MAX(0,9-SUMPRODUCT($OM111:$OR111,$I$5:$N$5)+MIN(8,$OS111*2+$OT111*4,SUMPRODUCT($OM111:$OR111,$I$5:$N$5)-IF($NS111=0,0,INDEX($I$5:$N$5,1,$NS111))))</f>
        <v/>
      </c>
      <c r="PJ111" s="164">
        <f>MAX(0,11-SUMPRODUCT($OM111:$OR111,$I$6:$N$6)+MIN(10,$OS111*3+$OT111*5,SUMPRODUCT($OM111:$OR111,$I$6:$N$6)-IF($NS111=0,0,INDEX($I$6:$N$6,1,$NS111))))</f>
        <v/>
      </c>
      <c r="PK111" s="164">
        <f>MAX(0,13-SUMPRODUCT($OM111:$OR111,$I$7:$N$7)+MIN(12,$OS111*3+$OT111*6,SUMPRODUCT($OM111:$OR111,$I$7:$N$7)-IF($NS111=0,0,INDEX($I$7:$N$7,1,$NS111))))</f>
        <v/>
      </c>
      <c r="PL111" s="164">
        <f>MAX(0,16-SUMPRODUCT($OM111:$OR111,$I$8:$N$8)+MIN(14,$OS111*4+$OT111*7,SUMPRODUCT($OM111:$OR111,$I$8:$N$8)-IF($NS111=0,0,INDEX($I$8:$N$8,1,$NS111))))</f>
        <v/>
      </c>
      <c r="PM111" s="164">
        <f>IF($OG111=2,3*$PF111&amp;" de vida temp.",IF($OG111=3,"sem dano",IF($PF111=0,IF($OG111=1,"sem cura","sem dano"),IF($OG111=1,"cura ","")&amp;$PF111&amp;"d8")))</f>
        <v/>
      </c>
      <c r="PN111" s="164">
        <f>IF($OG111=2,3*$PG111&amp;" de vida temp.",IF($OG111=3,"sem dano",IF($PG111=0,IF($OG111=1,"sem cura","sem dano"),IF($OG111=1,"cura ","")&amp;$PG111&amp;"d8")))</f>
        <v/>
      </c>
      <c r="PO111" s="164">
        <f>IF($OG111=2,3*$PH111&amp;" de vida temp.",IF($OG111=3,"sem dano",IF($PH111=0,IF($OG111=1,"sem cura","sem dano"),IF($OG111=1,"cura ","")&amp;$PH111&amp;"d8")))</f>
        <v/>
      </c>
      <c r="PP111" s="164">
        <f>IF($OG111=2,3*$PI111&amp;" de vida temp.",IF($OG111=3,"sem dano",IF($PI111=0,IF($OG111=1,"sem cura","sem dano"),IF($OG111=1,"cura ","")&amp;$PI111&amp;"d8")))</f>
        <v/>
      </c>
      <c r="PQ111" s="164">
        <f>IF($OG111=2,3*$PJ111&amp;" de vida temp.",IF($OG111=3,"sem dano",IF($PJ111=0,IF($OG111=1,"sem cura","sem dano"),IF($OG111=1,"cura ","")&amp;$PJ111&amp;"d8")))</f>
        <v/>
      </c>
      <c r="PR111" s="164">
        <f>IF($OG111=2,3*$PK111&amp;" de vida temp.",IF($OG111=3,"sem dano",IF($PK111=0,IF($OG111=1,"sem cura","sem dano"),IF($OG111=1,"cura ","")&amp;$PK111&amp;"d8")))</f>
        <v/>
      </c>
      <c r="PS111" s="164">
        <f>IF($OG111=2,3*$PL111&amp;" de vida temp.",IF($OG111=3,"sem dano",IF($PL111=0,IF($OG111=1,"sem cura","sem dano"),IF($OG111=1,"cura ","")&amp;$PL111&amp;"d8")))</f>
        <v/>
      </c>
      <c r="PT111" s="164">
        <f>IF($ND111=0,"",TEXTJOIN(" · ",TRUE,IF($ND111=0,"",TEXTJOIN(" · ",TRUE,IF($ND111=0,"",TEXTJOIN(" · ",TRUE,IF($MQ111&gt;$NE111,"Este lugar abre no nível "&amp;$MQ111,""),IF($MS111&gt;$NF111,"Classe "&amp;$MS111&amp;": o nível "&amp;$NE111&amp;" libera até a "&amp;$NF111,""),IF($NX111=1,"A Forma "&amp;$MU111&amp;" pede "&amp;INDEX('DADOS_FORMAS'!$GA$2:$GA$21,$NJ111)&amp;" aberta",""),IF(AND($MS111=0,$NJ111&gt;0,IF($NJ111=0,0,INDEX('DADOS_FORMAS'!$GJ$2:$GJ$21,$NJ111))=0),$MU111&amp;" não existe na Classe 0",""),IF($NY111=1,"Família Fechada: "&amp;$MX111,""),IF($NZ111=1,"Família Fechada: "&amp;$MY111,""),IF($OA111=1,"Família Fechada: "&amp;$MZ111,""),IF($OB111=1,"Família Fechada: "&amp;$NA111,""),IF(AND($MS111&gt;0,$OU111&gt;INDEX($O$2:$O$8,MAX(1,$MS111))),$OU111&amp;" Melhorias: a Classe "&amp;$MS111&amp;" aceita "&amp;INDEX($O$2:$O$8,MAX(1,$MS111)),""),IF(AND($MS111=0,$OU111&gt;1),"A básica aceita uma Melhoria",""),IF(AND($MS111=0,COUNTIF($NO111:$NR111,"&gt;1")&gt;0),"A básica só aceita Melhoria Leve",""),IF(AND($MS111&gt;0,$OV111&gt;2),$OV111&amp;" Restrições"&amp;IF($OF111=1,", contando a que a Forma "&amp;$MU111&amp;" já traz","")&amp;": o limite é 2",""),IF(AND($MS111=0,COUNTIF($NB111:$NC111,"?*")&gt;1),"A básica aceita uma Restrição Leve",""),IF(AND($MS111=0,COUNTIF($OI111:$OJ111,2)&gt;0),"A básica só aceita Restrição Leve",""),IF(AND($MS111&gt;0,$PC111&lt;0),"Orçamento estourado: faltam "&amp;(-$PC111)&amp;IF($PC111&lt;-1," pontos"," ponto"),""),IF(IFERROR(VLOOKUP(SUBSTITUTE(SUBSTITUTE(SUBSTITUTE($NB111,"~","~~"),"*","~*"),"?","~?"),'DADOS_RESTRICOES'!$M$2:$Q$54,4,FALSE),0)+IFERROR(VLOOKUP(SUBSTITUTE(SUBSTITUTE(SUBSTITUTE($NC111,"~","~~"),"*","~*"),"?","~?"),'DADOS_RESTRICOES'!$M$2:$Q$54,4,FALSE),0)&gt;1,$OK111&amp;" e "&amp;$OL111&amp;" são as duas de frequência",""),IF(AND((COUNTIF($RK111:$RN111,"Rápido")+COUNTIF($OK111:$OL111,"Rápido"))&gt;0,(COUNTIF($MX111:$NA111,"Atrasar")+COUNTIF($OK111:$OL111,"Atrasar"))&gt;0),"Rápido não entra com Atrasar",""),IF(AND((COUNTIF($RK111:$RN111,"Reação")+COUNTIF($OK111:$OL111,"Reação"))&gt;0,(COUNTIF($RK111:$RN111,"Rápido")+COUNTIF($OK111:$OL111,"Rápido"))&gt;0),"Reação não entra com Rápido",""),IF(AND((COUNTIF($RK111:$RN111,"Reação")+COUNTIF($OK111:$OL111,"Reação"))&gt;0,(COUNTIF($RK111:$RN111,"Armado")+COUNTIF($OK111:$OL111,"Armado"))&gt;0),"Reação não entra com Armado",""),IF(AND((COUNTIF($RK111:$RN111,"Reação")+COUNTIF($OK111:$OL111,"Reação"))&gt;0,(COUNTIF($MX111:$NA111,"Atrasar")+COUNTIF($OK111:$OL111,"Atrasar"))&gt;0),"Reação não entra com Atrasar",""),IF(AND((COUNTIF($RK111:$RN111,"Reação")+COUNTIF($OK111:$OL111,"Reação"))&gt;0,(COUNTIF($MX111:$NA111,"Parado")+COUNTIF($OK111:$OL111,"Parado"))&gt;0),"Reação não entra com Parado",""),IF(AND((COUNTIF($MX111:$NA111,"Atrasar")+COUNTIF($OK111:$OL111,"Atrasar"))&gt;0,(COUNTIF($MX111:$NA111,"Parado")+COUNTIF($OK111:$OL111,"Parado"))&gt;0),"Atrasar não entra com Parado",""),IF(AND((COUNTIF($RK111:$RN111,"Armado")+COUNTIF($OK111:$OL111,"Armado"))&gt;0,(COUNTIF($MX111:$NA111,"Carregar")+COUNTIF($OK111:$OL111,"Carregar"))&gt;0),"Armado não entra com Carregar",""),IF(AND(COUNTIF($OK111:$OL111,"Corpo a Corpo")&gt;0,$OF111=0,OR($RO111="Cone",$RO111="Linha")),"Corpo a Corpo não entra em "&amp;$MU111,""),IF(AND(COUNTIF($OK111:$OL111,"Corpo a Corpo")&gt;0,$RP111="Corpo a Corpo"),"A Forma "&amp;$MU111&amp;" já traz o Corpo a Corpo",""),IF(AND(COUNTIF($OK111:$OL111,"Tudo ou Nada")&gt;0,$OH111=0),"Tudo ou Nada só entra em habilidade de Teste de Resistência",""),IF(AND(COUNTIF($RK111:$RN111,"Inescapável")&gt;0,OR($OU111&gt;1,$OV111&gt;0)),"Inescapável não aceita outra peça",""),IF(AND($MS111&gt;0,$PD111*IF(COUNTIF($RK111:$RN111,"Remate")&gt;0,1.25,1)+$PE111&gt;4*$MS111),($PD111*IF(COUNTIF($RK111:$RN111,"Remate")&gt;0,1.25,1)+$PE111)&amp;" dados somando repetições"&amp;IF(COUNTIF($RK111:$RN111,"Remate")&gt;0," e o Remate","")&amp;": o teto da Classe "&amp;$MS111&amp;" é "&amp;4*$MS111,""))),IF(AND($MX111&lt;&gt;"",COUNTIF('DADOS_MELHORIAS'!$O$2:$O$113,SUBSTITUTE(SUBSTITUTE(SUBSTITUTE($MX111,"~","~~"),"*","~*"),"?","~?"))=0),"Melhoria não cadastrada ou com erro: "&amp;$MX111,""),IF(AND($MY111&lt;&gt;"",COUNTIF('DADOS_MELHORIAS'!$O$2:$O$113,SUBSTITUTE(SUBSTITUTE(SUBSTITUTE($MY111,"~","~~"),"*","~*"),"?","~?"))=0),"Melhoria não cadastrada ou com erro: "&amp;$MY111,""),IF(AND($MZ111&lt;&gt;"",COUNTIF('DADOS_MELHORIAS'!$O$2:$O$113,SUBSTITUTE(SUBSTITUTE(SUBSTITUTE($MZ111,"~","~~"),"*","~*"),"?","~?"))=0),"Melhoria não cadastrada ou com erro: "&amp;$MZ111,""),IF(AND($NA111&lt;&gt;"",COUNTIF('DADOS_MELHORIAS'!$O$2:$O$113,SUBSTITUTE(SUBSTITUTE(SUBSTITUTE($NA111,"~","~~"),"*","~*"),"?","~?"))=0),"Melhoria não cadastrada ou com erro: "&amp;$NA111,""),IF(AND($NB111&lt;&gt;"",COUNTIF('DADOS_RESTRICOES'!$M$2:$M$54,SUBSTITUTE(SUBSTITUTE(SUBSTITUTE($NB111,"~","~~"),"*","~*"),"?","~?"))=0),"Restrição não cadastrada ou com erro: "&amp;$NB111,""),IF(AND($NC111&lt;&gt;"",COUNTIF('DADOS_RESTRICOES'!$M$2:$M$54,SUBSTITUTE(SUBSTITUTE(SUBSTITUTE($NC111,"~","~~"),"*","~*"),"?","~?"))=0),"Restrição não cadastrada ou com erro: "&amp;$NC111,""))),IF(AND($MU111&lt;&gt;"",COUNTIF('DADOS_FORMAS'!$AH$2:$AH$21,SUBSTITUTE(SUBSTITUTE(SUBSTITUTE($MU111,"~","~~"),"*","~*"),"?","~?"))=0),"Forma não cadastrada ou com erro: "&amp;$MU111,""),IF(AND(IFERROR(INDEX('DADOS_FORMAS'!$AS$2:$AS$21,MATCH(SUBSTITUTE(SUBSTITUTE(SUBSTITUTE($MU111,"~","~~"),"*","~*"),"?","~?"),'DADOS_FORMAS'!$AH$2:$AH$21,0)),"")&lt;&gt;"",OR(IFERROR(VLOOKUP(SUBSTITUTE(SUBSTITUTE(SUBSTITUTE(IFERROR(INDEX('DADOS_FORMAS'!$AS$2:$AS$21,MATCH(SUBSTITUTE(SUBSTITUTE(SUBSTITUTE($MU111,"~","~~"),"*","~*"),"?","~?"),'DADOS_FORMAS'!$AH$2:$AH$21,0)),""),"~","~~"),"*","~*"),"?","~?"),'DADOS_RESTRICOES'!$M$2:$Q$54,2,FALSE),"")=$OK111,IFERROR(VLOOKUP(SUBSTITUTE(SUBSTITUTE(SUBSTITUTE(IFERROR(INDEX('DADOS_FORMAS'!$AS$2:$AS$21,MATCH(SUBSTITUTE(SUBSTITUTE(SUBSTITUTE($MU111,"~","~~"),"*","~*"),"?","~?"),'DADOS_FORMAS'!$AH$2:$AH$21,0)),""),"~","~~"),"*","~*"),"?","~?"),'DADOS_RESTRICOES'!$M$2:$Q$54,2,FALSE),"")=$OL111)),"Restrição repetida, contando a embutida",""),IF(IF(IFERROR(INDEX('DADOS_FORMAS'!$AS$2:$AS$21,MATCH(SUBSTITUTE(SUBSTITUTE(SUBSTITUTE($MU111,"~","~~"),"*","~*"),"?","~?"),'DADOS_FORMAS'!$AH$2:$AH$21,0)),"")="",0,IFERROR(N(VLOOKUP(SUBSTITUTE(SUBSTITUTE(SUBSTITUTE(IFERROR(INDEX('DADOS_FORMAS'!$AS$2:$AS$21,MATCH(SUBSTITUTE(SUBSTITUTE(SUBSTITUTE($MU111,"~","~~"),"*","~*"),"?","~?"),'DADOS_FORMAS'!$AH$2:$AH$21,0)),""),"~","~~"),"*","~*"),"?","~?"),'DADOS_RESTRICOES'!$M$2:$Q$54,4,FALSE)=1),0))+IF($NB111="",0,IFERROR(N(VLOOKUP(SUBSTITUTE(SUBSTITUTE(SUBSTITUTE($NB111,"~","~~"),"*","~*"),"?","~?"),'DADOS_RESTRICOES'!$M$2:$Q$54,4,FALSE)=1),0))+IF($NC111="",0,IFERROR(N(VLOOKUP(SUBSTITUTE(SUBSTITUTE(SUBSTITUTE($NC111,"~","~~"),"*","~*"),"?","~?"),'DADOS_RESTRICOES'!$M$2:$Q$54,4,FALSE)=1),0))&gt;1,"Duas Restrições de frequência, contando a embutida",""),IF(AND(IFERROR(VLOOKUP(SUBSTITUTE(SUBSTITUTE(SUBSTITUTE(IFERROR(INDEX('DADOS_FORMAS'!$AS$2:$AS$21,MATCH(SUBSTITUTE(SUBSTITUTE(SUBSTITUTE($MU111,"~","~~"),"*","~*"),"?","~?"),'DADOS_FORMAS'!$AH$2:$AH$21,0)),""),"~","~~"),"*","~*"),"?","~?"),'DADOS_RESTRICOES'!$M$2:$Q$54,2,FALSE),"")="Tudo ou Nada",$OH111=0),"Tudo ou Nada exige TR",""),IF(AND(IFERROR(VLOOKUP(SUBSTITUTE(SUBSTITUTE(SUBSTITUTE(IFERROR(INDEX('DADOS_FORMAS'!$AS$2:$AS$21,MATCH(SUBSTITUTE(SUBSTITUTE(SUBSTITUTE($MU111,"~","~~"),"*","~*"),"?","~?"),'DADOS_FORMAS'!$AH$2:$AH$21,0)),""),"~","~~"),"*","~*"),"?","~?"),'DADOS_RESTRICOES'!$M$2:$Q$54,2,FALSE),"")="Corpo a Corpo",OR($RO111="Cone",$RO111="Linha")),"Corpo a Corpo não entra em Cone/Linha","")))</f>
        <v/>
      </c>
      <c r="PU111" s="164">
        <f>IF($PT111="",0,(LEN($PT111)-LEN(SUBSTITUTE($PT111," · ","")))/3+1)</f>
        <v/>
      </c>
      <c r="PV111" s="164">
        <f>IF($ND111=0,"",TEXTJOIN(" · ",TRUE,IF($OX111&gt;2*$MS111,"A devolução parou no teto de "&amp;2*$MS111,""),IF($PA111&gt;0,"Devolução perdida: "&amp;$PA111&amp;IF($PA111&gt;1," pontos"," ponto")&amp;" sem Melhoria para pagar",""),IF(AND($OC111&gt;0,AND($MS111&gt;0,$OG111=0),$PD111=0),"Controle sem dano: uma rodada a mais e CD +2",""),IF(AND($OC111&gt;0,AND($MS111&gt;0,$OG111=0),$PD111&gt;0,$PD111&lt;=$MS111),"Controle com saldo até a Classe: uma rodada a mais",""),IF(AND($MS111&gt;0,$OE111&lt;&gt;""),"Efeito de "&amp;$OE111&amp;" pela Classe "&amp;MAX(1,$MS111-1),"")))</f>
        <v/>
      </c>
      <c r="PW111" s="164">
        <f>IF($PV111="",0,(LEN($PV111)-LEN(SUBSTITUTE($PV111," · ","")))/3+1)</f>
        <v/>
      </c>
      <c r="PX111" s="164">
        <f>IF($ND111=0,IF($OU111+COUNTIF($NB111:$NC111,"?*")&gt;0,"Dê um nome",""),IF($PU111&gt;0,"⚠ "&amp;$PU111&amp;IF($PU111&gt;1," erros"," erro"),IF($PW111&gt;0,"! "&amp;$PW111&amp;IF($PW111&gt;1," avisos"," aviso"),"Na regra")))</f>
        <v/>
      </c>
      <c r="PY111" s="164">
        <f>IF($ND111=0,"",IF($PU111+$PW111=0,"Dentro das regras que a ficha confere",$PT111&amp;IF(AND($PU111&gt;0,$PW111&gt;0)," · ","")&amp;$PV111))</f>
        <v/>
      </c>
      <c r="PZ111" s="164">
        <f>IF($MQ111&gt;$NE111,$MR111&amp;" · ABRE NO NÍVEL "&amp;$MQ111,$MR111)</f>
        <v/>
      </c>
      <c r="QA111" s="164">
        <f>IF($ND111=0,"",IF($MS111=0,"Sem PE",3*$MS111&amp;" PE"))</f>
        <v/>
      </c>
      <c r="QB111" s="164">
        <f>IF($ND111=0,"",IF($MS111=0,"A atuação básica dela",IF(COUNTIF($RQ111:$RS111,"Atrasar")&gt;0,"Sua Ação Completa",IF(COUNTIF($RK111:$RN111,"Rápido")&gt;0,"Sua Bônus",IF(COUNTIF($RK111:$RN111,"Reação")&gt;0,"Sua Reação","Sua Padrão")))&amp;" + a básica dela"&amp;IF(COUNTIF($RK111:$RN111,"Reação")&gt;0," e a coletiva","")&amp;IF(COUNTIF($RQ111:$RS111,"Carregar")&gt;0," · em dois turnos","")))</f>
        <v/>
      </c>
      <c r="QC111" s="164">
        <f>IF($MW111&lt;&gt;"",$MW111,IF($NJ111=0,"",INDEX('DADOS_FORMAS'!$GE$2:$GE$21,$NJ111)))</f>
        <v/>
      </c>
      <c r="QD111" s="164">
        <f>IF(OR($ND111=0,$NJ111=0),"",IF(COUNTIF($RK111:$RN111,"Inescapável")&gt;0,"Automático",IF($QC111="Ataque",IF($NH111="","Ataque","Ataque "&amp;IF(($NH111+2*IF(COUNTIF($RK111:$RN111,"Precisão")&gt;0,1,0))&gt;=0,"+","−")&amp;ABS(($NH111+2*IF(COUNTIF($RK111:$RN111,"Precisão")&gt;0,1,0))))&amp;IF($OD111&gt;0," · TR"&amp;IF($NI111="",""," CD "&amp;$NI111),""),IF(LEFT($QC111,2)="TR",$QC111&amp;IF($NI111="",""," · CD "&amp;$NI111)&amp;IF(COUNTIF($RK111:$RN111,"Certeiro")&gt;0," · metade",""),"Sem rolagem"))))</f>
        <v/>
      </c>
      <c r="QE111" s="164">
        <f>IF(OR($ND111=0,$NJ111=0),"",IF($MS111=0,IF(OR($OG111&gt;=1,$PD111=0),"Sem dano",$PD111&amp;"d6"&amp;IF($MV111="",""," "&amp;$MV111)),IF(OR($OG111&gt;=1,$PD111=0),UPPER(LEFT(INDEX($PM111:$PS111,1,MAX(1,$MS111)),1))&amp;MID(INDEX($PM111:$PS111,1,MAX(1,$MS111)),2,99),UPPER(LEFT(INDEX($PM111:$PS111,1,MAX(1,$MS111)),1))&amp;MID(INDEX($PM111:$PS111,1,MAX(1,$MS111)),2,99)&amp;IF($MV111="",""," "&amp;$MV111)&amp;IF($PE111&gt;0," · +"&amp;$PE111&amp;"d8",""))))</f>
        <v/>
      </c>
      <c r="QF111" s="164">
        <f>COUNTIF($RK111:$RN111,"Longe")+3*COUNTIF($RK111:$RN111,"Muito Longe")</f>
        <v/>
      </c>
      <c r="QG111" s="164">
        <f>COUNTIF($RK111:$RN111,"Maior")+3*COUNTIF($RK111:$RN111,"Muito Maior")</f>
        <v/>
      </c>
      <c r="QH111" s="164">
        <f>IF($NJ111=0,0,CHOOSE(1+INDEX('DADOS_FORMAS'!$GG$2:$GG$21,$NJ111),0,$QF111,$QG111,$QF111+$QG111))</f>
        <v/>
      </c>
      <c r="QI111" s="164">
        <f>IF($NJ111=0,0,CHOOSE(1+INDEX('DADOS_FORMAS'!$GH$2:$GH$21,$NJ111),0,$QF111,$QG111,$QF111+$QG111))</f>
        <v/>
      </c>
      <c r="QJ111" s="164">
        <f>IF(OR($ND111=0,$NJ111=0),"",INDEX('DADOS_FORMAS'!$HU$2:$HZ$81,($NJ111-1)*4+IF($MS111=0,1,IF($MS111&lt;=5,2,IF($MS111=6,3,4))),1+MIN(5,$QH111))&amp;INDEX('DADOS_FORMAS'!$IA$2:$IF$81,($NJ111-1)*4+IF($MS111=0,1,IF($MS111&lt;=5,2,IF($MS111=6,3,4))),1+MIN(5,$QI111))&amp;IF(INDEX('DADOS_FORMAS'!$GI$2:$GI$21,$NJ111)=1,IF(COUNTIF($RK111:$RN111,"Mais Um")&gt;0," · +"&amp;COUNTIF($RK111:$RN111,"Mais Um")&amp;IF(COUNTIF($RK111:$RN111,"Mais Um")&gt;1," alvos"," alvo"),"")&amp;IF(COUNTIF($RK111:$RN111,"Rajada")&gt;0,IF($MS111=0," · 1 tiro"," · "&amp;(MAX(1,$MS111-1)+1)&amp;" tiros"),""),""))</f>
        <v/>
      </c>
      <c r="QK111" s="164">
        <f>IF($ND111=0,"",IF($MS111=0,$NG111&amp;"d6"&amp;IF($OU111&gt;0," − 1 = "&amp;$PD111&amp;"d6"," da básica do nível "&amp;$NE111),$PB111&amp;" − "&amp;$OW111&amp;" + "&amp;$OZ111&amp;" = "&amp;$PC111&amp;" · teto "&amp;4*$MS111&amp;"d8"&amp;IF($OF111=1," · a Forma devolve "&amp;$MS111,"")&amp;IF($PA111&gt;0," · perde "&amp;$PA111,"")))</f>
        <v/>
      </c>
      <c r="QL111" s="164">
        <f>IF($ND111=0,"",IF($MS111=0,"A básica não amplia: os dados dela sobem com o nível",IF($MS111&gt;=$NF111,"Já está na maior Classe que o nível liberou",TEXTJOIN(" · ",TRUE,IF(AND(2&gt;$MS111,2&lt;=$NF111),"2 → "&amp;$PN111&amp;", 6 PE",""),IF(AND(3&gt;$MS111,3&lt;=$NF111),"3 → "&amp;$PO111&amp;", 9 PE",""),IF(AND(4&gt;$MS111,4&lt;=$NF111),"4 → "&amp;$PP111&amp;", 12 PE",""),IF(AND(5&gt;$MS111,5&lt;=$NF111),"5 → "&amp;$PQ111&amp;", 15 PE",""),IF(AND(6&gt;$MS111,6&lt;=$NF111),"6 → "&amp;$PR111&amp;", 18 PE",""),IF(AND(7&gt;$MS111,7&lt;=$NF111),"7 → "&amp;$PS111&amp;", 21 PE","")))))</f>
        <v/>
      </c>
      <c r="QM111" s="164">
        <f>IF(OR($ND111=0,$NO111=0),"",IF($MS111=0,"−1 dado","−"&amp;INDEX($I$2:$N$8,MAX(1,$MS111),MAX(1,$NT111))&amp;" · "&amp;CHOOSE(MAX(1,$NT111),"Leve","Média","Pesada","Leve · Livre","Média · Livre","Pesada · Livre")))</f>
        <v/>
      </c>
      <c r="QN111" s="164">
        <f>IF(OR($ND111=0,$NP111=0),"",IF($MS111=0,"−1 dado","−"&amp;INDEX($I$2:$N$8,MAX(1,$MS111),MAX(1,$NU111))&amp;" · "&amp;CHOOSE(MAX(1,$NU111),"Leve","Média","Pesada","Leve · Livre","Média · Livre","Pesada · Livre")))</f>
        <v/>
      </c>
      <c r="QO111" s="164">
        <f>IF(OR($ND111=0,$NQ111=0),"",IF($MS111=0,"−1 dado","−"&amp;INDEX($I$2:$N$8,MAX(1,$MS111),MAX(1,$NV111))&amp;" · "&amp;CHOOSE(MAX(1,$NV111),"Leve","Média","Pesada","Leve · Livre","Média · Livre","Pesada · Livre")))</f>
        <v/>
      </c>
      <c r="QP111" s="164">
        <f>IF(OR($ND111=0,$NR111=0),"",IF($MS111=0,"−1 dado","−"&amp;INDEX($I$2:$N$8,MAX(1,$MS111),MAX(1,$NW111))&amp;" · "&amp;CHOOSE(MAX(1,$NW111),"Leve","Média","Pesada","Leve · Livre","Média · Livre","Pesada · Livre")))</f>
        <v/>
      </c>
      <c r="QQ111" s="164">
        <f>IF(OR($ND111=0,$NB111=""),"",IF($MS111=0,"não devolve","+"&amp;IF($OI111=1,CEILING($MS111/2,1),$MS111)))</f>
        <v/>
      </c>
      <c r="QR111" s="164">
        <f>IF(OR($ND111=0,$NC111=""),"",IF($MS111=0,"não devolve","+"&amp;IF($OJ111=1,CEILING($MS111/2,1),$MS111)))</f>
        <v/>
      </c>
      <c r="RK111">
        <f>IF($MX111="","",IFERROR(VLOOKUP(SUBSTITUTE(SUBSTITUTE(SUBSTITUTE($MX111,"~","~~"),"*","~*"),"?","~?"),'DADOS_MELHORIAS'!$O$2:$X$113,10,FALSE),$MX111))</f>
        <v/>
      </c>
      <c r="RL111">
        <f>IF($MY111="","",IFERROR(VLOOKUP(SUBSTITUTE(SUBSTITUTE(SUBSTITUTE($MY111,"~","~~"),"*","~*"),"?","~?"),'DADOS_MELHORIAS'!$O$2:$X$113,10,FALSE),$MY111))</f>
        <v/>
      </c>
      <c r="RM111">
        <f>IF($MZ111="","",IFERROR(VLOOKUP(SUBSTITUTE(SUBSTITUTE(SUBSTITUTE($MZ111,"~","~~"),"*","~*"),"?","~?"),'DADOS_MELHORIAS'!$O$2:$X$113,10,FALSE),$MZ111))</f>
        <v/>
      </c>
      <c r="RN111">
        <f>IF($NA111="","",IFERROR(VLOOKUP(SUBSTITUTE(SUBSTITUTE(SUBSTITUTE($NA111,"~","~~"),"*","~*"),"?","~?"),'DADOS_MELHORIAS'!$O$2:$X$113,10,FALSE),$NA111))</f>
        <v/>
      </c>
      <c r="RO111">
        <f>IFERROR(INDEX('DADOS_FORMAS'!$BJ$2:$BJ$21,MATCH(SUBSTITUTE(SUBSTITUTE(SUBSTITUTE($MU111,"~","~~"),"*","~*"),"?","~?"),'DADOS_FORMAS'!$AH$2:$AH$21,0)),"")</f>
        <v/>
      </c>
      <c r="RP111">
        <f>IFERROR(VLOOKUP(SUBSTITUTE(SUBSTITUTE(SUBSTITUTE(IFERROR(INDEX('DADOS_FORMAS'!$AS$2:$AS$21,MATCH(SUBSTITUTE(SUBSTITUTE(SUBSTITUTE($MU111,"~","~~"),"*","~*"),"?","~?"),'DADOS_FORMAS'!$AH$2:$AH$21,0)),""),"~","~~"),"*","~*"),"?","~?"),'DADOS_RESTRICOES'!$M$2:$Q$54,2,FALSE),"")</f>
        <v/>
      </c>
      <c r="RQ111">
        <f>$OK111</f>
        <v/>
      </c>
      <c r="RR111">
        <f>$OL111</f>
        <v/>
      </c>
      <c r="RS111">
        <f>$RP111</f>
        <v/>
      </c>
    </row>
    <row r="112">
      <c r="MN112" s="162" t="inlineStr">
        <is>
          <t>Ficha 9 · Especial 5</t>
        </is>
      </c>
      <c r="MO112" s="164" t="n">
        <v>9</v>
      </c>
      <c r="MP112" s="164" t="n">
        <v>1</v>
      </c>
      <c r="MQ112" s="164" t="n">
        <v>16</v>
      </c>
      <c r="MR112" s="162" t="inlineStr">
        <is>
          <t>ESPECIAL 5</t>
        </is>
      </c>
      <c r="MS112" s="164">
        <f>MAX(1,MIN(7,N('INVOCAÇÕES'!$AB$549)))</f>
        <v/>
      </c>
      <c r="MT112" s="164">
        <f>'INVOCAÇÕES'!$AC$549&amp;""</f>
        <v/>
      </c>
      <c r="MU112" s="164">
        <f>'INVOCAÇÕES'!$AB$554&amp;""</f>
        <v/>
      </c>
      <c r="MV112" s="164">
        <f>'INVOCAÇÕES'!$AB$555&amp;""</f>
        <v/>
      </c>
      <c r="MW112" s="164">
        <f>'INVOCAÇÕES'!$AD$555&amp;""</f>
        <v/>
      </c>
      <c r="MX112" s="164">
        <f>'INVOCAÇÕES'!$AC$558&amp;""</f>
        <v/>
      </c>
      <c r="MY112" s="164">
        <f>'INVOCAÇÕES'!$AC$559&amp;""</f>
        <v/>
      </c>
      <c r="MZ112" s="164">
        <f>'INVOCAÇÕES'!$AC$560&amp;""</f>
        <v/>
      </c>
      <c r="NA112" s="164">
        <f>'INVOCAÇÕES'!$AC$561&amp;""</f>
        <v/>
      </c>
      <c r="NB112" s="164">
        <f>'INVOCAÇÕES'!$AC$562&amp;""</f>
        <v/>
      </c>
      <c r="NC112" s="164">
        <f>'INVOCAÇÕES'!$AC$563&amp;""</f>
        <v/>
      </c>
      <c r="ND112" s="164">
        <f>IF($MT112&lt;&gt;"",1,0)</f>
        <v/>
      </c>
      <c r="NE112" s="164">
        <f>INDEX($FO$2:$FO$13,$MO112)</f>
        <v/>
      </c>
      <c r="NF112" s="164">
        <f>INDEX($FP$2:$FP$13,$MO112)</f>
        <v/>
      </c>
      <c r="NG112" s="164">
        <f>INDEX($FQ$2:$FQ$13,$MO112)</f>
        <v/>
      </c>
      <c r="NH112" s="164">
        <f>INDEX($GB$2:$GB$13,$MO112)</f>
        <v/>
      </c>
      <c r="NI112" s="164">
        <f>INDEX($GC$2:$GC$13,$MO112)</f>
        <v/>
      </c>
      <c r="NJ112" s="164">
        <f>IFERROR(MATCH(SUBSTITUTE(SUBSTITUTE(SUBSTITUTE($MU112,"~","~~"),"*","~*"),"?","~?"),'DADOS_FORMAS'!$FZ$2:$FZ$21,0),0)</f>
        <v/>
      </c>
      <c r="NK112" s="164">
        <f>IFERROR(VLOOKUP(SUBSTITUTE(SUBSTITUTE(SUBSTITUTE($MX112,"~","~~"),"*","~*"),"?","~?"),'DADOS_MELHORIAS'!$AG$2:$AL$113,2,FALSE),"")</f>
        <v/>
      </c>
      <c r="NL112" s="164">
        <f>IFERROR(VLOOKUP(SUBSTITUTE(SUBSTITUTE(SUBSTITUTE($MY112,"~","~~"),"*","~*"),"?","~?"),'DADOS_MELHORIAS'!$AG$2:$AL$113,2,FALSE),"")</f>
        <v/>
      </c>
      <c r="NM112" s="164">
        <f>IFERROR(VLOOKUP(SUBSTITUTE(SUBSTITUTE(SUBSTITUTE($MZ112,"~","~~"),"*","~*"),"?","~?"),'DADOS_MELHORIAS'!$AG$2:$AL$113,2,FALSE),"")</f>
        <v/>
      </c>
      <c r="NN112" s="164">
        <f>IFERROR(VLOOKUP(SUBSTITUTE(SUBSTITUTE(SUBSTITUTE($NA112,"~","~~"),"*","~*"),"?","~?"),'DADOS_MELHORIAS'!$AG$2:$AL$113,2,FALSE),"")</f>
        <v/>
      </c>
      <c r="NO112" s="164">
        <f>IFERROR(VLOOKUP(SUBSTITUTE(SUBSTITUTE(SUBSTITUTE($MX112,"~","~~"),"*","~*"),"?","~?"),'DADOS_MELHORIAS'!$AG$2:$AL$113,3,FALSE),0)</f>
        <v/>
      </c>
      <c r="NP112" s="164">
        <f>IFERROR(VLOOKUP(SUBSTITUTE(SUBSTITUTE(SUBSTITUTE($MY112,"~","~~"),"*","~*"),"?","~?"),'DADOS_MELHORIAS'!$AG$2:$AL$113,3,FALSE),0)</f>
        <v/>
      </c>
      <c r="NQ112" s="164">
        <f>IFERROR(VLOOKUP(SUBSTITUTE(SUBSTITUTE(SUBSTITUTE($MZ112,"~","~~"),"*","~*"),"?","~?"),'DADOS_MELHORIAS'!$AG$2:$AL$113,3,FALSE),0)</f>
        <v/>
      </c>
      <c r="NR112" s="164">
        <f>IFERROR(VLOOKUP(SUBSTITUTE(SUBSTITUTE(SUBSTITUTE($NA112,"~","~~"),"*","~*"),"?","~?"),'DADOS_MELHORIAS'!$AG$2:$AL$113,3,FALSE),0)</f>
        <v/>
      </c>
      <c r="NS112" s="164">
        <f>IF($MS112=0,0,IF($NJ112=0,0,INDEX('DADOS_FORMAS'!$GB$2:$GB$21,$NJ112)))</f>
        <v/>
      </c>
      <c r="NT112" s="164">
        <f>IF(OR($NO112=0,$MS112=0),0,$NO112+3*IF(AND($NK112&lt;&gt;"",COUNTIF(INDEX($RB$2:$RJ$13,$MO112,0),$NK112)&gt;0),1,0))</f>
        <v/>
      </c>
      <c r="NU112" s="164">
        <f>IF(OR($NP112=0,$MS112=0),0,$NP112+3*IF(AND($NL112&lt;&gt;"",COUNTIF(INDEX($RB$2:$RJ$13,$MO112,0),$NL112)&gt;0),1,0))</f>
        <v/>
      </c>
      <c r="NV112" s="164">
        <f>IF(OR($NQ112=0,$MS112=0),0,$NQ112+3*IF(AND($NM112&lt;&gt;"",COUNTIF(INDEX($RB$2:$RJ$13,$MO112,0),$NM112)&gt;0),1,0))</f>
        <v/>
      </c>
      <c r="NW112" s="164">
        <f>IF(OR($NR112=0,$MS112=0),0,$NR112+3*IF(AND($NN112&lt;&gt;"",COUNTIF(INDEX($RB$2:$RJ$13,$MO112,0),$NN112)&gt;0),1,0))</f>
        <v/>
      </c>
      <c r="NX112" s="164">
        <f>IF($NJ112=0,0,IF(INDEX('DADOS_FORMAS'!$GA$2:$GA$21,$NJ112)="",0,IF((COUNTIF(INDEX($EL$2:$EP$13,$MO112,0),INDEX('DADOS_FORMAS'!$GA$2:$GA$21,$NJ112))+COUNTIF(INDEX($QV$2:$QY$13,$MO112,0),INDEX('DADOS_FORMAS'!$GA$2:$GA$21,$NJ112)))=0,1,0)))</f>
        <v/>
      </c>
      <c r="NY112" s="164">
        <f>IF(OR($NO112=0,$NK112=""),0,IF((COUNTIF(INDEX($EL$2:$EP$13,$MO112,0),$NK112)+COUNTIF(INDEX($QV$2:$QY$13,$MO112,0),$NK112))=0,1,0))</f>
        <v/>
      </c>
      <c r="NZ112" s="164">
        <f>IF(OR($NP112=0,$NL112=""),0,IF((COUNTIF(INDEX($EL$2:$EP$13,$MO112,0),$NL112)+COUNTIF(INDEX($QV$2:$QY$13,$MO112,0),$NL112))=0,1,0))</f>
        <v/>
      </c>
      <c r="OA112" s="164">
        <f>IF(OR($NQ112=0,$NM112=""),0,IF((COUNTIF(INDEX($EL$2:$EP$13,$MO112,0),$NM112)+COUNTIF(INDEX($QV$2:$QY$13,$MO112,0),$NM112))=0,1,0))</f>
        <v/>
      </c>
      <c r="OB112" s="164">
        <f>IF(OR($NR112=0,$NN112=""),0,IF((COUNTIF(INDEX($EL$2:$EP$13,$MO112,0),$NN112)+COUNTIF(INDEX($QV$2:$QY$13,$MO112,0),$NN112))=0,1,0))</f>
        <v/>
      </c>
      <c r="OC112" s="164">
        <f>IFERROR(VLOOKUP(SUBSTITUTE(SUBSTITUTE(SUBSTITUTE($MX112,"~","~~"),"*","~*"),"?","~?"),'DADOS_MELHORIAS'!$AG$2:$AL$113,4,FALSE),0)+IFERROR(VLOOKUP(SUBSTITUTE(SUBSTITUTE(SUBSTITUTE($MY112,"~","~~"),"*","~*"),"?","~?"),'DADOS_MELHORIAS'!$AG$2:$AL$113,4,FALSE),0)+IFERROR(VLOOKUP(SUBSTITUTE(SUBSTITUTE(SUBSTITUTE($MZ112,"~","~~"),"*","~*"),"?","~?"),'DADOS_MELHORIAS'!$AG$2:$AL$113,4,FALSE),0)+IFERROR(VLOOKUP(SUBSTITUTE(SUBSTITUTE(SUBSTITUTE($NA112,"~","~~"),"*","~*"),"?","~?"),'DADOS_MELHORIAS'!$AG$2:$AL$113,4,FALSE),0)</f>
        <v/>
      </c>
      <c r="OD112" s="164">
        <f>IFERROR(VLOOKUP(SUBSTITUTE(SUBSTITUTE(SUBSTITUTE($MX112,"~","~~"),"*","~*"),"?","~?"),'DADOS_MELHORIAS'!$AG$2:$AL$113,6,FALSE),0)+IFERROR(VLOOKUP(SUBSTITUTE(SUBSTITUTE(SUBSTITUTE($MY112,"~","~~"),"*","~*"),"?","~?"),'DADOS_MELHORIAS'!$AG$2:$AL$113,6,FALSE),0)+IFERROR(VLOOKUP(SUBSTITUTE(SUBSTITUTE(SUBSTITUTE($MZ112,"~","~~"),"*","~*"),"?","~?"),'DADOS_MELHORIAS'!$AG$2:$AL$113,6,FALSE),0)+IFERROR(VLOOKUP(SUBSTITUTE(SUBSTITUTE(SUBSTITUTE($NA112,"~","~~"),"*","~*"),"?","~?"),'DADOS_MELHORIAS'!$AG$2:$AL$113,6,FALSE),0)+IFERROR(N(AND(INDEX('DADOS_FORMAS'!$AO$2:$AO$21,MATCH(SUBSTITUTE(SUBSTITUTE(SUBSTITUTE($MU112,"~","~~"),"*","~*"),"?","~?"),'DADOS_FORMAS'!$AH$2:$AH$21,0))="Acerto",$OH112=1)),0)</f>
        <v/>
      </c>
      <c r="OE112" s="164">
        <f>TEXTJOIN(", ",TRUE,IF(IFERROR(VLOOKUP(SUBSTITUTE(SUBSTITUTE(SUBSTITUTE($MX112,"~","~~"),"*","~*"),"?","~?"),'DADOS_MELHORIAS'!$AG$2:$AL$113,5,FALSE),0)=1,$MX112,""),IF(IFERROR(VLOOKUP(SUBSTITUTE(SUBSTITUTE(SUBSTITUTE($MY112,"~","~~"),"*","~*"),"?","~?"),'DADOS_MELHORIAS'!$AG$2:$AL$113,5,FALSE),0)=1,$MY112,""),IF(IFERROR(VLOOKUP(SUBSTITUTE(SUBSTITUTE(SUBSTITUTE($MZ112,"~","~~"),"*","~*"),"?","~?"),'DADOS_MELHORIAS'!$AG$2:$AL$113,5,FALSE),0)=1,$MZ112,""),IF(IFERROR(VLOOKUP(SUBSTITUTE(SUBSTITUTE(SUBSTITUTE($NA112,"~","~~"),"*","~*"),"?","~?"),'DADOS_MELHORIAS'!$AG$2:$AL$113,5,FALSE),0)=1,$NA112,""))</f>
        <v/>
      </c>
      <c r="OF112" s="164">
        <f>IF($NJ112=0,0,INDEX('DADOS_FORMAS'!$GC$2:$GC$21,$NJ112))</f>
        <v/>
      </c>
      <c r="OG112" s="164">
        <f>IF($NJ112=0,0,INDEX('DADOS_FORMAS'!$GD$2:$GD$21,$NJ112))</f>
        <v/>
      </c>
      <c r="OH112" s="164">
        <f>IF($NJ112=0,0,INDEX('DADOS_FORMAS'!$GF$2:$GF$21,$NJ112))</f>
        <v/>
      </c>
      <c r="OI112" s="164">
        <f>IFERROR(VLOOKUP(SUBSTITUTE(SUBSTITUTE(SUBSTITUTE($NB112,"~","~~"),"*","~*"),"?","~?"),'DADOS_RESTRICOES'!$M$2:$Q$54,3,FALSE),0)</f>
        <v/>
      </c>
      <c r="OJ112" s="164">
        <f>IFERROR(VLOOKUP(SUBSTITUTE(SUBSTITUTE(SUBSTITUTE($NC112,"~","~~"),"*","~*"),"?","~?"),'DADOS_RESTRICOES'!$M$2:$Q$54,3,FALSE),0)</f>
        <v/>
      </c>
      <c r="OK112" s="164">
        <f>IFERROR(VLOOKUP(SUBSTITUTE(SUBSTITUTE(SUBSTITUTE($NB112,"~","~~"),"*","~*"),"?","~?"),'DADOS_RESTRICOES'!$M$2:$Q$54,2,FALSE),"")</f>
        <v/>
      </c>
      <c r="OL112" s="164">
        <f>IFERROR(VLOOKUP(SUBSTITUTE(SUBSTITUTE(SUBSTITUTE($NC112,"~","~~"),"*","~*"),"?","~?"),'DADOS_RESTRICOES'!$M$2:$Q$54,2,FALSE),"")</f>
        <v/>
      </c>
      <c r="OM112" s="164">
        <f>COUNTIF($NS112:$NW112,1)</f>
        <v/>
      </c>
      <c r="ON112" s="164">
        <f>COUNTIF($NS112:$NW112,2)</f>
        <v/>
      </c>
      <c r="OO112" s="164">
        <f>COUNTIF($NS112:$NW112,3)</f>
        <v/>
      </c>
      <c r="OP112" s="164">
        <f>COUNTIF($NS112:$NW112,4)</f>
        <v/>
      </c>
      <c r="OQ112" s="164">
        <f>COUNTIF($NS112:$NW112,5)</f>
        <v/>
      </c>
      <c r="OR112" s="164">
        <f>COUNTIF($NS112:$NW112,6)</f>
        <v/>
      </c>
      <c r="OS112" s="164">
        <f>COUNTIF($OI112:$OJ112,1)+IF(IFERROR(INDEX('DADOS_FORMAS'!$AS$2:$AS$21,MATCH(SUBSTITUTE(SUBSTITUTE(SUBSTITUTE($MU112,"~","~~"),"*","~*"),"?","~?"),'DADOS_FORMAS'!$AH$2:$AH$21,0)),"")="",0,IFERROR(N(VLOOKUP(SUBSTITUTE(SUBSTITUTE(SUBSTITUTE(IFERROR(INDEX('DADOS_FORMAS'!$AS$2:$AS$21,MATCH(SUBSTITUTE(SUBSTITUTE(SUBSTITUTE($MU112,"~","~~"),"*","~*"),"?","~?"),'DADOS_FORMAS'!$AH$2:$AH$21,0)),""),"~","~~"),"*","~*"),"?","~?"),'DADOS_RESTRICOES'!$M$2:$Q$54,3,FALSE)=1),0))</f>
        <v/>
      </c>
      <c r="OT112" s="164">
        <f>COUNTIF($OI112:$OJ112,2)+IF(IFERROR(INDEX('DADOS_FORMAS'!$AS$2:$AS$21,MATCH(SUBSTITUTE(SUBSTITUTE(SUBSTITUTE($MU112,"~","~~"),"*","~*"),"?","~?"),'DADOS_FORMAS'!$AH$2:$AH$21,0)),"")="",0,IFERROR(N(VLOOKUP(SUBSTITUTE(SUBSTITUTE(SUBSTITUTE(IFERROR(INDEX('DADOS_FORMAS'!$AS$2:$AS$21,MATCH(SUBSTITUTE(SUBSTITUTE(SUBSTITUTE($MU112,"~","~~"),"*","~*"),"?","~?"),'DADOS_FORMAS'!$AH$2:$AH$21,0)),""),"~","~~"),"*","~*"),"?","~?"),'DADOS_RESTRICOES'!$M$2:$Q$54,3,FALSE)=2),0))</f>
        <v/>
      </c>
      <c r="OU112" s="164">
        <f>COUNTIF($MX112:$NA112,"?*")</f>
        <v/>
      </c>
      <c r="OV112" s="164">
        <f>COUNTIF($NB112:$NC112,"?*")+$OF112</f>
        <v/>
      </c>
      <c r="OW112" s="164">
        <f>IF($MS112=0,0,SUMPRODUCT($OM112:$OR112,INDEX($I$2:$N$8,MAX(1,$MS112),0)))</f>
        <v/>
      </c>
      <c r="OX112" s="164">
        <f>IF($MS112=0,0,$OS112*CEILING($MS112/2,1)+$OT112*$MS112)</f>
        <v/>
      </c>
      <c r="OY112" s="164">
        <f>MIN(2*$MS112,$OX112)</f>
        <v/>
      </c>
      <c r="OZ112" s="164">
        <f>MIN($OY112,$OW112-IF($NS112=0,0,INDEX($I$2:$N$8,MAX(1,$MS112),$NS112)))</f>
        <v/>
      </c>
      <c r="PA112" s="164">
        <f>$OY112-$OZ112</f>
        <v/>
      </c>
      <c r="PB112" s="164">
        <f>IF($MS112=0,0,INDEX($P$2:$P$8,MAX(1,$MS112)))</f>
        <v/>
      </c>
      <c r="PC112" s="164">
        <f>$PB112-$OW112+$OZ112</f>
        <v/>
      </c>
      <c r="PD112" s="164">
        <f>IF($MS112=0,MAX(0,$NG112-IF(AND($OU112&gt;0,COUNTIF($NB112:$NC112,"?*")=0),1,0)),MAX(0,$PC112))</f>
        <v/>
      </c>
      <c r="PE112" s="164">
        <f>IF($MS112=0,0,(IF(COUNTIF($RK112:$RN112,"Salto")&gt;0,1,0)+IF(COUNTIF($RK112:$RN112,"Queima")&gt;0,1,0)+IF(COUNTIF($RK112:$RN112,"Estilhaço")&gt;0,1,0))*FLOOR($PD112/2,1))</f>
        <v/>
      </c>
      <c r="PF112" s="164">
        <f>MAX(0,2-SUMPRODUCT($OM112:$OR112,$I$2:$N$2)+MIN(2,$OS112*1+$OT112*1,SUMPRODUCT($OM112:$OR112,$I$2:$N$2)-IF($NS112=0,0,INDEX($I$2:$N$2,1,$NS112))))</f>
        <v/>
      </c>
      <c r="PG112" s="164">
        <f>MAX(0,4-SUMPRODUCT($OM112:$OR112,$I$3:$N$3)+MIN(4,$OS112*1+$OT112*2,SUMPRODUCT($OM112:$OR112,$I$3:$N$3)-IF($NS112=0,0,INDEX($I$3:$N$3,1,$NS112))))</f>
        <v/>
      </c>
      <c r="PH112" s="164">
        <f>MAX(0,6-SUMPRODUCT($OM112:$OR112,$I$4:$N$4)+MIN(6,$OS112*2+$OT112*3,SUMPRODUCT($OM112:$OR112,$I$4:$N$4)-IF($NS112=0,0,INDEX($I$4:$N$4,1,$NS112))))</f>
        <v/>
      </c>
      <c r="PI112" s="164">
        <f>MAX(0,9-SUMPRODUCT($OM112:$OR112,$I$5:$N$5)+MIN(8,$OS112*2+$OT112*4,SUMPRODUCT($OM112:$OR112,$I$5:$N$5)-IF($NS112=0,0,INDEX($I$5:$N$5,1,$NS112))))</f>
        <v/>
      </c>
      <c r="PJ112" s="164">
        <f>MAX(0,11-SUMPRODUCT($OM112:$OR112,$I$6:$N$6)+MIN(10,$OS112*3+$OT112*5,SUMPRODUCT($OM112:$OR112,$I$6:$N$6)-IF($NS112=0,0,INDEX($I$6:$N$6,1,$NS112))))</f>
        <v/>
      </c>
      <c r="PK112" s="164">
        <f>MAX(0,13-SUMPRODUCT($OM112:$OR112,$I$7:$N$7)+MIN(12,$OS112*3+$OT112*6,SUMPRODUCT($OM112:$OR112,$I$7:$N$7)-IF($NS112=0,0,INDEX($I$7:$N$7,1,$NS112))))</f>
        <v/>
      </c>
      <c r="PL112" s="164">
        <f>MAX(0,16-SUMPRODUCT($OM112:$OR112,$I$8:$N$8)+MIN(14,$OS112*4+$OT112*7,SUMPRODUCT($OM112:$OR112,$I$8:$N$8)-IF($NS112=0,0,INDEX($I$8:$N$8,1,$NS112))))</f>
        <v/>
      </c>
      <c r="PM112" s="164">
        <f>IF($OG112=2,3*$PF112&amp;" de vida temp.",IF($OG112=3,"sem dano",IF($PF112=0,IF($OG112=1,"sem cura","sem dano"),IF($OG112=1,"cura ","")&amp;$PF112&amp;"d8")))</f>
        <v/>
      </c>
      <c r="PN112" s="164">
        <f>IF($OG112=2,3*$PG112&amp;" de vida temp.",IF($OG112=3,"sem dano",IF($PG112=0,IF($OG112=1,"sem cura","sem dano"),IF($OG112=1,"cura ","")&amp;$PG112&amp;"d8")))</f>
        <v/>
      </c>
      <c r="PO112" s="164">
        <f>IF($OG112=2,3*$PH112&amp;" de vida temp.",IF($OG112=3,"sem dano",IF($PH112=0,IF($OG112=1,"sem cura","sem dano"),IF($OG112=1,"cura ","")&amp;$PH112&amp;"d8")))</f>
        <v/>
      </c>
      <c r="PP112" s="164">
        <f>IF($OG112=2,3*$PI112&amp;" de vida temp.",IF($OG112=3,"sem dano",IF($PI112=0,IF($OG112=1,"sem cura","sem dano"),IF($OG112=1,"cura ","")&amp;$PI112&amp;"d8")))</f>
        <v/>
      </c>
      <c r="PQ112" s="164">
        <f>IF($OG112=2,3*$PJ112&amp;" de vida temp.",IF($OG112=3,"sem dano",IF($PJ112=0,IF($OG112=1,"sem cura","sem dano"),IF($OG112=1,"cura ","")&amp;$PJ112&amp;"d8")))</f>
        <v/>
      </c>
      <c r="PR112" s="164">
        <f>IF($OG112=2,3*$PK112&amp;" de vida temp.",IF($OG112=3,"sem dano",IF($PK112=0,IF($OG112=1,"sem cura","sem dano"),IF($OG112=1,"cura ","")&amp;$PK112&amp;"d8")))</f>
        <v/>
      </c>
      <c r="PS112" s="164">
        <f>IF($OG112=2,3*$PL112&amp;" de vida temp.",IF($OG112=3,"sem dano",IF($PL112=0,IF($OG112=1,"sem cura","sem dano"),IF($OG112=1,"cura ","")&amp;$PL112&amp;"d8")))</f>
        <v/>
      </c>
      <c r="PT112" s="164">
        <f>IF($ND112=0,"",TEXTJOIN(" · ",TRUE,IF($ND112=0,"",TEXTJOIN(" · ",TRUE,IF($ND112=0,"",TEXTJOIN(" · ",TRUE,IF($MQ112&gt;$NE112,"Este lugar abre no nível "&amp;$MQ112,""),IF($MS112&gt;$NF112,"Classe "&amp;$MS112&amp;": o nível "&amp;$NE112&amp;" libera até a "&amp;$NF112,""),IF($NX112=1,"A Forma "&amp;$MU112&amp;" pede "&amp;INDEX('DADOS_FORMAS'!$GA$2:$GA$21,$NJ112)&amp;" aberta",""),IF(AND($MS112=0,$NJ112&gt;0,IF($NJ112=0,0,INDEX('DADOS_FORMAS'!$GJ$2:$GJ$21,$NJ112))=0),$MU112&amp;" não existe na Classe 0",""),IF($NY112=1,"Família Fechada: "&amp;$MX112,""),IF($NZ112=1,"Família Fechada: "&amp;$MY112,""),IF($OA112=1,"Família Fechada: "&amp;$MZ112,""),IF($OB112=1,"Família Fechada: "&amp;$NA112,""),IF(AND($MS112&gt;0,$OU112&gt;INDEX($O$2:$O$8,MAX(1,$MS112))),$OU112&amp;" Melhorias: a Classe "&amp;$MS112&amp;" aceita "&amp;INDEX($O$2:$O$8,MAX(1,$MS112)),""),IF(AND($MS112=0,$OU112&gt;1),"A básica aceita uma Melhoria",""),IF(AND($MS112=0,COUNTIF($NO112:$NR112,"&gt;1")&gt;0),"A básica só aceita Melhoria Leve",""),IF(AND($MS112&gt;0,$OV112&gt;2),$OV112&amp;" Restrições"&amp;IF($OF112=1,", contando a que a Forma "&amp;$MU112&amp;" já traz","")&amp;": o limite é 2",""),IF(AND($MS112=0,COUNTIF($NB112:$NC112,"?*")&gt;1),"A básica aceita uma Restrição Leve",""),IF(AND($MS112=0,COUNTIF($OI112:$OJ112,2)&gt;0),"A básica só aceita Restrição Leve",""),IF(AND($MS112&gt;0,$PC112&lt;0),"Orçamento estourado: faltam "&amp;(-$PC112)&amp;IF($PC112&lt;-1," pontos"," ponto"),""),IF(IFERROR(VLOOKUP(SUBSTITUTE(SUBSTITUTE(SUBSTITUTE($NB112,"~","~~"),"*","~*"),"?","~?"),'DADOS_RESTRICOES'!$M$2:$Q$54,4,FALSE),0)+IFERROR(VLOOKUP(SUBSTITUTE(SUBSTITUTE(SUBSTITUTE($NC112,"~","~~"),"*","~*"),"?","~?"),'DADOS_RESTRICOES'!$M$2:$Q$54,4,FALSE),0)&gt;1,$OK112&amp;" e "&amp;$OL112&amp;" são as duas de frequência",""),IF(AND((COUNTIF($RK112:$RN112,"Rápido")+COUNTIF($OK112:$OL112,"Rápido"))&gt;0,(COUNTIF($MX112:$NA112,"Atrasar")+COUNTIF($OK112:$OL112,"Atrasar"))&gt;0),"Rápido não entra com Atrasar",""),IF(AND((COUNTIF($RK112:$RN112,"Reação")+COUNTIF($OK112:$OL112,"Reação"))&gt;0,(COUNTIF($RK112:$RN112,"Rápido")+COUNTIF($OK112:$OL112,"Rápido"))&gt;0),"Reação não entra com Rápido",""),IF(AND((COUNTIF($RK112:$RN112,"Reação")+COUNTIF($OK112:$OL112,"Reação"))&gt;0,(COUNTIF($RK112:$RN112,"Armado")+COUNTIF($OK112:$OL112,"Armado"))&gt;0),"Reação não entra com Armado",""),IF(AND((COUNTIF($RK112:$RN112,"Reação")+COUNTIF($OK112:$OL112,"Reação"))&gt;0,(COUNTIF($MX112:$NA112,"Atrasar")+COUNTIF($OK112:$OL112,"Atrasar"))&gt;0),"Reação não entra com Atrasar",""),IF(AND((COUNTIF($RK112:$RN112,"Reação")+COUNTIF($OK112:$OL112,"Reação"))&gt;0,(COUNTIF($MX112:$NA112,"Parado")+COUNTIF($OK112:$OL112,"Parado"))&gt;0),"Reação não entra com Parado",""),IF(AND((COUNTIF($MX112:$NA112,"Atrasar")+COUNTIF($OK112:$OL112,"Atrasar"))&gt;0,(COUNTIF($MX112:$NA112,"Parado")+COUNTIF($OK112:$OL112,"Parado"))&gt;0),"Atrasar não entra com Parado",""),IF(AND((COUNTIF($RK112:$RN112,"Armado")+COUNTIF($OK112:$OL112,"Armado"))&gt;0,(COUNTIF($MX112:$NA112,"Carregar")+COUNTIF($OK112:$OL112,"Carregar"))&gt;0),"Armado não entra com Carregar",""),IF(AND(COUNTIF($OK112:$OL112,"Corpo a Corpo")&gt;0,$OF112=0,OR($RO112="Cone",$RO112="Linha")),"Corpo a Corpo não entra em "&amp;$MU112,""),IF(AND(COUNTIF($OK112:$OL112,"Corpo a Corpo")&gt;0,$RP112="Corpo a Corpo"),"A Forma "&amp;$MU112&amp;" já traz o Corpo a Corpo",""),IF(AND(COUNTIF($OK112:$OL112,"Tudo ou Nada")&gt;0,$OH112=0),"Tudo ou Nada só entra em habilidade de Teste de Resistência",""),IF(AND(COUNTIF($RK112:$RN112,"Inescapável")&gt;0,OR($OU112&gt;1,$OV112&gt;0)),"Inescapável não aceita outra peça",""),IF(AND($MS112&gt;0,$PD112*IF(COUNTIF($RK112:$RN112,"Remate")&gt;0,1.25,1)+$PE112&gt;4*$MS112),($PD112*IF(COUNTIF($RK112:$RN112,"Remate")&gt;0,1.25,1)+$PE112)&amp;" dados somando repetições"&amp;IF(COUNTIF($RK112:$RN112,"Remate")&gt;0," e o Remate","")&amp;": o teto da Classe "&amp;$MS112&amp;" é "&amp;4*$MS112,""))),IF(AND($MX112&lt;&gt;"",COUNTIF('DADOS_MELHORIAS'!$O$2:$O$113,SUBSTITUTE(SUBSTITUTE(SUBSTITUTE($MX112,"~","~~"),"*","~*"),"?","~?"))=0),"Melhoria não cadastrada ou com erro: "&amp;$MX112,""),IF(AND($MY112&lt;&gt;"",COUNTIF('DADOS_MELHORIAS'!$O$2:$O$113,SUBSTITUTE(SUBSTITUTE(SUBSTITUTE($MY112,"~","~~"),"*","~*"),"?","~?"))=0),"Melhoria não cadastrada ou com erro: "&amp;$MY112,""),IF(AND($MZ112&lt;&gt;"",COUNTIF('DADOS_MELHORIAS'!$O$2:$O$113,SUBSTITUTE(SUBSTITUTE(SUBSTITUTE($MZ112,"~","~~"),"*","~*"),"?","~?"))=0),"Melhoria não cadastrada ou com erro: "&amp;$MZ112,""),IF(AND($NA112&lt;&gt;"",COUNTIF('DADOS_MELHORIAS'!$O$2:$O$113,SUBSTITUTE(SUBSTITUTE(SUBSTITUTE($NA112,"~","~~"),"*","~*"),"?","~?"))=0),"Melhoria não cadastrada ou com erro: "&amp;$NA112,""),IF(AND($NB112&lt;&gt;"",COUNTIF('DADOS_RESTRICOES'!$M$2:$M$54,SUBSTITUTE(SUBSTITUTE(SUBSTITUTE($NB112,"~","~~"),"*","~*"),"?","~?"))=0),"Restrição não cadastrada ou com erro: "&amp;$NB112,""),IF(AND($NC112&lt;&gt;"",COUNTIF('DADOS_RESTRICOES'!$M$2:$M$54,SUBSTITUTE(SUBSTITUTE(SUBSTITUTE($NC112,"~","~~"),"*","~*"),"?","~?"))=0),"Restrição não cadastrada ou com erro: "&amp;$NC112,""))),IF(AND($MU112&lt;&gt;"",COUNTIF('DADOS_FORMAS'!$AH$2:$AH$21,SUBSTITUTE(SUBSTITUTE(SUBSTITUTE($MU112,"~","~~"),"*","~*"),"?","~?"))=0),"Forma não cadastrada ou com erro: "&amp;$MU112,""),IF(AND(IFERROR(INDEX('DADOS_FORMAS'!$AS$2:$AS$21,MATCH(SUBSTITUTE(SUBSTITUTE(SUBSTITUTE($MU112,"~","~~"),"*","~*"),"?","~?"),'DADOS_FORMAS'!$AH$2:$AH$21,0)),"")&lt;&gt;"",OR(IFERROR(VLOOKUP(SUBSTITUTE(SUBSTITUTE(SUBSTITUTE(IFERROR(INDEX('DADOS_FORMAS'!$AS$2:$AS$21,MATCH(SUBSTITUTE(SUBSTITUTE(SUBSTITUTE($MU112,"~","~~"),"*","~*"),"?","~?"),'DADOS_FORMAS'!$AH$2:$AH$21,0)),""),"~","~~"),"*","~*"),"?","~?"),'DADOS_RESTRICOES'!$M$2:$Q$54,2,FALSE),"")=$OK112,IFERROR(VLOOKUP(SUBSTITUTE(SUBSTITUTE(SUBSTITUTE(IFERROR(INDEX('DADOS_FORMAS'!$AS$2:$AS$21,MATCH(SUBSTITUTE(SUBSTITUTE(SUBSTITUTE($MU112,"~","~~"),"*","~*"),"?","~?"),'DADOS_FORMAS'!$AH$2:$AH$21,0)),""),"~","~~"),"*","~*"),"?","~?"),'DADOS_RESTRICOES'!$M$2:$Q$54,2,FALSE),"")=$OL112)),"Restrição repetida, contando a embutida",""),IF(IF(IFERROR(INDEX('DADOS_FORMAS'!$AS$2:$AS$21,MATCH(SUBSTITUTE(SUBSTITUTE(SUBSTITUTE($MU112,"~","~~"),"*","~*"),"?","~?"),'DADOS_FORMAS'!$AH$2:$AH$21,0)),"")="",0,IFERROR(N(VLOOKUP(SUBSTITUTE(SUBSTITUTE(SUBSTITUTE(IFERROR(INDEX('DADOS_FORMAS'!$AS$2:$AS$21,MATCH(SUBSTITUTE(SUBSTITUTE(SUBSTITUTE($MU112,"~","~~"),"*","~*"),"?","~?"),'DADOS_FORMAS'!$AH$2:$AH$21,0)),""),"~","~~"),"*","~*"),"?","~?"),'DADOS_RESTRICOES'!$M$2:$Q$54,4,FALSE)=1),0))+IF($NB112="",0,IFERROR(N(VLOOKUP(SUBSTITUTE(SUBSTITUTE(SUBSTITUTE($NB112,"~","~~"),"*","~*"),"?","~?"),'DADOS_RESTRICOES'!$M$2:$Q$54,4,FALSE)=1),0))+IF($NC112="",0,IFERROR(N(VLOOKUP(SUBSTITUTE(SUBSTITUTE(SUBSTITUTE($NC112,"~","~~"),"*","~*"),"?","~?"),'DADOS_RESTRICOES'!$M$2:$Q$54,4,FALSE)=1),0))&gt;1,"Duas Restrições de frequência, contando a embutida",""),IF(AND(IFERROR(VLOOKUP(SUBSTITUTE(SUBSTITUTE(SUBSTITUTE(IFERROR(INDEX('DADOS_FORMAS'!$AS$2:$AS$21,MATCH(SUBSTITUTE(SUBSTITUTE(SUBSTITUTE($MU112,"~","~~"),"*","~*"),"?","~?"),'DADOS_FORMAS'!$AH$2:$AH$21,0)),""),"~","~~"),"*","~*"),"?","~?"),'DADOS_RESTRICOES'!$M$2:$Q$54,2,FALSE),"")="Tudo ou Nada",$OH112=0),"Tudo ou Nada exige TR",""),IF(AND(IFERROR(VLOOKUP(SUBSTITUTE(SUBSTITUTE(SUBSTITUTE(IFERROR(INDEX('DADOS_FORMAS'!$AS$2:$AS$21,MATCH(SUBSTITUTE(SUBSTITUTE(SUBSTITUTE($MU112,"~","~~"),"*","~*"),"?","~?"),'DADOS_FORMAS'!$AH$2:$AH$21,0)),""),"~","~~"),"*","~*"),"?","~?"),'DADOS_RESTRICOES'!$M$2:$Q$54,2,FALSE),"")="Corpo a Corpo",OR($RO112="Cone",$RO112="Linha")),"Corpo a Corpo não entra em Cone/Linha","")))</f>
        <v/>
      </c>
      <c r="PU112" s="164">
        <f>IF($PT112="",0,(LEN($PT112)-LEN(SUBSTITUTE($PT112," · ","")))/3+1)</f>
        <v/>
      </c>
      <c r="PV112" s="164">
        <f>IF($ND112=0,"",TEXTJOIN(" · ",TRUE,IF($OX112&gt;2*$MS112,"A devolução parou no teto de "&amp;2*$MS112,""),IF($PA112&gt;0,"Devolução perdida: "&amp;$PA112&amp;IF($PA112&gt;1," pontos"," ponto")&amp;" sem Melhoria para pagar",""),IF(AND($OC112&gt;0,AND($MS112&gt;0,$OG112=0),$PD112=0),"Controle sem dano: uma rodada a mais e CD +2",""),IF(AND($OC112&gt;0,AND($MS112&gt;0,$OG112=0),$PD112&gt;0,$PD112&lt;=$MS112),"Controle com saldo até a Classe: uma rodada a mais",""),IF(AND($MS112&gt;0,$OE112&lt;&gt;""),"Efeito de "&amp;$OE112&amp;" pela Classe "&amp;MAX(1,$MS112-1),"")))</f>
        <v/>
      </c>
      <c r="PW112" s="164">
        <f>IF($PV112="",0,(LEN($PV112)-LEN(SUBSTITUTE($PV112," · ","")))/3+1)</f>
        <v/>
      </c>
      <c r="PX112" s="164">
        <f>IF($ND112=0,IF($OU112+COUNTIF($NB112:$NC112,"?*")&gt;0,"Dê um nome",""),IF($PU112&gt;0,"⚠ "&amp;$PU112&amp;IF($PU112&gt;1," erros"," erro"),IF($PW112&gt;0,"! "&amp;$PW112&amp;IF($PW112&gt;1," avisos"," aviso"),"Na regra")))</f>
        <v/>
      </c>
      <c r="PY112" s="164">
        <f>IF($ND112=0,"",IF($PU112+$PW112=0,"Dentro das regras que a ficha confere",$PT112&amp;IF(AND($PU112&gt;0,$PW112&gt;0)," · ","")&amp;$PV112))</f>
        <v/>
      </c>
      <c r="PZ112" s="164">
        <f>IF($MQ112&gt;$NE112,$MR112&amp;" · ABRE NO NÍVEL "&amp;$MQ112,$MR112)</f>
        <v/>
      </c>
      <c r="QA112" s="164">
        <f>IF($ND112=0,"",IF($MS112=0,"Sem PE",3*$MS112&amp;" PE"))</f>
        <v/>
      </c>
      <c r="QB112" s="164">
        <f>IF($ND112=0,"",IF($MS112=0,"A atuação básica dela",IF(COUNTIF($RQ112:$RS112,"Atrasar")&gt;0,"Sua Ação Completa",IF(COUNTIF($RK112:$RN112,"Rápido")&gt;0,"Sua Bônus",IF(COUNTIF($RK112:$RN112,"Reação")&gt;0,"Sua Reação","Sua Padrão")))&amp;" + a básica dela"&amp;IF(COUNTIF($RK112:$RN112,"Reação")&gt;0," e a coletiva","")&amp;IF(COUNTIF($RQ112:$RS112,"Carregar")&gt;0," · em dois turnos","")))</f>
        <v/>
      </c>
      <c r="QC112" s="164">
        <f>IF($MW112&lt;&gt;"",$MW112,IF($NJ112=0,"",INDEX('DADOS_FORMAS'!$GE$2:$GE$21,$NJ112)))</f>
        <v/>
      </c>
      <c r="QD112" s="164">
        <f>IF(OR($ND112=0,$NJ112=0),"",IF(COUNTIF($RK112:$RN112,"Inescapável")&gt;0,"Automático",IF($QC112="Ataque",IF($NH112="","Ataque","Ataque "&amp;IF(($NH112+2*IF(COUNTIF($RK112:$RN112,"Precisão")&gt;0,1,0))&gt;=0,"+","−")&amp;ABS(($NH112+2*IF(COUNTIF($RK112:$RN112,"Precisão")&gt;0,1,0))))&amp;IF($OD112&gt;0," · TR"&amp;IF($NI112="",""," CD "&amp;$NI112),""),IF(LEFT($QC112,2)="TR",$QC112&amp;IF($NI112="",""," · CD "&amp;$NI112)&amp;IF(COUNTIF($RK112:$RN112,"Certeiro")&gt;0," · metade",""),"Sem rolagem"))))</f>
        <v/>
      </c>
      <c r="QE112" s="164">
        <f>IF(OR($ND112=0,$NJ112=0),"",IF($MS112=0,IF(OR($OG112&gt;=1,$PD112=0),"Sem dano",$PD112&amp;"d6"&amp;IF($MV112="",""," "&amp;$MV112)),IF(OR($OG112&gt;=1,$PD112=0),UPPER(LEFT(INDEX($PM112:$PS112,1,MAX(1,$MS112)),1))&amp;MID(INDEX($PM112:$PS112,1,MAX(1,$MS112)),2,99),UPPER(LEFT(INDEX($PM112:$PS112,1,MAX(1,$MS112)),1))&amp;MID(INDEX($PM112:$PS112,1,MAX(1,$MS112)),2,99)&amp;IF($MV112="",""," "&amp;$MV112)&amp;IF($PE112&gt;0," · +"&amp;$PE112&amp;"d8",""))))</f>
        <v/>
      </c>
      <c r="QF112" s="164">
        <f>COUNTIF($RK112:$RN112,"Longe")+3*COUNTIF($RK112:$RN112,"Muito Longe")</f>
        <v/>
      </c>
      <c r="QG112" s="164">
        <f>COUNTIF($RK112:$RN112,"Maior")+3*COUNTIF($RK112:$RN112,"Muito Maior")</f>
        <v/>
      </c>
      <c r="QH112" s="164">
        <f>IF($NJ112=0,0,CHOOSE(1+INDEX('DADOS_FORMAS'!$GG$2:$GG$21,$NJ112),0,$QF112,$QG112,$QF112+$QG112))</f>
        <v/>
      </c>
      <c r="QI112" s="164">
        <f>IF($NJ112=0,0,CHOOSE(1+INDEX('DADOS_FORMAS'!$GH$2:$GH$21,$NJ112),0,$QF112,$QG112,$QF112+$QG112))</f>
        <v/>
      </c>
      <c r="QJ112" s="164">
        <f>IF(OR($ND112=0,$NJ112=0),"",INDEX('DADOS_FORMAS'!$HU$2:$HZ$81,($NJ112-1)*4+IF($MS112=0,1,IF($MS112&lt;=5,2,IF($MS112=6,3,4))),1+MIN(5,$QH112))&amp;INDEX('DADOS_FORMAS'!$IA$2:$IF$81,($NJ112-1)*4+IF($MS112=0,1,IF($MS112&lt;=5,2,IF($MS112=6,3,4))),1+MIN(5,$QI112))&amp;IF(INDEX('DADOS_FORMAS'!$GI$2:$GI$21,$NJ112)=1,IF(COUNTIF($RK112:$RN112,"Mais Um")&gt;0," · +"&amp;COUNTIF($RK112:$RN112,"Mais Um")&amp;IF(COUNTIF($RK112:$RN112,"Mais Um")&gt;1," alvos"," alvo"),"")&amp;IF(COUNTIF($RK112:$RN112,"Rajada")&gt;0,IF($MS112=0," · 1 tiro"," · "&amp;(MAX(1,$MS112-1)+1)&amp;" tiros"),""),""))</f>
        <v/>
      </c>
      <c r="QK112" s="164">
        <f>IF($ND112=0,"",IF($MS112=0,$NG112&amp;"d6"&amp;IF($OU112&gt;0," − 1 = "&amp;$PD112&amp;"d6"," da básica do nível "&amp;$NE112),$PB112&amp;" − "&amp;$OW112&amp;" + "&amp;$OZ112&amp;" = "&amp;$PC112&amp;" · teto "&amp;4*$MS112&amp;"d8"&amp;IF($OF112=1," · a Forma devolve "&amp;$MS112,"")&amp;IF($PA112&gt;0," · perde "&amp;$PA112,"")))</f>
        <v/>
      </c>
      <c r="QL112" s="164">
        <f>IF($ND112=0,"",IF($MS112=0,"A básica não amplia: os dados dela sobem com o nível",IF($MS112&gt;=$NF112,"Já está na maior Classe que o nível liberou",TEXTJOIN(" · ",TRUE,IF(AND(2&gt;$MS112,2&lt;=$NF112),"2 → "&amp;$PN112&amp;", 6 PE",""),IF(AND(3&gt;$MS112,3&lt;=$NF112),"3 → "&amp;$PO112&amp;", 9 PE",""),IF(AND(4&gt;$MS112,4&lt;=$NF112),"4 → "&amp;$PP112&amp;", 12 PE",""),IF(AND(5&gt;$MS112,5&lt;=$NF112),"5 → "&amp;$PQ112&amp;", 15 PE",""),IF(AND(6&gt;$MS112,6&lt;=$NF112),"6 → "&amp;$PR112&amp;", 18 PE",""),IF(AND(7&gt;$MS112,7&lt;=$NF112),"7 → "&amp;$PS112&amp;", 21 PE","")))))</f>
        <v/>
      </c>
      <c r="QM112" s="164">
        <f>IF(OR($ND112=0,$NO112=0),"",IF($MS112=0,"−1 dado","−"&amp;INDEX($I$2:$N$8,MAX(1,$MS112),MAX(1,$NT112))&amp;" · "&amp;CHOOSE(MAX(1,$NT112),"Leve","Média","Pesada","Leve · Livre","Média · Livre","Pesada · Livre")))</f>
        <v/>
      </c>
      <c r="QN112" s="164">
        <f>IF(OR($ND112=0,$NP112=0),"",IF($MS112=0,"−1 dado","−"&amp;INDEX($I$2:$N$8,MAX(1,$MS112),MAX(1,$NU112))&amp;" · "&amp;CHOOSE(MAX(1,$NU112),"Leve","Média","Pesada","Leve · Livre","Média · Livre","Pesada · Livre")))</f>
        <v/>
      </c>
      <c r="QO112" s="164">
        <f>IF(OR($ND112=0,$NQ112=0),"",IF($MS112=0,"−1 dado","−"&amp;INDEX($I$2:$N$8,MAX(1,$MS112),MAX(1,$NV112))&amp;" · "&amp;CHOOSE(MAX(1,$NV112),"Leve","Média","Pesada","Leve · Livre","Média · Livre","Pesada · Livre")))</f>
        <v/>
      </c>
      <c r="QP112" s="164">
        <f>IF(OR($ND112=0,$NR112=0),"",IF($MS112=0,"−1 dado","−"&amp;INDEX($I$2:$N$8,MAX(1,$MS112),MAX(1,$NW112))&amp;" · "&amp;CHOOSE(MAX(1,$NW112),"Leve","Média","Pesada","Leve · Livre","Média · Livre","Pesada · Livre")))</f>
        <v/>
      </c>
      <c r="QQ112" s="164">
        <f>IF(OR($ND112=0,$NB112=""),"",IF($MS112=0,"não devolve","+"&amp;IF($OI112=1,CEILING($MS112/2,1),$MS112)))</f>
        <v/>
      </c>
      <c r="QR112" s="164">
        <f>IF(OR($ND112=0,$NC112=""),"",IF($MS112=0,"não devolve","+"&amp;IF($OJ112=1,CEILING($MS112/2,1),$MS112)))</f>
        <v/>
      </c>
      <c r="RK112">
        <f>IF($MX112="","",IFERROR(VLOOKUP(SUBSTITUTE(SUBSTITUTE(SUBSTITUTE($MX112,"~","~~"),"*","~*"),"?","~?"),'DADOS_MELHORIAS'!$O$2:$X$113,10,FALSE),$MX112))</f>
        <v/>
      </c>
      <c r="RL112">
        <f>IF($MY112="","",IFERROR(VLOOKUP(SUBSTITUTE(SUBSTITUTE(SUBSTITUTE($MY112,"~","~~"),"*","~*"),"?","~?"),'DADOS_MELHORIAS'!$O$2:$X$113,10,FALSE),$MY112))</f>
        <v/>
      </c>
      <c r="RM112">
        <f>IF($MZ112="","",IFERROR(VLOOKUP(SUBSTITUTE(SUBSTITUTE(SUBSTITUTE($MZ112,"~","~~"),"*","~*"),"?","~?"),'DADOS_MELHORIAS'!$O$2:$X$113,10,FALSE),$MZ112))</f>
        <v/>
      </c>
      <c r="RN112">
        <f>IF($NA112="","",IFERROR(VLOOKUP(SUBSTITUTE(SUBSTITUTE(SUBSTITUTE($NA112,"~","~~"),"*","~*"),"?","~?"),'DADOS_MELHORIAS'!$O$2:$X$113,10,FALSE),$NA112))</f>
        <v/>
      </c>
      <c r="RO112">
        <f>IFERROR(INDEX('DADOS_FORMAS'!$BJ$2:$BJ$21,MATCH(SUBSTITUTE(SUBSTITUTE(SUBSTITUTE($MU112,"~","~~"),"*","~*"),"?","~?"),'DADOS_FORMAS'!$AH$2:$AH$21,0)),"")</f>
        <v/>
      </c>
      <c r="RP112">
        <f>IFERROR(VLOOKUP(SUBSTITUTE(SUBSTITUTE(SUBSTITUTE(IFERROR(INDEX('DADOS_FORMAS'!$AS$2:$AS$21,MATCH(SUBSTITUTE(SUBSTITUTE(SUBSTITUTE($MU112,"~","~~"),"*","~*"),"?","~?"),'DADOS_FORMAS'!$AH$2:$AH$21,0)),""),"~","~~"),"*","~*"),"?","~?"),'DADOS_RESTRICOES'!$M$2:$Q$54,2,FALSE),"")</f>
        <v/>
      </c>
      <c r="RQ112">
        <f>$OK112</f>
        <v/>
      </c>
      <c r="RR112">
        <f>$OL112</f>
        <v/>
      </c>
      <c r="RS112">
        <f>$RP112</f>
        <v/>
      </c>
    </row>
    <row r="113">
      <c r="MN113" s="162" t="inlineStr">
        <is>
          <t>Ficha 9 · Especial 6</t>
        </is>
      </c>
      <c r="MO113" s="164" t="n">
        <v>9</v>
      </c>
      <c r="MP113" s="164" t="n">
        <v>1</v>
      </c>
      <c r="MQ113" s="164" t="n">
        <v>20</v>
      </c>
      <c r="MR113" s="162" t="inlineStr">
        <is>
          <t>ESPECIAL 6</t>
        </is>
      </c>
      <c r="MS113" s="164">
        <f>MAX(1,MIN(7,N('INVOCAÇÕES'!$AH$549)))</f>
        <v/>
      </c>
      <c r="MT113" s="164">
        <f>'INVOCAÇÕES'!$AI$549&amp;""</f>
        <v/>
      </c>
      <c r="MU113" s="164">
        <f>'INVOCAÇÕES'!$AH$554&amp;""</f>
        <v/>
      </c>
      <c r="MV113" s="164">
        <f>'INVOCAÇÕES'!$AH$555&amp;""</f>
        <v/>
      </c>
      <c r="MW113" s="164">
        <f>'INVOCAÇÕES'!$AJ$555&amp;""</f>
        <v/>
      </c>
      <c r="MX113" s="164">
        <f>'INVOCAÇÕES'!$AI$558&amp;""</f>
        <v/>
      </c>
      <c r="MY113" s="164">
        <f>'INVOCAÇÕES'!$AI$559&amp;""</f>
        <v/>
      </c>
      <c r="MZ113" s="164">
        <f>'INVOCAÇÕES'!$AI$560&amp;""</f>
        <v/>
      </c>
      <c r="NA113" s="164">
        <f>'INVOCAÇÕES'!$AI$561&amp;""</f>
        <v/>
      </c>
      <c r="NB113" s="164">
        <f>'INVOCAÇÕES'!$AI$562&amp;""</f>
        <v/>
      </c>
      <c r="NC113" s="164">
        <f>'INVOCAÇÕES'!$AI$563&amp;""</f>
        <v/>
      </c>
      <c r="ND113" s="164">
        <f>IF($MT113&lt;&gt;"",1,0)</f>
        <v/>
      </c>
      <c r="NE113" s="164">
        <f>INDEX($FO$2:$FO$13,$MO113)</f>
        <v/>
      </c>
      <c r="NF113" s="164">
        <f>INDEX($FP$2:$FP$13,$MO113)</f>
        <v/>
      </c>
      <c r="NG113" s="164">
        <f>INDEX($FQ$2:$FQ$13,$MO113)</f>
        <v/>
      </c>
      <c r="NH113" s="164">
        <f>INDEX($GB$2:$GB$13,$MO113)</f>
        <v/>
      </c>
      <c r="NI113" s="164">
        <f>INDEX($GC$2:$GC$13,$MO113)</f>
        <v/>
      </c>
      <c r="NJ113" s="164">
        <f>IFERROR(MATCH(SUBSTITUTE(SUBSTITUTE(SUBSTITUTE($MU113,"~","~~"),"*","~*"),"?","~?"),'DADOS_FORMAS'!$FZ$2:$FZ$21,0),0)</f>
        <v/>
      </c>
      <c r="NK113" s="164">
        <f>IFERROR(VLOOKUP(SUBSTITUTE(SUBSTITUTE(SUBSTITUTE($MX113,"~","~~"),"*","~*"),"?","~?"),'DADOS_MELHORIAS'!$AG$2:$AL$113,2,FALSE),"")</f>
        <v/>
      </c>
      <c r="NL113" s="164">
        <f>IFERROR(VLOOKUP(SUBSTITUTE(SUBSTITUTE(SUBSTITUTE($MY113,"~","~~"),"*","~*"),"?","~?"),'DADOS_MELHORIAS'!$AG$2:$AL$113,2,FALSE),"")</f>
        <v/>
      </c>
      <c r="NM113" s="164">
        <f>IFERROR(VLOOKUP(SUBSTITUTE(SUBSTITUTE(SUBSTITUTE($MZ113,"~","~~"),"*","~*"),"?","~?"),'DADOS_MELHORIAS'!$AG$2:$AL$113,2,FALSE),"")</f>
        <v/>
      </c>
      <c r="NN113" s="164">
        <f>IFERROR(VLOOKUP(SUBSTITUTE(SUBSTITUTE(SUBSTITUTE($NA113,"~","~~"),"*","~*"),"?","~?"),'DADOS_MELHORIAS'!$AG$2:$AL$113,2,FALSE),"")</f>
        <v/>
      </c>
      <c r="NO113" s="164">
        <f>IFERROR(VLOOKUP(SUBSTITUTE(SUBSTITUTE(SUBSTITUTE($MX113,"~","~~"),"*","~*"),"?","~?"),'DADOS_MELHORIAS'!$AG$2:$AL$113,3,FALSE),0)</f>
        <v/>
      </c>
      <c r="NP113" s="164">
        <f>IFERROR(VLOOKUP(SUBSTITUTE(SUBSTITUTE(SUBSTITUTE($MY113,"~","~~"),"*","~*"),"?","~?"),'DADOS_MELHORIAS'!$AG$2:$AL$113,3,FALSE),0)</f>
        <v/>
      </c>
      <c r="NQ113" s="164">
        <f>IFERROR(VLOOKUP(SUBSTITUTE(SUBSTITUTE(SUBSTITUTE($MZ113,"~","~~"),"*","~*"),"?","~?"),'DADOS_MELHORIAS'!$AG$2:$AL$113,3,FALSE),0)</f>
        <v/>
      </c>
      <c r="NR113" s="164">
        <f>IFERROR(VLOOKUP(SUBSTITUTE(SUBSTITUTE(SUBSTITUTE($NA113,"~","~~"),"*","~*"),"?","~?"),'DADOS_MELHORIAS'!$AG$2:$AL$113,3,FALSE),0)</f>
        <v/>
      </c>
      <c r="NS113" s="164">
        <f>IF($MS113=0,0,IF($NJ113=0,0,INDEX('DADOS_FORMAS'!$GB$2:$GB$21,$NJ113)))</f>
        <v/>
      </c>
      <c r="NT113" s="164">
        <f>IF(OR($NO113=0,$MS113=0),0,$NO113+3*IF(AND($NK113&lt;&gt;"",COUNTIF(INDEX($RB$2:$RJ$13,$MO113,0),$NK113)&gt;0),1,0))</f>
        <v/>
      </c>
      <c r="NU113" s="164">
        <f>IF(OR($NP113=0,$MS113=0),0,$NP113+3*IF(AND($NL113&lt;&gt;"",COUNTIF(INDEX($RB$2:$RJ$13,$MO113,0),$NL113)&gt;0),1,0))</f>
        <v/>
      </c>
      <c r="NV113" s="164">
        <f>IF(OR($NQ113=0,$MS113=0),0,$NQ113+3*IF(AND($NM113&lt;&gt;"",COUNTIF(INDEX($RB$2:$RJ$13,$MO113,0),$NM113)&gt;0),1,0))</f>
        <v/>
      </c>
      <c r="NW113" s="164">
        <f>IF(OR($NR113=0,$MS113=0),0,$NR113+3*IF(AND($NN113&lt;&gt;"",COUNTIF(INDEX($RB$2:$RJ$13,$MO113,0),$NN113)&gt;0),1,0))</f>
        <v/>
      </c>
      <c r="NX113" s="164">
        <f>IF($NJ113=0,0,IF(INDEX('DADOS_FORMAS'!$GA$2:$GA$21,$NJ113)="",0,IF((COUNTIF(INDEX($EL$2:$EP$13,$MO113,0),INDEX('DADOS_FORMAS'!$GA$2:$GA$21,$NJ113))+COUNTIF(INDEX($QV$2:$QY$13,$MO113,0),INDEX('DADOS_FORMAS'!$GA$2:$GA$21,$NJ113)))=0,1,0)))</f>
        <v/>
      </c>
      <c r="NY113" s="164">
        <f>IF(OR($NO113=0,$NK113=""),0,IF((COUNTIF(INDEX($EL$2:$EP$13,$MO113,0),$NK113)+COUNTIF(INDEX($QV$2:$QY$13,$MO113,0),$NK113))=0,1,0))</f>
        <v/>
      </c>
      <c r="NZ113" s="164">
        <f>IF(OR($NP113=0,$NL113=""),0,IF((COUNTIF(INDEX($EL$2:$EP$13,$MO113,0),$NL113)+COUNTIF(INDEX($QV$2:$QY$13,$MO113,0),$NL113))=0,1,0))</f>
        <v/>
      </c>
      <c r="OA113" s="164">
        <f>IF(OR($NQ113=0,$NM113=""),0,IF((COUNTIF(INDEX($EL$2:$EP$13,$MO113,0),$NM113)+COUNTIF(INDEX($QV$2:$QY$13,$MO113,0),$NM113))=0,1,0))</f>
        <v/>
      </c>
      <c r="OB113" s="164">
        <f>IF(OR($NR113=0,$NN113=""),0,IF((COUNTIF(INDEX($EL$2:$EP$13,$MO113,0),$NN113)+COUNTIF(INDEX($QV$2:$QY$13,$MO113,0),$NN113))=0,1,0))</f>
        <v/>
      </c>
      <c r="OC113" s="164">
        <f>IFERROR(VLOOKUP(SUBSTITUTE(SUBSTITUTE(SUBSTITUTE($MX113,"~","~~"),"*","~*"),"?","~?"),'DADOS_MELHORIAS'!$AG$2:$AL$113,4,FALSE),0)+IFERROR(VLOOKUP(SUBSTITUTE(SUBSTITUTE(SUBSTITUTE($MY113,"~","~~"),"*","~*"),"?","~?"),'DADOS_MELHORIAS'!$AG$2:$AL$113,4,FALSE),0)+IFERROR(VLOOKUP(SUBSTITUTE(SUBSTITUTE(SUBSTITUTE($MZ113,"~","~~"),"*","~*"),"?","~?"),'DADOS_MELHORIAS'!$AG$2:$AL$113,4,FALSE),0)+IFERROR(VLOOKUP(SUBSTITUTE(SUBSTITUTE(SUBSTITUTE($NA113,"~","~~"),"*","~*"),"?","~?"),'DADOS_MELHORIAS'!$AG$2:$AL$113,4,FALSE),0)</f>
        <v/>
      </c>
      <c r="OD113" s="164">
        <f>IFERROR(VLOOKUP(SUBSTITUTE(SUBSTITUTE(SUBSTITUTE($MX113,"~","~~"),"*","~*"),"?","~?"),'DADOS_MELHORIAS'!$AG$2:$AL$113,6,FALSE),0)+IFERROR(VLOOKUP(SUBSTITUTE(SUBSTITUTE(SUBSTITUTE($MY113,"~","~~"),"*","~*"),"?","~?"),'DADOS_MELHORIAS'!$AG$2:$AL$113,6,FALSE),0)+IFERROR(VLOOKUP(SUBSTITUTE(SUBSTITUTE(SUBSTITUTE($MZ113,"~","~~"),"*","~*"),"?","~?"),'DADOS_MELHORIAS'!$AG$2:$AL$113,6,FALSE),0)+IFERROR(VLOOKUP(SUBSTITUTE(SUBSTITUTE(SUBSTITUTE($NA113,"~","~~"),"*","~*"),"?","~?"),'DADOS_MELHORIAS'!$AG$2:$AL$113,6,FALSE),0)+IFERROR(N(AND(INDEX('DADOS_FORMAS'!$AO$2:$AO$21,MATCH(SUBSTITUTE(SUBSTITUTE(SUBSTITUTE($MU113,"~","~~"),"*","~*"),"?","~?"),'DADOS_FORMAS'!$AH$2:$AH$21,0))="Acerto",$OH113=1)),0)</f>
        <v/>
      </c>
      <c r="OE113" s="164">
        <f>TEXTJOIN(", ",TRUE,IF(IFERROR(VLOOKUP(SUBSTITUTE(SUBSTITUTE(SUBSTITUTE($MX113,"~","~~"),"*","~*"),"?","~?"),'DADOS_MELHORIAS'!$AG$2:$AL$113,5,FALSE),0)=1,$MX113,""),IF(IFERROR(VLOOKUP(SUBSTITUTE(SUBSTITUTE(SUBSTITUTE($MY113,"~","~~"),"*","~*"),"?","~?"),'DADOS_MELHORIAS'!$AG$2:$AL$113,5,FALSE),0)=1,$MY113,""),IF(IFERROR(VLOOKUP(SUBSTITUTE(SUBSTITUTE(SUBSTITUTE($MZ113,"~","~~"),"*","~*"),"?","~?"),'DADOS_MELHORIAS'!$AG$2:$AL$113,5,FALSE),0)=1,$MZ113,""),IF(IFERROR(VLOOKUP(SUBSTITUTE(SUBSTITUTE(SUBSTITUTE($NA113,"~","~~"),"*","~*"),"?","~?"),'DADOS_MELHORIAS'!$AG$2:$AL$113,5,FALSE),0)=1,$NA113,""))</f>
        <v/>
      </c>
      <c r="OF113" s="164">
        <f>IF($NJ113=0,0,INDEX('DADOS_FORMAS'!$GC$2:$GC$21,$NJ113))</f>
        <v/>
      </c>
      <c r="OG113" s="164">
        <f>IF($NJ113=0,0,INDEX('DADOS_FORMAS'!$GD$2:$GD$21,$NJ113))</f>
        <v/>
      </c>
      <c r="OH113" s="164">
        <f>IF($NJ113=0,0,INDEX('DADOS_FORMAS'!$GF$2:$GF$21,$NJ113))</f>
        <v/>
      </c>
      <c r="OI113" s="164">
        <f>IFERROR(VLOOKUP(SUBSTITUTE(SUBSTITUTE(SUBSTITUTE($NB113,"~","~~"),"*","~*"),"?","~?"),'DADOS_RESTRICOES'!$M$2:$Q$54,3,FALSE),0)</f>
        <v/>
      </c>
      <c r="OJ113" s="164">
        <f>IFERROR(VLOOKUP(SUBSTITUTE(SUBSTITUTE(SUBSTITUTE($NC113,"~","~~"),"*","~*"),"?","~?"),'DADOS_RESTRICOES'!$M$2:$Q$54,3,FALSE),0)</f>
        <v/>
      </c>
      <c r="OK113" s="164">
        <f>IFERROR(VLOOKUP(SUBSTITUTE(SUBSTITUTE(SUBSTITUTE($NB113,"~","~~"),"*","~*"),"?","~?"),'DADOS_RESTRICOES'!$M$2:$Q$54,2,FALSE),"")</f>
        <v/>
      </c>
      <c r="OL113" s="164">
        <f>IFERROR(VLOOKUP(SUBSTITUTE(SUBSTITUTE(SUBSTITUTE($NC113,"~","~~"),"*","~*"),"?","~?"),'DADOS_RESTRICOES'!$M$2:$Q$54,2,FALSE),"")</f>
        <v/>
      </c>
      <c r="OM113" s="164">
        <f>COUNTIF($NS113:$NW113,1)</f>
        <v/>
      </c>
      <c r="ON113" s="164">
        <f>COUNTIF($NS113:$NW113,2)</f>
        <v/>
      </c>
      <c r="OO113" s="164">
        <f>COUNTIF($NS113:$NW113,3)</f>
        <v/>
      </c>
      <c r="OP113" s="164">
        <f>COUNTIF($NS113:$NW113,4)</f>
        <v/>
      </c>
      <c r="OQ113" s="164">
        <f>COUNTIF($NS113:$NW113,5)</f>
        <v/>
      </c>
      <c r="OR113" s="164">
        <f>COUNTIF($NS113:$NW113,6)</f>
        <v/>
      </c>
      <c r="OS113" s="164">
        <f>COUNTIF($OI113:$OJ113,1)+IF(IFERROR(INDEX('DADOS_FORMAS'!$AS$2:$AS$21,MATCH(SUBSTITUTE(SUBSTITUTE(SUBSTITUTE($MU113,"~","~~"),"*","~*"),"?","~?"),'DADOS_FORMAS'!$AH$2:$AH$21,0)),"")="",0,IFERROR(N(VLOOKUP(SUBSTITUTE(SUBSTITUTE(SUBSTITUTE(IFERROR(INDEX('DADOS_FORMAS'!$AS$2:$AS$21,MATCH(SUBSTITUTE(SUBSTITUTE(SUBSTITUTE($MU113,"~","~~"),"*","~*"),"?","~?"),'DADOS_FORMAS'!$AH$2:$AH$21,0)),""),"~","~~"),"*","~*"),"?","~?"),'DADOS_RESTRICOES'!$M$2:$Q$54,3,FALSE)=1),0))</f>
        <v/>
      </c>
      <c r="OT113" s="164">
        <f>COUNTIF($OI113:$OJ113,2)+IF(IFERROR(INDEX('DADOS_FORMAS'!$AS$2:$AS$21,MATCH(SUBSTITUTE(SUBSTITUTE(SUBSTITUTE($MU113,"~","~~"),"*","~*"),"?","~?"),'DADOS_FORMAS'!$AH$2:$AH$21,0)),"")="",0,IFERROR(N(VLOOKUP(SUBSTITUTE(SUBSTITUTE(SUBSTITUTE(IFERROR(INDEX('DADOS_FORMAS'!$AS$2:$AS$21,MATCH(SUBSTITUTE(SUBSTITUTE(SUBSTITUTE($MU113,"~","~~"),"*","~*"),"?","~?"),'DADOS_FORMAS'!$AH$2:$AH$21,0)),""),"~","~~"),"*","~*"),"?","~?"),'DADOS_RESTRICOES'!$M$2:$Q$54,3,FALSE)=2),0))</f>
        <v/>
      </c>
      <c r="OU113" s="164">
        <f>COUNTIF($MX113:$NA113,"?*")</f>
        <v/>
      </c>
      <c r="OV113" s="164">
        <f>COUNTIF($NB113:$NC113,"?*")+$OF113</f>
        <v/>
      </c>
      <c r="OW113" s="164">
        <f>IF($MS113=0,0,SUMPRODUCT($OM113:$OR113,INDEX($I$2:$N$8,MAX(1,$MS113),0)))</f>
        <v/>
      </c>
      <c r="OX113" s="164">
        <f>IF($MS113=0,0,$OS113*CEILING($MS113/2,1)+$OT113*$MS113)</f>
        <v/>
      </c>
      <c r="OY113" s="164">
        <f>MIN(2*$MS113,$OX113)</f>
        <v/>
      </c>
      <c r="OZ113" s="164">
        <f>MIN($OY113,$OW113-IF($NS113=0,0,INDEX($I$2:$N$8,MAX(1,$MS113),$NS113)))</f>
        <v/>
      </c>
      <c r="PA113" s="164">
        <f>$OY113-$OZ113</f>
        <v/>
      </c>
      <c r="PB113" s="164">
        <f>IF($MS113=0,0,INDEX($P$2:$P$8,MAX(1,$MS113)))</f>
        <v/>
      </c>
      <c r="PC113" s="164">
        <f>$PB113-$OW113+$OZ113</f>
        <v/>
      </c>
      <c r="PD113" s="164">
        <f>IF($MS113=0,MAX(0,$NG113-IF(AND($OU113&gt;0,COUNTIF($NB113:$NC113,"?*")=0),1,0)),MAX(0,$PC113))</f>
        <v/>
      </c>
      <c r="PE113" s="164">
        <f>IF($MS113=0,0,(IF(COUNTIF($RK113:$RN113,"Salto")&gt;0,1,0)+IF(COUNTIF($RK113:$RN113,"Queima")&gt;0,1,0)+IF(COUNTIF($RK113:$RN113,"Estilhaço")&gt;0,1,0))*FLOOR($PD113/2,1))</f>
        <v/>
      </c>
      <c r="PF113" s="164">
        <f>MAX(0,2-SUMPRODUCT($OM113:$OR113,$I$2:$N$2)+MIN(2,$OS113*1+$OT113*1,SUMPRODUCT($OM113:$OR113,$I$2:$N$2)-IF($NS113=0,0,INDEX($I$2:$N$2,1,$NS113))))</f>
        <v/>
      </c>
      <c r="PG113" s="164">
        <f>MAX(0,4-SUMPRODUCT($OM113:$OR113,$I$3:$N$3)+MIN(4,$OS113*1+$OT113*2,SUMPRODUCT($OM113:$OR113,$I$3:$N$3)-IF($NS113=0,0,INDEX($I$3:$N$3,1,$NS113))))</f>
        <v/>
      </c>
      <c r="PH113" s="164">
        <f>MAX(0,6-SUMPRODUCT($OM113:$OR113,$I$4:$N$4)+MIN(6,$OS113*2+$OT113*3,SUMPRODUCT($OM113:$OR113,$I$4:$N$4)-IF($NS113=0,0,INDEX($I$4:$N$4,1,$NS113))))</f>
        <v/>
      </c>
      <c r="PI113" s="164">
        <f>MAX(0,9-SUMPRODUCT($OM113:$OR113,$I$5:$N$5)+MIN(8,$OS113*2+$OT113*4,SUMPRODUCT($OM113:$OR113,$I$5:$N$5)-IF($NS113=0,0,INDEX($I$5:$N$5,1,$NS113))))</f>
        <v/>
      </c>
      <c r="PJ113" s="164">
        <f>MAX(0,11-SUMPRODUCT($OM113:$OR113,$I$6:$N$6)+MIN(10,$OS113*3+$OT113*5,SUMPRODUCT($OM113:$OR113,$I$6:$N$6)-IF($NS113=0,0,INDEX($I$6:$N$6,1,$NS113))))</f>
        <v/>
      </c>
      <c r="PK113" s="164">
        <f>MAX(0,13-SUMPRODUCT($OM113:$OR113,$I$7:$N$7)+MIN(12,$OS113*3+$OT113*6,SUMPRODUCT($OM113:$OR113,$I$7:$N$7)-IF($NS113=0,0,INDEX($I$7:$N$7,1,$NS113))))</f>
        <v/>
      </c>
      <c r="PL113" s="164">
        <f>MAX(0,16-SUMPRODUCT($OM113:$OR113,$I$8:$N$8)+MIN(14,$OS113*4+$OT113*7,SUMPRODUCT($OM113:$OR113,$I$8:$N$8)-IF($NS113=0,0,INDEX($I$8:$N$8,1,$NS113))))</f>
        <v/>
      </c>
      <c r="PM113" s="164">
        <f>IF($OG113=2,3*$PF113&amp;" de vida temp.",IF($OG113=3,"sem dano",IF($PF113=0,IF($OG113=1,"sem cura","sem dano"),IF($OG113=1,"cura ","")&amp;$PF113&amp;"d8")))</f>
        <v/>
      </c>
      <c r="PN113" s="164">
        <f>IF($OG113=2,3*$PG113&amp;" de vida temp.",IF($OG113=3,"sem dano",IF($PG113=0,IF($OG113=1,"sem cura","sem dano"),IF($OG113=1,"cura ","")&amp;$PG113&amp;"d8")))</f>
        <v/>
      </c>
      <c r="PO113" s="164">
        <f>IF($OG113=2,3*$PH113&amp;" de vida temp.",IF($OG113=3,"sem dano",IF($PH113=0,IF($OG113=1,"sem cura","sem dano"),IF($OG113=1,"cura ","")&amp;$PH113&amp;"d8")))</f>
        <v/>
      </c>
      <c r="PP113" s="164">
        <f>IF($OG113=2,3*$PI113&amp;" de vida temp.",IF($OG113=3,"sem dano",IF($PI113=0,IF($OG113=1,"sem cura","sem dano"),IF($OG113=1,"cura ","")&amp;$PI113&amp;"d8")))</f>
        <v/>
      </c>
      <c r="PQ113" s="164">
        <f>IF($OG113=2,3*$PJ113&amp;" de vida temp.",IF($OG113=3,"sem dano",IF($PJ113=0,IF($OG113=1,"sem cura","sem dano"),IF($OG113=1,"cura ","")&amp;$PJ113&amp;"d8")))</f>
        <v/>
      </c>
      <c r="PR113" s="164">
        <f>IF($OG113=2,3*$PK113&amp;" de vida temp.",IF($OG113=3,"sem dano",IF($PK113=0,IF($OG113=1,"sem cura","sem dano"),IF($OG113=1,"cura ","")&amp;$PK113&amp;"d8")))</f>
        <v/>
      </c>
      <c r="PS113" s="164">
        <f>IF($OG113=2,3*$PL113&amp;" de vida temp.",IF($OG113=3,"sem dano",IF($PL113=0,IF($OG113=1,"sem cura","sem dano"),IF($OG113=1,"cura ","")&amp;$PL113&amp;"d8")))</f>
        <v/>
      </c>
      <c r="PT113" s="164">
        <f>IF($ND113=0,"",TEXTJOIN(" · ",TRUE,IF($ND113=0,"",TEXTJOIN(" · ",TRUE,IF($ND113=0,"",TEXTJOIN(" · ",TRUE,IF($MQ113&gt;$NE113,"Este lugar abre no nível "&amp;$MQ113,""),IF($MS113&gt;$NF113,"Classe "&amp;$MS113&amp;": o nível "&amp;$NE113&amp;" libera até a "&amp;$NF113,""),IF($NX113=1,"A Forma "&amp;$MU113&amp;" pede "&amp;INDEX('DADOS_FORMAS'!$GA$2:$GA$21,$NJ113)&amp;" aberta",""),IF(AND($MS113=0,$NJ113&gt;0,IF($NJ113=0,0,INDEX('DADOS_FORMAS'!$GJ$2:$GJ$21,$NJ113))=0),$MU113&amp;" não existe na Classe 0",""),IF($NY113=1,"Família Fechada: "&amp;$MX113,""),IF($NZ113=1,"Família Fechada: "&amp;$MY113,""),IF($OA113=1,"Família Fechada: "&amp;$MZ113,""),IF($OB113=1,"Família Fechada: "&amp;$NA113,""),IF(AND($MS113&gt;0,$OU113&gt;INDEX($O$2:$O$8,MAX(1,$MS113))),$OU113&amp;" Melhorias: a Classe "&amp;$MS113&amp;" aceita "&amp;INDEX($O$2:$O$8,MAX(1,$MS113)),""),IF(AND($MS113=0,$OU113&gt;1),"A básica aceita uma Melhoria",""),IF(AND($MS113=0,COUNTIF($NO113:$NR113,"&gt;1")&gt;0),"A básica só aceita Melhoria Leve",""),IF(AND($MS113&gt;0,$OV113&gt;2),$OV113&amp;" Restrições"&amp;IF($OF113=1,", contando a que a Forma "&amp;$MU113&amp;" já traz","")&amp;": o limite é 2",""),IF(AND($MS113=0,COUNTIF($NB113:$NC113,"?*")&gt;1),"A básica aceita uma Restrição Leve",""),IF(AND($MS113=0,COUNTIF($OI113:$OJ113,2)&gt;0),"A básica só aceita Restrição Leve",""),IF(AND($MS113&gt;0,$PC113&lt;0),"Orçamento estourado: faltam "&amp;(-$PC113)&amp;IF($PC113&lt;-1," pontos"," ponto"),""),IF(IFERROR(VLOOKUP(SUBSTITUTE(SUBSTITUTE(SUBSTITUTE($NB113,"~","~~"),"*","~*"),"?","~?"),'DADOS_RESTRICOES'!$M$2:$Q$54,4,FALSE),0)+IFERROR(VLOOKUP(SUBSTITUTE(SUBSTITUTE(SUBSTITUTE($NC113,"~","~~"),"*","~*"),"?","~?"),'DADOS_RESTRICOES'!$M$2:$Q$54,4,FALSE),0)&gt;1,$OK113&amp;" e "&amp;$OL113&amp;" são as duas de frequência",""),IF(AND((COUNTIF($RK113:$RN113,"Rápido")+COUNTIF($OK113:$OL113,"Rápido"))&gt;0,(COUNTIF($MX113:$NA113,"Atrasar")+COUNTIF($OK113:$OL113,"Atrasar"))&gt;0),"Rápido não entra com Atrasar",""),IF(AND((COUNTIF($RK113:$RN113,"Reação")+COUNTIF($OK113:$OL113,"Reação"))&gt;0,(COUNTIF($RK113:$RN113,"Rápido")+COUNTIF($OK113:$OL113,"Rápido"))&gt;0),"Reação não entra com Rápido",""),IF(AND((COUNTIF($RK113:$RN113,"Reação")+COUNTIF($OK113:$OL113,"Reação"))&gt;0,(COUNTIF($RK113:$RN113,"Armado")+COUNTIF($OK113:$OL113,"Armado"))&gt;0),"Reação não entra com Armado",""),IF(AND((COUNTIF($RK113:$RN113,"Reação")+COUNTIF($OK113:$OL113,"Reação"))&gt;0,(COUNTIF($MX113:$NA113,"Atrasar")+COUNTIF($OK113:$OL113,"Atrasar"))&gt;0),"Reação não entra com Atrasar",""),IF(AND((COUNTIF($RK113:$RN113,"Reação")+COUNTIF($OK113:$OL113,"Reação"))&gt;0,(COUNTIF($MX113:$NA113,"Parado")+COUNTIF($OK113:$OL113,"Parado"))&gt;0),"Reação não entra com Parado",""),IF(AND((COUNTIF($MX113:$NA113,"Atrasar")+COUNTIF($OK113:$OL113,"Atrasar"))&gt;0,(COUNTIF($MX113:$NA113,"Parado")+COUNTIF($OK113:$OL113,"Parado"))&gt;0),"Atrasar não entra com Parado",""),IF(AND((COUNTIF($RK113:$RN113,"Armado")+COUNTIF($OK113:$OL113,"Armado"))&gt;0,(COUNTIF($MX113:$NA113,"Carregar")+COUNTIF($OK113:$OL113,"Carregar"))&gt;0),"Armado não entra com Carregar",""),IF(AND(COUNTIF($OK113:$OL113,"Corpo a Corpo")&gt;0,$OF113=0,OR($RO113="Cone",$RO113="Linha")),"Corpo a Corpo não entra em "&amp;$MU113,""),IF(AND(COUNTIF($OK113:$OL113,"Corpo a Corpo")&gt;0,$RP113="Corpo a Corpo"),"A Forma "&amp;$MU113&amp;" já traz o Corpo a Corpo",""),IF(AND(COUNTIF($OK113:$OL113,"Tudo ou Nada")&gt;0,$OH113=0),"Tudo ou Nada só entra em habilidade de Teste de Resistência",""),IF(AND(COUNTIF($RK113:$RN113,"Inescapável")&gt;0,OR($OU113&gt;1,$OV113&gt;0)),"Inescapável não aceita outra peça",""),IF(AND($MS113&gt;0,$PD113*IF(COUNTIF($RK113:$RN113,"Remate")&gt;0,1.25,1)+$PE113&gt;4*$MS113),($PD113*IF(COUNTIF($RK113:$RN113,"Remate")&gt;0,1.25,1)+$PE113)&amp;" dados somando repetições"&amp;IF(COUNTIF($RK113:$RN113,"Remate")&gt;0," e o Remate","")&amp;": o teto da Classe "&amp;$MS113&amp;" é "&amp;4*$MS113,""))),IF(AND($MX113&lt;&gt;"",COUNTIF('DADOS_MELHORIAS'!$O$2:$O$113,SUBSTITUTE(SUBSTITUTE(SUBSTITUTE($MX113,"~","~~"),"*","~*"),"?","~?"))=0),"Melhoria não cadastrada ou com erro: "&amp;$MX113,""),IF(AND($MY113&lt;&gt;"",COUNTIF('DADOS_MELHORIAS'!$O$2:$O$113,SUBSTITUTE(SUBSTITUTE(SUBSTITUTE($MY113,"~","~~"),"*","~*"),"?","~?"))=0),"Melhoria não cadastrada ou com erro: "&amp;$MY113,""),IF(AND($MZ113&lt;&gt;"",COUNTIF('DADOS_MELHORIAS'!$O$2:$O$113,SUBSTITUTE(SUBSTITUTE(SUBSTITUTE($MZ113,"~","~~"),"*","~*"),"?","~?"))=0),"Melhoria não cadastrada ou com erro: "&amp;$MZ113,""),IF(AND($NA113&lt;&gt;"",COUNTIF('DADOS_MELHORIAS'!$O$2:$O$113,SUBSTITUTE(SUBSTITUTE(SUBSTITUTE($NA113,"~","~~"),"*","~*"),"?","~?"))=0),"Melhoria não cadastrada ou com erro: "&amp;$NA113,""),IF(AND($NB113&lt;&gt;"",COUNTIF('DADOS_RESTRICOES'!$M$2:$M$54,SUBSTITUTE(SUBSTITUTE(SUBSTITUTE($NB113,"~","~~"),"*","~*"),"?","~?"))=0),"Restrição não cadastrada ou com erro: "&amp;$NB113,""),IF(AND($NC113&lt;&gt;"",COUNTIF('DADOS_RESTRICOES'!$M$2:$M$54,SUBSTITUTE(SUBSTITUTE(SUBSTITUTE($NC113,"~","~~"),"*","~*"),"?","~?"))=0),"Restrição não cadastrada ou com erro: "&amp;$NC113,""))),IF(AND($MU113&lt;&gt;"",COUNTIF('DADOS_FORMAS'!$AH$2:$AH$21,SUBSTITUTE(SUBSTITUTE(SUBSTITUTE($MU113,"~","~~"),"*","~*"),"?","~?"))=0),"Forma não cadastrada ou com erro: "&amp;$MU113,""),IF(AND(IFERROR(INDEX('DADOS_FORMAS'!$AS$2:$AS$21,MATCH(SUBSTITUTE(SUBSTITUTE(SUBSTITUTE($MU113,"~","~~"),"*","~*"),"?","~?"),'DADOS_FORMAS'!$AH$2:$AH$21,0)),"")&lt;&gt;"",OR(IFERROR(VLOOKUP(SUBSTITUTE(SUBSTITUTE(SUBSTITUTE(IFERROR(INDEX('DADOS_FORMAS'!$AS$2:$AS$21,MATCH(SUBSTITUTE(SUBSTITUTE(SUBSTITUTE($MU113,"~","~~"),"*","~*"),"?","~?"),'DADOS_FORMAS'!$AH$2:$AH$21,0)),""),"~","~~"),"*","~*"),"?","~?"),'DADOS_RESTRICOES'!$M$2:$Q$54,2,FALSE),"")=$OK113,IFERROR(VLOOKUP(SUBSTITUTE(SUBSTITUTE(SUBSTITUTE(IFERROR(INDEX('DADOS_FORMAS'!$AS$2:$AS$21,MATCH(SUBSTITUTE(SUBSTITUTE(SUBSTITUTE($MU113,"~","~~"),"*","~*"),"?","~?"),'DADOS_FORMAS'!$AH$2:$AH$21,0)),""),"~","~~"),"*","~*"),"?","~?"),'DADOS_RESTRICOES'!$M$2:$Q$54,2,FALSE),"")=$OL113)),"Restrição repetida, contando a embutida",""),IF(IF(IFERROR(INDEX('DADOS_FORMAS'!$AS$2:$AS$21,MATCH(SUBSTITUTE(SUBSTITUTE(SUBSTITUTE($MU113,"~","~~"),"*","~*"),"?","~?"),'DADOS_FORMAS'!$AH$2:$AH$21,0)),"")="",0,IFERROR(N(VLOOKUP(SUBSTITUTE(SUBSTITUTE(SUBSTITUTE(IFERROR(INDEX('DADOS_FORMAS'!$AS$2:$AS$21,MATCH(SUBSTITUTE(SUBSTITUTE(SUBSTITUTE($MU113,"~","~~"),"*","~*"),"?","~?"),'DADOS_FORMAS'!$AH$2:$AH$21,0)),""),"~","~~"),"*","~*"),"?","~?"),'DADOS_RESTRICOES'!$M$2:$Q$54,4,FALSE)=1),0))+IF($NB113="",0,IFERROR(N(VLOOKUP(SUBSTITUTE(SUBSTITUTE(SUBSTITUTE($NB113,"~","~~"),"*","~*"),"?","~?"),'DADOS_RESTRICOES'!$M$2:$Q$54,4,FALSE)=1),0))+IF($NC113="",0,IFERROR(N(VLOOKUP(SUBSTITUTE(SUBSTITUTE(SUBSTITUTE($NC113,"~","~~"),"*","~*"),"?","~?"),'DADOS_RESTRICOES'!$M$2:$Q$54,4,FALSE)=1),0))&gt;1,"Duas Restrições de frequência, contando a embutida",""),IF(AND(IFERROR(VLOOKUP(SUBSTITUTE(SUBSTITUTE(SUBSTITUTE(IFERROR(INDEX('DADOS_FORMAS'!$AS$2:$AS$21,MATCH(SUBSTITUTE(SUBSTITUTE(SUBSTITUTE($MU113,"~","~~"),"*","~*"),"?","~?"),'DADOS_FORMAS'!$AH$2:$AH$21,0)),""),"~","~~"),"*","~*"),"?","~?"),'DADOS_RESTRICOES'!$M$2:$Q$54,2,FALSE),"")="Tudo ou Nada",$OH113=0),"Tudo ou Nada exige TR",""),IF(AND(IFERROR(VLOOKUP(SUBSTITUTE(SUBSTITUTE(SUBSTITUTE(IFERROR(INDEX('DADOS_FORMAS'!$AS$2:$AS$21,MATCH(SUBSTITUTE(SUBSTITUTE(SUBSTITUTE($MU113,"~","~~"),"*","~*"),"?","~?"),'DADOS_FORMAS'!$AH$2:$AH$21,0)),""),"~","~~"),"*","~*"),"?","~?"),'DADOS_RESTRICOES'!$M$2:$Q$54,2,FALSE),"")="Corpo a Corpo",OR($RO113="Cone",$RO113="Linha")),"Corpo a Corpo não entra em Cone/Linha","")))</f>
        <v/>
      </c>
      <c r="PU113" s="164">
        <f>IF($PT113="",0,(LEN($PT113)-LEN(SUBSTITUTE($PT113," · ","")))/3+1)</f>
        <v/>
      </c>
      <c r="PV113" s="164">
        <f>IF($ND113=0,"",TEXTJOIN(" · ",TRUE,IF($OX113&gt;2*$MS113,"A devolução parou no teto de "&amp;2*$MS113,""),IF($PA113&gt;0,"Devolução perdida: "&amp;$PA113&amp;IF($PA113&gt;1," pontos"," ponto")&amp;" sem Melhoria para pagar",""),IF(AND($OC113&gt;0,AND($MS113&gt;0,$OG113=0),$PD113=0),"Controle sem dano: uma rodada a mais e CD +2",""),IF(AND($OC113&gt;0,AND($MS113&gt;0,$OG113=0),$PD113&gt;0,$PD113&lt;=$MS113),"Controle com saldo até a Classe: uma rodada a mais",""),IF(AND($MS113&gt;0,$OE113&lt;&gt;""),"Efeito de "&amp;$OE113&amp;" pela Classe "&amp;MAX(1,$MS113-1),"")))</f>
        <v/>
      </c>
      <c r="PW113" s="164">
        <f>IF($PV113="",0,(LEN($PV113)-LEN(SUBSTITUTE($PV113," · ","")))/3+1)</f>
        <v/>
      </c>
      <c r="PX113" s="164">
        <f>IF($ND113=0,IF($OU113+COUNTIF($NB113:$NC113,"?*")&gt;0,"Dê um nome",""),IF($PU113&gt;0,"⚠ "&amp;$PU113&amp;IF($PU113&gt;1," erros"," erro"),IF($PW113&gt;0,"! "&amp;$PW113&amp;IF($PW113&gt;1," avisos"," aviso"),"Na regra")))</f>
        <v/>
      </c>
      <c r="PY113" s="164">
        <f>IF($ND113=0,"",IF($PU113+$PW113=0,"Dentro das regras que a ficha confere",$PT113&amp;IF(AND($PU113&gt;0,$PW113&gt;0)," · ","")&amp;$PV113))</f>
        <v/>
      </c>
      <c r="PZ113" s="164">
        <f>IF($MQ113&gt;$NE113,$MR113&amp;" · ABRE NO NÍVEL "&amp;$MQ113,$MR113)</f>
        <v/>
      </c>
      <c r="QA113" s="164">
        <f>IF($ND113=0,"",IF($MS113=0,"Sem PE",3*$MS113&amp;" PE"))</f>
        <v/>
      </c>
      <c r="QB113" s="164">
        <f>IF($ND113=0,"",IF($MS113=0,"A atuação básica dela",IF(COUNTIF($RQ113:$RS113,"Atrasar")&gt;0,"Sua Ação Completa",IF(COUNTIF($RK113:$RN113,"Rápido")&gt;0,"Sua Bônus",IF(COUNTIF($RK113:$RN113,"Reação")&gt;0,"Sua Reação","Sua Padrão")))&amp;" + a básica dela"&amp;IF(COUNTIF($RK113:$RN113,"Reação")&gt;0," e a coletiva","")&amp;IF(COUNTIF($RQ113:$RS113,"Carregar")&gt;0," · em dois turnos","")))</f>
        <v/>
      </c>
      <c r="QC113" s="164">
        <f>IF($MW113&lt;&gt;"",$MW113,IF($NJ113=0,"",INDEX('DADOS_FORMAS'!$GE$2:$GE$21,$NJ113)))</f>
        <v/>
      </c>
      <c r="QD113" s="164">
        <f>IF(OR($ND113=0,$NJ113=0),"",IF(COUNTIF($RK113:$RN113,"Inescapável")&gt;0,"Automático",IF($QC113="Ataque",IF($NH113="","Ataque","Ataque "&amp;IF(($NH113+2*IF(COUNTIF($RK113:$RN113,"Precisão")&gt;0,1,0))&gt;=0,"+","−")&amp;ABS(($NH113+2*IF(COUNTIF($RK113:$RN113,"Precisão")&gt;0,1,0))))&amp;IF($OD113&gt;0," · TR"&amp;IF($NI113="",""," CD "&amp;$NI113),""),IF(LEFT($QC113,2)="TR",$QC113&amp;IF($NI113="",""," · CD "&amp;$NI113)&amp;IF(COUNTIF($RK113:$RN113,"Certeiro")&gt;0," · metade",""),"Sem rolagem"))))</f>
        <v/>
      </c>
      <c r="QE113" s="164">
        <f>IF(OR($ND113=0,$NJ113=0),"",IF($MS113=0,IF(OR($OG113&gt;=1,$PD113=0),"Sem dano",$PD113&amp;"d6"&amp;IF($MV113="",""," "&amp;$MV113)),IF(OR($OG113&gt;=1,$PD113=0),UPPER(LEFT(INDEX($PM113:$PS113,1,MAX(1,$MS113)),1))&amp;MID(INDEX($PM113:$PS113,1,MAX(1,$MS113)),2,99),UPPER(LEFT(INDEX($PM113:$PS113,1,MAX(1,$MS113)),1))&amp;MID(INDEX($PM113:$PS113,1,MAX(1,$MS113)),2,99)&amp;IF($MV113="",""," "&amp;$MV113)&amp;IF($PE113&gt;0," · +"&amp;$PE113&amp;"d8",""))))</f>
        <v/>
      </c>
      <c r="QF113" s="164">
        <f>COUNTIF($RK113:$RN113,"Longe")+3*COUNTIF($RK113:$RN113,"Muito Longe")</f>
        <v/>
      </c>
      <c r="QG113" s="164">
        <f>COUNTIF($RK113:$RN113,"Maior")+3*COUNTIF($RK113:$RN113,"Muito Maior")</f>
        <v/>
      </c>
      <c r="QH113" s="164">
        <f>IF($NJ113=0,0,CHOOSE(1+INDEX('DADOS_FORMAS'!$GG$2:$GG$21,$NJ113),0,$QF113,$QG113,$QF113+$QG113))</f>
        <v/>
      </c>
      <c r="QI113" s="164">
        <f>IF($NJ113=0,0,CHOOSE(1+INDEX('DADOS_FORMAS'!$GH$2:$GH$21,$NJ113),0,$QF113,$QG113,$QF113+$QG113))</f>
        <v/>
      </c>
      <c r="QJ113" s="164">
        <f>IF(OR($ND113=0,$NJ113=0),"",INDEX('DADOS_FORMAS'!$HU$2:$HZ$81,($NJ113-1)*4+IF($MS113=0,1,IF($MS113&lt;=5,2,IF($MS113=6,3,4))),1+MIN(5,$QH113))&amp;INDEX('DADOS_FORMAS'!$IA$2:$IF$81,($NJ113-1)*4+IF($MS113=0,1,IF($MS113&lt;=5,2,IF($MS113=6,3,4))),1+MIN(5,$QI113))&amp;IF(INDEX('DADOS_FORMAS'!$GI$2:$GI$21,$NJ113)=1,IF(COUNTIF($RK113:$RN113,"Mais Um")&gt;0," · +"&amp;COUNTIF($RK113:$RN113,"Mais Um")&amp;IF(COUNTIF($RK113:$RN113,"Mais Um")&gt;1," alvos"," alvo"),"")&amp;IF(COUNTIF($RK113:$RN113,"Rajada")&gt;0,IF($MS113=0," · 1 tiro"," · "&amp;(MAX(1,$MS113-1)+1)&amp;" tiros"),""),""))</f>
        <v/>
      </c>
      <c r="QK113" s="164">
        <f>IF($ND113=0,"",IF($MS113=0,$NG113&amp;"d6"&amp;IF($OU113&gt;0," − 1 = "&amp;$PD113&amp;"d6"," da básica do nível "&amp;$NE113),$PB113&amp;" − "&amp;$OW113&amp;" + "&amp;$OZ113&amp;" = "&amp;$PC113&amp;" · teto "&amp;4*$MS113&amp;"d8"&amp;IF($OF113=1," · a Forma devolve "&amp;$MS113,"")&amp;IF($PA113&gt;0," · perde "&amp;$PA113,"")))</f>
        <v/>
      </c>
      <c r="QL113" s="164">
        <f>IF($ND113=0,"",IF($MS113=0,"A básica não amplia: os dados dela sobem com o nível",IF($MS113&gt;=$NF113,"Já está na maior Classe que o nível liberou",TEXTJOIN(" · ",TRUE,IF(AND(2&gt;$MS113,2&lt;=$NF113),"2 → "&amp;$PN113&amp;", 6 PE",""),IF(AND(3&gt;$MS113,3&lt;=$NF113),"3 → "&amp;$PO113&amp;", 9 PE",""),IF(AND(4&gt;$MS113,4&lt;=$NF113),"4 → "&amp;$PP113&amp;", 12 PE",""),IF(AND(5&gt;$MS113,5&lt;=$NF113),"5 → "&amp;$PQ113&amp;", 15 PE",""),IF(AND(6&gt;$MS113,6&lt;=$NF113),"6 → "&amp;$PR113&amp;", 18 PE",""),IF(AND(7&gt;$MS113,7&lt;=$NF113),"7 → "&amp;$PS113&amp;", 21 PE","")))))</f>
        <v/>
      </c>
      <c r="QM113" s="164">
        <f>IF(OR($ND113=0,$NO113=0),"",IF($MS113=0,"−1 dado","−"&amp;INDEX($I$2:$N$8,MAX(1,$MS113),MAX(1,$NT113))&amp;" · "&amp;CHOOSE(MAX(1,$NT113),"Leve","Média","Pesada","Leve · Livre","Média · Livre","Pesada · Livre")))</f>
        <v/>
      </c>
      <c r="QN113" s="164">
        <f>IF(OR($ND113=0,$NP113=0),"",IF($MS113=0,"−1 dado","−"&amp;INDEX($I$2:$N$8,MAX(1,$MS113),MAX(1,$NU113))&amp;" · "&amp;CHOOSE(MAX(1,$NU113),"Leve","Média","Pesada","Leve · Livre","Média · Livre","Pesada · Livre")))</f>
        <v/>
      </c>
      <c r="QO113" s="164">
        <f>IF(OR($ND113=0,$NQ113=0),"",IF($MS113=0,"−1 dado","−"&amp;INDEX($I$2:$N$8,MAX(1,$MS113),MAX(1,$NV113))&amp;" · "&amp;CHOOSE(MAX(1,$NV113),"Leve","Média","Pesada","Leve · Livre","Média · Livre","Pesada · Livre")))</f>
        <v/>
      </c>
      <c r="QP113" s="164">
        <f>IF(OR($ND113=0,$NR113=0),"",IF($MS113=0,"−1 dado","−"&amp;INDEX($I$2:$N$8,MAX(1,$MS113),MAX(1,$NW113))&amp;" · "&amp;CHOOSE(MAX(1,$NW113),"Leve","Média","Pesada","Leve · Livre","Média · Livre","Pesada · Livre")))</f>
        <v/>
      </c>
      <c r="QQ113" s="164">
        <f>IF(OR($ND113=0,$NB113=""),"",IF($MS113=0,"não devolve","+"&amp;IF($OI113=1,CEILING($MS113/2,1),$MS113)))</f>
        <v/>
      </c>
      <c r="QR113" s="164">
        <f>IF(OR($ND113=0,$NC113=""),"",IF($MS113=0,"não devolve","+"&amp;IF($OJ113=1,CEILING($MS113/2,1),$MS113)))</f>
        <v/>
      </c>
      <c r="RK113">
        <f>IF($MX113="","",IFERROR(VLOOKUP(SUBSTITUTE(SUBSTITUTE(SUBSTITUTE($MX113,"~","~~"),"*","~*"),"?","~?"),'DADOS_MELHORIAS'!$O$2:$X$113,10,FALSE),$MX113))</f>
        <v/>
      </c>
      <c r="RL113">
        <f>IF($MY113="","",IFERROR(VLOOKUP(SUBSTITUTE(SUBSTITUTE(SUBSTITUTE($MY113,"~","~~"),"*","~*"),"?","~?"),'DADOS_MELHORIAS'!$O$2:$X$113,10,FALSE),$MY113))</f>
        <v/>
      </c>
      <c r="RM113">
        <f>IF($MZ113="","",IFERROR(VLOOKUP(SUBSTITUTE(SUBSTITUTE(SUBSTITUTE($MZ113,"~","~~"),"*","~*"),"?","~?"),'DADOS_MELHORIAS'!$O$2:$X$113,10,FALSE),$MZ113))</f>
        <v/>
      </c>
      <c r="RN113">
        <f>IF($NA113="","",IFERROR(VLOOKUP(SUBSTITUTE(SUBSTITUTE(SUBSTITUTE($NA113,"~","~~"),"*","~*"),"?","~?"),'DADOS_MELHORIAS'!$O$2:$X$113,10,FALSE),$NA113))</f>
        <v/>
      </c>
      <c r="RO113">
        <f>IFERROR(INDEX('DADOS_FORMAS'!$BJ$2:$BJ$21,MATCH(SUBSTITUTE(SUBSTITUTE(SUBSTITUTE($MU113,"~","~~"),"*","~*"),"?","~?"),'DADOS_FORMAS'!$AH$2:$AH$21,0)),"")</f>
        <v/>
      </c>
      <c r="RP113">
        <f>IFERROR(VLOOKUP(SUBSTITUTE(SUBSTITUTE(SUBSTITUTE(IFERROR(INDEX('DADOS_FORMAS'!$AS$2:$AS$21,MATCH(SUBSTITUTE(SUBSTITUTE(SUBSTITUTE($MU113,"~","~~"),"*","~*"),"?","~?"),'DADOS_FORMAS'!$AH$2:$AH$21,0)),""),"~","~~"),"*","~*"),"?","~?"),'DADOS_RESTRICOES'!$M$2:$Q$54,2,FALSE),"")</f>
        <v/>
      </c>
      <c r="RQ113">
        <f>$OK113</f>
        <v/>
      </c>
      <c r="RR113">
        <f>$OL113</f>
        <v/>
      </c>
      <c r="RS113">
        <f>$RP113</f>
        <v/>
      </c>
    </row>
    <row r="114">
      <c r="MN114" s="162" t="inlineStr">
        <is>
          <t>Ficha 9 · Especial 7</t>
        </is>
      </c>
      <c r="MO114" s="164" t="n">
        <v>9</v>
      </c>
      <c r="MP114" s="164" t="n">
        <v>1</v>
      </c>
      <c r="MQ114" s="164" t="n">
        <v>24</v>
      </c>
      <c r="MR114" s="162" t="inlineStr">
        <is>
          <t>ESPECIAL 7</t>
        </is>
      </c>
      <c r="MS114" s="164">
        <f>MAX(1,MIN(7,N('INVOCAÇÕES'!$AN$549)))</f>
        <v/>
      </c>
      <c r="MT114" s="164">
        <f>'INVOCAÇÕES'!$AO$549&amp;""</f>
        <v/>
      </c>
      <c r="MU114" s="164">
        <f>'INVOCAÇÕES'!$AN$554&amp;""</f>
        <v/>
      </c>
      <c r="MV114" s="164">
        <f>'INVOCAÇÕES'!$AN$555&amp;""</f>
        <v/>
      </c>
      <c r="MW114" s="164">
        <f>'INVOCAÇÕES'!$AP$555&amp;""</f>
        <v/>
      </c>
      <c r="MX114" s="164">
        <f>'INVOCAÇÕES'!$AO$558&amp;""</f>
        <v/>
      </c>
      <c r="MY114" s="164">
        <f>'INVOCAÇÕES'!$AO$559&amp;""</f>
        <v/>
      </c>
      <c r="MZ114" s="164">
        <f>'INVOCAÇÕES'!$AO$560&amp;""</f>
        <v/>
      </c>
      <c r="NA114" s="164">
        <f>'INVOCAÇÕES'!$AO$561&amp;""</f>
        <v/>
      </c>
      <c r="NB114" s="164">
        <f>'INVOCAÇÕES'!$AO$562&amp;""</f>
        <v/>
      </c>
      <c r="NC114" s="164">
        <f>'INVOCAÇÕES'!$AO$563&amp;""</f>
        <v/>
      </c>
      <c r="ND114" s="164">
        <f>IF($MT114&lt;&gt;"",1,0)</f>
        <v/>
      </c>
      <c r="NE114" s="164">
        <f>INDEX($FO$2:$FO$13,$MO114)</f>
        <v/>
      </c>
      <c r="NF114" s="164">
        <f>INDEX($FP$2:$FP$13,$MO114)</f>
        <v/>
      </c>
      <c r="NG114" s="164">
        <f>INDEX($FQ$2:$FQ$13,$MO114)</f>
        <v/>
      </c>
      <c r="NH114" s="164">
        <f>INDEX($GB$2:$GB$13,$MO114)</f>
        <v/>
      </c>
      <c r="NI114" s="164">
        <f>INDEX($GC$2:$GC$13,$MO114)</f>
        <v/>
      </c>
      <c r="NJ114" s="164">
        <f>IFERROR(MATCH(SUBSTITUTE(SUBSTITUTE(SUBSTITUTE($MU114,"~","~~"),"*","~*"),"?","~?"),'DADOS_FORMAS'!$FZ$2:$FZ$21,0),0)</f>
        <v/>
      </c>
      <c r="NK114" s="164">
        <f>IFERROR(VLOOKUP(SUBSTITUTE(SUBSTITUTE(SUBSTITUTE($MX114,"~","~~"),"*","~*"),"?","~?"),'DADOS_MELHORIAS'!$AG$2:$AL$113,2,FALSE),"")</f>
        <v/>
      </c>
      <c r="NL114" s="164">
        <f>IFERROR(VLOOKUP(SUBSTITUTE(SUBSTITUTE(SUBSTITUTE($MY114,"~","~~"),"*","~*"),"?","~?"),'DADOS_MELHORIAS'!$AG$2:$AL$113,2,FALSE),"")</f>
        <v/>
      </c>
      <c r="NM114" s="164">
        <f>IFERROR(VLOOKUP(SUBSTITUTE(SUBSTITUTE(SUBSTITUTE($MZ114,"~","~~"),"*","~*"),"?","~?"),'DADOS_MELHORIAS'!$AG$2:$AL$113,2,FALSE),"")</f>
        <v/>
      </c>
      <c r="NN114" s="164">
        <f>IFERROR(VLOOKUP(SUBSTITUTE(SUBSTITUTE(SUBSTITUTE($NA114,"~","~~"),"*","~*"),"?","~?"),'DADOS_MELHORIAS'!$AG$2:$AL$113,2,FALSE),"")</f>
        <v/>
      </c>
      <c r="NO114" s="164">
        <f>IFERROR(VLOOKUP(SUBSTITUTE(SUBSTITUTE(SUBSTITUTE($MX114,"~","~~"),"*","~*"),"?","~?"),'DADOS_MELHORIAS'!$AG$2:$AL$113,3,FALSE),0)</f>
        <v/>
      </c>
      <c r="NP114" s="164">
        <f>IFERROR(VLOOKUP(SUBSTITUTE(SUBSTITUTE(SUBSTITUTE($MY114,"~","~~"),"*","~*"),"?","~?"),'DADOS_MELHORIAS'!$AG$2:$AL$113,3,FALSE),0)</f>
        <v/>
      </c>
      <c r="NQ114" s="164">
        <f>IFERROR(VLOOKUP(SUBSTITUTE(SUBSTITUTE(SUBSTITUTE($MZ114,"~","~~"),"*","~*"),"?","~?"),'DADOS_MELHORIAS'!$AG$2:$AL$113,3,FALSE),0)</f>
        <v/>
      </c>
      <c r="NR114" s="164">
        <f>IFERROR(VLOOKUP(SUBSTITUTE(SUBSTITUTE(SUBSTITUTE($NA114,"~","~~"),"*","~*"),"?","~?"),'DADOS_MELHORIAS'!$AG$2:$AL$113,3,FALSE),0)</f>
        <v/>
      </c>
      <c r="NS114" s="164">
        <f>IF($MS114=0,0,IF($NJ114=0,0,INDEX('DADOS_FORMAS'!$GB$2:$GB$21,$NJ114)))</f>
        <v/>
      </c>
      <c r="NT114" s="164">
        <f>IF(OR($NO114=0,$MS114=0),0,$NO114+3*IF(AND($NK114&lt;&gt;"",COUNTIF(INDEX($RB$2:$RJ$13,$MO114,0),$NK114)&gt;0),1,0))</f>
        <v/>
      </c>
      <c r="NU114" s="164">
        <f>IF(OR($NP114=0,$MS114=0),0,$NP114+3*IF(AND($NL114&lt;&gt;"",COUNTIF(INDEX($RB$2:$RJ$13,$MO114,0),$NL114)&gt;0),1,0))</f>
        <v/>
      </c>
      <c r="NV114" s="164">
        <f>IF(OR($NQ114=0,$MS114=0),0,$NQ114+3*IF(AND($NM114&lt;&gt;"",COUNTIF(INDEX($RB$2:$RJ$13,$MO114,0),$NM114)&gt;0),1,0))</f>
        <v/>
      </c>
      <c r="NW114" s="164">
        <f>IF(OR($NR114=0,$MS114=0),0,$NR114+3*IF(AND($NN114&lt;&gt;"",COUNTIF(INDEX($RB$2:$RJ$13,$MO114,0),$NN114)&gt;0),1,0))</f>
        <v/>
      </c>
      <c r="NX114" s="164">
        <f>IF($NJ114=0,0,IF(INDEX('DADOS_FORMAS'!$GA$2:$GA$21,$NJ114)="",0,IF((COUNTIF(INDEX($EL$2:$EP$13,$MO114,0),INDEX('DADOS_FORMAS'!$GA$2:$GA$21,$NJ114))+COUNTIF(INDEX($QV$2:$QY$13,$MO114,0),INDEX('DADOS_FORMAS'!$GA$2:$GA$21,$NJ114)))=0,1,0)))</f>
        <v/>
      </c>
      <c r="NY114" s="164">
        <f>IF(OR($NO114=0,$NK114=""),0,IF((COUNTIF(INDEX($EL$2:$EP$13,$MO114,0),$NK114)+COUNTIF(INDEX($QV$2:$QY$13,$MO114,0),$NK114))=0,1,0))</f>
        <v/>
      </c>
      <c r="NZ114" s="164">
        <f>IF(OR($NP114=0,$NL114=""),0,IF((COUNTIF(INDEX($EL$2:$EP$13,$MO114,0),$NL114)+COUNTIF(INDEX($QV$2:$QY$13,$MO114,0),$NL114))=0,1,0))</f>
        <v/>
      </c>
      <c r="OA114" s="164">
        <f>IF(OR($NQ114=0,$NM114=""),0,IF((COUNTIF(INDEX($EL$2:$EP$13,$MO114,0),$NM114)+COUNTIF(INDEX($QV$2:$QY$13,$MO114,0),$NM114))=0,1,0))</f>
        <v/>
      </c>
      <c r="OB114" s="164">
        <f>IF(OR($NR114=0,$NN114=""),0,IF((COUNTIF(INDEX($EL$2:$EP$13,$MO114,0),$NN114)+COUNTIF(INDEX($QV$2:$QY$13,$MO114,0),$NN114))=0,1,0))</f>
        <v/>
      </c>
      <c r="OC114" s="164">
        <f>IFERROR(VLOOKUP(SUBSTITUTE(SUBSTITUTE(SUBSTITUTE($MX114,"~","~~"),"*","~*"),"?","~?"),'DADOS_MELHORIAS'!$AG$2:$AL$113,4,FALSE),0)+IFERROR(VLOOKUP(SUBSTITUTE(SUBSTITUTE(SUBSTITUTE($MY114,"~","~~"),"*","~*"),"?","~?"),'DADOS_MELHORIAS'!$AG$2:$AL$113,4,FALSE),0)+IFERROR(VLOOKUP(SUBSTITUTE(SUBSTITUTE(SUBSTITUTE($MZ114,"~","~~"),"*","~*"),"?","~?"),'DADOS_MELHORIAS'!$AG$2:$AL$113,4,FALSE),0)+IFERROR(VLOOKUP(SUBSTITUTE(SUBSTITUTE(SUBSTITUTE($NA114,"~","~~"),"*","~*"),"?","~?"),'DADOS_MELHORIAS'!$AG$2:$AL$113,4,FALSE),0)</f>
        <v/>
      </c>
      <c r="OD114" s="164">
        <f>IFERROR(VLOOKUP(SUBSTITUTE(SUBSTITUTE(SUBSTITUTE($MX114,"~","~~"),"*","~*"),"?","~?"),'DADOS_MELHORIAS'!$AG$2:$AL$113,6,FALSE),0)+IFERROR(VLOOKUP(SUBSTITUTE(SUBSTITUTE(SUBSTITUTE($MY114,"~","~~"),"*","~*"),"?","~?"),'DADOS_MELHORIAS'!$AG$2:$AL$113,6,FALSE),0)+IFERROR(VLOOKUP(SUBSTITUTE(SUBSTITUTE(SUBSTITUTE($MZ114,"~","~~"),"*","~*"),"?","~?"),'DADOS_MELHORIAS'!$AG$2:$AL$113,6,FALSE),0)+IFERROR(VLOOKUP(SUBSTITUTE(SUBSTITUTE(SUBSTITUTE($NA114,"~","~~"),"*","~*"),"?","~?"),'DADOS_MELHORIAS'!$AG$2:$AL$113,6,FALSE),0)+IFERROR(N(AND(INDEX('DADOS_FORMAS'!$AO$2:$AO$21,MATCH(SUBSTITUTE(SUBSTITUTE(SUBSTITUTE($MU114,"~","~~"),"*","~*"),"?","~?"),'DADOS_FORMAS'!$AH$2:$AH$21,0))="Acerto",$OH114=1)),0)</f>
        <v/>
      </c>
      <c r="OE114" s="164">
        <f>TEXTJOIN(", ",TRUE,IF(IFERROR(VLOOKUP(SUBSTITUTE(SUBSTITUTE(SUBSTITUTE($MX114,"~","~~"),"*","~*"),"?","~?"),'DADOS_MELHORIAS'!$AG$2:$AL$113,5,FALSE),0)=1,$MX114,""),IF(IFERROR(VLOOKUP(SUBSTITUTE(SUBSTITUTE(SUBSTITUTE($MY114,"~","~~"),"*","~*"),"?","~?"),'DADOS_MELHORIAS'!$AG$2:$AL$113,5,FALSE),0)=1,$MY114,""),IF(IFERROR(VLOOKUP(SUBSTITUTE(SUBSTITUTE(SUBSTITUTE($MZ114,"~","~~"),"*","~*"),"?","~?"),'DADOS_MELHORIAS'!$AG$2:$AL$113,5,FALSE),0)=1,$MZ114,""),IF(IFERROR(VLOOKUP(SUBSTITUTE(SUBSTITUTE(SUBSTITUTE($NA114,"~","~~"),"*","~*"),"?","~?"),'DADOS_MELHORIAS'!$AG$2:$AL$113,5,FALSE),0)=1,$NA114,""))</f>
        <v/>
      </c>
      <c r="OF114" s="164">
        <f>IF($NJ114=0,0,INDEX('DADOS_FORMAS'!$GC$2:$GC$21,$NJ114))</f>
        <v/>
      </c>
      <c r="OG114" s="164">
        <f>IF($NJ114=0,0,INDEX('DADOS_FORMAS'!$GD$2:$GD$21,$NJ114))</f>
        <v/>
      </c>
      <c r="OH114" s="164">
        <f>IF($NJ114=0,0,INDEX('DADOS_FORMAS'!$GF$2:$GF$21,$NJ114))</f>
        <v/>
      </c>
      <c r="OI114" s="164">
        <f>IFERROR(VLOOKUP(SUBSTITUTE(SUBSTITUTE(SUBSTITUTE($NB114,"~","~~"),"*","~*"),"?","~?"),'DADOS_RESTRICOES'!$M$2:$Q$54,3,FALSE),0)</f>
        <v/>
      </c>
      <c r="OJ114" s="164">
        <f>IFERROR(VLOOKUP(SUBSTITUTE(SUBSTITUTE(SUBSTITUTE($NC114,"~","~~"),"*","~*"),"?","~?"),'DADOS_RESTRICOES'!$M$2:$Q$54,3,FALSE),0)</f>
        <v/>
      </c>
      <c r="OK114" s="164">
        <f>IFERROR(VLOOKUP(SUBSTITUTE(SUBSTITUTE(SUBSTITUTE($NB114,"~","~~"),"*","~*"),"?","~?"),'DADOS_RESTRICOES'!$M$2:$Q$54,2,FALSE),"")</f>
        <v/>
      </c>
      <c r="OL114" s="164">
        <f>IFERROR(VLOOKUP(SUBSTITUTE(SUBSTITUTE(SUBSTITUTE($NC114,"~","~~"),"*","~*"),"?","~?"),'DADOS_RESTRICOES'!$M$2:$Q$54,2,FALSE),"")</f>
        <v/>
      </c>
      <c r="OM114" s="164">
        <f>COUNTIF($NS114:$NW114,1)</f>
        <v/>
      </c>
      <c r="ON114" s="164">
        <f>COUNTIF($NS114:$NW114,2)</f>
        <v/>
      </c>
      <c r="OO114" s="164">
        <f>COUNTIF($NS114:$NW114,3)</f>
        <v/>
      </c>
      <c r="OP114" s="164">
        <f>COUNTIF($NS114:$NW114,4)</f>
        <v/>
      </c>
      <c r="OQ114" s="164">
        <f>COUNTIF($NS114:$NW114,5)</f>
        <v/>
      </c>
      <c r="OR114" s="164">
        <f>COUNTIF($NS114:$NW114,6)</f>
        <v/>
      </c>
      <c r="OS114" s="164">
        <f>COUNTIF($OI114:$OJ114,1)+IF(IFERROR(INDEX('DADOS_FORMAS'!$AS$2:$AS$21,MATCH(SUBSTITUTE(SUBSTITUTE(SUBSTITUTE($MU114,"~","~~"),"*","~*"),"?","~?"),'DADOS_FORMAS'!$AH$2:$AH$21,0)),"")="",0,IFERROR(N(VLOOKUP(SUBSTITUTE(SUBSTITUTE(SUBSTITUTE(IFERROR(INDEX('DADOS_FORMAS'!$AS$2:$AS$21,MATCH(SUBSTITUTE(SUBSTITUTE(SUBSTITUTE($MU114,"~","~~"),"*","~*"),"?","~?"),'DADOS_FORMAS'!$AH$2:$AH$21,0)),""),"~","~~"),"*","~*"),"?","~?"),'DADOS_RESTRICOES'!$M$2:$Q$54,3,FALSE)=1),0))</f>
        <v/>
      </c>
      <c r="OT114" s="164">
        <f>COUNTIF($OI114:$OJ114,2)+IF(IFERROR(INDEX('DADOS_FORMAS'!$AS$2:$AS$21,MATCH(SUBSTITUTE(SUBSTITUTE(SUBSTITUTE($MU114,"~","~~"),"*","~*"),"?","~?"),'DADOS_FORMAS'!$AH$2:$AH$21,0)),"")="",0,IFERROR(N(VLOOKUP(SUBSTITUTE(SUBSTITUTE(SUBSTITUTE(IFERROR(INDEX('DADOS_FORMAS'!$AS$2:$AS$21,MATCH(SUBSTITUTE(SUBSTITUTE(SUBSTITUTE($MU114,"~","~~"),"*","~*"),"?","~?"),'DADOS_FORMAS'!$AH$2:$AH$21,0)),""),"~","~~"),"*","~*"),"?","~?"),'DADOS_RESTRICOES'!$M$2:$Q$54,3,FALSE)=2),0))</f>
        <v/>
      </c>
      <c r="OU114" s="164">
        <f>COUNTIF($MX114:$NA114,"?*")</f>
        <v/>
      </c>
      <c r="OV114" s="164">
        <f>COUNTIF($NB114:$NC114,"?*")+$OF114</f>
        <v/>
      </c>
      <c r="OW114" s="164">
        <f>IF($MS114=0,0,SUMPRODUCT($OM114:$OR114,INDEX($I$2:$N$8,MAX(1,$MS114),0)))</f>
        <v/>
      </c>
      <c r="OX114" s="164">
        <f>IF($MS114=0,0,$OS114*CEILING($MS114/2,1)+$OT114*$MS114)</f>
        <v/>
      </c>
      <c r="OY114" s="164">
        <f>MIN(2*$MS114,$OX114)</f>
        <v/>
      </c>
      <c r="OZ114" s="164">
        <f>MIN($OY114,$OW114-IF($NS114=0,0,INDEX($I$2:$N$8,MAX(1,$MS114),$NS114)))</f>
        <v/>
      </c>
      <c r="PA114" s="164">
        <f>$OY114-$OZ114</f>
        <v/>
      </c>
      <c r="PB114" s="164">
        <f>IF($MS114=0,0,INDEX($P$2:$P$8,MAX(1,$MS114)))</f>
        <v/>
      </c>
      <c r="PC114" s="164">
        <f>$PB114-$OW114+$OZ114</f>
        <v/>
      </c>
      <c r="PD114" s="164">
        <f>IF($MS114=0,MAX(0,$NG114-IF(AND($OU114&gt;0,COUNTIF($NB114:$NC114,"?*")=0),1,0)),MAX(0,$PC114))</f>
        <v/>
      </c>
      <c r="PE114" s="164">
        <f>IF($MS114=0,0,(IF(COUNTIF($RK114:$RN114,"Salto")&gt;0,1,0)+IF(COUNTIF($RK114:$RN114,"Queima")&gt;0,1,0)+IF(COUNTIF($RK114:$RN114,"Estilhaço")&gt;0,1,0))*FLOOR($PD114/2,1))</f>
        <v/>
      </c>
      <c r="PF114" s="164">
        <f>MAX(0,2-SUMPRODUCT($OM114:$OR114,$I$2:$N$2)+MIN(2,$OS114*1+$OT114*1,SUMPRODUCT($OM114:$OR114,$I$2:$N$2)-IF($NS114=0,0,INDEX($I$2:$N$2,1,$NS114))))</f>
        <v/>
      </c>
      <c r="PG114" s="164">
        <f>MAX(0,4-SUMPRODUCT($OM114:$OR114,$I$3:$N$3)+MIN(4,$OS114*1+$OT114*2,SUMPRODUCT($OM114:$OR114,$I$3:$N$3)-IF($NS114=0,0,INDEX($I$3:$N$3,1,$NS114))))</f>
        <v/>
      </c>
      <c r="PH114" s="164">
        <f>MAX(0,6-SUMPRODUCT($OM114:$OR114,$I$4:$N$4)+MIN(6,$OS114*2+$OT114*3,SUMPRODUCT($OM114:$OR114,$I$4:$N$4)-IF($NS114=0,0,INDEX($I$4:$N$4,1,$NS114))))</f>
        <v/>
      </c>
      <c r="PI114" s="164">
        <f>MAX(0,9-SUMPRODUCT($OM114:$OR114,$I$5:$N$5)+MIN(8,$OS114*2+$OT114*4,SUMPRODUCT($OM114:$OR114,$I$5:$N$5)-IF($NS114=0,0,INDEX($I$5:$N$5,1,$NS114))))</f>
        <v/>
      </c>
      <c r="PJ114" s="164">
        <f>MAX(0,11-SUMPRODUCT($OM114:$OR114,$I$6:$N$6)+MIN(10,$OS114*3+$OT114*5,SUMPRODUCT($OM114:$OR114,$I$6:$N$6)-IF($NS114=0,0,INDEX($I$6:$N$6,1,$NS114))))</f>
        <v/>
      </c>
      <c r="PK114" s="164">
        <f>MAX(0,13-SUMPRODUCT($OM114:$OR114,$I$7:$N$7)+MIN(12,$OS114*3+$OT114*6,SUMPRODUCT($OM114:$OR114,$I$7:$N$7)-IF($NS114=0,0,INDEX($I$7:$N$7,1,$NS114))))</f>
        <v/>
      </c>
      <c r="PL114" s="164">
        <f>MAX(0,16-SUMPRODUCT($OM114:$OR114,$I$8:$N$8)+MIN(14,$OS114*4+$OT114*7,SUMPRODUCT($OM114:$OR114,$I$8:$N$8)-IF($NS114=0,0,INDEX($I$8:$N$8,1,$NS114))))</f>
        <v/>
      </c>
      <c r="PM114" s="164">
        <f>IF($OG114=2,3*$PF114&amp;" de vida temp.",IF($OG114=3,"sem dano",IF($PF114=0,IF($OG114=1,"sem cura","sem dano"),IF($OG114=1,"cura ","")&amp;$PF114&amp;"d8")))</f>
        <v/>
      </c>
      <c r="PN114" s="164">
        <f>IF($OG114=2,3*$PG114&amp;" de vida temp.",IF($OG114=3,"sem dano",IF($PG114=0,IF($OG114=1,"sem cura","sem dano"),IF($OG114=1,"cura ","")&amp;$PG114&amp;"d8")))</f>
        <v/>
      </c>
      <c r="PO114" s="164">
        <f>IF($OG114=2,3*$PH114&amp;" de vida temp.",IF($OG114=3,"sem dano",IF($PH114=0,IF($OG114=1,"sem cura","sem dano"),IF($OG114=1,"cura ","")&amp;$PH114&amp;"d8")))</f>
        <v/>
      </c>
      <c r="PP114" s="164">
        <f>IF($OG114=2,3*$PI114&amp;" de vida temp.",IF($OG114=3,"sem dano",IF($PI114=0,IF($OG114=1,"sem cura","sem dano"),IF($OG114=1,"cura ","")&amp;$PI114&amp;"d8")))</f>
        <v/>
      </c>
      <c r="PQ114" s="164">
        <f>IF($OG114=2,3*$PJ114&amp;" de vida temp.",IF($OG114=3,"sem dano",IF($PJ114=0,IF($OG114=1,"sem cura","sem dano"),IF($OG114=1,"cura ","")&amp;$PJ114&amp;"d8")))</f>
        <v/>
      </c>
      <c r="PR114" s="164">
        <f>IF($OG114=2,3*$PK114&amp;" de vida temp.",IF($OG114=3,"sem dano",IF($PK114=0,IF($OG114=1,"sem cura","sem dano"),IF($OG114=1,"cura ","")&amp;$PK114&amp;"d8")))</f>
        <v/>
      </c>
      <c r="PS114" s="164">
        <f>IF($OG114=2,3*$PL114&amp;" de vida temp.",IF($OG114=3,"sem dano",IF($PL114=0,IF($OG114=1,"sem cura","sem dano"),IF($OG114=1,"cura ","")&amp;$PL114&amp;"d8")))</f>
        <v/>
      </c>
      <c r="PT114" s="164">
        <f>IF($ND114=0,"",TEXTJOIN(" · ",TRUE,IF($ND114=0,"",TEXTJOIN(" · ",TRUE,IF($ND114=0,"",TEXTJOIN(" · ",TRUE,IF($MQ114&gt;$NE114,"Este lugar abre no nível "&amp;$MQ114,""),IF($MS114&gt;$NF114,"Classe "&amp;$MS114&amp;": o nível "&amp;$NE114&amp;" libera até a "&amp;$NF114,""),IF($NX114=1,"A Forma "&amp;$MU114&amp;" pede "&amp;INDEX('DADOS_FORMAS'!$GA$2:$GA$21,$NJ114)&amp;" aberta",""),IF(AND($MS114=0,$NJ114&gt;0,IF($NJ114=0,0,INDEX('DADOS_FORMAS'!$GJ$2:$GJ$21,$NJ114))=0),$MU114&amp;" não existe na Classe 0",""),IF($NY114=1,"Família Fechada: "&amp;$MX114,""),IF($NZ114=1,"Família Fechada: "&amp;$MY114,""),IF($OA114=1,"Família Fechada: "&amp;$MZ114,""),IF($OB114=1,"Família Fechada: "&amp;$NA114,""),IF(AND($MS114&gt;0,$OU114&gt;INDEX($O$2:$O$8,MAX(1,$MS114))),$OU114&amp;" Melhorias: a Classe "&amp;$MS114&amp;" aceita "&amp;INDEX($O$2:$O$8,MAX(1,$MS114)),""),IF(AND($MS114=0,$OU114&gt;1),"A básica aceita uma Melhoria",""),IF(AND($MS114=0,COUNTIF($NO114:$NR114,"&gt;1")&gt;0),"A básica só aceita Melhoria Leve",""),IF(AND($MS114&gt;0,$OV114&gt;2),$OV114&amp;" Restrições"&amp;IF($OF114=1,", contando a que a Forma "&amp;$MU114&amp;" já traz","")&amp;": o limite é 2",""),IF(AND($MS114=0,COUNTIF($NB114:$NC114,"?*")&gt;1),"A básica aceita uma Restrição Leve",""),IF(AND($MS114=0,COUNTIF($OI114:$OJ114,2)&gt;0),"A básica só aceita Restrição Leve",""),IF(AND($MS114&gt;0,$PC114&lt;0),"Orçamento estourado: faltam "&amp;(-$PC114)&amp;IF($PC114&lt;-1," pontos"," ponto"),""),IF(IFERROR(VLOOKUP(SUBSTITUTE(SUBSTITUTE(SUBSTITUTE($NB114,"~","~~"),"*","~*"),"?","~?"),'DADOS_RESTRICOES'!$M$2:$Q$54,4,FALSE),0)+IFERROR(VLOOKUP(SUBSTITUTE(SUBSTITUTE(SUBSTITUTE($NC114,"~","~~"),"*","~*"),"?","~?"),'DADOS_RESTRICOES'!$M$2:$Q$54,4,FALSE),0)&gt;1,$OK114&amp;" e "&amp;$OL114&amp;" são as duas de frequência",""),IF(AND((COUNTIF($RK114:$RN114,"Rápido")+COUNTIF($OK114:$OL114,"Rápido"))&gt;0,(COUNTIF($MX114:$NA114,"Atrasar")+COUNTIF($OK114:$OL114,"Atrasar"))&gt;0),"Rápido não entra com Atrasar",""),IF(AND((COUNTIF($RK114:$RN114,"Reação")+COUNTIF($OK114:$OL114,"Reação"))&gt;0,(COUNTIF($RK114:$RN114,"Rápido")+COUNTIF($OK114:$OL114,"Rápido"))&gt;0),"Reação não entra com Rápido",""),IF(AND((COUNTIF($RK114:$RN114,"Reação")+COUNTIF($OK114:$OL114,"Reação"))&gt;0,(COUNTIF($RK114:$RN114,"Armado")+COUNTIF($OK114:$OL114,"Armado"))&gt;0),"Reação não entra com Armado",""),IF(AND((COUNTIF($RK114:$RN114,"Reação")+COUNTIF($OK114:$OL114,"Reação"))&gt;0,(COUNTIF($MX114:$NA114,"Atrasar")+COUNTIF($OK114:$OL114,"Atrasar"))&gt;0),"Reação não entra com Atrasar",""),IF(AND((COUNTIF($RK114:$RN114,"Reação")+COUNTIF($OK114:$OL114,"Reação"))&gt;0,(COUNTIF($MX114:$NA114,"Parado")+COUNTIF($OK114:$OL114,"Parado"))&gt;0),"Reação não entra com Parado",""),IF(AND((COUNTIF($MX114:$NA114,"Atrasar")+COUNTIF($OK114:$OL114,"Atrasar"))&gt;0,(COUNTIF($MX114:$NA114,"Parado")+COUNTIF($OK114:$OL114,"Parado"))&gt;0),"Atrasar não entra com Parado",""),IF(AND((COUNTIF($RK114:$RN114,"Armado")+COUNTIF($OK114:$OL114,"Armado"))&gt;0,(COUNTIF($MX114:$NA114,"Carregar")+COUNTIF($OK114:$OL114,"Carregar"))&gt;0),"Armado não entra com Carregar",""),IF(AND(COUNTIF($OK114:$OL114,"Corpo a Corpo")&gt;0,$OF114=0,OR($RO114="Cone",$RO114="Linha")),"Corpo a Corpo não entra em "&amp;$MU114,""),IF(AND(COUNTIF($OK114:$OL114,"Corpo a Corpo")&gt;0,$RP114="Corpo a Corpo"),"A Forma "&amp;$MU114&amp;" já traz o Corpo a Corpo",""),IF(AND(COUNTIF($OK114:$OL114,"Tudo ou Nada")&gt;0,$OH114=0),"Tudo ou Nada só entra em habilidade de Teste de Resistência",""),IF(AND(COUNTIF($RK114:$RN114,"Inescapável")&gt;0,OR($OU114&gt;1,$OV114&gt;0)),"Inescapável não aceita outra peça",""),IF(AND($MS114&gt;0,$PD114*IF(COUNTIF($RK114:$RN114,"Remate")&gt;0,1.25,1)+$PE114&gt;4*$MS114),($PD114*IF(COUNTIF($RK114:$RN114,"Remate")&gt;0,1.25,1)+$PE114)&amp;" dados somando repetições"&amp;IF(COUNTIF($RK114:$RN114,"Remate")&gt;0," e o Remate","")&amp;": o teto da Classe "&amp;$MS114&amp;" é "&amp;4*$MS114,""))),IF(AND($MX114&lt;&gt;"",COUNTIF('DADOS_MELHORIAS'!$O$2:$O$113,SUBSTITUTE(SUBSTITUTE(SUBSTITUTE($MX114,"~","~~"),"*","~*"),"?","~?"))=0),"Melhoria não cadastrada ou com erro: "&amp;$MX114,""),IF(AND($MY114&lt;&gt;"",COUNTIF('DADOS_MELHORIAS'!$O$2:$O$113,SUBSTITUTE(SUBSTITUTE(SUBSTITUTE($MY114,"~","~~"),"*","~*"),"?","~?"))=0),"Melhoria não cadastrada ou com erro: "&amp;$MY114,""),IF(AND($MZ114&lt;&gt;"",COUNTIF('DADOS_MELHORIAS'!$O$2:$O$113,SUBSTITUTE(SUBSTITUTE(SUBSTITUTE($MZ114,"~","~~"),"*","~*"),"?","~?"))=0),"Melhoria não cadastrada ou com erro: "&amp;$MZ114,""),IF(AND($NA114&lt;&gt;"",COUNTIF('DADOS_MELHORIAS'!$O$2:$O$113,SUBSTITUTE(SUBSTITUTE(SUBSTITUTE($NA114,"~","~~"),"*","~*"),"?","~?"))=0),"Melhoria não cadastrada ou com erro: "&amp;$NA114,""),IF(AND($NB114&lt;&gt;"",COUNTIF('DADOS_RESTRICOES'!$M$2:$M$54,SUBSTITUTE(SUBSTITUTE(SUBSTITUTE($NB114,"~","~~"),"*","~*"),"?","~?"))=0),"Restrição não cadastrada ou com erro: "&amp;$NB114,""),IF(AND($NC114&lt;&gt;"",COUNTIF('DADOS_RESTRICOES'!$M$2:$M$54,SUBSTITUTE(SUBSTITUTE(SUBSTITUTE($NC114,"~","~~"),"*","~*"),"?","~?"))=0),"Restrição não cadastrada ou com erro: "&amp;$NC114,""))),IF(AND($MU114&lt;&gt;"",COUNTIF('DADOS_FORMAS'!$AH$2:$AH$21,SUBSTITUTE(SUBSTITUTE(SUBSTITUTE($MU114,"~","~~"),"*","~*"),"?","~?"))=0),"Forma não cadastrada ou com erro: "&amp;$MU114,""),IF(AND(IFERROR(INDEX('DADOS_FORMAS'!$AS$2:$AS$21,MATCH(SUBSTITUTE(SUBSTITUTE(SUBSTITUTE($MU114,"~","~~"),"*","~*"),"?","~?"),'DADOS_FORMAS'!$AH$2:$AH$21,0)),"")&lt;&gt;"",OR(IFERROR(VLOOKUP(SUBSTITUTE(SUBSTITUTE(SUBSTITUTE(IFERROR(INDEX('DADOS_FORMAS'!$AS$2:$AS$21,MATCH(SUBSTITUTE(SUBSTITUTE(SUBSTITUTE($MU114,"~","~~"),"*","~*"),"?","~?"),'DADOS_FORMAS'!$AH$2:$AH$21,0)),""),"~","~~"),"*","~*"),"?","~?"),'DADOS_RESTRICOES'!$M$2:$Q$54,2,FALSE),"")=$OK114,IFERROR(VLOOKUP(SUBSTITUTE(SUBSTITUTE(SUBSTITUTE(IFERROR(INDEX('DADOS_FORMAS'!$AS$2:$AS$21,MATCH(SUBSTITUTE(SUBSTITUTE(SUBSTITUTE($MU114,"~","~~"),"*","~*"),"?","~?"),'DADOS_FORMAS'!$AH$2:$AH$21,0)),""),"~","~~"),"*","~*"),"?","~?"),'DADOS_RESTRICOES'!$M$2:$Q$54,2,FALSE),"")=$OL114)),"Restrição repetida, contando a embutida",""),IF(IF(IFERROR(INDEX('DADOS_FORMAS'!$AS$2:$AS$21,MATCH(SUBSTITUTE(SUBSTITUTE(SUBSTITUTE($MU114,"~","~~"),"*","~*"),"?","~?"),'DADOS_FORMAS'!$AH$2:$AH$21,0)),"")="",0,IFERROR(N(VLOOKUP(SUBSTITUTE(SUBSTITUTE(SUBSTITUTE(IFERROR(INDEX('DADOS_FORMAS'!$AS$2:$AS$21,MATCH(SUBSTITUTE(SUBSTITUTE(SUBSTITUTE($MU114,"~","~~"),"*","~*"),"?","~?"),'DADOS_FORMAS'!$AH$2:$AH$21,0)),""),"~","~~"),"*","~*"),"?","~?"),'DADOS_RESTRICOES'!$M$2:$Q$54,4,FALSE)=1),0))+IF($NB114="",0,IFERROR(N(VLOOKUP(SUBSTITUTE(SUBSTITUTE(SUBSTITUTE($NB114,"~","~~"),"*","~*"),"?","~?"),'DADOS_RESTRICOES'!$M$2:$Q$54,4,FALSE)=1),0))+IF($NC114="",0,IFERROR(N(VLOOKUP(SUBSTITUTE(SUBSTITUTE(SUBSTITUTE($NC114,"~","~~"),"*","~*"),"?","~?"),'DADOS_RESTRICOES'!$M$2:$Q$54,4,FALSE)=1),0))&gt;1,"Duas Restrições de frequência, contando a embutida",""),IF(AND(IFERROR(VLOOKUP(SUBSTITUTE(SUBSTITUTE(SUBSTITUTE(IFERROR(INDEX('DADOS_FORMAS'!$AS$2:$AS$21,MATCH(SUBSTITUTE(SUBSTITUTE(SUBSTITUTE($MU114,"~","~~"),"*","~*"),"?","~?"),'DADOS_FORMAS'!$AH$2:$AH$21,0)),""),"~","~~"),"*","~*"),"?","~?"),'DADOS_RESTRICOES'!$M$2:$Q$54,2,FALSE),"")="Tudo ou Nada",$OH114=0),"Tudo ou Nada exige TR",""),IF(AND(IFERROR(VLOOKUP(SUBSTITUTE(SUBSTITUTE(SUBSTITUTE(IFERROR(INDEX('DADOS_FORMAS'!$AS$2:$AS$21,MATCH(SUBSTITUTE(SUBSTITUTE(SUBSTITUTE($MU114,"~","~~"),"*","~*"),"?","~?"),'DADOS_FORMAS'!$AH$2:$AH$21,0)),""),"~","~~"),"*","~*"),"?","~?"),'DADOS_RESTRICOES'!$M$2:$Q$54,2,FALSE),"")="Corpo a Corpo",OR($RO114="Cone",$RO114="Linha")),"Corpo a Corpo não entra em Cone/Linha","")))</f>
        <v/>
      </c>
      <c r="PU114" s="164">
        <f>IF($PT114="",0,(LEN($PT114)-LEN(SUBSTITUTE($PT114," · ","")))/3+1)</f>
        <v/>
      </c>
      <c r="PV114" s="164">
        <f>IF($ND114=0,"",TEXTJOIN(" · ",TRUE,IF($OX114&gt;2*$MS114,"A devolução parou no teto de "&amp;2*$MS114,""),IF($PA114&gt;0,"Devolução perdida: "&amp;$PA114&amp;IF($PA114&gt;1," pontos"," ponto")&amp;" sem Melhoria para pagar",""),IF(AND($OC114&gt;0,AND($MS114&gt;0,$OG114=0),$PD114=0),"Controle sem dano: uma rodada a mais e CD +2",""),IF(AND($OC114&gt;0,AND($MS114&gt;0,$OG114=0),$PD114&gt;0,$PD114&lt;=$MS114),"Controle com saldo até a Classe: uma rodada a mais",""),IF(AND($MS114&gt;0,$OE114&lt;&gt;""),"Efeito de "&amp;$OE114&amp;" pela Classe "&amp;MAX(1,$MS114-1),"")))</f>
        <v/>
      </c>
      <c r="PW114" s="164">
        <f>IF($PV114="",0,(LEN($PV114)-LEN(SUBSTITUTE($PV114," · ","")))/3+1)</f>
        <v/>
      </c>
      <c r="PX114" s="164">
        <f>IF($ND114=0,IF($OU114+COUNTIF($NB114:$NC114,"?*")&gt;0,"Dê um nome",""),IF($PU114&gt;0,"⚠ "&amp;$PU114&amp;IF($PU114&gt;1," erros"," erro"),IF($PW114&gt;0,"! "&amp;$PW114&amp;IF($PW114&gt;1," avisos"," aviso"),"Na regra")))</f>
        <v/>
      </c>
      <c r="PY114" s="164">
        <f>IF($ND114=0,"",IF($PU114+$PW114=0,"Dentro das regras que a ficha confere",$PT114&amp;IF(AND($PU114&gt;0,$PW114&gt;0)," · ","")&amp;$PV114))</f>
        <v/>
      </c>
      <c r="PZ114" s="164">
        <f>IF($MQ114&gt;$NE114,$MR114&amp;" · ABRE NO NÍVEL "&amp;$MQ114,$MR114)</f>
        <v/>
      </c>
      <c r="QA114" s="164">
        <f>IF($ND114=0,"",IF($MS114=0,"Sem PE",3*$MS114&amp;" PE"))</f>
        <v/>
      </c>
      <c r="QB114" s="164">
        <f>IF($ND114=0,"",IF($MS114=0,"A atuação básica dela",IF(COUNTIF($RQ114:$RS114,"Atrasar")&gt;0,"Sua Ação Completa",IF(COUNTIF($RK114:$RN114,"Rápido")&gt;0,"Sua Bônus",IF(COUNTIF($RK114:$RN114,"Reação")&gt;0,"Sua Reação","Sua Padrão")))&amp;" + a básica dela"&amp;IF(COUNTIF($RK114:$RN114,"Reação")&gt;0," e a coletiva","")&amp;IF(COUNTIF($RQ114:$RS114,"Carregar")&gt;0," · em dois turnos","")))</f>
        <v/>
      </c>
      <c r="QC114" s="164">
        <f>IF($MW114&lt;&gt;"",$MW114,IF($NJ114=0,"",INDEX('DADOS_FORMAS'!$GE$2:$GE$21,$NJ114)))</f>
        <v/>
      </c>
      <c r="QD114" s="164">
        <f>IF(OR($ND114=0,$NJ114=0),"",IF(COUNTIF($RK114:$RN114,"Inescapável")&gt;0,"Automático",IF($QC114="Ataque",IF($NH114="","Ataque","Ataque "&amp;IF(($NH114+2*IF(COUNTIF($RK114:$RN114,"Precisão")&gt;0,1,0))&gt;=0,"+","−")&amp;ABS(($NH114+2*IF(COUNTIF($RK114:$RN114,"Precisão")&gt;0,1,0))))&amp;IF($OD114&gt;0," · TR"&amp;IF($NI114="",""," CD "&amp;$NI114),""),IF(LEFT($QC114,2)="TR",$QC114&amp;IF($NI114="",""," · CD "&amp;$NI114)&amp;IF(COUNTIF($RK114:$RN114,"Certeiro")&gt;0," · metade",""),"Sem rolagem"))))</f>
        <v/>
      </c>
      <c r="QE114" s="164">
        <f>IF(OR($ND114=0,$NJ114=0),"",IF($MS114=0,IF(OR($OG114&gt;=1,$PD114=0),"Sem dano",$PD114&amp;"d6"&amp;IF($MV114="",""," "&amp;$MV114)),IF(OR($OG114&gt;=1,$PD114=0),UPPER(LEFT(INDEX($PM114:$PS114,1,MAX(1,$MS114)),1))&amp;MID(INDEX($PM114:$PS114,1,MAX(1,$MS114)),2,99),UPPER(LEFT(INDEX($PM114:$PS114,1,MAX(1,$MS114)),1))&amp;MID(INDEX($PM114:$PS114,1,MAX(1,$MS114)),2,99)&amp;IF($MV114="",""," "&amp;$MV114)&amp;IF($PE114&gt;0," · +"&amp;$PE114&amp;"d8",""))))</f>
        <v/>
      </c>
      <c r="QF114" s="164">
        <f>COUNTIF($RK114:$RN114,"Longe")+3*COUNTIF($RK114:$RN114,"Muito Longe")</f>
        <v/>
      </c>
      <c r="QG114" s="164">
        <f>COUNTIF($RK114:$RN114,"Maior")+3*COUNTIF($RK114:$RN114,"Muito Maior")</f>
        <v/>
      </c>
      <c r="QH114" s="164">
        <f>IF($NJ114=0,0,CHOOSE(1+INDEX('DADOS_FORMAS'!$GG$2:$GG$21,$NJ114),0,$QF114,$QG114,$QF114+$QG114))</f>
        <v/>
      </c>
      <c r="QI114" s="164">
        <f>IF($NJ114=0,0,CHOOSE(1+INDEX('DADOS_FORMAS'!$GH$2:$GH$21,$NJ114),0,$QF114,$QG114,$QF114+$QG114))</f>
        <v/>
      </c>
      <c r="QJ114" s="164">
        <f>IF(OR($ND114=0,$NJ114=0),"",INDEX('DADOS_FORMAS'!$HU$2:$HZ$81,($NJ114-1)*4+IF($MS114=0,1,IF($MS114&lt;=5,2,IF($MS114=6,3,4))),1+MIN(5,$QH114))&amp;INDEX('DADOS_FORMAS'!$IA$2:$IF$81,($NJ114-1)*4+IF($MS114=0,1,IF($MS114&lt;=5,2,IF($MS114=6,3,4))),1+MIN(5,$QI114))&amp;IF(INDEX('DADOS_FORMAS'!$GI$2:$GI$21,$NJ114)=1,IF(COUNTIF($RK114:$RN114,"Mais Um")&gt;0," · +"&amp;COUNTIF($RK114:$RN114,"Mais Um")&amp;IF(COUNTIF($RK114:$RN114,"Mais Um")&gt;1," alvos"," alvo"),"")&amp;IF(COUNTIF($RK114:$RN114,"Rajada")&gt;0,IF($MS114=0," · 1 tiro"," · "&amp;(MAX(1,$MS114-1)+1)&amp;" tiros"),""),""))</f>
        <v/>
      </c>
      <c r="QK114" s="164">
        <f>IF($ND114=0,"",IF($MS114=0,$NG114&amp;"d6"&amp;IF($OU114&gt;0," − 1 = "&amp;$PD114&amp;"d6"," da básica do nível "&amp;$NE114),$PB114&amp;" − "&amp;$OW114&amp;" + "&amp;$OZ114&amp;" = "&amp;$PC114&amp;" · teto "&amp;4*$MS114&amp;"d8"&amp;IF($OF114=1," · a Forma devolve "&amp;$MS114,"")&amp;IF($PA114&gt;0," · perde "&amp;$PA114,"")))</f>
        <v/>
      </c>
      <c r="QL114" s="164">
        <f>IF($ND114=0,"",IF($MS114=0,"A básica não amplia: os dados dela sobem com o nível",IF($MS114&gt;=$NF114,"Já está na maior Classe que o nível liberou",TEXTJOIN(" · ",TRUE,IF(AND(2&gt;$MS114,2&lt;=$NF114),"2 → "&amp;$PN114&amp;", 6 PE",""),IF(AND(3&gt;$MS114,3&lt;=$NF114),"3 → "&amp;$PO114&amp;", 9 PE",""),IF(AND(4&gt;$MS114,4&lt;=$NF114),"4 → "&amp;$PP114&amp;", 12 PE",""),IF(AND(5&gt;$MS114,5&lt;=$NF114),"5 → "&amp;$PQ114&amp;", 15 PE",""),IF(AND(6&gt;$MS114,6&lt;=$NF114),"6 → "&amp;$PR114&amp;", 18 PE",""),IF(AND(7&gt;$MS114,7&lt;=$NF114),"7 → "&amp;$PS114&amp;", 21 PE","")))))</f>
        <v/>
      </c>
      <c r="QM114" s="164">
        <f>IF(OR($ND114=0,$NO114=0),"",IF($MS114=0,"−1 dado","−"&amp;INDEX($I$2:$N$8,MAX(1,$MS114),MAX(1,$NT114))&amp;" · "&amp;CHOOSE(MAX(1,$NT114),"Leve","Média","Pesada","Leve · Livre","Média · Livre","Pesada · Livre")))</f>
        <v/>
      </c>
      <c r="QN114" s="164">
        <f>IF(OR($ND114=0,$NP114=0),"",IF($MS114=0,"−1 dado","−"&amp;INDEX($I$2:$N$8,MAX(1,$MS114),MAX(1,$NU114))&amp;" · "&amp;CHOOSE(MAX(1,$NU114),"Leve","Média","Pesada","Leve · Livre","Média · Livre","Pesada · Livre")))</f>
        <v/>
      </c>
      <c r="QO114" s="164">
        <f>IF(OR($ND114=0,$NQ114=0),"",IF($MS114=0,"−1 dado","−"&amp;INDEX($I$2:$N$8,MAX(1,$MS114),MAX(1,$NV114))&amp;" · "&amp;CHOOSE(MAX(1,$NV114),"Leve","Média","Pesada","Leve · Livre","Média · Livre","Pesada · Livre")))</f>
        <v/>
      </c>
      <c r="QP114" s="164">
        <f>IF(OR($ND114=0,$NR114=0),"",IF($MS114=0,"−1 dado","−"&amp;INDEX($I$2:$N$8,MAX(1,$MS114),MAX(1,$NW114))&amp;" · "&amp;CHOOSE(MAX(1,$NW114),"Leve","Média","Pesada","Leve · Livre","Média · Livre","Pesada · Livre")))</f>
        <v/>
      </c>
      <c r="QQ114" s="164">
        <f>IF(OR($ND114=0,$NB114=""),"",IF($MS114=0,"não devolve","+"&amp;IF($OI114=1,CEILING($MS114/2,1),$MS114)))</f>
        <v/>
      </c>
      <c r="QR114" s="164">
        <f>IF(OR($ND114=0,$NC114=""),"",IF($MS114=0,"não devolve","+"&amp;IF($OJ114=1,CEILING($MS114/2,1),$MS114)))</f>
        <v/>
      </c>
      <c r="RK114">
        <f>IF($MX114="","",IFERROR(VLOOKUP(SUBSTITUTE(SUBSTITUTE(SUBSTITUTE($MX114,"~","~~"),"*","~*"),"?","~?"),'DADOS_MELHORIAS'!$O$2:$X$113,10,FALSE),$MX114))</f>
        <v/>
      </c>
      <c r="RL114">
        <f>IF($MY114="","",IFERROR(VLOOKUP(SUBSTITUTE(SUBSTITUTE(SUBSTITUTE($MY114,"~","~~"),"*","~*"),"?","~?"),'DADOS_MELHORIAS'!$O$2:$X$113,10,FALSE),$MY114))</f>
        <v/>
      </c>
      <c r="RM114">
        <f>IF($MZ114="","",IFERROR(VLOOKUP(SUBSTITUTE(SUBSTITUTE(SUBSTITUTE($MZ114,"~","~~"),"*","~*"),"?","~?"),'DADOS_MELHORIAS'!$O$2:$X$113,10,FALSE),$MZ114))</f>
        <v/>
      </c>
      <c r="RN114">
        <f>IF($NA114="","",IFERROR(VLOOKUP(SUBSTITUTE(SUBSTITUTE(SUBSTITUTE($NA114,"~","~~"),"*","~*"),"?","~?"),'DADOS_MELHORIAS'!$O$2:$X$113,10,FALSE),$NA114))</f>
        <v/>
      </c>
      <c r="RO114">
        <f>IFERROR(INDEX('DADOS_FORMAS'!$BJ$2:$BJ$21,MATCH(SUBSTITUTE(SUBSTITUTE(SUBSTITUTE($MU114,"~","~~"),"*","~*"),"?","~?"),'DADOS_FORMAS'!$AH$2:$AH$21,0)),"")</f>
        <v/>
      </c>
      <c r="RP114">
        <f>IFERROR(VLOOKUP(SUBSTITUTE(SUBSTITUTE(SUBSTITUTE(IFERROR(INDEX('DADOS_FORMAS'!$AS$2:$AS$21,MATCH(SUBSTITUTE(SUBSTITUTE(SUBSTITUTE($MU114,"~","~~"),"*","~*"),"?","~?"),'DADOS_FORMAS'!$AH$2:$AH$21,0)),""),"~","~~"),"*","~*"),"?","~?"),'DADOS_RESTRICOES'!$M$2:$Q$54,2,FALSE),"")</f>
        <v/>
      </c>
      <c r="RQ114">
        <f>$OK114</f>
        <v/>
      </c>
      <c r="RR114">
        <f>$OL114</f>
        <v/>
      </c>
      <c r="RS114">
        <f>$RP114</f>
        <v/>
      </c>
    </row>
    <row r="115">
      <c r="MN115" s="162" t="inlineStr">
        <is>
          <t>Ficha 9 · Especial 8</t>
        </is>
      </c>
      <c r="MO115" s="164" t="n">
        <v>9</v>
      </c>
      <c r="MP115" s="164" t="n">
        <v>1</v>
      </c>
      <c r="MQ115" s="164" t="n">
        <v>28</v>
      </c>
      <c r="MR115" s="162" t="inlineStr">
        <is>
          <t>ESPECIAL 8</t>
        </is>
      </c>
      <c r="MS115" s="164">
        <f>MAX(1,MIN(7,N('INVOCAÇÕES'!$AB$571)))</f>
        <v/>
      </c>
      <c r="MT115" s="164">
        <f>'INVOCAÇÕES'!$AC$571&amp;""</f>
        <v/>
      </c>
      <c r="MU115" s="164">
        <f>'INVOCAÇÕES'!$AB$576&amp;""</f>
        <v/>
      </c>
      <c r="MV115" s="164">
        <f>'INVOCAÇÕES'!$AB$577&amp;""</f>
        <v/>
      </c>
      <c r="MW115" s="164">
        <f>'INVOCAÇÕES'!$AD$577&amp;""</f>
        <v/>
      </c>
      <c r="MX115" s="164">
        <f>'INVOCAÇÕES'!$AC$580&amp;""</f>
        <v/>
      </c>
      <c r="MY115" s="164">
        <f>'INVOCAÇÕES'!$AC$581&amp;""</f>
        <v/>
      </c>
      <c r="MZ115" s="164">
        <f>'INVOCAÇÕES'!$AC$582&amp;""</f>
        <v/>
      </c>
      <c r="NA115" s="164">
        <f>'INVOCAÇÕES'!$AC$583&amp;""</f>
        <v/>
      </c>
      <c r="NB115" s="164">
        <f>'INVOCAÇÕES'!$AC$584&amp;""</f>
        <v/>
      </c>
      <c r="NC115" s="164">
        <f>'INVOCAÇÕES'!$AC$585&amp;""</f>
        <v/>
      </c>
      <c r="ND115" s="164">
        <f>IF($MT115&lt;&gt;"",1,0)</f>
        <v/>
      </c>
      <c r="NE115" s="164">
        <f>INDEX($FO$2:$FO$13,$MO115)</f>
        <v/>
      </c>
      <c r="NF115" s="164">
        <f>INDEX($FP$2:$FP$13,$MO115)</f>
        <v/>
      </c>
      <c r="NG115" s="164">
        <f>INDEX($FQ$2:$FQ$13,$MO115)</f>
        <v/>
      </c>
      <c r="NH115" s="164">
        <f>INDEX($GB$2:$GB$13,$MO115)</f>
        <v/>
      </c>
      <c r="NI115" s="164">
        <f>INDEX($GC$2:$GC$13,$MO115)</f>
        <v/>
      </c>
      <c r="NJ115" s="164">
        <f>IFERROR(MATCH(SUBSTITUTE(SUBSTITUTE(SUBSTITUTE($MU115,"~","~~"),"*","~*"),"?","~?"),'DADOS_FORMAS'!$FZ$2:$FZ$21,0),0)</f>
        <v/>
      </c>
      <c r="NK115" s="164">
        <f>IFERROR(VLOOKUP(SUBSTITUTE(SUBSTITUTE(SUBSTITUTE($MX115,"~","~~"),"*","~*"),"?","~?"),'DADOS_MELHORIAS'!$AG$2:$AL$113,2,FALSE),"")</f>
        <v/>
      </c>
      <c r="NL115" s="164">
        <f>IFERROR(VLOOKUP(SUBSTITUTE(SUBSTITUTE(SUBSTITUTE($MY115,"~","~~"),"*","~*"),"?","~?"),'DADOS_MELHORIAS'!$AG$2:$AL$113,2,FALSE),"")</f>
        <v/>
      </c>
      <c r="NM115" s="164">
        <f>IFERROR(VLOOKUP(SUBSTITUTE(SUBSTITUTE(SUBSTITUTE($MZ115,"~","~~"),"*","~*"),"?","~?"),'DADOS_MELHORIAS'!$AG$2:$AL$113,2,FALSE),"")</f>
        <v/>
      </c>
      <c r="NN115" s="164">
        <f>IFERROR(VLOOKUP(SUBSTITUTE(SUBSTITUTE(SUBSTITUTE($NA115,"~","~~"),"*","~*"),"?","~?"),'DADOS_MELHORIAS'!$AG$2:$AL$113,2,FALSE),"")</f>
        <v/>
      </c>
      <c r="NO115" s="164">
        <f>IFERROR(VLOOKUP(SUBSTITUTE(SUBSTITUTE(SUBSTITUTE($MX115,"~","~~"),"*","~*"),"?","~?"),'DADOS_MELHORIAS'!$AG$2:$AL$113,3,FALSE),0)</f>
        <v/>
      </c>
      <c r="NP115" s="164">
        <f>IFERROR(VLOOKUP(SUBSTITUTE(SUBSTITUTE(SUBSTITUTE($MY115,"~","~~"),"*","~*"),"?","~?"),'DADOS_MELHORIAS'!$AG$2:$AL$113,3,FALSE),0)</f>
        <v/>
      </c>
      <c r="NQ115" s="164">
        <f>IFERROR(VLOOKUP(SUBSTITUTE(SUBSTITUTE(SUBSTITUTE($MZ115,"~","~~"),"*","~*"),"?","~?"),'DADOS_MELHORIAS'!$AG$2:$AL$113,3,FALSE),0)</f>
        <v/>
      </c>
      <c r="NR115" s="164">
        <f>IFERROR(VLOOKUP(SUBSTITUTE(SUBSTITUTE(SUBSTITUTE($NA115,"~","~~"),"*","~*"),"?","~?"),'DADOS_MELHORIAS'!$AG$2:$AL$113,3,FALSE),0)</f>
        <v/>
      </c>
      <c r="NS115" s="164">
        <f>IF($MS115=0,0,IF($NJ115=0,0,INDEX('DADOS_FORMAS'!$GB$2:$GB$21,$NJ115)))</f>
        <v/>
      </c>
      <c r="NT115" s="164">
        <f>IF(OR($NO115=0,$MS115=0),0,$NO115+3*IF(AND($NK115&lt;&gt;"",COUNTIF(INDEX($RB$2:$RJ$13,$MO115,0),$NK115)&gt;0),1,0))</f>
        <v/>
      </c>
      <c r="NU115" s="164">
        <f>IF(OR($NP115=0,$MS115=0),0,$NP115+3*IF(AND($NL115&lt;&gt;"",COUNTIF(INDEX($RB$2:$RJ$13,$MO115,0),$NL115)&gt;0),1,0))</f>
        <v/>
      </c>
      <c r="NV115" s="164">
        <f>IF(OR($NQ115=0,$MS115=0),0,$NQ115+3*IF(AND($NM115&lt;&gt;"",COUNTIF(INDEX($RB$2:$RJ$13,$MO115,0),$NM115)&gt;0),1,0))</f>
        <v/>
      </c>
      <c r="NW115" s="164">
        <f>IF(OR($NR115=0,$MS115=0),0,$NR115+3*IF(AND($NN115&lt;&gt;"",COUNTIF(INDEX($RB$2:$RJ$13,$MO115,0),$NN115)&gt;0),1,0))</f>
        <v/>
      </c>
      <c r="NX115" s="164">
        <f>IF($NJ115=0,0,IF(INDEX('DADOS_FORMAS'!$GA$2:$GA$21,$NJ115)="",0,IF((COUNTIF(INDEX($EL$2:$EP$13,$MO115,0),INDEX('DADOS_FORMAS'!$GA$2:$GA$21,$NJ115))+COUNTIF(INDEX($QV$2:$QY$13,$MO115,0),INDEX('DADOS_FORMAS'!$GA$2:$GA$21,$NJ115)))=0,1,0)))</f>
        <v/>
      </c>
      <c r="NY115" s="164">
        <f>IF(OR($NO115=0,$NK115=""),0,IF((COUNTIF(INDEX($EL$2:$EP$13,$MO115,0),$NK115)+COUNTIF(INDEX($QV$2:$QY$13,$MO115,0),$NK115))=0,1,0))</f>
        <v/>
      </c>
      <c r="NZ115" s="164">
        <f>IF(OR($NP115=0,$NL115=""),0,IF((COUNTIF(INDEX($EL$2:$EP$13,$MO115,0),$NL115)+COUNTIF(INDEX($QV$2:$QY$13,$MO115,0),$NL115))=0,1,0))</f>
        <v/>
      </c>
      <c r="OA115" s="164">
        <f>IF(OR($NQ115=0,$NM115=""),0,IF((COUNTIF(INDEX($EL$2:$EP$13,$MO115,0),$NM115)+COUNTIF(INDEX($QV$2:$QY$13,$MO115,0),$NM115))=0,1,0))</f>
        <v/>
      </c>
      <c r="OB115" s="164">
        <f>IF(OR($NR115=0,$NN115=""),0,IF((COUNTIF(INDEX($EL$2:$EP$13,$MO115,0),$NN115)+COUNTIF(INDEX($QV$2:$QY$13,$MO115,0),$NN115))=0,1,0))</f>
        <v/>
      </c>
      <c r="OC115" s="164">
        <f>IFERROR(VLOOKUP(SUBSTITUTE(SUBSTITUTE(SUBSTITUTE($MX115,"~","~~"),"*","~*"),"?","~?"),'DADOS_MELHORIAS'!$AG$2:$AL$113,4,FALSE),0)+IFERROR(VLOOKUP(SUBSTITUTE(SUBSTITUTE(SUBSTITUTE($MY115,"~","~~"),"*","~*"),"?","~?"),'DADOS_MELHORIAS'!$AG$2:$AL$113,4,FALSE),0)+IFERROR(VLOOKUP(SUBSTITUTE(SUBSTITUTE(SUBSTITUTE($MZ115,"~","~~"),"*","~*"),"?","~?"),'DADOS_MELHORIAS'!$AG$2:$AL$113,4,FALSE),0)+IFERROR(VLOOKUP(SUBSTITUTE(SUBSTITUTE(SUBSTITUTE($NA115,"~","~~"),"*","~*"),"?","~?"),'DADOS_MELHORIAS'!$AG$2:$AL$113,4,FALSE),0)</f>
        <v/>
      </c>
      <c r="OD115" s="164">
        <f>IFERROR(VLOOKUP(SUBSTITUTE(SUBSTITUTE(SUBSTITUTE($MX115,"~","~~"),"*","~*"),"?","~?"),'DADOS_MELHORIAS'!$AG$2:$AL$113,6,FALSE),0)+IFERROR(VLOOKUP(SUBSTITUTE(SUBSTITUTE(SUBSTITUTE($MY115,"~","~~"),"*","~*"),"?","~?"),'DADOS_MELHORIAS'!$AG$2:$AL$113,6,FALSE),0)+IFERROR(VLOOKUP(SUBSTITUTE(SUBSTITUTE(SUBSTITUTE($MZ115,"~","~~"),"*","~*"),"?","~?"),'DADOS_MELHORIAS'!$AG$2:$AL$113,6,FALSE),0)+IFERROR(VLOOKUP(SUBSTITUTE(SUBSTITUTE(SUBSTITUTE($NA115,"~","~~"),"*","~*"),"?","~?"),'DADOS_MELHORIAS'!$AG$2:$AL$113,6,FALSE),0)+IFERROR(N(AND(INDEX('DADOS_FORMAS'!$AO$2:$AO$21,MATCH(SUBSTITUTE(SUBSTITUTE(SUBSTITUTE($MU115,"~","~~"),"*","~*"),"?","~?"),'DADOS_FORMAS'!$AH$2:$AH$21,0))="Acerto",$OH115=1)),0)</f>
        <v/>
      </c>
      <c r="OE115" s="164">
        <f>TEXTJOIN(", ",TRUE,IF(IFERROR(VLOOKUP(SUBSTITUTE(SUBSTITUTE(SUBSTITUTE($MX115,"~","~~"),"*","~*"),"?","~?"),'DADOS_MELHORIAS'!$AG$2:$AL$113,5,FALSE),0)=1,$MX115,""),IF(IFERROR(VLOOKUP(SUBSTITUTE(SUBSTITUTE(SUBSTITUTE($MY115,"~","~~"),"*","~*"),"?","~?"),'DADOS_MELHORIAS'!$AG$2:$AL$113,5,FALSE),0)=1,$MY115,""),IF(IFERROR(VLOOKUP(SUBSTITUTE(SUBSTITUTE(SUBSTITUTE($MZ115,"~","~~"),"*","~*"),"?","~?"),'DADOS_MELHORIAS'!$AG$2:$AL$113,5,FALSE),0)=1,$MZ115,""),IF(IFERROR(VLOOKUP(SUBSTITUTE(SUBSTITUTE(SUBSTITUTE($NA115,"~","~~"),"*","~*"),"?","~?"),'DADOS_MELHORIAS'!$AG$2:$AL$113,5,FALSE),0)=1,$NA115,""))</f>
        <v/>
      </c>
      <c r="OF115" s="164">
        <f>IF($NJ115=0,0,INDEX('DADOS_FORMAS'!$GC$2:$GC$21,$NJ115))</f>
        <v/>
      </c>
      <c r="OG115" s="164">
        <f>IF($NJ115=0,0,INDEX('DADOS_FORMAS'!$GD$2:$GD$21,$NJ115))</f>
        <v/>
      </c>
      <c r="OH115" s="164">
        <f>IF($NJ115=0,0,INDEX('DADOS_FORMAS'!$GF$2:$GF$21,$NJ115))</f>
        <v/>
      </c>
      <c r="OI115" s="164">
        <f>IFERROR(VLOOKUP(SUBSTITUTE(SUBSTITUTE(SUBSTITUTE($NB115,"~","~~"),"*","~*"),"?","~?"),'DADOS_RESTRICOES'!$M$2:$Q$54,3,FALSE),0)</f>
        <v/>
      </c>
      <c r="OJ115" s="164">
        <f>IFERROR(VLOOKUP(SUBSTITUTE(SUBSTITUTE(SUBSTITUTE($NC115,"~","~~"),"*","~*"),"?","~?"),'DADOS_RESTRICOES'!$M$2:$Q$54,3,FALSE),0)</f>
        <v/>
      </c>
      <c r="OK115" s="164">
        <f>IFERROR(VLOOKUP(SUBSTITUTE(SUBSTITUTE(SUBSTITUTE($NB115,"~","~~"),"*","~*"),"?","~?"),'DADOS_RESTRICOES'!$M$2:$Q$54,2,FALSE),"")</f>
        <v/>
      </c>
      <c r="OL115" s="164">
        <f>IFERROR(VLOOKUP(SUBSTITUTE(SUBSTITUTE(SUBSTITUTE($NC115,"~","~~"),"*","~*"),"?","~?"),'DADOS_RESTRICOES'!$M$2:$Q$54,2,FALSE),"")</f>
        <v/>
      </c>
      <c r="OM115" s="164">
        <f>COUNTIF($NS115:$NW115,1)</f>
        <v/>
      </c>
      <c r="ON115" s="164">
        <f>COUNTIF($NS115:$NW115,2)</f>
        <v/>
      </c>
      <c r="OO115" s="164">
        <f>COUNTIF($NS115:$NW115,3)</f>
        <v/>
      </c>
      <c r="OP115" s="164">
        <f>COUNTIF($NS115:$NW115,4)</f>
        <v/>
      </c>
      <c r="OQ115" s="164">
        <f>COUNTIF($NS115:$NW115,5)</f>
        <v/>
      </c>
      <c r="OR115" s="164">
        <f>COUNTIF($NS115:$NW115,6)</f>
        <v/>
      </c>
      <c r="OS115" s="164">
        <f>COUNTIF($OI115:$OJ115,1)+IF(IFERROR(INDEX('DADOS_FORMAS'!$AS$2:$AS$21,MATCH(SUBSTITUTE(SUBSTITUTE(SUBSTITUTE($MU115,"~","~~"),"*","~*"),"?","~?"),'DADOS_FORMAS'!$AH$2:$AH$21,0)),"")="",0,IFERROR(N(VLOOKUP(SUBSTITUTE(SUBSTITUTE(SUBSTITUTE(IFERROR(INDEX('DADOS_FORMAS'!$AS$2:$AS$21,MATCH(SUBSTITUTE(SUBSTITUTE(SUBSTITUTE($MU115,"~","~~"),"*","~*"),"?","~?"),'DADOS_FORMAS'!$AH$2:$AH$21,0)),""),"~","~~"),"*","~*"),"?","~?"),'DADOS_RESTRICOES'!$M$2:$Q$54,3,FALSE)=1),0))</f>
        <v/>
      </c>
      <c r="OT115" s="164">
        <f>COUNTIF($OI115:$OJ115,2)+IF(IFERROR(INDEX('DADOS_FORMAS'!$AS$2:$AS$21,MATCH(SUBSTITUTE(SUBSTITUTE(SUBSTITUTE($MU115,"~","~~"),"*","~*"),"?","~?"),'DADOS_FORMAS'!$AH$2:$AH$21,0)),"")="",0,IFERROR(N(VLOOKUP(SUBSTITUTE(SUBSTITUTE(SUBSTITUTE(IFERROR(INDEX('DADOS_FORMAS'!$AS$2:$AS$21,MATCH(SUBSTITUTE(SUBSTITUTE(SUBSTITUTE($MU115,"~","~~"),"*","~*"),"?","~?"),'DADOS_FORMAS'!$AH$2:$AH$21,0)),""),"~","~~"),"*","~*"),"?","~?"),'DADOS_RESTRICOES'!$M$2:$Q$54,3,FALSE)=2),0))</f>
        <v/>
      </c>
      <c r="OU115" s="164">
        <f>COUNTIF($MX115:$NA115,"?*")</f>
        <v/>
      </c>
      <c r="OV115" s="164">
        <f>COUNTIF($NB115:$NC115,"?*")+$OF115</f>
        <v/>
      </c>
      <c r="OW115" s="164">
        <f>IF($MS115=0,0,SUMPRODUCT($OM115:$OR115,INDEX($I$2:$N$8,MAX(1,$MS115),0)))</f>
        <v/>
      </c>
      <c r="OX115" s="164">
        <f>IF($MS115=0,0,$OS115*CEILING($MS115/2,1)+$OT115*$MS115)</f>
        <v/>
      </c>
      <c r="OY115" s="164">
        <f>MIN(2*$MS115,$OX115)</f>
        <v/>
      </c>
      <c r="OZ115" s="164">
        <f>MIN($OY115,$OW115-IF($NS115=0,0,INDEX($I$2:$N$8,MAX(1,$MS115),$NS115)))</f>
        <v/>
      </c>
      <c r="PA115" s="164">
        <f>$OY115-$OZ115</f>
        <v/>
      </c>
      <c r="PB115" s="164">
        <f>IF($MS115=0,0,INDEX($P$2:$P$8,MAX(1,$MS115)))</f>
        <v/>
      </c>
      <c r="PC115" s="164">
        <f>$PB115-$OW115+$OZ115</f>
        <v/>
      </c>
      <c r="PD115" s="164">
        <f>IF($MS115=0,MAX(0,$NG115-IF(AND($OU115&gt;0,COUNTIF($NB115:$NC115,"?*")=0),1,0)),MAX(0,$PC115))</f>
        <v/>
      </c>
      <c r="PE115" s="164">
        <f>IF($MS115=0,0,(IF(COUNTIF($RK115:$RN115,"Salto")&gt;0,1,0)+IF(COUNTIF($RK115:$RN115,"Queima")&gt;0,1,0)+IF(COUNTIF($RK115:$RN115,"Estilhaço")&gt;0,1,0))*FLOOR($PD115/2,1))</f>
        <v/>
      </c>
      <c r="PF115" s="164">
        <f>MAX(0,2-SUMPRODUCT($OM115:$OR115,$I$2:$N$2)+MIN(2,$OS115*1+$OT115*1,SUMPRODUCT($OM115:$OR115,$I$2:$N$2)-IF($NS115=0,0,INDEX($I$2:$N$2,1,$NS115))))</f>
        <v/>
      </c>
      <c r="PG115" s="164">
        <f>MAX(0,4-SUMPRODUCT($OM115:$OR115,$I$3:$N$3)+MIN(4,$OS115*1+$OT115*2,SUMPRODUCT($OM115:$OR115,$I$3:$N$3)-IF($NS115=0,0,INDEX($I$3:$N$3,1,$NS115))))</f>
        <v/>
      </c>
      <c r="PH115" s="164">
        <f>MAX(0,6-SUMPRODUCT($OM115:$OR115,$I$4:$N$4)+MIN(6,$OS115*2+$OT115*3,SUMPRODUCT($OM115:$OR115,$I$4:$N$4)-IF($NS115=0,0,INDEX($I$4:$N$4,1,$NS115))))</f>
        <v/>
      </c>
      <c r="PI115" s="164">
        <f>MAX(0,9-SUMPRODUCT($OM115:$OR115,$I$5:$N$5)+MIN(8,$OS115*2+$OT115*4,SUMPRODUCT($OM115:$OR115,$I$5:$N$5)-IF($NS115=0,0,INDEX($I$5:$N$5,1,$NS115))))</f>
        <v/>
      </c>
      <c r="PJ115" s="164">
        <f>MAX(0,11-SUMPRODUCT($OM115:$OR115,$I$6:$N$6)+MIN(10,$OS115*3+$OT115*5,SUMPRODUCT($OM115:$OR115,$I$6:$N$6)-IF($NS115=0,0,INDEX($I$6:$N$6,1,$NS115))))</f>
        <v/>
      </c>
      <c r="PK115" s="164">
        <f>MAX(0,13-SUMPRODUCT($OM115:$OR115,$I$7:$N$7)+MIN(12,$OS115*3+$OT115*6,SUMPRODUCT($OM115:$OR115,$I$7:$N$7)-IF($NS115=0,0,INDEX($I$7:$N$7,1,$NS115))))</f>
        <v/>
      </c>
      <c r="PL115" s="164">
        <f>MAX(0,16-SUMPRODUCT($OM115:$OR115,$I$8:$N$8)+MIN(14,$OS115*4+$OT115*7,SUMPRODUCT($OM115:$OR115,$I$8:$N$8)-IF($NS115=0,0,INDEX($I$8:$N$8,1,$NS115))))</f>
        <v/>
      </c>
      <c r="PM115" s="164">
        <f>IF($OG115=2,3*$PF115&amp;" de vida temp.",IF($OG115=3,"sem dano",IF($PF115=0,IF($OG115=1,"sem cura","sem dano"),IF($OG115=1,"cura ","")&amp;$PF115&amp;"d8")))</f>
        <v/>
      </c>
      <c r="PN115" s="164">
        <f>IF($OG115=2,3*$PG115&amp;" de vida temp.",IF($OG115=3,"sem dano",IF($PG115=0,IF($OG115=1,"sem cura","sem dano"),IF($OG115=1,"cura ","")&amp;$PG115&amp;"d8")))</f>
        <v/>
      </c>
      <c r="PO115" s="164">
        <f>IF($OG115=2,3*$PH115&amp;" de vida temp.",IF($OG115=3,"sem dano",IF($PH115=0,IF($OG115=1,"sem cura","sem dano"),IF($OG115=1,"cura ","")&amp;$PH115&amp;"d8")))</f>
        <v/>
      </c>
      <c r="PP115" s="164">
        <f>IF($OG115=2,3*$PI115&amp;" de vida temp.",IF($OG115=3,"sem dano",IF($PI115=0,IF($OG115=1,"sem cura","sem dano"),IF($OG115=1,"cura ","")&amp;$PI115&amp;"d8")))</f>
        <v/>
      </c>
      <c r="PQ115" s="164">
        <f>IF($OG115=2,3*$PJ115&amp;" de vida temp.",IF($OG115=3,"sem dano",IF($PJ115=0,IF($OG115=1,"sem cura","sem dano"),IF($OG115=1,"cura ","")&amp;$PJ115&amp;"d8")))</f>
        <v/>
      </c>
      <c r="PR115" s="164">
        <f>IF($OG115=2,3*$PK115&amp;" de vida temp.",IF($OG115=3,"sem dano",IF($PK115=0,IF($OG115=1,"sem cura","sem dano"),IF($OG115=1,"cura ","")&amp;$PK115&amp;"d8")))</f>
        <v/>
      </c>
      <c r="PS115" s="164">
        <f>IF($OG115=2,3*$PL115&amp;" de vida temp.",IF($OG115=3,"sem dano",IF($PL115=0,IF($OG115=1,"sem cura","sem dano"),IF($OG115=1,"cura ","")&amp;$PL115&amp;"d8")))</f>
        <v/>
      </c>
      <c r="PT115" s="164">
        <f>IF($ND115=0,"",TEXTJOIN(" · ",TRUE,IF($ND115=0,"",TEXTJOIN(" · ",TRUE,IF($ND115=0,"",TEXTJOIN(" · ",TRUE,IF($MQ115&gt;$NE115,"Este lugar abre no nível "&amp;$MQ115,""),IF($MS115&gt;$NF115,"Classe "&amp;$MS115&amp;": o nível "&amp;$NE115&amp;" libera até a "&amp;$NF115,""),IF($NX115=1,"A Forma "&amp;$MU115&amp;" pede "&amp;INDEX('DADOS_FORMAS'!$GA$2:$GA$21,$NJ115)&amp;" aberta",""),IF(AND($MS115=0,$NJ115&gt;0,IF($NJ115=0,0,INDEX('DADOS_FORMAS'!$GJ$2:$GJ$21,$NJ115))=0),$MU115&amp;" não existe na Classe 0",""),IF($NY115=1,"Família Fechada: "&amp;$MX115,""),IF($NZ115=1,"Família Fechada: "&amp;$MY115,""),IF($OA115=1,"Família Fechada: "&amp;$MZ115,""),IF($OB115=1,"Família Fechada: "&amp;$NA115,""),IF(AND($MS115&gt;0,$OU115&gt;INDEX($O$2:$O$8,MAX(1,$MS115))),$OU115&amp;" Melhorias: a Classe "&amp;$MS115&amp;" aceita "&amp;INDEX($O$2:$O$8,MAX(1,$MS115)),""),IF(AND($MS115=0,$OU115&gt;1),"A básica aceita uma Melhoria",""),IF(AND($MS115=0,COUNTIF($NO115:$NR115,"&gt;1")&gt;0),"A básica só aceita Melhoria Leve",""),IF(AND($MS115&gt;0,$OV115&gt;2),$OV115&amp;" Restrições"&amp;IF($OF115=1,", contando a que a Forma "&amp;$MU115&amp;" já traz","")&amp;": o limite é 2",""),IF(AND($MS115=0,COUNTIF($NB115:$NC115,"?*")&gt;1),"A básica aceita uma Restrição Leve",""),IF(AND($MS115=0,COUNTIF($OI115:$OJ115,2)&gt;0),"A básica só aceita Restrição Leve",""),IF(AND($MS115&gt;0,$PC115&lt;0),"Orçamento estourado: faltam "&amp;(-$PC115)&amp;IF($PC115&lt;-1," pontos"," ponto"),""),IF(IFERROR(VLOOKUP(SUBSTITUTE(SUBSTITUTE(SUBSTITUTE($NB115,"~","~~"),"*","~*"),"?","~?"),'DADOS_RESTRICOES'!$M$2:$Q$54,4,FALSE),0)+IFERROR(VLOOKUP(SUBSTITUTE(SUBSTITUTE(SUBSTITUTE($NC115,"~","~~"),"*","~*"),"?","~?"),'DADOS_RESTRICOES'!$M$2:$Q$54,4,FALSE),0)&gt;1,$OK115&amp;" e "&amp;$OL115&amp;" são as duas de frequência",""),IF(AND((COUNTIF($RK115:$RN115,"Rápido")+COUNTIF($OK115:$OL115,"Rápido"))&gt;0,(COUNTIF($MX115:$NA115,"Atrasar")+COUNTIF($OK115:$OL115,"Atrasar"))&gt;0),"Rápido não entra com Atrasar",""),IF(AND((COUNTIF($RK115:$RN115,"Reação")+COUNTIF($OK115:$OL115,"Reação"))&gt;0,(COUNTIF($RK115:$RN115,"Rápido")+COUNTIF($OK115:$OL115,"Rápido"))&gt;0),"Reação não entra com Rápido",""),IF(AND((COUNTIF($RK115:$RN115,"Reação")+COUNTIF($OK115:$OL115,"Reação"))&gt;0,(COUNTIF($RK115:$RN115,"Armado")+COUNTIF($OK115:$OL115,"Armado"))&gt;0),"Reação não entra com Armado",""),IF(AND((COUNTIF($RK115:$RN115,"Reação")+COUNTIF($OK115:$OL115,"Reação"))&gt;0,(COUNTIF($MX115:$NA115,"Atrasar")+COUNTIF($OK115:$OL115,"Atrasar"))&gt;0),"Reação não entra com Atrasar",""),IF(AND((COUNTIF($RK115:$RN115,"Reação")+COUNTIF($OK115:$OL115,"Reação"))&gt;0,(COUNTIF($MX115:$NA115,"Parado")+COUNTIF($OK115:$OL115,"Parado"))&gt;0),"Reação não entra com Parado",""),IF(AND((COUNTIF($MX115:$NA115,"Atrasar")+COUNTIF($OK115:$OL115,"Atrasar"))&gt;0,(COUNTIF($MX115:$NA115,"Parado")+COUNTIF($OK115:$OL115,"Parado"))&gt;0),"Atrasar não entra com Parado",""),IF(AND((COUNTIF($RK115:$RN115,"Armado")+COUNTIF($OK115:$OL115,"Armado"))&gt;0,(COUNTIF($MX115:$NA115,"Carregar")+COUNTIF($OK115:$OL115,"Carregar"))&gt;0),"Armado não entra com Carregar",""),IF(AND(COUNTIF($OK115:$OL115,"Corpo a Corpo")&gt;0,$OF115=0,OR($RO115="Cone",$RO115="Linha")),"Corpo a Corpo não entra em "&amp;$MU115,""),IF(AND(COUNTIF($OK115:$OL115,"Corpo a Corpo")&gt;0,$RP115="Corpo a Corpo"),"A Forma "&amp;$MU115&amp;" já traz o Corpo a Corpo",""),IF(AND(COUNTIF($OK115:$OL115,"Tudo ou Nada")&gt;0,$OH115=0),"Tudo ou Nada só entra em habilidade de Teste de Resistência",""),IF(AND(COUNTIF($RK115:$RN115,"Inescapável")&gt;0,OR($OU115&gt;1,$OV115&gt;0)),"Inescapável não aceita outra peça",""),IF(AND($MS115&gt;0,$PD115*IF(COUNTIF($RK115:$RN115,"Remate")&gt;0,1.25,1)+$PE115&gt;4*$MS115),($PD115*IF(COUNTIF($RK115:$RN115,"Remate")&gt;0,1.25,1)+$PE115)&amp;" dados somando repetições"&amp;IF(COUNTIF($RK115:$RN115,"Remate")&gt;0," e o Remate","")&amp;": o teto da Classe "&amp;$MS115&amp;" é "&amp;4*$MS115,""))),IF(AND($MX115&lt;&gt;"",COUNTIF('DADOS_MELHORIAS'!$O$2:$O$113,SUBSTITUTE(SUBSTITUTE(SUBSTITUTE($MX115,"~","~~"),"*","~*"),"?","~?"))=0),"Melhoria não cadastrada ou com erro: "&amp;$MX115,""),IF(AND($MY115&lt;&gt;"",COUNTIF('DADOS_MELHORIAS'!$O$2:$O$113,SUBSTITUTE(SUBSTITUTE(SUBSTITUTE($MY115,"~","~~"),"*","~*"),"?","~?"))=0),"Melhoria não cadastrada ou com erro: "&amp;$MY115,""),IF(AND($MZ115&lt;&gt;"",COUNTIF('DADOS_MELHORIAS'!$O$2:$O$113,SUBSTITUTE(SUBSTITUTE(SUBSTITUTE($MZ115,"~","~~"),"*","~*"),"?","~?"))=0),"Melhoria não cadastrada ou com erro: "&amp;$MZ115,""),IF(AND($NA115&lt;&gt;"",COUNTIF('DADOS_MELHORIAS'!$O$2:$O$113,SUBSTITUTE(SUBSTITUTE(SUBSTITUTE($NA115,"~","~~"),"*","~*"),"?","~?"))=0),"Melhoria não cadastrada ou com erro: "&amp;$NA115,""),IF(AND($NB115&lt;&gt;"",COUNTIF('DADOS_RESTRICOES'!$M$2:$M$54,SUBSTITUTE(SUBSTITUTE(SUBSTITUTE($NB115,"~","~~"),"*","~*"),"?","~?"))=0),"Restrição não cadastrada ou com erro: "&amp;$NB115,""),IF(AND($NC115&lt;&gt;"",COUNTIF('DADOS_RESTRICOES'!$M$2:$M$54,SUBSTITUTE(SUBSTITUTE(SUBSTITUTE($NC115,"~","~~"),"*","~*"),"?","~?"))=0),"Restrição não cadastrada ou com erro: "&amp;$NC115,""))),IF(AND($MU115&lt;&gt;"",COUNTIF('DADOS_FORMAS'!$AH$2:$AH$21,SUBSTITUTE(SUBSTITUTE(SUBSTITUTE($MU115,"~","~~"),"*","~*"),"?","~?"))=0),"Forma não cadastrada ou com erro: "&amp;$MU115,""),IF(AND(IFERROR(INDEX('DADOS_FORMAS'!$AS$2:$AS$21,MATCH(SUBSTITUTE(SUBSTITUTE(SUBSTITUTE($MU115,"~","~~"),"*","~*"),"?","~?"),'DADOS_FORMAS'!$AH$2:$AH$21,0)),"")&lt;&gt;"",OR(IFERROR(VLOOKUP(SUBSTITUTE(SUBSTITUTE(SUBSTITUTE(IFERROR(INDEX('DADOS_FORMAS'!$AS$2:$AS$21,MATCH(SUBSTITUTE(SUBSTITUTE(SUBSTITUTE($MU115,"~","~~"),"*","~*"),"?","~?"),'DADOS_FORMAS'!$AH$2:$AH$21,0)),""),"~","~~"),"*","~*"),"?","~?"),'DADOS_RESTRICOES'!$M$2:$Q$54,2,FALSE),"")=$OK115,IFERROR(VLOOKUP(SUBSTITUTE(SUBSTITUTE(SUBSTITUTE(IFERROR(INDEX('DADOS_FORMAS'!$AS$2:$AS$21,MATCH(SUBSTITUTE(SUBSTITUTE(SUBSTITUTE($MU115,"~","~~"),"*","~*"),"?","~?"),'DADOS_FORMAS'!$AH$2:$AH$21,0)),""),"~","~~"),"*","~*"),"?","~?"),'DADOS_RESTRICOES'!$M$2:$Q$54,2,FALSE),"")=$OL115)),"Restrição repetida, contando a embutida",""),IF(IF(IFERROR(INDEX('DADOS_FORMAS'!$AS$2:$AS$21,MATCH(SUBSTITUTE(SUBSTITUTE(SUBSTITUTE($MU115,"~","~~"),"*","~*"),"?","~?"),'DADOS_FORMAS'!$AH$2:$AH$21,0)),"")="",0,IFERROR(N(VLOOKUP(SUBSTITUTE(SUBSTITUTE(SUBSTITUTE(IFERROR(INDEX('DADOS_FORMAS'!$AS$2:$AS$21,MATCH(SUBSTITUTE(SUBSTITUTE(SUBSTITUTE($MU115,"~","~~"),"*","~*"),"?","~?"),'DADOS_FORMAS'!$AH$2:$AH$21,0)),""),"~","~~"),"*","~*"),"?","~?"),'DADOS_RESTRICOES'!$M$2:$Q$54,4,FALSE)=1),0))+IF($NB115="",0,IFERROR(N(VLOOKUP(SUBSTITUTE(SUBSTITUTE(SUBSTITUTE($NB115,"~","~~"),"*","~*"),"?","~?"),'DADOS_RESTRICOES'!$M$2:$Q$54,4,FALSE)=1),0))+IF($NC115="",0,IFERROR(N(VLOOKUP(SUBSTITUTE(SUBSTITUTE(SUBSTITUTE($NC115,"~","~~"),"*","~*"),"?","~?"),'DADOS_RESTRICOES'!$M$2:$Q$54,4,FALSE)=1),0))&gt;1,"Duas Restrições de frequência, contando a embutida",""),IF(AND(IFERROR(VLOOKUP(SUBSTITUTE(SUBSTITUTE(SUBSTITUTE(IFERROR(INDEX('DADOS_FORMAS'!$AS$2:$AS$21,MATCH(SUBSTITUTE(SUBSTITUTE(SUBSTITUTE($MU115,"~","~~"),"*","~*"),"?","~?"),'DADOS_FORMAS'!$AH$2:$AH$21,0)),""),"~","~~"),"*","~*"),"?","~?"),'DADOS_RESTRICOES'!$M$2:$Q$54,2,FALSE),"")="Tudo ou Nada",$OH115=0),"Tudo ou Nada exige TR",""),IF(AND(IFERROR(VLOOKUP(SUBSTITUTE(SUBSTITUTE(SUBSTITUTE(IFERROR(INDEX('DADOS_FORMAS'!$AS$2:$AS$21,MATCH(SUBSTITUTE(SUBSTITUTE(SUBSTITUTE($MU115,"~","~~"),"*","~*"),"?","~?"),'DADOS_FORMAS'!$AH$2:$AH$21,0)),""),"~","~~"),"*","~*"),"?","~?"),'DADOS_RESTRICOES'!$M$2:$Q$54,2,FALSE),"")="Corpo a Corpo",OR($RO115="Cone",$RO115="Linha")),"Corpo a Corpo não entra em Cone/Linha","")))</f>
        <v/>
      </c>
      <c r="PU115" s="164">
        <f>IF($PT115="",0,(LEN($PT115)-LEN(SUBSTITUTE($PT115," · ","")))/3+1)</f>
        <v/>
      </c>
      <c r="PV115" s="164">
        <f>IF($ND115=0,"",TEXTJOIN(" · ",TRUE,IF($OX115&gt;2*$MS115,"A devolução parou no teto de "&amp;2*$MS115,""),IF($PA115&gt;0,"Devolução perdida: "&amp;$PA115&amp;IF($PA115&gt;1," pontos"," ponto")&amp;" sem Melhoria para pagar",""),IF(AND($OC115&gt;0,AND($MS115&gt;0,$OG115=0),$PD115=0),"Controle sem dano: uma rodada a mais e CD +2",""),IF(AND($OC115&gt;0,AND($MS115&gt;0,$OG115=0),$PD115&gt;0,$PD115&lt;=$MS115),"Controle com saldo até a Classe: uma rodada a mais",""),IF(AND($MS115&gt;0,$OE115&lt;&gt;""),"Efeito de "&amp;$OE115&amp;" pela Classe "&amp;MAX(1,$MS115-1),"")))</f>
        <v/>
      </c>
      <c r="PW115" s="164">
        <f>IF($PV115="",0,(LEN($PV115)-LEN(SUBSTITUTE($PV115," · ","")))/3+1)</f>
        <v/>
      </c>
      <c r="PX115" s="164">
        <f>IF($ND115=0,IF($OU115+COUNTIF($NB115:$NC115,"?*")&gt;0,"Dê um nome",""),IF($PU115&gt;0,"⚠ "&amp;$PU115&amp;IF($PU115&gt;1," erros"," erro"),IF($PW115&gt;0,"! "&amp;$PW115&amp;IF($PW115&gt;1," avisos"," aviso"),"Na regra")))</f>
        <v/>
      </c>
      <c r="PY115" s="164">
        <f>IF($ND115=0,"",IF($PU115+$PW115=0,"Dentro das regras que a ficha confere",$PT115&amp;IF(AND($PU115&gt;0,$PW115&gt;0)," · ","")&amp;$PV115))</f>
        <v/>
      </c>
      <c r="PZ115" s="164">
        <f>IF($MQ115&gt;$NE115,$MR115&amp;" · ABRE NO NÍVEL "&amp;$MQ115,$MR115)</f>
        <v/>
      </c>
      <c r="QA115" s="164">
        <f>IF($ND115=0,"",IF($MS115=0,"Sem PE",3*$MS115&amp;" PE"))</f>
        <v/>
      </c>
      <c r="QB115" s="164">
        <f>IF($ND115=0,"",IF($MS115=0,"A atuação básica dela",IF(COUNTIF($RQ115:$RS115,"Atrasar")&gt;0,"Sua Ação Completa",IF(COUNTIF($RK115:$RN115,"Rápido")&gt;0,"Sua Bônus",IF(COUNTIF($RK115:$RN115,"Reação")&gt;0,"Sua Reação","Sua Padrão")))&amp;" + a básica dela"&amp;IF(COUNTIF($RK115:$RN115,"Reação")&gt;0," e a coletiva","")&amp;IF(COUNTIF($RQ115:$RS115,"Carregar")&gt;0," · em dois turnos","")))</f>
        <v/>
      </c>
      <c r="QC115" s="164">
        <f>IF($MW115&lt;&gt;"",$MW115,IF($NJ115=0,"",INDEX('DADOS_FORMAS'!$GE$2:$GE$21,$NJ115)))</f>
        <v/>
      </c>
      <c r="QD115" s="164">
        <f>IF(OR($ND115=0,$NJ115=0),"",IF(COUNTIF($RK115:$RN115,"Inescapável")&gt;0,"Automático",IF($QC115="Ataque",IF($NH115="","Ataque","Ataque "&amp;IF(($NH115+2*IF(COUNTIF($RK115:$RN115,"Precisão")&gt;0,1,0))&gt;=0,"+","−")&amp;ABS(($NH115+2*IF(COUNTIF($RK115:$RN115,"Precisão")&gt;0,1,0))))&amp;IF($OD115&gt;0," · TR"&amp;IF($NI115="",""," CD "&amp;$NI115),""),IF(LEFT($QC115,2)="TR",$QC115&amp;IF($NI115="",""," · CD "&amp;$NI115)&amp;IF(COUNTIF($RK115:$RN115,"Certeiro")&gt;0," · metade",""),"Sem rolagem"))))</f>
        <v/>
      </c>
      <c r="QE115" s="164">
        <f>IF(OR($ND115=0,$NJ115=0),"",IF($MS115=0,IF(OR($OG115&gt;=1,$PD115=0),"Sem dano",$PD115&amp;"d6"&amp;IF($MV115="",""," "&amp;$MV115)),IF(OR($OG115&gt;=1,$PD115=0),UPPER(LEFT(INDEX($PM115:$PS115,1,MAX(1,$MS115)),1))&amp;MID(INDEX($PM115:$PS115,1,MAX(1,$MS115)),2,99),UPPER(LEFT(INDEX($PM115:$PS115,1,MAX(1,$MS115)),1))&amp;MID(INDEX($PM115:$PS115,1,MAX(1,$MS115)),2,99)&amp;IF($MV115="",""," "&amp;$MV115)&amp;IF($PE115&gt;0," · +"&amp;$PE115&amp;"d8",""))))</f>
        <v/>
      </c>
      <c r="QF115" s="164">
        <f>COUNTIF($RK115:$RN115,"Longe")+3*COUNTIF($RK115:$RN115,"Muito Longe")</f>
        <v/>
      </c>
      <c r="QG115" s="164">
        <f>COUNTIF($RK115:$RN115,"Maior")+3*COUNTIF($RK115:$RN115,"Muito Maior")</f>
        <v/>
      </c>
      <c r="QH115" s="164">
        <f>IF($NJ115=0,0,CHOOSE(1+INDEX('DADOS_FORMAS'!$GG$2:$GG$21,$NJ115),0,$QF115,$QG115,$QF115+$QG115))</f>
        <v/>
      </c>
      <c r="QI115" s="164">
        <f>IF($NJ115=0,0,CHOOSE(1+INDEX('DADOS_FORMAS'!$GH$2:$GH$21,$NJ115),0,$QF115,$QG115,$QF115+$QG115))</f>
        <v/>
      </c>
      <c r="QJ115" s="164">
        <f>IF(OR($ND115=0,$NJ115=0),"",INDEX('DADOS_FORMAS'!$HU$2:$HZ$81,($NJ115-1)*4+IF($MS115=0,1,IF($MS115&lt;=5,2,IF($MS115=6,3,4))),1+MIN(5,$QH115))&amp;INDEX('DADOS_FORMAS'!$IA$2:$IF$81,($NJ115-1)*4+IF($MS115=0,1,IF($MS115&lt;=5,2,IF($MS115=6,3,4))),1+MIN(5,$QI115))&amp;IF(INDEX('DADOS_FORMAS'!$GI$2:$GI$21,$NJ115)=1,IF(COUNTIF($RK115:$RN115,"Mais Um")&gt;0," · +"&amp;COUNTIF($RK115:$RN115,"Mais Um")&amp;IF(COUNTIF($RK115:$RN115,"Mais Um")&gt;1," alvos"," alvo"),"")&amp;IF(COUNTIF($RK115:$RN115,"Rajada")&gt;0,IF($MS115=0," · 1 tiro"," · "&amp;(MAX(1,$MS115-1)+1)&amp;" tiros"),""),""))</f>
        <v/>
      </c>
      <c r="QK115" s="164">
        <f>IF($ND115=0,"",IF($MS115=0,$NG115&amp;"d6"&amp;IF($OU115&gt;0," − 1 = "&amp;$PD115&amp;"d6"," da básica do nível "&amp;$NE115),$PB115&amp;" − "&amp;$OW115&amp;" + "&amp;$OZ115&amp;" = "&amp;$PC115&amp;" · teto "&amp;4*$MS115&amp;"d8"&amp;IF($OF115=1," · a Forma devolve "&amp;$MS115,"")&amp;IF($PA115&gt;0," · perde "&amp;$PA115,"")))</f>
        <v/>
      </c>
      <c r="QL115" s="164">
        <f>IF($ND115=0,"",IF($MS115=0,"A básica não amplia: os dados dela sobem com o nível",IF($MS115&gt;=$NF115,"Já está na maior Classe que o nível liberou",TEXTJOIN(" · ",TRUE,IF(AND(2&gt;$MS115,2&lt;=$NF115),"2 → "&amp;$PN115&amp;", 6 PE",""),IF(AND(3&gt;$MS115,3&lt;=$NF115),"3 → "&amp;$PO115&amp;", 9 PE",""),IF(AND(4&gt;$MS115,4&lt;=$NF115),"4 → "&amp;$PP115&amp;", 12 PE",""),IF(AND(5&gt;$MS115,5&lt;=$NF115),"5 → "&amp;$PQ115&amp;", 15 PE",""),IF(AND(6&gt;$MS115,6&lt;=$NF115),"6 → "&amp;$PR115&amp;", 18 PE",""),IF(AND(7&gt;$MS115,7&lt;=$NF115),"7 → "&amp;$PS115&amp;", 21 PE","")))))</f>
        <v/>
      </c>
      <c r="QM115" s="164">
        <f>IF(OR($ND115=0,$NO115=0),"",IF($MS115=0,"−1 dado","−"&amp;INDEX($I$2:$N$8,MAX(1,$MS115),MAX(1,$NT115))&amp;" · "&amp;CHOOSE(MAX(1,$NT115),"Leve","Média","Pesada","Leve · Livre","Média · Livre","Pesada · Livre")))</f>
        <v/>
      </c>
      <c r="QN115" s="164">
        <f>IF(OR($ND115=0,$NP115=0),"",IF($MS115=0,"−1 dado","−"&amp;INDEX($I$2:$N$8,MAX(1,$MS115),MAX(1,$NU115))&amp;" · "&amp;CHOOSE(MAX(1,$NU115),"Leve","Média","Pesada","Leve · Livre","Média · Livre","Pesada · Livre")))</f>
        <v/>
      </c>
      <c r="QO115" s="164">
        <f>IF(OR($ND115=0,$NQ115=0),"",IF($MS115=0,"−1 dado","−"&amp;INDEX($I$2:$N$8,MAX(1,$MS115),MAX(1,$NV115))&amp;" · "&amp;CHOOSE(MAX(1,$NV115),"Leve","Média","Pesada","Leve · Livre","Média · Livre","Pesada · Livre")))</f>
        <v/>
      </c>
      <c r="QP115" s="164">
        <f>IF(OR($ND115=0,$NR115=0),"",IF($MS115=0,"−1 dado","−"&amp;INDEX($I$2:$N$8,MAX(1,$MS115),MAX(1,$NW115))&amp;" · "&amp;CHOOSE(MAX(1,$NW115),"Leve","Média","Pesada","Leve · Livre","Média · Livre","Pesada · Livre")))</f>
        <v/>
      </c>
      <c r="QQ115" s="164">
        <f>IF(OR($ND115=0,$NB115=""),"",IF($MS115=0,"não devolve","+"&amp;IF($OI115=1,CEILING($MS115/2,1),$MS115)))</f>
        <v/>
      </c>
      <c r="QR115" s="164">
        <f>IF(OR($ND115=0,$NC115=""),"",IF($MS115=0,"não devolve","+"&amp;IF($OJ115=1,CEILING($MS115/2,1),$MS115)))</f>
        <v/>
      </c>
      <c r="RK115">
        <f>IF($MX115="","",IFERROR(VLOOKUP(SUBSTITUTE(SUBSTITUTE(SUBSTITUTE($MX115,"~","~~"),"*","~*"),"?","~?"),'DADOS_MELHORIAS'!$O$2:$X$113,10,FALSE),$MX115))</f>
        <v/>
      </c>
      <c r="RL115">
        <f>IF($MY115="","",IFERROR(VLOOKUP(SUBSTITUTE(SUBSTITUTE(SUBSTITUTE($MY115,"~","~~"),"*","~*"),"?","~?"),'DADOS_MELHORIAS'!$O$2:$X$113,10,FALSE),$MY115))</f>
        <v/>
      </c>
      <c r="RM115">
        <f>IF($MZ115="","",IFERROR(VLOOKUP(SUBSTITUTE(SUBSTITUTE(SUBSTITUTE($MZ115,"~","~~"),"*","~*"),"?","~?"),'DADOS_MELHORIAS'!$O$2:$X$113,10,FALSE),$MZ115))</f>
        <v/>
      </c>
      <c r="RN115">
        <f>IF($NA115="","",IFERROR(VLOOKUP(SUBSTITUTE(SUBSTITUTE(SUBSTITUTE($NA115,"~","~~"),"*","~*"),"?","~?"),'DADOS_MELHORIAS'!$O$2:$X$113,10,FALSE),$NA115))</f>
        <v/>
      </c>
      <c r="RO115">
        <f>IFERROR(INDEX('DADOS_FORMAS'!$BJ$2:$BJ$21,MATCH(SUBSTITUTE(SUBSTITUTE(SUBSTITUTE($MU115,"~","~~"),"*","~*"),"?","~?"),'DADOS_FORMAS'!$AH$2:$AH$21,0)),"")</f>
        <v/>
      </c>
      <c r="RP115">
        <f>IFERROR(VLOOKUP(SUBSTITUTE(SUBSTITUTE(SUBSTITUTE(IFERROR(INDEX('DADOS_FORMAS'!$AS$2:$AS$21,MATCH(SUBSTITUTE(SUBSTITUTE(SUBSTITUTE($MU115,"~","~~"),"*","~*"),"?","~?"),'DADOS_FORMAS'!$AH$2:$AH$21,0)),""),"~","~~"),"*","~*"),"?","~?"),'DADOS_RESTRICOES'!$M$2:$Q$54,2,FALSE),"")</f>
        <v/>
      </c>
      <c r="RQ115">
        <f>$OK115</f>
        <v/>
      </c>
      <c r="RR115">
        <f>$OL115</f>
        <v/>
      </c>
      <c r="RS115">
        <f>$RP115</f>
        <v/>
      </c>
    </row>
    <row r="116">
      <c r="MN116" s="162" t="inlineStr">
        <is>
          <t>Ficha 9 · Escolha da trilha 1</t>
        </is>
      </c>
      <c r="MO116" s="164" t="n">
        <v>9</v>
      </c>
      <c r="MP116" s="164" t="n">
        <v>2</v>
      </c>
      <c r="MQ116" s="164" t="n">
        <v>0</v>
      </c>
      <c r="MR116" s="162" t="inlineStr">
        <is>
          <t>ESCOLHA DA TRILHA 1</t>
        </is>
      </c>
      <c r="MS116" s="164">
        <f>MAX(0,MIN(7,N('INVOCAÇÕES'!$AB$595)))</f>
        <v/>
      </c>
      <c r="MT116" s="164">
        <f>'INVOCAÇÕES'!$AC$595&amp;""</f>
        <v/>
      </c>
      <c r="MU116" s="164">
        <f>'INVOCAÇÕES'!$AB$600&amp;""</f>
        <v/>
      </c>
      <c r="MV116" s="164">
        <f>'INVOCAÇÕES'!$AB$601&amp;""</f>
        <v/>
      </c>
      <c r="MW116" s="164">
        <f>'INVOCAÇÕES'!$AD$601&amp;""</f>
        <v/>
      </c>
      <c r="MX116" s="164">
        <f>'INVOCAÇÕES'!$AC$604&amp;""</f>
        <v/>
      </c>
      <c r="MY116" s="164">
        <f>'INVOCAÇÕES'!$AC$605&amp;""</f>
        <v/>
      </c>
      <c r="MZ116" s="164">
        <f>'INVOCAÇÕES'!$AC$606&amp;""</f>
        <v/>
      </c>
      <c r="NA116" s="164">
        <f>'INVOCAÇÕES'!$AC$607&amp;""</f>
        <v/>
      </c>
      <c r="NB116" s="164">
        <f>'INVOCAÇÕES'!$AC$608&amp;""</f>
        <v/>
      </c>
      <c r="NC116" s="164">
        <f>'INVOCAÇÕES'!$AC$609&amp;""</f>
        <v/>
      </c>
      <c r="ND116" s="164">
        <f>IF($MT116&lt;&gt;"",1,0)</f>
        <v/>
      </c>
      <c r="NE116" s="164">
        <f>INDEX($FO$2:$FO$13,$MO116)</f>
        <v/>
      </c>
      <c r="NF116" s="164">
        <f>INDEX($FP$2:$FP$13,$MO116)</f>
        <v/>
      </c>
      <c r="NG116" s="164">
        <f>INDEX($FQ$2:$FQ$13,$MO116)</f>
        <v/>
      </c>
      <c r="NH116" s="164">
        <f>INDEX($GB$2:$GB$13,$MO116)</f>
        <v/>
      </c>
      <c r="NI116" s="164">
        <f>INDEX($GC$2:$GC$13,$MO116)</f>
        <v/>
      </c>
      <c r="NJ116" s="164">
        <f>IFERROR(MATCH(SUBSTITUTE(SUBSTITUTE(SUBSTITUTE($MU116,"~","~~"),"*","~*"),"?","~?"),'DADOS_FORMAS'!$FZ$2:$FZ$21,0),0)</f>
        <v/>
      </c>
      <c r="NK116" s="164">
        <f>IFERROR(VLOOKUP(SUBSTITUTE(SUBSTITUTE(SUBSTITUTE($MX116,"~","~~"),"*","~*"),"?","~?"),'DADOS_MELHORIAS'!$AG$2:$AL$113,2,FALSE),"")</f>
        <v/>
      </c>
      <c r="NL116" s="164">
        <f>IFERROR(VLOOKUP(SUBSTITUTE(SUBSTITUTE(SUBSTITUTE($MY116,"~","~~"),"*","~*"),"?","~?"),'DADOS_MELHORIAS'!$AG$2:$AL$113,2,FALSE),"")</f>
        <v/>
      </c>
      <c r="NM116" s="164">
        <f>IFERROR(VLOOKUP(SUBSTITUTE(SUBSTITUTE(SUBSTITUTE($MZ116,"~","~~"),"*","~*"),"?","~?"),'DADOS_MELHORIAS'!$AG$2:$AL$113,2,FALSE),"")</f>
        <v/>
      </c>
      <c r="NN116" s="164">
        <f>IFERROR(VLOOKUP(SUBSTITUTE(SUBSTITUTE(SUBSTITUTE($NA116,"~","~~"),"*","~*"),"?","~?"),'DADOS_MELHORIAS'!$AG$2:$AL$113,2,FALSE),"")</f>
        <v/>
      </c>
      <c r="NO116" s="164">
        <f>IFERROR(VLOOKUP(SUBSTITUTE(SUBSTITUTE(SUBSTITUTE($MX116,"~","~~"),"*","~*"),"?","~?"),'DADOS_MELHORIAS'!$AG$2:$AL$113,3,FALSE),0)</f>
        <v/>
      </c>
      <c r="NP116" s="164">
        <f>IFERROR(VLOOKUP(SUBSTITUTE(SUBSTITUTE(SUBSTITUTE($MY116,"~","~~"),"*","~*"),"?","~?"),'DADOS_MELHORIAS'!$AG$2:$AL$113,3,FALSE),0)</f>
        <v/>
      </c>
      <c r="NQ116" s="164">
        <f>IFERROR(VLOOKUP(SUBSTITUTE(SUBSTITUTE(SUBSTITUTE($MZ116,"~","~~"),"*","~*"),"?","~?"),'DADOS_MELHORIAS'!$AG$2:$AL$113,3,FALSE),0)</f>
        <v/>
      </c>
      <c r="NR116" s="164">
        <f>IFERROR(VLOOKUP(SUBSTITUTE(SUBSTITUTE(SUBSTITUTE($NA116,"~","~~"),"*","~*"),"?","~?"),'DADOS_MELHORIAS'!$AG$2:$AL$113,3,FALSE),0)</f>
        <v/>
      </c>
      <c r="NS116" s="164">
        <f>IF($MS116=0,0,IF($NJ116=0,0,INDEX('DADOS_FORMAS'!$GB$2:$GB$21,$NJ116)))</f>
        <v/>
      </c>
      <c r="NT116" s="164">
        <f>IF(OR($NO116=0,$MS116=0),0,$NO116+3*IF(AND($NK116&lt;&gt;"",COUNTIF(INDEX($RB$2:$RJ$13,$MO116,0),$NK116)&gt;0),1,0))</f>
        <v/>
      </c>
      <c r="NU116" s="164">
        <f>IF(OR($NP116=0,$MS116=0),0,$NP116+3*IF(AND($NL116&lt;&gt;"",COUNTIF(INDEX($RB$2:$RJ$13,$MO116,0),$NL116)&gt;0),1,0))</f>
        <v/>
      </c>
      <c r="NV116" s="164">
        <f>IF(OR($NQ116=0,$MS116=0),0,$NQ116+3*IF(AND($NM116&lt;&gt;"",COUNTIF(INDEX($RB$2:$RJ$13,$MO116,0),$NM116)&gt;0),1,0))</f>
        <v/>
      </c>
      <c r="NW116" s="164">
        <f>IF(OR($NR116=0,$MS116=0),0,$NR116+3*IF(AND($NN116&lt;&gt;"",COUNTIF(INDEX($RB$2:$RJ$13,$MO116,0),$NN116)&gt;0),1,0))</f>
        <v/>
      </c>
      <c r="NX116" s="164">
        <f>IF($NJ116=0,0,IF(INDEX('DADOS_FORMAS'!$GA$2:$GA$21,$NJ116)="",0,IF((COUNTIF(INDEX($EL$2:$EP$13,$MO116,0),INDEX('DADOS_FORMAS'!$GA$2:$GA$21,$NJ116))+COUNTIF(INDEX($QV$2:$QY$13,$MO116,0),INDEX('DADOS_FORMAS'!$GA$2:$GA$21,$NJ116)))=0,1,0)))</f>
        <v/>
      </c>
      <c r="NY116" s="164">
        <f>IF(OR($NO116=0,$NK116=""),0,IF((COUNTIF(INDEX($EL$2:$EP$13,$MO116,0),$NK116)+COUNTIF(INDEX($QV$2:$QY$13,$MO116,0),$NK116))=0,1,0))</f>
        <v/>
      </c>
      <c r="NZ116" s="164">
        <f>IF(OR($NP116=0,$NL116=""),0,IF((COUNTIF(INDEX($EL$2:$EP$13,$MO116,0),$NL116)+COUNTIF(INDEX($QV$2:$QY$13,$MO116,0),$NL116))=0,1,0))</f>
        <v/>
      </c>
      <c r="OA116" s="164">
        <f>IF(OR($NQ116=0,$NM116=""),0,IF((COUNTIF(INDEX($EL$2:$EP$13,$MO116,0),$NM116)+COUNTIF(INDEX($QV$2:$QY$13,$MO116,0),$NM116))=0,1,0))</f>
        <v/>
      </c>
      <c r="OB116" s="164">
        <f>IF(OR($NR116=0,$NN116=""),0,IF((COUNTIF(INDEX($EL$2:$EP$13,$MO116,0),$NN116)+COUNTIF(INDEX($QV$2:$QY$13,$MO116,0),$NN116))=0,1,0))</f>
        <v/>
      </c>
      <c r="OC116" s="164">
        <f>IFERROR(VLOOKUP(SUBSTITUTE(SUBSTITUTE(SUBSTITUTE($MX116,"~","~~"),"*","~*"),"?","~?"),'DADOS_MELHORIAS'!$AG$2:$AL$113,4,FALSE),0)+IFERROR(VLOOKUP(SUBSTITUTE(SUBSTITUTE(SUBSTITUTE($MY116,"~","~~"),"*","~*"),"?","~?"),'DADOS_MELHORIAS'!$AG$2:$AL$113,4,FALSE),0)+IFERROR(VLOOKUP(SUBSTITUTE(SUBSTITUTE(SUBSTITUTE($MZ116,"~","~~"),"*","~*"),"?","~?"),'DADOS_MELHORIAS'!$AG$2:$AL$113,4,FALSE),0)+IFERROR(VLOOKUP(SUBSTITUTE(SUBSTITUTE(SUBSTITUTE($NA116,"~","~~"),"*","~*"),"?","~?"),'DADOS_MELHORIAS'!$AG$2:$AL$113,4,FALSE),0)</f>
        <v/>
      </c>
      <c r="OD116" s="164">
        <f>IFERROR(VLOOKUP(SUBSTITUTE(SUBSTITUTE(SUBSTITUTE($MX116,"~","~~"),"*","~*"),"?","~?"),'DADOS_MELHORIAS'!$AG$2:$AL$113,6,FALSE),0)+IFERROR(VLOOKUP(SUBSTITUTE(SUBSTITUTE(SUBSTITUTE($MY116,"~","~~"),"*","~*"),"?","~?"),'DADOS_MELHORIAS'!$AG$2:$AL$113,6,FALSE),0)+IFERROR(VLOOKUP(SUBSTITUTE(SUBSTITUTE(SUBSTITUTE($MZ116,"~","~~"),"*","~*"),"?","~?"),'DADOS_MELHORIAS'!$AG$2:$AL$113,6,FALSE),0)+IFERROR(VLOOKUP(SUBSTITUTE(SUBSTITUTE(SUBSTITUTE($NA116,"~","~~"),"*","~*"),"?","~?"),'DADOS_MELHORIAS'!$AG$2:$AL$113,6,FALSE),0)+IFERROR(N(AND(INDEX('DADOS_FORMAS'!$AO$2:$AO$21,MATCH(SUBSTITUTE(SUBSTITUTE(SUBSTITUTE($MU116,"~","~~"),"*","~*"),"?","~?"),'DADOS_FORMAS'!$AH$2:$AH$21,0))="Acerto",$OH116=1)),0)</f>
        <v/>
      </c>
      <c r="OE116" s="164">
        <f>TEXTJOIN(", ",TRUE,IF(IFERROR(VLOOKUP(SUBSTITUTE(SUBSTITUTE(SUBSTITUTE($MX116,"~","~~"),"*","~*"),"?","~?"),'DADOS_MELHORIAS'!$AG$2:$AL$113,5,FALSE),0)=1,$MX116,""),IF(IFERROR(VLOOKUP(SUBSTITUTE(SUBSTITUTE(SUBSTITUTE($MY116,"~","~~"),"*","~*"),"?","~?"),'DADOS_MELHORIAS'!$AG$2:$AL$113,5,FALSE),0)=1,$MY116,""),IF(IFERROR(VLOOKUP(SUBSTITUTE(SUBSTITUTE(SUBSTITUTE($MZ116,"~","~~"),"*","~*"),"?","~?"),'DADOS_MELHORIAS'!$AG$2:$AL$113,5,FALSE),0)=1,$MZ116,""),IF(IFERROR(VLOOKUP(SUBSTITUTE(SUBSTITUTE(SUBSTITUTE($NA116,"~","~~"),"*","~*"),"?","~?"),'DADOS_MELHORIAS'!$AG$2:$AL$113,5,FALSE),0)=1,$NA116,""))</f>
        <v/>
      </c>
      <c r="OF116" s="164">
        <f>IF($NJ116=0,0,INDEX('DADOS_FORMAS'!$GC$2:$GC$21,$NJ116))</f>
        <v/>
      </c>
      <c r="OG116" s="164">
        <f>IF($NJ116=0,0,INDEX('DADOS_FORMAS'!$GD$2:$GD$21,$NJ116))</f>
        <v/>
      </c>
      <c r="OH116" s="164">
        <f>IF($NJ116=0,0,INDEX('DADOS_FORMAS'!$GF$2:$GF$21,$NJ116))</f>
        <v/>
      </c>
      <c r="OI116" s="164">
        <f>IFERROR(VLOOKUP(SUBSTITUTE(SUBSTITUTE(SUBSTITUTE($NB116,"~","~~"),"*","~*"),"?","~?"),'DADOS_RESTRICOES'!$M$2:$Q$54,3,FALSE),0)</f>
        <v/>
      </c>
      <c r="OJ116" s="164">
        <f>IFERROR(VLOOKUP(SUBSTITUTE(SUBSTITUTE(SUBSTITUTE($NC116,"~","~~"),"*","~*"),"?","~?"),'DADOS_RESTRICOES'!$M$2:$Q$54,3,FALSE),0)</f>
        <v/>
      </c>
      <c r="OK116" s="164">
        <f>IFERROR(VLOOKUP(SUBSTITUTE(SUBSTITUTE(SUBSTITUTE($NB116,"~","~~"),"*","~*"),"?","~?"),'DADOS_RESTRICOES'!$M$2:$Q$54,2,FALSE),"")</f>
        <v/>
      </c>
      <c r="OL116" s="164">
        <f>IFERROR(VLOOKUP(SUBSTITUTE(SUBSTITUTE(SUBSTITUTE($NC116,"~","~~"),"*","~*"),"?","~?"),'DADOS_RESTRICOES'!$M$2:$Q$54,2,FALSE),"")</f>
        <v/>
      </c>
      <c r="OM116" s="164">
        <f>COUNTIF($NS116:$NW116,1)</f>
        <v/>
      </c>
      <c r="ON116" s="164">
        <f>COUNTIF($NS116:$NW116,2)</f>
        <v/>
      </c>
      <c r="OO116" s="164">
        <f>COUNTIF($NS116:$NW116,3)</f>
        <v/>
      </c>
      <c r="OP116" s="164">
        <f>COUNTIF($NS116:$NW116,4)</f>
        <v/>
      </c>
      <c r="OQ116" s="164">
        <f>COUNTIF($NS116:$NW116,5)</f>
        <v/>
      </c>
      <c r="OR116" s="164">
        <f>COUNTIF($NS116:$NW116,6)</f>
        <v/>
      </c>
      <c r="OS116" s="164">
        <f>COUNTIF($OI116:$OJ116,1)+IF(IFERROR(INDEX('DADOS_FORMAS'!$AS$2:$AS$21,MATCH(SUBSTITUTE(SUBSTITUTE(SUBSTITUTE($MU116,"~","~~"),"*","~*"),"?","~?"),'DADOS_FORMAS'!$AH$2:$AH$21,0)),"")="",0,IFERROR(N(VLOOKUP(SUBSTITUTE(SUBSTITUTE(SUBSTITUTE(IFERROR(INDEX('DADOS_FORMAS'!$AS$2:$AS$21,MATCH(SUBSTITUTE(SUBSTITUTE(SUBSTITUTE($MU116,"~","~~"),"*","~*"),"?","~?"),'DADOS_FORMAS'!$AH$2:$AH$21,0)),""),"~","~~"),"*","~*"),"?","~?"),'DADOS_RESTRICOES'!$M$2:$Q$54,3,FALSE)=1),0))</f>
        <v/>
      </c>
      <c r="OT116" s="164">
        <f>COUNTIF($OI116:$OJ116,2)+IF(IFERROR(INDEX('DADOS_FORMAS'!$AS$2:$AS$21,MATCH(SUBSTITUTE(SUBSTITUTE(SUBSTITUTE($MU116,"~","~~"),"*","~*"),"?","~?"),'DADOS_FORMAS'!$AH$2:$AH$21,0)),"")="",0,IFERROR(N(VLOOKUP(SUBSTITUTE(SUBSTITUTE(SUBSTITUTE(IFERROR(INDEX('DADOS_FORMAS'!$AS$2:$AS$21,MATCH(SUBSTITUTE(SUBSTITUTE(SUBSTITUTE($MU116,"~","~~"),"*","~*"),"?","~?"),'DADOS_FORMAS'!$AH$2:$AH$21,0)),""),"~","~~"),"*","~*"),"?","~?"),'DADOS_RESTRICOES'!$M$2:$Q$54,3,FALSE)=2),0))</f>
        <v/>
      </c>
      <c r="OU116" s="164">
        <f>COUNTIF($MX116:$NA116,"?*")</f>
        <v/>
      </c>
      <c r="OV116" s="164">
        <f>COUNTIF($NB116:$NC116,"?*")+$OF116</f>
        <v/>
      </c>
      <c r="OW116" s="164">
        <f>IF($MS116=0,0,SUMPRODUCT($OM116:$OR116,INDEX($I$2:$N$8,MAX(1,$MS116),0)))</f>
        <v/>
      </c>
      <c r="OX116" s="164">
        <f>IF($MS116=0,0,$OS116*CEILING($MS116/2,1)+$OT116*$MS116)</f>
        <v/>
      </c>
      <c r="OY116" s="164">
        <f>MIN(2*$MS116,$OX116)</f>
        <v/>
      </c>
      <c r="OZ116" s="164">
        <f>MIN($OY116,$OW116-IF($NS116=0,0,INDEX($I$2:$N$8,MAX(1,$MS116),$NS116)))</f>
        <v/>
      </c>
      <c r="PA116" s="164">
        <f>$OY116-$OZ116</f>
        <v/>
      </c>
      <c r="PB116" s="164">
        <f>IF($MS116=0,0,INDEX($P$2:$P$8,MAX(1,$MS116)))</f>
        <v/>
      </c>
      <c r="PC116" s="164">
        <f>$PB116-$OW116+$OZ116</f>
        <v/>
      </c>
      <c r="PD116" s="164">
        <f>IF($MS116=0,MAX(0,$NG116-IF(AND($OU116&gt;0,COUNTIF($NB116:$NC116,"?*")=0),1,0)),MAX(0,$PC116))</f>
        <v/>
      </c>
      <c r="PE116" s="164">
        <f>IF($MS116=0,0,(IF(COUNTIF($RK116:$RN116,"Salto")&gt;0,1,0)+IF(COUNTIF($RK116:$RN116,"Queima")&gt;0,1,0)+IF(COUNTIF($RK116:$RN116,"Estilhaço")&gt;0,1,0))*FLOOR($PD116/2,1))</f>
        <v/>
      </c>
      <c r="PF116" s="164">
        <f>MAX(0,2-SUMPRODUCT($OM116:$OR116,$I$2:$N$2)+MIN(2,$OS116*1+$OT116*1,SUMPRODUCT($OM116:$OR116,$I$2:$N$2)-IF($NS116=0,0,INDEX($I$2:$N$2,1,$NS116))))</f>
        <v/>
      </c>
      <c r="PG116" s="164">
        <f>MAX(0,4-SUMPRODUCT($OM116:$OR116,$I$3:$N$3)+MIN(4,$OS116*1+$OT116*2,SUMPRODUCT($OM116:$OR116,$I$3:$N$3)-IF($NS116=0,0,INDEX($I$3:$N$3,1,$NS116))))</f>
        <v/>
      </c>
      <c r="PH116" s="164">
        <f>MAX(0,6-SUMPRODUCT($OM116:$OR116,$I$4:$N$4)+MIN(6,$OS116*2+$OT116*3,SUMPRODUCT($OM116:$OR116,$I$4:$N$4)-IF($NS116=0,0,INDEX($I$4:$N$4,1,$NS116))))</f>
        <v/>
      </c>
      <c r="PI116" s="164">
        <f>MAX(0,9-SUMPRODUCT($OM116:$OR116,$I$5:$N$5)+MIN(8,$OS116*2+$OT116*4,SUMPRODUCT($OM116:$OR116,$I$5:$N$5)-IF($NS116=0,0,INDEX($I$5:$N$5,1,$NS116))))</f>
        <v/>
      </c>
      <c r="PJ116" s="164">
        <f>MAX(0,11-SUMPRODUCT($OM116:$OR116,$I$6:$N$6)+MIN(10,$OS116*3+$OT116*5,SUMPRODUCT($OM116:$OR116,$I$6:$N$6)-IF($NS116=0,0,INDEX($I$6:$N$6,1,$NS116))))</f>
        <v/>
      </c>
      <c r="PK116" s="164">
        <f>MAX(0,13-SUMPRODUCT($OM116:$OR116,$I$7:$N$7)+MIN(12,$OS116*3+$OT116*6,SUMPRODUCT($OM116:$OR116,$I$7:$N$7)-IF($NS116=0,0,INDEX($I$7:$N$7,1,$NS116))))</f>
        <v/>
      </c>
      <c r="PL116" s="164">
        <f>MAX(0,16-SUMPRODUCT($OM116:$OR116,$I$8:$N$8)+MIN(14,$OS116*4+$OT116*7,SUMPRODUCT($OM116:$OR116,$I$8:$N$8)-IF($NS116=0,0,INDEX($I$8:$N$8,1,$NS116))))</f>
        <v/>
      </c>
      <c r="PM116" s="164">
        <f>IF($OG116=2,3*$PF116&amp;" de vida temp.",IF($OG116=3,"sem dano",IF($PF116=0,IF($OG116=1,"sem cura","sem dano"),IF($OG116=1,"cura ","")&amp;$PF116&amp;"d8")))</f>
        <v/>
      </c>
      <c r="PN116" s="164">
        <f>IF($OG116=2,3*$PG116&amp;" de vida temp.",IF($OG116=3,"sem dano",IF($PG116=0,IF($OG116=1,"sem cura","sem dano"),IF($OG116=1,"cura ","")&amp;$PG116&amp;"d8")))</f>
        <v/>
      </c>
      <c r="PO116" s="164">
        <f>IF($OG116=2,3*$PH116&amp;" de vida temp.",IF($OG116=3,"sem dano",IF($PH116=0,IF($OG116=1,"sem cura","sem dano"),IF($OG116=1,"cura ","")&amp;$PH116&amp;"d8")))</f>
        <v/>
      </c>
      <c r="PP116" s="164">
        <f>IF($OG116=2,3*$PI116&amp;" de vida temp.",IF($OG116=3,"sem dano",IF($PI116=0,IF($OG116=1,"sem cura","sem dano"),IF($OG116=1,"cura ","")&amp;$PI116&amp;"d8")))</f>
        <v/>
      </c>
      <c r="PQ116" s="164">
        <f>IF($OG116=2,3*$PJ116&amp;" de vida temp.",IF($OG116=3,"sem dano",IF($PJ116=0,IF($OG116=1,"sem cura","sem dano"),IF($OG116=1,"cura ","")&amp;$PJ116&amp;"d8")))</f>
        <v/>
      </c>
      <c r="PR116" s="164">
        <f>IF($OG116=2,3*$PK116&amp;" de vida temp.",IF($OG116=3,"sem dano",IF($PK116=0,IF($OG116=1,"sem cura","sem dano"),IF($OG116=1,"cura ","")&amp;$PK116&amp;"d8")))</f>
        <v/>
      </c>
      <c r="PS116" s="164">
        <f>IF($OG116=2,3*$PL116&amp;" de vida temp.",IF($OG116=3,"sem dano",IF($PL116=0,IF($OG116=1,"sem cura","sem dano"),IF($OG116=1,"cura ","")&amp;$PL116&amp;"d8")))</f>
        <v/>
      </c>
      <c r="PT116" s="164">
        <f>IF($ND116=0,"",TEXTJOIN(" · ",TRUE,IF($ND116=0,"",TEXTJOIN(" · ",TRUE,IF($ND116=0,"",TEXTJOIN(" · ",TRUE,IF($MQ116&gt;$NE116,"Este lugar abre no nível "&amp;$MQ116,""),IF($MS116&gt;$NF116,"Classe "&amp;$MS116&amp;": o nível "&amp;$NE116&amp;" libera até a "&amp;$NF116,""),IF($NX116=1,"A Forma "&amp;$MU116&amp;" pede "&amp;INDEX('DADOS_FORMAS'!$GA$2:$GA$21,$NJ116)&amp;" aberta",""),IF(AND($MS116=0,$NJ116&gt;0,IF($NJ116=0,0,INDEX('DADOS_FORMAS'!$GJ$2:$GJ$21,$NJ116))=0),$MU116&amp;" não existe na Classe 0",""),IF($NY116=1,"Família Fechada: "&amp;$MX116,""),IF($NZ116=1,"Família Fechada: "&amp;$MY116,""),IF($OA116=1,"Família Fechada: "&amp;$MZ116,""),IF($OB116=1,"Família Fechada: "&amp;$NA116,""),IF(AND($MS116&gt;0,$OU116&gt;INDEX($O$2:$O$8,MAX(1,$MS116))),$OU116&amp;" Melhorias: a Classe "&amp;$MS116&amp;" aceita "&amp;INDEX($O$2:$O$8,MAX(1,$MS116)),""),IF(AND($MS116=0,$OU116&gt;1),"A básica aceita uma Melhoria",""),IF(AND($MS116=0,COUNTIF($NO116:$NR116,"&gt;1")&gt;0),"A básica só aceita Melhoria Leve",""),IF(AND($MS116&gt;0,$OV116&gt;2),$OV116&amp;" Restrições"&amp;IF($OF116=1,", contando a que a Forma "&amp;$MU116&amp;" já traz","")&amp;": o limite é 2",""),IF(AND($MS116=0,COUNTIF($NB116:$NC116,"?*")&gt;1),"A básica aceita uma Restrição Leve",""),IF(AND($MS116=0,COUNTIF($OI116:$OJ116,2)&gt;0),"A básica só aceita Restrição Leve",""),IF(AND($MS116&gt;0,$PC116&lt;0),"Orçamento estourado: faltam "&amp;(-$PC116)&amp;IF($PC116&lt;-1," pontos"," ponto"),""),IF(IFERROR(VLOOKUP(SUBSTITUTE(SUBSTITUTE(SUBSTITUTE($NB116,"~","~~"),"*","~*"),"?","~?"),'DADOS_RESTRICOES'!$M$2:$Q$54,4,FALSE),0)+IFERROR(VLOOKUP(SUBSTITUTE(SUBSTITUTE(SUBSTITUTE($NC116,"~","~~"),"*","~*"),"?","~?"),'DADOS_RESTRICOES'!$M$2:$Q$54,4,FALSE),0)&gt;1,$OK116&amp;" e "&amp;$OL116&amp;" são as duas de frequência",""),IF(AND((COUNTIF($RK116:$RN116,"Rápido")+COUNTIF($OK116:$OL116,"Rápido"))&gt;0,(COUNTIF($MX116:$NA116,"Atrasar")+COUNTIF($OK116:$OL116,"Atrasar"))&gt;0),"Rápido não entra com Atrasar",""),IF(AND((COUNTIF($RK116:$RN116,"Reação")+COUNTIF($OK116:$OL116,"Reação"))&gt;0,(COUNTIF($RK116:$RN116,"Rápido")+COUNTIF($OK116:$OL116,"Rápido"))&gt;0),"Reação não entra com Rápido",""),IF(AND((COUNTIF($RK116:$RN116,"Reação")+COUNTIF($OK116:$OL116,"Reação"))&gt;0,(COUNTIF($RK116:$RN116,"Armado")+COUNTIF($OK116:$OL116,"Armado"))&gt;0),"Reação não entra com Armado",""),IF(AND((COUNTIF($RK116:$RN116,"Reação")+COUNTIF($OK116:$OL116,"Reação"))&gt;0,(COUNTIF($MX116:$NA116,"Atrasar")+COUNTIF($OK116:$OL116,"Atrasar"))&gt;0),"Reação não entra com Atrasar",""),IF(AND((COUNTIF($RK116:$RN116,"Reação")+COUNTIF($OK116:$OL116,"Reação"))&gt;0,(COUNTIF($MX116:$NA116,"Parado")+COUNTIF($OK116:$OL116,"Parado"))&gt;0),"Reação não entra com Parado",""),IF(AND((COUNTIF($MX116:$NA116,"Atrasar")+COUNTIF($OK116:$OL116,"Atrasar"))&gt;0,(COUNTIF($MX116:$NA116,"Parado")+COUNTIF($OK116:$OL116,"Parado"))&gt;0),"Atrasar não entra com Parado",""),IF(AND((COUNTIF($RK116:$RN116,"Armado")+COUNTIF($OK116:$OL116,"Armado"))&gt;0,(COUNTIF($MX116:$NA116,"Carregar")+COUNTIF($OK116:$OL116,"Carregar"))&gt;0),"Armado não entra com Carregar",""),IF(AND(COUNTIF($OK116:$OL116,"Corpo a Corpo")&gt;0,$OF116=0,OR($RO116="Cone",$RO116="Linha")),"Corpo a Corpo não entra em "&amp;$MU116,""),IF(AND(COUNTIF($OK116:$OL116,"Corpo a Corpo")&gt;0,$RP116="Corpo a Corpo"),"A Forma "&amp;$MU116&amp;" já traz o Corpo a Corpo",""),IF(AND(COUNTIF($OK116:$OL116,"Tudo ou Nada")&gt;0,$OH116=0),"Tudo ou Nada só entra em habilidade de Teste de Resistência",""),IF(AND(COUNTIF($RK116:$RN116,"Inescapável")&gt;0,OR($OU116&gt;1,$OV116&gt;0)),"Inescapável não aceita outra peça",""),IF(AND($MS116&gt;0,$PD116*IF(COUNTIF($RK116:$RN116,"Remate")&gt;0,1.25,1)+$PE116&gt;4*$MS116),($PD116*IF(COUNTIF($RK116:$RN116,"Remate")&gt;0,1.25,1)+$PE116)&amp;" dados somando repetições"&amp;IF(COUNTIF($RK116:$RN116,"Remate")&gt;0," e o Remate","")&amp;": o teto da Classe "&amp;$MS116&amp;" é "&amp;4*$MS116,""))),IF(AND($MX116&lt;&gt;"",COUNTIF('DADOS_MELHORIAS'!$O$2:$O$113,SUBSTITUTE(SUBSTITUTE(SUBSTITUTE($MX116,"~","~~"),"*","~*"),"?","~?"))=0),"Melhoria não cadastrada ou com erro: "&amp;$MX116,""),IF(AND($MY116&lt;&gt;"",COUNTIF('DADOS_MELHORIAS'!$O$2:$O$113,SUBSTITUTE(SUBSTITUTE(SUBSTITUTE($MY116,"~","~~"),"*","~*"),"?","~?"))=0),"Melhoria não cadastrada ou com erro: "&amp;$MY116,""),IF(AND($MZ116&lt;&gt;"",COUNTIF('DADOS_MELHORIAS'!$O$2:$O$113,SUBSTITUTE(SUBSTITUTE(SUBSTITUTE($MZ116,"~","~~"),"*","~*"),"?","~?"))=0),"Melhoria não cadastrada ou com erro: "&amp;$MZ116,""),IF(AND($NA116&lt;&gt;"",COUNTIF('DADOS_MELHORIAS'!$O$2:$O$113,SUBSTITUTE(SUBSTITUTE(SUBSTITUTE($NA116,"~","~~"),"*","~*"),"?","~?"))=0),"Melhoria não cadastrada ou com erro: "&amp;$NA116,""),IF(AND($NB116&lt;&gt;"",COUNTIF('DADOS_RESTRICOES'!$M$2:$M$54,SUBSTITUTE(SUBSTITUTE(SUBSTITUTE($NB116,"~","~~"),"*","~*"),"?","~?"))=0),"Restrição não cadastrada ou com erro: "&amp;$NB116,""),IF(AND($NC116&lt;&gt;"",COUNTIF('DADOS_RESTRICOES'!$M$2:$M$54,SUBSTITUTE(SUBSTITUTE(SUBSTITUTE($NC116,"~","~~"),"*","~*"),"?","~?"))=0),"Restrição não cadastrada ou com erro: "&amp;$NC116,""))),IF(AND($MU116&lt;&gt;"",COUNTIF('DADOS_FORMAS'!$AH$2:$AH$21,SUBSTITUTE(SUBSTITUTE(SUBSTITUTE($MU116,"~","~~"),"*","~*"),"?","~?"))=0),"Forma não cadastrada ou com erro: "&amp;$MU116,""),IF(AND(IFERROR(INDEX('DADOS_FORMAS'!$AS$2:$AS$21,MATCH(SUBSTITUTE(SUBSTITUTE(SUBSTITUTE($MU116,"~","~~"),"*","~*"),"?","~?"),'DADOS_FORMAS'!$AH$2:$AH$21,0)),"")&lt;&gt;"",OR(IFERROR(VLOOKUP(SUBSTITUTE(SUBSTITUTE(SUBSTITUTE(IFERROR(INDEX('DADOS_FORMAS'!$AS$2:$AS$21,MATCH(SUBSTITUTE(SUBSTITUTE(SUBSTITUTE($MU116,"~","~~"),"*","~*"),"?","~?"),'DADOS_FORMAS'!$AH$2:$AH$21,0)),""),"~","~~"),"*","~*"),"?","~?"),'DADOS_RESTRICOES'!$M$2:$Q$54,2,FALSE),"")=$OK116,IFERROR(VLOOKUP(SUBSTITUTE(SUBSTITUTE(SUBSTITUTE(IFERROR(INDEX('DADOS_FORMAS'!$AS$2:$AS$21,MATCH(SUBSTITUTE(SUBSTITUTE(SUBSTITUTE($MU116,"~","~~"),"*","~*"),"?","~?"),'DADOS_FORMAS'!$AH$2:$AH$21,0)),""),"~","~~"),"*","~*"),"?","~?"),'DADOS_RESTRICOES'!$M$2:$Q$54,2,FALSE),"")=$OL116)),"Restrição repetida, contando a embutida",""),IF(IF(IFERROR(INDEX('DADOS_FORMAS'!$AS$2:$AS$21,MATCH(SUBSTITUTE(SUBSTITUTE(SUBSTITUTE($MU116,"~","~~"),"*","~*"),"?","~?"),'DADOS_FORMAS'!$AH$2:$AH$21,0)),"")="",0,IFERROR(N(VLOOKUP(SUBSTITUTE(SUBSTITUTE(SUBSTITUTE(IFERROR(INDEX('DADOS_FORMAS'!$AS$2:$AS$21,MATCH(SUBSTITUTE(SUBSTITUTE(SUBSTITUTE($MU116,"~","~~"),"*","~*"),"?","~?"),'DADOS_FORMAS'!$AH$2:$AH$21,0)),""),"~","~~"),"*","~*"),"?","~?"),'DADOS_RESTRICOES'!$M$2:$Q$54,4,FALSE)=1),0))+IF($NB116="",0,IFERROR(N(VLOOKUP(SUBSTITUTE(SUBSTITUTE(SUBSTITUTE($NB116,"~","~~"),"*","~*"),"?","~?"),'DADOS_RESTRICOES'!$M$2:$Q$54,4,FALSE)=1),0))+IF($NC116="",0,IFERROR(N(VLOOKUP(SUBSTITUTE(SUBSTITUTE(SUBSTITUTE($NC116,"~","~~"),"*","~*"),"?","~?"),'DADOS_RESTRICOES'!$M$2:$Q$54,4,FALSE)=1),0))&gt;1,"Duas Restrições de frequência, contando a embutida",""),IF(AND(IFERROR(VLOOKUP(SUBSTITUTE(SUBSTITUTE(SUBSTITUTE(IFERROR(INDEX('DADOS_FORMAS'!$AS$2:$AS$21,MATCH(SUBSTITUTE(SUBSTITUTE(SUBSTITUTE($MU116,"~","~~"),"*","~*"),"?","~?"),'DADOS_FORMAS'!$AH$2:$AH$21,0)),""),"~","~~"),"*","~*"),"?","~?"),'DADOS_RESTRICOES'!$M$2:$Q$54,2,FALSE),"")="Tudo ou Nada",$OH116=0),"Tudo ou Nada exige TR",""),IF(AND(IFERROR(VLOOKUP(SUBSTITUTE(SUBSTITUTE(SUBSTITUTE(IFERROR(INDEX('DADOS_FORMAS'!$AS$2:$AS$21,MATCH(SUBSTITUTE(SUBSTITUTE(SUBSTITUTE($MU116,"~","~~"),"*","~*"),"?","~?"),'DADOS_FORMAS'!$AH$2:$AH$21,0)),""),"~","~~"),"*","~*"),"?","~?"),'DADOS_RESTRICOES'!$M$2:$Q$54,2,FALSE),"")="Corpo a Corpo",OR($RO116="Cone",$RO116="Linha")),"Corpo a Corpo não entra em Cone/Linha","")))</f>
        <v/>
      </c>
      <c r="PU116" s="164">
        <f>IF($PT116="",0,(LEN($PT116)-LEN(SUBSTITUTE($PT116," · ","")))/3+1)</f>
        <v/>
      </c>
      <c r="PV116" s="164">
        <f>IF($ND116=0,"",TEXTJOIN(" · ",TRUE,IF($OX116&gt;2*$MS116,"A devolução parou no teto de "&amp;2*$MS116,""),IF($PA116&gt;0,"Devolução perdida: "&amp;$PA116&amp;IF($PA116&gt;1," pontos"," ponto")&amp;" sem Melhoria para pagar",""),IF(AND($OC116&gt;0,AND($MS116&gt;0,$OG116=0),$PD116=0),"Controle sem dano: uma rodada a mais e CD +2",""),IF(AND($OC116&gt;0,AND($MS116&gt;0,$OG116=0),$PD116&gt;0,$PD116&lt;=$MS116),"Controle com saldo até a Classe: uma rodada a mais",""),IF(AND($MS116&gt;0,$OE116&lt;&gt;""),"Efeito de "&amp;$OE116&amp;" pela Classe "&amp;MAX(1,$MS116-1),"")))</f>
        <v/>
      </c>
      <c r="PW116" s="164">
        <f>IF($PV116="",0,(LEN($PV116)-LEN(SUBSTITUTE($PV116," · ","")))/3+1)</f>
        <v/>
      </c>
      <c r="PX116" s="164">
        <f>IF($ND116=0,IF($OU116+COUNTIF($NB116:$NC116,"?*")&gt;0,"Dê um nome",""),IF($PU116&gt;0,"⚠ "&amp;$PU116&amp;IF($PU116&gt;1," erros"," erro"),IF($PW116&gt;0,"! "&amp;$PW116&amp;IF($PW116&gt;1," avisos"," aviso"),"Na regra")))</f>
        <v/>
      </c>
      <c r="PY116" s="164">
        <f>IF($ND116=0,"",IF($PU116+$PW116=0,"Dentro das regras que a ficha confere",$PT116&amp;IF(AND($PU116&gt;0,$PW116&gt;0)," · ","")&amp;$PV116))</f>
        <v/>
      </c>
      <c r="PZ116" s="164">
        <f>IF($MQ116&gt;$NE116,$MR116&amp;" · ABRE NO NÍVEL "&amp;$MQ116,$MR116)</f>
        <v/>
      </c>
      <c r="QA116" s="164">
        <f>IF($ND116=0,"",IF($MS116=0,"Sem PE",3*$MS116&amp;" PE"))</f>
        <v/>
      </c>
      <c r="QB116" s="164">
        <f>IF($ND116=0,"",IF($MS116=0,"A atuação básica dela",IF(COUNTIF($RQ116:$RS116,"Atrasar")&gt;0,"Sua Ação Completa",IF(COUNTIF($RK116:$RN116,"Rápido")&gt;0,"Sua Bônus",IF(COUNTIF($RK116:$RN116,"Reação")&gt;0,"Sua Reação","Sua Padrão")))&amp;" + a básica dela"&amp;IF(COUNTIF($RK116:$RN116,"Reação")&gt;0," e a coletiva","")&amp;IF(COUNTIF($RQ116:$RS116,"Carregar")&gt;0," · em dois turnos","")))</f>
        <v/>
      </c>
      <c r="QC116" s="164">
        <f>IF($MW116&lt;&gt;"",$MW116,IF($NJ116=0,"",INDEX('DADOS_FORMAS'!$GE$2:$GE$21,$NJ116)))</f>
        <v/>
      </c>
      <c r="QD116" s="164">
        <f>IF(OR($ND116=0,$NJ116=0),"",IF(COUNTIF($RK116:$RN116,"Inescapável")&gt;0,"Automático",IF($QC116="Ataque",IF($NH116="","Ataque","Ataque "&amp;IF(($NH116+2*IF(COUNTIF($RK116:$RN116,"Precisão")&gt;0,1,0))&gt;=0,"+","−")&amp;ABS(($NH116+2*IF(COUNTIF($RK116:$RN116,"Precisão")&gt;0,1,0))))&amp;IF($OD116&gt;0," · TR"&amp;IF($NI116="",""," CD "&amp;$NI116),""),IF(LEFT($QC116,2)="TR",$QC116&amp;IF($NI116="",""," · CD "&amp;$NI116)&amp;IF(COUNTIF($RK116:$RN116,"Certeiro")&gt;0," · metade",""),"Sem rolagem"))))</f>
        <v/>
      </c>
      <c r="QE116" s="164">
        <f>IF(OR($ND116=0,$NJ116=0),"",IF($MS116=0,IF(OR($OG116&gt;=1,$PD116=0),"Sem dano",$PD116&amp;"d6"&amp;IF($MV116="",""," "&amp;$MV116)),IF(OR($OG116&gt;=1,$PD116=0),UPPER(LEFT(INDEX($PM116:$PS116,1,MAX(1,$MS116)),1))&amp;MID(INDEX($PM116:$PS116,1,MAX(1,$MS116)),2,99),UPPER(LEFT(INDEX($PM116:$PS116,1,MAX(1,$MS116)),1))&amp;MID(INDEX($PM116:$PS116,1,MAX(1,$MS116)),2,99)&amp;IF($MV116="",""," "&amp;$MV116)&amp;IF($PE116&gt;0," · +"&amp;$PE116&amp;"d8",""))))</f>
        <v/>
      </c>
      <c r="QF116" s="164">
        <f>COUNTIF($RK116:$RN116,"Longe")+3*COUNTIF($RK116:$RN116,"Muito Longe")</f>
        <v/>
      </c>
      <c r="QG116" s="164">
        <f>COUNTIF($RK116:$RN116,"Maior")+3*COUNTIF($RK116:$RN116,"Muito Maior")</f>
        <v/>
      </c>
      <c r="QH116" s="164">
        <f>IF($NJ116=0,0,CHOOSE(1+INDEX('DADOS_FORMAS'!$GG$2:$GG$21,$NJ116),0,$QF116,$QG116,$QF116+$QG116))</f>
        <v/>
      </c>
      <c r="QI116" s="164">
        <f>IF($NJ116=0,0,CHOOSE(1+INDEX('DADOS_FORMAS'!$GH$2:$GH$21,$NJ116),0,$QF116,$QG116,$QF116+$QG116))</f>
        <v/>
      </c>
      <c r="QJ116" s="164">
        <f>IF(OR($ND116=0,$NJ116=0),"",INDEX('DADOS_FORMAS'!$HU$2:$HZ$81,($NJ116-1)*4+IF($MS116=0,1,IF($MS116&lt;=5,2,IF($MS116=6,3,4))),1+MIN(5,$QH116))&amp;INDEX('DADOS_FORMAS'!$IA$2:$IF$81,($NJ116-1)*4+IF($MS116=0,1,IF($MS116&lt;=5,2,IF($MS116=6,3,4))),1+MIN(5,$QI116))&amp;IF(INDEX('DADOS_FORMAS'!$GI$2:$GI$21,$NJ116)=1,IF(COUNTIF($RK116:$RN116,"Mais Um")&gt;0," · +"&amp;COUNTIF($RK116:$RN116,"Mais Um")&amp;IF(COUNTIF($RK116:$RN116,"Mais Um")&gt;1," alvos"," alvo"),"")&amp;IF(COUNTIF($RK116:$RN116,"Rajada")&gt;0,IF($MS116=0," · 1 tiro"," · "&amp;(MAX(1,$MS116-1)+1)&amp;" tiros"),""),""))</f>
        <v/>
      </c>
      <c r="QK116" s="164">
        <f>IF($ND116=0,"",IF($MS116=0,$NG116&amp;"d6"&amp;IF($OU116&gt;0," − 1 = "&amp;$PD116&amp;"d6"," da básica do nível "&amp;$NE116),$PB116&amp;" − "&amp;$OW116&amp;" + "&amp;$OZ116&amp;" = "&amp;$PC116&amp;" · teto "&amp;4*$MS116&amp;"d8"&amp;IF($OF116=1," · a Forma devolve "&amp;$MS116,"")&amp;IF($PA116&gt;0," · perde "&amp;$PA116,"")))</f>
        <v/>
      </c>
      <c r="QL116" s="164">
        <f>IF($ND116=0,"",IF($MS116=0,"A básica não amplia: os dados dela sobem com o nível",IF($MS116&gt;=$NF116,"Já está na maior Classe que o nível liberou",TEXTJOIN(" · ",TRUE,IF(AND(2&gt;$MS116,2&lt;=$NF116),"2 → "&amp;$PN116&amp;", 6 PE",""),IF(AND(3&gt;$MS116,3&lt;=$NF116),"3 → "&amp;$PO116&amp;", 9 PE",""),IF(AND(4&gt;$MS116,4&lt;=$NF116),"4 → "&amp;$PP116&amp;", 12 PE",""),IF(AND(5&gt;$MS116,5&lt;=$NF116),"5 → "&amp;$PQ116&amp;", 15 PE",""),IF(AND(6&gt;$MS116,6&lt;=$NF116),"6 → "&amp;$PR116&amp;", 18 PE",""),IF(AND(7&gt;$MS116,7&lt;=$NF116),"7 → "&amp;$PS116&amp;", 21 PE","")))))</f>
        <v/>
      </c>
      <c r="QM116" s="164">
        <f>IF(OR($ND116=0,$NO116=0),"",IF($MS116=0,"−1 dado","−"&amp;INDEX($I$2:$N$8,MAX(1,$MS116),MAX(1,$NT116))&amp;" · "&amp;CHOOSE(MAX(1,$NT116),"Leve","Média","Pesada","Leve · Livre","Média · Livre","Pesada · Livre")))</f>
        <v/>
      </c>
      <c r="QN116" s="164">
        <f>IF(OR($ND116=0,$NP116=0),"",IF($MS116=0,"−1 dado","−"&amp;INDEX($I$2:$N$8,MAX(1,$MS116),MAX(1,$NU116))&amp;" · "&amp;CHOOSE(MAX(1,$NU116),"Leve","Média","Pesada","Leve · Livre","Média · Livre","Pesada · Livre")))</f>
        <v/>
      </c>
      <c r="QO116" s="164">
        <f>IF(OR($ND116=0,$NQ116=0),"",IF($MS116=0,"−1 dado","−"&amp;INDEX($I$2:$N$8,MAX(1,$MS116),MAX(1,$NV116))&amp;" · "&amp;CHOOSE(MAX(1,$NV116),"Leve","Média","Pesada","Leve · Livre","Média · Livre","Pesada · Livre")))</f>
        <v/>
      </c>
      <c r="QP116" s="164">
        <f>IF(OR($ND116=0,$NR116=0),"",IF($MS116=0,"−1 dado","−"&amp;INDEX($I$2:$N$8,MAX(1,$MS116),MAX(1,$NW116))&amp;" · "&amp;CHOOSE(MAX(1,$NW116),"Leve","Média","Pesada","Leve · Livre","Média · Livre","Pesada · Livre")))</f>
        <v/>
      </c>
      <c r="QQ116" s="164">
        <f>IF(OR($ND116=0,$NB116=""),"",IF($MS116=0,"não devolve","+"&amp;IF($OI116=1,CEILING($MS116/2,1),$MS116)))</f>
        <v/>
      </c>
      <c r="QR116" s="164">
        <f>IF(OR($ND116=0,$NC116=""),"",IF($MS116=0,"não devolve","+"&amp;IF($OJ116=1,CEILING($MS116/2,1),$MS116)))</f>
        <v/>
      </c>
      <c r="RK116">
        <f>IF($MX116="","",IFERROR(VLOOKUP(SUBSTITUTE(SUBSTITUTE(SUBSTITUTE($MX116,"~","~~"),"*","~*"),"?","~?"),'DADOS_MELHORIAS'!$O$2:$X$113,10,FALSE),$MX116))</f>
        <v/>
      </c>
      <c r="RL116">
        <f>IF($MY116="","",IFERROR(VLOOKUP(SUBSTITUTE(SUBSTITUTE(SUBSTITUTE($MY116,"~","~~"),"*","~*"),"?","~?"),'DADOS_MELHORIAS'!$O$2:$X$113,10,FALSE),$MY116))</f>
        <v/>
      </c>
      <c r="RM116">
        <f>IF($MZ116="","",IFERROR(VLOOKUP(SUBSTITUTE(SUBSTITUTE(SUBSTITUTE($MZ116,"~","~~"),"*","~*"),"?","~?"),'DADOS_MELHORIAS'!$O$2:$X$113,10,FALSE),$MZ116))</f>
        <v/>
      </c>
      <c r="RN116">
        <f>IF($NA116="","",IFERROR(VLOOKUP(SUBSTITUTE(SUBSTITUTE(SUBSTITUTE($NA116,"~","~~"),"*","~*"),"?","~?"),'DADOS_MELHORIAS'!$O$2:$X$113,10,FALSE),$NA116))</f>
        <v/>
      </c>
      <c r="RO116">
        <f>IFERROR(INDEX('DADOS_FORMAS'!$BJ$2:$BJ$21,MATCH(SUBSTITUTE(SUBSTITUTE(SUBSTITUTE($MU116,"~","~~"),"*","~*"),"?","~?"),'DADOS_FORMAS'!$AH$2:$AH$21,0)),"")</f>
        <v/>
      </c>
      <c r="RP116">
        <f>IFERROR(VLOOKUP(SUBSTITUTE(SUBSTITUTE(SUBSTITUTE(IFERROR(INDEX('DADOS_FORMAS'!$AS$2:$AS$21,MATCH(SUBSTITUTE(SUBSTITUTE(SUBSTITUTE($MU116,"~","~~"),"*","~*"),"?","~?"),'DADOS_FORMAS'!$AH$2:$AH$21,0)),""),"~","~~"),"*","~*"),"?","~?"),'DADOS_RESTRICOES'!$M$2:$Q$54,2,FALSE),"")</f>
        <v/>
      </c>
      <c r="RQ116">
        <f>$OK116</f>
        <v/>
      </c>
      <c r="RR116">
        <f>$OL116</f>
        <v/>
      </c>
      <c r="RS116">
        <f>$RP116</f>
        <v/>
      </c>
    </row>
    <row r="117">
      <c r="MN117" s="162" t="inlineStr">
        <is>
          <t>Ficha 9 · Escolha da trilha 2</t>
        </is>
      </c>
      <c r="MO117" s="164" t="n">
        <v>9</v>
      </c>
      <c r="MP117" s="164" t="n">
        <v>2</v>
      </c>
      <c r="MQ117" s="164" t="n">
        <v>0</v>
      </c>
      <c r="MR117" s="162" t="inlineStr">
        <is>
          <t>ESCOLHA DA TRILHA 2</t>
        </is>
      </c>
      <c r="MS117" s="164">
        <f>MAX(0,MIN(7,N('INVOCAÇÕES'!$AH$595)))</f>
        <v/>
      </c>
      <c r="MT117" s="164">
        <f>'INVOCAÇÕES'!$AI$595&amp;""</f>
        <v/>
      </c>
      <c r="MU117" s="164">
        <f>'INVOCAÇÕES'!$AH$600&amp;""</f>
        <v/>
      </c>
      <c r="MV117" s="164">
        <f>'INVOCAÇÕES'!$AH$601&amp;""</f>
        <v/>
      </c>
      <c r="MW117" s="164">
        <f>'INVOCAÇÕES'!$AJ$601&amp;""</f>
        <v/>
      </c>
      <c r="MX117" s="164">
        <f>'INVOCAÇÕES'!$AI$604&amp;""</f>
        <v/>
      </c>
      <c r="MY117" s="164">
        <f>'INVOCAÇÕES'!$AI$605&amp;""</f>
        <v/>
      </c>
      <c r="MZ117" s="164">
        <f>'INVOCAÇÕES'!$AI$606&amp;""</f>
        <v/>
      </c>
      <c r="NA117" s="164">
        <f>'INVOCAÇÕES'!$AI$607&amp;""</f>
        <v/>
      </c>
      <c r="NB117" s="164">
        <f>'INVOCAÇÕES'!$AI$608&amp;""</f>
        <v/>
      </c>
      <c r="NC117" s="164">
        <f>'INVOCAÇÕES'!$AI$609&amp;""</f>
        <v/>
      </c>
      <c r="ND117" s="164">
        <f>IF($MT117&lt;&gt;"",1,0)</f>
        <v/>
      </c>
      <c r="NE117" s="164">
        <f>INDEX($FO$2:$FO$13,$MO117)</f>
        <v/>
      </c>
      <c r="NF117" s="164">
        <f>INDEX($FP$2:$FP$13,$MO117)</f>
        <v/>
      </c>
      <c r="NG117" s="164">
        <f>INDEX($FQ$2:$FQ$13,$MO117)</f>
        <v/>
      </c>
      <c r="NH117" s="164">
        <f>INDEX($GB$2:$GB$13,$MO117)</f>
        <v/>
      </c>
      <c r="NI117" s="164">
        <f>INDEX($GC$2:$GC$13,$MO117)</f>
        <v/>
      </c>
      <c r="NJ117" s="164">
        <f>IFERROR(MATCH(SUBSTITUTE(SUBSTITUTE(SUBSTITUTE($MU117,"~","~~"),"*","~*"),"?","~?"),'DADOS_FORMAS'!$FZ$2:$FZ$21,0),0)</f>
        <v/>
      </c>
      <c r="NK117" s="164">
        <f>IFERROR(VLOOKUP(SUBSTITUTE(SUBSTITUTE(SUBSTITUTE($MX117,"~","~~"),"*","~*"),"?","~?"),'DADOS_MELHORIAS'!$AG$2:$AL$113,2,FALSE),"")</f>
        <v/>
      </c>
      <c r="NL117" s="164">
        <f>IFERROR(VLOOKUP(SUBSTITUTE(SUBSTITUTE(SUBSTITUTE($MY117,"~","~~"),"*","~*"),"?","~?"),'DADOS_MELHORIAS'!$AG$2:$AL$113,2,FALSE),"")</f>
        <v/>
      </c>
      <c r="NM117" s="164">
        <f>IFERROR(VLOOKUP(SUBSTITUTE(SUBSTITUTE(SUBSTITUTE($MZ117,"~","~~"),"*","~*"),"?","~?"),'DADOS_MELHORIAS'!$AG$2:$AL$113,2,FALSE),"")</f>
        <v/>
      </c>
      <c r="NN117" s="164">
        <f>IFERROR(VLOOKUP(SUBSTITUTE(SUBSTITUTE(SUBSTITUTE($NA117,"~","~~"),"*","~*"),"?","~?"),'DADOS_MELHORIAS'!$AG$2:$AL$113,2,FALSE),"")</f>
        <v/>
      </c>
      <c r="NO117" s="164">
        <f>IFERROR(VLOOKUP(SUBSTITUTE(SUBSTITUTE(SUBSTITUTE($MX117,"~","~~"),"*","~*"),"?","~?"),'DADOS_MELHORIAS'!$AG$2:$AL$113,3,FALSE),0)</f>
        <v/>
      </c>
      <c r="NP117" s="164">
        <f>IFERROR(VLOOKUP(SUBSTITUTE(SUBSTITUTE(SUBSTITUTE($MY117,"~","~~"),"*","~*"),"?","~?"),'DADOS_MELHORIAS'!$AG$2:$AL$113,3,FALSE),0)</f>
        <v/>
      </c>
      <c r="NQ117" s="164">
        <f>IFERROR(VLOOKUP(SUBSTITUTE(SUBSTITUTE(SUBSTITUTE($MZ117,"~","~~"),"*","~*"),"?","~?"),'DADOS_MELHORIAS'!$AG$2:$AL$113,3,FALSE),0)</f>
        <v/>
      </c>
      <c r="NR117" s="164">
        <f>IFERROR(VLOOKUP(SUBSTITUTE(SUBSTITUTE(SUBSTITUTE($NA117,"~","~~"),"*","~*"),"?","~?"),'DADOS_MELHORIAS'!$AG$2:$AL$113,3,FALSE),0)</f>
        <v/>
      </c>
      <c r="NS117" s="164">
        <f>IF($MS117=0,0,IF($NJ117=0,0,INDEX('DADOS_FORMAS'!$GB$2:$GB$21,$NJ117)))</f>
        <v/>
      </c>
      <c r="NT117" s="164">
        <f>IF(OR($NO117=0,$MS117=0),0,$NO117+3*IF(AND($NK117&lt;&gt;"",COUNTIF(INDEX($RB$2:$RJ$13,$MO117,0),$NK117)&gt;0),1,0))</f>
        <v/>
      </c>
      <c r="NU117" s="164">
        <f>IF(OR($NP117=0,$MS117=0),0,$NP117+3*IF(AND($NL117&lt;&gt;"",COUNTIF(INDEX($RB$2:$RJ$13,$MO117,0),$NL117)&gt;0),1,0))</f>
        <v/>
      </c>
      <c r="NV117" s="164">
        <f>IF(OR($NQ117=0,$MS117=0),0,$NQ117+3*IF(AND($NM117&lt;&gt;"",COUNTIF(INDEX($RB$2:$RJ$13,$MO117,0),$NM117)&gt;0),1,0))</f>
        <v/>
      </c>
      <c r="NW117" s="164">
        <f>IF(OR($NR117=0,$MS117=0),0,$NR117+3*IF(AND($NN117&lt;&gt;"",COUNTIF(INDEX($RB$2:$RJ$13,$MO117,0),$NN117)&gt;0),1,0))</f>
        <v/>
      </c>
      <c r="NX117" s="164">
        <f>IF($NJ117=0,0,IF(INDEX('DADOS_FORMAS'!$GA$2:$GA$21,$NJ117)="",0,IF((COUNTIF(INDEX($EL$2:$EP$13,$MO117,0),INDEX('DADOS_FORMAS'!$GA$2:$GA$21,$NJ117))+COUNTIF(INDEX($QV$2:$QY$13,$MO117,0),INDEX('DADOS_FORMAS'!$GA$2:$GA$21,$NJ117)))=0,1,0)))</f>
        <v/>
      </c>
      <c r="NY117" s="164">
        <f>IF(OR($NO117=0,$NK117=""),0,IF((COUNTIF(INDEX($EL$2:$EP$13,$MO117,0),$NK117)+COUNTIF(INDEX($QV$2:$QY$13,$MO117,0),$NK117))=0,1,0))</f>
        <v/>
      </c>
      <c r="NZ117" s="164">
        <f>IF(OR($NP117=0,$NL117=""),0,IF((COUNTIF(INDEX($EL$2:$EP$13,$MO117,0),$NL117)+COUNTIF(INDEX($QV$2:$QY$13,$MO117,0),$NL117))=0,1,0))</f>
        <v/>
      </c>
      <c r="OA117" s="164">
        <f>IF(OR($NQ117=0,$NM117=""),0,IF((COUNTIF(INDEX($EL$2:$EP$13,$MO117,0),$NM117)+COUNTIF(INDEX($QV$2:$QY$13,$MO117,0),$NM117))=0,1,0))</f>
        <v/>
      </c>
      <c r="OB117" s="164">
        <f>IF(OR($NR117=0,$NN117=""),0,IF((COUNTIF(INDEX($EL$2:$EP$13,$MO117,0),$NN117)+COUNTIF(INDEX($QV$2:$QY$13,$MO117,0),$NN117))=0,1,0))</f>
        <v/>
      </c>
      <c r="OC117" s="164">
        <f>IFERROR(VLOOKUP(SUBSTITUTE(SUBSTITUTE(SUBSTITUTE($MX117,"~","~~"),"*","~*"),"?","~?"),'DADOS_MELHORIAS'!$AG$2:$AL$113,4,FALSE),0)+IFERROR(VLOOKUP(SUBSTITUTE(SUBSTITUTE(SUBSTITUTE($MY117,"~","~~"),"*","~*"),"?","~?"),'DADOS_MELHORIAS'!$AG$2:$AL$113,4,FALSE),0)+IFERROR(VLOOKUP(SUBSTITUTE(SUBSTITUTE(SUBSTITUTE($MZ117,"~","~~"),"*","~*"),"?","~?"),'DADOS_MELHORIAS'!$AG$2:$AL$113,4,FALSE),0)+IFERROR(VLOOKUP(SUBSTITUTE(SUBSTITUTE(SUBSTITUTE($NA117,"~","~~"),"*","~*"),"?","~?"),'DADOS_MELHORIAS'!$AG$2:$AL$113,4,FALSE),0)</f>
        <v/>
      </c>
      <c r="OD117" s="164">
        <f>IFERROR(VLOOKUP(SUBSTITUTE(SUBSTITUTE(SUBSTITUTE($MX117,"~","~~"),"*","~*"),"?","~?"),'DADOS_MELHORIAS'!$AG$2:$AL$113,6,FALSE),0)+IFERROR(VLOOKUP(SUBSTITUTE(SUBSTITUTE(SUBSTITUTE($MY117,"~","~~"),"*","~*"),"?","~?"),'DADOS_MELHORIAS'!$AG$2:$AL$113,6,FALSE),0)+IFERROR(VLOOKUP(SUBSTITUTE(SUBSTITUTE(SUBSTITUTE($MZ117,"~","~~"),"*","~*"),"?","~?"),'DADOS_MELHORIAS'!$AG$2:$AL$113,6,FALSE),0)+IFERROR(VLOOKUP(SUBSTITUTE(SUBSTITUTE(SUBSTITUTE($NA117,"~","~~"),"*","~*"),"?","~?"),'DADOS_MELHORIAS'!$AG$2:$AL$113,6,FALSE),0)+IFERROR(N(AND(INDEX('DADOS_FORMAS'!$AO$2:$AO$21,MATCH(SUBSTITUTE(SUBSTITUTE(SUBSTITUTE($MU117,"~","~~"),"*","~*"),"?","~?"),'DADOS_FORMAS'!$AH$2:$AH$21,0))="Acerto",$OH117=1)),0)</f>
        <v/>
      </c>
      <c r="OE117" s="164">
        <f>TEXTJOIN(", ",TRUE,IF(IFERROR(VLOOKUP(SUBSTITUTE(SUBSTITUTE(SUBSTITUTE($MX117,"~","~~"),"*","~*"),"?","~?"),'DADOS_MELHORIAS'!$AG$2:$AL$113,5,FALSE),0)=1,$MX117,""),IF(IFERROR(VLOOKUP(SUBSTITUTE(SUBSTITUTE(SUBSTITUTE($MY117,"~","~~"),"*","~*"),"?","~?"),'DADOS_MELHORIAS'!$AG$2:$AL$113,5,FALSE),0)=1,$MY117,""),IF(IFERROR(VLOOKUP(SUBSTITUTE(SUBSTITUTE(SUBSTITUTE($MZ117,"~","~~"),"*","~*"),"?","~?"),'DADOS_MELHORIAS'!$AG$2:$AL$113,5,FALSE),0)=1,$MZ117,""),IF(IFERROR(VLOOKUP(SUBSTITUTE(SUBSTITUTE(SUBSTITUTE($NA117,"~","~~"),"*","~*"),"?","~?"),'DADOS_MELHORIAS'!$AG$2:$AL$113,5,FALSE),0)=1,$NA117,""))</f>
        <v/>
      </c>
      <c r="OF117" s="164">
        <f>IF($NJ117=0,0,INDEX('DADOS_FORMAS'!$GC$2:$GC$21,$NJ117))</f>
        <v/>
      </c>
      <c r="OG117" s="164">
        <f>IF($NJ117=0,0,INDEX('DADOS_FORMAS'!$GD$2:$GD$21,$NJ117))</f>
        <v/>
      </c>
      <c r="OH117" s="164">
        <f>IF($NJ117=0,0,INDEX('DADOS_FORMAS'!$GF$2:$GF$21,$NJ117))</f>
        <v/>
      </c>
      <c r="OI117" s="164">
        <f>IFERROR(VLOOKUP(SUBSTITUTE(SUBSTITUTE(SUBSTITUTE($NB117,"~","~~"),"*","~*"),"?","~?"),'DADOS_RESTRICOES'!$M$2:$Q$54,3,FALSE),0)</f>
        <v/>
      </c>
      <c r="OJ117" s="164">
        <f>IFERROR(VLOOKUP(SUBSTITUTE(SUBSTITUTE(SUBSTITUTE($NC117,"~","~~"),"*","~*"),"?","~?"),'DADOS_RESTRICOES'!$M$2:$Q$54,3,FALSE),0)</f>
        <v/>
      </c>
      <c r="OK117" s="164">
        <f>IFERROR(VLOOKUP(SUBSTITUTE(SUBSTITUTE(SUBSTITUTE($NB117,"~","~~"),"*","~*"),"?","~?"),'DADOS_RESTRICOES'!$M$2:$Q$54,2,FALSE),"")</f>
        <v/>
      </c>
      <c r="OL117" s="164">
        <f>IFERROR(VLOOKUP(SUBSTITUTE(SUBSTITUTE(SUBSTITUTE($NC117,"~","~~"),"*","~*"),"?","~?"),'DADOS_RESTRICOES'!$M$2:$Q$54,2,FALSE),"")</f>
        <v/>
      </c>
      <c r="OM117" s="164">
        <f>COUNTIF($NS117:$NW117,1)</f>
        <v/>
      </c>
      <c r="ON117" s="164">
        <f>COUNTIF($NS117:$NW117,2)</f>
        <v/>
      </c>
      <c r="OO117" s="164">
        <f>COUNTIF($NS117:$NW117,3)</f>
        <v/>
      </c>
      <c r="OP117" s="164">
        <f>COUNTIF($NS117:$NW117,4)</f>
        <v/>
      </c>
      <c r="OQ117" s="164">
        <f>COUNTIF($NS117:$NW117,5)</f>
        <v/>
      </c>
      <c r="OR117" s="164">
        <f>COUNTIF($NS117:$NW117,6)</f>
        <v/>
      </c>
      <c r="OS117" s="164">
        <f>COUNTIF($OI117:$OJ117,1)+IF(IFERROR(INDEX('DADOS_FORMAS'!$AS$2:$AS$21,MATCH(SUBSTITUTE(SUBSTITUTE(SUBSTITUTE($MU117,"~","~~"),"*","~*"),"?","~?"),'DADOS_FORMAS'!$AH$2:$AH$21,0)),"")="",0,IFERROR(N(VLOOKUP(SUBSTITUTE(SUBSTITUTE(SUBSTITUTE(IFERROR(INDEX('DADOS_FORMAS'!$AS$2:$AS$21,MATCH(SUBSTITUTE(SUBSTITUTE(SUBSTITUTE($MU117,"~","~~"),"*","~*"),"?","~?"),'DADOS_FORMAS'!$AH$2:$AH$21,0)),""),"~","~~"),"*","~*"),"?","~?"),'DADOS_RESTRICOES'!$M$2:$Q$54,3,FALSE)=1),0))</f>
        <v/>
      </c>
      <c r="OT117" s="164">
        <f>COUNTIF($OI117:$OJ117,2)+IF(IFERROR(INDEX('DADOS_FORMAS'!$AS$2:$AS$21,MATCH(SUBSTITUTE(SUBSTITUTE(SUBSTITUTE($MU117,"~","~~"),"*","~*"),"?","~?"),'DADOS_FORMAS'!$AH$2:$AH$21,0)),"")="",0,IFERROR(N(VLOOKUP(SUBSTITUTE(SUBSTITUTE(SUBSTITUTE(IFERROR(INDEX('DADOS_FORMAS'!$AS$2:$AS$21,MATCH(SUBSTITUTE(SUBSTITUTE(SUBSTITUTE($MU117,"~","~~"),"*","~*"),"?","~?"),'DADOS_FORMAS'!$AH$2:$AH$21,0)),""),"~","~~"),"*","~*"),"?","~?"),'DADOS_RESTRICOES'!$M$2:$Q$54,3,FALSE)=2),0))</f>
        <v/>
      </c>
      <c r="OU117" s="164">
        <f>COUNTIF($MX117:$NA117,"?*")</f>
        <v/>
      </c>
      <c r="OV117" s="164">
        <f>COUNTIF($NB117:$NC117,"?*")+$OF117</f>
        <v/>
      </c>
      <c r="OW117" s="164">
        <f>IF($MS117=0,0,SUMPRODUCT($OM117:$OR117,INDEX($I$2:$N$8,MAX(1,$MS117),0)))</f>
        <v/>
      </c>
      <c r="OX117" s="164">
        <f>IF($MS117=0,0,$OS117*CEILING($MS117/2,1)+$OT117*$MS117)</f>
        <v/>
      </c>
      <c r="OY117" s="164">
        <f>MIN(2*$MS117,$OX117)</f>
        <v/>
      </c>
      <c r="OZ117" s="164">
        <f>MIN($OY117,$OW117-IF($NS117=0,0,INDEX($I$2:$N$8,MAX(1,$MS117),$NS117)))</f>
        <v/>
      </c>
      <c r="PA117" s="164">
        <f>$OY117-$OZ117</f>
        <v/>
      </c>
      <c r="PB117" s="164">
        <f>IF($MS117=0,0,INDEX($P$2:$P$8,MAX(1,$MS117)))</f>
        <v/>
      </c>
      <c r="PC117" s="164">
        <f>$PB117-$OW117+$OZ117</f>
        <v/>
      </c>
      <c r="PD117" s="164">
        <f>IF($MS117=0,MAX(0,$NG117-IF(AND($OU117&gt;0,COUNTIF($NB117:$NC117,"?*")=0),1,0)),MAX(0,$PC117))</f>
        <v/>
      </c>
      <c r="PE117" s="164">
        <f>IF($MS117=0,0,(IF(COUNTIF($RK117:$RN117,"Salto")&gt;0,1,0)+IF(COUNTIF($RK117:$RN117,"Queima")&gt;0,1,0)+IF(COUNTIF($RK117:$RN117,"Estilhaço")&gt;0,1,0))*FLOOR($PD117/2,1))</f>
        <v/>
      </c>
      <c r="PF117" s="164">
        <f>MAX(0,2-SUMPRODUCT($OM117:$OR117,$I$2:$N$2)+MIN(2,$OS117*1+$OT117*1,SUMPRODUCT($OM117:$OR117,$I$2:$N$2)-IF($NS117=0,0,INDEX($I$2:$N$2,1,$NS117))))</f>
        <v/>
      </c>
      <c r="PG117" s="164">
        <f>MAX(0,4-SUMPRODUCT($OM117:$OR117,$I$3:$N$3)+MIN(4,$OS117*1+$OT117*2,SUMPRODUCT($OM117:$OR117,$I$3:$N$3)-IF($NS117=0,0,INDEX($I$3:$N$3,1,$NS117))))</f>
        <v/>
      </c>
      <c r="PH117" s="164">
        <f>MAX(0,6-SUMPRODUCT($OM117:$OR117,$I$4:$N$4)+MIN(6,$OS117*2+$OT117*3,SUMPRODUCT($OM117:$OR117,$I$4:$N$4)-IF($NS117=0,0,INDEX($I$4:$N$4,1,$NS117))))</f>
        <v/>
      </c>
      <c r="PI117" s="164">
        <f>MAX(0,9-SUMPRODUCT($OM117:$OR117,$I$5:$N$5)+MIN(8,$OS117*2+$OT117*4,SUMPRODUCT($OM117:$OR117,$I$5:$N$5)-IF($NS117=0,0,INDEX($I$5:$N$5,1,$NS117))))</f>
        <v/>
      </c>
      <c r="PJ117" s="164">
        <f>MAX(0,11-SUMPRODUCT($OM117:$OR117,$I$6:$N$6)+MIN(10,$OS117*3+$OT117*5,SUMPRODUCT($OM117:$OR117,$I$6:$N$6)-IF($NS117=0,0,INDEX($I$6:$N$6,1,$NS117))))</f>
        <v/>
      </c>
      <c r="PK117" s="164">
        <f>MAX(0,13-SUMPRODUCT($OM117:$OR117,$I$7:$N$7)+MIN(12,$OS117*3+$OT117*6,SUMPRODUCT($OM117:$OR117,$I$7:$N$7)-IF($NS117=0,0,INDEX($I$7:$N$7,1,$NS117))))</f>
        <v/>
      </c>
      <c r="PL117" s="164">
        <f>MAX(0,16-SUMPRODUCT($OM117:$OR117,$I$8:$N$8)+MIN(14,$OS117*4+$OT117*7,SUMPRODUCT($OM117:$OR117,$I$8:$N$8)-IF($NS117=0,0,INDEX($I$8:$N$8,1,$NS117))))</f>
        <v/>
      </c>
      <c r="PM117" s="164">
        <f>IF($OG117=2,3*$PF117&amp;" de vida temp.",IF($OG117=3,"sem dano",IF($PF117=0,IF($OG117=1,"sem cura","sem dano"),IF($OG117=1,"cura ","")&amp;$PF117&amp;"d8")))</f>
        <v/>
      </c>
      <c r="PN117" s="164">
        <f>IF($OG117=2,3*$PG117&amp;" de vida temp.",IF($OG117=3,"sem dano",IF($PG117=0,IF($OG117=1,"sem cura","sem dano"),IF($OG117=1,"cura ","")&amp;$PG117&amp;"d8")))</f>
        <v/>
      </c>
      <c r="PO117" s="164">
        <f>IF($OG117=2,3*$PH117&amp;" de vida temp.",IF($OG117=3,"sem dano",IF($PH117=0,IF($OG117=1,"sem cura","sem dano"),IF($OG117=1,"cura ","")&amp;$PH117&amp;"d8")))</f>
        <v/>
      </c>
      <c r="PP117" s="164">
        <f>IF($OG117=2,3*$PI117&amp;" de vida temp.",IF($OG117=3,"sem dano",IF($PI117=0,IF($OG117=1,"sem cura","sem dano"),IF($OG117=1,"cura ","")&amp;$PI117&amp;"d8")))</f>
        <v/>
      </c>
      <c r="PQ117" s="164">
        <f>IF($OG117=2,3*$PJ117&amp;" de vida temp.",IF($OG117=3,"sem dano",IF($PJ117=0,IF($OG117=1,"sem cura","sem dano"),IF($OG117=1,"cura ","")&amp;$PJ117&amp;"d8")))</f>
        <v/>
      </c>
      <c r="PR117" s="164">
        <f>IF($OG117=2,3*$PK117&amp;" de vida temp.",IF($OG117=3,"sem dano",IF($PK117=0,IF($OG117=1,"sem cura","sem dano"),IF($OG117=1,"cura ","")&amp;$PK117&amp;"d8")))</f>
        <v/>
      </c>
      <c r="PS117" s="164">
        <f>IF($OG117=2,3*$PL117&amp;" de vida temp.",IF($OG117=3,"sem dano",IF($PL117=0,IF($OG117=1,"sem cura","sem dano"),IF($OG117=1,"cura ","")&amp;$PL117&amp;"d8")))</f>
        <v/>
      </c>
      <c r="PT117" s="164">
        <f>IF($ND117=0,"",TEXTJOIN(" · ",TRUE,IF($ND117=0,"",TEXTJOIN(" · ",TRUE,IF($ND117=0,"",TEXTJOIN(" · ",TRUE,IF($MQ117&gt;$NE117,"Este lugar abre no nível "&amp;$MQ117,""),IF($MS117&gt;$NF117,"Classe "&amp;$MS117&amp;": o nível "&amp;$NE117&amp;" libera até a "&amp;$NF117,""),IF($NX117=1,"A Forma "&amp;$MU117&amp;" pede "&amp;INDEX('DADOS_FORMAS'!$GA$2:$GA$21,$NJ117)&amp;" aberta",""),IF(AND($MS117=0,$NJ117&gt;0,IF($NJ117=0,0,INDEX('DADOS_FORMAS'!$GJ$2:$GJ$21,$NJ117))=0),$MU117&amp;" não existe na Classe 0",""),IF($NY117=1,"Família Fechada: "&amp;$MX117,""),IF($NZ117=1,"Família Fechada: "&amp;$MY117,""),IF($OA117=1,"Família Fechada: "&amp;$MZ117,""),IF($OB117=1,"Família Fechada: "&amp;$NA117,""),IF(AND($MS117&gt;0,$OU117&gt;INDEX($O$2:$O$8,MAX(1,$MS117))),$OU117&amp;" Melhorias: a Classe "&amp;$MS117&amp;" aceita "&amp;INDEX($O$2:$O$8,MAX(1,$MS117)),""),IF(AND($MS117=0,$OU117&gt;1),"A básica aceita uma Melhoria",""),IF(AND($MS117=0,COUNTIF($NO117:$NR117,"&gt;1")&gt;0),"A básica só aceita Melhoria Leve",""),IF(AND($MS117&gt;0,$OV117&gt;2),$OV117&amp;" Restrições"&amp;IF($OF117=1,", contando a que a Forma "&amp;$MU117&amp;" já traz","")&amp;": o limite é 2",""),IF(AND($MS117=0,COUNTIF($NB117:$NC117,"?*")&gt;1),"A básica aceita uma Restrição Leve",""),IF(AND($MS117=0,COUNTIF($OI117:$OJ117,2)&gt;0),"A básica só aceita Restrição Leve",""),IF(AND($MS117&gt;0,$PC117&lt;0),"Orçamento estourado: faltam "&amp;(-$PC117)&amp;IF($PC117&lt;-1," pontos"," ponto"),""),IF(IFERROR(VLOOKUP(SUBSTITUTE(SUBSTITUTE(SUBSTITUTE($NB117,"~","~~"),"*","~*"),"?","~?"),'DADOS_RESTRICOES'!$M$2:$Q$54,4,FALSE),0)+IFERROR(VLOOKUP(SUBSTITUTE(SUBSTITUTE(SUBSTITUTE($NC117,"~","~~"),"*","~*"),"?","~?"),'DADOS_RESTRICOES'!$M$2:$Q$54,4,FALSE),0)&gt;1,$OK117&amp;" e "&amp;$OL117&amp;" são as duas de frequência",""),IF(AND((COUNTIF($RK117:$RN117,"Rápido")+COUNTIF($OK117:$OL117,"Rápido"))&gt;0,(COUNTIF($MX117:$NA117,"Atrasar")+COUNTIF($OK117:$OL117,"Atrasar"))&gt;0),"Rápido não entra com Atrasar",""),IF(AND((COUNTIF($RK117:$RN117,"Reação")+COUNTIF($OK117:$OL117,"Reação"))&gt;0,(COUNTIF($RK117:$RN117,"Rápido")+COUNTIF($OK117:$OL117,"Rápido"))&gt;0),"Reação não entra com Rápido",""),IF(AND((COUNTIF($RK117:$RN117,"Reação")+COUNTIF($OK117:$OL117,"Reação"))&gt;0,(COUNTIF($RK117:$RN117,"Armado")+COUNTIF($OK117:$OL117,"Armado"))&gt;0),"Reação não entra com Armado",""),IF(AND((COUNTIF($RK117:$RN117,"Reação")+COUNTIF($OK117:$OL117,"Reação"))&gt;0,(COUNTIF($MX117:$NA117,"Atrasar")+COUNTIF($OK117:$OL117,"Atrasar"))&gt;0),"Reação não entra com Atrasar",""),IF(AND((COUNTIF($RK117:$RN117,"Reação")+COUNTIF($OK117:$OL117,"Reação"))&gt;0,(COUNTIF($MX117:$NA117,"Parado")+COUNTIF($OK117:$OL117,"Parado"))&gt;0),"Reação não entra com Parado",""),IF(AND((COUNTIF($MX117:$NA117,"Atrasar")+COUNTIF($OK117:$OL117,"Atrasar"))&gt;0,(COUNTIF($MX117:$NA117,"Parado")+COUNTIF($OK117:$OL117,"Parado"))&gt;0),"Atrasar não entra com Parado",""),IF(AND((COUNTIF($RK117:$RN117,"Armado")+COUNTIF($OK117:$OL117,"Armado"))&gt;0,(COUNTIF($MX117:$NA117,"Carregar")+COUNTIF($OK117:$OL117,"Carregar"))&gt;0),"Armado não entra com Carregar",""),IF(AND(COUNTIF($OK117:$OL117,"Corpo a Corpo")&gt;0,$OF117=0,OR($RO117="Cone",$RO117="Linha")),"Corpo a Corpo não entra em "&amp;$MU117,""),IF(AND(COUNTIF($OK117:$OL117,"Corpo a Corpo")&gt;0,$RP117="Corpo a Corpo"),"A Forma "&amp;$MU117&amp;" já traz o Corpo a Corpo",""),IF(AND(COUNTIF($OK117:$OL117,"Tudo ou Nada")&gt;0,$OH117=0),"Tudo ou Nada só entra em habilidade de Teste de Resistência",""),IF(AND(COUNTIF($RK117:$RN117,"Inescapável")&gt;0,OR($OU117&gt;1,$OV117&gt;0)),"Inescapável não aceita outra peça",""),IF(AND($MS117&gt;0,$PD117*IF(COUNTIF($RK117:$RN117,"Remate")&gt;0,1.25,1)+$PE117&gt;4*$MS117),($PD117*IF(COUNTIF($RK117:$RN117,"Remate")&gt;0,1.25,1)+$PE117)&amp;" dados somando repetições"&amp;IF(COUNTIF($RK117:$RN117,"Remate")&gt;0," e o Remate","")&amp;": o teto da Classe "&amp;$MS117&amp;" é "&amp;4*$MS117,""))),IF(AND($MX117&lt;&gt;"",COUNTIF('DADOS_MELHORIAS'!$O$2:$O$113,SUBSTITUTE(SUBSTITUTE(SUBSTITUTE($MX117,"~","~~"),"*","~*"),"?","~?"))=0),"Melhoria não cadastrada ou com erro: "&amp;$MX117,""),IF(AND($MY117&lt;&gt;"",COUNTIF('DADOS_MELHORIAS'!$O$2:$O$113,SUBSTITUTE(SUBSTITUTE(SUBSTITUTE($MY117,"~","~~"),"*","~*"),"?","~?"))=0),"Melhoria não cadastrada ou com erro: "&amp;$MY117,""),IF(AND($MZ117&lt;&gt;"",COUNTIF('DADOS_MELHORIAS'!$O$2:$O$113,SUBSTITUTE(SUBSTITUTE(SUBSTITUTE($MZ117,"~","~~"),"*","~*"),"?","~?"))=0),"Melhoria não cadastrada ou com erro: "&amp;$MZ117,""),IF(AND($NA117&lt;&gt;"",COUNTIF('DADOS_MELHORIAS'!$O$2:$O$113,SUBSTITUTE(SUBSTITUTE(SUBSTITUTE($NA117,"~","~~"),"*","~*"),"?","~?"))=0),"Melhoria não cadastrada ou com erro: "&amp;$NA117,""),IF(AND($NB117&lt;&gt;"",COUNTIF('DADOS_RESTRICOES'!$M$2:$M$54,SUBSTITUTE(SUBSTITUTE(SUBSTITUTE($NB117,"~","~~"),"*","~*"),"?","~?"))=0),"Restrição não cadastrada ou com erro: "&amp;$NB117,""),IF(AND($NC117&lt;&gt;"",COUNTIF('DADOS_RESTRICOES'!$M$2:$M$54,SUBSTITUTE(SUBSTITUTE(SUBSTITUTE($NC117,"~","~~"),"*","~*"),"?","~?"))=0),"Restrição não cadastrada ou com erro: "&amp;$NC117,""))),IF(AND($MU117&lt;&gt;"",COUNTIF('DADOS_FORMAS'!$AH$2:$AH$21,SUBSTITUTE(SUBSTITUTE(SUBSTITUTE($MU117,"~","~~"),"*","~*"),"?","~?"))=0),"Forma não cadastrada ou com erro: "&amp;$MU117,""),IF(AND(IFERROR(INDEX('DADOS_FORMAS'!$AS$2:$AS$21,MATCH(SUBSTITUTE(SUBSTITUTE(SUBSTITUTE($MU117,"~","~~"),"*","~*"),"?","~?"),'DADOS_FORMAS'!$AH$2:$AH$21,0)),"")&lt;&gt;"",OR(IFERROR(VLOOKUP(SUBSTITUTE(SUBSTITUTE(SUBSTITUTE(IFERROR(INDEX('DADOS_FORMAS'!$AS$2:$AS$21,MATCH(SUBSTITUTE(SUBSTITUTE(SUBSTITUTE($MU117,"~","~~"),"*","~*"),"?","~?"),'DADOS_FORMAS'!$AH$2:$AH$21,0)),""),"~","~~"),"*","~*"),"?","~?"),'DADOS_RESTRICOES'!$M$2:$Q$54,2,FALSE),"")=$OK117,IFERROR(VLOOKUP(SUBSTITUTE(SUBSTITUTE(SUBSTITUTE(IFERROR(INDEX('DADOS_FORMAS'!$AS$2:$AS$21,MATCH(SUBSTITUTE(SUBSTITUTE(SUBSTITUTE($MU117,"~","~~"),"*","~*"),"?","~?"),'DADOS_FORMAS'!$AH$2:$AH$21,0)),""),"~","~~"),"*","~*"),"?","~?"),'DADOS_RESTRICOES'!$M$2:$Q$54,2,FALSE),"")=$OL117)),"Restrição repetida, contando a embutida",""),IF(IF(IFERROR(INDEX('DADOS_FORMAS'!$AS$2:$AS$21,MATCH(SUBSTITUTE(SUBSTITUTE(SUBSTITUTE($MU117,"~","~~"),"*","~*"),"?","~?"),'DADOS_FORMAS'!$AH$2:$AH$21,0)),"")="",0,IFERROR(N(VLOOKUP(SUBSTITUTE(SUBSTITUTE(SUBSTITUTE(IFERROR(INDEX('DADOS_FORMAS'!$AS$2:$AS$21,MATCH(SUBSTITUTE(SUBSTITUTE(SUBSTITUTE($MU117,"~","~~"),"*","~*"),"?","~?"),'DADOS_FORMAS'!$AH$2:$AH$21,0)),""),"~","~~"),"*","~*"),"?","~?"),'DADOS_RESTRICOES'!$M$2:$Q$54,4,FALSE)=1),0))+IF($NB117="",0,IFERROR(N(VLOOKUP(SUBSTITUTE(SUBSTITUTE(SUBSTITUTE($NB117,"~","~~"),"*","~*"),"?","~?"),'DADOS_RESTRICOES'!$M$2:$Q$54,4,FALSE)=1),0))+IF($NC117="",0,IFERROR(N(VLOOKUP(SUBSTITUTE(SUBSTITUTE(SUBSTITUTE($NC117,"~","~~"),"*","~*"),"?","~?"),'DADOS_RESTRICOES'!$M$2:$Q$54,4,FALSE)=1),0))&gt;1,"Duas Restrições de frequência, contando a embutida",""),IF(AND(IFERROR(VLOOKUP(SUBSTITUTE(SUBSTITUTE(SUBSTITUTE(IFERROR(INDEX('DADOS_FORMAS'!$AS$2:$AS$21,MATCH(SUBSTITUTE(SUBSTITUTE(SUBSTITUTE($MU117,"~","~~"),"*","~*"),"?","~?"),'DADOS_FORMAS'!$AH$2:$AH$21,0)),""),"~","~~"),"*","~*"),"?","~?"),'DADOS_RESTRICOES'!$M$2:$Q$54,2,FALSE),"")="Tudo ou Nada",$OH117=0),"Tudo ou Nada exige TR",""),IF(AND(IFERROR(VLOOKUP(SUBSTITUTE(SUBSTITUTE(SUBSTITUTE(IFERROR(INDEX('DADOS_FORMAS'!$AS$2:$AS$21,MATCH(SUBSTITUTE(SUBSTITUTE(SUBSTITUTE($MU117,"~","~~"),"*","~*"),"?","~?"),'DADOS_FORMAS'!$AH$2:$AH$21,0)),""),"~","~~"),"*","~*"),"?","~?"),'DADOS_RESTRICOES'!$M$2:$Q$54,2,FALSE),"")="Corpo a Corpo",OR($RO117="Cone",$RO117="Linha")),"Corpo a Corpo não entra em Cone/Linha","")))</f>
        <v/>
      </c>
      <c r="PU117" s="164">
        <f>IF($PT117="",0,(LEN($PT117)-LEN(SUBSTITUTE($PT117," · ","")))/3+1)</f>
        <v/>
      </c>
      <c r="PV117" s="164">
        <f>IF($ND117=0,"",TEXTJOIN(" · ",TRUE,IF($OX117&gt;2*$MS117,"A devolução parou no teto de "&amp;2*$MS117,""),IF($PA117&gt;0,"Devolução perdida: "&amp;$PA117&amp;IF($PA117&gt;1," pontos"," ponto")&amp;" sem Melhoria para pagar",""),IF(AND($OC117&gt;0,AND($MS117&gt;0,$OG117=0),$PD117=0),"Controle sem dano: uma rodada a mais e CD +2",""),IF(AND($OC117&gt;0,AND($MS117&gt;0,$OG117=0),$PD117&gt;0,$PD117&lt;=$MS117),"Controle com saldo até a Classe: uma rodada a mais",""),IF(AND($MS117&gt;0,$OE117&lt;&gt;""),"Efeito de "&amp;$OE117&amp;" pela Classe "&amp;MAX(1,$MS117-1),"")))</f>
        <v/>
      </c>
      <c r="PW117" s="164">
        <f>IF($PV117="",0,(LEN($PV117)-LEN(SUBSTITUTE($PV117," · ","")))/3+1)</f>
        <v/>
      </c>
      <c r="PX117" s="164">
        <f>IF($ND117=0,IF($OU117+COUNTIF($NB117:$NC117,"?*")&gt;0,"Dê um nome",""),IF($PU117&gt;0,"⚠ "&amp;$PU117&amp;IF($PU117&gt;1," erros"," erro"),IF($PW117&gt;0,"! "&amp;$PW117&amp;IF($PW117&gt;1," avisos"," aviso"),"Na regra")))</f>
        <v/>
      </c>
      <c r="PY117" s="164">
        <f>IF($ND117=0,"",IF($PU117+$PW117=0,"Dentro das regras que a ficha confere",$PT117&amp;IF(AND($PU117&gt;0,$PW117&gt;0)," · ","")&amp;$PV117))</f>
        <v/>
      </c>
      <c r="PZ117" s="164">
        <f>IF($MQ117&gt;$NE117,$MR117&amp;" · ABRE NO NÍVEL "&amp;$MQ117,$MR117)</f>
        <v/>
      </c>
      <c r="QA117" s="164">
        <f>IF($ND117=0,"",IF($MS117=0,"Sem PE",3*$MS117&amp;" PE"))</f>
        <v/>
      </c>
      <c r="QB117" s="164">
        <f>IF($ND117=0,"",IF($MS117=0,"A atuação básica dela",IF(COUNTIF($RQ117:$RS117,"Atrasar")&gt;0,"Sua Ação Completa",IF(COUNTIF($RK117:$RN117,"Rápido")&gt;0,"Sua Bônus",IF(COUNTIF($RK117:$RN117,"Reação")&gt;0,"Sua Reação","Sua Padrão")))&amp;" + a básica dela"&amp;IF(COUNTIF($RK117:$RN117,"Reação")&gt;0," e a coletiva","")&amp;IF(COUNTIF($RQ117:$RS117,"Carregar")&gt;0," · em dois turnos","")))</f>
        <v/>
      </c>
      <c r="QC117" s="164">
        <f>IF($MW117&lt;&gt;"",$MW117,IF($NJ117=0,"",INDEX('DADOS_FORMAS'!$GE$2:$GE$21,$NJ117)))</f>
        <v/>
      </c>
      <c r="QD117" s="164">
        <f>IF(OR($ND117=0,$NJ117=0),"",IF(COUNTIF($RK117:$RN117,"Inescapável")&gt;0,"Automático",IF($QC117="Ataque",IF($NH117="","Ataque","Ataque "&amp;IF(($NH117+2*IF(COUNTIF($RK117:$RN117,"Precisão")&gt;0,1,0))&gt;=0,"+","−")&amp;ABS(($NH117+2*IF(COUNTIF($RK117:$RN117,"Precisão")&gt;0,1,0))))&amp;IF($OD117&gt;0," · TR"&amp;IF($NI117="",""," CD "&amp;$NI117),""),IF(LEFT($QC117,2)="TR",$QC117&amp;IF($NI117="",""," · CD "&amp;$NI117)&amp;IF(COUNTIF($RK117:$RN117,"Certeiro")&gt;0," · metade",""),"Sem rolagem"))))</f>
        <v/>
      </c>
      <c r="QE117" s="164">
        <f>IF(OR($ND117=0,$NJ117=0),"",IF($MS117=0,IF(OR($OG117&gt;=1,$PD117=0),"Sem dano",$PD117&amp;"d6"&amp;IF($MV117="",""," "&amp;$MV117)),IF(OR($OG117&gt;=1,$PD117=0),UPPER(LEFT(INDEX($PM117:$PS117,1,MAX(1,$MS117)),1))&amp;MID(INDEX($PM117:$PS117,1,MAX(1,$MS117)),2,99),UPPER(LEFT(INDEX($PM117:$PS117,1,MAX(1,$MS117)),1))&amp;MID(INDEX($PM117:$PS117,1,MAX(1,$MS117)),2,99)&amp;IF($MV117="",""," "&amp;$MV117)&amp;IF($PE117&gt;0," · +"&amp;$PE117&amp;"d8",""))))</f>
        <v/>
      </c>
      <c r="QF117" s="164">
        <f>COUNTIF($RK117:$RN117,"Longe")+3*COUNTIF($RK117:$RN117,"Muito Longe")</f>
        <v/>
      </c>
      <c r="QG117" s="164">
        <f>COUNTIF($RK117:$RN117,"Maior")+3*COUNTIF($RK117:$RN117,"Muito Maior")</f>
        <v/>
      </c>
      <c r="QH117" s="164">
        <f>IF($NJ117=0,0,CHOOSE(1+INDEX('DADOS_FORMAS'!$GG$2:$GG$21,$NJ117),0,$QF117,$QG117,$QF117+$QG117))</f>
        <v/>
      </c>
      <c r="QI117" s="164">
        <f>IF($NJ117=0,0,CHOOSE(1+INDEX('DADOS_FORMAS'!$GH$2:$GH$21,$NJ117),0,$QF117,$QG117,$QF117+$QG117))</f>
        <v/>
      </c>
      <c r="QJ117" s="164">
        <f>IF(OR($ND117=0,$NJ117=0),"",INDEX('DADOS_FORMAS'!$HU$2:$HZ$81,($NJ117-1)*4+IF($MS117=0,1,IF($MS117&lt;=5,2,IF($MS117=6,3,4))),1+MIN(5,$QH117))&amp;INDEX('DADOS_FORMAS'!$IA$2:$IF$81,($NJ117-1)*4+IF($MS117=0,1,IF($MS117&lt;=5,2,IF($MS117=6,3,4))),1+MIN(5,$QI117))&amp;IF(INDEX('DADOS_FORMAS'!$GI$2:$GI$21,$NJ117)=1,IF(COUNTIF($RK117:$RN117,"Mais Um")&gt;0," · +"&amp;COUNTIF($RK117:$RN117,"Mais Um")&amp;IF(COUNTIF($RK117:$RN117,"Mais Um")&gt;1," alvos"," alvo"),"")&amp;IF(COUNTIF($RK117:$RN117,"Rajada")&gt;0,IF($MS117=0," · 1 tiro"," · "&amp;(MAX(1,$MS117-1)+1)&amp;" tiros"),""),""))</f>
        <v/>
      </c>
      <c r="QK117" s="164">
        <f>IF($ND117=0,"",IF($MS117=0,$NG117&amp;"d6"&amp;IF($OU117&gt;0," − 1 = "&amp;$PD117&amp;"d6"," da básica do nível "&amp;$NE117),$PB117&amp;" − "&amp;$OW117&amp;" + "&amp;$OZ117&amp;" = "&amp;$PC117&amp;" · teto "&amp;4*$MS117&amp;"d8"&amp;IF($OF117=1," · a Forma devolve "&amp;$MS117,"")&amp;IF($PA117&gt;0," · perde "&amp;$PA117,"")))</f>
        <v/>
      </c>
      <c r="QL117" s="164">
        <f>IF($ND117=0,"",IF($MS117=0,"A básica não amplia: os dados dela sobem com o nível",IF($MS117&gt;=$NF117,"Já está na maior Classe que o nível liberou",TEXTJOIN(" · ",TRUE,IF(AND(2&gt;$MS117,2&lt;=$NF117),"2 → "&amp;$PN117&amp;", 6 PE",""),IF(AND(3&gt;$MS117,3&lt;=$NF117),"3 → "&amp;$PO117&amp;", 9 PE",""),IF(AND(4&gt;$MS117,4&lt;=$NF117),"4 → "&amp;$PP117&amp;", 12 PE",""),IF(AND(5&gt;$MS117,5&lt;=$NF117),"5 → "&amp;$PQ117&amp;", 15 PE",""),IF(AND(6&gt;$MS117,6&lt;=$NF117),"6 → "&amp;$PR117&amp;", 18 PE",""),IF(AND(7&gt;$MS117,7&lt;=$NF117),"7 → "&amp;$PS117&amp;", 21 PE","")))))</f>
        <v/>
      </c>
      <c r="QM117" s="164">
        <f>IF(OR($ND117=0,$NO117=0),"",IF($MS117=0,"−1 dado","−"&amp;INDEX($I$2:$N$8,MAX(1,$MS117),MAX(1,$NT117))&amp;" · "&amp;CHOOSE(MAX(1,$NT117),"Leve","Média","Pesada","Leve · Livre","Média · Livre","Pesada · Livre")))</f>
        <v/>
      </c>
      <c r="QN117" s="164">
        <f>IF(OR($ND117=0,$NP117=0),"",IF($MS117=0,"−1 dado","−"&amp;INDEX($I$2:$N$8,MAX(1,$MS117),MAX(1,$NU117))&amp;" · "&amp;CHOOSE(MAX(1,$NU117),"Leve","Média","Pesada","Leve · Livre","Média · Livre","Pesada · Livre")))</f>
        <v/>
      </c>
      <c r="QO117" s="164">
        <f>IF(OR($ND117=0,$NQ117=0),"",IF($MS117=0,"−1 dado","−"&amp;INDEX($I$2:$N$8,MAX(1,$MS117),MAX(1,$NV117))&amp;" · "&amp;CHOOSE(MAX(1,$NV117),"Leve","Média","Pesada","Leve · Livre","Média · Livre","Pesada · Livre")))</f>
        <v/>
      </c>
      <c r="QP117" s="164">
        <f>IF(OR($ND117=0,$NR117=0),"",IF($MS117=0,"−1 dado","−"&amp;INDEX($I$2:$N$8,MAX(1,$MS117),MAX(1,$NW117))&amp;" · "&amp;CHOOSE(MAX(1,$NW117),"Leve","Média","Pesada","Leve · Livre","Média · Livre","Pesada · Livre")))</f>
        <v/>
      </c>
      <c r="QQ117" s="164">
        <f>IF(OR($ND117=0,$NB117=""),"",IF($MS117=0,"não devolve","+"&amp;IF($OI117=1,CEILING($MS117/2,1),$MS117)))</f>
        <v/>
      </c>
      <c r="QR117" s="164">
        <f>IF(OR($ND117=0,$NC117=""),"",IF($MS117=0,"não devolve","+"&amp;IF($OJ117=1,CEILING($MS117/2,1),$MS117)))</f>
        <v/>
      </c>
      <c r="RK117">
        <f>IF($MX117="","",IFERROR(VLOOKUP(SUBSTITUTE(SUBSTITUTE(SUBSTITUTE($MX117,"~","~~"),"*","~*"),"?","~?"),'DADOS_MELHORIAS'!$O$2:$X$113,10,FALSE),$MX117))</f>
        <v/>
      </c>
      <c r="RL117">
        <f>IF($MY117="","",IFERROR(VLOOKUP(SUBSTITUTE(SUBSTITUTE(SUBSTITUTE($MY117,"~","~~"),"*","~*"),"?","~?"),'DADOS_MELHORIAS'!$O$2:$X$113,10,FALSE),$MY117))</f>
        <v/>
      </c>
      <c r="RM117">
        <f>IF($MZ117="","",IFERROR(VLOOKUP(SUBSTITUTE(SUBSTITUTE(SUBSTITUTE($MZ117,"~","~~"),"*","~*"),"?","~?"),'DADOS_MELHORIAS'!$O$2:$X$113,10,FALSE),$MZ117))</f>
        <v/>
      </c>
      <c r="RN117">
        <f>IF($NA117="","",IFERROR(VLOOKUP(SUBSTITUTE(SUBSTITUTE(SUBSTITUTE($NA117,"~","~~"),"*","~*"),"?","~?"),'DADOS_MELHORIAS'!$O$2:$X$113,10,FALSE),$NA117))</f>
        <v/>
      </c>
      <c r="RO117">
        <f>IFERROR(INDEX('DADOS_FORMAS'!$BJ$2:$BJ$21,MATCH(SUBSTITUTE(SUBSTITUTE(SUBSTITUTE($MU117,"~","~~"),"*","~*"),"?","~?"),'DADOS_FORMAS'!$AH$2:$AH$21,0)),"")</f>
        <v/>
      </c>
      <c r="RP117">
        <f>IFERROR(VLOOKUP(SUBSTITUTE(SUBSTITUTE(SUBSTITUTE(IFERROR(INDEX('DADOS_FORMAS'!$AS$2:$AS$21,MATCH(SUBSTITUTE(SUBSTITUTE(SUBSTITUTE($MU117,"~","~~"),"*","~*"),"?","~?"),'DADOS_FORMAS'!$AH$2:$AH$21,0)),""),"~","~~"),"*","~*"),"?","~?"),'DADOS_RESTRICOES'!$M$2:$Q$54,2,FALSE),"")</f>
        <v/>
      </c>
      <c r="RQ117">
        <f>$OK117</f>
        <v/>
      </c>
      <c r="RR117">
        <f>$OL117</f>
        <v/>
      </c>
      <c r="RS117">
        <f>$RP117</f>
        <v/>
      </c>
    </row>
    <row r="118">
      <c r="MN118" s="162" t="inlineStr">
        <is>
          <t>Ficha 9 · Escolha da trilha 3</t>
        </is>
      </c>
      <c r="MO118" s="164" t="n">
        <v>9</v>
      </c>
      <c r="MP118" s="164" t="n">
        <v>2</v>
      </c>
      <c r="MQ118" s="164" t="n">
        <v>0</v>
      </c>
      <c r="MR118" s="162" t="inlineStr">
        <is>
          <t>ESCOLHA DA TRILHA 3</t>
        </is>
      </c>
      <c r="MS118" s="164">
        <f>MAX(0,MIN(7,N('INVOCAÇÕES'!$AN$595)))</f>
        <v/>
      </c>
      <c r="MT118" s="164">
        <f>'INVOCAÇÕES'!$AO$595&amp;""</f>
        <v/>
      </c>
      <c r="MU118" s="164">
        <f>'INVOCAÇÕES'!$AN$600&amp;""</f>
        <v/>
      </c>
      <c r="MV118" s="164">
        <f>'INVOCAÇÕES'!$AN$601&amp;""</f>
        <v/>
      </c>
      <c r="MW118" s="164">
        <f>'INVOCAÇÕES'!$AP$601&amp;""</f>
        <v/>
      </c>
      <c r="MX118" s="164">
        <f>'INVOCAÇÕES'!$AO$604&amp;""</f>
        <v/>
      </c>
      <c r="MY118" s="164">
        <f>'INVOCAÇÕES'!$AO$605&amp;""</f>
        <v/>
      </c>
      <c r="MZ118" s="164">
        <f>'INVOCAÇÕES'!$AO$606&amp;""</f>
        <v/>
      </c>
      <c r="NA118" s="164">
        <f>'INVOCAÇÕES'!$AO$607&amp;""</f>
        <v/>
      </c>
      <c r="NB118" s="164">
        <f>'INVOCAÇÕES'!$AO$608&amp;""</f>
        <v/>
      </c>
      <c r="NC118" s="164">
        <f>'INVOCAÇÕES'!$AO$609&amp;""</f>
        <v/>
      </c>
      <c r="ND118" s="164">
        <f>IF($MT118&lt;&gt;"",1,0)</f>
        <v/>
      </c>
      <c r="NE118" s="164">
        <f>INDEX($FO$2:$FO$13,$MO118)</f>
        <v/>
      </c>
      <c r="NF118" s="164">
        <f>INDEX($FP$2:$FP$13,$MO118)</f>
        <v/>
      </c>
      <c r="NG118" s="164">
        <f>INDEX($FQ$2:$FQ$13,$MO118)</f>
        <v/>
      </c>
      <c r="NH118" s="164">
        <f>INDEX($GB$2:$GB$13,$MO118)</f>
        <v/>
      </c>
      <c r="NI118" s="164">
        <f>INDEX($GC$2:$GC$13,$MO118)</f>
        <v/>
      </c>
      <c r="NJ118" s="164">
        <f>IFERROR(MATCH(SUBSTITUTE(SUBSTITUTE(SUBSTITUTE($MU118,"~","~~"),"*","~*"),"?","~?"),'DADOS_FORMAS'!$FZ$2:$FZ$21,0),0)</f>
        <v/>
      </c>
      <c r="NK118" s="164">
        <f>IFERROR(VLOOKUP(SUBSTITUTE(SUBSTITUTE(SUBSTITUTE($MX118,"~","~~"),"*","~*"),"?","~?"),'DADOS_MELHORIAS'!$AG$2:$AL$113,2,FALSE),"")</f>
        <v/>
      </c>
      <c r="NL118" s="164">
        <f>IFERROR(VLOOKUP(SUBSTITUTE(SUBSTITUTE(SUBSTITUTE($MY118,"~","~~"),"*","~*"),"?","~?"),'DADOS_MELHORIAS'!$AG$2:$AL$113,2,FALSE),"")</f>
        <v/>
      </c>
      <c r="NM118" s="164">
        <f>IFERROR(VLOOKUP(SUBSTITUTE(SUBSTITUTE(SUBSTITUTE($MZ118,"~","~~"),"*","~*"),"?","~?"),'DADOS_MELHORIAS'!$AG$2:$AL$113,2,FALSE),"")</f>
        <v/>
      </c>
      <c r="NN118" s="164">
        <f>IFERROR(VLOOKUP(SUBSTITUTE(SUBSTITUTE(SUBSTITUTE($NA118,"~","~~"),"*","~*"),"?","~?"),'DADOS_MELHORIAS'!$AG$2:$AL$113,2,FALSE),"")</f>
        <v/>
      </c>
      <c r="NO118" s="164">
        <f>IFERROR(VLOOKUP(SUBSTITUTE(SUBSTITUTE(SUBSTITUTE($MX118,"~","~~"),"*","~*"),"?","~?"),'DADOS_MELHORIAS'!$AG$2:$AL$113,3,FALSE),0)</f>
        <v/>
      </c>
      <c r="NP118" s="164">
        <f>IFERROR(VLOOKUP(SUBSTITUTE(SUBSTITUTE(SUBSTITUTE($MY118,"~","~~"),"*","~*"),"?","~?"),'DADOS_MELHORIAS'!$AG$2:$AL$113,3,FALSE),0)</f>
        <v/>
      </c>
      <c r="NQ118" s="164">
        <f>IFERROR(VLOOKUP(SUBSTITUTE(SUBSTITUTE(SUBSTITUTE($MZ118,"~","~~"),"*","~*"),"?","~?"),'DADOS_MELHORIAS'!$AG$2:$AL$113,3,FALSE),0)</f>
        <v/>
      </c>
      <c r="NR118" s="164">
        <f>IFERROR(VLOOKUP(SUBSTITUTE(SUBSTITUTE(SUBSTITUTE($NA118,"~","~~"),"*","~*"),"?","~?"),'DADOS_MELHORIAS'!$AG$2:$AL$113,3,FALSE),0)</f>
        <v/>
      </c>
      <c r="NS118" s="164">
        <f>IF($MS118=0,0,IF($NJ118=0,0,INDEX('DADOS_FORMAS'!$GB$2:$GB$21,$NJ118)))</f>
        <v/>
      </c>
      <c r="NT118" s="164">
        <f>IF(OR($NO118=0,$MS118=0),0,$NO118+3*IF(AND($NK118&lt;&gt;"",COUNTIF(INDEX($RB$2:$RJ$13,$MO118,0),$NK118)&gt;0),1,0))</f>
        <v/>
      </c>
      <c r="NU118" s="164">
        <f>IF(OR($NP118=0,$MS118=0),0,$NP118+3*IF(AND($NL118&lt;&gt;"",COUNTIF(INDEX($RB$2:$RJ$13,$MO118,0),$NL118)&gt;0),1,0))</f>
        <v/>
      </c>
      <c r="NV118" s="164">
        <f>IF(OR($NQ118=0,$MS118=0),0,$NQ118+3*IF(AND($NM118&lt;&gt;"",COUNTIF(INDEX($RB$2:$RJ$13,$MO118,0),$NM118)&gt;0),1,0))</f>
        <v/>
      </c>
      <c r="NW118" s="164">
        <f>IF(OR($NR118=0,$MS118=0),0,$NR118+3*IF(AND($NN118&lt;&gt;"",COUNTIF(INDEX($RB$2:$RJ$13,$MO118,0),$NN118)&gt;0),1,0))</f>
        <v/>
      </c>
      <c r="NX118" s="164">
        <f>IF($NJ118=0,0,IF(INDEX('DADOS_FORMAS'!$GA$2:$GA$21,$NJ118)="",0,IF((COUNTIF(INDEX($EL$2:$EP$13,$MO118,0),INDEX('DADOS_FORMAS'!$GA$2:$GA$21,$NJ118))+COUNTIF(INDEX($QV$2:$QY$13,$MO118,0),INDEX('DADOS_FORMAS'!$GA$2:$GA$21,$NJ118)))=0,1,0)))</f>
        <v/>
      </c>
      <c r="NY118" s="164">
        <f>IF(OR($NO118=0,$NK118=""),0,IF((COUNTIF(INDEX($EL$2:$EP$13,$MO118,0),$NK118)+COUNTIF(INDEX($QV$2:$QY$13,$MO118,0),$NK118))=0,1,0))</f>
        <v/>
      </c>
      <c r="NZ118" s="164">
        <f>IF(OR($NP118=0,$NL118=""),0,IF((COUNTIF(INDEX($EL$2:$EP$13,$MO118,0),$NL118)+COUNTIF(INDEX($QV$2:$QY$13,$MO118,0),$NL118))=0,1,0))</f>
        <v/>
      </c>
      <c r="OA118" s="164">
        <f>IF(OR($NQ118=0,$NM118=""),0,IF((COUNTIF(INDEX($EL$2:$EP$13,$MO118,0),$NM118)+COUNTIF(INDEX($QV$2:$QY$13,$MO118,0),$NM118))=0,1,0))</f>
        <v/>
      </c>
      <c r="OB118" s="164">
        <f>IF(OR($NR118=0,$NN118=""),0,IF((COUNTIF(INDEX($EL$2:$EP$13,$MO118,0),$NN118)+COUNTIF(INDEX($QV$2:$QY$13,$MO118,0),$NN118))=0,1,0))</f>
        <v/>
      </c>
      <c r="OC118" s="164">
        <f>IFERROR(VLOOKUP(SUBSTITUTE(SUBSTITUTE(SUBSTITUTE($MX118,"~","~~"),"*","~*"),"?","~?"),'DADOS_MELHORIAS'!$AG$2:$AL$113,4,FALSE),0)+IFERROR(VLOOKUP(SUBSTITUTE(SUBSTITUTE(SUBSTITUTE($MY118,"~","~~"),"*","~*"),"?","~?"),'DADOS_MELHORIAS'!$AG$2:$AL$113,4,FALSE),0)+IFERROR(VLOOKUP(SUBSTITUTE(SUBSTITUTE(SUBSTITUTE($MZ118,"~","~~"),"*","~*"),"?","~?"),'DADOS_MELHORIAS'!$AG$2:$AL$113,4,FALSE),0)+IFERROR(VLOOKUP(SUBSTITUTE(SUBSTITUTE(SUBSTITUTE($NA118,"~","~~"),"*","~*"),"?","~?"),'DADOS_MELHORIAS'!$AG$2:$AL$113,4,FALSE),0)</f>
        <v/>
      </c>
      <c r="OD118" s="164">
        <f>IFERROR(VLOOKUP(SUBSTITUTE(SUBSTITUTE(SUBSTITUTE($MX118,"~","~~"),"*","~*"),"?","~?"),'DADOS_MELHORIAS'!$AG$2:$AL$113,6,FALSE),0)+IFERROR(VLOOKUP(SUBSTITUTE(SUBSTITUTE(SUBSTITUTE($MY118,"~","~~"),"*","~*"),"?","~?"),'DADOS_MELHORIAS'!$AG$2:$AL$113,6,FALSE),0)+IFERROR(VLOOKUP(SUBSTITUTE(SUBSTITUTE(SUBSTITUTE($MZ118,"~","~~"),"*","~*"),"?","~?"),'DADOS_MELHORIAS'!$AG$2:$AL$113,6,FALSE),0)+IFERROR(VLOOKUP(SUBSTITUTE(SUBSTITUTE(SUBSTITUTE($NA118,"~","~~"),"*","~*"),"?","~?"),'DADOS_MELHORIAS'!$AG$2:$AL$113,6,FALSE),0)+IFERROR(N(AND(INDEX('DADOS_FORMAS'!$AO$2:$AO$21,MATCH(SUBSTITUTE(SUBSTITUTE(SUBSTITUTE($MU118,"~","~~"),"*","~*"),"?","~?"),'DADOS_FORMAS'!$AH$2:$AH$21,0))="Acerto",$OH118=1)),0)</f>
        <v/>
      </c>
      <c r="OE118" s="164">
        <f>TEXTJOIN(", ",TRUE,IF(IFERROR(VLOOKUP(SUBSTITUTE(SUBSTITUTE(SUBSTITUTE($MX118,"~","~~"),"*","~*"),"?","~?"),'DADOS_MELHORIAS'!$AG$2:$AL$113,5,FALSE),0)=1,$MX118,""),IF(IFERROR(VLOOKUP(SUBSTITUTE(SUBSTITUTE(SUBSTITUTE($MY118,"~","~~"),"*","~*"),"?","~?"),'DADOS_MELHORIAS'!$AG$2:$AL$113,5,FALSE),0)=1,$MY118,""),IF(IFERROR(VLOOKUP(SUBSTITUTE(SUBSTITUTE(SUBSTITUTE($MZ118,"~","~~"),"*","~*"),"?","~?"),'DADOS_MELHORIAS'!$AG$2:$AL$113,5,FALSE),0)=1,$MZ118,""),IF(IFERROR(VLOOKUP(SUBSTITUTE(SUBSTITUTE(SUBSTITUTE($NA118,"~","~~"),"*","~*"),"?","~?"),'DADOS_MELHORIAS'!$AG$2:$AL$113,5,FALSE),0)=1,$NA118,""))</f>
        <v/>
      </c>
      <c r="OF118" s="164">
        <f>IF($NJ118=0,0,INDEX('DADOS_FORMAS'!$GC$2:$GC$21,$NJ118))</f>
        <v/>
      </c>
      <c r="OG118" s="164">
        <f>IF($NJ118=0,0,INDEX('DADOS_FORMAS'!$GD$2:$GD$21,$NJ118))</f>
        <v/>
      </c>
      <c r="OH118" s="164">
        <f>IF($NJ118=0,0,INDEX('DADOS_FORMAS'!$GF$2:$GF$21,$NJ118))</f>
        <v/>
      </c>
      <c r="OI118" s="164">
        <f>IFERROR(VLOOKUP(SUBSTITUTE(SUBSTITUTE(SUBSTITUTE($NB118,"~","~~"),"*","~*"),"?","~?"),'DADOS_RESTRICOES'!$M$2:$Q$54,3,FALSE),0)</f>
        <v/>
      </c>
      <c r="OJ118" s="164">
        <f>IFERROR(VLOOKUP(SUBSTITUTE(SUBSTITUTE(SUBSTITUTE($NC118,"~","~~"),"*","~*"),"?","~?"),'DADOS_RESTRICOES'!$M$2:$Q$54,3,FALSE),0)</f>
        <v/>
      </c>
      <c r="OK118" s="164">
        <f>IFERROR(VLOOKUP(SUBSTITUTE(SUBSTITUTE(SUBSTITUTE($NB118,"~","~~"),"*","~*"),"?","~?"),'DADOS_RESTRICOES'!$M$2:$Q$54,2,FALSE),"")</f>
        <v/>
      </c>
      <c r="OL118" s="164">
        <f>IFERROR(VLOOKUP(SUBSTITUTE(SUBSTITUTE(SUBSTITUTE($NC118,"~","~~"),"*","~*"),"?","~?"),'DADOS_RESTRICOES'!$M$2:$Q$54,2,FALSE),"")</f>
        <v/>
      </c>
      <c r="OM118" s="164">
        <f>COUNTIF($NS118:$NW118,1)</f>
        <v/>
      </c>
      <c r="ON118" s="164">
        <f>COUNTIF($NS118:$NW118,2)</f>
        <v/>
      </c>
      <c r="OO118" s="164">
        <f>COUNTIF($NS118:$NW118,3)</f>
        <v/>
      </c>
      <c r="OP118" s="164">
        <f>COUNTIF($NS118:$NW118,4)</f>
        <v/>
      </c>
      <c r="OQ118" s="164">
        <f>COUNTIF($NS118:$NW118,5)</f>
        <v/>
      </c>
      <c r="OR118" s="164">
        <f>COUNTIF($NS118:$NW118,6)</f>
        <v/>
      </c>
      <c r="OS118" s="164">
        <f>COUNTIF($OI118:$OJ118,1)+IF(IFERROR(INDEX('DADOS_FORMAS'!$AS$2:$AS$21,MATCH(SUBSTITUTE(SUBSTITUTE(SUBSTITUTE($MU118,"~","~~"),"*","~*"),"?","~?"),'DADOS_FORMAS'!$AH$2:$AH$21,0)),"")="",0,IFERROR(N(VLOOKUP(SUBSTITUTE(SUBSTITUTE(SUBSTITUTE(IFERROR(INDEX('DADOS_FORMAS'!$AS$2:$AS$21,MATCH(SUBSTITUTE(SUBSTITUTE(SUBSTITUTE($MU118,"~","~~"),"*","~*"),"?","~?"),'DADOS_FORMAS'!$AH$2:$AH$21,0)),""),"~","~~"),"*","~*"),"?","~?"),'DADOS_RESTRICOES'!$M$2:$Q$54,3,FALSE)=1),0))</f>
        <v/>
      </c>
      <c r="OT118" s="164">
        <f>COUNTIF($OI118:$OJ118,2)+IF(IFERROR(INDEX('DADOS_FORMAS'!$AS$2:$AS$21,MATCH(SUBSTITUTE(SUBSTITUTE(SUBSTITUTE($MU118,"~","~~"),"*","~*"),"?","~?"),'DADOS_FORMAS'!$AH$2:$AH$21,0)),"")="",0,IFERROR(N(VLOOKUP(SUBSTITUTE(SUBSTITUTE(SUBSTITUTE(IFERROR(INDEX('DADOS_FORMAS'!$AS$2:$AS$21,MATCH(SUBSTITUTE(SUBSTITUTE(SUBSTITUTE($MU118,"~","~~"),"*","~*"),"?","~?"),'DADOS_FORMAS'!$AH$2:$AH$21,0)),""),"~","~~"),"*","~*"),"?","~?"),'DADOS_RESTRICOES'!$M$2:$Q$54,3,FALSE)=2),0))</f>
        <v/>
      </c>
      <c r="OU118" s="164">
        <f>COUNTIF($MX118:$NA118,"?*")</f>
        <v/>
      </c>
      <c r="OV118" s="164">
        <f>COUNTIF($NB118:$NC118,"?*")+$OF118</f>
        <v/>
      </c>
      <c r="OW118" s="164">
        <f>IF($MS118=0,0,SUMPRODUCT($OM118:$OR118,INDEX($I$2:$N$8,MAX(1,$MS118),0)))</f>
        <v/>
      </c>
      <c r="OX118" s="164">
        <f>IF($MS118=0,0,$OS118*CEILING($MS118/2,1)+$OT118*$MS118)</f>
        <v/>
      </c>
      <c r="OY118" s="164">
        <f>MIN(2*$MS118,$OX118)</f>
        <v/>
      </c>
      <c r="OZ118" s="164">
        <f>MIN($OY118,$OW118-IF($NS118=0,0,INDEX($I$2:$N$8,MAX(1,$MS118),$NS118)))</f>
        <v/>
      </c>
      <c r="PA118" s="164">
        <f>$OY118-$OZ118</f>
        <v/>
      </c>
      <c r="PB118" s="164">
        <f>IF($MS118=0,0,INDEX($P$2:$P$8,MAX(1,$MS118)))</f>
        <v/>
      </c>
      <c r="PC118" s="164">
        <f>$PB118-$OW118+$OZ118</f>
        <v/>
      </c>
      <c r="PD118" s="164">
        <f>IF($MS118=0,MAX(0,$NG118-IF(AND($OU118&gt;0,COUNTIF($NB118:$NC118,"?*")=0),1,0)),MAX(0,$PC118))</f>
        <v/>
      </c>
      <c r="PE118" s="164">
        <f>IF($MS118=0,0,(IF(COUNTIF($RK118:$RN118,"Salto")&gt;0,1,0)+IF(COUNTIF($RK118:$RN118,"Queima")&gt;0,1,0)+IF(COUNTIF($RK118:$RN118,"Estilhaço")&gt;0,1,0))*FLOOR($PD118/2,1))</f>
        <v/>
      </c>
      <c r="PF118" s="164">
        <f>MAX(0,2-SUMPRODUCT($OM118:$OR118,$I$2:$N$2)+MIN(2,$OS118*1+$OT118*1,SUMPRODUCT($OM118:$OR118,$I$2:$N$2)-IF($NS118=0,0,INDEX($I$2:$N$2,1,$NS118))))</f>
        <v/>
      </c>
      <c r="PG118" s="164">
        <f>MAX(0,4-SUMPRODUCT($OM118:$OR118,$I$3:$N$3)+MIN(4,$OS118*1+$OT118*2,SUMPRODUCT($OM118:$OR118,$I$3:$N$3)-IF($NS118=0,0,INDEX($I$3:$N$3,1,$NS118))))</f>
        <v/>
      </c>
      <c r="PH118" s="164">
        <f>MAX(0,6-SUMPRODUCT($OM118:$OR118,$I$4:$N$4)+MIN(6,$OS118*2+$OT118*3,SUMPRODUCT($OM118:$OR118,$I$4:$N$4)-IF($NS118=0,0,INDEX($I$4:$N$4,1,$NS118))))</f>
        <v/>
      </c>
      <c r="PI118" s="164">
        <f>MAX(0,9-SUMPRODUCT($OM118:$OR118,$I$5:$N$5)+MIN(8,$OS118*2+$OT118*4,SUMPRODUCT($OM118:$OR118,$I$5:$N$5)-IF($NS118=0,0,INDEX($I$5:$N$5,1,$NS118))))</f>
        <v/>
      </c>
      <c r="PJ118" s="164">
        <f>MAX(0,11-SUMPRODUCT($OM118:$OR118,$I$6:$N$6)+MIN(10,$OS118*3+$OT118*5,SUMPRODUCT($OM118:$OR118,$I$6:$N$6)-IF($NS118=0,0,INDEX($I$6:$N$6,1,$NS118))))</f>
        <v/>
      </c>
      <c r="PK118" s="164">
        <f>MAX(0,13-SUMPRODUCT($OM118:$OR118,$I$7:$N$7)+MIN(12,$OS118*3+$OT118*6,SUMPRODUCT($OM118:$OR118,$I$7:$N$7)-IF($NS118=0,0,INDEX($I$7:$N$7,1,$NS118))))</f>
        <v/>
      </c>
      <c r="PL118" s="164">
        <f>MAX(0,16-SUMPRODUCT($OM118:$OR118,$I$8:$N$8)+MIN(14,$OS118*4+$OT118*7,SUMPRODUCT($OM118:$OR118,$I$8:$N$8)-IF($NS118=0,0,INDEX($I$8:$N$8,1,$NS118))))</f>
        <v/>
      </c>
      <c r="PM118" s="164">
        <f>IF($OG118=2,3*$PF118&amp;" de vida temp.",IF($OG118=3,"sem dano",IF($PF118=0,IF($OG118=1,"sem cura","sem dano"),IF($OG118=1,"cura ","")&amp;$PF118&amp;"d8")))</f>
        <v/>
      </c>
      <c r="PN118" s="164">
        <f>IF($OG118=2,3*$PG118&amp;" de vida temp.",IF($OG118=3,"sem dano",IF($PG118=0,IF($OG118=1,"sem cura","sem dano"),IF($OG118=1,"cura ","")&amp;$PG118&amp;"d8")))</f>
        <v/>
      </c>
      <c r="PO118" s="164">
        <f>IF($OG118=2,3*$PH118&amp;" de vida temp.",IF($OG118=3,"sem dano",IF($PH118=0,IF($OG118=1,"sem cura","sem dano"),IF($OG118=1,"cura ","")&amp;$PH118&amp;"d8")))</f>
        <v/>
      </c>
      <c r="PP118" s="164">
        <f>IF($OG118=2,3*$PI118&amp;" de vida temp.",IF($OG118=3,"sem dano",IF($PI118=0,IF($OG118=1,"sem cura","sem dano"),IF($OG118=1,"cura ","")&amp;$PI118&amp;"d8")))</f>
        <v/>
      </c>
      <c r="PQ118" s="164">
        <f>IF($OG118=2,3*$PJ118&amp;" de vida temp.",IF($OG118=3,"sem dano",IF($PJ118=0,IF($OG118=1,"sem cura","sem dano"),IF($OG118=1,"cura ","")&amp;$PJ118&amp;"d8")))</f>
        <v/>
      </c>
      <c r="PR118" s="164">
        <f>IF($OG118=2,3*$PK118&amp;" de vida temp.",IF($OG118=3,"sem dano",IF($PK118=0,IF($OG118=1,"sem cura","sem dano"),IF($OG118=1,"cura ","")&amp;$PK118&amp;"d8")))</f>
        <v/>
      </c>
      <c r="PS118" s="164">
        <f>IF($OG118=2,3*$PL118&amp;" de vida temp.",IF($OG118=3,"sem dano",IF($PL118=0,IF($OG118=1,"sem cura","sem dano"),IF($OG118=1,"cura ","")&amp;$PL118&amp;"d8")))</f>
        <v/>
      </c>
      <c r="PT118" s="164">
        <f>IF($ND118=0,"",TEXTJOIN(" · ",TRUE,IF($ND118=0,"",TEXTJOIN(" · ",TRUE,IF($ND118=0,"",TEXTJOIN(" · ",TRUE,IF($MQ118&gt;$NE118,"Este lugar abre no nível "&amp;$MQ118,""),IF($MS118&gt;$NF118,"Classe "&amp;$MS118&amp;": o nível "&amp;$NE118&amp;" libera até a "&amp;$NF118,""),IF($NX118=1,"A Forma "&amp;$MU118&amp;" pede "&amp;INDEX('DADOS_FORMAS'!$GA$2:$GA$21,$NJ118)&amp;" aberta",""),IF(AND($MS118=0,$NJ118&gt;0,IF($NJ118=0,0,INDEX('DADOS_FORMAS'!$GJ$2:$GJ$21,$NJ118))=0),$MU118&amp;" não existe na Classe 0",""),IF($NY118=1,"Família Fechada: "&amp;$MX118,""),IF($NZ118=1,"Família Fechada: "&amp;$MY118,""),IF($OA118=1,"Família Fechada: "&amp;$MZ118,""),IF($OB118=1,"Família Fechada: "&amp;$NA118,""),IF(AND($MS118&gt;0,$OU118&gt;INDEX($O$2:$O$8,MAX(1,$MS118))),$OU118&amp;" Melhorias: a Classe "&amp;$MS118&amp;" aceita "&amp;INDEX($O$2:$O$8,MAX(1,$MS118)),""),IF(AND($MS118=0,$OU118&gt;1),"A básica aceita uma Melhoria",""),IF(AND($MS118=0,COUNTIF($NO118:$NR118,"&gt;1")&gt;0),"A básica só aceita Melhoria Leve",""),IF(AND($MS118&gt;0,$OV118&gt;2),$OV118&amp;" Restrições"&amp;IF($OF118=1,", contando a que a Forma "&amp;$MU118&amp;" já traz","")&amp;": o limite é 2",""),IF(AND($MS118=0,COUNTIF($NB118:$NC118,"?*")&gt;1),"A básica aceita uma Restrição Leve",""),IF(AND($MS118=0,COUNTIF($OI118:$OJ118,2)&gt;0),"A básica só aceita Restrição Leve",""),IF(AND($MS118&gt;0,$PC118&lt;0),"Orçamento estourado: faltam "&amp;(-$PC118)&amp;IF($PC118&lt;-1," pontos"," ponto"),""),IF(IFERROR(VLOOKUP(SUBSTITUTE(SUBSTITUTE(SUBSTITUTE($NB118,"~","~~"),"*","~*"),"?","~?"),'DADOS_RESTRICOES'!$M$2:$Q$54,4,FALSE),0)+IFERROR(VLOOKUP(SUBSTITUTE(SUBSTITUTE(SUBSTITUTE($NC118,"~","~~"),"*","~*"),"?","~?"),'DADOS_RESTRICOES'!$M$2:$Q$54,4,FALSE),0)&gt;1,$OK118&amp;" e "&amp;$OL118&amp;" são as duas de frequência",""),IF(AND((COUNTIF($RK118:$RN118,"Rápido")+COUNTIF($OK118:$OL118,"Rápido"))&gt;0,(COUNTIF($MX118:$NA118,"Atrasar")+COUNTIF($OK118:$OL118,"Atrasar"))&gt;0),"Rápido não entra com Atrasar",""),IF(AND((COUNTIF($RK118:$RN118,"Reação")+COUNTIF($OK118:$OL118,"Reação"))&gt;0,(COUNTIF($RK118:$RN118,"Rápido")+COUNTIF($OK118:$OL118,"Rápido"))&gt;0),"Reação não entra com Rápido",""),IF(AND((COUNTIF($RK118:$RN118,"Reação")+COUNTIF($OK118:$OL118,"Reação"))&gt;0,(COUNTIF($RK118:$RN118,"Armado")+COUNTIF($OK118:$OL118,"Armado"))&gt;0),"Reação não entra com Armado",""),IF(AND((COUNTIF($RK118:$RN118,"Reação")+COUNTIF($OK118:$OL118,"Reação"))&gt;0,(COUNTIF($MX118:$NA118,"Atrasar")+COUNTIF($OK118:$OL118,"Atrasar"))&gt;0),"Reação não entra com Atrasar",""),IF(AND((COUNTIF($RK118:$RN118,"Reação")+COUNTIF($OK118:$OL118,"Reação"))&gt;0,(COUNTIF($MX118:$NA118,"Parado")+COUNTIF($OK118:$OL118,"Parado"))&gt;0),"Reação não entra com Parado",""),IF(AND((COUNTIF($MX118:$NA118,"Atrasar")+COUNTIF($OK118:$OL118,"Atrasar"))&gt;0,(COUNTIF($MX118:$NA118,"Parado")+COUNTIF($OK118:$OL118,"Parado"))&gt;0),"Atrasar não entra com Parado",""),IF(AND((COUNTIF($RK118:$RN118,"Armado")+COUNTIF($OK118:$OL118,"Armado"))&gt;0,(COUNTIF($MX118:$NA118,"Carregar")+COUNTIF($OK118:$OL118,"Carregar"))&gt;0),"Armado não entra com Carregar",""),IF(AND(COUNTIF($OK118:$OL118,"Corpo a Corpo")&gt;0,$OF118=0,OR($RO118="Cone",$RO118="Linha")),"Corpo a Corpo não entra em "&amp;$MU118,""),IF(AND(COUNTIF($OK118:$OL118,"Corpo a Corpo")&gt;0,$RP118="Corpo a Corpo"),"A Forma "&amp;$MU118&amp;" já traz o Corpo a Corpo",""),IF(AND(COUNTIF($OK118:$OL118,"Tudo ou Nada")&gt;0,$OH118=0),"Tudo ou Nada só entra em habilidade de Teste de Resistência",""),IF(AND(COUNTIF($RK118:$RN118,"Inescapável")&gt;0,OR($OU118&gt;1,$OV118&gt;0)),"Inescapável não aceita outra peça",""),IF(AND($MS118&gt;0,$PD118*IF(COUNTIF($RK118:$RN118,"Remate")&gt;0,1.25,1)+$PE118&gt;4*$MS118),($PD118*IF(COUNTIF($RK118:$RN118,"Remate")&gt;0,1.25,1)+$PE118)&amp;" dados somando repetições"&amp;IF(COUNTIF($RK118:$RN118,"Remate")&gt;0," e o Remate","")&amp;": o teto da Classe "&amp;$MS118&amp;" é "&amp;4*$MS118,""))),IF(AND($MX118&lt;&gt;"",COUNTIF('DADOS_MELHORIAS'!$O$2:$O$113,SUBSTITUTE(SUBSTITUTE(SUBSTITUTE($MX118,"~","~~"),"*","~*"),"?","~?"))=0),"Melhoria não cadastrada ou com erro: "&amp;$MX118,""),IF(AND($MY118&lt;&gt;"",COUNTIF('DADOS_MELHORIAS'!$O$2:$O$113,SUBSTITUTE(SUBSTITUTE(SUBSTITUTE($MY118,"~","~~"),"*","~*"),"?","~?"))=0),"Melhoria não cadastrada ou com erro: "&amp;$MY118,""),IF(AND($MZ118&lt;&gt;"",COUNTIF('DADOS_MELHORIAS'!$O$2:$O$113,SUBSTITUTE(SUBSTITUTE(SUBSTITUTE($MZ118,"~","~~"),"*","~*"),"?","~?"))=0),"Melhoria não cadastrada ou com erro: "&amp;$MZ118,""),IF(AND($NA118&lt;&gt;"",COUNTIF('DADOS_MELHORIAS'!$O$2:$O$113,SUBSTITUTE(SUBSTITUTE(SUBSTITUTE($NA118,"~","~~"),"*","~*"),"?","~?"))=0),"Melhoria não cadastrada ou com erro: "&amp;$NA118,""),IF(AND($NB118&lt;&gt;"",COUNTIF('DADOS_RESTRICOES'!$M$2:$M$54,SUBSTITUTE(SUBSTITUTE(SUBSTITUTE($NB118,"~","~~"),"*","~*"),"?","~?"))=0),"Restrição não cadastrada ou com erro: "&amp;$NB118,""),IF(AND($NC118&lt;&gt;"",COUNTIF('DADOS_RESTRICOES'!$M$2:$M$54,SUBSTITUTE(SUBSTITUTE(SUBSTITUTE($NC118,"~","~~"),"*","~*"),"?","~?"))=0),"Restrição não cadastrada ou com erro: "&amp;$NC118,""))),IF(AND($MU118&lt;&gt;"",COUNTIF('DADOS_FORMAS'!$AH$2:$AH$21,SUBSTITUTE(SUBSTITUTE(SUBSTITUTE($MU118,"~","~~"),"*","~*"),"?","~?"))=0),"Forma não cadastrada ou com erro: "&amp;$MU118,""),IF(AND(IFERROR(INDEX('DADOS_FORMAS'!$AS$2:$AS$21,MATCH(SUBSTITUTE(SUBSTITUTE(SUBSTITUTE($MU118,"~","~~"),"*","~*"),"?","~?"),'DADOS_FORMAS'!$AH$2:$AH$21,0)),"")&lt;&gt;"",OR(IFERROR(VLOOKUP(SUBSTITUTE(SUBSTITUTE(SUBSTITUTE(IFERROR(INDEX('DADOS_FORMAS'!$AS$2:$AS$21,MATCH(SUBSTITUTE(SUBSTITUTE(SUBSTITUTE($MU118,"~","~~"),"*","~*"),"?","~?"),'DADOS_FORMAS'!$AH$2:$AH$21,0)),""),"~","~~"),"*","~*"),"?","~?"),'DADOS_RESTRICOES'!$M$2:$Q$54,2,FALSE),"")=$OK118,IFERROR(VLOOKUP(SUBSTITUTE(SUBSTITUTE(SUBSTITUTE(IFERROR(INDEX('DADOS_FORMAS'!$AS$2:$AS$21,MATCH(SUBSTITUTE(SUBSTITUTE(SUBSTITUTE($MU118,"~","~~"),"*","~*"),"?","~?"),'DADOS_FORMAS'!$AH$2:$AH$21,0)),""),"~","~~"),"*","~*"),"?","~?"),'DADOS_RESTRICOES'!$M$2:$Q$54,2,FALSE),"")=$OL118)),"Restrição repetida, contando a embutida",""),IF(IF(IFERROR(INDEX('DADOS_FORMAS'!$AS$2:$AS$21,MATCH(SUBSTITUTE(SUBSTITUTE(SUBSTITUTE($MU118,"~","~~"),"*","~*"),"?","~?"),'DADOS_FORMAS'!$AH$2:$AH$21,0)),"")="",0,IFERROR(N(VLOOKUP(SUBSTITUTE(SUBSTITUTE(SUBSTITUTE(IFERROR(INDEX('DADOS_FORMAS'!$AS$2:$AS$21,MATCH(SUBSTITUTE(SUBSTITUTE(SUBSTITUTE($MU118,"~","~~"),"*","~*"),"?","~?"),'DADOS_FORMAS'!$AH$2:$AH$21,0)),""),"~","~~"),"*","~*"),"?","~?"),'DADOS_RESTRICOES'!$M$2:$Q$54,4,FALSE)=1),0))+IF($NB118="",0,IFERROR(N(VLOOKUP(SUBSTITUTE(SUBSTITUTE(SUBSTITUTE($NB118,"~","~~"),"*","~*"),"?","~?"),'DADOS_RESTRICOES'!$M$2:$Q$54,4,FALSE)=1),0))+IF($NC118="",0,IFERROR(N(VLOOKUP(SUBSTITUTE(SUBSTITUTE(SUBSTITUTE($NC118,"~","~~"),"*","~*"),"?","~?"),'DADOS_RESTRICOES'!$M$2:$Q$54,4,FALSE)=1),0))&gt;1,"Duas Restrições de frequência, contando a embutida",""),IF(AND(IFERROR(VLOOKUP(SUBSTITUTE(SUBSTITUTE(SUBSTITUTE(IFERROR(INDEX('DADOS_FORMAS'!$AS$2:$AS$21,MATCH(SUBSTITUTE(SUBSTITUTE(SUBSTITUTE($MU118,"~","~~"),"*","~*"),"?","~?"),'DADOS_FORMAS'!$AH$2:$AH$21,0)),""),"~","~~"),"*","~*"),"?","~?"),'DADOS_RESTRICOES'!$M$2:$Q$54,2,FALSE),"")="Tudo ou Nada",$OH118=0),"Tudo ou Nada exige TR",""),IF(AND(IFERROR(VLOOKUP(SUBSTITUTE(SUBSTITUTE(SUBSTITUTE(IFERROR(INDEX('DADOS_FORMAS'!$AS$2:$AS$21,MATCH(SUBSTITUTE(SUBSTITUTE(SUBSTITUTE($MU118,"~","~~"),"*","~*"),"?","~?"),'DADOS_FORMAS'!$AH$2:$AH$21,0)),""),"~","~~"),"*","~*"),"?","~?"),'DADOS_RESTRICOES'!$M$2:$Q$54,2,FALSE),"")="Corpo a Corpo",OR($RO118="Cone",$RO118="Linha")),"Corpo a Corpo não entra em Cone/Linha","")))</f>
        <v/>
      </c>
      <c r="PU118" s="164">
        <f>IF($PT118="",0,(LEN($PT118)-LEN(SUBSTITUTE($PT118," · ","")))/3+1)</f>
        <v/>
      </c>
      <c r="PV118" s="164">
        <f>IF($ND118=0,"",TEXTJOIN(" · ",TRUE,IF($OX118&gt;2*$MS118,"A devolução parou no teto de "&amp;2*$MS118,""),IF($PA118&gt;0,"Devolução perdida: "&amp;$PA118&amp;IF($PA118&gt;1," pontos"," ponto")&amp;" sem Melhoria para pagar",""),IF(AND($OC118&gt;0,AND($MS118&gt;0,$OG118=0),$PD118=0),"Controle sem dano: uma rodada a mais e CD +2",""),IF(AND($OC118&gt;0,AND($MS118&gt;0,$OG118=0),$PD118&gt;0,$PD118&lt;=$MS118),"Controle com saldo até a Classe: uma rodada a mais",""),IF(AND($MS118&gt;0,$OE118&lt;&gt;""),"Efeito de "&amp;$OE118&amp;" pela Classe "&amp;MAX(1,$MS118-1),"")))</f>
        <v/>
      </c>
      <c r="PW118" s="164">
        <f>IF($PV118="",0,(LEN($PV118)-LEN(SUBSTITUTE($PV118," · ","")))/3+1)</f>
        <v/>
      </c>
      <c r="PX118" s="164">
        <f>IF($ND118=0,IF($OU118+COUNTIF($NB118:$NC118,"?*")&gt;0,"Dê um nome",""),IF($PU118&gt;0,"⚠ "&amp;$PU118&amp;IF($PU118&gt;1," erros"," erro"),IF($PW118&gt;0,"! "&amp;$PW118&amp;IF($PW118&gt;1," avisos"," aviso"),"Na regra")))</f>
        <v/>
      </c>
      <c r="PY118" s="164">
        <f>IF($ND118=0,"",IF($PU118+$PW118=0,"Dentro das regras que a ficha confere",$PT118&amp;IF(AND($PU118&gt;0,$PW118&gt;0)," · ","")&amp;$PV118))</f>
        <v/>
      </c>
      <c r="PZ118" s="164">
        <f>IF($MQ118&gt;$NE118,$MR118&amp;" · ABRE NO NÍVEL "&amp;$MQ118,$MR118)</f>
        <v/>
      </c>
      <c r="QA118" s="164">
        <f>IF($ND118=0,"",IF($MS118=0,"Sem PE",3*$MS118&amp;" PE"))</f>
        <v/>
      </c>
      <c r="QB118" s="164">
        <f>IF($ND118=0,"",IF($MS118=0,"A atuação básica dela",IF(COUNTIF($RQ118:$RS118,"Atrasar")&gt;0,"Sua Ação Completa",IF(COUNTIF($RK118:$RN118,"Rápido")&gt;0,"Sua Bônus",IF(COUNTIF($RK118:$RN118,"Reação")&gt;0,"Sua Reação","Sua Padrão")))&amp;" + a básica dela"&amp;IF(COUNTIF($RK118:$RN118,"Reação")&gt;0," e a coletiva","")&amp;IF(COUNTIF($RQ118:$RS118,"Carregar")&gt;0," · em dois turnos","")))</f>
        <v/>
      </c>
      <c r="QC118" s="164">
        <f>IF($MW118&lt;&gt;"",$MW118,IF($NJ118=0,"",INDEX('DADOS_FORMAS'!$GE$2:$GE$21,$NJ118)))</f>
        <v/>
      </c>
      <c r="QD118" s="164">
        <f>IF(OR($ND118=0,$NJ118=0),"",IF(COUNTIF($RK118:$RN118,"Inescapável")&gt;0,"Automático",IF($QC118="Ataque",IF($NH118="","Ataque","Ataque "&amp;IF(($NH118+2*IF(COUNTIF($RK118:$RN118,"Precisão")&gt;0,1,0))&gt;=0,"+","−")&amp;ABS(($NH118+2*IF(COUNTIF($RK118:$RN118,"Precisão")&gt;0,1,0))))&amp;IF($OD118&gt;0," · TR"&amp;IF($NI118="",""," CD "&amp;$NI118),""),IF(LEFT($QC118,2)="TR",$QC118&amp;IF($NI118="",""," · CD "&amp;$NI118)&amp;IF(COUNTIF($RK118:$RN118,"Certeiro")&gt;0," · metade",""),"Sem rolagem"))))</f>
        <v/>
      </c>
      <c r="QE118" s="164">
        <f>IF(OR($ND118=0,$NJ118=0),"",IF($MS118=0,IF(OR($OG118&gt;=1,$PD118=0),"Sem dano",$PD118&amp;"d6"&amp;IF($MV118="",""," "&amp;$MV118)),IF(OR($OG118&gt;=1,$PD118=0),UPPER(LEFT(INDEX($PM118:$PS118,1,MAX(1,$MS118)),1))&amp;MID(INDEX($PM118:$PS118,1,MAX(1,$MS118)),2,99),UPPER(LEFT(INDEX($PM118:$PS118,1,MAX(1,$MS118)),1))&amp;MID(INDEX($PM118:$PS118,1,MAX(1,$MS118)),2,99)&amp;IF($MV118="",""," "&amp;$MV118)&amp;IF($PE118&gt;0," · +"&amp;$PE118&amp;"d8",""))))</f>
        <v/>
      </c>
      <c r="QF118" s="164">
        <f>COUNTIF($RK118:$RN118,"Longe")+3*COUNTIF($RK118:$RN118,"Muito Longe")</f>
        <v/>
      </c>
      <c r="QG118" s="164">
        <f>COUNTIF($RK118:$RN118,"Maior")+3*COUNTIF($RK118:$RN118,"Muito Maior")</f>
        <v/>
      </c>
      <c r="QH118" s="164">
        <f>IF($NJ118=0,0,CHOOSE(1+INDEX('DADOS_FORMAS'!$GG$2:$GG$21,$NJ118),0,$QF118,$QG118,$QF118+$QG118))</f>
        <v/>
      </c>
      <c r="QI118" s="164">
        <f>IF($NJ118=0,0,CHOOSE(1+INDEX('DADOS_FORMAS'!$GH$2:$GH$21,$NJ118),0,$QF118,$QG118,$QF118+$QG118))</f>
        <v/>
      </c>
      <c r="QJ118" s="164">
        <f>IF(OR($ND118=0,$NJ118=0),"",INDEX('DADOS_FORMAS'!$HU$2:$HZ$81,($NJ118-1)*4+IF($MS118=0,1,IF($MS118&lt;=5,2,IF($MS118=6,3,4))),1+MIN(5,$QH118))&amp;INDEX('DADOS_FORMAS'!$IA$2:$IF$81,($NJ118-1)*4+IF($MS118=0,1,IF($MS118&lt;=5,2,IF($MS118=6,3,4))),1+MIN(5,$QI118))&amp;IF(INDEX('DADOS_FORMAS'!$GI$2:$GI$21,$NJ118)=1,IF(COUNTIF($RK118:$RN118,"Mais Um")&gt;0," · +"&amp;COUNTIF($RK118:$RN118,"Mais Um")&amp;IF(COUNTIF($RK118:$RN118,"Mais Um")&gt;1," alvos"," alvo"),"")&amp;IF(COUNTIF($RK118:$RN118,"Rajada")&gt;0,IF($MS118=0," · 1 tiro"," · "&amp;(MAX(1,$MS118-1)+1)&amp;" tiros"),""),""))</f>
        <v/>
      </c>
      <c r="QK118" s="164">
        <f>IF($ND118=0,"",IF($MS118=0,$NG118&amp;"d6"&amp;IF($OU118&gt;0," − 1 = "&amp;$PD118&amp;"d6"," da básica do nível "&amp;$NE118),$PB118&amp;" − "&amp;$OW118&amp;" + "&amp;$OZ118&amp;" = "&amp;$PC118&amp;" · teto "&amp;4*$MS118&amp;"d8"&amp;IF($OF118=1," · a Forma devolve "&amp;$MS118,"")&amp;IF($PA118&gt;0," · perde "&amp;$PA118,"")))</f>
        <v/>
      </c>
      <c r="QL118" s="164">
        <f>IF($ND118=0,"",IF($MS118=0,"A básica não amplia: os dados dela sobem com o nível",IF($MS118&gt;=$NF118,"Já está na maior Classe que o nível liberou",TEXTJOIN(" · ",TRUE,IF(AND(2&gt;$MS118,2&lt;=$NF118),"2 → "&amp;$PN118&amp;", 6 PE",""),IF(AND(3&gt;$MS118,3&lt;=$NF118),"3 → "&amp;$PO118&amp;", 9 PE",""),IF(AND(4&gt;$MS118,4&lt;=$NF118),"4 → "&amp;$PP118&amp;", 12 PE",""),IF(AND(5&gt;$MS118,5&lt;=$NF118),"5 → "&amp;$PQ118&amp;", 15 PE",""),IF(AND(6&gt;$MS118,6&lt;=$NF118),"6 → "&amp;$PR118&amp;", 18 PE",""),IF(AND(7&gt;$MS118,7&lt;=$NF118),"7 → "&amp;$PS118&amp;", 21 PE","")))))</f>
        <v/>
      </c>
      <c r="QM118" s="164">
        <f>IF(OR($ND118=0,$NO118=0),"",IF($MS118=0,"−1 dado","−"&amp;INDEX($I$2:$N$8,MAX(1,$MS118),MAX(1,$NT118))&amp;" · "&amp;CHOOSE(MAX(1,$NT118),"Leve","Média","Pesada","Leve · Livre","Média · Livre","Pesada · Livre")))</f>
        <v/>
      </c>
      <c r="QN118" s="164">
        <f>IF(OR($ND118=0,$NP118=0),"",IF($MS118=0,"−1 dado","−"&amp;INDEX($I$2:$N$8,MAX(1,$MS118),MAX(1,$NU118))&amp;" · "&amp;CHOOSE(MAX(1,$NU118),"Leve","Média","Pesada","Leve · Livre","Média · Livre","Pesada · Livre")))</f>
        <v/>
      </c>
      <c r="QO118" s="164">
        <f>IF(OR($ND118=0,$NQ118=0),"",IF($MS118=0,"−1 dado","−"&amp;INDEX($I$2:$N$8,MAX(1,$MS118),MAX(1,$NV118))&amp;" · "&amp;CHOOSE(MAX(1,$NV118),"Leve","Média","Pesada","Leve · Livre","Média · Livre","Pesada · Livre")))</f>
        <v/>
      </c>
      <c r="QP118" s="164">
        <f>IF(OR($ND118=0,$NR118=0),"",IF($MS118=0,"−1 dado","−"&amp;INDEX($I$2:$N$8,MAX(1,$MS118),MAX(1,$NW118))&amp;" · "&amp;CHOOSE(MAX(1,$NW118),"Leve","Média","Pesada","Leve · Livre","Média · Livre","Pesada · Livre")))</f>
        <v/>
      </c>
      <c r="QQ118" s="164">
        <f>IF(OR($ND118=0,$NB118=""),"",IF($MS118=0,"não devolve","+"&amp;IF($OI118=1,CEILING($MS118/2,1),$MS118)))</f>
        <v/>
      </c>
      <c r="QR118" s="164">
        <f>IF(OR($ND118=0,$NC118=""),"",IF($MS118=0,"não devolve","+"&amp;IF($OJ118=1,CEILING($MS118/2,1),$MS118)))</f>
        <v/>
      </c>
      <c r="RK118">
        <f>IF($MX118="","",IFERROR(VLOOKUP(SUBSTITUTE(SUBSTITUTE(SUBSTITUTE($MX118,"~","~~"),"*","~*"),"?","~?"),'DADOS_MELHORIAS'!$O$2:$X$113,10,FALSE),$MX118))</f>
        <v/>
      </c>
      <c r="RL118">
        <f>IF($MY118="","",IFERROR(VLOOKUP(SUBSTITUTE(SUBSTITUTE(SUBSTITUTE($MY118,"~","~~"),"*","~*"),"?","~?"),'DADOS_MELHORIAS'!$O$2:$X$113,10,FALSE),$MY118))</f>
        <v/>
      </c>
      <c r="RM118">
        <f>IF($MZ118="","",IFERROR(VLOOKUP(SUBSTITUTE(SUBSTITUTE(SUBSTITUTE($MZ118,"~","~~"),"*","~*"),"?","~?"),'DADOS_MELHORIAS'!$O$2:$X$113,10,FALSE),$MZ118))</f>
        <v/>
      </c>
      <c r="RN118">
        <f>IF($NA118="","",IFERROR(VLOOKUP(SUBSTITUTE(SUBSTITUTE(SUBSTITUTE($NA118,"~","~~"),"*","~*"),"?","~?"),'DADOS_MELHORIAS'!$O$2:$X$113,10,FALSE),$NA118))</f>
        <v/>
      </c>
      <c r="RO118">
        <f>IFERROR(INDEX('DADOS_FORMAS'!$BJ$2:$BJ$21,MATCH(SUBSTITUTE(SUBSTITUTE(SUBSTITUTE($MU118,"~","~~"),"*","~*"),"?","~?"),'DADOS_FORMAS'!$AH$2:$AH$21,0)),"")</f>
        <v/>
      </c>
      <c r="RP118">
        <f>IFERROR(VLOOKUP(SUBSTITUTE(SUBSTITUTE(SUBSTITUTE(IFERROR(INDEX('DADOS_FORMAS'!$AS$2:$AS$21,MATCH(SUBSTITUTE(SUBSTITUTE(SUBSTITUTE($MU118,"~","~~"),"*","~*"),"?","~?"),'DADOS_FORMAS'!$AH$2:$AH$21,0)),""),"~","~~"),"*","~*"),"?","~?"),'DADOS_RESTRICOES'!$M$2:$Q$54,2,FALSE),"")</f>
        <v/>
      </c>
      <c r="RQ118">
        <f>$OK118</f>
        <v/>
      </c>
      <c r="RR118">
        <f>$OL118</f>
        <v/>
      </c>
      <c r="RS118">
        <f>$RP118</f>
        <v/>
      </c>
    </row>
    <row r="119">
      <c r="MN119" s="162" t="inlineStr">
        <is>
          <t>Ficha 10 · Básica 1</t>
        </is>
      </c>
      <c r="MO119" s="164" t="n">
        <v>10</v>
      </c>
      <c r="MP119" s="164" t="n">
        <v>0</v>
      </c>
      <c r="MQ119" s="164" t="n">
        <v>1</v>
      </c>
      <c r="MR119" s="162" t="inlineStr">
        <is>
          <t>BÁSICA 1</t>
        </is>
      </c>
      <c r="MS119" s="164" t="n">
        <v>0</v>
      </c>
      <c r="MT119" s="164">
        <f>'INVOCAÇÕES'!$AC$704&amp;""</f>
        <v/>
      </c>
      <c r="MU119" s="164">
        <f>'INVOCAÇÕES'!$AB$709&amp;""</f>
        <v/>
      </c>
      <c r="MV119" s="164">
        <f>'INVOCAÇÕES'!$AB$710&amp;""</f>
        <v/>
      </c>
      <c r="MW119" s="164">
        <f>'INVOCAÇÕES'!$AD$710&amp;""</f>
        <v/>
      </c>
      <c r="MX119" s="164">
        <f>'INVOCAÇÕES'!$AC$713&amp;""</f>
        <v/>
      </c>
      <c r="MY119" s="164">
        <f>'INVOCAÇÕES'!$AC$714&amp;""</f>
        <v/>
      </c>
      <c r="MZ119" s="164">
        <f>'INVOCAÇÕES'!$AC$715&amp;""</f>
        <v/>
      </c>
      <c r="NA119" s="164">
        <f>'INVOCAÇÕES'!$AC$716&amp;""</f>
        <v/>
      </c>
      <c r="NB119" s="164">
        <f>'INVOCAÇÕES'!$AC$717&amp;""</f>
        <v/>
      </c>
      <c r="NC119" s="164">
        <f>'INVOCAÇÕES'!$AC$718&amp;""</f>
        <v/>
      </c>
      <c r="ND119" s="164">
        <f>IF($MT119&lt;&gt;"",1,0)</f>
        <v/>
      </c>
      <c r="NE119" s="164">
        <f>INDEX($FO$2:$FO$13,$MO119)</f>
        <v/>
      </c>
      <c r="NF119" s="164">
        <f>INDEX($FP$2:$FP$13,$MO119)</f>
        <v/>
      </c>
      <c r="NG119" s="164">
        <f>INDEX($FQ$2:$FQ$13,$MO119)</f>
        <v/>
      </c>
      <c r="NH119" s="164">
        <f>INDEX($GB$2:$GB$13,$MO119)</f>
        <v/>
      </c>
      <c r="NI119" s="164">
        <f>INDEX($GC$2:$GC$13,$MO119)</f>
        <v/>
      </c>
      <c r="NJ119" s="164">
        <f>IFERROR(MATCH(SUBSTITUTE(SUBSTITUTE(SUBSTITUTE($MU119,"~","~~"),"*","~*"),"?","~?"),'DADOS_FORMAS'!$FZ$2:$FZ$21,0),0)</f>
        <v/>
      </c>
      <c r="NK119" s="164">
        <f>IFERROR(VLOOKUP(SUBSTITUTE(SUBSTITUTE(SUBSTITUTE($MX119,"~","~~"),"*","~*"),"?","~?"),'DADOS_MELHORIAS'!$AG$2:$AL$113,2,FALSE),"")</f>
        <v/>
      </c>
      <c r="NL119" s="164">
        <f>IFERROR(VLOOKUP(SUBSTITUTE(SUBSTITUTE(SUBSTITUTE($MY119,"~","~~"),"*","~*"),"?","~?"),'DADOS_MELHORIAS'!$AG$2:$AL$113,2,FALSE),"")</f>
        <v/>
      </c>
      <c r="NM119" s="164">
        <f>IFERROR(VLOOKUP(SUBSTITUTE(SUBSTITUTE(SUBSTITUTE($MZ119,"~","~~"),"*","~*"),"?","~?"),'DADOS_MELHORIAS'!$AG$2:$AL$113,2,FALSE),"")</f>
        <v/>
      </c>
      <c r="NN119" s="164">
        <f>IFERROR(VLOOKUP(SUBSTITUTE(SUBSTITUTE(SUBSTITUTE($NA119,"~","~~"),"*","~*"),"?","~?"),'DADOS_MELHORIAS'!$AG$2:$AL$113,2,FALSE),"")</f>
        <v/>
      </c>
      <c r="NO119" s="164">
        <f>IFERROR(VLOOKUP(SUBSTITUTE(SUBSTITUTE(SUBSTITUTE($MX119,"~","~~"),"*","~*"),"?","~?"),'DADOS_MELHORIAS'!$AG$2:$AL$113,3,FALSE),0)</f>
        <v/>
      </c>
      <c r="NP119" s="164">
        <f>IFERROR(VLOOKUP(SUBSTITUTE(SUBSTITUTE(SUBSTITUTE($MY119,"~","~~"),"*","~*"),"?","~?"),'DADOS_MELHORIAS'!$AG$2:$AL$113,3,FALSE),0)</f>
        <v/>
      </c>
      <c r="NQ119" s="164">
        <f>IFERROR(VLOOKUP(SUBSTITUTE(SUBSTITUTE(SUBSTITUTE($MZ119,"~","~~"),"*","~*"),"?","~?"),'DADOS_MELHORIAS'!$AG$2:$AL$113,3,FALSE),0)</f>
        <v/>
      </c>
      <c r="NR119" s="164">
        <f>IFERROR(VLOOKUP(SUBSTITUTE(SUBSTITUTE(SUBSTITUTE($NA119,"~","~~"),"*","~*"),"?","~?"),'DADOS_MELHORIAS'!$AG$2:$AL$113,3,FALSE),0)</f>
        <v/>
      </c>
      <c r="NS119" s="164">
        <f>IF($MS119=0,0,IF($NJ119=0,0,INDEX('DADOS_FORMAS'!$GB$2:$GB$21,$NJ119)))</f>
        <v/>
      </c>
      <c r="NT119" s="164">
        <f>IF(OR($NO119=0,$MS119=0),0,$NO119+3*IF(AND($NK119&lt;&gt;"",COUNTIF(INDEX($RB$2:$RJ$13,$MO119,0),$NK119)&gt;0),1,0))</f>
        <v/>
      </c>
      <c r="NU119" s="164">
        <f>IF(OR($NP119=0,$MS119=0),0,$NP119+3*IF(AND($NL119&lt;&gt;"",COUNTIF(INDEX($RB$2:$RJ$13,$MO119,0),$NL119)&gt;0),1,0))</f>
        <v/>
      </c>
      <c r="NV119" s="164">
        <f>IF(OR($NQ119=0,$MS119=0),0,$NQ119+3*IF(AND($NM119&lt;&gt;"",COUNTIF(INDEX($RB$2:$RJ$13,$MO119,0),$NM119)&gt;0),1,0))</f>
        <v/>
      </c>
      <c r="NW119" s="164">
        <f>IF(OR($NR119=0,$MS119=0),0,$NR119+3*IF(AND($NN119&lt;&gt;"",COUNTIF(INDEX($RB$2:$RJ$13,$MO119,0),$NN119)&gt;0),1,0))</f>
        <v/>
      </c>
      <c r="NX119" s="164">
        <f>IF($NJ119=0,0,IF(INDEX('DADOS_FORMAS'!$GA$2:$GA$21,$NJ119)="",0,IF((COUNTIF(INDEX($EL$2:$EP$13,$MO119,0),INDEX('DADOS_FORMAS'!$GA$2:$GA$21,$NJ119))+COUNTIF(INDEX($QV$2:$QY$13,$MO119,0),INDEX('DADOS_FORMAS'!$GA$2:$GA$21,$NJ119)))=0,1,0)))</f>
        <v/>
      </c>
      <c r="NY119" s="164">
        <f>IF(OR($NO119=0,$NK119=""),0,IF((COUNTIF(INDEX($EL$2:$EP$13,$MO119,0),$NK119)+COUNTIF(INDEX($QV$2:$QY$13,$MO119,0),$NK119))=0,1,0))</f>
        <v/>
      </c>
      <c r="NZ119" s="164">
        <f>IF(OR($NP119=0,$NL119=""),0,IF((COUNTIF(INDEX($EL$2:$EP$13,$MO119,0),$NL119)+COUNTIF(INDEX($QV$2:$QY$13,$MO119,0),$NL119))=0,1,0))</f>
        <v/>
      </c>
      <c r="OA119" s="164">
        <f>IF(OR($NQ119=0,$NM119=""),0,IF((COUNTIF(INDEX($EL$2:$EP$13,$MO119,0),$NM119)+COUNTIF(INDEX($QV$2:$QY$13,$MO119,0),$NM119))=0,1,0))</f>
        <v/>
      </c>
      <c r="OB119" s="164">
        <f>IF(OR($NR119=0,$NN119=""),0,IF((COUNTIF(INDEX($EL$2:$EP$13,$MO119,0),$NN119)+COUNTIF(INDEX($QV$2:$QY$13,$MO119,0),$NN119))=0,1,0))</f>
        <v/>
      </c>
      <c r="OC119" s="164">
        <f>IFERROR(VLOOKUP(SUBSTITUTE(SUBSTITUTE(SUBSTITUTE($MX119,"~","~~"),"*","~*"),"?","~?"),'DADOS_MELHORIAS'!$AG$2:$AL$113,4,FALSE),0)+IFERROR(VLOOKUP(SUBSTITUTE(SUBSTITUTE(SUBSTITUTE($MY119,"~","~~"),"*","~*"),"?","~?"),'DADOS_MELHORIAS'!$AG$2:$AL$113,4,FALSE),0)+IFERROR(VLOOKUP(SUBSTITUTE(SUBSTITUTE(SUBSTITUTE($MZ119,"~","~~"),"*","~*"),"?","~?"),'DADOS_MELHORIAS'!$AG$2:$AL$113,4,FALSE),0)+IFERROR(VLOOKUP(SUBSTITUTE(SUBSTITUTE(SUBSTITUTE($NA119,"~","~~"),"*","~*"),"?","~?"),'DADOS_MELHORIAS'!$AG$2:$AL$113,4,FALSE),0)</f>
        <v/>
      </c>
      <c r="OD119" s="164">
        <f>IFERROR(VLOOKUP(SUBSTITUTE(SUBSTITUTE(SUBSTITUTE($MX119,"~","~~"),"*","~*"),"?","~?"),'DADOS_MELHORIAS'!$AG$2:$AL$113,6,FALSE),0)+IFERROR(VLOOKUP(SUBSTITUTE(SUBSTITUTE(SUBSTITUTE($MY119,"~","~~"),"*","~*"),"?","~?"),'DADOS_MELHORIAS'!$AG$2:$AL$113,6,FALSE),0)+IFERROR(VLOOKUP(SUBSTITUTE(SUBSTITUTE(SUBSTITUTE($MZ119,"~","~~"),"*","~*"),"?","~?"),'DADOS_MELHORIAS'!$AG$2:$AL$113,6,FALSE),0)+IFERROR(VLOOKUP(SUBSTITUTE(SUBSTITUTE(SUBSTITUTE($NA119,"~","~~"),"*","~*"),"?","~?"),'DADOS_MELHORIAS'!$AG$2:$AL$113,6,FALSE),0)+IFERROR(N(AND(INDEX('DADOS_FORMAS'!$AO$2:$AO$21,MATCH(SUBSTITUTE(SUBSTITUTE(SUBSTITUTE($MU119,"~","~~"),"*","~*"),"?","~?"),'DADOS_FORMAS'!$AH$2:$AH$21,0))="Acerto",$OH119=1)),0)</f>
        <v/>
      </c>
      <c r="OE119" s="164">
        <f>TEXTJOIN(", ",TRUE,IF(IFERROR(VLOOKUP(SUBSTITUTE(SUBSTITUTE(SUBSTITUTE($MX119,"~","~~"),"*","~*"),"?","~?"),'DADOS_MELHORIAS'!$AG$2:$AL$113,5,FALSE),0)=1,$MX119,""),IF(IFERROR(VLOOKUP(SUBSTITUTE(SUBSTITUTE(SUBSTITUTE($MY119,"~","~~"),"*","~*"),"?","~?"),'DADOS_MELHORIAS'!$AG$2:$AL$113,5,FALSE),0)=1,$MY119,""),IF(IFERROR(VLOOKUP(SUBSTITUTE(SUBSTITUTE(SUBSTITUTE($MZ119,"~","~~"),"*","~*"),"?","~?"),'DADOS_MELHORIAS'!$AG$2:$AL$113,5,FALSE),0)=1,$MZ119,""),IF(IFERROR(VLOOKUP(SUBSTITUTE(SUBSTITUTE(SUBSTITUTE($NA119,"~","~~"),"*","~*"),"?","~?"),'DADOS_MELHORIAS'!$AG$2:$AL$113,5,FALSE),0)=1,$NA119,""))</f>
        <v/>
      </c>
      <c r="OF119" s="164">
        <f>IF($NJ119=0,0,INDEX('DADOS_FORMAS'!$GC$2:$GC$21,$NJ119))</f>
        <v/>
      </c>
      <c r="OG119" s="164">
        <f>IF($NJ119=0,0,INDEX('DADOS_FORMAS'!$GD$2:$GD$21,$NJ119))</f>
        <v/>
      </c>
      <c r="OH119" s="164">
        <f>IF($NJ119=0,0,INDEX('DADOS_FORMAS'!$GF$2:$GF$21,$NJ119))</f>
        <v/>
      </c>
      <c r="OI119" s="164">
        <f>IFERROR(VLOOKUP(SUBSTITUTE(SUBSTITUTE(SUBSTITUTE($NB119,"~","~~"),"*","~*"),"?","~?"),'DADOS_RESTRICOES'!$M$2:$Q$54,3,FALSE),0)</f>
        <v/>
      </c>
      <c r="OJ119" s="164">
        <f>IFERROR(VLOOKUP(SUBSTITUTE(SUBSTITUTE(SUBSTITUTE($NC119,"~","~~"),"*","~*"),"?","~?"),'DADOS_RESTRICOES'!$M$2:$Q$54,3,FALSE),0)</f>
        <v/>
      </c>
      <c r="OK119" s="164">
        <f>IFERROR(VLOOKUP(SUBSTITUTE(SUBSTITUTE(SUBSTITUTE($NB119,"~","~~"),"*","~*"),"?","~?"),'DADOS_RESTRICOES'!$M$2:$Q$54,2,FALSE),"")</f>
        <v/>
      </c>
      <c r="OL119" s="164">
        <f>IFERROR(VLOOKUP(SUBSTITUTE(SUBSTITUTE(SUBSTITUTE($NC119,"~","~~"),"*","~*"),"?","~?"),'DADOS_RESTRICOES'!$M$2:$Q$54,2,FALSE),"")</f>
        <v/>
      </c>
      <c r="OM119" s="164">
        <f>COUNTIF($NS119:$NW119,1)</f>
        <v/>
      </c>
      <c r="ON119" s="164">
        <f>COUNTIF($NS119:$NW119,2)</f>
        <v/>
      </c>
      <c r="OO119" s="164">
        <f>COUNTIF($NS119:$NW119,3)</f>
        <v/>
      </c>
      <c r="OP119" s="164">
        <f>COUNTIF($NS119:$NW119,4)</f>
        <v/>
      </c>
      <c r="OQ119" s="164">
        <f>COUNTIF($NS119:$NW119,5)</f>
        <v/>
      </c>
      <c r="OR119" s="164">
        <f>COUNTIF($NS119:$NW119,6)</f>
        <v/>
      </c>
      <c r="OS119" s="164">
        <f>COUNTIF($OI119:$OJ119,1)+IF(IFERROR(INDEX('DADOS_FORMAS'!$AS$2:$AS$21,MATCH(SUBSTITUTE(SUBSTITUTE(SUBSTITUTE($MU119,"~","~~"),"*","~*"),"?","~?"),'DADOS_FORMAS'!$AH$2:$AH$21,0)),"")="",0,IFERROR(N(VLOOKUP(SUBSTITUTE(SUBSTITUTE(SUBSTITUTE(IFERROR(INDEX('DADOS_FORMAS'!$AS$2:$AS$21,MATCH(SUBSTITUTE(SUBSTITUTE(SUBSTITUTE($MU119,"~","~~"),"*","~*"),"?","~?"),'DADOS_FORMAS'!$AH$2:$AH$21,0)),""),"~","~~"),"*","~*"),"?","~?"),'DADOS_RESTRICOES'!$M$2:$Q$54,3,FALSE)=1),0))</f>
        <v/>
      </c>
      <c r="OT119" s="164">
        <f>COUNTIF($OI119:$OJ119,2)+IF(IFERROR(INDEX('DADOS_FORMAS'!$AS$2:$AS$21,MATCH(SUBSTITUTE(SUBSTITUTE(SUBSTITUTE($MU119,"~","~~"),"*","~*"),"?","~?"),'DADOS_FORMAS'!$AH$2:$AH$21,0)),"")="",0,IFERROR(N(VLOOKUP(SUBSTITUTE(SUBSTITUTE(SUBSTITUTE(IFERROR(INDEX('DADOS_FORMAS'!$AS$2:$AS$21,MATCH(SUBSTITUTE(SUBSTITUTE(SUBSTITUTE($MU119,"~","~~"),"*","~*"),"?","~?"),'DADOS_FORMAS'!$AH$2:$AH$21,0)),""),"~","~~"),"*","~*"),"?","~?"),'DADOS_RESTRICOES'!$M$2:$Q$54,3,FALSE)=2),0))</f>
        <v/>
      </c>
      <c r="OU119" s="164">
        <f>COUNTIF($MX119:$NA119,"?*")</f>
        <v/>
      </c>
      <c r="OV119" s="164">
        <f>COUNTIF($NB119:$NC119,"?*")+$OF119</f>
        <v/>
      </c>
      <c r="OW119" s="164">
        <f>IF($MS119=0,0,SUMPRODUCT($OM119:$OR119,INDEX($I$2:$N$8,MAX(1,$MS119),0)))</f>
        <v/>
      </c>
      <c r="OX119" s="164">
        <f>IF($MS119=0,0,$OS119*CEILING($MS119/2,1)+$OT119*$MS119)</f>
        <v/>
      </c>
      <c r="OY119" s="164">
        <f>MIN(2*$MS119,$OX119)</f>
        <v/>
      </c>
      <c r="OZ119" s="164">
        <f>MIN($OY119,$OW119-IF($NS119=0,0,INDEX($I$2:$N$8,MAX(1,$MS119),$NS119)))</f>
        <v/>
      </c>
      <c r="PA119" s="164">
        <f>$OY119-$OZ119</f>
        <v/>
      </c>
      <c r="PB119" s="164">
        <f>IF($MS119=0,0,INDEX($P$2:$P$8,MAX(1,$MS119)))</f>
        <v/>
      </c>
      <c r="PC119" s="164">
        <f>$PB119-$OW119+$OZ119</f>
        <v/>
      </c>
      <c r="PD119" s="164">
        <f>IF($MS119=0,MAX(0,$NG119-IF(AND($OU119&gt;0,COUNTIF($NB119:$NC119,"?*")=0),1,0)),MAX(0,$PC119))</f>
        <v/>
      </c>
      <c r="PE119" s="164">
        <f>IF($MS119=0,0,(IF(COUNTIF($RK119:$RN119,"Salto")&gt;0,1,0)+IF(COUNTIF($RK119:$RN119,"Queima")&gt;0,1,0)+IF(COUNTIF($RK119:$RN119,"Estilhaço")&gt;0,1,0))*FLOOR($PD119/2,1))</f>
        <v/>
      </c>
      <c r="PF119" s="164">
        <f>MAX(0,2-SUMPRODUCT($OM119:$OR119,$I$2:$N$2)+MIN(2,$OS119*1+$OT119*1,SUMPRODUCT($OM119:$OR119,$I$2:$N$2)-IF($NS119=0,0,INDEX($I$2:$N$2,1,$NS119))))</f>
        <v/>
      </c>
      <c r="PG119" s="164">
        <f>MAX(0,4-SUMPRODUCT($OM119:$OR119,$I$3:$N$3)+MIN(4,$OS119*1+$OT119*2,SUMPRODUCT($OM119:$OR119,$I$3:$N$3)-IF($NS119=0,0,INDEX($I$3:$N$3,1,$NS119))))</f>
        <v/>
      </c>
      <c r="PH119" s="164">
        <f>MAX(0,6-SUMPRODUCT($OM119:$OR119,$I$4:$N$4)+MIN(6,$OS119*2+$OT119*3,SUMPRODUCT($OM119:$OR119,$I$4:$N$4)-IF($NS119=0,0,INDEX($I$4:$N$4,1,$NS119))))</f>
        <v/>
      </c>
      <c r="PI119" s="164">
        <f>MAX(0,9-SUMPRODUCT($OM119:$OR119,$I$5:$N$5)+MIN(8,$OS119*2+$OT119*4,SUMPRODUCT($OM119:$OR119,$I$5:$N$5)-IF($NS119=0,0,INDEX($I$5:$N$5,1,$NS119))))</f>
        <v/>
      </c>
      <c r="PJ119" s="164">
        <f>MAX(0,11-SUMPRODUCT($OM119:$OR119,$I$6:$N$6)+MIN(10,$OS119*3+$OT119*5,SUMPRODUCT($OM119:$OR119,$I$6:$N$6)-IF($NS119=0,0,INDEX($I$6:$N$6,1,$NS119))))</f>
        <v/>
      </c>
      <c r="PK119" s="164">
        <f>MAX(0,13-SUMPRODUCT($OM119:$OR119,$I$7:$N$7)+MIN(12,$OS119*3+$OT119*6,SUMPRODUCT($OM119:$OR119,$I$7:$N$7)-IF($NS119=0,0,INDEX($I$7:$N$7,1,$NS119))))</f>
        <v/>
      </c>
      <c r="PL119" s="164">
        <f>MAX(0,16-SUMPRODUCT($OM119:$OR119,$I$8:$N$8)+MIN(14,$OS119*4+$OT119*7,SUMPRODUCT($OM119:$OR119,$I$8:$N$8)-IF($NS119=0,0,INDEX($I$8:$N$8,1,$NS119))))</f>
        <v/>
      </c>
      <c r="PM119" s="164">
        <f>IF($OG119=2,3*$PF119&amp;" de vida temp.",IF($OG119=3,"sem dano",IF($PF119=0,IF($OG119=1,"sem cura","sem dano"),IF($OG119=1,"cura ","")&amp;$PF119&amp;"d8")))</f>
        <v/>
      </c>
      <c r="PN119" s="164">
        <f>IF($OG119=2,3*$PG119&amp;" de vida temp.",IF($OG119=3,"sem dano",IF($PG119=0,IF($OG119=1,"sem cura","sem dano"),IF($OG119=1,"cura ","")&amp;$PG119&amp;"d8")))</f>
        <v/>
      </c>
      <c r="PO119" s="164">
        <f>IF($OG119=2,3*$PH119&amp;" de vida temp.",IF($OG119=3,"sem dano",IF($PH119=0,IF($OG119=1,"sem cura","sem dano"),IF($OG119=1,"cura ","")&amp;$PH119&amp;"d8")))</f>
        <v/>
      </c>
      <c r="PP119" s="164">
        <f>IF($OG119=2,3*$PI119&amp;" de vida temp.",IF($OG119=3,"sem dano",IF($PI119=0,IF($OG119=1,"sem cura","sem dano"),IF($OG119=1,"cura ","")&amp;$PI119&amp;"d8")))</f>
        <v/>
      </c>
      <c r="PQ119" s="164">
        <f>IF($OG119=2,3*$PJ119&amp;" de vida temp.",IF($OG119=3,"sem dano",IF($PJ119=0,IF($OG119=1,"sem cura","sem dano"),IF($OG119=1,"cura ","")&amp;$PJ119&amp;"d8")))</f>
        <v/>
      </c>
      <c r="PR119" s="164">
        <f>IF($OG119=2,3*$PK119&amp;" de vida temp.",IF($OG119=3,"sem dano",IF($PK119=0,IF($OG119=1,"sem cura","sem dano"),IF($OG119=1,"cura ","")&amp;$PK119&amp;"d8")))</f>
        <v/>
      </c>
      <c r="PS119" s="164">
        <f>IF($OG119=2,3*$PL119&amp;" de vida temp.",IF($OG119=3,"sem dano",IF($PL119=0,IF($OG119=1,"sem cura","sem dano"),IF($OG119=1,"cura ","")&amp;$PL119&amp;"d8")))</f>
        <v/>
      </c>
      <c r="PT119" s="164">
        <f>IF($ND119=0,"",TEXTJOIN(" · ",TRUE,IF($ND119=0,"",TEXTJOIN(" · ",TRUE,IF($ND119=0,"",TEXTJOIN(" · ",TRUE,IF($MQ119&gt;$NE119,"Este lugar abre no nível "&amp;$MQ119,""),IF($MS119&gt;$NF119,"Classe "&amp;$MS119&amp;": o nível "&amp;$NE119&amp;" libera até a "&amp;$NF119,""),IF($NX119=1,"A Forma "&amp;$MU119&amp;" pede "&amp;INDEX('DADOS_FORMAS'!$GA$2:$GA$21,$NJ119)&amp;" aberta",""),IF(AND($MS119=0,$NJ119&gt;0,IF($NJ119=0,0,INDEX('DADOS_FORMAS'!$GJ$2:$GJ$21,$NJ119))=0),$MU119&amp;" não existe na Classe 0",""),IF($NY119=1,"Família Fechada: "&amp;$MX119,""),IF($NZ119=1,"Família Fechada: "&amp;$MY119,""),IF($OA119=1,"Família Fechada: "&amp;$MZ119,""),IF($OB119=1,"Família Fechada: "&amp;$NA119,""),IF(AND($MS119&gt;0,$OU119&gt;INDEX($O$2:$O$8,MAX(1,$MS119))),$OU119&amp;" Melhorias: a Classe "&amp;$MS119&amp;" aceita "&amp;INDEX($O$2:$O$8,MAX(1,$MS119)),""),IF(AND($MS119=0,$OU119&gt;1),"A básica aceita uma Melhoria",""),IF(AND($MS119=0,COUNTIF($NO119:$NR119,"&gt;1")&gt;0),"A básica só aceita Melhoria Leve",""),IF(AND($MS119&gt;0,$OV119&gt;2),$OV119&amp;" Restrições"&amp;IF($OF119=1,", contando a que a Forma "&amp;$MU119&amp;" já traz","")&amp;": o limite é 2",""),IF(AND($MS119=0,COUNTIF($NB119:$NC119,"?*")&gt;1),"A básica aceita uma Restrição Leve",""),IF(AND($MS119=0,COUNTIF($OI119:$OJ119,2)&gt;0),"A básica só aceita Restrição Leve",""),IF(AND($MS119&gt;0,$PC119&lt;0),"Orçamento estourado: faltam "&amp;(-$PC119)&amp;IF($PC119&lt;-1," pontos"," ponto"),""),IF(IFERROR(VLOOKUP(SUBSTITUTE(SUBSTITUTE(SUBSTITUTE($NB119,"~","~~"),"*","~*"),"?","~?"),'DADOS_RESTRICOES'!$M$2:$Q$54,4,FALSE),0)+IFERROR(VLOOKUP(SUBSTITUTE(SUBSTITUTE(SUBSTITUTE($NC119,"~","~~"),"*","~*"),"?","~?"),'DADOS_RESTRICOES'!$M$2:$Q$54,4,FALSE),0)&gt;1,$OK119&amp;" e "&amp;$OL119&amp;" são as duas de frequência",""),IF(AND((COUNTIF($RK119:$RN119,"Rápido")+COUNTIF($OK119:$OL119,"Rápido"))&gt;0,(COUNTIF($MX119:$NA119,"Atrasar")+COUNTIF($OK119:$OL119,"Atrasar"))&gt;0),"Rápido não entra com Atrasar",""),IF(AND((COUNTIF($RK119:$RN119,"Reação")+COUNTIF($OK119:$OL119,"Reação"))&gt;0,(COUNTIF($RK119:$RN119,"Rápido")+COUNTIF($OK119:$OL119,"Rápido"))&gt;0),"Reação não entra com Rápido",""),IF(AND((COUNTIF($RK119:$RN119,"Reação")+COUNTIF($OK119:$OL119,"Reação"))&gt;0,(COUNTIF($RK119:$RN119,"Armado")+COUNTIF($OK119:$OL119,"Armado"))&gt;0),"Reação não entra com Armado",""),IF(AND((COUNTIF($RK119:$RN119,"Reação")+COUNTIF($OK119:$OL119,"Reação"))&gt;0,(COUNTIF($MX119:$NA119,"Atrasar")+COUNTIF($OK119:$OL119,"Atrasar"))&gt;0),"Reação não entra com Atrasar",""),IF(AND((COUNTIF($RK119:$RN119,"Reação")+COUNTIF($OK119:$OL119,"Reação"))&gt;0,(COUNTIF($MX119:$NA119,"Parado")+COUNTIF($OK119:$OL119,"Parado"))&gt;0),"Reação não entra com Parado",""),IF(AND((COUNTIF($MX119:$NA119,"Atrasar")+COUNTIF($OK119:$OL119,"Atrasar"))&gt;0,(COUNTIF($MX119:$NA119,"Parado")+COUNTIF($OK119:$OL119,"Parado"))&gt;0),"Atrasar não entra com Parado",""),IF(AND((COUNTIF($RK119:$RN119,"Armado")+COUNTIF($OK119:$OL119,"Armado"))&gt;0,(COUNTIF($MX119:$NA119,"Carregar")+COUNTIF($OK119:$OL119,"Carregar"))&gt;0),"Armado não entra com Carregar",""),IF(AND(COUNTIF($OK119:$OL119,"Corpo a Corpo")&gt;0,$OF119=0,OR($RO119="Cone",$RO119="Linha")),"Corpo a Corpo não entra em "&amp;$MU119,""),IF(AND(COUNTIF($OK119:$OL119,"Corpo a Corpo")&gt;0,$RP119="Corpo a Corpo"),"A Forma "&amp;$MU119&amp;" já traz o Corpo a Corpo",""),IF(AND(COUNTIF($OK119:$OL119,"Tudo ou Nada")&gt;0,$OH119=0),"Tudo ou Nada só entra em habilidade de Teste de Resistência",""),IF(AND(COUNTIF($RK119:$RN119,"Inescapável")&gt;0,OR($OU119&gt;1,$OV119&gt;0)),"Inescapável não aceita outra peça",""),IF(AND($MS119&gt;0,$PD119*IF(COUNTIF($RK119:$RN119,"Remate")&gt;0,1.25,1)+$PE119&gt;4*$MS119),($PD119*IF(COUNTIF($RK119:$RN119,"Remate")&gt;0,1.25,1)+$PE119)&amp;" dados somando repetições"&amp;IF(COUNTIF($RK119:$RN119,"Remate")&gt;0," e o Remate","")&amp;": o teto da Classe "&amp;$MS119&amp;" é "&amp;4*$MS119,""))),IF(AND($MX119&lt;&gt;"",COUNTIF('DADOS_MELHORIAS'!$O$2:$O$113,SUBSTITUTE(SUBSTITUTE(SUBSTITUTE($MX119,"~","~~"),"*","~*"),"?","~?"))=0),"Melhoria não cadastrada ou com erro: "&amp;$MX119,""),IF(AND($MY119&lt;&gt;"",COUNTIF('DADOS_MELHORIAS'!$O$2:$O$113,SUBSTITUTE(SUBSTITUTE(SUBSTITUTE($MY119,"~","~~"),"*","~*"),"?","~?"))=0),"Melhoria não cadastrada ou com erro: "&amp;$MY119,""),IF(AND($MZ119&lt;&gt;"",COUNTIF('DADOS_MELHORIAS'!$O$2:$O$113,SUBSTITUTE(SUBSTITUTE(SUBSTITUTE($MZ119,"~","~~"),"*","~*"),"?","~?"))=0),"Melhoria não cadastrada ou com erro: "&amp;$MZ119,""),IF(AND($NA119&lt;&gt;"",COUNTIF('DADOS_MELHORIAS'!$O$2:$O$113,SUBSTITUTE(SUBSTITUTE(SUBSTITUTE($NA119,"~","~~"),"*","~*"),"?","~?"))=0),"Melhoria não cadastrada ou com erro: "&amp;$NA119,""),IF(AND($NB119&lt;&gt;"",COUNTIF('DADOS_RESTRICOES'!$M$2:$M$54,SUBSTITUTE(SUBSTITUTE(SUBSTITUTE($NB119,"~","~~"),"*","~*"),"?","~?"))=0),"Restrição não cadastrada ou com erro: "&amp;$NB119,""),IF(AND($NC119&lt;&gt;"",COUNTIF('DADOS_RESTRICOES'!$M$2:$M$54,SUBSTITUTE(SUBSTITUTE(SUBSTITUTE($NC119,"~","~~"),"*","~*"),"?","~?"))=0),"Restrição não cadastrada ou com erro: "&amp;$NC119,""))),IF(AND($MU119&lt;&gt;"",COUNTIF('DADOS_FORMAS'!$AH$2:$AH$21,SUBSTITUTE(SUBSTITUTE(SUBSTITUTE($MU119,"~","~~"),"*","~*"),"?","~?"))=0),"Forma não cadastrada ou com erro: "&amp;$MU119,""),IF(AND(IFERROR(INDEX('DADOS_FORMAS'!$AS$2:$AS$21,MATCH(SUBSTITUTE(SUBSTITUTE(SUBSTITUTE($MU119,"~","~~"),"*","~*"),"?","~?"),'DADOS_FORMAS'!$AH$2:$AH$21,0)),"")&lt;&gt;"",OR(IFERROR(VLOOKUP(SUBSTITUTE(SUBSTITUTE(SUBSTITUTE(IFERROR(INDEX('DADOS_FORMAS'!$AS$2:$AS$21,MATCH(SUBSTITUTE(SUBSTITUTE(SUBSTITUTE($MU119,"~","~~"),"*","~*"),"?","~?"),'DADOS_FORMAS'!$AH$2:$AH$21,0)),""),"~","~~"),"*","~*"),"?","~?"),'DADOS_RESTRICOES'!$M$2:$Q$54,2,FALSE),"")=$OK119,IFERROR(VLOOKUP(SUBSTITUTE(SUBSTITUTE(SUBSTITUTE(IFERROR(INDEX('DADOS_FORMAS'!$AS$2:$AS$21,MATCH(SUBSTITUTE(SUBSTITUTE(SUBSTITUTE($MU119,"~","~~"),"*","~*"),"?","~?"),'DADOS_FORMAS'!$AH$2:$AH$21,0)),""),"~","~~"),"*","~*"),"?","~?"),'DADOS_RESTRICOES'!$M$2:$Q$54,2,FALSE),"")=$OL119)),"Restrição repetida, contando a embutida",""),IF(IF(IFERROR(INDEX('DADOS_FORMAS'!$AS$2:$AS$21,MATCH(SUBSTITUTE(SUBSTITUTE(SUBSTITUTE($MU119,"~","~~"),"*","~*"),"?","~?"),'DADOS_FORMAS'!$AH$2:$AH$21,0)),"")="",0,IFERROR(N(VLOOKUP(SUBSTITUTE(SUBSTITUTE(SUBSTITUTE(IFERROR(INDEX('DADOS_FORMAS'!$AS$2:$AS$21,MATCH(SUBSTITUTE(SUBSTITUTE(SUBSTITUTE($MU119,"~","~~"),"*","~*"),"?","~?"),'DADOS_FORMAS'!$AH$2:$AH$21,0)),""),"~","~~"),"*","~*"),"?","~?"),'DADOS_RESTRICOES'!$M$2:$Q$54,4,FALSE)=1),0))+IF($NB119="",0,IFERROR(N(VLOOKUP(SUBSTITUTE(SUBSTITUTE(SUBSTITUTE($NB119,"~","~~"),"*","~*"),"?","~?"),'DADOS_RESTRICOES'!$M$2:$Q$54,4,FALSE)=1),0))+IF($NC119="",0,IFERROR(N(VLOOKUP(SUBSTITUTE(SUBSTITUTE(SUBSTITUTE($NC119,"~","~~"),"*","~*"),"?","~?"),'DADOS_RESTRICOES'!$M$2:$Q$54,4,FALSE)=1),0))&gt;1,"Duas Restrições de frequência, contando a embutida",""),IF(AND(IFERROR(VLOOKUP(SUBSTITUTE(SUBSTITUTE(SUBSTITUTE(IFERROR(INDEX('DADOS_FORMAS'!$AS$2:$AS$21,MATCH(SUBSTITUTE(SUBSTITUTE(SUBSTITUTE($MU119,"~","~~"),"*","~*"),"?","~?"),'DADOS_FORMAS'!$AH$2:$AH$21,0)),""),"~","~~"),"*","~*"),"?","~?"),'DADOS_RESTRICOES'!$M$2:$Q$54,2,FALSE),"")="Tudo ou Nada",$OH119=0),"Tudo ou Nada exige TR",""),IF(AND(IFERROR(VLOOKUP(SUBSTITUTE(SUBSTITUTE(SUBSTITUTE(IFERROR(INDEX('DADOS_FORMAS'!$AS$2:$AS$21,MATCH(SUBSTITUTE(SUBSTITUTE(SUBSTITUTE($MU119,"~","~~"),"*","~*"),"?","~?"),'DADOS_FORMAS'!$AH$2:$AH$21,0)),""),"~","~~"),"*","~*"),"?","~?"),'DADOS_RESTRICOES'!$M$2:$Q$54,2,FALSE),"")="Corpo a Corpo",OR($RO119="Cone",$RO119="Linha")),"Corpo a Corpo não entra em Cone/Linha","")))</f>
        <v/>
      </c>
      <c r="PU119" s="164">
        <f>IF($PT119="",0,(LEN($PT119)-LEN(SUBSTITUTE($PT119," · ","")))/3+1)</f>
        <v/>
      </c>
      <c r="PV119" s="164">
        <f>IF($ND119=0,"",TEXTJOIN(" · ",TRUE,IF($OX119&gt;2*$MS119,"A devolução parou no teto de "&amp;2*$MS119,""),IF($PA119&gt;0,"Devolução perdida: "&amp;$PA119&amp;IF($PA119&gt;1," pontos"," ponto")&amp;" sem Melhoria para pagar",""),IF(AND($OC119&gt;0,AND($MS119&gt;0,$OG119=0),$PD119=0),"Controle sem dano: uma rodada a mais e CD +2",""),IF(AND($OC119&gt;0,AND($MS119&gt;0,$OG119=0),$PD119&gt;0,$PD119&lt;=$MS119),"Controle com saldo até a Classe: uma rodada a mais",""),IF(AND($MS119&gt;0,$OE119&lt;&gt;""),"Efeito de "&amp;$OE119&amp;" pela Classe "&amp;MAX(1,$MS119-1),"")))</f>
        <v/>
      </c>
      <c r="PW119" s="164">
        <f>IF($PV119="",0,(LEN($PV119)-LEN(SUBSTITUTE($PV119," · ","")))/3+1)</f>
        <v/>
      </c>
      <c r="PX119" s="164">
        <f>IF($ND119=0,IF($OU119+COUNTIF($NB119:$NC119,"?*")&gt;0,"Dê um nome",""),IF($PU119&gt;0,"⚠ "&amp;$PU119&amp;IF($PU119&gt;1," erros"," erro"),IF($PW119&gt;0,"! "&amp;$PW119&amp;IF($PW119&gt;1," avisos"," aviso"),"Na regra")))</f>
        <v/>
      </c>
      <c r="PY119" s="164">
        <f>IF($ND119=0,"",IF($PU119+$PW119=0,"Dentro das regras que a ficha confere",$PT119&amp;IF(AND($PU119&gt;0,$PW119&gt;0)," · ","")&amp;$PV119))</f>
        <v/>
      </c>
      <c r="PZ119" s="164">
        <f>IF($MQ119&gt;$NE119,$MR119&amp;" · ABRE NO NÍVEL "&amp;$MQ119,$MR119)</f>
        <v/>
      </c>
      <c r="QA119" s="164">
        <f>IF($ND119=0,"",IF($MS119=0,"Sem PE",3*$MS119&amp;" PE"))</f>
        <v/>
      </c>
      <c r="QB119" s="164">
        <f>IF($ND119=0,"",IF($MS119=0,"A atuação básica dela",IF(COUNTIF($RQ119:$RS119,"Atrasar")&gt;0,"Sua Ação Completa",IF(COUNTIF($RK119:$RN119,"Rápido")&gt;0,"Sua Bônus",IF(COUNTIF($RK119:$RN119,"Reação")&gt;0,"Sua Reação","Sua Padrão")))&amp;" + a básica dela"&amp;IF(COUNTIF($RK119:$RN119,"Reação")&gt;0," e a coletiva","")&amp;IF(COUNTIF($RQ119:$RS119,"Carregar")&gt;0," · em dois turnos","")))</f>
        <v/>
      </c>
      <c r="QC119" s="164">
        <f>IF($MW119&lt;&gt;"",$MW119,IF($NJ119=0,"",INDEX('DADOS_FORMAS'!$GE$2:$GE$21,$NJ119)))</f>
        <v/>
      </c>
      <c r="QD119" s="164">
        <f>IF(OR($ND119=0,$NJ119=0),"",IF(COUNTIF($RK119:$RN119,"Inescapável")&gt;0,"Automático",IF($QC119="Ataque",IF($NH119="","Ataque","Ataque "&amp;IF(($NH119+2*IF(COUNTIF($RK119:$RN119,"Precisão")&gt;0,1,0))&gt;=0,"+","−")&amp;ABS(($NH119+2*IF(COUNTIF($RK119:$RN119,"Precisão")&gt;0,1,0))))&amp;IF($OD119&gt;0," · TR"&amp;IF($NI119="",""," CD "&amp;$NI119),""),IF(LEFT($QC119,2)="TR",$QC119&amp;IF($NI119="",""," · CD "&amp;$NI119)&amp;IF(COUNTIF($RK119:$RN119,"Certeiro")&gt;0," · metade",""),"Sem rolagem"))))</f>
        <v/>
      </c>
      <c r="QE119" s="164">
        <f>IF(OR($ND119=0,$NJ119=0),"",IF($MS119=0,IF(OR($OG119&gt;=1,$PD119=0),"Sem dano",$PD119&amp;"d6"&amp;IF($MV119="",""," "&amp;$MV119)),IF(OR($OG119&gt;=1,$PD119=0),UPPER(LEFT(INDEX($PM119:$PS119,1,MAX(1,$MS119)),1))&amp;MID(INDEX($PM119:$PS119,1,MAX(1,$MS119)),2,99),UPPER(LEFT(INDEX($PM119:$PS119,1,MAX(1,$MS119)),1))&amp;MID(INDEX($PM119:$PS119,1,MAX(1,$MS119)),2,99)&amp;IF($MV119="",""," "&amp;$MV119)&amp;IF($PE119&gt;0," · +"&amp;$PE119&amp;"d8",""))))</f>
        <v/>
      </c>
      <c r="QF119" s="164">
        <f>COUNTIF($RK119:$RN119,"Longe")+3*COUNTIF($RK119:$RN119,"Muito Longe")</f>
        <v/>
      </c>
      <c r="QG119" s="164">
        <f>COUNTIF($RK119:$RN119,"Maior")+3*COUNTIF($RK119:$RN119,"Muito Maior")</f>
        <v/>
      </c>
      <c r="QH119" s="164">
        <f>IF($NJ119=0,0,CHOOSE(1+INDEX('DADOS_FORMAS'!$GG$2:$GG$21,$NJ119),0,$QF119,$QG119,$QF119+$QG119))</f>
        <v/>
      </c>
      <c r="QI119" s="164">
        <f>IF($NJ119=0,0,CHOOSE(1+INDEX('DADOS_FORMAS'!$GH$2:$GH$21,$NJ119),0,$QF119,$QG119,$QF119+$QG119))</f>
        <v/>
      </c>
      <c r="QJ119" s="164">
        <f>IF(OR($ND119=0,$NJ119=0),"",INDEX('DADOS_FORMAS'!$HU$2:$HZ$81,($NJ119-1)*4+IF($MS119=0,1,IF($MS119&lt;=5,2,IF($MS119=6,3,4))),1+MIN(5,$QH119))&amp;INDEX('DADOS_FORMAS'!$IA$2:$IF$81,($NJ119-1)*4+IF($MS119=0,1,IF($MS119&lt;=5,2,IF($MS119=6,3,4))),1+MIN(5,$QI119))&amp;IF(INDEX('DADOS_FORMAS'!$GI$2:$GI$21,$NJ119)=1,IF(COUNTIF($RK119:$RN119,"Mais Um")&gt;0," · +"&amp;COUNTIF($RK119:$RN119,"Mais Um")&amp;IF(COUNTIF($RK119:$RN119,"Mais Um")&gt;1," alvos"," alvo"),"")&amp;IF(COUNTIF($RK119:$RN119,"Rajada")&gt;0,IF($MS119=0," · 1 tiro"," · "&amp;(MAX(1,$MS119-1)+1)&amp;" tiros"),""),""))</f>
        <v/>
      </c>
      <c r="QK119" s="164">
        <f>IF($ND119=0,"",IF($MS119=0,$NG119&amp;"d6"&amp;IF($OU119&gt;0," − 1 = "&amp;$PD119&amp;"d6"," da básica do nível "&amp;$NE119),$PB119&amp;" − "&amp;$OW119&amp;" + "&amp;$OZ119&amp;" = "&amp;$PC119&amp;" · teto "&amp;4*$MS119&amp;"d8"&amp;IF($OF119=1," · a Forma devolve "&amp;$MS119,"")&amp;IF($PA119&gt;0," · perde "&amp;$PA119,"")))</f>
        <v/>
      </c>
      <c r="QL119" s="164">
        <f>IF($ND119=0,"",IF($MS119=0,"A básica não amplia: os dados dela sobem com o nível",IF($MS119&gt;=$NF119,"Já está na maior Classe que o nível liberou",TEXTJOIN(" · ",TRUE,IF(AND(2&gt;$MS119,2&lt;=$NF119),"2 → "&amp;$PN119&amp;", 6 PE",""),IF(AND(3&gt;$MS119,3&lt;=$NF119),"3 → "&amp;$PO119&amp;", 9 PE",""),IF(AND(4&gt;$MS119,4&lt;=$NF119),"4 → "&amp;$PP119&amp;", 12 PE",""),IF(AND(5&gt;$MS119,5&lt;=$NF119),"5 → "&amp;$PQ119&amp;", 15 PE",""),IF(AND(6&gt;$MS119,6&lt;=$NF119),"6 → "&amp;$PR119&amp;", 18 PE",""),IF(AND(7&gt;$MS119,7&lt;=$NF119),"7 → "&amp;$PS119&amp;", 21 PE","")))))</f>
        <v/>
      </c>
      <c r="QM119" s="164">
        <f>IF(OR($ND119=0,$NO119=0),"",IF($MS119=0,"−1 dado","−"&amp;INDEX($I$2:$N$8,MAX(1,$MS119),MAX(1,$NT119))&amp;" · "&amp;CHOOSE(MAX(1,$NT119),"Leve","Média","Pesada","Leve · Livre","Média · Livre","Pesada · Livre")))</f>
        <v/>
      </c>
      <c r="QN119" s="164">
        <f>IF(OR($ND119=0,$NP119=0),"",IF($MS119=0,"−1 dado","−"&amp;INDEX($I$2:$N$8,MAX(1,$MS119),MAX(1,$NU119))&amp;" · "&amp;CHOOSE(MAX(1,$NU119),"Leve","Média","Pesada","Leve · Livre","Média · Livre","Pesada · Livre")))</f>
        <v/>
      </c>
      <c r="QO119" s="164">
        <f>IF(OR($ND119=0,$NQ119=0),"",IF($MS119=0,"−1 dado","−"&amp;INDEX($I$2:$N$8,MAX(1,$MS119),MAX(1,$NV119))&amp;" · "&amp;CHOOSE(MAX(1,$NV119),"Leve","Média","Pesada","Leve · Livre","Média · Livre","Pesada · Livre")))</f>
        <v/>
      </c>
      <c r="QP119" s="164">
        <f>IF(OR($ND119=0,$NR119=0),"",IF($MS119=0,"−1 dado","−"&amp;INDEX($I$2:$N$8,MAX(1,$MS119),MAX(1,$NW119))&amp;" · "&amp;CHOOSE(MAX(1,$NW119),"Leve","Média","Pesada","Leve · Livre","Média · Livre","Pesada · Livre")))</f>
        <v/>
      </c>
      <c r="QQ119" s="164">
        <f>IF(OR($ND119=0,$NB119=""),"",IF($MS119=0,"não devolve","+"&amp;IF($OI119=1,CEILING($MS119/2,1),$MS119)))</f>
        <v/>
      </c>
      <c r="QR119" s="164">
        <f>IF(OR($ND119=0,$NC119=""),"",IF($MS119=0,"não devolve","+"&amp;IF($OJ119=1,CEILING($MS119/2,1),$MS119)))</f>
        <v/>
      </c>
      <c r="RK119">
        <f>IF($MX119="","",IFERROR(VLOOKUP(SUBSTITUTE(SUBSTITUTE(SUBSTITUTE($MX119,"~","~~"),"*","~*"),"?","~?"),'DADOS_MELHORIAS'!$O$2:$X$113,10,FALSE),$MX119))</f>
        <v/>
      </c>
      <c r="RL119">
        <f>IF($MY119="","",IFERROR(VLOOKUP(SUBSTITUTE(SUBSTITUTE(SUBSTITUTE($MY119,"~","~~"),"*","~*"),"?","~?"),'DADOS_MELHORIAS'!$O$2:$X$113,10,FALSE),$MY119))</f>
        <v/>
      </c>
      <c r="RM119">
        <f>IF($MZ119="","",IFERROR(VLOOKUP(SUBSTITUTE(SUBSTITUTE(SUBSTITUTE($MZ119,"~","~~"),"*","~*"),"?","~?"),'DADOS_MELHORIAS'!$O$2:$X$113,10,FALSE),$MZ119))</f>
        <v/>
      </c>
      <c r="RN119">
        <f>IF($NA119="","",IFERROR(VLOOKUP(SUBSTITUTE(SUBSTITUTE(SUBSTITUTE($NA119,"~","~~"),"*","~*"),"?","~?"),'DADOS_MELHORIAS'!$O$2:$X$113,10,FALSE),$NA119))</f>
        <v/>
      </c>
      <c r="RO119">
        <f>IFERROR(INDEX('DADOS_FORMAS'!$BJ$2:$BJ$21,MATCH(SUBSTITUTE(SUBSTITUTE(SUBSTITUTE($MU119,"~","~~"),"*","~*"),"?","~?"),'DADOS_FORMAS'!$AH$2:$AH$21,0)),"")</f>
        <v/>
      </c>
      <c r="RP119">
        <f>IFERROR(VLOOKUP(SUBSTITUTE(SUBSTITUTE(SUBSTITUTE(IFERROR(INDEX('DADOS_FORMAS'!$AS$2:$AS$21,MATCH(SUBSTITUTE(SUBSTITUTE(SUBSTITUTE($MU119,"~","~~"),"*","~*"),"?","~?"),'DADOS_FORMAS'!$AH$2:$AH$21,0)),""),"~","~~"),"*","~*"),"?","~?"),'DADOS_RESTRICOES'!$M$2:$Q$54,2,FALSE),"")</f>
        <v/>
      </c>
      <c r="RQ119">
        <f>$OK119</f>
        <v/>
      </c>
      <c r="RR119">
        <f>$OL119</f>
        <v/>
      </c>
      <c r="RS119">
        <f>$RP119</f>
        <v/>
      </c>
    </row>
    <row r="120">
      <c r="MN120" s="162" t="inlineStr">
        <is>
          <t>Ficha 10 · Especial 1</t>
        </is>
      </c>
      <c r="MO120" s="164" t="n">
        <v>10</v>
      </c>
      <c r="MP120" s="164" t="n">
        <v>1</v>
      </c>
      <c r="MQ120" s="164" t="n">
        <v>1</v>
      </c>
      <c r="MR120" s="162" t="inlineStr">
        <is>
          <t>ESPECIAL 1</t>
        </is>
      </c>
      <c r="MS120" s="164">
        <f>MAX(1,MIN(7,N('INVOCAÇÕES'!$AH$704)))</f>
        <v/>
      </c>
      <c r="MT120" s="164">
        <f>'INVOCAÇÕES'!$AI$704&amp;""</f>
        <v/>
      </c>
      <c r="MU120" s="164">
        <f>'INVOCAÇÕES'!$AH$709&amp;""</f>
        <v/>
      </c>
      <c r="MV120" s="164">
        <f>'INVOCAÇÕES'!$AH$710&amp;""</f>
        <v/>
      </c>
      <c r="MW120" s="164">
        <f>'INVOCAÇÕES'!$AJ$710&amp;""</f>
        <v/>
      </c>
      <c r="MX120" s="164">
        <f>'INVOCAÇÕES'!$AI$713&amp;""</f>
        <v/>
      </c>
      <c r="MY120" s="164">
        <f>'INVOCAÇÕES'!$AI$714&amp;""</f>
        <v/>
      </c>
      <c r="MZ120" s="164">
        <f>'INVOCAÇÕES'!$AI$715&amp;""</f>
        <v/>
      </c>
      <c r="NA120" s="164">
        <f>'INVOCAÇÕES'!$AI$716&amp;""</f>
        <v/>
      </c>
      <c r="NB120" s="164">
        <f>'INVOCAÇÕES'!$AI$717&amp;""</f>
        <v/>
      </c>
      <c r="NC120" s="164">
        <f>'INVOCAÇÕES'!$AI$718&amp;""</f>
        <v/>
      </c>
      <c r="ND120" s="164">
        <f>IF($MT120&lt;&gt;"",1,0)</f>
        <v/>
      </c>
      <c r="NE120" s="164">
        <f>INDEX($FO$2:$FO$13,$MO120)</f>
        <v/>
      </c>
      <c r="NF120" s="164">
        <f>INDEX($FP$2:$FP$13,$MO120)</f>
        <v/>
      </c>
      <c r="NG120" s="164">
        <f>INDEX($FQ$2:$FQ$13,$MO120)</f>
        <v/>
      </c>
      <c r="NH120" s="164">
        <f>INDEX($GB$2:$GB$13,$MO120)</f>
        <v/>
      </c>
      <c r="NI120" s="164">
        <f>INDEX($GC$2:$GC$13,$MO120)</f>
        <v/>
      </c>
      <c r="NJ120" s="164">
        <f>IFERROR(MATCH(SUBSTITUTE(SUBSTITUTE(SUBSTITUTE($MU120,"~","~~"),"*","~*"),"?","~?"),'DADOS_FORMAS'!$FZ$2:$FZ$21,0),0)</f>
        <v/>
      </c>
      <c r="NK120" s="164">
        <f>IFERROR(VLOOKUP(SUBSTITUTE(SUBSTITUTE(SUBSTITUTE($MX120,"~","~~"),"*","~*"),"?","~?"),'DADOS_MELHORIAS'!$AG$2:$AL$113,2,FALSE),"")</f>
        <v/>
      </c>
      <c r="NL120" s="164">
        <f>IFERROR(VLOOKUP(SUBSTITUTE(SUBSTITUTE(SUBSTITUTE($MY120,"~","~~"),"*","~*"),"?","~?"),'DADOS_MELHORIAS'!$AG$2:$AL$113,2,FALSE),"")</f>
        <v/>
      </c>
      <c r="NM120" s="164">
        <f>IFERROR(VLOOKUP(SUBSTITUTE(SUBSTITUTE(SUBSTITUTE($MZ120,"~","~~"),"*","~*"),"?","~?"),'DADOS_MELHORIAS'!$AG$2:$AL$113,2,FALSE),"")</f>
        <v/>
      </c>
      <c r="NN120" s="164">
        <f>IFERROR(VLOOKUP(SUBSTITUTE(SUBSTITUTE(SUBSTITUTE($NA120,"~","~~"),"*","~*"),"?","~?"),'DADOS_MELHORIAS'!$AG$2:$AL$113,2,FALSE),"")</f>
        <v/>
      </c>
      <c r="NO120" s="164">
        <f>IFERROR(VLOOKUP(SUBSTITUTE(SUBSTITUTE(SUBSTITUTE($MX120,"~","~~"),"*","~*"),"?","~?"),'DADOS_MELHORIAS'!$AG$2:$AL$113,3,FALSE),0)</f>
        <v/>
      </c>
      <c r="NP120" s="164">
        <f>IFERROR(VLOOKUP(SUBSTITUTE(SUBSTITUTE(SUBSTITUTE($MY120,"~","~~"),"*","~*"),"?","~?"),'DADOS_MELHORIAS'!$AG$2:$AL$113,3,FALSE),0)</f>
        <v/>
      </c>
      <c r="NQ120" s="164">
        <f>IFERROR(VLOOKUP(SUBSTITUTE(SUBSTITUTE(SUBSTITUTE($MZ120,"~","~~"),"*","~*"),"?","~?"),'DADOS_MELHORIAS'!$AG$2:$AL$113,3,FALSE),0)</f>
        <v/>
      </c>
      <c r="NR120" s="164">
        <f>IFERROR(VLOOKUP(SUBSTITUTE(SUBSTITUTE(SUBSTITUTE($NA120,"~","~~"),"*","~*"),"?","~?"),'DADOS_MELHORIAS'!$AG$2:$AL$113,3,FALSE),0)</f>
        <v/>
      </c>
      <c r="NS120" s="164">
        <f>IF($MS120=0,0,IF($NJ120=0,0,INDEX('DADOS_FORMAS'!$GB$2:$GB$21,$NJ120)))</f>
        <v/>
      </c>
      <c r="NT120" s="164">
        <f>IF(OR($NO120=0,$MS120=0),0,$NO120+3*IF(AND($NK120&lt;&gt;"",COUNTIF(INDEX($RB$2:$RJ$13,$MO120,0),$NK120)&gt;0),1,0))</f>
        <v/>
      </c>
      <c r="NU120" s="164">
        <f>IF(OR($NP120=0,$MS120=0),0,$NP120+3*IF(AND($NL120&lt;&gt;"",COUNTIF(INDEX($RB$2:$RJ$13,$MO120,0),$NL120)&gt;0),1,0))</f>
        <v/>
      </c>
      <c r="NV120" s="164">
        <f>IF(OR($NQ120=0,$MS120=0),0,$NQ120+3*IF(AND($NM120&lt;&gt;"",COUNTIF(INDEX($RB$2:$RJ$13,$MO120,0),$NM120)&gt;0),1,0))</f>
        <v/>
      </c>
      <c r="NW120" s="164">
        <f>IF(OR($NR120=0,$MS120=0),0,$NR120+3*IF(AND($NN120&lt;&gt;"",COUNTIF(INDEX($RB$2:$RJ$13,$MO120,0),$NN120)&gt;0),1,0))</f>
        <v/>
      </c>
      <c r="NX120" s="164">
        <f>IF($NJ120=0,0,IF(INDEX('DADOS_FORMAS'!$GA$2:$GA$21,$NJ120)="",0,IF((COUNTIF(INDEX($EL$2:$EP$13,$MO120,0),INDEX('DADOS_FORMAS'!$GA$2:$GA$21,$NJ120))+COUNTIF(INDEX($QV$2:$QY$13,$MO120,0),INDEX('DADOS_FORMAS'!$GA$2:$GA$21,$NJ120)))=0,1,0)))</f>
        <v/>
      </c>
      <c r="NY120" s="164">
        <f>IF(OR($NO120=0,$NK120=""),0,IF((COUNTIF(INDEX($EL$2:$EP$13,$MO120,0),$NK120)+COUNTIF(INDEX($QV$2:$QY$13,$MO120,0),$NK120))=0,1,0))</f>
        <v/>
      </c>
      <c r="NZ120" s="164">
        <f>IF(OR($NP120=0,$NL120=""),0,IF((COUNTIF(INDEX($EL$2:$EP$13,$MO120,0),$NL120)+COUNTIF(INDEX($QV$2:$QY$13,$MO120,0),$NL120))=0,1,0))</f>
        <v/>
      </c>
      <c r="OA120" s="164">
        <f>IF(OR($NQ120=0,$NM120=""),0,IF((COUNTIF(INDEX($EL$2:$EP$13,$MO120,0),$NM120)+COUNTIF(INDEX($QV$2:$QY$13,$MO120,0),$NM120))=0,1,0))</f>
        <v/>
      </c>
      <c r="OB120" s="164">
        <f>IF(OR($NR120=0,$NN120=""),0,IF((COUNTIF(INDEX($EL$2:$EP$13,$MO120,0),$NN120)+COUNTIF(INDEX($QV$2:$QY$13,$MO120,0),$NN120))=0,1,0))</f>
        <v/>
      </c>
      <c r="OC120" s="164">
        <f>IFERROR(VLOOKUP(SUBSTITUTE(SUBSTITUTE(SUBSTITUTE($MX120,"~","~~"),"*","~*"),"?","~?"),'DADOS_MELHORIAS'!$AG$2:$AL$113,4,FALSE),0)+IFERROR(VLOOKUP(SUBSTITUTE(SUBSTITUTE(SUBSTITUTE($MY120,"~","~~"),"*","~*"),"?","~?"),'DADOS_MELHORIAS'!$AG$2:$AL$113,4,FALSE),0)+IFERROR(VLOOKUP(SUBSTITUTE(SUBSTITUTE(SUBSTITUTE($MZ120,"~","~~"),"*","~*"),"?","~?"),'DADOS_MELHORIAS'!$AG$2:$AL$113,4,FALSE),0)+IFERROR(VLOOKUP(SUBSTITUTE(SUBSTITUTE(SUBSTITUTE($NA120,"~","~~"),"*","~*"),"?","~?"),'DADOS_MELHORIAS'!$AG$2:$AL$113,4,FALSE),0)</f>
        <v/>
      </c>
      <c r="OD120" s="164">
        <f>IFERROR(VLOOKUP(SUBSTITUTE(SUBSTITUTE(SUBSTITUTE($MX120,"~","~~"),"*","~*"),"?","~?"),'DADOS_MELHORIAS'!$AG$2:$AL$113,6,FALSE),0)+IFERROR(VLOOKUP(SUBSTITUTE(SUBSTITUTE(SUBSTITUTE($MY120,"~","~~"),"*","~*"),"?","~?"),'DADOS_MELHORIAS'!$AG$2:$AL$113,6,FALSE),0)+IFERROR(VLOOKUP(SUBSTITUTE(SUBSTITUTE(SUBSTITUTE($MZ120,"~","~~"),"*","~*"),"?","~?"),'DADOS_MELHORIAS'!$AG$2:$AL$113,6,FALSE),0)+IFERROR(VLOOKUP(SUBSTITUTE(SUBSTITUTE(SUBSTITUTE($NA120,"~","~~"),"*","~*"),"?","~?"),'DADOS_MELHORIAS'!$AG$2:$AL$113,6,FALSE),0)+IFERROR(N(AND(INDEX('DADOS_FORMAS'!$AO$2:$AO$21,MATCH(SUBSTITUTE(SUBSTITUTE(SUBSTITUTE($MU120,"~","~~"),"*","~*"),"?","~?"),'DADOS_FORMAS'!$AH$2:$AH$21,0))="Acerto",$OH120=1)),0)</f>
        <v/>
      </c>
      <c r="OE120" s="164">
        <f>TEXTJOIN(", ",TRUE,IF(IFERROR(VLOOKUP(SUBSTITUTE(SUBSTITUTE(SUBSTITUTE($MX120,"~","~~"),"*","~*"),"?","~?"),'DADOS_MELHORIAS'!$AG$2:$AL$113,5,FALSE),0)=1,$MX120,""),IF(IFERROR(VLOOKUP(SUBSTITUTE(SUBSTITUTE(SUBSTITUTE($MY120,"~","~~"),"*","~*"),"?","~?"),'DADOS_MELHORIAS'!$AG$2:$AL$113,5,FALSE),0)=1,$MY120,""),IF(IFERROR(VLOOKUP(SUBSTITUTE(SUBSTITUTE(SUBSTITUTE($MZ120,"~","~~"),"*","~*"),"?","~?"),'DADOS_MELHORIAS'!$AG$2:$AL$113,5,FALSE),0)=1,$MZ120,""),IF(IFERROR(VLOOKUP(SUBSTITUTE(SUBSTITUTE(SUBSTITUTE($NA120,"~","~~"),"*","~*"),"?","~?"),'DADOS_MELHORIAS'!$AG$2:$AL$113,5,FALSE),0)=1,$NA120,""))</f>
        <v/>
      </c>
      <c r="OF120" s="164">
        <f>IF($NJ120=0,0,INDEX('DADOS_FORMAS'!$GC$2:$GC$21,$NJ120))</f>
        <v/>
      </c>
      <c r="OG120" s="164">
        <f>IF($NJ120=0,0,INDEX('DADOS_FORMAS'!$GD$2:$GD$21,$NJ120))</f>
        <v/>
      </c>
      <c r="OH120" s="164">
        <f>IF($NJ120=0,0,INDEX('DADOS_FORMAS'!$GF$2:$GF$21,$NJ120))</f>
        <v/>
      </c>
      <c r="OI120" s="164">
        <f>IFERROR(VLOOKUP(SUBSTITUTE(SUBSTITUTE(SUBSTITUTE($NB120,"~","~~"),"*","~*"),"?","~?"),'DADOS_RESTRICOES'!$M$2:$Q$54,3,FALSE),0)</f>
        <v/>
      </c>
      <c r="OJ120" s="164">
        <f>IFERROR(VLOOKUP(SUBSTITUTE(SUBSTITUTE(SUBSTITUTE($NC120,"~","~~"),"*","~*"),"?","~?"),'DADOS_RESTRICOES'!$M$2:$Q$54,3,FALSE),0)</f>
        <v/>
      </c>
      <c r="OK120" s="164">
        <f>IFERROR(VLOOKUP(SUBSTITUTE(SUBSTITUTE(SUBSTITUTE($NB120,"~","~~"),"*","~*"),"?","~?"),'DADOS_RESTRICOES'!$M$2:$Q$54,2,FALSE),"")</f>
        <v/>
      </c>
      <c r="OL120" s="164">
        <f>IFERROR(VLOOKUP(SUBSTITUTE(SUBSTITUTE(SUBSTITUTE($NC120,"~","~~"),"*","~*"),"?","~?"),'DADOS_RESTRICOES'!$M$2:$Q$54,2,FALSE),"")</f>
        <v/>
      </c>
      <c r="OM120" s="164">
        <f>COUNTIF($NS120:$NW120,1)</f>
        <v/>
      </c>
      <c r="ON120" s="164">
        <f>COUNTIF($NS120:$NW120,2)</f>
        <v/>
      </c>
      <c r="OO120" s="164">
        <f>COUNTIF($NS120:$NW120,3)</f>
        <v/>
      </c>
      <c r="OP120" s="164">
        <f>COUNTIF($NS120:$NW120,4)</f>
        <v/>
      </c>
      <c r="OQ120" s="164">
        <f>COUNTIF($NS120:$NW120,5)</f>
        <v/>
      </c>
      <c r="OR120" s="164">
        <f>COUNTIF($NS120:$NW120,6)</f>
        <v/>
      </c>
      <c r="OS120" s="164">
        <f>COUNTIF($OI120:$OJ120,1)+IF(IFERROR(INDEX('DADOS_FORMAS'!$AS$2:$AS$21,MATCH(SUBSTITUTE(SUBSTITUTE(SUBSTITUTE($MU120,"~","~~"),"*","~*"),"?","~?"),'DADOS_FORMAS'!$AH$2:$AH$21,0)),"")="",0,IFERROR(N(VLOOKUP(SUBSTITUTE(SUBSTITUTE(SUBSTITUTE(IFERROR(INDEX('DADOS_FORMAS'!$AS$2:$AS$21,MATCH(SUBSTITUTE(SUBSTITUTE(SUBSTITUTE($MU120,"~","~~"),"*","~*"),"?","~?"),'DADOS_FORMAS'!$AH$2:$AH$21,0)),""),"~","~~"),"*","~*"),"?","~?"),'DADOS_RESTRICOES'!$M$2:$Q$54,3,FALSE)=1),0))</f>
        <v/>
      </c>
      <c r="OT120" s="164">
        <f>COUNTIF($OI120:$OJ120,2)+IF(IFERROR(INDEX('DADOS_FORMAS'!$AS$2:$AS$21,MATCH(SUBSTITUTE(SUBSTITUTE(SUBSTITUTE($MU120,"~","~~"),"*","~*"),"?","~?"),'DADOS_FORMAS'!$AH$2:$AH$21,0)),"")="",0,IFERROR(N(VLOOKUP(SUBSTITUTE(SUBSTITUTE(SUBSTITUTE(IFERROR(INDEX('DADOS_FORMAS'!$AS$2:$AS$21,MATCH(SUBSTITUTE(SUBSTITUTE(SUBSTITUTE($MU120,"~","~~"),"*","~*"),"?","~?"),'DADOS_FORMAS'!$AH$2:$AH$21,0)),""),"~","~~"),"*","~*"),"?","~?"),'DADOS_RESTRICOES'!$M$2:$Q$54,3,FALSE)=2),0))</f>
        <v/>
      </c>
      <c r="OU120" s="164">
        <f>COUNTIF($MX120:$NA120,"?*")</f>
        <v/>
      </c>
      <c r="OV120" s="164">
        <f>COUNTIF($NB120:$NC120,"?*")+$OF120</f>
        <v/>
      </c>
      <c r="OW120" s="164">
        <f>IF($MS120=0,0,SUMPRODUCT($OM120:$OR120,INDEX($I$2:$N$8,MAX(1,$MS120),0)))</f>
        <v/>
      </c>
      <c r="OX120" s="164">
        <f>IF($MS120=0,0,$OS120*CEILING($MS120/2,1)+$OT120*$MS120)</f>
        <v/>
      </c>
      <c r="OY120" s="164">
        <f>MIN(2*$MS120,$OX120)</f>
        <v/>
      </c>
      <c r="OZ120" s="164">
        <f>MIN($OY120,$OW120-IF($NS120=0,0,INDEX($I$2:$N$8,MAX(1,$MS120),$NS120)))</f>
        <v/>
      </c>
      <c r="PA120" s="164">
        <f>$OY120-$OZ120</f>
        <v/>
      </c>
      <c r="PB120" s="164">
        <f>IF($MS120=0,0,INDEX($P$2:$P$8,MAX(1,$MS120)))</f>
        <v/>
      </c>
      <c r="PC120" s="164">
        <f>$PB120-$OW120+$OZ120</f>
        <v/>
      </c>
      <c r="PD120" s="164">
        <f>IF($MS120=0,MAX(0,$NG120-IF(AND($OU120&gt;0,COUNTIF($NB120:$NC120,"?*")=0),1,0)),MAX(0,$PC120))</f>
        <v/>
      </c>
      <c r="PE120" s="164">
        <f>IF($MS120=0,0,(IF(COUNTIF($RK120:$RN120,"Salto")&gt;0,1,0)+IF(COUNTIF($RK120:$RN120,"Queima")&gt;0,1,0)+IF(COUNTIF($RK120:$RN120,"Estilhaço")&gt;0,1,0))*FLOOR($PD120/2,1))</f>
        <v/>
      </c>
      <c r="PF120" s="164">
        <f>MAX(0,2-SUMPRODUCT($OM120:$OR120,$I$2:$N$2)+MIN(2,$OS120*1+$OT120*1,SUMPRODUCT($OM120:$OR120,$I$2:$N$2)-IF($NS120=0,0,INDEX($I$2:$N$2,1,$NS120))))</f>
        <v/>
      </c>
      <c r="PG120" s="164">
        <f>MAX(0,4-SUMPRODUCT($OM120:$OR120,$I$3:$N$3)+MIN(4,$OS120*1+$OT120*2,SUMPRODUCT($OM120:$OR120,$I$3:$N$3)-IF($NS120=0,0,INDEX($I$3:$N$3,1,$NS120))))</f>
        <v/>
      </c>
      <c r="PH120" s="164">
        <f>MAX(0,6-SUMPRODUCT($OM120:$OR120,$I$4:$N$4)+MIN(6,$OS120*2+$OT120*3,SUMPRODUCT($OM120:$OR120,$I$4:$N$4)-IF($NS120=0,0,INDEX($I$4:$N$4,1,$NS120))))</f>
        <v/>
      </c>
      <c r="PI120" s="164">
        <f>MAX(0,9-SUMPRODUCT($OM120:$OR120,$I$5:$N$5)+MIN(8,$OS120*2+$OT120*4,SUMPRODUCT($OM120:$OR120,$I$5:$N$5)-IF($NS120=0,0,INDEX($I$5:$N$5,1,$NS120))))</f>
        <v/>
      </c>
      <c r="PJ120" s="164">
        <f>MAX(0,11-SUMPRODUCT($OM120:$OR120,$I$6:$N$6)+MIN(10,$OS120*3+$OT120*5,SUMPRODUCT($OM120:$OR120,$I$6:$N$6)-IF($NS120=0,0,INDEX($I$6:$N$6,1,$NS120))))</f>
        <v/>
      </c>
      <c r="PK120" s="164">
        <f>MAX(0,13-SUMPRODUCT($OM120:$OR120,$I$7:$N$7)+MIN(12,$OS120*3+$OT120*6,SUMPRODUCT($OM120:$OR120,$I$7:$N$7)-IF($NS120=0,0,INDEX($I$7:$N$7,1,$NS120))))</f>
        <v/>
      </c>
      <c r="PL120" s="164">
        <f>MAX(0,16-SUMPRODUCT($OM120:$OR120,$I$8:$N$8)+MIN(14,$OS120*4+$OT120*7,SUMPRODUCT($OM120:$OR120,$I$8:$N$8)-IF($NS120=0,0,INDEX($I$8:$N$8,1,$NS120))))</f>
        <v/>
      </c>
      <c r="PM120" s="164">
        <f>IF($OG120=2,3*$PF120&amp;" de vida temp.",IF($OG120=3,"sem dano",IF($PF120=0,IF($OG120=1,"sem cura","sem dano"),IF($OG120=1,"cura ","")&amp;$PF120&amp;"d8")))</f>
        <v/>
      </c>
      <c r="PN120" s="164">
        <f>IF($OG120=2,3*$PG120&amp;" de vida temp.",IF($OG120=3,"sem dano",IF($PG120=0,IF($OG120=1,"sem cura","sem dano"),IF($OG120=1,"cura ","")&amp;$PG120&amp;"d8")))</f>
        <v/>
      </c>
      <c r="PO120" s="164">
        <f>IF($OG120=2,3*$PH120&amp;" de vida temp.",IF($OG120=3,"sem dano",IF($PH120=0,IF($OG120=1,"sem cura","sem dano"),IF($OG120=1,"cura ","")&amp;$PH120&amp;"d8")))</f>
        <v/>
      </c>
      <c r="PP120" s="164">
        <f>IF($OG120=2,3*$PI120&amp;" de vida temp.",IF($OG120=3,"sem dano",IF($PI120=0,IF($OG120=1,"sem cura","sem dano"),IF($OG120=1,"cura ","")&amp;$PI120&amp;"d8")))</f>
        <v/>
      </c>
      <c r="PQ120" s="164">
        <f>IF($OG120=2,3*$PJ120&amp;" de vida temp.",IF($OG120=3,"sem dano",IF($PJ120=0,IF($OG120=1,"sem cura","sem dano"),IF($OG120=1,"cura ","")&amp;$PJ120&amp;"d8")))</f>
        <v/>
      </c>
      <c r="PR120" s="164">
        <f>IF($OG120=2,3*$PK120&amp;" de vida temp.",IF($OG120=3,"sem dano",IF($PK120=0,IF($OG120=1,"sem cura","sem dano"),IF($OG120=1,"cura ","")&amp;$PK120&amp;"d8")))</f>
        <v/>
      </c>
      <c r="PS120" s="164">
        <f>IF($OG120=2,3*$PL120&amp;" de vida temp.",IF($OG120=3,"sem dano",IF($PL120=0,IF($OG120=1,"sem cura","sem dano"),IF($OG120=1,"cura ","")&amp;$PL120&amp;"d8")))</f>
        <v/>
      </c>
      <c r="PT120" s="164">
        <f>IF($ND120=0,"",TEXTJOIN(" · ",TRUE,IF($ND120=0,"",TEXTJOIN(" · ",TRUE,IF($ND120=0,"",TEXTJOIN(" · ",TRUE,IF($MQ120&gt;$NE120,"Este lugar abre no nível "&amp;$MQ120,""),IF($MS120&gt;$NF120,"Classe "&amp;$MS120&amp;": o nível "&amp;$NE120&amp;" libera até a "&amp;$NF120,""),IF($NX120=1,"A Forma "&amp;$MU120&amp;" pede "&amp;INDEX('DADOS_FORMAS'!$GA$2:$GA$21,$NJ120)&amp;" aberta",""),IF(AND($MS120=0,$NJ120&gt;0,IF($NJ120=0,0,INDEX('DADOS_FORMAS'!$GJ$2:$GJ$21,$NJ120))=0),$MU120&amp;" não existe na Classe 0",""),IF($NY120=1,"Família Fechada: "&amp;$MX120,""),IF($NZ120=1,"Família Fechada: "&amp;$MY120,""),IF($OA120=1,"Família Fechada: "&amp;$MZ120,""),IF($OB120=1,"Família Fechada: "&amp;$NA120,""),IF(AND($MS120&gt;0,$OU120&gt;INDEX($O$2:$O$8,MAX(1,$MS120))),$OU120&amp;" Melhorias: a Classe "&amp;$MS120&amp;" aceita "&amp;INDEX($O$2:$O$8,MAX(1,$MS120)),""),IF(AND($MS120=0,$OU120&gt;1),"A básica aceita uma Melhoria",""),IF(AND($MS120=0,COUNTIF($NO120:$NR120,"&gt;1")&gt;0),"A básica só aceita Melhoria Leve",""),IF(AND($MS120&gt;0,$OV120&gt;2),$OV120&amp;" Restrições"&amp;IF($OF120=1,", contando a que a Forma "&amp;$MU120&amp;" já traz","")&amp;": o limite é 2",""),IF(AND($MS120=0,COUNTIF($NB120:$NC120,"?*")&gt;1),"A básica aceita uma Restrição Leve",""),IF(AND($MS120=0,COUNTIF($OI120:$OJ120,2)&gt;0),"A básica só aceita Restrição Leve",""),IF(AND($MS120&gt;0,$PC120&lt;0),"Orçamento estourado: faltam "&amp;(-$PC120)&amp;IF($PC120&lt;-1," pontos"," ponto"),""),IF(IFERROR(VLOOKUP(SUBSTITUTE(SUBSTITUTE(SUBSTITUTE($NB120,"~","~~"),"*","~*"),"?","~?"),'DADOS_RESTRICOES'!$M$2:$Q$54,4,FALSE),0)+IFERROR(VLOOKUP(SUBSTITUTE(SUBSTITUTE(SUBSTITUTE($NC120,"~","~~"),"*","~*"),"?","~?"),'DADOS_RESTRICOES'!$M$2:$Q$54,4,FALSE),0)&gt;1,$OK120&amp;" e "&amp;$OL120&amp;" são as duas de frequência",""),IF(AND((COUNTIF($RK120:$RN120,"Rápido")+COUNTIF($OK120:$OL120,"Rápido"))&gt;0,(COUNTIF($MX120:$NA120,"Atrasar")+COUNTIF($OK120:$OL120,"Atrasar"))&gt;0),"Rápido não entra com Atrasar",""),IF(AND((COUNTIF($RK120:$RN120,"Reação")+COUNTIF($OK120:$OL120,"Reação"))&gt;0,(COUNTIF($RK120:$RN120,"Rápido")+COUNTIF($OK120:$OL120,"Rápido"))&gt;0),"Reação não entra com Rápido",""),IF(AND((COUNTIF($RK120:$RN120,"Reação")+COUNTIF($OK120:$OL120,"Reação"))&gt;0,(COUNTIF($RK120:$RN120,"Armado")+COUNTIF($OK120:$OL120,"Armado"))&gt;0),"Reação não entra com Armado",""),IF(AND((COUNTIF($RK120:$RN120,"Reação")+COUNTIF($OK120:$OL120,"Reação"))&gt;0,(COUNTIF($MX120:$NA120,"Atrasar")+COUNTIF($OK120:$OL120,"Atrasar"))&gt;0),"Reação não entra com Atrasar",""),IF(AND((COUNTIF($RK120:$RN120,"Reação")+COUNTIF($OK120:$OL120,"Reação"))&gt;0,(COUNTIF($MX120:$NA120,"Parado")+COUNTIF($OK120:$OL120,"Parado"))&gt;0),"Reação não entra com Parado",""),IF(AND((COUNTIF($MX120:$NA120,"Atrasar")+COUNTIF($OK120:$OL120,"Atrasar"))&gt;0,(COUNTIF($MX120:$NA120,"Parado")+COUNTIF($OK120:$OL120,"Parado"))&gt;0),"Atrasar não entra com Parado",""),IF(AND((COUNTIF($RK120:$RN120,"Armado")+COUNTIF($OK120:$OL120,"Armado"))&gt;0,(COUNTIF($MX120:$NA120,"Carregar")+COUNTIF($OK120:$OL120,"Carregar"))&gt;0),"Armado não entra com Carregar",""),IF(AND(COUNTIF($OK120:$OL120,"Corpo a Corpo")&gt;0,$OF120=0,OR($RO120="Cone",$RO120="Linha")),"Corpo a Corpo não entra em "&amp;$MU120,""),IF(AND(COUNTIF($OK120:$OL120,"Corpo a Corpo")&gt;0,$RP120="Corpo a Corpo"),"A Forma "&amp;$MU120&amp;" já traz o Corpo a Corpo",""),IF(AND(COUNTIF($OK120:$OL120,"Tudo ou Nada")&gt;0,$OH120=0),"Tudo ou Nada só entra em habilidade de Teste de Resistência",""),IF(AND(COUNTIF($RK120:$RN120,"Inescapável")&gt;0,OR($OU120&gt;1,$OV120&gt;0)),"Inescapável não aceita outra peça",""),IF(AND($MS120&gt;0,$PD120*IF(COUNTIF($RK120:$RN120,"Remate")&gt;0,1.25,1)+$PE120&gt;4*$MS120),($PD120*IF(COUNTIF($RK120:$RN120,"Remate")&gt;0,1.25,1)+$PE120)&amp;" dados somando repetições"&amp;IF(COUNTIF($RK120:$RN120,"Remate")&gt;0," e o Remate","")&amp;": o teto da Classe "&amp;$MS120&amp;" é "&amp;4*$MS120,""))),IF(AND($MX120&lt;&gt;"",COUNTIF('DADOS_MELHORIAS'!$O$2:$O$113,SUBSTITUTE(SUBSTITUTE(SUBSTITUTE($MX120,"~","~~"),"*","~*"),"?","~?"))=0),"Melhoria não cadastrada ou com erro: "&amp;$MX120,""),IF(AND($MY120&lt;&gt;"",COUNTIF('DADOS_MELHORIAS'!$O$2:$O$113,SUBSTITUTE(SUBSTITUTE(SUBSTITUTE($MY120,"~","~~"),"*","~*"),"?","~?"))=0),"Melhoria não cadastrada ou com erro: "&amp;$MY120,""),IF(AND($MZ120&lt;&gt;"",COUNTIF('DADOS_MELHORIAS'!$O$2:$O$113,SUBSTITUTE(SUBSTITUTE(SUBSTITUTE($MZ120,"~","~~"),"*","~*"),"?","~?"))=0),"Melhoria não cadastrada ou com erro: "&amp;$MZ120,""),IF(AND($NA120&lt;&gt;"",COUNTIF('DADOS_MELHORIAS'!$O$2:$O$113,SUBSTITUTE(SUBSTITUTE(SUBSTITUTE($NA120,"~","~~"),"*","~*"),"?","~?"))=0),"Melhoria não cadastrada ou com erro: "&amp;$NA120,""),IF(AND($NB120&lt;&gt;"",COUNTIF('DADOS_RESTRICOES'!$M$2:$M$54,SUBSTITUTE(SUBSTITUTE(SUBSTITUTE($NB120,"~","~~"),"*","~*"),"?","~?"))=0),"Restrição não cadastrada ou com erro: "&amp;$NB120,""),IF(AND($NC120&lt;&gt;"",COUNTIF('DADOS_RESTRICOES'!$M$2:$M$54,SUBSTITUTE(SUBSTITUTE(SUBSTITUTE($NC120,"~","~~"),"*","~*"),"?","~?"))=0),"Restrição não cadastrada ou com erro: "&amp;$NC120,""))),IF(AND($MU120&lt;&gt;"",COUNTIF('DADOS_FORMAS'!$AH$2:$AH$21,SUBSTITUTE(SUBSTITUTE(SUBSTITUTE($MU120,"~","~~"),"*","~*"),"?","~?"))=0),"Forma não cadastrada ou com erro: "&amp;$MU120,""),IF(AND(IFERROR(INDEX('DADOS_FORMAS'!$AS$2:$AS$21,MATCH(SUBSTITUTE(SUBSTITUTE(SUBSTITUTE($MU120,"~","~~"),"*","~*"),"?","~?"),'DADOS_FORMAS'!$AH$2:$AH$21,0)),"")&lt;&gt;"",OR(IFERROR(VLOOKUP(SUBSTITUTE(SUBSTITUTE(SUBSTITUTE(IFERROR(INDEX('DADOS_FORMAS'!$AS$2:$AS$21,MATCH(SUBSTITUTE(SUBSTITUTE(SUBSTITUTE($MU120,"~","~~"),"*","~*"),"?","~?"),'DADOS_FORMAS'!$AH$2:$AH$21,0)),""),"~","~~"),"*","~*"),"?","~?"),'DADOS_RESTRICOES'!$M$2:$Q$54,2,FALSE),"")=$OK120,IFERROR(VLOOKUP(SUBSTITUTE(SUBSTITUTE(SUBSTITUTE(IFERROR(INDEX('DADOS_FORMAS'!$AS$2:$AS$21,MATCH(SUBSTITUTE(SUBSTITUTE(SUBSTITUTE($MU120,"~","~~"),"*","~*"),"?","~?"),'DADOS_FORMAS'!$AH$2:$AH$21,0)),""),"~","~~"),"*","~*"),"?","~?"),'DADOS_RESTRICOES'!$M$2:$Q$54,2,FALSE),"")=$OL120)),"Restrição repetida, contando a embutida",""),IF(IF(IFERROR(INDEX('DADOS_FORMAS'!$AS$2:$AS$21,MATCH(SUBSTITUTE(SUBSTITUTE(SUBSTITUTE($MU120,"~","~~"),"*","~*"),"?","~?"),'DADOS_FORMAS'!$AH$2:$AH$21,0)),"")="",0,IFERROR(N(VLOOKUP(SUBSTITUTE(SUBSTITUTE(SUBSTITUTE(IFERROR(INDEX('DADOS_FORMAS'!$AS$2:$AS$21,MATCH(SUBSTITUTE(SUBSTITUTE(SUBSTITUTE($MU120,"~","~~"),"*","~*"),"?","~?"),'DADOS_FORMAS'!$AH$2:$AH$21,0)),""),"~","~~"),"*","~*"),"?","~?"),'DADOS_RESTRICOES'!$M$2:$Q$54,4,FALSE)=1),0))+IF($NB120="",0,IFERROR(N(VLOOKUP(SUBSTITUTE(SUBSTITUTE(SUBSTITUTE($NB120,"~","~~"),"*","~*"),"?","~?"),'DADOS_RESTRICOES'!$M$2:$Q$54,4,FALSE)=1),0))+IF($NC120="",0,IFERROR(N(VLOOKUP(SUBSTITUTE(SUBSTITUTE(SUBSTITUTE($NC120,"~","~~"),"*","~*"),"?","~?"),'DADOS_RESTRICOES'!$M$2:$Q$54,4,FALSE)=1),0))&gt;1,"Duas Restrições de frequência, contando a embutida",""),IF(AND(IFERROR(VLOOKUP(SUBSTITUTE(SUBSTITUTE(SUBSTITUTE(IFERROR(INDEX('DADOS_FORMAS'!$AS$2:$AS$21,MATCH(SUBSTITUTE(SUBSTITUTE(SUBSTITUTE($MU120,"~","~~"),"*","~*"),"?","~?"),'DADOS_FORMAS'!$AH$2:$AH$21,0)),""),"~","~~"),"*","~*"),"?","~?"),'DADOS_RESTRICOES'!$M$2:$Q$54,2,FALSE),"")="Tudo ou Nada",$OH120=0),"Tudo ou Nada exige TR",""),IF(AND(IFERROR(VLOOKUP(SUBSTITUTE(SUBSTITUTE(SUBSTITUTE(IFERROR(INDEX('DADOS_FORMAS'!$AS$2:$AS$21,MATCH(SUBSTITUTE(SUBSTITUTE(SUBSTITUTE($MU120,"~","~~"),"*","~*"),"?","~?"),'DADOS_FORMAS'!$AH$2:$AH$21,0)),""),"~","~~"),"*","~*"),"?","~?"),'DADOS_RESTRICOES'!$M$2:$Q$54,2,FALSE),"")="Corpo a Corpo",OR($RO120="Cone",$RO120="Linha")),"Corpo a Corpo não entra em Cone/Linha","")))</f>
        <v/>
      </c>
      <c r="PU120" s="164">
        <f>IF($PT120="",0,(LEN($PT120)-LEN(SUBSTITUTE($PT120," · ","")))/3+1)</f>
        <v/>
      </c>
      <c r="PV120" s="164">
        <f>IF($ND120=0,"",TEXTJOIN(" · ",TRUE,IF($OX120&gt;2*$MS120,"A devolução parou no teto de "&amp;2*$MS120,""),IF($PA120&gt;0,"Devolução perdida: "&amp;$PA120&amp;IF($PA120&gt;1," pontos"," ponto")&amp;" sem Melhoria para pagar",""),IF(AND($OC120&gt;0,AND($MS120&gt;0,$OG120=0),$PD120=0),"Controle sem dano: uma rodada a mais e CD +2",""),IF(AND($OC120&gt;0,AND($MS120&gt;0,$OG120=0),$PD120&gt;0,$PD120&lt;=$MS120),"Controle com saldo até a Classe: uma rodada a mais",""),IF(AND($MS120&gt;0,$OE120&lt;&gt;""),"Efeito de "&amp;$OE120&amp;" pela Classe "&amp;MAX(1,$MS120-1),"")))</f>
        <v/>
      </c>
      <c r="PW120" s="164">
        <f>IF($PV120="",0,(LEN($PV120)-LEN(SUBSTITUTE($PV120," · ","")))/3+1)</f>
        <v/>
      </c>
      <c r="PX120" s="164">
        <f>IF($ND120=0,IF($OU120+COUNTIF($NB120:$NC120,"?*")&gt;0,"Dê um nome",""),IF($PU120&gt;0,"⚠ "&amp;$PU120&amp;IF($PU120&gt;1," erros"," erro"),IF($PW120&gt;0,"! "&amp;$PW120&amp;IF($PW120&gt;1," avisos"," aviso"),"Na regra")))</f>
        <v/>
      </c>
      <c r="PY120" s="164">
        <f>IF($ND120=0,"",IF($PU120+$PW120=0,"Dentro das regras que a ficha confere",$PT120&amp;IF(AND($PU120&gt;0,$PW120&gt;0)," · ","")&amp;$PV120))</f>
        <v/>
      </c>
      <c r="PZ120" s="164">
        <f>IF($MQ120&gt;$NE120,$MR120&amp;" · ABRE NO NÍVEL "&amp;$MQ120,$MR120)</f>
        <v/>
      </c>
      <c r="QA120" s="164">
        <f>IF($ND120=0,"",IF($MS120=0,"Sem PE",3*$MS120&amp;" PE"))</f>
        <v/>
      </c>
      <c r="QB120" s="164">
        <f>IF($ND120=0,"",IF($MS120=0,"A atuação básica dela",IF(COUNTIF($RQ120:$RS120,"Atrasar")&gt;0,"Sua Ação Completa",IF(COUNTIF($RK120:$RN120,"Rápido")&gt;0,"Sua Bônus",IF(COUNTIF($RK120:$RN120,"Reação")&gt;0,"Sua Reação","Sua Padrão")))&amp;" + a básica dela"&amp;IF(COUNTIF($RK120:$RN120,"Reação")&gt;0," e a coletiva","")&amp;IF(COUNTIF($RQ120:$RS120,"Carregar")&gt;0," · em dois turnos","")))</f>
        <v/>
      </c>
      <c r="QC120" s="164">
        <f>IF($MW120&lt;&gt;"",$MW120,IF($NJ120=0,"",INDEX('DADOS_FORMAS'!$GE$2:$GE$21,$NJ120)))</f>
        <v/>
      </c>
      <c r="QD120" s="164">
        <f>IF(OR($ND120=0,$NJ120=0),"",IF(COUNTIF($RK120:$RN120,"Inescapável")&gt;0,"Automático",IF($QC120="Ataque",IF($NH120="","Ataque","Ataque "&amp;IF(($NH120+2*IF(COUNTIF($RK120:$RN120,"Precisão")&gt;0,1,0))&gt;=0,"+","−")&amp;ABS(($NH120+2*IF(COUNTIF($RK120:$RN120,"Precisão")&gt;0,1,0))))&amp;IF($OD120&gt;0," · TR"&amp;IF($NI120="",""," CD "&amp;$NI120),""),IF(LEFT($QC120,2)="TR",$QC120&amp;IF($NI120="",""," · CD "&amp;$NI120)&amp;IF(COUNTIF($RK120:$RN120,"Certeiro")&gt;0," · metade",""),"Sem rolagem"))))</f>
        <v/>
      </c>
      <c r="QE120" s="164">
        <f>IF(OR($ND120=0,$NJ120=0),"",IF($MS120=0,IF(OR($OG120&gt;=1,$PD120=0),"Sem dano",$PD120&amp;"d6"&amp;IF($MV120="",""," "&amp;$MV120)),IF(OR($OG120&gt;=1,$PD120=0),UPPER(LEFT(INDEX($PM120:$PS120,1,MAX(1,$MS120)),1))&amp;MID(INDEX($PM120:$PS120,1,MAX(1,$MS120)),2,99),UPPER(LEFT(INDEX($PM120:$PS120,1,MAX(1,$MS120)),1))&amp;MID(INDEX($PM120:$PS120,1,MAX(1,$MS120)),2,99)&amp;IF($MV120="",""," "&amp;$MV120)&amp;IF($PE120&gt;0," · +"&amp;$PE120&amp;"d8",""))))</f>
        <v/>
      </c>
      <c r="QF120" s="164">
        <f>COUNTIF($RK120:$RN120,"Longe")+3*COUNTIF($RK120:$RN120,"Muito Longe")</f>
        <v/>
      </c>
      <c r="QG120" s="164">
        <f>COUNTIF($RK120:$RN120,"Maior")+3*COUNTIF($RK120:$RN120,"Muito Maior")</f>
        <v/>
      </c>
      <c r="QH120" s="164">
        <f>IF($NJ120=0,0,CHOOSE(1+INDEX('DADOS_FORMAS'!$GG$2:$GG$21,$NJ120),0,$QF120,$QG120,$QF120+$QG120))</f>
        <v/>
      </c>
      <c r="QI120" s="164">
        <f>IF($NJ120=0,0,CHOOSE(1+INDEX('DADOS_FORMAS'!$GH$2:$GH$21,$NJ120),0,$QF120,$QG120,$QF120+$QG120))</f>
        <v/>
      </c>
      <c r="QJ120" s="164">
        <f>IF(OR($ND120=0,$NJ120=0),"",INDEX('DADOS_FORMAS'!$HU$2:$HZ$81,($NJ120-1)*4+IF($MS120=0,1,IF($MS120&lt;=5,2,IF($MS120=6,3,4))),1+MIN(5,$QH120))&amp;INDEX('DADOS_FORMAS'!$IA$2:$IF$81,($NJ120-1)*4+IF($MS120=0,1,IF($MS120&lt;=5,2,IF($MS120=6,3,4))),1+MIN(5,$QI120))&amp;IF(INDEX('DADOS_FORMAS'!$GI$2:$GI$21,$NJ120)=1,IF(COUNTIF($RK120:$RN120,"Mais Um")&gt;0," · +"&amp;COUNTIF($RK120:$RN120,"Mais Um")&amp;IF(COUNTIF($RK120:$RN120,"Mais Um")&gt;1," alvos"," alvo"),"")&amp;IF(COUNTIF($RK120:$RN120,"Rajada")&gt;0,IF($MS120=0," · 1 tiro"," · "&amp;(MAX(1,$MS120-1)+1)&amp;" tiros"),""),""))</f>
        <v/>
      </c>
      <c r="QK120" s="164">
        <f>IF($ND120=0,"",IF($MS120=0,$NG120&amp;"d6"&amp;IF($OU120&gt;0," − 1 = "&amp;$PD120&amp;"d6"," da básica do nível "&amp;$NE120),$PB120&amp;" − "&amp;$OW120&amp;" + "&amp;$OZ120&amp;" = "&amp;$PC120&amp;" · teto "&amp;4*$MS120&amp;"d8"&amp;IF($OF120=1," · a Forma devolve "&amp;$MS120,"")&amp;IF($PA120&gt;0," · perde "&amp;$PA120,"")))</f>
        <v/>
      </c>
      <c r="QL120" s="164">
        <f>IF($ND120=0,"",IF($MS120=0,"A básica não amplia: os dados dela sobem com o nível",IF($MS120&gt;=$NF120,"Já está na maior Classe que o nível liberou",TEXTJOIN(" · ",TRUE,IF(AND(2&gt;$MS120,2&lt;=$NF120),"2 → "&amp;$PN120&amp;", 6 PE",""),IF(AND(3&gt;$MS120,3&lt;=$NF120),"3 → "&amp;$PO120&amp;", 9 PE",""),IF(AND(4&gt;$MS120,4&lt;=$NF120),"4 → "&amp;$PP120&amp;", 12 PE",""),IF(AND(5&gt;$MS120,5&lt;=$NF120),"5 → "&amp;$PQ120&amp;", 15 PE",""),IF(AND(6&gt;$MS120,6&lt;=$NF120),"6 → "&amp;$PR120&amp;", 18 PE",""),IF(AND(7&gt;$MS120,7&lt;=$NF120),"7 → "&amp;$PS120&amp;", 21 PE","")))))</f>
        <v/>
      </c>
      <c r="QM120" s="164">
        <f>IF(OR($ND120=0,$NO120=0),"",IF($MS120=0,"−1 dado","−"&amp;INDEX($I$2:$N$8,MAX(1,$MS120),MAX(1,$NT120))&amp;" · "&amp;CHOOSE(MAX(1,$NT120),"Leve","Média","Pesada","Leve · Livre","Média · Livre","Pesada · Livre")))</f>
        <v/>
      </c>
      <c r="QN120" s="164">
        <f>IF(OR($ND120=0,$NP120=0),"",IF($MS120=0,"−1 dado","−"&amp;INDEX($I$2:$N$8,MAX(1,$MS120),MAX(1,$NU120))&amp;" · "&amp;CHOOSE(MAX(1,$NU120),"Leve","Média","Pesada","Leve · Livre","Média · Livre","Pesada · Livre")))</f>
        <v/>
      </c>
      <c r="QO120" s="164">
        <f>IF(OR($ND120=0,$NQ120=0),"",IF($MS120=0,"−1 dado","−"&amp;INDEX($I$2:$N$8,MAX(1,$MS120),MAX(1,$NV120))&amp;" · "&amp;CHOOSE(MAX(1,$NV120),"Leve","Média","Pesada","Leve · Livre","Média · Livre","Pesada · Livre")))</f>
        <v/>
      </c>
      <c r="QP120" s="164">
        <f>IF(OR($ND120=0,$NR120=0),"",IF($MS120=0,"−1 dado","−"&amp;INDEX($I$2:$N$8,MAX(1,$MS120),MAX(1,$NW120))&amp;" · "&amp;CHOOSE(MAX(1,$NW120),"Leve","Média","Pesada","Leve · Livre","Média · Livre","Pesada · Livre")))</f>
        <v/>
      </c>
      <c r="QQ120" s="164">
        <f>IF(OR($ND120=0,$NB120=""),"",IF($MS120=0,"não devolve","+"&amp;IF($OI120=1,CEILING($MS120/2,1),$MS120)))</f>
        <v/>
      </c>
      <c r="QR120" s="164">
        <f>IF(OR($ND120=0,$NC120=""),"",IF($MS120=0,"não devolve","+"&amp;IF($OJ120=1,CEILING($MS120/2,1),$MS120)))</f>
        <v/>
      </c>
      <c r="RK120">
        <f>IF($MX120="","",IFERROR(VLOOKUP(SUBSTITUTE(SUBSTITUTE(SUBSTITUTE($MX120,"~","~~"),"*","~*"),"?","~?"),'DADOS_MELHORIAS'!$O$2:$X$113,10,FALSE),$MX120))</f>
        <v/>
      </c>
      <c r="RL120">
        <f>IF($MY120="","",IFERROR(VLOOKUP(SUBSTITUTE(SUBSTITUTE(SUBSTITUTE($MY120,"~","~~"),"*","~*"),"?","~?"),'DADOS_MELHORIAS'!$O$2:$X$113,10,FALSE),$MY120))</f>
        <v/>
      </c>
      <c r="RM120">
        <f>IF($MZ120="","",IFERROR(VLOOKUP(SUBSTITUTE(SUBSTITUTE(SUBSTITUTE($MZ120,"~","~~"),"*","~*"),"?","~?"),'DADOS_MELHORIAS'!$O$2:$X$113,10,FALSE),$MZ120))</f>
        <v/>
      </c>
      <c r="RN120">
        <f>IF($NA120="","",IFERROR(VLOOKUP(SUBSTITUTE(SUBSTITUTE(SUBSTITUTE($NA120,"~","~~"),"*","~*"),"?","~?"),'DADOS_MELHORIAS'!$O$2:$X$113,10,FALSE),$NA120))</f>
        <v/>
      </c>
      <c r="RO120">
        <f>IFERROR(INDEX('DADOS_FORMAS'!$BJ$2:$BJ$21,MATCH(SUBSTITUTE(SUBSTITUTE(SUBSTITUTE($MU120,"~","~~"),"*","~*"),"?","~?"),'DADOS_FORMAS'!$AH$2:$AH$21,0)),"")</f>
        <v/>
      </c>
      <c r="RP120">
        <f>IFERROR(VLOOKUP(SUBSTITUTE(SUBSTITUTE(SUBSTITUTE(IFERROR(INDEX('DADOS_FORMAS'!$AS$2:$AS$21,MATCH(SUBSTITUTE(SUBSTITUTE(SUBSTITUTE($MU120,"~","~~"),"*","~*"),"?","~?"),'DADOS_FORMAS'!$AH$2:$AH$21,0)),""),"~","~~"),"*","~*"),"?","~?"),'DADOS_RESTRICOES'!$M$2:$Q$54,2,FALSE),"")</f>
        <v/>
      </c>
      <c r="RQ120">
        <f>$OK120</f>
        <v/>
      </c>
      <c r="RR120">
        <f>$OL120</f>
        <v/>
      </c>
      <c r="RS120">
        <f>$RP120</f>
        <v/>
      </c>
    </row>
    <row r="121">
      <c r="MN121" s="162" t="inlineStr">
        <is>
          <t>Ficha 10 · Especial 2</t>
        </is>
      </c>
      <c r="MO121" s="164" t="n">
        <v>10</v>
      </c>
      <c r="MP121" s="164" t="n">
        <v>1</v>
      </c>
      <c r="MQ121" s="164" t="n">
        <v>4</v>
      </c>
      <c r="MR121" s="162" t="inlineStr">
        <is>
          <t>ESPECIAL 2</t>
        </is>
      </c>
      <c r="MS121" s="164">
        <f>MAX(1,MIN(7,N('INVOCAÇÕES'!$AN$704)))</f>
        <v/>
      </c>
      <c r="MT121" s="164">
        <f>'INVOCAÇÕES'!$AO$704&amp;""</f>
        <v/>
      </c>
      <c r="MU121" s="164">
        <f>'INVOCAÇÕES'!$AN$709&amp;""</f>
        <v/>
      </c>
      <c r="MV121" s="164">
        <f>'INVOCAÇÕES'!$AN$710&amp;""</f>
        <v/>
      </c>
      <c r="MW121" s="164">
        <f>'INVOCAÇÕES'!$AP$710&amp;""</f>
        <v/>
      </c>
      <c r="MX121" s="164">
        <f>'INVOCAÇÕES'!$AO$713&amp;""</f>
        <v/>
      </c>
      <c r="MY121" s="164">
        <f>'INVOCAÇÕES'!$AO$714&amp;""</f>
        <v/>
      </c>
      <c r="MZ121" s="164">
        <f>'INVOCAÇÕES'!$AO$715&amp;""</f>
        <v/>
      </c>
      <c r="NA121" s="164">
        <f>'INVOCAÇÕES'!$AO$716&amp;""</f>
        <v/>
      </c>
      <c r="NB121" s="164">
        <f>'INVOCAÇÕES'!$AO$717&amp;""</f>
        <v/>
      </c>
      <c r="NC121" s="164">
        <f>'INVOCAÇÕES'!$AO$718&amp;""</f>
        <v/>
      </c>
      <c r="ND121" s="164">
        <f>IF($MT121&lt;&gt;"",1,0)</f>
        <v/>
      </c>
      <c r="NE121" s="164">
        <f>INDEX($FO$2:$FO$13,$MO121)</f>
        <v/>
      </c>
      <c r="NF121" s="164">
        <f>INDEX($FP$2:$FP$13,$MO121)</f>
        <v/>
      </c>
      <c r="NG121" s="164">
        <f>INDEX($FQ$2:$FQ$13,$MO121)</f>
        <v/>
      </c>
      <c r="NH121" s="164">
        <f>INDEX($GB$2:$GB$13,$MO121)</f>
        <v/>
      </c>
      <c r="NI121" s="164">
        <f>INDEX($GC$2:$GC$13,$MO121)</f>
        <v/>
      </c>
      <c r="NJ121" s="164">
        <f>IFERROR(MATCH(SUBSTITUTE(SUBSTITUTE(SUBSTITUTE($MU121,"~","~~"),"*","~*"),"?","~?"),'DADOS_FORMAS'!$FZ$2:$FZ$21,0),0)</f>
        <v/>
      </c>
      <c r="NK121" s="164">
        <f>IFERROR(VLOOKUP(SUBSTITUTE(SUBSTITUTE(SUBSTITUTE($MX121,"~","~~"),"*","~*"),"?","~?"),'DADOS_MELHORIAS'!$AG$2:$AL$113,2,FALSE),"")</f>
        <v/>
      </c>
      <c r="NL121" s="164">
        <f>IFERROR(VLOOKUP(SUBSTITUTE(SUBSTITUTE(SUBSTITUTE($MY121,"~","~~"),"*","~*"),"?","~?"),'DADOS_MELHORIAS'!$AG$2:$AL$113,2,FALSE),"")</f>
        <v/>
      </c>
      <c r="NM121" s="164">
        <f>IFERROR(VLOOKUP(SUBSTITUTE(SUBSTITUTE(SUBSTITUTE($MZ121,"~","~~"),"*","~*"),"?","~?"),'DADOS_MELHORIAS'!$AG$2:$AL$113,2,FALSE),"")</f>
        <v/>
      </c>
      <c r="NN121" s="164">
        <f>IFERROR(VLOOKUP(SUBSTITUTE(SUBSTITUTE(SUBSTITUTE($NA121,"~","~~"),"*","~*"),"?","~?"),'DADOS_MELHORIAS'!$AG$2:$AL$113,2,FALSE),"")</f>
        <v/>
      </c>
      <c r="NO121" s="164">
        <f>IFERROR(VLOOKUP(SUBSTITUTE(SUBSTITUTE(SUBSTITUTE($MX121,"~","~~"),"*","~*"),"?","~?"),'DADOS_MELHORIAS'!$AG$2:$AL$113,3,FALSE),0)</f>
        <v/>
      </c>
      <c r="NP121" s="164">
        <f>IFERROR(VLOOKUP(SUBSTITUTE(SUBSTITUTE(SUBSTITUTE($MY121,"~","~~"),"*","~*"),"?","~?"),'DADOS_MELHORIAS'!$AG$2:$AL$113,3,FALSE),0)</f>
        <v/>
      </c>
      <c r="NQ121" s="164">
        <f>IFERROR(VLOOKUP(SUBSTITUTE(SUBSTITUTE(SUBSTITUTE($MZ121,"~","~~"),"*","~*"),"?","~?"),'DADOS_MELHORIAS'!$AG$2:$AL$113,3,FALSE),0)</f>
        <v/>
      </c>
      <c r="NR121" s="164">
        <f>IFERROR(VLOOKUP(SUBSTITUTE(SUBSTITUTE(SUBSTITUTE($NA121,"~","~~"),"*","~*"),"?","~?"),'DADOS_MELHORIAS'!$AG$2:$AL$113,3,FALSE),0)</f>
        <v/>
      </c>
      <c r="NS121" s="164">
        <f>IF($MS121=0,0,IF($NJ121=0,0,INDEX('DADOS_FORMAS'!$GB$2:$GB$21,$NJ121)))</f>
        <v/>
      </c>
      <c r="NT121" s="164">
        <f>IF(OR($NO121=0,$MS121=0),0,$NO121+3*IF(AND($NK121&lt;&gt;"",COUNTIF(INDEX($RB$2:$RJ$13,$MO121,0),$NK121)&gt;0),1,0))</f>
        <v/>
      </c>
      <c r="NU121" s="164">
        <f>IF(OR($NP121=0,$MS121=0),0,$NP121+3*IF(AND($NL121&lt;&gt;"",COUNTIF(INDEX($RB$2:$RJ$13,$MO121,0),$NL121)&gt;0),1,0))</f>
        <v/>
      </c>
      <c r="NV121" s="164">
        <f>IF(OR($NQ121=0,$MS121=0),0,$NQ121+3*IF(AND($NM121&lt;&gt;"",COUNTIF(INDEX($RB$2:$RJ$13,$MO121,0),$NM121)&gt;0),1,0))</f>
        <v/>
      </c>
      <c r="NW121" s="164">
        <f>IF(OR($NR121=0,$MS121=0),0,$NR121+3*IF(AND($NN121&lt;&gt;"",COUNTIF(INDEX($RB$2:$RJ$13,$MO121,0),$NN121)&gt;0),1,0))</f>
        <v/>
      </c>
      <c r="NX121" s="164">
        <f>IF($NJ121=0,0,IF(INDEX('DADOS_FORMAS'!$GA$2:$GA$21,$NJ121)="",0,IF((COUNTIF(INDEX($EL$2:$EP$13,$MO121,0),INDEX('DADOS_FORMAS'!$GA$2:$GA$21,$NJ121))+COUNTIF(INDEX($QV$2:$QY$13,$MO121,0),INDEX('DADOS_FORMAS'!$GA$2:$GA$21,$NJ121)))=0,1,0)))</f>
        <v/>
      </c>
      <c r="NY121" s="164">
        <f>IF(OR($NO121=0,$NK121=""),0,IF((COUNTIF(INDEX($EL$2:$EP$13,$MO121,0),$NK121)+COUNTIF(INDEX($QV$2:$QY$13,$MO121,0),$NK121))=0,1,0))</f>
        <v/>
      </c>
      <c r="NZ121" s="164">
        <f>IF(OR($NP121=0,$NL121=""),0,IF((COUNTIF(INDEX($EL$2:$EP$13,$MO121,0),$NL121)+COUNTIF(INDEX($QV$2:$QY$13,$MO121,0),$NL121))=0,1,0))</f>
        <v/>
      </c>
      <c r="OA121" s="164">
        <f>IF(OR($NQ121=0,$NM121=""),0,IF((COUNTIF(INDEX($EL$2:$EP$13,$MO121,0),$NM121)+COUNTIF(INDEX($QV$2:$QY$13,$MO121,0),$NM121))=0,1,0))</f>
        <v/>
      </c>
      <c r="OB121" s="164">
        <f>IF(OR($NR121=0,$NN121=""),0,IF((COUNTIF(INDEX($EL$2:$EP$13,$MO121,0),$NN121)+COUNTIF(INDEX($QV$2:$QY$13,$MO121,0),$NN121))=0,1,0))</f>
        <v/>
      </c>
      <c r="OC121" s="164">
        <f>IFERROR(VLOOKUP(SUBSTITUTE(SUBSTITUTE(SUBSTITUTE($MX121,"~","~~"),"*","~*"),"?","~?"),'DADOS_MELHORIAS'!$AG$2:$AL$113,4,FALSE),0)+IFERROR(VLOOKUP(SUBSTITUTE(SUBSTITUTE(SUBSTITUTE($MY121,"~","~~"),"*","~*"),"?","~?"),'DADOS_MELHORIAS'!$AG$2:$AL$113,4,FALSE),0)+IFERROR(VLOOKUP(SUBSTITUTE(SUBSTITUTE(SUBSTITUTE($MZ121,"~","~~"),"*","~*"),"?","~?"),'DADOS_MELHORIAS'!$AG$2:$AL$113,4,FALSE),0)+IFERROR(VLOOKUP(SUBSTITUTE(SUBSTITUTE(SUBSTITUTE($NA121,"~","~~"),"*","~*"),"?","~?"),'DADOS_MELHORIAS'!$AG$2:$AL$113,4,FALSE),0)</f>
        <v/>
      </c>
      <c r="OD121" s="164">
        <f>IFERROR(VLOOKUP(SUBSTITUTE(SUBSTITUTE(SUBSTITUTE($MX121,"~","~~"),"*","~*"),"?","~?"),'DADOS_MELHORIAS'!$AG$2:$AL$113,6,FALSE),0)+IFERROR(VLOOKUP(SUBSTITUTE(SUBSTITUTE(SUBSTITUTE($MY121,"~","~~"),"*","~*"),"?","~?"),'DADOS_MELHORIAS'!$AG$2:$AL$113,6,FALSE),0)+IFERROR(VLOOKUP(SUBSTITUTE(SUBSTITUTE(SUBSTITUTE($MZ121,"~","~~"),"*","~*"),"?","~?"),'DADOS_MELHORIAS'!$AG$2:$AL$113,6,FALSE),0)+IFERROR(VLOOKUP(SUBSTITUTE(SUBSTITUTE(SUBSTITUTE($NA121,"~","~~"),"*","~*"),"?","~?"),'DADOS_MELHORIAS'!$AG$2:$AL$113,6,FALSE),0)+IFERROR(N(AND(INDEX('DADOS_FORMAS'!$AO$2:$AO$21,MATCH(SUBSTITUTE(SUBSTITUTE(SUBSTITUTE($MU121,"~","~~"),"*","~*"),"?","~?"),'DADOS_FORMAS'!$AH$2:$AH$21,0))="Acerto",$OH121=1)),0)</f>
        <v/>
      </c>
      <c r="OE121" s="164">
        <f>TEXTJOIN(", ",TRUE,IF(IFERROR(VLOOKUP(SUBSTITUTE(SUBSTITUTE(SUBSTITUTE($MX121,"~","~~"),"*","~*"),"?","~?"),'DADOS_MELHORIAS'!$AG$2:$AL$113,5,FALSE),0)=1,$MX121,""),IF(IFERROR(VLOOKUP(SUBSTITUTE(SUBSTITUTE(SUBSTITUTE($MY121,"~","~~"),"*","~*"),"?","~?"),'DADOS_MELHORIAS'!$AG$2:$AL$113,5,FALSE),0)=1,$MY121,""),IF(IFERROR(VLOOKUP(SUBSTITUTE(SUBSTITUTE(SUBSTITUTE($MZ121,"~","~~"),"*","~*"),"?","~?"),'DADOS_MELHORIAS'!$AG$2:$AL$113,5,FALSE),0)=1,$MZ121,""),IF(IFERROR(VLOOKUP(SUBSTITUTE(SUBSTITUTE(SUBSTITUTE($NA121,"~","~~"),"*","~*"),"?","~?"),'DADOS_MELHORIAS'!$AG$2:$AL$113,5,FALSE),0)=1,$NA121,""))</f>
        <v/>
      </c>
      <c r="OF121" s="164">
        <f>IF($NJ121=0,0,INDEX('DADOS_FORMAS'!$GC$2:$GC$21,$NJ121))</f>
        <v/>
      </c>
      <c r="OG121" s="164">
        <f>IF($NJ121=0,0,INDEX('DADOS_FORMAS'!$GD$2:$GD$21,$NJ121))</f>
        <v/>
      </c>
      <c r="OH121" s="164">
        <f>IF($NJ121=0,0,INDEX('DADOS_FORMAS'!$GF$2:$GF$21,$NJ121))</f>
        <v/>
      </c>
      <c r="OI121" s="164">
        <f>IFERROR(VLOOKUP(SUBSTITUTE(SUBSTITUTE(SUBSTITUTE($NB121,"~","~~"),"*","~*"),"?","~?"),'DADOS_RESTRICOES'!$M$2:$Q$54,3,FALSE),0)</f>
        <v/>
      </c>
      <c r="OJ121" s="164">
        <f>IFERROR(VLOOKUP(SUBSTITUTE(SUBSTITUTE(SUBSTITUTE($NC121,"~","~~"),"*","~*"),"?","~?"),'DADOS_RESTRICOES'!$M$2:$Q$54,3,FALSE),0)</f>
        <v/>
      </c>
      <c r="OK121" s="164">
        <f>IFERROR(VLOOKUP(SUBSTITUTE(SUBSTITUTE(SUBSTITUTE($NB121,"~","~~"),"*","~*"),"?","~?"),'DADOS_RESTRICOES'!$M$2:$Q$54,2,FALSE),"")</f>
        <v/>
      </c>
      <c r="OL121" s="164">
        <f>IFERROR(VLOOKUP(SUBSTITUTE(SUBSTITUTE(SUBSTITUTE($NC121,"~","~~"),"*","~*"),"?","~?"),'DADOS_RESTRICOES'!$M$2:$Q$54,2,FALSE),"")</f>
        <v/>
      </c>
      <c r="OM121" s="164">
        <f>COUNTIF($NS121:$NW121,1)</f>
        <v/>
      </c>
      <c r="ON121" s="164">
        <f>COUNTIF($NS121:$NW121,2)</f>
        <v/>
      </c>
      <c r="OO121" s="164">
        <f>COUNTIF($NS121:$NW121,3)</f>
        <v/>
      </c>
      <c r="OP121" s="164">
        <f>COUNTIF($NS121:$NW121,4)</f>
        <v/>
      </c>
      <c r="OQ121" s="164">
        <f>COUNTIF($NS121:$NW121,5)</f>
        <v/>
      </c>
      <c r="OR121" s="164">
        <f>COUNTIF($NS121:$NW121,6)</f>
        <v/>
      </c>
      <c r="OS121" s="164">
        <f>COUNTIF($OI121:$OJ121,1)+IF(IFERROR(INDEX('DADOS_FORMAS'!$AS$2:$AS$21,MATCH(SUBSTITUTE(SUBSTITUTE(SUBSTITUTE($MU121,"~","~~"),"*","~*"),"?","~?"),'DADOS_FORMAS'!$AH$2:$AH$21,0)),"")="",0,IFERROR(N(VLOOKUP(SUBSTITUTE(SUBSTITUTE(SUBSTITUTE(IFERROR(INDEX('DADOS_FORMAS'!$AS$2:$AS$21,MATCH(SUBSTITUTE(SUBSTITUTE(SUBSTITUTE($MU121,"~","~~"),"*","~*"),"?","~?"),'DADOS_FORMAS'!$AH$2:$AH$21,0)),""),"~","~~"),"*","~*"),"?","~?"),'DADOS_RESTRICOES'!$M$2:$Q$54,3,FALSE)=1),0))</f>
        <v/>
      </c>
      <c r="OT121" s="164">
        <f>COUNTIF($OI121:$OJ121,2)+IF(IFERROR(INDEX('DADOS_FORMAS'!$AS$2:$AS$21,MATCH(SUBSTITUTE(SUBSTITUTE(SUBSTITUTE($MU121,"~","~~"),"*","~*"),"?","~?"),'DADOS_FORMAS'!$AH$2:$AH$21,0)),"")="",0,IFERROR(N(VLOOKUP(SUBSTITUTE(SUBSTITUTE(SUBSTITUTE(IFERROR(INDEX('DADOS_FORMAS'!$AS$2:$AS$21,MATCH(SUBSTITUTE(SUBSTITUTE(SUBSTITUTE($MU121,"~","~~"),"*","~*"),"?","~?"),'DADOS_FORMAS'!$AH$2:$AH$21,0)),""),"~","~~"),"*","~*"),"?","~?"),'DADOS_RESTRICOES'!$M$2:$Q$54,3,FALSE)=2),0))</f>
        <v/>
      </c>
      <c r="OU121" s="164">
        <f>COUNTIF($MX121:$NA121,"?*")</f>
        <v/>
      </c>
      <c r="OV121" s="164">
        <f>COUNTIF($NB121:$NC121,"?*")+$OF121</f>
        <v/>
      </c>
      <c r="OW121" s="164">
        <f>IF($MS121=0,0,SUMPRODUCT($OM121:$OR121,INDEX($I$2:$N$8,MAX(1,$MS121),0)))</f>
        <v/>
      </c>
      <c r="OX121" s="164">
        <f>IF($MS121=0,0,$OS121*CEILING($MS121/2,1)+$OT121*$MS121)</f>
        <v/>
      </c>
      <c r="OY121" s="164">
        <f>MIN(2*$MS121,$OX121)</f>
        <v/>
      </c>
      <c r="OZ121" s="164">
        <f>MIN($OY121,$OW121-IF($NS121=0,0,INDEX($I$2:$N$8,MAX(1,$MS121),$NS121)))</f>
        <v/>
      </c>
      <c r="PA121" s="164">
        <f>$OY121-$OZ121</f>
        <v/>
      </c>
      <c r="PB121" s="164">
        <f>IF($MS121=0,0,INDEX($P$2:$P$8,MAX(1,$MS121)))</f>
        <v/>
      </c>
      <c r="PC121" s="164">
        <f>$PB121-$OW121+$OZ121</f>
        <v/>
      </c>
      <c r="PD121" s="164">
        <f>IF($MS121=0,MAX(0,$NG121-IF(AND($OU121&gt;0,COUNTIF($NB121:$NC121,"?*")=0),1,0)),MAX(0,$PC121))</f>
        <v/>
      </c>
      <c r="PE121" s="164">
        <f>IF($MS121=0,0,(IF(COUNTIF($RK121:$RN121,"Salto")&gt;0,1,0)+IF(COUNTIF($RK121:$RN121,"Queima")&gt;0,1,0)+IF(COUNTIF($RK121:$RN121,"Estilhaço")&gt;0,1,0))*FLOOR($PD121/2,1))</f>
        <v/>
      </c>
      <c r="PF121" s="164">
        <f>MAX(0,2-SUMPRODUCT($OM121:$OR121,$I$2:$N$2)+MIN(2,$OS121*1+$OT121*1,SUMPRODUCT($OM121:$OR121,$I$2:$N$2)-IF($NS121=0,0,INDEX($I$2:$N$2,1,$NS121))))</f>
        <v/>
      </c>
      <c r="PG121" s="164">
        <f>MAX(0,4-SUMPRODUCT($OM121:$OR121,$I$3:$N$3)+MIN(4,$OS121*1+$OT121*2,SUMPRODUCT($OM121:$OR121,$I$3:$N$3)-IF($NS121=0,0,INDEX($I$3:$N$3,1,$NS121))))</f>
        <v/>
      </c>
      <c r="PH121" s="164">
        <f>MAX(0,6-SUMPRODUCT($OM121:$OR121,$I$4:$N$4)+MIN(6,$OS121*2+$OT121*3,SUMPRODUCT($OM121:$OR121,$I$4:$N$4)-IF($NS121=0,0,INDEX($I$4:$N$4,1,$NS121))))</f>
        <v/>
      </c>
      <c r="PI121" s="164">
        <f>MAX(0,9-SUMPRODUCT($OM121:$OR121,$I$5:$N$5)+MIN(8,$OS121*2+$OT121*4,SUMPRODUCT($OM121:$OR121,$I$5:$N$5)-IF($NS121=0,0,INDEX($I$5:$N$5,1,$NS121))))</f>
        <v/>
      </c>
      <c r="PJ121" s="164">
        <f>MAX(0,11-SUMPRODUCT($OM121:$OR121,$I$6:$N$6)+MIN(10,$OS121*3+$OT121*5,SUMPRODUCT($OM121:$OR121,$I$6:$N$6)-IF($NS121=0,0,INDEX($I$6:$N$6,1,$NS121))))</f>
        <v/>
      </c>
      <c r="PK121" s="164">
        <f>MAX(0,13-SUMPRODUCT($OM121:$OR121,$I$7:$N$7)+MIN(12,$OS121*3+$OT121*6,SUMPRODUCT($OM121:$OR121,$I$7:$N$7)-IF($NS121=0,0,INDEX($I$7:$N$7,1,$NS121))))</f>
        <v/>
      </c>
      <c r="PL121" s="164">
        <f>MAX(0,16-SUMPRODUCT($OM121:$OR121,$I$8:$N$8)+MIN(14,$OS121*4+$OT121*7,SUMPRODUCT($OM121:$OR121,$I$8:$N$8)-IF($NS121=0,0,INDEX($I$8:$N$8,1,$NS121))))</f>
        <v/>
      </c>
      <c r="PM121" s="164">
        <f>IF($OG121=2,3*$PF121&amp;" de vida temp.",IF($OG121=3,"sem dano",IF($PF121=0,IF($OG121=1,"sem cura","sem dano"),IF($OG121=1,"cura ","")&amp;$PF121&amp;"d8")))</f>
        <v/>
      </c>
      <c r="PN121" s="164">
        <f>IF($OG121=2,3*$PG121&amp;" de vida temp.",IF($OG121=3,"sem dano",IF($PG121=0,IF($OG121=1,"sem cura","sem dano"),IF($OG121=1,"cura ","")&amp;$PG121&amp;"d8")))</f>
        <v/>
      </c>
      <c r="PO121" s="164">
        <f>IF($OG121=2,3*$PH121&amp;" de vida temp.",IF($OG121=3,"sem dano",IF($PH121=0,IF($OG121=1,"sem cura","sem dano"),IF($OG121=1,"cura ","")&amp;$PH121&amp;"d8")))</f>
        <v/>
      </c>
      <c r="PP121" s="164">
        <f>IF($OG121=2,3*$PI121&amp;" de vida temp.",IF($OG121=3,"sem dano",IF($PI121=0,IF($OG121=1,"sem cura","sem dano"),IF($OG121=1,"cura ","")&amp;$PI121&amp;"d8")))</f>
        <v/>
      </c>
      <c r="PQ121" s="164">
        <f>IF($OG121=2,3*$PJ121&amp;" de vida temp.",IF($OG121=3,"sem dano",IF($PJ121=0,IF($OG121=1,"sem cura","sem dano"),IF($OG121=1,"cura ","")&amp;$PJ121&amp;"d8")))</f>
        <v/>
      </c>
      <c r="PR121" s="164">
        <f>IF($OG121=2,3*$PK121&amp;" de vida temp.",IF($OG121=3,"sem dano",IF($PK121=0,IF($OG121=1,"sem cura","sem dano"),IF($OG121=1,"cura ","")&amp;$PK121&amp;"d8")))</f>
        <v/>
      </c>
      <c r="PS121" s="164">
        <f>IF($OG121=2,3*$PL121&amp;" de vida temp.",IF($OG121=3,"sem dano",IF($PL121=0,IF($OG121=1,"sem cura","sem dano"),IF($OG121=1,"cura ","")&amp;$PL121&amp;"d8")))</f>
        <v/>
      </c>
      <c r="PT121" s="164">
        <f>IF($ND121=0,"",TEXTJOIN(" · ",TRUE,IF($ND121=0,"",TEXTJOIN(" · ",TRUE,IF($ND121=0,"",TEXTJOIN(" · ",TRUE,IF($MQ121&gt;$NE121,"Este lugar abre no nível "&amp;$MQ121,""),IF($MS121&gt;$NF121,"Classe "&amp;$MS121&amp;": o nível "&amp;$NE121&amp;" libera até a "&amp;$NF121,""),IF($NX121=1,"A Forma "&amp;$MU121&amp;" pede "&amp;INDEX('DADOS_FORMAS'!$GA$2:$GA$21,$NJ121)&amp;" aberta",""),IF(AND($MS121=0,$NJ121&gt;0,IF($NJ121=0,0,INDEX('DADOS_FORMAS'!$GJ$2:$GJ$21,$NJ121))=0),$MU121&amp;" não existe na Classe 0",""),IF($NY121=1,"Família Fechada: "&amp;$MX121,""),IF($NZ121=1,"Família Fechada: "&amp;$MY121,""),IF($OA121=1,"Família Fechada: "&amp;$MZ121,""),IF($OB121=1,"Família Fechada: "&amp;$NA121,""),IF(AND($MS121&gt;0,$OU121&gt;INDEX($O$2:$O$8,MAX(1,$MS121))),$OU121&amp;" Melhorias: a Classe "&amp;$MS121&amp;" aceita "&amp;INDEX($O$2:$O$8,MAX(1,$MS121)),""),IF(AND($MS121=0,$OU121&gt;1),"A básica aceita uma Melhoria",""),IF(AND($MS121=0,COUNTIF($NO121:$NR121,"&gt;1")&gt;0),"A básica só aceita Melhoria Leve",""),IF(AND($MS121&gt;0,$OV121&gt;2),$OV121&amp;" Restrições"&amp;IF($OF121=1,", contando a que a Forma "&amp;$MU121&amp;" já traz","")&amp;": o limite é 2",""),IF(AND($MS121=0,COUNTIF($NB121:$NC121,"?*")&gt;1),"A básica aceita uma Restrição Leve",""),IF(AND($MS121=0,COUNTIF($OI121:$OJ121,2)&gt;0),"A básica só aceita Restrição Leve",""),IF(AND($MS121&gt;0,$PC121&lt;0),"Orçamento estourado: faltam "&amp;(-$PC121)&amp;IF($PC121&lt;-1," pontos"," ponto"),""),IF(IFERROR(VLOOKUP(SUBSTITUTE(SUBSTITUTE(SUBSTITUTE($NB121,"~","~~"),"*","~*"),"?","~?"),'DADOS_RESTRICOES'!$M$2:$Q$54,4,FALSE),0)+IFERROR(VLOOKUP(SUBSTITUTE(SUBSTITUTE(SUBSTITUTE($NC121,"~","~~"),"*","~*"),"?","~?"),'DADOS_RESTRICOES'!$M$2:$Q$54,4,FALSE),0)&gt;1,$OK121&amp;" e "&amp;$OL121&amp;" são as duas de frequência",""),IF(AND((COUNTIF($RK121:$RN121,"Rápido")+COUNTIF($OK121:$OL121,"Rápido"))&gt;0,(COUNTIF($MX121:$NA121,"Atrasar")+COUNTIF($OK121:$OL121,"Atrasar"))&gt;0),"Rápido não entra com Atrasar",""),IF(AND((COUNTIF($RK121:$RN121,"Reação")+COUNTIF($OK121:$OL121,"Reação"))&gt;0,(COUNTIF($RK121:$RN121,"Rápido")+COUNTIF($OK121:$OL121,"Rápido"))&gt;0),"Reação não entra com Rápido",""),IF(AND((COUNTIF($RK121:$RN121,"Reação")+COUNTIF($OK121:$OL121,"Reação"))&gt;0,(COUNTIF($RK121:$RN121,"Armado")+COUNTIF($OK121:$OL121,"Armado"))&gt;0),"Reação não entra com Armado",""),IF(AND((COUNTIF($RK121:$RN121,"Reação")+COUNTIF($OK121:$OL121,"Reação"))&gt;0,(COUNTIF($MX121:$NA121,"Atrasar")+COUNTIF($OK121:$OL121,"Atrasar"))&gt;0),"Reação não entra com Atrasar",""),IF(AND((COUNTIF($RK121:$RN121,"Reação")+COUNTIF($OK121:$OL121,"Reação"))&gt;0,(COUNTIF($MX121:$NA121,"Parado")+COUNTIF($OK121:$OL121,"Parado"))&gt;0),"Reação não entra com Parado",""),IF(AND((COUNTIF($MX121:$NA121,"Atrasar")+COUNTIF($OK121:$OL121,"Atrasar"))&gt;0,(COUNTIF($MX121:$NA121,"Parado")+COUNTIF($OK121:$OL121,"Parado"))&gt;0),"Atrasar não entra com Parado",""),IF(AND((COUNTIF($RK121:$RN121,"Armado")+COUNTIF($OK121:$OL121,"Armado"))&gt;0,(COUNTIF($MX121:$NA121,"Carregar")+COUNTIF($OK121:$OL121,"Carregar"))&gt;0),"Armado não entra com Carregar",""),IF(AND(COUNTIF($OK121:$OL121,"Corpo a Corpo")&gt;0,$OF121=0,OR($RO121="Cone",$RO121="Linha")),"Corpo a Corpo não entra em "&amp;$MU121,""),IF(AND(COUNTIF($OK121:$OL121,"Corpo a Corpo")&gt;0,$RP121="Corpo a Corpo"),"A Forma "&amp;$MU121&amp;" já traz o Corpo a Corpo",""),IF(AND(COUNTIF($OK121:$OL121,"Tudo ou Nada")&gt;0,$OH121=0),"Tudo ou Nada só entra em habilidade de Teste de Resistência",""),IF(AND(COUNTIF($RK121:$RN121,"Inescapável")&gt;0,OR($OU121&gt;1,$OV121&gt;0)),"Inescapável não aceita outra peça",""),IF(AND($MS121&gt;0,$PD121*IF(COUNTIF($RK121:$RN121,"Remate")&gt;0,1.25,1)+$PE121&gt;4*$MS121),($PD121*IF(COUNTIF($RK121:$RN121,"Remate")&gt;0,1.25,1)+$PE121)&amp;" dados somando repetições"&amp;IF(COUNTIF($RK121:$RN121,"Remate")&gt;0," e o Remate","")&amp;": o teto da Classe "&amp;$MS121&amp;" é "&amp;4*$MS121,""))),IF(AND($MX121&lt;&gt;"",COUNTIF('DADOS_MELHORIAS'!$O$2:$O$113,SUBSTITUTE(SUBSTITUTE(SUBSTITUTE($MX121,"~","~~"),"*","~*"),"?","~?"))=0),"Melhoria não cadastrada ou com erro: "&amp;$MX121,""),IF(AND($MY121&lt;&gt;"",COUNTIF('DADOS_MELHORIAS'!$O$2:$O$113,SUBSTITUTE(SUBSTITUTE(SUBSTITUTE($MY121,"~","~~"),"*","~*"),"?","~?"))=0),"Melhoria não cadastrada ou com erro: "&amp;$MY121,""),IF(AND($MZ121&lt;&gt;"",COUNTIF('DADOS_MELHORIAS'!$O$2:$O$113,SUBSTITUTE(SUBSTITUTE(SUBSTITUTE($MZ121,"~","~~"),"*","~*"),"?","~?"))=0),"Melhoria não cadastrada ou com erro: "&amp;$MZ121,""),IF(AND($NA121&lt;&gt;"",COUNTIF('DADOS_MELHORIAS'!$O$2:$O$113,SUBSTITUTE(SUBSTITUTE(SUBSTITUTE($NA121,"~","~~"),"*","~*"),"?","~?"))=0),"Melhoria não cadastrada ou com erro: "&amp;$NA121,""),IF(AND($NB121&lt;&gt;"",COUNTIF('DADOS_RESTRICOES'!$M$2:$M$54,SUBSTITUTE(SUBSTITUTE(SUBSTITUTE($NB121,"~","~~"),"*","~*"),"?","~?"))=0),"Restrição não cadastrada ou com erro: "&amp;$NB121,""),IF(AND($NC121&lt;&gt;"",COUNTIF('DADOS_RESTRICOES'!$M$2:$M$54,SUBSTITUTE(SUBSTITUTE(SUBSTITUTE($NC121,"~","~~"),"*","~*"),"?","~?"))=0),"Restrição não cadastrada ou com erro: "&amp;$NC121,""))),IF(AND($MU121&lt;&gt;"",COUNTIF('DADOS_FORMAS'!$AH$2:$AH$21,SUBSTITUTE(SUBSTITUTE(SUBSTITUTE($MU121,"~","~~"),"*","~*"),"?","~?"))=0),"Forma não cadastrada ou com erro: "&amp;$MU121,""),IF(AND(IFERROR(INDEX('DADOS_FORMAS'!$AS$2:$AS$21,MATCH(SUBSTITUTE(SUBSTITUTE(SUBSTITUTE($MU121,"~","~~"),"*","~*"),"?","~?"),'DADOS_FORMAS'!$AH$2:$AH$21,0)),"")&lt;&gt;"",OR(IFERROR(VLOOKUP(SUBSTITUTE(SUBSTITUTE(SUBSTITUTE(IFERROR(INDEX('DADOS_FORMAS'!$AS$2:$AS$21,MATCH(SUBSTITUTE(SUBSTITUTE(SUBSTITUTE($MU121,"~","~~"),"*","~*"),"?","~?"),'DADOS_FORMAS'!$AH$2:$AH$21,0)),""),"~","~~"),"*","~*"),"?","~?"),'DADOS_RESTRICOES'!$M$2:$Q$54,2,FALSE),"")=$OK121,IFERROR(VLOOKUP(SUBSTITUTE(SUBSTITUTE(SUBSTITUTE(IFERROR(INDEX('DADOS_FORMAS'!$AS$2:$AS$21,MATCH(SUBSTITUTE(SUBSTITUTE(SUBSTITUTE($MU121,"~","~~"),"*","~*"),"?","~?"),'DADOS_FORMAS'!$AH$2:$AH$21,0)),""),"~","~~"),"*","~*"),"?","~?"),'DADOS_RESTRICOES'!$M$2:$Q$54,2,FALSE),"")=$OL121)),"Restrição repetida, contando a embutida",""),IF(IF(IFERROR(INDEX('DADOS_FORMAS'!$AS$2:$AS$21,MATCH(SUBSTITUTE(SUBSTITUTE(SUBSTITUTE($MU121,"~","~~"),"*","~*"),"?","~?"),'DADOS_FORMAS'!$AH$2:$AH$21,0)),"")="",0,IFERROR(N(VLOOKUP(SUBSTITUTE(SUBSTITUTE(SUBSTITUTE(IFERROR(INDEX('DADOS_FORMAS'!$AS$2:$AS$21,MATCH(SUBSTITUTE(SUBSTITUTE(SUBSTITUTE($MU121,"~","~~"),"*","~*"),"?","~?"),'DADOS_FORMAS'!$AH$2:$AH$21,0)),""),"~","~~"),"*","~*"),"?","~?"),'DADOS_RESTRICOES'!$M$2:$Q$54,4,FALSE)=1),0))+IF($NB121="",0,IFERROR(N(VLOOKUP(SUBSTITUTE(SUBSTITUTE(SUBSTITUTE($NB121,"~","~~"),"*","~*"),"?","~?"),'DADOS_RESTRICOES'!$M$2:$Q$54,4,FALSE)=1),0))+IF($NC121="",0,IFERROR(N(VLOOKUP(SUBSTITUTE(SUBSTITUTE(SUBSTITUTE($NC121,"~","~~"),"*","~*"),"?","~?"),'DADOS_RESTRICOES'!$M$2:$Q$54,4,FALSE)=1),0))&gt;1,"Duas Restrições de frequência, contando a embutida",""),IF(AND(IFERROR(VLOOKUP(SUBSTITUTE(SUBSTITUTE(SUBSTITUTE(IFERROR(INDEX('DADOS_FORMAS'!$AS$2:$AS$21,MATCH(SUBSTITUTE(SUBSTITUTE(SUBSTITUTE($MU121,"~","~~"),"*","~*"),"?","~?"),'DADOS_FORMAS'!$AH$2:$AH$21,0)),""),"~","~~"),"*","~*"),"?","~?"),'DADOS_RESTRICOES'!$M$2:$Q$54,2,FALSE),"")="Tudo ou Nada",$OH121=0),"Tudo ou Nada exige TR",""),IF(AND(IFERROR(VLOOKUP(SUBSTITUTE(SUBSTITUTE(SUBSTITUTE(IFERROR(INDEX('DADOS_FORMAS'!$AS$2:$AS$21,MATCH(SUBSTITUTE(SUBSTITUTE(SUBSTITUTE($MU121,"~","~~"),"*","~*"),"?","~?"),'DADOS_FORMAS'!$AH$2:$AH$21,0)),""),"~","~~"),"*","~*"),"?","~?"),'DADOS_RESTRICOES'!$M$2:$Q$54,2,FALSE),"")="Corpo a Corpo",OR($RO121="Cone",$RO121="Linha")),"Corpo a Corpo não entra em Cone/Linha","")))</f>
        <v/>
      </c>
      <c r="PU121" s="164">
        <f>IF($PT121="",0,(LEN($PT121)-LEN(SUBSTITUTE($PT121," · ","")))/3+1)</f>
        <v/>
      </c>
      <c r="PV121" s="164">
        <f>IF($ND121=0,"",TEXTJOIN(" · ",TRUE,IF($OX121&gt;2*$MS121,"A devolução parou no teto de "&amp;2*$MS121,""),IF($PA121&gt;0,"Devolução perdida: "&amp;$PA121&amp;IF($PA121&gt;1," pontos"," ponto")&amp;" sem Melhoria para pagar",""),IF(AND($OC121&gt;0,AND($MS121&gt;0,$OG121=0),$PD121=0),"Controle sem dano: uma rodada a mais e CD +2",""),IF(AND($OC121&gt;0,AND($MS121&gt;0,$OG121=0),$PD121&gt;0,$PD121&lt;=$MS121),"Controle com saldo até a Classe: uma rodada a mais",""),IF(AND($MS121&gt;0,$OE121&lt;&gt;""),"Efeito de "&amp;$OE121&amp;" pela Classe "&amp;MAX(1,$MS121-1),"")))</f>
        <v/>
      </c>
      <c r="PW121" s="164">
        <f>IF($PV121="",0,(LEN($PV121)-LEN(SUBSTITUTE($PV121," · ","")))/3+1)</f>
        <v/>
      </c>
      <c r="PX121" s="164">
        <f>IF($ND121=0,IF($OU121+COUNTIF($NB121:$NC121,"?*")&gt;0,"Dê um nome",""),IF($PU121&gt;0,"⚠ "&amp;$PU121&amp;IF($PU121&gt;1," erros"," erro"),IF($PW121&gt;0,"! "&amp;$PW121&amp;IF($PW121&gt;1," avisos"," aviso"),"Na regra")))</f>
        <v/>
      </c>
      <c r="PY121" s="164">
        <f>IF($ND121=0,"",IF($PU121+$PW121=0,"Dentro das regras que a ficha confere",$PT121&amp;IF(AND($PU121&gt;0,$PW121&gt;0)," · ","")&amp;$PV121))</f>
        <v/>
      </c>
      <c r="PZ121" s="164">
        <f>IF($MQ121&gt;$NE121,$MR121&amp;" · ABRE NO NÍVEL "&amp;$MQ121,$MR121)</f>
        <v/>
      </c>
      <c r="QA121" s="164">
        <f>IF($ND121=0,"",IF($MS121=0,"Sem PE",3*$MS121&amp;" PE"))</f>
        <v/>
      </c>
      <c r="QB121" s="164">
        <f>IF($ND121=0,"",IF($MS121=0,"A atuação básica dela",IF(COUNTIF($RQ121:$RS121,"Atrasar")&gt;0,"Sua Ação Completa",IF(COUNTIF($RK121:$RN121,"Rápido")&gt;0,"Sua Bônus",IF(COUNTIF($RK121:$RN121,"Reação")&gt;0,"Sua Reação","Sua Padrão")))&amp;" + a básica dela"&amp;IF(COUNTIF($RK121:$RN121,"Reação")&gt;0," e a coletiva","")&amp;IF(COUNTIF($RQ121:$RS121,"Carregar")&gt;0," · em dois turnos","")))</f>
        <v/>
      </c>
      <c r="QC121" s="164">
        <f>IF($MW121&lt;&gt;"",$MW121,IF($NJ121=0,"",INDEX('DADOS_FORMAS'!$GE$2:$GE$21,$NJ121)))</f>
        <v/>
      </c>
      <c r="QD121" s="164">
        <f>IF(OR($ND121=0,$NJ121=0),"",IF(COUNTIF($RK121:$RN121,"Inescapável")&gt;0,"Automático",IF($QC121="Ataque",IF($NH121="","Ataque","Ataque "&amp;IF(($NH121+2*IF(COUNTIF($RK121:$RN121,"Precisão")&gt;0,1,0))&gt;=0,"+","−")&amp;ABS(($NH121+2*IF(COUNTIF($RK121:$RN121,"Precisão")&gt;0,1,0))))&amp;IF($OD121&gt;0," · TR"&amp;IF($NI121="",""," CD "&amp;$NI121),""),IF(LEFT($QC121,2)="TR",$QC121&amp;IF($NI121="",""," · CD "&amp;$NI121)&amp;IF(COUNTIF($RK121:$RN121,"Certeiro")&gt;0," · metade",""),"Sem rolagem"))))</f>
        <v/>
      </c>
      <c r="QE121" s="164">
        <f>IF(OR($ND121=0,$NJ121=0),"",IF($MS121=0,IF(OR($OG121&gt;=1,$PD121=0),"Sem dano",$PD121&amp;"d6"&amp;IF($MV121="",""," "&amp;$MV121)),IF(OR($OG121&gt;=1,$PD121=0),UPPER(LEFT(INDEX($PM121:$PS121,1,MAX(1,$MS121)),1))&amp;MID(INDEX($PM121:$PS121,1,MAX(1,$MS121)),2,99),UPPER(LEFT(INDEX($PM121:$PS121,1,MAX(1,$MS121)),1))&amp;MID(INDEX($PM121:$PS121,1,MAX(1,$MS121)),2,99)&amp;IF($MV121="",""," "&amp;$MV121)&amp;IF($PE121&gt;0," · +"&amp;$PE121&amp;"d8",""))))</f>
        <v/>
      </c>
      <c r="QF121" s="164">
        <f>COUNTIF($RK121:$RN121,"Longe")+3*COUNTIF($RK121:$RN121,"Muito Longe")</f>
        <v/>
      </c>
      <c r="QG121" s="164">
        <f>COUNTIF($RK121:$RN121,"Maior")+3*COUNTIF($RK121:$RN121,"Muito Maior")</f>
        <v/>
      </c>
      <c r="QH121" s="164">
        <f>IF($NJ121=0,0,CHOOSE(1+INDEX('DADOS_FORMAS'!$GG$2:$GG$21,$NJ121),0,$QF121,$QG121,$QF121+$QG121))</f>
        <v/>
      </c>
      <c r="QI121" s="164">
        <f>IF($NJ121=0,0,CHOOSE(1+INDEX('DADOS_FORMAS'!$GH$2:$GH$21,$NJ121),0,$QF121,$QG121,$QF121+$QG121))</f>
        <v/>
      </c>
      <c r="QJ121" s="164">
        <f>IF(OR($ND121=0,$NJ121=0),"",INDEX('DADOS_FORMAS'!$HU$2:$HZ$81,($NJ121-1)*4+IF($MS121=0,1,IF($MS121&lt;=5,2,IF($MS121=6,3,4))),1+MIN(5,$QH121))&amp;INDEX('DADOS_FORMAS'!$IA$2:$IF$81,($NJ121-1)*4+IF($MS121=0,1,IF($MS121&lt;=5,2,IF($MS121=6,3,4))),1+MIN(5,$QI121))&amp;IF(INDEX('DADOS_FORMAS'!$GI$2:$GI$21,$NJ121)=1,IF(COUNTIF($RK121:$RN121,"Mais Um")&gt;0," · +"&amp;COUNTIF($RK121:$RN121,"Mais Um")&amp;IF(COUNTIF($RK121:$RN121,"Mais Um")&gt;1," alvos"," alvo"),"")&amp;IF(COUNTIF($RK121:$RN121,"Rajada")&gt;0,IF($MS121=0," · 1 tiro"," · "&amp;(MAX(1,$MS121-1)+1)&amp;" tiros"),""),""))</f>
        <v/>
      </c>
      <c r="QK121" s="164">
        <f>IF($ND121=0,"",IF($MS121=0,$NG121&amp;"d6"&amp;IF($OU121&gt;0," − 1 = "&amp;$PD121&amp;"d6"," da básica do nível "&amp;$NE121),$PB121&amp;" − "&amp;$OW121&amp;" + "&amp;$OZ121&amp;" = "&amp;$PC121&amp;" · teto "&amp;4*$MS121&amp;"d8"&amp;IF($OF121=1," · a Forma devolve "&amp;$MS121,"")&amp;IF($PA121&gt;0," · perde "&amp;$PA121,"")))</f>
        <v/>
      </c>
      <c r="QL121" s="164">
        <f>IF($ND121=0,"",IF($MS121=0,"A básica não amplia: os dados dela sobem com o nível",IF($MS121&gt;=$NF121,"Já está na maior Classe que o nível liberou",TEXTJOIN(" · ",TRUE,IF(AND(2&gt;$MS121,2&lt;=$NF121),"2 → "&amp;$PN121&amp;", 6 PE",""),IF(AND(3&gt;$MS121,3&lt;=$NF121),"3 → "&amp;$PO121&amp;", 9 PE",""),IF(AND(4&gt;$MS121,4&lt;=$NF121),"4 → "&amp;$PP121&amp;", 12 PE",""),IF(AND(5&gt;$MS121,5&lt;=$NF121),"5 → "&amp;$PQ121&amp;", 15 PE",""),IF(AND(6&gt;$MS121,6&lt;=$NF121),"6 → "&amp;$PR121&amp;", 18 PE",""),IF(AND(7&gt;$MS121,7&lt;=$NF121),"7 → "&amp;$PS121&amp;", 21 PE","")))))</f>
        <v/>
      </c>
      <c r="QM121" s="164">
        <f>IF(OR($ND121=0,$NO121=0),"",IF($MS121=0,"−1 dado","−"&amp;INDEX($I$2:$N$8,MAX(1,$MS121),MAX(1,$NT121))&amp;" · "&amp;CHOOSE(MAX(1,$NT121),"Leve","Média","Pesada","Leve · Livre","Média · Livre","Pesada · Livre")))</f>
        <v/>
      </c>
      <c r="QN121" s="164">
        <f>IF(OR($ND121=0,$NP121=0),"",IF($MS121=0,"−1 dado","−"&amp;INDEX($I$2:$N$8,MAX(1,$MS121),MAX(1,$NU121))&amp;" · "&amp;CHOOSE(MAX(1,$NU121),"Leve","Média","Pesada","Leve · Livre","Média · Livre","Pesada · Livre")))</f>
        <v/>
      </c>
      <c r="QO121" s="164">
        <f>IF(OR($ND121=0,$NQ121=0),"",IF($MS121=0,"−1 dado","−"&amp;INDEX($I$2:$N$8,MAX(1,$MS121),MAX(1,$NV121))&amp;" · "&amp;CHOOSE(MAX(1,$NV121),"Leve","Média","Pesada","Leve · Livre","Média · Livre","Pesada · Livre")))</f>
        <v/>
      </c>
      <c r="QP121" s="164">
        <f>IF(OR($ND121=0,$NR121=0),"",IF($MS121=0,"−1 dado","−"&amp;INDEX($I$2:$N$8,MAX(1,$MS121),MAX(1,$NW121))&amp;" · "&amp;CHOOSE(MAX(1,$NW121),"Leve","Média","Pesada","Leve · Livre","Média · Livre","Pesada · Livre")))</f>
        <v/>
      </c>
      <c r="QQ121" s="164">
        <f>IF(OR($ND121=0,$NB121=""),"",IF($MS121=0,"não devolve","+"&amp;IF($OI121=1,CEILING($MS121/2,1),$MS121)))</f>
        <v/>
      </c>
      <c r="QR121" s="164">
        <f>IF(OR($ND121=0,$NC121=""),"",IF($MS121=0,"não devolve","+"&amp;IF($OJ121=1,CEILING($MS121/2,1),$MS121)))</f>
        <v/>
      </c>
      <c r="RK121">
        <f>IF($MX121="","",IFERROR(VLOOKUP(SUBSTITUTE(SUBSTITUTE(SUBSTITUTE($MX121,"~","~~"),"*","~*"),"?","~?"),'DADOS_MELHORIAS'!$O$2:$X$113,10,FALSE),$MX121))</f>
        <v/>
      </c>
      <c r="RL121">
        <f>IF($MY121="","",IFERROR(VLOOKUP(SUBSTITUTE(SUBSTITUTE(SUBSTITUTE($MY121,"~","~~"),"*","~*"),"?","~?"),'DADOS_MELHORIAS'!$O$2:$X$113,10,FALSE),$MY121))</f>
        <v/>
      </c>
      <c r="RM121">
        <f>IF($MZ121="","",IFERROR(VLOOKUP(SUBSTITUTE(SUBSTITUTE(SUBSTITUTE($MZ121,"~","~~"),"*","~*"),"?","~?"),'DADOS_MELHORIAS'!$O$2:$X$113,10,FALSE),$MZ121))</f>
        <v/>
      </c>
      <c r="RN121">
        <f>IF($NA121="","",IFERROR(VLOOKUP(SUBSTITUTE(SUBSTITUTE(SUBSTITUTE($NA121,"~","~~"),"*","~*"),"?","~?"),'DADOS_MELHORIAS'!$O$2:$X$113,10,FALSE),$NA121))</f>
        <v/>
      </c>
      <c r="RO121">
        <f>IFERROR(INDEX('DADOS_FORMAS'!$BJ$2:$BJ$21,MATCH(SUBSTITUTE(SUBSTITUTE(SUBSTITUTE($MU121,"~","~~"),"*","~*"),"?","~?"),'DADOS_FORMAS'!$AH$2:$AH$21,0)),"")</f>
        <v/>
      </c>
      <c r="RP121">
        <f>IFERROR(VLOOKUP(SUBSTITUTE(SUBSTITUTE(SUBSTITUTE(IFERROR(INDEX('DADOS_FORMAS'!$AS$2:$AS$21,MATCH(SUBSTITUTE(SUBSTITUTE(SUBSTITUTE($MU121,"~","~~"),"*","~*"),"?","~?"),'DADOS_FORMAS'!$AH$2:$AH$21,0)),""),"~","~~"),"*","~*"),"?","~?"),'DADOS_RESTRICOES'!$M$2:$Q$54,2,FALSE),"")</f>
        <v/>
      </c>
      <c r="RQ121">
        <f>$OK121</f>
        <v/>
      </c>
      <c r="RR121">
        <f>$OL121</f>
        <v/>
      </c>
      <c r="RS121">
        <f>$RP121</f>
        <v/>
      </c>
    </row>
    <row r="122">
      <c r="MN122" s="162" t="inlineStr">
        <is>
          <t>Ficha 10 · Básica 2</t>
        </is>
      </c>
      <c r="MO122" s="164" t="n">
        <v>10</v>
      </c>
      <c r="MP122" s="164" t="n">
        <v>0</v>
      </c>
      <c r="MQ122" s="164" t="n">
        <v>11</v>
      </c>
      <c r="MR122" s="162" t="inlineStr">
        <is>
          <t>BÁSICA 2</t>
        </is>
      </c>
      <c r="MS122" s="164" t="n">
        <v>0</v>
      </c>
      <c r="MT122" s="164">
        <f>'INVOCAÇÕES'!$AC$738&amp;""</f>
        <v/>
      </c>
      <c r="MU122" s="164">
        <f>'INVOCAÇÕES'!$AB$743&amp;""</f>
        <v/>
      </c>
      <c r="MV122" s="164">
        <f>'INVOCAÇÕES'!$AB$744&amp;""</f>
        <v/>
      </c>
      <c r="MW122" s="164">
        <f>'INVOCAÇÕES'!$AD$744&amp;""</f>
        <v/>
      </c>
      <c r="MX122" s="164">
        <f>'INVOCAÇÕES'!$AC$747&amp;""</f>
        <v/>
      </c>
      <c r="MY122" s="164">
        <f>'INVOCAÇÕES'!$AC$748&amp;""</f>
        <v/>
      </c>
      <c r="MZ122" s="164">
        <f>'INVOCAÇÕES'!$AC$749&amp;""</f>
        <v/>
      </c>
      <c r="NA122" s="164">
        <f>'INVOCAÇÕES'!$AC$750&amp;""</f>
        <v/>
      </c>
      <c r="NB122" s="164">
        <f>'INVOCAÇÕES'!$AC$751&amp;""</f>
        <v/>
      </c>
      <c r="NC122" s="164">
        <f>'INVOCAÇÕES'!$AC$752&amp;""</f>
        <v/>
      </c>
      <c r="ND122" s="164">
        <f>IF($MT122&lt;&gt;"",1,0)</f>
        <v/>
      </c>
      <c r="NE122" s="164">
        <f>INDEX($FO$2:$FO$13,$MO122)</f>
        <v/>
      </c>
      <c r="NF122" s="164">
        <f>INDEX($FP$2:$FP$13,$MO122)</f>
        <v/>
      </c>
      <c r="NG122" s="164">
        <f>INDEX($FQ$2:$FQ$13,$MO122)</f>
        <v/>
      </c>
      <c r="NH122" s="164">
        <f>INDEX($GB$2:$GB$13,$MO122)</f>
        <v/>
      </c>
      <c r="NI122" s="164">
        <f>INDEX($GC$2:$GC$13,$MO122)</f>
        <v/>
      </c>
      <c r="NJ122" s="164">
        <f>IFERROR(MATCH(SUBSTITUTE(SUBSTITUTE(SUBSTITUTE($MU122,"~","~~"),"*","~*"),"?","~?"),'DADOS_FORMAS'!$FZ$2:$FZ$21,0),0)</f>
        <v/>
      </c>
      <c r="NK122" s="164">
        <f>IFERROR(VLOOKUP(SUBSTITUTE(SUBSTITUTE(SUBSTITUTE($MX122,"~","~~"),"*","~*"),"?","~?"),'DADOS_MELHORIAS'!$AG$2:$AL$113,2,FALSE),"")</f>
        <v/>
      </c>
      <c r="NL122" s="164">
        <f>IFERROR(VLOOKUP(SUBSTITUTE(SUBSTITUTE(SUBSTITUTE($MY122,"~","~~"),"*","~*"),"?","~?"),'DADOS_MELHORIAS'!$AG$2:$AL$113,2,FALSE),"")</f>
        <v/>
      </c>
      <c r="NM122" s="164">
        <f>IFERROR(VLOOKUP(SUBSTITUTE(SUBSTITUTE(SUBSTITUTE($MZ122,"~","~~"),"*","~*"),"?","~?"),'DADOS_MELHORIAS'!$AG$2:$AL$113,2,FALSE),"")</f>
        <v/>
      </c>
      <c r="NN122" s="164">
        <f>IFERROR(VLOOKUP(SUBSTITUTE(SUBSTITUTE(SUBSTITUTE($NA122,"~","~~"),"*","~*"),"?","~?"),'DADOS_MELHORIAS'!$AG$2:$AL$113,2,FALSE),"")</f>
        <v/>
      </c>
      <c r="NO122" s="164">
        <f>IFERROR(VLOOKUP(SUBSTITUTE(SUBSTITUTE(SUBSTITUTE($MX122,"~","~~"),"*","~*"),"?","~?"),'DADOS_MELHORIAS'!$AG$2:$AL$113,3,FALSE),0)</f>
        <v/>
      </c>
      <c r="NP122" s="164">
        <f>IFERROR(VLOOKUP(SUBSTITUTE(SUBSTITUTE(SUBSTITUTE($MY122,"~","~~"),"*","~*"),"?","~?"),'DADOS_MELHORIAS'!$AG$2:$AL$113,3,FALSE),0)</f>
        <v/>
      </c>
      <c r="NQ122" s="164">
        <f>IFERROR(VLOOKUP(SUBSTITUTE(SUBSTITUTE(SUBSTITUTE($MZ122,"~","~~"),"*","~*"),"?","~?"),'DADOS_MELHORIAS'!$AG$2:$AL$113,3,FALSE),0)</f>
        <v/>
      </c>
      <c r="NR122" s="164">
        <f>IFERROR(VLOOKUP(SUBSTITUTE(SUBSTITUTE(SUBSTITUTE($NA122,"~","~~"),"*","~*"),"?","~?"),'DADOS_MELHORIAS'!$AG$2:$AL$113,3,FALSE),0)</f>
        <v/>
      </c>
      <c r="NS122" s="164">
        <f>IF($MS122=0,0,IF($NJ122=0,0,INDEX('DADOS_FORMAS'!$GB$2:$GB$21,$NJ122)))</f>
        <v/>
      </c>
      <c r="NT122" s="164">
        <f>IF(OR($NO122=0,$MS122=0),0,$NO122+3*IF(AND($NK122&lt;&gt;"",COUNTIF(INDEX($RB$2:$RJ$13,$MO122,0),$NK122)&gt;0),1,0))</f>
        <v/>
      </c>
      <c r="NU122" s="164">
        <f>IF(OR($NP122=0,$MS122=0),0,$NP122+3*IF(AND($NL122&lt;&gt;"",COUNTIF(INDEX($RB$2:$RJ$13,$MO122,0),$NL122)&gt;0),1,0))</f>
        <v/>
      </c>
      <c r="NV122" s="164">
        <f>IF(OR($NQ122=0,$MS122=0),0,$NQ122+3*IF(AND($NM122&lt;&gt;"",COUNTIF(INDEX($RB$2:$RJ$13,$MO122,0),$NM122)&gt;0),1,0))</f>
        <v/>
      </c>
      <c r="NW122" s="164">
        <f>IF(OR($NR122=0,$MS122=0),0,$NR122+3*IF(AND($NN122&lt;&gt;"",COUNTIF(INDEX($RB$2:$RJ$13,$MO122,0),$NN122)&gt;0),1,0))</f>
        <v/>
      </c>
      <c r="NX122" s="164">
        <f>IF($NJ122=0,0,IF(INDEX('DADOS_FORMAS'!$GA$2:$GA$21,$NJ122)="",0,IF((COUNTIF(INDEX($EL$2:$EP$13,$MO122,0),INDEX('DADOS_FORMAS'!$GA$2:$GA$21,$NJ122))+COUNTIF(INDEX($QV$2:$QY$13,$MO122,0),INDEX('DADOS_FORMAS'!$GA$2:$GA$21,$NJ122)))=0,1,0)))</f>
        <v/>
      </c>
      <c r="NY122" s="164">
        <f>IF(OR($NO122=0,$NK122=""),0,IF((COUNTIF(INDEX($EL$2:$EP$13,$MO122,0),$NK122)+COUNTIF(INDEX($QV$2:$QY$13,$MO122,0),$NK122))=0,1,0))</f>
        <v/>
      </c>
      <c r="NZ122" s="164">
        <f>IF(OR($NP122=0,$NL122=""),0,IF((COUNTIF(INDEX($EL$2:$EP$13,$MO122,0),$NL122)+COUNTIF(INDEX($QV$2:$QY$13,$MO122,0),$NL122))=0,1,0))</f>
        <v/>
      </c>
      <c r="OA122" s="164">
        <f>IF(OR($NQ122=0,$NM122=""),0,IF((COUNTIF(INDEX($EL$2:$EP$13,$MO122,0),$NM122)+COUNTIF(INDEX($QV$2:$QY$13,$MO122,0),$NM122))=0,1,0))</f>
        <v/>
      </c>
      <c r="OB122" s="164">
        <f>IF(OR($NR122=0,$NN122=""),0,IF((COUNTIF(INDEX($EL$2:$EP$13,$MO122,0),$NN122)+COUNTIF(INDEX($QV$2:$QY$13,$MO122,0),$NN122))=0,1,0))</f>
        <v/>
      </c>
      <c r="OC122" s="164">
        <f>IFERROR(VLOOKUP(SUBSTITUTE(SUBSTITUTE(SUBSTITUTE($MX122,"~","~~"),"*","~*"),"?","~?"),'DADOS_MELHORIAS'!$AG$2:$AL$113,4,FALSE),0)+IFERROR(VLOOKUP(SUBSTITUTE(SUBSTITUTE(SUBSTITUTE($MY122,"~","~~"),"*","~*"),"?","~?"),'DADOS_MELHORIAS'!$AG$2:$AL$113,4,FALSE),0)+IFERROR(VLOOKUP(SUBSTITUTE(SUBSTITUTE(SUBSTITUTE($MZ122,"~","~~"),"*","~*"),"?","~?"),'DADOS_MELHORIAS'!$AG$2:$AL$113,4,FALSE),0)+IFERROR(VLOOKUP(SUBSTITUTE(SUBSTITUTE(SUBSTITUTE($NA122,"~","~~"),"*","~*"),"?","~?"),'DADOS_MELHORIAS'!$AG$2:$AL$113,4,FALSE),0)</f>
        <v/>
      </c>
      <c r="OD122" s="164">
        <f>IFERROR(VLOOKUP(SUBSTITUTE(SUBSTITUTE(SUBSTITUTE($MX122,"~","~~"),"*","~*"),"?","~?"),'DADOS_MELHORIAS'!$AG$2:$AL$113,6,FALSE),0)+IFERROR(VLOOKUP(SUBSTITUTE(SUBSTITUTE(SUBSTITUTE($MY122,"~","~~"),"*","~*"),"?","~?"),'DADOS_MELHORIAS'!$AG$2:$AL$113,6,FALSE),0)+IFERROR(VLOOKUP(SUBSTITUTE(SUBSTITUTE(SUBSTITUTE($MZ122,"~","~~"),"*","~*"),"?","~?"),'DADOS_MELHORIAS'!$AG$2:$AL$113,6,FALSE),0)+IFERROR(VLOOKUP(SUBSTITUTE(SUBSTITUTE(SUBSTITUTE($NA122,"~","~~"),"*","~*"),"?","~?"),'DADOS_MELHORIAS'!$AG$2:$AL$113,6,FALSE),0)+IFERROR(N(AND(INDEX('DADOS_FORMAS'!$AO$2:$AO$21,MATCH(SUBSTITUTE(SUBSTITUTE(SUBSTITUTE($MU122,"~","~~"),"*","~*"),"?","~?"),'DADOS_FORMAS'!$AH$2:$AH$21,0))="Acerto",$OH122=1)),0)</f>
        <v/>
      </c>
      <c r="OE122" s="164">
        <f>TEXTJOIN(", ",TRUE,IF(IFERROR(VLOOKUP(SUBSTITUTE(SUBSTITUTE(SUBSTITUTE($MX122,"~","~~"),"*","~*"),"?","~?"),'DADOS_MELHORIAS'!$AG$2:$AL$113,5,FALSE),0)=1,$MX122,""),IF(IFERROR(VLOOKUP(SUBSTITUTE(SUBSTITUTE(SUBSTITUTE($MY122,"~","~~"),"*","~*"),"?","~?"),'DADOS_MELHORIAS'!$AG$2:$AL$113,5,FALSE),0)=1,$MY122,""),IF(IFERROR(VLOOKUP(SUBSTITUTE(SUBSTITUTE(SUBSTITUTE($MZ122,"~","~~"),"*","~*"),"?","~?"),'DADOS_MELHORIAS'!$AG$2:$AL$113,5,FALSE),0)=1,$MZ122,""),IF(IFERROR(VLOOKUP(SUBSTITUTE(SUBSTITUTE(SUBSTITUTE($NA122,"~","~~"),"*","~*"),"?","~?"),'DADOS_MELHORIAS'!$AG$2:$AL$113,5,FALSE),0)=1,$NA122,""))</f>
        <v/>
      </c>
      <c r="OF122" s="164">
        <f>IF($NJ122=0,0,INDEX('DADOS_FORMAS'!$GC$2:$GC$21,$NJ122))</f>
        <v/>
      </c>
      <c r="OG122" s="164">
        <f>IF($NJ122=0,0,INDEX('DADOS_FORMAS'!$GD$2:$GD$21,$NJ122))</f>
        <v/>
      </c>
      <c r="OH122" s="164">
        <f>IF($NJ122=0,0,INDEX('DADOS_FORMAS'!$GF$2:$GF$21,$NJ122))</f>
        <v/>
      </c>
      <c r="OI122" s="164">
        <f>IFERROR(VLOOKUP(SUBSTITUTE(SUBSTITUTE(SUBSTITUTE($NB122,"~","~~"),"*","~*"),"?","~?"),'DADOS_RESTRICOES'!$M$2:$Q$54,3,FALSE),0)</f>
        <v/>
      </c>
      <c r="OJ122" s="164">
        <f>IFERROR(VLOOKUP(SUBSTITUTE(SUBSTITUTE(SUBSTITUTE($NC122,"~","~~"),"*","~*"),"?","~?"),'DADOS_RESTRICOES'!$M$2:$Q$54,3,FALSE),0)</f>
        <v/>
      </c>
      <c r="OK122" s="164">
        <f>IFERROR(VLOOKUP(SUBSTITUTE(SUBSTITUTE(SUBSTITUTE($NB122,"~","~~"),"*","~*"),"?","~?"),'DADOS_RESTRICOES'!$M$2:$Q$54,2,FALSE),"")</f>
        <v/>
      </c>
      <c r="OL122" s="164">
        <f>IFERROR(VLOOKUP(SUBSTITUTE(SUBSTITUTE(SUBSTITUTE($NC122,"~","~~"),"*","~*"),"?","~?"),'DADOS_RESTRICOES'!$M$2:$Q$54,2,FALSE),"")</f>
        <v/>
      </c>
      <c r="OM122" s="164">
        <f>COUNTIF($NS122:$NW122,1)</f>
        <v/>
      </c>
      <c r="ON122" s="164">
        <f>COUNTIF($NS122:$NW122,2)</f>
        <v/>
      </c>
      <c r="OO122" s="164">
        <f>COUNTIF($NS122:$NW122,3)</f>
        <v/>
      </c>
      <c r="OP122" s="164">
        <f>COUNTIF($NS122:$NW122,4)</f>
        <v/>
      </c>
      <c r="OQ122" s="164">
        <f>COUNTIF($NS122:$NW122,5)</f>
        <v/>
      </c>
      <c r="OR122" s="164">
        <f>COUNTIF($NS122:$NW122,6)</f>
        <v/>
      </c>
      <c r="OS122" s="164">
        <f>COUNTIF($OI122:$OJ122,1)+IF(IFERROR(INDEX('DADOS_FORMAS'!$AS$2:$AS$21,MATCH(SUBSTITUTE(SUBSTITUTE(SUBSTITUTE($MU122,"~","~~"),"*","~*"),"?","~?"),'DADOS_FORMAS'!$AH$2:$AH$21,0)),"")="",0,IFERROR(N(VLOOKUP(SUBSTITUTE(SUBSTITUTE(SUBSTITUTE(IFERROR(INDEX('DADOS_FORMAS'!$AS$2:$AS$21,MATCH(SUBSTITUTE(SUBSTITUTE(SUBSTITUTE($MU122,"~","~~"),"*","~*"),"?","~?"),'DADOS_FORMAS'!$AH$2:$AH$21,0)),""),"~","~~"),"*","~*"),"?","~?"),'DADOS_RESTRICOES'!$M$2:$Q$54,3,FALSE)=1),0))</f>
        <v/>
      </c>
      <c r="OT122" s="164">
        <f>COUNTIF($OI122:$OJ122,2)+IF(IFERROR(INDEX('DADOS_FORMAS'!$AS$2:$AS$21,MATCH(SUBSTITUTE(SUBSTITUTE(SUBSTITUTE($MU122,"~","~~"),"*","~*"),"?","~?"),'DADOS_FORMAS'!$AH$2:$AH$21,0)),"")="",0,IFERROR(N(VLOOKUP(SUBSTITUTE(SUBSTITUTE(SUBSTITUTE(IFERROR(INDEX('DADOS_FORMAS'!$AS$2:$AS$21,MATCH(SUBSTITUTE(SUBSTITUTE(SUBSTITUTE($MU122,"~","~~"),"*","~*"),"?","~?"),'DADOS_FORMAS'!$AH$2:$AH$21,0)),""),"~","~~"),"*","~*"),"?","~?"),'DADOS_RESTRICOES'!$M$2:$Q$54,3,FALSE)=2),0))</f>
        <v/>
      </c>
      <c r="OU122" s="164">
        <f>COUNTIF($MX122:$NA122,"?*")</f>
        <v/>
      </c>
      <c r="OV122" s="164">
        <f>COUNTIF($NB122:$NC122,"?*")+$OF122</f>
        <v/>
      </c>
      <c r="OW122" s="164">
        <f>IF($MS122=0,0,SUMPRODUCT($OM122:$OR122,INDEX($I$2:$N$8,MAX(1,$MS122),0)))</f>
        <v/>
      </c>
      <c r="OX122" s="164">
        <f>IF($MS122=0,0,$OS122*CEILING($MS122/2,1)+$OT122*$MS122)</f>
        <v/>
      </c>
      <c r="OY122" s="164">
        <f>MIN(2*$MS122,$OX122)</f>
        <v/>
      </c>
      <c r="OZ122" s="164">
        <f>MIN($OY122,$OW122-IF($NS122=0,0,INDEX($I$2:$N$8,MAX(1,$MS122),$NS122)))</f>
        <v/>
      </c>
      <c r="PA122" s="164">
        <f>$OY122-$OZ122</f>
        <v/>
      </c>
      <c r="PB122" s="164">
        <f>IF($MS122=0,0,INDEX($P$2:$P$8,MAX(1,$MS122)))</f>
        <v/>
      </c>
      <c r="PC122" s="164">
        <f>$PB122-$OW122+$OZ122</f>
        <v/>
      </c>
      <c r="PD122" s="164">
        <f>IF($MS122=0,MAX(0,$NG122-IF(AND($OU122&gt;0,COUNTIF($NB122:$NC122,"?*")=0),1,0)),MAX(0,$PC122))</f>
        <v/>
      </c>
      <c r="PE122" s="164">
        <f>IF($MS122=0,0,(IF(COUNTIF($RK122:$RN122,"Salto")&gt;0,1,0)+IF(COUNTIF($RK122:$RN122,"Queima")&gt;0,1,0)+IF(COUNTIF($RK122:$RN122,"Estilhaço")&gt;0,1,0))*FLOOR($PD122/2,1))</f>
        <v/>
      </c>
      <c r="PF122" s="164">
        <f>MAX(0,2-SUMPRODUCT($OM122:$OR122,$I$2:$N$2)+MIN(2,$OS122*1+$OT122*1,SUMPRODUCT($OM122:$OR122,$I$2:$N$2)-IF($NS122=0,0,INDEX($I$2:$N$2,1,$NS122))))</f>
        <v/>
      </c>
      <c r="PG122" s="164">
        <f>MAX(0,4-SUMPRODUCT($OM122:$OR122,$I$3:$N$3)+MIN(4,$OS122*1+$OT122*2,SUMPRODUCT($OM122:$OR122,$I$3:$N$3)-IF($NS122=0,0,INDEX($I$3:$N$3,1,$NS122))))</f>
        <v/>
      </c>
      <c r="PH122" s="164">
        <f>MAX(0,6-SUMPRODUCT($OM122:$OR122,$I$4:$N$4)+MIN(6,$OS122*2+$OT122*3,SUMPRODUCT($OM122:$OR122,$I$4:$N$4)-IF($NS122=0,0,INDEX($I$4:$N$4,1,$NS122))))</f>
        <v/>
      </c>
      <c r="PI122" s="164">
        <f>MAX(0,9-SUMPRODUCT($OM122:$OR122,$I$5:$N$5)+MIN(8,$OS122*2+$OT122*4,SUMPRODUCT($OM122:$OR122,$I$5:$N$5)-IF($NS122=0,0,INDEX($I$5:$N$5,1,$NS122))))</f>
        <v/>
      </c>
      <c r="PJ122" s="164">
        <f>MAX(0,11-SUMPRODUCT($OM122:$OR122,$I$6:$N$6)+MIN(10,$OS122*3+$OT122*5,SUMPRODUCT($OM122:$OR122,$I$6:$N$6)-IF($NS122=0,0,INDEX($I$6:$N$6,1,$NS122))))</f>
        <v/>
      </c>
      <c r="PK122" s="164">
        <f>MAX(0,13-SUMPRODUCT($OM122:$OR122,$I$7:$N$7)+MIN(12,$OS122*3+$OT122*6,SUMPRODUCT($OM122:$OR122,$I$7:$N$7)-IF($NS122=0,0,INDEX($I$7:$N$7,1,$NS122))))</f>
        <v/>
      </c>
      <c r="PL122" s="164">
        <f>MAX(0,16-SUMPRODUCT($OM122:$OR122,$I$8:$N$8)+MIN(14,$OS122*4+$OT122*7,SUMPRODUCT($OM122:$OR122,$I$8:$N$8)-IF($NS122=0,0,INDEX($I$8:$N$8,1,$NS122))))</f>
        <v/>
      </c>
      <c r="PM122" s="164">
        <f>IF($OG122=2,3*$PF122&amp;" de vida temp.",IF($OG122=3,"sem dano",IF($PF122=0,IF($OG122=1,"sem cura","sem dano"),IF($OG122=1,"cura ","")&amp;$PF122&amp;"d8")))</f>
        <v/>
      </c>
      <c r="PN122" s="164">
        <f>IF($OG122=2,3*$PG122&amp;" de vida temp.",IF($OG122=3,"sem dano",IF($PG122=0,IF($OG122=1,"sem cura","sem dano"),IF($OG122=1,"cura ","")&amp;$PG122&amp;"d8")))</f>
        <v/>
      </c>
      <c r="PO122" s="164">
        <f>IF($OG122=2,3*$PH122&amp;" de vida temp.",IF($OG122=3,"sem dano",IF($PH122=0,IF($OG122=1,"sem cura","sem dano"),IF($OG122=1,"cura ","")&amp;$PH122&amp;"d8")))</f>
        <v/>
      </c>
      <c r="PP122" s="164">
        <f>IF($OG122=2,3*$PI122&amp;" de vida temp.",IF($OG122=3,"sem dano",IF($PI122=0,IF($OG122=1,"sem cura","sem dano"),IF($OG122=1,"cura ","")&amp;$PI122&amp;"d8")))</f>
        <v/>
      </c>
      <c r="PQ122" s="164">
        <f>IF($OG122=2,3*$PJ122&amp;" de vida temp.",IF($OG122=3,"sem dano",IF($PJ122=0,IF($OG122=1,"sem cura","sem dano"),IF($OG122=1,"cura ","")&amp;$PJ122&amp;"d8")))</f>
        <v/>
      </c>
      <c r="PR122" s="164">
        <f>IF($OG122=2,3*$PK122&amp;" de vida temp.",IF($OG122=3,"sem dano",IF($PK122=0,IF($OG122=1,"sem cura","sem dano"),IF($OG122=1,"cura ","")&amp;$PK122&amp;"d8")))</f>
        <v/>
      </c>
      <c r="PS122" s="164">
        <f>IF($OG122=2,3*$PL122&amp;" de vida temp.",IF($OG122=3,"sem dano",IF($PL122=0,IF($OG122=1,"sem cura","sem dano"),IF($OG122=1,"cura ","")&amp;$PL122&amp;"d8")))</f>
        <v/>
      </c>
      <c r="PT122" s="164">
        <f>IF($ND122=0,"",TEXTJOIN(" · ",TRUE,IF($ND122=0,"",TEXTJOIN(" · ",TRUE,IF($ND122=0,"",TEXTJOIN(" · ",TRUE,IF($MQ122&gt;$NE122,"Este lugar abre no nível "&amp;$MQ122,""),IF($MS122&gt;$NF122,"Classe "&amp;$MS122&amp;": o nível "&amp;$NE122&amp;" libera até a "&amp;$NF122,""),IF($NX122=1,"A Forma "&amp;$MU122&amp;" pede "&amp;INDEX('DADOS_FORMAS'!$GA$2:$GA$21,$NJ122)&amp;" aberta",""),IF(AND($MS122=0,$NJ122&gt;0,IF($NJ122=0,0,INDEX('DADOS_FORMAS'!$GJ$2:$GJ$21,$NJ122))=0),$MU122&amp;" não existe na Classe 0",""),IF($NY122=1,"Família Fechada: "&amp;$MX122,""),IF($NZ122=1,"Família Fechada: "&amp;$MY122,""),IF($OA122=1,"Família Fechada: "&amp;$MZ122,""),IF($OB122=1,"Família Fechada: "&amp;$NA122,""),IF(AND($MS122&gt;0,$OU122&gt;INDEX($O$2:$O$8,MAX(1,$MS122))),$OU122&amp;" Melhorias: a Classe "&amp;$MS122&amp;" aceita "&amp;INDEX($O$2:$O$8,MAX(1,$MS122)),""),IF(AND($MS122=0,$OU122&gt;1),"A básica aceita uma Melhoria",""),IF(AND($MS122=0,COUNTIF($NO122:$NR122,"&gt;1")&gt;0),"A básica só aceita Melhoria Leve",""),IF(AND($MS122&gt;0,$OV122&gt;2),$OV122&amp;" Restrições"&amp;IF($OF122=1,", contando a que a Forma "&amp;$MU122&amp;" já traz","")&amp;": o limite é 2",""),IF(AND($MS122=0,COUNTIF($NB122:$NC122,"?*")&gt;1),"A básica aceita uma Restrição Leve",""),IF(AND($MS122=0,COUNTIF($OI122:$OJ122,2)&gt;0),"A básica só aceita Restrição Leve",""),IF(AND($MS122&gt;0,$PC122&lt;0),"Orçamento estourado: faltam "&amp;(-$PC122)&amp;IF($PC122&lt;-1," pontos"," ponto"),""),IF(IFERROR(VLOOKUP(SUBSTITUTE(SUBSTITUTE(SUBSTITUTE($NB122,"~","~~"),"*","~*"),"?","~?"),'DADOS_RESTRICOES'!$M$2:$Q$54,4,FALSE),0)+IFERROR(VLOOKUP(SUBSTITUTE(SUBSTITUTE(SUBSTITUTE($NC122,"~","~~"),"*","~*"),"?","~?"),'DADOS_RESTRICOES'!$M$2:$Q$54,4,FALSE),0)&gt;1,$OK122&amp;" e "&amp;$OL122&amp;" são as duas de frequência",""),IF(AND((COUNTIF($RK122:$RN122,"Rápido")+COUNTIF($OK122:$OL122,"Rápido"))&gt;0,(COUNTIF($MX122:$NA122,"Atrasar")+COUNTIF($OK122:$OL122,"Atrasar"))&gt;0),"Rápido não entra com Atrasar",""),IF(AND((COUNTIF($RK122:$RN122,"Reação")+COUNTIF($OK122:$OL122,"Reação"))&gt;0,(COUNTIF($RK122:$RN122,"Rápido")+COUNTIF($OK122:$OL122,"Rápido"))&gt;0),"Reação não entra com Rápido",""),IF(AND((COUNTIF($RK122:$RN122,"Reação")+COUNTIF($OK122:$OL122,"Reação"))&gt;0,(COUNTIF($RK122:$RN122,"Armado")+COUNTIF($OK122:$OL122,"Armado"))&gt;0),"Reação não entra com Armado",""),IF(AND((COUNTIF($RK122:$RN122,"Reação")+COUNTIF($OK122:$OL122,"Reação"))&gt;0,(COUNTIF($MX122:$NA122,"Atrasar")+COUNTIF($OK122:$OL122,"Atrasar"))&gt;0),"Reação não entra com Atrasar",""),IF(AND((COUNTIF($RK122:$RN122,"Reação")+COUNTIF($OK122:$OL122,"Reação"))&gt;0,(COUNTIF($MX122:$NA122,"Parado")+COUNTIF($OK122:$OL122,"Parado"))&gt;0),"Reação não entra com Parado",""),IF(AND((COUNTIF($MX122:$NA122,"Atrasar")+COUNTIF($OK122:$OL122,"Atrasar"))&gt;0,(COUNTIF($MX122:$NA122,"Parado")+COUNTIF($OK122:$OL122,"Parado"))&gt;0),"Atrasar não entra com Parado",""),IF(AND((COUNTIF($RK122:$RN122,"Armado")+COUNTIF($OK122:$OL122,"Armado"))&gt;0,(COUNTIF($MX122:$NA122,"Carregar")+COUNTIF($OK122:$OL122,"Carregar"))&gt;0),"Armado não entra com Carregar",""),IF(AND(COUNTIF($OK122:$OL122,"Corpo a Corpo")&gt;0,$OF122=0,OR($RO122="Cone",$RO122="Linha")),"Corpo a Corpo não entra em "&amp;$MU122,""),IF(AND(COUNTIF($OK122:$OL122,"Corpo a Corpo")&gt;0,$RP122="Corpo a Corpo"),"A Forma "&amp;$MU122&amp;" já traz o Corpo a Corpo",""),IF(AND(COUNTIF($OK122:$OL122,"Tudo ou Nada")&gt;0,$OH122=0),"Tudo ou Nada só entra em habilidade de Teste de Resistência",""),IF(AND(COUNTIF($RK122:$RN122,"Inescapável")&gt;0,OR($OU122&gt;1,$OV122&gt;0)),"Inescapável não aceita outra peça",""),IF(AND($MS122&gt;0,$PD122*IF(COUNTIF($RK122:$RN122,"Remate")&gt;0,1.25,1)+$PE122&gt;4*$MS122),($PD122*IF(COUNTIF($RK122:$RN122,"Remate")&gt;0,1.25,1)+$PE122)&amp;" dados somando repetições"&amp;IF(COUNTIF($RK122:$RN122,"Remate")&gt;0," e o Remate","")&amp;": o teto da Classe "&amp;$MS122&amp;" é "&amp;4*$MS122,""))),IF(AND($MX122&lt;&gt;"",COUNTIF('DADOS_MELHORIAS'!$O$2:$O$113,SUBSTITUTE(SUBSTITUTE(SUBSTITUTE($MX122,"~","~~"),"*","~*"),"?","~?"))=0),"Melhoria não cadastrada ou com erro: "&amp;$MX122,""),IF(AND($MY122&lt;&gt;"",COUNTIF('DADOS_MELHORIAS'!$O$2:$O$113,SUBSTITUTE(SUBSTITUTE(SUBSTITUTE($MY122,"~","~~"),"*","~*"),"?","~?"))=0),"Melhoria não cadastrada ou com erro: "&amp;$MY122,""),IF(AND($MZ122&lt;&gt;"",COUNTIF('DADOS_MELHORIAS'!$O$2:$O$113,SUBSTITUTE(SUBSTITUTE(SUBSTITUTE($MZ122,"~","~~"),"*","~*"),"?","~?"))=0),"Melhoria não cadastrada ou com erro: "&amp;$MZ122,""),IF(AND($NA122&lt;&gt;"",COUNTIF('DADOS_MELHORIAS'!$O$2:$O$113,SUBSTITUTE(SUBSTITUTE(SUBSTITUTE($NA122,"~","~~"),"*","~*"),"?","~?"))=0),"Melhoria não cadastrada ou com erro: "&amp;$NA122,""),IF(AND($NB122&lt;&gt;"",COUNTIF('DADOS_RESTRICOES'!$M$2:$M$54,SUBSTITUTE(SUBSTITUTE(SUBSTITUTE($NB122,"~","~~"),"*","~*"),"?","~?"))=0),"Restrição não cadastrada ou com erro: "&amp;$NB122,""),IF(AND($NC122&lt;&gt;"",COUNTIF('DADOS_RESTRICOES'!$M$2:$M$54,SUBSTITUTE(SUBSTITUTE(SUBSTITUTE($NC122,"~","~~"),"*","~*"),"?","~?"))=0),"Restrição não cadastrada ou com erro: "&amp;$NC122,""))),IF(AND($MU122&lt;&gt;"",COUNTIF('DADOS_FORMAS'!$AH$2:$AH$21,SUBSTITUTE(SUBSTITUTE(SUBSTITUTE($MU122,"~","~~"),"*","~*"),"?","~?"))=0),"Forma não cadastrada ou com erro: "&amp;$MU122,""),IF(AND(IFERROR(INDEX('DADOS_FORMAS'!$AS$2:$AS$21,MATCH(SUBSTITUTE(SUBSTITUTE(SUBSTITUTE($MU122,"~","~~"),"*","~*"),"?","~?"),'DADOS_FORMAS'!$AH$2:$AH$21,0)),"")&lt;&gt;"",OR(IFERROR(VLOOKUP(SUBSTITUTE(SUBSTITUTE(SUBSTITUTE(IFERROR(INDEX('DADOS_FORMAS'!$AS$2:$AS$21,MATCH(SUBSTITUTE(SUBSTITUTE(SUBSTITUTE($MU122,"~","~~"),"*","~*"),"?","~?"),'DADOS_FORMAS'!$AH$2:$AH$21,0)),""),"~","~~"),"*","~*"),"?","~?"),'DADOS_RESTRICOES'!$M$2:$Q$54,2,FALSE),"")=$OK122,IFERROR(VLOOKUP(SUBSTITUTE(SUBSTITUTE(SUBSTITUTE(IFERROR(INDEX('DADOS_FORMAS'!$AS$2:$AS$21,MATCH(SUBSTITUTE(SUBSTITUTE(SUBSTITUTE($MU122,"~","~~"),"*","~*"),"?","~?"),'DADOS_FORMAS'!$AH$2:$AH$21,0)),""),"~","~~"),"*","~*"),"?","~?"),'DADOS_RESTRICOES'!$M$2:$Q$54,2,FALSE),"")=$OL122)),"Restrição repetida, contando a embutida",""),IF(IF(IFERROR(INDEX('DADOS_FORMAS'!$AS$2:$AS$21,MATCH(SUBSTITUTE(SUBSTITUTE(SUBSTITUTE($MU122,"~","~~"),"*","~*"),"?","~?"),'DADOS_FORMAS'!$AH$2:$AH$21,0)),"")="",0,IFERROR(N(VLOOKUP(SUBSTITUTE(SUBSTITUTE(SUBSTITUTE(IFERROR(INDEX('DADOS_FORMAS'!$AS$2:$AS$21,MATCH(SUBSTITUTE(SUBSTITUTE(SUBSTITUTE($MU122,"~","~~"),"*","~*"),"?","~?"),'DADOS_FORMAS'!$AH$2:$AH$21,0)),""),"~","~~"),"*","~*"),"?","~?"),'DADOS_RESTRICOES'!$M$2:$Q$54,4,FALSE)=1),0))+IF($NB122="",0,IFERROR(N(VLOOKUP(SUBSTITUTE(SUBSTITUTE(SUBSTITUTE($NB122,"~","~~"),"*","~*"),"?","~?"),'DADOS_RESTRICOES'!$M$2:$Q$54,4,FALSE)=1),0))+IF($NC122="",0,IFERROR(N(VLOOKUP(SUBSTITUTE(SUBSTITUTE(SUBSTITUTE($NC122,"~","~~"),"*","~*"),"?","~?"),'DADOS_RESTRICOES'!$M$2:$Q$54,4,FALSE)=1),0))&gt;1,"Duas Restrições de frequência, contando a embutida",""),IF(AND(IFERROR(VLOOKUP(SUBSTITUTE(SUBSTITUTE(SUBSTITUTE(IFERROR(INDEX('DADOS_FORMAS'!$AS$2:$AS$21,MATCH(SUBSTITUTE(SUBSTITUTE(SUBSTITUTE($MU122,"~","~~"),"*","~*"),"?","~?"),'DADOS_FORMAS'!$AH$2:$AH$21,0)),""),"~","~~"),"*","~*"),"?","~?"),'DADOS_RESTRICOES'!$M$2:$Q$54,2,FALSE),"")="Tudo ou Nada",$OH122=0),"Tudo ou Nada exige TR",""),IF(AND(IFERROR(VLOOKUP(SUBSTITUTE(SUBSTITUTE(SUBSTITUTE(IFERROR(INDEX('DADOS_FORMAS'!$AS$2:$AS$21,MATCH(SUBSTITUTE(SUBSTITUTE(SUBSTITUTE($MU122,"~","~~"),"*","~*"),"?","~?"),'DADOS_FORMAS'!$AH$2:$AH$21,0)),""),"~","~~"),"*","~*"),"?","~?"),'DADOS_RESTRICOES'!$M$2:$Q$54,2,FALSE),"")="Corpo a Corpo",OR($RO122="Cone",$RO122="Linha")),"Corpo a Corpo não entra em Cone/Linha","")))</f>
        <v/>
      </c>
      <c r="PU122" s="164">
        <f>IF($PT122="",0,(LEN($PT122)-LEN(SUBSTITUTE($PT122," · ","")))/3+1)</f>
        <v/>
      </c>
      <c r="PV122" s="164">
        <f>IF($ND122=0,"",TEXTJOIN(" · ",TRUE,IF($OX122&gt;2*$MS122,"A devolução parou no teto de "&amp;2*$MS122,""),IF($PA122&gt;0,"Devolução perdida: "&amp;$PA122&amp;IF($PA122&gt;1," pontos"," ponto")&amp;" sem Melhoria para pagar",""),IF(AND($OC122&gt;0,AND($MS122&gt;0,$OG122=0),$PD122=0),"Controle sem dano: uma rodada a mais e CD +2",""),IF(AND($OC122&gt;0,AND($MS122&gt;0,$OG122=0),$PD122&gt;0,$PD122&lt;=$MS122),"Controle com saldo até a Classe: uma rodada a mais",""),IF(AND($MS122&gt;0,$OE122&lt;&gt;""),"Efeito de "&amp;$OE122&amp;" pela Classe "&amp;MAX(1,$MS122-1),"")))</f>
        <v/>
      </c>
      <c r="PW122" s="164">
        <f>IF($PV122="",0,(LEN($PV122)-LEN(SUBSTITUTE($PV122," · ","")))/3+1)</f>
        <v/>
      </c>
      <c r="PX122" s="164">
        <f>IF($ND122=0,IF($OU122+COUNTIF($NB122:$NC122,"?*")&gt;0,"Dê um nome",""),IF($PU122&gt;0,"⚠ "&amp;$PU122&amp;IF($PU122&gt;1," erros"," erro"),IF($PW122&gt;0,"! "&amp;$PW122&amp;IF($PW122&gt;1," avisos"," aviso"),"Na regra")))</f>
        <v/>
      </c>
      <c r="PY122" s="164">
        <f>IF($ND122=0,"",IF($PU122+$PW122=0,"Dentro das regras que a ficha confere",$PT122&amp;IF(AND($PU122&gt;0,$PW122&gt;0)," · ","")&amp;$PV122))</f>
        <v/>
      </c>
      <c r="PZ122" s="164">
        <f>IF($MQ122&gt;$NE122,$MR122&amp;" · ABRE NO NÍVEL "&amp;$MQ122,$MR122)</f>
        <v/>
      </c>
      <c r="QA122" s="164">
        <f>IF($ND122=0,"",IF($MS122=0,"Sem PE",3*$MS122&amp;" PE"))</f>
        <v/>
      </c>
      <c r="QB122" s="164">
        <f>IF($ND122=0,"",IF($MS122=0,"A atuação básica dela",IF(COUNTIF($RQ122:$RS122,"Atrasar")&gt;0,"Sua Ação Completa",IF(COUNTIF($RK122:$RN122,"Rápido")&gt;0,"Sua Bônus",IF(COUNTIF($RK122:$RN122,"Reação")&gt;0,"Sua Reação","Sua Padrão")))&amp;" + a básica dela"&amp;IF(COUNTIF($RK122:$RN122,"Reação")&gt;0," e a coletiva","")&amp;IF(COUNTIF($RQ122:$RS122,"Carregar")&gt;0," · em dois turnos","")))</f>
        <v/>
      </c>
      <c r="QC122" s="164">
        <f>IF($MW122&lt;&gt;"",$MW122,IF($NJ122=0,"",INDEX('DADOS_FORMAS'!$GE$2:$GE$21,$NJ122)))</f>
        <v/>
      </c>
      <c r="QD122" s="164">
        <f>IF(OR($ND122=0,$NJ122=0),"",IF(COUNTIF($RK122:$RN122,"Inescapável")&gt;0,"Automático",IF($QC122="Ataque",IF($NH122="","Ataque","Ataque "&amp;IF(($NH122+2*IF(COUNTIF($RK122:$RN122,"Precisão")&gt;0,1,0))&gt;=0,"+","−")&amp;ABS(($NH122+2*IF(COUNTIF($RK122:$RN122,"Precisão")&gt;0,1,0))))&amp;IF($OD122&gt;0," · TR"&amp;IF($NI122="",""," CD "&amp;$NI122),""),IF(LEFT($QC122,2)="TR",$QC122&amp;IF($NI122="",""," · CD "&amp;$NI122)&amp;IF(COUNTIF($RK122:$RN122,"Certeiro")&gt;0," · metade",""),"Sem rolagem"))))</f>
        <v/>
      </c>
      <c r="QE122" s="164">
        <f>IF(OR($ND122=0,$NJ122=0),"",IF($MS122=0,IF(OR($OG122&gt;=1,$PD122=0),"Sem dano",$PD122&amp;"d6"&amp;IF($MV122="",""," "&amp;$MV122)),IF(OR($OG122&gt;=1,$PD122=0),UPPER(LEFT(INDEX($PM122:$PS122,1,MAX(1,$MS122)),1))&amp;MID(INDEX($PM122:$PS122,1,MAX(1,$MS122)),2,99),UPPER(LEFT(INDEX($PM122:$PS122,1,MAX(1,$MS122)),1))&amp;MID(INDEX($PM122:$PS122,1,MAX(1,$MS122)),2,99)&amp;IF($MV122="",""," "&amp;$MV122)&amp;IF($PE122&gt;0," · +"&amp;$PE122&amp;"d8",""))))</f>
        <v/>
      </c>
      <c r="QF122" s="164">
        <f>COUNTIF($RK122:$RN122,"Longe")+3*COUNTIF($RK122:$RN122,"Muito Longe")</f>
        <v/>
      </c>
      <c r="QG122" s="164">
        <f>COUNTIF($RK122:$RN122,"Maior")+3*COUNTIF($RK122:$RN122,"Muito Maior")</f>
        <v/>
      </c>
      <c r="QH122" s="164">
        <f>IF($NJ122=0,0,CHOOSE(1+INDEX('DADOS_FORMAS'!$GG$2:$GG$21,$NJ122),0,$QF122,$QG122,$QF122+$QG122))</f>
        <v/>
      </c>
      <c r="QI122" s="164">
        <f>IF($NJ122=0,0,CHOOSE(1+INDEX('DADOS_FORMAS'!$GH$2:$GH$21,$NJ122),0,$QF122,$QG122,$QF122+$QG122))</f>
        <v/>
      </c>
      <c r="QJ122" s="164">
        <f>IF(OR($ND122=0,$NJ122=0),"",INDEX('DADOS_FORMAS'!$HU$2:$HZ$81,($NJ122-1)*4+IF($MS122=0,1,IF($MS122&lt;=5,2,IF($MS122=6,3,4))),1+MIN(5,$QH122))&amp;INDEX('DADOS_FORMAS'!$IA$2:$IF$81,($NJ122-1)*4+IF($MS122=0,1,IF($MS122&lt;=5,2,IF($MS122=6,3,4))),1+MIN(5,$QI122))&amp;IF(INDEX('DADOS_FORMAS'!$GI$2:$GI$21,$NJ122)=1,IF(COUNTIF($RK122:$RN122,"Mais Um")&gt;0," · +"&amp;COUNTIF($RK122:$RN122,"Mais Um")&amp;IF(COUNTIF($RK122:$RN122,"Mais Um")&gt;1," alvos"," alvo"),"")&amp;IF(COUNTIF($RK122:$RN122,"Rajada")&gt;0,IF($MS122=0," · 1 tiro"," · "&amp;(MAX(1,$MS122-1)+1)&amp;" tiros"),""),""))</f>
        <v/>
      </c>
      <c r="QK122" s="164">
        <f>IF($ND122=0,"",IF($MS122=0,$NG122&amp;"d6"&amp;IF($OU122&gt;0," − 1 = "&amp;$PD122&amp;"d6"," da básica do nível "&amp;$NE122),$PB122&amp;" − "&amp;$OW122&amp;" + "&amp;$OZ122&amp;" = "&amp;$PC122&amp;" · teto "&amp;4*$MS122&amp;"d8"&amp;IF($OF122=1," · a Forma devolve "&amp;$MS122,"")&amp;IF($PA122&gt;0," · perde "&amp;$PA122,"")))</f>
        <v/>
      </c>
      <c r="QL122" s="164">
        <f>IF($ND122=0,"",IF($MS122=0,"A básica não amplia: os dados dela sobem com o nível",IF($MS122&gt;=$NF122,"Já está na maior Classe que o nível liberou",TEXTJOIN(" · ",TRUE,IF(AND(2&gt;$MS122,2&lt;=$NF122),"2 → "&amp;$PN122&amp;", 6 PE",""),IF(AND(3&gt;$MS122,3&lt;=$NF122),"3 → "&amp;$PO122&amp;", 9 PE",""),IF(AND(4&gt;$MS122,4&lt;=$NF122),"4 → "&amp;$PP122&amp;", 12 PE",""),IF(AND(5&gt;$MS122,5&lt;=$NF122),"5 → "&amp;$PQ122&amp;", 15 PE",""),IF(AND(6&gt;$MS122,6&lt;=$NF122),"6 → "&amp;$PR122&amp;", 18 PE",""),IF(AND(7&gt;$MS122,7&lt;=$NF122),"7 → "&amp;$PS122&amp;", 21 PE","")))))</f>
        <v/>
      </c>
      <c r="QM122" s="164">
        <f>IF(OR($ND122=0,$NO122=0),"",IF($MS122=0,"−1 dado","−"&amp;INDEX($I$2:$N$8,MAX(1,$MS122),MAX(1,$NT122))&amp;" · "&amp;CHOOSE(MAX(1,$NT122),"Leve","Média","Pesada","Leve · Livre","Média · Livre","Pesada · Livre")))</f>
        <v/>
      </c>
      <c r="QN122" s="164">
        <f>IF(OR($ND122=0,$NP122=0),"",IF($MS122=0,"−1 dado","−"&amp;INDEX($I$2:$N$8,MAX(1,$MS122),MAX(1,$NU122))&amp;" · "&amp;CHOOSE(MAX(1,$NU122),"Leve","Média","Pesada","Leve · Livre","Média · Livre","Pesada · Livre")))</f>
        <v/>
      </c>
      <c r="QO122" s="164">
        <f>IF(OR($ND122=0,$NQ122=0),"",IF($MS122=0,"−1 dado","−"&amp;INDEX($I$2:$N$8,MAX(1,$MS122),MAX(1,$NV122))&amp;" · "&amp;CHOOSE(MAX(1,$NV122),"Leve","Média","Pesada","Leve · Livre","Média · Livre","Pesada · Livre")))</f>
        <v/>
      </c>
      <c r="QP122" s="164">
        <f>IF(OR($ND122=0,$NR122=0),"",IF($MS122=0,"−1 dado","−"&amp;INDEX($I$2:$N$8,MAX(1,$MS122),MAX(1,$NW122))&amp;" · "&amp;CHOOSE(MAX(1,$NW122),"Leve","Média","Pesada","Leve · Livre","Média · Livre","Pesada · Livre")))</f>
        <v/>
      </c>
      <c r="QQ122" s="164">
        <f>IF(OR($ND122=0,$NB122=""),"",IF($MS122=0,"não devolve","+"&amp;IF($OI122=1,CEILING($MS122/2,1),$MS122)))</f>
        <v/>
      </c>
      <c r="QR122" s="164">
        <f>IF(OR($ND122=0,$NC122=""),"",IF($MS122=0,"não devolve","+"&amp;IF($OJ122=1,CEILING($MS122/2,1),$MS122)))</f>
        <v/>
      </c>
      <c r="RK122">
        <f>IF($MX122="","",IFERROR(VLOOKUP(SUBSTITUTE(SUBSTITUTE(SUBSTITUTE($MX122,"~","~~"),"*","~*"),"?","~?"),'DADOS_MELHORIAS'!$O$2:$X$113,10,FALSE),$MX122))</f>
        <v/>
      </c>
      <c r="RL122">
        <f>IF($MY122="","",IFERROR(VLOOKUP(SUBSTITUTE(SUBSTITUTE(SUBSTITUTE($MY122,"~","~~"),"*","~*"),"?","~?"),'DADOS_MELHORIAS'!$O$2:$X$113,10,FALSE),$MY122))</f>
        <v/>
      </c>
      <c r="RM122">
        <f>IF($MZ122="","",IFERROR(VLOOKUP(SUBSTITUTE(SUBSTITUTE(SUBSTITUTE($MZ122,"~","~~"),"*","~*"),"?","~?"),'DADOS_MELHORIAS'!$O$2:$X$113,10,FALSE),$MZ122))</f>
        <v/>
      </c>
      <c r="RN122">
        <f>IF($NA122="","",IFERROR(VLOOKUP(SUBSTITUTE(SUBSTITUTE(SUBSTITUTE($NA122,"~","~~"),"*","~*"),"?","~?"),'DADOS_MELHORIAS'!$O$2:$X$113,10,FALSE),$NA122))</f>
        <v/>
      </c>
      <c r="RO122">
        <f>IFERROR(INDEX('DADOS_FORMAS'!$BJ$2:$BJ$21,MATCH(SUBSTITUTE(SUBSTITUTE(SUBSTITUTE($MU122,"~","~~"),"*","~*"),"?","~?"),'DADOS_FORMAS'!$AH$2:$AH$21,0)),"")</f>
        <v/>
      </c>
      <c r="RP122">
        <f>IFERROR(VLOOKUP(SUBSTITUTE(SUBSTITUTE(SUBSTITUTE(IFERROR(INDEX('DADOS_FORMAS'!$AS$2:$AS$21,MATCH(SUBSTITUTE(SUBSTITUTE(SUBSTITUTE($MU122,"~","~~"),"*","~*"),"?","~?"),'DADOS_FORMAS'!$AH$2:$AH$21,0)),""),"~","~~"),"*","~*"),"?","~?"),'DADOS_RESTRICOES'!$M$2:$Q$54,2,FALSE),"")</f>
        <v/>
      </c>
      <c r="RQ122">
        <f>$OK122</f>
        <v/>
      </c>
      <c r="RR122">
        <f>$OL122</f>
        <v/>
      </c>
      <c r="RS122">
        <f>$RP122</f>
        <v/>
      </c>
    </row>
    <row r="123">
      <c r="MN123" s="162" t="inlineStr">
        <is>
          <t>Ficha 10 · Especial 3</t>
        </is>
      </c>
      <c r="MO123" s="164" t="n">
        <v>10</v>
      </c>
      <c r="MP123" s="164" t="n">
        <v>1</v>
      </c>
      <c r="MQ123" s="164" t="n">
        <v>8</v>
      </c>
      <c r="MR123" s="162" t="inlineStr">
        <is>
          <t>ESPECIAL 3</t>
        </is>
      </c>
      <c r="MS123" s="164">
        <f>MAX(1,MIN(7,N('INVOCAÇÕES'!$AH$738)))</f>
        <v/>
      </c>
      <c r="MT123" s="164">
        <f>'INVOCAÇÕES'!$AI$738&amp;""</f>
        <v/>
      </c>
      <c r="MU123" s="164">
        <f>'INVOCAÇÕES'!$AH$743&amp;""</f>
        <v/>
      </c>
      <c r="MV123" s="164">
        <f>'INVOCAÇÕES'!$AH$744&amp;""</f>
        <v/>
      </c>
      <c r="MW123" s="164">
        <f>'INVOCAÇÕES'!$AJ$744&amp;""</f>
        <v/>
      </c>
      <c r="MX123" s="164">
        <f>'INVOCAÇÕES'!$AI$747&amp;""</f>
        <v/>
      </c>
      <c r="MY123" s="164">
        <f>'INVOCAÇÕES'!$AI$748&amp;""</f>
        <v/>
      </c>
      <c r="MZ123" s="164">
        <f>'INVOCAÇÕES'!$AI$749&amp;""</f>
        <v/>
      </c>
      <c r="NA123" s="164">
        <f>'INVOCAÇÕES'!$AI$750&amp;""</f>
        <v/>
      </c>
      <c r="NB123" s="164">
        <f>'INVOCAÇÕES'!$AI$751&amp;""</f>
        <v/>
      </c>
      <c r="NC123" s="164">
        <f>'INVOCAÇÕES'!$AI$752&amp;""</f>
        <v/>
      </c>
      <c r="ND123" s="164">
        <f>IF($MT123&lt;&gt;"",1,0)</f>
        <v/>
      </c>
      <c r="NE123" s="164">
        <f>INDEX($FO$2:$FO$13,$MO123)</f>
        <v/>
      </c>
      <c r="NF123" s="164">
        <f>INDEX($FP$2:$FP$13,$MO123)</f>
        <v/>
      </c>
      <c r="NG123" s="164">
        <f>INDEX($FQ$2:$FQ$13,$MO123)</f>
        <v/>
      </c>
      <c r="NH123" s="164">
        <f>INDEX($GB$2:$GB$13,$MO123)</f>
        <v/>
      </c>
      <c r="NI123" s="164">
        <f>INDEX($GC$2:$GC$13,$MO123)</f>
        <v/>
      </c>
      <c r="NJ123" s="164">
        <f>IFERROR(MATCH(SUBSTITUTE(SUBSTITUTE(SUBSTITUTE($MU123,"~","~~"),"*","~*"),"?","~?"),'DADOS_FORMAS'!$FZ$2:$FZ$21,0),0)</f>
        <v/>
      </c>
      <c r="NK123" s="164">
        <f>IFERROR(VLOOKUP(SUBSTITUTE(SUBSTITUTE(SUBSTITUTE($MX123,"~","~~"),"*","~*"),"?","~?"),'DADOS_MELHORIAS'!$AG$2:$AL$113,2,FALSE),"")</f>
        <v/>
      </c>
      <c r="NL123" s="164">
        <f>IFERROR(VLOOKUP(SUBSTITUTE(SUBSTITUTE(SUBSTITUTE($MY123,"~","~~"),"*","~*"),"?","~?"),'DADOS_MELHORIAS'!$AG$2:$AL$113,2,FALSE),"")</f>
        <v/>
      </c>
      <c r="NM123" s="164">
        <f>IFERROR(VLOOKUP(SUBSTITUTE(SUBSTITUTE(SUBSTITUTE($MZ123,"~","~~"),"*","~*"),"?","~?"),'DADOS_MELHORIAS'!$AG$2:$AL$113,2,FALSE),"")</f>
        <v/>
      </c>
      <c r="NN123" s="164">
        <f>IFERROR(VLOOKUP(SUBSTITUTE(SUBSTITUTE(SUBSTITUTE($NA123,"~","~~"),"*","~*"),"?","~?"),'DADOS_MELHORIAS'!$AG$2:$AL$113,2,FALSE),"")</f>
        <v/>
      </c>
      <c r="NO123" s="164">
        <f>IFERROR(VLOOKUP(SUBSTITUTE(SUBSTITUTE(SUBSTITUTE($MX123,"~","~~"),"*","~*"),"?","~?"),'DADOS_MELHORIAS'!$AG$2:$AL$113,3,FALSE),0)</f>
        <v/>
      </c>
      <c r="NP123" s="164">
        <f>IFERROR(VLOOKUP(SUBSTITUTE(SUBSTITUTE(SUBSTITUTE($MY123,"~","~~"),"*","~*"),"?","~?"),'DADOS_MELHORIAS'!$AG$2:$AL$113,3,FALSE),0)</f>
        <v/>
      </c>
      <c r="NQ123" s="164">
        <f>IFERROR(VLOOKUP(SUBSTITUTE(SUBSTITUTE(SUBSTITUTE($MZ123,"~","~~"),"*","~*"),"?","~?"),'DADOS_MELHORIAS'!$AG$2:$AL$113,3,FALSE),0)</f>
        <v/>
      </c>
      <c r="NR123" s="164">
        <f>IFERROR(VLOOKUP(SUBSTITUTE(SUBSTITUTE(SUBSTITUTE($NA123,"~","~~"),"*","~*"),"?","~?"),'DADOS_MELHORIAS'!$AG$2:$AL$113,3,FALSE),0)</f>
        <v/>
      </c>
      <c r="NS123" s="164">
        <f>IF($MS123=0,0,IF($NJ123=0,0,INDEX('DADOS_FORMAS'!$GB$2:$GB$21,$NJ123)))</f>
        <v/>
      </c>
      <c r="NT123" s="164">
        <f>IF(OR($NO123=0,$MS123=0),0,$NO123+3*IF(AND($NK123&lt;&gt;"",COUNTIF(INDEX($RB$2:$RJ$13,$MO123,0),$NK123)&gt;0),1,0))</f>
        <v/>
      </c>
      <c r="NU123" s="164">
        <f>IF(OR($NP123=0,$MS123=0),0,$NP123+3*IF(AND($NL123&lt;&gt;"",COUNTIF(INDEX($RB$2:$RJ$13,$MO123,0),$NL123)&gt;0),1,0))</f>
        <v/>
      </c>
      <c r="NV123" s="164">
        <f>IF(OR($NQ123=0,$MS123=0),0,$NQ123+3*IF(AND($NM123&lt;&gt;"",COUNTIF(INDEX($RB$2:$RJ$13,$MO123,0),$NM123)&gt;0),1,0))</f>
        <v/>
      </c>
      <c r="NW123" s="164">
        <f>IF(OR($NR123=0,$MS123=0),0,$NR123+3*IF(AND($NN123&lt;&gt;"",COUNTIF(INDEX($RB$2:$RJ$13,$MO123,0),$NN123)&gt;0),1,0))</f>
        <v/>
      </c>
      <c r="NX123" s="164">
        <f>IF($NJ123=0,0,IF(INDEX('DADOS_FORMAS'!$GA$2:$GA$21,$NJ123)="",0,IF((COUNTIF(INDEX($EL$2:$EP$13,$MO123,0),INDEX('DADOS_FORMAS'!$GA$2:$GA$21,$NJ123))+COUNTIF(INDEX($QV$2:$QY$13,$MO123,0),INDEX('DADOS_FORMAS'!$GA$2:$GA$21,$NJ123)))=0,1,0)))</f>
        <v/>
      </c>
      <c r="NY123" s="164">
        <f>IF(OR($NO123=0,$NK123=""),0,IF((COUNTIF(INDEX($EL$2:$EP$13,$MO123,0),$NK123)+COUNTIF(INDEX($QV$2:$QY$13,$MO123,0),$NK123))=0,1,0))</f>
        <v/>
      </c>
      <c r="NZ123" s="164">
        <f>IF(OR($NP123=0,$NL123=""),0,IF((COUNTIF(INDEX($EL$2:$EP$13,$MO123,0),$NL123)+COUNTIF(INDEX($QV$2:$QY$13,$MO123,0),$NL123))=0,1,0))</f>
        <v/>
      </c>
      <c r="OA123" s="164">
        <f>IF(OR($NQ123=0,$NM123=""),0,IF((COUNTIF(INDEX($EL$2:$EP$13,$MO123,0),$NM123)+COUNTIF(INDEX($QV$2:$QY$13,$MO123,0),$NM123))=0,1,0))</f>
        <v/>
      </c>
      <c r="OB123" s="164">
        <f>IF(OR($NR123=0,$NN123=""),0,IF((COUNTIF(INDEX($EL$2:$EP$13,$MO123,0),$NN123)+COUNTIF(INDEX($QV$2:$QY$13,$MO123,0),$NN123))=0,1,0))</f>
        <v/>
      </c>
      <c r="OC123" s="164">
        <f>IFERROR(VLOOKUP(SUBSTITUTE(SUBSTITUTE(SUBSTITUTE($MX123,"~","~~"),"*","~*"),"?","~?"),'DADOS_MELHORIAS'!$AG$2:$AL$113,4,FALSE),0)+IFERROR(VLOOKUP(SUBSTITUTE(SUBSTITUTE(SUBSTITUTE($MY123,"~","~~"),"*","~*"),"?","~?"),'DADOS_MELHORIAS'!$AG$2:$AL$113,4,FALSE),0)+IFERROR(VLOOKUP(SUBSTITUTE(SUBSTITUTE(SUBSTITUTE($MZ123,"~","~~"),"*","~*"),"?","~?"),'DADOS_MELHORIAS'!$AG$2:$AL$113,4,FALSE),0)+IFERROR(VLOOKUP(SUBSTITUTE(SUBSTITUTE(SUBSTITUTE($NA123,"~","~~"),"*","~*"),"?","~?"),'DADOS_MELHORIAS'!$AG$2:$AL$113,4,FALSE),0)</f>
        <v/>
      </c>
      <c r="OD123" s="164">
        <f>IFERROR(VLOOKUP(SUBSTITUTE(SUBSTITUTE(SUBSTITUTE($MX123,"~","~~"),"*","~*"),"?","~?"),'DADOS_MELHORIAS'!$AG$2:$AL$113,6,FALSE),0)+IFERROR(VLOOKUP(SUBSTITUTE(SUBSTITUTE(SUBSTITUTE($MY123,"~","~~"),"*","~*"),"?","~?"),'DADOS_MELHORIAS'!$AG$2:$AL$113,6,FALSE),0)+IFERROR(VLOOKUP(SUBSTITUTE(SUBSTITUTE(SUBSTITUTE($MZ123,"~","~~"),"*","~*"),"?","~?"),'DADOS_MELHORIAS'!$AG$2:$AL$113,6,FALSE),0)+IFERROR(VLOOKUP(SUBSTITUTE(SUBSTITUTE(SUBSTITUTE($NA123,"~","~~"),"*","~*"),"?","~?"),'DADOS_MELHORIAS'!$AG$2:$AL$113,6,FALSE),0)+IFERROR(N(AND(INDEX('DADOS_FORMAS'!$AO$2:$AO$21,MATCH(SUBSTITUTE(SUBSTITUTE(SUBSTITUTE($MU123,"~","~~"),"*","~*"),"?","~?"),'DADOS_FORMAS'!$AH$2:$AH$21,0))="Acerto",$OH123=1)),0)</f>
        <v/>
      </c>
      <c r="OE123" s="164">
        <f>TEXTJOIN(", ",TRUE,IF(IFERROR(VLOOKUP(SUBSTITUTE(SUBSTITUTE(SUBSTITUTE($MX123,"~","~~"),"*","~*"),"?","~?"),'DADOS_MELHORIAS'!$AG$2:$AL$113,5,FALSE),0)=1,$MX123,""),IF(IFERROR(VLOOKUP(SUBSTITUTE(SUBSTITUTE(SUBSTITUTE($MY123,"~","~~"),"*","~*"),"?","~?"),'DADOS_MELHORIAS'!$AG$2:$AL$113,5,FALSE),0)=1,$MY123,""),IF(IFERROR(VLOOKUP(SUBSTITUTE(SUBSTITUTE(SUBSTITUTE($MZ123,"~","~~"),"*","~*"),"?","~?"),'DADOS_MELHORIAS'!$AG$2:$AL$113,5,FALSE),0)=1,$MZ123,""),IF(IFERROR(VLOOKUP(SUBSTITUTE(SUBSTITUTE(SUBSTITUTE($NA123,"~","~~"),"*","~*"),"?","~?"),'DADOS_MELHORIAS'!$AG$2:$AL$113,5,FALSE),0)=1,$NA123,""))</f>
        <v/>
      </c>
      <c r="OF123" s="164">
        <f>IF($NJ123=0,0,INDEX('DADOS_FORMAS'!$GC$2:$GC$21,$NJ123))</f>
        <v/>
      </c>
      <c r="OG123" s="164">
        <f>IF($NJ123=0,0,INDEX('DADOS_FORMAS'!$GD$2:$GD$21,$NJ123))</f>
        <v/>
      </c>
      <c r="OH123" s="164">
        <f>IF($NJ123=0,0,INDEX('DADOS_FORMAS'!$GF$2:$GF$21,$NJ123))</f>
        <v/>
      </c>
      <c r="OI123" s="164">
        <f>IFERROR(VLOOKUP(SUBSTITUTE(SUBSTITUTE(SUBSTITUTE($NB123,"~","~~"),"*","~*"),"?","~?"),'DADOS_RESTRICOES'!$M$2:$Q$54,3,FALSE),0)</f>
        <v/>
      </c>
      <c r="OJ123" s="164">
        <f>IFERROR(VLOOKUP(SUBSTITUTE(SUBSTITUTE(SUBSTITUTE($NC123,"~","~~"),"*","~*"),"?","~?"),'DADOS_RESTRICOES'!$M$2:$Q$54,3,FALSE),0)</f>
        <v/>
      </c>
      <c r="OK123" s="164">
        <f>IFERROR(VLOOKUP(SUBSTITUTE(SUBSTITUTE(SUBSTITUTE($NB123,"~","~~"),"*","~*"),"?","~?"),'DADOS_RESTRICOES'!$M$2:$Q$54,2,FALSE),"")</f>
        <v/>
      </c>
      <c r="OL123" s="164">
        <f>IFERROR(VLOOKUP(SUBSTITUTE(SUBSTITUTE(SUBSTITUTE($NC123,"~","~~"),"*","~*"),"?","~?"),'DADOS_RESTRICOES'!$M$2:$Q$54,2,FALSE),"")</f>
        <v/>
      </c>
      <c r="OM123" s="164">
        <f>COUNTIF($NS123:$NW123,1)</f>
        <v/>
      </c>
      <c r="ON123" s="164">
        <f>COUNTIF($NS123:$NW123,2)</f>
        <v/>
      </c>
      <c r="OO123" s="164">
        <f>COUNTIF($NS123:$NW123,3)</f>
        <v/>
      </c>
      <c r="OP123" s="164">
        <f>COUNTIF($NS123:$NW123,4)</f>
        <v/>
      </c>
      <c r="OQ123" s="164">
        <f>COUNTIF($NS123:$NW123,5)</f>
        <v/>
      </c>
      <c r="OR123" s="164">
        <f>COUNTIF($NS123:$NW123,6)</f>
        <v/>
      </c>
      <c r="OS123" s="164">
        <f>COUNTIF($OI123:$OJ123,1)+IF(IFERROR(INDEX('DADOS_FORMAS'!$AS$2:$AS$21,MATCH(SUBSTITUTE(SUBSTITUTE(SUBSTITUTE($MU123,"~","~~"),"*","~*"),"?","~?"),'DADOS_FORMAS'!$AH$2:$AH$21,0)),"")="",0,IFERROR(N(VLOOKUP(SUBSTITUTE(SUBSTITUTE(SUBSTITUTE(IFERROR(INDEX('DADOS_FORMAS'!$AS$2:$AS$21,MATCH(SUBSTITUTE(SUBSTITUTE(SUBSTITUTE($MU123,"~","~~"),"*","~*"),"?","~?"),'DADOS_FORMAS'!$AH$2:$AH$21,0)),""),"~","~~"),"*","~*"),"?","~?"),'DADOS_RESTRICOES'!$M$2:$Q$54,3,FALSE)=1),0))</f>
        <v/>
      </c>
      <c r="OT123" s="164">
        <f>COUNTIF($OI123:$OJ123,2)+IF(IFERROR(INDEX('DADOS_FORMAS'!$AS$2:$AS$21,MATCH(SUBSTITUTE(SUBSTITUTE(SUBSTITUTE($MU123,"~","~~"),"*","~*"),"?","~?"),'DADOS_FORMAS'!$AH$2:$AH$21,0)),"")="",0,IFERROR(N(VLOOKUP(SUBSTITUTE(SUBSTITUTE(SUBSTITUTE(IFERROR(INDEX('DADOS_FORMAS'!$AS$2:$AS$21,MATCH(SUBSTITUTE(SUBSTITUTE(SUBSTITUTE($MU123,"~","~~"),"*","~*"),"?","~?"),'DADOS_FORMAS'!$AH$2:$AH$21,0)),""),"~","~~"),"*","~*"),"?","~?"),'DADOS_RESTRICOES'!$M$2:$Q$54,3,FALSE)=2),0))</f>
        <v/>
      </c>
      <c r="OU123" s="164">
        <f>COUNTIF($MX123:$NA123,"?*")</f>
        <v/>
      </c>
      <c r="OV123" s="164">
        <f>COUNTIF($NB123:$NC123,"?*")+$OF123</f>
        <v/>
      </c>
      <c r="OW123" s="164">
        <f>IF($MS123=0,0,SUMPRODUCT($OM123:$OR123,INDEX($I$2:$N$8,MAX(1,$MS123),0)))</f>
        <v/>
      </c>
      <c r="OX123" s="164">
        <f>IF($MS123=0,0,$OS123*CEILING($MS123/2,1)+$OT123*$MS123)</f>
        <v/>
      </c>
      <c r="OY123" s="164">
        <f>MIN(2*$MS123,$OX123)</f>
        <v/>
      </c>
      <c r="OZ123" s="164">
        <f>MIN($OY123,$OW123-IF($NS123=0,0,INDEX($I$2:$N$8,MAX(1,$MS123),$NS123)))</f>
        <v/>
      </c>
      <c r="PA123" s="164">
        <f>$OY123-$OZ123</f>
        <v/>
      </c>
      <c r="PB123" s="164">
        <f>IF($MS123=0,0,INDEX($P$2:$P$8,MAX(1,$MS123)))</f>
        <v/>
      </c>
      <c r="PC123" s="164">
        <f>$PB123-$OW123+$OZ123</f>
        <v/>
      </c>
      <c r="PD123" s="164">
        <f>IF($MS123=0,MAX(0,$NG123-IF(AND($OU123&gt;0,COUNTIF($NB123:$NC123,"?*")=0),1,0)),MAX(0,$PC123))</f>
        <v/>
      </c>
      <c r="PE123" s="164">
        <f>IF($MS123=0,0,(IF(COUNTIF($RK123:$RN123,"Salto")&gt;0,1,0)+IF(COUNTIF($RK123:$RN123,"Queima")&gt;0,1,0)+IF(COUNTIF($RK123:$RN123,"Estilhaço")&gt;0,1,0))*FLOOR($PD123/2,1))</f>
        <v/>
      </c>
      <c r="PF123" s="164">
        <f>MAX(0,2-SUMPRODUCT($OM123:$OR123,$I$2:$N$2)+MIN(2,$OS123*1+$OT123*1,SUMPRODUCT($OM123:$OR123,$I$2:$N$2)-IF($NS123=0,0,INDEX($I$2:$N$2,1,$NS123))))</f>
        <v/>
      </c>
      <c r="PG123" s="164">
        <f>MAX(0,4-SUMPRODUCT($OM123:$OR123,$I$3:$N$3)+MIN(4,$OS123*1+$OT123*2,SUMPRODUCT($OM123:$OR123,$I$3:$N$3)-IF($NS123=0,0,INDEX($I$3:$N$3,1,$NS123))))</f>
        <v/>
      </c>
      <c r="PH123" s="164">
        <f>MAX(0,6-SUMPRODUCT($OM123:$OR123,$I$4:$N$4)+MIN(6,$OS123*2+$OT123*3,SUMPRODUCT($OM123:$OR123,$I$4:$N$4)-IF($NS123=0,0,INDEX($I$4:$N$4,1,$NS123))))</f>
        <v/>
      </c>
      <c r="PI123" s="164">
        <f>MAX(0,9-SUMPRODUCT($OM123:$OR123,$I$5:$N$5)+MIN(8,$OS123*2+$OT123*4,SUMPRODUCT($OM123:$OR123,$I$5:$N$5)-IF($NS123=0,0,INDEX($I$5:$N$5,1,$NS123))))</f>
        <v/>
      </c>
      <c r="PJ123" s="164">
        <f>MAX(0,11-SUMPRODUCT($OM123:$OR123,$I$6:$N$6)+MIN(10,$OS123*3+$OT123*5,SUMPRODUCT($OM123:$OR123,$I$6:$N$6)-IF($NS123=0,0,INDEX($I$6:$N$6,1,$NS123))))</f>
        <v/>
      </c>
      <c r="PK123" s="164">
        <f>MAX(0,13-SUMPRODUCT($OM123:$OR123,$I$7:$N$7)+MIN(12,$OS123*3+$OT123*6,SUMPRODUCT($OM123:$OR123,$I$7:$N$7)-IF($NS123=0,0,INDEX($I$7:$N$7,1,$NS123))))</f>
        <v/>
      </c>
      <c r="PL123" s="164">
        <f>MAX(0,16-SUMPRODUCT($OM123:$OR123,$I$8:$N$8)+MIN(14,$OS123*4+$OT123*7,SUMPRODUCT($OM123:$OR123,$I$8:$N$8)-IF($NS123=0,0,INDEX($I$8:$N$8,1,$NS123))))</f>
        <v/>
      </c>
      <c r="PM123" s="164">
        <f>IF($OG123=2,3*$PF123&amp;" de vida temp.",IF($OG123=3,"sem dano",IF($PF123=0,IF($OG123=1,"sem cura","sem dano"),IF($OG123=1,"cura ","")&amp;$PF123&amp;"d8")))</f>
        <v/>
      </c>
      <c r="PN123" s="164">
        <f>IF($OG123=2,3*$PG123&amp;" de vida temp.",IF($OG123=3,"sem dano",IF($PG123=0,IF($OG123=1,"sem cura","sem dano"),IF($OG123=1,"cura ","")&amp;$PG123&amp;"d8")))</f>
        <v/>
      </c>
      <c r="PO123" s="164">
        <f>IF($OG123=2,3*$PH123&amp;" de vida temp.",IF($OG123=3,"sem dano",IF($PH123=0,IF($OG123=1,"sem cura","sem dano"),IF($OG123=1,"cura ","")&amp;$PH123&amp;"d8")))</f>
        <v/>
      </c>
      <c r="PP123" s="164">
        <f>IF($OG123=2,3*$PI123&amp;" de vida temp.",IF($OG123=3,"sem dano",IF($PI123=0,IF($OG123=1,"sem cura","sem dano"),IF($OG123=1,"cura ","")&amp;$PI123&amp;"d8")))</f>
        <v/>
      </c>
      <c r="PQ123" s="164">
        <f>IF($OG123=2,3*$PJ123&amp;" de vida temp.",IF($OG123=3,"sem dano",IF($PJ123=0,IF($OG123=1,"sem cura","sem dano"),IF($OG123=1,"cura ","")&amp;$PJ123&amp;"d8")))</f>
        <v/>
      </c>
      <c r="PR123" s="164">
        <f>IF($OG123=2,3*$PK123&amp;" de vida temp.",IF($OG123=3,"sem dano",IF($PK123=0,IF($OG123=1,"sem cura","sem dano"),IF($OG123=1,"cura ","")&amp;$PK123&amp;"d8")))</f>
        <v/>
      </c>
      <c r="PS123" s="164">
        <f>IF($OG123=2,3*$PL123&amp;" de vida temp.",IF($OG123=3,"sem dano",IF($PL123=0,IF($OG123=1,"sem cura","sem dano"),IF($OG123=1,"cura ","")&amp;$PL123&amp;"d8")))</f>
        <v/>
      </c>
      <c r="PT123" s="164">
        <f>IF($ND123=0,"",TEXTJOIN(" · ",TRUE,IF($ND123=0,"",TEXTJOIN(" · ",TRUE,IF($ND123=0,"",TEXTJOIN(" · ",TRUE,IF($MQ123&gt;$NE123,"Este lugar abre no nível "&amp;$MQ123,""),IF($MS123&gt;$NF123,"Classe "&amp;$MS123&amp;": o nível "&amp;$NE123&amp;" libera até a "&amp;$NF123,""),IF($NX123=1,"A Forma "&amp;$MU123&amp;" pede "&amp;INDEX('DADOS_FORMAS'!$GA$2:$GA$21,$NJ123)&amp;" aberta",""),IF(AND($MS123=0,$NJ123&gt;0,IF($NJ123=0,0,INDEX('DADOS_FORMAS'!$GJ$2:$GJ$21,$NJ123))=0),$MU123&amp;" não existe na Classe 0",""),IF($NY123=1,"Família Fechada: "&amp;$MX123,""),IF($NZ123=1,"Família Fechada: "&amp;$MY123,""),IF($OA123=1,"Família Fechada: "&amp;$MZ123,""),IF($OB123=1,"Família Fechada: "&amp;$NA123,""),IF(AND($MS123&gt;0,$OU123&gt;INDEX($O$2:$O$8,MAX(1,$MS123))),$OU123&amp;" Melhorias: a Classe "&amp;$MS123&amp;" aceita "&amp;INDEX($O$2:$O$8,MAX(1,$MS123)),""),IF(AND($MS123=0,$OU123&gt;1),"A básica aceita uma Melhoria",""),IF(AND($MS123=0,COUNTIF($NO123:$NR123,"&gt;1")&gt;0),"A básica só aceita Melhoria Leve",""),IF(AND($MS123&gt;0,$OV123&gt;2),$OV123&amp;" Restrições"&amp;IF($OF123=1,", contando a que a Forma "&amp;$MU123&amp;" já traz","")&amp;": o limite é 2",""),IF(AND($MS123=0,COUNTIF($NB123:$NC123,"?*")&gt;1),"A básica aceita uma Restrição Leve",""),IF(AND($MS123=0,COUNTIF($OI123:$OJ123,2)&gt;0),"A básica só aceita Restrição Leve",""),IF(AND($MS123&gt;0,$PC123&lt;0),"Orçamento estourado: faltam "&amp;(-$PC123)&amp;IF($PC123&lt;-1," pontos"," ponto"),""),IF(IFERROR(VLOOKUP(SUBSTITUTE(SUBSTITUTE(SUBSTITUTE($NB123,"~","~~"),"*","~*"),"?","~?"),'DADOS_RESTRICOES'!$M$2:$Q$54,4,FALSE),0)+IFERROR(VLOOKUP(SUBSTITUTE(SUBSTITUTE(SUBSTITUTE($NC123,"~","~~"),"*","~*"),"?","~?"),'DADOS_RESTRICOES'!$M$2:$Q$54,4,FALSE),0)&gt;1,$OK123&amp;" e "&amp;$OL123&amp;" são as duas de frequência",""),IF(AND((COUNTIF($RK123:$RN123,"Rápido")+COUNTIF($OK123:$OL123,"Rápido"))&gt;0,(COUNTIF($MX123:$NA123,"Atrasar")+COUNTIF($OK123:$OL123,"Atrasar"))&gt;0),"Rápido não entra com Atrasar",""),IF(AND((COUNTIF($RK123:$RN123,"Reação")+COUNTIF($OK123:$OL123,"Reação"))&gt;0,(COUNTIF($RK123:$RN123,"Rápido")+COUNTIF($OK123:$OL123,"Rápido"))&gt;0),"Reação não entra com Rápido",""),IF(AND((COUNTIF($RK123:$RN123,"Reação")+COUNTIF($OK123:$OL123,"Reação"))&gt;0,(COUNTIF($RK123:$RN123,"Armado")+COUNTIF($OK123:$OL123,"Armado"))&gt;0),"Reação não entra com Armado",""),IF(AND((COUNTIF($RK123:$RN123,"Reação")+COUNTIF($OK123:$OL123,"Reação"))&gt;0,(COUNTIF($MX123:$NA123,"Atrasar")+COUNTIF($OK123:$OL123,"Atrasar"))&gt;0),"Reação não entra com Atrasar",""),IF(AND((COUNTIF($RK123:$RN123,"Reação")+COUNTIF($OK123:$OL123,"Reação"))&gt;0,(COUNTIF($MX123:$NA123,"Parado")+COUNTIF($OK123:$OL123,"Parado"))&gt;0),"Reação não entra com Parado",""),IF(AND((COUNTIF($MX123:$NA123,"Atrasar")+COUNTIF($OK123:$OL123,"Atrasar"))&gt;0,(COUNTIF($MX123:$NA123,"Parado")+COUNTIF($OK123:$OL123,"Parado"))&gt;0),"Atrasar não entra com Parado",""),IF(AND((COUNTIF($RK123:$RN123,"Armado")+COUNTIF($OK123:$OL123,"Armado"))&gt;0,(COUNTIF($MX123:$NA123,"Carregar")+COUNTIF($OK123:$OL123,"Carregar"))&gt;0),"Armado não entra com Carregar",""),IF(AND(COUNTIF($OK123:$OL123,"Corpo a Corpo")&gt;0,$OF123=0,OR($RO123="Cone",$RO123="Linha")),"Corpo a Corpo não entra em "&amp;$MU123,""),IF(AND(COUNTIF($OK123:$OL123,"Corpo a Corpo")&gt;0,$RP123="Corpo a Corpo"),"A Forma "&amp;$MU123&amp;" já traz o Corpo a Corpo",""),IF(AND(COUNTIF($OK123:$OL123,"Tudo ou Nada")&gt;0,$OH123=0),"Tudo ou Nada só entra em habilidade de Teste de Resistência",""),IF(AND(COUNTIF($RK123:$RN123,"Inescapável")&gt;0,OR($OU123&gt;1,$OV123&gt;0)),"Inescapável não aceita outra peça",""),IF(AND($MS123&gt;0,$PD123*IF(COUNTIF($RK123:$RN123,"Remate")&gt;0,1.25,1)+$PE123&gt;4*$MS123),($PD123*IF(COUNTIF($RK123:$RN123,"Remate")&gt;0,1.25,1)+$PE123)&amp;" dados somando repetições"&amp;IF(COUNTIF($RK123:$RN123,"Remate")&gt;0," e o Remate","")&amp;": o teto da Classe "&amp;$MS123&amp;" é "&amp;4*$MS123,""))),IF(AND($MX123&lt;&gt;"",COUNTIF('DADOS_MELHORIAS'!$O$2:$O$113,SUBSTITUTE(SUBSTITUTE(SUBSTITUTE($MX123,"~","~~"),"*","~*"),"?","~?"))=0),"Melhoria não cadastrada ou com erro: "&amp;$MX123,""),IF(AND($MY123&lt;&gt;"",COUNTIF('DADOS_MELHORIAS'!$O$2:$O$113,SUBSTITUTE(SUBSTITUTE(SUBSTITUTE($MY123,"~","~~"),"*","~*"),"?","~?"))=0),"Melhoria não cadastrada ou com erro: "&amp;$MY123,""),IF(AND($MZ123&lt;&gt;"",COUNTIF('DADOS_MELHORIAS'!$O$2:$O$113,SUBSTITUTE(SUBSTITUTE(SUBSTITUTE($MZ123,"~","~~"),"*","~*"),"?","~?"))=0),"Melhoria não cadastrada ou com erro: "&amp;$MZ123,""),IF(AND($NA123&lt;&gt;"",COUNTIF('DADOS_MELHORIAS'!$O$2:$O$113,SUBSTITUTE(SUBSTITUTE(SUBSTITUTE($NA123,"~","~~"),"*","~*"),"?","~?"))=0),"Melhoria não cadastrada ou com erro: "&amp;$NA123,""),IF(AND($NB123&lt;&gt;"",COUNTIF('DADOS_RESTRICOES'!$M$2:$M$54,SUBSTITUTE(SUBSTITUTE(SUBSTITUTE($NB123,"~","~~"),"*","~*"),"?","~?"))=0),"Restrição não cadastrada ou com erro: "&amp;$NB123,""),IF(AND($NC123&lt;&gt;"",COUNTIF('DADOS_RESTRICOES'!$M$2:$M$54,SUBSTITUTE(SUBSTITUTE(SUBSTITUTE($NC123,"~","~~"),"*","~*"),"?","~?"))=0),"Restrição não cadastrada ou com erro: "&amp;$NC123,""))),IF(AND($MU123&lt;&gt;"",COUNTIF('DADOS_FORMAS'!$AH$2:$AH$21,SUBSTITUTE(SUBSTITUTE(SUBSTITUTE($MU123,"~","~~"),"*","~*"),"?","~?"))=0),"Forma não cadastrada ou com erro: "&amp;$MU123,""),IF(AND(IFERROR(INDEX('DADOS_FORMAS'!$AS$2:$AS$21,MATCH(SUBSTITUTE(SUBSTITUTE(SUBSTITUTE($MU123,"~","~~"),"*","~*"),"?","~?"),'DADOS_FORMAS'!$AH$2:$AH$21,0)),"")&lt;&gt;"",OR(IFERROR(VLOOKUP(SUBSTITUTE(SUBSTITUTE(SUBSTITUTE(IFERROR(INDEX('DADOS_FORMAS'!$AS$2:$AS$21,MATCH(SUBSTITUTE(SUBSTITUTE(SUBSTITUTE($MU123,"~","~~"),"*","~*"),"?","~?"),'DADOS_FORMAS'!$AH$2:$AH$21,0)),""),"~","~~"),"*","~*"),"?","~?"),'DADOS_RESTRICOES'!$M$2:$Q$54,2,FALSE),"")=$OK123,IFERROR(VLOOKUP(SUBSTITUTE(SUBSTITUTE(SUBSTITUTE(IFERROR(INDEX('DADOS_FORMAS'!$AS$2:$AS$21,MATCH(SUBSTITUTE(SUBSTITUTE(SUBSTITUTE($MU123,"~","~~"),"*","~*"),"?","~?"),'DADOS_FORMAS'!$AH$2:$AH$21,0)),""),"~","~~"),"*","~*"),"?","~?"),'DADOS_RESTRICOES'!$M$2:$Q$54,2,FALSE),"")=$OL123)),"Restrição repetida, contando a embutida",""),IF(IF(IFERROR(INDEX('DADOS_FORMAS'!$AS$2:$AS$21,MATCH(SUBSTITUTE(SUBSTITUTE(SUBSTITUTE($MU123,"~","~~"),"*","~*"),"?","~?"),'DADOS_FORMAS'!$AH$2:$AH$21,0)),"")="",0,IFERROR(N(VLOOKUP(SUBSTITUTE(SUBSTITUTE(SUBSTITUTE(IFERROR(INDEX('DADOS_FORMAS'!$AS$2:$AS$21,MATCH(SUBSTITUTE(SUBSTITUTE(SUBSTITUTE($MU123,"~","~~"),"*","~*"),"?","~?"),'DADOS_FORMAS'!$AH$2:$AH$21,0)),""),"~","~~"),"*","~*"),"?","~?"),'DADOS_RESTRICOES'!$M$2:$Q$54,4,FALSE)=1),0))+IF($NB123="",0,IFERROR(N(VLOOKUP(SUBSTITUTE(SUBSTITUTE(SUBSTITUTE($NB123,"~","~~"),"*","~*"),"?","~?"),'DADOS_RESTRICOES'!$M$2:$Q$54,4,FALSE)=1),0))+IF($NC123="",0,IFERROR(N(VLOOKUP(SUBSTITUTE(SUBSTITUTE(SUBSTITUTE($NC123,"~","~~"),"*","~*"),"?","~?"),'DADOS_RESTRICOES'!$M$2:$Q$54,4,FALSE)=1),0))&gt;1,"Duas Restrições de frequência, contando a embutida",""),IF(AND(IFERROR(VLOOKUP(SUBSTITUTE(SUBSTITUTE(SUBSTITUTE(IFERROR(INDEX('DADOS_FORMAS'!$AS$2:$AS$21,MATCH(SUBSTITUTE(SUBSTITUTE(SUBSTITUTE($MU123,"~","~~"),"*","~*"),"?","~?"),'DADOS_FORMAS'!$AH$2:$AH$21,0)),""),"~","~~"),"*","~*"),"?","~?"),'DADOS_RESTRICOES'!$M$2:$Q$54,2,FALSE),"")="Tudo ou Nada",$OH123=0),"Tudo ou Nada exige TR",""),IF(AND(IFERROR(VLOOKUP(SUBSTITUTE(SUBSTITUTE(SUBSTITUTE(IFERROR(INDEX('DADOS_FORMAS'!$AS$2:$AS$21,MATCH(SUBSTITUTE(SUBSTITUTE(SUBSTITUTE($MU123,"~","~~"),"*","~*"),"?","~?"),'DADOS_FORMAS'!$AH$2:$AH$21,0)),""),"~","~~"),"*","~*"),"?","~?"),'DADOS_RESTRICOES'!$M$2:$Q$54,2,FALSE),"")="Corpo a Corpo",OR($RO123="Cone",$RO123="Linha")),"Corpo a Corpo não entra em Cone/Linha","")))</f>
        <v/>
      </c>
      <c r="PU123" s="164">
        <f>IF($PT123="",0,(LEN($PT123)-LEN(SUBSTITUTE($PT123," · ","")))/3+1)</f>
        <v/>
      </c>
      <c r="PV123" s="164">
        <f>IF($ND123=0,"",TEXTJOIN(" · ",TRUE,IF($OX123&gt;2*$MS123,"A devolução parou no teto de "&amp;2*$MS123,""),IF($PA123&gt;0,"Devolução perdida: "&amp;$PA123&amp;IF($PA123&gt;1," pontos"," ponto")&amp;" sem Melhoria para pagar",""),IF(AND($OC123&gt;0,AND($MS123&gt;0,$OG123=0),$PD123=0),"Controle sem dano: uma rodada a mais e CD +2",""),IF(AND($OC123&gt;0,AND($MS123&gt;0,$OG123=0),$PD123&gt;0,$PD123&lt;=$MS123),"Controle com saldo até a Classe: uma rodada a mais",""),IF(AND($MS123&gt;0,$OE123&lt;&gt;""),"Efeito de "&amp;$OE123&amp;" pela Classe "&amp;MAX(1,$MS123-1),"")))</f>
        <v/>
      </c>
      <c r="PW123" s="164">
        <f>IF($PV123="",0,(LEN($PV123)-LEN(SUBSTITUTE($PV123," · ","")))/3+1)</f>
        <v/>
      </c>
      <c r="PX123" s="164">
        <f>IF($ND123=0,IF($OU123+COUNTIF($NB123:$NC123,"?*")&gt;0,"Dê um nome",""),IF($PU123&gt;0,"⚠ "&amp;$PU123&amp;IF($PU123&gt;1," erros"," erro"),IF($PW123&gt;0,"! "&amp;$PW123&amp;IF($PW123&gt;1," avisos"," aviso"),"Na regra")))</f>
        <v/>
      </c>
      <c r="PY123" s="164">
        <f>IF($ND123=0,"",IF($PU123+$PW123=0,"Dentro das regras que a ficha confere",$PT123&amp;IF(AND($PU123&gt;0,$PW123&gt;0)," · ","")&amp;$PV123))</f>
        <v/>
      </c>
      <c r="PZ123" s="164">
        <f>IF($MQ123&gt;$NE123,$MR123&amp;" · ABRE NO NÍVEL "&amp;$MQ123,$MR123)</f>
        <v/>
      </c>
      <c r="QA123" s="164">
        <f>IF($ND123=0,"",IF($MS123=0,"Sem PE",3*$MS123&amp;" PE"))</f>
        <v/>
      </c>
      <c r="QB123" s="164">
        <f>IF($ND123=0,"",IF($MS123=0,"A atuação básica dela",IF(COUNTIF($RQ123:$RS123,"Atrasar")&gt;0,"Sua Ação Completa",IF(COUNTIF($RK123:$RN123,"Rápido")&gt;0,"Sua Bônus",IF(COUNTIF($RK123:$RN123,"Reação")&gt;0,"Sua Reação","Sua Padrão")))&amp;" + a básica dela"&amp;IF(COUNTIF($RK123:$RN123,"Reação")&gt;0," e a coletiva","")&amp;IF(COUNTIF($RQ123:$RS123,"Carregar")&gt;0," · em dois turnos","")))</f>
        <v/>
      </c>
      <c r="QC123" s="164">
        <f>IF($MW123&lt;&gt;"",$MW123,IF($NJ123=0,"",INDEX('DADOS_FORMAS'!$GE$2:$GE$21,$NJ123)))</f>
        <v/>
      </c>
      <c r="QD123" s="164">
        <f>IF(OR($ND123=0,$NJ123=0),"",IF(COUNTIF($RK123:$RN123,"Inescapável")&gt;0,"Automático",IF($QC123="Ataque",IF($NH123="","Ataque","Ataque "&amp;IF(($NH123+2*IF(COUNTIF($RK123:$RN123,"Precisão")&gt;0,1,0))&gt;=0,"+","−")&amp;ABS(($NH123+2*IF(COUNTIF($RK123:$RN123,"Precisão")&gt;0,1,0))))&amp;IF($OD123&gt;0," · TR"&amp;IF($NI123="",""," CD "&amp;$NI123),""),IF(LEFT($QC123,2)="TR",$QC123&amp;IF($NI123="",""," · CD "&amp;$NI123)&amp;IF(COUNTIF($RK123:$RN123,"Certeiro")&gt;0," · metade",""),"Sem rolagem"))))</f>
        <v/>
      </c>
      <c r="QE123" s="164">
        <f>IF(OR($ND123=0,$NJ123=0),"",IF($MS123=0,IF(OR($OG123&gt;=1,$PD123=0),"Sem dano",$PD123&amp;"d6"&amp;IF($MV123="",""," "&amp;$MV123)),IF(OR($OG123&gt;=1,$PD123=0),UPPER(LEFT(INDEX($PM123:$PS123,1,MAX(1,$MS123)),1))&amp;MID(INDEX($PM123:$PS123,1,MAX(1,$MS123)),2,99),UPPER(LEFT(INDEX($PM123:$PS123,1,MAX(1,$MS123)),1))&amp;MID(INDEX($PM123:$PS123,1,MAX(1,$MS123)),2,99)&amp;IF($MV123="",""," "&amp;$MV123)&amp;IF($PE123&gt;0," · +"&amp;$PE123&amp;"d8",""))))</f>
        <v/>
      </c>
      <c r="QF123" s="164">
        <f>COUNTIF($RK123:$RN123,"Longe")+3*COUNTIF($RK123:$RN123,"Muito Longe")</f>
        <v/>
      </c>
      <c r="QG123" s="164">
        <f>COUNTIF($RK123:$RN123,"Maior")+3*COUNTIF($RK123:$RN123,"Muito Maior")</f>
        <v/>
      </c>
      <c r="QH123" s="164">
        <f>IF($NJ123=0,0,CHOOSE(1+INDEX('DADOS_FORMAS'!$GG$2:$GG$21,$NJ123),0,$QF123,$QG123,$QF123+$QG123))</f>
        <v/>
      </c>
      <c r="QI123" s="164">
        <f>IF($NJ123=0,0,CHOOSE(1+INDEX('DADOS_FORMAS'!$GH$2:$GH$21,$NJ123),0,$QF123,$QG123,$QF123+$QG123))</f>
        <v/>
      </c>
      <c r="QJ123" s="164">
        <f>IF(OR($ND123=0,$NJ123=0),"",INDEX('DADOS_FORMAS'!$HU$2:$HZ$81,($NJ123-1)*4+IF($MS123=0,1,IF($MS123&lt;=5,2,IF($MS123=6,3,4))),1+MIN(5,$QH123))&amp;INDEX('DADOS_FORMAS'!$IA$2:$IF$81,($NJ123-1)*4+IF($MS123=0,1,IF($MS123&lt;=5,2,IF($MS123=6,3,4))),1+MIN(5,$QI123))&amp;IF(INDEX('DADOS_FORMAS'!$GI$2:$GI$21,$NJ123)=1,IF(COUNTIF($RK123:$RN123,"Mais Um")&gt;0," · +"&amp;COUNTIF($RK123:$RN123,"Mais Um")&amp;IF(COUNTIF($RK123:$RN123,"Mais Um")&gt;1," alvos"," alvo"),"")&amp;IF(COUNTIF($RK123:$RN123,"Rajada")&gt;0,IF($MS123=0," · 1 tiro"," · "&amp;(MAX(1,$MS123-1)+1)&amp;" tiros"),""),""))</f>
        <v/>
      </c>
      <c r="QK123" s="164">
        <f>IF($ND123=0,"",IF($MS123=0,$NG123&amp;"d6"&amp;IF($OU123&gt;0," − 1 = "&amp;$PD123&amp;"d6"," da básica do nível "&amp;$NE123),$PB123&amp;" − "&amp;$OW123&amp;" + "&amp;$OZ123&amp;" = "&amp;$PC123&amp;" · teto "&amp;4*$MS123&amp;"d8"&amp;IF($OF123=1," · a Forma devolve "&amp;$MS123,"")&amp;IF($PA123&gt;0," · perde "&amp;$PA123,"")))</f>
        <v/>
      </c>
      <c r="QL123" s="164">
        <f>IF($ND123=0,"",IF($MS123=0,"A básica não amplia: os dados dela sobem com o nível",IF($MS123&gt;=$NF123,"Já está na maior Classe que o nível liberou",TEXTJOIN(" · ",TRUE,IF(AND(2&gt;$MS123,2&lt;=$NF123),"2 → "&amp;$PN123&amp;", 6 PE",""),IF(AND(3&gt;$MS123,3&lt;=$NF123),"3 → "&amp;$PO123&amp;", 9 PE",""),IF(AND(4&gt;$MS123,4&lt;=$NF123),"4 → "&amp;$PP123&amp;", 12 PE",""),IF(AND(5&gt;$MS123,5&lt;=$NF123),"5 → "&amp;$PQ123&amp;", 15 PE",""),IF(AND(6&gt;$MS123,6&lt;=$NF123),"6 → "&amp;$PR123&amp;", 18 PE",""),IF(AND(7&gt;$MS123,7&lt;=$NF123),"7 → "&amp;$PS123&amp;", 21 PE","")))))</f>
        <v/>
      </c>
      <c r="QM123" s="164">
        <f>IF(OR($ND123=0,$NO123=0),"",IF($MS123=0,"−1 dado","−"&amp;INDEX($I$2:$N$8,MAX(1,$MS123),MAX(1,$NT123))&amp;" · "&amp;CHOOSE(MAX(1,$NT123),"Leve","Média","Pesada","Leve · Livre","Média · Livre","Pesada · Livre")))</f>
        <v/>
      </c>
      <c r="QN123" s="164">
        <f>IF(OR($ND123=0,$NP123=0),"",IF($MS123=0,"−1 dado","−"&amp;INDEX($I$2:$N$8,MAX(1,$MS123),MAX(1,$NU123))&amp;" · "&amp;CHOOSE(MAX(1,$NU123),"Leve","Média","Pesada","Leve · Livre","Média · Livre","Pesada · Livre")))</f>
        <v/>
      </c>
      <c r="QO123" s="164">
        <f>IF(OR($ND123=0,$NQ123=0),"",IF($MS123=0,"−1 dado","−"&amp;INDEX($I$2:$N$8,MAX(1,$MS123),MAX(1,$NV123))&amp;" · "&amp;CHOOSE(MAX(1,$NV123),"Leve","Média","Pesada","Leve · Livre","Média · Livre","Pesada · Livre")))</f>
        <v/>
      </c>
      <c r="QP123" s="164">
        <f>IF(OR($ND123=0,$NR123=0),"",IF($MS123=0,"−1 dado","−"&amp;INDEX($I$2:$N$8,MAX(1,$MS123),MAX(1,$NW123))&amp;" · "&amp;CHOOSE(MAX(1,$NW123),"Leve","Média","Pesada","Leve · Livre","Média · Livre","Pesada · Livre")))</f>
        <v/>
      </c>
      <c r="QQ123" s="164">
        <f>IF(OR($ND123=0,$NB123=""),"",IF($MS123=0,"não devolve","+"&amp;IF($OI123=1,CEILING($MS123/2,1),$MS123)))</f>
        <v/>
      </c>
      <c r="QR123" s="164">
        <f>IF(OR($ND123=0,$NC123=""),"",IF($MS123=0,"não devolve","+"&amp;IF($OJ123=1,CEILING($MS123/2,1),$MS123)))</f>
        <v/>
      </c>
      <c r="RK123">
        <f>IF($MX123="","",IFERROR(VLOOKUP(SUBSTITUTE(SUBSTITUTE(SUBSTITUTE($MX123,"~","~~"),"*","~*"),"?","~?"),'DADOS_MELHORIAS'!$O$2:$X$113,10,FALSE),$MX123))</f>
        <v/>
      </c>
      <c r="RL123">
        <f>IF($MY123="","",IFERROR(VLOOKUP(SUBSTITUTE(SUBSTITUTE(SUBSTITUTE($MY123,"~","~~"),"*","~*"),"?","~?"),'DADOS_MELHORIAS'!$O$2:$X$113,10,FALSE),$MY123))</f>
        <v/>
      </c>
      <c r="RM123">
        <f>IF($MZ123="","",IFERROR(VLOOKUP(SUBSTITUTE(SUBSTITUTE(SUBSTITUTE($MZ123,"~","~~"),"*","~*"),"?","~?"),'DADOS_MELHORIAS'!$O$2:$X$113,10,FALSE),$MZ123))</f>
        <v/>
      </c>
      <c r="RN123">
        <f>IF($NA123="","",IFERROR(VLOOKUP(SUBSTITUTE(SUBSTITUTE(SUBSTITUTE($NA123,"~","~~"),"*","~*"),"?","~?"),'DADOS_MELHORIAS'!$O$2:$X$113,10,FALSE),$NA123))</f>
        <v/>
      </c>
      <c r="RO123">
        <f>IFERROR(INDEX('DADOS_FORMAS'!$BJ$2:$BJ$21,MATCH(SUBSTITUTE(SUBSTITUTE(SUBSTITUTE($MU123,"~","~~"),"*","~*"),"?","~?"),'DADOS_FORMAS'!$AH$2:$AH$21,0)),"")</f>
        <v/>
      </c>
      <c r="RP123">
        <f>IFERROR(VLOOKUP(SUBSTITUTE(SUBSTITUTE(SUBSTITUTE(IFERROR(INDEX('DADOS_FORMAS'!$AS$2:$AS$21,MATCH(SUBSTITUTE(SUBSTITUTE(SUBSTITUTE($MU123,"~","~~"),"*","~*"),"?","~?"),'DADOS_FORMAS'!$AH$2:$AH$21,0)),""),"~","~~"),"*","~*"),"?","~?"),'DADOS_RESTRICOES'!$M$2:$Q$54,2,FALSE),"")</f>
        <v/>
      </c>
      <c r="RQ123">
        <f>$OK123</f>
        <v/>
      </c>
      <c r="RR123">
        <f>$OL123</f>
        <v/>
      </c>
      <c r="RS123">
        <f>$RP123</f>
        <v/>
      </c>
    </row>
    <row r="124">
      <c r="MN124" s="162" t="inlineStr">
        <is>
          <t>Ficha 10 · Especial 4</t>
        </is>
      </c>
      <c r="MO124" s="164" t="n">
        <v>10</v>
      </c>
      <c r="MP124" s="164" t="n">
        <v>1</v>
      </c>
      <c r="MQ124" s="164" t="n">
        <v>12</v>
      </c>
      <c r="MR124" s="162" t="inlineStr">
        <is>
          <t>ESPECIAL 4</t>
        </is>
      </c>
      <c r="MS124" s="164">
        <f>MAX(1,MIN(7,N('INVOCAÇÕES'!$AN$738)))</f>
        <v/>
      </c>
      <c r="MT124" s="164">
        <f>'INVOCAÇÕES'!$AO$738&amp;""</f>
        <v/>
      </c>
      <c r="MU124" s="164">
        <f>'INVOCAÇÕES'!$AN$743&amp;""</f>
        <v/>
      </c>
      <c r="MV124" s="164">
        <f>'INVOCAÇÕES'!$AN$744&amp;""</f>
        <v/>
      </c>
      <c r="MW124" s="164">
        <f>'INVOCAÇÕES'!$AP$744&amp;""</f>
        <v/>
      </c>
      <c r="MX124" s="164">
        <f>'INVOCAÇÕES'!$AO$747&amp;""</f>
        <v/>
      </c>
      <c r="MY124" s="164">
        <f>'INVOCAÇÕES'!$AO$748&amp;""</f>
        <v/>
      </c>
      <c r="MZ124" s="164">
        <f>'INVOCAÇÕES'!$AO$749&amp;""</f>
        <v/>
      </c>
      <c r="NA124" s="164">
        <f>'INVOCAÇÕES'!$AO$750&amp;""</f>
        <v/>
      </c>
      <c r="NB124" s="164">
        <f>'INVOCAÇÕES'!$AO$751&amp;""</f>
        <v/>
      </c>
      <c r="NC124" s="164">
        <f>'INVOCAÇÕES'!$AO$752&amp;""</f>
        <v/>
      </c>
      <c r="ND124" s="164">
        <f>IF($MT124&lt;&gt;"",1,0)</f>
        <v/>
      </c>
      <c r="NE124" s="164">
        <f>INDEX($FO$2:$FO$13,$MO124)</f>
        <v/>
      </c>
      <c r="NF124" s="164">
        <f>INDEX($FP$2:$FP$13,$MO124)</f>
        <v/>
      </c>
      <c r="NG124" s="164">
        <f>INDEX($FQ$2:$FQ$13,$MO124)</f>
        <v/>
      </c>
      <c r="NH124" s="164">
        <f>INDEX($GB$2:$GB$13,$MO124)</f>
        <v/>
      </c>
      <c r="NI124" s="164">
        <f>INDEX($GC$2:$GC$13,$MO124)</f>
        <v/>
      </c>
      <c r="NJ124" s="164">
        <f>IFERROR(MATCH(SUBSTITUTE(SUBSTITUTE(SUBSTITUTE($MU124,"~","~~"),"*","~*"),"?","~?"),'DADOS_FORMAS'!$FZ$2:$FZ$21,0),0)</f>
        <v/>
      </c>
      <c r="NK124" s="164">
        <f>IFERROR(VLOOKUP(SUBSTITUTE(SUBSTITUTE(SUBSTITUTE($MX124,"~","~~"),"*","~*"),"?","~?"),'DADOS_MELHORIAS'!$AG$2:$AL$113,2,FALSE),"")</f>
        <v/>
      </c>
      <c r="NL124" s="164">
        <f>IFERROR(VLOOKUP(SUBSTITUTE(SUBSTITUTE(SUBSTITUTE($MY124,"~","~~"),"*","~*"),"?","~?"),'DADOS_MELHORIAS'!$AG$2:$AL$113,2,FALSE),"")</f>
        <v/>
      </c>
      <c r="NM124" s="164">
        <f>IFERROR(VLOOKUP(SUBSTITUTE(SUBSTITUTE(SUBSTITUTE($MZ124,"~","~~"),"*","~*"),"?","~?"),'DADOS_MELHORIAS'!$AG$2:$AL$113,2,FALSE),"")</f>
        <v/>
      </c>
      <c r="NN124" s="164">
        <f>IFERROR(VLOOKUP(SUBSTITUTE(SUBSTITUTE(SUBSTITUTE($NA124,"~","~~"),"*","~*"),"?","~?"),'DADOS_MELHORIAS'!$AG$2:$AL$113,2,FALSE),"")</f>
        <v/>
      </c>
      <c r="NO124" s="164">
        <f>IFERROR(VLOOKUP(SUBSTITUTE(SUBSTITUTE(SUBSTITUTE($MX124,"~","~~"),"*","~*"),"?","~?"),'DADOS_MELHORIAS'!$AG$2:$AL$113,3,FALSE),0)</f>
        <v/>
      </c>
      <c r="NP124" s="164">
        <f>IFERROR(VLOOKUP(SUBSTITUTE(SUBSTITUTE(SUBSTITUTE($MY124,"~","~~"),"*","~*"),"?","~?"),'DADOS_MELHORIAS'!$AG$2:$AL$113,3,FALSE),0)</f>
        <v/>
      </c>
      <c r="NQ124" s="164">
        <f>IFERROR(VLOOKUP(SUBSTITUTE(SUBSTITUTE(SUBSTITUTE($MZ124,"~","~~"),"*","~*"),"?","~?"),'DADOS_MELHORIAS'!$AG$2:$AL$113,3,FALSE),0)</f>
        <v/>
      </c>
      <c r="NR124" s="164">
        <f>IFERROR(VLOOKUP(SUBSTITUTE(SUBSTITUTE(SUBSTITUTE($NA124,"~","~~"),"*","~*"),"?","~?"),'DADOS_MELHORIAS'!$AG$2:$AL$113,3,FALSE),0)</f>
        <v/>
      </c>
      <c r="NS124" s="164">
        <f>IF($MS124=0,0,IF($NJ124=0,0,INDEX('DADOS_FORMAS'!$GB$2:$GB$21,$NJ124)))</f>
        <v/>
      </c>
      <c r="NT124" s="164">
        <f>IF(OR($NO124=0,$MS124=0),0,$NO124+3*IF(AND($NK124&lt;&gt;"",COUNTIF(INDEX($RB$2:$RJ$13,$MO124,0),$NK124)&gt;0),1,0))</f>
        <v/>
      </c>
      <c r="NU124" s="164">
        <f>IF(OR($NP124=0,$MS124=0),0,$NP124+3*IF(AND($NL124&lt;&gt;"",COUNTIF(INDEX($RB$2:$RJ$13,$MO124,0),$NL124)&gt;0),1,0))</f>
        <v/>
      </c>
      <c r="NV124" s="164">
        <f>IF(OR($NQ124=0,$MS124=0),0,$NQ124+3*IF(AND($NM124&lt;&gt;"",COUNTIF(INDEX($RB$2:$RJ$13,$MO124,0),$NM124)&gt;0),1,0))</f>
        <v/>
      </c>
      <c r="NW124" s="164">
        <f>IF(OR($NR124=0,$MS124=0),0,$NR124+3*IF(AND($NN124&lt;&gt;"",COUNTIF(INDEX($RB$2:$RJ$13,$MO124,0),$NN124)&gt;0),1,0))</f>
        <v/>
      </c>
      <c r="NX124" s="164">
        <f>IF($NJ124=0,0,IF(INDEX('DADOS_FORMAS'!$GA$2:$GA$21,$NJ124)="",0,IF((COUNTIF(INDEX($EL$2:$EP$13,$MO124,0),INDEX('DADOS_FORMAS'!$GA$2:$GA$21,$NJ124))+COUNTIF(INDEX($QV$2:$QY$13,$MO124,0),INDEX('DADOS_FORMAS'!$GA$2:$GA$21,$NJ124)))=0,1,0)))</f>
        <v/>
      </c>
      <c r="NY124" s="164">
        <f>IF(OR($NO124=0,$NK124=""),0,IF((COUNTIF(INDEX($EL$2:$EP$13,$MO124,0),$NK124)+COUNTIF(INDEX($QV$2:$QY$13,$MO124,0),$NK124))=0,1,0))</f>
        <v/>
      </c>
      <c r="NZ124" s="164">
        <f>IF(OR($NP124=0,$NL124=""),0,IF((COUNTIF(INDEX($EL$2:$EP$13,$MO124,0),$NL124)+COUNTIF(INDEX($QV$2:$QY$13,$MO124,0),$NL124))=0,1,0))</f>
        <v/>
      </c>
      <c r="OA124" s="164">
        <f>IF(OR($NQ124=0,$NM124=""),0,IF((COUNTIF(INDEX($EL$2:$EP$13,$MO124,0),$NM124)+COUNTIF(INDEX($QV$2:$QY$13,$MO124,0),$NM124))=0,1,0))</f>
        <v/>
      </c>
      <c r="OB124" s="164">
        <f>IF(OR($NR124=0,$NN124=""),0,IF((COUNTIF(INDEX($EL$2:$EP$13,$MO124,0),$NN124)+COUNTIF(INDEX($QV$2:$QY$13,$MO124,0),$NN124))=0,1,0))</f>
        <v/>
      </c>
      <c r="OC124" s="164">
        <f>IFERROR(VLOOKUP(SUBSTITUTE(SUBSTITUTE(SUBSTITUTE($MX124,"~","~~"),"*","~*"),"?","~?"),'DADOS_MELHORIAS'!$AG$2:$AL$113,4,FALSE),0)+IFERROR(VLOOKUP(SUBSTITUTE(SUBSTITUTE(SUBSTITUTE($MY124,"~","~~"),"*","~*"),"?","~?"),'DADOS_MELHORIAS'!$AG$2:$AL$113,4,FALSE),0)+IFERROR(VLOOKUP(SUBSTITUTE(SUBSTITUTE(SUBSTITUTE($MZ124,"~","~~"),"*","~*"),"?","~?"),'DADOS_MELHORIAS'!$AG$2:$AL$113,4,FALSE),0)+IFERROR(VLOOKUP(SUBSTITUTE(SUBSTITUTE(SUBSTITUTE($NA124,"~","~~"),"*","~*"),"?","~?"),'DADOS_MELHORIAS'!$AG$2:$AL$113,4,FALSE),0)</f>
        <v/>
      </c>
      <c r="OD124" s="164">
        <f>IFERROR(VLOOKUP(SUBSTITUTE(SUBSTITUTE(SUBSTITUTE($MX124,"~","~~"),"*","~*"),"?","~?"),'DADOS_MELHORIAS'!$AG$2:$AL$113,6,FALSE),0)+IFERROR(VLOOKUP(SUBSTITUTE(SUBSTITUTE(SUBSTITUTE($MY124,"~","~~"),"*","~*"),"?","~?"),'DADOS_MELHORIAS'!$AG$2:$AL$113,6,FALSE),0)+IFERROR(VLOOKUP(SUBSTITUTE(SUBSTITUTE(SUBSTITUTE($MZ124,"~","~~"),"*","~*"),"?","~?"),'DADOS_MELHORIAS'!$AG$2:$AL$113,6,FALSE),0)+IFERROR(VLOOKUP(SUBSTITUTE(SUBSTITUTE(SUBSTITUTE($NA124,"~","~~"),"*","~*"),"?","~?"),'DADOS_MELHORIAS'!$AG$2:$AL$113,6,FALSE),0)+IFERROR(N(AND(INDEX('DADOS_FORMAS'!$AO$2:$AO$21,MATCH(SUBSTITUTE(SUBSTITUTE(SUBSTITUTE($MU124,"~","~~"),"*","~*"),"?","~?"),'DADOS_FORMAS'!$AH$2:$AH$21,0))="Acerto",$OH124=1)),0)</f>
        <v/>
      </c>
      <c r="OE124" s="164">
        <f>TEXTJOIN(", ",TRUE,IF(IFERROR(VLOOKUP(SUBSTITUTE(SUBSTITUTE(SUBSTITUTE($MX124,"~","~~"),"*","~*"),"?","~?"),'DADOS_MELHORIAS'!$AG$2:$AL$113,5,FALSE),0)=1,$MX124,""),IF(IFERROR(VLOOKUP(SUBSTITUTE(SUBSTITUTE(SUBSTITUTE($MY124,"~","~~"),"*","~*"),"?","~?"),'DADOS_MELHORIAS'!$AG$2:$AL$113,5,FALSE),0)=1,$MY124,""),IF(IFERROR(VLOOKUP(SUBSTITUTE(SUBSTITUTE(SUBSTITUTE($MZ124,"~","~~"),"*","~*"),"?","~?"),'DADOS_MELHORIAS'!$AG$2:$AL$113,5,FALSE),0)=1,$MZ124,""),IF(IFERROR(VLOOKUP(SUBSTITUTE(SUBSTITUTE(SUBSTITUTE($NA124,"~","~~"),"*","~*"),"?","~?"),'DADOS_MELHORIAS'!$AG$2:$AL$113,5,FALSE),0)=1,$NA124,""))</f>
        <v/>
      </c>
      <c r="OF124" s="164">
        <f>IF($NJ124=0,0,INDEX('DADOS_FORMAS'!$GC$2:$GC$21,$NJ124))</f>
        <v/>
      </c>
      <c r="OG124" s="164">
        <f>IF($NJ124=0,0,INDEX('DADOS_FORMAS'!$GD$2:$GD$21,$NJ124))</f>
        <v/>
      </c>
      <c r="OH124" s="164">
        <f>IF($NJ124=0,0,INDEX('DADOS_FORMAS'!$GF$2:$GF$21,$NJ124))</f>
        <v/>
      </c>
      <c r="OI124" s="164">
        <f>IFERROR(VLOOKUP(SUBSTITUTE(SUBSTITUTE(SUBSTITUTE($NB124,"~","~~"),"*","~*"),"?","~?"),'DADOS_RESTRICOES'!$M$2:$Q$54,3,FALSE),0)</f>
        <v/>
      </c>
      <c r="OJ124" s="164">
        <f>IFERROR(VLOOKUP(SUBSTITUTE(SUBSTITUTE(SUBSTITUTE($NC124,"~","~~"),"*","~*"),"?","~?"),'DADOS_RESTRICOES'!$M$2:$Q$54,3,FALSE),0)</f>
        <v/>
      </c>
      <c r="OK124" s="164">
        <f>IFERROR(VLOOKUP(SUBSTITUTE(SUBSTITUTE(SUBSTITUTE($NB124,"~","~~"),"*","~*"),"?","~?"),'DADOS_RESTRICOES'!$M$2:$Q$54,2,FALSE),"")</f>
        <v/>
      </c>
      <c r="OL124" s="164">
        <f>IFERROR(VLOOKUP(SUBSTITUTE(SUBSTITUTE(SUBSTITUTE($NC124,"~","~~"),"*","~*"),"?","~?"),'DADOS_RESTRICOES'!$M$2:$Q$54,2,FALSE),"")</f>
        <v/>
      </c>
      <c r="OM124" s="164">
        <f>COUNTIF($NS124:$NW124,1)</f>
        <v/>
      </c>
      <c r="ON124" s="164">
        <f>COUNTIF($NS124:$NW124,2)</f>
        <v/>
      </c>
      <c r="OO124" s="164">
        <f>COUNTIF($NS124:$NW124,3)</f>
        <v/>
      </c>
      <c r="OP124" s="164">
        <f>COUNTIF($NS124:$NW124,4)</f>
        <v/>
      </c>
      <c r="OQ124" s="164">
        <f>COUNTIF($NS124:$NW124,5)</f>
        <v/>
      </c>
      <c r="OR124" s="164">
        <f>COUNTIF($NS124:$NW124,6)</f>
        <v/>
      </c>
      <c r="OS124" s="164">
        <f>COUNTIF($OI124:$OJ124,1)+IF(IFERROR(INDEX('DADOS_FORMAS'!$AS$2:$AS$21,MATCH(SUBSTITUTE(SUBSTITUTE(SUBSTITUTE($MU124,"~","~~"),"*","~*"),"?","~?"),'DADOS_FORMAS'!$AH$2:$AH$21,0)),"")="",0,IFERROR(N(VLOOKUP(SUBSTITUTE(SUBSTITUTE(SUBSTITUTE(IFERROR(INDEX('DADOS_FORMAS'!$AS$2:$AS$21,MATCH(SUBSTITUTE(SUBSTITUTE(SUBSTITUTE($MU124,"~","~~"),"*","~*"),"?","~?"),'DADOS_FORMAS'!$AH$2:$AH$21,0)),""),"~","~~"),"*","~*"),"?","~?"),'DADOS_RESTRICOES'!$M$2:$Q$54,3,FALSE)=1),0))</f>
        <v/>
      </c>
      <c r="OT124" s="164">
        <f>COUNTIF($OI124:$OJ124,2)+IF(IFERROR(INDEX('DADOS_FORMAS'!$AS$2:$AS$21,MATCH(SUBSTITUTE(SUBSTITUTE(SUBSTITUTE($MU124,"~","~~"),"*","~*"),"?","~?"),'DADOS_FORMAS'!$AH$2:$AH$21,0)),"")="",0,IFERROR(N(VLOOKUP(SUBSTITUTE(SUBSTITUTE(SUBSTITUTE(IFERROR(INDEX('DADOS_FORMAS'!$AS$2:$AS$21,MATCH(SUBSTITUTE(SUBSTITUTE(SUBSTITUTE($MU124,"~","~~"),"*","~*"),"?","~?"),'DADOS_FORMAS'!$AH$2:$AH$21,0)),""),"~","~~"),"*","~*"),"?","~?"),'DADOS_RESTRICOES'!$M$2:$Q$54,3,FALSE)=2),0))</f>
        <v/>
      </c>
      <c r="OU124" s="164">
        <f>COUNTIF($MX124:$NA124,"?*")</f>
        <v/>
      </c>
      <c r="OV124" s="164">
        <f>COUNTIF($NB124:$NC124,"?*")+$OF124</f>
        <v/>
      </c>
      <c r="OW124" s="164">
        <f>IF($MS124=0,0,SUMPRODUCT($OM124:$OR124,INDEX($I$2:$N$8,MAX(1,$MS124),0)))</f>
        <v/>
      </c>
      <c r="OX124" s="164">
        <f>IF($MS124=0,0,$OS124*CEILING($MS124/2,1)+$OT124*$MS124)</f>
        <v/>
      </c>
      <c r="OY124" s="164">
        <f>MIN(2*$MS124,$OX124)</f>
        <v/>
      </c>
      <c r="OZ124" s="164">
        <f>MIN($OY124,$OW124-IF($NS124=0,0,INDEX($I$2:$N$8,MAX(1,$MS124),$NS124)))</f>
        <v/>
      </c>
      <c r="PA124" s="164">
        <f>$OY124-$OZ124</f>
        <v/>
      </c>
      <c r="PB124" s="164">
        <f>IF($MS124=0,0,INDEX($P$2:$P$8,MAX(1,$MS124)))</f>
        <v/>
      </c>
      <c r="PC124" s="164">
        <f>$PB124-$OW124+$OZ124</f>
        <v/>
      </c>
      <c r="PD124" s="164">
        <f>IF($MS124=0,MAX(0,$NG124-IF(AND($OU124&gt;0,COUNTIF($NB124:$NC124,"?*")=0),1,0)),MAX(0,$PC124))</f>
        <v/>
      </c>
      <c r="PE124" s="164">
        <f>IF($MS124=0,0,(IF(COUNTIF($RK124:$RN124,"Salto")&gt;0,1,0)+IF(COUNTIF($RK124:$RN124,"Queima")&gt;0,1,0)+IF(COUNTIF($RK124:$RN124,"Estilhaço")&gt;0,1,0))*FLOOR($PD124/2,1))</f>
        <v/>
      </c>
      <c r="PF124" s="164">
        <f>MAX(0,2-SUMPRODUCT($OM124:$OR124,$I$2:$N$2)+MIN(2,$OS124*1+$OT124*1,SUMPRODUCT($OM124:$OR124,$I$2:$N$2)-IF($NS124=0,0,INDEX($I$2:$N$2,1,$NS124))))</f>
        <v/>
      </c>
      <c r="PG124" s="164">
        <f>MAX(0,4-SUMPRODUCT($OM124:$OR124,$I$3:$N$3)+MIN(4,$OS124*1+$OT124*2,SUMPRODUCT($OM124:$OR124,$I$3:$N$3)-IF($NS124=0,0,INDEX($I$3:$N$3,1,$NS124))))</f>
        <v/>
      </c>
      <c r="PH124" s="164">
        <f>MAX(0,6-SUMPRODUCT($OM124:$OR124,$I$4:$N$4)+MIN(6,$OS124*2+$OT124*3,SUMPRODUCT($OM124:$OR124,$I$4:$N$4)-IF($NS124=0,0,INDEX($I$4:$N$4,1,$NS124))))</f>
        <v/>
      </c>
      <c r="PI124" s="164">
        <f>MAX(0,9-SUMPRODUCT($OM124:$OR124,$I$5:$N$5)+MIN(8,$OS124*2+$OT124*4,SUMPRODUCT($OM124:$OR124,$I$5:$N$5)-IF($NS124=0,0,INDEX($I$5:$N$5,1,$NS124))))</f>
        <v/>
      </c>
      <c r="PJ124" s="164">
        <f>MAX(0,11-SUMPRODUCT($OM124:$OR124,$I$6:$N$6)+MIN(10,$OS124*3+$OT124*5,SUMPRODUCT($OM124:$OR124,$I$6:$N$6)-IF($NS124=0,0,INDEX($I$6:$N$6,1,$NS124))))</f>
        <v/>
      </c>
      <c r="PK124" s="164">
        <f>MAX(0,13-SUMPRODUCT($OM124:$OR124,$I$7:$N$7)+MIN(12,$OS124*3+$OT124*6,SUMPRODUCT($OM124:$OR124,$I$7:$N$7)-IF($NS124=0,0,INDEX($I$7:$N$7,1,$NS124))))</f>
        <v/>
      </c>
      <c r="PL124" s="164">
        <f>MAX(0,16-SUMPRODUCT($OM124:$OR124,$I$8:$N$8)+MIN(14,$OS124*4+$OT124*7,SUMPRODUCT($OM124:$OR124,$I$8:$N$8)-IF($NS124=0,0,INDEX($I$8:$N$8,1,$NS124))))</f>
        <v/>
      </c>
      <c r="PM124" s="164">
        <f>IF($OG124=2,3*$PF124&amp;" de vida temp.",IF($OG124=3,"sem dano",IF($PF124=0,IF($OG124=1,"sem cura","sem dano"),IF($OG124=1,"cura ","")&amp;$PF124&amp;"d8")))</f>
        <v/>
      </c>
      <c r="PN124" s="164">
        <f>IF($OG124=2,3*$PG124&amp;" de vida temp.",IF($OG124=3,"sem dano",IF($PG124=0,IF($OG124=1,"sem cura","sem dano"),IF($OG124=1,"cura ","")&amp;$PG124&amp;"d8")))</f>
        <v/>
      </c>
      <c r="PO124" s="164">
        <f>IF($OG124=2,3*$PH124&amp;" de vida temp.",IF($OG124=3,"sem dano",IF($PH124=0,IF($OG124=1,"sem cura","sem dano"),IF($OG124=1,"cura ","")&amp;$PH124&amp;"d8")))</f>
        <v/>
      </c>
      <c r="PP124" s="164">
        <f>IF($OG124=2,3*$PI124&amp;" de vida temp.",IF($OG124=3,"sem dano",IF($PI124=0,IF($OG124=1,"sem cura","sem dano"),IF($OG124=1,"cura ","")&amp;$PI124&amp;"d8")))</f>
        <v/>
      </c>
      <c r="PQ124" s="164">
        <f>IF($OG124=2,3*$PJ124&amp;" de vida temp.",IF($OG124=3,"sem dano",IF($PJ124=0,IF($OG124=1,"sem cura","sem dano"),IF($OG124=1,"cura ","")&amp;$PJ124&amp;"d8")))</f>
        <v/>
      </c>
      <c r="PR124" s="164">
        <f>IF($OG124=2,3*$PK124&amp;" de vida temp.",IF($OG124=3,"sem dano",IF($PK124=0,IF($OG124=1,"sem cura","sem dano"),IF($OG124=1,"cura ","")&amp;$PK124&amp;"d8")))</f>
        <v/>
      </c>
      <c r="PS124" s="164">
        <f>IF($OG124=2,3*$PL124&amp;" de vida temp.",IF($OG124=3,"sem dano",IF($PL124=0,IF($OG124=1,"sem cura","sem dano"),IF($OG124=1,"cura ","")&amp;$PL124&amp;"d8")))</f>
        <v/>
      </c>
      <c r="PT124" s="164">
        <f>IF($ND124=0,"",TEXTJOIN(" · ",TRUE,IF($ND124=0,"",TEXTJOIN(" · ",TRUE,IF($ND124=0,"",TEXTJOIN(" · ",TRUE,IF($MQ124&gt;$NE124,"Este lugar abre no nível "&amp;$MQ124,""),IF($MS124&gt;$NF124,"Classe "&amp;$MS124&amp;": o nível "&amp;$NE124&amp;" libera até a "&amp;$NF124,""),IF($NX124=1,"A Forma "&amp;$MU124&amp;" pede "&amp;INDEX('DADOS_FORMAS'!$GA$2:$GA$21,$NJ124)&amp;" aberta",""),IF(AND($MS124=0,$NJ124&gt;0,IF($NJ124=0,0,INDEX('DADOS_FORMAS'!$GJ$2:$GJ$21,$NJ124))=0),$MU124&amp;" não existe na Classe 0",""),IF($NY124=1,"Família Fechada: "&amp;$MX124,""),IF($NZ124=1,"Família Fechada: "&amp;$MY124,""),IF($OA124=1,"Família Fechada: "&amp;$MZ124,""),IF($OB124=1,"Família Fechada: "&amp;$NA124,""),IF(AND($MS124&gt;0,$OU124&gt;INDEX($O$2:$O$8,MAX(1,$MS124))),$OU124&amp;" Melhorias: a Classe "&amp;$MS124&amp;" aceita "&amp;INDEX($O$2:$O$8,MAX(1,$MS124)),""),IF(AND($MS124=0,$OU124&gt;1),"A básica aceita uma Melhoria",""),IF(AND($MS124=0,COUNTIF($NO124:$NR124,"&gt;1")&gt;0),"A básica só aceita Melhoria Leve",""),IF(AND($MS124&gt;0,$OV124&gt;2),$OV124&amp;" Restrições"&amp;IF($OF124=1,", contando a que a Forma "&amp;$MU124&amp;" já traz","")&amp;": o limite é 2",""),IF(AND($MS124=0,COUNTIF($NB124:$NC124,"?*")&gt;1),"A básica aceita uma Restrição Leve",""),IF(AND($MS124=0,COUNTIF($OI124:$OJ124,2)&gt;0),"A básica só aceita Restrição Leve",""),IF(AND($MS124&gt;0,$PC124&lt;0),"Orçamento estourado: faltam "&amp;(-$PC124)&amp;IF($PC124&lt;-1," pontos"," ponto"),""),IF(IFERROR(VLOOKUP(SUBSTITUTE(SUBSTITUTE(SUBSTITUTE($NB124,"~","~~"),"*","~*"),"?","~?"),'DADOS_RESTRICOES'!$M$2:$Q$54,4,FALSE),0)+IFERROR(VLOOKUP(SUBSTITUTE(SUBSTITUTE(SUBSTITUTE($NC124,"~","~~"),"*","~*"),"?","~?"),'DADOS_RESTRICOES'!$M$2:$Q$54,4,FALSE),0)&gt;1,$OK124&amp;" e "&amp;$OL124&amp;" são as duas de frequência",""),IF(AND((COUNTIF($RK124:$RN124,"Rápido")+COUNTIF($OK124:$OL124,"Rápido"))&gt;0,(COUNTIF($MX124:$NA124,"Atrasar")+COUNTIF($OK124:$OL124,"Atrasar"))&gt;0),"Rápido não entra com Atrasar",""),IF(AND((COUNTIF($RK124:$RN124,"Reação")+COUNTIF($OK124:$OL124,"Reação"))&gt;0,(COUNTIF($RK124:$RN124,"Rápido")+COUNTIF($OK124:$OL124,"Rápido"))&gt;0),"Reação não entra com Rápido",""),IF(AND((COUNTIF($RK124:$RN124,"Reação")+COUNTIF($OK124:$OL124,"Reação"))&gt;0,(COUNTIF($RK124:$RN124,"Armado")+COUNTIF($OK124:$OL124,"Armado"))&gt;0),"Reação não entra com Armado",""),IF(AND((COUNTIF($RK124:$RN124,"Reação")+COUNTIF($OK124:$OL124,"Reação"))&gt;0,(COUNTIF($MX124:$NA124,"Atrasar")+COUNTIF($OK124:$OL124,"Atrasar"))&gt;0),"Reação não entra com Atrasar",""),IF(AND((COUNTIF($RK124:$RN124,"Reação")+COUNTIF($OK124:$OL124,"Reação"))&gt;0,(COUNTIF($MX124:$NA124,"Parado")+COUNTIF($OK124:$OL124,"Parado"))&gt;0),"Reação não entra com Parado",""),IF(AND((COUNTIF($MX124:$NA124,"Atrasar")+COUNTIF($OK124:$OL124,"Atrasar"))&gt;0,(COUNTIF($MX124:$NA124,"Parado")+COUNTIF($OK124:$OL124,"Parado"))&gt;0),"Atrasar não entra com Parado",""),IF(AND((COUNTIF($RK124:$RN124,"Armado")+COUNTIF($OK124:$OL124,"Armado"))&gt;0,(COUNTIF($MX124:$NA124,"Carregar")+COUNTIF($OK124:$OL124,"Carregar"))&gt;0),"Armado não entra com Carregar",""),IF(AND(COUNTIF($OK124:$OL124,"Corpo a Corpo")&gt;0,$OF124=0,OR($RO124="Cone",$RO124="Linha")),"Corpo a Corpo não entra em "&amp;$MU124,""),IF(AND(COUNTIF($OK124:$OL124,"Corpo a Corpo")&gt;0,$RP124="Corpo a Corpo"),"A Forma "&amp;$MU124&amp;" já traz o Corpo a Corpo",""),IF(AND(COUNTIF($OK124:$OL124,"Tudo ou Nada")&gt;0,$OH124=0),"Tudo ou Nada só entra em habilidade de Teste de Resistência",""),IF(AND(COUNTIF($RK124:$RN124,"Inescapável")&gt;0,OR($OU124&gt;1,$OV124&gt;0)),"Inescapável não aceita outra peça",""),IF(AND($MS124&gt;0,$PD124*IF(COUNTIF($RK124:$RN124,"Remate")&gt;0,1.25,1)+$PE124&gt;4*$MS124),($PD124*IF(COUNTIF($RK124:$RN124,"Remate")&gt;0,1.25,1)+$PE124)&amp;" dados somando repetições"&amp;IF(COUNTIF($RK124:$RN124,"Remate")&gt;0," e o Remate","")&amp;": o teto da Classe "&amp;$MS124&amp;" é "&amp;4*$MS124,""))),IF(AND($MX124&lt;&gt;"",COUNTIF('DADOS_MELHORIAS'!$O$2:$O$113,SUBSTITUTE(SUBSTITUTE(SUBSTITUTE($MX124,"~","~~"),"*","~*"),"?","~?"))=0),"Melhoria não cadastrada ou com erro: "&amp;$MX124,""),IF(AND($MY124&lt;&gt;"",COUNTIF('DADOS_MELHORIAS'!$O$2:$O$113,SUBSTITUTE(SUBSTITUTE(SUBSTITUTE($MY124,"~","~~"),"*","~*"),"?","~?"))=0),"Melhoria não cadastrada ou com erro: "&amp;$MY124,""),IF(AND($MZ124&lt;&gt;"",COUNTIF('DADOS_MELHORIAS'!$O$2:$O$113,SUBSTITUTE(SUBSTITUTE(SUBSTITUTE($MZ124,"~","~~"),"*","~*"),"?","~?"))=0),"Melhoria não cadastrada ou com erro: "&amp;$MZ124,""),IF(AND($NA124&lt;&gt;"",COUNTIF('DADOS_MELHORIAS'!$O$2:$O$113,SUBSTITUTE(SUBSTITUTE(SUBSTITUTE($NA124,"~","~~"),"*","~*"),"?","~?"))=0),"Melhoria não cadastrada ou com erro: "&amp;$NA124,""),IF(AND($NB124&lt;&gt;"",COUNTIF('DADOS_RESTRICOES'!$M$2:$M$54,SUBSTITUTE(SUBSTITUTE(SUBSTITUTE($NB124,"~","~~"),"*","~*"),"?","~?"))=0),"Restrição não cadastrada ou com erro: "&amp;$NB124,""),IF(AND($NC124&lt;&gt;"",COUNTIF('DADOS_RESTRICOES'!$M$2:$M$54,SUBSTITUTE(SUBSTITUTE(SUBSTITUTE($NC124,"~","~~"),"*","~*"),"?","~?"))=0),"Restrição não cadastrada ou com erro: "&amp;$NC124,""))),IF(AND($MU124&lt;&gt;"",COUNTIF('DADOS_FORMAS'!$AH$2:$AH$21,SUBSTITUTE(SUBSTITUTE(SUBSTITUTE($MU124,"~","~~"),"*","~*"),"?","~?"))=0),"Forma não cadastrada ou com erro: "&amp;$MU124,""),IF(AND(IFERROR(INDEX('DADOS_FORMAS'!$AS$2:$AS$21,MATCH(SUBSTITUTE(SUBSTITUTE(SUBSTITUTE($MU124,"~","~~"),"*","~*"),"?","~?"),'DADOS_FORMAS'!$AH$2:$AH$21,0)),"")&lt;&gt;"",OR(IFERROR(VLOOKUP(SUBSTITUTE(SUBSTITUTE(SUBSTITUTE(IFERROR(INDEX('DADOS_FORMAS'!$AS$2:$AS$21,MATCH(SUBSTITUTE(SUBSTITUTE(SUBSTITUTE($MU124,"~","~~"),"*","~*"),"?","~?"),'DADOS_FORMAS'!$AH$2:$AH$21,0)),""),"~","~~"),"*","~*"),"?","~?"),'DADOS_RESTRICOES'!$M$2:$Q$54,2,FALSE),"")=$OK124,IFERROR(VLOOKUP(SUBSTITUTE(SUBSTITUTE(SUBSTITUTE(IFERROR(INDEX('DADOS_FORMAS'!$AS$2:$AS$21,MATCH(SUBSTITUTE(SUBSTITUTE(SUBSTITUTE($MU124,"~","~~"),"*","~*"),"?","~?"),'DADOS_FORMAS'!$AH$2:$AH$21,0)),""),"~","~~"),"*","~*"),"?","~?"),'DADOS_RESTRICOES'!$M$2:$Q$54,2,FALSE),"")=$OL124)),"Restrição repetida, contando a embutida",""),IF(IF(IFERROR(INDEX('DADOS_FORMAS'!$AS$2:$AS$21,MATCH(SUBSTITUTE(SUBSTITUTE(SUBSTITUTE($MU124,"~","~~"),"*","~*"),"?","~?"),'DADOS_FORMAS'!$AH$2:$AH$21,0)),"")="",0,IFERROR(N(VLOOKUP(SUBSTITUTE(SUBSTITUTE(SUBSTITUTE(IFERROR(INDEX('DADOS_FORMAS'!$AS$2:$AS$21,MATCH(SUBSTITUTE(SUBSTITUTE(SUBSTITUTE($MU124,"~","~~"),"*","~*"),"?","~?"),'DADOS_FORMAS'!$AH$2:$AH$21,0)),""),"~","~~"),"*","~*"),"?","~?"),'DADOS_RESTRICOES'!$M$2:$Q$54,4,FALSE)=1),0))+IF($NB124="",0,IFERROR(N(VLOOKUP(SUBSTITUTE(SUBSTITUTE(SUBSTITUTE($NB124,"~","~~"),"*","~*"),"?","~?"),'DADOS_RESTRICOES'!$M$2:$Q$54,4,FALSE)=1),0))+IF($NC124="",0,IFERROR(N(VLOOKUP(SUBSTITUTE(SUBSTITUTE(SUBSTITUTE($NC124,"~","~~"),"*","~*"),"?","~?"),'DADOS_RESTRICOES'!$M$2:$Q$54,4,FALSE)=1),0))&gt;1,"Duas Restrições de frequência, contando a embutida",""),IF(AND(IFERROR(VLOOKUP(SUBSTITUTE(SUBSTITUTE(SUBSTITUTE(IFERROR(INDEX('DADOS_FORMAS'!$AS$2:$AS$21,MATCH(SUBSTITUTE(SUBSTITUTE(SUBSTITUTE($MU124,"~","~~"),"*","~*"),"?","~?"),'DADOS_FORMAS'!$AH$2:$AH$21,0)),""),"~","~~"),"*","~*"),"?","~?"),'DADOS_RESTRICOES'!$M$2:$Q$54,2,FALSE),"")="Tudo ou Nada",$OH124=0),"Tudo ou Nada exige TR",""),IF(AND(IFERROR(VLOOKUP(SUBSTITUTE(SUBSTITUTE(SUBSTITUTE(IFERROR(INDEX('DADOS_FORMAS'!$AS$2:$AS$21,MATCH(SUBSTITUTE(SUBSTITUTE(SUBSTITUTE($MU124,"~","~~"),"*","~*"),"?","~?"),'DADOS_FORMAS'!$AH$2:$AH$21,0)),""),"~","~~"),"*","~*"),"?","~?"),'DADOS_RESTRICOES'!$M$2:$Q$54,2,FALSE),"")="Corpo a Corpo",OR($RO124="Cone",$RO124="Linha")),"Corpo a Corpo não entra em Cone/Linha","")))</f>
        <v/>
      </c>
      <c r="PU124" s="164">
        <f>IF($PT124="",0,(LEN($PT124)-LEN(SUBSTITUTE($PT124," · ","")))/3+1)</f>
        <v/>
      </c>
      <c r="PV124" s="164">
        <f>IF($ND124=0,"",TEXTJOIN(" · ",TRUE,IF($OX124&gt;2*$MS124,"A devolução parou no teto de "&amp;2*$MS124,""),IF($PA124&gt;0,"Devolução perdida: "&amp;$PA124&amp;IF($PA124&gt;1," pontos"," ponto")&amp;" sem Melhoria para pagar",""),IF(AND($OC124&gt;0,AND($MS124&gt;0,$OG124=0),$PD124=0),"Controle sem dano: uma rodada a mais e CD +2",""),IF(AND($OC124&gt;0,AND($MS124&gt;0,$OG124=0),$PD124&gt;0,$PD124&lt;=$MS124),"Controle com saldo até a Classe: uma rodada a mais",""),IF(AND($MS124&gt;0,$OE124&lt;&gt;""),"Efeito de "&amp;$OE124&amp;" pela Classe "&amp;MAX(1,$MS124-1),"")))</f>
        <v/>
      </c>
      <c r="PW124" s="164">
        <f>IF($PV124="",0,(LEN($PV124)-LEN(SUBSTITUTE($PV124," · ","")))/3+1)</f>
        <v/>
      </c>
      <c r="PX124" s="164">
        <f>IF($ND124=0,IF($OU124+COUNTIF($NB124:$NC124,"?*")&gt;0,"Dê um nome",""),IF($PU124&gt;0,"⚠ "&amp;$PU124&amp;IF($PU124&gt;1," erros"," erro"),IF($PW124&gt;0,"! "&amp;$PW124&amp;IF($PW124&gt;1," avisos"," aviso"),"Na regra")))</f>
        <v/>
      </c>
      <c r="PY124" s="164">
        <f>IF($ND124=0,"",IF($PU124+$PW124=0,"Dentro das regras que a ficha confere",$PT124&amp;IF(AND($PU124&gt;0,$PW124&gt;0)," · ","")&amp;$PV124))</f>
        <v/>
      </c>
      <c r="PZ124" s="164">
        <f>IF($MQ124&gt;$NE124,$MR124&amp;" · ABRE NO NÍVEL "&amp;$MQ124,$MR124)</f>
        <v/>
      </c>
      <c r="QA124" s="164">
        <f>IF($ND124=0,"",IF($MS124=0,"Sem PE",3*$MS124&amp;" PE"))</f>
        <v/>
      </c>
      <c r="QB124" s="164">
        <f>IF($ND124=0,"",IF($MS124=0,"A atuação básica dela",IF(COUNTIF($RQ124:$RS124,"Atrasar")&gt;0,"Sua Ação Completa",IF(COUNTIF($RK124:$RN124,"Rápido")&gt;0,"Sua Bônus",IF(COUNTIF($RK124:$RN124,"Reação")&gt;0,"Sua Reação","Sua Padrão")))&amp;" + a básica dela"&amp;IF(COUNTIF($RK124:$RN124,"Reação")&gt;0," e a coletiva","")&amp;IF(COUNTIF($RQ124:$RS124,"Carregar")&gt;0," · em dois turnos","")))</f>
        <v/>
      </c>
      <c r="QC124" s="164">
        <f>IF($MW124&lt;&gt;"",$MW124,IF($NJ124=0,"",INDEX('DADOS_FORMAS'!$GE$2:$GE$21,$NJ124)))</f>
        <v/>
      </c>
      <c r="QD124" s="164">
        <f>IF(OR($ND124=0,$NJ124=0),"",IF(COUNTIF($RK124:$RN124,"Inescapável")&gt;0,"Automático",IF($QC124="Ataque",IF($NH124="","Ataque","Ataque "&amp;IF(($NH124+2*IF(COUNTIF($RK124:$RN124,"Precisão")&gt;0,1,0))&gt;=0,"+","−")&amp;ABS(($NH124+2*IF(COUNTIF($RK124:$RN124,"Precisão")&gt;0,1,0))))&amp;IF($OD124&gt;0," · TR"&amp;IF($NI124="",""," CD "&amp;$NI124),""),IF(LEFT($QC124,2)="TR",$QC124&amp;IF($NI124="",""," · CD "&amp;$NI124)&amp;IF(COUNTIF($RK124:$RN124,"Certeiro")&gt;0," · metade",""),"Sem rolagem"))))</f>
        <v/>
      </c>
      <c r="QE124" s="164">
        <f>IF(OR($ND124=0,$NJ124=0),"",IF($MS124=0,IF(OR($OG124&gt;=1,$PD124=0),"Sem dano",$PD124&amp;"d6"&amp;IF($MV124="",""," "&amp;$MV124)),IF(OR($OG124&gt;=1,$PD124=0),UPPER(LEFT(INDEX($PM124:$PS124,1,MAX(1,$MS124)),1))&amp;MID(INDEX($PM124:$PS124,1,MAX(1,$MS124)),2,99),UPPER(LEFT(INDEX($PM124:$PS124,1,MAX(1,$MS124)),1))&amp;MID(INDEX($PM124:$PS124,1,MAX(1,$MS124)),2,99)&amp;IF($MV124="",""," "&amp;$MV124)&amp;IF($PE124&gt;0," · +"&amp;$PE124&amp;"d8",""))))</f>
        <v/>
      </c>
      <c r="QF124" s="164">
        <f>COUNTIF($RK124:$RN124,"Longe")+3*COUNTIF($RK124:$RN124,"Muito Longe")</f>
        <v/>
      </c>
      <c r="QG124" s="164">
        <f>COUNTIF($RK124:$RN124,"Maior")+3*COUNTIF($RK124:$RN124,"Muito Maior")</f>
        <v/>
      </c>
      <c r="QH124" s="164">
        <f>IF($NJ124=0,0,CHOOSE(1+INDEX('DADOS_FORMAS'!$GG$2:$GG$21,$NJ124),0,$QF124,$QG124,$QF124+$QG124))</f>
        <v/>
      </c>
      <c r="QI124" s="164">
        <f>IF($NJ124=0,0,CHOOSE(1+INDEX('DADOS_FORMAS'!$GH$2:$GH$21,$NJ124),0,$QF124,$QG124,$QF124+$QG124))</f>
        <v/>
      </c>
      <c r="QJ124" s="164">
        <f>IF(OR($ND124=0,$NJ124=0),"",INDEX('DADOS_FORMAS'!$HU$2:$HZ$81,($NJ124-1)*4+IF($MS124=0,1,IF($MS124&lt;=5,2,IF($MS124=6,3,4))),1+MIN(5,$QH124))&amp;INDEX('DADOS_FORMAS'!$IA$2:$IF$81,($NJ124-1)*4+IF($MS124=0,1,IF($MS124&lt;=5,2,IF($MS124=6,3,4))),1+MIN(5,$QI124))&amp;IF(INDEX('DADOS_FORMAS'!$GI$2:$GI$21,$NJ124)=1,IF(COUNTIF($RK124:$RN124,"Mais Um")&gt;0," · +"&amp;COUNTIF($RK124:$RN124,"Mais Um")&amp;IF(COUNTIF($RK124:$RN124,"Mais Um")&gt;1," alvos"," alvo"),"")&amp;IF(COUNTIF($RK124:$RN124,"Rajada")&gt;0,IF($MS124=0," · 1 tiro"," · "&amp;(MAX(1,$MS124-1)+1)&amp;" tiros"),""),""))</f>
        <v/>
      </c>
      <c r="QK124" s="164">
        <f>IF($ND124=0,"",IF($MS124=0,$NG124&amp;"d6"&amp;IF($OU124&gt;0," − 1 = "&amp;$PD124&amp;"d6"," da básica do nível "&amp;$NE124),$PB124&amp;" − "&amp;$OW124&amp;" + "&amp;$OZ124&amp;" = "&amp;$PC124&amp;" · teto "&amp;4*$MS124&amp;"d8"&amp;IF($OF124=1," · a Forma devolve "&amp;$MS124,"")&amp;IF($PA124&gt;0," · perde "&amp;$PA124,"")))</f>
        <v/>
      </c>
      <c r="QL124" s="164">
        <f>IF($ND124=0,"",IF($MS124=0,"A básica não amplia: os dados dela sobem com o nível",IF($MS124&gt;=$NF124,"Já está na maior Classe que o nível liberou",TEXTJOIN(" · ",TRUE,IF(AND(2&gt;$MS124,2&lt;=$NF124),"2 → "&amp;$PN124&amp;", 6 PE",""),IF(AND(3&gt;$MS124,3&lt;=$NF124),"3 → "&amp;$PO124&amp;", 9 PE",""),IF(AND(4&gt;$MS124,4&lt;=$NF124),"4 → "&amp;$PP124&amp;", 12 PE",""),IF(AND(5&gt;$MS124,5&lt;=$NF124),"5 → "&amp;$PQ124&amp;", 15 PE",""),IF(AND(6&gt;$MS124,6&lt;=$NF124),"6 → "&amp;$PR124&amp;", 18 PE",""),IF(AND(7&gt;$MS124,7&lt;=$NF124),"7 → "&amp;$PS124&amp;", 21 PE","")))))</f>
        <v/>
      </c>
      <c r="QM124" s="164">
        <f>IF(OR($ND124=0,$NO124=0),"",IF($MS124=0,"−1 dado","−"&amp;INDEX($I$2:$N$8,MAX(1,$MS124),MAX(1,$NT124))&amp;" · "&amp;CHOOSE(MAX(1,$NT124),"Leve","Média","Pesada","Leve · Livre","Média · Livre","Pesada · Livre")))</f>
        <v/>
      </c>
      <c r="QN124" s="164">
        <f>IF(OR($ND124=0,$NP124=0),"",IF($MS124=0,"−1 dado","−"&amp;INDEX($I$2:$N$8,MAX(1,$MS124),MAX(1,$NU124))&amp;" · "&amp;CHOOSE(MAX(1,$NU124),"Leve","Média","Pesada","Leve · Livre","Média · Livre","Pesada · Livre")))</f>
        <v/>
      </c>
      <c r="QO124" s="164">
        <f>IF(OR($ND124=0,$NQ124=0),"",IF($MS124=0,"−1 dado","−"&amp;INDEX($I$2:$N$8,MAX(1,$MS124),MAX(1,$NV124))&amp;" · "&amp;CHOOSE(MAX(1,$NV124),"Leve","Média","Pesada","Leve · Livre","Média · Livre","Pesada · Livre")))</f>
        <v/>
      </c>
      <c r="QP124" s="164">
        <f>IF(OR($ND124=0,$NR124=0),"",IF($MS124=0,"−1 dado","−"&amp;INDEX($I$2:$N$8,MAX(1,$MS124),MAX(1,$NW124))&amp;" · "&amp;CHOOSE(MAX(1,$NW124),"Leve","Média","Pesada","Leve · Livre","Média · Livre","Pesada · Livre")))</f>
        <v/>
      </c>
      <c r="QQ124" s="164">
        <f>IF(OR($ND124=0,$NB124=""),"",IF($MS124=0,"não devolve","+"&amp;IF($OI124=1,CEILING($MS124/2,1),$MS124)))</f>
        <v/>
      </c>
      <c r="QR124" s="164">
        <f>IF(OR($ND124=0,$NC124=""),"",IF($MS124=0,"não devolve","+"&amp;IF($OJ124=1,CEILING($MS124/2,1),$MS124)))</f>
        <v/>
      </c>
      <c r="RK124">
        <f>IF($MX124="","",IFERROR(VLOOKUP(SUBSTITUTE(SUBSTITUTE(SUBSTITUTE($MX124,"~","~~"),"*","~*"),"?","~?"),'DADOS_MELHORIAS'!$O$2:$X$113,10,FALSE),$MX124))</f>
        <v/>
      </c>
      <c r="RL124">
        <f>IF($MY124="","",IFERROR(VLOOKUP(SUBSTITUTE(SUBSTITUTE(SUBSTITUTE($MY124,"~","~~"),"*","~*"),"?","~?"),'DADOS_MELHORIAS'!$O$2:$X$113,10,FALSE),$MY124))</f>
        <v/>
      </c>
      <c r="RM124">
        <f>IF($MZ124="","",IFERROR(VLOOKUP(SUBSTITUTE(SUBSTITUTE(SUBSTITUTE($MZ124,"~","~~"),"*","~*"),"?","~?"),'DADOS_MELHORIAS'!$O$2:$X$113,10,FALSE),$MZ124))</f>
        <v/>
      </c>
      <c r="RN124">
        <f>IF($NA124="","",IFERROR(VLOOKUP(SUBSTITUTE(SUBSTITUTE(SUBSTITUTE($NA124,"~","~~"),"*","~*"),"?","~?"),'DADOS_MELHORIAS'!$O$2:$X$113,10,FALSE),$NA124))</f>
        <v/>
      </c>
      <c r="RO124">
        <f>IFERROR(INDEX('DADOS_FORMAS'!$BJ$2:$BJ$21,MATCH(SUBSTITUTE(SUBSTITUTE(SUBSTITUTE($MU124,"~","~~"),"*","~*"),"?","~?"),'DADOS_FORMAS'!$AH$2:$AH$21,0)),"")</f>
        <v/>
      </c>
      <c r="RP124">
        <f>IFERROR(VLOOKUP(SUBSTITUTE(SUBSTITUTE(SUBSTITUTE(IFERROR(INDEX('DADOS_FORMAS'!$AS$2:$AS$21,MATCH(SUBSTITUTE(SUBSTITUTE(SUBSTITUTE($MU124,"~","~~"),"*","~*"),"?","~?"),'DADOS_FORMAS'!$AH$2:$AH$21,0)),""),"~","~~"),"*","~*"),"?","~?"),'DADOS_RESTRICOES'!$M$2:$Q$54,2,FALSE),"")</f>
        <v/>
      </c>
      <c r="RQ124">
        <f>$OK124</f>
        <v/>
      </c>
      <c r="RR124">
        <f>$OL124</f>
        <v/>
      </c>
      <c r="RS124">
        <f>$RP124</f>
        <v/>
      </c>
    </row>
    <row r="125">
      <c r="MN125" s="162" t="inlineStr">
        <is>
          <t>Ficha 10 · Especial 5</t>
        </is>
      </c>
      <c r="MO125" s="164" t="n">
        <v>10</v>
      </c>
      <c r="MP125" s="164" t="n">
        <v>1</v>
      </c>
      <c r="MQ125" s="164" t="n">
        <v>16</v>
      </c>
      <c r="MR125" s="162" t="inlineStr">
        <is>
          <t>ESPECIAL 5</t>
        </is>
      </c>
      <c r="MS125" s="164">
        <f>MAX(1,MIN(7,N('INVOCAÇÕES'!$AB$760)))</f>
        <v/>
      </c>
      <c r="MT125" s="164">
        <f>'INVOCAÇÕES'!$AC$760&amp;""</f>
        <v/>
      </c>
      <c r="MU125" s="164">
        <f>'INVOCAÇÕES'!$AB$765&amp;""</f>
        <v/>
      </c>
      <c r="MV125" s="164">
        <f>'INVOCAÇÕES'!$AB$766&amp;""</f>
        <v/>
      </c>
      <c r="MW125" s="164">
        <f>'INVOCAÇÕES'!$AD$766&amp;""</f>
        <v/>
      </c>
      <c r="MX125" s="164">
        <f>'INVOCAÇÕES'!$AC$769&amp;""</f>
        <v/>
      </c>
      <c r="MY125" s="164">
        <f>'INVOCAÇÕES'!$AC$770&amp;""</f>
        <v/>
      </c>
      <c r="MZ125" s="164">
        <f>'INVOCAÇÕES'!$AC$771&amp;""</f>
        <v/>
      </c>
      <c r="NA125" s="164">
        <f>'INVOCAÇÕES'!$AC$772&amp;""</f>
        <v/>
      </c>
      <c r="NB125" s="164">
        <f>'INVOCAÇÕES'!$AC$773&amp;""</f>
        <v/>
      </c>
      <c r="NC125" s="164">
        <f>'INVOCAÇÕES'!$AC$774&amp;""</f>
        <v/>
      </c>
      <c r="ND125" s="164">
        <f>IF($MT125&lt;&gt;"",1,0)</f>
        <v/>
      </c>
      <c r="NE125" s="164">
        <f>INDEX($FO$2:$FO$13,$MO125)</f>
        <v/>
      </c>
      <c r="NF125" s="164">
        <f>INDEX($FP$2:$FP$13,$MO125)</f>
        <v/>
      </c>
      <c r="NG125" s="164">
        <f>INDEX($FQ$2:$FQ$13,$MO125)</f>
        <v/>
      </c>
      <c r="NH125" s="164">
        <f>INDEX($GB$2:$GB$13,$MO125)</f>
        <v/>
      </c>
      <c r="NI125" s="164">
        <f>INDEX($GC$2:$GC$13,$MO125)</f>
        <v/>
      </c>
      <c r="NJ125" s="164">
        <f>IFERROR(MATCH(SUBSTITUTE(SUBSTITUTE(SUBSTITUTE($MU125,"~","~~"),"*","~*"),"?","~?"),'DADOS_FORMAS'!$FZ$2:$FZ$21,0),0)</f>
        <v/>
      </c>
      <c r="NK125" s="164">
        <f>IFERROR(VLOOKUP(SUBSTITUTE(SUBSTITUTE(SUBSTITUTE($MX125,"~","~~"),"*","~*"),"?","~?"),'DADOS_MELHORIAS'!$AG$2:$AL$113,2,FALSE),"")</f>
        <v/>
      </c>
      <c r="NL125" s="164">
        <f>IFERROR(VLOOKUP(SUBSTITUTE(SUBSTITUTE(SUBSTITUTE($MY125,"~","~~"),"*","~*"),"?","~?"),'DADOS_MELHORIAS'!$AG$2:$AL$113,2,FALSE),"")</f>
        <v/>
      </c>
      <c r="NM125" s="164">
        <f>IFERROR(VLOOKUP(SUBSTITUTE(SUBSTITUTE(SUBSTITUTE($MZ125,"~","~~"),"*","~*"),"?","~?"),'DADOS_MELHORIAS'!$AG$2:$AL$113,2,FALSE),"")</f>
        <v/>
      </c>
      <c r="NN125" s="164">
        <f>IFERROR(VLOOKUP(SUBSTITUTE(SUBSTITUTE(SUBSTITUTE($NA125,"~","~~"),"*","~*"),"?","~?"),'DADOS_MELHORIAS'!$AG$2:$AL$113,2,FALSE),"")</f>
        <v/>
      </c>
      <c r="NO125" s="164">
        <f>IFERROR(VLOOKUP(SUBSTITUTE(SUBSTITUTE(SUBSTITUTE($MX125,"~","~~"),"*","~*"),"?","~?"),'DADOS_MELHORIAS'!$AG$2:$AL$113,3,FALSE),0)</f>
        <v/>
      </c>
      <c r="NP125" s="164">
        <f>IFERROR(VLOOKUP(SUBSTITUTE(SUBSTITUTE(SUBSTITUTE($MY125,"~","~~"),"*","~*"),"?","~?"),'DADOS_MELHORIAS'!$AG$2:$AL$113,3,FALSE),0)</f>
        <v/>
      </c>
      <c r="NQ125" s="164">
        <f>IFERROR(VLOOKUP(SUBSTITUTE(SUBSTITUTE(SUBSTITUTE($MZ125,"~","~~"),"*","~*"),"?","~?"),'DADOS_MELHORIAS'!$AG$2:$AL$113,3,FALSE),0)</f>
        <v/>
      </c>
      <c r="NR125" s="164">
        <f>IFERROR(VLOOKUP(SUBSTITUTE(SUBSTITUTE(SUBSTITUTE($NA125,"~","~~"),"*","~*"),"?","~?"),'DADOS_MELHORIAS'!$AG$2:$AL$113,3,FALSE),0)</f>
        <v/>
      </c>
      <c r="NS125" s="164">
        <f>IF($MS125=0,0,IF($NJ125=0,0,INDEX('DADOS_FORMAS'!$GB$2:$GB$21,$NJ125)))</f>
        <v/>
      </c>
      <c r="NT125" s="164">
        <f>IF(OR($NO125=0,$MS125=0),0,$NO125+3*IF(AND($NK125&lt;&gt;"",COUNTIF(INDEX($RB$2:$RJ$13,$MO125,0),$NK125)&gt;0),1,0))</f>
        <v/>
      </c>
      <c r="NU125" s="164">
        <f>IF(OR($NP125=0,$MS125=0),0,$NP125+3*IF(AND($NL125&lt;&gt;"",COUNTIF(INDEX($RB$2:$RJ$13,$MO125,0),$NL125)&gt;0),1,0))</f>
        <v/>
      </c>
      <c r="NV125" s="164">
        <f>IF(OR($NQ125=0,$MS125=0),0,$NQ125+3*IF(AND($NM125&lt;&gt;"",COUNTIF(INDEX($RB$2:$RJ$13,$MO125,0),$NM125)&gt;0),1,0))</f>
        <v/>
      </c>
      <c r="NW125" s="164">
        <f>IF(OR($NR125=0,$MS125=0),0,$NR125+3*IF(AND($NN125&lt;&gt;"",COUNTIF(INDEX($RB$2:$RJ$13,$MO125,0),$NN125)&gt;0),1,0))</f>
        <v/>
      </c>
      <c r="NX125" s="164">
        <f>IF($NJ125=0,0,IF(INDEX('DADOS_FORMAS'!$GA$2:$GA$21,$NJ125)="",0,IF((COUNTIF(INDEX($EL$2:$EP$13,$MO125,0),INDEX('DADOS_FORMAS'!$GA$2:$GA$21,$NJ125))+COUNTIF(INDEX($QV$2:$QY$13,$MO125,0),INDEX('DADOS_FORMAS'!$GA$2:$GA$21,$NJ125)))=0,1,0)))</f>
        <v/>
      </c>
      <c r="NY125" s="164">
        <f>IF(OR($NO125=0,$NK125=""),0,IF((COUNTIF(INDEX($EL$2:$EP$13,$MO125,0),$NK125)+COUNTIF(INDEX($QV$2:$QY$13,$MO125,0),$NK125))=0,1,0))</f>
        <v/>
      </c>
      <c r="NZ125" s="164">
        <f>IF(OR($NP125=0,$NL125=""),0,IF((COUNTIF(INDEX($EL$2:$EP$13,$MO125,0),$NL125)+COUNTIF(INDEX($QV$2:$QY$13,$MO125,0),$NL125))=0,1,0))</f>
        <v/>
      </c>
      <c r="OA125" s="164">
        <f>IF(OR($NQ125=0,$NM125=""),0,IF((COUNTIF(INDEX($EL$2:$EP$13,$MO125,0),$NM125)+COUNTIF(INDEX($QV$2:$QY$13,$MO125,0),$NM125))=0,1,0))</f>
        <v/>
      </c>
      <c r="OB125" s="164">
        <f>IF(OR($NR125=0,$NN125=""),0,IF((COUNTIF(INDEX($EL$2:$EP$13,$MO125,0),$NN125)+COUNTIF(INDEX($QV$2:$QY$13,$MO125,0),$NN125))=0,1,0))</f>
        <v/>
      </c>
      <c r="OC125" s="164">
        <f>IFERROR(VLOOKUP(SUBSTITUTE(SUBSTITUTE(SUBSTITUTE($MX125,"~","~~"),"*","~*"),"?","~?"),'DADOS_MELHORIAS'!$AG$2:$AL$113,4,FALSE),0)+IFERROR(VLOOKUP(SUBSTITUTE(SUBSTITUTE(SUBSTITUTE($MY125,"~","~~"),"*","~*"),"?","~?"),'DADOS_MELHORIAS'!$AG$2:$AL$113,4,FALSE),0)+IFERROR(VLOOKUP(SUBSTITUTE(SUBSTITUTE(SUBSTITUTE($MZ125,"~","~~"),"*","~*"),"?","~?"),'DADOS_MELHORIAS'!$AG$2:$AL$113,4,FALSE),0)+IFERROR(VLOOKUP(SUBSTITUTE(SUBSTITUTE(SUBSTITUTE($NA125,"~","~~"),"*","~*"),"?","~?"),'DADOS_MELHORIAS'!$AG$2:$AL$113,4,FALSE),0)</f>
        <v/>
      </c>
      <c r="OD125" s="164">
        <f>IFERROR(VLOOKUP(SUBSTITUTE(SUBSTITUTE(SUBSTITUTE($MX125,"~","~~"),"*","~*"),"?","~?"),'DADOS_MELHORIAS'!$AG$2:$AL$113,6,FALSE),0)+IFERROR(VLOOKUP(SUBSTITUTE(SUBSTITUTE(SUBSTITUTE($MY125,"~","~~"),"*","~*"),"?","~?"),'DADOS_MELHORIAS'!$AG$2:$AL$113,6,FALSE),0)+IFERROR(VLOOKUP(SUBSTITUTE(SUBSTITUTE(SUBSTITUTE($MZ125,"~","~~"),"*","~*"),"?","~?"),'DADOS_MELHORIAS'!$AG$2:$AL$113,6,FALSE),0)+IFERROR(VLOOKUP(SUBSTITUTE(SUBSTITUTE(SUBSTITUTE($NA125,"~","~~"),"*","~*"),"?","~?"),'DADOS_MELHORIAS'!$AG$2:$AL$113,6,FALSE),0)+IFERROR(N(AND(INDEX('DADOS_FORMAS'!$AO$2:$AO$21,MATCH(SUBSTITUTE(SUBSTITUTE(SUBSTITUTE($MU125,"~","~~"),"*","~*"),"?","~?"),'DADOS_FORMAS'!$AH$2:$AH$21,0))="Acerto",$OH125=1)),0)</f>
        <v/>
      </c>
      <c r="OE125" s="164">
        <f>TEXTJOIN(", ",TRUE,IF(IFERROR(VLOOKUP(SUBSTITUTE(SUBSTITUTE(SUBSTITUTE($MX125,"~","~~"),"*","~*"),"?","~?"),'DADOS_MELHORIAS'!$AG$2:$AL$113,5,FALSE),0)=1,$MX125,""),IF(IFERROR(VLOOKUP(SUBSTITUTE(SUBSTITUTE(SUBSTITUTE($MY125,"~","~~"),"*","~*"),"?","~?"),'DADOS_MELHORIAS'!$AG$2:$AL$113,5,FALSE),0)=1,$MY125,""),IF(IFERROR(VLOOKUP(SUBSTITUTE(SUBSTITUTE(SUBSTITUTE($MZ125,"~","~~"),"*","~*"),"?","~?"),'DADOS_MELHORIAS'!$AG$2:$AL$113,5,FALSE),0)=1,$MZ125,""),IF(IFERROR(VLOOKUP(SUBSTITUTE(SUBSTITUTE(SUBSTITUTE($NA125,"~","~~"),"*","~*"),"?","~?"),'DADOS_MELHORIAS'!$AG$2:$AL$113,5,FALSE),0)=1,$NA125,""))</f>
        <v/>
      </c>
      <c r="OF125" s="164">
        <f>IF($NJ125=0,0,INDEX('DADOS_FORMAS'!$GC$2:$GC$21,$NJ125))</f>
        <v/>
      </c>
      <c r="OG125" s="164">
        <f>IF($NJ125=0,0,INDEX('DADOS_FORMAS'!$GD$2:$GD$21,$NJ125))</f>
        <v/>
      </c>
      <c r="OH125" s="164">
        <f>IF($NJ125=0,0,INDEX('DADOS_FORMAS'!$GF$2:$GF$21,$NJ125))</f>
        <v/>
      </c>
      <c r="OI125" s="164">
        <f>IFERROR(VLOOKUP(SUBSTITUTE(SUBSTITUTE(SUBSTITUTE($NB125,"~","~~"),"*","~*"),"?","~?"),'DADOS_RESTRICOES'!$M$2:$Q$54,3,FALSE),0)</f>
        <v/>
      </c>
      <c r="OJ125" s="164">
        <f>IFERROR(VLOOKUP(SUBSTITUTE(SUBSTITUTE(SUBSTITUTE($NC125,"~","~~"),"*","~*"),"?","~?"),'DADOS_RESTRICOES'!$M$2:$Q$54,3,FALSE),0)</f>
        <v/>
      </c>
      <c r="OK125" s="164">
        <f>IFERROR(VLOOKUP(SUBSTITUTE(SUBSTITUTE(SUBSTITUTE($NB125,"~","~~"),"*","~*"),"?","~?"),'DADOS_RESTRICOES'!$M$2:$Q$54,2,FALSE),"")</f>
        <v/>
      </c>
      <c r="OL125" s="164">
        <f>IFERROR(VLOOKUP(SUBSTITUTE(SUBSTITUTE(SUBSTITUTE($NC125,"~","~~"),"*","~*"),"?","~?"),'DADOS_RESTRICOES'!$M$2:$Q$54,2,FALSE),"")</f>
        <v/>
      </c>
      <c r="OM125" s="164">
        <f>COUNTIF($NS125:$NW125,1)</f>
        <v/>
      </c>
      <c r="ON125" s="164">
        <f>COUNTIF($NS125:$NW125,2)</f>
        <v/>
      </c>
      <c r="OO125" s="164">
        <f>COUNTIF($NS125:$NW125,3)</f>
        <v/>
      </c>
      <c r="OP125" s="164">
        <f>COUNTIF($NS125:$NW125,4)</f>
        <v/>
      </c>
      <c r="OQ125" s="164">
        <f>COUNTIF($NS125:$NW125,5)</f>
        <v/>
      </c>
      <c r="OR125" s="164">
        <f>COUNTIF($NS125:$NW125,6)</f>
        <v/>
      </c>
      <c r="OS125" s="164">
        <f>COUNTIF($OI125:$OJ125,1)+IF(IFERROR(INDEX('DADOS_FORMAS'!$AS$2:$AS$21,MATCH(SUBSTITUTE(SUBSTITUTE(SUBSTITUTE($MU125,"~","~~"),"*","~*"),"?","~?"),'DADOS_FORMAS'!$AH$2:$AH$21,0)),"")="",0,IFERROR(N(VLOOKUP(SUBSTITUTE(SUBSTITUTE(SUBSTITUTE(IFERROR(INDEX('DADOS_FORMAS'!$AS$2:$AS$21,MATCH(SUBSTITUTE(SUBSTITUTE(SUBSTITUTE($MU125,"~","~~"),"*","~*"),"?","~?"),'DADOS_FORMAS'!$AH$2:$AH$21,0)),""),"~","~~"),"*","~*"),"?","~?"),'DADOS_RESTRICOES'!$M$2:$Q$54,3,FALSE)=1),0))</f>
        <v/>
      </c>
      <c r="OT125" s="164">
        <f>COUNTIF($OI125:$OJ125,2)+IF(IFERROR(INDEX('DADOS_FORMAS'!$AS$2:$AS$21,MATCH(SUBSTITUTE(SUBSTITUTE(SUBSTITUTE($MU125,"~","~~"),"*","~*"),"?","~?"),'DADOS_FORMAS'!$AH$2:$AH$21,0)),"")="",0,IFERROR(N(VLOOKUP(SUBSTITUTE(SUBSTITUTE(SUBSTITUTE(IFERROR(INDEX('DADOS_FORMAS'!$AS$2:$AS$21,MATCH(SUBSTITUTE(SUBSTITUTE(SUBSTITUTE($MU125,"~","~~"),"*","~*"),"?","~?"),'DADOS_FORMAS'!$AH$2:$AH$21,0)),""),"~","~~"),"*","~*"),"?","~?"),'DADOS_RESTRICOES'!$M$2:$Q$54,3,FALSE)=2),0))</f>
        <v/>
      </c>
      <c r="OU125" s="164">
        <f>COUNTIF($MX125:$NA125,"?*")</f>
        <v/>
      </c>
      <c r="OV125" s="164">
        <f>COUNTIF($NB125:$NC125,"?*")+$OF125</f>
        <v/>
      </c>
      <c r="OW125" s="164">
        <f>IF($MS125=0,0,SUMPRODUCT($OM125:$OR125,INDEX($I$2:$N$8,MAX(1,$MS125),0)))</f>
        <v/>
      </c>
      <c r="OX125" s="164">
        <f>IF($MS125=0,0,$OS125*CEILING($MS125/2,1)+$OT125*$MS125)</f>
        <v/>
      </c>
      <c r="OY125" s="164">
        <f>MIN(2*$MS125,$OX125)</f>
        <v/>
      </c>
      <c r="OZ125" s="164">
        <f>MIN($OY125,$OW125-IF($NS125=0,0,INDEX($I$2:$N$8,MAX(1,$MS125),$NS125)))</f>
        <v/>
      </c>
      <c r="PA125" s="164">
        <f>$OY125-$OZ125</f>
        <v/>
      </c>
      <c r="PB125" s="164">
        <f>IF($MS125=0,0,INDEX($P$2:$P$8,MAX(1,$MS125)))</f>
        <v/>
      </c>
      <c r="PC125" s="164">
        <f>$PB125-$OW125+$OZ125</f>
        <v/>
      </c>
      <c r="PD125" s="164">
        <f>IF($MS125=0,MAX(0,$NG125-IF(AND($OU125&gt;0,COUNTIF($NB125:$NC125,"?*")=0),1,0)),MAX(0,$PC125))</f>
        <v/>
      </c>
      <c r="PE125" s="164">
        <f>IF($MS125=0,0,(IF(COUNTIF($RK125:$RN125,"Salto")&gt;0,1,0)+IF(COUNTIF($RK125:$RN125,"Queima")&gt;0,1,0)+IF(COUNTIF($RK125:$RN125,"Estilhaço")&gt;0,1,0))*FLOOR($PD125/2,1))</f>
        <v/>
      </c>
      <c r="PF125" s="164">
        <f>MAX(0,2-SUMPRODUCT($OM125:$OR125,$I$2:$N$2)+MIN(2,$OS125*1+$OT125*1,SUMPRODUCT($OM125:$OR125,$I$2:$N$2)-IF($NS125=0,0,INDEX($I$2:$N$2,1,$NS125))))</f>
        <v/>
      </c>
      <c r="PG125" s="164">
        <f>MAX(0,4-SUMPRODUCT($OM125:$OR125,$I$3:$N$3)+MIN(4,$OS125*1+$OT125*2,SUMPRODUCT($OM125:$OR125,$I$3:$N$3)-IF($NS125=0,0,INDEX($I$3:$N$3,1,$NS125))))</f>
        <v/>
      </c>
      <c r="PH125" s="164">
        <f>MAX(0,6-SUMPRODUCT($OM125:$OR125,$I$4:$N$4)+MIN(6,$OS125*2+$OT125*3,SUMPRODUCT($OM125:$OR125,$I$4:$N$4)-IF($NS125=0,0,INDEX($I$4:$N$4,1,$NS125))))</f>
        <v/>
      </c>
      <c r="PI125" s="164">
        <f>MAX(0,9-SUMPRODUCT($OM125:$OR125,$I$5:$N$5)+MIN(8,$OS125*2+$OT125*4,SUMPRODUCT($OM125:$OR125,$I$5:$N$5)-IF($NS125=0,0,INDEX($I$5:$N$5,1,$NS125))))</f>
        <v/>
      </c>
      <c r="PJ125" s="164">
        <f>MAX(0,11-SUMPRODUCT($OM125:$OR125,$I$6:$N$6)+MIN(10,$OS125*3+$OT125*5,SUMPRODUCT($OM125:$OR125,$I$6:$N$6)-IF($NS125=0,0,INDEX($I$6:$N$6,1,$NS125))))</f>
        <v/>
      </c>
      <c r="PK125" s="164">
        <f>MAX(0,13-SUMPRODUCT($OM125:$OR125,$I$7:$N$7)+MIN(12,$OS125*3+$OT125*6,SUMPRODUCT($OM125:$OR125,$I$7:$N$7)-IF($NS125=0,0,INDEX($I$7:$N$7,1,$NS125))))</f>
        <v/>
      </c>
      <c r="PL125" s="164">
        <f>MAX(0,16-SUMPRODUCT($OM125:$OR125,$I$8:$N$8)+MIN(14,$OS125*4+$OT125*7,SUMPRODUCT($OM125:$OR125,$I$8:$N$8)-IF($NS125=0,0,INDEX($I$8:$N$8,1,$NS125))))</f>
        <v/>
      </c>
      <c r="PM125" s="164">
        <f>IF($OG125=2,3*$PF125&amp;" de vida temp.",IF($OG125=3,"sem dano",IF($PF125=0,IF($OG125=1,"sem cura","sem dano"),IF($OG125=1,"cura ","")&amp;$PF125&amp;"d8")))</f>
        <v/>
      </c>
      <c r="PN125" s="164">
        <f>IF($OG125=2,3*$PG125&amp;" de vida temp.",IF($OG125=3,"sem dano",IF($PG125=0,IF($OG125=1,"sem cura","sem dano"),IF($OG125=1,"cura ","")&amp;$PG125&amp;"d8")))</f>
        <v/>
      </c>
      <c r="PO125" s="164">
        <f>IF($OG125=2,3*$PH125&amp;" de vida temp.",IF($OG125=3,"sem dano",IF($PH125=0,IF($OG125=1,"sem cura","sem dano"),IF($OG125=1,"cura ","")&amp;$PH125&amp;"d8")))</f>
        <v/>
      </c>
      <c r="PP125" s="164">
        <f>IF($OG125=2,3*$PI125&amp;" de vida temp.",IF($OG125=3,"sem dano",IF($PI125=0,IF($OG125=1,"sem cura","sem dano"),IF($OG125=1,"cura ","")&amp;$PI125&amp;"d8")))</f>
        <v/>
      </c>
      <c r="PQ125" s="164">
        <f>IF($OG125=2,3*$PJ125&amp;" de vida temp.",IF($OG125=3,"sem dano",IF($PJ125=0,IF($OG125=1,"sem cura","sem dano"),IF($OG125=1,"cura ","")&amp;$PJ125&amp;"d8")))</f>
        <v/>
      </c>
      <c r="PR125" s="164">
        <f>IF($OG125=2,3*$PK125&amp;" de vida temp.",IF($OG125=3,"sem dano",IF($PK125=0,IF($OG125=1,"sem cura","sem dano"),IF($OG125=1,"cura ","")&amp;$PK125&amp;"d8")))</f>
        <v/>
      </c>
      <c r="PS125" s="164">
        <f>IF($OG125=2,3*$PL125&amp;" de vida temp.",IF($OG125=3,"sem dano",IF($PL125=0,IF($OG125=1,"sem cura","sem dano"),IF($OG125=1,"cura ","")&amp;$PL125&amp;"d8")))</f>
        <v/>
      </c>
      <c r="PT125" s="164">
        <f>IF($ND125=0,"",TEXTJOIN(" · ",TRUE,IF($ND125=0,"",TEXTJOIN(" · ",TRUE,IF($ND125=0,"",TEXTJOIN(" · ",TRUE,IF($MQ125&gt;$NE125,"Este lugar abre no nível "&amp;$MQ125,""),IF($MS125&gt;$NF125,"Classe "&amp;$MS125&amp;": o nível "&amp;$NE125&amp;" libera até a "&amp;$NF125,""),IF($NX125=1,"A Forma "&amp;$MU125&amp;" pede "&amp;INDEX('DADOS_FORMAS'!$GA$2:$GA$21,$NJ125)&amp;" aberta",""),IF(AND($MS125=0,$NJ125&gt;0,IF($NJ125=0,0,INDEX('DADOS_FORMAS'!$GJ$2:$GJ$21,$NJ125))=0),$MU125&amp;" não existe na Classe 0",""),IF($NY125=1,"Família Fechada: "&amp;$MX125,""),IF($NZ125=1,"Família Fechada: "&amp;$MY125,""),IF($OA125=1,"Família Fechada: "&amp;$MZ125,""),IF($OB125=1,"Família Fechada: "&amp;$NA125,""),IF(AND($MS125&gt;0,$OU125&gt;INDEX($O$2:$O$8,MAX(1,$MS125))),$OU125&amp;" Melhorias: a Classe "&amp;$MS125&amp;" aceita "&amp;INDEX($O$2:$O$8,MAX(1,$MS125)),""),IF(AND($MS125=0,$OU125&gt;1),"A básica aceita uma Melhoria",""),IF(AND($MS125=0,COUNTIF($NO125:$NR125,"&gt;1")&gt;0),"A básica só aceita Melhoria Leve",""),IF(AND($MS125&gt;0,$OV125&gt;2),$OV125&amp;" Restrições"&amp;IF($OF125=1,", contando a que a Forma "&amp;$MU125&amp;" já traz","")&amp;": o limite é 2",""),IF(AND($MS125=0,COUNTIF($NB125:$NC125,"?*")&gt;1),"A básica aceita uma Restrição Leve",""),IF(AND($MS125=0,COUNTIF($OI125:$OJ125,2)&gt;0),"A básica só aceita Restrição Leve",""),IF(AND($MS125&gt;0,$PC125&lt;0),"Orçamento estourado: faltam "&amp;(-$PC125)&amp;IF($PC125&lt;-1," pontos"," ponto"),""),IF(IFERROR(VLOOKUP(SUBSTITUTE(SUBSTITUTE(SUBSTITUTE($NB125,"~","~~"),"*","~*"),"?","~?"),'DADOS_RESTRICOES'!$M$2:$Q$54,4,FALSE),0)+IFERROR(VLOOKUP(SUBSTITUTE(SUBSTITUTE(SUBSTITUTE($NC125,"~","~~"),"*","~*"),"?","~?"),'DADOS_RESTRICOES'!$M$2:$Q$54,4,FALSE),0)&gt;1,$OK125&amp;" e "&amp;$OL125&amp;" são as duas de frequência",""),IF(AND((COUNTIF($RK125:$RN125,"Rápido")+COUNTIF($OK125:$OL125,"Rápido"))&gt;0,(COUNTIF($MX125:$NA125,"Atrasar")+COUNTIF($OK125:$OL125,"Atrasar"))&gt;0),"Rápido não entra com Atrasar",""),IF(AND((COUNTIF($RK125:$RN125,"Reação")+COUNTIF($OK125:$OL125,"Reação"))&gt;0,(COUNTIF($RK125:$RN125,"Rápido")+COUNTIF($OK125:$OL125,"Rápido"))&gt;0),"Reação não entra com Rápido",""),IF(AND((COUNTIF($RK125:$RN125,"Reação")+COUNTIF($OK125:$OL125,"Reação"))&gt;0,(COUNTIF($RK125:$RN125,"Armado")+COUNTIF($OK125:$OL125,"Armado"))&gt;0),"Reação não entra com Armado",""),IF(AND((COUNTIF($RK125:$RN125,"Reação")+COUNTIF($OK125:$OL125,"Reação"))&gt;0,(COUNTIF($MX125:$NA125,"Atrasar")+COUNTIF($OK125:$OL125,"Atrasar"))&gt;0),"Reação não entra com Atrasar",""),IF(AND((COUNTIF($RK125:$RN125,"Reação")+COUNTIF($OK125:$OL125,"Reação"))&gt;0,(COUNTIF($MX125:$NA125,"Parado")+COUNTIF($OK125:$OL125,"Parado"))&gt;0),"Reação não entra com Parado",""),IF(AND((COUNTIF($MX125:$NA125,"Atrasar")+COUNTIF($OK125:$OL125,"Atrasar"))&gt;0,(COUNTIF($MX125:$NA125,"Parado")+COUNTIF($OK125:$OL125,"Parado"))&gt;0),"Atrasar não entra com Parado",""),IF(AND((COUNTIF($RK125:$RN125,"Armado")+COUNTIF($OK125:$OL125,"Armado"))&gt;0,(COUNTIF($MX125:$NA125,"Carregar")+COUNTIF($OK125:$OL125,"Carregar"))&gt;0),"Armado não entra com Carregar",""),IF(AND(COUNTIF($OK125:$OL125,"Corpo a Corpo")&gt;0,$OF125=0,OR($RO125="Cone",$RO125="Linha")),"Corpo a Corpo não entra em "&amp;$MU125,""),IF(AND(COUNTIF($OK125:$OL125,"Corpo a Corpo")&gt;0,$RP125="Corpo a Corpo"),"A Forma "&amp;$MU125&amp;" já traz o Corpo a Corpo",""),IF(AND(COUNTIF($OK125:$OL125,"Tudo ou Nada")&gt;0,$OH125=0),"Tudo ou Nada só entra em habilidade de Teste de Resistência",""),IF(AND(COUNTIF($RK125:$RN125,"Inescapável")&gt;0,OR($OU125&gt;1,$OV125&gt;0)),"Inescapável não aceita outra peça",""),IF(AND($MS125&gt;0,$PD125*IF(COUNTIF($RK125:$RN125,"Remate")&gt;0,1.25,1)+$PE125&gt;4*$MS125),($PD125*IF(COUNTIF($RK125:$RN125,"Remate")&gt;0,1.25,1)+$PE125)&amp;" dados somando repetições"&amp;IF(COUNTIF($RK125:$RN125,"Remate")&gt;0," e o Remate","")&amp;": o teto da Classe "&amp;$MS125&amp;" é "&amp;4*$MS125,""))),IF(AND($MX125&lt;&gt;"",COUNTIF('DADOS_MELHORIAS'!$O$2:$O$113,SUBSTITUTE(SUBSTITUTE(SUBSTITUTE($MX125,"~","~~"),"*","~*"),"?","~?"))=0),"Melhoria não cadastrada ou com erro: "&amp;$MX125,""),IF(AND($MY125&lt;&gt;"",COUNTIF('DADOS_MELHORIAS'!$O$2:$O$113,SUBSTITUTE(SUBSTITUTE(SUBSTITUTE($MY125,"~","~~"),"*","~*"),"?","~?"))=0),"Melhoria não cadastrada ou com erro: "&amp;$MY125,""),IF(AND($MZ125&lt;&gt;"",COUNTIF('DADOS_MELHORIAS'!$O$2:$O$113,SUBSTITUTE(SUBSTITUTE(SUBSTITUTE($MZ125,"~","~~"),"*","~*"),"?","~?"))=0),"Melhoria não cadastrada ou com erro: "&amp;$MZ125,""),IF(AND($NA125&lt;&gt;"",COUNTIF('DADOS_MELHORIAS'!$O$2:$O$113,SUBSTITUTE(SUBSTITUTE(SUBSTITUTE($NA125,"~","~~"),"*","~*"),"?","~?"))=0),"Melhoria não cadastrada ou com erro: "&amp;$NA125,""),IF(AND($NB125&lt;&gt;"",COUNTIF('DADOS_RESTRICOES'!$M$2:$M$54,SUBSTITUTE(SUBSTITUTE(SUBSTITUTE($NB125,"~","~~"),"*","~*"),"?","~?"))=0),"Restrição não cadastrada ou com erro: "&amp;$NB125,""),IF(AND($NC125&lt;&gt;"",COUNTIF('DADOS_RESTRICOES'!$M$2:$M$54,SUBSTITUTE(SUBSTITUTE(SUBSTITUTE($NC125,"~","~~"),"*","~*"),"?","~?"))=0),"Restrição não cadastrada ou com erro: "&amp;$NC125,""))),IF(AND($MU125&lt;&gt;"",COUNTIF('DADOS_FORMAS'!$AH$2:$AH$21,SUBSTITUTE(SUBSTITUTE(SUBSTITUTE($MU125,"~","~~"),"*","~*"),"?","~?"))=0),"Forma não cadastrada ou com erro: "&amp;$MU125,""),IF(AND(IFERROR(INDEX('DADOS_FORMAS'!$AS$2:$AS$21,MATCH(SUBSTITUTE(SUBSTITUTE(SUBSTITUTE($MU125,"~","~~"),"*","~*"),"?","~?"),'DADOS_FORMAS'!$AH$2:$AH$21,0)),"")&lt;&gt;"",OR(IFERROR(VLOOKUP(SUBSTITUTE(SUBSTITUTE(SUBSTITUTE(IFERROR(INDEX('DADOS_FORMAS'!$AS$2:$AS$21,MATCH(SUBSTITUTE(SUBSTITUTE(SUBSTITUTE($MU125,"~","~~"),"*","~*"),"?","~?"),'DADOS_FORMAS'!$AH$2:$AH$21,0)),""),"~","~~"),"*","~*"),"?","~?"),'DADOS_RESTRICOES'!$M$2:$Q$54,2,FALSE),"")=$OK125,IFERROR(VLOOKUP(SUBSTITUTE(SUBSTITUTE(SUBSTITUTE(IFERROR(INDEX('DADOS_FORMAS'!$AS$2:$AS$21,MATCH(SUBSTITUTE(SUBSTITUTE(SUBSTITUTE($MU125,"~","~~"),"*","~*"),"?","~?"),'DADOS_FORMAS'!$AH$2:$AH$21,0)),""),"~","~~"),"*","~*"),"?","~?"),'DADOS_RESTRICOES'!$M$2:$Q$54,2,FALSE),"")=$OL125)),"Restrição repetida, contando a embutida",""),IF(IF(IFERROR(INDEX('DADOS_FORMAS'!$AS$2:$AS$21,MATCH(SUBSTITUTE(SUBSTITUTE(SUBSTITUTE($MU125,"~","~~"),"*","~*"),"?","~?"),'DADOS_FORMAS'!$AH$2:$AH$21,0)),"")="",0,IFERROR(N(VLOOKUP(SUBSTITUTE(SUBSTITUTE(SUBSTITUTE(IFERROR(INDEX('DADOS_FORMAS'!$AS$2:$AS$21,MATCH(SUBSTITUTE(SUBSTITUTE(SUBSTITUTE($MU125,"~","~~"),"*","~*"),"?","~?"),'DADOS_FORMAS'!$AH$2:$AH$21,0)),""),"~","~~"),"*","~*"),"?","~?"),'DADOS_RESTRICOES'!$M$2:$Q$54,4,FALSE)=1),0))+IF($NB125="",0,IFERROR(N(VLOOKUP(SUBSTITUTE(SUBSTITUTE(SUBSTITUTE($NB125,"~","~~"),"*","~*"),"?","~?"),'DADOS_RESTRICOES'!$M$2:$Q$54,4,FALSE)=1),0))+IF($NC125="",0,IFERROR(N(VLOOKUP(SUBSTITUTE(SUBSTITUTE(SUBSTITUTE($NC125,"~","~~"),"*","~*"),"?","~?"),'DADOS_RESTRICOES'!$M$2:$Q$54,4,FALSE)=1),0))&gt;1,"Duas Restrições de frequência, contando a embutida",""),IF(AND(IFERROR(VLOOKUP(SUBSTITUTE(SUBSTITUTE(SUBSTITUTE(IFERROR(INDEX('DADOS_FORMAS'!$AS$2:$AS$21,MATCH(SUBSTITUTE(SUBSTITUTE(SUBSTITUTE($MU125,"~","~~"),"*","~*"),"?","~?"),'DADOS_FORMAS'!$AH$2:$AH$21,0)),""),"~","~~"),"*","~*"),"?","~?"),'DADOS_RESTRICOES'!$M$2:$Q$54,2,FALSE),"")="Tudo ou Nada",$OH125=0),"Tudo ou Nada exige TR",""),IF(AND(IFERROR(VLOOKUP(SUBSTITUTE(SUBSTITUTE(SUBSTITUTE(IFERROR(INDEX('DADOS_FORMAS'!$AS$2:$AS$21,MATCH(SUBSTITUTE(SUBSTITUTE(SUBSTITUTE($MU125,"~","~~"),"*","~*"),"?","~?"),'DADOS_FORMAS'!$AH$2:$AH$21,0)),""),"~","~~"),"*","~*"),"?","~?"),'DADOS_RESTRICOES'!$M$2:$Q$54,2,FALSE),"")="Corpo a Corpo",OR($RO125="Cone",$RO125="Linha")),"Corpo a Corpo não entra em Cone/Linha","")))</f>
        <v/>
      </c>
      <c r="PU125" s="164">
        <f>IF($PT125="",0,(LEN($PT125)-LEN(SUBSTITUTE($PT125," · ","")))/3+1)</f>
        <v/>
      </c>
      <c r="PV125" s="164">
        <f>IF($ND125=0,"",TEXTJOIN(" · ",TRUE,IF($OX125&gt;2*$MS125,"A devolução parou no teto de "&amp;2*$MS125,""),IF($PA125&gt;0,"Devolução perdida: "&amp;$PA125&amp;IF($PA125&gt;1," pontos"," ponto")&amp;" sem Melhoria para pagar",""),IF(AND($OC125&gt;0,AND($MS125&gt;0,$OG125=0),$PD125=0),"Controle sem dano: uma rodada a mais e CD +2",""),IF(AND($OC125&gt;0,AND($MS125&gt;0,$OG125=0),$PD125&gt;0,$PD125&lt;=$MS125),"Controle com saldo até a Classe: uma rodada a mais",""),IF(AND($MS125&gt;0,$OE125&lt;&gt;""),"Efeito de "&amp;$OE125&amp;" pela Classe "&amp;MAX(1,$MS125-1),"")))</f>
        <v/>
      </c>
      <c r="PW125" s="164">
        <f>IF($PV125="",0,(LEN($PV125)-LEN(SUBSTITUTE($PV125," · ","")))/3+1)</f>
        <v/>
      </c>
      <c r="PX125" s="164">
        <f>IF($ND125=0,IF($OU125+COUNTIF($NB125:$NC125,"?*")&gt;0,"Dê um nome",""),IF($PU125&gt;0,"⚠ "&amp;$PU125&amp;IF($PU125&gt;1," erros"," erro"),IF($PW125&gt;0,"! "&amp;$PW125&amp;IF($PW125&gt;1," avisos"," aviso"),"Na regra")))</f>
        <v/>
      </c>
      <c r="PY125" s="164">
        <f>IF($ND125=0,"",IF($PU125+$PW125=0,"Dentro das regras que a ficha confere",$PT125&amp;IF(AND($PU125&gt;0,$PW125&gt;0)," · ","")&amp;$PV125))</f>
        <v/>
      </c>
      <c r="PZ125" s="164">
        <f>IF($MQ125&gt;$NE125,$MR125&amp;" · ABRE NO NÍVEL "&amp;$MQ125,$MR125)</f>
        <v/>
      </c>
      <c r="QA125" s="164">
        <f>IF($ND125=0,"",IF($MS125=0,"Sem PE",3*$MS125&amp;" PE"))</f>
        <v/>
      </c>
      <c r="QB125" s="164">
        <f>IF($ND125=0,"",IF($MS125=0,"A atuação básica dela",IF(COUNTIF($RQ125:$RS125,"Atrasar")&gt;0,"Sua Ação Completa",IF(COUNTIF($RK125:$RN125,"Rápido")&gt;0,"Sua Bônus",IF(COUNTIF($RK125:$RN125,"Reação")&gt;0,"Sua Reação","Sua Padrão")))&amp;" + a básica dela"&amp;IF(COUNTIF($RK125:$RN125,"Reação")&gt;0," e a coletiva","")&amp;IF(COUNTIF($RQ125:$RS125,"Carregar")&gt;0," · em dois turnos","")))</f>
        <v/>
      </c>
      <c r="QC125" s="164">
        <f>IF($MW125&lt;&gt;"",$MW125,IF($NJ125=0,"",INDEX('DADOS_FORMAS'!$GE$2:$GE$21,$NJ125)))</f>
        <v/>
      </c>
      <c r="QD125" s="164">
        <f>IF(OR($ND125=0,$NJ125=0),"",IF(COUNTIF($RK125:$RN125,"Inescapável")&gt;0,"Automático",IF($QC125="Ataque",IF($NH125="","Ataque","Ataque "&amp;IF(($NH125+2*IF(COUNTIF($RK125:$RN125,"Precisão")&gt;0,1,0))&gt;=0,"+","−")&amp;ABS(($NH125+2*IF(COUNTIF($RK125:$RN125,"Precisão")&gt;0,1,0))))&amp;IF($OD125&gt;0," · TR"&amp;IF($NI125="",""," CD "&amp;$NI125),""),IF(LEFT($QC125,2)="TR",$QC125&amp;IF($NI125="",""," · CD "&amp;$NI125)&amp;IF(COUNTIF($RK125:$RN125,"Certeiro")&gt;0," · metade",""),"Sem rolagem"))))</f>
        <v/>
      </c>
      <c r="QE125" s="164">
        <f>IF(OR($ND125=0,$NJ125=0),"",IF($MS125=0,IF(OR($OG125&gt;=1,$PD125=0),"Sem dano",$PD125&amp;"d6"&amp;IF($MV125="",""," "&amp;$MV125)),IF(OR($OG125&gt;=1,$PD125=0),UPPER(LEFT(INDEX($PM125:$PS125,1,MAX(1,$MS125)),1))&amp;MID(INDEX($PM125:$PS125,1,MAX(1,$MS125)),2,99),UPPER(LEFT(INDEX($PM125:$PS125,1,MAX(1,$MS125)),1))&amp;MID(INDEX($PM125:$PS125,1,MAX(1,$MS125)),2,99)&amp;IF($MV125="",""," "&amp;$MV125)&amp;IF($PE125&gt;0," · +"&amp;$PE125&amp;"d8",""))))</f>
        <v/>
      </c>
      <c r="QF125" s="164">
        <f>COUNTIF($RK125:$RN125,"Longe")+3*COUNTIF($RK125:$RN125,"Muito Longe")</f>
        <v/>
      </c>
      <c r="QG125" s="164">
        <f>COUNTIF($RK125:$RN125,"Maior")+3*COUNTIF($RK125:$RN125,"Muito Maior")</f>
        <v/>
      </c>
      <c r="QH125" s="164">
        <f>IF($NJ125=0,0,CHOOSE(1+INDEX('DADOS_FORMAS'!$GG$2:$GG$21,$NJ125),0,$QF125,$QG125,$QF125+$QG125))</f>
        <v/>
      </c>
      <c r="QI125" s="164">
        <f>IF($NJ125=0,0,CHOOSE(1+INDEX('DADOS_FORMAS'!$GH$2:$GH$21,$NJ125),0,$QF125,$QG125,$QF125+$QG125))</f>
        <v/>
      </c>
      <c r="QJ125" s="164">
        <f>IF(OR($ND125=0,$NJ125=0),"",INDEX('DADOS_FORMAS'!$HU$2:$HZ$81,($NJ125-1)*4+IF($MS125=0,1,IF($MS125&lt;=5,2,IF($MS125=6,3,4))),1+MIN(5,$QH125))&amp;INDEX('DADOS_FORMAS'!$IA$2:$IF$81,($NJ125-1)*4+IF($MS125=0,1,IF($MS125&lt;=5,2,IF($MS125=6,3,4))),1+MIN(5,$QI125))&amp;IF(INDEX('DADOS_FORMAS'!$GI$2:$GI$21,$NJ125)=1,IF(COUNTIF($RK125:$RN125,"Mais Um")&gt;0," · +"&amp;COUNTIF($RK125:$RN125,"Mais Um")&amp;IF(COUNTIF($RK125:$RN125,"Mais Um")&gt;1," alvos"," alvo"),"")&amp;IF(COUNTIF($RK125:$RN125,"Rajada")&gt;0,IF($MS125=0," · 1 tiro"," · "&amp;(MAX(1,$MS125-1)+1)&amp;" tiros"),""),""))</f>
        <v/>
      </c>
      <c r="QK125" s="164">
        <f>IF($ND125=0,"",IF($MS125=0,$NG125&amp;"d6"&amp;IF($OU125&gt;0," − 1 = "&amp;$PD125&amp;"d6"," da básica do nível "&amp;$NE125),$PB125&amp;" − "&amp;$OW125&amp;" + "&amp;$OZ125&amp;" = "&amp;$PC125&amp;" · teto "&amp;4*$MS125&amp;"d8"&amp;IF($OF125=1," · a Forma devolve "&amp;$MS125,"")&amp;IF($PA125&gt;0," · perde "&amp;$PA125,"")))</f>
        <v/>
      </c>
      <c r="QL125" s="164">
        <f>IF($ND125=0,"",IF($MS125=0,"A básica não amplia: os dados dela sobem com o nível",IF($MS125&gt;=$NF125,"Já está na maior Classe que o nível liberou",TEXTJOIN(" · ",TRUE,IF(AND(2&gt;$MS125,2&lt;=$NF125),"2 → "&amp;$PN125&amp;", 6 PE",""),IF(AND(3&gt;$MS125,3&lt;=$NF125),"3 → "&amp;$PO125&amp;", 9 PE",""),IF(AND(4&gt;$MS125,4&lt;=$NF125),"4 → "&amp;$PP125&amp;", 12 PE",""),IF(AND(5&gt;$MS125,5&lt;=$NF125),"5 → "&amp;$PQ125&amp;", 15 PE",""),IF(AND(6&gt;$MS125,6&lt;=$NF125),"6 → "&amp;$PR125&amp;", 18 PE",""),IF(AND(7&gt;$MS125,7&lt;=$NF125),"7 → "&amp;$PS125&amp;", 21 PE","")))))</f>
        <v/>
      </c>
      <c r="QM125" s="164">
        <f>IF(OR($ND125=0,$NO125=0),"",IF($MS125=0,"−1 dado","−"&amp;INDEX($I$2:$N$8,MAX(1,$MS125),MAX(1,$NT125))&amp;" · "&amp;CHOOSE(MAX(1,$NT125),"Leve","Média","Pesada","Leve · Livre","Média · Livre","Pesada · Livre")))</f>
        <v/>
      </c>
      <c r="QN125" s="164">
        <f>IF(OR($ND125=0,$NP125=0),"",IF($MS125=0,"−1 dado","−"&amp;INDEX($I$2:$N$8,MAX(1,$MS125),MAX(1,$NU125))&amp;" · "&amp;CHOOSE(MAX(1,$NU125),"Leve","Média","Pesada","Leve · Livre","Média · Livre","Pesada · Livre")))</f>
        <v/>
      </c>
      <c r="QO125" s="164">
        <f>IF(OR($ND125=0,$NQ125=0),"",IF($MS125=0,"−1 dado","−"&amp;INDEX($I$2:$N$8,MAX(1,$MS125),MAX(1,$NV125))&amp;" · "&amp;CHOOSE(MAX(1,$NV125),"Leve","Média","Pesada","Leve · Livre","Média · Livre","Pesada · Livre")))</f>
        <v/>
      </c>
      <c r="QP125" s="164">
        <f>IF(OR($ND125=0,$NR125=0),"",IF($MS125=0,"−1 dado","−"&amp;INDEX($I$2:$N$8,MAX(1,$MS125),MAX(1,$NW125))&amp;" · "&amp;CHOOSE(MAX(1,$NW125),"Leve","Média","Pesada","Leve · Livre","Média · Livre","Pesada · Livre")))</f>
        <v/>
      </c>
      <c r="QQ125" s="164">
        <f>IF(OR($ND125=0,$NB125=""),"",IF($MS125=0,"não devolve","+"&amp;IF($OI125=1,CEILING($MS125/2,1),$MS125)))</f>
        <v/>
      </c>
      <c r="QR125" s="164">
        <f>IF(OR($ND125=0,$NC125=""),"",IF($MS125=0,"não devolve","+"&amp;IF($OJ125=1,CEILING($MS125/2,1),$MS125)))</f>
        <v/>
      </c>
      <c r="RK125">
        <f>IF($MX125="","",IFERROR(VLOOKUP(SUBSTITUTE(SUBSTITUTE(SUBSTITUTE($MX125,"~","~~"),"*","~*"),"?","~?"),'DADOS_MELHORIAS'!$O$2:$X$113,10,FALSE),$MX125))</f>
        <v/>
      </c>
      <c r="RL125">
        <f>IF($MY125="","",IFERROR(VLOOKUP(SUBSTITUTE(SUBSTITUTE(SUBSTITUTE($MY125,"~","~~"),"*","~*"),"?","~?"),'DADOS_MELHORIAS'!$O$2:$X$113,10,FALSE),$MY125))</f>
        <v/>
      </c>
      <c r="RM125">
        <f>IF($MZ125="","",IFERROR(VLOOKUP(SUBSTITUTE(SUBSTITUTE(SUBSTITUTE($MZ125,"~","~~"),"*","~*"),"?","~?"),'DADOS_MELHORIAS'!$O$2:$X$113,10,FALSE),$MZ125))</f>
        <v/>
      </c>
      <c r="RN125">
        <f>IF($NA125="","",IFERROR(VLOOKUP(SUBSTITUTE(SUBSTITUTE(SUBSTITUTE($NA125,"~","~~"),"*","~*"),"?","~?"),'DADOS_MELHORIAS'!$O$2:$X$113,10,FALSE),$NA125))</f>
        <v/>
      </c>
      <c r="RO125">
        <f>IFERROR(INDEX('DADOS_FORMAS'!$BJ$2:$BJ$21,MATCH(SUBSTITUTE(SUBSTITUTE(SUBSTITUTE($MU125,"~","~~"),"*","~*"),"?","~?"),'DADOS_FORMAS'!$AH$2:$AH$21,0)),"")</f>
        <v/>
      </c>
      <c r="RP125">
        <f>IFERROR(VLOOKUP(SUBSTITUTE(SUBSTITUTE(SUBSTITUTE(IFERROR(INDEX('DADOS_FORMAS'!$AS$2:$AS$21,MATCH(SUBSTITUTE(SUBSTITUTE(SUBSTITUTE($MU125,"~","~~"),"*","~*"),"?","~?"),'DADOS_FORMAS'!$AH$2:$AH$21,0)),""),"~","~~"),"*","~*"),"?","~?"),'DADOS_RESTRICOES'!$M$2:$Q$54,2,FALSE),"")</f>
        <v/>
      </c>
      <c r="RQ125">
        <f>$OK125</f>
        <v/>
      </c>
      <c r="RR125">
        <f>$OL125</f>
        <v/>
      </c>
      <c r="RS125">
        <f>$RP125</f>
        <v/>
      </c>
    </row>
    <row r="126">
      <c r="MN126" s="162" t="inlineStr">
        <is>
          <t>Ficha 10 · Especial 6</t>
        </is>
      </c>
      <c r="MO126" s="164" t="n">
        <v>10</v>
      </c>
      <c r="MP126" s="164" t="n">
        <v>1</v>
      </c>
      <c r="MQ126" s="164" t="n">
        <v>20</v>
      </c>
      <c r="MR126" s="162" t="inlineStr">
        <is>
          <t>ESPECIAL 6</t>
        </is>
      </c>
      <c r="MS126" s="164">
        <f>MAX(1,MIN(7,N('INVOCAÇÕES'!$AH$760)))</f>
        <v/>
      </c>
      <c r="MT126" s="164">
        <f>'INVOCAÇÕES'!$AI$760&amp;""</f>
        <v/>
      </c>
      <c r="MU126" s="164">
        <f>'INVOCAÇÕES'!$AH$765&amp;""</f>
        <v/>
      </c>
      <c r="MV126" s="164">
        <f>'INVOCAÇÕES'!$AH$766&amp;""</f>
        <v/>
      </c>
      <c r="MW126" s="164">
        <f>'INVOCAÇÕES'!$AJ$766&amp;""</f>
        <v/>
      </c>
      <c r="MX126" s="164">
        <f>'INVOCAÇÕES'!$AI$769&amp;""</f>
        <v/>
      </c>
      <c r="MY126" s="164">
        <f>'INVOCAÇÕES'!$AI$770&amp;""</f>
        <v/>
      </c>
      <c r="MZ126" s="164">
        <f>'INVOCAÇÕES'!$AI$771&amp;""</f>
        <v/>
      </c>
      <c r="NA126" s="164">
        <f>'INVOCAÇÕES'!$AI$772&amp;""</f>
        <v/>
      </c>
      <c r="NB126" s="164">
        <f>'INVOCAÇÕES'!$AI$773&amp;""</f>
        <v/>
      </c>
      <c r="NC126" s="164">
        <f>'INVOCAÇÕES'!$AI$774&amp;""</f>
        <v/>
      </c>
      <c r="ND126" s="164">
        <f>IF($MT126&lt;&gt;"",1,0)</f>
        <v/>
      </c>
      <c r="NE126" s="164">
        <f>INDEX($FO$2:$FO$13,$MO126)</f>
        <v/>
      </c>
      <c r="NF126" s="164">
        <f>INDEX($FP$2:$FP$13,$MO126)</f>
        <v/>
      </c>
      <c r="NG126" s="164">
        <f>INDEX($FQ$2:$FQ$13,$MO126)</f>
        <v/>
      </c>
      <c r="NH126" s="164">
        <f>INDEX($GB$2:$GB$13,$MO126)</f>
        <v/>
      </c>
      <c r="NI126" s="164">
        <f>INDEX($GC$2:$GC$13,$MO126)</f>
        <v/>
      </c>
      <c r="NJ126" s="164">
        <f>IFERROR(MATCH(SUBSTITUTE(SUBSTITUTE(SUBSTITUTE($MU126,"~","~~"),"*","~*"),"?","~?"),'DADOS_FORMAS'!$FZ$2:$FZ$21,0),0)</f>
        <v/>
      </c>
      <c r="NK126" s="164">
        <f>IFERROR(VLOOKUP(SUBSTITUTE(SUBSTITUTE(SUBSTITUTE($MX126,"~","~~"),"*","~*"),"?","~?"),'DADOS_MELHORIAS'!$AG$2:$AL$113,2,FALSE),"")</f>
        <v/>
      </c>
      <c r="NL126" s="164">
        <f>IFERROR(VLOOKUP(SUBSTITUTE(SUBSTITUTE(SUBSTITUTE($MY126,"~","~~"),"*","~*"),"?","~?"),'DADOS_MELHORIAS'!$AG$2:$AL$113,2,FALSE),"")</f>
        <v/>
      </c>
      <c r="NM126" s="164">
        <f>IFERROR(VLOOKUP(SUBSTITUTE(SUBSTITUTE(SUBSTITUTE($MZ126,"~","~~"),"*","~*"),"?","~?"),'DADOS_MELHORIAS'!$AG$2:$AL$113,2,FALSE),"")</f>
        <v/>
      </c>
      <c r="NN126" s="164">
        <f>IFERROR(VLOOKUP(SUBSTITUTE(SUBSTITUTE(SUBSTITUTE($NA126,"~","~~"),"*","~*"),"?","~?"),'DADOS_MELHORIAS'!$AG$2:$AL$113,2,FALSE),"")</f>
        <v/>
      </c>
      <c r="NO126" s="164">
        <f>IFERROR(VLOOKUP(SUBSTITUTE(SUBSTITUTE(SUBSTITUTE($MX126,"~","~~"),"*","~*"),"?","~?"),'DADOS_MELHORIAS'!$AG$2:$AL$113,3,FALSE),0)</f>
        <v/>
      </c>
      <c r="NP126" s="164">
        <f>IFERROR(VLOOKUP(SUBSTITUTE(SUBSTITUTE(SUBSTITUTE($MY126,"~","~~"),"*","~*"),"?","~?"),'DADOS_MELHORIAS'!$AG$2:$AL$113,3,FALSE),0)</f>
        <v/>
      </c>
      <c r="NQ126" s="164">
        <f>IFERROR(VLOOKUP(SUBSTITUTE(SUBSTITUTE(SUBSTITUTE($MZ126,"~","~~"),"*","~*"),"?","~?"),'DADOS_MELHORIAS'!$AG$2:$AL$113,3,FALSE),0)</f>
        <v/>
      </c>
      <c r="NR126" s="164">
        <f>IFERROR(VLOOKUP(SUBSTITUTE(SUBSTITUTE(SUBSTITUTE($NA126,"~","~~"),"*","~*"),"?","~?"),'DADOS_MELHORIAS'!$AG$2:$AL$113,3,FALSE),0)</f>
        <v/>
      </c>
      <c r="NS126" s="164">
        <f>IF($MS126=0,0,IF($NJ126=0,0,INDEX('DADOS_FORMAS'!$GB$2:$GB$21,$NJ126)))</f>
        <v/>
      </c>
      <c r="NT126" s="164">
        <f>IF(OR($NO126=0,$MS126=0),0,$NO126+3*IF(AND($NK126&lt;&gt;"",COUNTIF(INDEX($RB$2:$RJ$13,$MO126,0),$NK126)&gt;0),1,0))</f>
        <v/>
      </c>
      <c r="NU126" s="164">
        <f>IF(OR($NP126=0,$MS126=0),0,$NP126+3*IF(AND($NL126&lt;&gt;"",COUNTIF(INDEX($RB$2:$RJ$13,$MO126,0),$NL126)&gt;0),1,0))</f>
        <v/>
      </c>
      <c r="NV126" s="164">
        <f>IF(OR($NQ126=0,$MS126=0),0,$NQ126+3*IF(AND($NM126&lt;&gt;"",COUNTIF(INDEX($RB$2:$RJ$13,$MO126,0),$NM126)&gt;0),1,0))</f>
        <v/>
      </c>
      <c r="NW126" s="164">
        <f>IF(OR($NR126=0,$MS126=0),0,$NR126+3*IF(AND($NN126&lt;&gt;"",COUNTIF(INDEX($RB$2:$RJ$13,$MO126,0),$NN126)&gt;0),1,0))</f>
        <v/>
      </c>
      <c r="NX126" s="164">
        <f>IF($NJ126=0,0,IF(INDEX('DADOS_FORMAS'!$GA$2:$GA$21,$NJ126)="",0,IF((COUNTIF(INDEX($EL$2:$EP$13,$MO126,0),INDEX('DADOS_FORMAS'!$GA$2:$GA$21,$NJ126))+COUNTIF(INDEX($QV$2:$QY$13,$MO126,0),INDEX('DADOS_FORMAS'!$GA$2:$GA$21,$NJ126)))=0,1,0)))</f>
        <v/>
      </c>
      <c r="NY126" s="164">
        <f>IF(OR($NO126=0,$NK126=""),0,IF((COUNTIF(INDEX($EL$2:$EP$13,$MO126,0),$NK126)+COUNTIF(INDEX($QV$2:$QY$13,$MO126,0),$NK126))=0,1,0))</f>
        <v/>
      </c>
      <c r="NZ126" s="164">
        <f>IF(OR($NP126=0,$NL126=""),0,IF((COUNTIF(INDEX($EL$2:$EP$13,$MO126,0),$NL126)+COUNTIF(INDEX($QV$2:$QY$13,$MO126,0),$NL126))=0,1,0))</f>
        <v/>
      </c>
      <c r="OA126" s="164">
        <f>IF(OR($NQ126=0,$NM126=""),0,IF((COUNTIF(INDEX($EL$2:$EP$13,$MO126,0),$NM126)+COUNTIF(INDEX($QV$2:$QY$13,$MO126,0),$NM126))=0,1,0))</f>
        <v/>
      </c>
      <c r="OB126" s="164">
        <f>IF(OR($NR126=0,$NN126=""),0,IF((COUNTIF(INDEX($EL$2:$EP$13,$MO126,0),$NN126)+COUNTIF(INDEX($QV$2:$QY$13,$MO126,0),$NN126))=0,1,0))</f>
        <v/>
      </c>
      <c r="OC126" s="164">
        <f>IFERROR(VLOOKUP(SUBSTITUTE(SUBSTITUTE(SUBSTITUTE($MX126,"~","~~"),"*","~*"),"?","~?"),'DADOS_MELHORIAS'!$AG$2:$AL$113,4,FALSE),0)+IFERROR(VLOOKUP(SUBSTITUTE(SUBSTITUTE(SUBSTITUTE($MY126,"~","~~"),"*","~*"),"?","~?"),'DADOS_MELHORIAS'!$AG$2:$AL$113,4,FALSE),0)+IFERROR(VLOOKUP(SUBSTITUTE(SUBSTITUTE(SUBSTITUTE($MZ126,"~","~~"),"*","~*"),"?","~?"),'DADOS_MELHORIAS'!$AG$2:$AL$113,4,FALSE),0)+IFERROR(VLOOKUP(SUBSTITUTE(SUBSTITUTE(SUBSTITUTE($NA126,"~","~~"),"*","~*"),"?","~?"),'DADOS_MELHORIAS'!$AG$2:$AL$113,4,FALSE),0)</f>
        <v/>
      </c>
      <c r="OD126" s="164">
        <f>IFERROR(VLOOKUP(SUBSTITUTE(SUBSTITUTE(SUBSTITUTE($MX126,"~","~~"),"*","~*"),"?","~?"),'DADOS_MELHORIAS'!$AG$2:$AL$113,6,FALSE),0)+IFERROR(VLOOKUP(SUBSTITUTE(SUBSTITUTE(SUBSTITUTE($MY126,"~","~~"),"*","~*"),"?","~?"),'DADOS_MELHORIAS'!$AG$2:$AL$113,6,FALSE),0)+IFERROR(VLOOKUP(SUBSTITUTE(SUBSTITUTE(SUBSTITUTE($MZ126,"~","~~"),"*","~*"),"?","~?"),'DADOS_MELHORIAS'!$AG$2:$AL$113,6,FALSE),0)+IFERROR(VLOOKUP(SUBSTITUTE(SUBSTITUTE(SUBSTITUTE($NA126,"~","~~"),"*","~*"),"?","~?"),'DADOS_MELHORIAS'!$AG$2:$AL$113,6,FALSE),0)+IFERROR(N(AND(INDEX('DADOS_FORMAS'!$AO$2:$AO$21,MATCH(SUBSTITUTE(SUBSTITUTE(SUBSTITUTE($MU126,"~","~~"),"*","~*"),"?","~?"),'DADOS_FORMAS'!$AH$2:$AH$21,0))="Acerto",$OH126=1)),0)</f>
        <v/>
      </c>
      <c r="OE126" s="164">
        <f>TEXTJOIN(", ",TRUE,IF(IFERROR(VLOOKUP(SUBSTITUTE(SUBSTITUTE(SUBSTITUTE($MX126,"~","~~"),"*","~*"),"?","~?"),'DADOS_MELHORIAS'!$AG$2:$AL$113,5,FALSE),0)=1,$MX126,""),IF(IFERROR(VLOOKUP(SUBSTITUTE(SUBSTITUTE(SUBSTITUTE($MY126,"~","~~"),"*","~*"),"?","~?"),'DADOS_MELHORIAS'!$AG$2:$AL$113,5,FALSE),0)=1,$MY126,""),IF(IFERROR(VLOOKUP(SUBSTITUTE(SUBSTITUTE(SUBSTITUTE($MZ126,"~","~~"),"*","~*"),"?","~?"),'DADOS_MELHORIAS'!$AG$2:$AL$113,5,FALSE),0)=1,$MZ126,""),IF(IFERROR(VLOOKUP(SUBSTITUTE(SUBSTITUTE(SUBSTITUTE($NA126,"~","~~"),"*","~*"),"?","~?"),'DADOS_MELHORIAS'!$AG$2:$AL$113,5,FALSE),0)=1,$NA126,""))</f>
        <v/>
      </c>
      <c r="OF126" s="164">
        <f>IF($NJ126=0,0,INDEX('DADOS_FORMAS'!$GC$2:$GC$21,$NJ126))</f>
        <v/>
      </c>
      <c r="OG126" s="164">
        <f>IF($NJ126=0,0,INDEX('DADOS_FORMAS'!$GD$2:$GD$21,$NJ126))</f>
        <v/>
      </c>
      <c r="OH126" s="164">
        <f>IF($NJ126=0,0,INDEX('DADOS_FORMAS'!$GF$2:$GF$21,$NJ126))</f>
        <v/>
      </c>
      <c r="OI126" s="164">
        <f>IFERROR(VLOOKUP(SUBSTITUTE(SUBSTITUTE(SUBSTITUTE($NB126,"~","~~"),"*","~*"),"?","~?"),'DADOS_RESTRICOES'!$M$2:$Q$54,3,FALSE),0)</f>
        <v/>
      </c>
      <c r="OJ126" s="164">
        <f>IFERROR(VLOOKUP(SUBSTITUTE(SUBSTITUTE(SUBSTITUTE($NC126,"~","~~"),"*","~*"),"?","~?"),'DADOS_RESTRICOES'!$M$2:$Q$54,3,FALSE),0)</f>
        <v/>
      </c>
      <c r="OK126" s="164">
        <f>IFERROR(VLOOKUP(SUBSTITUTE(SUBSTITUTE(SUBSTITUTE($NB126,"~","~~"),"*","~*"),"?","~?"),'DADOS_RESTRICOES'!$M$2:$Q$54,2,FALSE),"")</f>
        <v/>
      </c>
      <c r="OL126" s="164">
        <f>IFERROR(VLOOKUP(SUBSTITUTE(SUBSTITUTE(SUBSTITUTE($NC126,"~","~~"),"*","~*"),"?","~?"),'DADOS_RESTRICOES'!$M$2:$Q$54,2,FALSE),"")</f>
        <v/>
      </c>
      <c r="OM126" s="164">
        <f>COUNTIF($NS126:$NW126,1)</f>
        <v/>
      </c>
      <c r="ON126" s="164">
        <f>COUNTIF($NS126:$NW126,2)</f>
        <v/>
      </c>
      <c r="OO126" s="164">
        <f>COUNTIF($NS126:$NW126,3)</f>
        <v/>
      </c>
      <c r="OP126" s="164">
        <f>COUNTIF($NS126:$NW126,4)</f>
        <v/>
      </c>
      <c r="OQ126" s="164">
        <f>COUNTIF($NS126:$NW126,5)</f>
        <v/>
      </c>
      <c r="OR126" s="164">
        <f>COUNTIF($NS126:$NW126,6)</f>
        <v/>
      </c>
      <c r="OS126" s="164">
        <f>COUNTIF($OI126:$OJ126,1)+IF(IFERROR(INDEX('DADOS_FORMAS'!$AS$2:$AS$21,MATCH(SUBSTITUTE(SUBSTITUTE(SUBSTITUTE($MU126,"~","~~"),"*","~*"),"?","~?"),'DADOS_FORMAS'!$AH$2:$AH$21,0)),"")="",0,IFERROR(N(VLOOKUP(SUBSTITUTE(SUBSTITUTE(SUBSTITUTE(IFERROR(INDEX('DADOS_FORMAS'!$AS$2:$AS$21,MATCH(SUBSTITUTE(SUBSTITUTE(SUBSTITUTE($MU126,"~","~~"),"*","~*"),"?","~?"),'DADOS_FORMAS'!$AH$2:$AH$21,0)),""),"~","~~"),"*","~*"),"?","~?"),'DADOS_RESTRICOES'!$M$2:$Q$54,3,FALSE)=1),0))</f>
        <v/>
      </c>
      <c r="OT126" s="164">
        <f>COUNTIF($OI126:$OJ126,2)+IF(IFERROR(INDEX('DADOS_FORMAS'!$AS$2:$AS$21,MATCH(SUBSTITUTE(SUBSTITUTE(SUBSTITUTE($MU126,"~","~~"),"*","~*"),"?","~?"),'DADOS_FORMAS'!$AH$2:$AH$21,0)),"")="",0,IFERROR(N(VLOOKUP(SUBSTITUTE(SUBSTITUTE(SUBSTITUTE(IFERROR(INDEX('DADOS_FORMAS'!$AS$2:$AS$21,MATCH(SUBSTITUTE(SUBSTITUTE(SUBSTITUTE($MU126,"~","~~"),"*","~*"),"?","~?"),'DADOS_FORMAS'!$AH$2:$AH$21,0)),""),"~","~~"),"*","~*"),"?","~?"),'DADOS_RESTRICOES'!$M$2:$Q$54,3,FALSE)=2),0))</f>
        <v/>
      </c>
      <c r="OU126" s="164">
        <f>COUNTIF($MX126:$NA126,"?*")</f>
        <v/>
      </c>
      <c r="OV126" s="164">
        <f>COUNTIF($NB126:$NC126,"?*")+$OF126</f>
        <v/>
      </c>
      <c r="OW126" s="164">
        <f>IF($MS126=0,0,SUMPRODUCT($OM126:$OR126,INDEX($I$2:$N$8,MAX(1,$MS126),0)))</f>
        <v/>
      </c>
      <c r="OX126" s="164">
        <f>IF($MS126=0,0,$OS126*CEILING($MS126/2,1)+$OT126*$MS126)</f>
        <v/>
      </c>
      <c r="OY126" s="164">
        <f>MIN(2*$MS126,$OX126)</f>
        <v/>
      </c>
      <c r="OZ126" s="164">
        <f>MIN($OY126,$OW126-IF($NS126=0,0,INDEX($I$2:$N$8,MAX(1,$MS126),$NS126)))</f>
        <v/>
      </c>
      <c r="PA126" s="164">
        <f>$OY126-$OZ126</f>
        <v/>
      </c>
      <c r="PB126" s="164">
        <f>IF($MS126=0,0,INDEX($P$2:$P$8,MAX(1,$MS126)))</f>
        <v/>
      </c>
      <c r="PC126" s="164">
        <f>$PB126-$OW126+$OZ126</f>
        <v/>
      </c>
      <c r="PD126" s="164">
        <f>IF($MS126=0,MAX(0,$NG126-IF(AND($OU126&gt;0,COUNTIF($NB126:$NC126,"?*")=0),1,0)),MAX(0,$PC126))</f>
        <v/>
      </c>
      <c r="PE126" s="164">
        <f>IF($MS126=0,0,(IF(COUNTIF($RK126:$RN126,"Salto")&gt;0,1,0)+IF(COUNTIF($RK126:$RN126,"Queima")&gt;0,1,0)+IF(COUNTIF($RK126:$RN126,"Estilhaço")&gt;0,1,0))*FLOOR($PD126/2,1))</f>
        <v/>
      </c>
      <c r="PF126" s="164">
        <f>MAX(0,2-SUMPRODUCT($OM126:$OR126,$I$2:$N$2)+MIN(2,$OS126*1+$OT126*1,SUMPRODUCT($OM126:$OR126,$I$2:$N$2)-IF($NS126=0,0,INDEX($I$2:$N$2,1,$NS126))))</f>
        <v/>
      </c>
      <c r="PG126" s="164">
        <f>MAX(0,4-SUMPRODUCT($OM126:$OR126,$I$3:$N$3)+MIN(4,$OS126*1+$OT126*2,SUMPRODUCT($OM126:$OR126,$I$3:$N$3)-IF($NS126=0,0,INDEX($I$3:$N$3,1,$NS126))))</f>
        <v/>
      </c>
      <c r="PH126" s="164">
        <f>MAX(0,6-SUMPRODUCT($OM126:$OR126,$I$4:$N$4)+MIN(6,$OS126*2+$OT126*3,SUMPRODUCT($OM126:$OR126,$I$4:$N$4)-IF($NS126=0,0,INDEX($I$4:$N$4,1,$NS126))))</f>
        <v/>
      </c>
      <c r="PI126" s="164">
        <f>MAX(0,9-SUMPRODUCT($OM126:$OR126,$I$5:$N$5)+MIN(8,$OS126*2+$OT126*4,SUMPRODUCT($OM126:$OR126,$I$5:$N$5)-IF($NS126=0,0,INDEX($I$5:$N$5,1,$NS126))))</f>
        <v/>
      </c>
      <c r="PJ126" s="164">
        <f>MAX(0,11-SUMPRODUCT($OM126:$OR126,$I$6:$N$6)+MIN(10,$OS126*3+$OT126*5,SUMPRODUCT($OM126:$OR126,$I$6:$N$6)-IF($NS126=0,0,INDEX($I$6:$N$6,1,$NS126))))</f>
        <v/>
      </c>
      <c r="PK126" s="164">
        <f>MAX(0,13-SUMPRODUCT($OM126:$OR126,$I$7:$N$7)+MIN(12,$OS126*3+$OT126*6,SUMPRODUCT($OM126:$OR126,$I$7:$N$7)-IF($NS126=0,0,INDEX($I$7:$N$7,1,$NS126))))</f>
        <v/>
      </c>
      <c r="PL126" s="164">
        <f>MAX(0,16-SUMPRODUCT($OM126:$OR126,$I$8:$N$8)+MIN(14,$OS126*4+$OT126*7,SUMPRODUCT($OM126:$OR126,$I$8:$N$8)-IF($NS126=0,0,INDEX($I$8:$N$8,1,$NS126))))</f>
        <v/>
      </c>
      <c r="PM126" s="164">
        <f>IF($OG126=2,3*$PF126&amp;" de vida temp.",IF($OG126=3,"sem dano",IF($PF126=0,IF($OG126=1,"sem cura","sem dano"),IF($OG126=1,"cura ","")&amp;$PF126&amp;"d8")))</f>
        <v/>
      </c>
      <c r="PN126" s="164">
        <f>IF($OG126=2,3*$PG126&amp;" de vida temp.",IF($OG126=3,"sem dano",IF($PG126=0,IF($OG126=1,"sem cura","sem dano"),IF($OG126=1,"cura ","")&amp;$PG126&amp;"d8")))</f>
        <v/>
      </c>
      <c r="PO126" s="164">
        <f>IF($OG126=2,3*$PH126&amp;" de vida temp.",IF($OG126=3,"sem dano",IF($PH126=0,IF($OG126=1,"sem cura","sem dano"),IF($OG126=1,"cura ","")&amp;$PH126&amp;"d8")))</f>
        <v/>
      </c>
      <c r="PP126" s="164">
        <f>IF($OG126=2,3*$PI126&amp;" de vida temp.",IF($OG126=3,"sem dano",IF($PI126=0,IF($OG126=1,"sem cura","sem dano"),IF($OG126=1,"cura ","")&amp;$PI126&amp;"d8")))</f>
        <v/>
      </c>
      <c r="PQ126" s="164">
        <f>IF($OG126=2,3*$PJ126&amp;" de vida temp.",IF($OG126=3,"sem dano",IF($PJ126=0,IF($OG126=1,"sem cura","sem dano"),IF($OG126=1,"cura ","")&amp;$PJ126&amp;"d8")))</f>
        <v/>
      </c>
      <c r="PR126" s="164">
        <f>IF($OG126=2,3*$PK126&amp;" de vida temp.",IF($OG126=3,"sem dano",IF($PK126=0,IF($OG126=1,"sem cura","sem dano"),IF($OG126=1,"cura ","")&amp;$PK126&amp;"d8")))</f>
        <v/>
      </c>
      <c r="PS126" s="164">
        <f>IF($OG126=2,3*$PL126&amp;" de vida temp.",IF($OG126=3,"sem dano",IF($PL126=0,IF($OG126=1,"sem cura","sem dano"),IF($OG126=1,"cura ","")&amp;$PL126&amp;"d8")))</f>
        <v/>
      </c>
      <c r="PT126" s="164">
        <f>IF($ND126=0,"",TEXTJOIN(" · ",TRUE,IF($ND126=0,"",TEXTJOIN(" · ",TRUE,IF($ND126=0,"",TEXTJOIN(" · ",TRUE,IF($MQ126&gt;$NE126,"Este lugar abre no nível "&amp;$MQ126,""),IF($MS126&gt;$NF126,"Classe "&amp;$MS126&amp;": o nível "&amp;$NE126&amp;" libera até a "&amp;$NF126,""),IF($NX126=1,"A Forma "&amp;$MU126&amp;" pede "&amp;INDEX('DADOS_FORMAS'!$GA$2:$GA$21,$NJ126)&amp;" aberta",""),IF(AND($MS126=0,$NJ126&gt;0,IF($NJ126=0,0,INDEX('DADOS_FORMAS'!$GJ$2:$GJ$21,$NJ126))=0),$MU126&amp;" não existe na Classe 0",""),IF($NY126=1,"Família Fechada: "&amp;$MX126,""),IF($NZ126=1,"Família Fechada: "&amp;$MY126,""),IF($OA126=1,"Família Fechada: "&amp;$MZ126,""),IF($OB126=1,"Família Fechada: "&amp;$NA126,""),IF(AND($MS126&gt;0,$OU126&gt;INDEX($O$2:$O$8,MAX(1,$MS126))),$OU126&amp;" Melhorias: a Classe "&amp;$MS126&amp;" aceita "&amp;INDEX($O$2:$O$8,MAX(1,$MS126)),""),IF(AND($MS126=0,$OU126&gt;1),"A básica aceita uma Melhoria",""),IF(AND($MS126=0,COUNTIF($NO126:$NR126,"&gt;1")&gt;0),"A básica só aceita Melhoria Leve",""),IF(AND($MS126&gt;0,$OV126&gt;2),$OV126&amp;" Restrições"&amp;IF($OF126=1,", contando a que a Forma "&amp;$MU126&amp;" já traz","")&amp;": o limite é 2",""),IF(AND($MS126=0,COUNTIF($NB126:$NC126,"?*")&gt;1),"A básica aceita uma Restrição Leve",""),IF(AND($MS126=0,COUNTIF($OI126:$OJ126,2)&gt;0),"A básica só aceita Restrição Leve",""),IF(AND($MS126&gt;0,$PC126&lt;0),"Orçamento estourado: faltam "&amp;(-$PC126)&amp;IF($PC126&lt;-1," pontos"," ponto"),""),IF(IFERROR(VLOOKUP(SUBSTITUTE(SUBSTITUTE(SUBSTITUTE($NB126,"~","~~"),"*","~*"),"?","~?"),'DADOS_RESTRICOES'!$M$2:$Q$54,4,FALSE),0)+IFERROR(VLOOKUP(SUBSTITUTE(SUBSTITUTE(SUBSTITUTE($NC126,"~","~~"),"*","~*"),"?","~?"),'DADOS_RESTRICOES'!$M$2:$Q$54,4,FALSE),0)&gt;1,$OK126&amp;" e "&amp;$OL126&amp;" são as duas de frequência",""),IF(AND((COUNTIF($RK126:$RN126,"Rápido")+COUNTIF($OK126:$OL126,"Rápido"))&gt;0,(COUNTIF($MX126:$NA126,"Atrasar")+COUNTIF($OK126:$OL126,"Atrasar"))&gt;0),"Rápido não entra com Atrasar",""),IF(AND((COUNTIF($RK126:$RN126,"Reação")+COUNTIF($OK126:$OL126,"Reação"))&gt;0,(COUNTIF($RK126:$RN126,"Rápido")+COUNTIF($OK126:$OL126,"Rápido"))&gt;0),"Reação não entra com Rápido",""),IF(AND((COUNTIF($RK126:$RN126,"Reação")+COUNTIF($OK126:$OL126,"Reação"))&gt;0,(COUNTIF($RK126:$RN126,"Armado")+COUNTIF($OK126:$OL126,"Armado"))&gt;0),"Reação não entra com Armado",""),IF(AND((COUNTIF($RK126:$RN126,"Reação")+COUNTIF($OK126:$OL126,"Reação"))&gt;0,(COUNTIF($MX126:$NA126,"Atrasar")+COUNTIF($OK126:$OL126,"Atrasar"))&gt;0),"Reação não entra com Atrasar",""),IF(AND((COUNTIF($RK126:$RN126,"Reação")+COUNTIF($OK126:$OL126,"Reação"))&gt;0,(COUNTIF($MX126:$NA126,"Parado")+COUNTIF($OK126:$OL126,"Parado"))&gt;0),"Reação não entra com Parado",""),IF(AND((COUNTIF($MX126:$NA126,"Atrasar")+COUNTIF($OK126:$OL126,"Atrasar"))&gt;0,(COUNTIF($MX126:$NA126,"Parado")+COUNTIF($OK126:$OL126,"Parado"))&gt;0),"Atrasar não entra com Parado",""),IF(AND((COUNTIF($RK126:$RN126,"Armado")+COUNTIF($OK126:$OL126,"Armado"))&gt;0,(COUNTIF($MX126:$NA126,"Carregar")+COUNTIF($OK126:$OL126,"Carregar"))&gt;0),"Armado não entra com Carregar",""),IF(AND(COUNTIF($OK126:$OL126,"Corpo a Corpo")&gt;0,$OF126=0,OR($RO126="Cone",$RO126="Linha")),"Corpo a Corpo não entra em "&amp;$MU126,""),IF(AND(COUNTIF($OK126:$OL126,"Corpo a Corpo")&gt;0,$RP126="Corpo a Corpo"),"A Forma "&amp;$MU126&amp;" já traz o Corpo a Corpo",""),IF(AND(COUNTIF($OK126:$OL126,"Tudo ou Nada")&gt;0,$OH126=0),"Tudo ou Nada só entra em habilidade de Teste de Resistência",""),IF(AND(COUNTIF($RK126:$RN126,"Inescapável")&gt;0,OR($OU126&gt;1,$OV126&gt;0)),"Inescapável não aceita outra peça",""),IF(AND($MS126&gt;0,$PD126*IF(COUNTIF($RK126:$RN126,"Remate")&gt;0,1.25,1)+$PE126&gt;4*$MS126),($PD126*IF(COUNTIF($RK126:$RN126,"Remate")&gt;0,1.25,1)+$PE126)&amp;" dados somando repetições"&amp;IF(COUNTIF($RK126:$RN126,"Remate")&gt;0," e o Remate","")&amp;": o teto da Classe "&amp;$MS126&amp;" é "&amp;4*$MS126,""))),IF(AND($MX126&lt;&gt;"",COUNTIF('DADOS_MELHORIAS'!$O$2:$O$113,SUBSTITUTE(SUBSTITUTE(SUBSTITUTE($MX126,"~","~~"),"*","~*"),"?","~?"))=0),"Melhoria não cadastrada ou com erro: "&amp;$MX126,""),IF(AND($MY126&lt;&gt;"",COUNTIF('DADOS_MELHORIAS'!$O$2:$O$113,SUBSTITUTE(SUBSTITUTE(SUBSTITUTE($MY126,"~","~~"),"*","~*"),"?","~?"))=0),"Melhoria não cadastrada ou com erro: "&amp;$MY126,""),IF(AND($MZ126&lt;&gt;"",COUNTIF('DADOS_MELHORIAS'!$O$2:$O$113,SUBSTITUTE(SUBSTITUTE(SUBSTITUTE($MZ126,"~","~~"),"*","~*"),"?","~?"))=0),"Melhoria não cadastrada ou com erro: "&amp;$MZ126,""),IF(AND($NA126&lt;&gt;"",COUNTIF('DADOS_MELHORIAS'!$O$2:$O$113,SUBSTITUTE(SUBSTITUTE(SUBSTITUTE($NA126,"~","~~"),"*","~*"),"?","~?"))=0),"Melhoria não cadastrada ou com erro: "&amp;$NA126,""),IF(AND($NB126&lt;&gt;"",COUNTIF('DADOS_RESTRICOES'!$M$2:$M$54,SUBSTITUTE(SUBSTITUTE(SUBSTITUTE($NB126,"~","~~"),"*","~*"),"?","~?"))=0),"Restrição não cadastrada ou com erro: "&amp;$NB126,""),IF(AND($NC126&lt;&gt;"",COUNTIF('DADOS_RESTRICOES'!$M$2:$M$54,SUBSTITUTE(SUBSTITUTE(SUBSTITUTE($NC126,"~","~~"),"*","~*"),"?","~?"))=0),"Restrição não cadastrada ou com erro: "&amp;$NC126,""))),IF(AND($MU126&lt;&gt;"",COUNTIF('DADOS_FORMAS'!$AH$2:$AH$21,SUBSTITUTE(SUBSTITUTE(SUBSTITUTE($MU126,"~","~~"),"*","~*"),"?","~?"))=0),"Forma não cadastrada ou com erro: "&amp;$MU126,""),IF(AND(IFERROR(INDEX('DADOS_FORMAS'!$AS$2:$AS$21,MATCH(SUBSTITUTE(SUBSTITUTE(SUBSTITUTE($MU126,"~","~~"),"*","~*"),"?","~?"),'DADOS_FORMAS'!$AH$2:$AH$21,0)),"")&lt;&gt;"",OR(IFERROR(VLOOKUP(SUBSTITUTE(SUBSTITUTE(SUBSTITUTE(IFERROR(INDEX('DADOS_FORMAS'!$AS$2:$AS$21,MATCH(SUBSTITUTE(SUBSTITUTE(SUBSTITUTE($MU126,"~","~~"),"*","~*"),"?","~?"),'DADOS_FORMAS'!$AH$2:$AH$21,0)),""),"~","~~"),"*","~*"),"?","~?"),'DADOS_RESTRICOES'!$M$2:$Q$54,2,FALSE),"")=$OK126,IFERROR(VLOOKUP(SUBSTITUTE(SUBSTITUTE(SUBSTITUTE(IFERROR(INDEX('DADOS_FORMAS'!$AS$2:$AS$21,MATCH(SUBSTITUTE(SUBSTITUTE(SUBSTITUTE($MU126,"~","~~"),"*","~*"),"?","~?"),'DADOS_FORMAS'!$AH$2:$AH$21,0)),""),"~","~~"),"*","~*"),"?","~?"),'DADOS_RESTRICOES'!$M$2:$Q$54,2,FALSE),"")=$OL126)),"Restrição repetida, contando a embutida",""),IF(IF(IFERROR(INDEX('DADOS_FORMAS'!$AS$2:$AS$21,MATCH(SUBSTITUTE(SUBSTITUTE(SUBSTITUTE($MU126,"~","~~"),"*","~*"),"?","~?"),'DADOS_FORMAS'!$AH$2:$AH$21,0)),"")="",0,IFERROR(N(VLOOKUP(SUBSTITUTE(SUBSTITUTE(SUBSTITUTE(IFERROR(INDEX('DADOS_FORMAS'!$AS$2:$AS$21,MATCH(SUBSTITUTE(SUBSTITUTE(SUBSTITUTE($MU126,"~","~~"),"*","~*"),"?","~?"),'DADOS_FORMAS'!$AH$2:$AH$21,0)),""),"~","~~"),"*","~*"),"?","~?"),'DADOS_RESTRICOES'!$M$2:$Q$54,4,FALSE)=1),0))+IF($NB126="",0,IFERROR(N(VLOOKUP(SUBSTITUTE(SUBSTITUTE(SUBSTITUTE($NB126,"~","~~"),"*","~*"),"?","~?"),'DADOS_RESTRICOES'!$M$2:$Q$54,4,FALSE)=1),0))+IF($NC126="",0,IFERROR(N(VLOOKUP(SUBSTITUTE(SUBSTITUTE(SUBSTITUTE($NC126,"~","~~"),"*","~*"),"?","~?"),'DADOS_RESTRICOES'!$M$2:$Q$54,4,FALSE)=1),0))&gt;1,"Duas Restrições de frequência, contando a embutida",""),IF(AND(IFERROR(VLOOKUP(SUBSTITUTE(SUBSTITUTE(SUBSTITUTE(IFERROR(INDEX('DADOS_FORMAS'!$AS$2:$AS$21,MATCH(SUBSTITUTE(SUBSTITUTE(SUBSTITUTE($MU126,"~","~~"),"*","~*"),"?","~?"),'DADOS_FORMAS'!$AH$2:$AH$21,0)),""),"~","~~"),"*","~*"),"?","~?"),'DADOS_RESTRICOES'!$M$2:$Q$54,2,FALSE),"")="Tudo ou Nada",$OH126=0),"Tudo ou Nada exige TR",""),IF(AND(IFERROR(VLOOKUP(SUBSTITUTE(SUBSTITUTE(SUBSTITUTE(IFERROR(INDEX('DADOS_FORMAS'!$AS$2:$AS$21,MATCH(SUBSTITUTE(SUBSTITUTE(SUBSTITUTE($MU126,"~","~~"),"*","~*"),"?","~?"),'DADOS_FORMAS'!$AH$2:$AH$21,0)),""),"~","~~"),"*","~*"),"?","~?"),'DADOS_RESTRICOES'!$M$2:$Q$54,2,FALSE),"")="Corpo a Corpo",OR($RO126="Cone",$RO126="Linha")),"Corpo a Corpo não entra em Cone/Linha","")))</f>
        <v/>
      </c>
      <c r="PU126" s="164">
        <f>IF($PT126="",0,(LEN($PT126)-LEN(SUBSTITUTE($PT126," · ","")))/3+1)</f>
        <v/>
      </c>
      <c r="PV126" s="164">
        <f>IF($ND126=0,"",TEXTJOIN(" · ",TRUE,IF($OX126&gt;2*$MS126,"A devolução parou no teto de "&amp;2*$MS126,""),IF($PA126&gt;0,"Devolução perdida: "&amp;$PA126&amp;IF($PA126&gt;1," pontos"," ponto")&amp;" sem Melhoria para pagar",""),IF(AND($OC126&gt;0,AND($MS126&gt;0,$OG126=0),$PD126=0),"Controle sem dano: uma rodada a mais e CD +2",""),IF(AND($OC126&gt;0,AND($MS126&gt;0,$OG126=0),$PD126&gt;0,$PD126&lt;=$MS126),"Controle com saldo até a Classe: uma rodada a mais",""),IF(AND($MS126&gt;0,$OE126&lt;&gt;""),"Efeito de "&amp;$OE126&amp;" pela Classe "&amp;MAX(1,$MS126-1),"")))</f>
        <v/>
      </c>
      <c r="PW126" s="164">
        <f>IF($PV126="",0,(LEN($PV126)-LEN(SUBSTITUTE($PV126," · ","")))/3+1)</f>
        <v/>
      </c>
      <c r="PX126" s="164">
        <f>IF($ND126=0,IF($OU126+COUNTIF($NB126:$NC126,"?*")&gt;0,"Dê um nome",""),IF($PU126&gt;0,"⚠ "&amp;$PU126&amp;IF($PU126&gt;1," erros"," erro"),IF($PW126&gt;0,"! "&amp;$PW126&amp;IF($PW126&gt;1," avisos"," aviso"),"Na regra")))</f>
        <v/>
      </c>
      <c r="PY126" s="164">
        <f>IF($ND126=0,"",IF($PU126+$PW126=0,"Dentro das regras que a ficha confere",$PT126&amp;IF(AND($PU126&gt;0,$PW126&gt;0)," · ","")&amp;$PV126))</f>
        <v/>
      </c>
      <c r="PZ126" s="164">
        <f>IF($MQ126&gt;$NE126,$MR126&amp;" · ABRE NO NÍVEL "&amp;$MQ126,$MR126)</f>
        <v/>
      </c>
      <c r="QA126" s="164">
        <f>IF($ND126=0,"",IF($MS126=0,"Sem PE",3*$MS126&amp;" PE"))</f>
        <v/>
      </c>
      <c r="QB126" s="164">
        <f>IF($ND126=0,"",IF($MS126=0,"A atuação básica dela",IF(COUNTIF($RQ126:$RS126,"Atrasar")&gt;0,"Sua Ação Completa",IF(COUNTIF($RK126:$RN126,"Rápido")&gt;0,"Sua Bônus",IF(COUNTIF($RK126:$RN126,"Reação")&gt;0,"Sua Reação","Sua Padrão")))&amp;" + a básica dela"&amp;IF(COUNTIF($RK126:$RN126,"Reação")&gt;0," e a coletiva","")&amp;IF(COUNTIF($RQ126:$RS126,"Carregar")&gt;0," · em dois turnos","")))</f>
        <v/>
      </c>
      <c r="QC126" s="164">
        <f>IF($MW126&lt;&gt;"",$MW126,IF($NJ126=0,"",INDEX('DADOS_FORMAS'!$GE$2:$GE$21,$NJ126)))</f>
        <v/>
      </c>
      <c r="QD126" s="164">
        <f>IF(OR($ND126=0,$NJ126=0),"",IF(COUNTIF($RK126:$RN126,"Inescapável")&gt;0,"Automático",IF($QC126="Ataque",IF($NH126="","Ataque","Ataque "&amp;IF(($NH126+2*IF(COUNTIF($RK126:$RN126,"Precisão")&gt;0,1,0))&gt;=0,"+","−")&amp;ABS(($NH126+2*IF(COUNTIF($RK126:$RN126,"Precisão")&gt;0,1,0))))&amp;IF($OD126&gt;0," · TR"&amp;IF($NI126="",""," CD "&amp;$NI126),""),IF(LEFT($QC126,2)="TR",$QC126&amp;IF($NI126="",""," · CD "&amp;$NI126)&amp;IF(COUNTIF($RK126:$RN126,"Certeiro")&gt;0," · metade",""),"Sem rolagem"))))</f>
        <v/>
      </c>
      <c r="QE126" s="164">
        <f>IF(OR($ND126=0,$NJ126=0),"",IF($MS126=0,IF(OR($OG126&gt;=1,$PD126=0),"Sem dano",$PD126&amp;"d6"&amp;IF($MV126="",""," "&amp;$MV126)),IF(OR($OG126&gt;=1,$PD126=0),UPPER(LEFT(INDEX($PM126:$PS126,1,MAX(1,$MS126)),1))&amp;MID(INDEX($PM126:$PS126,1,MAX(1,$MS126)),2,99),UPPER(LEFT(INDEX($PM126:$PS126,1,MAX(1,$MS126)),1))&amp;MID(INDEX($PM126:$PS126,1,MAX(1,$MS126)),2,99)&amp;IF($MV126="",""," "&amp;$MV126)&amp;IF($PE126&gt;0," · +"&amp;$PE126&amp;"d8",""))))</f>
        <v/>
      </c>
      <c r="QF126" s="164">
        <f>COUNTIF($RK126:$RN126,"Longe")+3*COUNTIF($RK126:$RN126,"Muito Longe")</f>
        <v/>
      </c>
      <c r="QG126" s="164">
        <f>COUNTIF($RK126:$RN126,"Maior")+3*COUNTIF($RK126:$RN126,"Muito Maior")</f>
        <v/>
      </c>
      <c r="QH126" s="164">
        <f>IF($NJ126=0,0,CHOOSE(1+INDEX('DADOS_FORMAS'!$GG$2:$GG$21,$NJ126),0,$QF126,$QG126,$QF126+$QG126))</f>
        <v/>
      </c>
      <c r="QI126" s="164">
        <f>IF($NJ126=0,0,CHOOSE(1+INDEX('DADOS_FORMAS'!$GH$2:$GH$21,$NJ126),0,$QF126,$QG126,$QF126+$QG126))</f>
        <v/>
      </c>
      <c r="QJ126" s="164">
        <f>IF(OR($ND126=0,$NJ126=0),"",INDEX('DADOS_FORMAS'!$HU$2:$HZ$81,($NJ126-1)*4+IF($MS126=0,1,IF($MS126&lt;=5,2,IF($MS126=6,3,4))),1+MIN(5,$QH126))&amp;INDEX('DADOS_FORMAS'!$IA$2:$IF$81,($NJ126-1)*4+IF($MS126=0,1,IF($MS126&lt;=5,2,IF($MS126=6,3,4))),1+MIN(5,$QI126))&amp;IF(INDEX('DADOS_FORMAS'!$GI$2:$GI$21,$NJ126)=1,IF(COUNTIF($RK126:$RN126,"Mais Um")&gt;0," · +"&amp;COUNTIF($RK126:$RN126,"Mais Um")&amp;IF(COUNTIF($RK126:$RN126,"Mais Um")&gt;1," alvos"," alvo"),"")&amp;IF(COUNTIF($RK126:$RN126,"Rajada")&gt;0,IF($MS126=0," · 1 tiro"," · "&amp;(MAX(1,$MS126-1)+1)&amp;" tiros"),""),""))</f>
        <v/>
      </c>
      <c r="QK126" s="164">
        <f>IF($ND126=0,"",IF($MS126=0,$NG126&amp;"d6"&amp;IF($OU126&gt;0," − 1 = "&amp;$PD126&amp;"d6"," da básica do nível "&amp;$NE126),$PB126&amp;" − "&amp;$OW126&amp;" + "&amp;$OZ126&amp;" = "&amp;$PC126&amp;" · teto "&amp;4*$MS126&amp;"d8"&amp;IF($OF126=1," · a Forma devolve "&amp;$MS126,"")&amp;IF($PA126&gt;0," · perde "&amp;$PA126,"")))</f>
        <v/>
      </c>
      <c r="QL126" s="164">
        <f>IF($ND126=0,"",IF($MS126=0,"A básica não amplia: os dados dela sobem com o nível",IF($MS126&gt;=$NF126,"Já está na maior Classe que o nível liberou",TEXTJOIN(" · ",TRUE,IF(AND(2&gt;$MS126,2&lt;=$NF126),"2 → "&amp;$PN126&amp;", 6 PE",""),IF(AND(3&gt;$MS126,3&lt;=$NF126),"3 → "&amp;$PO126&amp;", 9 PE",""),IF(AND(4&gt;$MS126,4&lt;=$NF126),"4 → "&amp;$PP126&amp;", 12 PE",""),IF(AND(5&gt;$MS126,5&lt;=$NF126),"5 → "&amp;$PQ126&amp;", 15 PE",""),IF(AND(6&gt;$MS126,6&lt;=$NF126),"6 → "&amp;$PR126&amp;", 18 PE",""),IF(AND(7&gt;$MS126,7&lt;=$NF126),"7 → "&amp;$PS126&amp;", 21 PE","")))))</f>
        <v/>
      </c>
      <c r="QM126" s="164">
        <f>IF(OR($ND126=0,$NO126=0),"",IF($MS126=0,"−1 dado","−"&amp;INDEX($I$2:$N$8,MAX(1,$MS126),MAX(1,$NT126))&amp;" · "&amp;CHOOSE(MAX(1,$NT126),"Leve","Média","Pesada","Leve · Livre","Média · Livre","Pesada · Livre")))</f>
        <v/>
      </c>
      <c r="QN126" s="164">
        <f>IF(OR($ND126=0,$NP126=0),"",IF($MS126=0,"−1 dado","−"&amp;INDEX($I$2:$N$8,MAX(1,$MS126),MAX(1,$NU126))&amp;" · "&amp;CHOOSE(MAX(1,$NU126),"Leve","Média","Pesada","Leve · Livre","Média · Livre","Pesada · Livre")))</f>
        <v/>
      </c>
      <c r="QO126" s="164">
        <f>IF(OR($ND126=0,$NQ126=0),"",IF($MS126=0,"−1 dado","−"&amp;INDEX($I$2:$N$8,MAX(1,$MS126),MAX(1,$NV126))&amp;" · "&amp;CHOOSE(MAX(1,$NV126),"Leve","Média","Pesada","Leve · Livre","Média · Livre","Pesada · Livre")))</f>
        <v/>
      </c>
      <c r="QP126" s="164">
        <f>IF(OR($ND126=0,$NR126=0),"",IF($MS126=0,"−1 dado","−"&amp;INDEX($I$2:$N$8,MAX(1,$MS126),MAX(1,$NW126))&amp;" · "&amp;CHOOSE(MAX(1,$NW126),"Leve","Média","Pesada","Leve · Livre","Média · Livre","Pesada · Livre")))</f>
        <v/>
      </c>
      <c r="QQ126" s="164">
        <f>IF(OR($ND126=0,$NB126=""),"",IF($MS126=0,"não devolve","+"&amp;IF($OI126=1,CEILING($MS126/2,1),$MS126)))</f>
        <v/>
      </c>
      <c r="QR126" s="164">
        <f>IF(OR($ND126=0,$NC126=""),"",IF($MS126=0,"não devolve","+"&amp;IF($OJ126=1,CEILING($MS126/2,1),$MS126)))</f>
        <v/>
      </c>
      <c r="RK126">
        <f>IF($MX126="","",IFERROR(VLOOKUP(SUBSTITUTE(SUBSTITUTE(SUBSTITUTE($MX126,"~","~~"),"*","~*"),"?","~?"),'DADOS_MELHORIAS'!$O$2:$X$113,10,FALSE),$MX126))</f>
        <v/>
      </c>
      <c r="RL126">
        <f>IF($MY126="","",IFERROR(VLOOKUP(SUBSTITUTE(SUBSTITUTE(SUBSTITUTE($MY126,"~","~~"),"*","~*"),"?","~?"),'DADOS_MELHORIAS'!$O$2:$X$113,10,FALSE),$MY126))</f>
        <v/>
      </c>
      <c r="RM126">
        <f>IF($MZ126="","",IFERROR(VLOOKUP(SUBSTITUTE(SUBSTITUTE(SUBSTITUTE($MZ126,"~","~~"),"*","~*"),"?","~?"),'DADOS_MELHORIAS'!$O$2:$X$113,10,FALSE),$MZ126))</f>
        <v/>
      </c>
      <c r="RN126">
        <f>IF($NA126="","",IFERROR(VLOOKUP(SUBSTITUTE(SUBSTITUTE(SUBSTITUTE($NA126,"~","~~"),"*","~*"),"?","~?"),'DADOS_MELHORIAS'!$O$2:$X$113,10,FALSE),$NA126))</f>
        <v/>
      </c>
      <c r="RO126">
        <f>IFERROR(INDEX('DADOS_FORMAS'!$BJ$2:$BJ$21,MATCH(SUBSTITUTE(SUBSTITUTE(SUBSTITUTE($MU126,"~","~~"),"*","~*"),"?","~?"),'DADOS_FORMAS'!$AH$2:$AH$21,0)),"")</f>
        <v/>
      </c>
      <c r="RP126">
        <f>IFERROR(VLOOKUP(SUBSTITUTE(SUBSTITUTE(SUBSTITUTE(IFERROR(INDEX('DADOS_FORMAS'!$AS$2:$AS$21,MATCH(SUBSTITUTE(SUBSTITUTE(SUBSTITUTE($MU126,"~","~~"),"*","~*"),"?","~?"),'DADOS_FORMAS'!$AH$2:$AH$21,0)),""),"~","~~"),"*","~*"),"?","~?"),'DADOS_RESTRICOES'!$M$2:$Q$54,2,FALSE),"")</f>
        <v/>
      </c>
      <c r="RQ126">
        <f>$OK126</f>
        <v/>
      </c>
      <c r="RR126">
        <f>$OL126</f>
        <v/>
      </c>
      <c r="RS126">
        <f>$RP126</f>
        <v/>
      </c>
    </row>
    <row r="127">
      <c r="MN127" s="162" t="inlineStr">
        <is>
          <t>Ficha 10 · Especial 7</t>
        </is>
      </c>
      <c r="MO127" s="164" t="n">
        <v>10</v>
      </c>
      <c r="MP127" s="164" t="n">
        <v>1</v>
      </c>
      <c r="MQ127" s="164" t="n">
        <v>24</v>
      </c>
      <c r="MR127" s="162" t="inlineStr">
        <is>
          <t>ESPECIAL 7</t>
        </is>
      </c>
      <c r="MS127" s="164">
        <f>MAX(1,MIN(7,N('INVOCAÇÕES'!$AN$760)))</f>
        <v/>
      </c>
      <c r="MT127" s="164">
        <f>'INVOCAÇÕES'!$AO$760&amp;""</f>
        <v/>
      </c>
      <c r="MU127" s="164">
        <f>'INVOCAÇÕES'!$AN$765&amp;""</f>
        <v/>
      </c>
      <c r="MV127" s="164">
        <f>'INVOCAÇÕES'!$AN$766&amp;""</f>
        <v/>
      </c>
      <c r="MW127" s="164">
        <f>'INVOCAÇÕES'!$AP$766&amp;""</f>
        <v/>
      </c>
      <c r="MX127" s="164">
        <f>'INVOCAÇÕES'!$AO$769&amp;""</f>
        <v/>
      </c>
      <c r="MY127" s="164">
        <f>'INVOCAÇÕES'!$AO$770&amp;""</f>
        <v/>
      </c>
      <c r="MZ127" s="164">
        <f>'INVOCAÇÕES'!$AO$771&amp;""</f>
        <v/>
      </c>
      <c r="NA127" s="164">
        <f>'INVOCAÇÕES'!$AO$772&amp;""</f>
        <v/>
      </c>
      <c r="NB127" s="164">
        <f>'INVOCAÇÕES'!$AO$773&amp;""</f>
        <v/>
      </c>
      <c r="NC127" s="164">
        <f>'INVOCAÇÕES'!$AO$774&amp;""</f>
        <v/>
      </c>
      <c r="ND127" s="164">
        <f>IF($MT127&lt;&gt;"",1,0)</f>
        <v/>
      </c>
      <c r="NE127" s="164">
        <f>INDEX($FO$2:$FO$13,$MO127)</f>
        <v/>
      </c>
      <c r="NF127" s="164">
        <f>INDEX($FP$2:$FP$13,$MO127)</f>
        <v/>
      </c>
      <c r="NG127" s="164">
        <f>INDEX($FQ$2:$FQ$13,$MO127)</f>
        <v/>
      </c>
      <c r="NH127" s="164">
        <f>INDEX($GB$2:$GB$13,$MO127)</f>
        <v/>
      </c>
      <c r="NI127" s="164">
        <f>INDEX($GC$2:$GC$13,$MO127)</f>
        <v/>
      </c>
      <c r="NJ127" s="164">
        <f>IFERROR(MATCH(SUBSTITUTE(SUBSTITUTE(SUBSTITUTE($MU127,"~","~~"),"*","~*"),"?","~?"),'DADOS_FORMAS'!$FZ$2:$FZ$21,0),0)</f>
        <v/>
      </c>
      <c r="NK127" s="164">
        <f>IFERROR(VLOOKUP(SUBSTITUTE(SUBSTITUTE(SUBSTITUTE($MX127,"~","~~"),"*","~*"),"?","~?"),'DADOS_MELHORIAS'!$AG$2:$AL$113,2,FALSE),"")</f>
        <v/>
      </c>
      <c r="NL127" s="164">
        <f>IFERROR(VLOOKUP(SUBSTITUTE(SUBSTITUTE(SUBSTITUTE($MY127,"~","~~"),"*","~*"),"?","~?"),'DADOS_MELHORIAS'!$AG$2:$AL$113,2,FALSE),"")</f>
        <v/>
      </c>
      <c r="NM127" s="164">
        <f>IFERROR(VLOOKUP(SUBSTITUTE(SUBSTITUTE(SUBSTITUTE($MZ127,"~","~~"),"*","~*"),"?","~?"),'DADOS_MELHORIAS'!$AG$2:$AL$113,2,FALSE),"")</f>
        <v/>
      </c>
      <c r="NN127" s="164">
        <f>IFERROR(VLOOKUP(SUBSTITUTE(SUBSTITUTE(SUBSTITUTE($NA127,"~","~~"),"*","~*"),"?","~?"),'DADOS_MELHORIAS'!$AG$2:$AL$113,2,FALSE),"")</f>
        <v/>
      </c>
      <c r="NO127" s="164">
        <f>IFERROR(VLOOKUP(SUBSTITUTE(SUBSTITUTE(SUBSTITUTE($MX127,"~","~~"),"*","~*"),"?","~?"),'DADOS_MELHORIAS'!$AG$2:$AL$113,3,FALSE),0)</f>
        <v/>
      </c>
      <c r="NP127" s="164">
        <f>IFERROR(VLOOKUP(SUBSTITUTE(SUBSTITUTE(SUBSTITUTE($MY127,"~","~~"),"*","~*"),"?","~?"),'DADOS_MELHORIAS'!$AG$2:$AL$113,3,FALSE),0)</f>
        <v/>
      </c>
      <c r="NQ127" s="164">
        <f>IFERROR(VLOOKUP(SUBSTITUTE(SUBSTITUTE(SUBSTITUTE($MZ127,"~","~~"),"*","~*"),"?","~?"),'DADOS_MELHORIAS'!$AG$2:$AL$113,3,FALSE),0)</f>
        <v/>
      </c>
      <c r="NR127" s="164">
        <f>IFERROR(VLOOKUP(SUBSTITUTE(SUBSTITUTE(SUBSTITUTE($NA127,"~","~~"),"*","~*"),"?","~?"),'DADOS_MELHORIAS'!$AG$2:$AL$113,3,FALSE),0)</f>
        <v/>
      </c>
      <c r="NS127" s="164">
        <f>IF($MS127=0,0,IF($NJ127=0,0,INDEX('DADOS_FORMAS'!$GB$2:$GB$21,$NJ127)))</f>
        <v/>
      </c>
      <c r="NT127" s="164">
        <f>IF(OR($NO127=0,$MS127=0),0,$NO127+3*IF(AND($NK127&lt;&gt;"",COUNTIF(INDEX($RB$2:$RJ$13,$MO127,0),$NK127)&gt;0),1,0))</f>
        <v/>
      </c>
      <c r="NU127" s="164">
        <f>IF(OR($NP127=0,$MS127=0),0,$NP127+3*IF(AND($NL127&lt;&gt;"",COUNTIF(INDEX($RB$2:$RJ$13,$MO127,0),$NL127)&gt;0),1,0))</f>
        <v/>
      </c>
      <c r="NV127" s="164">
        <f>IF(OR($NQ127=0,$MS127=0),0,$NQ127+3*IF(AND($NM127&lt;&gt;"",COUNTIF(INDEX($RB$2:$RJ$13,$MO127,0),$NM127)&gt;0),1,0))</f>
        <v/>
      </c>
      <c r="NW127" s="164">
        <f>IF(OR($NR127=0,$MS127=0),0,$NR127+3*IF(AND($NN127&lt;&gt;"",COUNTIF(INDEX($RB$2:$RJ$13,$MO127,0),$NN127)&gt;0),1,0))</f>
        <v/>
      </c>
      <c r="NX127" s="164">
        <f>IF($NJ127=0,0,IF(INDEX('DADOS_FORMAS'!$GA$2:$GA$21,$NJ127)="",0,IF((COUNTIF(INDEX($EL$2:$EP$13,$MO127,0),INDEX('DADOS_FORMAS'!$GA$2:$GA$21,$NJ127))+COUNTIF(INDEX($QV$2:$QY$13,$MO127,0),INDEX('DADOS_FORMAS'!$GA$2:$GA$21,$NJ127)))=0,1,0)))</f>
        <v/>
      </c>
      <c r="NY127" s="164">
        <f>IF(OR($NO127=0,$NK127=""),0,IF((COUNTIF(INDEX($EL$2:$EP$13,$MO127,0),$NK127)+COUNTIF(INDEX($QV$2:$QY$13,$MO127,0),$NK127))=0,1,0))</f>
        <v/>
      </c>
      <c r="NZ127" s="164">
        <f>IF(OR($NP127=0,$NL127=""),0,IF((COUNTIF(INDEX($EL$2:$EP$13,$MO127,0),$NL127)+COUNTIF(INDEX($QV$2:$QY$13,$MO127,0),$NL127))=0,1,0))</f>
        <v/>
      </c>
      <c r="OA127" s="164">
        <f>IF(OR($NQ127=0,$NM127=""),0,IF((COUNTIF(INDEX($EL$2:$EP$13,$MO127,0),$NM127)+COUNTIF(INDEX($QV$2:$QY$13,$MO127,0),$NM127))=0,1,0))</f>
        <v/>
      </c>
      <c r="OB127" s="164">
        <f>IF(OR($NR127=0,$NN127=""),0,IF((COUNTIF(INDEX($EL$2:$EP$13,$MO127,0),$NN127)+COUNTIF(INDEX($QV$2:$QY$13,$MO127,0),$NN127))=0,1,0))</f>
        <v/>
      </c>
      <c r="OC127" s="164">
        <f>IFERROR(VLOOKUP(SUBSTITUTE(SUBSTITUTE(SUBSTITUTE($MX127,"~","~~"),"*","~*"),"?","~?"),'DADOS_MELHORIAS'!$AG$2:$AL$113,4,FALSE),0)+IFERROR(VLOOKUP(SUBSTITUTE(SUBSTITUTE(SUBSTITUTE($MY127,"~","~~"),"*","~*"),"?","~?"),'DADOS_MELHORIAS'!$AG$2:$AL$113,4,FALSE),0)+IFERROR(VLOOKUP(SUBSTITUTE(SUBSTITUTE(SUBSTITUTE($MZ127,"~","~~"),"*","~*"),"?","~?"),'DADOS_MELHORIAS'!$AG$2:$AL$113,4,FALSE),0)+IFERROR(VLOOKUP(SUBSTITUTE(SUBSTITUTE(SUBSTITUTE($NA127,"~","~~"),"*","~*"),"?","~?"),'DADOS_MELHORIAS'!$AG$2:$AL$113,4,FALSE),0)</f>
        <v/>
      </c>
      <c r="OD127" s="164">
        <f>IFERROR(VLOOKUP(SUBSTITUTE(SUBSTITUTE(SUBSTITUTE($MX127,"~","~~"),"*","~*"),"?","~?"),'DADOS_MELHORIAS'!$AG$2:$AL$113,6,FALSE),0)+IFERROR(VLOOKUP(SUBSTITUTE(SUBSTITUTE(SUBSTITUTE($MY127,"~","~~"),"*","~*"),"?","~?"),'DADOS_MELHORIAS'!$AG$2:$AL$113,6,FALSE),0)+IFERROR(VLOOKUP(SUBSTITUTE(SUBSTITUTE(SUBSTITUTE($MZ127,"~","~~"),"*","~*"),"?","~?"),'DADOS_MELHORIAS'!$AG$2:$AL$113,6,FALSE),0)+IFERROR(VLOOKUP(SUBSTITUTE(SUBSTITUTE(SUBSTITUTE($NA127,"~","~~"),"*","~*"),"?","~?"),'DADOS_MELHORIAS'!$AG$2:$AL$113,6,FALSE),0)+IFERROR(N(AND(INDEX('DADOS_FORMAS'!$AO$2:$AO$21,MATCH(SUBSTITUTE(SUBSTITUTE(SUBSTITUTE($MU127,"~","~~"),"*","~*"),"?","~?"),'DADOS_FORMAS'!$AH$2:$AH$21,0))="Acerto",$OH127=1)),0)</f>
        <v/>
      </c>
      <c r="OE127" s="164">
        <f>TEXTJOIN(", ",TRUE,IF(IFERROR(VLOOKUP(SUBSTITUTE(SUBSTITUTE(SUBSTITUTE($MX127,"~","~~"),"*","~*"),"?","~?"),'DADOS_MELHORIAS'!$AG$2:$AL$113,5,FALSE),0)=1,$MX127,""),IF(IFERROR(VLOOKUP(SUBSTITUTE(SUBSTITUTE(SUBSTITUTE($MY127,"~","~~"),"*","~*"),"?","~?"),'DADOS_MELHORIAS'!$AG$2:$AL$113,5,FALSE),0)=1,$MY127,""),IF(IFERROR(VLOOKUP(SUBSTITUTE(SUBSTITUTE(SUBSTITUTE($MZ127,"~","~~"),"*","~*"),"?","~?"),'DADOS_MELHORIAS'!$AG$2:$AL$113,5,FALSE),0)=1,$MZ127,""),IF(IFERROR(VLOOKUP(SUBSTITUTE(SUBSTITUTE(SUBSTITUTE($NA127,"~","~~"),"*","~*"),"?","~?"),'DADOS_MELHORIAS'!$AG$2:$AL$113,5,FALSE),0)=1,$NA127,""))</f>
        <v/>
      </c>
      <c r="OF127" s="164">
        <f>IF($NJ127=0,0,INDEX('DADOS_FORMAS'!$GC$2:$GC$21,$NJ127))</f>
        <v/>
      </c>
      <c r="OG127" s="164">
        <f>IF($NJ127=0,0,INDEX('DADOS_FORMAS'!$GD$2:$GD$21,$NJ127))</f>
        <v/>
      </c>
      <c r="OH127" s="164">
        <f>IF($NJ127=0,0,INDEX('DADOS_FORMAS'!$GF$2:$GF$21,$NJ127))</f>
        <v/>
      </c>
      <c r="OI127" s="164">
        <f>IFERROR(VLOOKUP(SUBSTITUTE(SUBSTITUTE(SUBSTITUTE($NB127,"~","~~"),"*","~*"),"?","~?"),'DADOS_RESTRICOES'!$M$2:$Q$54,3,FALSE),0)</f>
        <v/>
      </c>
      <c r="OJ127" s="164">
        <f>IFERROR(VLOOKUP(SUBSTITUTE(SUBSTITUTE(SUBSTITUTE($NC127,"~","~~"),"*","~*"),"?","~?"),'DADOS_RESTRICOES'!$M$2:$Q$54,3,FALSE),0)</f>
        <v/>
      </c>
      <c r="OK127" s="164">
        <f>IFERROR(VLOOKUP(SUBSTITUTE(SUBSTITUTE(SUBSTITUTE($NB127,"~","~~"),"*","~*"),"?","~?"),'DADOS_RESTRICOES'!$M$2:$Q$54,2,FALSE),"")</f>
        <v/>
      </c>
      <c r="OL127" s="164">
        <f>IFERROR(VLOOKUP(SUBSTITUTE(SUBSTITUTE(SUBSTITUTE($NC127,"~","~~"),"*","~*"),"?","~?"),'DADOS_RESTRICOES'!$M$2:$Q$54,2,FALSE),"")</f>
        <v/>
      </c>
      <c r="OM127" s="164">
        <f>COUNTIF($NS127:$NW127,1)</f>
        <v/>
      </c>
      <c r="ON127" s="164">
        <f>COUNTIF($NS127:$NW127,2)</f>
        <v/>
      </c>
      <c r="OO127" s="164">
        <f>COUNTIF($NS127:$NW127,3)</f>
        <v/>
      </c>
      <c r="OP127" s="164">
        <f>COUNTIF($NS127:$NW127,4)</f>
        <v/>
      </c>
      <c r="OQ127" s="164">
        <f>COUNTIF($NS127:$NW127,5)</f>
        <v/>
      </c>
      <c r="OR127" s="164">
        <f>COUNTIF($NS127:$NW127,6)</f>
        <v/>
      </c>
      <c r="OS127" s="164">
        <f>COUNTIF($OI127:$OJ127,1)+IF(IFERROR(INDEX('DADOS_FORMAS'!$AS$2:$AS$21,MATCH(SUBSTITUTE(SUBSTITUTE(SUBSTITUTE($MU127,"~","~~"),"*","~*"),"?","~?"),'DADOS_FORMAS'!$AH$2:$AH$21,0)),"")="",0,IFERROR(N(VLOOKUP(SUBSTITUTE(SUBSTITUTE(SUBSTITUTE(IFERROR(INDEX('DADOS_FORMAS'!$AS$2:$AS$21,MATCH(SUBSTITUTE(SUBSTITUTE(SUBSTITUTE($MU127,"~","~~"),"*","~*"),"?","~?"),'DADOS_FORMAS'!$AH$2:$AH$21,0)),""),"~","~~"),"*","~*"),"?","~?"),'DADOS_RESTRICOES'!$M$2:$Q$54,3,FALSE)=1),0))</f>
        <v/>
      </c>
      <c r="OT127" s="164">
        <f>COUNTIF($OI127:$OJ127,2)+IF(IFERROR(INDEX('DADOS_FORMAS'!$AS$2:$AS$21,MATCH(SUBSTITUTE(SUBSTITUTE(SUBSTITUTE($MU127,"~","~~"),"*","~*"),"?","~?"),'DADOS_FORMAS'!$AH$2:$AH$21,0)),"")="",0,IFERROR(N(VLOOKUP(SUBSTITUTE(SUBSTITUTE(SUBSTITUTE(IFERROR(INDEX('DADOS_FORMAS'!$AS$2:$AS$21,MATCH(SUBSTITUTE(SUBSTITUTE(SUBSTITUTE($MU127,"~","~~"),"*","~*"),"?","~?"),'DADOS_FORMAS'!$AH$2:$AH$21,0)),""),"~","~~"),"*","~*"),"?","~?"),'DADOS_RESTRICOES'!$M$2:$Q$54,3,FALSE)=2),0))</f>
        <v/>
      </c>
      <c r="OU127" s="164">
        <f>COUNTIF($MX127:$NA127,"?*")</f>
        <v/>
      </c>
      <c r="OV127" s="164">
        <f>COUNTIF($NB127:$NC127,"?*")+$OF127</f>
        <v/>
      </c>
      <c r="OW127" s="164">
        <f>IF($MS127=0,0,SUMPRODUCT($OM127:$OR127,INDEX($I$2:$N$8,MAX(1,$MS127),0)))</f>
        <v/>
      </c>
      <c r="OX127" s="164">
        <f>IF($MS127=0,0,$OS127*CEILING($MS127/2,1)+$OT127*$MS127)</f>
        <v/>
      </c>
      <c r="OY127" s="164">
        <f>MIN(2*$MS127,$OX127)</f>
        <v/>
      </c>
      <c r="OZ127" s="164">
        <f>MIN($OY127,$OW127-IF($NS127=0,0,INDEX($I$2:$N$8,MAX(1,$MS127),$NS127)))</f>
        <v/>
      </c>
      <c r="PA127" s="164">
        <f>$OY127-$OZ127</f>
        <v/>
      </c>
      <c r="PB127" s="164">
        <f>IF($MS127=0,0,INDEX($P$2:$P$8,MAX(1,$MS127)))</f>
        <v/>
      </c>
      <c r="PC127" s="164">
        <f>$PB127-$OW127+$OZ127</f>
        <v/>
      </c>
      <c r="PD127" s="164">
        <f>IF($MS127=0,MAX(0,$NG127-IF(AND($OU127&gt;0,COUNTIF($NB127:$NC127,"?*")=0),1,0)),MAX(0,$PC127))</f>
        <v/>
      </c>
      <c r="PE127" s="164">
        <f>IF($MS127=0,0,(IF(COUNTIF($RK127:$RN127,"Salto")&gt;0,1,0)+IF(COUNTIF($RK127:$RN127,"Queima")&gt;0,1,0)+IF(COUNTIF($RK127:$RN127,"Estilhaço")&gt;0,1,0))*FLOOR($PD127/2,1))</f>
        <v/>
      </c>
      <c r="PF127" s="164">
        <f>MAX(0,2-SUMPRODUCT($OM127:$OR127,$I$2:$N$2)+MIN(2,$OS127*1+$OT127*1,SUMPRODUCT($OM127:$OR127,$I$2:$N$2)-IF($NS127=0,0,INDEX($I$2:$N$2,1,$NS127))))</f>
        <v/>
      </c>
      <c r="PG127" s="164">
        <f>MAX(0,4-SUMPRODUCT($OM127:$OR127,$I$3:$N$3)+MIN(4,$OS127*1+$OT127*2,SUMPRODUCT($OM127:$OR127,$I$3:$N$3)-IF($NS127=0,0,INDEX($I$3:$N$3,1,$NS127))))</f>
        <v/>
      </c>
      <c r="PH127" s="164">
        <f>MAX(0,6-SUMPRODUCT($OM127:$OR127,$I$4:$N$4)+MIN(6,$OS127*2+$OT127*3,SUMPRODUCT($OM127:$OR127,$I$4:$N$4)-IF($NS127=0,0,INDEX($I$4:$N$4,1,$NS127))))</f>
        <v/>
      </c>
      <c r="PI127" s="164">
        <f>MAX(0,9-SUMPRODUCT($OM127:$OR127,$I$5:$N$5)+MIN(8,$OS127*2+$OT127*4,SUMPRODUCT($OM127:$OR127,$I$5:$N$5)-IF($NS127=0,0,INDEX($I$5:$N$5,1,$NS127))))</f>
        <v/>
      </c>
      <c r="PJ127" s="164">
        <f>MAX(0,11-SUMPRODUCT($OM127:$OR127,$I$6:$N$6)+MIN(10,$OS127*3+$OT127*5,SUMPRODUCT($OM127:$OR127,$I$6:$N$6)-IF($NS127=0,0,INDEX($I$6:$N$6,1,$NS127))))</f>
        <v/>
      </c>
      <c r="PK127" s="164">
        <f>MAX(0,13-SUMPRODUCT($OM127:$OR127,$I$7:$N$7)+MIN(12,$OS127*3+$OT127*6,SUMPRODUCT($OM127:$OR127,$I$7:$N$7)-IF($NS127=0,0,INDEX($I$7:$N$7,1,$NS127))))</f>
        <v/>
      </c>
      <c r="PL127" s="164">
        <f>MAX(0,16-SUMPRODUCT($OM127:$OR127,$I$8:$N$8)+MIN(14,$OS127*4+$OT127*7,SUMPRODUCT($OM127:$OR127,$I$8:$N$8)-IF($NS127=0,0,INDEX($I$8:$N$8,1,$NS127))))</f>
        <v/>
      </c>
      <c r="PM127" s="164">
        <f>IF($OG127=2,3*$PF127&amp;" de vida temp.",IF($OG127=3,"sem dano",IF($PF127=0,IF($OG127=1,"sem cura","sem dano"),IF($OG127=1,"cura ","")&amp;$PF127&amp;"d8")))</f>
        <v/>
      </c>
      <c r="PN127" s="164">
        <f>IF($OG127=2,3*$PG127&amp;" de vida temp.",IF($OG127=3,"sem dano",IF($PG127=0,IF($OG127=1,"sem cura","sem dano"),IF($OG127=1,"cura ","")&amp;$PG127&amp;"d8")))</f>
        <v/>
      </c>
      <c r="PO127" s="164">
        <f>IF($OG127=2,3*$PH127&amp;" de vida temp.",IF($OG127=3,"sem dano",IF($PH127=0,IF($OG127=1,"sem cura","sem dano"),IF($OG127=1,"cura ","")&amp;$PH127&amp;"d8")))</f>
        <v/>
      </c>
      <c r="PP127" s="164">
        <f>IF($OG127=2,3*$PI127&amp;" de vida temp.",IF($OG127=3,"sem dano",IF($PI127=0,IF($OG127=1,"sem cura","sem dano"),IF($OG127=1,"cura ","")&amp;$PI127&amp;"d8")))</f>
        <v/>
      </c>
      <c r="PQ127" s="164">
        <f>IF($OG127=2,3*$PJ127&amp;" de vida temp.",IF($OG127=3,"sem dano",IF($PJ127=0,IF($OG127=1,"sem cura","sem dano"),IF($OG127=1,"cura ","")&amp;$PJ127&amp;"d8")))</f>
        <v/>
      </c>
      <c r="PR127" s="164">
        <f>IF($OG127=2,3*$PK127&amp;" de vida temp.",IF($OG127=3,"sem dano",IF($PK127=0,IF($OG127=1,"sem cura","sem dano"),IF($OG127=1,"cura ","")&amp;$PK127&amp;"d8")))</f>
        <v/>
      </c>
      <c r="PS127" s="164">
        <f>IF($OG127=2,3*$PL127&amp;" de vida temp.",IF($OG127=3,"sem dano",IF($PL127=0,IF($OG127=1,"sem cura","sem dano"),IF($OG127=1,"cura ","")&amp;$PL127&amp;"d8")))</f>
        <v/>
      </c>
      <c r="PT127" s="164">
        <f>IF($ND127=0,"",TEXTJOIN(" · ",TRUE,IF($ND127=0,"",TEXTJOIN(" · ",TRUE,IF($ND127=0,"",TEXTJOIN(" · ",TRUE,IF($MQ127&gt;$NE127,"Este lugar abre no nível "&amp;$MQ127,""),IF($MS127&gt;$NF127,"Classe "&amp;$MS127&amp;": o nível "&amp;$NE127&amp;" libera até a "&amp;$NF127,""),IF($NX127=1,"A Forma "&amp;$MU127&amp;" pede "&amp;INDEX('DADOS_FORMAS'!$GA$2:$GA$21,$NJ127)&amp;" aberta",""),IF(AND($MS127=0,$NJ127&gt;0,IF($NJ127=0,0,INDEX('DADOS_FORMAS'!$GJ$2:$GJ$21,$NJ127))=0),$MU127&amp;" não existe na Classe 0",""),IF($NY127=1,"Família Fechada: "&amp;$MX127,""),IF($NZ127=1,"Família Fechada: "&amp;$MY127,""),IF($OA127=1,"Família Fechada: "&amp;$MZ127,""),IF($OB127=1,"Família Fechada: "&amp;$NA127,""),IF(AND($MS127&gt;0,$OU127&gt;INDEX($O$2:$O$8,MAX(1,$MS127))),$OU127&amp;" Melhorias: a Classe "&amp;$MS127&amp;" aceita "&amp;INDEX($O$2:$O$8,MAX(1,$MS127)),""),IF(AND($MS127=0,$OU127&gt;1),"A básica aceita uma Melhoria",""),IF(AND($MS127=0,COUNTIF($NO127:$NR127,"&gt;1")&gt;0),"A básica só aceita Melhoria Leve",""),IF(AND($MS127&gt;0,$OV127&gt;2),$OV127&amp;" Restrições"&amp;IF($OF127=1,", contando a que a Forma "&amp;$MU127&amp;" já traz","")&amp;": o limite é 2",""),IF(AND($MS127=0,COUNTIF($NB127:$NC127,"?*")&gt;1),"A básica aceita uma Restrição Leve",""),IF(AND($MS127=0,COUNTIF($OI127:$OJ127,2)&gt;0),"A básica só aceita Restrição Leve",""),IF(AND($MS127&gt;0,$PC127&lt;0),"Orçamento estourado: faltam "&amp;(-$PC127)&amp;IF($PC127&lt;-1," pontos"," ponto"),""),IF(IFERROR(VLOOKUP(SUBSTITUTE(SUBSTITUTE(SUBSTITUTE($NB127,"~","~~"),"*","~*"),"?","~?"),'DADOS_RESTRICOES'!$M$2:$Q$54,4,FALSE),0)+IFERROR(VLOOKUP(SUBSTITUTE(SUBSTITUTE(SUBSTITUTE($NC127,"~","~~"),"*","~*"),"?","~?"),'DADOS_RESTRICOES'!$M$2:$Q$54,4,FALSE),0)&gt;1,$OK127&amp;" e "&amp;$OL127&amp;" são as duas de frequência",""),IF(AND((COUNTIF($RK127:$RN127,"Rápido")+COUNTIF($OK127:$OL127,"Rápido"))&gt;0,(COUNTIF($MX127:$NA127,"Atrasar")+COUNTIF($OK127:$OL127,"Atrasar"))&gt;0),"Rápido não entra com Atrasar",""),IF(AND((COUNTIF($RK127:$RN127,"Reação")+COUNTIF($OK127:$OL127,"Reação"))&gt;0,(COUNTIF($RK127:$RN127,"Rápido")+COUNTIF($OK127:$OL127,"Rápido"))&gt;0),"Reação não entra com Rápido",""),IF(AND((COUNTIF($RK127:$RN127,"Reação")+COUNTIF($OK127:$OL127,"Reação"))&gt;0,(COUNTIF($RK127:$RN127,"Armado")+COUNTIF($OK127:$OL127,"Armado"))&gt;0),"Reação não entra com Armado",""),IF(AND((COUNTIF($RK127:$RN127,"Reação")+COUNTIF($OK127:$OL127,"Reação"))&gt;0,(COUNTIF($MX127:$NA127,"Atrasar")+COUNTIF($OK127:$OL127,"Atrasar"))&gt;0),"Reação não entra com Atrasar",""),IF(AND((COUNTIF($RK127:$RN127,"Reação")+COUNTIF($OK127:$OL127,"Reação"))&gt;0,(COUNTIF($MX127:$NA127,"Parado")+COUNTIF($OK127:$OL127,"Parado"))&gt;0),"Reação não entra com Parado",""),IF(AND((COUNTIF($MX127:$NA127,"Atrasar")+COUNTIF($OK127:$OL127,"Atrasar"))&gt;0,(COUNTIF($MX127:$NA127,"Parado")+COUNTIF($OK127:$OL127,"Parado"))&gt;0),"Atrasar não entra com Parado",""),IF(AND((COUNTIF($RK127:$RN127,"Armado")+COUNTIF($OK127:$OL127,"Armado"))&gt;0,(COUNTIF($MX127:$NA127,"Carregar")+COUNTIF($OK127:$OL127,"Carregar"))&gt;0),"Armado não entra com Carregar",""),IF(AND(COUNTIF($OK127:$OL127,"Corpo a Corpo")&gt;0,$OF127=0,OR($RO127="Cone",$RO127="Linha")),"Corpo a Corpo não entra em "&amp;$MU127,""),IF(AND(COUNTIF($OK127:$OL127,"Corpo a Corpo")&gt;0,$RP127="Corpo a Corpo"),"A Forma "&amp;$MU127&amp;" já traz o Corpo a Corpo",""),IF(AND(COUNTIF($OK127:$OL127,"Tudo ou Nada")&gt;0,$OH127=0),"Tudo ou Nada só entra em habilidade de Teste de Resistência",""),IF(AND(COUNTIF($RK127:$RN127,"Inescapável")&gt;0,OR($OU127&gt;1,$OV127&gt;0)),"Inescapável não aceita outra peça",""),IF(AND($MS127&gt;0,$PD127*IF(COUNTIF($RK127:$RN127,"Remate")&gt;0,1.25,1)+$PE127&gt;4*$MS127),($PD127*IF(COUNTIF($RK127:$RN127,"Remate")&gt;0,1.25,1)+$PE127)&amp;" dados somando repetições"&amp;IF(COUNTIF($RK127:$RN127,"Remate")&gt;0," e o Remate","")&amp;": o teto da Classe "&amp;$MS127&amp;" é "&amp;4*$MS127,""))),IF(AND($MX127&lt;&gt;"",COUNTIF('DADOS_MELHORIAS'!$O$2:$O$113,SUBSTITUTE(SUBSTITUTE(SUBSTITUTE($MX127,"~","~~"),"*","~*"),"?","~?"))=0),"Melhoria não cadastrada ou com erro: "&amp;$MX127,""),IF(AND($MY127&lt;&gt;"",COUNTIF('DADOS_MELHORIAS'!$O$2:$O$113,SUBSTITUTE(SUBSTITUTE(SUBSTITUTE($MY127,"~","~~"),"*","~*"),"?","~?"))=0),"Melhoria não cadastrada ou com erro: "&amp;$MY127,""),IF(AND($MZ127&lt;&gt;"",COUNTIF('DADOS_MELHORIAS'!$O$2:$O$113,SUBSTITUTE(SUBSTITUTE(SUBSTITUTE($MZ127,"~","~~"),"*","~*"),"?","~?"))=0),"Melhoria não cadastrada ou com erro: "&amp;$MZ127,""),IF(AND($NA127&lt;&gt;"",COUNTIF('DADOS_MELHORIAS'!$O$2:$O$113,SUBSTITUTE(SUBSTITUTE(SUBSTITUTE($NA127,"~","~~"),"*","~*"),"?","~?"))=0),"Melhoria não cadastrada ou com erro: "&amp;$NA127,""),IF(AND($NB127&lt;&gt;"",COUNTIF('DADOS_RESTRICOES'!$M$2:$M$54,SUBSTITUTE(SUBSTITUTE(SUBSTITUTE($NB127,"~","~~"),"*","~*"),"?","~?"))=0),"Restrição não cadastrada ou com erro: "&amp;$NB127,""),IF(AND($NC127&lt;&gt;"",COUNTIF('DADOS_RESTRICOES'!$M$2:$M$54,SUBSTITUTE(SUBSTITUTE(SUBSTITUTE($NC127,"~","~~"),"*","~*"),"?","~?"))=0),"Restrição não cadastrada ou com erro: "&amp;$NC127,""))),IF(AND($MU127&lt;&gt;"",COUNTIF('DADOS_FORMAS'!$AH$2:$AH$21,SUBSTITUTE(SUBSTITUTE(SUBSTITUTE($MU127,"~","~~"),"*","~*"),"?","~?"))=0),"Forma não cadastrada ou com erro: "&amp;$MU127,""),IF(AND(IFERROR(INDEX('DADOS_FORMAS'!$AS$2:$AS$21,MATCH(SUBSTITUTE(SUBSTITUTE(SUBSTITUTE($MU127,"~","~~"),"*","~*"),"?","~?"),'DADOS_FORMAS'!$AH$2:$AH$21,0)),"")&lt;&gt;"",OR(IFERROR(VLOOKUP(SUBSTITUTE(SUBSTITUTE(SUBSTITUTE(IFERROR(INDEX('DADOS_FORMAS'!$AS$2:$AS$21,MATCH(SUBSTITUTE(SUBSTITUTE(SUBSTITUTE($MU127,"~","~~"),"*","~*"),"?","~?"),'DADOS_FORMAS'!$AH$2:$AH$21,0)),""),"~","~~"),"*","~*"),"?","~?"),'DADOS_RESTRICOES'!$M$2:$Q$54,2,FALSE),"")=$OK127,IFERROR(VLOOKUP(SUBSTITUTE(SUBSTITUTE(SUBSTITUTE(IFERROR(INDEX('DADOS_FORMAS'!$AS$2:$AS$21,MATCH(SUBSTITUTE(SUBSTITUTE(SUBSTITUTE($MU127,"~","~~"),"*","~*"),"?","~?"),'DADOS_FORMAS'!$AH$2:$AH$21,0)),""),"~","~~"),"*","~*"),"?","~?"),'DADOS_RESTRICOES'!$M$2:$Q$54,2,FALSE),"")=$OL127)),"Restrição repetida, contando a embutida",""),IF(IF(IFERROR(INDEX('DADOS_FORMAS'!$AS$2:$AS$21,MATCH(SUBSTITUTE(SUBSTITUTE(SUBSTITUTE($MU127,"~","~~"),"*","~*"),"?","~?"),'DADOS_FORMAS'!$AH$2:$AH$21,0)),"")="",0,IFERROR(N(VLOOKUP(SUBSTITUTE(SUBSTITUTE(SUBSTITUTE(IFERROR(INDEX('DADOS_FORMAS'!$AS$2:$AS$21,MATCH(SUBSTITUTE(SUBSTITUTE(SUBSTITUTE($MU127,"~","~~"),"*","~*"),"?","~?"),'DADOS_FORMAS'!$AH$2:$AH$21,0)),""),"~","~~"),"*","~*"),"?","~?"),'DADOS_RESTRICOES'!$M$2:$Q$54,4,FALSE)=1),0))+IF($NB127="",0,IFERROR(N(VLOOKUP(SUBSTITUTE(SUBSTITUTE(SUBSTITUTE($NB127,"~","~~"),"*","~*"),"?","~?"),'DADOS_RESTRICOES'!$M$2:$Q$54,4,FALSE)=1),0))+IF($NC127="",0,IFERROR(N(VLOOKUP(SUBSTITUTE(SUBSTITUTE(SUBSTITUTE($NC127,"~","~~"),"*","~*"),"?","~?"),'DADOS_RESTRICOES'!$M$2:$Q$54,4,FALSE)=1),0))&gt;1,"Duas Restrições de frequência, contando a embutida",""),IF(AND(IFERROR(VLOOKUP(SUBSTITUTE(SUBSTITUTE(SUBSTITUTE(IFERROR(INDEX('DADOS_FORMAS'!$AS$2:$AS$21,MATCH(SUBSTITUTE(SUBSTITUTE(SUBSTITUTE($MU127,"~","~~"),"*","~*"),"?","~?"),'DADOS_FORMAS'!$AH$2:$AH$21,0)),""),"~","~~"),"*","~*"),"?","~?"),'DADOS_RESTRICOES'!$M$2:$Q$54,2,FALSE),"")="Tudo ou Nada",$OH127=0),"Tudo ou Nada exige TR",""),IF(AND(IFERROR(VLOOKUP(SUBSTITUTE(SUBSTITUTE(SUBSTITUTE(IFERROR(INDEX('DADOS_FORMAS'!$AS$2:$AS$21,MATCH(SUBSTITUTE(SUBSTITUTE(SUBSTITUTE($MU127,"~","~~"),"*","~*"),"?","~?"),'DADOS_FORMAS'!$AH$2:$AH$21,0)),""),"~","~~"),"*","~*"),"?","~?"),'DADOS_RESTRICOES'!$M$2:$Q$54,2,FALSE),"")="Corpo a Corpo",OR($RO127="Cone",$RO127="Linha")),"Corpo a Corpo não entra em Cone/Linha","")))</f>
        <v/>
      </c>
      <c r="PU127" s="164">
        <f>IF($PT127="",0,(LEN($PT127)-LEN(SUBSTITUTE($PT127," · ","")))/3+1)</f>
        <v/>
      </c>
      <c r="PV127" s="164">
        <f>IF($ND127=0,"",TEXTJOIN(" · ",TRUE,IF($OX127&gt;2*$MS127,"A devolução parou no teto de "&amp;2*$MS127,""),IF($PA127&gt;0,"Devolução perdida: "&amp;$PA127&amp;IF($PA127&gt;1," pontos"," ponto")&amp;" sem Melhoria para pagar",""),IF(AND($OC127&gt;0,AND($MS127&gt;0,$OG127=0),$PD127=0),"Controle sem dano: uma rodada a mais e CD +2",""),IF(AND($OC127&gt;0,AND($MS127&gt;0,$OG127=0),$PD127&gt;0,$PD127&lt;=$MS127),"Controle com saldo até a Classe: uma rodada a mais",""),IF(AND($MS127&gt;0,$OE127&lt;&gt;""),"Efeito de "&amp;$OE127&amp;" pela Classe "&amp;MAX(1,$MS127-1),"")))</f>
        <v/>
      </c>
      <c r="PW127" s="164">
        <f>IF($PV127="",0,(LEN($PV127)-LEN(SUBSTITUTE($PV127," · ","")))/3+1)</f>
        <v/>
      </c>
      <c r="PX127" s="164">
        <f>IF($ND127=0,IF($OU127+COUNTIF($NB127:$NC127,"?*")&gt;0,"Dê um nome",""),IF($PU127&gt;0,"⚠ "&amp;$PU127&amp;IF($PU127&gt;1," erros"," erro"),IF($PW127&gt;0,"! "&amp;$PW127&amp;IF($PW127&gt;1," avisos"," aviso"),"Na regra")))</f>
        <v/>
      </c>
      <c r="PY127" s="164">
        <f>IF($ND127=0,"",IF($PU127+$PW127=0,"Dentro das regras que a ficha confere",$PT127&amp;IF(AND($PU127&gt;0,$PW127&gt;0)," · ","")&amp;$PV127))</f>
        <v/>
      </c>
      <c r="PZ127" s="164">
        <f>IF($MQ127&gt;$NE127,$MR127&amp;" · ABRE NO NÍVEL "&amp;$MQ127,$MR127)</f>
        <v/>
      </c>
      <c r="QA127" s="164">
        <f>IF($ND127=0,"",IF($MS127=0,"Sem PE",3*$MS127&amp;" PE"))</f>
        <v/>
      </c>
      <c r="QB127" s="164">
        <f>IF($ND127=0,"",IF($MS127=0,"A atuação básica dela",IF(COUNTIF($RQ127:$RS127,"Atrasar")&gt;0,"Sua Ação Completa",IF(COUNTIF($RK127:$RN127,"Rápido")&gt;0,"Sua Bônus",IF(COUNTIF($RK127:$RN127,"Reação")&gt;0,"Sua Reação","Sua Padrão")))&amp;" + a básica dela"&amp;IF(COUNTIF($RK127:$RN127,"Reação")&gt;0," e a coletiva","")&amp;IF(COUNTIF($RQ127:$RS127,"Carregar")&gt;0," · em dois turnos","")))</f>
        <v/>
      </c>
      <c r="QC127" s="164">
        <f>IF($MW127&lt;&gt;"",$MW127,IF($NJ127=0,"",INDEX('DADOS_FORMAS'!$GE$2:$GE$21,$NJ127)))</f>
        <v/>
      </c>
      <c r="QD127" s="164">
        <f>IF(OR($ND127=0,$NJ127=0),"",IF(COUNTIF($RK127:$RN127,"Inescapável")&gt;0,"Automático",IF($QC127="Ataque",IF($NH127="","Ataque","Ataque "&amp;IF(($NH127+2*IF(COUNTIF($RK127:$RN127,"Precisão")&gt;0,1,0))&gt;=0,"+","−")&amp;ABS(($NH127+2*IF(COUNTIF($RK127:$RN127,"Precisão")&gt;0,1,0))))&amp;IF($OD127&gt;0," · TR"&amp;IF($NI127="",""," CD "&amp;$NI127),""),IF(LEFT($QC127,2)="TR",$QC127&amp;IF($NI127="",""," · CD "&amp;$NI127)&amp;IF(COUNTIF($RK127:$RN127,"Certeiro")&gt;0," · metade",""),"Sem rolagem"))))</f>
        <v/>
      </c>
      <c r="QE127" s="164">
        <f>IF(OR($ND127=0,$NJ127=0),"",IF($MS127=0,IF(OR($OG127&gt;=1,$PD127=0),"Sem dano",$PD127&amp;"d6"&amp;IF($MV127="",""," "&amp;$MV127)),IF(OR($OG127&gt;=1,$PD127=0),UPPER(LEFT(INDEX($PM127:$PS127,1,MAX(1,$MS127)),1))&amp;MID(INDEX($PM127:$PS127,1,MAX(1,$MS127)),2,99),UPPER(LEFT(INDEX($PM127:$PS127,1,MAX(1,$MS127)),1))&amp;MID(INDEX($PM127:$PS127,1,MAX(1,$MS127)),2,99)&amp;IF($MV127="",""," "&amp;$MV127)&amp;IF($PE127&gt;0," · +"&amp;$PE127&amp;"d8",""))))</f>
        <v/>
      </c>
      <c r="QF127" s="164">
        <f>COUNTIF($RK127:$RN127,"Longe")+3*COUNTIF($RK127:$RN127,"Muito Longe")</f>
        <v/>
      </c>
      <c r="QG127" s="164">
        <f>COUNTIF($RK127:$RN127,"Maior")+3*COUNTIF($RK127:$RN127,"Muito Maior")</f>
        <v/>
      </c>
      <c r="QH127" s="164">
        <f>IF($NJ127=0,0,CHOOSE(1+INDEX('DADOS_FORMAS'!$GG$2:$GG$21,$NJ127),0,$QF127,$QG127,$QF127+$QG127))</f>
        <v/>
      </c>
      <c r="QI127" s="164">
        <f>IF($NJ127=0,0,CHOOSE(1+INDEX('DADOS_FORMAS'!$GH$2:$GH$21,$NJ127),0,$QF127,$QG127,$QF127+$QG127))</f>
        <v/>
      </c>
      <c r="QJ127" s="164">
        <f>IF(OR($ND127=0,$NJ127=0),"",INDEX('DADOS_FORMAS'!$HU$2:$HZ$81,($NJ127-1)*4+IF($MS127=0,1,IF($MS127&lt;=5,2,IF($MS127=6,3,4))),1+MIN(5,$QH127))&amp;INDEX('DADOS_FORMAS'!$IA$2:$IF$81,($NJ127-1)*4+IF($MS127=0,1,IF($MS127&lt;=5,2,IF($MS127=6,3,4))),1+MIN(5,$QI127))&amp;IF(INDEX('DADOS_FORMAS'!$GI$2:$GI$21,$NJ127)=1,IF(COUNTIF($RK127:$RN127,"Mais Um")&gt;0," · +"&amp;COUNTIF($RK127:$RN127,"Mais Um")&amp;IF(COUNTIF($RK127:$RN127,"Mais Um")&gt;1," alvos"," alvo"),"")&amp;IF(COUNTIF($RK127:$RN127,"Rajada")&gt;0,IF($MS127=0," · 1 tiro"," · "&amp;(MAX(1,$MS127-1)+1)&amp;" tiros"),""),""))</f>
        <v/>
      </c>
      <c r="QK127" s="164">
        <f>IF($ND127=0,"",IF($MS127=0,$NG127&amp;"d6"&amp;IF($OU127&gt;0," − 1 = "&amp;$PD127&amp;"d6"," da básica do nível "&amp;$NE127),$PB127&amp;" − "&amp;$OW127&amp;" + "&amp;$OZ127&amp;" = "&amp;$PC127&amp;" · teto "&amp;4*$MS127&amp;"d8"&amp;IF($OF127=1," · a Forma devolve "&amp;$MS127,"")&amp;IF($PA127&gt;0," · perde "&amp;$PA127,"")))</f>
        <v/>
      </c>
      <c r="QL127" s="164">
        <f>IF($ND127=0,"",IF($MS127=0,"A básica não amplia: os dados dela sobem com o nível",IF($MS127&gt;=$NF127,"Já está na maior Classe que o nível liberou",TEXTJOIN(" · ",TRUE,IF(AND(2&gt;$MS127,2&lt;=$NF127),"2 → "&amp;$PN127&amp;", 6 PE",""),IF(AND(3&gt;$MS127,3&lt;=$NF127),"3 → "&amp;$PO127&amp;", 9 PE",""),IF(AND(4&gt;$MS127,4&lt;=$NF127),"4 → "&amp;$PP127&amp;", 12 PE",""),IF(AND(5&gt;$MS127,5&lt;=$NF127),"5 → "&amp;$PQ127&amp;", 15 PE",""),IF(AND(6&gt;$MS127,6&lt;=$NF127),"6 → "&amp;$PR127&amp;", 18 PE",""),IF(AND(7&gt;$MS127,7&lt;=$NF127),"7 → "&amp;$PS127&amp;", 21 PE","")))))</f>
        <v/>
      </c>
      <c r="QM127" s="164">
        <f>IF(OR($ND127=0,$NO127=0),"",IF($MS127=0,"−1 dado","−"&amp;INDEX($I$2:$N$8,MAX(1,$MS127),MAX(1,$NT127))&amp;" · "&amp;CHOOSE(MAX(1,$NT127),"Leve","Média","Pesada","Leve · Livre","Média · Livre","Pesada · Livre")))</f>
        <v/>
      </c>
      <c r="QN127" s="164">
        <f>IF(OR($ND127=0,$NP127=0),"",IF($MS127=0,"−1 dado","−"&amp;INDEX($I$2:$N$8,MAX(1,$MS127),MAX(1,$NU127))&amp;" · "&amp;CHOOSE(MAX(1,$NU127),"Leve","Média","Pesada","Leve · Livre","Média · Livre","Pesada · Livre")))</f>
        <v/>
      </c>
      <c r="QO127" s="164">
        <f>IF(OR($ND127=0,$NQ127=0),"",IF($MS127=0,"−1 dado","−"&amp;INDEX($I$2:$N$8,MAX(1,$MS127),MAX(1,$NV127))&amp;" · "&amp;CHOOSE(MAX(1,$NV127),"Leve","Média","Pesada","Leve · Livre","Média · Livre","Pesada · Livre")))</f>
        <v/>
      </c>
      <c r="QP127" s="164">
        <f>IF(OR($ND127=0,$NR127=0),"",IF($MS127=0,"−1 dado","−"&amp;INDEX($I$2:$N$8,MAX(1,$MS127),MAX(1,$NW127))&amp;" · "&amp;CHOOSE(MAX(1,$NW127),"Leve","Média","Pesada","Leve · Livre","Média · Livre","Pesada · Livre")))</f>
        <v/>
      </c>
      <c r="QQ127" s="164">
        <f>IF(OR($ND127=0,$NB127=""),"",IF($MS127=0,"não devolve","+"&amp;IF($OI127=1,CEILING($MS127/2,1),$MS127)))</f>
        <v/>
      </c>
      <c r="QR127" s="164">
        <f>IF(OR($ND127=0,$NC127=""),"",IF($MS127=0,"não devolve","+"&amp;IF($OJ127=1,CEILING($MS127/2,1),$MS127)))</f>
        <v/>
      </c>
      <c r="RK127">
        <f>IF($MX127="","",IFERROR(VLOOKUP(SUBSTITUTE(SUBSTITUTE(SUBSTITUTE($MX127,"~","~~"),"*","~*"),"?","~?"),'DADOS_MELHORIAS'!$O$2:$X$113,10,FALSE),$MX127))</f>
        <v/>
      </c>
      <c r="RL127">
        <f>IF($MY127="","",IFERROR(VLOOKUP(SUBSTITUTE(SUBSTITUTE(SUBSTITUTE($MY127,"~","~~"),"*","~*"),"?","~?"),'DADOS_MELHORIAS'!$O$2:$X$113,10,FALSE),$MY127))</f>
        <v/>
      </c>
      <c r="RM127">
        <f>IF($MZ127="","",IFERROR(VLOOKUP(SUBSTITUTE(SUBSTITUTE(SUBSTITUTE($MZ127,"~","~~"),"*","~*"),"?","~?"),'DADOS_MELHORIAS'!$O$2:$X$113,10,FALSE),$MZ127))</f>
        <v/>
      </c>
      <c r="RN127">
        <f>IF($NA127="","",IFERROR(VLOOKUP(SUBSTITUTE(SUBSTITUTE(SUBSTITUTE($NA127,"~","~~"),"*","~*"),"?","~?"),'DADOS_MELHORIAS'!$O$2:$X$113,10,FALSE),$NA127))</f>
        <v/>
      </c>
      <c r="RO127">
        <f>IFERROR(INDEX('DADOS_FORMAS'!$BJ$2:$BJ$21,MATCH(SUBSTITUTE(SUBSTITUTE(SUBSTITUTE($MU127,"~","~~"),"*","~*"),"?","~?"),'DADOS_FORMAS'!$AH$2:$AH$21,0)),"")</f>
        <v/>
      </c>
      <c r="RP127">
        <f>IFERROR(VLOOKUP(SUBSTITUTE(SUBSTITUTE(SUBSTITUTE(IFERROR(INDEX('DADOS_FORMAS'!$AS$2:$AS$21,MATCH(SUBSTITUTE(SUBSTITUTE(SUBSTITUTE($MU127,"~","~~"),"*","~*"),"?","~?"),'DADOS_FORMAS'!$AH$2:$AH$21,0)),""),"~","~~"),"*","~*"),"?","~?"),'DADOS_RESTRICOES'!$M$2:$Q$54,2,FALSE),"")</f>
        <v/>
      </c>
      <c r="RQ127">
        <f>$OK127</f>
        <v/>
      </c>
      <c r="RR127">
        <f>$OL127</f>
        <v/>
      </c>
      <c r="RS127">
        <f>$RP127</f>
        <v/>
      </c>
    </row>
    <row r="128">
      <c r="MN128" s="162" t="inlineStr">
        <is>
          <t>Ficha 10 · Especial 8</t>
        </is>
      </c>
      <c r="MO128" s="164" t="n">
        <v>10</v>
      </c>
      <c r="MP128" s="164" t="n">
        <v>1</v>
      </c>
      <c r="MQ128" s="164" t="n">
        <v>28</v>
      </c>
      <c r="MR128" s="162" t="inlineStr">
        <is>
          <t>ESPECIAL 8</t>
        </is>
      </c>
      <c r="MS128" s="164">
        <f>MAX(1,MIN(7,N('INVOCAÇÕES'!$AB$782)))</f>
        <v/>
      </c>
      <c r="MT128" s="164">
        <f>'INVOCAÇÕES'!$AC$782&amp;""</f>
        <v/>
      </c>
      <c r="MU128" s="164">
        <f>'INVOCAÇÕES'!$AB$787&amp;""</f>
        <v/>
      </c>
      <c r="MV128" s="164">
        <f>'INVOCAÇÕES'!$AB$788&amp;""</f>
        <v/>
      </c>
      <c r="MW128" s="164">
        <f>'INVOCAÇÕES'!$AD$788&amp;""</f>
        <v/>
      </c>
      <c r="MX128" s="164">
        <f>'INVOCAÇÕES'!$AC$791&amp;""</f>
        <v/>
      </c>
      <c r="MY128" s="164">
        <f>'INVOCAÇÕES'!$AC$792&amp;""</f>
        <v/>
      </c>
      <c r="MZ128" s="164">
        <f>'INVOCAÇÕES'!$AC$793&amp;""</f>
        <v/>
      </c>
      <c r="NA128" s="164">
        <f>'INVOCAÇÕES'!$AC$794&amp;""</f>
        <v/>
      </c>
      <c r="NB128" s="164">
        <f>'INVOCAÇÕES'!$AC$795&amp;""</f>
        <v/>
      </c>
      <c r="NC128" s="164">
        <f>'INVOCAÇÕES'!$AC$796&amp;""</f>
        <v/>
      </c>
      <c r="ND128" s="164">
        <f>IF($MT128&lt;&gt;"",1,0)</f>
        <v/>
      </c>
      <c r="NE128" s="164">
        <f>INDEX($FO$2:$FO$13,$MO128)</f>
        <v/>
      </c>
      <c r="NF128" s="164">
        <f>INDEX($FP$2:$FP$13,$MO128)</f>
        <v/>
      </c>
      <c r="NG128" s="164">
        <f>INDEX($FQ$2:$FQ$13,$MO128)</f>
        <v/>
      </c>
      <c r="NH128" s="164">
        <f>INDEX($GB$2:$GB$13,$MO128)</f>
        <v/>
      </c>
      <c r="NI128" s="164">
        <f>INDEX($GC$2:$GC$13,$MO128)</f>
        <v/>
      </c>
      <c r="NJ128" s="164">
        <f>IFERROR(MATCH(SUBSTITUTE(SUBSTITUTE(SUBSTITUTE($MU128,"~","~~"),"*","~*"),"?","~?"),'DADOS_FORMAS'!$FZ$2:$FZ$21,0),0)</f>
        <v/>
      </c>
      <c r="NK128" s="164">
        <f>IFERROR(VLOOKUP(SUBSTITUTE(SUBSTITUTE(SUBSTITUTE($MX128,"~","~~"),"*","~*"),"?","~?"),'DADOS_MELHORIAS'!$AG$2:$AL$113,2,FALSE),"")</f>
        <v/>
      </c>
      <c r="NL128" s="164">
        <f>IFERROR(VLOOKUP(SUBSTITUTE(SUBSTITUTE(SUBSTITUTE($MY128,"~","~~"),"*","~*"),"?","~?"),'DADOS_MELHORIAS'!$AG$2:$AL$113,2,FALSE),"")</f>
        <v/>
      </c>
      <c r="NM128" s="164">
        <f>IFERROR(VLOOKUP(SUBSTITUTE(SUBSTITUTE(SUBSTITUTE($MZ128,"~","~~"),"*","~*"),"?","~?"),'DADOS_MELHORIAS'!$AG$2:$AL$113,2,FALSE),"")</f>
        <v/>
      </c>
      <c r="NN128" s="164">
        <f>IFERROR(VLOOKUP(SUBSTITUTE(SUBSTITUTE(SUBSTITUTE($NA128,"~","~~"),"*","~*"),"?","~?"),'DADOS_MELHORIAS'!$AG$2:$AL$113,2,FALSE),"")</f>
        <v/>
      </c>
      <c r="NO128" s="164">
        <f>IFERROR(VLOOKUP(SUBSTITUTE(SUBSTITUTE(SUBSTITUTE($MX128,"~","~~"),"*","~*"),"?","~?"),'DADOS_MELHORIAS'!$AG$2:$AL$113,3,FALSE),0)</f>
        <v/>
      </c>
      <c r="NP128" s="164">
        <f>IFERROR(VLOOKUP(SUBSTITUTE(SUBSTITUTE(SUBSTITUTE($MY128,"~","~~"),"*","~*"),"?","~?"),'DADOS_MELHORIAS'!$AG$2:$AL$113,3,FALSE),0)</f>
        <v/>
      </c>
      <c r="NQ128" s="164">
        <f>IFERROR(VLOOKUP(SUBSTITUTE(SUBSTITUTE(SUBSTITUTE($MZ128,"~","~~"),"*","~*"),"?","~?"),'DADOS_MELHORIAS'!$AG$2:$AL$113,3,FALSE),0)</f>
        <v/>
      </c>
      <c r="NR128" s="164">
        <f>IFERROR(VLOOKUP(SUBSTITUTE(SUBSTITUTE(SUBSTITUTE($NA128,"~","~~"),"*","~*"),"?","~?"),'DADOS_MELHORIAS'!$AG$2:$AL$113,3,FALSE),0)</f>
        <v/>
      </c>
      <c r="NS128" s="164">
        <f>IF($MS128=0,0,IF($NJ128=0,0,INDEX('DADOS_FORMAS'!$GB$2:$GB$21,$NJ128)))</f>
        <v/>
      </c>
      <c r="NT128" s="164">
        <f>IF(OR($NO128=0,$MS128=0),0,$NO128+3*IF(AND($NK128&lt;&gt;"",COUNTIF(INDEX($RB$2:$RJ$13,$MO128,0),$NK128)&gt;0),1,0))</f>
        <v/>
      </c>
      <c r="NU128" s="164">
        <f>IF(OR($NP128=0,$MS128=0),0,$NP128+3*IF(AND($NL128&lt;&gt;"",COUNTIF(INDEX($RB$2:$RJ$13,$MO128,0),$NL128)&gt;0),1,0))</f>
        <v/>
      </c>
      <c r="NV128" s="164">
        <f>IF(OR($NQ128=0,$MS128=0),0,$NQ128+3*IF(AND($NM128&lt;&gt;"",COUNTIF(INDEX($RB$2:$RJ$13,$MO128,0),$NM128)&gt;0),1,0))</f>
        <v/>
      </c>
      <c r="NW128" s="164">
        <f>IF(OR($NR128=0,$MS128=0),0,$NR128+3*IF(AND($NN128&lt;&gt;"",COUNTIF(INDEX($RB$2:$RJ$13,$MO128,0),$NN128)&gt;0),1,0))</f>
        <v/>
      </c>
      <c r="NX128" s="164">
        <f>IF($NJ128=0,0,IF(INDEX('DADOS_FORMAS'!$GA$2:$GA$21,$NJ128)="",0,IF((COUNTIF(INDEX($EL$2:$EP$13,$MO128,0),INDEX('DADOS_FORMAS'!$GA$2:$GA$21,$NJ128))+COUNTIF(INDEX($QV$2:$QY$13,$MO128,0),INDEX('DADOS_FORMAS'!$GA$2:$GA$21,$NJ128)))=0,1,0)))</f>
        <v/>
      </c>
      <c r="NY128" s="164">
        <f>IF(OR($NO128=0,$NK128=""),0,IF((COUNTIF(INDEX($EL$2:$EP$13,$MO128,0),$NK128)+COUNTIF(INDEX($QV$2:$QY$13,$MO128,0),$NK128))=0,1,0))</f>
        <v/>
      </c>
      <c r="NZ128" s="164">
        <f>IF(OR($NP128=0,$NL128=""),0,IF((COUNTIF(INDEX($EL$2:$EP$13,$MO128,0),$NL128)+COUNTIF(INDEX($QV$2:$QY$13,$MO128,0),$NL128))=0,1,0))</f>
        <v/>
      </c>
      <c r="OA128" s="164">
        <f>IF(OR($NQ128=0,$NM128=""),0,IF((COUNTIF(INDEX($EL$2:$EP$13,$MO128,0),$NM128)+COUNTIF(INDEX($QV$2:$QY$13,$MO128,0),$NM128))=0,1,0))</f>
        <v/>
      </c>
      <c r="OB128" s="164">
        <f>IF(OR($NR128=0,$NN128=""),0,IF((COUNTIF(INDEX($EL$2:$EP$13,$MO128,0),$NN128)+COUNTIF(INDEX($QV$2:$QY$13,$MO128,0),$NN128))=0,1,0))</f>
        <v/>
      </c>
      <c r="OC128" s="164">
        <f>IFERROR(VLOOKUP(SUBSTITUTE(SUBSTITUTE(SUBSTITUTE($MX128,"~","~~"),"*","~*"),"?","~?"),'DADOS_MELHORIAS'!$AG$2:$AL$113,4,FALSE),0)+IFERROR(VLOOKUP(SUBSTITUTE(SUBSTITUTE(SUBSTITUTE($MY128,"~","~~"),"*","~*"),"?","~?"),'DADOS_MELHORIAS'!$AG$2:$AL$113,4,FALSE),0)+IFERROR(VLOOKUP(SUBSTITUTE(SUBSTITUTE(SUBSTITUTE($MZ128,"~","~~"),"*","~*"),"?","~?"),'DADOS_MELHORIAS'!$AG$2:$AL$113,4,FALSE),0)+IFERROR(VLOOKUP(SUBSTITUTE(SUBSTITUTE(SUBSTITUTE($NA128,"~","~~"),"*","~*"),"?","~?"),'DADOS_MELHORIAS'!$AG$2:$AL$113,4,FALSE),0)</f>
        <v/>
      </c>
      <c r="OD128" s="164">
        <f>IFERROR(VLOOKUP(SUBSTITUTE(SUBSTITUTE(SUBSTITUTE($MX128,"~","~~"),"*","~*"),"?","~?"),'DADOS_MELHORIAS'!$AG$2:$AL$113,6,FALSE),0)+IFERROR(VLOOKUP(SUBSTITUTE(SUBSTITUTE(SUBSTITUTE($MY128,"~","~~"),"*","~*"),"?","~?"),'DADOS_MELHORIAS'!$AG$2:$AL$113,6,FALSE),0)+IFERROR(VLOOKUP(SUBSTITUTE(SUBSTITUTE(SUBSTITUTE($MZ128,"~","~~"),"*","~*"),"?","~?"),'DADOS_MELHORIAS'!$AG$2:$AL$113,6,FALSE),0)+IFERROR(VLOOKUP(SUBSTITUTE(SUBSTITUTE(SUBSTITUTE($NA128,"~","~~"),"*","~*"),"?","~?"),'DADOS_MELHORIAS'!$AG$2:$AL$113,6,FALSE),0)+IFERROR(N(AND(INDEX('DADOS_FORMAS'!$AO$2:$AO$21,MATCH(SUBSTITUTE(SUBSTITUTE(SUBSTITUTE($MU128,"~","~~"),"*","~*"),"?","~?"),'DADOS_FORMAS'!$AH$2:$AH$21,0))="Acerto",$OH128=1)),0)</f>
        <v/>
      </c>
      <c r="OE128" s="164">
        <f>TEXTJOIN(", ",TRUE,IF(IFERROR(VLOOKUP(SUBSTITUTE(SUBSTITUTE(SUBSTITUTE($MX128,"~","~~"),"*","~*"),"?","~?"),'DADOS_MELHORIAS'!$AG$2:$AL$113,5,FALSE),0)=1,$MX128,""),IF(IFERROR(VLOOKUP(SUBSTITUTE(SUBSTITUTE(SUBSTITUTE($MY128,"~","~~"),"*","~*"),"?","~?"),'DADOS_MELHORIAS'!$AG$2:$AL$113,5,FALSE),0)=1,$MY128,""),IF(IFERROR(VLOOKUP(SUBSTITUTE(SUBSTITUTE(SUBSTITUTE($MZ128,"~","~~"),"*","~*"),"?","~?"),'DADOS_MELHORIAS'!$AG$2:$AL$113,5,FALSE),0)=1,$MZ128,""),IF(IFERROR(VLOOKUP(SUBSTITUTE(SUBSTITUTE(SUBSTITUTE($NA128,"~","~~"),"*","~*"),"?","~?"),'DADOS_MELHORIAS'!$AG$2:$AL$113,5,FALSE),0)=1,$NA128,""))</f>
        <v/>
      </c>
      <c r="OF128" s="164">
        <f>IF($NJ128=0,0,INDEX('DADOS_FORMAS'!$GC$2:$GC$21,$NJ128))</f>
        <v/>
      </c>
      <c r="OG128" s="164">
        <f>IF($NJ128=0,0,INDEX('DADOS_FORMAS'!$GD$2:$GD$21,$NJ128))</f>
        <v/>
      </c>
      <c r="OH128" s="164">
        <f>IF($NJ128=0,0,INDEX('DADOS_FORMAS'!$GF$2:$GF$21,$NJ128))</f>
        <v/>
      </c>
      <c r="OI128" s="164">
        <f>IFERROR(VLOOKUP(SUBSTITUTE(SUBSTITUTE(SUBSTITUTE($NB128,"~","~~"),"*","~*"),"?","~?"),'DADOS_RESTRICOES'!$M$2:$Q$54,3,FALSE),0)</f>
        <v/>
      </c>
      <c r="OJ128" s="164">
        <f>IFERROR(VLOOKUP(SUBSTITUTE(SUBSTITUTE(SUBSTITUTE($NC128,"~","~~"),"*","~*"),"?","~?"),'DADOS_RESTRICOES'!$M$2:$Q$54,3,FALSE),0)</f>
        <v/>
      </c>
      <c r="OK128" s="164">
        <f>IFERROR(VLOOKUP(SUBSTITUTE(SUBSTITUTE(SUBSTITUTE($NB128,"~","~~"),"*","~*"),"?","~?"),'DADOS_RESTRICOES'!$M$2:$Q$54,2,FALSE),"")</f>
        <v/>
      </c>
      <c r="OL128" s="164">
        <f>IFERROR(VLOOKUP(SUBSTITUTE(SUBSTITUTE(SUBSTITUTE($NC128,"~","~~"),"*","~*"),"?","~?"),'DADOS_RESTRICOES'!$M$2:$Q$54,2,FALSE),"")</f>
        <v/>
      </c>
      <c r="OM128" s="164">
        <f>COUNTIF($NS128:$NW128,1)</f>
        <v/>
      </c>
      <c r="ON128" s="164">
        <f>COUNTIF($NS128:$NW128,2)</f>
        <v/>
      </c>
      <c r="OO128" s="164">
        <f>COUNTIF($NS128:$NW128,3)</f>
        <v/>
      </c>
      <c r="OP128" s="164">
        <f>COUNTIF($NS128:$NW128,4)</f>
        <v/>
      </c>
      <c r="OQ128" s="164">
        <f>COUNTIF($NS128:$NW128,5)</f>
        <v/>
      </c>
      <c r="OR128" s="164">
        <f>COUNTIF($NS128:$NW128,6)</f>
        <v/>
      </c>
      <c r="OS128" s="164">
        <f>COUNTIF($OI128:$OJ128,1)+IF(IFERROR(INDEX('DADOS_FORMAS'!$AS$2:$AS$21,MATCH(SUBSTITUTE(SUBSTITUTE(SUBSTITUTE($MU128,"~","~~"),"*","~*"),"?","~?"),'DADOS_FORMAS'!$AH$2:$AH$21,0)),"")="",0,IFERROR(N(VLOOKUP(SUBSTITUTE(SUBSTITUTE(SUBSTITUTE(IFERROR(INDEX('DADOS_FORMAS'!$AS$2:$AS$21,MATCH(SUBSTITUTE(SUBSTITUTE(SUBSTITUTE($MU128,"~","~~"),"*","~*"),"?","~?"),'DADOS_FORMAS'!$AH$2:$AH$21,0)),""),"~","~~"),"*","~*"),"?","~?"),'DADOS_RESTRICOES'!$M$2:$Q$54,3,FALSE)=1),0))</f>
        <v/>
      </c>
      <c r="OT128" s="164">
        <f>COUNTIF($OI128:$OJ128,2)+IF(IFERROR(INDEX('DADOS_FORMAS'!$AS$2:$AS$21,MATCH(SUBSTITUTE(SUBSTITUTE(SUBSTITUTE($MU128,"~","~~"),"*","~*"),"?","~?"),'DADOS_FORMAS'!$AH$2:$AH$21,0)),"")="",0,IFERROR(N(VLOOKUP(SUBSTITUTE(SUBSTITUTE(SUBSTITUTE(IFERROR(INDEX('DADOS_FORMAS'!$AS$2:$AS$21,MATCH(SUBSTITUTE(SUBSTITUTE(SUBSTITUTE($MU128,"~","~~"),"*","~*"),"?","~?"),'DADOS_FORMAS'!$AH$2:$AH$21,0)),""),"~","~~"),"*","~*"),"?","~?"),'DADOS_RESTRICOES'!$M$2:$Q$54,3,FALSE)=2),0))</f>
        <v/>
      </c>
      <c r="OU128" s="164">
        <f>COUNTIF($MX128:$NA128,"?*")</f>
        <v/>
      </c>
      <c r="OV128" s="164">
        <f>COUNTIF($NB128:$NC128,"?*")+$OF128</f>
        <v/>
      </c>
      <c r="OW128" s="164">
        <f>IF($MS128=0,0,SUMPRODUCT($OM128:$OR128,INDEX($I$2:$N$8,MAX(1,$MS128),0)))</f>
        <v/>
      </c>
      <c r="OX128" s="164">
        <f>IF($MS128=0,0,$OS128*CEILING($MS128/2,1)+$OT128*$MS128)</f>
        <v/>
      </c>
      <c r="OY128" s="164">
        <f>MIN(2*$MS128,$OX128)</f>
        <v/>
      </c>
      <c r="OZ128" s="164">
        <f>MIN($OY128,$OW128-IF($NS128=0,0,INDEX($I$2:$N$8,MAX(1,$MS128),$NS128)))</f>
        <v/>
      </c>
      <c r="PA128" s="164">
        <f>$OY128-$OZ128</f>
        <v/>
      </c>
      <c r="PB128" s="164">
        <f>IF($MS128=0,0,INDEX($P$2:$P$8,MAX(1,$MS128)))</f>
        <v/>
      </c>
      <c r="PC128" s="164">
        <f>$PB128-$OW128+$OZ128</f>
        <v/>
      </c>
      <c r="PD128" s="164">
        <f>IF($MS128=0,MAX(0,$NG128-IF(AND($OU128&gt;0,COUNTIF($NB128:$NC128,"?*")=0),1,0)),MAX(0,$PC128))</f>
        <v/>
      </c>
      <c r="PE128" s="164">
        <f>IF($MS128=0,0,(IF(COUNTIF($RK128:$RN128,"Salto")&gt;0,1,0)+IF(COUNTIF($RK128:$RN128,"Queima")&gt;0,1,0)+IF(COUNTIF($RK128:$RN128,"Estilhaço")&gt;0,1,0))*FLOOR($PD128/2,1))</f>
        <v/>
      </c>
      <c r="PF128" s="164">
        <f>MAX(0,2-SUMPRODUCT($OM128:$OR128,$I$2:$N$2)+MIN(2,$OS128*1+$OT128*1,SUMPRODUCT($OM128:$OR128,$I$2:$N$2)-IF($NS128=0,0,INDEX($I$2:$N$2,1,$NS128))))</f>
        <v/>
      </c>
      <c r="PG128" s="164">
        <f>MAX(0,4-SUMPRODUCT($OM128:$OR128,$I$3:$N$3)+MIN(4,$OS128*1+$OT128*2,SUMPRODUCT($OM128:$OR128,$I$3:$N$3)-IF($NS128=0,0,INDEX($I$3:$N$3,1,$NS128))))</f>
        <v/>
      </c>
      <c r="PH128" s="164">
        <f>MAX(0,6-SUMPRODUCT($OM128:$OR128,$I$4:$N$4)+MIN(6,$OS128*2+$OT128*3,SUMPRODUCT($OM128:$OR128,$I$4:$N$4)-IF($NS128=0,0,INDEX($I$4:$N$4,1,$NS128))))</f>
        <v/>
      </c>
      <c r="PI128" s="164">
        <f>MAX(0,9-SUMPRODUCT($OM128:$OR128,$I$5:$N$5)+MIN(8,$OS128*2+$OT128*4,SUMPRODUCT($OM128:$OR128,$I$5:$N$5)-IF($NS128=0,0,INDEX($I$5:$N$5,1,$NS128))))</f>
        <v/>
      </c>
      <c r="PJ128" s="164">
        <f>MAX(0,11-SUMPRODUCT($OM128:$OR128,$I$6:$N$6)+MIN(10,$OS128*3+$OT128*5,SUMPRODUCT($OM128:$OR128,$I$6:$N$6)-IF($NS128=0,0,INDEX($I$6:$N$6,1,$NS128))))</f>
        <v/>
      </c>
      <c r="PK128" s="164">
        <f>MAX(0,13-SUMPRODUCT($OM128:$OR128,$I$7:$N$7)+MIN(12,$OS128*3+$OT128*6,SUMPRODUCT($OM128:$OR128,$I$7:$N$7)-IF($NS128=0,0,INDEX($I$7:$N$7,1,$NS128))))</f>
        <v/>
      </c>
      <c r="PL128" s="164">
        <f>MAX(0,16-SUMPRODUCT($OM128:$OR128,$I$8:$N$8)+MIN(14,$OS128*4+$OT128*7,SUMPRODUCT($OM128:$OR128,$I$8:$N$8)-IF($NS128=0,0,INDEX($I$8:$N$8,1,$NS128))))</f>
        <v/>
      </c>
      <c r="PM128" s="164">
        <f>IF($OG128=2,3*$PF128&amp;" de vida temp.",IF($OG128=3,"sem dano",IF($PF128=0,IF($OG128=1,"sem cura","sem dano"),IF($OG128=1,"cura ","")&amp;$PF128&amp;"d8")))</f>
        <v/>
      </c>
      <c r="PN128" s="164">
        <f>IF($OG128=2,3*$PG128&amp;" de vida temp.",IF($OG128=3,"sem dano",IF($PG128=0,IF($OG128=1,"sem cura","sem dano"),IF($OG128=1,"cura ","")&amp;$PG128&amp;"d8")))</f>
        <v/>
      </c>
      <c r="PO128" s="164">
        <f>IF($OG128=2,3*$PH128&amp;" de vida temp.",IF($OG128=3,"sem dano",IF($PH128=0,IF($OG128=1,"sem cura","sem dano"),IF($OG128=1,"cura ","")&amp;$PH128&amp;"d8")))</f>
        <v/>
      </c>
      <c r="PP128" s="164">
        <f>IF($OG128=2,3*$PI128&amp;" de vida temp.",IF($OG128=3,"sem dano",IF($PI128=0,IF($OG128=1,"sem cura","sem dano"),IF($OG128=1,"cura ","")&amp;$PI128&amp;"d8")))</f>
        <v/>
      </c>
      <c r="PQ128" s="164">
        <f>IF($OG128=2,3*$PJ128&amp;" de vida temp.",IF($OG128=3,"sem dano",IF($PJ128=0,IF($OG128=1,"sem cura","sem dano"),IF($OG128=1,"cura ","")&amp;$PJ128&amp;"d8")))</f>
        <v/>
      </c>
      <c r="PR128" s="164">
        <f>IF($OG128=2,3*$PK128&amp;" de vida temp.",IF($OG128=3,"sem dano",IF($PK128=0,IF($OG128=1,"sem cura","sem dano"),IF($OG128=1,"cura ","")&amp;$PK128&amp;"d8")))</f>
        <v/>
      </c>
      <c r="PS128" s="164">
        <f>IF($OG128=2,3*$PL128&amp;" de vida temp.",IF($OG128=3,"sem dano",IF($PL128=0,IF($OG128=1,"sem cura","sem dano"),IF($OG128=1,"cura ","")&amp;$PL128&amp;"d8")))</f>
        <v/>
      </c>
      <c r="PT128" s="164">
        <f>IF($ND128=0,"",TEXTJOIN(" · ",TRUE,IF($ND128=0,"",TEXTJOIN(" · ",TRUE,IF($ND128=0,"",TEXTJOIN(" · ",TRUE,IF($MQ128&gt;$NE128,"Este lugar abre no nível "&amp;$MQ128,""),IF($MS128&gt;$NF128,"Classe "&amp;$MS128&amp;": o nível "&amp;$NE128&amp;" libera até a "&amp;$NF128,""),IF($NX128=1,"A Forma "&amp;$MU128&amp;" pede "&amp;INDEX('DADOS_FORMAS'!$GA$2:$GA$21,$NJ128)&amp;" aberta",""),IF(AND($MS128=0,$NJ128&gt;0,IF($NJ128=0,0,INDEX('DADOS_FORMAS'!$GJ$2:$GJ$21,$NJ128))=0),$MU128&amp;" não existe na Classe 0",""),IF($NY128=1,"Família Fechada: "&amp;$MX128,""),IF($NZ128=1,"Família Fechada: "&amp;$MY128,""),IF($OA128=1,"Família Fechada: "&amp;$MZ128,""),IF($OB128=1,"Família Fechada: "&amp;$NA128,""),IF(AND($MS128&gt;0,$OU128&gt;INDEX($O$2:$O$8,MAX(1,$MS128))),$OU128&amp;" Melhorias: a Classe "&amp;$MS128&amp;" aceita "&amp;INDEX($O$2:$O$8,MAX(1,$MS128)),""),IF(AND($MS128=0,$OU128&gt;1),"A básica aceita uma Melhoria",""),IF(AND($MS128=0,COUNTIF($NO128:$NR128,"&gt;1")&gt;0),"A básica só aceita Melhoria Leve",""),IF(AND($MS128&gt;0,$OV128&gt;2),$OV128&amp;" Restrições"&amp;IF($OF128=1,", contando a que a Forma "&amp;$MU128&amp;" já traz","")&amp;": o limite é 2",""),IF(AND($MS128=0,COUNTIF($NB128:$NC128,"?*")&gt;1),"A básica aceita uma Restrição Leve",""),IF(AND($MS128=0,COUNTIF($OI128:$OJ128,2)&gt;0),"A básica só aceita Restrição Leve",""),IF(AND($MS128&gt;0,$PC128&lt;0),"Orçamento estourado: faltam "&amp;(-$PC128)&amp;IF($PC128&lt;-1," pontos"," ponto"),""),IF(IFERROR(VLOOKUP(SUBSTITUTE(SUBSTITUTE(SUBSTITUTE($NB128,"~","~~"),"*","~*"),"?","~?"),'DADOS_RESTRICOES'!$M$2:$Q$54,4,FALSE),0)+IFERROR(VLOOKUP(SUBSTITUTE(SUBSTITUTE(SUBSTITUTE($NC128,"~","~~"),"*","~*"),"?","~?"),'DADOS_RESTRICOES'!$M$2:$Q$54,4,FALSE),0)&gt;1,$OK128&amp;" e "&amp;$OL128&amp;" são as duas de frequência",""),IF(AND((COUNTIF($RK128:$RN128,"Rápido")+COUNTIF($OK128:$OL128,"Rápido"))&gt;0,(COUNTIF($MX128:$NA128,"Atrasar")+COUNTIF($OK128:$OL128,"Atrasar"))&gt;0),"Rápido não entra com Atrasar",""),IF(AND((COUNTIF($RK128:$RN128,"Reação")+COUNTIF($OK128:$OL128,"Reação"))&gt;0,(COUNTIF($RK128:$RN128,"Rápido")+COUNTIF($OK128:$OL128,"Rápido"))&gt;0),"Reação não entra com Rápido",""),IF(AND((COUNTIF($RK128:$RN128,"Reação")+COUNTIF($OK128:$OL128,"Reação"))&gt;0,(COUNTIF($RK128:$RN128,"Armado")+COUNTIF($OK128:$OL128,"Armado"))&gt;0),"Reação não entra com Armado",""),IF(AND((COUNTIF($RK128:$RN128,"Reação")+COUNTIF($OK128:$OL128,"Reação"))&gt;0,(COUNTIF($MX128:$NA128,"Atrasar")+COUNTIF($OK128:$OL128,"Atrasar"))&gt;0),"Reação não entra com Atrasar",""),IF(AND((COUNTIF($RK128:$RN128,"Reação")+COUNTIF($OK128:$OL128,"Reação"))&gt;0,(COUNTIF($MX128:$NA128,"Parado")+COUNTIF($OK128:$OL128,"Parado"))&gt;0),"Reação não entra com Parado",""),IF(AND((COUNTIF($MX128:$NA128,"Atrasar")+COUNTIF($OK128:$OL128,"Atrasar"))&gt;0,(COUNTIF($MX128:$NA128,"Parado")+COUNTIF($OK128:$OL128,"Parado"))&gt;0),"Atrasar não entra com Parado",""),IF(AND((COUNTIF($RK128:$RN128,"Armado")+COUNTIF($OK128:$OL128,"Armado"))&gt;0,(COUNTIF($MX128:$NA128,"Carregar")+COUNTIF($OK128:$OL128,"Carregar"))&gt;0),"Armado não entra com Carregar",""),IF(AND(COUNTIF($OK128:$OL128,"Corpo a Corpo")&gt;0,$OF128=0,OR($RO128="Cone",$RO128="Linha")),"Corpo a Corpo não entra em "&amp;$MU128,""),IF(AND(COUNTIF($OK128:$OL128,"Corpo a Corpo")&gt;0,$RP128="Corpo a Corpo"),"A Forma "&amp;$MU128&amp;" já traz o Corpo a Corpo",""),IF(AND(COUNTIF($OK128:$OL128,"Tudo ou Nada")&gt;0,$OH128=0),"Tudo ou Nada só entra em habilidade de Teste de Resistência",""),IF(AND(COUNTIF($RK128:$RN128,"Inescapável")&gt;0,OR($OU128&gt;1,$OV128&gt;0)),"Inescapável não aceita outra peça",""),IF(AND($MS128&gt;0,$PD128*IF(COUNTIF($RK128:$RN128,"Remate")&gt;0,1.25,1)+$PE128&gt;4*$MS128),($PD128*IF(COUNTIF($RK128:$RN128,"Remate")&gt;0,1.25,1)+$PE128)&amp;" dados somando repetições"&amp;IF(COUNTIF($RK128:$RN128,"Remate")&gt;0," e o Remate","")&amp;": o teto da Classe "&amp;$MS128&amp;" é "&amp;4*$MS128,""))),IF(AND($MX128&lt;&gt;"",COUNTIF('DADOS_MELHORIAS'!$O$2:$O$113,SUBSTITUTE(SUBSTITUTE(SUBSTITUTE($MX128,"~","~~"),"*","~*"),"?","~?"))=0),"Melhoria não cadastrada ou com erro: "&amp;$MX128,""),IF(AND($MY128&lt;&gt;"",COUNTIF('DADOS_MELHORIAS'!$O$2:$O$113,SUBSTITUTE(SUBSTITUTE(SUBSTITUTE($MY128,"~","~~"),"*","~*"),"?","~?"))=0),"Melhoria não cadastrada ou com erro: "&amp;$MY128,""),IF(AND($MZ128&lt;&gt;"",COUNTIF('DADOS_MELHORIAS'!$O$2:$O$113,SUBSTITUTE(SUBSTITUTE(SUBSTITUTE($MZ128,"~","~~"),"*","~*"),"?","~?"))=0),"Melhoria não cadastrada ou com erro: "&amp;$MZ128,""),IF(AND($NA128&lt;&gt;"",COUNTIF('DADOS_MELHORIAS'!$O$2:$O$113,SUBSTITUTE(SUBSTITUTE(SUBSTITUTE($NA128,"~","~~"),"*","~*"),"?","~?"))=0),"Melhoria não cadastrada ou com erro: "&amp;$NA128,""),IF(AND($NB128&lt;&gt;"",COUNTIF('DADOS_RESTRICOES'!$M$2:$M$54,SUBSTITUTE(SUBSTITUTE(SUBSTITUTE($NB128,"~","~~"),"*","~*"),"?","~?"))=0),"Restrição não cadastrada ou com erro: "&amp;$NB128,""),IF(AND($NC128&lt;&gt;"",COUNTIF('DADOS_RESTRICOES'!$M$2:$M$54,SUBSTITUTE(SUBSTITUTE(SUBSTITUTE($NC128,"~","~~"),"*","~*"),"?","~?"))=0),"Restrição não cadastrada ou com erro: "&amp;$NC128,""))),IF(AND($MU128&lt;&gt;"",COUNTIF('DADOS_FORMAS'!$AH$2:$AH$21,SUBSTITUTE(SUBSTITUTE(SUBSTITUTE($MU128,"~","~~"),"*","~*"),"?","~?"))=0),"Forma não cadastrada ou com erro: "&amp;$MU128,""),IF(AND(IFERROR(INDEX('DADOS_FORMAS'!$AS$2:$AS$21,MATCH(SUBSTITUTE(SUBSTITUTE(SUBSTITUTE($MU128,"~","~~"),"*","~*"),"?","~?"),'DADOS_FORMAS'!$AH$2:$AH$21,0)),"")&lt;&gt;"",OR(IFERROR(VLOOKUP(SUBSTITUTE(SUBSTITUTE(SUBSTITUTE(IFERROR(INDEX('DADOS_FORMAS'!$AS$2:$AS$21,MATCH(SUBSTITUTE(SUBSTITUTE(SUBSTITUTE($MU128,"~","~~"),"*","~*"),"?","~?"),'DADOS_FORMAS'!$AH$2:$AH$21,0)),""),"~","~~"),"*","~*"),"?","~?"),'DADOS_RESTRICOES'!$M$2:$Q$54,2,FALSE),"")=$OK128,IFERROR(VLOOKUP(SUBSTITUTE(SUBSTITUTE(SUBSTITUTE(IFERROR(INDEX('DADOS_FORMAS'!$AS$2:$AS$21,MATCH(SUBSTITUTE(SUBSTITUTE(SUBSTITUTE($MU128,"~","~~"),"*","~*"),"?","~?"),'DADOS_FORMAS'!$AH$2:$AH$21,0)),""),"~","~~"),"*","~*"),"?","~?"),'DADOS_RESTRICOES'!$M$2:$Q$54,2,FALSE),"")=$OL128)),"Restrição repetida, contando a embutida",""),IF(IF(IFERROR(INDEX('DADOS_FORMAS'!$AS$2:$AS$21,MATCH(SUBSTITUTE(SUBSTITUTE(SUBSTITUTE($MU128,"~","~~"),"*","~*"),"?","~?"),'DADOS_FORMAS'!$AH$2:$AH$21,0)),"")="",0,IFERROR(N(VLOOKUP(SUBSTITUTE(SUBSTITUTE(SUBSTITUTE(IFERROR(INDEX('DADOS_FORMAS'!$AS$2:$AS$21,MATCH(SUBSTITUTE(SUBSTITUTE(SUBSTITUTE($MU128,"~","~~"),"*","~*"),"?","~?"),'DADOS_FORMAS'!$AH$2:$AH$21,0)),""),"~","~~"),"*","~*"),"?","~?"),'DADOS_RESTRICOES'!$M$2:$Q$54,4,FALSE)=1),0))+IF($NB128="",0,IFERROR(N(VLOOKUP(SUBSTITUTE(SUBSTITUTE(SUBSTITUTE($NB128,"~","~~"),"*","~*"),"?","~?"),'DADOS_RESTRICOES'!$M$2:$Q$54,4,FALSE)=1),0))+IF($NC128="",0,IFERROR(N(VLOOKUP(SUBSTITUTE(SUBSTITUTE(SUBSTITUTE($NC128,"~","~~"),"*","~*"),"?","~?"),'DADOS_RESTRICOES'!$M$2:$Q$54,4,FALSE)=1),0))&gt;1,"Duas Restrições de frequência, contando a embutida",""),IF(AND(IFERROR(VLOOKUP(SUBSTITUTE(SUBSTITUTE(SUBSTITUTE(IFERROR(INDEX('DADOS_FORMAS'!$AS$2:$AS$21,MATCH(SUBSTITUTE(SUBSTITUTE(SUBSTITUTE($MU128,"~","~~"),"*","~*"),"?","~?"),'DADOS_FORMAS'!$AH$2:$AH$21,0)),""),"~","~~"),"*","~*"),"?","~?"),'DADOS_RESTRICOES'!$M$2:$Q$54,2,FALSE),"")="Tudo ou Nada",$OH128=0),"Tudo ou Nada exige TR",""),IF(AND(IFERROR(VLOOKUP(SUBSTITUTE(SUBSTITUTE(SUBSTITUTE(IFERROR(INDEX('DADOS_FORMAS'!$AS$2:$AS$21,MATCH(SUBSTITUTE(SUBSTITUTE(SUBSTITUTE($MU128,"~","~~"),"*","~*"),"?","~?"),'DADOS_FORMAS'!$AH$2:$AH$21,0)),""),"~","~~"),"*","~*"),"?","~?"),'DADOS_RESTRICOES'!$M$2:$Q$54,2,FALSE),"")="Corpo a Corpo",OR($RO128="Cone",$RO128="Linha")),"Corpo a Corpo não entra em Cone/Linha","")))</f>
        <v/>
      </c>
      <c r="PU128" s="164">
        <f>IF($PT128="",0,(LEN($PT128)-LEN(SUBSTITUTE($PT128," · ","")))/3+1)</f>
        <v/>
      </c>
      <c r="PV128" s="164">
        <f>IF($ND128=0,"",TEXTJOIN(" · ",TRUE,IF($OX128&gt;2*$MS128,"A devolução parou no teto de "&amp;2*$MS128,""),IF($PA128&gt;0,"Devolução perdida: "&amp;$PA128&amp;IF($PA128&gt;1," pontos"," ponto")&amp;" sem Melhoria para pagar",""),IF(AND($OC128&gt;0,AND($MS128&gt;0,$OG128=0),$PD128=0),"Controle sem dano: uma rodada a mais e CD +2",""),IF(AND($OC128&gt;0,AND($MS128&gt;0,$OG128=0),$PD128&gt;0,$PD128&lt;=$MS128),"Controle com saldo até a Classe: uma rodada a mais",""),IF(AND($MS128&gt;0,$OE128&lt;&gt;""),"Efeito de "&amp;$OE128&amp;" pela Classe "&amp;MAX(1,$MS128-1),"")))</f>
        <v/>
      </c>
      <c r="PW128" s="164">
        <f>IF($PV128="",0,(LEN($PV128)-LEN(SUBSTITUTE($PV128," · ","")))/3+1)</f>
        <v/>
      </c>
      <c r="PX128" s="164">
        <f>IF($ND128=0,IF($OU128+COUNTIF($NB128:$NC128,"?*")&gt;0,"Dê um nome",""),IF($PU128&gt;0,"⚠ "&amp;$PU128&amp;IF($PU128&gt;1," erros"," erro"),IF($PW128&gt;0,"! "&amp;$PW128&amp;IF($PW128&gt;1," avisos"," aviso"),"Na regra")))</f>
        <v/>
      </c>
      <c r="PY128" s="164">
        <f>IF($ND128=0,"",IF($PU128+$PW128=0,"Dentro das regras que a ficha confere",$PT128&amp;IF(AND($PU128&gt;0,$PW128&gt;0)," · ","")&amp;$PV128))</f>
        <v/>
      </c>
      <c r="PZ128" s="164">
        <f>IF($MQ128&gt;$NE128,$MR128&amp;" · ABRE NO NÍVEL "&amp;$MQ128,$MR128)</f>
        <v/>
      </c>
      <c r="QA128" s="164">
        <f>IF($ND128=0,"",IF($MS128=0,"Sem PE",3*$MS128&amp;" PE"))</f>
        <v/>
      </c>
      <c r="QB128" s="164">
        <f>IF($ND128=0,"",IF($MS128=0,"A atuação básica dela",IF(COUNTIF($RQ128:$RS128,"Atrasar")&gt;0,"Sua Ação Completa",IF(COUNTIF($RK128:$RN128,"Rápido")&gt;0,"Sua Bônus",IF(COUNTIF($RK128:$RN128,"Reação")&gt;0,"Sua Reação","Sua Padrão")))&amp;" + a básica dela"&amp;IF(COUNTIF($RK128:$RN128,"Reação")&gt;0," e a coletiva","")&amp;IF(COUNTIF($RQ128:$RS128,"Carregar")&gt;0," · em dois turnos","")))</f>
        <v/>
      </c>
      <c r="QC128" s="164">
        <f>IF($MW128&lt;&gt;"",$MW128,IF($NJ128=0,"",INDEX('DADOS_FORMAS'!$GE$2:$GE$21,$NJ128)))</f>
        <v/>
      </c>
      <c r="QD128" s="164">
        <f>IF(OR($ND128=0,$NJ128=0),"",IF(COUNTIF($RK128:$RN128,"Inescapável")&gt;0,"Automático",IF($QC128="Ataque",IF($NH128="","Ataque","Ataque "&amp;IF(($NH128+2*IF(COUNTIF($RK128:$RN128,"Precisão")&gt;0,1,0))&gt;=0,"+","−")&amp;ABS(($NH128+2*IF(COUNTIF($RK128:$RN128,"Precisão")&gt;0,1,0))))&amp;IF($OD128&gt;0," · TR"&amp;IF($NI128="",""," CD "&amp;$NI128),""),IF(LEFT($QC128,2)="TR",$QC128&amp;IF($NI128="",""," · CD "&amp;$NI128)&amp;IF(COUNTIF($RK128:$RN128,"Certeiro")&gt;0," · metade",""),"Sem rolagem"))))</f>
        <v/>
      </c>
      <c r="QE128" s="164">
        <f>IF(OR($ND128=0,$NJ128=0),"",IF($MS128=0,IF(OR($OG128&gt;=1,$PD128=0),"Sem dano",$PD128&amp;"d6"&amp;IF($MV128="",""," "&amp;$MV128)),IF(OR($OG128&gt;=1,$PD128=0),UPPER(LEFT(INDEX($PM128:$PS128,1,MAX(1,$MS128)),1))&amp;MID(INDEX($PM128:$PS128,1,MAX(1,$MS128)),2,99),UPPER(LEFT(INDEX($PM128:$PS128,1,MAX(1,$MS128)),1))&amp;MID(INDEX($PM128:$PS128,1,MAX(1,$MS128)),2,99)&amp;IF($MV128="",""," "&amp;$MV128)&amp;IF($PE128&gt;0," · +"&amp;$PE128&amp;"d8",""))))</f>
        <v/>
      </c>
      <c r="QF128" s="164">
        <f>COUNTIF($RK128:$RN128,"Longe")+3*COUNTIF($RK128:$RN128,"Muito Longe")</f>
        <v/>
      </c>
      <c r="QG128" s="164">
        <f>COUNTIF($RK128:$RN128,"Maior")+3*COUNTIF($RK128:$RN128,"Muito Maior")</f>
        <v/>
      </c>
      <c r="QH128" s="164">
        <f>IF($NJ128=0,0,CHOOSE(1+INDEX('DADOS_FORMAS'!$GG$2:$GG$21,$NJ128),0,$QF128,$QG128,$QF128+$QG128))</f>
        <v/>
      </c>
      <c r="QI128" s="164">
        <f>IF($NJ128=0,0,CHOOSE(1+INDEX('DADOS_FORMAS'!$GH$2:$GH$21,$NJ128),0,$QF128,$QG128,$QF128+$QG128))</f>
        <v/>
      </c>
      <c r="QJ128" s="164">
        <f>IF(OR($ND128=0,$NJ128=0),"",INDEX('DADOS_FORMAS'!$HU$2:$HZ$81,($NJ128-1)*4+IF($MS128=0,1,IF($MS128&lt;=5,2,IF($MS128=6,3,4))),1+MIN(5,$QH128))&amp;INDEX('DADOS_FORMAS'!$IA$2:$IF$81,($NJ128-1)*4+IF($MS128=0,1,IF($MS128&lt;=5,2,IF($MS128=6,3,4))),1+MIN(5,$QI128))&amp;IF(INDEX('DADOS_FORMAS'!$GI$2:$GI$21,$NJ128)=1,IF(COUNTIF($RK128:$RN128,"Mais Um")&gt;0," · +"&amp;COUNTIF($RK128:$RN128,"Mais Um")&amp;IF(COUNTIF($RK128:$RN128,"Mais Um")&gt;1," alvos"," alvo"),"")&amp;IF(COUNTIF($RK128:$RN128,"Rajada")&gt;0,IF($MS128=0," · 1 tiro"," · "&amp;(MAX(1,$MS128-1)+1)&amp;" tiros"),""),""))</f>
        <v/>
      </c>
      <c r="QK128" s="164">
        <f>IF($ND128=0,"",IF($MS128=0,$NG128&amp;"d6"&amp;IF($OU128&gt;0," − 1 = "&amp;$PD128&amp;"d6"," da básica do nível "&amp;$NE128),$PB128&amp;" − "&amp;$OW128&amp;" + "&amp;$OZ128&amp;" = "&amp;$PC128&amp;" · teto "&amp;4*$MS128&amp;"d8"&amp;IF($OF128=1," · a Forma devolve "&amp;$MS128,"")&amp;IF($PA128&gt;0," · perde "&amp;$PA128,"")))</f>
        <v/>
      </c>
      <c r="QL128" s="164">
        <f>IF($ND128=0,"",IF($MS128=0,"A básica não amplia: os dados dela sobem com o nível",IF($MS128&gt;=$NF128,"Já está na maior Classe que o nível liberou",TEXTJOIN(" · ",TRUE,IF(AND(2&gt;$MS128,2&lt;=$NF128),"2 → "&amp;$PN128&amp;", 6 PE",""),IF(AND(3&gt;$MS128,3&lt;=$NF128),"3 → "&amp;$PO128&amp;", 9 PE",""),IF(AND(4&gt;$MS128,4&lt;=$NF128),"4 → "&amp;$PP128&amp;", 12 PE",""),IF(AND(5&gt;$MS128,5&lt;=$NF128),"5 → "&amp;$PQ128&amp;", 15 PE",""),IF(AND(6&gt;$MS128,6&lt;=$NF128),"6 → "&amp;$PR128&amp;", 18 PE",""),IF(AND(7&gt;$MS128,7&lt;=$NF128),"7 → "&amp;$PS128&amp;", 21 PE","")))))</f>
        <v/>
      </c>
      <c r="QM128" s="164">
        <f>IF(OR($ND128=0,$NO128=0),"",IF($MS128=0,"−1 dado","−"&amp;INDEX($I$2:$N$8,MAX(1,$MS128),MAX(1,$NT128))&amp;" · "&amp;CHOOSE(MAX(1,$NT128),"Leve","Média","Pesada","Leve · Livre","Média · Livre","Pesada · Livre")))</f>
        <v/>
      </c>
      <c r="QN128" s="164">
        <f>IF(OR($ND128=0,$NP128=0),"",IF($MS128=0,"−1 dado","−"&amp;INDEX($I$2:$N$8,MAX(1,$MS128),MAX(1,$NU128))&amp;" · "&amp;CHOOSE(MAX(1,$NU128),"Leve","Média","Pesada","Leve · Livre","Média · Livre","Pesada · Livre")))</f>
        <v/>
      </c>
      <c r="QO128" s="164">
        <f>IF(OR($ND128=0,$NQ128=0),"",IF($MS128=0,"−1 dado","−"&amp;INDEX($I$2:$N$8,MAX(1,$MS128),MAX(1,$NV128))&amp;" · "&amp;CHOOSE(MAX(1,$NV128),"Leve","Média","Pesada","Leve · Livre","Média · Livre","Pesada · Livre")))</f>
        <v/>
      </c>
      <c r="QP128" s="164">
        <f>IF(OR($ND128=0,$NR128=0),"",IF($MS128=0,"−1 dado","−"&amp;INDEX($I$2:$N$8,MAX(1,$MS128),MAX(1,$NW128))&amp;" · "&amp;CHOOSE(MAX(1,$NW128),"Leve","Média","Pesada","Leve · Livre","Média · Livre","Pesada · Livre")))</f>
        <v/>
      </c>
      <c r="QQ128" s="164">
        <f>IF(OR($ND128=0,$NB128=""),"",IF($MS128=0,"não devolve","+"&amp;IF($OI128=1,CEILING($MS128/2,1),$MS128)))</f>
        <v/>
      </c>
      <c r="QR128" s="164">
        <f>IF(OR($ND128=0,$NC128=""),"",IF($MS128=0,"não devolve","+"&amp;IF($OJ128=1,CEILING($MS128/2,1),$MS128)))</f>
        <v/>
      </c>
      <c r="RK128">
        <f>IF($MX128="","",IFERROR(VLOOKUP(SUBSTITUTE(SUBSTITUTE(SUBSTITUTE($MX128,"~","~~"),"*","~*"),"?","~?"),'DADOS_MELHORIAS'!$O$2:$X$113,10,FALSE),$MX128))</f>
        <v/>
      </c>
      <c r="RL128">
        <f>IF($MY128="","",IFERROR(VLOOKUP(SUBSTITUTE(SUBSTITUTE(SUBSTITUTE($MY128,"~","~~"),"*","~*"),"?","~?"),'DADOS_MELHORIAS'!$O$2:$X$113,10,FALSE),$MY128))</f>
        <v/>
      </c>
      <c r="RM128">
        <f>IF($MZ128="","",IFERROR(VLOOKUP(SUBSTITUTE(SUBSTITUTE(SUBSTITUTE($MZ128,"~","~~"),"*","~*"),"?","~?"),'DADOS_MELHORIAS'!$O$2:$X$113,10,FALSE),$MZ128))</f>
        <v/>
      </c>
      <c r="RN128">
        <f>IF($NA128="","",IFERROR(VLOOKUP(SUBSTITUTE(SUBSTITUTE(SUBSTITUTE($NA128,"~","~~"),"*","~*"),"?","~?"),'DADOS_MELHORIAS'!$O$2:$X$113,10,FALSE),$NA128))</f>
        <v/>
      </c>
      <c r="RO128">
        <f>IFERROR(INDEX('DADOS_FORMAS'!$BJ$2:$BJ$21,MATCH(SUBSTITUTE(SUBSTITUTE(SUBSTITUTE($MU128,"~","~~"),"*","~*"),"?","~?"),'DADOS_FORMAS'!$AH$2:$AH$21,0)),"")</f>
        <v/>
      </c>
      <c r="RP128">
        <f>IFERROR(VLOOKUP(SUBSTITUTE(SUBSTITUTE(SUBSTITUTE(IFERROR(INDEX('DADOS_FORMAS'!$AS$2:$AS$21,MATCH(SUBSTITUTE(SUBSTITUTE(SUBSTITUTE($MU128,"~","~~"),"*","~*"),"?","~?"),'DADOS_FORMAS'!$AH$2:$AH$21,0)),""),"~","~~"),"*","~*"),"?","~?"),'DADOS_RESTRICOES'!$M$2:$Q$54,2,FALSE),"")</f>
        <v/>
      </c>
      <c r="RQ128">
        <f>$OK128</f>
        <v/>
      </c>
      <c r="RR128">
        <f>$OL128</f>
        <v/>
      </c>
      <c r="RS128">
        <f>$RP128</f>
        <v/>
      </c>
    </row>
    <row r="129">
      <c r="MN129" s="162" t="inlineStr">
        <is>
          <t>Ficha 10 · Escolha da trilha 1</t>
        </is>
      </c>
      <c r="MO129" s="164" t="n">
        <v>10</v>
      </c>
      <c r="MP129" s="164" t="n">
        <v>2</v>
      </c>
      <c r="MQ129" s="164" t="n">
        <v>0</v>
      </c>
      <c r="MR129" s="162" t="inlineStr">
        <is>
          <t>ESCOLHA DA TRILHA 1</t>
        </is>
      </c>
      <c r="MS129" s="164">
        <f>MAX(0,MIN(7,N('INVOCAÇÕES'!$AB$806)))</f>
        <v/>
      </c>
      <c r="MT129" s="164">
        <f>'INVOCAÇÕES'!$AC$806&amp;""</f>
        <v/>
      </c>
      <c r="MU129" s="164">
        <f>'INVOCAÇÕES'!$AB$811&amp;""</f>
        <v/>
      </c>
      <c r="MV129" s="164">
        <f>'INVOCAÇÕES'!$AB$812&amp;""</f>
        <v/>
      </c>
      <c r="MW129" s="164">
        <f>'INVOCAÇÕES'!$AD$812&amp;""</f>
        <v/>
      </c>
      <c r="MX129" s="164">
        <f>'INVOCAÇÕES'!$AC$815&amp;""</f>
        <v/>
      </c>
      <c r="MY129" s="164">
        <f>'INVOCAÇÕES'!$AC$816&amp;""</f>
        <v/>
      </c>
      <c r="MZ129" s="164">
        <f>'INVOCAÇÕES'!$AC$817&amp;""</f>
        <v/>
      </c>
      <c r="NA129" s="164">
        <f>'INVOCAÇÕES'!$AC$818&amp;""</f>
        <v/>
      </c>
      <c r="NB129" s="164">
        <f>'INVOCAÇÕES'!$AC$819&amp;""</f>
        <v/>
      </c>
      <c r="NC129" s="164">
        <f>'INVOCAÇÕES'!$AC$820&amp;""</f>
        <v/>
      </c>
      <c r="ND129" s="164">
        <f>IF($MT129&lt;&gt;"",1,0)</f>
        <v/>
      </c>
      <c r="NE129" s="164">
        <f>INDEX($FO$2:$FO$13,$MO129)</f>
        <v/>
      </c>
      <c r="NF129" s="164">
        <f>INDEX($FP$2:$FP$13,$MO129)</f>
        <v/>
      </c>
      <c r="NG129" s="164">
        <f>INDEX($FQ$2:$FQ$13,$MO129)</f>
        <v/>
      </c>
      <c r="NH129" s="164">
        <f>INDEX($GB$2:$GB$13,$MO129)</f>
        <v/>
      </c>
      <c r="NI129" s="164">
        <f>INDEX($GC$2:$GC$13,$MO129)</f>
        <v/>
      </c>
      <c r="NJ129" s="164">
        <f>IFERROR(MATCH(SUBSTITUTE(SUBSTITUTE(SUBSTITUTE($MU129,"~","~~"),"*","~*"),"?","~?"),'DADOS_FORMAS'!$FZ$2:$FZ$21,0),0)</f>
        <v/>
      </c>
      <c r="NK129" s="164">
        <f>IFERROR(VLOOKUP(SUBSTITUTE(SUBSTITUTE(SUBSTITUTE($MX129,"~","~~"),"*","~*"),"?","~?"),'DADOS_MELHORIAS'!$AG$2:$AL$113,2,FALSE),"")</f>
        <v/>
      </c>
      <c r="NL129" s="164">
        <f>IFERROR(VLOOKUP(SUBSTITUTE(SUBSTITUTE(SUBSTITUTE($MY129,"~","~~"),"*","~*"),"?","~?"),'DADOS_MELHORIAS'!$AG$2:$AL$113,2,FALSE),"")</f>
        <v/>
      </c>
      <c r="NM129" s="164">
        <f>IFERROR(VLOOKUP(SUBSTITUTE(SUBSTITUTE(SUBSTITUTE($MZ129,"~","~~"),"*","~*"),"?","~?"),'DADOS_MELHORIAS'!$AG$2:$AL$113,2,FALSE),"")</f>
        <v/>
      </c>
      <c r="NN129" s="164">
        <f>IFERROR(VLOOKUP(SUBSTITUTE(SUBSTITUTE(SUBSTITUTE($NA129,"~","~~"),"*","~*"),"?","~?"),'DADOS_MELHORIAS'!$AG$2:$AL$113,2,FALSE),"")</f>
        <v/>
      </c>
      <c r="NO129" s="164">
        <f>IFERROR(VLOOKUP(SUBSTITUTE(SUBSTITUTE(SUBSTITUTE($MX129,"~","~~"),"*","~*"),"?","~?"),'DADOS_MELHORIAS'!$AG$2:$AL$113,3,FALSE),0)</f>
        <v/>
      </c>
      <c r="NP129" s="164">
        <f>IFERROR(VLOOKUP(SUBSTITUTE(SUBSTITUTE(SUBSTITUTE($MY129,"~","~~"),"*","~*"),"?","~?"),'DADOS_MELHORIAS'!$AG$2:$AL$113,3,FALSE),0)</f>
        <v/>
      </c>
      <c r="NQ129" s="164">
        <f>IFERROR(VLOOKUP(SUBSTITUTE(SUBSTITUTE(SUBSTITUTE($MZ129,"~","~~"),"*","~*"),"?","~?"),'DADOS_MELHORIAS'!$AG$2:$AL$113,3,FALSE),0)</f>
        <v/>
      </c>
      <c r="NR129" s="164">
        <f>IFERROR(VLOOKUP(SUBSTITUTE(SUBSTITUTE(SUBSTITUTE($NA129,"~","~~"),"*","~*"),"?","~?"),'DADOS_MELHORIAS'!$AG$2:$AL$113,3,FALSE),0)</f>
        <v/>
      </c>
      <c r="NS129" s="164">
        <f>IF($MS129=0,0,IF($NJ129=0,0,INDEX('DADOS_FORMAS'!$GB$2:$GB$21,$NJ129)))</f>
        <v/>
      </c>
      <c r="NT129" s="164">
        <f>IF(OR($NO129=0,$MS129=0),0,$NO129+3*IF(AND($NK129&lt;&gt;"",COUNTIF(INDEX($RB$2:$RJ$13,$MO129,0),$NK129)&gt;0),1,0))</f>
        <v/>
      </c>
      <c r="NU129" s="164">
        <f>IF(OR($NP129=0,$MS129=0),0,$NP129+3*IF(AND($NL129&lt;&gt;"",COUNTIF(INDEX($RB$2:$RJ$13,$MO129,0),$NL129)&gt;0),1,0))</f>
        <v/>
      </c>
      <c r="NV129" s="164">
        <f>IF(OR($NQ129=0,$MS129=0),0,$NQ129+3*IF(AND($NM129&lt;&gt;"",COUNTIF(INDEX($RB$2:$RJ$13,$MO129,0),$NM129)&gt;0),1,0))</f>
        <v/>
      </c>
      <c r="NW129" s="164">
        <f>IF(OR($NR129=0,$MS129=0),0,$NR129+3*IF(AND($NN129&lt;&gt;"",COUNTIF(INDEX($RB$2:$RJ$13,$MO129,0),$NN129)&gt;0),1,0))</f>
        <v/>
      </c>
      <c r="NX129" s="164">
        <f>IF($NJ129=0,0,IF(INDEX('DADOS_FORMAS'!$GA$2:$GA$21,$NJ129)="",0,IF((COUNTIF(INDEX($EL$2:$EP$13,$MO129,0),INDEX('DADOS_FORMAS'!$GA$2:$GA$21,$NJ129))+COUNTIF(INDEX($QV$2:$QY$13,$MO129,0),INDEX('DADOS_FORMAS'!$GA$2:$GA$21,$NJ129)))=0,1,0)))</f>
        <v/>
      </c>
      <c r="NY129" s="164">
        <f>IF(OR($NO129=0,$NK129=""),0,IF((COUNTIF(INDEX($EL$2:$EP$13,$MO129,0),$NK129)+COUNTIF(INDEX($QV$2:$QY$13,$MO129,0),$NK129))=0,1,0))</f>
        <v/>
      </c>
      <c r="NZ129" s="164">
        <f>IF(OR($NP129=0,$NL129=""),0,IF((COUNTIF(INDEX($EL$2:$EP$13,$MO129,0),$NL129)+COUNTIF(INDEX($QV$2:$QY$13,$MO129,0),$NL129))=0,1,0))</f>
        <v/>
      </c>
      <c r="OA129" s="164">
        <f>IF(OR($NQ129=0,$NM129=""),0,IF((COUNTIF(INDEX($EL$2:$EP$13,$MO129,0),$NM129)+COUNTIF(INDEX($QV$2:$QY$13,$MO129,0),$NM129))=0,1,0))</f>
        <v/>
      </c>
      <c r="OB129" s="164">
        <f>IF(OR($NR129=0,$NN129=""),0,IF((COUNTIF(INDEX($EL$2:$EP$13,$MO129,0),$NN129)+COUNTIF(INDEX($QV$2:$QY$13,$MO129,0),$NN129))=0,1,0))</f>
        <v/>
      </c>
      <c r="OC129" s="164">
        <f>IFERROR(VLOOKUP(SUBSTITUTE(SUBSTITUTE(SUBSTITUTE($MX129,"~","~~"),"*","~*"),"?","~?"),'DADOS_MELHORIAS'!$AG$2:$AL$113,4,FALSE),0)+IFERROR(VLOOKUP(SUBSTITUTE(SUBSTITUTE(SUBSTITUTE($MY129,"~","~~"),"*","~*"),"?","~?"),'DADOS_MELHORIAS'!$AG$2:$AL$113,4,FALSE),0)+IFERROR(VLOOKUP(SUBSTITUTE(SUBSTITUTE(SUBSTITUTE($MZ129,"~","~~"),"*","~*"),"?","~?"),'DADOS_MELHORIAS'!$AG$2:$AL$113,4,FALSE),0)+IFERROR(VLOOKUP(SUBSTITUTE(SUBSTITUTE(SUBSTITUTE($NA129,"~","~~"),"*","~*"),"?","~?"),'DADOS_MELHORIAS'!$AG$2:$AL$113,4,FALSE),0)</f>
        <v/>
      </c>
      <c r="OD129" s="164">
        <f>IFERROR(VLOOKUP(SUBSTITUTE(SUBSTITUTE(SUBSTITUTE($MX129,"~","~~"),"*","~*"),"?","~?"),'DADOS_MELHORIAS'!$AG$2:$AL$113,6,FALSE),0)+IFERROR(VLOOKUP(SUBSTITUTE(SUBSTITUTE(SUBSTITUTE($MY129,"~","~~"),"*","~*"),"?","~?"),'DADOS_MELHORIAS'!$AG$2:$AL$113,6,FALSE),0)+IFERROR(VLOOKUP(SUBSTITUTE(SUBSTITUTE(SUBSTITUTE($MZ129,"~","~~"),"*","~*"),"?","~?"),'DADOS_MELHORIAS'!$AG$2:$AL$113,6,FALSE),0)+IFERROR(VLOOKUP(SUBSTITUTE(SUBSTITUTE(SUBSTITUTE($NA129,"~","~~"),"*","~*"),"?","~?"),'DADOS_MELHORIAS'!$AG$2:$AL$113,6,FALSE),0)+IFERROR(N(AND(INDEX('DADOS_FORMAS'!$AO$2:$AO$21,MATCH(SUBSTITUTE(SUBSTITUTE(SUBSTITUTE($MU129,"~","~~"),"*","~*"),"?","~?"),'DADOS_FORMAS'!$AH$2:$AH$21,0))="Acerto",$OH129=1)),0)</f>
        <v/>
      </c>
      <c r="OE129" s="164">
        <f>TEXTJOIN(", ",TRUE,IF(IFERROR(VLOOKUP(SUBSTITUTE(SUBSTITUTE(SUBSTITUTE($MX129,"~","~~"),"*","~*"),"?","~?"),'DADOS_MELHORIAS'!$AG$2:$AL$113,5,FALSE),0)=1,$MX129,""),IF(IFERROR(VLOOKUP(SUBSTITUTE(SUBSTITUTE(SUBSTITUTE($MY129,"~","~~"),"*","~*"),"?","~?"),'DADOS_MELHORIAS'!$AG$2:$AL$113,5,FALSE),0)=1,$MY129,""),IF(IFERROR(VLOOKUP(SUBSTITUTE(SUBSTITUTE(SUBSTITUTE($MZ129,"~","~~"),"*","~*"),"?","~?"),'DADOS_MELHORIAS'!$AG$2:$AL$113,5,FALSE),0)=1,$MZ129,""),IF(IFERROR(VLOOKUP(SUBSTITUTE(SUBSTITUTE(SUBSTITUTE($NA129,"~","~~"),"*","~*"),"?","~?"),'DADOS_MELHORIAS'!$AG$2:$AL$113,5,FALSE),0)=1,$NA129,""))</f>
        <v/>
      </c>
      <c r="OF129" s="164">
        <f>IF($NJ129=0,0,INDEX('DADOS_FORMAS'!$GC$2:$GC$21,$NJ129))</f>
        <v/>
      </c>
      <c r="OG129" s="164">
        <f>IF($NJ129=0,0,INDEX('DADOS_FORMAS'!$GD$2:$GD$21,$NJ129))</f>
        <v/>
      </c>
      <c r="OH129" s="164">
        <f>IF($NJ129=0,0,INDEX('DADOS_FORMAS'!$GF$2:$GF$21,$NJ129))</f>
        <v/>
      </c>
      <c r="OI129" s="164">
        <f>IFERROR(VLOOKUP(SUBSTITUTE(SUBSTITUTE(SUBSTITUTE($NB129,"~","~~"),"*","~*"),"?","~?"),'DADOS_RESTRICOES'!$M$2:$Q$54,3,FALSE),0)</f>
        <v/>
      </c>
      <c r="OJ129" s="164">
        <f>IFERROR(VLOOKUP(SUBSTITUTE(SUBSTITUTE(SUBSTITUTE($NC129,"~","~~"),"*","~*"),"?","~?"),'DADOS_RESTRICOES'!$M$2:$Q$54,3,FALSE),0)</f>
        <v/>
      </c>
      <c r="OK129" s="164">
        <f>IFERROR(VLOOKUP(SUBSTITUTE(SUBSTITUTE(SUBSTITUTE($NB129,"~","~~"),"*","~*"),"?","~?"),'DADOS_RESTRICOES'!$M$2:$Q$54,2,FALSE),"")</f>
        <v/>
      </c>
      <c r="OL129" s="164">
        <f>IFERROR(VLOOKUP(SUBSTITUTE(SUBSTITUTE(SUBSTITUTE($NC129,"~","~~"),"*","~*"),"?","~?"),'DADOS_RESTRICOES'!$M$2:$Q$54,2,FALSE),"")</f>
        <v/>
      </c>
      <c r="OM129" s="164">
        <f>COUNTIF($NS129:$NW129,1)</f>
        <v/>
      </c>
      <c r="ON129" s="164">
        <f>COUNTIF($NS129:$NW129,2)</f>
        <v/>
      </c>
      <c r="OO129" s="164">
        <f>COUNTIF($NS129:$NW129,3)</f>
        <v/>
      </c>
      <c r="OP129" s="164">
        <f>COUNTIF($NS129:$NW129,4)</f>
        <v/>
      </c>
      <c r="OQ129" s="164">
        <f>COUNTIF($NS129:$NW129,5)</f>
        <v/>
      </c>
      <c r="OR129" s="164">
        <f>COUNTIF($NS129:$NW129,6)</f>
        <v/>
      </c>
      <c r="OS129" s="164">
        <f>COUNTIF($OI129:$OJ129,1)+IF(IFERROR(INDEX('DADOS_FORMAS'!$AS$2:$AS$21,MATCH(SUBSTITUTE(SUBSTITUTE(SUBSTITUTE($MU129,"~","~~"),"*","~*"),"?","~?"),'DADOS_FORMAS'!$AH$2:$AH$21,0)),"")="",0,IFERROR(N(VLOOKUP(SUBSTITUTE(SUBSTITUTE(SUBSTITUTE(IFERROR(INDEX('DADOS_FORMAS'!$AS$2:$AS$21,MATCH(SUBSTITUTE(SUBSTITUTE(SUBSTITUTE($MU129,"~","~~"),"*","~*"),"?","~?"),'DADOS_FORMAS'!$AH$2:$AH$21,0)),""),"~","~~"),"*","~*"),"?","~?"),'DADOS_RESTRICOES'!$M$2:$Q$54,3,FALSE)=1),0))</f>
        <v/>
      </c>
      <c r="OT129" s="164">
        <f>COUNTIF($OI129:$OJ129,2)+IF(IFERROR(INDEX('DADOS_FORMAS'!$AS$2:$AS$21,MATCH(SUBSTITUTE(SUBSTITUTE(SUBSTITUTE($MU129,"~","~~"),"*","~*"),"?","~?"),'DADOS_FORMAS'!$AH$2:$AH$21,0)),"")="",0,IFERROR(N(VLOOKUP(SUBSTITUTE(SUBSTITUTE(SUBSTITUTE(IFERROR(INDEX('DADOS_FORMAS'!$AS$2:$AS$21,MATCH(SUBSTITUTE(SUBSTITUTE(SUBSTITUTE($MU129,"~","~~"),"*","~*"),"?","~?"),'DADOS_FORMAS'!$AH$2:$AH$21,0)),""),"~","~~"),"*","~*"),"?","~?"),'DADOS_RESTRICOES'!$M$2:$Q$54,3,FALSE)=2),0))</f>
        <v/>
      </c>
      <c r="OU129" s="164">
        <f>COUNTIF($MX129:$NA129,"?*")</f>
        <v/>
      </c>
      <c r="OV129" s="164">
        <f>COUNTIF($NB129:$NC129,"?*")+$OF129</f>
        <v/>
      </c>
      <c r="OW129" s="164">
        <f>IF($MS129=0,0,SUMPRODUCT($OM129:$OR129,INDEX($I$2:$N$8,MAX(1,$MS129),0)))</f>
        <v/>
      </c>
      <c r="OX129" s="164">
        <f>IF($MS129=0,0,$OS129*CEILING($MS129/2,1)+$OT129*$MS129)</f>
        <v/>
      </c>
      <c r="OY129" s="164">
        <f>MIN(2*$MS129,$OX129)</f>
        <v/>
      </c>
      <c r="OZ129" s="164">
        <f>MIN($OY129,$OW129-IF($NS129=0,0,INDEX($I$2:$N$8,MAX(1,$MS129),$NS129)))</f>
        <v/>
      </c>
      <c r="PA129" s="164">
        <f>$OY129-$OZ129</f>
        <v/>
      </c>
      <c r="PB129" s="164">
        <f>IF($MS129=0,0,INDEX($P$2:$P$8,MAX(1,$MS129)))</f>
        <v/>
      </c>
      <c r="PC129" s="164">
        <f>$PB129-$OW129+$OZ129</f>
        <v/>
      </c>
      <c r="PD129" s="164">
        <f>IF($MS129=0,MAX(0,$NG129-IF(AND($OU129&gt;0,COUNTIF($NB129:$NC129,"?*")=0),1,0)),MAX(0,$PC129))</f>
        <v/>
      </c>
      <c r="PE129" s="164">
        <f>IF($MS129=0,0,(IF(COUNTIF($RK129:$RN129,"Salto")&gt;0,1,0)+IF(COUNTIF($RK129:$RN129,"Queima")&gt;0,1,0)+IF(COUNTIF($RK129:$RN129,"Estilhaço")&gt;0,1,0))*FLOOR($PD129/2,1))</f>
        <v/>
      </c>
      <c r="PF129" s="164">
        <f>MAX(0,2-SUMPRODUCT($OM129:$OR129,$I$2:$N$2)+MIN(2,$OS129*1+$OT129*1,SUMPRODUCT($OM129:$OR129,$I$2:$N$2)-IF($NS129=0,0,INDEX($I$2:$N$2,1,$NS129))))</f>
        <v/>
      </c>
      <c r="PG129" s="164">
        <f>MAX(0,4-SUMPRODUCT($OM129:$OR129,$I$3:$N$3)+MIN(4,$OS129*1+$OT129*2,SUMPRODUCT($OM129:$OR129,$I$3:$N$3)-IF($NS129=0,0,INDEX($I$3:$N$3,1,$NS129))))</f>
        <v/>
      </c>
      <c r="PH129" s="164">
        <f>MAX(0,6-SUMPRODUCT($OM129:$OR129,$I$4:$N$4)+MIN(6,$OS129*2+$OT129*3,SUMPRODUCT($OM129:$OR129,$I$4:$N$4)-IF($NS129=0,0,INDEX($I$4:$N$4,1,$NS129))))</f>
        <v/>
      </c>
      <c r="PI129" s="164">
        <f>MAX(0,9-SUMPRODUCT($OM129:$OR129,$I$5:$N$5)+MIN(8,$OS129*2+$OT129*4,SUMPRODUCT($OM129:$OR129,$I$5:$N$5)-IF($NS129=0,0,INDEX($I$5:$N$5,1,$NS129))))</f>
        <v/>
      </c>
      <c r="PJ129" s="164">
        <f>MAX(0,11-SUMPRODUCT($OM129:$OR129,$I$6:$N$6)+MIN(10,$OS129*3+$OT129*5,SUMPRODUCT($OM129:$OR129,$I$6:$N$6)-IF($NS129=0,0,INDEX($I$6:$N$6,1,$NS129))))</f>
        <v/>
      </c>
      <c r="PK129" s="164">
        <f>MAX(0,13-SUMPRODUCT($OM129:$OR129,$I$7:$N$7)+MIN(12,$OS129*3+$OT129*6,SUMPRODUCT($OM129:$OR129,$I$7:$N$7)-IF($NS129=0,0,INDEX($I$7:$N$7,1,$NS129))))</f>
        <v/>
      </c>
      <c r="PL129" s="164">
        <f>MAX(0,16-SUMPRODUCT($OM129:$OR129,$I$8:$N$8)+MIN(14,$OS129*4+$OT129*7,SUMPRODUCT($OM129:$OR129,$I$8:$N$8)-IF($NS129=0,0,INDEX($I$8:$N$8,1,$NS129))))</f>
        <v/>
      </c>
      <c r="PM129" s="164">
        <f>IF($OG129=2,3*$PF129&amp;" de vida temp.",IF($OG129=3,"sem dano",IF($PF129=0,IF($OG129=1,"sem cura","sem dano"),IF($OG129=1,"cura ","")&amp;$PF129&amp;"d8")))</f>
        <v/>
      </c>
      <c r="PN129" s="164">
        <f>IF($OG129=2,3*$PG129&amp;" de vida temp.",IF($OG129=3,"sem dano",IF($PG129=0,IF($OG129=1,"sem cura","sem dano"),IF($OG129=1,"cura ","")&amp;$PG129&amp;"d8")))</f>
        <v/>
      </c>
      <c r="PO129" s="164">
        <f>IF($OG129=2,3*$PH129&amp;" de vida temp.",IF($OG129=3,"sem dano",IF($PH129=0,IF($OG129=1,"sem cura","sem dano"),IF($OG129=1,"cura ","")&amp;$PH129&amp;"d8")))</f>
        <v/>
      </c>
      <c r="PP129" s="164">
        <f>IF($OG129=2,3*$PI129&amp;" de vida temp.",IF($OG129=3,"sem dano",IF($PI129=0,IF($OG129=1,"sem cura","sem dano"),IF($OG129=1,"cura ","")&amp;$PI129&amp;"d8")))</f>
        <v/>
      </c>
      <c r="PQ129" s="164">
        <f>IF($OG129=2,3*$PJ129&amp;" de vida temp.",IF($OG129=3,"sem dano",IF($PJ129=0,IF($OG129=1,"sem cura","sem dano"),IF($OG129=1,"cura ","")&amp;$PJ129&amp;"d8")))</f>
        <v/>
      </c>
      <c r="PR129" s="164">
        <f>IF($OG129=2,3*$PK129&amp;" de vida temp.",IF($OG129=3,"sem dano",IF($PK129=0,IF($OG129=1,"sem cura","sem dano"),IF($OG129=1,"cura ","")&amp;$PK129&amp;"d8")))</f>
        <v/>
      </c>
      <c r="PS129" s="164">
        <f>IF($OG129=2,3*$PL129&amp;" de vida temp.",IF($OG129=3,"sem dano",IF($PL129=0,IF($OG129=1,"sem cura","sem dano"),IF($OG129=1,"cura ","")&amp;$PL129&amp;"d8")))</f>
        <v/>
      </c>
      <c r="PT129" s="164">
        <f>IF($ND129=0,"",TEXTJOIN(" · ",TRUE,IF($ND129=0,"",TEXTJOIN(" · ",TRUE,IF($ND129=0,"",TEXTJOIN(" · ",TRUE,IF($MQ129&gt;$NE129,"Este lugar abre no nível "&amp;$MQ129,""),IF($MS129&gt;$NF129,"Classe "&amp;$MS129&amp;": o nível "&amp;$NE129&amp;" libera até a "&amp;$NF129,""),IF($NX129=1,"A Forma "&amp;$MU129&amp;" pede "&amp;INDEX('DADOS_FORMAS'!$GA$2:$GA$21,$NJ129)&amp;" aberta",""),IF(AND($MS129=0,$NJ129&gt;0,IF($NJ129=0,0,INDEX('DADOS_FORMAS'!$GJ$2:$GJ$21,$NJ129))=0),$MU129&amp;" não existe na Classe 0",""),IF($NY129=1,"Família Fechada: "&amp;$MX129,""),IF($NZ129=1,"Família Fechada: "&amp;$MY129,""),IF($OA129=1,"Família Fechada: "&amp;$MZ129,""),IF($OB129=1,"Família Fechada: "&amp;$NA129,""),IF(AND($MS129&gt;0,$OU129&gt;INDEX($O$2:$O$8,MAX(1,$MS129))),$OU129&amp;" Melhorias: a Classe "&amp;$MS129&amp;" aceita "&amp;INDEX($O$2:$O$8,MAX(1,$MS129)),""),IF(AND($MS129=0,$OU129&gt;1),"A básica aceita uma Melhoria",""),IF(AND($MS129=0,COUNTIF($NO129:$NR129,"&gt;1")&gt;0),"A básica só aceita Melhoria Leve",""),IF(AND($MS129&gt;0,$OV129&gt;2),$OV129&amp;" Restrições"&amp;IF($OF129=1,", contando a que a Forma "&amp;$MU129&amp;" já traz","")&amp;": o limite é 2",""),IF(AND($MS129=0,COUNTIF($NB129:$NC129,"?*")&gt;1),"A básica aceita uma Restrição Leve",""),IF(AND($MS129=0,COUNTIF($OI129:$OJ129,2)&gt;0),"A básica só aceita Restrição Leve",""),IF(AND($MS129&gt;0,$PC129&lt;0),"Orçamento estourado: faltam "&amp;(-$PC129)&amp;IF($PC129&lt;-1," pontos"," ponto"),""),IF(IFERROR(VLOOKUP(SUBSTITUTE(SUBSTITUTE(SUBSTITUTE($NB129,"~","~~"),"*","~*"),"?","~?"),'DADOS_RESTRICOES'!$M$2:$Q$54,4,FALSE),0)+IFERROR(VLOOKUP(SUBSTITUTE(SUBSTITUTE(SUBSTITUTE($NC129,"~","~~"),"*","~*"),"?","~?"),'DADOS_RESTRICOES'!$M$2:$Q$54,4,FALSE),0)&gt;1,$OK129&amp;" e "&amp;$OL129&amp;" são as duas de frequência",""),IF(AND((COUNTIF($RK129:$RN129,"Rápido")+COUNTIF($OK129:$OL129,"Rápido"))&gt;0,(COUNTIF($MX129:$NA129,"Atrasar")+COUNTIF($OK129:$OL129,"Atrasar"))&gt;0),"Rápido não entra com Atrasar",""),IF(AND((COUNTIF($RK129:$RN129,"Reação")+COUNTIF($OK129:$OL129,"Reação"))&gt;0,(COUNTIF($RK129:$RN129,"Rápido")+COUNTIF($OK129:$OL129,"Rápido"))&gt;0),"Reação não entra com Rápido",""),IF(AND((COUNTIF($RK129:$RN129,"Reação")+COUNTIF($OK129:$OL129,"Reação"))&gt;0,(COUNTIF($RK129:$RN129,"Armado")+COUNTIF($OK129:$OL129,"Armado"))&gt;0),"Reação não entra com Armado",""),IF(AND((COUNTIF($RK129:$RN129,"Reação")+COUNTIF($OK129:$OL129,"Reação"))&gt;0,(COUNTIF($MX129:$NA129,"Atrasar")+COUNTIF($OK129:$OL129,"Atrasar"))&gt;0),"Reação não entra com Atrasar",""),IF(AND((COUNTIF($RK129:$RN129,"Reação")+COUNTIF($OK129:$OL129,"Reação"))&gt;0,(COUNTIF($MX129:$NA129,"Parado")+COUNTIF($OK129:$OL129,"Parado"))&gt;0),"Reação não entra com Parado",""),IF(AND((COUNTIF($MX129:$NA129,"Atrasar")+COUNTIF($OK129:$OL129,"Atrasar"))&gt;0,(COUNTIF($MX129:$NA129,"Parado")+COUNTIF($OK129:$OL129,"Parado"))&gt;0),"Atrasar não entra com Parado",""),IF(AND((COUNTIF($RK129:$RN129,"Armado")+COUNTIF($OK129:$OL129,"Armado"))&gt;0,(COUNTIF($MX129:$NA129,"Carregar")+COUNTIF($OK129:$OL129,"Carregar"))&gt;0),"Armado não entra com Carregar",""),IF(AND(COUNTIF($OK129:$OL129,"Corpo a Corpo")&gt;0,$OF129=0,OR($RO129="Cone",$RO129="Linha")),"Corpo a Corpo não entra em "&amp;$MU129,""),IF(AND(COUNTIF($OK129:$OL129,"Corpo a Corpo")&gt;0,$RP129="Corpo a Corpo"),"A Forma "&amp;$MU129&amp;" já traz o Corpo a Corpo",""),IF(AND(COUNTIF($OK129:$OL129,"Tudo ou Nada")&gt;0,$OH129=0),"Tudo ou Nada só entra em habilidade de Teste de Resistência",""),IF(AND(COUNTIF($RK129:$RN129,"Inescapável")&gt;0,OR($OU129&gt;1,$OV129&gt;0)),"Inescapável não aceita outra peça",""),IF(AND($MS129&gt;0,$PD129*IF(COUNTIF($RK129:$RN129,"Remate")&gt;0,1.25,1)+$PE129&gt;4*$MS129),($PD129*IF(COUNTIF($RK129:$RN129,"Remate")&gt;0,1.25,1)+$PE129)&amp;" dados somando repetições"&amp;IF(COUNTIF($RK129:$RN129,"Remate")&gt;0," e o Remate","")&amp;": o teto da Classe "&amp;$MS129&amp;" é "&amp;4*$MS129,""))),IF(AND($MX129&lt;&gt;"",COUNTIF('DADOS_MELHORIAS'!$O$2:$O$113,SUBSTITUTE(SUBSTITUTE(SUBSTITUTE($MX129,"~","~~"),"*","~*"),"?","~?"))=0),"Melhoria não cadastrada ou com erro: "&amp;$MX129,""),IF(AND($MY129&lt;&gt;"",COUNTIF('DADOS_MELHORIAS'!$O$2:$O$113,SUBSTITUTE(SUBSTITUTE(SUBSTITUTE($MY129,"~","~~"),"*","~*"),"?","~?"))=0),"Melhoria não cadastrada ou com erro: "&amp;$MY129,""),IF(AND($MZ129&lt;&gt;"",COUNTIF('DADOS_MELHORIAS'!$O$2:$O$113,SUBSTITUTE(SUBSTITUTE(SUBSTITUTE($MZ129,"~","~~"),"*","~*"),"?","~?"))=0),"Melhoria não cadastrada ou com erro: "&amp;$MZ129,""),IF(AND($NA129&lt;&gt;"",COUNTIF('DADOS_MELHORIAS'!$O$2:$O$113,SUBSTITUTE(SUBSTITUTE(SUBSTITUTE($NA129,"~","~~"),"*","~*"),"?","~?"))=0),"Melhoria não cadastrada ou com erro: "&amp;$NA129,""),IF(AND($NB129&lt;&gt;"",COUNTIF('DADOS_RESTRICOES'!$M$2:$M$54,SUBSTITUTE(SUBSTITUTE(SUBSTITUTE($NB129,"~","~~"),"*","~*"),"?","~?"))=0),"Restrição não cadastrada ou com erro: "&amp;$NB129,""),IF(AND($NC129&lt;&gt;"",COUNTIF('DADOS_RESTRICOES'!$M$2:$M$54,SUBSTITUTE(SUBSTITUTE(SUBSTITUTE($NC129,"~","~~"),"*","~*"),"?","~?"))=0),"Restrição não cadastrada ou com erro: "&amp;$NC129,""))),IF(AND($MU129&lt;&gt;"",COUNTIF('DADOS_FORMAS'!$AH$2:$AH$21,SUBSTITUTE(SUBSTITUTE(SUBSTITUTE($MU129,"~","~~"),"*","~*"),"?","~?"))=0),"Forma não cadastrada ou com erro: "&amp;$MU129,""),IF(AND(IFERROR(INDEX('DADOS_FORMAS'!$AS$2:$AS$21,MATCH(SUBSTITUTE(SUBSTITUTE(SUBSTITUTE($MU129,"~","~~"),"*","~*"),"?","~?"),'DADOS_FORMAS'!$AH$2:$AH$21,0)),"")&lt;&gt;"",OR(IFERROR(VLOOKUP(SUBSTITUTE(SUBSTITUTE(SUBSTITUTE(IFERROR(INDEX('DADOS_FORMAS'!$AS$2:$AS$21,MATCH(SUBSTITUTE(SUBSTITUTE(SUBSTITUTE($MU129,"~","~~"),"*","~*"),"?","~?"),'DADOS_FORMAS'!$AH$2:$AH$21,0)),""),"~","~~"),"*","~*"),"?","~?"),'DADOS_RESTRICOES'!$M$2:$Q$54,2,FALSE),"")=$OK129,IFERROR(VLOOKUP(SUBSTITUTE(SUBSTITUTE(SUBSTITUTE(IFERROR(INDEX('DADOS_FORMAS'!$AS$2:$AS$21,MATCH(SUBSTITUTE(SUBSTITUTE(SUBSTITUTE($MU129,"~","~~"),"*","~*"),"?","~?"),'DADOS_FORMAS'!$AH$2:$AH$21,0)),""),"~","~~"),"*","~*"),"?","~?"),'DADOS_RESTRICOES'!$M$2:$Q$54,2,FALSE),"")=$OL129)),"Restrição repetida, contando a embutida",""),IF(IF(IFERROR(INDEX('DADOS_FORMAS'!$AS$2:$AS$21,MATCH(SUBSTITUTE(SUBSTITUTE(SUBSTITUTE($MU129,"~","~~"),"*","~*"),"?","~?"),'DADOS_FORMAS'!$AH$2:$AH$21,0)),"")="",0,IFERROR(N(VLOOKUP(SUBSTITUTE(SUBSTITUTE(SUBSTITUTE(IFERROR(INDEX('DADOS_FORMAS'!$AS$2:$AS$21,MATCH(SUBSTITUTE(SUBSTITUTE(SUBSTITUTE($MU129,"~","~~"),"*","~*"),"?","~?"),'DADOS_FORMAS'!$AH$2:$AH$21,0)),""),"~","~~"),"*","~*"),"?","~?"),'DADOS_RESTRICOES'!$M$2:$Q$54,4,FALSE)=1),0))+IF($NB129="",0,IFERROR(N(VLOOKUP(SUBSTITUTE(SUBSTITUTE(SUBSTITUTE($NB129,"~","~~"),"*","~*"),"?","~?"),'DADOS_RESTRICOES'!$M$2:$Q$54,4,FALSE)=1),0))+IF($NC129="",0,IFERROR(N(VLOOKUP(SUBSTITUTE(SUBSTITUTE(SUBSTITUTE($NC129,"~","~~"),"*","~*"),"?","~?"),'DADOS_RESTRICOES'!$M$2:$Q$54,4,FALSE)=1),0))&gt;1,"Duas Restrições de frequência, contando a embutida",""),IF(AND(IFERROR(VLOOKUP(SUBSTITUTE(SUBSTITUTE(SUBSTITUTE(IFERROR(INDEX('DADOS_FORMAS'!$AS$2:$AS$21,MATCH(SUBSTITUTE(SUBSTITUTE(SUBSTITUTE($MU129,"~","~~"),"*","~*"),"?","~?"),'DADOS_FORMAS'!$AH$2:$AH$21,0)),""),"~","~~"),"*","~*"),"?","~?"),'DADOS_RESTRICOES'!$M$2:$Q$54,2,FALSE),"")="Tudo ou Nada",$OH129=0),"Tudo ou Nada exige TR",""),IF(AND(IFERROR(VLOOKUP(SUBSTITUTE(SUBSTITUTE(SUBSTITUTE(IFERROR(INDEX('DADOS_FORMAS'!$AS$2:$AS$21,MATCH(SUBSTITUTE(SUBSTITUTE(SUBSTITUTE($MU129,"~","~~"),"*","~*"),"?","~?"),'DADOS_FORMAS'!$AH$2:$AH$21,0)),""),"~","~~"),"*","~*"),"?","~?"),'DADOS_RESTRICOES'!$M$2:$Q$54,2,FALSE),"")="Corpo a Corpo",OR($RO129="Cone",$RO129="Linha")),"Corpo a Corpo não entra em Cone/Linha","")))</f>
        <v/>
      </c>
      <c r="PU129" s="164">
        <f>IF($PT129="",0,(LEN($PT129)-LEN(SUBSTITUTE($PT129," · ","")))/3+1)</f>
        <v/>
      </c>
      <c r="PV129" s="164">
        <f>IF($ND129=0,"",TEXTJOIN(" · ",TRUE,IF($OX129&gt;2*$MS129,"A devolução parou no teto de "&amp;2*$MS129,""),IF($PA129&gt;0,"Devolução perdida: "&amp;$PA129&amp;IF($PA129&gt;1," pontos"," ponto")&amp;" sem Melhoria para pagar",""),IF(AND($OC129&gt;0,AND($MS129&gt;0,$OG129=0),$PD129=0),"Controle sem dano: uma rodada a mais e CD +2",""),IF(AND($OC129&gt;0,AND($MS129&gt;0,$OG129=0),$PD129&gt;0,$PD129&lt;=$MS129),"Controle com saldo até a Classe: uma rodada a mais",""),IF(AND($MS129&gt;0,$OE129&lt;&gt;""),"Efeito de "&amp;$OE129&amp;" pela Classe "&amp;MAX(1,$MS129-1),"")))</f>
        <v/>
      </c>
      <c r="PW129" s="164">
        <f>IF($PV129="",0,(LEN($PV129)-LEN(SUBSTITUTE($PV129," · ","")))/3+1)</f>
        <v/>
      </c>
      <c r="PX129" s="164">
        <f>IF($ND129=0,IF($OU129+COUNTIF($NB129:$NC129,"?*")&gt;0,"Dê um nome",""),IF($PU129&gt;0,"⚠ "&amp;$PU129&amp;IF($PU129&gt;1," erros"," erro"),IF($PW129&gt;0,"! "&amp;$PW129&amp;IF($PW129&gt;1," avisos"," aviso"),"Na regra")))</f>
        <v/>
      </c>
      <c r="PY129" s="164">
        <f>IF($ND129=0,"",IF($PU129+$PW129=0,"Dentro das regras que a ficha confere",$PT129&amp;IF(AND($PU129&gt;0,$PW129&gt;0)," · ","")&amp;$PV129))</f>
        <v/>
      </c>
      <c r="PZ129" s="164">
        <f>IF($MQ129&gt;$NE129,$MR129&amp;" · ABRE NO NÍVEL "&amp;$MQ129,$MR129)</f>
        <v/>
      </c>
      <c r="QA129" s="164">
        <f>IF($ND129=0,"",IF($MS129=0,"Sem PE",3*$MS129&amp;" PE"))</f>
        <v/>
      </c>
      <c r="QB129" s="164">
        <f>IF($ND129=0,"",IF($MS129=0,"A atuação básica dela",IF(COUNTIF($RQ129:$RS129,"Atrasar")&gt;0,"Sua Ação Completa",IF(COUNTIF($RK129:$RN129,"Rápido")&gt;0,"Sua Bônus",IF(COUNTIF($RK129:$RN129,"Reação")&gt;0,"Sua Reação","Sua Padrão")))&amp;" + a básica dela"&amp;IF(COUNTIF($RK129:$RN129,"Reação")&gt;0," e a coletiva","")&amp;IF(COUNTIF($RQ129:$RS129,"Carregar")&gt;0," · em dois turnos","")))</f>
        <v/>
      </c>
      <c r="QC129" s="164">
        <f>IF($MW129&lt;&gt;"",$MW129,IF($NJ129=0,"",INDEX('DADOS_FORMAS'!$GE$2:$GE$21,$NJ129)))</f>
        <v/>
      </c>
      <c r="QD129" s="164">
        <f>IF(OR($ND129=0,$NJ129=0),"",IF(COUNTIF($RK129:$RN129,"Inescapável")&gt;0,"Automático",IF($QC129="Ataque",IF($NH129="","Ataque","Ataque "&amp;IF(($NH129+2*IF(COUNTIF($RK129:$RN129,"Precisão")&gt;0,1,0))&gt;=0,"+","−")&amp;ABS(($NH129+2*IF(COUNTIF($RK129:$RN129,"Precisão")&gt;0,1,0))))&amp;IF($OD129&gt;0," · TR"&amp;IF($NI129="",""," CD "&amp;$NI129),""),IF(LEFT($QC129,2)="TR",$QC129&amp;IF($NI129="",""," · CD "&amp;$NI129)&amp;IF(COUNTIF($RK129:$RN129,"Certeiro")&gt;0," · metade",""),"Sem rolagem"))))</f>
        <v/>
      </c>
      <c r="QE129" s="164">
        <f>IF(OR($ND129=0,$NJ129=0),"",IF($MS129=0,IF(OR($OG129&gt;=1,$PD129=0),"Sem dano",$PD129&amp;"d6"&amp;IF($MV129="",""," "&amp;$MV129)),IF(OR($OG129&gt;=1,$PD129=0),UPPER(LEFT(INDEX($PM129:$PS129,1,MAX(1,$MS129)),1))&amp;MID(INDEX($PM129:$PS129,1,MAX(1,$MS129)),2,99),UPPER(LEFT(INDEX($PM129:$PS129,1,MAX(1,$MS129)),1))&amp;MID(INDEX($PM129:$PS129,1,MAX(1,$MS129)),2,99)&amp;IF($MV129="",""," "&amp;$MV129)&amp;IF($PE129&gt;0," · +"&amp;$PE129&amp;"d8",""))))</f>
        <v/>
      </c>
      <c r="QF129" s="164">
        <f>COUNTIF($RK129:$RN129,"Longe")+3*COUNTIF($RK129:$RN129,"Muito Longe")</f>
        <v/>
      </c>
      <c r="QG129" s="164">
        <f>COUNTIF($RK129:$RN129,"Maior")+3*COUNTIF($RK129:$RN129,"Muito Maior")</f>
        <v/>
      </c>
      <c r="QH129" s="164">
        <f>IF($NJ129=0,0,CHOOSE(1+INDEX('DADOS_FORMAS'!$GG$2:$GG$21,$NJ129),0,$QF129,$QG129,$QF129+$QG129))</f>
        <v/>
      </c>
      <c r="QI129" s="164">
        <f>IF($NJ129=0,0,CHOOSE(1+INDEX('DADOS_FORMAS'!$GH$2:$GH$21,$NJ129),0,$QF129,$QG129,$QF129+$QG129))</f>
        <v/>
      </c>
      <c r="QJ129" s="164">
        <f>IF(OR($ND129=0,$NJ129=0),"",INDEX('DADOS_FORMAS'!$HU$2:$HZ$81,($NJ129-1)*4+IF($MS129=0,1,IF($MS129&lt;=5,2,IF($MS129=6,3,4))),1+MIN(5,$QH129))&amp;INDEX('DADOS_FORMAS'!$IA$2:$IF$81,($NJ129-1)*4+IF($MS129=0,1,IF($MS129&lt;=5,2,IF($MS129=6,3,4))),1+MIN(5,$QI129))&amp;IF(INDEX('DADOS_FORMAS'!$GI$2:$GI$21,$NJ129)=1,IF(COUNTIF($RK129:$RN129,"Mais Um")&gt;0," · +"&amp;COUNTIF($RK129:$RN129,"Mais Um")&amp;IF(COUNTIF($RK129:$RN129,"Mais Um")&gt;1," alvos"," alvo"),"")&amp;IF(COUNTIF($RK129:$RN129,"Rajada")&gt;0,IF($MS129=0," · 1 tiro"," · "&amp;(MAX(1,$MS129-1)+1)&amp;" tiros"),""),""))</f>
        <v/>
      </c>
      <c r="QK129" s="164">
        <f>IF($ND129=0,"",IF($MS129=0,$NG129&amp;"d6"&amp;IF($OU129&gt;0," − 1 = "&amp;$PD129&amp;"d6"," da básica do nível "&amp;$NE129),$PB129&amp;" − "&amp;$OW129&amp;" + "&amp;$OZ129&amp;" = "&amp;$PC129&amp;" · teto "&amp;4*$MS129&amp;"d8"&amp;IF($OF129=1," · a Forma devolve "&amp;$MS129,"")&amp;IF($PA129&gt;0," · perde "&amp;$PA129,"")))</f>
        <v/>
      </c>
      <c r="QL129" s="164">
        <f>IF($ND129=0,"",IF($MS129=0,"A básica não amplia: os dados dela sobem com o nível",IF($MS129&gt;=$NF129,"Já está na maior Classe que o nível liberou",TEXTJOIN(" · ",TRUE,IF(AND(2&gt;$MS129,2&lt;=$NF129),"2 → "&amp;$PN129&amp;", 6 PE",""),IF(AND(3&gt;$MS129,3&lt;=$NF129),"3 → "&amp;$PO129&amp;", 9 PE",""),IF(AND(4&gt;$MS129,4&lt;=$NF129),"4 → "&amp;$PP129&amp;", 12 PE",""),IF(AND(5&gt;$MS129,5&lt;=$NF129),"5 → "&amp;$PQ129&amp;", 15 PE",""),IF(AND(6&gt;$MS129,6&lt;=$NF129),"6 → "&amp;$PR129&amp;", 18 PE",""),IF(AND(7&gt;$MS129,7&lt;=$NF129),"7 → "&amp;$PS129&amp;", 21 PE","")))))</f>
        <v/>
      </c>
      <c r="QM129" s="164">
        <f>IF(OR($ND129=0,$NO129=0),"",IF($MS129=0,"−1 dado","−"&amp;INDEX($I$2:$N$8,MAX(1,$MS129),MAX(1,$NT129))&amp;" · "&amp;CHOOSE(MAX(1,$NT129),"Leve","Média","Pesada","Leve · Livre","Média · Livre","Pesada · Livre")))</f>
        <v/>
      </c>
      <c r="QN129" s="164">
        <f>IF(OR($ND129=0,$NP129=0),"",IF($MS129=0,"−1 dado","−"&amp;INDEX($I$2:$N$8,MAX(1,$MS129),MAX(1,$NU129))&amp;" · "&amp;CHOOSE(MAX(1,$NU129),"Leve","Média","Pesada","Leve · Livre","Média · Livre","Pesada · Livre")))</f>
        <v/>
      </c>
      <c r="QO129" s="164">
        <f>IF(OR($ND129=0,$NQ129=0),"",IF($MS129=0,"−1 dado","−"&amp;INDEX($I$2:$N$8,MAX(1,$MS129),MAX(1,$NV129))&amp;" · "&amp;CHOOSE(MAX(1,$NV129),"Leve","Média","Pesada","Leve · Livre","Média · Livre","Pesada · Livre")))</f>
        <v/>
      </c>
      <c r="QP129" s="164">
        <f>IF(OR($ND129=0,$NR129=0),"",IF($MS129=0,"−1 dado","−"&amp;INDEX($I$2:$N$8,MAX(1,$MS129),MAX(1,$NW129))&amp;" · "&amp;CHOOSE(MAX(1,$NW129),"Leve","Média","Pesada","Leve · Livre","Média · Livre","Pesada · Livre")))</f>
        <v/>
      </c>
      <c r="QQ129" s="164">
        <f>IF(OR($ND129=0,$NB129=""),"",IF($MS129=0,"não devolve","+"&amp;IF($OI129=1,CEILING($MS129/2,1),$MS129)))</f>
        <v/>
      </c>
      <c r="QR129" s="164">
        <f>IF(OR($ND129=0,$NC129=""),"",IF($MS129=0,"não devolve","+"&amp;IF($OJ129=1,CEILING($MS129/2,1),$MS129)))</f>
        <v/>
      </c>
      <c r="RK129">
        <f>IF($MX129="","",IFERROR(VLOOKUP(SUBSTITUTE(SUBSTITUTE(SUBSTITUTE($MX129,"~","~~"),"*","~*"),"?","~?"),'DADOS_MELHORIAS'!$O$2:$X$113,10,FALSE),$MX129))</f>
        <v/>
      </c>
      <c r="RL129">
        <f>IF($MY129="","",IFERROR(VLOOKUP(SUBSTITUTE(SUBSTITUTE(SUBSTITUTE($MY129,"~","~~"),"*","~*"),"?","~?"),'DADOS_MELHORIAS'!$O$2:$X$113,10,FALSE),$MY129))</f>
        <v/>
      </c>
      <c r="RM129">
        <f>IF($MZ129="","",IFERROR(VLOOKUP(SUBSTITUTE(SUBSTITUTE(SUBSTITUTE($MZ129,"~","~~"),"*","~*"),"?","~?"),'DADOS_MELHORIAS'!$O$2:$X$113,10,FALSE),$MZ129))</f>
        <v/>
      </c>
      <c r="RN129">
        <f>IF($NA129="","",IFERROR(VLOOKUP(SUBSTITUTE(SUBSTITUTE(SUBSTITUTE($NA129,"~","~~"),"*","~*"),"?","~?"),'DADOS_MELHORIAS'!$O$2:$X$113,10,FALSE),$NA129))</f>
        <v/>
      </c>
      <c r="RO129">
        <f>IFERROR(INDEX('DADOS_FORMAS'!$BJ$2:$BJ$21,MATCH(SUBSTITUTE(SUBSTITUTE(SUBSTITUTE($MU129,"~","~~"),"*","~*"),"?","~?"),'DADOS_FORMAS'!$AH$2:$AH$21,0)),"")</f>
        <v/>
      </c>
      <c r="RP129">
        <f>IFERROR(VLOOKUP(SUBSTITUTE(SUBSTITUTE(SUBSTITUTE(IFERROR(INDEX('DADOS_FORMAS'!$AS$2:$AS$21,MATCH(SUBSTITUTE(SUBSTITUTE(SUBSTITUTE($MU129,"~","~~"),"*","~*"),"?","~?"),'DADOS_FORMAS'!$AH$2:$AH$21,0)),""),"~","~~"),"*","~*"),"?","~?"),'DADOS_RESTRICOES'!$M$2:$Q$54,2,FALSE),"")</f>
        <v/>
      </c>
      <c r="RQ129">
        <f>$OK129</f>
        <v/>
      </c>
      <c r="RR129">
        <f>$OL129</f>
        <v/>
      </c>
      <c r="RS129">
        <f>$RP129</f>
        <v/>
      </c>
    </row>
    <row r="130">
      <c r="MN130" s="162" t="inlineStr">
        <is>
          <t>Ficha 10 · Escolha da trilha 2</t>
        </is>
      </c>
      <c r="MO130" s="164" t="n">
        <v>10</v>
      </c>
      <c r="MP130" s="164" t="n">
        <v>2</v>
      </c>
      <c r="MQ130" s="164" t="n">
        <v>0</v>
      </c>
      <c r="MR130" s="162" t="inlineStr">
        <is>
          <t>ESCOLHA DA TRILHA 2</t>
        </is>
      </c>
      <c r="MS130" s="164">
        <f>MAX(0,MIN(7,N('INVOCAÇÕES'!$AH$806)))</f>
        <v/>
      </c>
      <c r="MT130" s="164">
        <f>'INVOCAÇÕES'!$AI$806&amp;""</f>
        <v/>
      </c>
      <c r="MU130" s="164">
        <f>'INVOCAÇÕES'!$AH$811&amp;""</f>
        <v/>
      </c>
      <c r="MV130" s="164">
        <f>'INVOCAÇÕES'!$AH$812&amp;""</f>
        <v/>
      </c>
      <c r="MW130" s="164">
        <f>'INVOCAÇÕES'!$AJ$812&amp;""</f>
        <v/>
      </c>
      <c r="MX130" s="164">
        <f>'INVOCAÇÕES'!$AI$815&amp;""</f>
        <v/>
      </c>
      <c r="MY130" s="164">
        <f>'INVOCAÇÕES'!$AI$816&amp;""</f>
        <v/>
      </c>
      <c r="MZ130" s="164">
        <f>'INVOCAÇÕES'!$AI$817&amp;""</f>
        <v/>
      </c>
      <c r="NA130" s="164">
        <f>'INVOCAÇÕES'!$AI$818&amp;""</f>
        <v/>
      </c>
      <c r="NB130" s="164">
        <f>'INVOCAÇÕES'!$AI$819&amp;""</f>
        <v/>
      </c>
      <c r="NC130" s="164">
        <f>'INVOCAÇÕES'!$AI$820&amp;""</f>
        <v/>
      </c>
      <c r="ND130" s="164">
        <f>IF($MT130&lt;&gt;"",1,0)</f>
        <v/>
      </c>
      <c r="NE130" s="164">
        <f>INDEX($FO$2:$FO$13,$MO130)</f>
        <v/>
      </c>
      <c r="NF130" s="164">
        <f>INDEX($FP$2:$FP$13,$MO130)</f>
        <v/>
      </c>
      <c r="NG130" s="164">
        <f>INDEX($FQ$2:$FQ$13,$MO130)</f>
        <v/>
      </c>
      <c r="NH130" s="164">
        <f>INDEX($GB$2:$GB$13,$MO130)</f>
        <v/>
      </c>
      <c r="NI130" s="164">
        <f>INDEX($GC$2:$GC$13,$MO130)</f>
        <v/>
      </c>
      <c r="NJ130" s="164">
        <f>IFERROR(MATCH(SUBSTITUTE(SUBSTITUTE(SUBSTITUTE($MU130,"~","~~"),"*","~*"),"?","~?"),'DADOS_FORMAS'!$FZ$2:$FZ$21,0),0)</f>
        <v/>
      </c>
      <c r="NK130" s="164">
        <f>IFERROR(VLOOKUP(SUBSTITUTE(SUBSTITUTE(SUBSTITUTE($MX130,"~","~~"),"*","~*"),"?","~?"),'DADOS_MELHORIAS'!$AG$2:$AL$113,2,FALSE),"")</f>
        <v/>
      </c>
      <c r="NL130" s="164">
        <f>IFERROR(VLOOKUP(SUBSTITUTE(SUBSTITUTE(SUBSTITUTE($MY130,"~","~~"),"*","~*"),"?","~?"),'DADOS_MELHORIAS'!$AG$2:$AL$113,2,FALSE),"")</f>
        <v/>
      </c>
      <c r="NM130" s="164">
        <f>IFERROR(VLOOKUP(SUBSTITUTE(SUBSTITUTE(SUBSTITUTE($MZ130,"~","~~"),"*","~*"),"?","~?"),'DADOS_MELHORIAS'!$AG$2:$AL$113,2,FALSE),"")</f>
        <v/>
      </c>
      <c r="NN130" s="164">
        <f>IFERROR(VLOOKUP(SUBSTITUTE(SUBSTITUTE(SUBSTITUTE($NA130,"~","~~"),"*","~*"),"?","~?"),'DADOS_MELHORIAS'!$AG$2:$AL$113,2,FALSE),"")</f>
        <v/>
      </c>
      <c r="NO130" s="164">
        <f>IFERROR(VLOOKUP(SUBSTITUTE(SUBSTITUTE(SUBSTITUTE($MX130,"~","~~"),"*","~*"),"?","~?"),'DADOS_MELHORIAS'!$AG$2:$AL$113,3,FALSE),0)</f>
        <v/>
      </c>
      <c r="NP130" s="164">
        <f>IFERROR(VLOOKUP(SUBSTITUTE(SUBSTITUTE(SUBSTITUTE($MY130,"~","~~"),"*","~*"),"?","~?"),'DADOS_MELHORIAS'!$AG$2:$AL$113,3,FALSE),0)</f>
        <v/>
      </c>
      <c r="NQ130" s="164">
        <f>IFERROR(VLOOKUP(SUBSTITUTE(SUBSTITUTE(SUBSTITUTE($MZ130,"~","~~"),"*","~*"),"?","~?"),'DADOS_MELHORIAS'!$AG$2:$AL$113,3,FALSE),0)</f>
        <v/>
      </c>
      <c r="NR130" s="164">
        <f>IFERROR(VLOOKUP(SUBSTITUTE(SUBSTITUTE(SUBSTITUTE($NA130,"~","~~"),"*","~*"),"?","~?"),'DADOS_MELHORIAS'!$AG$2:$AL$113,3,FALSE),0)</f>
        <v/>
      </c>
      <c r="NS130" s="164">
        <f>IF($MS130=0,0,IF($NJ130=0,0,INDEX('DADOS_FORMAS'!$GB$2:$GB$21,$NJ130)))</f>
        <v/>
      </c>
      <c r="NT130" s="164">
        <f>IF(OR($NO130=0,$MS130=0),0,$NO130+3*IF(AND($NK130&lt;&gt;"",COUNTIF(INDEX($RB$2:$RJ$13,$MO130,0),$NK130)&gt;0),1,0))</f>
        <v/>
      </c>
      <c r="NU130" s="164">
        <f>IF(OR($NP130=0,$MS130=0),0,$NP130+3*IF(AND($NL130&lt;&gt;"",COUNTIF(INDEX($RB$2:$RJ$13,$MO130,0),$NL130)&gt;0),1,0))</f>
        <v/>
      </c>
      <c r="NV130" s="164">
        <f>IF(OR($NQ130=0,$MS130=0),0,$NQ130+3*IF(AND($NM130&lt;&gt;"",COUNTIF(INDEX($RB$2:$RJ$13,$MO130,0),$NM130)&gt;0),1,0))</f>
        <v/>
      </c>
      <c r="NW130" s="164">
        <f>IF(OR($NR130=0,$MS130=0),0,$NR130+3*IF(AND($NN130&lt;&gt;"",COUNTIF(INDEX($RB$2:$RJ$13,$MO130,0),$NN130)&gt;0),1,0))</f>
        <v/>
      </c>
      <c r="NX130" s="164">
        <f>IF($NJ130=0,0,IF(INDEX('DADOS_FORMAS'!$GA$2:$GA$21,$NJ130)="",0,IF((COUNTIF(INDEX($EL$2:$EP$13,$MO130,0),INDEX('DADOS_FORMAS'!$GA$2:$GA$21,$NJ130))+COUNTIF(INDEX($QV$2:$QY$13,$MO130,0),INDEX('DADOS_FORMAS'!$GA$2:$GA$21,$NJ130)))=0,1,0)))</f>
        <v/>
      </c>
      <c r="NY130" s="164">
        <f>IF(OR($NO130=0,$NK130=""),0,IF((COUNTIF(INDEX($EL$2:$EP$13,$MO130,0),$NK130)+COUNTIF(INDEX($QV$2:$QY$13,$MO130,0),$NK130))=0,1,0))</f>
        <v/>
      </c>
      <c r="NZ130" s="164">
        <f>IF(OR($NP130=0,$NL130=""),0,IF((COUNTIF(INDEX($EL$2:$EP$13,$MO130,0),$NL130)+COUNTIF(INDEX($QV$2:$QY$13,$MO130,0),$NL130))=0,1,0))</f>
        <v/>
      </c>
      <c r="OA130" s="164">
        <f>IF(OR($NQ130=0,$NM130=""),0,IF((COUNTIF(INDEX($EL$2:$EP$13,$MO130,0),$NM130)+COUNTIF(INDEX($QV$2:$QY$13,$MO130,0),$NM130))=0,1,0))</f>
        <v/>
      </c>
      <c r="OB130" s="164">
        <f>IF(OR($NR130=0,$NN130=""),0,IF((COUNTIF(INDEX($EL$2:$EP$13,$MO130,0),$NN130)+COUNTIF(INDEX($QV$2:$QY$13,$MO130,0),$NN130))=0,1,0))</f>
        <v/>
      </c>
      <c r="OC130" s="164">
        <f>IFERROR(VLOOKUP(SUBSTITUTE(SUBSTITUTE(SUBSTITUTE($MX130,"~","~~"),"*","~*"),"?","~?"),'DADOS_MELHORIAS'!$AG$2:$AL$113,4,FALSE),0)+IFERROR(VLOOKUP(SUBSTITUTE(SUBSTITUTE(SUBSTITUTE($MY130,"~","~~"),"*","~*"),"?","~?"),'DADOS_MELHORIAS'!$AG$2:$AL$113,4,FALSE),0)+IFERROR(VLOOKUP(SUBSTITUTE(SUBSTITUTE(SUBSTITUTE($MZ130,"~","~~"),"*","~*"),"?","~?"),'DADOS_MELHORIAS'!$AG$2:$AL$113,4,FALSE),0)+IFERROR(VLOOKUP(SUBSTITUTE(SUBSTITUTE(SUBSTITUTE($NA130,"~","~~"),"*","~*"),"?","~?"),'DADOS_MELHORIAS'!$AG$2:$AL$113,4,FALSE),0)</f>
        <v/>
      </c>
      <c r="OD130" s="164">
        <f>IFERROR(VLOOKUP(SUBSTITUTE(SUBSTITUTE(SUBSTITUTE($MX130,"~","~~"),"*","~*"),"?","~?"),'DADOS_MELHORIAS'!$AG$2:$AL$113,6,FALSE),0)+IFERROR(VLOOKUP(SUBSTITUTE(SUBSTITUTE(SUBSTITUTE($MY130,"~","~~"),"*","~*"),"?","~?"),'DADOS_MELHORIAS'!$AG$2:$AL$113,6,FALSE),0)+IFERROR(VLOOKUP(SUBSTITUTE(SUBSTITUTE(SUBSTITUTE($MZ130,"~","~~"),"*","~*"),"?","~?"),'DADOS_MELHORIAS'!$AG$2:$AL$113,6,FALSE),0)+IFERROR(VLOOKUP(SUBSTITUTE(SUBSTITUTE(SUBSTITUTE($NA130,"~","~~"),"*","~*"),"?","~?"),'DADOS_MELHORIAS'!$AG$2:$AL$113,6,FALSE),0)+IFERROR(N(AND(INDEX('DADOS_FORMAS'!$AO$2:$AO$21,MATCH(SUBSTITUTE(SUBSTITUTE(SUBSTITUTE($MU130,"~","~~"),"*","~*"),"?","~?"),'DADOS_FORMAS'!$AH$2:$AH$21,0))="Acerto",$OH130=1)),0)</f>
        <v/>
      </c>
      <c r="OE130" s="164">
        <f>TEXTJOIN(", ",TRUE,IF(IFERROR(VLOOKUP(SUBSTITUTE(SUBSTITUTE(SUBSTITUTE($MX130,"~","~~"),"*","~*"),"?","~?"),'DADOS_MELHORIAS'!$AG$2:$AL$113,5,FALSE),0)=1,$MX130,""),IF(IFERROR(VLOOKUP(SUBSTITUTE(SUBSTITUTE(SUBSTITUTE($MY130,"~","~~"),"*","~*"),"?","~?"),'DADOS_MELHORIAS'!$AG$2:$AL$113,5,FALSE),0)=1,$MY130,""),IF(IFERROR(VLOOKUP(SUBSTITUTE(SUBSTITUTE(SUBSTITUTE($MZ130,"~","~~"),"*","~*"),"?","~?"),'DADOS_MELHORIAS'!$AG$2:$AL$113,5,FALSE),0)=1,$MZ130,""),IF(IFERROR(VLOOKUP(SUBSTITUTE(SUBSTITUTE(SUBSTITUTE($NA130,"~","~~"),"*","~*"),"?","~?"),'DADOS_MELHORIAS'!$AG$2:$AL$113,5,FALSE),0)=1,$NA130,""))</f>
        <v/>
      </c>
      <c r="OF130" s="164">
        <f>IF($NJ130=0,0,INDEX('DADOS_FORMAS'!$GC$2:$GC$21,$NJ130))</f>
        <v/>
      </c>
      <c r="OG130" s="164">
        <f>IF($NJ130=0,0,INDEX('DADOS_FORMAS'!$GD$2:$GD$21,$NJ130))</f>
        <v/>
      </c>
      <c r="OH130" s="164">
        <f>IF($NJ130=0,0,INDEX('DADOS_FORMAS'!$GF$2:$GF$21,$NJ130))</f>
        <v/>
      </c>
      <c r="OI130" s="164">
        <f>IFERROR(VLOOKUP(SUBSTITUTE(SUBSTITUTE(SUBSTITUTE($NB130,"~","~~"),"*","~*"),"?","~?"),'DADOS_RESTRICOES'!$M$2:$Q$54,3,FALSE),0)</f>
        <v/>
      </c>
      <c r="OJ130" s="164">
        <f>IFERROR(VLOOKUP(SUBSTITUTE(SUBSTITUTE(SUBSTITUTE($NC130,"~","~~"),"*","~*"),"?","~?"),'DADOS_RESTRICOES'!$M$2:$Q$54,3,FALSE),0)</f>
        <v/>
      </c>
      <c r="OK130" s="164">
        <f>IFERROR(VLOOKUP(SUBSTITUTE(SUBSTITUTE(SUBSTITUTE($NB130,"~","~~"),"*","~*"),"?","~?"),'DADOS_RESTRICOES'!$M$2:$Q$54,2,FALSE),"")</f>
        <v/>
      </c>
      <c r="OL130" s="164">
        <f>IFERROR(VLOOKUP(SUBSTITUTE(SUBSTITUTE(SUBSTITUTE($NC130,"~","~~"),"*","~*"),"?","~?"),'DADOS_RESTRICOES'!$M$2:$Q$54,2,FALSE),"")</f>
        <v/>
      </c>
      <c r="OM130" s="164">
        <f>COUNTIF($NS130:$NW130,1)</f>
        <v/>
      </c>
      <c r="ON130" s="164">
        <f>COUNTIF($NS130:$NW130,2)</f>
        <v/>
      </c>
      <c r="OO130" s="164">
        <f>COUNTIF($NS130:$NW130,3)</f>
        <v/>
      </c>
      <c r="OP130" s="164">
        <f>COUNTIF($NS130:$NW130,4)</f>
        <v/>
      </c>
      <c r="OQ130" s="164">
        <f>COUNTIF($NS130:$NW130,5)</f>
        <v/>
      </c>
      <c r="OR130" s="164">
        <f>COUNTIF($NS130:$NW130,6)</f>
        <v/>
      </c>
      <c r="OS130" s="164">
        <f>COUNTIF($OI130:$OJ130,1)+IF(IFERROR(INDEX('DADOS_FORMAS'!$AS$2:$AS$21,MATCH(SUBSTITUTE(SUBSTITUTE(SUBSTITUTE($MU130,"~","~~"),"*","~*"),"?","~?"),'DADOS_FORMAS'!$AH$2:$AH$21,0)),"")="",0,IFERROR(N(VLOOKUP(SUBSTITUTE(SUBSTITUTE(SUBSTITUTE(IFERROR(INDEX('DADOS_FORMAS'!$AS$2:$AS$21,MATCH(SUBSTITUTE(SUBSTITUTE(SUBSTITUTE($MU130,"~","~~"),"*","~*"),"?","~?"),'DADOS_FORMAS'!$AH$2:$AH$21,0)),""),"~","~~"),"*","~*"),"?","~?"),'DADOS_RESTRICOES'!$M$2:$Q$54,3,FALSE)=1),0))</f>
        <v/>
      </c>
      <c r="OT130" s="164">
        <f>COUNTIF($OI130:$OJ130,2)+IF(IFERROR(INDEX('DADOS_FORMAS'!$AS$2:$AS$21,MATCH(SUBSTITUTE(SUBSTITUTE(SUBSTITUTE($MU130,"~","~~"),"*","~*"),"?","~?"),'DADOS_FORMAS'!$AH$2:$AH$21,0)),"")="",0,IFERROR(N(VLOOKUP(SUBSTITUTE(SUBSTITUTE(SUBSTITUTE(IFERROR(INDEX('DADOS_FORMAS'!$AS$2:$AS$21,MATCH(SUBSTITUTE(SUBSTITUTE(SUBSTITUTE($MU130,"~","~~"),"*","~*"),"?","~?"),'DADOS_FORMAS'!$AH$2:$AH$21,0)),""),"~","~~"),"*","~*"),"?","~?"),'DADOS_RESTRICOES'!$M$2:$Q$54,3,FALSE)=2),0))</f>
        <v/>
      </c>
      <c r="OU130" s="164">
        <f>COUNTIF($MX130:$NA130,"?*")</f>
        <v/>
      </c>
      <c r="OV130" s="164">
        <f>COUNTIF($NB130:$NC130,"?*")+$OF130</f>
        <v/>
      </c>
      <c r="OW130" s="164">
        <f>IF($MS130=0,0,SUMPRODUCT($OM130:$OR130,INDEX($I$2:$N$8,MAX(1,$MS130),0)))</f>
        <v/>
      </c>
      <c r="OX130" s="164">
        <f>IF($MS130=0,0,$OS130*CEILING($MS130/2,1)+$OT130*$MS130)</f>
        <v/>
      </c>
      <c r="OY130" s="164">
        <f>MIN(2*$MS130,$OX130)</f>
        <v/>
      </c>
      <c r="OZ130" s="164">
        <f>MIN($OY130,$OW130-IF($NS130=0,0,INDEX($I$2:$N$8,MAX(1,$MS130),$NS130)))</f>
        <v/>
      </c>
      <c r="PA130" s="164">
        <f>$OY130-$OZ130</f>
        <v/>
      </c>
      <c r="PB130" s="164">
        <f>IF($MS130=0,0,INDEX($P$2:$P$8,MAX(1,$MS130)))</f>
        <v/>
      </c>
      <c r="PC130" s="164">
        <f>$PB130-$OW130+$OZ130</f>
        <v/>
      </c>
      <c r="PD130" s="164">
        <f>IF($MS130=0,MAX(0,$NG130-IF(AND($OU130&gt;0,COUNTIF($NB130:$NC130,"?*")=0),1,0)),MAX(0,$PC130))</f>
        <v/>
      </c>
      <c r="PE130" s="164">
        <f>IF($MS130=0,0,(IF(COUNTIF($RK130:$RN130,"Salto")&gt;0,1,0)+IF(COUNTIF($RK130:$RN130,"Queima")&gt;0,1,0)+IF(COUNTIF($RK130:$RN130,"Estilhaço")&gt;0,1,0))*FLOOR($PD130/2,1))</f>
        <v/>
      </c>
      <c r="PF130" s="164">
        <f>MAX(0,2-SUMPRODUCT($OM130:$OR130,$I$2:$N$2)+MIN(2,$OS130*1+$OT130*1,SUMPRODUCT($OM130:$OR130,$I$2:$N$2)-IF($NS130=0,0,INDEX($I$2:$N$2,1,$NS130))))</f>
        <v/>
      </c>
      <c r="PG130" s="164">
        <f>MAX(0,4-SUMPRODUCT($OM130:$OR130,$I$3:$N$3)+MIN(4,$OS130*1+$OT130*2,SUMPRODUCT($OM130:$OR130,$I$3:$N$3)-IF($NS130=0,0,INDEX($I$3:$N$3,1,$NS130))))</f>
        <v/>
      </c>
      <c r="PH130" s="164">
        <f>MAX(0,6-SUMPRODUCT($OM130:$OR130,$I$4:$N$4)+MIN(6,$OS130*2+$OT130*3,SUMPRODUCT($OM130:$OR130,$I$4:$N$4)-IF($NS130=0,0,INDEX($I$4:$N$4,1,$NS130))))</f>
        <v/>
      </c>
      <c r="PI130" s="164">
        <f>MAX(0,9-SUMPRODUCT($OM130:$OR130,$I$5:$N$5)+MIN(8,$OS130*2+$OT130*4,SUMPRODUCT($OM130:$OR130,$I$5:$N$5)-IF($NS130=0,0,INDEX($I$5:$N$5,1,$NS130))))</f>
        <v/>
      </c>
      <c r="PJ130" s="164">
        <f>MAX(0,11-SUMPRODUCT($OM130:$OR130,$I$6:$N$6)+MIN(10,$OS130*3+$OT130*5,SUMPRODUCT($OM130:$OR130,$I$6:$N$6)-IF($NS130=0,0,INDEX($I$6:$N$6,1,$NS130))))</f>
        <v/>
      </c>
      <c r="PK130" s="164">
        <f>MAX(0,13-SUMPRODUCT($OM130:$OR130,$I$7:$N$7)+MIN(12,$OS130*3+$OT130*6,SUMPRODUCT($OM130:$OR130,$I$7:$N$7)-IF($NS130=0,0,INDEX($I$7:$N$7,1,$NS130))))</f>
        <v/>
      </c>
      <c r="PL130" s="164">
        <f>MAX(0,16-SUMPRODUCT($OM130:$OR130,$I$8:$N$8)+MIN(14,$OS130*4+$OT130*7,SUMPRODUCT($OM130:$OR130,$I$8:$N$8)-IF($NS130=0,0,INDEX($I$8:$N$8,1,$NS130))))</f>
        <v/>
      </c>
      <c r="PM130" s="164">
        <f>IF($OG130=2,3*$PF130&amp;" de vida temp.",IF($OG130=3,"sem dano",IF($PF130=0,IF($OG130=1,"sem cura","sem dano"),IF($OG130=1,"cura ","")&amp;$PF130&amp;"d8")))</f>
        <v/>
      </c>
      <c r="PN130" s="164">
        <f>IF($OG130=2,3*$PG130&amp;" de vida temp.",IF($OG130=3,"sem dano",IF($PG130=0,IF($OG130=1,"sem cura","sem dano"),IF($OG130=1,"cura ","")&amp;$PG130&amp;"d8")))</f>
        <v/>
      </c>
      <c r="PO130" s="164">
        <f>IF($OG130=2,3*$PH130&amp;" de vida temp.",IF($OG130=3,"sem dano",IF($PH130=0,IF($OG130=1,"sem cura","sem dano"),IF($OG130=1,"cura ","")&amp;$PH130&amp;"d8")))</f>
        <v/>
      </c>
      <c r="PP130" s="164">
        <f>IF($OG130=2,3*$PI130&amp;" de vida temp.",IF($OG130=3,"sem dano",IF($PI130=0,IF($OG130=1,"sem cura","sem dano"),IF($OG130=1,"cura ","")&amp;$PI130&amp;"d8")))</f>
        <v/>
      </c>
      <c r="PQ130" s="164">
        <f>IF($OG130=2,3*$PJ130&amp;" de vida temp.",IF($OG130=3,"sem dano",IF($PJ130=0,IF($OG130=1,"sem cura","sem dano"),IF($OG130=1,"cura ","")&amp;$PJ130&amp;"d8")))</f>
        <v/>
      </c>
      <c r="PR130" s="164">
        <f>IF($OG130=2,3*$PK130&amp;" de vida temp.",IF($OG130=3,"sem dano",IF($PK130=0,IF($OG130=1,"sem cura","sem dano"),IF($OG130=1,"cura ","")&amp;$PK130&amp;"d8")))</f>
        <v/>
      </c>
      <c r="PS130" s="164">
        <f>IF($OG130=2,3*$PL130&amp;" de vida temp.",IF($OG130=3,"sem dano",IF($PL130=0,IF($OG130=1,"sem cura","sem dano"),IF($OG130=1,"cura ","")&amp;$PL130&amp;"d8")))</f>
        <v/>
      </c>
      <c r="PT130" s="164">
        <f>IF($ND130=0,"",TEXTJOIN(" · ",TRUE,IF($ND130=0,"",TEXTJOIN(" · ",TRUE,IF($ND130=0,"",TEXTJOIN(" · ",TRUE,IF($MQ130&gt;$NE130,"Este lugar abre no nível "&amp;$MQ130,""),IF($MS130&gt;$NF130,"Classe "&amp;$MS130&amp;": o nível "&amp;$NE130&amp;" libera até a "&amp;$NF130,""),IF($NX130=1,"A Forma "&amp;$MU130&amp;" pede "&amp;INDEX('DADOS_FORMAS'!$GA$2:$GA$21,$NJ130)&amp;" aberta",""),IF(AND($MS130=0,$NJ130&gt;0,IF($NJ130=0,0,INDEX('DADOS_FORMAS'!$GJ$2:$GJ$21,$NJ130))=0),$MU130&amp;" não existe na Classe 0",""),IF($NY130=1,"Família Fechada: "&amp;$MX130,""),IF($NZ130=1,"Família Fechada: "&amp;$MY130,""),IF($OA130=1,"Família Fechada: "&amp;$MZ130,""),IF($OB130=1,"Família Fechada: "&amp;$NA130,""),IF(AND($MS130&gt;0,$OU130&gt;INDEX($O$2:$O$8,MAX(1,$MS130))),$OU130&amp;" Melhorias: a Classe "&amp;$MS130&amp;" aceita "&amp;INDEX($O$2:$O$8,MAX(1,$MS130)),""),IF(AND($MS130=0,$OU130&gt;1),"A básica aceita uma Melhoria",""),IF(AND($MS130=0,COUNTIF($NO130:$NR130,"&gt;1")&gt;0),"A básica só aceita Melhoria Leve",""),IF(AND($MS130&gt;0,$OV130&gt;2),$OV130&amp;" Restrições"&amp;IF($OF130=1,", contando a que a Forma "&amp;$MU130&amp;" já traz","")&amp;": o limite é 2",""),IF(AND($MS130=0,COUNTIF($NB130:$NC130,"?*")&gt;1),"A básica aceita uma Restrição Leve",""),IF(AND($MS130=0,COUNTIF($OI130:$OJ130,2)&gt;0),"A básica só aceita Restrição Leve",""),IF(AND($MS130&gt;0,$PC130&lt;0),"Orçamento estourado: faltam "&amp;(-$PC130)&amp;IF($PC130&lt;-1," pontos"," ponto"),""),IF(IFERROR(VLOOKUP(SUBSTITUTE(SUBSTITUTE(SUBSTITUTE($NB130,"~","~~"),"*","~*"),"?","~?"),'DADOS_RESTRICOES'!$M$2:$Q$54,4,FALSE),0)+IFERROR(VLOOKUP(SUBSTITUTE(SUBSTITUTE(SUBSTITUTE($NC130,"~","~~"),"*","~*"),"?","~?"),'DADOS_RESTRICOES'!$M$2:$Q$54,4,FALSE),0)&gt;1,$OK130&amp;" e "&amp;$OL130&amp;" são as duas de frequência",""),IF(AND((COUNTIF($RK130:$RN130,"Rápido")+COUNTIF($OK130:$OL130,"Rápido"))&gt;0,(COUNTIF($MX130:$NA130,"Atrasar")+COUNTIF($OK130:$OL130,"Atrasar"))&gt;0),"Rápido não entra com Atrasar",""),IF(AND((COUNTIF($RK130:$RN130,"Reação")+COUNTIF($OK130:$OL130,"Reação"))&gt;0,(COUNTIF($RK130:$RN130,"Rápido")+COUNTIF($OK130:$OL130,"Rápido"))&gt;0),"Reação não entra com Rápido",""),IF(AND((COUNTIF($RK130:$RN130,"Reação")+COUNTIF($OK130:$OL130,"Reação"))&gt;0,(COUNTIF($RK130:$RN130,"Armado")+COUNTIF($OK130:$OL130,"Armado"))&gt;0),"Reação não entra com Armado",""),IF(AND((COUNTIF($RK130:$RN130,"Reação")+COUNTIF($OK130:$OL130,"Reação"))&gt;0,(COUNTIF($MX130:$NA130,"Atrasar")+COUNTIF($OK130:$OL130,"Atrasar"))&gt;0),"Reação não entra com Atrasar",""),IF(AND((COUNTIF($RK130:$RN130,"Reação")+COUNTIF($OK130:$OL130,"Reação"))&gt;0,(COUNTIF($MX130:$NA130,"Parado")+COUNTIF($OK130:$OL130,"Parado"))&gt;0),"Reação não entra com Parado",""),IF(AND((COUNTIF($MX130:$NA130,"Atrasar")+COUNTIF($OK130:$OL130,"Atrasar"))&gt;0,(COUNTIF($MX130:$NA130,"Parado")+COUNTIF($OK130:$OL130,"Parado"))&gt;0),"Atrasar não entra com Parado",""),IF(AND((COUNTIF($RK130:$RN130,"Armado")+COUNTIF($OK130:$OL130,"Armado"))&gt;0,(COUNTIF($MX130:$NA130,"Carregar")+COUNTIF($OK130:$OL130,"Carregar"))&gt;0),"Armado não entra com Carregar",""),IF(AND(COUNTIF($OK130:$OL130,"Corpo a Corpo")&gt;0,$OF130=0,OR($RO130="Cone",$RO130="Linha")),"Corpo a Corpo não entra em "&amp;$MU130,""),IF(AND(COUNTIF($OK130:$OL130,"Corpo a Corpo")&gt;0,$RP130="Corpo a Corpo"),"A Forma "&amp;$MU130&amp;" já traz o Corpo a Corpo",""),IF(AND(COUNTIF($OK130:$OL130,"Tudo ou Nada")&gt;0,$OH130=0),"Tudo ou Nada só entra em habilidade de Teste de Resistência",""),IF(AND(COUNTIF($RK130:$RN130,"Inescapável")&gt;0,OR($OU130&gt;1,$OV130&gt;0)),"Inescapável não aceita outra peça",""),IF(AND($MS130&gt;0,$PD130*IF(COUNTIF($RK130:$RN130,"Remate")&gt;0,1.25,1)+$PE130&gt;4*$MS130),($PD130*IF(COUNTIF($RK130:$RN130,"Remate")&gt;0,1.25,1)+$PE130)&amp;" dados somando repetições"&amp;IF(COUNTIF($RK130:$RN130,"Remate")&gt;0," e o Remate","")&amp;": o teto da Classe "&amp;$MS130&amp;" é "&amp;4*$MS130,""))),IF(AND($MX130&lt;&gt;"",COUNTIF('DADOS_MELHORIAS'!$O$2:$O$113,SUBSTITUTE(SUBSTITUTE(SUBSTITUTE($MX130,"~","~~"),"*","~*"),"?","~?"))=0),"Melhoria não cadastrada ou com erro: "&amp;$MX130,""),IF(AND($MY130&lt;&gt;"",COUNTIF('DADOS_MELHORIAS'!$O$2:$O$113,SUBSTITUTE(SUBSTITUTE(SUBSTITUTE($MY130,"~","~~"),"*","~*"),"?","~?"))=0),"Melhoria não cadastrada ou com erro: "&amp;$MY130,""),IF(AND($MZ130&lt;&gt;"",COUNTIF('DADOS_MELHORIAS'!$O$2:$O$113,SUBSTITUTE(SUBSTITUTE(SUBSTITUTE($MZ130,"~","~~"),"*","~*"),"?","~?"))=0),"Melhoria não cadastrada ou com erro: "&amp;$MZ130,""),IF(AND($NA130&lt;&gt;"",COUNTIF('DADOS_MELHORIAS'!$O$2:$O$113,SUBSTITUTE(SUBSTITUTE(SUBSTITUTE($NA130,"~","~~"),"*","~*"),"?","~?"))=0),"Melhoria não cadastrada ou com erro: "&amp;$NA130,""),IF(AND($NB130&lt;&gt;"",COUNTIF('DADOS_RESTRICOES'!$M$2:$M$54,SUBSTITUTE(SUBSTITUTE(SUBSTITUTE($NB130,"~","~~"),"*","~*"),"?","~?"))=0),"Restrição não cadastrada ou com erro: "&amp;$NB130,""),IF(AND($NC130&lt;&gt;"",COUNTIF('DADOS_RESTRICOES'!$M$2:$M$54,SUBSTITUTE(SUBSTITUTE(SUBSTITUTE($NC130,"~","~~"),"*","~*"),"?","~?"))=0),"Restrição não cadastrada ou com erro: "&amp;$NC130,""))),IF(AND($MU130&lt;&gt;"",COUNTIF('DADOS_FORMAS'!$AH$2:$AH$21,SUBSTITUTE(SUBSTITUTE(SUBSTITUTE($MU130,"~","~~"),"*","~*"),"?","~?"))=0),"Forma não cadastrada ou com erro: "&amp;$MU130,""),IF(AND(IFERROR(INDEX('DADOS_FORMAS'!$AS$2:$AS$21,MATCH(SUBSTITUTE(SUBSTITUTE(SUBSTITUTE($MU130,"~","~~"),"*","~*"),"?","~?"),'DADOS_FORMAS'!$AH$2:$AH$21,0)),"")&lt;&gt;"",OR(IFERROR(VLOOKUP(SUBSTITUTE(SUBSTITUTE(SUBSTITUTE(IFERROR(INDEX('DADOS_FORMAS'!$AS$2:$AS$21,MATCH(SUBSTITUTE(SUBSTITUTE(SUBSTITUTE($MU130,"~","~~"),"*","~*"),"?","~?"),'DADOS_FORMAS'!$AH$2:$AH$21,0)),""),"~","~~"),"*","~*"),"?","~?"),'DADOS_RESTRICOES'!$M$2:$Q$54,2,FALSE),"")=$OK130,IFERROR(VLOOKUP(SUBSTITUTE(SUBSTITUTE(SUBSTITUTE(IFERROR(INDEX('DADOS_FORMAS'!$AS$2:$AS$21,MATCH(SUBSTITUTE(SUBSTITUTE(SUBSTITUTE($MU130,"~","~~"),"*","~*"),"?","~?"),'DADOS_FORMAS'!$AH$2:$AH$21,0)),""),"~","~~"),"*","~*"),"?","~?"),'DADOS_RESTRICOES'!$M$2:$Q$54,2,FALSE),"")=$OL130)),"Restrição repetida, contando a embutida",""),IF(IF(IFERROR(INDEX('DADOS_FORMAS'!$AS$2:$AS$21,MATCH(SUBSTITUTE(SUBSTITUTE(SUBSTITUTE($MU130,"~","~~"),"*","~*"),"?","~?"),'DADOS_FORMAS'!$AH$2:$AH$21,0)),"")="",0,IFERROR(N(VLOOKUP(SUBSTITUTE(SUBSTITUTE(SUBSTITUTE(IFERROR(INDEX('DADOS_FORMAS'!$AS$2:$AS$21,MATCH(SUBSTITUTE(SUBSTITUTE(SUBSTITUTE($MU130,"~","~~"),"*","~*"),"?","~?"),'DADOS_FORMAS'!$AH$2:$AH$21,0)),""),"~","~~"),"*","~*"),"?","~?"),'DADOS_RESTRICOES'!$M$2:$Q$54,4,FALSE)=1),0))+IF($NB130="",0,IFERROR(N(VLOOKUP(SUBSTITUTE(SUBSTITUTE(SUBSTITUTE($NB130,"~","~~"),"*","~*"),"?","~?"),'DADOS_RESTRICOES'!$M$2:$Q$54,4,FALSE)=1),0))+IF($NC130="",0,IFERROR(N(VLOOKUP(SUBSTITUTE(SUBSTITUTE(SUBSTITUTE($NC130,"~","~~"),"*","~*"),"?","~?"),'DADOS_RESTRICOES'!$M$2:$Q$54,4,FALSE)=1),0))&gt;1,"Duas Restrições de frequência, contando a embutida",""),IF(AND(IFERROR(VLOOKUP(SUBSTITUTE(SUBSTITUTE(SUBSTITUTE(IFERROR(INDEX('DADOS_FORMAS'!$AS$2:$AS$21,MATCH(SUBSTITUTE(SUBSTITUTE(SUBSTITUTE($MU130,"~","~~"),"*","~*"),"?","~?"),'DADOS_FORMAS'!$AH$2:$AH$21,0)),""),"~","~~"),"*","~*"),"?","~?"),'DADOS_RESTRICOES'!$M$2:$Q$54,2,FALSE),"")="Tudo ou Nada",$OH130=0),"Tudo ou Nada exige TR",""),IF(AND(IFERROR(VLOOKUP(SUBSTITUTE(SUBSTITUTE(SUBSTITUTE(IFERROR(INDEX('DADOS_FORMAS'!$AS$2:$AS$21,MATCH(SUBSTITUTE(SUBSTITUTE(SUBSTITUTE($MU130,"~","~~"),"*","~*"),"?","~?"),'DADOS_FORMAS'!$AH$2:$AH$21,0)),""),"~","~~"),"*","~*"),"?","~?"),'DADOS_RESTRICOES'!$M$2:$Q$54,2,FALSE),"")="Corpo a Corpo",OR($RO130="Cone",$RO130="Linha")),"Corpo a Corpo não entra em Cone/Linha","")))</f>
        <v/>
      </c>
      <c r="PU130" s="164">
        <f>IF($PT130="",0,(LEN($PT130)-LEN(SUBSTITUTE($PT130," · ","")))/3+1)</f>
        <v/>
      </c>
      <c r="PV130" s="164">
        <f>IF($ND130=0,"",TEXTJOIN(" · ",TRUE,IF($OX130&gt;2*$MS130,"A devolução parou no teto de "&amp;2*$MS130,""),IF($PA130&gt;0,"Devolução perdida: "&amp;$PA130&amp;IF($PA130&gt;1," pontos"," ponto")&amp;" sem Melhoria para pagar",""),IF(AND($OC130&gt;0,AND($MS130&gt;0,$OG130=0),$PD130=0),"Controle sem dano: uma rodada a mais e CD +2",""),IF(AND($OC130&gt;0,AND($MS130&gt;0,$OG130=0),$PD130&gt;0,$PD130&lt;=$MS130),"Controle com saldo até a Classe: uma rodada a mais",""),IF(AND($MS130&gt;0,$OE130&lt;&gt;""),"Efeito de "&amp;$OE130&amp;" pela Classe "&amp;MAX(1,$MS130-1),"")))</f>
        <v/>
      </c>
      <c r="PW130" s="164">
        <f>IF($PV130="",0,(LEN($PV130)-LEN(SUBSTITUTE($PV130," · ","")))/3+1)</f>
        <v/>
      </c>
      <c r="PX130" s="164">
        <f>IF($ND130=0,IF($OU130+COUNTIF($NB130:$NC130,"?*")&gt;0,"Dê um nome",""),IF($PU130&gt;0,"⚠ "&amp;$PU130&amp;IF($PU130&gt;1," erros"," erro"),IF($PW130&gt;0,"! "&amp;$PW130&amp;IF($PW130&gt;1," avisos"," aviso"),"Na regra")))</f>
        <v/>
      </c>
      <c r="PY130" s="164">
        <f>IF($ND130=0,"",IF($PU130+$PW130=0,"Dentro das regras que a ficha confere",$PT130&amp;IF(AND($PU130&gt;0,$PW130&gt;0)," · ","")&amp;$PV130))</f>
        <v/>
      </c>
      <c r="PZ130" s="164">
        <f>IF($MQ130&gt;$NE130,$MR130&amp;" · ABRE NO NÍVEL "&amp;$MQ130,$MR130)</f>
        <v/>
      </c>
      <c r="QA130" s="164">
        <f>IF($ND130=0,"",IF($MS130=0,"Sem PE",3*$MS130&amp;" PE"))</f>
        <v/>
      </c>
      <c r="QB130" s="164">
        <f>IF($ND130=0,"",IF($MS130=0,"A atuação básica dela",IF(COUNTIF($RQ130:$RS130,"Atrasar")&gt;0,"Sua Ação Completa",IF(COUNTIF($RK130:$RN130,"Rápido")&gt;0,"Sua Bônus",IF(COUNTIF($RK130:$RN130,"Reação")&gt;0,"Sua Reação","Sua Padrão")))&amp;" + a básica dela"&amp;IF(COUNTIF($RK130:$RN130,"Reação")&gt;0," e a coletiva","")&amp;IF(COUNTIF($RQ130:$RS130,"Carregar")&gt;0," · em dois turnos","")))</f>
        <v/>
      </c>
      <c r="QC130" s="164">
        <f>IF($MW130&lt;&gt;"",$MW130,IF($NJ130=0,"",INDEX('DADOS_FORMAS'!$GE$2:$GE$21,$NJ130)))</f>
        <v/>
      </c>
      <c r="QD130" s="164">
        <f>IF(OR($ND130=0,$NJ130=0),"",IF(COUNTIF($RK130:$RN130,"Inescapável")&gt;0,"Automático",IF($QC130="Ataque",IF($NH130="","Ataque","Ataque "&amp;IF(($NH130+2*IF(COUNTIF($RK130:$RN130,"Precisão")&gt;0,1,0))&gt;=0,"+","−")&amp;ABS(($NH130+2*IF(COUNTIF($RK130:$RN130,"Precisão")&gt;0,1,0))))&amp;IF($OD130&gt;0," · TR"&amp;IF($NI130="",""," CD "&amp;$NI130),""),IF(LEFT($QC130,2)="TR",$QC130&amp;IF($NI130="",""," · CD "&amp;$NI130)&amp;IF(COUNTIF($RK130:$RN130,"Certeiro")&gt;0," · metade",""),"Sem rolagem"))))</f>
        <v/>
      </c>
      <c r="QE130" s="164">
        <f>IF(OR($ND130=0,$NJ130=0),"",IF($MS130=0,IF(OR($OG130&gt;=1,$PD130=0),"Sem dano",$PD130&amp;"d6"&amp;IF($MV130="",""," "&amp;$MV130)),IF(OR($OG130&gt;=1,$PD130=0),UPPER(LEFT(INDEX($PM130:$PS130,1,MAX(1,$MS130)),1))&amp;MID(INDEX($PM130:$PS130,1,MAX(1,$MS130)),2,99),UPPER(LEFT(INDEX($PM130:$PS130,1,MAX(1,$MS130)),1))&amp;MID(INDEX($PM130:$PS130,1,MAX(1,$MS130)),2,99)&amp;IF($MV130="",""," "&amp;$MV130)&amp;IF($PE130&gt;0," · +"&amp;$PE130&amp;"d8",""))))</f>
        <v/>
      </c>
      <c r="QF130" s="164">
        <f>COUNTIF($RK130:$RN130,"Longe")+3*COUNTIF($RK130:$RN130,"Muito Longe")</f>
        <v/>
      </c>
      <c r="QG130" s="164">
        <f>COUNTIF($RK130:$RN130,"Maior")+3*COUNTIF($RK130:$RN130,"Muito Maior")</f>
        <v/>
      </c>
      <c r="QH130" s="164">
        <f>IF($NJ130=0,0,CHOOSE(1+INDEX('DADOS_FORMAS'!$GG$2:$GG$21,$NJ130),0,$QF130,$QG130,$QF130+$QG130))</f>
        <v/>
      </c>
      <c r="QI130" s="164">
        <f>IF($NJ130=0,0,CHOOSE(1+INDEX('DADOS_FORMAS'!$GH$2:$GH$21,$NJ130),0,$QF130,$QG130,$QF130+$QG130))</f>
        <v/>
      </c>
      <c r="QJ130" s="164">
        <f>IF(OR($ND130=0,$NJ130=0),"",INDEX('DADOS_FORMAS'!$HU$2:$HZ$81,($NJ130-1)*4+IF($MS130=0,1,IF($MS130&lt;=5,2,IF($MS130=6,3,4))),1+MIN(5,$QH130))&amp;INDEX('DADOS_FORMAS'!$IA$2:$IF$81,($NJ130-1)*4+IF($MS130=0,1,IF($MS130&lt;=5,2,IF($MS130=6,3,4))),1+MIN(5,$QI130))&amp;IF(INDEX('DADOS_FORMAS'!$GI$2:$GI$21,$NJ130)=1,IF(COUNTIF($RK130:$RN130,"Mais Um")&gt;0," · +"&amp;COUNTIF($RK130:$RN130,"Mais Um")&amp;IF(COUNTIF($RK130:$RN130,"Mais Um")&gt;1," alvos"," alvo"),"")&amp;IF(COUNTIF($RK130:$RN130,"Rajada")&gt;0,IF($MS130=0," · 1 tiro"," · "&amp;(MAX(1,$MS130-1)+1)&amp;" tiros"),""),""))</f>
        <v/>
      </c>
      <c r="QK130" s="164">
        <f>IF($ND130=0,"",IF($MS130=0,$NG130&amp;"d6"&amp;IF($OU130&gt;0," − 1 = "&amp;$PD130&amp;"d6"," da básica do nível "&amp;$NE130),$PB130&amp;" − "&amp;$OW130&amp;" + "&amp;$OZ130&amp;" = "&amp;$PC130&amp;" · teto "&amp;4*$MS130&amp;"d8"&amp;IF($OF130=1," · a Forma devolve "&amp;$MS130,"")&amp;IF($PA130&gt;0," · perde "&amp;$PA130,"")))</f>
        <v/>
      </c>
      <c r="QL130" s="164">
        <f>IF($ND130=0,"",IF($MS130=0,"A básica não amplia: os dados dela sobem com o nível",IF($MS130&gt;=$NF130,"Já está na maior Classe que o nível liberou",TEXTJOIN(" · ",TRUE,IF(AND(2&gt;$MS130,2&lt;=$NF130),"2 → "&amp;$PN130&amp;", 6 PE",""),IF(AND(3&gt;$MS130,3&lt;=$NF130),"3 → "&amp;$PO130&amp;", 9 PE",""),IF(AND(4&gt;$MS130,4&lt;=$NF130),"4 → "&amp;$PP130&amp;", 12 PE",""),IF(AND(5&gt;$MS130,5&lt;=$NF130),"5 → "&amp;$PQ130&amp;", 15 PE",""),IF(AND(6&gt;$MS130,6&lt;=$NF130),"6 → "&amp;$PR130&amp;", 18 PE",""),IF(AND(7&gt;$MS130,7&lt;=$NF130),"7 → "&amp;$PS130&amp;", 21 PE","")))))</f>
        <v/>
      </c>
      <c r="QM130" s="164">
        <f>IF(OR($ND130=0,$NO130=0),"",IF($MS130=0,"−1 dado","−"&amp;INDEX($I$2:$N$8,MAX(1,$MS130),MAX(1,$NT130))&amp;" · "&amp;CHOOSE(MAX(1,$NT130),"Leve","Média","Pesada","Leve · Livre","Média · Livre","Pesada · Livre")))</f>
        <v/>
      </c>
      <c r="QN130" s="164">
        <f>IF(OR($ND130=0,$NP130=0),"",IF($MS130=0,"−1 dado","−"&amp;INDEX($I$2:$N$8,MAX(1,$MS130),MAX(1,$NU130))&amp;" · "&amp;CHOOSE(MAX(1,$NU130),"Leve","Média","Pesada","Leve · Livre","Média · Livre","Pesada · Livre")))</f>
        <v/>
      </c>
      <c r="QO130" s="164">
        <f>IF(OR($ND130=0,$NQ130=0),"",IF($MS130=0,"−1 dado","−"&amp;INDEX($I$2:$N$8,MAX(1,$MS130),MAX(1,$NV130))&amp;" · "&amp;CHOOSE(MAX(1,$NV130),"Leve","Média","Pesada","Leve · Livre","Média · Livre","Pesada · Livre")))</f>
        <v/>
      </c>
      <c r="QP130" s="164">
        <f>IF(OR($ND130=0,$NR130=0),"",IF($MS130=0,"−1 dado","−"&amp;INDEX($I$2:$N$8,MAX(1,$MS130),MAX(1,$NW130))&amp;" · "&amp;CHOOSE(MAX(1,$NW130),"Leve","Média","Pesada","Leve · Livre","Média · Livre","Pesada · Livre")))</f>
        <v/>
      </c>
      <c r="QQ130" s="164">
        <f>IF(OR($ND130=0,$NB130=""),"",IF($MS130=0,"não devolve","+"&amp;IF($OI130=1,CEILING($MS130/2,1),$MS130)))</f>
        <v/>
      </c>
      <c r="QR130" s="164">
        <f>IF(OR($ND130=0,$NC130=""),"",IF($MS130=0,"não devolve","+"&amp;IF($OJ130=1,CEILING($MS130/2,1),$MS130)))</f>
        <v/>
      </c>
      <c r="RK130">
        <f>IF($MX130="","",IFERROR(VLOOKUP(SUBSTITUTE(SUBSTITUTE(SUBSTITUTE($MX130,"~","~~"),"*","~*"),"?","~?"),'DADOS_MELHORIAS'!$O$2:$X$113,10,FALSE),$MX130))</f>
        <v/>
      </c>
      <c r="RL130">
        <f>IF($MY130="","",IFERROR(VLOOKUP(SUBSTITUTE(SUBSTITUTE(SUBSTITUTE($MY130,"~","~~"),"*","~*"),"?","~?"),'DADOS_MELHORIAS'!$O$2:$X$113,10,FALSE),$MY130))</f>
        <v/>
      </c>
      <c r="RM130">
        <f>IF($MZ130="","",IFERROR(VLOOKUP(SUBSTITUTE(SUBSTITUTE(SUBSTITUTE($MZ130,"~","~~"),"*","~*"),"?","~?"),'DADOS_MELHORIAS'!$O$2:$X$113,10,FALSE),$MZ130))</f>
        <v/>
      </c>
      <c r="RN130">
        <f>IF($NA130="","",IFERROR(VLOOKUP(SUBSTITUTE(SUBSTITUTE(SUBSTITUTE($NA130,"~","~~"),"*","~*"),"?","~?"),'DADOS_MELHORIAS'!$O$2:$X$113,10,FALSE),$NA130))</f>
        <v/>
      </c>
      <c r="RO130">
        <f>IFERROR(INDEX('DADOS_FORMAS'!$BJ$2:$BJ$21,MATCH(SUBSTITUTE(SUBSTITUTE(SUBSTITUTE($MU130,"~","~~"),"*","~*"),"?","~?"),'DADOS_FORMAS'!$AH$2:$AH$21,0)),"")</f>
        <v/>
      </c>
      <c r="RP130">
        <f>IFERROR(VLOOKUP(SUBSTITUTE(SUBSTITUTE(SUBSTITUTE(IFERROR(INDEX('DADOS_FORMAS'!$AS$2:$AS$21,MATCH(SUBSTITUTE(SUBSTITUTE(SUBSTITUTE($MU130,"~","~~"),"*","~*"),"?","~?"),'DADOS_FORMAS'!$AH$2:$AH$21,0)),""),"~","~~"),"*","~*"),"?","~?"),'DADOS_RESTRICOES'!$M$2:$Q$54,2,FALSE),"")</f>
        <v/>
      </c>
      <c r="RQ130">
        <f>$OK130</f>
        <v/>
      </c>
      <c r="RR130">
        <f>$OL130</f>
        <v/>
      </c>
      <c r="RS130">
        <f>$RP130</f>
        <v/>
      </c>
    </row>
    <row r="131">
      <c r="MN131" s="162" t="inlineStr">
        <is>
          <t>Ficha 10 · Escolha da trilha 3</t>
        </is>
      </c>
      <c r="MO131" s="164" t="n">
        <v>10</v>
      </c>
      <c r="MP131" s="164" t="n">
        <v>2</v>
      </c>
      <c r="MQ131" s="164" t="n">
        <v>0</v>
      </c>
      <c r="MR131" s="162" t="inlineStr">
        <is>
          <t>ESCOLHA DA TRILHA 3</t>
        </is>
      </c>
      <c r="MS131" s="164">
        <f>MAX(0,MIN(7,N('INVOCAÇÕES'!$AN$806)))</f>
        <v/>
      </c>
      <c r="MT131" s="164">
        <f>'INVOCAÇÕES'!$AO$806&amp;""</f>
        <v/>
      </c>
      <c r="MU131" s="164">
        <f>'INVOCAÇÕES'!$AN$811&amp;""</f>
        <v/>
      </c>
      <c r="MV131" s="164">
        <f>'INVOCAÇÕES'!$AN$812&amp;""</f>
        <v/>
      </c>
      <c r="MW131" s="164">
        <f>'INVOCAÇÕES'!$AP$812&amp;""</f>
        <v/>
      </c>
      <c r="MX131" s="164">
        <f>'INVOCAÇÕES'!$AO$815&amp;""</f>
        <v/>
      </c>
      <c r="MY131" s="164">
        <f>'INVOCAÇÕES'!$AO$816&amp;""</f>
        <v/>
      </c>
      <c r="MZ131" s="164">
        <f>'INVOCAÇÕES'!$AO$817&amp;""</f>
        <v/>
      </c>
      <c r="NA131" s="164">
        <f>'INVOCAÇÕES'!$AO$818&amp;""</f>
        <v/>
      </c>
      <c r="NB131" s="164">
        <f>'INVOCAÇÕES'!$AO$819&amp;""</f>
        <v/>
      </c>
      <c r="NC131" s="164">
        <f>'INVOCAÇÕES'!$AO$820&amp;""</f>
        <v/>
      </c>
      <c r="ND131" s="164">
        <f>IF($MT131&lt;&gt;"",1,0)</f>
        <v/>
      </c>
      <c r="NE131" s="164">
        <f>INDEX($FO$2:$FO$13,$MO131)</f>
        <v/>
      </c>
      <c r="NF131" s="164">
        <f>INDEX($FP$2:$FP$13,$MO131)</f>
        <v/>
      </c>
      <c r="NG131" s="164">
        <f>INDEX($FQ$2:$FQ$13,$MO131)</f>
        <v/>
      </c>
      <c r="NH131" s="164">
        <f>INDEX($GB$2:$GB$13,$MO131)</f>
        <v/>
      </c>
      <c r="NI131" s="164">
        <f>INDEX($GC$2:$GC$13,$MO131)</f>
        <v/>
      </c>
      <c r="NJ131" s="164">
        <f>IFERROR(MATCH(SUBSTITUTE(SUBSTITUTE(SUBSTITUTE($MU131,"~","~~"),"*","~*"),"?","~?"),'DADOS_FORMAS'!$FZ$2:$FZ$21,0),0)</f>
        <v/>
      </c>
      <c r="NK131" s="164">
        <f>IFERROR(VLOOKUP(SUBSTITUTE(SUBSTITUTE(SUBSTITUTE($MX131,"~","~~"),"*","~*"),"?","~?"),'DADOS_MELHORIAS'!$AG$2:$AL$113,2,FALSE),"")</f>
        <v/>
      </c>
      <c r="NL131" s="164">
        <f>IFERROR(VLOOKUP(SUBSTITUTE(SUBSTITUTE(SUBSTITUTE($MY131,"~","~~"),"*","~*"),"?","~?"),'DADOS_MELHORIAS'!$AG$2:$AL$113,2,FALSE),"")</f>
        <v/>
      </c>
      <c r="NM131" s="164">
        <f>IFERROR(VLOOKUP(SUBSTITUTE(SUBSTITUTE(SUBSTITUTE($MZ131,"~","~~"),"*","~*"),"?","~?"),'DADOS_MELHORIAS'!$AG$2:$AL$113,2,FALSE),"")</f>
        <v/>
      </c>
      <c r="NN131" s="164">
        <f>IFERROR(VLOOKUP(SUBSTITUTE(SUBSTITUTE(SUBSTITUTE($NA131,"~","~~"),"*","~*"),"?","~?"),'DADOS_MELHORIAS'!$AG$2:$AL$113,2,FALSE),"")</f>
        <v/>
      </c>
      <c r="NO131" s="164">
        <f>IFERROR(VLOOKUP(SUBSTITUTE(SUBSTITUTE(SUBSTITUTE($MX131,"~","~~"),"*","~*"),"?","~?"),'DADOS_MELHORIAS'!$AG$2:$AL$113,3,FALSE),0)</f>
        <v/>
      </c>
      <c r="NP131" s="164">
        <f>IFERROR(VLOOKUP(SUBSTITUTE(SUBSTITUTE(SUBSTITUTE($MY131,"~","~~"),"*","~*"),"?","~?"),'DADOS_MELHORIAS'!$AG$2:$AL$113,3,FALSE),0)</f>
        <v/>
      </c>
      <c r="NQ131" s="164">
        <f>IFERROR(VLOOKUP(SUBSTITUTE(SUBSTITUTE(SUBSTITUTE($MZ131,"~","~~"),"*","~*"),"?","~?"),'DADOS_MELHORIAS'!$AG$2:$AL$113,3,FALSE),0)</f>
        <v/>
      </c>
      <c r="NR131" s="164">
        <f>IFERROR(VLOOKUP(SUBSTITUTE(SUBSTITUTE(SUBSTITUTE($NA131,"~","~~"),"*","~*"),"?","~?"),'DADOS_MELHORIAS'!$AG$2:$AL$113,3,FALSE),0)</f>
        <v/>
      </c>
      <c r="NS131" s="164">
        <f>IF($MS131=0,0,IF($NJ131=0,0,INDEX('DADOS_FORMAS'!$GB$2:$GB$21,$NJ131)))</f>
        <v/>
      </c>
      <c r="NT131" s="164">
        <f>IF(OR($NO131=0,$MS131=0),0,$NO131+3*IF(AND($NK131&lt;&gt;"",COUNTIF(INDEX($RB$2:$RJ$13,$MO131,0),$NK131)&gt;0),1,0))</f>
        <v/>
      </c>
      <c r="NU131" s="164">
        <f>IF(OR($NP131=0,$MS131=0),0,$NP131+3*IF(AND($NL131&lt;&gt;"",COUNTIF(INDEX($RB$2:$RJ$13,$MO131,0),$NL131)&gt;0),1,0))</f>
        <v/>
      </c>
      <c r="NV131" s="164">
        <f>IF(OR($NQ131=0,$MS131=0),0,$NQ131+3*IF(AND($NM131&lt;&gt;"",COUNTIF(INDEX($RB$2:$RJ$13,$MO131,0),$NM131)&gt;0),1,0))</f>
        <v/>
      </c>
      <c r="NW131" s="164">
        <f>IF(OR($NR131=0,$MS131=0),0,$NR131+3*IF(AND($NN131&lt;&gt;"",COUNTIF(INDEX($RB$2:$RJ$13,$MO131,0),$NN131)&gt;0),1,0))</f>
        <v/>
      </c>
      <c r="NX131" s="164">
        <f>IF($NJ131=0,0,IF(INDEX('DADOS_FORMAS'!$GA$2:$GA$21,$NJ131)="",0,IF((COUNTIF(INDEX($EL$2:$EP$13,$MO131,0),INDEX('DADOS_FORMAS'!$GA$2:$GA$21,$NJ131))+COUNTIF(INDEX($QV$2:$QY$13,$MO131,0),INDEX('DADOS_FORMAS'!$GA$2:$GA$21,$NJ131)))=0,1,0)))</f>
        <v/>
      </c>
      <c r="NY131" s="164">
        <f>IF(OR($NO131=0,$NK131=""),0,IF((COUNTIF(INDEX($EL$2:$EP$13,$MO131,0),$NK131)+COUNTIF(INDEX($QV$2:$QY$13,$MO131,0),$NK131))=0,1,0))</f>
        <v/>
      </c>
      <c r="NZ131" s="164">
        <f>IF(OR($NP131=0,$NL131=""),0,IF((COUNTIF(INDEX($EL$2:$EP$13,$MO131,0),$NL131)+COUNTIF(INDEX($QV$2:$QY$13,$MO131,0),$NL131))=0,1,0))</f>
        <v/>
      </c>
      <c r="OA131" s="164">
        <f>IF(OR($NQ131=0,$NM131=""),0,IF((COUNTIF(INDEX($EL$2:$EP$13,$MO131,0),$NM131)+COUNTIF(INDEX($QV$2:$QY$13,$MO131,0),$NM131))=0,1,0))</f>
        <v/>
      </c>
      <c r="OB131" s="164">
        <f>IF(OR($NR131=0,$NN131=""),0,IF((COUNTIF(INDEX($EL$2:$EP$13,$MO131,0),$NN131)+COUNTIF(INDEX($QV$2:$QY$13,$MO131,0),$NN131))=0,1,0))</f>
        <v/>
      </c>
      <c r="OC131" s="164">
        <f>IFERROR(VLOOKUP(SUBSTITUTE(SUBSTITUTE(SUBSTITUTE($MX131,"~","~~"),"*","~*"),"?","~?"),'DADOS_MELHORIAS'!$AG$2:$AL$113,4,FALSE),0)+IFERROR(VLOOKUP(SUBSTITUTE(SUBSTITUTE(SUBSTITUTE($MY131,"~","~~"),"*","~*"),"?","~?"),'DADOS_MELHORIAS'!$AG$2:$AL$113,4,FALSE),0)+IFERROR(VLOOKUP(SUBSTITUTE(SUBSTITUTE(SUBSTITUTE($MZ131,"~","~~"),"*","~*"),"?","~?"),'DADOS_MELHORIAS'!$AG$2:$AL$113,4,FALSE),0)+IFERROR(VLOOKUP(SUBSTITUTE(SUBSTITUTE(SUBSTITUTE($NA131,"~","~~"),"*","~*"),"?","~?"),'DADOS_MELHORIAS'!$AG$2:$AL$113,4,FALSE),0)</f>
        <v/>
      </c>
      <c r="OD131" s="164">
        <f>IFERROR(VLOOKUP(SUBSTITUTE(SUBSTITUTE(SUBSTITUTE($MX131,"~","~~"),"*","~*"),"?","~?"),'DADOS_MELHORIAS'!$AG$2:$AL$113,6,FALSE),0)+IFERROR(VLOOKUP(SUBSTITUTE(SUBSTITUTE(SUBSTITUTE($MY131,"~","~~"),"*","~*"),"?","~?"),'DADOS_MELHORIAS'!$AG$2:$AL$113,6,FALSE),0)+IFERROR(VLOOKUP(SUBSTITUTE(SUBSTITUTE(SUBSTITUTE($MZ131,"~","~~"),"*","~*"),"?","~?"),'DADOS_MELHORIAS'!$AG$2:$AL$113,6,FALSE),0)+IFERROR(VLOOKUP(SUBSTITUTE(SUBSTITUTE(SUBSTITUTE($NA131,"~","~~"),"*","~*"),"?","~?"),'DADOS_MELHORIAS'!$AG$2:$AL$113,6,FALSE),0)+IFERROR(N(AND(INDEX('DADOS_FORMAS'!$AO$2:$AO$21,MATCH(SUBSTITUTE(SUBSTITUTE(SUBSTITUTE($MU131,"~","~~"),"*","~*"),"?","~?"),'DADOS_FORMAS'!$AH$2:$AH$21,0))="Acerto",$OH131=1)),0)</f>
        <v/>
      </c>
      <c r="OE131" s="164">
        <f>TEXTJOIN(", ",TRUE,IF(IFERROR(VLOOKUP(SUBSTITUTE(SUBSTITUTE(SUBSTITUTE($MX131,"~","~~"),"*","~*"),"?","~?"),'DADOS_MELHORIAS'!$AG$2:$AL$113,5,FALSE),0)=1,$MX131,""),IF(IFERROR(VLOOKUP(SUBSTITUTE(SUBSTITUTE(SUBSTITUTE($MY131,"~","~~"),"*","~*"),"?","~?"),'DADOS_MELHORIAS'!$AG$2:$AL$113,5,FALSE),0)=1,$MY131,""),IF(IFERROR(VLOOKUP(SUBSTITUTE(SUBSTITUTE(SUBSTITUTE($MZ131,"~","~~"),"*","~*"),"?","~?"),'DADOS_MELHORIAS'!$AG$2:$AL$113,5,FALSE),0)=1,$MZ131,""),IF(IFERROR(VLOOKUP(SUBSTITUTE(SUBSTITUTE(SUBSTITUTE($NA131,"~","~~"),"*","~*"),"?","~?"),'DADOS_MELHORIAS'!$AG$2:$AL$113,5,FALSE),0)=1,$NA131,""))</f>
        <v/>
      </c>
      <c r="OF131" s="164">
        <f>IF($NJ131=0,0,INDEX('DADOS_FORMAS'!$GC$2:$GC$21,$NJ131))</f>
        <v/>
      </c>
      <c r="OG131" s="164">
        <f>IF($NJ131=0,0,INDEX('DADOS_FORMAS'!$GD$2:$GD$21,$NJ131))</f>
        <v/>
      </c>
      <c r="OH131" s="164">
        <f>IF($NJ131=0,0,INDEX('DADOS_FORMAS'!$GF$2:$GF$21,$NJ131))</f>
        <v/>
      </c>
      <c r="OI131" s="164">
        <f>IFERROR(VLOOKUP(SUBSTITUTE(SUBSTITUTE(SUBSTITUTE($NB131,"~","~~"),"*","~*"),"?","~?"),'DADOS_RESTRICOES'!$M$2:$Q$54,3,FALSE),0)</f>
        <v/>
      </c>
      <c r="OJ131" s="164">
        <f>IFERROR(VLOOKUP(SUBSTITUTE(SUBSTITUTE(SUBSTITUTE($NC131,"~","~~"),"*","~*"),"?","~?"),'DADOS_RESTRICOES'!$M$2:$Q$54,3,FALSE),0)</f>
        <v/>
      </c>
      <c r="OK131" s="164">
        <f>IFERROR(VLOOKUP(SUBSTITUTE(SUBSTITUTE(SUBSTITUTE($NB131,"~","~~"),"*","~*"),"?","~?"),'DADOS_RESTRICOES'!$M$2:$Q$54,2,FALSE),"")</f>
        <v/>
      </c>
      <c r="OL131" s="164">
        <f>IFERROR(VLOOKUP(SUBSTITUTE(SUBSTITUTE(SUBSTITUTE($NC131,"~","~~"),"*","~*"),"?","~?"),'DADOS_RESTRICOES'!$M$2:$Q$54,2,FALSE),"")</f>
        <v/>
      </c>
      <c r="OM131" s="164">
        <f>COUNTIF($NS131:$NW131,1)</f>
        <v/>
      </c>
      <c r="ON131" s="164">
        <f>COUNTIF($NS131:$NW131,2)</f>
        <v/>
      </c>
      <c r="OO131" s="164">
        <f>COUNTIF($NS131:$NW131,3)</f>
        <v/>
      </c>
      <c r="OP131" s="164">
        <f>COUNTIF($NS131:$NW131,4)</f>
        <v/>
      </c>
      <c r="OQ131" s="164">
        <f>COUNTIF($NS131:$NW131,5)</f>
        <v/>
      </c>
      <c r="OR131" s="164">
        <f>COUNTIF($NS131:$NW131,6)</f>
        <v/>
      </c>
      <c r="OS131" s="164">
        <f>COUNTIF($OI131:$OJ131,1)+IF(IFERROR(INDEX('DADOS_FORMAS'!$AS$2:$AS$21,MATCH(SUBSTITUTE(SUBSTITUTE(SUBSTITUTE($MU131,"~","~~"),"*","~*"),"?","~?"),'DADOS_FORMAS'!$AH$2:$AH$21,0)),"")="",0,IFERROR(N(VLOOKUP(SUBSTITUTE(SUBSTITUTE(SUBSTITUTE(IFERROR(INDEX('DADOS_FORMAS'!$AS$2:$AS$21,MATCH(SUBSTITUTE(SUBSTITUTE(SUBSTITUTE($MU131,"~","~~"),"*","~*"),"?","~?"),'DADOS_FORMAS'!$AH$2:$AH$21,0)),""),"~","~~"),"*","~*"),"?","~?"),'DADOS_RESTRICOES'!$M$2:$Q$54,3,FALSE)=1),0))</f>
        <v/>
      </c>
      <c r="OT131" s="164">
        <f>COUNTIF($OI131:$OJ131,2)+IF(IFERROR(INDEX('DADOS_FORMAS'!$AS$2:$AS$21,MATCH(SUBSTITUTE(SUBSTITUTE(SUBSTITUTE($MU131,"~","~~"),"*","~*"),"?","~?"),'DADOS_FORMAS'!$AH$2:$AH$21,0)),"")="",0,IFERROR(N(VLOOKUP(SUBSTITUTE(SUBSTITUTE(SUBSTITUTE(IFERROR(INDEX('DADOS_FORMAS'!$AS$2:$AS$21,MATCH(SUBSTITUTE(SUBSTITUTE(SUBSTITUTE($MU131,"~","~~"),"*","~*"),"?","~?"),'DADOS_FORMAS'!$AH$2:$AH$21,0)),""),"~","~~"),"*","~*"),"?","~?"),'DADOS_RESTRICOES'!$M$2:$Q$54,3,FALSE)=2),0))</f>
        <v/>
      </c>
      <c r="OU131" s="164">
        <f>COUNTIF($MX131:$NA131,"?*")</f>
        <v/>
      </c>
      <c r="OV131" s="164">
        <f>COUNTIF($NB131:$NC131,"?*")+$OF131</f>
        <v/>
      </c>
      <c r="OW131" s="164">
        <f>IF($MS131=0,0,SUMPRODUCT($OM131:$OR131,INDEX($I$2:$N$8,MAX(1,$MS131),0)))</f>
        <v/>
      </c>
      <c r="OX131" s="164">
        <f>IF($MS131=0,0,$OS131*CEILING($MS131/2,1)+$OT131*$MS131)</f>
        <v/>
      </c>
      <c r="OY131" s="164">
        <f>MIN(2*$MS131,$OX131)</f>
        <v/>
      </c>
      <c r="OZ131" s="164">
        <f>MIN($OY131,$OW131-IF($NS131=0,0,INDEX($I$2:$N$8,MAX(1,$MS131),$NS131)))</f>
        <v/>
      </c>
      <c r="PA131" s="164">
        <f>$OY131-$OZ131</f>
        <v/>
      </c>
      <c r="PB131" s="164">
        <f>IF($MS131=0,0,INDEX($P$2:$P$8,MAX(1,$MS131)))</f>
        <v/>
      </c>
      <c r="PC131" s="164">
        <f>$PB131-$OW131+$OZ131</f>
        <v/>
      </c>
      <c r="PD131" s="164">
        <f>IF($MS131=0,MAX(0,$NG131-IF(AND($OU131&gt;0,COUNTIF($NB131:$NC131,"?*")=0),1,0)),MAX(0,$PC131))</f>
        <v/>
      </c>
      <c r="PE131" s="164">
        <f>IF($MS131=0,0,(IF(COUNTIF($RK131:$RN131,"Salto")&gt;0,1,0)+IF(COUNTIF($RK131:$RN131,"Queima")&gt;0,1,0)+IF(COUNTIF($RK131:$RN131,"Estilhaço")&gt;0,1,0))*FLOOR($PD131/2,1))</f>
        <v/>
      </c>
      <c r="PF131" s="164">
        <f>MAX(0,2-SUMPRODUCT($OM131:$OR131,$I$2:$N$2)+MIN(2,$OS131*1+$OT131*1,SUMPRODUCT($OM131:$OR131,$I$2:$N$2)-IF($NS131=0,0,INDEX($I$2:$N$2,1,$NS131))))</f>
        <v/>
      </c>
      <c r="PG131" s="164">
        <f>MAX(0,4-SUMPRODUCT($OM131:$OR131,$I$3:$N$3)+MIN(4,$OS131*1+$OT131*2,SUMPRODUCT($OM131:$OR131,$I$3:$N$3)-IF($NS131=0,0,INDEX($I$3:$N$3,1,$NS131))))</f>
        <v/>
      </c>
      <c r="PH131" s="164">
        <f>MAX(0,6-SUMPRODUCT($OM131:$OR131,$I$4:$N$4)+MIN(6,$OS131*2+$OT131*3,SUMPRODUCT($OM131:$OR131,$I$4:$N$4)-IF($NS131=0,0,INDEX($I$4:$N$4,1,$NS131))))</f>
        <v/>
      </c>
      <c r="PI131" s="164">
        <f>MAX(0,9-SUMPRODUCT($OM131:$OR131,$I$5:$N$5)+MIN(8,$OS131*2+$OT131*4,SUMPRODUCT($OM131:$OR131,$I$5:$N$5)-IF($NS131=0,0,INDEX($I$5:$N$5,1,$NS131))))</f>
        <v/>
      </c>
      <c r="PJ131" s="164">
        <f>MAX(0,11-SUMPRODUCT($OM131:$OR131,$I$6:$N$6)+MIN(10,$OS131*3+$OT131*5,SUMPRODUCT($OM131:$OR131,$I$6:$N$6)-IF($NS131=0,0,INDEX($I$6:$N$6,1,$NS131))))</f>
        <v/>
      </c>
      <c r="PK131" s="164">
        <f>MAX(0,13-SUMPRODUCT($OM131:$OR131,$I$7:$N$7)+MIN(12,$OS131*3+$OT131*6,SUMPRODUCT($OM131:$OR131,$I$7:$N$7)-IF($NS131=0,0,INDEX($I$7:$N$7,1,$NS131))))</f>
        <v/>
      </c>
      <c r="PL131" s="164">
        <f>MAX(0,16-SUMPRODUCT($OM131:$OR131,$I$8:$N$8)+MIN(14,$OS131*4+$OT131*7,SUMPRODUCT($OM131:$OR131,$I$8:$N$8)-IF($NS131=0,0,INDEX($I$8:$N$8,1,$NS131))))</f>
        <v/>
      </c>
      <c r="PM131" s="164">
        <f>IF($OG131=2,3*$PF131&amp;" de vida temp.",IF($OG131=3,"sem dano",IF($PF131=0,IF($OG131=1,"sem cura","sem dano"),IF($OG131=1,"cura ","")&amp;$PF131&amp;"d8")))</f>
        <v/>
      </c>
      <c r="PN131" s="164">
        <f>IF($OG131=2,3*$PG131&amp;" de vida temp.",IF($OG131=3,"sem dano",IF($PG131=0,IF($OG131=1,"sem cura","sem dano"),IF($OG131=1,"cura ","")&amp;$PG131&amp;"d8")))</f>
        <v/>
      </c>
      <c r="PO131" s="164">
        <f>IF($OG131=2,3*$PH131&amp;" de vida temp.",IF($OG131=3,"sem dano",IF($PH131=0,IF($OG131=1,"sem cura","sem dano"),IF($OG131=1,"cura ","")&amp;$PH131&amp;"d8")))</f>
        <v/>
      </c>
      <c r="PP131" s="164">
        <f>IF($OG131=2,3*$PI131&amp;" de vida temp.",IF($OG131=3,"sem dano",IF($PI131=0,IF($OG131=1,"sem cura","sem dano"),IF($OG131=1,"cura ","")&amp;$PI131&amp;"d8")))</f>
        <v/>
      </c>
      <c r="PQ131" s="164">
        <f>IF($OG131=2,3*$PJ131&amp;" de vida temp.",IF($OG131=3,"sem dano",IF($PJ131=0,IF($OG131=1,"sem cura","sem dano"),IF($OG131=1,"cura ","")&amp;$PJ131&amp;"d8")))</f>
        <v/>
      </c>
      <c r="PR131" s="164">
        <f>IF($OG131=2,3*$PK131&amp;" de vida temp.",IF($OG131=3,"sem dano",IF($PK131=0,IF($OG131=1,"sem cura","sem dano"),IF($OG131=1,"cura ","")&amp;$PK131&amp;"d8")))</f>
        <v/>
      </c>
      <c r="PS131" s="164">
        <f>IF($OG131=2,3*$PL131&amp;" de vida temp.",IF($OG131=3,"sem dano",IF($PL131=0,IF($OG131=1,"sem cura","sem dano"),IF($OG131=1,"cura ","")&amp;$PL131&amp;"d8")))</f>
        <v/>
      </c>
      <c r="PT131" s="164">
        <f>IF($ND131=0,"",TEXTJOIN(" · ",TRUE,IF($ND131=0,"",TEXTJOIN(" · ",TRUE,IF($ND131=0,"",TEXTJOIN(" · ",TRUE,IF($MQ131&gt;$NE131,"Este lugar abre no nível "&amp;$MQ131,""),IF($MS131&gt;$NF131,"Classe "&amp;$MS131&amp;": o nível "&amp;$NE131&amp;" libera até a "&amp;$NF131,""),IF($NX131=1,"A Forma "&amp;$MU131&amp;" pede "&amp;INDEX('DADOS_FORMAS'!$GA$2:$GA$21,$NJ131)&amp;" aberta",""),IF(AND($MS131=0,$NJ131&gt;0,IF($NJ131=0,0,INDEX('DADOS_FORMAS'!$GJ$2:$GJ$21,$NJ131))=0),$MU131&amp;" não existe na Classe 0",""),IF($NY131=1,"Família Fechada: "&amp;$MX131,""),IF($NZ131=1,"Família Fechada: "&amp;$MY131,""),IF($OA131=1,"Família Fechada: "&amp;$MZ131,""),IF($OB131=1,"Família Fechada: "&amp;$NA131,""),IF(AND($MS131&gt;0,$OU131&gt;INDEX($O$2:$O$8,MAX(1,$MS131))),$OU131&amp;" Melhorias: a Classe "&amp;$MS131&amp;" aceita "&amp;INDEX($O$2:$O$8,MAX(1,$MS131)),""),IF(AND($MS131=0,$OU131&gt;1),"A básica aceita uma Melhoria",""),IF(AND($MS131=0,COUNTIF($NO131:$NR131,"&gt;1")&gt;0),"A básica só aceita Melhoria Leve",""),IF(AND($MS131&gt;0,$OV131&gt;2),$OV131&amp;" Restrições"&amp;IF($OF131=1,", contando a que a Forma "&amp;$MU131&amp;" já traz","")&amp;": o limite é 2",""),IF(AND($MS131=0,COUNTIF($NB131:$NC131,"?*")&gt;1),"A básica aceita uma Restrição Leve",""),IF(AND($MS131=0,COUNTIF($OI131:$OJ131,2)&gt;0),"A básica só aceita Restrição Leve",""),IF(AND($MS131&gt;0,$PC131&lt;0),"Orçamento estourado: faltam "&amp;(-$PC131)&amp;IF($PC131&lt;-1," pontos"," ponto"),""),IF(IFERROR(VLOOKUP(SUBSTITUTE(SUBSTITUTE(SUBSTITUTE($NB131,"~","~~"),"*","~*"),"?","~?"),'DADOS_RESTRICOES'!$M$2:$Q$54,4,FALSE),0)+IFERROR(VLOOKUP(SUBSTITUTE(SUBSTITUTE(SUBSTITUTE($NC131,"~","~~"),"*","~*"),"?","~?"),'DADOS_RESTRICOES'!$M$2:$Q$54,4,FALSE),0)&gt;1,$OK131&amp;" e "&amp;$OL131&amp;" são as duas de frequência",""),IF(AND((COUNTIF($RK131:$RN131,"Rápido")+COUNTIF($OK131:$OL131,"Rápido"))&gt;0,(COUNTIF($MX131:$NA131,"Atrasar")+COUNTIF($OK131:$OL131,"Atrasar"))&gt;0),"Rápido não entra com Atrasar",""),IF(AND((COUNTIF($RK131:$RN131,"Reação")+COUNTIF($OK131:$OL131,"Reação"))&gt;0,(COUNTIF($RK131:$RN131,"Rápido")+COUNTIF($OK131:$OL131,"Rápido"))&gt;0),"Reação não entra com Rápido",""),IF(AND((COUNTIF($RK131:$RN131,"Reação")+COUNTIF($OK131:$OL131,"Reação"))&gt;0,(COUNTIF($RK131:$RN131,"Armado")+COUNTIF($OK131:$OL131,"Armado"))&gt;0),"Reação não entra com Armado",""),IF(AND((COUNTIF($RK131:$RN131,"Reação")+COUNTIF($OK131:$OL131,"Reação"))&gt;0,(COUNTIF($MX131:$NA131,"Atrasar")+COUNTIF($OK131:$OL131,"Atrasar"))&gt;0),"Reação não entra com Atrasar",""),IF(AND((COUNTIF($RK131:$RN131,"Reação")+COUNTIF($OK131:$OL131,"Reação"))&gt;0,(COUNTIF($MX131:$NA131,"Parado")+COUNTIF($OK131:$OL131,"Parado"))&gt;0),"Reação não entra com Parado",""),IF(AND((COUNTIF($MX131:$NA131,"Atrasar")+COUNTIF($OK131:$OL131,"Atrasar"))&gt;0,(COUNTIF($MX131:$NA131,"Parado")+COUNTIF($OK131:$OL131,"Parado"))&gt;0),"Atrasar não entra com Parado",""),IF(AND((COUNTIF($RK131:$RN131,"Armado")+COUNTIF($OK131:$OL131,"Armado"))&gt;0,(COUNTIF($MX131:$NA131,"Carregar")+COUNTIF($OK131:$OL131,"Carregar"))&gt;0),"Armado não entra com Carregar",""),IF(AND(COUNTIF($OK131:$OL131,"Corpo a Corpo")&gt;0,$OF131=0,OR($RO131="Cone",$RO131="Linha")),"Corpo a Corpo não entra em "&amp;$MU131,""),IF(AND(COUNTIF($OK131:$OL131,"Corpo a Corpo")&gt;0,$RP131="Corpo a Corpo"),"A Forma "&amp;$MU131&amp;" já traz o Corpo a Corpo",""),IF(AND(COUNTIF($OK131:$OL131,"Tudo ou Nada")&gt;0,$OH131=0),"Tudo ou Nada só entra em habilidade de Teste de Resistência",""),IF(AND(COUNTIF($RK131:$RN131,"Inescapável")&gt;0,OR($OU131&gt;1,$OV131&gt;0)),"Inescapável não aceita outra peça",""),IF(AND($MS131&gt;0,$PD131*IF(COUNTIF($RK131:$RN131,"Remate")&gt;0,1.25,1)+$PE131&gt;4*$MS131),($PD131*IF(COUNTIF($RK131:$RN131,"Remate")&gt;0,1.25,1)+$PE131)&amp;" dados somando repetições"&amp;IF(COUNTIF($RK131:$RN131,"Remate")&gt;0," e o Remate","")&amp;": o teto da Classe "&amp;$MS131&amp;" é "&amp;4*$MS131,""))),IF(AND($MX131&lt;&gt;"",COUNTIF('DADOS_MELHORIAS'!$O$2:$O$113,SUBSTITUTE(SUBSTITUTE(SUBSTITUTE($MX131,"~","~~"),"*","~*"),"?","~?"))=0),"Melhoria não cadastrada ou com erro: "&amp;$MX131,""),IF(AND($MY131&lt;&gt;"",COUNTIF('DADOS_MELHORIAS'!$O$2:$O$113,SUBSTITUTE(SUBSTITUTE(SUBSTITUTE($MY131,"~","~~"),"*","~*"),"?","~?"))=0),"Melhoria não cadastrada ou com erro: "&amp;$MY131,""),IF(AND($MZ131&lt;&gt;"",COUNTIF('DADOS_MELHORIAS'!$O$2:$O$113,SUBSTITUTE(SUBSTITUTE(SUBSTITUTE($MZ131,"~","~~"),"*","~*"),"?","~?"))=0),"Melhoria não cadastrada ou com erro: "&amp;$MZ131,""),IF(AND($NA131&lt;&gt;"",COUNTIF('DADOS_MELHORIAS'!$O$2:$O$113,SUBSTITUTE(SUBSTITUTE(SUBSTITUTE($NA131,"~","~~"),"*","~*"),"?","~?"))=0),"Melhoria não cadastrada ou com erro: "&amp;$NA131,""),IF(AND($NB131&lt;&gt;"",COUNTIF('DADOS_RESTRICOES'!$M$2:$M$54,SUBSTITUTE(SUBSTITUTE(SUBSTITUTE($NB131,"~","~~"),"*","~*"),"?","~?"))=0),"Restrição não cadastrada ou com erro: "&amp;$NB131,""),IF(AND($NC131&lt;&gt;"",COUNTIF('DADOS_RESTRICOES'!$M$2:$M$54,SUBSTITUTE(SUBSTITUTE(SUBSTITUTE($NC131,"~","~~"),"*","~*"),"?","~?"))=0),"Restrição não cadastrada ou com erro: "&amp;$NC131,""))),IF(AND($MU131&lt;&gt;"",COUNTIF('DADOS_FORMAS'!$AH$2:$AH$21,SUBSTITUTE(SUBSTITUTE(SUBSTITUTE($MU131,"~","~~"),"*","~*"),"?","~?"))=0),"Forma não cadastrada ou com erro: "&amp;$MU131,""),IF(AND(IFERROR(INDEX('DADOS_FORMAS'!$AS$2:$AS$21,MATCH(SUBSTITUTE(SUBSTITUTE(SUBSTITUTE($MU131,"~","~~"),"*","~*"),"?","~?"),'DADOS_FORMAS'!$AH$2:$AH$21,0)),"")&lt;&gt;"",OR(IFERROR(VLOOKUP(SUBSTITUTE(SUBSTITUTE(SUBSTITUTE(IFERROR(INDEX('DADOS_FORMAS'!$AS$2:$AS$21,MATCH(SUBSTITUTE(SUBSTITUTE(SUBSTITUTE($MU131,"~","~~"),"*","~*"),"?","~?"),'DADOS_FORMAS'!$AH$2:$AH$21,0)),""),"~","~~"),"*","~*"),"?","~?"),'DADOS_RESTRICOES'!$M$2:$Q$54,2,FALSE),"")=$OK131,IFERROR(VLOOKUP(SUBSTITUTE(SUBSTITUTE(SUBSTITUTE(IFERROR(INDEX('DADOS_FORMAS'!$AS$2:$AS$21,MATCH(SUBSTITUTE(SUBSTITUTE(SUBSTITUTE($MU131,"~","~~"),"*","~*"),"?","~?"),'DADOS_FORMAS'!$AH$2:$AH$21,0)),""),"~","~~"),"*","~*"),"?","~?"),'DADOS_RESTRICOES'!$M$2:$Q$54,2,FALSE),"")=$OL131)),"Restrição repetida, contando a embutida",""),IF(IF(IFERROR(INDEX('DADOS_FORMAS'!$AS$2:$AS$21,MATCH(SUBSTITUTE(SUBSTITUTE(SUBSTITUTE($MU131,"~","~~"),"*","~*"),"?","~?"),'DADOS_FORMAS'!$AH$2:$AH$21,0)),"")="",0,IFERROR(N(VLOOKUP(SUBSTITUTE(SUBSTITUTE(SUBSTITUTE(IFERROR(INDEX('DADOS_FORMAS'!$AS$2:$AS$21,MATCH(SUBSTITUTE(SUBSTITUTE(SUBSTITUTE($MU131,"~","~~"),"*","~*"),"?","~?"),'DADOS_FORMAS'!$AH$2:$AH$21,0)),""),"~","~~"),"*","~*"),"?","~?"),'DADOS_RESTRICOES'!$M$2:$Q$54,4,FALSE)=1),0))+IF($NB131="",0,IFERROR(N(VLOOKUP(SUBSTITUTE(SUBSTITUTE(SUBSTITUTE($NB131,"~","~~"),"*","~*"),"?","~?"),'DADOS_RESTRICOES'!$M$2:$Q$54,4,FALSE)=1),0))+IF($NC131="",0,IFERROR(N(VLOOKUP(SUBSTITUTE(SUBSTITUTE(SUBSTITUTE($NC131,"~","~~"),"*","~*"),"?","~?"),'DADOS_RESTRICOES'!$M$2:$Q$54,4,FALSE)=1),0))&gt;1,"Duas Restrições de frequência, contando a embutida",""),IF(AND(IFERROR(VLOOKUP(SUBSTITUTE(SUBSTITUTE(SUBSTITUTE(IFERROR(INDEX('DADOS_FORMAS'!$AS$2:$AS$21,MATCH(SUBSTITUTE(SUBSTITUTE(SUBSTITUTE($MU131,"~","~~"),"*","~*"),"?","~?"),'DADOS_FORMAS'!$AH$2:$AH$21,0)),""),"~","~~"),"*","~*"),"?","~?"),'DADOS_RESTRICOES'!$M$2:$Q$54,2,FALSE),"")="Tudo ou Nada",$OH131=0),"Tudo ou Nada exige TR",""),IF(AND(IFERROR(VLOOKUP(SUBSTITUTE(SUBSTITUTE(SUBSTITUTE(IFERROR(INDEX('DADOS_FORMAS'!$AS$2:$AS$21,MATCH(SUBSTITUTE(SUBSTITUTE(SUBSTITUTE($MU131,"~","~~"),"*","~*"),"?","~?"),'DADOS_FORMAS'!$AH$2:$AH$21,0)),""),"~","~~"),"*","~*"),"?","~?"),'DADOS_RESTRICOES'!$M$2:$Q$54,2,FALSE),"")="Corpo a Corpo",OR($RO131="Cone",$RO131="Linha")),"Corpo a Corpo não entra em Cone/Linha","")))</f>
        <v/>
      </c>
      <c r="PU131" s="164">
        <f>IF($PT131="",0,(LEN($PT131)-LEN(SUBSTITUTE($PT131," · ","")))/3+1)</f>
        <v/>
      </c>
      <c r="PV131" s="164">
        <f>IF($ND131=0,"",TEXTJOIN(" · ",TRUE,IF($OX131&gt;2*$MS131,"A devolução parou no teto de "&amp;2*$MS131,""),IF($PA131&gt;0,"Devolução perdida: "&amp;$PA131&amp;IF($PA131&gt;1," pontos"," ponto")&amp;" sem Melhoria para pagar",""),IF(AND($OC131&gt;0,AND($MS131&gt;0,$OG131=0),$PD131=0),"Controle sem dano: uma rodada a mais e CD +2",""),IF(AND($OC131&gt;0,AND($MS131&gt;0,$OG131=0),$PD131&gt;0,$PD131&lt;=$MS131),"Controle com saldo até a Classe: uma rodada a mais",""),IF(AND($MS131&gt;0,$OE131&lt;&gt;""),"Efeito de "&amp;$OE131&amp;" pela Classe "&amp;MAX(1,$MS131-1),"")))</f>
        <v/>
      </c>
      <c r="PW131" s="164">
        <f>IF($PV131="",0,(LEN($PV131)-LEN(SUBSTITUTE($PV131," · ","")))/3+1)</f>
        <v/>
      </c>
      <c r="PX131" s="164">
        <f>IF($ND131=0,IF($OU131+COUNTIF($NB131:$NC131,"?*")&gt;0,"Dê um nome",""),IF($PU131&gt;0,"⚠ "&amp;$PU131&amp;IF($PU131&gt;1," erros"," erro"),IF($PW131&gt;0,"! "&amp;$PW131&amp;IF($PW131&gt;1," avisos"," aviso"),"Na regra")))</f>
        <v/>
      </c>
      <c r="PY131" s="164">
        <f>IF($ND131=0,"",IF($PU131+$PW131=0,"Dentro das regras que a ficha confere",$PT131&amp;IF(AND($PU131&gt;0,$PW131&gt;0)," · ","")&amp;$PV131))</f>
        <v/>
      </c>
      <c r="PZ131" s="164">
        <f>IF($MQ131&gt;$NE131,$MR131&amp;" · ABRE NO NÍVEL "&amp;$MQ131,$MR131)</f>
        <v/>
      </c>
      <c r="QA131" s="164">
        <f>IF($ND131=0,"",IF($MS131=0,"Sem PE",3*$MS131&amp;" PE"))</f>
        <v/>
      </c>
      <c r="QB131" s="164">
        <f>IF($ND131=0,"",IF($MS131=0,"A atuação básica dela",IF(COUNTIF($RQ131:$RS131,"Atrasar")&gt;0,"Sua Ação Completa",IF(COUNTIF($RK131:$RN131,"Rápido")&gt;0,"Sua Bônus",IF(COUNTIF($RK131:$RN131,"Reação")&gt;0,"Sua Reação","Sua Padrão")))&amp;" + a básica dela"&amp;IF(COUNTIF($RK131:$RN131,"Reação")&gt;0," e a coletiva","")&amp;IF(COUNTIF($RQ131:$RS131,"Carregar")&gt;0," · em dois turnos","")))</f>
        <v/>
      </c>
      <c r="QC131" s="164">
        <f>IF($MW131&lt;&gt;"",$MW131,IF($NJ131=0,"",INDEX('DADOS_FORMAS'!$GE$2:$GE$21,$NJ131)))</f>
        <v/>
      </c>
      <c r="QD131" s="164">
        <f>IF(OR($ND131=0,$NJ131=0),"",IF(COUNTIF($RK131:$RN131,"Inescapável")&gt;0,"Automático",IF($QC131="Ataque",IF($NH131="","Ataque","Ataque "&amp;IF(($NH131+2*IF(COUNTIF($RK131:$RN131,"Precisão")&gt;0,1,0))&gt;=0,"+","−")&amp;ABS(($NH131+2*IF(COUNTIF($RK131:$RN131,"Precisão")&gt;0,1,0))))&amp;IF($OD131&gt;0," · TR"&amp;IF($NI131="",""," CD "&amp;$NI131),""),IF(LEFT($QC131,2)="TR",$QC131&amp;IF($NI131="",""," · CD "&amp;$NI131)&amp;IF(COUNTIF($RK131:$RN131,"Certeiro")&gt;0," · metade",""),"Sem rolagem"))))</f>
        <v/>
      </c>
      <c r="QE131" s="164">
        <f>IF(OR($ND131=0,$NJ131=0),"",IF($MS131=0,IF(OR($OG131&gt;=1,$PD131=0),"Sem dano",$PD131&amp;"d6"&amp;IF($MV131="",""," "&amp;$MV131)),IF(OR($OG131&gt;=1,$PD131=0),UPPER(LEFT(INDEX($PM131:$PS131,1,MAX(1,$MS131)),1))&amp;MID(INDEX($PM131:$PS131,1,MAX(1,$MS131)),2,99),UPPER(LEFT(INDEX($PM131:$PS131,1,MAX(1,$MS131)),1))&amp;MID(INDEX($PM131:$PS131,1,MAX(1,$MS131)),2,99)&amp;IF($MV131="",""," "&amp;$MV131)&amp;IF($PE131&gt;0," · +"&amp;$PE131&amp;"d8",""))))</f>
        <v/>
      </c>
      <c r="QF131" s="164">
        <f>COUNTIF($RK131:$RN131,"Longe")+3*COUNTIF($RK131:$RN131,"Muito Longe")</f>
        <v/>
      </c>
      <c r="QG131" s="164">
        <f>COUNTIF($RK131:$RN131,"Maior")+3*COUNTIF($RK131:$RN131,"Muito Maior")</f>
        <v/>
      </c>
      <c r="QH131" s="164">
        <f>IF($NJ131=0,0,CHOOSE(1+INDEX('DADOS_FORMAS'!$GG$2:$GG$21,$NJ131),0,$QF131,$QG131,$QF131+$QG131))</f>
        <v/>
      </c>
      <c r="QI131" s="164">
        <f>IF($NJ131=0,0,CHOOSE(1+INDEX('DADOS_FORMAS'!$GH$2:$GH$21,$NJ131),0,$QF131,$QG131,$QF131+$QG131))</f>
        <v/>
      </c>
      <c r="QJ131" s="164">
        <f>IF(OR($ND131=0,$NJ131=0),"",INDEX('DADOS_FORMAS'!$HU$2:$HZ$81,($NJ131-1)*4+IF($MS131=0,1,IF($MS131&lt;=5,2,IF($MS131=6,3,4))),1+MIN(5,$QH131))&amp;INDEX('DADOS_FORMAS'!$IA$2:$IF$81,($NJ131-1)*4+IF($MS131=0,1,IF($MS131&lt;=5,2,IF($MS131=6,3,4))),1+MIN(5,$QI131))&amp;IF(INDEX('DADOS_FORMAS'!$GI$2:$GI$21,$NJ131)=1,IF(COUNTIF($RK131:$RN131,"Mais Um")&gt;0," · +"&amp;COUNTIF($RK131:$RN131,"Mais Um")&amp;IF(COUNTIF($RK131:$RN131,"Mais Um")&gt;1," alvos"," alvo"),"")&amp;IF(COUNTIF($RK131:$RN131,"Rajada")&gt;0,IF($MS131=0," · 1 tiro"," · "&amp;(MAX(1,$MS131-1)+1)&amp;" tiros"),""),""))</f>
        <v/>
      </c>
      <c r="QK131" s="164">
        <f>IF($ND131=0,"",IF($MS131=0,$NG131&amp;"d6"&amp;IF($OU131&gt;0," − 1 = "&amp;$PD131&amp;"d6"," da básica do nível "&amp;$NE131),$PB131&amp;" − "&amp;$OW131&amp;" + "&amp;$OZ131&amp;" = "&amp;$PC131&amp;" · teto "&amp;4*$MS131&amp;"d8"&amp;IF($OF131=1," · a Forma devolve "&amp;$MS131,"")&amp;IF($PA131&gt;0," · perde "&amp;$PA131,"")))</f>
        <v/>
      </c>
      <c r="QL131" s="164">
        <f>IF($ND131=0,"",IF($MS131=0,"A básica não amplia: os dados dela sobem com o nível",IF($MS131&gt;=$NF131,"Já está na maior Classe que o nível liberou",TEXTJOIN(" · ",TRUE,IF(AND(2&gt;$MS131,2&lt;=$NF131),"2 → "&amp;$PN131&amp;", 6 PE",""),IF(AND(3&gt;$MS131,3&lt;=$NF131),"3 → "&amp;$PO131&amp;", 9 PE",""),IF(AND(4&gt;$MS131,4&lt;=$NF131),"4 → "&amp;$PP131&amp;", 12 PE",""),IF(AND(5&gt;$MS131,5&lt;=$NF131),"5 → "&amp;$PQ131&amp;", 15 PE",""),IF(AND(6&gt;$MS131,6&lt;=$NF131),"6 → "&amp;$PR131&amp;", 18 PE",""),IF(AND(7&gt;$MS131,7&lt;=$NF131),"7 → "&amp;$PS131&amp;", 21 PE","")))))</f>
        <v/>
      </c>
      <c r="QM131" s="164">
        <f>IF(OR($ND131=0,$NO131=0),"",IF($MS131=0,"−1 dado","−"&amp;INDEX($I$2:$N$8,MAX(1,$MS131),MAX(1,$NT131))&amp;" · "&amp;CHOOSE(MAX(1,$NT131),"Leve","Média","Pesada","Leve · Livre","Média · Livre","Pesada · Livre")))</f>
        <v/>
      </c>
      <c r="QN131" s="164">
        <f>IF(OR($ND131=0,$NP131=0),"",IF($MS131=0,"−1 dado","−"&amp;INDEX($I$2:$N$8,MAX(1,$MS131),MAX(1,$NU131))&amp;" · "&amp;CHOOSE(MAX(1,$NU131),"Leve","Média","Pesada","Leve · Livre","Média · Livre","Pesada · Livre")))</f>
        <v/>
      </c>
      <c r="QO131" s="164">
        <f>IF(OR($ND131=0,$NQ131=0),"",IF($MS131=0,"−1 dado","−"&amp;INDEX($I$2:$N$8,MAX(1,$MS131),MAX(1,$NV131))&amp;" · "&amp;CHOOSE(MAX(1,$NV131),"Leve","Média","Pesada","Leve · Livre","Média · Livre","Pesada · Livre")))</f>
        <v/>
      </c>
      <c r="QP131" s="164">
        <f>IF(OR($ND131=0,$NR131=0),"",IF($MS131=0,"−1 dado","−"&amp;INDEX($I$2:$N$8,MAX(1,$MS131),MAX(1,$NW131))&amp;" · "&amp;CHOOSE(MAX(1,$NW131),"Leve","Média","Pesada","Leve · Livre","Média · Livre","Pesada · Livre")))</f>
        <v/>
      </c>
      <c r="QQ131" s="164">
        <f>IF(OR($ND131=0,$NB131=""),"",IF($MS131=0,"não devolve","+"&amp;IF($OI131=1,CEILING($MS131/2,1),$MS131)))</f>
        <v/>
      </c>
      <c r="QR131" s="164">
        <f>IF(OR($ND131=0,$NC131=""),"",IF($MS131=0,"não devolve","+"&amp;IF($OJ131=1,CEILING($MS131/2,1),$MS131)))</f>
        <v/>
      </c>
      <c r="RK131">
        <f>IF($MX131="","",IFERROR(VLOOKUP(SUBSTITUTE(SUBSTITUTE(SUBSTITUTE($MX131,"~","~~"),"*","~*"),"?","~?"),'DADOS_MELHORIAS'!$O$2:$X$113,10,FALSE),$MX131))</f>
        <v/>
      </c>
      <c r="RL131">
        <f>IF($MY131="","",IFERROR(VLOOKUP(SUBSTITUTE(SUBSTITUTE(SUBSTITUTE($MY131,"~","~~"),"*","~*"),"?","~?"),'DADOS_MELHORIAS'!$O$2:$X$113,10,FALSE),$MY131))</f>
        <v/>
      </c>
      <c r="RM131">
        <f>IF($MZ131="","",IFERROR(VLOOKUP(SUBSTITUTE(SUBSTITUTE(SUBSTITUTE($MZ131,"~","~~"),"*","~*"),"?","~?"),'DADOS_MELHORIAS'!$O$2:$X$113,10,FALSE),$MZ131))</f>
        <v/>
      </c>
      <c r="RN131">
        <f>IF($NA131="","",IFERROR(VLOOKUP(SUBSTITUTE(SUBSTITUTE(SUBSTITUTE($NA131,"~","~~"),"*","~*"),"?","~?"),'DADOS_MELHORIAS'!$O$2:$X$113,10,FALSE),$NA131))</f>
        <v/>
      </c>
      <c r="RO131">
        <f>IFERROR(INDEX('DADOS_FORMAS'!$BJ$2:$BJ$21,MATCH(SUBSTITUTE(SUBSTITUTE(SUBSTITUTE($MU131,"~","~~"),"*","~*"),"?","~?"),'DADOS_FORMAS'!$AH$2:$AH$21,0)),"")</f>
        <v/>
      </c>
      <c r="RP131">
        <f>IFERROR(VLOOKUP(SUBSTITUTE(SUBSTITUTE(SUBSTITUTE(IFERROR(INDEX('DADOS_FORMAS'!$AS$2:$AS$21,MATCH(SUBSTITUTE(SUBSTITUTE(SUBSTITUTE($MU131,"~","~~"),"*","~*"),"?","~?"),'DADOS_FORMAS'!$AH$2:$AH$21,0)),""),"~","~~"),"*","~*"),"?","~?"),'DADOS_RESTRICOES'!$M$2:$Q$54,2,FALSE),"")</f>
        <v/>
      </c>
      <c r="RQ131">
        <f>$OK131</f>
        <v/>
      </c>
      <c r="RR131">
        <f>$OL131</f>
        <v/>
      </c>
      <c r="RS131">
        <f>$RP131</f>
        <v/>
      </c>
    </row>
    <row r="132">
      <c r="MN132" s="162" t="inlineStr">
        <is>
          <t>Ficha 11 · Básica 1</t>
        </is>
      </c>
      <c r="MO132" s="164" t="n">
        <v>11</v>
      </c>
      <c r="MP132" s="164" t="n">
        <v>0</v>
      </c>
      <c r="MQ132" s="164" t="n">
        <v>1</v>
      </c>
      <c r="MR132" s="162" t="inlineStr">
        <is>
          <t>BÁSICA 1</t>
        </is>
      </c>
      <c r="MS132" s="164" t="n">
        <v>0</v>
      </c>
      <c r="MT132" s="164">
        <f>'INVOCAÇÕES'!$AC$915&amp;""</f>
        <v/>
      </c>
      <c r="MU132" s="164">
        <f>'INVOCAÇÕES'!$AB$920&amp;""</f>
        <v/>
      </c>
      <c r="MV132" s="164">
        <f>'INVOCAÇÕES'!$AB$921&amp;""</f>
        <v/>
      </c>
      <c r="MW132" s="164">
        <f>'INVOCAÇÕES'!$AD$921&amp;""</f>
        <v/>
      </c>
      <c r="MX132" s="164">
        <f>'INVOCAÇÕES'!$AC$924&amp;""</f>
        <v/>
      </c>
      <c r="MY132" s="164">
        <f>'INVOCAÇÕES'!$AC$925&amp;""</f>
        <v/>
      </c>
      <c r="MZ132" s="164">
        <f>'INVOCAÇÕES'!$AC$926&amp;""</f>
        <v/>
      </c>
      <c r="NA132" s="164">
        <f>'INVOCAÇÕES'!$AC$927&amp;""</f>
        <v/>
      </c>
      <c r="NB132" s="164">
        <f>'INVOCAÇÕES'!$AC$928&amp;""</f>
        <v/>
      </c>
      <c r="NC132" s="164">
        <f>'INVOCAÇÕES'!$AC$929&amp;""</f>
        <v/>
      </c>
      <c r="ND132" s="164">
        <f>IF($MT132&lt;&gt;"",1,0)</f>
        <v/>
      </c>
      <c r="NE132" s="164">
        <f>INDEX($FO$2:$FO$13,$MO132)</f>
        <v/>
      </c>
      <c r="NF132" s="164">
        <f>INDEX($FP$2:$FP$13,$MO132)</f>
        <v/>
      </c>
      <c r="NG132" s="164">
        <f>INDEX($FQ$2:$FQ$13,$MO132)</f>
        <v/>
      </c>
      <c r="NH132" s="164">
        <f>INDEX($GB$2:$GB$13,$MO132)</f>
        <v/>
      </c>
      <c r="NI132" s="164">
        <f>INDEX($GC$2:$GC$13,$MO132)</f>
        <v/>
      </c>
      <c r="NJ132" s="164">
        <f>IFERROR(MATCH(SUBSTITUTE(SUBSTITUTE(SUBSTITUTE($MU132,"~","~~"),"*","~*"),"?","~?"),'DADOS_FORMAS'!$FZ$2:$FZ$21,0),0)</f>
        <v/>
      </c>
      <c r="NK132" s="164">
        <f>IFERROR(VLOOKUP(SUBSTITUTE(SUBSTITUTE(SUBSTITUTE($MX132,"~","~~"),"*","~*"),"?","~?"),'DADOS_MELHORIAS'!$AG$2:$AL$113,2,FALSE),"")</f>
        <v/>
      </c>
      <c r="NL132" s="164">
        <f>IFERROR(VLOOKUP(SUBSTITUTE(SUBSTITUTE(SUBSTITUTE($MY132,"~","~~"),"*","~*"),"?","~?"),'DADOS_MELHORIAS'!$AG$2:$AL$113,2,FALSE),"")</f>
        <v/>
      </c>
      <c r="NM132" s="164">
        <f>IFERROR(VLOOKUP(SUBSTITUTE(SUBSTITUTE(SUBSTITUTE($MZ132,"~","~~"),"*","~*"),"?","~?"),'DADOS_MELHORIAS'!$AG$2:$AL$113,2,FALSE),"")</f>
        <v/>
      </c>
      <c r="NN132" s="164">
        <f>IFERROR(VLOOKUP(SUBSTITUTE(SUBSTITUTE(SUBSTITUTE($NA132,"~","~~"),"*","~*"),"?","~?"),'DADOS_MELHORIAS'!$AG$2:$AL$113,2,FALSE),"")</f>
        <v/>
      </c>
      <c r="NO132" s="164">
        <f>IFERROR(VLOOKUP(SUBSTITUTE(SUBSTITUTE(SUBSTITUTE($MX132,"~","~~"),"*","~*"),"?","~?"),'DADOS_MELHORIAS'!$AG$2:$AL$113,3,FALSE),0)</f>
        <v/>
      </c>
      <c r="NP132" s="164">
        <f>IFERROR(VLOOKUP(SUBSTITUTE(SUBSTITUTE(SUBSTITUTE($MY132,"~","~~"),"*","~*"),"?","~?"),'DADOS_MELHORIAS'!$AG$2:$AL$113,3,FALSE),0)</f>
        <v/>
      </c>
      <c r="NQ132" s="164">
        <f>IFERROR(VLOOKUP(SUBSTITUTE(SUBSTITUTE(SUBSTITUTE($MZ132,"~","~~"),"*","~*"),"?","~?"),'DADOS_MELHORIAS'!$AG$2:$AL$113,3,FALSE),0)</f>
        <v/>
      </c>
      <c r="NR132" s="164">
        <f>IFERROR(VLOOKUP(SUBSTITUTE(SUBSTITUTE(SUBSTITUTE($NA132,"~","~~"),"*","~*"),"?","~?"),'DADOS_MELHORIAS'!$AG$2:$AL$113,3,FALSE),0)</f>
        <v/>
      </c>
      <c r="NS132" s="164">
        <f>IF($MS132=0,0,IF($NJ132=0,0,INDEX('DADOS_FORMAS'!$GB$2:$GB$21,$NJ132)))</f>
        <v/>
      </c>
      <c r="NT132" s="164">
        <f>IF(OR($NO132=0,$MS132=0),0,$NO132+3*IF(AND($NK132&lt;&gt;"",COUNTIF(INDEX($RB$2:$RJ$13,$MO132,0),$NK132)&gt;0),1,0))</f>
        <v/>
      </c>
      <c r="NU132" s="164">
        <f>IF(OR($NP132=0,$MS132=0),0,$NP132+3*IF(AND($NL132&lt;&gt;"",COUNTIF(INDEX($RB$2:$RJ$13,$MO132,0),$NL132)&gt;0),1,0))</f>
        <v/>
      </c>
      <c r="NV132" s="164">
        <f>IF(OR($NQ132=0,$MS132=0),0,$NQ132+3*IF(AND($NM132&lt;&gt;"",COUNTIF(INDEX($RB$2:$RJ$13,$MO132,0),$NM132)&gt;0),1,0))</f>
        <v/>
      </c>
      <c r="NW132" s="164">
        <f>IF(OR($NR132=0,$MS132=0),0,$NR132+3*IF(AND($NN132&lt;&gt;"",COUNTIF(INDEX($RB$2:$RJ$13,$MO132,0),$NN132)&gt;0),1,0))</f>
        <v/>
      </c>
      <c r="NX132" s="164">
        <f>IF($NJ132=0,0,IF(INDEX('DADOS_FORMAS'!$GA$2:$GA$21,$NJ132)="",0,IF((COUNTIF(INDEX($EL$2:$EP$13,$MO132,0),INDEX('DADOS_FORMAS'!$GA$2:$GA$21,$NJ132))+COUNTIF(INDEX($QV$2:$QY$13,$MO132,0),INDEX('DADOS_FORMAS'!$GA$2:$GA$21,$NJ132)))=0,1,0)))</f>
        <v/>
      </c>
      <c r="NY132" s="164">
        <f>IF(OR($NO132=0,$NK132=""),0,IF((COUNTIF(INDEX($EL$2:$EP$13,$MO132,0),$NK132)+COUNTIF(INDEX($QV$2:$QY$13,$MO132,0),$NK132))=0,1,0))</f>
        <v/>
      </c>
      <c r="NZ132" s="164">
        <f>IF(OR($NP132=0,$NL132=""),0,IF((COUNTIF(INDEX($EL$2:$EP$13,$MO132,0),$NL132)+COUNTIF(INDEX($QV$2:$QY$13,$MO132,0),$NL132))=0,1,0))</f>
        <v/>
      </c>
      <c r="OA132" s="164">
        <f>IF(OR($NQ132=0,$NM132=""),0,IF((COUNTIF(INDEX($EL$2:$EP$13,$MO132,0),$NM132)+COUNTIF(INDEX($QV$2:$QY$13,$MO132,0),$NM132))=0,1,0))</f>
        <v/>
      </c>
      <c r="OB132" s="164">
        <f>IF(OR($NR132=0,$NN132=""),0,IF((COUNTIF(INDEX($EL$2:$EP$13,$MO132,0),$NN132)+COUNTIF(INDEX($QV$2:$QY$13,$MO132,0),$NN132))=0,1,0))</f>
        <v/>
      </c>
      <c r="OC132" s="164">
        <f>IFERROR(VLOOKUP(SUBSTITUTE(SUBSTITUTE(SUBSTITUTE($MX132,"~","~~"),"*","~*"),"?","~?"),'DADOS_MELHORIAS'!$AG$2:$AL$113,4,FALSE),0)+IFERROR(VLOOKUP(SUBSTITUTE(SUBSTITUTE(SUBSTITUTE($MY132,"~","~~"),"*","~*"),"?","~?"),'DADOS_MELHORIAS'!$AG$2:$AL$113,4,FALSE),0)+IFERROR(VLOOKUP(SUBSTITUTE(SUBSTITUTE(SUBSTITUTE($MZ132,"~","~~"),"*","~*"),"?","~?"),'DADOS_MELHORIAS'!$AG$2:$AL$113,4,FALSE),0)+IFERROR(VLOOKUP(SUBSTITUTE(SUBSTITUTE(SUBSTITUTE($NA132,"~","~~"),"*","~*"),"?","~?"),'DADOS_MELHORIAS'!$AG$2:$AL$113,4,FALSE),0)</f>
        <v/>
      </c>
      <c r="OD132" s="164">
        <f>IFERROR(VLOOKUP(SUBSTITUTE(SUBSTITUTE(SUBSTITUTE($MX132,"~","~~"),"*","~*"),"?","~?"),'DADOS_MELHORIAS'!$AG$2:$AL$113,6,FALSE),0)+IFERROR(VLOOKUP(SUBSTITUTE(SUBSTITUTE(SUBSTITUTE($MY132,"~","~~"),"*","~*"),"?","~?"),'DADOS_MELHORIAS'!$AG$2:$AL$113,6,FALSE),0)+IFERROR(VLOOKUP(SUBSTITUTE(SUBSTITUTE(SUBSTITUTE($MZ132,"~","~~"),"*","~*"),"?","~?"),'DADOS_MELHORIAS'!$AG$2:$AL$113,6,FALSE),0)+IFERROR(VLOOKUP(SUBSTITUTE(SUBSTITUTE(SUBSTITUTE($NA132,"~","~~"),"*","~*"),"?","~?"),'DADOS_MELHORIAS'!$AG$2:$AL$113,6,FALSE),0)+IFERROR(N(AND(INDEX('DADOS_FORMAS'!$AO$2:$AO$21,MATCH(SUBSTITUTE(SUBSTITUTE(SUBSTITUTE($MU132,"~","~~"),"*","~*"),"?","~?"),'DADOS_FORMAS'!$AH$2:$AH$21,0))="Acerto",$OH132=1)),0)</f>
        <v/>
      </c>
      <c r="OE132" s="164">
        <f>TEXTJOIN(", ",TRUE,IF(IFERROR(VLOOKUP(SUBSTITUTE(SUBSTITUTE(SUBSTITUTE($MX132,"~","~~"),"*","~*"),"?","~?"),'DADOS_MELHORIAS'!$AG$2:$AL$113,5,FALSE),0)=1,$MX132,""),IF(IFERROR(VLOOKUP(SUBSTITUTE(SUBSTITUTE(SUBSTITUTE($MY132,"~","~~"),"*","~*"),"?","~?"),'DADOS_MELHORIAS'!$AG$2:$AL$113,5,FALSE),0)=1,$MY132,""),IF(IFERROR(VLOOKUP(SUBSTITUTE(SUBSTITUTE(SUBSTITUTE($MZ132,"~","~~"),"*","~*"),"?","~?"),'DADOS_MELHORIAS'!$AG$2:$AL$113,5,FALSE),0)=1,$MZ132,""),IF(IFERROR(VLOOKUP(SUBSTITUTE(SUBSTITUTE(SUBSTITUTE($NA132,"~","~~"),"*","~*"),"?","~?"),'DADOS_MELHORIAS'!$AG$2:$AL$113,5,FALSE),0)=1,$NA132,""))</f>
        <v/>
      </c>
      <c r="OF132" s="164">
        <f>IF($NJ132=0,0,INDEX('DADOS_FORMAS'!$GC$2:$GC$21,$NJ132))</f>
        <v/>
      </c>
      <c r="OG132" s="164">
        <f>IF($NJ132=0,0,INDEX('DADOS_FORMAS'!$GD$2:$GD$21,$NJ132))</f>
        <v/>
      </c>
      <c r="OH132" s="164">
        <f>IF($NJ132=0,0,INDEX('DADOS_FORMAS'!$GF$2:$GF$21,$NJ132))</f>
        <v/>
      </c>
      <c r="OI132" s="164">
        <f>IFERROR(VLOOKUP(SUBSTITUTE(SUBSTITUTE(SUBSTITUTE($NB132,"~","~~"),"*","~*"),"?","~?"),'DADOS_RESTRICOES'!$M$2:$Q$54,3,FALSE),0)</f>
        <v/>
      </c>
      <c r="OJ132" s="164">
        <f>IFERROR(VLOOKUP(SUBSTITUTE(SUBSTITUTE(SUBSTITUTE($NC132,"~","~~"),"*","~*"),"?","~?"),'DADOS_RESTRICOES'!$M$2:$Q$54,3,FALSE),0)</f>
        <v/>
      </c>
      <c r="OK132" s="164">
        <f>IFERROR(VLOOKUP(SUBSTITUTE(SUBSTITUTE(SUBSTITUTE($NB132,"~","~~"),"*","~*"),"?","~?"),'DADOS_RESTRICOES'!$M$2:$Q$54,2,FALSE),"")</f>
        <v/>
      </c>
      <c r="OL132" s="164">
        <f>IFERROR(VLOOKUP(SUBSTITUTE(SUBSTITUTE(SUBSTITUTE($NC132,"~","~~"),"*","~*"),"?","~?"),'DADOS_RESTRICOES'!$M$2:$Q$54,2,FALSE),"")</f>
        <v/>
      </c>
      <c r="OM132" s="164">
        <f>COUNTIF($NS132:$NW132,1)</f>
        <v/>
      </c>
      <c r="ON132" s="164">
        <f>COUNTIF($NS132:$NW132,2)</f>
        <v/>
      </c>
      <c r="OO132" s="164">
        <f>COUNTIF($NS132:$NW132,3)</f>
        <v/>
      </c>
      <c r="OP132" s="164">
        <f>COUNTIF($NS132:$NW132,4)</f>
        <v/>
      </c>
      <c r="OQ132" s="164">
        <f>COUNTIF($NS132:$NW132,5)</f>
        <v/>
      </c>
      <c r="OR132" s="164">
        <f>COUNTIF($NS132:$NW132,6)</f>
        <v/>
      </c>
      <c r="OS132" s="164">
        <f>COUNTIF($OI132:$OJ132,1)+IF(IFERROR(INDEX('DADOS_FORMAS'!$AS$2:$AS$21,MATCH(SUBSTITUTE(SUBSTITUTE(SUBSTITUTE($MU132,"~","~~"),"*","~*"),"?","~?"),'DADOS_FORMAS'!$AH$2:$AH$21,0)),"")="",0,IFERROR(N(VLOOKUP(SUBSTITUTE(SUBSTITUTE(SUBSTITUTE(IFERROR(INDEX('DADOS_FORMAS'!$AS$2:$AS$21,MATCH(SUBSTITUTE(SUBSTITUTE(SUBSTITUTE($MU132,"~","~~"),"*","~*"),"?","~?"),'DADOS_FORMAS'!$AH$2:$AH$21,0)),""),"~","~~"),"*","~*"),"?","~?"),'DADOS_RESTRICOES'!$M$2:$Q$54,3,FALSE)=1),0))</f>
        <v/>
      </c>
      <c r="OT132" s="164">
        <f>COUNTIF($OI132:$OJ132,2)+IF(IFERROR(INDEX('DADOS_FORMAS'!$AS$2:$AS$21,MATCH(SUBSTITUTE(SUBSTITUTE(SUBSTITUTE($MU132,"~","~~"),"*","~*"),"?","~?"),'DADOS_FORMAS'!$AH$2:$AH$21,0)),"")="",0,IFERROR(N(VLOOKUP(SUBSTITUTE(SUBSTITUTE(SUBSTITUTE(IFERROR(INDEX('DADOS_FORMAS'!$AS$2:$AS$21,MATCH(SUBSTITUTE(SUBSTITUTE(SUBSTITUTE($MU132,"~","~~"),"*","~*"),"?","~?"),'DADOS_FORMAS'!$AH$2:$AH$21,0)),""),"~","~~"),"*","~*"),"?","~?"),'DADOS_RESTRICOES'!$M$2:$Q$54,3,FALSE)=2),0))</f>
        <v/>
      </c>
      <c r="OU132" s="164">
        <f>COUNTIF($MX132:$NA132,"?*")</f>
        <v/>
      </c>
      <c r="OV132" s="164">
        <f>COUNTIF($NB132:$NC132,"?*")+$OF132</f>
        <v/>
      </c>
      <c r="OW132" s="164">
        <f>IF($MS132=0,0,SUMPRODUCT($OM132:$OR132,INDEX($I$2:$N$8,MAX(1,$MS132),0)))</f>
        <v/>
      </c>
      <c r="OX132" s="164">
        <f>IF($MS132=0,0,$OS132*CEILING($MS132/2,1)+$OT132*$MS132)</f>
        <v/>
      </c>
      <c r="OY132" s="164">
        <f>MIN(2*$MS132,$OX132)</f>
        <v/>
      </c>
      <c r="OZ132" s="164">
        <f>MIN($OY132,$OW132-IF($NS132=0,0,INDEX($I$2:$N$8,MAX(1,$MS132),$NS132)))</f>
        <v/>
      </c>
      <c r="PA132" s="164">
        <f>$OY132-$OZ132</f>
        <v/>
      </c>
      <c r="PB132" s="164">
        <f>IF($MS132=0,0,INDEX($P$2:$P$8,MAX(1,$MS132)))</f>
        <v/>
      </c>
      <c r="PC132" s="164">
        <f>$PB132-$OW132+$OZ132</f>
        <v/>
      </c>
      <c r="PD132" s="164">
        <f>IF($MS132=0,MAX(0,$NG132-IF(AND($OU132&gt;0,COUNTIF($NB132:$NC132,"?*")=0),1,0)),MAX(0,$PC132))</f>
        <v/>
      </c>
      <c r="PE132" s="164">
        <f>IF($MS132=0,0,(IF(COUNTIF($RK132:$RN132,"Salto")&gt;0,1,0)+IF(COUNTIF($RK132:$RN132,"Queima")&gt;0,1,0)+IF(COUNTIF($RK132:$RN132,"Estilhaço")&gt;0,1,0))*FLOOR($PD132/2,1))</f>
        <v/>
      </c>
      <c r="PF132" s="164">
        <f>MAX(0,2-SUMPRODUCT($OM132:$OR132,$I$2:$N$2)+MIN(2,$OS132*1+$OT132*1,SUMPRODUCT($OM132:$OR132,$I$2:$N$2)-IF($NS132=0,0,INDEX($I$2:$N$2,1,$NS132))))</f>
        <v/>
      </c>
      <c r="PG132" s="164">
        <f>MAX(0,4-SUMPRODUCT($OM132:$OR132,$I$3:$N$3)+MIN(4,$OS132*1+$OT132*2,SUMPRODUCT($OM132:$OR132,$I$3:$N$3)-IF($NS132=0,0,INDEX($I$3:$N$3,1,$NS132))))</f>
        <v/>
      </c>
      <c r="PH132" s="164">
        <f>MAX(0,6-SUMPRODUCT($OM132:$OR132,$I$4:$N$4)+MIN(6,$OS132*2+$OT132*3,SUMPRODUCT($OM132:$OR132,$I$4:$N$4)-IF($NS132=0,0,INDEX($I$4:$N$4,1,$NS132))))</f>
        <v/>
      </c>
      <c r="PI132" s="164">
        <f>MAX(0,9-SUMPRODUCT($OM132:$OR132,$I$5:$N$5)+MIN(8,$OS132*2+$OT132*4,SUMPRODUCT($OM132:$OR132,$I$5:$N$5)-IF($NS132=0,0,INDEX($I$5:$N$5,1,$NS132))))</f>
        <v/>
      </c>
      <c r="PJ132" s="164">
        <f>MAX(0,11-SUMPRODUCT($OM132:$OR132,$I$6:$N$6)+MIN(10,$OS132*3+$OT132*5,SUMPRODUCT($OM132:$OR132,$I$6:$N$6)-IF($NS132=0,0,INDEX($I$6:$N$6,1,$NS132))))</f>
        <v/>
      </c>
      <c r="PK132" s="164">
        <f>MAX(0,13-SUMPRODUCT($OM132:$OR132,$I$7:$N$7)+MIN(12,$OS132*3+$OT132*6,SUMPRODUCT($OM132:$OR132,$I$7:$N$7)-IF($NS132=0,0,INDEX($I$7:$N$7,1,$NS132))))</f>
        <v/>
      </c>
      <c r="PL132" s="164">
        <f>MAX(0,16-SUMPRODUCT($OM132:$OR132,$I$8:$N$8)+MIN(14,$OS132*4+$OT132*7,SUMPRODUCT($OM132:$OR132,$I$8:$N$8)-IF($NS132=0,0,INDEX($I$8:$N$8,1,$NS132))))</f>
        <v/>
      </c>
      <c r="PM132" s="164">
        <f>IF($OG132=2,3*$PF132&amp;" de vida temp.",IF($OG132=3,"sem dano",IF($PF132=0,IF($OG132=1,"sem cura","sem dano"),IF($OG132=1,"cura ","")&amp;$PF132&amp;"d8")))</f>
        <v/>
      </c>
      <c r="PN132" s="164">
        <f>IF($OG132=2,3*$PG132&amp;" de vida temp.",IF($OG132=3,"sem dano",IF($PG132=0,IF($OG132=1,"sem cura","sem dano"),IF($OG132=1,"cura ","")&amp;$PG132&amp;"d8")))</f>
        <v/>
      </c>
      <c r="PO132" s="164">
        <f>IF($OG132=2,3*$PH132&amp;" de vida temp.",IF($OG132=3,"sem dano",IF($PH132=0,IF($OG132=1,"sem cura","sem dano"),IF($OG132=1,"cura ","")&amp;$PH132&amp;"d8")))</f>
        <v/>
      </c>
      <c r="PP132" s="164">
        <f>IF($OG132=2,3*$PI132&amp;" de vida temp.",IF($OG132=3,"sem dano",IF($PI132=0,IF($OG132=1,"sem cura","sem dano"),IF($OG132=1,"cura ","")&amp;$PI132&amp;"d8")))</f>
        <v/>
      </c>
      <c r="PQ132" s="164">
        <f>IF($OG132=2,3*$PJ132&amp;" de vida temp.",IF($OG132=3,"sem dano",IF($PJ132=0,IF($OG132=1,"sem cura","sem dano"),IF($OG132=1,"cura ","")&amp;$PJ132&amp;"d8")))</f>
        <v/>
      </c>
      <c r="PR132" s="164">
        <f>IF($OG132=2,3*$PK132&amp;" de vida temp.",IF($OG132=3,"sem dano",IF($PK132=0,IF($OG132=1,"sem cura","sem dano"),IF($OG132=1,"cura ","")&amp;$PK132&amp;"d8")))</f>
        <v/>
      </c>
      <c r="PS132" s="164">
        <f>IF($OG132=2,3*$PL132&amp;" de vida temp.",IF($OG132=3,"sem dano",IF($PL132=0,IF($OG132=1,"sem cura","sem dano"),IF($OG132=1,"cura ","")&amp;$PL132&amp;"d8")))</f>
        <v/>
      </c>
      <c r="PT132" s="164">
        <f>IF($ND132=0,"",TEXTJOIN(" · ",TRUE,IF($ND132=0,"",TEXTJOIN(" · ",TRUE,IF($ND132=0,"",TEXTJOIN(" · ",TRUE,IF($MQ132&gt;$NE132,"Este lugar abre no nível "&amp;$MQ132,""),IF($MS132&gt;$NF132,"Classe "&amp;$MS132&amp;": o nível "&amp;$NE132&amp;" libera até a "&amp;$NF132,""),IF($NX132=1,"A Forma "&amp;$MU132&amp;" pede "&amp;INDEX('DADOS_FORMAS'!$GA$2:$GA$21,$NJ132)&amp;" aberta",""),IF(AND($MS132=0,$NJ132&gt;0,IF($NJ132=0,0,INDEX('DADOS_FORMAS'!$GJ$2:$GJ$21,$NJ132))=0),$MU132&amp;" não existe na Classe 0",""),IF($NY132=1,"Família Fechada: "&amp;$MX132,""),IF($NZ132=1,"Família Fechada: "&amp;$MY132,""),IF($OA132=1,"Família Fechada: "&amp;$MZ132,""),IF($OB132=1,"Família Fechada: "&amp;$NA132,""),IF(AND($MS132&gt;0,$OU132&gt;INDEX($O$2:$O$8,MAX(1,$MS132))),$OU132&amp;" Melhorias: a Classe "&amp;$MS132&amp;" aceita "&amp;INDEX($O$2:$O$8,MAX(1,$MS132)),""),IF(AND($MS132=0,$OU132&gt;1),"A básica aceita uma Melhoria",""),IF(AND($MS132=0,COUNTIF($NO132:$NR132,"&gt;1")&gt;0),"A básica só aceita Melhoria Leve",""),IF(AND($MS132&gt;0,$OV132&gt;2),$OV132&amp;" Restrições"&amp;IF($OF132=1,", contando a que a Forma "&amp;$MU132&amp;" já traz","")&amp;": o limite é 2",""),IF(AND($MS132=0,COUNTIF($NB132:$NC132,"?*")&gt;1),"A básica aceita uma Restrição Leve",""),IF(AND($MS132=0,COUNTIF($OI132:$OJ132,2)&gt;0),"A básica só aceita Restrição Leve",""),IF(AND($MS132&gt;0,$PC132&lt;0),"Orçamento estourado: faltam "&amp;(-$PC132)&amp;IF($PC132&lt;-1," pontos"," ponto"),""),IF(IFERROR(VLOOKUP(SUBSTITUTE(SUBSTITUTE(SUBSTITUTE($NB132,"~","~~"),"*","~*"),"?","~?"),'DADOS_RESTRICOES'!$M$2:$Q$54,4,FALSE),0)+IFERROR(VLOOKUP(SUBSTITUTE(SUBSTITUTE(SUBSTITUTE($NC132,"~","~~"),"*","~*"),"?","~?"),'DADOS_RESTRICOES'!$M$2:$Q$54,4,FALSE),0)&gt;1,$OK132&amp;" e "&amp;$OL132&amp;" são as duas de frequência",""),IF(AND((COUNTIF($RK132:$RN132,"Rápido")+COUNTIF($OK132:$OL132,"Rápido"))&gt;0,(COUNTIF($MX132:$NA132,"Atrasar")+COUNTIF($OK132:$OL132,"Atrasar"))&gt;0),"Rápido não entra com Atrasar",""),IF(AND((COUNTIF($RK132:$RN132,"Reação")+COUNTIF($OK132:$OL132,"Reação"))&gt;0,(COUNTIF($RK132:$RN132,"Rápido")+COUNTIF($OK132:$OL132,"Rápido"))&gt;0),"Reação não entra com Rápido",""),IF(AND((COUNTIF($RK132:$RN132,"Reação")+COUNTIF($OK132:$OL132,"Reação"))&gt;0,(COUNTIF($RK132:$RN132,"Armado")+COUNTIF($OK132:$OL132,"Armado"))&gt;0),"Reação não entra com Armado",""),IF(AND((COUNTIF($RK132:$RN132,"Reação")+COUNTIF($OK132:$OL132,"Reação"))&gt;0,(COUNTIF($MX132:$NA132,"Atrasar")+COUNTIF($OK132:$OL132,"Atrasar"))&gt;0),"Reação não entra com Atrasar",""),IF(AND((COUNTIF($RK132:$RN132,"Reação")+COUNTIF($OK132:$OL132,"Reação"))&gt;0,(COUNTIF($MX132:$NA132,"Parado")+COUNTIF($OK132:$OL132,"Parado"))&gt;0),"Reação não entra com Parado",""),IF(AND((COUNTIF($MX132:$NA132,"Atrasar")+COUNTIF($OK132:$OL132,"Atrasar"))&gt;0,(COUNTIF($MX132:$NA132,"Parado")+COUNTIF($OK132:$OL132,"Parado"))&gt;0),"Atrasar não entra com Parado",""),IF(AND((COUNTIF($RK132:$RN132,"Armado")+COUNTIF($OK132:$OL132,"Armado"))&gt;0,(COUNTIF($MX132:$NA132,"Carregar")+COUNTIF($OK132:$OL132,"Carregar"))&gt;0),"Armado não entra com Carregar",""),IF(AND(COUNTIF($OK132:$OL132,"Corpo a Corpo")&gt;0,$OF132=0,OR($RO132="Cone",$RO132="Linha")),"Corpo a Corpo não entra em "&amp;$MU132,""),IF(AND(COUNTIF($OK132:$OL132,"Corpo a Corpo")&gt;0,$RP132="Corpo a Corpo"),"A Forma "&amp;$MU132&amp;" já traz o Corpo a Corpo",""),IF(AND(COUNTIF($OK132:$OL132,"Tudo ou Nada")&gt;0,$OH132=0),"Tudo ou Nada só entra em habilidade de Teste de Resistência",""),IF(AND(COUNTIF($RK132:$RN132,"Inescapável")&gt;0,OR($OU132&gt;1,$OV132&gt;0)),"Inescapável não aceita outra peça",""),IF(AND($MS132&gt;0,$PD132*IF(COUNTIF($RK132:$RN132,"Remate")&gt;0,1.25,1)+$PE132&gt;4*$MS132),($PD132*IF(COUNTIF($RK132:$RN132,"Remate")&gt;0,1.25,1)+$PE132)&amp;" dados somando repetições"&amp;IF(COUNTIF($RK132:$RN132,"Remate")&gt;0," e o Remate","")&amp;": o teto da Classe "&amp;$MS132&amp;" é "&amp;4*$MS132,""))),IF(AND($MX132&lt;&gt;"",COUNTIF('DADOS_MELHORIAS'!$O$2:$O$113,SUBSTITUTE(SUBSTITUTE(SUBSTITUTE($MX132,"~","~~"),"*","~*"),"?","~?"))=0),"Melhoria não cadastrada ou com erro: "&amp;$MX132,""),IF(AND($MY132&lt;&gt;"",COUNTIF('DADOS_MELHORIAS'!$O$2:$O$113,SUBSTITUTE(SUBSTITUTE(SUBSTITUTE($MY132,"~","~~"),"*","~*"),"?","~?"))=0),"Melhoria não cadastrada ou com erro: "&amp;$MY132,""),IF(AND($MZ132&lt;&gt;"",COUNTIF('DADOS_MELHORIAS'!$O$2:$O$113,SUBSTITUTE(SUBSTITUTE(SUBSTITUTE($MZ132,"~","~~"),"*","~*"),"?","~?"))=0),"Melhoria não cadastrada ou com erro: "&amp;$MZ132,""),IF(AND($NA132&lt;&gt;"",COUNTIF('DADOS_MELHORIAS'!$O$2:$O$113,SUBSTITUTE(SUBSTITUTE(SUBSTITUTE($NA132,"~","~~"),"*","~*"),"?","~?"))=0),"Melhoria não cadastrada ou com erro: "&amp;$NA132,""),IF(AND($NB132&lt;&gt;"",COUNTIF('DADOS_RESTRICOES'!$M$2:$M$54,SUBSTITUTE(SUBSTITUTE(SUBSTITUTE($NB132,"~","~~"),"*","~*"),"?","~?"))=0),"Restrição não cadastrada ou com erro: "&amp;$NB132,""),IF(AND($NC132&lt;&gt;"",COUNTIF('DADOS_RESTRICOES'!$M$2:$M$54,SUBSTITUTE(SUBSTITUTE(SUBSTITUTE($NC132,"~","~~"),"*","~*"),"?","~?"))=0),"Restrição não cadastrada ou com erro: "&amp;$NC132,""))),IF(AND($MU132&lt;&gt;"",COUNTIF('DADOS_FORMAS'!$AH$2:$AH$21,SUBSTITUTE(SUBSTITUTE(SUBSTITUTE($MU132,"~","~~"),"*","~*"),"?","~?"))=0),"Forma não cadastrada ou com erro: "&amp;$MU132,""),IF(AND(IFERROR(INDEX('DADOS_FORMAS'!$AS$2:$AS$21,MATCH(SUBSTITUTE(SUBSTITUTE(SUBSTITUTE($MU132,"~","~~"),"*","~*"),"?","~?"),'DADOS_FORMAS'!$AH$2:$AH$21,0)),"")&lt;&gt;"",OR(IFERROR(VLOOKUP(SUBSTITUTE(SUBSTITUTE(SUBSTITUTE(IFERROR(INDEX('DADOS_FORMAS'!$AS$2:$AS$21,MATCH(SUBSTITUTE(SUBSTITUTE(SUBSTITUTE($MU132,"~","~~"),"*","~*"),"?","~?"),'DADOS_FORMAS'!$AH$2:$AH$21,0)),""),"~","~~"),"*","~*"),"?","~?"),'DADOS_RESTRICOES'!$M$2:$Q$54,2,FALSE),"")=$OK132,IFERROR(VLOOKUP(SUBSTITUTE(SUBSTITUTE(SUBSTITUTE(IFERROR(INDEX('DADOS_FORMAS'!$AS$2:$AS$21,MATCH(SUBSTITUTE(SUBSTITUTE(SUBSTITUTE($MU132,"~","~~"),"*","~*"),"?","~?"),'DADOS_FORMAS'!$AH$2:$AH$21,0)),""),"~","~~"),"*","~*"),"?","~?"),'DADOS_RESTRICOES'!$M$2:$Q$54,2,FALSE),"")=$OL132)),"Restrição repetida, contando a embutida",""),IF(IF(IFERROR(INDEX('DADOS_FORMAS'!$AS$2:$AS$21,MATCH(SUBSTITUTE(SUBSTITUTE(SUBSTITUTE($MU132,"~","~~"),"*","~*"),"?","~?"),'DADOS_FORMAS'!$AH$2:$AH$21,0)),"")="",0,IFERROR(N(VLOOKUP(SUBSTITUTE(SUBSTITUTE(SUBSTITUTE(IFERROR(INDEX('DADOS_FORMAS'!$AS$2:$AS$21,MATCH(SUBSTITUTE(SUBSTITUTE(SUBSTITUTE($MU132,"~","~~"),"*","~*"),"?","~?"),'DADOS_FORMAS'!$AH$2:$AH$21,0)),""),"~","~~"),"*","~*"),"?","~?"),'DADOS_RESTRICOES'!$M$2:$Q$54,4,FALSE)=1),0))+IF($NB132="",0,IFERROR(N(VLOOKUP(SUBSTITUTE(SUBSTITUTE(SUBSTITUTE($NB132,"~","~~"),"*","~*"),"?","~?"),'DADOS_RESTRICOES'!$M$2:$Q$54,4,FALSE)=1),0))+IF($NC132="",0,IFERROR(N(VLOOKUP(SUBSTITUTE(SUBSTITUTE(SUBSTITUTE($NC132,"~","~~"),"*","~*"),"?","~?"),'DADOS_RESTRICOES'!$M$2:$Q$54,4,FALSE)=1),0))&gt;1,"Duas Restrições de frequência, contando a embutida",""),IF(AND(IFERROR(VLOOKUP(SUBSTITUTE(SUBSTITUTE(SUBSTITUTE(IFERROR(INDEX('DADOS_FORMAS'!$AS$2:$AS$21,MATCH(SUBSTITUTE(SUBSTITUTE(SUBSTITUTE($MU132,"~","~~"),"*","~*"),"?","~?"),'DADOS_FORMAS'!$AH$2:$AH$21,0)),""),"~","~~"),"*","~*"),"?","~?"),'DADOS_RESTRICOES'!$M$2:$Q$54,2,FALSE),"")="Tudo ou Nada",$OH132=0),"Tudo ou Nada exige TR",""),IF(AND(IFERROR(VLOOKUP(SUBSTITUTE(SUBSTITUTE(SUBSTITUTE(IFERROR(INDEX('DADOS_FORMAS'!$AS$2:$AS$21,MATCH(SUBSTITUTE(SUBSTITUTE(SUBSTITUTE($MU132,"~","~~"),"*","~*"),"?","~?"),'DADOS_FORMAS'!$AH$2:$AH$21,0)),""),"~","~~"),"*","~*"),"?","~?"),'DADOS_RESTRICOES'!$M$2:$Q$54,2,FALSE),"")="Corpo a Corpo",OR($RO132="Cone",$RO132="Linha")),"Corpo a Corpo não entra em Cone/Linha","")))</f>
        <v/>
      </c>
      <c r="PU132" s="164">
        <f>IF($PT132="",0,(LEN($PT132)-LEN(SUBSTITUTE($PT132," · ","")))/3+1)</f>
        <v/>
      </c>
      <c r="PV132" s="164">
        <f>IF($ND132=0,"",TEXTJOIN(" · ",TRUE,IF($OX132&gt;2*$MS132,"A devolução parou no teto de "&amp;2*$MS132,""),IF($PA132&gt;0,"Devolução perdida: "&amp;$PA132&amp;IF($PA132&gt;1," pontos"," ponto")&amp;" sem Melhoria para pagar",""),IF(AND($OC132&gt;0,AND($MS132&gt;0,$OG132=0),$PD132=0),"Controle sem dano: uma rodada a mais e CD +2",""),IF(AND($OC132&gt;0,AND($MS132&gt;0,$OG132=0),$PD132&gt;0,$PD132&lt;=$MS132),"Controle com saldo até a Classe: uma rodada a mais",""),IF(AND($MS132&gt;0,$OE132&lt;&gt;""),"Efeito de "&amp;$OE132&amp;" pela Classe "&amp;MAX(1,$MS132-1),"")))</f>
        <v/>
      </c>
      <c r="PW132" s="164">
        <f>IF($PV132="",0,(LEN($PV132)-LEN(SUBSTITUTE($PV132," · ","")))/3+1)</f>
        <v/>
      </c>
      <c r="PX132" s="164">
        <f>IF($ND132=0,IF($OU132+COUNTIF($NB132:$NC132,"?*")&gt;0,"Dê um nome",""),IF($PU132&gt;0,"⚠ "&amp;$PU132&amp;IF($PU132&gt;1," erros"," erro"),IF($PW132&gt;0,"! "&amp;$PW132&amp;IF($PW132&gt;1," avisos"," aviso"),"Na regra")))</f>
        <v/>
      </c>
      <c r="PY132" s="164">
        <f>IF($ND132=0,"",IF($PU132+$PW132=0,"Dentro das regras que a ficha confere",$PT132&amp;IF(AND($PU132&gt;0,$PW132&gt;0)," · ","")&amp;$PV132))</f>
        <v/>
      </c>
      <c r="PZ132" s="164">
        <f>IF($MQ132&gt;$NE132,$MR132&amp;" · ABRE NO NÍVEL "&amp;$MQ132,$MR132)</f>
        <v/>
      </c>
      <c r="QA132" s="164">
        <f>IF($ND132=0,"",IF($MS132=0,"Sem PE",3*$MS132&amp;" PE"))</f>
        <v/>
      </c>
      <c r="QB132" s="164">
        <f>IF($ND132=0,"",IF($MS132=0,"A atuação básica dela",IF(COUNTIF($RQ132:$RS132,"Atrasar")&gt;0,"Sua Ação Completa",IF(COUNTIF($RK132:$RN132,"Rápido")&gt;0,"Sua Bônus",IF(COUNTIF($RK132:$RN132,"Reação")&gt;0,"Sua Reação","Sua Padrão")))&amp;" + a básica dela"&amp;IF(COUNTIF($RK132:$RN132,"Reação")&gt;0," e a coletiva","")&amp;IF(COUNTIF($RQ132:$RS132,"Carregar")&gt;0," · em dois turnos","")))</f>
        <v/>
      </c>
      <c r="QC132" s="164">
        <f>IF($MW132&lt;&gt;"",$MW132,IF($NJ132=0,"",INDEX('DADOS_FORMAS'!$GE$2:$GE$21,$NJ132)))</f>
        <v/>
      </c>
      <c r="QD132" s="164">
        <f>IF(OR($ND132=0,$NJ132=0),"",IF(COUNTIF($RK132:$RN132,"Inescapável")&gt;0,"Automático",IF($QC132="Ataque",IF($NH132="","Ataque","Ataque "&amp;IF(($NH132+2*IF(COUNTIF($RK132:$RN132,"Precisão")&gt;0,1,0))&gt;=0,"+","−")&amp;ABS(($NH132+2*IF(COUNTIF($RK132:$RN132,"Precisão")&gt;0,1,0))))&amp;IF($OD132&gt;0," · TR"&amp;IF($NI132="",""," CD "&amp;$NI132),""),IF(LEFT($QC132,2)="TR",$QC132&amp;IF($NI132="",""," · CD "&amp;$NI132)&amp;IF(COUNTIF($RK132:$RN132,"Certeiro")&gt;0," · metade",""),"Sem rolagem"))))</f>
        <v/>
      </c>
      <c r="QE132" s="164">
        <f>IF(OR($ND132=0,$NJ132=0),"",IF($MS132=0,IF(OR($OG132&gt;=1,$PD132=0),"Sem dano",$PD132&amp;"d6"&amp;IF($MV132="",""," "&amp;$MV132)),IF(OR($OG132&gt;=1,$PD132=0),UPPER(LEFT(INDEX($PM132:$PS132,1,MAX(1,$MS132)),1))&amp;MID(INDEX($PM132:$PS132,1,MAX(1,$MS132)),2,99),UPPER(LEFT(INDEX($PM132:$PS132,1,MAX(1,$MS132)),1))&amp;MID(INDEX($PM132:$PS132,1,MAX(1,$MS132)),2,99)&amp;IF($MV132="",""," "&amp;$MV132)&amp;IF($PE132&gt;0," · +"&amp;$PE132&amp;"d8",""))))</f>
        <v/>
      </c>
      <c r="QF132" s="164">
        <f>COUNTIF($RK132:$RN132,"Longe")+3*COUNTIF($RK132:$RN132,"Muito Longe")</f>
        <v/>
      </c>
      <c r="QG132" s="164">
        <f>COUNTIF($RK132:$RN132,"Maior")+3*COUNTIF($RK132:$RN132,"Muito Maior")</f>
        <v/>
      </c>
      <c r="QH132" s="164">
        <f>IF($NJ132=0,0,CHOOSE(1+INDEX('DADOS_FORMAS'!$GG$2:$GG$21,$NJ132),0,$QF132,$QG132,$QF132+$QG132))</f>
        <v/>
      </c>
      <c r="QI132" s="164">
        <f>IF($NJ132=0,0,CHOOSE(1+INDEX('DADOS_FORMAS'!$GH$2:$GH$21,$NJ132),0,$QF132,$QG132,$QF132+$QG132))</f>
        <v/>
      </c>
      <c r="QJ132" s="164">
        <f>IF(OR($ND132=0,$NJ132=0),"",INDEX('DADOS_FORMAS'!$HU$2:$HZ$81,($NJ132-1)*4+IF($MS132=0,1,IF($MS132&lt;=5,2,IF($MS132=6,3,4))),1+MIN(5,$QH132))&amp;INDEX('DADOS_FORMAS'!$IA$2:$IF$81,($NJ132-1)*4+IF($MS132=0,1,IF($MS132&lt;=5,2,IF($MS132=6,3,4))),1+MIN(5,$QI132))&amp;IF(INDEX('DADOS_FORMAS'!$GI$2:$GI$21,$NJ132)=1,IF(COUNTIF($RK132:$RN132,"Mais Um")&gt;0," · +"&amp;COUNTIF($RK132:$RN132,"Mais Um")&amp;IF(COUNTIF($RK132:$RN132,"Mais Um")&gt;1," alvos"," alvo"),"")&amp;IF(COUNTIF($RK132:$RN132,"Rajada")&gt;0,IF($MS132=0," · 1 tiro"," · "&amp;(MAX(1,$MS132-1)+1)&amp;" tiros"),""),""))</f>
        <v/>
      </c>
      <c r="QK132" s="164">
        <f>IF($ND132=0,"",IF($MS132=0,$NG132&amp;"d6"&amp;IF($OU132&gt;0," − 1 = "&amp;$PD132&amp;"d6"," da básica do nível "&amp;$NE132),$PB132&amp;" − "&amp;$OW132&amp;" + "&amp;$OZ132&amp;" = "&amp;$PC132&amp;" · teto "&amp;4*$MS132&amp;"d8"&amp;IF($OF132=1," · a Forma devolve "&amp;$MS132,"")&amp;IF($PA132&gt;0," · perde "&amp;$PA132,"")))</f>
        <v/>
      </c>
      <c r="QL132" s="164">
        <f>IF($ND132=0,"",IF($MS132=0,"A básica não amplia: os dados dela sobem com o nível",IF($MS132&gt;=$NF132,"Já está na maior Classe que o nível liberou",TEXTJOIN(" · ",TRUE,IF(AND(2&gt;$MS132,2&lt;=$NF132),"2 → "&amp;$PN132&amp;", 6 PE",""),IF(AND(3&gt;$MS132,3&lt;=$NF132),"3 → "&amp;$PO132&amp;", 9 PE",""),IF(AND(4&gt;$MS132,4&lt;=$NF132),"4 → "&amp;$PP132&amp;", 12 PE",""),IF(AND(5&gt;$MS132,5&lt;=$NF132),"5 → "&amp;$PQ132&amp;", 15 PE",""),IF(AND(6&gt;$MS132,6&lt;=$NF132),"6 → "&amp;$PR132&amp;", 18 PE",""),IF(AND(7&gt;$MS132,7&lt;=$NF132),"7 → "&amp;$PS132&amp;", 21 PE","")))))</f>
        <v/>
      </c>
      <c r="QM132" s="164">
        <f>IF(OR($ND132=0,$NO132=0),"",IF($MS132=0,"−1 dado","−"&amp;INDEX($I$2:$N$8,MAX(1,$MS132),MAX(1,$NT132))&amp;" · "&amp;CHOOSE(MAX(1,$NT132),"Leve","Média","Pesada","Leve · Livre","Média · Livre","Pesada · Livre")))</f>
        <v/>
      </c>
      <c r="QN132" s="164">
        <f>IF(OR($ND132=0,$NP132=0),"",IF($MS132=0,"−1 dado","−"&amp;INDEX($I$2:$N$8,MAX(1,$MS132),MAX(1,$NU132))&amp;" · "&amp;CHOOSE(MAX(1,$NU132),"Leve","Média","Pesada","Leve · Livre","Média · Livre","Pesada · Livre")))</f>
        <v/>
      </c>
      <c r="QO132" s="164">
        <f>IF(OR($ND132=0,$NQ132=0),"",IF($MS132=0,"−1 dado","−"&amp;INDEX($I$2:$N$8,MAX(1,$MS132),MAX(1,$NV132))&amp;" · "&amp;CHOOSE(MAX(1,$NV132),"Leve","Média","Pesada","Leve · Livre","Média · Livre","Pesada · Livre")))</f>
        <v/>
      </c>
      <c r="QP132" s="164">
        <f>IF(OR($ND132=0,$NR132=0),"",IF($MS132=0,"−1 dado","−"&amp;INDEX($I$2:$N$8,MAX(1,$MS132),MAX(1,$NW132))&amp;" · "&amp;CHOOSE(MAX(1,$NW132),"Leve","Média","Pesada","Leve · Livre","Média · Livre","Pesada · Livre")))</f>
        <v/>
      </c>
      <c r="QQ132" s="164">
        <f>IF(OR($ND132=0,$NB132=""),"",IF($MS132=0,"não devolve","+"&amp;IF($OI132=1,CEILING($MS132/2,1),$MS132)))</f>
        <v/>
      </c>
      <c r="QR132" s="164">
        <f>IF(OR($ND132=0,$NC132=""),"",IF($MS132=0,"não devolve","+"&amp;IF($OJ132=1,CEILING($MS132/2,1),$MS132)))</f>
        <v/>
      </c>
      <c r="RK132">
        <f>IF($MX132="","",IFERROR(VLOOKUP(SUBSTITUTE(SUBSTITUTE(SUBSTITUTE($MX132,"~","~~"),"*","~*"),"?","~?"),'DADOS_MELHORIAS'!$O$2:$X$113,10,FALSE),$MX132))</f>
        <v/>
      </c>
      <c r="RL132">
        <f>IF($MY132="","",IFERROR(VLOOKUP(SUBSTITUTE(SUBSTITUTE(SUBSTITUTE($MY132,"~","~~"),"*","~*"),"?","~?"),'DADOS_MELHORIAS'!$O$2:$X$113,10,FALSE),$MY132))</f>
        <v/>
      </c>
      <c r="RM132">
        <f>IF($MZ132="","",IFERROR(VLOOKUP(SUBSTITUTE(SUBSTITUTE(SUBSTITUTE($MZ132,"~","~~"),"*","~*"),"?","~?"),'DADOS_MELHORIAS'!$O$2:$X$113,10,FALSE),$MZ132))</f>
        <v/>
      </c>
      <c r="RN132">
        <f>IF($NA132="","",IFERROR(VLOOKUP(SUBSTITUTE(SUBSTITUTE(SUBSTITUTE($NA132,"~","~~"),"*","~*"),"?","~?"),'DADOS_MELHORIAS'!$O$2:$X$113,10,FALSE),$NA132))</f>
        <v/>
      </c>
      <c r="RO132">
        <f>IFERROR(INDEX('DADOS_FORMAS'!$BJ$2:$BJ$21,MATCH(SUBSTITUTE(SUBSTITUTE(SUBSTITUTE($MU132,"~","~~"),"*","~*"),"?","~?"),'DADOS_FORMAS'!$AH$2:$AH$21,0)),"")</f>
        <v/>
      </c>
      <c r="RP132">
        <f>IFERROR(VLOOKUP(SUBSTITUTE(SUBSTITUTE(SUBSTITUTE(IFERROR(INDEX('DADOS_FORMAS'!$AS$2:$AS$21,MATCH(SUBSTITUTE(SUBSTITUTE(SUBSTITUTE($MU132,"~","~~"),"*","~*"),"?","~?"),'DADOS_FORMAS'!$AH$2:$AH$21,0)),""),"~","~~"),"*","~*"),"?","~?"),'DADOS_RESTRICOES'!$M$2:$Q$54,2,FALSE),"")</f>
        <v/>
      </c>
      <c r="RQ132">
        <f>$OK132</f>
        <v/>
      </c>
      <c r="RR132">
        <f>$OL132</f>
        <v/>
      </c>
      <c r="RS132">
        <f>$RP132</f>
        <v/>
      </c>
    </row>
    <row r="133">
      <c r="MN133" s="162" t="inlineStr">
        <is>
          <t>Ficha 11 · Especial 1</t>
        </is>
      </c>
      <c r="MO133" s="164" t="n">
        <v>11</v>
      </c>
      <c r="MP133" s="164" t="n">
        <v>1</v>
      </c>
      <c r="MQ133" s="164" t="n">
        <v>1</v>
      </c>
      <c r="MR133" s="162" t="inlineStr">
        <is>
          <t>ESPECIAL 1</t>
        </is>
      </c>
      <c r="MS133" s="164">
        <f>MAX(1,MIN(7,N('INVOCAÇÕES'!$AH$915)))</f>
        <v/>
      </c>
      <c r="MT133" s="164">
        <f>'INVOCAÇÕES'!$AI$915&amp;""</f>
        <v/>
      </c>
      <c r="MU133" s="164">
        <f>'INVOCAÇÕES'!$AH$920&amp;""</f>
        <v/>
      </c>
      <c r="MV133" s="164">
        <f>'INVOCAÇÕES'!$AH$921&amp;""</f>
        <v/>
      </c>
      <c r="MW133" s="164">
        <f>'INVOCAÇÕES'!$AJ$921&amp;""</f>
        <v/>
      </c>
      <c r="MX133" s="164">
        <f>'INVOCAÇÕES'!$AI$924&amp;""</f>
        <v/>
      </c>
      <c r="MY133" s="164">
        <f>'INVOCAÇÕES'!$AI$925&amp;""</f>
        <v/>
      </c>
      <c r="MZ133" s="164">
        <f>'INVOCAÇÕES'!$AI$926&amp;""</f>
        <v/>
      </c>
      <c r="NA133" s="164">
        <f>'INVOCAÇÕES'!$AI$927&amp;""</f>
        <v/>
      </c>
      <c r="NB133" s="164">
        <f>'INVOCAÇÕES'!$AI$928&amp;""</f>
        <v/>
      </c>
      <c r="NC133" s="164">
        <f>'INVOCAÇÕES'!$AI$929&amp;""</f>
        <v/>
      </c>
      <c r="ND133" s="164">
        <f>IF($MT133&lt;&gt;"",1,0)</f>
        <v/>
      </c>
      <c r="NE133" s="164">
        <f>INDEX($FO$2:$FO$13,$MO133)</f>
        <v/>
      </c>
      <c r="NF133" s="164">
        <f>INDEX($FP$2:$FP$13,$MO133)</f>
        <v/>
      </c>
      <c r="NG133" s="164">
        <f>INDEX($FQ$2:$FQ$13,$MO133)</f>
        <v/>
      </c>
      <c r="NH133" s="164">
        <f>INDEX($GB$2:$GB$13,$MO133)</f>
        <v/>
      </c>
      <c r="NI133" s="164">
        <f>INDEX($GC$2:$GC$13,$MO133)</f>
        <v/>
      </c>
      <c r="NJ133" s="164">
        <f>IFERROR(MATCH(SUBSTITUTE(SUBSTITUTE(SUBSTITUTE($MU133,"~","~~"),"*","~*"),"?","~?"),'DADOS_FORMAS'!$FZ$2:$FZ$21,0),0)</f>
        <v/>
      </c>
      <c r="NK133" s="164">
        <f>IFERROR(VLOOKUP(SUBSTITUTE(SUBSTITUTE(SUBSTITUTE($MX133,"~","~~"),"*","~*"),"?","~?"),'DADOS_MELHORIAS'!$AG$2:$AL$113,2,FALSE),"")</f>
        <v/>
      </c>
      <c r="NL133" s="164">
        <f>IFERROR(VLOOKUP(SUBSTITUTE(SUBSTITUTE(SUBSTITUTE($MY133,"~","~~"),"*","~*"),"?","~?"),'DADOS_MELHORIAS'!$AG$2:$AL$113,2,FALSE),"")</f>
        <v/>
      </c>
      <c r="NM133" s="164">
        <f>IFERROR(VLOOKUP(SUBSTITUTE(SUBSTITUTE(SUBSTITUTE($MZ133,"~","~~"),"*","~*"),"?","~?"),'DADOS_MELHORIAS'!$AG$2:$AL$113,2,FALSE),"")</f>
        <v/>
      </c>
      <c r="NN133" s="164">
        <f>IFERROR(VLOOKUP(SUBSTITUTE(SUBSTITUTE(SUBSTITUTE($NA133,"~","~~"),"*","~*"),"?","~?"),'DADOS_MELHORIAS'!$AG$2:$AL$113,2,FALSE),"")</f>
        <v/>
      </c>
      <c r="NO133" s="164">
        <f>IFERROR(VLOOKUP(SUBSTITUTE(SUBSTITUTE(SUBSTITUTE($MX133,"~","~~"),"*","~*"),"?","~?"),'DADOS_MELHORIAS'!$AG$2:$AL$113,3,FALSE),0)</f>
        <v/>
      </c>
      <c r="NP133" s="164">
        <f>IFERROR(VLOOKUP(SUBSTITUTE(SUBSTITUTE(SUBSTITUTE($MY133,"~","~~"),"*","~*"),"?","~?"),'DADOS_MELHORIAS'!$AG$2:$AL$113,3,FALSE),0)</f>
        <v/>
      </c>
      <c r="NQ133" s="164">
        <f>IFERROR(VLOOKUP(SUBSTITUTE(SUBSTITUTE(SUBSTITUTE($MZ133,"~","~~"),"*","~*"),"?","~?"),'DADOS_MELHORIAS'!$AG$2:$AL$113,3,FALSE),0)</f>
        <v/>
      </c>
      <c r="NR133" s="164">
        <f>IFERROR(VLOOKUP(SUBSTITUTE(SUBSTITUTE(SUBSTITUTE($NA133,"~","~~"),"*","~*"),"?","~?"),'DADOS_MELHORIAS'!$AG$2:$AL$113,3,FALSE),0)</f>
        <v/>
      </c>
      <c r="NS133" s="164">
        <f>IF($MS133=0,0,IF($NJ133=0,0,INDEX('DADOS_FORMAS'!$GB$2:$GB$21,$NJ133)))</f>
        <v/>
      </c>
      <c r="NT133" s="164">
        <f>IF(OR($NO133=0,$MS133=0),0,$NO133+3*IF(AND($NK133&lt;&gt;"",COUNTIF(INDEX($RB$2:$RJ$13,$MO133,0),$NK133)&gt;0),1,0))</f>
        <v/>
      </c>
      <c r="NU133" s="164">
        <f>IF(OR($NP133=0,$MS133=0),0,$NP133+3*IF(AND($NL133&lt;&gt;"",COUNTIF(INDEX($RB$2:$RJ$13,$MO133,0),$NL133)&gt;0),1,0))</f>
        <v/>
      </c>
      <c r="NV133" s="164">
        <f>IF(OR($NQ133=0,$MS133=0),0,$NQ133+3*IF(AND($NM133&lt;&gt;"",COUNTIF(INDEX($RB$2:$RJ$13,$MO133,0),$NM133)&gt;0),1,0))</f>
        <v/>
      </c>
      <c r="NW133" s="164">
        <f>IF(OR($NR133=0,$MS133=0),0,$NR133+3*IF(AND($NN133&lt;&gt;"",COUNTIF(INDEX($RB$2:$RJ$13,$MO133,0),$NN133)&gt;0),1,0))</f>
        <v/>
      </c>
      <c r="NX133" s="164">
        <f>IF($NJ133=0,0,IF(INDEX('DADOS_FORMAS'!$GA$2:$GA$21,$NJ133)="",0,IF((COUNTIF(INDEX($EL$2:$EP$13,$MO133,0),INDEX('DADOS_FORMAS'!$GA$2:$GA$21,$NJ133))+COUNTIF(INDEX($QV$2:$QY$13,$MO133,0),INDEX('DADOS_FORMAS'!$GA$2:$GA$21,$NJ133)))=0,1,0)))</f>
        <v/>
      </c>
      <c r="NY133" s="164">
        <f>IF(OR($NO133=0,$NK133=""),0,IF((COUNTIF(INDEX($EL$2:$EP$13,$MO133,0),$NK133)+COUNTIF(INDEX($QV$2:$QY$13,$MO133,0),$NK133))=0,1,0))</f>
        <v/>
      </c>
      <c r="NZ133" s="164">
        <f>IF(OR($NP133=0,$NL133=""),0,IF((COUNTIF(INDEX($EL$2:$EP$13,$MO133,0),$NL133)+COUNTIF(INDEX($QV$2:$QY$13,$MO133,0),$NL133))=0,1,0))</f>
        <v/>
      </c>
      <c r="OA133" s="164">
        <f>IF(OR($NQ133=0,$NM133=""),0,IF((COUNTIF(INDEX($EL$2:$EP$13,$MO133,0),$NM133)+COUNTIF(INDEX($QV$2:$QY$13,$MO133,0),$NM133))=0,1,0))</f>
        <v/>
      </c>
      <c r="OB133" s="164">
        <f>IF(OR($NR133=0,$NN133=""),0,IF((COUNTIF(INDEX($EL$2:$EP$13,$MO133,0),$NN133)+COUNTIF(INDEX($QV$2:$QY$13,$MO133,0),$NN133))=0,1,0))</f>
        <v/>
      </c>
      <c r="OC133" s="164">
        <f>IFERROR(VLOOKUP(SUBSTITUTE(SUBSTITUTE(SUBSTITUTE($MX133,"~","~~"),"*","~*"),"?","~?"),'DADOS_MELHORIAS'!$AG$2:$AL$113,4,FALSE),0)+IFERROR(VLOOKUP(SUBSTITUTE(SUBSTITUTE(SUBSTITUTE($MY133,"~","~~"),"*","~*"),"?","~?"),'DADOS_MELHORIAS'!$AG$2:$AL$113,4,FALSE),0)+IFERROR(VLOOKUP(SUBSTITUTE(SUBSTITUTE(SUBSTITUTE($MZ133,"~","~~"),"*","~*"),"?","~?"),'DADOS_MELHORIAS'!$AG$2:$AL$113,4,FALSE),0)+IFERROR(VLOOKUP(SUBSTITUTE(SUBSTITUTE(SUBSTITUTE($NA133,"~","~~"),"*","~*"),"?","~?"),'DADOS_MELHORIAS'!$AG$2:$AL$113,4,FALSE),0)</f>
        <v/>
      </c>
      <c r="OD133" s="164">
        <f>IFERROR(VLOOKUP(SUBSTITUTE(SUBSTITUTE(SUBSTITUTE($MX133,"~","~~"),"*","~*"),"?","~?"),'DADOS_MELHORIAS'!$AG$2:$AL$113,6,FALSE),0)+IFERROR(VLOOKUP(SUBSTITUTE(SUBSTITUTE(SUBSTITUTE($MY133,"~","~~"),"*","~*"),"?","~?"),'DADOS_MELHORIAS'!$AG$2:$AL$113,6,FALSE),0)+IFERROR(VLOOKUP(SUBSTITUTE(SUBSTITUTE(SUBSTITUTE($MZ133,"~","~~"),"*","~*"),"?","~?"),'DADOS_MELHORIAS'!$AG$2:$AL$113,6,FALSE),0)+IFERROR(VLOOKUP(SUBSTITUTE(SUBSTITUTE(SUBSTITUTE($NA133,"~","~~"),"*","~*"),"?","~?"),'DADOS_MELHORIAS'!$AG$2:$AL$113,6,FALSE),0)+IFERROR(N(AND(INDEX('DADOS_FORMAS'!$AO$2:$AO$21,MATCH(SUBSTITUTE(SUBSTITUTE(SUBSTITUTE($MU133,"~","~~"),"*","~*"),"?","~?"),'DADOS_FORMAS'!$AH$2:$AH$21,0))="Acerto",$OH133=1)),0)</f>
        <v/>
      </c>
      <c r="OE133" s="164">
        <f>TEXTJOIN(", ",TRUE,IF(IFERROR(VLOOKUP(SUBSTITUTE(SUBSTITUTE(SUBSTITUTE($MX133,"~","~~"),"*","~*"),"?","~?"),'DADOS_MELHORIAS'!$AG$2:$AL$113,5,FALSE),0)=1,$MX133,""),IF(IFERROR(VLOOKUP(SUBSTITUTE(SUBSTITUTE(SUBSTITUTE($MY133,"~","~~"),"*","~*"),"?","~?"),'DADOS_MELHORIAS'!$AG$2:$AL$113,5,FALSE),0)=1,$MY133,""),IF(IFERROR(VLOOKUP(SUBSTITUTE(SUBSTITUTE(SUBSTITUTE($MZ133,"~","~~"),"*","~*"),"?","~?"),'DADOS_MELHORIAS'!$AG$2:$AL$113,5,FALSE),0)=1,$MZ133,""),IF(IFERROR(VLOOKUP(SUBSTITUTE(SUBSTITUTE(SUBSTITUTE($NA133,"~","~~"),"*","~*"),"?","~?"),'DADOS_MELHORIAS'!$AG$2:$AL$113,5,FALSE),0)=1,$NA133,""))</f>
        <v/>
      </c>
      <c r="OF133" s="164">
        <f>IF($NJ133=0,0,INDEX('DADOS_FORMAS'!$GC$2:$GC$21,$NJ133))</f>
        <v/>
      </c>
      <c r="OG133" s="164">
        <f>IF($NJ133=0,0,INDEX('DADOS_FORMAS'!$GD$2:$GD$21,$NJ133))</f>
        <v/>
      </c>
      <c r="OH133" s="164">
        <f>IF($NJ133=0,0,INDEX('DADOS_FORMAS'!$GF$2:$GF$21,$NJ133))</f>
        <v/>
      </c>
      <c r="OI133" s="164">
        <f>IFERROR(VLOOKUP(SUBSTITUTE(SUBSTITUTE(SUBSTITUTE($NB133,"~","~~"),"*","~*"),"?","~?"),'DADOS_RESTRICOES'!$M$2:$Q$54,3,FALSE),0)</f>
        <v/>
      </c>
      <c r="OJ133" s="164">
        <f>IFERROR(VLOOKUP(SUBSTITUTE(SUBSTITUTE(SUBSTITUTE($NC133,"~","~~"),"*","~*"),"?","~?"),'DADOS_RESTRICOES'!$M$2:$Q$54,3,FALSE),0)</f>
        <v/>
      </c>
      <c r="OK133" s="164">
        <f>IFERROR(VLOOKUP(SUBSTITUTE(SUBSTITUTE(SUBSTITUTE($NB133,"~","~~"),"*","~*"),"?","~?"),'DADOS_RESTRICOES'!$M$2:$Q$54,2,FALSE),"")</f>
        <v/>
      </c>
      <c r="OL133" s="164">
        <f>IFERROR(VLOOKUP(SUBSTITUTE(SUBSTITUTE(SUBSTITUTE($NC133,"~","~~"),"*","~*"),"?","~?"),'DADOS_RESTRICOES'!$M$2:$Q$54,2,FALSE),"")</f>
        <v/>
      </c>
      <c r="OM133" s="164">
        <f>COUNTIF($NS133:$NW133,1)</f>
        <v/>
      </c>
      <c r="ON133" s="164">
        <f>COUNTIF($NS133:$NW133,2)</f>
        <v/>
      </c>
      <c r="OO133" s="164">
        <f>COUNTIF($NS133:$NW133,3)</f>
        <v/>
      </c>
      <c r="OP133" s="164">
        <f>COUNTIF($NS133:$NW133,4)</f>
        <v/>
      </c>
      <c r="OQ133" s="164">
        <f>COUNTIF($NS133:$NW133,5)</f>
        <v/>
      </c>
      <c r="OR133" s="164">
        <f>COUNTIF($NS133:$NW133,6)</f>
        <v/>
      </c>
      <c r="OS133" s="164">
        <f>COUNTIF($OI133:$OJ133,1)+IF(IFERROR(INDEX('DADOS_FORMAS'!$AS$2:$AS$21,MATCH(SUBSTITUTE(SUBSTITUTE(SUBSTITUTE($MU133,"~","~~"),"*","~*"),"?","~?"),'DADOS_FORMAS'!$AH$2:$AH$21,0)),"")="",0,IFERROR(N(VLOOKUP(SUBSTITUTE(SUBSTITUTE(SUBSTITUTE(IFERROR(INDEX('DADOS_FORMAS'!$AS$2:$AS$21,MATCH(SUBSTITUTE(SUBSTITUTE(SUBSTITUTE($MU133,"~","~~"),"*","~*"),"?","~?"),'DADOS_FORMAS'!$AH$2:$AH$21,0)),""),"~","~~"),"*","~*"),"?","~?"),'DADOS_RESTRICOES'!$M$2:$Q$54,3,FALSE)=1),0))</f>
        <v/>
      </c>
      <c r="OT133" s="164">
        <f>COUNTIF($OI133:$OJ133,2)+IF(IFERROR(INDEX('DADOS_FORMAS'!$AS$2:$AS$21,MATCH(SUBSTITUTE(SUBSTITUTE(SUBSTITUTE($MU133,"~","~~"),"*","~*"),"?","~?"),'DADOS_FORMAS'!$AH$2:$AH$21,0)),"")="",0,IFERROR(N(VLOOKUP(SUBSTITUTE(SUBSTITUTE(SUBSTITUTE(IFERROR(INDEX('DADOS_FORMAS'!$AS$2:$AS$21,MATCH(SUBSTITUTE(SUBSTITUTE(SUBSTITUTE($MU133,"~","~~"),"*","~*"),"?","~?"),'DADOS_FORMAS'!$AH$2:$AH$21,0)),""),"~","~~"),"*","~*"),"?","~?"),'DADOS_RESTRICOES'!$M$2:$Q$54,3,FALSE)=2),0))</f>
        <v/>
      </c>
      <c r="OU133" s="164">
        <f>COUNTIF($MX133:$NA133,"?*")</f>
        <v/>
      </c>
      <c r="OV133" s="164">
        <f>COUNTIF($NB133:$NC133,"?*")+$OF133</f>
        <v/>
      </c>
      <c r="OW133" s="164">
        <f>IF($MS133=0,0,SUMPRODUCT($OM133:$OR133,INDEX($I$2:$N$8,MAX(1,$MS133),0)))</f>
        <v/>
      </c>
      <c r="OX133" s="164">
        <f>IF($MS133=0,0,$OS133*CEILING($MS133/2,1)+$OT133*$MS133)</f>
        <v/>
      </c>
      <c r="OY133" s="164">
        <f>MIN(2*$MS133,$OX133)</f>
        <v/>
      </c>
      <c r="OZ133" s="164">
        <f>MIN($OY133,$OW133-IF($NS133=0,0,INDEX($I$2:$N$8,MAX(1,$MS133),$NS133)))</f>
        <v/>
      </c>
      <c r="PA133" s="164">
        <f>$OY133-$OZ133</f>
        <v/>
      </c>
      <c r="PB133" s="164">
        <f>IF($MS133=0,0,INDEX($P$2:$P$8,MAX(1,$MS133)))</f>
        <v/>
      </c>
      <c r="PC133" s="164">
        <f>$PB133-$OW133+$OZ133</f>
        <v/>
      </c>
      <c r="PD133" s="164">
        <f>IF($MS133=0,MAX(0,$NG133-IF(AND($OU133&gt;0,COUNTIF($NB133:$NC133,"?*")=0),1,0)),MAX(0,$PC133))</f>
        <v/>
      </c>
      <c r="PE133" s="164">
        <f>IF($MS133=0,0,(IF(COUNTIF($RK133:$RN133,"Salto")&gt;0,1,0)+IF(COUNTIF($RK133:$RN133,"Queima")&gt;0,1,0)+IF(COUNTIF($RK133:$RN133,"Estilhaço")&gt;0,1,0))*FLOOR($PD133/2,1))</f>
        <v/>
      </c>
      <c r="PF133" s="164">
        <f>MAX(0,2-SUMPRODUCT($OM133:$OR133,$I$2:$N$2)+MIN(2,$OS133*1+$OT133*1,SUMPRODUCT($OM133:$OR133,$I$2:$N$2)-IF($NS133=0,0,INDEX($I$2:$N$2,1,$NS133))))</f>
        <v/>
      </c>
      <c r="PG133" s="164">
        <f>MAX(0,4-SUMPRODUCT($OM133:$OR133,$I$3:$N$3)+MIN(4,$OS133*1+$OT133*2,SUMPRODUCT($OM133:$OR133,$I$3:$N$3)-IF($NS133=0,0,INDEX($I$3:$N$3,1,$NS133))))</f>
        <v/>
      </c>
      <c r="PH133" s="164">
        <f>MAX(0,6-SUMPRODUCT($OM133:$OR133,$I$4:$N$4)+MIN(6,$OS133*2+$OT133*3,SUMPRODUCT($OM133:$OR133,$I$4:$N$4)-IF($NS133=0,0,INDEX($I$4:$N$4,1,$NS133))))</f>
        <v/>
      </c>
      <c r="PI133" s="164">
        <f>MAX(0,9-SUMPRODUCT($OM133:$OR133,$I$5:$N$5)+MIN(8,$OS133*2+$OT133*4,SUMPRODUCT($OM133:$OR133,$I$5:$N$5)-IF($NS133=0,0,INDEX($I$5:$N$5,1,$NS133))))</f>
        <v/>
      </c>
      <c r="PJ133" s="164">
        <f>MAX(0,11-SUMPRODUCT($OM133:$OR133,$I$6:$N$6)+MIN(10,$OS133*3+$OT133*5,SUMPRODUCT($OM133:$OR133,$I$6:$N$6)-IF($NS133=0,0,INDEX($I$6:$N$6,1,$NS133))))</f>
        <v/>
      </c>
      <c r="PK133" s="164">
        <f>MAX(0,13-SUMPRODUCT($OM133:$OR133,$I$7:$N$7)+MIN(12,$OS133*3+$OT133*6,SUMPRODUCT($OM133:$OR133,$I$7:$N$7)-IF($NS133=0,0,INDEX($I$7:$N$7,1,$NS133))))</f>
        <v/>
      </c>
      <c r="PL133" s="164">
        <f>MAX(0,16-SUMPRODUCT($OM133:$OR133,$I$8:$N$8)+MIN(14,$OS133*4+$OT133*7,SUMPRODUCT($OM133:$OR133,$I$8:$N$8)-IF($NS133=0,0,INDEX($I$8:$N$8,1,$NS133))))</f>
        <v/>
      </c>
      <c r="PM133" s="164">
        <f>IF($OG133=2,3*$PF133&amp;" de vida temp.",IF($OG133=3,"sem dano",IF($PF133=0,IF($OG133=1,"sem cura","sem dano"),IF($OG133=1,"cura ","")&amp;$PF133&amp;"d8")))</f>
        <v/>
      </c>
      <c r="PN133" s="164">
        <f>IF($OG133=2,3*$PG133&amp;" de vida temp.",IF($OG133=3,"sem dano",IF($PG133=0,IF($OG133=1,"sem cura","sem dano"),IF($OG133=1,"cura ","")&amp;$PG133&amp;"d8")))</f>
        <v/>
      </c>
      <c r="PO133" s="164">
        <f>IF($OG133=2,3*$PH133&amp;" de vida temp.",IF($OG133=3,"sem dano",IF($PH133=0,IF($OG133=1,"sem cura","sem dano"),IF($OG133=1,"cura ","")&amp;$PH133&amp;"d8")))</f>
        <v/>
      </c>
      <c r="PP133" s="164">
        <f>IF($OG133=2,3*$PI133&amp;" de vida temp.",IF($OG133=3,"sem dano",IF($PI133=0,IF($OG133=1,"sem cura","sem dano"),IF($OG133=1,"cura ","")&amp;$PI133&amp;"d8")))</f>
        <v/>
      </c>
      <c r="PQ133" s="164">
        <f>IF($OG133=2,3*$PJ133&amp;" de vida temp.",IF($OG133=3,"sem dano",IF($PJ133=0,IF($OG133=1,"sem cura","sem dano"),IF($OG133=1,"cura ","")&amp;$PJ133&amp;"d8")))</f>
        <v/>
      </c>
      <c r="PR133" s="164">
        <f>IF($OG133=2,3*$PK133&amp;" de vida temp.",IF($OG133=3,"sem dano",IF($PK133=0,IF($OG133=1,"sem cura","sem dano"),IF($OG133=1,"cura ","")&amp;$PK133&amp;"d8")))</f>
        <v/>
      </c>
      <c r="PS133" s="164">
        <f>IF($OG133=2,3*$PL133&amp;" de vida temp.",IF($OG133=3,"sem dano",IF($PL133=0,IF($OG133=1,"sem cura","sem dano"),IF($OG133=1,"cura ","")&amp;$PL133&amp;"d8")))</f>
        <v/>
      </c>
      <c r="PT133" s="164">
        <f>IF($ND133=0,"",TEXTJOIN(" · ",TRUE,IF($ND133=0,"",TEXTJOIN(" · ",TRUE,IF($ND133=0,"",TEXTJOIN(" · ",TRUE,IF($MQ133&gt;$NE133,"Este lugar abre no nível "&amp;$MQ133,""),IF($MS133&gt;$NF133,"Classe "&amp;$MS133&amp;": o nível "&amp;$NE133&amp;" libera até a "&amp;$NF133,""),IF($NX133=1,"A Forma "&amp;$MU133&amp;" pede "&amp;INDEX('DADOS_FORMAS'!$GA$2:$GA$21,$NJ133)&amp;" aberta",""),IF(AND($MS133=0,$NJ133&gt;0,IF($NJ133=0,0,INDEX('DADOS_FORMAS'!$GJ$2:$GJ$21,$NJ133))=0),$MU133&amp;" não existe na Classe 0",""),IF($NY133=1,"Família Fechada: "&amp;$MX133,""),IF($NZ133=1,"Família Fechada: "&amp;$MY133,""),IF($OA133=1,"Família Fechada: "&amp;$MZ133,""),IF($OB133=1,"Família Fechada: "&amp;$NA133,""),IF(AND($MS133&gt;0,$OU133&gt;INDEX($O$2:$O$8,MAX(1,$MS133))),$OU133&amp;" Melhorias: a Classe "&amp;$MS133&amp;" aceita "&amp;INDEX($O$2:$O$8,MAX(1,$MS133)),""),IF(AND($MS133=0,$OU133&gt;1),"A básica aceita uma Melhoria",""),IF(AND($MS133=0,COUNTIF($NO133:$NR133,"&gt;1")&gt;0),"A básica só aceita Melhoria Leve",""),IF(AND($MS133&gt;0,$OV133&gt;2),$OV133&amp;" Restrições"&amp;IF($OF133=1,", contando a que a Forma "&amp;$MU133&amp;" já traz","")&amp;": o limite é 2",""),IF(AND($MS133=0,COUNTIF($NB133:$NC133,"?*")&gt;1),"A básica aceita uma Restrição Leve",""),IF(AND($MS133=0,COUNTIF($OI133:$OJ133,2)&gt;0),"A básica só aceita Restrição Leve",""),IF(AND($MS133&gt;0,$PC133&lt;0),"Orçamento estourado: faltam "&amp;(-$PC133)&amp;IF($PC133&lt;-1," pontos"," ponto"),""),IF(IFERROR(VLOOKUP(SUBSTITUTE(SUBSTITUTE(SUBSTITUTE($NB133,"~","~~"),"*","~*"),"?","~?"),'DADOS_RESTRICOES'!$M$2:$Q$54,4,FALSE),0)+IFERROR(VLOOKUP(SUBSTITUTE(SUBSTITUTE(SUBSTITUTE($NC133,"~","~~"),"*","~*"),"?","~?"),'DADOS_RESTRICOES'!$M$2:$Q$54,4,FALSE),0)&gt;1,$OK133&amp;" e "&amp;$OL133&amp;" são as duas de frequência",""),IF(AND((COUNTIF($RK133:$RN133,"Rápido")+COUNTIF($OK133:$OL133,"Rápido"))&gt;0,(COUNTIF($MX133:$NA133,"Atrasar")+COUNTIF($OK133:$OL133,"Atrasar"))&gt;0),"Rápido não entra com Atrasar",""),IF(AND((COUNTIF($RK133:$RN133,"Reação")+COUNTIF($OK133:$OL133,"Reação"))&gt;0,(COUNTIF($RK133:$RN133,"Rápido")+COUNTIF($OK133:$OL133,"Rápido"))&gt;0),"Reação não entra com Rápido",""),IF(AND((COUNTIF($RK133:$RN133,"Reação")+COUNTIF($OK133:$OL133,"Reação"))&gt;0,(COUNTIF($RK133:$RN133,"Armado")+COUNTIF($OK133:$OL133,"Armado"))&gt;0),"Reação não entra com Armado",""),IF(AND((COUNTIF($RK133:$RN133,"Reação")+COUNTIF($OK133:$OL133,"Reação"))&gt;0,(COUNTIF($MX133:$NA133,"Atrasar")+COUNTIF($OK133:$OL133,"Atrasar"))&gt;0),"Reação não entra com Atrasar",""),IF(AND((COUNTIF($RK133:$RN133,"Reação")+COUNTIF($OK133:$OL133,"Reação"))&gt;0,(COUNTIF($MX133:$NA133,"Parado")+COUNTIF($OK133:$OL133,"Parado"))&gt;0),"Reação não entra com Parado",""),IF(AND((COUNTIF($MX133:$NA133,"Atrasar")+COUNTIF($OK133:$OL133,"Atrasar"))&gt;0,(COUNTIF($MX133:$NA133,"Parado")+COUNTIF($OK133:$OL133,"Parado"))&gt;0),"Atrasar não entra com Parado",""),IF(AND((COUNTIF($RK133:$RN133,"Armado")+COUNTIF($OK133:$OL133,"Armado"))&gt;0,(COUNTIF($MX133:$NA133,"Carregar")+COUNTIF($OK133:$OL133,"Carregar"))&gt;0),"Armado não entra com Carregar",""),IF(AND(COUNTIF($OK133:$OL133,"Corpo a Corpo")&gt;0,$OF133=0,OR($RO133="Cone",$RO133="Linha")),"Corpo a Corpo não entra em "&amp;$MU133,""),IF(AND(COUNTIF($OK133:$OL133,"Corpo a Corpo")&gt;0,$RP133="Corpo a Corpo"),"A Forma "&amp;$MU133&amp;" já traz o Corpo a Corpo",""),IF(AND(COUNTIF($OK133:$OL133,"Tudo ou Nada")&gt;0,$OH133=0),"Tudo ou Nada só entra em habilidade de Teste de Resistência",""),IF(AND(COUNTIF($RK133:$RN133,"Inescapável")&gt;0,OR($OU133&gt;1,$OV133&gt;0)),"Inescapável não aceita outra peça",""),IF(AND($MS133&gt;0,$PD133*IF(COUNTIF($RK133:$RN133,"Remate")&gt;0,1.25,1)+$PE133&gt;4*$MS133),($PD133*IF(COUNTIF($RK133:$RN133,"Remate")&gt;0,1.25,1)+$PE133)&amp;" dados somando repetições"&amp;IF(COUNTIF($RK133:$RN133,"Remate")&gt;0," e o Remate","")&amp;": o teto da Classe "&amp;$MS133&amp;" é "&amp;4*$MS133,""))),IF(AND($MX133&lt;&gt;"",COUNTIF('DADOS_MELHORIAS'!$O$2:$O$113,SUBSTITUTE(SUBSTITUTE(SUBSTITUTE($MX133,"~","~~"),"*","~*"),"?","~?"))=0),"Melhoria não cadastrada ou com erro: "&amp;$MX133,""),IF(AND($MY133&lt;&gt;"",COUNTIF('DADOS_MELHORIAS'!$O$2:$O$113,SUBSTITUTE(SUBSTITUTE(SUBSTITUTE($MY133,"~","~~"),"*","~*"),"?","~?"))=0),"Melhoria não cadastrada ou com erro: "&amp;$MY133,""),IF(AND($MZ133&lt;&gt;"",COUNTIF('DADOS_MELHORIAS'!$O$2:$O$113,SUBSTITUTE(SUBSTITUTE(SUBSTITUTE($MZ133,"~","~~"),"*","~*"),"?","~?"))=0),"Melhoria não cadastrada ou com erro: "&amp;$MZ133,""),IF(AND($NA133&lt;&gt;"",COUNTIF('DADOS_MELHORIAS'!$O$2:$O$113,SUBSTITUTE(SUBSTITUTE(SUBSTITUTE($NA133,"~","~~"),"*","~*"),"?","~?"))=0),"Melhoria não cadastrada ou com erro: "&amp;$NA133,""),IF(AND($NB133&lt;&gt;"",COUNTIF('DADOS_RESTRICOES'!$M$2:$M$54,SUBSTITUTE(SUBSTITUTE(SUBSTITUTE($NB133,"~","~~"),"*","~*"),"?","~?"))=0),"Restrição não cadastrada ou com erro: "&amp;$NB133,""),IF(AND($NC133&lt;&gt;"",COUNTIF('DADOS_RESTRICOES'!$M$2:$M$54,SUBSTITUTE(SUBSTITUTE(SUBSTITUTE($NC133,"~","~~"),"*","~*"),"?","~?"))=0),"Restrição não cadastrada ou com erro: "&amp;$NC133,""))),IF(AND($MU133&lt;&gt;"",COUNTIF('DADOS_FORMAS'!$AH$2:$AH$21,SUBSTITUTE(SUBSTITUTE(SUBSTITUTE($MU133,"~","~~"),"*","~*"),"?","~?"))=0),"Forma não cadastrada ou com erro: "&amp;$MU133,""),IF(AND(IFERROR(INDEX('DADOS_FORMAS'!$AS$2:$AS$21,MATCH(SUBSTITUTE(SUBSTITUTE(SUBSTITUTE($MU133,"~","~~"),"*","~*"),"?","~?"),'DADOS_FORMAS'!$AH$2:$AH$21,0)),"")&lt;&gt;"",OR(IFERROR(VLOOKUP(SUBSTITUTE(SUBSTITUTE(SUBSTITUTE(IFERROR(INDEX('DADOS_FORMAS'!$AS$2:$AS$21,MATCH(SUBSTITUTE(SUBSTITUTE(SUBSTITUTE($MU133,"~","~~"),"*","~*"),"?","~?"),'DADOS_FORMAS'!$AH$2:$AH$21,0)),""),"~","~~"),"*","~*"),"?","~?"),'DADOS_RESTRICOES'!$M$2:$Q$54,2,FALSE),"")=$OK133,IFERROR(VLOOKUP(SUBSTITUTE(SUBSTITUTE(SUBSTITUTE(IFERROR(INDEX('DADOS_FORMAS'!$AS$2:$AS$21,MATCH(SUBSTITUTE(SUBSTITUTE(SUBSTITUTE($MU133,"~","~~"),"*","~*"),"?","~?"),'DADOS_FORMAS'!$AH$2:$AH$21,0)),""),"~","~~"),"*","~*"),"?","~?"),'DADOS_RESTRICOES'!$M$2:$Q$54,2,FALSE),"")=$OL133)),"Restrição repetida, contando a embutida",""),IF(IF(IFERROR(INDEX('DADOS_FORMAS'!$AS$2:$AS$21,MATCH(SUBSTITUTE(SUBSTITUTE(SUBSTITUTE($MU133,"~","~~"),"*","~*"),"?","~?"),'DADOS_FORMAS'!$AH$2:$AH$21,0)),"")="",0,IFERROR(N(VLOOKUP(SUBSTITUTE(SUBSTITUTE(SUBSTITUTE(IFERROR(INDEX('DADOS_FORMAS'!$AS$2:$AS$21,MATCH(SUBSTITUTE(SUBSTITUTE(SUBSTITUTE($MU133,"~","~~"),"*","~*"),"?","~?"),'DADOS_FORMAS'!$AH$2:$AH$21,0)),""),"~","~~"),"*","~*"),"?","~?"),'DADOS_RESTRICOES'!$M$2:$Q$54,4,FALSE)=1),0))+IF($NB133="",0,IFERROR(N(VLOOKUP(SUBSTITUTE(SUBSTITUTE(SUBSTITUTE($NB133,"~","~~"),"*","~*"),"?","~?"),'DADOS_RESTRICOES'!$M$2:$Q$54,4,FALSE)=1),0))+IF($NC133="",0,IFERROR(N(VLOOKUP(SUBSTITUTE(SUBSTITUTE(SUBSTITUTE($NC133,"~","~~"),"*","~*"),"?","~?"),'DADOS_RESTRICOES'!$M$2:$Q$54,4,FALSE)=1),0))&gt;1,"Duas Restrições de frequência, contando a embutida",""),IF(AND(IFERROR(VLOOKUP(SUBSTITUTE(SUBSTITUTE(SUBSTITUTE(IFERROR(INDEX('DADOS_FORMAS'!$AS$2:$AS$21,MATCH(SUBSTITUTE(SUBSTITUTE(SUBSTITUTE($MU133,"~","~~"),"*","~*"),"?","~?"),'DADOS_FORMAS'!$AH$2:$AH$21,0)),""),"~","~~"),"*","~*"),"?","~?"),'DADOS_RESTRICOES'!$M$2:$Q$54,2,FALSE),"")="Tudo ou Nada",$OH133=0),"Tudo ou Nada exige TR",""),IF(AND(IFERROR(VLOOKUP(SUBSTITUTE(SUBSTITUTE(SUBSTITUTE(IFERROR(INDEX('DADOS_FORMAS'!$AS$2:$AS$21,MATCH(SUBSTITUTE(SUBSTITUTE(SUBSTITUTE($MU133,"~","~~"),"*","~*"),"?","~?"),'DADOS_FORMAS'!$AH$2:$AH$21,0)),""),"~","~~"),"*","~*"),"?","~?"),'DADOS_RESTRICOES'!$M$2:$Q$54,2,FALSE),"")="Corpo a Corpo",OR($RO133="Cone",$RO133="Linha")),"Corpo a Corpo não entra em Cone/Linha","")))</f>
        <v/>
      </c>
      <c r="PU133" s="164">
        <f>IF($PT133="",0,(LEN($PT133)-LEN(SUBSTITUTE($PT133," · ","")))/3+1)</f>
        <v/>
      </c>
      <c r="PV133" s="164">
        <f>IF($ND133=0,"",TEXTJOIN(" · ",TRUE,IF($OX133&gt;2*$MS133,"A devolução parou no teto de "&amp;2*$MS133,""),IF($PA133&gt;0,"Devolução perdida: "&amp;$PA133&amp;IF($PA133&gt;1," pontos"," ponto")&amp;" sem Melhoria para pagar",""),IF(AND($OC133&gt;0,AND($MS133&gt;0,$OG133=0),$PD133=0),"Controle sem dano: uma rodada a mais e CD +2",""),IF(AND($OC133&gt;0,AND($MS133&gt;0,$OG133=0),$PD133&gt;0,$PD133&lt;=$MS133),"Controle com saldo até a Classe: uma rodada a mais",""),IF(AND($MS133&gt;0,$OE133&lt;&gt;""),"Efeito de "&amp;$OE133&amp;" pela Classe "&amp;MAX(1,$MS133-1),"")))</f>
        <v/>
      </c>
      <c r="PW133" s="164">
        <f>IF($PV133="",0,(LEN($PV133)-LEN(SUBSTITUTE($PV133," · ","")))/3+1)</f>
        <v/>
      </c>
      <c r="PX133" s="164">
        <f>IF($ND133=0,IF($OU133+COUNTIF($NB133:$NC133,"?*")&gt;0,"Dê um nome",""),IF($PU133&gt;0,"⚠ "&amp;$PU133&amp;IF($PU133&gt;1," erros"," erro"),IF($PW133&gt;0,"! "&amp;$PW133&amp;IF($PW133&gt;1," avisos"," aviso"),"Na regra")))</f>
        <v/>
      </c>
      <c r="PY133" s="164">
        <f>IF($ND133=0,"",IF($PU133+$PW133=0,"Dentro das regras que a ficha confere",$PT133&amp;IF(AND($PU133&gt;0,$PW133&gt;0)," · ","")&amp;$PV133))</f>
        <v/>
      </c>
      <c r="PZ133" s="164">
        <f>IF($MQ133&gt;$NE133,$MR133&amp;" · ABRE NO NÍVEL "&amp;$MQ133,$MR133)</f>
        <v/>
      </c>
      <c r="QA133" s="164">
        <f>IF($ND133=0,"",IF($MS133=0,"Sem PE",3*$MS133&amp;" PE"))</f>
        <v/>
      </c>
      <c r="QB133" s="164">
        <f>IF($ND133=0,"",IF($MS133=0,"A atuação básica dela",IF(COUNTIF($RQ133:$RS133,"Atrasar")&gt;0,"Sua Ação Completa",IF(COUNTIF($RK133:$RN133,"Rápido")&gt;0,"Sua Bônus",IF(COUNTIF($RK133:$RN133,"Reação")&gt;0,"Sua Reação","Sua Padrão")))&amp;" + a básica dela"&amp;IF(COUNTIF($RK133:$RN133,"Reação")&gt;0," e a coletiva","")&amp;IF(COUNTIF($RQ133:$RS133,"Carregar")&gt;0," · em dois turnos","")))</f>
        <v/>
      </c>
      <c r="QC133" s="164">
        <f>IF($MW133&lt;&gt;"",$MW133,IF($NJ133=0,"",INDEX('DADOS_FORMAS'!$GE$2:$GE$21,$NJ133)))</f>
        <v/>
      </c>
      <c r="QD133" s="164">
        <f>IF(OR($ND133=0,$NJ133=0),"",IF(COUNTIF($RK133:$RN133,"Inescapável")&gt;0,"Automático",IF($QC133="Ataque",IF($NH133="","Ataque","Ataque "&amp;IF(($NH133+2*IF(COUNTIF($RK133:$RN133,"Precisão")&gt;0,1,0))&gt;=0,"+","−")&amp;ABS(($NH133+2*IF(COUNTIF($RK133:$RN133,"Precisão")&gt;0,1,0))))&amp;IF($OD133&gt;0," · TR"&amp;IF($NI133="",""," CD "&amp;$NI133),""),IF(LEFT($QC133,2)="TR",$QC133&amp;IF($NI133="",""," · CD "&amp;$NI133)&amp;IF(COUNTIF($RK133:$RN133,"Certeiro")&gt;0," · metade",""),"Sem rolagem"))))</f>
        <v/>
      </c>
      <c r="QE133" s="164">
        <f>IF(OR($ND133=0,$NJ133=0),"",IF($MS133=0,IF(OR($OG133&gt;=1,$PD133=0),"Sem dano",$PD133&amp;"d6"&amp;IF($MV133="",""," "&amp;$MV133)),IF(OR($OG133&gt;=1,$PD133=0),UPPER(LEFT(INDEX($PM133:$PS133,1,MAX(1,$MS133)),1))&amp;MID(INDEX($PM133:$PS133,1,MAX(1,$MS133)),2,99),UPPER(LEFT(INDEX($PM133:$PS133,1,MAX(1,$MS133)),1))&amp;MID(INDEX($PM133:$PS133,1,MAX(1,$MS133)),2,99)&amp;IF($MV133="",""," "&amp;$MV133)&amp;IF($PE133&gt;0," · +"&amp;$PE133&amp;"d8",""))))</f>
        <v/>
      </c>
      <c r="QF133" s="164">
        <f>COUNTIF($RK133:$RN133,"Longe")+3*COUNTIF($RK133:$RN133,"Muito Longe")</f>
        <v/>
      </c>
      <c r="QG133" s="164">
        <f>COUNTIF($RK133:$RN133,"Maior")+3*COUNTIF($RK133:$RN133,"Muito Maior")</f>
        <v/>
      </c>
      <c r="QH133" s="164">
        <f>IF($NJ133=0,0,CHOOSE(1+INDEX('DADOS_FORMAS'!$GG$2:$GG$21,$NJ133),0,$QF133,$QG133,$QF133+$QG133))</f>
        <v/>
      </c>
      <c r="QI133" s="164">
        <f>IF($NJ133=0,0,CHOOSE(1+INDEX('DADOS_FORMAS'!$GH$2:$GH$21,$NJ133),0,$QF133,$QG133,$QF133+$QG133))</f>
        <v/>
      </c>
      <c r="QJ133" s="164">
        <f>IF(OR($ND133=0,$NJ133=0),"",INDEX('DADOS_FORMAS'!$HU$2:$HZ$81,($NJ133-1)*4+IF($MS133=0,1,IF($MS133&lt;=5,2,IF($MS133=6,3,4))),1+MIN(5,$QH133))&amp;INDEX('DADOS_FORMAS'!$IA$2:$IF$81,($NJ133-1)*4+IF($MS133=0,1,IF($MS133&lt;=5,2,IF($MS133=6,3,4))),1+MIN(5,$QI133))&amp;IF(INDEX('DADOS_FORMAS'!$GI$2:$GI$21,$NJ133)=1,IF(COUNTIF($RK133:$RN133,"Mais Um")&gt;0," · +"&amp;COUNTIF($RK133:$RN133,"Mais Um")&amp;IF(COUNTIF($RK133:$RN133,"Mais Um")&gt;1," alvos"," alvo"),"")&amp;IF(COUNTIF($RK133:$RN133,"Rajada")&gt;0,IF($MS133=0," · 1 tiro"," · "&amp;(MAX(1,$MS133-1)+1)&amp;" tiros"),""),""))</f>
        <v/>
      </c>
      <c r="QK133" s="164">
        <f>IF($ND133=0,"",IF($MS133=0,$NG133&amp;"d6"&amp;IF($OU133&gt;0," − 1 = "&amp;$PD133&amp;"d6"," da básica do nível "&amp;$NE133),$PB133&amp;" − "&amp;$OW133&amp;" + "&amp;$OZ133&amp;" = "&amp;$PC133&amp;" · teto "&amp;4*$MS133&amp;"d8"&amp;IF($OF133=1," · a Forma devolve "&amp;$MS133,"")&amp;IF($PA133&gt;0," · perde "&amp;$PA133,"")))</f>
        <v/>
      </c>
      <c r="QL133" s="164">
        <f>IF($ND133=0,"",IF($MS133=0,"A básica não amplia: os dados dela sobem com o nível",IF($MS133&gt;=$NF133,"Já está na maior Classe que o nível liberou",TEXTJOIN(" · ",TRUE,IF(AND(2&gt;$MS133,2&lt;=$NF133),"2 → "&amp;$PN133&amp;", 6 PE",""),IF(AND(3&gt;$MS133,3&lt;=$NF133),"3 → "&amp;$PO133&amp;", 9 PE",""),IF(AND(4&gt;$MS133,4&lt;=$NF133),"4 → "&amp;$PP133&amp;", 12 PE",""),IF(AND(5&gt;$MS133,5&lt;=$NF133),"5 → "&amp;$PQ133&amp;", 15 PE",""),IF(AND(6&gt;$MS133,6&lt;=$NF133),"6 → "&amp;$PR133&amp;", 18 PE",""),IF(AND(7&gt;$MS133,7&lt;=$NF133),"7 → "&amp;$PS133&amp;", 21 PE","")))))</f>
        <v/>
      </c>
      <c r="QM133" s="164">
        <f>IF(OR($ND133=0,$NO133=0),"",IF($MS133=0,"−1 dado","−"&amp;INDEX($I$2:$N$8,MAX(1,$MS133),MAX(1,$NT133))&amp;" · "&amp;CHOOSE(MAX(1,$NT133),"Leve","Média","Pesada","Leve · Livre","Média · Livre","Pesada · Livre")))</f>
        <v/>
      </c>
      <c r="QN133" s="164">
        <f>IF(OR($ND133=0,$NP133=0),"",IF($MS133=0,"−1 dado","−"&amp;INDEX($I$2:$N$8,MAX(1,$MS133),MAX(1,$NU133))&amp;" · "&amp;CHOOSE(MAX(1,$NU133),"Leve","Média","Pesada","Leve · Livre","Média · Livre","Pesada · Livre")))</f>
        <v/>
      </c>
      <c r="QO133" s="164">
        <f>IF(OR($ND133=0,$NQ133=0),"",IF($MS133=0,"−1 dado","−"&amp;INDEX($I$2:$N$8,MAX(1,$MS133),MAX(1,$NV133))&amp;" · "&amp;CHOOSE(MAX(1,$NV133),"Leve","Média","Pesada","Leve · Livre","Média · Livre","Pesada · Livre")))</f>
        <v/>
      </c>
      <c r="QP133" s="164">
        <f>IF(OR($ND133=0,$NR133=0),"",IF($MS133=0,"−1 dado","−"&amp;INDEX($I$2:$N$8,MAX(1,$MS133),MAX(1,$NW133))&amp;" · "&amp;CHOOSE(MAX(1,$NW133),"Leve","Média","Pesada","Leve · Livre","Média · Livre","Pesada · Livre")))</f>
        <v/>
      </c>
      <c r="QQ133" s="164">
        <f>IF(OR($ND133=0,$NB133=""),"",IF($MS133=0,"não devolve","+"&amp;IF($OI133=1,CEILING($MS133/2,1),$MS133)))</f>
        <v/>
      </c>
      <c r="QR133" s="164">
        <f>IF(OR($ND133=0,$NC133=""),"",IF($MS133=0,"não devolve","+"&amp;IF($OJ133=1,CEILING($MS133/2,1),$MS133)))</f>
        <v/>
      </c>
      <c r="RK133">
        <f>IF($MX133="","",IFERROR(VLOOKUP(SUBSTITUTE(SUBSTITUTE(SUBSTITUTE($MX133,"~","~~"),"*","~*"),"?","~?"),'DADOS_MELHORIAS'!$O$2:$X$113,10,FALSE),$MX133))</f>
        <v/>
      </c>
      <c r="RL133">
        <f>IF($MY133="","",IFERROR(VLOOKUP(SUBSTITUTE(SUBSTITUTE(SUBSTITUTE($MY133,"~","~~"),"*","~*"),"?","~?"),'DADOS_MELHORIAS'!$O$2:$X$113,10,FALSE),$MY133))</f>
        <v/>
      </c>
      <c r="RM133">
        <f>IF($MZ133="","",IFERROR(VLOOKUP(SUBSTITUTE(SUBSTITUTE(SUBSTITUTE($MZ133,"~","~~"),"*","~*"),"?","~?"),'DADOS_MELHORIAS'!$O$2:$X$113,10,FALSE),$MZ133))</f>
        <v/>
      </c>
      <c r="RN133">
        <f>IF($NA133="","",IFERROR(VLOOKUP(SUBSTITUTE(SUBSTITUTE(SUBSTITUTE($NA133,"~","~~"),"*","~*"),"?","~?"),'DADOS_MELHORIAS'!$O$2:$X$113,10,FALSE),$NA133))</f>
        <v/>
      </c>
      <c r="RO133">
        <f>IFERROR(INDEX('DADOS_FORMAS'!$BJ$2:$BJ$21,MATCH(SUBSTITUTE(SUBSTITUTE(SUBSTITUTE($MU133,"~","~~"),"*","~*"),"?","~?"),'DADOS_FORMAS'!$AH$2:$AH$21,0)),"")</f>
        <v/>
      </c>
      <c r="RP133">
        <f>IFERROR(VLOOKUP(SUBSTITUTE(SUBSTITUTE(SUBSTITUTE(IFERROR(INDEX('DADOS_FORMAS'!$AS$2:$AS$21,MATCH(SUBSTITUTE(SUBSTITUTE(SUBSTITUTE($MU133,"~","~~"),"*","~*"),"?","~?"),'DADOS_FORMAS'!$AH$2:$AH$21,0)),""),"~","~~"),"*","~*"),"?","~?"),'DADOS_RESTRICOES'!$M$2:$Q$54,2,FALSE),"")</f>
        <v/>
      </c>
      <c r="RQ133">
        <f>$OK133</f>
        <v/>
      </c>
      <c r="RR133">
        <f>$OL133</f>
        <v/>
      </c>
      <c r="RS133">
        <f>$RP133</f>
        <v/>
      </c>
    </row>
    <row r="134">
      <c r="MN134" s="162" t="inlineStr">
        <is>
          <t>Ficha 11 · Especial 2</t>
        </is>
      </c>
      <c r="MO134" s="164" t="n">
        <v>11</v>
      </c>
      <c r="MP134" s="164" t="n">
        <v>1</v>
      </c>
      <c r="MQ134" s="164" t="n">
        <v>4</v>
      </c>
      <c r="MR134" s="162" t="inlineStr">
        <is>
          <t>ESPECIAL 2</t>
        </is>
      </c>
      <c r="MS134" s="164">
        <f>MAX(1,MIN(7,N('INVOCAÇÕES'!$AN$915)))</f>
        <v/>
      </c>
      <c r="MT134" s="164">
        <f>'INVOCAÇÕES'!$AO$915&amp;""</f>
        <v/>
      </c>
      <c r="MU134" s="164">
        <f>'INVOCAÇÕES'!$AN$920&amp;""</f>
        <v/>
      </c>
      <c r="MV134" s="164">
        <f>'INVOCAÇÕES'!$AN$921&amp;""</f>
        <v/>
      </c>
      <c r="MW134" s="164">
        <f>'INVOCAÇÕES'!$AP$921&amp;""</f>
        <v/>
      </c>
      <c r="MX134" s="164">
        <f>'INVOCAÇÕES'!$AO$924&amp;""</f>
        <v/>
      </c>
      <c r="MY134" s="164">
        <f>'INVOCAÇÕES'!$AO$925&amp;""</f>
        <v/>
      </c>
      <c r="MZ134" s="164">
        <f>'INVOCAÇÕES'!$AO$926&amp;""</f>
        <v/>
      </c>
      <c r="NA134" s="164">
        <f>'INVOCAÇÕES'!$AO$927&amp;""</f>
        <v/>
      </c>
      <c r="NB134" s="164">
        <f>'INVOCAÇÕES'!$AO$928&amp;""</f>
        <v/>
      </c>
      <c r="NC134" s="164">
        <f>'INVOCAÇÕES'!$AO$929&amp;""</f>
        <v/>
      </c>
      <c r="ND134" s="164">
        <f>IF($MT134&lt;&gt;"",1,0)</f>
        <v/>
      </c>
      <c r="NE134" s="164">
        <f>INDEX($FO$2:$FO$13,$MO134)</f>
        <v/>
      </c>
      <c r="NF134" s="164">
        <f>INDEX($FP$2:$FP$13,$MO134)</f>
        <v/>
      </c>
      <c r="NG134" s="164">
        <f>INDEX($FQ$2:$FQ$13,$MO134)</f>
        <v/>
      </c>
      <c r="NH134" s="164">
        <f>INDEX($GB$2:$GB$13,$MO134)</f>
        <v/>
      </c>
      <c r="NI134" s="164">
        <f>INDEX($GC$2:$GC$13,$MO134)</f>
        <v/>
      </c>
      <c r="NJ134" s="164">
        <f>IFERROR(MATCH(SUBSTITUTE(SUBSTITUTE(SUBSTITUTE($MU134,"~","~~"),"*","~*"),"?","~?"),'DADOS_FORMAS'!$FZ$2:$FZ$21,0),0)</f>
        <v/>
      </c>
      <c r="NK134" s="164">
        <f>IFERROR(VLOOKUP(SUBSTITUTE(SUBSTITUTE(SUBSTITUTE($MX134,"~","~~"),"*","~*"),"?","~?"),'DADOS_MELHORIAS'!$AG$2:$AL$113,2,FALSE),"")</f>
        <v/>
      </c>
      <c r="NL134" s="164">
        <f>IFERROR(VLOOKUP(SUBSTITUTE(SUBSTITUTE(SUBSTITUTE($MY134,"~","~~"),"*","~*"),"?","~?"),'DADOS_MELHORIAS'!$AG$2:$AL$113,2,FALSE),"")</f>
        <v/>
      </c>
      <c r="NM134" s="164">
        <f>IFERROR(VLOOKUP(SUBSTITUTE(SUBSTITUTE(SUBSTITUTE($MZ134,"~","~~"),"*","~*"),"?","~?"),'DADOS_MELHORIAS'!$AG$2:$AL$113,2,FALSE),"")</f>
        <v/>
      </c>
      <c r="NN134" s="164">
        <f>IFERROR(VLOOKUP(SUBSTITUTE(SUBSTITUTE(SUBSTITUTE($NA134,"~","~~"),"*","~*"),"?","~?"),'DADOS_MELHORIAS'!$AG$2:$AL$113,2,FALSE),"")</f>
        <v/>
      </c>
      <c r="NO134" s="164">
        <f>IFERROR(VLOOKUP(SUBSTITUTE(SUBSTITUTE(SUBSTITUTE($MX134,"~","~~"),"*","~*"),"?","~?"),'DADOS_MELHORIAS'!$AG$2:$AL$113,3,FALSE),0)</f>
        <v/>
      </c>
      <c r="NP134" s="164">
        <f>IFERROR(VLOOKUP(SUBSTITUTE(SUBSTITUTE(SUBSTITUTE($MY134,"~","~~"),"*","~*"),"?","~?"),'DADOS_MELHORIAS'!$AG$2:$AL$113,3,FALSE),0)</f>
        <v/>
      </c>
      <c r="NQ134" s="164">
        <f>IFERROR(VLOOKUP(SUBSTITUTE(SUBSTITUTE(SUBSTITUTE($MZ134,"~","~~"),"*","~*"),"?","~?"),'DADOS_MELHORIAS'!$AG$2:$AL$113,3,FALSE),0)</f>
        <v/>
      </c>
      <c r="NR134" s="164">
        <f>IFERROR(VLOOKUP(SUBSTITUTE(SUBSTITUTE(SUBSTITUTE($NA134,"~","~~"),"*","~*"),"?","~?"),'DADOS_MELHORIAS'!$AG$2:$AL$113,3,FALSE),0)</f>
        <v/>
      </c>
      <c r="NS134" s="164">
        <f>IF($MS134=0,0,IF($NJ134=0,0,INDEX('DADOS_FORMAS'!$GB$2:$GB$21,$NJ134)))</f>
        <v/>
      </c>
      <c r="NT134" s="164">
        <f>IF(OR($NO134=0,$MS134=0),0,$NO134+3*IF(AND($NK134&lt;&gt;"",COUNTIF(INDEX($RB$2:$RJ$13,$MO134,0),$NK134)&gt;0),1,0))</f>
        <v/>
      </c>
      <c r="NU134" s="164">
        <f>IF(OR($NP134=0,$MS134=0),0,$NP134+3*IF(AND($NL134&lt;&gt;"",COUNTIF(INDEX($RB$2:$RJ$13,$MO134,0),$NL134)&gt;0),1,0))</f>
        <v/>
      </c>
      <c r="NV134" s="164">
        <f>IF(OR($NQ134=0,$MS134=0),0,$NQ134+3*IF(AND($NM134&lt;&gt;"",COUNTIF(INDEX($RB$2:$RJ$13,$MO134,0),$NM134)&gt;0),1,0))</f>
        <v/>
      </c>
      <c r="NW134" s="164">
        <f>IF(OR($NR134=0,$MS134=0),0,$NR134+3*IF(AND($NN134&lt;&gt;"",COUNTIF(INDEX($RB$2:$RJ$13,$MO134,0),$NN134)&gt;0),1,0))</f>
        <v/>
      </c>
      <c r="NX134" s="164">
        <f>IF($NJ134=0,0,IF(INDEX('DADOS_FORMAS'!$GA$2:$GA$21,$NJ134)="",0,IF((COUNTIF(INDEX($EL$2:$EP$13,$MO134,0),INDEX('DADOS_FORMAS'!$GA$2:$GA$21,$NJ134))+COUNTIF(INDEX($QV$2:$QY$13,$MO134,0),INDEX('DADOS_FORMAS'!$GA$2:$GA$21,$NJ134)))=0,1,0)))</f>
        <v/>
      </c>
      <c r="NY134" s="164">
        <f>IF(OR($NO134=0,$NK134=""),0,IF((COUNTIF(INDEX($EL$2:$EP$13,$MO134,0),$NK134)+COUNTIF(INDEX($QV$2:$QY$13,$MO134,0),$NK134))=0,1,0))</f>
        <v/>
      </c>
      <c r="NZ134" s="164">
        <f>IF(OR($NP134=0,$NL134=""),0,IF((COUNTIF(INDEX($EL$2:$EP$13,$MO134,0),$NL134)+COUNTIF(INDEX($QV$2:$QY$13,$MO134,0),$NL134))=0,1,0))</f>
        <v/>
      </c>
      <c r="OA134" s="164">
        <f>IF(OR($NQ134=0,$NM134=""),0,IF((COUNTIF(INDEX($EL$2:$EP$13,$MO134,0),$NM134)+COUNTIF(INDEX($QV$2:$QY$13,$MO134,0),$NM134))=0,1,0))</f>
        <v/>
      </c>
      <c r="OB134" s="164">
        <f>IF(OR($NR134=0,$NN134=""),0,IF((COUNTIF(INDEX($EL$2:$EP$13,$MO134,0),$NN134)+COUNTIF(INDEX($QV$2:$QY$13,$MO134,0),$NN134))=0,1,0))</f>
        <v/>
      </c>
      <c r="OC134" s="164">
        <f>IFERROR(VLOOKUP(SUBSTITUTE(SUBSTITUTE(SUBSTITUTE($MX134,"~","~~"),"*","~*"),"?","~?"),'DADOS_MELHORIAS'!$AG$2:$AL$113,4,FALSE),0)+IFERROR(VLOOKUP(SUBSTITUTE(SUBSTITUTE(SUBSTITUTE($MY134,"~","~~"),"*","~*"),"?","~?"),'DADOS_MELHORIAS'!$AG$2:$AL$113,4,FALSE),0)+IFERROR(VLOOKUP(SUBSTITUTE(SUBSTITUTE(SUBSTITUTE($MZ134,"~","~~"),"*","~*"),"?","~?"),'DADOS_MELHORIAS'!$AG$2:$AL$113,4,FALSE),0)+IFERROR(VLOOKUP(SUBSTITUTE(SUBSTITUTE(SUBSTITUTE($NA134,"~","~~"),"*","~*"),"?","~?"),'DADOS_MELHORIAS'!$AG$2:$AL$113,4,FALSE),0)</f>
        <v/>
      </c>
      <c r="OD134" s="164">
        <f>IFERROR(VLOOKUP(SUBSTITUTE(SUBSTITUTE(SUBSTITUTE($MX134,"~","~~"),"*","~*"),"?","~?"),'DADOS_MELHORIAS'!$AG$2:$AL$113,6,FALSE),0)+IFERROR(VLOOKUP(SUBSTITUTE(SUBSTITUTE(SUBSTITUTE($MY134,"~","~~"),"*","~*"),"?","~?"),'DADOS_MELHORIAS'!$AG$2:$AL$113,6,FALSE),0)+IFERROR(VLOOKUP(SUBSTITUTE(SUBSTITUTE(SUBSTITUTE($MZ134,"~","~~"),"*","~*"),"?","~?"),'DADOS_MELHORIAS'!$AG$2:$AL$113,6,FALSE),0)+IFERROR(VLOOKUP(SUBSTITUTE(SUBSTITUTE(SUBSTITUTE($NA134,"~","~~"),"*","~*"),"?","~?"),'DADOS_MELHORIAS'!$AG$2:$AL$113,6,FALSE),0)+IFERROR(N(AND(INDEX('DADOS_FORMAS'!$AO$2:$AO$21,MATCH(SUBSTITUTE(SUBSTITUTE(SUBSTITUTE($MU134,"~","~~"),"*","~*"),"?","~?"),'DADOS_FORMAS'!$AH$2:$AH$21,0))="Acerto",$OH134=1)),0)</f>
        <v/>
      </c>
      <c r="OE134" s="164">
        <f>TEXTJOIN(", ",TRUE,IF(IFERROR(VLOOKUP(SUBSTITUTE(SUBSTITUTE(SUBSTITUTE($MX134,"~","~~"),"*","~*"),"?","~?"),'DADOS_MELHORIAS'!$AG$2:$AL$113,5,FALSE),0)=1,$MX134,""),IF(IFERROR(VLOOKUP(SUBSTITUTE(SUBSTITUTE(SUBSTITUTE($MY134,"~","~~"),"*","~*"),"?","~?"),'DADOS_MELHORIAS'!$AG$2:$AL$113,5,FALSE),0)=1,$MY134,""),IF(IFERROR(VLOOKUP(SUBSTITUTE(SUBSTITUTE(SUBSTITUTE($MZ134,"~","~~"),"*","~*"),"?","~?"),'DADOS_MELHORIAS'!$AG$2:$AL$113,5,FALSE),0)=1,$MZ134,""),IF(IFERROR(VLOOKUP(SUBSTITUTE(SUBSTITUTE(SUBSTITUTE($NA134,"~","~~"),"*","~*"),"?","~?"),'DADOS_MELHORIAS'!$AG$2:$AL$113,5,FALSE),0)=1,$NA134,""))</f>
        <v/>
      </c>
      <c r="OF134" s="164">
        <f>IF($NJ134=0,0,INDEX('DADOS_FORMAS'!$GC$2:$GC$21,$NJ134))</f>
        <v/>
      </c>
      <c r="OG134" s="164">
        <f>IF($NJ134=0,0,INDEX('DADOS_FORMAS'!$GD$2:$GD$21,$NJ134))</f>
        <v/>
      </c>
      <c r="OH134" s="164">
        <f>IF($NJ134=0,0,INDEX('DADOS_FORMAS'!$GF$2:$GF$21,$NJ134))</f>
        <v/>
      </c>
      <c r="OI134" s="164">
        <f>IFERROR(VLOOKUP(SUBSTITUTE(SUBSTITUTE(SUBSTITUTE($NB134,"~","~~"),"*","~*"),"?","~?"),'DADOS_RESTRICOES'!$M$2:$Q$54,3,FALSE),0)</f>
        <v/>
      </c>
      <c r="OJ134" s="164">
        <f>IFERROR(VLOOKUP(SUBSTITUTE(SUBSTITUTE(SUBSTITUTE($NC134,"~","~~"),"*","~*"),"?","~?"),'DADOS_RESTRICOES'!$M$2:$Q$54,3,FALSE),0)</f>
        <v/>
      </c>
      <c r="OK134" s="164">
        <f>IFERROR(VLOOKUP(SUBSTITUTE(SUBSTITUTE(SUBSTITUTE($NB134,"~","~~"),"*","~*"),"?","~?"),'DADOS_RESTRICOES'!$M$2:$Q$54,2,FALSE),"")</f>
        <v/>
      </c>
      <c r="OL134" s="164">
        <f>IFERROR(VLOOKUP(SUBSTITUTE(SUBSTITUTE(SUBSTITUTE($NC134,"~","~~"),"*","~*"),"?","~?"),'DADOS_RESTRICOES'!$M$2:$Q$54,2,FALSE),"")</f>
        <v/>
      </c>
      <c r="OM134" s="164">
        <f>COUNTIF($NS134:$NW134,1)</f>
        <v/>
      </c>
      <c r="ON134" s="164">
        <f>COUNTIF($NS134:$NW134,2)</f>
        <v/>
      </c>
      <c r="OO134" s="164">
        <f>COUNTIF($NS134:$NW134,3)</f>
        <v/>
      </c>
      <c r="OP134" s="164">
        <f>COUNTIF($NS134:$NW134,4)</f>
        <v/>
      </c>
      <c r="OQ134" s="164">
        <f>COUNTIF($NS134:$NW134,5)</f>
        <v/>
      </c>
      <c r="OR134" s="164">
        <f>COUNTIF($NS134:$NW134,6)</f>
        <v/>
      </c>
      <c r="OS134" s="164">
        <f>COUNTIF($OI134:$OJ134,1)+IF(IFERROR(INDEX('DADOS_FORMAS'!$AS$2:$AS$21,MATCH(SUBSTITUTE(SUBSTITUTE(SUBSTITUTE($MU134,"~","~~"),"*","~*"),"?","~?"),'DADOS_FORMAS'!$AH$2:$AH$21,0)),"")="",0,IFERROR(N(VLOOKUP(SUBSTITUTE(SUBSTITUTE(SUBSTITUTE(IFERROR(INDEX('DADOS_FORMAS'!$AS$2:$AS$21,MATCH(SUBSTITUTE(SUBSTITUTE(SUBSTITUTE($MU134,"~","~~"),"*","~*"),"?","~?"),'DADOS_FORMAS'!$AH$2:$AH$21,0)),""),"~","~~"),"*","~*"),"?","~?"),'DADOS_RESTRICOES'!$M$2:$Q$54,3,FALSE)=1),0))</f>
        <v/>
      </c>
      <c r="OT134" s="164">
        <f>COUNTIF($OI134:$OJ134,2)+IF(IFERROR(INDEX('DADOS_FORMAS'!$AS$2:$AS$21,MATCH(SUBSTITUTE(SUBSTITUTE(SUBSTITUTE($MU134,"~","~~"),"*","~*"),"?","~?"),'DADOS_FORMAS'!$AH$2:$AH$21,0)),"")="",0,IFERROR(N(VLOOKUP(SUBSTITUTE(SUBSTITUTE(SUBSTITUTE(IFERROR(INDEX('DADOS_FORMAS'!$AS$2:$AS$21,MATCH(SUBSTITUTE(SUBSTITUTE(SUBSTITUTE($MU134,"~","~~"),"*","~*"),"?","~?"),'DADOS_FORMAS'!$AH$2:$AH$21,0)),""),"~","~~"),"*","~*"),"?","~?"),'DADOS_RESTRICOES'!$M$2:$Q$54,3,FALSE)=2),0))</f>
        <v/>
      </c>
      <c r="OU134" s="164">
        <f>COUNTIF($MX134:$NA134,"?*")</f>
        <v/>
      </c>
      <c r="OV134" s="164">
        <f>COUNTIF($NB134:$NC134,"?*")+$OF134</f>
        <v/>
      </c>
      <c r="OW134" s="164">
        <f>IF($MS134=0,0,SUMPRODUCT($OM134:$OR134,INDEX($I$2:$N$8,MAX(1,$MS134),0)))</f>
        <v/>
      </c>
      <c r="OX134" s="164">
        <f>IF($MS134=0,0,$OS134*CEILING($MS134/2,1)+$OT134*$MS134)</f>
        <v/>
      </c>
      <c r="OY134" s="164">
        <f>MIN(2*$MS134,$OX134)</f>
        <v/>
      </c>
      <c r="OZ134" s="164">
        <f>MIN($OY134,$OW134-IF($NS134=0,0,INDEX($I$2:$N$8,MAX(1,$MS134),$NS134)))</f>
        <v/>
      </c>
      <c r="PA134" s="164">
        <f>$OY134-$OZ134</f>
        <v/>
      </c>
      <c r="PB134" s="164">
        <f>IF($MS134=0,0,INDEX($P$2:$P$8,MAX(1,$MS134)))</f>
        <v/>
      </c>
      <c r="PC134" s="164">
        <f>$PB134-$OW134+$OZ134</f>
        <v/>
      </c>
      <c r="PD134" s="164">
        <f>IF($MS134=0,MAX(0,$NG134-IF(AND($OU134&gt;0,COUNTIF($NB134:$NC134,"?*")=0),1,0)),MAX(0,$PC134))</f>
        <v/>
      </c>
      <c r="PE134" s="164">
        <f>IF($MS134=0,0,(IF(COUNTIF($RK134:$RN134,"Salto")&gt;0,1,0)+IF(COUNTIF($RK134:$RN134,"Queima")&gt;0,1,0)+IF(COUNTIF($RK134:$RN134,"Estilhaço")&gt;0,1,0))*FLOOR($PD134/2,1))</f>
        <v/>
      </c>
      <c r="PF134" s="164">
        <f>MAX(0,2-SUMPRODUCT($OM134:$OR134,$I$2:$N$2)+MIN(2,$OS134*1+$OT134*1,SUMPRODUCT($OM134:$OR134,$I$2:$N$2)-IF($NS134=0,0,INDEX($I$2:$N$2,1,$NS134))))</f>
        <v/>
      </c>
      <c r="PG134" s="164">
        <f>MAX(0,4-SUMPRODUCT($OM134:$OR134,$I$3:$N$3)+MIN(4,$OS134*1+$OT134*2,SUMPRODUCT($OM134:$OR134,$I$3:$N$3)-IF($NS134=0,0,INDEX($I$3:$N$3,1,$NS134))))</f>
        <v/>
      </c>
      <c r="PH134" s="164">
        <f>MAX(0,6-SUMPRODUCT($OM134:$OR134,$I$4:$N$4)+MIN(6,$OS134*2+$OT134*3,SUMPRODUCT($OM134:$OR134,$I$4:$N$4)-IF($NS134=0,0,INDEX($I$4:$N$4,1,$NS134))))</f>
        <v/>
      </c>
      <c r="PI134" s="164">
        <f>MAX(0,9-SUMPRODUCT($OM134:$OR134,$I$5:$N$5)+MIN(8,$OS134*2+$OT134*4,SUMPRODUCT($OM134:$OR134,$I$5:$N$5)-IF($NS134=0,0,INDEX($I$5:$N$5,1,$NS134))))</f>
        <v/>
      </c>
      <c r="PJ134" s="164">
        <f>MAX(0,11-SUMPRODUCT($OM134:$OR134,$I$6:$N$6)+MIN(10,$OS134*3+$OT134*5,SUMPRODUCT($OM134:$OR134,$I$6:$N$6)-IF($NS134=0,0,INDEX($I$6:$N$6,1,$NS134))))</f>
        <v/>
      </c>
      <c r="PK134" s="164">
        <f>MAX(0,13-SUMPRODUCT($OM134:$OR134,$I$7:$N$7)+MIN(12,$OS134*3+$OT134*6,SUMPRODUCT($OM134:$OR134,$I$7:$N$7)-IF($NS134=0,0,INDEX($I$7:$N$7,1,$NS134))))</f>
        <v/>
      </c>
      <c r="PL134" s="164">
        <f>MAX(0,16-SUMPRODUCT($OM134:$OR134,$I$8:$N$8)+MIN(14,$OS134*4+$OT134*7,SUMPRODUCT($OM134:$OR134,$I$8:$N$8)-IF($NS134=0,0,INDEX($I$8:$N$8,1,$NS134))))</f>
        <v/>
      </c>
      <c r="PM134" s="164">
        <f>IF($OG134=2,3*$PF134&amp;" de vida temp.",IF($OG134=3,"sem dano",IF($PF134=0,IF($OG134=1,"sem cura","sem dano"),IF($OG134=1,"cura ","")&amp;$PF134&amp;"d8")))</f>
        <v/>
      </c>
      <c r="PN134" s="164">
        <f>IF($OG134=2,3*$PG134&amp;" de vida temp.",IF($OG134=3,"sem dano",IF($PG134=0,IF($OG134=1,"sem cura","sem dano"),IF($OG134=1,"cura ","")&amp;$PG134&amp;"d8")))</f>
        <v/>
      </c>
      <c r="PO134" s="164">
        <f>IF($OG134=2,3*$PH134&amp;" de vida temp.",IF($OG134=3,"sem dano",IF($PH134=0,IF($OG134=1,"sem cura","sem dano"),IF($OG134=1,"cura ","")&amp;$PH134&amp;"d8")))</f>
        <v/>
      </c>
      <c r="PP134" s="164">
        <f>IF($OG134=2,3*$PI134&amp;" de vida temp.",IF($OG134=3,"sem dano",IF($PI134=0,IF($OG134=1,"sem cura","sem dano"),IF($OG134=1,"cura ","")&amp;$PI134&amp;"d8")))</f>
        <v/>
      </c>
      <c r="PQ134" s="164">
        <f>IF($OG134=2,3*$PJ134&amp;" de vida temp.",IF($OG134=3,"sem dano",IF($PJ134=0,IF($OG134=1,"sem cura","sem dano"),IF($OG134=1,"cura ","")&amp;$PJ134&amp;"d8")))</f>
        <v/>
      </c>
      <c r="PR134" s="164">
        <f>IF($OG134=2,3*$PK134&amp;" de vida temp.",IF($OG134=3,"sem dano",IF($PK134=0,IF($OG134=1,"sem cura","sem dano"),IF($OG134=1,"cura ","")&amp;$PK134&amp;"d8")))</f>
        <v/>
      </c>
      <c r="PS134" s="164">
        <f>IF($OG134=2,3*$PL134&amp;" de vida temp.",IF($OG134=3,"sem dano",IF($PL134=0,IF($OG134=1,"sem cura","sem dano"),IF($OG134=1,"cura ","")&amp;$PL134&amp;"d8")))</f>
        <v/>
      </c>
      <c r="PT134" s="164">
        <f>IF($ND134=0,"",TEXTJOIN(" · ",TRUE,IF($ND134=0,"",TEXTJOIN(" · ",TRUE,IF($ND134=0,"",TEXTJOIN(" · ",TRUE,IF($MQ134&gt;$NE134,"Este lugar abre no nível "&amp;$MQ134,""),IF($MS134&gt;$NF134,"Classe "&amp;$MS134&amp;": o nível "&amp;$NE134&amp;" libera até a "&amp;$NF134,""),IF($NX134=1,"A Forma "&amp;$MU134&amp;" pede "&amp;INDEX('DADOS_FORMAS'!$GA$2:$GA$21,$NJ134)&amp;" aberta",""),IF(AND($MS134=0,$NJ134&gt;0,IF($NJ134=0,0,INDEX('DADOS_FORMAS'!$GJ$2:$GJ$21,$NJ134))=0),$MU134&amp;" não existe na Classe 0",""),IF($NY134=1,"Família Fechada: "&amp;$MX134,""),IF($NZ134=1,"Família Fechada: "&amp;$MY134,""),IF($OA134=1,"Família Fechada: "&amp;$MZ134,""),IF($OB134=1,"Família Fechada: "&amp;$NA134,""),IF(AND($MS134&gt;0,$OU134&gt;INDEX($O$2:$O$8,MAX(1,$MS134))),$OU134&amp;" Melhorias: a Classe "&amp;$MS134&amp;" aceita "&amp;INDEX($O$2:$O$8,MAX(1,$MS134)),""),IF(AND($MS134=0,$OU134&gt;1),"A básica aceita uma Melhoria",""),IF(AND($MS134=0,COUNTIF($NO134:$NR134,"&gt;1")&gt;0),"A básica só aceita Melhoria Leve",""),IF(AND($MS134&gt;0,$OV134&gt;2),$OV134&amp;" Restrições"&amp;IF($OF134=1,", contando a que a Forma "&amp;$MU134&amp;" já traz","")&amp;": o limite é 2",""),IF(AND($MS134=0,COUNTIF($NB134:$NC134,"?*")&gt;1),"A básica aceita uma Restrição Leve",""),IF(AND($MS134=0,COUNTIF($OI134:$OJ134,2)&gt;0),"A básica só aceita Restrição Leve",""),IF(AND($MS134&gt;0,$PC134&lt;0),"Orçamento estourado: faltam "&amp;(-$PC134)&amp;IF($PC134&lt;-1," pontos"," ponto"),""),IF(IFERROR(VLOOKUP(SUBSTITUTE(SUBSTITUTE(SUBSTITUTE($NB134,"~","~~"),"*","~*"),"?","~?"),'DADOS_RESTRICOES'!$M$2:$Q$54,4,FALSE),0)+IFERROR(VLOOKUP(SUBSTITUTE(SUBSTITUTE(SUBSTITUTE($NC134,"~","~~"),"*","~*"),"?","~?"),'DADOS_RESTRICOES'!$M$2:$Q$54,4,FALSE),0)&gt;1,$OK134&amp;" e "&amp;$OL134&amp;" são as duas de frequência",""),IF(AND((COUNTIF($RK134:$RN134,"Rápido")+COUNTIF($OK134:$OL134,"Rápido"))&gt;0,(COUNTIF($MX134:$NA134,"Atrasar")+COUNTIF($OK134:$OL134,"Atrasar"))&gt;0),"Rápido não entra com Atrasar",""),IF(AND((COUNTIF($RK134:$RN134,"Reação")+COUNTIF($OK134:$OL134,"Reação"))&gt;0,(COUNTIF($RK134:$RN134,"Rápido")+COUNTIF($OK134:$OL134,"Rápido"))&gt;0),"Reação não entra com Rápido",""),IF(AND((COUNTIF($RK134:$RN134,"Reação")+COUNTIF($OK134:$OL134,"Reação"))&gt;0,(COUNTIF($RK134:$RN134,"Armado")+COUNTIF($OK134:$OL134,"Armado"))&gt;0),"Reação não entra com Armado",""),IF(AND((COUNTIF($RK134:$RN134,"Reação")+COUNTIF($OK134:$OL134,"Reação"))&gt;0,(COUNTIF($MX134:$NA134,"Atrasar")+COUNTIF($OK134:$OL134,"Atrasar"))&gt;0),"Reação não entra com Atrasar",""),IF(AND((COUNTIF($RK134:$RN134,"Reação")+COUNTIF($OK134:$OL134,"Reação"))&gt;0,(COUNTIF($MX134:$NA134,"Parado")+COUNTIF($OK134:$OL134,"Parado"))&gt;0),"Reação não entra com Parado",""),IF(AND((COUNTIF($MX134:$NA134,"Atrasar")+COUNTIF($OK134:$OL134,"Atrasar"))&gt;0,(COUNTIF($MX134:$NA134,"Parado")+COUNTIF($OK134:$OL134,"Parado"))&gt;0),"Atrasar não entra com Parado",""),IF(AND((COUNTIF($RK134:$RN134,"Armado")+COUNTIF($OK134:$OL134,"Armado"))&gt;0,(COUNTIF($MX134:$NA134,"Carregar")+COUNTIF($OK134:$OL134,"Carregar"))&gt;0),"Armado não entra com Carregar",""),IF(AND(COUNTIF($OK134:$OL134,"Corpo a Corpo")&gt;0,$OF134=0,OR($RO134="Cone",$RO134="Linha")),"Corpo a Corpo não entra em "&amp;$MU134,""),IF(AND(COUNTIF($OK134:$OL134,"Corpo a Corpo")&gt;0,$RP134="Corpo a Corpo"),"A Forma "&amp;$MU134&amp;" já traz o Corpo a Corpo",""),IF(AND(COUNTIF($OK134:$OL134,"Tudo ou Nada")&gt;0,$OH134=0),"Tudo ou Nada só entra em habilidade de Teste de Resistência",""),IF(AND(COUNTIF($RK134:$RN134,"Inescapável")&gt;0,OR($OU134&gt;1,$OV134&gt;0)),"Inescapável não aceita outra peça",""),IF(AND($MS134&gt;0,$PD134*IF(COUNTIF($RK134:$RN134,"Remate")&gt;0,1.25,1)+$PE134&gt;4*$MS134),($PD134*IF(COUNTIF($RK134:$RN134,"Remate")&gt;0,1.25,1)+$PE134)&amp;" dados somando repetições"&amp;IF(COUNTIF($RK134:$RN134,"Remate")&gt;0," e o Remate","")&amp;": o teto da Classe "&amp;$MS134&amp;" é "&amp;4*$MS134,""))),IF(AND($MX134&lt;&gt;"",COUNTIF('DADOS_MELHORIAS'!$O$2:$O$113,SUBSTITUTE(SUBSTITUTE(SUBSTITUTE($MX134,"~","~~"),"*","~*"),"?","~?"))=0),"Melhoria não cadastrada ou com erro: "&amp;$MX134,""),IF(AND($MY134&lt;&gt;"",COUNTIF('DADOS_MELHORIAS'!$O$2:$O$113,SUBSTITUTE(SUBSTITUTE(SUBSTITUTE($MY134,"~","~~"),"*","~*"),"?","~?"))=0),"Melhoria não cadastrada ou com erro: "&amp;$MY134,""),IF(AND($MZ134&lt;&gt;"",COUNTIF('DADOS_MELHORIAS'!$O$2:$O$113,SUBSTITUTE(SUBSTITUTE(SUBSTITUTE($MZ134,"~","~~"),"*","~*"),"?","~?"))=0),"Melhoria não cadastrada ou com erro: "&amp;$MZ134,""),IF(AND($NA134&lt;&gt;"",COUNTIF('DADOS_MELHORIAS'!$O$2:$O$113,SUBSTITUTE(SUBSTITUTE(SUBSTITUTE($NA134,"~","~~"),"*","~*"),"?","~?"))=0),"Melhoria não cadastrada ou com erro: "&amp;$NA134,""),IF(AND($NB134&lt;&gt;"",COUNTIF('DADOS_RESTRICOES'!$M$2:$M$54,SUBSTITUTE(SUBSTITUTE(SUBSTITUTE($NB134,"~","~~"),"*","~*"),"?","~?"))=0),"Restrição não cadastrada ou com erro: "&amp;$NB134,""),IF(AND($NC134&lt;&gt;"",COUNTIF('DADOS_RESTRICOES'!$M$2:$M$54,SUBSTITUTE(SUBSTITUTE(SUBSTITUTE($NC134,"~","~~"),"*","~*"),"?","~?"))=0),"Restrição não cadastrada ou com erro: "&amp;$NC134,""))),IF(AND($MU134&lt;&gt;"",COUNTIF('DADOS_FORMAS'!$AH$2:$AH$21,SUBSTITUTE(SUBSTITUTE(SUBSTITUTE($MU134,"~","~~"),"*","~*"),"?","~?"))=0),"Forma não cadastrada ou com erro: "&amp;$MU134,""),IF(AND(IFERROR(INDEX('DADOS_FORMAS'!$AS$2:$AS$21,MATCH(SUBSTITUTE(SUBSTITUTE(SUBSTITUTE($MU134,"~","~~"),"*","~*"),"?","~?"),'DADOS_FORMAS'!$AH$2:$AH$21,0)),"")&lt;&gt;"",OR(IFERROR(VLOOKUP(SUBSTITUTE(SUBSTITUTE(SUBSTITUTE(IFERROR(INDEX('DADOS_FORMAS'!$AS$2:$AS$21,MATCH(SUBSTITUTE(SUBSTITUTE(SUBSTITUTE($MU134,"~","~~"),"*","~*"),"?","~?"),'DADOS_FORMAS'!$AH$2:$AH$21,0)),""),"~","~~"),"*","~*"),"?","~?"),'DADOS_RESTRICOES'!$M$2:$Q$54,2,FALSE),"")=$OK134,IFERROR(VLOOKUP(SUBSTITUTE(SUBSTITUTE(SUBSTITUTE(IFERROR(INDEX('DADOS_FORMAS'!$AS$2:$AS$21,MATCH(SUBSTITUTE(SUBSTITUTE(SUBSTITUTE($MU134,"~","~~"),"*","~*"),"?","~?"),'DADOS_FORMAS'!$AH$2:$AH$21,0)),""),"~","~~"),"*","~*"),"?","~?"),'DADOS_RESTRICOES'!$M$2:$Q$54,2,FALSE),"")=$OL134)),"Restrição repetida, contando a embutida",""),IF(IF(IFERROR(INDEX('DADOS_FORMAS'!$AS$2:$AS$21,MATCH(SUBSTITUTE(SUBSTITUTE(SUBSTITUTE($MU134,"~","~~"),"*","~*"),"?","~?"),'DADOS_FORMAS'!$AH$2:$AH$21,0)),"")="",0,IFERROR(N(VLOOKUP(SUBSTITUTE(SUBSTITUTE(SUBSTITUTE(IFERROR(INDEX('DADOS_FORMAS'!$AS$2:$AS$21,MATCH(SUBSTITUTE(SUBSTITUTE(SUBSTITUTE($MU134,"~","~~"),"*","~*"),"?","~?"),'DADOS_FORMAS'!$AH$2:$AH$21,0)),""),"~","~~"),"*","~*"),"?","~?"),'DADOS_RESTRICOES'!$M$2:$Q$54,4,FALSE)=1),0))+IF($NB134="",0,IFERROR(N(VLOOKUP(SUBSTITUTE(SUBSTITUTE(SUBSTITUTE($NB134,"~","~~"),"*","~*"),"?","~?"),'DADOS_RESTRICOES'!$M$2:$Q$54,4,FALSE)=1),0))+IF($NC134="",0,IFERROR(N(VLOOKUP(SUBSTITUTE(SUBSTITUTE(SUBSTITUTE($NC134,"~","~~"),"*","~*"),"?","~?"),'DADOS_RESTRICOES'!$M$2:$Q$54,4,FALSE)=1),0))&gt;1,"Duas Restrições de frequência, contando a embutida",""),IF(AND(IFERROR(VLOOKUP(SUBSTITUTE(SUBSTITUTE(SUBSTITUTE(IFERROR(INDEX('DADOS_FORMAS'!$AS$2:$AS$21,MATCH(SUBSTITUTE(SUBSTITUTE(SUBSTITUTE($MU134,"~","~~"),"*","~*"),"?","~?"),'DADOS_FORMAS'!$AH$2:$AH$21,0)),""),"~","~~"),"*","~*"),"?","~?"),'DADOS_RESTRICOES'!$M$2:$Q$54,2,FALSE),"")="Tudo ou Nada",$OH134=0),"Tudo ou Nada exige TR",""),IF(AND(IFERROR(VLOOKUP(SUBSTITUTE(SUBSTITUTE(SUBSTITUTE(IFERROR(INDEX('DADOS_FORMAS'!$AS$2:$AS$21,MATCH(SUBSTITUTE(SUBSTITUTE(SUBSTITUTE($MU134,"~","~~"),"*","~*"),"?","~?"),'DADOS_FORMAS'!$AH$2:$AH$21,0)),""),"~","~~"),"*","~*"),"?","~?"),'DADOS_RESTRICOES'!$M$2:$Q$54,2,FALSE),"")="Corpo a Corpo",OR($RO134="Cone",$RO134="Linha")),"Corpo a Corpo não entra em Cone/Linha","")))</f>
        <v/>
      </c>
      <c r="PU134" s="164">
        <f>IF($PT134="",0,(LEN($PT134)-LEN(SUBSTITUTE($PT134," · ","")))/3+1)</f>
        <v/>
      </c>
      <c r="PV134" s="164">
        <f>IF($ND134=0,"",TEXTJOIN(" · ",TRUE,IF($OX134&gt;2*$MS134,"A devolução parou no teto de "&amp;2*$MS134,""),IF($PA134&gt;0,"Devolução perdida: "&amp;$PA134&amp;IF($PA134&gt;1," pontos"," ponto")&amp;" sem Melhoria para pagar",""),IF(AND($OC134&gt;0,AND($MS134&gt;0,$OG134=0),$PD134=0),"Controle sem dano: uma rodada a mais e CD +2",""),IF(AND($OC134&gt;0,AND($MS134&gt;0,$OG134=0),$PD134&gt;0,$PD134&lt;=$MS134),"Controle com saldo até a Classe: uma rodada a mais",""),IF(AND($MS134&gt;0,$OE134&lt;&gt;""),"Efeito de "&amp;$OE134&amp;" pela Classe "&amp;MAX(1,$MS134-1),"")))</f>
        <v/>
      </c>
      <c r="PW134" s="164">
        <f>IF($PV134="",0,(LEN($PV134)-LEN(SUBSTITUTE($PV134," · ","")))/3+1)</f>
        <v/>
      </c>
      <c r="PX134" s="164">
        <f>IF($ND134=0,IF($OU134+COUNTIF($NB134:$NC134,"?*")&gt;0,"Dê um nome",""),IF($PU134&gt;0,"⚠ "&amp;$PU134&amp;IF($PU134&gt;1," erros"," erro"),IF($PW134&gt;0,"! "&amp;$PW134&amp;IF($PW134&gt;1," avisos"," aviso"),"Na regra")))</f>
        <v/>
      </c>
      <c r="PY134" s="164">
        <f>IF($ND134=0,"",IF($PU134+$PW134=0,"Dentro das regras que a ficha confere",$PT134&amp;IF(AND($PU134&gt;0,$PW134&gt;0)," · ","")&amp;$PV134))</f>
        <v/>
      </c>
      <c r="PZ134" s="164">
        <f>IF($MQ134&gt;$NE134,$MR134&amp;" · ABRE NO NÍVEL "&amp;$MQ134,$MR134)</f>
        <v/>
      </c>
      <c r="QA134" s="164">
        <f>IF($ND134=0,"",IF($MS134=0,"Sem PE",3*$MS134&amp;" PE"))</f>
        <v/>
      </c>
      <c r="QB134" s="164">
        <f>IF($ND134=0,"",IF($MS134=0,"A atuação básica dela",IF(COUNTIF($RQ134:$RS134,"Atrasar")&gt;0,"Sua Ação Completa",IF(COUNTIF($RK134:$RN134,"Rápido")&gt;0,"Sua Bônus",IF(COUNTIF($RK134:$RN134,"Reação")&gt;0,"Sua Reação","Sua Padrão")))&amp;" + a básica dela"&amp;IF(COUNTIF($RK134:$RN134,"Reação")&gt;0," e a coletiva","")&amp;IF(COUNTIF($RQ134:$RS134,"Carregar")&gt;0," · em dois turnos","")))</f>
        <v/>
      </c>
      <c r="QC134" s="164">
        <f>IF($MW134&lt;&gt;"",$MW134,IF($NJ134=0,"",INDEX('DADOS_FORMAS'!$GE$2:$GE$21,$NJ134)))</f>
        <v/>
      </c>
      <c r="QD134" s="164">
        <f>IF(OR($ND134=0,$NJ134=0),"",IF(COUNTIF($RK134:$RN134,"Inescapável")&gt;0,"Automático",IF($QC134="Ataque",IF($NH134="","Ataque","Ataque "&amp;IF(($NH134+2*IF(COUNTIF($RK134:$RN134,"Precisão")&gt;0,1,0))&gt;=0,"+","−")&amp;ABS(($NH134+2*IF(COUNTIF($RK134:$RN134,"Precisão")&gt;0,1,0))))&amp;IF($OD134&gt;0," · TR"&amp;IF($NI134="",""," CD "&amp;$NI134),""),IF(LEFT($QC134,2)="TR",$QC134&amp;IF($NI134="",""," · CD "&amp;$NI134)&amp;IF(COUNTIF($RK134:$RN134,"Certeiro")&gt;0," · metade",""),"Sem rolagem"))))</f>
        <v/>
      </c>
      <c r="QE134" s="164">
        <f>IF(OR($ND134=0,$NJ134=0),"",IF($MS134=0,IF(OR($OG134&gt;=1,$PD134=0),"Sem dano",$PD134&amp;"d6"&amp;IF($MV134="",""," "&amp;$MV134)),IF(OR($OG134&gt;=1,$PD134=0),UPPER(LEFT(INDEX($PM134:$PS134,1,MAX(1,$MS134)),1))&amp;MID(INDEX($PM134:$PS134,1,MAX(1,$MS134)),2,99),UPPER(LEFT(INDEX($PM134:$PS134,1,MAX(1,$MS134)),1))&amp;MID(INDEX($PM134:$PS134,1,MAX(1,$MS134)),2,99)&amp;IF($MV134="",""," "&amp;$MV134)&amp;IF($PE134&gt;0," · +"&amp;$PE134&amp;"d8",""))))</f>
        <v/>
      </c>
      <c r="QF134" s="164">
        <f>COUNTIF($RK134:$RN134,"Longe")+3*COUNTIF($RK134:$RN134,"Muito Longe")</f>
        <v/>
      </c>
      <c r="QG134" s="164">
        <f>COUNTIF($RK134:$RN134,"Maior")+3*COUNTIF($RK134:$RN134,"Muito Maior")</f>
        <v/>
      </c>
      <c r="QH134" s="164">
        <f>IF($NJ134=0,0,CHOOSE(1+INDEX('DADOS_FORMAS'!$GG$2:$GG$21,$NJ134),0,$QF134,$QG134,$QF134+$QG134))</f>
        <v/>
      </c>
      <c r="QI134" s="164">
        <f>IF($NJ134=0,0,CHOOSE(1+INDEX('DADOS_FORMAS'!$GH$2:$GH$21,$NJ134),0,$QF134,$QG134,$QF134+$QG134))</f>
        <v/>
      </c>
      <c r="QJ134" s="164">
        <f>IF(OR($ND134=0,$NJ134=0),"",INDEX('DADOS_FORMAS'!$HU$2:$HZ$81,($NJ134-1)*4+IF($MS134=0,1,IF($MS134&lt;=5,2,IF($MS134=6,3,4))),1+MIN(5,$QH134))&amp;INDEX('DADOS_FORMAS'!$IA$2:$IF$81,($NJ134-1)*4+IF($MS134=0,1,IF($MS134&lt;=5,2,IF($MS134=6,3,4))),1+MIN(5,$QI134))&amp;IF(INDEX('DADOS_FORMAS'!$GI$2:$GI$21,$NJ134)=1,IF(COUNTIF($RK134:$RN134,"Mais Um")&gt;0," · +"&amp;COUNTIF($RK134:$RN134,"Mais Um")&amp;IF(COUNTIF($RK134:$RN134,"Mais Um")&gt;1," alvos"," alvo"),"")&amp;IF(COUNTIF($RK134:$RN134,"Rajada")&gt;0,IF($MS134=0," · 1 tiro"," · "&amp;(MAX(1,$MS134-1)+1)&amp;" tiros"),""),""))</f>
        <v/>
      </c>
      <c r="QK134" s="164">
        <f>IF($ND134=0,"",IF($MS134=0,$NG134&amp;"d6"&amp;IF($OU134&gt;0," − 1 = "&amp;$PD134&amp;"d6"," da básica do nível "&amp;$NE134),$PB134&amp;" − "&amp;$OW134&amp;" + "&amp;$OZ134&amp;" = "&amp;$PC134&amp;" · teto "&amp;4*$MS134&amp;"d8"&amp;IF($OF134=1," · a Forma devolve "&amp;$MS134,"")&amp;IF($PA134&gt;0," · perde "&amp;$PA134,"")))</f>
        <v/>
      </c>
      <c r="QL134" s="164">
        <f>IF($ND134=0,"",IF($MS134=0,"A básica não amplia: os dados dela sobem com o nível",IF($MS134&gt;=$NF134,"Já está na maior Classe que o nível liberou",TEXTJOIN(" · ",TRUE,IF(AND(2&gt;$MS134,2&lt;=$NF134),"2 → "&amp;$PN134&amp;", 6 PE",""),IF(AND(3&gt;$MS134,3&lt;=$NF134),"3 → "&amp;$PO134&amp;", 9 PE",""),IF(AND(4&gt;$MS134,4&lt;=$NF134),"4 → "&amp;$PP134&amp;", 12 PE",""),IF(AND(5&gt;$MS134,5&lt;=$NF134),"5 → "&amp;$PQ134&amp;", 15 PE",""),IF(AND(6&gt;$MS134,6&lt;=$NF134),"6 → "&amp;$PR134&amp;", 18 PE",""),IF(AND(7&gt;$MS134,7&lt;=$NF134),"7 → "&amp;$PS134&amp;", 21 PE","")))))</f>
        <v/>
      </c>
      <c r="QM134" s="164">
        <f>IF(OR($ND134=0,$NO134=0),"",IF($MS134=0,"−1 dado","−"&amp;INDEX($I$2:$N$8,MAX(1,$MS134),MAX(1,$NT134))&amp;" · "&amp;CHOOSE(MAX(1,$NT134),"Leve","Média","Pesada","Leve · Livre","Média · Livre","Pesada · Livre")))</f>
        <v/>
      </c>
      <c r="QN134" s="164">
        <f>IF(OR($ND134=0,$NP134=0),"",IF($MS134=0,"−1 dado","−"&amp;INDEX($I$2:$N$8,MAX(1,$MS134),MAX(1,$NU134))&amp;" · "&amp;CHOOSE(MAX(1,$NU134),"Leve","Média","Pesada","Leve · Livre","Média · Livre","Pesada · Livre")))</f>
        <v/>
      </c>
      <c r="QO134" s="164">
        <f>IF(OR($ND134=0,$NQ134=0),"",IF($MS134=0,"−1 dado","−"&amp;INDEX($I$2:$N$8,MAX(1,$MS134),MAX(1,$NV134))&amp;" · "&amp;CHOOSE(MAX(1,$NV134),"Leve","Média","Pesada","Leve · Livre","Média · Livre","Pesada · Livre")))</f>
        <v/>
      </c>
      <c r="QP134" s="164">
        <f>IF(OR($ND134=0,$NR134=0),"",IF($MS134=0,"−1 dado","−"&amp;INDEX($I$2:$N$8,MAX(1,$MS134),MAX(1,$NW134))&amp;" · "&amp;CHOOSE(MAX(1,$NW134),"Leve","Média","Pesada","Leve · Livre","Média · Livre","Pesada · Livre")))</f>
        <v/>
      </c>
      <c r="QQ134" s="164">
        <f>IF(OR($ND134=0,$NB134=""),"",IF($MS134=0,"não devolve","+"&amp;IF($OI134=1,CEILING($MS134/2,1),$MS134)))</f>
        <v/>
      </c>
      <c r="QR134" s="164">
        <f>IF(OR($ND134=0,$NC134=""),"",IF($MS134=0,"não devolve","+"&amp;IF($OJ134=1,CEILING($MS134/2,1),$MS134)))</f>
        <v/>
      </c>
      <c r="RK134">
        <f>IF($MX134="","",IFERROR(VLOOKUP(SUBSTITUTE(SUBSTITUTE(SUBSTITUTE($MX134,"~","~~"),"*","~*"),"?","~?"),'DADOS_MELHORIAS'!$O$2:$X$113,10,FALSE),$MX134))</f>
        <v/>
      </c>
      <c r="RL134">
        <f>IF($MY134="","",IFERROR(VLOOKUP(SUBSTITUTE(SUBSTITUTE(SUBSTITUTE($MY134,"~","~~"),"*","~*"),"?","~?"),'DADOS_MELHORIAS'!$O$2:$X$113,10,FALSE),$MY134))</f>
        <v/>
      </c>
      <c r="RM134">
        <f>IF($MZ134="","",IFERROR(VLOOKUP(SUBSTITUTE(SUBSTITUTE(SUBSTITUTE($MZ134,"~","~~"),"*","~*"),"?","~?"),'DADOS_MELHORIAS'!$O$2:$X$113,10,FALSE),$MZ134))</f>
        <v/>
      </c>
      <c r="RN134">
        <f>IF($NA134="","",IFERROR(VLOOKUP(SUBSTITUTE(SUBSTITUTE(SUBSTITUTE($NA134,"~","~~"),"*","~*"),"?","~?"),'DADOS_MELHORIAS'!$O$2:$X$113,10,FALSE),$NA134))</f>
        <v/>
      </c>
      <c r="RO134">
        <f>IFERROR(INDEX('DADOS_FORMAS'!$BJ$2:$BJ$21,MATCH(SUBSTITUTE(SUBSTITUTE(SUBSTITUTE($MU134,"~","~~"),"*","~*"),"?","~?"),'DADOS_FORMAS'!$AH$2:$AH$21,0)),"")</f>
        <v/>
      </c>
      <c r="RP134">
        <f>IFERROR(VLOOKUP(SUBSTITUTE(SUBSTITUTE(SUBSTITUTE(IFERROR(INDEX('DADOS_FORMAS'!$AS$2:$AS$21,MATCH(SUBSTITUTE(SUBSTITUTE(SUBSTITUTE($MU134,"~","~~"),"*","~*"),"?","~?"),'DADOS_FORMAS'!$AH$2:$AH$21,0)),""),"~","~~"),"*","~*"),"?","~?"),'DADOS_RESTRICOES'!$M$2:$Q$54,2,FALSE),"")</f>
        <v/>
      </c>
      <c r="RQ134">
        <f>$OK134</f>
        <v/>
      </c>
      <c r="RR134">
        <f>$OL134</f>
        <v/>
      </c>
      <c r="RS134">
        <f>$RP134</f>
        <v/>
      </c>
    </row>
    <row r="135">
      <c r="MN135" s="162" t="inlineStr">
        <is>
          <t>Ficha 11 · Básica 2</t>
        </is>
      </c>
      <c r="MO135" s="164" t="n">
        <v>11</v>
      </c>
      <c r="MP135" s="164" t="n">
        <v>0</v>
      </c>
      <c r="MQ135" s="164" t="n">
        <v>11</v>
      </c>
      <c r="MR135" s="162" t="inlineStr">
        <is>
          <t>BÁSICA 2</t>
        </is>
      </c>
      <c r="MS135" s="164" t="n">
        <v>0</v>
      </c>
      <c r="MT135" s="164">
        <f>'INVOCAÇÕES'!$AC$949&amp;""</f>
        <v/>
      </c>
      <c r="MU135" s="164">
        <f>'INVOCAÇÕES'!$AB$954&amp;""</f>
        <v/>
      </c>
      <c r="MV135" s="164">
        <f>'INVOCAÇÕES'!$AB$955&amp;""</f>
        <v/>
      </c>
      <c r="MW135" s="164">
        <f>'INVOCAÇÕES'!$AD$955&amp;""</f>
        <v/>
      </c>
      <c r="MX135" s="164">
        <f>'INVOCAÇÕES'!$AC$958&amp;""</f>
        <v/>
      </c>
      <c r="MY135" s="164">
        <f>'INVOCAÇÕES'!$AC$959&amp;""</f>
        <v/>
      </c>
      <c r="MZ135" s="164">
        <f>'INVOCAÇÕES'!$AC$960&amp;""</f>
        <v/>
      </c>
      <c r="NA135" s="164">
        <f>'INVOCAÇÕES'!$AC$961&amp;""</f>
        <v/>
      </c>
      <c r="NB135" s="164">
        <f>'INVOCAÇÕES'!$AC$962&amp;""</f>
        <v/>
      </c>
      <c r="NC135" s="164">
        <f>'INVOCAÇÕES'!$AC$963&amp;""</f>
        <v/>
      </c>
      <c r="ND135" s="164">
        <f>IF($MT135&lt;&gt;"",1,0)</f>
        <v/>
      </c>
      <c r="NE135" s="164">
        <f>INDEX($FO$2:$FO$13,$MO135)</f>
        <v/>
      </c>
      <c r="NF135" s="164">
        <f>INDEX($FP$2:$FP$13,$MO135)</f>
        <v/>
      </c>
      <c r="NG135" s="164">
        <f>INDEX($FQ$2:$FQ$13,$MO135)</f>
        <v/>
      </c>
      <c r="NH135" s="164">
        <f>INDEX($GB$2:$GB$13,$MO135)</f>
        <v/>
      </c>
      <c r="NI135" s="164">
        <f>INDEX($GC$2:$GC$13,$MO135)</f>
        <v/>
      </c>
      <c r="NJ135" s="164">
        <f>IFERROR(MATCH(SUBSTITUTE(SUBSTITUTE(SUBSTITUTE($MU135,"~","~~"),"*","~*"),"?","~?"),'DADOS_FORMAS'!$FZ$2:$FZ$21,0),0)</f>
        <v/>
      </c>
      <c r="NK135" s="164">
        <f>IFERROR(VLOOKUP(SUBSTITUTE(SUBSTITUTE(SUBSTITUTE($MX135,"~","~~"),"*","~*"),"?","~?"),'DADOS_MELHORIAS'!$AG$2:$AL$113,2,FALSE),"")</f>
        <v/>
      </c>
      <c r="NL135" s="164">
        <f>IFERROR(VLOOKUP(SUBSTITUTE(SUBSTITUTE(SUBSTITUTE($MY135,"~","~~"),"*","~*"),"?","~?"),'DADOS_MELHORIAS'!$AG$2:$AL$113,2,FALSE),"")</f>
        <v/>
      </c>
      <c r="NM135" s="164">
        <f>IFERROR(VLOOKUP(SUBSTITUTE(SUBSTITUTE(SUBSTITUTE($MZ135,"~","~~"),"*","~*"),"?","~?"),'DADOS_MELHORIAS'!$AG$2:$AL$113,2,FALSE),"")</f>
        <v/>
      </c>
      <c r="NN135" s="164">
        <f>IFERROR(VLOOKUP(SUBSTITUTE(SUBSTITUTE(SUBSTITUTE($NA135,"~","~~"),"*","~*"),"?","~?"),'DADOS_MELHORIAS'!$AG$2:$AL$113,2,FALSE),"")</f>
        <v/>
      </c>
      <c r="NO135" s="164">
        <f>IFERROR(VLOOKUP(SUBSTITUTE(SUBSTITUTE(SUBSTITUTE($MX135,"~","~~"),"*","~*"),"?","~?"),'DADOS_MELHORIAS'!$AG$2:$AL$113,3,FALSE),0)</f>
        <v/>
      </c>
      <c r="NP135" s="164">
        <f>IFERROR(VLOOKUP(SUBSTITUTE(SUBSTITUTE(SUBSTITUTE($MY135,"~","~~"),"*","~*"),"?","~?"),'DADOS_MELHORIAS'!$AG$2:$AL$113,3,FALSE),0)</f>
        <v/>
      </c>
      <c r="NQ135" s="164">
        <f>IFERROR(VLOOKUP(SUBSTITUTE(SUBSTITUTE(SUBSTITUTE($MZ135,"~","~~"),"*","~*"),"?","~?"),'DADOS_MELHORIAS'!$AG$2:$AL$113,3,FALSE),0)</f>
        <v/>
      </c>
      <c r="NR135" s="164">
        <f>IFERROR(VLOOKUP(SUBSTITUTE(SUBSTITUTE(SUBSTITUTE($NA135,"~","~~"),"*","~*"),"?","~?"),'DADOS_MELHORIAS'!$AG$2:$AL$113,3,FALSE),0)</f>
        <v/>
      </c>
      <c r="NS135" s="164">
        <f>IF($MS135=0,0,IF($NJ135=0,0,INDEX('DADOS_FORMAS'!$GB$2:$GB$21,$NJ135)))</f>
        <v/>
      </c>
      <c r="NT135" s="164">
        <f>IF(OR($NO135=0,$MS135=0),0,$NO135+3*IF(AND($NK135&lt;&gt;"",COUNTIF(INDEX($RB$2:$RJ$13,$MO135,0),$NK135)&gt;0),1,0))</f>
        <v/>
      </c>
      <c r="NU135" s="164">
        <f>IF(OR($NP135=0,$MS135=0),0,$NP135+3*IF(AND($NL135&lt;&gt;"",COUNTIF(INDEX($RB$2:$RJ$13,$MO135,0),$NL135)&gt;0),1,0))</f>
        <v/>
      </c>
      <c r="NV135" s="164">
        <f>IF(OR($NQ135=0,$MS135=0),0,$NQ135+3*IF(AND($NM135&lt;&gt;"",COUNTIF(INDEX($RB$2:$RJ$13,$MO135,0),$NM135)&gt;0),1,0))</f>
        <v/>
      </c>
      <c r="NW135" s="164">
        <f>IF(OR($NR135=0,$MS135=0),0,$NR135+3*IF(AND($NN135&lt;&gt;"",COUNTIF(INDEX($RB$2:$RJ$13,$MO135,0),$NN135)&gt;0),1,0))</f>
        <v/>
      </c>
      <c r="NX135" s="164">
        <f>IF($NJ135=0,0,IF(INDEX('DADOS_FORMAS'!$GA$2:$GA$21,$NJ135)="",0,IF((COUNTIF(INDEX($EL$2:$EP$13,$MO135,0),INDEX('DADOS_FORMAS'!$GA$2:$GA$21,$NJ135))+COUNTIF(INDEX($QV$2:$QY$13,$MO135,0),INDEX('DADOS_FORMAS'!$GA$2:$GA$21,$NJ135)))=0,1,0)))</f>
        <v/>
      </c>
      <c r="NY135" s="164">
        <f>IF(OR($NO135=0,$NK135=""),0,IF((COUNTIF(INDEX($EL$2:$EP$13,$MO135,0),$NK135)+COUNTIF(INDEX($QV$2:$QY$13,$MO135,0),$NK135))=0,1,0))</f>
        <v/>
      </c>
      <c r="NZ135" s="164">
        <f>IF(OR($NP135=0,$NL135=""),0,IF((COUNTIF(INDEX($EL$2:$EP$13,$MO135,0),$NL135)+COUNTIF(INDEX($QV$2:$QY$13,$MO135,0),$NL135))=0,1,0))</f>
        <v/>
      </c>
      <c r="OA135" s="164">
        <f>IF(OR($NQ135=0,$NM135=""),0,IF((COUNTIF(INDEX($EL$2:$EP$13,$MO135,0),$NM135)+COUNTIF(INDEX($QV$2:$QY$13,$MO135,0),$NM135))=0,1,0))</f>
        <v/>
      </c>
      <c r="OB135" s="164">
        <f>IF(OR($NR135=0,$NN135=""),0,IF((COUNTIF(INDEX($EL$2:$EP$13,$MO135,0),$NN135)+COUNTIF(INDEX($QV$2:$QY$13,$MO135,0),$NN135))=0,1,0))</f>
        <v/>
      </c>
      <c r="OC135" s="164">
        <f>IFERROR(VLOOKUP(SUBSTITUTE(SUBSTITUTE(SUBSTITUTE($MX135,"~","~~"),"*","~*"),"?","~?"),'DADOS_MELHORIAS'!$AG$2:$AL$113,4,FALSE),0)+IFERROR(VLOOKUP(SUBSTITUTE(SUBSTITUTE(SUBSTITUTE($MY135,"~","~~"),"*","~*"),"?","~?"),'DADOS_MELHORIAS'!$AG$2:$AL$113,4,FALSE),0)+IFERROR(VLOOKUP(SUBSTITUTE(SUBSTITUTE(SUBSTITUTE($MZ135,"~","~~"),"*","~*"),"?","~?"),'DADOS_MELHORIAS'!$AG$2:$AL$113,4,FALSE),0)+IFERROR(VLOOKUP(SUBSTITUTE(SUBSTITUTE(SUBSTITUTE($NA135,"~","~~"),"*","~*"),"?","~?"),'DADOS_MELHORIAS'!$AG$2:$AL$113,4,FALSE),0)</f>
        <v/>
      </c>
      <c r="OD135" s="164">
        <f>IFERROR(VLOOKUP(SUBSTITUTE(SUBSTITUTE(SUBSTITUTE($MX135,"~","~~"),"*","~*"),"?","~?"),'DADOS_MELHORIAS'!$AG$2:$AL$113,6,FALSE),0)+IFERROR(VLOOKUP(SUBSTITUTE(SUBSTITUTE(SUBSTITUTE($MY135,"~","~~"),"*","~*"),"?","~?"),'DADOS_MELHORIAS'!$AG$2:$AL$113,6,FALSE),0)+IFERROR(VLOOKUP(SUBSTITUTE(SUBSTITUTE(SUBSTITUTE($MZ135,"~","~~"),"*","~*"),"?","~?"),'DADOS_MELHORIAS'!$AG$2:$AL$113,6,FALSE),0)+IFERROR(VLOOKUP(SUBSTITUTE(SUBSTITUTE(SUBSTITUTE($NA135,"~","~~"),"*","~*"),"?","~?"),'DADOS_MELHORIAS'!$AG$2:$AL$113,6,FALSE),0)+IFERROR(N(AND(INDEX('DADOS_FORMAS'!$AO$2:$AO$21,MATCH(SUBSTITUTE(SUBSTITUTE(SUBSTITUTE($MU135,"~","~~"),"*","~*"),"?","~?"),'DADOS_FORMAS'!$AH$2:$AH$21,0))="Acerto",$OH135=1)),0)</f>
        <v/>
      </c>
      <c r="OE135" s="164">
        <f>TEXTJOIN(", ",TRUE,IF(IFERROR(VLOOKUP(SUBSTITUTE(SUBSTITUTE(SUBSTITUTE($MX135,"~","~~"),"*","~*"),"?","~?"),'DADOS_MELHORIAS'!$AG$2:$AL$113,5,FALSE),0)=1,$MX135,""),IF(IFERROR(VLOOKUP(SUBSTITUTE(SUBSTITUTE(SUBSTITUTE($MY135,"~","~~"),"*","~*"),"?","~?"),'DADOS_MELHORIAS'!$AG$2:$AL$113,5,FALSE),0)=1,$MY135,""),IF(IFERROR(VLOOKUP(SUBSTITUTE(SUBSTITUTE(SUBSTITUTE($MZ135,"~","~~"),"*","~*"),"?","~?"),'DADOS_MELHORIAS'!$AG$2:$AL$113,5,FALSE),0)=1,$MZ135,""),IF(IFERROR(VLOOKUP(SUBSTITUTE(SUBSTITUTE(SUBSTITUTE($NA135,"~","~~"),"*","~*"),"?","~?"),'DADOS_MELHORIAS'!$AG$2:$AL$113,5,FALSE),0)=1,$NA135,""))</f>
        <v/>
      </c>
      <c r="OF135" s="164">
        <f>IF($NJ135=0,0,INDEX('DADOS_FORMAS'!$GC$2:$GC$21,$NJ135))</f>
        <v/>
      </c>
      <c r="OG135" s="164">
        <f>IF($NJ135=0,0,INDEX('DADOS_FORMAS'!$GD$2:$GD$21,$NJ135))</f>
        <v/>
      </c>
      <c r="OH135" s="164">
        <f>IF($NJ135=0,0,INDEX('DADOS_FORMAS'!$GF$2:$GF$21,$NJ135))</f>
        <v/>
      </c>
      <c r="OI135" s="164">
        <f>IFERROR(VLOOKUP(SUBSTITUTE(SUBSTITUTE(SUBSTITUTE($NB135,"~","~~"),"*","~*"),"?","~?"),'DADOS_RESTRICOES'!$M$2:$Q$54,3,FALSE),0)</f>
        <v/>
      </c>
      <c r="OJ135" s="164">
        <f>IFERROR(VLOOKUP(SUBSTITUTE(SUBSTITUTE(SUBSTITUTE($NC135,"~","~~"),"*","~*"),"?","~?"),'DADOS_RESTRICOES'!$M$2:$Q$54,3,FALSE),0)</f>
        <v/>
      </c>
      <c r="OK135" s="164">
        <f>IFERROR(VLOOKUP(SUBSTITUTE(SUBSTITUTE(SUBSTITUTE($NB135,"~","~~"),"*","~*"),"?","~?"),'DADOS_RESTRICOES'!$M$2:$Q$54,2,FALSE),"")</f>
        <v/>
      </c>
      <c r="OL135" s="164">
        <f>IFERROR(VLOOKUP(SUBSTITUTE(SUBSTITUTE(SUBSTITUTE($NC135,"~","~~"),"*","~*"),"?","~?"),'DADOS_RESTRICOES'!$M$2:$Q$54,2,FALSE),"")</f>
        <v/>
      </c>
      <c r="OM135" s="164">
        <f>COUNTIF($NS135:$NW135,1)</f>
        <v/>
      </c>
      <c r="ON135" s="164">
        <f>COUNTIF($NS135:$NW135,2)</f>
        <v/>
      </c>
      <c r="OO135" s="164">
        <f>COUNTIF($NS135:$NW135,3)</f>
        <v/>
      </c>
      <c r="OP135" s="164">
        <f>COUNTIF($NS135:$NW135,4)</f>
        <v/>
      </c>
      <c r="OQ135" s="164">
        <f>COUNTIF($NS135:$NW135,5)</f>
        <v/>
      </c>
      <c r="OR135" s="164">
        <f>COUNTIF($NS135:$NW135,6)</f>
        <v/>
      </c>
      <c r="OS135" s="164">
        <f>COUNTIF($OI135:$OJ135,1)+IF(IFERROR(INDEX('DADOS_FORMAS'!$AS$2:$AS$21,MATCH(SUBSTITUTE(SUBSTITUTE(SUBSTITUTE($MU135,"~","~~"),"*","~*"),"?","~?"),'DADOS_FORMAS'!$AH$2:$AH$21,0)),"")="",0,IFERROR(N(VLOOKUP(SUBSTITUTE(SUBSTITUTE(SUBSTITUTE(IFERROR(INDEX('DADOS_FORMAS'!$AS$2:$AS$21,MATCH(SUBSTITUTE(SUBSTITUTE(SUBSTITUTE($MU135,"~","~~"),"*","~*"),"?","~?"),'DADOS_FORMAS'!$AH$2:$AH$21,0)),""),"~","~~"),"*","~*"),"?","~?"),'DADOS_RESTRICOES'!$M$2:$Q$54,3,FALSE)=1),0))</f>
        <v/>
      </c>
      <c r="OT135" s="164">
        <f>COUNTIF($OI135:$OJ135,2)+IF(IFERROR(INDEX('DADOS_FORMAS'!$AS$2:$AS$21,MATCH(SUBSTITUTE(SUBSTITUTE(SUBSTITUTE($MU135,"~","~~"),"*","~*"),"?","~?"),'DADOS_FORMAS'!$AH$2:$AH$21,0)),"")="",0,IFERROR(N(VLOOKUP(SUBSTITUTE(SUBSTITUTE(SUBSTITUTE(IFERROR(INDEX('DADOS_FORMAS'!$AS$2:$AS$21,MATCH(SUBSTITUTE(SUBSTITUTE(SUBSTITUTE($MU135,"~","~~"),"*","~*"),"?","~?"),'DADOS_FORMAS'!$AH$2:$AH$21,0)),""),"~","~~"),"*","~*"),"?","~?"),'DADOS_RESTRICOES'!$M$2:$Q$54,3,FALSE)=2),0))</f>
        <v/>
      </c>
      <c r="OU135" s="164">
        <f>COUNTIF($MX135:$NA135,"?*")</f>
        <v/>
      </c>
      <c r="OV135" s="164">
        <f>COUNTIF($NB135:$NC135,"?*")+$OF135</f>
        <v/>
      </c>
      <c r="OW135" s="164">
        <f>IF($MS135=0,0,SUMPRODUCT($OM135:$OR135,INDEX($I$2:$N$8,MAX(1,$MS135),0)))</f>
        <v/>
      </c>
      <c r="OX135" s="164">
        <f>IF($MS135=0,0,$OS135*CEILING($MS135/2,1)+$OT135*$MS135)</f>
        <v/>
      </c>
      <c r="OY135" s="164">
        <f>MIN(2*$MS135,$OX135)</f>
        <v/>
      </c>
      <c r="OZ135" s="164">
        <f>MIN($OY135,$OW135-IF($NS135=0,0,INDEX($I$2:$N$8,MAX(1,$MS135),$NS135)))</f>
        <v/>
      </c>
      <c r="PA135" s="164">
        <f>$OY135-$OZ135</f>
        <v/>
      </c>
      <c r="PB135" s="164">
        <f>IF($MS135=0,0,INDEX($P$2:$P$8,MAX(1,$MS135)))</f>
        <v/>
      </c>
      <c r="PC135" s="164">
        <f>$PB135-$OW135+$OZ135</f>
        <v/>
      </c>
      <c r="PD135" s="164">
        <f>IF($MS135=0,MAX(0,$NG135-IF(AND($OU135&gt;0,COUNTIF($NB135:$NC135,"?*")=0),1,0)),MAX(0,$PC135))</f>
        <v/>
      </c>
      <c r="PE135" s="164">
        <f>IF($MS135=0,0,(IF(COUNTIF($RK135:$RN135,"Salto")&gt;0,1,0)+IF(COUNTIF($RK135:$RN135,"Queima")&gt;0,1,0)+IF(COUNTIF($RK135:$RN135,"Estilhaço")&gt;0,1,0))*FLOOR($PD135/2,1))</f>
        <v/>
      </c>
      <c r="PF135" s="164">
        <f>MAX(0,2-SUMPRODUCT($OM135:$OR135,$I$2:$N$2)+MIN(2,$OS135*1+$OT135*1,SUMPRODUCT($OM135:$OR135,$I$2:$N$2)-IF($NS135=0,0,INDEX($I$2:$N$2,1,$NS135))))</f>
        <v/>
      </c>
      <c r="PG135" s="164">
        <f>MAX(0,4-SUMPRODUCT($OM135:$OR135,$I$3:$N$3)+MIN(4,$OS135*1+$OT135*2,SUMPRODUCT($OM135:$OR135,$I$3:$N$3)-IF($NS135=0,0,INDEX($I$3:$N$3,1,$NS135))))</f>
        <v/>
      </c>
      <c r="PH135" s="164">
        <f>MAX(0,6-SUMPRODUCT($OM135:$OR135,$I$4:$N$4)+MIN(6,$OS135*2+$OT135*3,SUMPRODUCT($OM135:$OR135,$I$4:$N$4)-IF($NS135=0,0,INDEX($I$4:$N$4,1,$NS135))))</f>
        <v/>
      </c>
      <c r="PI135" s="164">
        <f>MAX(0,9-SUMPRODUCT($OM135:$OR135,$I$5:$N$5)+MIN(8,$OS135*2+$OT135*4,SUMPRODUCT($OM135:$OR135,$I$5:$N$5)-IF($NS135=0,0,INDEX($I$5:$N$5,1,$NS135))))</f>
        <v/>
      </c>
      <c r="PJ135" s="164">
        <f>MAX(0,11-SUMPRODUCT($OM135:$OR135,$I$6:$N$6)+MIN(10,$OS135*3+$OT135*5,SUMPRODUCT($OM135:$OR135,$I$6:$N$6)-IF($NS135=0,0,INDEX($I$6:$N$6,1,$NS135))))</f>
        <v/>
      </c>
      <c r="PK135" s="164">
        <f>MAX(0,13-SUMPRODUCT($OM135:$OR135,$I$7:$N$7)+MIN(12,$OS135*3+$OT135*6,SUMPRODUCT($OM135:$OR135,$I$7:$N$7)-IF($NS135=0,0,INDEX($I$7:$N$7,1,$NS135))))</f>
        <v/>
      </c>
      <c r="PL135" s="164">
        <f>MAX(0,16-SUMPRODUCT($OM135:$OR135,$I$8:$N$8)+MIN(14,$OS135*4+$OT135*7,SUMPRODUCT($OM135:$OR135,$I$8:$N$8)-IF($NS135=0,0,INDEX($I$8:$N$8,1,$NS135))))</f>
        <v/>
      </c>
      <c r="PM135" s="164">
        <f>IF($OG135=2,3*$PF135&amp;" de vida temp.",IF($OG135=3,"sem dano",IF($PF135=0,IF($OG135=1,"sem cura","sem dano"),IF($OG135=1,"cura ","")&amp;$PF135&amp;"d8")))</f>
        <v/>
      </c>
      <c r="PN135" s="164">
        <f>IF($OG135=2,3*$PG135&amp;" de vida temp.",IF($OG135=3,"sem dano",IF($PG135=0,IF($OG135=1,"sem cura","sem dano"),IF($OG135=1,"cura ","")&amp;$PG135&amp;"d8")))</f>
        <v/>
      </c>
      <c r="PO135" s="164">
        <f>IF($OG135=2,3*$PH135&amp;" de vida temp.",IF($OG135=3,"sem dano",IF($PH135=0,IF($OG135=1,"sem cura","sem dano"),IF($OG135=1,"cura ","")&amp;$PH135&amp;"d8")))</f>
        <v/>
      </c>
      <c r="PP135" s="164">
        <f>IF($OG135=2,3*$PI135&amp;" de vida temp.",IF($OG135=3,"sem dano",IF($PI135=0,IF($OG135=1,"sem cura","sem dano"),IF($OG135=1,"cura ","")&amp;$PI135&amp;"d8")))</f>
        <v/>
      </c>
      <c r="PQ135" s="164">
        <f>IF($OG135=2,3*$PJ135&amp;" de vida temp.",IF($OG135=3,"sem dano",IF($PJ135=0,IF($OG135=1,"sem cura","sem dano"),IF($OG135=1,"cura ","")&amp;$PJ135&amp;"d8")))</f>
        <v/>
      </c>
      <c r="PR135" s="164">
        <f>IF($OG135=2,3*$PK135&amp;" de vida temp.",IF($OG135=3,"sem dano",IF($PK135=0,IF($OG135=1,"sem cura","sem dano"),IF($OG135=1,"cura ","")&amp;$PK135&amp;"d8")))</f>
        <v/>
      </c>
      <c r="PS135" s="164">
        <f>IF($OG135=2,3*$PL135&amp;" de vida temp.",IF($OG135=3,"sem dano",IF($PL135=0,IF($OG135=1,"sem cura","sem dano"),IF($OG135=1,"cura ","")&amp;$PL135&amp;"d8")))</f>
        <v/>
      </c>
      <c r="PT135" s="164">
        <f>IF($ND135=0,"",TEXTJOIN(" · ",TRUE,IF($ND135=0,"",TEXTJOIN(" · ",TRUE,IF($ND135=0,"",TEXTJOIN(" · ",TRUE,IF($MQ135&gt;$NE135,"Este lugar abre no nível "&amp;$MQ135,""),IF($MS135&gt;$NF135,"Classe "&amp;$MS135&amp;": o nível "&amp;$NE135&amp;" libera até a "&amp;$NF135,""),IF($NX135=1,"A Forma "&amp;$MU135&amp;" pede "&amp;INDEX('DADOS_FORMAS'!$GA$2:$GA$21,$NJ135)&amp;" aberta",""),IF(AND($MS135=0,$NJ135&gt;0,IF($NJ135=0,0,INDEX('DADOS_FORMAS'!$GJ$2:$GJ$21,$NJ135))=0),$MU135&amp;" não existe na Classe 0",""),IF($NY135=1,"Família Fechada: "&amp;$MX135,""),IF($NZ135=1,"Família Fechada: "&amp;$MY135,""),IF($OA135=1,"Família Fechada: "&amp;$MZ135,""),IF($OB135=1,"Família Fechada: "&amp;$NA135,""),IF(AND($MS135&gt;0,$OU135&gt;INDEX($O$2:$O$8,MAX(1,$MS135))),$OU135&amp;" Melhorias: a Classe "&amp;$MS135&amp;" aceita "&amp;INDEX($O$2:$O$8,MAX(1,$MS135)),""),IF(AND($MS135=0,$OU135&gt;1),"A básica aceita uma Melhoria",""),IF(AND($MS135=0,COUNTIF($NO135:$NR135,"&gt;1")&gt;0),"A básica só aceita Melhoria Leve",""),IF(AND($MS135&gt;0,$OV135&gt;2),$OV135&amp;" Restrições"&amp;IF($OF135=1,", contando a que a Forma "&amp;$MU135&amp;" já traz","")&amp;": o limite é 2",""),IF(AND($MS135=0,COUNTIF($NB135:$NC135,"?*")&gt;1),"A básica aceita uma Restrição Leve",""),IF(AND($MS135=0,COUNTIF($OI135:$OJ135,2)&gt;0),"A básica só aceita Restrição Leve",""),IF(AND($MS135&gt;0,$PC135&lt;0),"Orçamento estourado: faltam "&amp;(-$PC135)&amp;IF($PC135&lt;-1," pontos"," ponto"),""),IF(IFERROR(VLOOKUP(SUBSTITUTE(SUBSTITUTE(SUBSTITUTE($NB135,"~","~~"),"*","~*"),"?","~?"),'DADOS_RESTRICOES'!$M$2:$Q$54,4,FALSE),0)+IFERROR(VLOOKUP(SUBSTITUTE(SUBSTITUTE(SUBSTITUTE($NC135,"~","~~"),"*","~*"),"?","~?"),'DADOS_RESTRICOES'!$M$2:$Q$54,4,FALSE),0)&gt;1,$OK135&amp;" e "&amp;$OL135&amp;" são as duas de frequência",""),IF(AND((COUNTIF($RK135:$RN135,"Rápido")+COUNTIF($OK135:$OL135,"Rápido"))&gt;0,(COUNTIF($MX135:$NA135,"Atrasar")+COUNTIF($OK135:$OL135,"Atrasar"))&gt;0),"Rápido não entra com Atrasar",""),IF(AND((COUNTIF($RK135:$RN135,"Reação")+COUNTIF($OK135:$OL135,"Reação"))&gt;0,(COUNTIF($RK135:$RN135,"Rápido")+COUNTIF($OK135:$OL135,"Rápido"))&gt;0),"Reação não entra com Rápido",""),IF(AND((COUNTIF($RK135:$RN135,"Reação")+COUNTIF($OK135:$OL135,"Reação"))&gt;0,(COUNTIF($RK135:$RN135,"Armado")+COUNTIF($OK135:$OL135,"Armado"))&gt;0),"Reação não entra com Armado",""),IF(AND((COUNTIF($RK135:$RN135,"Reação")+COUNTIF($OK135:$OL135,"Reação"))&gt;0,(COUNTIF($MX135:$NA135,"Atrasar")+COUNTIF($OK135:$OL135,"Atrasar"))&gt;0),"Reação não entra com Atrasar",""),IF(AND((COUNTIF($RK135:$RN135,"Reação")+COUNTIF($OK135:$OL135,"Reação"))&gt;0,(COUNTIF($MX135:$NA135,"Parado")+COUNTIF($OK135:$OL135,"Parado"))&gt;0),"Reação não entra com Parado",""),IF(AND((COUNTIF($MX135:$NA135,"Atrasar")+COUNTIF($OK135:$OL135,"Atrasar"))&gt;0,(COUNTIF($MX135:$NA135,"Parado")+COUNTIF($OK135:$OL135,"Parado"))&gt;0),"Atrasar não entra com Parado",""),IF(AND((COUNTIF($RK135:$RN135,"Armado")+COUNTIF($OK135:$OL135,"Armado"))&gt;0,(COUNTIF($MX135:$NA135,"Carregar")+COUNTIF($OK135:$OL135,"Carregar"))&gt;0),"Armado não entra com Carregar",""),IF(AND(COUNTIF($OK135:$OL135,"Corpo a Corpo")&gt;0,$OF135=0,OR($RO135="Cone",$RO135="Linha")),"Corpo a Corpo não entra em "&amp;$MU135,""),IF(AND(COUNTIF($OK135:$OL135,"Corpo a Corpo")&gt;0,$RP135="Corpo a Corpo"),"A Forma "&amp;$MU135&amp;" já traz o Corpo a Corpo",""),IF(AND(COUNTIF($OK135:$OL135,"Tudo ou Nada")&gt;0,$OH135=0),"Tudo ou Nada só entra em habilidade de Teste de Resistência",""),IF(AND(COUNTIF($RK135:$RN135,"Inescapável")&gt;0,OR($OU135&gt;1,$OV135&gt;0)),"Inescapável não aceita outra peça",""),IF(AND($MS135&gt;0,$PD135*IF(COUNTIF($RK135:$RN135,"Remate")&gt;0,1.25,1)+$PE135&gt;4*$MS135),($PD135*IF(COUNTIF($RK135:$RN135,"Remate")&gt;0,1.25,1)+$PE135)&amp;" dados somando repetições"&amp;IF(COUNTIF($RK135:$RN135,"Remate")&gt;0," e o Remate","")&amp;": o teto da Classe "&amp;$MS135&amp;" é "&amp;4*$MS135,""))),IF(AND($MX135&lt;&gt;"",COUNTIF('DADOS_MELHORIAS'!$O$2:$O$113,SUBSTITUTE(SUBSTITUTE(SUBSTITUTE($MX135,"~","~~"),"*","~*"),"?","~?"))=0),"Melhoria não cadastrada ou com erro: "&amp;$MX135,""),IF(AND($MY135&lt;&gt;"",COUNTIF('DADOS_MELHORIAS'!$O$2:$O$113,SUBSTITUTE(SUBSTITUTE(SUBSTITUTE($MY135,"~","~~"),"*","~*"),"?","~?"))=0),"Melhoria não cadastrada ou com erro: "&amp;$MY135,""),IF(AND($MZ135&lt;&gt;"",COUNTIF('DADOS_MELHORIAS'!$O$2:$O$113,SUBSTITUTE(SUBSTITUTE(SUBSTITUTE($MZ135,"~","~~"),"*","~*"),"?","~?"))=0),"Melhoria não cadastrada ou com erro: "&amp;$MZ135,""),IF(AND($NA135&lt;&gt;"",COUNTIF('DADOS_MELHORIAS'!$O$2:$O$113,SUBSTITUTE(SUBSTITUTE(SUBSTITUTE($NA135,"~","~~"),"*","~*"),"?","~?"))=0),"Melhoria não cadastrada ou com erro: "&amp;$NA135,""),IF(AND($NB135&lt;&gt;"",COUNTIF('DADOS_RESTRICOES'!$M$2:$M$54,SUBSTITUTE(SUBSTITUTE(SUBSTITUTE($NB135,"~","~~"),"*","~*"),"?","~?"))=0),"Restrição não cadastrada ou com erro: "&amp;$NB135,""),IF(AND($NC135&lt;&gt;"",COUNTIF('DADOS_RESTRICOES'!$M$2:$M$54,SUBSTITUTE(SUBSTITUTE(SUBSTITUTE($NC135,"~","~~"),"*","~*"),"?","~?"))=0),"Restrição não cadastrada ou com erro: "&amp;$NC135,""))),IF(AND($MU135&lt;&gt;"",COUNTIF('DADOS_FORMAS'!$AH$2:$AH$21,SUBSTITUTE(SUBSTITUTE(SUBSTITUTE($MU135,"~","~~"),"*","~*"),"?","~?"))=0),"Forma não cadastrada ou com erro: "&amp;$MU135,""),IF(AND(IFERROR(INDEX('DADOS_FORMAS'!$AS$2:$AS$21,MATCH(SUBSTITUTE(SUBSTITUTE(SUBSTITUTE($MU135,"~","~~"),"*","~*"),"?","~?"),'DADOS_FORMAS'!$AH$2:$AH$21,0)),"")&lt;&gt;"",OR(IFERROR(VLOOKUP(SUBSTITUTE(SUBSTITUTE(SUBSTITUTE(IFERROR(INDEX('DADOS_FORMAS'!$AS$2:$AS$21,MATCH(SUBSTITUTE(SUBSTITUTE(SUBSTITUTE($MU135,"~","~~"),"*","~*"),"?","~?"),'DADOS_FORMAS'!$AH$2:$AH$21,0)),""),"~","~~"),"*","~*"),"?","~?"),'DADOS_RESTRICOES'!$M$2:$Q$54,2,FALSE),"")=$OK135,IFERROR(VLOOKUP(SUBSTITUTE(SUBSTITUTE(SUBSTITUTE(IFERROR(INDEX('DADOS_FORMAS'!$AS$2:$AS$21,MATCH(SUBSTITUTE(SUBSTITUTE(SUBSTITUTE($MU135,"~","~~"),"*","~*"),"?","~?"),'DADOS_FORMAS'!$AH$2:$AH$21,0)),""),"~","~~"),"*","~*"),"?","~?"),'DADOS_RESTRICOES'!$M$2:$Q$54,2,FALSE),"")=$OL135)),"Restrição repetida, contando a embutida",""),IF(IF(IFERROR(INDEX('DADOS_FORMAS'!$AS$2:$AS$21,MATCH(SUBSTITUTE(SUBSTITUTE(SUBSTITUTE($MU135,"~","~~"),"*","~*"),"?","~?"),'DADOS_FORMAS'!$AH$2:$AH$21,0)),"")="",0,IFERROR(N(VLOOKUP(SUBSTITUTE(SUBSTITUTE(SUBSTITUTE(IFERROR(INDEX('DADOS_FORMAS'!$AS$2:$AS$21,MATCH(SUBSTITUTE(SUBSTITUTE(SUBSTITUTE($MU135,"~","~~"),"*","~*"),"?","~?"),'DADOS_FORMAS'!$AH$2:$AH$21,0)),""),"~","~~"),"*","~*"),"?","~?"),'DADOS_RESTRICOES'!$M$2:$Q$54,4,FALSE)=1),0))+IF($NB135="",0,IFERROR(N(VLOOKUP(SUBSTITUTE(SUBSTITUTE(SUBSTITUTE($NB135,"~","~~"),"*","~*"),"?","~?"),'DADOS_RESTRICOES'!$M$2:$Q$54,4,FALSE)=1),0))+IF($NC135="",0,IFERROR(N(VLOOKUP(SUBSTITUTE(SUBSTITUTE(SUBSTITUTE($NC135,"~","~~"),"*","~*"),"?","~?"),'DADOS_RESTRICOES'!$M$2:$Q$54,4,FALSE)=1),0))&gt;1,"Duas Restrições de frequência, contando a embutida",""),IF(AND(IFERROR(VLOOKUP(SUBSTITUTE(SUBSTITUTE(SUBSTITUTE(IFERROR(INDEX('DADOS_FORMAS'!$AS$2:$AS$21,MATCH(SUBSTITUTE(SUBSTITUTE(SUBSTITUTE($MU135,"~","~~"),"*","~*"),"?","~?"),'DADOS_FORMAS'!$AH$2:$AH$21,0)),""),"~","~~"),"*","~*"),"?","~?"),'DADOS_RESTRICOES'!$M$2:$Q$54,2,FALSE),"")="Tudo ou Nada",$OH135=0),"Tudo ou Nada exige TR",""),IF(AND(IFERROR(VLOOKUP(SUBSTITUTE(SUBSTITUTE(SUBSTITUTE(IFERROR(INDEX('DADOS_FORMAS'!$AS$2:$AS$21,MATCH(SUBSTITUTE(SUBSTITUTE(SUBSTITUTE($MU135,"~","~~"),"*","~*"),"?","~?"),'DADOS_FORMAS'!$AH$2:$AH$21,0)),""),"~","~~"),"*","~*"),"?","~?"),'DADOS_RESTRICOES'!$M$2:$Q$54,2,FALSE),"")="Corpo a Corpo",OR($RO135="Cone",$RO135="Linha")),"Corpo a Corpo não entra em Cone/Linha","")))</f>
        <v/>
      </c>
      <c r="PU135" s="164">
        <f>IF($PT135="",0,(LEN($PT135)-LEN(SUBSTITUTE($PT135," · ","")))/3+1)</f>
        <v/>
      </c>
      <c r="PV135" s="164">
        <f>IF($ND135=0,"",TEXTJOIN(" · ",TRUE,IF($OX135&gt;2*$MS135,"A devolução parou no teto de "&amp;2*$MS135,""),IF($PA135&gt;0,"Devolução perdida: "&amp;$PA135&amp;IF($PA135&gt;1," pontos"," ponto")&amp;" sem Melhoria para pagar",""),IF(AND($OC135&gt;0,AND($MS135&gt;0,$OG135=0),$PD135=0),"Controle sem dano: uma rodada a mais e CD +2",""),IF(AND($OC135&gt;0,AND($MS135&gt;0,$OG135=0),$PD135&gt;0,$PD135&lt;=$MS135),"Controle com saldo até a Classe: uma rodada a mais",""),IF(AND($MS135&gt;0,$OE135&lt;&gt;""),"Efeito de "&amp;$OE135&amp;" pela Classe "&amp;MAX(1,$MS135-1),"")))</f>
        <v/>
      </c>
      <c r="PW135" s="164">
        <f>IF($PV135="",0,(LEN($PV135)-LEN(SUBSTITUTE($PV135," · ","")))/3+1)</f>
        <v/>
      </c>
      <c r="PX135" s="164">
        <f>IF($ND135=0,IF($OU135+COUNTIF($NB135:$NC135,"?*")&gt;0,"Dê um nome",""),IF($PU135&gt;0,"⚠ "&amp;$PU135&amp;IF($PU135&gt;1," erros"," erro"),IF($PW135&gt;0,"! "&amp;$PW135&amp;IF($PW135&gt;1," avisos"," aviso"),"Na regra")))</f>
        <v/>
      </c>
      <c r="PY135" s="164">
        <f>IF($ND135=0,"",IF($PU135+$PW135=0,"Dentro das regras que a ficha confere",$PT135&amp;IF(AND($PU135&gt;0,$PW135&gt;0)," · ","")&amp;$PV135))</f>
        <v/>
      </c>
      <c r="PZ135" s="164">
        <f>IF($MQ135&gt;$NE135,$MR135&amp;" · ABRE NO NÍVEL "&amp;$MQ135,$MR135)</f>
        <v/>
      </c>
      <c r="QA135" s="164">
        <f>IF($ND135=0,"",IF($MS135=0,"Sem PE",3*$MS135&amp;" PE"))</f>
        <v/>
      </c>
      <c r="QB135" s="164">
        <f>IF($ND135=0,"",IF($MS135=0,"A atuação básica dela",IF(COUNTIF($RQ135:$RS135,"Atrasar")&gt;0,"Sua Ação Completa",IF(COUNTIF($RK135:$RN135,"Rápido")&gt;0,"Sua Bônus",IF(COUNTIF($RK135:$RN135,"Reação")&gt;0,"Sua Reação","Sua Padrão")))&amp;" + a básica dela"&amp;IF(COUNTIF($RK135:$RN135,"Reação")&gt;0," e a coletiva","")&amp;IF(COUNTIF($RQ135:$RS135,"Carregar")&gt;0," · em dois turnos","")))</f>
        <v/>
      </c>
      <c r="QC135" s="164">
        <f>IF($MW135&lt;&gt;"",$MW135,IF($NJ135=0,"",INDEX('DADOS_FORMAS'!$GE$2:$GE$21,$NJ135)))</f>
        <v/>
      </c>
      <c r="QD135" s="164">
        <f>IF(OR($ND135=0,$NJ135=0),"",IF(COUNTIF($RK135:$RN135,"Inescapável")&gt;0,"Automático",IF($QC135="Ataque",IF($NH135="","Ataque","Ataque "&amp;IF(($NH135+2*IF(COUNTIF($RK135:$RN135,"Precisão")&gt;0,1,0))&gt;=0,"+","−")&amp;ABS(($NH135+2*IF(COUNTIF($RK135:$RN135,"Precisão")&gt;0,1,0))))&amp;IF($OD135&gt;0," · TR"&amp;IF($NI135="",""," CD "&amp;$NI135),""),IF(LEFT($QC135,2)="TR",$QC135&amp;IF($NI135="",""," · CD "&amp;$NI135)&amp;IF(COUNTIF($RK135:$RN135,"Certeiro")&gt;0," · metade",""),"Sem rolagem"))))</f>
        <v/>
      </c>
      <c r="QE135" s="164">
        <f>IF(OR($ND135=0,$NJ135=0),"",IF($MS135=0,IF(OR($OG135&gt;=1,$PD135=0),"Sem dano",$PD135&amp;"d6"&amp;IF($MV135="",""," "&amp;$MV135)),IF(OR($OG135&gt;=1,$PD135=0),UPPER(LEFT(INDEX($PM135:$PS135,1,MAX(1,$MS135)),1))&amp;MID(INDEX($PM135:$PS135,1,MAX(1,$MS135)),2,99),UPPER(LEFT(INDEX($PM135:$PS135,1,MAX(1,$MS135)),1))&amp;MID(INDEX($PM135:$PS135,1,MAX(1,$MS135)),2,99)&amp;IF($MV135="",""," "&amp;$MV135)&amp;IF($PE135&gt;0," · +"&amp;$PE135&amp;"d8",""))))</f>
        <v/>
      </c>
      <c r="QF135" s="164">
        <f>COUNTIF($RK135:$RN135,"Longe")+3*COUNTIF($RK135:$RN135,"Muito Longe")</f>
        <v/>
      </c>
      <c r="QG135" s="164">
        <f>COUNTIF($RK135:$RN135,"Maior")+3*COUNTIF($RK135:$RN135,"Muito Maior")</f>
        <v/>
      </c>
      <c r="QH135" s="164">
        <f>IF($NJ135=0,0,CHOOSE(1+INDEX('DADOS_FORMAS'!$GG$2:$GG$21,$NJ135),0,$QF135,$QG135,$QF135+$QG135))</f>
        <v/>
      </c>
      <c r="QI135" s="164">
        <f>IF($NJ135=0,0,CHOOSE(1+INDEX('DADOS_FORMAS'!$GH$2:$GH$21,$NJ135),0,$QF135,$QG135,$QF135+$QG135))</f>
        <v/>
      </c>
      <c r="QJ135" s="164">
        <f>IF(OR($ND135=0,$NJ135=0),"",INDEX('DADOS_FORMAS'!$HU$2:$HZ$81,($NJ135-1)*4+IF($MS135=0,1,IF($MS135&lt;=5,2,IF($MS135=6,3,4))),1+MIN(5,$QH135))&amp;INDEX('DADOS_FORMAS'!$IA$2:$IF$81,($NJ135-1)*4+IF($MS135=0,1,IF($MS135&lt;=5,2,IF($MS135=6,3,4))),1+MIN(5,$QI135))&amp;IF(INDEX('DADOS_FORMAS'!$GI$2:$GI$21,$NJ135)=1,IF(COUNTIF($RK135:$RN135,"Mais Um")&gt;0," · +"&amp;COUNTIF($RK135:$RN135,"Mais Um")&amp;IF(COUNTIF($RK135:$RN135,"Mais Um")&gt;1," alvos"," alvo"),"")&amp;IF(COUNTIF($RK135:$RN135,"Rajada")&gt;0,IF($MS135=0," · 1 tiro"," · "&amp;(MAX(1,$MS135-1)+1)&amp;" tiros"),""),""))</f>
        <v/>
      </c>
      <c r="QK135" s="164">
        <f>IF($ND135=0,"",IF($MS135=0,$NG135&amp;"d6"&amp;IF($OU135&gt;0," − 1 = "&amp;$PD135&amp;"d6"," da básica do nível "&amp;$NE135),$PB135&amp;" − "&amp;$OW135&amp;" + "&amp;$OZ135&amp;" = "&amp;$PC135&amp;" · teto "&amp;4*$MS135&amp;"d8"&amp;IF($OF135=1," · a Forma devolve "&amp;$MS135,"")&amp;IF($PA135&gt;0," · perde "&amp;$PA135,"")))</f>
        <v/>
      </c>
      <c r="QL135" s="164">
        <f>IF($ND135=0,"",IF($MS135=0,"A básica não amplia: os dados dela sobem com o nível",IF($MS135&gt;=$NF135,"Já está na maior Classe que o nível liberou",TEXTJOIN(" · ",TRUE,IF(AND(2&gt;$MS135,2&lt;=$NF135),"2 → "&amp;$PN135&amp;", 6 PE",""),IF(AND(3&gt;$MS135,3&lt;=$NF135),"3 → "&amp;$PO135&amp;", 9 PE",""),IF(AND(4&gt;$MS135,4&lt;=$NF135),"4 → "&amp;$PP135&amp;", 12 PE",""),IF(AND(5&gt;$MS135,5&lt;=$NF135),"5 → "&amp;$PQ135&amp;", 15 PE",""),IF(AND(6&gt;$MS135,6&lt;=$NF135),"6 → "&amp;$PR135&amp;", 18 PE",""),IF(AND(7&gt;$MS135,7&lt;=$NF135),"7 → "&amp;$PS135&amp;", 21 PE","")))))</f>
        <v/>
      </c>
      <c r="QM135" s="164">
        <f>IF(OR($ND135=0,$NO135=0),"",IF($MS135=0,"−1 dado","−"&amp;INDEX($I$2:$N$8,MAX(1,$MS135),MAX(1,$NT135))&amp;" · "&amp;CHOOSE(MAX(1,$NT135),"Leve","Média","Pesada","Leve · Livre","Média · Livre","Pesada · Livre")))</f>
        <v/>
      </c>
      <c r="QN135" s="164">
        <f>IF(OR($ND135=0,$NP135=0),"",IF($MS135=0,"−1 dado","−"&amp;INDEX($I$2:$N$8,MAX(1,$MS135),MAX(1,$NU135))&amp;" · "&amp;CHOOSE(MAX(1,$NU135),"Leve","Média","Pesada","Leve · Livre","Média · Livre","Pesada · Livre")))</f>
        <v/>
      </c>
      <c r="QO135" s="164">
        <f>IF(OR($ND135=0,$NQ135=0),"",IF($MS135=0,"−1 dado","−"&amp;INDEX($I$2:$N$8,MAX(1,$MS135),MAX(1,$NV135))&amp;" · "&amp;CHOOSE(MAX(1,$NV135),"Leve","Média","Pesada","Leve · Livre","Média · Livre","Pesada · Livre")))</f>
        <v/>
      </c>
      <c r="QP135" s="164">
        <f>IF(OR($ND135=0,$NR135=0),"",IF($MS135=0,"−1 dado","−"&amp;INDEX($I$2:$N$8,MAX(1,$MS135),MAX(1,$NW135))&amp;" · "&amp;CHOOSE(MAX(1,$NW135),"Leve","Média","Pesada","Leve · Livre","Média · Livre","Pesada · Livre")))</f>
        <v/>
      </c>
      <c r="QQ135" s="164">
        <f>IF(OR($ND135=0,$NB135=""),"",IF($MS135=0,"não devolve","+"&amp;IF($OI135=1,CEILING($MS135/2,1),$MS135)))</f>
        <v/>
      </c>
      <c r="QR135" s="164">
        <f>IF(OR($ND135=0,$NC135=""),"",IF($MS135=0,"não devolve","+"&amp;IF($OJ135=1,CEILING($MS135/2,1),$MS135)))</f>
        <v/>
      </c>
      <c r="RK135">
        <f>IF($MX135="","",IFERROR(VLOOKUP(SUBSTITUTE(SUBSTITUTE(SUBSTITUTE($MX135,"~","~~"),"*","~*"),"?","~?"),'DADOS_MELHORIAS'!$O$2:$X$113,10,FALSE),$MX135))</f>
        <v/>
      </c>
      <c r="RL135">
        <f>IF($MY135="","",IFERROR(VLOOKUP(SUBSTITUTE(SUBSTITUTE(SUBSTITUTE($MY135,"~","~~"),"*","~*"),"?","~?"),'DADOS_MELHORIAS'!$O$2:$X$113,10,FALSE),$MY135))</f>
        <v/>
      </c>
      <c r="RM135">
        <f>IF($MZ135="","",IFERROR(VLOOKUP(SUBSTITUTE(SUBSTITUTE(SUBSTITUTE($MZ135,"~","~~"),"*","~*"),"?","~?"),'DADOS_MELHORIAS'!$O$2:$X$113,10,FALSE),$MZ135))</f>
        <v/>
      </c>
      <c r="RN135">
        <f>IF($NA135="","",IFERROR(VLOOKUP(SUBSTITUTE(SUBSTITUTE(SUBSTITUTE($NA135,"~","~~"),"*","~*"),"?","~?"),'DADOS_MELHORIAS'!$O$2:$X$113,10,FALSE),$NA135))</f>
        <v/>
      </c>
      <c r="RO135">
        <f>IFERROR(INDEX('DADOS_FORMAS'!$BJ$2:$BJ$21,MATCH(SUBSTITUTE(SUBSTITUTE(SUBSTITUTE($MU135,"~","~~"),"*","~*"),"?","~?"),'DADOS_FORMAS'!$AH$2:$AH$21,0)),"")</f>
        <v/>
      </c>
      <c r="RP135">
        <f>IFERROR(VLOOKUP(SUBSTITUTE(SUBSTITUTE(SUBSTITUTE(IFERROR(INDEX('DADOS_FORMAS'!$AS$2:$AS$21,MATCH(SUBSTITUTE(SUBSTITUTE(SUBSTITUTE($MU135,"~","~~"),"*","~*"),"?","~?"),'DADOS_FORMAS'!$AH$2:$AH$21,0)),""),"~","~~"),"*","~*"),"?","~?"),'DADOS_RESTRICOES'!$M$2:$Q$54,2,FALSE),"")</f>
        <v/>
      </c>
      <c r="RQ135">
        <f>$OK135</f>
        <v/>
      </c>
      <c r="RR135">
        <f>$OL135</f>
        <v/>
      </c>
      <c r="RS135">
        <f>$RP135</f>
        <v/>
      </c>
    </row>
    <row r="136">
      <c r="MN136" s="162" t="inlineStr">
        <is>
          <t>Ficha 11 · Especial 3</t>
        </is>
      </c>
      <c r="MO136" s="164" t="n">
        <v>11</v>
      </c>
      <c r="MP136" s="164" t="n">
        <v>1</v>
      </c>
      <c r="MQ136" s="164" t="n">
        <v>8</v>
      </c>
      <c r="MR136" s="162" t="inlineStr">
        <is>
          <t>ESPECIAL 3</t>
        </is>
      </c>
      <c r="MS136" s="164">
        <f>MAX(1,MIN(7,N('INVOCAÇÕES'!$AH$949)))</f>
        <v/>
      </c>
      <c r="MT136" s="164">
        <f>'INVOCAÇÕES'!$AI$949&amp;""</f>
        <v/>
      </c>
      <c r="MU136" s="164">
        <f>'INVOCAÇÕES'!$AH$954&amp;""</f>
        <v/>
      </c>
      <c r="MV136" s="164">
        <f>'INVOCAÇÕES'!$AH$955&amp;""</f>
        <v/>
      </c>
      <c r="MW136" s="164">
        <f>'INVOCAÇÕES'!$AJ$955&amp;""</f>
        <v/>
      </c>
      <c r="MX136" s="164">
        <f>'INVOCAÇÕES'!$AI$958&amp;""</f>
        <v/>
      </c>
      <c r="MY136" s="164">
        <f>'INVOCAÇÕES'!$AI$959&amp;""</f>
        <v/>
      </c>
      <c r="MZ136" s="164">
        <f>'INVOCAÇÕES'!$AI$960&amp;""</f>
        <v/>
      </c>
      <c r="NA136" s="164">
        <f>'INVOCAÇÕES'!$AI$961&amp;""</f>
        <v/>
      </c>
      <c r="NB136" s="164">
        <f>'INVOCAÇÕES'!$AI$962&amp;""</f>
        <v/>
      </c>
      <c r="NC136" s="164">
        <f>'INVOCAÇÕES'!$AI$963&amp;""</f>
        <v/>
      </c>
      <c r="ND136" s="164">
        <f>IF($MT136&lt;&gt;"",1,0)</f>
        <v/>
      </c>
      <c r="NE136" s="164">
        <f>INDEX($FO$2:$FO$13,$MO136)</f>
        <v/>
      </c>
      <c r="NF136" s="164">
        <f>INDEX($FP$2:$FP$13,$MO136)</f>
        <v/>
      </c>
      <c r="NG136" s="164">
        <f>INDEX($FQ$2:$FQ$13,$MO136)</f>
        <v/>
      </c>
      <c r="NH136" s="164">
        <f>INDEX($GB$2:$GB$13,$MO136)</f>
        <v/>
      </c>
      <c r="NI136" s="164">
        <f>INDEX($GC$2:$GC$13,$MO136)</f>
        <v/>
      </c>
      <c r="NJ136" s="164">
        <f>IFERROR(MATCH(SUBSTITUTE(SUBSTITUTE(SUBSTITUTE($MU136,"~","~~"),"*","~*"),"?","~?"),'DADOS_FORMAS'!$FZ$2:$FZ$21,0),0)</f>
        <v/>
      </c>
      <c r="NK136" s="164">
        <f>IFERROR(VLOOKUP(SUBSTITUTE(SUBSTITUTE(SUBSTITUTE($MX136,"~","~~"),"*","~*"),"?","~?"),'DADOS_MELHORIAS'!$AG$2:$AL$113,2,FALSE),"")</f>
        <v/>
      </c>
      <c r="NL136" s="164">
        <f>IFERROR(VLOOKUP(SUBSTITUTE(SUBSTITUTE(SUBSTITUTE($MY136,"~","~~"),"*","~*"),"?","~?"),'DADOS_MELHORIAS'!$AG$2:$AL$113,2,FALSE),"")</f>
        <v/>
      </c>
      <c r="NM136" s="164">
        <f>IFERROR(VLOOKUP(SUBSTITUTE(SUBSTITUTE(SUBSTITUTE($MZ136,"~","~~"),"*","~*"),"?","~?"),'DADOS_MELHORIAS'!$AG$2:$AL$113,2,FALSE),"")</f>
        <v/>
      </c>
      <c r="NN136" s="164">
        <f>IFERROR(VLOOKUP(SUBSTITUTE(SUBSTITUTE(SUBSTITUTE($NA136,"~","~~"),"*","~*"),"?","~?"),'DADOS_MELHORIAS'!$AG$2:$AL$113,2,FALSE),"")</f>
        <v/>
      </c>
      <c r="NO136" s="164">
        <f>IFERROR(VLOOKUP(SUBSTITUTE(SUBSTITUTE(SUBSTITUTE($MX136,"~","~~"),"*","~*"),"?","~?"),'DADOS_MELHORIAS'!$AG$2:$AL$113,3,FALSE),0)</f>
        <v/>
      </c>
      <c r="NP136" s="164">
        <f>IFERROR(VLOOKUP(SUBSTITUTE(SUBSTITUTE(SUBSTITUTE($MY136,"~","~~"),"*","~*"),"?","~?"),'DADOS_MELHORIAS'!$AG$2:$AL$113,3,FALSE),0)</f>
        <v/>
      </c>
      <c r="NQ136" s="164">
        <f>IFERROR(VLOOKUP(SUBSTITUTE(SUBSTITUTE(SUBSTITUTE($MZ136,"~","~~"),"*","~*"),"?","~?"),'DADOS_MELHORIAS'!$AG$2:$AL$113,3,FALSE),0)</f>
        <v/>
      </c>
      <c r="NR136" s="164">
        <f>IFERROR(VLOOKUP(SUBSTITUTE(SUBSTITUTE(SUBSTITUTE($NA136,"~","~~"),"*","~*"),"?","~?"),'DADOS_MELHORIAS'!$AG$2:$AL$113,3,FALSE),0)</f>
        <v/>
      </c>
      <c r="NS136" s="164">
        <f>IF($MS136=0,0,IF($NJ136=0,0,INDEX('DADOS_FORMAS'!$GB$2:$GB$21,$NJ136)))</f>
        <v/>
      </c>
      <c r="NT136" s="164">
        <f>IF(OR($NO136=0,$MS136=0),0,$NO136+3*IF(AND($NK136&lt;&gt;"",COUNTIF(INDEX($RB$2:$RJ$13,$MO136,0),$NK136)&gt;0),1,0))</f>
        <v/>
      </c>
      <c r="NU136" s="164">
        <f>IF(OR($NP136=0,$MS136=0),0,$NP136+3*IF(AND($NL136&lt;&gt;"",COUNTIF(INDEX($RB$2:$RJ$13,$MO136,0),$NL136)&gt;0),1,0))</f>
        <v/>
      </c>
      <c r="NV136" s="164">
        <f>IF(OR($NQ136=0,$MS136=0),0,$NQ136+3*IF(AND($NM136&lt;&gt;"",COUNTIF(INDEX($RB$2:$RJ$13,$MO136,0),$NM136)&gt;0),1,0))</f>
        <v/>
      </c>
      <c r="NW136" s="164">
        <f>IF(OR($NR136=0,$MS136=0),0,$NR136+3*IF(AND($NN136&lt;&gt;"",COUNTIF(INDEX($RB$2:$RJ$13,$MO136,0),$NN136)&gt;0),1,0))</f>
        <v/>
      </c>
      <c r="NX136" s="164">
        <f>IF($NJ136=0,0,IF(INDEX('DADOS_FORMAS'!$GA$2:$GA$21,$NJ136)="",0,IF((COUNTIF(INDEX($EL$2:$EP$13,$MO136,0),INDEX('DADOS_FORMAS'!$GA$2:$GA$21,$NJ136))+COUNTIF(INDEX($QV$2:$QY$13,$MO136,0),INDEX('DADOS_FORMAS'!$GA$2:$GA$21,$NJ136)))=0,1,0)))</f>
        <v/>
      </c>
      <c r="NY136" s="164">
        <f>IF(OR($NO136=0,$NK136=""),0,IF((COUNTIF(INDEX($EL$2:$EP$13,$MO136,0),$NK136)+COUNTIF(INDEX($QV$2:$QY$13,$MO136,0),$NK136))=0,1,0))</f>
        <v/>
      </c>
      <c r="NZ136" s="164">
        <f>IF(OR($NP136=0,$NL136=""),0,IF((COUNTIF(INDEX($EL$2:$EP$13,$MO136,0),$NL136)+COUNTIF(INDEX($QV$2:$QY$13,$MO136,0),$NL136))=0,1,0))</f>
        <v/>
      </c>
      <c r="OA136" s="164">
        <f>IF(OR($NQ136=0,$NM136=""),0,IF((COUNTIF(INDEX($EL$2:$EP$13,$MO136,0),$NM136)+COUNTIF(INDEX($QV$2:$QY$13,$MO136,0),$NM136))=0,1,0))</f>
        <v/>
      </c>
      <c r="OB136" s="164">
        <f>IF(OR($NR136=0,$NN136=""),0,IF((COUNTIF(INDEX($EL$2:$EP$13,$MO136,0),$NN136)+COUNTIF(INDEX($QV$2:$QY$13,$MO136,0),$NN136))=0,1,0))</f>
        <v/>
      </c>
      <c r="OC136" s="164">
        <f>IFERROR(VLOOKUP(SUBSTITUTE(SUBSTITUTE(SUBSTITUTE($MX136,"~","~~"),"*","~*"),"?","~?"),'DADOS_MELHORIAS'!$AG$2:$AL$113,4,FALSE),0)+IFERROR(VLOOKUP(SUBSTITUTE(SUBSTITUTE(SUBSTITUTE($MY136,"~","~~"),"*","~*"),"?","~?"),'DADOS_MELHORIAS'!$AG$2:$AL$113,4,FALSE),0)+IFERROR(VLOOKUP(SUBSTITUTE(SUBSTITUTE(SUBSTITUTE($MZ136,"~","~~"),"*","~*"),"?","~?"),'DADOS_MELHORIAS'!$AG$2:$AL$113,4,FALSE),0)+IFERROR(VLOOKUP(SUBSTITUTE(SUBSTITUTE(SUBSTITUTE($NA136,"~","~~"),"*","~*"),"?","~?"),'DADOS_MELHORIAS'!$AG$2:$AL$113,4,FALSE),0)</f>
        <v/>
      </c>
      <c r="OD136" s="164">
        <f>IFERROR(VLOOKUP(SUBSTITUTE(SUBSTITUTE(SUBSTITUTE($MX136,"~","~~"),"*","~*"),"?","~?"),'DADOS_MELHORIAS'!$AG$2:$AL$113,6,FALSE),0)+IFERROR(VLOOKUP(SUBSTITUTE(SUBSTITUTE(SUBSTITUTE($MY136,"~","~~"),"*","~*"),"?","~?"),'DADOS_MELHORIAS'!$AG$2:$AL$113,6,FALSE),0)+IFERROR(VLOOKUP(SUBSTITUTE(SUBSTITUTE(SUBSTITUTE($MZ136,"~","~~"),"*","~*"),"?","~?"),'DADOS_MELHORIAS'!$AG$2:$AL$113,6,FALSE),0)+IFERROR(VLOOKUP(SUBSTITUTE(SUBSTITUTE(SUBSTITUTE($NA136,"~","~~"),"*","~*"),"?","~?"),'DADOS_MELHORIAS'!$AG$2:$AL$113,6,FALSE),0)+IFERROR(N(AND(INDEX('DADOS_FORMAS'!$AO$2:$AO$21,MATCH(SUBSTITUTE(SUBSTITUTE(SUBSTITUTE($MU136,"~","~~"),"*","~*"),"?","~?"),'DADOS_FORMAS'!$AH$2:$AH$21,0))="Acerto",$OH136=1)),0)</f>
        <v/>
      </c>
      <c r="OE136" s="164">
        <f>TEXTJOIN(", ",TRUE,IF(IFERROR(VLOOKUP(SUBSTITUTE(SUBSTITUTE(SUBSTITUTE($MX136,"~","~~"),"*","~*"),"?","~?"),'DADOS_MELHORIAS'!$AG$2:$AL$113,5,FALSE),0)=1,$MX136,""),IF(IFERROR(VLOOKUP(SUBSTITUTE(SUBSTITUTE(SUBSTITUTE($MY136,"~","~~"),"*","~*"),"?","~?"),'DADOS_MELHORIAS'!$AG$2:$AL$113,5,FALSE),0)=1,$MY136,""),IF(IFERROR(VLOOKUP(SUBSTITUTE(SUBSTITUTE(SUBSTITUTE($MZ136,"~","~~"),"*","~*"),"?","~?"),'DADOS_MELHORIAS'!$AG$2:$AL$113,5,FALSE),0)=1,$MZ136,""),IF(IFERROR(VLOOKUP(SUBSTITUTE(SUBSTITUTE(SUBSTITUTE($NA136,"~","~~"),"*","~*"),"?","~?"),'DADOS_MELHORIAS'!$AG$2:$AL$113,5,FALSE),0)=1,$NA136,""))</f>
        <v/>
      </c>
      <c r="OF136" s="164">
        <f>IF($NJ136=0,0,INDEX('DADOS_FORMAS'!$GC$2:$GC$21,$NJ136))</f>
        <v/>
      </c>
      <c r="OG136" s="164">
        <f>IF($NJ136=0,0,INDEX('DADOS_FORMAS'!$GD$2:$GD$21,$NJ136))</f>
        <v/>
      </c>
      <c r="OH136" s="164">
        <f>IF($NJ136=0,0,INDEX('DADOS_FORMAS'!$GF$2:$GF$21,$NJ136))</f>
        <v/>
      </c>
      <c r="OI136" s="164">
        <f>IFERROR(VLOOKUP(SUBSTITUTE(SUBSTITUTE(SUBSTITUTE($NB136,"~","~~"),"*","~*"),"?","~?"),'DADOS_RESTRICOES'!$M$2:$Q$54,3,FALSE),0)</f>
        <v/>
      </c>
      <c r="OJ136" s="164">
        <f>IFERROR(VLOOKUP(SUBSTITUTE(SUBSTITUTE(SUBSTITUTE($NC136,"~","~~"),"*","~*"),"?","~?"),'DADOS_RESTRICOES'!$M$2:$Q$54,3,FALSE),0)</f>
        <v/>
      </c>
      <c r="OK136" s="164">
        <f>IFERROR(VLOOKUP(SUBSTITUTE(SUBSTITUTE(SUBSTITUTE($NB136,"~","~~"),"*","~*"),"?","~?"),'DADOS_RESTRICOES'!$M$2:$Q$54,2,FALSE),"")</f>
        <v/>
      </c>
      <c r="OL136" s="164">
        <f>IFERROR(VLOOKUP(SUBSTITUTE(SUBSTITUTE(SUBSTITUTE($NC136,"~","~~"),"*","~*"),"?","~?"),'DADOS_RESTRICOES'!$M$2:$Q$54,2,FALSE),"")</f>
        <v/>
      </c>
      <c r="OM136" s="164">
        <f>COUNTIF($NS136:$NW136,1)</f>
        <v/>
      </c>
      <c r="ON136" s="164">
        <f>COUNTIF($NS136:$NW136,2)</f>
        <v/>
      </c>
      <c r="OO136" s="164">
        <f>COUNTIF($NS136:$NW136,3)</f>
        <v/>
      </c>
      <c r="OP136" s="164">
        <f>COUNTIF($NS136:$NW136,4)</f>
        <v/>
      </c>
      <c r="OQ136" s="164">
        <f>COUNTIF($NS136:$NW136,5)</f>
        <v/>
      </c>
      <c r="OR136" s="164">
        <f>COUNTIF($NS136:$NW136,6)</f>
        <v/>
      </c>
      <c r="OS136" s="164">
        <f>COUNTIF($OI136:$OJ136,1)+IF(IFERROR(INDEX('DADOS_FORMAS'!$AS$2:$AS$21,MATCH(SUBSTITUTE(SUBSTITUTE(SUBSTITUTE($MU136,"~","~~"),"*","~*"),"?","~?"),'DADOS_FORMAS'!$AH$2:$AH$21,0)),"")="",0,IFERROR(N(VLOOKUP(SUBSTITUTE(SUBSTITUTE(SUBSTITUTE(IFERROR(INDEX('DADOS_FORMAS'!$AS$2:$AS$21,MATCH(SUBSTITUTE(SUBSTITUTE(SUBSTITUTE($MU136,"~","~~"),"*","~*"),"?","~?"),'DADOS_FORMAS'!$AH$2:$AH$21,0)),""),"~","~~"),"*","~*"),"?","~?"),'DADOS_RESTRICOES'!$M$2:$Q$54,3,FALSE)=1),0))</f>
        <v/>
      </c>
      <c r="OT136" s="164">
        <f>COUNTIF($OI136:$OJ136,2)+IF(IFERROR(INDEX('DADOS_FORMAS'!$AS$2:$AS$21,MATCH(SUBSTITUTE(SUBSTITUTE(SUBSTITUTE($MU136,"~","~~"),"*","~*"),"?","~?"),'DADOS_FORMAS'!$AH$2:$AH$21,0)),"")="",0,IFERROR(N(VLOOKUP(SUBSTITUTE(SUBSTITUTE(SUBSTITUTE(IFERROR(INDEX('DADOS_FORMAS'!$AS$2:$AS$21,MATCH(SUBSTITUTE(SUBSTITUTE(SUBSTITUTE($MU136,"~","~~"),"*","~*"),"?","~?"),'DADOS_FORMAS'!$AH$2:$AH$21,0)),""),"~","~~"),"*","~*"),"?","~?"),'DADOS_RESTRICOES'!$M$2:$Q$54,3,FALSE)=2),0))</f>
        <v/>
      </c>
      <c r="OU136" s="164">
        <f>COUNTIF($MX136:$NA136,"?*")</f>
        <v/>
      </c>
      <c r="OV136" s="164">
        <f>COUNTIF($NB136:$NC136,"?*")+$OF136</f>
        <v/>
      </c>
      <c r="OW136" s="164">
        <f>IF($MS136=0,0,SUMPRODUCT($OM136:$OR136,INDEX($I$2:$N$8,MAX(1,$MS136),0)))</f>
        <v/>
      </c>
      <c r="OX136" s="164">
        <f>IF($MS136=0,0,$OS136*CEILING($MS136/2,1)+$OT136*$MS136)</f>
        <v/>
      </c>
      <c r="OY136" s="164">
        <f>MIN(2*$MS136,$OX136)</f>
        <v/>
      </c>
      <c r="OZ136" s="164">
        <f>MIN($OY136,$OW136-IF($NS136=0,0,INDEX($I$2:$N$8,MAX(1,$MS136),$NS136)))</f>
        <v/>
      </c>
      <c r="PA136" s="164">
        <f>$OY136-$OZ136</f>
        <v/>
      </c>
      <c r="PB136" s="164">
        <f>IF($MS136=0,0,INDEX($P$2:$P$8,MAX(1,$MS136)))</f>
        <v/>
      </c>
      <c r="PC136" s="164">
        <f>$PB136-$OW136+$OZ136</f>
        <v/>
      </c>
      <c r="PD136" s="164">
        <f>IF($MS136=0,MAX(0,$NG136-IF(AND($OU136&gt;0,COUNTIF($NB136:$NC136,"?*")=0),1,0)),MAX(0,$PC136))</f>
        <v/>
      </c>
      <c r="PE136" s="164">
        <f>IF($MS136=0,0,(IF(COUNTIF($RK136:$RN136,"Salto")&gt;0,1,0)+IF(COUNTIF($RK136:$RN136,"Queima")&gt;0,1,0)+IF(COUNTIF($RK136:$RN136,"Estilhaço")&gt;0,1,0))*FLOOR($PD136/2,1))</f>
        <v/>
      </c>
      <c r="PF136" s="164">
        <f>MAX(0,2-SUMPRODUCT($OM136:$OR136,$I$2:$N$2)+MIN(2,$OS136*1+$OT136*1,SUMPRODUCT($OM136:$OR136,$I$2:$N$2)-IF($NS136=0,0,INDEX($I$2:$N$2,1,$NS136))))</f>
        <v/>
      </c>
      <c r="PG136" s="164">
        <f>MAX(0,4-SUMPRODUCT($OM136:$OR136,$I$3:$N$3)+MIN(4,$OS136*1+$OT136*2,SUMPRODUCT($OM136:$OR136,$I$3:$N$3)-IF($NS136=0,0,INDEX($I$3:$N$3,1,$NS136))))</f>
        <v/>
      </c>
      <c r="PH136" s="164">
        <f>MAX(0,6-SUMPRODUCT($OM136:$OR136,$I$4:$N$4)+MIN(6,$OS136*2+$OT136*3,SUMPRODUCT($OM136:$OR136,$I$4:$N$4)-IF($NS136=0,0,INDEX($I$4:$N$4,1,$NS136))))</f>
        <v/>
      </c>
      <c r="PI136" s="164">
        <f>MAX(0,9-SUMPRODUCT($OM136:$OR136,$I$5:$N$5)+MIN(8,$OS136*2+$OT136*4,SUMPRODUCT($OM136:$OR136,$I$5:$N$5)-IF($NS136=0,0,INDEX($I$5:$N$5,1,$NS136))))</f>
        <v/>
      </c>
      <c r="PJ136" s="164">
        <f>MAX(0,11-SUMPRODUCT($OM136:$OR136,$I$6:$N$6)+MIN(10,$OS136*3+$OT136*5,SUMPRODUCT($OM136:$OR136,$I$6:$N$6)-IF($NS136=0,0,INDEX($I$6:$N$6,1,$NS136))))</f>
        <v/>
      </c>
      <c r="PK136" s="164">
        <f>MAX(0,13-SUMPRODUCT($OM136:$OR136,$I$7:$N$7)+MIN(12,$OS136*3+$OT136*6,SUMPRODUCT($OM136:$OR136,$I$7:$N$7)-IF($NS136=0,0,INDEX($I$7:$N$7,1,$NS136))))</f>
        <v/>
      </c>
      <c r="PL136" s="164">
        <f>MAX(0,16-SUMPRODUCT($OM136:$OR136,$I$8:$N$8)+MIN(14,$OS136*4+$OT136*7,SUMPRODUCT($OM136:$OR136,$I$8:$N$8)-IF($NS136=0,0,INDEX($I$8:$N$8,1,$NS136))))</f>
        <v/>
      </c>
      <c r="PM136" s="164">
        <f>IF($OG136=2,3*$PF136&amp;" de vida temp.",IF($OG136=3,"sem dano",IF($PF136=0,IF($OG136=1,"sem cura","sem dano"),IF($OG136=1,"cura ","")&amp;$PF136&amp;"d8")))</f>
        <v/>
      </c>
      <c r="PN136" s="164">
        <f>IF($OG136=2,3*$PG136&amp;" de vida temp.",IF($OG136=3,"sem dano",IF($PG136=0,IF($OG136=1,"sem cura","sem dano"),IF($OG136=1,"cura ","")&amp;$PG136&amp;"d8")))</f>
        <v/>
      </c>
      <c r="PO136" s="164">
        <f>IF($OG136=2,3*$PH136&amp;" de vida temp.",IF($OG136=3,"sem dano",IF($PH136=0,IF($OG136=1,"sem cura","sem dano"),IF($OG136=1,"cura ","")&amp;$PH136&amp;"d8")))</f>
        <v/>
      </c>
      <c r="PP136" s="164">
        <f>IF($OG136=2,3*$PI136&amp;" de vida temp.",IF($OG136=3,"sem dano",IF($PI136=0,IF($OG136=1,"sem cura","sem dano"),IF($OG136=1,"cura ","")&amp;$PI136&amp;"d8")))</f>
        <v/>
      </c>
      <c r="PQ136" s="164">
        <f>IF($OG136=2,3*$PJ136&amp;" de vida temp.",IF($OG136=3,"sem dano",IF($PJ136=0,IF($OG136=1,"sem cura","sem dano"),IF($OG136=1,"cura ","")&amp;$PJ136&amp;"d8")))</f>
        <v/>
      </c>
      <c r="PR136" s="164">
        <f>IF($OG136=2,3*$PK136&amp;" de vida temp.",IF($OG136=3,"sem dano",IF($PK136=0,IF($OG136=1,"sem cura","sem dano"),IF($OG136=1,"cura ","")&amp;$PK136&amp;"d8")))</f>
        <v/>
      </c>
      <c r="PS136" s="164">
        <f>IF($OG136=2,3*$PL136&amp;" de vida temp.",IF($OG136=3,"sem dano",IF($PL136=0,IF($OG136=1,"sem cura","sem dano"),IF($OG136=1,"cura ","")&amp;$PL136&amp;"d8")))</f>
        <v/>
      </c>
      <c r="PT136" s="164">
        <f>IF($ND136=0,"",TEXTJOIN(" · ",TRUE,IF($ND136=0,"",TEXTJOIN(" · ",TRUE,IF($ND136=0,"",TEXTJOIN(" · ",TRUE,IF($MQ136&gt;$NE136,"Este lugar abre no nível "&amp;$MQ136,""),IF($MS136&gt;$NF136,"Classe "&amp;$MS136&amp;": o nível "&amp;$NE136&amp;" libera até a "&amp;$NF136,""),IF($NX136=1,"A Forma "&amp;$MU136&amp;" pede "&amp;INDEX('DADOS_FORMAS'!$GA$2:$GA$21,$NJ136)&amp;" aberta",""),IF(AND($MS136=0,$NJ136&gt;0,IF($NJ136=0,0,INDEX('DADOS_FORMAS'!$GJ$2:$GJ$21,$NJ136))=0),$MU136&amp;" não existe na Classe 0",""),IF($NY136=1,"Família Fechada: "&amp;$MX136,""),IF($NZ136=1,"Família Fechada: "&amp;$MY136,""),IF($OA136=1,"Família Fechada: "&amp;$MZ136,""),IF($OB136=1,"Família Fechada: "&amp;$NA136,""),IF(AND($MS136&gt;0,$OU136&gt;INDEX($O$2:$O$8,MAX(1,$MS136))),$OU136&amp;" Melhorias: a Classe "&amp;$MS136&amp;" aceita "&amp;INDEX($O$2:$O$8,MAX(1,$MS136)),""),IF(AND($MS136=0,$OU136&gt;1),"A básica aceita uma Melhoria",""),IF(AND($MS136=0,COUNTIF($NO136:$NR136,"&gt;1")&gt;0),"A básica só aceita Melhoria Leve",""),IF(AND($MS136&gt;0,$OV136&gt;2),$OV136&amp;" Restrições"&amp;IF($OF136=1,", contando a que a Forma "&amp;$MU136&amp;" já traz","")&amp;": o limite é 2",""),IF(AND($MS136=0,COUNTIF($NB136:$NC136,"?*")&gt;1),"A básica aceita uma Restrição Leve",""),IF(AND($MS136=0,COUNTIF($OI136:$OJ136,2)&gt;0),"A básica só aceita Restrição Leve",""),IF(AND($MS136&gt;0,$PC136&lt;0),"Orçamento estourado: faltam "&amp;(-$PC136)&amp;IF($PC136&lt;-1," pontos"," ponto"),""),IF(IFERROR(VLOOKUP(SUBSTITUTE(SUBSTITUTE(SUBSTITUTE($NB136,"~","~~"),"*","~*"),"?","~?"),'DADOS_RESTRICOES'!$M$2:$Q$54,4,FALSE),0)+IFERROR(VLOOKUP(SUBSTITUTE(SUBSTITUTE(SUBSTITUTE($NC136,"~","~~"),"*","~*"),"?","~?"),'DADOS_RESTRICOES'!$M$2:$Q$54,4,FALSE),0)&gt;1,$OK136&amp;" e "&amp;$OL136&amp;" são as duas de frequência",""),IF(AND((COUNTIF($RK136:$RN136,"Rápido")+COUNTIF($OK136:$OL136,"Rápido"))&gt;0,(COUNTIF($MX136:$NA136,"Atrasar")+COUNTIF($OK136:$OL136,"Atrasar"))&gt;0),"Rápido não entra com Atrasar",""),IF(AND((COUNTIF($RK136:$RN136,"Reação")+COUNTIF($OK136:$OL136,"Reação"))&gt;0,(COUNTIF($RK136:$RN136,"Rápido")+COUNTIF($OK136:$OL136,"Rápido"))&gt;0),"Reação não entra com Rápido",""),IF(AND((COUNTIF($RK136:$RN136,"Reação")+COUNTIF($OK136:$OL136,"Reação"))&gt;0,(COUNTIF($RK136:$RN136,"Armado")+COUNTIF($OK136:$OL136,"Armado"))&gt;0),"Reação não entra com Armado",""),IF(AND((COUNTIF($RK136:$RN136,"Reação")+COUNTIF($OK136:$OL136,"Reação"))&gt;0,(COUNTIF($MX136:$NA136,"Atrasar")+COUNTIF($OK136:$OL136,"Atrasar"))&gt;0),"Reação não entra com Atrasar",""),IF(AND((COUNTIF($RK136:$RN136,"Reação")+COUNTIF($OK136:$OL136,"Reação"))&gt;0,(COUNTIF($MX136:$NA136,"Parado")+COUNTIF($OK136:$OL136,"Parado"))&gt;0),"Reação não entra com Parado",""),IF(AND((COUNTIF($MX136:$NA136,"Atrasar")+COUNTIF($OK136:$OL136,"Atrasar"))&gt;0,(COUNTIF($MX136:$NA136,"Parado")+COUNTIF($OK136:$OL136,"Parado"))&gt;0),"Atrasar não entra com Parado",""),IF(AND((COUNTIF($RK136:$RN136,"Armado")+COUNTIF($OK136:$OL136,"Armado"))&gt;0,(COUNTIF($MX136:$NA136,"Carregar")+COUNTIF($OK136:$OL136,"Carregar"))&gt;0),"Armado não entra com Carregar",""),IF(AND(COUNTIF($OK136:$OL136,"Corpo a Corpo")&gt;0,$OF136=0,OR($RO136="Cone",$RO136="Linha")),"Corpo a Corpo não entra em "&amp;$MU136,""),IF(AND(COUNTIF($OK136:$OL136,"Corpo a Corpo")&gt;0,$RP136="Corpo a Corpo"),"A Forma "&amp;$MU136&amp;" já traz o Corpo a Corpo",""),IF(AND(COUNTIF($OK136:$OL136,"Tudo ou Nada")&gt;0,$OH136=0),"Tudo ou Nada só entra em habilidade de Teste de Resistência",""),IF(AND(COUNTIF($RK136:$RN136,"Inescapável")&gt;0,OR($OU136&gt;1,$OV136&gt;0)),"Inescapável não aceita outra peça",""),IF(AND($MS136&gt;0,$PD136*IF(COUNTIF($RK136:$RN136,"Remate")&gt;0,1.25,1)+$PE136&gt;4*$MS136),($PD136*IF(COUNTIF($RK136:$RN136,"Remate")&gt;0,1.25,1)+$PE136)&amp;" dados somando repetições"&amp;IF(COUNTIF($RK136:$RN136,"Remate")&gt;0," e o Remate","")&amp;": o teto da Classe "&amp;$MS136&amp;" é "&amp;4*$MS136,""))),IF(AND($MX136&lt;&gt;"",COUNTIF('DADOS_MELHORIAS'!$O$2:$O$113,SUBSTITUTE(SUBSTITUTE(SUBSTITUTE($MX136,"~","~~"),"*","~*"),"?","~?"))=0),"Melhoria não cadastrada ou com erro: "&amp;$MX136,""),IF(AND($MY136&lt;&gt;"",COUNTIF('DADOS_MELHORIAS'!$O$2:$O$113,SUBSTITUTE(SUBSTITUTE(SUBSTITUTE($MY136,"~","~~"),"*","~*"),"?","~?"))=0),"Melhoria não cadastrada ou com erro: "&amp;$MY136,""),IF(AND($MZ136&lt;&gt;"",COUNTIF('DADOS_MELHORIAS'!$O$2:$O$113,SUBSTITUTE(SUBSTITUTE(SUBSTITUTE($MZ136,"~","~~"),"*","~*"),"?","~?"))=0),"Melhoria não cadastrada ou com erro: "&amp;$MZ136,""),IF(AND($NA136&lt;&gt;"",COUNTIF('DADOS_MELHORIAS'!$O$2:$O$113,SUBSTITUTE(SUBSTITUTE(SUBSTITUTE($NA136,"~","~~"),"*","~*"),"?","~?"))=0),"Melhoria não cadastrada ou com erro: "&amp;$NA136,""),IF(AND($NB136&lt;&gt;"",COUNTIF('DADOS_RESTRICOES'!$M$2:$M$54,SUBSTITUTE(SUBSTITUTE(SUBSTITUTE($NB136,"~","~~"),"*","~*"),"?","~?"))=0),"Restrição não cadastrada ou com erro: "&amp;$NB136,""),IF(AND($NC136&lt;&gt;"",COUNTIF('DADOS_RESTRICOES'!$M$2:$M$54,SUBSTITUTE(SUBSTITUTE(SUBSTITUTE($NC136,"~","~~"),"*","~*"),"?","~?"))=0),"Restrição não cadastrada ou com erro: "&amp;$NC136,""))),IF(AND($MU136&lt;&gt;"",COUNTIF('DADOS_FORMAS'!$AH$2:$AH$21,SUBSTITUTE(SUBSTITUTE(SUBSTITUTE($MU136,"~","~~"),"*","~*"),"?","~?"))=0),"Forma não cadastrada ou com erro: "&amp;$MU136,""),IF(AND(IFERROR(INDEX('DADOS_FORMAS'!$AS$2:$AS$21,MATCH(SUBSTITUTE(SUBSTITUTE(SUBSTITUTE($MU136,"~","~~"),"*","~*"),"?","~?"),'DADOS_FORMAS'!$AH$2:$AH$21,0)),"")&lt;&gt;"",OR(IFERROR(VLOOKUP(SUBSTITUTE(SUBSTITUTE(SUBSTITUTE(IFERROR(INDEX('DADOS_FORMAS'!$AS$2:$AS$21,MATCH(SUBSTITUTE(SUBSTITUTE(SUBSTITUTE($MU136,"~","~~"),"*","~*"),"?","~?"),'DADOS_FORMAS'!$AH$2:$AH$21,0)),""),"~","~~"),"*","~*"),"?","~?"),'DADOS_RESTRICOES'!$M$2:$Q$54,2,FALSE),"")=$OK136,IFERROR(VLOOKUP(SUBSTITUTE(SUBSTITUTE(SUBSTITUTE(IFERROR(INDEX('DADOS_FORMAS'!$AS$2:$AS$21,MATCH(SUBSTITUTE(SUBSTITUTE(SUBSTITUTE($MU136,"~","~~"),"*","~*"),"?","~?"),'DADOS_FORMAS'!$AH$2:$AH$21,0)),""),"~","~~"),"*","~*"),"?","~?"),'DADOS_RESTRICOES'!$M$2:$Q$54,2,FALSE),"")=$OL136)),"Restrição repetida, contando a embutida",""),IF(IF(IFERROR(INDEX('DADOS_FORMAS'!$AS$2:$AS$21,MATCH(SUBSTITUTE(SUBSTITUTE(SUBSTITUTE($MU136,"~","~~"),"*","~*"),"?","~?"),'DADOS_FORMAS'!$AH$2:$AH$21,0)),"")="",0,IFERROR(N(VLOOKUP(SUBSTITUTE(SUBSTITUTE(SUBSTITUTE(IFERROR(INDEX('DADOS_FORMAS'!$AS$2:$AS$21,MATCH(SUBSTITUTE(SUBSTITUTE(SUBSTITUTE($MU136,"~","~~"),"*","~*"),"?","~?"),'DADOS_FORMAS'!$AH$2:$AH$21,0)),""),"~","~~"),"*","~*"),"?","~?"),'DADOS_RESTRICOES'!$M$2:$Q$54,4,FALSE)=1),0))+IF($NB136="",0,IFERROR(N(VLOOKUP(SUBSTITUTE(SUBSTITUTE(SUBSTITUTE($NB136,"~","~~"),"*","~*"),"?","~?"),'DADOS_RESTRICOES'!$M$2:$Q$54,4,FALSE)=1),0))+IF($NC136="",0,IFERROR(N(VLOOKUP(SUBSTITUTE(SUBSTITUTE(SUBSTITUTE($NC136,"~","~~"),"*","~*"),"?","~?"),'DADOS_RESTRICOES'!$M$2:$Q$54,4,FALSE)=1),0))&gt;1,"Duas Restrições de frequência, contando a embutida",""),IF(AND(IFERROR(VLOOKUP(SUBSTITUTE(SUBSTITUTE(SUBSTITUTE(IFERROR(INDEX('DADOS_FORMAS'!$AS$2:$AS$21,MATCH(SUBSTITUTE(SUBSTITUTE(SUBSTITUTE($MU136,"~","~~"),"*","~*"),"?","~?"),'DADOS_FORMAS'!$AH$2:$AH$21,0)),""),"~","~~"),"*","~*"),"?","~?"),'DADOS_RESTRICOES'!$M$2:$Q$54,2,FALSE),"")="Tudo ou Nada",$OH136=0),"Tudo ou Nada exige TR",""),IF(AND(IFERROR(VLOOKUP(SUBSTITUTE(SUBSTITUTE(SUBSTITUTE(IFERROR(INDEX('DADOS_FORMAS'!$AS$2:$AS$21,MATCH(SUBSTITUTE(SUBSTITUTE(SUBSTITUTE($MU136,"~","~~"),"*","~*"),"?","~?"),'DADOS_FORMAS'!$AH$2:$AH$21,0)),""),"~","~~"),"*","~*"),"?","~?"),'DADOS_RESTRICOES'!$M$2:$Q$54,2,FALSE),"")="Corpo a Corpo",OR($RO136="Cone",$RO136="Linha")),"Corpo a Corpo não entra em Cone/Linha","")))</f>
        <v/>
      </c>
      <c r="PU136" s="164">
        <f>IF($PT136="",0,(LEN($PT136)-LEN(SUBSTITUTE($PT136," · ","")))/3+1)</f>
        <v/>
      </c>
      <c r="PV136" s="164">
        <f>IF($ND136=0,"",TEXTJOIN(" · ",TRUE,IF($OX136&gt;2*$MS136,"A devolução parou no teto de "&amp;2*$MS136,""),IF($PA136&gt;0,"Devolução perdida: "&amp;$PA136&amp;IF($PA136&gt;1," pontos"," ponto")&amp;" sem Melhoria para pagar",""),IF(AND($OC136&gt;0,AND($MS136&gt;0,$OG136=0),$PD136=0),"Controle sem dano: uma rodada a mais e CD +2",""),IF(AND($OC136&gt;0,AND($MS136&gt;0,$OG136=0),$PD136&gt;0,$PD136&lt;=$MS136),"Controle com saldo até a Classe: uma rodada a mais",""),IF(AND($MS136&gt;0,$OE136&lt;&gt;""),"Efeito de "&amp;$OE136&amp;" pela Classe "&amp;MAX(1,$MS136-1),"")))</f>
        <v/>
      </c>
      <c r="PW136" s="164">
        <f>IF($PV136="",0,(LEN($PV136)-LEN(SUBSTITUTE($PV136," · ","")))/3+1)</f>
        <v/>
      </c>
      <c r="PX136" s="164">
        <f>IF($ND136=0,IF($OU136+COUNTIF($NB136:$NC136,"?*")&gt;0,"Dê um nome",""),IF($PU136&gt;0,"⚠ "&amp;$PU136&amp;IF($PU136&gt;1," erros"," erro"),IF($PW136&gt;0,"! "&amp;$PW136&amp;IF($PW136&gt;1," avisos"," aviso"),"Na regra")))</f>
        <v/>
      </c>
      <c r="PY136" s="164">
        <f>IF($ND136=0,"",IF($PU136+$PW136=0,"Dentro das regras que a ficha confere",$PT136&amp;IF(AND($PU136&gt;0,$PW136&gt;0)," · ","")&amp;$PV136))</f>
        <v/>
      </c>
      <c r="PZ136" s="164">
        <f>IF($MQ136&gt;$NE136,$MR136&amp;" · ABRE NO NÍVEL "&amp;$MQ136,$MR136)</f>
        <v/>
      </c>
      <c r="QA136" s="164">
        <f>IF($ND136=0,"",IF($MS136=0,"Sem PE",3*$MS136&amp;" PE"))</f>
        <v/>
      </c>
      <c r="QB136" s="164">
        <f>IF($ND136=0,"",IF($MS136=0,"A atuação básica dela",IF(COUNTIF($RQ136:$RS136,"Atrasar")&gt;0,"Sua Ação Completa",IF(COUNTIF($RK136:$RN136,"Rápido")&gt;0,"Sua Bônus",IF(COUNTIF($RK136:$RN136,"Reação")&gt;0,"Sua Reação","Sua Padrão")))&amp;" + a básica dela"&amp;IF(COUNTIF($RK136:$RN136,"Reação")&gt;0," e a coletiva","")&amp;IF(COUNTIF($RQ136:$RS136,"Carregar")&gt;0," · em dois turnos","")))</f>
        <v/>
      </c>
      <c r="QC136" s="164">
        <f>IF($MW136&lt;&gt;"",$MW136,IF($NJ136=0,"",INDEX('DADOS_FORMAS'!$GE$2:$GE$21,$NJ136)))</f>
        <v/>
      </c>
      <c r="QD136" s="164">
        <f>IF(OR($ND136=0,$NJ136=0),"",IF(COUNTIF($RK136:$RN136,"Inescapável")&gt;0,"Automático",IF($QC136="Ataque",IF($NH136="","Ataque","Ataque "&amp;IF(($NH136+2*IF(COUNTIF($RK136:$RN136,"Precisão")&gt;0,1,0))&gt;=0,"+","−")&amp;ABS(($NH136+2*IF(COUNTIF($RK136:$RN136,"Precisão")&gt;0,1,0))))&amp;IF($OD136&gt;0," · TR"&amp;IF($NI136="",""," CD "&amp;$NI136),""),IF(LEFT($QC136,2)="TR",$QC136&amp;IF($NI136="",""," · CD "&amp;$NI136)&amp;IF(COUNTIF($RK136:$RN136,"Certeiro")&gt;0," · metade",""),"Sem rolagem"))))</f>
        <v/>
      </c>
      <c r="QE136" s="164">
        <f>IF(OR($ND136=0,$NJ136=0),"",IF($MS136=0,IF(OR($OG136&gt;=1,$PD136=0),"Sem dano",$PD136&amp;"d6"&amp;IF($MV136="",""," "&amp;$MV136)),IF(OR($OG136&gt;=1,$PD136=0),UPPER(LEFT(INDEX($PM136:$PS136,1,MAX(1,$MS136)),1))&amp;MID(INDEX($PM136:$PS136,1,MAX(1,$MS136)),2,99),UPPER(LEFT(INDEX($PM136:$PS136,1,MAX(1,$MS136)),1))&amp;MID(INDEX($PM136:$PS136,1,MAX(1,$MS136)),2,99)&amp;IF($MV136="",""," "&amp;$MV136)&amp;IF($PE136&gt;0," · +"&amp;$PE136&amp;"d8",""))))</f>
        <v/>
      </c>
      <c r="QF136" s="164">
        <f>COUNTIF($RK136:$RN136,"Longe")+3*COUNTIF($RK136:$RN136,"Muito Longe")</f>
        <v/>
      </c>
      <c r="QG136" s="164">
        <f>COUNTIF($RK136:$RN136,"Maior")+3*COUNTIF($RK136:$RN136,"Muito Maior")</f>
        <v/>
      </c>
      <c r="QH136" s="164">
        <f>IF($NJ136=0,0,CHOOSE(1+INDEX('DADOS_FORMAS'!$GG$2:$GG$21,$NJ136),0,$QF136,$QG136,$QF136+$QG136))</f>
        <v/>
      </c>
      <c r="QI136" s="164">
        <f>IF($NJ136=0,0,CHOOSE(1+INDEX('DADOS_FORMAS'!$GH$2:$GH$21,$NJ136),0,$QF136,$QG136,$QF136+$QG136))</f>
        <v/>
      </c>
      <c r="QJ136" s="164">
        <f>IF(OR($ND136=0,$NJ136=0),"",INDEX('DADOS_FORMAS'!$HU$2:$HZ$81,($NJ136-1)*4+IF($MS136=0,1,IF($MS136&lt;=5,2,IF($MS136=6,3,4))),1+MIN(5,$QH136))&amp;INDEX('DADOS_FORMAS'!$IA$2:$IF$81,($NJ136-1)*4+IF($MS136=0,1,IF($MS136&lt;=5,2,IF($MS136=6,3,4))),1+MIN(5,$QI136))&amp;IF(INDEX('DADOS_FORMAS'!$GI$2:$GI$21,$NJ136)=1,IF(COUNTIF($RK136:$RN136,"Mais Um")&gt;0," · +"&amp;COUNTIF($RK136:$RN136,"Mais Um")&amp;IF(COUNTIF($RK136:$RN136,"Mais Um")&gt;1," alvos"," alvo"),"")&amp;IF(COUNTIF($RK136:$RN136,"Rajada")&gt;0,IF($MS136=0," · 1 tiro"," · "&amp;(MAX(1,$MS136-1)+1)&amp;" tiros"),""),""))</f>
        <v/>
      </c>
      <c r="QK136" s="164">
        <f>IF($ND136=0,"",IF($MS136=0,$NG136&amp;"d6"&amp;IF($OU136&gt;0," − 1 = "&amp;$PD136&amp;"d6"," da básica do nível "&amp;$NE136),$PB136&amp;" − "&amp;$OW136&amp;" + "&amp;$OZ136&amp;" = "&amp;$PC136&amp;" · teto "&amp;4*$MS136&amp;"d8"&amp;IF($OF136=1," · a Forma devolve "&amp;$MS136,"")&amp;IF($PA136&gt;0," · perde "&amp;$PA136,"")))</f>
        <v/>
      </c>
      <c r="QL136" s="164">
        <f>IF($ND136=0,"",IF($MS136=0,"A básica não amplia: os dados dela sobem com o nível",IF($MS136&gt;=$NF136,"Já está na maior Classe que o nível liberou",TEXTJOIN(" · ",TRUE,IF(AND(2&gt;$MS136,2&lt;=$NF136),"2 → "&amp;$PN136&amp;", 6 PE",""),IF(AND(3&gt;$MS136,3&lt;=$NF136),"3 → "&amp;$PO136&amp;", 9 PE",""),IF(AND(4&gt;$MS136,4&lt;=$NF136),"4 → "&amp;$PP136&amp;", 12 PE",""),IF(AND(5&gt;$MS136,5&lt;=$NF136),"5 → "&amp;$PQ136&amp;", 15 PE",""),IF(AND(6&gt;$MS136,6&lt;=$NF136),"6 → "&amp;$PR136&amp;", 18 PE",""),IF(AND(7&gt;$MS136,7&lt;=$NF136),"7 → "&amp;$PS136&amp;", 21 PE","")))))</f>
        <v/>
      </c>
      <c r="QM136" s="164">
        <f>IF(OR($ND136=0,$NO136=0),"",IF($MS136=0,"−1 dado","−"&amp;INDEX($I$2:$N$8,MAX(1,$MS136),MAX(1,$NT136))&amp;" · "&amp;CHOOSE(MAX(1,$NT136),"Leve","Média","Pesada","Leve · Livre","Média · Livre","Pesada · Livre")))</f>
        <v/>
      </c>
      <c r="QN136" s="164">
        <f>IF(OR($ND136=0,$NP136=0),"",IF($MS136=0,"−1 dado","−"&amp;INDEX($I$2:$N$8,MAX(1,$MS136),MAX(1,$NU136))&amp;" · "&amp;CHOOSE(MAX(1,$NU136),"Leve","Média","Pesada","Leve · Livre","Média · Livre","Pesada · Livre")))</f>
        <v/>
      </c>
      <c r="QO136" s="164">
        <f>IF(OR($ND136=0,$NQ136=0),"",IF($MS136=0,"−1 dado","−"&amp;INDEX($I$2:$N$8,MAX(1,$MS136),MAX(1,$NV136))&amp;" · "&amp;CHOOSE(MAX(1,$NV136),"Leve","Média","Pesada","Leve · Livre","Média · Livre","Pesada · Livre")))</f>
        <v/>
      </c>
      <c r="QP136" s="164">
        <f>IF(OR($ND136=0,$NR136=0),"",IF($MS136=0,"−1 dado","−"&amp;INDEX($I$2:$N$8,MAX(1,$MS136),MAX(1,$NW136))&amp;" · "&amp;CHOOSE(MAX(1,$NW136),"Leve","Média","Pesada","Leve · Livre","Média · Livre","Pesada · Livre")))</f>
        <v/>
      </c>
      <c r="QQ136" s="164">
        <f>IF(OR($ND136=0,$NB136=""),"",IF($MS136=0,"não devolve","+"&amp;IF($OI136=1,CEILING($MS136/2,1),$MS136)))</f>
        <v/>
      </c>
      <c r="QR136" s="164">
        <f>IF(OR($ND136=0,$NC136=""),"",IF($MS136=0,"não devolve","+"&amp;IF($OJ136=1,CEILING($MS136/2,1),$MS136)))</f>
        <v/>
      </c>
      <c r="RK136">
        <f>IF($MX136="","",IFERROR(VLOOKUP(SUBSTITUTE(SUBSTITUTE(SUBSTITUTE($MX136,"~","~~"),"*","~*"),"?","~?"),'DADOS_MELHORIAS'!$O$2:$X$113,10,FALSE),$MX136))</f>
        <v/>
      </c>
      <c r="RL136">
        <f>IF($MY136="","",IFERROR(VLOOKUP(SUBSTITUTE(SUBSTITUTE(SUBSTITUTE($MY136,"~","~~"),"*","~*"),"?","~?"),'DADOS_MELHORIAS'!$O$2:$X$113,10,FALSE),$MY136))</f>
        <v/>
      </c>
      <c r="RM136">
        <f>IF($MZ136="","",IFERROR(VLOOKUP(SUBSTITUTE(SUBSTITUTE(SUBSTITUTE($MZ136,"~","~~"),"*","~*"),"?","~?"),'DADOS_MELHORIAS'!$O$2:$X$113,10,FALSE),$MZ136))</f>
        <v/>
      </c>
      <c r="RN136">
        <f>IF($NA136="","",IFERROR(VLOOKUP(SUBSTITUTE(SUBSTITUTE(SUBSTITUTE($NA136,"~","~~"),"*","~*"),"?","~?"),'DADOS_MELHORIAS'!$O$2:$X$113,10,FALSE),$NA136))</f>
        <v/>
      </c>
      <c r="RO136">
        <f>IFERROR(INDEX('DADOS_FORMAS'!$BJ$2:$BJ$21,MATCH(SUBSTITUTE(SUBSTITUTE(SUBSTITUTE($MU136,"~","~~"),"*","~*"),"?","~?"),'DADOS_FORMAS'!$AH$2:$AH$21,0)),"")</f>
        <v/>
      </c>
      <c r="RP136">
        <f>IFERROR(VLOOKUP(SUBSTITUTE(SUBSTITUTE(SUBSTITUTE(IFERROR(INDEX('DADOS_FORMAS'!$AS$2:$AS$21,MATCH(SUBSTITUTE(SUBSTITUTE(SUBSTITUTE($MU136,"~","~~"),"*","~*"),"?","~?"),'DADOS_FORMAS'!$AH$2:$AH$21,0)),""),"~","~~"),"*","~*"),"?","~?"),'DADOS_RESTRICOES'!$M$2:$Q$54,2,FALSE),"")</f>
        <v/>
      </c>
      <c r="RQ136">
        <f>$OK136</f>
        <v/>
      </c>
      <c r="RR136">
        <f>$OL136</f>
        <v/>
      </c>
      <c r="RS136">
        <f>$RP136</f>
        <v/>
      </c>
    </row>
    <row r="137">
      <c r="MN137" s="162" t="inlineStr">
        <is>
          <t>Ficha 11 · Especial 4</t>
        </is>
      </c>
      <c r="MO137" s="164" t="n">
        <v>11</v>
      </c>
      <c r="MP137" s="164" t="n">
        <v>1</v>
      </c>
      <c r="MQ137" s="164" t="n">
        <v>12</v>
      </c>
      <c r="MR137" s="162" t="inlineStr">
        <is>
          <t>ESPECIAL 4</t>
        </is>
      </c>
      <c r="MS137" s="164">
        <f>MAX(1,MIN(7,N('INVOCAÇÕES'!$AN$949)))</f>
        <v/>
      </c>
      <c r="MT137" s="164">
        <f>'INVOCAÇÕES'!$AO$949&amp;""</f>
        <v/>
      </c>
      <c r="MU137" s="164">
        <f>'INVOCAÇÕES'!$AN$954&amp;""</f>
        <v/>
      </c>
      <c r="MV137" s="164">
        <f>'INVOCAÇÕES'!$AN$955&amp;""</f>
        <v/>
      </c>
      <c r="MW137" s="164">
        <f>'INVOCAÇÕES'!$AP$955&amp;""</f>
        <v/>
      </c>
      <c r="MX137" s="164">
        <f>'INVOCAÇÕES'!$AO$958&amp;""</f>
        <v/>
      </c>
      <c r="MY137" s="164">
        <f>'INVOCAÇÕES'!$AO$959&amp;""</f>
        <v/>
      </c>
      <c r="MZ137" s="164">
        <f>'INVOCAÇÕES'!$AO$960&amp;""</f>
        <v/>
      </c>
      <c r="NA137" s="164">
        <f>'INVOCAÇÕES'!$AO$961&amp;""</f>
        <v/>
      </c>
      <c r="NB137" s="164">
        <f>'INVOCAÇÕES'!$AO$962&amp;""</f>
        <v/>
      </c>
      <c r="NC137" s="164">
        <f>'INVOCAÇÕES'!$AO$963&amp;""</f>
        <v/>
      </c>
      <c r="ND137" s="164">
        <f>IF($MT137&lt;&gt;"",1,0)</f>
        <v/>
      </c>
      <c r="NE137" s="164">
        <f>INDEX($FO$2:$FO$13,$MO137)</f>
        <v/>
      </c>
      <c r="NF137" s="164">
        <f>INDEX($FP$2:$FP$13,$MO137)</f>
        <v/>
      </c>
      <c r="NG137" s="164">
        <f>INDEX($FQ$2:$FQ$13,$MO137)</f>
        <v/>
      </c>
      <c r="NH137" s="164">
        <f>INDEX($GB$2:$GB$13,$MO137)</f>
        <v/>
      </c>
      <c r="NI137" s="164">
        <f>INDEX($GC$2:$GC$13,$MO137)</f>
        <v/>
      </c>
      <c r="NJ137" s="164">
        <f>IFERROR(MATCH(SUBSTITUTE(SUBSTITUTE(SUBSTITUTE($MU137,"~","~~"),"*","~*"),"?","~?"),'DADOS_FORMAS'!$FZ$2:$FZ$21,0),0)</f>
        <v/>
      </c>
      <c r="NK137" s="164">
        <f>IFERROR(VLOOKUP(SUBSTITUTE(SUBSTITUTE(SUBSTITUTE($MX137,"~","~~"),"*","~*"),"?","~?"),'DADOS_MELHORIAS'!$AG$2:$AL$113,2,FALSE),"")</f>
        <v/>
      </c>
      <c r="NL137" s="164">
        <f>IFERROR(VLOOKUP(SUBSTITUTE(SUBSTITUTE(SUBSTITUTE($MY137,"~","~~"),"*","~*"),"?","~?"),'DADOS_MELHORIAS'!$AG$2:$AL$113,2,FALSE),"")</f>
        <v/>
      </c>
      <c r="NM137" s="164">
        <f>IFERROR(VLOOKUP(SUBSTITUTE(SUBSTITUTE(SUBSTITUTE($MZ137,"~","~~"),"*","~*"),"?","~?"),'DADOS_MELHORIAS'!$AG$2:$AL$113,2,FALSE),"")</f>
        <v/>
      </c>
      <c r="NN137" s="164">
        <f>IFERROR(VLOOKUP(SUBSTITUTE(SUBSTITUTE(SUBSTITUTE($NA137,"~","~~"),"*","~*"),"?","~?"),'DADOS_MELHORIAS'!$AG$2:$AL$113,2,FALSE),"")</f>
        <v/>
      </c>
      <c r="NO137" s="164">
        <f>IFERROR(VLOOKUP(SUBSTITUTE(SUBSTITUTE(SUBSTITUTE($MX137,"~","~~"),"*","~*"),"?","~?"),'DADOS_MELHORIAS'!$AG$2:$AL$113,3,FALSE),0)</f>
        <v/>
      </c>
      <c r="NP137" s="164">
        <f>IFERROR(VLOOKUP(SUBSTITUTE(SUBSTITUTE(SUBSTITUTE($MY137,"~","~~"),"*","~*"),"?","~?"),'DADOS_MELHORIAS'!$AG$2:$AL$113,3,FALSE),0)</f>
        <v/>
      </c>
      <c r="NQ137" s="164">
        <f>IFERROR(VLOOKUP(SUBSTITUTE(SUBSTITUTE(SUBSTITUTE($MZ137,"~","~~"),"*","~*"),"?","~?"),'DADOS_MELHORIAS'!$AG$2:$AL$113,3,FALSE),0)</f>
        <v/>
      </c>
      <c r="NR137" s="164">
        <f>IFERROR(VLOOKUP(SUBSTITUTE(SUBSTITUTE(SUBSTITUTE($NA137,"~","~~"),"*","~*"),"?","~?"),'DADOS_MELHORIAS'!$AG$2:$AL$113,3,FALSE),0)</f>
        <v/>
      </c>
      <c r="NS137" s="164">
        <f>IF($MS137=0,0,IF($NJ137=0,0,INDEX('DADOS_FORMAS'!$GB$2:$GB$21,$NJ137)))</f>
        <v/>
      </c>
      <c r="NT137" s="164">
        <f>IF(OR($NO137=0,$MS137=0),0,$NO137+3*IF(AND($NK137&lt;&gt;"",COUNTIF(INDEX($RB$2:$RJ$13,$MO137,0),$NK137)&gt;0),1,0))</f>
        <v/>
      </c>
      <c r="NU137" s="164">
        <f>IF(OR($NP137=0,$MS137=0),0,$NP137+3*IF(AND($NL137&lt;&gt;"",COUNTIF(INDEX($RB$2:$RJ$13,$MO137,0),$NL137)&gt;0),1,0))</f>
        <v/>
      </c>
      <c r="NV137" s="164">
        <f>IF(OR($NQ137=0,$MS137=0),0,$NQ137+3*IF(AND($NM137&lt;&gt;"",COUNTIF(INDEX($RB$2:$RJ$13,$MO137,0),$NM137)&gt;0),1,0))</f>
        <v/>
      </c>
      <c r="NW137" s="164">
        <f>IF(OR($NR137=0,$MS137=0),0,$NR137+3*IF(AND($NN137&lt;&gt;"",COUNTIF(INDEX($RB$2:$RJ$13,$MO137,0),$NN137)&gt;0),1,0))</f>
        <v/>
      </c>
      <c r="NX137" s="164">
        <f>IF($NJ137=0,0,IF(INDEX('DADOS_FORMAS'!$GA$2:$GA$21,$NJ137)="",0,IF((COUNTIF(INDEX($EL$2:$EP$13,$MO137,0),INDEX('DADOS_FORMAS'!$GA$2:$GA$21,$NJ137))+COUNTIF(INDEX($QV$2:$QY$13,$MO137,0),INDEX('DADOS_FORMAS'!$GA$2:$GA$21,$NJ137)))=0,1,0)))</f>
        <v/>
      </c>
      <c r="NY137" s="164">
        <f>IF(OR($NO137=0,$NK137=""),0,IF((COUNTIF(INDEX($EL$2:$EP$13,$MO137,0),$NK137)+COUNTIF(INDEX($QV$2:$QY$13,$MO137,0),$NK137))=0,1,0))</f>
        <v/>
      </c>
      <c r="NZ137" s="164">
        <f>IF(OR($NP137=0,$NL137=""),0,IF((COUNTIF(INDEX($EL$2:$EP$13,$MO137,0),$NL137)+COUNTIF(INDEX($QV$2:$QY$13,$MO137,0),$NL137))=0,1,0))</f>
        <v/>
      </c>
      <c r="OA137" s="164">
        <f>IF(OR($NQ137=0,$NM137=""),0,IF((COUNTIF(INDEX($EL$2:$EP$13,$MO137,0),$NM137)+COUNTIF(INDEX($QV$2:$QY$13,$MO137,0),$NM137))=0,1,0))</f>
        <v/>
      </c>
      <c r="OB137" s="164">
        <f>IF(OR($NR137=0,$NN137=""),0,IF((COUNTIF(INDEX($EL$2:$EP$13,$MO137,0),$NN137)+COUNTIF(INDEX($QV$2:$QY$13,$MO137,0),$NN137))=0,1,0))</f>
        <v/>
      </c>
      <c r="OC137" s="164">
        <f>IFERROR(VLOOKUP(SUBSTITUTE(SUBSTITUTE(SUBSTITUTE($MX137,"~","~~"),"*","~*"),"?","~?"),'DADOS_MELHORIAS'!$AG$2:$AL$113,4,FALSE),0)+IFERROR(VLOOKUP(SUBSTITUTE(SUBSTITUTE(SUBSTITUTE($MY137,"~","~~"),"*","~*"),"?","~?"),'DADOS_MELHORIAS'!$AG$2:$AL$113,4,FALSE),0)+IFERROR(VLOOKUP(SUBSTITUTE(SUBSTITUTE(SUBSTITUTE($MZ137,"~","~~"),"*","~*"),"?","~?"),'DADOS_MELHORIAS'!$AG$2:$AL$113,4,FALSE),0)+IFERROR(VLOOKUP(SUBSTITUTE(SUBSTITUTE(SUBSTITUTE($NA137,"~","~~"),"*","~*"),"?","~?"),'DADOS_MELHORIAS'!$AG$2:$AL$113,4,FALSE),0)</f>
        <v/>
      </c>
      <c r="OD137" s="164">
        <f>IFERROR(VLOOKUP(SUBSTITUTE(SUBSTITUTE(SUBSTITUTE($MX137,"~","~~"),"*","~*"),"?","~?"),'DADOS_MELHORIAS'!$AG$2:$AL$113,6,FALSE),0)+IFERROR(VLOOKUP(SUBSTITUTE(SUBSTITUTE(SUBSTITUTE($MY137,"~","~~"),"*","~*"),"?","~?"),'DADOS_MELHORIAS'!$AG$2:$AL$113,6,FALSE),0)+IFERROR(VLOOKUP(SUBSTITUTE(SUBSTITUTE(SUBSTITUTE($MZ137,"~","~~"),"*","~*"),"?","~?"),'DADOS_MELHORIAS'!$AG$2:$AL$113,6,FALSE),0)+IFERROR(VLOOKUP(SUBSTITUTE(SUBSTITUTE(SUBSTITUTE($NA137,"~","~~"),"*","~*"),"?","~?"),'DADOS_MELHORIAS'!$AG$2:$AL$113,6,FALSE),0)+IFERROR(N(AND(INDEX('DADOS_FORMAS'!$AO$2:$AO$21,MATCH(SUBSTITUTE(SUBSTITUTE(SUBSTITUTE($MU137,"~","~~"),"*","~*"),"?","~?"),'DADOS_FORMAS'!$AH$2:$AH$21,0))="Acerto",$OH137=1)),0)</f>
        <v/>
      </c>
      <c r="OE137" s="164">
        <f>TEXTJOIN(", ",TRUE,IF(IFERROR(VLOOKUP(SUBSTITUTE(SUBSTITUTE(SUBSTITUTE($MX137,"~","~~"),"*","~*"),"?","~?"),'DADOS_MELHORIAS'!$AG$2:$AL$113,5,FALSE),0)=1,$MX137,""),IF(IFERROR(VLOOKUP(SUBSTITUTE(SUBSTITUTE(SUBSTITUTE($MY137,"~","~~"),"*","~*"),"?","~?"),'DADOS_MELHORIAS'!$AG$2:$AL$113,5,FALSE),0)=1,$MY137,""),IF(IFERROR(VLOOKUP(SUBSTITUTE(SUBSTITUTE(SUBSTITUTE($MZ137,"~","~~"),"*","~*"),"?","~?"),'DADOS_MELHORIAS'!$AG$2:$AL$113,5,FALSE),0)=1,$MZ137,""),IF(IFERROR(VLOOKUP(SUBSTITUTE(SUBSTITUTE(SUBSTITUTE($NA137,"~","~~"),"*","~*"),"?","~?"),'DADOS_MELHORIAS'!$AG$2:$AL$113,5,FALSE),0)=1,$NA137,""))</f>
        <v/>
      </c>
      <c r="OF137" s="164">
        <f>IF($NJ137=0,0,INDEX('DADOS_FORMAS'!$GC$2:$GC$21,$NJ137))</f>
        <v/>
      </c>
      <c r="OG137" s="164">
        <f>IF($NJ137=0,0,INDEX('DADOS_FORMAS'!$GD$2:$GD$21,$NJ137))</f>
        <v/>
      </c>
      <c r="OH137" s="164">
        <f>IF($NJ137=0,0,INDEX('DADOS_FORMAS'!$GF$2:$GF$21,$NJ137))</f>
        <v/>
      </c>
      <c r="OI137" s="164">
        <f>IFERROR(VLOOKUP(SUBSTITUTE(SUBSTITUTE(SUBSTITUTE($NB137,"~","~~"),"*","~*"),"?","~?"),'DADOS_RESTRICOES'!$M$2:$Q$54,3,FALSE),0)</f>
        <v/>
      </c>
      <c r="OJ137" s="164">
        <f>IFERROR(VLOOKUP(SUBSTITUTE(SUBSTITUTE(SUBSTITUTE($NC137,"~","~~"),"*","~*"),"?","~?"),'DADOS_RESTRICOES'!$M$2:$Q$54,3,FALSE),0)</f>
        <v/>
      </c>
      <c r="OK137" s="164">
        <f>IFERROR(VLOOKUP(SUBSTITUTE(SUBSTITUTE(SUBSTITUTE($NB137,"~","~~"),"*","~*"),"?","~?"),'DADOS_RESTRICOES'!$M$2:$Q$54,2,FALSE),"")</f>
        <v/>
      </c>
      <c r="OL137" s="164">
        <f>IFERROR(VLOOKUP(SUBSTITUTE(SUBSTITUTE(SUBSTITUTE($NC137,"~","~~"),"*","~*"),"?","~?"),'DADOS_RESTRICOES'!$M$2:$Q$54,2,FALSE),"")</f>
        <v/>
      </c>
      <c r="OM137" s="164">
        <f>COUNTIF($NS137:$NW137,1)</f>
        <v/>
      </c>
      <c r="ON137" s="164">
        <f>COUNTIF($NS137:$NW137,2)</f>
        <v/>
      </c>
      <c r="OO137" s="164">
        <f>COUNTIF($NS137:$NW137,3)</f>
        <v/>
      </c>
      <c r="OP137" s="164">
        <f>COUNTIF($NS137:$NW137,4)</f>
        <v/>
      </c>
      <c r="OQ137" s="164">
        <f>COUNTIF($NS137:$NW137,5)</f>
        <v/>
      </c>
      <c r="OR137" s="164">
        <f>COUNTIF($NS137:$NW137,6)</f>
        <v/>
      </c>
      <c r="OS137" s="164">
        <f>COUNTIF($OI137:$OJ137,1)+IF(IFERROR(INDEX('DADOS_FORMAS'!$AS$2:$AS$21,MATCH(SUBSTITUTE(SUBSTITUTE(SUBSTITUTE($MU137,"~","~~"),"*","~*"),"?","~?"),'DADOS_FORMAS'!$AH$2:$AH$21,0)),"")="",0,IFERROR(N(VLOOKUP(SUBSTITUTE(SUBSTITUTE(SUBSTITUTE(IFERROR(INDEX('DADOS_FORMAS'!$AS$2:$AS$21,MATCH(SUBSTITUTE(SUBSTITUTE(SUBSTITUTE($MU137,"~","~~"),"*","~*"),"?","~?"),'DADOS_FORMAS'!$AH$2:$AH$21,0)),""),"~","~~"),"*","~*"),"?","~?"),'DADOS_RESTRICOES'!$M$2:$Q$54,3,FALSE)=1),0))</f>
        <v/>
      </c>
      <c r="OT137" s="164">
        <f>COUNTIF($OI137:$OJ137,2)+IF(IFERROR(INDEX('DADOS_FORMAS'!$AS$2:$AS$21,MATCH(SUBSTITUTE(SUBSTITUTE(SUBSTITUTE($MU137,"~","~~"),"*","~*"),"?","~?"),'DADOS_FORMAS'!$AH$2:$AH$21,0)),"")="",0,IFERROR(N(VLOOKUP(SUBSTITUTE(SUBSTITUTE(SUBSTITUTE(IFERROR(INDEX('DADOS_FORMAS'!$AS$2:$AS$21,MATCH(SUBSTITUTE(SUBSTITUTE(SUBSTITUTE($MU137,"~","~~"),"*","~*"),"?","~?"),'DADOS_FORMAS'!$AH$2:$AH$21,0)),""),"~","~~"),"*","~*"),"?","~?"),'DADOS_RESTRICOES'!$M$2:$Q$54,3,FALSE)=2),0))</f>
        <v/>
      </c>
      <c r="OU137" s="164">
        <f>COUNTIF($MX137:$NA137,"?*")</f>
        <v/>
      </c>
      <c r="OV137" s="164">
        <f>COUNTIF($NB137:$NC137,"?*")+$OF137</f>
        <v/>
      </c>
      <c r="OW137" s="164">
        <f>IF($MS137=0,0,SUMPRODUCT($OM137:$OR137,INDEX($I$2:$N$8,MAX(1,$MS137),0)))</f>
        <v/>
      </c>
      <c r="OX137" s="164">
        <f>IF($MS137=0,0,$OS137*CEILING($MS137/2,1)+$OT137*$MS137)</f>
        <v/>
      </c>
      <c r="OY137" s="164">
        <f>MIN(2*$MS137,$OX137)</f>
        <v/>
      </c>
      <c r="OZ137" s="164">
        <f>MIN($OY137,$OW137-IF($NS137=0,0,INDEX($I$2:$N$8,MAX(1,$MS137),$NS137)))</f>
        <v/>
      </c>
      <c r="PA137" s="164">
        <f>$OY137-$OZ137</f>
        <v/>
      </c>
      <c r="PB137" s="164">
        <f>IF($MS137=0,0,INDEX($P$2:$P$8,MAX(1,$MS137)))</f>
        <v/>
      </c>
      <c r="PC137" s="164">
        <f>$PB137-$OW137+$OZ137</f>
        <v/>
      </c>
      <c r="PD137" s="164">
        <f>IF($MS137=0,MAX(0,$NG137-IF(AND($OU137&gt;0,COUNTIF($NB137:$NC137,"?*")=0),1,0)),MAX(0,$PC137))</f>
        <v/>
      </c>
      <c r="PE137" s="164">
        <f>IF($MS137=0,0,(IF(COUNTIF($RK137:$RN137,"Salto")&gt;0,1,0)+IF(COUNTIF($RK137:$RN137,"Queima")&gt;0,1,0)+IF(COUNTIF($RK137:$RN137,"Estilhaço")&gt;0,1,0))*FLOOR($PD137/2,1))</f>
        <v/>
      </c>
      <c r="PF137" s="164">
        <f>MAX(0,2-SUMPRODUCT($OM137:$OR137,$I$2:$N$2)+MIN(2,$OS137*1+$OT137*1,SUMPRODUCT($OM137:$OR137,$I$2:$N$2)-IF($NS137=0,0,INDEX($I$2:$N$2,1,$NS137))))</f>
        <v/>
      </c>
      <c r="PG137" s="164">
        <f>MAX(0,4-SUMPRODUCT($OM137:$OR137,$I$3:$N$3)+MIN(4,$OS137*1+$OT137*2,SUMPRODUCT($OM137:$OR137,$I$3:$N$3)-IF($NS137=0,0,INDEX($I$3:$N$3,1,$NS137))))</f>
        <v/>
      </c>
      <c r="PH137" s="164">
        <f>MAX(0,6-SUMPRODUCT($OM137:$OR137,$I$4:$N$4)+MIN(6,$OS137*2+$OT137*3,SUMPRODUCT($OM137:$OR137,$I$4:$N$4)-IF($NS137=0,0,INDEX($I$4:$N$4,1,$NS137))))</f>
        <v/>
      </c>
      <c r="PI137" s="164">
        <f>MAX(0,9-SUMPRODUCT($OM137:$OR137,$I$5:$N$5)+MIN(8,$OS137*2+$OT137*4,SUMPRODUCT($OM137:$OR137,$I$5:$N$5)-IF($NS137=0,0,INDEX($I$5:$N$5,1,$NS137))))</f>
        <v/>
      </c>
      <c r="PJ137" s="164">
        <f>MAX(0,11-SUMPRODUCT($OM137:$OR137,$I$6:$N$6)+MIN(10,$OS137*3+$OT137*5,SUMPRODUCT($OM137:$OR137,$I$6:$N$6)-IF($NS137=0,0,INDEX($I$6:$N$6,1,$NS137))))</f>
        <v/>
      </c>
      <c r="PK137" s="164">
        <f>MAX(0,13-SUMPRODUCT($OM137:$OR137,$I$7:$N$7)+MIN(12,$OS137*3+$OT137*6,SUMPRODUCT($OM137:$OR137,$I$7:$N$7)-IF($NS137=0,0,INDEX($I$7:$N$7,1,$NS137))))</f>
        <v/>
      </c>
      <c r="PL137" s="164">
        <f>MAX(0,16-SUMPRODUCT($OM137:$OR137,$I$8:$N$8)+MIN(14,$OS137*4+$OT137*7,SUMPRODUCT($OM137:$OR137,$I$8:$N$8)-IF($NS137=0,0,INDEX($I$8:$N$8,1,$NS137))))</f>
        <v/>
      </c>
      <c r="PM137" s="164">
        <f>IF($OG137=2,3*$PF137&amp;" de vida temp.",IF($OG137=3,"sem dano",IF($PF137=0,IF($OG137=1,"sem cura","sem dano"),IF($OG137=1,"cura ","")&amp;$PF137&amp;"d8")))</f>
        <v/>
      </c>
      <c r="PN137" s="164">
        <f>IF($OG137=2,3*$PG137&amp;" de vida temp.",IF($OG137=3,"sem dano",IF($PG137=0,IF($OG137=1,"sem cura","sem dano"),IF($OG137=1,"cura ","")&amp;$PG137&amp;"d8")))</f>
        <v/>
      </c>
      <c r="PO137" s="164">
        <f>IF($OG137=2,3*$PH137&amp;" de vida temp.",IF($OG137=3,"sem dano",IF($PH137=0,IF($OG137=1,"sem cura","sem dano"),IF($OG137=1,"cura ","")&amp;$PH137&amp;"d8")))</f>
        <v/>
      </c>
      <c r="PP137" s="164">
        <f>IF($OG137=2,3*$PI137&amp;" de vida temp.",IF($OG137=3,"sem dano",IF($PI137=0,IF($OG137=1,"sem cura","sem dano"),IF($OG137=1,"cura ","")&amp;$PI137&amp;"d8")))</f>
        <v/>
      </c>
      <c r="PQ137" s="164">
        <f>IF($OG137=2,3*$PJ137&amp;" de vida temp.",IF($OG137=3,"sem dano",IF($PJ137=0,IF($OG137=1,"sem cura","sem dano"),IF($OG137=1,"cura ","")&amp;$PJ137&amp;"d8")))</f>
        <v/>
      </c>
      <c r="PR137" s="164">
        <f>IF($OG137=2,3*$PK137&amp;" de vida temp.",IF($OG137=3,"sem dano",IF($PK137=0,IF($OG137=1,"sem cura","sem dano"),IF($OG137=1,"cura ","")&amp;$PK137&amp;"d8")))</f>
        <v/>
      </c>
      <c r="PS137" s="164">
        <f>IF($OG137=2,3*$PL137&amp;" de vida temp.",IF($OG137=3,"sem dano",IF($PL137=0,IF($OG137=1,"sem cura","sem dano"),IF($OG137=1,"cura ","")&amp;$PL137&amp;"d8")))</f>
        <v/>
      </c>
      <c r="PT137" s="164">
        <f>IF($ND137=0,"",TEXTJOIN(" · ",TRUE,IF($ND137=0,"",TEXTJOIN(" · ",TRUE,IF($ND137=0,"",TEXTJOIN(" · ",TRUE,IF($MQ137&gt;$NE137,"Este lugar abre no nível "&amp;$MQ137,""),IF($MS137&gt;$NF137,"Classe "&amp;$MS137&amp;": o nível "&amp;$NE137&amp;" libera até a "&amp;$NF137,""),IF($NX137=1,"A Forma "&amp;$MU137&amp;" pede "&amp;INDEX('DADOS_FORMAS'!$GA$2:$GA$21,$NJ137)&amp;" aberta",""),IF(AND($MS137=0,$NJ137&gt;0,IF($NJ137=0,0,INDEX('DADOS_FORMAS'!$GJ$2:$GJ$21,$NJ137))=0),$MU137&amp;" não existe na Classe 0",""),IF($NY137=1,"Família Fechada: "&amp;$MX137,""),IF($NZ137=1,"Família Fechada: "&amp;$MY137,""),IF($OA137=1,"Família Fechada: "&amp;$MZ137,""),IF($OB137=1,"Família Fechada: "&amp;$NA137,""),IF(AND($MS137&gt;0,$OU137&gt;INDEX($O$2:$O$8,MAX(1,$MS137))),$OU137&amp;" Melhorias: a Classe "&amp;$MS137&amp;" aceita "&amp;INDEX($O$2:$O$8,MAX(1,$MS137)),""),IF(AND($MS137=0,$OU137&gt;1),"A básica aceita uma Melhoria",""),IF(AND($MS137=0,COUNTIF($NO137:$NR137,"&gt;1")&gt;0),"A básica só aceita Melhoria Leve",""),IF(AND($MS137&gt;0,$OV137&gt;2),$OV137&amp;" Restrições"&amp;IF($OF137=1,", contando a que a Forma "&amp;$MU137&amp;" já traz","")&amp;": o limite é 2",""),IF(AND($MS137=0,COUNTIF($NB137:$NC137,"?*")&gt;1),"A básica aceita uma Restrição Leve",""),IF(AND($MS137=0,COUNTIF($OI137:$OJ137,2)&gt;0),"A básica só aceita Restrição Leve",""),IF(AND($MS137&gt;0,$PC137&lt;0),"Orçamento estourado: faltam "&amp;(-$PC137)&amp;IF($PC137&lt;-1," pontos"," ponto"),""),IF(IFERROR(VLOOKUP(SUBSTITUTE(SUBSTITUTE(SUBSTITUTE($NB137,"~","~~"),"*","~*"),"?","~?"),'DADOS_RESTRICOES'!$M$2:$Q$54,4,FALSE),0)+IFERROR(VLOOKUP(SUBSTITUTE(SUBSTITUTE(SUBSTITUTE($NC137,"~","~~"),"*","~*"),"?","~?"),'DADOS_RESTRICOES'!$M$2:$Q$54,4,FALSE),0)&gt;1,$OK137&amp;" e "&amp;$OL137&amp;" são as duas de frequência",""),IF(AND((COUNTIF($RK137:$RN137,"Rápido")+COUNTIF($OK137:$OL137,"Rápido"))&gt;0,(COUNTIF($MX137:$NA137,"Atrasar")+COUNTIF($OK137:$OL137,"Atrasar"))&gt;0),"Rápido não entra com Atrasar",""),IF(AND((COUNTIF($RK137:$RN137,"Reação")+COUNTIF($OK137:$OL137,"Reação"))&gt;0,(COUNTIF($RK137:$RN137,"Rápido")+COUNTIF($OK137:$OL137,"Rápido"))&gt;0),"Reação não entra com Rápido",""),IF(AND((COUNTIF($RK137:$RN137,"Reação")+COUNTIF($OK137:$OL137,"Reação"))&gt;0,(COUNTIF($RK137:$RN137,"Armado")+COUNTIF($OK137:$OL137,"Armado"))&gt;0),"Reação não entra com Armado",""),IF(AND((COUNTIF($RK137:$RN137,"Reação")+COUNTIF($OK137:$OL137,"Reação"))&gt;0,(COUNTIF($MX137:$NA137,"Atrasar")+COUNTIF($OK137:$OL137,"Atrasar"))&gt;0),"Reação não entra com Atrasar",""),IF(AND((COUNTIF($RK137:$RN137,"Reação")+COUNTIF($OK137:$OL137,"Reação"))&gt;0,(COUNTIF($MX137:$NA137,"Parado")+COUNTIF($OK137:$OL137,"Parado"))&gt;0),"Reação não entra com Parado",""),IF(AND((COUNTIF($MX137:$NA137,"Atrasar")+COUNTIF($OK137:$OL137,"Atrasar"))&gt;0,(COUNTIF($MX137:$NA137,"Parado")+COUNTIF($OK137:$OL137,"Parado"))&gt;0),"Atrasar não entra com Parado",""),IF(AND((COUNTIF($RK137:$RN137,"Armado")+COUNTIF($OK137:$OL137,"Armado"))&gt;0,(COUNTIF($MX137:$NA137,"Carregar")+COUNTIF($OK137:$OL137,"Carregar"))&gt;0),"Armado não entra com Carregar",""),IF(AND(COUNTIF($OK137:$OL137,"Corpo a Corpo")&gt;0,$OF137=0,OR($RO137="Cone",$RO137="Linha")),"Corpo a Corpo não entra em "&amp;$MU137,""),IF(AND(COUNTIF($OK137:$OL137,"Corpo a Corpo")&gt;0,$RP137="Corpo a Corpo"),"A Forma "&amp;$MU137&amp;" já traz o Corpo a Corpo",""),IF(AND(COUNTIF($OK137:$OL137,"Tudo ou Nada")&gt;0,$OH137=0),"Tudo ou Nada só entra em habilidade de Teste de Resistência",""),IF(AND(COUNTIF($RK137:$RN137,"Inescapável")&gt;0,OR($OU137&gt;1,$OV137&gt;0)),"Inescapável não aceita outra peça",""),IF(AND($MS137&gt;0,$PD137*IF(COUNTIF($RK137:$RN137,"Remate")&gt;0,1.25,1)+$PE137&gt;4*$MS137),($PD137*IF(COUNTIF($RK137:$RN137,"Remate")&gt;0,1.25,1)+$PE137)&amp;" dados somando repetições"&amp;IF(COUNTIF($RK137:$RN137,"Remate")&gt;0," e o Remate","")&amp;": o teto da Classe "&amp;$MS137&amp;" é "&amp;4*$MS137,""))),IF(AND($MX137&lt;&gt;"",COUNTIF('DADOS_MELHORIAS'!$O$2:$O$113,SUBSTITUTE(SUBSTITUTE(SUBSTITUTE($MX137,"~","~~"),"*","~*"),"?","~?"))=0),"Melhoria não cadastrada ou com erro: "&amp;$MX137,""),IF(AND($MY137&lt;&gt;"",COUNTIF('DADOS_MELHORIAS'!$O$2:$O$113,SUBSTITUTE(SUBSTITUTE(SUBSTITUTE($MY137,"~","~~"),"*","~*"),"?","~?"))=0),"Melhoria não cadastrada ou com erro: "&amp;$MY137,""),IF(AND($MZ137&lt;&gt;"",COUNTIF('DADOS_MELHORIAS'!$O$2:$O$113,SUBSTITUTE(SUBSTITUTE(SUBSTITUTE($MZ137,"~","~~"),"*","~*"),"?","~?"))=0),"Melhoria não cadastrada ou com erro: "&amp;$MZ137,""),IF(AND($NA137&lt;&gt;"",COUNTIF('DADOS_MELHORIAS'!$O$2:$O$113,SUBSTITUTE(SUBSTITUTE(SUBSTITUTE($NA137,"~","~~"),"*","~*"),"?","~?"))=0),"Melhoria não cadastrada ou com erro: "&amp;$NA137,""),IF(AND($NB137&lt;&gt;"",COUNTIF('DADOS_RESTRICOES'!$M$2:$M$54,SUBSTITUTE(SUBSTITUTE(SUBSTITUTE($NB137,"~","~~"),"*","~*"),"?","~?"))=0),"Restrição não cadastrada ou com erro: "&amp;$NB137,""),IF(AND($NC137&lt;&gt;"",COUNTIF('DADOS_RESTRICOES'!$M$2:$M$54,SUBSTITUTE(SUBSTITUTE(SUBSTITUTE($NC137,"~","~~"),"*","~*"),"?","~?"))=0),"Restrição não cadastrada ou com erro: "&amp;$NC137,""))),IF(AND($MU137&lt;&gt;"",COUNTIF('DADOS_FORMAS'!$AH$2:$AH$21,SUBSTITUTE(SUBSTITUTE(SUBSTITUTE($MU137,"~","~~"),"*","~*"),"?","~?"))=0),"Forma não cadastrada ou com erro: "&amp;$MU137,""),IF(AND(IFERROR(INDEX('DADOS_FORMAS'!$AS$2:$AS$21,MATCH(SUBSTITUTE(SUBSTITUTE(SUBSTITUTE($MU137,"~","~~"),"*","~*"),"?","~?"),'DADOS_FORMAS'!$AH$2:$AH$21,0)),"")&lt;&gt;"",OR(IFERROR(VLOOKUP(SUBSTITUTE(SUBSTITUTE(SUBSTITUTE(IFERROR(INDEX('DADOS_FORMAS'!$AS$2:$AS$21,MATCH(SUBSTITUTE(SUBSTITUTE(SUBSTITUTE($MU137,"~","~~"),"*","~*"),"?","~?"),'DADOS_FORMAS'!$AH$2:$AH$21,0)),""),"~","~~"),"*","~*"),"?","~?"),'DADOS_RESTRICOES'!$M$2:$Q$54,2,FALSE),"")=$OK137,IFERROR(VLOOKUP(SUBSTITUTE(SUBSTITUTE(SUBSTITUTE(IFERROR(INDEX('DADOS_FORMAS'!$AS$2:$AS$21,MATCH(SUBSTITUTE(SUBSTITUTE(SUBSTITUTE($MU137,"~","~~"),"*","~*"),"?","~?"),'DADOS_FORMAS'!$AH$2:$AH$21,0)),""),"~","~~"),"*","~*"),"?","~?"),'DADOS_RESTRICOES'!$M$2:$Q$54,2,FALSE),"")=$OL137)),"Restrição repetida, contando a embutida",""),IF(IF(IFERROR(INDEX('DADOS_FORMAS'!$AS$2:$AS$21,MATCH(SUBSTITUTE(SUBSTITUTE(SUBSTITUTE($MU137,"~","~~"),"*","~*"),"?","~?"),'DADOS_FORMAS'!$AH$2:$AH$21,0)),"")="",0,IFERROR(N(VLOOKUP(SUBSTITUTE(SUBSTITUTE(SUBSTITUTE(IFERROR(INDEX('DADOS_FORMAS'!$AS$2:$AS$21,MATCH(SUBSTITUTE(SUBSTITUTE(SUBSTITUTE($MU137,"~","~~"),"*","~*"),"?","~?"),'DADOS_FORMAS'!$AH$2:$AH$21,0)),""),"~","~~"),"*","~*"),"?","~?"),'DADOS_RESTRICOES'!$M$2:$Q$54,4,FALSE)=1),0))+IF($NB137="",0,IFERROR(N(VLOOKUP(SUBSTITUTE(SUBSTITUTE(SUBSTITUTE($NB137,"~","~~"),"*","~*"),"?","~?"),'DADOS_RESTRICOES'!$M$2:$Q$54,4,FALSE)=1),0))+IF($NC137="",0,IFERROR(N(VLOOKUP(SUBSTITUTE(SUBSTITUTE(SUBSTITUTE($NC137,"~","~~"),"*","~*"),"?","~?"),'DADOS_RESTRICOES'!$M$2:$Q$54,4,FALSE)=1),0))&gt;1,"Duas Restrições de frequência, contando a embutida",""),IF(AND(IFERROR(VLOOKUP(SUBSTITUTE(SUBSTITUTE(SUBSTITUTE(IFERROR(INDEX('DADOS_FORMAS'!$AS$2:$AS$21,MATCH(SUBSTITUTE(SUBSTITUTE(SUBSTITUTE($MU137,"~","~~"),"*","~*"),"?","~?"),'DADOS_FORMAS'!$AH$2:$AH$21,0)),""),"~","~~"),"*","~*"),"?","~?"),'DADOS_RESTRICOES'!$M$2:$Q$54,2,FALSE),"")="Tudo ou Nada",$OH137=0),"Tudo ou Nada exige TR",""),IF(AND(IFERROR(VLOOKUP(SUBSTITUTE(SUBSTITUTE(SUBSTITUTE(IFERROR(INDEX('DADOS_FORMAS'!$AS$2:$AS$21,MATCH(SUBSTITUTE(SUBSTITUTE(SUBSTITUTE($MU137,"~","~~"),"*","~*"),"?","~?"),'DADOS_FORMAS'!$AH$2:$AH$21,0)),""),"~","~~"),"*","~*"),"?","~?"),'DADOS_RESTRICOES'!$M$2:$Q$54,2,FALSE),"")="Corpo a Corpo",OR($RO137="Cone",$RO137="Linha")),"Corpo a Corpo não entra em Cone/Linha","")))</f>
        <v/>
      </c>
      <c r="PU137" s="164">
        <f>IF($PT137="",0,(LEN($PT137)-LEN(SUBSTITUTE($PT137," · ","")))/3+1)</f>
        <v/>
      </c>
      <c r="PV137" s="164">
        <f>IF($ND137=0,"",TEXTJOIN(" · ",TRUE,IF($OX137&gt;2*$MS137,"A devolução parou no teto de "&amp;2*$MS137,""),IF($PA137&gt;0,"Devolução perdida: "&amp;$PA137&amp;IF($PA137&gt;1," pontos"," ponto")&amp;" sem Melhoria para pagar",""),IF(AND($OC137&gt;0,AND($MS137&gt;0,$OG137=0),$PD137=0),"Controle sem dano: uma rodada a mais e CD +2",""),IF(AND($OC137&gt;0,AND($MS137&gt;0,$OG137=0),$PD137&gt;0,$PD137&lt;=$MS137),"Controle com saldo até a Classe: uma rodada a mais",""),IF(AND($MS137&gt;0,$OE137&lt;&gt;""),"Efeito de "&amp;$OE137&amp;" pela Classe "&amp;MAX(1,$MS137-1),"")))</f>
        <v/>
      </c>
      <c r="PW137" s="164">
        <f>IF($PV137="",0,(LEN($PV137)-LEN(SUBSTITUTE($PV137," · ","")))/3+1)</f>
        <v/>
      </c>
      <c r="PX137" s="164">
        <f>IF($ND137=0,IF($OU137+COUNTIF($NB137:$NC137,"?*")&gt;0,"Dê um nome",""),IF($PU137&gt;0,"⚠ "&amp;$PU137&amp;IF($PU137&gt;1," erros"," erro"),IF($PW137&gt;0,"! "&amp;$PW137&amp;IF($PW137&gt;1," avisos"," aviso"),"Na regra")))</f>
        <v/>
      </c>
      <c r="PY137" s="164">
        <f>IF($ND137=0,"",IF($PU137+$PW137=0,"Dentro das regras que a ficha confere",$PT137&amp;IF(AND($PU137&gt;0,$PW137&gt;0)," · ","")&amp;$PV137))</f>
        <v/>
      </c>
      <c r="PZ137" s="164">
        <f>IF($MQ137&gt;$NE137,$MR137&amp;" · ABRE NO NÍVEL "&amp;$MQ137,$MR137)</f>
        <v/>
      </c>
      <c r="QA137" s="164">
        <f>IF($ND137=0,"",IF($MS137=0,"Sem PE",3*$MS137&amp;" PE"))</f>
        <v/>
      </c>
      <c r="QB137" s="164">
        <f>IF($ND137=0,"",IF($MS137=0,"A atuação básica dela",IF(COUNTIF($RQ137:$RS137,"Atrasar")&gt;0,"Sua Ação Completa",IF(COUNTIF($RK137:$RN137,"Rápido")&gt;0,"Sua Bônus",IF(COUNTIF($RK137:$RN137,"Reação")&gt;0,"Sua Reação","Sua Padrão")))&amp;" + a básica dela"&amp;IF(COUNTIF($RK137:$RN137,"Reação")&gt;0," e a coletiva","")&amp;IF(COUNTIF($RQ137:$RS137,"Carregar")&gt;0," · em dois turnos","")))</f>
        <v/>
      </c>
      <c r="QC137" s="164">
        <f>IF($MW137&lt;&gt;"",$MW137,IF($NJ137=0,"",INDEX('DADOS_FORMAS'!$GE$2:$GE$21,$NJ137)))</f>
        <v/>
      </c>
      <c r="QD137" s="164">
        <f>IF(OR($ND137=0,$NJ137=0),"",IF(COUNTIF($RK137:$RN137,"Inescapável")&gt;0,"Automático",IF($QC137="Ataque",IF($NH137="","Ataque","Ataque "&amp;IF(($NH137+2*IF(COUNTIF($RK137:$RN137,"Precisão")&gt;0,1,0))&gt;=0,"+","−")&amp;ABS(($NH137+2*IF(COUNTIF($RK137:$RN137,"Precisão")&gt;0,1,0))))&amp;IF($OD137&gt;0," · TR"&amp;IF($NI137="",""," CD "&amp;$NI137),""),IF(LEFT($QC137,2)="TR",$QC137&amp;IF($NI137="",""," · CD "&amp;$NI137)&amp;IF(COUNTIF($RK137:$RN137,"Certeiro")&gt;0," · metade",""),"Sem rolagem"))))</f>
        <v/>
      </c>
      <c r="QE137" s="164">
        <f>IF(OR($ND137=0,$NJ137=0),"",IF($MS137=0,IF(OR($OG137&gt;=1,$PD137=0),"Sem dano",$PD137&amp;"d6"&amp;IF($MV137="",""," "&amp;$MV137)),IF(OR($OG137&gt;=1,$PD137=0),UPPER(LEFT(INDEX($PM137:$PS137,1,MAX(1,$MS137)),1))&amp;MID(INDEX($PM137:$PS137,1,MAX(1,$MS137)),2,99),UPPER(LEFT(INDEX($PM137:$PS137,1,MAX(1,$MS137)),1))&amp;MID(INDEX($PM137:$PS137,1,MAX(1,$MS137)),2,99)&amp;IF($MV137="",""," "&amp;$MV137)&amp;IF($PE137&gt;0," · +"&amp;$PE137&amp;"d8",""))))</f>
        <v/>
      </c>
      <c r="QF137" s="164">
        <f>COUNTIF($RK137:$RN137,"Longe")+3*COUNTIF($RK137:$RN137,"Muito Longe")</f>
        <v/>
      </c>
      <c r="QG137" s="164">
        <f>COUNTIF($RK137:$RN137,"Maior")+3*COUNTIF($RK137:$RN137,"Muito Maior")</f>
        <v/>
      </c>
      <c r="QH137" s="164">
        <f>IF($NJ137=0,0,CHOOSE(1+INDEX('DADOS_FORMAS'!$GG$2:$GG$21,$NJ137),0,$QF137,$QG137,$QF137+$QG137))</f>
        <v/>
      </c>
      <c r="QI137" s="164">
        <f>IF($NJ137=0,0,CHOOSE(1+INDEX('DADOS_FORMAS'!$GH$2:$GH$21,$NJ137),0,$QF137,$QG137,$QF137+$QG137))</f>
        <v/>
      </c>
      <c r="QJ137" s="164">
        <f>IF(OR($ND137=0,$NJ137=0),"",INDEX('DADOS_FORMAS'!$HU$2:$HZ$81,($NJ137-1)*4+IF($MS137=0,1,IF($MS137&lt;=5,2,IF($MS137=6,3,4))),1+MIN(5,$QH137))&amp;INDEX('DADOS_FORMAS'!$IA$2:$IF$81,($NJ137-1)*4+IF($MS137=0,1,IF($MS137&lt;=5,2,IF($MS137=6,3,4))),1+MIN(5,$QI137))&amp;IF(INDEX('DADOS_FORMAS'!$GI$2:$GI$21,$NJ137)=1,IF(COUNTIF($RK137:$RN137,"Mais Um")&gt;0," · +"&amp;COUNTIF($RK137:$RN137,"Mais Um")&amp;IF(COUNTIF($RK137:$RN137,"Mais Um")&gt;1," alvos"," alvo"),"")&amp;IF(COUNTIF($RK137:$RN137,"Rajada")&gt;0,IF($MS137=0," · 1 tiro"," · "&amp;(MAX(1,$MS137-1)+1)&amp;" tiros"),""),""))</f>
        <v/>
      </c>
      <c r="QK137" s="164">
        <f>IF($ND137=0,"",IF($MS137=0,$NG137&amp;"d6"&amp;IF($OU137&gt;0," − 1 = "&amp;$PD137&amp;"d6"," da básica do nível "&amp;$NE137),$PB137&amp;" − "&amp;$OW137&amp;" + "&amp;$OZ137&amp;" = "&amp;$PC137&amp;" · teto "&amp;4*$MS137&amp;"d8"&amp;IF($OF137=1," · a Forma devolve "&amp;$MS137,"")&amp;IF($PA137&gt;0," · perde "&amp;$PA137,"")))</f>
        <v/>
      </c>
      <c r="QL137" s="164">
        <f>IF($ND137=0,"",IF($MS137=0,"A básica não amplia: os dados dela sobem com o nível",IF($MS137&gt;=$NF137,"Já está na maior Classe que o nível liberou",TEXTJOIN(" · ",TRUE,IF(AND(2&gt;$MS137,2&lt;=$NF137),"2 → "&amp;$PN137&amp;", 6 PE",""),IF(AND(3&gt;$MS137,3&lt;=$NF137),"3 → "&amp;$PO137&amp;", 9 PE",""),IF(AND(4&gt;$MS137,4&lt;=$NF137),"4 → "&amp;$PP137&amp;", 12 PE",""),IF(AND(5&gt;$MS137,5&lt;=$NF137),"5 → "&amp;$PQ137&amp;", 15 PE",""),IF(AND(6&gt;$MS137,6&lt;=$NF137),"6 → "&amp;$PR137&amp;", 18 PE",""),IF(AND(7&gt;$MS137,7&lt;=$NF137),"7 → "&amp;$PS137&amp;", 21 PE","")))))</f>
        <v/>
      </c>
      <c r="QM137" s="164">
        <f>IF(OR($ND137=0,$NO137=0),"",IF($MS137=0,"−1 dado","−"&amp;INDEX($I$2:$N$8,MAX(1,$MS137),MAX(1,$NT137))&amp;" · "&amp;CHOOSE(MAX(1,$NT137),"Leve","Média","Pesada","Leve · Livre","Média · Livre","Pesada · Livre")))</f>
        <v/>
      </c>
      <c r="QN137" s="164">
        <f>IF(OR($ND137=0,$NP137=0),"",IF($MS137=0,"−1 dado","−"&amp;INDEX($I$2:$N$8,MAX(1,$MS137),MAX(1,$NU137))&amp;" · "&amp;CHOOSE(MAX(1,$NU137),"Leve","Média","Pesada","Leve · Livre","Média · Livre","Pesada · Livre")))</f>
        <v/>
      </c>
      <c r="QO137" s="164">
        <f>IF(OR($ND137=0,$NQ137=0),"",IF($MS137=0,"−1 dado","−"&amp;INDEX($I$2:$N$8,MAX(1,$MS137),MAX(1,$NV137))&amp;" · "&amp;CHOOSE(MAX(1,$NV137),"Leve","Média","Pesada","Leve · Livre","Média · Livre","Pesada · Livre")))</f>
        <v/>
      </c>
      <c r="QP137" s="164">
        <f>IF(OR($ND137=0,$NR137=0),"",IF($MS137=0,"−1 dado","−"&amp;INDEX($I$2:$N$8,MAX(1,$MS137),MAX(1,$NW137))&amp;" · "&amp;CHOOSE(MAX(1,$NW137),"Leve","Média","Pesada","Leve · Livre","Média · Livre","Pesada · Livre")))</f>
        <v/>
      </c>
      <c r="QQ137" s="164">
        <f>IF(OR($ND137=0,$NB137=""),"",IF($MS137=0,"não devolve","+"&amp;IF($OI137=1,CEILING($MS137/2,1),$MS137)))</f>
        <v/>
      </c>
      <c r="QR137" s="164">
        <f>IF(OR($ND137=0,$NC137=""),"",IF($MS137=0,"não devolve","+"&amp;IF($OJ137=1,CEILING($MS137/2,1),$MS137)))</f>
        <v/>
      </c>
      <c r="RK137">
        <f>IF($MX137="","",IFERROR(VLOOKUP(SUBSTITUTE(SUBSTITUTE(SUBSTITUTE($MX137,"~","~~"),"*","~*"),"?","~?"),'DADOS_MELHORIAS'!$O$2:$X$113,10,FALSE),$MX137))</f>
        <v/>
      </c>
      <c r="RL137">
        <f>IF($MY137="","",IFERROR(VLOOKUP(SUBSTITUTE(SUBSTITUTE(SUBSTITUTE($MY137,"~","~~"),"*","~*"),"?","~?"),'DADOS_MELHORIAS'!$O$2:$X$113,10,FALSE),$MY137))</f>
        <v/>
      </c>
      <c r="RM137">
        <f>IF($MZ137="","",IFERROR(VLOOKUP(SUBSTITUTE(SUBSTITUTE(SUBSTITUTE($MZ137,"~","~~"),"*","~*"),"?","~?"),'DADOS_MELHORIAS'!$O$2:$X$113,10,FALSE),$MZ137))</f>
        <v/>
      </c>
      <c r="RN137">
        <f>IF($NA137="","",IFERROR(VLOOKUP(SUBSTITUTE(SUBSTITUTE(SUBSTITUTE($NA137,"~","~~"),"*","~*"),"?","~?"),'DADOS_MELHORIAS'!$O$2:$X$113,10,FALSE),$NA137))</f>
        <v/>
      </c>
      <c r="RO137">
        <f>IFERROR(INDEX('DADOS_FORMAS'!$BJ$2:$BJ$21,MATCH(SUBSTITUTE(SUBSTITUTE(SUBSTITUTE($MU137,"~","~~"),"*","~*"),"?","~?"),'DADOS_FORMAS'!$AH$2:$AH$21,0)),"")</f>
        <v/>
      </c>
      <c r="RP137">
        <f>IFERROR(VLOOKUP(SUBSTITUTE(SUBSTITUTE(SUBSTITUTE(IFERROR(INDEX('DADOS_FORMAS'!$AS$2:$AS$21,MATCH(SUBSTITUTE(SUBSTITUTE(SUBSTITUTE($MU137,"~","~~"),"*","~*"),"?","~?"),'DADOS_FORMAS'!$AH$2:$AH$21,0)),""),"~","~~"),"*","~*"),"?","~?"),'DADOS_RESTRICOES'!$M$2:$Q$54,2,FALSE),"")</f>
        <v/>
      </c>
      <c r="RQ137">
        <f>$OK137</f>
        <v/>
      </c>
      <c r="RR137">
        <f>$OL137</f>
        <v/>
      </c>
      <c r="RS137">
        <f>$RP137</f>
        <v/>
      </c>
    </row>
    <row r="138">
      <c r="MN138" s="162" t="inlineStr">
        <is>
          <t>Ficha 11 · Especial 5</t>
        </is>
      </c>
      <c r="MO138" s="164" t="n">
        <v>11</v>
      </c>
      <c r="MP138" s="164" t="n">
        <v>1</v>
      </c>
      <c r="MQ138" s="164" t="n">
        <v>16</v>
      </c>
      <c r="MR138" s="162" t="inlineStr">
        <is>
          <t>ESPECIAL 5</t>
        </is>
      </c>
      <c r="MS138" s="164">
        <f>MAX(1,MIN(7,N('INVOCAÇÕES'!$AB$971)))</f>
        <v/>
      </c>
      <c r="MT138" s="164">
        <f>'INVOCAÇÕES'!$AC$971&amp;""</f>
        <v/>
      </c>
      <c r="MU138" s="164">
        <f>'INVOCAÇÕES'!$AB$976&amp;""</f>
        <v/>
      </c>
      <c r="MV138" s="164">
        <f>'INVOCAÇÕES'!$AB$977&amp;""</f>
        <v/>
      </c>
      <c r="MW138" s="164">
        <f>'INVOCAÇÕES'!$AD$977&amp;""</f>
        <v/>
      </c>
      <c r="MX138" s="164">
        <f>'INVOCAÇÕES'!$AC$980&amp;""</f>
        <v/>
      </c>
      <c r="MY138" s="164">
        <f>'INVOCAÇÕES'!$AC$981&amp;""</f>
        <v/>
      </c>
      <c r="MZ138" s="164">
        <f>'INVOCAÇÕES'!$AC$982&amp;""</f>
        <v/>
      </c>
      <c r="NA138" s="164">
        <f>'INVOCAÇÕES'!$AC$983&amp;""</f>
        <v/>
      </c>
      <c r="NB138" s="164">
        <f>'INVOCAÇÕES'!$AC$984&amp;""</f>
        <v/>
      </c>
      <c r="NC138" s="164">
        <f>'INVOCAÇÕES'!$AC$985&amp;""</f>
        <v/>
      </c>
      <c r="ND138" s="164">
        <f>IF($MT138&lt;&gt;"",1,0)</f>
        <v/>
      </c>
      <c r="NE138" s="164">
        <f>INDEX($FO$2:$FO$13,$MO138)</f>
        <v/>
      </c>
      <c r="NF138" s="164">
        <f>INDEX($FP$2:$FP$13,$MO138)</f>
        <v/>
      </c>
      <c r="NG138" s="164">
        <f>INDEX($FQ$2:$FQ$13,$MO138)</f>
        <v/>
      </c>
      <c r="NH138" s="164">
        <f>INDEX($GB$2:$GB$13,$MO138)</f>
        <v/>
      </c>
      <c r="NI138" s="164">
        <f>INDEX($GC$2:$GC$13,$MO138)</f>
        <v/>
      </c>
      <c r="NJ138" s="164">
        <f>IFERROR(MATCH(SUBSTITUTE(SUBSTITUTE(SUBSTITUTE($MU138,"~","~~"),"*","~*"),"?","~?"),'DADOS_FORMAS'!$FZ$2:$FZ$21,0),0)</f>
        <v/>
      </c>
      <c r="NK138" s="164">
        <f>IFERROR(VLOOKUP(SUBSTITUTE(SUBSTITUTE(SUBSTITUTE($MX138,"~","~~"),"*","~*"),"?","~?"),'DADOS_MELHORIAS'!$AG$2:$AL$113,2,FALSE),"")</f>
        <v/>
      </c>
      <c r="NL138" s="164">
        <f>IFERROR(VLOOKUP(SUBSTITUTE(SUBSTITUTE(SUBSTITUTE($MY138,"~","~~"),"*","~*"),"?","~?"),'DADOS_MELHORIAS'!$AG$2:$AL$113,2,FALSE),"")</f>
        <v/>
      </c>
      <c r="NM138" s="164">
        <f>IFERROR(VLOOKUP(SUBSTITUTE(SUBSTITUTE(SUBSTITUTE($MZ138,"~","~~"),"*","~*"),"?","~?"),'DADOS_MELHORIAS'!$AG$2:$AL$113,2,FALSE),"")</f>
        <v/>
      </c>
      <c r="NN138" s="164">
        <f>IFERROR(VLOOKUP(SUBSTITUTE(SUBSTITUTE(SUBSTITUTE($NA138,"~","~~"),"*","~*"),"?","~?"),'DADOS_MELHORIAS'!$AG$2:$AL$113,2,FALSE),"")</f>
        <v/>
      </c>
      <c r="NO138" s="164">
        <f>IFERROR(VLOOKUP(SUBSTITUTE(SUBSTITUTE(SUBSTITUTE($MX138,"~","~~"),"*","~*"),"?","~?"),'DADOS_MELHORIAS'!$AG$2:$AL$113,3,FALSE),0)</f>
        <v/>
      </c>
      <c r="NP138" s="164">
        <f>IFERROR(VLOOKUP(SUBSTITUTE(SUBSTITUTE(SUBSTITUTE($MY138,"~","~~"),"*","~*"),"?","~?"),'DADOS_MELHORIAS'!$AG$2:$AL$113,3,FALSE),0)</f>
        <v/>
      </c>
      <c r="NQ138" s="164">
        <f>IFERROR(VLOOKUP(SUBSTITUTE(SUBSTITUTE(SUBSTITUTE($MZ138,"~","~~"),"*","~*"),"?","~?"),'DADOS_MELHORIAS'!$AG$2:$AL$113,3,FALSE),0)</f>
        <v/>
      </c>
      <c r="NR138" s="164">
        <f>IFERROR(VLOOKUP(SUBSTITUTE(SUBSTITUTE(SUBSTITUTE($NA138,"~","~~"),"*","~*"),"?","~?"),'DADOS_MELHORIAS'!$AG$2:$AL$113,3,FALSE),0)</f>
        <v/>
      </c>
      <c r="NS138" s="164">
        <f>IF($MS138=0,0,IF($NJ138=0,0,INDEX('DADOS_FORMAS'!$GB$2:$GB$21,$NJ138)))</f>
        <v/>
      </c>
      <c r="NT138" s="164">
        <f>IF(OR($NO138=0,$MS138=0),0,$NO138+3*IF(AND($NK138&lt;&gt;"",COUNTIF(INDEX($RB$2:$RJ$13,$MO138,0),$NK138)&gt;0),1,0))</f>
        <v/>
      </c>
      <c r="NU138" s="164">
        <f>IF(OR($NP138=0,$MS138=0),0,$NP138+3*IF(AND($NL138&lt;&gt;"",COUNTIF(INDEX($RB$2:$RJ$13,$MO138,0),$NL138)&gt;0),1,0))</f>
        <v/>
      </c>
      <c r="NV138" s="164">
        <f>IF(OR($NQ138=0,$MS138=0),0,$NQ138+3*IF(AND($NM138&lt;&gt;"",COUNTIF(INDEX($RB$2:$RJ$13,$MO138,0),$NM138)&gt;0),1,0))</f>
        <v/>
      </c>
      <c r="NW138" s="164">
        <f>IF(OR($NR138=0,$MS138=0),0,$NR138+3*IF(AND($NN138&lt;&gt;"",COUNTIF(INDEX($RB$2:$RJ$13,$MO138,0),$NN138)&gt;0),1,0))</f>
        <v/>
      </c>
      <c r="NX138" s="164">
        <f>IF($NJ138=0,0,IF(INDEX('DADOS_FORMAS'!$GA$2:$GA$21,$NJ138)="",0,IF((COUNTIF(INDEX($EL$2:$EP$13,$MO138,0),INDEX('DADOS_FORMAS'!$GA$2:$GA$21,$NJ138))+COUNTIF(INDEX($QV$2:$QY$13,$MO138,0),INDEX('DADOS_FORMAS'!$GA$2:$GA$21,$NJ138)))=0,1,0)))</f>
        <v/>
      </c>
      <c r="NY138" s="164">
        <f>IF(OR($NO138=0,$NK138=""),0,IF((COUNTIF(INDEX($EL$2:$EP$13,$MO138,0),$NK138)+COUNTIF(INDEX($QV$2:$QY$13,$MO138,0),$NK138))=0,1,0))</f>
        <v/>
      </c>
      <c r="NZ138" s="164">
        <f>IF(OR($NP138=0,$NL138=""),0,IF((COUNTIF(INDEX($EL$2:$EP$13,$MO138,0),$NL138)+COUNTIF(INDEX($QV$2:$QY$13,$MO138,0),$NL138))=0,1,0))</f>
        <v/>
      </c>
      <c r="OA138" s="164">
        <f>IF(OR($NQ138=0,$NM138=""),0,IF((COUNTIF(INDEX($EL$2:$EP$13,$MO138,0),$NM138)+COUNTIF(INDEX($QV$2:$QY$13,$MO138,0),$NM138))=0,1,0))</f>
        <v/>
      </c>
      <c r="OB138" s="164">
        <f>IF(OR($NR138=0,$NN138=""),0,IF((COUNTIF(INDEX($EL$2:$EP$13,$MO138,0),$NN138)+COUNTIF(INDEX($QV$2:$QY$13,$MO138,0),$NN138))=0,1,0))</f>
        <v/>
      </c>
      <c r="OC138" s="164">
        <f>IFERROR(VLOOKUP(SUBSTITUTE(SUBSTITUTE(SUBSTITUTE($MX138,"~","~~"),"*","~*"),"?","~?"),'DADOS_MELHORIAS'!$AG$2:$AL$113,4,FALSE),0)+IFERROR(VLOOKUP(SUBSTITUTE(SUBSTITUTE(SUBSTITUTE($MY138,"~","~~"),"*","~*"),"?","~?"),'DADOS_MELHORIAS'!$AG$2:$AL$113,4,FALSE),0)+IFERROR(VLOOKUP(SUBSTITUTE(SUBSTITUTE(SUBSTITUTE($MZ138,"~","~~"),"*","~*"),"?","~?"),'DADOS_MELHORIAS'!$AG$2:$AL$113,4,FALSE),0)+IFERROR(VLOOKUP(SUBSTITUTE(SUBSTITUTE(SUBSTITUTE($NA138,"~","~~"),"*","~*"),"?","~?"),'DADOS_MELHORIAS'!$AG$2:$AL$113,4,FALSE),0)</f>
        <v/>
      </c>
      <c r="OD138" s="164">
        <f>IFERROR(VLOOKUP(SUBSTITUTE(SUBSTITUTE(SUBSTITUTE($MX138,"~","~~"),"*","~*"),"?","~?"),'DADOS_MELHORIAS'!$AG$2:$AL$113,6,FALSE),0)+IFERROR(VLOOKUP(SUBSTITUTE(SUBSTITUTE(SUBSTITUTE($MY138,"~","~~"),"*","~*"),"?","~?"),'DADOS_MELHORIAS'!$AG$2:$AL$113,6,FALSE),0)+IFERROR(VLOOKUP(SUBSTITUTE(SUBSTITUTE(SUBSTITUTE($MZ138,"~","~~"),"*","~*"),"?","~?"),'DADOS_MELHORIAS'!$AG$2:$AL$113,6,FALSE),0)+IFERROR(VLOOKUP(SUBSTITUTE(SUBSTITUTE(SUBSTITUTE($NA138,"~","~~"),"*","~*"),"?","~?"),'DADOS_MELHORIAS'!$AG$2:$AL$113,6,FALSE),0)+IFERROR(N(AND(INDEX('DADOS_FORMAS'!$AO$2:$AO$21,MATCH(SUBSTITUTE(SUBSTITUTE(SUBSTITUTE($MU138,"~","~~"),"*","~*"),"?","~?"),'DADOS_FORMAS'!$AH$2:$AH$21,0))="Acerto",$OH138=1)),0)</f>
        <v/>
      </c>
      <c r="OE138" s="164">
        <f>TEXTJOIN(", ",TRUE,IF(IFERROR(VLOOKUP(SUBSTITUTE(SUBSTITUTE(SUBSTITUTE($MX138,"~","~~"),"*","~*"),"?","~?"),'DADOS_MELHORIAS'!$AG$2:$AL$113,5,FALSE),0)=1,$MX138,""),IF(IFERROR(VLOOKUP(SUBSTITUTE(SUBSTITUTE(SUBSTITUTE($MY138,"~","~~"),"*","~*"),"?","~?"),'DADOS_MELHORIAS'!$AG$2:$AL$113,5,FALSE),0)=1,$MY138,""),IF(IFERROR(VLOOKUP(SUBSTITUTE(SUBSTITUTE(SUBSTITUTE($MZ138,"~","~~"),"*","~*"),"?","~?"),'DADOS_MELHORIAS'!$AG$2:$AL$113,5,FALSE),0)=1,$MZ138,""),IF(IFERROR(VLOOKUP(SUBSTITUTE(SUBSTITUTE(SUBSTITUTE($NA138,"~","~~"),"*","~*"),"?","~?"),'DADOS_MELHORIAS'!$AG$2:$AL$113,5,FALSE),0)=1,$NA138,""))</f>
        <v/>
      </c>
      <c r="OF138" s="164">
        <f>IF($NJ138=0,0,INDEX('DADOS_FORMAS'!$GC$2:$GC$21,$NJ138))</f>
        <v/>
      </c>
      <c r="OG138" s="164">
        <f>IF($NJ138=0,0,INDEX('DADOS_FORMAS'!$GD$2:$GD$21,$NJ138))</f>
        <v/>
      </c>
      <c r="OH138" s="164">
        <f>IF($NJ138=0,0,INDEX('DADOS_FORMAS'!$GF$2:$GF$21,$NJ138))</f>
        <v/>
      </c>
      <c r="OI138" s="164">
        <f>IFERROR(VLOOKUP(SUBSTITUTE(SUBSTITUTE(SUBSTITUTE($NB138,"~","~~"),"*","~*"),"?","~?"),'DADOS_RESTRICOES'!$M$2:$Q$54,3,FALSE),0)</f>
        <v/>
      </c>
      <c r="OJ138" s="164">
        <f>IFERROR(VLOOKUP(SUBSTITUTE(SUBSTITUTE(SUBSTITUTE($NC138,"~","~~"),"*","~*"),"?","~?"),'DADOS_RESTRICOES'!$M$2:$Q$54,3,FALSE),0)</f>
        <v/>
      </c>
      <c r="OK138" s="164">
        <f>IFERROR(VLOOKUP(SUBSTITUTE(SUBSTITUTE(SUBSTITUTE($NB138,"~","~~"),"*","~*"),"?","~?"),'DADOS_RESTRICOES'!$M$2:$Q$54,2,FALSE),"")</f>
        <v/>
      </c>
      <c r="OL138" s="164">
        <f>IFERROR(VLOOKUP(SUBSTITUTE(SUBSTITUTE(SUBSTITUTE($NC138,"~","~~"),"*","~*"),"?","~?"),'DADOS_RESTRICOES'!$M$2:$Q$54,2,FALSE),"")</f>
        <v/>
      </c>
      <c r="OM138" s="164">
        <f>COUNTIF($NS138:$NW138,1)</f>
        <v/>
      </c>
      <c r="ON138" s="164">
        <f>COUNTIF($NS138:$NW138,2)</f>
        <v/>
      </c>
      <c r="OO138" s="164">
        <f>COUNTIF($NS138:$NW138,3)</f>
        <v/>
      </c>
      <c r="OP138" s="164">
        <f>COUNTIF($NS138:$NW138,4)</f>
        <v/>
      </c>
      <c r="OQ138" s="164">
        <f>COUNTIF($NS138:$NW138,5)</f>
        <v/>
      </c>
      <c r="OR138" s="164">
        <f>COUNTIF($NS138:$NW138,6)</f>
        <v/>
      </c>
      <c r="OS138" s="164">
        <f>COUNTIF($OI138:$OJ138,1)+IF(IFERROR(INDEX('DADOS_FORMAS'!$AS$2:$AS$21,MATCH(SUBSTITUTE(SUBSTITUTE(SUBSTITUTE($MU138,"~","~~"),"*","~*"),"?","~?"),'DADOS_FORMAS'!$AH$2:$AH$21,0)),"")="",0,IFERROR(N(VLOOKUP(SUBSTITUTE(SUBSTITUTE(SUBSTITUTE(IFERROR(INDEX('DADOS_FORMAS'!$AS$2:$AS$21,MATCH(SUBSTITUTE(SUBSTITUTE(SUBSTITUTE($MU138,"~","~~"),"*","~*"),"?","~?"),'DADOS_FORMAS'!$AH$2:$AH$21,0)),""),"~","~~"),"*","~*"),"?","~?"),'DADOS_RESTRICOES'!$M$2:$Q$54,3,FALSE)=1),0))</f>
        <v/>
      </c>
      <c r="OT138" s="164">
        <f>COUNTIF($OI138:$OJ138,2)+IF(IFERROR(INDEX('DADOS_FORMAS'!$AS$2:$AS$21,MATCH(SUBSTITUTE(SUBSTITUTE(SUBSTITUTE($MU138,"~","~~"),"*","~*"),"?","~?"),'DADOS_FORMAS'!$AH$2:$AH$21,0)),"")="",0,IFERROR(N(VLOOKUP(SUBSTITUTE(SUBSTITUTE(SUBSTITUTE(IFERROR(INDEX('DADOS_FORMAS'!$AS$2:$AS$21,MATCH(SUBSTITUTE(SUBSTITUTE(SUBSTITUTE($MU138,"~","~~"),"*","~*"),"?","~?"),'DADOS_FORMAS'!$AH$2:$AH$21,0)),""),"~","~~"),"*","~*"),"?","~?"),'DADOS_RESTRICOES'!$M$2:$Q$54,3,FALSE)=2),0))</f>
        <v/>
      </c>
      <c r="OU138" s="164">
        <f>COUNTIF($MX138:$NA138,"?*")</f>
        <v/>
      </c>
      <c r="OV138" s="164">
        <f>COUNTIF($NB138:$NC138,"?*")+$OF138</f>
        <v/>
      </c>
      <c r="OW138" s="164">
        <f>IF($MS138=0,0,SUMPRODUCT($OM138:$OR138,INDEX($I$2:$N$8,MAX(1,$MS138),0)))</f>
        <v/>
      </c>
      <c r="OX138" s="164">
        <f>IF($MS138=0,0,$OS138*CEILING($MS138/2,1)+$OT138*$MS138)</f>
        <v/>
      </c>
      <c r="OY138" s="164">
        <f>MIN(2*$MS138,$OX138)</f>
        <v/>
      </c>
      <c r="OZ138" s="164">
        <f>MIN($OY138,$OW138-IF($NS138=0,0,INDEX($I$2:$N$8,MAX(1,$MS138),$NS138)))</f>
        <v/>
      </c>
      <c r="PA138" s="164">
        <f>$OY138-$OZ138</f>
        <v/>
      </c>
      <c r="PB138" s="164">
        <f>IF($MS138=0,0,INDEX($P$2:$P$8,MAX(1,$MS138)))</f>
        <v/>
      </c>
      <c r="PC138" s="164">
        <f>$PB138-$OW138+$OZ138</f>
        <v/>
      </c>
      <c r="PD138" s="164">
        <f>IF($MS138=0,MAX(0,$NG138-IF(AND($OU138&gt;0,COUNTIF($NB138:$NC138,"?*")=0),1,0)),MAX(0,$PC138))</f>
        <v/>
      </c>
      <c r="PE138" s="164">
        <f>IF($MS138=0,0,(IF(COUNTIF($RK138:$RN138,"Salto")&gt;0,1,0)+IF(COUNTIF($RK138:$RN138,"Queima")&gt;0,1,0)+IF(COUNTIF($RK138:$RN138,"Estilhaço")&gt;0,1,0))*FLOOR($PD138/2,1))</f>
        <v/>
      </c>
      <c r="PF138" s="164">
        <f>MAX(0,2-SUMPRODUCT($OM138:$OR138,$I$2:$N$2)+MIN(2,$OS138*1+$OT138*1,SUMPRODUCT($OM138:$OR138,$I$2:$N$2)-IF($NS138=0,0,INDEX($I$2:$N$2,1,$NS138))))</f>
        <v/>
      </c>
      <c r="PG138" s="164">
        <f>MAX(0,4-SUMPRODUCT($OM138:$OR138,$I$3:$N$3)+MIN(4,$OS138*1+$OT138*2,SUMPRODUCT($OM138:$OR138,$I$3:$N$3)-IF($NS138=0,0,INDEX($I$3:$N$3,1,$NS138))))</f>
        <v/>
      </c>
      <c r="PH138" s="164">
        <f>MAX(0,6-SUMPRODUCT($OM138:$OR138,$I$4:$N$4)+MIN(6,$OS138*2+$OT138*3,SUMPRODUCT($OM138:$OR138,$I$4:$N$4)-IF($NS138=0,0,INDEX($I$4:$N$4,1,$NS138))))</f>
        <v/>
      </c>
      <c r="PI138" s="164">
        <f>MAX(0,9-SUMPRODUCT($OM138:$OR138,$I$5:$N$5)+MIN(8,$OS138*2+$OT138*4,SUMPRODUCT($OM138:$OR138,$I$5:$N$5)-IF($NS138=0,0,INDEX($I$5:$N$5,1,$NS138))))</f>
        <v/>
      </c>
      <c r="PJ138" s="164">
        <f>MAX(0,11-SUMPRODUCT($OM138:$OR138,$I$6:$N$6)+MIN(10,$OS138*3+$OT138*5,SUMPRODUCT($OM138:$OR138,$I$6:$N$6)-IF($NS138=0,0,INDEX($I$6:$N$6,1,$NS138))))</f>
        <v/>
      </c>
      <c r="PK138" s="164">
        <f>MAX(0,13-SUMPRODUCT($OM138:$OR138,$I$7:$N$7)+MIN(12,$OS138*3+$OT138*6,SUMPRODUCT($OM138:$OR138,$I$7:$N$7)-IF($NS138=0,0,INDEX($I$7:$N$7,1,$NS138))))</f>
        <v/>
      </c>
      <c r="PL138" s="164">
        <f>MAX(0,16-SUMPRODUCT($OM138:$OR138,$I$8:$N$8)+MIN(14,$OS138*4+$OT138*7,SUMPRODUCT($OM138:$OR138,$I$8:$N$8)-IF($NS138=0,0,INDEX($I$8:$N$8,1,$NS138))))</f>
        <v/>
      </c>
      <c r="PM138" s="164">
        <f>IF($OG138=2,3*$PF138&amp;" de vida temp.",IF($OG138=3,"sem dano",IF($PF138=0,IF($OG138=1,"sem cura","sem dano"),IF($OG138=1,"cura ","")&amp;$PF138&amp;"d8")))</f>
        <v/>
      </c>
      <c r="PN138" s="164">
        <f>IF($OG138=2,3*$PG138&amp;" de vida temp.",IF($OG138=3,"sem dano",IF($PG138=0,IF($OG138=1,"sem cura","sem dano"),IF($OG138=1,"cura ","")&amp;$PG138&amp;"d8")))</f>
        <v/>
      </c>
      <c r="PO138" s="164">
        <f>IF($OG138=2,3*$PH138&amp;" de vida temp.",IF($OG138=3,"sem dano",IF($PH138=0,IF($OG138=1,"sem cura","sem dano"),IF($OG138=1,"cura ","")&amp;$PH138&amp;"d8")))</f>
        <v/>
      </c>
      <c r="PP138" s="164">
        <f>IF($OG138=2,3*$PI138&amp;" de vida temp.",IF($OG138=3,"sem dano",IF($PI138=0,IF($OG138=1,"sem cura","sem dano"),IF($OG138=1,"cura ","")&amp;$PI138&amp;"d8")))</f>
        <v/>
      </c>
      <c r="PQ138" s="164">
        <f>IF($OG138=2,3*$PJ138&amp;" de vida temp.",IF($OG138=3,"sem dano",IF($PJ138=0,IF($OG138=1,"sem cura","sem dano"),IF($OG138=1,"cura ","")&amp;$PJ138&amp;"d8")))</f>
        <v/>
      </c>
      <c r="PR138" s="164">
        <f>IF($OG138=2,3*$PK138&amp;" de vida temp.",IF($OG138=3,"sem dano",IF($PK138=0,IF($OG138=1,"sem cura","sem dano"),IF($OG138=1,"cura ","")&amp;$PK138&amp;"d8")))</f>
        <v/>
      </c>
      <c r="PS138" s="164">
        <f>IF($OG138=2,3*$PL138&amp;" de vida temp.",IF($OG138=3,"sem dano",IF($PL138=0,IF($OG138=1,"sem cura","sem dano"),IF($OG138=1,"cura ","")&amp;$PL138&amp;"d8")))</f>
        <v/>
      </c>
      <c r="PT138" s="164">
        <f>IF($ND138=0,"",TEXTJOIN(" · ",TRUE,IF($ND138=0,"",TEXTJOIN(" · ",TRUE,IF($ND138=0,"",TEXTJOIN(" · ",TRUE,IF($MQ138&gt;$NE138,"Este lugar abre no nível "&amp;$MQ138,""),IF($MS138&gt;$NF138,"Classe "&amp;$MS138&amp;": o nível "&amp;$NE138&amp;" libera até a "&amp;$NF138,""),IF($NX138=1,"A Forma "&amp;$MU138&amp;" pede "&amp;INDEX('DADOS_FORMAS'!$GA$2:$GA$21,$NJ138)&amp;" aberta",""),IF(AND($MS138=0,$NJ138&gt;0,IF($NJ138=0,0,INDEX('DADOS_FORMAS'!$GJ$2:$GJ$21,$NJ138))=0),$MU138&amp;" não existe na Classe 0",""),IF($NY138=1,"Família Fechada: "&amp;$MX138,""),IF($NZ138=1,"Família Fechada: "&amp;$MY138,""),IF($OA138=1,"Família Fechada: "&amp;$MZ138,""),IF($OB138=1,"Família Fechada: "&amp;$NA138,""),IF(AND($MS138&gt;0,$OU138&gt;INDEX($O$2:$O$8,MAX(1,$MS138))),$OU138&amp;" Melhorias: a Classe "&amp;$MS138&amp;" aceita "&amp;INDEX($O$2:$O$8,MAX(1,$MS138)),""),IF(AND($MS138=0,$OU138&gt;1),"A básica aceita uma Melhoria",""),IF(AND($MS138=0,COUNTIF($NO138:$NR138,"&gt;1")&gt;0),"A básica só aceita Melhoria Leve",""),IF(AND($MS138&gt;0,$OV138&gt;2),$OV138&amp;" Restrições"&amp;IF($OF138=1,", contando a que a Forma "&amp;$MU138&amp;" já traz","")&amp;": o limite é 2",""),IF(AND($MS138=0,COUNTIF($NB138:$NC138,"?*")&gt;1),"A básica aceita uma Restrição Leve",""),IF(AND($MS138=0,COUNTIF($OI138:$OJ138,2)&gt;0),"A básica só aceita Restrição Leve",""),IF(AND($MS138&gt;0,$PC138&lt;0),"Orçamento estourado: faltam "&amp;(-$PC138)&amp;IF($PC138&lt;-1," pontos"," ponto"),""),IF(IFERROR(VLOOKUP(SUBSTITUTE(SUBSTITUTE(SUBSTITUTE($NB138,"~","~~"),"*","~*"),"?","~?"),'DADOS_RESTRICOES'!$M$2:$Q$54,4,FALSE),0)+IFERROR(VLOOKUP(SUBSTITUTE(SUBSTITUTE(SUBSTITUTE($NC138,"~","~~"),"*","~*"),"?","~?"),'DADOS_RESTRICOES'!$M$2:$Q$54,4,FALSE),0)&gt;1,$OK138&amp;" e "&amp;$OL138&amp;" são as duas de frequência",""),IF(AND((COUNTIF($RK138:$RN138,"Rápido")+COUNTIF($OK138:$OL138,"Rápido"))&gt;0,(COUNTIF($MX138:$NA138,"Atrasar")+COUNTIF($OK138:$OL138,"Atrasar"))&gt;0),"Rápido não entra com Atrasar",""),IF(AND((COUNTIF($RK138:$RN138,"Reação")+COUNTIF($OK138:$OL138,"Reação"))&gt;0,(COUNTIF($RK138:$RN138,"Rápido")+COUNTIF($OK138:$OL138,"Rápido"))&gt;0),"Reação não entra com Rápido",""),IF(AND((COUNTIF($RK138:$RN138,"Reação")+COUNTIF($OK138:$OL138,"Reação"))&gt;0,(COUNTIF($RK138:$RN138,"Armado")+COUNTIF($OK138:$OL138,"Armado"))&gt;0),"Reação não entra com Armado",""),IF(AND((COUNTIF($RK138:$RN138,"Reação")+COUNTIF($OK138:$OL138,"Reação"))&gt;0,(COUNTIF($MX138:$NA138,"Atrasar")+COUNTIF($OK138:$OL138,"Atrasar"))&gt;0),"Reação não entra com Atrasar",""),IF(AND((COUNTIF($RK138:$RN138,"Reação")+COUNTIF($OK138:$OL138,"Reação"))&gt;0,(COUNTIF($MX138:$NA138,"Parado")+COUNTIF($OK138:$OL138,"Parado"))&gt;0),"Reação não entra com Parado",""),IF(AND((COUNTIF($MX138:$NA138,"Atrasar")+COUNTIF($OK138:$OL138,"Atrasar"))&gt;0,(COUNTIF($MX138:$NA138,"Parado")+COUNTIF($OK138:$OL138,"Parado"))&gt;0),"Atrasar não entra com Parado",""),IF(AND((COUNTIF($RK138:$RN138,"Armado")+COUNTIF($OK138:$OL138,"Armado"))&gt;0,(COUNTIF($MX138:$NA138,"Carregar")+COUNTIF($OK138:$OL138,"Carregar"))&gt;0),"Armado não entra com Carregar",""),IF(AND(COUNTIF($OK138:$OL138,"Corpo a Corpo")&gt;0,$OF138=0,OR($RO138="Cone",$RO138="Linha")),"Corpo a Corpo não entra em "&amp;$MU138,""),IF(AND(COUNTIF($OK138:$OL138,"Corpo a Corpo")&gt;0,$RP138="Corpo a Corpo"),"A Forma "&amp;$MU138&amp;" já traz o Corpo a Corpo",""),IF(AND(COUNTIF($OK138:$OL138,"Tudo ou Nada")&gt;0,$OH138=0),"Tudo ou Nada só entra em habilidade de Teste de Resistência",""),IF(AND(COUNTIF($RK138:$RN138,"Inescapável")&gt;0,OR($OU138&gt;1,$OV138&gt;0)),"Inescapável não aceita outra peça",""),IF(AND($MS138&gt;0,$PD138*IF(COUNTIF($RK138:$RN138,"Remate")&gt;0,1.25,1)+$PE138&gt;4*$MS138),($PD138*IF(COUNTIF($RK138:$RN138,"Remate")&gt;0,1.25,1)+$PE138)&amp;" dados somando repetições"&amp;IF(COUNTIF($RK138:$RN138,"Remate")&gt;0," e o Remate","")&amp;": o teto da Classe "&amp;$MS138&amp;" é "&amp;4*$MS138,""))),IF(AND($MX138&lt;&gt;"",COUNTIF('DADOS_MELHORIAS'!$O$2:$O$113,SUBSTITUTE(SUBSTITUTE(SUBSTITUTE($MX138,"~","~~"),"*","~*"),"?","~?"))=0),"Melhoria não cadastrada ou com erro: "&amp;$MX138,""),IF(AND($MY138&lt;&gt;"",COUNTIF('DADOS_MELHORIAS'!$O$2:$O$113,SUBSTITUTE(SUBSTITUTE(SUBSTITUTE($MY138,"~","~~"),"*","~*"),"?","~?"))=0),"Melhoria não cadastrada ou com erro: "&amp;$MY138,""),IF(AND($MZ138&lt;&gt;"",COUNTIF('DADOS_MELHORIAS'!$O$2:$O$113,SUBSTITUTE(SUBSTITUTE(SUBSTITUTE($MZ138,"~","~~"),"*","~*"),"?","~?"))=0),"Melhoria não cadastrada ou com erro: "&amp;$MZ138,""),IF(AND($NA138&lt;&gt;"",COUNTIF('DADOS_MELHORIAS'!$O$2:$O$113,SUBSTITUTE(SUBSTITUTE(SUBSTITUTE($NA138,"~","~~"),"*","~*"),"?","~?"))=0),"Melhoria não cadastrada ou com erro: "&amp;$NA138,""),IF(AND($NB138&lt;&gt;"",COUNTIF('DADOS_RESTRICOES'!$M$2:$M$54,SUBSTITUTE(SUBSTITUTE(SUBSTITUTE($NB138,"~","~~"),"*","~*"),"?","~?"))=0),"Restrição não cadastrada ou com erro: "&amp;$NB138,""),IF(AND($NC138&lt;&gt;"",COUNTIF('DADOS_RESTRICOES'!$M$2:$M$54,SUBSTITUTE(SUBSTITUTE(SUBSTITUTE($NC138,"~","~~"),"*","~*"),"?","~?"))=0),"Restrição não cadastrada ou com erro: "&amp;$NC138,""))),IF(AND($MU138&lt;&gt;"",COUNTIF('DADOS_FORMAS'!$AH$2:$AH$21,SUBSTITUTE(SUBSTITUTE(SUBSTITUTE($MU138,"~","~~"),"*","~*"),"?","~?"))=0),"Forma não cadastrada ou com erro: "&amp;$MU138,""),IF(AND(IFERROR(INDEX('DADOS_FORMAS'!$AS$2:$AS$21,MATCH(SUBSTITUTE(SUBSTITUTE(SUBSTITUTE($MU138,"~","~~"),"*","~*"),"?","~?"),'DADOS_FORMAS'!$AH$2:$AH$21,0)),"")&lt;&gt;"",OR(IFERROR(VLOOKUP(SUBSTITUTE(SUBSTITUTE(SUBSTITUTE(IFERROR(INDEX('DADOS_FORMAS'!$AS$2:$AS$21,MATCH(SUBSTITUTE(SUBSTITUTE(SUBSTITUTE($MU138,"~","~~"),"*","~*"),"?","~?"),'DADOS_FORMAS'!$AH$2:$AH$21,0)),""),"~","~~"),"*","~*"),"?","~?"),'DADOS_RESTRICOES'!$M$2:$Q$54,2,FALSE),"")=$OK138,IFERROR(VLOOKUP(SUBSTITUTE(SUBSTITUTE(SUBSTITUTE(IFERROR(INDEX('DADOS_FORMAS'!$AS$2:$AS$21,MATCH(SUBSTITUTE(SUBSTITUTE(SUBSTITUTE($MU138,"~","~~"),"*","~*"),"?","~?"),'DADOS_FORMAS'!$AH$2:$AH$21,0)),""),"~","~~"),"*","~*"),"?","~?"),'DADOS_RESTRICOES'!$M$2:$Q$54,2,FALSE),"")=$OL138)),"Restrição repetida, contando a embutida",""),IF(IF(IFERROR(INDEX('DADOS_FORMAS'!$AS$2:$AS$21,MATCH(SUBSTITUTE(SUBSTITUTE(SUBSTITUTE($MU138,"~","~~"),"*","~*"),"?","~?"),'DADOS_FORMAS'!$AH$2:$AH$21,0)),"")="",0,IFERROR(N(VLOOKUP(SUBSTITUTE(SUBSTITUTE(SUBSTITUTE(IFERROR(INDEX('DADOS_FORMAS'!$AS$2:$AS$21,MATCH(SUBSTITUTE(SUBSTITUTE(SUBSTITUTE($MU138,"~","~~"),"*","~*"),"?","~?"),'DADOS_FORMAS'!$AH$2:$AH$21,0)),""),"~","~~"),"*","~*"),"?","~?"),'DADOS_RESTRICOES'!$M$2:$Q$54,4,FALSE)=1),0))+IF($NB138="",0,IFERROR(N(VLOOKUP(SUBSTITUTE(SUBSTITUTE(SUBSTITUTE($NB138,"~","~~"),"*","~*"),"?","~?"),'DADOS_RESTRICOES'!$M$2:$Q$54,4,FALSE)=1),0))+IF($NC138="",0,IFERROR(N(VLOOKUP(SUBSTITUTE(SUBSTITUTE(SUBSTITUTE($NC138,"~","~~"),"*","~*"),"?","~?"),'DADOS_RESTRICOES'!$M$2:$Q$54,4,FALSE)=1),0))&gt;1,"Duas Restrições de frequência, contando a embutida",""),IF(AND(IFERROR(VLOOKUP(SUBSTITUTE(SUBSTITUTE(SUBSTITUTE(IFERROR(INDEX('DADOS_FORMAS'!$AS$2:$AS$21,MATCH(SUBSTITUTE(SUBSTITUTE(SUBSTITUTE($MU138,"~","~~"),"*","~*"),"?","~?"),'DADOS_FORMAS'!$AH$2:$AH$21,0)),""),"~","~~"),"*","~*"),"?","~?"),'DADOS_RESTRICOES'!$M$2:$Q$54,2,FALSE),"")="Tudo ou Nada",$OH138=0),"Tudo ou Nada exige TR",""),IF(AND(IFERROR(VLOOKUP(SUBSTITUTE(SUBSTITUTE(SUBSTITUTE(IFERROR(INDEX('DADOS_FORMAS'!$AS$2:$AS$21,MATCH(SUBSTITUTE(SUBSTITUTE(SUBSTITUTE($MU138,"~","~~"),"*","~*"),"?","~?"),'DADOS_FORMAS'!$AH$2:$AH$21,0)),""),"~","~~"),"*","~*"),"?","~?"),'DADOS_RESTRICOES'!$M$2:$Q$54,2,FALSE),"")="Corpo a Corpo",OR($RO138="Cone",$RO138="Linha")),"Corpo a Corpo não entra em Cone/Linha","")))</f>
        <v/>
      </c>
      <c r="PU138" s="164">
        <f>IF($PT138="",0,(LEN($PT138)-LEN(SUBSTITUTE($PT138," · ","")))/3+1)</f>
        <v/>
      </c>
      <c r="PV138" s="164">
        <f>IF($ND138=0,"",TEXTJOIN(" · ",TRUE,IF($OX138&gt;2*$MS138,"A devolução parou no teto de "&amp;2*$MS138,""),IF($PA138&gt;0,"Devolução perdida: "&amp;$PA138&amp;IF($PA138&gt;1," pontos"," ponto")&amp;" sem Melhoria para pagar",""),IF(AND($OC138&gt;0,AND($MS138&gt;0,$OG138=0),$PD138=0),"Controle sem dano: uma rodada a mais e CD +2",""),IF(AND($OC138&gt;0,AND($MS138&gt;0,$OG138=0),$PD138&gt;0,$PD138&lt;=$MS138),"Controle com saldo até a Classe: uma rodada a mais",""),IF(AND($MS138&gt;0,$OE138&lt;&gt;""),"Efeito de "&amp;$OE138&amp;" pela Classe "&amp;MAX(1,$MS138-1),"")))</f>
        <v/>
      </c>
      <c r="PW138" s="164">
        <f>IF($PV138="",0,(LEN($PV138)-LEN(SUBSTITUTE($PV138," · ","")))/3+1)</f>
        <v/>
      </c>
      <c r="PX138" s="164">
        <f>IF($ND138=0,IF($OU138+COUNTIF($NB138:$NC138,"?*")&gt;0,"Dê um nome",""),IF($PU138&gt;0,"⚠ "&amp;$PU138&amp;IF($PU138&gt;1," erros"," erro"),IF($PW138&gt;0,"! "&amp;$PW138&amp;IF($PW138&gt;1," avisos"," aviso"),"Na regra")))</f>
        <v/>
      </c>
      <c r="PY138" s="164">
        <f>IF($ND138=0,"",IF($PU138+$PW138=0,"Dentro das regras que a ficha confere",$PT138&amp;IF(AND($PU138&gt;0,$PW138&gt;0)," · ","")&amp;$PV138))</f>
        <v/>
      </c>
      <c r="PZ138" s="164">
        <f>IF($MQ138&gt;$NE138,$MR138&amp;" · ABRE NO NÍVEL "&amp;$MQ138,$MR138)</f>
        <v/>
      </c>
      <c r="QA138" s="164">
        <f>IF($ND138=0,"",IF($MS138=0,"Sem PE",3*$MS138&amp;" PE"))</f>
        <v/>
      </c>
      <c r="QB138" s="164">
        <f>IF($ND138=0,"",IF($MS138=0,"A atuação básica dela",IF(COUNTIF($RQ138:$RS138,"Atrasar")&gt;0,"Sua Ação Completa",IF(COUNTIF($RK138:$RN138,"Rápido")&gt;0,"Sua Bônus",IF(COUNTIF($RK138:$RN138,"Reação")&gt;0,"Sua Reação","Sua Padrão")))&amp;" + a básica dela"&amp;IF(COUNTIF($RK138:$RN138,"Reação")&gt;0," e a coletiva","")&amp;IF(COUNTIF($RQ138:$RS138,"Carregar")&gt;0," · em dois turnos","")))</f>
        <v/>
      </c>
      <c r="QC138" s="164">
        <f>IF($MW138&lt;&gt;"",$MW138,IF($NJ138=0,"",INDEX('DADOS_FORMAS'!$GE$2:$GE$21,$NJ138)))</f>
        <v/>
      </c>
      <c r="QD138" s="164">
        <f>IF(OR($ND138=0,$NJ138=0),"",IF(COUNTIF($RK138:$RN138,"Inescapável")&gt;0,"Automático",IF($QC138="Ataque",IF($NH138="","Ataque","Ataque "&amp;IF(($NH138+2*IF(COUNTIF($RK138:$RN138,"Precisão")&gt;0,1,0))&gt;=0,"+","−")&amp;ABS(($NH138+2*IF(COUNTIF($RK138:$RN138,"Precisão")&gt;0,1,0))))&amp;IF($OD138&gt;0," · TR"&amp;IF($NI138="",""," CD "&amp;$NI138),""),IF(LEFT($QC138,2)="TR",$QC138&amp;IF($NI138="",""," · CD "&amp;$NI138)&amp;IF(COUNTIF($RK138:$RN138,"Certeiro")&gt;0," · metade",""),"Sem rolagem"))))</f>
        <v/>
      </c>
      <c r="QE138" s="164">
        <f>IF(OR($ND138=0,$NJ138=0),"",IF($MS138=0,IF(OR($OG138&gt;=1,$PD138=0),"Sem dano",$PD138&amp;"d6"&amp;IF($MV138="",""," "&amp;$MV138)),IF(OR($OG138&gt;=1,$PD138=0),UPPER(LEFT(INDEX($PM138:$PS138,1,MAX(1,$MS138)),1))&amp;MID(INDEX($PM138:$PS138,1,MAX(1,$MS138)),2,99),UPPER(LEFT(INDEX($PM138:$PS138,1,MAX(1,$MS138)),1))&amp;MID(INDEX($PM138:$PS138,1,MAX(1,$MS138)),2,99)&amp;IF($MV138="",""," "&amp;$MV138)&amp;IF($PE138&gt;0," · +"&amp;$PE138&amp;"d8",""))))</f>
        <v/>
      </c>
      <c r="QF138" s="164">
        <f>COUNTIF($RK138:$RN138,"Longe")+3*COUNTIF($RK138:$RN138,"Muito Longe")</f>
        <v/>
      </c>
      <c r="QG138" s="164">
        <f>COUNTIF($RK138:$RN138,"Maior")+3*COUNTIF($RK138:$RN138,"Muito Maior")</f>
        <v/>
      </c>
      <c r="QH138" s="164">
        <f>IF($NJ138=0,0,CHOOSE(1+INDEX('DADOS_FORMAS'!$GG$2:$GG$21,$NJ138),0,$QF138,$QG138,$QF138+$QG138))</f>
        <v/>
      </c>
      <c r="QI138" s="164">
        <f>IF($NJ138=0,0,CHOOSE(1+INDEX('DADOS_FORMAS'!$GH$2:$GH$21,$NJ138),0,$QF138,$QG138,$QF138+$QG138))</f>
        <v/>
      </c>
      <c r="QJ138" s="164">
        <f>IF(OR($ND138=0,$NJ138=0),"",INDEX('DADOS_FORMAS'!$HU$2:$HZ$81,($NJ138-1)*4+IF($MS138=0,1,IF($MS138&lt;=5,2,IF($MS138=6,3,4))),1+MIN(5,$QH138))&amp;INDEX('DADOS_FORMAS'!$IA$2:$IF$81,($NJ138-1)*4+IF($MS138=0,1,IF($MS138&lt;=5,2,IF($MS138=6,3,4))),1+MIN(5,$QI138))&amp;IF(INDEX('DADOS_FORMAS'!$GI$2:$GI$21,$NJ138)=1,IF(COUNTIF($RK138:$RN138,"Mais Um")&gt;0," · +"&amp;COUNTIF($RK138:$RN138,"Mais Um")&amp;IF(COUNTIF($RK138:$RN138,"Mais Um")&gt;1," alvos"," alvo"),"")&amp;IF(COUNTIF($RK138:$RN138,"Rajada")&gt;0,IF($MS138=0," · 1 tiro"," · "&amp;(MAX(1,$MS138-1)+1)&amp;" tiros"),""),""))</f>
        <v/>
      </c>
      <c r="QK138" s="164">
        <f>IF($ND138=0,"",IF($MS138=0,$NG138&amp;"d6"&amp;IF($OU138&gt;0," − 1 = "&amp;$PD138&amp;"d6"," da básica do nível "&amp;$NE138),$PB138&amp;" − "&amp;$OW138&amp;" + "&amp;$OZ138&amp;" = "&amp;$PC138&amp;" · teto "&amp;4*$MS138&amp;"d8"&amp;IF($OF138=1," · a Forma devolve "&amp;$MS138,"")&amp;IF($PA138&gt;0," · perde "&amp;$PA138,"")))</f>
        <v/>
      </c>
      <c r="QL138" s="164">
        <f>IF($ND138=0,"",IF($MS138=0,"A básica não amplia: os dados dela sobem com o nível",IF($MS138&gt;=$NF138,"Já está na maior Classe que o nível liberou",TEXTJOIN(" · ",TRUE,IF(AND(2&gt;$MS138,2&lt;=$NF138),"2 → "&amp;$PN138&amp;", 6 PE",""),IF(AND(3&gt;$MS138,3&lt;=$NF138),"3 → "&amp;$PO138&amp;", 9 PE",""),IF(AND(4&gt;$MS138,4&lt;=$NF138),"4 → "&amp;$PP138&amp;", 12 PE",""),IF(AND(5&gt;$MS138,5&lt;=$NF138),"5 → "&amp;$PQ138&amp;", 15 PE",""),IF(AND(6&gt;$MS138,6&lt;=$NF138),"6 → "&amp;$PR138&amp;", 18 PE",""),IF(AND(7&gt;$MS138,7&lt;=$NF138),"7 → "&amp;$PS138&amp;", 21 PE","")))))</f>
        <v/>
      </c>
      <c r="QM138" s="164">
        <f>IF(OR($ND138=0,$NO138=0),"",IF($MS138=0,"−1 dado","−"&amp;INDEX($I$2:$N$8,MAX(1,$MS138),MAX(1,$NT138))&amp;" · "&amp;CHOOSE(MAX(1,$NT138),"Leve","Média","Pesada","Leve · Livre","Média · Livre","Pesada · Livre")))</f>
        <v/>
      </c>
      <c r="QN138" s="164">
        <f>IF(OR($ND138=0,$NP138=0),"",IF($MS138=0,"−1 dado","−"&amp;INDEX($I$2:$N$8,MAX(1,$MS138),MAX(1,$NU138))&amp;" · "&amp;CHOOSE(MAX(1,$NU138),"Leve","Média","Pesada","Leve · Livre","Média · Livre","Pesada · Livre")))</f>
        <v/>
      </c>
      <c r="QO138" s="164">
        <f>IF(OR($ND138=0,$NQ138=0),"",IF($MS138=0,"−1 dado","−"&amp;INDEX($I$2:$N$8,MAX(1,$MS138),MAX(1,$NV138))&amp;" · "&amp;CHOOSE(MAX(1,$NV138),"Leve","Média","Pesada","Leve · Livre","Média · Livre","Pesada · Livre")))</f>
        <v/>
      </c>
      <c r="QP138" s="164">
        <f>IF(OR($ND138=0,$NR138=0),"",IF($MS138=0,"−1 dado","−"&amp;INDEX($I$2:$N$8,MAX(1,$MS138),MAX(1,$NW138))&amp;" · "&amp;CHOOSE(MAX(1,$NW138),"Leve","Média","Pesada","Leve · Livre","Média · Livre","Pesada · Livre")))</f>
        <v/>
      </c>
      <c r="QQ138" s="164">
        <f>IF(OR($ND138=0,$NB138=""),"",IF($MS138=0,"não devolve","+"&amp;IF($OI138=1,CEILING($MS138/2,1),$MS138)))</f>
        <v/>
      </c>
      <c r="QR138" s="164">
        <f>IF(OR($ND138=0,$NC138=""),"",IF($MS138=0,"não devolve","+"&amp;IF($OJ138=1,CEILING($MS138/2,1),$MS138)))</f>
        <v/>
      </c>
      <c r="RK138">
        <f>IF($MX138="","",IFERROR(VLOOKUP(SUBSTITUTE(SUBSTITUTE(SUBSTITUTE($MX138,"~","~~"),"*","~*"),"?","~?"),'DADOS_MELHORIAS'!$O$2:$X$113,10,FALSE),$MX138))</f>
        <v/>
      </c>
      <c r="RL138">
        <f>IF($MY138="","",IFERROR(VLOOKUP(SUBSTITUTE(SUBSTITUTE(SUBSTITUTE($MY138,"~","~~"),"*","~*"),"?","~?"),'DADOS_MELHORIAS'!$O$2:$X$113,10,FALSE),$MY138))</f>
        <v/>
      </c>
      <c r="RM138">
        <f>IF($MZ138="","",IFERROR(VLOOKUP(SUBSTITUTE(SUBSTITUTE(SUBSTITUTE($MZ138,"~","~~"),"*","~*"),"?","~?"),'DADOS_MELHORIAS'!$O$2:$X$113,10,FALSE),$MZ138))</f>
        <v/>
      </c>
      <c r="RN138">
        <f>IF($NA138="","",IFERROR(VLOOKUP(SUBSTITUTE(SUBSTITUTE(SUBSTITUTE($NA138,"~","~~"),"*","~*"),"?","~?"),'DADOS_MELHORIAS'!$O$2:$X$113,10,FALSE),$NA138))</f>
        <v/>
      </c>
      <c r="RO138">
        <f>IFERROR(INDEX('DADOS_FORMAS'!$BJ$2:$BJ$21,MATCH(SUBSTITUTE(SUBSTITUTE(SUBSTITUTE($MU138,"~","~~"),"*","~*"),"?","~?"),'DADOS_FORMAS'!$AH$2:$AH$21,0)),"")</f>
        <v/>
      </c>
      <c r="RP138">
        <f>IFERROR(VLOOKUP(SUBSTITUTE(SUBSTITUTE(SUBSTITUTE(IFERROR(INDEX('DADOS_FORMAS'!$AS$2:$AS$21,MATCH(SUBSTITUTE(SUBSTITUTE(SUBSTITUTE($MU138,"~","~~"),"*","~*"),"?","~?"),'DADOS_FORMAS'!$AH$2:$AH$21,0)),""),"~","~~"),"*","~*"),"?","~?"),'DADOS_RESTRICOES'!$M$2:$Q$54,2,FALSE),"")</f>
        <v/>
      </c>
      <c r="RQ138">
        <f>$OK138</f>
        <v/>
      </c>
      <c r="RR138">
        <f>$OL138</f>
        <v/>
      </c>
      <c r="RS138">
        <f>$RP138</f>
        <v/>
      </c>
    </row>
    <row r="139">
      <c r="MN139" s="162" t="inlineStr">
        <is>
          <t>Ficha 11 · Especial 6</t>
        </is>
      </c>
      <c r="MO139" s="164" t="n">
        <v>11</v>
      </c>
      <c r="MP139" s="164" t="n">
        <v>1</v>
      </c>
      <c r="MQ139" s="164" t="n">
        <v>20</v>
      </c>
      <c r="MR139" s="162" t="inlineStr">
        <is>
          <t>ESPECIAL 6</t>
        </is>
      </c>
      <c r="MS139" s="164">
        <f>MAX(1,MIN(7,N('INVOCAÇÕES'!$AH$971)))</f>
        <v/>
      </c>
      <c r="MT139" s="164">
        <f>'INVOCAÇÕES'!$AI$971&amp;""</f>
        <v/>
      </c>
      <c r="MU139" s="164">
        <f>'INVOCAÇÕES'!$AH$976&amp;""</f>
        <v/>
      </c>
      <c r="MV139" s="164">
        <f>'INVOCAÇÕES'!$AH$977&amp;""</f>
        <v/>
      </c>
      <c r="MW139" s="164">
        <f>'INVOCAÇÕES'!$AJ$977&amp;""</f>
        <v/>
      </c>
      <c r="MX139" s="164">
        <f>'INVOCAÇÕES'!$AI$980&amp;""</f>
        <v/>
      </c>
      <c r="MY139" s="164">
        <f>'INVOCAÇÕES'!$AI$981&amp;""</f>
        <v/>
      </c>
      <c r="MZ139" s="164">
        <f>'INVOCAÇÕES'!$AI$982&amp;""</f>
        <v/>
      </c>
      <c r="NA139" s="164">
        <f>'INVOCAÇÕES'!$AI$983&amp;""</f>
        <v/>
      </c>
      <c r="NB139" s="164">
        <f>'INVOCAÇÕES'!$AI$984&amp;""</f>
        <v/>
      </c>
      <c r="NC139" s="164">
        <f>'INVOCAÇÕES'!$AI$985&amp;""</f>
        <v/>
      </c>
      <c r="ND139" s="164">
        <f>IF($MT139&lt;&gt;"",1,0)</f>
        <v/>
      </c>
      <c r="NE139" s="164">
        <f>INDEX($FO$2:$FO$13,$MO139)</f>
        <v/>
      </c>
      <c r="NF139" s="164">
        <f>INDEX($FP$2:$FP$13,$MO139)</f>
        <v/>
      </c>
      <c r="NG139" s="164">
        <f>INDEX($FQ$2:$FQ$13,$MO139)</f>
        <v/>
      </c>
      <c r="NH139" s="164">
        <f>INDEX($GB$2:$GB$13,$MO139)</f>
        <v/>
      </c>
      <c r="NI139" s="164">
        <f>INDEX($GC$2:$GC$13,$MO139)</f>
        <v/>
      </c>
      <c r="NJ139" s="164">
        <f>IFERROR(MATCH(SUBSTITUTE(SUBSTITUTE(SUBSTITUTE($MU139,"~","~~"),"*","~*"),"?","~?"),'DADOS_FORMAS'!$FZ$2:$FZ$21,0),0)</f>
        <v/>
      </c>
      <c r="NK139" s="164">
        <f>IFERROR(VLOOKUP(SUBSTITUTE(SUBSTITUTE(SUBSTITUTE($MX139,"~","~~"),"*","~*"),"?","~?"),'DADOS_MELHORIAS'!$AG$2:$AL$113,2,FALSE),"")</f>
        <v/>
      </c>
      <c r="NL139" s="164">
        <f>IFERROR(VLOOKUP(SUBSTITUTE(SUBSTITUTE(SUBSTITUTE($MY139,"~","~~"),"*","~*"),"?","~?"),'DADOS_MELHORIAS'!$AG$2:$AL$113,2,FALSE),"")</f>
        <v/>
      </c>
      <c r="NM139" s="164">
        <f>IFERROR(VLOOKUP(SUBSTITUTE(SUBSTITUTE(SUBSTITUTE($MZ139,"~","~~"),"*","~*"),"?","~?"),'DADOS_MELHORIAS'!$AG$2:$AL$113,2,FALSE),"")</f>
        <v/>
      </c>
      <c r="NN139" s="164">
        <f>IFERROR(VLOOKUP(SUBSTITUTE(SUBSTITUTE(SUBSTITUTE($NA139,"~","~~"),"*","~*"),"?","~?"),'DADOS_MELHORIAS'!$AG$2:$AL$113,2,FALSE),"")</f>
        <v/>
      </c>
      <c r="NO139" s="164">
        <f>IFERROR(VLOOKUP(SUBSTITUTE(SUBSTITUTE(SUBSTITUTE($MX139,"~","~~"),"*","~*"),"?","~?"),'DADOS_MELHORIAS'!$AG$2:$AL$113,3,FALSE),0)</f>
        <v/>
      </c>
      <c r="NP139" s="164">
        <f>IFERROR(VLOOKUP(SUBSTITUTE(SUBSTITUTE(SUBSTITUTE($MY139,"~","~~"),"*","~*"),"?","~?"),'DADOS_MELHORIAS'!$AG$2:$AL$113,3,FALSE),0)</f>
        <v/>
      </c>
      <c r="NQ139" s="164">
        <f>IFERROR(VLOOKUP(SUBSTITUTE(SUBSTITUTE(SUBSTITUTE($MZ139,"~","~~"),"*","~*"),"?","~?"),'DADOS_MELHORIAS'!$AG$2:$AL$113,3,FALSE),0)</f>
        <v/>
      </c>
      <c r="NR139" s="164">
        <f>IFERROR(VLOOKUP(SUBSTITUTE(SUBSTITUTE(SUBSTITUTE($NA139,"~","~~"),"*","~*"),"?","~?"),'DADOS_MELHORIAS'!$AG$2:$AL$113,3,FALSE),0)</f>
        <v/>
      </c>
      <c r="NS139" s="164">
        <f>IF($MS139=0,0,IF($NJ139=0,0,INDEX('DADOS_FORMAS'!$GB$2:$GB$21,$NJ139)))</f>
        <v/>
      </c>
      <c r="NT139" s="164">
        <f>IF(OR($NO139=0,$MS139=0),0,$NO139+3*IF(AND($NK139&lt;&gt;"",COUNTIF(INDEX($RB$2:$RJ$13,$MO139,0),$NK139)&gt;0),1,0))</f>
        <v/>
      </c>
      <c r="NU139" s="164">
        <f>IF(OR($NP139=0,$MS139=0),0,$NP139+3*IF(AND($NL139&lt;&gt;"",COUNTIF(INDEX($RB$2:$RJ$13,$MO139,0),$NL139)&gt;0),1,0))</f>
        <v/>
      </c>
      <c r="NV139" s="164">
        <f>IF(OR($NQ139=0,$MS139=0),0,$NQ139+3*IF(AND($NM139&lt;&gt;"",COUNTIF(INDEX($RB$2:$RJ$13,$MO139,0),$NM139)&gt;0),1,0))</f>
        <v/>
      </c>
      <c r="NW139" s="164">
        <f>IF(OR($NR139=0,$MS139=0),0,$NR139+3*IF(AND($NN139&lt;&gt;"",COUNTIF(INDEX($RB$2:$RJ$13,$MO139,0),$NN139)&gt;0),1,0))</f>
        <v/>
      </c>
      <c r="NX139" s="164">
        <f>IF($NJ139=0,0,IF(INDEX('DADOS_FORMAS'!$GA$2:$GA$21,$NJ139)="",0,IF((COUNTIF(INDEX($EL$2:$EP$13,$MO139,0),INDEX('DADOS_FORMAS'!$GA$2:$GA$21,$NJ139))+COUNTIF(INDEX($QV$2:$QY$13,$MO139,0),INDEX('DADOS_FORMAS'!$GA$2:$GA$21,$NJ139)))=0,1,0)))</f>
        <v/>
      </c>
      <c r="NY139" s="164">
        <f>IF(OR($NO139=0,$NK139=""),0,IF((COUNTIF(INDEX($EL$2:$EP$13,$MO139,0),$NK139)+COUNTIF(INDEX($QV$2:$QY$13,$MO139,0),$NK139))=0,1,0))</f>
        <v/>
      </c>
      <c r="NZ139" s="164">
        <f>IF(OR($NP139=0,$NL139=""),0,IF((COUNTIF(INDEX($EL$2:$EP$13,$MO139,0),$NL139)+COUNTIF(INDEX($QV$2:$QY$13,$MO139,0),$NL139))=0,1,0))</f>
        <v/>
      </c>
      <c r="OA139" s="164">
        <f>IF(OR($NQ139=0,$NM139=""),0,IF((COUNTIF(INDEX($EL$2:$EP$13,$MO139,0),$NM139)+COUNTIF(INDEX($QV$2:$QY$13,$MO139,0),$NM139))=0,1,0))</f>
        <v/>
      </c>
      <c r="OB139" s="164">
        <f>IF(OR($NR139=0,$NN139=""),0,IF((COUNTIF(INDEX($EL$2:$EP$13,$MO139,0),$NN139)+COUNTIF(INDEX($QV$2:$QY$13,$MO139,0),$NN139))=0,1,0))</f>
        <v/>
      </c>
      <c r="OC139" s="164">
        <f>IFERROR(VLOOKUP(SUBSTITUTE(SUBSTITUTE(SUBSTITUTE($MX139,"~","~~"),"*","~*"),"?","~?"),'DADOS_MELHORIAS'!$AG$2:$AL$113,4,FALSE),0)+IFERROR(VLOOKUP(SUBSTITUTE(SUBSTITUTE(SUBSTITUTE($MY139,"~","~~"),"*","~*"),"?","~?"),'DADOS_MELHORIAS'!$AG$2:$AL$113,4,FALSE),0)+IFERROR(VLOOKUP(SUBSTITUTE(SUBSTITUTE(SUBSTITUTE($MZ139,"~","~~"),"*","~*"),"?","~?"),'DADOS_MELHORIAS'!$AG$2:$AL$113,4,FALSE),0)+IFERROR(VLOOKUP(SUBSTITUTE(SUBSTITUTE(SUBSTITUTE($NA139,"~","~~"),"*","~*"),"?","~?"),'DADOS_MELHORIAS'!$AG$2:$AL$113,4,FALSE),0)</f>
        <v/>
      </c>
      <c r="OD139" s="164">
        <f>IFERROR(VLOOKUP(SUBSTITUTE(SUBSTITUTE(SUBSTITUTE($MX139,"~","~~"),"*","~*"),"?","~?"),'DADOS_MELHORIAS'!$AG$2:$AL$113,6,FALSE),0)+IFERROR(VLOOKUP(SUBSTITUTE(SUBSTITUTE(SUBSTITUTE($MY139,"~","~~"),"*","~*"),"?","~?"),'DADOS_MELHORIAS'!$AG$2:$AL$113,6,FALSE),0)+IFERROR(VLOOKUP(SUBSTITUTE(SUBSTITUTE(SUBSTITUTE($MZ139,"~","~~"),"*","~*"),"?","~?"),'DADOS_MELHORIAS'!$AG$2:$AL$113,6,FALSE),0)+IFERROR(VLOOKUP(SUBSTITUTE(SUBSTITUTE(SUBSTITUTE($NA139,"~","~~"),"*","~*"),"?","~?"),'DADOS_MELHORIAS'!$AG$2:$AL$113,6,FALSE),0)+IFERROR(N(AND(INDEX('DADOS_FORMAS'!$AO$2:$AO$21,MATCH(SUBSTITUTE(SUBSTITUTE(SUBSTITUTE($MU139,"~","~~"),"*","~*"),"?","~?"),'DADOS_FORMAS'!$AH$2:$AH$21,0))="Acerto",$OH139=1)),0)</f>
        <v/>
      </c>
      <c r="OE139" s="164">
        <f>TEXTJOIN(", ",TRUE,IF(IFERROR(VLOOKUP(SUBSTITUTE(SUBSTITUTE(SUBSTITUTE($MX139,"~","~~"),"*","~*"),"?","~?"),'DADOS_MELHORIAS'!$AG$2:$AL$113,5,FALSE),0)=1,$MX139,""),IF(IFERROR(VLOOKUP(SUBSTITUTE(SUBSTITUTE(SUBSTITUTE($MY139,"~","~~"),"*","~*"),"?","~?"),'DADOS_MELHORIAS'!$AG$2:$AL$113,5,FALSE),0)=1,$MY139,""),IF(IFERROR(VLOOKUP(SUBSTITUTE(SUBSTITUTE(SUBSTITUTE($MZ139,"~","~~"),"*","~*"),"?","~?"),'DADOS_MELHORIAS'!$AG$2:$AL$113,5,FALSE),0)=1,$MZ139,""),IF(IFERROR(VLOOKUP(SUBSTITUTE(SUBSTITUTE(SUBSTITUTE($NA139,"~","~~"),"*","~*"),"?","~?"),'DADOS_MELHORIAS'!$AG$2:$AL$113,5,FALSE),0)=1,$NA139,""))</f>
        <v/>
      </c>
      <c r="OF139" s="164">
        <f>IF($NJ139=0,0,INDEX('DADOS_FORMAS'!$GC$2:$GC$21,$NJ139))</f>
        <v/>
      </c>
      <c r="OG139" s="164">
        <f>IF($NJ139=0,0,INDEX('DADOS_FORMAS'!$GD$2:$GD$21,$NJ139))</f>
        <v/>
      </c>
      <c r="OH139" s="164">
        <f>IF($NJ139=0,0,INDEX('DADOS_FORMAS'!$GF$2:$GF$21,$NJ139))</f>
        <v/>
      </c>
      <c r="OI139" s="164">
        <f>IFERROR(VLOOKUP(SUBSTITUTE(SUBSTITUTE(SUBSTITUTE($NB139,"~","~~"),"*","~*"),"?","~?"),'DADOS_RESTRICOES'!$M$2:$Q$54,3,FALSE),0)</f>
        <v/>
      </c>
      <c r="OJ139" s="164">
        <f>IFERROR(VLOOKUP(SUBSTITUTE(SUBSTITUTE(SUBSTITUTE($NC139,"~","~~"),"*","~*"),"?","~?"),'DADOS_RESTRICOES'!$M$2:$Q$54,3,FALSE),0)</f>
        <v/>
      </c>
      <c r="OK139" s="164">
        <f>IFERROR(VLOOKUP(SUBSTITUTE(SUBSTITUTE(SUBSTITUTE($NB139,"~","~~"),"*","~*"),"?","~?"),'DADOS_RESTRICOES'!$M$2:$Q$54,2,FALSE),"")</f>
        <v/>
      </c>
      <c r="OL139" s="164">
        <f>IFERROR(VLOOKUP(SUBSTITUTE(SUBSTITUTE(SUBSTITUTE($NC139,"~","~~"),"*","~*"),"?","~?"),'DADOS_RESTRICOES'!$M$2:$Q$54,2,FALSE),"")</f>
        <v/>
      </c>
      <c r="OM139" s="164">
        <f>COUNTIF($NS139:$NW139,1)</f>
        <v/>
      </c>
      <c r="ON139" s="164">
        <f>COUNTIF($NS139:$NW139,2)</f>
        <v/>
      </c>
      <c r="OO139" s="164">
        <f>COUNTIF($NS139:$NW139,3)</f>
        <v/>
      </c>
      <c r="OP139" s="164">
        <f>COUNTIF($NS139:$NW139,4)</f>
        <v/>
      </c>
      <c r="OQ139" s="164">
        <f>COUNTIF($NS139:$NW139,5)</f>
        <v/>
      </c>
      <c r="OR139" s="164">
        <f>COUNTIF($NS139:$NW139,6)</f>
        <v/>
      </c>
      <c r="OS139" s="164">
        <f>COUNTIF($OI139:$OJ139,1)+IF(IFERROR(INDEX('DADOS_FORMAS'!$AS$2:$AS$21,MATCH(SUBSTITUTE(SUBSTITUTE(SUBSTITUTE($MU139,"~","~~"),"*","~*"),"?","~?"),'DADOS_FORMAS'!$AH$2:$AH$21,0)),"")="",0,IFERROR(N(VLOOKUP(SUBSTITUTE(SUBSTITUTE(SUBSTITUTE(IFERROR(INDEX('DADOS_FORMAS'!$AS$2:$AS$21,MATCH(SUBSTITUTE(SUBSTITUTE(SUBSTITUTE($MU139,"~","~~"),"*","~*"),"?","~?"),'DADOS_FORMAS'!$AH$2:$AH$21,0)),""),"~","~~"),"*","~*"),"?","~?"),'DADOS_RESTRICOES'!$M$2:$Q$54,3,FALSE)=1),0))</f>
        <v/>
      </c>
      <c r="OT139" s="164">
        <f>COUNTIF($OI139:$OJ139,2)+IF(IFERROR(INDEX('DADOS_FORMAS'!$AS$2:$AS$21,MATCH(SUBSTITUTE(SUBSTITUTE(SUBSTITUTE($MU139,"~","~~"),"*","~*"),"?","~?"),'DADOS_FORMAS'!$AH$2:$AH$21,0)),"")="",0,IFERROR(N(VLOOKUP(SUBSTITUTE(SUBSTITUTE(SUBSTITUTE(IFERROR(INDEX('DADOS_FORMAS'!$AS$2:$AS$21,MATCH(SUBSTITUTE(SUBSTITUTE(SUBSTITUTE($MU139,"~","~~"),"*","~*"),"?","~?"),'DADOS_FORMAS'!$AH$2:$AH$21,0)),""),"~","~~"),"*","~*"),"?","~?"),'DADOS_RESTRICOES'!$M$2:$Q$54,3,FALSE)=2),0))</f>
        <v/>
      </c>
      <c r="OU139" s="164">
        <f>COUNTIF($MX139:$NA139,"?*")</f>
        <v/>
      </c>
      <c r="OV139" s="164">
        <f>COUNTIF($NB139:$NC139,"?*")+$OF139</f>
        <v/>
      </c>
      <c r="OW139" s="164">
        <f>IF($MS139=0,0,SUMPRODUCT($OM139:$OR139,INDEX($I$2:$N$8,MAX(1,$MS139),0)))</f>
        <v/>
      </c>
      <c r="OX139" s="164">
        <f>IF($MS139=0,0,$OS139*CEILING($MS139/2,1)+$OT139*$MS139)</f>
        <v/>
      </c>
      <c r="OY139" s="164">
        <f>MIN(2*$MS139,$OX139)</f>
        <v/>
      </c>
      <c r="OZ139" s="164">
        <f>MIN($OY139,$OW139-IF($NS139=0,0,INDEX($I$2:$N$8,MAX(1,$MS139),$NS139)))</f>
        <v/>
      </c>
      <c r="PA139" s="164">
        <f>$OY139-$OZ139</f>
        <v/>
      </c>
      <c r="PB139" s="164">
        <f>IF($MS139=0,0,INDEX($P$2:$P$8,MAX(1,$MS139)))</f>
        <v/>
      </c>
      <c r="PC139" s="164">
        <f>$PB139-$OW139+$OZ139</f>
        <v/>
      </c>
      <c r="PD139" s="164">
        <f>IF($MS139=0,MAX(0,$NG139-IF(AND($OU139&gt;0,COUNTIF($NB139:$NC139,"?*")=0),1,0)),MAX(0,$PC139))</f>
        <v/>
      </c>
      <c r="PE139" s="164">
        <f>IF($MS139=0,0,(IF(COUNTIF($RK139:$RN139,"Salto")&gt;0,1,0)+IF(COUNTIF($RK139:$RN139,"Queima")&gt;0,1,0)+IF(COUNTIF($RK139:$RN139,"Estilhaço")&gt;0,1,0))*FLOOR($PD139/2,1))</f>
        <v/>
      </c>
      <c r="PF139" s="164">
        <f>MAX(0,2-SUMPRODUCT($OM139:$OR139,$I$2:$N$2)+MIN(2,$OS139*1+$OT139*1,SUMPRODUCT($OM139:$OR139,$I$2:$N$2)-IF($NS139=0,0,INDEX($I$2:$N$2,1,$NS139))))</f>
        <v/>
      </c>
      <c r="PG139" s="164">
        <f>MAX(0,4-SUMPRODUCT($OM139:$OR139,$I$3:$N$3)+MIN(4,$OS139*1+$OT139*2,SUMPRODUCT($OM139:$OR139,$I$3:$N$3)-IF($NS139=0,0,INDEX($I$3:$N$3,1,$NS139))))</f>
        <v/>
      </c>
      <c r="PH139" s="164">
        <f>MAX(0,6-SUMPRODUCT($OM139:$OR139,$I$4:$N$4)+MIN(6,$OS139*2+$OT139*3,SUMPRODUCT($OM139:$OR139,$I$4:$N$4)-IF($NS139=0,0,INDEX($I$4:$N$4,1,$NS139))))</f>
        <v/>
      </c>
      <c r="PI139" s="164">
        <f>MAX(0,9-SUMPRODUCT($OM139:$OR139,$I$5:$N$5)+MIN(8,$OS139*2+$OT139*4,SUMPRODUCT($OM139:$OR139,$I$5:$N$5)-IF($NS139=0,0,INDEX($I$5:$N$5,1,$NS139))))</f>
        <v/>
      </c>
      <c r="PJ139" s="164">
        <f>MAX(0,11-SUMPRODUCT($OM139:$OR139,$I$6:$N$6)+MIN(10,$OS139*3+$OT139*5,SUMPRODUCT($OM139:$OR139,$I$6:$N$6)-IF($NS139=0,0,INDEX($I$6:$N$6,1,$NS139))))</f>
        <v/>
      </c>
      <c r="PK139" s="164">
        <f>MAX(0,13-SUMPRODUCT($OM139:$OR139,$I$7:$N$7)+MIN(12,$OS139*3+$OT139*6,SUMPRODUCT($OM139:$OR139,$I$7:$N$7)-IF($NS139=0,0,INDEX($I$7:$N$7,1,$NS139))))</f>
        <v/>
      </c>
      <c r="PL139" s="164">
        <f>MAX(0,16-SUMPRODUCT($OM139:$OR139,$I$8:$N$8)+MIN(14,$OS139*4+$OT139*7,SUMPRODUCT($OM139:$OR139,$I$8:$N$8)-IF($NS139=0,0,INDEX($I$8:$N$8,1,$NS139))))</f>
        <v/>
      </c>
      <c r="PM139" s="164">
        <f>IF($OG139=2,3*$PF139&amp;" de vida temp.",IF($OG139=3,"sem dano",IF($PF139=0,IF($OG139=1,"sem cura","sem dano"),IF($OG139=1,"cura ","")&amp;$PF139&amp;"d8")))</f>
        <v/>
      </c>
      <c r="PN139" s="164">
        <f>IF($OG139=2,3*$PG139&amp;" de vida temp.",IF($OG139=3,"sem dano",IF($PG139=0,IF($OG139=1,"sem cura","sem dano"),IF($OG139=1,"cura ","")&amp;$PG139&amp;"d8")))</f>
        <v/>
      </c>
      <c r="PO139" s="164">
        <f>IF($OG139=2,3*$PH139&amp;" de vida temp.",IF($OG139=3,"sem dano",IF($PH139=0,IF($OG139=1,"sem cura","sem dano"),IF($OG139=1,"cura ","")&amp;$PH139&amp;"d8")))</f>
        <v/>
      </c>
      <c r="PP139" s="164">
        <f>IF($OG139=2,3*$PI139&amp;" de vida temp.",IF($OG139=3,"sem dano",IF($PI139=0,IF($OG139=1,"sem cura","sem dano"),IF($OG139=1,"cura ","")&amp;$PI139&amp;"d8")))</f>
        <v/>
      </c>
      <c r="PQ139" s="164">
        <f>IF($OG139=2,3*$PJ139&amp;" de vida temp.",IF($OG139=3,"sem dano",IF($PJ139=0,IF($OG139=1,"sem cura","sem dano"),IF($OG139=1,"cura ","")&amp;$PJ139&amp;"d8")))</f>
        <v/>
      </c>
      <c r="PR139" s="164">
        <f>IF($OG139=2,3*$PK139&amp;" de vida temp.",IF($OG139=3,"sem dano",IF($PK139=0,IF($OG139=1,"sem cura","sem dano"),IF($OG139=1,"cura ","")&amp;$PK139&amp;"d8")))</f>
        <v/>
      </c>
      <c r="PS139" s="164">
        <f>IF($OG139=2,3*$PL139&amp;" de vida temp.",IF($OG139=3,"sem dano",IF($PL139=0,IF($OG139=1,"sem cura","sem dano"),IF($OG139=1,"cura ","")&amp;$PL139&amp;"d8")))</f>
        <v/>
      </c>
      <c r="PT139" s="164">
        <f>IF($ND139=0,"",TEXTJOIN(" · ",TRUE,IF($ND139=0,"",TEXTJOIN(" · ",TRUE,IF($ND139=0,"",TEXTJOIN(" · ",TRUE,IF($MQ139&gt;$NE139,"Este lugar abre no nível "&amp;$MQ139,""),IF($MS139&gt;$NF139,"Classe "&amp;$MS139&amp;": o nível "&amp;$NE139&amp;" libera até a "&amp;$NF139,""),IF($NX139=1,"A Forma "&amp;$MU139&amp;" pede "&amp;INDEX('DADOS_FORMAS'!$GA$2:$GA$21,$NJ139)&amp;" aberta",""),IF(AND($MS139=0,$NJ139&gt;0,IF($NJ139=0,0,INDEX('DADOS_FORMAS'!$GJ$2:$GJ$21,$NJ139))=0),$MU139&amp;" não existe na Classe 0",""),IF($NY139=1,"Família Fechada: "&amp;$MX139,""),IF($NZ139=1,"Família Fechada: "&amp;$MY139,""),IF($OA139=1,"Família Fechada: "&amp;$MZ139,""),IF($OB139=1,"Família Fechada: "&amp;$NA139,""),IF(AND($MS139&gt;0,$OU139&gt;INDEX($O$2:$O$8,MAX(1,$MS139))),$OU139&amp;" Melhorias: a Classe "&amp;$MS139&amp;" aceita "&amp;INDEX($O$2:$O$8,MAX(1,$MS139)),""),IF(AND($MS139=0,$OU139&gt;1),"A básica aceita uma Melhoria",""),IF(AND($MS139=0,COUNTIF($NO139:$NR139,"&gt;1")&gt;0),"A básica só aceita Melhoria Leve",""),IF(AND($MS139&gt;0,$OV139&gt;2),$OV139&amp;" Restrições"&amp;IF($OF139=1,", contando a que a Forma "&amp;$MU139&amp;" já traz","")&amp;": o limite é 2",""),IF(AND($MS139=0,COUNTIF($NB139:$NC139,"?*")&gt;1),"A básica aceita uma Restrição Leve",""),IF(AND($MS139=0,COUNTIF($OI139:$OJ139,2)&gt;0),"A básica só aceita Restrição Leve",""),IF(AND($MS139&gt;0,$PC139&lt;0),"Orçamento estourado: faltam "&amp;(-$PC139)&amp;IF($PC139&lt;-1," pontos"," ponto"),""),IF(IFERROR(VLOOKUP(SUBSTITUTE(SUBSTITUTE(SUBSTITUTE($NB139,"~","~~"),"*","~*"),"?","~?"),'DADOS_RESTRICOES'!$M$2:$Q$54,4,FALSE),0)+IFERROR(VLOOKUP(SUBSTITUTE(SUBSTITUTE(SUBSTITUTE($NC139,"~","~~"),"*","~*"),"?","~?"),'DADOS_RESTRICOES'!$M$2:$Q$54,4,FALSE),0)&gt;1,$OK139&amp;" e "&amp;$OL139&amp;" são as duas de frequência",""),IF(AND((COUNTIF($RK139:$RN139,"Rápido")+COUNTIF($OK139:$OL139,"Rápido"))&gt;0,(COUNTIF($MX139:$NA139,"Atrasar")+COUNTIF($OK139:$OL139,"Atrasar"))&gt;0),"Rápido não entra com Atrasar",""),IF(AND((COUNTIF($RK139:$RN139,"Reação")+COUNTIF($OK139:$OL139,"Reação"))&gt;0,(COUNTIF($RK139:$RN139,"Rápido")+COUNTIF($OK139:$OL139,"Rápido"))&gt;0),"Reação não entra com Rápido",""),IF(AND((COUNTIF($RK139:$RN139,"Reação")+COUNTIF($OK139:$OL139,"Reação"))&gt;0,(COUNTIF($RK139:$RN139,"Armado")+COUNTIF($OK139:$OL139,"Armado"))&gt;0),"Reação não entra com Armado",""),IF(AND((COUNTIF($RK139:$RN139,"Reação")+COUNTIF($OK139:$OL139,"Reação"))&gt;0,(COUNTIF($MX139:$NA139,"Atrasar")+COUNTIF($OK139:$OL139,"Atrasar"))&gt;0),"Reação não entra com Atrasar",""),IF(AND((COUNTIF($RK139:$RN139,"Reação")+COUNTIF($OK139:$OL139,"Reação"))&gt;0,(COUNTIF($MX139:$NA139,"Parado")+COUNTIF($OK139:$OL139,"Parado"))&gt;0),"Reação não entra com Parado",""),IF(AND((COUNTIF($MX139:$NA139,"Atrasar")+COUNTIF($OK139:$OL139,"Atrasar"))&gt;0,(COUNTIF($MX139:$NA139,"Parado")+COUNTIF($OK139:$OL139,"Parado"))&gt;0),"Atrasar não entra com Parado",""),IF(AND((COUNTIF($RK139:$RN139,"Armado")+COUNTIF($OK139:$OL139,"Armado"))&gt;0,(COUNTIF($MX139:$NA139,"Carregar")+COUNTIF($OK139:$OL139,"Carregar"))&gt;0),"Armado não entra com Carregar",""),IF(AND(COUNTIF($OK139:$OL139,"Corpo a Corpo")&gt;0,$OF139=0,OR($RO139="Cone",$RO139="Linha")),"Corpo a Corpo não entra em "&amp;$MU139,""),IF(AND(COUNTIF($OK139:$OL139,"Corpo a Corpo")&gt;0,$RP139="Corpo a Corpo"),"A Forma "&amp;$MU139&amp;" já traz o Corpo a Corpo",""),IF(AND(COUNTIF($OK139:$OL139,"Tudo ou Nada")&gt;0,$OH139=0),"Tudo ou Nada só entra em habilidade de Teste de Resistência",""),IF(AND(COUNTIF($RK139:$RN139,"Inescapável")&gt;0,OR($OU139&gt;1,$OV139&gt;0)),"Inescapável não aceita outra peça",""),IF(AND($MS139&gt;0,$PD139*IF(COUNTIF($RK139:$RN139,"Remate")&gt;0,1.25,1)+$PE139&gt;4*$MS139),($PD139*IF(COUNTIF($RK139:$RN139,"Remate")&gt;0,1.25,1)+$PE139)&amp;" dados somando repetições"&amp;IF(COUNTIF($RK139:$RN139,"Remate")&gt;0," e o Remate","")&amp;": o teto da Classe "&amp;$MS139&amp;" é "&amp;4*$MS139,""))),IF(AND($MX139&lt;&gt;"",COUNTIF('DADOS_MELHORIAS'!$O$2:$O$113,SUBSTITUTE(SUBSTITUTE(SUBSTITUTE($MX139,"~","~~"),"*","~*"),"?","~?"))=0),"Melhoria não cadastrada ou com erro: "&amp;$MX139,""),IF(AND($MY139&lt;&gt;"",COUNTIF('DADOS_MELHORIAS'!$O$2:$O$113,SUBSTITUTE(SUBSTITUTE(SUBSTITUTE($MY139,"~","~~"),"*","~*"),"?","~?"))=0),"Melhoria não cadastrada ou com erro: "&amp;$MY139,""),IF(AND($MZ139&lt;&gt;"",COUNTIF('DADOS_MELHORIAS'!$O$2:$O$113,SUBSTITUTE(SUBSTITUTE(SUBSTITUTE($MZ139,"~","~~"),"*","~*"),"?","~?"))=0),"Melhoria não cadastrada ou com erro: "&amp;$MZ139,""),IF(AND($NA139&lt;&gt;"",COUNTIF('DADOS_MELHORIAS'!$O$2:$O$113,SUBSTITUTE(SUBSTITUTE(SUBSTITUTE($NA139,"~","~~"),"*","~*"),"?","~?"))=0),"Melhoria não cadastrada ou com erro: "&amp;$NA139,""),IF(AND($NB139&lt;&gt;"",COUNTIF('DADOS_RESTRICOES'!$M$2:$M$54,SUBSTITUTE(SUBSTITUTE(SUBSTITUTE($NB139,"~","~~"),"*","~*"),"?","~?"))=0),"Restrição não cadastrada ou com erro: "&amp;$NB139,""),IF(AND($NC139&lt;&gt;"",COUNTIF('DADOS_RESTRICOES'!$M$2:$M$54,SUBSTITUTE(SUBSTITUTE(SUBSTITUTE($NC139,"~","~~"),"*","~*"),"?","~?"))=0),"Restrição não cadastrada ou com erro: "&amp;$NC139,""))),IF(AND($MU139&lt;&gt;"",COUNTIF('DADOS_FORMAS'!$AH$2:$AH$21,SUBSTITUTE(SUBSTITUTE(SUBSTITUTE($MU139,"~","~~"),"*","~*"),"?","~?"))=0),"Forma não cadastrada ou com erro: "&amp;$MU139,""),IF(AND(IFERROR(INDEX('DADOS_FORMAS'!$AS$2:$AS$21,MATCH(SUBSTITUTE(SUBSTITUTE(SUBSTITUTE($MU139,"~","~~"),"*","~*"),"?","~?"),'DADOS_FORMAS'!$AH$2:$AH$21,0)),"")&lt;&gt;"",OR(IFERROR(VLOOKUP(SUBSTITUTE(SUBSTITUTE(SUBSTITUTE(IFERROR(INDEX('DADOS_FORMAS'!$AS$2:$AS$21,MATCH(SUBSTITUTE(SUBSTITUTE(SUBSTITUTE($MU139,"~","~~"),"*","~*"),"?","~?"),'DADOS_FORMAS'!$AH$2:$AH$21,0)),""),"~","~~"),"*","~*"),"?","~?"),'DADOS_RESTRICOES'!$M$2:$Q$54,2,FALSE),"")=$OK139,IFERROR(VLOOKUP(SUBSTITUTE(SUBSTITUTE(SUBSTITUTE(IFERROR(INDEX('DADOS_FORMAS'!$AS$2:$AS$21,MATCH(SUBSTITUTE(SUBSTITUTE(SUBSTITUTE($MU139,"~","~~"),"*","~*"),"?","~?"),'DADOS_FORMAS'!$AH$2:$AH$21,0)),""),"~","~~"),"*","~*"),"?","~?"),'DADOS_RESTRICOES'!$M$2:$Q$54,2,FALSE),"")=$OL139)),"Restrição repetida, contando a embutida",""),IF(IF(IFERROR(INDEX('DADOS_FORMAS'!$AS$2:$AS$21,MATCH(SUBSTITUTE(SUBSTITUTE(SUBSTITUTE($MU139,"~","~~"),"*","~*"),"?","~?"),'DADOS_FORMAS'!$AH$2:$AH$21,0)),"")="",0,IFERROR(N(VLOOKUP(SUBSTITUTE(SUBSTITUTE(SUBSTITUTE(IFERROR(INDEX('DADOS_FORMAS'!$AS$2:$AS$21,MATCH(SUBSTITUTE(SUBSTITUTE(SUBSTITUTE($MU139,"~","~~"),"*","~*"),"?","~?"),'DADOS_FORMAS'!$AH$2:$AH$21,0)),""),"~","~~"),"*","~*"),"?","~?"),'DADOS_RESTRICOES'!$M$2:$Q$54,4,FALSE)=1),0))+IF($NB139="",0,IFERROR(N(VLOOKUP(SUBSTITUTE(SUBSTITUTE(SUBSTITUTE($NB139,"~","~~"),"*","~*"),"?","~?"),'DADOS_RESTRICOES'!$M$2:$Q$54,4,FALSE)=1),0))+IF($NC139="",0,IFERROR(N(VLOOKUP(SUBSTITUTE(SUBSTITUTE(SUBSTITUTE($NC139,"~","~~"),"*","~*"),"?","~?"),'DADOS_RESTRICOES'!$M$2:$Q$54,4,FALSE)=1),0))&gt;1,"Duas Restrições de frequência, contando a embutida",""),IF(AND(IFERROR(VLOOKUP(SUBSTITUTE(SUBSTITUTE(SUBSTITUTE(IFERROR(INDEX('DADOS_FORMAS'!$AS$2:$AS$21,MATCH(SUBSTITUTE(SUBSTITUTE(SUBSTITUTE($MU139,"~","~~"),"*","~*"),"?","~?"),'DADOS_FORMAS'!$AH$2:$AH$21,0)),""),"~","~~"),"*","~*"),"?","~?"),'DADOS_RESTRICOES'!$M$2:$Q$54,2,FALSE),"")="Tudo ou Nada",$OH139=0),"Tudo ou Nada exige TR",""),IF(AND(IFERROR(VLOOKUP(SUBSTITUTE(SUBSTITUTE(SUBSTITUTE(IFERROR(INDEX('DADOS_FORMAS'!$AS$2:$AS$21,MATCH(SUBSTITUTE(SUBSTITUTE(SUBSTITUTE($MU139,"~","~~"),"*","~*"),"?","~?"),'DADOS_FORMAS'!$AH$2:$AH$21,0)),""),"~","~~"),"*","~*"),"?","~?"),'DADOS_RESTRICOES'!$M$2:$Q$54,2,FALSE),"")="Corpo a Corpo",OR($RO139="Cone",$RO139="Linha")),"Corpo a Corpo não entra em Cone/Linha","")))</f>
        <v/>
      </c>
      <c r="PU139" s="164">
        <f>IF($PT139="",0,(LEN($PT139)-LEN(SUBSTITUTE($PT139," · ","")))/3+1)</f>
        <v/>
      </c>
      <c r="PV139" s="164">
        <f>IF($ND139=0,"",TEXTJOIN(" · ",TRUE,IF($OX139&gt;2*$MS139,"A devolução parou no teto de "&amp;2*$MS139,""),IF($PA139&gt;0,"Devolução perdida: "&amp;$PA139&amp;IF($PA139&gt;1," pontos"," ponto")&amp;" sem Melhoria para pagar",""),IF(AND($OC139&gt;0,AND($MS139&gt;0,$OG139=0),$PD139=0),"Controle sem dano: uma rodada a mais e CD +2",""),IF(AND($OC139&gt;0,AND($MS139&gt;0,$OG139=0),$PD139&gt;0,$PD139&lt;=$MS139),"Controle com saldo até a Classe: uma rodada a mais",""),IF(AND($MS139&gt;0,$OE139&lt;&gt;""),"Efeito de "&amp;$OE139&amp;" pela Classe "&amp;MAX(1,$MS139-1),"")))</f>
        <v/>
      </c>
      <c r="PW139" s="164">
        <f>IF($PV139="",0,(LEN($PV139)-LEN(SUBSTITUTE($PV139," · ","")))/3+1)</f>
        <v/>
      </c>
      <c r="PX139" s="164">
        <f>IF($ND139=0,IF($OU139+COUNTIF($NB139:$NC139,"?*")&gt;0,"Dê um nome",""),IF($PU139&gt;0,"⚠ "&amp;$PU139&amp;IF($PU139&gt;1," erros"," erro"),IF($PW139&gt;0,"! "&amp;$PW139&amp;IF($PW139&gt;1," avisos"," aviso"),"Na regra")))</f>
        <v/>
      </c>
      <c r="PY139" s="164">
        <f>IF($ND139=0,"",IF($PU139+$PW139=0,"Dentro das regras que a ficha confere",$PT139&amp;IF(AND($PU139&gt;0,$PW139&gt;0)," · ","")&amp;$PV139))</f>
        <v/>
      </c>
      <c r="PZ139" s="164">
        <f>IF($MQ139&gt;$NE139,$MR139&amp;" · ABRE NO NÍVEL "&amp;$MQ139,$MR139)</f>
        <v/>
      </c>
      <c r="QA139" s="164">
        <f>IF($ND139=0,"",IF($MS139=0,"Sem PE",3*$MS139&amp;" PE"))</f>
        <v/>
      </c>
      <c r="QB139" s="164">
        <f>IF($ND139=0,"",IF($MS139=0,"A atuação básica dela",IF(COUNTIF($RQ139:$RS139,"Atrasar")&gt;0,"Sua Ação Completa",IF(COUNTIF($RK139:$RN139,"Rápido")&gt;0,"Sua Bônus",IF(COUNTIF($RK139:$RN139,"Reação")&gt;0,"Sua Reação","Sua Padrão")))&amp;" + a básica dela"&amp;IF(COUNTIF($RK139:$RN139,"Reação")&gt;0," e a coletiva","")&amp;IF(COUNTIF($RQ139:$RS139,"Carregar")&gt;0," · em dois turnos","")))</f>
        <v/>
      </c>
      <c r="QC139" s="164">
        <f>IF($MW139&lt;&gt;"",$MW139,IF($NJ139=0,"",INDEX('DADOS_FORMAS'!$GE$2:$GE$21,$NJ139)))</f>
        <v/>
      </c>
      <c r="QD139" s="164">
        <f>IF(OR($ND139=0,$NJ139=0),"",IF(COUNTIF($RK139:$RN139,"Inescapável")&gt;0,"Automático",IF($QC139="Ataque",IF($NH139="","Ataque","Ataque "&amp;IF(($NH139+2*IF(COUNTIF($RK139:$RN139,"Precisão")&gt;0,1,0))&gt;=0,"+","−")&amp;ABS(($NH139+2*IF(COUNTIF($RK139:$RN139,"Precisão")&gt;0,1,0))))&amp;IF($OD139&gt;0," · TR"&amp;IF($NI139="",""," CD "&amp;$NI139),""),IF(LEFT($QC139,2)="TR",$QC139&amp;IF($NI139="",""," · CD "&amp;$NI139)&amp;IF(COUNTIF($RK139:$RN139,"Certeiro")&gt;0," · metade",""),"Sem rolagem"))))</f>
        <v/>
      </c>
      <c r="QE139" s="164">
        <f>IF(OR($ND139=0,$NJ139=0),"",IF($MS139=0,IF(OR($OG139&gt;=1,$PD139=0),"Sem dano",$PD139&amp;"d6"&amp;IF($MV139="",""," "&amp;$MV139)),IF(OR($OG139&gt;=1,$PD139=0),UPPER(LEFT(INDEX($PM139:$PS139,1,MAX(1,$MS139)),1))&amp;MID(INDEX($PM139:$PS139,1,MAX(1,$MS139)),2,99),UPPER(LEFT(INDEX($PM139:$PS139,1,MAX(1,$MS139)),1))&amp;MID(INDEX($PM139:$PS139,1,MAX(1,$MS139)),2,99)&amp;IF($MV139="",""," "&amp;$MV139)&amp;IF($PE139&gt;0," · +"&amp;$PE139&amp;"d8",""))))</f>
        <v/>
      </c>
      <c r="QF139" s="164">
        <f>COUNTIF($RK139:$RN139,"Longe")+3*COUNTIF($RK139:$RN139,"Muito Longe")</f>
        <v/>
      </c>
      <c r="QG139" s="164">
        <f>COUNTIF($RK139:$RN139,"Maior")+3*COUNTIF($RK139:$RN139,"Muito Maior")</f>
        <v/>
      </c>
      <c r="QH139" s="164">
        <f>IF($NJ139=0,0,CHOOSE(1+INDEX('DADOS_FORMAS'!$GG$2:$GG$21,$NJ139),0,$QF139,$QG139,$QF139+$QG139))</f>
        <v/>
      </c>
      <c r="QI139" s="164">
        <f>IF($NJ139=0,0,CHOOSE(1+INDEX('DADOS_FORMAS'!$GH$2:$GH$21,$NJ139),0,$QF139,$QG139,$QF139+$QG139))</f>
        <v/>
      </c>
      <c r="QJ139" s="164">
        <f>IF(OR($ND139=0,$NJ139=0),"",INDEX('DADOS_FORMAS'!$HU$2:$HZ$81,($NJ139-1)*4+IF($MS139=0,1,IF($MS139&lt;=5,2,IF($MS139=6,3,4))),1+MIN(5,$QH139))&amp;INDEX('DADOS_FORMAS'!$IA$2:$IF$81,($NJ139-1)*4+IF($MS139=0,1,IF($MS139&lt;=5,2,IF($MS139=6,3,4))),1+MIN(5,$QI139))&amp;IF(INDEX('DADOS_FORMAS'!$GI$2:$GI$21,$NJ139)=1,IF(COUNTIF($RK139:$RN139,"Mais Um")&gt;0," · +"&amp;COUNTIF($RK139:$RN139,"Mais Um")&amp;IF(COUNTIF($RK139:$RN139,"Mais Um")&gt;1," alvos"," alvo"),"")&amp;IF(COUNTIF($RK139:$RN139,"Rajada")&gt;0,IF($MS139=0," · 1 tiro"," · "&amp;(MAX(1,$MS139-1)+1)&amp;" tiros"),""),""))</f>
        <v/>
      </c>
      <c r="QK139" s="164">
        <f>IF($ND139=0,"",IF($MS139=0,$NG139&amp;"d6"&amp;IF($OU139&gt;0," − 1 = "&amp;$PD139&amp;"d6"," da básica do nível "&amp;$NE139),$PB139&amp;" − "&amp;$OW139&amp;" + "&amp;$OZ139&amp;" = "&amp;$PC139&amp;" · teto "&amp;4*$MS139&amp;"d8"&amp;IF($OF139=1," · a Forma devolve "&amp;$MS139,"")&amp;IF($PA139&gt;0," · perde "&amp;$PA139,"")))</f>
        <v/>
      </c>
      <c r="QL139" s="164">
        <f>IF($ND139=0,"",IF($MS139=0,"A básica não amplia: os dados dela sobem com o nível",IF($MS139&gt;=$NF139,"Já está na maior Classe que o nível liberou",TEXTJOIN(" · ",TRUE,IF(AND(2&gt;$MS139,2&lt;=$NF139),"2 → "&amp;$PN139&amp;", 6 PE",""),IF(AND(3&gt;$MS139,3&lt;=$NF139),"3 → "&amp;$PO139&amp;", 9 PE",""),IF(AND(4&gt;$MS139,4&lt;=$NF139),"4 → "&amp;$PP139&amp;", 12 PE",""),IF(AND(5&gt;$MS139,5&lt;=$NF139),"5 → "&amp;$PQ139&amp;", 15 PE",""),IF(AND(6&gt;$MS139,6&lt;=$NF139),"6 → "&amp;$PR139&amp;", 18 PE",""),IF(AND(7&gt;$MS139,7&lt;=$NF139),"7 → "&amp;$PS139&amp;", 21 PE","")))))</f>
        <v/>
      </c>
      <c r="QM139" s="164">
        <f>IF(OR($ND139=0,$NO139=0),"",IF($MS139=0,"−1 dado","−"&amp;INDEX($I$2:$N$8,MAX(1,$MS139),MAX(1,$NT139))&amp;" · "&amp;CHOOSE(MAX(1,$NT139),"Leve","Média","Pesada","Leve · Livre","Média · Livre","Pesada · Livre")))</f>
        <v/>
      </c>
      <c r="QN139" s="164">
        <f>IF(OR($ND139=0,$NP139=0),"",IF($MS139=0,"−1 dado","−"&amp;INDEX($I$2:$N$8,MAX(1,$MS139),MAX(1,$NU139))&amp;" · "&amp;CHOOSE(MAX(1,$NU139),"Leve","Média","Pesada","Leve · Livre","Média · Livre","Pesada · Livre")))</f>
        <v/>
      </c>
      <c r="QO139" s="164">
        <f>IF(OR($ND139=0,$NQ139=0),"",IF($MS139=0,"−1 dado","−"&amp;INDEX($I$2:$N$8,MAX(1,$MS139),MAX(1,$NV139))&amp;" · "&amp;CHOOSE(MAX(1,$NV139),"Leve","Média","Pesada","Leve · Livre","Média · Livre","Pesada · Livre")))</f>
        <v/>
      </c>
      <c r="QP139" s="164">
        <f>IF(OR($ND139=0,$NR139=0),"",IF($MS139=0,"−1 dado","−"&amp;INDEX($I$2:$N$8,MAX(1,$MS139),MAX(1,$NW139))&amp;" · "&amp;CHOOSE(MAX(1,$NW139),"Leve","Média","Pesada","Leve · Livre","Média · Livre","Pesada · Livre")))</f>
        <v/>
      </c>
      <c r="QQ139" s="164">
        <f>IF(OR($ND139=0,$NB139=""),"",IF($MS139=0,"não devolve","+"&amp;IF($OI139=1,CEILING($MS139/2,1),$MS139)))</f>
        <v/>
      </c>
      <c r="QR139" s="164">
        <f>IF(OR($ND139=0,$NC139=""),"",IF($MS139=0,"não devolve","+"&amp;IF($OJ139=1,CEILING($MS139/2,1),$MS139)))</f>
        <v/>
      </c>
      <c r="RK139">
        <f>IF($MX139="","",IFERROR(VLOOKUP(SUBSTITUTE(SUBSTITUTE(SUBSTITUTE($MX139,"~","~~"),"*","~*"),"?","~?"),'DADOS_MELHORIAS'!$O$2:$X$113,10,FALSE),$MX139))</f>
        <v/>
      </c>
      <c r="RL139">
        <f>IF($MY139="","",IFERROR(VLOOKUP(SUBSTITUTE(SUBSTITUTE(SUBSTITUTE($MY139,"~","~~"),"*","~*"),"?","~?"),'DADOS_MELHORIAS'!$O$2:$X$113,10,FALSE),$MY139))</f>
        <v/>
      </c>
      <c r="RM139">
        <f>IF($MZ139="","",IFERROR(VLOOKUP(SUBSTITUTE(SUBSTITUTE(SUBSTITUTE($MZ139,"~","~~"),"*","~*"),"?","~?"),'DADOS_MELHORIAS'!$O$2:$X$113,10,FALSE),$MZ139))</f>
        <v/>
      </c>
      <c r="RN139">
        <f>IF($NA139="","",IFERROR(VLOOKUP(SUBSTITUTE(SUBSTITUTE(SUBSTITUTE($NA139,"~","~~"),"*","~*"),"?","~?"),'DADOS_MELHORIAS'!$O$2:$X$113,10,FALSE),$NA139))</f>
        <v/>
      </c>
      <c r="RO139">
        <f>IFERROR(INDEX('DADOS_FORMAS'!$BJ$2:$BJ$21,MATCH(SUBSTITUTE(SUBSTITUTE(SUBSTITUTE($MU139,"~","~~"),"*","~*"),"?","~?"),'DADOS_FORMAS'!$AH$2:$AH$21,0)),"")</f>
        <v/>
      </c>
      <c r="RP139">
        <f>IFERROR(VLOOKUP(SUBSTITUTE(SUBSTITUTE(SUBSTITUTE(IFERROR(INDEX('DADOS_FORMAS'!$AS$2:$AS$21,MATCH(SUBSTITUTE(SUBSTITUTE(SUBSTITUTE($MU139,"~","~~"),"*","~*"),"?","~?"),'DADOS_FORMAS'!$AH$2:$AH$21,0)),""),"~","~~"),"*","~*"),"?","~?"),'DADOS_RESTRICOES'!$M$2:$Q$54,2,FALSE),"")</f>
        <v/>
      </c>
      <c r="RQ139">
        <f>$OK139</f>
        <v/>
      </c>
      <c r="RR139">
        <f>$OL139</f>
        <v/>
      </c>
      <c r="RS139">
        <f>$RP139</f>
        <v/>
      </c>
    </row>
    <row r="140">
      <c r="MN140" s="162" t="inlineStr">
        <is>
          <t>Ficha 11 · Especial 7</t>
        </is>
      </c>
      <c r="MO140" s="164" t="n">
        <v>11</v>
      </c>
      <c r="MP140" s="164" t="n">
        <v>1</v>
      </c>
      <c r="MQ140" s="164" t="n">
        <v>24</v>
      </c>
      <c r="MR140" s="162" t="inlineStr">
        <is>
          <t>ESPECIAL 7</t>
        </is>
      </c>
      <c r="MS140" s="164">
        <f>MAX(1,MIN(7,N('INVOCAÇÕES'!$AN$971)))</f>
        <v/>
      </c>
      <c r="MT140" s="164">
        <f>'INVOCAÇÕES'!$AO$971&amp;""</f>
        <v/>
      </c>
      <c r="MU140" s="164">
        <f>'INVOCAÇÕES'!$AN$976&amp;""</f>
        <v/>
      </c>
      <c r="MV140" s="164">
        <f>'INVOCAÇÕES'!$AN$977&amp;""</f>
        <v/>
      </c>
      <c r="MW140" s="164">
        <f>'INVOCAÇÕES'!$AP$977&amp;""</f>
        <v/>
      </c>
      <c r="MX140" s="164">
        <f>'INVOCAÇÕES'!$AO$980&amp;""</f>
        <v/>
      </c>
      <c r="MY140" s="164">
        <f>'INVOCAÇÕES'!$AO$981&amp;""</f>
        <v/>
      </c>
      <c r="MZ140" s="164">
        <f>'INVOCAÇÕES'!$AO$982&amp;""</f>
        <v/>
      </c>
      <c r="NA140" s="164">
        <f>'INVOCAÇÕES'!$AO$983&amp;""</f>
        <v/>
      </c>
      <c r="NB140" s="164">
        <f>'INVOCAÇÕES'!$AO$984&amp;""</f>
        <v/>
      </c>
      <c r="NC140" s="164">
        <f>'INVOCAÇÕES'!$AO$985&amp;""</f>
        <v/>
      </c>
      <c r="ND140" s="164">
        <f>IF($MT140&lt;&gt;"",1,0)</f>
        <v/>
      </c>
      <c r="NE140" s="164">
        <f>INDEX($FO$2:$FO$13,$MO140)</f>
        <v/>
      </c>
      <c r="NF140" s="164">
        <f>INDEX($FP$2:$FP$13,$MO140)</f>
        <v/>
      </c>
      <c r="NG140" s="164">
        <f>INDEX($FQ$2:$FQ$13,$MO140)</f>
        <v/>
      </c>
      <c r="NH140" s="164">
        <f>INDEX($GB$2:$GB$13,$MO140)</f>
        <v/>
      </c>
      <c r="NI140" s="164">
        <f>INDEX($GC$2:$GC$13,$MO140)</f>
        <v/>
      </c>
      <c r="NJ140" s="164">
        <f>IFERROR(MATCH(SUBSTITUTE(SUBSTITUTE(SUBSTITUTE($MU140,"~","~~"),"*","~*"),"?","~?"),'DADOS_FORMAS'!$FZ$2:$FZ$21,0),0)</f>
        <v/>
      </c>
      <c r="NK140" s="164">
        <f>IFERROR(VLOOKUP(SUBSTITUTE(SUBSTITUTE(SUBSTITUTE($MX140,"~","~~"),"*","~*"),"?","~?"),'DADOS_MELHORIAS'!$AG$2:$AL$113,2,FALSE),"")</f>
        <v/>
      </c>
      <c r="NL140" s="164">
        <f>IFERROR(VLOOKUP(SUBSTITUTE(SUBSTITUTE(SUBSTITUTE($MY140,"~","~~"),"*","~*"),"?","~?"),'DADOS_MELHORIAS'!$AG$2:$AL$113,2,FALSE),"")</f>
        <v/>
      </c>
      <c r="NM140" s="164">
        <f>IFERROR(VLOOKUP(SUBSTITUTE(SUBSTITUTE(SUBSTITUTE($MZ140,"~","~~"),"*","~*"),"?","~?"),'DADOS_MELHORIAS'!$AG$2:$AL$113,2,FALSE),"")</f>
        <v/>
      </c>
      <c r="NN140" s="164">
        <f>IFERROR(VLOOKUP(SUBSTITUTE(SUBSTITUTE(SUBSTITUTE($NA140,"~","~~"),"*","~*"),"?","~?"),'DADOS_MELHORIAS'!$AG$2:$AL$113,2,FALSE),"")</f>
        <v/>
      </c>
      <c r="NO140" s="164">
        <f>IFERROR(VLOOKUP(SUBSTITUTE(SUBSTITUTE(SUBSTITUTE($MX140,"~","~~"),"*","~*"),"?","~?"),'DADOS_MELHORIAS'!$AG$2:$AL$113,3,FALSE),0)</f>
        <v/>
      </c>
      <c r="NP140" s="164">
        <f>IFERROR(VLOOKUP(SUBSTITUTE(SUBSTITUTE(SUBSTITUTE($MY140,"~","~~"),"*","~*"),"?","~?"),'DADOS_MELHORIAS'!$AG$2:$AL$113,3,FALSE),0)</f>
        <v/>
      </c>
      <c r="NQ140" s="164">
        <f>IFERROR(VLOOKUP(SUBSTITUTE(SUBSTITUTE(SUBSTITUTE($MZ140,"~","~~"),"*","~*"),"?","~?"),'DADOS_MELHORIAS'!$AG$2:$AL$113,3,FALSE),0)</f>
        <v/>
      </c>
      <c r="NR140" s="164">
        <f>IFERROR(VLOOKUP(SUBSTITUTE(SUBSTITUTE(SUBSTITUTE($NA140,"~","~~"),"*","~*"),"?","~?"),'DADOS_MELHORIAS'!$AG$2:$AL$113,3,FALSE),0)</f>
        <v/>
      </c>
      <c r="NS140" s="164">
        <f>IF($MS140=0,0,IF($NJ140=0,0,INDEX('DADOS_FORMAS'!$GB$2:$GB$21,$NJ140)))</f>
        <v/>
      </c>
      <c r="NT140" s="164">
        <f>IF(OR($NO140=0,$MS140=0),0,$NO140+3*IF(AND($NK140&lt;&gt;"",COUNTIF(INDEX($RB$2:$RJ$13,$MO140,0),$NK140)&gt;0),1,0))</f>
        <v/>
      </c>
      <c r="NU140" s="164">
        <f>IF(OR($NP140=0,$MS140=0),0,$NP140+3*IF(AND($NL140&lt;&gt;"",COUNTIF(INDEX($RB$2:$RJ$13,$MO140,0),$NL140)&gt;0),1,0))</f>
        <v/>
      </c>
      <c r="NV140" s="164">
        <f>IF(OR($NQ140=0,$MS140=0),0,$NQ140+3*IF(AND($NM140&lt;&gt;"",COUNTIF(INDEX($RB$2:$RJ$13,$MO140,0),$NM140)&gt;0),1,0))</f>
        <v/>
      </c>
      <c r="NW140" s="164">
        <f>IF(OR($NR140=0,$MS140=0),0,$NR140+3*IF(AND($NN140&lt;&gt;"",COUNTIF(INDEX($RB$2:$RJ$13,$MO140,0),$NN140)&gt;0),1,0))</f>
        <v/>
      </c>
      <c r="NX140" s="164">
        <f>IF($NJ140=0,0,IF(INDEX('DADOS_FORMAS'!$GA$2:$GA$21,$NJ140)="",0,IF((COUNTIF(INDEX($EL$2:$EP$13,$MO140,0),INDEX('DADOS_FORMAS'!$GA$2:$GA$21,$NJ140))+COUNTIF(INDEX($QV$2:$QY$13,$MO140,0),INDEX('DADOS_FORMAS'!$GA$2:$GA$21,$NJ140)))=0,1,0)))</f>
        <v/>
      </c>
      <c r="NY140" s="164">
        <f>IF(OR($NO140=0,$NK140=""),0,IF((COUNTIF(INDEX($EL$2:$EP$13,$MO140,0),$NK140)+COUNTIF(INDEX($QV$2:$QY$13,$MO140,0),$NK140))=0,1,0))</f>
        <v/>
      </c>
      <c r="NZ140" s="164">
        <f>IF(OR($NP140=0,$NL140=""),0,IF((COUNTIF(INDEX($EL$2:$EP$13,$MO140,0),$NL140)+COUNTIF(INDEX($QV$2:$QY$13,$MO140,0),$NL140))=0,1,0))</f>
        <v/>
      </c>
      <c r="OA140" s="164">
        <f>IF(OR($NQ140=0,$NM140=""),0,IF((COUNTIF(INDEX($EL$2:$EP$13,$MO140,0),$NM140)+COUNTIF(INDEX($QV$2:$QY$13,$MO140,0),$NM140))=0,1,0))</f>
        <v/>
      </c>
      <c r="OB140" s="164">
        <f>IF(OR($NR140=0,$NN140=""),0,IF((COUNTIF(INDEX($EL$2:$EP$13,$MO140,0),$NN140)+COUNTIF(INDEX($QV$2:$QY$13,$MO140,0),$NN140))=0,1,0))</f>
        <v/>
      </c>
      <c r="OC140" s="164">
        <f>IFERROR(VLOOKUP(SUBSTITUTE(SUBSTITUTE(SUBSTITUTE($MX140,"~","~~"),"*","~*"),"?","~?"),'DADOS_MELHORIAS'!$AG$2:$AL$113,4,FALSE),0)+IFERROR(VLOOKUP(SUBSTITUTE(SUBSTITUTE(SUBSTITUTE($MY140,"~","~~"),"*","~*"),"?","~?"),'DADOS_MELHORIAS'!$AG$2:$AL$113,4,FALSE),0)+IFERROR(VLOOKUP(SUBSTITUTE(SUBSTITUTE(SUBSTITUTE($MZ140,"~","~~"),"*","~*"),"?","~?"),'DADOS_MELHORIAS'!$AG$2:$AL$113,4,FALSE),0)+IFERROR(VLOOKUP(SUBSTITUTE(SUBSTITUTE(SUBSTITUTE($NA140,"~","~~"),"*","~*"),"?","~?"),'DADOS_MELHORIAS'!$AG$2:$AL$113,4,FALSE),0)</f>
        <v/>
      </c>
      <c r="OD140" s="164">
        <f>IFERROR(VLOOKUP(SUBSTITUTE(SUBSTITUTE(SUBSTITUTE($MX140,"~","~~"),"*","~*"),"?","~?"),'DADOS_MELHORIAS'!$AG$2:$AL$113,6,FALSE),0)+IFERROR(VLOOKUP(SUBSTITUTE(SUBSTITUTE(SUBSTITUTE($MY140,"~","~~"),"*","~*"),"?","~?"),'DADOS_MELHORIAS'!$AG$2:$AL$113,6,FALSE),0)+IFERROR(VLOOKUP(SUBSTITUTE(SUBSTITUTE(SUBSTITUTE($MZ140,"~","~~"),"*","~*"),"?","~?"),'DADOS_MELHORIAS'!$AG$2:$AL$113,6,FALSE),0)+IFERROR(VLOOKUP(SUBSTITUTE(SUBSTITUTE(SUBSTITUTE($NA140,"~","~~"),"*","~*"),"?","~?"),'DADOS_MELHORIAS'!$AG$2:$AL$113,6,FALSE),0)+IFERROR(N(AND(INDEX('DADOS_FORMAS'!$AO$2:$AO$21,MATCH(SUBSTITUTE(SUBSTITUTE(SUBSTITUTE($MU140,"~","~~"),"*","~*"),"?","~?"),'DADOS_FORMAS'!$AH$2:$AH$21,0))="Acerto",$OH140=1)),0)</f>
        <v/>
      </c>
      <c r="OE140" s="164">
        <f>TEXTJOIN(", ",TRUE,IF(IFERROR(VLOOKUP(SUBSTITUTE(SUBSTITUTE(SUBSTITUTE($MX140,"~","~~"),"*","~*"),"?","~?"),'DADOS_MELHORIAS'!$AG$2:$AL$113,5,FALSE),0)=1,$MX140,""),IF(IFERROR(VLOOKUP(SUBSTITUTE(SUBSTITUTE(SUBSTITUTE($MY140,"~","~~"),"*","~*"),"?","~?"),'DADOS_MELHORIAS'!$AG$2:$AL$113,5,FALSE),0)=1,$MY140,""),IF(IFERROR(VLOOKUP(SUBSTITUTE(SUBSTITUTE(SUBSTITUTE($MZ140,"~","~~"),"*","~*"),"?","~?"),'DADOS_MELHORIAS'!$AG$2:$AL$113,5,FALSE),0)=1,$MZ140,""),IF(IFERROR(VLOOKUP(SUBSTITUTE(SUBSTITUTE(SUBSTITUTE($NA140,"~","~~"),"*","~*"),"?","~?"),'DADOS_MELHORIAS'!$AG$2:$AL$113,5,FALSE),0)=1,$NA140,""))</f>
        <v/>
      </c>
      <c r="OF140" s="164">
        <f>IF($NJ140=0,0,INDEX('DADOS_FORMAS'!$GC$2:$GC$21,$NJ140))</f>
        <v/>
      </c>
      <c r="OG140" s="164">
        <f>IF($NJ140=0,0,INDEX('DADOS_FORMAS'!$GD$2:$GD$21,$NJ140))</f>
        <v/>
      </c>
      <c r="OH140" s="164">
        <f>IF($NJ140=0,0,INDEX('DADOS_FORMAS'!$GF$2:$GF$21,$NJ140))</f>
        <v/>
      </c>
      <c r="OI140" s="164">
        <f>IFERROR(VLOOKUP(SUBSTITUTE(SUBSTITUTE(SUBSTITUTE($NB140,"~","~~"),"*","~*"),"?","~?"),'DADOS_RESTRICOES'!$M$2:$Q$54,3,FALSE),0)</f>
        <v/>
      </c>
      <c r="OJ140" s="164">
        <f>IFERROR(VLOOKUP(SUBSTITUTE(SUBSTITUTE(SUBSTITUTE($NC140,"~","~~"),"*","~*"),"?","~?"),'DADOS_RESTRICOES'!$M$2:$Q$54,3,FALSE),0)</f>
        <v/>
      </c>
      <c r="OK140" s="164">
        <f>IFERROR(VLOOKUP(SUBSTITUTE(SUBSTITUTE(SUBSTITUTE($NB140,"~","~~"),"*","~*"),"?","~?"),'DADOS_RESTRICOES'!$M$2:$Q$54,2,FALSE),"")</f>
        <v/>
      </c>
      <c r="OL140" s="164">
        <f>IFERROR(VLOOKUP(SUBSTITUTE(SUBSTITUTE(SUBSTITUTE($NC140,"~","~~"),"*","~*"),"?","~?"),'DADOS_RESTRICOES'!$M$2:$Q$54,2,FALSE),"")</f>
        <v/>
      </c>
      <c r="OM140" s="164">
        <f>COUNTIF($NS140:$NW140,1)</f>
        <v/>
      </c>
      <c r="ON140" s="164">
        <f>COUNTIF($NS140:$NW140,2)</f>
        <v/>
      </c>
      <c r="OO140" s="164">
        <f>COUNTIF($NS140:$NW140,3)</f>
        <v/>
      </c>
      <c r="OP140" s="164">
        <f>COUNTIF($NS140:$NW140,4)</f>
        <v/>
      </c>
      <c r="OQ140" s="164">
        <f>COUNTIF($NS140:$NW140,5)</f>
        <v/>
      </c>
      <c r="OR140" s="164">
        <f>COUNTIF($NS140:$NW140,6)</f>
        <v/>
      </c>
      <c r="OS140" s="164">
        <f>COUNTIF($OI140:$OJ140,1)+IF(IFERROR(INDEX('DADOS_FORMAS'!$AS$2:$AS$21,MATCH(SUBSTITUTE(SUBSTITUTE(SUBSTITUTE($MU140,"~","~~"),"*","~*"),"?","~?"),'DADOS_FORMAS'!$AH$2:$AH$21,0)),"")="",0,IFERROR(N(VLOOKUP(SUBSTITUTE(SUBSTITUTE(SUBSTITUTE(IFERROR(INDEX('DADOS_FORMAS'!$AS$2:$AS$21,MATCH(SUBSTITUTE(SUBSTITUTE(SUBSTITUTE($MU140,"~","~~"),"*","~*"),"?","~?"),'DADOS_FORMAS'!$AH$2:$AH$21,0)),""),"~","~~"),"*","~*"),"?","~?"),'DADOS_RESTRICOES'!$M$2:$Q$54,3,FALSE)=1),0))</f>
        <v/>
      </c>
      <c r="OT140" s="164">
        <f>COUNTIF($OI140:$OJ140,2)+IF(IFERROR(INDEX('DADOS_FORMAS'!$AS$2:$AS$21,MATCH(SUBSTITUTE(SUBSTITUTE(SUBSTITUTE($MU140,"~","~~"),"*","~*"),"?","~?"),'DADOS_FORMAS'!$AH$2:$AH$21,0)),"")="",0,IFERROR(N(VLOOKUP(SUBSTITUTE(SUBSTITUTE(SUBSTITUTE(IFERROR(INDEX('DADOS_FORMAS'!$AS$2:$AS$21,MATCH(SUBSTITUTE(SUBSTITUTE(SUBSTITUTE($MU140,"~","~~"),"*","~*"),"?","~?"),'DADOS_FORMAS'!$AH$2:$AH$21,0)),""),"~","~~"),"*","~*"),"?","~?"),'DADOS_RESTRICOES'!$M$2:$Q$54,3,FALSE)=2),0))</f>
        <v/>
      </c>
      <c r="OU140" s="164">
        <f>COUNTIF($MX140:$NA140,"?*")</f>
        <v/>
      </c>
      <c r="OV140" s="164">
        <f>COUNTIF($NB140:$NC140,"?*")+$OF140</f>
        <v/>
      </c>
      <c r="OW140" s="164">
        <f>IF($MS140=0,0,SUMPRODUCT($OM140:$OR140,INDEX($I$2:$N$8,MAX(1,$MS140),0)))</f>
        <v/>
      </c>
      <c r="OX140" s="164">
        <f>IF($MS140=0,0,$OS140*CEILING($MS140/2,1)+$OT140*$MS140)</f>
        <v/>
      </c>
      <c r="OY140" s="164">
        <f>MIN(2*$MS140,$OX140)</f>
        <v/>
      </c>
      <c r="OZ140" s="164">
        <f>MIN($OY140,$OW140-IF($NS140=0,0,INDEX($I$2:$N$8,MAX(1,$MS140),$NS140)))</f>
        <v/>
      </c>
      <c r="PA140" s="164">
        <f>$OY140-$OZ140</f>
        <v/>
      </c>
      <c r="PB140" s="164">
        <f>IF($MS140=0,0,INDEX($P$2:$P$8,MAX(1,$MS140)))</f>
        <v/>
      </c>
      <c r="PC140" s="164">
        <f>$PB140-$OW140+$OZ140</f>
        <v/>
      </c>
      <c r="PD140" s="164">
        <f>IF($MS140=0,MAX(0,$NG140-IF(AND($OU140&gt;0,COUNTIF($NB140:$NC140,"?*")=0),1,0)),MAX(0,$PC140))</f>
        <v/>
      </c>
      <c r="PE140" s="164">
        <f>IF($MS140=0,0,(IF(COUNTIF($RK140:$RN140,"Salto")&gt;0,1,0)+IF(COUNTIF($RK140:$RN140,"Queima")&gt;0,1,0)+IF(COUNTIF($RK140:$RN140,"Estilhaço")&gt;0,1,0))*FLOOR($PD140/2,1))</f>
        <v/>
      </c>
      <c r="PF140" s="164">
        <f>MAX(0,2-SUMPRODUCT($OM140:$OR140,$I$2:$N$2)+MIN(2,$OS140*1+$OT140*1,SUMPRODUCT($OM140:$OR140,$I$2:$N$2)-IF($NS140=0,0,INDEX($I$2:$N$2,1,$NS140))))</f>
        <v/>
      </c>
      <c r="PG140" s="164">
        <f>MAX(0,4-SUMPRODUCT($OM140:$OR140,$I$3:$N$3)+MIN(4,$OS140*1+$OT140*2,SUMPRODUCT($OM140:$OR140,$I$3:$N$3)-IF($NS140=0,0,INDEX($I$3:$N$3,1,$NS140))))</f>
        <v/>
      </c>
      <c r="PH140" s="164">
        <f>MAX(0,6-SUMPRODUCT($OM140:$OR140,$I$4:$N$4)+MIN(6,$OS140*2+$OT140*3,SUMPRODUCT($OM140:$OR140,$I$4:$N$4)-IF($NS140=0,0,INDEX($I$4:$N$4,1,$NS140))))</f>
        <v/>
      </c>
      <c r="PI140" s="164">
        <f>MAX(0,9-SUMPRODUCT($OM140:$OR140,$I$5:$N$5)+MIN(8,$OS140*2+$OT140*4,SUMPRODUCT($OM140:$OR140,$I$5:$N$5)-IF($NS140=0,0,INDEX($I$5:$N$5,1,$NS140))))</f>
        <v/>
      </c>
      <c r="PJ140" s="164">
        <f>MAX(0,11-SUMPRODUCT($OM140:$OR140,$I$6:$N$6)+MIN(10,$OS140*3+$OT140*5,SUMPRODUCT($OM140:$OR140,$I$6:$N$6)-IF($NS140=0,0,INDEX($I$6:$N$6,1,$NS140))))</f>
        <v/>
      </c>
      <c r="PK140" s="164">
        <f>MAX(0,13-SUMPRODUCT($OM140:$OR140,$I$7:$N$7)+MIN(12,$OS140*3+$OT140*6,SUMPRODUCT($OM140:$OR140,$I$7:$N$7)-IF($NS140=0,0,INDEX($I$7:$N$7,1,$NS140))))</f>
        <v/>
      </c>
      <c r="PL140" s="164">
        <f>MAX(0,16-SUMPRODUCT($OM140:$OR140,$I$8:$N$8)+MIN(14,$OS140*4+$OT140*7,SUMPRODUCT($OM140:$OR140,$I$8:$N$8)-IF($NS140=0,0,INDEX($I$8:$N$8,1,$NS140))))</f>
        <v/>
      </c>
      <c r="PM140" s="164">
        <f>IF($OG140=2,3*$PF140&amp;" de vida temp.",IF($OG140=3,"sem dano",IF($PF140=0,IF($OG140=1,"sem cura","sem dano"),IF($OG140=1,"cura ","")&amp;$PF140&amp;"d8")))</f>
        <v/>
      </c>
      <c r="PN140" s="164">
        <f>IF($OG140=2,3*$PG140&amp;" de vida temp.",IF($OG140=3,"sem dano",IF($PG140=0,IF($OG140=1,"sem cura","sem dano"),IF($OG140=1,"cura ","")&amp;$PG140&amp;"d8")))</f>
        <v/>
      </c>
      <c r="PO140" s="164">
        <f>IF($OG140=2,3*$PH140&amp;" de vida temp.",IF($OG140=3,"sem dano",IF($PH140=0,IF($OG140=1,"sem cura","sem dano"),IF($OG140=1,"cura ","")&amp;$PH140&amp;"d8")))</f>
        <v/>
      </c>
      <c r="PP140" s="164">
        <f>IF($OG140=2,3*$PI140&amp;" de vida temp.",IF($OG140=3,"sem dano",IF($PI140=0,IF($OG140=1,"sem cura","sem dano"),IF($OG140=1,"cura ","")&amp;$PI140&amp;"d8")))</f>
        <v/>
      </c>
      <c r="PQ140" s="164">
        <f>IF($OG140=2,3*$PJ140&amp;" de vida temp.",IF($OG140=3,"sem dano",IF($PJ140=0,IF($OG140=1,"sem cura","sem dano"),IF($OG140=1,"cura ","")&amp;$PJ140&amp;"d8")))</f>
        <v/>
      </c>
      <c r="PR140" s="164">
        <f>IF($OG140=2,3*$PK140&amp;" de vida temp.",IF($OG140=3,"sem dano",IF($PK140=0,IF($OG140=1,"sem cura","sem dano"),IF($OG140=1,"cura ","")&amp;$PK140&amp;"d8")))</f>
        <v/>
      </c>
      <c r="PS140" s="164">
        <f>IF($OG140=2,3*$PL140&amp;" de vida temp.",IF($OG140=3,"sem dano",IF($PL140=0,IF($OG140=1,"sem cura","sem dano"),IF($OG140=1,"cura ","")&amp;$PL140&amp;"d8")))</f>
        <v/>
      </c>
      <c r="PT140" s="164">
        <f>IF($ND140=0,"",TEXTJOIN(" · ",TRUE,IF($ND140=0,"",TEXTJOIN(" · ",TRUE,IF($ND140=0,"",TEXTJOIN(" · ",TRUE,IF($MQ140&gt;$NE140,"Este lugar abre no nível "&amp;$MQ140,""),IF($MS140&gt;$NF140,"Classe "&amp;$MS140&amp;": o nível "&amp;$NE140&amp;" libera até a "&amp;$NF140,""),IF($NX140=1,"A Forma "&amp;$MU140&amp;" pede "&amp;INDEX('DADOS_FORMAS'!$GA$2:$GA$21,$NJ140)&amp;" aberta",""),IF(AND($MS140=0,$NJ140&gt;0,IF($NJ140=0,0,INDEX('DADOS_FORMAS'!$GJ$2:$GJ$21,$NJ140))=0),$MU140&amp;" não existe na Classe 0",""),IF($NY140=1,"Família Fechada: "&amp;$MX140,""),IF($NZ140=1,"Família Fechada: "&amp;$MY140,""),IF($OA140=1,"Família Fechada: "&amp;$MZ140,""),IF($OB140=1,"Família Fechada: "&amp;$NA140,""),IF(AND($MS140&gt;0,$OU140&gt;INDEX($O$2:$O$8,MAX(1,$MS140))),$OU140&amp;" Melhorias: a Classe "&amp;$MS140&amp;" aceita "&amp;INDEX($O$2:$O$8,MAX(1,$MS140)),""),IF(AND($MS140=0,$OU140&gt;1),"A básica aceita uma Melhoria",""),IF(AND($MS140=0,COUNTIF($NO140:$NR140,"&gt;1")&gt;0),"A básica só aceita Melhoria Leve",""),IF(AND($MS140&gt;0,$OV140&gt;2),$OV140&amp;" Restrições"&amp;IF($OF140=1,", contando a que a Forma "&amp;$MU140&amp;" já traz","")&amp;": o limite é 2",""),IF(AND($MS140=0,COUNTIF($NB140:$NC140,"?*")&gt;1),"A básica aceita uma Restrição Leve",""),IF(AND($MS140=0,COUNTIF($OI140:$OJ140,2)&gt;0),"A básica só aceita Restrição Leve",""),IF(AND($MS140&gt;0,$PC140&lt;0),"Orçamento estourado: faltam "&amp;(-$PC140)&amp;IF($PC140&lt;-1," pontos"," ponto"),""),IF(IFERROR(VLOOKUP(SUBSTITUTE(SUBSTITUTE(SUBSTITUTE($NB140,"~","~~"),"*","~*"),"?","~?"),'DADOS_RESTRICOES'!$M$2:$Q$54,4,FALSE),0)+IFERROR(VLOOKUP(SUBSTITUTE(SUBSTITUTE(SUBSTITUTE($NC140,"~","~~"),"*","~*"),"?","~?"),'DADOS_RESTRICOES'!$M$2:$Q$54,4,FALSE),0)&gt;1,$OK140&amp;" e "&amp;$OL140&amp;" são as duas de frequência",""),IF(AND((COUNTIF($RK140:$RN140,"Rápido")+COUNTIF($OK140:$OL140,"Rápido"))&gt;0,(COUNTIF($MX140:$NA140,"Atrasar")+COUNTIF($OK140:$OL140,"Atrasar"))&gt;0),"Rápido não entra com Atrasar",""),IF(AND((COUNTIF($RK140:$RN140,"Reação")+COUNTIF($OK140:$OL140,"Reação"))&gt;0,(COUNTIF($RK140:$RN140,"Rápido")+COUNTIF($OK140:$OL140,"Rápido"))&gt;0),"Reação não entra com Rápido",""),IF(AND((COUNTIF($RK140:$RN140,"Reação")+COUNTIF($OK140:$OL140,"Reação"))&gt;0,(COUNTIF($RK140:$RN140,"Armado")+COUNTIF($OK140:$OL140,"Armado"))&gt;0),"Reação não entra com Armado",""),IF(AND((COUNTIF($RK140:$RN140,"Reação")+COUNTIF($OK140:$OL140,"Reação"))&gt;0,(COUNTIF($MX140:$NA140,"Atrasar")+COUNTIF($OK140:$OL140,"Atrasar"))&gt;0),"Reação não entra com Atrasar",""),IF(AND((COUNTIF($RK140:$RN140,"Reação")+COUNTIF($OK140:$OL140,"Reação"))&gt;0,(COUNTIF($MX140:$NA140,"Parado")+COUNTIF($OK140:$OL140,"Parado"))&gt;0),"Reação não entra com Parado",""),IF(AND((COUNTIF($MX140:$NA140,"Atrasar")+COUNTIF($OK140:$OL140,"Atrasar"))&gt;0,(COUNTIF($MX140:$NA140,"Parado")+COUNTIF($OK140:$OL140,"Parado"))&gt;0),"Atrasar não entra com Parado",""),IF(AND((COUNTIF($RK140:$RN140,"Armado")+COUNTIF($OK140:$OL140,"Armado"))&gt;0,(COUNTIF($MX140:$NA140,"Carregar")+COUNTIF($OK140:$OL140,"Carregar"))&gt;0),"Armado não entra com Carregar",""),IF(AND(COUNTIF($OK140:$OL140,"Corpo a Corpo")&gt;0,$OF140=0,OR($RO140="Cone",$RO140="Linha")),"Corpo a Corpo não entra em "&amp;$MU140,""),IF(AND(COUNTIF($OK140:$OL140,"Corpo a Corpo")&gt;0,$RP140="Corpo a Corpo"),"A Forma "&amp;$MU140&amp;" já traz o Corpo a Corpo",""),IF(AND(COUNTIF($OK140:$OL140,"Tudo ou Nada")&gt;0,$OH140=0),"Tudo ou Nada só entra em habilidade de Teste de Resistência",""),IF(AND(COUNTIF($RK140:$RN140,"Inescapável")&gt;0,OR($OU140&gt;1,$OV140&gt;0)),"Inescapável não aceita outra peça",""),IF(AND($MS140&gt;0,$PD140*IF(COUNTIF($RK140:$RN140,"Remate")&gt;0,1.25,1)+$PE140&gt;4*$MS140),($PD140*IF(COUNTIF($RK140:$RN140,"Remate")&gt;0,1.25,1)+$PE140)&amp;" dados somando repetições"&amp;IF(COUNTIF($RK140:$RN140,"Remate")&gt;0," e o Remate","")&amp;": o teto da Classe "&amp;$MS140&amp;" é "&amp;4*$MS140,""))),IF(AND($MX140&lt;&gt;"",COUNTIF('DADOS_MELHORIAS'!$O$2:$O$113,SUBSTITUTE(SUBSTITUTE(SUBSTITUTE($MX140,"~","~~"),"*","~*"),"?","~?"))=0),"Melhoria não cadastrada ou com erro: "&amp;$MX140,""),IF(AND($MY140&lt;&gt;"",COUNTIF('DADOS_MELHORIAS'!$O$2:$O$113,SUBSTITUTE(SUBSTITUTE(SUBSTITUTE($MY140,"~","~~"),"*","~*"),"?","~?"))=0),"Melhoria não cadastrada ou com erro: "&amp;$MY140,""),IF(AND($MZ140&lt;&gt;"",COUNTIF('DADOS_MELHORIAS'!$O$2:$O$113,SUBSTITUTE(SUBSTITUTE(SUBSTITUTE($MZ140,"~","~~"),"*","~*"),"?","~?"))=0),"Melhoria não cadastrada ou com erro: "&amp;$MZ140,""),IF(AND($NA140&lt;&gt;"",COUNTIF('DADOS_MELHORIAS'!$O$2:$O$113,SUBSTITUTE(SUBSTITUTE(SUBSTITUTE($NA140,"~","~~"),"*","~*"),"?","~?"))=0),"Melhoria não cadastrada ou com erro: "&amp;$NA140,""),IF(AND($NB140&lt;&gt;"",COUNTIF('DADOS_RESTRICOES'!$M$2:$M$54,SUBSTITUTE(SUBSTITUTE(SUBSTITUTE($NB140,"~","~~"),"*","~*"),"?","~?"))=0),"Restrição não cadastrada ou com erro: "&amp;$NB140,""),IF(AND($NC140&lt;&gt;"",COUNTIF('DADOS_RESTRICOES'!$M$2:$M$54,SUBSTITUTE(SUBSTITUTE(SUBSTITUTE($NC140,"~","~~"),"*","~*"),"?","~?"))=0),"Restrição não cadastrada ou com erro: "&amp;$NC140,""))),IF(AND($MU140&lt;&gt;"",COUNTIF('DADOS_FORMAS'!$AH$2:$AH$21,SUBSTITUTE(SUBSTITUTE(SUBSTITUTE($MU140,"~","~~"),"*","~*"),"?","~?"))=0),"Forma não cadastrada ou com erro: "&amp;$MU140,""),IF(AND(IFERROR(INDEX('DADOS_FORMAS'!$AS$2:$AS$21,MATCH(SUBSTITUTE(SUBSTITUTE(SUBSTITUTE($MU140,"~","~~"),"*","~*"),"?","~?"),'DADOS_FORMAS'!$AH$2:$AH$21,0)),"")&lt;&gt;"",OR(IFERROR(VLOOKUP(SUBSTITUTE(SUBSTITUTE(SUBSTITUTE(IFERROR(INDEX('DADOS_FORMAS'!$AS$2:$AS$21,MATCH(SUBSTITUTE(SUBSTITUTE(SUBSTITUTE($MU140,"~","~~"),"*","~*"),"?","~?"),'DADOS_FORMAS'!$AH$2:$AH$21,0)),""),"~","~~"),"*","~*"),"?","~?"),'DADOS_RESTRICOES'!$M$2:$Q$54,2,FALSE),"")=$OK140,IFERROR(VLOOKUP(SUBSTITUTE(SUBSTITUTE(SUBSTITUTE(IFERROR(INDEX('DADOS_FORMAS'!$AS$2:$AS$21,MATCH(SUBSTITUTE(SUBSTITUTE(SUBSTITUTE($MU140,"~","~~"),"*","~*"),"?","~?"),'DADOS_FORMAS'!$AH$2:$AH$21,0)),""),"~","~~"),"*","~*"),"?","~?"),'DADOS_RESTRICOES'!$M$2:$Q$54,2,FALSE),"")=$OL140)),"Restrição repetida, contando a embutida",""),IF(IF(IFERROR(INDEX('DADOS_FORMAS'!$AS$2:$AS$21,MATCH(SUBSTITUTE(SUBSTITUTE(SUBSTITUTE($MU140,"~","~~"),"*","~*"),"?","~?"),'DADOS_FORMAS'!$AH$2:$AH$21,0)),"")="",0,IFERROR(N(VLOOKUP(SUBSTITUTE(SUBSTITUTE(SUBSTITUTE(IFERROR(INDEX('DADOS_FORMAS'!$AS$2:$AS$21,MATCH(SUBSTITUTE(SUBSTITUTE(SUBSTITUTE($MU140,"~","~~"),"*","~*"),"?","~?"),'DADOS_FORMAS'!$AH$2:$AH$21,0)),""),"~","~~"),"*","~*"),"?","~?"),'DADOS_RESTRICOES'!$M$2:$Q$54,4,FALSE)=1),0))+IF($NB140="",0,IFERROR(N(VLOOKUP(SUBSTITUTE(SUBSTITUTE(SUBSTITUTE($NB140,"~","~~"),"*","~*"),"?","~?"),'DADOS_RESTRICOES'!$M$2:$Q$54,4,FALSE)=1),0))+IF($NC140="",0,IFERROR(N(VLOOKUP(SUBSTITUTE(SUBSTITUTE(SUBSTITUTE($NC140,"~","~~"),"*","~*"),"?","~?"),'DADOS_RESTRICOES'!$M$2:$Q$54,4,FALSE)=1),0))&gt;1,"Duas Restrições de frequência, contando a embutida",""),IF(AND(IFERROR(VLOOKUP(SUBSTITUTE(SUBSTITUTE(SUBSTITUTE(IFERROR(INDEX('DADOS_FORMAS'!$AS$2:$AS$21,MATCH(SUBSTITUTE(SUBSTITUTE(SUBSTITUTE($MU140,"~","~~"),"*","~*"),"?","~?"),'DADOS_FORMAS'!$AH$2:$AH$21,0)),""),"~","~~"),"*","~*"),"?","~?"),'DADOS_RESTRICOES'!$M$2:$Q$54,2,FALSE),"")="Tudo ou Nada",$OH140=0),"Tudo ou Nada exige TR",""),IF(AND(IFERROR(VLOOKUP(SUBSTITUTE(SUBSTITUTE(SUBSTITUTE(IFERROR(INDEX('DADOS_FORMAS'!$AS$2:$AS$21,MATCH(SUBSTITUTE(SUBSTITUTE(SUBSTITUTE($MU140,"~","~~"),"*","~*"),"?","~?"),'DADOS_FORMAS'!$AH$2:$AH$21,0)),""),"~","~~"),"*","~*"),"?","~?"),'DADOS_RESTRICOES'!$M$2:$Q$54,2,FALSE),"")="Corpo a Corpo",OR($RO140="Cone",$RO140="Linha")),"Corpo a Corpo não entra em Cone/Linha","")))</f>
        <v/>
      </c>
      <c r="PU140" s="164">
        <f>IF($PT140="",0,(LEN($PT140)-LEN(SUBSTITUTE($PT140," · ","")))/3+1)</f>
        <v/>
      </c>
      <c r="PV140" s="164">
        <f>IF($ND140=0,"",TEXTJOIN(" · ",TRUE,IF($OX140&gt;2*$MS140,"A devolução parou no teto de "&amp;2*$MS140,""),IF($PA140&gt;0,"Devolução perdida: "&amp;$PA140&amp;IF($PA140&gt;1," pontos"," ponto")&amp;" sem Melhoria para pagar",""),IF(AND($OC140&gt;0,AND($MS140&gt;0,$OG140=0),$PD140=0),"Controle sem dano: uma rodada a mais e CD +2",""),IF(AND($OC140&gt;0,AND($MS140&gt;0,$OG140=0),$PD140&gt;0,$PD140&lt;=$MS140),"Controle com saldo até a Classe: uma rodada a mais",""),IF(AND($MS140&gt;0,$OE140&lt;&gt;""),"Efeito de "&amp;$OE140&amp;" pela Classe "&amp;MAX(1,$MS140-1),"")))</f>
        <v/>
      </c>
      <c r="PW140" s="164">
        <f>IF($PV140="",0,(LEN($PV140)-LEN(SUBSTITUTE($PV140," · ","")))/3+1)</f>
        <v/>
      </c>
      <c r="PX140" s="164">
        <f>IF($ND140=0,IF($OU140+COUNTIF($NB140:$NC140,"?*")&gt;0,"Dê um nome",""),IF($PU140&gt;0,"⚠ "&amp;$PU140&amp;IF($PU140&gt;1," erros"," erro"),IF($PW140&gt;0,"! "&amp;$PW140&amp;IF($PW140&gt;1," avisos"," aviso"),"Na regra")))</f>
        <v/>
      </c>
      <c r="PY140" s="164">
        <f>IF($ND140=0,"",IF($PU140+$PW140=0,"Dentro das regras que a ficha confere",$PT140&amp;IF(AND($PU140&gt;0,$PW140&gt;0)," · ","")&amp;$PV140))</f>
        <v/>
      </c>
      <c r="PZ140" s="164">
        <f>IF($MQ140&gt;$NE140,$MR140&amp;" · ABRE NO NÍVEL "&amp;$MQ140,$MR140)</f>
        <v/>
      </c>
      <c r="QA140" s="164">
        <f>IF($ND140=0,"",IF($MS140=0,"Sem PE",3*$MS140&amp;" PE"))</f>
        <v/>
      </c>
      <c r="QB140" s="164">
        <f>IF($ND140=0,"",IF($MS140=0,"A atuação básica dela",IF(COUNTIF($RQ140:$RS140,"Atrasar")&gt;0,"Sua Ação Completa",IF(COUNTIF($RK140:$RN140,"Rápido")&gt;0,"Sua Bônus",IF(COUNTIF($RK140:$RN140,"Reação")&gt;0,"Sua Reação","Sua Padrão")))&amp;" + a básica dela"&amp;IF(COUNTIF($RK140:$RN140,"Reação")&gt;0," e a coletiva","")&amp;IF(COUNTIF($RQ140:$RS140,"Carregar")&gt;0," · em dois turnos","")))</f>
        <v/>
      </c>
      <c r="QC140" s="164">
        <f>IF($MW140&lt;&gt;"",$MW140,IF($NJ140=0,"",INDEX('DADOS_FORMAS'!$GE$2:$GE$21,$NJ140)))</f>
        <v/>
      </c>
      <c r="QD140" s="164">
        <f>IF(OR($ND140=0,$NJ140=0),"",IF(COUNTIF($RK140:$RN140,"Inescapável")&gt;0,"Automático",IF($QC140="Ataque",IF($NH140="","Ataque","Ataque "&amp;IF(($NH140+2*IF(COUNTIF($RK140:$RN140,"Precisão")&gt;0,1,0))&gt;=0,"+","−")&amp;ABS(($NH140+2*IF(COUNTIF($RK140:$RN140,"Precisão")&gt;0,1,0))))&amp;IF($OD140&gt;0," · TR"&amp;IF($NI140="",""," CD "&amp;$NI140),""),IF(LEFT($QC140,2)="TR",$QC140&amp;IF($NI140="",""," · CD "&amp;$NI140)&amp;IF(COUNTIF($RK140:$RN140,"Certeiro")&gt;0," · metade",""),"Sem rolagem"))))</f>
        <v/>
      </c>
      <c r="QE140" s="164">
        <f>IF(OR($ND140=0,$NJ140=0),"",IF($MS140=0,IF(OR($OG140&gt;=1,$PD140=0),"Sem dano",$PD140&amp;"d6"&amp;IF($MV140="",""," "&amp;$MV140)),IF(OR($OG140&gt;=1,$PD140=0),UPPER(LEFT(INDEX($PM140:$PS140,1,MAX(1,$MS140)),1))&amp;MID(INDEX($PM140:$PS140,1,MAX(1,$MS140)),2,99),UPPER(LEFT(INDEX($PM140:$PS140,1,MAX(1,$MS140)),1))&amp;MID(INDEX($PM140:$PS140,1,MAX(1,$MS140)),2,99)&amp;IF($MV140="",""," "&amp;$MV140)&amp;IF($PE140&gt;0," · +"&amp;$PE140&amp;"d8",""))))</f>
        <v/>
      </c>
      <c r="QF140" s="164">
        <f>COUNTIF($RK140:$RN140,"Longe")+3*COUNTIF($RK140:$RN140,"Muito Longe")</f>
        <v/>
      </c>
      <c r="QG140" s="164">
        <f>COUNTIF($RK140:$RN140,"Maior")+3*COUNTIF($RK140:$RN140,"Muito Maior")</f>
        <v/>
      </c>
      <c r="QH140" s="164">
        <f>IF($NJ140=0,0,CHOOSE(1+INDEX('DADOS_FORMAS'!$GG$2:$GG$21,$NJ140),0,$QF140,$QG140,$QF140+$QG140))</f>
        <v/>
      </c>
      <c r="QI140" s="164">
        <f>IF($NJ140=0,0,CHOOSE(1+INDEX('DADOS_FORMAS'!$GH$2:$GH$21,$NJ140),0,$QF140,$QG140,$QF140+$QG140))</f>
        <v/>
      </c>
      <c r="QJ140" s="164">
        <f>IF(OR($ND140=0,$NJ140=0),"",INDEX('DADOS_FORMAS'!$HU$2:$HZ$81,($NJ140-1)*4+IF($MS140=0,1,IF($MS140&lt;=5,2,IF($MS140=6,3,4))),1+MIN(5,$QH140))&amp;INDEX('DADOS_FORMAS'!$IA$2:$IF$81,($NJ140-1)*4+IF($MS140=0,1,IF($MS140&lt;=5,2,IF($MS140=6,3,4))),1+MIN(5,$QI140))&amp;IF(INDEX('DADOS_FORMAS'!$GI$2:$GI$21,$NJ140)=1,IF(COUNTIF($RK140:$RN140,"Mais Um")&gt;0," · +"&amp;COUNTIF($RK140:$RN140,"Mais Um")&amp;IF(COUNTIF($RK140:$RN140,"Mais Um")&gt;1," alvos"," alvo"),"")&amp;IF(COUNTIF($RK140:$RN140,"Rajada")&gt;0,IF($MS140=0," · 1 tiro"," · "&amp;(MAX(1,$MS140-1)+1)&amp;" tiros"),""),""))</f>
        <v/>
      </c>
      <c r="QK140" s="164">
        <f>IF($ND140=0,"",IF($MS140=0,$NG140&amp;"d6"&amp;IF($OU140&gt;0," − 1 = "&amp;$PD140&amp;"d6"," da básica do nível "&amp;$NE140),$PB140&amp;" − "&amp;$OW140&amp;" + "&amp;$OZ140&amp;" = "&amp;$PC140&amp;" · teto "&amp;4*$MS140&amp;"d8"&amp;IF($OF140=1," · a Forma devolve "&amp;$MS140,"")&amp;IF($PA140&gt;0," · perde "&amp;$PA140,"")))</f>
        <v/>
      </c>
      <c r="QL140" s="164">
        <f>IF($ND140=0,"",IF($MS140=0,"A básica não amplia: os dados dela sobem com o nível",IF($MS140&gt;=$NF140,"Já está na maior Classe que o nível liberou",TEXTJOIN(" · ",TRUE,IF(AND(2&gt;$MS140,2&lt;=$NF140),"2 → "&amp;$PN140&amp;", 6 PE",""),IF(AND(3&gt;$MS140,3&lt;=$NF140),"3 → "&amp;$PO140&amp;", 9 PE",""),IF(AND(4&gt;$MS140,4&lt;=$NF140),"4 → "&amp;$PP140&amp;", 12 PE",""),IF(AND(5&gt;$MS140,5&lt;=$NF140),"5 → "&amp;$PQ140&amp;", 15 PE",""),IF(AND(6&gt;$MS140,6&lt;=$NF140),"6 → "&amp;$PR140&amp;", 18 PE",""),IF(AND(7&gt;$MS140,7&lt;=$NF140),"7 → "&amp;$PS140&amp;", 21 PE","")))))</f>
        <v/>
      </c>
      <c r="QM140" s="164">
        <f>IF(OR($ND140=0,$NO140=0),"",IF($MS140=0,"−1 dado","−"&amp;INDEX($I$2:$N$8,MAX(1,$MS140),MAX(1,$NT140))&amp;" · "&amp;CHOOSE(MAX(1,$NT140),"Leve","Média","Pesada","Leve · Livre","Média · Livre","Pesada · Livre")))</f>
        <v/>
      </c>
      <c r="QN140" s="164">
        <f>IF(OR($ND140=0,$NP140=0),"",IF($MS140=0,"−1 dado","−"&amp;INDEX($I$2:$N$8,MAX(1,$MS140),MAX(1,$NU140))&amp;" · "&amp;CHOOSE(MAX(1,$NU140),"Leve","Média","Pesada","Leve · Livre","Média · Livre","Pesada · Livre")))</f>
        <v/>
      </c>
      <c r="QO140" s="164">
        <f>IF(OR($ND140=0,$NQ140=0),"",IF($MS140=0,"−1 dado","−"&amp;INDEX($I$2:$N$8,MAX(1,$MS140),MAX(1,$NV140))&amp;" · "&amp;CHOOSE(MAX(1,$NV140),"Leve","Média","Pesada","Leve · Livre","Média · Livre","Pesada · Livre")))</f>
        <v/>
      </c>
      <c r="QP140" s="164">
        <f>IF(OR($ND140=0,$NR140=0),"",IF($MS140=0,"−1 dado","−"&amp;INDEX($I$2:$N$8,MAX(1,$MS140),MAX(1,$NW140))&amp;" · "&amp;CHOOSE(MAX(1,$NW140),"Leve","Média","Pesada","Leve · Livre","Média · Livre","Pesada · Livre")))</f>
        <v/>
      </c>
      <c r="QQ140" s="164">
        <f>IF(OR($ND140=0,$NB140=""),"",IF($MS140=0,"não devolve","+"&amp;IF($OI140=1,CEILING($MS140/2,1),$MS140)))</f>
        <v/>
      </c>
      <c r="QR140" s="164">
        <f>IF(OR($ND140=0,$NC140=""),"",IF($MS140=0,"não devolve","+"&amp;IF($OJ140=1,CEILING($MS140/2,1),$MS140)))</f>
        <v/>
      </c>
      <c r="RK140">
        <f>IF($MX140="","",IFERROR(VLOOKUP(SUBSTITUTE(SUBSTITUTE(SUBSTITUTE($MX140,"~","~~"),"*","~*"),"?","~?"),'DADOS_MELHORIAS'!$O$2:$X$113,10,FALSE),$MX140))</f>
        <v/>
      </c>
      <c r="RL140">
        <f>IF($MY140="","",IFERROR(VLOOKUP(SUBSTITUTE(SUBSTITUTE(SUBSTITUTE($MY140,"~","~~"),"*","~*"),"?","~?"),'DADOS_MELHORIAS'!$O$2:$X$113,10,FALSE),$MY140))</f>
        <v/>
      </c>
      <c r="RM140">
        <f>IF($MZ140="","",IFERROR(VLOOKUP(SUBSTITUTE(SUBSTITUTE(SUBSTITUTE($MZ140,"~","~~"),"*","~*"),"?","~?"),'DADOS_MELHORIAS'!$O$2:$X$113,10,FALSE),$MZ140))</f>
        <v/>
      </c>
      <c r="RN140">
        <f>IF($NA140="","",IFERROR(VLOOKUP(SUBSTITUTE(SUBSTITUTE(SUBSTITUTE($NA140,"~","~~"),"*","~*"),"?","~?"),'DADOS_MELHORIAS'!$O$2:$X$113,10,FALSE),$NA140))</f>
        <v/>
      </c>
      <c r="RO140">
        <f>IFERROR(INDEX('DADOS_FORMAS'!$BJ$2:$BJ$21,MATCH(SUBSTITUTE(SUBSTITUTE(SUBSTITUTE($MU140,"~","~~"),"*","~*"),"?","~?"),'DADOS_FORMAS'!$AH$2:$AH$21,0)),"")</f>
        <v/>
      </c>
      <c r="RP140">
        <f>IFERROR(VLOOKUP(SUBSTITUTE(SUBSTITUTE(SUBSTITUTE(IFERROR(INDEX('DADOS_FORMAS'!$AS$2:$AS$21,MATCH(SUBSTITUTE(SUBSTITUTE(SUBSTITUTE($MU140,"~","~~"),"*","~*"),"?","~?"),'DADOS_FORMAS'!$AH$2:$AH$21,0)),""),"~","~~"),"*","~*"),"?","~?"),'DADOS_RESTRICOES'!$M$2:$Q$54,2,FALSE),"")</f>
        <v/>
      </c>
      <c r="RQ140">
        <f>$OK140</f>
        <v/>
      </c>
      <c r="RR140">
        <f>$OL140</f>
        <v/>
      </c>
      <c r="RS140">
        <f>$RP140</f>
        <v/>
      </c>
    </row>
    <row r="141">
      <c r="MN141" s="162" t="inlineStr">
        <is>
          <t>Ficha 11 · Especial 8</t>
        </is>
      </c>
      <c r="MO141" s="164" t="n">
        <v>11</v>
      </c>
      <c r="MP141" s="164" t="n">
        <v>1</v>
      </c>
      <c r="MQ141" s="164" t="n">
        <v>28</v>
      </c>
      <c r="MR141" s="162" t="inlineStr">
        <is>
          <t>ESPECIAL 8</t>
        </is>
      </c>
      <c r="MS141" s="164">
        <f>MAX(1,MIN(7,N('INVOCAÇÕES'!$AB$993)))</f>
        <v/>
      </c>
      <c r="MT141" s="164">
        <f>'INVOCAÇÕES'!$AC$993&amp;""</f>
        <v/>
      </c>
      <c r="MU141" s="164">
        <f>'INVOCAÇÕES'!$AB$998&amp;""</f>
        <v/>
      </c>
      <c r="MV141" s="164">
        <f>'INVOCAÇÕES'!$AB$999&amp;""</f>
        <v/>
      </c>
      <c r="MW141" s="164">
        <f>'INVOCAÇÕES'!$AD$999&amp;""</f>
        <v/>
      </c>
      <c r="MX141" s="164">
        <f>'INVOCAÇÕES'!$AC$1002&amp;""</f>
        <v/>
      </c>
      <c r="MY141" s="164">
        <f>'INVOCAÇÕES'!$AC$1003&amp;""</f>
        <v/>
      </c>
      <c r="MZ141" s="164">
        <f>'INVOCAÇÕES'!$AC$1004&amp;""</f>
        <v/>
      </c>
      <c r="NA141" s="164">
        <f>'INVOCAÇÕES'!$AC$1005&amp;""</f>
        <v/>
      </c>
      <c r="NB141" s="164">
        <f>'INVOCAÇÕES'!$AC$1006&amp;""</f>
        <v/>
      </c>
      <c r="NC141" s="164">
        <f>'INVOCAÇÕES'!$AC$1007&amp;""</f>
        <v/>
      </c>
      <c r="ND141" s="164">
        <f>IF($MT141&lt;&gt;"",1,0)</f>
        <v/>
      </c>
      <c r="NE141" s="164">
        <f>INDEX($FO$2:$FO$13,$MO141)</f>
        <v/>
      </c>
      <c r="NF141" s="164">
        <f>INDEX($FP$2:$FP$13,$MO141)</f>
        <v/>
      </c>
      <c r="NG141" s="164">
        <f>INDEX($FQ$2:$FQ$13,$MO141)</f>
        <v/>
      </c>
      <c r="NH141" s="164">
        <f>INDEX($GB$2:$GB$13,$MO141)</f>
        <v/>
      </c>
      <c r="NI141" s="164">
        <f>INDEX($GC$2:$GC$13,$MO141)</f>
        <v/>
      </c>
      <c r="NJ141" s="164">
        <f>IFERROR(MATCH(SUBSTITUTE(SUBSTITUTE(SUBSTITUTE($MU141,"~","~~"),"*","~*"),"?","~?"),'DADOS_FORMAS'!$FZ$2:$FZ$21,0),0)</f>
        <v/>
      </c>
      <c r="NK141" s="164">
        <f>IFERROR(VLOOKUP(SUBSTITUTE(SUBSTITUTE(SUBSTITUTE($MX141,"~","~~"),"*","~*"),"?","~?"),'DADOS_MELHORIAS'!$AG$2:$AL$113,2,FALSE),"")</f>
        <v/>
      </c>
      <c r="NL141" s="164">
        <f>IFERROR(VLOOKUP(SUBSTITUTE(SUBSTITUTE(SUBSTITUTE($MY141,"~","~~"),"*","~*"),"?","~?"),'DADOS_MELHORIAS'!$AG$2:$AL$113,2,FALSE),"")</f>
        <v/>
      </c>
      <c r="NM141" s="164">
        <f>IFERROR(VLOOKUP(SUBSTITUTE(SUBSTITUTE(SUBSTITUTE($MZ141,"~","~~"),"*","~*"),"?","~?"),'DADOS_MELHORIAS'!$AG$2:$AL$113,2,FALSE),"")</f>
        <v/>
      </c>
      <c r="NN141" s="164">
        <f>IFERROR(VLOOKUP(SUBSTITUTE(SUBSTITUTE(SUBSTITUTE($NA141,"~","~~"),"*","~*"),"?","~?"),'DADOS_MELHORIAS'!$AG$2:$AL$113,2,FALSE),"")</f>
        <v/>
      </c>
      <c r="NO141" s="164">
        <f>IFERROR(VLOOKUP(SUBSTITUTE(SUBSTITUTE(SUBSTITUTE($MX141,"~","~~"),"*","~*"),"?","~?"),'DADOS_MELHORIAS'!$AG$2:$AL$113,3,FALSE),0)</f>
        <v/>
      </c>
      <c r="NP141" s="164">
        <f>IFERROR(VLOOKUP(SUBSTITUTE(SUBSTITUTE(SUBSTITUTE($MY141,"~","~~"),"*","~*"),"?","~?"),'DADOS_MELHORIAS'!$AG$2:$AL$113,3,FALSE),0)</f>
        <v/>
      </c>
      <c r="NQ141" s="164">
        <f>IFERROR(VLOOKUP(SUBSTITUTE(SUBSTITUTE(SUBSTITUTE($MZ141,"~","~~"),"*","~*"),"?","~?"),'DADOS_MELHORIAS'!$AG$2:$AL$113,3,FALSE),0)</f>
        <v/>
      </c>
      <c r="NR141" s="164">
        <f>IFERROR(VLOOKUP(SUBSTITUTE(SUBSTITUTE(SUBSTITUTE($NA141,"~","~~"),"*","~*"),"?","~?"),'DADOS_MELHORIAS'!$AG$2:$AL$113,3,FALSE),0)</f>
        <v/>
      </c>
      <c r="NS141" s="164">
        <f>IF($MS141=0,0,IF($NJ141=0,0,INDEX('DADOS_FORMAS'!$GB$2:$GB$21,$NJ141)))</f>
        <v/>
      </c>
      <c r="NT141" s="164">
        <f>IF(OR($NO141=0,$MS141=0),0,$NO141+3*IF(AND($NK141&lt;&gt;"",COUNTIF(INDEX($RB$2:$RJ$13,$MO141,0),$NK141)&gt;0),1,0))</f>
        <v/>
      </c>
      <c r="NU141" s="164">
        <f>IF(OR($NP141=0,$MS141=0),0,$NP141+3*IF(AND($NL141&lt;&gt;"",COUNTIF(INDEX($RB$2:$RJ$13,$MO141,0),$NL141)&gt;0),1,0))</f>
        <v/>
      </c>
      <c r="NV141" s="164">
        <f>IF(OR($NQ141=0,$MS141=0),0,$NQ141+3*IF(AND($NM141&lt;&gt;"",COUNTIF(INDEX($RB$2:$RJ$13,$MO141,0),$NM141)&gt;0),1,0))</f>
        <v/>
      </c>
      <c r="NW141" s="164">
        <f>IF(OR($NR141=0,$MS141=0),0,$NR141+3*IF(AND($NN141&lt;&gt;"",COUNTIF(INDEX($RB$2:$RJ$13,$MO141,0),$NN141)&gt;0),1,0))</f>
        <v/>
      </c>
      <c r="NX141" s="164">
        <f>IF($NJ141=0,0,IF(INDEX('DADOS_FORMAS'!$GA$2:$GA$21,$NJ141)="",0,IF((COUNTIF(INDEX($EL$2:$EP$13,$MO141,0),INDEX('DADOS_FORMAS'!$GA$2:$GA$21,$NJ141))+COUNTIF(INDEX($QV$2:$QY$13,$MO141,0),INDEX('DADOS_FORMAS'!$GA$2:$GA$21,$NJ141)))=0,1,0)))</f>
        <v/>
      </c>
      <c r="NY141" s="164">
        <f>IF(OR($NO141=0,$NK141=""),0,IF((COUNTIF(INDEX($EL$2:$EP$13,$MO141,0),$NK141)+COUNTIF(INDEX($QV$2:$QY$13,$MO141,0),$NK141))=0,1,0))</f>
        <v/>
      </c>
      <c r="NZ141" s="164">
        <f>IF(OR($NP141=0,$NL141=""),0,IF((COUNTIF(INDEX($EL$2:$EP$13,$MO141,0),$NL141)+COUNTIF(INDEX($QV$2:$QY$13,$MO141,0),$NL141))=0,1,0))</f>
        <v/>
      </c>
      <c r="OA141" s="164">
        <f>IF(OR($NQ141=0,$NM141=""),0,IF((COUNTIF(INDEX($EL$2:$EP$13,$MO141,0),$NM141)+COUNTIF(INDEX($QV$2:$QY$13,$MO141,0),$NM141))=0,1,0))</f>
        <v/>
      </c>
      <c r="OB141" s="164">
        <f>IF(OR($NR141=0,$NN141=""),0,IF((COUNTIF(INDEX($EL$2:$EP$13,$MO141,0),$NN141)+COUNTIF(INDEX($QV$2:$QY$13,$MO141,0),$NN141))=0,1,0))</f>
        <v/>
      </c>
      <c r="OC141" s="164">
        <f>IFERROR(VLOOKUP(SUBSTITUTE(SUBSTITUTE(SUBSTITUTE($MX141,"~","~~"),"*","~*"),"?","~?"),'DADOS_MELHORIAS'!$AG$2:$AL$113,4,FALSE),0)+IFERROR(VLOOKUP(SUBSTITUTE(SUBSTITUTE(SUBSTITUTE($MY141,"~","~~"),"*","~*"),"?","~?"),'DADOS_MELHORIAS'!$AG$2:$AL$113,4,FALSE),0)+IFERROR(VLOOKUP(SUBSTITUTE(SUBSTITUTE(SUBSTITUTE($MZ141,"~","~~"),"*","~*"),"?","~?"),'DADOS_MELHORIAS'!$AG$2:$AL$113,4,FALSE),0)+IFERROR(VLOOKUP(SUBSTITUTE(SUBSTITUTE(SUBSTITUTE($NA141,"~","~~"),"*","~*"),"?","~?"),'DADOS_MELHORIAS'!$AG$2:$AL$113,4,FALSE),0)</f>
        <v/>
      </c>
      <c r="OD141" s="164">
        <f>IFERROR(VLOOKUP(SUBSTITUTE(SUBSTITUTE(SUBSTITUTE($MX141,"~","~~"),"*","~*"),"?","~?"),'DADOS_MELHORIAS'!$AG$2:$AL$113,6,FALSE),0)+IFERROR(VLOOKUP(SUBSTITUTE(SUBSTITUTE(SUBSTITUTE($MY141,"~","~~"),"*","~*"),"?","~?"),'DADOS_MELHORIAS'!$AG$2:$AL$113,6,FALSE),0)+IFERROR(VLOOKUP(SUBSTITUTE(SUBSTITUTE(SUBSTITUTE($MZ141,"~","~~"),"*","~*"),"?","~?"),'DADOS_MELHORIAS'!$AG$2:$AL$113,6,FALSE),0)+IFERROR(VLOOKUP(SUBSTITUTE(SUBSTITUTE(SUBSTITUTE($NA141,"~","~~"),"*","~*"),"?","~?"),'DADOS_MELHORIAS'!$AG$2:$AL$113,6,FALSE),0)+IFERROR(N(AND(INDEX('DADOS_FORMAS'!$AO$2:$AO$21,MATCH(SUBSTITUTE(SUBSTITUTE(SUBSTITUTE($MU141,"~","~~"),"*","~*"),"?","~?"),'DADOS_FORMAS'!$AH$2:$AH$21,0))="Acerto",$OH141=1)),0)</f>
        <v/>
      </c>
      <c r="OE141" s="164">
        <f>TEXTJOIN(", ",TRUE,IF(IFERROR(VLOOKUP(SUBSTITUTE(SUBSTITUTE(SUBSTITUTE($MX141,"~","~~"),"*","~*"),"?","~?"),'DADOS_MELHORIAS'!$AG$2:$AL$113,5,FALSE),0)=1,$MX141,""),IF(IFERROR(VLOOKUP(SUBSTITUTE(SUBSTITUTE(SUBSTITUTE($MY141,"~","~~"),"*","~*"),"?","~?"),'DADOS_MELHORIAS'!$AG$2:$AL$113,5,FALSE),0)=1,$MY141,""),IF(IFERROR(VLOOKUP(SUBSTITUTE(SUBSTITUTE(SUBSTITUTE($MZ141,"~","~~"),"*","~*"),"?","~?"),'DADOS_MELHORIAS'!$AG$2:$AL$113,5,FALSE),0)=1,$MZ141,""),IF(IFERROR(VLOOKUP(SUBSTITUTE(SUBSTITUTE(SUBSTITUTE($NA141,"~","~~"),"*","~*"),"?","~?"),'DADOS_MELHORIAS'!$AG$2:$AL$113,5,FALSE),0)=1,$NA141,""))</f>
        <v/>
      </c>
      <c r="OF141" s="164">
        <f>IF($NJ141=0,0,INDEX('DADOS_FORMAS'!$GC$2:$GC$21,$NJ141))</f>
        <v/>
      </c>
      <c r="OG141" s="164">
        <f>IF($NJ141=0,0,INDEX('DADOS_FORMAS'!$GD$2:$GD$21,$NJ141))</f>
        <v/>
      </c>
      <c r="OH141" s="164">
        <f>IF($NJ141=0,0,INDEX('DADOS_FORMAS'!$GF$2:$GF$21,$NJ141))</f>
        <v/>
      </c>
      <c r="OI141" s="164">
        <f>IFERROR(VLOOKUP(SUBSTITUTE(SUBSTITUTE(SUBSTITUTE($NB141,"~","~~"),"*","~*"),"?","~?"),'DADOS_RESTRICOES'!$M$2:$Q$54,3,FALSE),0)</f>
        <v/>
      </c>
      <c r="OJ141" s="164">
        <f>IFERROR(VLOOKUP(SUBSTITUTE(SUBSTITUTE(SUBSTITUTE($NC141,"~","~~"),"*","~*"),"?","~?"),'DADOS_RESTRICOES'!$M$2:$Q$54,3,FALSE),0)</f>
        <v/>
      </c>
      <c r="OK141" s="164">
        <f>IFERROR(VLOOKUP(SUBSTITUTE(SUBSTITUTE(SUBSTITUTE($NB141,"~","~~"),"*","~*"),"?","~?"),'DADOS_RESTRICOES'!$M$2:$Q$54,2,FALSE),"")</f>
        <v/>
      </c>
      <c r="OL141" s="164">
        <f>IFERROR(VLOOKUP(SUBSTITUTE(SUBSTITUTE(SUBSTITUTE($NC141,"~","~~"),"*","~*"),"?","~?"),'DADOS_RESTRICOES'!$M$2:$Q$54,2,FALSE),"")</f>
        <v/>
      </c>
      <c r="OM141" s="164">
        <f>COUNTIF($NS141:$NW141,1)</f>
        <v/>
      </c>
      <c r="ON141" s="164">
        <f>COUNTIF($NS141:$NW141,2)</f>
        <v/>
      </c>
      <c r="OO141" s="164">
        <f>COUNTIF($NS141:$NW141,3)</f>
        <v/>
      </c>
      <c r="OP141" s="164">
        <f>COUNTIF($NS141:$NW141,4)</f>
        <v/>
      </c>
      <c r="OQ141" s="164">
        <f>COUNTIF($NS141:$NW141,5)</f>
        <v/>
      </c>
      <c r="OR141" s="164">
        <f>COUNTIF($NS141:$NW141,6)</f>
        <v/>
      </c>
      <c r="OS141" s="164">
        <f>COUNTIF($OI141:$OJ141,1)+IF(IFERROR(INDEX('DADOS_FORMAS'!$AS$2:$AS$21,MATCH(SUBSTITUTE(SUBSTITUTE(SUBSTITUTE($MU141,"~","~~"),"*","~*"),"?","~?"),'DADOS_FORMAS'!$AH$2:$AH$21,0)),"")="",0,IFERROR(N(VLOOKUP(SUBSTITUTE(SUBSTITUTE(SUBSTITUTE(IFERROR(INDEX('DADOS_FORMAS'!$AS$2:$AS$21,MATCH(SUBSTITUTE(SUBSTITUTE(SUBSTITUTE($MU141,"~","~~"),"*","~*"),"?","~?"),'DADOS_FORMAS'!$AH$2:$AH$21,0)),""),"~","~~"),"*","~*"),"?","~?"),'DADOS_RESTRICOES'!$M$2:$Q$54,3,FALSE)=1),0))</f>
        <v/>
      </c>
      <c r="OT141" s="164">
        <f>COUNTIF($OI141:$OJ141,2)+IF(IFERROR(INDEX('DADOS_FORMAS'!$AS$2:$AS$21,MATCH(SUBSTITUTE(SUBSTITUTE(SUBSTITUTE($MU141,"~","~~"),"*","~*"),"?","~?"),'DADOS_FORMAS'!$AH$2:$AH$21,0)),"")="",0,IFERROR(N(VLOOKUP(SUBSTITUTE(SUBSTITUTE(SUBSTITUTE(IFERROR(INDEX('DADOS_FORMAS'!$AS$2:$AS$21,MATCH(SUBSTITUTE(SUBSTITUTE(SUBSTITUTE($MU141,"~","~~"),"*","~*"),"?","~?"),'DADOS_FORMAS'!$AH$2:$AH$21,0)),""),"~","~~"),"*","~*"),"?","~?"),'DADOS_RESTRICOES'!$M$2:$Q$54,3,FALSE)=2),0))</f>
        <v/>
      </c>
      <c r="OU141" s="164">
        <f>COUNTIF($MX141:$NA141,"?*")</f>
        <v/>
      </c>
      <c r="OV141" s="164">
        <f>COUNTIF($NB141:$NC141,"?*")+$OF141</f>
        <v/>
      </c>
      <c r="OW141" s="164">
        <f>IF($MS141=0,0,SUMPRODUCT($OM141:$OR141,INDEX($I$2:$N$8,MAX(1,$MS141),0)))</f>
        <v/>
      </c>
      <c r="OX141" s="164">
        <f>IF($MS141=0,0,$OS141*CEILING($MS141/2,1)+$OT141*$MS141)</f>
        <v/>
      </c>
      <c r="OY141" s="164">
        <f>MIN(2*$MS141,$OX141)</f>
        <v/>
      </c>
      <c r="OZ141" s="164">
        <f>MIN($OY141,$OW141-IF($NS141=0,0,INDEX($I$2:$N$8,MAX(1,$MS141),$NS141)))</f>
        <v/>
      </c>
      <c r="PA141" s="164">
        <f>$OY141-$OZ141</f>
        <v/>
      </c>
      <c r="PB141" s="164">
        <f>IF($MS141=0,0,INDEX($P$2:$P$8,MAX(1,$MS141)))</f>
        <v/>
      </c>
      <c r="PC141" s="164">
        <f>$PB141-$OW141+$OZ141</f>
        <v/>
      </c>
      <c r="PD141" s="164">
        <f>IF($MS141=0,MAX(0,$NG141-IF(AND($OU141&gt;0,COUNTIF($NB141:$NC141,"?*")=0),1,0)),MAX(0,$PC141))</f>
        <v/>
      </c>
      <c r="PE141" s="164">
        <f>IF($MS141=0,0,(IF(COUNTIF($RK141:$RN141,"Salto")&gt;0,1,0)+IF(COUNTIF($RK141:$RN141,"Queima")&gt;0,1,0)+IF(COUNTIF($RK141:$RN141,"Estilhaço")&gt;0,1,0))*FLOOR($PD141/2,1))</f>
        <v/>
      </c>
      <c r="PF141" s="164">
        <f>MAX(0,2-SUMPRODUCT($OM141:$OR141,$I$2:$N$2)+MIN(2,$OS141*1+$OT141*1,SUMPRODUCT($OM141:$OR141,$I$2:$N$2)-IF($NS141=0,0,INDEX($I$2:$N$2,1,$NS141))))</f>
        <v/>
      </c>
      <c r="PG141" s="164">
        <f>MAX(0,4-SUMPRODUCT($OM141:$OR141,$I$3:$N$3)+MIN(4,$OS141*1+$OT141*2,SUMPRODUCT($OM141:$OR141,$I$3:$N$3)-IF($NS141=0,0,INDEX($I$3:$N$3,1,$NS141))))</f>
        <v/>
      </c>
      <c r="PH141" s="164">
        <f>MAX(0,6-SUMPRODUCT($OM141:$OR141,$I$4:$N$4)+MIN(6,$OS141*2+$OT141*3,SUMPRODUCT($OM141:$OR141,$I$4:$N$4)-IF($NS141=0,0,INDEX($I$4:$N$4,1,$NS141))))</f>
        <v/>
      </c>
      <c r="PI141" s="164">
        <f>MAX(0,9-SUMPRODUCT($OM141:$OR141,$I$5:$N$5)+MIN(8,$OS141*2+$OT141*4,SUMPRODUCT($OM141:$OR141,$I$5:$N$5)-IF($NS141=0,0,INDEX($I$5:$N$5,1,$NS141))))</f>
        <v/>
      </c>
      <c r="PJ141" s="164">
        <f>MAX(0,11-SUMPRODUCT($OM141:$OR141,$I$6:$N$6)+MIN(10,$OS141*3+$OT141*5,SUMPRODUCT($OM141:$OR141,$I$6:$N$6)-IF($NS141=0,0,INDEX($I$6:$N$6,1,$NS141))))</f>
        <v/>
      </c>
      <c r="PK141" s="164">
        <f>MAX(0,13-SUMPRODUCT($OM141:$OR141,$I$7:$N$7)+MIN(12,$OS141*3+$OT141*6,SUMPRODUCT($OM141:$OR141,$I$7:$N$7)-IF($NS141=0,0,INDEX($I$7:$N$7,1,$NS141))))</f>
        <v/>
      </c>
      <c r="PL141" s="164">
        <f>MAX(0,16-SUMPRODUCT($OM141:$OR141,$I$8:$N$8)+MIN(14,$OS141*4+$OT141*7,SUMPRODUCT($OM141:$OR141,$I$8:$N$8)-IF($NS141=0,0,INDEX($I$8:$N$8,1,$NS141))))</f>
        <v/>
      </c>
      <c r="PM141" s="164">
        <f>IF($OG141=2,3*$PF141&amp;" de vida temp.",IF($OG141=3,"sem dano",IF($PF141=0,IF($OG141=1,"sem cura","sem dano"),IF($OG141=1,"cura ","")&amp;$PF141&amp;"d8")))</f>
        <v/>
      </c>
      <c r="PN141" s="164">
        <f>IF($OG141=2,3*$PG141&amp;" de vida temp.",IF($OG141=3,"sem dano",IF($PG141=0,IF($OG141=1,"sem cura","sem dano"),IF($OG141=1,"cura ","")&amp;$PG141&amp;"d8")))</f>
        <v/>
      </c>
      <c r="PO141" s="164">
        <f>IF($OG141=2,3*$PH141&amp;" de vida temp.",IF($OG141=3,"sem dano",IF($PH141=0,IF($OG141=1,"sem cura","sem dano"),IF($OG141=1,"cura ","")&amp;$PH141&amp;"d8")))</f>
        <v/>
      </c>
      <c r="PP141" s="164">
        <f>IF($OG141=2,3*$PI141&amp;" de vida temp.",IF($OG141=3,"sem dano",IF($PI141=0,IF($OG141=1,"sem cura","sem dano"),IF($OG141=1,"cura ","")&amp;$PI141&amp;"d8")))</f>
        <v/>
      </c>
      <c r="PQ141" s="164">
        <f>IF($OG141=2,3*$PJ141&amp;" de vida temp.",IF($OG141=3,"sem dano",IF($PJ141=0,IF($OG141=1,"sem cura","sem dano"),IF($OG141=1,"cura ","")&amp;$PJ141&amp;"d8")))</f>
        <v/>
      </c>
      <c r="PR141" s="164">
        <f>IF($OG141=2,3*$PK141&amp;" de vida temp.",IF($OG141=3,"sem dano",IF($PK141=0,IF($OG141=1,"sem cura","sem dano"),IF($OG141=1,"cura ","")&amp;$PK141&amp;"d8")))</f>
        <v/>
      </c>
      <c r="PS141" s="164">
        <f>IF($OG141=2,3*$PL141&amp;" de vida temp.",IF($OG141=3,"sem dano",IF($PL141=0,IF($OG141=1,"sem cura","sem dano"),IF($OG141=1,"cura ","")&amp;$PL141&amp;"d8")))</f>
        <v/>
      </c>
      <c r="PT141" s="164">
        <f>IF($ND141=0,"",TEXTJOIN(" · ",TRUE,IF($ND141=0,"",TEXTJOIN(" · ",TRUE,IF($ND141=0,"",TEXTJOIN(" · ",TRUE,IF($MQ141&gt;$NE141,"Este lugar abre no nível "&amp;$MQ141,""),IF($MS141&gt;$NF141,"Classe "&amp;$MS141&amp;": o nível "&amp;$NE141&amp;" libera até a "&amp;$NF141,""),IF($NX141=1,"A Forma "&amp;$MU141&amp;" pede "&amp;INDEX('DADOS_FORMAS'!$GA$2:$GA$21,$NJ141)&amp;" aberta",""),IF(AND($MS141=0,$NJ141&gt;0,IF($NJ141=0,0,INDEX('DADOS_FORMAS'!$GJ$2:$GJ$21,$NJ141))=0),$MU141&amp;" não existe na Classe 0",""),IF($NY141=1,"Família Fechada: "&amp;$MX141,""),IF($NZ141=1,"Família Fechada: "&amp;$MY141,""),IF($OA141=1,"Família Fechada: "&amp;$MZ141,""),IF($OB141=1,"Família Fechada: "&amp;$NA141,""),IF(AND($MS141&gt;0,$OU141&gt;INDEX($O$2:$O$8,MAX(1,$MS141))),$OU141&amp;" Melhorias: a Classe "&amp;$MS141&amp;" aceita "&amp;INDEX($O$2:$O$8,MAX(1,$MS141)),""),IF(AND($MS141=0,$OU141&gt;1),"A básica aceita uma Melhoria",""),IF(AND($MS141=0,COUNTIF($NO141:$NR141,"&gt;1")&gt;0),"A básica só aceita Melhoria Leve",""),IF(AND($MS141&gt;0,$OV141&gt;2),$OV141&amp;" Restrições"&amp;IF($OF141=1,", contando a que a Forma "&amp;$MU141&amp;" já traz","")&amp;": o limite é 2",""),IF(AND($MS141=0,COUNTIF($NB141:$NC141,"?*")&gt;1),"A básica aceita uma Restrição Leve",""),IF(AND($MS141=0,COUNTIF($OI141:$OJ141,2)&gt;0),"A básica só aceita Restrição Leve",""),IF(AND($MS141&gt;0,$PC141&lt;0),"Orçamento estourado: faltam "&amp;(-$PC141)&amp;IF($PC141&lt;-1," pontos"," ponto"),""),IF(IFERROR(VLOOKUP(SUBSTITUTE(SUBSTITUTE(SUBSTITUTE($NB141,"~","~~"),"*","~*"),"?","~?"),'DADOS_RESTRICOES'!$M$2:$Q$54,4,FALSE),0)+IFERROR(VLOOKUP(SUBSTITUTE(SUBSTITUTE(SUBSTITUTE($NC141,"~","~~"),"*","~*"),"?","~?"),'DADOS_RESTRICOES'!$M$2:$Q$54,4,FALSE),0)&gt;1,$OK141&amp;" e "&amp;$OL141&amp;" são as duas de frequência",""),IF(AND((COUNTIF($RK141:$RN141,"Rápido")+COUNTIF($OK141:$OL141,"Rápido"))&gt;0,(COUNTIF($MX141:$NA141,"Atrasar")+COUNTIF($OK141:$OL141,"Atrasar"))&gt;0),"Rápido não entra com Atrasar",""),IF(AND((COUNTIF($RK141:$RN141,"Reação")+COUNTIF($OK141:$OL141,"Reação"))&gt;0,(COUNTIF($RK141:$RN141,"Rápido")+COUNTIF($OK141:$OL141,"Rápido"))&gt;0),"Reação não entra com Rápido",""),IF(AND((COUNTIF($RK141:$RN141,"Reação")+COUNTIF($OK141:$OL141,"Reação"))&gt;0,(COUNTIF($RK141:$RN141,"Armado")+COUNTIF($OK141:$OL141,"Armado"))&gt;0),"Reação não entra com Armado",""),IF(AND((COUNTIF($RK141:$RN141,"Reação")+COUNTIF($OK141:$OL141,"Reação"))&gt;0,(COUNTIF($MX141:$NA141,"Atrasar")+COUNTIF($OK141:$OL141,"Atrasar"))&gt;0),"Reação não entra com Atrasar",""),IF(AND((COUNTIF($RK141:$RN141,"Reação")+COUNTIF($OK141:$OL141,"Reação"))&gt;0,(COUNTIF($MX141:$NA141,"Parado")+COUNTIF($OK141:$OL141,"Parado"))&gt;0),"Reação não entra com Parado",""),IF(AND((COUNTIF($MX141:$NA141,"Atrasar")+COUNTIF($OK141:$OL141,"Atrasar"))&gt;0,(COUNTIF($MX141:$NA141,"Parado")+COUNTIF($OK141:$OL141,"Parado"))&gt;0),"Atrasar não entra com Parado",""),IF(AND((COUNTIF($RK141:$RN141,"Armado")+COUNTIF($OK141:$OL141,"Armado"))&gt;0,(COUNTIF($MX141:$NA141,"Carregar")+COUNTIF($OK141:$OL141,"Carregar"))&gt;0),"Armado não entra com Carregar",""),IF(AND(COUNTIF($OK141:$OL141,"Corpo a Corpo")&gt;0,$OF141=0,OR($RO141="Cone",$RO141="Linha")),"Corpo a Corpo não entra em "&amp;$MU141,""),IF(AND(COUNTIF($OK141:$OL141,"Corpo a Corpo")&gt;0,$RP141="Corpo a Corpo"),"A Forma "&amp;$MU141&amp;" já traz o Corpo a Corpo",""),IF(AND(COUNTIF($OK141:$OL141,"Tudo ou Nada")&gt;0,$OH141=0),"Tudo ou Nada só entra em habilidade de Teste de Resistência",""),IF(AND(COUNTIF($RK141:$RN141,"Inescapável")&gt;0,OR($OU141&gt;1,$OV141&gt;0)),"Inescapável não aceita outra peça",""),IF(AND($MS141&gt;0,$PD141*IF(COUNTIF($RK141:$RN141,"Remate")&gt;0,1.25,1)+$PE141&gt;4*$MS141),($PD141*IF(COUNTIF($RK141:$RN141,"Remate")&gt;0,1.25,1)+$PE141)&amp;" dados somando repetições"&amp;IF(COUNTIF($RK141:$RN141,"Remate")&gt;0," e o Remate","")&amp;": o teto da Classe "&amp;$MS141&amp;" é "&amp;4*$MS141,""))),IF(AND($MX141&lt;&gt;"",COUNTIF('DADOS_MELHORIAS'!$O$2:$O$113,SUBSTITUTE(SUBSTITUTE(SUBSTITUTE($MX141,"~","~~"),"*","~*"),"?","~?"))=0),"Melhoria não cadastrada ou com erro: "&amp;$MX141,""),IF(AND($MY141&lt;&gt;"",COUNTIF('DADOS_MELHORIAS'!$O$2:$O$113,SUBSTITUTE(SUBSTITUTE(SUBSTITUTE($MY141,"~","~~"),"*","~*"),"?","~?"))=0),"Melhoria não cadastrada ou com erro: "&amp;$MY141,""),IF(AND($MZ141&lt;&gt;"",COUNTIF('DADOS_MELHORIAS'!$O$2:$O$113,SUBSTITUTE(SUBSTITUTE(SUBSTITUTE($MZ141,"~","~~"),"*","~*"),"?","~?"))=0),"Melhoria não cadastrada ou com erro: "&amp;$MZ141,""),IF(AND($NA141&lt;&gt;"",COUNTIF('DADOS_MELHORIAS'!$O$2:$O$113,SUBSTITUTE(SUBSTITUTE(SUBSTITUTE($NA141,"~","~~"),"*","~*"),"?","~?"))=0),"Melhoria não cadastrada ou com erro: "&amp;$NA141,""),IF(AND($NB141&lt;&gt;"",COUNTIF('DADOS_RESTRICOES'!$M$2:$M$54,SUBSTITUTE(SUBSTITUTE(SUBSTITUTE($NB141,"~","~~"),"*","~*"),"?","~?"))=0),"Restrição não cadastrada ou com erro: "&amp;$NB141,""),IF(AND($NC141&lt;&gt;"",COUNTIF('DADOS_RESTRICOES'!$M$2:$M$54,SUBSTITUTE(SUBSTITUTE(SUBSTITUTE($NC141,"~","~~"),"*","~*"),"?","~?"))=0),"Restrição não cadastrada ou com erro: "&amp;$NC141,""))),IF(AND($MU141&lt;&gt;"",COUNTIF('DADOS_FORMAS'!$AH$2:$AH$21,SUBSTITUTE(SUBSTITUTE(SUBSTITUTE($MU141,"~","~~"),"*","~*"),"?","~?"))=0),"Forma não cadastrada ou com erro: "&amp;$MU141,""),IF(AND(IFERROR(INDEX('DADOS_FORMAS'!$AS$2:$AS$21,MATCH(SUBSTITUTE(SUBSTITUTE(SUBSTITUTE($MU141,"~","~~"),"*","~*"),"?","~?"),'DADOS_FORMAS'!$AH$2:$AH$21,0)),"")&lt;&gt;"",OR(IFERROR(VLOOKUP(SUBSTITUTE(SUBSTITUTE(SUBSTITUTE(IFERROR(INDEX('DADOS_FORMAS'!$AS$2:$AS$21,MATCH(SUBSTITUTE(SUBSTITUTE(SUBSTITUTE($MU141,"~","~~"),"*","~*"),"?","~?"),'DADOS_FORMAS'!$AH$2:$AH$21,0)),""),"~","~~"),"*","~*"),"?","~?"),'DADOS_RESTRICOES'!$M$2:$Q$54,2,FALSE),"")=$OK141,IFERROR(VLOOKUP(SUBSTITUTE(SUBSTITUTE(SUBSTITUTE(IFERROR(INDEX('DADOS_FORMAS'!$AS$2:$AS$21,MATCH(SUBSTITUTE(SUBSTITUTE(SUBSTITUTE($MU141,"~","~~"),"*","~*"),"?","~?"),'DADOS_FORMAS'!$AH$2:$AH$21,0)),""),"~","~~"),"*","~*"),"?","~?"),'DADOS_RESTRICOES'!$M$2:$Q$54,2,FALSE),"")=$OL141)),"Restrição repetida, contando a embutida",""),IF(IF(IFERROR(INDEX('DADOS_FORMAS'!$AS$2:$AS$21,MATCH(SUBSTITUTE(SUBSTITUTE(SUBSTITUTE($MU141,"~","~~"),"*","~*"),"?","~?"),'DADOS_FORMAS'!$AH$2:$AH$21,0)),"")="",0,IFERROR(N(VLOOKUP(SUBSTITUTE(SUBSTITUTE(SUBSTITUTE(IFERROR(INDEX('DADOS_FORMAS'!$AS$2:$AS$21,MATCH(SUBSTITUTE(SUBSTITUTE(SUBSTITUTE($MU141,"~","~~"),"*","~*"),"?","~?"),'DADOS_FORMAS'!$AH$2:$AH$21,0)),""),"~","~~"),"*","~*"),"?","~?"),'DADOS_RESTRICOES'!$M$2:$Q$54,4,FALSE)=1),0))+IF($NB141="",0,IFERROR(N(VLOOKUP(SUBSTITUTE(SUBSTITUTE(SUBSTITUTE($NB141,"~","~~"),"*","~*"),"?","~?"),'DADOS_RESTRICOES'!$M$2:$Q$54,4,FALSE)=1),0))+IF($NC141="",0,IFERROR(N(VLOOKUP(SUBSTITUTE(SUBSTITUTE(SUBSTITUTE($NC141,"~","~~"),"*","~*"),"?","~?"),'DADOS_RESTRICOES'!$M$2:$Q$54,4,FALSE)=1),0))&gt;1,"Duas Restrições de frequência, contando a embutida",""),IF(AND(IFERROR(VLOOKUP(SUBSTITUTE(SUBSTITUTE(SUBSTITUTE(IFERROR(INDEX('DADOS_FORMAS'!$AS$2:$AS$21,MATCH(SUBSTITUTE(SUBSTITUTE(SUBSTITUTE($MU141,"~","~~"),"*","~*"),"?","~?"),'DADOS_FORMAS'!$AH$2:$AH$21,0)),""),"~","~~"),"*","~*"),"?","~?"),'DADOS_RESTRICOES'!$M$2:$Q$54,2,FALSE),"")="Tudo ou Nada",$OH141=0),"Tudo ou Nada exige TR",""),IF(AND(IFERROR(VLOOKUP(SUBSTITUTE(SUBSTITUTE(SUBSTITUTE(IFERROR(INDEX('DADOS_FORMAS'!$AS$2:$AS$21,MATCH(SUBSTITUTE(SUBSTITUTE(SUBSTITUTE($MU141,"~","~~"),"*","~*"),"?","~?"),'DADOS_FORMAS'!$AH$2:$AH$21,0)),""),"~","~~"),"*","~*"),"?","~?"),'DADOS_RESTRICOES'!$M$2:$Q$54,2,FALSE),"")="Corpo a Corpo",OR($RO141="Cone",$RO141="Linha")),"Corpo a Corpo não entra em Cone/Linha","")))</f>
        <v/>
      </c>
      <c r="PU141" s="164">
        <f>IF($PT141="",0,(LEN($PT141)-LEN(SUBSTITUTE($PT141," · ","")))/3+1)</f>
        <v/>
      </c>
      <c r="PV141" s="164">
        <f>IF($ND141=0,"",TEXTJOIN(" · ",TRUE,IF($OX141&gt;2*$MS141,"A devolução parou no teto de "&amp;2*$MS141,""),IF($PA141&gt;0,"Devolução perdida: "&amp;$PA141&amp;IF($PA141&gt;1," pontos"," ponto")&amp;" sem Melhoria para pagar",""),IF(AND($OC141&gt;0,AND($MS141&gt;0,$OG141=0),$PD141=0),"Controle sem dano: uma rodada a mais e CD +2",""),IF(AND($OC141&gt;0,AND($MS141&gt;0,$OG141=0),$PD141&gt;0,$PD141&lt;=$MS141),"Controle com saldo até a Classe: uma rodada a mais",""),IF(AND($MS141&gt;0,$OE141&lt;&gt;""),"Efeito de "&amp;$OE141&amp;" pela Classe "&amp;MAX(1,$MS141-1),"")))</f>
        <v/>
      </c>
      <c r="PW141" s="164">
        <f>IF($PV141="",0,(LEN($PV141)-LEN(SUBSTITUTE($PV141," · ","")))/3+1)</f>
        <v/>
      </c>
      <c r="PX141" s="164">
        <f>IF($ND141=0,IF($OU141+COUNTIF($NB141:$NC141,"?*")&gt;0,"Dê um nome",""),IF($PU141&gt;0,"⚠ "&amp;$PU141&amp;IF($PU141&gt;1," erros"," erro"),IF($PW141&gt;0,"! "&amp;$PW141&amp;IF($PW141&gt;1," avisos"," aviso"),"Na regra")))</f>
        <v/>
      </c>
      <c r="PY141" s="164">
        <f>IF($ND141=0,"",IF($PU141+$PW141=0,"Dentro das regras que a ficha confere",$PT141&amp;IF(AND($PU141&gt;0,$PW141&gt;0)," · ","")&amp;$PV141))</f>
        <v/>
      </c>
      <c r="PZ141" s="164">
        <f>IF($MQ141&gt;$NE141,$MR141&amp;" · ABRE NO NÍVEL "&amp;$MQ141,$MR141)</f>
        <v/>
      </c>
      <c r="QA141" s="164">
        <f>IF($ND141=0,"",IF($MS141=0,"Sem PE",3*$MS141&amp;" PE"))</f>
        <v/>
      </c>
      <c r="QB141" s="164">
        <f>IF($ND141=0,"",IF($MS141=0,"A atuação básica dela",IF(COUNTIF($RQ141:$RS141,"Atrasar")&gt;0,"Sua Ação Completa",IF(COUNTIF($RK141:$RN141,"Rápido")&gt;0,"Sua Bônus",IF(COUNTIF($RK141:$RN141,"Reação")&gt;0,"Sua Reação","Sua Padrão")))&amp;" + a básica dela"&amp;IF(COUNTIF($RK141:$RN141,"Reação")&gt;0," e a coletiva","")&amp;IF(COUNTIF($RQ141:$RS141,"Carregar")&gt;0," · em dois turnos","")))</f>
        <v/>
      </c>
      <c r="QC141" s="164">
        <f>IF($MW141&lt;&gt;"",$MW141,IF($NJ141=0,"",INDEX('DADOS_FORMAS'!$GE$2:$GE$21,$NJ141)))</f>
        <v/>
      </c>
      <c r="QD141" s="164">
        <f>IF(OR($ND141=0,$NJ141=0),"",IF(COUNTIF($RK141:$RN141,"Inescapável")&gt;0,"Automático",IF($QC141="Ataque",IF($NH141="","Ataque","Ataque "&amp;IF(($NH141+2*IF(COUNTIF($RK141:$RN141,"Precisão")&gt;0,1,0))&gt;=0,"+","−")&amp;ABS(($NH141+2*IF(COUNTIF($RK141:$RN141,"Precisão")&gt;0,1,0))))&amp;IF($OD141&gt;0," · TR"&amp;IF($NI141="",""," CD "&amp;$NI141),""),IF(LEFT($QC141,2)="TR",$QC141&amp;IF($NI141="",""," · CD "&amp;$NI141)&amp;IF(COUNTIF($RK141:$RN141,"Certeiro")&gt;0," · metade",""),"Sem rolagem"))))</f>
        <v/>
      </c>
      <c r="QE141" s="164">
        <f>IF(OR($ND141=0,$NJ141=0),"",IF($MS141=0,IF(OR($OG141&gt;=1,$PD141=0),"Sem dano",$PD141&amp;"d6"&amp;IF($MV141="",""," "&amp;$MV141)),IF(OR($OG141&gt;=1,$PD141=0),UPPER(LEFT(INDEX($PM141:$PS141,1,MAX(1,$MS141)),1))&amp;MID(INDEX($PM141:$PS141,1,MAX(1,$MS141)),2,99),UPPER(LEFT(INDEX($PM141:$PS141,1,MAX(1,$MS141)),1))&amp;MID(INDEX($PM141:$PS141,1,MAX(1,$MS141)),2,99)&amp;IF($MV141="",""," "&amp;$MV141)&amp;IF($PE141&gt;0," · +"&amp;$PE141&amp;"d8",""))))</f>
        <v/>
      </c>
      <c r="QF141" s="164">
        <f>COUNTIF($RK141:$RN141,"Longe")+3*COUNTIF($RK141:$RN141,"Muito Longe")</f>
        <v/>
      </c>
      <c r="QG141" s="164">
        <f>COUNTIF($RK141:$RN141,"Maior")+3*COUNTIF($RK141:$RN141,"Muito Maior")</f>
        <v/>
      </c>
      <c r="QH141" s="164">
        <f>IF($NJ141=0,0,CHOOSE(1+INDEX('DADOS_FORMAS'!$GG$2:$GG$21,$NJ141),0,$QF141,$QG141,$QF141+$QG141))</f>
        <v/>
      </c>
      <c r="QI141" s="164">
        <f>IF($NJ141=0,0,CHOOSE(1+INDEX('DADOS_FORMAS'!$GH$2:$GH$21,$NJ141),0,$QF141,$QG141,$QF141+$QG141))</f>
        <v/>
      </c>
      <c r="QJ141" s="164">
        <f>IF(OR($ND141=0,$NJ141=0),"",INDEX('DADOS_FORMAS'!$HU$2:$HZ$81,($NJ141-1)*4+IF($MS141=0,1,IF($MS141&lt;=5,2,IF($MS141=6,3,4))),1+MIN(5,$QH141))&amp;INDEX('DADOS_FORMAS'!$IA$2:$IF$81,($NJ141-1)*4+IF($MS141=0,1,IF($MS141&lt;=5,2,IF($MS141=6,3,4))),1+MIN(5,$QI141))&amp;IF(INDEX('DADOS_FORMAS'!$GI$2:$GI$21,$NJ141)=1,IF(COUNTIF($RK141:$RN141,"Mais Um")&gt;0," · +"&amp;COUNTIF($RK141:$RN141,"Mais Um")&amp;IF(COUNTIF($RK141:$RN141,"Mais Um")&gt;1," alvos"," alvo"),"")&amp;IF(COUNTIF($RK141:$RN141,"Rajada")&gt;0,IF($MS141=0," · 1 tiro"," · "&amp;(MAX(1,$MS141-1)+1)&amp;" tiros"),""),""))</f>
        <v/>
      </c>
      <c r="QK141" s="164">
        <f>IF($ND141=0,"",IF($MS141=0,$NG141&amp;"d6"&amp;IF($OU141&gt;0," − 1 = "&amp;$PD141&amp;"d6"," da básica do nível "&amp;$NE141),$PB141&amp;" − "&amp;$OW141&amp;" + "&amp;$OZ141&amp;" = "&amp;$PC141&amp;" · teto "&amp;4*$MS141&amp;"d8"&amp;IF($OF141=1," · a Forma devolve "&amp;$MS141,"")&amp;IF($PA141&gt;0," · perde "&amp;$PA141,"")))</f>
        <v/>
      </c>
      <c r="QL141" s="164">
        <f>IF($ND141=0,"",IF($MS141=0,"A básica não amplia: os dados dela sobem com o nível",IF($MS141&gt;=$NF141,"Já está na maior Classe que o nível liberou",TEXTJOIN(" · ",TRUE,IF(AND(2&gt;$MS141,2&lt;=$NF141),"2 → "&amp;$PN141&amp;", 6 PE",""),IF(AND(3&gt;$MS141,3&lt;=$NF141),"3 → "&amp;$PO141&amp;", 9 PE",""),IF(AND(4&gt;$MS141,4&lt;=$NF141),"4 → "&amp;$PP141&amp;", 12 PE",""),IF(AND(5&gt;$MS141,5&lt;=$NF141),"5 → "&amp;$PQ141&amp;", 15 PE",""),IF(AND(6&gt;$MS141,6&lt;=$NF141),"6 → "&amp;$PR141&amp;", 18 PE",""),IF(AND(7&gt;$MS141,7&lt;=$NF141),"7 → "&amp;$PS141&amp;", 21 PE","")))))</f>
        <v/>
      </c>
      <c r="QM141" s="164">
        <f>IF(OR($ND141=0,$NO141=0),"",IF($MS141=0,"−1 dado","−"&amp;INDEX($I$2:$N$8,MAX(1,$MS141),MAX(1,$NT141))&amp;" · "&amp;CHOOSE(MAX(1,$NT141),"Leve","Média","Pesada","Leve · Livre","Média · Livre","Pesada · Livre")))</f>
        <v/>
      </c>
      <c r="QN141" s="164">
        <f>IF(OR($ND141=0,$NP141=0),"",IF($MS141=0,"−1 dado","−"&amp;INDEX($I$2:$N$8,MAX(1,$MS141),MAX(1,$NU141))&amp;" · "&amp;CHOOSE(MAX(1,$NU141),"Leve","Média","Pesada","Leve · Livre","Média · Livre","Pesada · Livre")))</f>
        <v/>
      </c>
      <c r="QO141" s="164">
        <f>IF(OR($ND141=0,$NQ141=0),"",IF($MS141=0,"−1 dado","−"&amp;INDEX($I$2:$N$8,MAX(1,$MS141),MAX(1,$NV141))&amp;" · "&amp;CHOOSE(MAX(1,$NV141),"Leve","Média","Pesada","Leve · Livre","Média · Livre","Pesada · Livre")))</f>
        <v/>
      </c>
      <c r="QP141" s="164">
        <f>IF(OR($ND141=0,$NR141=0),"",IF($MS141=0,"−1 dado","−"&amp;INDEX($I$2:$N$8,MAX(1,$MS141),MAX(1,$NW141))&amp;" · "&amp;CHOOSE(MAX(1,$NW141),"Leve","Média","Pesada","Leve · Livre","Média · Livre","Pesada · Livre")))</f>
        <v/>
      </c>
      <c r="QQ141" s="164">
        <f>IF(OR($ND141=0,$NB141=""),"",IF($MS141=0,"não devolve","+"&amp;IF($OI141=1,CEILING($MS141/2,1),$MS141)))</f>
        <v/>
      </c>
      <c r="QR141" s="164">
        <f>IF(OR($ND141=0,$NC141=""),"",IF($MS141=0,"não devolve","+"&amp;IF($OJ141=1,CEILING($MS141/2,1),$MS141)))</f>
        <v/>
      </c>
      <c r="RK141">
        <f>IF($MX141="","",IFERROR(VLOOKUP(SUBSTITUTE(SUBSTITUTE(SUBSTITUTE($MX141,"~","~~"),"*","~*"),"?","~?"),'DADOS_MELHORIAS'!$O$2:$X$113,10,FALSE),$MX141))</f>
        <v/>
      </c>
      <c r="RL141">
        <f>IF($MY141="","",IFERROR(VLOOKUP(SUBSTITUTE(SUBSTITUTE(SUBSTITUTE($MY141,"~","~~"),"*","~*"),"?","~?"),'DADOS_MELHORIAS'!$O$2:$X$113,10,FALSE),$MY141))</f>
        <v/>
      </c>
      <c r="RM141">
        <f>IF($MZ141="","",IFERROR(VLOOKUP(SUBSTITUTE(SUBSTITUTE(SUBSTITUTE($MZ141,"~","~~"),"*","~*"),"?","~?"),'DADOS_MELHORIAS'!$O$2:$X$113,10,FALSE),$MZ141))</f>
        <v/>
      </c>
      <c r="RN141">
        <f>IF($NA141="","",IFERROR(VLOOKUP(SUBSTITUTE(SUBSTITUTE(SUBSTITUTE($NA141,"~","~~"),"*","~*"),"?","~?"),'DADOS_MELHORIAS'!$O$2:$X$113,10,FALSE),$NA141))</f>
        <v/>
      </c>
      <c r="RO141">
        <f>IFERROR(INDEX('DADOS_FORMAS'!$BJ$2:$BJ$21,MATCH(SUBSTITUTE(SUBSTITUTE(SUBSTITUTE($MU141,"~","~~"),"*","~*"),"?","~?"),'DADOS_FORMAS'!$AH$2:$AH$21,0)),"")</f>
        <v/>
      </c>
      <c r="RP141">
        <f>IFERROR(VLOOKUP(SUBSTITUTE(SUBSTITUTE(SUBSTITUTE(IFERROR(INDEX('DADOS_FORMAS'!$AS$2:$AS$21,MATCH(SUBSTITUTE(SUBSTITUTE(SUBSTITUTE($MU141,"~","~~"),"*","~*"),"?","~?"),'DADOS_FORMAS'!$AH$2:$AH$21,0)),""),"~","~~"),"*","~*"),"?","~?"),'DADOS_RESTRICOES'!$M$2:$Q$54,2,FALSE),"")</f>
        <v/>
      </c>
      <c r="RQ141">
        <f>$OK141</f>
        <v/>
      </c>
      <c r="RR141">
        <f>$OL141</f>
        <v/>
      </c>
      <c r="RS141">
        <f>$RP141</f>
        <v/>
      </c>
    </row>
    <row r="142">
      <c r="MN142" s="162" t="inlineStr">
        <is>
          <t>Ficha 11 · Escolha da trilha 1</t>
        </is>
      </c>
      <c r="MO142" s="164" t="n">
        <v>11</v>
      </c>
      <c r="MP142" s="164" t="n">
        <v>2</v>
      </c>
      <c r="MQ142" s="164" t="n">
        <v>0</v>
      </c>
      <c r="MR142" s="162" t="inlineStr">
        <is>
          <t>ESCOLHA DA TRILHA 1</t>
        </is>
      </c>
      <c r="MS142" s="164">
        <f>MAX(0,MIN(7,N('INVOCAÇÕES'!$AB$1017)))</f>
        <v/>
      </c>
      <c r="MT142" s="164">
        <f>'INVOCAÇÕES'!$AC$1017&amp;""</f>
        <v/>
      </c>
      <c r="MU142" s="164">
        <f>'INVOCAÇÕES'!$AB$1022&amp;""</f>
        <v/>
      </c>
      <c r="MV142" s="164">
        <f>'INVOCAÇÕES'!$AB$1023&amp;""</f>
        <v/>
      </c>
      <c r="MW142" s="164">
        <f>'INVOCAÇÕES'!$AD$1023&amp;""</f>
        <v/>
      </c>
      <c r="MX142" s="164">
        <f>'INVOCAÇÕES'!$AC$1026&amp;""</f>
        <v/>
      </c>
      <c r="MY142" s="164">
        <f>'INVOCAÇÕES'!$AC$1027&amp;""</f>
        <v/>
      </c>
      <c r="MZ142" s="164">
        <f>'INVOCAÇÕES'!$AC$1028&amp;""</f>
        <v/>
      </c>
      <c r="NA142" s="164">
        <f>'INVOCAÇÕES'!$AC$1029&amp;""</f>
        <v/>
      </c>
      <c r="NB142" s="164">
        <f>'INVOCAÇÕES'!$AC$1030&amp;""</f>
        <v/>
      </c>
      <c r="NC142" s="164">
        <f>'INVOCAÇÕES'!$AC$1031&amp;""</f>
        <v/>
      </c>
      <c r="ND142" s="164">
        <f>IF($MT142&lt;&gt;"",1,0)</f>
        <v/>
      </c>
      <c r="NE142" s="164">
        <f>INDEX($FO$2:$FO$13,$MO142)</f>
        <v/>
      </c>
      <c r="NF142" s="164">
        <f>INDEX($FP$2:$FP$13,$MO142)</f>
        <v/>
      </c>
      <c r="NG142" s="164">
        <f>INDEX($FQ$2:$FQ$13,$MO142)</f>
        <v/>
      </c>
      <c r="NH142" s="164">
        <f>INDEX($GB$2:$GB$13,$MO142)</f>
        <v/>
      </c>
      <c r="NI142" s="164">
        <f>INDEX($GC$2:$GC$13,$MO142)</f>
        <v/>
      </c>
      <c r="NJ142" s="164">
        <f>IFERROR(MATCH(SUBSTITUTE(SUBSTITUTE(SUBSTITUTE($MU142,"~","~~"),"*","~*"),"?","~?"),'DADOS_FORMAS'!$FZ$2:$FZ$21,0),0)</f>
        <v/>
      </c>
      <c r="NK142" s="164">
        <f>IFERROR(VLOOKUP(SUBSTITUTE(SUBSTITUTE(SUBSTITUTE($MX142,"~","~~"),"*","~*"),"?","~?"),'DADOS_MELHORIAS'!$AG$2:$AL$113,2,FALSE),"")</f>
        <v/>
      </c>
      <c r="NL142" s="164">
        <f>IFERROR(VLOOKUP(SUBSTITUTE(SUBSTITUTE(SUBSTITUTE($MY142,"~","~~"),"*","~*"),"?","~?"),'DADOS_MELHORIAS'!$AG$2:$AL$113,2,FALSE),"")</f>
        <v/>
      </c>
      <c r="NM142" s="164">
        <f>IFERROR(VLOOKUP(SUBSTITUTE(SUBSTITUTE(SUBSTITUTE($MZ142,"~","~~"),"*","~*"),"?","~?"),'DADOS_MELHORIAS'!$AG$2:$AL$113,2,FALSE),"")</f>
        <v/>
      </c>
      <c r="NN142" s="164">
        <f>IFERROR(VLOOKUP(SUBSTITUTE(SUBSTITUTE(SUBSTITUTE($NA142,"~","~~"),"*","~*"),"?","~?"),'DADOS_MELHORIAS'!$AG$2:$AL$113,2,FALSE),"")</f>
        <v/>
      </c>
      <c r="NO142" s="164">
        <f>IFERROR(VLOOKUP(SUBSTITUTE(SUBSTITUTE(SUBSTITUTE($MX142,"~","~~"),"*","~*"),"?","~?"),'DADOS_MELHORIAS'!$AG$2:$AL$113,3,FALSE),0)</f>
        <v/>
      </c>
      <c r="NP142" s="164">
        <f>IFERROR(VLOOKUP(SUBSTITUTE(SUBSTITUTE(SUBSTITUTE($MY142,"~","~~"),"*","~*"),"?","~?"),'DADOS_MELHORIAS'!$AG$2:$AL$113,3,FALSE),0)</f>
        <v/>
      </c>
      <c r="NQ142" s="164">
        <f>IFERROR(VLOOKUP(SUBSTITUTE(SUBSTITUTE(SUBSTITUTE($MZ142,"~","~~"),"*","~*"),"?","~?"),'DADOS_MELHORIAS'!$AG$2:$AL$113,3,FALSE),0)</f>
        <v/>
      </c>
      <c r="NR142" s="164">
        <f>IFERROR(VLOOKUP(SUBSTITUTE(SUBSTITUTE(SUBSTITUTE($NA142,"~","~~"),"*","~*"),"?","~?"),'DADOS_MELHORIAS'!$AG$2:$AL$113,3,FALSE),0)</f>
        <v/>
      </c>
      <c r="NS142" s="164">
        <f>IF($MS142=0,0,IF($NJ142=0,0,INDEX('DADOS_FORMAS'!$GB$2:$GB$21,$NJ142)))</f>
        <v/>
      </c>
      <c r="NT142" s="164">
        <f>IF(OR($NO142=0,$MS142=0),0,$NO142+3*IF(AND($NK142&lt;&gt;"",COUNTIF(INDEX($RB$2:$RJ$13,$MO142,0),$NK142)&gt;0),1,0))</f>
        <v/>
      </c>
      <c r="NU142" s="164">
        <f>IF(OR($NP142=0,$MS142=0),0,$NP142+3*IF(AND($NL142&lt;&gt;"",COUNTIF(INDEX($RB$2:$RJ$13,$MO142,0),$NL142)&gt;0),1,0))</f>
        <v/>
      </c>
      <c r="NV142" s="164">
        <f>IF(OR($NQ142=0,$MS142=0),0,$NQ142+3*IF(AND($NM142&lt;&gt;"",COUNTIF(INDEX($RB$2:$RJ$13,$MO142,0),$NM142)&gt;0),1,0))</f>
        <v/>
      </c>
      <c r="NW142" s="164">
        <f>IF(OR($NR142=0,$MS142=0),0,$NR142+3*IF(AND($NN142&lt;&gt;"",COUNTIF(INDEX($RB$2:$RJ$13,$MO142,0),$NN142)&gt;0),1,0))</f>
        <v/>
      </c>
      <c r="NX142" s="164">
        <f>IF($NJ142=0,0,IF(INDEX('DADOS_FORMAS'!$GA$2:$GA$21,$NJ142)="",0,IF((COUNTIF(INDEX($EL$2:$EP$13,$MO142,0),INDEX('DADOS_FORMAS'!$GA$2:$GA$21,$NJ142))+COUNTIF(INDEX($QV$2:$QY$13,$MO142,0),INDEX('DADOS_FORMAS'!$GA$2:$GA$21,$NJ142)))=0,1,0)))</f>
        <v/>
      </c>
      <c r="NY142" s="164">
        <f>IF(OR($NO142=0,$NK142=""),0,IF((COUNTIF(INDEX($EL$2:$EP$13,$MO142,0),$NK142)+COUNTIF(INDEX($QV$2:$QY$13,$MO142,0),$NK142))=0,1,0))</f>
        <v/>
      </c>
      <c r="NZ142" s="164">
        <f>IF(OR($NP142=0,$NL142=""),0,IF((COUNTIF(INDEX($EL$2:$EP$13,$MO142,0),$NL142)+COUNTIF(INDEX($QV$2:$QY$13,$MO142,0),$NL142))=0,1,0))</f>
        <v/>
      </c>
      <c r="OA142" s="164">
        <f>IF(OR($NQ142=0,$NM142=""),0,IF((COUNTIF(INDEX($EL$2:$EP$13,$MO142,0),$NM142)+COUNTIF(INDEX($QV$2:$QY$13,$MO142,0),$NM142))=0,1,0))</f>
        <v/>
      </c>
      <c r="OB142" s="164">
        <f>IF(OR($NR142=0,$NN142=""),0,IF((COUNTIF(INDEX($EL$2:$EP$13,$MO142,0),$NN142)+COUNTIF(INDEX($QV$2:$QY$13,$MO142,0),$NN142))=0,1,0))</f>
        <v/>
      </c>
      <c r="OC142" s="164">
        <f>IFERROR(VLOOKUP(SUBSTITUTE(SUBSTITUTE(SUBSTITUTE($MX142,"~","~~"),"*","~*"),"?","~?"),'DADOS_MELHORIAS'!$AG$2:$AL$113,4,FALSE),0)+IFERROR(VLOOKUP(SUBSTITUTE(SUBSTITUTE(SUBSTITUTE($MY142,"~","~~"),"*","~*"),"?","~?"),'DADOS_MELHORIAS'!$AG$2:$AL$113,4,FALSE),0)+IFERROR(VLOOKUP(SUBSTITUTE(SUBSTITUTE(SUBSTITUTE($MZ142,"~","~~"),"*","~*"),"?","~?"),'DADOS_MELHORIAS'!$AG$2:$AL$113,4,FALSE),0)+IFERROR(VLOOKUP(SUBSTITUTE(SUBSTITUTE(SUBSTITUTE($NA142,"~","~~"),"*","~*"),"?","~?"),'DADOS_MELHORIAS'!$AG$2:$AL$113,4,FALSE),0)</f>
        <v/>
      </c>
      <c r="OD142" s="164">
        <f>IFERROR(VLOOKUP(SUBSTITUTE(SUBSTITUTE(SUBSTITUTE($MX142,"~","~~"),"*","~*"),"?","~?"),'DADOS_MELHORIAS'!$AG$2:$AL$113,6,FALSE),0)+IFERROR(VLOOKUP(SUBSTITUTE(SUBSTITUTE(SUBSTITUTE($MY142,"~","~~"),"*","~*"),"?","~?"),'DADOS_MELHORIAS'!$AG$2:$AL$113,6,FALSE),0)+IFERROR(VLOOKUP(SUBSTITUTE(SUBSTITUTE(SUBSTITUTE($MZ142,"~","~~"),"*","~*"),"?","~?"),'DADOS_MELHORIAS'!$AG$2:$AL$113,6,FALSE),0)+IFERROR(VLOOKUP(SUBSTITUTE(SUBSTITUTE(SUBSTITUTE($NA142,"~","~~"),"*","~*"),"?","~?"),'DADOS_MELHORIAS'!$AG$2:$AL$113,6,FALSE),0)+IFERROR(N(AND(INDEX('DADOS_FORMAS'!$AO$2:$AO$21,MATCH(SUBSTITUTE(SUBSTITUTE(SUBSTITUTE($MU142,"~","~~"),"*","~*"),"?","~?"),'DADOS_FORMAS'!$AH$2:$AH$21,0))="Acerto",$OH142=1)),0)</f>
        <v/>
      </c>
      <c r="OE142" s="164">
        <f>TEXTJOIN(", ",TRUE,IF(IFERROR(VLOOKUP(SUBSTITUTE(SUBSTITUTE(SUBSTITUTE($MX142,"~","~~"),"*","~*"),"?","~?"),'DADOS_MELHORIAS'!$AG$2:$AL$113,5,FALSE),0)=1,$MX142,""),IF(IFERROR(VLOOKUP(SUBSTITUTE(SUBSTITUTE(SUBSTITUTE($MY142,"~","~~"),"*","~*"),"?","~?"),'DADOS_MELHORIAS'!$AG$2:$AL$113,5,FALSE),0)=1,$MY142,""),IF(IFERROR(VLOOKUP(SUBSTITUTE(SUBSTITUTE(SUBSTITUTE($MZ142,"~","~~"),"*","~*"),"?","~?"),'DADOS_MELHORIAS'!$AG$2:$AL$113,5,FALSE),0)=1,$MZ142,""),IF(IFERROR(VLOOKUP(SUBSTITUTE(SUBSTITUTE(SUBSTITUTE($NA142,"~","~~"),"*","~*"),"?","~?"),'DADOS_MELHORIAS'!$AG$2:$AL$113,5,FALSE),0)=1,$NA142,""))</f>
        <v/>
      </c>
      <c r="OF142" s="164">
        <f>IF($NJ142=0,0,INDEX('DADOS_FORMAS'!$GC$2:$GC$21,$NJ142))</f>
        <v/>
      </c>
      <c r="OG142" s="164">
        <f>IF($NJ142=0,0,INDEX('DADOS_FORMAS'!$GD$2:$GD$21,$NJ142))</f>
        <v/>
      </c>
      <c r="OH142" s="164">
        <f>IF($NJ142=0,0,INDEX('DADOS_FORMAS'!$GF$2:$GF$21,$NJ142))</f>
        <v/>
      </c>
      <c r="OI142" s="164">
        <f>IFERROR(VLOOKUP(SUBSTITUTE(SUBSTITUTE(SUBSTITUTE($NB142,"~","~~"),"*","~*"),"?","~?"),'DADOS_RESTRICOES'!$M$2:$Q$54,3,FALSE),0)</f>
        <v/>
      </c>
      <c r="OJ142" s="164">
        <f>IFERROR(VLOOKUP(SUBSTITUTE(SUBSTITUTE(SUBSTITUTE($NC142,"~","~~"),"*","~*"),"?","~?"),'DADOS_RESTRICOES'!$M$2:$Q$54,3,FALSE),0)</f>
        <v/>
      </c>
      <c r="OK142" s="164">
        <f>IFERROR(VLOOKUP(SUBSTITUTE(SUBSTITUTE(SUBSTITUTE($NB142,"~","~~"),"*","~*"),"?","~?"),'DADOS_RESTRICOES'!$M$2:$Q$54,2,FALSE),"")</f>
        <v/>
      </c>
      <c r="OL142" s="164">
        <f>IFERROR(VLOOKUP(SUBSTITUTE(SUBSTITUTE(SUBSTITUTE($NC142,"~","~~"),"*","~*"),"?","~?"),'DADOS_RESTRICOES'!$M$2:$Q$54,2,FALSE),"")</f>
        <v/>
      </c>
      <c r="OM142" s="164">
        <f>COUNTIF($NS142:$NW142,1)</f>
        <v/>
      </c>
      <c r="ON142" s="164">
        <f>COUNTIF($NS142:$NW142,2)</f>
        <v/>
      </c>
      <c r="OO142" s="164">
        <f>COUNTIF($NS142:$NW142,3)</f>
        <v/>
      </c>
      <c r="OP142" s="164">
        <f>COUNTIF($NS142:$NW142,4)</f>
        <v/>
      </c>
      <c r="OQ142" s="164">
        <f>COUNTIF($NS142:$NW142,5)</f>
        <v/>
      </c>
      <c r="OR142" s="164">
        <f>COUNTIF($NS142:$NW142,6)</f>
        <v/>
      </c>
      <c r="OS142" s="164">
        <f>COUNTIF($OI142:$OJ142,1)+IF(IFERROR(INDEX('DADOS_FORMAS'!$AS$2:$AS$21,MATCH(SUBSTITUTE(SUBSTITUTE(SUBSTITUTE($MU142,"~","~~"),"*","~*"),"?","~?"),'DADOS_FORMAS'!$AH$2:$AH$21,0)),"")="",0,IFERROR(N(VLOOKUP(SUBSTITUTE(SUBSTITUTE(SUBSTITUTE(IFERROR(INDEX('DADOS_FORMAS'!$AS$2:$AS$21,MATCH(SUBSTITUTE(SUBSTITUTE(SUBSTITUTE($MU142,"~","~~"),"*","~*"),"?","~?"),'DADOS_FORMAS'!$AH$2:$AH$21,0)),""),"~","~~"),"*","~*"),"?","~?"),'DADOS_RESTRICOES'!$M$2:$Q$54,3,FALSE)=1),0))</f>
        <v/>
      </c>
      <c r="OT142" s="164">
        <f>COUNTIF($OI142:$OJ142,2)+IF(IFERROR(INDEX('DADOS_FORMAS'!$AS$2:$AS$21,MATCH(SUBSTITUTE(SUBSTITUTE(SUBSTITUTE($MU142,"~","~~"),"*","~*"),"?","~?"),'DADOS_FORMAS'!$AH$2:$AH$21,0)),"")="",0,IFERROR(N(VLOOKUP(SUBSTITUTE(SUBSTITUTE(SUBSTITUTE(IFERROR(INDEX('DADOS_FORMAS'!$AS$2:$AS$21,MATCH(SUBSTITUTE(SUBSTITUTE(SUBSTITUTE($MU142,"~","~~"),"*","~*"),"?","~?"),'DADOS_FORMAS'!$AH$2:$AH$21,0)),""),"~","~~"),"*","~*"),"?","~?"),'DADOS_RESTRICOES'!$M$2:$Q$54,3,FALSE)=2),0))</f>
        <v/>
      </c>
      <c r="OU142" s="164">
        <f>COUNTIF($MX142:$NA142,"?*")</f>
        <v/>
      </c>
      <c r="OV142" s="164">
        <f>COUNTIF($NB142:$NC142,"?*")+$OF142</f>
        <v/>
      </c>
      <c r="OW142" s="164">
        <f>IF($MS142=0,0,SUMPRODUCT($OM142:$OR142,INDEX($I$2:$N$8,MAX(1,$MS142),0)))</f>
        <v/>
      </c>
      <c r="OX142" s="164">
        <f>IF($MS142=0,0,$OS142*CEILING($MS142/2,1)+$OT142*$MS142)</f>
        <v/>
      </c>
      <c r="OY142" s="164">
        <f>MIN(2*$MS142,$OX142)</f>
        <v/>
      </c>
      <c r="OZ142" s="164">
        <f>MIN($OY142,$OW142-IF($NS142=0,0,INDEX($I$2:$N$8,MAX(1,$MS142),$NS142)))</f>
        <v/>
      </c>
      <c r="PA142" s="164">
        <f>$OY142-$OZ142</f>
        <v/>
      </c>
      <c r="PB142" s="164">
        <f>IF($MS142=0,0,INDEX($P$2:$P$8,MAX(1,$MS142)))</f>
        <v/>
      </c>
      <c r="PC142" s="164">
        <f>$PB142-$OW142+$OZ142</f>
        <v/>
      </c>
      <c r="PD142" s="164">
        <f>IF($MS142=0,MAX(0,$NG142-IF(AND($OU142&gt;0,COUNTIF($NB142:$NC142,"?*")=0),1,0)),MAX(0,$PC142))</f>
        <v/>
      </c>
      <c r="PE142" s="164">
        <f>IF($MS142=0,0,(IF(COUNTIF($RK142:$RN142,"Salto")&gt;0,1,0)+IF(COUNTIF($RK142:$RN142,"Queima")&gt;0,1,0)+IF(COUNTIF($RK142:$RN142,"Estilhaço")&gt;0,1,0))*FLOOR($PD142/2,1))</f>
        <v/>
      </c>
      <c r="PF142" s="164">
        <f>MAX(0,2-SUMPRODUCT($OM142:$OR142,$I$2:$N$2)+MIN(2,$OS142*1+$OT142*1,SUMPRODUCT($OM142:$OR142,$I$2:$N$2)-IF($NS142=0,0,INDEX($I$2:$N$2,1,$NS142))))</f>
        <v/>
      </c>
      <c r="PG142" s="164">
        <f>MAX(0,4-SUMPRODUCT($OM142:$OR142,$I$3:$N$3)+MIN(4,$OS142*1+$OT142*2,SUMPRODUCT($OM142:$OR142,$I$3:$N$3)-IF($NS142=0,0,INDEX($I$3:$N$3,1,$NS142))))</f>
        <v/>
      </c>
      <c r="PH142" s="164">
        <f>MAX(0,6-SUMPRODUCT($OM142:$OR142,$I$4:$N$4)+MIN(6,$OS142*2+$OT142*3,SUMPRODUCT($OM142:$OR142,$I$4:$N$4)-IF($NS142=0,0,INDEX($I$4:$N$4,1,$NS142))))</f>
        <v/>
      </c>
      <c r="PI142" s="164">
        <f>MAX(0,9-SUMPRODUCT($OM142:$OR142,$I$5:$N$5)+MIN(8,$OS142*2+$OT142*4,SUMPRODUCT($OM142:$OR142,$I$5:$N$5)-IF($NS142=0,0,INDEX($I$5:$N$5,1,$NS142))))</f>
        <v/>
      </c>
      <c r="PJ142" s="164">
        <f>MAX(0,11-SUMPRODUCT($OM142:$OR142,$I$6:$N$6)+MIN(10,$OS142*3+$OT142*5,SUMPRODUCT($OM142:$OR142,$I$6:$N$6)-IF($NS142=0,0,INDEX($I$6:$N$6,1,$NS142))))</f>
        <v/>
      </c>
      <c r="PK142" s="164">
        <f>MAX(0,13-SUMPRODUCT($OM142:$OR142,$I$7:$N$7)+MIN(12,$OS142*3+$OT142*6,SUMPRODUCT($OM142:$OR142,$I$7:$N$7)-IF($NS142=0,0,INDEX($I$7:$N$7,1,$NS142))))</f>
        <v/>
      </c>
      <c r="PL142" s="164">
        <f>MAX(0,16-SUMPRODUCT($OM142:$OR142,$I$8:$N$8)+MIN(14,$OS142*4+$OT142*7,SUMPRODUCT($OM142:$OR142,$I$8:$N$8)-IF($NS142=0,0,INDEX($I$8:$N$8,1,$NS142))))</f>
        <v/>
      </c>
      <c r="PM142" s="164">
        <f>IF($OG142=2,3*$PF142&amp;" de vida temp.",IF($OG142=3,"sem dano",IF($PF142=0,IF($OG142=1,"sem cura","sem dano"),IF($OG142=1,"cura ","")&amp;$PF142&amp;"d8")))</f>
        <v/>
      </c>
      <c r="PN142" s="164">
        <f>IF($OG142=2,3*$PG142&amp;" de vida temp.",IF($OG142=3,"sem dano",IF($PG142=0,IF($OG142=1,"sem cura","sem dano"),IF($OG142=1,"cura ","")&amp;$PG142&amp;"d8")))</f>
        <v/>
      </c>
      <c r="PO142" s="164">
        <f>IF($OG142=2,3*$PH142&amp;" de vida temp.",IF($OG142=3,"sem dano",IF($PH142=0,IF($OG142=1,"sem cura","sem dano"),IF($OG142=1,"cura ","")&amp;$PH142&amp;"d8")))</f>
        <v/>
      </c>
      <c r="PP142" s="164">
        <f>IF($OG142=2,3*$PI142&amp;" de vida temp.",IF($OG142=3,"sem dano",IF($PI142=0,IF($OG142=1,"sem cura","sem dano"),IF($OG142=1,"cura ","")&amp;$PI142&amp;"d8")))</f>
        <v/>
      </c>
      <c r="PQ142" s="164">
        <f>IF($OG142=2,3*$PJ142&amp;" de vida temp.",IF($OG142=3,"sem dano",IF($PJ142=0,IF($OG142=1,"sem cura","sem dano"),IF($OG142=1,"cura ","")&amp;$PJ142&amp;"d8")))</f>
        <v/>
      </c>
      <c r="PR142" s="164">
        <f>IF($OG142=2,3*$PK142&amp;" de vida temp.",IF($OG142=3,"sem dano",IF($PK142=0,IF($OG142=1,"sem cura","sem dano"),IF($OG142=1,"cura ","")&amp;$PK142&amp;"d8")))</f>
        <v/>
      </c>
      <c r="PS142" s="164">
        <f>IF($OG142=2,3*$PL142&amp;" de vida temp.",IF($OG142=3,"sem dano",IF($PL142=0,IF($OG142=1,"sem cura","sem dano"),IF($OG142=1,"cura ","")&amp;$PL142&amp;"d8")))</f>
        <v/>
      </c>
      <c r="PT142" s="164">
        <f>IF($ND142=0,"",TEXTJOIN(" · ",TRUE,IF($ND142=0,"",TEXTJOIN(" · ",TRUE,IF($ND142=0,"",TEXTJOIN(" · ",TRUE,IF($MQ142&gt;$NE142,"Este lugar abre no nível "&amp;$MQ142,""),IF($MS142&gt;$NF142,"Classe "&amp;$MS142&amp;": o nível "&amp;$NE142&amp;" libera até a "&amp;$NF142,""),IF($NX142=1,"A Forma "&amp;$MU142&amp;" pede "&amp;INDEX('DADOS_FORMAS'!$GA$2:$GA$21,$NJ142)&amp;" aberta",""),IF(AND($MS142=0,$NJ142&gt;0,IF($NJ142=0,0,INDEX('DADOS_FORMAS'!$GJ$2:$GJ$21,$NJ142))=0),$MU142&amp;" não existe na Classe 0",""),IF($NY142=1,"Família Fechada: "&amp;$MX142,""),IF($NZ142=1,"Família Fechada: "&amp;$MY142,""),IF($OA142=1,"Família Fechada: "&amp;$MZ142,""),IF($OB142=1,"Família Fechada: "&amp;$NA142,""),IF(AND($MS142&gt;0,$OU142&gt;INDEX($O$2:$O$8,MAX(1,$MS142))),$OU142&amp;" Melhorias: a Classe "&amp;$MS142&amp;" aceita "&amp;INDEX($O$2:$O$8,MAX(1,$MS142)),""),IF(AND($MS142=0,$OU142&gt;1),"A básica aceita uma Melhoria",""),IF(AND($MS142=0,COUNTIF($NO142:$NR142,"&gt;1")&gt;0),"A básica só aceita Melhoria Leve",""),IF(AND($MS142&gt;0,$OV142&gt;2),$OV142&amp;" Restrições"&amp;IF($OF142=1,", contando a que a Forma "&amp;$MU142&amp;" já traz","")&amp;": o limite é 2",""),IF(AND($MS142=0,COUNTIF($NB142:$NC142,"?*")&gt;1),"A básica aceita uma Restrição Leve",""),IF(AND($MS142=0,COUNTIF($OI142:$OJ142,2)&gt;0),"A básica só aceita Restrição Leve",""),IF(AND($MS142&gt;0,$PC142&lt;0),"Orçamento estourado: faltam "&amp;(-$PC142)&amp;IF($PC142&lt;-1," pontos"," ponto"),""),IF(IFERROR(VLOOKUP(SUBSTITUTE(SUBSTITUTE(SUBSTITUTE($NB142,"~","~~"),"*","~*"),"?","~?"),'DADOS_RESTRICOES'!$M$2:$Q$54,4,FALSE),0)+IFERROR(VLOOKUP(SUBSTITUTE(SUBSTITUTE(SUBSTITUTE($NC142,"~","~~"),"*","~*"),"?","~?"),'DADOS_RESTRICOES'!$M$2:$Q$54,4,FALSE),0)&gt;1,$OK142&amp;" e "&amp;$OL142&amp;" são as duas de frequência",""),IF(AND((COUNTIF($RK142:$RN142,"Rápido")+COUNTIF($OK142:$OL142,"Rápido"))&gt;0,(COUNTIF($MX142:$NA142,"Atrasar")+COUNTIF($OK142:$OL142,"Atrasar"))&gt;0),"Rápido não entra com Atrasar",""),IF(AND((COUNTIF($RK142:$RN142,"Reação")+COUNTIF($OK142:$OL142,"Reação"))&gt;0,(COUNTIF($RK142:$RN142,"Rápido")+COUNTIF($OK142:$OL142,"Rápido"))&gt;0),"Reação não entra com Rápido",""),IF(AND((COUNTIF($RK142:$RN142,"Reação")+COUNTIF($OK142:$OL142,"Reação"))&gt;0,(COUNTIF($RK142:$RN142,"Armado")+COUNTIF($OK142:$OL142,"Armado"))&gt;0),"Reação não entra com Armado",""),IF(AND((COUNTIF($RK142:$RN142,"Reação")+COUNTIF($OK142:$OL142,"Reação"))&gt;0,(COUNTIF($MX142:$NA142,"Atrasar")+COUNTIF($OK142:$OL142,"Atrasar"))&gt;0),"Reação não entra com Atrasar",""),IF(AND((COUNTIF($RK142:$RN142,"Reação")+COUNTIF($OK142:$OL142,"Reação"))&gt;0,(COUNTIF($MX142:$NA142,"Parado")+COUNTIF($OK142:$OL142,"Parado"))&gt;0),"Reação não entra com Parado",""),IF(AND((COUNTIF($MX142:$NA142,"Atrasar")+COUNTIF($OK142:$OL142,"Atrasar"))&gt;0,(COUNTIF($MX142:$NA142,"Parado")+COUNTIF($OK142:$OL142,"Parado"))&gt;0),"Atrasar não entra com Parado",""),IF(AND((COUNTIF($RK142:$RN142,"Armado")+COUNTIF($OK142:$OL142,"Armado"))&gt;0,(COUNTIF($MX142:$NA142,"Carregar")+COUNTIF($OK142:$OL142,"Carregar"))&gt;0),"Armado não entra com Carregar",""),IF(AND(COUNTIF($OK142:$OL142,"Corpo a Corpo")&gt;0,$OF142=0,OR($RO142="Cone",$RO142="Linha")),"Corpo a Corpo não entra em "&amp;$MU142,""),IF(AND(COUNTIF($OK142:$OL142,"Corpo a Corpo")&gt;0,$RP142="Corpo a Corpo"),"A Forma "&amp;$MU142&amp;" já traz o Corpo a Corpo",""),IF(AND(COUNTIF($OK142:$OL142,"Tudo ou Nada")&gt;0,$OH142=0),"Tudo ou Nada só entra em habilidade de Teste de Resistência",""),IF(AND(COUNTIF($RK142:$RN142,"Inescapável")&gt;0,OR($OU142&gt;1,$OV142&gt;0)),"Inescapável não aceita outra peça",""),IF(AND($MS142&gt;0,$PD142*IF(COUNTIF($RK142:$RN142,"Remate")&gt;0,1.25,1)+$PE142&gt;4*$MS142),($PD142*IF(COUNTIF($RK142:$RN142,"Remate")&gt;0,1.25,1)+$PE142)&amp;" dados somando repetições"&amp;IF(COUNTIF($RK142:$RN142,"Remate")&gt;0," e o Remate","")&amp;": o teto da Classe "&amp;$MS142&amp;" é "&amp;4*$MS142,""))),IF(AND($MX142&lt;&gt;"",COUNTIF('DADOS_MELHORIAS'!$O$2:$O$113,SUBSTITUTE(SUBSTITUTE(SUBSTITUTE($MX142,"~","~~"),"*","~*"),"?","~?"))=0),"Melhoria não cadastrada ou com erro: "&amp;$MX142,""),IF(AND($MY142&lt;&gt;"",COUNTIF('DADOS_MELHORIAS'!$O$2:$O$113,SUBSTITUTE(SUBSTITUTE(SUBSTITUTE($MY142,"~","~~"),"*","~*"),"?","~?"))=0),"Melhoria não cadastrada ou com erro: "&amp;$MY142,""),IF(AND($MZ142&lt;&gt;"",COUNTIF('DADOS_MELHORIAS'!$O$2:$O$113,SUBSTITUTE(SUBSTITUTE(SUBSTITUTE($MZ142,"~","~~"),"*","~*"),"?","~?"))=0),"Melhoria não cadastrada ou com erro: "&amp;$MZ142,""),IF(AND($NA142&lt;&gt;"",COUNTIF('DADOS_MELHORIAS'!$O$2:$O$113,SUBSTITUTE(SUBSTITUTE(SUBSTITUTE($NA142,"~","~~"),"*","~*"),"?","~?"))=0),"Melhoria não cadastrada ou com erro: "&amp;$NA142,""),IF(AND($NB142&lt;&gt;"",COUNTIF('DADOS_RESTRICOES'!$M$2:$M$54,SUBSTITUTE(SUBSTITUTE(SUBSTITUTE($NB142,"~","~~"),"*","~*"),"?","~?"))=0),"Restrição não cadastrada ou com erro: "&amp;$NB142,""),IF(AND($NC142&lt;&gt;"",COUNTIF('DADOS_RESTRICOES'!$M$2:$M$54,SUBSTITUTE(SUBSTITUTE(SUBSTITUTE($NC142,"~","~~"),"*","~*"),"?","~?"))=0),"Restrição não cadastrada ou com erro: "&amp;$NC142,""))),IF(AND($MU142&lt;&gt;"",COUNTIF('DADOS_FORMAS'!$AH$2:$AH$21,SUBSTITUTE(SUBSTITUTE(SUBSTITUTE($MU142,"~","~~"),"*","~*"),"?","~?"))=0),"Forma não cadastrada ou com erro: "&amp;$MU142,""),IF(AND(IFERROR(INDEX('DADOS_FORMAS'!$AS$2:$AS$21,MATCH(SUBSTITUTE(SUBSTITUTE(SUBSTITUTE($MU142,"~","~~"),"*","~*"),"?","~?"),'DADOS_FORMAS'!$AH$2:$AH$21,0)),"")&lt;&gt;"",OR(IFERROR(VLOOKUP(SUBSTITUTE(SUBSTITUTE(SUBSTITUTE(IFERROR(INDEX('DADOS_FORMAS'!$AS$2:$AS$21,MATCH(SUBSTITUTE(SUBSTITUTE(SUBSTITUTE($MU142,"~","~~"),"*","~*"),"?","~?"),'DADOS_FORMAS'!$AH$2:$AH$21,0)),""),"~","~~"),"*","~*"),"?","~?"),'DADOS_RESTRICOES'!$M$2:$Q$54,2,FALSE),"")=$OK142,IFERROR(VLOOKUP(SUBSTITUTE(SUBSTITUTE(SUBSTITUTE(IFERROR(INDEX('DADOS_FORMAS'!$AS$2:$AS$21,MATCH(SUBSTITUTE(SUBSTITUTE(SUBSTITUTE($MU142,"~","~~"),"*","~*"),"?","~?"),'DADOS_FORMAS'!$AH$2:$AH$21,0)),""),"~","~~"),"*","~*"),"?","~?"),'DADOS_RESTRICOES'!$M$2:$Q$54,2,FALSE),"")=$OL142)),"Restrição repetida, contando a embutida",""),IF(IF(IFERROR(INDEX('DADOS_FORMAS'!$AS$2:$AS$21,MATCH(SUBSTITUTE(SUBSTITUTE(SUBSTITUTE($MU142,"~","~~"),"*","~*"),"?","~?"),'DADOS_FORMAS'!$AH$2:$AH$21,0)),"")="",0,IFERROR(N(VLOOKUP(SUBSTITUTE(SUBSTITUTE(SUBSTITUTE(IFERROR(INDEX('DADOS_FORMAS'!$AS$2:$AS$21,MATCH(SUBSTITUTE(SUBSTITUTE(SUBSTITUTE($MU142,"~","~~"),"*","~*"),"?","~?"),'DADOS_FORMAS'!$AH$2:$AH$21,0)),""),"~","~~"),"*","~*"),"?","~?"),'DADOS_RESTRICOES'!$M$2:$Q$54,4,FALSE)=1),0))+IF($NB142="",0,IFERROR(N(VLOOKUP(SUBSTITUTE(SUBSTITUTE(SUBSTITUTE($NB142,"~","~~"),"*","~*"),"?","~?"),'DADOS_RESTRICOES'!$M$2:$Q$54,4,FALSE)=1),0))+IF($NC142="",0,IFERROR(N(VLOOKUP(SUBSTITUTE(SUBSTITUTE(SUBSTITUTE($NC142,"~","~~"),"*","~*"),"?","~?"),'DADOS_RESTRICOES'!$M$2:$Q$54,4,FALSE)=1),0))&gt;1,"Duas Restrições de frequência, contando a embutida",""),IF(AND(IFERROR(VLOOKUP(SUBSTITUTE(SUBSTITUTE(SUBSTITUTE(IFERROR(INDEX('DADOS_FORMAS'!$AS$2:$AS$21,MATCH(SUBSTITUTE(SUBSTITUTE(SUBSTITUTE($MU142,"~","~~"),"*","~*"),"?","~?"),'DADOS_FORMAS'!$AH$2:$AH$21,0)),""),"~","~~"),"*","~*"),"?","~?"),'DADOS_RESTRICOES'!$M$2:$Q$54,2,FALSE),"")="Tudo ou Nada",$OH142=0),"Tudo ou Nada exige TR",""),IF(AND(IFERROR(VLOOKUP(SUBSTITUTE(SUBSTITUTE(SUBSTITUTE(IFERROR(INDEX('DADOS_FORMAS'!$AS$2:$AS$21,MATCH(SUBSTITUTE(SUBSTITUTE(SUBSTITUTE($MU142,"~","~~"),"*","~*"),"?","~?"),'DADOS_FORMAS'!$AH$2:$AH$21,0)),""),"~","~~"),"*","~*"),"?","~?"),'DADOS_RESTRICOES'!$M$2:$Q$54,2,FALSE),"")="Corpo a Corpo",OR($RO142="Cone",$RO142="Linha")),"Corpo a Corpo não entra em Cone/Linha","")))</f>
        <v/>
      </c>
      <c r="PU142" s="164">
        <f>IF($PT142="",0,(LEN($PT142)-LEN(SUBSTITUTE($PT142," · ","")))/3+1)</f>
        <v/>
      </c>
      <c r="PV142" s="164">
        <f>IF($ND142=0,"",TEXTJOIN(" · ",TRUE,IF($OX142&gt;2*$MS142,"A devolução parou no teto de "&amp;2*$MS142,""),IF($PA142&gt;0,"Devolução perdida: "&amp;$PA142&amp;IF($PA142&gt;1," pontos"," ponto")&amp;" sem Melhoria para pagar",""),IF(AND($OC142&gt;0,AND($MS142&gt;0,$OG142=0),$PD142=0),"Controle sem dano: uma rodada a mais e CD +2",""),IF(AND($OC142&gt;0,AND($MS142&gt;0,$OG142=0),$PD142&gt;0,$PD142&lt;=$MS142),"Controle com saldo até a Classe: uma rodada a mais",""),IF(AND($MS142&gt;0,$OE142&lt;&gt;""),"Efeito de "&amp;$OE142&amp;" pela Classe "&amp;MAX(1,$MS142-1),"")))</f>
        <v/>
      </c>
      <c r="PW142" s="164">
        <f>IF($PV142="",0,(LEN($PV142)-LEN(SUBSTITUTE($PV142," · ","")))/3+1)</f>
        <v/>
      </c>
      <c r="PX142" s="164">
        <f>IF($ND142=0,IF($OU142+COUNTIF($NB142:$NC142,"?*")&gt;0,"Dê um nome",""),IF($PU142&gt;0,"⚠ "&amp;$PU142&amp;IF($PU142&gt;1," erros"," erro"),IF($PW142&gt;0,"! "&amp;$PW142&amp;IF($PW142&gt;1," avisos"," aviso"),"Na regra")))</f>
        <v/>
      </c>
      <c r="PY142" s="164">
        <f>IF($ND142=0,"",IF($PU142+$PW142=0,"Dentro das regras que a ficha confere",$PT142&amp;IF(AND($PU142&gt;0,$PW142&gt;0)," · ","")&amp;$PV142))</f>
        <v/>
      </c>
      <c r="PZ142" s="164">
        <f>IF($MQ142&gt;$NE142,$MR142&amp;" · ABRE NO NÍVEL "&amp;$MQ142,$MR142)</f>
        <v/>
      </c>
      <c r="QA142" s="164">
        <f>IF($ND142=0,"",IF($MS142=0,"Sem PE",3*$MS142&amp;" PE"))</f>
        <v/>
      </c>
      <c r="QB142" s="164">
        <f>IF($ND142=0,"",IF($MS142=0,"A atuação básica dela",IF(COUNTIF($RQ142:$RS142,"Atrasar")&gt;0,"Sua Ação Completa",IF(COUNTIF($RK142:$RN142,"Rápido")&gt;0,"Sua Bônus",IF(COUNTIF($RK142:$RN142,"Reação")&gt;0,"Sua Reação","Sua Padrão")))&amp;" + a básica dela"&amp;IF(COUNTIF($RK142:$RN142,"Reação")&gt;0," e a coletiva","")&amp;IF(COUNTIF($RQ142:$RS142,"Carregar")&gt;0," · em dois turnos","")))</f>
        <v/>
      </c>
      <c r="QC142" s="164">
        <f>IF($MW142&lt;&gt;"",$MW142,IF($NJ142=0,"",INDEX('DADOS_FORMAS'!$GE$2:$GE$21,$NJ142)))</f>
        <v/>
      </c>
      <c r="QD142" s="164">
        <f>IF(OR($ND142=0,$NJ142=0),"",IF(COUNTIF($RK142:$RN142,"Inescapável")&gt;0,"Automático",IF($QC142="Ataque",IF($NH142="","Ataque","Ataque "&amp;IF(($NH142+2*IF(COUNTIF($RK142:$RN142,"Precisão")&gt;0,1,0))&gt;=0,"+","−")&amp;ABS(($NH142+2*IF(COUNTIF($RK142:$RN142,"Precisão")&gt;0,1,0))))&amp;IF($OD142&gt;0," · TR"&amp;IF($NI142="",""," CD "&amp;$NI142),""),IF(LEFT($QC142,2)="TR",$QC142&amp;IF($NI142="",""," · CD "&amp;$NI142)&amp;IF(COUNTIF($RK142:$RN142,"Certeiro")&gt;0," · metade",""),"Sem rolagem"))))</f>
        <v/>
      </c>
      <c r="QE142" s="164">
        <f>IF(OR($ND142=0,$NJ142=0),"",IF($MS142=0,IF(OR($OG142&gt;=1,$PD142=0),"Sem dano",$PD142&amp;"d6"&amp;IF($MV142="",""," "&amp;$MV142)),IF(OR($OG142&gt;=1,$PD142=0),UPPER(LEFT(INDEX($PM142:$PS142,1,MAX(1,$MS142)),1))&amp;MID(INDEX($PM142:$PS142,1,MAX(1,$MS142)),2,99),UPPER(LEFT(INDEX($PM142:$PS142,1,MAX(1,$MS142)),1))&amp;MID(INDEX($PM142:$PS142,1,MAX(1,$MS142)),2,99)&amp;IF($MV142="",""," "&amp;$MV142)&amp;IF($PE142&gt;0," · +"&amp;$PE142&amp;"d8",""))))</f>
        <v/>
      </c>
      <c r="QF142" s="164">
        <f>COUNTIF($RK142:$RN142,"Longe")+3*COUNTIF($RK142:$RN142,"Muito Longe")</f>
        <v/>
      </c>
      <c r="QG142" s="164">
        <f>COUNTIF($RK142:$RN142,"Maior")+3*COUNTIF($RK142:$RN142,"Muito Maior")</f>
        <v/>
      </c>
      <c r="QH142" s="164">
        <f>IF($NJ142=0,0,CHOOSE(1+INDEX('DADOS_FORMAS'!$GG$2:$GG$21,$NJ142),0,$QF142,$QG142,$QF142+$QG142))</f>
        <v/>
      </c>
      <c r="QI142" s="164">
        <f>IF($NJ142=0,0,CHOOSE(1+INDEX('DADOS_FORMAS'!$GH$2:$GH$21,$NJ142),0,$QF142,$QG142,$QF142+$QG142))</f>
        <v/>
      </c>
      <c r="QJ142" s="164">
        <f>IF(OR($ND142=0,$NJ142=0),"",INDEX('DADOS_FORMAS'!$HU$2:$HZ$81,($NJ142-1)*4+IF($MS142=0,1,IF($MS142&lt;=5,2,IF($MS142=6,3,4))),1+MIN(5,$QH142))&amp;INDEX('DADOS_FORMAS'!$IA$2:$IF$81,($NJ142-1)*4+IF($MS142=0,1,IF($MS142&lt;=5,2,IF($MS142=6,3,4))),1+MIN(5,$QI142))&amp;IF(INDEX('DADOS_FORMAS'!$GI$2:$GI$21,$NJ142)=1,IF(COUNTIF($RK142:$RN142,"Mais Um")&gt;0," · +"&amp;COUNTIF($RK142:$RN142,"Mais Um")&amp;IF(COUNTIF($RK142:$RN142,"Mais Um")&gt;1," alvos"," alvo"),"")&amp;IF(COUNTIF($RK142:$RN142,"Rajada")&gt;0,IF($MS142=0," · 1 tiro"," · "&amp;(MAX(1,$MS142-1)+1)&amp;" tiros"),""),""))</f>
        <v/>
      </c>
      <c r="QK142" s="164">
        <f>IF($ND142=0,"",IF($MS142=0,$NG142&amp;"d6"&amp;IF($OU142&gt;0," − 1 = "&amp;$PD142&amp;"d6"," da básica do nível "&amp;$NE142),$PB142&amp;" − "&amp;$OW142&amp;" + "&amp;$OZ142&amp;" = "&amp;$PC142&amp;" · teto "&amp;4*$MS142&amp;"d8"&amp;IF($OF142=1," · a Forma devolve "&amp;$MS142,"")&amp;IF($PA142&gt;0," · perde "&amp;$PA142,"")))</f>
        <v/>
      </c>
      <c r="QL142" s="164">
        <f>IF($ND142=0,"",IF($MS142=0,"A básica não amplia: os dados dela sobem com o nível",IF($MS142&gt;=$NF142,"Já está na maior Classe que o nível liberou",TEXTJOIN(" · ",TRUE,IF(AND(2&gt;$MS142,2&lt;=$NF142),"2 → "&amp;$PN142&amp;", 6 PE",""),IF(AND(3&gt;$MS142,3&lt;=$NF142),"3 → "&amp;$PO142&amp;", 9 PE",""),IF(AND(4&gt;$MS142,4&lt;=$NF142),"4 → "&amp;$PP142&amp;", 12 PE",""),IF(AND(5&gt;$MS142,5&lt;=$NF142),"5 → "&amp;$PQ142&amp;", 15 PE",""),IF(AND(6&gt;$MS142,6&lt;=$NF142),"6 → "&amp;$PR142&amp;", 18 PE",""),IF(AND(7&gt;$MS142,7&lt;=$NF142),"7 → "&amp;$PS142&amp;", 21 PE","")))))</f>
        <v/>
      </c>
      <c r="QM142" s="164">
        <f>IF(OR($ND142=0,$NO142=0),"",IF($MS142=0,"−1 dado","−"&amp;INDEX($I$2:$N$8,MAX(1,$MS142),MAX(1,$NT142))&amp;" · "&amp;CHOOSE(MAX(1,$NT142),"Leve","Média","Pesada","Leve · Livre","Média · Livre","Pesada · Livre")))</f>
        <v/>
      </c>
      <c r="QN142" s="164">
        <f>IF(OR($ND142=0,$NP142=0),"",IF($MS142=0,"−1 dado","−"&amp;INDEX($I$2:$N$8,MAX(1,$MS142),MAX(1,$NU142))&amp;" · "&amp;CHOOSE(MAX(1,$NU142),"Leve","Média","Pesada","Leve · Livre","Média · Livre","Pesada · Livre")))</f>
        <v/>
      </c>
      <c r="QO142" s="164">
        <f>IF(OR($ND142=0,$NQ142=0),"",IF($MS142=0,"−1 dado","−"&amp;INDEX($I$2:$N$8,MAX(1,$MS142),MAX(1,$NV142))&amp;" · "&amp;CHOOSE(MAX(1,$NV142),"Leve","Média","Pesada","Leve · Livre","Média · Livre","Pesada · Livre")))</f>
        <v/>
      </c>
      <c r="QP142" s="164">
        <f>IF(OR($ND142=0,$NR142=0),"",IF($MS142=0,"−1 dado","−"&amp;INDEX($I$2:$N$8,MAX(1,$MS142),MAX(1,$NW142))&amp;" · "&amp;CHOOSE(MAX(1,$NW142),"Leve","Média","Pesada","Leve · Livre","Média · Livre","Pesada · Livre")))</f>
        <v/>
      </c>
      <c r="QQ142" s="164">
        <f>IF(OR($ND142=0,$NB142=""),"",IF($MS142=0,"não devolve","+"&amp;IF($OI142=1,CEILING($MS142/2,1),$MS142)))</f>
        <v/>
      </c>
      <c r="QR142" s="164">
        <f>IF(OR($ND142=0,$NC142=""),"",IF($MS142=0,"não devolve","+"&amp;IF($OJ142=1,CEILING($MS142/2,1),$MS142)))</f>
        <v/>
      </c>
      <c r="RK142">
        <f>IF($MX142="","",IFERROR(VLOOKUP(SUBSTITUTE(SUBSTITUTE(SUBSTITUTE($MX142,"~","~~"),"*","~*"),"?","~?"),'DADOS_MELHORIAS'!$O$2:$X$113,10,FALSE),$MX142))</f>
        <v/>
      </c>
      <c r="RL142">
        <f>IF($MY142="","",IFERROR(VLOOKUP(SUBSTITUTE(SUBSTITUTE(SUBSTITUTE($MY142,"~","~~"),"*","~*"),"?","~?"),'DADOS_MELHORIAS'!$O$2:$X$113,10,FALSE),$MY142))</f>
        <v/>
      </c>
      <c r="RM142">
        <f>IF($MZ142="","",IFERROR(VLOOKUP(SUBSTITUTE(SUBSTITUTE(SUBSTITUTE($MZ142,"~","~~"),"*","~*"),"?","~?"),'DADOS_MELHORIAS'!$O$2:$X$113,10,FALSE),$MZ142))</f>
        <v/>
      </c>
      <c r="RN142">
        <f>IF($NA142="","",IFERROR(VLOOKUP(SUBSTITUTE(SUBSTITUTE(SUBSTITUTE($NA142,"~","~~"),"*","~*"),"?","~?"),'DADOS_MELHORIAS'!$O$2:$X$113,10,FALSE),$NA142))</f>
        <v/>
      </c>
      <c r="RO142">
        <f>IFERROR(INDEX('DADOS_FORMAS'!$BJ$2:$BJ$21,MATCH(SUBSTITUTE(SUBSTITUTE(SUBSTITUTE($MU142,"~","~~"),"*","~*"),"?","~?"),'DADOS_FORMAS'!$AH$2:$AH$21,0)),"")</f>
        <v/>
      </c>
      <c r="RP142">
        <f>IFERROR(VLOOKUP(SUBSTITUTE(SUBSTITUTE(SUBSTITUTE(IFERROR(INDEX('DADOS_FORMAS'!$AS$2:$AS$21,MATCH(SUBSTITUTE(SUBSTITUTE(SUBSTITUTE($MU142,"~","~~"),"*","~*"),"?","~?"),'DADOS_FORMAS'!$AH$2:$AH$21,0)),""),"~","~~"),"*","~*"),"?","~?"),'DADOS_RESTRICOES'!$M$2:$Q$54,2,FALSE),"")</f>
        <v/>
      </c>
      <c r="RQ142">
        <f>$OK142</f>
        <v/>
      </c>
      <c r="RR142">
        <f>$OL142</f>
        <v/>
      </c>
      <c r="RS142">
        <f>$RP142</f>
        <v/>
      </c>
    </row>
    <row r="143">
      <c r="MN143" s="162" t="inlineStr">
        <is>
          <t>Ficha 11 · Escolha da trilha 2</t>
        </is>
      </c>
      <c r="MO143" s="164" t="n">
        <v>11</v>
      </c>
      <c r="MP143" s="164" t="n">
        <v>2</v>
      </c>
      <c r="MQ143" s="164" t="n">
        <v>0</v>
      </c>
      <c r="MR143" s="162" t="inlineStr">
        <is>
          <t>ESCOLHA DA TRILHA 2</t>
        </is>
      </c>
      <c r="MS143" s="164">
        <f>MAX(0,MIN(7,N('INVOCAÇÕES'!$AH$1017)))</f>
        <v/>
      </c>
      <c r="MT143" s="164">
        <f>'INVOCAÇÕES'!$AI$1017&amp;""</f>
        <v/>
      </c>
      <c r="MU143" s="164">
        <f>'INVOCAÇÕES'!$AH$1022&amp;""</f>
        <v/>
      </c>
      <c r="MV143" s="164">
        <f>'INVOCAÇÕES'!$AH$1023&amp;""</f>
        <v/>
      </c>
      <c r="MW143" s="164">
        <f>'INVOCAÇÕES'!$AJ$1023&amp;""</f>
        <v/>
      </c>
      <c r="MX143" s="164">
        <f>'INVOCAÇÕES'!$AI$1026&amp;""</f>
        <v/>
      </c>
      <c r="MY143" s="164">
        <f>'INVOCAÇÕES'!$AI$1027&amp;""</f>
        <v/>
      </c>
      <c r="MZ143" s="164">
        <f>'INVOCAÇÕES'!$AI$1028&amp;""</f>
        <v/>
      </c>
      <c r="NA143" s="164">
        <f>'INVOCAÇÕES'!$AI$1029&amp;""</f>
        <v/>
      </c>
      <c r="NB143" s="164">
        <f>'INVOCAÇÕES'!$AI$1030&amp;""</f>
        <v/>
      </c>
      <c r="NC143" s="164">
        <f>'INVOCAÇÕES'!$AI$1031&amp;""</f>
        <v/>
      </c>
      <c r="ND143" s="164">
        <f>IF($MT143&lt;&gt;"",1,0)</f>
        <v/>
      </c>
      <c r="NE143" s="164">
        <f>INDEX($FO$2:$FO$13,$MO143)</f>
        <v/>
      </c>
      <c r="NF143" s="164">
        <f>INDEX($FP$2:$FP$13,$MO143)</f>
        <v/>
      </c>
      <c r="NG143" s="164">
        <f>INDEX($FQ$2:$FQ$13,$MO143)</f>
        <v/>
      </c>
      <c r="NH143" s="164">
        <f>INDEX($GB$2:$GB$13,$MO143)</f>
        <v/>
      </c>
      <c r="NI143" s="164">
        <f>INDEX($GC$2:$GC$13,$MO143)</f>
        <v/>
      </c>
      <c r="NJ143" s="164">
        <f>IFERROR(MATCH(SUBSTITUTE(SUBSTITUTE(SUBSTITUTE($MU143,"~","~~"),"*","~*"),"?","~?"),'DADOS_FORMAS'!$FZ$2:$FZ$21,0),0)</f>
        <v/>
      </c>
      <c r="NK143" s="164">
        <f>IFERROR(VLOOKUP(SUBSTITUTE(SUBSTITUTE(SUBSTITUTE($MX143,"~","~~"),"*","~*"),"?","~?"),'DADOS_MELHORIAS'!$AG$2:$AL$113,2,FALSE),"")</f>
        <v/>
      </c>
      <c r="NL143" s="164">
        <f>IFERROR(VLOOKUP(SUBSTITUTE(SUBSTITUTE(SUBSTITUTE($MY143,"~","~~"),"*","~*"),"?","~?"),'DADOS_MELHORIAS'!$AG$2:$AL$113,2,FALSE),"")</f>
        <v/>
      </c>
      <c r="NM143" s="164">
        <f>IFERROR(VLOOKUP(SUBSTITUTE(SUBSTITUTE(SUBSTITUTE($MZ143,"~","~~"),"*","~*"),"?","~?"),'DADOS_MELHORIAS'!$AG$2:$AL$113,2,FALSE),"")</f>
        <v/>
      </c>
      <c r="NN143" s="164">
        <f>IFERROR(VLOOKUP(SUBSTITUTE(SUBSTITUTE(SUBSTITUTE($NA143,"~","~~"),"*","~*"),"?","~?"),'DADOS_MELHORIAS'!$AG$2:$AL$113,2,FALSE),"")</f>
        <v/>
      </c>
      <c r="NO143" s="164">
        <f>IFERROR(VLOOKUP(SUBSTITUTE(SUBSTITUTE(SUBSTITUTE($MX143,"~","~~"),"*","~*"),"?","~?"),'DADOS_MELHORIAS'!$AG$2:$AL$113,3,FALSE),0)</f>
        <v/>
      </c>
      <c r="NP143" s="164">
        <f>IFERROR(VLOOKUP(SUBSTITUTE(SUBSTITUTE(SUBSTITUTE($MY143,"~","~~"),"*","~*"),"?","~?"),'DADOS_MELHORIAS'!$AG$2:$AL$113,3,FALSE),0)</f>
        <v/>
      </c>
      <c r="NQ143" s="164">
        <f>IFERROR(VLOOKUP(SUBSTITUTE(SUBSTITUTE(SUBSTITUTE($MZ143,"~","~~"),"*","~*"),"?","~?"),'DADOS_MELHORIAS'!$AG$2:$AL$113,3,FALSE),0)</f>
        <v/>
      </c>
      <c r="NR143" s="164">
        <f>IFERROR(VLOOKUP(SUBSTITUTE(SUBSTITUTE(SUBSTITUTE($NA143,"~","~~"),"*","~*"),"?","~?"),'DADOS_MELHORIAS'!$AG$2:$AL$113,3,FALSE),0)</f>
        <v/>
      </c>
      <c r="NS143" s="164">
        <f>IF($MS143=0,0,IF($NJ143=0,0,INDEX('DADOS_FORMAS'!$GB$2:$GB$21,$NJ143)))</f>
        <v/>
      </c>
      <c r="NT143" s="164">
        <f>IF(OR($NO143=0,$MS143=0),0,$NO143+3*IF(AND($NK143&lt;&gt;"",COUNTIF(INDEX($RB$2:$RJ$13,$MO143,0),$NK143)&gt;0),1,0))</f>
        <v/>
      </c>
      <c r="NU143" s="164">
        <f>IF(OR($NP143=0,$MS143=0),0,$NP143+3*IF(AND($NL143&lt;&gt;"",COUNTIF(INDEX($RB$2:$RJ$13,$MO143,0),$NL143)&gt;0),1,0))</f>
        <v/>
      </c>
      <c r="NV143" s="164">
        <f>IF(OR($NQ143=0,$MS143=0),0,$NQ143+3*IF(AND($NM143&lt;&gt;"",COUNTIF(INDEX($RB$2:$RJ$13,$MO143,0),$NM143)&gt;0),1,0))</f>
        <v/>
      </c>
      <c r="NW143" s="164">
        <f>IF(OR($NR143=0,$MS143=0),0,$NR143+3*IF(AND($NN143&lt;&gt;"",COUNTIF(INDEX($RB$2:$RJ$13,$MO143,0),$NN143)&gt;0),1,0))</f>
        <v/>
      </c>
      <c r="NX143" s="164">
        <f>IF($NJ143=0,0,IF(INDEX('DADOS_FORMAS'!$GA$2:$GA$21,$NJ143)="",0,IF((COUNTIF(INDEX($EL$2:$EP$13,$MO143,0),INDEX('DADOS_FORMAS'!$GA$2:$GA$21,$NJ143))+COUNTIF(INDEX($QV$2:$QY$13,$MO143,0),INDEX('DADOS_FORMAS'!$GA$2:$GA$21,$NJ143)))=0,1,0)))</f>
        <v/>
      </c>
      <c r="NY143" s="164">
        <f>IF(OR($NO143=0,$NK143=""),0,IF((COUNTIF(INDEX($EL$2:$EP$13,$MO143,0),$NK143)+COUNTIF(INDEX($QV$2:$QY$13,$MO143,0),$NK143))=0,1,0))</f>
        <v/>
      </c>
      <c r="NZ143" s="164">
        <f>IF(OR($NP143=0,$NL143=""),0,IF((COUNTIF(INDEX($EL$2:$EP$13,$MO143,0),$NL143)+COUNTIF(INDEX($QV$2:$QY$13,$MO143,0),$NL143))=0,1,0))</f>
        <v/>
      </c>
      <c r="OA143" s="164">
        <f>IF(OR($NQ143=0,$NM143=""),0,IF((COUNTIF(INDEX($EL$2:$EP$13,$MO143,0),$NM143)+COUNTIF(INDEX($QV$2:$QY$13,$MO143,0),$NM143))=0,1,0))</f>
        <v/>
      </c>
      <c r="OB143" s="164">
        <f>IF(OR($NR143=0,$NN143=""),0,IF((COUNTIF(INDEX($EL$2:$EP$13,$MO143,0),$NN143)+COUNTIF(INDEX($QV$2:$QY$13,$MO143,0),$NN143))=0,1,0))</f>
        <v/>
      </c>
      <c r="OC143" s="164">
        <f>IFERROR(VLOOKUP(SUBSTITUTE(SUBSTITUTE(SUBSTITUTE($MX143,"~","~~"),"*","~*"),"?","~?"),'DADOS_MELHORIAS'!$AG$2:$AL$113,4,FALSE),0)+IFERROR(VLOOKUP(SUBSTITUTE(SUBSTITUTE(SUBSTITUTE($MY143,"~","~~"),"*","~*"),"?","~?"),'DADOS_MELHORIAS'!$AG$2:$AL$113,4,FALSE),0)+IFERROR(VLOOKUP(SUBSTITUTE(SUBSTITUTE(SUBSTITUTE($MZ143,"~","~~"),"*","~*"),"?","~?"),'DADOS_MELHORIAS'!$AG$2:$AL$113,4,FALSE),0)+IFERROR(VLOOKUP(SUBSTITUTE(SUBSTITUTE(SUBSTITUTE($NA143,"~","~~"),"*","~*"),"?","~?"),'DADOS_MELHORIAS'!$AG$2:$AL$113,4,FALSE),0)</f>
        <v/>
      </c>
      <c r="OD143" s="164">
        <f>IFERROR(VLOOKUP(SUBSTITUTE(SUBSTITUTE(SUBSTITUTE($MX143,"~","~~"),"*","~*"),"?","~?"),'DADOS_MELHORIAS'!$AG$2:$AL$113,6,FALSE),0)+IFERROR(VLOOKUP(SUBSTITUTE(SUBSTITUTE(SUBSTITUTE($MY143,"~","~~"),"*","~*"),"?","~?"),'DADOS_MELHORIAS'!$AG$2:$AL$113,6,FALSE),0)+IFERROR(VLOOKUP(SUBSTITUTE(SUBSTITUTE(SUBSTITUTE($MZ143,"~","~~"),"*","~*"),"?","~?"),'DADOS_MELHORIAS'!$AG$2:$AL$113,6,FALSE),0)+IFERROR(VLOOKUP(SUBSTITUTE(SUBSTITUTE(SUBSTITUTE($NA143,"~","~~"),"*","~*"),"?","~?"),'DADOS_MELHORIAS'!$AG$2:$AL$113,6,FALSE),0)+IFERROR(N(AND(INDEX('DADOS_FORMAS'!$AO$2:$AO$21,MATCH(SUBSTITUTE(SUBSTITUTE(SUBSTITUTE($MU143,"~","~~"),"*","~*"),"?","~?"),'DADOS_FORMAS'!$AH$2:$AH$21,0))="Acerto",$OH143=1)),0)</f>
        <v/>
      </c>
      <c r="OE143" s="164">
        <f>TEXTJOIN(", ",TRUE,IF(IFERROR(VLOOKUP(SUBSTITUTE(SUBSTITUTE(SUBSTITUTE($MX143,"~","~~"),"*","~*"),"?","~?"),'DADOS_MELHORIAS'!$AG$2:$AL$113,5,FALSE),0)=1,$MX143,""),IF(IFERROR(VLOOKUP(SUBSTITUTE(SUBSTITUTE(SUBSTITUTE($MY143,"~","~~"),"*","~*"),"?","~?"),'DADOS_MELHORIAS'!$AG$2:$AL$113,5,FALSE),0)=1,$MY143,""),IF(IFERROR(VLOOKUP(SUBSTITUTE(SUBSTITUTE(SUBSTITUTE($MZ143,"~","~~"),"*","~*"),"?","~?"),'DADOS_MELHORIAS'!$AG$2:$AL$113,5,FALSE),0)=1,$MZ143,""),IF(IFERROR(VLOOKUP(SUBSTITUTE(SUBSTITUTE(SUBSTITUTE($NA143,"~","~~"),"*","~*"),"?","~?"),'DADOS_MELHORIAS'!$AG$2:$AL$113,5,FALSE),0)=1,$NA143,""))</f>
        <v/>
      </c>
      <c r="OF143" s="164">
        <f>IF($NJ143=0,0,INDEX('DADOS_FORMAS'!$GC$2:$GC$21,$NJ143))</f>
        <v/>
      </c>
      <c r="OG143" s="164">
        <f>IF($NJ143=0,0,INDEX('DADOS_FORMAS'!$GD$2:$GD$21,$NJ143))</f>
        <v/>
      </c>
      <c r="OH143" s="164">
        <f>IF($NJ143=0,0,INDEX('DADOS_FORMAS'!$GF$2:$GF$21,$NJ143))</f>
        <v/>
      </c>
      <c r="OI143" s="164">
        <f>IFERROR(VLOOKUP(SUBSTITUTE(SUBSTITUTE(SUBSTITUTE($NB143,"~","~~"),"*","~*"),"?","~?"),'DADOS_RESTRICOES'!$M$2:$Q$54,3,FALSE),0)</f>
        <v/>
      </c>
      <c r="OJ143" s="164">
        <f>IFERROR(VLOOKUP(SUBSTITUTE(SUBSTITUTE(SUBSTITUTE($NC143,"~","~~"),"*","~*"),"?","~?"),'DADOS_RESTRICOES'!$M$2:$Q$54,3,FALSE),0)</f>
        <v/>
      </c>
      <c r="OK143" s="164">
        <f>IFERROR(VLOOKUP(SUBSTITUTE(SUBSTITUTE(SUBSTITUTE($NB143,"~","~~"),"*","~*"),"?","~?"),'DADOS_RESTRICOES'!$M$2:$Q$54,2,FALSE),"")</f>
        <v/>
      </c>
      <c r="OL143" s="164">
        <f>IFERROR(VLOOKUP(SUBSTITUTE(SUBSTITUTE(SUBSTITUTE($NC143,"~","~~"),"*","~*"),"?","~?"),'DADOS_RESTRICOES'!$M$2:$Q$54,2,FALSE),"")</f>
        <v/>
      </c>
      <c r="OM143" s="164">
        <f>COUNTIF($NS143:$NW143,1)</f>
        <v/>
      </c>
      <c r="ON143" s="164">
        <f>COUNTIF($NS143:$NW143,2)</f>
        <v/>
      </c>
      <c r="OO143" s="164">
        <f>COUNTIF($NS143:$NW143,3)</f>
        <v/>
      </c>
      <c r="OP143" s="164">
        <f>COUNTIF($NS143:$NW143,4)</f>
        <v/>
      </c>
      <c r="OQ143" s="164">
        <f>COUNTIF($NS143:$NW143,5)</f>
        <v/>
      </c>
      <c r="OR143" s="164">
        <f>COUNTIF($NS143:$NW143,6)</f>
        <v/>
      </c>
      <c r="OS143" s="164">
        <f>COUNTIF($OI143:$OJ143,1)+IF(IFERROR(INDEX('DADOS_FORMAS'!$AS$2:$AS$21,MATCH(SUBSTITUTE(SUBSTITUTE(SUBSTITUTE($MU143,"~","~~"),"*","~*"),"?","~?"),'DADOS_FORMAS'!$AH$2:$AH$21,0)),"")="",0,IFERROR(N(VLOOKUP(SUBSTITUTE(SUBSTITUTE(SUBSTITUTE(IFERROR(INDEX('DADOS_FORMAS'!$AS$2:$AS$21,MATCH(SUBSTITUTE(SUBSTITUTE(SUBSTITUTE($MU143,"~","~~"),"*","~*"),"?","~?"),'DADOS_FORMAS'!$AH$2:$AH$21,0)),""),"~","~~"),"*","~*"),"?","~?"),'DADOS_RESTRICOES'!$M$2:$Q$54,3,FALSE)=1),0))</f>
        <v/>
      </c>
      <c r="OT143" s="164">
        <f>COUNTIF($OI143:$OJ143,2)+IF(IFERROR(INDEX('DADOS_FORMAS'!$AS$2:$AS$21,MATCH(SUBSTITUTE(SUBSTITUTE(SUBSTITUTE($MU143,"~","~~"),"*","~*"),"?","~?"),'DADOS_FORMAS'!$AH$2:$AH$21,0)),"")="",0,IFERROR(N(VLOOKUP(SUBSTITUTE(SUBSTITUTE(SUBSTITUTE(IFERROR(INDEX('DADOS_FORMAS'!$AS$2:$AS$21,MATCH(SUBSTITUTE(SUBSTITUTE(SUBSTITUTE($MU143,"~","~~"),"*","~*"),"?","~?"),'DADOS_FORMAS'!$AH$2:$AH$21,0)),""),"~","~~"),"*","~*"),"?","~?"),'DADOS_RESTRICOES'!$M$2:$Q$54,3,FALSE)=2),0))</f>
        <v/>
      </c>
      <c r="OU143" s="164">
        <f>COUNTIF($MX143:$NA143,"?*")</f>
        <v/>
      </c>
      <c r="OV143" s="164">
        <f>COUNTIF($NB143:$NC143,"?*")+$OF143</f>
        <v/>
      </c>
      <c r="OW143" s="164">
        <f>IF($MS143=0,0,SUMPRODUCT($OM143:$OR143,INDEX($I$2:$N$8,MAX(1,$MS143),0)))</f>
        <v/>
      </c>
      <c r="OX143" s="164">
        <f>IF($MS143=0,0,$OS143*CEILING($MS143/2,1)+$OT143*$MS143)</f>
        <v/>
      </c>
      <c r="OY143" s="164">
        <f>MIN(2*$MS143,$OX143)</f>
        <v/>
      </c>
      <c r="OZ143" s="164">
        <f>MIN($OY143,$OW143-IF($NS143=0,0,INDEX($I$2:$N$8,MAX(1,$MS143),$NS143)))</f>
        <v/>
      </c>
      <c r="PA143" s="164">
        <f>$OY143-$OZ143</f>
        <v/>
      </c>
      <c r="PB143" s="164">
        <f>IF($MS143=0,0,INDEX($P$2:$P$8,MAX(1,$MS143)))</f>
        <v/>
      </c>
      <c r="PC143" s="164">
        <f>$PB143-$OW143+$OZ143</f>
        <v/>
      </c>
      <c r="PD143" s="164">
        <f>IF($MS143=0,MAX(0,$NG143-IF(AND($OU143&gt;0,COUNTIF($NB143:$NC143,"?*")=0),1,0)),MAX(0,$PC143))</f>
        <v/>
      </c>
      <c r="PE143" s="164">
        <f>IF($MS143=0,0,(IF(COUNTIF($RK143:$RN143,"Salto")&gt;0,1,0)+IF(COUNTIF($RK143:$RN143,"Queima")&gt;0,1,0)+IF(COUNTIF($RK143:$RN143,"Estilhaço")&gt;0,1,0))*FLOOR($PD143/2,1))</f>
        <v/>
      </c>
      <c r="PF143" s="164">
        <f>MAX(0,2-SUMPRODUCT($OM143:$OR143,$I$2:$N$2)+MIN(2,$OS143*1+$OT143*1,SUMPRODUCT($OM143:$OR143,$I$2:$N$2)-IF($NS143=0,0,INDEX($I$2:$N$2,1,$NS143))))</f>
        <v/>
      </c>
      <c r="PG143" s="164">
        <f>MAX(0,4-SUMPRODUCT($OM143:$OR143,$I$3:$N$3)+MIN(4,$OS143*1+$OT143*2,SUMPRODUCT($OM143:$OR143,$I$3:$N$3)-IF($NS143=0,0,INDEX($I$3:$N$3,1,$NS143))))</f>
        <v/>
      </c>
      <c r="PH143" s="164">
        <f>MAX(0,6-SUMPRODUCT($OM143:$OR143,$I$4:$N$4)+MIN(6,$OS143*2+$OT143*3,SUMPRODUCT($OM143:$OR143,$I$4:$N$4)-IF($NS143=0,0,INDEX($I$4:$N$4,1,$NS143))))</f>
        <v/>
      </c>
      <c r="PI143" s="164">
        <f>MAX(0,9-SUMPRODUCT($OM143:$OR143,$I$5:$N$5)+MIN(8,$OS143*2+$OT143*4,SUMPRODUCT($OM143:$OR143,$I$5:$N$5)-IF($NS143=0,0,INDEX($I$5:$N$5,1,$NS143))))</f>
        <v/>
      </c>
      <c r="PJ143" s="164">
        <f>MAX(0,11-SUMPRODUCT($OM143:$OR143,$I$6:$N$6)+MIN(10,$OS143*3+$OT143*5,SUMPRODUCT($OM143:$OR143,$I$6:$N$6)-IF($NS143=0,0,INDEX($I$6:$N$6,1,$NS143))))</f>
        <v/>
      </c>
      <c r="PK143" s="164">
        <f>MAX(0,13-SUMPRODUCT($OM143:$OR143,$I$7:$N$7)+MIN(12,$OS143*3+$OT143*6,SUMPRODUCT($OM143:$OR143,$I$7:$N$7)-IF($NS143=0,0,INDEX($I$7:$N$7,1,$NS143))))</f>
        <v/>
      </c>
      <c r="PL143" s="164">
        <f>MAX(0,16-SUMPRODUCT($OM143:$OR143,$I$8:$N$8)+MIN(14,$OS143*4+$OT143*7,SUMPRODUCT($OM143:$OR143,$I$8:$N$8)-IF($NS143=0,0,INDEX($I$8:$N$8,1,$NS143))))</f>
        <v/>
      </c>
      <c r="PM143" s="164">
        <f>IF($OG143=2,3*$PF143&amp;" de vida temp.",IF($OG143=3,"sem dano",IF($PF143=0,IF($OG143=1,"sem cura","sem dano"),IF($OG143=1,"cura ","")&amp;$PF143&amp;"d8")))</f>
        <v/>
      </c>
      <c r="PN143" s="164">
        <f>IF($OG143=2,3*$PG143&amp;" de vida temp.",IF($OG143=3,"sem dano",IF($PG143=0,IF($OG143=1,"sem cura","sem dano"),IF($OG143=1,"cura ","")&amp;$PG143&amp;"d8")))</f>
        <v/>
      </c>
      <c r="PO143" s="164">
        <f>IF($OG143=2,3*$PH143&amp;" de vida temp.",IF($OG143=3,"sem dano",IF($PH143=0,IF($OG143=1,"sem cura","sem dano"),IF($OG143=1,"cura ","")&amp;$PH143&amp;"d8")))</f>
        <v/>
      </c>
      <c r="PP143" s="164">
        <f>IF($OG143=2,3*$PI143&amp;" de vida temp.",IF($OG143=3,"sem dano",IF($PI143=0,IF($OG143=1,"sem cura","sem dano"),IF($OG143=1,"cura ","")&amp;$PI143&amp;"d8")))</f>
        <v/>
      </c>
      <c r="PQ143" s="164">
        <f>IF($OG143=2,3*$PJ143&amp;" de vida temp.",IF($OG143=3,"sem dano",IF($PJ143=0,IF($OG143=1,"sem cura","sem dano"),IF($OG143=1,"cura ","")&amp;$PJ143&amp;"d8")))</f>
        <v/>
      </c>
      <c r="PR143" s="164">
        <f>IF($OG143=2,3*$PK143&amp;" de vida temp.",IF($OG143=3,"sem dano",IF($PK143=0,IF($OG143=1,"sem cura","sem dano"),IF($OG143=1,"cura ","")&amp;$PK143&amp;"d8")))</f>
        <v/>
      </c>
      <c r="PS143" s="164">
        <f>IF($OG143=2,3*$PL143&amp;" de vida temp.",IF($OG143=3,"sem dano",IF($PL143=0,IF($OG143=1,"sem cura","sem dano"),IF($OG143=1,"cura ","")&amp;$PL143&amp;"d8")))</f>
        <v/>
      </c>
      <c r="PT143" s="164">
        <f>IF($ND143=0,"",TEXTJOIN(" · ",TRUE,IF($ND143=0,"",TEXTJOIN(" · ",TRUE,IF($ND143=0,"",TEXTJOIN(" · ",TRUE,IF($MQ143&gt;$NE143,"Este lugar abre no nível "&amp;$MQ143,""),IF($MS143&gt;$NF143,"Classe "&amp;$MS143&amp;": o nível "&amp;$NE143&amp;" libera até a "&amp;$NF143,""),IF($NX143=1,"A Forma "&amp;$MU143&amp;" pede "&amp;INDEX('DADOS_FORMAS'!$GA$2:$GA$21,$NJ143)&amp;" aberta",""),IF(AND($MS143=0,$NJ143&gt;0,IF($NJ143=0,0,INDEX('DADOS_FORMAS'!$GJ$2:$GJ$21,$NJ143))=0),$MU143&amp;" não existe na Classe 0",""),IF($NY143=1,"Família Fechada: "&amp;$MX143,""),IF($NZ143=1,"Família Fechada: "&amp;$MY143,""),IF($OA143=1,"Família Fechada: "&amp;$MZ143,""),IF($OB143=1,"Família Fechada: "&amp;$NA143,""),IF(AND($MS143&gt;0,$OU143&gt;INDEX($O$2:$O$8,MAX(1,$MS143))),$OU143&amp;" Melhorias: a Classe "&amp;$MS143&amp;" aceita "&amp;INDEX($O$2:$O$8,MAX(1,$MS143)),""),IF(AND($MS143=0,$OU143&gt;1),"A básica aceita uma Melhoria",""),IF(AND($MS143=0,COUNTIF($NO143:$NR143,"&gt;1")&gt;0),"A básica só aceita Melhoria Leve",""),IF(AND($MS143&gt;0,$OV143&gt;2),$OV143&amp;" Restrições"&amp;IF($OF143=1,", contando a que a Forma "&amp;$MU143&amp;" já traz","")&amp;": o limite é 2",""),IF(AND($MS143=0,COUNTIF($NB143:$NC143,"?*")&gt;1),"A básica aceita uma Restrição Leve",""),IF(AND($MS143=0,COUNTIF($OI143:$OJ143,2)&gt;0),"A básica só aceita Restrição Leve",""),IF(AND($MS143&gt;0,$PC143&lt;0),"Orçamento estourado: faltam "&amp;(-$PC143)&amp;IF($PC143&lt;-1," pontos"," ponto"),""),IF(IFERROR(VLOOKUP(SUBSTITUTE(SUBSTITUTE(SUBSTITUTE($NB143,"~","~~"),"*","~*"),"?","~?"),'DADOS_RESTRICOES'!$M$2:$Q$54,4,FALSE),0)+IFERROR(VLOOKUP(SUBSTITUTE(SUBSTITUTE(SUBSTITUTE($NC143,"~","~~"),"*","~*"),"?","~?"),'DADOS_RESTRICOES'!$M$2:$Q$54,4,FALSE),0)&gt;1,$OK143&amp;" e "&amp;$OL143&amp;" são as duas de frequência",""),IF(AND((COUNTIF($RK143:$RN143,"Rápido")+COUNTIF($OK143:$OL143,"Rápido"))&gt;0,(COUNTIF($MX143:$NA143,"Atrasar")+COUNTIF($OK143:$OL143,"Atrasar"))&gt;0),"Rápido não entra com Atrasar",""),IF(AND((COUNTIF($RK143:$RN143,"Reação")+COUNTIF($OK143:$OL143,"Reação"))&gt;0,(COUNTIF($RK143:$RN143,"Rápido")+COUNTIF($OK143:$OL143,"Rápido"))&gt;0),"Reação não entra com Rápido",""),IF(AND((COUNTIF($RK143:$RN143,"Reação")+COUNTIF($OK143:$OL143,"Reação"))&gt;0,(COUNTIF($RK143:$RN143,"Armado")+COUNTIF($OK143:$OL143,"Armado"))&gt;0),"Reação não entra com Armado",""),IF(AND((COUNTIF($RK143:$RN143,"Reação")+COUNTIF($OK143:$OL143,"Reação"))&gt;0,(COUNTIF($MX143:$NA143,"Atrasar")+COUNTIF($OK143:$OL143,"Atrasar"))&gt;0),"Reação não entra com Atrasar",""),IF(AND((COUNTIF($RK143:$RN143,"Reação")+COUNTIF($OK143:$OL143,"Reação"))&gt;0,(COUNTIF($MX143:$NA143,"Parado")+COUNTIF($OK143:$OL143,"Parado"))&gt;0),"Reação não entra com Parado",""),IF(AND((COUNTIF($MX143:$NA143,"Atrasar")+COUNTIF($OK143:$OL143,"Atrasar"))&gt;0,(COUNTIF($MX143:$NA143,"Parado")+COUNTIF($OK143:$OL143,"Parado"))&gt;0),"Atrasar não entra com Parado",""),IF(AND((COUNTIF($RK143:$RN143,"Armado")+COUNTIF($OK143:$OL143,"Armado"))&gt;0,(COUNTIF($MX143:$NA143,"Carregar")+COUNTIF($OK143:$OL143,"Carregar"))&gt;0),"Armado não entra com Carregar",""),IF(AND(COUNTIF($OK143:$OL143,"Corpo a Corpo")&gt;0,$OF143=0,OR($RO143="Cone",$RO143="Linha")),"Corpo a Corpo não entra em "&amp;$MU143,""),IF(AND(COUNTIF($OK143:$OL143,"Corpo a Corpo")&gt;0,$RP143="Corpo a Corpo"),"A Forma "&amp;$MU143&amp;" já traz o Corpo a Corpo",""),IF(AND(COUNTIF($OK143:$OL143,"Tudo ou Nada")&gt;0,$OH143=0),"Tudo ou Nada só entra em habilidade de Teste de Resistência",""),IF(AND(COUNTIF($RK143:$RN143,"Inescapável")&gt;0,OR($OU143&gt;1,$OV143&gt;0)),"Inescapável não aceita outra peça",""),IF(AND($MS143&gt;0,$PD143*IF(COUNTIF($RK143:$RN143,"Remate")&gt;0,1.25,1)+$PE143&gt;4*$MS143),($PD143*IF(COUNTIF($RK143:$RN143,"Remate")&gt;0,1.25,1)+$PE143)&amp;" dados somando repetições"&amp;IF(COUNTIF($RK143:$RN143,"Remate")&gt;0," e o Remate","")&amp;": o teto da Classe "&amp;$MS143&amp;" é "&amp;4*$MS143,""))),IF(AND($MX143&lt;&gt;"",COUNTIF('DADOS_MELHORIAS'!$O$2:$O$113,SUBSTITUTE(SUBSTITUTE(SUBSTITUTE($MX143,"~","~~"),"*","~*"),"?","~?"))=0),"Melhoria não cadastrada ou com erro: "&amp;$MX143,""),IF(AND($MY143&lt;&gt;"",COUNTIF('DADOS_MELHORIAS'!$O$2:$O$113,SUBSTITUTE(SUBSTITUTE(SUBSTITUTE($MY143,"~","~~"),"*","~*"),"?","~?"))=0),"Melhoria não cadastrada ou com erro: "&amp;$MY143,""),IF(AND($MZ143&lt;&gt;"",COUNTIF('DADOS_MELHORIAS'!$O$2:$O$113,SUBSTITUTE(SUBSTITUTE(SUBSTITUTE($MZ143,"~","~~"),"*","~*"),"?","~?"))=0),"Melhoria não cadastrada ou com erro: "&amp;$MZ143,""),IF(AND($NA143&lt;&gt;"",COUNTIF('DADOS_MELHORIAS'!$O$2:$O$113,SUBSTITUTE(SUBSTITUTE(SUBSTITUTE($NA143,"~","~~"),"*","~*"),"?","~?"))=0),"Melhoria não cadastrada ou com erro: "&amp;$NA143,""),IF(AND($NB143&lt;&gt;"",COUNTIF('DADOS_RESTRICOES'!$M$2:$M$54,SUBSTITUTE(SUBSTITUTE(SUBSTITUTE($NB143,"~","~~"),"*","~*"),"?","~?"))=0),"Restrição não cadastrada ou com erro: "&amp;$NB143,""),IF(AND($NC143&lt;&gt;"",COUNTIF('DADOS_RESTRICOES'!$M$2:$M$54,SUBSTITUTE(SUBSTITUTE(SUBSTITUTE($NC143,"~","~~"),"*","~*"),"?","~?"))=0),"Restrição não cadastrada ou com erro: "&amp;$NC143,""))),IF(AND($MU143&lt;&gt;"",COUNTIF('DADOS_FORMAS'!$AH$2:$AH$21,SUBSTITUTE(SUBSTITUTE(SUBSTITUTE($MU143,"~","~~"),"*","~*"),"?","~?"))=0),"Forma não cadastrada ou com erro: "&amp;$MU143,""),IF(AND(IFERROR(INDEX('DADOS_FORMAS'!$AS$2:$AS$21,MATCH(SUBSTITUTE(SUBSTITUTE(SUBSTITUTE($MU143,"~","~~"),"*","~*"),"?","~?"),'DADOS_FORMAS'!$AH$2:$AH$21,0)),"")&lt;&gt;"",OR(IFERROR(VLOOKUP(SUBSTITUTE(SUBSTITUTE(SUBSTITUTE(IFERROR(INDEX('DADOS_FORMAS'!$AS$2:$AS$21,MATCH(SUBSTITUTE(SUBSTITUTE(SUBSTITUTE($MU143,"~","~~"),"*","~*"),"?","~?"),'DADOS_FORMAS'!$AH$2:$AH$21,0)),""),"~","~~"),"*","~*"),"?","~?"),'DADOS_RESTRICOES'!$M$2:$Q$54,2,FALSE),"")=$OK143,IFERROR(VLOOKUP(SUBSTITUTE(SUBSTITUTE(SUBSTITUTE(IFERROR(INDEX('DADOS_FORMAS'!$AS$2:$AS$21,MATCH(SUBSTITUTE(SUBSTITUTE(SUBSTITUTE($MU143,"~","~~"),"*","~*"),"?","~?"),'DADOS_FORMAS'!$AH$2:$AH$21,0)),""),"~","~~"),"*","~*"),"?","~?"),'DADOS_RESTRICOES'!$M$2:$Q$54,2,FALSE),"")=$OL143)),"Restrição repetida, contando a embutida",""),IF(IF(IFERROR(INDEX('DADOS_FORMAS'!$AS$2:$AS$21,MATCH(SUBSTITUTE(SUBSTITUTE(SUBSTITUTE($MU143,"~","~~"),"*","~*"),"?","~?"),'DADOS_FORMAS'!$AH$2:$AH$21,0)),"")="",0,IFERROR(N(VLOOKUP(SUBSTITUTE(SUBSTITUTE(SUBSTITUTE(IFERROR(INDEX('DADOS_FORMAS'!$AS$2:$AS$21,MATCH(SUBSTITUTE(SUBSTITUTE(SUBSTITUTE($MU143,"~","~~"),"*","~*"),"?","~?"),'DADOS_FORMAS'!$AH$2:$AH$21,0)),""),"~","~~"),"*","~*"),"?","~?"),'DADOS_RESTRICOES'!$M$2:$Q$54,4,FALSE)=1),0))+IF($NB143="",0,IFERROR(N(VLOOKUP(SUBSTITUTE(SUBSTITUTE(SUBSTITUTE($NB143,"~","~~"),"*","~*"),"?","~?"),'DADOS_RESTRICOES'!$M$2:$Q$54,4,FALSE)=1),0))+IF($NC143="",0,IFERROR(N(VLOOKUP(SUBSTITUTE(SUBSTITUTE(SUBSTITUTE($NC143,"~","~~"),"*","~*"),"?","~?"),'DADOS_RESTRICOES'!$M$2:$Q$54,4,FALSE)=1),0))&gt;1,"Duas Restrições de frequência, contando a embutida",""),IF(AND(IFERROR(VLOOKUP(SUBSTITUTE(SUBSTITUTE(SUBSTITUTE(IFERROR(INDEX('DADOS_FORMAS'!$AS$2:$AS$21,MATCH(SUBSTITUTE(SUBSTITUTE(SUBSTITUTE($MU143,"~","~~"),"*","~*"),"?","~?"),'DADOS_FORMAS'!$AH$2:$AH$21,0)),""),"~","~~"),"*","~*"),"?","~?"),'DADOS_RESTRICOES'!$M$2:$Q$54,2,FALSE),"")="Tudo ou Nada",$OH143=0),"Tudo ou Nada exige TR",""),IF(AND(IFERROR(VLOOKUP(SUBSTITUTE(SUBSTITUTE(SUBSTITUTE(IFERROR(INDEX('DADOS_FORMAS'!$AS$2:$AS$21,MATCH(SUBSTITUTE(SUBSTITUTE(SUBSTITUTE($MU143,"~","~~"),"*","~*"),"?","~?"),'DADOS_FORMAS'!$AH$2:$AH$21,0)),""),"~","~~"),"*","~*"),"?","~?"),'DADOS_RESTRICOES'!$M$2:$Q$54,2,FALSE),"")="Corpo a Corpo",OR($RO143="Cone",$RO143="Linha")),"Corpo a Corpo não entra em Cone/Linha","")))</f>
        <v/>
      </c>
      <c r="PU143" s="164">
        <f>IF($PT143="",0,(LEN($PT143)-LEN(SUBSTITUTE($PT143," · ","")))/3+1)</f>
        <v/>
      </c>
      <c r="PV143" s="164">
        <f>IF($ND143=0,"",TEXTJOIN(" · ",TRUE,IF($OX143&gt;2*$MS143,"A devolução parou no teto de "&amp;2*$MS143,""),IF($PA143&gt;0,"Devolução perdida: "&amp;$PA143&amp;IF($PA143&gt;1," pontos"," ponto")&amp;" sem Melhoria para pagar",""),IF(AND($OC143&gt;0,AND($MS143&gt;0,$OG143=0),$PD143=0),"Controle sem dano: uma rodada a mais e CD +2",""),IF(AND($OC143&gt;0,AND($MS143&gt;0,$OG143=0),$PD143&gt;0,$PD143&lt;=$MS143),"Controle com saldo até a Classe: uma rodada a mais",""),IF(AND($MS143&gt;0,$OE143&lt;&gt;""),"Efeito de "&amp;$OE143&amp;" pela Classe "&amp;MAX(1,$MS143-1),"")))</f>
        <v/>
      </c>
      <c r="PW143" s="164">
        <f>IF($PV143="",0,(LEN($PV143)-LEN(SUBSTITUTE($PV143," · ","")))/3+1)</f>
        <v/>
      </c>
      <c r="PX143" s="164">
        <f>IF($ND143=0,IF($OU143+COUNTIF($NB143:$NC143,"?*")&gt;0,"Dê um nome",""),IF($PU143&gt;0,"⚠ "&amp;$PU143&amp;IF($PU143&gt;1," erros"," erro"),IF($PW143&gt;0,"! "&amp;$PW143&amp;IF($PW143&gt;1," avisos"," aviso"),"Na regra")))</f>
        <v/>
      </c>
      <c r="PY143" s="164">
        <f>IF($ND143=0,"",IF($PU143+$PW143=0,"Dentro das regras que a ficha confere",$PT143&amp;IF(AND($PU143&gt;0,$PW143&gt;0)," · ","")&amp;$PV143))</f>
        <v/>
      </c>
      <c r="PZ143" s="164">
        <f>IF($MQ143&gt;$NE143,$MR143&amp;" · ABRE NO NÍVEL "&amp;$MQ143,$MR143)</f>
        <v/>
      </c>
      <c r="QA143" s="164">
        <f>IF($ND143=0,"",IF($MS143=0,"Sem PE",3*$MS143&amp;" PE"))</f>
        <v/>
      </c>
      <c r="QB143" s="164">
        <f>IF($ND143=0,"",IF($MS143=0,"A atuação básica dela",IF(COUNTIF($RQ143:$RS143,"Atrasar")&gt;0,"Sua Ação Completa",IF(COUNTIF($RK143:$RN143,"Rápido")&gt;0,"Sua Bônus",IF(COUNTIF($RK143:$RN143,"Reação")&gt;0,"Sua Reação","Sua Padrão")))&amp;" + a básica dela"&amp;IF(COUNTIF($RK143:$RN143,"Reação")&gt;0," e a coletiva","")&amp;IF(COUNTIF($RQ143:$RS143,"Carregar")&gt;0," · em dois turnos","")))</f>
        <v/>
      </c>
      <c r="QC143" s="164">
        <f>IF($MW143&lt;&gt;"",$MW143,IF($NJ143=0,"",INDEX('DADOS_FORMAS'!$GE$2:$GE$21,$NJ143)))</f>
        <v/>
      </c>
      <c r="QD143" s="164">
        <f>IF(OR($ND143=0,$NJ143=0),"",IF(COUNTIF($RK143:$RN143,"Inescapável")&gt;0,"Automático",IF($QC143="Ataque",IF($NH143="","Ataque","Ataque "&amp;IF(($NH143+2*IF(COUNTIF($RK143:$RN143,"Precisão")&gt;0,1,0))&gt;=0,"+","−")&amp;ABS(($NH143+2*IF(COUNTIF($RK143:$RN143,"Precisão")&gt;0,1,0))))&amp;IF($OD143&gt;0," · TR"&amp;IF($NI143="",""," CD "&amp;$NI143),""),IF(LEFT($QC143,2)="TR",$QC143&amp;IF($NI143="",""," · CD "&amp;$NI143)&amp;IF(COUNTIF($RK143:$RN143,"Certeiro")&gt;0," · metade",""),"Sem rolagem"))))</f>
        <v/>
      </c>
      <c r="QE143" s="164">
        <f>IF(OR($ND143=0,$NJ143=0),"",IF($MS143=0,IF(OR($OG143&gt;=1,$PD143=0),"Sem dano",$PD143&amp;"d6"&amp;IF($MV143="",""," "&amp;$MV143)),IF(OR($OG143&gt;=1,$PD143=0),UPPER(LEFT(INDEX($PM143:$PS143,1,MAX(1,$MS143)),1))&amp;MID(INDEX($PM143:$PS143,1,MAX(1,$MS143)),2,99),UPPER(LEFT(INDEX($PM143:$PS143,1,MAX(1,$MS143)),1))&amp;MID(INDEX($PM143:$PS143,1,MAX(1,$MS143)),2,99)&amp;IF($MV143="",""," "&amp;$MV143)&amp;IF($PE143&gt;0," · +"&amp;$PE143&amp;"d8",""))))</f>
        <v/>
      </c>
      <c r="QF143" s="164">
        <f>COUNTIF($RK143:$RN143,"Longe")+3*COUNTIF($RK143:$RN143,"Muito Longe")</f>
        <v/>
      </c>
      <c r="QG143" s="164">
        <f>COUNTIF($RK143:$RN143,"Maior")+3*COUNTIF($RK143:$RN143,"Muito Maior")</f>
        <v/>
      </c>
      <c r="QH143" s="164">
        <f>IF($NJ143=0,0,CHOOSE(1+INDEX('DADOS_FORMAS'!$GG$2:$GG$21,$NJ143),0,$QF143,$QG143,$QF143+$QG143))</f>
        <v/>
      </c>
      <c r="QI143" s="164">
        <f>IF($NJ143=0,0,CHOOSE(1+INDEX('DADOS_FORMAS'!$GH$2:$GH$21,$NJ143),0,$QF143,$QG143,$QF143+$QG143))</f>
        <v/>
      </c>
      <c r="QJ143" s="164">
        <f>IF(OR($ND143=0,$NJ143=0),"",INDEX('DADOS_FORMAS'!$HU$2:$HZ$81,($NJ143-1)*4+IF($MS143=0,1,IF($MS143&lt;=5,2,IF($MS143=6,3,4))),1+MIN(5,$QH143))&amp;INDEX('DADOS_FORMAS'!$IA$2:$IF$81,($NJ143-1)*4+IF($MS143=0,1,IF($MS143&lt;=5,2,IF($MS143=6,3,4))),1+MIN(5,$QI143))&amp;IF(INDEX('DADOS_FORMAS'!$GI$2:$GI$21,$NJ143)=1,IF(COUNTIF($RK143:$RN143,"Mais Um")&gt;0," · +"&amp;COUNTIF($RK143:$RN143,"Mais Um")&amp;IF(COUNTIF($RK143:$RN143,"Mais Um")&gt;1," alvos"," alvo"),"")&amp;IF(COUNTIF($RK143:$RN143,"Rajada")&gt;0,IF($MS143=0," · 1 tiro"," · "&amp;(MAX(1,$MS143-1)+1)&amp;" tiros"),""),""))</f>
        <v/>
      </c>
      <c r="QK143" s="164">
        <f>IF($ND143=0,"",IF($MS143=0,$NG143&amp;"d6"&amp;IF($OU143&gt;0," − 1 = "&amp;$PD143&amp;"d6"," da básica do nível "&amp;$NE143),$PB143&amp;" − "&amp;$OW143&amp;" + "&amp;$OZ143&amp;" = "&amp;$PC143&amp;" · teto "&amp;4*$MS143&amp;"d8"&amp;IF($OF143=1," · a Forma devolve "&amp;$MS143,"")&amp;IF($PA143&gt;0," · perde "&amp;$PA143,"")))</f>
        <v/>
      </c>
      <c r="QL143" s="164">
        <f>IF($ND143=0,"",IF($MS143=0,"A básica não amplia: os dados dela sobem com o nível",IF($MS143&gt;=$NF143,"Já está na maior Classe que o nível liberou",TEXTJOIN(" · ",TRUE,IF(AND(2&gt;$MS143,2&lt;=$NF143),"2 → "&amp;$PN143&amp;", 6 PE",""),IF(AND(3&gt;$MS143,3&lt;=$NF143),"3 → "&amp;$PO143&amp;", 9 PE",""),IF(AND(4&gt;$MS143,4&lt;=$NF143),"4 → "&amp;$PP143&amp;", 12 PE",""),IF(AND(5&gt;$MS143,5&lt;=$NF143),"5 → "&amp;$PQ143&amp;", 15 PE",""),IF(AND(6&gt;$MS143,6&lt;=$NF143),"6 → "&amp;$PR143&amp;", 18 PE",""),IF(AND(7&gt;$MS143,7&lt;=$NF143),"7 → "&amp;$PS143&amp;", 21 PE","")))))</f>
        <v/>
      </c>
      <c r="QM143" s="164">
        <f>IF(OR($ND143=0,$NO143=0),"",IF($MS143=0,"−1 dado","−"&amp;INDEX($I$2:$N$8,MAX(1,$MS143),MAX(1,$NT143))&amp;" · "&amp;CHOOSE(MAX(1,$NT143),"Leve","Média","Pesada","Leve · Livre","Média · Livre","Pesada · Livre")))</f>
        <v/>
      </c>
      <c r="QN143" s="164">
        <f>IF(OR($ND143=0,$NP143=0),"",IF($MS143=0,"−1 dado","−"&amp;INDEX($I$2:$N$8,MAX(1,$MS143),MAX(1,$NU143))&amp;" · "&amp;CHOOSE(MAX(1,$NU143),"Leve","Média","Pesada","Leve · Livre","Média · Livre","Pesada · Livre")))</f>
        <v/>
      </c>
      <c r="QO143" s="164">
        <f>IF(OR($ND143=0,$NQ143=0),"",IF($MS143=0,"−1 dado","−"&amp;INDEX($I$2:$N$8,MAX(1,$MS143),MAX(1,$NV143))&amp;" · "&amp;CHOOSE(MAX(1,$NV143),"Leve","Média","Pesada","Leve · Livre","Média · Livre","Pesada · Livre")))</f>
        <v/>
      </c>
      <c r="QP143" s="164">
        <f>IF(OR($ND143=0,$NR143=0),"",IF($MS143=0,"−1 dado","−"&amp;INDEX($I$2:$N$8,MAX(1,$MS143),MAX(1,$NW143))&amp;" · "&amp;CHOOSE(MAX(1,$NW143),"Leve","Média","Pesada","Leve · Livre","Média · Livre","Pesada · Livre")))</f>
        <v/>
      </c>
      <c r="QQ143" s="164">
        <f>IF(OR($ND143=0,$NB143=""),"",IF($MS143=0,"não devolve","+"&amp;IF($OI143=1,CEILING($MS143/2,1),$MS143)))</f>
        <v/>
      </c>
      <c r="QR143" s="164">
        <f>IF(OR($ND143=0,$NC143=""),"",IF($MS143=0,"não devolve","+"&amp;IF($OJ143=1,CEILING($MS143/2,1),$MS143)))</f>
        <v/>
      </c>
      <c r="RK143">
        <f>IF($MX143="","",IFERROR(VLOOKUP(SUBSTITUTE(SUBSTITUTE(SUBSTITUTE($MX143,"~","~~"),"*","~*"),"?","~?"),'DADOS_MELHORIAS'!$O$2:$X$113,10,FALSE),$MX143))</f>
        <v/>
      </c>
      <c r="RL143">
        <f>IF($MY143="","",IFERROR(VLOOKUP(SUBSTITUTE(SUBSTITUTE(SUBSTITUTE($MY143,"~","~~"),"*","~*"),"?","~?"),'DADOS_MELHORIAS'!$O$2:$X$113,10,FALSE),$MY143))</f>
        <v/>
      </c>
      <c r="RM143">
        <f>IF($MZ143="","",IFERROR(VLOOKUP(SUBSTITUTE(SUBSTITUTE(SUBSTITUTE($MZ143,"~","~~"),"*","~*"),"?","~?"),'DADOS_MELHORIAS'!$O$2:$X$113,10,FALSE),$MZ143))</f>
        <v/>
      </c>
      <c r="RN143">
        <f>IF($NA143="","",IFERROR(VLOOKUP(SUBSTITUTE(SUBSTITUTE(SUBSTITUTE($NA143,"~","~~"),"*","~*"),"?","~?"),'DADOS_MELHORIAS'!$O$2:$X$113,10,FALSE),$NA143))</f>
        <v/>
      </c>
      <c r="RO143">
        <f>IFERROR(INDEX('DADOS_FORMAS'!$BJ$2:$BJ$21,MATCH(SUBSTITUTE(SUBSTITUTE(SUBSTITUTE($MU143,"~","~~"),"*","~*"),"?","~?"),'DADOS_FORMAS'!$AH$2:$AH$21,0)),"")</f>
        <v/>
      </c>
      <c r="RP143">
        <f>IFERROR(VLOOKUP(SUBSTITUTE(SUBSTITUTE(SUBSTITUTE(IFERROR(INDEX('DADOS_FORMAS'!$AS$2:$AS$21,MATCH(SUBSTITUTE(SUBSTITUTE(SUBSTITUTE($MU143,"~","~~"),"*","~*"),"?","~?"),'DADOS_FORMAS'!$AH$2:$AH$21,0)),""),"~","~~"),"*","~*"),"?","~?"),'DADOS_RESTRICOES'!$M$2:$Q$54,2,FALSE),"")</f>
        <v/>
      </c>
      <c r="RQ143">
        <f>$OK143</f>
        <v/>
      </c>
      <c r="RR143">
        <f>$OL143</f>
        <v/>
      </c>
      <c r="RS143">
        <f>$RP143</f>
        <v/>
      </c>
    </row>
    <row r="144">
      <c r="MN144" s="162" t="inlineStr">
        <is>
          <t>Ficha 11 · Escolha da trilha 3</t>
        </is>
      </c>
      <c r="MO144" s="164" t="n">
        <v>11</v>
      </c>
      <c r="MP144" s="164" t="n">
        <v>2</v>
      </c>
      <c r="MQ144" s="164" t="n">
        <v>0</v>
      </c>
      <c r="MR144" s="162" t="inlineStr">
        <is>
          <t>ESCOLHA DA TRILHA 3</t>
        </is>
      </c>
      <c r="MS144" s="164">
        <f>MAX(0,MIN(7,N('INVOCAÇÕES'!$AN$1017)))</f>
        <v/>
      </c>
      <c r="MT144" s="164">
        <f>'INVOCAÇÕES'!$AO$1017&amp;""</f>
        <v/>
      </c>
      <c r="MU144" s="164">
        <f>'INVOCAÇÕES'!$AN$1022&amp;""</f>
        <v/>
      </c>
      <c r="MV144" s="164">
        <f>'INVOCAÇÕES'!$AN$1023&amp;""</f>
        <v/>
      </c>
      <c r="MW144" s="164">
        <f>'INVOCAÇÕES'!$AP$1023&amp;""</f>
        <v/>
      </c>
      <c r="MX144" s="164">
        <f>'INVOCAÇÕES'!$AO$1026&amp;""</f>
        <v/>
      </c>
      <c r="MY144" s="164">
        <f>'INVOCAÇÕES'!$AO$1027&amp;""</f>
        <v/>
      </c>
      <c r="MZ144" s="164">
        <f>'INVOCAÇÕES'!$AO$1028&amp;""</f>
        <v/>
      </c>
      <c r="NA144" s="164">
        <f>'INVOCAÇÕES'!$AO$1029&amp;""</f>
        <v/>
      </c>
      <c r="NB144" s="164">
        <f>'INVOCAÇÕES'!$AO$1030&amp;""</f>
        <v/>
      </c>
      <c r="NC144" s="164">
        <f>'INVOCAÇÕES'!$AO$1031&amp;""</f>
        <v/>
      </c>
      <c r="ND144" s="164">
        <f>IF($MT144&lt;&gt;"",1,0)</f>
        <v/>
      </c>
      <c r="NE144" s="164">
        <f>INDEX($FO$2:$FO$13,$MO144)</f>
        <v/>
      </c>
      <c r="NF144" s="164">
        <f>INDEX($FP$2:$FP$13,$MO144)</f>
        <v/>
      </c>
      <c r="NG144" s="164">
        <f>INDEX($FQ$2:$FQ$13,$MO144)</f>
        <v/>
      </c>
      <c r="NH144" s="164">
        <f>INDEX($GB$2:$GB$13,$MO144)</f>
        <v/>
      </c>
      <c r="NI144" s="164">
        <f>INDEX($GC$2:$GC$13,$MO144)</f>
        <v/>
      </c>
      <c r="NJ144" s="164">
        <f>IFERROR(MATCH(SUBSTITUTE(SUBSTITUTE(SUBSTITUTE($MU144,"~","~~"),"*","~*"),"?","~?"),'DADOS_FORMAS'!$FZ$2:$FZ$21,0),0)</f>
        <v/>
      </c>
      <c r="NK144" s="164">
        <f>IFERROR(VLOOKUP(SUBSTITUTE(SUBSTITUTE(SUBSTITUTE($MX144,"~","~~"),"*","~*"),"?","~?"),'DADOS_MELHORIAS'!$AG$2:$AL$113,2,FALSE),"")</f>
        <v/>
      </c>
      <c r="NL144" s="164">
        <f>IFERROR(VLOOKUP(SUBSTITUTE(SUBSTITUTE(SUBSTITUTE($MY144,"~","~~"),"*","~*"),"?","~?"),'DADOS_MELHORIAS'!$AG$2:$AL$113,2,FALSE),"")</f>
        <v/>
      </c>
      <c r="NM144" s="164">
        <f>IFERROR(VLOOKUP(SUBSTITUTE(SUBSTITUTE(SUBSTITUTE($MZ144,"~","~~"),"*","~*"),"?","~?"),'DADOS_MELHORIAS'!$AG$2:$AL$113,2,FALSE),"")</f>
        <v/>
      </c>
      <c r="NN144" s="164">
        <f>IFERROR(VLOOKUP(SUBSTITUTE(SUBSTITUTE(SUBSTITUTE($NA144,"~","~~"),"*","~*"),"?","~?"),'DADOS_MELHORIAS'!$AG$2:$AL$113,2,FALSE),"")</f>
        <v/>
      </c>
      <c r="NO144" s="164">
        <f>IFERROR(VLOOKUP(SUBSTITUTE(SUBSTITUTE(SUBSTITUTE($MX144,"~","~~"),"*","~*"),"?","~?"),'DADOS_MELHORIAS'!$AG$2:$AL$113,3,FALSE),0)</f>
        <v/>
      </c>
      <c r="NP144" s="164">
        <f>IFERROR(VLOOKUP(SUBSTITUTE(SUBSTITUTE(SUBSTITUTE($MY144,"~","~~"),"*","~*"),"?","~?"),'DADOS_MELHORIAS'!$AG$2:$AL$113,3,FALSE),0)</f>
        <v/>
      </c>
      <c r="NQ144" s="164">
        <f>IFERROR(VLOOKUP(SUBSTITUTE(SUBSTITUTE(SUBSTITUTE($MZ144,"~","~~"),"*","~*"),"?","~?"),'DADOS_MELHORIAS'!$AG$2:$AL$113,3,FALSE),0)</f>
        <v/>
      </c>
      <c r="NR144" s="164">
        <f>IFERROR(VLOOKUP(SUBSTITUTE(SUBSTITUTE(SUBSTITUTE($NA144,"~","~~"),"*","~*"),"?","~?"),'DADOS_MELHORIAS'!$AG$2:$AL$113,3,FALSE),0)</f>
        <v/>
      </c>
      <c r="NS144" s="164">
        <f>IF($MS144=0,0,IF($NJ144=0,0,INDEX('DADOS_FORMAS'!$GB$2:$GB$21,$NJ144)))</f>
        <v/>
      </c>
      <c r="NT144" s="164">
        <f>IF(OR($NO144=0,$MS144=0),0,$NO144+3*IF(AND($NK144&lt;&gt;"",COUNTIF(INDEX($RB$2:$RJ$13,$MO144,0),$NK144)&gt;0),1,0))</f>
        <v/>
      </c>
      <c r="NU144" s="164">
        <f>IF(OR($NP144=0,$MS144=0),0,$NP144+3*IF(AND($NL144&lt;&gt;"",COUNTIF(INDEX($RB$2:$RJ$13,$MO144,0),$NL144)&gt;0),1,0))</f>
        <v/>
      </c>
      <c r="NV144" s="164">
        <f>IF(OR($NQ144=0,$MS144=0),0,$NQ144+3*IF(AND($NM144&lt;&gt;"",COUNTIF(INDEX($RB$2:$RJ$13,$MO144,0),$NM144)&gt;0),1,0))</f>
        <v/>
      </c>
      <c r="NW144" s="164">
        <f>IF(OR($NR144=0,$MS144=0),0,$NR144+3*IF(AND($NN144&lt;&gt;"",COUNTIF(INDEX($RB$2:$RJ$13,$MO144,0),$NN144)&gt;0),1,0))</f>
        <v/>
      </c>
      <c r="NX144" s="164">
        <f>IF($NJ144=0,0,IF(INDEX('DADOS_FORMAS'!$GA$2:$GA$21,$NJ144)="",0,IF((COUNTIF(INDEX($EL$2:$EP$13,$MO144,0),INDEX('DADOS_FORMAS'!$GA$2:$GA$21,$NJ144))+COUNTIF(INDEX($QV$2:$QY$13,$MO144,0),INDEX('DADOS_FORMAS'!$GA$2:$GA$21,$NJ144)))=0,1,0)))</f>
        <v/>
      </c>
      <c r="NY144" s="164">
        <f>IF(OR($NO144=0,$NK144=""),0,IF((COUNTIF(INDEX($EL$2:$EP$13,$MO144,0),$NK144)+COUNTIF(INDEX($QV$2:$QY$13,$MO144,0),$NK144))=0,1,0))</f>
        <v/>
      </c>
      <c r="NZ144" s="164">
        <f>IF(OR($NP144=0,$NL144=""),0,IF((COUNTIF(INDEX($EL$2:$EP$13,$MO144,0),$NL144)+COUNTIF(INDEX($QV$2:$QY$13,$MO144,0),$NL144))=0,1,0))</f>
        <v/>
      </c>
      <c r="OA144" s="164">
        <f>IF(OR($NQ144=0,$NM144=""),0,IF((COUNTIF(INDEX($EL$2:$EP$13,$MO144,0),$NM144)+COUNTIF(INDEX($QV$2:$QY$13,$MO144,0),$NM144))=0,1,0))</f>
        <v/>
      </c>
      <c r="OB144" s="164">
        <f>IF(OR($NR144=0,$NN144=""),0,IF((COUNTIF(INDEX($EL$2:$EP$13,$MO144,0),$NN144)+COUNTIF(INDEX($QV$2:$QY$13,$MO144,0),$NN144))=0,1,0))</f>
        <v/>
      </c>
      <c r="OC144" s="164">
        <f>IFERROR(VLOOKUP(SUBSTITUTE(SUBSTITUTE(SUBSTITUTE($MX144,"~","~~"),"*","~*"),"?","~?"),'DADOS_MELHORIAS'!$AG$2:$AL$113,4,FALSE),0)+IFERROR(VLOOKUP(SUBSTITUTE(SUBSTITUTE(SUBSTITUTE($MY144,"~","~~"),"*","~*"),"?","~?"),'DADOS_MELHORIAS'!$AG$2:$AL$113,4,FALSE),0)+IFERROR(VLOOKUP(SUBSTITUTE(SUBSTITUTE(SUBSTITUTE($MZ144,"~","~~"),"*","~*"),"?","~?"),'DADOS_MELHORIAS'!$AG$2:$AL$113,4,FALSE),0)+IFERROR(VLOOKUP(SUBSTITUTE(SUBSTITUTE(SUBSTITUTE($NA144,"~","~~"),"*","~*"),"?","~?"),'DADOS_MELHORIAS'!$AG$2:$AL$113,4,FALSE),0)</f>
        <v/>
      </c>
      <c r="OD144" s="164">
        <f>IFERROR(VLOOKUP(SUBSTITUTE(SUBSTITUTE(SUBSTITUTE($MX144,"~","~~"),"*","~*"),"?","~?"),'DADOS_MELHORIAS'!$AG$2:$AL$113,6,FALSE),0)+IFERROR(VLOOKUP(SUBSTITUTE(SUBSTITUTE(SUBSTITUTE($MY144,"~","~~"),"*","~*"),"?","~?"),'DADOS_MELHORIAS'!$AG$2:$AL$113,6,FALSE),0)+IFERROR(VLOOKUP(SUBSTITUTE(SUBSTITUTE(SUBSTITUTE($MZ144,"~","~~"),"*","~*"),"?","~?"),'DADOS_MELHORIAS'!$AG$2:$AL$113,6,FALSE),0)+IFERROR(VLOOKUP(SUBSTITUTE(SUBSTITUTE(SUBSTITUTE($NA144,"~","~~"),"*","~*"),"?","~?"),'DADOS_MELHORIAS'!$AG$2:$AL$113,6,FALSE),0)+IFERROR(N(AND(INDEX('DADOS_FORMAS'!$AO$2:$AO$21,MATCH(SUBSTITUTE(SUBSTITUTE(SUBSTITUTE($MU144,"~","~~"),"*","~*"),"?","~?"),'DADOS_FORMAS'!$AH$2:$AH$21,0))="Acerto",$OH144=1)),0)</f>
        <v/>
      </c>
      <c r="OE144" s="164">
        <f>TEXTJOIN(", ",TRUE,IF(IFERROR(VLOOKUP(SUBSTITUTE(SUBSTITUTE(SUBSTITUTE($MX144,"~","~~"),"*","~*"),"?","~?"),'DADOS_MELHORIAS'!$AG$2:$AL$113,5,FALSE),0)=1,$MX144,""),IF(IFERROR(VLOOKUP(SUBSTITUTE(SUBSTITUTE(SUBSTITUTE($MY144,"~","~~"),"*","~*"),"?","~?"),'DADOS_MELHORIAS'!$AG$2:$AL$113,5,FALSE),0)=1,$MY144,""),IF(IFERROR(VLOOKUP(SUBSTITUTE(SUBSTITUTE(SUBSTITUTE($MZ144,"~","~~"),"*","~*"),"?","~?"),'DADOS_MELHORIAS'!$AG$2:$AL$113,5,FALSE),0)=1,$MZ144,""),IF(IFERROR(VLOOKUP(SUBSTITUTE(SUBSTITUTE(SUBSTITUTE($NA144,"~","~~"),"*","~*"),"?","~?"),'DADOS_MELHORIAS'!$AG$2:$AL$113,5,FALSE),0)=1,$NA144,""))</f>
        <v/>
      </c>
      <c r="OF144" s="164">
        <f>IF($NJ144=0,0,INDEX('DADOS_FORMAS'!$GC$2:$GC$21,$NJ144))</f>
        <v/>
      </c>
      <c r="OG144" s="164">
        <f>IF($NJ144=0,0,INDEX('DADOS_FORMAS'!$GD$2:$GD$21,$NJ144))</f>
        <v/>
      </c>
      <c r="OH144" s="164">
        <f>IF($NJ144=0,0,INDEX('DADOS_FORMAS'!$GF$2:$GF$21,$NJ144))</f>
        <v/>
      </c>
      <c r="OI144" s="164">
        <f>IFERROR(VLOOKUP(SUBSTITUTE(SUBSTITUTE(SUBSTITUTE($NB144,"~","~~"),"*","~*"),"?","~?"),'DADOS_RESTRICOES'!$M$2:$Q$54,3,FALSE),0)</f>
        <v/>
      </c>
      <c r="OJ144" s="164">
        <f>IFERROR(VLOOKUP(SUBSTITUTE(SUBSTITUTE(SUBSTITUTE($NC144,"~","~~"),"*","~*"),"?","~?"),'DADOS_RESTRICOES'!$M$2:$Q$54,3,FALSE),0)</f>
        <v/>
      </c>
      <c r="OK144" s="164">
        <f>IFERROR(VLOOKUP(SUBSTITUTE(SUBSTITUTE(SUBSTITUTE($NB144,"~","~~"),"*","~*"),"?","~?"),'DADOS_RESTRICOES'!$M$2:$Q$54,2,FALSE),"")</f>
        <v/>
      </c>
      <c r="OL144" s="164">
        <f>IFERROR(VLOOKUP(SUBSTITUTE(SUBSTITUTE(SUBSTITUTE($NC144,"~","~~"),"*","~*"),"?","~?"),'DADOS_RESTRICOES'!$M$2:$Q$54,2,FALSE),"")</f>
        <v/>
      </c>
      <c r="OM144" s="164">
        <f>COUNTIF($NS144:$NW144,1)</f>
        <v/>
      </c>
      <c r="ON144" s="164">
        <f>COUNTIF($NS144:$NW144,2)</f>
        <v/>
      </c>
      <c r="OO144" s="164">
        <f>COUNTIF($NS144:$NW144,3)</f>
        <v/>
      </c>
      <c r="OP144" s="164">
        <f>COUNTIF($NS144:$NW144,4)</f>
        <v/>
      </c>
      <c r="OQ144" s="164">
        <f>COUNTIF($NS144:$NW144,5)</f>
        <v/>
      </c>
      <c r="OR144" s="164">
        <f>COUNTIF($NS144:$NW144,6)</f>
        <v/>
      </c>
      <c r="OS144" s="164">
        <f>COUNTIF($OI144:$OJ144,1)+IF(IFERROR(INDEX('DADOS_FORMAS'!$AS$2:$AS$21,MATCH(SUBSTITUTE(SUBSTITUTE(SUBSTITUTE($MU144,"~","~~"),"*","~*"),"?","~?"),'DADOS_FORMAS'!$AH$2:$AH$21,0)),"")="",0,IFERROR(N(VLOOKUP(SUBSTITUTE(SUBSTITUTE(SUBSTITUTE(IFERROR(INDEX('DADOS_FORMAS'!$AS$2:$AS$21,MATCH(SUBSTITUTE(SUBSTITUTE(SUBSTITUTE($MU144,"~","~~"),"*","~*"),"?","~?"),'DADOS_FORMAS'!$AH$2:$AH$21,0)),""),"~","~~"),"*","~*"),"?","~?"),'DADOS_RESTRICOES'!$M$2:$Q$54,3,FALSE)=1),0))</f>
        <v/>
      </c>
      <c r="OT144" s="164">
        <f>COUNTIF($OI144:$OJ144,2)+IF(IFERROR(INDEX('DADOS_FORMAS'!$AS$2:$AS$21,MATCH(SUBSTITUTE(SUBSTITUTE(SUBSTITUTE($MU144,"~","~~"),"*","~*"),"?","~?"),'DADOS_FORMAS'!$AH$2:$AH$21,0)),"")="",0,IFERROR(N(VLOOKUP(SUBSTITUTE(SUBSTITUTE(SUBSTITUTE(IFERROR(INDEX('DADOS_FORMAS'!$AS$2:$AS$21,MATCH(SUBSTITUTE(SUBSTITUTE(SUBSTITUTE($MU144,"~","~~"),"*","~*"),"?","~?"),'DADOS_FORMAS'!$AH$2:$AH$21,0)),""),"~","~~"),"*","~*"),"?","~?"),'DADOS_RESTRICOES'!$M$2:$Q$54,3,FALSE)=2),0))</f>
        <v/>
      </c>
      <c r="OU144" s="164">
        <f>COUNTIF($MX144:$NA144,"?*")</f>
        <v/>
      </c>
      <c r="OV144" s="164">
        <f>COUNTIF($NB144:$NC144,"?*")+$OF144</f>
        <v/>
      </c>
      <c r="OW144" s="164">
        <f>IF($MS144=0,0,SUMPRODUCT($OM144:$OR144,INDEX($I$2:$N$8,MAX(1,$MS144),0)))</f>
        <v/>
      </c>
      <c r="OX144" s="164">
        <f>IF($MS144=0,0,$OS144*CEILING($MS144/2,1)+$OT144*$MS144)</f>
        <v/>
      </c>
      <c r="OY144" s="164">
        <f>MIN(2*$MS144,$OX144)</f>
        <v/>
      </c>
      <c r="OZ144" s="164">
        <f>MIN($OY144,$OW144-IF($NS144=0,0,INDEX($I$2:$N$8,MAX(1,$MS144),$NS144)))</f>
        <v/>
      </c>
      <c r="PA144" s="164">
        <f>$OY144-$OZ144</f>
        <v/>
      </c>
      <c r="PB144" s="164">
        <f>IF($MS144=0,0,INDEX($P$2:$P$8,MAX(1,$MS144)))</f>
        <v/>
      </c>
      <c r="PC144" s="164">
        <f>$PB144-$OW144+$OZ144</f>
        <v/>
      </c>
      <c r="PD144" s="164">
        <f>IF($MS144=0,MAX(0,$NG144-IF(AND($OU144&gt;0,COUNTIF($NB144:$NC144,"?*")=0),1,0)),MAX(0,$PC144))</f>
        <v/>
      </c>
      <c r="PE144" s="164">
        <f>IF($MS144=0,0,(IF(COUNTIF($RK144:$RN144,"Salto")&gt;0,1,0)+IF(COUNTIF($RK144:$RN144,"Queima")&gt;0,1,0)+IF(COUNTIF($RK144:$RN144,"Estilhaço")&gt;0,1,0))*FLOOR($PD144/2,1))</f>
        <v/>
      </c>
      <c r="PF144" s="164">
        <f>MAX(0,2-SUMPRODUCT($OM144:$OR144,$I$2:$N$2)+MIN(2,$OS144*1+$OT144*1,SUMPRODUCT($OM144:$OR144,$I$2:$N$2)-IF($NS144=0,0,INDEX($I$2:$N$2,1,$NS144))))</f>
        <v/>
      </c>
      <c r="PG144" s="164">
        <f>MAX(0,4-SUMPRODUCT($OM144:$OR144,$I$3:$N$3)+MIN(4,$OS144*1+$OT144*2,SUMPRODUCT($OM144:$OR144,$I$3:$N$3)-IF($NS144=0,0,INDEX($I$3:$N$3,1,$NS144))))</f>
        <v/>
      </c>
      <c r="PH144" s="164">
        <f>MAX(0,6-SUMPRODUCT($OM144:$OR144,$I$4:$N$4)+MIN(6,$OS144*2+$OT144*3,SUMPRODUCT($OM144:$OR144,$I$4:$N$4)-IF($NS144=0,0,INDEX($I$4:$N$4,1,$NS144))))</f>
        <v/>
      </c>
      <c r="PI144" s="164">
        <f>MAX(0,9-SUMPRODUCT($OM144:$OR144,$I$5:$N$5)+MIN(8,$OS144*2+$OT144*4,SUMPRODUCT($OM144:$OR144,$I$5:$N$5)-IF($NS144=0,0,INDEX($I$5:$N$5,1,$NS144))))</f>
        <v/>
      </c>
      <c r="PJ144" s="164">
        <f>MAX(0,11-SUMPRODUCT($OM144:$OR144,$I$6:$N$6)+MIN(10,$OS144*3+$OT144*5,SUMPRODUCT($OM144:$OR144,$I$6:$N$6)-IF($NS144=0,0,INDEX($I$6:$N$6,1,$NS144))))</f>
        <v/>
      </c>
      <c r="PK144" s="164">
        <f>MAX(0,13-SUMPRODUCT($OM144:$OR144,$I$7:$N$7)+MIN(12,$OS144*3+$OT144*6,SUMPRODUCT($OM144:$OR144,$I$7:$N$7)-IF($NS144=0,0,INDEX($I$7:$N$7,1,$NS144))))</f>
        <v/>
      </c>
      <c r="PL144" s="164">
        <f>MAX(0,16-SUMPRODUCT($OM144:$OR144,$I$8:$N$8)+MIN(14,$OS144*4+$OT144*7,SUMPRODUCT($OM144:$OR144,$I$8:$N$8)-IF($NS144=0,0,INDEX($I$8:$N$8,1,$NS144))))</f>
        <v/>
      </c>
      <c r="PM144" s="164">
        <f>IF($OG144=2,3*$PF144&amp;" de vida temp.",IF($OG144=3,"sem dano",IF($PF144=0,IF($OG144=1,"sem cura","sem dano"),IF($OG144=1,"cura ","")&amp;$PF144&amp;"d8")))</f>
        <v/>
      </c>
      <c r="PN144" s="164">
        <f>IF($OG144=2,3*$PG144&amp;" de vida temp.",IF($OG144=3,"sem dano",IF($PG144=0,IF($OG144=1,"sem cura","sem dano"),IF($OG144=1,"cura ","")&amp;$PG144&amp;"d8")))</f>
        <v/>
      </c>
      <c r="PO144" s="164">
        <f>IF($OG144=2,3*$PH144&amp;" de vida temp.",IF($OG144=3,"sem dano",IF($PH144=0,IF($OG144=1,"sem cura","sem dano"),IF($OG144=1,"cura ","")&amp;$PH144&amp;"d8")))</f>
        <v/>
      </c>
      <c r="PP144" s="164">
        <f>IF($OG144=2,3*$PI144&amp;" de vida temp.",IF($OG144=3,"sem dano",IF($PI144=0,IF($OG144=1,"sem cura","sem dano"),IF($OG144=1,"cura ","")&amp;$PI144&amp;"d8")))</f>
        <v/>
      </c>
      <c r="PQ144" s="164">
        <f>IF($OG144=2,3*$PJ144&amp;" de vida temp.",IF($OG144=3,"sem dano",IF($PJ144=0,IF($OG144=1,"sem cura","sem dano"),IF($OG144=1,"cura ","")&amp;$PJ144&amp;"d8")))</f>
        <v/>
      </c>
      <c r="PR144" s="164">
        <f>IF($OG144=2,3*$PK144&amp;" de vida temp.",IF($OG144=3,"sem dano",IF($PK144=0,IF($OG144=1,"sem cura","sem dano"),IF($OG144=1,"cura ","")&amp;$PK144&amp;"d8")))</f>
        <v/>
      </c>
      <c r="PS144" s="164">
        <f>IF($OG144=2,3*$PL144&amp;" de vida temp.",IF($OG144=3,"sem dano",IF($PL144=0,IF($OG144=1,"sem cura","sem dano"),IF($OG144=1,"cura ","")&amp;$PL144&amp;"d8")))</f>
        <v/>
      </c>
      <c r="PT144" s="164">
        <f>IF($ND144=0,"",TEXTJOIN(" · ",TRUE,IF($ND144=0,"",TEXTJOIN(" · ",TRUE,IF($ND144=0,"",TEXTJOIN(" · ",TRUE,IF($MQ144&gt;$NE144,"Este lugar abre no nível "&amp;$MQ144,""),IF($MS144&gt;$NF144,"Classe "&amp;$MS144&amp;": o nível "&amp;$NE144&amp;" libera até a "&amp;$NF144,""),IF($NX144=1,"A Forma "&amp;$MU144&amp;" pede "&amp;INDEX('DADOS_FORMAS'!$GA$2:$GA$21,$NJ144)&amp;" aberta",""),IF(AND($MS144=0,$NJ144&gt;0,IF($NJ144=0,0,INDEX('DADOS_FORMAS'!$GJ$2:$GJ$21,$NJ144))=0),$MU144&amp;" não existe na Classe 0",""),IF($NY144=1,"Família Fechada: "&amp;$MX144,""),IF($NZ144=1,"Família Fechada: "&amp;$MY144,""),IF($OA144=1,"Família Fechada: "&amp;$MZ144,""),IF($OB144=1,"Família Fechada: "&amp;$NA144,""),IF(AND($MS144&gt;0,$OU144&gt;INDEX($O$2:$O$8,MAX(1,$MS144))),$OU144&amp;" Melhorias: a Classe "&amp;$MS144&amp;" aceita "&amp;INDEX($O$2:$O$8,MAX(1,$MS144)),""),IF(AND($MS144=0,$OU144&gt;1),"A básica aceita uma Melhoria",""),IF(AND($MS144=0,COUNTIF($NO144:$NR144,"&gt;1")&gt;0),"A básica só aceita Melhoria Leve",""),IF(AND($MS144&gt;0,$OV144&gt;2),$OV144&amp;" Restrições"&amp;IF($OF144=1,", contando a que a Forma "&amp;$MU144&amp;" já traz","")&amp;": o limite é 2",""),IF(AND($MS144=0,COUNTIF($NB144:$NC144,"?*")&gt;1),"A básica aceita uma Restrição Leve",""),IF(AND($MS144=0,COUNTIF($OI144:$OJ144,2)&gt;0),"A básica só aceita Restrição Leve",""),IF(AND($MS144&gt;0,$PC144&lt;0),"Orçamento estourado: faltam "&amp;(-$PC144)&amp;IF($PC144&lt;-1," pontos"," ponto"),""),IF(IFERROR(VLOOKUP(SUBSTITUTE(SUBSTITUTE(SUBSTITUTE($NB144,"~","~~"),"*","~*"),"?","~?"),'DADOS_RESTRICOES'!$M$2:$Q$54,4,FALSE),0)+IFERROR(VLOOKUP(SUBSTITUTE(SUBSTITUTE(SUBSTITUTE($NC144,"~","~~"),"*","~*"),"?","~?"),'DADOS_RESTRICOES'!$M$2:$Q$54,4,FALSE),0)&gt;1,$OK144&amp;" e "&amp;$OL144&amp;" são as duas de frequência",""),IF(AND((COUNTIF($RK144:$RN144,"Rápido")+COUNTIF($OK144:$OL144,"Rápido"))&gt;0,(COUNTIF($MX144:$NA144,"Atrasar")+COUNTIF($OK144:$OL144,"Atrasar"))&gt;0),"Rápido não entra com Atrasar",""),IF(AND((COUNTIF($RK144:$RN144,"Reação")+COUNTIF($OK144:$OL144,"Reação"))&gt;0,(COUNTIF($RK144:$RN144,"Rápido")+COUNTIF($OK144:$OL144,"Rápido"))&gt;0),"Reação não entra com Rápido",""),IF(AND((COUNTIF($RK144:$RN144,"Reação")+COUNTIF($OK144:$OL144,"Reação"))&gt;0,(COUNTIF($RK144:$RN144,"Armado")+COUNTIF($OK144:$OL144,"Armado"))&gt;0),"Reação não entra com Armado",""),IF(AND((COUNTIF($RK144:$RN144,"Reação")+COUNTIF($OK144:$OL144,"Reação"))&gt;0,(COUNTIF($MX144:$NA144,"Atrasar")+COUNTIF($OK144:$OL144,"Atrasar"))&gt;0),"Reação não entra com Atrasar",""),IF(AND((COUNTIF($RK144:$RN144,"Reação")+COUNTIF($OK144:$OL144,"Reação"))&gt;0,(COUNTIF($MX144:$NA144,"Parado")+COUNTIF($OK144:$OL144,"Parado"))&gt;0),"Reação não entra com Parado",""),IF(AND((COUNTIF($MX144:$NA144,"Atrasar")+COUNTIF($OK144:$OL144,"Atrasar"))&gt;0,(COUNTIF($MX144:$NA144,"Parado")+COUNTIF($OK144:$OL144,"Parado"))&gt;0),"Atrasar não entra com Parado",""),IF(AND((COUNTIF($RK144:$RN144,"Armado")+COUNTIF($OK144:$OL144,"Armado"))&gt;0,(COUNTIF($MX144:$NA144,"Carregar")+COUNTIF($OK144:$OL144,"Carregar"))&gt;0),"Armado não entra com Carregar",""),IF(AND(COUNTIF($OK144:$OL144,"Corpo a Corpo")&gt;0,$OF144=0,OR($RO144="Cone",$RO144="Linha")),"Corpo a Corpo não entra em "&amp;$MU144,""),IF(AND(COUNTIF($OK144:$OL144,"Corpo a Corpo")&gt;0,$RP144="Corpo a Corpo"),"A Forma "&amp;$MU144&amp;" já traz o Corpo a Corpo",""),IF(AND(COUNTIF($OK144:$OL144,"Tudo ou Nada")&gt;0,$OH144=0),"Tudo ou Nada só entra em habilidade de Teste de Resistência",""),IF(AND(COUNTIF($RK144:$RN144,"Inescapável")&gt;0,OR($OU144&gt;1,$OV144&gt;0)),"Inescapável não aceita outra peça",""),IF(AND($MS144&gt;0,$PD144*IF(COUNTIF($RK144:$RN144,"Remate")&gt;0,1.25,1)+$PE144&gt;4*$MS144),($PD144*IF(COUNTIF($RK144:$RN144,"Remate")&gt;0,1.25,1)+$PE144)&amp;" dados somando repetições"&amp;IF(COUNTIF($RK144:$RN144,"Remate")&gt;0," e o Remate","")&amp;": o teto da Classe "&amp;$MS144&amp;" é "&amp;4*$MS144,""))),IF(AND($MX144&lt;&gt;"",COUNTIF('DADOS_MELHORIAS'!$O$2:$O$113,SUBSTITUTE(SUBSTITUTE(SUBSTITUTE($MX144,"~","~~"),"*","~*"),"?","~?"))=0),"Melhoria não cadastrada ou com erro: "&amp;$MX144,""),IF(AND($MY144&lt;&gt;"",COUNTIF('DADOS_MELHORIAS'!$O$2:$O$113,SUBSTITUTE(SUBSTITUTE(SUBSTITUTE($MY144,"~","~~"),"*","~*"),"?","~?"))=0),"Melhoria não cadastrada ou com erro: "&amp;$MY144,""),IF(AND($MZ144&lt;&gt;"",COUNTIF('DADOS_MELHORIAS'!$O$2:$O$113,SUBSTITUTE(SUBSTITUTE(SUBSTITUTE($MZ144,"~","~~"),"*","~*"),"?","~?"))=0),"Melhoria não cadastrada ou com erro: "&amp;$MZ144,""),IF(AND($NA144&lt;&gt;"",COUNTIF('DADOS_MELHORIAS'!$O$2:$O$113,SUBSTITUTE(SUBSTITUTE(SUBSTITUTE($NA144,"~","~~"),"*","~*"),"?","~?"))=0),"Melhoria não cadastrada ou com erro: "&amp;$NA144,""),IF(AND($NB144&lt;&gt;"",COUNTIF('DADOS_RESTRICOES'!$M$2:$M$54,SUBSTITUTE(SUBSTITUTE(SUBSTITUTE($NB144,"~","~~"),"*","~*"),"?","~?"))=0),"Restrição não cadastrada ou com erro: "&amp;$NB144,""),IF(AND($NC144&lt;&gt;"",COUNTIF('DADOS_RESTRICOES'!$M$2:$M$54,SUBSTITUTE(SUBSTITUTE(SUBSTITUTE($NC144,"~","~~"),"*","~*"),"?","~?"))=0),"Restrição não cadastrada ou com erro: "&amp;$NC144,""))),IF(AND($MU144&lt;&gt;"",COUNTIF('DADOS_FORMAS'!$AH$2:$AH$21,SUBSTITUTE(SUBSTITUTE(SUBSTITUTE($MU144,"~","~~"),"*","~*"),"?","~?"))=0),"Forma não cadastrada ou com erro: "&amp;$MU144,""),IF(AND(IFERROR(INDEX('DADOS_FORMAS'!$AS$2:$AS$21,MATCH(SUBSTITUTE(SUBSTITUTE(SUBSTITUTE($MU144,"~","~~"),"*","~*"),"?","~?"),'DADOS_FORMAS'!$AH$2:$AH$21,0)),"")&lt;&gt;"",OR(IFERROR(VLOOKUP(SUBSTITUTE(SUBSTITUTE(SUBSTITUTE(IFERROR(INDEX('DADOS_FORMAS'!$AS$2:$AS$21,MATCH(SUBSTITUTE(SUBSTITUTE(SUBSTITUTE($MU144,"~","~~"),"*","~*"),"?","~?"),'DADOS_FORMAS'!$AH$2:$AH$21,0)),""),"~","~~"),"*","~*"),"?","~?"),'DADOS_RESTRICOES'!$M$2:$Q$54,2,FALSE),"")=$OK144,IFERROR(VLOOKUP(SUBSTITUTE(SUBSTITUTE(SUBSTITUTE(IFERROR(INDEX('DADOS_FORMAS'!$AS$2:$AS$21,MATCH(SUBSTITUTE(SUBSTITUTE(SUBSTITUTE($MU144,"~","~~"),"*","~*"),"?","~?"),'DADOS_FORMAS'!$AH$2:$AH$21,0)),""),"~","~~"),"*","~*"),"?","~?"),'DADOS_RESTRICOES'!$M$2:$Q$54,2,FALSE),"")=$OL144)),"Restrição repetida, contando a embutida",""),IF(IF(IFERROR(INDEX('DADOS_FORMAS'!$AS$2:$AS$21,MATCH(SUBSTITUTE(SUBSTITUTE(SUBSTITUTE($MU144,"~","~~"),"*","~*"),"?","~?"),'DADOS_FORMAS'!$AH$2:$AH$21,0)),"")="",0,IFERROR(N(VLOOKUP(SUBSTITUTE(SUBSTITUTE(SUBSTITUTE(IFERROR(INDEX('DADOS_FORMAS'!$AS$2:$AS$21,MATCH(SUBSTITUTE(SUBSTITUTE(SUBSTITUTE($MU144,"~","~~"),"*","~*"),"?","~?"),'DADOS_FORMAS'!$AH$2:$AH$21,0)),""),"~","~~"),"*","~*"),"?","~?"),'DADOS_RESTRICOES'!$M$2:$Q$54,4,FALSE)=1),0))+IF($NB144="",0,IFERROR(N(VLOOKUP(SUBSTITUTE(SUBSTITUTE(SUBSTITUTE($NB144,"~","~~"),"*","~*"),"?","~?"),'DADOS_RESTRICOES'!$M$2:$Q$54,4,FALSE)=1),0))+IF($NC144="",0,IFERROR(N(VLOOKUP(SUBSTITUTE(SUBSTITUTE(SUBSTITUTE($NC144,"~","~~"),"*","~*"),"?","~?"),'DADOS_RESTRICOES'!$M$2:$Q$54,4,FALSE)=1),0))&gt;1,"Duas Restrições de frequência, contando a embutida",""),IF(AND(IFERROR(VLOOKUP(SUBSTITUTE(SUBSTITUTE(SUBSTITUTE(IFERROR(INDEX('DADOS_FORMAS'!$AS$2:$AS$21,MATCH(SUBSTITUTE(SUBSTITUTE(SUBSTITUTE($MU144,"~","~~"),"*","~*"),"?","~?"),'DADOS_FORMAS'!$AH$2:$AH$21,0)),""),"~","~~"),"*","~*"),"?","~?"),'DADOS_RESTRICOES'!$M$2:$Q$54,2,FALSE),"")="Tudo ou Nada",$OH144=0),"Tudo ou Nada exige TR",""),IF(AND(IFERROR(VLOOKUP(SUBSTITUTE(SUBSTITUTE(SUBSTITUTE(IFERROR(INDEX('DADOS_FORMAS'!$AS$2:$AS$21,MATCH(SUBSTITUTE(SUBSTITUTE(SUBSTITUTE($MU144,"~","~~"),"*","~*"),"?","~?"),'DADOS_FORMAS'!$AH$2:$AH$21,0)),""),"~","~~"),"*","~*"),"?","~?"),'DADOS_RESTRICOES'!$M$2:$Q$54,2,FALSE),"")="Corpo a Corpo",OR($RO144="Cone",$RO144="Linha")),"Corpo a Corpo não entra em Cone/Linha","")))</f>
        <v/>
      </c>
      <c r="PU144" s="164">
        <f>IF($PT144="",0,(LEN($PT144)-LEN(SUBSTITUTE($PT144," · ","")))/3+1)</f>
        <v/>
      </c>
      <c r="PV144" s="164">
        <f>IF($ND144=0,"",TEXTJOIN(" · ",TRUE,IF($OX144&gt;2*$MS144,"A devolução parou no teto de "&amp;2*$MS144,""),IF($PA144&gt;0,"Devolução perdida: "&amp;$PA144&amp;IF($PA144&gt;1," pontos"," ponto")&amp;" sem Melhoria para pagar",""),IF(AND($OC144&gt;0,AND($MS144&gt;0,$OG144=0),$PD144=0),"Controle sem dano: uma rodada a mais e CD +2",""),IF(AND($OC144&gt;0,AND($MS144&gt;0,$OG144=0),$PD144&gt;0,$PD144&lt;=$MS144),"Controle com saldo até a Classe: uma rodada a mais",""),IF(AND($MS144&gt;0,$OE144&lt;&gt;""),"Efeito de "&amp;$OE144&amp;" pela Classe "&amp;MAX(1,$MS144-1),"")))</f>
        <v/>
      </c>
      <c r="PW144" s="164">
        <f>IF($PV144="",0,(LEN($PV144)-LEN(SUBSTITUTE($PV144," · ","")))/3+1)</f>
        <v/>
      </c>
      <c r="PX144" s="164">
        <f>IF($ND144=0,IF($OU144+COUNTIF($NB144:$NC144,"?*")&gt;0,"Dê um nome",""),IF($PU144&gt;0,"⚠ "&amp;$PU144&amp;IF($PU144&gt;1," erros"," erro"),IF($PW144&gt;0,"! "&amp;$PW144&amp;IF($PW144&gt;1," avisos"," aviso"),"Na regra")))</f>
        <v/>
      </c>
      <c r="PY144" s="164">
        <f>IF($ND144=0,"",IF($PU144+$PW144=0,"Dentro das regras que a ficha confere",$PT144&amp;IF(AND($PU144&gt;0,$PW144&gt;0)," · ","")&amp;$PV144))</f>
        <v/>
      </c>
      <c r="PZ144" s="164">
        <f>IF($MQ144&gt;$NE144,$MR144&amp;" · ABRE NO NÍVEL "&amp;$MQ144,$MR144)</f>
        <v/>
      </c>
      <c r="QA144" s="164">
        <f>IF($ND144=0,"",IF($MS144=0,"Sem PE",3*$MS144&amp;" PE"))</f>
        <v/>
      </c>
      <c r="QB144" s="164">
        <f>IF($ND144=0,"",IF($MS144=0,"A atuação básica dela",IF(COUNTIF($RQ144:$RS144,"Atrasar")&gt;0,"Sua Ação Completa",IF(COUNTIF($RK144:$RN144,"Rápido")&gt;0,"Sua Bônus",IF(COUNTIF($RK144:$RN144,"Reação")&gt;0,"Sua Reação","Sua Padrão")))&amp;" + a básica dela"&amp;IF(COUNTIF($RK144:$RN144,"Reação")&gt;0," e a coletiva","")&amp;IF(COUNTIF($RQ144:$RS144,"Carregar")&gt;0," · em dois turnos","")))</f>
        <v/>
      </c>
      <c r="QC144" s="164">
        <f>IF($MW144&lt;&gt;"",$MW144,IF($NJ144=0,"",INDEX('DADOS_FORMAS'!$GE$2:$GE$21,$NJ144)))</f>
        <v/>
      </c>
      <c r="QD144" s="164">
        <f>IF(OR($ND144=0,$NJ144=0),"",IF(COUNTIF($RK144:$RN144,"Inescapável")&gt;0,"Automático",IF($QC144="Ataque",IF($NH144="","Ataque","Ataque "&amp;IF(($NH144+2*IF(COUNTIF($RK144:$RN144,"Precisão")&gt;0,1,0))&gt;=0,"+","−")&amp;ABS(($NH144+2*IF(COUNTIF($RK144:$RN144,"Precisão")&gt;0,1,0))))&amp;IF($OD144&gt;0," · TR"&amp;IF($NI144="",""," CD "&amp;$NI144),""),IF(LEFT($QC144,2)="TR",$QC144&amp;IF($NI144="",""," · CD "&amp;$NI144)&amp;IF(COUNTIF($RK144:$RN144,"Certeiro")&gt;0," · metade",""),"Sem rolagem"))))</f>
        <v/>
      </c>
      <c r="QE144" s="164">
        <f>IF(OR($ND144=0,$NJ144=0),"",IF($MS144=0,IF(OR($OG144&gt;=1,$PD144=0),"Sem dano",$PD144&amp;"d6"&amp;IF($MV144="",""," "&amp;$MV144)),IF(OR($OG144&gt;=1,$PD144=0),UPPER(LEFT(INDEX($PM144:$PS144,1,MAX(1,$MS144)),1))&amp;MID(INDEX($PM144:$PS144,1,MAX(1,$MS144)),2,99),UPPER(LEFT(INDEX($PM144:$PS144,1,MAX(1,$MS144)),1))&amp;MID(INDEX($PM144:$PS144,1,MAX(1,$MS144)),2,99)&amp;IF($MV144="",""," "&amp;$MV144)&amp;IF($PE144&gt;0," · +"&amp;$PE144&amp;"d8",""))))</f>
        <v/>
      </c>
      <c r="QF144" s="164">
        <f>COUNTIF($RK144:$RN144,"Longe")+3*COUNTIF($RK144:$RN144,"Muito Longe")</f>
        <v/>
      </c>
      <c r="QG144" s="164">
        <f>COUNTIF($RK144:$RN144,"Maior")+3*COUNTIF($RK144:$RN144,"Muito Maior")</f>
        <v/>
      </c>
      <c r="QH144" s="164">
        <f>IF($NJ144=0,0,CHOOSE(1+INDEX('DADOS_FORMAS'!$GG$2:$GG$21,$NJ144),0,$QF144,$QG144,$QF144+$QG144))</f>
        <v/>
      </c>
      <c r="QI144" s="164">
        <f>IF($NJ144=0,0,CHOOSE(1+INDEX('DADOS_FORMAS'!$GH$2:$GH$21,$NJ144),0,$QF144,$QG144,$QF144+$QG144))</f>
        <v/>
      </c>
      <c r="QJ144" s="164">
        <f>IF(OR($ND144=0,$NJ144=0),"",INDEX('DADOS_FORMAS'!$HU$2:$HZ$81,($NJ144-1)*4+IF($MS144=0,1,IF($MS144&lt;=5,2,IF($MS144=6,3,4))),1+MIN(5,$QH144))&amp;INDEX('DADOS_FORMAS'!$IA$2:$IF$81,($NJ144-1)*4+IF($MS144=0,1,IF($MS144&lt;=5,2,IF($MS144=6,3,4))),1+MIN(5,$QI144))&amp;IF(INDEX('DADOS_FORMAS'!$GI$2:$GI$21,$NJ144)=1,IF(COUNTIF($RK144:$RN144,"Mais Um")&gt;0," · +"&amp;COUNTIF($RK144:$RN144,"Mais Um")&amp;IF(COUNTIF($RK144:$RN144,"Mais Um")&gt;1," alvos"," alvo"),"")&amp;IF(COUNTIF($RK144:$RN144,"Rajada")&gt;0,IF($MS144=0," · 1 tiro"," · "&amp;(MAX(1,$MS144-1)+1)&amp;" tiros"),""),""))</f>
        <v/>
      </c>
      <c r="QK144" s="164">
        <f>IF($ND144=0,"",IF($MS144=0,$NG144&amp;"d6"&amp;IF($OU144&gt;0," − 1 = "&amp;$PD144&amp;"d6"," da básica do nível "&amp;$NE144),$PB144&amp;" − "&amp;$OW144&amp;" + "&amp;$OZ144&amp;" = "&amp;$PC144&amp;" · teto "&amp;4*$MS144&amp;"d8"&amp;IF($OF144=1," · a Forma devolve "&amp;$MS144,"")&amp;IF($PA144&gt;0," · perde "&amp;$PA144,"")))</f>
        <v/>
      </c>
      <c r="QL144" s="164">
        <f>IF($ND144=0,"",IF($MS144=0,"A básica não amplia: os dados dela sobem com o nível",IF($MS144&gt;=$NF144,"Já está na maior Classe que o nível liberou",TEXTJOIN(" · ",TRUE,IF(AND(2&gt;$MS144,2&lt;=$NF144),"2 → "&amp;$PN144&amp;", 6 PE",""),IF(AND(3&gt;$MS144,3&lt;=$NF144),"3 → "&amp;$PO144&amp;", 9 PE",""),IF(AND(4&gt;$MS144,4&lt;=$NF144),"4 → "&amp;$PP144&amp;", 12 PE",""),IF(AND(5&gt;$MS144,5&lt;=$NF144),"5 → "&amp;$PQ144&amp;", 15 PE",""),IF(AND(6&gt;$MS144,6&lt;=$NF144),"6 → "&amp;$PR144&amp;", 18 PE",""),IF(AND(7&gt;$MS144,7&lt;=$NF144),"7 → "&amp;$PS144&amp;", 21 PE","")))))</f>
        <v/>
      </c>
      <c r="QM144" s="164">
        <f>IF(OR($ND144=0,$NO144=0),"",IF($MS144=0,"−1 dado","−"&amp;INDEX($I$2:$N$8,MAX(1,$MS144),MAX(1,$NT144))&amp;" · "&amp;CHOOSE(MAX(1,$NT144),"Leve","Média","Pesada","Leve · Livre","Média · Livre","Pesada · Livre")))</f>
        <v/>
      </c>
      <c r="QN144" s="164">
        <f>IF(OR($ND144=0,$NP144=0),"",IF($MS144=0,"−1 dado","−"&amp;INDEX($I$2:$N$8,MAX(1,$MS144),MAX(1,$NU144))&amp;" · "&amp;CHOOSE(MAX(1,$NU144),"Leve","Média","Pesada","Leve · Livre","Média · Livre","Pesada · Livre")))</f>
        <v/>
      </c>
      <c r="QO144" s="164">
        <f>IF(OR($ND144=0,$NQ144=0),"",IF($MS144=0,"−1 dado","−"&amp;INDEX($I$2:$N$8,MAX(1,$MS144),MAX(1,$NV144))&amp;" · "&amp;CHOOSE(MAX(1,$NV144),"Leve","Média","Pesada","Leve · Livre","Média · Livre","Pesada · Livre")))</f>
        <v/>
      </c>
      <c r="QP144" s="164">
        <f>IF(OR($ND144=0,$NR144=0),"",IF($MS144=0,"−1 dado","−"&amp;INDEX($I$2:$N$8,MAX(1,$MS144),MAX(1,$NW144))&amp;" · "&amp;CHOOSE(MAX(1,$NW144),"Leve","Média","Pesada","Leve · Livre","Média · Livre","Pesada · Livre")))</f>
        <v/>
      </c>
      <c r="QQ144" s="164">
        <f>IF(OR($ND144=0,$NB144=""),"",IF($MS144=0,"não devolve","+"&amp;IF($OI144=1,CEILING($MS144/2,1),$MS144)))</f>
        <v/>
      </c>
      <c r="QR144" s="164">
        <f>IF(OR($ND144=0,$NC144=""),"",IF($MS144=0,"não devolve","+"&amp;IF($OJ144=1,CEILING($MS144/2,1),$MS144)))</f>
        <v/>
      </c>
      <c r="RK144">
        <f>IF($MX144="","",IFERROR(VLOOKUP(SUBSTITUTE(SUBSTITUTE(SUBSTITUTE($MX144,"~","~~"),"*","~*"),"?","~?"),'DADOS_MELHORIAS'!$O$2:$X$113,10,FALSE),$MX144))</f>
        <v/>
      </c>
      <c r="RL144">
        <f>IF($MY144="","",IFERROR(VLOOKUP(SUBSTITUTE(SUBSTITUTE(SUBSTITUTE($MY144,"~","~~"),"*","~*"),"?","~?"),'DADOS_MELHORIAS'!$O$2:$X$113,10,FALSE),$MY144))</f>
        <v/>
      </c>
      <c r="RM144">
        <f>IF($MZ144="","",IFERROR(VLOOKUP(SUBSTITUTE(SUBSTITUTE(SUBSTITUTE($MZ144,"~","~~"),"*","~*"),"?","~?"),'DADOS_MELHORIAS'!$O$2:$X$113,10,FALSE),$MZ144))</f>
        <v/>
      </c>
      <c r="RN144">
        <f>IF($NA144="","",IFERROR(VLOOKUP(SUBSTITUTE(SUBSTITUTE(SUBSTITUTE($NA144,"~","~~"),"*","~*"),"?","~?"),'DADOS_MELHORIAS'!$O$2:$X$113,10,FALSE),$NA144))</f>
        <v/>
      </c>
      <c r="RO144">
        <f>IFERROR(INDEX('DADOS_FORMAS'!$BJ$2:$BJ$21,MATCH(SUBSTITUTE(SUBSTITUTE(SUBSTITUTE($MU144,"~","~~"),"*","~*"),"?","~?"),'DADOS_FORMAS'!$AH$2:$AH$21,0)),"")</f>
        <v/>
      </c>
      <c r="RP144">
        <f>IFERROR(VLOOKUP(SUBSTITUTE(SUBSTITUTE(SUBSTITUTE(IFERROR(INDEX('DADOS_FORMAS'!$AS$2:$AS$21,MATCH(SUBSTITUTE(SUBSTITUTE(SUBSTITUTE($MU144,"~","~~"),"*","~*"),"?","~?"),'DADOS_FORMAS'!$AH$2:$AH$21,0)),""),"~","~~"),"*","~*"),"?","~?"),'DADOS_RESTRICOES'!$M$2:$Q$54,2,FALSE),"")</f>
        <v/>
      </c>
      <c r="RQ144">
        <f>$OK144</f>
        <v/>
      </c>
      <c r="RR144">
        <f>$OL144</f>
        <v/>
      </c>
      <c r="RS144">
        <f>$RP144</f>
        <v/>
      </c>
    </row>
    <row r="145">
      <c r="MN145" s="162" t="inlineStr">
        <is>
          <t>Ficha 12 · Básica 1</t>
        </is>
      </c>
      <c r="MO145" s="164" t="n">
        <v>12</v>
      </c>
      <c r="MP145" s="164" t="n">
        <v>0</v>
      </c>
      <c r="MQ145" s="164" t="n">
        <v>1</v>
      </c>
      <c r="MR145" s="162" t="inlineStr">
        <is>
          <t>BÁSICA 1</t>
        </is>
      </c>
      <c r="MS145" s="164" t="n">
        <v>0</v>
      </c>
      <c r="MT145" s="164">
        <f>'INVOCAÇÕES'!$AC$1126&amp;""</f>
        <v/>
      </c>
      <c r="MU145" s="164">
        <f>'INVOCAÇÕES'!$AB$1131&amp;""</f>
        <v/>
      </c>
      <c r="MV145" s="164">
        <f>'INVOCAÇÕES'!$AB$1132&amp;""</f>
        <v/>
      </c>
      <c r="MW145" s="164">
        <f>'INVOCAÇÕES'!$AD$1132&amp;""</f>
        <v/>
      </c>
      <c r="MX145" s="164">
        <f>'INVOCAÇÕES'!$AC$1135&amp;""</f>
        <v/>
      </c>
      <c r="MY145" s="164">
        <f>'INVOCAÇÕES'!$AC$1136&amp;""</f>
        <v/>
      </c>
      <c r="MZ145" s="164">
        <f>'INVOCAÇÕES'!$AC$1137&amp;""</f>
        <v/>
      </c>
      <c r="NA145" s="164">
        <f>'INVOCAÇÕES'!$AC$1138&amp;""</f>
        <v/>
      </c>
      <c r="NB145" s="164">
        <f>'INVOCAÇÕES'!$AC$1139&amp;""</f>
        <v/>
      </c>
      <c r="NC145" s="164">
        <f>'INVOCAÇÕES'!$AC$1140&amp;""</f>
        <v/>
      </c>
      <c r="ND145" s="164">
        <f>IF($MT145&lt;&gt;"",1,0)</f>
        <v/>
      </c>
      <c r="NE145" s="164">
        <f>INDEX($FO$2:$FO$13,$MO145)</f>
        <v/>
      </c>
      <c r="NF145" s="164">
        <f>INDEX($FP$2:$FP$13,$MO145)</f>
        <v/>
      </c>
      <c r="NG145" s="164">
        <f>INDEX($FQ$2:$FQ$13,$MO145)</f>
        <v/>
      </c>
      <c r="NH145" s="164">
        <f>INDEX($GB$2:$GB$13,$MO145)</f>
        <v/>
      </c>
      <c r="NI145" s="164">
        <f>INDEX($GC$2:$GC$13,$MO145)</f>
        <v/>
      </c>
      <c r="NJ145" s="164">
        <f>IFERROR(MATCH(SUBSTITUTE(SUBSTITUTE(SUBSTITUTE($MU145,"~","~~"),"*","~*"),"?","~?"),'DADOS_FORMAS'!$FZ$2:$FZ$21,0),0)</f>
        <v/>
      </c>
      <c r="NK145" s="164">
        <f>IFERROR(VLOOKUP(SUBSTITUTE(SUBSTITUTE(SUBSTITUTE($MX145,"~","~~"),"*","~*"),"?","~?"),'DADOS_MELHORIAS'!$AG$2:$AL$113,2,FALSE),"")</f>
        <v/>
      </c>
      <c r="NL145" s="164">
        <f>IFERROR(VLOOKUP(SUBSTITUTE(SUBSTITUTE(SUBSTITUTE($MY145,"~","~~"),"*","~*"),"?","~?"),'DADOS_MELHORIAS'!$AG$2:$AL$113,2,FALSE),"")</f>
        <v/>
      </c>
      <c r="NM145" s="164">
        <f>IFERROR(VLOOKUP(SUBSTITUTE(SUBSTITUTE(SUBSTITUTE($MZ145,"~","~~"),"*","~*"),"?","~?"),'DADOS_MELHORIAS'!$AG$2:$AL$113,2,FALSE),"")</f>
        <v/>
      </c>
      <c r="NN145" s="164">
        <f>IFERROR(VLOOKUP(SUBSTITUTE(SUBSTITUTE(SUBSTITUTE($NA145,"~","~~"),"*","~*"),"?","~?"),'DADOS_MELHORIAS'!$AG$2:$AL$113,2,FALSE),"")</f>
        <v/>
      </c>
      <c r="NO145" s="164">
        <f>IFERROR(VLOOKUP(SUBSTITUTE(SUBSTITUTE(SUBSTITUTE($MX145,"~","~~"),"*","~*"),"?","~?"),'DADOS_MELHORIAS'!$AG$2:$AL$113,3,FALSE),0)</f>
        <v/>
      </c>
      <c r="NP145" s="164">
        <f>IFERROR(VLOOKUP(SUBSTITUTE(SUBSTITUTE(SUBSTITUTE($MY145,"~","~~"),"*","~*"),"?","~?"),'DADOS_MELHORIAS'!$AG$2:$AL$113,3,FALSE),0)</f>
        <v/>
      </c>
      <c r="NQ145" s="164">
        <f>IFERROR(VLOOKUP(SUBSTITUTE(SUBSTITUTE(SUBSTITUTE($MZ145,"~","~~"),"*","~*"),"?","~?"),'DADOS_MELHORIAS'!$AG$2:$AL$113,3,FALSE),0)</f>
        <v/>
      </c>
      <c r="NR145" s="164">
        <f>IFERROR(VLOOKUP(SUBSTITUTE(SUBSTITUTE(SUBSTITUTE($NA145,"~","~~"),"*","~*"),"?","~?"),'DADOS_MELHORIAS'!$AG$2:$AL$113,3,FALSE),0)</f>
        <v/>
      </c>
      <c r="NS145" s="164">
        <f>IF($MS145=0,0,IF($NJ145=0,0,INDEX('DADOS_FORMAS'!$GB$2:$GB$21,$NJ145)))</f>
        <v/>
      </c>
      <c r="NT145" s="164">
        <f>IF(OR($NO145=0,$MS145=0),0,$NO145+3*IF(AND($NK145&lt;&gt;"",COUNTIF(INDEX($RB$2:$RJ$13,$MO145,0),$NK145)&gt;0),1,0))</f>
        <v/>
      </c>
      <c r="NU145" s="164">
        <f>IF(OR($NP145=0,$MS145=0),0,$NP145+3*IF(AND($NL145&lt;&gt;"",COUNTIF(INDEX($RB$2:$RJ$13,$MO145,0),$NL145)&gt;0),1,0))</f>
        <v/>
      </c>
      <c r="NV145" s="164">
        <f>IF(OR($NQ145=0,$MS145=0),0,$NQ145+3*IF(AND($NM145&lt;&gt;"",COUNTIF(INDEX($RB$2:$RJ$13,$MO145,0),$NM145)&gt;0),1,0))</f>
        <v/>
      </c>
      <c r="NW145" s="164">
        <f>IF(OR($NR145=0,$MS145=0),0,$NR145+3*IF(AND($NN145&lt;&gt;"",COUNTIF(INDEX($RB$2:$RJ$13,$MO145,0),$NN145)&gt;0),1,0))</f>
        <v/>
      </c>
      <c r="NX145" s="164">
        <f>IF($NJ145=0,0,IF(INDEX('DADOS_FORMAS'!$GA$2:$GA$21,$NJ145)="",0,IF((COUNTIF(INDEX($EL$2:$EP$13,$MO145,0),INDEX('DADOS_FORMAS'!$GA$2:$GA$21,$NJ145))+COUNTIF(INDEX($QV$2:$QY$13,$MO145,0),INDEX('DADOS_FORMAS'!$GA$2:$GA$21,$NJ145)))=0,1,0)))</f>
        <v/>
      </c>
      <c r="NY145" s="164">
        <f>IF(OR($NO145=0,$NK145=""),0,IF((COUNTIF(INDEX($EL$2:$EP$13,$MO145,0),$NK145)+COUNTIF(INDEX($QV$2:$QY$13,$MO145,0),$NK145))=0,1,0))</f>
        <v/>
      </c>
      <c r="NZ145" s="164">
        <f>IF(OR($NP145=0,$NL145=""),0,IF((COUNTIF(INDEX($EL$2:$EP$13,$MO145,0),$NL145)+COUNTIF(INDEX($QV$2:$QY$13,$MO145,0),$NL145))=0,1,0))</f>
        <v/>
      </c>
      <c r="OA145" s="164">
        <f>IF(OR($NQ145=0,$NM145=""),0,IF((COUNTIF(INDEX($EL$2:$EP$13,$MO145,0),$NM145)+COUNTIF(INDEX($QV$2:$QY$13,$MO145,0),$NM145))=0,1,0))</f>
        <v/>
      </c>
      <c r="OB145" s="164">
        <f>IF(OR($NR145=0,$NN145=""),0,IF((COUNTIF(INDEX($EL$2:$EP$13,$MO145,0),$NN145)+COUNTIF(INDEX($QV$2:$QY$13,$MO145,0),$NN145))=0,1,0))</f>
        <v/>
      </c>
      <c r="OC145" s="164">
        <f>IFERROR(VLOOKUP(SUBSTITUTE(SUBSTITUTE(SUBSTITUTE($MX145,"~","~~"),"*","~*"),"?","~?"),'DADOS_MELHORIAS'!$AG$2:$AL$113,4,FALSE),0)+IFERROR(VLOOKUP(SUBSTITUTE(SUBSTITUTE(SUBSTITUTE($MY145,"~","~~"),"*","~*"),"?","~?"),'DADOS_MELHORIAS'!$AG$2:$AL$113,4,FALSE),0)+IFERROR(VLOOKUP(SUBSTITUTE(SUBSTITUTE(SUBSTITUTE($MZ145,"~","~~"),"*","~*"),"?","~?"),'DADOS_MELHORIAS'!$AG$2:$AL$113,4,FALSE),0)+IFERROR(VLOOKUP(SUBSTITUTE(SUBSTITUTE(SUBSTITUTE($NA145,"~","~~"),"*","~*"),"?","~?"),'DADOS_MELHORIAS'!$AG$2:$AL$113,4,FALSE),0)</f>
        <v/>
      </c>
      <c r="OD145" s="164">
        <f>IFERROR(VLOOKUP(SUBSTITUTE(SUBSTITUTE(SUBSTITUTE($MX145,"~","~~"),"*","~*"),"?","~?"),'DADOS_MELHORIAS'!$AG$2:$AL$113,6,FALSE),0)+IFERROR(VLOOKUP(SUBSTITUTE(SUBSTITUTE(SUBSTITUTE($MY145,"~","~~"),"*","~*"),"?","~?"),'DADOS_MELHORIAS'!$AG$2:$AL$113,6,FALSE),0)+IFERROR(VLOOKUP(SUBSTITUTE(SUBSTITUTE(SUBSTITUTE($MZ145,"~","~~"),"*","~*"),"?","~?"),'DADOS_MELHORIAS'!$AG$2:$AL$113,6,FALSE),0)+IFERROR(VLOOKUP(SUBSTITUTE(SUBSTITUTE(SUBSTITUTE($NA145,"~","~~"),"*","~*"),"?","~?"),'DADOS_MELHORIAS'!$AG$2:$AL$113,6,FALSE),0)+IFERROR(N(AND(INDEX('DADOS_FORMAS'!$AO$2:$AO$21,MATCH(SUBSTITUTE(SUBSTITUTE(SUBSTITUTE($MU145,"~","~~"),"*","~*"),"?","~?"),'DADOS_FORMAS'!$AH$2:$AH$21,0))="Acerto",$OH145=1)),0)</f>
        <v/>
      </c>
      <c r="OE145" s="164">
        <f>TEXTJOIN(", ",TRUE,IF(IFERROR(VLOOKUP(SUBSTITUTE(SUBSTITUTE(SUBSTITUTE($MX145,"~","~~"),"*","~*"),"?","~?"),'DADOS_MELHORIAS'!$AG$2:$AL$113,5,FALSE),0)=1,$MX145,""),IF(IFERROR(VLOOKUP(SUBSTITUTE(SUBSTITUTE(SUBSTITUTE($MY145,"~","~~"),"*","~*"),"?","~?"),'DADOS_MELHORIAS'!$AG$2:$AL$113,5,FALSE),0)=1,$MY145,""),IF(IFERROR(VLOOKUP(SUBSTITUTE(SUBSTITUTE(SUBSTITUTE($MZ145,"~","~~"),"*","~*"),"?","~?"),'DADOS_MELHORIAS'!$AG$2:$AL$113,5,FALSE),0)=1,$MZ145,""),IF(IFERROR(VLOOKUP(SUBSTITUTE(SUBSTITUTE(SUBSTITUTE($NA145,"~","~~"),"*","~*"),"?","~?"),'DADOS_MELHORIAS'!$AG$2:$AL$113,5,FALSE),0)=1,$NA145,""))</f>
        <v/>
      </c>
      <c r="OF145" s="164">
        <f>IF($NJ145=0,0,INDEX('DADOS_FORMAS'!$GC$2:$GC$21,$NJ145))</f>
        <v/>
      </c>
      <c r="OG145" s="164">
        <f>IF($NJ145=0,0,INDEX('DADOS_FORMAS'!$GD$2:$GD$21,$NJ145))</f>
        <v/>
      </c>
      <c r="OH145" s="164">
        <f>IF($NJ145=0,0,INDEX('DADOS_FORMAS'!$GF$2:$GF$21,$NJ145))</f>
        <v/>
      </c>
      <c r="OI145" s="164">
        <f>IFERROR(VLOOKUP(SUBSTITUTE(SUBSTITUTE(SUBSTITUTE($NB145,"~","~~"),"*","~*"),"?","~?"),'DADOS_RESTRICOES'!$M$2:$Q$54,3,FALSE),0)</f>
        <v/>
      </c>
      <c r="OJ145" s="164">
        <f>IFERROR(VLOOKUP(SUBSTITUTE(SUBSTITUTE(SUBSTITUTE($NC145,"~","~~"),"*","~*"),"?","~?"),'DADOS_RESTRICOES'!$M$2:$Q$54,3,FALSE),0)</f>
        <v/>
      </c>
      <c r="OK145" s="164">
        <f>IFERROR(VLOOKUP(SUBSTITUTE(SUBSTITUTE(SUBSTITUTE($NB145,"~","~~"),"*","~*"),"?","~?"),'DADOS_RESTRICOES'!$M$2:$Q$54,2,FALSE),"")</f>
        <v/>
      </c>
      <c r="OL145" s="164">
        <f>IFERROR(VLOOKUP(SUBSTITUTE(SUBSTITUTE(SUBSTITUTE($NC145,"~","~~"),"*","~*"),"?","~?"),'DADOS_RESTRICOES'!$M$2:$Q$54,2,FALSE),"")</f>
        <v/>
      </c>
      <c r="OM145" s="164">
        <f>COUNTIF($NS145:$NW145,1)</f>
        <v/>
      </c>
      <c r="ON145" s="164">
        <f>COUNTIF($NS145:$NW145,2)</f>
        <v/>
      </c>
      <c r="OO145" s="164">
        <f>COUNTIF($NS145:$NW145,3)</f>
        <v/>
      </c>
      <c r="OP145" s="164">
        <f>COUNTIF($NS145:$NW145,4)</f>
        <v/>
      </c>
      <c r="OQ145" s="164">
        <f>COUNTIF($NS145:$NW145,5)</f>
        <v/>
      </c>
      <c r="OR145" s="164">
        <f>COUNTIF($NS145:$NW145,6)</f>
        <v/>
      </c>
      <c r="OS145" s="164">
        <f>COUNTIF($OI145:$OJ145,1)+IF(IFERROR(INDEX('DADOS_FORMAS'!$AS$2:$AS$21,MATCH(SUBSTITUTE(SUBSTITUTE(SUBSTITUTE($MU145,"~","~~"),"*","~*"),"?","~?"),'DADOS_FORMAS'!$AH$2:$AH$21,0)),"")="",0,IFERROR(N(VLOOKUP(SUBSTITUTE(SUBSTITUTE(SUBSTITUTE(IFERROR(INDEX('DADOS_FORMAS'!$AS$2:$AS$21,MATCH(SUBSTITUTE(SUBSTITUTE(SUBSTITUTE($MU145,"~","~~"),"*","~*"),"?","~?"),'DADOS_FORMAS'!$AH$2:$AH$21,0)),""),"~","~~"),"*","~*"),"?","~?"),'DADOS_RESTRICOES'!$M$2:$Q$54,3,FALSE)=1),0))</f>
        <v/>
      </c>
      <c r="OT145" s="164">
        <f>COUNTIF($OI145:$OJ145,2)+IF(IFERROR(INDEX('DADOS_FORMAS'!$AS$2:$AS$21,MATCH(SUBSTITUTE(SUBSTITUTE(SUBSTITUTE($MU145,"~","~~"),"*","~*"),"?","~?"),'DADOS_FORMAS'!$AH$2:$AH$21,0)),"")="",0,IFERROR(N(VLOOKUP(SUBSTITUTE(SUBSTITUTE(SUBSTITUTE(IFERROR(INDEX('DADOS_FORMAS'!$AS$2:$AS$21,MATCH(SUBSTITUTE(SUBSTITUTE(SUBSTITUTE($MU145,"~","~~"),"*","~*"),"?","~?"),'DADOS_FORMAS'!$AH$2:$AH$21,0)),""),"~","~~"),"*","~*"),"?","~?"),'DADOS_RESTRICOES'!$M$2:$Q$54,3,FALSE)=2),0))</f>
        <v/>
      </c>
      <c r="OU145" s="164">
        <f>COUNTIF($MX145:$NA145,"?*")</f>
        <v/>
      </c>
      <c r="OV145" s="164">
        <f>COUNTIF($NB145:$NC145,"?*")+$OF145</f>
        <v/>
      </c>
      <c r="OW145" s="164">
        <f>IF($MS145=0,0,SUMPRODUCT($OM145:$OR145,INDEX($I$2:$N$8,MAX(1,$MS145),0)))</f>
        <v/>
      </c>
      <c r="OX145" s="164">
        <f>IF($MS145=0,0,$OS145*CEILING($MS145/2,1)+$OT145*$MS145)</f>
        <v/>
      </c>
      <c r="OY145" s="164">
        <f>MIN(2*$MS145,$OX145)</f>
        <v/>
      </c>
      <c r="OZ145" s="164">
        <f>MIN($OY145,$OW145-IF($NS145=0,0,INDEX($I$2:$N$8,MAX(1,$MS145),$NS145)))</f>
        <v/>
      </c>
      <c r="PA145" s="164">
        <f>$OY145-$OZ145</f>
        <v/>
      </c>
      <c r="PB145" s="164">
        <f>IF($MS145=0,0,INDEX($P$2:$P$8,MAX(1,$MS145)))</f>
        <v/>
      </c>
      <c r="PC145" s="164">
        <f>$PB145-$OW145+$OZ145</f>
        <v/>
      </c>
      <c r="PD145" s="164">
        <f>IF($MS145=0,MAX(0,$NG145-IF(AND($OU145&gt;0,COUNTIF($NB145:$NC145,"?*")=0),1,0)),MAX(0,$PC145))</f>
        <v/>
      </c>
      <c r="PE145" s="164">
        <f>IF($MS145=0,0,(IF(COUNTIF($RK145:$RN145,"Salto")&gt;0,1,0)+IF(COUNTIF($RK145:$RN145,"Queima")&gt;0,1,0)+IF(COUNTIF($RK145:$RN145,"Estilhaço")&gt;0,1,0))*FLOOR($PD145/2,1))</f>
        <v/>
      </c>
      <c r="PF145" s="164">
        <f>MAX(0,2-SUMPRODUCT($OM145:$OR145,$I$2:$N$2)+MIN(2,$OS145*1+$OT145*1,SUMPRODUCT($OM145:$OR145,$I$2:$N$2)-IF($NS145=0,0,INDEX($I$2:$N$2,1,$NS145))))</f>
        <v/>
      </c>
      <c r="PG145" s="164">
        <f>MAX(0,4-SUMPRODUCT($OM145:$OR145,$I$3:$N$3)+MIN(4,$OS145*1+$OT145*2,SUMPRODUCT($OM145:$OR145,$I$3:$N$3)-IF($NS145=0,0,INDEX($I$3:$N$3,1,$NS145))))</f>
        <v/>
      </c>
      <c r="PH145" s="164">
        <f>MAX(0,6-SUMPRODUCT($OM145:$OR145,$I$4:$N$4)+MIN(6,$OS145*2+$OT145*3,SUMPRODUCT($OM145:$OR145,$I$4:$N$4)-IF($NS145=0,0,INDEX($I$4:$N$4,1,$NS145))))</f>
        <v/>
      </c>
      <c r="PI145" s="164">
        <f>MAX(0,9-SUMPRODUCT($OM145:$OR145,$I$5:$N$5)+MIN(8,$OS145*2+$OT145*4,SUMPRODUCT($OM145:$OR145,$I$5:$N$5)-IF($NS145=0,0,INDEX($I$5:$N$5,1,$NS145))))</f>
        <v/>
      </c>
      <c r="PJ145" s="164">
        <f>MAX(0,11-SUMPRODUCT($OM145:$OR145,$I$6:$N$6)+MIN(10,$OS145*3+$OT145*5,SUMPRODUCT($OM145:$OR145,$I$6:$N$6)-IF($NS145=0,0,INDEX($I$6:$N$6,1,$NS145))))</f>
        <v/>
      </c>
      <c r="PK145" s="164">
        <f>MAX(0,13-SUMPRODUCT($OM145:$OR145,$I$7:$N$7)+MIN(12,$OS145*3+$OT145*6,SUMPRODUCT($OM145:$OR145,$I$7:$N$7)-IF($NS145=0,0,INDEX($I$7:$N$7,1,$NS145))))</f>
        <v/>
      </c>
      <c r="PL145" s="164">
        <f>MAX(0,16-SUMPRODUCT($OM145:$OR145,$I$8:$N$8)+MIN(14,$OS145*4+$OT145*7,SUMPRODUCT($OM145:$OR145,$I$8:$N$8)-IF($NS145=0,0,INDEX($I$8:$N$8,1,$NS145))))</f>
        <v/>
      </c>
      <c r="PM145" s="164">
        <f>IF($OG145=2,3*$PF145&amp;" de vida temp.",IF($OG145=3,"sem dano",IF($PF145=0,IF($OG145=1,"sem cura","sem dano"),IF($OG145=1,"cura ","")&amp;$PF145&amp;"d8")))</f>
        <v/>
      </c>
      <c r="PN145" s="164">
        <f>IF($OG145=2,3*$PG145&amp;" de vida temp.",IF($OG145=3,"sem dano",IF($PG145=0,IF($OG145=1,"sem cura","sem dano"),IF($OG145=1,"cura ","")&amp;$PG145&amp;"d8")))</f>
        <v/>
      </c>
      <c r="PO145" s="164">
        <f>IF($OG145=2,3*$PH145&amp;" de vida temp.",IF($OG145=3,"sem dano",IF($PH145=0,IF($OG145=1,"sem cura","sem dano"),IF($OG145=1,"cura ","")&amp;$PH145&amp;"d8")))</f>
        <v/>
      </c>
      <c r="PP145" s="164">
        <f>IF($OG145=2,3*$PI145&amp;" de vida temp.",IF($OG145=3,"sem dano",IF($PI145=0,IF($OG145=1,"sem cura","sem dano"),IF($OG145=1,"cura ","")&amp;$PI145&amp;"d8")))</f>
        <v/>
      </c>
      <c r="PQ145" s="164">
        <f>IF($OG145=2,3*$PJ145&amp;" de vida temp.",IF($OG145=3,"sem dano",IF($PJ145=0,IF($OG145=1,"sem cura","sem dano"),IF($OG145=1,"cura ","")&amp;$PJ145&amp;"d8")))</f>
        <v/>
      </c>
      <c r="PR145" s="164">
        <f>IF($OG145=2,3*$PK145&amp;" de vida temp.",IF($OG145=3,"sem dano",IF($PK145=0,IF($OG145=1,"sem cura","sem dano"),IF($OG145=1,"cura ","")&amp;$PK145&amp;"d8")))</f>
        <v/>
      </c>
      <c r="PS145" s="164">
        <f>IF($OG145=2,3*$PL145&amp;" de vida temp.",IF($OG145=3,"sem dano",IF($PL145=0,IF($OG145=1,"sem cura","sem dano"),IF($OG145=1,"cura ","")&amp;$PL145&amp;"d8")))</f>
        <v/>
      </c>
      <c r="PT145" s="164">
        <f>IF($ND145=0,"",TEXTJOIN(" · ",TRUE,IF($ND145=0,"",TEXTJOIN(" · ",TRUE,IF($ND145=0,"",TEXTJOIN(" · ",TRUE,IF($MQ145&gt;$NE145,"Este lugar abre no nível "&amp;$MQ145,""),IF($MS145&gt;$NF145,"Classe "&amp;$MS145&amp;": o nível "&amp;$NE145&amp;" libera até a "&amp;$NF145,""),IF($NX145=1,"A Forma "&amp;$MU145&amp;" pede "&amp;INDEX('DADOS_FORMAS'!$GA$2:$GA$21,$NJ145)&amp;" aberta",""),IF(AND($MS145=0,$NJ145&gt;0,IF($NJ145=0,0,INDEX('DADOS_FORMAS'!$GJ$2:$GJ$21,$NJ145))=0),$MU145&amp;" não existe na Classe 0",""),IF($NY145=1,"Família Fechada: "&amp;$MX145,""),IF($NZ145=1,"Família Fechada: "&amp;$MY145,""),IF($OA145=1,"Família Fechada: "&amp;$MZ145,""),IF($OB145=1,"Família Fechada: "&amp;$NA145,""),IF(AND($MS145&gt;0,$OU145&gt;INDEX($O$2:$O$8,MAX(1,$MS145))),$OU145&amp;" Melhorias: a Classe "&amp;$MS145&amp;" aceita "&amp;INDEX($O$2:$O$8,MAX(1,$MS145)),""),IF(AND($MS145=0,$OU145&gt;1),"A básica aceita uma Melhoria",""),IF(AND($MS145=0,COUNTIF($NO145:$NR145,"&gt;1")&gt;0),"A básica só aceita Melhoria Leve",""),IF(AND($MS145&gt;0,$OV145&gt;2),$OV145&amp;" Restrições"&amp;IF($OF145=1,", contando a que a Forma "&amp;$MU145&amp;" já traz","")&amp;": o limite é 2",""),IF(AND($MS145=0,COUNTIF($NB145:$NC145,"?*")&gt;1),"A básica aceita uma Restrição Leve",""),IF(AND($MS145=0,COUNTIF($OI145:$OJ145,2)&gt;0),"A básica só aceita Restrição Leve",""),IF(AND($MS145&gt;0,$PC145&lt;0),"Orçamento estourado: faltam "&amp;(-$PC145)&amp;IF($PC145&lt;-1," pontos"," ponto"),""),IF(IFERROR(VLOOKUP(SUBSTITUTE(SUBSTITUTE(SUBSTITUTE($NB145,"~","~~"),"*","~*"),"?","~?"),'DADOS_RESTRICOES'!$M$2:$Q$54,4,FALSE),0)+IFERROR(VLOOKUP(SUBSTITUTE(SUBSTITUTE(SUBSTITUTE($NC145,"~","~~"),"*","~*"),"?","~?"),'DADOS_RESTRICOES'!$M$2:$Q$54,4,FALSE),0)&gt;1,$OK145&amp;" e "&amp;$OL145&amp;" são as duas de frequência",""),IF(AND((COUNTIF($RK145:$RN145,"Rápido")+COUNTIF($OK145:$OL145,"Rápido"))&gt;0,(COUNTIF($MX145:$NA145,"Atrasar")+COUNTIF($OK145:$OL145,"Atrasar"))&gt;0),"Rápido não entra com Atrasar",""),IF(AND((COUNTIF($RK145:$RN145,"Reação")+COUNTIF($OK145:$OL145,"Reação"))&gt;0,(COUNTIF($RK145:$RN145,"Rápido")+COUNTIF($OK145:$OL145,"Rápido"))&gt;0),"Reação não entra com Rápido",""),IF(AND((COUNTIF($RK145:$RN145,"Reação")+COUNTIF($OK145:$OL145,"Reação"))&gt;0,(COUNTIF($RK145:$RN145,"Armado")+COUNTIF($OK145:$OL145,"Armado"))&gt;0),"Reação não entra com Armado",""),IF(AND((COUNTIF($RK145:$RN145,"Reação")+COUNTIF($OK145:$OL145,"Reação"))&gt;0,(COUNTIF($MX145:$NA145,"Atrasar")+COUNTIF($OK145:$OL145,"Atrasar"))&gt;0),"Reação não entra com Atrasar",""),IF(AND((COUNTIF($RK145:$RN145,"Reação")+COUNTIF($OK145:$OL145,"Reação"))&gt;0,(COUNTIF($MX145:$NA145,"Parado")+COUNTIF($OK145:$OL145,"Parado"))&gt;0),"Reação não entra com Parado",""),IF(AND((COUNTIF($MX145:$NA145,"Atrasar")+COUNTIF($OK145:$OL145,"Atrasar"))&gt;0,(COUNTIF($MX145:$NA145,"Parado")+COUNTIF($OK145:$OL145,"Parado"))&gt;0),"Atrasar não entra com Parado",""),IF(AND((COUNTIF($RK145:$RN145,"Armado")+COUNTIF($OK145:$OL145,"Armado"))&gt;0,(COUNTIF($MX145:$NA145,"Carregar")+COUNTIF($OK145:$OL145,"Carregar"))&gt;0),"Armado não entra com Carregar",""),IF(AND(COUNTIF($OK145:$OL145,"Corpo a Corpo")&gt;0,$OF145=0,OR($RO145="Cone",$RO145="Linha")),"Corpo a Corpo não entra em "&amp;$MU145,""),IF(AND(COUNTIF($OK145:$OL145,"Corpo a Corpo")&gt;0,$RP145="Corpo a Corpo"),"A Forma "&amp;$MU145&amp;" já traz o Corpo a Corpo",""),IF(AND(COUNTIF($OK145:$OL145,"Tudo ou Nada")&gt;0,$OH145=0),"Tudo ou Nada só entra em habilidade de Teste de Resistência",""),IF(AND(COUNTIF($RK145:$RN145,"Inescapável")&gt;0,OR($OU145&gt;1,$OV145&gt;0)),"Inescapável não aceita outra peça",""),IF(AND($MS145&gt;0,$PD145*IF(COUNTIF($RK145:$RN145,"Remate")&gt;0,1.25,1)+$PE145&gt;4*$MS145),($PD145*IF(COUNTIF($RK145:$RN145,"Remate")&gt;0,1.25,1)+$PE145)&amp;" dados somando repetições"&amp;IF(COUNTIF($RK145:$RN145,"Remate")&gt;0," e o Remate","")&amp;": o teto da Classe "&amp;$MS145&amp;" é "&amp;4*$MS145,""))),IF(AND($MX145&lt;&gt;"",COUNTIF('DADOS_MELHORIAS'!$O$2:$O$113,SUBSTITUTE(SUBSTITUTE(SUBSTITUTE($MX145,"~","~~"),"*","~*"),"?","~?"))=0),"Melhoria não cadastrada ou com erro: "&amp;$MX145,""),IF(AND($MY145&lt;&gt;"",COUNTIF('DADOS_MELHORIAS'!$O$2:$O$113,SUBSTITUTE(SUBSTITUTE(SUBSTITUTE($MY145,"~","~~"),"*","~*"),"?","~?"))=0),"Melhoria não cadastrada ou com erro: "&amp;$MY145,""),IF(AND($MZ145&lt;&gt;"",COUNTIF('DADOS_MELHORIAS'!$O$2:$O$113,SUBSTITUTE(SUBSTITUTE(SUBSTITUTE($MZ145,"~","~~"),"*","~*"),"?","~?"))=0),"Melhoria não cadastrada ou com erro: "&amp;$MZ145,""),IF(AND($NA145&lt;&gt;"",COUNTIF('DADOS_MELHORIAS'!$O$2:$O$113,SUBSTITUTE(SUBSTITUTE(SUBSTITUTE($NA145,"~","~~"),"*","~*"),"?","~?"))=0),"Melhoria não cadastrada ou com erro: "&amp;$NA145,""),IF(AND($NB145&lt;&gt;"",COUNTIF('DADOS_RESTRICOES'!$M$2:$M$54,SUBSTITUTE(SUBSTITUTE(SUBSTITUTE($NB145,"~","~~"),"*","~*"),"?","~?"))=0),"Restrição não cadastrada ou com erro: "&amp;$NB145,""),IF(AND($NC145&lt;&gt;"",COUNTIF('DADOS_RESTRICOES'!$M$2:$M$54,SUBSTITUTE(SUBSTITUTE(SUBSTITUTE($NC145,"~","~~"),"*","~*"),"?","~?"))=0),"Restrição não cadastrada ou com erro: "&amp;$NC145,""))),IF(AND($MU145&lt;&gt;"",COUNTIF('DADOS_FORMAS'!$AH$2:$AH$21,SUBSTITUTE(SUBSTITUTE(SUBSTITUTE($MU145,"~","~~"),"*","~*"),"?","~?"))=0),"Forma não cadastrada ou com erro: "&amp;$MU145,""),IF(AND(IFERROR(INDEX('DADOS_FORMAS'!$AS$2:$AS$21,MATCH(SUBSTITUTE(SUBSTITUTE(SUBSTITUTE($MU145,"~","~~"),"*","~*"),"?","~?"),'DADOS_FORMAS'!$AH$2:$AH$21,0)),"")&lt;&gt;"",OR(IFERROR(VLOOKUP(SUBSTITUTE(SUBSTITUTE(SUBSTITUTE(IFERROR(INDEX('DADOS_FORMAS'!$AS$2:$AS$21,MATCH(SUBSTITUTE(SUBSTITUTE(SUBSTITUTE($MU145,"~","~~"),"*","~*"),"?","~?"),'DADOS_FORMAS'!$AH$2:$AH$21,0)),""),"~","~~"),"*","~*"),"?","~?"),'DADOS_RESTRICOES'!$M$2:$Q$54,2,FALSE),"")=$OK145,IFERROR(VLOOKUP(SUBSTITUTE(SUBSTITUTE(SUBSTITUTE(IFERROR(INDEX('DADOS_FORMAS'!$AS$2:$AS$21,MATCH(SUBSTITUTE(SUBSTITUTE(SUBSTITUTE($MU145,"~","~~"),"*","~*"),"?","~?"),'DADOS_FORMAS'!$AH$2:$AH$21,0)),""),"~","~~"),"*","~*"),"?","~?"),'DADOS_RESTRICOES'!$M$2:$Q$54,2,FALSE),"")=$OL145)),"Restrição repetida, contando a embutida",""),IF(IF(IFERROR(INDEX('DADOS_FORMAS'!$AS$2:$AS$21,MATCH(SUBSTITUTE(SUBSTITUTE(SUBSTITUTE($MU145,"~","~~"),"*","~*"),"?","~?"),'DADOS_FORMAS'!$AH$2:$AH$21,0)),"")="",0,IFERROR(N(VLOOKUP(SUBSTITUTE(SUBSTITUTE(SUBSTITUTE(IFERROR(INDEX('DADOS_FORMAS'!$AS$2:$AS$21,MATCH(SUBSTITUTE(SUBSTITUTE(SUBSTITUTE($MU145,"~","~~"),"*","~*"),"?","~?"),'DADOS_FORMAS'!$AH$2:$AH$21,0)),""),"~","~~"),"*","~*"),"?","~?"),'DADOS_RESTRICOES'!$M$2:$Q$54,4,FALSE)=1),0))+IF($NB145="",0,IFERROR(N(VLOOKUP(SUBSTITUTE(SUBSTITUTE(SUBSTITUTE($NB145,"~","~~"),"*","~*"),"?","~?"),'DADOS_RESTRICOES'!$M$2:$Q$54,4,FALSE)=1),0))+IF($NC145="",0,IFERROR(N(VLOOKUP(SUBSTITUTE(SUBSTITUTE(SUBSTITUTE($NC145,"~","~~"),"*","~*"),"?","~?"),'DADOS_RESTRICOES'!$M$2:$Q$54,4,FALSE)=1),0))&gt;1,"Duas Restrições de frequência, contando a embutida",""),IF(AND(IFERROR(VLOOKUP(SUBSTITUTE(SUBSTITUTE(SUBSTITUTE(IFERROR(INDEX('DADOS_FORMAS'!$AS$2:$AS$21,MATCH(SUBSTITUTE(SUBSTITUTE(SUBSTITUTE($MU145,"~","~~"),"*","~*"),"?","~?"),'DADOS_FORMAS'!$AH$2:$AH$21,0)),""),"~","~~"),"*","~*"),"?","~?"),'DADOS_RESTRICOES'!$M$2:$Q$54,2,FALSE),"")="Tudo ou Nada",$OH145=0),"Tudo ou Nada exige TR",""),IF(AND(IFERROR(VLOOKUP(SUBSTITUTE(SUBSTITUTE(SUBSTITUTE(IFERROR(INDEX('DADOS_FORMAS'!$AS$2:$AS$21,MATCH(SUBSTITUTE(SUBSTITUTE(SUBSTITUTE($MU145,"~","~~"),"*","~*"),"?","~?"),'DADOS_FORMAS'!$AH$2:$AH$21,0)),""),"~","~~"),"*","~*"),"?","~?"),'DADOS_RESTRICOES'!$M$2:$Q$54,2,FALSE),"")="Corpo a Corpo",OR($RO145="Cone",$RO145="Linha")),"Corpo a Corpo não entra em Cone/Linha","")))</f>
        <v/>
      </c>
      <c r="PU145" s="164">
        <f>IF($PT145="",0,(LEN($PT145)-LEN(SUBSTITUTE($PT145," · ","")))/3+1)</f>
        <v/>
      </c>
      <c r="PV145" s="164">
        <f>IF($ND145=0,"",TEXTJOIN(" · ",TRUE,IF($OX145&gt;2*$MS145,"A devolução parou no teto de "&amp;2*$MS145,""),IF($PA145&gt;0,"Devolução perdida: "&amp;$PA145&amp;IF($PA145&gt;1," pontos"," ponto")&amp;" sem Melhoria para pagar",""),IF(AND($OC145&gt;0,AND($MS145&gt;0,$OG145=0),$PD145=0),"Controle sem dano: uma rodada a mais e CD +2",""),IF(AND($OC145&gt;0,AND($MS145&gt;0,$OG145=0),$PD145&gt;0,$PD145&lt;=$MS145),"Controle com saldo até a Classe: uma rodada a mais",""),IF(AND($MS145&gt;0,$OE145&lt;&gt;""),"Efeito de "&amp;$OE145&amp;" pela Classe "&amp;MAX(1,$MS145-1),"")))</f>
        <v/>
      </c>
      <c r="PW145" s="164">
        <f>IF($PV145="",0,(LEN($PV145)-LEN(SUBSTITUTE($PV145," · ","")))/3+1)</f>
        <v/>
      </c>
      <c r="PX145" s="164">
        <f>IF($ND145=0,IF($OU145+COUNTIF($NB145:$NC145,"?*")&gt;0,"Dê um nome",""),IF($PU145&gt;0,"⚠ "&amp;$PU145&amp;IF($PU145&gt;1," erros"," erro"),IF($PW145&gt;0,"! "&amp;$PW145&amp;IF($PW145&gt;1," avisos"," aviso"),"Na regra")))</f>
        <v/>
      </c>
      <c r="PY145" s="164">
        <f>IF($ND145=0,"",IF($PU145+$PW145=0,"Dentro das regras que a ficha confere",$PT145&amp;IF(AND($PU145&gt;0,$PW145&gt;0)," · ","")&amp;$PV145))</f>
        <v/>
      </c>
      <c r="PZ145" s="164">
        <f>IF($MQ145&gt;$NE145,$MR145&amp;" · ABRE NO NÍVEL "&amp;$MQ145,$MR145)</f>
        <v/>
      </c>
      <c r="QA145" s="164">
        <f>IF($ND145=0,"",IF($MS145=0,"Sem PE",3*$MS145&amp;" PE"))</f>
        <v/>
      </c>
      <c r="QB145" s="164">
        <f>IF($ND145=0,"",IF($MS145=0,"A atuação básica dela",IF(COUNTIF($RQ145:$RS145,"Atrasar")&gt;0,"Sua Ação Completa",IF(COUNTIF($RK145:$RN145,"Rápido")&gt;0,"Sua Bônus",IF(COUNTIF($RK145:$RN145,"Reação")&gt;0,"Sua Reação","Sua Padrão")))&amp;" + a básica dela"&amp;IF(COUNTIF($RK145:$RN145,"Reação")&gt;0," e a coletiva","")&amp;IF(COUNTIF($RQ145:$RS145,"Carregar")&gt;0," · em dois turnos","")))</f>
        <v/>
      </c>
      <c r="QC145" s="164">
        <f>IF($MW145&lt;&gt;"",$MW145,IF($NJ145=0,"",INDEX('DADOS_FORMAS'!$GE$2:$GE$21,$NJ145)))</f>
        <v/>
      </c>
      <c r="QD145" s="164">
        <f>IF(OR($ND145=0,$NJ145=0),"",IF(COUNTIF($RK145:$RN145,"Inescapável")&gt;0,"Automático",IF($QC145="Ataque",IF($NH145="","Ataque","Ataque "&amp;IF(($NH145+2*IF(COUNTIF($RK145:$RN145,"Precisão")&gt;0,1,0))&gt;=0,"+","−")&amp;ABS(($NH145+2*IF(COUNTIF($RK145:$RN145,"Precisão")&gt;0,1,0))))&amp;IF($OD145&gt;0," · TR"&amp;IF($NI145="",""," CD "&amp;$NI145),""),IF(LEFT($QC145,2)="TR",$QC145&amp;IF($NI145="",""," · CD "&amp;$NI145)&amp;IF(COUNTIF($RK145:$RN145,"Certeiro")&gt;0," · metade",""),"Sem rolagem"))))</f>
        <v/>
      </c>
      <c r="QE145" s="164">
        <f>IF(OR($ND145=0,$NJ145=0),"",IF($MS145=0,IF(OR($OG145&gt;=1,$PD145=0),"Sem dano",$PD145&amp;"d6"&amp;IF($MV145="",""," "&amp;$MV145)),IF(OR($OG145&gt;=1,$PD145=0),UPPER(LEFT(INDEX($PM145:$PS145,1,MAX(1,$MS145)),1))&amp;MID(INDEX($PM145:$PS145,1,MAX(1,$MS145)),2,99),UPPER(LEFT(INDEX($PM145:$PS145,1,MAX(1,$MS145)),1))&amp;MID(INDEX($PM145:$PS145,1,MAX(1,$MS145)),2,99)&amp;IF($MV145="",""," "&amp;$MV145)&amp;IF($PE145&gt;0," · +"&amp;$PE145&amp;"d8",""))))</f>
        <v/>
      </c>
      <c r="QF145" s="164">
        <f>COUNTIF($RK145:$RN145,"Longe")+3*COUNTIF($RK145:$RN145,"Muito Longe")</f>
        <v/>
      </c>
      <c r="QG145" s="164">
        <f>COUNTIF($RK145:$RN145,"Maior")+3*COUNTIF($RK145:$RN145,"Muito Maior")</f>
        <v/>
      </c>
      <c r="QH145" s="164">
        <f>IF($NJ145=0,0,CHOOSE(1+INDEX('DADOS_FORMAS'!$GG$2:$GG$21,$NJ145),0,$QF145,$QG145,$QF145+$QG145))</f>
        <v/>
      </c>
      <c r="QI145" s="164">
        <f>IF($NJ145=0,0,CHOOSE(1+INDEX('DADOS_FORMAS'!$GH$2:$GH$21,$NJ145),0,$QF145,$QG145,$QF145+$QG145))</f>
        <v/>
      </c>
      <c r="QJ145" s="164">
        <f>IF(OR($ND145=0,$NJ145=0),"",INDEX('DADOS_FORMAS'!$HU$2:$HZ$81,($NJ145-1)*4+IF($MS145=0,1,IF($MS145&lt;=5,2,IF($MS145=6,3,4))),1+MIN(5,$QH145))&amp;INDEX('DADOS_FORMAS'!$IA$2:$IF$81,($NJ145-1)*4+IF($MS145=0,1,IF($MS145&lt;=5,2,IF($MS145=6,3,4))),1+MIN(5,$QI145))&amp;IF(INDEX('DADOS_FORMAS'!$GI$2:$GI$21,$NJ145)=1,IF(COUNTIF($RK145:$RN145,"Mais Um")&gt;0," · +"&amp;COUNTIF($RK145:$RN145,"Mais Um")&amp;IF(COUNTIF($RK145:$RN145,"Mais Um")&gt;1," alvos"," alvo"),"")&amp;IF(COUNTIF($RK145:$RN145,"Rajada")&gt;0,IF($MS145=0," · 1 tiro"," · "&amp;(MAX(1,$MS145-1)+1)&amp;" tiros"),""),""))</f>
        <v/>
      </c>
      <c r="QK145" s="164">
        <f>IF($ND145=0,"",IF($MS145=0,$NG145&amp;"d6"&amp;IF($OU145&gt;0," − 1 = "&amp;$PD145&amp;"d6"," da básica do nível "&amp;$NE145),$PB145&amp;" − "&amp;$OW145&amp;" + "&amp;$OZ145&amp;" = "&amp;$PC145&amp;" · teto "&amp;4*$MS145&amp;"d8"&amp;IF($OF145=1," · a Forma devolve "&amp;$MS145,"")&amp;IF($PA145&gt;0," · perde "&amp;$PA145,"")))</f>
        <v/>
      </c>
      <c r="QL145" s="164">
        <f>IF($ND145=0,"",IF($MS145=0,"A básica não amplia: os dados dela sobem com o nível",IF($MS145&gt;=$NF145,"Já está na maior Classe que o nível liberou",TEXTJOIN(" · ",TRUE,IF(AND(2&gt;$MS145,2&lt;=$NF145),"2 → "&amp;$PN145&amp;", 6 PE",""),IF(AND(3&gt;$MS145,3&lt;=$NF145),"3 → "&amp;$PO145&amp;", 9 PE",""),IF(AND(4&gt;$MS145,4&lt;=$NF145),"4 → "&amp;$PP145&amp;", 12 PE",""),IF(AND(5&gt;$MS145,5&lt;=$NF145),"5 → "&amp;$PQ145&amp;", 15 PE",""),IF(AND(6&gt;$MS145,6&lt;=$NF145),"6 → "&amp;$PR145&amp;", 18 PE",""),IF(AND(7&gt;$MS145,7&lt;=$NF145),"7 → "&amp;$PS145&amp;", 21 PE","")))))</f>
        <v/>
      </c>
      <c r="QM145" s="164">
        <f>IF(OR($ND145=0,$NO145=0),"",IF($MS145=0,"−1 dado","−"&amp;INDEX($I$2:$N$8,MAX(1,$MS145),MAX(1,$NT145))&amp;" · "&amp;CHOOSE(MAX(1,$NT145),"Leve","Média","Pesada","Leve · Livre","Média · Livre","Pesada · Livre")))</f>
        <v/>
      </c>
      <c r="QN145" s="164">
        <f>IF(OR($ND145=0,$NP145=0),"",IF($MS145=0,"−1 dado","−"&amp;INDEX($I$2:$N$8,MAX(1,$MS145),MAX(1,$NU145))&amp;" · "&amp;CHOOSE(MAX(1,$NU145),"Leve","Média","Pesada","Leve · Livre","Média · Livre","Pesada · Livre")))</f>
        <v/>
      </c>
      <c r="QO145" s="164">
        <f>IF(OR($ND145=0,$NQ145=0),"",IF($MS145=0,"−1 dado","−"&amp;INDEX($I$2:$N$8,MAX(1,$MS145),MAX(1,$NV145))&amp;" · "&amp;CHOOSE(MAX(1,$NV145),"Leve","Média","Pesada","Leve · Livre","Média · Livre","Pesada · Livre")))</f>
        <v/>
      </c>
      <c r="QP145" s="164">
        <f>IF(OR($ND145=0,$NR145=0),"",IF($MS145=0,"−1 dado","−"&amp;INDEX($I$2:$N$8,MAX(1,$MS145),MAX(1,$NW145))&amp;" · "&amp;CHOOSE(MAX(1,$NW145),"Leve","Média","Pesada","Leve · Livre","Média · Livre","Pesada · Livre")))</f>
        <v/>
      </c>
      <c r="QQ145" s="164">
        <f>IF(OR($ND145=0,$NB145=""),"",IF($MS145=0,"não devolve","+"&amp;IF($OI145=1,CEILING($MS145/2,1),$MS145)))</f>
        <v/>
      </c>
      <c r="QR145" s="164">
        <f>IF(OR($ND145=0,$NC145=""),"",IF($MS145=0,"não devolve","+"&amp;IF($OJ145=1,CEILING($MS145/2,1),$MS145)))</f>
        <v/>
      </c>
      <c r="RK145">
        <f>IF($MX145="","",IFERROR(VLOOKUP(SUBSTITUTE(SUBSTITUTE(SUBSTITUTE($MX145,"~","~~"),"*","~*"),"?","~?"),'DADOS_MELHORIAS'!$O$2:$X$113,10,FALSE),$MX145))</f>
        <v/>
      </c>
      <c r="RL145">
        <f>IF($MY145="","",IFERROR(VLOOKUP(SUBSTITUTE(SUBSTITUTE(SUBSTITUTE($MY145,"~","~~"),"*","~*"),"?","~?"),'DADOS_MELHORIAS'!$O$2:$X$113,10,FALSE),$MY145))</f>
        <v/>
      </c>
      <c r="RM145">
        <f>IF($MZ145="","",IFERROR(VLOOKUP(SUBSTITUTE(SUBSTITUTE(SUBSTITUTE($MZ145,"~","~~"),"*","~*"),"?","~?"),'DADOS_MELHORIAS'!$O$2:$X$113,10,FALSE),$MZ145))</f>
        <v/>
      </c>
      <c r="RN145">
        <f>IF($NA145="","",IFERROR(VLOOKUP(SUBSTITUTE(SUBSTITUTE(SUBSTITUTE($NA145,"~","~~"),"*","~*"),"?","~?"),'DADOS_MELHORIAS'!$O$2:$X$113,10,FALSE),$NA145))</f>
        <v/>
      </c>
      <c r="RO145">
        <f>IFERROR(INDEX('DADOS_FORMAS'!$BJ$2:$BJ$21,MATCH(SUBSTITUTE(SUBSTITUTE(SUBSTITUTE($MU145,"~","~~"),"*","~*"),"?","~?"),'DADOS_FORMAS'!$AH$2:$AH$21,0)),"")</f>
        <v/>
      </c>
      <c r="RP145">
        <f>IFERROR(VLOOKUP(SUBSTITUTE(SUBSTITUTE(SUBSTITUTE(IFERROR(INDEX('DADOS_FORMAS'!$AS$2:$AS$21,MATCH(SUBSTITUTE(SUBSTITUTE(SUBSTITUTE($MU145,"~","~~"),"*","~*"),"?","~?"),'DADOS_FORMAS'!$AH$2:$AH$21,0)),""),"~","~~"),"*","~*"),"?","~?"),'DADOS_RESTRICOES'!$M$2:$Q$54,2,FALSE),"")</f>
        <v/>
      </c>
      <c r="RQ145">
        <f>$OK145</f>
        <v/>
      </c>
      <c r="RR145">
        <f>$OL145</f>
        <v/>
      </c>
      <c r="RS145">
        <f>$RP145</f>
        <v/>
      </c>
    </row>
    <row r="146">
      <c r="MN146" s="162" t="inlineStr">
        <is>
          <t>Ficha 12 · Especial 1</t>
        </is>
      </c>
      <c r="MO146" s="164" t="n">
        <v>12</v>
      </c>
      <c r="MP146" s="164" t="n">
        <v>1</v>
      </c>
      <c r="MQ146" s="164" t="n">
        <v>1</v>
      </c>
      <c r="MR146" s="162" t="inlineStr">
        <is>
          <t>ESPECIAL 1</t>
        </is>
      </c>
      <c r="MS146" s="164">
        <f>MAX(1,MIN(7,N('INVOCAÇÕES'!$AH$1126)))</f>
        <v/>
      </c>
      <c r="MT146" s="164">
        <f>'INVOCAÇÕES'!$AI$1126&amp;""</f>
        <v/>
      </c>
      <c r="MU146" s="164">
        <f>'INVOCAÇÕES'!$AH$1131&amp;""</f>
        <v/>
      </c>
      <c r="MV146" s="164">
        <f>'INVOCAÇÕES'!$AH$1132&amp;""</f>
        <v/>
      </c>
      <c r="MW146" s="164">
        <f>'INVOCAÇÕES'!$AJ$1132&amp;""</f>
        <v/>
      </c>
      <c r="MX146" s="164">
        <f>'INVOCAÇÕES'!$AI$1135&amp;""</f>
        <v/>
      </c>
      <c r="MY146" s="164">
        <f>'INVOCAÇÕES'!$AI$1136&amp;""</f>
        <v/>
      </c>
      <c r="MZ146" s="164">
        <f>'INVOCAÇÕES'!$AI$1137&amp;""</f>
        <v/>
      </c>
      <c r="NA146" s="164">
        <f>'INVOCAÇÕES'!$AI$1138&amp;""</f>
        <v/>
      </c>
      <c r="NB146" s="164">
        <f>'INVOCAÇÕES'!$AI$1139&amp;""</f>
        <v/>
      </c>
      <c r="NC146" s="164">
        <f>'INVOCAÇÕES'!$AI$1140&amp;""</f>
        <v/>
      </c>
      <c r="ND146" s="164">
        <f>IF($MT146&lt;&gt;"",1,0)</f>
        <v/>
      </c>
      <c r="NE146" s="164">
        <f>INDEX($FO$2:$FO$13,$MO146)</f>
        <v/>
      </c>
      <c r="NF146" s="164">
        <f>INDEX($FP$2:$FP$13,$MO146)</f>
        <v/>
      </c>
      <c r="NG146" s="164">
        <f>INDEX($FQ$2:$FQ$13,$MO146)</f>
        <v/>
      </c>
      <c r="NH146" s="164">
        <f>INDEX($GB$2:$GB$13,$MO146)</f>
        <v/>
      </c>
      <c r="NI146" s="164">
        <f>INDEX($GC$2:$GC$13,$MO146)</f>
        <v/>
      </c>
      <c r="NJ146" s="164">
        <f>IFERROR(MATCH(SUBSTITUTE(SUBSTITUTE(SUBSTITUTE($MU146,"~","~~"),"*","~*"),"?","~?"),'DADOS_FORMAS'!$FZ$2:$FZ$21,0),0)</f>
        <v/>
      </c>
      <c r="NK146" s="164">
        <f>IFERROR(VLOOKUP(SUBSTITUTE(SUBSTITUTE(SUBSTITUTE($MX146,"~","~~"),"*","~*"),"?","~?"),'DADOS_MELHORIAS'!$AG$2:$AL$113,2,FALSE),"")</f>
        <v/>
      </c>
      <c r="NL146" s="164">
        <f>IFERROR(VLOOKUP(SUBSTITUTE(SUBSTITUTE(SUBSTITUTE($MY146,"~","~~"),"*","~*"),"?","~?"),'DADOS_MELHORIAS'!$AG$2:$AL$113,2,FALSE),"")</f>
        <v/>
      </c>
      <c r="NM146" s="164">
        <f>IFERROR(VLOOKUP(SUBSTITUTE(SUBSTITUTE(SUBSTITUTE($MZ146,"~","~~"),"*","~*"),"?","~?"),'DADOS_MELHORIAS'!$AG$2:$AL$113,2,FALSE),"")</f>
        <v/>
      </c>
      <c r="NN146" s="164">
        <f>IFERROR(VLOOKUP(SUBSTITUTE(SUBSTITUTE(SUBSTITUTE($NA146,"~","~~"),"*","~*"),"?","~?"),'DADOS_MELHORIAS'!$AG$2:$AL$113,2,FALSE),"")</f>
        <v/>
      </c>
      <c r="NO146" s="164">
        <f>IFERROR(VLOOKUP(SUBSTITUTE(SUBSTITUTE(SUBSTITUTE($MX146,"~","~~"),"*","~*"),"?","~?"),'DADOS_MELHORIAS'!$AG$2:$AL$113,3,FALSE),0)</f>
        <v/>
      </c>
      <c r="NP146" s="164">
        <f>IFERROR(VLOOKUP(SUBSTITUTE(SUBSTITUTE(SUBSTITUTE($MY146,"~","~~"),"*","~*"),"?","~?"),'DADOS_MELHORIAS'!$AG$2:$AL$113,3,FALSE),0)</f>
        <v/>
      </c>
      <c r="NQ146" s="164">
        <f>IFERROR(VLOOKUP(SUBSTITUTE(SUBSTITUTE(SUBSTITUTE($MZ146,"~","~~"),"*","~*"),"?","~?"),'DADOS_MELHORIAS'!$AG$2:$AL$113,3,FALSE),0)</f>
        <v/>
      </c>
      <c r="NR146" s="164">
        <f>IFERROR(VLOOKUP(SUBSTITUTE(SUBSTITUTE(SUBSTITUTE($NA146,"~","~~"),"*","~*"),"?","~?"),'DADOS_MELHORIAS'!$AG$2:$AL$113,3,FALSE),0)</f>
        <v/>
      </c>
      <c r="NS146" s="164">
        <f>IF($MS146=0,0,IF($NJ146=0,0,INDEX('DADOS_FORMAS'!$GB$2:$GB$21,$NJ146)))</f>
        <v/>
      </c>
      <c r="NT146" s="164">
        <f>IF(OR($NO146=0,$MS146=0),0,$NO146+3*IF(AND($NK146&lt;&gt;"",COUNTIF(INDEX($RB$2:$RJ$13,$MO146,0),$NK146)&gt;0),1,0))</f>
        <v/>
      </c>
      <c r="NU146" s="164">
        <f>IF(OR($NP146=0,$MS146=0),0,$NP146+3*IF(AND($NL146&lt;&gt;"",COUNTIF(INDEX($RB$2:$RJ$13,$MO146,0),$NL146)&gt;0),1,0))</f>
        <v/>
      </c>
      <c r="NV146" s="164">
        <f>IF(OR($NQ146=0,$MS146=0),0,$NQ146+3*IF(AND($NM146&lt;&gt;"",COUNTIF(INDEX($RB$2:$RJ$13,$MO146,0),$NM146)&gt;0),1,0))</f>
        <v/>
      </c>
      <c r="NW146" s="164">
        <f>IF(OR($NR146=0,$MS146=0),0,$NR146+3*IF(AND($NN146&lt;&gt;"",COUNTIF(INDEX($RB$2:$RJ$13,$MO146,0),$NN146)&gt;0),1,0))</f>
        <v/>
      </c>
      <c r="NX146" s="164">
        <f>IF($NJ146=0,0,IF(INDEX('DADOS_FORMAS'!$GA$2:$GA$21,$NJ146)="",0,IF((COUNTIF(INDEX($EL$2:$EP$13,$MO146,0),INDEX('DADOS_FORMAS'!$GA$2:$GA$21,$NJ146))+COUNTIF(INDEX($QV$2:$QY$13,$MO146,0),INDEX('DADOS_FORMAS'!$GA$2:$GA$21,$NJ146)))=0,1,0)))</f>
        <v/>
      </c>
      <c r="NY146" s="164">
        <f>IF(OR($NO146=0,$NK146=""),0,IF((COUNTIF(INDEX($EL$2:$EP$13,$MO146,0),$NK146)+COUNTIF(INDEX($QV$2:$QY$13,$MO146,0),$NK146))=0,1,0))</f>
        <v/>
      </c>
      <c r="NZ146" s="164">
        <f>IF(OR($NP146=0,$NL146=""),0,IF((COUNTIF(INDEX($EL$2:$EP$13,$MO146,0),$NL146)+COUNTIF(INDEX($QV$2:$QY$13,$MO146,0),$NL146))=0,1,0))</f>
        <v/>
      </c>
      <c r="OA146" s="164">
        <f>IF(OR($NQ146=0,$NM146=""),0,IF((COUNTIF(INDEX($EL$2:$EP$13,$MO146,0),$NM146)+COUNTIF(INDEX($QV$2:$QY$13,$MO146,0),$NM146))=0,1,0))</f>
        <v/>
      </c>
      <c r="OB146" s="164">
        <f>IF(OR($NR146=0,$NN146=""),0,IF((COUNTIF(INDEX($EL$2:$EP$13,$MO146,0),$NN146)+COUNTIF(INDEX($QV$2:$QY$13,$MO146,0),$NN146))=0,1,0))</f>
        <v/>
      </c>
      <c r="OC146" s="164">
        <f>IFERROR(VLOOKUP(SUBSTITUTE(SUBSTITUTE(SUBSTITUTE($MX146,"~","~~"),"*","~*"),"?","~?"),'DADOS_MELHORIAS'!$AG$2:$AL$113,4,FALSE),0)+IFERROR(VLOOKUP(SUBSTITUTE(SUBSTITUTE(SUBSTITUTE($MY146,"~","~~"),"*","~*"),"?","~?"),'DADOS_MELHORIAS'!$AG$2:$AL$113,4,FALSE),0)+IFERROR(VLOOKUP(SUBSTITUTE(SUBSTITUTE(SUBSTITUTE($MZ146,"~","~~"),"*","~*"),"?","~?"),'DADOS_MELHORIAS'!$AG$2:$AL$113,4,FALSE),0)+IFERROR(VLOOKUP(SUBSTITUTE(SUBSTITUTE(SUBSTITUTE($NA146,"~","~~"),"*","~*"),"?","~?"),'DADOS_MELHORIAS'!$AG$2:$AL$113,4,FALSE),0)</f>
        <v/>
      </c>
      <c r="OD146" s="164">
        <f>IFERROR(VLOOKUP(SUBSTITUTE(SUBSTITUTE(SUBSTITUTE($MX146,"~","~~"),"*","~*"),"?","~?"),'DADOS_MELHORIAS'!$AG$2:$AL$113,6,FALSE),0)+IFERROR(VLOOKUP(SUBSTITUTE(SUBSTITUTE(SUBSTITUTE($MY146,"~","~~"),"*","~*"),"?","~?"),'DADOS_MELHORIAS'!$AG$2:$AL$113,6,FALSE),0)+IFERROR(VLOOKUP(SUBSTITUTE(SUBSTITUTE(SUBSTITUTE($MZ146,"~","~~"),"*","~*"),"?","~?"),'DADOS_MELHORIAS'!$AG$2:$AL$113,6,FALSE),0)+IFERROR(VLOOKUP(SUBSTITUTE(SUBSTITUTE(SUBSTITUTE($NA146,"~","~~"),"*","~*"),"?","~?"),'DADOS_MELHORIAS'!$AG$2:$AL$113,6,FALSE),0)+IFERROR(N(AND(INDEX('DADOS_FORMAS'!$AO$2:$AO$21,MATCH(SUBSTITUTE(SUBSTITUTE(SUBSTITUTE($MU146,"~","~~"),"*","~*"),"?","~?"),'DADOS_FORMAS'!$AH$2:$AH$21,0))="Acerto",$OH146=1)),0)</f>
        <v/>
      </c>
      <c r="OE146" s="164">
        <f>TEXTJOIN(", ",TRUE,IF(IFERROR(VLOOKUP(SUBSTITUTE(SUBSTITUTE(SUBSTITUTE($MX146,"~","~~"),"*","~*"),"?","~?"),'DADOS_MELHORIAS'!$AG$2:$AL$113,5,FALSE),0)=1,$MX146,""),IF(IFERROR(VLOOKUP(SUBSTITUTE(SUBSTITUTE(SUBSTITUTE($MY146,"~","~~"),"*","~*"),"?","~?"),'DADOS_MELHORIAS'!$AG$2:$AL$113,5,FALSE),0)=1,$MY146,""),IF(IFERROR(VLOOKUP(SUBSTITUTE(SUBSTITUTE(SUBSTITUTE($MZ146,"~","~~"),"*","~*"),"?","~?"),'DADOS_MELHORIAS'!$AG$2:$AL$113,5,FALSE),0)=1,$MZ146,""),IF(IFERROR(VLOOKUP(SUBSTITUTE(SUBSTITUTE(SUBSTITUTE($NA146,"~","~~"),"*","~*"),"?","~?"),'DADOS_MELHORIAS'!$AG$2:$AL$113,5,FALSE),0)=1,$NA146,""))</f>
        <v/>
      </c>
      <c r="OF146" s="164">
        <f>IF($NJ146=0,0,INDEX('DADOS_FORMAS'!$GC$2:$GC$21,$NJ146))</f>
        <v/>
      </c>
      <c r="OG146" s="164">
        <f>IF($NJ146=0,0,INDEX('DADOS_FORMAS'!$GD$2:$GD$21,$NJ146))</f>
        <v/>
      </c>
      <c r="OH146" s="164">
        <f>IF($NJ146=0,0,INDEX('DADOS_FORMAS'!$GF$2:$GF$21,$NJ146))</f>
        <v/>
      </c>
      <c r="OI146" s="164">
        <f>IFERROR(VLOOKUP(SUBSTITUTE(SUBSTITUTE(SUBSTITUTE($NB146,"~","~~"),"*","~*"),"?","~?"),'DADOS_RESTRICOES'!$M$2:$Q$54,3,FALSE),0)</f>
        <v/>
      </c>
      <c r="OJ146" s="164">
        <f>IFERROR(VLOOKUP(SUBSTITUTE(SUBSTITUTE(SUBSTITUTE($NC146,"~","~~"),"*","~*"),"?","~?"),'DADOS_RESTRICOES'!$M$2:$Q$54,3,FALSE),0)</f>
        <v/>
      </c>
      <c r="OK146" s="164">
        <f>IFERROR(VLOOKUP(SUBSTITUTE(SUBSTITUTE(SUBSTITUTE($NB146,"~","~~"),"*","~*"),"?","~?"),'DADOS_RESTRICOES'!$M$2:$Q$54,2,FALSE),"")</f>
        <v/>
      </c>
      <c r="OL146" s="164">
        <f>IFERROR(VLOOKUP(SUBSTITUTE(SUBSTITUTE(SUBSTITUTE($NC146,"~","~~"),"*","~*"),"?","~?"),'DADOS_RESTRICOES'!$M$2:$Q$54,2,FALSE),"")</f>
        <v/>
      </c>
      <c r="OM146" s="164">
        <f>COUNTIF($NS146:$NW146,1)</f>
        <v/>
      </c>
      <c r="ON146" s="164">
        <f>COUNTIF($NS146:$NW146,2)</f>
        <v/>
      </c>
      <c r="OO146" s="164">
        <f>COUNTIF($NS146:$NW146,3)</f>
        <v/>
      </c>
      <c r="OP146" s="164">
        <f>COUNTIF($NS146:$NW146,4)</f>
        <v/>
      </c>
      <c r="OQ146" s="164">
        <f>COUNTIF($NS146:$NW146,5)</f>
        <v/>
      </c>
      <c r="OR146" s="164">
        <f>COUNTIF($NS146:$NW146,6)</f>
        <v/>
      </c>
      <c r="OS146" s="164">
        <f>COUNTIF($OI146:$OJ146,1)+IF(IFERROR(INDEX('DADOS_FORMAS'!$AS$2:$AS$21,MATCH(SUBSTITUTE(SUBSTITUTE(SUBSTITUTE($MU146,"~","~~"),"*","~*"),"?","~?"),'DADOS_FORMAS'!$AH$2:$AH$21,0)),"")="",0,IFERROR(N(VLOOKUP(SUBSTITUTE(SUBSTITUTE(SUBSTITUTE(IFERROR(INDEX('DADOS_FORMAS'!$AS$2:$AS$21,MATCH(SUBSTITUTE(SUBSTITUTE(SUBSTITUTE($MU146,"~","~~"),"*","~*"),"?","~?"),'DADOS_FORMAS'!$AH$2:$AH$21,0)),""),"~","~~"),"*","~*"),"?","~?"),'DADOS_RESTRICOES'!$M$2:$Q$54,3,FALSE)=1),0))</f>
        <v/>
      </c>
      <c r="OT146" s="164">
        <f>COUNTIF($OI146:$OJ146,2)+IF(IFERROR(INDEX('DADOS_FORMAS'!$AS$2:$AS$21,MATCH(SUBSTITUTE(SUBSTITUTE(SUBSTITUTE($MU146,"~","~~"),"*","~*"),"?","~?"),'DADOS_FORMAS'!$AH$2:$AH$21,0)),"")="",0,IFERROR(N(VLOOKUP(SUBSTITUTE(SUBSTITUTE(SUBSTITUTE(IFERROR(INDEX('DADOS_FORMAS'!$AS$2:$AS$21,MATCH(SUBSTITUTE(SUBSTITUTE(SUBSTITUTE($MU146,"~","~~"),"*","~*"),"?","~?"),'DADOS_FORMAS'!$AH$2:$AH$21,0)),""),"~","~~"),"*","~*"),"?","~?"),'DADOS_RESTRICOES'!$M$2:$Q$54,3,FALSE)=2),0))</f>
        <v/>
      </c>
      <c r="OU146" s="164">
        <f>COUNTIF($MX146:$NA146,"?*")</f>
        <v/>
      </c>
      <c r="OV146" s="164">
        <f>COUNTIF($NB146:$NC146,"?*")+$OF146</f>
        <v/>
      </c>
      <c r="OW146" s="164">
        <f>IF($MS146=0,0,SUMPRODUCT($OM146:$OR146,INDEX($I$2:$N$8,MAX(1,$MS146),0)))</f>
        <v/>
      </c>
      <c r="OX146" s="164">
        <f>IF($MS146=0,0,$OS146*CEILING($MS146/2,1)+$OT146*$MS146)</f>
        <v/>
      </c>
      <c r="OY146" s="164">
        <f>MIN(2*$MS146,$OX146)</f>
        <v/>
      </c>
      <c r="OZ146" s="164">
        <f>MIN($OY146,$OW146-IF($NS146=0,0,INDEX($I$2:$N$8,MAX(1,$MS146),$NS146)))</f>
        <v/>
      </c>
      <c r="PA146" s="164">
        <f>$OY146-$OZ146</f>
        <v/>
      </c>
      <c r="PB146" s="164">
        <f>IF($MS146=0,0,INDEX($P$2:$P$8,MAX(1,$MS146)))</f>
        <v/>
      </c>
      <c r="PC146" s="164">
        <f>$PB146-$OW146+$OZ146</f>
        <v/>
      </c>
      <c r="PD146" s="164">
        <f>IF($MS146=0,MAX(0,$NG146-IF(AND($OU146&gt;0,COUNTIF($NB146:$NC146,"?*")=0),1,0)),MAX(0,$PC146))</f>
        <v/>
      </c>
      <c r="PE146" s="164">
        <f>IF($MS146=0,0,(IF(COUNTIF($RK146:$RN146,"Salto")&gt;0,1,0)+IF(COUNTIF($RK146:$RN146,"Queima")&gt;0,1,0)+IF(COUNTIF($RK146:$RN146,"Estilhaço")&gt;0,1,0))*FLOOR($PD146/2,1))</f>
        <v/>
      </c>
      <c r="PF146" s="164">
        <f>MAX(0,2-SUMPRODUCT($OM146:$OR146,$I$2:$N$2)+MIN(2,$OS146*1+$OT146*1,SUMPRODUCT($OM146:$OR146,$I$2:$N$2)-IF($NS146=0,0,INDEX($I$2:$N$2,1,$NS146))))</f>
        <v/>
      </c>
      <c r="PG146" s="164">
        <f>MAX(0,4-SUMPRODUCT($OM146:$OR146,$I$3:$N$3)+MIN(4,$OS146*1+$OT146*2,SUMPRODUCT($OM146:$OR146,$I$3:$N$3)-IF($NS146=0,0,INDEX($I$3:$N$3,1,$NS146))))</f>
        <v/>
      </c>
      <c r="PH146" s="164">
        <f>MAX(0,6-SUMPRODUCT($OM146:$OR146,$I$4:$N$4)+MIN(6,$OS146*2+$OT146*3,SUMPRODUCT($OM146:$OR146,$I$4:$N$4)-IF($NS146=0,0,INDEX($I$4:$N$4,1,$NS146))))</f>
        <v/>
      </c>
      <c r="PI146" s="164">
        <f>MAX(0,9-SUMPRODUCT($OM146:$OR146,$I$5:$N$5)+MIN(8,$OS146*2+$OT146*4,SUMPRODUCT($OM146:$OR146,$I$5:$N$5)-IF($NS146=0,0,INDEX($I$5:$N$5,1,$NS146))))</f>
        <v/>
      </c>
      <c r="PJ146" s="164">
        <f>MAX(0,11-SUMPRODUCT($OM146:$OR146,$I$6:$N$6)+MIN(10,$OS146*3+$OT146*5,SUMPRODUCT($OM146:$OR146,$I$6:$N$6)-IF($NS146=0,0,INDEX($I$6:$N$6,1,$NS146))))</f>
        <v/>
      </c>
      <c r="PK146" s="164">
        <f>MAX(0,13-SUMPRODUCT($OM146:$OR146,$I$7:$N$7)+MIN(12,$OS146*3+$OT146*6,SUMPRODUCT($OM146:$OR146,$I$7:$N$7)-IF($NS146=0,0,INDEX($I$7:$N$7,1,$NS146))))</f>
        <v/>
      </c>
      <c r="PL146" s="164">
        <f>MAX(0,16-SUMPRODUCT($OM146:$OR146,$I$8:$N$8)+MIN(14,$OS146*4+$OT146*7,SUMPRODUCT($OM146:$OR146,$I$8:$N$8)-IF($NS146=0,0,INDEX($I$8:$N$8,1,$NS146))))</f>
        <v/>
      </c>
      <c r="PM146" s="164">
        <f>IF($OG146=2,3*$PF146&amp;" de vida temp.",IF($OG146=3,"sem dano",IF($PF146=0,IF($OG146=1,"sem cura","sem dano"),IF($OG146=1,"cura ","")&amp;$PF146&amp;"d8")))</f>
        <v/>
      </c>
      <c r="PN146" s="164">
        <f>IF($OG146=2,3*$PG146&amp;" de vida temp.",IF($OG146=3,"sem dano",IF($PG146=0,IF($OG146=1,"sem cura","sem dano"),IF($OG146=1,"cura ","")&amp;$PG146&amp;"d8")))</f>
        <v/>
      </c>
      <c r="PO146" s="164">
        <f>IF($OG146=2,3*$PH146&amp;" de vida temp.",IF($OG146=3,"sem dano",IF($PH146=0,IF($OG146=1,"sem cura","sem dano"),IF($OG146=1,"cura ","")&amp;$PH146&amp;"d8")))</f>
        <v/>
      </c>
      <c r="PP146" s="164">
        <f>IF($OG146=2,3*$PI146&amp;" de vida temp.",IF($OG146=3,"sem dano",IF($PI146=0,IF($OG146=1,"sem cura","sem dano"),IF($OG146=1,"cura ","")&amp;$PI146&amp;"d8")))</f>
        <v/>
      </c>
      <c r="PQ146" s="164">
        <f>IF($OG146=2,3*$PJ146&amp;" de vida temp.",IF($OG146=3,"sem dano",IF($PJ146=0,IF($OG146=1,"sem cura","sem dano"),IF($OG146=1,"cura ","")&amp;$PJ146&amp;"d8")))</f>
        <v/>
      </c>
      <c r="PR146" s="164">
        <f>IF($OG146=2,3*$PK146&amp;" de vida temp.",IF($OG146=3,"sem dano",IF($PK146=0,IF($OG146=1,"sem cura","sem dano"),IF($OG146=1,"cura ","")&amp;$PK146&amp;"d8")))</f>
        <v/>
      </c>
      <c r="PS146" s="164">
        <f>IF($OG146=2,3*$PL146&amp;" de vida temp.",IF($OG146=3,"sem dano",IF($PL146=0,IF($OG146=1,"sem cura","sem dano"),IF($OG146=1,"cura ","")&amp;$PL146&amp;"d8")))</f>
        <v/>
      </c>
      <c r="PT146" s="164">
        <f>IF($ND146=0,"",TEXTJOIN(" · ",TRUE,IF($ND146=0,"",TEXTJOIN(" · ",TRUE,IF($ND146=0,"",TEXTJOIN(" · ",TRUE,IF($MQ146&gt;$NE146,"Este lugar abre no nível "&amp;$MQ146,""),IF($MS146&gt;$NF146,"Classe "&amp;$MS146&amp;": o nível "&amp;$NE146&amp;" libera até a "&amp;$NF146,""),IF($NX146=1,"A Forma "&amp;$MU146&amp;" pede "&amp;INDEX('DADOS_FORMAS'!$GA$2:$GA$21,$NJ146)&amp;" aberta",""),IF(AND($MS146=0,$NJ146&gt;0,IF($NJ146=0,0,INDEX('DADOS_FORMAS'!$GJ$2:$GJ$21,$NJ146))=0),$MU146&amp;" não existe na Classe 0",""),IF($NY146=1,"Família Fechada: "&amp;$MX146,""),IF($NZ146=1,"Família Fechada: "&amp;$MY146,""),IF($OA146=1,"Família Fechada: "&amp;$MZ146,""),IF($OB146=1,"Família Fechada: "&amp;$NA146,""),IF(AND($MS146&gt;0,$OU146&gt;INDEX($O$2:$O$8,MAX(1,$MS146))),$OU146&amp;" Melhorias: a Classe "&amp;$MS146&amp;" aceita "&amp;INDEX($O$2:$O$8,MAX(1,$MS146)),""),IF(AND($MS146=0,$OU146&gt;1),"A básica aceita uma Melhoria",""),IF(AND($MS146=0,COUNTIF($NO146:$NR146,"&gt;1")&gt;0),"A básica só aceita Melhoria Leve",""),IF(AND($MS146&gt;0,$OV146&gt;2),$OV146&amp;" Restrições"&amp;IF($OF146=1,", contando a que a Forma "&amp;$MU146&amp;" já traz","")&amp;": o limite é 2",""),IF(AND($MS146=0,COUNTIF($NB146:$NC146,"?*")&gt;1),"A básica aceita uma Restrição Leve",""),IF(AND($MS146=0,COUNTIF($OI146:$OJ146,2)&gt;0),"A básica só aceita Restrição Leve",""),IF(AND($MS146&gt;0,$PC146&lt;0),"Orçamento estourado: faltam "&amp;(-$PC146)&amp;IF($PC146&lt;-1," pontos"," ponto"),""),IF(IFERROR(VLOOKUP(SUBSTITUTE(SUBSTITUTE(SUBSTITUTE($NB146,"~","~~"),"*","~*"),"?","~?"),'DADOS_RESTRICOES'!$M$2:$Q$54,4,FALSE),0)+IFERROR(VLOOKUP(SUBSTITUTE(SUBSTITUTE(SUBSTITUTE($NC146,"~","~~"),"*","~*"),"?","~?"),'DADOS_RESTRICOES'!$M$2:$Q$54,4,FALSE),0)&gt;1,$OK146&amp;" e "&amp;$OL146&amp;" são as duas de frequência",""),IF(AND((COUNTIF($RK146:$RN146,"Rápido")+COUNTIF($OK146:$OL146,"Rápido"))&gt;0,(COUNTIF($MX146:$NA146,"Atrasar")+COUNTIF($OK146:$OL146,"Atrasar"))&gt;0),"Rápido não entra com Atrasar",""),IF(AND((COUNTIF($RK146:$RN146,"Reação")+COUNTIF($OK146:$OL146,"Reação"))&gt;0,(COUNTIF($RK146:$RN146,"Rápido")+COUNTIF($OK146:$OL146,"Rápido"))&gt;0),"Reação não entra com Rápido",""),IF(AND((COUNTIF($RK146:$RN146,"Reação")+COUNTIF($OK146:$OL146,"Reação"))&gt;0,(COUNTIF($RK146:$RN146,"Armado")+COUNTIF($OK146:$OL146,"Armado"))&gt;0),"Reação não entra com Armado",""),IF(AND((COUNTIF($RK146:$RN146,"Reação")+COUNTIF($OK146:$OL146,"Reação"))&gt;0,(COUNTIF($MX146:$NA146,"Atrasar")+COUNTIF($OK146:$OL146,"Atrasar"))&gt;0),"Reação não entra com Atrasar",""),IF(AND((COUNTIF($RK146:$RN146,"Reação")+COUNTIF($OK146:$OL146,"Reação"))&gt;0,(COUNTIF($MX146:$NA146,"Parado")+COUNTIF($OK146:$OL146,"Parado"))&gt;0),"Reação não entra com Parado",""),IF(AND((COUNTIF($MX146:$NA146,"Atrasar")+COUNTIF($OK146:$OL146,"Atrasar"))&gt;0,(COUNTIF($MX146:$NA146,"Parado")+COUNTIF($OK146:$OL146,"Parado"))&gt;0),"Atrasar não entra com Parado",""),IF(AND((COUNTIF($RK146:$RN146,"Armado")+COUNTIF($OK146:$OL146,"Armado"))&gt;0,(COUNTIF($MX146:$NA146,"Carregar")+COUNTIF($OK146:$OL146,"Carregar"))&gt;0),"Armado não entra com Carregar",""),IF(AND(COUNTIF($OK146:$OL146,"Corpo a Corpo")&gt;0,$OF146=0,OR($RO146="Cone",$RO146="Linha")),"Corpo a Corpo não entra em "&amp;$MU146,""),IF(AND(COUNTIF($OK146:$OL146,"Corpo a Corpo")&gt;0,$RP146="Corpo a Corpo"),"A Forma "&amp;$MU146&amp;" já traz o Corpo a Corpo",""),IF(AND(COUNTIF($OK146:$OL146,"Tudo ou Nada")&gt;0,$OH146=0),"Tudo ou Nada só entra em habilidade de Teste de Resistência",""),IF(AND(COUNTIF($RK146:$RN146,"Inescapável")&gt;0,OR($OU146&gt;1,$OV146&gt;0)),"Inescapável não aceita outra peça",""),IF(AND($MS146&gt;0,$PD146*IF(COUNTIF($RK146:$RN146,"Remate")&gt;0,1.25,1)+$PE146&gt;4*$MS146),($PD146*IF(COUNTIF($RK146:$RN146,"Remate")&gt;0,1.25,1)+$PE146)&amp;" dados somando repetições"&amp;IF(COUNTIF($RK146:$RN146,"Remate")&gt;0," e o Remate","")&amp;": o teto da Classe "&amp;$MS146&amp;" é "&amp;4*$MS146,""))),IF(AND($MX146&lt;&gt;"",COUNTIF('DADOS_MELHORIAS'!$O$2:$O$113,SUBSTITUTE(SUBSTITUTE(SUBSTITUTE($MX146,"~","~~"),"*","~*"),"?","~?"))=0),"Melhoria não cadastrada ou com erro: "&amp;$MX146,""),IF(AND($MY146&lt;&gt;"",COUNTIF('DADOS_MELHORIAS'!$O$2:$O$113,SUBSTITUTE(SUBSTITUTE(SUBSTITUTE($MY146,"~","~~"),"*","~*"),"?","~?"))=0),"Melhoria não cadastrada ou com erro: "&amp;$MY146,""),IF(AND($MZ146&lt;&gt;"",COUNTIF('DADOS_MELHORIAS'!$O$2:$O$113,SUBSTITUTE(SUBSTITUTE(SUBSTITUTE($MZ146,"~","~~"),"*","~*"),"?","~?"))=0),"Melhoria não cadastrada ou com erro: "&amp;$MZ146,""),IF(AND($NA146&lt;&gt;"",COUNTIF('DADOS_MELHORIAS'!$O$2:$O$113,SUBSTITUTE(SUBSTITUTE(SUBSTITUTE($NA146,"~","~~"),"*","~*"),"?","~?"))=0),"Melhoria não cadastrada ou com erro: "&amp;$NA146,""),IF(AND($NB146&lt;&gt;"",COUNTIF('DADOS_RESTRICOES'!$M$2:$M$54,SUBSTITUTE(SUBSTITUTE(SUBSTITUTE($NB146,"~","~~"),"*","~*"),"?","~?"))=0),"Restrição não cadastrada ou com erro: "&amp;$NB146,""),IF(AND($NC146&lt;&gt;"",COUNTIF('DADOS_RESTRICOES'!$M$2:$M$54,SUBSTITUTE(SUBSTITUTE(SUBSTITUTE($NC146,"~","~~"),"*","~*"),"?","~?"))=0),"Restrição não cadastrada ou com erro: "&amp;$NC146,""))),IF(AND($MU146&lt;&gt;"",COUNTIF('DADOS_FORMAS'!$AH$2:$AH$21,SUBSTITUTE(SUBSTITUTE(SUBSTITUTE($MU146,"~","~~"),"*","~*"),"?","~?"))=0),"Forma não cadastrada ou com erro: "&amp;$MU146,""),IF(AND(IFERROR(INDEX('DADOS_FORMAS'!$AS$2:$AS$21,MATCH(SUBSTITUTE(SUBSTITUTE(SUBSTITUTE($MU146,"~","~~"),"*","~*"),"?","~?"),'DADOS_FORMAS'!$AH$2:$AH$21,0)),"")&lt;&gt;"",OR(IFERROR(VLOOKUP(SUBSTITUTE(SUBSTITUTE(SUBSTITUTE(IFERROR(INDEX('DADOS_FORMAS'!$AS$2:$AS$21,MATCH(SUBSTITUTE(SUBSTITUTE(SUBSTITUTE($MU146,"~","~~"),"*","~*"),"?","~?"),'DADOS_FORMAS'!$AH$2:$AH$21,0)),""),"~","~~"),"*","~*"),"?","~?"),'DADOS_RESTRICOES'!$M$2:$Q$54,2,FALSE),"")=$OK146,IFERROR(VLOOKUP(SUBSTITUTE(SUBSTITUTE(SUBSTITUTE(IFERROR(INDEX('DADOS_FORMAS'!$AS$2:$AS$21,MATCH(SUBSTITUTE(SUBSTITUTE(SUBSTITUTE($MU146,"~","~~"),"*","~*"),"?","~?"),'DADOS_FORMAS'!$AH$2:$AH$21,0)),""),"~","~~"),"*","~*"),"?","~?"),'DADOS_RESTRICOES'!$M$2:$Q$54,2,FALSE),"")=$OL146)),"Restrição repetida, contando a embutida",""),IF(IF(IFERROR(INDEX('DADOS_FORMAS'!$AS$2:$AS$21,MATCH(SUBSTITUTE(SUBSTITUTE(SUBSTITUTE($MU146,"~","~~"),"*","~*"),"?","~?"),'DADOS_FORMAS'!$AH$2:$AH$21,0)),"")="",0,IFERROR(N(VLOOKUP(SUBSTITUTE(SUBSTITUTE(SUBSTITUTE(IFERROR(INDEX('DADOS_FORMAS'!$AS$2:$AS$21,MATCH(SUBSTITUTE(SUBSTITUTE(SUBSTITUTE($MU146,"~","~~"),"*","~*"),"?","~?"),'DADOS_FORMAS'!$AH$2:$AH$21,0)),""),"~","~~"),"*","~*"),"?","~?"),'DADOS_RESTRICOES'!$M$2:$Q$54,4,FALSE)=1),0))+IF($NB146="",0,IFERROR(N(VLOOKUP(SUBSTITUTE(SUBSTITUTE(SUBSTITUTE($NB146,"~","~~"),"*","~*"),"?","~?"),'DADOS_RESTRICOES'!$M$2:$Q$54,4,FALSE)=1),0))+IF($NC146="",0,IFERROR(N(VLOOKUP(SUBSTITUTE(SUBSTITUTE(SUBSTITUTE($NC146,"~","~~"),"*","~*"),"?","~?"),'DADOS_RESTRICOES'!$M$2:$Q$54,4,FALSE)=1),0))&gt;1,"Duas Restrições de frequência, contando a embutida",""),IF(AND(IFERROR(VLOOKUP(SUBSTITUTE(SUBSTITUTE(SUBSTITUTE(IFERROR(INDEX('DADOS_FORMAS'!$AS$2:$AS$21,MATCH(SUBSTITUTE(SUBSTITUTE(SUBSTITUTE($MU146,"~","~~"),"*","~*"),"?","~?"),'DADOS_FORMAS'!$AH$2:$AH$21,0)),""),"~","~~"),"*","~*"),"?","~?"),'DADOS_RESTRICOES'!$M$2:$Q$54,2,FALSE),"")="Tudo ou Nada",$OH146=0),"Tudo ou Nada exige TR",""),IF(AND(IFERROR(VLOOKUP(SUBSTITUTE(SUBSTITUTE(SUBSTITUTE(IFERROR(INDEX('DADOS_FORMAS'!$AS$2:$AS$21,MATCH(SUBSTITUTE(SUBSTITUTE(SUBSTITUTE($MU146,"~","~~"),"*","~*"),"?","~?"),'DADOS_FORMAS'!$AH$2:$AH$21,0)),""),"~","~~"),"*","~*"),"?","~?"),'DADOS_RESTRICOES'!$M$2:$Q$54,2,FALSE),"")="Corpo a Corpo",OR($RO146="Cone",$RO146="Linha")),"Corpo a Corpo não entra em Cone/Linha","")))</f>
        <v/>
      </c>
      <c r="PU146" s="164">
        <f>IF($PT146="",0,(LEN($PT146)-LEN(SUBSTITUTE($PT146," · ","")))/3+1)</f>
        <v/>
      </c>
      <c r="PV146" s="164">
        <f>IF($ND146=0,"",TEXTJOIN(" · ",TRUE,IF($OX146&gt;2*$MS146,"A devolução parou no teto de "&amp;2*$MS146,""),IF($PA146&gt;0,"Devolução perdida: "&amp;$PA146&amp;IF($PA146&gt;1," pontos"," ponto")&amp;" sem Melhoria para pagar",""),IF(AND($OC146&gt;0,AND($MS146&gt;0,$OG146=0),$PD146=0),"Controle sem dano: uma rodada a mais e CD +2",""),IF(AND($OC146&gt;0,AND($MS146&gt;0,$OG146=0),$PD146&gt;0,$PD146&lt;=$MS146),"Controle com saldo até a Classe: uma rodada a mais",""),IF(AND($MS146&gt;0,$OE146&lt;&gt;""),"Efeito de "&amp;$OE146&amp;" pela Classe "&amp;MAX(1,$MS146-1),"")))</f>
        <v/>
      </c>
      <c r="PW146" s="164">
        <f>IF($PV146="",0,(LEN($PV146)-LEN(SUBSTITUTE($PV146," · ","")))/3+1)</f>
        <v/>
      </c>
      <c r="PX146" s="164">
        <f>IF($ND146=0,IF($OU146+COUNTIF($NB146:$NC146,"?*")&gt;0,"Dê um nome",""),IF($PU146&gt;0,"⚠ "&amp;$PU146&amp;IF($PU146&gt;1," erros"," erro"),IF($PW146&gt;0,"! "&amp;$PW146&amp;IF($PW146&gt;1," avisos"," aviso"),"Na regra")))</f>
        <v/>
      </c>
      <c r="PY146" s="164">
        <f>IF($ND146=0,"",IF($PU146+$PW146=0,"Dentro das regras que a ficha confere",$PT146&amp;IF(AND($PU146&gt;0,$PW146&gt;0)," · ","")&amp;$PV146))</f>
        <v/>
      </c>
      <c r="PZ146" s="164">
        <f>IF($MQ146&gt;$NE146,$MR146&amp;" · ABRE NO NÍVEL "&amp;$MQ146,$MR146)</f>
        <v/>
      </c>
      <c r="QA146" s="164">
        <f>IF($ND146=0,"",IF($MS146=0,"Sem PE",3*$MS146&amp;" PE"))</f>
        <v/>
      </c>
      <c r="QB146" s="164">
        <f>IF($ND146=0,"",IF($MS146=0,"A atuação básica dela",IF(COUNTIF($RQ146:$RS146,"Atrasar")&gt;0,"Sua Ação Completa",IF(COUNTIF($RK146:$RN146,"Rápido")&gt;0,"Sua Bônus",IF(COUNTIF($RK146:$RN146,"Reação")&gt;0,"Sua Reação","Sua Padrão")))&amp;" + a básica dela"&amp;IF(COUNTIF($RK146:$RN146,"Reação")&gt;0," e a coletiva","")&amp;IF(COUNTIF($RQ146:$RS146,"Carregar")&gt;0," · em dois turnos","")))</f>
        <v/>
      </c>
      <c r="QC146" s="164">
        <f>IF($MW146&lt;&gt;"",$MW146,IF($NJ146=0,"",INDEX('DADOS_FORMAS'!$GE$2:$GE$21,$NJ146)))</f>
        <v/>
      </c>
      <c r="QD146" s="164">
        <f>IF(OR($ND146=0,$NJ146=0),"",IF(COUNTIF($RK146:$RN146,"Inescapável")&gt;0,"Automático",IF($QC146="Ataque",IF($NH146="","Ataque","Ataque "&amp;IF(($NH146+2*IF(COUNTIF($RK146:$RN146,"Precisão")&gt;0,1,0))&gt;=0,"+","−")&amp;ABS(($NH146+2*IF(COUNTIF($RK146:$RN146,"Precisão")&gt;0,1,0))))&amp;IF($OD146&gt;0," · TR"&amp;IF($NI146="",""," CD "&amp;$NI146),""),IF(LEFT($QC146,2)="TR",$QC146&amp;IF($NI146="",""," · CD "&amp;$NI146)&amp;IF(COUNTIF($RK146:$RN146,"Certeiro")&gt;0," · metade",""),"Sem rolagem"))))</f>
        <v/>
      </c>
      <c r="QE146" s="164">
        <f>IF(OR($ND146=0,$NJ146=0),"",IF($MS146=0,IF(OR($OG146&gt;=1,$PD146=0),"Sem dano",$PD146&amp;"d6"&amp;IF($MV146="",""," "&amp;$MV146)),IF(OR($OG146&gt;=1,$PD146=0),UPPER(LEFT(INDEX($PM146:$PS146,1,MAX(1,$MS146)),1))&amp;MID(INDEX($PM146:$PS146,1,MAX(1,$MS146)),2,99),UPPER(LEFT(INDEX($PM146:$PS146,1,MAX(1,$MS146)),1))&amp;MID(INDEX($PM146:$PS146,1,MAX(1,$MS146)),2,99)&amp;IF($MV146="",""," "&amp;$MV146)&amp;IF($PE146&gt;0," · +"&amp;$PE146&amp;"d8",""))))</f>
        <v/>
      </c>
      <c r="QF146" s="164">
        <f>COUNTIF($RK146:$RN146,"Longe")+3*COUNTIF($RK146:$RN146,"Muito Longe")</f>
        <v/>
      </c>
      <c r="QG146" s="164">
        <f>COUNTIF($RK146:$RN146,"Maior")+3*COUNTIF($RK146:$RN146,"Muito Maior")</f>
        <v/>
      </c>
      <c r="QH146" s="164">
        <f>IF($NJ146=0,0,CHOOSE(1+INDEX('DADOS_FORMAS'!$GG$2:$GG$21,$NJ146),0,$QF146,$QG146,$QF146+$QG146))</f>
        <v/>
      </c>
      <c r="QI146" s="164">
        <f>IF($NJ146=0,0,CHOOSE(1+INDEX('DADOS_FORMAS'!$GH$2:$GH$21,$NJ146),0,$QF146,$QG146,$QF146+$QG146))</f>
        <v/>
      </c>
      <c r="QJ146" s="164">
        <f>IF(OR($ND146=0,$NJ146=0),"",INDEX('DADOS_FORMAS'!$HU$2:$HZ$81,($NJ146-1)*4+IF($MS146=0,1,IF($MS146&lt;=5,2,IF($MS146=6,3,4))),1+MIN(5,$QH146))&amp;INDEX('DADOS_FORMAS'!$IA$2:$IF$81,($NJ146-1)*4+IF($MS146=0,1,IF($MS146&lt;=5,2,IF($MS146=6,3,4))),1+MIN(5,$QI146))&amp;IF(INDEX('DADOS_FORMAS'!$GI$2:$GI$21,$NJ146)=1,IF(COUNTIF($RK146:$RN146,"Mais Um")&gt;0," · +"&amp;COUNTIF($RK146:$RN146,"Mais Um")&amp;IF(COUNTIF($RK146:$RN146,"Mais Um")&gt;1," alvos"," alvo"),"")&amp;IF(COUNTIF($RK146:$RN146,"Rajada")&gt;0,IF($MS146=0," · 1 tiro"," · "&amp;(MAX(1,$MS146-1)+1)&amp;" tiros"),""),""))</f>
        <v/>
      </c>
      <c r="QK146" s="164">
        <f>IF($ND146=0,"",IF($MS146=0,$NG146&amp;"d6"&amp;IF($OU146&gt;0," − 1 = "&amp;$PD146&amp;"d6"," da básica do nível "&amp;$NE146),$PB146&amp;" − "&amp;$OW146&amp;" + "&amp;$OZ146&amp;" = "&amp;$PC146&amp;" · teto "&amp;4*$MS146&amp;"d8"&amp;IF($OF146=1," · a Forma devolve "&amp;$MS146,"")&amp;IF($PA146&gt;0," · perde "&amp;$PA146,"")))</f>
        <v/>
      </c>
      <c r="QL146" s="164">
        <f>IF($ND146=0,"",IF($MS146=0,"A básica não amplia: os dados dela sobem com o nível",IF($MS146&gt;=$NF146,"Já está na maior Classe que o nível liberou",TEXTJOIN(" · ",TRUE,IF(AND(2&gt;$MS146,2&lt;=$NF146),"2 → "&amp;$PN146&amp;", 6 PE",""),IF(AND(3&gt;$MS146,3&lt;=$NF146),"3 → "&amp;$PO146&amp;", 9 PE",""),IF(AND(4&gt;$MS146,4&lt;=$NF146),"4 → "&amp;$PP146&amp;", 12 PE",""),IF(AND(5&gt;$MS146,5&lt;=$NF146),"5 → "&amp;$PQ146&amp;", 15 PE",""),IF(AND(6&gt;$MS146,6&lt;=$NF146),"6 → "&amp;$PR146&amp;", 18 PE",""),IF(AND(7&gt;$MS146,7&lt;=$NF146),"7 → "&amp;$PS146&amp;", 21 PE","")))))</f>
        <v/>
      </c>
      <c r="QM146" s="164">
        <f>IF(OR($ND146=0,$NO146=0),"",IF($MS146=0,"−1 dado","−"&amp;INDEX($I$2:$N$8,MAX(1,$MS146),MAX(1,$NT146))&amp;" · "&amp;CHOOSE(MAX(1,$NT146),"Leve","Média","Pesada","Leve · Livre","Média · Livre","Pesada · Livre")))</f>
        <v/>
      </c>
      <c r="QN146" s="164">
        <f>IF(OR($ND146=0,$NP146=0),"",IF($MS146=0,"−1 dado","−"&amp;INDEX($I$2:$N$8,MAX(1,$MS146),MAX(1,$NU146))&amp;" · "&amp;CHOOSE(MAX(1,$NU146),"Leve","Média","Pesada","Leve · Livre","Média · Livre","Pesada · Livre")))</f>
        <v/>
      </c>
      <c r="QO146" s="164">
        <f>IF(OR($ND146=0,$NQ146=0),"",IF($MS146=0,"−1 dado","−"&amp;INDEX($I$2:$N$8,MAX(1,$MS146),MAX(1,$NV146))&amp;" · "&amp;CHOOSE(MAX(1,$NV146),"Leve","Média","Pesada","Leve · Livre","Média · Livre","Pesada · Livre")))</f>
        <v/>
      </c>
      <c r="QP146" s="164">
        <f>IF(OR($ND146=0,$NR146=0),"",IF($MS146=0,"−1 dado","−"&amp;INDEX($I$2:$N$8,MAX(1,$MS146),MAX(1,$NW146))&amp;" · "&amp;CHOOSE(MAX(1,$NW146),"Leve","Média","Pesada","Leve · Livre","Média · Livre","Pesada · Livre")))</f>
        <v/>
      </c>
      <c r="QQ146" s="164">
        <f>IF(OR($ND146=0,$NB146=""),"",IF($MS146=0,"não devolve","+"&amp;IF($OI146=1,CEILING($MS146/2,1),$MS146)))</f>
        <v/>
      </c>
      <c r="QR146" s="164">
        <f>IF(OR($ND146=0,$NC146=""),"",IF($MS146=0,"não devolve","+"&amp;IF($OJ146=1,CEILING($MS146/2,1),$MS146)))</f>
        <v/>
      </c>
      <c r="RK146">
        <f>IF($MX146="","",IFERROR(VLOOKUP(SUBSTITUTE(SUBSTITUTE(SUBSTITUTE($MX146,"~","~~"),"*","~*"),"?","~?"),'DADOS_MELHORIAS'!$O$2:$X$113,10,FALSE),$MX146))</f>
        <v/>
      </c>
      <c r="RL146">
        <f>IF($MY146="","",IFERROR(VLOOKUP(SUBSTITUTE(SUBSTITUTE(SUBSTITUTE($MY146,"~","~~"),"*","~*"),"?","~?"),'DADOS_MELHORIAS'!$O$2:$X$113,10,FALSE),$MY146))</f>
        <v/>
      </c>
      <c r="RM146">
        <f>IF($MZ146="","",IFERROR(VLOOKUP(SUBSTITUTE(SUBSTITUTE(SUBSTITUTE($MZ146,"~","~~"),"*","~*"),"?","~?"),'DADOS_MELHORIAS'!$O$2:$X$113,10,FALSE),$MZ146))</f>
        <v/>
      </c>
      <c r="RN146">
        <f>IF($NA146="","",IFERROR(VLOOKUP(SUBSTITUTE(SUBSTITUTE(SUBSTITUTE($NA146,"~","~~"),"*","~*"),"?","~?"),'DADOS_MELHORIAS'!$O$2:$X$113,10,FALSE),$NA146))</f>
        <v/>
      </c>
      <c r="RO146">
        <f>IFERROR(INDEX('DADOS_FORMAS'!$BJ$2:$BJ$21,MATCH(SUBSTITUTE(SUBSTITUTE(SUBSTITUTE($MU146,"~","~~"),"*","~*"),"?","~?"),'DADOS_FORMAS'!$AH$2:$AH$21,0)),"")</f>
        <v/>
      </c>
      <c r="RP146">
        <f>IFERROR(VLOOKUP(SUBSTITUTE(SUBSTITUTE(SUBSTITUTE(IFERROR(INDEX('DADOS_FORMAS'!$AS$2:$AS$21,MATCH(SUBSTITUTE(SUBSTITUTE(SUBSTITUTE($MU146,"~","~~"),"*","~*"),"?","~?"),'DADOS_FORMAS'!$AH$2:$AH$21,0)),""),"~","~~"),"*","~*"),"?","~?"),'DADOS_RESTRICOES'!$M$2:$Q$54,2,FALSE),"")</f>
        <v/>
      </c>
      <c r="RQ146">
        <f>$OK146</f>
        <v/>
      </c>
      <c r="RR146">
        <f>$OL146</f>
        <v/>
      </c>
      <c r="RS146">
        <f>$RP146</f>
        <v/>
      </c>
    </row>
    <row r="147">
      <c r="MN147" s="162" t="inlineStr">
        <is>
          <t>Ficha 12 · Especial 2</t>
        </is>
      </c>
      <c r="MO147" s="164" t="n">
        <v>12</v>
      </c>
      <c r="MP147" s="164" t="n">
        <v>1</v>
      </c>
      <c r="MQ147" s="164" t="n">
        <v>4</v>
      </c>
      <c r="MR147" s="162" t="inlineStr">
        <is>
          <t>ESPECIAL 2</t>
        </is>
      </c>
      <c r="MS147" s="164">
        <f>MAX(1,MIN(7,N('INVOCAÇÕES'!$AN$1126)))</f>
        <v/>
      </c>
      <c r="MT147" s="164">
        <f>'INVOCAÇÕES'!$AO$1126&amp;""</f>
        <v/>
      </c>
      <c r="MU147" s="164">
        <f>'INVOCAÇÕES'!$AN$1131&amp;""</f>
        <v/>
      </c>
      <c r="MV147" s="164">
        <f>'INVOCAÇÕES'!$AN$1132&amp;""</f>
        <v/>
      </c>
      <c r="MW147" s="164">
        <f>'INVOCAÇÕES'!$AP$1132&amp;""</f>
        <v/>
      </c>
      <c r="MX147" s="164">
        <f>'INVOCAÇÕES'!$AO$1135&amp;""</f>
        <v/>
      </c>
      <c r="MY147" s="164">
        <f>'INVOCAÇÕES'!$AO$1136&amp;""</f>
        <v/>
      </c>
      <c r="MZ147" s="164">
        <f>'INVOCAÇÕES'!$AO$1137&amp;""</f>
        <v/>
      </c>
      <c r="NA147" s="164">
        <f>'INVOCAÇÕES'!$AO$1138&amp;""</f>
        <v/>
      </c>
      <c r="NB147" s="164">
        <f>'INVOCAÇÕES'!$AO$1139&amp;""</f>
        <v/>
      </c>
      <c r="NC147" s="164">
        <f>'INVOCAÇÕES'!$AO$1140&amp;""</f>
        <v/>
      </c>
      <c r="ND147" s="164">
        <f>IF($MT147&lt;&gt;"",1,0)</f>
        <v/>
      </c>
      <c r="NE147" s="164">
        <f>INDEX($FO$2:$FO$13,$MO147)</f>
        <v/>
      </c>
      <c r="NF147" s="164">
        <f>INDEX($FP$2:$FP$13,$MO147)</f>
        <v/>
      </c>
      <c r="NG147" s="164">
        <f>INDEX($FQ$2:$FQ$13,$MO147)</f>
        <v/>
      </c>
      <c r="NH147" s="164">
        <f>INDEX($GB$2:$GB$13,$MO147)</f>
        <v/>
      </c>
      <c r="NI147" s="164">
        <f>INDEX($GC$2:$GC$13,$MO147)</f>
        <v/>
      </c>
      <c r="NJ147" s="164">
        <f>IFERROR(MATCH(SUBSTITUTE(SUBSTITUTE(SUBSTITUTE($MU147,"~","~~"),"*","~*"),"?","~?"),'DADOS_FORMAS'!$FZ$2:$FZ$21,0),0)</f>
        <v/>
      </c>
      <c r="NK147" s="164">
        <f>IFERROR(VLOOKUP(SUBSTITUTE(SUBSTITUTE(SUBSTITUTE($MX147,"~","~~"),"*","~*"),"?","~?"),'DADOS_MELHORIAS'!$AG$2:$AL$113,2,FALSE),"")</f>
        <v/>
      </c>
      <c r="NL147" s="164">
        <f>IFERROR(VLOOKUP(SUBSTITUTE(SUBSTITUTE(SUBSTITUTE($MY147,"~","~~"),"*","~*"),"?","~?"),'DADOS_MELHORIAS'!$AG$2:$AL$113,2,FALSE),"")</f>
        <v/>
      </c>
      <c r="NM147" s="164">
        <f>IFERROR(VLOOKUP(SUBSTITUTE(SUBSTITUTE(SUBSTITUTE($MZ147,"~","~~"),"*","~*"),"?","~?"),'DADOS_MELHORIAS'!$AG$2:$AL$113,2,FALSE),"")</f>
        <v/>
      </c>
      <c r="NN147" s="164">
        <f>IFERROR(VLOOKUP(SUBSTITUTE(SUBSTITUTE(SUBSTITUTE($NA147,"~","~~"),"*","~*"),"?","~?"),'DADOS_MELHORIAS'!$AG$2:$AL$113,2,FALSE),"")</f>
        <v/>
      </c>
      <c r="NO147" s="164">
        <f>IFERROR(VLOOKUP(SUBSTITUTE(SUBSTITUTE(SUBSTITUTE($MX147,"~","~~"),"*","~*"),"?","~?"),'DADOS_MELHORIAS'!$AG$2:$AL$113,3,FALSE),0)</f>
        <v/>
      </c>
      <c r="NP147" s="164">
        <f>IFERROR(VLOOKUP(SUBSTITUTE(SUBSTITUTE(SUBSTITUTE($MY147,"~","~~"),"*","~*"),"?","~?"),'DADOS_MELHORIAS'!$AG$2:$AL$113,3,FALSE),0)</f>
        <v/>
      </c>
      <c r="NQ147" s="164">
        <f>IFERROR(VLOOKUP(SUBSTITUTE(SUBSTITUTE(SUBSTITUTE($MZ147,"~","~~"),"*","~*"),"?","~?"),'DADOS_MELHORIAS'!$AG$2:$AL$113,3,FALSE),0)</f>
        <v/>
      </c>
      <c r="NR147" s="164">
        <f>IFERROR(VLOOKUP(SUBSTITUTE(SUBSTITUTE(SUBSTITUTE($NA147,"~","~~"),"*","~*"),"?","~?"),'DADOS_MELHORIAS'!$AG$2:$AL$113,3,FALSE),0)</f>
        <v/>
      </c>
      <c r="NS147" s="164">
        <f>IF($MS147=0,0,IF($NJ147=0,0,INDEX('DADOS_FORMAS'!$GB$2:$GB$21,$NJ147)))</f>
        <v/>
      </c>
      <c r="NT147" s="164">
        <f>IF(OR($NO147=0,$MS147=0),0,$NO147+3*IF(AND($NK147&lt;&gt;"",COUNTIF(INDEX($RB$2:$RJ$13,$MO147,0),$NK147)&gt;0),1,0))</f>
        <v/>
      </c>
      <c r="NU147" s="164">
        <f>IF(OR($NP147=0,$MS147=0),0,$NP147+3*IF(AND($NL147&lt;&gt;"",COUNTIF(INDEX($RB$2:$RJ$13,$MO147,0),$NL147)&gt;0),1,0))</f>
        <v/>
      </c>
      <c r="NV147" s="164">
        <f>IF(OR($NQ147=0,$MS147=0),0,$NQ147+3*IF(AND($NM147&lt;&gt;"",COUNTIF(INDEX($RB$2:$RJ$13,$MO147,0),$NM147)&gt;0),1,0))</f>
        <v/>
      </c>
      <c r="NW147" s="164">
        <f>IF(OR($NR147=0,$MS147=0),0,$NR147+3*IF(AND($NN147&lt;&gt;"",COUNTIF(INDEX($RB$2:$RJ$13,$MO147,0),$NN147)&gt;0),1,0))</f>
        <v/>
      </c>
      <c r="NX147" s="164">
        <f>IF($NJ147=0,0,IF(INDEX('DADOS_FORMAS'!$GA$2:$GA$21,$NJ147)="",0,IF((COUNTIF(INDEX($EL$2:$EP$13,$MO147,0),INDEX('DADOS_FORMAS'!$GA$2:$GA$21,$NJ147))+COUNTIF(INDEX($QV$2:$QY$13,$MO147,0),INDEX('DADOS_FORMAS'!$GA$2:$GA$21,$NJ147)))=0,1,0)))</f>
        <v/>
      </c>
      <c r="NY147" s="164">
        <f>IF(OR($NO147=0,$NK147=""),0,IF((COUNTIF(INDEX($EL$2:$EP$13,$MO147,0),$NK147)+COUNTIF(INDEX($QV$2:$QY$13,$MO147,0),$NK147))=0,1,0))</f>
        <v/>
      </c>
      <c r="NZ147" s="164">
        <f>IF(OR($NP147=0,$NL147=""),0,IF((COUNTIF(INDEX($EL$2:$EP$13,$MO147,0),$NL147)+COUNTIF(INDEX($QV$2:$QY$13,$MO147,0),$NL147))=0,1,0))</f>
        <v/>
      </c>
      <c r="OA147" s="164">
        <f>IF(OR($NQ147=0,$NM147=""),0,IF((COUNTIF(INDEX($EL$2:$EP$13,$MO147,0),$NM147)+COUNTIF(INDEX($QV$2:$QY$13,$MO147,0),$NM147))=0,1,0))</f>
        <v/>
      </c>
      <c r="OB147" s="164">
        <f>IF(OR($NR147=0,$NN147=""),0,IF((COUNTIF(INDEX($EL$2:$EP$13,$MO147,0),$NN147)+COUNTIF(INDEX($QV$2:$QY$13,$MO147,0),$NN147))=0,1,0))</f>
        <v/>
      </c>
      <c r="OC147" s="164">
        <f>IFERROR(VLOOKUP(SUBSTITUTE(SUBSTITUTE(SUBSTITUTE($MX147,"~","~~"),"*","~*"),"?","~?"),'DADOS_MELHORIAS'!$AG$2:$AL$113,4,FALSE),0)+IFERROR(VLOOKUP(SUBSTITUTE(SUBSTITUTE(SUBSTITUTE($MY147,"~","~~"),"*","~*"),"?","~?"),'DADOS_MELHORIAS'!$AG$2:$AL$113,4,FALSE),0)+IFERROR(VLOOKUP(SUBSTITUTE(SUBSTITUTE(SUBSTITUTE($MZ147,"~","~~"),"*","~*"),"?","~?"),'DADOS_MELHORIAS'!$AG$2:$AL$113,4,FALSE),0)+IFERROR(VLOOKUP(SUBSTITUTE(SUBSTITUTE(SUBSTITUTE($NA147,"~","~~"),"*","~*"),"?","~?"),'DADOS_MELHORIAS'!$AG$2:$AL$113,4,FALSE),0)</f>
        <v/>
      </c>
      <c r="OD147" s="164">
        <f>IFERROR(VLOOKUP(SUBSTITUTE(SUBSTITUTE(SUBSTITUTE($MX147,"~","~~"),"*","~*"),"?","~?"),'DADOS_MELHORIAS'!$AG$2:$AL$113,6,FALSE),0)+IFERROR(VLOOKUP(SUBSTITUTE(SUBSTITUTE(SUBSTITUTE($MY147,"~","~~"),"*","~*"),"?","~?"),'DADOS_MELHORIAS'!$AG$2:$AL$113,6,FALSE),0)+IFERROR(VLOOKUP(SUBSTITUTE(SUBSTITUTE(SUBSTITUTE($MZ147,"~","~~"),"*","~*"),"?","~?"),'DADOS_MELHORIAS'!$AG$2:$AL$113,6,FALSE),0)+IFERROR(VLOOKUP(SUBSTITUTE(SUBSTITUTE(SUBSTITUTE($NA147,"~","~~"),"*","~*"),"?","~?"),'DADOS_MELHORIAS'!$AG$2:$AL$113,6,FALSE),0)+IFERROR(N(AND(INDEX('DADOS_FORMAS'!$AO$2:$AO$21,MATCH(SUBSTITUTE(SUBSTITUTE(SUBSTITUTE($MU147,"~","~~"),"*","~*"),"?","~?"),'DADOS_FORMAS'!$AH$2:$AH$21,0))="Acerto",$OH147=1)),0)</f>
        <v/>
      </c>
      <c r="OE147" s="164">
        <f>TEXTJOIN(", ",TRUE,IF(IFERROR(VLOOKUP(SUBSTITUTE(SUBSTITUTE(SUBSTITUTE($MX147,"~","~~"),"*","~*"),"?","~?"),'DADOS_MELHORIAS'!$AG$2:$AL$113,5,FALSE),0)=1,$MX147,""),IF(IFERROR(VLOOKUP(SUBSTITUTE(SUBSTITUTE(SUBSTITUTE($MY147,"~","~~"),"*","~*"),"?","~?"),'DADOS_MELHORIAS'!$AG$2:$AL$113,5,FALSE),0)=1,$MY147,""),IF(IFERROR(VLOOKUP(SUBSTITUTE(SUBSTITUTE(SUBSTITUTE($MZ147,"~","~~"),"*","~*"),"?","~?"),'DADOS_MELHORIAS'!$AG$2:$AL$113,5,FALSE),0)=1,$MZ147,""),IF(IFERROR(VLOOKUP(SUBSTITUTE(SUBSTITUTE(SUBSTITUTE($NA147,"~","~~"),"*","~*"),"?","~?"),'DADOS_MELHORIAS'!$AG$2:$AL$113,5,FALSE),0)=1,$NA147,""))</f>
        <v/>
      </c>
      <c r="OF147" s="164">
        <f>IF($NJ147=0,0,INDEX('DADOS_FORMAS'!$GC$2:$GC$21,$NJ147))</f>
        <v/>
      </c>
      <c r="OG147" s="164">
        <f>IF($NJ147=0,0,INDEX('DADOS_FORMAS'!$GD$2:$GD$21,$NJ147))</f>
        <v/>
      </c>
      <c r="OH147" s="164">
        <f>IF($NJ147=0,0,INDEX('DADOS_FORMAS'!$GF$2:$GF$21,$NJ147))</f>
        <v/>
      </c>
      <c r="OI147" s="164">
        <f>IFERROR(VLOOKUP(SUBSTITUTE(SUBSTITUTE(SUBSTITUTE($NB147,"~","~~"),"*","~*"),"?","~?"),'DADOS_RESTRICOES'!$M$2:$Q$54,3,FALSE),0)</f>
        <v/>
      </c>
      <c r="OJ147" s="164">
        <f>IFERROR(VLOOKUP(SUBSTITUTE(SUBSTITUTE(SUBSTITUTE($NC147,"~","~~"),"*","~*"),"?","~?"),'DADOS_RESTRICOES'!$M$2:$Q$54,3,FALSE),0)</f>
        <v/>
      </c>
      <c r="OK147" s="164">
        <f>IFERROR(VLOOKUP(SUBSTITUTE(SUBSTITUTE(SUBSTITUTE($NB147,"~","~~"),"*","~*"),"?","~?"),'DADOS_RESTRICOES'!$M$2:$Q$54,2,FALSE),"")</f>
        <v/>
      </c>
      <c r="OL147" s="164">
        <f>IFERROR(VLOOKUP(SUBSTITUTE(SUBSTITUTE(SUBSTITUTE($NC147,"~","~~"),"*","~*"),"?","~?"),'DADOS_RESTRICOES'!$M$2:$Q$54,2,FALSE),"")</f>
        <v/>
      </c>
      <c r="OM147" s="164">
        <f>COUNTIF($NS147:$NW147,1)</f>
        <v/>
      </c>
      <c r="ON147" s="164">
        <f>COUNTIF($NS147:$NW147,2)</f>
        <v/>
      </c>
      <c r="OO147" s="164">
        <f>COUNTIF($NS147:$NW147,3)</f>
        <v/>
      </c>
      <c r="OP147" s="164">
        <f>COUNTIF($NS147:$NW147,4)</f>
        <v/>
      </c>
      <c r="OQ147" s="164">
        <f>COUNTIF($NS147:$NW147,5)</f>
        <v/>
      </c>
      <c r="OR147" s="164">
        <f>COUNTIF($NS147:$NW147,6)</f>
        <v/>
      </c>
      <c r="OS147" s="164">
        <f>COUNTIF($OI147:$OJ147,1)+IF(IFERROR(INDEX('DADOS_FORMAS'!$AS$2:$AS$21,MATCH(SUBSTITUTE(SUBSTITUTE(SUBSTITUTE($MU147,"~","~~"),"*","~*"),"?","~?"),'DADOS_FORMAS'!$AH$2:$AH$21,0)),"")="",0,IFERROR(N(VLOOKUP(SUBSTITUTE(SUBSTITUTE(SUBSTITUTE(IFERROR(INDEX('DADOS_FORMAS'!$AS$2:$AS$21,MATCH(SUBSTITUTE(SUBSTITUTE(SUBSTITUTE($MU147,"~","~~"),"*","~*"),"?","~?"),'DADOS_FORMAS'!$AH$2:$AH$21,0)),""),"~","~~"),"*","~*"),"?","~?"),'DADOS_RESTRICOES'!$M$2:$Q$54,3,FALSE)=1),0))</f>
        <v/>
      </c>
      <c r="OT147" s="164">
        <f>COUNTIF($OI147:$OJ147,2)+IF(IFERROR(INDEX('DADOS_FORMAS'!$AS$2:$AS$21,MATCH(SUBSTITUTE(SUBSTITUTE(SUBSTITUTE($MU147,"~","~~"),"*","~*"),"?","~?"),'DADOS_FORMAS'!$AH$2:$AH$21,0)),"")="",0,IFERROR(N(VLOOKUP(SUBSTITUTE(SUBSTITUTE(SUBSTITUTE(IFERROR(INDEX('DADOS_FORMAS'!$AS$2:$AS$21,MATCH(SUBSTITUTE(SUBSTITUTE(SUBSTITUTE($MU147,"~","~~"),"*","~*"),"?","~?"),'DADOS_FORMAS'!$AH$2:$AH$21,0)),""),"~","~~"),"*","~*"),"?","~?"),'DADOS_RESTRICOES'!$M$2:$Q$54,3,FALSE)=2),0))</f>
        <v/>
      </c>
      <c r="OU147" s="164">
        <f>COUNTIF($MX147:$NA147,"?*")</f>
        <v/>
      </c>
      <c r="OV147" s="164">
        <f>COUNTIF($NB147:$NC147,"?*")+$OF147</f>
        <v/>
      </c>
      <c r="OW147" s="164">
        <f>IF($MS147=0,0,SUMPRODUCT($OM147:$OR147,INDEX($I$2:$N$8,MAX(1,$MS147),0)))</f>
        <v/>
      </c>
      <c r="OX147" s="164">
        <f>IF($MS147=0,0,$OS147*CEILING($MS147/2,1)+$OT147*$MS147)</f>
        <v/>
      </c>
      <c r="OY147" s="164">
        <f>MIN(2*$MS147,$OX147)</f>
        <v/>
      </c>
      <c r="OZ147" s="164">
        <f>MIN($OY147,$OW147-IF($NS147=0,0,INDEX($I$2:$N$8,MAX(1,$MS147),$NS147)))</f>
        <v/>
      </c>
      <c r="PA147" s="164">
        <f>$OY147-$OZ147</f>
        <v/>
      </c>
      <c r="PB147" s="164">
        <f>IF($MS147=0,0,INDEX($P$2:$P$8,MAX(1,$MS147)))</f>
        <v/>
      </c>
      <c r="PC147" s="164">
        <f>$PB147-$OW147+$OZ147</f>
        <v/>
      </c>
      <c r="PD147" s="164">
        <f>IF($MS147=0,MAX(0,$NG147-IF(AND($OU147&gt;0,COUNTIF($NB147:$NC147,"?*")=0),1,0)),MAX(0,$PC147))</f>
        <v/>
      </c>
      <c r="PE147" s="164">
        <f>IF($MS147=0,0,(IF(COUNTIF($RK147:$RN147,"Salto")&gt;0,1,0)+IF(COUNTIF($RK147:$RN147,"Queima")&gt;0,1,0)+IF(COUNTIF($RK147:$RN147,"Estilhaço")&gt;0,1,0))*FLOOR($PD147/2,1))</f>
        <v/>
      </c>
      <c r="PF147" s="164">
        <f>MAX(0,2-SUMPRODUCT($OM147:$OR147,$I$2:$N$2)+MIN(2,$OS147*1+$OT147*1,SUMPRODUCT($OM147:$OR147,$I$2:$N$2)-IF($NS147=0,0,INDEX($I$2:$N$2,1,$NS147))))</f>
        <v/>
      </c>
      <c r="PG147" s="164">
        <f>MAX(0,4-SUMPRODUCT($OM147:$OR147,$I$3:$N$3)+MIN(4,$OS147*1+$OT147*2,SUMPRODUCT($OM147:$OR147,$I$3:$N$3)-IF($NS147=0,0,INDEX($I$3:$N$3,1,$NS147))))</f>
        <v/>
      </c>
      <c r="PH147" s="164">
        <f>MAX(0,6-SUMPRODUCT($OM147:$OR147,$I$4:$N$4)+MIN(6,$OS147*2+$OT147*3,SUMPRODUCT($OM147:$OR147,$I$4:$N$4)-IF($NS147=0,0,INDEX($I$4:$N$4,1,$NS147))))</f>
        <v/>
      </c>
      <c r="PI147" s="164">
        <f>MAX(0,9-SUMPRODUCT($OM147:$OR147,$I$5:$N$5)+MIN(8,$OS147*2+$OT147*4,SUMPRODUCT($OM147:$OR147,$I$5:$N$5)-IF($NS147=0,0,INDEX($I$5:$N$5,1,$NS147))))</f>
        <v/>
      </c>
      <c r="PJ147" s="164">
        <f>MAX(0,11-SUMPRODUCT($OM147:$OR147,$I$6:$N$6)+MIN(10,$OS147*3+$OT147*5,SUMPRODUCT($OM147:$OR147,$I$6:$N$6)-IF($NS147=0,0,INDEX($I$6:$N$6,1,$NS147))))</f>
        <v/>
      </c>
      <c r="PK147" s="164">
        <f>MAX(0,13-SUMPRODUCT($OM147:$OR147,$I$7:$N$7)+MIN(12,$OS147*3+$OT147*6,SUMPRODUCT($OM147:$OR147,$I$7:$N$7)-IF($NS147=0,0,INDEX($I$7:$N$7,1,$NS147))))</f>
        <v/>
      </c>
      <c r="PL147" s="164">
        <f>MAX(0,16-SUMPRODUCT($OM147:$OR147,$I$8:$N$8)+MIN(14,$OS147*4+$OT147*7,SUMPRODUCT($OM147:$OR147,$I$8:$N$8)-IF($NS147=0,0,INDEX($I$8:$N$8,1,$NS147))))</f>
        <v/>
      </c>
      <c r="PM147" s="164">
        <f>IF($OG147=2,3*$PF147&amp;" de vida temp.",IF($OG147=3,"sem dano",IF($PF147=0,IF($OG147=1,"sem cura","sem dano"),IF($OG147=1,"cura ","")&amp;$PF147&amp;"d8")))</f>
        <v/>
      </c>
      <c r="PN147" s="164">
        <f>IF($OG147=2,3*$PG147&amp;" de vida temp.",IF($OG147=3,"sem dano",IF($PG147=0,IF($OG147=1,"sem cura","sem dano"),IF($OG147=1,"cura ","")&amp;$PG147&amp;"d8")))</f>
        <v/>
      </c>
      <c r="PO147" s="164">
        <f>IF($OG147=2,3*$PH147&amp;" de vida temp.",IF($OG147=3,"sem dano",IF($PH147=0,IF($OG147=1,"sem cura","sem dano"),IF($OG147=1,"cura ","")&amp;$PH147&amp;"d8")))</f>
        <v/>
      </c>
      <c r="PP147" s="164">
        <f>IF($OG147=2,3*$PI147&amp;" de vida temp.",IF($OG147=3,"sem dano",IF($PI147=0,IF($OG147=1,"sem cura","sem dano"),IF($OG147=1,"cura ","")&amp;$PI147&amp;"d8")))</f>
        <v/>
      </c>
      <c r="PQ147" s="164">
        <f>IF($OG147=2,3*$PJ147&amp;" de vida temp.",IF($OG147=3,"sem dano",IF($PJ147=0,IF($OG147=1,"sem cura","sem dano"),IF($OG147=1,"cura ","")&amp;$PJ147&amp;"d8")))</f>
        <v/>
      </c>
      <c r="PR147" s="164">
        <f>IF($OG147=2,3*$PK147&amp;" de vida temp.",IF($OG147=3,"sem dano",IF($PK147=0,IF($OG147=1,"sem cura","sem dano"),IF($OG147=1,"cura ","")&amp;$PK147&amp;"d8")))</f>
        <v/>
      </c>
      <c r="PS147" s="164">
        <f>IF($OG147=2,3*$PL147&amp;" de vida temp.",IF($OG147=3,"sem dano",IF($PL147=0,IF($OG147=1,"sem cura","sem dano"),IF($OG147=1,"cura ","")&amp;$PL147&amp;"d8")))</f>
        <v/>
      </c>
      <c r="PT147" s="164">
        <f>IF($ND147=0,"",TEXTJOIN(" · ",TRUE,IF($ND147=0,"",TEXTJOIN(" · ",TRUE,IF($ND147=0,"",TEXTJOIN(" · ",TRUE,IF($MQ147&gt;$NE147,"Este lugar abre no nível "&amp;$MQ147,""),IF($MS147&gt;$NF147,"Classe "&amp;$MS147&amp;": o nível "&amp;$NE147&amp;" libera até a "&amp;$NF147,""),IF($NX147=1,"A Forma "&amp;$MU147&amp;" pede "&amp;INDEX('DADOS_FORMAS'!$GA$2:$GA$21,$NJ147)&amp;" aberta",""),IF(AND($MS147=0,$NJ147&gt;0,IF($NJ147=0,0,INDEX('DADOS_FORMAS'!$GJ$2:$GJ$21,$NJ147))=0),$MU147&amp;" não existe na Classe 0",""),IF($NY147=1,"Família Fechada: "&amp;$MX147,""),IF($NZ147=1,"Família Fechada: "&amp;$MY147,""),IF($OA147=1,"Família Fechada: "&amp;$MZ147,""),IF($OB147=1,"Família Fechada: "&amp;$NA147,""),IF(AND($MS147&gt;0,$OU147&gt;INDEX($O$2:$O$8,MAX(1,$MS147))),$OU147&amp;" Melhorias: a Classe "&amp;$MS147&amp;" aceita "&amp;INDEX($O$2:$O$8,MAX(1,$MS147)),""),IF(AND($MS147=0,$OU147&gt;1),"A básica aceita uma Melhoria",""),IF(AND($MS147=0,COUNTIF($NO147:$NR147,"&gt;1")&gt;0),"A básica só aceita Melhoria Leve",""),IF(AND($MS147&gt;0,$OV147&gt;2),$OV147&amp;" Restrições"&amp;IF($OF147=1,", contando a que a Forma "&amp;$MU147&amp;" já traz","")&amp;": o limite é 2",""),IF(AND($MS147=0,COUNTIF($NB147:$NC147,"?*")&gt;1),"A básica aceita uma Restrição Leve",""),IF(AND($MS147=0,COUNTIF($OI147:$OJ147,2)&gt;0),"A básica só aceita Restrição Leve",""),IF(AND($MS147&gt;0,$PC147&lt;0),"Orçamento estourado: faltam "&amp;(-$PC147)&amp;IF($PC147&lt;-1," pontos"," ponto"),""),IF(IFERROR(VLOOKUP(SUBSTITUTE(SUBSTITUTE(SUBSTITUTE($NB147,"~","~~"),"*","~*"),"?","~?"),'DADOS_RESTRICOES'!$M$2:$Q$54,4,FALSE),0)+IFERROR(VLOOKUP(SUBSTITUTE(SUBSTITUTE(SUBSTITUTE($NC147,"~","~~"),"*","~*"),"?","~?"),'DADOS_RESTRICOES'!$M$2:$Q$54,4,FALSE),0)&gt;1,$OK147&amp;" e "&amp;$OL147&amp;" são as duas de frequência",""),IF(AND((COUNTIF($RK147:$RN147,"Rápido")+COUNTIF($OK147:$OL147,"Rápido"))&gt;0,(COUNTIF($MX147:$NA147,"Atrasar")+COUNTIF($OK147:$OL147,"Atrasar"))&gt;0),"Rápido não entra com Atrasar",""),IF(AND((COUNTIF($RK147:$RN147,"Reação")+COUNTIF($OK147:$OL147,"Reação"))&gt;0,(COUNTIF($RK147:$RN147,"Rápido")+COUNTIF($OK147:$OL147,"Rápido"))&gt;0),"Reação não entra com Rápido",""),IF(AND((COUNTIF($RK147:$RN147,"Reação")+COUNTIF($OK147:$OL147,"Reação"))&gt;0,(COUNTIF($RK147:$RN147,"Armado")+COUNTIF($OK147:$OL147,"Armado"))&gt;0),"Reação não entra com Armado",""),IF(AND((COUNTIF($RK147:$RN147,"Reação")+COUNTIF($OK147:$OL147,"Reação"))&gt;0,(COUNTIF($MX147:$NA147,"Atrasar")+COUNTIF($OK147:$OL147,"Atrasar"))&gt;0),"Reação não entra com Atrasar",""),IF(AND((COUNTIF($RK147:$RN147,"Reação")+COUNTIF($OK147:$OL147,"Reação"))&gt;0,(COUNTIF($MX147:$NA147,"Parado")+COUNTIF($OK147:$OL147,"Parado"))&gt;0),"Reação não entra com Parado",""),IF(AND((COUNTIF($MX147:$NA147,"Atrasar")+COUNTIF($OK147:$OL147,"Atrasar"))&gt;0,(COUNTIF($MX147:$NA147,"Parado")+COUNTIF($OK147:$OL147,"Parado"))&gt;0),"Atrasar não entra com Parado",""),IF(AND((COUNTIF($RK147:$RN147,"Armado")+COUNTIF($OK147:$OL147,"Armado"))&gt;0,(COUNTIF($MX147:$NA147,"Carregar")+COUNTIF($OK147:$OL147,"Carregar"))&gt;0),"Armado não entra com Carregar",""),IF(AND(COUNTIF($OK147:$OL147,"Corpo a Corpo")&gt;0,$OF147=0,OR($RO147="Cone",$RO147="Linha")),"Corpo a Corpo não entra em "&amp;$MU147,""),IF(AND(COUNTIF($OK147:$OL147,"Corpo a Corpo")&gt;0,$RP147="Corpo a Corpo"),"A Forma "&amp;$MU147&amp;" já traz o Corpo a Corpo",""),IF(AND(COUNTIF($OK147:$OL147,"Tudo ou Nada")&gt;0,$OH147=0),"Tudo ou Nada só entra em habilidade de Teste de Resistência",""),IF(AND(COUNTIF($RK147:$RN147,"Inescapável")&gt;0,OR($OU147&gt;1,$OV147&gt;0)),"Inescapável não aceita outra peça",""),IF(AND($MS147&gt;0,$PD147*IF(COUNTIF($RK147:$RN147,"Remate")&gt;0,1.25,1)+$PE147&gt;4*$MS147),($PD147*IF(COUNTIF($RK147:$RN147,"Remate")&gt;0,1.25,1)+$PE147)&amp;" dados somando repetições"&amp;IF(COUNTIF($RK147:$RN147,"Remate")&gt;0," e o Remate","")&amp;": o teto da Classe "&amp;$MS147&amp;" é "&amp;4*$MS147,""))),IF(AND($MX147&lt;&gt;"",COUNTIF('DADOS_MELHORIAS'!$O$2:$O$113,SUBSTITUTE(SUBSTITUTE(SUBSTITUTE($MX147,"~","~~"),"*","~*"),"?","~?"))=0),"Melhoria não cadastrada ou com erro: "&amp;$MX147,""),IF(AND($MY147&lt;&gt;"",COUNTIF('DADOS_MELHORIAS'!$O$2:$O$113,SUBSTITUTE(SUBSTITUTE(SUBSTITUTE($MY147,"~","~~"),"*","~*"),"?","~?"))=0),"Melhoria não cadastrada ou com erro: "&amp;$MY147,""),IF(AND($MZ147&lt;&gt;"",COUNTIF('DADOS_MELHORIAS'!$O$2:$O$113,SUBSTITUTE(SUBSTITUTE(SUBSTITUTE($MZ147,"~","~~"),"*","~*"),"?","~?"))=0),"Melhoria não cadastrada ou com erro: "&amp;$MZ147,""),IF(AND($NA147&lt;&gt;"",COUNTIF('DADOS_MELHORIAS'!$O$2:$O$113,SUBSTITUTE(SUBSTITUTE(SUBSTITUTE($NA147,"~","~~"),"*","~*"),"?","~?"))=0),"Melhoria não cadastrada ou com erro: "&amp;$NA147,""),IF(AND($NB147&lt;&gt;"",COUNTIF('DADOS_RESTRICOES'!$M$2:$M$54,SUBSTITUTE(SUBSTITUTE(SUBSTITUTE($NB147,"~","~~"),"*","~*"),"?","~?"))=0),"Restrição não cadastrada ou com erro: "&amp;$NB147,""),IF(AND($NC147&lt;&gt;"",COUNTIF('DADOS_RESTRICOES'!$M$2:$M$54,SUBSTITUTE(SUBSTITUTE(SUBSTITUTE($NC147,"~","~~"),"*","~*"),"?","~?"))=0),"Restrição não cadastrada ou com erro: "&amp;$NC147,""))),IF(AND($MU147&lt;&gt;"",COUNTIF('DADOS_FORMAS'!$AH$2:$AH$21,SUBSTITUTE(SUBSTITUTE(SUBSTITUTE($MU147,"~","~~"),"*","~*"),"?","~?"))=0),"Forma não cadastrada ou com erro: "&amp;$MU147,""),IF(AND(IFERROR(INDEX('DADOS_FORMAS'!$AS$2:$AS$21,MATCH(SUBSTITUTE(SUBSTITUTE(SUBSTITUTE($MU147,"~","~~"),"*","~*"),"?","~?"),'DADOS_FORMAS'!$AH$2:$AH$21,0)),"")&lt;&gt;"",OR(IFERROR(VLOOKUP(SUBSTITUTE(SUBSTITUTE(SUBSTITUTE(IFERROR(INDEX('DADOS_FORMAS'!$AS$2:$AS$21,MATCH(SUBSTITUTE(SUBSTITUTE(SUBSTITUTE($MU147,"~","~~"),"*","~*"),"?","~?"),'DADOS_FORMAS'!$AH$2:$AH$21,0)),""),"~","~~"),"*","~*"),"?","~?"),'DADOS_RESTRICOES'!$M$2:$Q$54,2,FALSE),"")=$OK147,IFERROR(VLOOKUP(SUBSTITUTE(SUBSTITUTE(SUBSTITUTE(IFERROR(INDEX('DADOS_FORMAS'!$AS$2:$AS$21,MATCH(SUBSTITUTE(SUBSTITUTE(SUBSTITUTE($MU147,"~","~~"),"*","~*"),"?","~?"),'DADOS_FORMAS'!$AH$2:$AH$21,0)),""),"~","~~"),"*","~*"),"?","~?"),'DADOS_RESTRICOES'!$M$2:$Q$54,2,FALSE),"")=$OL147)),"Restrição repetida, contando a embutida",""),IF(IF(IFERROR(INDEX('DADOS_FORMAS'!$AS$2:$AS$21,MATCH(SUBSTITUTE(SUBSTITUTE(SUBSTITUTE($MU147,"~","~~"),"*","~*"),"?","~?"),'DADOS_FORMAS'!$AH$2:$AH$21,0)),"")="",0,IFERROR(N(VLOOKUP(SUBSTITUTE(SUBSTITUTE(SUBSTITUTE(IFERROR(INDEX('DADOS_FORMAS'!$AS$2:$AS$21,MATCH(SUBSTITUTE(SUBSTITUTE(SUBSTITUTE($MU147,"~","~~"),"*","~*"),"?","~?"),'DADOS_FORMAS'!$AH$2:$AH$21,0)),""),"~","~~"),"*","~*"),"?","~?"),'DADOS_RESTRICOES'!$M$2:$Q$54,4,FALSE)=1),0))+IF($NB147="",0,IFERROR(N(VLOOKUP(SUBSTITUTE(SUBSTITUTE(SUBSTITUTE($NB147,"~","~~"),"*","~*"),"?","~?"),'DADOS_RESTRICOES'!$M$2:$Q$54,4,FALSE)=1),0))+IF($NC147="",0,IFERROR(N(VLOOKUP(SUBSTITUTE(SUBSTITUTE(SUBSTITUTE($NC147,"~","~~"),"*","~*"),"?","~?"),'DADOS_RESTRICOES'!$M$2:$Q$54,4,FALSE)=1),0))&gt;1,"Duas Restrições de frequência, contando a embutida",""),IF(AND(IFERROR(VLOOKUP(SUBSTITUTE(SUBSTITUTE(SUBSTITUTE(IFERROR(INDEX('DADOS_FORMAS'!$AS$2:$AS$21,MATCH(SUBSTITUTE(SUBSTITUTE(SUBSTITUTE($MU147,"~","~~"),"*","~*"),"?","~?"),'DADOS_FORMAS'!$AH$2:$AH$21,0)),""),"~","~~"),"*","~*"),"?","~?"),'DADOS_RESTRICOES'!$M$2:$Q$54,2,FALSE),"")="Tudo ou Nada",$OH147=0),"Tudo ou Nada exige TR",""),IF(AND(IFERROR(VLOOKUP(SUBSTITUTE(SUBSTITUTE(SUBSTITUTE(IFERROR(INDEX('DADOS_FORMAS'!$AS$2:$AS$21,MATCH(SUBSTITUTE(SUBSTITUTE(SUBSTITUTE($MU147,"~","~~"),"*","~*"),"?","~?"),'DADOS_FORMAS'!$AH$2:$AH$21,0)),""),"~","~~"),"*","~*"),"?","~?"),'DADOS_RESTRICOES'!$M$2:$Q$54,2,FALSE),"")="Corpo a Corpo",OR($RO147="Cone",$RO147="Linha")),"Corpo a Corpo não entra em Cone/Linha","")))</f>
        <v/>
      </c>
      <c r="PU147" s="164">
        <f>IF($PT147="",0,(LEN($PT147)-LEN(SUBSTITUTE($PT147," · ","")))/3+1)</f>
        <v/>
      </c>
      <c r="PV147" s="164">
        <f>IF($ND147=0,"",TEXTJOIN(" · ",TRUE,IF($OX147&gt;2*$MS147,"A devolução parou no teto de "&amp;2*$MS147,""),IF($PA147&gt;0,"Devolução perdida: "&amp;$PA147&amp;IF($PA147&gt;1," pontos"," ponto")&amp;" sem Melhoria para pagar",""),IF(AND($OC147&gt;0,AND($MS147&gt;0,$OG147=0),$PD147=0),"Controle sem dano: uma rodada a mais e CD +2",""),IF(AND($OC147&gt;0,AND($MS147&gt;0,$OG147=0),$PD147&gt;0,$PD147&lt;=$MS147),"Controle com saldo até a Classe: uma rodada a mais",""),IF(AND($MS147&gt;0,$OE147&lt;&gt;""),"Efeito de "&amp;$OE147&amp;" pela Classe "&amp;MAX(1,$MS147-1),"")))</f>
        <v/>
      </c>
      <c r="PW147" s="164">
        <f>IF($PV147="",0,(LEN($PV147)-LEN(SUBSTITUTE($PV147," · ","")))/3+1)</f>
        <v/>
      </c>
      <c r="PX147" s="164">
        <f>IF($ND147=0,IF($OU147+COUNTIF($NB147:$NC147,"?*")&gt;0,"Dê um nome",""),IF($PU147&gt;0,"⚠ "&amp;$PU147&amp;IF($PU147&gt;1," erros"," erro"),IF($PW147&gt;0,"! "&amp;$PW147&amp;IF($PW147&gt;1," avisos"," aviso"),"Na regra")))</f>
        <v/>
      </c>
      <c r="PY147" s="164">
        <f>IF($ND147=0,"",IF($PU147+$PW147=0,"Dentro das regras que a ficha confere",$PT147&amp;IF(AND($PU147&gt;0,$PW147&gt;0)," · ","")&amp;$PV147))</f>
        <v/>
      </c>
      <c r="PZ147" s="164">
        <f>IF($MQ147&gt;$NE147,$MR147&amp;" · ABRE NO NÍVEL "&amp;$MQ147,$MR147)</f>
        <v/>
      </c>
      <c r="QA147" s="164">
        <f>IF($ND147=0,"",IF($MS147=0,"Sem PE",3*$MS147&amp;" PE"))</f>
        <v/>
      </c>
      <c r="QB147" s="164">
        <f>IF($ND147=0,"",IF($MS147=0,"A atuação básica dela",IF(COUNTIF($RQ147:$RS147,"Atrasar")&gt;0,"Sua Ação Completa",IF(COUNTIF($RK147:$RN147,"Rápido")&gt;0,"Sua Bônus",IF(COUNTIF($RK147:$RN147,"Reação")&gt;0,"Sua Reação","Sua Padrão")))&amp;" + a básica dela"&amp;IF(COUNTIF($RK147:$RN147,"Reação")&gt;0," e a coletiva","")&amp;IF(COUNTIF($RQ147:$RS147,"Carregar")&gt;0," · em dois turnos","")))</f>
        <v/>
      </c>
      <c r="QC147" s="164">
        <f>IF($MW147&lt;&gt;"",$MW147,IF($NJ147=0,"",INDEX('DADOS_FORMAS'!$GE$2:$GE$21,$NJ147)))</f>
        <v/>
      </c>
      <c r="QD147" s="164">
        <f>IF(OR($ND147=0,$NJ147=0),"",IF(COUNTIF($RK147:$RN147,"Inescapável")&gt;0,"Automático",IF($QC147="Ataque",IF($NH147="","Ataque","Ataque "&amp;IF(($NH147+2*IF(COUNTIF($RK147:$RN147,"Precisão")&gt;0,1,0))&gt;=0,"+","−")&amp;ABS(($NH147+2*IF(COUNTIF($RK147:$RN147,"Precisão")&gt;0,1,0))))&amp;IF($OD147&gt;0," · TR"&amp;IF($NI147="",""," CD "&amp;$NI147),""),IF(LEFT($QC147,2)="TR",$QC147&amp;IF($NI147="",""," · CD "&amp;$NI147)&amp;IF(COUNTIF($RK147:$RN147,"Certeiro")&gt;0," · metade",""),"Sem rolagem"))))</f>
        <v/>
      </c>
      <c r="QE147" s="164">
        <f>IF(OR($ND147=0,$NJ147=0),"",IF($MS147=0,IF(OR($OG147&gt;=1,$PD147=0),"Sem dano",$PD147&amp;"d6"&amp;IF($MV147="",""," "&amp;$MV147)),IF(OR($OG147&gt;=1,$PD147=0),UPPER(LEFT(INDEX($PM147:$PS147,1,MAX(1,$MS147)),1))&amp;MID(INDEX($PM147:$PS147,1,MAX(1,$MS147)),2,99),UPPER(LEFT(INDEX($PM147:$PS147,1,MAX(1,$MS147)),1))&amp;MID(INDEX($PM147:$PS147,1,MAX(1,$MS147)),2,99)&amp;IF($MV147="",""," "&amp;$MV147)&amp;IF($PE147&gt;0," · +"&amp;$PE147&amp;"d8",""))))</f>
        <v/>
      </c>
      <c r="QF147" s="164">
        <f>COUNTIF($RK147:$RN147,"Longe")+3*COUNTIF($RK147:$RN147,"Muito Longe")</f>
        <v/>
      </c>
      <c r="QG147" s="164">
        <f>COUNTIF($RK147:$RN147,"Maior")+3*COUNTIF($RK147:$RN147,"Muito Maior")</f>
        <v/>
      </c>
      <c r="QH147" s="164">
        <f>IF($NJ147=0,0,CHOOSE(1+INDEX('DADOS_FORMAS'!$GG$2:$GG$21,$NJ147),0,$QF147,$QG147,$QF147+$QG147))</f>
        <v/>
      </c>
      <c r="QI147" s="164">
        <f>IF($NJ147=0,0,CHOOSE(1+INDEX('DADOS_FORMAS'!$GH$2:$GH$21,$NJ147),0,$QF147,$QG147,$QF147+$QG147))</f>
        <v/>
      </c>
      <c r="QJ147" s="164">
        <f>IF(OR($ND147=0,$NJ147=0),"",INDEX('DADOS_FORMAS'!$HU$2:$HZ$81,($NJ147-1)*4+IF($MS147=0,1,IF($MS147&lt;=5,2,IF($MS147=6,3,4))),1+MIN(5,$QH147))&amp;INDEX('DADOS_FORMAS'!$IA$2:$IF$81,($NJ147-1)*4+IF($MS147=0,1,IF($MS147&lt;=5,2,IF($MS147=6,3,4))),1+MIN(5,$QI147))&amp;IF(INDEX('DADOS_FORMAS'!$GI$2:$GI$21,$NJ147)=1,IF(COUNTIF($RK147:$RN147,"Mais Um")&gt;0," · +"&amp;COUNTIF($RK147:$RN147,"Mais Um")&amp;IF(COUNTIF($RK147:$RN147,"Mais Um")&gt;1," alvos"," alvo"),"")&amp;IF(COUNTIF($RK147:$RN147,"Rajada")&gt;0,IF($MS147=0," · 1 tiro"," · "&amp;(MAX(1,$MS147-1)+1)&amp;" tiros"),""),""))</f>
        <v/>
      </c>
      <c r="QK147" s="164">
        <f>IF($ND147=0,"",IF($MS147=0,$NG147&amp;"d6"&amp;IF($OU147&gt;0," − 1 = "&amp;$PD147&amp;"d6"," da básica do nível "&amp;$NE147),$PB147&amp;" − "&amp;$OW147&amp;" + "&amp;$OZ147&amp;" = "&amp;$PC147&amp;" · teto "&amp;4*$MS147&amp;"d8"&amp;IF($OF147=1," · a Forma devolve "&amp;$MS147,"")&amp;IF($PA147&gt;0," · perde "&amp;$PA147,"")))</f>
        <v/>
      </c>
      <c r="QL147" s="164">
        <f>IF($ND147=0,"",IF($MS147=0,"A básica não amplia: os dados dela sobem com o nível",IF($MS147&gt;=$NF147,"Já está na maior Classe que o nível liberou",TEXTJOIN(" · ",TRUE,IF(AND(2&gt;$MS147,2&lt;=$NF147),"2 → "&amp;$PN147&amp;", 6 PE",""),IF(AND(3&gt;$MS147,3&lt;=$NF147),"3 → "&amp;$PO147&amp;", 9 PE",""),IF(AND(4&gt;$MS147,4&lt;=$NF147),"4 → "&amp;$PP147&amp;", 12 PE",""),IF(AND(5&gt;$MS147,5&lt;=$NF147),"5 → "&amp;$PQ147&amp;", 15 PE",""),IF(AND(6&gt;$MS147,6&lt;=$NF147),"6 → "&amp;$PR147&amp;", 18 PE",""),IF(AND(7&gt;$MS147,7&lt;=$NF147),"7 → "&amp;$PS147&amp;", 21 PE","")))))</f>
        <v/>
      </c>
      <c r="QM147" s="164">
        <f>IF(OR($ND147=0,$NO147=0),"",IF($MS147=0,"−1 dado","−"&amp;INDEX($I$2:$N$8,MAX(1,$MS147),MAX(1,$NT147))&amp;" · "&amp;CHOOSE(MAX(1,$NT147),"Leve","Média","Pesada","Leve · Livre","Média · Livre","Pesada · Livre")))</f>
        <v/>
      </c>
      <c r="QN147" s="164">
        <f>IF(OR($ND147=0,$NP147=0),"",IF($MS147=0,"−1 dado","−"&amp;INDEX($I$2:$N$8,MAX(1,$MS147),MAX(1,$NU147))&amp;" · "&amp;CHOOSE(MAX(1,$NU147),"Leve","Média","Pesada","Leve · Livre","Média · Livre","Pesada · Livre")))</f>
        <v/>
      </c>
      <c r="QO147" s="164">
        <f>IF(OR($ND147=0,$NQ147=0),"",IF($MS147=0,"−1 dado","−"&amp;INDEX($I$2:$N$8,MAX(1,$MS147),MAX(1,$NV147))&amp;" · "&amp;CHOOSE(MAX(1,$NV147),"Leve","Média","Pesada","Leve · Livre","Média · Livre","Pesada · Livre")))</f>
        <v/>
      </c>
      <c r="QP147" s="164">
        <f>IF(OR($ND147=0,$NR147=0),"",IF($MS147=0,"−1 dado","−"&amp;INDEX($I$2:$N$8,MAX(1,$MS147),MAX(1,$NW147))&amp;" · "&amp;CHOOSE(MAX(1,$NW147),"Leve","Média","Pesada","Leve · Livre","Média · Livre","Pesada · Livre")))</f>
        <v/>
      </c>
      <c r="QQ147" s="164">
        <f>IF(OR($ND147=0,$NB147=""),"",IF($MS147=0,"não devolve","+"&amp;IF($OI147=1,CEILING($MS147/2,1),$MS147)))</f>
        <v/>
      </c>
      <c r="QR147" s="164">
        <f>IF(OR($ND147=0,$NC147=""),"",IF($MS147=0,"não devolve","+"&amp;IF($OJ147=1,CEILING($MS147/2,1),$MS147)))</f>
        <v/>
      </c>
      <c r="RK147">
        <f>IF($MX147="","",IFERROR(VLOOKUP(SUBSTITUTE(SUBSTITUTE(SUBSTITUTE($MX147,"~","~~"),"*","~*"),"?","~?"),'DADOS_MELHORIAS'!$O$2:$X$113,10,FALSE),$MX147))</f>
        <v/>
      </c>
      <c r="RL147">
        <f>IF($MY147="","",IFERROR(VLOOKUP(SUBSTITUTE(SUBSTITUTE(SUBSTITUTE($MY147,"~","~~"),"*","~*"),"?","~?"),'DADOS_MELHORIAS'!$O$2:$X$113,10,FALSE),$MY147))</f>
        <v/>
      </c>
      <c r="RM147">
        <f>IF($MZ147="","",IFERROR(VLOOKUP(SUBSTITUTE(SUBSTITUTE(SUBSTITUTE($MZ147,"~","~~"),"*","~*"),"?","~?"),'DADOS_MELHORIAS'!$O$2:$X$113,10,FALSE),$MZ147))</f>
        <v/>
      </c>
      <c r="RN147">
        <f>IF($NA147="","",IFERROR(VLOOKUP(SUBSTITUTE(SUBSTITUTE(SUBSTITUTE($NA147,"~","~~"),"*","~*"),"?","~?"),'DADOS_MELHORIAS'!$O$2:$X$113,10,FALSE),$NA147))</f>
        <v/>
      </c>
      <c r="RO147">
        <f>IFERROR(INDEX('DADOS_FORMAS'!$BJ$2:$BJ$21,MATCH(SUBSTITUTE(SUBSTITUTE(SUBSTITUTE($MU147,"~","~~"),"*","~*"),"?","~?"),'DADOS_FORMAS'!$AH$2:$AH$21,0)),"")</f>
        <v/>
      </c>
      <c r="RP147">
        <f>IFERROR(VLOOKUP(SUBSTITUTE(SUBSTITUTE(SUBSTITUTE(IFERROR(INDEX('DADOS_FORMAS'!$AS$2:$AS$21,MATCH(SUBSTITUTE(SUBSTITUTE(SUBSTITUTE($MU147,"~","~~"),"*","~*"),"?","~?"),'DADOS_FORMAS'!$AH$2:$AH$21,0)),""),"~","~~"),"*","~*"),"?","~?"),'DADOS_RESTRICOES'!$M$2:$Q$54,2,FALSE),"")</f>
        <v/>
      </c>
      <c r="RQ147">
        <f>$OK147</f>
        <v/>
      </c>
      <c r="RR147">
        <f>$OL147</f>
        <v/>
      </c>
      <c r="RS147">
        <f>$RP147</f>
        <v/>
      </c>
    </row>
    <row r="148">
      <c r="MN148" s="162" t="inlineStr">
        <is>
          <t>Ficha 12 · Básica 2</t>
        </is>
      </c>
      <c r="MO148" s="164" t="n">
        <v>12</v>
      </c>
      <c r="MP148" s="164" t="n">
        <v>0</v>
      </c>
      <c r="MQ148" s="164" t="n">
        <v>11</v>
      </c>
      <c r="MR148" s="162" t="inlineStr">
        <is>
          <t>BÁSICA 2</t>
        </is>
      </c>
      <c r="MS148" s="164" t="n">
        <v>0</v>
      </c>
      <c r="MT148" s="164">
        <f>'INVOCAÇÕES'!$AC$1160&amp;""</f>
        <v/>
      </c>
      <c r="MU148" s="164">
        <f>'INVOCAÇÕES'!$AB$1165&amp;""</f>
        <v/>
      </c>
      <c r="MV148" s="164">
        <f>'INVOCAÇÕES'!$AB$1166&amp;""</f>
        <v/>
      </c>
      <c r="MW148" s="164">
        <f>'INVOCAÇÕES'!$AD$1166&amp;""</f>
        <v/>
      </c>
      <c r="MX148" s="164">
        <f>'INVOCAÇÕES'!$AC$1169&amp;""</f>
        <v/>
      </c>
      <c r="MY148" s="164">
        <f>'INVOCAÇÕES'!$AC$1170&amp;""</f>
        <v/>
      </c>
      <c r="MZ148" s="164">
        <f>'INVOCAÇÕES'!$AC$1171&amp;""</f>
        <v/>
      </c>
      <c r="NA148" s="164">
        <f>'INVOCAÇÕES'!$AC$1172&amp;""</f>
        <v/>
      </c>
      <c r="NB148" s="164">
        <f>'INVOCAÇÕES'!$AC$1173&amp;""</f>
        <v/>
      </c>
      <c r="NC148" s="164">
        <f>'INVOCAÇÕES'!$AC$1174&amp;""</f>
        <v/>
      </c>
      <c r="ND148" s="164">
        <f>IF($MT148&lt;&gt;"",1,0)</f>
        <v/>
      </c>
      <c r="NE148" s="164">
        <f>INDEX($FO$2:$FO$13,$MO148)</f>
        <v/>
      </c>
      <c r="NF148" s="164">
        <f>INDEX($FP$2:$FP$13,$MO148)</f>
        <v/>
      </c>
      <c r="NG148" s="164">
        <f>INDEX($FQ$2:$FQ$13,$MO148)</f>
        <v/>
      </c>
      <c r="NH148" s="164">
        <f>INDEX($GB$2:$GB$13,$MO148)</f>
        <v/>
      </c>
      <c r="NI148" s="164">
        <f>INDEX($GC$2:$GC$13,$MO148)</f>
        <v/>
      </c>
      <c r="NJ148" s="164">
        <f>IFERROR(MATCH(SUBSTITUTE(SUBSTITUTE(SUBSTITUTE($MU148,"~","~~"),"*","~*"),"?","~?"),'DADOS_FORMAS'!$FZ$2:$FZ$21,0),0)</f>
        <v/>
      </c>
      <c r="NK148" s="164">
        <f>IFERROR(VLOOKUP(SUBSTITUTE(SUBSTITUTE(SUBSTITUTE($MX148,"~","~~"),"*","~*"),"?","~?"),'DADOS_MELHORIAS'!$AG$2:$AL$113,2,FALSE),"")</f>
        <v/>
      </c>
      <c r="NL148" s="164">
        <f>IFERROR(VLOOKUP(SUBSTITUTE(SUBSTITUTE(SUBSTITUTE($MY148,"~","~~"),"*","~*"),"?","~?"),'DADOS_MELHORIAS'!$AG$2:$AL$113,2,FALSE),"")</f>
        <v/>
      </c>
      <c r="NM148" s="164">
        <f>IFERROR(VLOOKUP(SUBSTITUTE(SUBSTITUTE(SUBSTITUTE($MZ148,"~","~~"),"*","~*"),"?","~?"),'DADOS_MELHORIAS'!$AG$2:$AL$113,2,FALSE),"")</f>
        <v/>
      </c>
      <c r="NN148" s="164">
        <f>IFERROR(VLOOKUP(SUBSTITUTE(SUBSTITUTE(SUBSTITUTE($NA148,"~","~~"),"*","~*"),"?","~?"),'DADOS_MELHORIAS'!$AG$2:$AL$113,2,FALSE),"")</f>
        <v/>
      </c>
      <c r="NO148" s="164">
        <f>IFERROR(VLOOKUP(SUBSTITUTE(SUBSTITUTE(SUBSTITUTE($MX148,"~","~~"),"*","~*"),"?","~?"),'DADOS_MELHORIAS'!$AG$2:$AL$113,3,FALSE),0)</f>
        <v/>
      </c>
      <c r="NP148" s="164">
        <f>IFERROR(VLOOKUP(SUBSTITUTE(SUBSTITUTE(SUBSTITUTE($MY148,"~","~~"),"*","~*"),"?","~?"),'DADOS_MELHORIAS'!$AG$2:$AL$113,3,FALSE),0)</f>
        <v/>
      </c>
      <c r="NQ148" s="164">
        <f>IFERROR(VLOOKUP(SUBSTITUTE(SUBSTITUTE(SUBSTITUTE($MZ148,"~","~~"),"*","~*"),"?","~?"),'DADOS_MELHORIAS'!$AG$2:$AL$113,3,FALSE),0)</f>
        <v/>
      </c>
      <c r="NR148" s="164">
        <f>IFERROR(VLOOKUP(SUBSTITUTE(SUBSTITUTE(SUBSTITUTE($NA148,"~","~~"),"*","~*"),"?","~?"),'DADOS_MELHORIAS'!$AG$2:$AL$113,3,FALSE),0)</f>
        <v/>
      </c>
      <c r="NS148" s="164">
        <f>IF($MS148=0,0,IF($NJ148=0,0,INDEX('DADOS_FORMAS'!$GB$2:$GB$21,$NJ148)))</f>
        <v/>
      </c>
      <c r="NT148" s="164">
        <f>IF(OR($NO148=0,$MS148=0),0,$NO148+3*IF(AND($NK148&lt;&gt;"",COUNTIF(INDEX($RB$2:$RJ$13,$MO148,0),$NK148)&gt;0),1,0))</f>
        <v/>
      </c>
      <c r="NU148" s="164">
        <f>IF(OR($NP148=0,$MS148=0),0,$NP148+3*IF(AND($NL148&lt;&gt;"",COUNTIF(INDEX($RB$2:$RJ$13,$MO148,0),$NL148)&gt;0),1,0))</f>
        <v/>
      </c>
      <c r="NV148" s="164">
        <f>IF(OR($NQ148=0,$MS148=0),0,$NQ148+3*IF(AND($NM148&lt;&gt;"",COUNTIF(INDEX($RB$2:$RJ$13,$MO148,0),$NM148)&gt;0),1,0))</f>
        <v/>
      </c>
      <c r="NW148" s="164">
        <f>IF(OR($NR148=0,$MS148=0),0,$NR148+3*IF(AND($NN148&lt;&gt;"",COUNTIF(INDEX($RB$2:$RJ$13,$MO148,0),$NN148)&gt;0),1,0))</f>
        <v/>
      </c>
      <c r="NX148" s="164">
        <f>IF($NJ148=0,0,IF(INDEX('DADOS_FORMAS'!$GA$2:$GA$21,$NJ148)="",0,IF((COUNTIF(INDEX($EL$2:$EP$13,$MO148,0),INDEX('DADOS_FORMAS'!$GA$2:$GA$21,$NJ148))+COUNTIF(INDEX($QV$2:$QY$13,$MO148,0),INDEX('DADOS_FORMAS'!$GA$2:$GA$21,$NJ148)))=0,1,0)))</f>
        <v/>
      </c>
      <c r="NY148" s="164">
        <f>IF(OR($NO148=0,$NK148=""),0,IF((COUNTIF(INDEX($EL$2:$EP$13,$MO148,0),$NK148)+COUNTIF(INDEX($QV$2:$QY$13,$MO148,0),$NK148))=0,1,0))</f>
        <v/>
      </c>
      <c r="NZ148" s="164">
        <f>IF(OR($NP148=0,$NL148=""),0,IF((COUNTIF(INDEX($EL$2:$EP$13,$MO148,0),$NL148)+COUNTIF(INDEX($QV$2:$QY$13,$MO148,0),$NL148))=0,1,0))</f>
        <v/>
      </c>
      <c r="OA148" s="164">
        <f>IF(OR($NQ148=0,$NM148=""),0,IF((COUNTIF(INDEX($EL$2:$EP$13,$MO148,0),$NM148)+COUNTIF(INDEX($QV$2:$QY$13,$MO148,0),$NM148))=0,1,0))</f>
        <v/>
      </c>
      <c r="OB148" s="164">
        <f>IF(OR($NR148=0,$NN148=""),0,IF((COUNTIF(INDEX($EL$2:$EP$13,$MO148,0),$NN148)+COUNTIF(INDEX($QV$2:$QY$13,$MO148,0),$NN148))=0,1,0))</f>
        <v/>
      </c>
      <c r="OC148" s="164">
        <f>IFERROR(VLOOKUP(SUBSTITUTE(SUBSTITUTE(SUBSTITUTE($MX148,"~","~~"),"*","~*"),"?","~?"),'DADOS_MELHORIAS'!$AG$2:$AL$113,4,FALSE),0)+IFERROR(VLOOKUP(SUBSTITUTE(SUBSTITUTE(SUBSTITUTE($MY148,"~","~~"),"*","~*"),"?","~?"),'DADOS_MELHORIAS'!$AG$2:$AL$113,4,FALSE),0)+IFERROR(VLOOKUP(SUBSTITUTE(SUBSTITUTE(SUBSTITUTE($MZ148,"~","~~"),"*","~*"),"?","~?"),'DADOS_MELHORIAS'!$AG$2:$AL$113,4,FALSE),0)+IFERROR(VLOOKUP(SUBSTITUTE(SUBSTITUTE(SUBSTITUTE($NA148,"~","~~"),"*","~*"),"?","~?"),'DADOS_MELHORIAS'!$AG$2:$AL$113,4,FALSE),0)</f>
        <v/>
      </c>
      <c r="OD148" s="164">
        <f>IFERROR(VLOOKUP(SUBSTITUTE(SUBSTITUTE(SUBSTITUTE($MX148,"~","~~"),"*","~*"),"?","~?"),'DADOS_MELHORIAS'!$AG$2:$AL$113,6,FALSE),0)+IFERROR(VLOOKUP(SUBSTITUTE(SUBSTITUTE(SUBSTITUTE($MY148,"~","~~"),"*","~*"),"?","~?"),'DADOS_MELHORIAS'!$AG$2:$AL$113,6,FALSE),0)+IFERROR(VLOOKUP(SUBSTITUTE(SUBSTITUTE(SUBSTITUTE($MZ148,"~","~~"),"*","~*"),"?","~?"),'DADOS_MELHORIAS'!$AG$2:$AL$113,6,FALSE),0)+IFERROR(VLOOKUP(SUBSTITUTE(SUBSTITUTE(SUBSTITUTE($NA148,"~","~~"),"*","~*"),"?","~?"),'DADOS_MELHORIAS'!$AG$2:$AL$113,6,FALSE),0)+IFERROR(N(AND(INDEX('DADOS_FORMAS'!$AO$2:$AO$21,MATCH(SUBSTITUTE(SUBSTITUTE(SUBSTITUTE($MU148,"~","~~"),"*","~*"),"?","~?"),'DADOS_FORMAS'!$AH$2:$AH$21,0))="Acerto",$OH148=1)),0)</f>
        <v/>
      </c>
      <c r="OE148" s="164">
        <f>TEXTJOIN(", ",TRUE,IF(IFERROR(VLOOKUP(SUBSTITUTE(SUBSTITUTE(SUBSTITUTE($MX148,"~","~~"),"*","~*"),"?","~?"),'DADOS_MELHORIAS'!$AG$2:$AL$113,5,FALSE),0)=1,$MX148,""),IF(IFERROR(VLOOKUP(SUBSTITUTE(SUBSTITUTE(SUBSTITUTE($MY148,"~","~~"),"*","~*"),"?","~?"),'DADOS_MELHORIAS'!$AG$2:$AL$113,5,FALSE),0)=1,$MY148,""),IF(IFERROR(VLOOKUP(SUBSTITUTE(SUBSTITUTE(SUBSTITUTE($MZ148,"~","~~"),"*","~*"),"?","~?"),'DADOS_MELHORIAS'!$AG$2:$AL$113,5,FALSE),0)=1,$MZ148,""),IF(IFERROR(VLOOKUP(SUBSTITUTE(SUBSTITUTE(SUBSTITUTE($NA148,"~","~~"),"*","~*"),"?","~?"),'DADOS_MELHORIAS'!$AG$2:$AL$113,5,FALSE),0)=1,$NA148,""))</f>
        <v/>
      </c>
      <c r="OF148" s="164">
        <f>IF($NJ148=0,0,INDEX('DADOS_FORMAS'!$GC$2:$GC$21,$NJ148))</f>
        <v/>
      </c>
      <c r="OG148" s="164">
        <f>IF($NJ148=0,0,INDEX('DADOS_FORMAS'!$GD$2:$GD$21,$NJ148))</f>
        <v/>
      </c>
      <c r="OH148" s="164">
        <f>IF($NJ148=0,0,INDEX('DADOS_FORMAS'!$GF$2:$GF$21,$NJ148))</f>
        <v/>
      </c>
      <c r="OI148" s="164">
        <f>IFERROR(VLOOKUP(SUBSTITUTE(SUBSTITUTE(SUBSTITUTE($NB148,"~","~~"),"*","~*"),"?","~?"),'DADOS_RESTRICOES'!$M$2:$Q$54,3,FALSE),0)</f>
        <v/>
      </c>
      <c r="OJ148" s="164">
        <f>IFERROR(VLOOKUP(SUBSTITUTE(SUBSTITUTE(SUBSTITUTE($NC148,"~","~~"),"*","~*"),"?","~?"),'DADOS_RESTRICOES'!$M$2:$Q$54,3,FALSE),0)</f>
        <v/>
      </c>
      <c r="OK148" s="164">
        <f>IFERROR(VLOOKUP(SUBSTITUTE(SUBSTITUTE(SUBSTITUTE($NB148,"~","~~"),"*","~*"),"?","~?"),'DADOS_RESTRICOES'!$M$2:$Q$54,2,FALSE),"")</f>
        <v/>
      </c>
      <c r="OL148" s="164">
        <f>IFERROR(VLOOKUP(SUBSTITUTE(SUBSTITUTE(SUBSTITUTE($NC148,"~","~~"),"*","~*"),"?","~?"),'DADOS_RESTRICOES'!$M$2:$Q$54,2,FALSE),"")</f>
        <v/>
      </c>
      <c r="OM148" s="164">
        <f>COUNTIF($NS148:$NW148,1)</f>
        <v/>
      </c>
      <c r="ON148" s="164">
        <f>COUNTIF($NS148:$NW148,2)</f>
        <v/>
      </c>
      <c r="OO148" s="164">
        <f>COUNTIF($NS148:$NW148,3)</f>
        <v/>
      </c>
      <c r="OP148" s="164">
        <f>COUNTIF($NS148:$NW148,4)</f>
        <v/>
      </c>
      <c r="OQ148" s="164">
        <f>COUNTIF($NS148:$NW148,5)</f>
        <v/>
      </c>
      <c r="OR148" s="164">
        <f>COUNTIF($NS148:$NW148,6)</f>
        <v/>
      </c>
      <c r="OS148" s="164">
        <f>COUNTIF($OI148:$OJ148,1)+IF(IFERROR(INDEX('DADOS_FORMAS'!$AS$2:$AS$21,MATCH(SUBSTITUTE(SUBSTITUTE(SUBSTITUTE($MU148,"~","~~"),"*","~*"),"?","~?"),'DADOS_FORMAS'!$AH$2:$AH$21,0)),"")="",0,IFERROR(N(VLOOKUP(SUBSTITUTE(SUBSTITUTE(SUBSTITUTE(IFERROR(INDEX('DADOS_FORMAS'!$AS$2:$AS$21,MATCH(SUBSTITUTE(SUBSTITUTE(SUBSTITUTE($MU148,"~","~~"),"*","~*"),"?","~?"),'DADOS_FORMAS'!$AH$2:$AH$21,0)),""),"~","~~"),"*","~*"),"?","~?"),'DADOS_RESTRICOES'!$M$2:$Q$54,3,FALSE)=1),0))</f>
        <v/>
      </c>
      <c r="OT148" s="164">
        <f>COUNTIF($OI148:$OJ148,2)+IF(IFERROR(INDEX('DADOS_FORMAS'!$AS$2:$AS$21,MATCH(SUBSTITUTE(SUBSTITUTE(SUBSTITUTE($MU148,"~","~~"),"*","~*"),"?","~?"),'DADOS_FORMAS'!$AH$2:$AH$21,0)),"")="",0,IFERROR(N(VLOOKUP(SUBSTITUTE(SUBSTITUTE(SUBSTITUTE(IFERROR(INDEX('DADOS_FORMAS'!$AS$2:$AS$21,MATCH(SUBSTITUTE(SUBSTITUTE(SUBSTITUTE($MU148,"~","~~"),"*","~*"),"?","~?"),'DADOS_FORMAS'!$AH$2:$AH$21,0)),""),"~","~~"),"*","~*"),"?","~?"),'DADOS_RESTRICOES'!$M$2:$Q$54,3,FALSE)=2),0))</f>
        <v/>
      </c>
      <c r="OU148" s="164">
        <f>COUNTIF($MX148:$NA148,"?*")</f>
        <v/>
      </c>
      <c r="OV148" s="164">
        <f>COUNTIF($NB148:$NC148,"?*")+$OF148</f>
        <v/>
      </c>
      <c r="OW148" s="164">
        <f>IF($MS148=0,0,SUMPRODUCT($OM148:$OR148,INDEX($I$2:$N$8,MAX(1,$MS148),0)))</f>
        <v/>
      </c>
      <c r="OX148" s="164">
        <f>IF($MS148=0,0,$OS148*CEILING($MS148/2,1)+$OT148*$MS148)</f>
        <v/>
      </c>
      <c r="OY148" s="164">
        <f>MIN(2*$MS148,$OX148)</f>
        <v/>
      </c>
      <c r="OZ148" s="164">
        <f>MIN($OY148,$OW148-IF($NS148=0,0,INDEX($I$2:$N$8,MAX(1,$MS148),$NS148)))</f>
        <v/>
      </c>
      <c r="PA148" s="164">
        <f>$OY148-$OZ148</f>
        <v/>
      </c>
      <c r="PB148" s="164">
        <f>IF($MS148=0,0,INDEX($P$2:$P$8,MAX(1,$MS148)))</f>
        <v/>
      </c>
      <c r="PC148" s="164">
        <f>$PB148-$OW148+$OZ148</f>
        <v/>
      </c>
      <c r="PD148" s="164">
        <f>IF($MS148=0,MAX(0,$NG148-IF(AND($OU148&gt;0,COUNTIF($NB148:$NC148,"?*")=0),1,0)),MAX(0,$PC148))</f>
        <v/>
      </c>
      <c r="PE148" s="164">
        <f>IF($MS148=0,0,(IF(COUNTIF($RK148:$RN148,"Salto")&gt;0,1,0)+IF(COUNTIF($RK148:$RN148,"Queima")&gt;0,1,0)+IF(COUNTIF($RK148:$RN148,"Estilhaço")&gt;0,1,0))*FLOOR($PD148/2,1))</f>
        <v/>
      </c>
      <c r="PF148" s="164">
        <f>MAX(0,2-SUMPRODUCT($OM148:$OR148,$I$2:$N$2)+MIN(2,$OS148*1+$OT148*1,SUMPRODUCT($OM148:$OR148,$I$2:$N$2)-IF($NS148=0,0,INDEX($I$2:$N$2,1,$NS148))))</f>
        <v/>
      </c>
      <c r="PG148" s="164">
        <f>MAX(0,4-SUMPRODUCT($OM148:$OR148,$I$3:$N$3)+MIN(4,$OS148*1+$OT148*2,SUMPRODUCT($OM148:$OR148,$I$3:$N$3)-IF($NS148=0,0,INDEX($I$3:$N$3,1,$NS148))))</f>
        <v/>
      </c>
      <c r="PH148" s="164">
        <f>MAX(0,6-SUMPRODUCT($OM148:$OR148,$I$4:$N$4)+MIN(6,$OS148*2+$OT148*3,SUMPRODUCT($OM148:$OR148,$I$4:$N$4)-IF($NS148=0,0,INDEX($I$4:$N$4,1,$NS148))))</f>
        <v/>
      </c>
      <c r="PI148" s="164">
        <f>MAX(0,9-SUMPRODUCT($OM148:$OR148,$I$5:$N$5)+MIN(8,$OS148*2+$OT148*4,SUMPRODUCT($OM148:$OR148,$I$5:$N$5)-IF($NS148=0,0,INDEX($I$5:$N$5,1,$NS148))))</f>
        <v/>
      </c>
      <c r="PJ148" s="164">
        <f>MAX(0,11-SUMPRODUCT($OM148:$OR148,$I$6:$N$6)+MIN(10,$OS148*3+$OT148*5,SUMPRODUCT($OM148:$OR148,$I$6:$N$6)-IF($NS148=0,0,INDEX($I$6:$N$6,1,$NS148))))</f>
        <v/>
      </c>
      <c r="PK148" s="164">
        <f>MAX(0,13-SUMPRODUCT($OM148:$OR148,$I$7:$N$7)+MIN(12,$OS148*3+$OT148*6,SUMPRODUCT($OM148:$OR148,$I$7:$N$7)-IF($NS148=0,0,INDEX($I$7:$N$7,1,$NS148))))</f>
        <v/>
      </c>
      <c r="PL148" s="164">
        <f>MAX(0,16-SUMPRODUCT($OM148:$OR148,$I$8:$N$8)+MIN(14,$OS148*4+$OT148*7,SUMPRODUCT($OM148:$OR148,$I$8:$N$8)-IF($NS148=0,0,INDEX($I$8:$N$8,1,$NS148))))</f>
        <v/>
      </c>
      <c r="PM148" s="164">
        <f>IF($OG148=2,3*$PF148&amp;" de vida temp.",IF($OG148=3,"sem dano",IF($PF148=0,IF($OG148=1,"sem cura","sem dano"),IF($OG148=1,"cura ","")&amp;$PF148&amp;"d8")))</f>
        <v/>
      </c>
      <c r="PN148" s="164">
        <f>IF($OG148=2,3*$PG148&amp;" de vida temp.",IF($OG148=3,"sem dano",IF($PG148=0,IF($OG148=1,"sem cura","sem dano"),IF($OG148=1,"cura ","")&amp;$PG148&amp;"d8")))</f>
        <v/>
      </c>
      <c r="PO148" s="164">
        <f>IF($OG148=2,3*$PH148&amp;" de vida temp.",IF($OG148=3,"sem dano",IF($PH148=0,IF($OG148=1,"sem cura","sem dano"),IF($OG148=1,"cura ","")&amp;$PH148&amp;"d8")))</f>
        <v/>
      </c>
      <c r="PP148" s="164">
        <f>IF($OG148=2,3*$PI148&amp;" de vida temp.",IF($OG148=3,"sem dano",IF($PI148=0,IF($OG148=1,"sem cura","sem dano"),IF($OG148=1,"cura ","")&amp;$PI148&amp;"d8")))</f>
        <v/>
      </c>
      <c r="PQ148" s="164">
        <f>IF($OG148=2,3*$PJ148&amp;" de vida temp.",IF($OG148=3,"sem dano",IF($PJ148=0,IF($OG148=1,"sem cura","sem dano"),IF($OG148=1,"cura ","")&amp;$PJ148&amp;"d8")))</f>
        <v/>
      </c>
      <c r="PR148" s="164">
        <f>IF($OG148=2,3*$PK148&amp;" de vida temp.",IF($OG148=3,"sem dano",IF($PK148=0,IF($OG148=1,"sem cura","sem dano"),IF($OG148=1,"cura ","")&amp;$PK148&amp;"d8")))</f>
        <v/>
      </c>
      <c r="PS148" s="164">
        <f>IF($OG148=2,3*$PL148&amp;" de vida temp.",IF($OG148=3,"sem dano",IF($PL148=0,IF($OG148=1,"sem cura","sem dano"),IF($OG148=1,"cura ","")&amp;$PL148&amp;"d8")))</f>
        <v/>
      </c>
      <c r="PT148" s="164">
        <f>IF($ND148=0,"",TEXTJOIN(" · ",TRUE,IF($ND148=0,"",TEXTJOIN(" · ",TRUE,IF($ND148=0,"",TEXTJOIN(" · ",TRUE,IF($MQ148&gt;$NE148,"Este lugar abre no nível "&amp;$MQ148,""),IF($MS148&gt;$NF148,"Classe "&amp;$MS148&amp;": o nível "&amp;$NE148&amp;" libera até a "&amp;$NF148,""),IF($NX148=1,"A Forma "&amp;$MU148&amp;" pede "&amp;INDEX('DADOS_FORMAS'!$GA$2:$GA$21,$NJ148)&amp;" aberta",""),IF(AND($MS148=0,$NJ148&gt;0,IF($NJ148=0,0,INDEX('DADOS_FORMAS'!$GJ$2:$GJ$21,$NJ148))=0),$MU148&amp;" não existe na Classe 0",""),IF($NY148=1,"Família Fechada: "&amp;$MX148,""),IF($NZ148=1,"Família Fechada: "&amp;$MY148,""),IF($OA148=1,"Família Fechada: "&amp;$MZ148,""),IF($OB148=1,"Família Fechada: "&amp;$NA148,""),IF(AND($MS148&gt;0,$OU148&gt;INDEX($O$2:$O$8,MAX(1,$MS148))),$OU148&amp;" Melhorias: a Classe "&amp;$MS148&amp;" aceita "&amp;INDEX($O$2:$O$8,MAX(1,$MS148)),""),IF(AND($MS148=0,$OU148&gt;1),"A básica aceita uma Melhoria",""),IF(AND($MS148=0,COUNTIF($NO148:$NR148,"&gt;1")&gt;0),"A básica só aceita Melhoria Leve",""),IF(AND($MS148&gt;0,$OV148&gt;2),$OV148&amp;" Restrições"&amp;IF($OF148=1,", contando a que a Forma "&amp;$MU148&amp;" já traz","")&amp;": o limite é 2",""),IF(AND($MS148=0,COUNTIF($NB148:$NC148,"?*")&gt;1),"A básica aceita uma Restrição Leve",""),IF(AND($MS148=0,COUNTIF($OI148:$OJ148,2)&gt;0),"A básica só aceita Restrição Leve",""),IF(AND($MS148&gt;0,$PC148&lt;0),"Orçamento estourado: faltam "&amp;(-$PC148)&amp;IF($PC148&lt;-1," pontos"," ponto"),""),IF(IFERROR(VLOOKUP(SUBSTITUTE(SUBSTITUTE(SUBSTITUTE($NB148,"~","~~"),"*","~*"),"?","~?"),'DADOS_RESTRICOES'!$M$2:$Q$54,4,FALSE),0)+IFERROR(VLOOKUP(SUBSTITUTE(SUBSTITUTE(SUBSTITUTE($NC148,"~","~~"),"*","~*"),"?","~?"),'DADOS_RESTRICOES'!$M$2:$Q$54,4,FALSE),0)&gt;1,$OK148&amp;" e "&amp;$OL148&amp;" são as duas de frequência",""),IF(AND((COUNTIF($RK148:$RN148,"Rápido")+COUNTIF($OK148:$OL148,"Rápido"))&gt;0,(COUNTIF($MX148:$NA148,"Atrasar")+COUNTIF($OK148:$OL148,"Atrasar"))&gt;0),"Rápido não entra com Atrasar",""),IF(AND((COUNTIF($RK148:$RN148,"Reação")+COUNTIF($OK148:$OL148,"Reação"))&gt;0,(COUNTIF($RK148:$RN148,"Rápido")+COUNTIF($OK148:$OL148,"Rápido"))&gt;0),"Reação não entra com Rápido",""),IF(AND((COUNTIF($RK148:$RN148,"Reação")+COUNTIF($OK148:$OL148,"Reação"))&gt;0,(COUNTIF($RK148:$RN148,"Armado")+COUNTIF($OK148:$OL148,"Armado"))&gt;0),"Reação não entra com Armado",""),IF(AND((COUNTIF($RK148:$RN148,"Reação")+COUNTIF($OK148:$OL148,"Reação"))&gt;0,(COUNTIF($MX148:$NA148,"Atrasar")+COUNTIF($OK148:$OL148,"Atrasar"))&gt;0),"Reação não entra com Atrasar",""),IF(AND((COUNTIF($RK148:$RN148,"Reação")+COUNTIF($OK148:$OL148,"Reação"))&gt;0,(COUNTIF($MX148:$NA148,"Parado")+COUNTIF($OK148:$OL148,"Parado"))&gt;0),"Reação não entra com Parado",""),IF(AND((COUNTIF($MX148:$NA148,"Atrasar")+COUNTIF($OK148:$OL148,"Atrasar"))&gt;0,(COUNTIF($MX148:$NA148,"Parado")+COUNTIF($OK148:$OL148,"Parado"))&gt;0),"Atrasar não entra com Parado",""),IF(AND((COUNTIF($RK148:$RN148,"Armado")+COUNTIF($OK148:$OL148,"Armado"))&gt;0,(COUNTIF($MX148:$NA148,"Carregar")+COUNTIF($OK148:$OL148,"Carregar"))&gt;0),"Armado não entra com Carregar",""),IF(AND(COUNTIF($OK148:$OL148,"Corpo a Corpo")&gt;0,$OF148=0,OR($RO148="Cone",$RO148="Linha")),"Corpo a Corpo não entra em "&amp;$MU148,""),IF(AND(COUNTIF($OK148:$OL148,"Corpo a Corpo")&gt;0,$RP148="Corpo a Corpo"),"A Forma "&amp;$MU148&amp;" já traz o Corpo a Corpo",""),IF(AND(COUNTIF($OK148:$OL148,"Tudo ou Nada")&gt;0,$OH148=0),"Tudo ou Nada só entra em habilidade de Teste de Resistência",""),IF(AND(COUNTIF($RK148:$RN148,"Inescapável")&gt;0,OR($OU148&gt;1,$OV148&gt;0)),"Inescapável não aceita outra peça",""),IF(AND($MS148&gt;0,$PD148*IF(COUNTIF($RK148:$RN148,"Remate")&gt;0,1.25,1)+$PE148&gt;4*$MS148),($PD148*IF(COUNTIF($RK148:$RN148,"Remate")&gt;0,1.25,1)+$PE148)&amp;" dados somando repetições"&amp;IF(COUNTIF($RK148:$RN148,"Remate")&gt;0," e o Remate","")&amp;": o teto da Classe "&amp;$MS148&amp;" é "&amp;4*$MS148,""))),IF(AND($MX148&lt;&gt;"",COUNTIF('DADOS_MELHORIAS'!$O$2:$O$113,SUBSTITUTE(SUBSTITUTE(SUBSTITUTE($MX148,"~","~~"),"*","~*"),"?","~?"))=0),"Melhoria não cadastrada ou com erro: "&amp;$MX148,""),IF(AND($MY148&lt;&gt;"",COUNTIF('DADOS_MELHORIAS'!$O$2:$O$113,SUBSTITUTE(SUBSTITUTE(SUBSTITUTE($MY148,"~","~~"),"*","~*"),"?","~?"))=0),"Melhoria não cadastrada ou com erro: "&amp;$MY148,""),IF(AND($MZ148&lt;&gt;"",COUNTIF('DADOS_MELHORIAS'!$O$2:$O$113,SUBSTITUTE(SUBSTITUTE(SUBSTITUTE($MZ148,"~","~~"),"*","~*"),"?","~?"))=0),"Melhoria não cadastrada ou com erro: "&amp;$MZ148,""),IF(AND($NA148&lt;&gt;"",COUNTIF('DADOS_MELHORIAS'!$O$2:$O$113,SUBSTITUTE(SUBSTITUTE(SUBSTITUTE($NA148,"~","~~"),"*","~*"),"?","~?"))=0),"Melhoria não cadastrada ou com erro: "&amp;$NA148,""),IF(AND($NB148&lt;&gt;"",COUNTIF('DADOS_RESTRICOES'!$M$2:$M$54,SUBSTITUTE(SUBSTITUTE(SUBSTITUTE($NB148,"~","~~"),"*","~*"),"?","~?"))=0),"Restrição não cadastrada ou com erro: "&amp;$NB148,""),IF(AND($NC148&lt;&gt;"",COUNTIF('DADOS_RESTRICOES'!$M$2:$M$54,SUBSTITUTE(SUBSTITUTE(SUBSTITUTE($NC148,"~","~~"),"*","~*"),"?","~?"))=0),"Restrição não cadastrada ou com erro: "&amp;$NC148,""))),IF(AND($MU148&lt;&gt;"",COUNTIF('DADOS_FORMAS'!$AH$2:$AH$21,SUBSTITUTE(SUBSTITUTE(SUBSTITUTE($MU148,"~","~~"),"*","~*"),"?","~?"))=0),"Forma não cadastrada ou com erro: "&amp;$MU148,""),IF(AND(IFERROR(INDEX('DADOS_FORMAS'!$AS$2:$AS$21,MATCH(SUBSTITUTE(SUBSTITUTE(SUBSTITUTE($MU148,"~","~~"),"*","~*"),"?","~?"),'DADOS_FORMAS'!$AH$2:$AH$21,0)),"")&lt;&gt;"",OR(IFERROR(VLOOKUP(SUBSTITUTE(SUBSTITUTE(SUBSTITUTE(IFERROR(INDEX('DADOS_FORMAS'!$AS$2:$AS$21,MATCH(SUBSTITUTE(SUBSTITUTE(SUBSTITUTE($MU148,"~","~~"),"*","~*"),"?","~?"),'DADOS_FORMAS'!$AH$2:$AH$21,0)),""),"~","~~"),"*","~*"),"?","~?"),'DADOS_RESTRICOES'!$M$2:$Q$54,2,FALSE),"")=$OK148,IFERROR(VLOOKUP(SUBSTITUTE(SUBSTITUTE(SUBSTITUTE(IFERROR(INDEX('DADOS_FORMAS'!$AS$2:$AS$21,MATCH(SUBSTITUTE(SUBSTITUTE(SUBSTITUTE($MU148,"~","~~"),"*","~*"),"?","~?"),'DADOS_FORMAS'!$AH$2:$AH$21,0)),""),"~","~~"),"*","~*"),"?","~?"),'DADOS_RESTRICOES'!$M$2:$Q$54,2,FALSE),"")=$OL148)),"Restrição repetida, contando a embutida",""),IF(IF(IFERROR(INDEX('DADOS_FORMAS'!$AS$2:$AS$21,MATCH(SUBSTITUTE(SUBSTITUTE(SUBSTITUTE($MU148,"~","~~"),"*","~*"),"?","~?"),'DADOS_FORMAS'!$AH$2:$AH$21,0)),"")="",0,IFERROR(N(VLOOKUP(SUBSTITUTE(SUBSTITUTE(SUBSTITUTE(IFERROR(INDEX('DADOS_FORMAS'!$AS$2:$AS$21,MATCH(SUBSTITUTE(SUBSTITUTE(SUBSTITUTE($MU148,"~","~~"),"*","~*"),"?","~?"),'DADOS_FORMAS'!$AH$2:$AH$21,0)),""),"~","~~"),"*","~*"),"?","~?"),'DADOS_RESTRICOES'!$M$2:$Q$54,4,FALSE)=1),0))+IF($NB148="",0,IFERROR(N(VLOOKUP(SUBSTITUTE(SUBSTITUTE(SUBSTITUTE($NB148,"~","~~"),"*","~*"),"?","~?"),'DADOS_RESTRICOES'!$M$2:$Q$54,4,FALSE)=1),0))+IF($NC148="",0,IFERROR(N(VLOOKUP(SUBSTITUTE(SUBSTITUTE(SUBSTITUTE($NC148,"~","~~"),"*","~*"),"?","~?"),'DADOS_RESTRICOES'!$M$2:$Q$54,4,FALSE)=1),0))&gt;1,"Duas Restrições de frequência, contando a embutida",""),IF(AND(IFERROR(VLOOKUP(SUBSTITUTE(SUBSTITUTE(SUBSTITUTE(IFERROR(INDEX('DADOS_FORMAS'!$AS$2:$AS$21,MATCH(SUBSTITUTE(SUBSTITUTE(SUBSTITUTE($MU148,"~","~~"),"*","~*"),"?","~?"),'DADOS_FORMAS'!$AH$2:$AH$21,0)),""),"~","~~"),"*","~*"),"?","~?"),'DADOS_RESTRICOES'!$M$2:$Q$54,2,FALSE),"")="Tudo ou Nada",$OH148=0),"Tudo ou Nada exige TR",""),IF(AND(IFERROR(VLOOKUP(SUBSTITUTE(SUBSTITUTE(SUBSTITUTE(IFERROR(INDEX('DADOS_FORMAS'!$AS$2:$AS$21,MATCH(SUBSTITUTE(SUBSTITUTE(SUBSTITUTE($MU148,"~","~~"),"*","~*"),"?","~?"),'DADOS_FORMAS'!$AH$2:$AH$21,0)),""),"~","~~"),"*","~*"),"?","~?"),'DADOS_RESTRICOES'!$M$2:$Q$54,2,FALSE),"")="Corpo a Corpo",OR($RO148="Cone",$RO148="Linha")),"Corpo a Corpo não entra em Cone/Linha","")))</f>
        <v/>
      </c>
      <c r="PU148" s="164">
        <f>IF($PT148="",0,(LEN($PT148)-LEN(SUBSTITUTE($PT148," · ","")))/3+1)</f>
        <v/>
      </c>
      <c r="PV148" s="164">
        <f>IF($ND148=0,"",TEXTJOIN(" · ",TRUE,IF($OX148&gt;2*$MS148,"A devolução parou no teto de "&amp;2*$MS148,""),IF($PA148&gt;0,"Devolução perdida: "&amp;$PA148&amp;IF($PA148&gt;1," pontos"," ponto")&amp;" sem Melhoria para pagar",""),IF(AND($OC148&gt;0,AND($MS148&gt;0,$OG148=0),$PD148=0),"Controle sem dano: uma rodada a mais e CD +2",""),IF(AND($OC148&gt;0,AND($MS148&gt;0,$OG148=0),$PD148&gt;0,$PD148&lt;=$MS148),"Controle com saldo até a Classe: uma rodada a mais",""),IF(AND($MS148&gt;0,$OE148&lt;&gt;""),"Efeito de "&amp;$OE148&amp;" pela Classe "&amp;MAX(1,$MS148-1),"")))</f>
        <v/>
      </c>
      <c r="PW148" s="164">
        <f>IF($PV148="",0,(LEN($PV148)-LEN(SUBSTITUTE($PV148," · ","")))/3+1)</f>
        <v/>
      </c>
      <c r="PX148" s="164">
        <f>IF($ND148=0,IF($OU148+COUNTIF($NB148:$NC148,"?*")&gt;0,"Dê um nome",""),IF($PU148&gt;0,"⚠ "&amp;$PU148&amp;IF($PU148&gt;1," erros"," erro"),IF($PW148&gt;0,"! "&amp;$PW148&amp;IF($PW148&gt;1," avisos"," aviso"),"Na regra")))</f>
        <v/>
      </c>
      <c r="PY148" s="164">
        <f>IF($ND148=0,"",IF($PU148+$PW148=0,"Dentro das regras que a ficha confere",$PT148&amp;IF(AND($PU148&gt;0,$PW148&gt;0)," · ","")&amp;$PV148))</f>
        <v/>
      </c>
      <c r="PZ148" s="164">
        <f>IF($MQ148&gt;$NE148,$MR148&amp;" · ABRE NO NÍVEL "&amp;$MQ148,$MR148)</f>
        <v/>
      </c>
      <c r="QA148" s="164">
        <f>IF($ND148=0,"",IF($MS148=0,"Sem PE",3*$MS148&amp;" PE"))</f>
        <v/>
      </c>
      <c r="QB148" s="164">
        <f>IF($ND148=0,"",IF($MS148=0,"A atuação básica dela",IF(COUNTIF($RQ148:$RS148,"Atrasar")&gt;0,"Sua Ação Completa",IF(COUNTIF($RK148:$RN148,"Rápido")&gt;0,"Sua Bônus",IF(COUNTIF($RK148:$RN148,"Reação")&gt;0,"Sua Reação","Sua Padrão")))&amp;" + a básica dela"&amp;IF(COUNTIF($RK148:$RN148,"Reação")&gt;0," e a coletiva","")&amp;IF(COUNTIF($RQ148:$RS148,"Carregar")&gt;0," · em dois turnos","")))</f>
        <v/>
      </c>
      <c r="QC148" s="164">
        <f>IF($MW148&lt;&gt;"",$MW148,IF($NJ148=0,"",INDEX('DADOS_FORMAS'!$GE$2:$GE$21,$NJ148)))</f>
        <v/>
      </c>
      <c r="QD148" s="164">
        <f>IF(OR($ND148=0,$NJ148=0),"",IF(COUNTIF($RK148:$RN148,"Inescapável")&gt;0,"Automático",IF($QC148="Ataque",IF($NH148="","Ataque","Ataque "&amp;IF(($NH148+2*IF(COUNTIF($RK148:$RN148,"Precisão")&gt;0,1,0))&gt;=0,"+","−")&amp;ABS(($NH148+2*IF(COUNTIF($RK148:$RN148,"Precisão")&gt;0,1,0))))&amp;IF($OD148&gt;0," · TR"&amp;IF($NI148="",""," CD "&amp;$NI148),""),IF(LEFT($QC148,2)="TR",$QC148&amp;IF($NI148="",""," · CD "&amp;$NI148)&amp;IF(COUNTIF($RK148:$RN148,"Certeiro")&gt;0," · metade",""),"Sem rolagem"))))</f>
        <v/>
      </c>
      <c r="QE148" s="164">
        <f>IF(OR($ND148=0,$NJ148=0),"",IF($MS148=0,IF(OR($OG148&gt;=1,$PD148=0),"Sem dano",$PD148&amp;"d6"&amp;IF($MV148="",""," "&amp;$MV148)),IF(OR($OG148&gt;=1,$PD148=0),UPPER(LEFT(INDEX($PM148:$PS148,1,MAX(1,$MS148)),1))&amp;MID(INDEX($PM148:$PS148,1,MAX(1,$MS148)),2,99),UPPER(LEFT(INDEX($PM148:$PS148,1,MAX(1,$MS148)),1))&amp;MID(INDEX($PM148:$PS148,1,MAX(1,$MS148)),2,99)&amp;IF($MV148="",""," "&amp;$MV148)&amp;IF($PE148&gt;0," · +"&amp;$PE148&amp;"d8",""))))</f>
        <v/>
      </c>
      <c r="QF148" s="164">
        <f>COUNTIF($RK148:$RN148,"Longe")+3*COUNTIF($RK148:$RN148,"Muito Longe")</f>
        <v/>
      </c>
      <c r="QG148" s="164">
        <f>COUNTIF($RK148:$RN148,"Maior")+3*COUNTIF($RK148:$RN148,"Muito Maior")</f>
        <v/>
      </c>
      <c r="QH148" s="164">
        <f>IF($NJ148=0,0,CHOOSE(1+INDEX('DADOS_FORMAS'!$GG$2:$GG$21,$NJ148),0,$QF148,$QG148,$QF148+$QG148))</f>
        <v/>
      </c>
      <c r="QI148" s="164">
        <f>IF($NJ148=0,0,CHOOSE(1+INDEX('DADOS_FORMAS'!$GH$2:$GH$21,$NJ148),0,$QF148,$QG148,$QF148+$QG148))</f>
        <v/>
      </c>
      <c r="QJ148" s="164">
        <f>IF(OR($ND148=0,$NJ148=0),"",INDEX('DADOS_FORMAS'!$HU$2:$HZ$81,($NJ148-1)*4+IF($MS148=0,1,IF($MS148&lt;=5,2,IF($MS148=6,3,4))),1+MIN(5,$QH148))&amp;INDEX('DADOS_FORMAS'!$IA$2:$IF$81,($NJ148-1)*4+IF($MS148=0,1,IF($MS148&lt;=5,2,IF($MS148=6,3,4))),1+MIN(5,$QI148))&amp;IF(INDEX('DADOS_FORMAS'!$GI$2:$GI$21,$NJ148)=1,IF(COUNTIF($RK148:$RN148,"Mais Um")&gt;0," · +"&amp;COUNTIF($RK148:$RN148,"Mais Um")&amp;IF(COUNTIF($RK148:$RN148,"Mais Um")&gt;1," alvos"," alvo"),"")&amp;IF(COUNTIF($RK148:$RN148,"Rajada")&gt;0,IF($MS148=0," · 1 tiro"," · "&amp;(MAX(1,$MS148-1)+1)&amp;" tiros"),""),""))</f>
        <v/>
      </c>
      <c r="QK148" s="164">
        <f>IF($ND148=0,"",IF($MS148=0,$NG148&amp;"d6"&amp;IF($OU148&gt;0," − 1 = "&amp;$PD148&amp;"d6"," da básica do nível "&amp;$NE148),$PB148&amp;" − "&amp;$OW148&amp;" + "&amp;$OZ148&amp;" = "&amp;$PC148&amp;" · teto "&amp;4*$MS148&amp;"d8"&amp;IF($OF148=1," · a Forma devolve "&amp;$MS148,"")&amp;IF($PA148&gt;0," · perde "&amp;$PA148,"")))</f>
        <v/>
      </c>
      <c r="QL148" s="164">
        <f>IF($ND148=0,"",IF($MS148=0,"A básica não amplia: os dados dela sobem com o nível",IF($MS148&gt;=$NF148,"Já está na maior Classe que o nível liberou",TEXTJOIN(" · ",TRUE,IF(AND(2&gt;$MS148,2&lt;=$NF148),"2 → "&amp;$PN148&amp;", 6 PE",""),IF(AND(3&gt;$MS148,3&lt;=$NF148),"3 → "&amp;$PO148&amp;", 9 PE",""),IF(AND(4&gt;$MS148,4&lt;=$NF148),"4 → "&amp;$PP148&amp;", 12 PE",""),IF(AND(5&gt;$MS148,5&lt;=$NF148),"5 → "&amp;$PQ148&amp;", 15 PE",""),IF(AND(6&gt;$MS148,6&lt;=$NF148),"6 → "&amp;$PR148&amp;", 18 PE",""),IF(AND(7&gt;$MS148,7&lt;=$NF148),"7 → "&amp;$PS148&amp;", 21 PE","")))))</f>
        <v/>
      </c>
      <c r="QM148" s="164">
        <f>IF(OR($ND148=0,$NO148=0),"",IF($MS148=0,"−1 dado","−"&amp;INDEX($I$2:$N$8,MAX(1,$MS148),MAX(1,$NT148))&amp;" · "&amp;CHOOSE(MAX(1,$NT148),"Leve","Média","Pesada","Leve · Livre","Média · Livre","Pesada · Livre")))</f>
        <v/>
      </c>
      <c r="QN148" s="164">
        <f>IF(OR($ND148=0,$NP148=0),"",IF($MS148=0,"−1 dado","−"&amp;INDEX($I$2:$N$8,MAX(1,$MS148),MAX(1,$NU148))&amp;" · "&amp;CHOOSE(MAX(1,$NU148),"Leve","Média","Pesada","Leve · Livre","Média · Livre","Pesada · Livre")))</f>
        <v/>
      </c>
      <c r="QO148" s="164">
        <f>IF(OR($ND148=0,$NQ148=0),"",IF($MS148=0,"−1 dado","−"&amp;INDEX($I$2:$N$8,MAX(1,$MS148),MAX(1,$NV148))&amp;" · "&amp;CHOOSE(MAX(1,$NV148),"Leve","Média","Pesada","Leve · Livre","Média · Livre","Pesada · Livre")))</f>
        <v/>
      </c>
      <c r="QP148" s="164">
        <f>IF(OR($ND148=0,$NR148=0),"",IF($MS148=0,"−1 dado","−"&amp;INDEX($I$2:$N$8,MAX(1,$MS148),MAX(1,$NW148))&amp;" · "&amp;CHOOSE(MAX(1,$NW148),"Leve","Média","Pesada","Leve · Livre","Média · Livre","Pesada · Livre")))</f>
        <v/>
      </c>
      <c r="QQ148" s="164">
        <f>IF(OR($ND148=0,$NB148=""),"",IF($MS148=0,"não devolve","+"&amp;IF($OI148=1,CEILING($MS148/2,1),$MS148)))</f>
        <v/>
      </c>
      <c r="QR148" s="164">
        <f>IF(OR($ND148=0,$NC148=""),"",IF($MS148=0,"não devolve","+"&amp;IF($OJ148=1,CEILING($MS148/2,1),$MS148)))</f>
        <v/>
      </c>
      <c r="RK148">
        <f>IF($MX148="","",IFERROR(VLOOKUP(SUBSTITUTE(SUBSTITUTE(SUBSTITUTE($MX148,"~","~~"),"*","~*"),"?","~?"),'DADOS_MELHORIAS'!$O$2:$X$113,10,FALSE),$MX148))</f>
        <v/>
      </c>
      <c r="RL148">
        <f>IF($MY148="","",IFERROR(VLOOKUP(SUBSTITUTE(SUBSTITUTE(SUBSTITUTE($MY148,"~","~~"),"*","~*"),"?","~?"),'DADOS_MELHORIAS'!$O$2:$X$113,10,FALSE),$MY148))</f>
        <v/>
      </c>
      <c r="RM148">
        <f>IF($MZ148="","",IFERROR(VLOOKUP(SUBSTITUTE(SUBSTITUTE(SUBSTITUTE($MZ148,"~","~~"),"*","~*"),"?","~?"),'DADOS_MELHORIAS'!$O$2:$X$113,10,FALSE),$MZ148))</f>
        <v/>
      </c>
      <c r="RN148">
        <f>IF($NA148="","",IFERROR(VLOOKUP(SUBSTITUTE(SUBSTITUTE(SUBSTITUTE($NA148,"~","~~"),"*","~*"),"?","~?"),'DADOS_MELHORIAS'!$O$2:$X$113,10,FALSE),$NA148))</f>
        <v/>
      </c>
      <c r="RO148">
        <f>IFERROR(INDEX('DADOS_FORMAS'!$BJ$2:$BJ$21,MATCH(SUBSTITUTE(SUBSTITUTE(SUBSTITUTE($MU148,"~","~~"),"*","~*"),"?","~?"),'DADOS_FORMAS'!$AH$2:$AH$21,0)),"")</f>
        <v/>
      </c>
      <c r="RP148">
        <f>IFERROR(VLOOKUP(SUBSTITUTE(SUBSTITUTE(SUBSTITUTE(IFERROR(INDEX('DADOS_FORMAS'!$AS$2:$AS$21,MATCH(SUBSTITUTE(SUBSTITUTE(SUBSTITUTE($MU148,"~","~~"),"*","~*"),"?","~?"),'DADOS_FORMAS'!$AH$2:$AH$21,0)),""),"~","~~"),"*","~*"),"?","~?"),'DADOS_RESTRICOES'!$M$2:$Q$54,2,FALSE),"")</f>
        <v/>
      </c>
      <c r="RQ148">
        <f>$OK148</f>
        <v/>
      </c>
      <c r="RR148">
        <f>$OL148</f>
        <v/>
      </c>
      <c r="RS148">
        <f>$RP148</f>
        <v/>
      </c>
    </row>
    <row r="149">
      <c r="MN149" s="162" t="inlineStr">
        <is>
          <t>Ficha 12 · Especial 3</t>
        </is>
      </c>
      <c r="MO149" s="164" t="n">
        <v>12</v>
      </c>
      <c r="MP149" s="164" t="n">
        <v>1</v>
      </c>
      <c r="MQ149" s="164" t="n">
        <v>8</v>
      </c>
      <c r="MR149" s="162" t="inlineStr">
        <is>
          <t>ESPECIAL 3</t>
        </is>
      </c>
      <c r="MS149" s="164">
        <f>MAX(1,MIN(7,N('INVOCAÇÕES'!$AH$1160)))</f>
        <v/>
      </c>
      <c r="MT149" s="164">
        <f>'INVOCAÇÕES'!$AI$1160&amp;""</f>
        <v/>
      </c>
      <c r="MU149" s="164">
        <f>'INVOCAÇÕES'!$AH$1165&amp;""</f>
        <v/>
      </c>
      <c r="MV149" s="164">
        <f>'INVOCAÇÕES'!$AH$1166&amp;""</f>
        <v/>
      </c>
      <c r="MW149" s="164">
        <f>'INVOCAÇÕES'!$AJ$1166&amp;""</f>
        <v/>
      </c>
      <c r="MX149" s="164">
        <f>'INVOCAÇÕES'!$AI$1169&amp;""</f>
        <v/>
      </c>
      <c r="MY149" s="164">
        <f>'INVOCAÇÕES'!$AI$1170&amp;""</f>
        <v/>
      </c>
      <c r="MZ149" s="164">
        <f>'INVOCAÇÕES'!$AI$1171&amp;""</f>
        <v/>
      </c>
      <c r="NA149" s="164">
        <f>'INVOCAÇÕES'!$AI$1172&amp;""</f>
        <v/>
      </c>
      <c r="NB149" s="164">
        <f>'INVOCAÇÕES'!$AI$1173&amp;""</f>
        <v/>
      </c>
      <c r="NC149" s="164">
        <f>'INVOCAÇÕES'!$AI$1174&amp;""</f>
        <v/>
      </c>
      <c r="ND149" s="164">
        <f>IF($MT149&lt;&gt;"",1,0)</f>
        <v/>
      </c>
      <c r="NE149" s="164">
        <f>INDEX($FO$2:$FO$13,$MO149)</f>
        <v/>
      </c>
      <c r="NF149" s="164">
        <f>INDEX($FP$2:$FP$13,$MO149)</f>
        <v/>
      </c>
      <c r="NG149" s="164">
        <f>INDEX($FQ$2:$FQ$13,$MO149)</f>
        <v/>
      </c>
      <c r="NH149" s="164">
        <f>INDEX($GB$2:$GB$13,$MO149)</f>
        <v/>
      </c>
      <c r="NI149" s="164">
        <f>INDEX($GC$2:$GC$13,$MO149)</f>
        <v/>
      </c>
      <c r="NJ149" s="164">
        <f>IFERROR(MATCH(SUBSTITUTE(SUBSTITUTE(SUBSTITUTE($MU149,"~","~~"),"*","~*"),"?","~?"),'DADOS_FORMAS'!$FZ$2:$FZ$21,0),0)</f>
        <v/>
      </c>
      <c r="NK149" s="164">
        <f>IFERROR(VLOOKUP(SUBSTITUTE(SUBSTITUTE(SUBSTITUTE($MX149,"~","~~"),"*","~*"),"?","~?"),'DADOS_MELHORIAS'!$AG$2:$AL$113,2,FALSE),"")</f>
        <v/>
      </c>
      <c r="NL149" s="164">
        <f>IFERROR(VLOOKUP(SUBSTITUTE(SUBSTITUTE(SUBSTITUTE($MY149,"~","~~"),"*","~*"),"?","~?"),'DADOS_MELHORIAS'!$AG$2:$AL$113,2,FALSE),"")</f>
        <v/>
      </c>
      <c r="NM149" s="164">
        <f>IFERROR(VLOOKUP(SUBSTITUTE(SUBSTITUTE(SUBSTITUTE($MZ149,"~","~~"),"*","~*"),"?","~?"),'DADOS_MELHORIAS'!$AG$2:$AL$113,2,FALSE),"")</f>
        <v/>
      </c>
      <c r="NN149" s="164">
        <f>IFERROR(VLOOKUP(SUBSTITUTE(SUBSTITUTE(SUBSTITUTE($NA149,"~","~~"),"*","~*"),"?","~?"),'DADOS_MELHORIAS'!$AG$2:$AL$113,2,FALSE),"")</f>
        <v/>
      </c>
      <c r="NO149" s="164">
        <f>IFERROR(VLOOKUP(SUBSTITUTE(SUBSTITUTE(SUBSTITUTE($MX149,"~","~~"),"*","~*"),"?","~?"),'DADOS_MELHORIAS'!$AG$2:$AL$113,3,FALSE),0)</f>
        <v/>
      </c>
      <c r="NP149" s="164">
        <f>IFERROR(VLOOKUP(SUBSTITUTE(SUBSTITUTE(SUBSTITUTE($MY149,"~","~~"),"*","~*"),"?","~?"),'DADOS_MELHORIAS'!$AG$2:$AL$113,3,FALSE),0)</f>
        <v/>
      </c>
      <c r="NQ149" s="164">
        <f>IFERROR(VLOOKUP(SUBSTITUTE(SUBSTITUTE(SUBSTITUTE($MZ149,"~","~~"),"*","~*"),"?","~?"),'DADOS_MELHORIAS'!$AG$2:$AL$113,3,FALSE),0)</f>
        <v/>
      </c>
      <c r="NR149" s="164">
        <f>IFERROR(VLOOKUP(SUBSTITUTE(SUBSTITUTE(SUBSTITUTE($NA149,"~","~~"),"*","~*"),"?","~?"),'DADOS_MELHORIAS'!$AG$2:$AL$113,3,FALSE),0)</f>
        <v/>
      </c>
      <c r="NS149" s="164">
        <f>IF($MS149=0,0,IF($NJ149=0,0,INDEX('DADOS_FORMAS'!$GB$2:$GB$21,$NJ149)))</f>
        <v/>
      </c>
      <c r="NT149" s="164">
        <f>IF(OR($NO149=0,$MS149=0),0,$NO149+3*IF(AND($NK149&lt;&gt;"",COUNTIF(INDEX($RB$2:$RJ$13,$MO149,0),$NK149)&gt;0),1,0))</f>
        <v/>
      </c>
      <c r="NU149" s="164">
        <f>IF(OR($NP149=0,$MS149=0),0,$NP149+3*IF(AND($NL149&lt;&gt;"",COUNTIF(INDEX($RB$2:$RJ$13,$MO149,0),$NL149)&gt;0),1,0))</f>
        <v/>
      </c>
      <c r="NV149" s="164">
        <f>IF(OR($NQ149=0,$MS149=0),0,$NQ149+3*IF(AND($NM149&lt;&gt;"",COUNTIF(INDEX($RB$2:$RJ$13,$MO149,0),$NM149)&gt;0),1,0))</f>
        <v/>
      </c>
      <c r="NW149" s="164">
        <f>IF(OR($NR149=0,$MS149=0),0,$NR149+3*IF(AND($NN149&lt;&gt;"",COUNTIF(INDEX($RB$2:$RJ$13,$MO149,0),$NN149)&gt;0),1,0))</f>
        <v/>
      </c>
      <c r="NX149" s="164">
        <f>IF($NJ149=0,0,IF(INDEX('DADOS_FORMAS'!$GA$2:$GA$21,$NJ149)="",0,IF((COUNTIF(INDEX($EL$2:$EP$13,$MO149,0),INDEX('DADOS_FORMAS'!$GA$2:$GA$21,$NJ149))+COUNTIF(INDEX($QV$2:$QY$13,$MO149,0),INDEX('DADOS_FORMAS'!$GA$2:$GA$21,$NJ149)))=0,1,0)))</f>
        <v/>
      </c>
      <c r="NY149" s="164">
        <f>IF(OR($NO149=0,$NK149=""),0,IF((COUNTIF(INDEX($EL$2:$EP$13,$MO149,0),$NK149)+COUNTIF(INDEX($QV$2:$QY$13,$MO149,0),$NK149))=0,1,0))</f>
        <v/>
      </c>
      <c r="NZ149" s="164">
        <f>IF(OR($NP149=0,$NL149=""),0,IF((COUNTIF(INDEX($EL$2:$EP$13,$MO149,0),$NL149)+COUNTIF(INDEX($QV$2:$QY$13,$MO149,0),$NL149))=0,1,0))</f>
        <v/>
      </c>
      <c r="OA149" s="164">
        <f>IF(OR($NQ149=0,$NM149=""),0,IF((COUNTIF(INDEX($EL$2:$EP$13,$MO149,0),$NM149)+COUNTIF(INDEX($QV$2:$QY$13,$MO149,0),$NM149))=0,1,0))</f>
        <v/>
      </c>
      <c r="OB149" s="164">
        <f>IF(OR($NR149=0,$NN149=""),0,IF((COUNTIF(INDEX($EL$2:$EP$13,$MO149,0),$NN149)+COUNTIF(INDEX($QV$2:$QY$13,$MO149,0),$NN149))=0,1,0))</f>
        <v/>
      </c>
      <c r="OC149" s="164">
        <f>IFERROR(VLOOKUP(SUBSTITUTE(SUBSTITUTE(SUBSTITUTE($MX149,"~","~~"),"*","~*"),"?","~?"),'DADOS_MELHORIAS'!$AG$2:$AL$113,4,FALSE),0)+IFERROR(VLOOKUP(SUBSTITUTE(SUBSTITUTE(SUBSTITUTE($MY149,"~","~~"),"*","~*"),"?","~?"),'DADOS_MELHORIAS'!$AG$2:$AL$113,4,FALSE),0)+IFERROR(VLOOKUP(SUBSTITUTE(SUBSTITUTE(SUBSTITUTE($MZ149,"~","~~"),"*","~*"),"?","~?"),'DADOS_MELHORIAS'!$AG$2:$AL$113,4,FALSE),0)+IFERROR(VLOOKUP(SUBSTITUTE(SUBSTITUTE(SUBSTITUTE($NA149,"~","~~"),"*","~*"),"?","~?"),'DADOS_MELHORIAS'!$AG$2:$AL$113,4,FALSE),0)</f>
        <v/>
      </c>
      <c r="OD149" s="164">
        <f>IFERROR(VLOOKUP(SUBSTITUTE(SUBSTITUTE(SUBSTITUTE($MX149,"~","~~"),"*","~*"),"?","~?"),'DADOS_MELHORIAS'!$AG$2:$AL$113,6,FALSE),0)+IFERROR(VLOOKUP(SUBSTITUTE(SUBSTITUTE(SUBSTITUTE($MY149,"~","~~"),"*","~*"),"?","~?"),'DADOS_MELHORIAS'!$AG$2:$AL$113,6,FALSE),0)+IFERROR(VLOOKUP(SUBSTITUTE(SUBSTITUTE(SUBSTITUTE($MZ149,"~","~~"),"*","~*"),"?","~?"),'DADOS_MELHORIAS'!$AG$2:$AL$113,6,FALSE),0)+IFERROR(VLOOKUP(SUBSTITUTE(SUBSTITUTE(SUBSTITUTE($NA149,"~","~~"),"*","~*"),"?","~?"),'DADOS_MELHORIAS'!$AG$2:$AL$113,6,FALSE),0)+IFERROR(N(AND(INDEX('DADOS_FORMAS'!$AO$2:$AO$21,MATCH(SUBSTITUTE(SUBSTITUTE(SUBSTITUTE($MU149,"~","~~"),"*","~*"),"?","~?"),'DADOS_FORMAS'!$AH$2:$AH$21,0))="Acerto",$OH149=1)),0)</f>
        <v/>
      </c>
      <c r="OE149" s="164">
        <f>TEXTJOIN(", ",TRUE,IF(IFERROR(VLOOKUP(SUBSTITUTE(SUBSTITUTE(SUBSTITUTE($MX149,"~","~~"),"*","~*"),"?","~?"),'DADOS_MELHORIAS'!$AG$2:$AL$113,5,FALSE),0)=1,$MX149,""),IF(IFERROR(VLOOKUP(SUBSTITUTE(SUBSTITUTE(SUBSTITUTE($MY149,"~","~~"),"*","~*"),"?","~?"),'DADOS_MELHORIAS'!$AG$2:$AL$113,5,FALSE),0)=1,$MY149,""),IF(IFERROR(VLOOKUP(SUBSTITUTE(SUBSTITUTE(SUBSTITUTE($MZ149,"~","~~"),"*","~*"),"?","~?"),'DADOS_MELHORIAS'!$AG$2:$AL$113,5,FALSE),0)=1,$MZ149,""),IF(IFERROR(VLOOKUP(SUBSTITUTE(SUBSTITUTE(SUBSTITUTE($NA149,"~","~~"),"*","~*"),"?","~?"),'DADOS_MELHORIAS'!$AG$2:$AL$113,5,FALSE),0)=1,$NA149,""))</f>
        <v/>
      </c>
      <c r="OF149" s="164">
        <f>IF($NJ149=0,0,INDEX('DADOS_FORMAS'!$GC$2:$GC$21,$NJ149))</f>
        <v/>
      </c>
      <c r="OG149" s="164">
        <f>IF($NJ149=0,0,INDEX('DADOS_FORMAS'!$GD$2:$GD$21,$NJ149))</f>
        <v/>
      </c>
      <c r="OH149" s="164">
        <f>IF($NJ149=0,0,INDEX('DADOS_FORMAS'!$GF$2:$GF$21,$NJ149))</f>
        <v/>
      </c>
      <c r="OI149" s="164">
        <f>IFERROR(VLOOKUP(SUBSTITUTE(SUBSTITUTE(SUBSTITUTE($NB149,"~","~~"),"*","~*"),"?","~?"),'DADOS_RESTRICOES'!$M$2:$Q$54,3,FALSE),0)</f>
        <v/>
      </c>
      <c r="OJ149" s="164">
        <f>IFERROR(VLOOKUP(SUBSTITUTE(SUBSTITUTE(SUBSTITUTE($NC149,"~","~~"),"*","~*"),"?","~?"),'DADOS_RESTRICOES'!$M$2:$Q$54,3,FALSE),0)</f>
        <v/>
      </c>
      <c r="OK149" s="164">
        <f>IFERROR(VLOOKUP(SUBSTITUTE(SUBSTITUTE(SUBSTITUTE($NB149,"~","~~"),"*","~*"),"?","~?"),'DADOS_RESTRICOES'!$M$2:$Q$54,2,FALSE),"")</f>
        <v/>
      </c>
      <c r="OL149" s="164">
        <f>IFERROR(VLOOKUP(SUBSTITUTE(SUBSTITUTE(SUBSTITUTE($NC149,"~","~~"),"*","~*"),"?","~?"),'DADOS_RESTRICOES'!$M$2:$Q$54,2,FALSE),"")</f>
        <v/>
      </c>
      <c r="OM149" s="164">
        <f>COUNTIF($NS149:$NW149,1)</f>
        <v/>
      </c>
      <c r="ON149" s="164">
        <f>COUNTIF($NS149:$NW149,2)</f>
        <v/>
      </c>
      <c r="OO149" s="164">
        <f>COUNTIF($NS149:$NW149,3)</f>
        <v/>
      </c>
      <c r="OP149" s="164">
        <f>COUNTIF($NS149:$NW149,4)</f>
        <v/>
      </c>
      <c r="OQ149" s="164">
        <f>COUNTIF($NS149:$NW149,5)</f>
        <v/>
      </c>
      <c r="OR149" s="164">
        <f>COUNTIF($NS149:$NW149,6)</f>
        <v/>
      </c>
      <c r="OS149" s="164">
        <f>COUNTIF($OI149:$OJ149,1)+IF(IFERROR(INDEX('DADOS_FORMAS'!$AS$2:$AS$21,MATCH(SUBSTITUTE(SUBSTITUTE(SUBSTITUTE($MU149,"~","~~"),"*","~*"),"?","~?"),'DADOS_FORMAS'!$AH$2:$AH$21,0)),"")="",0,IFERROR(N(VLOOKUP(SUBSTITUTE(SUBSTITUTE(SUBSTITUTE(IFERROR(INDEX('DADOS_FORMAS'!$AS$2:$AS$21,MATCH(SUBSTITUTE(SUBSTITUTE(SUBSTITUTE($MU149,"~","~~"),"*","~*"),"?","~?"),'DADOS_FORMAS'!$AH$2:$AH$21,0)),""),"~","~~"),"*","~*"),"?","~?"),'DADOS_RESTRICOES'!$M$2:$Q$54,3,FALSE)=1),0))</f>
        <v/>
      </c>
      <c r="OT149" s="164">
        <f>COUNTIF($OI149:$OJ149,2)+IF(IFERROR(INDEX('DADOS_FORMAS'!$AS$2:$AS$21,MATCH(SUBSTITUTE(SUBSTITUTE(SUBSTITUTE($MU149,"~","~~"),"*","~*"),"?","~?"),'DADOS_FORMAS'!$AH$2:$AH$21,0)),"")="",0,IFERROR(N(VLOOKUP(SUBSTITUTE(SUBSTITUTE(SUBSTITUTE(IFERROR(INDEX('DADOS_FORMAS'!$AS$2:$AS$21,MATCH(SUBSTITUTE(SUBSTITUTE(SUBSTITUTE($MU149,"~","~~"),"*","~*"),"?","~?"),'DADOS_FORMAS'!$AH$2:$AH$21,0)),""),"~","~~"),"*","~*"),"?","~?"),'DADOS_RESTRICOES'!$M$2:$Q$54,3,FALSE)=2),0))</f>
        <v/>
      </c>
      <c r="OU149" s="164">
        <f>COUNTIF($MX149:$NA149,"?*")</f>
        <v/>
      </c>
      <c r="OV149" s="164">
        <f>COUNTIF($NB149:$NC149,"?*")+$OF149</f>
        <v/>
      </c>
      <c r="OW149" s="164">
        <f>IF($MS149=0,0,SUMPRODUCT($OM149:$OR149,INDEX($I$2:$N$8,MAX(1,$MS149),0)))</f>
        <v/>
      </c>
      <c r="OX149" s="164">
        <f>IF($MS149=0,0,$OS149*CEILING($MS149/2,1)+$OT149*$MS149)</f>
        <v/>
      </c>
      <c r="OY149" s="164">
        <f>MIN(2*$MS149,$OX149)</f>
        <v/>
      </c>
      <c r="OZ149" s="164">
        <f>MIN($OY149,$OW149-IF($NS149=0,0,INDEX($I$2:$N$8,MAX(1,$MS149),$NS149)))</f>
        <v/>
      </c>
      <c r="PA149" s="164">
        <f>$OY149-$OZ149</f>
        <v/>
      </c>
      <c r="PB149" s="164">
        <f>IF($MS149=0,0,INDEX($P$2:$P$8,MAX(1,$MS149)))</f>
        <v/>
      </c>
      <c r="PC149" s="164">
        <f>$PB149-$OW149+$OZ149</f>
        <v/>
      </c>
      <c r="PD149" s="164">
        <f>IF($MS149=0,MAX(0,$NG149-IF(AND($OU149&gt;0,COUNTIF($NB149:$NC149,"?*")=0),1,0)),MAX(0,$PC149))</f>
        <v/>
      </c>
      <c r="PE149" s="164">
        <f>IF($MS149=0,0,(IF(COUNTIF($RK149:$RN149,"Salto")&gt;0,1,0)+IF(COUNTIF($RK149:$RN149,"Queima")&gt;0,1,0)+IF(COUNTIF($RK149:$RN149,"Estilhaço")&gt;0,1,0))*FLOOR($PD149/2,1))</f>
        <v/>
      </c>
      <c r="PF149" s="164">
        <f>MAX(0,2-SUMPRODUCT($OM149:$OR149,$I$2:$N$2)+MIN(2,$OS149*1+$OT149*1,SUMPRODUCT($OM149:$OR149,$I$2:$N$2)-IF($NS149=0,0,INDEX($I$2:$N$2,1,$NS149))))</f>
        <v/>
      </c>
      <c r="PG149" s="164">
        <f>MAX(0,4-SUMPRODUCT($OM149:$OR149,$I$3:$N$3)+MIN(4,$OS149*1+$OT149*2,SUMPRODUCT($OM149:$OR149,$I$3:$N$3)-IF($NS149=0,0,INDEX($I$3:$N$3,1,$NS149))))</f>
        <v/>
      </c>
      <c r="PH149" s="164">
        <f>MAX(0,6-SUMPRODUCT($OM149:$OR149,$I$4:$N$4)+MIN(6,$OS149*2+$OT149*3,SUMPRODUCT($OM149:$OR149,$I$4:$N$4)-IF($NS149=0,0,INDEX($I$4:$N$4,1,$NS149))))</f>
        <v/>
      </c>
      <c r="PI149" s="164">
        <f>MAX(0,9-SUMPRODUCT($OM149:$OR149,$I$5:$N$5)+MIN(8,$OS149*2+$OT149*4,SUMPRODUCT($OM149:$OR149,$I$5:$N$5)-IF($NS149=0,0,INDEX($I$5:$N$5,1,$NS149))))</f>
        <v/>
      </c>
      <c r="PJ149" s="164">
        <f>MAX(0,11-SUMPRODUCT($OM149:$OR149,$I$6:$N$6)+MIN(10,$OS149*3+$OT149*5,SUMPRODUCT($OM149:$OR149,$I$6:$N$6)-IF($NS149=0,0,INDEX($I$6:$N$6,1,$NS149))))</f>
        <v/>
      </c>
      <c r="PK149" s="164">
        <f>MAX(0,13-SUMPRODUCT($OM149:$OR149,$I$7:$N$7)+MIN(12,$OS149*3+$OT149*6,SUMPRODUCT($OM149:$OR149,$I$7:$N$7)-IF($NS149=0,0,INDEX($I$7:$N$7,1,$NS149))))</f>
        <v/>
      </c>
      <c r="PL149" s="164">
        <f>MAX(0,16-SUMPRODUCT($OM149:$OR149,$I$8:$N$8)+MIN(14,$OS149*4+$OT149*7,SUMPRODUCT($OM149:$OR149,$I$8:$N$8)-IF($NS149=0,0,INDEX($I$8:$N$8,1,$NS149))))</f>
        <v/>
      </c>
      <c r="PM149" s="164">
        <f>IF($OG149=2,3*$PF149&amp;" de vida temp.",IF($OG149=3,"sem dano",IF($PF149=0,IF($OG149=1,"sem cura","sem dano"),IF($OG149=1,"cura ","")&amp;$PF149&amp;"d8")))</f>
        <v/>
      </c>
      <c r="PN149" s="164">
        <f>IF($OG149=2,3*$PG149&amp;" de vida temp.",IF($OG149=3,"sem dano",IF($PG149=0,IF($OG149=1,"sem cura","sem dano"),IF($OG149=1,"cura ","")&amp;$PG149&amp;"d8")))</f>
        <v/>
      </c>
      <c r="PO149" s="164">
        <f>IF($OG149=2,3*$PH149&amp;" de vida temp.",IF($OG149=3,"sem dano",IF($PH149=0,IF($OG149=1,"sem cura","sem dano"),IF($OG149=1,"cura ","")&amp;$PH149&amp;"d8")))</f>
        <v/>
      </c>
      <c r="PP149" s="164">
        <f>IF($OG149=2,3*$PI149&amp;" de vida temp.",IF($OG149=3,"sem dano",IF($PI149=0,IF($OG149=1,"sem cura","sem dano"),IF($OG149=1,"cura ","")&amp;$PI149&amp;"d8")))</f>
        <v/>
      </c>
      <c r="PQ149" s="164">
        <f>IF($OG149=2,3*$PJ149&amp;" de vida temp.",IF($OG149=3,"sem dano",IF($PJ149=0,IF($OG149=1,"sem cura","sem dano"),IF($OG149=1,"cura ","")&amp;$PJ149&amp;"d8")))</f>
        <v/>
      </c>
      <c r="PR149" s="164">
        <f>IF($OG149=2,3*$PK149&amp;" de vida temp.",IF($OG149=3,"sem dano",IF($PK149=0,IF($OG149=1,"sem cura","sem dano"),IF($OG149=1,"cura ","")&amp;$PK149&amp;"d8")))</f>
        <v/>
      </c>
      <c r="PS149" s="164">
        <f>IF($OG149=2,3*$PL149&amp;" de vida temp.",IF($OG149=3,"sem dano",IF($PL149=0,IF($OG149=1,"sem cura","sem dano"),IF($OG149=1,"cura ","")&amp;$PL149&amp;"d8")))</f>
        <v/>
      </c>
      <c r="PT149" s="164">
        <f>IF($ND149=0,"",TEXTJOIN(" · ",TRUE,IF($ND149=0,"",TEXTJOIN(" · ",TRUE,IF($ND149=0,"",TEXTJOIN(" · ",TRUE,IF($MQ149&gt;$NE149,"Este lugar abre no nível "&amp;$MQ149,""),IF($MS149&gt;$NF149,"Classe "&amp;$MS149&amp;": o nível "&amp;$NE149&amp;" libera até a "&amp;$NF149,""),IF($NX149=1,"A Forma "&amp;$MU149&amp;" pede "&amp;INDEX('DADOS_FORMAS'!$GA$2:$GA$21,$NJ149)&amp;" aberta",""),IF(AND($MS149=0,$NJ149&gt;0,IF($NJ149=0,0,INDEX('DADOS_FORMAS'!$GJ$2:$GJ$21,$NJ149))=0),$MU149&amp;" não existe na Classe 0",""),IF($NY149=1,"Família Fechada: "&amp;$MX149,""),IF($NZ149=1,"Família Fechada: "&amp;$MY149,""),IF($OA149=1,"Família Fechada: "&amp;$MZ149,""),IF($OB149=1,"Família Fechada: "&amp;$NA149,""),IF(AND($MS149&gt;0,$OU149&gt;INDEX($O$2:$O$8,MAX(1,$MS149))),$OU149&amp;" Melhorias: a Classe "&amp;$MS149&amp;" aceita "&amp;INDEX($O$2:$O$8,MAX(1,$MS149)),""),IF(AND($MS149=0,$OU149&gt;1),"A básica aceita uma Melhoria",""),IF(AND($MS149=0,COUNTIF($NO149:$NR149,"&gt;1")&gt;0),"A básica só aceita Melhoria Leve",""),IF(AND($MS149&gt;0,$OV149&gt;2),$OV149&amp;" Restrições"&amp;IF($OF149=1,", contando a que a Forma "&amp;$MU149&amp;" já traz","")&amp;": o limite é 2",""),IF(AND($MS149=0,COUNTIF($NB149:$NC149,"?*")&gt;1),"A básica aceita uma Restrição Leve",""),IF(AND($MS149=0,COUNTIF($OI149:$OJ149,2)&gt;0),"A básica só aceita Restrição Leve",""),IF(AND($MS149&gt;0,$PC149&lt;0),"Orçamento estourado: faltam "&amp;(-$PC149)&amp;IF($PC149&lt;-1," pontos"," ponto"),""),IF(IFERROR(VLOOKUP(SUBSTITUTE(SUBSTITUTE(SUBSTITUTE($NB149,"~","~~"),"*","~*"),"?","~?"),'DADOS_RESTRICOES'!$M$2:$Q$54,4,FALSE),0)+IFERROR(VLOOKUP(SUBSTITUTE(SUBSTITUTE(SUBSTITUTE($NC149,"~","~~"),"*","~*"),"?","~?"),'DADOS_RESTRICOES'!$M$2:$Q$54,4,FALSE),0)&gt;1,$OK149&amp;" e "&amp;$OL149&amp;" são as duas de frequência",""),IF(AND((COUNTIF($RK149:$RN149,"Rápido")+COUNTIF($OK149:$OL149,"Rápido"))&gt;0,(COUNTIF($MX149:$NA149,"Atrasar")+COUNTIF($OK149:$OL149,"Atrasar"))&gt;0),"Rápido não entra com Atrasar",""),IF(AND((COUNTIF($RK149:$RN149,"Reação")+COUNTIF($OK149:$OL149,"Reação"))&gt;0,(COUNTIF($RK149:$RN149,"Rápido")+COUNTIF($OK149:$OL149,"Rápido"))&gt;0),"Reação não entra com Rápido",""),IF(AND((COUNTIF($RK149:$RN149,"Reação")+COUNTIF($OK149:$OL149,"Reação"))&gt;0,(COUNTIF($RK149:$RN149,"Armado")+COUNTIF($OK149:$OL149,"Armado"))&gt;0),"Reação não entra com Armado",""),IF(AND((COUNTIF($RK149:$RN149,"Reação")+COUNTIF($OK149:$OL149,"Reação"))&gt;0,(COUNTIF($MX149:$NA149,"Atrasar")+COUNTIF($OK149:$OL149,"Atrasar"))&gt;0),"Reação não entra com Atrasar",""),IF(AND((COUNTIF($RK149:$RN149,"Reação")+COUNTIF($OK149:$OL149,"Reação"))&gt;0,(COUNTIF($MX149:$NA149,"Parado")+COUNTIF($OK149:$OL149,"Parado"))&gt;0),"Reação não entra com Parado",""),IF(AND((COUNTIF($MX149:$NA149,"Atrasar")+COUNTIF($OK149:$OL149,"Atrasar"))&gt;0,(COUNTIF($MX149:$NA149,"Parado")+COUNTIF($OK149:$OL149,"Parado"))&gt;0),"Atrasar não entra com Parado",""),IF(AND((COUNTIF($RK149:$RN149,"Armado")+COUNTIF($OK149:$OL149,"Armado"))&gt;0,(COUNTIF($MX149:$NA149,"Carregar")+COUNTIF($OK149:$OL149,"Carregar"))&gt;0),"Armado não entra com Carregar",""),IF(AND(COUNTIF($OK149:$OL149,"Corpo a Corpo")&gt;0,$OF149=0,OR($RO149="Cone",$RO149="Linha")),"Corpo a Corpo não entra em "&amp;$MU149,""),IF(AND(COUNTIF($OK149:$OL149,"Corpo a Corpo")&gt;0,$RP149="Corpo a Corpo"),"A Forma "&amp;$MU149&amp;" já traz o Corpo a Corpo",""),IF(AND(COUNTIF($OK149:$OL149,"Tudo ou Nada")&gt;0,$OH149=0),"Tudo ou Nada só entra em habilidade de Teste de Resistência",""),IF(AND(COUNTIF($RK149:$RN149,"Inescapável")&gt;0,OR($OU149&gt;1,$OV149&gt;0)),"Inescapável não aceita outra peça",""),IF(AND($MS149&gt;0,$PD149*IF(COUNTIF($RK149:$RN149,"Remate")&gt;0,1.25,1)+$PE149&gt;4*$MS149),($PD149*IF(COUNTIF($RK149:$RN149,"Remate")&gt;0,1.25,1)+$PE149)&amp;" dados somando repetições"&amp;IF(COUNTIF($RK149:$RN149,"Remate")&gt;0," e o Remate","")&amp;": o teto da Classe "&amp;$MS149&amp;" é "&amp;4*$MS149,""))),IF(AND($MX149&lt;&gt;"",COUNTIF('DADOS_MELHORIAS'!$O$2:$O$113,SUBSTITUTE(SUBSTITUTE(SUBSTITUTE($MX149,"~","~~"),"*","~*"),"?","~?"))=0),"Melhoria não cadastrada ou com erro: "&amp;$MX149,""),IF(AND($MY149&lt;&gt;"",COUNTIF('DADOS_MELHORIAS'!$O$2:$O$113,SUBSTITUTE(SUBSTITUTE(SUBSTITUTE($MY149,"~","~~"),"*","~*"),"?","~?"))=0),"Melhoria não cadastrada ou com erro: "&amp;$MY149,""),IF(AND($MZ149&lt;&gt;"",COUNTIF('DADOS_MELHORIAS'!$O$2:$O$113,SUBSTITUTE(SUBSTITUTE(SUBSTITUTE($MZ149,"~","~~"),"*","~*"),"?","~?"))=0),"Melhoria não cadastrada ou com erro: "&amp;$MZ149,""),IF(AND($NA149&lt;&gt;"",COUNTIF('DADOS_MELHORIAS'!$O$2:$O$113,SUBSTITUTE(SUBSTITUTE(SUBSTITUTE($NA149,"~","~~"),"*","~*"),"?","~?"))=0),"Melhoria não cadastrada ou com erro: "&amp;$NA149,""),IF(AND($NB149&lt;&gt;"",COUNTIF('DADOS_RESTRICOES'!$M$2:$M$54,SUBSTITUTE(SUBSTITUTE(SUBSTITUTE($NB149,"~","~~"),"*","~*"),"?","~?"))=0),"Restrição não cadastrada ou com erro: "&amp;$NB149,""),IF(AND($NC149&lt;&gt;"",COUNTIF('DADOS_RESTRICOES'!$M$2:$M$54,SUBSTITUTE(SUBSTITUTE(SUBSTITUTE($NC149,"~","~~"),"*","~*"),"?","~?"))=0),"Restrição não cadastrada ou com erro: "&amp;$NC149,""))),IF(AND($MU149&lt;&gt;"",COUNTIF('DADOS_FORMAS'!$AH$2:$AH$21,SUBSTITUTE(SUBSTITUTE(SUBSTITUTE($MU149,"~","~~"),"*","~*"),"?","~?"))=0),"Forma não cadastrada ou com erro: "&amp;$MU149,""),IF(AND(IFERROR(INDEX('DADOS_FORMAS'!$AS$2:$AS$21,MATCH(SUBSTITUTE(SUBSTITUTE(SUBSTITUTE($MU149,"~","~~"),"*","~*"),"?","~?"),'DADOS_FORMAS'!$AH$2:$AH$21,0)),"")&lt;&gt;"",OR(IFERROR(VLOOKUP(SUBSTITUTE(SUBSTITUTE(SUBSTITUTE(IFERROR(INDEX('DADOS_FORMAS'!$AS$2:$AS$21,MATCH(SUBSTITUTE(SUBSTITUTE(SUBSTITUTE($MU149,"~","~~"),"*","~*"),"?","~?"),'DADOS_FORMAS'!$AH$2:$AH$21,0)),""),"~","~~"),"*","~*"),"?","~?"),'DADOS_RESTRICOES'!$M$2:$Q$54,2,FALSE),"")=$OK149,IFERROR(VLOOKUP(SUBSTITUTE(SUBSTITUTE(SUBSTITUTE(IFERROR(INDEX('DADOS_FORMAS'!$AS$2:$AS$21,MATCH(SUBSTITUTE(SUBSTITUTE(SUBSTITUTE($MU149,"~","~~"),"*","~*"),"?","~?"),'DADOS_FORMAS'!$AH$2:$AH$21,0)),""),"~","~~"),"*","~*"),"?","~?"),'DADOS_RESTRICOES'!$M$2:$Q$54,2,FALSE),"")=$OL149)),"Restrição repetida, contando a embutida",""),IF(IF(IFERROR(INDEX('DADOS_FORMAS'!$AS$2:$AS$21,MATCH(SUBSTITUTE(SUBSTITUTE(SUBSTITUTE($MU149,"~","~~"),"*","~*"),"?","~?"),'DADOS_FORMAS'!$AH$2:$AH$21,0)),"")="",0,IFERROR(N(VLOOKUP(SUBSTITUTE(SUBSTITUTE(SUBSTITUTE(IFERROR(INDEX('DADOS_FORMAS'!$AS$2:$AS$21,MATCH(SUBSTITUTE(SUBSTITUTE(SUBSTITUTE($MU149,"~","~~"),"*","~*"),"?","~?"),'DADOS_FORMAS'!$AH$2:$AH$21,0)),""),"~","~~"),"*","~*"),"?","~?"),'DADOS_RESTRICOES'!$M$2:$Q$54,4,FALSE)=1),0))+IF($NB149="",0,IFERROR(N(VLOOKUP(SUBSTITUTE(SUBSTITUTE(SUBSTITUTE($NB149,"~","~~"),"*","~*"),"?","~?"),'DADOS_RESTRICOES'!$M$2:$Q$54,4,FALSE)=1),0))+IF($NC149="",0,IFERROR(N(VLOOKUP(SUBSTITUTE(SUBSTITUTE(SUBSTITUTE($NC149,"~","~~"),"*","~*"),"?","~?"),'DADOS_RESTRICOES'!$M$2:$Q$54,4,FALSE)=1),0))&gt;1,"Duas Restrições de frequência, contando a embutida",""),IF(AND(IFERROR(VLOOKUP(SUBSTITUTE(SUBSTITUTE(SUBSTITUTE(IFERROR(INDEX('DADOS_FORMAS'!$AS$2:$AS$21,MATCH(SUBSTITUTE(SUBSTITUTE(SUBSTITUTE($MU149,"~","~~"),"*","~*"),"?","~?"),'DADOS_FORMAS'!$AH$2:$AH$21,0)),""),"~","~~"),"*","~*"),"?","~?"),'DADOS_RESTRICOES'!$M$2:$Q$54,2,FALSE),"")="Tudo ou Nada",$OH149=0),"Tudo ou Nada exige TR",""),IF(AND(IFERROR(VLOOKUP(SUBSTITUTE(SUBSTITUTE(SUBSTITUTE(IFERROR(INDEX('DADOS_FORMAS'!$AS$2:$AS$21,MATCH(SUBSTITUTE(SUBSTITUTE(SUBSTITUTE($MU149,"~","~~"),"*","~*"),"?","~?"),'DADOS_FORMAS'!$AH$2:$AH$21,0)),""),"~","~~"),"*","~*"),"?","~?"),'DADOS_RESTRICOES'!$M$2:$Q$54,2,FALSE),"")="Corpo a Corpo",OR($RO149="Cone",$RO149="Linha")),"Corpo a Corpo não entra em Cone/Linha","")))</f>
        <v/>
      </c>
      <c r="PU149" s="164">
        <f>IF($PT149="",0,(LEN($PT149)-LEN(SUBSTITUTE($PT149," · ","")))/3+1)</f>
        <v/>
      </c>
      <c r="PV149" s="164">
        <f>IF($ND149=0,"",TEXTJOIN(" · ",TRUE,IF($OX149&gt;2*$MS149,"A devolução parou no teto de "&amp;2*$MS149,""),IF($PA149&gt;0,"Devolução perdida: "&amp;$PA149&amp;IF($PA149&gt;1," pontos"," ponto")&amp;" sem Melhoria para pagar",""),IF(AND($OC149&gt;0,AND($MS149&gt;0,$OG149=0),$PD149=0),"Controle sem dano: uma rodada a mais e CD +2",""),IF(AND($OC149&gt;0,AND($MS149&gt;0,$OG149=0),$PD149&gt;0,$PD149&lt;=$MS149),"Controle com saldo até a Classe: uma rodada a mais",""),IF(AND($MS149&gt;0,$OE149&lt;&gt;""),"Efeito de "&amp;$OE149&amp;" pela Classe "&amp;MAX(1,$MS149-1),"")))</f>
        <v/>
      </c>
      <c r="PW149" s="164">
        <f>IF($PV149="",0,(LEN($PV149)-LEN(SUBSTITUTE($PV149," · ","")))/3+1)</f>
        <v/>
      </c>
      <c r="PX149" s="164">
        <f>IF($ND149=0,IF($OU149+COUNTIF($NB149:$NC149,"?*")&gt;0,"Dê um nome",""),IF($PU149&gt;0,"⚠ "&amp;$PU149&amp;IF($PU149&gt;1," erros"," erro"),IF($PW149&gt;0,"! "&amp;$PW149&amp;IF($PW149&gt;1," avisos"," aviso"),"Na regra")))</f>
        <v/>
      </c>
      <c r="PY149" s="164">
        <f>IF($ND149=0,"",IF($PU149+$PW149=0,"Dentro das regras que a ficha confere",$PT149&amp;IF(AND($PU149&gt;0,$PW149&gt;0)," · ","")&amp;$PV149))</f>
        <v/>
      </c>
      <c r="PZ149" s="164">
        <f>IF($MQ149&gt;$NE149,$MR149&amp;" · ABRE NO NÍVEL "&amp;$MQ149,$MR149)</f>
        <v/>
      </c>
      <c r="QA149" s="164">
        <f>IF($ND149=0,"",IF($MS149=0,"Sem PE",3*$MS149&amp;" PE"))</f>
        <v/>
      </c>
      <c r="QB149" s="164">
        <f>IF($ND149=0,"",IF($MS149=0,"A atuação básica dela",IF(COUNTIF($RQ149:$RS149,"Atrasar")&gt;0,"Sua Ação Completa",IF(COUNTIF($RK149:$RN149,"Rápido")&gt;0,"Sua Bônus",IF(COUNTIF($RK149:$RN149,"Reação")&gt;0,"Sua Reação","Sua Padrão")))&amp;" + a básica dela"&amp;IF(COUNTIF($RK149:$RN149,"Reação")&gt;0," e a coletiva","")&amp;IF(COUNTIF($RQ149:$RS149,"Carregar")&gt;0," · em dois turnos","")))</f>
        <v/>
      </c>
      <c r="QC149" s="164">
        <f>IF($MW149&lt;&gt;"",$MW149,IF($NJ149=0,"",INDEX('DADOS_FORMAS'!$GE$2:$GE$21,$NJ149)))</f>
        <v/>
      </c>
      <c r="QD149" s="164">
        <f>IF(OR($ND149=0,$NJ149=0),"",IF(COUNTIF($RK149:$RN149,"Inescapável")&gt;0,"Automático",IF($QC149="Ataque",IF($NH149="","Ataque","Ataque "&amp;IF(($NH149+2*IF(COUNTIF($RK149:$RN149,"Precisão")&gt;0,1,0))&gt;=0,"+","−")&amp;ABS(($NH149+2*IF(COUNTIF($RK149:$RN149,"Precisão")&gt;0,1,0))))&amp;IF($OD149&gt;0," · TR"&amp;IF($NI149="",""," CD "&amp;$NI149),""),IF(LEFT($QC149,2)="TR",$QC149&amp;IF($NI149="",""," · CD "&amp;$NI149)&amp;IF(COUNTIF($RK149:$RN149,"Certeiro")&gt;0," · metade",""),"Sem rolagem"))))</f>
        <v/>
      </c>
      <c r="QE149" s="164">
        <f>IF(OR($ND149=0,$NJ149=0),"",IF($MS149=0,IF(OR($OG149&gt;=1,$PD149=0),"Sem dano",$PD149&amp;"d6"&amp;IF($MV149="",""," "&amp;$MV149)),IF(OR($OG149&gt;=1,$PD149=0),UPPER(LEFT(INDEX($PM149:$PS149,1,MAX(1,$MS149)),1))&amp;MID(INDEX($PM149:$PS149,1,MAX(1,$MS149)),2,99),UPPER(LEFT(INDEX($PM149:$PS149,1,MAX(1,$MS149)),1))&amp;MID(INDEX($PM149:$PS149,1,MAX(1,$MS149)),2,99)&amp;IF($MV149="",""," "&amp;$MV149)&amp;IF($PE149&gt;0," · +"&amp;$PE149&amp;"d8",""))))</f>
        <v/>
      </c>
      <c r="QF149" s="164">
        <f>COUNTIF($RK149:$RN149,"Longe")+3*COUNTIF($RK149:$RN149,"Muito Longe")</f>
        <v/>
      </c>
      <c r="QG149" s="164">
        <f>COUNTIF($RK149:$RN149,"Maior")+3*COUNTIF($RK149:$RN149,"Muito Maior")</f>
        <v/>
      </c>
      <c r="QH149" s="164">
        <f>IF($NJ149=0,0,CHOOSE(1+INDEX('DADOS_FORMAS'!$GG$2:$GG$21,$NJ149),0,$QF149,$QG149,$QF149+$QG149))</f>
        <v/>
      </c>
      <c r="QI149" s="164">
        <f>IF($NJ149=0,0,CHOOSE(1+INDEX('DADOS_FORMAS'!$GH$2:$GH$21,$NJ149),0,$QF149,$QG149,$QF149+$QG149))</f>
        <v/>
      </c>
      <c r="QJ149" s="164">
        <f>IF(OR($ND149=0,$NJ149=0),"",INDEX('DADOS_FORMAS'!$HU$2:$HZ$81,($NJ149-1)*4+IF($MS149=0,1,IF($MS149&lt;=5,2,IF($MS149=6,3,4))),1+MIN(5,$QH149))&amp;INDEX('DADOS_FORMAS'!$IA$2:$IF$81,($NJ149-1)*4+IF($MS149=0,1,IF($MS149&lt;=5,2,IF($MS149=6,3,4))),1+MIN(5,$QI149))&amp;IF(INDEX('DADOS_FORMAS'!$GI$2:$GI$21,$NJ149)=1,IF(COUNTIF($RK149:$RN149,"Mais Um")&gt;0," · +"&amp;COUNTIF($RK149:$RN149,"Mais Um")&amp;IF(COUNTIF($RK149:$RN149,"Mais Um")&gt;1," alvos"," alvo"),"")&amp;IF(COUNTIF($RK149:$RN149,"Rajada")&gt;0,IF($MS149=0," · 1 tiro"," · "&amp;(MAX(1,$MS149-1)+1)&amp;" tiros"),""),""))</f>
        <v/>
      </c>
      <c r="QK149" s="164">
        <f>IF($ND149=0,"",IF($MS149=0,$NG149&amp;"d6"&amp;IF($OU149&gt;0," − 1 = "&amp;$PD149&amp;"d6"," da básica do nível "&amp;$NE149),$PB149&amp;" − "&amp;$OW149&amp;" + "&amp;$OZ149&amp;" = "&amp;$PC149&amp;" · teto "&amp;4*$MS149&amp;"d8"&amp;IF($OF149=1," · a Forma devolve "&amp;$MS149,"")&amp;IF($PA149&gt;0," · perde "&amp;$PA149,"")))</f>
        <v/>
      </c>
      <c r="QL149" s="164">
        <f>IF($ND149=0,"",IF($MS149=0,"A básica não amplia: os dados dela sobem com o nível",IF($MS149&gt;=$NF149,"Já está na maior Classe que o nível liberou",TEXTJOIN(" · ",TRUE,IF(AND(2&gt;$MS149,2&lt;=$NF149),"2 → "&amp;$PN149&amp;", 6 PE",""),IF(AND(3&gt;$MS149,3&lt;=$NF149),"3 → "&amp;$PO149&amp;", 9 PE",""),IF(AND(4&gt;$MS149,4&lt;=$NF149),"4 → "&amp;$PP149&amp;", 12 PE",""),IF(AND(5&gt;$MS149,5&lt;=$NF149),"5 → "&amp;$PQ149&amp;", 15 PE",""),IF(AND(6&gt;$MS149,6&lt;=$NF149),"6 → "&amp;$PR149&amp;", 18 PE",""),IF(AND(7&gt;$MS149,7&lt;=$NF149),"7 → "&amp;$PS149&amp;", 21 PE","")))))</f>
        <v/>
      </c>
      <c r="QM149" s="164">
        <f>IF(OR($ND149=0,$NO149=0),"",IF($MS149=0,"−1 dado","−"&amp;INDEX($I$2:$N$8,MAX(1,$MS149),MAX(1,$NT149))&amp;" · "&amp;CHOOSE(MAX(1,$NT149),"Leve","Média","Pesada","Leve · Livre","Média · Livre","Pesada · Livre")))</f>
        <v/>
      </c>
      <c r="QN149" s="164">
        <f>IF(OR($ND149=0,$NP149=0),"",IF($MS149=0,"−1 dado","−"&amp;INDEX($I$2:$N$8,MAX(1,$MS149),MAX(1,$NU149))&amp;" · "&amp;CHOOSE(MAX(1,$NU149),"Leve","Média","Pesada","Leve · Livre","Média · Livre","Pesada · Livre")))</f>
        <v/>
      </c>
      <c r="QO149" s="164">
        <f>IF(OR($ND149=0,$NQ149=0),"",IF($MS149=0,"−1 dado","−"&amp;INDEX($I$2:$N$8,MAX(1,$MS149),MAX(1,$NV149))&amp;" · "&amp;CHOOSE(MAX(1,$NV149),"Leve","Média","Pesada","Leve · Livre","Média · Livre","Pesada · Livre")))</f>
        <v/>
      </c>
      <c r="QP149" s="164">
        <f>IF(OR($ND149=0,$NR149=0),"",IF($MS149=0,"−1 dado","−"&amp;INDEX($I$2:$N$8,MAX(1,$MS149),MAX(1,$NW149))&amp;" · "&amp;CHOOSE(MAX(1,$NW149),"Leve","Média","Pesada","Leve · Livre","Média · Livre","Pesada · Livre")))</f>
        <v/>
      </c>
      <c r="QQ149" s="164">
        <f>IF(OR($ND149=0,$NB149=""),"",IF($MS149=0,"não devolve","+"&amp;IF($OI149=1,CEILING($MS149/2,1),$MS149)))</f>
        <v/>
      </c>
      <c r="QR149" s="164">
        <f>IF(OR($ND149=0,$NC149=""),"",IF($MS149=0,"não devolve","+"&amp;IF($OJ149=1,CEILING($MS149/2,1),$MS149)))</f>
        <v/>
      </c>
      <c r="RK149">
        <f>IF($MX149="","",IFERROR(VLOOKUP(SUBSTITUTE(SUBSTITUTE(SUBSTITUTE($MX149,"~","~~"),"*","~*"),"?","~?"),'DADOS_MELHORIAS'!$O$2:$X$113,10,FALSE),$MX149))</f>
        <v/>
      </c>
      <c r="RL149">
        <f>IF($MY149="","",IFERROR(VLOOKUP(SUBSTITUTE(SUBSTITUTE(SUBSTITUTE($MY149,"~","~~"),"*","~*"),"?","~?"),'DADOS_MELHORIAS'!$O$2:$X$113,10,FALSE),$MY149))</f>
        <v/>
      </c>
      <c r="RM149">
        <f>IF($MZ149="","",IFERROR(VLOOKUP(SUBSTITUTE(SUBSTITUTE(SUBSTITUTE($MZ149,"~","~~"),"*","~*"),"?","~?"),'DADOS_MELHORIAS'!$O$2:$X$113,10,FALSE),$MZ149))</f>
        <v/>
      </c>
      <c r="RN149">
        <f>IF($NA149="","",IFERROR(VLOOKUP(SUBSTITUTE(SUBSTITUTE(SUBSTITUTE($NA149,"~","~~"),"*","~*"),"?","~?"),'DADOS_MELHORIAS'!$O$2:$X$113,10,FALSE),$NA149))</f>
        <v/>
      </c>
      <c r="RO149">
        <f>IFERROR(INDEX('DADOS_FORMAS'!$BJ$2:$BJ$21,MATCH(SUBSTITUTE(SUBSTITUTE(SUBSTITUTE($MU149,"~","~~"),"*","~*"),"?","~?"),'DADOS_FORMAS'!$AH$2:$AH$21,0)),"")</f>
        <v/>
      </c>
      <c r="RP149">
        <f>IFERROR(VLOOKUP(SUBSTITUTE(SUBSTITUTE(SUBSTITUTE(IFERROR(INDEX('DADOS_FORMAS'!$AS$2:$AS$21,MATCH(SUBSTITUTE(SUBSTITUTE(SUBSTITUTE($MU149,"~","~~"),"*","~*"),"?","~?"),'DADOS_FORMAS'!$AH$2:$AH$21,0)),""),"~","~~"),"*","~*"),"?","~?"),'DADOS_RESTRICOES'!$M$2:$Q$54,2,FALSE),"")</f>
        <v/>
      </c>
      <c r="RQ149">
        <f>$OK149</f>
        <v/>
      </c>
      <c r="RR149">
        <f>$OL149</f>
        <v/>
      </c>
      <c r="RS149">
        <f>$RP149</f>
        <v/>
      </c>
    </row>
    <row r="150">
      <c r="MN150" s="162" t="inlineStr">
        <is>
          <t>Ficha 12 · Especial 4</t>
        </is>
      </c>
      <c r="MO150" s="164" t="n">
        <v>12</v>
      </c>
      <c r="MP150" s="164" t="n">
        <v>1</v>
      </c>
      <c r="MQ150" s="164" t="n">
        <v>12</v>
      </c>
      <c r="MR150" s="162" t="inlineStr">
        <is>
          <t>ESPECIAL 4</t>
        </is>
      </c>
      <c r="MS150" s="164">
        <f>MAX(1,MIN(7,N('INVOCAÇÕES'!$AN$1160)))</f>
        <v/>
      </c>
      <c r="MT150" s="164">
        <f>'INVOCAÇÕES'!$AO$1160&amp;""</f>
        <v/>
      </c>
      <c r="MU150" s="164">
        <f>'INVOCAÇÕES'!$AN$1165&amp;""</f>
        <v/>
      </c>
      <c r="MV150" s="164">
        <f>'INVOCAÇÕES'!$AN$1166&amp;""</f>
        <v/>
      </c>
      <c r="MW150" s="164">
        <f>'INVOCAÇÕES'!$AP$1166&amp;""</f>
        <v/>
      </c>
      <c r="MX150" s="164">
        <f>'INVOCAÇÕES'!$AO$1169&amp;""</f>
        <v/>
      </c>
      <c r="MY150" s="164">
        <f>'INVOCAÇÕES'!$AO$1170&amp;""</f>
        <v/>
      </c>
      <c r="MZ150" s="164">
        <f>'INVOCAÇÕES'!$AO$1171&amp;""</f>
        <v/>
      </c>
      <c r="NA150" s="164">
        <f>'INVOCAÇÕES'!$AO$1172&amp;""</f>
        <v/>
      </c>
      <c r="NB150" s="164">
        <f>'INVOCAÇÕES'!$AO$1173&amp;""</f>
        <v/>
      </c>
      <c r="NC150" s="164">
        <f>'INVOCAÇÕES'!$AO$1174&amp;""</f>
        <v/>
      </c>
      <c r="ND150" s="164">
        <f>IF($MT150&lt;&gt;"",1,0)</f>
        <v/>
      </c>
      <c r="NE150" s="164">
        <f>INDEX($FO$2:$FO$13,$MO150)</f>
        <v/>
      </c>
      <c r="NF150" s="164">
        <f>INDEX($FP$2:$FP$13,$MO150)</f>
        <v/>
      </c>
      <c r="NG150" s="164">
        <f>INDEX($FQ$2:$FQ$13,$MO150)</f>
        <v/>
      </c>
      <c r="NH150" s="164">
        <f>INDEX($GB$2:$GB$13,$MO150)</f>
        <v/>
      </c>
      <c r="NI150" s="164">
        <f>INDEX($GC$2:$GC$13,$MO150)</f>
        <v/>
      </c>
      <c r="NJ150" s="164">
        <f>IFERROR(MATCH(SUBSTITUTE(SUBSTITUTE(SUBSTITUTE($MU150,"~","~~"),"*","~*"),"?","~?"),'DADOS_FORMAS'!$FZ$2:$FZ$21,0),0)</f>
        <v/>
      </c>
      <c r="NK150" s="164">
        <f>IFERROR(VLOOKUP(SUBSTITUTE(SUBSTITUTE(SUBSTITUTE($MX150,"~","~~"),"*","~*"),"?","~?"),'DADOS_MELHORIAS'!$AG$2:$AL$113,2,FALSE),"")</f>
        <v/>
      </c>
      <c r="NL150" s="164">
        <f>IFERROR(VLOOKUP(SUBSTITUTE(SUBSTITUTE(SUBSTITUTE($MY150,"~","~~"),"*","~*"),"?","~?"),'DADOS_MELHORIAS'!$AG$2:$AL$113,2,FALSE),"")</f>
        <v/>
      </c>
      <c r="NM150" s="164">
        <f>IFERROR(VLOOKUP(SUBSTITUTE(SUBSTITUTE(SUBSTITUTE($MZ150,"~","~~"),"*","~*"),"?","~?"),'DADOS_MELHORIAS'!$AG$2:$AL$113,2,FALSE),"")</f>
        <v/>
      </c>
      <c r="NN150" s="164">
        <f>IFERROR(VLOOKUP(SUBSTITUTE(SUBSTITUTE(SUBSTITUTE($NA150,"~","~~"),"*","~*"),"?","~?"),'DADOS_MELHORIAS'!$AG$2:$AL$113,2,FALSE),"")</f>
        <v/>
      </c>
      <c r="NO150" s="164">
        <f>IFERROR(VLOOKUP(SUBSTITUTE(SUBSTITUTE(SUBSTITUTE($MX150,"~","~~"),"*","~*"),"?","~?"),'DADOS_MELHORIAS'!$AG$2:$AL$113,3,FALSE),0)</f>
        <v/>
      </c>
      <c r="NP150" s="164">
        <f>IFERROR(VLOOKUP(SUBSTITUTE(SUBSTITUTE(SUBSTITUTE($MY150,"~","~~"),"*","~*"),"?","~?"),'DADOS_MELHORIAS'!$AG$2:$AL$113,3,FALSE),0)</f>
        <v/>
      </c>
      <c r="NQ150" s="164">
        <f>IFERROR(VLOOKUP(SUBSTITUTE(SUBSTITUTE(SUBSTITUTE($MZ150,"~","~~"),"*","~*"),"?","~?"),'DADOS_MELHORIAS'!$AG$2:$AL$113,3,FALSE),0)</f>
        <v/>
      </c>
      <c r="NR150" s="164">
        <f>IFERROR(VLOOKUP(SUBSTITUTE(SUBSTITUTE(SUBSTITUTE($NA150,"~","~~"),"*","~*"),"?","~?"),'DADOS_MELHORIAS'!$AG$2:$AL$113,3,FALSE),0)</f>
        <v/>
      </c>
      <c r="NS150" s="164">
        <f>IF($MS150=0,0,IF($NJ150=0,0,INDEX('DADOS_FORMAS'!$GB$2:$GB$21,$NJ150)))</f>
        <v/>
      </c>
      <c r="NT150" s="164">
        <f>IF(OR($NO150=0,$MS150=0),0,$NO150+3*IF(AND($NK150&lt;&gt;"",COUNTIF(INDEX($RB$2:$RJ$13,$MO150,0),$NK150)&gt;0),1,0))</f>
        <v/>
      </c>
      <c r="NU150" s="164">
        <f>IF(OR($NP150=0,$MS150=0),0,$NP150+3*IF(AND($NL150&lt;&gt;"",COUNTIF(INDEX($RB$2:$RJ$13,$MO150,0),$NL150)&gt;0),1,0))</f>
        <v/>
      </c>
      <c r="NV150" s="164">
        <f>IF(OR($NQ150=0,$MS150=0),0,$NQ150+3*IF(AND($NM150&lt;&gt;"",COUNTIF(INDEX($RB$2:$RJ$13,$MO150,0),$NM150)&gt;0),1,0))</f>
        <v/>
      </c>
      <c r="NW150" s="164">
        <f>IF(OR($NR150=0,$MS150=0),0,$NR150+3*IF(AND($NN150&lt;&gt;"",COUNTIF(INDEX($RB$2:$RJ$13,$MO150,0),$NN150)&gt;0),1,0))</f>
        <v/>
      </c>
      <c r="NX150" s="164">
        <f>IF($NJ150=0,0,IF(INDEX('DADOS_FORMAS'!$GA$2:$GA$21,$NJ150)="",0,IF((COUNTIF(INDEX($EL$2:$EP$13,$MO150,0),INDEX('DADOS_FORMAS'!$GA$2:$GA$21,$NJ150))+COUNTIF(INDEX($QV$2:$QY$13,$MO150,0),INDEX('DADOS_FORMAS'!$GA$2:$GA$21,$NJ150)))=0,1,0)))</f>
        <v/>
      </c>
      <c r="NY150" s="164">
        <f>IF(OR($NO150=0,$NK150=""),0,IF((COUNTIF(INDEX($EL$2:$EP$13,$MO150,0),$NK150)+COUNTIF(INDEX($QV$2:$QY$13,$MO150,0),$NK150))=0,1,0))</f>
        <v/>
      </c>
      <c r="NZ150" s="164">
        <f>IF(OR($NP150=0,$NL150=""),0,IF((COUNTIF(INDEX($EL$2:$EP$13,$MO150,0),$NL150)+COUNTIF(INDEX($QV$2:$QY$13,$MO150,0),$NL150))=0,1,0))</f>
        <v/>
      </c>
      <c r="OA150" s="164">
        <f>IF(OR($NQ150=0,$NM150=""),0,IF((COUNTIF(INDEX($EL$2:$EP$13,$MO150,0),$NM150)+COUNTIF(INDEX($QV$2:$QY$13,$MO150,0),$NM150))=0,1,0))</f>
        <v/>
      </c>
      <c r="OB150" s="164">
        <f>IF(OR($NR150=0,$NN150=""),0,IF((COUNTIF(INDEX($EL$2:$EP$13,$MO150,0),$NN150)+COUNTIF(INDEX($QV$2:$QY$13,$MO150,0),$NN150))=0,1,0))</f>
        <v/>
      </c>
      <c r="OC150" s="164">
        <f>IFERROR(VLOOKUP(SUBSTITUTE(SUBSTITUTE(SUBSTITUTE($MX150,"~","~~"),"*","~*"),"?","~?"),'DADOS_MELHORIAS'!$AG$2:$AL$113,4,FALSE),0)+IFERROR(VLOOKUP(SUBSTITUTE(SUBSTITUTE(SUBSTITUTE($MY150,"~","~~"),"*","~*"),"?","~?"),'DADOS_MELHORIAS'!$AG$2:$AL$113,4,FALSE),0)+IFERROR(VLOOKUP(SUBSTITUTE(SUBSTITUTE(SUBSTITUTE($MZ150,"~","~~"),"*","~*"),"?","~?"),'DADOS_MELHORIAS'!$AG$2:$AL$113,4,FALSE),0)+IFERROR(VLOOKUP(SUBSTITUTE(SUBSTITUTE(SUBSTITUTE($NA150,"~","~~"),"*","~*"),"?","~?"),'DADOS_MELHORIAS'!$AG$2:$AL$113,4,FALSE),0)</f>
        <v/>
      </c>
      <c r="OD150" s="164">
        <f>IFERROR(VLOOKUP(SUBSTITUTE(SUBSTITUTE(SUBSTITUTE($MX150,"~","~~"),"*","~*"),"?","~?"),'DADOS_MELHORIAS'!$AG$2:$AL$113,6,FALSE),0)+IFERROR(VLOOKUP(SUBSTITUTE(SUBSTITUTE(SUBSTITUTE($MY150,"~","~~"),"*","~*"),"?","~?"),'DADOS_MELHORIAS'!$AG$2:$AL$113,6,FALSE),0)+IFERROR(VLOOKUP(SUBSTITUTE(SUBSTITUTE(SUBSTITUTE($MZ150,"~","~~"),"*","~*"),"?","~?"),'DADOS_MELHORIAS'!$AG$2:$AL$113,6,FALSE),0)+IFERROR(VLOOKUP(SUBSTITUTE(SUBSTITUTE(SUBSTITUTE($NA150,"~","~~"),"*","~*"),"?","~?"),'DADOS_MELHORIAS'!$AG$2:$AL$113,6,FALSE),0)+IFERROR(N(AND(INDEX('DADOS_FORMAS'!$AO$2:$AO$21,MATCH(SUBSTITUTE(SUBSTITUTE(SUBSTITUTE($MU150,"~","~~"),"*","~*"),"?","~?"),'DADOS_FORMAS'!$AH$2:$AH$21,0))="Acerto",$OH150=1)),0)</f>
        <v/>
      </c>
      <c r="OE150" s="164">
        <f>TEXTJOIN(", ",TRUE,IF(IFERROR(VLOOKUP(SUBSTITUTE(SUBSTITUTE(SUBSTITUTE($MX150,"~","~~"),"*","~*"),"?","~?"),'DADOS_MELHORIAS'!$AG$2:$AL$113,5,FALSE),0)=1,$MX150,""),IF(IFERROR(VLOOKUP(SUBSTITUTE(SUBSTITUTE(SUBSTITUTE($MY150,"~","~~"),"*","~*"),"?","~?"),'DADOS_MELHORIAS'!$AG$2:$AL$113,5,FALSE),0)=1,$MY150,""),IF(IFERROR(VLOOKUP(SUBSTITUTE(SUBSTITUTE(SUBSTITUTE($MZ150,"~","~~"),"*","~*"),"?","~?"),'DADOS_MELHORIAS'!$AG$2:$AL$113,5,FALSE),0)=1,$MZ150,""),IF(IFERROR(VLOOKUP(SUBSTITUTE(SUBSTITUTE(SUBSTITUTE($NA150,"~","~~"),"*","~*"),"?","~?"),'DADOS_MELHORIAS'!$AG$2:$AL$113,5,FALSE),0)=1,$NA150,""))</f>
        <v/>
      </c>
      <c r="OF150" s="164">
        <f>IF($NJ150=0,0,INDEX('DADOS_FORMAS'!$GC$2:$GC$21,$NJ150))</f>
        <v/>
      </c>
      <c r="OG150" s="164">
        <f>IF($NJ150=0,0,INDEX('DADOS_FORMAS'!$GD$2:$GD$21,$NJ150))</f>
        <v/>
      </c>
      <c r="OH150" s="164">
        <f>IF($NJ150=0,0,INDEX('DADOS_FORMAS'!$GF$2:$GF$21,$NJ150))</f>
        <v/>
      </c>
      <c r="OI150" s="164">
        <f>IFERROR(VLOOKUP(SUBSTITUTE(SUBSTITUTE(SUBSTITUTE($NB150,"~","~~"),"*","~*"),"?","~?"),'DADOS_RESTRICOES'!$M$2:$Q$54,3,FALSE),0)</f>
        <v/>
      </c>
      <c r="OJ150" s="164">
        <f>IFERROR(VLOOKUP(SUBSTITUTE(SUBSTITUTE(SUBSTITUTE($NC150,"~","~~"),"*","~*"),"?","~?"),'DADOS_RESTRICOES'!$M$2:$Q$54,3,FALSE),0)</f>
        <v/>
      </c>
      <c r="OK150" s="164">
        <f>IFERROR(VLOOKUP(SUBSTITUTE(SUBSTITUTE(SUBSTITUTE($NB150,"~","~~"),"*","~*"),"?","~?"),'DADOS_RESTRICOES'!$M$2:$Q$54,2,FALSE),"")</f>
        <v/>
      </c>
      <c r="OL150" s="164">
        <f>IFERROR(VLOOKUP(SUBSTITUTE(SUBSTITUTE(SUBSTITUTE($NC150,"~","~~"),"*","~*"),"?","~?"),'DADOS_RESTRICOES'!$M$2:$Q$54,2,FALSE),"")</f>
        <v/>
      </c>
      <c r="OM150" s="164">
        <f>COUNTIF($NS150:$NW150,1)</f>
        <v/>
      </c>
      <c r="ON150" s="164">
        <f>COUNTIF($NS150:$NW150,2)</f>
        <v/>
      </c>
      <c r="OO150" s="164">
        <f>COUNTIF($NS150:$NW150,3)</f>
        <v/>
      </c>
      <c r="OP150" s="164">
        <f>COUNTIF($NS150:$NW150,4)</f>
        <v/>
      </c>
      <c r="OQ150" s="164">
        <f>COUNTIF($NS150:$NW150,5)</f>
        <v/>
      </c>
      <c r="OR150" s="164">
        <f>COUNTIF($NS150:$NW150,6)</f>
        <v/>
      </c>
      <c r="OS150" s="164">
        <f>COUNTIF($OI150:$OJ150,1)+IF(IFERROR(INDEX('DADOS_FORMAS'!$AS$2:$AS$21,MATCH(SUBSTITUTE(SUBSTITUTE(SUBSTITUTE($MU150,"~","~~"),"*","~*"),"?","~?"),'DADOS_FORMAS'!$AH$2:$AH$21,0)),"")="",0,IFERROR(N(VLOOKUP(SUBSTITUTE(SUBSTITUTE(SUBSTITUTE(IFERROR(INDEX('DADOS_FORMAS'!$AS$2:$AS$21,MATCH(SUBSTITUTE(SUBSTITUTE(SUBSTITUTE($MU150,"~","~~"),"*","~*"),"?","~?"),'DADOS_FORMAS'!$AH$2:$AH$21,0)),""),"~","~~"),"*","~*"),"?","~?"),'DADOS_RESTRICOES'!$M$2:$Q$54,3,FALSE)=1),0))</f>
        <v/>
      </c>
      <c r="OT150" s="164">
        <f>COUNTIF($OI150:$OJ150,2)+IF(IFERROR(INDEX('DADOS_FORMAS'!$AS$2:$AS$21,MATCH(SUBSTITUTE(SUBSTITUTE(SUBSTITUTE($MU150,"~","~~"),"*","~*"),"?","~?"),'DADOS_FORMAS'!$AH$2:$AH$21,0)),"")="",0,IFERROR(N(VLOOKUP(SUBSTITUTE(SUBSTITUTE(SUBSTITUTE(IFERROR(INDEX('DADOS_FORMAS'!$AS$2:$AS$21,MATCH(SUBSTITUTE(SUBSTITUTE(SUBSTITUTE($MU150,"~","~~"),"*","~*"),"?","~?"),'DADOS_FORMAS'!$AH$2:$AH$21,0)),""),"~","~~"),"*","~*"),"?","~?"),'DADOS_RESTRICOES'!$M$2:$Q$54,3,FALSE)=2),0))</f>
        <v/>
      </c>
      <c r="OU150" s="164">
        <f>COUNTIF($MX150:$NA150,"?*")</f>
        <v/>
      </c>
      <c r="OV150" s="164">
        <f>COUNTIF($NB150:$NC150,"?*")+$OF150</f>
        <v/>
      </c>
      <c r="OW150" s="164">
        <f>IF($MS150=0,0,SUMPRODUCT($OM150:$OR150,INDEX($I$2:$N$8,MAX(1,$MS150),0)))</f>
        <v/>
      </c>
      <c r="OX150" s="164">
        <f>IF($MS150=0,0,$OS150*CEILING($MS150/2,1)+$OT150*$MS150)</f>
        <v/>
      </c>
      <c r="OY150" s="164">
        <f>MIN(2*$MS150,$OX150)</f>
        <v/>
      </c>
      <c r="OZ150" s="164">
        <f>MIN($OY150,$OW150-IF($NS150=0,0,INDEX($I$2:$N$8,MAX(1,$MS150),$NS150)))</f>
        <v/>
      </c>
      <c r="PA150" s="164">
        <f>$OY150-$OZ150</f>
        <v/>
      </c>
      <c r="PB150" s="164">
        <f>IF($MS150=0,0,INDEX($P$2:$P$8,MAX(1,$MS150)))</f>
        <v/>
      </c>
      <c r="PC150" s="164">
        <f>$PB150-$OW150+$OZ150</f>
        <v/>
      </c>
      <c r="PD150" s="164">
        <f>IF($MS150=0,MAX(0,$NG150-IF(AND($OU150&gt;0,COUNTIF($NB150:$NC150,"?*")=0),1,0)),MAX(0,$PC150))</f>
        <v/>
      </c>
      <c r="PE150" s="164">
        <f>IF($MS150=0,0,(IF(COUNTIF($RK150:$RN150,"Salto")&gt;0,1,0)+IF(COUNTIF($RK150:$RN150,"Queima")&gt;0,1,0)+IF(COUNTIF($RK150:$RN150,"Estilhaço")&gt;0,1,0))*FLOOR($PD150/2,1))</f>
        <v/>
      </c>
      <c r="PF150" s="164">
        <f>MAX(0,2-SUMPRODUCT($OM150:$OR150,$I$2:$N$2)+MIN(2,$OS150*1+$OT150*1,SUMPRODUCT($OM150:$OR150,$I$2:$N$2)-IF($NS150=0,0,INDEX($I$2:$N$2,1,$NS150))))</f>
        <v/>
      </c>
      <c r="PG150" s="164">
        <f>MAX(0,4-SUMPRODUCT($OM150:$OR150,$I$3:$N$3)+MIN(4,$OS150*1+$OT150*2,SUMPRODUCT($OM150:$OR150,$I$3:$N$3)-IF($NS150=0,0,INDEX($I$3:$N$3,1,$NS150))))</f>
        <v/>
      </c>
      <c r="PH150" s="164">
        <f>MAX(0,6-SUMPRODUCT($OM150:$OR150,$I$4:$N$4)+MIN(6,$OS150*2+$OT150*3,SUMPRODUCT($OM150:$OR150,$I$4:$N$4)-IF($NS150=0,0,INDEX($I$4:$N$4,1,$NS150))))</f>
        <v/>
      </c>
      <c r="PI150" s="164">
        <f>MAX(0,9-SUMPRODUCT($OM150:$OR150,$I$5:$N$5)+MIN(8,$OS150*2+$OT150*4,SUMPRODUCT($OM150:$OR150,$I$5:$N$5)-IF($NS150=0,0,INDEX($I$5:$N$5,1,$NS150))))</f>
        <v/>
      </c>
      <c r="PJ150" s="164">
        <f>MAX(0,11-SUMPRODUCT($OM150:$OR150,$I$6:$N$6)+MIN(10,$OS150*3+$OT150*5,SUMPRODUCT($OM150:$OR150,$I$6:$N$6)-IF($NS150=0,0,INDEX($I$6:$N$6,1,$NS150))))</f>
        <v/>
      </c>
      <c r="PK150" s="164">
        <f>MAX(0,13-SUMPRODUCT($OM150:$OR150,$I$7:$N$7)+MIN(12,$OS150*3+$OT150*6,SUMPRODUCT($OM150:$OR150,$I$7:$N$7)-IF($NS150=0,0,INDEX($I$7:$N$7,1,$NS150))))</f>
        <v/>
      </c>
      <c r="PL150" s="164">
        <f>MAX(0,16-SUMPRODUCT($OM150:$OR150,$I$8:$N$8)+MIN(14,$OS150*4+$OT150*7,SUMPRODUCT($OM150:$OR150,$I$8:$N$8)-IF($NS150=0,0,INDEX($I$8:$N$8,1,$NS150))))</f>
        <v/>
      </c>
      <c r="PM150" s="164">
        <f>IF($OG150=2,3*$PF150&amp;" de vida temp.",IF($OG150=3,"sem dano",IF($PF150=0,IF($OG150=1,"sem cura","sem dano"),IF($OG150=1,"cura ","")&amp;$PF150&amp;"d8")))</f>
        <v/>
      </c>
      <c r="PN150" s="164">
        <f>IF($OG150=2,3*$PG150&amp;" de vida temp.",IF($OG150=3,"sem dano",IF($PG150=0,IF($OG150=1,"sem cura","sem dano"),IF($OG150=1,"cura ","")&amp;$PG150&amp;"d8")))</f>
        <v/>
      </c>
      <c r="PO150" s="164">
        <f>IF($OG150=2,3*$PH150&amp;" de vida temp.",IF($OG150=3,"sem dano",IF($PH150=0,IF($OG150=1,"sem cura","sem dano"),IF($OG150=1,"cura ","")&amp;$PH150&amp;"d8")))</f>
        <v/>
      </c>
      <c r="PP150" s="164">
        <f>IF($OG150=2,3*$PI150&amp;" de vida temp.",IF($OG150=3,"sem dano",IF($PI150=0,IF($OG150=1,"sem cura","sem dano"),IF($OG150=1,"cura ","")&amp;$PI150&amp;"d8")))</f>
        <v/>
      </c>
      <c r="PQ150" s="164">
        <f>IF($OG150=2,3*$PJ150&amp;" de vida temp.",IF($OG150=3,"sem dano",IF($PJ150=0,IF($OG150=1,"sem cura","sem dano"),IF($OG150=1,"cura ","")&amp;$PJ150&amp;"d8")))</f>
        <v/>
      </c>
      <c r="PR150" s="164">
        <f>IF($OG150=2,3*$PK150&amp;" de vida temp.",IF($OG150=3,"sem dano",IF($PK150=0,IF($OG150=1,"sem cura","sem dano"),IF($OG150=1,"cura ","")&amp;$PK150&amp;"d8")))</f>
        <v/>
      </c>
      <c r="PS150" s="164">
        <f>IF($OG150=2,3*$PL150&amp;" de vida temp.",IF($OG150=3,"sem dano",IF($PL150=0,IF($OG150=1,"sem cura","sem dano"),IF($OG150=1,"cura ","")&amp;$PL150&amp;"d8")))</f>
        <v/>
      </c>
      <c r="PT150" s="164">
        <f>IF($ND150=0,"",TEXTJOIN(" · ",TRUE,IF($ND150=0,"",TEXTJOIN(" · ",TRUE,IF($ND150=0,"",TEXTJOIN(" · ",TRUE,IF($MQ150&gt;$NE150,"Este lugar abre no nível "&amp;$MQ150,""),IF($MS150&gt;$NF150,"Classe "&amp;$MS150&amp;": o nível "&amp;$NE150&amp;" libera até a "&amp;$NF150,""),IF($NX150=1,"A Forma "&amp;$MU150&amp;" pede "&amp;INDEX('DADOS_FORMAS'!$GA$2:$GA$21,$NJ150)&amp;" aberta",""),IF(AND($MS150=0,$NJ150&gt;0,IF($NJ150=0,0,INDEX('DADOS_FORMAS'!$GJ$2:$GJ$21,$NJ150))=0),$MU150&amp;" não existe na Classe 0",""),IF($NY150=1,"Família Fechada: "&amp;$MX150,""),IF($NZ150=1,"Família Fechada: "&amp;$MY150,""),IF($OA150=1,"Família Fechada: "&amp;$MZ150,""),IF($OB150=1,"Família Fechada: "&amp;$NA150,""),IF(AND($MS150&gt;0,$OU150&gt;INDEX($O$2:$O$8,MAX(1,$MS150))),$OU150&amp;" Melhorias: a Classe "&amp;$MS150&amp;" aceita "&amp;INDEX($O$2:$O$8,MAX(1,$MS150)),""),IF(AND($MS150=0,$OU150&gt;1),"A básica aceita uma Melhoria",""),IF(AND($MS150=0,COUNTIF($NO150:$NR150,"&gt;1")&gt;0),"A básica só aceita Melhoria Leve",""),IF(AND($MS150&gt;0,$OV150&gt;2),$OV150&amp;" Restrições"&amp;IF($OF150=1,", contando a que a Forma "&amp;$MU150&amp;" já traz","")&amp;": o limite é 2",""),IF(AND($MS150=0,COUNTIF($NB150:$NC150,"?*")&gt;1),"A básica aceita uma Restrição Leve",""),IF(AND($MS150=0,COUNTIF($OI150:$OJ150,2)&gt;0),"A básica só aceita Restrição Leve",""),IF(AND($MS150&gt;0,$PC150&lt;0),"Orçamento estourado: faltam "&amp;(-$PC150)&amp;IF($PC150&lt;-1," pontos"," ponto"),""),IF(IFERROR(VLOOKUP(SUBSTITUTE(SUBSTITUTE(SUBSTITUTE($NB150,"~","~~"),"*","~*"),"?","~?"),'DADOS_RESTRICOES'!$M$2:$Q$54,4,FALSE),0)+IFERROR(VLOOKUP(SUBSTITUTE(SUBSTITUTE(SUBSTITUTE($NC150,"~","~~"),"*","~*"),"?","~?"),'DADOS_RESTRICOES'!$M$2:$Q$54,4,FALSE),0)&gt;1,$OK150&amp;" e "&amp;$OL150&amp;" são as duas de frequência",""),IF(AND((COUNTIF($RK150:$RN150,"Rápido")+COUNTIF($OK150:$OL150,"Rápido"))&gt;0,(COUNTIF($MX150:$NA150,"Atrasar")+COUNTIF($OK150:$OL150,"Atrasar"))&gt;0),"Rápido não entra com Atrasar",""),IF(AND((COUNTIF($RK150:$RN150,"Reação")+COUNTIF($OK150:$OL150,"Reação"))&gt;0,(COUNTIF($RK150:$RN150,"Rápido")+COUNTIF($OK150:$OL150,"Rápido"))&gt;0),"Reação não entra com Rápido",""),IF(AND((COUNTIF($RK150:$RN150,"Reação")+COUNTIF($OK150:$OL150,"Reação"))&gt;0,(COUNTIF($RK150:$RN150,"Armado")+COUNTIF($OK150:$OL150,"Armado"))&gt;0),"Reação não entra com Armado",""),IF(AND((COUNTIF($RK150:$RN150,"Reação")+COUNTIF($OK150:$OL150,"Reação"))&gt;0,(COUNTIF($MX150:$NA150,"Atrasar")+COUNTIF($OK150:$OL150,"Atrasar"))&gt;0),"Reação não entra com Atrasar",""),IF(AND((COUNTIF($RK150:$RN150,"Reação")+COUNTIF($OK150:$OL150,"Reação"))&gt;0,(COUNTIF($MX150:$NA150,"Parado")+COUNTIF($OK150:$OL150,"Parado"))&gt;0),"Reação não entra com Parado",""),IF(AND((COUNTIF($MX150:$NA150,"Atrasar")+COUNTIF($OK150:$OL150,"Atrasar"))&gt;0,(COUNTIF($MX150:$NA150,"Parado")+COUNTIF($OK150:$OL150,"Parado"))&gt;0),"Atrasar não entra com Parado",""),IF(AND((COUNTIF($RK150:$RN150,"Armado")+COUNTIF($OK150:$OL150,"Armado"))&gt;0,(COUNTIF($MX150:$NA150,"Carregar")+COUNTIF($OK150:$OL150,"Carregar"))&gt;0),"Armado não entra com Carregar",""),IF(AND(COUNTIF($OK150:$OL150,"Corpo a Corpo")&gt;0,$OF150=0,OR($RO150="Cone",$RO150="Linha")),"Corpo a Corpo não entra em "&amp;$MU150,""),IF(AND(COUNTIF($OK150:$OL150,"Corpo a Corpo")&gt;0,$RP150="Corpo a Corpo"),"A Forma "&amp;$MU150&amp;" já traz o Corpo a Corpo",""),IF(AND(COUNTIF($OK150:$OL150,"Tudo ou Nada")&gt;0,$OH150=0),"Tudo ou Nada só entra em habilidade de Teste de Resistência",""),IF(AND(COUNTIF($RK150:$RN150,"Inescapável")&gt;0,OR($OU150&gt;1,$OV150&gt;0)),"Inescapável não aceita outra peça",""),IF(AND($MS150&gt;0,$PD150*IF(COUNTIF($RK150:$RN150,"Remate")&gt;0,1.25,1)+$PE150&gt;4*$MS150),($PD150*IF(COUNTIF($RK150:$RN150,"Remate")&gt;0,1.25,1)+$PE150)&amp;" dados somando repetições"&amp;IF(COUNTIF($RK150:$RN150,"Remate")&gt;0," e o Remate","")&amp;": o teto da Classe "&amp;$MS150&amp;" é "&amp;4*$MS150,""))),IF(AND($MX150&lt;&gt;"",COUNTIF('DADOS_MELHORIAS'!$O$2:$O$113,SUBSTITUTE(SUBSTITUTE(SUBSTITUTE($MX150,"~","~~"),"*","~*"),"?","~?"))=0),"Melhoria não cadastrada ou com erro: "&amp;$MX150,""),IF(AND($MY150&lt;&gt;"",COUNTIF('DADOS_MELHORIAS'!$O$2:$O$113,SUBSTITUTE(SUBSTITUTE(SUBSTITUTE($MY150,"~","~~"),"*","~*"),"?","~?"))=0),"Melhoria não cadastrada ou com erro: "&amp;$MY150,""),IF(AND($MZ150&lt;&gt;"",COUNTIF('DADOS_MELHORIAS'!$O$2:$O$113,SUBSTITUTE(SUBSTITUTE(SUBSTITUTE($MZ150,"~","~~"),"*","~*"),"?","~?"))=0),"Melhoria não cadastrada ou com erro: "&amp;$MZ150,""),IF(AND($NA150&lt;&gt;"",COUNTIF('DADOS_MELHORIAS'!$O$2:$O$113,SUBSTITUTE(SUBSTITUTE(SUBSTITUTE($NA150,"~","~~"),"*","~*"),"?","~?"))=0),"Melhoria não cadastrada ou com erro: "&amp;$NA150,""),IF(AND($NB150&lt;&gt;"",COUNTIF('DADOS_RESTRICOES'!$M$2:$M$54,SUBSTITUTE(SUBSTITUTE(SUBSTITUTE($NB150,"~","~~"),"*","~*"),"?","~?"))=0),"Restrição não cadastrada ou com erro: "&amp;$NB150,""),IF(AND($NC150&lt;&gt;"",COUNTIF('DADOS_RESTRICOES'!$M$2:$M$54,SUBSTITUTE(SUBSTITUTE(SUBSTITUTE($NC150,"~","~~"),"*","~*"),"?","~?"))=0),"Restrição não cadastrada ou com erro: "&amp;$NC150,""))),IF(AND($MU150&lt;&gt;"",COUNTIF('DADOS_FORMAS'!$AH$2:$AH$21,SUBSTITUTE(SUBSTITUTE(SUBSTITUTE($MU150,"~","~~"),"*","~*"),"?","~?"))=0),"Forma não cadastrada ou com erro: "&amp;$MU150,""),IF(AND(IFERROR(INDEX('DADOS_FORMAS'!$AS$2:$AS$21,MATCH(SUBSTITUTE(SUBSTITUTE(SUBSTITUTE($MU150,"~","~~"),"*","~*"),"?","~?"),'DADOS_FORMAS'!$AH$2:$AH$21,0)),"")&lt;&gt;"",OR(IFERROR(VLOOKUP(SUBSTITUTE(SUBSTITUTE(SUBSTITUTE(IFERROR(INDEX('DADOS_FORMAS'!$AS$2:$AS$21,MATCH(SUBSTITUTE(SUBSTITUTE(SUBSTITUTE($MU150,"~","~~"),"*","~*"),"?","~?"),'DADOS_FORMAS'!$AH$2:$AH$21,0)),""),"~","~~"),"*","~*"),"?","~?"),'DADOS_RESTRICOES'!$M$2:$Q$54,2,FALSE),"")=$OK150,IFERROR(VLOOKUP(SUBSTITUTE(SUBSTITUTE(SUBSTITUTE(IFERROR(INDEX('DADOS_FORMAS'!$AS$2:$AS$21,MATCH(SUBSTITUTE(SUBSTITUTE(SUBSTITUTE($MU150,"~","~~"),"*","~*"),"?","~?"),'DADOS_FORMAS'!$AH$2:$AH$21,0)),""),"~","~~"),"*","~*"),"?","~?"),'DADOS_RESTRICOES'!$M$2:$Q$54,2,FALSE),"")=$OL150)),"Restrição repetida, contando a embutida",""),IF(IF(IFERROR(INDEX('DADOS_FORMAS'!$AS$2:$AS$21,MATCH(SUBSTITUTE(SUBSTITUTE(SUBSTITUTE($MU150,"~","~~"),"*","~*"),"?","~?"),'DADOS_FORMAS'!$AH$2:$AH$21,0)),"")="",0,IFERROR(N(VLOOKUP(SUBSTITUTE(SUBSTITUTE(SUBSTITUTE(IFERROR(INDEX('DADOS_FORMAS'!$AS$2:$AS$21,MATCH(SUBSTITUTE(SUBSTITUTE(SUBSTITUTE($MU150,"~","~~"),"*","~*"),"?","~?"),'DADOS_FORMAS'!$AH$2:$AH$21,0)),""),"~","~~"),"*","~*"),"?","~?"),'DADOS_RESTRICOES'!$M$2:$Q$54,4,FALSE)=1),0))+IF($NB150="",0,IFERROR(N(VLOOKUP(SUBSTITUTE(SUBSTITUTE(SUBSTITUTE($NB150,"~","~~"),"*","~*"),"?","~?"),'DADOS_RESTRICOES'!$M$2:$Q$54,4,FALSE)=1),0))+IF($NC150="",0,IFERROR(N(VLOOKUP(SUBSTITUTE(SUBSTITUTE(SUBSTITUTE($NC150,"~","~~"),"*","~*"),"?","~?"),'DADOS_RESTRICOES'!$M$2:$Q$54,4,FALSE)=1),0))&gt;1,"Duas Restrições de frequência, contando a embutida",""),IF(AND(IFERROR(VLOOKUP(SUBSTITUTE(SUBSTITUTE(SUBSTITUTE(IFERROR(INDEX('DADOS_FORMAS'!$AS$2:$AS$21,MATCH(SUBSTITUTE(SUBSTITUTE(SUBSTITUTE($MU150,"~","~~"),"*","~*"),"?","~?"),'DADOS_FORMAS'!$AH$2:$AH$21,0)),""),"~","~~"),"*","~*"),"?","~?"),'DADOS_RESTRICOES'!$M$2:$Q$54,2,FALSE),"")="Tudo ou Nada",$OH150=0),"Tudo ou Nada exige TR",""),IF(AND(IFERROR(VLOOKUP(SUBSTITUTE(SUBSTITUTE(SUBSTITUTE(IFERROR(INDEX('DADOS_FORMAS'!$AS$2:$AS$21,MATCH(SUBSTITUTE(SUBSTITUTE(SUBSTITUTE($MU150,"~","~~"),"*","~*"),"?","~?"),'DADOS_FORMAS'!$AH$2:$AH$21,0)),""),"~","~~"),"*","~*"),"?","~?"),'DADOS_RESTRICOES'!$M$2:$Q$54,2,FALSE),"")="Corpo a Corpo",OR($RO150="Cone",$RO150="Linha")),"Corpo a Corpo não entra em Cone/Linha","")))</f>
        <v/>
      </c>
      <c r="PU150" s="164">
        <f>IF($PT150="",0,(LEN($PT150)-LEN(SUBSTITUTE($PT150," · ","")))/3+1)</f>
        <v/>
      </c>
      <c r="PV150" s="164">
        <f>IF($ND150=0,"",TEXTJOIN(" · ",TRUE,IF($OX150&gt;2*$MS150,"A devolução parou no teto de "&amp;2*$MS150,""),IF($PA150&gt;0,"Devolução perdida: "&amp;$PA150&amp;IF($PA150&gt;1," pontos"," ponto")&amp;" sem Melhoria para pagar",""),IF(AND($OC150&gt;0,AND($MS150&gt;0,$OG150=0),$PD150=0),"Controle sem dano: uma rodada a mais e CD +2",""),IF(AND($OC150&gt;0,AND($MS150&gt;0,$OG150=0),$PD150&gt;0,$PD150&lt;=$MS150),"Controle com saldo até a Classe: uma rodada a mais",""),IF(AND($MS150&gt;0,$OE150&lt;&gt;""),"Efeito de "&amp;$OE150&amp;" pela Classe "&amp;MAX(1,$MS150-1),"")))</f>
        <v/>
      </c>
      <c r="PW150" s="164">
        <f>IF($PV150="",0,(LEN($PV150)-LEN(SUBSTITUTE($PV150," · ","")))/3+1)</f>
        <v/>
      </c>
      <c r="PX150" s="164">
        <f>IF($ND150=0,IF($OU150+COUNTIF($NB150:$NC150,"?*")&gt;0,"Dê um nome",""),IF($PU150&gt;0,"⚠ "&amp;$PU150&amp;IF($PU150&gt;1," erros"," erro"),IF($PW150&gt;0,"! "&amp;$PW150&amp;IF($PW150&gt;1," avisos"," aviso"),"Na regra")))</f>
        <v/>
      </c>
      <c r="PY150" s="164">
        <f>IF($ND150=0,"",IF($PU150+$PW150=0,"Dentro das regras que a ficha confere",$PT150&amp;IF(AND($PU150&gt;0,$PW150&gt;0)," · ","")&amp;$PV150))</f>
        <v/>
      </c>
      <c r="PZ150" s="164">
        <f>IF($MQ150&gt;$NE150,$MR150&amp;" · ABRE NO NÍVEL "&amp;$MQ150,$MR150)</f>
        <v/>
      </c>
      <c r="QA150" s="164">
        <f>IF($ND150=0,"",IF($MS150=0,"Sem PE",3*$MS150&amp;" PE"))</f>
        <v/>
      </c>
      <c r="QB150" s="164">
        <f>IF($ND150=0,"",IF($MS150=0,"A atuação básica dela",IF(COUNTIF($RQ150:$RS150,"Atrasar")&gt;0,"Sua Ação Completa",IF(COUNTIF($RK150:$RN150,"Rápido")&gt;0,"Sua Bônus",IF(COUNTIF($RK150:$RN150,"Reação")&gt;0,"Sua Reação","Sua Padrão")))&amp;" + a básica dela"&amp;IF(COUNTIF($RK150:$RN150,"Reação")&gt;0," e a coletiva","")&amp;IF(COUNTIF($RQ150:$RS150,"Carregar")&gt;0," · em dois turnos","")))</f>
        <v/>
      </c>
      <c r="QC150" s="164">
        <f>IF($MW150&lt;&gt;"",$MW150,IF($NJ150=0,"",INDEX('DADOS_FORMAS'!$GE$2:$GE$21,$NJ150)))</f>
        <v/>
      </c>
      <c r="QD150" s="164">
        <f>IF(OR($ND150=0,$NJ150=0),"",IF(COUNTIF($RK150:$RN150,"Inescapável")&gt;0,"Automático",IF($QC150="Ataque",IF($NH150="","Ataque","Ataque "&amp;IF(($NH150+2*IF(COUNTIF($RK150:$RN150,"Precisão")&gt;0,1,0))&gt;=0,"+","−")&amp;ABS(($NH150+2*IF(COUNTIF($RK150:$RN150,"Precisão")&gt;0,1,0))))&amp;IF($OD150&gt;0," · TR"&amp;IF($NI150="",""," CD "&amp;$NI150),""),IF(LEFT($QC150,2)="TR",$QC150&amp;IF($NI150="",""," · CD "&amp;$NI150)&amp;IF(COUNTIF($RK150:$RN150,"Certeiro")&gt;0," · metade",""),"Sem rolagem"))))</f>
        <v/>
      </c>
      <c r="QE150" s="164">
        <f>IF(OR($ND150=0,$NJ150=0),"",IF($MS150=0,IF(OR($OG150&gt;=1,$PD150=0),"Sem dano",$PD150&amp;"d6"&amp;IF($MV150="",""," "&amp;$MV150)),IF(OR($OG150&gt;=1,$PD150=0),UPPER(LEFT(INDEX($PM150:$PS150,1,MAX(1,$MS150)),1))&amp;MID(INDEX($PM150:$PS150,1,MAX(1,$MS150)),2,99),UPPER(LEFT(INDEX($PM150:$PS150,1,MAX(1,$MS150)),1))&amp;MID(INDEX($PM150:$PS150,1,MAX(1,$MS150)),2,99)&amp;IF($MV150="",""," "&amp;$MV150)&amp;IF($PE150&gt;0," · +"&amp;$PE150&amp;"d8",""))))</f>
        <v/>
      </c>
      <c r="QF150" s="164">
        <f>COUNTIF($RK150:$RN150,"Longe")+3*COUNTIF($RK150:$RN150,"Muito Longe")</f>
        <v/>
      </c>
      <c r="QG150" s="164">
        <f>COUNTIF($RK150:$RN150,"Maior")+3*COUNTIF($RK150:$RN150,"Muito Maior")</f>
        <v/>
      </c>
      <c r="QH150" s="164">
        <f>IF($NJ150=0,0,CHOOSE(1+INDEX('DADOS_FORMAS'!$GG$2:$GG$21,$NJ150),0,$QF150,$QG150,$QF150+$QG150))</f>
        <v/>
      </c>
      <c r="QI150" s="164">
        <f>IF($NJ150=0,0,CHOOSE(1+INDEX('DADOS_FORMAS'!$GH$2:$GH$21,$NJ150),0,$QF150,$QG150,$QF150+$QG150))</f>
        <v/>
      </c>
      <c r="QJ150" s="164">
        <f>IF(OR($ND150=0,$NJ150=0),"",INDEX('DADOS_FORMAS'!$HU$2:$HZ$81,($NJ150-1)*4+IF($MS150=0,1,IF($MS150&lt;=5,2,IF($MS150=6,3,4))),1+MIN(5,$QH150))&amp;INDEX('DADOS_FORMAS'!$IA$2:$IF$81,($NJ150-1)*4+IF($MS150=0,1,IF($MS150&lt;=5,2,IF($MS150=6,3,4))),1+MIN(5,$QI150))&amp;IF(INDEX('DADOS_FORMAS'!$GI$2:$GI$21,$NJ150)=1,IF(COUNTIF($RK150:$RN150,"Mais Um")&gt;0," · +"&amp;COUNTIF($RK150:$RN150,"Mais Um")&amp;IF(COUNTIF($RK150:$RN150,"Mais Um")&gt;1," alvos"," alvo"),"")&amp;IF(COUNTIF($RK150:$RN150,"Rajada")&gt;0,IF($MS150=0," · 1 tiro"," · "&amp;(MAX(1,$MS150-1)+1)&amp;" tiros"),""),""))</f>
        <v/>
      </c>
      <c r="QK150" s="164">
        <f>IF($ND150=0,"",IF($MS150=0,$NG150&amp;"d6"&amp;IF($OU150&gt;0," − 1 = "&amp;$PD150&amp;"d6"," da básica do nível "&amp;$NE150),$PB150&amp;" − "&amp;$OW150&amp;" + "&amp;$OZ150&amp;" = "&amp;$PC150&amp;" · teto "&amp;4*$MS150&amp;"d8"&amp;IF($OF150=1," · a Forma devolve "&amp;$MS150,"")&amp;IF($PA150&gt;0," · perde "&amp;$PA150,"")))</f>
        <v/>
      </c>
      <c r="QL150" s="164">
        <f>IF($ND150=0,"",IF($MS150=0,"A básica não amplia: os dados dela sobem com o nível",IF($MS150&gt;=$NF150,"Já está na maior Classe que o nível liberou",TEXTJOIN(" · ",TRUE,IF(AND(2&gt;$MS150,2&lt;=$NF150),"2 → "&amp;$PN150&amp;", 6 PE",""),IF(AND(3&gt;$MS150,3&lt;=$NF150),"3 → "&amp;$PO150&amp;", 9 PE",""),IF(AND(4&gt;$MS150,4&lt;=$NF150),"4 → "&amp;$PP150&amp;", 12 PE",""),IF(AND(5&gt;$MS150,5&lt;=$NF150),"5 → "&amp;$PQ150&amp;", 15 PE",""),IF(AND(6&gt;$MS150,6&lt;=$NF150),"6 → "&amp;$PR150&amp;", 18 PE",""),IF(AND(7&gt;$MS150,7&lt;=$NF150),"7 → "&amp;$PS150&amp;", 21 PE","")))))</f>
        <v/>
      </c>
      <c r="QM150" s="164">
        <f>IF(OR($ND150=0,$NO150=0),"",IF($MS150=0,"−1 dado","−"&amp;INDEX($I$2:$N$8,MAX(1,$MS150),MAX(1,$NT150))&amp;" · "&amp;CHOOSE(MAX(1,$NT150),"Leve","Média","Pesada","Leve · Livre","Média · Livre","Pesada · Livre")))</f>
        <v/>
      </c>
      <c r="QN150" s="164">
        <f>IF(OR($ND150=0,$NP150=0),"",IF($MS150=0,"−1 dado","−"&amp;INDEX($I$2:$N$8,MAX(1,$MS150),MAX(1,$NU150))&amp;" · "&amp;CHOOSE(MAX(1,$NU150),"Leve","Média","Pesada","Leve · Livre","Média · Livre","Pesada · Livre")))</f>
        <v/>
      </c>
      <c r="QO150" s="164">
        <f>IF(OR($ND150=0,$NQ150=0),"",IF($MS150=0,"−1 dado","−"&amp;INDEX($I$2:$N$8,MAX(1,$MS150),MAX(1,$NV150))&amp;" · "&amp;CHOOSE(MAX(1,$NV150),"Leve","Média","Pesada","Leve · Livre","Média · Livre","Pesada · Livre")))</f>
        <v/>
      </c>
      <c r="QP150" s="164">
        <f>IF(OR($ND150=0,$NR150=0),"",IF($MS150=0,"−1 dado","−"&amp;INDEX($I$2:$N$8,MAX(1,$MS150),MAX(1,$NW150))&amp;" · "&amp;CHOOSE(MAX(1,$NW150),"Leve","Média","Pesada","Leve · Livre","Média · Livre","Pesada · Livre")))</f>
        <v/>
      </c>
      <c r="QQ150" s="164">
        <f>IF(OR($ND150=0,$NB150=""),"",IF($MS150=0,"não devolve","+"&amp;IF($OI150=1,CEILING($MS150/2,1),$MS150)))</f>
        <v/>
      </c>
      <c r="QR150" s="164">
        <f>IF(OR($ND150=0,$NC150=""),"",IF($MS150=0,"não devolve","+"&amp;IF($OJ150=1,CEILING($MS150/2,1),$MS150)))</f>
        <v/>
      </c>
      <c r="RK150">
        <f>IF($MX150="","",IFERROR(VLOOKUP(SUBSTITUTE(SUBSTITUTE(SUBSTITUTE($MX150,"~","~~"),"*","~*"),"?","~?"),'DADOS_MELHORIAS'!$O$2:$X$113,10,FALSE),$MX150))</f>
        <v/>
      </c>
      <c r="RL150">
        <f>IF($MY150="","",IFERROR(VLOOKUP(SUBSTITUTE(SUBSTITUTE(SUBSTITUTE($MY150,"~","~~"),"*","~*"),"?","~?"),'DADOS_MELHORIAS'!$O$2:$X$113,10,FALSE),$MY150))</f>
        <v/>
      </c>
      <c r="RM150">
        <f>IF($MZ150="","",IFERROR(VLOOKUP(SUBSTITUTE(SUBSTITUTE(SUBSTITUTE($MZ150,"~","~~"),"*","~*"),"?","~?"),'DADOS_MELHORIAS'!$O$2:$X$113,10,FALSE),$MZ150))</f>
        <v/>
      </c>
      <c r="RN150">
        <f>IF($NA150="","",IFERROR(VLOOKUP(SUBSTITUTE(SUBSTITUTE(SUBSTITUTE($NA150,"~","~~"),"*","~*"),"?","~?"),'DADOS_MELHORIAS'!$O$2:$X$113,10,FALSE),$NA150))</f>
        <v/>
      </c>
      <c r="RO150">
        <f>IFERROR(INDEX('DADOS_FORMAS'!$BJ$2:$BJ$21,MATCH(SUBSTITUTE(SUBSTITUTE(SUBSTITUTE($MU150,"~","~~"),"*","~*"),"?","~?"),'DADOS_FORMAS'!$AH$2:$AH$21,0)),"")</f>
        <v/>
      </c>
      <c r="RP150">
        <f>IFERROR(VLOOKUP(SUBSTITUTE(SUBSTITUTE(SUBSTITUTE(IFERROR(INDEX('DADOS_FORMAS'!$AS$2:$AS$21,MATCH(SUBSTITUTE(SUBSTITUTE(SUBSTITUTE($MU150,"~","~~"),"*","~*"),"?","~?"),'DADOS_FORMAS'!$AH$2:$AH$21,0)),""),"~","~~"),"*","~*"),"?","~?"),'DADOS_RESTRICOES'!$M$2:$Q$54,2,FALSE),"")</f>
        <v/>
      </c>
      <c r="RQ150">
        <f>$OK150</f>
        <v/>
      </c>
      <c r="RR150">
        <f>$OL150</f>
        <v/>
      </c>
      <c r="RS150">
        <f>$RP150</f>
        <v/>
      </c>
    </row>
    <row r="151">
      <c r="MN151" s="162" t="inlineStr">
        <is>
          <t>Ficha 12 · Especial 5</t>
        </is>
      </c>
      <c r="MO151" s="164" t="n">
        <v>12</v>
      </c>
      <c r="MP151" s="164" t="n">
        <v>1</v>
      </c>
      <c r="MQ151" s="164" t="n">
        <v>16</v>
      </c>
      <c r="MR151" s="162" t="inlineStr">
        <is>
          <t>ESPECIAL 5</t>
        </is>
      </c>
      <c r="MS151" s="164">
        <f>MAX(1,MIN(7,N('INVOCAÇÕES'!$AB$1182)))</f>
        <v/>
      </c>
      <c r="MT151" s="164">
        <f>'INVOCAÇÕES'!$AC$1182&amp;""</f>
        <v/>
      </c>
      <c r="MU151" s="164">
        <f>'INVOCAÇÕES'!$AB$1187&amp;""</f>
        <v/>
      </c>
      <c r="MV151" s="164">
        <f>'INVOCAÇÕES'!$AB$1188&amp;""</f>
        <v/>
      </c>
      <c r="MW151" s="164">
        <f>'INVOCAÇÕES'!$AD$1188&amp;""</f>
        <v/>
      </c>
      <c r="MX151" s="164">
        <f>'INVOCAÇÕES'!$AC$1191&amp;""</f>
        <v/>
      </c>
      <c r="MY151" s="164">
        <f>'INVOCAÇÕES'!$AC$1192&amp;""</f>
        <v/>
      </c>
      <c r="MZ151" s="164">
        <f>'INVOCAÇÕES'!$AC$1193&amp;""</f>
        <v/>
      </c>
      <c r="NA151" s="164">
        <f>'INVOCAÇÕES'!$AC$1194&amp;""</f>
        <v/>
      </c>
      <c r="NB151" s="164">
        <f>'INVOCAÇÕES'!$AC$1195&amp;""</f>
        <v/>
      </c>
      <c r="NC151" s="164">
        <f>'INVOCAÇÕES'!$AC$1196&amp;""</f>
        <v/>
      </c>
      <c r="ND151" s="164">
        <f>IF($MT151&lt;&gt;"",1,0)</f>
        <v/>
      </c>
      <c r="NE151" s="164">
        <f>INDEX($FO$2:$FO$13,$MO151)</f>
        <v/>
      </c>
      <c r="NF151" s="164">
        <f>INDEX($FP$2:$FP$13,$MO151)</f>
        <v/>
      </c>
      <c r="NG151" s="164">
        <f>INDEX($FQ$2:$FQ$13,$MO151)</f>
        <v/>
      </c>
      <c r="NH151" s="164">
        <f>INDEX($GB$2:$GB$13,$MO151)</f>
        <v/>
      </c>
      <c r="NI151" s="164">
        <f>INDEX($GC$2:$GC$13,$MO151)</f>
        <v/>
      </c>
      <c r="NJ151" s="164">
        <f>IFERROR(MATCH(SUBSTITUTE(SUBSTITUTE(SUBSTITUTE($MU151,"~","~~"),"*","~*"),"?","~?"),'DADOS_FORMAS'!$FZ$2:$FZ$21,0),0)</f>
        <v/>
      </c>
      <c r="NK151" s="164">
        <f>IFERROR(VLOOKUP(SUBSTITUTE(SUBSTITUTE(SUBSTITUTE($MX151,"~","~~"),"*","~*"),"?","~?"),'DADOS_MELHORIAS'!$AG$2:$AL$113,2,FALSE),"")</f>
        <v/>
      </c>
      <c r="NL151" s="164">
        <f>IFERROR(VLOOKUP(SUBSTITUTE(SUBSTITUTE(SUBSTITUTE($MY151,"~","~~"),"*","~*"),"?","~?"),'DADOS_MELHORIAS'!$AG$2:$AL$113,2,FALSE),"")</f>
        <v/>
      </c>
      <c r="NM151" s="164">
        <f>IFERROR(VLOOKUP(SUBSTITUTE(SUBSTITUTE(SUBSTITUTE($MZ151,"~","~~"),"*","~*"),"?","~?"),'DADOS_MELHORIAS'!$AG$2:$AL$113,2,FALSE),"")</f>
        <v/>
      </c>
      <c r="NN151" s="164">
        <f>IFERROR(VLOOKUP(SUBSTITUTE(SUBSTITUTE(SUBSTITUTE($NA151,"~","~~"),"*","~*"),"?","~?"),'DADOS_MELHORIAS'!$AG$2:$AL$113,2,FALSE),"")</f>
        <v/>
      </c>
      <c r="NO151" s="164">
        <f>IFERROR(VLOOKUP(SUBSTITUTE(SUBSTITUTE(SUBSTITUTE($MX151,"~","~~"),"*","~*"),"?","~?"),'DADOS_MELHORIAS'!$AG$2:$AL$113,3,FALSE),0)</f>
        <v/>
      </c>
      <c r="NP151" s="164">
        <f>IFERROR(VLOOKUP(SUBSTITUTE(SUBSTITUTE(SUBSTITUTE($MY151,"~","~~"),"*","~*"),"?","~?"),'DADOS_MELHORIAS'!$AG$2:$AL$113,3,FALSE),0)</f>
        <v/>
      </c>
      <c r="NQ151" s="164">
        <f>IFERROR(VLOOKUP(SUBSTITUTE(SUBSTITUTE(SUBSTITUTE($MZ151,"~","~~"),"*","~*"),"?","~?"),'DADOS_MELHORIAS'!$AG$2:$AL$113,3,FALSE),0)</f>
        <v/>
      </c>
      <c r="NR151" s="164">
        <f>IFERROR(VLOOKUP(SUBSTITUTE(SUBSTITUTE(SUBSTITUTE($NA151,"~","~~"),"*","~*"),"?","~?"),'DADOS_MELHORIAS'!$AG$2:$AL$113,3,FALSE),0)</f>
        <v/>
      </c>
      <c r="NS151" s="164">
        <f>IF($MS151=0,0,IF($NJ151=0,0,INDEX('DADOS_FORMAS'!$GB$2:$GB$21,$NJ151)))</f>
        <v/>
      </c>
      <c r="NT151" s="164">
        <f>IF(OR($NO151=0,$MS151=0),0,$NO151+3*IF(AND($NK151&lt;&gt;"",COUNTIF(INDEX($RB$2:$RJ$13,$MO151,0),$NK151)&gt;0),1,0))</f>
        <v/>
      </c>
      <c r="NU151" s="164">
        <f>IF(OR($NP151=0,$MS151=0),0,$NP151+3*IF(AND($NL151&lt;&gt;"",COUNTIF(INDEX($RB$2:$RJ$13,$MO151,0),$NL151)&gt;0),1,0))</f>
        <v/>
      </c>
      <c r="NV151" s="164">
        <f>IF(OR($NQ151=0,$MS151=0),0,$NQ151+3*IF(AND($NM151&lt;&gt;"",COUNTIF(INDEX($RB$2:$RJ$13,$MO151,0),$NM151)&gt;0),1,0))</f>
        <v/>
      </c>
      <c r="NW151" s="164">
        <f>IF(OR($NR151=0,$MS151=0),0,$NR151+3*IF(AND($NN151&lt;&gt;"",COUNTIF(INDEX($RB$2:$RJ$13,$MO151,0),$NN151)&gt;0),1,0))</f>
        <v/>
      </c>
      <c r="NX151" s="164">
        <f>IF($NJ151=0,0,IF(INDEX('DADOS_FORMAS'!$GA$2:$GA$21,$NJ151)="",0,IF((COUNTIF(INDEX($EL$2:$EP$13,$MO151,0),INDEX('DADOS_FORMAS'!$GA$2:$GA$21,$NJ151))+COUNTIF(INDEX($QV$2:$QY$13,$MO151,0),INDEX('DADOS_FORMAS'!$GA$2:$GA$21,$NJ151)))=0,1,0)))</f>
        <v/>
      </c>
      <c r="NY151" s="164">
        <f>IF(OR($NO151=0,$NK151=""),0,IF((COUNTIF(INDEX($EL$2:$EP$13,$MO151,0),$NK151)+COUNTIF(INDEX($QV$2:$QY$13,$MO151,0),$NK151))=0,1,0))</f>
        <v/>
      </c>
      <c r="NZ151" s="164">
        <f>IF(OR($NP151=0,$NL151=""),0,IF((COUNTIF(INDEX($EL$2:$EP$13,$MO151,0),$NL151)+COUNTIF(INDEX($QV$2:$QY$13,$MO151,0),$NL151))=0,1,0))</f>
        <v/>
      </c>
      <c r="OA151" s="164">
        <f>IF(OR($NQ151=0,$NM151=""),0,IF((COUNTIF(INDEX($EL$2:$EP$13,$MO151,0),$NM151)+COUNTIF(INDEX($QV$2:$QY$13,$MO151,0),$NM151))=0,1,0))</f>
        <v/>
      </c>
      <c r="OB151" s="164">
        <f>IF(OR($NR151=0,$NN151=""),0,IF((COUNTIF(INDEX($EL$2:$EP$13,$MO151,0),$NN151)+COUNTIF(INDEX($QV$2:$QY$13,$MO151,0),$NN151))=0,1,0))</f>
        <v/>
      </c>
      <c r="OC151" s="164">
        <f>IFERROR(VLOOKUP(SUBSTITUTE(SUBSTITUTE(SUBSTITUTE($MX151,"~","~~"),"*","~*"),"?","~?"),'DADOS_MELHORIAS'!$AG$2:$AL$113,4,FALSE),0)+IFERROR(VLOOKUP(SUBSTITUTE(SUBSTITUTE(SUBSTITUTE($MY151,"~","~~"),"*","~*"),"?","~?"),'DADOS_MELHORIAS'!$AG$2:$AL$113,4,FALSE),0)+IFERROR(VLOOKUP(SUBSTITUTE(SUBSTITUTE(SUBSTITUTE($MZ151,"~","~~"),"*","~*"),"?","~?"),'DADOS_MELHORIAS'!$AG$2:$AL$113,4,FALSE),0)+IFERROR(VLOOKUP(SUBSTITUTE(SUBSTITUTE(SUBSTITUTE($NA151,"~","~~"),"*","~*"),"?","~?"),'DADOS_MELHORIAS'!$AG$2:$AL$113,4,FALSE),0)</f>
        <v/>
      </c>
      <c r="OD151" s="164">
        <f>IFERROR(VLOOKUP(SUBSTITUTE(SUBSTITUTE(SUBSTITUTE($MX151,"~","~~"),"*","~*"),"?","~?"),'DADOS_MELHORIAS'!$AG$2:$AL$113,6,FALSE),0)+IFERROR(VLOOKUP(SUBSTITUTE(SUBSTITUTE(SUBSTITUTE($MY151,"~","~~"),"*","~*"),"?","~?"),'DADOS_MELHORIAS'!$AG$2:$AL$113,6,FALSE),0)+IFERROR(VLOOKUP(SUBSTITUTE(SUBSTITUTE(SUBSTITUTE($MZ151,"~","~~"),"*","~*"),"?","~?"),'DADOS_MELHORIAS'!$AG$2:$AL$113,6,FALSE),0)+IFERROR(VLOOKUP(SUBSTITUTE(SUBSTITUTE(SUBSTITUTE($NA151,"~","~~"),"*","~*"),"?","~?"),'DADOS_MELHORIAS'!$AG$2:$AL$113,6,FALSE),0)+IFERROR(N(AND(INDEX('DADOS_FORMAS'!$AO$2:$AO$21,MATCH(SUBSTITUTE(SUBSTITUTE(SUBSTITUTE($MU151,"~","~~"),"*","~*"),"?","~?"),'DADOS_FORMAS'!$AH$2:$AH$21,0))="Acerto",$OH151=1)),0)</f>
        <v/>
      </c>
      <c r="OE151" s="164">
        <f>TEXTJOIN(", ",TRUE,IF(IFERROR(VLOOKUP(SUBSTITUTE(SUBSTITUTE(SUBSTITUTE($MX151,"~","~~"),"*","~*"),"?","~?"),'DADOS_MELHORIAS'!$AG$2:$AL$113,5,FALSE),0)=1,$MX151,""),IF(IFERROR(VLOOKUP(SUBSTITUTE(SUBSTITUTE(SUBSTITUTE($MY151,"~","~~"),"*","~*"),"?","~?"),'DADOS_MELHORIAS'!$AG$2:$AL$113,5,FALSE),0)=1,$MY151,""),IF(IFERROR(VLOOKUP(SUBSTITUTE(SUBSTITUTE(SUBSTITUTE($MZ151,"~","~~"),"*","~*"),"?","~?"),'DADOS_MELHORIAS'!$AG$2:$AL$113,5,FALSE),0)=1,$MZ151,""),IF(IFERROR(VLOOKUP(SUBSTITUTE(SUBSTITUTE(SUBSTITUTE($NA151,"~","~~"),"*","~*"),"?","~?"),'DADOS_MELHORIAS'!$AG$2:$AL$113,5,FALSE),0)=1,$NA151,""))</f>
        <v/>
      </c>
      <c r="OF151" s="164">
        <f>IF($NJ151=0,0,INDEX('DADOS_FORMAS'!$GC$2:$GC$21,$NJ151))</f>
        <v/>
      </c>
      <c r="OG151" s="164">
        <f>IF($NJ151=0,0,INDEX('DADOS_FORMAS'!$GD$2:$GD$21,$NJ151))</f>
        <v/>
      </c>
      <c r="OH151" s="164">
        <f>IF($NJ151=0,0,INDEX('DADOS_FORMAS'!$GF$2:$GF$21,$NJ151))</f>
        <v/>
      </c>
      <c r="OI151" s="164">
        <f>IFERROR(VLOOKUP(SUBSTITUTE(SUBSTITUTE(SUBSTITUTE($NB151,"~","~~"),"*","~*"),"?","~?"),'DADOS_RESTRICOES'!$M$2:$Q$54,3,FALSE),0)</f>
        <v/>
      </c>
      <c r="OJ151" s="164">
        <f>IFERROR(VLOOKUP(SUBSTITUTE(SUBSTITUTE(SUBSTITUTE($NC151,"~","~~"),"*","~*"),"?","~?"),'DADOS_RESTRICOES'!$M$2:$Q$54,3,FALSE),0)</f>
        <v/>
      </c>
      <c r="OK151" s="164">
        <f>IFERROR(VLOOKUP(SUBSTITUTE(SUBSTITUTE(SUBSTITUTE($NB151,"~","~~"),"*","~*"),"?","~?"),'DADOS_RESTRICOES'!$M$2:$Q$54,2,FALSE),"")</f>
        <v/>
      </c>
      <c r="OL151" s="164">
        <f>IFERROR(VLOOKUP(SUBSTITUTE(SUBSTITUTE(SUBSTITUTE($NC151,"~","~~"),"*","~*"),"?","~?"),'DADOS_RESTRICOES'!$M$2:$Q$54,2,FALSE),"")</f>
        <v/>
      </c>
      <c r="OM151" s="164">
        <f>COUNTIF($NS151:$NW151,1)</f>
        <v/>
      </c>
      <c r="ON151" s="164">
        <f>COUNTIF($NS151:$NW151,2)</f>
        <v/>
      </c>
      <c r="OO151" s="164">
        <f>COUNTIF($NS151:$NW151,3)</f>
        <v/>
      </c>
      <c r="OP151" s="164">
        <f>COUNTIF($NS151:$NW151,4)</f>
        <v/>
      </c>
      <c r="OQ151" s="164">
        <f>COUNTIF($NS151:$NW151,5)</f>
        <v/>
      </c>
      <c r="OR151" s="164">
        <f>COUNTIF($NS151:$NW151,6)</f>
        <v/>
      </c>
      <c r="OS151" s="164">
        <f>COUNTIF($OI151:$OJ151,1)+IF(IFERROR(INDEX('DADOS_FORMAS'!$AS$2:$AS$21,MATCH(SUBSTITUTE(SUBSTITUTE(SUBSTITUTE($MU151,"~","~~"),"*","~*"),"?","~?"),'DADOS_FORMAS'!$AH$2:$AH$21,0)),"")="",0,IFERROR(N(VLOOKUP(SUBSTITUTE(SUBSTITUTE(SUBSTITUTE(IFERROR(INDEX('DADOS_FORMAS'!$AS$2:$AS$21,MATCH(SUBSTITUTE(SUBSTITUTE(SUBSTITUTE($MU151,"~","~~"),"*","~*"),"?","~?"),'DADOS_FORMAS'!$AH$2:$AH$21,0)),""),"~","~~"),"*","~*"),"?","~?"),'DADOS_RESTRICOES'!$M$2:$Q$54,3,FALSE)=1),0))</f>
        <v/>
      </c>
      <c r="OT151" s="164">
        <f>COUNTIF($OI151:$OJ151,2)+IF(IFERROR(INDEX('DADOS_FORMAS'!$AS$2:$AS$21,MATCH(SUBSTITUTE(SUBSTITUTE(SUBSTITUTE($MU151,"~","~~"),"*","~*"),"?","~?"),'DADOS_FORMAS'!$AH$2:$AH$21,0)),"")="",0,IFERROR(N(VLOOKUP(SUBSTITUTE(SUBSTITUTE(SUBSTITUTE(IFERROR(INDEX('DADOS_FORMAS'!$AS$2:$AS$21,MATCH(SUBSTITUTE(SUBSTITUTE(SUBSTITUTE($MU151,"~","~~"),"*","~*"),"?","~?"),'DADOS_FORMAS'!$AH$2:$AH$21,0)),""),"~","~~"),"*","~*"),"?","~?"),'DADOS_RESTRICOES'!$M$2:$Q$54,3,FALSE)=2),0))</f>
        <v/>
      </c>
      <c r="OU151" s="164">
        <f>COUNTIF($MX151:$NA151,"?*")</f>
        <v/>
      </c>
      <c r="OV151" s="164">
        <f>COUNTIF($NB151:$NC151,"?*")+$OF151</f>
        <v/>
      </c>
      <c r="OW151" s="164">
        <f>IF($MS151=0,0,SUMPRODUCT($OM151:$OR151,INDEX($I$2:$N$8,MAX(1,$MS151),0)))</f>
        <v/>
      </c>
      <c r="OX151" s="164">
        <f>IF($MS151=0,0,$OS151*CEILING($MS151/2,1)+$OT151*$MS151)</f>
        <v/>
      </c>
      <c r="OY151" s="164">
        <f>MIN(2*$MS151,$OX151)</f>
        <v/>
      </c>
      <c r="OZ151" s="164">
        <f>MIN($OY151,$OW151-IF($NS151=0,0,INDEX($I$2:$N$8,MAX(1,$MS151),$NS151)))</f>
        <v/>
      </c>
      <c r="PA151" s="164">
        <f>$OY151-$OZ151</f>
        <v/>
      </c>
      <c r="PB151" s="164">
        <f>IF($MS151=0,0,INDEX($P$2:$P$8,MAX(1,$MS151)))</f>
        <v/>
      </c>
      <c r="PC151" s="164">
        <f>$PB151-$OW151+$OZ151</f>
        <v/>
      </c>
      <c r="PD151" s="164">
        <f>IF($MS151=0,MAX(0,$NG151-IF(AND($OU151&gt;0,COUNTIF($NB151:$NC151,"?*")=0),1,0)),MAX(0,$PC151))</f>
        <v/>
      </c>
      <c r="PE151" s="164">
        <f>IF($MS151=0,0,(IF(COUNTIF($RK151:$RN151,"Salto")&gt;0,1,0)+IF(COUNTIF($RK151:$RN151,"Queima")&gt;0,1,0)+IF(COUNTIF($RK151:$RN151,"Estilhaço")&gt;0,1,0))*FLOOR($PD151/2,1))</f>
        <v/>
      </c>
      <c r="PF151" s="164">
        <f>MAX(0,2-SUMPRODUCT($OM151:$OR151,$I$2:$N$2)+MIN(2,$OS151*1+$OT151*1,SUMPRODUCT($OM151:$OR151,$I$2:$N$2)-IF($NS151=0,0,INDEX($I$2:$N$2,1,$NS151))))</f>
        <v/>
      </c>
      <c r="PG151" s="164">
        <f>MAX(0,4-SUMPRODUCT($OM151:$OR151,$I$3:$N$3)+MIN(4,$OS151*1+$OT151*2,SUMPRODUCT($OM151:$OR151,$I$3:$N$3)-IF($NS151=0,0,INDEX($I$3:$N$3,1,$NS151))))</f>
        <v/>
      </c>
      <c r="PH151" s="164">
        <f>MAX(0,6-SUMPRODUCT($OM151:$OR151,$I$4:$N$4)+MIN(6,$OS151*2+$OT151*3,SUMPRODUCT($OM151:$OR151,$I$4:$N$4)-IF($NS151=0,0,INDEX($I$4:$N$4,1,$NS151))))</f>
        <v/>
      </c>
      <c r="PI151" s="164">
        <f>MAX(0,9-SUMPRODUCT($OM151:$OR151,$I$5:$N$5)+MIN(8,$OS151*2+$OT151*4,SUMPRODUCT($OM151:$OR151,$I$5:$N$5)-IF($NS151=0,0,INDEX($I$5:$N$5,1,$NS151))))</f>
        <v/>
      </c>
      <c r="PJ151" s="164">
        <f>MAX(0,11-SUMPRODUCT($OM151:$OR151,$I$6:$N$6)+MIN(10,$OS151*3+$OT151*5,SUMPRODUCT($OM151:$OR151,$I$6:$N$6)-IF($NS151=0,0,INDEX($I$6:$N$6,1,$NS151))))</f>
        <v/>
      </c>
      <c r="PK151" s="164">
        <f>MAX(0,13-SUMPRODUCT($OM151:$OR151,$I$7:$N$7)+MIN(12,$OS151*3+$OT151*6,SUMPRODUCT($OM151:$OR151,$I$7:$N$7)-IF($NS151=0,0,INDEX($I$7:$N$7,1,$NS151))))</f>
        <v/>
      </c>
      <c r="PL151" s="164">
        <f>MAX(0,16-SUMPRODUCT($OM151:$OR151,$I$8:$N$8)+MIN(14,$OS151*4+$OT151*7,SUMPRODUCT($OM151:$OR151,$I$8:$N$8)-IF($NS151=0,0,INDEX($I$8:$N$8,1,$NS151))))</f>
        <v/>
      </c>
      <c r="PM151" s="164">
        <f>IF($OG151=2,3*$PF151&amp;" de vida temp.",IF($OG151=3,"sem dano",IF($PF151=0,IF($OG151=1,"sem cura","sem dano"),IF($OG151=1,"cura ","")&amp;$PF151&amp;"d8")))</f>
        <v/>
      </c>
      <c r="PN151" s="164">
        <f>IF($OG151=2,3*$PG151&amp;" de vida temp.",IF($OG151=3,"sem dano",IF($PG151=0,IF($OG151=1,"sem cura","sem dano"),IF($OG151=1,"cura ","")&amp;$PG151&amp;"d8")))</f>
        <v/>
      </c>
      <c r="PO151" s="164">
        <f>IF($OG151=2,3*$PH151&amp;" de vida temp.",IF($OG151=3,"sem dano",IF($PH151=0,IF($OG151=1,"sem cura","sem dano"),IF($OG151=1,"cura ","")&amp;$PH151&amp;"d8")))</f>
        <v/>
      </c>
      <c r="PP151" s="164">
        <f>IF($OG151=2,3*$PI151&amp;" de vida temp.",IF($OG151=3,"sem dano",IF($PI151=0,IF($OG151=1,"sem cura","sem dano"),IF($OG151=1,"cura ","")&amp;$PI151&amp;"d8")))</f>
        <v/>
      </c>
      <c r="PQ151" s="164">
        <f>IF($OG151=2,3*$PJ151&amp;" de vida temp.",IF($OG151=3,"sem dano",IF($PJ151=0,IF($OG151=1,"sem cura","sem dano"),IF($OG151=1,"cura ","")&amp;$PJ151&amp;"d8")))</f>
        <v/>
      </c>
      <c r="PR151" s="164">
        <f>IF($OG151=2,3*$PK151&amp;" de vida temp.",IF($OG151=3,"sem dano",IF($PK151=0,IF($OG151=1,"sem cura","sem dano"),IF($OG151=1,"cura ","")&amp;$PK151&amp;"d8")))</f>
        <v/>
      </c>
      <c r="PS151" s="164">
        <f>IF($OG151=2,3*$PL151&amp;" de vida temp.",IF($OG151=3,"sem dano",IF($PL151=0,IF($OG151=1,"sem cura","sem dano"),IF($OG151=1,"cura ","")&amp;$PL151&amp;"d8")))</f>
        <v/>
      </c>
      <c r="PT151" s="164">
        <f>IF($ND151=0,"",TEXTJOIN(" · ",TRUE,IF($ND151=0,"",TEXTJOIN(" · ",TRUE,IF($ND151=0,"",TEXTJOIN(" · ",TRUE,IF($MQ151&gt;$NE151,"Este lugar abre no nível "&amp;$MQ151,""),IF($MS151&gt;$NF151,"Classe "&amp;$MS151&amp;": o nível "&amp;$NE151&amp;" libera até a "&amp;$NF151,""),IF($NX151=1,"A Forma "&amp;$MU151&amp;" pede "&amp;INDEX('DADOS_FORMAS'!$GA$2:$GA$21,$NJ151)&amp;" aberta",""),IF(AND($MS151=0,$NJ151&gt;0,IF($NJ151=0,0,INDEX('DADOS_FORMAS'!$GJ$2:$GJ$21,$NJ151))=0),$MU151&amp;" não existe na Classe 0",""),IF($NY151=1,"Família Fechada: "&amp;$MX151,""),IF($NZ151=1,"Família Fechada: "&amp;$MY151,""),IF($OA151=1,"Família Fechada: "&amp;$MZ151,""),IF($OB151=1,"Família Fechada: "&amp;$NA151,""),IF(AND($MS151&gt;0,$OU151&gt;INDEX($O$2:$O$8,MAX(1,$MS151))),$OU151&amp;" Melhorias: a Classe "&amp;$MS151&amp;" aceita "&amp;INDEX($O$2:$O$8,MAX(1,$MS151)),""),IF(AND($MS151=0,$OU151&gt;1),"A básica aceita uma Melhoria",""),IF(AND($MS151=0,COUNTIF($NO151:$NR151,"&gt;1")&gt;0),"A básica só aceita Melhoria Leve",""),IF(AND($MS151&gt;0,$OV151&gt;2),$OV151&amp;" Restrições"&amp;IF($OF151=1,", contando a que a Forma "&amp;$MU151&amp;" já traz","")&amp;": o limite é 2",""),IF(AND($MS151=0,COUNTIF($NB151:$NC151,"?*")&gt;1),"A básica aceita uma Restrição Leve",""),IF(AND($MS151=0,COUNTIF($OI151:$OJ151,2)&gt;0),"A básica só aceita Restrição Leve",""),IF(AND($MS151&gt;0,$PC151&lt;0),"Orçamento estourado: faltam "&amp;(-$PC151)&amp;IF($PC151&lt;-1," pontos"," ponto"),""),IF(IFERROR(VLOOKUP(SUBSTITUTE(SUBSTITUTE(SUBSTITUTE($NB151,"~","~~"),"*","~*"),"?","~?"),'DADOS_RESTRICOES'!$M$2:$Q$54,4,FALSE),0)+IFERROR(VLOOKUP(SUBSTITUTE(SUBSTITUTE(SUBSTITUTE($NC151,"~","~~"),"*","~*"),"?","~?"),'DADOS_RESTRICOES'!$M$2:$Q$54,4,FALSE),0)&gt;1,$OK151&amp;" e "&amp;$OL151&amp;" são as duas de frequência",""),IF(AND((COUNTIF($RK151:$RN151,"Rápido")+COUNTIF($OK151:$OL151,"Rápido"))&gt;0,(COUNTIF($MX151:$NA151,"Atrasar")+COUNTIF($OK151:$OL151,"Atrasar"))&gt;0),"Rápido não entra com Atrasar",""),IF(AND((COUNTIF($RK151:$RN151,"Reação")+COUNTIF($OK151:$OL151,"Reação"))&gt;0,(COUNTIF($RK151:$RN151,"Rápido")+COUNTIF($OK151:$OL151,"Rápido"))&gt;0),"Reação não entra com Rápido",""),IF(AND((COUNTIF($RK151:$RN151,"Reação")+COUNTIF($OK151:$OL151,"Reação"))&gt;0,(COUNTIF($RK151:$RN151,"Armado")+COUNTIF($OK151:$OL151,"Armado"))&gt;0),"Reação não entra com Armado",""),IF(AND((COUNTIF($RK151:$RN151,"Reação")+COUNTIF($OK151:$OL151,"Reação"))&gt;0,(COUNTIF($MX151:$NA151,"Atrasar")+COUNTIF($OK151:$OL151,"Atrasar"))&gt;0),"Reação não entra com Atrasar",""),IF(AND((COUNTIF($RK151:$RN151,"Reação")+COUNTIF($OK151:$OL151,"Reação"))&gt;0,(COUNTIF($MX151:$NA151,"Parado")+COUNTIF($OK151:$OL151,"Parado"))&gt;0),"Reação não entra com Parado",""),IF(AND((COUNTIF($MX151:$NA151,"Atrasar")+COUNTIF($OK151:$OL151,"Atrasar"))&gt;0,(COUNTIF($MX151:$NA151,"Parado")+COUNTIF($OK151:$OL151,"Parado"))&gt;0),"Atrasar não entra com Parado",""),IF(AND((COUNTIF($RK151:$RN151,"Armado")+COUNTIF($OK151:$OL151,"Armado"))&gt;0,(COUNTIF($MX151:$NA151,"Carregar")+COUNTIF($OK151:$OL151,"Carregar"))&gt;0),"Armado não entra com Carregar",""),IF(AND(COUNTIF($OK151:$OL151,"Corpo a Corpo")&gt;0,$OF151=0,OR($RO151="Cone",$RO151="Linha")),"Corpo a Corpo não entra em "&amp;$MU151,""),IF(AND(COUNTIF($OK151:$OL151,"Corpo a Corpo")&gt;0,$RP151="Corpo a Corpo"),"A Forma "&amp;$MU151&amp;" já traz o Corpo a Corpo",""),IF(AND(COUNTIF($OK151:$OL151,"Tudo ou Nada")&gt;0,$OH151=0),"Tudo ou Nada só entra em habilidade de Teste de Resistência",""),IF(AND(COUNTIF($RK151:$RN151,"Inescapável")&gt;0,OR($OU151&gt;1,$OV151&gt;0)),"Inescapável não aceita outra peça",""),IF(AND($MS151&gt;0,$PD151*IF(COUNTIF($RK151:$RN151,"Remate")&gt;0,1.25,1)+$PE151&gt;4*$MS151),($PD151*IF(COUNTIF($RK151:$RN151,"Remate")&gt;0,1.25,1)+$PE151)&amp;" dados somando repetições"&amp;IF(COUNTIF($RK151:$RN151,"Remate")&gt;0," e o Remate","")&amp;": o teto da Classe "&amp;$MS151&amp;" é "&amp;4*$MS151,""))),IF(AND($MX151&lt;&gt;"",COUNTIF('DADOS_MELHORIAS'!$O$2:$O$113,SUBSTITUTE(SUBSTITUTE(SUBSTITUTE($MX151,"~","~~"),"*","~*"),"?","~?"))=0),"Melhoria não cadastrada ou com erro: "&amp;$MX151,""),IF(AND($MY151&lt;&gt;"",COUNTIF('DADOS_MELHORIAS'!$O$2:$O$113,SUBSTITUTE(SUBSTITUTE(SUBSTITUTE($MY151,"~","~~"),"*","~*"),"?","~?"))=0),"Melhoria não cadastrada ou com erro: "&amp;$MY151,""),IF(AND($MZ151&lt;&gt;"",COUNTIF('DADOS_MELHORIAS'!$O$2:$O$113,SUBSTITUTE(SUBSTITUTE(SUBSTITUTE($MZ151,"~","~~"),"*","~*"),"?","~?"))=0),"Melhoria não cadastrada ou com erro: "&amp;$MZ151,""),IF(AND($NA151&lt;&gt;"",COUNTIF('DADOS_MELHORIAS'!$O$2:$O$113,SUBSTITUTE(SUBSTITUTE(SUBSTITUTE($NA151,"~","~~"),"*","~*"),"?","~?"))=0),"Melhoria não cadastrada ou com erro: "&amp;$NA151,""),IF(AND($NB151&lt;&gt;"",COUNTIF('DADOS_RESTRICOES'!$M$2:$M$54,SUBSTITUTE(SUBSTITUTE(SUBSTITUTE($NB151,"~","~~"),"*","~*"),"?","~?"))=0),"Restrição não cadastrada ou com erro: "&amp;$NB151,""),IF(AND($NC151&lt;&gt;"",COUNTIF('DADOS_RESTRICOES'!$M$2:$M$54,SUBSTITUTE(SUBSTITUTE(SUBSTITUTE($NC151,"~","~~"),"*","~*"),"?","~?"))=0),"Restrição não cadastrada ou com erro: "&amp;$NC151,""))),IF(AND($MU151&lt;&gt;"",COUNTIF('DADOS_FORMAS'!$AH$2:$AH$21,SUBSTITUTE(SUBSTITUTE(SUBSTITUTE($MU151,"~","~~"),"*","~*"),"?","~?"))=0),"Forma não cadastrada ou com erro: "&amp;$MU151,""),IF(AND(IFERROR(INDEX('DADOS_FORMAS'!$AS$2:$AS$21,MATCH(SUBSTITUTE(SUBSTITUTE(SUBSTITUTE($MU151,"~","~~"),"*","~*"),"?","~?"),'DADOS_FORMAS'!$AH$2:$AH$21,0)),"")&lt;&gt;"",OR(IFERROR(VLOOKUP(SUBSTITUTE(SUBSTITUTE(SUBSTITUTE(IFERROR(INDEX('DADOS_FORMAS'!$AS$2:$AS$21,MATCH(SUBSTITUTE(SUBSTITUTE(SUBSTITUTE($MU151,"~","~~"),"*","~*"),"?","~?"),'DADOS_FORMAS'!$AH$2:$AH$21,0)),""),"~","~~"),"*","~*"),"?","~?"),'DADOS_RESTRICOES'!$M$2:$Q$54,2,FALSE),"")=$OK151,IFERROR(VLOOKUP(SUBSTITUTE(SUBSTITUTE(SUBSTITUTE(IFERROR(INDEX('DADOS_FORMAS'!$AS$2:$AS$21,MATCH(SUBSTITUTE(SUBSTITUTE(SUBSTITUTE($MU151,"~","~~"),"*","~*"),"?","~?"),'DADOS_FORMAS'!$AH$2:$AH$21,0)),""),"~","~~"),"*","~*"),"?","~?"),'DADOS_RESTRICOES'!$M$2:$Q$54,2,FALSE),"")=$OL151)),"Restrição repetida, contando a embutida",""),IF(IF(IFERROR(INDEX('DADOS_FORMAS'!$AS$2:$AS$21,MATCH(SUBSTITUTE(SUBSTITUTE(SUBSTITUTE($MU151,"~","~~"),"*","~*"),"?","~?"),'DADOS_FORMAS'!$AH$2:$AH$21,0)),"")="",0,IFERROR(N(VLOOKUP(SUBSTITUTE(SUBSTITUTE(SUBSTITUTE(IFERROR(INDEX('DADOS_FORMAS'!$AS$2:$AS$21,MATCH(SUBSTITUTE(SUBSTITUTE(SUBSTITUTE($MU151,"~","~~"),"*","~*"),"?","~?"),'DADOS_FORMAS'!$AH$2:$AH$21,0)),""),"~","~~"),"*","~*"),"?","~?"),'DADOS_RESTRICOES'!$M$2:$Q$54,4,FALSE)=1),0))+IF($NB151="",0,IFERROR(N(VLOOKUP(SUBSTITUTE(SUBSTITUTE(SUBSTITUTE($NB151,"~","~~"),"*","~*"),"?","~?"),'DADOS_RESTRICOES'!$M$2:$Q$54,4,FALSE)=1),0))+IF($NC151="",0,IFERROR(N(VLOOKUP(SUBSTITUTE(SUBSTITUTE(SUBSTITUTE($NC151,"~","~~"),"*","~*"),"?","~?"),'DADOS_RESTRICOES'!$M$2:$Q$54,4,FALSE)=1),0))&gt;1,"Duas Restrições de frequência, contando a embutida",""),IF(AND(IFERROR(VLOOKUP(SUBSTITUTE(SUBSTITUTE(SUBSTITUTE(IFERROR(INDEX('DADOS_FORMAS'!$AS$2:$AS$21,MATCH(SUBSTITUTE(SUBSTITUTE(SUBSTITUTE($MU151,"~","~~"),"*","~*"),"?","~?"),'DADOS_FORMAS'!$AH$2:$AH$21,0)),""),"~","~~"),"*","~*"),"?","~?"),'DADOS_RESTRICOES'!$M$2:$Q$54,2,FALSE),"")="Tudo ou Nada",$OH151=0),"Tudo ou Nada exige TR",""),IF(AND(IFERROR(VLOOKUP(SUBSTITUTE(SUBSTITUTE(SUBSTITUTE(IFERROR(INDEX('DADOS_FORMAS'!$AS$2:$AS$21,MATCH(SUBSTITUTE(SUBSTITUTE(SUBSTITUTE($MU151,"~","~~"),"*","~*"),"?","~?"),'DADOS_FORMAS'!$AH$2:$AH$21,0)),""),"~","~~"),"*","~*"),"?","~?"),'DADOS_RESTRICOES'!$M$2:$Q$54,2,FALSE),"")="Corpo a Corpo",OR($RO151="Cone",$RO151="Linha")),"Corpo a Corpo não entra em Cone/Linha","")))</f>
        <v/>
      </c>
      <c r="PU151" s="164">
        <f>IF($PT151="",0,(LEN($PT151)-LEN(SUBSTITUTE($PT151," · ","")))/3+1)</f>
        <v/>
      </c>
      <c r="PV151" s="164">
        <f>IF($ND151=0,"",TEXTJOIN(" · ",TRUE,IF($OX151&gt;2*$MS151,"A devolução parou no teto de "&amp;2*$MS151,""),IF($PA151&gt;0,"Devolução perdida: "&amp;$PA151&amp;IF($PA151&gt;1," pontos"," ponto")&amp;" sem Melhoria para pagar",""),IF(AND($OC151&gt;0,AND($MS151&gt;0,$OG151=0),$PD151=0),"Controle sem dano: uma rodada a mais e CD +2",""),IF(AND($OC151&gt;0,AND($MS151&gt;0,$OG151=0),$PD151&gt;0,$PD151&lt;=$MS151),"Controle com saldo até a Classe: uma rodada a mais",""),IF(AND($MS151&gt;0,$OE151&lt;&gt;""),"Efeito de "&amp;$OE151&amp;" pela Classe "&amp;MAX(1,$MS151-1),"")))</f>
        <v/>
      </c>
      <c r="PW151" s="164">
        <f>IF($PV151="",0,(LEN($PV151)-LEN(SUBSTITUTE($PV151," · ","")))/3+1)</f>
        <v/>
      </c>
      <c r="PX151" s="164">
        <f>IF($ND151=0,IF($OU151+COUNTIF($NB151:$NC151,"?*")&gt;0,"Dê um nome",""),IF($PU151&gt;0,"⚠ "&amp;$PU151&amp;IF($PU151&gt;1," erros"," erro"),IF($PW151&gt;0,"! "&amp;$PW151&amp;IF($PW151&gt;1," avisos"," aviso"),"Na regra")))</f>
        <v/>
      </c>
      <c r="PY151" s="164">
        <f>IF($ND151=0,"",IF($PU151+$PW151=0,"Dentro das regras que a ficha confere",$PT151&amp;IF(AND($PU151&gt;0,$PW151&gt;0)," · ","")&amp;$PV151))</f>
        <v/>
      </c>
      <c r="PZ151" s="164">
        <f>IF($MQ151&gt;$NE151,$MR151&amp;" · ABRE NO NÍVEL "&amp;$MQ151,$MR151)</f>
        <v/>
      </c>
      <c r="QA151" s="164">
        <f>IF($ND151=0,"",IF($MS151=0,"Sem PE",3*$MS151&amp;" PE"))</f>
        <v/>
      </c>
      <c r="QB151" s="164">
        <f>IF($ND151=0,"",IF($MS151=0,"A atuação básica dela",IF(COUNTIF($RQ151:$RS151,"Atrasar")&gt;0,"Sua Ação Completa",IF(COUNTIF($RK151:$RN151,"Rápido")&gt;0,"Sua Bônus",IF(COUNTIF($RK151:$RN151,"Reação")&gt;0,"Sua Reação","Sua Padrão")))&amp;" + a básica dela"&amp;IF(COUNTIF($RK151:$RN151,"Reação")&gt;0," e a coletiva","")&amp;IF(COUNTIF($RQ151:$RS151,"Carregar")&gt;0," · em dois turnos","")))</f>
        <v/>
      </c>
      <c r="QC151" s="164">
        <f>IF($MW151&lt;&gt;"",$MW151,IF($NJ151=0,"",INDEX('DADOS_FORMAS'!$GE$2:$GE$21,$NJ151)))</f>
        <v/>
      </c>
      <c r="QD151" s="164">
        <f>IF(OR($ND151=0,$NJ151=0),"",IF(COUNTIF($RK151:$RN151,"Inescapável")&gt;0,"Automático",IF($QC151="Ataque",IF($NH151="","Ataque","Ataque "&amp;IF(($NH151+2*IF(COUNTIF($RK151:$RN151,"Precisão")&gt;0,1,0))&gt;=0,"+","−")&amp;ABS(($NH151+2*IF(COUNTIF($RK151:$RN151,"Precisão")&gt;0,1,0))))&amp;IF($OD151&gt;0," · TR"&amp;IF($NI151="",""," CD "&amp;$NI151),""),IF(LEFT($QC151,2)="TR",$QC151&amp;IF($NI151="",""," · CD "&amp;$NI151)&amp;IF(COUNTIF($RK151:$RN151,"Certeiro")&gt;0," · metade",""),"Sem rolagem"))))</f>
        <v/>
      </c>
      <c r="QE151" s="164">
        <f>IF(OR($ND151=0,$NJ151=0),"",IF($MS151=0,IF(OR($OG151&gt;=1,$PD151=0),"Sem dano",$PD151&amp;"d6"&amp;IF($MV151="",""," "&amp;$MV151)),IF(OR($OG151&gt;=1,$PD151=0),UPPER(LEFT(INDEX($PM151:$PS151,1,MAX(1,$MS151)),1))&amp;MID(INDEX($PM151:$PS151,1,MAX(1,$MS151)),2,99),UPPER(LEFT(INDEX($PM151:$PS151,1,MAX(1,$MS151)),1))&amp;MID(INDEX($PM151:$PS151,1,MAX(1,$MS151)),2,99)&amp;IF($MV151="",""," "&amp;$MV151)&amp;IF($PE151&gt;0," · +"&amp;$PE151&amp;"d8",""))))</f>
        <v/>
      </c>
      <c r="QF151" s="164">
        <f>COUNTIF($RK151:$RN151,"Longe")+3*COUNTIF($RK151:$RN151,"Muito Longe")</f>
        <v/>
      </c>
      <c r="QG151" s="164">
        <f>COUNTIF($RK151:$RN151,"Maior")+3*COUNTIF($RK151:$RN151,"Muito Maior")</f>
        <v/>
      </c>
      <c r="QH151" s="164">
        <f>IF($NJ151=0,0,CHOOSE(1+INDEX('DADOS_FORMAS'!$GG$2:$GG$21,$NJ151),0,$QF151,$QG151,$QF151+$QG151))</f>
        <v/>
      </c>
      <c r="QI151" s="164">
        <f>IF($NJ151=0,0,CHOOSE(1+INDEX('DADOS_FORMAS'!$GH$2:$GH$21,$NJ151),0,$QF151,$QG151,$QF151+$QG151))</f>
        <v/>
      </c>
      <c r="QJ151" s="164">
        <f>IF(OR($ND151=0,$NJ151=0),"",INDEX('DADOS_FORMAS'!$HU$2:$HZ$81,($NJ151-1)*4+IF($MS151=0,1,IF($MS151&lt;=5,2,IF($MS151=6,3,4))),1+MIN(5,$QH151))&amp;INDEX('DADOS_FORMAS'!$IA$2:$IF$81,($NJ151-1)*4+IF($MS151=0,1,IF($MS151&lt;=5,2,IF($MS151=6,3,4))),1+MIN(5,$QI151))&amp;IF(INDEX('DADOS_FORMAS'!$GI$2:$GI$21,$NJ151)=1,IF(COUNTIF($RK151:$RN151,"Mais Um")&gt;0," · +"&amp;COUNTIF($RK151:$RN151,"Mais Um")&amp;IF(COUNTIF($RK151:$RN151,"Mais Um")&gt;1," alvos"," alvo"),"")&amp;IF(COUNTIF($RK151:$RN151,"Rajada")&gt;0,IF($MS151=0," · 1 tiro"," · "&amp;(MAX(1,$MS151-1)+1)&amp;" tiros"),""),""))</f>
        <v/>
      </c>
      <c r="QK151" s="164">
        <f>IF($ND151=0,"",IF($MS151=0,$NG151&amp;"d6"&amp;IF($OU151&gt;0," − 1 = "&amp;$PD151&amp;"d6"," da básica do nível "&amp;$NE151),$PB151&amp;" − "&amp;$OW151&amp;" + "&amp;$OZ151&amp;" = "&amp;$PC151&amp;" · teto "&amp;4*$MS151&amp;"d8"&amp;IF($OF151=1," · a Forma devolve "&amp;$MS151,"")&amp;IF($PA151&gt;0," · perde "&amp;$PA151,"")))</f>
        <v/>
      </c>
      <c r="QL151" s="164">
        <f>IF($ND151=0,"",IF($MS151=0,"A básica não amplia: os dados dela sobem com o nível",IF($MS151&gt;=$NF151,"Já está na maior Classe que o nível liberou",TEXTJOIN(" · ",TRUE,IF(AND(2&gt;$MS151,2&lt;=$NF151),"2 → "&amp;$PN151&amp;", 6 PE",""),IF(AND(3&gt;$MS151,3&lt;=$NF151),"3 → "&amp;$PO151&amp;", 9 PE",""),IF(AND(4&gt;$MS151,4&lt;=$NF151),"4 → "&amp;$PP151&amp;", 12 PE",""),IF(AND(5&gt;$MS151,5&lt;=$NF151),"5 → "&amp;$PQ151&amp;", 15 PE",""),IF(AND(6&gt;$MS151,6&lt;=$NF151),"6 → "&amp;$PR151&amp;", 18 PE",""),IF(AND(7&gt;$MS151,7&lt;=$NF151),"7 → "&amp;$PS151&amp;", 21 PE","")))))</f>
        <v/>
      </c>
      <c r="QM151" s="164">
        <f>IF(OR($ND151=0,$NO151=0),"",IF($MS151=0,"−1 dado","−"&amp;INDEX($I$2:$N$8,MAX(1,$MS151),MAX(1,$NT151))&amp;" · "&amp;CHOOSE(MAX(1,$NT151),"Leve","Média","Pesada","Leve · Livre","Média · Livre","Pesada · Livre")))</f>
        <v/>
      </c>
      <c r="QN151" s="164">
        <f>IF(OR($ND151=0,$NP151=0),"",IF($MS151=0,"−1 dado","−"&amp;INDEX($I$2:$N$8,MAX(1,$MS151),MAX(1,$NU151))&amp;" · "&amp;CHOOSE(MAX(1,$NU151),"Leve","Média","Pesada","Leve · Livre","Média · Livre","Pesada · Livre")))</f>
        <v/>
      </c>
      <c r="QO151" s="164">
        <f>IF(OR($ND151=0,$NQ151=0),"",IF($MS151=0,"−1 dado","−"&amp;INDEX($I$2:$N$8,MAX(1,$MS151),MAX(1,$NV151))&amp;" · "&amp;CHOOSE(MAX(1,$NV151),"Leve","Média","Pesada","Leve · Livre","Média · Livre","Pesada · Livre")))</f>
        <v/>
      </c>
      <c r="QP151" s="164">
        <f>IF(OR($ND151=0,$NR151=0),"",IF($MS151=0,"−1 dado","−"&amp;INDEX($I$2:$N$8,MAX(1,$MS151),MAX(1,$NW151))&amp;" · "&amp;CHOOSE(MAX(1,$NW151),"Leve","Média","Pesada","Leve · Livre","Média · Livre","Pesada · Livre")))</f>
        <v/>
      </c>
      <c r="QQ151" s="164">
        <f>IF(OR($ND151=0,$NB151=""),"",IF($MS151=0,"não devolve","+"&amp;IF($OI151=1,CEILING($MS151/2,1),$MS151)))</f>
        <v/>
      </c>
      <c r="QR151" s="164">
        <f>IF(OR($ND151=0,$NC151=""),"",IF($MS151=0,"não devolve","+"&amp;IF($OJ151=1,CEILING($MS151/2,1),$MS151)))</f>
        <v/>
      </c>
      <c r="RK151">
        <f>IF($MX151="","",IFERROR(VLOOKUP(SUBSTITUTE(SUBSTITUTE(SUBSTITUTE($MX151,"~","~~"),"*","~*"),"?","~?"),'DADOS_MELHORIAS'!$O$2:$X$113,10,FALSE),$MX151))</f>
        <v/>
      </c>
      <c r="RL151">
        <f>IF($MY151="","",IFERROR(VLOOKUP(SUBSTITUTE(SUBSTITUTE(SUBSTITUTE($MY151,"~","~~"),"*","~*"),"?","~?"),'DADOS_MELHORIAS'!$O$2:$X$113,10,FALSE),$MY151))</f>
        <v/>
      </c>
      <c r="RM151">
        <f>IF($MZ151="","",IFERROR(VLOOKUP(SUBSTITUTE(SUBSTITUTE(SUBSTITUTE($MZ151,"~","~~"),"*","~*"),"?","~?"),'DADOS_MELHORIAS'!$O$2:$X$113,10,FALSE),$MZ151))</f>
        <v/>
      </c>
      <c r="RN151">
        <f>IF($NA151="","",IFERROR(VLOOKUP(SUBSTITUTE(SUBSTITUTE(SUBSTITUTE($NA151,"~","~~"),"*","~*"),"?","~?"),'DADOS_MELHORIAS'!$O$2:$X$113,10,FALSE),$NA151))</f>
        <v/>
      </c>
      <c r="RO151">
        <f>IFERROR(INDEX('DADOS_FORMAS'!$BJ$2:$BJ$21,MATCH(SUBSTITUTE(SUBSTITUTE(SUBSTITUTE($MU151,"~","~~"),"*","~*"),"?","~?"),'DADOS_FORMAS'!$AH$2:$AH$21,0)),"")</f>
        <v/>
      </c>
      <c r="RP151">
        <f>IFERROR(VLOOKUP(SUBSTITUTE(SUBSTITUTE(SUBSTITUTE(IFERROR(INDEX('DADOS_FORMAS'!$AS$2:$AS$21,MATCH(SUBSTITUTE(SUBSTITUTE(SUBSTITUTE($MU151,"~","~~"),"*","~*"),"?","~?"),'DADOS_FORMAS'!$AH$2:$AH$21,0)),""),"~","~~"),"*","~*"),"?","~?"),'DADOS_RESTRICOES'!$M$2:$Q$54,2,FALSE),"")</f>
        <v/>
      </c>
      <c r="RQ151">
        <f>$OK151</f>
        <v/>
      </c>
      <c r="RR151">
        <f>$OL151</f>
        <v/>
      </c>
      <c r="RS151">
        <f>$RP151</f>
        <v/>
      </c>
    </row>
    <row r="152">
      <c r="MN152" s="162" t="inlineStr">
        <is>
          <t>Ficha 12 · Especial 6</t>
        </is>
      </c>
      <c r="MO152" s="164" t="n">
        <v>12</v>
      </c>
      <c r="MP152" s="164" t="n">
        <v>1</v>
      </c>
      <c r="MQ152" s="164" t="n">
        <v>20</v>
      </c>
      <c r="MR152" s="162" t="inlineStr">
        <is>
          <t>ESPECIAL 6</t>
        </is>
      </c>
      <c r="MS152" s="164">
        <f>MAX(1,MIN(7,N('INVOCAÇÕES'!$AH$1182)))</f>
        <v/>
      </c>
      <c r="MT152" s="164">
        <f>'INVOCAÇÕES'!$AI$1182&amp;""</f>
        <v/>
      </c>
      <c r="MU152" s="164">
        <f>'INVOCAÇÕES'!$AH$1187&amp;""</f>
        <v/>
      </c>
      <c r="MV152" s="164">
        <f>'INVOCAÇÕES'!$AH$1188&amp;""</f>
        <v/>
      </c>
      <c r="MW152" s="164">
        <f>'INVOCAÇÕES'!$AJ$1188&amp;""</f>
        <v/>
      </c>
      <c r="MX152" s="164">
        <f>'INVOCAÇÕES'!$AI$1191&amp;""</f>
        <v/>
      </c>
      <c r="MY152" s="164">
        <f>'INVOCAÇÕES'!$AI$1192&amp;""</f>
        <v/>
      </c>
      <c r="MZ152" s="164">
        <f>'INVOCAÇÕES'!$AI$1193&amp;""</f>
        <v/>
      </c>
      <c r="NA152" s="164">
        <f>'INVOCAÇÕES'!$AI$1194&amp;""</f>
        <v/>
      </c>
      <c r="NB152" s="164">
        <f>'INVOCAÇÕES'!$AI$1195&amp;""</f>
        <v/>
      </c>
      <c r="NC152" s="164">
        <f>'INVOCAÇÕES'!$AI$1196&amp;""</f>
        <v/>
      </c>
      <c r="ND152" s="164">
        <f>IF($MT152&lt;&gt;"",1,0)</f>
        <v/>
      </c>
      <c r="NE152" s="164">
        <f>INDEX($FO$2:$FO$13,$MO152)</f>
        <v/>
      </c>
      <c r="NF152" s="164">
        <f>INDEX($FP$2:$FP$13,$MO152)</f>
        <v/>
      </c>
      <c r="NG152" s="164">
        <f>INDEX($FQ$2:$FQ$13,$MO152)</f>
        <v/>
      </c>
      <c r="NH152" s="164">
        <f>INDEX($GB$2:$GB$13,$MO152)</f>
        <v/>
      </c>
      <c r="NI152" s="164">
        <f>INDEX($GC$2:$GC$13,$MO152)</f>
        <v/>
      </c>
      <c r="NJ152" s="164">
        <f>IFERROR(MATCH(SUBSTITUTE(SUBSTITUTE(SUBSTITUTE($MU152,"~","~~"),"*","~*"),"?","~?"),'DADOS_FORMAS'!$FZ$2:$FZ$21,0),0)</f>
        <v/>
      </c>
      <c r="NK152" s="164">
        <f>IFERROR(VLOOKUP(SUBSTITUTE(SUBSTITUTE(SUBSTITUTE($MX152,"~","~~"),"*","~*"),"?","~?"),'DADOS_MELHORIAS'!$AG$2:$AL$113,2,FALSE),"")</f>
        <v/>
      </c>
      <c r="NL152" s="164">
        <f>IFERROR(VLOOKUP(SUBSTITUTE(SUBSTITUTE(SUBSTITUTE($MY152,"~","~~"),"*","~*"),"?","~?"),'DADOS_MELHORIAS'!$AG$2:$AL$113,2,FALSE),"")</f>
        <v/>
      </c>
      <c r="NM152" s="164">
        <f>IFERROR(VLOOKUP(SUBSTITUTE(SUBSTITUTE(SUBSTITUTE($MZ152,"~","~~"),"*","~*"),"?","~?"),'DADOS_MELHORIAS'!$AG$2:$AL$113,2,FALSE),"")</f>
        <v/>
      </c>
      <c r="NN152" s="164">
        <f>IFERROR(VLOOKUP(SUBSTITUTE(SUBSTITUTE(SUBSTITUTE($NA152,"~","~~"),"*","~*"),"?","~?"),'DADOS_MELHORIAS'!$AG$2:$AL$113,2,FALSE),"")</f>
        <v/>
      </c>
      <c r="NO152" s="164">
        <f>IFERROR(VLOOKUP(SUBSTITUTE(SUBSTITUTE(SUBSTITUTE($MX152,"~","~~"),"*","~*"),"?","~?"),'DADOS_MELHORIAS'!$AG$2:$AL$113,3,FALSE),0)</f>
        <v/>
      </c>
      <c r="NP152" s="164">
        <f>IFERROR(VLOOKUP(SUBSTITUTE(SUBSTITUTE(SUBSTITUTE($MY152,"~","~~"),"*","~*"),"?","~?"),'DADOS_MELHORIAS'!$AG$2:$AL$113,3,FALSE),0)</f>
        <v/>
      </c>
      <c r="NQ152" s="164">
        <f>IFERROR(VLOOKUP(SUBSTITUTE(SUBSTITUTE(SUBSTITUTE($MZ152,"~","~~"),"*","~*"),"?","~?"),'DADOS_MELHORIAS'!$AG$2:$AL$113,3,FALSE),0)</f>
        <v/>
      </c>
      <c r="NR152" s="164">
        <f>IFERROR(VLOOKUP(SUBSTITUTE(SUBSTITUTE(SUBSTITUTE($NA152,"~","~~"),"*","~*"),"?","~?"),'DADOS_MELHORIAS'!$AG$2:$AL$113,3,FALSE),0)</f>
        <v/>
      </c>
      <c r="NS152" s="164">
        <f>IF($MS152=0,0,IF($NJ152=0,0,INDEX('DADOS_FORMAS'!$GB$2:$GB$21,$NJ152)))</f>
        <v/>
      </c>
      <c r="NT152" s="164">
        <f>IF(OR($NO152=0,$MS152=0),0,$NO152+3*IF(AND($NK152&lt;&gt;"",COUNTIF(INDEX($RB$2:$RJ$13,$MO152,0),$NK152)&gt;0),1,0))</f>
        <v/>
      </c>
      <c r="NU152" s="164">
        <f>IF(OR($NP152=0,$MS152=0),0,$NP152+3*IF(AND($NL152&lt;&gt;"",COUNTIF(INDEX($RB$2:$RJ$13,$MO152,0),$NL152)&gt;0),1,0))</f>
        <v/>
      </c>
      <c r="NV152" s="164">
        <f>IF(OR($NQ152=0,$MS152=0),0,$NQ152+3*IF(AND($NM152&lt;&gt;"",COUNTIF(INDEX($RB$2:$RJ$13,$MO152,0),$NM152)&gt;0),1,0))</f>
        <v/>
      </c>
      <c r="NW152" s="164">
        <f>IF(OR($NR152=0,$MS152=0),0,$NR152+3*IF(AND($NN152&lt;&gt;"",COUNTIF(INDEX($RB$2:$RJ$13,$MO152,0),$NN152)&gt;0),1,0))</f>
        <v/>
      </c>
      <c r="NX152" s="164">
        <f>IF($NJ152=0,0,IF(INDEX('DADOS_FORMAS'!$GA$2:$GA$21,$NJ152)="",0,IF((COUNTIF(INDEX($EL$2:$EP$13,$MO152,0),INDEX('DADOS_FORMAS'!$GA$2:$GA$21,$NJ152))+COUNTIF(INDEX($QV$2:$QY$13,$MO152,0),INDEX('DADOS_FORMAS'!$GA$2:$GA$21,$NJ152)))=0,1,0)))</f>
        <v/>
      </c>
      <c r="NY152" s="164">
        <f>IF(OR($NO152=0,$NK152=""),0,IF((COUNTIF(INDEX($EL$2:$EP$13,$MO152,0),$NK152)+COUNTIF(INDEX($QV$2:$QY$13,$MO152,0),$NK152))=0,1,0))</f>
        <v/>
      </c>
      <c r="NZ152" s="164">
        <f>IF(OR($NP152=0,$NL152=""),0,IF((COUNTIF(INDEX($EL$2:$EP$13,$MO152,0),$NL152)+COUNTIF(INDEX($QV$2:$QY$13,$MO152,0),$NL152))=0,1,0))</f>
        <v/>
      </c>
      <c r="OA152" s="164">
        <f>IF(OR($NQ152=0,$NM152=""),0,IF((COUNTIF(INDEX($EL$2:$EP$13,$MO152,0),$NM152)+COUNTIF(INDEX($QV$2:$QY$13,$MO152,0),$NM152))=0,1,0))</f>
        <v/>
      </c>
      <c r="OB152" s="164">
        <f>IF(OR($NR152=0,$NN152=""),0,IF((COUNTIF(INDEX($EL$2:$EP$13,$MO152,0),$NN152)+COUNTIF(INDEX($QV$2:$QY$13,$MO152,0),$NN152))=0,1,0))</f>
        <v/>
      </c>
      <c r="OC152" s="164">
        <f>IFERROR(VLOOKUP(SUBSTITUTE(SUBSTITUTE(SUBSTITUTE($MX152,"~","~~"),"*","~*"),"?","~?"),'DADOS_MELHORIAS'!$AG$2:$AL$113,4,FALSE),0)+IFERROR(VLOOKUP(SUBSTITUTE(SUBSTITUTE(SUBSTITUTE($MY152,"~","~~"),"*","~*"),"?","~?"),'DADOS_MELHORIAS'!$AG$2:$AL$113,4,FALSE),0)+IFERROR(VLOOKUP(SUBSTITUTE(SUBSTITUTE(SUBSTITUTE($MZ152,"~","~~"),"*","~*"),"?","~?"),'DADOS_MELHORIAS'!$AG$2:$AL$113,4,FALSE),0)+IFERROR(VLOOKUP(SUBSTITUTE(SUBSTITUTE(SUBSTITUTE($NA152,"~","~~"),"*","~*"),"?","~?"),'DADOS_MELHORIAS'!$AG$2:$AL$113,4,FALSE),0)</f>
        <v/>
      </c>
      <c r="OD152" s="164">
        <f>IFERROR(VLOOKUP(SUBSTITUTE(SUBSTITUTE(SUBSTITUTE($MX152,"~","~~"),"*","~*"),"?","~?"),'DADOS_MELHORIAS'!$AG$2:$AL$113,6,FALSE),0)+IFERROR(VLOOKUP(SUBSTITUTE(SUBSTITUTE(SUBSTITUTE($MY152,"~","~~"),"*","~*"),"?","~?"),'DADOS_MELHORIAS'!$AG$2:$AL$113,6,FALSE),0)+IFERROR(VLOOKUP(SUBSTITUTE(SUBSTITUTE(SUBSTITUTE($MZ152,"~","~~"),"*","~*"),"?","~?"),'DADOS_MELHORIAS'!$AG$2:$AL$113,6,FALSE),0)+IFERROR(VLOOKUP(SUBSTITUTE(SUBSTITUTE(SUBSTITUTE($NA152,"~","~~"),"*","~*"),"?","~?"),'DADOS_MELHORIAS'!$AG$2:$AL$113,6,FALSE),0)+IFERROR(N(AND(INDEX('DADOS_FORMAS'!$AO$2:$AO$21,MATCH(SUBSTITUTE(SUBSTITUTE(SUBSTITUTE($MU152,"~","~~"),"*","~*"),"?","~?"),'DADOS_FORMAS'!$AH$2:$AH$21,0))="Acerto",$OH152=1)),0)</f>
        <v/>
      </c>
      <c r="OE152" s="164">
        <f>TEXTJOIN(", ",TRUE,IF(IFERROR(VLOOKUP(SUBSTITUTE(SUBSTITUTE(SUBSTITUTE($MX152,"~","~~"),"*","~*"),"?","~?"),'DADOS_MELHORIAS'!$AG$2:$AL$113,5,FALSE),0)=1,$MX152,""),IF(IFERROR(VLOOKUP(SUBSTITUTE(SUBSTITUTE(SUBSTITUTE($MY152,"~","~~"),"*","~*"),"?","~?"),'DADOS_MELHORIAS'!$AG$2:$AL$113,5,FALSE),0)=1,$MY152,""),IF(IFERROR(VLOOKUP(SUBSTITUTE(SUBSTITUTE(SUBSTITUTE($MZ152,"~","~~"),"*","~*"),"?","~?"),'DADOS_MELHORIAS'!$AG$2:$AL$113,5,FALSE),0)=1,$MZ152,""),IF(IFERROR(VLOOKUP(SUBSTITUTE(SUBSTITUTE(SUBSTITUTE($NA152,"~","~~"),"*","~*"),"?","~?"),'DADOS_MELHORIAS'!$AG$2:$AL$113,5,FALSE),0)=1,$NA152,""))</f>
        <v/>
      </c>
      <c r="OF152" s="164">
        <f>IF($NJ152=0,0,INDEX('DADOS_FORMAS'!$GC$2:$GC$21,$NJ152))</f>
        <v/>
      </c>
      <c r="OG152" s="164">
        <f>IF($NJ152=0,0,INDEX('DADOS_FORMAS'!$GD$2:$GD$21,$NJ152))</f>
        <v/>
      </c>
      <c r="OH152" s="164">
        <f>IF($NJ152=0,0,INDEX('DADOS_FORMAS'!$GF$2:$GF$21,$NJ152))</f>
        <v/>
      </c>
      <c r="OI152" s="164">
        <f>IFERROR(VLOOKUP(SUBSTITUTE(SUBSTITUTE(SUBSTITUTE($NB152,"~","~~"),"*","~*"),"?","~?"),'DADOS_RESTRICOES'!$M$2:$Q$54,3,FALSE),0)</f>
        <v/>
      </c>
      <c r="OJ152" s="164">
        <f>IFERROR(VLOOKUP(SUBSTITUTE(SUBSTITUTE(SUBSTITUTE($NC152,"~","~~"),"*","~*"),"?","~?"),'DADOS_RESTRICOES'!$M$2:$Q$54,3,FALSE),0)</f>
        <v/>
      </c>
      <c r="OK152" s="164">
        <f>IFERROR(VLOOKUP(SUBSTITUTE(SUBSTITUTE(SUBSTITUTE($NB152,"~","~~"),"*","~*"),"?","~?"),'DADOS_RESTRICOES'!$M$2:$Q$54,2,FALSE),"")</f>
        <v/>
      </c>
      <c r="OL152" s="164">
        <f>IFERROR(VLOOKUP(SUBSTITUTE(SUBSTITUTE(SUBSTITUTE($NC152,"~","~~"),"*","~*"),"?","~?"),'DADOS_RESTRICOES'!$M$2:$Q$54,2,FALSE),"")</f>
        <v/>
      </c>
      <c r="OM152" s="164">
        <f>COUNTIF($NS152:$NW152,1)</f>
        <v/>
      </c>
      <c r="ON152" s="164">
        <f>COUNTIF($NS152:$NW152,2)</f>
        <v/>
      </c>
      <c r="OO152" s="164">
        <f>COUNTIF($NS152:$NW152,3)</f>
        <v/>
      </c>
      <c r="OP152" s="164">
        <f>COUNTIF($NS152:$NW152,4)</f>
        <v/>
      </c>
      <c r="OQ152" s="164">
        <f>COUNTIF($NS152:$NW152,5)</f>
        <v/>
      </c>
      <c r="OR152" s="164">
        <f>COUNTIF($NS152:$NW152,6)</f>
        <v/>
      </c>
      <c r="OS152" s="164">
        <f>COUNTIF($OI152:$OJ152,1)+IF(IFERROR(INDEX('DADOS_FORMAS'!$AS$2:$AS$21,MATCH(SUBSTITUTE(SUBSTITUTE(SUBSTITUTE($MU152,"~","~~"),"*","~*"),"?","~?"),'DADOS_FORMAS'!$AH$2:$AH$21,0)),"")="",0,IFERROR(N(VLOOKUP(SUBSTITUTE(SUBSTITUTE(SUBSTITUTE(IFERROR(INDEX('DADOS_FORMAS'!$AS$2:$AS$21,MATCH(SUBSTITUTE(SUBSTITUTE(SUBSTITUTE($MU152,"~","~~"),"*","~*"),"?","~?"),'DADOS_FORMAS'!$AH$2:$AH$21,0)),""),"~","~~"),"*","~*"),"?","~?"),'DADOS_RESTRICOES'!$M$2:$Q$54,3,FALSE)=1),0))</f>
        <v/>
      </c>
      <c r="OT152" s="164">
        <f>COUNTIF($OI152:$OJ152,2)+IF(IFERROR(INDEX('DADOS_FORMAS'!$AS$2:$AS$21,MATCH(SUBSTITUTE(SUBSTITUTE(SUBSTITUTE($MU152,"~","~~"),"*","~*"),"?","~?"),'DADOS_FORMAS'!$AH$2:$AH$21,0)),"")="",0,IFERROR(N(VLOOKUP(SUBSTITUTE(SUBSTITUTE(SUBSTITUTE(IFERROR(INDEX('DADOS_FORMAS'!$AS$2:$AS$21,MATCH(SUBSTITUTE(SUBSTITUTE(SUBSTITUTE($MU152,"~","~~"),"*","~*"),"?","~?"),'DADOS_FORMAS'!$AH$2:$AH$21,0)),""),"~","~~"),"*","~*"),"?","~?"),'DADOS_RESTRICOES'!$M$2:$Q$54,3,FALSE)=2),0))</f>
        <v/>
      </c>
      <c r="OU152" s="164">
        <f>COUNTIF($MX152:$NA152,"?*")</f>
        <v/>
      </c>
      <c r="OV152" s="164">
        <f>COUNTIF($NB152:$NC152,"?*")+$OF152</f>
        <v/>
      </c>
      <c r="OW152" s="164">
        <f>IF($MS152=0,0,SUMPRODUCT($OM152:$OR152,INDEX($I$2:$N$8,MAX(1,$MS152),0)))</f>
        <v/>
      </c>
      <c r="OX152" s="164">
        <f>IF($MS152=0,0,$OS152*CEILING($MS152/2,1)+$OT152*$MS152)</f>
        <v/>
      </c>
      <c r="OY152" s="164">
        <f>MIN(2*$MS152,$OX152)</f>
        <v/>
      </c>
      <c r="OZ152" s="164">
        <f>MIN($OY152,$OW152-IF($NS152=0,0,INDEX($I$2:$N$8,MAX(1,$MS152),$NS152)))</f>
        <v/>
      </c>
      <c r="PA152" s="164">
        <f>$OY152-$OZ152</f>
        <v/>
      </c>
      <c r="PB152" s="164">
        <f>IF($MS152=0,0,INDEX($P$2:$P$8,MAX(1,$MS152)))</f>
        <v/>
      </c>
      <c r="PC152" s="164">
        <f>$PB152-$OW152+$OZ152</f>
        <v/>
      </c>
      <c r="PD152" s="164">
        <f>IF($MS152=0,MAX(0,$NG152-IF(AND($OU152&gt;0,COUNTIF($NB152:$NC152,"?*")=0),1,0)),MAX(0,$PC152))</f>
        <v/>
      </c>
      <c r="PE152" s="164">
        <f>IF($MS152=0,0,(IF(COUNTIF($RK152:$RN152,"Salto")&gt;0,1,0)+IF(COUNTIF($RK152:$RN152,"Queima")&gt;0,1,0)+IF(COUNTIF($RK152:$RN152,"Estilhaço")&gt;0,1,0))*FLOOR($PD152/2,1))</f>
        <v/>
      </c>
      <c r="PF152" s="164">
        <f>MAX(0,2-SUMPRODUCT($OM152:$OR152,$I$2:$N$2)+MIN(2,$OS152*1+$OT152*1,SUMPRODUCT($OM152:$OR152,$I$2:$N$2)-IF($NS152=0,0,INDEX($I$2:$N$2,1,$NS152))))</f>
        <v/>
      </c>
      <c r="PG152" s="164">
        <f>MAX(0,4-SUMPRODUCT($OM152:$OR152,$I$3:$N$3)+MIN(4,$OS152*1+$OT152*2,SUMPRODUCT($OM152:$OR152,$I$3:$N$3)-IF($NS152=0,0,INDEX($I$3:$N$3,1,$NS152))))</f>
        <v/>
      </c>
      <c r="PH152" s="164">
        <f>MAX(0,6-SUMPRODUCT($OM152:$OR152,$I$4:$N$4)+MIN(6,$OS152*2+$OT152*3,SUMPRODUCT($OM152:$OR152,$I$4:$N$4)-IF($NS152=0,0,INDEX($I$4:$N$4,1,$NS152))))</f>
        <v/>
      </c>
      <c r="PI152" s="164">
        <f>MAX(0,9-SUMPRODUCT($OM152:$OR152,$I$5:$N$5)+MIN(8,$OS152*2+$OT152*4,SUMPRODUCT($OM152:$OR152,$I$5:$N$5)-IF($NS152=0,0,INDEX($I$5:$N$5,1,$NS152))))</f>
        <v/>
      </c>
      <c r="PJ152" s="164">
        <f>MAX(0,11-SUMPRODUCT($OM152:$OR152,$I$6:$N$6)+MIN(10,$OS152*3+$OT152*5,SUMPRODUCT($OM152:$OR152,$I$6:$N$6)-IF($NS152=0,0,INDEX($I$6:$N$6,1,$NS152))))</f>
        <v/>
      </c>
      <c r="PK152" s="164">
        <f>MAX(0,13-SUMPRODUCT($OM152:$OR152,$I$7:$N$7)+MIN(12,$OS152*3+$OT152*6,SUMPRODUCT($OM152:$OR152,$I$7:$N$7)-IF($NS152=0,0,INDEX($I$7:$N$7,1,$NS152))))</f>
        <v/>
      </c>
      <c r="PL152" s="164">
        <f>MAX(0,16-SUMPRODUCT($OM152:$OR152,$I$8:$N$8)+MIN(14,$OS152*4+$OT152*7,SUMPRODUCT($OM152:$OR152,$I$8:$N$8)-IF($NS152=0,0,INDEX($I$8:$N$8,1,$NS152))))</f>
        <v/>
      </c>
      <c r="PM152" s="164">
        <f>IF($OG152=2,3*$PF152&amp;" de vida temp.",IF($OG152=3,"sem dano",IF($PF152=0,IF($OG152=1,"sem cura","sem dano"),IF($OG152=1,"cura ","")&amp;$PF152&amp;"d8")))</f>
        <v/>
      </c>
      <c r="PN152" s="164">
        <f>IF($OG152=2,3*$PG152&amp;" de vida temp.",IF($OG152=3,"sem dano",IF($PG152=0,IF($OG152=1,"sem cura","sem dano"),IF($OG152=1,"cura ","")&amp;$PG152&amp;"d8")))</f>
        <v/>
      </c>
      <c r="PO152" s="164">
        <f>IF($OG152=2,3*$PH152&amp;" de vida temp.",IF($OG152=3,"sem dano",IF($PH152=0,IF($OG152=1,"sem cura","sem dano"),IF($OG152=1,"cura ","")&amp;$PH152&amp;"d8")))</f>
        <v/>
      </c>
      <c r="PP152" s="164">
        <f>IF($OG152=2,3*$PI152&amp;" de vida temp.",IF($OG152=3,"sem dano",IF($PI152=0,IF($OG152=1,"sem cura","sem dano"),IF($OG152=1,"cura ","")&amp;$PI152&amp;"d8")))</f>
        <v/>
      </c>
      <c r="PQ152" s="164">
        <f>IF($OG152=2,3*$PJ152&amp;" de vida temp.",IF($OG152=3,"sem dano",IF($PJ152=0,IF($OG152=1,"sem cura","sem dano"),IF($OG152=1,"cura ","")&amp;$PJ152&amp;"d8")))</f>
        <v/>
      </c>
      <c r="PR152" s="164">
        <f>IF($OG152=2,3*$PK152&amp;" de vida temp.",IF($OG152=3,"sem dano",IF($PK152=0,IF($OG152=1,"sem cura","sem dano"),IF($OG152=1,"cura ","")&amp;$PK152&amp;"d8")))</f>
        <v/>
      </c>
      <c r="PS152" s="164">
        <f>IF($OG152=2,3*$PL152&amp;" de vida temp.",IF($OG152=3,"sem dano",IF($PL152=0,IF($OG152=1,"sem cura","sem dano"),IF($OG152=1,"cura ","")&amp;$PL152&amp;"d8")))</f>
        <v/>
      </c>
      <c r="PT152" s="164">
        <f>IF($ND152=0,"",TEXTJOIN(" · ",TRUE,IF($ND152=0,"",TEXTJOIN(" · ",TRUE,IF($ND152=0,"",TEXTJOIN(" · ",TRUE,IF($MQ152&gt;$NE152,"Este lugar abre no nível "&amp;$MQ152,""),IF($MS152&gt;$NF152,"Classe "&amp;$MS152&amp;": o nível "&amp;$NE152&amp;" libera até a "&amp;$NF152,""),IF($NX152=1,"A Forma "&amp;$MU152&amp;" pede "&amp;INDEX('DADOS_FORMAS'!$GA$2:$GA$21,$NJ152)&amp;" aberta",""),IF(AND($MS152=0,$NJ152&gt;0,IF($NJ152=0,0,INDEX('DADOS_FORMAS'!$GJ$2:$GJ$21,$NJ152))=0),$MU152&amp;" não existe na Classe 0",""),IF($NY152=1,"Família Fechada: "&amp;$MX152,""),IF($NZ152=1,"Família Fechada: "&amp;$MY152,""),IF($OA152=1,"Família Fechada: "&amp;$MZ152,""),IF($OB152=1,"Família Fechada: "&amp;$NA152,""),IF(AND($MS152&gt;0,$OU152&gt;INDEX($O$2:$O$8,MAX(1,$MS152))),$OU152&amp;" Melhorias: a Classe "&amp;$MS152&amp;" aceita "&amp;INDEX($O$2:$O$8,MAX(1,$MS152)),""),IF(AND($MS152=0,$OU152&gt;1),"A básica aceita uma Melhoria",""),IF(AND($MS152=0,COUNTIF($NO152:$NR152,"&gt;1")&gt;0),"A básica só aceita Melhoria Leve",""),IF(AND($MS152&gt;0,$OV152&gt;2),$OV152&amp;" Restrições"&amp;IF($OF152=1,", contando a que a Forma "&amp;$MU152&amp;" já traz","")&amp;": o limite é 2",""),IF(AND($MS152=0,COUNTIF($NB152:$NC152,"?*")&gt;1),"A básica aceita uma Restrição Leve",""),IF(AND($MS152=0,COUNTIF($OI152:$OJ152,2)&gt;0),"A básica só aceita Restrição Leve",""),IF(AND($MS152&gt;0,$PC152&lt;0),"Orçamento estourado: faltam "&amp;(-$PC152)&amp;IF($PC152&lt;-1," pontos"," ponto"),""),IF(IFERROR(VLOOKUP(SUBSTITUTE(SUBSTITUTE(SUBSTITUTE($NB152,"~","~~"),"*","~*"),"?","~?"),'DADOS_RESTRICOES'!$M$2:$Q$54,4,FALSE),0)+IFERROR(VLOOKUP(SUBSTITUTE(SUBSTITUTE(SUBSTITUTE($NC152,"~","~~"),"*","~*"),"?","~?"),'DADOS_RESTRICOES'!$M$2:$Q$54,4,FALSE),0)&gt;1,$OK152&amp;" e "&amp;$OL152&amp;" são as duas de frequência",""),IF(AND((COUNTIF($RK152:$RN152,"Rápido")+COUNTIF($OK152:$OL152,"Rápido"))&gt;0,(COUNTIF($MX152:$NA152,"Atrasar")+COUNTIF($OK152:$OL152,"Atrasar"))&gt;0),"Rápido não entra com Atrasar",""),IF(AND((COUNTIF($RK152:$RN152,"Reação")+COUNTIF($OK152:$OL152,"Reação"))&gt;0,(COUNTIF($RK152:$RN152,"Rápido")+COUNTIF($OK152:$OL152,"Rápido"))&gt;0),"Reação não entra com Rápido",""),IF(AND((COUNTIF($RK152:$RN152,"Reação")+COUNTIF($OK152:$OL152,"Reação"))&gt;0,(COUNTIF($RK152:$RN152,"Armado")+COUNTIF($OK152:$OL152,"Armado"))&gt;0),"Reação não entra com Armado",""),IF(AND((COUNTIF($RK152:$RN152,"Reação")+COUNTIF($OK152:$OL152,"Reação"))&gt;0,(COUNTIF($MX152:$NA152,"Atrasar")+COUNTIF($OK152:$OL152,"Atrasar"))&gt;0),"Reação não entra com Atrasar",""),IF(AND((COUNTIF($RK152:$RN152,"Reação")+COUNTIF($OK152:$OL152,"Reação"))&gt;0,(COUNTIF($MX152:$NA152,"Parado")+COUNTIF($OK152:$OL152,"Parado"))&gt;0),"Reação não entra com Parado",""),IF(AND((COUNTIF($MX152:$NA152,"Atrasar")+COUNTIF($OK152:$OL152,"Atrasar"))&gt;0,(COUNTIF($MX152:$NA152,"Parado")+COUNTIF($OK152:$OL152,"Parado"))&gt;0),"Atrasar não entra com Parado",""),IF(AND((COUNTIF($RK152:$RN152,"Armado")+COUNTIF($OK152:$OL152,"Armado"))&gt;0,(COUNTIF($MX152:$NA152,"Carregar")+COUNTIF($OK152:$OL152,"Carregar"))&gt;0),"Armado não entra com Carregar",""),IF(AND(COUNTIF($OK152:$OL152,"Corpo a Corpo")&gt;0,$OF152=0,OR($RO152="Cone",$RO152="Linha")),"Corpo a Corpo não entra em "&amp;$MU152,""),IF(AND(COUNTIF($OK152:$OL152,"Corpo a Corpo")&gt;0,$RP152="Corpo a Corpo"),"A Forma "&amp;$MU152&amp;" já traz o Corpo a Corpo",""),IF(AND(COUNTIF($OK152:$OL152,"Tudo ou Nada")&gt;0,$OH152=0),"Tudo ou Nada só entra em habilidade de Teste de Resistência",""),IF(AND(COUNTIF($RK152:$RN152,"Inescapável")&gt;0,OR($OU152&gt;1,$OV152&gt;0)),"Inescapável não aceita outra peça",""),IF(AND($MS152&gt;0,$PD152*IF(COUNTIF($RK152:$RN152,"Remate")&gt;0,1.25,1)+$PE152&gt;4*$MS152),($PD152*IF(COUNTIF($RK152:$RN152,"Remate")&gt;0,1.25,1)+$PE152)&amp;" dados somando repetições"&amp;IF(COUNTIF($RK152:$RN152,"Remate")&gt;0," e o Remate","")&amp;": o teto da Classe "&amp;$MS152&amp;" é "&amp;4*$MS152,""))),IF(AND($MX152&lt;&gt;"",COUNTIF('DADOS_MELHORIAS'!$O$2:$O$113,SUBSTITUTE(SUBSTITUTE(SUBSTITUTE($MX152,"~","~~"),"*","~*"),"?","~?"))=0),"Melhoria não cadastrada ou com erro: "&amp;$MX152,""),IF(AND($MY152&lt;&gt;"",COUNTIF('DADOS_MELHORIAS'!$O$2:$O$113,SUBSTITUTE(SUBSTITUTE(SUBSTITUTE($MY152,"~","~~"),"*","~*"),"?","~?"))=0),"Melhoria não cadastrada ou com erro: "&amp;$MY152,""),IF(AND($MZ152&lt;&gt;"",COUNTIF('DADOS_MELHORIAS'!$O$2:$O$113,SUBSTITUTE(SUBSTITUTE(SUBSTITUTE($MZ152,"~","~~"),"*","~*"),"?","~?"))=0),"Melhoria não cadastrada ou com erro: "&amp;$MZ152,""),IF(AND($NA152&lt;&gt;"",COUNTIF('DADOS_MELHORIAS'!$O$2:$O$113,SUBSTITUTE(SUBSTITUTE(SUBSTITUTE($NA152,"~","~~"),"*","~*"),"?","~?"))=0),"Melhoria não cadastrada ou com erro: "&amp;$NA152,""),IF(AND($NB152&lt;&gt;"",COUNTIF('DADOS_RESTRICOES'!$M$2:$M$54,SUBSTITUTE(SUBSTITUTE(SUBSTITUTE($NB152,"~","~~"),"*","~*"),"?","~?"))=0),"Restrição não cadastrada ou com erro: "&amp;$NB152,""),IF(AND($NC152&lt;&gt;"",COUNTIF('DADOS_RESTRICOES'!$M$2:$M$54,SUBSTITUTE(SUBSTITUTE(SUBSTITUTE($NC152,"~","~~"),"*","~*"),"?","~?"))=0),"Restrição não cadastrada ou com erro: "&amp;$NC152,""))),IF(AND($MU152&lt;&gt;"",COUNTIF('DADOS_FORMAS'!$AH$2:$AH$21,SUBSTITUTE(SUBSTITUTE(SUBSTITUTE($MU152,"~","~~"),"*","~*"),"?","~?"))=0),"Forma não cadastrada ou com erro: "&amp;$MU152,""),IF(AND(IFERROR(INDEX('DADOS_FORMAS'!$AS$2:$AS$21,MATCH(SUBSTITUTE(SUBSTITUTE(SUBSTITUTE($MU152,"~","~~"),"*","~*"),"?","~?"),'DADOS_FORMAS'!$AH$2:$AH$21,0)),"")&lt;&gt;"",OR(IFERROR(VLOOKUP(SUBSTITUTE(SUBSTITUTE(SUBSTITUTE(IFERROR(INDEX('DADOS_FORMAS'!$AS$2:$AS$21,MATCH(SUBSTITUTE(SUBSTITUTE(SUBSTITUTE($MU152,"~","~~"),"*","~*"),"?","~?"),'DADOS_FORMAS'!$AH$2:$AH$21,0)),""),"~","~~"),"*","~*"),"?","~?"),'DADOS_RESTRICOES'!$M$2:$Q$54,2,FALSE),"")=$OK152,IFERROR(VLOOKUP(SUBSTITUTE(SUBSTITUTE(SUBSTITUTE(IFERROR(INDEX('DADOS_FORMAS'!$AS$2:$AS$21,MATCH(SUBSTITUTE(SUBSTITUTE(SUBSTITUTE($MU152,"~","~~"),"*","~*"),"?","~?"),'DADOS_FORMAS'!$AH$2:$AH$21,0)),""),"~","~~"),"*","~*"),"?","~?"),'DADOS_RESTRICOES'!$M$2:$Q$54,2,FALSE),"")=$OL152)),"Restrição repetida, contando a embutida",""),IF(IF(IFERROR(INDEX('DADOS_FORMAS'!$AS$2:$AS$21,MATCH(SUBSTITUTE(SUBSTITUTE(SUBSTITUTE($MU152,"~","~~"),"*","~*"),"?","~?"),'DADOS_FORMAS'!$AH$2:$AH$21,0)),"")="",0,IFERROR(N(VLOOKUP(SUBSTITUTE(SUBSTITUTE(SUBSTITUTE(IFERROR(INDEX('DADOS_FORMAS'!$AS$2:$AS$21,MATCH(SUBSTITUTE(SUBSTITUTE(SUBSTITUTE($MU152,"~","~~"),"*","~*"),"?","~?"),'DADOS_FORMAS'!$AH$2:$AH$21,0)),""),"~","~~"),"*","~*"),"?","~?"),'DADOS_RESTRICOES'!$M$2:$Q$54,4,FALSE)=1),0))+IF($NB152="",0,IFERROR(N(VLOOKUP(SUBSTITUTE(SUBSTITUTE(SUBSTITUTE($NB152,"~","~~"),"*","~*"),"?","~?"),'DADOS_RESTRICOES'!$M$2:$Q$54,4,FALSE)=1),0))+IF($NC152="",0,IFERROR(N(VLOOKUP(SUBSTITUTE(SUBSTITUTE(SUBSTITUTE($NC152,"~","~~"),"*","~*"),"?","~?"),'DADOS_RESTRICOES'!$M$2:$Q$54,4,FALSE)=1),0))&gt;1,"Duas Restrições de frequência, contando a embutida",""),IF(AND(IFERROR(VLOOKUP(SUBSTITUTE(SUBSTITUTE(SUBSTITUTE(IFERROR(INDEX('DADOS_FORMAS'!$AS$2:$AS$21,MATCH(SUBSTITUTE(SUBSTITUTE(SUBSTITUTE($MU152,"~","~~"),"*","~*"),"?","~?"),'DADOS_FORMAS'!$AH$2:$AH$21,0)),""),"~","~~"),"*","~*"),"?","~?"),'DADOS_RESTRICOES'!$M$2:$Q$54,2,FALSE),"")="Tudo ou Nada",$OH152=0),"Tudo ou Nada exige TR",""),IF(AND(IFERROR(VLOOKUP(SUBSTITUTE(SUBSTITUTE(SUBSTITUTE(IFERROR(INDEX('DADOS_FORMAS'!$AS$2:$AS$21,MATCH(SUBSTITUTE(SUBSTITUTE(SUBSTITUTE($MU152,"~","~~"),"*","~*"),"?","~?"),'DADOS_FORMAS'!$AH$2:$AH$21,0)),""),"~","~~"),"*","~*"),"?","~?"),'DADOS_RESTRICOES'!$M$2:$Q$54,2,FALSE),"")="Corpo a Corpo",OR($RO152="Cone",$RO152="Linha")),"Corpo a Corpo não entra em Cone/Linha","")))</f>
        <v/>
      </c>
      <c r="PU152" s="164">
        <f>IF($PT152="",0,(LEN($PT152)-LEN(SUBSTITUTE($PT152," · ","")))/3+1)</f>
        <v/>
      </c>
      <c r="PV152" s="164">
        <f>IF($ND152=0,"",TEXTJOIN(" · ",TRUE,IF($OX152&gt;2*$MS152,"A devolução parou no teto de "&amp;2*$MS152,""),IF($PA152&gt;0,"Devolução perdida: "&amp;$PA152&amp;IF($PA152&gt;1," pontos"," ponto")&amp;" sem Melhoria para pagar",""),IF(AND($OC152&gt;0,AND($MS152&gt;0,$OG152=0),$PD152=0),"Controle sem dano: uma rodada a mais e CD +2",""),IF(AND($OC152&gt;0,AND($MS152&gt;0,$OG152=0),$PD152&gt;0,$PD152&lt;=$MS152),"Controle com saldo até a Classe: uma rodada a mais",""),IF(AND($MS152&gt;0,$OE152&lt;&gt;""),"Efeito de "&amp;$OE152&amp;" pela Classe "&amp;MAX(1,$MS152-1),"")))</f>
        <v/>
      </c>
      <c r="PW152" s="164">
        <f>IF($PV152="",0,(LEN($PV152)-LEN(SUBSTITUTE($PV152," · ","")))/3+1)</f>
        <v/>
      </c>
      <c r="PX152" s="164">
        <f>IF($ND152=0,IF($OU152+COUNTIF($NB152:$NC152,"?*")&gt;0,"Dê um nome",""),IF($PU152&gt;0,"⚠ "&amp;$PU152&amp;IF($PU152&gt;1," erros"," erro"),IF($PW152&gt;0,"! "&amp;$PW152&amp;IF($PW152&gt;1," avisos"," aviso"),"Na regra")))</f>
        <v/>
      </c>
      <c r="PY152" s="164">
        <f>IF($ND152=0,"",IF($PU152+$PW152=0,"Dentro das regras que a ficha confere",$PT152&amp;IF(AND($PU152&gt;0,$PW152&gt;0)," · ","")&amp;$PV152))</f>
        <v/>
      </c>
      <c r="PZ152" s="164">
        <f>IF($MQ152&gt;$NE152,$MR152&amp;" · ABRE NO NÍVEL "&amp;$MQ152,$MR152)</f>
        <v/>
      </c>
      <c r="QA152" s="164">
        <f>IF($ND152=0,"",IF($MS152=0,"Sem PE",3*$MS152&amp;" PE"))</f>
        <v/>
      </c>
      <c r="QB152" s="164">
        <f>IF($ND152=0,"",IF($MS152=0,"A atuação básica dela",IF(COUNTIF($RQ152:$RS152,"Atrasar")&gt;0,"Sua Ação Completa",IF(COUNTIF($RK152:$RN152,"Rápido")&gt;0,"Sua Bônus",IF(COUNTIF($RK152:$RN152,"Reação")&gt;0,"Sua Reação","Sua Padrão")))&amp;" + a básica dela"&amp;IF(COUNTIF($RK152:$RN152,"Reação")&gt;0," e a coletiva","")&amp;IF(COUNTIF($RQ152:$RS152,"Carregar")&gt;0," · em dois turnos","")))</f>
        <v/>
      </c>
      <c r="QC152" s="164">
        <f>IF($MW152&lt;&gt;"",$MW152,IF($NJ152=0,"",INDEX('DADOS_FORMAS'!$GE$2:$GE$21,$NJ152)))</f>
        <v/>
      </c>
      <c r="QD152" s="164">
        <f>IF(OR($ND152=0,$NJ152=0),"",IF(COUNTIF($RK152:$RN152,"Inescapável")&gt;0,"Automático",IF($QC152="Ataque",IF($NH152="","Ataque","Ataque "&amp;IF(($NH152+2*IF(COUNTIF($RK152:$RN152,"Precisão")&gt;0,1,0))&gt;=0,"+","−")&amp;ABS(($NH152+2*IF(COUNTIF($RK152:$RN152,"Precisão")&gt;0,1,0))))&amp;IF($OD152&gt;0," · TR"&amp;IF($NI152="",""," CD "&amp;$NI152),""),IF(LEFT($QC152,2)="TR",$QC152&amp;IF($NI152="",""," · CD "&amp;$NI152)&amp;IF(COUNTIF($RK152:$RN152,"Certeiro")&gt;0," · metade",""),"Sem rolagem"))))</f>
        <v/>
      </c>
      <c r="QE152" s="164">
        <f>IF(OR($ND152=0,$NJ152=0),"",IF($MS152=0,IF(OR($OG152&gt;=1,$PD152=0),"Sem dano",$PD152&amp;"d6"&amp;IF($MV152="",""," "&amp;$MV152)),IF(OR($OG152&gt;=1,$PD152=0),UPPER(LEFT(INDEX($PM152:$PS152,1,MAX(1,$MS152)),1))&amp;MID(INDEX($PM152:$PS152,1,MAX(1,$MS152)),2,99),UPPER(LEFT(INDEX($PM152:$PS152,1,MAX(1,$MS152)),1))&amp;MID(INDEX($PM152:$PS152,1,MAX(1,$MS152)),2,99)&amp;IF($MV152="",""," "&amp;$MV152)&amp;IF($PE152&gt;0," · +"&amp;$PE152&amp;"d8",""))))</f>
        <v/>
      </c>
      <c r="QF152" s="164">
        <f>COUNTIF($RK152:$RN152,"Longe")+3*COUNTIF($RK152:$RN152,"Muito Longe")</f>
        <v/>
      </c>
      <c r="QG152" s="164">
        <f>COUNTIF($RK152:$RN152,"Maior")+3*COUNTIF($RK152:$RN152,"Muito Maior")</f>
        <v/>
      </c>
      <c r="QH152" s="164">
        <f>IF($NJ152=0,0,CHOOSE(1+INDEX('DADOS_FORMAS'!$GG$2:$GG$21,$NJ152),0,$QF152,$QG152,$QF152+$QG152))</f>
        <v/>
      </c>
      <c r="QI152" s="164">
        <f>IF($NJ152=0,0,CHOOSE(1+INDEX('DADOS_FORMAS'!$GH$2:$GH$21,$NJ152),0,$QF152,$QG152,$QF152+$QG152))</f>
        <v/>
      </c>
      <c r="QJ152" s="164">
        <f>IF(OR($ND152=0,$NJ152=0),"",INDEX('DADOS_FORMAS'!$HU$2:$HZ$81,($NJ152-1)*4+IF($MS152=0,1,IF($MS152&lt;=5,2,IF($MS152=6,3,4))),1+MIN(5,$QH152))&amp;INDEX('DADOS_FORMAS'!$IA$2:$IF$81,($NJ152-1)*4+IF($MS152=0,1,IF($MS152&lt;=5,2,IF($MS152=6,3,4))),1+MIN(5,$QI152))&amp;IF(INDEX('DADOS_FORMAS'!$GI$2:$GI$21,$NJ152)=1,IF(COUNTIF($RK152:$RN152,"Mais Um")&gt;0," · +"&amp;COUNTIF($RK152:$RN152,"Mais Um")&amp;IF(COUNTIF($RK152:$RN152,"Mais Um")&gt;1," alvos"," alvo"),"")&amp;IF(COUNTIF($RK152:$RN152,"Rajada")&gt;0,IF($MS152=0," · 1 tiro"," · "&amp;(MAX(1,$MS152-1)+1)&amp;" tiros"),""),""))</f>
        <v/>
      </c>
      <c r="QK152" s="164">
        <f>IF($ND152=0,"",IF($MS152=0,$NG152&amp;"d6"&amp;IF($OU152&gt;0," − 1 = "&amp;$PD152&amp;"d6"," da básica do nível "&amp;$NE152),$PB152&amp;" − "&amp;$OW152&amp;" + "&amp;$OZ152&amp;" = "&amp;$PC152&amp;" · teto "&amp;4*$MS152&amp;"d8"&amp;IF($OF152=1," · a Forma devolve "&amp;$MS152,"")&amp;IF($PA152&gt;0," · perde "&amp;$PA152,"")))</f>
        <v/>
      </c>
      <c r="QL152" s="164">
        <f>IF($ND152=0,"",IF($MS152=0,"A básica não amplia: os dados dela sobem com o nível",IF($MS152&gt;=$NF152,"Já está na maior Classe que o nível liberou",TEXTJOIN(" · ",TRUE,IF(AND(2&gt;$MS152,2&lt;=$NF152),"2 → "&amp;$PN152&amp;", 6 PE",""),IF(AND(3&gt;$MS152,3&lt;=$NF152),"3 → "&amp;$PO152&amp;", 9 PE",""),IF(AND(4&gt;$MS152,4&lt;=$NF152),"4 → "&amp;$PP152&amp;", 12 PE",""),IF(AND(5&gt;$MS152,5&lt;=$NF152),"5 → "&amp;$PQ152&amp;", 15 PE",""),IF(AND(6&gt;$MS152,6&lt;=$NF152),"6 → "&amp;$PR152&amp;", 18 PE",""),IF(AND(7&gt;$MS152,7&lt;=$NF152),"7 → "&amp;$PS152&amp;", 21 PE","")))))</f>
        <v/>
      </c>
      <c r="QM152" s="164">
        <f>IF(OR($ND152=0,$NO152=0),"",IF($MS152=0,"−1 dado","−"&amp;INDEX($I$2:$N$8,MAX(1,$MS152),MAX(1,$NT152))&amp;" · "&amp;CHOOSE(MAX(1,$NT152),"Leve","Média","Pesada","Leve · Livre","Média · Livre","Pesada · Livre")))</f>
        <v/>
      </c>
      <c r="QN152" s="164">
        <f>IF(OR($ND152=0,$NP152=0),"",IF($MS152=0,"−1 dado","−"&amp;INDEX($I$2:$N$8,MAX(1,$MS152),MAX(1,$NU152))&amp;" · "&amp;CHOOSE(MAX(1,$NU152),"Leve","Média","Pesada","Leve · Livre","Média · Livre","Pesada · Livre")))</f>
        <v/>
      </c>
      <c r="QO152" s="164">
        <f>IF(OR($ND152=0,$NQ152=0),"",IF($MS152=0,"−1 dado","−"&amp;INDEX($I$2:$N$8,MAX(1,$MS152),MAX(1,$NV152))&amp;" · "&amp;CHOOSE(MAX(1,$NV152),"Leve","Média","Pesada","Leve · Livre","Média · Livre","Pesada · Livre")))</f>
        <v/>
      </c>
      <c r="QP152" s="164">
        <f>IF(OR($ND152=0,$NR152=0),"",IF($MS152=0,"−1 dado","−"&amp;INDEX($I$2:$N$8,MAX(1,$MS152),MAX(1,$NW152))&amp;" · "&amp;CHOOSE(MAX(1,$NW152),"Leve","Média","Pesada","Leve · Livre","Média · Livre","Pesada · Livre")))</f>
        <v/>
      </c>
      <c r="QQ152" s="164">
        <f>IF(OR($ND152=0,$NB152=""),"",IF($MS152=0,"não devolve","+"&amp;IF($OI152=1,CEILING($MS152/2,1),$MS152)))</f>
        <v/>
      </c>
      <c r="QR152" s="164">
        <f>IF(OR($ND152=0,$NC152=""),"",IF($MS152=0,"não devolve","+"&amp;IF($OJ152=1,CEILING($MS152/2,1),$MS152)))</f>
        <v/>
      </c>
      <c r="RK152">
        <f>IF($MX152="","",IFERROR(VLOOKUP(SUBSTITUTE(SUBSTITUTE(SUBSTITUTE($MX152,"~","~~"),"*","~*"),"?","~?"),'DADOS_MELHORIAS'!$O$2:$X$113,10,FALSE),$MX152))</f>
        <v/>
      </c>
      <c r="RL152">
        <f>IF($MY152="","",IFERROR(VLOOKUP(SUBSTITUTE(SUBSTITUTE(SUBSTITUTE($MY152,"~","~~"),"*","~*"),"?","~?"),'DADOS_MELHORIAS'!$O$2:$X$113,10,FALSE),$MY152))</f>
        <v/>
      </c>
      <c r="RM152">
        <f>IF($MZ152="","",IFERROR(VLOOKUP(SUBSTITUTE(SUBSTITUTE(SUBSTITUTE($MZ152,"~","~~"),"*","~*"),"?","~?"),'DADOS_MELHORIAS'!$O$2:$X$113,10,FALSE),$MZ152))</f>
        <v/>
      </c>
      <c r="RN152">
        <f>IF($NA152="","",IFERROR(VLOOKUP(SUBSTITUTE(SUBSTITUTE(SUBSTITUTE($NA152,"~","~~"),"*","~*"),"?","~?"),'DADOS_MELHORIAS'!$O$2:$X$113,10,FALSE),$NA152))</f>
        <v/>
      </c>
      <c r="RO152">
        <f>IFERROR(INDEX('DADOS_FORMAS'!$BJ$2:$BJ$21,MATCH(SUBSTITUTE(SUBSTITUTE(SUBSTITUTE($MU152,"~","~~"),"*","~*"),"?","~?"),'DADOS_FORMAS'!$AH$2:$AH$21,0)),"")</f>
        <v/>
      </c>
      <c r="RP152">
        <f>IFERROR(VLOOKUP(SUBSTITUTE(SUBSTITUTE(SUBSTITUTE(IFERROR(INDEX('DADOS_FORMAS'!$AS$2:$AS$21,MATCH(SUBSTITUTE(SUBSTITUTE(SUBSTITUTE($MU152,"~","~~"),"*","~*"),"?","~?"),'DADOS_FORMAS'!$AH$2:$AH$21,0)),""),"~","~~"),"*","~*"),"?","~?"),'DADOS_RESTRICOES'!$M$2:$Q$54,2,FALSE),"")</f>
        <v/>
      </c>
      <c r="RQ152">
        <f>$OK152</f>
        <v/>
      </c>
      <c r="RR152">
        <f>$OL152</f>
        <v/>
      </c>
      <c r="RS152">
        <f>$RP152</f>
        <v/>
      </c>
    </row>
    <row r="153">
      <c r="MN153" s="162" t="inlineStr">
        <is>
          <t>Ficha 12 · Especial 7</t>
        </is>
      </c>
      <c r="MO153" s="164" t="n">
        <v>12</v>
      </c>
      <c r="MP153" s="164" t="n">
        <v>1</v>
      </c>
      <c r="MQ153" s="164" t="n">
        <v>24</v>
      </c>
      <c r="MR153" s="162" t="inlineStr">
        <is>
          <t>ESPECIAL 7</t>
        </is>
      </c>
      <c r="MS153" s="164">
        <f>MAX(1,MIN(7,N('INVOCAÇÕES'!$AN$1182)))</f>
        <v/>
      </c>
      <c r="MT153" s="164">
        <f>'INVOCAÇÕES'!$AO$1182&amp;""</f>
        <v/>
      </c>
      <c r="MU153" s="164">
        <f>'INVOCAÇÕES'!$AN$1187&amp;""</f>
        <v/>
      </c>
      <c r="MV153" s="164">
        <f>'INVOCAÇÕES'!$AN$1188&amp;""</f>
        <v/>
      </c>
      <c r="MW153" s="164">
        <f>'INVOCAÇÕES'!$AP$1188&amp;""</f>
        <v/>
      </c>
      <c r="MX153" s="164">
        <f>'INVOCAÇÕES'!$AO$1191&amp;""</f>
        <v/>
      </c>
      <c r="MY153" s="164">
        <f>'INVOCAÇÕES'!$AO$1192&amp;""</f>
        <v/>
      </c>
      <c r="MZ153" s="164">
        <f>'INVOCAÇÕES'!$AO$1193&amp;""</f>
        <v/>
      </c>
      <c r="NA153" s="164">
        <f>'INVOCAÇÕES'!$AO$1194&amp;""</f>
        <v/>
      </c>
      <c r="NB153" s="164">
        <f>'INVOCAÇÕES'!$AO$1195&amp;""</f>
        <v/>
      </c>
      <c r="NC153" s="164">
        <f>'INVOCAÇÕES'!$AO$1196&amp;""</f>
        <v/>
      </c>
      <c r="ND153" s="164">
        <f>IF($MT153&lt;&gt;"",1,0)</f>
        <v/>
      </c>
      <c r="NE153" s="164">
        <f>INDEX($FO$2:$FO$13,$MO153)</f>
        <v/>
      </c>
      <c r="NF153" s="164">
        <f>INDEX($FP$2:$FP$13,$MO153)</f>
        <v/>
      </c>
      <c r="NG153" s="164">
        <f>INDEX($FQ$2:$FQ$13,$MO153)</f>
        <v/>
      </c>
      <c r="NH153" s="164">
        <f>INDEX($GB$2:$GB$13,$MO153)</f>
        <v/>
      </c>
      <c r="NI153" s="164">
        <f>INDEX($GC$2:$GC$13,$MO153)</f>
        <v/>
      </c>
      <c r="NJ153" s="164">
        <f>IFERROR(MATCH(SUBSTITUTE(SUBSTITUTE(SUBSTITUTE($MU153,"~","~~"),"*","~*"),"?","~?"),'DADOS_FORMAS'!$FZ$2:$FZ$21,0),0)</f>
        <v/>
      </c>
      <c r="NK153" s="164">
        <f>IFERROR(VLOOKUP(SUBSTITUTE(SUBSTITUTE(SUBSTITUTE($MX153,"~","~~"),"*","~*"),"?","~?"),'DADOS_MELHORIAS'!$AG$2:$AL$113,2,FALSE),"")</f>
        <v/>
      </c>
      <c r="NL153" s="164">
        <f>IFERROR(VLOOKUP(SUBSTITUTE(SUBSTITUTE(SUBSTITUTE($MY153,"~","~~"),"*","~*"),"?","~?"),'DADOS_MELHORIAS'!$AG$2:$AL$113,2,FALSE),"")</f>
        <v/>
      </c>
      <c r="NM153" s="164">
        <f>IFERROR(VLOOKUP(SUBSTITUTE(SUBSTITUTE(SUBSTITUTE($MZ153,"~","~~"),"*","~*"),"?","~?"),'DADOS_MELHORIAS'!$AG$2:$AL$113,2,FALSE),"")</f>
        <v/>
      </c>
      <c r="NN153" s="164">
        <f>IFERROR(VLOOKUP(SUBSTITUTE(SUBSTITUTE(SUBSTITUTE($NA153,"~","~~"),"*","~*"),"?","~?"),'DADOS_MELHORIAS'!$AG$2:$AL$113,2,FALSE),"")</f>
        <v/>
      </c>
      <c r="NO153" s="164">
        <f>IFERROR(VLOOKUP(SUBSTITUTE(SUBSTITUTE(SUBSTITUTE($MX153,"~","~~"),"*","~*"),"?","~?"),'DADOS_MELHORIAS'!$AG$2:$AL$113,3,FALSE),0)</f>
        <v/>
      </c>
      <c r="NP153" s="164">
        <f>IFERROR(VLOOKUP(SUBSTITUTE(SUBSTITUTE(SUBSTITUTE($MY153,"~","~~"),"*","~*"),"?","~?"),'DADOS_MELHORIAS'!$AG$2:$AL$113,3,FALSE),0)</f>
        <v/>
      </c>
      <c r="NQ153" s="164">
        <f>IFERROR(VLOOKUP(SUBSTITUTE(SUBSTITUTE(SUBSTITUTE($MZ153,"~","~~"),"*","~*"),"?","~?"),'DADOS_MELHORIAS'!$AG$2:$AL$113,3,FALSE),0)</f>
        <v/>
      </c>
      <c r="NR153" s="164">
        <f>IFERROR(VLOOKUP(SUBSTITUTE(SUBSTITUTE(SUBSTITUTE($NA153,"~","~~"),"*","~*"),"?","~?"),'DADOS_MELHORIAS'!$AG$2:$AL$113,3,FALSE),0)</f>
        <v/>
      </c>
      <c r="NS153" s="164">
        <f>IF($MS153=0,0,IF($NJ153=0,0,INDEX('DADOS_FORMAS'!$GB$2:$GB$21,$NJ153)))</f>
        <v/>
      </c>
      <c r="NT153" s="164">
        <f>IF(OR($NO153=0,$MS153=0),0,$NO153+3*IF(AND($NK153&lt;&gt;"",COUNTIF(INDEX($RB$2:$RJ$13,$MO153,0),$NK153)&gt;0),1,0))</f>
        <v/>
      </c>
      <c r="NU153" s="164">
        <f>IF(OR($NP153=0,$MS153=0),0,$NP153+3*IF(AND($NL153&lt;&gt;"",COUNTIF(INDEX($RB$2:$RJ$13,$MO153,0),$NL153)&gt;0),1,0))</f>
        <v/>
      </c>
      <c r="NV153" s="164">
        <f>IF(OR($NQ153=0,$MS153=0),0,$NQ153+3*IF(AND($NM153&lt;&gt;"",COUNTIF(INDEX($RB$2:$RJ$13,$MO153,0),$NM153)&gt;0),1,0))</f>
        <v/>
      </c>
      <c r="NW153" s="164">
        <f>IF(OR($NR153=0,$MS153=0),0,$NR153+3*IF(AND($NN153&lt;&gt;"",COUNTIF(INDEX($RB$2:$RJ$13,$MO153,0),$NN153)&gt;0),1,0))</f>
        <v/>
      </c>
      <c r="NX153" s="164">
        <f>IF($NJ153=0,0,IF(INDEX('DADOS_FORMAS'!$GA$2:$GA$21,$NJ153)="",0,IF((COUNTIF(INDEX($EL$2:$EP$13,$MO153,0),INDEX('DADOS_FORMAS'!$GA$2:$GA$21,$NJ153))+COUNTIF(INDEX($QV$2:$QY$13,$MO153,0),INDEX('DADOS_FORMAS'!$GA$2:$GA$21,$NJ153)))=0,1,0)))</f>
        <v/>
      </c>
      <c r="NY153" s="164">
        <f>IF(OR($NO153=0,$NK153=""),0,IF((COUNTIF(INDEX($EL$2:$EP$13,$MO153,0),$NK153)+COUNTIF(INDEX($QV$2:$QY$13,$MO153,0),$NK153))=0,1,0))</f>
        <v/>
      </c>
      <c r="NZ153" s="164">
        <f>IF(OR($NP153=0,$NL153=""),0,IF((COUNTIF(INDEX($EL$2:$EP$13,$MO153,0),$NL153)+COUNTIF(INDEX($QV$2:$QY$13,$MO153,0),$NL153))=0,1,0))</f>
        <v/>
      </c>
      <c r="OA153" s="164">
        <f>IF(OR($NQ153=0,$NM153=""),0,IF((COUNTIF(INDEX($EL$2:$EP$13,$MO153,0),$NM153)+COUNTIF(INDEX($QV$2:$QY$13,$MO153,0),$NM153))=0,1,0))</f>
        <v/>
      </c>
      <c r="OB153" s="164">
        <f>IF(OR($NR153=0,$NN153=""),0,IF((COUNTIF(INDEX($EL$2:$EP$13,$MO153,0),$NN153)+COUNTIF(INDEX($QV$2:$QY$13,$MO153,0),$NN153))=0,1,0))</f>
        <v/>
      </c>
      <c r="OC153" s="164">
        <f>IFERROR(VLOOKUP(SUBSTITUTE(SUBSTITUTE(SUBSTITUTE($MX153,"~","~~"),"*","~*"),"?","~?"),'DADOS_MELHORIAS'!$AG$2:$AL$113,4,FALSE),0)+IFERROR(VLOOKUP(SUBSTITUTE(SUBSTITUTE(SUBSTITUTE($MY153,"~","~~"),"*","~*"),"?","~?"),'DADOS_MELHORIAS'!$AG$2:$AL$113,4,FALSE),0)+IFERROR(VLOOKUP(SUBSTITUTE(SUBSTITUTE(SUBSTITUTE($MZ153,"~","~~"),"*","~*"),"?","~?"),'DADOS_MELHORIAS'!$AG$2:$AL$113,4,FALSE),0)+IFERROR(VLOOKUP(SUBSTITUTE(SUBSTITUTE(SUBSTITUTE($NA153,"~","~~"),"*","~*"),"?","~?"),'DADOS_MELHORIAS'!$AG$2:$AL$113,4,FALSE),0)</f>
        <v/>
      </c>
      <c r="OD153" s="164">
        <f>IFERROR(VLOOKUP(SUBSTITUTE(SUBSTITUTE(SUBSTITUTE($MX153,"~","~~"),"*","~*"),"?","~?"),'DADOS_MELHORIAS'!$AG$2:$AL$113,6,FALSE),0)+IFERROR(VLOOKUP(SUBSTITUTE(SUBSTITUTE(SUBSTITUTE($MY153,"~","~~"),"*","~*"),"?","~?"),'DADOS_MELHORIAS'!$AG$2:$AL$113,6,FALSE),0)+IFERROR(VLOOKUP(SUBSTITUTE(SUBSTITUTE(SUBSTITUTE($MZ153,"~","~~"),"*","~*"),"?","~?"),'DADOS_MELHORIAS'!$AG$2:$AL$113,6,FALSE),0)+IFERROR(VLOOKUP(SUBSTITUTE(SUBSTITUTE(SUBSTITUTE($NA153,"~","~~"),"*","~*"),"?","~?"),'DADOS_MELHORIAS'!$AG$2:$AL$113,6,FALSE),0)+IFERROR(N(AND(INDEX('DADOS_FORMAS'!$AO$2:$AO$21,MATCH(SUBSTITUTE(SUBSTITUTE(SUBSTITUTE($MU153,"~","~~"),"*","~*"),"?","~?"),'DADOS_FORMAS'!$AH$2:$AH$21,0))="Acerto",$OH153=1)),0)</f>
        <v/>
      </c>
      <c r="OE153" s="164">
        <f>TEXTJOIN(", ",TRUE,IF(IFERROR(VLOOKUP(SUBSTITUTE(SUBSTITUTE(SUBSTITUTE($MX153,"~","~~"),"*","~*"),"?","~?"),'DADOS_MELHORIAS'!$AG$2:$AL$113,5,FALSE),0)=1,$MX153,""),IF(IFERROR(VLOOKUP(SUBSTITUTE(SUBSTITUTE(SUBSTITUTE($MY153,"~","~~"),"*","~*"),"?","~?"),'DADOS_MELHORIAS'!$AG$2:$AL$113,5,FALSE),0)=1,$MY153,""),IF(IFERROR(VLOOKUP(SUBSTITUTE(SUBSTITUTE(SUBSTITUTE($MZ153,"~","~~"),"*","~*"),"?","~?"),'DADOS_MELHORIAS'!$AG$2:$AL$113,5,FALSE),0)=1,$MZ153,""),IF(IFERROR(VLOOKUP(SUBSTITUTE(SUBSTITUTE(SUBSTITUTE($NA153,"~","~~"),"*","~*"),"?","~?"),'DADOS_MELHORIAS'!$AG$2:$AL$113,5,FALSE),0)=1,$NA153,""))</f>
        <v/>
      </c>
      <c r="OF153" s="164">
        <f>IF($NJ153=0,0,INDEX('DADOS_FORMAS'!$GC$2:$GC$21,$NJ153))</f>
        <v/>
      </c>
      <c r="OG153" s="164">
        <f>IF($NJ153=0,0,INDEX('DADOS_FORMAS'!$GD$2:$GD$21,$NJ153))</f>
        <v/>
      </c>
      <c r="OH153" s="164">
        <f>IF($NJ153=0,0,INDEX('DADOS_FORMAS'!$GF$2:$GF$21,$NJ153))</f>
        <v/>
      </c>
      <c r="OI153" s="164">
        <f>IFERROR(VLOOKUP(SUBSTITUTE(SUBSTITUTE(SUBSTITUTE($NB153,"~","~~"),"*","~*"),"?","~?"),'DADOS_RESTRICOES'!$M$2:$Q$54,3,FALSE),0)</f>
        <v/>
      </c>
      <c r="OJ153" s="164">
        <f>IFERROR(VLOOKUP(SUBSTITUTE(SUBSTITUTE(SUBSTITUTE($NC153,"~","~~"),"*","~*"),"?","~?"),'DADOS_RESTRICOES'!$M$2:$Q$54,3,FALSE),0)</f>
        <v/>
      </c>
      <c r="OK153" s="164">
        <f>IFERROR(VLOOKUP(SUBSTITUTE(SUBSTITUTE(SUBSTITUTE($NB153,"~","~~"),"*","~*"),"?","~?"),'DADOS_RESTRICOES'!$M$2:$Q$54,2,FALSE),"")</f>
        <v/>
      </c>
      <c r="OL153" s="164">
        <f>IFERROR(VLOOKUP(SUBSTITUTE(SUBSTITUTE(SUBSTITUTE($NC153,"~","~~"),"*","~*"),"?","~?"),'DADOS_RESTRICOES'!$M$2:$Q$54,2,FALSE),"")</f>
        <v/>
      </c>
      <c r="OM153" s="164">
        <f>COUNTIF($NS153:$NW153,1)</f>
        <v/>
      </c>
      <c r="ON153" s="164">
        <f>COUNTIF($NS153:$NW153,2)</f>
        <v/>
      </c>
      <c r="OO153" s="164">
        <f>COUNTIF($NS153:$NW153,3)</f>
        <v/>
      </c>
      <c r="OP153" s="164">
        <f>COUNTIF($NS153:$NW153,4)</f>
        <v/>
      </c>
      <c r="OQ153" s="164">
        <f>COUNTIF($NS153:$NW153,5)</f>
        <v/>
      </c>
      <c r="OR153" s="164">
        <f>COUNTIF($NS153:$NW153,6)</f>
        <v/>
      </c>
      <c r="OS153" s="164">
        <f>COUNTIF($OI153:$OJ153,1)+IF(IFERROR(INDEX('DADOS_FORMAS'!$AS$2:$AS$21,MATCH(SUBSTITUTE(SUBSTITUTE(SUBSTITUTE($MU153,"~","~~"),"*","~*"),"?","~?"),'DADOS_FORMAS'!$AH$2:$AH$21,0)),"")="",0,IFERROR(N(VLOOKUP(SUBSTITUTE(SUBSTITUTE(SUBSTITUTE(IFERROR(INDEX('DADOS_FORMAS'!$AS$2:$AS$21,MATCH(SUBSTITUTE(SUBSTITUTE(SUBSTITUTE($MU153,"~","~~"),"*","~*"),"?","~?"),'DADOS_FORMAS'!$AH$2:$AH$21,0)),""),"~","~~"),"*","~*"),"?","~?"),'DADOS_RESTRICOES'!$M$2:$Q$54,3,FALSE)=1),0))</f>
        <v/>
      </c>
      <c r="OT153" s="164">
        <f>COUNTIF($OI153:$OJ153,2)+IF(IFERROR(INDEX('DADOS_FORMAS'!$AS$2:$AS$21,MATCH(SUBSTITUTE(SUBSTITUTE(SUBSTITUTE($MU153,"~","~~"),"*","~*"),"?","~?"),'DADOS_FORMAS'!$AH$2:$AH$21,0)),"")="",0,IFERROR(N(VLOOKUP(SUBSTITUTE(SUBSTITUTE(SUBSTITUTE(IFERROR(INDEX('DADOS_FORMAS'!$AS$2:$AS$21,MATCH(SUBSTITUTE(SUBSTITUTE(SUBSTITUTE($MU153,"~","~~"),"*","~*"),"?","~?"),'DADOS_FORMAS'!$AH$2:$AH$21,0)),""),"~","~~"),"*","~*"),"?","~?"),'DADOS_RESTRICOES'!$M$2:$Q$54,3,FALSE)=2),0))</f>
        <v/>
      </c>
      <c r="OU153" s="164">
        <f>COUNTIF($MX153:$NA153,"?*")</f>
        <v/>
      </c>
      <c r="OV153" s="164">
        <f>COUNTIF($NB153:$NC153,"?*")+$OF153</f>
        <v/>
      </c>
      <c r="OW153" s="164">
        <f>IF($MS153=0,0,SUMPRODUCT($OM153:$OR153,INDEX($I$2:$N$8,MAX(1,$MS153),0)))</f>
        <v/>
      </c>
      <c r="OX153" s="164">
        <f>IF($MS153=0,0,$OS153*CEILING($MS153/2,1)+$OT153*$MS153)</f>
        <v/>
      </c>
      <c r="OY153" s="164">
        <f>MIN(2*$MS153,$OX153)</f>
        <v/>
      </c>
      <c r="OZ153" s="164">
        <f>MIN($OY153,$OW153-IF($NS153=0,0,INDEX($I$2:$N$8,MAX(1,$MS153),$NS153)))</f>
        <v/>
      </c>
      <c r="PA153" s="164">
        <f>$OY153-$OZ153</f>
        <v/>
      </c>
      <c r="PB153" s="164">
        <f>IF($MS153=0,0,INDEX($P$2:$P$8,MAX(1,$MS153)))</f>
        <v/>
      </c>
      <c r="PC153" s="164">
        <f>$PB153-$OW153+$OZ153</f>
        <v/>
      </c>
      <c r="PD153" s="164">
        <f>IF($MS153=0,MAX(0,$NG153-IF(AND($OU153&gt;0,COUNTIF($NB153:$NC153,"?*")=0),1,0)),MAX(0,$PC153))</f>
        <v/>
      </c>
      <c r="PE153" s="164">
        <f>IF($MS153=0,0,(IF(COUNTIF($RK153:$RN153,"Salto")&gt;0,1,0)+IF(COUNTIF($RK153:$RN153,"Queima")&gt;0,1,0)+IF(COUNTIF($RK153:$RN153,"Estilhaço")&gt;0,1,0))*FLOOR($PD153/2,1))</f>
        <v/>
      </c>
      <c r="PF153" s="164">
        <f>MAX(0,2-SUMPRODUCT($OM153:$OR153,$I$2:$N$2)+MIN(2,$OS153*1+$OT153*1,SUMPRODUCT($OM153:$OR153,$I$2:$N$2)-IF($NS153=0,0,INDEX($I$2:$N$2,1,$NS153))))</f>
        <v/>
      </c>
      <c r="PG153" s="164">
        <f>MAX(0,4-SUMPRODUCT($OM153:$OR153,$I$3:$N$3)+MIN(4,$OS153*1+$OT153*2,SUMPRODUCT($OM153:$OR153,$I$3:$N$3)-IF($NS153=0,0,INDEX($I$3:$N$3,1,$NS153))))</f>
        <v/>
      </c>
      <c r="PH153" s="164">
        <f>MAX(0,6-SUMPRODUCT($OM153:$OR153,$I$4:$N$4)+MIN(6,$OS153*2+$OT153*3,SUMPRODUCT($OM153:$OR153,$I$4:$N$4)-IF($NS153=0,0,INDEX($I$4:$N$4,1,$NS153))))</f>
        <v/>
      </c>
      <c r="PI153" s="164">
        <f>MAX(0,9-SUMPRODUCT($OM153:$OR153,$I$5:$N$5)+MIN(8,$OS153*2+$OT153*4,SUMPRODUCT($OM153:$OR153,$I$5:$N$5)-IF($NS153=0,0,INDEX($I$5:$N$5,1,$NS153))))</f>
        <v/>
      </c>
      <c r="PJ153" s="164">
        <f>MAX(0,11-SUMPRODUCT($OM153:$OR153,$I$6:$N$6)+MIN(10,$OS153*3+$OT153*5,SUMPRODUCT($OM153:$OR153,$I$6:$N$6)-IF($NS153=0,0,INDEX($I$6:$N$6,1,$NS153))))</f>
        <v/>
      </c>
      <c r="PK153" s="164">
        <f>MAX(0,13-SUMPRODUCT($OM153:$OR153,$I$7:$N$7)+MIN(12,$OS153*3+$OT153*6,SUMPRODUCT($OM153:$OR153,$I$7:$N$7)-IF($NS153=0,0,INDEX($I$7:$N$7,1,$NS153))))</f>
        <v/>
      </c>
      <c r="PL153" s="164">
        <f>MAX(0,16-SUMPRODUCT($OM153:$OR153,$I$8:$N$8)+MIN(14,$OS153*4+$OT153*7,SUMPRODUCT($OM153:$OR153,$I$8:$N$8)-IF($NS153=0,0,INDEX($I$8:$N$8,1,$NS153))))</f>
        <v/>
      </c>
      <c r="PM153" s="164">
        <f>IF($OG153=2,3*$PF153&amp;" de vida temp.",IF($OG153=3,"sem dano",IF($PF153=0,IF($OG153=1,"sem cura","sem dano"),IF($OG153=1,"cura ","")&amp;$PF153&amp;"d8")))</f>
        <v/>
      </c>
      <c r="PN153" s="164">
        <f>IF($OG153=2,3*$PG153&amp;" de vida temp.",IF($OG153=3,"sem dano",IF($PG153=0,IF($OG153=1,"sem cura","sem dano"),IF($OG153=1,"cura ","")&amp;$PG153&amp;"d8")))</f>
        <v/>
      </c>
      <c r="PO153" s="164">
        <f>IF($OG153=2,3*$PH153&amp;" de vida temp.",IF($OG153=3,"sem dano",IF($PH153=0,IF($OG153=1,"sem cura","sem dano"),IF($OG153=1,"cura ","")&amp;$PH153&amp;"d8")))</f>
        <v/>
      </c>
      <c r="PP153" s="164">
        <f>IF($OG153=2,3*$PI153&amp;" de vida temp.",IF($OG153=3,"sem dano",IF($PI153=0,IF($OG153=1,"sem cura","sem dano"),IF($OG153=1,"cura ","")&amp;$PI153&amp;"d8")))</f>
        <v/>
      </c>
      <c r="PQ153" s="164">
        <f>IF($OG153=2,3*$PJ153&amp;" de vida temp.",IF($OG153=3,"sem dano",IF($PJ153=0,IF($OG153=1,"sem cura","sem dano"),IF($OG153=1,"cura ","")&amp;$PJ153&amp;"d8")))</f>
        <v/>
      </c>
      <c r="PR153" s="164">
        <f>IF($OG153=2,3*$PK153&amp;" de vida temp.",IF($OG153=3,"sem dano",IF($PK153=0,IF($OG153=1,"sem cura","sem dano"),IF($OG153=1,"cura ","")&amp;$PK153&amp;"d8")))</f>
        <v/>
      </c>
      <c r="PS153" s="164">
        <f>IF($OG153=2,3*$PL153&amp;" de vida temp.",IF($OG153=3,"sem dano",IF($PL153=0,IF($OG153=1,"sem cura","sem dano"),IF($OG153=1,"cura ","")&amp;$PL153&amp;"d8")))</f>
        <v/>
      </c>
      <c r="PT153" s="164">
        <f>IF($ND153=0,"",TEXTJOIN(" · ",TRUE,IF($ND153=0,"",TEXTJOIN(" · ",TRUE,IF($ND153=0,"",TEXTJOIN(" · ",TRUE,IF($MQ153&gt;$NE153,"Este lugar abre no nível "&amp;$MQ153,""),IF($MS153&gt;$NF153,"Classe "&amp;$MS153&amp;": o nível "&amp;$NE153&amp;" libera até a "&amp;$NF153,""),IF($NX153=1,"A Forma "&amp;$MU153&amp;" pede "&amp;INDEX('DADOS_FORMAS'!$GA$2:$GA$21,$NJ153)&amp;" aberta",""),IF(AND($MS153=0,$NJ153&gt;0,IF($NJ153=0,0,INDEX('DADOS_FORMAS'!$GJ$2:$GJ$21,$NJ153))=0),$MU153&amp;" não existe na Classe 0",""),IF($NY153=1,"Família Fechada: "&amp;$MX153,""),IF($NZ153=1,"Família Fechada: "&amp;$MY153,""),IF($OA153=1,"Família Fechada: "&amp;$MZ153,""),IF($OB153=1,"Família Fechada: "&amp;$NA153,""),IF(AND($MS153&gt;0,$OU153&gt;INDEX($O$2:$O$8,MAX(1,$MS153))),$OU153&amp;" Melhorias: a Classe "&amp;$MS153&amp;" aceita "&amp;INDEX($O$2:$O$8,MAX(1,$MS153)),""),IF(AND($MS153=0,$OU153&gt;1),"A básica aceita uma Melhoria",""),IF(AND($MS153=0,COUNTIF($NO153:$NR153,"&gt;1")&gt;0),"A básica só aceita Melhoria Leve",""),IF(AND($MS153&gt;0,$OV153&gt;2),$OV153&amp;" Restrições"&amp;IF($OF153=1,", contando a que a Forma "&amp;$MU153&amp;" já traz","")&amp;": o limite é 2",""),IF(AND($MS153=0,COUNTIF($NB153:$NC153,"?*")&gt;1),"A básica aceita uma Restrição Leve",""),IF(AND($MS153=0,COUNTIF($OI153:$OJ153,2)&gt;0),"A básica só aceita Restrição Leve",""),IF(AND($MS153&gt;0,$PC153&lt;0),"Orçamento estourado: faltam "&amp;(-$PC153)&amp;IF($PC153&lt;-1," pontos"," ponto"),""),IF(IFERROR(VLOOKUP(SUBSTITUTE(SUBSTITUTE(SUBSTITUTE($NB153,"~","~~"),"*","~*"),"?","~?"),'DADOS_RESTRICOES'!$M$2:$Q$54,4,FALSE),0)+IFERROR(VLOOKUP(SUBSTITUTE(SUBSTITUTE(SUBSTITUTE($NC153,"~","~~"),"*","~*"),"?","~?"),'DADOS_RESTRICOES'!$M$2:$Q$54,4,FALSE),0)&gt;1,$OK153&amp;" e "&amp;$OL153&amp;" são as duas de frequência",""),IF(AND((COUNTIF($RK153:$RN153,"Rápido")+COUNTIF($OK153:$OL153,"Rápido"))&gt;0,(COUNTIF($MX153:$NA153,"Atrasar")+COUNTIF($OK153:$OL153,"Atrasar"))&gt;0),"Rápido não entra com Atrasar",""),IF(AND((COUNTIF($RK153:$RN153,"Reação")+COUNTIF($OK153:$OL153,"Reação"))&gt;0,(COUNTIF($RK153:$RN153,"Rápido")+COUNTIF($OK153:$OL153,"Rápido"))&gt;0),"Reação não entra com Rápido",""),IF(AND((COUNTIF($RK153:$RN153,"Reação")+COUNTIF($OK153:$OL153,"Reação"))&gt;0,(COUNTIF($RK153:$RN153,"Armado")+COUNTIF($OK153:$OL153,"Armado"))&gt;0),"Reação não entra com Armado",""),IF(AND((COUNTIF($RK153:$RN153,"Reação")+COUNTIF($OK153:$OL153,"Reação"))&gt;0,(COUNTIF($MX153:$NA153,"Atrasar")+COUNTIF($OK153:$OL153,"Atrasar"))&gt;0),"Reação não entra com Atrasar",""),IF(AND((COUNTIF($RK153:$RN153,"Reação")+COUNTIF($OK153:$OL153,"Reação"))&gt;0,(COUNTIF($MX153:$NA153,"Parado")+COUNTIF($OK153:$OL153,"Parado"))&gt;0),"Reação não entra com Parado",""),IF(AND((COUNTIF($MX153:$NA153,"Atrasar")+COUNTIF($OK153:$OL153,"Atrasar"))&gt;0,(COUNTIF($MX153:$NA153,"Parado")+COUNTIF($OK153:$OL153,"Parado"))&gt;0),"Atrasar não entra com Parado",""),IF(AND((COUNTIF($RK153:$RN153,"Armado")+COUNTIF($OK153:$OL153,"Armado"))&gt;0,(COUNTIF($MX153:$NA153,"Carregar")+COUNTIF($OK153:$OL153,"Carregar"))&gt;0),"Armado não entra com Carregar",""),IF(AND(COUNTIF($OK153:$OL153,"Corpo a Corpo")&gt;0,$OF153=0,OR($RO153="Cone",$RO153="Linha")),"Corpo a Corpo não entra em "&amp;$MU153,""),IF(AND(COUNTIF($OK153:$OL153,"Corpo a Corpo")&gt;0,$RP153="Corpo a Corpo"),"A Forma "&amp;$MU153&amp;" já traz o Corpo a Corpo",""),IF(AND(COUNTIF($OK153:$OL153,"Tudo ou Nada")&gt;0,$OH153=0),"Tudo ou Nada só entra em habilidade de Teste de Resistência",""),IF(AND(COUNTIF($RK153:$RN153,"Inescapável")&gt;0,OR($OU153&gt;1,$OV153&gt;0)),"Inescapável não aceita outra peça",""),IF(AND($MS153&gt;0,$PD153*IF(COUNTIF($RK153:$RN153,"Remate")&gt;0,1.25,1)+$PE153&gt;4*$MS153),($PD153*IF(COUNTIF($RK153:$RN153,"Remate")&gt;0,1.25,1)+$PE153)&amp;" dados somando repetições"&amp;IF(COUNTIF($RK153:$RN153,"Remate")&gt;0," e o Remate","")&amp;": o teto da Classe "&amp;$MS153&amp;" é "&amp;4*$MS153,""))),IF(AND($MX153&lt;&gt;"",COUNTIF('DADOS_MELHORIAS'!$O$2:$O$113,SUBSTITUTE(SUBSTITUTE(SUBSTITUTE($MX153,"~","~~"),"*","~*"),"?","~?"))=0),"Melhoria não cadastrada ou com erro: "&amp;$MX153,""),IF(AND($MY153&lt;&gt;"",COUNTIF('DADOS_MELHORIAS'!$O$2:$O$113,SUBSTITUTE(SUBSTITUTE(SUBSTITUTE($MY153,"~","~~"),"*","~*"),"?","~?"))=0),"Melhoria não cadastrada ou com erro: "&amp;$MY153,""),IF(AND($MZ153&lt;&gt;"",COUNTIF('DADOS_MELHORIAS'!$O$2:$O$113,SUBSTITUTE(SUBSTITUTE(SUBSTITUTE($MZ153,"~","~~"),"*","~*"),"?","~?"))=0),"Melhoria não cadastrada ou com erro: "&amp;$MZ153,""),IF(AND($NA153&lt;&gt;"",COUNTIF('DADOS_MELHORIAS'!$O$2:$O$113,SUBSTITUTE(SUBSTITUTE(SUBSTITUTE($NA153,"~","~~"),"*","~*"),"?","~?"))=0),"Melhoria não cadastrada ou com erro: "&amp;$NA153,""),IF(AND($NB153&lt;&gt;"",COUNTIF('DADOS_RESTRICOES'!$M$2:$M$54,SUBSTITUTE(SUBSTITUTE(SUBSTITUTE($NB153,"~","~~"),"*","~*"),"?","~?"))=0),"Restrição não cadastrada ou com erro: "&amp;$NB153,""),IF(AND($NC153&lt;&gt;"",COUNTIF('DADOS_RESTRICOES'!$M$2:$M$54,SUBSTITUTE(SUBSTITUTE(SUBSTITUTE($NC153,"~","~~"),"*","~*"),"?","~?"))=0),"Restrição não cadastrada ou com erro: "&amp;$NC153,""))),IF(AND($MU153&lt;&gt;"",COUNTIF('DADOS_FORMAS'!$AH$2:$AH$21,SUBSTITUTE(SUBSTITUTE(SUBSTITUTE($MU153,"~","~~"),"*","~*"),"?","~?"))=0),"Forma não cadastrada ou com erro: "&amp;$MU153,""),IF(AND(IFERROR(INDEX('DADOS_FORMAS'!$AS$2:$AS$21,MATCH(SUBSTITUTE(SUBSTITUTE(SUBSTITUTE($MU153,"~","~~"),"*","~*"),"?","~?"),'DADOS_FORMAS'!$AH$2:$AH$21,0)),"")&lt;&gt;"",OR(IFERROR(VLOOKUP(SUBSTITUTE(SUBSTITUTE(SUBSTITUTE(IFERROR(INDEX('DADOS_FORMAS'!$AS$2:$AS$21,MATCH(SUBSTITUTE(SUBSTITUTE(SUBSTITUTE($MU153,"~","~~"),"*","~*"),"?","~?"),'DADOS_FORMAS'!$AH$2:$AH$21,0)),""),"~","~~"),"*","~*"),"?","~?"),'DADOS_RESTRICOES'!$M$2:$Q$54,2,FALSE),"")=$OK153,IFERROR(VLOOKUP(SUBSTITUTE(SUBSTITUTE(SUBSTITUTE(IFERROR(INDEX('DADOS_FORMAS'!$AS$2:$AS$21,MATCH(SUBSTITUTE(SUBSTITUTE(SUBSTITUTE($MU153,"~","~~"),"*","~*"),"?","~?"),'DADOS_FORMAS'!$AH$2:$AH$21,0)),""),"~","~~"),"*","~*"),"?","~?"),'DADOS_RESTRICOES'!$M$2:$Q$54,2,FALSE),"")=$OL153)),"Restrição repetida, contando a embutida",""),IF(IF(IFERROR(INDEX('DADOS_FORMAS'!$AS$2:$AS$21,MATCH(SUBSTITUTE(SUBSTITUTE(SUBSTITUTE($MU153,"~","~~"),"*","~*"),"?","~?"),'DADOS_FORMAS'!$AH$2:$AH$21,0)),"")="",0,IFERROR(N(VLOOKUP(SUBSTITUTE(SUBSTITUTE(SUBSTITUTE(IFERROR(INDEX('DADOS_FORMAS'!$AS$2:$AS$21,MATCH(SUBSTITUTE(SUBSTITUTE(SUBSTITUTE($MU153,"~","~~"),"*","~*"),"?","~?"),'DADOS_FORMAS'!$AH$2:$AH$21,0)),""),"~","~~"),"*","~*"),"?","~?"),'DADOS_RESTRICOES'!$M$2:$Q$54,4,FALSE)=1),0))+IF($NB153="",0,IFERROR(N(VLOOKUP(SUBSTITUTE(SUBSTITUTE(SUBSTITUTE($NB153,"~","~~"),"*","~*"),"?","~?"),'DADOS_RESTRICOES'!$M$2:$Q$54,4,FALSE)=1),0))+IF($NC153="",0,IFERROR(N(VLOOKUP(SUBSTITUTE(SUBSTITUTE(SUBSTITUTE($NC153,"~","~~"),"*","~*"),"?","~?"),'DADOS_RESTRICOES'!$M$2:$Q$54,4,FALSE)=1),0))&gt;1,"Duas Restrições de frequência, contando a embutida",""),IF(AND(IFERROR(VLOOKUP(SUBSTITUTE(SUBSTITUTE(SUBSTITUTE(IFERROR(INDEX('DADOS_FORMAS'!$AS$2:$AS$21,MATCH(SUBSTITUTE(SUBSTITUTE(SUBSTITUTE($MU153,"~","~~"),"*","~*"),"?","~?"),'DADOS_FORMAS'!$AH$2:$AH$21,0)),""),"~","~~"),"*","~*"),"?","~?"),'DADOS_RESTRICOES'!$M$2:$Q$54,2,FALSE),"")="Tudo ou Nada",$OH153=0),"Tudo ou Nada exige TR",""),IF(AND(IFERROR(VLOOKUP(SUBSTITUTE(SUBSTITUTE(SUBSTITUTE(IFERROR(INDEX('DADOS_FORMAS'!$AS$2:$AS$21,MATCH(SUBSTITUTE(SUBSTITUTE(SUBSTITUTE($MU153,"~","~~"),"*","~*"),"?","~?"),'DADOS_FORMAS'!$AH$2:$AH$21,0)),""),"~","~~"),"*","~*"),"?","~?"),'DADOS_RESTRICOES'!$M$2:$Q$54,2,FALSE),"")="Corpo a Corpo",OR($RO153="Cone",$RO153="Linha")),"Corpo a Corpo não entra em Cone/Linha","")))</f>
        <v/>
      </c>
      <c r="PU153" s="164">
        <f>IF($PT153="",0,(LEN($PT153)-LEN(SUBSTITUTE($PT153," · ","")))/3+1)</f>
        <v/>
      </c>
      <c r="PV153" s="164">
        <f>IF($ND153=0,"",TEXTJOIN(" · ",TRUE,IF($OX153&gt;2*$MS153,"A devolução parou no teto de "&amp;2*$MS153,""),IF($PA153&gt;0,"Devolução perdida: "&amp;$PA153&amp;IF($PA153&gt;1," pontos"," ponto")&amp;" sem Melhoria para pagar",""),IF(AND($OC153&gt;0,AND($MS153&gt;0,$OG153=0),$PD153=0),"Controle sem dano: uma rodada a mais e CD +2",""),IF(AND($OC153&gt;0,AND($MS153&gt;0,$OG153=0),$PD153&gt;0,$PD153&lt;=$MS153),"Controle com saldo até a Classe: uma rodada a mais",""),IF(AND($MS153&gt;0,$OE153&lt;&gt;""),"Efeito de "&amp;$OE153&amp;" pela Classe "&amp;MAX(1,$MS153-1),"")))</f>
        <v/>
      </c>
      <c r="PW153" s="164">
        <f>IF($PV153="",0,(LEN($PV153)-LEN(SUBSTITUTE($PV153," · ","")))/3+1)</f>
        <v/>
      </c>
      <c r="PX153" s="164">
        <f>IF($ND153=0,IF($OU153+COUNTIF($NB153:$NC153,"?*")&gt;0,"Dê um nome",""),IF($PU153&gt;0,"⚠ "&amp;$PU153&amp;IF($PU153&gt;1," erros"," erro"),IF($PW153&gt;0,"! "&amp;$PW153&amp;IF($PW153&gt;1," avisos"," aviso"),"Na regra")))</f>
        <v/>
      </c>
      <c r="PY153" s="164">
        <f>IF($ND153=0,"",IF($PU153+$PW153=0,"Dentro das regras que a ficha confere",$PT153&amp;IF(AND($PU153&gt;0,$PW153&gt;0)," · ","")&amp;$PV153))</f>
        <v/>
      </c>
      <c r="PZ153" s="164">
        <f>IF($MQ153&gt;$NE153,$MR153&amp;" · ABRE NO NÍVEL "&amp;$MQ153,$MR153)</f>
        <v/>
      </c>
      <c r="QA153" s="164">
        <f>IF($ND153=0,"",IF($MS153=0,"Sem PE",3*$MS153&amp;" PE"))</f>
        <v/>
      </c>
      <c r="QB153" s="164">
        <f>IF($ND153=0,"",IF($MS153=0,"A atuação básica dela",IF(COUNTIF($RQ153:$RS153,"Atrasar")&gt;0,"Sua Ação Completa",IF(COUNTIF($RK153:$RN153,"Rápido")&gt;0,"Sua Bônus",IF(COUNTIF($RK153:$RN153,"Reação")&gt;0,"Sua Reação","Sua Padrão")))&amp;" + a básica dela"&amp;IF(COUNTIF($RK153:$RN153,"Reação")&gt;0," e a coletiva","")&amp;IF(COUNTIF($RQ153:$RS153,"Carregar")&gt;0," · em dois turnos","")))</f>
        <v/>
      </c>
      <c r="QC153" s="164">
        <f>IF($MW153&lt;&gt;"",$MW153,IF($NJ153=0,"",INDEX('DADOS_FORMAS'!$GE$2:$GE$21,$NJ153)))</f>
        <v/>
      </c>
      <c r="QD153" s="164">
        <f>IF(OR($ND153=0,$NJ153=0),"",IF(COUNTIF($RK153:$RN153,"Inescapável")&gt;0,"Automático",IF($QC153="Ataque",IF($NH153="","Ataque","Ataque "&amp;IF(($NH153+2*IF(COUNTIF($RK153:$RN153,"Precisão")&gt;0,1,0))&gt;=0,"+","−")&amp;ABS(($NH153+2*IF(COUNTIF($RK153:$RN153,"Precisão")&gt;0,1,0))))&amp;IF($OD153&gt;0," · TR"&amp;IF($NI153="",""," CD "&amp;$NI153),""),IF(LEFT($QC153,2)="TR",$QC153&amp;IF($NI153="",""," · CD "&amp;$NI153)&amp;IF(COUNTIF($RK153:$RN153,"Certeiro")&gt;0," · metade",""),"Sem rolagem"))))</f>
        <v/>
      </c>
      <c r="QE153" s="164">
        <f>IF(OR($ND153=0,$NJ153=0),"",IF($MS153=0,IF(OR($OG153&gt;=1,$PD153=0),"Sem dano",$PD153&amp;"d6"&amp;IF($MV153="",""," "&amp;$MV153)),IF(OR($OG153&gt;=1,$PD153=0),UPPER(LEFT(INDEX($PM153:$PS153,1,MAX(1,$MS153)),1))&amp;MID(INDEX($PM153:$PS153,1,MAX(1,$MS153)),2,99),UPPER(LEFT(INDEX($PM153:$PS153,1,MAX(1,$MS153)),1))&amp;MID(INDEX($PM153:$PS153,1,MAX(1,$MS153)),2,99)&amp;IF($MV153="",""," "&amp;$MV153)&amp;IF($PE153&gt;0," · +"&amp;$PE153&amp;"d8",""))))</f>
        <v/>
      </c>
      <c r="QF153" s="164">
        <f>COUNTIF($RK153:$RN153,"Longe")+3*COUNTIF($RK153:$RN153,"Muito Longe")</f>
        <v/>
      </c>
      <c r="QG153" s="164">
        <f>COUNTIF($RK153:$RN153,"Maior")+3*COUNTIF($RK153:$RN153,"Muito Maior")</f>
        <v/>
      </c>
      <c r="QH153" s="164">
        <f>IF($NJ153=0,0,CHOOSE(1+INDEX('DADOS_FORMAS'!$GG$2:$GG$21,$NJ153),0,$QF153,$QG153,$QF153+$QG153))</f>
        <v/>
      </c>
      <c r="QI153" s="164">
        <f>IF($NJ153=0,0,CHOOSE(1+INDEX('DADOS_FORMAS'!$GH$2:$GH$21,$NJ153),0,$QF153,$QG153,$QF153+$QG153))</f>
        <v/>
      </c>
      <c r="QJ153" s="164">
        <f>IF(OR($ND153=0,$NJ153=0),"",INDEX('DADOS_FORMAS'!$HU$2:$HZ$81,($NJ153-1)*4+IF($MS153=0,1,IF($MS153&lt;=5,2,IF($MS153=6,3,4))),1+MIN(5,$QH153))&amp;INDEX('DADOS_FORMAS'!$IA$2:$IF$81,($NJ153-1)*4+IF($MS153=0,1,IF($MS153&lt;=5,2,IF($MS153=6,3,4))),1+MIN(5,$QI153))&amp;IF(INDEX('DADOS_FORMAS'!$GI$2:$GI$21,$NJ153)=1,IF(COUNTIF($RK153:$RN153,"Mais Um")&gt;0," · +"&amp;COUNTIF($RK153:$RN153,"Mais Um")&amp;IF(COUNTIF($RK153:$RN153,"Mais Um")&gt;1," alvos"," alvo"),"")&amp;IF(COUNTIF($RK153:$RN153,"Rajada")&gt;0,IF($MS153=0," · 1 tiro"," · "&amp;(MAX(1,$MS153-1)+1)&amp;" tiros"),""),""))</f>
        <v/>
      </c>
      <c r="QK153" s="164">
        <f>IF($ND153=0,"",IF($MS153=0,$NG153&amp;"d6"&amp;IF($OU153&gt;0," − 1 = "&amp;$PD153&amp;"d6"," da básica do nível "&amp;$NE153),$PB153&amp;" − "&amp;$OW153&amp;" + "&amp;$OZ153&amp;" = "&amp;$PC153&amp;" · teto "&amp;4*$MS153&amp;"d8"&amp;IF($OF153=1," · a Forma devolve "&amp;$MS153,"")&amp;IF($PA153&gt;0," · perde "&amp;$PA153,"")))</f>
        <v/>
      </c>
      <c r="QL153" s="164">
        <f>IF($ND153=0,"",IF($MS153=0,"A básica não amplia: os dados dela sobem com o nível",IF($MS153&gt;=$NF153,"Já está na maior Classe que o nível liberou",TEXTJOIN(" · ",TRUE,IF(AND(2&gt;$MS153,2&lt;=$NF153),"2 → "&amp;$PN153&amp;", 6 PE",""),IF(AND(3&gt;$MS153,3&lt;=$NF153),"3 → "&amp;$PO153&amp;", 9 PE",""),IF(AND(4&gt;$MS153,4&lt;=$NF153),"4 → "&amp;$PP153&amp;", 12 PE",""),IF(AND(5&gt;$MS153,5&lt;=$NF153),"5 → "&amp;$PQ153&amp;", 15 PE",""),IF(AND(6&gt;$MS153,6&lt;=$NF153),"6 → "&amp;$PR153&amp;", 18 PE",""),IF(AND(7&gt;$MS153,7&lt;=$NF153),"7 → "&amp;$PS153&amp;", 21 PE","")))))</f>
        <v/>
      </c>
      <c r="QM153" s="164">
        <f>IF(OR($ND153=0,$NO153=0),"",IF($MS153=0,"−1 dado","−"&amp;INDEX($I$2:$N$8,MAX(1,$MS153),MAX(1,$NT153))&amp;" · "&amp;CHOOSE(MAX(1,$NT153),"Leve","Média","Pesada","Leve · Livre","Média · Livre","Pesada · Livre")))</f>
        <v/>
      </c>
      <c r="QN153" s="164">
        <f>IF(OR($ND153=0,$NP153=0),"",IF($MS153=0,"−1 dado","−"&amp;INDEX($I$2:$N$8,MAX(1,$MS153),MAX(1,$NU153))&amp;" · "&amp;CHOOSE(MAX(1,$NU153),"Leve","Média","Pesada","Leve · Livre","Média · Livre","Pesada · Livre")))</f>
        <v/>
      </c>
      <c r="QO153" s="164">
        <f>IF(OR($ND153=0,$NQ153=0),"",IF($MS153=0,"−1 dado","−"&amp;INDEX($I$2:$N$8,MAX(1,$MS153),MAX(1,$NV153))&amp;" · "&amp;CHOOSE(MAX(1,$NV153),"Leve","Média","Pesada","Leve · Livre","Média · Livre","Pesada · Livre")))</f>
        <v/>
      </c>
      <c r="QP153" s="164">
        <f>IF(OR($ND153=0,$NR153=0),"",IF($MS153=0,"−1 dado","−"&amp;INDEX($I$2:$N$8,MAX(1,$MS153),MAX(1,$NW153))&amp;" · "&amp;CHOOSE(MAX(1,$NW153),"Leve","Média","Pesada","Leve · Livre","Média · Livre","Pesada · Livre")))</f>
        <v/>
      </c>
      <c r="QQ153" s="164">
        <f>IF(OR($ND153=0,$NB153=""),"",IF($MS153=0,"não devolve","+"&amp;IF($OI153=1,CEILING($MS153/2,1),$MS153)))</f>
        <v/>
      </c>
      <c r="QR153" s="164">
        <f>IF(OR($ND153=0,$NC153=""),"",IF($MS153=0,"não devolve","+"&amp;IF($OJ153=1,CEILING($MS153/2,1),$MS153)))</f>
        <v/>
      </c>
      <c r="RK153">
        <f>IF($MX153="","",IFERROR(VLOOKUP(SUBSTITUTE(SUBSTITUTE(SUBSTITUTE($MX153,"~","~~"),"*","~*"),"?","~?"),'DADOS_MELHORIAS'!$O$2:$X$113,10,FALSE),$MX153))</f>
        <v/>
      </c>
      <c r="RL153">
        <f>IF($MY153="","",IFERROR(VLOOKUP(SUBSTITUTE(SUBSTITUTE(SUBSTITUTE($MY153,"~","~~"),"*","~*"),"?","~?"),'DADOS_MELHORIAS'!$O$2:$X$113,10,FALSE),$MY153))</f>
        <v/>
      </c>
      <c r="RM153">
        <f>IF($MZ153="","",IFERROR(VLOOKUP(SUBSTITUTE(SUBSTITUTE(SUBSTITUTE($MZ153,"~","~~"),"*","~*"),"?","~?"),'DADOS_MELHORIAS'!$O$2:$X$113,10,FALSE),$MZ153))</f>
        <v/>
      </c>
      <c r="RN153">
        <f>IF($NA153="","",IFERROR(VLOOKUP(SUBSTITUTE(SUBSTITUTE(SUBSTITUTE($NA153,"~","~~"),"*","~*"),"?","~?"),'DADOS_MELHORIAS'!$O$2:$X$113,10,FALSE),$NA153))</f>
        <v/>
      </c>
      <c r="RO153">
        <f>IFERROR(INDEX('DADOS_FORMAS'!$BJ$2:$BJ$21,MATCH(SUBSTITUTE(SUBSTITUTE(SUBSTITUTE($MU153,"~","~~"),"*","~*"),"?","~?"),'DADOS_FORMAS'!$AH$2:$AH$21,0)),"")</f>
        <v/>
      </c>
      <c r="RP153">
        <f>IFERROR(VLOOKUP(SUBSTITUTE(SUBSTITUTE(SUBSTITUTE(IFERROR(INDEX('DADOS_FORMAS'!$AS$2:$AS$21,MATCH(SUBSTITUTE(SUBSTITUTE(SUBSTITUTE($MU153,"~","~~"),"*","~*"),"?","~?"),'DADOS_FORMAS'!$AH$2:$AH$21,0)),""),"~","~~"),"*","~*"),"?","~?"),'DADOS_RESTRICOES'!$M$2:$Q$54,2,FALSE),"")</f>
        <v/>
      </c>
      <c r="RQ153">
        <f>$OK153</f>
        <v/>
      </c>
      <c r="RR153">
        <f>$OL153</f>
        <v/>
      </c>
      <c r="RS153">
        <f>$RP153</f>
        <v/>
      </c>
    </row>
    <row r="154">
      <c r="MN154" s="162" t="inlineStr">
        <is>
          <t>Ficha 12 · Especial 8</t>
        </is>
      </c>
      <c r="MO154" s="164" t="n">
        <v>12</v>
      </c>
      <c r="MP154" s="164" t="n">
        <v>1</v>
      </c>
      <c r="MQ154" s="164" t="n">
        <v>28</v>
      </c>
      <c r="MR154" s="162" t="inlineStr">
        <is>
          <t>ESPECIAL 8</t>
        </is>
      </c>
      <c r="MS154" s="164">
        <f>MAX(1,MIN(7,N('INVOCAÇÕES'!$AB$1204)))</f>
        <v/>
      </c>
      <c r="MT154" s="164">
        <f>'INVOCAÇÕES'!$AC$1204&amp;""</f>
        <v/>
      </c>
      <c r="MU154" s="164">
        <f>'INVOCAÇÕES'!$AB$1209&amp;""</f>
        <v/>
      </c>
      <c r="MV154" s="164">
        <f>'INVOCAÇÕES'!$AB$1210&amp;""</f>
        <v/>
      </c>
      <c r="MW154" s="164">
        <f>'INVOCAÇÕES'!$AD$1210&amp;""</f>
        <v/>
      </c>
      <c r="MX154" s="164">
        <f>'INVOCAÇÕES'!$AC$1213&amp;""</f>
        <v/>
      </c>
      <c r="MY154" s="164">
        <f>'INVOCAÇÕES'!$AC$1214&amp;""</f>
        <v/>
      </c>
      <c r="MZ154" s="164">
        <f>'INVOCAÇÕES'!$AC$1215&amp;""</f>
        <v/>
      </c>
      <c r="NA154" s="164">
        <f>'INVOCAÇÕES'!$AC$1216&amp;""</f>
        <v/>
      </c>
      <c r="NB154" s="164">
        <f>'INVOCAÇÕES'!$AC$1217&amp;""</f>
        <v/>
      </c>
      <c r="NC154" s="164">
        <f>'INVOCAÇÕES'!$AC$1218&amp;""</f>
        <v/>
      </c>
      <c r="ND154" s="164">
        <f>IF($MT154&lt;&gt;"",1,0)</f>
        <v/>
      </c>
      <c r="NE154" s="164">
        <f>INDEX($FO$2:$FO$13,$MO154)</f>
        <v/>
      </c>
      <c r="NF154" s="164">
        <f>INDEX($FP$2:$FP$13,$MO154)</f>
        <v/>
      </c>
      <c r="NG154" s="164">
        <f>INDEX($FQ$2:$FQ$13,$MO154)</f>
        <v/>
      </c>
      <c r="NH154" s="164">
        <f>INDEX($GB$2:$GB$13,$MO154)</f>
        <v/>
      </c>
      <c r="NI154" s="164">
        <f>INDEX($GC$2:$GC$13,$MO154)</f>
        <v/>
      </c>
      <c r="NJ154" s="164">
        <f>IFERROR(MATCH(SUBSTITUTE(SUBSTITUTE(SUBSTITUTE($MU154,"~","~~"),"*","~*"),"?","~?"),'DADOS_FORMAS'!$FZ$2:$FZ$21,0),0)</f>
        <v/>
      </c>
      <c r="NK154" s="164">
        <f>IFERROR(VLOOKUP(SUBSTITUTE(SUBSTITUTE(SUBSTITUTE($MX154,"~","~~"),"*","~*"),"?","~?"),'DADOS_MELHORIAS'!$AG$2:$AL$113,2,FALSE),"")</f>
        <v/>
      </c>
      <c r="NL154" s="164">
        <f>IFERROR(VLOOKUP(SUBSTITUTE(SUBSTITUTE(SUBSTITUTE($MY154,"~","~~"),"*","~*"),"?","~?"),'DADOS_MELHORIAS'!$AG$2:$AL$113,2,FALSE),"")</f>
        <v/>
      </c>
      <c r="NM154" s="164">
        <f>IFERROR(VLOOKUP(SUBSTITUTE(SUBSTITUTE(SUBSTITUTE($MZ154,"~","~~"),"*","~*"),"?","~?"),'DADOS_MELHORIAS'!$AG$2:$AL$113,2,FALSE),"")</f>
        <v/>
      </c>
      <c r="NN154" s="164">
        <f>IFERROR(VLOOKUP(SUBSTITUTE(SUBSTITUTE(SUBSTITUTE($NA154,"~","~~"),"*","~*"),"?","~?"),'DADOS_MELHORIAS'!$AG$2:$AL$113,2,FALSE),"")</f>
        <v/>
      </c>
      <c r="NO154" s="164">
        <f>IFERROR(VLOOKUP(SUBSTITUTE(SUBSTITUTE(SUBSTITUTE($MX154,"~","~~"),"*","~*"),"?","~?"),'DADOS_MELHORIAS'!$AG$2:$AL$113,3,FALSE),0)</f>
        <v/>
      </c>
      <c r="NP154" s="164">
        <f>IFERROR(VLOOKUP(SUBSTITUTE(SUBSTITUTE(SUBSTITUTE($MY154,"~","~~"),"*","~*"),"?","~?"),'DADOS_MELHORIAS'!$AG$2:$AL$113,3,FALSE),0)</f>
        <v/>
      </c>
      <c r="NQ154" s="164">
        <f>IFERROR(VLOOKUP(SUBSTITUTE(SUBSTITUTE(SUBSTITUTE($MZ154,"~","~~"),"*","~*"),"?","~?"),'DADOS_MELHORIAS'!$AG$2:$AL$113,3,FALSE),0)</f>
        <v/>
      </c>
      <c r="NR154" s="164">
        <f>IFERROR(VLOOKUP(SUBSTITUTE(SUBSTITUTE(SUBSTITUTE($NA154,"~","~~"),"*","~*"),"?","~?"),'DADOS_MELHORIAS'!$AG$2:$AL$113,3,FALSE),0)</f>
        <v/>
      </c>
      <c r="NS154" s="164">
        <f>IF($MS154=0,0,IF($NJ154=0,0,INDEX('DADOS_FORMAS'!$GB$2:$GB$21,$NJ154)))</f>
        <v/>
      </c>
      <c r="NT154" s="164">
        <f>IF(OR($NO154=0,$MS154=0),0,$NO154+3*IF(AND($NK154&lt;&gt;"",COUNTIF(INDEX($RB$2:$RJ$13,$MO154,0),$NK154)&gt;0),1,0))</f>
        <v/>
      </c>
      <c r="NU154" s="164">
        <f>IF(OR($NP154=0,$MS154=0),0,$NP154+3*IF(AND($NL154&lt;&gt;"",COUNTIF(INDEX($RB$2:$RJ$13,$MO154,0),$NL154)&gt;0),1,0))</f>
        <v/>
      </c>
      <c r="NV154" s="164">
        <f>IF(OR($NQ154=0,$MS154=0),0,$NQ154+3*IF(AND($NM154&lt;&gt;"",COUNTIF(INDEX($RB$2:$RJ$13,$MO154,0),$NM154)&gt;0),1,0))</f>
        <v/>
      </c>
      <c r="NW154" s="164">
        <f>IF(OR($NR154=0,$MS154=0),0,$NR154+3*IF(AND($NN154&lt;&gt;"",COUNTIF(INDEX($RB$2:$RJ$13,$MO154,0),$NN154)&gt;0),1,0))</f>
        <v/>
      </c>
      <c r="NX154" s="164">
        <f>IF($NJ154=0,0,IF(INDEX('DADOS_FORMAS'!$GA$2:$GA$21,$NJ154)="",0,IF((COUNTIF(INDEX($EL$2:$EP$13,$MO154,0),INDEX('DADOS_FORMAS'!$GA$2:$GA$21,$NJ154))+COUNTIF(INDEX($QV$2:$QY$13,$MO154,0),INDEX('DADOS_FORMAS'!$GA$2:$GA$21,$NJ154)))=0,1,0)))</f>
        <v/>
      </c>
      <c r="NY154" s="164">
        <f>IF(OR($NO154=0,$NK154=""),0,IF((COUNTIF(INDEX($EL$2:$EP$13,$MO154,0),$NK154)+COUNTIF(INDEX($QV$2:$QY$13,$MO154,0),$NK154))=0,1,0))</f>
        <v/>
      </c>
      <c r="NZ154" s="164">
        <f>IF(OR($NP154=0,$NL154=""),0,IF((COUNTIF(INDEX($EL$2:$EP$13,$MO154,0),$NL154)+COUNTIF(INDEX($QV$2:$QY$13,$MO154,0),$NL154))=0,1,0))</f>
        <v/>
      </c>
      <c r="OA154" s="164">
        <f>IF(OR($NQ154=0,$NM154=""),0,IF((COUNTIF(INDEX($EL$2:$EP$13,$MO154,0),$NM154)+COUNTIF(INDEX($QV$2:$QY$13,$MO154,0),$NM154))=0,1,0))</f>
        <v/>
      </c>
      <c r="OB154" s="164">
        <f>IF(OR($NR154=0,$NN154=""),0,IF((COUNTIF(INDEX($EL$2:$EP$13,$MO154,0),$NN154)+COUNTIF(INDEX($QV$2:$QY$13,$MO154,0),$NN154))=0,1,0))</f>
        <v/>
      </c>
      <c r="OC154" s="164">
        <f>IFERROR(VLOOKUP(SUBSTITUTE(SUBSTITUTE(SUBSTITUTE($MX154,"~","~~"),"*","~*"),"?","~?"),'DADOS_MELHORIAS'!$AG$2:$AL$113,4,FALSE),0)+IFERROR(VLOOKUP(SUBSTITUTE(SUBSTITUTE(SUBSTITUTE($MY154,"~","~~"),"*","~*"),"?","~?"),'DADOS_MELHORIAS'!$AG$2:$AL$113,4,FALSE),0)+IFERROR(VLOOKUP(SUBSTITUTE(SUBSTITUTE(SUBSTITUTE($MZ154,"~","~~"),"*","~*"),"?","~?"),'DADOS_MELHORIAS'!$AG$2:$AL$113,4,FALSE),0)+IFERROR(VLOOKUP(SUBSTITUTE(SUBSTITUTE(SUBSTITUTE($NA154,"~","~~"),"*","~*"),"?","~?"),'DADOS_MELHORIAS'!$AG$2:$AL$113,4,FALSE),0)</f>
        <v/>
      </c>
      <c r="OD154" s="164">
        <f>IFERROR(VLOOKUP(SUBSTITUTE(SUBSTITUTE(SUBSTITUTE($MX154,"~","~~"),"*","~*"),"?","~?"),'DADOS_MELHORIAS'!$AG$2:$AL$113,6,FALSE),0)+IFERROR(VLOOKUP(SUBSTITUTE(SUBSTITUTE(SUBSTITUTE($MY154,"~","~~"),"*","~*"),"?","~?"),'DADOS_MELHORIAS'!$AG$2:$AL$113,6,FALSE),0)+IFERROR(VLOOKUP(SUBSTITUTE(SUBSTITUTE(SUBSTITUTE($MZ154,"~","~~"),"*","~*"),"?","~?"),'DADOS_MELHORIAS'!$AG$2:$AL$113,6,FALSE),0)+IFERROR(VLOOKUP(SUBSTITUTE(SUBSTITUTE(SUBSTITUTE($NA154,"~","~~"),"*","~*"),"?","~?"),'DADOS_MELHORIAS'!$AG$2:$AL$113,6,FALSE),0)+IFERROR(N(AND(INDEX('DADOS_FORMAS'!$AO$2:$AO$21,MATCH(SUBSTITUTE(SUBSTITUTE(SUBSTITUTE($MU154,"~","~~"),"*","~*"),"?","~?"),'DADOS_FORMAS'!$AH$2:$AH$21,0))="Acerto",$OH154=1)),0)</f>
        <v/>
      </c>
      <c r="OE154" s="164">
        <f>TEXTJOIN(", ",TRUE,IF(IFERROR(VLOOKUP(SUBSTITUTE(SUBSTITUTE(SUBSTITUTE($MX154,"~","~~"),"*","~*"),"?","~?"),'DADOS_MELHORIAS'!$AG$2:$AL$113,5,FALSE),0)=1,$MX154,""),IF(IFERROR(VLOOKUP(SUBSTITUTE(SUBSTITUTE(SUBSTITUTE($MY154,"~","~~"),"*","~*"),"?","~?"),'DADOS_MELHORIAS'!$AG$2:$AL$113,5,FALSE),0)=1,$MY154,""),IF(IFERROR(VLOOKUP(SUBSTITUTE(SUBSTITUTE(SUBSTITUTE($MZ154,"~","~~"),"*","~*"),"?","~?"),'DADOS_MELHORIAS'!$AG$2:$AL$113,5,FALSE),0)=1,$MZ154,""),IF(IFERROR(VLOOKUP(SUBSTITUTE(SUBSTITUTE(SUBSTITUTE($NA154,"~","~~"),"*","~*"),"?","~?"),'DADOS_MELHORIAS'!$AG$2:$AL$113,5,FALSE),0)=1,$NA154,""))</f>
        <v/>
      </c>
      <c r="OF154" s="164">
        <f>IF($NJ154=0,0,INDEX('DADOS_FORMAS'!$GC$2:$GC$21,$NJ154))</f>
        <v/>
      </c>
      <c r="OG154" s="164">
        <f>IF($NJ154=0,0,INDEX('DADOS_FORMAS'!$GD$2:$GD$21,$NJ154))</f>
        <v/>
      </c>
      <c r="OH154" s="164">
        <f>IF($NJ154=0,0,INDEX('DADOS_FORMAS'!$GF$2:$GF$21,$NJ154))</f>
        <v/>
      </c>
      <c r="OI154" s="164">
        <f>IFERROR(VLOOKUP(SUBSTITUTE(SUBSTITUTE(SUBSTITUTE($NB154,"~","~~"),"*","~*"),"?","~?"),'DADOS_RESTRICOES'!$M$2:$Q$54,3,FALSE),0)</f>
        <v/>
      </c>
      <c r="OJ154" s="164">
        <f>IFERROR(VLOOKUP(SUBSTITUTE(SUBSTITUTE(SUBSTITUTE($NC154,"~","~~"),"*","~*"),"?","~?"),'DADOS_RESTRICOES'!$M$2:$Q$54,3,FALSE),0)</f>
        <v/>
      </c>
      <c r="OK154" s="164">
        <f>IFERROR(VLOOKUP(SUBSTITUTE(SUBSTITUTE(SUBSTITUTE($NB154,"~","~~"),"*","~*"),"?","~?"),'DADOS_RESTRICOES'!$M$2:$Q$54,2,FALSE),"")</f>
        <v/>
      </c>
      <c r="OL154" s="164">
        <f>IFERROR(VLOOKUP(SUBSTITUTE(SUBSTITUTE(SUBSTITUTE($NC154,"~","~~"),"*","~*"),"?","~?"),'DADOS_RESTRICOES'!$M$2:$Q$54,2,FALSE),"")</f>
        <v/>
      </c>
      <c r="OM154" s="164">
        <f>COUNTIF($NS154:$NW154,1)</f>
        <v/>
      </c>
      <c r="ON154" s="164">
        <f>COUNTIF($NS154:$NW154,2)</f>
        <v/>
      </c>
      <c r="OO154" s="164">
        <f>COUNTIF($NS154:$NW154,3)</f>
        <v/>
      </c>
      <c r="OP154" s="164">
        <f>COUNTIF($NS154:$NW154,4)</f>
        <v/>
      </c>
      <c r="OQ154" s="164">
        <f>COUNTIF($NS154:$NW154,5)</f>
        <v/>
      </c>
      <c r="OR154" s="164">
        <f>COUNTIF($NS154:$NW154,6)</f>
        <v/>
      </c>
      <c r="OS154" s="164">
        <f>COUNTIF($OI154:$OJ154,1)+IF(IFERROR(INDEX('DADOS_FORMAS'!$AS$2:$AS$21,MATCH(SUBSTITUTE(SUBSTITUTE(SUBSTITUTE($MU154,"~","~~"),"*","~*"),"?","~?"),'DADOS_FORMAS'!$AH$2:$AH$21,0)),"")="",0,IFERROR(N(VLOOKUP(SUBSTITUTE(SUBSTITUTE(SUBSTITUTE(IFERROR(INDEX('DADOS_FORMAS'!$AS$2:$AS$21,MATCH(SUBSTITUTE(SUBSTITUTE(SUBSTITUTE($MU154,"~","~~"),"*","~*"),"?","~?"),'DADOS_FORMAS'!$AH$2:$AH$21,0)),""),"~","~~"),"*","~*"),"?","~?"),'DADOS_RESTRICOES'!$M$2:$Q$54,3,FALSE)=1),0))</f>
        <v/>
      </c>
      <c r="OT154" s="164">
        <f>COUNTIF($OI154:$OJ154,2)+IF(IFERROR(INDEX('DADOS_FORMAS'!$AS$2:$AS$21,MATCH(SUBSTITUTE(SUBSTITUTE(SUBSTITUTE($MU154,"~","~~"),"*","~*"),"?","~?"),'DADOS_FORMAS'!$AH$2:$AH$21,0)),"")="",0,IFERROR(N(VLOOKUP(SUBSTITUTE(SUBSTITUTE(SUBSTITUTE(IFERROR(INDEX('DADOS_FORMAS'!$AS$2:$AS$21,MATCH(SUBSTITUTE(SUBSTITUTE(SUBSTITUTE($MU154,"~","~~"),"*","~*"),"?","~?"),'DADOS_FORMAS'!$AH$2:$AH$21,0)),""),"~","~~"),"*","~*"),"?","~?"),'DADOS_RESTRICOES'!$M$2:$Q$54,3,FALSE)=2),0))</f>
        <v/>
      </c>
      <c r="OU154" s="164">
        <f>COUNTIF($MX154:$NA154,"?*")</f>
        <v/>
      </c>
      <c r="OV154" s="164">
        <f>COUNTIF($NB154:$NC154,"?*")+$OF154</f>
        <v/>
      </c>
      <c r="OW154" s="164">
        <f>IF($MS154=0,0,SUMPRODUCT($OM154:$OR154,INDEX($I$2:$N$8,MAX(1,$MS154),0)))</f>
        <v/>
      </c>
      <c r="OX154" s="164">
        <f>IF($MS154=0,0,$OS154*CEILING($MS154/2,1)+$OT154*$MS154)</f>
        <v/>
      </c>
      <c r="OY154" s="164">
        <f>MIN(2*$MS154,$OX154)</f>
        <v/>
      </c>
      <c r="OZ154" s="164">
        <f>MIN($OY154,$OW154-IF($NS154=0,0,INDEX($I$2:$N$8,MAX(1,$MS154),$NS154)))</f>
        <v/>
      </c>
      <c r="PA154" s="164">
        <f>$OY154-$OZ154</f>
        <v/>
      </c>
      <c r="PB154" s="164">
        <f>IF($MS154=0,0,INDEX($P$2:$P$8,MAX(1,$MS154)))</f>
        <v/>
      </c>
      <c r="PC154" s="164">
        <f>$PB154-$OW154+$OZ154</f>
        <v/>
      </c>
      <c r="PD154" s="164">
        <f>IF($MS154=0,MAX(0,$NG154-IF(AND($OU154&gt;0,COUNTIF($NB154:$NC154,"?*")=0),1,0)),MAX(0,$PC154))</f>
        <v/>
      </c>
      <c r="PE154" s="164">
        <f>IF($MS154=0,0,(IF(COUNTIF($RK154:$RN154,"Salto")&gt;0,1,0)+IF(COUNTIF($RK154:$RN154,"Queima")&gt;0,1,0)+IF(COUNTIF($RK154:$RN154,"Estilhaço")&gt;0,1,0))*FLOOR($PD154/2,1))</f>
        <v/>
      </c>
      <c r="PF154" s="164">
        <f>MAX(0,2-SUMPRODUCT($OM154:$OR154,$I$2:$N$2)+MIN(2,$OS154*1+$OT154*1,SUMPRODUCT($OM154:$OR154,$I$2:$N$2)-IF($NS154=0,0,INDEX($I$2:$N$2,1,$NS154))))</f>
        <v/>
      </c>
      <c r="PG154" s="164">
        <f>MAX(0,4-SUMPRODUCT($OM154:$OR154,$I$3:$N$3)+MIN(4,$OS154*1+$OT154*2,SUMPRODUCT($OM154:$OR154,$I$3:$N$3)-IF($NS154=0,0,INDEX($I$3:$N$3,1,$NS154))))</f>
        <v/>
      </c>
      <c r="PH154" s="164">
        <f>MAX(0,6-SUMPRODUCT($OM154:$OR154,$I$4:$N$4)+MIN(6,$OS154*2+$OT154*3,SUMPRODUCT($OM154:$OR154,$I$4:$N$4)-IF($NS154=0,0,INDEX($I$4:$N$4,1,$NS154))))</f>
        <v/>
      </c>
      <c r="PI154" s="164">
        <f>MAX(0,9-SUMPRODUCT($OM154:$OR154,$I$5:$N$5)+MIN(8,$OS154*2+$OT154*4,SUMPRODUCT($OM154:$OR154,$I$5:$N$5)-IF($NS154=0,0,INDEX($I$5:$N$5,1,$NS154))))</f>
        <v/>
      </c>
      <c r="PJ154" s="164">
        <f>MAX(0,11-SUMPRODUCT($OM154:$OR154,$I$6:$N$6)+MIN(10,$OS154*3+$OT154*5,SUMPRODUCT($OM154:$OR154,$I$6:$N$6)-IF($NS154=0,0,INDEX($I$6:$N$6,1,$NS154))))</f>
        <v/>
      </c>
      <c r="PK154" s="164">
        <f>MAX(0,13-SUMPRODUCT($OM154:$OR154,$I$7:$N$7)+MIN(12,$OS154*3+$OT154*6,SUMPRODUCT($OM154:$OR154,$I$7:$N$7)-IF($NS154=0,0,INDEX($I$7:$N$7,1,$NS154))))</f>
        <v/>
      </c>
      <c r="PL154" s="164">
        <f>MAX(0,16-SUMPRODUCT($OM154:$OR154,$I$8:$N$8)+MIN(14,$OS154*4+$OT154*7,SUMPRODUCT($OM154:$OR154,$I$8:$N$8)-IF($NS154=0,0,INDEX($I$8:$N$8,1,$NS154))))</f>
        <v/>
      </c>
      <c r="PM154" s="164">
        <f>IF($OG154=2,3*$PF154&amp;" de vida temp.",IF($OG154=3,"sem dano",IF($PF154=0,IF($OG154=1,"sem cura","sem dano"),IF($OG154=1,"cura ","")&amp;$PF154&amp;"d8")))</f>
        <v/>
      </c>
      <c r="PN154" s="164">
        <f>IF($OG154=2,3*$PG154&amp;" de vida temp.",IF($OG154=3,"sem dano",IF($PG154=0,IF($OG154=1,"sem cura","sem dano"),IF($OG154=1,"cura ","")&amp;$PG154&amp;"d8")))</f>
        <v/>
      </c>
      <c r="PO154" s="164">
        <f>IF($OG154=2,3*$PH154&amp;" de vida temp.",IF($OG154=3,"sem dano",IF($PH154=0,IF($OG154=1,"sem cura","sem dano"),IF($OG154=1,"cura ","")&amp;$PH154&amp;"d8")))</f>
        <v/>
      </c>
      <c r="PP154" s="164">
        <f>IF($OG154=2,3*$PI154&amp;" de vida temp.",IF($OG154=3,"sem dano",IF($PI154=0,IF($OG154=1,"sem cura","sem dano"),IF($OG154=1,"cura ","")&amp;$PI154&amp;"d8")))</f>
        <v/>
      </c>
      <c r="PQ154" s="164">
        <f>IF($OG154=2,3*$PJ154&amp;" de vida temp.",IF($OG154=3,"sem dano",IF($PJ154=0,IF($OG154=1,"sem cura","sem dano"),IF($OG154=1,"cura ","")&amp;$PJ154&amp;"d8")))</f>
        <v/>
      </c>
      <c r="PR154" s="164">
        <f>IF($OG154=2,3*$PK154&amp;" de vida temp.",IF($OG154=3,"sem dano",IF($PK154=0,IF($OG154=1,"sem cura","sem dano"),IF($OG154=1,"cura ","")&amp;$PK154&amp;"d8")))</f>
        <v/>
      </c>
      <c r="PS154" s="164">
        <f>IF($OG154=2,3*$PL154&amp;" de vida temp.",IF($OG154=3,"sem dano",IF($PL154=0,IF($OG154=1,"sem cura","sem dano"),IF($OG154=1,"cura ","")&amp;$PL154&amp;"d8")))</f>
        <v/>
      </c>
      <c r="PT154" s="164">
        <f>IF($ND154=0,"",TEXTJOIN(" · ",TRUE,IF($ND154=0,"",TEXTJOIN(" · ",TRUE,IF($ND154=0,"",TEXTJOIN(" · ",TRUE,IF($MQ154&gt;$NE154,"Este lugar abre no nível "&amp;$MQ154,""),IF($MS154&gt;$NF154,"Classe "&amp;$MS154&amp;": o nível "&amp;$NE154&amp;" libera até a "&amp;$NF154,""),IF($NX154=1,"A Forma "&amp;$MU154&amp;" pede "&amp;INDEX('DADOS_FORMAS'!$GA$2:$GA$21,$NJ154)&amp;" aberta",""),IF(AND($MS154=0,$NJ154&gt;0,IF($NJ154=0,0,INDEX('DADOS_FORMAS'!$GJ$2:$GJ$21,$NJ154))=0),$MU154&amp;" não existe na Classe 0",""),IF($NY154=1,"Família Fechada: "&amp;$MX154,""),IF($NZ154=1,"Família Fechada: "&amp;$MY154,""),IF($OA154=1,"Família Fechada: "&amp;$MZ154,""),IF($OB154=1,"Família Fechada: "&amp;$NA154,""),IF(AND($MS154&gt;0,$OU154&gt;INDEX($O$2:$O$8,MAX(1,$MS154))),$OU154&amp;" Melhorias: a Classe "&amp;$MS154&amp;" aceita "&amp;INDEX($O$2:$O$8,MAX(1,$MS154)),""),IF(AND($MS154=0,$OU154&gt;1),"A básica aceita uma Melhoria",""),IF(AND($MS154=0,COUNTIF($NO154:$NR154,"&gt;1")&gt;0),"A básica só aceita Melhoria Leve",""),IF(AND($MS154&gt;0,$OV154&gt;2),$OV154&amp;" Restrições"&amp;IF($OF154=1,", contando a que a Forma "&amp;$MU154&amp;" já traz","")&amp;": o limite é 2",""),IF(AND($MS154=0,COUNTIF($NB154:$NC154,"?*")&gt;1),"A básica aceita uma Restrição Leve",""),IF(AND($MS154=0,COUNTIF($OI154:$OJ154,2)&gt;0),"A básica só aceita Restrição Leve",""),IF(AND($MS154&gt;0,$PC154&lt;0),"Orçamento estourado: faltam "&amp;(-$PC154)&amp;IF($PC154&lt;-1," pontos"," ponto"),""),IF(IFERROR(VLOOKUP(SUBSTITUTE(SUBSTITUTE(SUBSTITUTE($NB154,"~","~~"),"*","~*"),"?","~?"),'DADOS_RESTRICOES'!$M$2:$Q$54,4,FALSE),0)+IFERROR(VLOOKUP(SUBSTITUTE(SUBSTITUTE(SUBSTITUTE($NC154,"~","~~"),"*","~*"),"?","~?"),'DADOS_RESTRICOES'!$M$2:$Q$54,4,FALSE),0)&gt;1,$OK154&amp;" e "&amp;$OL154&amp;" são as duas de frequência",""),IF(AND((COUNTIF($RK154:$RN154,"Rápido")+COUNTIF($OK154:$OL154,"Rápido"))&gt;0,(COUNTIF($MX154:$NA154,"Atrasar")+COUNTIF($OK154:$OL154,"Atrasar"))&gt;0),"Rápido não entra com Atrasar",""),IF(AND((COUNTIF($RK154:$RN154,"Reação")+COUNTIF($OK154:$OL154,"Reação"))&gt;0,(COUNTIF($RK154:$RN154,"Rápido")+COUNTIF($OK154:$OL154,"Rápido"))&gt;0),"Reação não entra com Rápido",""),IF(AND((COUNTIF($RK154:$RN154,"Reação")+COUNTIF($OK154:$OL154,"Reação"))&gt;0,(COUNTIF($RK154:$RN154,"Armado")+COUNTIF($OK154:$OL154,"Armado"))&gt;0),"Reação não entra com Armado",""),IF(AND((COUNTIF($RK154:$RN154,"Reação")+COUNTIF($OK154:$OL154,"Reação"))&gt;0,(COUNTIF($MX154:$NA154,"Atrasar")+COUNTIF($OK154:$OL154,"Atrasar"))&gt;0),"Reação não entra com Atrasar",""),IF(AND((COUNTIF($RK154:$RN154,"Reação")+COUNTIF($OK154:$OL154,"Reação"))&gt;0,(COUNTIF($MX154:$NA154,"Parado")+COUNTIF($OK154:$OL154,"Parado"))&gt;0),"Reação não entra com Parado",""),IF(AND((COUNTIF($MX154:$NA154,"Atrasar")+COUNTIF($OK154:$OL154,"Atrasar"))&gt;0,(COUNTIF($MX154:$NA154,"Parado")+COUNTIF($OK154:$OL154,"Parado"))&gt;0),"Atrasar não entra com Parado",""),IF(AND((COUNTIF($RK154:$RN154,"Armado")+COUNTIF($OK154:$OL154,"Armado"))&gt;0,(COUNTIF($MX154:$NA154,"Carregar")+COUNTIF($OK154:$OL154,"Carregar"))&gt;0),"Armado não entra com Carregar",""),IF(AND(COUNTIF($OK154:$OL154,"Corpo a Corpo")&gt;0,$OF154=0,OR($RO154="Cone",$RO154="Linha")),"Corpo a Corpo não entra em "&amp;$MU154,""),IF(AND(COUNTIF($OK154:$OL154,"Corpo a Corpo")&gt;0,$RP154="Corpo a Corpo"),"A Forma "&amp;$MU154&amp;" já traz o Corpo a Corpo",""),IF(AND(COUNTIF($OK154:$OL154,"Tudo ou Nada")&gt;0,$OH154=0),"Tudo ou Nada só entra em habilidade de Teste de Resistência",""),IF(AND(COUNTIF($RK154:$RN154,"Inescapável")&gt;0,OR($OU154&gt;1,$OV154&gt;0)),"Inescapável não aceita outra peça",""),IF(AND($MS154&gt;0,$PD154*IF(COUNTIF($RK154:$RN154,"Remate")&gt;0,1.25,1)+$PE154&gt;4*$MS154),($PD154*IF(COUNTIF($RK154:$RN154,"Remate")&gt;0,1.25,1)+$PE154)&amp;" dados somando repetições"&amp;IF(COUNTIF($RK154:$RN154,"Remate")&gt;0," e o Remate","")&amp;": o teto da Classe "&amp;$MS154&amp;" é "&amp;4*$MS154,""))),IF(AND($MX154&lt;&gt;"",COUNTIF('DADOS_MELHORIAS'!$O$2:$O$113,SUBSTITUTE(SUBSTITUTE(SUBSTITUTE($MX154,"~","~~"),"*","~*"),"?","~?"))=0),"Melhoria não cadastrada ou com erro: "&amp;$MX154,""),IF(AND($MY154&lt;&gt;"",COUNTIF('DADOS_MELHORIAS'!$O$2:$O$113,SUBSTITUTE(SUBSTITUTE(SUBSTITUTE($MY154,"~","~~"),"*","~*"),"?","~?"))=0),"Melhoria não cadastrada ou com erro: "&amp;$MY154,""),IF(AND($MZ154&lt;&gt;"",COUNTIF('DADOS_MELHORIAS'!$O$2:$O$113,SUBSTITUTE(SUBSTITUTE(SUBSTITUTE($MZ154,"~","~~"),"*","~*"),"?","~?"))=0),"Melhoria não cadastrada ou com erro: "&amp;$MZ154,""),IF(AND($NA154&lt;&gt;"",COUNTIF('DADOS_MELHORIAS'!$O$2:$O$113,SUBSTITUTE(SUBSTITUTE(SUBSTITUTE($NA154,"~","~~"),"*","~*"),"?","~?"))=0),"Melhoria não cadastrada ou com erro: "&amp;$NA154,""),IF(AND($NB154&lt;&gt;"",COUNTIF('DADOS_RESTRICOES'!$M$2:$M$54,SUBSTITUTE(SUBSTITUTE(SUBSTITUTE($NB154,"~","~~"),"*","~*"),"?","~?"))=0),"Restrição não cadastrada ou com erro: "&amp;$NB154,""),IF(AND($NC154&lt;&gt;"",COUNTIF('DADOS_RESTRICOES'!$M$2:$M$54,SUBSTITUTE(SUBSTITUTE(SUBSTITUTE($NC154,"~","~~"),"*","~*"),"?","~?"))=0),"Restrição não cadastrada ou com erro: "&amp;$NC154,""))),IF(AND($MU154&lt;&gt;"",COUNTIF('DADOS_FORMAS'!$AH$2:$AH$21,SUBSTITUTE(SUBSTITUTE(SUBSTITUTE($MU154,"~","~~"),"*","~*"),"?","~?"))=0),"Forma não cadastrada ou com erro: "&amp;$MU154,""),IF(AND(IFERROR(INDEX('DADOS_FORMAS'!$AS$2:$AS$21,MATCH(SUBSTITUTE(SUBSTITUTE(SUBSTITUTE($MU154,"~","~~"),"*","~*"),"?","~?"),'DADOS_FORMAS'!$AH$2:$AH$21,0)),"")&lt;&gt;"",OR(IFERROR(VLOOKUP(SUBSTITUTE(SUBSTITUTE(SUBSTITUTE(IFERROR(INDEX('DADOS_FORMAS'!$AS$2:$AS$21,MATCH(SUBSTITUTE(SUBSTITUTE(SUBSTITUTE($MU154,"~","~~"),"*","~*"),"?","~?"),'DADOS_FORMAS'!$AH$2:$AH$21,0)),""),"~","~~"),"*","~*"),"?","~?"),'DADOS_RESTRICOES'!$M$2:$Q$54,2,FALSE),"")=$OK154,IFERROR(VLOOKUP(SUBSTITUTE(SUBSTITUTE(SUBSTITUTE(IFERROR(INDEX('DADOS_FORMAS'!$AS$2:$AS$21,MATCH(SUBSTITUTE(SUBSTITUTE(SUBSTITUTE($MU154,"~","~~"),"*","~*"),"?","~?"),'DADOS_FORMAS'!$AH$2:$AH$21,0)),""),"~","~~"),"*","~*"),"?","~?"),'DADOS_RESTRICOES'!$M$2:$Q$54,2,FALSE),"")=$OL154)),"Restrição repetida, contando a embutida",""),IF(IF(IFERROR(INDEX('DADOS_FORMAS'!$AS$2:$AS$21,MATCH(SUBSTITUTE(SUBSTITUTE(SUBSTITUTE($MU154,"~","~~"),"*","~*"),"?","~?"),'DADOS_FORMAS'!$AH$2:$AH$21,0)),"")="",0,IFERROR(N(VLOOKUP(SUBSTITUTE(SUBSTITUTE(SUBSTITUTE(IFERROR(INDEX('DADOS_FORMAS'!$AS$2:$AS$21,MATCH(SUBSTITUTE(SUBSTITUTE(SUBSTITUTE($MU154,"~","~~"),"*","~*"),"?","~?"),'DADOS_FORMAS'!$AH$2:$AH$21,0)),""),"~","~~"),"*","~*"),"?","~?"),'DADOS_RESTRICOES'!$M$2:$Q$54,4,FALSE)=1),0))+IF($NB154="",0,IFERROR(N(VLOOKUP(SUBSTITUTE(SUBSTITUTE(SUBSTITUTE($NB154,"~","~~"),"*","~*"),"?","~?"),'DADOS_RESTRICOES'!$M$2:$Q$54,4,FALSE)=1),0))+IF($NC154="",0,IFERROR(N(VLOOKUP(SUBSTITUTE(SUBSTITUTE(SUBSTITUTE($NC154,"~","~~"),"*","~*"),"?","~?"),'DADOS_RESTRICOES'!$M$2:$Q$54,4,FALSE)=1),0))&gt;1,"Duas Restrições de frequência, contando a embutida",""),IF(AND(IFERROR(VLOOKUP(SUBSTITUTE(SUBSTITUTE(SUBSTITUTE(IFERROR(INDEX('DADOS_FORMAS'!$AS$2:$AS$21,MATCH(SUBSTITUTE(SUBSTITUTE(SUBSTITUTE($MU154,"~","~~"),"*","~*"),"?","~?"),'DADOS_FORMAS'!$AH$2:$AH$21,0)),""),"~","~~"),"*","~*"),"?","~?"),'DADOS_RESTRICOES'!$M$2:$Q$54,2,FALSE),"")="Tudo ou Nada",$OH154=0),"Tudo ou Nada exige TR",""),IF(AND(IFERROR(VLOOKUP(SUBSTITUTE(SUBSTITUTE(SUBSTITUTE(IFERROR(INDEX('DADOS_FORMAS'!$AS$2:$AS$21,MATCH(SUBSTITUTE(SUBSTITUTE(SUBSTITUTE($MU154,"~","~~"),"*","~*"),"?","~?"),'DADOS_FORMAS'!$AH$2:$AH$21,0)),""),"~","~~"),"*","~*"),"?","~?"),'DADOS_RESTRICOES'!$M$2:$Q$54,2,FALSE),"")="Corpo a Corpo",OR($RO154="Cone",$RO154="Linha")),"Corpo a Corpo não entra em Cone/Linha","")))</f>
        <v/>
      </c>
      <c r="PU154" s="164">
        <f>IF($PT154="",0,(LEN($PT154)-LEN(SUBSTITUTE($PT154," · ","")))/3+1)</f>
        <v/>
      </c>
      <c r="PV154" s="164">
        <f>IF($ND154=0,"",TEXTJOIN(" · ",TRUE,IF($OX154&gt;2*$MS154,"A devolução parou no teto de "&amp;2*$MS154,""),IF($PA154&gt;0,"Devolução perdida: "&amp;$PA154&amp;IF($PA154&gt;1," pontos"," ponto")&amp;" sem Melhoria para pagar",""),IF(AND($OC154&gt;0,AND($MS154&gt;0,$OG154=0),$PD154=0),"Controle sem dano: uma rodada a mais e CD +2",""),IF(AND($OC154&gt;0,AND($MS154&gt;0,$OG154=0),$PD154&gt;0,$PD154&lt;=$MS154),"Controle com saldo até a Classe: uma rodada a mais",""),IF(AND($MS154&gt;0,$OE154&lt;&gt;""),"Efeito de "&amp;$OE154&amp;" pela Classe "&amp;MAX(1,$MS154-1),"")))</f>
        <v/>
      </c>
      <c r="PW154" s="164">
        <f>IF($PV154="",0,(LEN($PV154)-LEN(SUBSTITUTE($PV154," · ","")))/3+1)</f>
        <v/>
      </c>
      <c r="PX154" s="164">
        <f>IF($ND154=0,IF($OU154+COUNTIF($NB154:$NC154,"?*")&gt;0,"Dê um nome",""),IF($PU154&gt;0,"⚠ "&amp;$PU154&amp;IF($PU154&gt;1," erros"," erro"),IF($PW154&gt;0,"! "&amp;$PW154&amp;IF($PW154&gt;1," avisos"," aviso"),"Na regra")))</f>
        <v/>
      </c>
      <c r="PY154" s="164">
        <f>IF($ND154=0,"",IF($PU154+$PW154=0,"Dentro das regras que a ficha confere",$PT154&amp;IF(AND($PU154&gt;0,$PW154&gt;0)," · ","")&amp;$PV154))</f>
        <v/>
      </c>
      <c r="PZ154" s="164">
        <f>IF($MQ154&gt;$NE154,$MR154&amp;" · ABRE NO NÍVEL "&amp;$MQ154,$MR154)</f>
        <v/>
      </c>
      <c r="QA154" s="164">
        <f>IF($ND154=0,"",IF($MS154=0,"Sem PE",3*$MS154&amp;" PE"))</f>
        <v/>
      </c>
      <c r="QB154" s="164">
        <f>IF($ND154=0,"",IF($MS154=0,"A atuação básica dela",IF(COUNTIF($RQ154:$RS154,"Atrasar")&gt;0,"Sua Ação Completa",IF(COUNTIF($RK154:$RN154,"Rápido")&gt;0,"Sua Bônus",IF(COUNTIF($RK154:$RN154,"Reação")&gt;0,"Sua Reação","Sua Padrão")))&amp;" + a básica dela"&amp;IF(COUNTIF($RK154:$RN154,"Reação")&gt;0," e a coletiva","")&amp;IF(COUNTIF($RQ154:$RS154,"Carregar")&gt;0," · em dois turnos","")))</f>
        <v/>
      </c>
      <c r="QC154" s="164">
        <f>IF($MW154&lt;&gt;"",$MW154,IF($NJ154=0,"",INDEX('DADOS_FORMAS'!$GE$2:$GE$21,$NJ154)))</f>
        <v/>
      </c>
      <c r="QD154" s="164">
        <f>IF(OR($ND154=0,$NJ154=0),"",IF(COUNTIF($RK154:$RN154,"Inescapável")&gt;0,"Automático",IF($QC154="Ataque",IF($NH154="","Ataque","Ataque "&amp;IF(($NH154+2*IF(COUNTIF($RK154:$RN154,"Precisão")&gt;0,1,0))&gt;=0,"+","−")&amp;ABS(($NH154+2*IF(COUNTIF($RK154:$RN154,"Precisão")&gt;0,1,0))))&amp;IF($OD154&gt;0," · TR"&amp;IF($NI154="",""," CD "&amp;$NI154),""),IF(LEFT($QC154,2)="TR",$QC154&amp;IF($NI154="",""," · CD "&amp;$NI154)&amp;IF(COUNTIF($RK154:$RN154,"Certeiro")&gt;0," · metade",""),"Sem rolagem"))))</f>
        <v/>
      </c>
      <c r="QE154" s="164">
        <f>IF(OR($ND154=0,$NJ154=0),"",IF($MS154=0,IF(OR($OG154&gt;=1,$PD154=0),"Sem dano",$PD154&amp;"d6"&amp;IF($MV154="",""," "&amp;$MV154)),IF(OR($OG154&gt;=1,$PD154=0),UPPER(LEFT(INDEX($PM154:$PS154,1,MAX(1,$MS154)),1))&amp;MID(INDEX($PM154:$PS154,1,MAX(1,$MS154)),2,99),UPPER(LEFT(INDEX($PM154:$PS154,1,MAX(1,$MS154)),1))&amp;MID(INDEX($PM154:$PS154,1,MAX(1,$MS154)),2,99)&amp;IF($MV154="",""," "&amp;$MV154)&amp;IF($PE154&gt;0," · +"&amp;$PE154&amp;"d8",""))))</f>
        <v/>
      </c>
      <c r="QF154" s="164">
        <f>COUNTIF($RK154:$RN154,"Longe")+3*COUNTIF($RK154:$RN154,"Muito Longe")</f>
        <v/>
      </c>
      <c r="QG154" s="164">
        <f>COUNTIF($RK154:$RN154,"Maior")+3*COUNTIF($RK154:$RN154,"Muito Maior")</f>
        <v/>
      </c>
      <c r="QH154" s="164">
        <f>IF($NJ154=0,0,CHOOSE(1+INDEX('DADOS_FORMAS'!$GG$2:$GG$21,$NJ154),0,$QF154,$QG154,$QF154+$QG154))</f>
        <v/>
      </c>
      <c r="QI154" s="164">
        <f>IF($NJ154=0,0,CHOOSE(1+INDEX('DADOS_FORMAS'!$GH$2:$GH$21,$NJ154),0,$QF154,$QG154,$QF154+$QG154))</f>
        <v/>
      </c>
      <c r="QJ154" s="164">
        <f>IF(OR($ND154=0,$NJ154=0),"",INDEX('DADOS_FORMAS'!$HU$2:$HZ$81,($NJ154-1)*4+IF($MS154=0,1,IF($MS154&lt;=5,2,IF($MS154=6,3,4))),1+MIN(5,$QH154))&amp;INDEX('DADOS_FORMAS'!$IA$2:$IF$81,($NJ154-1)*4+IF($MS154=0,1,IF($MS154&lt;=5,2,IF($MS154=6,3,4))),1+MIN(5,$QI154))&amp;IF(INDEX('DADOS_FORMAS'!$GI$2:$GI$21,$NJ154)=1,IF(COUNTIF($RK154:$RN154,"Mais Um")&gt;0," · +"&amp;COUNTIF($RK154:$RN154,"Mais Um")&amp;IF(COUNTIF($RK154:$RN154,"Mais Um")&gt;1," alvos"," alvo"),"")&amp;IF(COUNTIF($RK154:$RN154,"Rajada")&gt;0,IF($MS154=0," · 1 tiro"," · "&amp;(MAX(1,$MS154-1)+1)&amp;" tiros"),""),""))</f>
        <v/>
      </c>
      <c r="QK154" s="164">
        <f>IF($ND154=0,"",IF($MS154=0,$NG154&amp;"d6"&amp;IF($OU154&gt;0," − 1 = "&amp;$PD154&amp;"d6"," da básica do nível "&amp;$NE154),$PB154&amp;" − "&amp;$OW154&amp;" + "&amp;$OZ154&amp;" = "&amp;$PC154&amp;" · teto "&amp;4*$MS154&amp;"d8"&amp;IF($OF154=1," · a Forma devolve "&amp;$MS154,"")&amp;IF($PA154&gt;0," · perde "&amp;$PA154,"")))</f>
        <v/>
      </c>
      <c r="QL154" s="164">
        <f>IF($ND154=0,"",IF($MS154=0,"A básica não amplia: os dados dela sobem com o nível",IF($MS154&gt;=$NF154,"Já está na maior Classe que o nível liberou",TEXTJOIN(" · ",TRUE,IF(AND(2&gt;$MS154,2&lt;=$NF154),"2 → "&amp;$PN154&amp;", 6 PE",""),IF(AND(3&gt;$MS154,3&lt;=$NF154),"3 → "&amp;$PO154&amp;", 9 PE",""),IF(AND(4&gt;$MS154,4&lt;=$NF154),"4 → "&amp;$PP154&amp;", 12 PE",""),IF(AND(5&gt;$MS154,5&lt;=$NF154),"5 → "&amp;$PQ154&amp;", 15 PE",""),IF(AND(6&gt;$MS154,6&lt;=$NF154),"6 → "&amp;$PR154&amp;", 18 PE",""),IF(AND(7&gt;$MS154,7&lt;=$NF154),"7 → "&amp;$PS154&amp;", 21 PE","")))))</f>
        <v/>
      </c>
      <c r="QM154" s="164">
        <f>IF(OR($ND154=0,$NO154=0),"",IF($MS154=0,"−1 dado","−"&amp;INDEX($I$2:$N$8,MAX(1,$MS154),MAX(1,$NT154))&amp;" · "&amp;CHOOSE(MAX(1,$NT154),"Leve","Média","Pesada","Leve · Livre","Média · Livre","Pesada · Livre")))</f>
        <v/>
      </c>
      <c r="QN154" s="164">
        <f>IF(OR($ND154=0,$NP154=0),"",IF($MS154=0,"−1 dado","−"&amp;INDEX($I$2:$N$8,MAX(1,$MS154),MAX(1,$NU154))&amp;" · "&amp;CHOOSE(MAX(1,$NU154),"Leve","Média","Pesada","Leve · Livre","Média · Livre","Pesada · Livre")))</f>
        <v/>
      </c>
      <c r="QO154" s="164">
        <f>IF(OR($ND154=0,$NQ154=0),"",IF($MS154=0,"−1 dado","−"&amp;INDEX($I$2:$N$8,MAX(1,$MS154),MAX(1,$NV154))&amp;" · "&amp;CHOOSE(MAX(1,$NV154),"Leve","Média","Pesada","Leve · Livre","Média · Livre","Pesada · Livre")))</f>
        <v/>
      </c>
      <c r="QP154" s="164">
        <f>IF(OR($ND154=0,$NR154=0),"",IF($MS154=0,"−1 dado","−"&amp;INDEX($I$2:$N$8,MAX(1,$MS154),MAX(1,$NW154))&amp;" · "&amp;CHOOSE(MAX(1,$NW154),"Leve","Média","Pesada","Leve · Livre","Média · Livre","Pesada · Livre")))</f>
        <v/>
      </c>
      <c r="QQ154" s="164">
        <f>IF(OR($ND154=0,$NB154=""),"",IF($MS154=0,"não devolve","+"&amp;IF($OI154=1,CEILING($MS154/2,1),$MS154)))</f>
        <v/>
      </c>
      <c r="QR154" s="164">
        <f>IF(OR($ND154=0,$NC154=""),"",IF($MS154=0,"não devolve","+"&amp;IF($OJ154=1,CEILING($MS154/2,1),$MS154)))</f>
        <v/>
      </c>
      <c r="RK154">
        <f>IF($MX154="","",IFERROR(VLOOKUP(SUBSTITUTE(SUBSTITUTE(SUBSTITUTE($MX154,"~","~~"),"*","~*"),"?","~?"),'DADOS_MELHORIAS'!$O$2:$X$113,10,FALSE),$MX154))</f>
        <v/>
      </c>
      <c r="RL154">
        <f>IF($MY154="","",IFERROR(VLOOKUP(SUBSTITUTE(SUBSTITUTE(SUBSTITUTE($MY154,"~","~~"),"*","~*"),"?","~?"),'DADOS_MELHORIAS'!$O$2:$X$113,10,FALSE),$MY154))</f>
        <v/>
      </c>
      <c r="RM154">
        <f>IF($MZ154="","",IFERROR(VLOOKUP(SUBSTITUTE(SUBSTITUTE(SUBSTITUTE($MZ154,"~","~~"),"*","~*"),"?","~?"),'DADOS_MELHORIAS'!$O$2:$X$113,10,FALSE),$MZ154))</f>
        <v/>
      </c>
      <c r="RN154">
        <f>IF($NA154="","",IFERROR(VLOOKUP(SUBSTITUTE(SUBSTITUTE(SUBSTITUTE($NA154,"~","~~"),"*","~*"),"?","~?"),'DADOS_MELHORIAS'!$O$2:$X$113,10,FALSE),$NA154))</f>
        <v/>
      </c>
      <c r="RO154">
        <f>IFERROR(INDEX('DADOS_FORMAS'!$BJ$2:$BJ$21,MATCH(SUBSTITUTE(SUBSTITUTE(SUBSTITUTE($MU154,"~","~~"),"*","~*"),"?","~?"),'DADOS_FORMAS'!$AH$2:$AH$21,0)),"")</f>
        <v/>
      </c>
      <c r="RP154">
        <f>IFERROR(VLOOKUP(SUBSTITUTE(SUBSTITUTE(SUBSTITUTE(IFERROR(INDEX('DADOS_FORMAS'!$AS$2:$AS$21,MATCH(SUBSTITUTE(SUBSTITUTE(SUBSTITUTE($MU154,"~","~~"),"*","~*"),"?","~?"),'DADOS_FORMAS'!$AH$2:$AH$21,0)),""),"~","~~"),"*","~*"),"?","~?"),'DADOS_RESTRICOES'!$M$2:$Q$54,2,FALSE),"")</f>
        <v/>
      </c>
      <c r="RQ154">
        <f>$OK154</f>
        <v/>
      </c>
      <c r="RR154">
        <f>$OL154</f>
        <v/>
      </c>
      <c r="RS154">
        <f>$RP154</f>
        <v/>
      </c>
    </row>
    <row r="155">
      <c r="MN155" s="162" t="inlineStr">
        <is>
          <t>Ficha 12 · Escolha da trilha 1</t>
        </is>
      </c>
      <c r="MO155" s="164" t="n">
        <v>12</v>
      </c>
      <c r="MP155" s="164" t="n">
        <v>2</v>
      </c>
      <c r="MQ155" s="164" t="n">
        <v>0</v>
      </c>
      <c r="MR155" s="162" t="inlineStr">
        <is>
          <t>ESCOLHA DA TRILHA 1</t>
        </is>
      </c>
      <c r="MS155" s="164">
        <f>MAX(0,MIN(7,N('INVOCAÇÕES'!$AB$1228)))</f>
        <v/>
      </c>
      <c r="MT155" s="164">
        <f>'INVOCAÇÕES'!$AC$1228&amp;""</f>
        <v/>
      </c>
      <c r="MU155" s="164">
        <f>'INVOCAÇÕES'!$AB$1233&amp;""</f>
        <v/>
      </c>
      <c r="MV155" s="164">
        <f>'INVOCAÇÕES'!$AB$1234&amp;""</f>
        <v/>
      </c>
      <c r="MW155" s="164">
        <f>'INVOCAÇÕES'!$AD$1234&amp;""</f>
        <v/>
      </c>
      <c r="MX155" s="164">
        <f>'INVOCAÇÕES'!$AC$1237&amp;""</f>
        <v/>
      </c>
      <c r="MY155" s="164">
        <f>'INVOCAÇÕES'!$AC$1238&amp;""</f>
        <v/>
      </c>
      <c r="MZ155" s="164">
        <f>'INVOCAÇÕES'!$AC$1239&amp;""</f>
        <v/>
      </c>
      <c r="NA155" s="164">
        <f>'INVOCAÇÕES'!$AC$1240&amp;""</f>
        <v/>
      </c>
      <c r="NB155" s="164">
        <f>'INVOCAÇÕES'!$AC$1241&amp;""</f>
        <v/>
      </c>
      <c r="NC155" s="164">
        <f>'INVOCAÇÕES'!$AC$1242&amp;""</f>
        <v/>
      </c>
      <c r="ND155" s="164">
        <f>IF($MT155&lt;&gt;"",1,0)</f>
        <v/>
      </c>
      <c r="NE155" s="164">
        <f>INDEX($FO$2:$FO$13,$MO155)</f>
        <v/>
      </c>
      <c r="NF155" s="164">
        <f>INDEX($FP$2:$FP$13,$MO155)</f>
        <v/>
      </c>
      <c r="NG155" s="164">
        <f>INDEX($FQ$2:$FQ$13,$MO155)</f>
        <v/>
      </c>
      <c r="NH155" s="164">
        <f>INDEX($GB$2:$GB$13,$MO155)</f>
        <v/>
      </c>
      <c r="NI155" s="164">
        <f>INDEX($GC$2:$GC$13,$MO155)</f>
        <v/>
      </c>
      <c r="NJ155" s="164">
        <f>IFERROR(MATCH(SUBSTITUTE(SUBSTITUTE(SUBSTITUTE($MU155,"~","~~"),"*","~*"),"?","~?"),'DADOS_FORMAS'!$FZ$2:$FZ$21,0),0)</f>
        <v/>
      </c>
      <c r="NK155" s="164">
        <f>IFERROR(VLOOKUP(SUBSTITUTE(SUBSTITUTE(SUBSTITUTE($MX155,"~","~~"),"*","~*"),"?","~?"),'DADOS_MELHORIAS'!$AG$2:$AL$113,2,FALSE),"")</f>
        <v/>
      </c>
      <c r="NL155" s="164">
        <f>IFERROR(VLOOKUP(SUBSTITUTE(SUBSTITUTE(SUBSTITUTE($MY155,"~","~~"),"*","~*"),"?","~?"),'DADOS_MELHORIAS'!$AG$2:$AL$113,2,FALSE),"")</f>
        <v/>
      </c>
      <c r="NM155" s="164">
        <f>IFERROR(VLOOKUP(SUBSTITUTE(SUBSTITUTE(SUBSTITUTE($MZ155,"~","~~"),"*","~*"),"?","~?"),'DADOS_MELHORIAS'!$AG$2:$AL$113,2,FALSE),"")</f>
        <v/>
      </c>
      <c r="NN155" s="164">
        <f>IFERROR(VLOOKUP(SUBSTITUTE(SUBSTITUTE(SUBSTITUTE($NA155,"~","~~"),"*","~*"),"?","~?"),'DADOS_MELHORIAS'!$AG$2:$AL$113,2,FALSE),"")</f>
        <v/>
      </c>
      <c r="NO155" s="164">
        <f>IFERROR(VLOOKUP(SUBSTITUTE(SUBSTITUTE(SUBSTITUTE($MX155,"~","~~"),"*","~*"),"?","~?"),'DADOS_MELHORIAS'!$AG$2:$AL$113,3,FALSE),0)</f>
        <v/>
      </c>
      <c r="NP155" s="164">
        <f>IFERROR(VLOOKUP(SUBSTITUTE(SUBSTITUTE(SUBSTITUTE($MY155,"~","~~"),"*","~*"),"?","~?"),'DADOS_MELHORIAS'!$AG$2:$AL$113,3,FALSE),0)</f>
        <v/>
      </c>
      <c r="NQ155" s="164">
        <f>IFERROR(VLOOKUP(SUBSTITUTE(SUBSTITUTE(SUBSTITUTE($MZ155,"~","~~"),"*","~*"),"?","~?"),'DADOS_MELHORIAS'!$AG$2:$AL$113,3,FALSE),0)</f>
        <v/>
      </c>
      <c r="NR155" s="164">
        <f>IFERROR(VLOOKUP(SUBSTITUTE(SUBSTITUTE(SUBSTITUTE($NA155,"~","~~"),"*","~*"),"?","~?"),'DADOS_MELHORIAS'!$AG$2:$AL$113,3,FALSE),0)</f>
        <v/>
      </c>
      <c r="NS155" s="164">
        <f>IF($MS155=0,0,IF($NJ155=0,0,INDEX('DADOS_FORMAS'!$GB$2:$GB$21,$NJ155)))</f>
        <v/>
      </c>
      <c r="NT155" s="164">
        <f>IF(OR($NO155=0,$MS155=0),0,$NO155+3*IF(AND($NK155&lt;&gt;"",COUNTIF(INDEX($RB$2:$RJ$13,$MO155,0),$NK155)&gt;0),1,0))</f>
        <v/>
      </c>
      <c r="NU155" s="164">
        <f>IF(OR($NP155=0,$MS155=0),0,$NP155+3*IF(AND($NL155&lt;&gt;"",COUNTIF(INDEX($RB$2:$RJ$13,$MO155,0),$NL155)&gt;0),1,0))</f>
        <v/>
      </c>
      <c r="NV155" s="164">
        <f>IF(OR($NQ155=0,$MS155=0),0,$NQ155+3*IF(AND($NM155&lt;&gt;"",COUNTIF(INDEX($RB$2:$RJ$13,$MO155,0),$NM155)&gt;0),1,0))</f>
        <v/>
      </c>
      <c r="NW155" s="164">
        <f>IF(OR($NR155=0,$MS155=0),0,$NR155+3*IF(AND($NN155&lt;&gt;"",COUNTIF(INDEX($RB$2:$RJ$13,$MO155,0),$NN155)&gt;0),1,0))</f>
        <v/>
      </c>
      <c r="NX155" s="164">
        <f>IF($NJ155=0,0,IF(INDEX('DADOS_FORMAS'!$GA$2:$GA$21,$NJ155)="",0,IF((COUNTIF(INDEX($EL$2:$EP$13,$MO155,0),INDEX('DADOS_FORMAS'!$GA$2:$GA$21,$NJ155))+COUNTIF(INDEX($QV$2:$QY$13,$MO155,0),INDEX('DADOS_FORMAS'!$GA$2:$GA$21,$NJ155)))=0,1,0)))</f>
        <v/>
      </c>
      <c r="NY155" s="164">
        <f>IF(OR($NO155=0,$NK155=""),0,IF((COUNTIF(INDEX($EL$2:$EP$13,$MO155,0),$NK155)+COUNTIF(INDEX($QV$2:$QY$13,$MO155,0),$NK155))=0,1,0))</f>
        <v/>
      </c>
      <c r="NZ155" s="164">
        <f>IF(OR($NP155=0,$NL155=""),0,IF((COUNTIF(INDEX($EL$2:$EP$13,$MO155,0),$NL155)+COUNTIF(INDEX($QV$2:$QY$13,$MO155,0),$NL155))=0,1,0))</f>
        <v/>
      </c>
      <c r="OA155" s="164">
        <f>IF(OR($NQ155=0,$NM155=""),0,IF((COUNTIF(INDEX($EL$2:$EP$13,$MO155,0),$NM155)+COUNTIF(INDEX($QV$2:$QY$13,$MO155,0),$NM155))=0,1,0))</f>
        <v/>
      </c>
      <c r="OB155" s="164">
        <f>IF(OR($NR155=0,$NN155=""),0,IF((COUNTIF(INDEX($EL$2:$EP$13,$MO155,0),$NN155)+COUNTIF(INDEX($QV$2:$QY$13,$MO155,0),$NN155))=0,1,0))</f>
        <v/>
      </c>
      <c r="OC155" s="164">
        <f>IFERROR(VLOOKUP(SUBSTITUTE(SUBSTITUTE(SUBSTITUTE($MX155,"~","~~"),"*","~*"),"?","~?"),'DADOS_MELHORIAS'!$AG$2:$AL$113,4,FALSE),0)+IFERROR(VLOOKUP(SUBSTITUTE(SUBSTITUTE(SUBSTITUTE($MY155,"~","~~"),"*","~*"),"?","~?"),'DADOS_MELHORIAS'!$AG$2:$AL$113,4,FALSE),0)+IFERROR(VLOOKUP(SUBSTITUTE(SUBSTITUTE(SUBSTITUTE($MZ155,"~","~~"),"*","~*"),"?","~?"),'DADOS_MELHORIAS'!$AG$2:$AL$113,4,FALSE),0)+IFERROR(VLOOKUP(SUBSTITUTE(SUBSTITUTE(SUBSTITUTE($NA155,"~","~~"),"*","~*"),"?","~?"),'DADOS_MELHORIAS'!$AG$2:$AL$113,4,FALSE),0)</f>
        <v/>
      </c>
      <c r="OD155" s="164">
        <f>IFERROR(VLOOKUP(SUBSTITUTE(SUBSTITUTE(SUBSTITUTE($MX155,"~","~~"),"*","~*"),"?","~?"),'DADOS_MELHORIAS'!$AG$2:$AL$113,6,FALSE),0)+IFERROR(VLOOKUP(SUBSTITUTE(SUBSTITUTE(SUBSTITUTE($MY155,"~","~~"),"*","~*"),"?","~?"),'DADOS_MELHORIAS'!$AG$2:$AL$113,6,FALSE),0)+IFERROR(VLOOKUP(SUBSTITUTE(SUBSTITUTE(SUBSTITUTE($MZ155,"~","~~"),"*","~*"),"?","~?"),'DADOS_MELHORIAS'!$AG$2:$AL$113,6,FALSE),0)+IFERROR(VLOOKUP(SUBSTITUTE(SUBSTITUTE(SUBSTITUTE($NA155,"~","~~"),"*","~*"),"?","~?"),'DADOS_MELHORIAS'!$AG$2:$AL$113,6,FALSE),0)+IFERROR(N(AND(INDEX('DADOS_FORMAS'!$AO$2:$AO$21,MATCH(SUBSTITUTE(SUBSTITUTE(SUBSTITUTE($MU155,"~","~~"),"*","~*"),"?","~?"),'DADOS_FORMAS'!$AH$2:$AH$21,0))="Acerto",$OH155=1)),0)</f>
        <v/>
      </c>
      <c r="OE155" s="164">
        <f>TEXTJOIN(", ",TRUE,IF(IFERROR(VLOOKUP(SUBSTITUTE(SUBSTITUTE(SUBSTITUTE($MX155,"~","~~"),"*","~*"),"?","~?"),'DADOS_MELHORIAS'!$AG$2:$AL$113,5,FALSE),0)=1,$MX155,""),IF(IFERROR(VLOOKUP(SUBSTITUTE(SUBSTITUTE(SUBSTITUTE($MY155,"~","~~"),"*","~*"),"?","~?"),'DADOS_MELHORIAS'!$AG$2:$AL$113,5,FALSE),0)=1,$MY155,""),IF(IFERROR(VLOOKUP(SUBSTITUTE(SUBSTITUTE(SUBSTITUTE($MZ155,"~","~~"),"*","~*"),"?","~?"),'DADOS_MELHORIAS'!$AG$2:$AL$113,5,FALSE),0)=1,$MZ155,""),IF(IFERROR(VLOOKUP(SUBSTITUTE(SUBSTITUTE(SUBSTITUTE($NA155,"~","~~"),"*","~*"),"?","~?"),'DADOS_MELHORIAS'!$AG$2:$AL$113,5,FALSE),0)=1,$NA155,""))</f>
        <v/>
      </c>
      <c r="OF155" s="164">
        <f>IF($NJ155=0,0,INDEX('DADOS_FORMAS'!$GC$2:$GC$21,$NJ155))</f>
        <v/>
      </c>
      <c r="OG155" s="164">
        <f>IF($NJ155=0,0,INDEX('DADOS_FORMAS'!$GD$2:$GD$21,$NJ155))</f>
        <v/>
      </c>
      <c r="OH155" s="164">
        <f>IF($NJ155=0,0,INDEX('DADOS_FORMAS'!$GF$2:$GF$21,$NJ155))</f>
        <v/>
      </c>
      <c r="OI155" s="164">
        <f>IFERROR(VLOOKUP(SUBSTITUTE(SUBSTITUTE(SUBSTITUTE($NB155,"~","~~"),"*","~*"),"?","~?"),'DADOS_RESTRICOES'!$M$2:$Q$54,3,FALSE),0)</f>
        <v/>
      </c>
      <c r="OJ155" s="164">
        <f>IFERROR(VLOOKUP(SUBSTITUTE(SUBSTITUTE(SUBSTITUTE($NC155,"~","~~"),"*","~*"),"?","~?"),'DADOS_RESTRICOES'!$M$2:$Q$54,3,FALSE),0)</f>
        <v/>
      </c>
      <c r="OK155" s="164">
        <f>IFERROR(VLOOKUP(SUBSTITUTE(SUBSTITUTE(SUBSTITUTE($NB155,"~","~~"),"*","~*"),"?","~?"),'DADOS_RESTRICOES'!$M$2:$Q$54,2,FALSE),"")</f>
        <v/>
      </c>
      <c r="OL155" s="164">
        <f>IFERROR(VLOOKUP(SUBSTITUTE(SUBSTITUTE(SUBSTITUTE($NC155,"~","~~"),"*","~*"),"?","~?"),'DADOS_RESTRICOES'!$M$2:$Q$54,2,FALSE),"")</f>
        <v/>
      </c>
      <c r="OM155" s="164">
        <f>COUNTIF($NS155:$NW155,1)</f>
        <v/>
      </c>
      <c r="ON155" s="164">
        <f>COUNTIF($NS155:$NW155,2)</f>
        <v/>
      </c>
      <c r="OO155" s="164">
        <f>COUNTIF($NS155:$NW155,3)</f>
        <v/>
      </c>
      <c r="OP155" s="164">
        <f>COUNTIF($NS155:$NW155,4)</f>
        <v/>
      </c>
      <c r="OQ155" s="164">
        <f>COUNTIF($NS155:$NW155,5)</f>
        <v/>
      </c>
      <c r="OR155" s="164">
        <f>COUNTIF($NS155:$NW155,6)</f>
        <v/>
      </c>
      <c r="OS155" s="164">
        <f>COUNTIF($OI155:$OJ155,1)+IF(IFERROR(INDEX('DADOS_FORMAS'!$AS$2:$AS$21,MATCH(SUBSTITUTE(SUBSTITUTE(SUBSTITUTE($MU155,"~","~~"),"*","~*"),"?","~?"),'DADOS_FORMAS'!$AH$2:$AH$21,0)),"")="",0,IFERROR(N(VLOOKUP(SUBSTITUTE(SUBSTITUTE(SUBSTITUTE(IFERROR(INDEX('DADOS_FORMAS'!$AS$2:$AS$21,MATCH(SUBSTITUTE(SUBSTITUTE(SUBSTITUTE($MU155,"~","~~"),"*","~*"),"?","~?"),'DADOS_FORMAS'!$AH$2:$AH$21,0)),""),"~","~~"),"*","~*"),"?","~?"),'DADOS_RESTRICOES'!$M$2:$Q$54,3,FALSE)=1),0))</f>
        <v/>
      </c>
      <c r="OT155" s="164">
        <f>COUNTIF($OI155:$OJ155,2)+IF(IFERROR(INDEX('DADOS_FORMAS'!$AS$2:$AS$21,MATCH(SUBSTITUTE(SUBSTITUTE(SUBSTITUTE($MU155,"~","~~"),"*","~*"),"?","~?"),'DADOS_FORMAS'!$AH$2:$AH$21,0)),"")="",0,IFERROR(N(VLOOKUP(SUBSTITUTE(SUBSTITUTE(SUBSTITUTE(IFERROR(INDEX('DADOS_FORMAS'!$AS$2:$AS$21,MATCH(SUBSTITUTE(SUBSTITUTE(SUBSTITUTE($MU155,"~","~~"),"*","~*"),"?","~?"),'DADOS_FORMAS'!$AH$2:$AH$21,0)),""),"~","~~"),"*","~*"),"?","~?"),'DADOS_RESTRICOES'!$M$2:$Q$54,3,FALSE)=2),0))</f>
        <v/>
      </c>
      <c r="OU155" s="164">
        <f>COUNTIF($MX155:$NA155,"?*")</f>
        <v/>
      </c>
      <c r="OV155" s="164">
        <f>COUNTIF($NB155:$NC155,"?*")+$OF155</f>
        <v/>
      </c>
      <c r="OW155" s="164">
        <f>IF($MS155=0,0,SUMPRODUCT($OM155:$OR155,INDEX($I$2:$N$8,MAX(1,$MS155),0)))</f>
        <v/>
      </c>
      <c r="OX155" s="164">
        <f>IF($MS155=0,0,$OS155*CEILING($MS155/2,1)+$OT155*$MS155)</f>
        <v/>
      </c>
      <c r="OY155" s="164">
        <f>MIN(2*$MS155,$OX155)</f>
        <v/>
      </c>
      <c r="OZ155" s="164">
        <f>MIN($OY155,$OW155-IF($NS155=0,0,INDEX($I$2:$N$8,MAX(1,$MS155),$NS155)))</f>
        <v/>
      </c>
      <c r="PA155" s="164">
        <f>$OY155-$OZ155</f>
        <v/>
      </c>
      <c r="PB155" s="164">
        <f>IF($MS155=0,0,INDEX($P$2:$P$8,MAX(1,$MS155)))</f>
        <v/>
      </c>
      <c r="PC155" s="164">
        <f>$PB155-$OW155+$OZ155</f>
        <v/>
      </c>
      <c r="PD155" s="164">
        <f>IF($MS155=0,MAX(0,$NG155-IF(AND($OU155&gt;0,COUNTIF($NB155:$NC155,"?*")=0),1,0)),MAX(0,$PC155))</f>
        <v/>
      </c>
      <c r="PE155" s="164">
        <f>IF($MS155=0,0,(IF(COUNTIF($RK155:$RN155,"Salto")&gt;0,1,0)+IF(COUNTIF($RK155:$RN155,"Queima")&gt;0,1,0)+IF(COUNTIF($RK155:$RN155,"Estilhaço")&gt;0,1,0))*FLOOR($PD155/2,1))</f>
        <v/>
      </c>
      <c r="PF155" s="164">
        <f>MAX(0,2-SUMPRODUCT($OM155:$OR155,$I$2:$N$2)+MIN(2,$OS155*1+$OT155*1,SUMPRODUCT($OM155:$OR155,$I$2:$N$2)-IF($NS155=0,0,INDEX($I$2:$N$2,1,$NS155))))</f>
        <v/>
      </c>
      <c r="PG155" s="164">
        <f>MAX(0,4-SUMPRODUCT($OM155:$OR155,$I$3:$N$3)+MIN(4,$OS155*1+$OT155*2,SUMPRODUCT($OM155:$OR155,$I$3:$N$3)-IF($NS155=0,0,INDEX($I$3:$N$3,1,$NS155))))</f>
        <v/>
      </c>
      <c r="PH155" s="164">
        <f>MAX(0,6-SUMPRODUCT($OM155:$OR155,$I$4:$N$4)+MIN(6,$OS155*2+$OT155*3,SUMPRODUCT($OM155:$OR155,$I$4:$N$4)-IF($NS155=0,0,INDEX($I$4:$N$4,1,$NS155))))</f>
        <v/>
      </c>
      <c r="PI155" s="164">
        <f>MAX(0,9-SUMPRODUCT($OM155:$OR155,$I$5:$N$5)+MIN(8,$OS155*2+$OT155*4,SUMPRODUCT($OM155:$OR155,$I$5:$N$5)-IF($NS155=0,0,INDEX($I$5:$N$5,1,$NS155))))</f>
        <v/>
      </c>
      <c r="PJ155" s="164">
        <f>MAX(0,11-SUMPRODUCT($OM155:$OR155,$I$6:$N$6)+MIN(10,$OS155*3+$OT155*5,SUMPRODUCT($OM155:$OR155,$I$6:$N$6)-IF($NS155=0,0,INDEX($I$6:$N$6,1,$NS155))))</f>
        <v/>
      </c>
      <c r="PK155" s="164">
        <f>MAX(0,13-SUMPRODUCT($OM155:$OR155,$I$7:$N$7)+MIN(12,$OS155*3+$OT155*6,SUMPRODUCT($OM155:$OR155,$I$7:$N$7)-IF($NS155=0,0,INDEX($I$7:$N$7,1,$NS155))))</f>
        <v/>
      </c>
      <c r="PL155" s="164">
        <f>MAX(0,16-SUMPRODUCT($OM155:$OR155,$I$8:$N$8)+MIN(14,$OS155*4+$OT155*7,SUMPRODUCT($OM155:$OR155,$I$8:$N$8)-IF($NS155=0,0,INDEX($I$8:$N$8,1,$NS155))))</f>
        <v/>
      </c>
      <c r="PM155" s="164">
        <f>IF($OG155=2,3*$PF155&amp;" de vida temp.",IF($OG155=3,"sem dano",IF($PF155=0,IF($OG155=1,"sem cura","sem dano"),IF($OG155=1,"cura ","")&amp;$PF155&amp;"d8")))</f>
        <v/>
      </c>
      <c r="PN155" s="164">
        <f>IF($OG155=2,3*$PG155&amp;" de vida temp.",IF($OG155=3,"sem dano",IF($PG155=0,IF($OG155=1,"sem cura","sem dano"),IF($OG155=1,"cura ","")&amp;$PG155&amp;"d8")))</f>
        <v/>
      </c>
      <c r="PO155" s="164">
        <f>IF($OG155=2,3*$PH155&amp;" de vida temp.",IF($OG155=3,"sem dano",IF($PH155=0,IF($OG155=1,"sem cura","sem dano"),IF($OG155=1,"cura ","")&amp;$PH155&amp;"d8")))</f>
        <v/>
      </c>
      <c r="PP155" s="164">
        <f>IF($OG155=2,3*$PI155&amp;" de vida temp.",IF($OG155=3,"sem dano",IF($PI155=0,IF($OG155=1,"sem cura","sem dano"),IF($OG155=1,"cura ","")&amp;$PI155&amp;"d8")))</f>
        <v/>
      </c>
      <c r="PQ155" s="164">
        <f>IF($OG155=2,3*$PJ155&amp;" de vida temp.",IF($OG155=3,"sem dano",IF($PJ155=0,IF($OG155=1,"sem cura","sem dano"),IF($OG155=1,"cura ","")&amp;$PJ155&amp;"d8")))</f>
        <v/>
      </c>
      <c r="PR155" s="164">
        <f>IF($OG155=2,3*$PK155&amp;" de vida temp.",IF($OG155=3,"sem dano",IF($PK155=0,IF($OG155=1,"sem cura","sem dano"),IF($OG155=1,"cura ","")&amp;$PK155&amp;"d8")))</f>
        <v/>
      </c>
      <c r="PS155" s="164">
        <f>IF($OG155=2,3*$PL155&amp;" de vida temp.",IF($OG155=3,"sem dano",IF($PL155=0,IF($OG155=1,"sem cura","sem dano"),IF($OG155=1,"cura ","")&amp;$PL155&amp;"d8")))</f>
        <v/>
      </c>
      <c r="PT155" s="164">
        <f>IF($ND155=0,"",TEXTJOIN(" · ",TRUE,IF($ND155=0,"",TEXTJOIN(" · ",TRUE,IF($ND155=0,"",TEXTJOIN(" · ",TRUE,IF($MQ155&gt;$NE155,"Este lugar abre no nível "&amp;$MQ155,""),IF($MS155&gt;$NF155,"Classe "&amp;$MS155&amp;": o nível "&amp;$NE155&amp;" libera até a "&amp;$NF155,""),IF($NX155=1,"A Forma "&amp;$MU155&amp;" pede "&amp;INDEX('DADOS_FORMAS'!$GA$2:$GA$21,$NJ155)&amp;" aberta",""),IF(AND($MS155=0,$NJ155&gt;0,IF($NJ155=0,0,INDEX('DADOS_FORMAS'!$GJ$2:$GJ$21,$NJ155))=0),$MU155&amp;" não existe na Classe 0",""),IF($NY155=1,"Família Fechada: "&amp;$MX155,""),IF($NZ155=1,"Família Fechada: "&amp;$MY155,""),IF($OA155=1,"Família Fechada: "&amp;$MZ155,""),IF($OB155=1,"Família Fechada: "&amp;$NA155,""),IF(AND($MS155&gt;0,$OU155&gt;INDEX($O$2:$O$8,MAX(1,$MS155))),$OU155&amp;" Melhorias: a Classe "&amp;$MS155&amp;" aceita "&amp;INDEX($O$2:$O$8,MAX(1,$MS155)),""),IF(AND($MS155=0,$OU155&gt;1),"A básica aceita uma Melhoria",""),IF(AND($MS155=0,COUNTIF($NO155:$NR155,"&gt;1")&gt;0),"A básica só aceita Melhoria Leve",""),IF(AND($MS155&gt;0,$OV155&gt;2),$OV155&amp;" Restrições"&amp;IF($OF155=1,", contando a que a Forma "&amp;$MU155&amp;" já traz","")&amp;": o limite é 2",""),IF(AND($MS155=0,COUNTIF($NB155:$NC155,"?*")&gt;1),"A básica aceita uma Restrição Leve",""),IF(AND($MS155=0,COUNTIF($OI155:$OJ155,2)&gt;0),"A básica só aceita Restrição Leve",""),IF(AND($MS155&gt;0,$PC155&lt;0),"Orçamento estourado: faltam "&amp;(-$PC155)&amp;IF($PC155&lt;-1," pontos"," ponto"),""),IF(IFERROR(VLOOKUP(SUBSTITUTE(SUBSTITUTE(SUBSTITUTE($NB155,"~","~~"),"*","~*"),"?","~?"),'DADOS_RESTRICOES'!$M$2:$Q$54,4,FALSE),0)+IFERROR(VLOOKUP(SUBSTITUTE(SUBSTITUTE(SUBSTITUTE($NC155,"~","~~"),"*","~*"),"?","~?"),'DADOS_RESTRICOES'!$M$2:$Q$54,4,FALSE),0)&gt;1,$OK155&amp;" e "&amp;$OL155&amp;" são as duas de frequência",""),IF(AND((COUNTIF($RK155:$RN155,"Rápido")+COUNTIF($OK155:$OL155,"Rápido"))&gt;0,(COUNTIF($MX155:$NA155,"Atrasar")+COUNTIF($OK155:$OL155,"Atrasar"))&gt;0),"Rápido não entra com Atrasar",""),IF(AND((COUNTIF($RK155:$RN155,"Reação")+COUNTIF($OK155:$OL155,"Reação"))&gt;0,(COUNTIF($RK155:$RN155,"Rápido")+COUNTIF($OK155:$OL155,"Rápido"))&gt;0),"Reação não entra com Rápido",""),IF(AND((COUNTIF($RK155:$RN155,"Reação")+COUNTIF($OK155:$OL155,"Reação"))&gt;0,(COUNTIF($RK155:$RN155,"Armado")+COUNTIF($OK155:$OL155,"Armado"))&gt;0),"Reação não entra com Armado",""),IF(AND((COUNTIF($RK155:$RN155,"Reação")+COUNTIF($OK155:$OL155,"Reação"))&gt;0,(COUNTIF($MX155:$NA155,"Atrasar")+COUNTIF($OK155:$OL155,"Atrasar"))&gt;0),"Reação não entra com Atrasar",""),IF(AND((COUNTIF($RK155:$RN155,"Reação")+COUNTIF($OK155:$OL155,"Reação"))&gt;0,(COUNTIF($MX155:$NA155,"Parado")+COUNTIF($OK155:$OL155,"Parado"))&gt;0),"Reação não entra com Parado",""),IF(AND((COUNTIF($MX155:$NA155,"Atrasar")+COUNTIF($OK155:$OL155,"Atrasar"))&gt;0,(COUNTIF($MX155:$NA155,"Parado")+COUNTIF($OK155:$OL155,"Parado"))&gt;0),"Atrasar não entra com Parado",""),IF(AND((COUNTIF($RK155:$RN155,"Armado")+COUNTIF($OK155:$OL155,"Armado"))&gt;0,(COUNTIF($MX155:$NA155,"Carregar")+COUNTIF($OK155:$OL155,"Carregar"))&gt;0),"Armado não entra com Carregar",""),IF(AND(COUNTIF($OK155:$OL155,"Corpo a Corpo")&gt;0,$OF155=0,OR($RO155="Cone",$RO155="Linha")),"Corpo a Corpo não entra em "&amp;$MU155,""),IF(AND(COUNTIF($OK155:$OL155,"Corpo a Corpo")&gt;0,$RP155="Corpo a Corpo"),"A Forma "&amp;$MU155&amp;" já traz o Corpo a Corpo",""),IF(AND(COUNTIF($OK155:$OL155,"Tudo ou Nada")&gt;0,$OH155=0),"Tudo ou Nada só entra em habilidade de Teste de Resistência",""),IF(AND(COUNTIF($RK155:$RN155,"Inescapável")&gt;0,OR($OU155&gt;1,$OV155&gt;0)),"Inescapável não aceita outra peça",""),IF(AND($MS155&gt;0,$PD155*IF(COUNTIF($RK155:$RN155,"Remate")&gt;0,1.25,1)+$PE155&gt;4*$MS155),($PD155*IF(COUNTIF($RK155:$RN155,"Remate")&gt;0,1.25,1)+$PE155)&amp;" dados somando repetições"&amp;IF(COUNTIF($RK155:$RN155,"Remate")&gt;0," e o Remate","")&amp;": o teto da Classe "&amp;$MS155&amp;" é "&amp;4*$MS155,""))),IF(AND($MX155&lt;&gt;"",COUNTIF('DADOS_MELHORIAS'!$O$2:$O$113,SUBSTITUTE(SUBSTITUTE(SUBSTITUTE($MX155,"~","~~"),"*","~*"),"?","~?"))=0),"Melhoria não cadastrada ou com erro: "&amp;$MX155,""),IF(AND($MY155&lt;&gt;"",COUNTIF('DADOS_MELHORIAS'!$O$2:$O$113,SUBSTITUTE(SUBSTITUTE(SUBSTITUTE($MY155,"~","~~"),"*","~*"),"?","~?"))=0),"Melhoria não cadastrada ou com erro: "&amp;$MY155,""),IF(AND($MZ155&lt;&gt;"",COUNTIF('DADOS_MELHORIAS'!$O$2:$O$113,SUBSTITUTE(SUBSTITUTE(SUBSTITUTE($MZ155,"~","~~"),"*","~*"),"?","~?"))=0),"Melhoria não cadastrada ou com erro: "&amp;$MZ155,""),IF(AND($NA155&lt;&gt;"",COUNTIF('DADOS_MELHORIAS'!$O$2:$O$113,SUBSTITUTE(SUBSTITUTE(SUBSTITUTE($NA155,"~","~~"),"*","~*"),"?","~?"))=0),"Melhoria não cadastrada ou com erro: "&amp;$NA155,""),IF(AND($NB155&lt;&gt;"",COUNTIF('DADOS_RESTRICOES'!$M$2:$M$54,SUBSTITUTE(SUBSTITUTE(SUBSTITUTE($NB155,"~","~~"),"*","~*"),"?","~?"))=0),"Restrição não cadastrada ou com erro: "&amp;$NB155,""),IF(AND($NC155&lt;&gt;"",COUNTIF('DADOS_RESTRICOES'!$M$2:$M$54,SUBSTITUTE(SUBSTITUTE(SUBSTITUTE($NC155,"~","~~"),"*","~*"),"?","~?"))=0),"Restrição não cadastrada ou com erro: "&amp;$NC155,""))),IF(AND($MU155&lt;&gt;"",COUNTIF('DADOS_FORMAS'!$AH$2:$AH$21,SUBSTITUTE(SUBSTITUTE(SUBSTITUTE($MU155,"~","~~"),"*","~*"),"?","~?"))=0),"Forma não cadastrada ou com erro: "&amp;$MU155,""),IF(AND(IFERROR(INDEX('DADOS_FORMAS'!$AS$2:$AS$21,MATCH(SUBSTITUTE(SUBSTITUTE(SUBSTITUTE($MU155,"~","~~"),"*","~*"),"?","~?"),'DADOS_FORMAS'!$AH$2:$AH$21,0)),"")&lt;&gt;"",OR(IFERROR(VLOOKUP(SUBSTITUTE(SUBSTITUTE(SUBSTITUTE(IFERROR(INDEX('DADOS_FORMAS'!$AS$2:$AS$21,MATCH(SUBSTITUTE(SUBSTITUTE(SUBSTITUTE($MU155,"~","~~"),"*","~*"),"?","~?"),'DADOS_FORMAS'!$AH$2:$AH$21,0)),""),"~","~~"),"*","~*"),"?","~?"),'DADOS_RESTRICOES'!$M$2:$Q$54,2,FALSE),"")=$OK155,IFERROR(VLOOKUP(SUBSTITUTE(SUBSTITUTE(SUBSTITUTE(IFERROR(INDEX('DADOS_FORMAS'!$AS$2:$AS$21,MATCH(SUBSTITUTE(SUBSTITUTE(SUBSTITUTE($MU155,"~","~~"),"*","~*"),"?","~?"),'DADOS_FORMAS'!$AH$2:$AH$21,0)),""),"~","~~"),"*","~*"),"?","~?"),'DADOS_RESTRICOES'!$M$2:$Q$54,2,FALSE),"")=$OL155)),"Restrição repetida, contando a embutida",""),IF(IF(IFERROR(INDEX('DADOS_FORMAS'!$AS$2:$AS$21,MATCH(SUBSTITUTE(SUBSTITUTE(SUBSTITUTE($MU155,"~","~~"),"*","~*"),"?","~?"),'DADOS_FORMAS'!$AH$2:$AH$21,0)),"")="",0,IFERROR(N(VLOOKUP(SUBSTITUTE(SUBSTITUTE(SUBSTITUTE(IFERROR(INDEX('DADOS_FORMAS'!$AS$2:$AS$21,MATCH(SUBSTITUTE(SUBSTITUTE(SUBSTITUTE($MU155,"~","~~"),"*","~*"),"?","~?"),'DADOS_FORMAS'!$AH$2:$AH$21,0)),""),"~","~~"),"*","~*"),"?","~?"),'DADOS_RESTRICOES'!$M$2:$Q$54,4,FALSE)=1),0))+IF($NB155="",0,IFERROR(N(VLOOKUP(SUBSTITUTE(SUBSTITUTE(SUBSTITUTE($NB155,"~","~~"),"*","~*"),"?","~?"),'DADOS_RESTRICOES'!$M$2:$Q$54,4,FALSE)=1),0))+IF($NC155="",0,IFERROR(N(VLOOKUP(SUBSTITUTE(SUBSTITUTE(SUBSTITUTE($NC155,"~","~~"),"*","~*"),"?","~?"),'DADOS_RESTRICOES'!$M$2:$Q$54,4,FALSE)=1),0))&gt;1,"Duas Restrições de frequência, contando a embutida",""),IF(AND(IFERROR(VLOOKUP(SUBSTITUTE(SUBSTITUTE(SUBSTITUTE(IFERROR(INDEX('DADOS_FORMAS'!$AS$2:$AS$21,MATCH(SUBSTITUTE(SUBSTITUTE(SUBSTITUTE($MU155,"~","~~"),"*","~*"),"?","~?"),'DADOS_FORMAS'!$AH$2:$AH$21,0)),""),"~","~~"),"*","~*"),"?","~?"),'DADOS_RESTRICOES'!$M$2:$Q$54,2,FALSE),"")="Tudo ou Nada",$OH155=0),"Tudo ou Nada exige TR",""),IF(AND(IFERROR(VLOOKUP(SUBSTITUTE(SUBSTITUTE(SUBSTITUTE(IFERROR(INDEX('DADOS_FORMAS'!$AS$2:$AS$21,MATCH(SUBSTITUTE(SUBSTITUTE(SUBSTITUTE($MU155,"~","~~"),"*","~*"),"?","~?"),'DADOS_FORMAS'!$AH$2:$AH$21,0)),""),"~","~~"),"*","~*"),"?","~?"),'DADOS_RESTRICOES'!$M$2:$Q$54,2,FALSE),"")="Corpo a Corpo",OR($RO155="Cone",$RO155="Linha")),"Corpo a Corpo não entra em Cone/Linha","")))</f>
        <v/>
      </c>
      <c r="PU155" s="164">
        <f>IF($PT155="",0,(LEN($PT155)-LEN(SUBSTITUTE($PT155," · ","")))/3+1)</f>
        <v/>
      </c>
      <c r="PV155" s="164">
        <f>IF($ND155=0,"",TEXTJOIN(" · ",TRUE,IF($OX155&gt;2*$MS155,"A devolução parou no teto de "&amp;2*$MS155,""),IF($PA155&gt;0,"Devolução perdida: "&amp;$PA155&amp;IF($PA155&gt;1," pontos"," ponto")&amp;" sem Melhoria para pagar",""),IF(AND($OC155&gt;0,AND($MS155&gt;0,$OG155=0),$PD155=0),"Controle sem dano: uma rodada a mais e CD +2",""),IF(AND($OC155&gt;0,AND($MS155&gt;0,$OG155=0),$PD155&gt;0,$PD155&lt;=$MS155),"Controle com saldo até a Classe: uma rodada a mais",""),IF(AND($MS155&gt;0,$OE155&lt;&gt;""),"Efeito de "&amp;$OE155&amp;" pela Classe "&amp;MAX(1,$MS155-1),"")))</f>
        <v/>
      </c>
      <c r="PW155" s="164">
        <f>IF($PV155="",0,(LEN($PV155)-LEN(SUBSTITUTE($PV155," · ","")))/3+1)</f>
        <v/>
      </c>
      <c r="PX155" s="164">
        <f>IF($ND155=0,IF($OU155+COUNTIF($NB155:$NC155,"?*")&gt;0,"Dê um nome",""),IF($PU155&gt;0,"⚠ "&amp;$PU155&amp;IF($PU155&gt;1," erros"," erro"),IF($PW155&gt;0,"! "&amp;$PW155&amp;IF($PW155&gt;1," avisos"," aviso"),"Na regra")))</f>
        <v/>
      </c>
      <c r="PY155" s="164">
        <f>IF($ND155=0,"",IF($PU155+$PW155=0,"Dentro das regras que a ficha confere",$PT155&amp;IF(AND($PU155&gt;0,$PW155&gt;0)," · ","")&amp;$PV155))</f>
        <v/>
      </c>
      <c r="PZ155" s="164">
        <f>IF($MQ155&gt;$NE155,$MR155&amp;" · ABRE NO NÍVEL "&amp;$MQ155,$MR155)</f>
        <v/>
      </c>
      <c r="QA155" s="164">
        <f>IF($ND155=0,"",IF($MS155=0,"Sem PE",3*$MS155&amp;" PE"))</f>
        <v/>
      </c>
      <c r="QB155" s="164">
        <f>IF($ND155=0,"",IF($MS155=0,"A atuação básica dela",IF(COUNTIF($RQ155:$RS155,"Atrasar")&gt;0,"Sua Ação Completa",IF(COUNTIF($RK155:$RN155,"Rápido")&gt;0,"Sua Bônus",IF(COUNTIF($RK155:$RN155,"Reação")&gt;0,"Sua Reação","Sua Padrão")))&amp;" + a básica dela"&amp;IF(COUNTIF($RK155:$RN155,"Reação")&gt;0," e a coletiva","")&amp;IF(COUNTIF($RQ155:$RS155,"Carregar")&gt;0," · em dois turnos","")))</f>
        <v/>
      </c>
      <c r="QC155" s="164">
        <f>IF($MW155&lt;&gt;"",$MW155,IF($NJ155=0,"",INDEX('DADOS_FORMAS'!$GE$2:$GE$21,$NJ155)))</f>
        <v/>
      </c>
      <c r="QD155" s="164">
        <f>IF(OR($ND155=0,$NJ155=0),"",IF(COUNTIF($RK155:$RN155,"Inescapável")&gt;0,"Automático",IF($QC155="Ataque",IF($NH155="","Ataque","Ataque "&amp;IF(($NH155+2*IF(COUNTIF($RK155:$RN155,"Precisão")&gt;0,1,0))&gt;=0,"+","−")&amp;ABS(($NH155+2*IF(COUNTIF($RK155:$RN155,"Precisão")&gt;0,1,0))))&amp;IF($OD155&gt;0," · TR"&amp;IF($NI155="",""," CD "&amp;$NI155),""),IF(LEFT($QC155,2)="TR",$QC155&amp;IF($NI155="",""," · CD "&amp;$NI155)&amp;IF(COUNTIF($RK155:$RN155,"Certeiro")&gt;0," · metade",""),"Sem rolagem"))))</f>
        <v/>
      </c>
      <c r="QE155" s="164">
        <f>IF(OR($ND155=0,$NJ155=0),"",IF($MS155=0,IF(OR($OG155&gt;=1,$PD155=0),"Sem dano",$PD155&amp;"d6"&amp;IF($MV155="",""," "&amp;$MV155)),IF(OR($OG155&gt;=1,$PD155=0),UPPER(LEFT(INDEX($PM155:$PS155,1,MAX(1,$MS155)),1))&amp;MID(INDEX($PM155:$PS155,1,MAX(1,$MS155)),2,99),UPPER(LEFT(INDEX($PM155:$PS155,1,MAX(1,$MS155)),1))&amp;MID(INDEX($PM155:$PS155,1,MAX(1,$MS155)),2,99)&amp;IF($MV155="",""," "&amp;$MV155)&amp;IF($PE155&gt;0," · +"&amp;$PE155&amp;"d8",""))))</f>
        <v/>
      </c>
      <c r="QF155" s="164">
        <f>COUNTIF($RK155:$RN155,"Longe")+3*COUNTIF($RK155:$RN155,"Muito Longe")</f>
        <v/>
      </c>
      <c r="QG155" s="164">
        <f>COUNTIF($RK155:$RN155,"Maior")+3*COUNTIF($RK155:$RN155,"Muito Maior")</f>
        <v/>
      </c>
      <c r="QH155" s="164">
        <f>IF($NJ155=0,0,CHOOSE(1+INDEX('DADOS_FORMAS'!$GG$2:$GG$21,$NJ155),0,$QF155,$QG155,$QF155+$QG155))</f>
        <v/>
      </c>
      <c r="QI155" s="164">
        <f>IF($NJ155=0,0,CHOOSE(1+INDEX('DADOS_FORMAS'!$GH$2:$GH$21,$NJ155),0,$QF155,$QG155,$QF155+$QG155))</f>
        <v/>
      </c>
      <c r="QJ155" s="164">
        <f>IF(OR($ND155=0,$NJ155=0),"",INDEX('DADOS_FORMAS'!$HU$2:$HZ$81,($NJ155-1)*4+IF($MS155=0,1,IF($MS155&lt;=5,2,IF($MS155=6,3,4))),1+MIN(5,$QH155))&amp;INDEX('DADOS_FORMAS'!$IA$2:$IF$81,($NJ155-1)*4+IF($MS155=0,1,IF($MS155&lt;=5,2,IF($MS155=6,3,4))),1+MIN(5,$QI155))&amp;IF(INDEX('DADOS_FORMAS'!$GI$2:$GI$21,$NJ155)=1,IF(COUNTIF($RK155:$RN155,"Mais Um")&gt;0," · +"&amp;COUNTIF($RK155:$RN155,"Mais Um")&amp;IF(COUNTIF($RK155:$RN155,"Mais Um")&gt;1," alvos"," alvo"),"")&amp;IF(COUNTIF($RK155:$RN155,"Rajada")&gt;0,IF($MS155=0," · 1 tiro"," · "&amp;(MAX(1,$MS155-1)+1)&amp;" tiros"),""),""))</f>
        <v/>
      </c>
      <c r="QK155" s="164">
        <f>IF($ND155=0,"",IF($MS155=0,$NG155&amp;"d6"&amp;IF($OU155&gt;0," − 1 = "&amp;$PD155&amp;"d6"," da básica do nível "&amp;$NE155),$PB155&amp;" − "&amp;$OW155&amp;" + "&amp;$OZ155&amp;" = "&amp;$PC155&amp;" · teto "&amp;4*$MS155&amp;"d8"&amp;IF($OF155=1," · a Forma devolve "&amp;$MS155,"")&amp;IF($PA155&gt;0," · perde "&amp;$PA155,"")))</f>
        <v/>
      </c>
      <c r="QL155" s="164">
        <f>IF($ND155=0,"",IF($MS155=0,"A básica não amplia: os dados dela sobem com o nível",IF($MS155&gt;=$NF155,"Já está na maior Classe que o nível liberou",TEXTJOIN(" · ",TRUE,IF(AND(2&gt;$MS155,2&lt;=$NF155),"2 → "&amp;$PN155&amp;", 6 PE",""),IF(AND(3&gt;$MS155,3&lt;=$NF155),"3 → "&amp;$PO155&amp;", 9 PE",""),IF(AND(4&gt;$MS155,4&lt;=$NF155),"4 → "&amp;$PP155&amp;", 12 PE",""),IF(AND(5&gt;$MS155,5&lt;=$NF155),"5 → "&amp;$PQ155&amp;", 15 PE",""),IF(AND(6&gt;$MS155,6&lt;=$NF155),"6 → "&amp;$PR155&amp;", 18 PE",""),IF(AND(7&gt;$MS155,7&lt;=$NF155),"7 → "&amp;$PS155&amp;", 21 PE","")))))</f>
        <v/>
      </c>
      <c r="QM155" s="164">
        <f>IF(OR($ND155=0,$NO155=0),"",IF($MS155=0,"−1 dado","−"&amp;INDEX($I$2:$N$8,MAX(1,$MS155),MAX(1,$NT155))&amp;" · "&amp;CHOOSE(MAX(1,$NT155),"Leve","Média","Pesada","Leve · Livre","Média · Livre","Pesada · Livre")))</f>
        <v/>
      </c>
      <c r="QN155" s="164">
        <f>IF(OR($ND155=0,$NP155=0),"",IF($MS155=0,"−1 dado","−"&amp;INDEX($I$2:$N$8,MAX(1,$MS155),MAX(1,$NU155))&amp;" · "&amp;CHOOSE(MAX(1,$NU155),"Leve","Média","Pesada","Leve · Livre","Média · Livre","Pesada · Livre")))</f>
        <v/>
      </c>
      <c r="QO155" s="164">
        <f>IF(OR($ND155=0,$NQ155=0),"",IF($MS155=0,"−1 dado","−"&amp;INDEX($I$2:$N$8,MAX(1,$MS155),MAX(1,$NV155))&amp;" · "&amp;CHOOSE(MAX(1,$NV155),"Leve","Média","Pesada","Leve · Livre","Média · Livre","Pesada · Livre")))</f>
        <v/>
      </c>
      <c r="QP155" s="164">
        <f>IF(OR($ND155=0,$NR155=0),"",IF($MS155=0,"−1 dado","−"&amp;INDEX($I$2:$N$8,MAX(1,$MS155),MAX(1,$NW155))&amp;" · "&amp;CHOOSE(MAX(1,$NW155),"Leve","Média","Pesada","Leve · Livre","Média · Livre","Pesada · Livre")))</f>
        <v/>
      </c>
      <c r="QQ155" s="164">
        <f>IF(OR($ND155=0,$NB155=""),"",IF($MS155=0,"não devolve","+"&amp;IF($OI155=1,CEILING($MS155/2,1),$MS155)))</f>
        <v/>
      </c>
      <c r="QR155" s="164">
        <f>IF(OR($ND155=0,$NC155=""),"",IF($MS155=0,"não devolve","+"&amp;IF($OJ155=1,CEILING($MS155/2,1),$MS155)))</f>
        <v/>
      </c>
      <c r="RK155">
        <f>IF($MX155="","",IFERROR(VLOOKUP(SUBSTITUTE(SUBSTITUTE(SUBSTITUTE($MX155,"~","~~"),"*","~*"),"?","~?"),'DADOS_MELHORIAS'!$O$2:$X$113,10,FALSE),$MX155))</f>
        <v/>
      </c>
      <c r="RL155">
        <f>IF($MY155="","",IFERROR(VLOOKUP(SUBSTITUTE(SUBSTITUTE(SUBSTITUTE($MY155,"~","~~"),"*","~*"),"?","~?"),'DADOS_MELHORIAS'!$O$2:$X$113,10,FALSE),$MY155))</f>
        <v/>
      </c>
      <c r="RM155">
        <f>IF($MZ155="","",IFERROR(VLOOKUP(SUBSTITUTE(SUBSTITUTE(SUBSTITUTE($MZ155,"~","~~"),"*","~*"),"?","~?"),'DADOS_MELHORIAS'!$O$2:$X$113,10,FALSE),$MZ155))</f>
        <v/>
      </c>
      <c r="RN155">
        <f>IF($NA155="","",IFERROR(VLOOKUP(SUBSTITUTE(SUBSTITUTE(SUBSTITUTE($NA155,"~","~~"),"*","~*"),"?","~?"),'DADOS_MELHORIAS'!$O$2:$X$113,10,FALSE),$NA155))</f>
        <v/>
      </c>
      <c r="RO155">
        <f>IFERROR(INDEX('DADOS_FORMAS'!$BJ$2:$BJ$21,MATCH(SUBSTITUTE(SUBSTITUTE(SUBSTITUTE($MU155,"~","~~"),"*","~*"),"?","~?"),'DADOS_FORMAS'!$AH$2:$AH$21,0)),"")</f>
        <v/>
      </c>
      <c r="RP155">
        <f>IFERROR(VLOOKUP(SUBSTITUTE(SUBSTITUTE(SUBSTITUTE(IFERROR(INDEX('DADOS_FORMAS'!$AS$2:$AS$21,MATCH(SUBSTITUTE(SUBSTITUTE(SUBSTITUTE($MU155,"~","~~"),"*","~*"),"?","~?"),'DADOS_FORMAS'!$AH$2:$AH$21,0)),""),"~","~~"),"*","~*"),"?","~?"),'DADOS_RESTRICOES'!$M$2:$Q$54,2,FALSE),"")</f>
        <v/>
      </c>
      <c r="RQ155">
        <f>$OK155</f>
        <v/>
      </c>
      <c r="RR155">
        <f>$OL155</f>
        <v/>
      </c>
      <c r="RS155">
        <f>$RP155</f>
        <v/>
      </c>
    </row>
    <row r="156">
      <c r="MN156" s="162" t="inlineStr">
        <is>
          <t>Ficha 12 · Escolha da trilha 2</t>
        </is>
      </c>
      <c r="MO156" s="164" t="n">
        <v>12</v>
      </c>
      <c r="MP156" s="164" t="n">
        <v>2</v>
      </c>
      <c r="MQ156" s="164" t="n">
        <v>0</v>
      </c>
      <c r="MR156" s="162" t="inlineStr">
        <is>
          <t>ESCOLHA DA TRILHA 2</t>
        </is>
      </c>
      <c r="MS156" s="164">
        <f>MAX(0,MIN(7,N('INVOCAÇÕES'!$AH$1228)))</f>
        <v/>
      </c>
      <c r="MT156" s="164">
        <f>'INVOCAÇÕES'!$AI$1228&amp;""</f>
        <v/>
      </c>
      <c r="MU156" s="164">
        <f>'INVOCAÇÕES'!$AH$1233&amp;""</f>
        <v/>
      </c>
      <c r="MV156" s="164">
        <f>'INVOCAÇÕES'!$AH$1234&amp;""</f>
        <v/>
      </c>
      <c r="MW156" s="164">
        <f>'INVOCAÇÕES'!$AJ$1234&amp;""</f>
        <v/>
      </c>
      <c r="MX156" s="164">
        <f>'INVOCAÇÕES'!$AI$1237&amp;""</f>
        <v/>
      </c>
      <c r="MY156" s="164">
        <f>'INVOCAÇÕES'!$AI$1238&amp;""</f>
        <v/>
      </c>
      <c r="MZ156" s="164">
        <f>'INVOCAÇÕES'!$AI$1239&amp;""</f>
        <v/>
      </c>
      <c r="NA156" s="164">
        <f>'INVOCAÇÕES'!$AI$1240&amp;""</f>
        <v/>
      </c>
      <c r="NB156" s="164">
        <f>'INVOCAÇÕES'!$AI$1241&amp;""</f>
        <v/>
      </c>
      <c r="NC156" s="164">
        <f>'INVOCAÇÕES'!$AI$1242&amp;""</f>
        <v/>
      </c>
      <c r="ND156" s="164">
        <f>IF($MT156&lt;&gt;"",1,0)</f>
        <v/>
      </c>
      <c r="NE156" s="164">
        <f>INDEX($FO$2:$FO$13,$MO156)</f>
        <v/>
      </c>
      <c r="NF156" s="164">
        <f>INDEX($FP$2:$FP$13,$MO156)</f>
        <v/>
      </c>
      <c r="NG156" s="164">
        <f>INDEX($FQ$2:$FQ$13,$MO156)</f>
        <v/>
      </c>
      <c r="NH156" s="164">
        <f>INDEX($GB$2:$GB$13,$MO156)</f>
        <v/>
      </c>
      <c r="NI156" s="164">
        <f>INDEX($GC$2:$GC$13,$MO156)</f>
        <v/>
      </c>
      <c r="NJ156" s="164">
        <f>IFERROR(MATCH(SUBSTITUTE(SUBSTITUTE(SUBSTITUTE($MU156,"~","~~"),"*","~*"),"?","~?"),'DADOS_FORMAS'!$FZ$2:$FZ$21,0),0)</f>
        <v/>
      </c>
      <c r="NK156" s="164">
        <f>IFERROR(VLOOKUP(SUBSTITUTE(SUBSTITUTE(SUBSTITUTE($MX156,"~","~~"),"*","~*"),"?","~?"),'DADOS_MELHORIAS'!$AG$2:$AL$113,2,FALSE),"")</f>
        <v/>
      </c>
      <c r="NL156" s="164">
        <f>IFERROR(VLOOKUP(SUBSTITUTE(SUBSTITUTE(SUBSTITUTE($MY156,"~","~~"),"*","~*"),"?","~?"),'DADOS_MELHORIAS'!$AG$2:$AL$113,2,FALSE),"")</f>
        <v/>
      </c>
      <c r="NM156" s="164">
        <f>IFERROR(VLOOKUP(SUBSTITUTE(SUBSTITUTE(SUBSTITUTE($MZ156,"~","~~"),"*","~*"),"?","~?"),'DADOS_MELHORIAS'!$AG$2:$AL$113,2,FALSE),"")</f>
        <v/>
      </c>
      <c r="NN156" s="164">
        <f>IFERROR(VLOOKUP(SUBSTITUTE(SUBSTITUTE(SUBSTITUTE($NA156,"~","~~"),"*","~*"),"?","~?"),'DADOS_MELHORIAS'!$AG$2:$AL$113,2,FALSE),"")</f>
        <v/>
      </c>
      <c r="NO156" s="164">
        <f>IFERROR(VLOOKUP(SUBSTITUTE(SUBSTITUTE(SUBSTITUTE($MX156,"~","~~"),"*","~*"),"?","~?"),'DADOS_MELHORIAS'!$AG$2:$AL$113,3,FALSE),0)</f>
        <v/>
      </c>
      <c r="NP156" s="164">
        <f>IFERROR(VLOOKUP(SUBSTITUTE(SUBSTITUTE(SUBSTITUTE($MY156,"~","~~"),"*","~*"),"?","~?"),'DADOS_MELHORIAS'!$AG$2:$AL$113,3,FALSE),0)</f>
        <v/>
      </c>
      <c r="NQ156" s="164">
        <f>IFERROR(VLOOKUP(SUBSTITUTE(SUBSTITUTE(SUBSTITUTE($MZ156,"~","~~"),"*","~*"),"?","~?"),'DADOS_MELHORIAS'!$AG$2:$AL$113,3,FALSE),0)</f>
        <v/>
      </c>
      <c r="NR156" s="164">
        <f>IFERROR(VLOOKUP(SUBSTITUTE(SUBSTITUTE(SUBSTITUTE($NA156,"~","~~"),"*","~*"),"?","~?"),'DADOS_MELHORIAS'!$AG$2:$AL$113,3,FALSE),0)</f>
        <v/>
      </c>
      <c r="NS156" s="164">
        <f>IF($MS156=0,0,IF($NJ156=0,0,INDEX('DADOS_FORMAS'!$GB$2:$GB$21,$NJ156)))</f>
        <v/>
      </c>
      <c r="NT156" s="164">
        <f>IF(OR($NO156=0,$MS156=0),0,$NO156+3*IF(AND($NK156&lt;&gt;"",COUNTIF(INDEX($RB$2:$RJ$13,$MO156,0),$NK156)&gt;0),1,0))</f>
        <v/>
      </c>
      <c r="NU156" s="164">
        <f>IF(OR($NP156=0,$MS156=0),0,$NP156+3*IF(AND($NL156&lt;&gt;"",COUNTIF(INDEX($RB$2:$RJ$13,$MO156,0),$NL156)&gt;0),1,0))</f>
        <v/>
      </c>
      <c r="NV156" s="164">
        <f>IF(OR($NQ156=0,$MS156=0),0,$NQ156+3*IF(AND($NM156&lt;&gt;"",COUNTIF(INDEX($RB$2:$RJ$13,$MO156,0),$NM156)&gt;0),1,0))</f>
        <v/>
      </c>
      <c r="NW156" s="164">
        <f>IF(OR($NR156=0,$MS156=0),0,$NR156+3*IF(AND($NN156&lt;&gt;"",COUNTIF(INDEX($RB$2:$RJ$13,$MO156,0),$NN156)&gt;0),1,0))</f>
        <v/>
      </c>
      <c r="NX156" s="164">
        <f>IF($NJ156=0,0,IF(INDEX('DADOS_FORMAS'!$GA$2:$GA$21,$NJ156)="",0,IF((COUNTIF(INDEX($EL$2:$EP$13,$MO156,0),INDEX('DADOS_FORMAS'!$GA$2:$GA$21,$NJ156))+COUNTIF(INDEX($QV$2:$QY$13,$MO156,0),INDEX('DADOS_FORMAS'!$GA$2:$GA$21,$NJ156)))=0,1,0)))</f>
        <v/>
      </c>
      <c r="NY156" s="164">
        <f>IF(OR($NO156=0,$NK156=""),0,IF((COUNTIF(INDEX($EL$2:$EP$13,$MO156,0),$NK156)+COUNTIF(INDEX($QV$2:$QY$13,$MO156,0),$NK156))=0,1,0))</f>
        <v/>
      </c>
      <c r="NZ156" s="164">
        <f>IF(OR($NP156=0,$NL156=""),0,IF((COUNTIF(INDEX($EL$2:$EP$13,$MO156,0),$NL156)+COUNTIF(INDEX($QV$2:$QY$13,$MO156,0),$NL156))=0,1,0))</f>
        <v/>
      </c>
      <c r="OA156" s="164">
        <f>IF(OR($NQ156=0,$NM156=""),0,IF((COUNTIF(INDEX($EL$2:$EP$13,$MO156,0),$NM156)+COUNTIF(INDEX($QV$2:$QY$13,$MO156,0),$NM156))=0,1,0))</f>
        <v/>
      </c>
      <c r="OB156" s="164">
        <f>IF(OR($NR156=0,$NN156=""),0,IF((COUNTIF(INDEX($EL$2:$EP$13,$MO156,0),$NN156)+COUNTIF(INDEX($QV$2:$QY$13,$MO156,0),$NN156))=0,1,0))</f>
        <v/>
      </c>
      <c r="OC156" s="164">
        <f>IFERROR(VLOOKUP(SUBSTITUTE(SUBSTITUTE(SUBSTITUTE($MX156,"~","~~"),"*","~*"),"?","~?"),'DADOS_MELHORIAS'!$AG$2:$AL$113,4,FALSE),0)+IFERROR(VLOOKUP(SUBSTITUTE(SUBSTITUTE(SUBSTITUTE($MY156,"~","~~"),"*","~*"),"?","~?"),'DADOS_MELHORIAS'!$AG$2:$AL$113,4,FALSE),0)+IFERROR(VLOOKUP(SUBSTITUTE(SUBSTITUTE(SUBSTITUTE($MZ156,"~","~~"),"*","~*"),"?","~?"),'DADOS_MELHORIAS'!$AG$2:$AL$113,4,FALSE),0)+IFERROR(VLOOKUP(SUBSTITUTE(SUBSTITUTE(SUBSTITUTE($NA156,"~","~~"),"*","~*"),"?","~?"),'DADOS_MELHORIAS'!$AG$2:$AL$113,4,FALSE),0)</f>
        <v/>
      </c>
      <c r="OD156" s="164">
        <f>IFERROR(VLOOKUP(SUBSTITUTE(SUBSTITUTE(SUBSTITUTE($MX156,"~","~~"),"*","~*"),"?","~?"),'DADOS_MELHORIAS'!$AG$2:$AL$113,6,FALSE),0)+IFERROR(VLOOKUP(SUBSTITUTE(SUBSTITUTE(SUBSTITUTE($MY156,"~","~~"),"*","~*"),"?","~?"),'DADOS_MELHORIAS'!$AG$2:$AL$113,6,FALSE),0)+IFERROR(VLOOKUP(SUBSTITUTE(SUBSTITUTE(SUBSTITUTE($MZ156,"~","~~"),"*","~*"),"?","~?"),'DADOS_MELHORIAS'!$AG$2:$AL$113,6,FALSE),0)+IFERROR(VLOOKUP(SUBSTITUTE(SUBSTITUTE(SUBSTITUTE($NA156,"~","~~"),"*","~*"),"?","~?"),'DADOS_MELHORIAS'!$AG$2:$AL$113,6,FALSE),0)+IFERROR(N(AND(INDEX('DADOS_FORMAS'!$AO$2:$AO$21,MATCH(SUBSTITUTE(SUBSTITUTE(SUBSTITUTE($MU156,"~","~~"),"*","~*"),"?","~?"),'DADOS_FORMAS'!$AH$2:$AH$21,0))="Acerto",$OH156=1)),0)</f>
        <v/>
      </c>
      <c r="OE156" s="164">
        <f>TEXTJOIN(", ",TRUE,IF(IFERROR(VLOOKUP(SUBSTITUTE(SUBSTITUTE(SUBSTITUTE($MX156,"~","~~"),"*","~*"),"?","~?"),'DADOS_MELHORIAS'!$AG$2:$AL$113,5,FALSE),0)=1,$MX156,""),IF(IFERROR(VLOOKUP(SUBSTITUTE(SUBSTITUTE(SUBSTITUTE($MY156,"~","~~"),"*","~*"),"?","~?"),'DADOS_MELHORIAS'!$AG$2:$AL$113,5,FALSE),0)=1,$MY156,""),IF(IFERROR(VLOOKUP(SUBSTITUTE(SUBSTITUTE(SUBSTITUTE($MZ156,"~","~~"),"*","~*"),"?","~?"),'DADOS_MELHORIAS'!$AG$2:$AL$113,5,FALSE),0)=1,$MZ156,""),IF(IFERROR(VLOOKUP(SUBSTITUTE(SUBSTITUTE(SUBSTITUTE($NA156,"~","~~"),"*","~*"),"?","~?"),'DADOS_MELHORIAS'!$AG$2:$AL$113,5,FALSE),0)=1,$NA156,""))</f>
        <v/>
      </c>
      <c r="OF156" s="164">
        <f>IF($NJ156=0,0,INDEX('DADOS_FORMAS'!$GC$2:$GC$21,$NJ156))</f>
        <v/>
      </c>
      <c r="OG156" s="164">
        <f>IF($NJ156=0,0,INDEX('DADOS_FORMAS'!$GD$2:$GD$21,$NJ156))</f>
        <v/>
      </c>
      <c r="OH156" s="164">
        <f>IF($NJ156=0,0,INDEX('DADOS_FORMAS'!$GF$2:$GF$21,$NJ156))</f>
        <v/>
      </c>
      <c r="OI156" s="164">
        <f>IFERROR(VLOOKUP(SUBSTITUTE(SUBSTITUTE(SUBSTITUTE($NB156,"~","~~"),"*","~*"),"?","~?"),'DADOS_RESTRICOES'!$M$2:$Q$54,3,FALSE),0)</f>
        <v/>
      </c>
      <c r="OJ156" s="164">
        <f>IFERROR(VLOOKUP(SUBSTITUTE(SUBSTITUTE(SUBSTITUTE($NC156,"~","~~"),"*","~*"),"?","~?"),'DADOS_RESTRICOES'!$M$2:$Q$54,3,FALSE),0)</f>
        <v/>
      </c>
      <c r="OK156" s="164">
        <f>IFERROR(VLOOKUP(SUBSTITUTE(SUBSTITUTE(SUBSTITUTE($NB156,"~","~~"),"*","~*"),"?","~?"),'DADOS_RESTRICOES'!$M$2:$Q$54,2,FALSE),"")</f>
        <v/>
      </c>
      <c r="OL156" s="164">
        <f>IFERROR(VLOOKUP(SUBSTITUTE(SUBSTITUTE(SUBSTITUTE($NC156,"~","~~"),"*","~*"),"?","~?"),'DADOS_RESTRICOES'!$M$2:$Q$54,2,FALSE),"")</f>
        <v/>
      </c>
      <c r="OM156" s="164">
        <f>COUNTIF($NS156:$NW156,1)</f>
        <v/>
      </c>
      <c r="ON156" s="164">
        <f>COUNTIF($NS156:$NW156,2)</f>
        <v/>
      </c>
      <c r="OO156" s="164">
        <f>COUNTIF($NS156:$NW156,3)</f>
        <v/>
      </c>
      <c r="OP156" s="164">
        <f>COUNTIF($NS156:$NW156,4)</f>
        <v/>
      </c>
      <c r="OQ156" s="164">
        <f>COUNTIF($NS156:$NW156,5)</f>
        <v/>
      </c>
      <c r="OR156" s="164">
        <f>COUNTIF($NS156:$NW156,6)</f>
        <v/>
      </c>
      <c r="OS156" s="164">
        <f>COUNTIF($OI156:$OJ156,1)+IF(IFERROR(INDEX('DADOS_FORMAS'!$AS$2:$AS$21,MATCH(SUBSTITUTE(SUBSTITUTE(SUBSTITUTE($MU156,"~","~~"),"*","~*"),"?","~?"),'DADOS_FORMAS'!$AH$2:$AH$21,0)),"")="",0,IFERROR(N(VLOOKUP(SUBSTITUTE(SUBSTITUTE(SUBSTITUTE(IFERROR(INDEX('DADOS_FORMAS'!$AS$2:$AS$21,MATCH(SUBSTITUTE(SUBSTITUTE(SUBSTITUTE($MU156,"~","~~"),"*","~*"),"?","~?"),'DADOS_FORMAS'!$AH$2:$AH$21,0)),""),"~","~~"),"*","~*"),"?","~?"),'DADOS_RESTRICOES'!$M$2:$Q$54,3,FALSE)=1),0))</f>
        <v/>
      </c>
      <c r="OT156" s="164">
        <f>COUNTIF($OI156:$OJ156,2)+IF(IFERROR(INDEX('DADOS_FORMAS'!$AS$2:$AS$21,MATCH(SUBSTITUTE(SUBSTITUTE(SUBSTITUTE($MU156,"~","~~"),"*","~*"),"?","~?"),'DADOS_FORMAS'!$AH$2:$AH$21,0)),"")="",0,IFERROR(N(VLOOKUP(SUBSTITUTE(SUBSTITUTE(SUBSTITUTE(IFERROR(INDEX('DADOS_FORMAS'!$AS$2:$AS$21,MATCH(SUBSTITUTE(SUBSTITUTE(SUBSTITUTE($MU156,"~","~~"),"*","~*"),"?","~?"),'DADOS_FORMAS'!$AH$2:$AH$21,0)),""),"~","~~"),"*","~*"),"?","~?"),'DADOS_RESTRICOES'!$M$2:$Q$54,3,FALSE)=2),0))</f>
        <v/>
      </c>
      <c r="OU156" s="164">
        <f>COUNTIF($MX156:$NA156,"?*")</f>
        <v/>
      </c>
      <c r="OV156" s="164">
        <f>COUNTIF($NB156:$NC156,"?*")+$OF156</f>
        <v/>
      </c>
      <c r="OW156" s="164">
        <f>IF($MS156=0,0,SUMPRODUCT($OM156:$OR156,INDEX($I$2:$N$8,MAX(1,$MS156),0)))</f>
        <v/>
      </c>
      <c r="OX156" s="164">
        <f>IF($MS156=0,0,$OS156*CEILING($MS156/2,1)+$OT156*$MS156)</f>
        <v/>
      </c>
      <c r="OY156" s="164">
        <f>MIN(2*$MS156,$OX156)</f>
        <v/>
      </c>
      <c r="OZ156" s="164">
        <f>MIN($OY156,$OW156-IF($NS156=0,0,INDEX($I$2:$N$8,MAX(1,$MS156),$NS156)))</f>
        <v/>
      </c>
      <c r="PA156" s="164">
        <f>$OY156-$OZ156</f>
        <v/>
      </c>
      <c r="PB156" s="164">
        <f>IF($MS156=0,0,INDEX($P$2:$P$8,MAX(1,$MS156)))</f>
        <v/>
      </c>
      <c r="PC156" s="164">
        <f>$PB156-$OW156+$OZ156</f>
        <v/>
      </c>
      <c r="PD156" s="164">
        <f>IF($MS156=0,MAX(0,$NG156-IF(AND($OU156&gt;0,COUNTIF($NB156:$NC156,"?*")=0),1,0)),MAX(0,$PC156))</f>
        <v/>
      </c>
      <c r="PE156" s="164">
        <f>IF($MS156=0,0,(IF(COUNTIF($RK156:$RN156,"Salto")&gt;0,1,0)+IF(COUNTIF($RK156:$RN156,"Queima")&gt;0,1,0)+IF(COUNTIF($RK156:$RN156,"Estilhaço")&gt;0,1,0))*FLOOR($PD156/2,1))</f>
        <v/>
      </c>
      <c r="PF156" s="164">
        <f>MAX(0,2-SUMPRODUCT($OM156:$OR156,$I$2:$N$2)+MIN(2,$OS156*1+$OT156*1,SUMPRODUCT($OM156:$OR156,$I$2:$N$2)-IF($NS156=0,0,INDEX($I$2:$N$2,1,$NS156))))</f>
        <v/>
      </c>
      <c r="PG156" s="164">
        <f>MAX(0,4-SUMPRODUCT($OM156:$OR156,$I$3:$N$3)+MIN(4,$OS156*1+$OT156*2,SUMPRODUCT($OM156:$OR156,$I$3:$N$3)-IF($NS156=0,0,INDEX($I$3:$N$3,1,$NS156))))</f>
        <v/>
      </c>
      <c r="PH156" s="164">
        <f>MAX(0,6-SUMPRODUCT($OM156:$OR156,$I$4:$N$4)+MIN(6,$OS156*2+$OT156*3,SUMPRODUCT($OM156:$OR156,$I$4:$N$4)-IF($NS156=0,0,INDEX($I$4:$N$4,1,$NS156))))</f>
        <v/>
      </c>
      <c r="PI156" s="164">
        <f>MAX(0,9-SUMPRODUCT($OM156:$OR156,$I$5:$N$5)+MIN(8,$OS156*2+$OT156*4,SUMPRODUCT($OM156:$OR156,$I$5:$N$5)-IF($NS156=0,0,INDEX($I$5:$N$5,1,$NS156))))</f>
        <v/>
      </c>
      <c r="PJ156" s="164">
        <f>MAX(0,11-SUMPRODUCT($OM156:$OR156,$I$6:$N$6)+MIN(10,$OS156*3+$OT156*5,SUMPRODUCT($OM156:$OR156,$I$6:$N$6)-IF($NS156=0,0,INDEX($I$6:$N$6,1,$NS156))))</f>
        <v/>
      </c>
      <c r="PK156" s="164">
        <f>MAX(0,13-SUMPRODUCT($OM156:$OR156,$I$7:$N$7)+MIN(12,$OS156*3+$OT156*6,SUMPRODUCT($OM156:$OR156,$I$7:$N$7)-IF($NS156=0,0,INDEX($I$7:$N$7,1,$NS156))))</f>
        <v/>
      </c>
      <c r="PL156" s="164">
        <f>MAX(0,16-SUMPRODUCT($OM156:$OR156,$I$8:$N$8)+MIN(14,$OS156*4+$OT156*7,SUMPRODUCT($OM156:$OR156,$I$8:$N$8)-IF($NS156=0,0,INDEX($I$8:$N$8,1,$NS156))))</f>
        <v/>
      </c>
      <c r="PM156" s="164">
        <f>IF($OG156=2,3*$PF156&amp;" de vida temp.",IF($OG156=3,"sem dano",IF($PF156=0,IF($OG156=1,"sem cura","sem dano"),IF($OG156=1,"cura ","")&amp;$PF156&amp;"d8")))</f>
        <v/>
      </c>
      <c r="PN156" s="164">
        <f>IF($OG156=2,3*$PG156&amp;" de vida temp.",IF($OG156=3,"sem dano",IF($PG156=0,IF($OG156=1,"sem cura","sem dano"),IF($OG156=1,"cura ","")&amp;$PG156&amp;"d8")))</f>
        <v/>
      </c>
      <c r="PO156" s="164">
        <f>IF($OG156=2,3*$PH156&amp;" de vida temp.",IF($OG156=3,"sem dano",IF($PH156=0,IF($OG156=1,"sem cura","sem dano"),IF($OG156=1,"cura ","")&amp;$PH156&amp;"d8")))</f>
        <v/>
      </c>
      <c r="PP156" s="164">
        <f>IF($OG156=2,3*$PI156&amp;" de vida temp.",IF($OG156=3,"sem dano",IF($PI156=0,IF($OG156=1,"sem cura","sem dano"),IF($OG156=1,"cura ","")&amp;$PI156&amp;"d8")))</f>
        <v/>
      </c>
      <c r="PQ156" s="164">
        <f>IF($OG156=2,3*$PJ156&amp;" de vida temp.",IF($OG156=3,"sem dano",IF($PJ156=0,IF($OG156=1,"sem cura","sem dano"),IF($OG156=1,"cura ","")&amp;$PJ156&amp;"d8")))</f>
        <v/>
      </c>
      <c r="PR156" s="164">
        <f>IF($OG156=2,3*$PK156&amp;" de vida temp.",IF($OG156=3,"sem dano",IF($PK156=0,IF($OG156=1,"sem cura","sem dano"),IF($OG156=1,"cura ","")&amp;$PK156&amp;"d8")))</f>
        <v/>
      </c>
      <c r="PS156" s="164">
        <f>IF($OG156=2,3*$PL156&amp;" de vida temp.",IF($OG156=3,"sem dano",IF($PL156=0,IF($OG156=1,"sem cura","sem dano"),IF($OG156=1,"cura ","")&amp;$PL156&amp;"d8")))</f>
        <v/>
      </c>
      <c r="PT156" s="164">
        <f>IF($ND156=0,"",TEXTJOIN(" · ",TRUE,IF($ND156=0,"",TEXTJOIN(" · ",TRUE,IF($ND156=0,"",TEXTJOIN(" · ",TRUE,IF($MQ156&gt;$NE156,"Este lugar abre no nível "&amp;$MQ156,""),IF($MS156&gt;$NF156,"Classe "&amp;$MS156&amp;": o nível "&amp;$NE156&amp;" libera até a "&amp;$NF156,""),IF($NX156=1,"A Forma "&amp;$MU156&amp;" pede "&amp;INDEX('DADOS_FORMAS'!$GA$2:$GA$21,$NJ156)&amp;" aberta",""),IF(AND($MS156=0,$NJ156&gt;0,IF($NJ156=0,0,INDEX('DADOS_FORMAS'!$GJ$2:$GJ$21,$NJ156))=0),$MU156&amp;" não existe na Classe 0",""),IF($NY156=1,"Família Fechada: "&amp;$MX156,""),IF($NZ156=1,"Família Fechada: "&amp;$MY156,""),IF($OA156=1,"Família Fechada: "&amp;$MZ156,""),IF($OB156=1,"Família Fechada: "&amp;$NA156,""),IF(AND($MS156&gt;0,$OU156&gt;INDEX($O$2:$O$8,MAX(1,$MS156))),$OU156&amp;" Melhorias: a Classe "&amp;$MS156&amp;" aceita "&amp;INDEX($O$2:$O$8,MAX(1,$MS156)),""),IF(AND($MS156=0,$OU156&gt;1),"A básica aceita uma Melhoria",""),IF(AND($MS156=0,COUNTIF($NO156:$NR156,"&gt;1")&gt;0),"A básica só aceita Melhoria Leve",""),IF(AND($MS156&gt;0,$OV156&gt;2),$OV156&amp;" Restrições"&amp;IF($OF156=1,", contando a que a Forma "&amp;$MU156&amp;" já traz","")&amp;": o limite é 2",""),IF(AND($MS156=0,COUNTIF($NB156:$NC156,"?*")&gt;1),"A básica aceita uma Restrição Leve",""),IF(AND($MS156=0,COUNTIF($OI156:$OJ156,2)&gt;0),"A básica só aceita Restrição Leve",""),IF(AND($MS156&gt;0,$PC156&lt;0),"Orçamento estourado: faltam "&amp;(-$PC156)&amp;IF($PC156&lt;-1," pontos"," ponto"),""),IF(IFERROR(VLOOKUP(SUBSTITUTE(SUBSTITUTE(SUBSTITUTE($NB156,"~","~~"),"*","~*"),"?","~?"),'DADOS_RESTRICOES'!$M$2:$Q$54,4,FALSE),0)+IFERROR(VLOOKUP(SUBSTITUTE(SUBSTITUTE(SUBSTITUTE($NC156,"~","~~"),"*","~*"),"?","~?"),'DADOS_RESTRICOES'!$M$2:$Q$54,4,FALSE),0)&gt;1,$OK156&amp;" e "&amp;$OL156&amp;" são as duas de frequência",""),IF(AND((COUNTIF($RK156:$RN156,"Rápido")+COUNTIF($OK156:$OL156,"Rápido"))&gt;0,(COUNTIF($MX156:$NA156,"Atrasar")+COUNTIF($OK156:$OL156,"Atrasar"))&gt;0),"Rápido não entra com Atrasar",""),IF(AND((COUNTIF($RK156:$RN156,"Reação")+COUNTIF($OK156:$OL156,"Reação"))&gt;0,(COUNTIF($RK156:$RN156,"Rápido")+COUNTIF($OK156:$OL156,"Rápido"))&gt;0),"Reação não entra com Rápido",""),IF(AND((COUNTIF($RK156:$RN156,"Reação")+COUNTIF($OK156:$OL156,"Reação"))&gt;0,(COUNTIF($RK156:$RN156,"Armado")+COUNTIF($OK156:$OL156,"Armado"))&gt;0),"Reação não entra com Armado",""),IF(AND((COUNTIF($RK156:$RN156,"Reação")+COUNTIF($OK156:$OL156,"Reação"))&gt;0,(COUNTIF($MX156:$NA156,"Atrasar")+COUNTIF($OK156:$OL156,"Atrasar"))&gt;0),"Reação não entra com Atrasar",""),IF(AND((COUNTIF($RK156:$RN156,"Reação")+COUNTIF($OK156:$OL156,"Reação"))&gt;0,(COUNTIF($MX156:$NA156,"Parado")+COUNTIF($OK156:$OL156,"Parado"))&gt;0),"Reação não entra com Parado",""),IF(AND((COUNTIF($MX156:$NA156,"Atrasar")+COUNTIF($OK156:$OL156,"Atrasar"))&gt;0,(COUNTIF($MX156:$NA156,"Parado")+COUNTIF($OK156:$OL156,"Parado"))&gt;0),"Atrasar não entra com Parado",""),IF(AND((COUNTIF($RK156:$RN156,"Armado")+COUNTIF($OK156:$OL156,"Armado"))&gt;0,(COUNTIF($MX156:$NA156,"Carregar")+COUNTIF($OK156:$OL156,"Carregar"))&gt;0),"Armado não entra com Carregar",""),IF(AND(COUNTIF($OK156:$OL156,"Corpo a Corpo")&gt;0,$OF156=0,OR($RO156="Cone",$RO156="Linha")),"Corpo a Corpo não entra em "&amp;$MU156,""),IF(AND(COUNTIF($OK156:$OL156,"Corpo a Corpo")&gt;0,$RP156="Corpo a Corpo"),"A Forma "&amp;$MU156&amp;" já traz o Corpo a Corpo",""),IF(AND(COUNTIF($OK156:$OL156,"Tudo ou Nada")&gt;0,$OH156=0),"Tudo ou Nada só entra em habilidade de Teste de Resistência",""),IF(AND(COUNTIF($RK156:$RN156,"Inescapável")&gt;0,OR($OU156&gt;1,$OV156&gt;0)),"Inescapável não aceita outra peça",""),IF(AND($MS156&gt;0,$PD156*IF(COUNTIF($RK156:$RN156,"Remate")&gt;0,1.25,1)+$PE156&gt;4*$MS156),($PD156*IF(COUNTIF($RK156:$RN156,"Remate")&gt;0,1.25,1)+$PE156)&amp;" dados somando repetições"&amp;IF(COUNTIF($RK156:$RN156,"Remate")&gt;0," e o Remate","")&amp;": o teto da Classe "&amp;$MS156&amp;" é "&amp;4*$MS156,""))),IF(AND($MX156&lt;&gt;"",COUNTIF('DADOS_MELHORIAS'!$O$2:$O$113,SUBSTITUTE(SUBSTITUTE(SUBSTITUTE($MX156,"~","~~"),"*","~*"),"?","~?"))=0),"Melhoria não cadastrada ou com erro: "&amp;$MX156,""),IF(AND($MY156&lt;&gt;"",COUNTIF('DADOS_MELHORIAS'!$O$2:$O$113,SUBSTITUTE(SUBSTITUTE(SUBSTITUTE($MY156,"~","~~"),"*","~*"),"?","~?"))=0),"Melhoria não cadastrada ou com erro: "&amp;$MY156,""),IF(AND($MZ156&lt;&gt;"",COUNTIF('DADOS_MELHORIAS'!$O$2:$O$113,SUBSTITUTE(SUBSTITUTE(SUBSTITUTE($MZ156,"~","~~"),"*","~*"),"?","~?"))=0),"Melhoria não cadastrada ou com erro: "&amp;$MZ156,""),IF(AND($NA156&lt;&gt;"",COUNTIF('DADOS_MELHORIAS'!$O$2:$O$113,SUBSTITUTE(SUBSTITUTE(SUBSTITUTE($NA156,"~","~~"),"*","~*"),"?","~?"))=0),"Melhoria não cadastrada ou com erro: "&amp;$NA156,""),IF(AND($NB156&lt;&gt;"",COUNTIF('DADOS_RESTRICOES'!$M$2:$M$54,SUBSTITUTE(SUBSTITUTE(SUBSTITUTE($NB156,"~","~~"),"*","~*"),"?","~?"))=0),"Restrição não cadastrada ou com erro: "&amp;$NB156,""),IF(AND($NC156&lt;&gt;"",COUNTIF('DADOS_RESTRICOES'!$M$2:$M$54,SUBSTITUTE(SUBSTITUTE(SUBSTITUTE($NC156,"~","~~"),"*","~*"),"?","~?"))=0),"Restrição não cadastrada ou com erro: "&amp;$NC156,""))),IF(AND($MU156&lt;&gt;"",COUNTIF('DADOS_FORMAS'!$AH$2:$AH$21,SUBSTITUTE(SUBSTITUTE(SUBSTITUTE($MU156,"~","~~"),"*","~*"),"?","~?"))=0),"Forma não cadastrada ou com erro: "&amp;$MU156,""),IF(AND(IFERROR(INDEX('DADOS_FORMAS'!$AS$2:$AS$21,MATCH(SUBSTITUTE(SUBSTITUTE(SUBSTITUTE($MU156,"~","~~"),"*","~*"),"?","~?"),'DADOS_FORMAS'!$AH$2:$AH$21,0)),"")&lt;&gt;"",OR(IFERROR(VLOOKUP(SUBSTITUTE(SUBSTITUTE(SUBSTITUTE(IFERROR(INDEX('DADOS_FORMAS'!$AS$2:$AS$21,MATCH(SUBSTITUTE(SUBSTITUTE(SUBSTITUTE($MU156,"~","~~"),"*","~*"),"?","~?"),'DADOS_FORMAS'!$AH$2:$AH$21,0)),""),"~","~~"),"*","~*"),"?","~?"),'DADOS_RESTRICOES'!$M$2:$Q$54,2,FALSE),"")=$OK156,IFERROR(VLOOKUP(SUBSTITUTE(SUBSTITUTE(SUBSTITUTE(IFERROR(INDEX('DADOS_FORMAS'!$AS$2:$AS$21,MATCH(SUBSTITUTE(SUBSTITUTE(SUBSTITUTE($MU156,"~","~~"),"*","~*"),"?","~?"),'DADOS_FORMAS'!$AH$2:$AH$21,0)),""),"~","~~"),"*","~*"),"?","~?"),'DADOS_RESTRICOES'!$M$2:$Q$54,2,FALSE),"")=$OL156)),"Restrição repetida, contando a embutida",""),IF(IF(IFERROR(INDEX('DADOS_FORMAS'!$AS$2:$AS$21,MATCH(SUBSTITUTE(SUBSTITUTE(SUBSTITUTE($MU156,"~","~~"),"*","~*"),"?","~?"),'DADOS_FORMAS'!$AH$2:$AH$21,0)),"")="",0,IFERROR(N(VLOOKUP(SUBSTITUTE(SUBSTITUTE(SUBSTITUTE(IFERROR(INDEX('DADOS_FORMAS'!$AS$2:$AS$21,MATCH(SUBSTITUTE(SUBSTITUTE(SUBSTITUTE($MU156,"~","~~"),"*","~*"),"?","~?"),'DADOS_FORMAS'!$AH$2:$AH$21,0)),""),"~","~~"),"*","~*"),"?","~?"),'DADOS_RESTRICOES'!$M$2:$Q$54,4,FALSE)=1),0))+IF($NB156="",0,IFERROR(N(VLOOKUP(SUBSTITUTE(SUBSTITUTE(SUBSTITUTE($NB156,"~","~~"),"*","~*"),"?","~?"),'DADOS_RESTRICOES'!$M$2:$Q$54,4,FALSE)=1),0))+IF($NC156="",0,IFERROR(N(VLOOKUP(SUBSTITUTE(SUBSTITUTE(SUBSTITUTE($NC156,"~","~~"),"*","~*"),"?","~?"),'DADOS_RESTRICOES'!$M$2:$Q$54,4,FALSE)=1),0))&gt;1,"Duas Restrições de frequência, contando a embutida",""),IF(AND(IFERROR(VLOOKUP(SUBSTITUTE(SUBSTITUTE(SUBSTITUTE(IFERROR(INDEX('DADOS_FORMAS'!$AS$2:$AS$21,MATCH(SUBSTITUTE(SUBSTITUTE(SUBSTITUTE($MU156,"~","~~"),"*","~*"),"?","~?"),'DADOS_FORMAS'!$AH$2:$AH$21,0)),""),"~","~~"),"*","~*"),"?","~?"),'DADOS_RESTRICOES'!$M$2:$Q$54,2,FALSE),"")="Tudo ou Nada",$OH156=0),"Tudo ou Nada exige TR",""),IF(AND(IFERROR(VLOOKUP(SUBSTITUTE(SUBSTITUTE(SUBSTITUTE(IFERROR(INDEX('DADOS_FORMAS'!$AS$2:$AS$21,MATCH(SUBSTITUTE(SUBSTITUTE(SUBSTITUTE($MU156,"~","~~"),"*","~*"),"?","~?"),'DADOS_FORMAS'!$AH$2:$AH$21,0)),""),"~","~~"),"*","~*"),"?","~?"),'DADOS_RESTRICOES'!$M$2:$Q$54,2,FALSE),"")="Corpo a Corpo",OR($RO156="Cone",$RO156="Linha")),"Corpo a Corpo não entra em Cone/Linha","")))</f>
        <v/>
      </c>
      <c r="PU156" s="164">
        <f>IF($PT156="",0,(LEN($PT156)-LEN(SUBSTITUTE($PT156," · ","")))/3+1)</f>
        <v/>
      </c>
      <c r="PV156" s="164">
        <f>IF($ND156=0,"",TEXTJOIN(" · ",TRUE,IF($OX156&gt;2*$MS156,"A devolução parou no teto de "&amp;2*$MS156,""),IF($PA156&gt;0,"Devolução perdida: "&amp;$PA156&amp;IF($PA156&gt;1," pontos"," ponto")&amp;" sem Melhoria para pagar",""),IF(AND($OC156&gt;0,AND($MS156&gt;0,$OG156=0),$PD156=0),"Controle sem dano: uma rodada a mais e CD +2",""),IF(AND($OC156&gt;0,AND($MS156&gt;0,$OG156=0),$PD156&gt;0,$PD156&lt;=$MS156),"Controle com saldo até a Classe: uma rodada a mais",""),IF(AND($MS156&gt;0,$OE156&lt;&gt;""),"Efeito de "&amp;$OE156&amp;" pela Classe "&amp;MAX(1,$MS156-1),"")))</f>
        <v/>
      </c>
      <c r="PW156" s="164">
        <f>IF($PV156="",0,(LEN($PV156)-LEN(SUBSTITUTE($PV156," · ","")))/3+1)</f>
        <v/>
      </c>
      <c r="PX156" s="164">
        <f>IF($ND156=0,IF($OU156+COUNTIF($NB156:$NC156,"?*")&gt;0,"Dê um nome",""),IF($PU156&gt;0,"⚠ "&amp;$PU156&amp;IF($PU156&gt;1," erros"," erro"),IF($PW156&gt;0,"! "&amp;$PW156&amp;IF($PW156&gt;1," avisos"," aviso"),"Na regra")))</f>
        <v/>
      </c>
      <c r="PY156" s="164">
        <f>IF($ND156=0,"",IF($PU156+$PW156=0,"Dentro das regras que a ficha confere",$PT156&amp;IF(AND($PU156&gt;0,$PW156&gt;0)," · ","")&amp;$PV156))</f>
        <v/>
      </c>
      <c r="PZ156" s="164">
        <f>IF($MQ156&gt;$NE156,$MR156&amp;" · ABRE NO NÍVEL "&amp;$MQ156,$MR156)</f>
        <v/>
      </c>
      <c r="QA156" s="164">
        <f>IF($ND156=0,"",IF($MS156=0,"Sem PE",3*$MS156&amp;" PE"))</f>
        <v/>
      </c>
      <c r="QB156" s="164">
        <f>IF($ND156=0,"",IF($MS156=0,"A atuação básica dela",IF(COUNTIF($RQ156:$RS156,"Atrasar")&gt;0,"Sua Ação Completa",IF(COUNTIF($RK156:$RN156,"Rápido")&gt;0,"Sua Bônus",IF(COUNTIF($RK156:$RN156,"Reação")&gt;0,"Sua Reação","Sua Padrão")))&amp;" + a básica dela"&amp;IF(COUNTIF($RK156:$RN156,"Reação")&gt;0," e a coletiva","")&amp;IF(COUNTIF($RQ156:$RS156,"Carregar")&gt;0," · em dois turnos","")))</f>
        <v/>
      </c>
      <c r="QC156" s="164">
        <f>IF($MW156&lt;&gt;"",$MW156,IF($NJ156=0,"",INDEX('DADOS_FORMAS'!$GE$2:$GE$21,$NJ156)))</f>
        <v/>
      </c>
      <c r="QD156" s="164">
        <f>IF(OR($ND156=0,$NJ156=0),"",IF(COUNTIF($RK156:$RN156,"Inescapável")&gt;0,"Automático",IF($QC156="Ataque",IF($NH156="","Ataque","Ataque "&amp;IF(($NH156+2*IF(COUNTIF($RK156:$RN156,"Precisão")&gt;0,1,0))&gt;=0,"+","−")&amp;ABS(($NH156+2*IF(COUNTIF($RK156:$RN156,"Precisão")&gt;0,1,0))))&amp;IF($OD156&gt;0," · TR"&amp;IF($NI156="",""," CD "&amp;$NI156),""),IF(LEFT($QC156,2)="TR",$QC156&amp;IF($NI156="",""," · CD "&amp;$NI156)&amp;IF(COUNTIF($RK156:$RN156,"Certeiro")&gt;0," · metade",""),"Sem rolagem"))))</f>
        <v/>
      </c>
      <c r="QE156" s="164">
        <f>IF(OR($ND156=0,$NJ156=0),"",IF($MS156=0,IF(OR($OG156&gt;=1,$PD156=0),"Sem dano",$PD156&amp;"d6"&amp;IF($MV156="",""," "&amp;$MV156)),IF(OR($OG156&gt;=1,$PD156=0),UPPER(LEFT(INDEX($PM156:$PS156,1,MAX(1,$MS156)),1))&amp;MID(INDEX($PM156:$PS156,1,MAX(1,$MS156)),2,99),UPPER(LEFT(INDEX($PM156:$PS156,1,MAX(1,$MS156)),1))&amp;MID(INDEX($PM156:$PS156,1,MAX(1,$MS156)),2,99)&amp;IF($MV156="",""," "&amp;$MV156)&amp;IF($PE156&gt;0," · +"&amp;$PE156&amp;"d8",""))))</f>
        <v/>
      </c>
      <c r="QF156" s="164">
        <f>COUNTIF($RK156:$RN156,"Longe")+3*COUNTIF($RK156:$RN156,"Muito Longe")</f>
        <v/>
      </c>
      <c r="QG156" s="164">
        <f>COUNTIF($RK156:$RN156,"Maior")+3*COUNTIF($RK156:$RN156,"Muito Maior")</f>
        <v/>
      </c>
      <c r="QH156" s="164">
        <f>IF($NJ156=0,0,CHOOSE(1+INDEX('DADOS_FORMAS'!$GG$2:$GG$21,$NJ156),0,$QF156,$QG156,$QF156+$QG156))</f>
        <v/>
      </c>
      <c r="QI156" s="164">
        <f>IF($NJ156=0,0,CHOOSE(1+INDEX('DADOS_FORMAS'!$GH$2:$GH$21,$NJ156),0,$QF156,$QG156,$QF156+$QG156))</f>
        <v/>
      </c>
      <c r="QJ156" s="164">
        <f>IF(OR($ND156=0,$NJ156=0),"",INDEX('DADOS_FORMAS'!$HU$2:$HZ$81,($NJ156-1)*4+IF($MS156=0,1,IF($MS156&lt;=5,2,IF($MS156=6,3,4))),1+MIN(5,$QH156))&amp;INDEX('DADOS_FORMAS'!$IA$2:$IF$81,($NJ156-1)*4+IF($MS156=0,1,IF($MS156&lt;=5,2,IF($MS156=6,3,4))),1+MIN(5,$QI156))&amp;IF(INDEX('DADOS_FORMAS'!$GI$2:$GI$21,$NJ156)=1,IF(COUNTIF($RK156:$RN156,"Mais Um")&gt;0," · +"&amp;COUNTIF($RK156:$RN156,"Mais Um")&amp;IF(COUNTIF($RK156:$RN156,"Mais Um")&gt;1," alvos"," alvo"),"")&amp;IF(COUNTIF($RK156:$RN156,"Rajada")&gt;0,IF($MS156=0," · 1 tiro"," · "&amp;(MAX(1,$MS156-1)+1)&amp;" tiros"),""),""))</f>
        <v/>
      </c>
      <c r="QK156" s="164">
        <f>IF($ND156=0,"",IF($MS156=0,$NG156&amp;"d6"&amp;IF($OU156&gt;0," − 1 = "&amp;$PD156&amp;"d6"," da básica do nível "&amp;$NE156),$PB156&amp;" − "&amp;$OW156&amp;" + "&amp;$OZ156&amp;" = "&amp;$PC156&amp;" · teto "&amp;4*$MS156&amp;"d8"&amp;IF($OF156=1," · a Forma devolve "&amp;$MS156,"")&amp;IF($PA156&gt;0," · perde "&amp;$PA156,"")))</f>
        <v/>
      </c>
      <c r="QL156" s="164">
        <f>IF($ND156=0,"",IF($MS156=0,"A básica não amplia: os dados dela sobem com o nível",IF($MS156&gt;=$NF156,"Já está na maior Classe que o nível liberou",TEXTJOIN(" · ",TRUE,IF(AND(2&gt;$MS156,2&lt;=$NF156),"2 → "&amp;$PN156&amp;", 6 PE",""),IF(AND(3&gt;$MS156,3&lt;=$NF156),"3 → "&amp;$PO156&amp;", 9 PE",""),IF(AND(4&gt;$MS156,4&lt;=$NF156),"4 → "&amp;$PP156&amp;", 12 PE",""),IF(AND(5&gt;$MS156,5&lt;=$NF156),"5 → "&amp;$PQ156&amp;", 15 PE",""),IF(AND(6&gt;$MS156,6&lt;=$NF156),"6 → "&amp;$PR156&amp;", 18 PE",""),IF(AND(7&gt;$MS156,7&lt;=$NF156),"7 → "&amp;$PS156&amp;", 21 PE","")))))</f>
        <v/>
      </c>
      <c r="QM156" s="164">
        <f>IF(OR($ND156=0,$NO156=0),"",IF($MS156=0,"−1 dado","−"&amp;INDEX($I$2:$N$8,MAX(1,$MS156),MAX(1,$NT156))&amp;" · "&amp;CHOOSE(MAX(1,$NT156),"Leve","Média","Pesada","Leve · Livre","Média · Livre","Pesada · Livre")))</f>
        <v/>
      </c>
      <c r="QN156" s="164">
        <f>IF(OR($ND156=0,$NP156=0),"",IF($MS156=0,"−1 dado","−"&amp;INDEX($I$2:$N$8,MAX(1,$MS156),MAX(1,$NU156))&amp;" · "&amp;CHOOSE(MAX(1,$NU156),"Leve","Média","Pesada","Leve · Livre","Média · Livre","Pesada · Livre")))</f>
        <v/>
      </c>
      <c r="QO156" s="164">
        <f>IF(OR($ND156=0,$NQ156=0),"",IF($MS156=0,"−1 dado","−"&amp;INDEX($I$2:$N$8,MAX(1,$MS156),MAX(1,$NV156))&amp;" · "&amp;CHOOSE(MAX(1,$NV156),"Leve","Média","Pesada","Leve · Livre","Média · Livre","Pesada · Livre")))</f>
        <v/>
      </c>
      <c r="QP156" s="164">
        <f>IF(OR($ND156=0,$NR156=0),"",IF($MS156=0,"−1 dado","−"&amp;INDEX($I$2:$N$8,MAX(1,$MS156),MAX(1,$NW156))&amp;" · "&amp;CHOOSE(MAX(1,$NW156),"Leve","Média","Pesada","Leve · Livre","Média · Livre","Pesada · Livre")))</f>
        <v/>
      </c>
      <c r="QQ156" s="164">
        <f>IF(OR($ND156=0,$NB156=""),"",IF($MS156=0,"não devolve","+"&amp;IF($OI156=1,CEILING($MS156/2,1),$MS156)))</f>
        <v/>
      </c>
      <c r="QR156" s="164">
        <f>IF(OR($ND156=0,$NC156=""),"",IF($MS156=0,"não devolve","+"&amp;IF($OJ156=1,CEILING($MS156/2,1),$MS156)))</f>
        <v/>
      </c>
      <c r="RK156">
        <f>IF($MX156="","",IFERROR(VLOOKUP(SUBSTITUTE(SUBSTITUTE(SUBSTITUTE($MX156,"~","~~"),"*","~*"),"?","~?"),'DADOS_MELHORIAS'!$O$2:$X$113,10,FALSE),$MX156))</f>
        <v/>
      </c>
      <c r="RL156">
        <f>IF($MY156="","",IFERROR(VLOOKUP(SUBSTITUTE(SUBSTITUTE(SUBSTITUTE($MY156,"~","~~"),"*","~*"),"?","~?"),'DADOS_MELHORIAS'!$O$2:$X$113,10,FALSE),$MY156))</f>
        <v/>
      </c>
      <c r="RM156">
        <f>IF($MZ156="","",IFERROR(VLOOKUP(SUBSTITUTE(SUBSTITUTE(SUBSTITUTE($MZ156,"~","~~"),"*","~*"),"?","~?"),'DADOS_MELHORIAS'!$O$2:$X$113,10,FALSE),$MZ156))</f>
        <v/>
      </c>
      <c r="RN156">
        <f>IF($NA156="","",IFERROR(VLOOKUP(SUBSTITUTE(SUBSTITUTE(SUBSTITUTE($NA156,"~","~~"),"*","~*"),"?","~?"),'DADOS_MELHORIAS'!$O$2:$X$113,10,FALSE),$NA156))</f>
        <v/>
      </c>
      <c r="RO156">
        <f>IFERROR(INDEX('DADOS_FORMAS'!$BJ$2:$BJ$21,MATCH(SUBSTITUTE(SUBSTITUTE(SUBSTITUTE($MU156,"~","~~"),"*","~*"),"?","~?"),'DADOS_FORMAS'!$AH$2:$AH$21,0)),"")</f>
        <v/>
      </c>
      <c r="RP156">
        <f>IFERROR(VLOOKUP(SUBSTITUTE(SUBSTITUTE(SUBSTITUTE(IFERROR(INDEX('DADOS_FORMAS'!$AS$2:$AS$21,MATCH(SUBSTITUTE(SUBSTITUTE(SUBSTITUTE($MU156,"~","~~"),"*","~*"),"?","~?"),'DADOS_FORMAS'!$AH$2:$AH$21,0)),""),"~","~~"),"*","~*"),"?","~?"),'DADOS_RESTRICOES'!$M$2:$Q$54,2,FALSE),"")</f>
        <v/>
      </c>
      <c r="RQ156">
        <f>$OK156</f>
        <v/>
      </c>
      <c r="RR156">
        <f>$OL156</f>
        <v/>
      </c>
      <c r="RS156">
        <f>$RP156</f>
        <v/>
      </c>
    </row>
    <row r="157">
      <c r="MN157" s="162" t="inlineStr">
        <is>
          <t>Ficha 12 · Escolha da trilha 3</t>
        </is>
      </c>
      <c r="MO157" s="164" t="n">
        <v>12</v>
      </c>
      <c r="MP157" s="164" t="n">
        <v>2</v>
      </c>
      <c r="MQ157" s="164" t="n">
        <v>0</v>
      </c>
      <c r="MR157" s="162" t="inlineStr">
        <is>
          <t>ESCOLHA DA TRILHA 3</t>
        </is>
      </c>
      <c r="MS157" s="164">
        <f>MAX(0,MIN(7,N('INVOCAÇÕES'!$AN$1228)))</f>
        <v/>
      </c>
      <c r="MT157" s="164">
        <f>'INVOCAÇÕES'!$AO$1228&amp;""</f>
        <v/>
      </c>
      <c r="MU157" s="164">
        <f>'INVOCAÇÕES'!$AN$1233&amp;""</f>
        <v/>
      </c>
      <c r="MV157" s="164">
        <f>'INVOCAÇÕES'!$AN$1234&amp;""</f>
        <v/>
      </c>
      <c r="MW157" s="164">
        <f>'INVOCAÇÕES'!$AP$1234&amp;""</f>
        <v/>
      </c>
      <c r="MX157" s="164">
        <f>'INVOCAÇÕES'!$AO$1237&amp;""</f>
        <v/>
      </c>
      <c r="MY157" s="164">
        <f>'INVOCAÇÕES'!$AO$1238&amp;""</f>
        <v/>
      </c>
      <c r="MZ157" s="164">
        <f>'INVOCAÇÕES'!$AO$1239&amp;""</f>
        <v/>
      </c>
      <c r="NA157" s="164">
        <f>'INVOCAÇÕES'!$AO$1240&amp;""</f>
        <v/>
      </c>
      <c r="NB157" s="164">
        <f>'INVOCAÇÕES'!$AO$1241&amp;""</f>
        <v/>
      </c>
      <c r="NC157" s="164">
        <f>'INVOCAÇÕES'!$AO$1242&amp;""</f>
        <v/>
      </c>
      <c r="ND157" s="164">
        <f>IF($MT157&lt;&gt;"",1,0)</f>
        <v/>
      </c>
      <c r="NE157" s="164">
        <f>INDEX($FO$2:$FO$13,$MO157)</f>
        <v/>
      </c>
      <c r="NF157" s="164">
        <f>INDEX($FP$2:$FP$13,$MO157)</f>
        <v/>
      </c>
      <c r="NG157" s="164">
        <f>INDEX($FQ$2:$FQ$13,$MO157)</f>
        <v/>
      </c>
      <c r="NH157" s="164">
        <f>INDEX($GB$2:$GB$13,$MO157)</f>
        <v/>
      </c>
      <c r="NI157" s="164">
        <f>INDEX($GC$2:$GC$13,$MO157)</f>
        <v/>
      </c>
      <c r="NJ157" s="164">
        <f>IFERROR(MATCH(SUBSTITUTE(SUBSTITUTE(SUBSTITUTE($MU157,"~","~~"),"*","~*"),"?","~?"),'DADOS_FORMAS'!$FZ$2:$FZ$21,0),0)</f>
        <v/>
      </c>
      <c r="NK157" s="164">
        <f>IFERROR(VLOOKUP(SUBSTITUTE(SUBSTITUTE(SUBSTITUTE($MX157,"~","~~"),"*","~*"),"?","~?"),'DADOS_MELHORIAS'!$AG$2:$AL$113,2,FALSE),"")</f>
        <v/>
      </c>
      <c r="NL157" s="164">
        <f>IFERROR(VLOOKUP(SUBSTITUTE(SUBSTITUTE(SUBSTITUTE($MY157,"~","~~"),"*","~*"),"?","~?"),'DADOS_MELHORIAS'!$AG$2:$AL$113,2,FALSE),"")</f>
        <v/>
      </c>
      <c r="NM157" s="164">
        <f>IFERROR(VLOOKUP(SUBSTITUTE(SUBSTITUTE(SUBSTITUTE($MZ157,"~","~~"),"*","~*"),"?","~?"),'DADOS_MELHORIAS'!$AG$2:$AL$113,2,FALSE),"")</f>
        <v/>
      </c>
      <c r="NN157" s="164">
        <f>IFERROR(VLOOKUP(SUBSTITUTE(SUBSTITUTE(SUBSTITUTE($NA157,"~","~~"),"*","~*"),"?","~?"),'DADOS_MELHORIAS'!$AG$2:$AL$113,2,FALSE),"")</f>
        <v/>
      </c>
      <c r="NO157" s="164">
        <f>IFERROR(VLOOKUP(SUBSTITUTE(SUBSTITUTE(SUBSTITUTE($MX157,"~","~~"),"*","~*"),"?","~?"),'DADOS_MELHORIAS'!$AG$2:$AL$113,3,FALSE),0)</f>
        <v/>
      </c>
      <c r="NP157" s="164">
        <f>IFERROR(VLOOKUP(SUBSTITUTE(SUBSTITUTE(SUBSTITUTE($MY157,"~","~~"),"*","~*"),"?","~?"),'DADOS_MELHORIAS'!$AG$2:$AL$113,3,FALSE),0)</f>
        <v/>
      </c>
      <c r="NQ157" s="164">
        <f>IFERROR(VLOOKUP(SUBSTITUTE(SUBSTITUTE(SUBSTITUTE($MZ157,"~","~~"),"*","~*"),"?","~?"),'DADOS_MELHORIAS'!$AG$2:$AL$113,3,FALSE),0)</f>
        <v/>
      </c>
      <c r="NR157" s="164">
        <f>IFERROR(VLOOKUP(SUBSTITUTE(SUBSTITUTE(SUBSTITUTE($NA157,"~","~~"),"*","~*"),"?","~?"),'DADOS_MELHORIAS'!$AG$2:$AL$113,3,FALSE),0)</f>
        <v/>
      </c>
      <c r="NS157" s="164">
        <f>IF($MS157=0,0,IF($NJ157=0,0,INDEX('DADOS_FORMAS'!$GB$2:$GB$21,$NJ157)))</f>
        <v/>
      </c>
      <c r="NT157" s="164">
        <f>IF(OR($NO157=0,$MS157=0),0,$NO157+3*IF(AND($NK157&lt;&gt;"",COUNTIF(INDEX($RB$2:$RJ$13,$MO157,0),$NK157)&gt;0),1,0))</f>
        <v/>
      </c>
      <c r="NU157" s="164">
        <f>IF(OR($NP157=0,$MS157=0),0,$NP157+3*IF(AND($NL157&lt;&gt;"",COUNTIF(INDEX($RB$2:$RJ$13,$MO157,0),$NL157)&gt;0),1,0))</f>
        <v/>
      </c>
      <c r="NV157" s="164">
        <f>IF(OR($NQ157=0,$MS157=0),0,$NQ157+3*IF(AND($NM157&lt;&gt;"",COUNTIF(INDEX($RB$2:$RJ$13,$MO157,0),$NM157)&gt;0),1,0))</f>
        <v/>
      </c>
      <c r="NW157" s="164">
        <f>IF(OR($NR157=0,$MS157=0),0,$NR157+3*IF(AND($NN157&lt;&gt;"",COUNTIF(INDEX($RB$2:$RJ$13,$MO157,0),$NN157)&gt;0),1,0))</f>
        <v/>
      </c>
      <c r="NX157" s="164">
        <f>IF($NJ157=0,0,IF(INDEX('DADOS_FORMAS'!$GA$2:$GA$21,$NJ157)="",0,IF((COUNTIF(INDEX($EL$2:$EP$13,$MO157,0),INDEX('DADOS_FORMAS'!$GA$2:$GA$21,$NJ157))+COUNTIF(INDEX($QV$2:$QY$13,$MO157,0),INDEX('DADOS_FORMAS'!$GA$2:$GA$21,$NJ157)))=0,1,0)))</f>
        <v/>
      </c>
      <c r="NY157" s="164">
        <f>IF(OR($NO157=0,$NK157=""),0,IF((COUNTIF(INDEX($EL$2:$EP$13,$MO157,0),$NK157)+COUNTIF(INDEX($QV$2:$QY$13,$MO157,0),$NK157))=0,1,0))</f>
        <v/>
      </c>
      <c r="NZ157" s="164">
        <f>IF(OR($NP157=0,$NL157=""),0,IF((COUNTIF(INDEX($EL$2:$EP$13,$MO157,0),$NL157)+COUNTIF(INDEX($QV$2:$QY$13,$MO157,0),$NL157))=0,1,0))</f>
        <v/>
      </c>
      <c r="OA157" s="164">
        <f>IF(OR($NQ157=0,$NM157=""),0,IF((COUNTIF(INDEX($EL$2:$EP$13,$MO157,0),$NM157)+COUNTIF(INDEX($QV$2:$QY$13,$MO157,0),$NM157))=0,1,0))</f>
        <v/>
      </c>
      <c r="OB157" s="164">
        <f>IF(OR($NR157=0,$NN157=""),0,IF((COUNTIF(INDEX($EL$2:$EP$13,$MO157,0),$NN157)+COUNTIF(INDEX($QV$2:$QY$13,$MO157,0),$NN157))=0,1,0))</f>
        <v/>
      </c>
      <c r="OC157" s="164">
        <f>IFERROR(VLOOKUP(SUBSTITUTE(SUBSTITUTE(SUBSTITUTE($MX157,"~","~~"),"*","~*"),"?","~?"),'DADOS_MELHORIAS'!$AG$2:$AL$113,4,FALSE),0)+IFERROR(VLOOKUP(SUBSTITUTE(SUBSTITUTE(SUBSTITUTE($MY157,"~","~~"),"*","~*"),"?","~?"),'DADOS_MELHORIAS'!$AG$2:$AL$113,4,FALSE),0)+IFERROR(VLOOKUP(SUBSTITUTE(SUBSTITUTE(SUBSTITUTE($MZ157,"~","~~"),"*","~*"),"?","~?"),'DADOS_MELHORIAS'!$AG$2:$AL$113,4,FALSE),0)+IFERROR(VLOOKUP(SUBSTITUTE(SUBSTITUTE(SUBSTITUTE($NA157,"~","~~"),"*","~*"),"?","~?"),'DADOS_MELHORIAS'!$AG$2:$AL$113,4,FALSE),0)</f>
        <v/>
      </c>
      <c r="OD157" s="164">
        <f>IFERROR(VLOOKUP(SUBSTITUTE(SUBSTITUTE(SUBSTITUTE($MX157,"~","~~"),"*","~*"),"?","~?"),'DADOS_MELHORIAS'!$AG$2:$AL$113,6,FALSE),0)+IFERROR(VLOOKUP(SUBSTITUTE(SUBSTITUTE(SUBSTITUTE($MY157,"~","~~"),"*","~*"),"?","~?"),'DADOS_MELHORIAS'!$AG$2:$AL$113,6,FALSE),0)+IFERROR(VLOOKUP(SUBSTITUTE(SUBSTITUTE(SUBSTITUTE($MZ157,"~","~~"),"*","~*"),"?","~?"),'DADOS_MELHORIAS'!$AG$2:$AL$113,6,FALSE),0)+IFERROR(VLOOKUP(SUBSTITUTE(SUBSTITUTE(SUBSTITUTE($NA157,"~","~~"),"*","~*"),"?","~?"),'DADOS_MELHORIAS'!$AG$2:$AL$113,6,FALSE),0)+IFERROR(N(AND(INDEX('DADOS_FORMAS'!$AO$2:$AO$21,MATCH(SUBSTITUTE(SUBSTITUTE(SUBSTITUTE($MU157,"~","~~"),"*","~*"),"?","~?"),'DADOS_FORMAS'!$AH$2:$AH$21,0))="Acerto",$OH157=1)),0)</f>
        <v/>
      </c>
      <c r="OE157" s="164">
        <f>TEXTJOIN(", ",TRUE,IF(IFERROR(VLOOKUP(SUBSTITUTE(SUBSTITUTE(SUBSTITUTE($MX157,"~","~~"),"*","~*"),"?","~?"),'DADOS_MELHORIAS'!$AG$2:$AL$113,5,FALSE),0)=1,$MX157,""),IF(IFERROR(VLOOKUP(SUBSTITUTE(SUBSTITUTE(SUBSTITUTE($MY157,"~","~~"),"*","~*"),"?","~?"),'DADOS_MELHORIAS'!$AG$2:$AL$113,5,FALSE),0)=1,$MY157,""),IF(IFERROR(VLOOKUP(SUBSTITUTE(SUBSTITUTE(SUBSTITUTE($MZ157,"~","~~"),"*","~*"),"?","~?"),'DADOS_MELHORIAS'!$AG$2:$AL$113,5,FALSE),0)=1,$MZ157,""),IF(IFERROR(VLOOKUP(SUBSTITUTE(SUBSTITUTE(SUBSTITUTE($NA157,"~","~~"),"*","~*"),"?","~?"),'DADOS_MELHORIAS'!$AG$2:$AL$113,5,FALSE),0)=1,$NA157,""))</f>
        <v/>
      </c>
      <c r="OF157" s="164">
        <f>IF($NJ157=0,0,INDEX('DADOS_FORMAS'!$GC$2:$GC$21,$NJ157))</f>
        <v/>
      </c>
      <c r="OG157" s="164">
        <f>IF($NJ157=0,0,INDEX('DADOS_FORMAS'!$GD$2:$GD$21,$NJ157))</f>
        <v/>
      </c>
      <c r="OH157" s="164">
        <f>IF($NJ157=0,0,INDEX('DADOS_FORMAS'!$GF$2:$GF$21,$NJ157))</f>
        <v/>
      </c>
      <c r="OI157" s="164">
        <f>IFERROR(VLOOKUP(SUBSTITUTE(SUBSTITUTE(SUBSTITUTE($NB157,"~","~~"),"*","~*"),"?","~?"),'DADOS_RESTRICOES'!$M$2:$Q$54,3,FALSE),0)</f>
        <v/>
      </c>
      <c r="OJ157" s="164">
        <f>IFERROR(VLOOKUP(SUBSTITUTE(SUBSTITUTE(SUBSTITUTE($NC157,"~","~~"),"*","~*"),"?","~?"),'DADOS_RESTRICOES'!$M$2:$Q$54,3,FALSE),0)</f>
        <v/>
      </c>
      <c r="OK157" s="164">
        <f>IFERROR(VLOOKUP(SUBSTITUTE(SUBSTITUTE(SUBSTITUTE($NB157,"~","~~"),"*","~*"),"?","~?"),'DADOS_RESTRICOES'!$M$2:$Q$54,2,FALSE),"")</f>
        <v/>
      </c>
      <c r="OL157" s="164">
        <f>IFERROR(VLOOKUP(SUBSTITUTE(SUBSTITUTE(SUBSTITUTE($NC157,"~","~~"),"*","~*"),"?","~?"),'DADOS_RESTRICOES'!$M$2:$Q$54,2,FALSE),"")</f>
        <v/>
      </c>
      <c r="OM157" s="164">
        <f>COUNTIF($NS157:$NW157,1)</f>
        <v/>
      </c>
      <c r="ON157" s="164">
        <f>COUNTIF($NS157:$NW157,2)</f>
        <v/>
      </c>
      <c r="OO157" s="164">
        <f>COUNTIF($NS157:$NW157,3)</f>
        <v/>
      </c>
      <c r="OP157" s="164">
        <f>COUNTIF($NS157:$NW157,4)</f>
        <v/>
      </c>
      <c r="OQ157" s="164">
        <f>COUNTIF($NS157:$NW157,5)</f>
        <v/>
      </c>
      <c r="OR157" s="164">
        <f>COUNTIF($NS157:$NW157,6)</f>
        <v/>
      </c>
      <c r="OS157" s="164">
        <f>COUNTIF($OI157:$OJ157,1)+IF(IFERROR(INDEX('DADOS_FORMAS'!$AS$2:$AS$21,MATCH(SUBSTITUTE(SUBSTITUTE(SUBSTITUTE($MU157,"~","~~"),"*","~*"),"?","~?"),'DADOS_FORMAS'!$AH$2:$AH$21,0)),"")="",0,IFERROR(N(VLOOKUP(SUBSTITUTE(SUBSTITUTE(SUBSTITUTE(IFERROR(INDEX('DADOS_FORMAS'!$AS$2:$AS$21,MATCH(SUBSTITUTE(SUBSTITUTE(SUBSTITUTE($MU157,"~","~~"),"*","~*"),"?","~?"),'DADOS_FORMAS'!$AH$2:$AH$21,0)),""),"~","~~"),"*","~*"),"?","~?"),'DADOS_RESTRICOES'!$M$2:$Q$54,3,FALSE)=1),0))</f>
        <v/>
      </c>
      <c r="OT157" s="164">
        <f>COUNTIF($OI157:$OJ157,2)+IF(IFERROR(INDEX('DADOS_FORMAS'!$AS$2:$AS$21,MATCH(SUBSTITUTE(SUBSTITUTE(SUBSTITUTE($MU157,"~","~~"),"*","~*"),"?","~?"),'DADOS_FORMAS'!$AH$2:$AH$21,0)),"")="",0,IFERROR(N(VLOOKUP(SUBSTITUTE(SUBSTITUTE(SUBSTITUTE(IFERROR(INDEX('DADOS_FORMAS'!$AS$2:$AS$21,MATCH(SUBSTITUTE(SUBSTITUTE(SUBSTITUTE($MU157,"~","~~"),"*","~*"),"?","~?"),'DADOS_FORMAS'!$AH$2:$AH$21,0)),""),"~","~~"),"*","~*"),"?","~?"),'DADOS_RESTRICOES'!$M$2:$Q$54,3,FALSE)=2),0))</f>
        <v/>
      </c>
      <c r="OU157" s="164">
        <f>COUNTIF($MX157:$NA157,"?*")</f>
        <v/>
      </c>
      <c r="OV157" s="164">
        <f>COUNTIF($NB157:$NC157,"?*")+$OF157</f>
        <v/>
      </c>
      <c r="OW157" s="164">
        <f>IF($MS157=0,0,SUMPRODUCT($OM157:$OR157,INDEX($I$2:$N$8,MAX(1,$MS157),0)))</f>
        <v/>
      </c>
      <c r="OX157" s="164">
        <f>IF($MS157=0,0,$OS157*CEILING($MS157/2,1)+$OT157*$MS157)</f>
        <v/>
      </c>
      <c r="OY157" s="164">
        <f>MIN(2*$MS157,$OX157)</f>
        <v/>
      </c>
      <c r="OZ157" s="164">
        <f>MIN($OY157,$OW157-IF($NS157=0,0,INDEX($I$2:$N$8,MAX(1,$MS157),$NS157)))</f>
        <v/>
      </c>
      <c r="PA157" s="164">
        <f>$OY157-$OZ157</f>
        <v/>
      </c>
      <c r="PB157" s="164">
        <f>IF($MS157=0,0,INDEX($P$2:$P$8,MAX(1,$MS157)))</f>
        <v/>
      </c>
      <c r="PC157" s="164">
        <f>$PB157-$OW157+$OZ157</f>
        <v/>
      </c>
      <c r="PD157" s="164">
        <f>IF($MS157=0,MAX(0,$NG157-IF(AND($OU157&gt;0,COUNTIF($NB157:$NC157,"?*")=0),1,0)),MAX(0,$PC157))</f>
        <v/>
      </c>
      <c r="PE157" s="164">
        <f>IF($MS157=0,0,(IF(COUNTIF($RK157:$RN157,"Salto")&gt;0,1,0)+IF(COUNTIF($RK157:$RN157,"Queima")&gt;0,1,0)+IF(COUNTIF($RK157:$RN157,"Estilhaço")&gt;0,1,0))*FLOOR($PD157/2,1))</f>
        <v/>
      </c>
      <c r="PF157" s="164">
        <f>MAX(0,2-SUMPRODUCT($OM157:$OR157,$I$2:$N$2)+MIN(2,$OS157*1+$OT157*1,SUMPRODUCT($OM157:$OR157,$I$2:$N$2)-IF($NS157=0,0,INDEX($I$2:$N$2,1,$NS157))))</f>
        <v/>
      </c>
      <c r="PG157" s="164">
        <f>MAX(0,4-SUMPRODUCT($OM157:$OR157,$I$3:$N$3)+MIN(4,$OS157*1+$OT157*2,SUMPRODUCT($OM157:$OR157,$I$3:$N$3)-IF($NS157=0,0,INDEX($I$3:$N$3,1,$NS157))))</f>
        <v/>
      </c>
      <c r="PH157" s="164">
        <f>MAX(0,6-SUMPRODUCT($OM157:$OR157,$I$4:$N$4)+MIN(6,$OS157*2+$OT157*3,SUMPRODUCT($OM157:$OR157,$I$4:$N$4)-IF($NS157=0,0,INDEX($I$4:$N$4,1,$NS157))))</f>
        <v/>
      </c>
      <c r="PI157" s="164">
        <f>MAX(0,9-SUMPRODUCT($OM157:$OR157,$I$5:$N$5)+MIN(8,$OS157*2+$OT157*4,SUMPRODUCT($OM157:$OR157,$I$5:$N$5)-IF($NS157=0,0,INDEX($I$5:$N$5,1,$NS157))))</f>
        <v/>
      </c>
      <c r="PJ157" s="164">
        <f>MAX(0,11-SUMPRODUCT($OM157:$OR157,$I$6:$N$6)+MIN(10,$OS157*3+$OT157*5,SUMPRODUCT($OM157:$OR157,$I$6:$N$6)-IF($NS157=0,0,INDEX($I$6:$N$6,1,$NS157))))</f>
        <v/>
      </c>
      <c r="PK157" s="164">
        <f>MAX(0,13-SUMPRODUCT($OM157:$OR157,$I$7:$N$7)+MIN(12,$OS157*3+$OT157*6,SUMPRODUCT($OM157:$OR157,$I$7:$N$7)-IF($NS157=0,0,INDEX($I$7:$N$7,1,$NS157))))</f>
        <v/>
      </c>
      <c r="PL157" s="164">
        <f>MAX(0,16-SUMPRODUCT($OM157:$OR157,$I$8:$N$8)+MIN(14,$OS157*4+$OT157*7,SUMPRODUCT($OM157:$OR157,$I$8:$N$8)-IF($NS157=0,0,INDEX($I$8:$N$8,1,$NS157))))</f>
        <v/>
      </c>
      <c r="PM157" s="164">
        <f>IF($OG157=2,3*$PF157&amp;" de vida temp.",IF($OG157=3,"sem dano",IF($PF157=0,IF($OG157=1,"sem cura","sem dano"),IF($OG157=1,"cura ","")&amp;$PF157&amp;"d8")))</f>
        <v/>
      </c>
      <c r="PN157" s="164">
        <f>IF($OG157=2,3*$PG157&amp;" de vida temp.",IF($OG157=3,"sem dano",IF($PG157=0,IF($OG157=1,"sem cura","sem dano"),IF($OG157=1,"cura ","")&amp;$PG157&amp;"d8")))</f>
        <v/>
      </c>
      <c r="PO157" s="164">
        <f>IF($OG157=2,3*$PH157&amp;" de vida temp.",IF($OG157=3,"sem dano",IF($PH157=0,IF($OG157=1,"sem cura","sem dano"),IF($OG157=1,"cura ","")&amp;$PH157&amp;"d8")))</f>
        <v/>
      </c>
      <c r="PP157" s="164">
        <f>IF($OG157=2,3*$PI157&amp;" de vida temp.",IF($OG157=3,"sem dano",IF($PI157=0,IF($OG157=1,"sem cura","sem dano"),IF($OG157=1,"cura ","")&amp;$PI157&amp;"d8")))</f>
        <v/>
      </c>
      <c r="PQ157" s="164">
        <f>IF($OG157=2,3*$PJ157&amp;" de vida temp.",IF($OG157=3,"sem dano",IF($PJ157=0,IF($OG157=1,"sem cura","sem dano"),IF($OG157=1,"cura ","")&amp;$PJ157&amp;"d8")))</f>
        <v/>
      </c>
      <c r="PR157" s="164">
        <f>IF($OG157=2,3*$PK157&amp;" de vida temp.",IF($OG157=3,"sem dano",IF($PK157=0,IF($OG157=1,"sem cura","sem dano"),IF($OG157=1,"cura ","")&amp;$PK157&amp;"d8")))</f>
        <v/>
      </c>
      <c r="PS157" s="164">
        <f>IF($OG157=2,3*$PL157&amp;" de vida temp.",IF($OG157=3,"sem dano",IF($PL157=0,IF($OG157=1,"sem cura","sem dano"),IF($OG157=1,"cura ","")&amp;$PL157&amp;"d8")))</f>
        <v/>
      </c>
      <c r="PT157" s="164">
        <f>IF($ND157=0,"",TEXTJOIN(" · ",TRUE,IF($ND157=0,"",TEXTJOIN(" · ",TRUE,IF($ND157=0,"",TEXTJOIN(" · ",TRUE,IF($MQ157&gt;$NE157,"Este lugar abre no nível "&amp;$MQ157,""),IF($MS157&gt;$NF157,"Classe "&amp;$MS157&amp;": o nível "&amp;$NE157&amp;" libera até a "&amp;$NF157,""),IF($NX157=1,"A Forma "&amp;$MU157&amp;" pede "&amp;INDEX('DADOS_FORMAS'!$GA$2:$GA$21,$NJ157)&amp;" aberta",""),IF(AND($MS157=0,$NJ157&gt;0,IF($NJ157=0,0,INDEX('DADOS_FORMAS'!$GJ$2:$GJ$21,$NJ157))=0),$MU157&amp;" não existe na Classe 0",""),IF($NY157=1,"Família Fechada: "&amp;$MX157,""),IF($NZ157=1,"Família Fechada: "&amp;$MY157,""),IF($OA157=1,"Família Fechada: "&amp;$MZ157,""),IF($OB157=1,"Família Fechada: "&amp;$NA157,""),IF(AND($MS157&gt;0,$OU157&gt;INDEX($O$2:$O$8,MAX(1,$MS157))),$OU157&amp;" Melhorias: a Classe "&amp;$MS157&amp;" aceita "&amp;INDEX($O$2:$O$8,MAX(1,$MS157)),""),IF(AND($MS157=0,$OU157&gt;1),"A básica aceita uma Melhoria",""),IF(AND($MS157=0,COUNTIF($NO157:$NR157,"&gt;1")&gt;0),"A básica só aceita Melhoria Leve",""),IF(AND($MS157&gt;0,$OV157&gt;2),$OV157&amp;" Restrições"&amp;IF($OF157=1,", contando a que a Forma "&amp;$MU157&amp;" já traz","")&amp;": o limite é 2",""),IF(AND($MS157=0,COUNTIF($NB157:$NC157,"?*")&gt;1),"A básica aceita uma Restrição Leve",""),IF(AND($MS157=0,COUNTIF($OI157:$OJ157,2)&gt;0),"A básica só aceita Restrição Leve",""),IF(AND($MS157&gt;0,$PC157&lt;0),"Orçamento estourado: faltam "&amp;(-$PC157)&amp;IF($PC157&lt;-1," pontos"," ponto"),""),IF(IFERROR(VLOOKUP(SUBSTITUTE(SUBSTITUTE(SUBSTITUTE($NB157,"~","~~"),"*","~*"),"?","~?"),'DADOS_RESTRICOES'!$M$2:$Q$54,4,FALSE),0)+IFERROR(VLOOKUP(SUBSTITUTE(SUBSTITUTE(SUBSTITUTE($NC157,"~","~~"),"*","~*"),"?","~?"),'DADOS_RESTRICOES'!$M$2:$Q$54,4,FALSE),0)&gt;1,$OK157&amp;" e "&amp;$OL157&amp;" são as duas de frequência",""),IF(AND((COUNTIF($RK157:$RN157,"Rápido")+COUNTIF($OK157:$OL157,"Rápido"))&gt;0,(COUNTIF($MX157:$NA157,"Atrasar")+COUNTIF($OK157:$OL157,"Atrasar"))&gt;0),"Rápido não entra com Atrasar",""),IF(AND((COUNTIF($RK157:$RN157,"Reação")+COUNTIF($OK157:$OL157,"Reação"))&gt;0,(COUNTIF($RK157:$RN157,"Rápido")+COUNTIF($OK157:$OL157,"Rápido"))&gt;0),"Reação não entra com Rápido",""),IF(AND((COUNTIF($RK157:$RN157,"Reação")+COUNTIF($OK157:$OL157,"Reação"))&gt;0,(COUNTIF($RK157:$RN157,"Armado")+COUNTIF($OK157:$OL157,"Armado"))&gt;0),"Reação não entra com Armado",""),IF(AND((COUNTIF($RK157:$RN157,"Reação")+COUNTIF($OK157:$OL157,"Reação"))&gt;0,(COUNTIF($MX157:$NA157,"Atrasar")+COUNTIF($OK157:$OL157,"Atrasar"))&gt;0),"Reação não entra com Atrasar",""),IF(AND((COUNTIF($RK157:$RN157,"Reação")+COUNTIF($OK157:$OL157,"Reação"))&gt;0,(COUNTIF($MX157:$NA157,"Parado")+COUNTIF($OK157:$OL157,"Parado"))&gt;0),"Reação não entra com Parado",""),IF(AND((COUNTIF($MX157:$NA157,"Atrasar")+COUNTIF($OK157:$OL157,"Atrasar"))&gt;0,(COUNTIF($MX157:$NA157,"Parado")+COUNTIF($OK157:$OL157,"Parado"))&gt;0),"Atrasar não entra com Parado",""),IF(AND((COUNTIF($RK157:$RN157,"Armado")+COUNTIF($OK157:$OL157,"Armado"))&gt;0,(COUNTIF($MX157:$NA157,"Carregar")+COUNTIF($OK157:$OL157,"Carregar"))&gt;0),"Armado não entra com Carregar",""),IF(AND(COUNTIF($OK157:$OL157,"Corpo a Corpo")&gt;0,$OF157=0,OR($RO157="Cone",$RO157="Linha")),"Corpo a Corpo não entra em "&amp;$MU157,""),IF(AND(COUNTIF($OK157:$OL157,"Corpo a Corpo")&gt;0,$RP157="Corpo a Corpo"),"A Forma "&amp;$MU157&amp;" já traz o Corpo a Corpo",""),IF(AND(COUNTIF($OK157:$OL157,"Tudo ou Nada")&gt;0,$OH157=0),"Tudo ou Nada só entra em habilidade de Teste de Resistência",""),IF(AND(COUNTIF($RK157:$RN157,"Inescapável")&gt;0,OR($OU157&gt;1,$OV157&gt;0)),"Inescapável não aceita outra peça",""),IF(AND($MS157&gt;0,$PD157*IF(COUNTIF($RK157:$RN157,"Remate")&gt;0,1.25,1)+$PE157&gt;4*$MS157),($PD157*IF(COUNTIF($RK157:$RN157,"Remate")&gt;0,1.25,1)+$PE157)&amp;" dados somando repetições"&amp;IF(COUNTIF($RK157:$RN157,"Remate")&gt;0," e o Remate","")&amp;": o teto da Classe "&amp;$MS157&amp;" é "&amp;4*$MS157,""))),IF(AND($MX157&lt;&gt;"",COUNTIF('DADOS_MELHORIAS'!$O$2:$O$113,SUBSTITUTE(SUBSTITUTE(SUBSTITUTE($MX157,"~","~~"),"*","~*"),"?","~?"))=0),"Melhoria não cadastrada ou com erro: "&amp;$MX157,""),IF(AND($MY157&lt;&gt;"",COUNTIF('DADOS_MELHORIAS'!$O$2:$O$113,SUBSTITUTE(SUBSTITUTE(SUBSTITUTE($MY157,"~","~~"),"*","~*"),"?","~?"))=0),"Melhoria não cadastrada ou com erro: "&amp;$MY157,""),IF(AND($MZ157&lt;&gt;"",COUNTIF('DADOS_MELHORIAS'!$O$2:$O$113,SUBSTITUTE(SUBSTITUTE(SUBSTITUTE($MZ157,"~","~~"),"*","~*"),"?","~?"))=0),"Melhoria não cadastrada ou com erro: "&amp;$MZ157,""),IF(AND($NA157&lt;&gt;"",COUNTIF('DADOS_MELHORIAS'!$O$2:$O$113,SUBSTITUTE(SUBSTITUTE(SUBSTITUTE($NA157,"~","~~"),"*","~*"),"?","~?"))=0),"Melhoria não cadastrada ou com erro: "&amp;$NA157,""),IF(AND($NB157&lt;&gt;"",COUNTIF('DADOS_RESTRICOES'!$M$2:$M$54,SUBSTITUTE(SUBSTITUTE(SUBSTITUTE($NB157,"~","~~"),"*","~*"),"?","~?"))=0),"Restrição não cadastrada ou com erro: "&amp;$NB157,""),IF(AND($NC157&lt;&gt;"",COUNTIF('DADOS_RESTRICOES'!$M$2:$M$54,SUBSTITUTE(SUBSTITUTE(SUBSTITUTE($NC157,"~","~~"),"*","~*"),"?","~?"))=0),"Restrição não cadastrada ou com erro: "&amp;$NC157,""))),IF(AND($MU157&lt;&gt;"",COUNTIF('DADOS_FORMAS'!$AH$2:$AH$21,SUBSTITUTE(SUBSTITUTE(SUBSTITUTE($MU157,"~","~~"),"*","~*"),"?","~?"))=0),"Forma não cadastrada ou com erro: "&amp;$MU157,""),IF(AND(IFERROR(INDEX('DADOS_FORMAS'!$AS$2:$AS$21,MATCH(SUBSTITUTE(SUBSTITUTE(SUBSTITUTE($MU157,"~","~~"),"*","~*"),"?","~?"),'DADOS_FORMAS'!$AH$2:$AH$21,0)),"")&lt;&gt;"",OR(IFERROR(VLOOKUP(SUBSTITUTE(SUBSTITUTE(SUBSTITUTE(IFERROR(INDEX('DADOS_FORMAS'!$AS$2:$AS$21,MATCH(SUBSTITUTE(SUBSTITUTE(SUBSTITUTE($MU157,"~","~~"),"*","~*"),"?","~?"),'DADOS_FORMAS'!$AH$2:$AH$21,0)),""),"~","~~"),"*","~*"),"?","~?"),'DADOS_RESTRICOES'!$M$2:$Q$54,2,FALSE),"")=$OK157,IFERROR(VLOOKUP(SUBSTITUTE(SUBSTITUTE(SUBSTITUTE(IFERROR(INDEX('DADOS_FORMAS'!$AS$2:$AS$21,MATCH(SUBSTITUTE(SUBSTITUTE(SUBSTITUTE($MU157,"~","~~"),"*","~*"),"?","~?"),'DADOS_FORMAS'!$AH$2:$AH$21,0)),""),"~","~~"),"*","~*"),"?","~?"),'DADOS_RESTRICOES'!$M$2:$Q$54,2,FALSE),"")=$OL157)),"Restrição repetida, contando a embutida",""),IF(IF(IFERROR(INDEX('DADOS_FORMAS'!$AS$2:$AS$21,MATCH(SUBSTITUTE(SUBSTITUTE(SUBSTITUTE($MU157,"~","~~"),"*","~*"),"?","~?"),'DADOS_FORMAS'!$AH$2:$AH$21,0)),"")="",0,IFERROR(N(VLOOKUP(SUBSTITUTE(SUBSTITUTE(SUBSTITUTE(IFERROR(INDEX('DADOS_FORMAS'!$AS$2:$AS$21,MATCH(SUBSTITUTE(SUBSTITUTE(SUBSTITUTE($MU157,"~","~~"),"*","~*"),"?","~?"),'DADOS_FORMAS'!$AH$2:$AH$21,0)),""),"~","~~"),"*","~*"),"?","~?"),'DADOS_RESTRICOES'!$M$2:$Q$54,4,FALSE)=1),0))+IF($NB157="",0,IFERROR(N(VLOOKUP(SUBSTITUTE(SUBSTITUTE(SUBSTITUTE($NB157,"~","~~"),"*","~*"),"?","~?"),'DADOS_RESTRICOES'!$M$2:$Q$54,4,FALSE)=1),0))+IF($NC157="",0,IFERROR(N(VLOOKUP(SUBSTITUTE(SUBSTITUTE(SUBSTITUTE($NC157,"~","~~"),"*","~*"),"?","~?"),'DADOS_RESTRICOES'!$M$2:$Q$54,4,FALSE)=1),0))&gt;1,"Duas Restrições de frequência, contando a embutida",""),IF(AND(IFERROR(VLOOKUP(SUBSTITUTE(SUBSTITUTE(SUBSTITUTE(IFERROR(INDEX('DADOS_FORMAS'!$AS$2:$AS$21,MATCH(SUBSTITUTE(SUBSTITUTE(SUBSTITUTE($MU157,"~","~~"),"*","~*"),"?","~?"),'DADOS_FORMAS'!$AH$2:$AH$21,0)),""),"~","~~"),"*","~*"),"?","~?"),'DADOS_RESTRICOES'!$M$2:$Q$54,2,FALSE),"")="Tudo ou Nada",$OH157=0),"Tudo ou Nada exige TR",""),IF(AND(IFERROR(VLOOKUP(SUBSTITUTE(SUBSTITUTE(SUBSTITUTE(IFERROR(INDEX('DADOS_FORMAS'!$AS$2:$AS$21,MATCH(SUBSTITUTE(SUBSTITUTE(SUBSTITUTE($MU157,"~","~~"),"*","~*"),"?","~?"),'DADOS_FORMAS'!$AH$2:$AH$21,0)),""),"~","~~"),"*","~*"),"?","~?"),'DADOS_RESTRICOES'!$M$2:$Q$54,2,FALSE),"")="Corpo a Corpo",OR($RO157="Cone",$RO157="Linha")),"Corpo a Corpo não entra em Cone/Linha","")))</f>
        <v/>
      </c>
      <c r="PU157" s="164">
        <f>IF($PT157="",0,(LEN($PT157)-LEN(SUBSTITUTE($PT157," · ","")))/3+1)</f>
        <v/>
      </c>
      <c r="PV157" s="164">
        <f>IF($ND157=0,"",TEXTJOIN(" · ",TRUE,IF($OX157&gt;2*$MS157,"A devolução parou no teto de "&amp;2*$MS157,""),IF($PA157&gt;0,"Devolução perdida: "&amp;$PA157&amp;IF($PA157&gt;1," pontos"," ponto")&amp;" sem Melhoria para pagar",""),IF(AND($OC157&gt;0,AND($MS157&gt;0,$OG157=0),$PD157=0),"Controle sem dano: uma rodada a mais e CD +2",""),IF(AND($OC157&gt;0,AND($MS157&gt;0,$OG157=0),$PD157&gt;0,$PD157&lt;=$MS157),"Controle com saldo até a Classe: uma rodada a mais",""),IF(AND($MS157&gt;0,$OE157&lt;&gt;""),"Efeito de "&amp;$OE157&amp;" pela Classe "&amp;MAX(1,$MS157-1),"")))</f>
        <v/>
      </c>
      <c r="PW157" s="164">
        <f>IF($PV157="",0,(LEN($PV157)-LEN(SUBSTITUTE($PV157," · ","")))/3+1)</f>
        <v/>
      </c>
      <c r="PX157" s="164">
        <f>IF($ND157=0,IF($OU157+COUNTIF($NB157:$NC157,"?*")&gt;0,"Dê um nome",""),IF($PU157&gt;0,"⚠ "&amp;$PU157&amp;IF($PU157&gt;1," erros"," erro"),IF($PW157&gt;0,"! "&amp;$PW157&amp;IF($PW157&gt;1," avisos"," aviso"),"Na regra")))</f>
        <v/>
      </c>
      <c r="PY157" s="164">
        <f>IF($ND157=0,"",IF($PU157+$PW157=0,"Dentro das regras que a ficha confere",$PT157&amp;IF(AND($PU157&gt;0,$PW157&gt;0)," · ","")&amp;$PV157))</f>
        <v/>
      </c>
      <c r="PZ157" s="164">
        <f>IF($MQ157&gt;$NE157,$MR157&amp;" · ABRE NO NÍVEL "&amp;$MQ157,$MR157)</f>
        <v/>
      </c>
      <c r="QA157" s="164">
        <f>IF($ND157=0,"",IF($MS157=0,"Sem PE",3*$MS157&amp;" PE"))</f>
        <v/>
      </c>
      <c r="QB157" s="164">
        <f>IF($ND157=0,"",IF($MS157=0,"A atuação básica dela",IF(COUNTIF($RQ157:$RS157,"Atrasar")&gt;0,"Sua Ação Completa",IF(COUNTIF($RK157:$RN157,"Rápido")&gt;0,"Sua Bônus",IF(COUNTIF($RK157:$RN157,"Reação")&gt;0,"Sua Reação","Sua Padrão")))&amp;" + a básica dela"&amp;IF(COUNTIF($RK157:$RN157,"Reação")&gt;0," e a coletiva","")&amp;IF(COUNTIF($RQ157:$RS157,"Carregar")&gt;0," · em dois turnos","")))</f>
        <v/>
      </c>
      <c r="QC157" s="164">
        <f>IF($MW157&lt;&gt;"",$MW157,IF($NJ157=0,"",INDEX('DADOS_FORMAS'!$GE$2:$GE$21,$NJ157)))</f>
        <v/>
      </c>
      <c r="QD157" s="164">
        <f>IF(OR($ND157=0,$NJ157=0),"",IF(COUNTIF($RK157:$RN157,"Inescapável")&gt;0,"Automático",IF($QC157="Ataque",IF($NH157="","Ataque","Ataque "&amp;IF(($NH157+2*IF(COUNTIF($RK157:$RN157,"Precisão")&gt;0,1,0))&gt;=0,"+","−")&amp;ABS(($NH157+2*IF(COUNTIF($RK157:$RN157,"Precisão")&gt;0,1,0))))&amp;IF($OD157&gt;0," · TR"&amp;IF($NI157="",""," CD "&amp;$NI157),""),IF(LEFT($QC157,2)="TR",$QC157&amp;IF($NI157="",""," · CD "&amp;$NI157)&amp;IF(COUNTIF($RK157:$RN157,"Certeiro")&gt;0," · metade",""),"Sem rolagem"))))</f>
        <v/>
      </c>
      <c r="QE157" s="164">
        <f>IF(OR($ND157=0,$NJ157=0),"",IF($MS157=0,IF(OR($OG157&gt;=1,$PD157=0),"Sem dano",$PD157&amp;"d6"&amp;IF($MV157="",""," "&amp;$MV157)),IF(OR($OG157&gt;=1,$PD157=0),UPPER(LEFT(INDEX($PM157:$PS157,1,MAX(1,$MS157)),1))&amp;MID(INDEX($PM157:$PS157,1,MAX(1,$MS157)),2,99),UPPER(LEFT(INDEX($PM157:$PS157,1,MAX(1,$MS157)),1))&amp;MID(INDEX($PM157:$PS157,1,MAX(1,$MS157)),2,99)&amp;IF($MV157="",""," "&amp;$MV157)&amp;IF($PE157&gt;0," · +"&amp;$PE157&amp;"d8",""))))</f>
        <v/>
      </c>
      <c r="QF157" s="164">
        <f>COUNTIF($RK157:$RN157,"Longe")+3*COUNTIF($RK157:$RN157,"Muito Longe")</f>
        <v/>
      </c>
      <c r="QG157" s="164">
        <f>COUNTIF($RK157:$RN157,"Maior")+3*COUNTIF($RK157:$RN157,"Muito Maior")</f>
        <v/>
      </c>
      <c r="QH157" s="164">
        <f>IF($NJ157=0,0,CHOOSE(1+INDEX('DADOS_FORMAS'!$GG$2:$GG$21,$NJ157),0,$QF157,$QG157,$QF157+$QG157))</f>
        <v/>
      </c>
      <c r="QI157" s="164">
        <f>IF($NJ157=0,0,CHOOSE(1+INDEX('DADOS_FORMAS'!$GH$2:$GH$21,$NJ157),0,$QF157,$QG157,$QF157+$QG157))</f>
        <v/>
      </c>
      <c r="QJ157" s="164">
        <f>IF(OR($ND157=0,$NJ157=0),"",INDEX('DADOS_FORMAS'!$HU$2:$HZ$81,($NJ157-1)*4+IF($MS157=0,1,IF($MS157&lt;=5,2,IF($MS157=6,3,4))),1+MIN(5,$QH157))&amp;INDEX('DADOS_FORMAS'!$IA$2:$IF$81,($NJ157-1)*4+IF($MS157=0,1,IF($MS157&lt;=5,2,IF($MS157=6,3,4))),1+MIN(5,$QI157))&amp;IF(INDEX('DADOS_FORMAS'!$GI$2:$GI$21,$NJ157)=1,IF(COUNTIF($RK157:$RN157,"Mais Um")&gt;0," · +"&amp;COUNTIF($RK157:$RN157,"Mais Um")&amp;IF(COUNTIF($RK157:$RN157,"Mais Um")&gt;1," alvos"," alvo"),"")&amp;IF(COUNTIF($RK157:$RN157,"Rajada")&gt;0,IF($MS157=0," · 1 tiro"," · "&amp;(MAX(1,$MS157-1)+1)&amp;" tiros"),""),""))</f>
        <v/>
      </c>
      <c r="QK157" s="164">
        <f>IF($ND157=0,"",IF($MS157=0,$NG157&amp;"d6"&amp;IF($OU157&gt;0," − 1 = "&amp;$PD157&amp;"d6"," da básica do nível "&amp;$NE157),$PB157&amp;" − "&amp;$OW157&amp;" + "&amp;$OZ157&amp;" = "&amp;$PC157&amp;" · teto "&amp;4*$MS157&amp;"d8"&amp;IF($OF157=1," · a Forma devolve "&amp;$MS157,"")&amp;IF($PA157&gt;0," · perde "&amp;$PA157,"")))</f>
        <v/>
      </c>
      <c r="QL157" s="164">
        <f>IF($ND157=0,"",IF($MS157=0,"A básica não amplia: os dados dela sobem com o nível",IF($MS157&gt;=$NF157,"Já está na maior Classe que o nível liberou",TEXTJOIN(" · ",TRUE,IF(AND(2&gt;$MS157,2&lt;=$NF157),"2 → "&amp;$PN157&amp;", 6 PE",""),IF(AND(3&gt;$MS157,3&lt;=$NF157),"3 → "&amp;$PO157&amp;", 9 PE",""),IF(AND(4&gt;$MS157,4&lt;=$NF157),"4 → "&amp;$PP157&amp;", 12 PE",""),IF(AND(5&gt;$MS157,5&lt;=$NF157),"5 → "&amp;$PQ157&amp;", 15 PE",""),IF(AND(6&gt;$MS157,6&lt;=$NF157),"6 → "&amp;$PR157&amp;", 18 PE",""),IF(AND(7&gt;$MS157,7&lt;=$NF157),"7 → "&amp;$PS157&amp;", 21 PE","")))))</f>
        <v/>
      </c>
      <c r="QM157" s="164">
        <f>IF(OR($ND157=0,$NO157=0),"",IF($MS157=0,"−1 dado","−"&amp;INDEX($I$2:$N$8,MAX(1,$MS157),MAX(1,$NT157))&amp;" · "&amp;CHOOSE(MAX(1,$NT157),"Leve","Média","Pesada","Leve · Livre","Média · Livre","Pesada · Livre")))</f>
        <v/>
      </c>
      <c r="QN157" s="164">
        <f>IF(OR($ND157=0,$NP157=0),"",IF($MS157=0,"−1 dado","−"&amp;INDEX($I$2:$N$8,MAX(1,$MS157),MAX(1,$NU157))&amp;" · "&amp;CHOOSE(MAX(1,$NU157),"Leve","Média","Pesada","Leve · Livre","Média · Livre","Pesada · Livre")))</f>
        <v/>
      </c>
      <c r="QO157" s="164">
        <f>IF(OR($ND157=0,$NQ157=0),"",IF($MS157=0,"−1 dado","−"&amp;INDEX($I$2:$N$8,MAX(1,$MS157),MAX(1,$NV157))&amp;" · "&amp;CHOOSE(MAX(1,$NV157),"Leve","Média","Pesada","Leve · Livre","Média · Livre","Pesada · Livre")))</f>
        <v/>
      </c>
      <c r="QP157" s="164">
        <f>IF(OR($ND157=0,$NR157=0),"",IF($MS157=0,"−1 dado","−"&amp;INDEX($I$2:$N$8,MAX(1,$MS157),MAX(1,$NW157))&amp;" · "&amp;CHOOSE(MAX(1,$NW157),"Leve","Média","Pesada","Leve · Livre","Média · Livre","Pesada · Livre")))</f>
        <v/>
      </c>
      <c r="QQ157" s="164">
        <f>IF(OR($ND157=0,$NB157=""),"",IF($MS157=0,"não devolve","+"&amp;IF($OI157=1,CEILING($MS157/2,1),$MS157)))</f>
        <v/>
      </c>
      <c r="QR157" s="164">
        <f>IF(OR($ND157=0,$NC157=""),"",IF($MS157=0,"não devolve","+"&amp;IF($OJ157=1,CEILING($MS157/2,1),$MS157)))</f>
        <v/>
      </c>
      <c r="RK157">
        <f>IF($MX157="","",IFERROR(VLOOKUP(SUBSTITUTE(SUBSTITUTE(SUBSTITUTE($MX157,"~","~~"),"*","~*"),"?","~?"),'DADOS_MELHORIAS'!$O$2:$X$113,10,FALSE),$MX157))</f>
        <v/>
      </c>
      <c r="RL157">
        <f>IF($MY157="","",IFERROR(VLOOKUP(SUBSTITUTE(SUBSTITUTE(SUBSTITUTE($MY157,"~","~~"),"*","~*"),"?","~?"),'DADOS_MELHORIAS'!$O$2:$X$113,10,FALSE),$MY157))</f>
        <v/>
      </c>
      <c r="RM157">
        <f>IF($MZ157="","",IFERROR(VLOOKUP(SUBSTITUTE(SUBSTITUTE(SUBSTITUTE($MZ157,"~","~~"),"*","~*"),"?","~?"),'DADOS_MELHORIAS'!$O$2:$X$113,10,FALSE),$MZ157))</f>
        <v/>
      </c>
      <c r="RN157">
        <f>IF($NA157="","",IFERROR(VLOOKUP(SUBSTITUTE(SUBSTITUTE(SUBSTITUTE($NA157,"~","~~"),"*","~*"),"?","~?"),'DADOS_MELHORIAS'!$O$2:$X$113,10,FALSE),$NA157))</f>
        <v/>
      </c>
      <c r="RO157">
        <f>IFERROR(INDEX('DADOS_FORMAS'!$BJ$2:$BJ$21,MATCH(SUBSTITUTE(SUBSTITUTE(SUBSTITUTE($MU157,"~","~~"),"*","~*"),"?","~?"),'DADOS_FORMAS'!$AH$2:$AH$21,0)),"")</f>
        <v/>
      </c>
      <c r="RP157">
        <f>IFERROR(VLOOKUP(SUBSTITUTE(SUBSTITUTE(SUBSTITUTE(IFERROR(INDEX('DADOS_FORMAS'!$AS$2:$AS$21,MATCH(SUBSTITUTE(SUBSTITUTE(SUBSTITUTE($MU157,"~","~~"),"*","~*"),"?","~?"),'DADOS_FORMAS'!$AH$2:$AH$21,0)),""),"~","~~"),"*","~*"),"?","~?"),'DADOS_RESTRICOES'!$M$2:$Q$54,2,FALSE),"")</f>
        <v/>
      </c>
      <c r="RQ157">
        <f>$OK157</f>
        <v/>
      </c>
      <c r="RR157">
        <f>$OL157</f>
        <v/>
      </c>
      <c r="RS157">
        <f>$RP157</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57"/>
  <sheetViews>
    <sheetView showGridLines="0" workbookViewId="0">
      <selection activeCell="A1" sqref="A1"/>
    </sheetView>
  </sheetViews>
  <sheetFormatPr baseColWidth="8" defaultRowHeight="15.75" customHeight="1"/>
  <cols>
    <col width="5"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16" customHeight="1">
      <c r="A1" s="137" t="n"/>
      <c r="B1" s="165" t="inlineStr">
        <is>
          <t>O GLOSSÁRIO — o que cada coisa da ficha quer dizer</t>
        </is>
      </c>
      <c r="C1" s="19" t="n"/>
      <c r="D1" s="19" t="n"/>
      <c r="E1" s="19" t="n"/>
      <c r="F1" s="19" t="n"/>
      <c r="G1" s="19" t="n"/>
      <c r="H1" s="19" t="n"/>
      <c r="I1" s="19" t="n"/>
      <c r="J1" s="19" t="n"/>
      <c r="K1" s="19" t="n"/>
      <c r="L1" s="19" t="n"/>
      <c r="M1" s="19" t="n"/>
      <c r="N1" s="19" t="n"/>
      <c r="O1" s="19" t="n"/>
      <c r="P1" s="19" t="n"/>
      <c r="Q1" s="19" t="n"/>
      <c r="R1" s="19" t="n"/>
      <c r="S1" s="19" t="n"/>
      <c r="T1" s="19" t="n"/>
      <c r="U1" s="19" t="n"/>
      <c r="V1" s="19" t="n"/>
      <c r="W1" s="166" t="inlineStr">
        <is>
          <t>Capítulo 1 · 2 · 13</t>
        </is>
      </c>
      <c r="X1" s="19" t="n"/>
      <c r="Y1" s="19" t="n"/>
      <c r="Z1" s="19" t="n"/>
      <c r="AA1" s="19" t="n"/>
      <c r="AB1" s="19" t="n"/>
      <c r="AC1" s="19" t="n"/>
      <c r="AD1" s="19" t="n"/>
      <c r="AE1" s="19" t="n"/>
      <c r="AF1" s="19" t="n"/>
      <c r="AG1" s="20" t="n"/>
      <c r="AH1" s="137" t="n"/>
    </row>
    <row r="2" ht="16" customHeight="1">
      <c r="A2" s="137" t="n"/>
      <c r="B2" s="23" t="n"/>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c r="AA2" s="24" t="n"/>
      <c r="AB2" s="24" t="n"/>
      <c r="AC2" s="24" t="n"/>
      <c r="AD2" s="24" t="n"/>
      <c r="AE2" s="24" t="n"/>
      <c r="AF2" s="24" t="n"/>
      <c r="AG2" s="25" t="n"/>
      <c r="AH2" s="137" t="n"/>
    </row>
    <row r="3">
      <c r="A3" s="137" t="n"/>
      <c r="AH3" s="137" t="n"/>
    </row>
    <row r="4">
      <c r="A4" s="137" t="n"/>
      <c r="B4" s="167" t="inlineStr">
        <is>
          <t>ATRIBUTOS</t>
        </is>
      </c>
      <c r="C4" s="16" t="n"/>
      <c r="D4" s="16" t="n"/>
      <c r="E4" s="16" t="n"/>
      <c r="F4" s="16" t="n"/>
      <c r="G4" s="16" t="n"/>
      <c r="H4" s="16" t="n"/>
      <c r="I4" s="16" t="n"/>
      <c r="J4" s="16" t="n"/>
      <c r="K4" s="16" t="n"/>
      <c r="L4" s="17" t="n"/>
      <c r="M4" s="168" t="inlineStr">
        <is>
          <t>O número é o modificador. Escala de 0 a 6, sem tabela de conversão.</t>
        </is>
      </c>
      <c r="N4" s="16" t="n"/>
      <c r="O4" s="16" t="n"/>
      <c r="P4" s="16" t="n"/>
      <c r="Q4" s="16" t="n"/>
      <c r="R4" s="16" t="n"/>
      <c r="S4" s="16" t="n"/>
      <c r="T4" s="16" t="n"/>
      <c r="U4" s="16" t="n"/>
      <c r="V4" s="16" t="n"/>
      <c r="W4" s="16" t="n"/>
      <c r="X4" s="16" t="n"/>
      <c r="Y4" s="16" t="n"/>
      <c r="Z4" s="16" t="n"/>
      <c r="AA4" s="16" t="n"/>
      <c r="AB4" s="16" t="n"/>
      <c r="AC4" s="16" t="n"/>
      <c r="AD4" s="16" t="n"/>
      <c r="AE4" s="16" t="n"/>
      <c r="AF4" s="16" t="n"/>
      <c r="AG4" s="17" t="n"/>
      <c r="AH4" s="137" t="n"/>
    </row>
    <row r="5">
      <c r="A5" s="137" t="n"/>
      <c r="E5" s="169" t="inlineStr">
        <is>
          <t>ATRIBUTO</t>
        </is>
      </c>
      <c r="F5" s="16" t="n"/>
      <c r="G5" s="16" t="n"/>
      <c r="H5" s="16" t="n"/>
      <c r="I5" s="16" t="n"/>
      <c r="J5" s="17" t="n"/>
      <c r="K5" s="169" t="inlineStr">
        <is>
          <t>O QUE GOVERNA</t>
        </is>
      </c>
      <c r="L5" s="16" t="n"/>
      <c r="M5" s="16" t="n"/>
      <c r="N5" s="16" t="n"/>
      <c r="O5" s="16" t="n"/>
      <c r="P5" s="16" t="n"/>
      <c r="Q5" s="16" t="n"/>
      <c r="R5" s="16" t="n"/>
      <c r="S5" s="16" t="n"/>
      <c r="T5" s="16" t="n"/>
      <c r="U5" s="16" t="n"/>
      <c r="V5" s="16" t="n"/>
      <c r="W5" s="16" t="n"/>
      <c r="X5" s="16" t="n"/>
      <c r="Y5" s="16" t="n"/>
      <c r="Z5" s="16" t="n"/>
      <c r="AA5" s="16" t="n"/>
      <c r="AB5" s="16" t="n"/>
      <c r="AC5" s="16" t="n"/>
      <c r="AD5" s="16" t="n"/>
      <c r="AE5" s="16" t="n"/>
      <c r="AF5" s="16" t="n"/>
      <c r="AG5" s="17" t="n"/>
      <c r="AH5" s="137" t="n"/>
    </row>
    <row r="6" ht="30" customHeight="1">
      <c r="A6" s="137" t="n"/>
      <c r="B6" s="84" t="n"/>
      <c r="C6" s="16" t="n"/>
      <c r="D6" s="17" t="n"/>
      <c r="E6" s="170" t="inlineStr">
        <is>
          <t>Força</t>
        </is>
      </c>
      <c r="F6" s="16" t="n"/>
      <c r="G6" s="16" t="n"/>
      <c r="H6" s="16" t="n"/>
      <c r="I6" s="16" t="n"/>
      <c r="J6" s="17" t="n"/>
      <c r="K6" s="171" t="inlineStr">
        <is>
          <t>Quanto o seu corpo aguenta e impõe, na base do músculo. No livro: participa do esforço físico.</t>
        </is>
      </c>
      <c r="L6" s="1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7" t="n"/>
      <c r="AH6" s="137" t="n"/>
    </row>
    <row r="7" ht="30" customHeight="1">
      <c r="A7" s="137" t="n"/>
      <c r="B7" s="172" t="n"/>
      <c r="C7" s="16" t="n"/>
      <c r="D7" s="17" t="n"/>
      <c r="E7" s="173" t="inlineStr">
        <is>
          <t>Destreza</t>
        </is>
      </c>
      <c r="F7" s="16" t="n"/>
      <c r="G7" s="16" t="n"/>
      <c r="H7" s="16" t="n"/>
      <c r="I7" s="16" t="n"/>
      <c r="J7" s="17" t="n"/>
      <c r="K7" s="174" t="inlineStr">
        <is>
          <t>Sua velocidade e precisão — o corpo respondendo rápido, a mira certa. No livro: participa da precisão e dos movimentos.</t>
        </is>
      </c>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7" t="n"/>
      <c r="AH7" s="137" t="n"/>
    </row>
    <row r="8" ht="30" customHeight="1">
      <c r="A8" s="137" t="n"/>
      <c r="B8" s="84" t="n"/>
      <c r="C8" s="16" t="n"/>
      <c r="D8" s="17" t="n"/>
      <c r="E8" s="170" t="inlineStr">
        <is>
          <t>Constituição</t>
        </is>
      </c>
      <c r="F8" s="16" t="n"/>
      <c r="G8" s="16" t="n"/>
      <c r="H8" s="16" t="n"/>
      <c r="I8" s="16" t="n"/>
      <c r="J8" s="17" t="n"/>
      <c r="K8" s="171" t="inlineStr">
        <is>
          <t>Sua resistência bruta a dano e a desgaste. No livro: participa da resistência corporal.</t>
        </is>
      </c>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7" t="n"/>
      <c r="AH8" s="137" t="n"/>
    </row>
    <row r="9" ht="30" customHeight="1">
      <c r="A9" s="137" t="n"/>
      <c r="B9" s="172" t="n"/>
      <c r="C9" s="16" t="n"/>
      <c r="D9" s="17" t="n"/>
      <c r="E9" s="173" t="inlineStr">
        <is>
          <t>Inteligência</t>
        </is>
      </c>
      <c r="F9" s="16" t="n"/>
      <c r="G9" s="16" t="n"/>
      <c r="H9" s="16" t="n"/>
      <c r="I9" s="16" t="n"/>
      <c r="J9" s="17" t="n"/>
      <c r="K9" s="174" t="inlineStr">
        <is>
          <t>O que você sabe e deduz — o raciocínio frio. No livro: participa do raciocínio e do conhecimento.</t>
        </is>
      </c>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7" t="n"/>
      <c r="AH9" s="137" t="n"/>
    </row>
    <row r="10" ht="30" customHeight="1">
      <c r="A10" s="137" t="n"/>
      <c r="B10" s="84" t="n"/>
      <c r="C10" s="16" t="n"/>
      <c r="D10" s="17" t="n"/>
      <c r="E10" s="170" t="inlineStr">
        <is>
          <t>Essência</t>
        </is>
      </c>
      <c r="F10" s="16" t="n"/>
      <c r="G10" s="16" t="n"/>
      <c r="H10" s="16" t="n"/>
      <c r="I10" s="16" t="n"/>
      <c r="J10" s="17" t="n"/>
      <c r="K10" s="171" t="inlineStr">
        <is>
          <t>Sua sensibilidade à energia amaldiçoada e às pessoas — o que você sente, não o que você calcula. No livro: participa da presença e da relação com energia amaldiçoada.</t>
        </is>
      </c>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7" t="n"/>
      <c r="AH10" s="137" t="n"/>
    </row>
    <row r="11">
      <c r="A11" s="137" t="n"/>
      <c r="AH11" s="137" t="n"/>
    </row>
    <row r="12">
      <c r="A12" s="137" t="n"/>
      <c r="B12" s="167" t="inlineStr">
        <is>
          <t>PERÍCIAS</t>
        </is>
      </c>
      <c r="C12" s="16" t="n"/>
      <c r="D12" s="16" t="n"/>
      <c r="E12" s="16" t="n"/>
      <c r="F12" s="16" t="n"/>
      <c r="G12" s="16" t="n"/>
      <c r="H12" s="16" t="n"/>
      <c r="I12" s="16" t="n"/>
      <c r="J12" s="16" t="n"/>
      <c r="K12" s="16" t="n"/>
      <c r="L12" s="17" t="n"/>
      <c r="M12" s="168" t="inlineStr">
        <is>
          <t>9 de 23 na criação — ou 10, trocando os dois ofícios da Origem.</t>
        </is>
      </c>
      <c r="N12" s="16" t="n"/>
      <c r="O12" s="16" t="n"/>
      <c r="P12" s="16" t="n"/>
      <c r="Q12" s="16" t="n"/>
      <c r="R12" s="16" t="n"/>
      <c r="S12" s="16" t="n"/>
      <c r="T12" s="16" t="n"/>
      <c r="U12" s="16" t="n"/>
      <c r="V12" s="16" t="n"/>
      <c r="W12" s="16" t="n"/>
      <c r="X12" s="16" t="n"/>
      <c r="Y12" s="16" t="n"/>
      <c r="Z12" s="16" t="n"/>
      <c r="AA12" s="16" t="n"/>
      <c r="AB12" s="16" t="n"/>
      <c r="AC12" s="16" t="n"/>
      <c r="AD12" s="16" t="n"/>
      <c r="AE12" s="16" t="n"/>
      <c r="AF12" s="16" t="n"/>
      <c r="AG12" s="17" t="n"/>
      <c r="AH12" s="137" t="n"/>
    </row>
    <row r="13">
      <c r="A13" s="137" t="n"/>
      <c r="B13" s="56" t="inlineStr">
        <is>
          <t>NOME</t>
        </is>
      </c>
      <c r="C13" s="16" t="n"/>
      <c r="D13" s="17" t="n"/>
      <c r="E13" s="169" t="inlineStr">
        <is>
          <t>ATRIBUTO</t>
        </is>
      </c>
      <c r="F13" s="16" t="n"/>
      <c r="G13" s="16" t="n"/>
      <c r="H13" s="16" t="n"/>
      <c r="I13" s="16" t="n"/>
      <c r="J13" s="17" t="n"/>
      <c r="K13" s="169" t="inlineStr">
        <is>
          <t>O QUE FAZ</t>
        </is>
      </c>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7" t="n"/>
      <c r="AH13" s="137" t="n"/>
    </row>
    <row r="14" ht="30" customHeight="1">
      <c r="A14" s="137" t="n"/>
      <c r="B14" s="84" t="inlineStr">
        <is>
          <t>Acrobacia</t>
        </is>
      </c>
      <c r="C14" s="16" t="n"/>
      <c r="D14" s="17" t="n"/>
      <c r="E14" s="170" t="inlineStr">
        <is>
          <t>Destreza</t>
        </is>
      </c>
      <c r="F14" s="16" t="n"/>
      <c r="G14" s="16" t="n"/>
      <c r="H14" s="16" t="n"/>
      <c r="I14" s="16" t="n"/>
      <c r="J14" s="17" t="n"/>
      <c r="K14" s="171" t="inlineStr">
        <is>
          <t>Mede seu equilíbrio e o controle fino do próprio corpo em movimento. Exemplo: Use Acrobacia para manter o equilíbrio num apoio instável, executar uma manobra corporal difícil ou se contorcer numa passagem que comporte seu corpo.</t>
        </is>
      </c>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7" t="n"/>
      <c r="AH14" s="137" t="n"/>
    </row>
    <row r="15" ht="30" customHeight="1">
      <c r="A15" s="137" t="n"/>
      <c r="B15" s="172" t="inlineStr">
        <is>
          <t>Atletismo</t>
        </is>
      </c>
      <c r="C15" s="16" t="n"/>
      <c r="D15" s="17" t="n"/>
      <c r="E15" s="173" t="inlineStr">
        <is>
          <t>Força</t>
        </is>
      </c>
      <c r="F15" s="16" t="n"/>
      <c r="G15" s="16" t="n"/>
      <c r="H15" s="16" t="n"/>
      <c r="I15" s="16" t="n"/>
      <c r="J15" s="17" t="n"/>
      <c r="K15" s="174" t="inlineStr">
        <is>
          <t>Mede seu corpo em esforço físico direto. Exemplo: Use Atletismo para superar uma correnteza, escalar um apoio difícil, saltar sob condições adversas ou forçar uma porta.</t>
        </is>
      </c>
      <c r="L15" s="16"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7" t="n"/>
      <c r="AH15" s="137" t="n"/>
    </row>
    <row r="16" ht="30" customHeight="1">
      <c r="A16" s="137" t="n"/>
      <c r="B16" s="84" t="inlineStr">
        <is>
          <t>Atuação</t>
        </is>
      </c>
      <c r="C16" s="16" t="n"/>
      <c r="D16" s="17" t="n"/>
      <c r="E16" s="170" t="inlineStr">
        <is>
          <t>Essência</t>
        </is>
      </c>
      <c r="F16" s="16" t="n"/>
      <c r="G16" s="16" t="n"/>
      <c r="H16" s="16" t="n"/>
      <c r="I16" s="16" t="n"/>
      <c r="J16" s="17" t="n"/>
      <c r="K16" s="171" t="inlineStr">
        <is>
          <t>Mede sua capacidade de performar ou sustentar um papel diante de alguém. Exemplo: Use Atuação para cantar, representar, contar uma história ou conduzir uma apresentação.</t>
        </is>
      </c>
      <c r="L16" s="16" t="n"/>
      <c r="M16" s="16" t="n"/>
      <c r="N16" s="16" t="n"/>
      <c r="O16" s="16" t="n"/>
      <c r="P16" s="16" t="n"/>
      <c r="Q16" s="16" t="n"/>
      <c r="R16" s="16" t="n"/>
      <c r="S16" s="16" t="n"/>
      <c r="T16" s="16" t="n"/>
      <c r="U16" s="16" t="n"/>
      <c r="V16" s="16" t="n"/>
      <c r="W16" s="16" t="n"/>
      <c r="X16" s="16" t="n"/>
      <c r="Y16" s="16" t="n"/>
      <c r="Z16" s="16" t="n"/>
      <c r="AA16" s="16" t="n"/>
      <c r="AB16" s="16" t="n"/>
      <c r="AC16" s="16" t="n"/>
      <c r="AD16" s="16" t="n"/>
      <c r="AE16" s="16" t="n"/>
      <c r="AF16" s="16" t="n"/>
      <c r="AG16" s="17" t="n"/>
      <c r="AH16" s="137" t="n"/>
    </row>
    <row r="17" ht="30" customHeight="1">
      <c r="A17" s="137" t="n"/>
      <c r="B17" s="172" t="inlineStr">
        <is>
          <t>Enganação</t>
        </is>
      </c>
      <c r="C17" s="16" t="n"/>
      <c r="D17" s="17" t="n"/>
      <c r="E17" s="173" t="inlineStr">
        <is>
          <t>Essência</t>
        </is>
      </c>
      <c r="F17" s="16" t="n"/>
      <c r="G17" s="16" t="n"/>
      <c r="H17" s="16" t="n"/>
      <c r="I17" s="16" t="n"/>
      <c r="J17" s="17" t="n"/>
      <c r="K17" s="174" t="inlineStr">
        <is>
          <t>Mede sua capacidade de mentir de um jeito convincente. Exemplo: Use Enganação para sustentar uma mentira, blefar ou apresentar uma identidade falsa.</t>
        </is>
      </c>
      <c r="L17" s="16" t="n"/>
      <c r="M17" s="16" t="n"/>
      <c r="N17" s="16" t="n"/>
      <c r="O17" s="16" t="n"/>
      <c r="P17" s="16" t="n"/>
      <c r="Q17" s="16" t="n"/>
      <c r="R17" s="16" t="n"/>
      <c r="S17" s="16" t="n"/>
      <c r="T17" s="16" t="n"/>
      <c r="U17" s="16" t="n"/>
      <c r="V17" s="16" t="n"/>
      <c r="W17" s="16" t="n"/>
      <c r="X17" s="16" t="n"/>
      <c r="Y17" s="16" t="n"/>
      <c r="Z17" s="16" t="n"/>
      <c r="AA17" s="16" t="n"/>
      <c r="AB17" s="16" t="n"/>
      <c r="AC17" s="16" t="n"/>
      <c r="AD17" s="16" t="n"/>
      <c r="AE17" s="16" t="n"/>
      <c r="AF17" s="16" t="n"/>
      <c r="AG17" s="17" t="n"/>
      <c r="AH17" s="137" t="n"/>
    </row>
    <row r="18" ht="30" customHeight="1">
      <c r="A18" s="137" t="n"/>
      <c r="B18" s="84" t="inlineStr">
        <is>
          <t>Furtividade</t>
        </is>
      </c>
      <c r="C18" s="16" t="n"/>
      <c r="D18" s="17" t="n"/>
      <c r="E18" s="170" t="inlineStr">
        <is>
          <t>Destreza</t>
        </is>
      </c>
      <c r="F18" s="16" t="n"/>
      <c r="G18" s="16" t="n"/>
      <c r="H18" s="16" t="n"/>
      <c r="I18" s="16" t="n"/>
      <c r="J18" s="17" t="n"/>
      <c r="K18" s="171" t="inlineStr">
        <is>
          <t>Mede sua capacidade de passar despercebido. Exemplo: Use Furtividade para esconder sua presença e mover-se com discrição, aproveitando as condições do ambiente.</t>
        </is>
      </c>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7" t="n"/>
      <c r="AH18" s="137" t="n"/>
    </row>
    <row r="19" ht="30" customHeight="1">
      <c r="A19" s="137" t="n"/>
      <c r="B19" s="172" t="inlineStr">
        <is>
          <t>Hierarquia</t>
        </is>
      </c>
      <c r="C19" s="16" t="n"/>
      <c r="D19" s="17" t="n"/>
      <c r="E19" s="173" t="inlineStr">
        <is>
          <t>Inteligência</t>
        </is>
      </c>
      <c r="F19" s="16" t="n"/>
      <c r="G19" s="16" t="n"/>
      <c r="H19" s="16" t="n"/>
      <c r="I19" s="16" t="n"/>
      <c r="J19" s="17" t="n"/>
      <c r="K19" s="174" t="inlineStr">
        <is>
          <t>Mede seu conhecimento da política entre clãs e feiticeiros — quem manda em quem. Exemplo: Use Hierarquia para reconhecer cargos, relações políticas, responsabilidades e canais de autoridade.</t>
        </is>
      </c>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7" t="n"/>
      <c r="AH19" s="137" t="n"/>
    </row>
    <row r="20" ht="30" customHeight="1">
      <c r="A20" s="137" t="n"/>
      <c r="B20" s="84" t="inlineStr">
        <is>
          <t>História</t>
        </is>
      </c>
      <c r="C20" s="16" t="n"/>
      <c r="D20" s="17" t="n"/>
      <c r="E20" s="170" t="inlineStr">
        <is>
          <t>Inteligência</t>
        </is>
      </c>
      <c r="F20" s="16" t="n"/>
      <c r="G20" s="16" t="n"/>
      <c r="H20" s="16" t="n"/>
      <c r="I20" s="16" t="n"/>
      <c r="J20" s="17" t="n"/>
      <c r="K20" s="171" t="inlineStr">
        <is>
          <t>Mede sua memória do que já aconteceu e de quem estava lá. Exemplo: Use História para recordar acontecimentos, personagens, conflitos e costumes do passado.</t>
        </is>
      </c>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7" t="n"/>
      <c r="AH20" s="137" t="n"/>
    </row>
    <row r="21" ht="30" customHeight="1">
      <c r="A21" s="137" t="n"/>
      <c r="B21" s="172" t="inlineStr">
        <is>
          <t>Intimidação</t>
        </is>
      </c>
      <c r="C21" s="16" t="n"/>
      <c r="D21" s="17" t="n"/>
      <c r="E21" s="173" t="inlineStr">
        <is>
          <t>Essência</t>
        </is>
      </c>
      <c r="F21" s="16" t="n"/>
      <c r="G21" s="16" t="n"/>
      <c r="H21" s="16" t="n"/>
      <c r="I21" s="16" t="n"/>
      <c r="J21" s="17" t="n"/>
      <c r="K21" s="174" t="inlineStr">
        <is>
          <t>Mede sua capacidade de fazer alguém recuar pela ameaça ou pela presença. Exemplo: Use Intimidação para pressionar alguém por meio de uma ameaça que essa pessoa possa levar a sério.</t>
        </is>
      </c>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7" t="n"/>
      <c r="AH21" s="137" t="n"/>
    </row>
    <row r="22" ht="30" customHeight="1">
      <c r="A22" s="137" t="n"/>
      <c r="B22" s="84" t="inlineStr">
        <is>
          <t>Intuição</t>
        </is>
      </c>
      <c r="C22" s="16" t="n"/>
      <c r="D22" s="17" t="n"/>
      <c r="E22" s="170" t="inlineStr">
        <is>
          <t>Inteligência</t>
        </is>
      </c>
      <c r="F22" s="16" t="n"/>
      <c r="G22" s="16" t="n"/>
      <c r="H22" s="16" t="n"/>
      <c r="I22" s="16" t="n"/>
      <c r="J22" s="17" t="n"/>
      <c r="K22" s="171" t="inlineStr">
        <is>
          <t>Mede sua leitura racional do comportamento alheio — dedução sobre gente. Exemplo: Use Intuição para interpretar intenções e perceber inconsistências no comportamento de alguém.</t>
        </is>
      </c>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7" t="n"/>
      <c r="AH22" s="137" t="n"/>
    </row>
    <row r="23" ht="30" customHeight="1">
      <c r="A23" s="137" t="n"/>
      <c r="B23" s="172" t="inlineStr">
        <is>
          <t>Investigação</t>
        </is>
      </c>
      <c r="C23" s="16" t="n"/>
      <c r="D23" s="17" t="n"/>
      <c r="E23" s="173" t="inlineStr">
        <is>
          <t>Inteligência</t>
        </is>
      </c>
      <c r="F23" s="16" t="n"/>
      <c r="G23" s="16" t="n"/>
      <c r="H23" s="16" t="n"/>
      <c r="I23" s="16" t="n"/>
      <c r="J23" s="17" t="n"/>
      <c r="K23" s="174" t="inlineStr">
        <is>
          <t>Mede sua capacidade de vasculhar um lugar e ligar pistas soltas. Exemplo: Use Investigação para vasculhar documentos, examinar uma cena e relacionar pistas.</t>
        </is>
      </c>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7" t="n"/>
      <c r="AH23" s="137" t="n"/>
    </row>
    <row r="24" ht="30" customHeight="1">
      <c r="A24" s="137" t="n"/>
      <c r="B24" s="84" t="inlineStr">
        <is>
          <t>Lidar com Animais</t>
        </is>
      </c>
      <c r="C24" s="16" t="n"/>
      <c r="D24" s="17" t="n"/>
      <c r="E24" s="170" t="inlineStr">
        <is>
          <t>Inteligência</t>
        </is>
      </c>
      <c r="F24" s="16" t="n"/>
      <c r="G24" s="16" t="n"/>
      <c r="H24" s="16" t="n"/>
      <c r="I24" s="16" t="n"/>
      <c r="J24" s="17" t="n"/>
      <c r="K24" s="171" t="inlineStr">
        <is>
          <t>Mede sua capacidade de acalmar, montar ou conduzir um animal. Exemplo: Use Lidar com Animais para acalmar, conduzir ou interpretar o comportamento de um animal.</t>
        </is>
      </c>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7" t="n"/>
      <c r="AH24" s="137" t="n"/>
    </row>
    <row r="25" ht="30" customHeight="1">
      <c r="A25" s="137" t="n"/>
      <c r="B25" s="172" t="inlineStr">
        <is>
          <t>Medicina</t>
        </is>
      </c>
      <c r="C25" s="16" t="n"/>
      <c r="D25" s="17" t="n"/>
      <c r="E25" s="173" t="inlineStr">
        <is>
          <t>Inteligência</t>
        </is>
      </c>
      <c r="F25" s="16" t="n"/>
      <c r="G25" s="16" t="n"/>
      <c r="H25" s="16" t="n"/>
      <c r="I25" s="16" t="n"/>
      <c r="J25" s="17" t="n"/>
      <c r="K25" s="174" t="inlineStr">
        <is>
          <t>Mede seu conhecimento teórico de ferimento, veneno e doença. Exemplo: Use Medicina para examinar ferimentos, sintomas e sinais do funcionamento do corpo.</t>
        </is>
      </c>
      <c r="L25" s="16" t="n"/>
      <c r="M25" s="16" t="n"/>
      <c r="N25" s="16" t="n"/>
      <c r="O25" s="16" t="n"/>
      <c r="P25" s="16" t="n"/>
      <c r="Q25" s="16" t="n"/>
      <c r="R25" s="16" t="n"/>
      <c r="S25" s="16" t="n"/>
      <c r="T25" s="16" t="n"/>
      <c r="U25" s="16" t="n"/>
      <c r="V25" s="16" t="n"/>
      <c r="W25" s="16" t="n"/>
      <c r="X25" s="16" t="n"/>
      <c r="Y25" s="16" t="n"/>
      <c r="Z25" s="16" t="n"/>
      <c r="AA25" s="16" t="n"/>
      <c r="AB25" s="16" t="n"/>
      <c r="AC25" s="16" t="n"/>
      <c r="AD25" s="16" t="n"/>
      <c r="AE25" s="16" t="n"/>
      <c r="AF25" s="16" t="n"/>
      <c r="AG25" s="17" t="n"/>
      <c r="AH25" s="137" t="n"/>
    </row>
    <row r="26" ht="30" customHeight="1">
      <c r="A26" s="137" t="n"/>
      <c r="B26" s="84" t="inlineStr">
        <is>
          <t>Natureza</t>
        </is>
      </c>
      <c r="C26" s="16" t="n"/>
      <c r="D26" s="17" t="n"/>
      <c r="E26" s="170" t="inlineStr">
        <is>
          <t>Inteligência</t>
        </is>
      </c>
      <c r="F26" s="16" t="n"/>
      <c r="G26" s="16" t="n"/>
      <c r="H26" s="16" t="n"/>
      <c r="I26" s="16" t="n"/>
      <c r="J26" s="17" t="n"/>
      <c r="K26" s="171" t="inlineStr">
        <is>
          <t>Mede seu conhecimento do mundo natural — planta, bicho, clima, terreno. Exemplo: Use Natureza para identificar plantas e animais, reconhecer terreno, avaliar sinais do clima e compreender fenômenos naturais.</t>
        </is>
      </c>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7" t="n"/>
      <c r="AH26" s="137" t="n"/>
    </row>
    <row r="27" ht="30" customHeight="1">
      <c r="A27" s="137" t="n"/>
      <c r="B27" s="172" t="inlineStr">
        <is>
          <t>Ocultismo</t>
        </is>
      </c>
      <c r="C27" s="16" t="n"/>
      <c r="D27" s="17" t="n"/>
      <c r="E27" s="173" t="inlineStr">
        <is>
          <t>Inteligência</t>
        </is>
      </c>
      <c r="F27" s="16" t="n"/>
      <c r="G27" s="16" t="n"/>
      <c r="H27" s="16" t="n"/>
      <c r="I27" s="16" t="n"/>
      <c r="J27" s="17" t="n"/>
      <c r="K27" s="174" t="inlineStr">
        <is>
          <t>Mede seu conhecimento técnico de maldições e do funcionamento da energia amaldiçoada. Exemplo: Use Ocultismo para reconhecer conhecimentos de feitiçaria, símbolos, procedimentos e fenômenos que o personagem tenha condições de conhecer.</t>
        </is>
      </c>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7" t="n"/>
      <c r="AH27" s="137" t="n"/>
    </row>
    <row r="28" ht="30" customHeight="1">
      <c r="A28" s="137" t="n"/>
      <c r="B28" s="84" t="inlineStr">
        <is>
          <t>Percepção</t>
        </is>
      </c>
      <c r="C28" s="16" t="n"/>
      <c r="D28" s="17" t="n"/>
      <c r="E28" s="170" t="inlineStr">
        <is>
          <t>Essência</t>
        </is>
      </c>
      <c r="F28" s="16" t="n"/>
      <c r="G28" s="16" t="n"/>
      <c r="H28" s="16" t="n"/>
      <c r="I28" s="16" t="n"/>
      <c r="J28" s="17" t="n"/>
      <c r="K28" s="171" t="inlineStr">
        <is>
          <t>Mede sua atenção ao que os cinco sentidos comuns captam — o lado mundano. Exemplo: Use Percepção para notar sons, cheiros, movimentos e outros sinais acessíveis aos seus sentidos.</t>
        </is>
      </c>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7" t="n"/>
      <c r="AH28" s="137" t="n"/>
    </row>
    <row r="29" ht="30" customHeight="1">
      <c r="A29" s="137" t="n"/>
      <c r="B29" s="172" t="inlineStr">
        <is>
          <t>Persuasão</t>
        </is>
      </c>
      <c r="C29" s="16" t="n"/>
      <c r="D29" s="17" t="n"/>
      <c r="E29" s="173" t="inlineStr">
        <is>
          <t>Essência</t>
        </is>
      </c>
      <c r="F29" s="16" t="n"/>
      <c r="G29" s="16" t="n"/>
      <c r="H29" s="16" t="n"/>
      <c r="I29" s="16" t="n"/>
      <c r="J29" s="17" t="n"/>
      <c r="K29" s="174" t="inlineStr">
        <is>
          <t>Mede sua capacidade de convencer alguém a fazer o que você quer porque quer. Exemplo: Use Persuasão para negociar, apresentar argumentos ou obter colaboração voluntária.</t>
        </is>
      </c>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7" t="n"/>
      <c r="AH29" s="137" t="n"/>
    </row>
    <row r="30" ht="30" customHeight="1">
      <c r="A30" s="137" t="n"/>
      <c r="B30" s="84" t="inlineStr">
        <is>
          <t>Pontaria</t>
        </is>
      </c>
      <c r="C30" s="16" t="n"/>
      <c r="D30" s="17" t="n"/>
      <c r="E30" s="170" t="inlineStr">
        <is>
          <t>Destreza</t>
        </is>
      </c>
      <c r="F30" s="16" t="n"/>
      <c r="G30" s="16" t="n"/>
      <c r="H30" s="16" t="n"/>
      <c r="I30" s="16" t="n"/>
      <c r="J30" s="17" t="n"/>
      <c r="K30" s="171" t="inlineStr">
        <is>
          <t>Mede sua precisão ao mirar num alvo específico, fora de uma rolagem de ataque. Exemplo: Use Pontaria para acertar um ponto numa tarefa de precisão, como lançar a ponta de uma corda por uma abertura ou colocar um objeto num recipiente distante.</t>
        </is>
      </c>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7" t="n"/>
      <c r="AH30" s="137" t="n"/>
    </row>
    <row r="31" ht="30" customHeight="1">
      <c r="A31" s="137" t="n"/>
      <c r="B31" s="172" t="inlineStr">
        <is>
          <t>Prestidigitação</t>
        </is>
      </c>
      <c r="C31" s="16" t="n"/>
      <c r="D31" s="17" t="n"/>
      <c r="E31" s="173" t="inlineStr">
        <is>
          <t>Destreza</t>
        </is>
      </c>
      <c r="F31" s="16" t="n"/>
      <c r="G31" s="16" t="n"/>
      <c r="H31" s="16" t="n"/>
      <c r="I31" s="16" t="n"/>
      <c r="J31" s="17" t="n"/>
      <c r="K31" s="174" t="inlineStr">
        <is>
          <t>Mede a destreza manual fina — mão rápida, gesto discreto. Exemplo: Use Prestidigitação para esconder um objeto pequeno na mão, trocar discretamente duas peças ou retirar algo de um bolso acessível sem chamar atenção.</t>
        </is>
      </c>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7" t="n"/>
      <c r="AH31" s="137" t="n"/>
    </row>
    <row r="32" ht="30" customHeight="1">
      <c r="A32" s="137" t="n"/>
      <c r="B32" s="84" t="inlineStr">
        <is>
          <t>Provocar</t>
        </is>
      </c>
      <c r="C32" s="16" t="n"/>
      <c r="D32" s="17" t="n"/>
      <c r="E32" s="170" t="inlineStr">
        <is>
          <t>Essência</t>
        </is>
      </c>
      <c r="F32" s="16" t="n"/>
      <c r="G32" s="16" t="n"/>
      <c r="H32" s="16" t="n"/>
      <c r="I32" s="16" t="n"/>
      <c r="J32" s="17" t="n"/>
      <c r="K32" s="171" t="inlineStr">
        <is>
          <t>Mede sua capacidade de tirar alguém do sério e puxá-lo pra cima de você — o oposto de Intimidação. Exemplo: Use Provocar para irritar, desafiar ou fazer alguém perder a compostura.</t>
        </is>
      </c>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7" t="n"/>
      <c r="AH32" s="137" t="n"/>
    </row>
    <row r="33" ht="30" customHeight="1">
      <c r="A33" s="137" t="n"/>
      <c r="B33" s="172" t="inlineStr">
        <is>
          <t>Religião</t>
        </is>
      </c>
      <c r="C33" s="16" t="n"/>
      <c r="D33" s="17" t="n"/>
      <c r="E33" s="173" t="inlineStr">
        <is>
          <t>Inteligência</t>
        </is>
      </c>
      <c r="F33" s="16" t="n"/>
      <c r="G33" s="16" t="n"/>
      <c r="H33" s="16" t="n"/>
      <c r="I33" s="16" t="n"/>
      <c r="J33" s="17" t="n"/>
      <c r="K33" s="174" t="inlineStr">
        <is>
          <t>Mede seu conhecimento do lado sagrado e ritual do jujutsu. Exemplo: Use Religião para reconhecer tradições, símbolos, práticas religiosas e a função de um local de culto.</t>
        </is>
      </c>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7" t="n"/>
      <c r="AH33" s="137" t="n"/>
    </row>
    <row r="34" ht="30" customHeight="1">
      <c r="A34" s="137" t="n"/>
      <c r="B34" s="84" t="inlineStr">
        <is>
          <t>Sentir Energia</t>
        </is>
      </c>
      <c r="C34" s="16" t="n"/>
      <c r="D34" s="17" t="n"/>
      <c r="E34" s="170" t="inlineStr">
        <is>
          <t>Essência</t>
        </is>
      </c>
      <c r="F34" s="16" t="n"/>
      <c r="G34" s="16" t="n"/>
      <c r="H34" s="16" t="n"/>
      <c r="I34" s="16" t="n"/>
      <c r="J34" s="17" t="n"/>
      <c r="K34" s="171" t="inlineStr">
        <is>
          <t>Mede sua sensibilidade direta à energia amaldiçoada. Exemplo: Use Sentir Energia para procurar ou examinar sinais de energia amaldiçoada que sua capacidade de percepção alcance.</t>
        </is>
      </c>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7" t="n"/>
      <c r="AH34" s="137" t="n"/>
    </row>
    <row r="35" ht="30" customHeight="1">
      <c r="A35" s="137" t="n"/>
      <c r="B35" s="172" t="inlineStr">
        <is>
          <t>Sobrevivência</t>
        </is>
      </c>
      <c r="C35" s="16" t="n"/>
      <c r="D35" s="17" t="n"/>
      <c r="E35" s="173" t="inlineStr">
        <is>
          <t>Inteligência</t>
        </is>
      </c>
      <c r="F35" s="16" t="n"/>
      <c r="G35" s="16" t="n"/>
      <c r="H35" s="16" t="n"/>
      <c r="I35" s="16" t="n"/>
      <c r="J35" s="17" t="n"/>
      <c r="K35" s="174" t="inlineStr">
        <is>
          <t>Mede sua capacidade de aguentar e se orientar num ambiente hostil. Exemplo: Use Sobrevivência para se orientar, procurar água e abrigo, avaliar um percurso e seguir rastros acessíveis.</t>
        </is>
      </c>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7" t="n"/>
      <c r="AH35" s="137" t="n"/>
    </row>
    <row r="36" ht="30" customHeight="1">
      <c r="A36" s="137" t="n"/>
      <c r="B36" s="84" t="inlineStr">
        <is>
          <t>Tecnologia</t>
        </is>
      </c>
      <c r="C36" s="16" t="n"/>
      <c r="D36" s="17" t="n"/>
      <c r="E36" s="170" t="inlineStr">
        <is>
          <t>Inteligência</t>
        </is>
      </c>
      <c r="F36" s="16" t="n"/>
      <c r="G36" s="16" t="n"/>
      <c r="H36" s="16" t="n"/>
      <c r="I36" s="16" t="n"/>
      <c r="J36" s="17" t="n"/>
      <c r="K36" s="171" t="inlineStr">
        <is>
          <t>Mede seu domínio de equipamento e sistema moderno. Exemplo: Use Tecnologia para compreender aparelhos e sistemas, examinar registros digitais ou diagnosticar uma falha.</t>
        </is>
      </c>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7" t="n"/>
      <c r="AH36" s="137" t="n"/>
    </row>
    <row r="37">
      <c r="A37" s="137" t="n"/>
      <c r="AH37" s="137" t="n"/>
    </row>
    <row r="38">
      <c r="A38" s="137" t="n"/>
      <c r="B38" s="167" t="inlineStr">
        <is>
          <t>OFÍCIOS</t>
        </is>
      </c>
      <c r="C38" s="16" t="n"/>
      <c r="D38" s="16" t="n"/>
      <c r="E38" s="16" t="n"/>
      <c r="F38" s="16" t="n"/>
      <c r="G38" s="16" t="n"/>
      <c r="H38" s="16" t="n"/>
      <c r="I38" s="16" t="n"/>
      <c r="J38" s="16" t="n"/>
      <c r="K38" s="16" t="n"/>
      <c r="L38" s="17" t="n"/>
      <c r="M38" s="168" t="inlineStr">
        <is>
          <t>2 de 11 na criação. O atributo é do mestre, na hora — não é fixo.</t>
        </is>
      </c>
      <c r="N38" s="16" t="n"/>
      <c r="O38" s="16" t="n"/>
      <c r="P38" s="16" t="n"/>
      <c r="Q38" s="16" t="n"/>
      <c r="R38" s="16" t="n"/>
      <c r="S38" s="16" t="n"/>
      <c r="T38" s="16" t="n"/>
      <c r="U38" s="16" t="n"/>
      <c r="V38" s="16" t="n"/>
      <c r="W38" s="16" t="n"/>
      <c r="X38" s="16" t="n"/>
      <c r="Y38" s="16" t="n"/>
      <c r="Z38" s="16" t="n"/>
      <c r="AA38" s="16" t="n"/>
      <c r="AB38" s="16" t="n"/>
      <c r="AC38" s="16" t="n"/>
      <c r="AD38" s="16" t="n"/>
      <c r="AE38" s="16" t="n"/>
      <c r="AF38" s="16" t="n"/>
      <c r="AG38" s="17" t="n"/>
      <c r="AH38" s="137" t="n"/>
    </row>
    <row r="39">
      <c r="A39" s="137" t="n"/>
      <c r="E39" s="169" t="inlineStr">
        <is>
          <t>NOME</t>
        </is>
      </c>
      <c r="F39" s="16" t="n"/>
      <c r="G39" s="16" t="n"/>
      <c r="H39" s="16" t="n"/>
      <c r="I39" s="16" t="n"/>
      <c r="J39" s="17" t="n"/>
      <c r="K39" s="169" t="inlineStr">
        <is>
          <t>O QUE FAZ</t>
        </is>
      </c>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7" t="n"/>
      <c r="AH39" s="137" t="n"/>
    </row>
    <row r="40" ht="30" customHeight="1">
      <c r="A40" s="137" t="n"/>
      <c r="B40" s="84" t="n"/>
      <c r="C40" s="16" t="n"/>
      <c r="D40" s="17" t="n"/>
      <c r="E40" s="170" t="inlineStr">
        <is>
          <t>Alfaiate</t>
        </is>
      </c>
      <c r="F40" s="16" t="n"/>
      <c r="G40" s="16" t="n"/>
      <c r="H40" s="16" t="n"/>
      <c r="I40" s="16" t="n"/>
      <c r="J40" s="17" t="n"/>
      <c r="K40" s="171" t="inlineStr">
        <is>
          <t>Mede sua capacidade de cortar, costurar e remendar tecido. Exemplo: Cortar, costurar, ajustar e remendar roupas e uniformes.</t>
        </is>
      </c>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7" t="n"/>
      <c r="AH40" s="137" t="n"/>
    </row>
    <row r="41" ht="30" customHeight="1">
      <c r="A41" s="137" t="n"/>
      <c r="B41" s="172" t="n"/>
      <c r="C41" s="16" t="n"/>
      <c r="D41" s="17" t="n"/>
      <c r="E41" s="173" t="inlineStr">
        <is>
          <t>Arrombamento</t>
        </is>
      </c>
      <c r="F41" s="16" t="n"/>
      <c r="G41" s="16" t="n"/>
      <c r="H41" s="16" t="n"/>
      <c r="I41" s="16" t="n"/>
      <c r="J41" s="17" t="n"/>
      <c r="K41" s="174" t="inlineStr">
        <is>
          <t>Mede sua capacidade de vencer uma trava sem ter a chave. Exemplo: Abrir fechaduras, contornar alarmes e outros dispositivos de acesso.</t>
        </is>
      </c>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7" t="n"/>
      <c r="AH41" s="137" t="n"/>
    </row>
    <row r="42" ht="30" customHeight="1">
      <c r="A42" s="137" t="n"/>
      <c r="B42" s="84" t="n"/>
      <c r="C42" s="16" t="n"/>
      <c r="D42" s="17" t="n"/>
      <c r="E42" s="170" t="inlineStr">
        <is>
          <t>Burocracia</t>
        </is>
      </c>
      <c r="F42" s="16" t="n"/>
      <c r="G42" s="16" t="n"/>
      <c r="H42" s="16" t="n"/>
      <c r="I42" s="16" t="n"/>
      <c r="J42" s="17" t="n"/>
      <c r="K42" s="171" t="inlineStr">
        <is>
          <t>Mede seu domínio da máquina administrativa jujutsu por dentro. Exemplo: Preparar relatórios, requisições e registros conforme os procedimentos de uma organização.</t>
        </is>
      </c>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7" t="n"/>
      <c r="AH42" s="137" t="n"/>
    </row>
    <row r="43" ht="30" customHeight="1">
      <c r="A43" s="137" t="n"/>
      <c r="B43" s="172" t="n"/>
      <c r="C43" s="16" t="n"/>
      <c r="D43" s="17" t="n"/>
      <c r="E43" s="173" t="inlineStr">
        <is>
          <t>Caligrafia</t>
        </is>
      </c>
      <c r="F43" s="16" t="n"/>
      <c r="G43" s="16" t="n"/>
      <c r="H43" s="16" t="n"/>
      <c r="I43" s="16" t="n"/>
      <c r="J43" s="17" t="n"/>
      <c r="K43" s="174" t="inlineStr">
        <is>
          <t>Mede sua capacidade de produzir documento escrito, oficial ou falsificado. Exemplo: Produzir escrita, inscrições, cópias e documentos; reproduzir um traço.</t>
        </is>
      </c>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7" t="n"/>
      <c r="AH43" s="137" t="n"/>
    </row>
    <row r="44" ht="30" customHeight="1">
      <c r="A44" s="137" t="n"/>
      <c r="B44" s="84" t="n"/>
      <c r="C44" s="16" t="n"/>
      <c r="D44" s="17" t="n"/>
      <c r="E44" s="170" t="inlineStr">
        <is>
          <t>Condução</t>
        </is>
      </c>
      <c r="F44" s="16" t="n"/>
      <c r="G44" s="16" t="n"/>
      <c r="H44" s="16" t="n"/>
      <c r="I44" s="16" t="n"/>
      <c r="J44" s="17" t="n"/>
      <c r="K44" s="171" t="inlineStr">
        <is>
          <t>Mede sua capacidade de operar um veículo. Exemplo: Dirigir e manobrar veículos. Familiaridade e meios de controle continuam necessários.</t>
        </is>
      </c>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7" t="n"/>
      <c r="AH44" s="137" t="n"/>
    </row>
    <row r="45" ht="30" customHeight="1">
      <c r="A45" s="137" t="n"/>
      <c r="B45" s="172" t="n"/>
      <c r="C45" s="16" t="n"/>
      <c r="D45" s="17" t="n"/>
      <c r="E45" s="173" t="inlineStr">
        <is>
          <t>Culinária</t>
        </is>
      </c>
      <c r="F45" s="16" t="n"/>
      <c r="G45" s="16" t="n"/>
      <c r="H45" s="16" t="n"/>
      <c r="I45" s="16" t="n"/>
      <c r="J45" s="17" t="n"/>
      <c r="K45" s="174" t="inlineStr">
        <is>
          <t>Mede sua capacidade de cozinhar de verdade. Exemplo: Preparar alimentos, combinar ingredientes e conservar refeições.</t>
        </is>
      </c>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7" t="n"/>
      <c r="AH45" s="137" t="n"/>
    </row>
    <row r="46" ht="30" customHeight="1">
      <c r="A46" s="137" t="n"/>
      <c r="B46" s="84" t="n"/>
      <c r="C46" s="16" t="n"/>
      <c r="D46" s="17" t="n"/>
      <c r="E46" s="170" t="inlineStr">
        <is>
          <t>Entalhador</t>
        </is>
      </c>
      <c r="F46" s="16" t="n"/>
      <c r="G46" s="16" t="n"/>
      <c r="H46" s="16" t="n"/>
      <c r="I46" s="16" t="n"/>
      <c r="J46" s="17" t="n"/>
      <c r="K46" s="171" t="inlineStr">
        <is>
          <t>Mede sua capacidade de moldar madeira, pedra ou osso. Exemplo: Trabalhar madeira, pedra ou osso para produzir peças e recipientes.</t>
        </is>
      </c>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7" t="n"/>
      <c r="AH46" s="137" t="n"/>
    </row>
    <row r="47" ht="30" customHeight="1">
      <c r="A47" s="137" t="n"/>
      <c r="B47" s="172" t="n"/>
      <c r="C47" s="16" t="n"/>
      <c r="D47" s="17" t="n"/>
      <c r="E47" s="173" t="inlineStr">
        <is>
          <t>Forja</t>
        </is>
      </c>
      <c r="F47" s="16" t="n"/>
      <c r="G47" s="16" t="n"/>
      <c r="H47" s="16" t="n"/>
      <c r="I47" s="16" t="n"/>
      <c r="J47" s="17" t="n"/>
      <c r="K47" s="174" t="inlineStr">
        <is>
          <t>Mede sua capacidade de fabricar, afiar e manter arma e ferramenta. Exemplo: Fabricar e manter armas e peças de metal com ferramentas adequadas.</t>
        </is>
      </c>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7" t="n"/>
      <c r="AH47" s="137" t="n"/>
    </row>
    <row r="48" ht="30" customHeight="1">
      <c r="A48" s="137" t="n"/>
      <c r="B48" s="84" t="n"/>
      <c r="C48" s="16" t="n"/>
      <c r="D48" s="17" t="n"/>
      <c r="E48" s="170" t="inlineStr">
        <is>
          <t>Herbalismo</t>
        </is>
      </c>
      <c r="F48" s="16" t="n"/>
      <c r="G48" s="16" t="n"/>
      <c r="H48" s="16" t="n"/>
      <c r="I48" s="16" t="n"/>
      <c r="J48" s="17" t="n"/>
      <c r="K48" s="171" t="inlineStr">
        <is>
          <t>Mede seu conhecimento prático de planta, aplicado a cura e a veneno. Exemplo: Preparar substâncias de origem vegetal, com ingredientes e procedimento conhecidos.</t>
        </is>
      </c>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7" t="n"/>
      <c r="AH48" s="137" t="n"/>
    </row>
    <row r="49" ht="30" customHeight="1">
      <c r="A49" s="137" t="n"/>
      <c r="B49" s="172" t="n"/>
      <c r="C49" s="16" t="n"/>
      <c r="D49" s="17" t="n"/>
      <c r="E49" s="173" t="inlineStr">
        <is>
          <t>Instrumento</t>
        </is>
      </c>
      <c r="F49" s="16" t="n"/>
      <c r="G49" s="16" t="n"/>
      <c r="H49" s="16" t="n"/>
      <c r="I49" s="16" t="n"/>
      <c r="J49" s="17" t="n"/>
      <c r="K49" s="174" t="inlineStr">
        <is>
          <t>Mede sua capacidade de tocar um instrumento musical. Exemplo: Tocar um instrumento escolhido ao adquirir o treino.</t>
        </is>
      </c>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7" t="n"/>
      <c r="AH49" s="137" t="n"/>
    </row>
    <row r="50" ht="30" customHeight="1">
      <c r="A50" s="137" t="n"/>
      <c r="B50" s="84" t="n"/>
      <c r="C50" s="16" t="n"/>
      <c r="D50" s="17" t="n"/>
      <c r="E50" s="170" t="inlineStr">
        <is>
          <t>Jogatina</t>
        </is>
      </c>
      <c r="F50" s="16" t="n"/>
      <c r="G50" s="16" t="n"/>
      <c r="H50" s="16" t="n"/>
      <c r="I50" s="16" t="n"/>
      <c r="J50" s="17" t="n"/>
      <c r="K50" s="171" t="inlineStr">
        <is>
          <t>Mede sua capacidade de jogar um jogo de aposta e ler quem está na mesa. Exemplo: Jogar e avaliar uma partida de cartas, dados ou outro jogo conhecido.</t>
        </is>
      </c>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7" t="n"/>
      <c r="AH50" s="137" t="n"/>
    </row>
    <row r="51">
      <c r="A51" s="137" t="n"/>
      <c r="AH51" s="137" t="n"/>
    </row>
    <row r="52">
      <c r="A52" s="137" t="n"/>
      <c r="B52" s="167" t="inlineStr">
        <is>
          <t>CONCEITOS</t>
        </is>
      </c>
      <c r="C52" s="16" t="n"/>
      <c r="D52" s="16" t="n"/>
      <c r="E52" s="16" t="n"/>
      <c r="F52" s="16" t="n"/>
      <c r="G52" s="16" t="n"/>
      <c r="H52" s="16" t="n"/>
      <c r="I52" s="16" t="n"/>
      <c r="J52" s="16" t="n"/>
      <c r="K52" s="16" t="n"/>
      <c r="L52" s="17" t="n"/>
      <c r="AH52" s="137" t="n"/>
    </row>
    <row r="53">
      <c r="A53" s="137" t="n"/>
      <c r="E53" s="169" t="inlineStr">
        <is>
          <t>TERMO</t>
        </is>
      </c>
      <c r="F53" s="16" t="n"/>
      <c r="G53" s="16" t="n"/>
      <c r="H53" s="16" t="n"/>
      <c r="I53" s="16" t="n"/>
      <c r="J53" s="17" t="n"/>
      <c r="K53" s="169" t="inlineStr">
        <is>
          <t>O QUE SIGNIFICA</t>
        </is>
      </c>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7" t="n"/>
      <c r="AH53" s="137" t="n"/>
    </row>
    <row r="54" ht="30" customHeight="1">
      <c r="A54" s="137" t="n"/>
      <c r="B54" s="84" t="n"/>
      <c r="C54" s="16" t="n"/>
      <c r="D54" s="17" t="n"/>
      <c r="E54" s="170" t="inlineStr">
        <is>
          <t>Treino</t>
        </is>
      </c>
      <c r="F54" s="16" t="n"/>
      <c r="G54" s="16" t="n"/>
      <c r="H54" s="16" t="n"/>
      <c r="I54" s="16" t="n"/>
      <c r="J54" s="17" t="n"/>
      <c r="K54" s="171" t="inlineStr">
        <is>
          <t>Ter a perícia ou o ofício marcado na ficha. Treino acrescenta a maestria à rolagem: com Destreza 3 e maestria 1, uma Furtividade treinada rola d20 + 4, sem treino d20 + 3 (Perícias e Ofícios).</t>
        </is>
      </c>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7" t="n"/>
      <c r="AH54" s="137" t="n"/>
    </row>
    <row r="55" ht="30" customHeight="1">
      <c r="A55" s="137" t="n"/>
      <c r="B55" s="172" t="n"/>
      <c r="C55" s="16" t="n"/>
      <c r="D55" s="17" t="n"/>
      <c r="E55" s="173" t="inlineStr">
        <is>
          <t>Maestria</t>
        </is>
      </c>
      <c r="F55" s="16" t="n"/>
      <c r="G55" s="16" t="n"/>
      <c r="H55" s="16" t="n"/>
      <c r="I55" s="16" t="n"/>
      <c r="J55" s="17" t="n"/>
      <c r="K55" s="174" t="inlineStr">
        <is>
          <t>O bônus que mede o tempo de estrada do personagem: começa em 1 e sobe nos níveis 10, 18 e 26. Entra na rolagem de ataque, na CD dos seus feitiços e no que você treinou (Progressão).</t>
        </is>
      </c>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7" t="n"/>
      <c r="AH55" s="137" t="n"/>
    </row>
    <row r="56" ht="30" customHeight="1">
      <c r="A56" s="137" t="n"/>
      <c r="B56" s="84" t="n"/>
      <c r="C56" s="16" t="n"/>
      <c r="D56" s="17" t="n"/>
      <c r="E56" s="170" t="inlineStr">
        <is>
          <t>Refino</t>
        </is>
      </c>
      <c r="F56" s="16" t="n"/>
      <c r="G56" s="16" t="n"/>
      <c r="H56" s="16" t="n"/>
      <c r="I56" s="16" t="n"/>
      <c r="J56" s="17" t="n"/>
      <c r="K56" s="171" t="inlineStr">
        <is>
          <t>O domínio da energia amaldiçoada: começa em 1, tem limite 10 e sobe nos marcos. Ele só entra na conta quando uma aptidão manda, e a escolha Refino de um marco é o que traz aptidões novas (Aptidões e Refino).</t>
        </is>
      </c>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7" t="n"/>
      <c r="AH56" s="137" t="n"/>
    </row>
    <row r="57">
      <c r="A57" s="137" t="n"/>
      <c r="AH57" s="137" t="n"/>
    </row>
  </sheetData>
  <mergeCells count="144">
    <mergeCell ref="B42:D42"/>
    <mergeCell ref="E19:J19"/>
    <mergeCell ref="E28:J28"/>
    <mergeCell ref="K13:AG13"/>
    <mergeCell ref="E9:J9"/>
    <mergeCell ref="B44:D44"/>
    <mergeCell ref="E30:J30"/>
    <mergeCell ref="K15:AG15"/>
    <mergeCell ref="B34:D34"/>
    <mergeCell ref="B28:D28"/>
    <mergeCell ref="B12:L12"/>
    <mergeCell ref="E46:J46"/>
    <mergeCell ref="K21:AG21"/>
    <mergeCell ref="B30:D30"/>
    <mergeCell ref="B6:D6"/>
    <mergeCell ref="K32:AG32"/>
    <mergeCell ref="B20:D20"/>
    <mergeCell ref="K41:AG41"/>
    <mergeCell ref="K50:AG50"/>
    <mergeCell ref="E32:J32"/>
    <mergeCell ref="B38:L38"/>
    <mergeCell ref="K56:AG56"/>
    <mergeCell ref="K43:AG43"/>
    <mergeCell ref="E47:J47"/>
    <mergeCell ref="B54:D54"/>
    <mergeCell ref="K27:AG27"/>
    <mergeCell ref="E24:J24"/>
    <mergeCell ref="K17:AG17"/>
    <mergeCell ref="B1:V2"/>
    <mergeCell ref="B56:D56"/>
    <mergeCell ref="E8:J8"/>
    <mergeCell ref="B43:D43"/>
    <mergeCell ref="K10:AG10"/>
    <mergeCell ref="K19:AG19"/>
    <mergeCell ref="K28:AG28"/>
    <mergeCell ref="K6:AG6"/>
    <mergeCell ref="E10:J10"/>
    <mergeCell ref="B8:D8"/>
    <mergeCell ref="B17:D17"/>
    <mergeCell ref="K25:AG25"/>
    <mergeCell ref="E34:J34"/>
    <mergeCell ref="K30:AG30"/>
    <mergeCell ref="K9:AG9"/>
    <mergeCell ref="K5:AG5"/>
    <mergeCell ref="B10:D10"/>
    <mergeCell ref="B19:D19"/>
    <mergeCell ref="K45:AG45"/>
    <mergeCell ref="E49:J49"/>
    <mergeCell ref="K54:AG54"/>
    <mergeCell ref="E36:J36"/>
    <mergeCell ref="M12:AG12"/>
    <mergeCell ref="E45:J45"/>
    <mergeCell ref="K55:AG55"/>
    <mergeCell ref="K29:AG29"/>
    <mergeCell ref="B9:D9"/>
    <mergeCell ref="K47:AG47"/>
    <mergeCell ref="K31:AG31"/>
    <mergeCell ref="B36:D36"/>
    <mergeCell ref="K46:AG46"/>
    <mergeCell ref="K40:AG40"/>
    <mergeCell ref="B45:D45"/>
    <mergeCell ref="E22:J22"/>
    <mergeCell ref="M38:AG38"/>
    <mergeCell ref="K8:AG8"/>
    <mergeCell ref="E21:J21"/>
    <mergeCell ref="B47:D47"/>
    <mergeCell ref="K23:AG23"/>
    <mergeCell ref="B31:D31"/>
    <mergeCell ref="B46:D46"/>
    <mergeCell ref="E14:J14"/>
    <mergeCell ref="E48:J48"/>
    <mergeCell ref="E23:J23"/>
    <mergeCell ref="B21:D21"/>
    <mergeCell ref="B48:D48"/>
    <mergeCell ref="B14:D14"/>
    <mergeCell ref="K18:AG18"/>
    <mergeCell ref="B23:D23"/>
    <mergeCell ref="E40:J40"/>
    <mergeCell ref="B13:D13"/>
    <mergeCell ref="K34:AG34"/>
    <mergeCell ref="K16:AG16"/>
    <mergeCell ref="K36:AG36"/>
    <mergeCell ref="B52:L52"/>
    <mergeCell ref="E27:J27"/>
    <mergeCell ref="B49:D49"/>
    <mergeCell ref="K20:AG20"/>
    <mergeCell ref="E25:J25"/>
    <mergeCell ref="K44:AG44"/>
    <mergeCell ref="K22:AG22"/>
    <mergeCell ref="B41:D41"/>
    <mergeCell ref="B35:D35"/>
    <mergeCell ref="B50:D50"/>
    <mergeCell ref="E18:J18"/>
    <mergeCell ref="E53:J53"/>
    <mergeCell ref="E50:J50"/>
    <mergeCell ref="B25:D25"/>
    <mergeCell ref="M4:AG4"/>
    <mergeCell ref="E55:J55"/>
    <mergeCell ref="K14:AG14"/>
    <mergeCell ref="B22:D22"/>
    <mergeCell ref="K48:AG48"/>
    <mergeCell ref="E5:J5"/>
    <mergeCell ref="E39:J39"/>
    <mergeCell ref="W1:AG2"/>
    <mergeCell ref="K7:AG7"/>
    <mergeCell ref="E20:J20"/>
    <mergeCell ref="E29:J29"/>
    <mergeCell ref="B4:L4"/>
    <mergeCell ref="E13:J13"/>
    <mergeCell ref="K49:AG49"/>
    <mergeCell ref="E31:J31"/>
    <mergeCell ref="K24:AG24"/>
    <mergeCell ref="B29:D29"/>
    <mergeCell ref="E6:J6"/>
    <mergeCell ref="K33:AG33"/>
    <mergeCell ref="E15:J15"/>
    <mergeCell ref="K26:AG26"/>
    <mergeCell ref="K35:AG35"/>
    <mergeCell ref="B40:D40"/>
    <mergeCell ref="E26:J26"/>
    <mergeCell ref="B15:D15"/>
    <mergeCell ref="B55:D55"/>
    <mergeCell ref="B24:D24"/>
    <mergeCell ref="E54:J54"/>
    <mergeCell ref="E7:J7"/>
    <mergeCell ref="B33:D33"/>
    <mergeCell ref="E41:J41"/>
    <mergeCell ref="E16:J16"/>
    <mergeCell ref="B32:D32"/>
    <mergeCell ref="B26:D26"/>
    <mergeCell ref="E56:J56"/>
    <mergeCell ref="E43:J43"/>
    <mergeCell ref="B7:D7"/>
    <mergeCell ref="B16:D16"/>
    <mergeCell ref="K42:AG42"/>
    <mergeCell ref="E33:J33"/>
    <mergeCell ref="E42:J42"/>
    <mergeCell ref="K39:AG39"/>
    <mergeCell ref="E17:J17"/>
    <mergeCell ref="B18:D18"/>
    <mergeCell ref="B27:D27"/>
    <mergeCell ref="K53:AG53"/>
    <mergeCell ref="E35:J35"/>
    <mergeCell ref="E44:J4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A171"/>
  <sheetViews>
    <sheetView showGridLines="0" workbookViewId="0">
      <selection activeCell="A1" sqref="A1"/>
    </sheetView>
  </sheetViews>
  <sheetFormatPr baseColWidth="8" defaultRowHeight="15.75" customHeight="1"/>
  <sheetData>
    <row r="1">
      <c r="A1" s="175" t="inlineStr">
        <is>
          <t>registro</t>
        </is>
      </c>
      <c r="B1" s="175" t="inlineStr">
        <is>
          <t>tipo</t>
        </is>
      </c>
      <c r="C1" s="175" t="inlineStr">
        <is>
          <t>nome</t>
        </is>
      </c>
      <c r="D1" s="175" t="inlineStr">
        <is>
          <t>mestre viu</t>
        </is>
      </c>
      <c r="E1" s="175" t="inlineStr">
        <is>
          <t>campo 1</t>
        </is>
      </c>
      <c r="F1" s="175" t="inlineStr">
        <is>
          <t>campo 2</t>
        </is>
      </c>
      <c r="G1" s="175" t="inlineStr">
        <is>
          <t>campo 3</t>
        </is>
      </c>
      <c r="H1" s="175" t="inlineStr">
        <is>
          <t>campo 4</t>
        </is>
      </c>
      <c r="I1" s="175" t="inlineStr">
        <is>
          <t>campo 5</t>
        </is>
      </c>
      <c r="J1" s="175" t="inlineStr">
        <is>
          <t>campo 6</t>
        </is>
      </c>
      <c r="K1" s="175" t="inlineStr">
        <is>
          <t>campo 7</t>
        </is>
      </c>
      <c r="L1" s="175" t="inlineStr">
        <is>
          <t>campo 8</t>
        </is>
      </c>
      <c r="M1" s="175" t="inlineStr">
        <is>
          <t>campo 9</t>
        </is>
      </c>
      <c r="N1" s="175" t="inlineStr">
        <is>
          <t>campo 10</t>
        </is>
      </c>
      <c r="O1" s="175" t="inlineStr">
        <is>
          <t>campo 11</t>
        </is>
      </c>
      <c r="P1" s="175" t="inlineStr">
        <is>
          <t>campo 12</t>
        </is>
      </c>
      <c r="Q1" s="175" t="inlineStr">
        <is>
          <t>campo 13</t>
        </is>
      </c>
      <c r="R1" s="175" t="inlineStr">
        <is>
          <t>efeito</t>
        </is>
      </c>
      <c r="S1" s="175" t="inlineStr">
        <is>
          <t>problema</t>
        </is>
      </c>
      <c r="T1" s="175" t="inlineStr">
        <is>
          <t>válido</t>
        </is>
      </c>
      <c r="U1" s="175" t="inlineStr">
        <is>
          <t>erro básico</t>
        </is>
      </c>
      <c r="V1" s="175" t="inlineStr">
        <is>
          <t>erro de vínculo</t>
        </is>
      </c>
      <c r="W1" s="175" t="inlineStr">
        <is>
          <t>erro de marcante</t>
        </is>
      </c>
      <c r="X1" s="175" t="inlineStr">
        <is>
          <t>erro de ferramenta</t>
        </is>
      </c>
      <c r="AA1" s="175" t="inlineStr">
        <is>
          <t>equipável</t>
        </is>
      </c>
      <c r="AB1" s="175" t="inlineStr">
        <is>
          <t>categoria</t>
        </is>
      </c>
      <c r="AC1" s="175" t="inlineStr">
        <is>
          <t>mão</t>
        </is>
      </c>
      <c r="AD1" s="175" t="inlineStr">
        <is>
          <t>dado</t>
        </is>
      </c>
      <c r="AE1" s="175" t="inlineStr">
        <is>
          <t>propriedades</t>
        </is>
      </c>
      <c r="AF1" s="175" t="inlineStr">
        <is>
          <t>força</t>
        </is>
      </c>
      <c r="AG1" s="175" t="inlineStr">
        <is>
          <t>volume</t>
        </is>
      </c>
      <c r="AH1" s="175" t="inlineStr">
        <is>
          <t>alcance</t>
        </is>
      </c>
      <c r="AI1" s="175" t="inlineStr">
        <is>
          <t>recarga</t>
        </is>
      </c>
      <c r="AJ1" s="175" t="inlineStr">
        <is>
          <t>treino</t>
        </is>
      </c>
      <c r="AK1" s="175" t="inlineStr">
        <is>
          <t>caixa do treino</t>
        </is>
      </c>
      <c r="AM1" s="175" t="inlineStr">
        <is>
          <t>uniforme</t>
        </is>
      </c>
      <c r="AN1" s="175" t="inlineStr">
        <is>
          <t>proteção</t>
        </is>
      </c>
      <c r="AO1" s="175" t="inlineStr">
        <is>
          <t>teto</t>
        </is>
      </c>
      <c r="AP1" s="175" t="inlineStr">
        <is>
          <t>força</t>
        </is>
      </c>
      <c r="AQ1" s="175" t="inlineStr">
        <is>
          <t>volume</t>
        </is>
      </c>
      <c r="AR1" s="175" t="inlineStr">
        <is>
          <t>ordem do grau</t>
        </is>
      </c>
      <c r="AS1" s="175" t="inlineStr">
        <is>
          <t>grau mínimo</t>
        </is>
      </c>
      <c r="AU1" s="175" t="inlineStr">
        <is>
          <t>item</t>
        </is>
      </c>
      <c r="AV1" s="175" t="inlineStr">
        <is>
          <t>volume</t>
        </is>
      </c>
      <c r="AW1" s="175" t="inlineStr">
        <is>
          <t>preço</t>
        </is>
      </c>
      <c r="AX1" s="175" t="inlineStr">
        <is>
          <t>descrição</t>
        </is>
      </c>
      <c r="AZ1" s="175" t="inlineStr">
        <is>
          <t>capacidade</t>
        </is>
      </c>
      <c r="BA1" s="175" t="inlineStr">
        <is>
          <t>origem</t>
        </is>
      </c>
      <c r="BB1" s="175" t="inlineStr">
        <is>
          <t>tipo</t>
        </is>
      </c>
      <c r="BC1" s="175" t="inlineStr">
        <is>
          <t>exige</t>
        </is>
      </c>
      <c r="BD1" s="175" t="inlineStr">
        <is>
          <t>frequência</t>
        </is>
      </c>
      <c r="BE1" s="175" t="inlineStr">
        <is>
          <t>texto</t>
        </is>
      </c>
      <c r="BG1" s="175" t="inlineStr">
        <is>
          <t>origem</t>
        </is>
      </c>
      <c r="BH1" s="175" t="inlineStr">
        <is>
          <t>perícias</t>
        </is>
      </c>
      <c r="BI1" s="175" t="inlineStr">
        <is>
          <t>rota</t>
        </is>
      </c>
      <c r="BM1" s="175" t="inlineStr">
        <is>
          <t>nome</t>
        </is>
      </c>
      <c r="BN1" s="175" t="inlineStr">
        <is>
          <t>tipo base</t>
        </is>
      </c>
      <c r="BO1" s="175" t="inlineStr">
        <is>
          <t>proteção</t>
        </is>
      </c>
      <c r="BP1" s="175" t="inlineStr">
        <is>
          <t>teto</t>
        </is>
      </c>
      <c r="BQ1" s="175" t="inlineStr">
        <is>
          <t>força</t>
        </is>
      </c>
      <c r="BR1" s="175" t="inlineStr">
        <is>
          <t>volume</t>
        </is>
      </c>
      <c r="BS1" s="175" t="inlineStr">
        <is>
          <t>grau</t>
        </is>
      </c>
      <c r="BT1" s="175" t="inlineStr">
        <is>
          <t>estigma</t>
        </is>
      </c>
      <c r="BU1" s="175" t="inlineStr">
        <is>
          <t>desgaste</t>
        </is>
      </c>
      <c r="BV1" s="175" t="inlineStr">
        <is>
          <t>nomes reservados do livro</t>
        </is>
      </c>
      <c r="BW1" s="175" t="inlineStr">
        <is>
          <t>origens que podem criar marcante</t>
        </is>
      </c>
      <c r="BZ1" s="175" t="inlineStr">
        <is>
          <t>tipos</t>
        </is>
      </c>
      <c r="CA1" s="175" t="inlineStr">
        <is>
          <t>pericias</t>
        </is>
      </c>
      <c r="CB1" s="175" t="inlineStr">
        <is>
          <t>rotas</t>
        </is>
      </c>
      <c r="CC1" s="175" t="inlineStr">
        <is>
          <t>origens</t>
        </is>
      </c>
      <c r="CD1" s="175" t="inlineStr">
        <is>
          <t>bases</t>
        </is>
      </c>
      <c r="CE1" s="175" t="inlineStr">
        <is>
          <t>oficios</t>
        </is>
      </c>
      <c r="CF1" s="175" t="inlineStr">
        <is>
          <t>categorias</t>
        </is>
      </c>
      <c r="CG1" s="175" t="inlineStr">
        <is>
          <t>maos</t>
        </is>
      </c>
      <c r="CH1" s="175" t="inlineStr">
        <is>
          <t>danos</t>
        </is>
      </c>
      <c r="CI1" s="175" t="inlineStr">
        <is>
          <t>propriedades</t>
        </is>
      </c>
      <c r="CJ1" s="175" t="inlineStr">
        <is>
          <t>graus</t>
        </is>
      </c>
      <c r="CK1" s="175" t="inlineStr">
        <is>
          <t>equipamentos</t>
        </is>
      </c>
      <c r="CL1" s="175" t="inlineStr">
        <is>
          <t>marcantes</t>
        </is>
      </c>
      <c r="CM1" s="175" t="inlineStr">
        <is>
          <t>vazio</t>
        </is>
      </c>
      <c r="DF1" s="175" t="inlineStr">
        <is>
          <t>cartão 1 · opção 1</t>
        </is>
      </c>
      <c r="DG1" s="175" t="inlineStr">
        <is>
          <t>cartão 1 · opção 2</t>
        </is>
      </c>
      <c r="DH1" s="175" t="inlineStr">
        <is>
          <t>cartão 1 · opção 3</t>
        </is>
      </c>
      <c r="DI1" s="175" t="inlineStr">
        <is>
          <t>cartão 1 · opção 4</t>
        </is>
      </c>
      <c r="DJ1" s="175" t="inlineStr">
        <is>
          <t>cartão 1 · opção 5</t>
        </is>
      </c>
      <c r="DK1" s="175" t="inlineStr">
        <is>
          <t>cartão 1 · opção 6</t>
        </is>
      </c>
      <c r="DL1" s="175" t="inlineStr">
        <is>
          <t>cartão 1 · opção 7</t>
        </is>
      </c>
      <c r="DM1" s="175" t="inlineStr">
        <is>
          <t>cartão 2 · opção 1</t>
        </is>
      </c>
      <c r="DN1" s="175" t="inlineStr">
        <is>
          <t>cartão 2 · opção 2</t>
        </is>
      </c>
      <c r="DO1" s="175" t="inlineStr">
        <is>
          <t>cartão 2 · opção 3</t>
        </is>
      </c>
      <c r="DP1" s="175" t="inlineStr">
        <is>
          <t>cartão 2 · opção 4</t>
        </is>
      </c>
      <c r="DQ1" s="175" t="inlineStr">
        <is>
          <t>cartão 2 · opção 5</t>
        </is>
      </c>
      <c r="DR1" s="175" t="inlineStr">
        <is>
          <t>cartão 2 · opção 6</t>
        </is>
      </c>
      <c r="DS1" s="175" t="inlineStr">
        <is>
          <t>cartão 2 · opção 7</t>
        </is>
      </c>
      <c r="DT1" s="175" t="inlineStr">
        <is>
          <t>cartão 3 · opção 1</t>
        </is>
      </c>
      <c r="DU1" s="175" t="inlineStr">
        <is>
          <t>cartão 3 · opção 2</t>
        </is>
      </c>
      <c r="DV1" s="175" t="inlineStr">
        <is>
          <t>cartão 3 · opção 3</t>
        </is>
      </c>
      <c r="DW1" s="175" t="inlineStr">
        <is>
          <t>cartão 3 · opção 4</t>
        </is>
      </c>
      <c r="DX1" s="175" t="inlineStr">
        <is>
          <t>cartão 3 · opção 5</t>
        </is>
      </c>
      <c r="DY1" s="175" t="inlineStr">
        <is>
          <t>cartão 3 · opção 6</t>
        </is>
      </c>
      <c r="DZ1" s="175" t="inlineStr">
        <is>
          <t>cartão 3 · opção 7</t>
        </is>
      </c>
      <c r="EA1" s="175" t="inlineStr">
        <is>
          <t>cartão 4 · opção 1</t>
        </is>
      </c>
      <c r="EB1" s="175" t="inlineStr">
        <is>
          <t>cartão 4 · opção 2</t>
        </is>
      </c>
      <c r="EC1" s="175" t="inlineStr">
        <is>
          <t>cartão 4 · opção 3</t>
        </is>
      </c>
      <c r="ED1" s="175" t="inlineStr">
        <is>
          <t>cartão 4 · opção 4</t>
        </is>
      </c>
      <c r="EE1" s="175" t="inlineStr">
        <is>
          <t>cartão 4 · opção 5</t>
        </is>
      </c>
      <c r="EF1" s="175" t="inlineStr">
        <is>
          <t>cartão 4 · opção 6</t>
        </is>
      </c>
      <c r="EG1" s="175" t="inlineStr">
        <is>
          <t>cartão 4 · opção 7</t>
        </is>
      </c>
      <c r="EH1" s="175" t="inlineStr">
        <is>
          <t>cartão 5 · opção 1</t>
        </is>
      </c>
      <c r="EI1" s="175" t="inlineStr">
        <is>
          <t>cartão 5 · opção 2</t>
        </is>
      </c>
      <c r="EJ1" s="175" t="inlineStr">
        <is>
          <t>cartão 5 · opção 3</t>
        </is>
      </c>
      <c r="EK1" s="175" t="inlineStr">
        <is>
          <t>cartão 5 · opção 4</t>
        </is>
      </c>
      <c r="EL1" s="175" t="inlineStr">
        <is>
          <t>cartão 5 · opção 5</t>
        </is>
      </c>
      <c r="EM1" s="175" t="inlineStr">
        <is>
          <t>cartão 5 · opção 6</t>
        </is>
      </c>
      <c r="EN1" s="175" t="inlineStr">
        <is>
          <t>cartão 5 · opção 7</t>
        </is>
      </c>
      <c r="EO1" s="175" t="inlineStr">
        <is>
          <t>cartão 6 · opção 1</t>
        </is>
      </c>
      <c r="EP1" s="175" t="inlineStr">
        <is>
          <t>cartão 6 · opção 2</t>
        </is>
      </c>
      <c r="EQ1" s="175" t="inlineStr">
        <is>
          <t>cartão 6 · opção 3</t>
        </is>
      </c>
      <c r="ER1" s="175" t="inlineStr">
        <is>
          <t>cartão 6 · opção 4</t>
        </is>
      </c>
      <c r="ES1" s="175" t="inlineStr">
        <is>
          <t>cartão 6 · opção 5</t>
        </is>
      </c>
      <c r="ET1" s="175" t="inlineStr">
        <is>
          <t>cartão 6 · opção 6</t>
        </is>
      </c>
      <c r="EU1" s="175" t="inlineStr">
        <is>
          <t>cartão 6 · opção 7</t>
        </is>
      </c>
      <c r="EV1" s="175" t="inlineStr">
        <is>
          <t>cartão 7 · opção 1</t>
        </is>
      </c>
      <c r="EW1" s="175" t="inlineStr">
        <is>
          <t>cartão 7 · opção 2</t>
        </is>
      </c>
      <c r="EX1" s="175" t="inlineStr">
        <is>
          <t>cartão 7 · opção 3</t>
        </is>
      </c>
      <c r="EY1" s="175" t="inlineStr">
        <is>
          <t>cartão 7 · opção 4</t>
        </is>
      </c>
      <c r="EZ1" s="175" t="inlineStr">
        <is>
          <t>cartão 7 · opção 5</t>
        </is>
      </c>
      <c r="FA1" s="175" t="inlineStr">
        <is>
          <t>cartão 7 · opção 6</t>
        </is>
      </c>
      <c r="FB1" s="175" t="inlineStr">
        <is>
          <t>cartão 7 · opção 7</t>
        </is>
      </c>
      <c r="FC1" s="175" t="inlineStr">
        <is>
          <t>cartão 8 · opção 1</t>
        </is>
      </c>
      <c r="FD1" s="175" t="inlineStr">
        <is>
          <t>cartão 8 · opção 2</t>
        </is>
      </c>
      <c r="FE1" s="175" t="inlineStr">
        <is>
          <t>cartão 8 · opção 3</t>
        </is>
      </c>
      <c r="FF1" s="175" t="inlineStr">
        <is>
          <t>cartão 8 · opção 4</t>
        </is>
      </c>
      <c r="FG1" s="175" t="inlineStr">
        <is>
          <t>cartão 8 · opção 5</t>
        </is>
      </c>
      <c r="FH1" s="175" t="inlineStr">
        <is>
          <t>cartão 8 · opção 6</t>
        </is>
      </c>
      <c r="FI1" s="175" t="inlineStr">
        <is>
          <t>cartão 8 · opção 7</t>
        </is>
      </c>
      <c r="FJ1" s="175" t="inlineStr">
        <is>
          <t>cartão 9 · opção 1</t>
        </is>
      </c>
      <c r="FK1" s="175" t="inlineStr">
        <is>
          <t>cartão 9 · opção 2</t>
        </is>
      </c>
      <c r="FL1" s="175" t="inlineStr">
        <is>
          <t>cartão 9 · opção 3</t>
        </is>
      </c>
      <c r="FM1" s="175" t="inlineStr">
        <is>
          <t>cartão 9 · opção 4</t>
        </is>
      </c>
      <c r="FN1" s="175" t="inlineStr">
        <is>
          <t>cartão 9 · opção 5</t>
        </is>
      </c>
      <c r="FO1" s="175" t="inlineStr">
        <is>
          <t>cartão 9 · opção 6</t>
        </is>
      </c>
      <c r="FP1" s="175" t="inlineStr">
        <is>
          <t>cartão 9 · opção 7</t>
        </is>
      </c>
      <c r="FQ1" s="175" t="inlineStr">
        <is>
          <t>cartão 10 · opção 1</t>
        </is>
      </c>
      <c r="FR1" s="175" t="inlineStr">
        <is>
          <t>cartão 10 · opção 2</t>
        </is>
      </c>
      <c r="FS1" s="175" t="inlineStr">
        <is>
          <t>cartão 10 · opção 3</t>
        </is>
      </c>
      <c r="FT1" s="175" t="inlineStr">
        <is>
          <t>cartão 10 · opção 4</t>
        </is>
      </c>
      <c r="FU1" s="175" t="inlineStr">
        <is>
          <t>cartão 10 · opção 5</t>
        </is>
      </c>
      <c r="FV1" s="175" t="inlineStr">
        <is>
          <t>cartão 10 · opção 6</t>
        </is>
      </c>
      <c r="FW1" s="175" t="inlineStr">
        <is>
          <t>cartão 10 · opção 7</t>
        </is>
      </c>
      <c r="FX1" s="175" t="inlineStr">
        <is>
          <t>cartão 11 · opção 1</t>
        </is>
      </c>
      <c r="FY1" s="175" t="inlineStr">
        <is>
          <t>cartão 11 · opção 2</t>
        </is>
      </c>
      <c r="FZ1" s="175" t="inlineStr">
        <is>
          <t>cartão 11 · opção 3</t>
        </is>
      </c>
      <c r="GA1" s="175" t="inlineStr">
        <is>
          <t>cartão 11 · opção 4</t>
        </is>
      </c>
      <c r="GB1" s="175" t="inlineStr">
        <is>
          <t>cartão 11 · opção 5</t>
        </is>
      </c>
      <c r="GC1" s="175" t="inlineStr">
        <is>
          <t>cartão 11 · opção 6</t>
        </is>
      </c>
      <c r="GD1" s="175" t="inlineStr">
        <is>
          <t>cartão 11 · opção 7</t>
        </is>
      </c>
      <c r="GE1" s="175" t="inlineStr">
        <is>
          <t>cartão 12 · opção 1</t>
        </is>
      </c>
      <c r="GF1" s="175" t="inlineStr">
        <is>
          <t>cartão 12 · opção 2</t>
        </is>
      </c>
      <c r="GG1" s="175" t="inlineStr">
        <is>
          <t>cartão 12 · opção 3</t>
        </is>
      </c>
      <c r="GH1" s="175" t="inlineStr">
        <is>
          <t>cartão 12 · opção 4</t>
        </is>
      </c>
      <c r="GI1" s="175" t="inlineStr">
        <is>
          <t>cartão 12 · opção 5</t>
        </is>
      </c>
      <c r="GJ1" s="175" t="inlineStr">
        <is>
          <t>cartão 12 · opção 6</t>
        </is>
      </c>
      <c r="GK1" s="175" t="inlineStr">
        <is>
          <t>cartão 12 · opção 7</t>
        </is>
      </c>
      <c r="GL1" s="175" t="inlineStr">
        <is>
          <t>cartão 13 · opção 1</t>
        </is>
      </c>
      <c r="GM1" s="175" t="inlineStr">
        <is>
          <t>cartão 13 · opção 2</t>
        </is>
      </c>
      <c r="GN1" s="175" t="inlineStr">
        <is>
          <t>cartão 13 · opção 3</t>
        </is>
      </c>
      <c r="GO1" s="175" t="inlineStr">
        <is>
          <t>cartão 13 · opção 4</t>
        </is>
      </c>
      <c r="GP1" s="175" t="inlineStr">
        <is>
          <t>cartão 13 · opção 5</t>
        </is>
      </c>
      <c r="GQ1" s="175" t="inlineStr">
        <is>
          <t>cartão 13 · opção 6</t>
        </is>
      </c>
      <c r="GR1" s="175" t="inlineStr">
        <is>
          <t>cartão 13 · opção 7</t>
        </is>
      </c>
      <c r="GS1" s="175" t="inlineStr">
        <is>
          <t>cartão 14 · opção 1</t>
        </is>
      </c>
      <c r="GT1" s="175" t="inlineStr">
        <is>
          <t>cartão 14 · opção 2</t>
        </is>
      </c>
      <c r="GU1" s="175" t="inlineStr">
        <is>
          <t>cartão 14 · opção 3</t>
        </is>
      </c>
      <c r="GV1" s="175" t="inlineStr">
        <is>
          <t>cartão 14 · opção 4</t>
        </is>
      </c>
      <c r="GW1" s="175" t="inlineStr">
        <is>
          <t>cartão 14 · opção 5</t>
        </is>
      </c>
      <c r="GX1" s="175" t="inlineStr">
        <is>
          <t>cartão 14 · opção 6</t>
        </is>
      </c>
      <c r="GY1" s="175" t="inlineStr">
        <is>
          <t>cartão 14 · opção 7</t>
        </is>
      </c>
      <c r="GZ1" s="175" t="inlineStr">
        <is>
          <t>cartão 15 · opção 1</t>
        </is>
      </c>
      <c r="HA1" s="175" t="inlineStr">
        <is>
          <t>cartão 15 · opção 2</t>
        </is>
      </c>
      <c r="HB1" s="175" t="inlineStr">
        <is>
          <t>cartão 15 · opção 3</t>
        </is>
      </c>
      <c r="HC1" s="175" t="inlineStr">
        <is>
          <t>cartão 15 · opção 4</t>
        </is>
      </c>
      <c r="HD1" s="175" t="inlineStr">
        <is>
          <t>cartão 15 · opção 5</t>
        </is>
      </c>
      <c r="HE1" s="175" t="inlineStr">
        <is>
          <t>cartão 15 · opção 6</t>
        </is>
      </c>
      <c r="HF1" s="175" t="inlineStr">
        <is>
          <t>cartão 15 · opção 7</t>
        </is>
      </c>
      <c r="HG1" s="175" t="inlineStr">
        <is>
          <t>cartão 16 · opção 1</t>
        </is>
      </c>
      <c r="HH1" s="175" t="inlineStr">
        <is>
          <t>cartão 16 · opção 2</t>
        </is>
      </c>
      <c r="HI1" s="175" t="inlineStr">
        <is>
          <t>cartão 16 · opção 3</t>
        </is>
      </c>
      <c r="HJ1" s="175" t="inlineStr">
        <is>
          <t>cartão 16 · opção 4</t>
        </is>
      </c>
      <c r="HK1" s="175" t="inlineStr">
        <is>
          <t>cartão 16 · opção 5</t>
        </is>
      </c>
      <c r="HL1" s="175" t="inlineStr">
        <is>
          <t>cartão 16 · opção 6</t>
        </is>
      </c>
      <c r="HM1" s="175" t="inlineStr">
        <is>
          <t>cartão 16 · opção 7</t>
        </is>
      </c>
      <c r="HN1" s="175" t="inlineStr">
        <is>
          <t>cartão 17 · opção 1</t>
        </is>
      </c>
      <c r="HO1" s="175" t="inlineStr">
        <is>
          <t>cartão 17 · opção 2</t>
        </is>
      </c>
      <c r="HP1" s="175" t="inlineStr">
        <is>
          <t>cartão 17 · opção 3</t>
        </is>
      </c>
      <c r="HQ1" s="175" t="inlineStr">
        <is>
          <t>cartão 17 · opção 4</t>
        </is>
      </c>
      <c r="HR1" s="175" t="inlineStr">
        <is>
          <t>cartão 17 · opção 5</t>
        </is>
      </c>
      <c r="HS1" s="175" t="inlineStr">
        <is>
          <t>cartão 17 · opção 6</t>
        </is>
      </c>
      <c r="HT1" s="175" t="inlineStr">
        <is>
          <t>cartão 17 · opção 7</t>
        </is>
      </c>
      <c r="HU1" s="175" t="inlineStr">
        <is>
          <t>cartão 18 · opção 1</t>
        </is>
      </c>
      <c r="HV1" s="175" t="inlineStr">
        <is>
          <t>cartão 18 · opção 2</t>
        </is>
      </c>
      <c r="HW1" s="175" t="inlineStr">
        <is>
          <t>cartão 18 · opção 3</t>
        </is>
      </c>
      <c r="HX1" s="175" t="inlineStr">
        <is>
          <t>cartão 18 · opção 4</t>
        </is>
      </c>
      <c r="HY1" s="175" t="inlineStr">
        <is>
          <t>cartão 18 · opção 5</t>
        </is>
      </c>
      <c r="HZ1" s="175" t="inlineStr">
        <is>
          <t>cartão 18 · opção 6</t>
        </is>
      </c>
      <c r="IA1" s="175" t="inlineStr">
        <is>
          <t>cartão 18 · opção 7</t>
        </is>
      </c>
      <c r="IB1" s="175" t="inlineStr">
        <is>
          <t>cartão 19 · opção 1</t>
        </is>
      </c>
      <c r="IC1" s="175" t="inlineStr">
        <is>
          <t>cartão 19 · opção 2</t>
        </is>
      </c>
      <c r="ID1" s="175" t="inlineStr">
        <is>
          <t>cartão 19 · opção 3</t>
        </is>
      </c>
      <c r="IE1" s="175" t="inlineStr">
        <is>
          <t>cartão 19 · opção 4</t>
        </is>
      </c>
      <c r="IF1" s="175" t="inlineStr">
        <is>
          <t>cartão 19 · opção 5</t>
        </is>
      </c>
      <c r="IG1" s="175" t="inlineStr">
        <is>
          <t>cartão 19 · opção 6</t>
        </is>
      </c>
      <c r="IH1" s="175" t="inlineStr">
        <is>
          <t>cartão 19 · opção 7</t>
        </is>
      </c>
      <c r="II1" s="175" t="inlineStr">
        <is>
          <t>cartão 20 · opção 1</t>
        </is>
      </c>
      <c r="IJ1" s="175" t="inlineStr">
        <is>
          <t>cartão 20 · opção 2</t>
        </is>
      </c>
      <c r="IK1" s="175" t="inlineStr">
        <is>
          <t>cartão 20 · opção 3</t>
        </is>
      </c>
      <c r="IL1" s="175" t="inlineStr">
        <is>
          <t>cartão 20 · opção 4</t>
        </is>
      </c>
      <c r="IM1" s="175" t="inlineStr">
        <is>
          <t>cartão 20 · opção 5</t>
        </is>
      </c>
      <c r="IN1" s="175" t="inlineStr">
        <is>
          <t>cartão 20 · opção 6</t>
        </is>
      </c>
      <c r="IO1" s="175" t="inlineStr">
        <is>
          <t>cartão 20 · opção 7</t>
        </is>
      </c>
      <c r="IP1" s="175" t="inlineStr">
        <is>
          <t>cartão 21 · opção 1</t>
        </is>
      </c>
      <c r="IQ1" s="175" t="inlineStr">
        <is>
          <t>cartão 21 · opção 2</t>
        </is>
      </c>
      <c r="IR1" s="175" t="inlineStr">
        <is>
          <t>cartão 21 · opção 3</t>
        </is>
      </c>
      <c r="IS1" s="175" t="inlineStr">
        <is>
          <t>cartão 21 · opção 4</t>
        </is>
      </c>
      <c r="IT1" s="175" t="inlineStr">
        <is>
          <t>cartão 21 · opção 5</t>
        </is>
      </c>
      <c r="IU1" s="175" t="inlineStr">
        <is>
          <t>cartão 21 · opção 6</t>
        </is>
      </c>
      <c r="IV1" s="175" t="inlineStr">
        <is>
          <t>cartão 21 · opção 7</t>
        </is>
      </c>
      <c r="IW1" s="175" t="inlineStr">
        <is>
          <t>cartão 22 · opção 1</t>
        </is>
      </c>
      <c r="IX1" s="175" t="inlineStr">
        <is>
          <t>cartão 22 · opção 2</t>
        </is>
      </c>
      <c r="IY1" s="175" t="inlineStr">
        <is>
          <t>cartão 22 · opção 3</t>
        </is>
      </c>
      <c r="IZ1" s="175" t="inlineStr">
        <is>
          <t>cartão 22 · opção 4</t>
        </is>
      </c>
      <c r="JA1" s="175" t="inlineStr">
        <is>
          <t>cartão 22 · opção 5</t>
        </is>
      </c>
      <c r="JB1" s="175" t="inlineStr">
        <is>
          <t>cartão 22 · opção 6</t>
        </is>
      </c>
      <c r="JC1" s="175" t="inlineStr">
        <is>
          <t>cartão 22 · opção 7</t>
        </is>
      </c>
      <c r="JD1" s="175" t="inlineStr">
        <is>
          <t>cartão 23 · opção 1</t>
        </is>
      </c>
      <c r="JE1" s="175" t="inlineStr">
        <is>
          <t>cartão 23 · opção 2</t>
        </is>
      </c>
      <c r="JF1" s="175" t="inlineStr">
        <is>
          <t>cartão 23 · opção 3</t>
        </is>
      </c>
      <c r="JG1" s="175" t="inlineStr">
        <is>
          <t>cartão 23 · opção 4</t>
        </is>
      </c>
      <c r="JH1" s="175" t="inlineStr">
        <is>
          <t>cartão 23 · opção 5</t>
        </is>
      </c>
      <c r="JI1" s="175" t="inlineStr">
        <is>
          <t>cartão 23 · opção 6</t>
        </is>
      </c>
      <c r="JJ1" s="175" t="inlineStr">
        <is>
          <t>cartão 23 · opção 7</t>
        </is>
      </c>
      <c r="JK1" s="175" t="inlineStr">
        <is>
          <t>cartão 24 · opção 1</t>
        </is>
      </c>
      <c r="JL1" s="175" t="inlineStr">
        <is>
          <t>cartão 24 · opção 2</t>
        </is>
      </c>
      <c r="JM1" s="175" t="inlineStr">
        <is>
          <t>cartão 24 · opção 3</t>
        </is>
      </c>
      <c r="JN1" s="175" t="inlineStr">
        <is>
          <t>cartão 24 · opção 4</t>
        </is>
      </c>
      <c r="JO1" s="175" t="inlineStr">
        <is>
          <t>cartão 24 · opção 5</t>
        </is>
      </c>
      <c r="JP1" s="175" t="inlineStr">
        <is>
          <t>cartão 24 · opção 6</t>
        </is>
      </c>
      <c r="JQ1" s="175" t="inlineStr">
        <is>
          <t>cartão 24 · opção 7</t>
        </is>
      </c>
      <c r="JR1" s="175" t="inlineStr">
        <is>
          <t>cartão 25 · opção 1</t>
        </is>
      </c>
      <c r="JS1" s="175" t="inlineStr">
        <is>
          <t>cartão 25 · opção 2</t>
        </is>
      </c>
      <c r="JT1" s="175" t="inlineStr">
        <is>
          <t>cartão 25 · opção 3</t>
        </is>
      </c>
      <c r="JU1" s="175" t="inlineStr">
        <is>
          <t>cartão 25 · opção 4</t>
        </is>
      </c>
      <c r="JV1" s="175" t="inlineStr">
        <is>
          <t>cartão 25 · opção 5</t>
        </is>
      </c>
      <c r="JW1" s="175" t="inlineStr">
        <is>
          <t>cartão 25 · opção 6</t>
        </is>
      </c>
      <c r="JX1" s="175" t="inlineStr">
        <is>
          <t>cartão 25 · opção 7</t>
        </is>
      </c>
      <c r="JY1" s="175" t="inlineStr">
        <is>
          <t>erro básico · parte 1</t>
        </is>
      </c>
      <c r="JZ1" s="175" t="inlineStr">
        <is>
          <t>erro básico · parte 2</t>
        </is>
      </c>
      <c r="KA1" s="175" t="inlineStr">
        <is>
          <t>erro básico · parte 3</t>
        </is>
      </c>
    </row>
    <row r="2">
      <c r="A2" s="175" t="n">
        <v>1</v>
      </c>
      <c r="B2" s="175">
        <f>IF(ISBLANK('CONFIGURAÇÃO'!$T$14),"",'CONFIGURAÇÃO'!$T$14)</f>
        <v/>
      </c>
      <c r="C2" s="175">
        <f>IF(ISBLANK('CONFIGURAÇÃO'!$T$16),"",'CONFIGURAÇÃO'!$T$16)</f>
        <v/>
      </c>
      <c r="D2" s="175">
        <f>IF(ISBLANK('CONFIGURAÇÃO'!$X$14),"",'CONFIGURAÇÃO'!$X$14)</f>
        <v/>
      </c>
      <c r="E2" s="175">
        <f>IF(ISBLANK('CONFIGURAÇÃO'!$V$17),"",'CONFIGURAÇÃO'!$V$17)</f>
        <v/>
      </c>
      <c r="F2" s="175">
        <f>IF(ISBLANK('CONFIGURAÇÃO'!$V$18),"",'CONFIGURAÇÃO'!$V$18)</f>
        <v/>
      </c>
      <c r="G2" s="175">
        <f>IF(ISBLANK('CONFIGURAÇÃO'!$V$19),"",'CONFIGURAÇÃO'!$V$19)</f>
        <v/>
      </c>
      <c r="H2" s="175">
        <f>IF(ISBLANK('CONFIGURAÇÃO'!$V$20),"",'CONFIGURAÇÃO'!$V$20)</f>
        <v/>
      </c>
      <c r="I2" s="175">
        <f>IF(ISBLANK('CONFIGURAÇÃO'!$V$21),"",'CONFIGURAÇÃO'!$V$21)</f>
        <v/>
      </c>
      <c r="J2" s="175">
        <f>IF(ISBLANK('CONFIGURAÇÃO'!$V$22),"",'CONFIGURAÇÃO'!$V$22)</f>
        <v/>
      </c>
      <c r="K2" s="175">
        <f>IF(ISBLANK('CONFIGURAÇÃO'!$V$23),"",'CONFIGURAÇÃO'!$V$23)</f>
        <v/>
      </c>
      <c r="L2" s="175">
        <f>IF(ISBLANK('CONFIGURAÇÃO'!$V$24),"",'CONFIGURAÇÃO'!$V$24)</f>
        <v/>
      </c>
      <c r="M2" s="175">
        <f>IF(ISBLANK('CONFIGURAÇÃO'!$V$25),"",'CONFIGURAÇÃO'!$V$25)</f>
        <v/>
      </c>
      <c r="N2" s="175">
        <f>IF(ISBLANK('CONFIGURAÇÃO'!$V$26),"",'CONFIGURAÇÃO'!$V$26)</f>
        <v/>
      </c>
      <c r="O2" s="175">
        <f>IF(ISBLANK('CONFIGURAÇÃO'!$V$27),"",'CONFIGURAÇÃO'!$V$27)</f>
        <v/>
      </c>
      <c r="P2" s="175">
        <f>IF(ISBLANK('CONFIGURAÇÃO'!$V$28),"",'CONFIGURAÇÃO'!$V$28)</f>
        <v/>
      </c>
      <c r="Q2" s="175">
        <f>IF(ISBLANK('CONFIGURAÇÃO'!$V$29),"",'CONFIGURAÇÃO'!$V$29)</f>
        <v/>
      </c>
      <c r="R2" s="175">
        <f>IF(ISBLANK('CONFIGURAÇÃO'!$T$31),"",'CONFIGURAÇÃO'!$T$31)</f>
        <v/>
      </c>
      <c r="S2" s="175">
        <f>TEXTJOIN(" · ",TRUE,U2,V2,W2,X2)</f>
        <v/>
      </c>
      <c r="T2" s="175">
        <f>AND(B2&lt;&gt;"",C2&lt;&gt;"",S2="")</f>
        <v/>
      </c>
      <c r="U2" s="175">
        <f>TEXTJOIN(" · ",TRUE,JY2:KA2)</f>
        <v/>
      </c>
      <c r="V2" s="175">
        <f>IF(AND(OR($B2="Marcante",$B2="Menor"),NOT(OR(COUNTIF('DADOS_CUSTOM'!$CD$2:$CD$160,E2)&gt;0,COUNTIFS('DADOS_CUSTOM'!$C$2:$C$26,E2,'DADOS_CUSTOM'!$B$2:$B$26,"Origem",'DADOS_CUSTOM'!$U$2:$U$26,"")=1))),"Origem vinculada não existe ou tem erro",IF(AND($B2="Marcante",NOT(OR(E2="Restrição Celestial · Restrição corporal",AND(COUNTIFS('DADOS_CUSTOM'!$C$2:$C$26,E2,'DADOS_CUSTOM'!$B$2:$B$26,"Origem",'DADOS_CUSTOM'!$U$2:$U$26,"")=1,OR(IFERROR(INDEX('DADOS_CUSTOM'!$J$2:$J$26,MATCH(E2,'DADOS_CUSTOM'!$C$2:$C$26,0)),E2)="",IFERROR(INDEX('DADOS_CUSTOM'!$J$2:$J$26,MATCH(E2,'DADOS_CUSTOM'!$C$2:$C$26,0)),E2)="Nenhuma",IFERROR(INDEX('DADOS_CUSTOM'!$J$2:$J$26,MATCH(E2,'DADOS_CUSTOM'!$C$2:$C$26,0)),E2)="Restrição Celestial · Restrição corporal"))))),"Marcante própria só para Restrição corporal ou Origem do zero; use a marcante publicada da base",""))</f>
        <v/>
      </c>
      <c r="W2" s="175">
        <f>IF(AND($B2="Menor",F2&lt;&gt;"",F2&lt;&gt;"—",NOT(OR(AND(F2="Tentativa e Erro",OR(E2="Latente",IFERROR(INDEX('DADOS_CUSTOM'!$J$2:$J$26,MATCH(E2,'DADOS_CUSTOM'!$C$2:$C$26,0)),E2)="Latente")),AND(F2="Coexistência",OR(E2="Receptáculo",IFERROR(INDEX('DADOS_CUSTOM'!$J$2:$J$26,MATCH(E2,'DADOS_CUSTOM'!$C$2:$C$26,0)),E2)="Receptáculo")),AND(F2="Conflito",OR(E2="Receptáculo",IFERROR(INDEX('DADOS_CUSTOM'!$J$2:$J$26,MATCH(E2,'DADOS_CUSTOM'!$C$2:$C$26,0)),E2)="Receptáculo")),AND(F2="Zenin",OR(E2="Descendente",IFERROR(INDEX('DADOS_CUSTOM'!$J$2:$J$26,MATCH(E2,'DADOS_CUSTOM'!$C$2:$C$26,0)),E2)="Descendente")),AND(F2="Kamo",OR(E2="Descendente",IFERROR(INDEX('DADOS_CUSTOM'!$J$2:$J$26,MATCH(E2,'DADOS_CUSTOM'!$C$2:$C$26,0)),E2)="Descendente")),AND(F2="Gojo",OR(E2="Descendente",IFERROR(INDEX('DADOS_CUSTOM'!$J$2:$J$26,MATCH(E2,'DADOS_CUSTOM'!$C$2:$C$26,0)),E2)="Descendente")),AND(F2="Inumaki",OR(E2="Descendente",IFERROR(INDEX('DADOS_CUSTOM'!$J$2:$J$26,MATCH(E2,'DADOS_CUSTOM'!$C$2:$C$26,0)),E2)="Descendente")),AND(F2="Duas Vidas",OR(E2="Encarnado",IFERROR(INDEX('DADOS_CUSTOM'!$J$2:$J$26,MATCH(E2,'DADOS_CUSTOM'!$C$2:$C$26,0)),E2)="Encarnado")),AND(F2="Regeneração Orgânica",OR(E2="Híbrido",IFERROR(INDEX('DADOS_CUSTOM'!$J$2:$J$26,MATCH(E2,'DADOS_CUSTOM'!$C$2:$C$26,0)),E2)="Híbrido")),AND(F2="Existência Artificial",OR(E2="Corpo Amaldiçoado",IFERROR(INDEX('DADOS_CUSTOM'!$J$2:$J$26,MATCH(E2,'DADOS_CUSTOM'!$C$2:$C$26,0)),E2)="Corpo Amaldiçoado")),AND(F2="Ataque sem Prenúncio",OR(E2="Restrição Celestial · Sem Energia",IFERROR(INDEX('DADOS_CUSTOM'!$J$2:$J$26,MATCH(E2,'DADOS_CUSTOM'!$C$2:$C$26,0)),E2)="Restrição Celestial · Sem Energia")),AND(F2="Corpo Debilitado",OR(E2="Restrição Celestial · Restrição corporal",IFERROR(INDEX('DADOS_CUSTOM'!$J$2:$J$26,MATCH(E2,'DADOS_CUSTOM'!$C$2:$C$26,0)),E2)="Restrição Celestial · Restrição corporal")),AND(F2="Corpo Quebradiço",OR(E2="Restrição Celestial · Restrição corporal",IFERROR(INDEX('DADOS_CUSTOM'!$J$2:$J$26,MATCH(E2,'DADOS_CUSTOM'!$C$2:$C$26,0)),E2)="Restrição Celestial · Restrição corporal")),AND(F2="Corpo Exaurido",OR(E2="Restrição Celestial · Restrição corporal",IFERROR(INDEX('DADOS_CUSTOM'!$J$2:$J$26,MATCH(E2,'DADOS_CUSTOM'!$C$2:$C$26,0)),E2)="Restrição Celestial · Restrição corporal")),COUNTIFS('DADOS_CUSTOM'!$C$2:$C$26,F2,'DADOS_CUSTOM'!$B$2:$B$26,"Marcante",'DADOS_CUSTOM'!$E$2:$E$26,E2,'DADOS_CUSTOM'!$U$2:$U$26,"",'DADOS_CUSTOM'!$V$2:$V$26,"")=1))),"Marcante exigida não pertence à Origem ou tem erro","")</f>
        <v/>
      </c>
      <c r="X2" s="175">
        <f>IF(AND($B2="Ferramenta amaldiçoada",NOT(OR(COUNTIF('DADOS_CUSTOM'!$CK$2:$CK$75,E2)&gt;0,OR(COUNTIFS('DADOS_CUSTOM'!$C$2:$C$26,E2,'DADOS_CUSTOM'!$B$2:$B$26,"Arma",'DADOS_CUSTOM'!$U$2:$U$26,"")=1,COUNTIFS('DADOS_CUSTOM'!$C$2:$C$26,E2,'DADOS_CUSTOM'!$B$2:$B$26,"Escudo",'DADOS_CUSTOM'!$U$2:$U$26,"")=1,COUNTIFS('DADOS_CUSTOM'!$C$2:$C$26,E2,'DADOS_CUSTOM'!$B$2:$B$26,"Uniforme",'DADOS_CUSTOM'!$U$2:$U$26,"")=1,COUNTIFS('DADOS_CUSTOM'!$C$2:$C$26,E2,'DADOS_CUSTOM'!$B$2:$B$26,"Item comum",'DADOS_CUSTOM'!$U$2:$U$26,"")=1)))),"Base da ferramenta não existe ou tem erro","")</f>
        <v/>
      </c>
      <c r="AA2" s="175" t="inlineStr">
        <is>
          <t>Bastão</t>
        </is>
      </c>
      <c r="AB2" s="175" t="inlineStr">
        <is>
          <t>Porrete</t>
        </is>
      </c>
      <c r="AC2" s="175" t="n">
        <v>1</v>
      </c>
      <c r="AD2" s="175" t="inlineStr">
        <is>
          <t>1d6</t>
        </is>
      </c>
      <c r="AE2" s="175" t="inlineStr">
        <is>
          <t>Versátil · Alcance · Rompe</t>
        </is>
      </c>
      <c r="AF2" s="175" t="inlineStr">
        <is>
          <t>—</t>
        </is>
      </c>
      <c r="AG2" s="175" t="n">
        <v>1</v>
      </c>
      <c r="AJ2" s="175">
        <f>'FICHA PESSOAL'!$V$72</f>
        <v/>
      </c>
      <c r="AK2" s="175">
        <f>ADDRESS(ROW('FICHA PESSOAL'!V72),COLUMN('FICHA PESSOAL'!V72),4)</f>
        <v/>
      </c>
      <c r="AM2" s="175" t="inlineStr">
        <is>
          <t>Traje 1</t>
        </is>
      </c>
      <c r="AN2" s="175" t="n">
        <v>1</v>
      </c>
      <c r="AO2" s="175" t="inlineStr">
        <is>
          <t>—</t>
        </is>
      </c>
      <c r="AP2" s="175" t="n">
        <v>0</v>
      </c>
      <c r="AQ2" s="175" t="n">
        <v>0.3</v>
      </c>
      <c r="AR2" s="175" t="n">
        <v>1</v>
      </c>
      <c r="AS2" s="175" t="inlineStr">
        <is>
          <t>Grau 4</t>
        </is>
      </c>
      <c r="AU2" s="175" t="inlineStr">
        <is>
          <t>Corda</t>
        </is>
      </c>
      <c r="AV2" s="175" t="n">
        <v>0.5</v>
      </c>
      <c r="AW2" s="175" t="n">
        <v>3000</v>
      </c>
      <c r="AX2" s="175" t="inlineStr">
        <is>
          <t>15 m</t>
        </is>
      </c>
      <c r="AZ2" s="175" t="inlineStr">
        <is>
          <t>Tentativa e Erro</t>
        </is>
      </c>
      <c r="BA2" s="175" t="inlineStr">
        <is>
          <t>Latente</t>
        </is>
      </c>
      <c r="BB2" s="175" t="inlineStr">
        <is>
          <t>marcante</t>
        </is>
      </c>
      <c r="BC2" s="175" t="inlineStr"/>
      <c r="BD2" s="175" t="inlineStr">
        <is>
          <t>Uma vez entre um turno seu e o próximo</t>
        </is>
      </c>
      <c r="BE2" s="175" t="inlineStr">
        <is>
          <t>Você arrisca a dosagem de energia para executar um feitiço ou Manejo de Classe 1 ou maior. Uma vez entre o começo de um turno seu e o começo do próximo, antes de pagar a aplicação, pode usar Tentativa e Erro, sem outra ação. Se não tentar, paga o custo normal.
Calcule o custo normal completo, com descontos e acréscimos. A variação é metade da Classe utilizada, arredondada para cima. Você só pode tentar se tiver PE suficientes para pagar o pior resultado possível: o custo completo mais essa variação, respeitado o mínimo de 1 PE. Depois, role 1d20 + Maestria.
Total | Custo
9 ou menos | Desperdício: acrescente a variação.
10 a 13 | Estável: conserve o custo completo.
14 ou mais | Controle: desconte a variação.
O custo final mínimo é 1 PE. Classes 1 e 2 variam 1 PE; 3 e 4, 2 PE; 5 e 6, 3 PE; Classe 7, 4 PE. Pague apenas o resultado obtido. Dano, acerto, CD, alcance, duração e efeitos permanecem iguais.
Esta é uma rolagem própria da capacidade, não um teste. Não recebe vantagem, desvantagem, especialização ou modificadores de testes, salvo regra específica para ela. Também não usa crítico ou sucesso e falha automáticos de outros procedimentos.
Exemplo: um feitiço de Classe 3 custa 6 PE depois dos ajustes. A variação é 2: você precisa ter 8 PE para tentar. Desperdício custa 8, Estável custa 6 e Controle custa 4. Já um feitiço de Classe 1 com custo completo de 1 PE custa 2, 1 ou 1 PE; o desconto nunca o torna gratuito.</t>
        </is>
      </c>
      <c r="BG2" s="175" t="inlineStr">
        <is>
          <t>Latente</t>
        </is>
      </c>
      <c r="BH2" s="175" t="inlineStr">
        <is>
          <t>Sentir Energia, Sobrevivência, Furtividade ou Intuição</t>
        </is>
      </c>
      <c r="BI2" s="175" t="inlineStr">
        <is>
          <t>Fundamento, ou Manejos se escolher Sem Técnica</t>
        </is>
      </c>
      <c r="BM2" s="175" t="inlineStr">
        <is>
          <t>Broquel</t>
        </is>
      </c>
      <c r="BN2" s="175" t="inlineStr">
        <is>
          <t>Escudo</t>
        </is>
      </c>
      <c r="BO2" s="175" t="n">
        <v>1</v>
      </c>
      <c r="BP2" s="175" t="n">
        <v>5</v>
      </c>
      <c r="BQ2" s="175" t="inlineStr">
        <is>
          <t>—</t>
        </is>
      </c>
      <c r="BR2" s="175" t="n">
        <v>0.5</v>
      </c>
      <c r="BS2" s="175" t="inlineStr">
        <is>
          <t>—</t>
        </is>
      </c>
      <c r="BT2" s="175" t="inlineStr"/>
      <c r="BU2" s="175" t="inlineStr"/>
      <c r="BV2" s="175" t="inlineStr">
        <is>
          <t>Acabamento Trocável</t>
        </is>
      </c>
      <c r="BW2" s="175" t="inlineStr">
        <is>
          <t>Restrição Celestial · Restrição corporal</t>
        </is>
      </c>
      <c r="BZ2" s="175" t="inlineStr">
        <is>
          <t>Origem</t>
        </is>
      </c>
      <c r="CA2" s="175" t="inlineStr">
        <is>
          <t>Atletismo</t>
        </is>
      </c>
      <c r="CB2" s="175" t="inlineStr">
        <is>
          <t>Fundamento</t>
        </is>
      </c>
      <c r="CC2" s="175" t="inlineStr">
        <is>
          <t>Latente</t>
        </is>
      </c>
      <c r="CD2" s="175" t="inlineStr">
        <is>
          <t>Nenhuma</t>
        </is>
      </c>
      <c r="CE2" s="175" t="inlineStr">
        <is>
          <t>—</t>
        </is>
      </c>
      <c r="CF2" s="175" t="inlineStr">
        <is>
          <t>Arma de Fogo</t>
        </is>
      </c>
      <c r="CG2" s="175" t="n">
        <v>1</v>
      </c>
      <c r="CH2" s="175">
        <f>IF('DADOS_DANOS'!$J$2="","",'DADOS_DANOS'!$J$2)</f>
        <v/>
      </c>
      <c r="CI2" s="175" t="inlineStr">
        <is>
          <t>—</t>
        </is>
      </c>
      <c r="CJ2" s="175" t="inlineStr">
        <is>
          <t>—</t>
        </is>
      </c>
      <c r="CK2" s="175" t="inlineStr">
        <is>
          <t>Bastão</t>
        </is>
      </c>
      <c r="CL2" s="175" t="inlineStr">
        <is>
          <t>—</t>
        </is>
      </c>
      <c r="CP2" s="175">
        <f>IF(OR(DADOS!$CZ$52="Restrição Celestial · Restrição corporal",AND(COUNTIFS('DADOS_CUSTOM'!$C$2:$C$26,DADOS!$CZ$52,'DADOS_CUSTOM'!$B$2:$B$26,"Origem",'DADOS_CUSTOM'!$T$2:$T$26,TRUE)=1,OR(IFERROR(INDEX('DADOS_CUSTOM'!$J$2:$J$26,MATCH(DADOS!$CZ$52,'DADOS_CUSTOM'!$C$2:$C$26,0)),"")="",IFERROR(INDEX('DADOS_CUSTOM'!$J$2:$J$26,MATCH(DADOS!$CZ$52,'DADOS_CUSTOM'!$C$2:$C$26,0)),"")="Nenhuma",IFERROR(INDEX('DADOS_CUSTOM'!$J$2:$J$26,MATCH(DADOS!$CZ$52,'DADOS_CUSTOM'!$C$2:$C$26,0)),"")="Restrição Celestial · Restrição corporal"))),"✎ Criada com o mestre","")</f>
        <v/>
      </c>
      <c r="CQ2" s="175" t="inlineStr">
        <is>
          <t>✎ Criada com o mestre</t>
        </is>
      </c>
      <c r="CR2" s="175" t="inlineStr">
        <is>
          <t>Sem uniforme</t>
        </is>
      </c>
      <c r="CS2" s="175" t="inlineStr">
        <is>
          <t>Latente</t>
        </is>
      </c>
      <c r="DF2" s="175">
        <f>IFERROR(UNIQUE(FILTER(INDIRECT(SWITCH('CONFIGURAÇÃO'!$T$14,"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$14,"Origem","'DADOS_PROGRESSAO'!$AG$2:$AG$34","Marcante","'DADOS_CUSTOM'!$BW$2:$BW$160","Menor","'DADOS_CUSTOM'!$CC$2:$CC$160","Arma","'DADOS_CUSTOM'!$CF$2:$CF$160","Escudo","'DADOS_CUSTOM'!$CM$2:$CM$160","Uniforme","'DADOS_CUSTOM'!$CJ$2:$CJ$160","Item comum","'DADOS_CUSTOM'!$CM$2:$CM$160","Ferramenta amaldiçoada","'DADOS_CUSTOM'!$CK$2:$CK$160","'DADOS_CUSTOM'!$CM$2:$CM$160"))&lt;&gt;"")),"")</f>
        <v/>
      </c>
      <c r="DG2" s="175">
        <f>IFERROR(UNIQUE(FILTER(INDIRECT(SWITCH('CONFIGURAÇÃO'!$T$14,"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$14,"Origem","'DADOS_PROGRESSAO'!$AG$2:$AG$34","Marcante","'DADOS_CUSTOM'!$CM$2:$CM$160","Menor","'DADOS_CUSTOM'!$CL$2:$CL$160","Arma","'DADOS_CUSTOM'!$CG$2:$CG$160","Escudo","'DADOS_CUSTOM'!$CM$2:$CM$160","Uniforme","'DADOS_CUSTOM'!$CM$2:$CM$160","Item comum","'DADOS_CUSTOM'!$CM$2:$CM$160","Ferramenta amaldiçoada","'DADOS_CUSTOM'!$CJ$2:$CJ$160","'DADOS_CUSTOM'!$CM$2:$CM$160"))&lt;&gt;"")),"")</f>
        <v/>
      </c>
      <c r="DH2" s="175">
        <f>IFERROR(UNIQUE(FILTER(INDIRECT(SWITCH('CONFIGURAÇÃO'!$T$14,"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$14,"Origem","'DADOS_PROGRESSAO'!$AG$2:$AG$34","Marcante","'DADOS_CUSTOM'!$CM$2:$CM$160","Menor","'DADOS_CUSTOM'!$CM$2:$CM$160","Arma","'DADOS_CUSTOM'!$CH$2:$CH$160","Escudo","'DADOS_CUSTOM'!$CM$2:$CM$160","Uniforme","'DADOS_CUSTOM'!$CM$2:$CM$160","Item comum","'DADOS_CUSTOM'!$CM$2:$CM$160","Ferramenta amaldiçoada","'DADOS_CUSTOM'!$CM$2:$CM$160","'DADOS_CUSTOM'!$CM$2:$CM$160"))&lt;&gt;"")),"")</f>
        <v/>
      </c>
      <c r="DI2" s="175">
        <f>IFERROR(UNIQUE(FILTER(INDIRECT(SWITCH('CONFIGURAÇÃO'!$T$14,"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$14,"Origem","'DADOS_PROGRESSAO'!$AG$2:$AG$34","Marcante","'DADOS_CUSTOM'!$CM$2:$CM$160","Menor","'DADOS_CUSTOM'!$CM$2:$CM$160","Arma","'DADOS_CUSTOM'!$CI$2:$CI$160","Escudo","'DADOS_CUSTOM'!$CM$2:$CM$160","Uniforme","'DADOS_CUSTOM'!$CM$2:$CM$160","Item comum","'DADOS_CUSTOM'!$CM$2:$CM$160","Ferramenta amaldiçoada","'DADOS_CUSTOM'!$CM$2:$CM$160","'DADOS_CUSTOM'!$CM$2:$CM$160"))&lt;&gt;"")),"")</f>
        <v/>
      </c>
      <c r="DJ2" s="175">
        <f>IFERROR(UNIQUE(FILTER(INDIRECT(SWITCH('CONFIGURAÇÃO'!$T$14,"Origem","'DADOS_CUSTOM'!$CB$2:$CB$160","Marcante","'DADOS_CUSTOM'!$CM$2:$CM$160","Menor","'DADOS_CUSTOM'!$CM$2:$CM$160","Arma","'DADOS_CUSTOM'!$CI$2:$CI$160","Escudo","'DADOS_CUSTOM'!$CM$2:$CM$160","Uniforme","'DADOS_CUSTOM'!$CM$2:$CM$160","Item comum","'DADOS_CUSTOM'!$CM$2:$CM$160","Ferramenta amaldiçoada","'DADOS_CUSTOM'!$CM$2:$CM$160","'DADOS_CUSTOM'!$CM$2:$CM$160")),INDIRECT(SWITCH('CONFIGURAÇÃO'!$T$14,"Origem","'DADOS_CUSTOM'!$CB$2:$CB$160","Marcante","'DADOS_CUSTOM'!$CM$2:$CM$160","Menor","'DADOS_CUSTOM'!$CM$2:$CM$160","Arma","'DADOS_CUSTOM'!$CI$2:$CI$160","Escudo","'DADOS_CUSTOM'!$CM$2:$CM$160","Uniforme","'DADOS_CUSTOM'!$CM$2:$CM$160","Item comum","'DADOS_CUSTOM'!$CM$2:$CM$160","Ferramenta amaldiçoada","'DADOS_CUSTOM'!$CM$2:$CM$160","'DADOS_CUSTOM'!$CM$2:$CM$160"))&lt;&gt;"")),"")</f>
        <v/>
      </c>
      <c r="DK2" s="175">
        <f>IFERROR(UNIQUE(FILTER(INDIRECT(SWITCH('CONFIGURAÇÃO'!$T$14,"Origem","'DADOS_CUSTOM'!$CD$2:$CD$160","Marcante","'DADOS_CUSTOM'!$CM$2:$CM$160","Menor","'DADOS_CUSTOM'!$CM$2:$CM$160","Arma","'DADOS_CUSTOM'!$CI$2:$CI$160","Escudo","'DADOS_CUSTOM'!$CM$2:$CM$160","Uniforme","'DADOS_CUSTOM'!$CM$2:$CM$160","Item comum","'DADOS_CUSTOM'!$CM$2:$CM$160","Ferramenta amaldiçoada","'DADOS_CUSTOM'!$CM$2:$CM$160","'DADOS_CUSTOM'!$CM$2:$CM$160")),INDIRECT(SWITCH('CONFIGURAÇÃO'!$T$14,"Origem","'DADOS_CUSTOM'!$CD$2:$CD$160","Marcante","'DADOS_CUSTOM'!$CM$2:$CM$160","Menor","'DADOS_CUSTOM'!$CM$2:$CM$160","Arma","'DADOS_CUSTOM'!$CI$2:$CI$160","Escudo","'DADOS_CUSTOM'!$CM$2:$CM$160","Uniforme","'DADOS_CUSTOM'!$CM$2:$CM$160","Item comum","'DADOS_CUSTOM'!$CM$2:$CM$160","Ferramenta amaldiçoada","'DADOS_CUSTOM'!$CM$2:$CM$160","'DADOS_CUSTOM'!$CM$2:$CM$160"))&lt;&gt;"")),"")</f>
        <v/>
      </c>
      <c r="DL2" s="175">
        <f>IFERROR(UNIQUE(FILTER(INDIRECT(SWITCH('CONFIGURAÇÃO'!$T$14,"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$14,"Origem","'DADOS_PROGRESSAO'!$AJ$2:$AJ$23","Marcante","'DADOS_CUSTOM'!$CM$2:$CM$160","Menor","'DADOS_CUSTOM'!$CM$2:$CM$160","Arma","'DADOS_CUSTOM'!$CI$2:$CI$160","Escudo","'DADOS_CUSTOM'!$CM$2:$CM$160","Uniforme","'DADOS_CUSTOM'!$CM$2:$CM$160","Item comum","'DADOS_CUSTOM'!$CM$2:$CM$160","Ferramenta amaldiçoada","'DADOS_CUSTOM'!$CM$2:$CM$160","'DADOS_CUSTOM'!$CM$2:$CM$160"))&lt;&gt;"")),"")</f>
        <v/>
      </c>
      <c r="DM2" s="175">
        <f>IFERROR(UNIQUE(FILTER(INDIRECT(SWITCH('CONFIGURAÇÃO'!$AB$14,"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$14,"Origem","'DADOS_PROGRESSAO'!$AG$2:$AG$34","Marcante","'DADOS_CUSTOM'!$BW$2:$BW$160","Menor","'DADOS_CUSTOM'!$CC$2:$CC$160","Arma","'DADOS_CUSTOM'!$CF$2:$CF$160","Escudo","'DADOS_CUSTOM'!$CM$2:$CM$160","Uniforme","'DADOS_CUSTOM'!$CJ$2:$CJ$160","Item comum","'DADOS_CUSTOM'!$CM$2:$CM$160","Ferramenta amaldiçoada","'DADOS_CUSTOM'!$CK$2:$CK$160","'DADOS_CUSTOM'!$CM$2:$CM$160"))&lt;&gt;"")),"")</f>
        <v/>
      </c>
      <c r="DN2" s="175">
        <f>IFERROR(UNIQUE(FILTER(INDIRECT(SWITCH('CONFIGURAÇÃO'!$AB$14,"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$14,"Origem","'DADOS_PROGRESSAO'!$AG$2:$AG$34","Marcante","'DADOS_CUSTOM'!$CM$2:$CM$160","Menor","'DADOS_CUSTOM'!$CL$2:$CL$160","Arma","'DADOS_CUSTOM'!$CG$2:$CG$160","Escudo","'DADOS_CUSTOM'!$CM$2:$CM$160","Uniforme","'DADOS_CUSTOM'!$CM$2:$CM$160","Item comum","'DADOS_CUSTOM'!$CM$2:$CM$160","Ferramenta amaldiçoada","'DADOS_CUSTOM'!$CJ$2:$CJ$160","'DADOS_CUSTOM'!$CM$2:$CM$160"))&lt;&gt;"")),"")</f>
        <v/>
      </c>
      <c r="DO2" s="175">
        <f>IFERROR(UNIQUE(FILTER(INDIRECT(SWITCH('CONFIGURAÇÃO'!$AB$14,"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$14,"Origem","'DADOS_PROGRESSAO'!$AG$2:$AG$34","Marcante","'DADOS_CUSTOM'!$CM$2:$CM$160","Menor","'DADOS_CUSTOM'!$CM$2:$CM$160","Arma","'DADOS_CUSTOM'!$CH$2:$CH$160","Escudo","'DADOS_CUSTOM'!$CM$2:$CM$160","Uniforme","'DADOS_CUSTOM'!$CM$2:$CM$160","Item comum","'DADOS_CUSTOM'!$CM$2:$CM$160","Ferramenta amaldiçoada","'DADOS_CUSTOM'!$CM$2:$CM$160","'DADOS_CUSTOM'!$CM$2:$CM$160"))&lt;&gt;"")),"")</f>
        <v/>
      </c>
      <c r="DP2" s="175">
        <f>IFERROR(UNIQUE(FILTER(INDIRECT(SWITCH('CONFIGURAÇÃO'!$AB$14,"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$14,"Origem","'DADOS_PROGRESSAO'!$AG$2:$AG$34","Marcante","'DADOS_CUSTOM'!$CM$2:$CM$160","Menor","'DADOS_CUSTOM'!$CM$2:$CM$160","Arma","'DADOS_CUSTOM'!$CI$2:$CI$160","Escudo","'DADOS_CUSTOM'!$CM$2:$CM$160","Uniforme","'DADOS_CUSTOM'!$CM$2:$CM$160","Item comum","'DADOS_CUSTOM'!$CM$2:$CM$160","Ferramenta amaldiçoada","'DADOS_CUSTOM'!$CM$2:$CM$160","'DADOS_CUSTOM'!$CM$2:$CM$160"))&lt;&gt;"")),"")</f>
        <v/>
      </c>
      <c r="DQ2" s="175">
        <f>IFERROR(UNIQUE(FILTER(INDIRECT(SWITCH('CONFIGURAÇÃO'!$AB$14,"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$14,"Origem","'DADOS_CUSTOM'!$CB$2:$CB$160","Marcante","'DADOS_CUSTOM'!$CM$2:$CM$160","Menor","'DADOS_CUSTOM'!$CM$2:$CM$160","Arma","'DADOS_CUSTOM'!$CI$2:$CI$160","Escudo","'DADOS_CUSTOM'!$CM$2:$CM$160","Uniforme","'DADOS_CUSTOM'!$CM$2:$CM$160","Item comum","'DADOS_CUSTOM'!$CM$2:$CM$160","Ferramenta amaldiçoada","'DADOS_CUSTOM'!$CM$2:$CM$160","'DADOS_CUSTOM'!$CM$2:$CM$160"))&lt;&gt;"")),"")</f>
        <v/>
      </c>
      <c r="DR2" s="175">
        <f>IFERROR(UNIQUE(FILTER(INDIRECT(SWITCH('CONFIGURAÇÃO'!$AB$14,"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$14,"Origem","'DADOS_CUSTOM'!$CD$2:$CD$160","Marcante","'DADOS_CUSTOM'!$CM$2:$CM$160","Menor","'DADOS_CUSTOM'!$CM$2:$CM$160","Arma","'DADOS_CUSTOM'!$CI$2:$CI$160","Escudo","'DADOS_CUSTOM'!$CM$2:$CM$160","Uniforme","'DADOS_CUSTOM'!$CM$2:$CM$160","Item comum","'DADOS_CUSTOM'!$CM$2:$CM$160","Ferramenta amaldiçoada","'DADOS_CUSTOM'!$CM$2:$CM$160","'DADOS_CUSTOM'!$CM$2:$CM$160"))&lt;&gt;"")),"")</f>
        <v/>
      </c>
      <c r="DS2" s="175">
        <f>IFERROR(UNIQUE(FILTER(INDIRECT(SWITCH('CONFIGURAÇÃO'!$AB$14,"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$14,"Origem","'DADOS_PROGRESSAO'!$AJ$2:$AJ$23","Marcante","'DADOS_CUSTOM'!$CM$2:$CM$160","Menor","'DADOS_CUSTOM'!$CM$2:$CM$160","Arma","'DADOS_CUSTOM'!$CI$2:$CI$160","Escudo","'DADOS_CUSTOM'!$CM$2:$CM$160","Uniforme","'DADOS_CUSTOM'!$CM$2:$CM$160","Item comum","'DADOS_CUSTOM'!$CM$2:$CM$160","Ferramenta amaldiçoada","'DADOS_CUSTOM'!$CM$2:$CM$160","'DADOS_CUSTOM'!$CM$2:$CM$160"))&lt;&gt;"")),"")</f>
        <v/>
      </c>
      <c r="DT2" s="175">
        <f>IFERROR(UNIQUE(FILTER(INDIRECT(SWITCH('CONFIGURAÇÃO'!$T$43,"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$43,"Origem","'DADOS_PROGRESSAO'!$AG$2:$AG$34","Marcante","'DADOS_CUSTOM'!$BW$2:$BW$160","Menor","'DADOS_CUSTOM'!$CC$2:$CC$160","Arma","'DADOS_CUSTOM'!$CF$2:$CF$160","Escudo","'DADOS_CUSTOM'!$CM$2:$CM$160","Uniforme","'DADOS_CUSTOM'!$CJ$2:$CJ$160","Item comum","'DADOS_CUSTOM'!$CM$2:$CM$160","Ferramenta amaldiçoada","'DADOS_CUSTOM'!$CK$2:$CK$160","'DADOS_CUSTOM'!$CM$2:$CM$160"))&lt;&gt;"")),"")</f>
        <v/>
      </c>
      <c r="DU2" s="175">
        <f>IFERROR(UNIQUE(FILTER(INDIRECT(SWITCH('CONFIGURAÇÃO'!$T$43,"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$43,"Origem","'DADOS_PROGRESSAO'!$AG$2:$AG$34","Marcante","'DADOS_CUSTOM'!$CM$2:$CM$160","Menor","'DADOS_CUSTOM'!$CL$2:$CL$160","Arma","'DADOS_CUSTOM'!$CG$2:$CG$160","Escudo","'DADOS_CUSTOM'!$CM$2:$CM$160","Uniforme","'DADOS_CUSTOM'!$CM$2:$CM$160","Item comum","'DADOS_CUSTOM'!$CM$2:$CM$160","Ferramenta amaldiçoada","'DADOS_CUSTOM'!$CJ$2:$CJ$160","'DADOS_CUSTOM'!$CM$2:$CM$160"))&lt;&gt;"")),"")</f>
        <v/>
      </c>
      <c r="DV2" s="175">
        <f>IFERROR(UNIQUE(FILTER(INDIRECT(SWITCH('CONFIGURAÇÃO'!$T$43,"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$43,"Origem","'DADOS_PROGRESSAO'!$AG$2:$AG$34","Marcante","'DADOS_CUSTOM'!$CM$2:$CM$160","Menor","'DADOS_CUSTOM'!$CM$2:$CM$160","Arma","'DADOS_CUSTOM'!$CH$2:$CH$160","Escudo","'DADOS_CUSTOM'!$CM$2:$CM$160","Uniforme","'DADOS_CUSTOM'!$CM$2:$CM$160","Item comum","'DADOS_CUSTOM'!$CM$2:$CM$160","Ferramenta amaldiçoada","'DADOS_CUSTOM'!$CM$2:$CM$160","'DADOS_CUSTOM'!$CM$2:$CM$160"))&lt;&gt;"")),"")</f>
        <v/>
      </c>
      <c r="DW2" s="175">
        <f>IFERROR(UNIQUE(FILTER(INDIRECT(SWITCH('CONFIGURAÇÃO'!$T$43,"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$43,"Origem","'DADOS_PROGRESSAO'!$AG$2:$AG$34","Marcante","'DADOS_CUSTOM'!$CM$2:$CM$160","Menor","'DADOS_CUSTOM'!$CM$2:$CM$160","Arma","'DADOS_CUSTOM'!$CI$2:$CI$160","Escudo","'DADOS_CUSTOM'!$CM$2:$CM$160","Uniforme","'DADOS_CUSTOM'!$CM$2:$CM$160","Item comum","'DADOS_CUSTOM'!$CM$2:$CM$160","Ferramenta amaldiçoada","'DADOS_CUSTOM'!$CM$2:$CM$160","'DADOS_CUSTOM'!$CM$2:$CM$160"))&lt;&gt;"")),"")</f>
        <v/>
      </c>
      <c r="DX2" s="175">
        <f>IFERROR(UNIQUE(FILTER(INDIRECT(SWITCH('CONFIGURAÇÃO'!$T$43,"Origem","'DADOS_CUSTOM'!$CB$2:$CB$160","Marcante","'DADOS_CUSTOM'!$CM$2:$CM$160","Menor","'DADOS_CUSTOM'!$CM$2:$CM$160","Arma","'DADOS_CUSTOM'!$CI$2:$CI$160","Escudo","'DADOS_CUSTOM'!$CM$2:$CM$160","Uniforme","'DADOS_CUSTOM'!$CM$2:$CM$160","Item comum","'DADOS_CUSTOM'!$CM$2:$CM$160","Ferramenta amaldiçoada","'DADOS_CUSTOM'!$CM$2:$CM$160","'DADOS_CUSTOM'!$CM$2:$CM$160")),INDIRECT(SWITCH('CONFIGURAÇÃO'!$T$43,"Origem","'DADOS_CUSTOM'!$CB$2:$CB$160","Marcante","'DADOS_CUSTOM'!$CM$2:$CM$160","Menor","'DADOS_CUSTOM'!$CM$2:$CM$160","Arma","'DADOS_CUSTOM'!$CI$2:$CI$160","Escudo","'DADOS_CUSTOM'!$CM$2:$CM$160","Uniforme","'DADOS_CUSTOM'!$CM$2:$CM$160","Item comum","'DADOS_CUSTOM'!$CM$2:$CM$160","Ferramenta amaldiçoada","'DADOS_CUSTOM'!$CM$2:$CM$160","'DADOS_CUSTOM'!$CM$2:$CM$160"))&lt;&gt;"")),"")</f>
        <v/>
      </c>
      <c r="DY2" s="175">
        <f>IFERROR(UNIQUE(FILTER(INDIRECT(SWITCH('CONFIGURAÇÃO'!$T$43,"Origem","'DADOS_CUSTOM'!$CD$2:$CD$160","Marcante","'DADOS_CUSTOM'!$CM$2:$CM$160","Menor","'DADOS_CUSTOM'!$CM$2:$CM$160","Arma","'DADOS_CUSTOM'!$CI$2:$CI$160","Escudo","'DADOS_CUSTOM'!$CM$2:$CM$160","Uniforme","'DADOS_CUSTOM'!$CM$2:$CM$160","Item comum","'DADOS_CUSTOM'!$CM$2:$CM$160","Ferramenta amaldiçoada","'DADOS_CUSTOM'!$CM$2:$CM$160","'DADOS_CUSTOM'!$CM$2:$CM$160")),INDIRECT(SWITCH('CONFIGURAÇÃO'!$T$43,"Origem","'DADOS_CUSTOM'!$CD$2:$CD$160","Marcante","'DADOS_CUSTOM'!$CM$2:$CM$160","Menor","'DADOS_CUSTOM'!$CM$2:$CM$160","Arma","'DADOS_CUSTOM'!$CI$2:$CI$160","Escudo","'DADOS_CUSTOM'!$CM$2:$CM$160","Uniforme","'DADOS_CUSTOM'!$CM$2:$CM$160","Item comum","'DADOS_CUSTOM'!$CM$2:$CM$160","Ferramenta amaldiçoada","'DADOS_CUSTOM'!$CM$2:$CM$160","'DADOS_CUSTOM'!$CM$2:$CM$160"))&lt;&gt;"")),"")</f>
        <v/>
      </c>
      <c r="DZ2" s="175">
        <f>IFERROR(UNIQUE(FILTER(INDIRECT(SWITCH('CONFIGURAÇÃO'!$T$43,"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$43,"Origem","'DADOS_PROGRESSAO'!$AJ$2:$AJ$23","Marcante","'DADOS_CUSTOM'!$CM$2:$CM$160","Menor","'DADOS_CUSTOM'!$CM$2:$CM$160","Arma","'DADOS_CUSTOM'!$CI$2:$CI$160","Escudo","'DADOS_CUSTOM'!$CM$2:$CM$160","Uniforme","'DADOS_CUSTOM'!$CM$2:$CM$160","Item comum","'DADOS_CUSTOM'!$CM$2:$CM$160","Ferramenta amaldiçoada","'DADOS_CUSTOM'!$CM$2:$CM$160","'DADOS_CUSTOM'!$CM$2:$CM$160"))&lt;&gt;"")),"")</f>
        <v/>
      </c>
      <c r="EA2" s="175">
        <f>IFERROR(UNIQUE(FILTER(INDIRECT(SWITCH('CONFIGURAÇÃO'!$AB$43,"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$43,"Origem","'DADOS_PROGRESSAO'!$AG$2:$AG$34","Marcante","'DADOS_CUSTOM'!$BW$2:$BW$160","Menor","'DADOS_CUSTOM'!$CC$2:$CC$160","Arma","'DADOS_CUSTOM'!$CF$2:$CF$160","Escudo","'DADOS_CUSTOM'!$CM$2:$CM$160","Uniforme","'DADOS_CUSTOM'!$CJ$2:$CJ$160","Item comum","'DADOS_CUSTOM'!$CM$2:$CM$160","Ferramenta amaldiçoada","'DADOS_CUSTOM'!$CK$2:$CK$160","'DADOS_CUSTOM'!$CM$2:$CM$160"))&lt;&gt;"")),"")</f>
        <v/>
      </c>
      <c r="EB2" s="175">
        <f>IFERROR(UNIQUE(FILTER(INDIRECT(SWITCH('CONFIGURAÇÃO'!$AB$43,"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$43,"Origem","'DADOS_PROGRESSAO'!$AG$2:$AG$34","Marcante","'DADOS_CUSTOM'!$CM$2:$CM$160","Menor","'DADOS_CUSTOM'!$CL$2:$CL$160","Arma","'DADOS_CUSTOM'!$CG$2:$CG$160","Escudo","'DADOS_CUSTOM'!$CM$2:$CM$160","Uniforme","'DADOS_CUSTOM'!$CM$2:$CM$160","Item comum","'DADOS_CUSTOM'!$CM$2:$CM$160","Ferramenta amaldiçoada","'DADOS_CUSTOM'!$CJ$2:$CJ$160","'DADOS_CUSTOM'!$CM$2:$CM$160"))&lt;&gt;"")),"")</f>
        <v/>
      </c>
      <c r="EC2" s="175">
        <f>IFERROR(UNIQUE(FILTER(INDIRECT(SWITCH('CONFIGURAÇÃO'!$AB$43,"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$43,"Origem","'DADOS_PROGRESSAO'!$AG$2:$AG$34","Marcante","'DADOS_CUSTOM'!$CM$2:$CM$160","Menor","'DADOS_CUSTOM'!$CM$2:$CM$160","Arma","'DADOS_CUSTOM'!$CH$2:$CH$160","Escudo","'DADOS_CUSTOM'!$CM$2:$CM$160","Uniforme","'DADOS_CUSTOM'!$CM$2:$CM$160","Item comum","'DADOS_CUSTOM'!$CM$2:$CM$160","Ferramenta amaldiçoada","'DADOS_CUSTOM'!$CM$2:$CM$160","'DADOS_CUSTOM'!$CM$2:$CM$160"))&lt;&gt;"")),"")</f>
        <v/>
      </c>
      <c r="ED2" s="175">
        <f>IFERROR(UNIQUE(FILTER(INDIRECT(SWITCH('CONFIGURAÇÃO'!$AB$43,"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$43,"Origem","'DADOS_PROGRESSAO'!$AG$2:$AG$34","Marcante","'DADOS_CUSTOM'!$CM$2:$CM$160","Menor","'DADOS_CUSTOM'!$CM$2:$CM$160","Arma","'DADOS_CUSTOM'!$CI$2:$CI$160","Escudo","'DADOS_CUSTOM'!$CM$2:$CM$160","Uniforme","'DADOS_CUSTOM'!$CM$2:$CM$160","Item comum","'DADOS_CUSTOM'!$CM$2:$CM$160","Ferramenta amaldiçoada","'DADOS_CUSTOM'!$CM$2:$CM$160","'DADOS_CUSTOM'!$CM$2:$CM$160"))&lt;&gt;"")),"")</f>
        <v/>
      </c>
      <c r="EE2" s="175">
        <f>IFERROR(UNIQUE(FILTER(INDIRECT(SWITCH('CONFIGURAÇÃO'!$AB$43,"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$43,"Origem","'DADOS_CUSTOM'!$CB$2:$CB$160","Marcante","'DADOS_CUSTOM'!$CM$2:$CM$160","Menor","'DADOS_CUSTOM'!$CM$2:$CM$160","Arma","'DADOS_CUSTOM'!$CI$2:$CI$160","Escudo","'DADOS_CUSTOM'!$CM$2:$CM$160","Uniforme","'DADOS_CUSTOM'!$CM$2:$CM$160","Item comum","'DADOS_CUSTOM'!$CM$2:$CM$160","Ferramenta amaldiçoada","'DADOS_CUSTOM'!$CM$2:$CM$160","'DADOS_CUSTOM'!$CM$2:$CM$160"))&lt;&gt;"")),"")</f>
        <v/>
      </c>
      <c r="EF2" s="175">
        <f>IFERROR(UNIQUE(FILTER(INDIRECT(SWITCH('CONFIGURAÇÃO'!$AB$43,"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$43,"Origem","'DADOS_CUSTOM'!$CD$2:$CD$160","Marcante","'DADOS_CUSTOM'!$CM$2:$CM$160","Menor","'DADOS_CUSTOM'!$CM$2:$CM$160","Arma","'DADOS_CUSTOM'!$CI$2:$CI$160","Escudo","'DADOS_CUSTOM'!$CM$2:$CM$160","Uniforme","'DADOS_CUSTOM'!$CM$2:$CM$160","Item comum","'DADOS_CUSTOM'!$CM$2:$CM$160","Ferramenta amaldiçoada","'DADOS_CUSTOM'!$CM$2:$CM$160","'DADOS_CUSTOM'!$CM$2:$CM$160"))&lt;&gt;"")),"")</f>
        <v/>
      </c>
      <c r="EG2" s="175">
        <f>IFERROR(UNIQUE(FILTER(INDIRECT(SWITCH('CONFIGURAÇÃO'!$AB$43,"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$43,"Origem","'DADOS_PROGRESSAO'!$AJ$2:$AJ$23","Marcante","'DADOS_CUSTOM'!$CM$2:$CM$160","Menor","'DADOS_CUSTOM'!$CM$2:$CM$160","Arma","'DADOS_CUSTOM'!$CI$2:$CI$160","Escudo","'DADOS_CUSTOM'!$CM$2:$CM$160","Uniforme","'DADOS_CUSTOM'!$CM$2:$CM$160","Item comum","'DADOS_CUSTOM'!$CM$2:$CM$160","Ferramenta amaldiçoada","'DADOS_CUSTOM'!$CM$2:$CM$160","'DADOS_CUSTOM'!$CM$2:$CM$160"))&lt;&gt;"")),"")</f>
        <v/>
      </c>
      <c r="EH2" s="175">
        <f>IFERROR(UNIQUE(FILTER(INDIRECT(SWITCH('CONFIGURAÇÃO'!$T$72,"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$72,"Origem","'DADOS_PROGRESSAO'!$AG$2:$AG$34","Marcante","'DADOS_CUSTOM'!$BW$2:$BW$160","Menor","'DADOS_CUSTOM'!$CC$2:$CC$160","Arma","'DADOS_CUSTOM'!$CF$2:$CF$160","Escudo","'DADOS_CUSTOM'!$CM$2:$CM$160","Uniforme","'DADOS_CUSTOM'!$CJ$2:$CJ$160","Item comum","'DADOS_CUSTOM'!$CM$2:$CM$160","Ferramenta amaldiçoada","'DADOS_CUSTOM'!$CK$2:$CK$160","'DADOS_CUSTOM'!$CM$2:$CM$160"))&lt;&gt;"")),"")</f>
        <v/>
      </c>
      <c r="EI2" s="175">
        <f>IFERROR(UNIQUE(FILTER(INDIRECT(SWITCH('CONFIGURAÇÃO'!$T$72,"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$72,"Origem","'DADOS_PROGRESSAO'!$AG$2:$AG$34","Marcante","'DADOS_CUSTOM'!$CM$2:$CM$160","Menor","'DADOS_CUSTOM'!$CL$2:$CL$160","Arma","'DADOS_CUSTOM'!$CG$2:$CG$160","Escudo","'DADOS_CUSTOM'!$CM$2:$CM$160","Uniforme","'DADOS_CUSTOM'!$CM$2:$CM$160","Item comum","'DADOS_CUSTOM'!$CM$2:$CM$160","Ferramenta amaldiçoada","'DADOS_CUSTOM'!$CJ$2:$CJ$160","'DADOS_CUSTOM'!$CM$2:$CM$160"))&lt;&gt;"")),"")</f>
        <v/>
      </c>
      <c r="EJ2" s="175">
        <f>IFERROR(UNIQUE(FILTER(INDIRECT(SWITCH('CONFIGURAÇÃO'!$T$72,"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$72,"Origem","'DADOS_PROGRESSAO'!$AG$2:$AG$34","Marcante","'DADOS_CUSTOM'!$CM$2:$CM$160","Menor","'DADOS_CUSTOM'!$CM$2:$CM$160","Arma","'DADOS_CUSTOM'!$CH$2:$CH$160","Escudo","'DADOS_CUSTOM'!$CM$2:$CM$160","Uniforme","'DADOS_CUSTOM'!$CM$2:$CM$160","Item comum","'DADOS_CUSTOM'!$CM$2:$CM$160","Ferramenta amaldiçoada","'DADOS_CUSTOM'!$CM$2:$CM$160","'DADOS_CUSTOM'!$CM$2:$CM$160"))&lt;&gt;"")),"")</f>
        <v/>
      </c>
      <c r="EK2" s="175">
        <f>IFERROR(UNIQUE(FILTER(INDIRECT(SWITCH('CONFIGURAÇÃO'!$T$72,"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$72,"Origem","'DADOS_PROGRESSAO'!$AG$2:$AG$34","Marcante","'DADOS_CUSTOM'!$CM$2:$CM$160","Menor","'DADOS_CUSTOM'!$CM$2:$CM$160","Arma","'DADOS_CUSTOM'!$CI$2:$CI$160","Escudo","'DADOS_CUSTOM'!$CM$2:$CM$160","Uniforme","'DADOS_CUSTOM'!$CM$2:$CM$160","Item comum","'DADOS_CUSTOM'!$CM$2:$CM$160","Ferramenta amaldiçoada","'DADOS_CUSTOM'!$CM$2:$CM$160","'DADOS_CUSTOM'!$CM$2:$CM$160"))&lt;&gt;"")),"")</f>
        <v/>
      </c>
      <c r="EL2" s="175">
        <f>IFERROR(UNIQUE(FILTER(INDIRECT(SWITCH('CONFIGURAÇÃO'!$T$72,"Origem","'DADOS_CUSTOM'!$CB$2:$CB$160","Marcante","'DADOS_CUSTOM'!$CM$2:$CM$160","Menor","'DADOS_CUSTOM'!$CM$2:$CM$160","Arma","'DADOS_CUSTOM'!$CI$2:$CI$160","Escudo","'DADOS_CUSTOM'!$CM$2:$CM$160","Uniforme","'DADOS_CUSTOM'!$CM$2:$CM$160","Item comum","'DADOS_CUSTOM'!$CM$2:$CM$160","Ferramenta amaldiçoada","'DADOS_CUSTOM'!$CM$2:$CM$160","'DADOS_CUSTOM'!$CM$2:$CM$160")),INDIRECT(SWITCH('CONFIGURAÇÃO'!$T$72,"Origem","'DADOS_CUSTOM'!$CB$2:$CB$160","Marcante","'DADOS_CUSTOM'!$CM$2:$CM$160","Menor","'DADOS_CUSTOM'!$CM$2:$CM$160","Arma","'DADOS_CUSTOM'!$CI$2:$CI$160","Escudo","'DADOS_CUSTOM'!$CM$2:$CM$160","Uniforme","'DADOS_CUSTOM'!$CM$2:$CM$160","Item comum","'DADOS_CUSTOM'!$CM$2:$CM$160","Ferramenta amaldiçoada","'DADOS_CUSTOM'!$CM$2:$CM$160","'DADOS_CUSTOM'!$CM$2:$CM$160"))&lt;&gt;"")),"")</f>
        <v/>
      </c>
      <c r="EM2" s="175">
        <f>IFERROR(UNIQUE(FILTER(INDIRECT(SWITCH('CONFIGURAÇÃO'!$T$72,"Origem","'DADOS_CUSTOM'!$CD$2:$CD$160","Marcante","'DADOS_CUSTOM'!$CM$2:$CM$160","Menor","'DADOS_CUSTOM'!$CM$2:$CM$160","Arma","'DADOS_CUSTOM'!$CI$2:$CI$160","Escudo","'DADOS_CUSTOM'!$CM$2:$CM$160","Uniforme","'DADOS_CUSTOM'!$CM$2:$CM$160","Item comum","'DADOS_CUSTOM'!$CM$2:$CM$160","Ferramenta amaldiçoada","'DADOS_CUSTOM'!$CM$2:$CM$160","'DADOS_CUSTOM'!$CM$2:$CM$160")),INDIRECT(SWITCH('CONFIGURAÇÃO'!$T$72,"Origem","'DADOS_CUSTOM'!$CD$2:$CD$160","Marcante","'DADOS_CUSTOM'!$CM$2:$CM$160","Menor","'DADOS_CUSTOM'!$CM$2:$CM$160","Arma","'DADOS_CUSTOM'!$CI$2:$CI$160","Escudo","'DADOS_CUSTOM'!$CM$2:$CM$160","Uniforme","'DADOS_CUSTOM'!$CM$2:$CM$160","Item comum","'DADOS_CUSTOM'!$CM$2:$CM$160","Ferramenta amaldiçoada","'DADOS_CUSTOM'!$CM$2:$CM$160","'DADOS_CUSTOM'!$CM$2:$CM$160"))&lt;&gt;"")),"")</f>
        <v/>
      </c>
      <c r="EN2" s="175">
        <f>IFERROR(UNIQUE(FILTER(INDIRECT(SWITCH('CONFIGURAÇÃO'!$T$72,"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$72,"Origem","'DADOS_PROGRESSAO'!$AJ$2:$AJ$23","Marcante","'DADOS_CUSTOM'!$CM$2:$CM$160","Menor","'DADOS_CUSTOM'!$CM$2:$CM$160","Arma","'DADOS_CUSTOM'!$CI$2:$CI$160","Escudo","'DADOS_CUSTOM'!$CM$2:$CM$160","Uniforme","'DADOS_CUSTOM'!$CM$2:$CM$160","Item comum","'DADOS_CUSTOM'!$CM$2:$CM$160","Ferramenta amaldiçoada","'DADOS_CUSTOM'!$CM$2:$CM$160","'DADOS_CUSTOM'!$CM$2:$CM$160"))&lt;&gt;"")),"")</f>
        <v/>
      </c>
      <c r="EO2" s="175">
        <f>IFERROR(UNIQUE(FILTER(INDIRECT(SWITCH('CONFIGURAÇÃO'!$AB$72,"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$72,"Origem","'DADOS_PROGRESSAO'!$AG$2:$AG$34","Marcante","'DADOS_CUSTOM'!$BW$2:$BW$160","Menor","'DADOS_CUSTOM'!$CC$2:$CC$160","Arma","'DADOS_CUSTOM'!$CF$2:$CF$160","Escudo","'DADOS_CUSTOM'!$CM$2:$CM$160","Uniforme","'DADOS_CUSTOM'!$CJ$2:$CJ$160","Item comum","'DADOS_CUSTOM'!$CM$2:$CM$160","Ferramenta amaldiçoada","'DADOS_CUSTOM'!$CK$2:$CK$160","'DADOS_CUSTOM'!$CM$2:$CM$160"))&lt;&gt;"")),"")</f>
        <v/>
      </c>
      <c r="EP2" s="175">
        <f>IFERROR(UNIQUE(FILTER(INDIRECT(SWITCH('CONFIGURAÇÃO'!$AB$72,"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$72,"Origem","'DADOS_PROGRESSAO'!$AG$2:$AG$34","Marcante","'DADOS_CUSTOM'!$CM$2:$CM$160","Menor","'DADOS_CUSTOM'!$CL$2:$CL$160","Arma","'DADOS_CUSTOM'!$CG$2:$CG$160","Escudo","'DADOS_CUSTOM'!$CM$2:$CM$160","Uniforme","'DADOS_CUSTOM'!$CM$2:$CM$160","Item comum","'DADOS_CUSTOM'!$CM$2:$CM$160","Ferramenta amaldiçoada","'DADOS_CUSTOM'!$CJ$2:$CJ$160","'DADOS_CUSTOM'!$CM$2:$CM$160"))&lt;&gt;"")),"")</f>
        <v/>
      </c>
      <c r="EQ2" s="175">
        <f>IFERROR(UNIQUE(FILTER(INDIRECT(SWITCH('CONFIGURAÇÃO'!$AB$72,"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$72,"Origem","'DADOS_PROGRESSAO'!$AG$2:$AG$34","Marcante","'DADOS_CUSTOM'!$CM$2:$CM$160","Menor","'DADOS_CUSTOM'!$CM$2:$CM$160","Arma","'DADOS_CUSTOM'!$CH$2:$CH$160","Escudo","'DADOS_CUSTOM'!$CM$2:$CM$160","Uniforme","'DADOS_CUSTOM'!$CM$2:$CM$160","Item comum","'DADOS_CUSTOM'!$CM$2:$CM$160","Ferramenta amaldiçoada","'DADOS_CUSTOM'!$CM$2:$CM$160","'DADOS_CUSTOM'!$CM$2:$CM$160"))&lt;&gt;"")),"")</f>
        <v/>
      </c>
      <c r="ER2" s="175">
        <f>IFERROR(UNIQUE(FILTER(INDIRECT(SWITCH('CONFIGURAÇÃO'!$AB$72,"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$72,"Origem","'DADOS_PROGRESSAO'!$AG$2:$AG$34","Marcante","'DADOS_CUSTOM'!$CM$2:$CM$160","Menor","'DADOS_CUSTOM'!$CM$2:$CM$160","Arma","'DADOS_CUSTOM'!$CI$2:$CI$160","Escudo","'DADOS_CUSTOM'!$CM$2:$CM$160","Uniforme","'DADOS_CUSTOM'!$CM$2:$CM$160","Item comum","'DADOS_CUSTOM'!$CM$2:$CM$160","Ferramenta amaldiçoada","'DADOS_CUSTOM'!$CM$2:$CM$160","'DADOS_CUSTOM'!$CM$2:$CM$160"))&lt;&gt;"")),"")</f>
        <v/>
      </c>
      <c r="ES2" s="175">
        <f>IFERROR(UNIQUE(FILTER(INDIRECT(SWITCH('CONFIGURAÇÃO'!$AB$72,"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$72,"Origem","'DADOS_CUSTOM'!$CB$2:$CB$160","Marcante","'DADOS_CUSTOM'!$CM$2:$CM$160","Menor","'DADOS_CUSTOM'!$CM$2:$CM$160","Arma","'DADOS_CUSTOM'!$CI$2:$CI$160","Escudo","'DADOS_CUSTOM'!$CM$2:$CM$160","Uniforme","'DADOS_CUSTOM'!$CM$2:$CM$160","Item comum","'DADOS_CUSTOM'!$CM$2:$CM$160","Ferramenta amaldiçoada","'DADOS_CUSTOM'!$CM$2:$CM$160","'DADOS_CUSTOM'!$CM$2:$CM$160"))&lt;&gt;"")),"")</f>
        <v/>
      </c>
      <c r="ET2" s="175">
        <f>IFERROR(UNIQUE(FILTER(INDIRECT(SWITCH('CONFIGURAÇÃO'!$AB$72,"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$72,"Origem","'DADOS_CUSTOM'!$CD$2:$CD$160","Marcante","'DADOS_CUSTOM'!$CM$2:$CM$160","Menor","'DADOS_CUSTOM'!$CM$2:$CM$160","Arma","'DADOS_CUSTOM'!$CI$2:$CI$160","Escudo","'DADOS_CUSTOM'!$CM$2:$CM$160","Uniforme","'DADOS_CUSTOM'!$CM$2:$CM$160","Item comum","'DADOS_CUSTOM'!$CM$2:$CM$160","Ferramenta amaldiçoada","'DADOS_CUSTOM'!$CM$2:$CM$160","'DADOS_CUSTOM'!$CM$2:$CM$160"))&lt;&gt;"")),"")</f>
        <v/>
      </c>
      <c r="EU2" s="175">
        <f>IFERROR(UNIQUE(FILTER(INDIRECT(SWITCH('CONFIGURAÇÃO'!$AB$72,"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$72,"Origem","'DADOS_PROGRESSAO'!$AJ$2:$AJ$23","Marcante","'DADOS_CUSTOM'!$CM$2:$CM$160","Menor","'DADOS_CUSTOM'!$CM$2:$CM$160","Arma","'DADOS_CUSTOM'!$CI$2:$CI$160","Escudo","'DADOS_CUSTOM'!$CM$2:$CM$160","Uniforme","'DADOS_CUSTOM'!$CM$2:$CM$160","Item comum","'DADOS_CUSTOM'!$CM$2:$CM$160","Ferramenta amaldiçoada","'DADOS_CUSTOM'!$CM$2:$CM$160","'DADOS_CUSTOM'!$CM$2:$CM$160"))&lt;&gt;"")),"")</f>
        <v/>
      </c>
      <c r="EV2" s="175">
        <f>IFERROR(UNIQUE(FILTER(INDIRECT(SWITCH('CONFIGURAÇÃO'!$T$101,"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$101,"Origem","'DADOS_PROGRESSAO'!$AG$2:$AG$34","Marcante","'DADOS_CUSTOM'!$BW$2:$BW$160","Menor","'DADOS_CUSTOM'!$CC$2:$CC$160","Arma","'DADOS_CUSTOM'!$CF$2:$CF$160","Escudo","'DADOS_CUSTOM'!$CM$2:$CM$160","Uniforme","'DADOS_CUSTOM'!$CJ$2:$CJ$160","Item comum","'DADOS_CUSTOM'!$CM$2:$CM$160","Ferramenta amaldiçoada","'DADOS_CUSTOM'!$CK$2:$CK$160","'DADOS_CUSTOM'!$CM$2:$CM$160"))&lt;&gt;"")),"")</f>
        <v/>
      </c>
      <c r="EW2" s="175">
        <f>IFERROR(UNIQUE(FILTER(INDIRECT(SWITCH('CONFIGURAÇÃO'!$T$101,"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$101,"Origem","'DADOS_PROGRESSAO'!$AG$2:$AG$34","Marcante","'DADOS_CUSTOM'!$CM$2:$CM$160","Menor","'DADOS_CUSTOM'!$CL$2:$CL$160","Arma","'DADOS_CUSTOM'!$CG$2:$CG$160","Escudo","'DADOS_CUSTOM'!$CM$2:$CM$160","Uniforme","'DADOS_CUSTOM'!$CM$2:$CM$160","Item comum","'DADOS_CUSTOM'!$CM$2:$CM$160","Ferramenta amaldiçoada","'DADOS_CUSTOM'!$CJ$2:$CJ$160","'DADOS_CUSTOM'!$CM$2:$CM$160"))&lt;&gt;"")),"")</f>
        <v/>
      </c>
      <c r="EX2" s="175">
        <f>IFERROR(UNIQUE(FILTER(INDIRECT(SWITCH('CONFIGURAÇÃO'!$T$101,"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$101,"Origem","'DADOS_PROGRESSAO'!$AG$2:$AG$34","Marcante","'DADOS_CUSTOM'!$CM$2:$CM$160","Menor","'DADOS_CUSTOM'!$CM$2:$CM$160","Arma","'DADOS_CUSTOM'!$CH$2:$CH$160","Escudo","'DADOS_CUSTOM'!$CM$2:$CM$160","Uniforme","'DADOS_CUSTOM'!$CM$2:$CM$160","Item comum","'DADOS_CUSTOM'!$CM$2:$CM$160","Ferramenta amaldiçoada","'DADOS_CUSTOM'!$CM$2:$CM$160","'DADOS_CUSTOM'!$CM$2:$CM$160"))&lt;&gt;"")),"")</f>
        <v/>
      </c>
      <c r="EY2" s="175">
        <f>IFERROR(UNIQUE(FILTER(INDIRECT(SWITCH('CONFIGURAÇÃO'!$T$101,"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$101,"Origem","'DADOS_PROGRESSAO'!$AG$2:$AG$34","Marcante","'DADOS_CUSTOM'!$CM$2:$CM$160","Menor","'DADOS_CUSTOM'!$CM$2:$CM$160","Arma","'DADOS_CUSTOM'!$CI$2:$CI$160","Escudo","'DADOS_CUSTOM'!$CM$2:$CM$160","Uniforme","'DADOS_CUSTOM'!$CM$2:$CM$160","Item comum","'DADOS_CUSTOM'!$CM$2:$CM$160","Ferramenta amaldiçoada","'DADOS_CUSTOM'!$CM$2:$CM$160","'DADOS_CUSTOM'!$CM$2:$CM$160"))&lt;&gt;"")),"")</f>
        <v/>
      </c>
      <c r="EZ2" s="175">
        <f>IFERROR(UNIQUE(FILTER(INDIRECT(SWITCH('CONFIGURAÇÃO'!$T$101,"Origem","'DADOS_CUSTOM'!$CB$2:$CB$160","Marcante","'DADOS_CUSTOM'!$CM$2:$CM$160","Menor","'DADOS_CUSTOM'!$CM$2:$CM$160","Arma","'DADOS_CUSTOM'!$CI$2:$CI$160","Escudo","'DADOS_CUSTOM'!$CM$2:$CM$160","Uniforme","'DADOS_CUSTOM'!$CM$2:$CM$160","Item comum","'DADOS_CUSTOM'!$CM$2:$CM$160","Ferramenta amaldiçoada","'DADOS_CUSTOM'!$CM$2:$CM$160","'DADOS_CUSTOM'!$CM$2:$CM$160")),INDIRECT(SWITCH('CONFIGURAÇÃO'!$T$101,"Origem","'DADOS_CUSTOM'!$CB$2:$CB$160","Marcante","'DADOS_CUSTOM'!$CM$2:$CM$160","Menor","'DADOS_CUSTOM'!$CM$2:$CM$160","Arma","'DADOS_CUSTOM'!$CI$2:$CI$160","Escudo","'DADOS_CUSTOM'!$CM$2:$CM$160","Uniforme","'DADOS_CUSTOM'!$CM$2:$CM$160","Item comum","'DADOS_CUSTOM'!$CM$2:$CM$160","Ferramenta amaldiçoada","'DADOS_CUSTOM'!$CM$2:$CM$160","'DADOS_CUSTOM'!$CM$2:$CM$160"))&lt;&gt;"")),"")</f>
        <v/>
      </c>
      <c r="FA2" s="175">
        <f>IFERROR(UNIQUE(FILTER(INDIRECT(SWITCH('CONFIGURAÇÃO'!$T$101,"Origem","'DADOS_CUSTOM'!$CD$2:$CD$160","Marcante","'DADOS_CUSTOM'!$CM$2:$CM$160","Menor","'DADOS_CUSTOM'!$CM$2:$CM$160","Arma","'DADOS_CUSTOM'!$CI$2:$CI$160","Escudo","'DADOS_CUSTOM'!$CM$2:$CM$160","Uniforme","'DADOS_CUSTOM'!$CM$2:$CM$160","Item comum","'DADOS_CUSTOM'!$CM$2:$CM$160","Ferramenta amaldiçoada","'DADOS_CUSTOM'!$CM$2:$CM$160","'DADOS_CUSTOM'!$CM$2:$CM$160")),INDIRECT(SWITCH('CONFIGURAÇÃO'!$T$101,"Origem","'DADOS_CUSTOM'!$CD$2:$CD$160","Marcante","'DADOS_CUSTOM'!$CM$2:$CM$160","Menor","'DADOS_CUSTOM'!$CM$2:$CM$160","Arma","'DADOS_CUSTOM'!$CI$2:$CI$160","Escudo","'DADOS_CUSTOM'!$CM$2:$CM$160","Uniforme","'DADOS_CUSTOM'!$CM$2:$CM$160","Item comum","'DADOS_CUSTOM'!$CM$2:$CM$160","Ferramenta amaldiçoada","'DADOS_CUSTOM'!$CM$2:$CM$160","'DADOS_CUSTOM'!$CM$2:$CM$160"))&lt;&gt;"")),"")</f>
        <v/>
      </c>
      <c r="FB2" s="175">
        <f>IFERROR(UNIQUE(FILTER(INDIRECT(SWITCH('CONFIGURAÇÃO'!$T$101,"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$101,"Origem","'DADOS_PROGRESSAO'!$AJ$2:$AJ$23","Marcante","'DADOS_CUSTOM'!$CM$2:$CM$160","Menor","'DADOS_CUSTOM'!$CM$2:$CM$160","Arma","'DADOS_CUSTOM'!$CI$2:$CI$160","Escudo","'DADOS_CUSTOM'!$CM$2:$CM$160","Uniforme","'DADOS_CUSTOM'!$CM$2:$CM$160","Item comum","'DADOS_CUSTOM'!$CM$2:$CM$160","Ferramenta amaldiçoada","'DADOS_CUSTOM'!$CM$2:$CM$160","'DADOS_CUSTOM'!$CM$2:$CM$160"))&lt;&gt;"")),"")</f>
        <v/>
      </c>
      <c r="FC2" s="175">
        <f>IFERROR(UNIQUE(FILTER(INDIRECT(SWITCH('CONFIGURAÇÃO'!$AB$101,"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$101,"Origem","'DADOS_PROGRESSAO'!$AG$2:$AG$34","Marcante","'DADOS_CUSTOM'!$BW$2:$BW$160","Menor","'DADOS_CUSTOM'!$CC$2:$CC$160","Arma","'DADOS_CUSTOM'!$CF$2:$CF$160","Escudo","'DADOS_CUSTOM'!$CM$2:$CM$160","Uniforme","'DADOS_CUSTOM'!$CJ$2:$CJ$160","Item comum","'DADOS_CUSTOM'!$CM$2:$CM$160","Ferramenta amaldiçoada","'DADOS_CUSTOM'!$CK$2:$CK$160","'DADOS_CUSTOM'!$CM$2:$CM$160"))&lt;&gt;"")),"")</f>
        <v/>
      </c>
      <c r="FD2" s="175">
        <f>IFERROR(UNIQUE(FILTER(INDIRECT(SWITCH('CONFIGURAÇÃO'!$AB$101,"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$101,"Origem","'DADOS_PROGRESSAO'!$AG$2:$AG$34","Marcante","'DADOS_CUSTOM'!$CM$2:$CM$160","Menor","'DADOS_CUSTOM'!$CL$2:$CL$160","Arma","'DADOS_CUSTOM'!$CG$2:$CG$160","Escudo","'DADOS_CUSTOM'!$CM$2:$CM$160","Uniforme","'DADOS_CUSTOM'!$CM$2:$CM$160","Item comum","'DADOS_CUSTOM'!$CM$2:$CM$160","Ferramenta amaldiçoada","'DADOS_CUSTOM'!$CJ$2:$CJ$160","'DADOS_CUSTOM'!$CM$2:$CM$160"))&lt;&gt;"")),"")</f>
        <v/>
      </c>
      <c r="FE2" s="175">
        <f>IFERROR(UNIQUE(FILTER(INDIRECT(SWITCH('CONFIGURAÇÃO'!$AB$101,"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$101,"Origem","'DADOS_PROGRESSAO'!$AG$2:$AG$34","Marcante","'DADOS_CUSTOM'!$CM$2:$CM$160","Menor","'DADOS_CUSTOM'!$CM$2:$CM$160","Arma","'DADOS_CUSTOM'!$CH$2:$CH$160","Escudo","'DADOS_CUSTOM'!$CM$2:$CM$160","Uniforme","'DADOS_CUSTOM'!$CM$2:$CM$160","Item comum","'DADOS_CUSTOM'!$CM$2:$CM$160","Ferramenta amaldiçoada","'DADOS_CUSTOM'!$CM$2:$CM$160","'DADOS_CUSTOM'!$CM$2:$CM$160"))&lt;&gt;"")),"")</f>
        <v/>
      </c>
      <c r="FF2" s="175">
        <f>IFERROR(UNIQUE(FILTER(INDIRECT(SWITCH('CONFIGURAÇÃO'!$AB$101,"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$101,"Origem","'DADOS_PROGRESSAO'!$AG$2:$AG$34","Marcante","'DADOS_CUSTOM'!$CM$2:$CM$160","Menor","'DADOS_CUSTOM'!$CM$2:$CM$160","Arma","'DADOS_CUSTOM'!$CI$2:$CI$160","Escudo","'DADOS_CUSTOM'!$CM$2:$CM$160","Uniforme","'DADOS_CUSTOM'!$CM$2:$CM$160","Item comum","'DADOS_CUSTOM'!$CM$2:$CM$160","Ferramenta amaldiçoada","'DADOS_CUSTOM'!$CM$2:$CM$160","'DADOS_CUSTOM'!$CM$2:$CM$160"))&lt;&gt;"")),"")</f>
        <v/>
      </c>
      <c r="FG2" s="175">
        <f>IFERROR(UNIQUE(FILTER(INDIRECT(SWITCH('CONFIGURAÇÃO'!$AB$101,"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$101,"Origem","'DADOS_CUSTOM'!$CB$2:$CB$160","Marcante","'DADOS_CUSTOM'!$CM$2:$CM$160","Menor","'DADOS_CUSTOM'!$CM$2:$CM$160","Arma","'DADOS_CUSTOM'!$CI$2:$CI$160","Escudo","'DADOS_CUSTOM'!$CM$2:$CM$160","Uniforme","'DADOS_CUSTOM'!$CM$2:$CM$160","Item comum","'DADOS_CUSTOM'!$CM$2:$CM$160","Ferramenta amaldiçoada","'DADOS_CUSTOM'!$CM$2:$CM$160","'DADOS_CUSTOM'!$CM$2:$CM$160"))&lt;&gt;"")),"")</f>
        <v/>
      </c>
      <c r="FH2" s="175">
        <f>IFERROR(UNIQUE(FILTER(INDIRECT(SWITCH('CONFIGURAÇÃO'!$AB$101,"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$101,"Origem","'DADOS_CUSTOM'!$CD$2:$CD$160","Marcante","'DADOS_CUSTOM'!$CM$2:$CM$160","Menor","'DADOS_CUSTOM'!$CM$2:$CM$160","Arma","'DADOS_CUSTOM'!$CI$2:$CI$160","Escudo","'DADOS_CUSTOM'!$CM$2:$CM$160","Uniforme","'DADOS_CUSTOM'!$CM$2:$CM$160","Item comum","'DADOS_CUSTOM'!$CM$2:$CM$160","Ferramenta amaldiçoada","'DADOS_CUSTOM'!$CM$2:$CM$160","'DADOS_CUSTOM'!$CM$2:$CM$160"))&lt;&gt;"")),"")</f>
        <v/>
      </c>
      <c r="FI2" s="175">
        <f>IFERROR(UNIQUE(FILTER(INDIRECT(SWITCH('CONFIGURAÇÃO'!$AB$101,"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$101,"Origem","'DADOS_PROGRESSAO'!$AJ$2:$AJ$23","Marcante","'DADOS_CUSTOM'!$CM$2:$CM$160","Menor","'DADOS_CUSTOM'!$CM$2:$CM$160","Arma","'DADOS_CUSTOM'!$CI$2:$CI$160","Escudo","'DADOS_CUSTOM'!$CM$2:$CM$160","Uniforme","'DADOS_CUSTOM'!$CM$2:$CM$160","Item comum","'DADOS_CUSTOM'!$CM$2:$CM$160","Ferramenta amaldiçoada","'DADOS_CUSTOM'!$CM$2:$CM$160","'DADOS_CUSTOM'!$CM$2:$CM$160"))&lt;&gt;"")),"")</f>
        <v/>
      </c>
      <c r="FJ2" s="175">
        <f>IFERROR(UNIQUE(FILTER(INDIRECT(SWITCH('CONFIGURAÇÃO'!$T$130,"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$130,"Origem","'DADOS_PROGRESSAO'!$AG$2:$AG$34","Marcante","'DADOS_CUSTOM'!$BW$2:$BW$160","Menor","'DADOS_CUSTOM'!$CC$2:$CC$160","Arma","'DADOS_CUSTOM'!$CF$2:$CF$160","Escudo","'DADOS_CUSTOM'!$CM$2:$CM$160","Uniforme","'DADOS_CUSTOM'!$CJ$2:$CJ$160","Item comum","'DADOS_CUSTOM'!$CM$2:$CM$160","Ferramenta amaldiçoada","'DADOS_CUSTOM'!$CK$2:$CK$160","'DADOS_CUSTOM'!$CM$2:$CM$160"))&lt;&gt;"")),"")</f>
        <v/>
      </c>
      <c r="FK2" s="175">
        <f>IFERROR(UNIQUE(FILTER(INDIRECT(SWITCH('CONFIGURAÇÃO'!$T$130,"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$130,"Origem","'DADOS_PROGRESSAO'!$AG$2:$AG$34","Marcante","'DADOS_CUSTOM'!$CM$2:$CM$160","Menor","'DADOS_CUSTOM'!$CL$2:$CL$160","Arma","'DADOS_CUSTOM'!$CG$2:$CG$160","Escudo","'DADOS_CUSTOM'!$CM$2:$CM$160","Uniforme","'DADOS_CUSTOM'!$CM$2:$CM$160","Item comum","'DADOS_CUSTOM'!$CM$2:$CM$160","Ferramenta amaldiçoada","'DADOS_CUSTOM'!$CJ$2:$CJ$160","'DADOS_CUSTOM'!$CM$2:$CM$160"))&lt;&gt;"")),"")</f>
        <v/>
      </c>
      <c r="FL2" s="175">
        <f>IFERROR(UNIQUE(FILTER(INDIRECT(SWITCH('CONFIGURAÇÃO'!$T$130,"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$130,"Origem","'DADOS_PROGRESSAO'!$AG$2:$AG$34","Marcante","'DADOS_CUSTOM'!$CM$2:$CM$160","Menor","'DADOS_CUSTOM'!$CM$2:$CM$160","Arma","'DADOS_CUSTOM'!$CH$2:$CH$160","Escudo","'DADOS_CUSTOM'!$CM$2:$CM$160","Uniforme","'DADOS_CUSTOM'!$CM$2:$CM$160","Item comum","'DADOS_CUSTOM'!$CM$2:$CM$160","Ferramenta amaldiçoada","'DADOS_CUSTOM'!$CM$2:$CM$160","'DADOS_CUSTOM'!$CM$2:$CM$160"))&lt;&gt;"")),"")</f>
        <v/>
      </c>
      <c r="FM2" s="175">
        <f>IFERROR(UNIQUE(FILTER(INDIRECT(SWITCH('CONFIGURAÇÃO'!$T$130,"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$130,"Origem","'DADOS_PROGRESSAO'!$AG$2:$AG$34","Marcante","'DADOS_CUSTOM'!$CM$2:$CM$160","Menor","'DADOS_CUSTOM'!$CM$2:$CM$160","Arma","'DADOS_CUSTOM'!$CI$2:$CI$160","Escudo","'DADOS_CUSTOM'!$CM$2:$CM$160","Uniforme","'DADOS_CUSTOM'!$CM$2:$CM$160","Item comum","'DADOS_CUSTOM'!$CM$2:$CM$160","Ferramenta amaldiçoada","'DADOS_CUSTOM'!$CM$2:$CM$160","'DADOS_CUSTOM'!$CM$2:$CM$160"))&lt;&gt;"")),"")</f>
        <v/>
      </c>
      <c r="FN2" s="175">
        <f>IFERROR(UNIQUE(FILTER(INDIRECT(SWITCH('CONFIGURAÇÃO'!$T$130,"Origem","'DADOS_CUSTOM'!$CB$2:$CB$160","Marcante","'DADOS_CUSTOM'!$CM$2:$CM$160","Menor","'DADOS_CUSTOM'!$CM$2:$CM$160","Arma","'DADOS_CUSTOM'!$CI$2:$CI$160","Escudo","'DADOS_CUSTOM'!$CM$2:$CM$160","Uniforme","'DADOS_CUSTOM'!$CM$2:$CM$160","Item comum","'DADOS_CUSTOM'!$CM$2:$CM$160","Ferramenta amaldiçoada","'DADOS_CUSTOM'!$CM$2:$CM$160","'DADOS_CUSTOM'!$CM$2:$CM$160")),INDIRECT(SWITCH('CONFIGURAÇÃO'!$T$130,"Origem","'DADOS_CUSTOM'!$CB$2:$CB$160","Marcante","'DADOS_CUSTOM'!$CM$2:$CM$160","Menor","'DADOS_CUSTOM'!$CM$2:$CM$160","Arma","'DADOS_CUSTOM'!$CI$2:$CI$160","Escudo","'DADOS_CUSTOM'!$CM$2:$CM$160","Uniforme","'DADOS_CUSTOM'!$CM$2:$CM$160","Item comum","'DADOS_CUSTOM'!$CM$2:$CM$160","Ferramenta amaldiçoada","'DADOS_CUSTOM'!$CM$2:$CM$160","'DADOS_CUSTOM'!$CM$2:$CM$160"))&lt;&gt;"")),"")</f>
        <v/>
      </c>
      <c r="FO2" s="175">
        <f>IFERROR(UNIQUE(FILTER(INDIRECT(SWITCH('CONFIGURAÇÃO'!$T$130,"Origem","'DADOS_CUSTOM'!$CD$2:$CD$160","Marcante","'DADOS_CUSTOM'!$CM$2:$CM$160","Menor","'DADOS_CUSTOM'!$CM$2:$CM$160","Arma","'DADOS_CUSTOM'!$CI$2:$CI$160","Escudo","'DADOS_CUSTOM'!$CM$2:$CM$160","Uniforme","'DADOS_CUSTOM'!$CM$2:$CM$160","Item comum","'DADOS_CUSTOM'!$CM$2:$CM$160","Ferramenta amaldiçoada","'DADOS_CUSTOM'!$CM$2:$CM$160","'DADOS_CUSTOM'!$CM$2:$CM$160")),INDIRECT(SWITCH('CONFIGURAÇÃO'!$T$130,"Origem","'DADOS_CUSTOM'!$CD$2:$CD$160","Marcante","'DADOS_CUSTOM'!$CM$2:$CM$160","Menor","'DADOS_CUSTOM'!$CM$2:$CM$160","Arma","'DADOS_CUSTOM'!$CI$2:$CI$160","Escudo","'DADOS_CUSTOM'!$CM$2:$CM$160","Uniforme","'DADOS_CUSTOM'!$CM$2:$CM$160","Item comum","'DADOS_CUSTOM'!$CM$2:$CM$160","Ferramenta amaldiçoada","'DADOS_CUSTOM'!$CM$2:$CM$160","'DADOS_CUSTOM'!$CM$2:$CM$160"))&lt;&gt;"")),"")</f>
        <v/>
      </c>
      <c r="FP2" s="175">
        <f>IFERROR(UNIQUE(FILTER(INDIRECT(SWITCH('CONFIGURAÇÃO'!$T$130,"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$130,"Origem","'DADOS_PROGRESSAO'!$AJ$2:$AJ$23","Marcante","'DADOS_CUSTOM'!$CM$2:$CM$160","Menor","'DADOS_CUSTOM'!$CM$2:$CM$160","Arma","'DADOS_CUSTOM'!$CI$2:$CI$160","Escudo","'DADOS_CUSTOM'!$CM$2:$CM$160","Uniforme","'DADOS_CUSTOM'!$CM$2:$CM$160","Item comum","'DADOS_CUSTOM'!$CM$2:$CM$160","Ferramenta amaldiçoada","'DADOS_CUSTOM'!$CM$2:$CM$160","'DADOS_CUSTOM'!$CM$2:$CM$160"))&lt;&gt;"")),"")</f>
        <v/>
      </c>
      <c r="FQ2" s="175">
        <f>IFERROR(UNIQUE(FILTER(INDIRECT(SWITCH('CONFIGURAÇÃO'!$AB$130,"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$130,"Origem","'DADOS_PROGRESSAO'!$AG$2:$AG$34","Marcante","'DADOS_CUSTOM'!$BW$2:$BW$160","Menor","'DADOS_CUSTOM'!$CC$2:$CC$160","Arma","'DADOS_CUSTOM'!$CF$2:$CF$160","Escudo","'DADOS_CUSTOM'!$CM$2:$CM$160","Uniforme","'DADOS_CUSTOM'!$CJ$2:$CJ$160","Item comum","'DADOS_CUSTOM'!$CM$2:$CM$160","Ferramenta amaldiçoada","'DADOS_CUSTOM'!$CK$2:$CK$160","'DADOS_CUSTOM'!$CM$2:$CM$160"))&lt;&gt;"")),"")</f>
        <v/>
      </c>
      <c r="FR2" s="175">
        <f>IFERROR(UNIQUE(FILTER(INDIRECT(SWITCH('CONFIGURAÇÃO'!$AB$130,"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$130,"Origem","'DADOS_PROGRESSAO'!$AG$2:$AG$34","Marcante","'DADOS_CUSTOM'!$CM$2:$CM$160","Menor","'DADOS_CUSTOM'!$CL$2:$CL$160","Arma","'DADOS_CUSTOM'!$CG$2:$CG$160","Escudo","'DADOS_CUSTOM'!$CM$2:$CM$160","Uniforme","'DADOS_CUSTOM'!$CM$2:$CM$160","Item comum","'DADOS_CUSTOM'!$CM$2:$CM$160","Ferramenta amaldiçoada","'DADOS_CUSTOM'!$CJ$2:$CJ$160","'DADOS_CUSTOM'!$CM$2:$CM$160"))&lt;&gt;"")),"")</f>
        <v/>
      </c>
      <c r="FS2" s="175">
        <f>IFERROR(UNIQUE(FILTER(INDIRECT(SWITCH('CONFIGURAÇÃO'!$AB$130,"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$130,"Origem","'DADOS_PROGRESSAO'!$AG$2:$AG$34","Marcante","'DADOS_CUSTOM'!$CM$2:$CM$160","Menor","'DADOS_CUSTOM'!$CM$2:$CM$160","Arma","'DADOS_CUSTOM'!$CH$2:$CH$160","Escudo","'DADOS_CUSTOM'!$CM$2:$CM$160","Uniforme","'DADOS_CUSTOM'!$CM$2:$CM$160","Item comum","'DADOS_CUSTOM'!$CM$2:$CM$160","Ferramenta amaldiçoada","'DADOS_CUSTOM'!$CM$2:$CM$160","'DADOS_CUSTOM'!$CM$2:$CM$160"))&lt;&gt;"")),"")</f>
        <v/>
      </c>
      <c r="FT2" s="175">
        <f>IFERROR(UNIQUE(FILTER(INDIRECT(SWITCH('CONFIGURAÇÃO'!$AB$130,"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$130,"Origem","'DADOS_PROGRESSAO'!$AG$2:$AG$34","Marcante","'DADOS_CUSTOM'!$CM$2:$CM$160","Menor","'DADOS_CUSTOM'!$CM$2:$CM$160","Arma","'DADOS_CUSTOM'!$CI$2:$CI$160","Escudo","'DADOS_CUSTOM'!$CM$2:$CM$160","Uniforme","'DADOS_CUSTOM'!$CM$2:$CM$160","Item comum","'DADOS_CUSTOM'!$CM$2:$CM$160","Ferramenta amaldiçoada","'DADOS_CUSTOM'!$CM$2:$CM$160","'DADOS_CUSTOM'!$CM$2:$CM$160"))&lt;&gt;"")),"")</f>
        <v/>
      </c>
      <c r="FU2" s="175">
        <f>IFERROR(UNIQUE(FILTER(INDIRECT(SWITCH('CONFIGURAÇÃO'!$AB$130,"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$130,"Origem","'DADOS_CUSTOM'!$CB$2:$CB$160","Marcante","'DADOS_CUSTOM'!$CM$2:$CM$160","Menor","'DADOS_CUSTOM'!$CM$2:$CM$160","Arma","'DADOS_CUSTOM'!$CI$2:$CI$160","Escudo","'DADOS_CUSTOM'!$CM$2:$CM$160","Uniforme","'DADOS_CUSTOM'!$CM$2:$CM$160","Item comum","'DADOS_CUSTOM'!$CM$2:$CM$160","Ferramenta amaldiçoada","'DADOS_CUSTOM'!$CM$2:$CM$160","'DADOS_CUSTOM'!$CM$2:$CM$160"))&lt;&gt;"")),"")</f>
        <v/>
      </c>
      <c r="FV2" s="175">
        <f>IFERROR(UNIQUE(FILTER(INDIRECT(SWITCH('CONFIGURAÇÃO'!$AB$130,"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$130,"Origem","'DADOS_CUSTOM'!$CD$2:$CD$160","Marcante","'DADOS_CUSTOM'!$CM$2:$CM$160","Menor","'DADOS_CUSTOM'!$CM$2:$CM$160","Arma","'DADOS_CUSTOM'!$CI$2:$CI$160","Escudo","'DADOS_CUSTOM'!$CM$2:$CM$160","Uniforme","'DADOS_CUSTOM'!$CM$2:$CM$160","Item comum","'DADOS_CUSTOM'!$CM$2:$CM$160","Ferramenta amaldiçoada","'DADOS_CUSTOM'!$CM$2:$CM$160","'DADOS_CUSTOM'!$CM$2:$CM$160"))&lt;&gt;"")),"")</f>
        <v/>
      </c>
      <c r="FW2" s="175">
        <f>IFERROR(UNIQUE(FILTER(INDIRECT(SWITCH('CONFIGURAÇÃO'!$AB$130,"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$130,"Origem","'DADOS_PROGRESSAO'!$AJ$2:$AJ$23","Marcante","'DADOS_CUSTOM'!$CM$2:$CM$160","Menor","'DADOS_CUSTOM'!$CM$2:$CM$160","Arma","'DADOS_CUSTOM'!$CI$2:$CI$160","Escudo","'DADOS_CUSTOM'!$CM$2:$CM$160","Uniforme","'DADOS_CUSTOM'!$CM$2:$CM$160","Item comum","'DADOS_CUSTOM'!$CM$2:$CM$160","Ferramenta amaldiçoada","'DADOS_CUSTOM'!$CM$2:$CM$160","'DADOS_CUSTOM'!$CM$2:$CM$160"))&lt;&gt;"")),"")</f>
        <v/>
      </c>
      <c r="FX2" s="175">
        <f>IFERROR(UNIQUE(FILTER(INDIRECT(SWITCH('CONFIGURAÇÃO'!$T$159,"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$159,"Origem","'DADOS_PROGRESSAO'!$AG$2:$AG$34","Marcante","'DADOS_CUSTOM'!$BW$2:$BW$160","Menor","'DADOS_CUSTOM'!$CC$2:$CC$160","Arma","'DADOS_CUSTOM'!$CF$2:$CF$160","Escudo","'DADOS_CUSTOM'!$CM$2:$CM$160","Uniforme","'DADOS_CUSTOM'!$CJ$2:$CJ$160","Item comum","'DADOS_CUSTOM'!$CM$2:$CM$160","Ferramenta amaldiçoada","'DADOS_CUSTOM'!$CK$2:$CK$160","'DADOS_CUSTOM'!$CM$2:$CM$160"))&lt;&gt;"")),"")</f>
        <v/>
      </c>
      <c r="FY2" s="175">
        <f>IFERROR(UNIQUE(FILTER(INDIRECT(SWITCH('CONFIGURAÇÃO'!$T$159,"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$159,"Origem","'DADOS_PROGRESSAO'!$AG$2:$AG$34","Marcante","'DADOS_CUSTOM'!$CM$2:$CM$160","Menor","'DADOS_CUSTOM'!$CL$2:$CL$160","Arma","'DADOS_CUSTOM'!$CG$2:$CG$160","Escudo","'DADOS_CUSTOM'!$CM$2:$CM$160","Uniforme","'DADOS_CUSTOM'!$CM$2:$CM$160","Item comum","'DADOS_CUSTOM'!$CM$2:$CM$160","Ferramenta amaldiçoada","'DADOS_CUSTOM'!$CJ$2:$CJ$160","'DADOS_CUSTOM'!$CM$2:$CM$160"))&lt;&gt;"")),"")</f>
        <v/>
      </c>
      <c r="FZ2" s="175">
        <f>IFERROR(UNIQUE(FILTER(INDIRECT(SWITCH('CONFIGURAÇÃO'!$T$159,"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$159,"Origem","'DADOS_PROGRESSAO'!$AG$2:$AG$34","Marcante","'DADOS_CUSTOM'!$CM$2:$CM$160","Menor","'DADOS_CUSTOM'!$CM$2:$CM$160","Arma","'DADOS_CUSTOM'!$CH$2:$CH$160","Escudo","'DADOS_CUSTOM'!$CM$2:$CM$160","Uniforme","'DADOS_CUSTOM'!$CM$2:$CM$160","Item comum","'DADOS_CUSTOM'!$CM$2:$CM$160","Ferramenta amaldiçoada","'DADOS_CUSTOM'!$CM$2:$CM$160","'DADOS_CUSTOM'!$CM$2:$CM$160"))&lt;&gt;"")),"")</f>
        <v/>
      </c>
      <c r="GA2" s="175">
        <f>IFERROR(UNIQUE(FILTER(INDIRECT(SWITCH('CONFIGURAÇÃO'!$T$159,"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$159,"Origem","'DADOS_PROGRESSAO'!$AG$2:$AG$34","Marcante","'DADOS_CUSTOM'!$CM$2:$CM$160","Menor","'DADOS_CUSTOM'!$CM$2:$CM$160","Arma","'DADOS_CUSTOM'!$CI$2:$CI$160","Escudo","'DADOS_CUSTOM'!$CM$2:$CM$160","Uniforme","'DADOS_CUSTOM'!$CM$2:$CM$160","Item comum","'DADOS_CUSTOM'!$CM$2:$CM$160","Ferramenta amaldiçoada","'DADOS_CUSTOM'!$CM$2:$CM$160","'DADOS_CUSTOM'!$CM$2:$CM$160"))&lt;&gt;"")),"")</f>
        <v/>
      </c>
      <c r="GB2" s="175">
        <f>IFERROR(UNIQUE(FILTER(INDIRECT(SWITCH('CONFIGURAÇÃO'!$T$159,"Origem","'DADOS_CUSTOM'!$CB$2:$CB$160","Marcante","'DADOS_CUSTOM'!$CM$2:$CM$160","Menor","'DADOS_CUSTOM'!$CM$2:$CM$160","Arma","'DADOS_CUSTOM'!$CI$2:$CI$160","Escudo","'DADOS_CUSTOM'!$CM$2:$CM$160","Uniforme","'DADOS_CUSTOM'!$CM$2:$CM$160","Item comum","'DADOS_CUSTOM'!$CM$2:$CM$160","Ferramenta amaldiçoada","'DADOS_CUSTOM'!$CM$2:$CM$160","'DADOS_CUSTOM'!$CM$2:$CM$160")),INDIRECT(SWITCH('CONFIGURAÇÃO'!$T$159,"Origem","'DADOS_CUSTOM'!$CB$2:$CB$160","Marcante","'DADOS_CUSTOM'!$CM$2:$CM$160","Menor","'DADOS_CUSTOM'!$CM$2:$CM$160","Arma","'DADOS_CUSTOM'!$CI$2:$CI$160","Escudo","'DADOS_CUSTOM'!$CM$2:$CM$160","Uniforme","'DADOS_CUSTOM'!$CM$2:$CM$160","Item comum","'DADOS_CUSTOM'!$CM$2:$CM$160","Ferramenta amaldiçoada","'DADOS_CUSTOM'!$CM$2:$CM$160","'DADOS_CUSTOM'!$CM$2:$CM$160"))&lt;&gt;"")),"")</f>
        <v/>
      </c>
      <c r="GC2" s="175">
        <f>IFERROR(UNIQUE(FILTER(INDIRECT(SWITCH('CONFIGURAÇÃO'!$T$159,"Origem","'DADOS_CUSTOM'!$CD$2:$CD$160","Marcante","'DADOS_CUSTOM'!$CM$2:$CM$160","Menor","'DADOS_CUSTOM'!$CM$2:$CM$160","Arma","'DADOS_CUSTOM'!$CI$2:$CI$160","Escudo","'DADOS_CUSTOM'!$CM$2:$CM$160","Uniforme","'DADOS_CUSTOM'!$CM$2:$CM$160","Item comum","'DADOS_CUSTOM'!$CM$2:$CM$160","Ferramenta amaldiçoada","'DADOS_CUSTOM'!$CM$2:$CM$160","'DADOS_CUSTOM'!$CM$2:$CM$160")),INDIRECT(SWITCH('CONFIGURAÇÃO'!$T$159,"Origem","'DADOS_CUSTOM'!$CD$2:$CD$160","Marcante","'DADOS_CUSTOM'!$CM$2:$CM$160","Menor","'DADOS_CUSTOM'!$CM$2:$CM$160","Arma","'DADOS_CUSTOM'!$CI$2:$CI$160","Escudo","'DADOS_CUSTOM'!$CM$2:$CM$160","Uniforme","'DADOS_CUSTOM'!$CM$2:$CM$160","Item comum","'DADOS_CUSTOM'!$CM$2:$CM$160","Ferramenta amaldiçoada","'DADOS_CUSTOM'!$CM$2:$CM$160","'DADOS_CUSTOM'!$CM$2:$CM$160"))&lt;&gt;"")),"")</f>
        <v/>
      </c>
      <c r="GD2" s="175">
        <f>IFERROR(UNIQUE(FILTER(INDIRECT(SWITCH('CONFIGURAÇÃO'!$T$159,"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$159,"Origem","'DADOS_PROGRESSAO'!$AJ$2:$AJ$23","Marcante","'DADOS_CUSTOM'!$CM$2:$CM$160","Menor","'DADOS_CUSTOM'!$CM$2:$CM$160","Arma","'DADOS_CUSTOM'!$CI$2:$CI$160","Escudo","'DADOS_CUSTOM'!$CM$2:$CM$160","Uniforme","'DADOS_CUSTOM'!$CM$2:$CM$160","Item comum","'DADOS_CUSTOM'!$CM$2:$CM$160","Ferramenta amaldiçoada","'DADOS_CUSTOM'!$CM$2:$CM$160","'DADOS_CUSTOM'!$CM$2:$CM$160"))&lt;&gt;"")),"")</f>
        <v/>
      </c>
      <c r="GE2" s="175">
        <f>IFERROR(UNIQUE(FILTER(INDIRECT(SWITCH('CONFIGURAÇÃO'!$AB$159,"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$159,"Origem","'DADOS_PROGRESSAO'!$AG$2:$AG$34","Marcante","'DADOS_CUSTOM'!$BW$2:$BW$160","Menor","'DADOS_CUSTOM'!$CC$2:$CC$160","Arma","'DADOS_CUSTOM'!$CF$2:$CF$160","Escudo","'DADOS_CUSTOM'!$CM$2:$CM$160","Uniforme","'DADOS_CUSTOM'!$CJ$2:$CJ$160","Item comum","'DADOS_CUSTOM'!$CM$2:$CM$160","Ferramenta amaldiçoada","'DADOS_CUSTOM'!$CK$2:$CK$160","'DADOS_CUSTOM'!$CM$2:$CM$160"))&lt;&gt;"")),"")</f>
        <v/>
      </c>
      <c r="GF2" s="175">
        <f>IFERROR(UNIQUE(FILTER(INDIRECT(SWITCH('CONFIGURAÇÃO'!$AB$159,"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$159,"Origem","'DADOS_PROGRESSAO'!$AG$2:$AG$34","Marcante","'DADOS_CUSTOM'!$CM$2:$CM$160","Menor","'DADOS_CUSTOM'!$CL$2:$CL$160","Arma","'DADOS_CUSTOM'!$CG$2:$CG$160","Escudo","'DADOS_CUSTOM'!$CM$2:$CM$160","Uniforme","'DADOS_CUSTOM'!$CM$2:$CM$160","Item comum","'DADOS_CUSTOM'!$CM$2:$CM$160","Ferramenta amaldiçoada","'DADOS_CUSTOM'!$CJ$2:$CJ$160","'DADOS_CUSTOM'!$CM$2:$CM$160"))&lt;&gt;"")),"")</f>
        <v/>
      </c>
      <c r="GG2" s="175">
        <f>IFERROR(UNIQUE(FILTER(INDIRECT(SWITCH('CONFIGURAÇÃO'!$AB$159,"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$159,"Origem","'DADOS_PROGRESSAO'!$AG$2:$AG$34","Marcante","'DADOS_CUSTOM'!$CM$2:$CM$160","Menor","'DADOS_CUSTOM'!$CM$2:$CM$160","Arma","'DADOS_CUSTOM'!$CH$2:$CH$160","Escudo","'DADOS_CUSTOM'!$CM$2:$CM$160","Uniforme","'DADOS_CUSTOM'!$CM$2:$CM$160","Item comum","'DADOS_CUSTOM'!$CM$2:$CM$160","Ferramenta amaldiçoada","'DADOS_CUSTOM'!$CM$2:$CM$160","'DADOS_CUSTOM'!$CM$2:$CM$160"))&lt;&gt;"")),"")</f>
        <v/>
      </c>
      <c r="GH2" s="175">
        <f>IFERROR(UNIQUE(FILTER(INDIRECT(SWITCH('CONFIGURAÇÃO'!$AB$159,"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$159,"Origem","'DADOS_PROGRESSAO'!$AG$2:$AG$34","Marcante","'DADOS_CUSTOM'!$CM$2:$CM$160","Menor","'DADOS_CUSTOM'!$CM$2:$CM$160","Arma","'DADOS_CUSTOM'!$CI$2:$CI$160","Escudo","'DADOS_CUSTOM'!$CM$2:$CM$160","Uniforme","'DADOS_CUSTOM'!$CM$2:$CM$160","Item comum","'DADOS_CUSTOM'!$CM$2:$CM$160","Ferramenta amaldiçoada","'DADOS_CUSTOM'!$CM$2:$CM$160","'DADOS_CUSTOM'!$CM$2:$CM$160"))&lt;&gt;"")),"")</f>
        <v/>
      </c>
      <c r="GI2" s="175">
        <f>IFERROR(UNIQUE(FILTER(INDIRECT(SWITCH('CONFIGURAÇÃO'!$AB$159,"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$159,"Origem","'DADOS_CUSTOM'!$CB$2:$CB$160","Marcante","'DADOS_CUSTOM'!$CM$2:$CM$160","Menor","'DADOS_CUSTOM'!$CM$2:$CM$160","Arma","'DADOS_CUSTOM'!$CI$2:$CI$160","Escudo","'DADOS_CUSTOM'!$CM$2:$CM$160","Uniforme","'DADOS_CUSTOM'!$CM$2:$CM$160","Item comum","'DADOS_CUSTOM'!$CM$2:$CM$160","Ferramenta amaldiçoada","'DADOS_CUSTOM'!$CM$2:$CM$160","'DADOS_CUSTOM'!$CM$2:$CM$160"))&lt;&gt;"")),"")</f>
        <v/>
      </c>
      <c r="GJ2" s="175">
        <f>IFERROR(UNIQUE(FILTER(INDIRECT(SWITCH('CONFIGURAÇÃO'!$AB$159,"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$159,"Origem","'DADOS_CUSTOM'!$CD$2:$CD$160","Marcante","'DADOS_CUSTOM'!$CM$2:$CM$160","Menor","'DADOS_CUSTOM'!$CM$2:$CM$160","Arma","'DADOS_CUSTOM'!$CI$2:$CI$160","Escudo","'DADOS_CUSTOM'!$CM$2:$CM$160","Uniforme","'DADOS_CUSTOM'!$CM$2:$CM$160","Item comum","'DADOS_CUSTOM'!$CM$2:$CM$160","Ferramenta amaldiçoada","'DADOS_CUSTOM'!$CM$2:$CM$160","'DADOS_CUSTOM'!$CM$2:$CM$160"))&lt;&gt;"")),"")</f>
        <v/>
      </c>
      <c r="GK2" s="175">
        <f>IFERROR(UNIQUE(FILTER(INDIRECT(SWITCH('CONFIGURAÇÃO'!$AB$159,"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$159,"Origem","'DADOS_PROGRESSAO'!$AJ$2:$AJ$23","Marcante","'DADOS_CUSTOM'!$CM$2:$CM$160","Menor","'DADOS_CUSTOM'!$CM$2:$CM$160","Arma","'DADOS_CUSTOM'!$CI$2:$CI$160","Escudo","'DADOS_CUSTOM'!$CM$2:$CM$160","Uniforme","'DADOS_CUSTOM'!$CM$2:$CM$160","Item comum","'DADOS_CUSTOM'!$CM$2:$CM$160","Ferramenta amaldiçoada","'DADOS_CUSTOM'!$CM$2:$CM$160","'DADOS_CUSTOM'!$CM$2:$CM$160"))&lt;&gt;"")),"")</f>
        <v/>
      </c>
      <c r="GL2" s="175">
        <f>IFERROR(UNIQUE(FILTER(INDIRECT(SWITCH('CONFIGURAÇÃO'!$T$188,"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$188,"Origem","'DADOS_PROGRESSAO'!$AG$2:$AG$34","Marcante","'DADOS_CUSTOM'!$BW$2:$BW$160","Menor","'DADOS_CUSTOM'!$CC$2:$CC$160","Arma","'DADOS_CUSTOM'!$CF$2:$CF$160","Escudo","'DADOS_CUSTOM'!$CM$2:$CM$160","Uniforme","'DADOS_CUSTOM'!$CJ$2:$CJ$160","Item comum","'DADOS_CUSTOM'!$CM$2:$CM$160","Ferramenta amaldiçoada","'DADOS_CUSTOM'!$CK$2:$CK$160","'DADOS_CUSTOM'!$CM$2:$CM$160"))&lt;&gt;"")),"")</f>
        <v/>
      </c>
      <c r="GM2" s="175">
        <f>IFERROR(UNIQUE(FILTER(INDIRECT(SWITCH('CONFIGURAÇÃO'!$T$188,"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$188,"Origem","'DADOS_PROGRESSAO'!$AG$2:$AG$34","Marcante","'DADOS_CUSTOM'!$CM$2:$CM$160","Menor","'DADOS_CUSTOM'!$CL$2:$CL$160","Arma","'DADOS_CUSTOM'!$CG$2:$CG$160","Escudo","'DADOS_CUSTOM'!$CM$2:$CM$160","Uniforme","'DADOS_CUSTOM'!$CM$2:$CM$160","Item comum","'DADOS_CUSTOM'!$CM$2:$CM$160","Ferramenta amaldiçoada","'DADOS_CUSTOM'!$CJ$2:$CJ$160","'DADOS_CUSTOM'!$CM$2:$CM$160"))&lt;&gt;"")),"")</f>
        <v/>
      </c>
      <c r="GN2" s="175">
        <f>IFERROR(UNIQUE(FILTER(INDIRECT(SWITCH('CONFIGURAÇÃO'!$T$188,"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$188,"Origem","'DADOS_PROGRESSAO'!$AG$2:$AG$34","Marcante","'DADOS_CUSTOM'!$CM$2:$CM$160","Menor","'DADOS_CUSTOM'!$CM$2:$CM$160","Arma","'DADOS_CUSTOM'!$CH$2:$CH$160","Escudo","'DADOS_CUSTOM'!$CM$2:$CM$160","Uniforme","'DADOS_CUSTOM'!$CM$2:$CM$160","Item comum","'DADOS_CUSTOM'!$CM$2:$CM$160","Ferramenta amaldiçoada","'DADOS_CUSTOM'!$CM$2:$CM$160","'DADOS_CUSTOM'!$CM$2:$CM$160"))&lt;&gt;"")),"")</f>
        <v/>
      </c>
      <c r="GO2" s="175">
        <f>IFERROR(UNIQUE(FILTER(INDIRECT(SWITCH('CONFIGURAÇÃO'!$T$188,"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$188,"Origem","'DADOS_PROGRESSAO'!$AG$2:$AG$34","Marcante","'DADOS_CUSTOM'!$CM$2:$CM$160","Menor","'DADOS_CUSTOM'!$CM$2:$CM$160","Arma","'DADOS_CUSTOM'!$CI$2:$CI$160","Escudo","'DADOS_CUSTOM'!$CM$2:$CM$160","Uniforme","'DADOS_CUSTOM'!$CM$2:$CM$160","Item comum","'DADOS_CUSTOM'!$CM$2:$CM$160","Ferramenta amaldiçoada","'DADOS_CUSTOM'!$CM$2:$CM$160","'DADOS_CUSTOM'!$CM$2:$CM$160"))&lt;&gt;"")),"")</f>
        <v/>
      </c>
      <c r="GP2" s="175">
        <f>IFERROR(UNIQUE(FILTER(INDIRECT(SWITCH('CONFIGURAÇÃO'!$T$188,"Origem","'DADOS_CUSTOM'!$CB$2:$CB$160","Marcante","'DADOS_CUSTOM'!$CM$2:$CM$160","Menor","'DADOS_CUSTOM'!$CM$2:$CM$160","Arma","'DADOS_CUSTOM'!$CI$2:$CI$160","Escudo","'DADOS_CUSTOM'!$CM$2:$CM$160","Uniforme","'DADOS_CUSTOM'!$CM$2:$CM$160","Item comum","'DADOS_CUSTOM'!$CM$2:$CM$160","Ferramenta amaldiçoada","'DADOS_CUSTOM'!$CM$2:$CM$160","'DADOS_CUSTOM'!$CM$2:$CM$160")),INDIRECT(SWITCH('CONFIGURAÇÃO'!$T$188,"Origem","'DADOS_CUSTOM'!$CB$2:$CB$160","Marcante","'DADOS_CUSTOM'!$CM$2:$CM$160","Menor","'DADOS_CUSTOM'!$CM$2:$CM$160","Arma","'DADOS_CUSTOM'!$CI$2:$CI$160","Escudo","'DADOS_CUSTOM'!$CM$2:$CM$160","Uniforme","'DADOS_CUSTOM'!$CM$2:$CM$160","Item comum","'DADOS_CUSTOM'!$CM$2:$CM$160","Ferramenta amaldiçoada","'DADOS_CUSTOM'!$CM$2:$CM$160","'DADOS_CUSTOM'!$CM$2:$CM$160"))&lt;&gt;"")),"")</f>
        <v/>
      </c>
      <c r="GQ2" s="175">
        <f>IFERROR(UNIQUE(FILTER(INDIRECT(SWITCH('CONFIGURAÇÃO'!$T$188,"Origem","'DADOS_CUSTOM'!$CD$2:$CD$160","Marcante","'DADOS_CUSTOM'!$CM$2:$CM$160","Menor","'DADOS_CUSTOM'!$CM$2:$CM$160","Arma","'DADOS_CUSTOM'!$CI$2:$CI$160","Escudo","'DADOS_CUSTOM'!$CM$2:$CM$160","Uniforme","'DADOS_CUSTOM'!$CM$2:$CM$160","Item comum","'DADOS_CUSTOM'!$CM$2:$CM$160","Ferramenta amaldiçoada","'DADOS_CUSTOM'!$CM$2:$CM$160","'DADOS_CUSTOM'!$CM$2:$CM$160")),INDIRECT(SWITCH('CONFIGURAÇÃO'!$T$188,"Origem","'DADOS_CUSTOM'!$CD$2:$CD$160","Marcante","'DADOS_CUSTOM'!$CM$2:$CM$160","Menor","'DADOS_CUSTOM'!$CM$2:$CM$160","Arma","'DADOS_CUSTOM'!$CI$2:$CI$160","Escudo","'DADOS_CUSTOM'!$CM$2:$CM$160","Uniforme","'DADOS_CUSTOM'!$CM$2:$CM$160","Item comum","'DADOS_CUSTOM'!$CM$2:$CM$160","Ferramenta amaldiçoada","'DADOS_CUSTOM'!$CM$2:$CM$160","'DADOS_CUSTOM'!$CM$2:$CM$160"))&lt;&gt;"")),"")</f>
        <v/>
      </c>
      <c r="GR2" s="175">
        <f>IFERROR(UNIQUE(FILTER(INDIRECT(SWITCH('CONFIGURAÇÃO'!$T$188,"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$188,"Origem","'DADOS_PROGRESSAO'!$AJ$2:$AJ$23","Marcante","'DADOS_CUSTOM'!$CM$2:$CM$160","Menor","'DADOS_CUSTOM'!$CM$2:$CM$160","Arma","'DADOS_CUSTOM'!$CI$2:$CI$160","Escudo","'DADOS_CUSTOM'!$CM$2:$CM$160","Uniforme","'DADOS_CUSTOM'!$CM$2:$CM$160","Item comum","'DADOS_CUSTOM'!$CM$2:$CM$160","Ferramenta amaldiçoada","'DADOS_CUSTOM'!$CM$2:$CM$160","'DADOS_CUSTOM'!$CM$2:$CM$160"))&lt;&gt;"")),"")</f>
        <v/>
      </c>
      <c r="GS2" s="175">
        <f>IFERROR(UNIQUE(FILTER(INDIRECT(SWITCH('CONFIGURAÇÃO'!$AB$188,"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$188,"Origem","'DADOS_PROGRESSAO'!$AG$2:$AG$34","Marcante","'DADOS_CUSTOM'!$BW$2:$BW$160","Menor","'DADOS_CUSTOM'!$CC$2:$CC$160","Arma","'DADOS_CUSTOM'!$CF$2:$CF$160","Escudo","'DADOS_CUSTOM'!$CM$2:$CM$160","Uniforme","'DADOS_CUSTOM'!$CJ$2:$CJ$160","Item comum","'DADOS_CUSTOM'!$CM$2:$CM$160","Ferramenta amaldiçoada","'DADOS_CUSTOM'!$CK$2:$CK$160","'DADOS_CUSTOM'!$CM$2:$CM$160"))&lt;&gt;"")),"")</f>
        <v/>
      </c>
      <c r="GT2" s="175">
        <f>IFERROR(UNIQUE(FILTER(INDIRECT(SWITCH('CONFIGURAÇÃO'!$AB$188,"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$188,"Origem","'DADOS_PROGRESSAO'!$AG$2:$AG$34","Marcante","'DADOS_CUSTOM'!$CM$2:$CM$160","Menor","'DADOS_CUSTOM'!$CL$2:$CL$160","Arma","'DADOS_CUSTOM'!$CG$2:$CG$160","Escudo","'DADOS_CUSTOM'!$CM$2:$CM$160","Uniforme","'DADOS_CUSTOM'!$CM$2:$CM$160","Item comum","'DADOS_CUSTOM'!$CM$2:$CM$160","Ferramenta amaldiçoada","'DADOS_CUSTOM'!$CJ$2:$CJ$160","'DADOS_CUSTOM'!$CM$2:$CM$160"))&lt;&gt;"")),"")</f>
        <v/>
      </c>
      <c r="GU2" s="175">
        <f>IFERROR(UNIQUE(FILTER(INDIRECT(SWITCH('CONFIGURAÇÃO'!$AB$188,"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$188,"Origem","'DADOS_PROGRESSAO'!$AG$2:$AG$34","Marcante","'DADOS_CUSTOM'!$CM$2:$CM$160","Menor","'DADOS_CUSTOM'!$CM$2:$CM$160","Arma","'DADOS_CUSTOM'!$CH$2:$CH$160","Escudo","'DADOS_CUSTOM'!$CM$2:$CM$160","Uniforme","'DADOS_CUSTOM'!$CM$2:$CM$160","Item comum","'DADOS_CUSTOM'!$CM$2:$CM$160","Ferramenta amaldiçoada","'DADOS_CUSTOM'!$CM$2:$CM$160","'DADOS_CUSTOM'!$CM$2:$CM$160"))&lt;&gt;"")),"")</f>
        <v/>
      </c>
      <c r="GV2" s="175">
        <f>IFERROR(UNIQUE(FILTER(INDIRECT(SWITCH('CONFIGURAÇÃO'!$AB$188,"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$188,"Origem","'DADOS_PROGRESSAO'!$AG$2:$AG$34","Marcante","'DADOS_CUSTOM'!$CM$2:$CM$160","Menor","'DADOS_CUSTOM'!$CM$2:$CM$160","Arma","'DADOS_CUSTOM'!$CI$2:$CI$160","Escudo","'DADOS_CUSTOM'!$CM$2:$CM$160","Uniforme","'DADOS_CUSTOM'!$CM$2:$CM$160","Item comum","'DADOS_CUSTOM'!$CM$2:$CM$160","Ferramenta amaldiçoada","'DADOS_CUSTOM'!$CM$2:$CM$160","'DADOS_CUSTOM'!$CM$2:$CM$160"))&lt;&gt;"")),"")</f>
        <v/>
      </c>
      <c r="GW2" s="175">
        <f>IFERROR(UNIQUE(FILTER(INDIRECT(SWITCH('CONFIGURAÇÃO'!$AB$188,"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$188,"Origem","'DADOS_CUSTOM'!$CB$2:$CB$160","Marcante","'DADOS_CUSTOM'!$CM$2:$CM$160","Menor","'DADOS_CUSTOM'!$CM$2:$CM$160","Arma","'DADOS_CUSTOM'!$CI$2:$CI$160","Escudo","'DADOS_CUSTOM'!$CM$2:$CM$160","Uniforme","'DADOS_CUSTOM'!$CM$2:$CM$160","Item comum","'DADOS_CUSTOM'!$CM$2:$CM$160","Ferramenta amaldiçoada","'DADOS_CUSTOM'!$CM$2:$CM$160","'DADOS_CUSTOM'!$CM$2:$CM$160"))&lt;&gt;"")),"")</f>
        <v/>
      </c>
      <c r="GX2" s="175">
        <f>IFERROR(UNIQUE(FILTER(INDIRECT(SWITCH('CONFIGURAÇÃO'!$AB$188,"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$188,"Origem","'DADOS_CUSTOM'!$CD$2:$CD$160","Marcante","'DADOS_CUSTOM'!$CM$2:$CM$160","Menor","'DADOS_CUSTOM'!$CM$2:$CM$160","Arma","'DADOS_CUSTOM'!$CI$2:$CI$160","Escudo","'DADOS_CUSTOM'!$CM$2:$CM$160","Uniforme","'DADOS_CUSTOM'!$CM$2:$CM$160","Item comum","'DADOS_CUSTOM'!$CM$2:$CM$160","Ferramenta amaldiçoada","'DADOS_CUSTOM'!$CM$2:$CM$160","'DADOS_CUSTOM'!$CM$2:$CM$160"))&lt;&gt;"")),"")</f>
        <v/>
      </c>
      <c r="GY2" s="175">
        <f>IFERROR(UNIQUE(FILTER(INDIRECT(SWITCH('CONFIGURAÇÃO'!$AB$188,"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$188,"Origem","'DADOS_PROGRESSAO'!$AJ$2:$AJ$23","Marcante","'DADOS_CUSTOM'!$CM$2:$CM$160","Menor","'DADOS_CUSTOM'!$CM$2:$CM$160","Arma","'DADOS_CUSTOM'!$CI$2:$CI$160","Escudo","'DADOS_CUSTOM'!$CM$2:$CM$160","Uniforme","'DADOS_CUSTOM'!$CM$2:$CM$160","Item comum","'DADOS_CUSTOM'!$CM$2:$CM$160","Ferramenta amaldiçoada","'DADOS_CUSTOM'!$CM$2:$CM$160","'DADOS_CUSTOM'!$CM$2:$CM$160"))&lt;&gt;"")),"")</f>
        <v/>
      </c>
      <c r="GZ2" s="175">
        <f>IFERROR(UNIQUE(FILTER(INDIRECT(SWITCH('CONFIGURAÇÃO'!$T$217,"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$217,"Origem","'DADOS_PROGRESSAO'!$AG$2:$AG$34","Marcante","'DADOS_CUSTOM'!$BW$2:$BW$160","Menor","'DADOS_CUSTOM'!$CC$2:$CC$160","Arma","'DADOS_CUSTOM'!$CF$2:$CF$160","Escudo","'DADOS_CUSTOM'!$CM$2:$CM$160","Uniforme","'DADOS_CUSTOM'!$CJ$2:$CJ$160","Item comum","'DADOS_CUSTOM'!$CM$2:$CM$160","Ferramenta amaldiçoada","'DADOS_CUSTOM'!$CK$2:$CK$160","'DADOS_CUSTOM'!$CM$2:$CM$160"))&lt;&gt;"")),"")</f>
        <v/>
      </c>
      <c r="HA2" s="175">
        <f>IFERROR(UNIQUE(FILTER(INDIRECT(SWITCH('CONFIGURAÇÃO'!$T$217,"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$217,"Origem","'DADOS_PROGRESSAO'!$AG$2:$AG$34","Marcante","'DADOS_CUSTOM'!$CM$2:$CM$160","Menor","'DADOS_CUSTOM'!$CL$2:$CL$160","Arma","'DADOS_CUSTOM'!$CG$2:$CG$160","Escudo","'DADOS_CUSTOM'!$CM$2:$CM$160","Uniforme","'DADOS_CUSTOM'!$CM$2:$CM$160","Item comum","'DADOS_CUSTOM'!$CM$2:$CM$160","Ferramenta amaldiçoada","'DADOS_CUSTOM'!$CJ$2:$CJ$160","'DADOS_CUSTOM'!$CM$2:$CM$160"))&lt;&gt;"")),"")</f>
        <v/>
      </c>
      <c r="HB2" s="175">
        <f>IFERROR(UNIQUE(FILTER(INDIRECT(SWITCH('CONFIGURAÇÃO'!$T$217,"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$217,"Origem","'DADOS_PROGRESSAO'!$AG$2:$AG$34","Marcante","'DADOS_CUSTOM'!$CM$2:$CM$160","Menor","'DADOS_CUSTOM'!$CM$2:$CM$160","Arma","'DADOS_CUSTOM'!$CH$2:$CH$160","Escudo","'DADOS_CUSTOM'!$CM$2:$CM$160","Uniforme","'DADOS_CUSTOM'!$CM$2:$CM$160","Item comum","'DADOS_CUSTOM'!$CM$2:$CM$160","Ferramenta amaldiçoada","'DADOS_CUSTOM'!$CM$2:$CM$160","'DADOS_CUSTOM'!$CM$2:$CM$160"))&lt;&gt;"")),"")</f>
        <v/>
      </c>
      <c r="HC2" s="175">
        <f>IFERROR(UNIQUE(FILTER(INDIRECT(SWITCH('CONFIGURAÇÃO'!$T$217,"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$217,"Origem","'DADOS_PROGRESSAO'!$AG$2:$AG$34","Marcante","'DADOS_CUSTOM'!$CM$2:$CM$160","Menor","'DADOS_CUSTOM'!$CM$2:$CM$160","Arma","'DADOS_CUSTOM'!$CI$2:$CI$160","Escudo","'DADOS_CUSTOM'!$CM$2:$CM$160","Uniforme","'DADOS_CUSTOM'!$CM$2:$CM$160","Item comum","'DADOS_CUSTOM'!$CM$2:$CM$160","Ferramenta amaldiçoada","'DADOS_CUSTOM'!$CM$2:$CM$160","'DADOS_CUSTOM'!$CM$2:$CM$160"))&lt;&gt;"")),"")</f>
        <v/>
      </c>
      <c r="HD2" s="175">
        <f>IFERROR(UNIQUE(FILTER(INDIRECT(SWITCH('CONFIGURAÇÃO'!$T$217,"Origem","'DADOS_CUSTOM'!$CB$2:$CB$160","Marcante","'DADOS_CUSTOM'!$CM$2:$CM$160","Menor","'DADOS_CUSTOM'!$CM$2:$CM$160","Arma","'DADOS_CUSTOM'!$CI$2:$CI$160","Escudo","'DADOS_CUSTOM'!$CM$2:$CM$160","Uniforme","'DADOS_CUSTOM'!$CM$2:$CM$160","Item comum","'DADOS_CUSTOM'!$CM$2:$CM$160","Ferramenta amaldiçoada","'DADOS_CUSTOM'!$CM$2:$CM$160","'DADOS_CUSTOM'!$CM$2:$CM$160")),INDIRECT(SWITCH('CONFIGURAÇÃO'!$T$217,"Origem","'DADOS_CUSTOM'!$CB$2:$CB$160","Marcante","'DADOS_CUSTOM'!$CM$2:$CM$160","Menor","'DADOS_CUSTOM'!$CM$2:$CM$160","Arma","'DADOS_CUSTOM'!$CI$2:$CI$160","Escudo","'DADOS_CUSTOM'!$CM$2:$CM$160","Uniforme","'DADOS_CUSTOM'!$CM$2:$CM$160","Item comum","'DADOS_CUSTOM'!$CM$2:$CM$160","Ferramenta amaldiçoada","'DADOS_CUSTOM'!$CM$2:$CM$160","'DADOS_CUSTOM'!$CM$2:$CM$160"))&lt;&gt;"")),"")</f>
        <v/>
      </c>
      <c r="HE2" s="175">
        <f>IFERROR(UNIQUE(FILTER(INDIRECT(SWITCH('CONFIGURAÇÃO'!$T$217,"Origem","'DADOS_CUSTOM'!$CD$2:$CD$160","Marcante","'DADOS_CUSTOM'!$CM$2:$CM$160","Menor","'DADOS_CUSTOM'!$CM$2:$CM$160","Arma","'DADOS_CUSTOM'!$CI$2:$CI$160","Escudo","'DADOS_CUSTOM'!$CM$2:$CM$160","Uniforme","'DADOS_CUSTOM'!$CM$2:$CM$160","Item comum","'DADOS_CUSTOM'!$CM$2:$CM$160","Ferramenta amaldiçoada","'DADOS_CUSTOM'!$CM$2:$CM$160","'DADOS_CUSTOM'!$CM$2:$CM$160")),INDIRECT(SWITCH('CONFIGURAÇÃO'!$T$217,"Origem","'DADOS_CUSTOM'!$CD$2:$CD$160","Marcante","'DADOS_CUSTOM'!$CM$2:$CM$160","Menor","'DADOS_CUSTOM'!$CM$2:$CM$160","Arma","'DADOS_CUSTOM'!$CI$2:$CI$160","Escudo","'DADOS_CUSTOM'!$CM$2:$CM$160","Uniforme","'DADOS_CUSTOM'!$CM$2:$CM$160","Item comum","'DADOS_CUSTOM'!$CM$2:$CM$160","Ferramenta amaldiçoada","'DADOS_CUSTOM'!$CM$2:$CM$160","'DADOS_CUSTOM'!$CM$2:$CM$160"))&lt;&gt;"")),"")</f>
        <v/>
      </c>
      <c r="HF2" s="175">
        <f>IFERROR(UNIQUE(FILTER(INDIRECT(SWITCH('CONFIGURAÇÃO'!$T$217,"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$217,"Origem","'DADOS_PROGRESSAO'!$AJ$2:$AJ$23","Marcante","'DADOS_CUSTOM'!$CM$2:$CM$160","Menor","'DADOS_CUSTOM'!$CM$2:$CM$160","Arma","'DADOS_CUSTOM'!$CI$2:$CI$160","Escudo","'DADOS_CUSTOM'!$CM$2:$CM$160","Uniforme","'DADOS_CUSTOM'!$CM$2:$CM$160","Item comum","'DADOS_CUSTOM'!$CM$2:$CM$160","Ferramenta amaldiçoada","'DADOS_CUSTOM'!$CM$2:$CM$160","'DADOS_CUSTOM'!$CM$2:$CM$160"))&lt;&gt;"")),"")</f>
        <v/>
      </c>
      <c r="HG2" s="175">
        <f>IFERROR(UNIQUE(FILTER(INDIRECT(SWITCH('CONFIGURAÇÃO'!$AB$217,"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$217,"Origem","'DADOS_PROGRESSAO'!$AG$2:$AG$34","Marcante","'DADOS_CUSTOM'!$BW$2:$BW$160","Menor","'DADOS_CUSTOM'!$CC$2:$CC$160","Arma","'DADOS_CUSTOM'!$CF$2:$CF$160","Escudo","'DADOS_CUSTOM'!$CM$2:$CM$160","Uniforme","'DADOS_CUSTOM'!$CJ$2:$CJ$160","Item comum","'DADOS_CUSTOM'!$CM$2:$CM$160","Ferramenta amaldiçoada","'DADOS_CUSTOM'!$CK$2:$CK$160","'DADOS_CUSTOM'!$CM$2:$CM$160"))&lt;&gt;"")),"")</f>
        <v/>
      </c>
      <c r="HH2" s="175">
        <f>IFERROR(UNIQUE(FILTER(INDIRECT(SWITCH('CONFIGURAÇÃO'!$AB$217,"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$217,"Origem","'DADOS_PROGRESSAO'!$AG$2:$AG$34","Marcante","'DADOS_CUSTOM'!$CM$2:$CM$160","Menor","'DADOS_CUSTOM'!$CL$2:$CL$160","Arma","'DADOS_CUSTOM'!$CG$2:$CG$160","Escudo","'DADOS_CUSTOM'!$CM$2:$CM$160","Uniforme","'DADOS_CUSTOM'!$CM$2:$CM$160","Item comum","'DADOS_CUSTOM'!$CM$2:$CM$160","Ferramenta amaldiçoada","'DADOS_CUSTOM'!$CJ$2:$CJ$160","'DADOS_CUSTOM'!$CM$2:$CM$160"))&lt;&gt;"")),"")</f>
        <v/>
      </c>
      <c r="HI2" s="175">
        <f>IFERROR(UNIQUE(FILTER(INDIRECT(SWITCH('CONFIGURAÇÃO'!$AB$217,"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$217,"Origem","'DADOS_PROGRESSAO'!$AG$2:$AG$34","Marcante","'DADOS_CUSTOM'!$CM$2:$CM$160","Menor","'DADOS_CUSTOM'!$CM$2:$CM$160","Arma","'DADOS_CUSTOM'!$CH$2:$CH$160","Escudo","'DADOS_CUSTOM'!$CM$2:$CM$160","Uniforme","'DADOS_CUSTOM'!$CM$2:$CM$160","Item comum","'DADOS_CUSTOM'!$CM$2:$CM$160","Ferramenta amaldiçoada","'DADOS_CUSTOM'!$CM$2:$CM$160","'DADOS_CUSTOM'!$CM$2:$CM$160"))&lt;&gt;"")),"")</f>
        <v/>
      </c>
      <c r="HJ2" s="175">
        <f>IFERROR(UNIQUE(FILTER(INDIRECT(SWITCH('CONFIGURAÇÃO'!$AB$217,"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$217,"Origem","'DADOS_PROGRESSAO'!$AG$2:$AG$34","Marcante","'DADOS_CUSTOM'!$CM$2:$CM$160","Menor","'DADOS_CUSTOM'!$CM$2:$CM$160","Arma","'DADOS_CUSTOM'!$CI$2:$CI$160","Escudo","'DADOS_CUSTOM'!$CM$2:$CM$160","Uniforme","'DADOS_CUSTOM'!$CM$2:$CM$160","Item comum","'DADOS_CUSTOM'!$CM$2:$CM$160","Ferramenta amaldiçoada","'DADOS_CUSTOM'!$CM$2:$CM$160","'DADOS_CUSTOM'!$CM$2:$CM$160"))&lt;&gt;"")),"")</f>
        <v/>
      </c>
      <c r="HK2" s="175">
        <f>IFERROR(UNIQUE(FILTER(INDIRECT(SWITCH('CONFIGURAÇÃO'!$AB$217,"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$217,"Origem","'DADOS_CUSTOM'!$CB$2:$CB$160","Marcante","'DADOS_CUSTOM'!$CM$2:$CM$160","Menor","'DADOS_CUSTOM'!$CM$2:$CM$160","Arma","'DADOS_CUSTOM'!$CI$2:$CI$160","Escudo","'DADOS_CUSTOM'!$CM$2:$CM$160","Uniforme","'DADOS_CUSTOM'!$CM$2:$CM$160","Item comum","'DADOS_CUSTOM'!$CM$2:$CM$160","Ferramenta amaldiçoada","'DADOS_CUSTOM'!$CM$2:$CM$160","'DADOS_CUSTOM'!$CM$2:$CM$160"))&lt;&gt;"")),"")</f>
        <v/>
      </c>
      <c r="HL2" s="175">
        <f>IFERROR(UNIQUE(FILTER(INDIRECT(SWITCH('CONFIGURAÇÃO'!$AB$217,"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$217,"Origem","'DADOS_CUSTOM'!$CD$2:$CD$160","Marcante","'DADOS_CUSTOM'!$CM$2:$CM$160","Menor","'DADOS_CUSTOM'!$CM$2:$CM$160","Arma","'DADOS_CUSTOM'!$CI$2:$CI$160","Escudo","'DADOS_CUSTOM'!$CM$2:$CM$160","Uniforme","'DADOS_CUSTOM'!$CM$2:$CM$160","Item comum","'DADOS_CUSTOM'!$CM$2:$CM$160","Ferramenta amaldiçoada","'DADOS_CUSTOM'!$CM$2:$CM$160","'DADOS_CUSTOM'!$CM$2:$CM$160"))&lt;&gt;"")),"")</f>
        <v/>
      </c>
      <c r="HM2" s="175">
        <f>IFERROR(UNIQUE(FILTER(INDIRECT(SWITCH('CONFIGURAÇÃO'!$AB$217,"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$217,"Origem","'DADOS_PROGRESSAO'!$AJ$2:$AJ$23","Marcante","'DADOS_CUSTOM'!$CM$2:$CM$160","Menor","'DADOS_CUSTOM'!$CM$2:$CM$160","Arma","'DADOS_CUSTOM'!$CI$2:$CI$160","Escudo","'DADOS_CUSTOM'!$CM$2:$CM$160","Uniforme","'DADOS_CUSTOM'!$CM$2:$CM$160","Item comum","'DADOS_CUSTOM'!$CM$2:$CM$160","Ferramenta amaldiçoada","'DADOS_CUSTOM'!$CM$2:$CM$160","'DADOS_CUSTOM'!$CM$2:$CM$160"))&lt;&gt;"")),"")</f>
        <v/>
      </c>
      <c r="HN2" s="175">
        <f>IFERROR(UNIQUE(FILTER(INDIRECT(SWITCH('CONFIGURAÇÃO'!$T$246,"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$246,"Origem","'DADOS_PROGRESSAO'!$AG$2:$AG$34","Marcante","'DADOS_CUSTOM'!$BW$2:$BW$160","Menor","'DADOS_CUSTOM'!$CC$2:$CC$160","Arma","'DADOS_CUSTOM'!$CF$2:$CF$160","Escudo","'DADOS_CUSTOM'!$CM$2:$CM$160","Uniforme","'DADOS_CUSTOM'!$CJ$2:$CJ$160","Item comum","'DADOS_CUSTOM'!$CM$2:$CM$160","Ferramenta amaldiçoada","'DADOS_CUSTOM'!$CK$2:$CK$160","'DADOS_CUSTOM'!$CM$2:$CM$160"))&lt;&gt;"")),"")</f>
        <v/>
      </c>
      <c r="HO2" s="175">
        <f>IFERROR(UNIQUE(FILTER(INDIRECT(SWITCH('CONFIGURAÇÃO'!$T$246,"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$246,"Origem","'DADOS_PROGRESSAO'!$AG$2:$AG$34","Marcante","'DADOS_CUSTOM'!$CM$2:$CM$160","Menor","'DADOS_CUSTOM'!$CL$2:$CL$160","Arma","'DADOS_CUSTOM'!$CG$2:$CG$160","Escudo","'DADOS_CUSTOM'!$CM$2:$CM$160","Uniforme","'DADOS_CUSTOM'!$CM$2:$CM$160","Item comum","'DADOS_CUSTOM'!$CM$2:$CM$160","Ferramenta amaldiçoada","'DADOS_CUSTOM'!$CJ$2:$CJ$160","'DADOS_CUSTOM'!$CM$2:$CM$160"))&lt;&gt;"")),"")</f>
        <v/>
      </c>
      <c r="HP2" s="175">
        <f>IFERROR(UNIQUE(FILTER(INDIRECT(SWITCH('CONFIGURAÇÃO'!$T$246,"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$246,"Origem","'DADOS_PROGRESSAO'!$AG$2:$AG$34","Marcante","'DADOS_CUSTOM'!$CM$2:$CM$160","Menor","'DADOS_CUSTOM'!$CM$2:$CM$160","Arma","'DADOS_CUSTOM'!$CH$2:$CH$160","Escudo","'DADOS_CUSTOM'!$CM$2:$CM$160","Uniforme","'DADOS_CUSTOM'!$CM$2:$CM$160","Item comum","'DADOS_CUSTOM'!$CM$2:$CM$160","Ferramenta amaldiçoada","'DADOS_CUSTOM'!$CM$2:$CM$160","'DADOS_CUSTOM'!$CM$2:$CM$160"))&lt;&gt;"")),"")</f>
        <v/>
      </c>
      <c r="HQ2" s="175">
        <f>IFERROR(UNIQUE(FILTER(INDIRECT(SWITCH('CONFIGURAÇÃO'!$T$246,"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$246,"Origem","'DADOS_PROGRESSAO'!$AG$2:$AG$34","Marcante","'DADOS_CUSTOM'!$CM$2:$CM$160","Menor","'DADOS_CUSTOM'!$CM$2:$CM$160","Arma","'DADOS_CUSTOM'!$CI$2:$CI$160","Escudo","'DADOS_CUSTOM'!$CM$2:$CM$160","Uniforme","'DADOS_CUSTOM'!$CM$2:$CM$160","Item comum","'DADOS_CUSTOM'!$CM$2:$CM$160","Ferramenta amaldiçoada","'DADOS_CUSTOM'!$CM$2:$CM$160","'DADOS_CUSTOM'!$CM$2:$CM$160"))&lt;&gt;"")),"")</f>
        <v/>
      </c>
      <c r="HR2" s="175">
        <f>IFERROR(UNIQUE(FILTER(INDIRECT(SWITCH('CONFIGURAÇÃO'!$T$246,"Origem","'DADOS_CUSTOM'!$CB$2:$CB$160","Marcante","'DADOS_CUSTOM'!$CM$2:$CM$160","Menor","'DADOS_CUSTOM'!$CM$2:$CM$160","Arma","'DADOS_CUSTOM'!$CI$2:$CI$160","Escudo","'DADOS_CUSTOM'!$CM$2:$CM$160","Uniforme","'DADOS_CUSTOM'!$CM$2:$CM$160","Item comum","'DADOS_CUSTOM'!$CM$2:$CM$160","Ferramenta amaldiçoada","'DADOS_CUSTOM'!$CM$2:$CM$160","'DADOS_CUSTOM'!$CM$2:$CM$160")),INDIRECT(SWITCH('CONFIGURAÇÃO'!$T$246,"Origem","'DADOS_CUSTOM'!$CB$2:$CB$160","Marcante","'DADOS_CUSTOM'!$CM$2:$CM$160","Menor","'DADOS_CUSTOM'!$CM$2:$CM$160","Arma","'DADOS_CUSTOM'!$CI$2:$CI$160","Escudo","'DADOS_CUSTOM'!$CM$2:$CM$160","Uniforme","'DADOS_CUSTOM'!$CM$2:$CM$160","Item comum","'DADOS_CUSTOM'!$CM$2:$CM$160","Ferramenta amaldiçoada","'DADOS_CUSTOM'!$CM$2:$CM$160","'DADOS_CUSTOM'!$CM$2:$CM$160"))&lt;&gt;"")),"")</f>
        <v/>
      </c>
      <c r="HS2" s="175">
        <f>IFERROR(UNIQUE(FILTER(INDIRECT(SWITCH('CONFIGURAÇÃO'!$T$246,"Origem","'DADOS_CUSTOM'!$CD$2:$CD$160","Marcante","'DADOS_CUSTOM'!$CM$2:$CM$160","Menor","'DADOS_CUSTOM'!$CM$2:$CM$160","Arma","'DADOS_CUSTOM'!$CI$2:$CI$160","Escudo","'DADOS_CUSTOM'!$CM$2:$CM$160","Uniforme","'DADOS_CUSTOM'!$CM$2:$CM$160","Item comum","'DADOS_CUSTOM'!$CM$2:$CM$160","Ferramenta amaldiçoada","'DADOS_CUSTOM'!$CM$2:$CM$160","'DADOS_CUSTOM'!$CM$2:$CM$160")),INDIRECT(SWITCH('CONFIGURAÇÃO'!$T$246,"Origem","'DADOS_CUSTOM'!$CD$2:$CD$160","Marcante","'DADOS_CUSTOM'!$CM$2:$CM$160","Menor","'DADOS_CUSTOM'!$CM$2:$CM$160","Arma","'DADOS_CUSTOM'!$CI$2:$CI$160","Escudo","'DADOS_CUSTOM'!$CM$2:$CM$160","Uniforme","'DADOS_CUSTOM'!$CM$2:$CM$160","Item comum","'DADOS_CUSTOM'!$CM$2:$CM$160","Ferramenta amaldiçoada","'DADOS_CUSTOM'!$CM$2:$CM$160","'DADOS_CUSTOM'!$CM$2:$CM$160"))&lt;&gt;"")),"")</f>
        <v/>
      </c>
      <c r="HT2" s="175">
        <f>IFERROR(UNIQUE(FILTER(INDIRECT(SWITCH('CONFIGURAÇÃO'!$T$246,"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$246,"Origem","'DADOS_PROGRESSAO'!$AJ$2:$AJ$23","Marcante","'DADOS_CUSTOM'!$CM$2:$CM$160","Menor","'DADOS_CUSTOM'!$CM$2:$CM$160","Arma","'DADOS_CUSTOM'!$CI$2:$CI$160","Escudo","'DADOS_CUSTOM'!$CM$2:$CM$160","Uniforme","'DADOS_CUSTOM'!$CM$2:$CM$160","Item comum","'DADOS_CUSTOM'!$CM$2:$CM$160","Ferramenta amaldiçoada","'DADOS_CUSTOM'!$CM$2:$CM$160","'DADOS_CUSTOM'!$CM$2:$CM$160"))&lt;&gt;"")),"")</f>
        <v/>
      </c>
      <c r="HU2" s="175">
        <f>IFERROR(UNIQUE(FILTER(INDIRECT(SWITCH('CONFIGURAÇÃO'!$AB$246,"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$246,"Origem","'DADOS_PROGRESSAO'!$AG$2:$AG$34","Marcante","'DADOS_CUSTOM'!$BW$2:$BW$160","Menor","'DADOS_CUSTOM'!$CC$2:$CC$160","Arma","'DADOS_CUSTOM'!$CF$2:$CF$160","Escudo","'DADOS_CUSTOM'!$CM$2:$CM$160","Uniforme","'DADOS_CUSTOM'!$CJ$2:$CJ$160","Item comum","'DADOS_CUSTOM'!$CM$2:$CM$160","Ferramenta amaldiçoada","'DADOS_CUSTOM'!$CK$2:$CK$160","'DADOS_CUSTOM'!$CM$2:$CM$160"))&lt;&gt;"")),"")</f>
        <v/>
      </c>
      <c r="HV2" s="175">
        <f>IFERROR(UNIQUE(FILTER(INDIRECT(SWITCH('CONFIGURAÇÃO'!$AB$246,"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$246,"Origem","'DADOS_PROGRESSAO'!$AG$2:$AG$34","Marcante","'DADOS_CUSTOM'!$CM$2:$CM$160","Menor","'DADOS_CUSTOM'!$CL$2:$CL$160","Arma","'DADOS_CUSTOM'!$CG$2:$CG$160","Escudo","'DADOS_CUSTOM'!$CM$2:$CM$160","Uniforme","'DADOS_CUSTOM'!$CM$2:$CM$160","Item comum","'DADOS_CUSTOM'!$CM$2:$CM$160","Ferramenta amaldiçoada","'DADOS_CUSTOM'!$CJ$2:$CJ$160","'DADOS_CUSTOM'!$CM$2:$CM$160"))&lt;&gt;"")),"")</f>
        <v/>
      </c>
      <c r="HW2" s="175">
        <f>IFERROR(UNIQUE(FILTER(INDIRECT(SWITCH('CONFIGURAÇÃO'!$AB$246,"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$246,"Origem","'DADOS_PROGRESSAO'!$AG$2:$AG$34","Marcante","'DADOS_CUSTOM'!$CM$2:$CM$160","Menor","'DADOS_CUSTOM'!$CM$2:$CM$160","Arma","'DADOS_CUSTOM'!$CH$2:$CH$160","Escudo","'DADOS_CUSTOM'!$CM$2:$CM$160","Uniforme","'DADOS_CUSTOM'!$CM$2:$CM$160","Item comum","'DADOS_CUSTOM'!$CM$2:$CM$160","Ferramenta amaldiçoada","'DADOS_CUSTOM'!$CM$2:$CM$160","'DADOS_CUSTOM'!$CM$2:$CM$160"))&lt;&gt;"")),"")</f>
        <v/>
      </c>
      <c r="HX2" s="175">
        <f>IFERROR(UNIQUE(FILTER(INDIRECT(SWITCH('CONFIGURAÇÃO'!$AB$246,"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$246,"Origem","'DADOS_PROGRESSAO'!$AG$2:$AG$34","Marcante","'DADOS_CUSTOM'!$CM$2:$CM$160","Menor","'DADOS_CUSTOM'!$CM$2:$CM$160","Arma","'DADOS_CUSTOM'!$CI$2:$CI$160","Escudo","'DADOS_CUSTOM'!$CM$2:$CM$160","Uniforme","'DADOS_CUSTOM'!$CM$2:$CM$160","Item comum","'DADOS_CUSTOM'!$CM$2:$CM$160","Ferramenta amaldiçoada","'DADOS_CUSTOM'!$CM$2:$CM$160","'DADOS_CUSTOM'!$CM$2:$CM$160"))&lt;&gt;"")),"")</f>
        <v/>
      </c>
      <c r="HY2" s="175">
        <f>IFERROR(UNIQUE(FILTER(INDIRECT(SWITCH('CONFIGURAÇÃO'!$AB$246,"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$246,"Origem","'DADOS_CUSTOM'!$CB$2:$CB$160","Marcante","'DADOS_CUSTOM'!$CM$2:$CM$160","Menor","'DADOS_CUSTOM'!$CM$2:$CM$160","Arma","'DADOS_CUSTOM'!$CI$2:$CI$160","Escudo","'DADOS_CUSTOM'!$CM$2:$CM$160","Uniforme","'DADOS_CUSTOM'!$CM$2:$CM$160","Item comum","'DADOS_CUSTOM'!$CM$2:$CM$160","Ferramenta amaldiçoada","'DADOS_CUSTOM'!$CM$2:$CM$160","'DADOS_CUSTOM'!$CM$2:$CM$160"))&lt;&gt;"")),"")</f>
        <v/>
      </c>
      <c r="HZ2" s="175">
        <f>IFERROR(UNIQUE(FILTER(INDIRECT(SWITCH('CONFIGURAÇÃO'!$AB$246,"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$246,"Origem","'DADOS_CUSTOM'!$CD$2:$CD$160","Marcante","'DADOS_CUSTOM'!$CM$2:$CM$160","Menor","'DADOS_CUSTOM'!$CM$2:$CM$160","Arma","'DADOS_CUSTOM'!$CI$2:$CI$160","Escudo","'DADOS_CUSTOM'!$CM$2:$CM$160","Uniforme","'DADOS_CUSTOM'!$CM$2:$CM$160","Item comum","'DADOS_CUSTOM'!$CM$2:$CM$160","Ferramenta amaldiçoada","'DADOS_CUSTOM'!$CM$2:$CM$160","'DADOS_CUSTOM'!$CM$2:$CM$160"))&lt;&gt;"")),"")</f>
        <v/>
      </c>
      <c r="IA2" s="175">
        <f>IFERROR(UNIQUE(FILTER(INDIRECT(SWITCH('CONFIGURAÇÃO'!$AB$246,"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$246,"Origem","'DADOS_PROGRESSAO'!$AJ$2:$AJ$23","Marcante","'DADOS_CUSTOM'!$CM$2:$CM$160","Menor","'DADOS_CUSTOM'!$CM$2:$CM$160","Arma","'DADOS_CUSTOM'!$CI$2:$CI$160","Escudo","'DADOS_CUSTOM'!$CM$2:$CM$160","Uniforme","'DADOS_CUSTOM'!$CM$2:$CM$160","Item comum","'DADOS_CUSTOM'!$CM$2:$CM$160","Ferramenta amaldiçoada","'DADOS_CUSTOM'!$CM$2:$CM$160","'DADOS_CUSTOM'!$CM$2:$CM$160"))&lt;&gt;"")),"")</f>
        <v/>
      </c>
      <c r="IB2" s="175">
        <f>IFERROR(UNIQUE(FILTER(INDIRECT(SWITCH('CONFIGURAÇÃO'!$T$275,"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$275,"Origem","'DADOS_PROGRESSAO'!$AG$2:$AG$34","Marcante","'DADOS_CUSTOM'!$BW$2:$BW$160","Menor","'DADOS_CUSTOM'!$CC$2:$CC$160","Arma","'DADOS_CUSTOM'!$CF$2:$CF$160","Escudo","'DADOS_CUSTOM'!$CM$2:$CM$160","Uniforme","'DADOS_CUSTOM'!$CJ$2:$CJ$160","Item comum","'DADOS_CUSTOM'!$CM$2:$CM$160","Ferramenta amaldiçoada","'DADOS_CUSTOM'!$CK$2:$CK$160","'DADOS_CUSTOM'!$CM$2:$CM$160"))&lt;&gt;"")),"")</f>
        <v/>
      </c>
      <c r="IC2" s="175">
        <f>IFERROR(UNIQUE(FILTER(INDIRECT(SWITCH('CONFIGURAÇÃO'!$T$275,"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$275,"Origem","'DADOS_PROGRESSAO'!$AG$2:$AG$34","Marcante","'DADOS_CUSTOM'!$CM$2:$CM$160","Menor","'DADOS_CUSTOM'!$CL$2:$CL$160","Arma","'DADOS_CUSTOM'!$CG$2:$CG$160","Escudo","'DADOS_CUSTOM'!$CM$2:$CM$160","Uniforme","'DADOS_CUSTOM'!$CM$2:$CM$160","Item comum","'DADOS_CUSTOM'!$CM$2:$CM$160","Ferramenta amaldiçoada","'DADOS_CUSTOM'!$CJ$2:$CJ$160","'DADOS_CUSTOM'!$CM$2:$CM$160"))&lt;&gt;"")),"")</f>
        <v/>
      </c>
      <c r="ID2" s="175">
        <f>IFERROR(UNIQUE(FILTER(INDIRECT(SWITCH('CONFIGURAÇÃO'!$T$275,"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$275,"Origem","'DADOS_PROGRESSAO'!$AG$2:$AG$34","Marcante","'DADOS_CUSTOM'!$CM$2:$CM$160","Menor","'DADOS_CUSTOM'!$CM$2:$CM$160","Arma","'DADOS_CUSTOM'!$CH$2:$CH$160","Escudo","'DADOS_CUSTOM'!$CM$2:$CM$160","Uniforme","'DADOS_CUSTOM'!$CM$2:$CM$160","Item comum","'DADOS_CUSTOM'!$CM$2:$CM$160","Ferramenta amaldiçoada","'DADOS_CUSTOM'!$CM$2:$CM$160","'DADOS_CUSTOM'!$CM$2:$CM$160"))&lt;&gt;"")),"")</f>
        <v/>
      </c>
      <c r="IE2" s="175">
        <f>IFERROR(UNIQUE(FILTER(INDIRECT(SWITCH('CONFIGURAÇÃO'!$T$275,"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$275,"Origem","'DADOS_PROGRESSAO'!$AG$2:$AG$34","Marcante","'DADOS_CUSTOM'!$CM$2:$CM$160","Menor","'DADOS_CUSTOM'!$CM$2:$CM$160","Arma","'DADOS_CUSTOM'!$CI$2:$CI$160","Escudo","'DADOS_CUSTOM'!$CM$2:$CM$160","Uniforme","'DADOS_CUSTOM'!$CM$2:$CM$160","Item comum","'DADOS_CUSTOM'!$CM$2:$CM$160","Ferramenta amaldiçoada","'DADOS_CUSTOM'!$CM$2:$CM$160","'DADOS_CUSTOM'!$CM$2:$CM$160"))&lt;&gt;"")),"")</f>
        <v/>
      </c>
      <c r="IF2" s="175">
        <f>IFERROR(UNIQUE(FILTER(INDIRECT(SWITCH('CONFIGURAÇÃO'!$T$275,"Origem","'DADOS_CUSTOM'!$CB$2:$CB$160","Marcante","'DADOS_CUSTOM'!$CM$2:$CM$160","Menor","'DADOS_CUSTOM'!$CM$2:$CM$160","Arma","'DADOS_CUSTOM'!$CI$2:$CI$160","Escudo","'DADOS_CUSTOM'!$CM$2:$CM$160","Uniforme","'DADOS_CUSTOM'!$CM$2:$CM$160","Item comum","'DADOS_CUSTOM'!$CM$2:$CM$160","Ferramenta amaldiçoada","'DADOS_CUSTOM'!$CM$2:$CM$160","'DADOS_CUSTOM'!$CM$2:$CM$160")),INDIRECT(SWITCH('CONFIGURAÇÃO'!$T$275,"Origem","'DADOS_CUSTOM'!$CB$2:$CB$160","Marcante","'DADOS_CUSTOM'!$CM$2:$CM$160","Menor","'DADOS_CUSTOM'!$CM$2:$CM$160","Arma","'DADOS_CUSTOM'!$CI$2:$CI$160","Escudo","'DADOS_CUSTOM'!$CM$2:$CM$160","Uniforme","'DADOS_CUSTOM'!$CM$2:$CM$160","Item comum","'DADOS_CUSTOM'!$CM$2:$CM$160","Ferramenta amaldiçoada","'DADOS_CUSTOM'!$CM$2:$CM$160","'DADOS_CUSTOM'!$CM$2:$CM$160"))&lt;&gt;"")),"")</f>
        <v/>
      </c>
      <c r="IG2" s="175">
        <f>IFERROR(UNIQUE(FILTER(INDIRECT(SWITCH('CONFIGURAÇÃO'!$T$275,"Origem","'DADOS_CUSTOM'!$CD$2:$CD$160","Marcante","'DADOS_CUSTOM'!$CM$2:$CM$160","Menor","'DADOS_CUSTOM'!$CM$2:$CM$160","Arma","'DADOS_CUSTOM'!$CI$2:$CI$160","Escudo","'DADOS_CUSTOM'!$CM$2:$CM$160","Uniforme","'DADOS_CUSTOM'!$CM$2:$CM$160","Item comum","'DADOS_CUSTOM'!$CM$2:$CM$160","Ferramenta amaldiçoada","'DADOS_CUSTOM'!$CM$2:$CM$160","'DADOS_CUSTOM'!$CM$2:$CM$160")),INDIRECT(SWITCH('CONFIGURAÇÃO'!$T$275,"Origem","'DADOS_CUSTOM'!$CD$2:$CD$160","Marcante","'DADOS_CUSTOM'!$CM$2:$CM$160","Menor","'DADOS_CUSTOM'!$CM$2:$CM$160","Arma","'DADOS_CUSTOM'!$CI$2:$CI$160","Escudo","'DADOS_CUSTOM'!$CM$2:$CM$160","Uniforme","'DADOS_CUSTOM'!$CM$2:$CM$160","Item comum","'DADOS_CUSTOM'!$CM$2:$CM$160","Ferramenta amaldiçoada","'DADOS_CUSTOM'!$CM$2:$CM$160","'DADOS_CUSTOM'!$CM$2:$CM$160"))&lt;&gt;"")),"")</f>
        <v/>
      </c>
      <c r="IH2" s="175">
        <f>IFERROR(UNIQUE(FILTER(INDIRECT(SWITCH('CONFIGURAÇÃO'!$T$275,"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$275,"Origem","'DADOS_PROGRESSAO'!$AJ$2:$AJ$23","Marcante","'DADOS_CUSTOM'!$CM$2:$CM$160","Menor","'DADOS_CUSTOM'!$CM$2:$CM$160","Arma","'DADOS_CUSTOM'!$CI$2:$CI$160","Escudo","'DADOS_CUSTOM'!$CM$2:$CM$160","Uniforme","'DADOS_CUSTOM'!$CM$2:$CM$160","Item comum","'DADOS_CUSTOM'!$CM$2:$CM$160","Ferramenta amaldiçoada","'DADOS_CUSTOM'!$CM$2:$CM$160","'DADOS_CUSTOM'!$CM$2:$CM$160"))&lt;&gt;"")),"")</f>
        <v/>
      </c>
      <c r="II2" s="175">
        <f>IFERROR(UNIQUE(FILTER(INDIRECT(SWITCH('CONFIGURAÇÃO'!$AB$275,"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$275,"Origem","'DADOS_PROGRESSAO'!$AG$2:$AG$34","Marcante","'DADOS_CUSTOM'!$BW$2:$BW$160","Menor","'DADOS_CUSTOM'!$CC$2:$CC$160","Arma","'DADOS_CUSTOM'!$CF$2:$CF$160","Escudo","'DADOS_CUSTOM'!$CM$2:$CM$160","Uniforme","'DADOS_CUSTOM'!$CJ$2:$CJ$160","Item comum","'DADOS_CUSTOM'!$CM$2:$CM$160","Ferramenta amaldiçoada","'DADOS_CUSTOM'!$CK$2:$CK$160","'DADOS_CUSTOM'!$CM$2:$CM$160"))&lt;&gt;"")),"")</f>
        <v/>
      </c>
      <c r="IJ2" s="175">
        <f>IFERROR(UNIQUE(FILTER(INDIRECT(SWITCH('CONFIGURAÇÃO'!$AB$275,"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$275,"Origem","'DADOS_PROGRESSAO'!$AG$2:$AG$34","Marcante","'DADOS_CUSTOM'!$CM$2:$CM$160","Menor","'DADOS_CUSTOM'!$CL$2:$CL$160","Arma","'DADOS_CUSTOM'!$CG$2:$CG$160","Escudo","'DADOS_CUSTOM'!$CM$2:$CM$160","Uniforme","'DADOS_CUSTOM'!$CM$2:$CM$160","Item comum","'DADOS_CUSTOM'!$CM$2:$CM$160","Ferramenta amaldiçoada","'DADOS_CUSTOM'!$CJ$2:$CJ$160","'DADOS_CUSTOM'!$CM$2:$CM$160"))&lt;&gt;"")),"")</f>
        <v/>
      </c>
      <c r="IK2" s="175">
        <f>IFERROR(UNIQUE(FILTER(INDIRECT(SWITCH('CONFIGURAÇÃO'!$AB$275,"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$275,"Origem","'DADOS_PROGRESSAO'!$AG$2:$AG$34","Marcante","'DADOS_CUSTOM'!$CM$2:$CM$160","Menor","'DADOS_CUSTOM'!$CM$2:$CM$160","Arma","'DADOS_CUSTOM'!$CH$2:$CH$160","Escudo","'DADOS_CUSTOM'!$CM$2:$CM$160","Uniforme","'DADOS_CUSTOM'!$CM$2:$CM$160","Item comum","'DADOS_CUSTOM'!$CM$2:$CM$160","Ferramenta amaldiçoada","'DADOS_CUSTOM'!$CM$2:$CM$160","'DADOS_CUSTOM'!$CM$2:$CM$160"))&lt;&gt;"")),"")</f>
        <v/>
      </c>
      <c r="IL2" s="175">
        <f>IFERROR(UNIQUE(FILTER(INDIRECT(SWITCH('CONFIGURAÇÃO'!$AB$275,"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$275,"Origem","'DADOS_PROGRESSAO'!$AG$2:$AG$34","Marcante","'DADOS_CUSTOM'!$CM$2:$CM$160","Menor","'DADOS_CUSTOM'!$CM$2:$CM$160","Arma","'DADOS_CUSTOM'!$CI$2:$CI$160","Escudo","'DADOS_CUSTOM'!$CM$2:$CM$160","Uniforme","'DADOS_CUSTOM'!$CM$2:$CM$160","Item comum","'DADOS_CUSTOM'!$CM$2:$CM$160","Ferramenta amaldiçoada","'DADOS_CUSTOM'!$CM$2:$CM$160","'DADOS_CUSTOM'!$CM$2:$CM$160"))&lt;&gt;"")),"")</f>
        <v/>
      </c>
      <c r="IM2" s="175">
        <f>IFERROR(UNIQUE(FILTER(INDIRECT(SWITCH('CONFIGURAÇÃO'!$AB$275,"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$275,"Origem","'DADOS_CUSTOM'!$CB$2:$CB$160","Marcante","'DADOS_CUSTOM'!$CM$2:$CM$160","Menor","'DADOS_CUSTOM'!$CM$2:$CM$160","Arma","'DADOS_CUSTOM'!$CI$2:$CI$160","Escudo","'DADOS_CUSTOM'!$CM$2:$CM$160","Uniforme","'DADOS_CUSTOM'!$CM$2:$CM$160","Item comum","'DADOS_CUSTOM'!$CM$2:$CM$160","Ferramenta amaldiçoada","'DADOS_CUSTOM'!$CM$2:$CM$160","'DADOS_CUSTOM'!$CM$2:$CM$160"))&lt;&gt;"")),"")</f>
        <v/>
      </c>
      <c r="IN2" s="175">
        <f>IFERROR(UNIQUE(FILTER(INDIRECT(SWITCH('CONFIGURAÇÃO'!$AB$275,"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$275,"Origem","'DADOS_CUSTOM'!$CD$2:$CD$160","Marcante","'DADOS_CUSTOM'!$CM$2:$CM$160","Menor","'DADOS_CUSTOM'!$CM$2:$CM$160","Arma","'DADOS_CUSTOM'!$CI$2:$CI$160","Escudo","'DADOS_CUSTOM'!$CM$2:$CM$160","Uniforme","'DADOS_CUSTOM'!$CM$2:$CM$160","Item comum","'DADOS_CUSTOM'!$CM$2:$CM$160","Ferramenta amaldiçoada","'DADOS_CUSTOM'!$CM$2:$CM$160","'DADOS_CUSTOM'!$CM$2:$CM$160"))&lt;&gt;"")),"")</f>
        <v/>
      </c>
      <c r="IO2" s="175">
        <f>IFERROR(UNIQUE(FILTER(INDIRECT(SWITCH('CONFIGURAÇÃO'!$AB$275,"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$275,"Origem","'DADOS_PROGRESSAO'!$AJ$2:$AJ$23","Marcante","'DADOS_CUSTOM'!$CM$2:$CM$160","Menor","'DADOS_CUSTOM'!$CM$2:$CM$160","Arma","'DADOS_CUSTOM'!$CI$2:$CI$160","Escudo","'DADOS_CUSTOM'!$CM$2:$CM$160","Uniforme","'DADOS_CUSTOM'!$CM$2:$CM$160","Item comum","'DADOS_CUSTOM'!$CM$2:$CM$160","Ferramenta amaldiçoada","'DADOS_CUSTOM'!$CM$2:$CM$160","'DADOS_CUSTOM'!$CM$2:$CM$160"))&lt;&gt;"")),"")</f>
        <v/>
      </c>
      <c r="IP2" s="175">
        <f>IFERROR(UNIQUE(FILTER(INDIRECT(SWITCH('CONFIGURAÇÃO'!$T$304,"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$304,"Origem","'DADOS_PROGRESSAO'!$AG$2:$AG$34","Marcante","'DADOS_CUSTOM'!$BW$2:$BW$160","Menor","'DADOS_CUSTOM'!$CC$2:$CC$160","Arma","'DADOS_CUSTOM'!$CF$2:$CF$160","Escudo","'DADOS_CUSTOM'!$CM$2:$CM$160","Uniforme","'DADOS_CUSTOM'!$CJ$2:$CJ$160","Item comum","'DADOS_CUSTOM'!$CM$2:$CM$160","Ferramenta amaldiçoada","'DADOS_CUSTOM'!$CK$2:$CK$160","'DADOS_CUSTOM'!$CM$2:$CM$160"))&lt;&gt;"")),"")</f>
        <v/>
      </c>
      <c r="IQ2" s="175">
        <f>IFERROR(UNIQUE(FILTER(INDIRECT(SWITCH('CONFIGURAÇÃO'!$T$304,"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$304,"Origem","'DADOS_PROGRESSAO'!$AG$2:$AG$34","Marcante","'DADOS_CUSTOM'!$CM$2:$CM$160","Menor","'DADOS_CUSTOM'!$CL$2:$CL$160","Arma","'DADOS_CUSTOM'!$CG$2:$CG$160","Escudo","'DADOS_CUSTOM'!$CM$2:$CM$160","Uniforme","'DADOS_CUSTOM'!$CM$2:$CM$160","Item comum","'DADOS_CUSTOM'!$CM$2:$CM$160","Ferramenta amaldiçoada","'DADOS_CUSTOM'!$CJ$2:$CJ$160","'DADOS_CUSTOM'!$CM$2:$CM$160"))&lt;&gt;"")),"")</f>
        <v/>
      </c>
      <c r="IR2" s="175">
        <f>IFERROR(UNIQUE(FILTER(INDIRECT(SWITCH('CONFIGURAÇÃO'!$T$304,"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$304,"Origem","'DADOS_PROGRESSAO'!$AG$2:$AG$34","Marcante","'DADOS_CUSTOM'!$CM$2:$CM$160","Menor","'DADOS_CUSTOM'!$CM$2:$CM$160","Arma","'DADOS_CUSTOM'!$CH$2:$CH$160","Escudo","'DADOS_CUSTOM'!$CM$2:$CM$160","Uniforme","'DADOS_CUSTOM'!$CM$2:$CM$160","Item comum","'DADOS_CUSTOM'!$CM$2:$CM$160","Ferramenta amaldiçoada","'DADOS_CUSTOM'!$CM$2:$CM$160","'DADOS_CUSTOM'!$CM$2:$CM$160"))&lt;&gt;"")),"")</f>
        <v/>
      </c>
      <c r="IS2" s="175">
        <f>IFERROR(UNIQUE(FILTER(INDIRECT(SWITCH('CONFIGURAÇÃO'!$T$304,"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$304,"Origem","'DADOS_PROGRESSAO'!$AG$2:$AG$34","Marcante","'DADOS_CUSTOM'!$CM$2:$CM$160","Menor","'DADOS_CUSTOM'!$CM$2:$CM$160","Arma","'DADOS_CUSTOM'!$CI$2:$CI$160","Escudo","'DADOS_CUSTOM'!$CM$2:$CM$160","Uniforme","'DADOS_CUSTOM'!$CM$2:$CM$160","Item comum","'DADOS_CUSTOM'!$CM$2:$CM$160","Ferramenta amaldiçoada","'DADOS_CUSTOM'!$CM$2:$CM$160","'DADOS_CUSTOM'!$CM$2:$CM$160"))&lt;&gt;"")),"")</f>
        <v/>
      </c>
      <c r="IT2" s="175">
        <f>IFERROR(UNIQUE(FILTER(INDIRECT(SWITCH('CONFIGURAÇÃO'!$T$304,"Origem","'DADOS_CUSTOM'!$CB$2:$CB$160","Marcante","'DADOS_CUSTOM'!$CM$2:$CM$160","Menor","'DADOS_CUSTOM'!$CM$2:$CM$160","Arma","'DADOS_CUSTOM'!$CI$2:$CI$160","Escudo","'DADOS_CUSTOM'!$CM$2:$CM$160","Uniforme","'DADOS_CUSTOM'!$CM$2:$CM$160","Item comum","'DADOS_CUSTOM'!$CM$2:$CM$160","Ferramenta amaldiçoada","'DADOS_CUSTOM'!$CM$2:$CM$160","'DADOS_CUSTOM'!$CM$2:$CM$160")),INDIRECT(SWITCH('CONFIGURAÇÃO'!$T$304,"Origem","'DADOS_CUSTOM'!$CB$2:$CB$160","Marcante","'DADOS_CUSTOM'!$CM$2:$CM$160","Menor","'DADOS_CUSTOM'!$CM$2:$CM$160","Arma","'DADOS_CUSTOM'!$CI$2:$CI$160","Escudo","'DADOS_CUSTOM'!$CM$2:$CM$160","Uniforme","'DADOS_CUSTOM'!$CM$2:$CM$160","Item comum","'DADOS_CUSTOM'!$CM$2:$CM$160","Ferramenta amaldiçoada","'DADOS_CUSTOM'!$CM$2:$CM$160","'DADOS_CUSTOM'!$CM$2:$CM$160"))&lt;&gt;"")),"")</f>
        <v/>
      </c>
      <c r="IU2" s="175">
        <f>IFERROR(UNIQUE(FILTER(INDIRECT(SWITCH('CONFIGURAÇÃO'!$T$304,"Origem","'DADOS_CUSTOM'!$CD$2:$CD$160","Marcante","'DADOS_CUSTOM'!$CM$2:$CM$160","Menor","'DADOS_CUSTOM'!$CM$2:$CM$160","Arma","'DADOS_CUSTOM'!$CI$2:$CI$160","Escudo","'DADOS_CUSTOM'!$CM$2:$CM$160","Uniforme","'DADOS_CUSTOM'!$CM$2:$CM$160","Item comum","'DADOS_CUSTOM'!$CM$2:$CM$160","Ferramenta amaldiçoada","'DADOS_CUSTOM'!$CM$2:$CM$160","'DADOS_CUSTOM'!$CM$2:$CM$160")),INDIRECT(SWITCH('CONFIGURAÇÃO'!$T$304,"Origem","'DADOS_CUSTOM'!$CD$2:$CD$160","Marcante","'DADOS_CUSTOM'!$CM$2:$CM$160","Menor","'DADOS_CUSTOM'!$CM$2:$CM$160","Arma","'DADOS_CUSTOM'!$CI$2:$CI$160","Escudo","'DADOS_CUSTOM'!$CM$2:$CM$160","Uniforme","'DADOS_CUSTOM'!$CM$2:$CM$160","Item comum","'DADOS_CUSTOM'!$CM$2:$CM$160","Ferramenta amaldiçoada","'DADOS_CUSTOM'!$CM$2:$CM$160","'DADOS_CUSTOM'!$CM$2:$CM$160"))&lt;&gt;"")),"")</f>
        <v/>
      </c>
      <c r="IV2" s="175">
        <f>IFERROR(UNIQUE(FILTER(INDIRECT(SWITCH('CONFIGURAÇÃO'!$T$304,"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$304,"Origem","'DADOS_PROGRESSAO'!$AJ$2:$AJ$23","Marcante","'DADOS_CUSTOM'!$CM$2:$CM$160","Menor","'DADOS_CUSTOM'!$CM$2:$CM$160","Arma","'DADOS_CUSTOM'!$CI$2:$CI$160","Escudo","'DADOS_CUSTOM'!$CM$2:$CM$160","Uniforme","'DADOS_CUSTOM'!$CM$2:$CM$160","Item comum","'DADOS_CUSTOM'!$CM$2:$CM$160","Ferramenta amaldiçoada","'DADOS_CUSTOM'!$CM$2:$CM$160","'DADOS_CUSTOM'!$CM$2:$CM$160"))&lt;&gt;"")),"")</f>
        <v/>
      </c>
      <c r="IW2" s="175">
        <f>IFERROR(UNIQUE(FILTER(INDIRECT(SWITCH('CONFIGURAÇÃO'!$AB$304,"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$304,"Origem","'DADOS_PROGRESSAO'!$AG$2:$AG$34","Marcante","'DADOS_CUSTOM'!$BW$2:$BW$160","Menor","'DADOS_CUSTOM'!$CC$2:$CC$160","Arma","'DADOS_CUSTOM'!$CF$2:$CF$160","Escudo","'DADOS_CUSTOM'!$CM$2:$CM$160","Uniforme","'DADOS_CUSTOM'!$CJ$2:$CJ$160","Item comum","'DADOS_CUSTOM'!$CM$2:$CM$160","Ferramenta amaldiçoada","'DADOS_CUSTOM'!$CK$2:$CK$160","'DADOS_CUSTOM'!$CM$2:$CM$160"))&lt;&gt;"")),"")</f>
        <v/>
      </c>
      <c r="IX2" s="175">
        <f>IFERROR(UNIQUE(FILTER(INDIRECT(SWITCH('CONFIGURAÇÃO'!$AB$304,"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$304,"Origem","'DADOS_PROGRESSAO'!$AG$2:$AG$34","Marcante","'DADOS_CUSTOM'!$CM$2:$CM$160","Menor","'DADOS_CUSTOM'!$CL$2:$CL$160","Arma","'DADOS_CUSTOM'!$CG$2:$CG$160","Escudo","'DADOS_CUSTOM'!$CM$2:$CM$160","Uniforme","'DADOS_CUSTOM'!$CM$2:$CM$160","Item comum","'DADOS_CUSTOM'!$CM$2:$CM$160","Ferramenta amaldiçoada","'DADOS_CUSTOM'!$CJ$2:$CJ$160","'DADOS_CUSTOM'!$CM$2:$CM$160"))&lt;&gt;"")),"")</f>
        <v/>
      </c>
      <c r="IY2" s="175">
        <f>IFERROR(UNIQUE(FILTER(INDIRECT(SWITCH('CONFIGURAÇÃO'!$AB$304,"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$304,"Origem","'DADOS_PROGRESSAO'!$AG$2:$AG$34","Marcante","'DADOS_CUSTOM'!$CM$2:$CM$160","Menor","'DADOS_CUSTOM'!$CM$2:$CM$160","Arma","'DADOS_CUSTOM'!$CH$2:$CH$160","Escudo","'DADOS_CUSTOM'!$CM$2:$CM$160","Uniforme","'DADOS_CUSTOM'!$CM$2:$CM$160","Item comum","'DADOS_CUSTOM'!$CM$2:$CM$160","Ferramenta amaldiçoada","'DADOS_CUSTOM'!$CM$2:$CM$160","'DADOS_CUSTOM'!$CM$2:$CM$160"))&lt;&gt;"")),"")</f>
        <v/>
      </c>
      <c r="IZ2" s="175">
        <f>IFERROR(UNIQUE(FILTER(INDIRECT(SWITCH('CONFIGURAÇÃO'!$AB$304,"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$304,"Origem","'DADOS_PROGRESSAO'!$AG$2:$AG$34","Marcante","'DADOS_CUSTOM'!$CM$2:$CM$160","Menor","'DADOS_CUSTOM'!$CM$2:$CM$160","Arma","'DADOS_CUSTOM'!$CI$2:$CI$160","Escudo","'DADOS_CUSTOM'!$CM$2:$CM$160","Uniforme","'DADOS_CUSTOM'!$CM$2:$CM$160","Item comum","'DADOS_CUSTOM'!$CM$2:$CM$160","Ferramenta amaldiçoada","'DADOS_CUSTOM'!$CM$2:$CM$160","'DADOS_CUSTOM'!$CM$2:$CM$160"))&lt;&gt;"")),"")</f>
        <v/>
      </c>
      <c r="JA2" s="175">
        <f>IFERROR(UNIQUE(FILTER(INDIRECT(SWITCH('CONFIGURAÇÃO'!$AB$304,"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$304,"Origem","'DADOS_CUSTOM'!$CB$2:$CB$160","Marcante","'DADOS_CUSTOM'!$CM$2:$CM$160","Menor","'DADOS_CUSTOM'!$CM$2:$CM$160","Arma","'DADOS_CUSTOM'!$CI$2:$CI$160","Escudo","'DADOS_CUSTOM'!$CM$2:$CM$160","Uniforme","'DADOS_CUSTOM'!$CM$2:$CM$160","Item comum","'DADOS_CUSTOM'!$CM$2:$CM$160","Ferramenta amaldiçoada","'DADOS_CUSTOM'!$CM$2:$CM$160","'DADOS_CUSTOM'!$CM$2:$CM$160"))&lt;&gt;"")),"")</f>
        <v/>
      </c>
      <c r="JB2" s="175">
        <f>IFERROR(UNIQUE(FILTER(INDIRECT(SWITCH('CONFIGURAÇÃO'!$AB$304,"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$304,"Origem","'DADOS_CUSTOM'!$CD$2:$CD$160","Marcante","'DADOS_CUSTOM'!$CM$2:$CM$160","Menor","'DADOS_CUSTOM'!$CM$2:$CM$160","Arma","'DADOS_CUSTOM'!$CI$2:$CI$160","Escudo","'DADOS_CUSTOM'!$CM$2:$CM$160","Uniforme","'DADOS_CUSTOM'!$CM$2:$CM$160","Item comum","'DADOS_CUSTOM'!$CM$2:$CM$160","Ferramenta amaldiçoada","'DADOS_CUSTOM'!$CM$2:$CM$160","'DADOS_CUSTOM'!$CM$2:$CM$160"))&lt;&gt;"")),"")</f>
        <v/>
      </c>
      <c r="JC2" s="175">
        <f>IFERROR(UNIQUE(FILTER(INDIRECT(SWITCH('CONFIGURAÇÃO'!$AB$304,"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$304,"Origem","'DADOS_PROGRESSAO'!$AJ$2:$AJ$23","Marcante","'DADOS_CUSTOM'!$CM$2:$CM$160","Menor","'DADOS_CUSTOM'!$CM$2:$CM$160","Arma","'DADOS_CUSTOM'!$CI$2:$CI$160","Escudo","'DADOS_CUSTOM'!$CM$2:$CM$160","Uniforme","'DADOS_CUSTOM'!$CM$2:$CM$160","Item comum","'DADOS_CUSTOM'!$CM$2:$CM$160","Ferramenta amaldiçoada","'DADOS_CUSTOM'!$CM$2:$CM$160","'DADOS_CUSTOM'!$CM$2:$CM$160"))&lt;&gt;"")),"")</f>
        <v/>
      </c>
      <c r="JD2" s="175">
        <f>IFERROR(UNIQUE(FILTER(INDIRECT(SWITCH('CONFIGURAÇÃO'!$T$333,"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$333,"Origem","'DADOS_PROGRESSAO'!$AG$2:$AG$34","Marcante","'DADOS_CUSTOM'!$BW$2:$BW$160","Menor","'DADOS_CUSTOM'!$CC$2:$CC$160","Arma","'DADOS_CUSTOM'!$CF$2:$CF$160","Escudo","'DADOS_CUSTOM'!$CM$2:$CM$160","Uniforme","'DADOS_CUSTOM'!$CJ$2:$CJ$160","Item comum","'DADOS_CUSTOM'!$CM$2:$CM$160","Ferramenta amaldiçoada","'DADOS_CUSTOM'!$CK$2:$CK$160","'DADOS_CUSTOM'!$CM$2:$CM$160"))&lt;&gt;"")),"")</f>
        <v/>
      </c>
      <c r="JE2" s="175">
        <f>IFERROR(UNIQUE(FILTER(INDIRECT(SWITCH('CONFIGURAÇÃO'!$T$333,"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$333,"Origem","'DADOS_PROGRESSAO'!$AG$2:$AG$34","Marcante","'DADOS_CUSTOM'!$CM$2:$CM$160","Menor","'DADOS_CUSTOM'!$CL$2:$CL$160","Arma","'DADOS_CUSTOM'!$CG$2:$CG$160","Escudo","'DADOS_CUSTOM'!$CM$2:$CM$160","Uniforme","'DADOS_CUSTOM'!$CM$2:$CM$160","Item comum","'DADOS_CUSTOM'!$CM$2:$CM$160","Ferramenta amaldiçoada","'DADOS_CUSTOM'!$CJ$2:$CJ$160","'DADOS_CUSTOM'!$CM$2:$CM$160"))&lt;&gt;"")),"")</f>
        <v/>
      </c>
      <c r="JF2" s="175">
        <f>IFERROR(UNIQUE(FILTER(INDIRECT(SWITCH('CONFIGURAÇÃO'!$T$333,"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$333,"Origem","'DADOS_PROGRESSAO'!$AG$2:$AG$34","Marcante","'DADOS_CUSTOM'!$CM$2:$CM$160","Menor","'DADOS_CUSTOM'!$CM$2:$CM$160","Arma","'DADOS_CUSTOM'!$CH$2:$CH$160","Escudo","'DADOS_CUSTOM'!$CM$2:$CM$160","Uniforme","'DADOS_CUSTOM'!$CM$2:$CM$160","Item comum","'DADOS_CUSTOM'!$CM$2:$CM$160","Ferramenta amaldiçoada","'DADOS_CUSTOM'!$CM$2:$CM$160","'DADOS_CUSTOM'!$CM$2:$CM$160"))&lt;&gt;"")),"")</f>
        <v/>
      </c>
      <c r="JG2" s="175">
        <f>IFERROR(UNIQUE(FILTER(INDIRECT(SWITCH('CONFIGURAÇÃO'!$T$333,"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$333,"Origem","'DADOS_PROGRESSAO'!$AG$2:$AG$34","Marcante","'DADOS_CUSTOM'!$CM$2:$CM$160","Menor","'DADOS_CUSTOM'!$CM$2:$CM$160","Arma","'DADOS_CUSTOM'!$CI$2:$CI$160","Escudo","'DADOS_CUSTOM'!$CM$2:$CM$160","Uniforme","'DADOS_CUSTOM'!$CM$2:$CM$160","Item comum","'DADOS_CUSTOM'!$CM$2:$CM$160","Ferramenta amaldiçoada","'DADOS_CUSTOM'!$CM$2:$CM$160","'DADOS_CUSTOM'!$CM$2:$CM$160"))&lt;&gt;"")),"")</f>
        <v/>
      </c>
      <c r="JH2" s="175">
        <f>IFERROR(UNIQUE(FILTER(INDIRECT(SWITCH('CONFIGURAÇÃO'!$T$333,"Origem","'DADOS_CUSTOM'!$CB$2:$CB$160","Marcante","'DADOS_CUSTOM'!$CM$2:$CM$160","Menor","'DADOS_CUSTOM'!$CM$2:$CM$160","Arma","'DADOS_CUSTOM'!$CI$2:$CI$160","Escudo","'DADOS_CUSTOM'!$CM$2:$CM$160","Uniforme","'DADOS_CUSTOM'!$CM$2:$CM$160","Item comum","'DADOS_CUSTOM'!$CM$2:$CM$160","Ferramenta amaldiçoada","'DADOS_CUSTOM'!$CM$2:$CM$160","'DADOS_CUSTOM'!$CM$2:$CM$160")),INDIRECT(SWITCH('CONFIGURAÇÃO'!$T$333,"Origem","'DADOS_CUSTOM'!$CB$2:$CB$160","Marcante","'DADOS_CUSTOM'!$CM$2:$CM$160","Menor","'DADOS_CUSTOM'!$CM$2:$CM$160","Arma","'DADOS_CUSTOM'!$CI$2:$CI$160","Escudo","'DADOS_CUSTOM'!$CM$2:$CM$160","Uniforme","'DADOS_CUSTOM'!$CM$2:$CM$160","Item comum","'DADOS_CUSTOM'!$CM$2:$CM$160","Ferramenta amaldiçoada","'DADOS_CUSTOM'!$CM$2:$CM$160","'DADOS_CUSTOM'!$CM$2:$CM$160"))&lt;&gt;"")),"")</f>
        <v/>
      </c>
      <c r="JI2" s="175">
        <f>IFERROR(UNIQUE(FILTER(INDIRECT(SWITCH('CONFIGURAÇÃO'!$T$333,"Origem","'DADOS_CUSTOM'!$CD$2:$CD$160","Marcante","'DADOS_CUSTOM'!$CM$2:$CM$160","Menor","'DADOS_CUSTOM'!$CM$2:$CM$160","Arma","'DADOS_CUSTOM'!$CI$2:$CI$160","Escudo","'DADOS_CUSTOM'!$CM$2:$CM$160","Uniforme","'DADOS_CUSTOM'!$CM$2:$CM$160","Item comum","'DADOS_CUSTOM'!$CM$2:$CM$160","Ferramenta amaldiçoada","'DADOS_CUSTOM'!$CM$2:$CM$160","'DADOS_CUSTOM'!$CM$2:$CM$160")),INDIRECT(SWITCH('CONFIGURAÇÃO'!$T$333,"Origem","'DADOS_CUSTOM'!$CD$2:$CD$160","Marcante","'DADOS_CUSTOM'!$CM$2:$CM$160","Menor","'DADOS_CUSTOM'!$CM$2:$CM$160","Arma","'DADOS_CUSTOM'!$CI$2:$CI$160","Escudo","'DADOS_CUSTOM'!$CM$2:$CM$160","Uniforme","'DADOS_CUSTOM'!$CM$2:$CM$160","Item comum","'DADOS_CUSTOM'!$CM$2:$CM$160","Ferramenta amaldiçoada","'DADOS_CUSTOM'!$CM$2:$CM$160","'DADOS_CUSTOM'!$CM$2:$CM$160"))&lt;&gt;"")),"")</f>
        <v/>
      </c>
      <c r="JJ2" s="175">
        <f>IFERROR(UNIQUE(FILTER(INDIRECT(SWITCH('CONFIGURAÇÃO'!$T$333,"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$333,"Origem","'DADOS_PROGRESSAO'!$AJ$2:$AJ$23","Marcante","'DADOS_CUSTOM'!$CM$2:$CM$160","Menor","'DADOS_CUSTOM'!$CM$2:$CM$160","Arma","'DADOS_CUSTOM'!$CI$2:$CI$160","Escudo","'DADOS_CUSTOM'!$CM$2:$CM$160","Uniforme","'DADOS_CUSTOM'!$CM$2:$CM$160","Item comum","'DADOS_CUSTOM'!$CM$2:$CM$160","Ferramenta amaldiçoada","'DADOS_CUSTOM'!$CM$2:$CM$160","'DADOS_CUSTOM'!$CM$2:$CM$160"))&lt;&gt;"")),"")</f>
        <v/>
      </c>
      <c r="JK2" s="175">
        <f>IFERROR(UNIQUE(FILTER(INDIRECT(SWITCH('CONFIGURAÇÃO'!$AB$333,"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AB$333,"Origem","'DADOS_PROGRESSAO'!$AG$2:$AG$34","Marcante","'DADOS_CUSTOM'!$BW$2:$BW$160","Menor","'DADOS_CUSTOM'!$CC$2:$CC$160","Arma","'DADOS_CUSTOM'!$CF$2:$CF$160","Escudo","'DADOS_CUSTOM'!$CM$2:$CM$160","Uniforme","'DADOS_CUSTOM'!$CJ$2:$CJ$160","Item comum","'DADOS_CUSTOM'!$CM$2:$CM$160","Ferramenta amaldiçoada","'DADOS_CUSTOM'!$CK$2:$CK$160","'DADOS_CUSTOM'!$CM$2:$CM$160"))&lt;&gt;"")),"")</f>
        <v/>
      </c>
      <c r="JL2" s="175">
        <f>IFERROR(UNIQUE(FILTER(INDIRECT(SWITCH('CONFIGURAÇÃO'!$AB$333,"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AB$333,"Origem","'DADOS_PROGRESSAO'!$AG$2:$AG$34","Marcante","'DADOS_CUSTOM'!$CM$2:$CM$160","Menor","'DADOS_CUSTOM'!$CL$2:$CL$160","Arma","'DADOS_CUSTOM'!$CG$2:$CG$160","Escudo","'DADOS_CUSTOM'!$CM$2:$CM$160","Uniforme","'DADOS_CUSTOM'!$CM$2:$CM$160","Item comum","'DADOS_CUSTOM'!$CM$2:$CM$160","Ferramenta amaldiçoada","'DADOS_CUSTOM'!$CJ$2:$CJ$160","'DADOS_CUSTOM'!$CM$2:$CM$160"))&lt;&gt;"")),"")</f>
        <v/>
      </c>
      <c r="JM2" s="175">
        <f>IFERROR(UNIQUE(FILTER(INDIRECT(SWITCH('CONFIGURAÇÃO'!$AB$333,"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AB$333,"Origem","'DADOS_PROGRESSAO'!$AG$2:$AG$34","Marcante","'DADOS_CUSTOM'!$CM$2:$CM$160","Menor","'DADOS_CUSTOM'!$CM$2:$CM$160","Arma","'DADOS_CUSTOM'!$CH$2:$CH$160","Escudo","'DADOS_CUSTOM'!$CM$2:$CM$160","Uniforme","'DADOS_CUSTOM'!$CM$2:$CM$160","Item comum","'DADOS_CUSTOM'!$CM$2:$CM$160","Ferramenta amaldiçoada","'DADOS_CUSTOM'!$CM$2:$CM$160","'DADOS_CUSTOM'!$CM$2:$CM$160"))&lt;&gt;"")),"")</f>
        <v/>
      </c>
      <c r="JN2" s="175">
        <f>IFERROR(UNIQUE(FILTER(INDIRECT(SWITCH('CONFIGURAÇÃO'!$AB$333,"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AB$333,"Origem","'DADOS_PROGRESSAO'!$AG$2:$AG$34","Marcante","'DADOS_CUSTOM'!$CM$2:$CM$160","Menor","'DADOS_CUSTOM'!$CM$2:$CM$160","Arma","'DADOS_CUSTOM'!$CI$2:$CI$160","Escudo","'DADOS_CUSTOM'!$CM$2:$CM$160","Uniforme","'DADOS_CUSTOM'!$CM$2:$CM$160","Item comum","'DADOS_CUSTOM'!$CM$2:$CM$160","Ferramenta amaldiçoada","'DADOS_CUSTOM'!$CM$2:$CM$160","'DADOS_CUSTOM'!$CM$2:$CM$160"))&lt;&gt;"")),"")</f>
        <v/>
      </c>
      <c r="JO2" s="175">
        <f>IFERROR(UNIQUE(FILTER(INDIRECT(SWITCH('CONFIGURAÇÃO'!$AB$333,"Origem","'DADOS_CUSTOM'!$CB$2:$CB$160","Marcante","'DADOS_CUSTOM'!$CM$2:$CM$160","Menor","'DADOS_CUSTOM'!$CM$2:$CM$160","Arma","'DADOS_CUSTOM'!$CI$2:$CI$160","Escudo","'DADOS_CUSTOM'!$CM$2:$CM$160","Uniforme","'DADOS_CUSTOM'!$CM$2:$CM$160","Item comum","'DADOS_CUSTOM'!$CM$2:$CM$160","Ferramenta amaldiçoada","'DADOS_CUSTOM'!$CM$2:$CM$160","'DADOS_CUSTOM'!$CM$2:$CM$160")),INDIRECT(SWITCH('CONFIGURAÇÃO'!$AB$333,"Origem","'DADOS_CUSTOM'!$CB$2:$CB$160","Marcante","'DADOS_CUSTOM'!$CM$2:$CM$160","Menor","'DADOS_CUSTOM'!$CM$2:$CM$160","Arma","'DADOS_CUSTOM'!$CI$2:$CI$160","Escudo","'DADOS_CUSTOM'!$CM$2:$CM$160","Uniforme","'DADOS_CUSTOM'!$CM$2:$CM$160","Item comum","'DADOS_CUSTOM'!$CM$2:$CM$160","Ferramenta amaldiçoada","'DADOS_CUSTOM'!$CM$2:$CM$160","'DADOS_CUSTOM'!$CM$2:$CM$160"))&lt;&gt;"")),"")</f>
        <v/>
      </c>
      <c r="JP2" s="175">
        <f>IFERROR(UNIQUE(FILTER(INDIRECT(SWITCH('CONFIGURAÇÃO'!$AB$333,"Origem","'DADOS_CUSTOM'!$CD$2:$CD$160","Marcante","'DADOS_CUSTOM'!$CM$2:$CM$160","Menor","'DADOS_CUSTOM'!$CM$2:$CM$160","Arma","'DADOS_CUSTOM'!$CI$2:$CI$160","Escudo","'DADOS_CUSTOM'!$CM$2:$CM$160","Uniforme","'DADOS_CUSTOM'!$CM$2:$CM$160","Item comum","'DADOS_CUSTOM'!$CM$2:$CM$160","Ferramenta amaldiçoada","'DADOS_CUSTOM'!$CM$2:$CM$160","'DADOS_CUSTOM'!$CM$2:$CM$160")),INDIRECT(SWITCH('CONFIGURAÇÃO'!$AB$333,"Origem","'DADOS_CUSTOM'!$CD$2:$CD$160","Marcante","'DADOS_CUSTOM'!$CM$2:$CM$160","Menor","'DADOS_CUSTOM'!$CM$2:$CM$160","Arma","'DADOS_CUSTOM'!$CI$2:$CI$160","Escudo","'DADOS_CUSTOM'!$CM$2:$CM$160","Uniforme","'DADOS_CUSTOM'!$CM$2:$CM$160","Item comum","'DADOS_CUSTOM'!$CM$2:$CM$160","Ferramenta amaldiçoada","'DADOS_CUSTOM'!$CM$2:$CM$160","'DADOS_CUSTOM'!$CM$2:$CM$160"))&lt;&gt;"")),"")</f>
        <v/>
      </c>
      <c r="JQ2" s="175">
        <f>IFERROR(UNIQUE(FILTER(INDIRECT(SWITCH('CONFIGURAÇÃO'!$AB$333,"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AB$333,"Origem","'DADOS_PROGRESSAO'!$AJ$2:$AJ$23","Marcante","'DADOS_CUSTOM'!$CM$2:$CM$160","Menor","'DADOS_CUSTOM'!$CM$2:$CM$160","Arma","'DADOS_CUSTOM'!$CI$2:$CI$160","Escudo","'DADOS_CUSTOM'!$CM$2:$CM$160","Uniforme","'DADOS_CUSTOM'!$CM$2:$CM$160","Item comum","'DADOS_CUSTOM'!$CM$2:$CM$160","Ferramenta amaldiçoada","'DADOS_CUSTOM'!$CM$2:$CM$160","'DADOS_CUSTOM'!$CM$2:$CM$160"))&lt;&gt;"")),"")</f>
        <v/>
      </c>
      <c r="JR2" s="175">
        <f>IFERROR(UNIQUE(FILTER(INDIRECT(SWITCH('CONFIGURAÇÃO'!$T$362,"Origem","'DADOS_PROGRESSAO'!$AG$2:$AG$34","Marcante","'DADOS_CUSTOM'!$BW$2:$BW$160","Menor","'DADOS_CUSTOM'!$CC$2:$CC$160","Arma","'DADOS_CUSTOM'!$CF$2:$CF$160","Escudo","'DADOS_CUSTOM'!$CM$2:$CM$160","Uniforme","'DADOS_CUSTOM'!$CJ$2:$CJ$160","Item comum","'DADOS_CUSTOM'!$CM$2:$CM$160","Ferramenta amaldiçoada","'DADOS_CUSTOM'!$CK$2:$CK$160","'DADOS_CUSTOM'!$CM$2:$CM$160")),INDIRECT(SWITCH('CONFIGURAÇÃO'!$T$362,"Origem","'DADOS_PROGRESSAO'!$AG$2:$AG$34","Marcante","'DADOS_CUSTOM'!$BW$2:$BW$160","Menor","'DADOS_CUSTOM'!$CC$2:$CC$160","Arma","'DADOS_CUSTOM'!$CF$2:$CF$160","Escudo","'DADOS_CUSTOM'!$CM$2:$CM$160","Uniforme","'DADOS_CUSTOM'!$CJ$2:$CJ$160","Item comum","'DADOS_CUSTOM'!$CM$2:$CM$160","Ferramenta amaldiçoada","'DADOS_CUSTOM'!$CK$2:$CK$160","'DADOS_CUSTOM'!$CM$2:$CM$160"))&lt;&gt;"")),"")</f>
        <v/>
      </c>
      <c r="JS2" s="175">
        <f>IFERROR(UNIQUE(FILTER(INDIRECT(SWITCH('CONFIGURAÇÃO'!$T$362,"Origem","'DADOS_PROGRESSAO'!$AG$2:$AG$34","Marcante","'DADOS_CUSTOM'!$CM$2:$CM$160","Menor","'DADOS_CUSTOM'!$CL$2:$CL$160","Arma","'DADOS_CUSTOM'!$CG$2:$CG$160","Escudo","'DADOS_CUSTOM'!$CM$2:$CM$160","Uniforme","'DADOS_CUSTOM'!$CM$2:$CM$160","Item comum","'DADOS_CUSTOM'!$CM$2:$CM$160","Ferramenta amaldiçoada","'DADOS_CUSTOM'!$CJ$2:$CJ$160","'DADOS_CUSTOM'!$CM$2:$CM$160")),INDIRECT(SWITCH('CONFIGURAÇÃO'!$T$362,"Origem","'DADOS_PROGRESSAO'!$AG$2:$AG$34","Marcante","'DADOS_CUSTOM'!$CM$2:$CM$160","Menor","'DADOS_CUSTOM'!$CL$2:$CL$160","Arma","'DADOS_CUSTOM'!$CG$2:$CG$160","Escudo","'DADOS_CUSTOM'!$CM$2:$CM$160","Uniforme","'DADOS_CUSTOM'!$CM$2:$CM$160","Item comum","'DADOS_CUSTOM'!$CM$2:$CM$160","Ferramenta amaldiçoada","'DADOS_CUSTOM'!$CJ$2:$CJ$160","'DADOS_CUSTOM'!$CM$2:$CM$160"))&lt;&gt;"")),"")</f>
        <v/>
      </c>
      <c r="JT2" s="175">
        <f>IFERROR(UNIQUE(FILTER(INDIRECT(SWITCH('CONFIGURAÇÃO'!$T$362,"Origem","'DADOS_PROGRESSAO'!$AG$2:$AG$34","Marcante","'DADOS_CUSTOM'!$CM$2:$CM$160","Menor","'DADOS_CUSTOM'!$CM$2:$CM$160","Arma","'DADOS_CUSTOM'!$CH$2:$CH$160","Escudo","'DADOS_CUSTOM'!$CM$2:$CM$160","Uniforme","'DADOS_CUSTOM'!$CM$2:$CM$160","Item comum","'DADOS_CUSTOM'!$CM$2:$CM$160","Ferramenta amaldiçoada","'DADOS_CUSTOM'!$CM$2:$CM$160","'DADOS_CUSTOM'!$CM$2:$CM$160")),INDIRECT(SWITCH('CONFIGURAÇÃO'!$T$362,"Origem","'DADOS_PROGRESSAO'!$AG$2:$AG$34","Marcante","'DADOS_CUSTOM'!$CM$2:$CM$160","Menor","'DADOS_CUSTOM'!$CM$2:$CM$160","Arma","'DADOS_CUSTOM'!$CH$2:$CH$160","Escudo","'DADOS_CUSTOM'!$CM$2:$CM$160","Uniforme","'DADOS_CUSTOM'!$CM$2:$CM$160","Item comum","'DADOS_CUSTOM'!$CM$2:$CM$160","Ferramenta amaldiçoada","'DADOS_CUSTOM'!$CM$2:$CM$160","'DADOS_CUSTOM'!$CM$2:$CM$160"))&lt;&gt;"")),"")</f>
        <v/>
      </c>
      <c r="JU2" s="175">
        <f>IFERROR(UNIQUE(FILTER(INDIRECT(SWITCH('CONFIGURAÇÃO'!$T$362,"Origem","'DADOS_PROGRESSAO'!$AG$2:$AG$34","Marcante","'DADOS_CUSTOM'!$CM$2:$CM$160","Menor","'DADOS_CUSTOM'!$CM$2:$CM$160","Arma","'DADOS_CUSTOM'!$CI$2:$CI$160","Escudo","'DADOS_CUSTOM'!$CM$2:$CM$160","Uniforme","'DADOS_CUSTOM'!$CM$2:$CM$160","Item comum","'DADOS_CUSTOM'!$CM$2:$CM$160","Ferramenta amaldiçoada","'DADOS_CUSTOM'!$CM$2:$CM$160","'DADOS_CUSTOM'!$CM$2:$CM$160")),INDIRECT(SWITCH('CONFIGURAÇÃO'!$T$362,"Origem","'DADOS_PROGRESSAO'!$AG$2:$AG$34","Marcante","'DADOS_CUSTOM'!$CM$2:$CM$160","Menor","'DADOS_CUSTOM'!$CM$2:$CM$160","Arma","'DADOS_CUSTOM'!$CI$2:$CI$160","Escudo","'DADOS_CUSTOM'!$CM$2:$CM$160","Uniforme","'DADOS_CUSTOM'!$CM$2:$CM$160","Item comum","'DADOS_CUSTOM'!$CM$2:$CM$160","Ferramenta amaldiçoada","'DADOS_CUSTOM'!$CM$2:$CM$160","'DADOS_CUSTOM'!$CM$2:$CM$160"))&lt;&gt;"")),"")</f>
        <v/>
      </c>
      <c r="JV2" s="175">
        <f>IFERROR(UNIQUE(FILTER(INDIRECT(SWITCH('CONFIGURAÇÃO'!$T$362,"Origem","'DADOS_CUSTOM'!$CB$2:$CB$160","Marcante","'DADOS_CUSTOM'!$CM$2:$CM$160","Menor","'DADOS_CUSTOM'!$CM$2:$CM$160","Arma","'DADOS_CUSTOM'!$CI$2:$CI$160","Escudo","'DADOS_CUSTOM'!$CM$2:$CM$160","Uniforme","'DADOS_CUSTOM'!$CM$2:$CM$160","Item comum","'DADOS_CUSTOM'!$CM$2:$CM$160","Ferramenta amaldiçoada","'DADOS_CUSTOM'!$CM$2:$CM$160","'DADOS_CUSTOM'!$CM$2:$CM$160")),INDIRECT(SWITCH('CONFIGURAÇÃO'!$T$362,"Origem","'DADOS_CUSTOM'!$CB$2:$CB$160","Marcante","'DADOS_CUSTOM'!$CM$2:$CM$160","Menor","'DADOS_CUSTOM'!$CM$2:$CM$160","Arma","'DADOS_CUSTOM'!$CI$2:$CI$160","Escudo","'DADOS_CUSTOM'!$CM$2:$CM$160","Uniforme","'DADOS_CUSTOM'!$CM$2:$CM$160","Item comum","'DADOS_CUSTOM'!$CM$2:$CM$160","Ferramenta amaldiçoada","'DADOS_CUSTOM'!$CM$2:$CM$160","'DADOS_CUSTOM'!$CM$2:$CM$160"))&lt;&gt;"")),"")</f>
        <v/>
      </c>
      <c r="JW2" s="175">
        <f>IFERROR(UNIQUE(FILTER(INDIRECT(SWITCH('CONFIGURAÇÃO'!$T$362,"Origem","'DADOS_CUSTOM'!$CD$2:$CD$160","Marcante","'DADOS_CUSTOM'!$CM$2:$CM$160","Menor","'DADOS_CUSTOM'!$CM$2:$CM$160","Arma","'DADOS_CUSTOM'!$CI$2:$CI$160","Escudo","'DADOS_CUSTOM'!$CM$2:$CM$160","Uniforme","'DADOS_CUSTOM'!$CM$2:$CM$160","Item comum","'DADOS_CUSTOM'!$CM$2:$CM$160","Ferramenta amaldiçoada","'DADOS_CUSTOM'!$CM$2:$CM$160","'DADOS_CUSTOM'!$CM$2:$CM$160")),INDIRECT(SWITCH('CONFIGURAÇÃO'!$T$362,"Origem","'DADOS_CUSTOM'!$CD$2:$CD$160","Marcante","'DADOS_CUSTOM'!$CM$2:$CM$160","Menor","'DADOS_CUSTOM'!$CM$2:$CM$160","Arma","'DADOS_CUSTOM'!$CI$2:$CI$160","Escudo","'DADOS_CUSTOM'!$CM$2:$CM$160","Uniforme","'DADOS_CUSTOM'!$CM$2:$CM$160","Item comum","'DADOS_CUSTOM'!$CM$2:$CM$160","Ferramenta amaldiçoada","'DADOS_CUSTOM'!$CM$2:$CM$160","'DADOS_CUSTOM'!$CM$2:$CM$160"))&lt;&gt;"")),"")</f>
        <v/>
      </c>
      <c r="JX2" s="175">
        <f>IFERROR(UNIQUE(FILTER(INDIRECT(SWITCH('CONFIGURAÇÃO'!$T$362,"Origem","'DADOS_PROGRESSAO'!$AJ$2:$AJ$23","Marcante","'DADOS_CUSTOM'!$CM$2:$CM$160","Menor","'DADOS_CUSTOM'!$CM$2:$CM$160","Arma","'DADOS_CUSTOM'!$CI$2:$CI$160","Escudo","'DADOS_CUSTOM'!$CM$2:$CM$160","Uniforme","'DADOS_CUSTOM'!$CM$2:$CM$160","Item comum","'DADOS_CUSTOM'!$CM$2:$CM$160","Ferramenta amaldiçoada","'DADOS_CUSTOM'!$CM$2:$CM$160","'DADOS_CUSTOM'!$CM$2:$CM$160")),INDIRECT(SWITCH('CONFIGURAÇÃO'!$T$362,"Origem","'DADOS_PROGRESSAO'!$AJ$2:$AJ$23","Marcante","'DADOS_CUSTOM'!$CM$2:$CM$160","Menor","'DADOS_CUSTOM'!$CM$2:$CM$160","Arma","'DADOS_CUSTOM'!$CI$2:$CI$160","Escudo","'DADOS_CUSTOM'!$CM$2:$CM$160","Uniforme","'DADOS_CUSTOM'!$CM$2:$CM$160","Item comum","'DADOS_CUSTOM'!$CM$2:$CM$160","Ferramenta amaldiçoada","'DADOS_CUSTOM'!$CM$2:$CM$160","'DADOS_CUSTOM'!$CM$2:$CM$160"))&lt;&gt;"")),"")</f>
        <v/>
      </c>
      <c r="JY2" s="175">
        <f>IF(AND($B2="",$C2="",LEN(TEXTJOIN("",TRUE,E2:R2))=0),"",TEXTJOIN(" · ",TRUE,IF(COUNTIF('DADOS_CUSTOM'!$BZ$2:$BZ$160,$B2)=0,"Escolha um tipo válido",""),IF(LEN(TRIM($C2))=0,"Preencha NOME",""),IF(OR(COUNTIF('DADOS_CUSTOM'!$C$2:$C$26,$C2)&gt;1,COUNTIF('DADOS_CUSTOM'!$BV$2:$BV$171,$C2)&gt;0),"Nome repetido no livro ou custom",""),IF(AND($E2&lt;&gt;"",SWITCH($B2,"Origem","PERÍCIA 1","Marcante","ORIGEM","Menor","ORIGEM","Arma","CATEGORIA","Escudo","","Uniforme","GRAU MÍNIMO","Item comum","","Ferramenta amaldiçoada","BASE","")=""),"Apague campo que este tipo não usa",IF(AND($E2&lt;&gt;"",COUNTIF(INDIRECT(SWITCH($B2,"Origem","'DADOS_PROGRESSAO'!$AG$2:$AG$34","Marcante","'DADOS_CUSTOM'!$BW$2:$BW$160","Menor","'DADOS_CUSTOM'!$CC$2:$CC$160","Arma","'DADOS_CUSTOM'!$CF$2:$CF$160","Escudo","'DADOS_CUSTOM'!$CM$2:$CM$160","Uniforme","'DADOS_CUSTOM'!$CJ$2:$CJ$160","Item comum","'DADOS_CUSTOM'!$CM$2:$CM$160","Ferramenta amaldiçoada","'DADOS_CUSTOM'!$CK$2:$CK$160","'DADOS_CUSTOM'!$CM$2:$CM$160")),$E2)=0),"Opção inválida: "&amp;SWITCH($B2,"Origem","PERÍCIA 1","Marcante","ORIGEM","Menor","ORIGEM","Arma","CATEGORIA","Escudo","","Uniforme","GRAU MÍNIMO","Item comum","","Ferramenta amaldiçoada","BASE",""),"")),IF(AND($F2&lt;&gt;"",SWITCH($B2,"Origem","PERÍCIA 2","Marcante","","Menor","EXIGE MARCANTE","Arma","MÃO","Escudo","","Uniforme","","Item comum","","Ferramenta amaldiçoada","GRAU","")=""),"Apague campo que este tipo não usa",IF(AND($F2&lt;&gt;"",COUNTIF(INDIRECT(SWITCH($B2,"Origem","'DADOS_PROGRESSAO'!$AG$2:$AG$34","Marcante","'DADOS_CUSTOM'!$CM$2:$CM$160","Menor","'DADOS_CUSTOM'!$CL$2:$CL$160","Arma","'DADOS_CUSTOM'!$CG$2:$CG$160","Escudo","'DADOS_CUSTOM'!$CM$2:$CM$160","Uniforme","'DADOS_CUSTOM'!$CM$2:$CM$160","Item comum","'DADOS_CUSTOM'!$CM$2:$CM$160","Ferramenta amaldiçoada","'DADOS_CUSTOM'!$CJ$2:$CJ$160","'DADOS_CUSTOM'!$CM$2:$CM$160")),$F2)=0),"Opção inválida: "&amp;SWITCH($B2,"Origem","PERÍCIA 2","Marcante","","Menor","EXIGE MARCANTE","Arma","MÃO","Escudo","","Uniforme","","Item comum","","Ferramenta amaldiçoada","GRAU",""),"")),IF(AND($G2&lt;&gt;"",SWITCH($B2,"Origem","PERÍCIA 3","Marcante","","Menor","","Arma","TIPO DE DANO","Escudo","","Uniforme","","Item comum","","Ferramenta amaldiçoada","","")=""),"Apague campo que este tipo não usa",IF(AND($G2&lt;&gt;"",COUNTIF(INDIRECT(SWITCH($B2,"Origem","'DADOS_PROGRESSAO'!$AG$2:$AG$34","Marcante","'DADOS_CUSTOM'!$CM$2:$CM$160","Menor","'DADOS_CUSTOM'!$CM$2:$CM$160","Arma","'DADOS_CUSTOM'!$CH$2:$CH$160","Escudo","'DADOS_CUSTOM'!$CM$2:$CM$160","Uniforme","'DADOS_CUSTOM'!$CM$2:$CM$160","Item comum","'DADOS_CUSTOM'!$CM$2:$CM$160","Ferramenta amaldiçoada","'DADOS_CUSTOM'!$CM$2:$CM$160","'DADOS_CUSTOM'!$CM$2:$CM$160")),$G2)=0),"Opção inválida: "&amp;SWITCH($B2,"Origem","PERÍCIA 3","Marcante","","Menor","","Arma","TIPO DE DANO","Escudo","","Uniforme","","Item comum","","Ferramenta amaldiçoada","",""),"")),IF(AND($H2&lt;&gt;"",SWITCH($B2,"Origem","PERÍCIA 4","Marcante","","Menor","","Arma","PROPRIEDADE 1","Escudo","","Uniforme","","Item comum","","Ferramenta amaldiçoada","","")=""),"Apague campo que este tipo não usa",IF(AND($H2&lt;&gt;"",COUNTIF(INDIRECT(SWITCH($B2,"Origem","'DADOS_PROGRESSAO'!$AG$2:$AG$34","Marcante","'DADOS_CUSTOM'!$CM$2:$CM$160","Menor","'DADOS_CUSTOM'!$CM$2:$CM$160","Arma","'DADOS_CUSTOM'!$CI$2:$CI$160","Escudo","'DADOS_CUSTOM'!$CM$2:$CM$160","Uniforme","'DADOS_CUSTOM'!$CM$2:$CM$160","Item comum","'DADOS_CUSTOM'!$CM$2:$CM$160","Ferramenta amaldiçoada","'DADOS_CUSTOM'!$CM$2:$CM$160","'DADOS_CUSTOM'!$CM$2:$CM$160")),$H2)=0),"Opção inválida: "&amp;SWITCH($B2,"Origem","PERÍCIA 4","Marcante","","Menor","","Arma","PROPRIEDADE 1","Escudo","","Uniforme","","Item comum","","Ferramenta amaldiçoada","",""),"")),IF(AND($I2&lt;&gt;"",SWITCH($B2,"Origem","ROTA","Marcante","","Menor","","Arma","PROPRIEDADE 2","Escudo","","Uniforme","","Item comum","","Ferramenta amaldiçoada","","")=""),"Apague campo que este tipo não usa",IF(AND($I2&lt;&gt;"",COUNTIF(INDIRECT(SWITCH($B2,"Origem","'DADOS_CUSTOM'!$CB$2:$CB$160","Marcante","'DADOS_CUSTOM'!$CM$2:$CM$160","Menor","'DADOS_CUSTOM'!$CM$2:$CM$160","Arma","'DADOS_CUSTOM'!$CI$2:$CI$160","Escudo","'DADOS_CUSTOM'!$CM$2:$CM$160","Uniforme","'DADOS_CUSTOM'!$CM$2:$CM$160","Item comum","'DADOS_CUSTOM'!$CM$2:$CM$160","Ferramenta amaldiçoada","'DADOS_CUSTOM'!$CM$2:$CM$160","'DADOS_CUSTOM'!$CM$2:$CM$160")),$I2)=0),"Opção inválida: "&amp;SWITCH($B2,"Origem","ROTA","Marcante","","Menor","","Arma","PROPRIEDADE 2","Escudo","","Uniforme","","Item comum","","Ferramenta amaldiçoada","",""),""))))</f>
        <v/>
      </c>
      <c r="JZ2" s="175">
        <f>IF(AND($B2="",$C2="",LEN(TEXTJOIN("",TRUE,E2:R2))=0),"",TEXTJOIN(" · ",TRUE,IF(AND($J2&lt;&gt;"",SWITCH($B2,"Origem","BASE DO LIVRO","Marcante","","Menor","","Arma","PROPRIEDADE 3","Escudo","","Uniforme","","Item comum","","Ferramenta amaldiçoada","","")=""),"Apague campo que este tipo não usa",IF(AND($J2&lt;&gt;"",COUNTIF(INDIRECT(SWITCH($B2,"Origem","'DADOS_CUSTOM'!$CD$2:$CD$160","Marcante","'DADOS_CUSTOM'!$CM$2:$CM$160","Menor","'DADOS_CUSTOM'!$CM$2:$CM$160","Arma","'DADOS_CUSTOM'!$CI$2:$CI$160","Escudo","'DADOS_CUSTOM'!$CM$2:$CM$160","Uniforme","'DADOS_CUSTOM'!$CM$2:$CM$160","Item comum","'DADOS_CUSTOM'!$CM$2:$CM$160","Ferramenta amaldiçoada","'DADOS_CUSTOM'!$CM$2:$CM$160","'DADOS_CUSTOM'!$CM$2:$CM$160")),$J2)=0),"Opção inválida: "&amp;SWITCH($B2,"Origem","BASE DO LIVRO","Marcante","","Menor","","Arma","PROPRIEDADE 3","Escudo","","Uniforme","","Item comum","","Ferramenta amaldiçoada","",""),"")),IF(AND($K2&lt;&gt;"",SWITCH($B2,"Origem","OFÍCIO","Marcante","","Menor","","Arma","PROPRIEDADE 4","Escudo","","Uniforme","","Item comum","","Ferramenta amaldiçoada","","")=""),"Apague campo que este tipo não usa",IF(AND($K2&lt;&gt;"",COUNTIF(INDIRECT(SWITCH($B2,"Origem","'DADOS_PROGRESSAO'!$AJ$2:$AJ$23","Marcante","'DADOS_CUSTOM'!$CM$2:$CM$160","Menor","'DADOS_CUSTOM'!$CM$2:$CM$160","Arma","'DADOS_CUSTOM'!$CI$2:$CI$160","Escudo","'DADOS_CUSTOM'!$CM$2:$CM$160","Uniforme","'DADOS_CUSTOM'!$CM$2:$CM$160","Item comum","'DADOS_CUSTOM'!$CM$2:$CM$160","Ferramenta amaldiçoada","'DADOS_CUSTOM'!$CM$2:$CM$160","'DADOS_CUSTOM'!$CM$2:$CM$160")),$K2)=0),"Opção inválida: "&amp;SWITCH($B2,"Origem","OFÍCIO","Marcante","","Menor","","Arma","PROPRIEDADE 4","Escudo","","Uniforme","","Item comum","","Ferramenta amaldiçoada","",""),"")),IF(AND($L2&lt;&gt;"",SWITCH($B2,"Origem","TALENTO CE 4","Marcante","FREQUÊNCIA","Menor","FREQUÊNCIA","Arma","DADO","Escudo","PROTEÇÃO","Uniforme","PROTEÇÃO","Item comum","VOLUME","Ferramenta amaldiçoada","ESTIGMA","")=""),"Apague campo que este tipo não usa",IF(AND(OR($B2="Escudo",$B2="Uniforme",$B2="Item comum"),$L2&lt;&gt;"",NOT(ISNUMBER($L2)),NOT(AND($L2="—",FALSE))),"Informe número: "&amp;SWITCH($B2,"Origem","TALENTO CE 4","Marcante","FREQUÊNCIA","Menor","FREQUÊNCIA","Arma","DADO","Escudo","PROTEÇÃO","Uniforme","PROTEÇÃO","Item comum","VOLUME","Ferramenta amaldiçoada","ESTIGMA",""),"")),IF(AND($M2&lt;&gt;"",SWITCH($B2,"Origem","","Marcante","","Menor","","Arma","FORÇA","Escudo","TETO DE DESTREZA","Uniforme","TETO DE DESTREZA","Item comum","PREÇO","Ferramenta amaldiçoada","DESGASTE","")=""),"Apague campo que este tipo não usa",IF(AND(OR($B2="Arma",$B2="Escudo",$B2="Uniforme",$B2="Item comum",$B2="Ferramenta amaldiçoada"),$M2&lt;&gt;"",NOT(ISNUMBER($M2)),NOT(AND($M2="—",OR($B2="Arma",$B2="Escudo",$B2="Uniforme",$B2="Ferramenta amaldiçoada")))),"Informe número: "&amp;SWITCH($B2,"Origem","","Marcante","","Menor","","Arma","FORÇA","Escudo","TETO DE DESTREZA","Uniforme","TETO DE DESTREZA","Item comum","PREÇO","Ferramenta amaldiçoada","DESGASTE",""),"")),IF(AND($N2&lt;&gt;"",SWITCH($B2,"Origem","","Marcante","","Menor","","Arma","VOLUME","Escudo","FORÇA","Uniforme","FORÇA","Item comum","","Ferramenta amaldiçoada","VOLUME","")=""),"Apague campo que este tipo não usa",IF(AND(OR($B2="Arma",$B2="Escudo",$B2="Uniforme",$B2="Ferramenta amaldiçoada"),$N2&lt;&gt;"",NOT(ISNUMBER($N2)),NOT(AND($N2="—",OR($B2="Escudo",$B2="Uniforme")))),"Informe número: "&amp;SWITCH($B2,"Origem","","Marcante","","Menor","","Arma","VOLUME","Escudo","FORÇA","Uniforme","FORÇA","Item comum","","Ferramenta amaldiçoada","VOLUME",""),"")),IF(AND($O2&lt;&gt;"",SWITCH($B2,"Origem","","Marcante","","Menor","","Arma","ALCANCE","Escudo","VOLUME","Uniforme","VOLUME","Item comum","","Ferramenta amaldiçoada","PREÇO","")=""),"Apague campo que este tipo não usa",IF(AND(OR($B2="Escudo",$B2="Uniforme",$B2="Ferramenta amaldiçoada"),$O2&lt;&gt;"",NOT(ISNUMBER($O2)),NOT(AND($O2="—",FALSE))),"Informe número: "&amp;SWITCH($B2,"Origem","","Marcante","","Menor","","Arma","ALCANCE","Escudo","VOLUME","Uniforme","VOLUME","Item comum","","Ferramenta amaldiçoada","PREÇO",""),"")),IF(AND($P2&lt;&gt;"",SWITCH($B2,"Origem","","Marcante","","Menor","","Arma","RECARGA","Escudo","PREÇO","Uniforme","PREÇO","Item comum","","Ferramenta amaldiçoada","","")=""),"Apague campo que este tipo não usa",IF(AND(OR($B2="Arma",$B2="Escudo",$B2="Uniforme"),$P2&lt;&gt;"",NOT(ISNUMBER($P2)),NOT(AND($P2="—",OR($B2="Arma")))),"Informe número: "&amp;SWITCH($B2,"Origem","","Marcante","","Menor","","Arma","RECARGA","Escudo","PREÇO","Uniforme","PREÇO","Item comum","","Ferramenta amaldiçoada","",""),"")),IF(AND($Q2&lt;&gt;"",SWITCH($B2,"Origem","","Marcante","","Menor","","Arma","PREÇO","Escudo","","Uniforme","","Item comum","","Ferramenta amaldiçoada","","")=""),"Apague campo que este tipo não usa",IF(AND(OR($B2="Arma"),$Q2&lt;&gt;"",NOT(ISNUMBER($Q2)),NOT(AND($Q2="—",FALSE))),"Informe número: "&amp;SWITCH($B2,"Origem","","Marcante","","Menor","","Arma","PREÇO","Escudo","","Uniforme","","Item comum","","Ferramenta amaldiçoada","",""),"")),IF(AND($B2="Origem",OR($E2="",$F2="",$G2="",$H2="",$I2="")),"Preencha os campos obrigatórios de Origem","")))</f>
        <v/>
      </c>
      <c r="KA2" s="175">
        <f>IF(AND($B2="",$C2="",LEN(TEXTJOIN("",TRUE,E2:R2))=0),"",TEXTJOIN(" · ",TRUE,IF(AND($B2="Marcante",OR($E2="")),"Preencha os campos obrigatórios de Marcante",""),IF(AND($B2="Menor",OR($E2="")),"Preencha os campos obrigatórios de Menor",""),IF(AND($B2="Arma",OR($E2="",$F2="",$G2="",$L2="",$M2="",$N2="")),"Preencha os campos obrigatórios de Arma",""),IF(AND($B2="Escudo",OR($L2="",$M2="",$N2="",$O2="")),"Preencha os campos obrigatórios de Escudo",""),IF(AND($B2="Uniforme",OR($E2="",$L2="",$M2="",$N2="",$O2="")),"Preencha os campos obrigatórios de Uniforme",""),IF(AND($B2="Item comum",OR($L2="")),"Preencha os campos obrigatórios de Item comum",""),IF(AND($B2="Ferramenta amaldiçoada",OR($E2="",$F2="")),"Preencha os campos obrigatórios de Ferramenta amaldiçoada",""),IF(AND($B2="Origem",COUNTA(E2:H2)=4,NOT(AND(E2&lt;&gt;F2,E2&lt;&gt;G2,E2&lt;&gt;H2,F2&lt;&gt;G2,F2&lt;&gt;H2,G2&lt;&gt;H2))),"Escolha quatro perícias diferentes",""),IF(AND($B2="Origem",J2="Latente",NOT(OR(I2="Fundamento",I2="Manejos"))),"ROTA não combina com BASE DO LIVRO",""),IF(AND($B2="Origem",J2="Receptáculo",NOT(OR(I2="Fundamento",I2="Manejos"))),"ROTA não combina com BASE DO LIVRO",""),IF(AND($B2="Origem",J2="Descendente",NOT(OR(I2="Fundamento",I2="Manejos"))),"ROTA não combina com BASE DO LIVRO",""),IF(AND($B2="Origem",J2="Encarnado",NOT(OR(I2="Fundamento",I2="Manejos"))),"ROTA não combina com BASE DO LIVRO",""),IF(AND($B2="Origem",J2="Híbrido",NOT(OR(I2="Fundamento",I2="Manejos"))),"ROTA não combina com BASE DO LIVRO",""),IF(AND($B2="Origem",J2="Corpo Amaldiçoado",NOT(OR(I2="Técnica Marcial com energia"))),"ROTA não combina com BASE DO LIVRO",""),IF(AND($B2="Origem",J2="Restrição Celestial · Sem Energia",NOT(OR(I2="Técnica Marcial sem energia"))),"ROTA não combina com BASE DO LIVRO",""),IF(AND($B2="Origem",J2="Restrição Celestial · Restrição corporal",NOT(OR(I2="Fundamento"))),"ROTA não combina com BASE DO LIVRO","")))</f>
        <v/>
      </c>
    </row>
    <row r="3">
      <c r="A3" s="175" t="n">
        <v>2</v>
      </c>
      <c r="B3" s="175">
        <f>IF(ISBLANK('CONFIGURAÇÃO'!$AB$14),"",'CONFIGURAÇÃO'!$AB$14)</f>
        <v/>
      </c>
      <c r="C3" s="175">
        <f>IF(ISBLANK('CONFIGURAÇÃO'!$AB$16),"",'CONFIGURAÇÃO'!$AB$16)</f>
        <v/>
      </c>
      <c r="D3" s="175">
        <f>IF(ISBLANK('CONFIGURAÇÃO'!$AF$14),"",'CONFIGURAÇÃO'!$AF$14)</f>
        <v/>
      </c>
      <c r="E3" s="175">
        <f>IF(ISBLANK('CONFIGURAÇÃO'!$AD$17),"",'CONFIGURAÇÃO'!$AD$17)</f>
        <v/>
      </c>
      <c r="F3" s="175">
        <f>IF(ISBLANK('CONFIGURAÇÃO'!$AD$18),"",'CONFIGURAÇÃO'!$AD$18)</f>
        <v/>
      </c>
      <c r="G3" s="175">
        <f>IF(ISBLANK('CONFIGURAÇÃO'!$AD$19),"",'CONFIGURAÇÃO'!$AD$19)</f>
        <v/>
      </c>
      <c r="H3" s="175">
        <f>IF(ISBLANK('CONFIGURAÇÃO'!$AD$20),"",'CONFIGURAÇÃO'!$AD$20)</f>
        <v/>
      </c>
      <c r="I3" s="175">
        <f>IF(ISBLANK('CONFIGURAÇÃO'!$AD$21),"",'CONFIGURAÇÃO'!$AD$21)</f>
        <v/>
      </c>
      <c r="J3" s="175">
        <f>IF(ISBLANK('CONFIGURAÇÃO'!$AD$22),"",'CONFIGURAÇÃO'!$AD$22)</f>
        <v/>
      </c>
      <c r="K3" s="175">
        <f>IF(ISBLANK('CONFIGURAÇÃO'!$AD$23),"",'CONFIGURAÇÃO'!$AD$23)</f>
        <v/>
      </c>
      <c r="L3" s="175">
        <f>IF(ISBLANK('CONFIGURAÇÃO'!$AD$24),"",'CONFIGURAÇÃO'!$AD$24)</f>
        <v/>
      </c>
      <c r="M3" s="175">
        <f>IF(ISBLANK('CONFIGURAÇÃO'!$AD$25),"",'CONFIGURAÇÃO'!$AD$25)</f>
        <v/>
      </c>
      <c r="N3" s="175">
        <f>IF(ISBLANK('CONFIGURAÇÃO'!$AD$26),"",'CONFIGURAÇÃO'!$AD$26)</f>
        <v/>
      </c>
      <c r="O3" s="175">
        <f>IF(ISBLANK('CONFIGURAÇÃO'!$AD$27),"",'CONFIGURAÇÃO'!$AD$27)</f>
        <v/>
      </c>
      <c r="P3" s="175">
        <f>IF(ISBLANK('CONFIGURAÇÃO'!$AD$28),"",'CONFIGURAÇÃO'!$AD$28)</f>
        <v/>
      </c>
      <c r="Q3" s="175">
        <f>IF(ISBLANK('CONFIGURAÇÃO'!$AD$29),"",'CONFIGURAÇÃO'!$AD$29)</f>
        <v/>
      </c>
      <c r="R3" s="175">
        <f>IF(ISBLANK('CONFIGURAÇÃO'!$AB$31),"",'CONFIGURAÇÃO'!$AB$31)</f>
        <v/>
      </c>
      <c r="S3" s="175">
        <f>TEXTJOIN(" · ",TRUE,U3,V3,W3,X3)</f>
        <v/>
      </c>
      <c r="T3" s="175">
        <f>AND(B3&lt;&gt;"",C3&lt;&gt;"",S3="")</f>
        <v/>
      </c>
      <c r="U3" s="175">
        <f>TEXTJOIN(" · ",TRUE,JY3:KA3)</f>
        <v/>
      </c>
      <c r="V3" s="175">
        <f>IF(AND(OR($B3="Marcante",$B3="Menor"),NOT(OR(COUNTIF('DADOS_CUSTOM'!$CD$2:$CD$160,E3)&gt;0,COUNTIFS('DADOS_CUSTOM'!$C$2:$C$26,E3,'DADOS_CUSTOM'!$B$2:$B$26,"Origem",'DADOS_CUSTOM'!$U$2:$U$26,"")=1))),"Origem vinculada não existe ou tem erro",IF(AND($B3="Marcante",NOT(OR(E3="Restrição Celestial · Restrição corporal",AND(COUNTIFS('DADOS_CUSTOM'!$C$2:$C$26,E3,'DADOS_CUSTOM'!$B$2:$B$26,"Origem",'DADOS_CUSTOM'!$U$2:$U$26,"")=1,OR(IFERROR(INDEX('DADOS_CUSTOM'!$J$2:$J$26,MATCH(E3,'DADOS_CUSTOM'!$C$2:$C$26,0)),E3)="",IFERROR(INDEX('DADOS_CUSTOM'!$J$2:$J$26,MATCH(E3,'DADOS_CUSTOM'!$C$2:$C$26,0)),E3)="Nenhuma",IFERROR(INDEX('DADOS_CUSTOM'!$J$2:$J$26,MATCH(E3,'DADOS_CUSTOM'!$C$2:$C$26,0)),E3)="Restrição Celestial · Restrição corporal"))))),"Marcante própria só para Restrição corporal ou Origem do zero; use a marcante publicada da base",""))</f>
        <v/>
      </c>
      <c r="W3" s="175">
        <f>IF(AND($B3="Menor",F3&lt;&gt;"",F3&lt;&gt;"—",NOT(OR(AND(F3="Tentativa e Erro",OR(E3="Latente",IFERROR(INDEX('DADOS_CUSTOM'!$J$2:$J$26,MATCH(E3,'DADOS_CUSTOM'!$C$2:$C$26,0)),E3)="Latente")),AND(F3="Coexistência",OR(E3="Receptáculo",IFERROR(INDEX('DADOS_CUSTOM'!$J$2:$J$26,MATCH(E3,'DADOS_CUSTOM'!$C$2:$C$26,0)),E3)="Receptáculo")),AND(F3="Conflito",OR(E3="Receptáculo",IFERROR(INDEX('DADOS_CUSTOM'!$J$2:$J$26,MATCH(E3,'DADOS_CUSTOM'!$C$2:$C$26,0)),E3)="Receptáculo")),AND(F3="Zenin",OR(E3="Descendente",IFERROR(INDEX('DADOS_CUSTOM'!$J$2:$J$26,MATCH(E3,'DADOS_CUSTOM'!$C$2:$C$26,0)),E3)="Descendente")),AND(F3="Kamo",OR(E3="Descendente",IFERROR(INDEX('DADOS_CUSTOM'!$J$2:$J$26,MATCH(E3,'DADOS_CUSTOM'!$C$2:$C$26,0)),E3)="Descendente")),AND(F3="Gojo",OR(E3="Descendente",IFERROR(INDEX('DADOS_CUSTOM'!$J$2:$J$26,MATCH(E3,'DADOS_CUSTOM'!$C$2:$C$26,0)),E3)="Descendente")),AND(F3="Inumaki",OR(E3="Descendente",IFERROR(INDEX('DADOS_CUSTOM'!$J$2:$J$26,MATCH(E3,'DADOS_CUSTOM'!$C$2:$C$26,0)),E3)="Descendente")),AND(F3="Duas Vidas",OR(E3="Encarnado",IFERROR(INDEX('DADOS_CUSTOM'!$J$2:$J$26,MATCH(E3,'DADOS_CUSTOM'!$C$2:$C$26,0)),E3)="Encarnado")),AND(F3="Regeneração Orgânica",OR(E3="Híbrido",IFERROR(INDEX('DADOS_CUSTOM'!$J$2:$J$26,MATCH(E3,'DADOS_CUSTOM'!$C$2:$C$26,0)),E3)="Híbrido")),AND(F3="Existência Artificial",OR(E3="Corpo Amaldiçoado",IFERROR(INDEX('DADOS_CUSTOM'!$J$2:$J$26,MATCH(E3,'DADOS_CUSTOM'!$C$2:$C$26,0)),E3)="Corpo Amaldiçoado")),AND(F3="Ataque sem Prenúncio",OR(E3="Restrição Celestial · Sem Energia",IFERROR(INDEX('DADOS_CUSTOM'!$J$2:$J$26,MATCH(E3,'DADOS_CUSTOM'!$C$2:$C$26,0)),E3)="Restrição Celestial · Sem Energia")),AND(F3="Corpo Debilitado",OR(E3="Restrição Celestial · Restrição corporal",IFERROR(INDEX('DADOS_CUSTOM'!$J$2:$J$26,MATCH(E3,'DADOS_CUSTOM'!$C$2:$C$26,0)),E3)="Restrição Celestial · Restrição corporal")),AND(F3="Corpo Quebradiço",OR(E3="Restrição Celestial · Restrição corporal",IFERROR(INDEX('DADOS_CUSTOM'!$J$2:$J$26,MATCH(E3,'DADOS_CUSTOM'!$C$2:$C$26,0)),E3)="Restrição Celestial · Restrição corporal")),AND(F3="Corpo Exaurido",OR(E3="Restrição Celestial · Restrição corporal",IFERROR(INDEX('DADOS_CUSTOM'!$J$2:$J$26,MATCH(E3,'DADOS_CUSTOM'!$C$2:$C$26,0)),E3)="Restrição Celestial · Restrição corporal")),COUNTIFS('DADOS_CUSTOM'!$C$2:$C$26,F3,'DADOS_CUSTOM'!$B$2:$B$26,"Marcante",'DADOS_CUSTOM'!$E$2:$E$26,E3,'DADOS_CUSTOM'!$U$2:$U$26,"",'DADOS_CUSTOM'!$V$2:$V$26,"")=1))),"Marcante exigida não pertence à Origem ou tem erro","")</f>
        <v/>
      </c>
      <c r="X3" s="175">
        <f>IF(AND($B3="Ferramenta amaldiçoada",NOT(OR(COUNTIF('DADOS_CUSTOM'!$CK$2:$CK$75,E3)&gt;0,OR(COUNTIFS('DADOS_CUSTOM'!$C$2:$C$26,E3,'DADOS_CUSTOM'!$B$2:$B$26,"Arma",'DADOS_CUSTOM'!$U$2:$U$26,"")=1,COUNTIFS('DADOS_CUSTOM'!$C$2:$C$26,E3,'DADOS_CUSTOM'!$B$2:$B$26,"Escudo",'DADOS_CUSTOM'!$U$2:$U$26,"")=1,COUNTIFS('DADOS_CUSTOM'!$C$2:$C$26,E3,'DADOS_CUSTOM'!$B$2:$B$26,"Uniforme",'DADOS_CUSTOM'!$U$2:$U$26,"")=1,COUNTIFS('DADOS_CUSTOM'!$C$2:$C$26,E3,'DADOS_CUSTOM'!$B$2:$B$26,"Item comum",'DADOS_CUSTOM'!$U$2:$U$26,"")=1)))),"Base da ferramenta não existe ou tem erro","")</f>
        <v/>
      </c>
      <c r="AA3" s="175" t="inlineStr">
        <is>
          <t>Besta</t>
        </is>
      </c>
      <c r="AB3" s="175" t="inlineStr">
        <is>
          <t>Balestra</t>
        </is>
      </c>
      <c r="AC3" s="175" t="n">
        <v>2</v>
      </c>
      <c r="AD3" s="175" t="inlineStr">
        <is>
          <t>2d8</t>
        </is>
      </c>
      <c r="AE3" s="175" t="inlineStr">
        <is>
          <t>Longo Alcance · Munição · Rompe</t>
        </is>
      </c>
      <c r="AF3" s="175" t="n">
        <v>3</v>
      </c>
      <c r="AG3" s="175" t="n">
        <v>2</v>
      </c>
      <c r="AH3" s="175" t="inlineStr">
        <is>
          <t>30 m, longa 120 m</t>
        </is>
      </c>
      <c r="AI3" s="175" t="n">
        <v>1</v>
      </c>
      <c r="AJ3" s="175">
        <f>'FICHA PESSOAL'!$V$82</f>
        <v/>
      </c>
      <c r="AK3" s="175">
        <f>ADDRESS(ROW('FICHA PESSOAL'!V82),COLUMN('FICHA PESSOAL'!V82),4)</f>
        <v/>
      </c>
      <c r="AM3" s="175" t="inlineStr">
        <is>
          <t>Traje 2</t>
        </is>
      </c>
      <c r="AN3" s="175" t="n">
        <v>2</v>
      </c>
      <c r="AO3" s="175" t="inlineStr">
        <is>
          <t>—</t>
        </is>
      </c>
      <c r="AP3" s="175" t="n">
        <v>0</v>
      </c>
      <c r="AQ3" s="175" t="n">
        <v>1</v>
      </c>
      <c r="AR3" s="175" t="n">
        <v>1</v>
      </c>
      <c r="AS3" s="175" t="inlineStr">
        <is>
          <t>Grau 4</t>
        </is>
      </c>
      <c r="AU3" s="175" t="inlineStr">
        <is>
          <t>Lanterna elétrica</t>
        </is>
      </c>
      <c r="AV3" s="175" t="n">
        <v>0.2</v>
      </c>
      <c r="AW3" s="175" t="n">
        <v>3000</v>
      </c>
      <c r="AX3" s="175" t="inlineStr">
        <is>
          <t>Com pilhas; 8 horas de uso</t>
        </is>
      </c>
      <c r="AZ3" s="175" t="inlineStr">
        <is>
          <t>Coexistência</t>
        </is>
      </c>
      <c r="BA3" s="175" t="inlineStr">
        <is>
          <t>Receptáculo</t>
        </is>
      </c>
      <c r="BB3" s="175" t="inlineStr">
        <is>
          <t>marcante</t>
        </is>
      </c>
      <c r="BC3" s="175" t="inlineStr"/>
      <c r="BD3" s="175" t="inlineStr">
        <is>
          <t>Uma vez por cena</t>
        </is>
      </c>
      <c r="BE3" s="175" t="inlineStr">
        <is>
          <t>A presença aceita conscientemente você à frente do corpo. As identidades permanecem distintas e ainda podem discordar. Sua marcante reúne Repertório Compartilhado e Amparo Interior.
Repertório Compartilhado.
Ao receber a marcante, aprenda dois feitiços adicionais, fora dos espaços comuns de repertório. Se for Sem Técnica, receba dois Manejos em seu lugar. Eles seguem a Regra, as Famílias, os requisitos e o limite de Classe da sua rota, com ações e custos normais.
O ganho acontece uma vez. As aplicações permanecem conhecidas e seguem as revisões normais da ficha. Não são espaços livres para Talentos, Domínio ou invocações, não concedem outra Regra e não aumentam a quantidade de Classe 0.
Amparo Interior.
Uma vez por cena, no começo do seu turno, se estiver Atordoado, pode gastar 6 PE para encerrar essa condição em você, sem ação ou teste, antes de perder a Padrão daquele turno. Precisa ter vida e Integridade positivas e PE suficientes.
Amparo não encerra Inconsciente, não recupera reservas nem devolve ações gastas ou perdidas em turnos anteriores. Uma Concentração já interrompida continua encerrada.</t>
        </is>
      </c>
      <c r="BG3" s="175" t="inlineStr">
        <is>
          <t>Receptáculo</t>
        </is>
      </c>
      <c r="BH3" s="175" t="inlineStr">
        <is>
          <t>Sentir Energia, Ocultismo, Intuição ou Religião</t>
        </is>
      </c>
      <c r="BI3" s="175" t="inlineStr">
        <is>
          <t>Fundamento, ou Manejos se escolher Sem Técnica</t>
        </is>
      </c>
      <c r="BM3" s="175" t="inlineStr">
        <is>
          <t>Médio</t>
        </is>
      </c>
      <c r="BN3" s="175" t="inlineStr">
        <is>
          <t>Escudo</t>
        </is>
      </c>
      <c r="BO3" s="175" t="n">
        <v>2</v>
      </c>
      <c r="BP3" s="175" t="n">
        <v>3</v>
      </c>
      <c r="BQ3" s="175" t="n">
        <v>3</v>
      </c>
      <c r="BR3" s="175" t="n">
        <v>1</v>
      </c>
      <c r="BS3" s="175" t="inlineStr">
        <is>
          <t>—</t>
        </is>
      </c>
      <c r="BT3" s="175" t="inlineStr"/>
      <c r="BU3" s="175" t="inlineStr"/>
      <c r="BV3" s="175" t="inlineStr">
        <is>
          <t>Algema</t>
        </is>
      </c>
      <c r="BW3" s="175">
        <f>IF(AND($B2="Origem",OR($J2="",$J2="Nenhuma",$J2="Restrição Celestial · Restrição corporal")),$C2,"")</f>
        <v/>
      </c>
      <c r="BZ3" s="175" t="inlineStr">
        <is>
          <t>Marcante</t>
        </is>
      </c>
      <c r="CA3" s="175" t="inlineStr">
        <is>
          <t>Acrobacia</t>
        </is>
      </c>
      <c r="CB3" s="175" t="inlineStr">
        <is>
          <t>Manejos</t>
        </is>
      </c>
      <c r="CC3" s="175" t="inlineStr">
        <is>
          <t>Receptáculo</t>
        </is>
      </c>
      <c r="CD3" s="175" t="inlineStr">
        <is>
          <t>Latente</t>
        </is>
      </c>
      <c r="CE3" s="175" t="inlineStr">
        <is>
          <t>Condução</t>
        </is>
      </c>
      <c r="CF3" s="175" t="inlineStr">
        <is>
          <t>Armas Longas</t>
        </is>
      </c>
      <c r="CG3" s="175" t="n">
        <v>2</v>
      </c>
      <c r="CH3" s="175">
        <f>IF('DADOS_DANOS'!$J$3="","",'DADOS_DANOS'!$J$3)</f>
        <v/>
      </c>
      <c r="CI3" s="175" t="inlineStr">
        <is>
          <t>Leve</t>
        </is>
      </c>
      <c r="CJ3" s="175" t="inlineStr">
        <is>
          <t>Grau 4</t>
        </is>
      </c>
      <c r="CK3" s="175" t="inlineStr">
        <is>
          <t>Besta</t>
        </is>
      </c>
      <c r="CL3" s="175" t="inlineStr">
        <is>
          <t>Tentativa e Erro</t>
        </is>
      </c>
      <c r="CP3" s="175">
        <f>IFERROR(FILTER('DADOS_CUSTOM'!$AZ$2:$AZ$107,(('DADOS_CUSTOM'!$BA$2:$BA$107=DADOS!$CZ$52)+((IFERROR(INDEX('DADOS_CUSTOM'!$J$2:$J$26,MATCH(DADOS!$CZ$52,'DADOS_CUSTOM'!$C$2:$C$26,0)),"")&lt;&gt;"")*(IFERROR(INDEX('DADOS_CUSTOM'!$J$2:$J$26,MATCH(DADOS!$CZ$52,'DADOS_CUSTOM'!$C$2:$C$26,0)),"")&lt;&gt;"Nenhuma")*('DADOS_CUSTOM'!$BA$2:$BA$107=IFERROR(INDEX('DADOS_CUSTOM'!$J$2:$J$26,MATCH(DADOS!$CZ$52,'DADOS_CUSTOM'!$C$2:$C$26,0)),"")))),'DADOS_CUSTOM'!$BB$2:$BB$107="marcante"),"")</f>
        <v/>
      </c>
      <c r="CQ3" s="175">
        <f>IFERROR(FILTER('DADOS_CUSTOM'!$AZ$2:$AZ$107,(('DADOS_CUSTOM'!$BA$2:$BA$107=DADOS!$CZ$52)+((IFERROR(INDEX('DADOS_CUSTOM'!$J$2:$J$26,MATCH(DADOS!$CZ$52,'DADOS_CUSTOM'!$C$2:$C$26,0)),"")&lt;&gt;"")*(IFERROR(INDEX('DADOS_CUSTOM'!$J$2:$J$26,MATCH(DADOS!$CZ$52,'DADOS_CUSTOM'!$C$2:$C$26,0)),"")&lt;&gt;"Nenhuma")*('DADOS_CUSTOM'!$BA$2:$BA$107=IFERROR(INDEX('DADOS_CUSTOM'!$J$2:$J$26,MATCH(DADOS!$CZ$52,'DADOS_CUSTOM'!$C$2:$C$26,0)),"")))),'DADOS_CUSTOM'!$BB$2:$BB$107="menor",('DADOS_CUSTOM'!$BC$2:$BC$107="")+('DADOS_CUSTOM'!$BC$2:$BC$107='FICHA PESSOAL'!$D$44)),"")</f>
        <v/>
      </c>
      <c r="CR3" s="175">
        <f>IF(DADOS!$CZ$34&gt;=DADOS!$CC$5,DADOS!$BX$5,"")</f>
        <v/>
      </c>
      <c r="CS3" s="175" t="inlineStr">
        <is>
          <t>Receptáculo</t>
        </is>
      </c>
      <c r="JY3" s="175">
        <f>IF(AND($B3="",$C3="",LEN(TEXTJOIN("",TRUE,E3:R3))=0),"",TEXTJOIN(" · ",TRUE,IF(COUNTIF('DADOS_CUSTOM'!$BZ$2:$BZ$160,$B3)=0,"Escolha um tipo válido",""),IF(LEN(TRIM($C3))=0,"Preencha NOME",""),IF(OR(COUNTIF('DADOS_CUSTOM'!$C$2:$C$26,$C3)&gt;1,COUNTIF('DADOS_CUSTOM'!$BV$2:$BV$171,$C3)&gt;0),"Nome repetido no livro ou custom",""),IF(AND($E3&lt;&gt;"",SWITCH($B3,"Origem","PERÍCIA 1","Marcante","ORIGEM","Menor","ORIGEM","Arma","CATEGORIA","Escudo","","Uniforme","GRAU MÍNIMO","Item comum","","Ferramenta amaldiçoada","BASE","")=""),"Apague campo que este tipo não usa",IF(AND($E3&lt;&gt;"",COUNTIF(INDIRECT(SWITCH($B3,"Origem","'DADOS_PROGRESSAO'!$AG$2:$AG$34","Marcante","'DADOS_CUSTOM'!$BW$2:$BW$160","Menor","'DADOS_CUSTOM'!$CC$2:$CC$160","Arma","'DADOS_CUSTOM'!$CF$2:$CF$160","Escudo","'DADOS_CUSTOM'!$CM$2:$CM$160","Uniforme","'DADOS_CUSTOM'!$CJ$2:$CJ$160","Item comum","'DADOS_CUSTOM'!$CM$2:$CM$160","Ferramenta amaldiçoada","'DADOS_CUSTOM'!$CK$2:$CK$160","'DADOS_CUSTOM'!$CM$2:$CM$160")),$E3)=0),"Opção inválida: "&amp;SWITCH($B3,"Origem","PERÍCIA 1","Marcante","ORIGEM","Menor","ORIGEM","Arma","CATEGORIA","Escudo","","Uniforme","GRAU MÍNIMO","Item comum","","Ferramenta amaldiçoada","BASE",""),"")),IF(AND($F3&lt;&gt;"",SWITCH($B3,"Origem","PERÍCIA 2","Marcante","","Menor","EXIGE MARCANTE","Arma","MÃO","Escudo","","Uniforme","","Item comum","","Ferramenta amaldiçoada","GRAU","")=""),"Apague campo que este tipo não usa",IF(AND($F3&lt;&gt;"",COUNTIF(INDIRECT(SWITCH($B3,"Origem","'DADOS_PROGRESSAO'!$AG$2:$AG$34","Marcante","'DADOS_CUSTOM'!$CM$2:$CM$160","Menor","'DADOS_CUSTOM'!$CL$2:$CL$160","Arma","'DADOS_CUSTOM'!$CG$2:$CG$160","Escudo","'DADOS_CUSTOM'!$CM$2:$CM$160","Uniforme","'DADOS_CUSTOM'!$CM$2:$CM$160","Item comum","'DADOS_CUSTOM'!$CM$2:$CM$160","Ferramenta amaldiçoada","'DADOS_CUSTOM'!$CJ$2:$CJ$160","'DADOS_CUSTOM'!$CM$2:$CM$160")),$F3)=0),"Opção inválida: "&amp;SWITCH($B3,"Origem","PERÍCIA 2","Marcante","","Menor","EXIGE MARCANTE","Arma","MÃO","Escudo","","Uniforme","","Item comum","","Ferramenta amaldiçoada","GRAU",""),"")),IF(AND($G3&lt;&gt;"",SWITCH($B3,"Origem","PERÍCIA 3","Marcante","","Menor","","Arma","TIPO DE DANO","Escudo","","Uniforme","","Item comum","","Ferramenta amaldiçoada","","")=""),"Apague campo que este tipo não usa",IF(AND($G3&lt;&gt;"",COUNTIF(INDIRECT(SWITCH($B3,"Origem","'DADOS_PROGRESSAO'!$AG$2:$AG$34","Marcante","'DADOS_CUSTOM'!$CM$2:$CM$160","Menor","'DADOS_CUSTOM'!$CM$2:$CM$160","Arma","'DADOS_CUSTOM'!$CH$2:$CH$160","Escudo","'DADOS_CUSTOM'!$CM$2:$CM$160","Uniforme","'DADOS_CUSTOM'!$CM$2:$CM$160","Item comum","'DADOS_CUSTOM'!$CM$2:$CM$160","Ferramenta amaldiçoada","'DADOS_CUSTOM'!$CM$2:$CM$160","'DADOS_CUSTOM'!$CM$2:$CM$160")),$G3)=0),"Opção inválida: "&amp;SWITCH($B3,"Origem","PERÍCIA 3","Marcante","","Menor","","Arma","TIPO DE DANO","Escudo","","Uniforme","","Item comum","","Ferramenta amaldiçoada","",""),"")),IF(AND($H3&lt;&gt;"",SWITCH($B3,"Origem","PERÍCIA 4","Marcante","","Menor","","Arma","PROPRIEDADE 1","Escudo","","Uniforme","","Item comum","","Ferramenta amaldiçoada","","")=""),"Apague campo que este tipo não usa",IF(AND($H3&lt;&gt;"",COUNTIF(INDIRECT(SWITCH($B3,"Origem","'DADOS_PROGRESSAO'!$AG$2:$AG$34","Marcante","'DADOS_CUSTOM'!$CM$2:$CM$160","Menor","'DADOS_CUSTOM'!$CM$2:$CM$160","Arma","'DADOS_CUSTOM'!$CI$2:$CI$160","Escudo","'DADOS_CUSTOM'!$CM$2:$CM$160","Uniforme","'DADOS_CUSTOM'!$CM$2:$CM$160","Item comum","'DADOS_CUSTOM'!$CM$2:$CM$160","Ferramenta amaldiçoada","'DADOS_CUSTOM'!$CM$2:$CM$160","'DADOS_CUSTOM'!$CM$2:$CM$160")),$H3)=0),"Opção inválida: "&amp;SWITCH($B3,"Origem","PERÍCIA 4","Marcante","","Menor","","Arma","PROPRIEDADE 1","Escudo","","Uniforme","","Item comum","","Ferramenta amaldiçoada","",""),"")),IF(AND($I3&lt;&gt;"",SWITCH($B3,"Origem","ROTA","Marcante","","Menor","","Arma","PROPRIEDADE 2","Escudo","","Uniforme","","Item comum","","Ferramenta amaldiçoada","","")=""),"Apague campo que este tipo não usa",IF(AND($I3&lt;&gt;"",COUNTIF(INDIRECT(SWITCH($B3,"Origem","'DADOS_CUSTOM'!$CB$2:$CB$160","Marcante","'DADOS_CUSTOM'!$CM$2:$CM$160","Menor","'DADOS_CUSTOM'!$CM$2:$CM$160","Arma","'DADOS_CUSTOM'!$CI$2:$CI$160","Escudo","'DADOS_CUSTOM'!$CM$2:$CM$160","Uniforme","'DADOS_CUSTOM'!$CM$2:$CM$160","Item comum","'DADOS_CUSTOM'!$CM$2:$CM$160","Ferramenta amaldiçoada","'DADOS_CUSTOM'!$CM$2:$CM$160","'DADOS_CUSTOM'!$CM$2:$CM$160")),$I3)=0),"Opção inválida: "&amp;SWITCH($B3,"Origem","ROTA","Marcante","","Menor","","Arma","PROPRIEDADE 2","Escudo","","Uniforme","","Item comum","","Ferramenta amaldiçoada","",""),""))))</f>
        <v/>
      </c>
      <c r="JZ3" s="175">
        <f>IF(AND($B3="",$C3="",LEN(TEXTJOIN("",TRUE,E3:R3))=0),"",TEXTJOIN(" · ",TRUE,IF(AND($J3&lt;&gt;"",SWITCH($B3,"Origem","BASE DO LIVRO","Marcante","","Menor","","Arma","PROPRIEDADE 3","Escudo","","Uniforme","","Item comum","","Ferramenta amaldiçoada","","")=""),"Apague campo que este tipo não usa",IF(AND($J3&lt;&gt;"",COUNTIF(INDIRECT(SWITCH($B3,"Origem","'DADOS_CUSTOM'!$CD$2:$CD$160","Marcante","'DADOS_CUSTOM'!$CM$2:$CM$160","Menor","'DADOS_CUSTOM'!$CM$2:$CM$160","Arma","'DADOS_CUSTOM'!$CI$2:$CI$160","Escudo","'DADOS_CUSTOM'!$CM$2:$CM$160","Uniforme","'DADOS_CUSTOM'!$CM$2:$CM$160","Item comum","'DADOS_CUSTOM'!$CM$2:$CM$160","Ferramenta amaldiçoada","'DADOS_CUSTOM'!$CM$2:$CM$160","'DADOS_CUSTOM'!$CM$2:$CM$160")),$J3)=0),"Opção inválida: "&amp;SWITCH($B3,"Origem","BASE DO LIVRO","Marcante","","Menor","","Arma","PROPRIEDADE 3","Escudo","","Uniforme","","Item comum","","Ferramenta amaldiçoada","",""),"")),IF(AND($K3&lt;&gt;"",SWITCH($B3,"Origem","OFÍCIO","Marcante","","Menor","","Arma","PROPRIEDADE 4","Escudo","","Uniforme","","Item comum","","Ferramenta amaldiçoada","","")=""),"Apague campo que este tipo não usa",IF(AND($K3&lt;&gt;"",COUNTIF(INDIRECT(SWITCH($B3,"Origem","'DADOS_PROGRESSAO'!$AJ$2:$AJ$23","Marcante","'DADOS_CUSTOM'!$CM$2:$CM$160","Menor","'DADOS_CUSTOM'!$CM$2:$CM$160","Arma","'DADOS_CUSTOM'!$CI$2:$CI$160","Escudo","'DADOS_CUSTOM'!$CM$2:$CM$160","Uniforme","'DADOS_CUSTOM'!$CM$2:$CM$160","Item comum","'DADOS_CUSTOM'!$CM$2:$CM$160","Ferramenta amaldiçoada","'DADOS_CUSTOM'!$CM$2:$CM$160","'DADOS_CUSTOM'!$CM$2:$CM$160")),$K3)=0),"Opção inválida: "&amp;SWITCH($B3,"Origem","OFÍCIO","Marcante","","Menor","","Arma","PROPRIEDADE 4","Escudo","","Uniforme","","Item comum","","Ferramenta amaldiçoada","",""),"")),IF(AND($L3&lt;&gt;"",SWITCH($B3,"Origem","TALENTO CE 4","Marcante","FREQUÊNCIA","Menor","FREQUÊNCIA","Arma","DADO","Escudo","PROTEÇÃO","Uniforme","PROTEÇÃO","Item comum","VOLUME","Ferramenta amaldiçoada","ESTIGMA","")=""),"Apague campo que este tipo não usa",IF(AND(OR($B3="Escudo",$B3="Uniforme",$B3="Item comum"),$L3&lt;&gt;"",NOT(ISNUMBER($L3)),NOT(AND($L3="—",FALSE))),"Informe número: "&amp;SWITCH($B3,"Origem","TALENTO CE 4","Marcante","FREQUÊNCIA","Menor","FREQUÊNCIA","Arma","DADO","Escudo","PROTEÇÃO","Uniforme","PROTEÇÃO","Item comum","VOLUME","Ferramenta amaldiçoada","ESTIGMA",""),"")),IF(AND($M3&lt;&gt;"",SWITCH($B3,"Origem","","Marcante","","Menor","","Arma","FORÇA","Escudo","TETO DE DESTREZA","Uniforme","TETO DE DESTREZA","Item comum","PREÇO","Ferramenta amaldiçoada","DESGASTE","")=""),"Apague campo que este tipo não usa",IF(AND(OR($B3="Arma",$B3="Escudo",$B3="Uniforme",$B3="Item comum",$B3="Ferramenta amaldiçoada"),$M3&lt;&gt;"",NOT(ISNUMBER($M3)),NOT(AND($M3="—",OR($B3="Arma",$B3="Escudo",$B3="Uniforme",$B3="Ferramenta amaldiçoada")))),"Informe número: "&amp;SWITCH($B3,"Origem","","Marcante","","Menor","","Arma","FORÇA","Escudo","TETO DE DESTREZA","Uniforme","TETO DE DESTREZA","Item comum","PREÇO","Ferramenta amaldiçoada","DESGASTE",""),"")),IF(AND($N3&lt;&gt;"",SWITCH($B3,"Origem","","Marcante","","Menor","","Arma","VOLUME","Escudo","FORÇA","Uniforme","FORÇA","Item comum","","Ferramenta amaldiçoada","VOLUME","")=""),"Apague campo que este tipo não usa",IF(AND(OR($B3="Arma",$B3="Escudo",$B3="Uniforme",$B3="Ferramenta amaldiçoada"),$N3&lt;&gt;"",NOT(ISNUMBER($N3)),NOT(AND($N3="—",OR($B3="Escudo",$B3="Uniforme")))),"Informe número: "&amp;SWITCH($B3,"Origem","","Marcante","","Menor","","Arma","VOLUME","Escudo","FORÇA","Uniforme","FORÇA","Item comum","","Ferramenta amaldiçoada","VOLUME",""),"")),IF(AND($O3&lt;&gt;"",SWITCH($B3,"Origem","","Marcante","","Menor","","Arma","ALCANCE","Escudo","VOLUME","Uniforme","VOLUME","Item comum","","Ferramenta amaldiçoada","PREÇO","")=""),"Apague campo que este tipo não usa",IF(AND(OR($B3="Escudo",$B3="Uniforme",$B3="Ferramenta amaldiçoada"),$O3&lt;&gt;"",NOT(ISNUMBER($O3)),NOT(AND($O3="—",FALSE))),"Informe número: "&amp;SWITCH($B3,"Origem","","Marcante","","Menor","","Arma","ALCANCE","Escudo","VOLUME","Uniforme","VOLUME","Item comum","","Ferramenta amaldiçoada","PREÇO",""),"")),IF(AND($P3&lt;&gt;"",SWITCH($B3,"Origem","","Marcante","","Menor","","Arma","RECARGA","Escudo","PREÇO","Uniforme","PREÇO","Item comum","","Ferramenta amaldiçoada","","")=""),"Apague campo que este tipo não usa",IF(AND(OR($B3="Arma",$B3="Escudo",$B3="Uniforme"),$P3&lt;&gt;"",NOT(ISNUMBER($P3)),NOT(AND($P3="—",OR($B3="Arma")))),"Informe número: "&amp;SWITCH($B3,"Origem","","Marcante","","Menor","","Arma","RECARGA","Escudo","PREÇO","Uniforme","PREÇO","Item comum","","Ferramenta amaldiçoada","",""),"")),IF(AND($Q3&lt;&gt;"",SWITCH($B3,"Origem","","Marcante","","Menor","","Arma","PREÇO","Escudo","","Uniforme","","Item comum","","Ferramenta amaldiçoada","","")=""),"Apague campo que este tipo não usa",IF(AND(OR($B3="Arma"),$Q3&lt;&gt;"",NOT(ISNUMBER($Q3)),NOT(AND($Q3="—",FALSE))),"Informe número: "&amp;SWITCH($B3,"Origem","","Marcante","","Menor","","Arma","PREÇO","Escudo","","Uniforme","","Item comum","","Ferramenta amaldiçoada","",""),"")),IF(AND($B3="Origem",OR($E3="",$F3="",$G3="",$H3="",$I3="")),"Preencha os campos obrigatórios de Origem","")))</f>
        <v/>
      </c>
      <c r="KA3" s="175">
        <f>IF(AND($B3="",$C3="",LEN(TEXTJOIN("",TRUE,E3:R3))=0),"",TEXTJOIN(" · ",TRUE,IF(AND($B3="Marcante",OR($E3="")),"Preencha os campos obrigatórios de Marcante",""),IF(AND($B3="Menor",OR($E3="")),"Preencha os campos obrigatórios de Menor",""),IF(AND($B3="Arma",OR($E3="",$F3="",$G3="",$L3="",$M3="",$N3="")),"Preencha os campos obrigatórios de Arma",""),IF(AND($B3="Escudo",OR($L3="",$M3="",$N3="",$O3="")),"Preencha os campos obrigatórios de Escudo",""),IF(AND($B3="Uniforme",OR($E3="",$L3="",$M3="",$N3="",$O3="")),"Preencha os campos obrigatórios de Uniforme",""),IF(AND($B3="Item comum",OR($L3="")),"Preencha os campos obrigatórios de Item comum",""),IF(AND($B3="Ferramenta amaldiçoada",OR($E3="",$F3="")),"Preencha os campos obrigatórios de Ferramenta amaldiçoada",""),IF(AND($B3="Origem",COUNTA(E3:H3)=4,NOT(AND(E3&lt;&gt;F3,E3&lt;&gt;G3,E3&lt;&gt;H3,F3&lt;&gt;G3,F3&lt;&gt;H3,G3&lt;&gt;H3))),"Escolha quatro perícias diferentes",""),IF(AND($B3="Origem",J3="Latente",NOT(OR(I3="Fundamento",I3="Manejos"))),"ROTA não combina com BASE DO LIVRO",""),IF(AND($B3="Origem",J3="Receptáculo",NOT(OR(I3="Fundamento",I3="Manejos"))),"ROTA não combina com BASE DO LIVRO",""),IF(AND($B3="Origem",J3="Descendente",NOT(OR(I3="Fundamento",I3="Manejos"))),"ROTA não combina com BASE DO LIVRO",""),IF(AND($B3="Origem",J3="Encarnado",NOT(OR(I3="Fundamento",I3="Manejos"))),"ROTA não combina com BASE DO LIVRO",""),IF(AND($B3="Origem",J3="Híbrido",NOT(OR(I3="Fundamento",I3="Manejos"))),"ROTA não combina com BASE DO LIVRO",""),IF(AND($B3="Origem",J3="Corpo Amaldiçoado",NOT(OR(I3="Técnica Marcial com energia"))),"ROTA não combina com BASE DO LIVRO",""),IF(AND($B3="Origem",J3="Restrição Celestial · Sem Energia",NOT(OR(I3="Técnica Marcial sem energia"))),"ROTA não combina com BASE DO LIVRO",""),IF(AND($B3="Origem",J3="Restrição Celestial · Restrição corporal",NOT(OR(I3="Fundamento"))),"ROTA não combina com BASE DO LIVRO","")))</f>
        <v/>
      </c>
    </row>
    <row r="4">
      <c r="A4" s="175" t="n">
        <v>3</v>
      </c>
      <c r="B4" s="175">
        <f>IF(ISBLANK('CONFIGURAÇÃO'!$T$43),"",'CONFIGURAÇÃO'!$T$43)</f>
        <v/>
      </c>
      <c r="C4" s="175">
        <f>IF(ISBLANK('CONFIGURAÇÃO'!$T$45),"",'CONFIGURAÇÃO'!$T$45)</f>
        <v/>
      </c>
      <c r="D4" s="175">
        <f>IF(ISBLANK('CONFIGURAÇÃO'!$X$43),"",'CONFIGURAÇÃO'!$X$43)</f>
        <v/>
      </c>
      <c r="E4" s="175">
        <f>IF(ISBLANK('CONFIGURAÇÃO'!$V$46),"",'CONFIGURAÇÃO'!$V$46)</f>
        <v/>
      </c>
      <c r="F4" s="175">
        <f>IF(ISBLANK('CONFIGURAÇÃO'!$V$47),"",'CONFIGURAÇÃO'!$V$47)</f>
        <v/>
      </c>
      <c r="G4" s="175">
        <f>IF(ISBLANK('CONFIGURAÇÃO'!$V$48),"",'CONFIGURAÇÃO'!$V$48)</f>
        <v/>
      </c>
      <c r="H4" s="175">
        <f>IF(ISBLANK('CONFIGURAÇÃO'!$V$49),"",'CONFIGURAÇÃO'!$V$49)</f>
        <v/>
      </c>
      <c r="I4" s="175">
        <f>IF(ISBLANK('CONFIGURAÇÃO'!$V$50),"",'CONFIGURAÇÃO'!$V$50)</f>
        <v/>
      </c>
      <c r="J4" s="175">
        <f>IF(ISBLANK('CONFIGURAÇÃO'!$V$51),"",'CONFIGURAÇÃO'!$V$51)</f>
        <v/>
      </c>
      <c r="K4" s="175">
        <f>IF(ISBLANK('CONFIGURAÇÃO'!$V$52),"",'CONFIGURAÇÃO'!$V$52)</f>
        <v/>
      </c>
      <c r="L4" s="175">
        <f>IF(ISBLANK('CONFIGURAÇÃO'!$V$53),"",'CONFIGURAÇÃO'!$V$53)</f>
        <v/>
      </c>
      <c r="M4" s="175">
        <f>IF(ISBLANK('CONFIGURAÇÃO'!$V$54),"",'CONFIGURAÇÃO'!$V$54)</f>
        <v/>
      </c>
      <c r="N4" s="175">
        <f>IF(ISBLANK('CONFIGURAÇÃO'!$V$55),"",'CONFIGURAÇÃO'!$V$55)</f>
        <v/>
      </c>
      <c r="O4" s="175">
        <f>IF(ISBLANK('CONFIGURAÇÃO'!$V$56),"",'CONFIGURAÇÃO'!$V$56)</f>
        <v/>
      </c>
      <c r="P4" s="175">
        <f>IF(ISBLANK('CONFIGURAÇÃO'!$V$57),"",'CONFIGURAÇÃO'!$V$57)</f>
        <v/>
      </c>
      <c r="Q4" s="175">
        <f>IF(ISBLANK('CONFIGURAÇÃO'!$V$58),"",'CONFIGURAÇÃO'!$V$58)</f>
        <v/>
      </c>
      <c r="R4" s="175">
        <f>IF(ISBLANK('CONFIGURAÇÃO'!$T$60),"",'CONFIGURAÇÃO'!$T$60)</f>
        <v/>
      </c>
      <c r="S4" s="175">
        <f>TEXTJOIN(" · ",TRUE,U4,V4,W4,X4)</f>
        <v/>
      </c>
      <c r="T4" s="175">
        <f>AND(B4&lt;&gt;"",C4&lt;&gt;"",S4="")</f>
        <v/>
      </c>
      <c r="U4" s="175">
        <f>TEXTJOIN(" · ",TRUE,JY4:KA4)</f>
        <v/>
      </c>
      <c r="V4" s="175">
        <f>IF(AND(OR($B4="Marcante",$B4="Menor"),NOT(OR(COUNTIF('DADOS_CUSTOM'!$CD$2:$CD$160,E4)&gt;0,COUNTIFS('DADOS_CUSTOM'!$C$2:$C$26,E4,'DADOS_CUSTOM'!$B$2:$B$26,"Origem",'DADOS_CUSTOM'!$U$2:$U$26,"")=1))),"Origem vinculada não existe ou tem erro",IF(AND($B4="Marcante",NOT(OR(E4="Restrição Celestial · Restrição corporal",AND(COUNTIFS('DADOS_CUSTOM'!$C$2:$C$26,E4,'DADOS_CUSTOM'!$B$2:$B$26,"Origem",'DADOS_CUSTOM'!$U$2:$U$26,"")=1,OR(IFERROR(INDEX('DADOS_CUSTOM'!$J$2:$J$26,MATCH(E4,'DADOS_CUSTOM'!$C$2:$C$26,0)),E4)="",IFERROR(INDEX('DADOS_CUSTOM'!$J$2:$J$26,MATCH(E4,'DADOS_CUSTOM'!$C$2:$C$26,0)),E4)="Nenhuma",IFERROR(INDEX('DADOS_CUSTOM'!$J$2:$J$26,MATCH(E4,'DADOS_CUSTOM'!$C$2:$C$26,0)),E4)="Restrição Celestial · Restrição corporal"))))),"Marcante própria só para Restrição corporal ou Origem do zero; use a marcante publicada da base",""))</f>
        <v/>
      </c>
      <c r="W4" s="175">
        <f>IF(AND($B4="Menor",F4&lt;&gt;"",F4&lt;&gt;"—",NOT(OR(AND(F4="Tentativa e Erro",OR(E4="Latente",IFERROR(INDEX('DADOS_CUSTOM'!$J$2:$J$26,MATCH(E4,'DADOS_CUSTOM'!$C$2:$C$26,0)),E4)="Latente")),AND(F4="Coexistência",OR(E4="Receptáculo",IFERROR(INDEX('DADOS_CUSTOM'!$J$2:$J$26,MATCH(E4,'DADOS_CUSTOM'!$C$2:$C$26,0)),E4)="Receptáculo")),AND(F4="Conflito",OR(E4="Receptáculo",IFERROR(INDEX('DADOS_CUSTOM'!$J$2:$J$26,MATCH(E4,'DADOS_CUSTOM'!$C$2:$C$26,0)),E4)="Receptáculo")),AND(F4="Zenin",OR(E4="Descendente",IFERROR(INDEX('DADOS_CUSTOM'!$J$2:$J$26,MATCH(E4,'DADOS_CUSTOM'!$C$2:$C$26,0)),E4)="Descendente")),AND(F4="Kamo",OR(E4="Descendente",IFERROR(INDEX('DADOS_CUSTOM'!$J$2:$J$26,MATCH(E4,'DADOS_CUSTOM'!$C$2:$C$26,0)),E4)="Descendente")),AND(F4="Gojo",OR(E4="Descendente",IFERROR(INDEX('DADOS_CUSTOM'!$J$2:$J$26,MATCH(E4,'DADOS_CUSTOM'!$C$2:$C$26,0)),E4)="Descendente")),AND(F4="Inumaki",OR(E4="Descendente",IFERROR(INDEX('DADOS_CUSTOM'!$J$2:$J$26,MATCH(E4,'DADOS_CUSTOM'!$C$2:$C$26,0)),E4)="Descendente")),AND(F4="Duas Vidas",OR(E4="Encarnado",IFERROR(INDEX('DADOS_CUSTOM'!$J$2:$J$26,MATCH(E4,'DADOS_CUSTOM'!$C$2:$C$26,0)),E4)="Encarnado")),AND(F4="Regeneração Orgânica",OR(E4="Híbrido",IFERROR(INDEX('DADOS_CUSTOM'!$J$2:$J$26,MATCH(E4,'DADOS_CUSTOM'!$C$2:$C$26,0)),E4)="Híbrido")),AND(F4="Existência Artificial",OR(E4="Corpo Amaldiçoado",IFERROR(INDEX('DADOS_CUSTOM'!$J$2:$J$26,MATCH(E4,'DADOS_CUSTOM'!$C$2:$C$26,0)),E4)="Corpo Amaldiçoado")),AND(F4="Ataque sem Prenúncio",OR(E4="Restrição Celestial · Sem Energia",IFERROR(INDEX('DADOS_CUSTOM'!$J$2:$J$26,MATCH(E4,'DADOS_CUSTOM'!$C$2:$C$26,0)),E4)="Restrição Celestial · Sem Energia")),AND(F4="Corpo Debilitado",OR(E4="Restrição Celestial · Restrição corporal",IFERROR(INDEX('DADOS_CUSTOM'!$J$2:$J$26,MATCH(E4,'DADOS_CUSTOM'!$C$2:$C$26,0)),E4)="Restrição Celestial · Restrição corporal")),AND(F4="Corpo Quebradiço",OR(E4="Restrição Celestial · Restrição corporal",IFERROR(INDEX('DADOS_CUSTOM'!$J$2:$J$26,MATCH(E4,'DADOS_CUSTOM'!$C$2:$C$26,0)),E4)="Restrição Celestial · Restrição corporal")),AND(F4="Corpo Exaurido",OR(E4="Restrição Celestial · Restrição corporal",IFERROR(INDEX('DADOS_CUSTOM'!$J$2:$J$26,MATCH(E4,'DADOS_CUSTOM'!$C$2:$C$26,0)),E4)="Restrição Celestial · Restrição corporal")),COUNTIFS('DADOS_CUSTOM'!$C$2:$C$26,F4,'DADOS_CUSTOM'!$B$2:$B$26,"Marcante",'DADOS_CUSTOM'!$E$2:$E$26,E4,'DADOS_CUSTOM'!$U$2:$U$26,"",'DADOS_CUSTOM'!$V$2:$V$26,"")=1))),"Marcante exigida não pertence à Origem ou tem erro","")</f>
        <v/>
      </c>
      <c r="X4" s="175">
        <f>IF(AND($B4="Ferramenta amaldiçoada",NOT(OR(COUNTIF('DADOS_CUSTOM'!$CK$2:$CK$75,E4)&gt;0,OR(COUNTIFS('DADOS_CUSTOM'!$C$2:$C$26,E4,'DADOS_CUSTOM'!$B$2:$B$26,"Arma",'DADOS_CUSTOM'!$U$2:$U$26,"")=1,COUNTIFS('DADOS_CUSTOM'!$C$2:$C$26,E4,'DADOS_CUSTOM'!$B$2:$B$26,"Escudo",'DADOS_CUSTOM'!$U$2:$U$26,"")=1,COUNTIFS('DADOS_CUSTOM'!$C$2:$C$26,E4,'DADOS_CUSTOM'!$B$2:$B$26,"Uniforme",'DADOS_CUSTOM'!$U$2:$U$26,"")=1,COUNTIFS('DADOS_CUSTOM'!$C$2:$C$26,E4,'DADOS_CUSTOM'!$B$2:$B$26,"Item comum",'DADOS_CUSTOM'!$U$2:$U$26,"")=1)))),"Base da ferramenta não existe ou tem erro","")</f>
        <v/>
      </c>
      <c r="AA4" s="175" t="inlineStr">
        <is>
          <t>Besta de Uma Mão</t>
        </is>
      </c>
      <c r="AB4" s="175" t="inlineStr">
        <is>
          <t>Balestra</t>
        </is>
      </c>
      <c r="AC4" s="175" t="n">
        <v>1</v>
      </c>
      <c r="AD4" s="175" t="inlineStr">
        <is>
          <t>1d10</t>
        </is>
      </c>
      <c r="AE4" s="175" t="inlineStr">
        <is>
          <t>Longo Alcance · Munição · Oculta · Leve</t>
        </is>
      </c>
      <c r="AF4" s="175" t="inlineStr">
        <is>
          <t>—</t>
        </is>
      </c>
      <c r="AG4" s="175" t="n">
        <v>1</v>
      </c>
      <c r="AH4" s="175" t="inlineStr">
        <is>
          <t>9 m, longa 36 m</t>
        </is>
      </c>
      <c r="AI4" s="175" t="n">
        <v>1</v>
      </c>
      <c r="AJ4" s="175">
        <f>'FICHA PESSOAL'!$V$83</f>
        <v/>
      </c>
      <c r="AK4" s="175">
        <f>ADDRESS(ROW('FICHA PESSOAL'!V83),COLUMN('FICHA PESSOAL'!V83),4)</f>
        <v/>
      </c>
      <c r="AM4" s="175" t="inlineStr">
        <is>
          <t>Traje 3</t>
        </is>
      </c>
      <c r="AN4" s="175" t="n">
        <v>3</v>
      </c>
      <c r="AO4" s="175" t="inlineStr">
        <is>
          <t>—</t>
        </is>
      </c>
      <c r="AP4" s="175" t="n">
        <v>3</v>
      </c>
      <c r="AQ4" s="175" t="n">
        <v>2</v>
      </c>
      <c r="AR4" s="175" t="n">
        <v>1</v>
      </c>
      <c r="AS4" s="175" t="inlineStr">
        <is>
          <t>Grau 4</t>
        </is>
      </c>
      <c r="AU4" s="175" t="inlineStr">
        <is>
          <t>Pilhas de reserva</t>
        </is>
      </c>
      <c r="AV4" s="175" t="n">
        <v>0.1</v>
      </c>
      <c r="AW4" s="175" t="n">
        <v>500</v>
      </c>
      <c r="AX4" s="175" t="inlineStr">
        <is>
          <t>Uma reposição para a lanterna</t>
        </is>
      </c>
      <c r="AZ4" s="175" t="inlineStr">
        <is>
          <t>Conflito</t>
        </is>
      </c>
      <c r="BA4" s="175" t="inlineStr">
        <is>
          <t>Receptáculo</t>
        </is>
      </c>
      <c r="BB4" s="175" t="inlineStr">
        <is>
          <t>marcante</t>
        </is>
      </c>
      <c r="BC4" s="175" t="inlineStr"/>
      <c r="BD4" s="175" t="inlineStr">
        <is>
          <t>Uma vez por dia · Uma vez entre um turno seu e o próximo</t>
        </is>
      </c>
      <c r="BE4" s="175" t="inlineStr">
        <is>
          <t>A presença pretende tomar o corpo, e você a mantém contida. Sua marcante reúne a defesa da alma, Reserva Impregnada e Resposta à Invasão.
Você tem vantagem nos TRs que um efeito permitir para evitar dano de Alma. Isso não cria um teste contra ataques que não o concedam, não amplia o benefício a todo efeito mental ou manipulação da alma e não muda a redução desse dano.
Reserva Impregnada.
Uma vez por dia, use uma Ação Bônus para recuperar PE iguais à metade do seu nível + metade de Essência ou Constituição, escolhida no uso. Arredonde cada metade para baixo, mínimo 1 em cada parcela, sem ultrapassar seus PE máximos.
É recuperação da reserva comum, sem custo de PE ou exigência de vida baixa. Não concede energia temporária.
Resposta à Invasão.
Uma vez entre o começo de um turno seu e o começo do próximo, depois de uma criatura tentar causar dano de Alma ou manipular diretamente sua alma de forma hostil, você pode fazê-la enfrentar a presença que guarda. Resolva a tentativa original normalmente, mesmo que você evite o efeito. Depois, o agressor faz TR de Espírito com desvantagem, CD 8 + sua Maestria + Constituição ou Essência, escolhida no uso.
Na falha, ele fica Amedrontado por você até o fim do próximo turno dele, com o TR normal de saída no fim de cada turno. No sucesso, seja no TR inicial ou numa saída, fica imune à resposta deste Receptáculo até o fim do próximo turno dele. Mantenha a CD da aplicação nas saídas; a desvantagem especial vale para o teste inicial, sem afastar outras fontes que alterem os testes posteriores.
A resposta não gasta ação, Reação ou PE. O limite é total, não um uso por agressor, e é consumido ao exigir o teste inicial. A tentativa original não é desfeita. Dano Psíquico comum, contato físico comum e cura consentida não satisfazem o gatilho por si sós.
Se o efeito começar durante o turno do agressor, “próximo turno” é o seguinte, não o atual. Fora do turno dele, é o primeiro que vier depois. A duração terminar sem sucesso num TR não concede a imunidade; a imunidade recebida não vale contra outras fontes de medo.</t>
        </is>
      </c>
      <c r="BG4" s="175" t="inlineStr">
        <is>
          <t>Descendente</t>
        </is>
      </c>
      <c r="BH4" s="175" t="inlineStr">
        <is>
          <t>Hierarquia, História, Ocultismo ou Persuasão</t>
        </is>
      </c>
      <c r="BI4" s="175" t="inlineStr">
        <is>
          <t>Fundamento, ou Manejos se escolher Sem Técnica</t>
        </is>
      </c>
      <c r="BM4" s="175" t="inlineStr">
        <is>
          <t>Torre</t>
        </is>
      </c>
      <c r="BN4" s="175" t="inlineStr">
        <is>
          <t>Escudo</t>
        </is>
      </c>
      <c r="BO4" s="175" t="n">
        <v>3</v>
      </c>
      <c r="BP4" s="175" t="n">
        <v>1</v>
      </c>
      <c r="BQ4" s="175" t="n">
        <v>5</v>
      </c>
      <c r="BR4" s="175" t="n">
        <v>2</v>
      </c>
      <c r="BS4" s="175" t="inlineStr">
        <is>
          <t>—</t>
        </is>
      </c>
      <c r="BT4" s="175" t="inlineStr"/>
      <c r="BU4" s="175" t="inlineStr"/>
      <c r="BV4" s="175" t="inlineStr">
        <is>
          <t>Amortecimento de Queda</t>
        </is>
      </c>
      <c r="BW4" s="175">
        <f>IF(AND($B3="Origem",OR($J3="",$J3="Nenhuma",$J3="Restrição Celestial · Restrição corporal")),$C3,"")</f>
        <v/>
      </c>
      <c r="BZ4" s="175" t="inlineStr">
        <is>
          <t>Menor</t>
        </is>
      </c>
      <c r="CA4" s="175" t="inlineStr">
        <is>
          <t>Furtividade</t>
        </is>
      </c>
      <c r="CB4" s="175" t="inlineStr">
        <is>
          <t>Técnica Marcial com energia</t>
        </is>
      </c>
      <c r="CC4" s="175" t="inlineStr">
        <is>
          <t>Descendente</t>
        </is>
      </c>
      <c r="CD4" s="175" t="inlineStr">
        <is>
          <t>Receptáculo</t>
        </is>
      </c>
      <c r="CE4" s="175" t="inlineStr">
        <is>
          <t>Arrombamento</t>
        </is>
      </c>
      <c r="CF4" s="175" t="inlineStr">
        <is>
          <t>Arremesso</t>
        </is>
      </c>
      <c r="CH4" s="175">
        <f>IF('DADOS_DANOS'!$J$4="","",'DADOS_DANOS'!$J$4)</f>
        <v/>
      </c>
      <c r="CI4" s="175" t="inlineStr">
        <is>
          <t>Fineza</t>
        </is>
      </c>
      <c r="CJ4" s="175" t="inlineStr">
        <is>
          <t>Grau 3</t>
        </is>
      </c>
      <c r="CK4" s="175" t="inlineStr">
        <is>
          <t>Besta de Uma Mão</t>
        </is>
      </c>
      <c r="CL4" s="175" t="inlineStr">
        <is>
          <t>Coexistência</t>
        </is>
      </c>
      <c r="CR4" s="175">
        <f>IF(DADOS!$CZ$34&gt;=DADOS!$CC$6,DADOS!$BX$6,"")</f>
        <v/>
      </c>
      <c r="CS4" s="175" t="inlineStr">
        <is>
          <t>Descendente</t>
        </is>
      </c>
      <c r="JY4" s="175">
        <f>IF(AND($B4="",$C4="",LEN(TEXTJOIN("",TRUE,E4:R4))=0),"",TEXTJOIN(" · ",TRUE,IF(COUNTIF('DADOS_CUSTOM'!$BZ$2:$BZ$160,$B4)=0,"Escolha um tipo válido",""),IF(LEN(TRIM($C4))=0,"Preencha NOME",""),IF(OR(COUNTIF('DADOS_CUSTOM'!$C$2:$C$26,$C4)&gt;1,COUNTIF('DADOS_CUSTOM'!$BV$2:$BV$171,$C4)&gt;0),"Nome repetido no livro ou custom",""),IF(AND($E4&lt;&gt;"",SWITCH($B4,"Origem","PERÍCIA 1","Marcante","ORIGEM","Menor","ORIGEM","Arma","CATEGORIA","Escudo","","Uniforme","GRAU MÍNIMO","Item comum","","Ferramenta amaldiçoada","BASE","")=""),"Apague campo que este tipo não usa",IF(AND($E4&lt;&gt;"",COUNTIF(INDIRECT(SWITCH($B4,"Origem","'DADOS_PROGRESSAO'!$AG$2:$AG$34","Marcante","'DADOS_CUSTOM'!$BW$2:$BW$160","Menor","'DADOS_CUSTOM'!$CC$2:$CC$160","Arma","'DADOS_CUSTOM'!$CF$2:$CF$160","Escudo","'DADOS_CUSTOM'!$CM$2:$CM$160","Uniforme","'DADOS_CUSTOM'!$CJ$2:$CJ$160","Item comum","'DADOS_CUSTOM'!$CM$2:$CM$160","Ferramenta amaldiçoada","'DADOS_CUSTOM'!$CK$2:$CK$160","'DADOS_CUSTOM'!$CM$2:$CM$160")),$E4)=0),"Opção inválida: "&amp;SWITCH($B4,"Origem","PERÍCIA 1","Marcante","ORIGEM","Menor","ORIGEM","Arma","CATEGORIA","Escudo","","Uniforme","GRAU MÍNIMO","Item comum","","Ferramenta amaldiçoada","BASE",""),"")),IF(AND($F4&lt;&gt;"",SWITCH($B4,"Origem","PERÍCIA 2","Marcante","","Menor","EXIGE MARCANTE","Arma","MÃO","Escudo","","Uniforme","","Item comum","","Ferramenta amaldiçoada","GRAU","")=""),"Apague campo que este tipo não usa",IF(AND($F4&lt;&gt;"",COUNTIF(INDIRECT(SWITCH($B4,"Origem","'DADOS_PROGRESSAO'!$AG$2:$AG$34","Marcante","'DADOS_CUSTOM'!$CM$2:$CM$160","Menor","'DADOS_CUSTOM'!$CL$2:$CL$160","Arma","'DADOS_CUSTOM'!$CG$2:$CG$160","Escudo","'DADOS_CUSTOM'!$CM$2:$CM$160","Uniforme","'DADOS_CUSTOM'!$CM$2:$CM$160","Item comum","'DADOS_CUSTOM'!$CM$2:$CM$160","Ferramenta amaldiçoada","'DADOS_CUSTOM'!$CJ$2:$CJ$160","'DADOS_CUSTOM'!$CM$2:$CM$160")),$F4)=0),"Opção inválida: "&amp;SWITCH($B4,"Origem","PERÍCIA 2","Marcante","","Menor","EXIGE MARCANTE","Arma","MÃO","Escudo","","Uniforme","","Item comum","","Ferramenta amaldiçoada","GRAU",""),"")),IF(AND($G4&lt;&gt;"",SWITCH($B4,"Origem","PERÍCIA 3","Marcante","","Menor","","Arma","TIPO DE DANO","Escudo","","Uniforme","","Item comum","","Ferramenta amaldiçoada","","")=""),"Apague campo que este tipo não usa",IF(AND($G4&lt;&gt;"",COUNTIF(INDIRECT(SWITCH($B4,"Origem","'DADOS_PROGRESSAO'!$AG$2:$AG$34","Marcante","'DADOS_CUSTOM'!$CM$2:$CM$160","Menor","'DADOS_CUSTOM'!$CM$2:$CM$160","Arma","'DADOS_CUSTOM'!$CH$2:$CH$160","Escudo","'DADOS_CUSTOM'!$CM$2:$CM$160","Uniforme","'DADOS_CUSTOM'!$CM$2:$CM$160","Item comum","'DADOS_CUSTOM'!$CM$2:$CM$160","Ferramenta amaldiçoada","'DADOS_CUSTOM'!$CM$2:$CM$160","'DADOS_CUSTOM'!$CM$2:$CM$160")),$G4)=0),"Opção inválida: "&amp;SWITCH($B4,"Origem","PERÍCIA 3","Marcante","","Menor","","Arma","TIPO DE DANO","Escudo","","Uniforme","","Item comum","","Ferramenta amaldiçoada","",""),"")),IF(AND($H4&lt;&gt;"",SWITCH($B4,"Origem","PERÍCIA 4","Marcante","","Menor","","Arma","PROPRIEDADE 1","Escudo","","Uniforme","","Item comum","","Ferramenta amaldiçoada","","")=""),"Apague campo que este tipo não usa",IF(AND($H4&lt;&gt;"",COUNTIF(INDIRECT(SWITCH($B4,"Origem","'DADOS_PROGRESSAO'!$AG$2:$AG$34","Marcante","'DADOS_CUSTOM'!$CM$2:$CM$160","Menor","'DADOS_CUSTOM'!$CM$2:$CM$160","Arma","'DADOS_CUSTOM'!$CI$2:$CI$160","Escudo","'DADOS_CUSTOM'!$CM$2:$CM$160","Uniforme","'DADOS_CUSTOM'!$CM$2:$CM$160","Item comum","'DADOS_CUSTOM'!$CM$2:$CM$160","Ferramenta amaldiçoada","'DADOS_CUSTOM'!$CM$2:$CM$160","'DADOS_CUSTOM'!$CM$2:$CM$160")),$H4)=0),"Opção inválida: "&amp;SWITCH($B4,"Origem","PERÍCIA 4","Marcante","","Menor","","Arma","PROPRIEDADE 1","Escudo","","Uniforme","","Item comum","","Ferramenta amaldiçoada","",""),"")),IF(AND($I4&lt;&gt;"",SWITCH($B4,"Origem","ROTA","Marcante","","Menor","","Arma","PROPRIEDADE 2","Escudo","","Uniforme","","Item comum","","Ferramenta amaldiçoada","","")=""),"Apague campo que este tipo não usa",IF(AND($I4&lt;&gt;"",COUNTIF(INDIRECT(SWITCH($B4,"Origem","'DADOS_CUSTOM'!$CB$2:$CB$160","Marcante","'DADOS_CUSTOM'!$CM$2:$CM$160","Menor","'DADOS_CUSTOM'!$CM$2:$CM$160","Arma","'DADOS_CUSTOM'!$CI$2:$CI$160","Escudo","'DADOS_CUSTOM'!$CM$2:$CM$160","Uniforme","'DADOS_CUSTOM'!$CM$2:$CM$160","Item comum","'DADOS_CUSTOM'!$CM$2:$CM$160","Ferramenta amaldiçoada","'DADOS_CUSTOM'!$CM$2:$CM$160","'DADOS_CUSTOM'!$CM$2:$CM$160")),$I4)=0),"Opção inválida: "&amp;SWITCH($B4,"Origem","ROTA","Marcante","","Menor","","Arma","PROPRIEDADE 2","Escudo","","Uniforme","","Item comum","","Ferramenta amaldiçoada","",""),""))))</f>
        <v/>
      </c>
      <c r="JZ4" s="175">
        <f>IF(AND($B4="",$C4="",LEN(TEXTJOIN("",TRUE,E4:R4))=0),"",TEXTJOIN(" · ",TRUE,IF(AND($J4&lt;&gt;"",SWITCH($B4,"Origem","BASE DO LIVRO","Marcante","","Menor","","Arma","PROPRIEDADE 3","Escudo","","Uniforme","","Item comum","","Ferramenta amaldiçoada","","")=""),"Apague campo que este tipo não usa",IF(AND($J4&lt;&gt;"",COUNTIF(INDIRECT(SWITCH($B4,"Origem","'DADOS_CUSTOM'!$CD$2:$CD$160","Marcante","'DADOS_CUSTOM'!$CM$2:$CM$160","Menor","'DADOS_CUSTOM'!$CM$2:$CM$160","Arma","'DADOS_CUSTOM'!$CI$2:$CI$160","Escudo","'DADOS_CUSTOM'!$CM$2:$CM$160","Uniforme","'DADOS_CUSTOM'!$CM$2:$CM$160","Item comum","'DADOS_CUSTOM'!$CM$2:$CM$160","Ferramenta amaldiçoada","'DADOS_CUSTOM'!$CM$2:$CM$160","'DADOS_CUSTOM'!$CM$2:$CM$160")),$J4)=0),"Opção inválida: "&amp;SWITCH($B4,"Origem","BASE DO LIVRO","Marcante","","Menor","","Arma","PROPRIEDADE 3","Escudo","","Uniforme","","Item comum","","Ferramenta amaldiçoada","",""),"")),IF(AND($K4&lt;&gt;"",SWITCH($B4,"Origem","OFÍCIO","Marcante","","Menor","","Arma","PROPRIEDADE 4","Escudo","","Uniforme","","Item comum","","Ferramenta amaldiçoada","","")=""),"Apague campo que este tipo não usa",IF(AND($K4&lt;&gt;"",COUNTIF(INDIRECT(SWITCH($B4,"Origem","'DADOS_PROGRESSAO'!$AJ$2:$AJ$23","Marcante","'DADOS_CUSTOM'!$CM$2:$CM$160","Menor","'DADOS_CUSTOM'!$CM$2:$CM$160","Arma","'DADOS_CUSTOM'!$CI$2:$CI$160","Escudo","'DADOS_CUSTOM'!$CM$2:$CM$160","Uniforme","'DADOS_CUSTOM'!$CM$2:$CM$160","Item comum","'DADOS_CUSTOM'!$CM$2:$CM$160","Ferramenta amaldiçoada","'DADOS_CUSTOM'!$CM$2:$CM$160","'DADOS_CUSTOM'!$CM$2:$CM$160")),$K4)=0),"Opção inválida: "&amp;SWITCH($B4,"Origem","OFÍCIO","Marcante","","Menor","","Arma","PROPRIEDADE 4","Escudo","","Uniforme","","Item comum","","Ferramenta amaldiçoada","",""),"")),IF(AND($L4&lt;&gt;"",SWITCH($B4,"Origem","TALENTO CE 4","Marcante","FREQUÊNCIA","Menor","FREQUÊNCIA","Arma","DADO","Escudo","PROTEÇÃO","Uniforme","PROTEÇÃO","Item comum","VOLUME","Ferramenta amaldiçoada","ESTIGMA","")=""),"Apague campo que este tipo não usa",IF(AND(OR($B4="Escudo",$B4="Uniforme",$B4="Item comum"),$L4&lt;&gt;"",NOT(ISNUMBER($L4)),NOT(AND($L4="—",FALSE))),"Informe número: "&amp;SWITCH($B4,"Origem","TALENTO CE 4","Marcante","FREQUÊNCIA","Menor","FREQUÊNCIA","Arma","DADO","Escudo","PROTEÇÃO","Uniforme","PROTEÇÃO","Item comum","VOLUME","Ferramenta amaldiçoada","ESTIGMA",""),"")),IF(AND($M4&lt;&gt;"",SWITCH($B4,"Origem","","Marcante","","Menor","","Arma","FORÇA","Escudo","TETO DE DESTREZA","Uniforme","TETO DE DESTREZA","Item comum","PREÇO","Ferramenta amaldiçoada","DESGASTE","")=""),"Apague campo que este tipo não usa",IF(AND(OR($B4="Arma",$B4="Escudo",$B4="Uniforme",$B4="Item comum",$B4="Ferramenta amaldiçoada"),$M4&lt;&gt;"",NOT(ISNUMBER($M4)),NOT(AND($M4="—",OR($B4="Arma",$B4="Escudo",$B4="Uniforme",$B4="Ferramenta amaldiçoada")))),"Informe número: "&amp;SWITCH($B4,"Origem","","Marcante","","Menor","","Arma","FORÇA","Escudo","TETO DE DESTREZA","Uniforme","TETO DE DESTREZA","Item comum","PREÇO","Ferramenta amaldiçoada","DESGASTE",""),"")),IF(AND($N4&lt;&gt;"",SWITCH($B4,"Origem","","Marcante","","Menor","","Arma","VOLUME","Escudo","FORÇA","Uniforme","FORÇA","Item comum","","Ferramenta amaldiçoada","VOLUME","")=""),"Apague campo que este tipo não usa",IF(AND(OR($B4="Arma",$B4="Escudo",$B4="Uniforme",$B4="Ferramenta amaldiçoada"),$N4&lt;&gt;"",NOT(ISNUMBER($N4)),NOT(AND($N4="—",OR($B4="Escudo",$B4="Uniforme")))),"Informe número: "&amp;SWITCH($B4,"Origem","","Marcante","","Menor","","Arma","VOLUME","Escudo","FORÇA","Uniforme","FORÇA","Item comum","","Ferramenta amaldiçoada","VOLUME",""),"")),IF(AND($O4&lt;&gt;"",SWITCH($B4,"Origem","","Marcante","","Menor","","Arma","ALCANCE","Escudo","VOLUME","Uniforme","VOLUME","Item comum","","Ferramenta amaldiçoada","PREÇO","")=""),"Apague campo que este tipo não usa",IF(AND(OR($B4="Escudo",$B4="Uniforme",$B4="Ferramenta amaldiçoada"),$O4&lt;&gt;"",NOT(ISNUMBER($O4)),NOT(AND($O4="—",FALSE))),"Informe número: "&amp;SWITCH($B4,"Origem","","Marcante","","Menor","","Arma","ALCANCE","Escudo","VOLUME","Uniforme","VOLUME","Item comum","","Ferramenta amaldiçoada","PREÇO",""),"")),IF(AND($P4&lt;&gt;"",SWITCH($B4,"Origem","","Marcante","","Menor","","Arma","RECARGA","Escudo","PREÇO","Uniforme","PREÇO","Item comum","","Ferramenta amaldiçoada","","")=""),"Apague campo que este tipo não usa",IF(AND(OR($B4="Arma",$B4="Escudo",$B4="Uniforme"),$P4&lt;&gt;"",NOT(ISNUMBER($P4)),NOT(AND($P4="—",OR($B4="Arma")))),"Informe número: "&amp;SWITCH($B4,"Origem","","Marcante","","Menor","","Arma","RECARGA","Escudo","PREÇO","Uniforme","PREÇO","Item comum","","Ferramenta amaldiçoada","",""),"")),IF(AND($Q4&lt;&gt;"",SWITCH($B4,"Origem","","Marcante","","Menor","","Arma","PREÇO","Escudo","","Uniforme","","Item comum","","Ferramenta amaldiçoada","","")=""),"Apague campo que este tipo não usa",IF(AND(OR($B4="Arma"),$Q4&lt;&gt;"",NOT(ISNUMBER($Q4)),NOT(AND($Q4="—",FALSE))),"Informe número: "&amp;SWITCH($B4,"Origem","","Marcante","","Menor","","Arma","PREÇO","Escudo","","Uniforme","","Item comum","","Ferramenta amaldiçoada","",""),"")),IF(AND($B4="Origem",OR($E4="",$F4="",$G4="",$H4="",$I4="")),"Preencha os campos obrigatórios de Origem","")))</f>
        <v/>
      </c>
      <c r="KA4" s="175">
        <f>IF(AND($B4="",$C4="",LEN(TEXTJOIN("",TRUE,E4:R4))=0),"",TEXTJOIN(" · ",TRUE,IF(AND($B4="Marcante",OR($E4="")),"Preencha os campos obrigatórios de Marcante",""),IF(AND($B4="Menor",OR($E4="")),"Preencha os campos obrigatórios de Menor",""),IF(AND($B4="Arma",OR($E4="",$F4="",$G4="",$L4="",$M4="",$N4="")),"Preencha os campos obrigatórios de Arma",""),IF(AND($B4="Escudo",OR($L4="",$M4="",$N4="",$O4="")),"Preencha os campos obrigatórios de Escudo",""),IF(AND($B4="Uniforme",OR($E4="",$L4="",$M4="",$N4="",$O4="")),"Preencha os campos obrigatórios de Uniforme",""),IF(AND($B4="Item comum",OR($L4="")),"Preencha os campos obrigatórios de Item comum",""),IF(AND($B4="Ferramenta amaldiçoada",OR($E4="",$F4="")),"Preencha os campos obrigatórios de Ferramenta amaldiçoada",""),IF(AND($B4="Origem",COUNTA(E4:H4)=4,NOT(AND(E4&lt;&gt;F4,E4&lt;&gt;G4,E4&lt;&gt;H4,F4&lt;&gt;G4,F4&lt;&gt;H4,G4&lt;&gt;H4))),"Escolha quatro perícias diferentes",""),IF(AND($B4="Origem",J4="Latente",NOT(OR(I4="Fundamento",I4="Manejos"))),"ROTA não combina com BASE DO LIVRO",""),IF(AND($B4="Origem",J4="Receptáculo",NOT(OR(I4="Fundamento",I4="Manejos"))),"ROTA não combina com BASE DO LIVRO",""),IF(AND($B4="Origem",J4="Descendente",NOT(OR(I4="Fundamento",I4="Manejos"))),"ROTA não combina com BASE DO LIVRO",""),IF(AND($B4="Origem",J4="Encarnado",NOT(OR(I4="Fundamento",I4="Manejos"))),"ROTA não combina com BASE DO LIVRO",""),IF(AND($B4="Origem",J4="Híbrido",NOT(OR(I4="Fundamento",I4="Manejos"))),"ROTA não combina com BASE DO LIVRO",""),IF(AND($B4="Origem",J4="Corpo Amaldiçoado",NOT(OR(I4="Técnica Marcial com energia"))),"ROTA não combina com BASE DO LIVRO",""),IF(AND($B4="Origem",J4="Restrição Celestial · Sem Energia",NOT(OR(I4="Técnica Marcial sem energia"))),"ROTA não combina com BASE DO LIVRO",""),IF(AND($B4="Origem",J4="Restrição Celestial · Restrição corporal",NOT(OR(I4="Fundamento"))),"ROTA não combina com BASE DO LIVRO","")))</f>
        <v/>
      </c>
    </row>
    <row r="5">
      <c r="A5" s="175" t="n">
        <v>4</v>
      </c>
      <c r="B5" s="175">
        <f>IF(ISBLANK('CONFIGURAÇÃO'!$AB$43),"",'CONFIGURAÇÃO'!$AB$43)</f>
        <v/>
      </c>
      <c r="C5" s="175">
        <f>IF(ISBLANK('CONFIGURAÇÃO'!$AB$45),"",'CONFIGURAÇÃO'!$AB$45)</f>
        <v/>
      </c>
      <c r="D5" s="175">
        <f>IF(ISBLANK('CONFIGURAÇÃO'!$AF$43),"",'CONFIGURAÇÃO'!$AF$43)</f>
        <v/>
      </c>
      <c r="E5" s="175">
        <f>IF(ISBLANK('CONFIGURAÇÃO'!$AD$46),"",'CONFIGURAÇÃO'!$AD$46)</f>
        <v/>
      </c>
      <c r="F5" s="175">
        <f>IF(ISBLANK('CONFIGURAÇÃO'!$AD$47),"",'CONFIGURAÇÃO'!$AD$47)</f>
        <v/>
      </c>
      <c r="G5" s="175">
        <f>IF(ISBLANK('CONFIGURAÇÃO'!$AD$48),"",'CONFIGURAÇÃO'!$AD$48)</f>
        <v/>
      </c>
      <c r="H5" s="175">
        <f>IF(ISBLANK('CONFIGURAÇÃO'!$AD$49),"",'CONFIGURAÇÃO'!$AD$49)</f>
        <v/>
      </c>
      <c r="I5" s="175">
        <f>IF(ISBLANK('CONFIGURAÇÃO'!$AD$50),"",'CONFIGURAÇÃO'!$AD$50)</f>
        <v/>
      </c>
      <c r="J5" s="175">
        <f>IF(ISBLANK('CONFIGURAÇÃO'!$AD$51),"",'CONFIGURAÇÃO'!$AD$51)</f>
        <v/>
      </c>
      <c r="K5" s="175">
        <f>IF(ISBLANK('CONFIGURAÇÃO'!$AD$52),"",'CONFIGURAÇÃO'!$AD$52)</f>
        <v/>
      </c>
      <c r="L5" s="175">
        <f>IF(ISBLANK('CONFIGURAÇÃO'!$AD$53),"",'CONFIGURAÇÃO'!$AD$53)</f>
        <v/>
      </c>
      <c r="M5" s="175">
        <f>IF(ISBLANK('CONFIGURAÇÃO'!$AD$54),"",'CONFIGURAÇÃO'!$AD$54)</f>
        <v/>
      </c>
      <c r="N5" s="175">
        <f>IF(ISBLANK('CONFIGURAÇÃO'!$AD$55),"",'CONFIGURAÇÃO'!$AD$55)</f>
        <v/>
      </c>
      <c r="O5" s="175">
        <f>IF(ISBLANK('CONFIGURAÇÃO'!$AD$56),"",'CONFIGURAÇÃO'!$AD$56)</f>
        <v/>
      </c>
      <c r="P5" s="175">
        <f>IF(ISBLANK('CONFIGURAÇÃO'!$AD$57),"",'CONFIGURAÇÃO'!$AD$57)</f>
        <v/>
      </c>
      <c r="Q5" s="175">
        <f>IF(ISBLANK('CONFIGURAÇÃO'!$AD$58),"",'CONFIGURAÇÃO'!$AD$58)</f>
        <v/>
      </c>
      <c r="R5" s="175">
        <f>IF(ISBLANK('CONFIGURAÇÃO'!$AB$60),"",'CONFIGURAÇÃO'!$AB$60)</f>
        <v/>
      </c>
      <c r="S5" s="175">
        <f>TEXTJOIN(" · ",TRUE,U5,V5,W5,X5)</f>
        <v/>
      </c>
      <c r="T5" s="175">
        <f>AND(B5&lt;&gt;"",C5&lt;&gt;"",S5="")</f>
        <v/>
      </c>
      <c r="U5" s="175">
        <f>TEXTJOIN(" · ",TRUE,JY5:KA5)</f>
        <v/>
      </c>
      <c r="V5" s="175">
        <f>IF(AND(OR($B5="Marcante",$B5="Menor"),NOT(OR(COUNTIF('DADOS_CUSTOM'!$CD$2:$CD$160,E5)&gt;0,COUNTIFS('DADOS_CUSTOM'!$C$2:$C$26,E5,'DADOS_CUSTOM'!$B$2:$B$26,"Origem",'DADOS_CUSTOM'!$U$2:$U$26,"")=1))),"Origem vinculada não existe ou tem erro",IF(AND($B5="Marcante",NOT(OR(E5="Restrição Celestial · Restrição corporal",AND(COUNTIFS('DADOS_CUSTOM'!$C$2:$C$26,E5,'DADOS_CUSTOM'!$B$2:$B$26,"Origem",'DADOS_CUSTOM'!$U$2:$U$26,"")=1,OR(IFERROR(INDEX('DADOS_CUSTOM'!$J$2:$J$26,MATCH(E5,'DADOS_CUSTOM'!$C$2:$C$26,0)),E5)="",IFERROR(INDEX('DADOS_CUSTOM'!$J$2:$J$26,MATCH(E5,'DADOS_CUSTOM'!$C$2:$C$26,0)),E5)="Nenhuma",IFERROR(INDEX('DADOS_CUSTOM'!$J$2:$J$26,MATCH(E5,'DADOS_CUSTOM'!$C$2:$C$26,0)),E5)="Restrição Celestial · Restrição corporal"))))),"Marcante própria só para Restrição corporal ou Origem do zero; use a marcante publicada da base",""))</f>
        <v/>
      </c>
      <c r="W5" s="175">
        <f>IF(AND($B5="Menor",F5&lt;&gt;"",F5&lt;&gt;"—",NOT(OR(AND(F5="Tentativa e Erro",OR(E5="Latente",IFERROR(INDEX('DADOS_CUSTOM'!$J$2:$J$26,MATCH(E5,'DADOS_CUSTOM'!$C$2:$C$26,0)),E5)="Latente")),AND(F5="Coexistência",OR(E5="Receptáculo",IFERROR(INDEX('DADOS_CUSTOM'!$J$2:$J$26,MATCH(E5,'DADOS_CUSTOM'!$C$2:$C$26,0)),E5)="Receptáculo")),AND(F5="Conflito",OR(E5="Receptáculo",IFERROR(INDEX('DADOS_CUSTOM'!$J$2:$J$26,MATCH(E5,'DADOS_CUSTOM'!$C$2:$C$26,0)),E5)="Receptáculo")),AND(F5="Zenin",OR(E5="Descendente",IFERROR(INDEX('DADOS_CUSTOM'!$J$2:$J$26,MATCH(E5,'DADOS_CUSTOM'!$C$2:$C$26,0)),E5)="Descendente")),AND(F5="Kamo",OR(E5="Descendente",IFERROR(INDEX('DADOS_CUSTOM'!$J$2:$J$26,MATCH(E5,'DADOS_CUSTOM'!$C$2:$C$26,0)),E5)="Descendente")),AND(F5="Gojo",OR(E5="Descendente",IFERROR(INDEX('DADOS_CUSTOM'!$J$2:$J$26,MATCH(E5,'DADOS_CUSTOM'!$C$2:$C$26,0)),E5)="Descendente")),AND(F5="Inumaki",OR(E5="Descendente",IFERROR(INDEX('DADOS_CUSTOM'!$J$2:$J$26,MATCH(E5,'DADOS_CUSTOM'!$C$2:$C$26,0)),E5)="Descendente")),AND(F5="Duas Vidas",OR(E5="Encarnado",IFERROR(INDEX('DADOS_CUSTOM'!$J$2:$J$26,MATCH(E5,'DADOS_CUSTOM'!$C$2:$C$26,0)),E5)="Encarnado")),AND(F5="Regeneração Orgânica",OR(E5="Híbrido",IFERROR(INDEX('DADOS_CUSTOM'!$J$2:$J$26,MATCH(E5,'DADOS_CUSTOM'!$C$2:$C$26,0)),E5)="Híbrido")),AND(F5="Existência Artificial",OR(E5="Corpo Amaldiçoado",IFERROR(INDEX('DADOS_CUSTOM'!$J$2:$J$26,MATCH(E5,'DADOS_CUSTOM'!$C$2:$C$26,0)),E5)="Corpo Amaldiçoado")),AND(F5="Ataque sem Prenúncio",OR(E5="Restrição Celestial · Sem Energia",IFERROR(INDEX('DADOS_CUSTOM'!$J$2:$J$26,MATCH(E5,'DADOS_CUSTOM'!$C$2:$C$26,0)),E5)="Restrição Celestial · Sem Energia")),AND(F5="Corpo Debilitado",OR(E5="Restrição Celestial · Restrição corporal",IFERROR(INDEX('DADOS_CUSTOM'!$J$2:$J$26,MATCH(E5,'DADOS_CUSTOM'!$C$2:$C$26,0)),E5)="Restrição Celestial · Restrição corporal")),AND(F5="Corpo Quebradiço",OR(E5="Restrição Celestial · Restrição corporal",IFERROR(INDEX('DADOS_CUSTOM'!$J$2:$J$26,MATCH(E5,'DADOS_CUSTOM'!$C$2:$C$26,0)),E5)="Restrição Celestial · Restrição corporal")),AND(F5="Corpo Exaurido",OR(E5="Restrição Celestial · Restrição corporal",IFERROR(INDEX('DADOS_CUSTOM'!$J$2:$J$26,MATCH(E5,'DADOS_CUSTOM'!$C$2:$C$26,0)),E5)="Restrição Celestial · Restrição corporal")),COUNTIFS('DADOS_CUSTOM'!$C$2:$C$26,F5,'DADOS_CUSTOM'!$B$2:$B$26,"Marcante",'DADOS_CUSTOM'!$E$2:$E$26,E5,'DADOS_CUSTOM'!$U$2:$U$26,"",'DADOS_CUSTOM'!$V$2:$V$26,"")=1))),"Marcante exigida não pertence à Origem ou tem erro","")</f>
        <v/>
      </c>
      <c r="X5" s="175">
        <f>IF(AND($B5="Ferramenta amaldiçoada",NOT(OR(COUNTIF('DADOS_CUSTOM'!$CK$2:$CK$75,E5)&gt;0,OR(COUNTIFS('DADOS_CUSTOM'!$C$2:$C$26,E5,'DADOS_CUSTOM'!$B$2:$B$26,"Arma",'DADOS_CUSTOM'!$U$2:$U$26,"")=1,COUNTIFS('DADOS_CUSTOM'!$C$2:$C$26,E5,'DADOS_CUSTOM'!$B$2:$B$26,"Escudo",'DADOS_CUSTOM'!$U$2:$U$26,"")=1,COUNTIFS('DADOS_CUSTOM'!$C$2:$C$26,E5,'DADOS_CUSTOM'!$B$2:$B$26,"Uniforme",'DADOS_CUSTOM'!$U$2:$U$26,"")=1,COUNTIFS('DADOS_CUSTOM'!$C$2:$C$26,E5,'DADOS_CUSTOM'!$B$2:$B$26,"Item comum",'DADOS_CUSTOM'!$U$2:$U$26,"")=1)))),"Base da ferramenta não existe ou tem erro","")</f>
        <v/>
      </c>
      <c r="AA5" s="175" t="inlineStr">
        <is>
          <t>Bō</t>
        </is>
      </c>
      <c r="AB5" s="175" t="inlineStr">
        <is>
          <t>Porrete</t>
        </is>
      </c>
      <c r="AC5" s="175" t="n">
        <v>2</v>
      </c>
      <c r="AD5" s="175" t="inlineStr">
        <is>
          <t>1d10</t>
        </is>
      </c>
      <c r="AE5" s="175" t="inlineStr">
        <is>
          <t>Alcance · Emaranha</t>
        </is>
      </c>
      <c r="AF5" s="175" t="n">
        <v>3</v>
      </c>
      <c r="AG5" s="175" t="n">
        <v>2</v>
      </c>
      <c r="AJ5" s="175">
        <f>'FICHA PESSOAL'!$V$73</f>
        <v/>
      </c>
      <c r="AK5" s="175">
        <f>ADDRESS(ROW('FICHA PESSOAL'!V73),COLUMN('FICHA PESSOAL'!V73),4)</f>
        <v/>
      </c>
      <c r="AM5" s="175" t="inlineStr">
        <is>
          <t>Revestimento 1</t>
        </is>
      </c>
      <c r="AN5" s="175" t="n">
        <v>4</v>
      </c>
      <c r="AO5" s="175" t="n">
        <v>0</v>
      </c>
      <c r="AP5" s="175" t="n">
        <v>3</v>
      </c>
      <c r="AQ5" s="175" t="n">
        <v>2</v>
      </c>
      <c r="AR5" s="175" t="n">
        <v>1</v>
      </c>
      <c r="AS5" s="175" t="inlineStr">
        <is>
          <t>Grau 4</t>
        </is>
      </c>
      <c r="AU5" s="175" t="inlineStr">
        <is>
          <t>Algema</t>
        </is>
      </c>
      <c r="AV5" s="175" t="n">
        <v>0.2</v>
      </c>
      <c r="AW5" s="175" t="n">
        <v>3000</v>
      </c>
      <c r="AX5" s="175" t="inlineStr">
        <is>
          <t>Um par com chave</t>
        </is>
      </c>
      <c r="AZ5" s="175" t="inlineStr">
        <is>
          <t>Zenin</t>
        </is>
      </c>
      <c r="BA5" s="175" t="inlineStr">
        <is>
          <t>Descendente</t>
        </is>
      </c>
      <c r="BB5" s="175" t="inlineStr">
        <is>
          <t>marcante</t>
        </is>
      </c>
      <c r="BC5" s="175" t="inlineStr"/>
      <c r="BD5" s="175" t="inlineStr">
        <is>
          <t>Uma vez por dia · Maestria vezes por dia</t>
        </is>
      </c>
      <c r="BE5" s="175" t="inlineStr">
        <is>
          <t>Sua formação prepara postura, movimentos e resistência para enfrentar a pressão de uma luta. Kukuru é a formação Sem Técnica; Akashi integra esse preparo ao uso de uma técnica. Ambas concedem os três componentes abaixo; Disciplina Treinada muda o TR conforme a formação.
Recuperação do Fôlego.
Uma vez por dia, ao concluir um descanso curto válido, pode remover um degrau de Exaustão. Calcule a recuperação normal da pausa antes dessa remoção. A contagem de lutas do dia permanece, assim como as exigências de descanso e ambiente.
Não guarda retiradas futuras, reduz Exaustão abaixo de zero ou recupera Integridade e condições de outras fontes.
Execução Treinada.
Maestria vezes por dia, antes de um teste de Atletismo ou Acrobacia, pode fazê-lo com vantagem, sem ação ou PE adicionais. As duas perícias compartilham os usos. Mantenha modificadores e requisitos; não concede treino nem afeta ataques ou TRs.
Disciplina Treinada.
Uma vez por dia, quando falhar no TR da sua formação, pode repeti-lo antes das consequências e deve aceitar o segundo resultado: Vigor para Kukuru; Espírito para Akashi.
Não exige ação ou PE adicionais. Mantenha modificadores, vantagem e desvantagem aplicáveis. O uso é gasto mesmo na nova falha. Não concede treino, troca o atributo do TR ou permite substituir o teste pedido. Uma interrupção direta sem teste continua acontecendo.
Os três componentes têm estoques independentes. Descanso curto não renova usos por dia.</t>
        </is>
      </c>
      <c r="BG5" s="175" t="inlineStr">
        <is>
          <t>Encarnado</t>
        </is>
      </c>
      <c r="BH5" s="175" t="inlineStr">
        <is>
          <t>História, Ocultismo, Investigação ou Intimidação</t>
        </is>
      </c>
      <c r="BI5" s="175" t="inlineStr">
        <is>
          <t>Fundamento, ou Manejos se escolher Sem Técnica</t>
        </is>
      </c>
      <c r="BM5" s="175" t="inlineStr">
        <is>
          <t>Traje 1</t>
        </is>
      </c>
      <c r="BN5" s="175" t="inlineStr">
        <is>
          <t>Uniforme</t>
        </is>
      </c>
      <c r="BO5" s="175" t="n">
        <v>1</v>
      </c>
      <c r="BP5" s="175" t="inlineStr">
        <is>
          <t>—</t>
        </is>
      </c>
      <c r="BQ5" s="175" t="n">
        <v>0</v>
      </c>
      <c r="BR5" s="175" t="n">
        <v>0.3</v>
      </c>
      <c r="BS5" s="175" t="inlineStr">
        <is>
          <t>Grau 4</t>
        </is>
      </c>
      <c r="BT5" s="175" t="inlineStr"/>
      <c r="BU5" s="175" t="inlineStr"/>
      <c r="BV5" s="175" t="inlineStr">
        <is>
          <t>Anatomia Suplementar</t>
        </is>
      </c>
      <c r="BW5" s="175">
        <f>IF(AND($B4="Origem",OR($J4="",$J4="Nenhuma",$J4="Restrição Celestial · Restrição corporal")),$C4,"")</f>
        <v/>
      </c>
      <c r="BZ5" s="175" t="inlineStr">
        <is>
          <t>Arma</t>
        </is>
      </c>
      <c r="CA5" s="175" t="inlineStr">
        <is>
          <t>Pontaria</t>
        </is>
      </c>
      <c r="CB5" s="175" t="inlineStr">
        <is>
          <t>Técnica Marcial sem energia</t>
        </is>
      </c>
      <c r="CC5" s="175" t="inlineStr">
        <is>
          <t>Encarnado</t>
        </is>
      </c>
      <c r="CD5" s="175" t="inlineStr">
        <is>
          <t>Descendente</t>
        </is>
      </c>
      <c r="CE5" s="175" t="inlineStr">
        <is>
          <t>Herbalismo</t>
        </is>
      </c>
      <c r="CF5" s="175" t="inlineStr">
        <is>
          <t>Balestra</t>
        </is>
      </c>
      <c r="CH5" s="175">
        <f>IF('DADOS_DANOS'!$J$5="","",'DADOS_DANOS'!$J$5)</f>
        <v/>
      </c>
      <c r="CI5" s="175" t="inlineStr">
        <is>
          <t>Versátil</t>
        </is>
      </c>
      <c r="CJ5" s="175" t="inlineStr">
        <is>
          <t>Grau 2</t>
        </is>
      </c>
      <c r="CK5" s="175" t="inlineStr">
        <is>
          <t>Bō</t>
        </is>
      </c>
      <c r="CL5" s="175" t="inlineStr">
        <is>
          <t>Conflito</t>
        </is>
      </c>
      <c r="CR5" s="175">
        <f>IF(DADOS!$CZ$34&gt;=DADOS!$CC$7,DADOS!$BX$7,"")</f>
        <v/>
      </c>
      <c r="CS5" s="175" t="inlineStr">
        <is>
          <t>Encarnado</t>
        </is>
      </c>
      <c r="JY5" s="175">
        <f>IF(AND($B5="",$C5="",LEN(TEXTJOIN("",TRUE,E5:R5))=0),"",TEXTJOIN(" · ",TRUE,IF(COUNTIF('DADOS_CUSTOM'!$BZ$2:$BZ$160,$B5)=0,"Escolha um tipo válido",""),IF(LEN(TRIM($C5))=0,"Preencha NOME",""),IF(OR(COUNTIF('DADOS_CUSTOM'!$C$2:$C$26,$C5)&gt;1,COUNTIF('DADOS_CUSTOM'!$BV$2:$BV$171,$C5)&gt;0),"Nome repetido no livro ou custom",""),IF(AND($E5&lt;&gt;"",SWITCH($B5,"Origem","PERÍCIA 1","Marcante","ORIGEM","Menor","ORIGEM","Arma","CATEGORIA","Escudo","","Uniforme","GRAU MÍNIMO","Item comum","","Ferramenta amaldiçoada","BASE","")=""),"Apague campo que este tipo não usa",IF(AND($E5&lt;&gt;"",COUNTIF(INDIRECT(SWITCH($B5,"Origem","'DADOS_PROGRESSAO'!$AG$2:$AG$34","Marcante","'DADOS_CUSTOM'!$BW$2:$BW$160","Menor","'DADOS_CUSTOM'!$CC$2:$CC$160","Arma","'DADOS_CUSTOM'!$CF$2:$CF$160","Escudo","'DADOS_CUSTOM'!$CM$2:$CM$160","Uniforme","'DADOS_CUSTOM'!$CJ$2:$CJ$160","Item comum","'DADOS_CUSTOM'!$CM$2:$CM$160","Ferramenta amaldiçoada","'DADOS_CUSTOM'!$CK$2:$CK$160","'DADOS_CUSTOM'!$CM$2:$CM$160")),$E5)=0),"Opção inválida: "&amp;SWITCH($B5,"Origem","PERÍCIA 1","Marcante","ORIGEM","Menor","ORIGEM","Arma","CATEGORIA","Escudo","","Uniforme","GRAU MÍNIMO","Item comum","","Ferramenta amaldiçoada","BASE",""),"")),IF(AND($F5&lt;&gt;"",SWITCH($B5,"Origem","PERÍCIA 2","Marcante","","Menor","EXIGE MARCANTE","Arma","MÃO","Escudo","","Uniforme","","Item comum","","Ferramenta amaldiçoada","GRAU","")=""),"Apague campo que este tipo não usa",IF(AND($F5&lt;&gt;"",COUNTIF(INDIRECT(SWITCH($B5,"Origem","'DADOS_PROGRESSAO'!$AG$2:$AG$34","Marcante","'DADOS_CUSTOM'!$CM$2:$CM$160","Menor","'DADOS_CUSTOM'!$CL$2:$CL$160","Arma","'DADOS_CUSTOM'!$CG$2:$CG$160","Escudo","'DADOS_CUSTOM'!$CM$2:$CM$160","Uniforme","'DADOS_CUSTOM'!$CM$2:$CM$160","Item comum","'DADOS_CUSTOM'!$CM$2:$CM$160","Ferramenta amaldiçoada","'DADOS_CUSTOM'!$CJ$2:$CJ$160","'DADOS_CUSTOM'!$CM$2:$CM$160")),$F5)=0),"Opção inválida: "&amp;SWITCH($B5,"Origem","PERÍCIA 2","Marcante","","Menor","EXIGE MARCANTE","Arma","MÃO","Escudo","","Uniforme","","Item comum","","Ferramenta amaldiçoada","GRAU",""),"")),IF(AND($G5&lt;&gt;"",SWITCH($B5,"Origem","PERÍCIA 3","Marcante","","Menor","","Arma","TIPO DE DANO","Escudo","","Uniforme","","Item comum","","Ferramenta amaldiçoada","","")=""),"Apague campo que este tipo não usa",IF(AND($G5&lt;&gt;"",COUNTIF(INDIRECT(SWITCH($B5,"Origem","'DADOS_PROGRESSAO'!$AG$2:$AG$34","Marcante","'DADOS_CUSTOM'!$CM$2:$CM$160","Menor","'DADOS_CUSTOM'!$CM$2:$CM$160","Arma","'DADOS_CUSTOM'!$CH$2:$CH$160","Escudo","'DADOS_CUSTOM'!$CM$2:$CM$160","Uniforme","'DADOS_CUSTOM'!$CM$2:$CM$160","Item comum","'DADOS_CUSTOM'!$CM$2:$CM$160","Ferramenta amaldiçoada","'DADOS_CUSTOM'!$CM$2:$CM$160","'DADOS_CUSTOM'!$CM$2:$CM$160")),$G5)=0),"Opção inválida: "&amp;SWITCH($B5,"Origem","PERÍCIA 3","Marcante","","Menor","","Arma","TIPO DE DANO","Escudo","","Uniforme","","Item comum","","Ferramenta amaldiçoada","",""),"")),IF(AND($H5&lt;&gt;"",SWITCH($B5,"Origem","PERÍCIA 4","Marcante","","Menor","","Arma","PROPRIEDADE 1","Escudo","","Uniforme","","Item comum","","Ferramenta amaldiçoada","","")=""),"Apague campo que este tipo não usa",IF(AND($H5&lt;&gt;"",COUNTIF(INDIRECT(SWITCH($B5,"Origem","'DADOS_PROGRESSAO'!$AG$2:$AG$34","Marcante","'DADOS_CUSTOM'!$CM$2:$CM$160","Menor","'DADOS_CUSTOM'!$CM$2:$CM$160","Arma","'DADOS_CUSTOM'!$CI$2:$CI$160","Escudo","'DADOS_CUSTOM'!$CM$2:$CM$160","Uniforme","'DADOS_CUSTOM'!$CM$2:$CM$160","Item comum","'DADOS_CUSTOM'!$CM$2:$CM$160","Ferramenta amaldiçoada","'DADOS_CUSTOM'!$CM$2:$CM$160","'DADOS_CUSTOM'!$CM$2:$CM$160")),$H5)=0),"Opção inválida: "&amp;SWITCH($B5,"Origem","PERÍCIA 4","Marcante","","Menor","","Arma","PROPRIEDADE 1","Escudo","","Uniforme","","Item comum","","Ferramenta amaldiçoada","",""),"")),IF(AND($I5&lt;&gt;"",SWITCH($B5,"Origem","ROTA","Marcante","","Menor","","Arma","PROPRIEDADE 2","Escudo","","Uniforme","","Item comum","","Ferramenta amaldiçoada","","")=""),"Apague campo que este tipo não usa",IF(AND($I5&lt;&gt;"",COUNTIF(INDIRECT(SWITCH($B5,"Origem","'DADOS_CUSTOM'!$CB$2:$CB$160","Marcante","'DADOS_CUSTOM'!$CM$2:$CM$160","Menor","'DADOS_CUSTOM'!$CM$2:$CM$160","Arma","'DADOS_CUSTOM'!$CI$2:$CI$160","Escudo","'DADOS_CUSTOM'!$CM$2:$CM$160","Uniforme","'DADOS_CUSTOM'!$CM$2:$CM$160","Item comum","'DADOS_CUSTOM'!$CM$2:$CM$160","Ferramenta amaldiçoada","'DADOS_CUSTOM'!$CM$2:$CM$160","'DADOS_CUSTOM'!$CM$2:$CM$160")),$I5)=0),"Opção inválida: "&amp;SWITCH($B5,"Origem","ROTA","Marcante","","Menor","","Arma","PROPRIEDADE 2","Escudo","","Uniforme","","Item comum","","Ferramenta amaldiçoada","",""),""))))</f>
        <v/>
      </c>
      <c r="JZ5" s="175">
        <f>IF(AND($B5="",$C5="",LEN(TEXTJOIN("",TRUE,E5:R5))=0),"",TEXTJOIN(" · ",TRUE,IF(AND($J5&lt;&gt;"",SWITCH($B5,"Origem","BASE DO LIVRO","Marcante","","Menor","","Arma","PROPRIEDADE 3","Escudo","","Uniforme","","Item comum","","Ferramenta amaldiçoada","","")=""),"Apague campo que este tipo não usa",IF(AND($J5&lt;&gt;"",COUNTIF(INDIRECT(SWITCH($B5,"Origem","'DADOS_CUSTOM'!$CD$2:$CD$160","Marcante","'DADOS_CUSTOM'!$CM$2:$CM$160","Menor","'DADOS_CUSTOM'!$CM$2:$CM$160","Arma","'DADOS_CUSTOM'!$CI$2:$CI$160","Escudo","'DADOS_CUSTOM'!$CM$2:$CM$160","Uniforme","'DADOS_CUSTOM'!$CM$2:$CM$160","Item comum","'DADOS_CUSTOM'!$CM$2:$CM$160","Ferramenta amaldiçoada","'DADOS_CUSTOM'!$CM$2:$CM$160","'DADOS_CUSTOM'!$CM$2:$CM$160")),$J5)=0),"Opção inválida: "&amp;SWITCH($B5,"Origem","BASE DO LIVRO","Marcante","","Menor","","Arma","PROPRIEDADE 3","Escudo","","Uniforme","","Item comum","","Ferramenta amaldiçoada","",""),"")),IF(AND($K5&lt;&gt;"",SWITCH($B5,"Origem","OFÍCIO","Marcante","","Menor","","Arma","PROPRIEDADE 4","Escudo","","Uniforme","","Item comum","","Ferramenta amaldiçoada","","")=""),"Apague campo que este tipo não usa",IF(AND($K5&lt;&gt;"",COUNTIF(INDIRECT(SWITCH($B5,"Origem","'DADOS_PROGRESSAO'!$AJ$2:$AJ$23","Marcante","'DADOS_CUSTOM'!$CM$2:$CM$160","Menor","'DADOS_CUSTOM'!$CM$2:$CM$160","Arma","'DADOS_CUSTOM'!$CI$2:$CI$160","Escudo","'DADOS_CUSTOM'!$CM$2:$CM$160","Uniforme","'DADOS_CUSTOM'!$CM$2:$CM$160","Item comum","'DADOS_CUSTOM'!$CM$2:$CM$160","Ferramenta amaldiçoada","'DADOS_CUSTOM'!$CM$2:$CM$160","'DADOS_CUSTOM'!$CM$2:$CM$160")),$K5)=0),"Opção inválida: "&amp;SWITCH($B5,"Origem","OFÍCIO","Marcante","","Menor","","Arma","PROPRIEDADE 4","Escudo","","Uniforme","","Item comum","","Ferramenta amaldiçoada","",""),"")),IF(AND($L5&lt;&gt;"",SWITCH($B5,"Origem","TALENTO CE 4","Marcante","FREQUÊNCIA","Menor","FREQUÊNCIA","Arma","DADO","Escudo","PROTEÇÃO","Uniforme","PROTEÇÃO","Item comum","VOLUME","Ferramenta amaldiçoada","ESTIGMA","")=""),"Apague campo que este tipo não usa",IF(AND(OR($B5="Escudo",$B5="Uniforme",$B5="Item comum"),$L5&lt;&gt;"",NOT(ISNUMBER($L5)),NOT(AND($L5="—",FALSE))),"Informe número: "&amp;SWITCH($B5,"Origem","TALENTO CE 4","Marcante","FREQUÊNCIA","Menor","FREQUÊNCIA","Arma","DADO","Escudo","PROTEÇÃO","Uniforme","PROTEÇÃO","Item comum","VOLUME","Ferramenta amaldiçoada","ESTIGMA",""),"")),IF(AND($M5&lt;&gt;"",SWITCH($B5,"Origem","","Marcante","","Menor","","Arma","FORÇA","Escudo","TETO DE DESTREZA","Uniforme","TETO DE DESTREZA","Item comum","PREÇO","Ferramenta amaldiçoada","DESGASTE","")=""),"Apague campo que este tipo não usa",IF(AND(OR($B5="Arma",$B5="Escudo",$B5="Uniforme",$B5="Item comum",$B5="Ferramenta amaldiçoada"),$M5&lt;&gt;"",NOT(ISNUMBER($M5)),NOT(AND($M5="—",OR($B5="Arma",$B5="Escudo",$B5="Uniforme",$B5="Ferramenta amaldiçoada")))),"Informe número: "&amp;SWITCH($B5,"Origem","","Marcante","","Menor","","Arma","FORÇA","Escudo","TETO DE DESTREZA","Uniforme","TETO DE DESTREZA","Item comum","PREÇO","Ferramenta amaldiçoada","DESGASTE",""),"")),IF(AND($N5&lt;&gt;"",SWITCH($B5,"Origem","","Marcante","","Menor","","Arma","VOLUME","Escudo","FORÇA","Uniforme","FORÇA","Item comum","","Ferramenta amaldiçoada","VOLUME","")=""),"Apague campo que este tipo não usa",IF(AND(OR($B5="Arma",$B5="Escudo",$B5="Uniforme",$B5="Ferramenta amaldiçoada"),$N5&lt;&gt;"",NOT(ISNUMBER($N5)),NOT(AND($N5="—",OR($B5="Escudo",$B5="Uniforme")))),"Informe número: "&amp;SWITCH($B5,"Origem","","Marcante","","Menor","","Arma","VOLUME","Escudo","FORÇA","Uniforme","FORÇA","Item comum","","Ferramenta amaldiçoada","VOLUME",""),"")),IF(AND($O5&lt;&gt;"",SWITCH($B5,"Origem","","Marcante","","Menor","","Arma","ALCANCE","Escudo","VOLUME","Uniforme","VOLUME","Item comum","","Ferramenta amaldiçoada","PREÇO","")=""),"Apague campo que este tipo não usa",IF(AND(OR($B5="Escudo",$B5="Uniforme",$B5="Ferramenta amaldiçoada"),$O5&lt;&gt;"",NOT(ISNUMBER($O5)),NOT(AND($O5="—",FALSE))),"Informe número: "&amp;SWITCH($B5,"Origem","","Marcante","","Menor","","Arma","ALCANCE","Escudo","VOLUME","Uniforme","VOLUME","Item comum","","Ferramenta amaldiçoada","PREÇO",""),"")),IF(AND($P5&lt;&gt;"",SWITCH($B5,"Origem","","Marcante","","Menor","","Arma","RECARGA","Escudo","PREÇO","Uniforme","PREÇO","Item comum","","Ferramenta amaldiçoada","","")=""),"Apague campo que este tipo não usa",IF(AND(OR($B5="Arma",$B5="Escudo",$B5="Uniforme"),$P5&lt;&gt;"",NOT(ISNUMBER($P5)),NOT(AND($P5="—",OR($B5="Arma")))),"Informe número: "&amp;SWITCH($B5,"Origem","","Marcante","","Menor","","Arma","RECARGA","Escudo","PREÇO","Uniforme","PREÇO","Item comum","","Ferramenta amaldiçoada","",""),"")),IF(AND($Q5&lt;&gt;"",SWITCH($B5,"Origem","","Marcante","","Menor","","Arma","PREÇO","Escudo","","Uniforme","","Item comum","","Ferramenta amaldiçoada","","")=""),"Apague campo que este tipo não usa",IF(AND(OR($B5="Arma"),$Q5&lt;&gt;"",NOT(ISNUMBER($Q5)),NOT(AND($Q5="—",FALSE))),"Informe número: "&amp;SWITCH($B5,"Origem","","Marcante","","Menor","","Arma","PREÇO","Escudo","","Uniforme","","Item comum","","Ferramenta amaldiçoada","",""),"")),IF(AND($B5="Origem",OR($E5="",$F5="",$G5="",$H5="",$I5="")),"Preencha os campos obrigatórios de Origem","")))</f>
        <v/>
      </c>
      <c r="KA5" s="175">
        <f>IF(AND($B5="",$C5="",LEN(TEXTJOIN("",TRUE,E5:R5))=0),"",TEXTJOIN(" · ",TRUE,IF(AND($B5="Marcante",OR($E5="")),"Preencha os campos obrigatórios de Marcante",""),IF(AND($B5="Menor",OR($E5="")),"Preencha os campos obrigatórios de Menor",""),IF(AND($B5="Arma",OR($E5="",$F5="",$G5="",$L5="",$M5="",$N5="")),"Preencha os campos obrigatórios de Arma",""),IF(AND($B5="Escudo",OR($L5="",$M5="",$N5="",$O5="")),"Preencha os campos obrigatórios de Escudo",""),IF(AND($B5="Uniforme",OR($E5="",$L5="",$M5="",$N5="",$O5="")),"Preencha os campos obrigatórios de Uniforme",""),IF(AND($B5="Item comum",OR($L5="")),"Preencha os campos obrigatórios de Item comum",""),IF(AND($B5="Ferramenta amaldiçoada",OR($E5="",$F5="")),"Preencha os campos obrigatórios de Ferramenta amaldiçoada",""),IF(AND($B5="Origem",COUNTA(E5:H5)=4,NOT(AND(E5&lt;&gt;F5,E5&lt;&gt;G5,E5&lt;&gt;H5,F5&lt;&gt;G5,F5&lt;&gt;H5,G5&lt;&gt;H5))),"Escolha quatro perícias diferentes",""),IF(AND($B5="Origem",J5="Latente",NOT(OR(I5="Fundamento",I5="Manejos"))),"ROTA não combina com BASE DO LIVRO",""),IF(AND($B5="Origem",J5="Receptáculo",NOT(OR(I5="Fundamento",I5="Manejos"))),"ROTA não combina com BASE DO LIVRO",""),IF(AND($B5="Origem",J5="Descendente",NOT(OR(I5="Fundamento",I5="Manejos"))),"ROTA não combina com BASE DO LIVRO",""),IF(AND($B5="Origem",J5="Encarnado",NOT(OR(I5="Fundamento",I5="Manejos"))),"ROTA não combina com BASE DO LIVRO",""),IF(AND($B5="Origem",J5="Híbrido",NOT(OR(I5="Fundamento",I5="Manejos"))),"ROTA não combina com BASE DO LIVRO",""),IF(AND($B5="Origem",J5="Corpo Amaldiçoado",NOT(OR(I5="Técnica Marcial com energia"))),"ROTA não combina com BASE DO LIVRO",""),IF(AND($B5="Origem",J5="Restrição Celestial · Sem Energia",NOT(OR(I5="Técnica Marcial sem energia"))),"ROTA não combina com BASE DO LIVRO",""),IF(AND($B5="Origem",J5="Restrição Celestial · Restrição corporal",NOT(OR(I5="Fundamento"))),"ROTA não combina com BASE DO LIVRO","")))</f>
        <v/>
      </c>
    </row>
    <row r="6">
      <c r="A6" s="175" t="n">
        <v>5</v>
      </c>
      <c r="B6" s="175">
        <f>IF(ISBLANK('CONFIGURAÇÃO'!$T$72),"",'CONFIGURAÇÃO'!$T$72)</f>
        <v/>
      </c>
      <c r="C6" s="175">
        <f>IF(ISBLANK('CONFIGURAÇÃO'!$T$74),"",'CONFIGURAÇÃO'!$T$74)</f>
        <v/>
      </c>
      <c r="D6" s="175">
        <f>IF(ISBLANK('CONFIGURAÇÃO'!$X$72),"",'CONFIGURAÇÃO'!$X$72)</f>
        <v/>
      </c>
      <c r="E6" s="175">
        <f>IF(ISBLANK('CONFIGURAÇÃO'!$V$75),"",'CONFIGURAÇÃO'!$V$75)</f>
        <v/>
      </c>
      <c r="F6" s="175">
        <f>IF(ISBLANK('CONFIGURAÇÃO'!$V$76),"",'CONFIGURAÇÃO'!$V$76)</f>
        <v/>
      </c>
      <c r="G6" s="175">
        <f>IF(ISBLANK('CONFIGURAÇÃO'!$V$77),"",'CONFIGURAÇÃO'!$V$77)</f>
        <v/>
      </c>
      <c r="H6" s="175">
        <f>IF(ISBLANK('CONFIGURAÇÃO'!$V$78),"",'CONFIGURAÇÃO'!$V$78)</f>
        <v/>
      </c>
      <c r="I6" s="175">
        <f>IF(ISBLANK('CONFIGURAÇÃO'!$V$79),"",'CONFIGURAÇÃO'!$V$79)</f>
        <v/>
      </c>
      <c r="J6" s="175">
        <f>IF(ISBLANK('CONFIGURAÇÃO'!$V$80),"",'CONFIGURAÇÃO'!$V$80)</f>
        <v/>
      </c>
      <c r="K6" s="175">
        <f>IF(ISBLANK('CONFIGURAÇÃO'!$V$81),"",'CONFIGURAÇÃO'!$V$81)</f>
        <v/>
      </c>
      <c r="L6" s="175">
        <f>IF(ISBLANK('CONFIGURAÇÃO'!$V$82),"",'CONFIGURAÇÃO'!$V$82)</f>
        <v/>
      </c>
      <c r="M6" s="175">
        <f>IF(ISBLANK('CONFIGURAÇÃO'!$V$83),"",'CONFIGURAÇÃO'!$V$83)</f>
        <v/>
      </c>
      <c r="N6" s="175">
        <f>IF(ISBLANK('CONFIGURAÇÃO'!$V$84),"",'CONFIGURAÇÃO'!$V$84)</f>
        <v/>
      </c>
      <c r="O6" s="175">
        <f>IF(ISBLANK('CONFIGURAÇÃO'!$V$85),"",'CONFIGURAÇÃO'!$V$85)</f>
        <v/>
      </c>
      <c r="P6" s="175">
        <f>IF(ISBLANK('CONFIGURAÇÃO'!$V$86),"",'CONFIGURAÇÃO'!$V$86)</f>
        <v/>
      </c>
      <c r="Q6" s="175">
        <f>IF(ISBLANK('CONFIGURAÇÃO'!$V$87),"",'CONFIGURAÇÃO'!$V$87)</f>
        <v/>
      </c>
      <c r="R6" s="175">
        <f>IF(ISBLANK('CONFIGURAÇÃO'!$T$89),"",'CONFIGURAÇÃO'!$T$89)</f>
        <v/>
      </c>
      <c r="S6" s="175">
        <f>TEXTJOIN(" · ",TRUE,U6,V6,W6,X6)</f>
        <v/>
      </c>
      <c r="T6" s="175">
        <f>AND(B6&lt;&gt;"",C6&lt;&gt;"",S6="")</f>
        <v/>
      </c>
      <c r="U6" s="175">
        <f>TEXTJOIN(" · ",TRUE,JY6:KA6)</f>
        <v/>
      </c>
      <c r="V6" s="175">
        <f>IF(AND(OR($B6="Marcante",$B6="Menor"),NOT(OR(COUNTIF('DADOS_CUSTOM'!$CD$2:$CD$160,E6)&gt;0,COUNTIFS('DADOS_CUSTOM'!$C$2:$C$26,E6,'DADOS_CUSTOM'!$B$2:$B$26,"Origem",'DADOS_CUSTOM'!$U$2:$U$26,"")=1))),"Origem vinculada não existe ou tem erro",IF(AND($B6="Marcante",NOT(OR(E6="Restrição Celestial · Restrição corporal",AND(COUNTIFS('DADOS_CUSTOM'!$C$2:$C$26,E6,'DADOS_CUSTOM'!$B$2:$B$26,"Origem",'DADOS_CUSTOM'!$U$2:$U$26,"")=1,OR(IFERROR(INDEX('DADOS_CUSTOM'!$J$2:$J$26,MATCH(E6,'DADOS_CUSTOM'!$C$2:$C$26,0)),E6)="",IFERROR(INDEX('DADOS_CUSTOM'!$J$2:$J$26,MATCH(E6,'DADOS_CUSTOM'!$C$2:$C$26,0)),E6)="Nenhuma",IFERROR(INDEX('DADOS_CUSTOM'!$J$2:$J$26,MATCH(E6,'DADOS_CUSTOM'!$C$2:$C$26,0)),E6)="Restrição Celestial · Restrição corporal"))))),"Marcante própria só para Restrição corporal ou Origem do zero; use a marcante publicada da base",""))</f>
        <v/>
      </c>
      <c r="W6" s="175">
        <f>IF(AND($B6="Menor",F6&lt;&gt;"",F6&lt;&gt;"—",NOT(OR(AND(F6="Tentativa e Erro",OR(E6="Latente",IFERROR(INDEX('DADOS_CUSTOM'!$J$2:$J$26,MATCH(E6,'DADOS_CUSTOM'!$C$2:$C$26,0)),E6)="Latente")),AND(F6="Coexistência",OR(E6="Receptáculo",IFERROR(INDEX('DADOS_CUSTOM'!$J$2:$J$26,MATCH(E6,'DADOS_CUSTOM'!$C$2:$C$26,0)),E6)="Receptáculo")),AND(F6="Conflito",OR(E6="Receptáculo",IFERROR(INDEX('DADOS_CUSTOM'!$J$2:$J$26,MATCH(E6,'DADOS_CUSTOM'!$C$2:$C$26,0)),E6)="Receptáculo")),AND(F6="Zenin",OR(E6="Descendente",IFERROR(INDEX('DADOS_CUSTOM'!$J$2:$J$26,MATCH(E6,'DADOS_CUSTOM'!$C$2:$C$26,0)),E6)="Descendente")),AND(F6="Kamo",OR(E6="Descendente",IFERROR(INDEX('DADOS_CUSTOM'!$J$2:$J$26,MATCH(E6,'DADOS_CUSTOM'!$C$2:$C$26,0)),E6)="Descendente")),AND(F6="Gojo",OR(E6="Descendente",IFERROR(INDEX('DADOS_CUSTOM'!$J$2:$J$26,MATCH(E6,'DADOS_CUSTOM'!$C$2:$C$26,0)),E6)="Descendente")),AND(F6="Inumaki",OR(E6="Descendente",IFERROR(INDEX('DADOS_CUSTOM'!$J$2:$J$26,MATCH(E6,'DADOS_CUSTOM'!$C$2:$C$26,0)),E6)="Descendente")),AND(F6="Duas Vidas",OR(E6="Encarnado",IFERROR(INDEX('DADOS_CUSTOM'!$J$2:$J$26,MATCH(E6,'DADOS_CUSTOM'!$C$2:$C$26,0)),E6)="Encarnado")),AND(F6="Regeneração Orgânica",OR(E6="Híbrido",IFERROR(INDEX('DADOS_CUSTOM'!$J$2:$J$26,MATCH(E6,'DADOS_CUSTOM'!$C$2:$C$26,0)),E6)="Híbrido")),AND(F6="Existência Artificial",OR(E6="Corpo Amaldiçoado",IFERROR(INDEX('DADOS_CUSTOM'!$J$2:$J$26,MATCH(E6,'DADOS_CUSTOM'!$C$2:$C$26,0)),E6)="Corpo Amaldiçoado")),AND(F6="Ataque sem Prenúncio",OR(E6="Restrição Celestial · Sem Energia",IFERROR(INDEX('DADOS_CUSTOM'!$J$2:$J$26,MATCH(E6,'DADOS_CUSTOM'!$C$2:$C$26,0)),E6)="Restrição Celestial · Sem Energia")),AND(F6="Corpo Debilitado",OR(E6="Restrição Celestial · Restrição corporal",IFERROR(INDEX('DADOS_CUSTOM'!$J$2:$J$26,MATCH(E6,'DADOS_CUSTOM'!$C$2:$C$26,0)),E6)="Restrição Celestial · Restrição corporal")),AND(F6="Corpo Quebradiço",OR(E6="Restrição Celestial · Restrição corporal",IFERROR(INDEX('DADOS_CUSTOM'!$J$2:$J$26,MATCH(E6,'DADOS_CUSTOM'!$C$2:$C$26,0)),E6)="Restrição Celestial · Restrição corporal")),AND(F6="Corpo Exaurido",OR(E6="Restrição Celestial · Restrição corporal",IFERROR(INDEX('DADOS_CUSTOM'!$J$2:$J$26,MATCH(E6,'DADOS_CUSTOM'!$C$2:$C$26,0)),E6)="Restrição Celestial · Restrição corporal")),COUNTIFS('DADOS_CUSTOM'!$C$2:$C$26,F6,'DADOS_CUSTOM'!$B$2:$B$26,"Marcante",'DADOS_CUSTOM'!$E$2:$E$26,E6,'DADOS_CUSTOM'!$U$2:$U$26,"",'DADOS_CUSTOM'!$V$2:$V$26,"")=1))),"Marcante exigida não pertence à Origem ou tem erro","")</f>
        <v/>
      </c>
      <c r="X6" s="175">
        <f>IF(AND($B6="Ferramenta amaldiçoada",NOT(OR(COUNTIF('DADOS_CUSTOM'!$CK$2:$CK$75,E6)&gt;0,OR(COUNTIFS('DADOS_CUSTOM'!$C$2:$C$26,E6,'DADOS_CUSTOM'!$B$2:$B$26,"Arma",'DADOS_CUSTOM'!$U$2:$U$26,"")=1,COUNTIFS('DADOS_CUSTOM'!$C$2:$C$26,E6,'DADOS_CUSTOM'!$B$2:$B$26,"Escudo",'DADOS_CUSTOM'!$U$2:$U$26,"")=1,COUNTIFS('DADOS_CUSTOM'!$C$2:$C$26,E6,'DADOS_CUSTOM'!$B$2:$B$26,"Uniforme",'DADOS_CUSTOM'!$U$2:$U$26,"")=1,COUNTIFS('DADOS_CUSTOM'!$C$2:$C$26,E6,'DADOS_CUSTOM'!$B$2:$B$26,"Item comum",'DADOS_CUSTOM'!$U$2:$U$26,"")=1)))),"Base da ferramenta não existe ou tem erro","")</f>
        <v/>
      </c>
      <c r="AA6" s="175" t="inlineStr">
        <is>
          <t>Broquel</t>
        </is>
      </c>
      <c r="AB6" s="175" t="inlineStr">
        <is>
          <t>Escudo</t>
        </is>
      </c>
      <c r="AC6" s="175" t="n">
        <v>1</v>
      </c>
      <c r="AD6" s="175" t="inlineStr">
        <is>
          <t>—</t>
        </is>
      </c>
      <c r="AE6" s="175" t="inlineStr">
        <is>
          <t>Proteção +1 · teto de Destreza 5</t>
        </is>
      </c>
      <c r="AF6" s="175" t="inlineStr">
        <is>
          <t>—</t>
        </is>
      </c>
      <c r="AG6" s="175" t="n">
        <v>0.5</v>
      </c>
      <c r="AJ6" s="175">
        <f>TRUE</f>
        <v/>
      </c>
      <c r="AM6" s="175" t="inlineStr">
        <is>
          <t>Revestimento 2</t>
        </is>
      </c>
      <c r="AN6" s="175" t="n">
        <v>5</v>
      </c>
      <c r="AO6" s="175" t="n">
        <v>0</v>
      </c>
      <c r="AP6" s="175" t="n">
        <v>4</v>
      </c>
      <c r="AQ6" s="175" t="n">
        <v>3</v>
      </c>
      <c r="AR6" s="175" t="n">
        <v>2</v>
      </c>
      <c r="AS6" s="175" t="inlineStr">
        <is>
          <t>Grau 3</t>
        </is>
      </c>
      <c r="AU6" s="175" t="inlineStr">
        <is>
          <t>Pé de cabra</t>
        </is>
      </c>
      <c r="AV6" s="175" t="n">
        <v>0.5</v>
      </c>
      <c r="AW6" s="175" t="n">
        <v>3000</v>
      </c>
      <c r="AX6" s="175" t="inlineStr">
        <is>
          <t>Uma peça</t>
        </is>
      </c>
      <c r="AZ6" s="175" t="inlineStr">
        <is>
          <t>Kamo</t>
        </is>
      </c>
      <c r="BA6" s="175" t="inlineStr">
        <is>
          <t>Descendente</t>
        </is>
      </c>
      <c r="BB6" s="175" t="inlineStr">
        <is>
          <t>marcante</t>
        </is>
      </c>
      <c r="BC6" s="175" t="inlineStr"/>
      <c r="BD6" s="175" t="inlineStr">
        <is>
          <t>Maestria vezes por dia</t>
        </is>
      </c>
      <c r="BE6" s="175" t="inlineStr">
        <is>
          <t>Você aprendeu a ensaiar procedimentos e corrigir a execução quando algo sai errado. Sua marcante reúne Execução Ensaiada e Contingência Estudada. A formação não concede Manipulação de Sangue.
Execução Ensaiada.
Ao concluir um descanso longo, escolha duas opções distintas entre perícias, Ofícios e TRs em que seja treinado. Depois role 3d20 e anote os dois maiores resultados. Essa reserva permanece até concluir o próximo descanso longo.
Antes de rolar um teste de uma das opções, pode gastar um resultado anotado para substituir um dos d20 por aquele valor, somando os modificadores normais. No máximo um resultado por teste; cada um só pode ser usado uma vez. Os dois resultados são compartilhados entre as duas competências.
Com vantagem ou desvantagem, role o outro d20 e escolha normalmente o maior ou menor. Se ambas se anularem, substitua o único d20. Declare antes de rolar qualquer dado do teste, sem ação ou PE adicionais. Pode gastar os dois resultados em testes diferentes da mesma competência.
As opções precisam estar treinadas no preparo e no uso. Escolha TRs pelo nome, como Vigor, não por atributo. Ataques, dano e testes de outra criatura ficam fora. A tarefa conserva ferramentas, materiais, ações e demais requisitos; um resultado reservado não garante sucesso.
Os 3d20 do preparo são uma rolagem própria, sem modificadores, vantagem ou repetições de testes. Não produzem crítico ou sucesso ao serem anotados. No próximo descanso longo, resultados não usados expiram e o novo ensaio substitui escolhas e reserva. Descanso curto não renova os dados. Se outra regra permitir repetir o teste posteriormente, o valor reservado já foi consumido e a nova tentativa usa os dados normais.
Exemplo: você escolhe Acrobacia e Vigor, ambos treinados. Rola 5, 12 e 17, guardando 12 e 17. Antes de um teste de Acrobacia, usa o 17 e soma seus bônus. O 12 continua disponível. Com desvantagem, ainda rolaria o outro d20 e ficaria com o menor.
Contingência Estudada.
Maestria vezes por dia, quando errar uma rolagem de acerto que você faça, inclusive a de um feitiço de Acerto, pode repeti-la antes das consequências. Aceite o segundo resultado. Não exige outra ação ou PE e pode ser usada uma vez por tentativa.
Repita o procedimento completo, com os modificadores e vantagem ou desvantagem aplicáveis, sem misturar dados das duas rolagens. Conserve alvo, capacidade, custos pagos e defesa já resolvida. Não repita os outros ataques ou alvos da aplicação.
Não rerrola dano, faz o alvo repetir TR ou modifica feitiço Automático. Não devolve PE nem permite trocar de feitiço. Os usos são independentes dos resultados de Execução Ensaiada e renovam por dia, não por descanso longo.</t>
        </is>
      </c>
      <c r="BG6" s="175" t="inlineStr">
        <is>
          <t>Híbrido</t>
        </is>
      </c>
      <c r="BH6" s="175" t="inlineStr">
        <is>
          <t>Ocultismo, Medicina, Sentir Energia ou Natureza</t>
        </is>
      </c>
      <c r="BI6" s="175" t="inlineStr">
        <is>
          <t>Fundamento, ou Manejos se escolher Sem Técnica</t>
        </is>
      </c>
      <c r="BM6" s="175" t="inlineStr">
        <is>
          <t>Traje 2</t>
        </is>
      </c>
      <c r="BN6" s="175" t="inlineStr">
        <is>
          <t>Uniforme</t>
        </is>
      </c>
      <c r="BO6" s="175" t="n">
        <v>2</v>
      </c>
      <c r="BP6" s="175" t="inlineStr">
        <is>
          <t>—</t>
        </is>
      </c>
      <c r="BQ6" s="175" t="n">
        <v>0</v>
      </c>
      <c r="BR6" s="175" t="n">
        <v>1</v>
      </c>
      <c r="BS6" s="175" t="inlineStr">
        <is>
          <t>Grau 4</t>
        </is>
      </c>
      <c r="BT6" s="175" t="inlineStr"/>
      <c r="BU6" s="175" t="inlineStr"/>
      <c r="BV6" s="175" t="inlineStr">
        <is>
          <t>Aprendizado Complementar</t>
        </is>
      </c>
      <c r="BW6" s="175">
        <f>IF(AND($B5="Origem",OR($J5="",$J5="Nenhuma",$J5="Restrição Celestial · Restrição corporal")),$C5,"")</f>
        <v/>
      </c>
      <c r="BZ6" s="175" t="inlineStr">
        <is>
          <t>Escudo</t>
        </is>
      </c>
      <c r="CA6" s="175" t="inlineStr">
        <is>
          <t>Prestidigitação</t>
        </is>
      </c>
      <c r="CC6" s="175" t="inlineStr">
        <is>
          <t>Híbrido</t>
        </is>
      </c>
      <c r="CD6" s="175" t="inlineStr">
        <is>
          <t>Encarnado</t>
        </is>
      </c>
      <c r="CE6" s="175" t="inlineStr">
        <is>
          <t>Forja</t>
        </is>
      </c>
      <c r="CF6" s="175" t="inlineStr">
        <is>
          <t>Ceifa</t>
        </is>
      </c>
      <c r="CH6" s="175">
        <f>IF('DADOS_DANOS'!$J$6="","",'DADOS_DANOS'!$J$6)</f>
        <v/>
      </c>
      <c r="CI6" s="175" t="inlineStr">
        <is>
          <t>Par</t>
        </is>
      </c>
      <c r="CJ6" s="175" t="inlineStr">
        <is>
          <t>Grau 1</t>
        </is>
      </c>
      <c r="CK6" s="175" t="inlineStr">
        <is>
          <t>Canivete</t>
        </is>
      </c>
      <c r="CL6" s="175" t="inlineStr">
        <is>
          <t>Zenin</t>
        </is>
      </c>
      <c r="CR6" s="175">
        <f>IF(DADOS!$CZ$34&gt;=DADOS!$CC$8,DADOS!$BX$8,"")</f>
        <v/>
      </c>
      <c r="CS6" s="175" t="inlineStr">
        <is>
          <t>Híbrido</t>
        </is>
      </c>
      <c r="JY6" s="175">
        <f>IF(AND($B6="",$C6="",LEN(TEXTJOIN("",TRUE,E6:R6))=0),"",TEXTJOIN(" · ",TRUE,IF(COUNTIF('DADOS_CUSTOM'!$BZ$2:$BZ$160,$B6)=0,"Escolha um tipo válido",""),IF(LEN(TRIM($C6))=0,"Preencha NOME",""),IF(OR(COUNTIF('DADOS_CUSTOM'!$C$2:$C$26,$C6)&gt;1,COUNTIF('DADOS_CUSTOM'!$BV$2:$BV$171,$C6)&gt;0),"Nome repetido no livro ou custom",""),IF(AND($E6&lt;&gt;"",SWITCH($B6,"Origem","PERÍCIA 1","Marcante","ORIGEM","Menor","ORIGEM","Arma","CATEGORIA","Escudo","","Uniforme","GRAU MÍNIMO","Item comum","","Ferramenta amaldiçoada","BASE","")=""),"Apague campo que este tipo não usa",IF(AND($E6&lt;&gt;"",COUNTIF(INDIRECT(SWITCH($B6,"Origem","'DADOS_PROGRESSAO'!$AG$2:$AG$34","Marcante","'DADOS_CUSTOM'!$BW$2:$BW$160","Menor","'DADOS_CUSTOM'!$CC$2:$CC$160","Arma","'DADOS_CUSTOM'!$CF$2:$CF$160","Escudo","'DADOS_CUSTOM'!$CM$2:$CM$160","Uniforme","'DADOS_CUSTOM'!$CJ$2:$CJ$160","Item comum","'DADOS_CUSTOM'!$CM$2:$CM$160","Ferramenta amaldiçoada","'DADOS_CUSTOM'!$CK$2:$CK$160","'DADOS_CUSTOM'!$CM$2:$CM$160")),$E6)=0),"Opção inválida: "&amp;SWITCH($B6,"Origem","PERÍCIA 1","Marcante","ORIGEM","Menor","ORIGEM","Arma","CATEGORIA","Escudo","","Uniforme","GRAU MÍNIMO","Item comum","","Ferramenta amaldiçoada","BASE",""),"")),IF(AND($F6&lt;&gt;"",SWITCH($B6,"Origem","PERÍCIA 2","Marcante","","Menor","EXIGE MARCANTE","Arma","MÃO","Escudo","","Uniforme","","Item comum","","Ferramenta amaldiçoada","GRAU","")=""),"Apague campo que este tipo não usa",IF(AND($F6&lt;&gt;"",COUNTIF(INDIRECT(SWITCH($B6,"Origem","'DADOS_PROGRESSAO'!$AG$2:$AG$34","Marcante","'DADOS_CUSTOM'!$CM$2:$CM$160","Menor","'DADOS_CUSTOM'!$CL$2:$CL$160","Arma","'DADOS_CUSTOM'!$CG$2:$CG$160","Escudo","'DADOS_CUSTOM'!$CM$2:$CM$160","Uniforme","'DADOS_CUSTOM'!$CM$2:$CM$160","Item comum","'DADOS_CUSTOM'!$CM$2:$CM$160","Ferramenta amaldiçoada","'DADOS_CUSTOM'!$CJ$2:$CJ$160","'DADOS_CUSTOM'!$CM$2:$CM$160")),$F6)=0),"Opção inválida: "&amp;SWITCH($B6,"Origem","PERÍCIA 2","Marcante","","Menor","EXIGE MARCANTE","Arma","MÃO","Escudo","","Uniforme","","Item comum","","Ferramenta amaldiçoada","GRAU",""),"")),IF(AND($G6&lt;&gt;"",SWITCH($B6,"Origem","PERÍCIA 3","Marcante","","Menor","","Arma","TIPO DE DANO","Escudo","","Uniforme","","Item comum","","Ferramenta amaldiçoada","","")=""),"Apague campo que este tipo não usa",IF(AND($G6&lt;&gt;"",COUNTIF(INDIRECT(SWITCH($B6,"Origem","'DADOS_PROGRESSAO'!$AG$2:$AG$34","Marcante","'DADOS_CUSTOM'!$CM$2:$CM$160","Menor","'DADOS_CUSTOM'!$CM$2:$CM$160","Arma","'DADOS_CUSTOM'!$CH$2:$CH$160","Escudo","'DADOS_CUSTOM'!$CM$2:$CM$160","Uniforme","'DADOS_CUSTOM'!$CM$2:$CM$160","Item comum","'DADOS_CUSTOM'!$CM$2:$CM$160","Ferramenta amaldiçoada","'DADOS_CUSTOM'!$CM$2:$CM$160","'DADOS_CUSTOM'!$CM$2:$CM$160")),$G6)=0),"Opção inválida: "&amp;SWITCH($B6,"Origem","PERÍCIA 3","Marcante","","Menor","","Arma","TIPO DE DANO","Escudo","","Uniforme","","Item comum","","Ferramenta amaldiçoada","",""),"")),IF(AND($H6&lt;&gt;"",SWITCH($B6,"Origem","PERÍCIA 4","Marcante","","Menor","","Arma","PROPRIEDADE 1","Escudo","","Uniforme","","Item comum","","Ferramenta amaldiçoada","","")=""),"Apague campo que este tipo não usa",IF(AND($H6&lt;&gt;"",COUNTIF(INDIRECT(SWITCH($B6,"Origem","'DADOS_PROGRESSAO'!$AG$2:$AG$34","Marcante","'DADOS_CUSTOM'!$CM$2:$CM$160","Menor","'DADOS_CUSTOM'!$CM$2:$CM$160","Arma","'DADOS_CUSTOM'!$CI$2:$CI$160","Escudo","'DADOS_CUSTOM'!$CM$2:$CM$160","Uniforme","'DADOS_CUSTOM'!$CM$2:$CM$160","Item comum","'DADOS_CUSTOM'!$CM$2:$CM$160","Ferramenta amaldiçoada","'DADOS_CUSTOM'!$CM$2:$CM$160","'DADOS_CUSTOM'!$CM$2:$CM$160")),$H6)=0),"Opção inválida: "&amp;SWITCH($B6,"Origem","PERÍCIA 4","Marcante","","Menor","","Arma","PROPRIEDADE 1","Escudo","","Uniforme","","Item comum","","Ferramenta amaldiçoada","",""),"")),IF(AND($I6&lt;&gt;"",SWITCH($B6,"Origem","ROTA","Marcante","","Menor","","Arma","PROPRIEDADE 2","Escudo","","Uniforme","","Item comum","","Ferramenta amaldiçoada","","")=""),"Apague campo que este tipo não usa",IF(AND($I6&lt;&gt;"",COUNTIF(INDIRECT(SWITCH($B6,"Origem","'DADOS_CUSTOM'!$CB$2:$CB$160","Marcante","'DADOS_CUSTOM'!$CM$2:$CM$160","Menor","'DADOS_CUSTOM'!$CM$2:$CM$160","Arma","'DADOS_CUSTOM'!$CI$2:$CI$160","Escudo","'DADOS_CUSTOM'!$CM$2:$CM$160","Uniforme","'DADOS_CUSTOM'!$CM$2:$CM$160","Item comum","'DADOS_CUSTOM'!$CM$2:$CM$160","Ferramenta amaldiçoada","'DADOS_CUSTOM'!$CM$2:$CM$160","'DADOS_CUSTOM'!$CM$2:$CM$160")),$I6)=0),"Opção inválida: "&amp;SWITCH($B6,"Origem","ROTA","Marcante","","Menor","","Arma","PROPRIEDADE 2","Escudo","","Uniforme","","Item comum","","Ferramenta amaldiçoada","",""),""))))</f>
        <v/>
      </c>
      <c r="JZ6" s="175">
        <f>IF(AND($B6="",$C6="",LEN(TEXTJOIN("",TRUE,E6:R6))=0),"",TEXTJOIN(" · ",TRUE,IF(AND($J6&lt;&gt;"",SWITCH($B6,"Origem","BASE DO LIVRO","Marcante","","Menor","","Arma","PROPRIEDADE 3","Escudo","","Uniforme","","Item comum","","Ferramenta amaldiçoada","","")=""),"Apague campo que este tipo não usa",IF(AND($J6&lt;&gt;"",COUNTIF(INDIRECT(SWITCH($B6,"Origem","'DADOS_CUSTOM'!$CD$2:$CD$160","Marcante","'DADOS_CUSTOM'!$CM$2:$CM$160","Menor","'DADOS_CUSTOM'!$CM$2:$CM$160","Arma","'DADOS_CUSTOM'!$CI$2:$CI$160","Escudo","'DADOS_CUSTOM'!$CM$2:$CM$160","Uniforme","'DADOS_CUSTOM'!$CM$2:$CM$160","Item comum","'DADOS_CUSTOM'!$CM$2:$CM$160","Ferramenta amaldiçoada","'DADOS_CUSTOM'!$CM$2:$CM$160","'DADOS_CUSTOM'!$CM$2:$CM$160")),$J6)=0),"Opção inválida: "&amp;SWITCH($B6,"Origem","BASE DO LIVRO","Marcante","","Menor","","Arma","PROPRIEDADE 3","Escudo","","Uniforme","","Item comum","","Ferramenta amaldiçoada","",""),"")),IF(AND($K6&lt;&gt;"",SWITCH($B6,"Origem","OFÍCIO","Marcante","","Menor","","Arma","PROPRIEDADE 4","Escudo","","Uniforme","","Item comum","","Ferramenta amaldiçoada","","")=""),"Apague campo que este tipo não usa",IF(AND($K6&lt;&gt;"",COUNTIF(INDIRECT(SWITCH($B6,"Origem","'DADOS_PROGRESSAO'!$AJ$2:$AJ$23","Marcante","'DADOS_CUSTOM'!$CM$2:$CM$160","Menor","'DADOS_CUSTOM'!$CM$2:$CM$160","Arma","'DADOS_CUSTOM'!$CI$2:$CI$160","Escudo","'DADOS_CUSTOM'!$CM$2:$CM$160","Uniforme","'DADOS_CUSTOM'!$CM$2:$CM$160","Item comum","'DADOS_CUSTOM'!$CM$2:$CM$160","Ferramenta amaldiçoada","'DADOS_CUSTOM'!$CM$2:$CM$160","'DADOS_CUSTOM'!$CM$2:$CM$160")),$K6)=0),"Opção inválida: "&amp;SWITCH($B6,"Origem","OFÍCIO","Marcante","","Menor","","Arma","PROPRIEDADE 4","Escudo","","Uniforme","","Item comum","","Ferramenta amaldiçoada","",""),"")),IF(AND($L6&lt;&gt;"",SWITCH($B6,"Origem","TALENTO CE 4","Marcante","FREQUÊNCIA","Menor","FREQUÊNCIA","Arma","DADO","Escudo","PROTEÇÃO","Uniforme","PROTEÇÃO","Item comum","VOLUME","Ferramenta amaldiçoada","ESTIGMA","")=""),"Apague campo que este tipo não usa",IF(AND(OR($B6="Escudo",$B6="Uniforme",$B6="Item comum"),$L6&lt;&gt;"",NOT(ISNUMBER($L6)),NOT(AND($L6="—",FALSE))),"Informe número: "&amp;SWITCH($B6,"Origem","TALENTO CE 4","Marcante","FREQUÊNCIA","Menor","FREQUÊNCIA","Arma","DADO","Escudo","PROTEÇÃO","Uniforme","PROTEÇÃO","Item comum","VOLUME","Ferramenta amaldiçoada","ESTIGMA",""),"")),IF(AND($M6&lt;&gt;"",SWITCH($B6,"Origem","","Marcante","","Menor","","Arma","FORÇA","Escudo","TETO DE DESTREZA","Uniforme","TETO DE DESTREZA","Item comum","PREÇO","Ferramenta amaldiçoada","DESGASTE","")=""),"Apague campo que este tipo não usa",IF(AND(OR($B6="Arma",$B6="Escudo",$B6="Uniforme",$B6="Item comum",$B6="Ferramenta amaldiçoada"),$M6&lt;&gt;"",NOT(ISNUMBER($M6)),NOT(AND($M6="—",OR($B6="Arma",$B6="Escudo",$B6="Uniforme",$B6="Ferramenta amaldiçoada")))),"Informe número: "&amp;SWITCH($B6,"Origem","","Marcante","","Menor","","Arma","FORÇA","Escudo","TETO DE DESTREZA","Uniforme","TETO DE DESTREZA","Item comum","PREÇO","Ferramenta amaldiçoada","DESGASTE",""),"")),IF(AND($N6&lt;&gt;"",SWITCH($B6,"Origem","","Marcante","","Menor","","Arma","VOLUME","Escudo","FORÇA","Uniforme","FORÇA","Item comum","","Ferramenta amaldiçoada","VOLUME","")=""),"Apague campo que este tipo não usa",IF(AND(OR($B6="Arma",$B6="Escudo",$B6="Uniforme",$B6="Ferramenta amaldiçoada"),$N6&lt;&gt;"",NOT(ISNUMBER($N6)),NOT(AND($N6="—",OR($B6="Escudo",$B6="Uniforme")))),"Informe número: "&amp;SWITCH($B6,"Origem","","Marcante","","Menor","","Arma","VOLUME","Escudo","FORÇA","Uniforme","FORÇA","Item comum","","Ferramenta amaldiçoada","VOLUME",""),"")),IF(AND($O6&lt;&gt;"",SWITCH($B6,"Origem","","Marcante","","Menor","","Arma","ALCANCE","Escudo","VOLUME","Uniforme","VOLUME","Item comum","","Ferramenta amaldiçoada","PREÇO","")=""),"Apague campo que este tipo não usa",IF(AND(OR($B6="Escudo",$B6="Uniforme",$B6="Ferramenta amaldiçoada"),$O6&lt;&gt;"",NOT(ISNUMBER($O6)),NOT(AND($O6="—",FALSE))),"Informe número: "&amp;SWITCH($B6,"Origem","","Marcante","","Menor","","Arma","ALCANCE","Escudo","VOLUME","Uniforme","VOLUME","Item comum","","Ferramenta amaldiçoada","PREÇO",""),"")),IF(AND($P6&lt;&gt;"",SWITCH($B6,"Origem","","Marcante","","Menor","","Arma","RECARGA","Escudo","PREÇO","Uniforme","PREÇO","Item comum","","Ferramenta amaldiçoada","","")=""),"Apague campo que este tipo não usa",IF(AND(OR($B6="Arma",$B6="Escudo",$B6="Uniforme"),$P6&lt;&gt;"",NOT(ISNUMBER($P6)),NOT(AND($P6="—",OR($B6="Arma")))),"Informe número: "&amp;SWITCH($B6,"Origem","","Marcante","","Menor","","Arma","RECARGA","Escudo","PREÇO","Uniforme","PREÇO","Item comum","","Ferramenta amaldiçoada","",""),"")),IF(AND($Q6&lt;&gt;"",SWITCH($B6,"Origem","","Marcante","","Menor","","Arma","PREÇO","Escudo","","Uniforme","","Item comum","","Ferramenta amaldiçoada","","")=""),"Apague campo que este tipo não usa",IF(AND(OR($B6="Arma"),$Q6&lt;&gt;"",NOT(ISNUMBER($Q6)),NOT(AND($Q6="—",FALSE))),"Informe número: "&amp;SWITCH($B6,"Origem","","Marcante","","Menor","","Arma","PREÇO","Escudo","","Uniforme","","Item comum","","Ferramenta amaldiçoada","",""),"")),IF(AND($B6="Origem",OR($E6="",$F6="",$G6="",$H6="",$I6="")),"Preencha os campos obrigatórios de Origem","")))</f>
        <v/>
      </c>
      <c r="KA6" s="175">
        <f>IF(AND($B6="",$C6="",LEN(TEXTJOIN("",TRUE,E6:R6))=0),"",TEXTJOIN(" · ",TRUE,IF(AND($B6="Marcante",OR($E6="")),"Preencha os campos obrigatórios de Marcante",""),IF(AND($B6="Menor",OR($E6="")),"Preencha os campos obrigatórios de Menor",""),IF(AND($B6="Arma",OR($E6="",$F6="",$G6="",$L6="",$M6="",$N6="")),"Preencha os campos obrigatórios de Arma",""),IF(AND($B6="Escudo",OR($L6="",$M6="",$N6="",$O6="")),"Preencha os campos obrigatórios de Escudo",""),IF(AND($B6="Uniforme",OR($E6="",$L6="",$M6="",$N6="",$O6="")),"Preencha os campos obrigatórios de Uniforme",""),IF(AND($B6="Item comum",OR($L6="")),"Preencha os campos obrigatórios de Item comum",""),IF(AND($B6="Ferramenta amaldiçoada",OR($E6="",$F6="")),"Preencha os campos obrigatórios de Ferramenta amaldiçoada",""),IF(AND($B6="Origem",COUNTA(E6:H6)=4,NOT(AND(E6&lt;&gt;F6,E6&lt;&gt;G6,E6&lt;&gt;H6,F6&lt;&gt;G6,F6&lt;&gt;H6,G6&lt;&gt;H6))),"Escolha quatro perícias diferentes",""),IF(AND($B6="Origem",J6="Latente",NOT(OR(I6="Fundamento",I6="Manejos"))),"ROTA não combina com BASE DO LIVRO",""),IF(AND($B6="Origem",J6="Receptáculo",NOT(OR(I6="Fundamento",I6="Manejos"))),"ROTA não combina com BASE DO LIVRO",""),IF(AND($B6="Origem",J6="Descendente",NOT(OR(I6="Fundamento",I6="Manejos"))),"ROTA não combina com BASE DO LIVRO",""),IF(AND($B6="Origem",J6="Encarnado",NOT(OR(I6="Fundamento",I6="Manejos"))),"ROTA não combina com BASE DO LIVRO",""),IF(AND($B6="Origem",J6="Híbrido",NOT(OR(I6="Fundamento",I6="Manejos"))),"ROTA não combina com BASE DO LIVRO",""),IF(AND($B6="Origem",J6="Corpo Amaldiçoado",NOT(OR(I6="Técnica Marcial com energia"))),"ROTA não combina com BASE DO LIVRO",""),IF(AND($B6="Origem",J6="Restrição Celestial · Sem Energia",NOT(OR(I6="Técnica Marcial sem energia"))),"ROTA não combina com BASE DO LIVRO",""),IF(AND($B6="Origem",J6="Restrição Celestial · Restrição corporal",NOT(OR(I6="Fundamento"))),"ROTA não combina com BASE DO LIVRO","")))</f>
        <v/>
      </c>
    </row>
    <row r="7">
      <c r="A7" s="175" t="n">
        <v>6</v>
      </c>
      <c r="B7" s="175">
        <f>IF(ISBLANK('CONFIGURAÇÃO'!$AB$72),"",'CONFIGURAÇÃO'!$AB$72)</f>
        <v/>
      </c>
      <c r="C7" s="175">
        <f>IF(ISBLANK('CONFIGURAÇÃO'!$AB$74),"",'CONFIGURAÇÃO'!$AB$74)</f>
        <v/>
      </c>
      <c r="D7" s="175">
        <f>IF(ISBLANK('CONFIGURAÇÃO'!$AF$72),"",'CONFIGURAÇÃO'!$AF$72)</f>
        <v/>
      </c>
      <c r="E7" s="175">
        <f>IF(ISBLANK('CONFIGURAÇÃO'!$AD$75),"",'CONFIGURAÇÃO'!$AD$75)</f>
        <v/>
      </c>
      <c r="F7" s="175">
        <f>IF(ISBLANK('CONFIGURAÇÃO'!$AD$76),"",'CONFIGURAÇÃO'!$AD$76)</f>
        <v/>
      </c>
      <c r="G7" s="175">
        <f>IF(ISBLANK('CONFIGURAÇÃO'!$AD$77),"",'CONFIGURAÇÃO'!$AD$77)</f>
        <v/>
      </c>
      <c r="H7" s="175">
        <f>IF(ISBLANK('CONFIGURAÇÃO'!$AD$78),"",'CONFIGURAÇÃO'!$AD$78)</f>
        <v/>
      </c>
      <c r="I7" s="175">
        <f>IF(ISBLANK('CONFIGURAÇÃO'!$AD$79),"",'CONFIGURAÇÃO'!$AD$79)</f>
        <v/>
      </c>
      <c r="J7" s="175">
        <f>IF(ISBLANK('CONFIGURAÇÃO'!$AD$80),"",'CONFIGURAÇÃO'!$AD$80)</f>
        <v/>
      </c>
      <c r="K7" s="175">
        <f>IF(ISBLANK('CONFIGURAÇÃO'!$AD$81),"",'CONFIGURAÇÃO'!$AD$81)</f>
        <v/>
      </c>
      <c r="L7" s="175">
        <f>IF(ISBLANK('CONFIGURAÇÃO'!$AD$82),"",'CONFIGURAÇÃO'!$AD$82)</f>
        <v/>
      </c>
      <c r="M7" s="175">
        <f>IF(ISBLANK('CONFIGURAÇÃO'!$AD$83),"",'CONFIGURAÇÃO'!$AD$83)</f>
        <v/>
      </c>
      <c r="N7" s="175">
        <f>IF(ISBLANK('CONFIGURAÇÃO'!$AD$84),"",'CONFIGURAÇÃO'!$AD$84)</f>
        <v/>
      </c>
      <c r="O7" s="175">
        <f>IF(ISBLANK('CONFIGURAÇÃO'!$AD$85),"",'CONFIGURAÇÃO'!$AD$85)</f>
        <v/>
      </c>
      <c r="P7" s="175">
        <f>IF(ISBLANK('CONFIGURAÇÃO'!$AD$86),"",'CONFIGURAÇÃO'!$AD$86)</f>
        <v/>
      </c>
      <c r="Q7" s="175">
        <f>IF(ISBLANK('CONFIGURAÇÃO'!$AD$87),"",'CONFIGURAÇÃO'!$AD$87)</f>
        <v/>
      </c>
      <c r="R7" s="175">
        <f>IF(ISBLANK('CONFIGURAÇÃO'!$AB$89),"",'CONFIGURAÇÃO'!$AB$89)</f>
        <v/>
      </c>
      <c r="S7" s="175">
        <f>TEXTJOIN(" · ",TRUE,U7,V7,W7,X7)</f>
        <v/>
      </c>
      <c r="T7" s="175">
        <f>AND(B7&lt;&gt;"",C7&lt;&gt;"",S7="")</f>
        <v/>
      </c>
      <c r="U7" s="175">
        <f>TEXTJOIN(" · ",TRUE,JY7:KA7)</f>
        <v/>
      </c>
      <c r="V7" s="175">
        <f>IF(AND(OR($B7="Marcante",$B7="Menor"),NOT(OR(COUNTIF('DADOS_CUSTOM'!$CD$2:$CD$160,E7)&gt;0,COUNTIFS('DADOS_CUSTOM'!$C$2:$C$26,E7,'DADOS_CUSTOM'!$B$2:$B$26,"Origem",'DADOS_CUSTOM'!$U$2:$U$26,"")=1))),"Origem vinculada não existe ou tem erro",IF(AND($B7="Marcante",NOT(OR(E7="Restrição Celestial · Restrição corporal",AND(COUNTIFS('DADOS_CUSTOM'!$C$2:$C$26,E7,'DADOS_CUSTOM'!$B$2:$B$26,"Origem",'DADOS_CUSTOM'!$U$2:$U$26,"")=1,OR(IFERROR(INDEX('DADOS_CUSTOM'!$J$2:$J$26,MATCH(E7,'DADOS_CUSTOM'!$C$2:$C$26,0)),E7)="",IFERROR(INDEX('DADOS_CUSTOM'!$J$2:$J$26,MATCH(E7,'DADOS_CUSTOM'!$C$2:$C$26,0)),E7)="Nenhuma",IFERROR(INDEX('DADOS_CUSTOM'!$J$2:$J$26,MATCH(E7,'DADOS_CUSTOM'!$C$2:$C$26,0)),E7)="Restrição Celestial · Restrição corporal"))))),"Marcante própria só para Restrição corporal ou Origem do zero; use a marcante publicada da base",""))</f>
        <v/>
      </c>
      <c r="W7" s="175">
        <f>IF(AND($B7="Menor",F7&lt;&gt;"",F7&lt;&gt;"—",NOT(OR(AND(F7="Tentativa e Erro",OR(E7="Latente",IFERROR(INDEX('DADOS_CUSTOM'!$J$2:$J$26,MATCH(E7,'DADOS_CUSTOM'!$C$2:$C$26,0)),E7)="Latente")),AND(F7="Coexistência",OR(E7="Receptáculo",IFERROR(INDEX('DADOS_CUSTOM'!$J$2:$J$26,MATCH(E7,'DADOS_CUSTOM'!$C$2:$C$26,0)),E7)="Receptáculo")),AND(F7="Conflito",OR(E7="Receptáculo",IFERROR(INDEX('DADOS_CUSTOM'!$J$2:$J$26,MATCH(E7,'DADOS_CUSTOM'!$C$2:$C$26,0)),E7)="Receptáculo")),AND(F7="Zenin",OR(E7="Descendente",IFERROR(INDEX('DADOS_CUSTOM'!$J$2:$J$26,MATCH(E7,'DADOS_CUSTOM'!$C$2:$C$26,0)),E7)="Descendente")),AND(F7="Kamo",OR(E7="Descendente",IFERROR(INDEX('DADOS_CUSTOM'!$J$2:$J$26,MATCH(E7,'DADOS_CUSTOM'!$C$2:$C$26,0)),E7)="Descendente")),AND(F7="Gojo",OR(E7="Descendente",IFERROR(INDEX('DADOS_CUSTOM'!$J$2:$J$26,MATCH(E7,'DADOS_CUSTOM'!$C$2:$C$26,0)),E7)="Descendente")),AND(F7="Inumaki",OR(E7="Descendente",IFERROR(INDEX('DADOS_CUSTOM'!$J$2:$J$26,MATCH(E7,'DADOS_CUSTOM'!$C$2:$C$26,0)),E7)="Descendente")),AND(F7="Duas Vidas",OR(E7="Encarnado",IFERROR(INDEX('DADOS_CUSTOM'!$J$2:$J$26,MATCH(E7,'DADOS_CUSTOM'!$C$2:$C$26,0)),E7)="Encarnado")),AND(F7="Regeneração Orgânica",OR(E7="Híbrido",IFERROR(INDEX('DADOS_CUSTOM'!$J$2:$J$26,MATCH(E7,'DADOS_CUSTOM'!$C$2:$C$26,0)),E7)="Híbrido")),AND(F7="Existência Artificial",OR(E7="Corpo Amaldiçoado",IFERROR(INDEX('DADOS_CUSTOM'!$J$2:$J$26,MATCH(E7,'DADOS_CUSTOM'!$C$2:$C$26,0)),E7)="Corpo Amaldiçoado")),AND(F7="Ataque sem Prenúncio",OR(E7="Restrição Celestial · Sem Energia",IFERROR(INDEX('DADOS_CUSTOM'!$J$2:$J$26,MATCH(E7,'DADOS_CUSTOM'!$C$2:$C$26,0)),E7)="Restrição Celestial · Sem Energia")),AND(F7="Corpo Debilitado",OR(E7="Restrição Celestial · Restrição corporal",IFERROR(INDEX('DADOS_CUSTOM'!$J$2:$J$26,MATCH(E7,'DADOS_CUSTOM'!$C$2:$C$26,0)),E7)="Restrição Celestial · Restrição corporal")),AND(F7="Corpo Quebradiço",OR(E7="Restrição Celestial · Restrição corporal",IFERROR(INDEX('DADOS_CUSTOM'!$J$2:$J$26,MATCH(E7,'DADOS_CUSTOM'!$C$2:$C$26,0)),E7)="Restrição Celestial · Restrição corporal")),AND(F7="Corpo Exaurido",OR(E7="Restrição Celestial · Restrição corporal",IFERROR(INDEX('DADOS_CUSTOM'!$J$2:$J$26,MATCH(E7,'DADOS_CUSTOM'!$C$2:$C$26,0)),E7)="Restrição Celestial · Restrição corporal")),COUNTIFS('DADOS_CUSTOM'!$C$2:$C$26,F7,'DADOS_CUSTOM'!$B$2:$B$26,"Marcante",'DADOS_CUSTOM'!$E$2:$E$26,E7,'DADOS_CUSTOM'!$U$2:$U$26,"",'DADOS_CUSTOM'!$V$2:$V$26,"")=1))),"Marcante exigida não pertence à Origem ou tem erro","")</f>
        <v/>
      </c>
      <c r="X7" s="175">
        <f>IF(AND($B7="Ferramenta amaldiçoada",NOT(OR(COUNTIF('DADOS_CUSTOM'!$CK$2:$CK$75,E7)&gt;0,OR(COUNTIFS('DADOS_CUSTOM'!$C$2:$C$26,E7,'DADOS_CUSTOM'!$B$2:$B$26,"Arma",'DADOS_CUSTOM'!$U$2:$U$26,"")=1,COUNTIFS('DADOS_CUSTOM'!$C$2:$C$26,E7,'DADOS_CUSTOM'!$B$2:$B$26,"Escudo",'DADOS_CUSTOM'!$U$2:$U$26,"")=1,COUNTIFS('DADOS_CUSTOM'!$C$2:$C$26,E7,'DADOS_CUSTOM'!$B$2:$B$26,"Uniforme",'DADOS_CUSTOM'!$U$2:$U$26,"")=1,COUNTIFS('DADOS_CUSTOM'!$C$2:$C$26,E7,'DADOS_CUSTOM'!$B$2:$B$26,"Item comum",'DADOS_CUSTOM'!$U$2:$U$26,"")=1)))),"Base da ferramenta não existe ou tem erro","")</f>
        <v/>
      </c>
      <c r="AA7" s="175" t="inlineStr">
        <is>
          <t>Canivete</t>
        </is>
      </c>
      <c r="AB7" s="175" t="inlineStr">
        <is>
          <t>Lâmina Curta</t>
        </is>
      </c>
      <c r="AC7" s="175" t="n">
        <v>1</v>
      </c>
      <c r="AD7" s="175" t="inlineStr">
        <is>
          <t>1d4</t>
        </is>
      </c>
      <c r="AE7" s="175" t="inlineStr">
        <is>
          <t>Fineza · Oculta · Rompe · Leve</t>
        </is>
      </c>
      <c r="AF7" s="175" t="inlineStr">
        <is>
          <t>—</t>
        </is>
      </c>
      <c r="AG7" s="175" t="n">
        <v>0.1</v>
      </c>
      <c r="AJ7" s="175">
        <f>'FICHA PESSOAL'!$AE$72</f>
        <v/>
      </c>
      <c r="AK7" s="175">
        <f>ADDRESS(ROW('FICHA PESSOAL'!AE72),COLUMN('FICHA PESSOAL'!AE72),4)</f>
        <v/>
      </c>
      <c r="AM7" s="175" t="inlineStr">
        <is>
          <t>Revestimento 3</t>
        </is>
      </c>
      <c r="AN7" s="175" t="n">
        <v>6</v>
      </c>
      <c r="AO7" s="175" t="n">
        <v>0</v>
      </c>
      <c r="AP7" s="175" t="n">
        <v>6</v>
      </c>
      <c r="AQ7" s="175" t="n">
        <v>4</v>
      </c>
      <c r="AR7" s="175" t="n">
        <v>3</v>
      </c>
      <c r="AS7" s="175" t="inlineStr">
        <is>
          <t>Grau 2</t>
        </is>
      </c>
      <c r="AU7" s="175" t="inlineStr">
        <is>
          <t>Gazuas</t>
        </is>
      </c>
      <c r="AV7" s="175" t="n">
        <v>0.1</v>
      </c>
      <c r="AW7" s="175" t="n">
        <v>3000</v>
      </c>
      <c r="AX7" s="175" t="inlineStr">
        <is>
          <t>Um conjunto para fechaduras mecânicas</t>
        </is>
      </c>
      <c r="AZ7" s="175" t="inlineStr">
        <is>
          <t>Gojo</t>
        </is>
      </c>
      <c r="BA7" s="175" t="inlineStr">
        <is>
          <t>Descendente</t>
        </is>
      </c>
      <c r="BB7" s="175" t="inlineStr">
        <is>
          <t>marcante</t>
        </is>
      </c>
      <c r="BC7" s="175" t="inlineStr"/>
      <c r="BD7" s="175" t="inlineStr">
        <is>
          <t>Maestria vezes por dia</t>
        </is>
      </c>
      <c r="BE7" s="175" t="inlineStr">
        <is>
          <t>O estudo da sua técnica inclui execuções reservadas e respostas a capacidades que já conhece. Sua marcante reúne Execução Reservada e Antecipação Estudada. Ela não concede Seis Olhos ou Ilimitado.
Execução Reservada.
Escolha feitiços ou Manejos conhecidos em quantidade total igual à Maestria e registre a lista. Maestria vezes por dia, ao usar uma dessas capacidades, antes dos dados, escolha um benefício:
- Vantagem em uma rolagem de acerto da aplicação.
- Desvantagem no primeiro TR de um único alvo contra a aplicação.
Indique a rolagem ou o alvo antes dos dados. Cada aplicação recebe no máximo um uso, escolhendo apenas um benefício. Não custa ação ou PE adicionais; a capacidade conserva seus custos e requisitos. O uso é gasto ao declarar, mesmo sem resultado favorável.
Os usos formam um estoque compartilhado entre as capacidades. A lista é fixa: se conhecer menos opções que sua Maestria, preencha as vagas restantes quando aprender uma elegível; quando Maestria aumentar, acrescente uma opção conhecida. Se a progressão permitir substituir uma capacidade registrada, a vaga pode acompanhar sua substituta, sem conceder troca extra.
Uma área não impõe desvantagem a todos os alvos. TRs posteriores e os outros ataques da aplicação conservam suas rolagens. Automáticos sem acerto ou TR não oferecem rolagem elegível, e ataques comuns não se tornam elegíveis pela sua Origem. Bloquear continua disponível normalmente, sem desvantagem concedida por esta capacidade.
Antecipação Estudada.
Maestria vezes por dia, depois de falhar em um TR contra feitiço ou Manejo e antes das consequências, pode gastar sua Reação para repetir esse teste, se a capacidade cumprir pelo menos uma condição:
- Pertencer a uma técnica que você tenha estudado; para Manejos, vale o estudo da própria capacidade.
- Você já ter presenciado uma aplicação anterior dela nesta cena.
- Ela já ter sido usada contra você anteriormente.
Aceite o segundo resultado, mantendo modificadores, vantagem e desvantagem, sem misturar dados. Não custa PE e só pode ser usada uma vez por teste. Não cria um TR inexistente, deslocamento ou resistência.
O estudo precisa ser conhecimento estabelecido; ver um feitiço não ensina automaticamente toda a técnica. Execução Reservada e Antecipação Estudada têm reservas diárias independentes, ambas de Maestria usos.</t>
        </is>
      </c>
      <c r="BG7" s="175" t="inlineStr">
        <is>
          <t>Corpo Amaldiçoado</t>
        </is>
      </c>
      <c r="BH7" s="175" t="inlineStr">
        <is>
          <t>Atletismo, Percepção, Ocultismo ou Intimidação</t>
        </is>
      </c>
      <c r="BI7" s="175" t="inlineStr">
        <is>
          <t>Técnica Marcial, com energia amaldiçoada, PE, Refino e Aptidões</t>
        </is>
      </c>
      <c r="BM7" s="175" t="inlineStr">
        <is>
          <t>Traje 3</t>
        </is>
      </c>
      <c r="BN7" s="175" t="inlineStr">
        <is>
          <t>Uniforme</t>
        </is>
      </c>
      <c r="BO7" s="175" t="n">
        <v>3</v>
      </c>
      <c r="BP7" s="175" t="inlineStr">
        <is>
          <t>—</t>
        </is>
      </c>
      <c r="BQ7" s="175" t="n">
        <v>3</v>
      </c>
      <c r="BR7" s="175" t="n">
        <v>2</v>
      </c>
      <c r="BS7" s="175" t="inlineStr">
        <is>
          <t>Grau 4</t>
        </is>
      </c>
      <c r="BT7" s="175" t="inlineStr"/>
      <c r="BU7" s="175" t="inlineStr"/>
      <c r="BV7" s="175" t="inlineStr">
        <is>
          <t>Aptidão Intuitiva</t>
        </is>
      </c>
      <c r="BW7" s="175">
        <f>IF(AND($B6="Origem",OR($J6="",$J6="Nenhuma",$J6="Restrição Celestial · Restrição corporal")),$C6,"")</f>
        <v/>
      </c>
      <c r="BZ7" s="175" t="inlineStr">
        <is>
          <t>Uniforme</t>
        </is>
      </c>
      <c r="CA7" s="175" t="inlineStr">
        <is>
          <t>Investigação</t>
        </is>
      </c>
      <c r="CC7" s="175" t="inlineStr">
        <is>
          <t>Corpo Amaldiçoado</t>
        </is>
      </c>
      <c r="CD7" s="175" t="inlineStr">
        <is>
          <t>Híbrido</t>
        </is>
      </c>
      <c r="CE7" s="175" t="inlineStr">
        <is>
          <t>Caligrafia</t>
        </is>
      </c>
      <c r="CF7" s="175" t="inlineStr">
        <is>
          <t>Flexível</t>
        </is>
      </c>
      <c r="CH7" s="175">
        <f>IF('DADOS_DANOS'!$J$7="","",'DADOS_DANOS'!$J$7)</f>
        <v/>
      </c>
      <c r="CI7" s="175" t="inlineStr">
        <is>
          <t>Alcance</t>
        </is>
      </c>
      <c r="CJ7" s="175" t="inlineStr">
        <is>
          <t>Especial</t>
        </is>
      </c>
      <c r="CK7" s="175" t="inlineStr">
        <is>
          <t>Cassetete</t>
        </is>
      </c>
      <c r="CL7" s="175" t="inlineStr">
        <is>
          <t>Kamo</t>
        </is>
      </c>
      <c r="CR7" s="175">
        <f>IF(DADOS!$CZ$34&gt;=DADOS!$CC$9,DADOS!$BX$9,"")</f>
        <v/>
      </c>
      <c r="CS7" s="175" t="inlineStr">
        <is>
          <t>Restrição Celestial · Restrição corporal</t>
        </is>
      </c>
      <c r="JY7" s="175">
        <f>IF(AND($B7="",$C7="",LEN(TEXTJOIN("",TRUE,E7:R7))=0),"",TEXTJOIN(" · ",TRUE,IF(COUNTIF('DADOS_CUSTOM'!$BZ$2:$BZ$160,$B7)=0,"Escolha um tipo válido",""),IF(LEN(TRIM($C7))=0,"Preencha NOME",""),IF(OR(COUNTIF('DADOS_CUSTOM'!$C$2:$C$26,$C7)&gt;1,COUNTIF('DADOS_CUSTOM'!$BV$2:$BV$171,$C7)&gt;0),"Nome repetido no livro ou custom",""),IF(AND($E7&lt;&gt;"",SWITCH($B7,"Origem","PERÍCIA 1","Marcante","ORIGEM","Menor","ORIGEM","Arma","CATEGORIA","Escudo","","Uniforme","GRAU MÍNIMO","Item comum","","Ferramenta amaldiçoada","BASE","")=""),"Apague campo que este tipo não usa",IF(AND($E7&lt;&gt;"",COUNTIF(INDIRECT(SWITCH($B7,"Origem","'DADOS_PROGRESSAO'!$AG$2:$AG$34","Marcante","'DADOS_CUSTOM'!$BW$2:$BW$160","Menor","'DADOS_CUSTOM'!$CC$2:$CC$160","Arma","'DADOS_CUSTOM'!$CF$2:$CF$160","Escudo","'DADOS_CUSTOM'!$CM$2:$CM$160","Uniforme","'DADOS_CUSTOM'!$CJ$2:$CJ$160","Item comum","'DADOS_CUSTOM'!$CM$2:$CM$160","Ferramenta amaldiçoada","'DADOS_CUSTOM'!$CK$2:$CK$160","'DADOS_CUSTOM'!$CM$2:$CM$160")),$E7)=0),"Opção inválida: "&amp;SWITCH($B7,"Origem","PERÍCIA 1","Marcante","ORIGEM","Menor","ORIGEM","Arma","CATEGORIA","Escudo","","Uniforme","GRAU MÍNIMO","Item comum","","Ferramenta amaldiçoada","BASE",""),"")),IF(AND($F7&lt;&gt;"",SWITCH($B7,"Origem","PERÍCIA 2","Marcante","","Menor","EXIGE MARCANTE","Arma","MÃO","Escudo","","Uniforme","","Item comum","","Ferramenta amaldiçoada","GRAU","")=""),"Apague campo que este tipo não usa",IF(AND($F7&lt;&gt;"",COUNTIF(INDIRECT(SWITCH($B7,"Origem","'DADOS_PROGRESSAO'!$AG$2:$AG$34","Marcante","'DADOS_CUSTOM'!$CM$2:$CM$160","Menor","'DADOS_CUSTOM'!$CL$2:$CL$160","Arma","'DADOS_CUSTOM'!$CG$2:$CG$160","Escudo","'DADOS_CUSTOM'!$CM$2:$CM$160","Uniforme","'DADOS_CUSTOM'!$CM$2:$CM$160","Item comum","'DADOS_CUSTOM'!$CM$2:$CM$160","Ferramenta amaldiçoada","'DADOS_CUSTOM'!$CJ$2:$CJ$160","'DADOS_CUSTOM'!$CM$2:$CM$160")),$F7)=0),"Opção inválida: "&amp;SWITCH($B7,"Origem","PERÍCIA 2","Marcante","","Menor","EXIGE MARCANTE","Arma","MÃO","Escudo","","Uniforme","","Item comum","","Ferramenta amaldiçoada","GRAU",""),"")),IF(AND($G7&lt;&gt;"",SWITCH($B7,"Origem","PERÍCIA 3","Marcante","","Menor","","Arma","TIPO DE DANO","Escudo","","Uniforme","","Item comum","","Ferramenta amaldiçoada","","")=""),"Apague campo que este tipo não usa",IF(AND($G7&lt;&gt;"",COUNTIF(INDIRECT(SWITCH($B7,"Origem","'DADOS_PROGRESSAO'!$AG$2:$AG$34","Marcante","'DADOS_CUSTOM'!$CM$2:$CM$160","Menor","'DADOS_CUSTOM'!$CM$2:$CM$160","Arma","'DADOS_CUSTOM'!$CH$2:$CH$160","Escudo","'DADOS_CUSTOM'!$CM$2:$CM$160","Uniforme","'DADOS_CUSTOM'!$CM$2:$CM$160","Item comum","'DADOS_CUSTOM'!$CM$2:$CM$160","Ferramenta amaldiçoada","'DADOS_CUSTOM'!$CM$2:$CM$160","'DADOS_CUSTOM'!$CM$2:$CM$160")),$G7)=0),"Opção inválida: "&amp;SWITCH($B7,"Origem","PERÍCIA 3","Marcante","","Menor","","Arma","TIPO DE DANO","Escudo","","Uniforme","","Item comum","","Ferramenta amaldiçoada","",""),"")),IF(AND($H7&lt;&gt;"",SWITCH($B7,"Origem","PERÍCIA 4","Marcante","","Menor","","Arma","PROPRIEDADE 1","Escudo","","Uniforme","","Item comum","","Ferramenta amaldiçoada","","")=""),"Apague campo que este tipo não usa",IF(AND($H7&lt;&gt;"",COUNTIF(INDIRECT(SWITCH($B7,"Origem","'DADOS_PROGRESSAO'!$AG$2:$AG$34","Marcante","'DADOS_CUSTOM'!$CM$2:$CM$160","Menor","'DADOS_CUSTOM'!$CM$2:$CM$160","Arma","'DADOS_CUSTOM'!$CI$2:$CI$160","Escudo","'DADOS_CUSTOM'!$CM$2:$CM$160","Uniforme","'DADOS_CUSTOM'!$CM$2:$CM$160","Item comum","'DADOS_CUSTOM'!$CM$2:$CM$160","Ferramenta amaldiçoada","'DADOS_CUSTOM'!$CM$2:$CM$160","'DADOS_CUSTOM'!$CM$2:$CM$160")),$H7)=0),"Opção inválida: "&amp;SWITCH($B7,"Origem","PERÍCIA 4","Marcante","","Menor","","Arma","PROPRIEDADE 1","Escudo","","Uniforme","","Item comum","","Ferramenta amaldiçoada","",""),"")),IF(AND($I7&lt;&gt;"",SWITCH($B7,"Origem","ROTA","Marcante","","Menor","","Arma","PROPRIEDADE 2","Escudo","","Uniforme","","Item comum","","Ferramenta amaldiçoada","","")=""),"Apague campo que este tipo não usa",IF(AND($I7&lt;&gt;"",COUNTIF(INDIRECT(SWITCH($B7,"Origem","'DADOS_CUSTOM'!$CB$2:$CB$160","Marcante","'DADOS_CUSTOM'!$CM$2:$CM$160","Menor","'DADOS_CUSTOM'!$CM$2:$CM$160","Arma","'DADOS_CUSTOM'!$CI$2:$CI$160","Escudo","'DADOS_CUSTOM'!$CM$2:$CM$160","Uniforme","'DADOS_CUSTOM'!$CM$2:$CM$160","Item comum","'DADOS_CUSTOM'!$CM$2:$CM$160","Ferramenta amaldiçoada","'DADOS_CUSTOM'!$CM$2:$CM$160","'DADOS_CUSTOM'!$CM$2:$CM$160")),$I7)=0),"Opção inválida: "&amp;SWITCH($B7,"Origem","ROTA","Marcante","","Menor","","Arma","PROPRIEDADE 2","Escudo","","Uniforme","","Item comum","","Ferramenta amaldiçoada","",""),""))))</f>
        <v/>
      </c>
      <c r="JZ7" s="175">
        <f>IF(AND($B7="",$C7="",LEN(TEXTJOIN("",TRUE,E7:R7))=0),"",TEXTJOIN(" · ",TRUE,IF(AND($J7&lt;&gt;"",SWITCH($B7,"Origem","BASE DO LIVRO","Marcante","","Menor","","Arma","PROPRIEDADE 3","Escudo","","Uniforme","","Item comum","","Ferramenta amaldiçoada","","")=""),"Apague campo que este tipo não usa",IF(AND($J7&lt;&gt;"",COUNTIF(INDIRECT(SWITCH($B7,"Origem","'DADOS_CUSTOM'!$CD$2:$CD$160","Marcante","'DADOS_CUSTOM'!$CM$2:$CM$160","Menor","'DADOS_CUSTOM'!$CM$2:$CM$160","Arma","'DADOS_CUSTOM'!$CI$2:$CI$160","Escudo","'DADOS_CUSTOM'!$CM$2:$CM$160","Uniforme","'DADOS_CUSTOM'!$CM$2:$CM$160","Item comum","'DADOS_CUSTOM'!$CM$2:$CM$160","Ferramenta amaldiçoada","'DADOS_CUSTOM'!$CM$2:$CM$160","'DADOS_CUSTOM'!$CM$2:$CM$160")),$J7)=0),"Opção inválida: "&amp;SWITCH($B7,"Origem","BASE DO LIVRO","Marcante","","Menor","","Arma","PROPRIEDADE 3","Escudo","","Uniforme","","Item comum","","Ferramenta amaldiçoada","",""),"")),IF(AND($K7&lt;&gt;"",SWITCH($B7,"Origem","OFÍCIO","Marcante","","Menor","","Arma","PROPRIEDADE 4","Escudo","","Uniforme","","Item comum","","Ferramenta amaldiçoada","","")=""),"Apague campo que este tipo não usa",IF(AND($K7&lt;&gt;"",COUNTIF(INDIRECT(SWITCH($B7,"Origem","'DADOS_PROGRESSAO'!$AJ$2:$AJ$23","Marcante","'DADOS_CUSTOM'!$CM$2:$CM$160","Menor","'DADOS_CUSTOM'!$CM$2:$CM$160","Arma","'DADOS_CUSTOM'!$CI$2:$CI$160","Escudo","'DADOS_CUSTOM'!$CM$2:$CM$160","Uniforme","'DADOS_CUSTOM'!$CM$2:$CM$160","Item comum","'DADOS_CUSTOM'!$CM$2:$CM$160","Ferramenta amaldiçoada","'DADOS_CUSTOM'!$CM$2:$CM$160","'DADOS_CUSTOM'!$CM$2:$CM$160")),$K7)=0),"Opção inválida: "&amp;SWITCH($B7,"Origem","OFÍCIO","Marcante","","Menor","","Arma","PROPRIEDADE 4","Escudo","","Uniforme","","Item comum","","Ferramenta amaldiçoada","",""),"")),IF(AND($L7&lt;&gt;"",SWITCH($B7,"Origem","TALENTO CE 4","Marcante","FREQUÊNCIA","Menor","FREQUÊNCIA","Arma","DADO","Escudo","PROTEÇÃO","Uniforme","PROTEÇÃO","Item comum","VOLUME","Ferramenta amaldiçoada","ESTIGMA","")=""),"Apague campo que este tipo não usa",IF(AND(OR($B7="Escudo",$B7="Uniforme",$B7="Item comum"),$L7&lt;&gt;"",NOT(ISNUMBER($L7)),NOT(AND($L7="—",FALSE))),"Informe número: "&amp;SWITCH($B7,"Origem","TALENTO CE 4","Marcante","FREQUÊNCIA","Menor","FREQUÊNCIA","Arma","DADO","Escudo","PROTEÇÃO","Uniforme","PROTEÇÃO","Item comum","VOLUME","Ferramenta amaldiçoada","ESTIGMA",""),"")),IF(AND($M7&lt;&gt;"",SWITCH($B7,"Origem","","Marcante","","Menor","","Arma","FORÇA","Escudo","TETO DE DESTREZA","Uniforme","TETO DE DESTREZA","Item comum","PREÇO","Ferramenta amaldiçoada","DESGASTE","")=""),"Apague campo que este tipo não usa",IF(AND(OR($B7="Arma",$B7="Escudo",$B7="Uniforme",$B7="Item comum",$B7="Ferramenta amaldiçoada"),$M7&lt;&gt;"",NOT(ISNUMBER($M7)),NOT(AND($M7="—",OR($B7="Arma",$B7="Escudo",$B7="Uniforme",$B7="Ferramenta amaldiçoada")))),"Informe número: "&amp;SWITCH($B7,"Origem","","Marcante","","Menor","","Arma","FORÇA","Escudo","TETO DE DESTREZA","Uniforme","TETO DE DESTREZA","Item comum","PREÇO","Ferramenta amaldiçoada","DESGASTE",""),"")),IF(AND($N7&lt;&gt;"",SWITCH($B7,"Origem","","Marcante","","Menor","","Arma","VOLUME","Escudo","FORÇA","Uniforme","FORÇA","Item comum","","Ferramenta amaldiçoada","VOLUME","")=""),"Apague campo que este tipo não usa",IF(AND(OR($B7="Arma",$B7="Escudo",$B7="Uniforme",$B7="Ferramenta amaldiçoada"),$N7&lt;&gt;"",NOT(ISNUMBER($N7)),NOT(AND($N7="—",OR($B7="Escudo",$B7="Uniforme")))),"Informe número: "&amp;SWITCH($B7,"Origem","","Marcante","","Menor","","Arma","VOLUME","Escudo","FORÇA","Uniforme","FORÇA","Item comum","","Ferramenta amaldiçoada","VOLUME",""),"")),IF(AND($O7&lt;&gt;"",SWITCH($B7,"Origem","","Marcante","","Menor","","Arma","ALCANCE","Escudo","VOLUME","Uniforme","VOLUME","Item comum","","Ferramenta amaldiçoada","PREÇO","")=""),"Apague campo que este tipo não usa",IF(AND(OR($B7="Escudo",$B7="Uniforme",$B7="Ferramenta amaldiçoada"),$O7&lt;&gt;"",NOT(ISNUMBER($O7)),NOT(AND($O7="—",FALSE))),"Informe número: "&amp;SWITCH($B7,"Origem","","Marcante","","Menor","","Arma","ALCANCE","Escudo","VOLUME","Uniforme","VOLUME","Item comum","","Ferramenta amaldiçoada","PREÇO",""),"")),IF(AND($P7&lt;&gt;"",SWITCH($B7,"Origem","","Marcante","","Menor","","Arma","RECARGA","Escudo","PREÇO","Uniforme","PREÇO","Item comum","","Ferramenta amaldiçoada","","")=""),"Apague campo que este tipo não usa",IF(AND(OR($B7="Arma",$B7="Escudo",$B7="Uniforme"),$P7&lt;&gt;"",NOT(ISNUMBER($P7)),NOT(AND($P7="—",OR($B7="Arma")))),"Informe número: "&amp;SWITCH($B7,"Origem","","Marcante","","Menor","","Arma","RECARGA","Escudo","PREÇO","Uniforme","PREÇO","Item comum","","Ferramenta amaldiçoada","",""),"")),IF(AND($Q7&lt;&gt;"",SWITCH($B7,"Origem","","Marcante","","Menor","","Arma","PREÇO","Escudo","","Uniforme","","Item comum","","Ferramenta amaldiçoada","","")=""),"Apague campo que este tipo não usa",IF(AND(OR($B7="Arma"),$Q7&lt;&gt;"",NOT(ISNUMBER($Q7)),NOT(AND($Q7="—",FALSE))),"Informe número: "&amp;SWITCH($B7,"Origem","","Marcante","","Menor","","Arma","PREÇO","Escudo","","Uniforme","","Item comum","","Ferramenta amaldiçoada","",""),"")),IF(AND($B7="Origem",OR($E7="",$F7="",$G7="",$H7="",$I7="")),"Preencha os campos obrigatórios de Origem","")))</f>
        <v/>
      </c>
      <c r="KA7" s="175">
        <f>IF(AND($B7="",$C7="",LEN(TEXTJOIN("",TRUE,E7:R7))=0),"",TEXTJOIN(" · ",TRUE,IF(AND($B7="Marcante",OR($E7="")),"Preencha os campos obrigatórios de Marcante",""),IF(AND($B7="Menor",OR($E7="")),"Preencha os campos obrigatórios de Menor",""),IF(AND($B7="Arma",OR($E7="",$F7="",$G7="",$L7="",$M7="",$N7="")),"Preencha os campos obrigatórios de Arma",""),IF(AND($B7="Escudo",OR($L7="",$M7="",$N7="",$O7="")),"Preencha os campos obrigatórios de Escudo",""),IF(AND($B7="Uniforme",OR($E7="",$L7="",$M7="",$N7="",$O7="")),"Preencha os campos obrigatórios de Uniforme",""),IF(AND($B7="Item comum",OR($L7="")),"Preencha os campos obrigatórios de Item comum",""),IF(AND($B7="Ferramenta amaldiçoada",OR($E7="",$F7="")),"Preencha os campos obrigatórios de Ferramenta amaldiçoada",""),IF(AND($B7="Origem",COUNTA(E7:H7)=4,NOT(AND(E7&lt;&gt;F7,E7&lt;&gt;G7,E7&lt;&gt;H7,F7&lt;&gt;G7,F7&lt;&gt;H7,G7&lt;&gt;H7))),"Escolha quatro perícias diferentes",""),IF(AND($B7="Origem",J7="Latente",NOT(OR(I7="Fundamento",I7="Manejos"))),"ROTA não combina com BASE DO LIVRO",""),IF(AND($B7="Origem",J7="Receptáculo",NOT(OR(I7="Fundamento",I7="Manejos"))),"ROTA não combina com BASE DO LIVRO",""),IF(AND($B7="Origem",J7="Descendente",NOT(OR(I7="Fundamento",I7="Manejos"))),"ROTA não combina com BASE DO LIVRO",""),IF(AND($B7="Origem",J7="Encarnado",NOT(OR(I7="Fundamento",I7="Manejos"))),"ROTA não combina com BASE DO LIVRO",""),IF(AND($B7="Origem",J7="Híbrido",NOT(OR(I7="Fundamento",I7="Manejos"))),"ROTA não combina com BASE DO LIVRO",""),IF(AND($B7="Origem",J7="Corpo Amaldiçoado",NOT(OR(I7="Técnica Marcial com energia"))),"ROTA não combina com BASE DO LIVRO",""),IF(AND($B7="Origem",J7="Restrição Celestial · Sem Energia",NOT(OR(I7="Técnica Marcial sem energia"))),"ROTA não combina com BASE DO LIVRO",""),IF(AND($B7="Origem",J7="Restrição Celestial · Restrição corporal",NOT(OR(I7="Fundamento"))),"ROTA não combina com BASE DO LIVRO","")))</f>
        <v/>
      </c>
    </row>
    <row r="8">
      <c r="A8" s="175" t="n">
        <v>7</v>
      </c>
      <c r="B8" s="175">
        <f>IF(ISBLANK('CONFIGURAÇÃO'!$T$101),"",'CONFIGURAÇÃO'!$T$101)</f>
        <v/>
      </c>
      <c r="C8" s="175">
        <f>IF(ISBLANK('CONFIGURAÇÃO'!$T$103),"",'CONFIGURAÇÃO'!$T$103)</f>
        <v/>
      </c>
      <c r="D8" s="175">
        <f>IF(ISBLANK('CONFIGURAÇÃO'!$X$101),"",'CONFIGURAÇÃO'!$X$101)</f>
        <v/>
      </c>
      <c r="E8" s="175">
        <f>IF(ISBLANK('CONFIGURAÇÃO'!$V$104),"",'CONFIGURAÇÃO'!$V$104)</f>
        <v/>
      </c>
      <c r="F8" s="175">
        <f>IF(ISBLANK('CONFIGURAÇÃO'!$V$105),"",'CONFIGURAÇÃO'!$V$105)</f>
        <v/>
      </c>
      <c r="G8" s="175">
        <f>IF(ISBLANK('CONFIGURAÇÃO'!$V$106),"",'CONFIGURAÇÃO'!$V$106)</f>
        <v/>
      </c>
      <c r="H8" s="175">
        <f>IF(ISBLANK('CONFIGURAÇÃO'!$V$107),"",'CONFIGURAÇÃO'!$V$107)</f>
        <v/>
      </c>
      <c r="I8" s="175">
        <f>IF(ISBLANK('CONFIGURAÇÃO'!$V$108),"",'CONFIGURAÇÃO'!$V$108)</f>
        <v/>
      </c>
      <c r="J8" s="175">
        <f>IF(ISBLANK('CONFIGURAÇÃO'!$V$109),"",'CONFIGURAÇÃO'!$V$109)</f>
        <v/>
      </c>
      <c r="K8" s="175">
        <f>IF(ISBLANK('CONFIGURAÇÃO'!$V$110),"",'CONFIGURAÇÃO'!$V$110)</f>
        <v/>
      </c>
      <c r="L8" s="175">
        <f>IF(ISBLANK('CONFIGURAÇÃO'!$V$111),"",'CONFIGURAÇÃO'!$V$111)</f>
        <v/>
      </c>
      <c r="M8" s="175">
        <f>IF(ISBLANK('CONFIGURAÇÃO'!$V$112),"",'CONFIGURAÇÃO'!$V$112)</f>
        <v/>
      </c>
      <c r="N8" s="175">
        <f>IF(ISBLANK('CONFIGURAÇÃO'!$V$113),"",'CONFIGURAÇÃO'!$V$113)</f>
        <v/>
      </c>
      <c r="O8" s="175">
        <f>IF(ISBLANK('CONFIGURAÇÃO'!$V$114),"",'CONFIGURAÇÃO'!$V$114)</f>
        <v/>
      </c>
      <c r="P8" s="175">
        <f>IF(ISBLANK('CONFIGURAÇÃO'!$V$115),"",'CONFIGURAÇÃO'!$V$115)</f>
        <v/>
      </c>
      <c r="Q8" s="175">
        <f>IF(ISBLANK('CONFIGURAÇÃO'!$V$116),"",'CONFIGURAÇÃO'!$V$116)</f>
        <v/>
      </c>
      <c r="R8" s="175">
        <f>IF(ISBLANK('CONFIGURAÇÃO'!$T$118),"",'CONFIGURAÇÃO'!$T$118)</f>
        <v/>
      </c>
      <c r="S8" s="175">
        <f>TEXTJOIN(" · ",TRUE,U8,V8,W8,X8)</f>
        <v/>
      </c>
      <c r="T8" s="175">
        <f>AND(B8&lt;&gt;"",C8&lt;&gt;"",S8="")</f>
        <v/>
      </c>
      <c r="U8" s="175">
        <f>TEXTJOIN(" · ",TRUE,JY8:KA8)</f>
        <v/>
      </c>
      <c r="V8" s="175">
        <f>IF(AND(OR($B8="Marcante",$B8="Menor"),NOT(OR(COUNTIF('DADOS_CUSTOM'!$CD$2:$CD$160,E8)&gt;0,COUNTIFS('DADOS_CUSTOM'!$C$2:$C$26,E8,'DADOS_CUSTOM'!$B$2:$B$26,"Origem",'DADOS_CUSTOM'!$U$2:$U$26,"")=1))),"Origem vinculada não existe ou tem erro",IF(AND($B8="Marcante",NOT(OR(E8="Restrição Celestial · Restrição corporal",AND(COUNTIFS('DADOS_CUSTOM'!$C$2:$C$26,E8,'DADOS_CUSTOM'!$B$2:$B$26,"Origem",'DADOS_CUSTOM'!$U$2:$U$26,"")=1,OR(IFERROR(INDEX('DADOS_CUSTOM'!$J$2:$J$26,MATCH(E8,'DADOS_CUSTOM'!$C$2:$C$26,0)),E8)="",IFERROR(INDEX('DADOS_CUSTOM'!$J$2:$J$26,MATCH(E8,'DADOS_CUSTOM'!$C$2:$C$26,0)),E8)="Nenhuma",IFERROR(INDEX('DADOS_CUSTOM'!$J$2:$J$26,MATCH(E8,'DADOS_CUSTOM'!$C$2:$C$26,0)),E8)="Restrição Celestial · Restrição corporal"))))),"Marcante própria só para Restrição corporal ou Origem do zero; use a marcante publicada da base",""))</f>
        <v/>
      </c>
      <c r="W8" s="175">
        <f>IF(AND($B8="Menor",F8&lt;&gt;"",F8&lt;&gt;"—",NOT(OR(AND(F8="Tentativa e Erro",OR(E8="Latente",IFERROR(INDEX('DADOS_CUSTOM'!$J$2:$J$26,MATCH(E8,'DADOS_CUSTOM'!$C$2:$C$26,0)),E8)="Latente")),AND(F8="Coexistência",OR(E8="Receptáculo",IFERROR(INDEX('DADOS_CUSTOM'!$J$2:$J$26,MATCH(E8,'DADOS_CUSTOM'!$C$2:$C$26,0)),E8)="Receptáculo")),AND(F8="Conflito",OR(E8="Receptáculo",IFERROR(INDEX('DADOS_CUSTOM'!$J$2:$J$26,MATCH(E8,'DADOS_CUSTOM'!$C$2:$C$26,0)),E8)="Receptáculo")),AND(F8="Zenin",OR(E8="Descendente",IFERROR(INDEX('DADOS_CUSTOM'!$J$2:$J$26,MATCH(E8,'DADOS_CUSTOM'!$C$2:$C$26,0)),E8)="Descendente")),AND(F8="Kamo",OR(E8="Descendente",IFERROR(INDEX('DADOS_CUSTOM'!$J$2:$J$26,MATCH(E8,'DADOS_CUSTOM'!$C$2:$C$26,0)),E8)="Descendente")),AND(F8="Gojo",OR(E8="Descendente",IFERROR(INDEX('DADOS_CUSTOM'!$J$2:$J$26,MATCH(E8,'DADOS_CUSTOM'!$C$2:$C$26,0)),E8)="Descendente")),AND(F8="Inumaki",OR(E8="Descendente",IFERROR(INDEX('DADOS_CUSTOM'!$J$2:$J$26,MATCH(E8,'DADOS_CUSTOM'!$C$2:$C$26,0)),E8)="Descendente")),AND(F8="Duas Vidas",OR(E8="Encarnado",IFERROR(INDEX('DADOS_CUSTOM'!$J$2:$J$26,MATCH(E8,'DADOS_CUSTOM'!$C$2:$C$26,0)),E8)="Encarnado")),AND(F8="Regeneração Orgânica",OR(E8="Híbrido",IFERROR(INDEX('DADOS_CUSTOM'!$J$2:$J$26,MATCH(E8,'DADOS_CUSTOM'!$C$2:$C$26,0)),E8)="Híbrido")),AND(F8="Existência Artificial",OR(E8="Corpo Amaldiçoado",IFERROR(INDEX('DADOS_CUSTOM'!$J$2:$J$26,MATCH(E8,'DADOS_CUSTOM'!$C$2:$C$26,0)),E8)="Corpo Amaldiçoado")),AND(F8="Ataque sem Prenúncio",OR(E8="Restrição Celestial · Sem Energia",IFERROR(INDEX('DADOS_CUSTOM'!$J$2:$J$26,MATCH(E8,'DADOS_CUSTOM'!$C$2:$C$26,0)),E8)="Restrição Celestial · Sem Energia")),AND(F8="Corpo Debilitado",OR(E8="Restrição Celestial · Restrição corporal",IFERROR(INDEX('DADOS_CUSTOM'!$J$2:$J$26,MATCH(E8,'DADOS_CUSTOM'!$C$2:$C$26,0)),E8)="Restrição Celestial · Restrição corporal")),AND(F8="Corpo Quebradiço",OR(E8="Restrição Celestial · Restrição corporal",IFERROR(INDEX('DADOS_CUSTOM'!$J$2:$J$26,MATCH(E8,'DADOS_CUSTOM'!$C$2:$C$26,0)),E8)="Restrição Celestial · Restrição corporal")),AND(F8="Corpo Exaurido",OR(E8="Restrição Celestial · Restrição corporal",IFERROR(INDEX('DADOS_CUSTOM'!$J$2:$J$26,MATCH(E8,'DADOS_CUSTOM'!$C$2:$C$26,0)),E8)="Restrição Celestial · Restrição corporal")),COUNTIFS('DADOS_CUSTOM'!$C$2:$C$26,F8,'DADOS_CUSTOM'!$B$2:$B$26,"Marcante",'DADOS_CUSTOM'!$E$2:$E$26,E8,'DADOS_CUSTOM'!$U$2:$U$26,"",'DADOS_CUSTOM'!$V$2:$V$26,"")=1))),"Marcante exigida não pertence à Origem ou tem erro","")</f>
        <v/>
      </c>
      <c r="X8" s="175">
        <f>IF(AND($B8="Ferramenta amaldiçoada",NOT(OR(COUNTIF('DADOS_CUSTOM'!$CK$2:$CK$75,E8)&gt;0,OR(COUNTIFS('DADOS_CUSTOM'!$C$2:$C$26,E8,'DADOS_CUSTOM'!$B$2:$B$26,"Arma",'DADOS_CUSTOM'!$U$2:$U$26,"")=1,COUNTIFS('DADOS_CUSTOM'!$C$2:$C$26,E8,'DADOS_CUSTOM'!$B$2:$B$26,"Escudo",'DADOS_CUSTOM'!$U$2:$U$26,"")=1,COUNTIFS('DADOS_CUSTOM'!$C$2:$C$26,E8,'DADOS_CUSTOM'!$B$2:$B$26,"Uniforme",'DADOS_CUSTOM'!$U$2:$U$26,"")=1,COUNTIFS('DADOS_CUSTOM'!$C$2:$C$26,E8,'DADOS_CUSTOM'!$B$2:$B$26,"Item comum",'DADOS_CUSTOM'!$U$2:$U$26,"")=1)))),"Base da ferramenta não existe ou tem erro","")</f>
        <v/>
      </c>
      <c r="AA8" s="175" t="inlineStr">
        <is>
          <t>Cassetete</t>
        </is>
      </c>
      <c r="AB8" s="175" t="inlineStr">
        <is>
          <t>Porrete</t>
        </is>
      </c>
      <c r="AC8" s="175" t="n">
        <v>1</v>
      </c>
      <c r="AD8" s="175" t="inlineStr">
        <is>
          <t>1d6</t>
        </is>
      </c>
      <c r="AE8" s="175" t="inlineStr">
        <is>
          <t>Oculta · Vestida · Leve</t>
        </is>
      </c>
      <c r="AF8" s="175" t="inlineStr">
        <is>
          <t>—</t>
        </is>
      </c>
      <c r="AG8" s="175" t="n">
        <v>0.3</v>
      </c>
      <c r="AJ8" s="175">
        <f>'FICHA PESSOAL'!$V$74</f>
        <v/>
      </c>
      <c r="AK8" s="175">
        <f>ADDRESS(ROW('FICHA PESSOAL'!V74),COLUMN('FICHA PESSOAL'!V74),4)</f>
        <v/>
      </c>
      <c r="AM8" s="175">
        <f>IF(AND(OR($B2="Uniforme"),$C2&lt;&gt;"",$U2=""),$C2,"")</f>
        <v/>
      </c>
      <c r="AN8" s="175">
        <f>IF(AND(OR($B2="Uniforme"),$C2&lt;&gt;"",$U2=""),$L2,"")</f>
        <v/>
      </c>
      <c r="AO8" s="175">
        <f>IF(AND(OR($B2="Uniforme"),$C2&lt;&gt;"",$U2=""),$M2,"")</f>
        <v/>
      </c>
      <c r="AP8" s="175">
        <f>IF(AND(OR($B2="Uniforme"),$C2&lt;&gt;"",$U2=""),$N2,"")</f>
        <v/>
      </c>
      <c r="AQ8" s="175">
        <f>IF(AND(OR($B2="Uniforme"),$C2&lt;&gt;"",$U2=""),$O2,"")</f>
        <v/>
      </c>
      <c r="AR8" s="175">
        <f>IF(AND(OR($B2="Uniforme"),$C2&lt;&gt;"",$U2=""),IFERROR(VLOOKUP($E2,DADOS!$CF$5:$CH$9,3,FALSE),1),"")</f>
        <v/>
      </c>
      <c r="AS8" s="175">
        <f>IF(AND(OR($B2="Uniforme"),$C2&lt;&gt;"",$U2=""),$E2,"")</f>
        <v/>
      </c>
      <c r="AU8" s="175" t="inlineStr">
        <is>
          <t>Kit de escalada</t>
        </is>
      </c>
      <c r="AV8" s="175" t="n">
        <v>0.5</v>
      </c>
      <c r="AW8" s="175" t="n">
        <v>3000</v>
      </c>
      <c r="AX8" s="175" t="inlineStr">
        <is>
          <t>Arnês, fixadores e conectores; sem corda</t>
        </is>
      </c>
      <c r="AZ8" s="175" t="inlineStr">
        <is>
          <t>Inumaki</t>
        </is>
      </c>
      <c r="BA8" s="175" t="inlineStr">
        <is>
          <t>Descendente</t>
        </is>
      </c>
      <c r="BB8" s="175" t="inlineStr">
        <is>
          <t>marcante</t>
        </is>
      </c>
      <c r="BC8" s="175" t="inlineStr"/>
      <c r="BD8" s="175" t="inlineStr">
        <is>
          <t>Uma vez por cena · Duas vezes por cena</t>
        </is>
      </c>
      <c r="BE8" s="175" t="inlineStr">
        <is>
          <t>Sua família cultiva uma comunicação atenta, feita de poucas palavras e sinais discretos. A imagem da serpente aparece nesse repertório e nos símbolos usados pela casa. Sua marcante reúne Entendimento Tácito e Linguagem da Serpente, com Leitura a Dois.
Essa formação funciona com ou sem Fala Amaldiçoada. Não concede a técnica, obriga você a portar suas marcas ou impede o uso de linguagem comum.
Entendimento Tácito.
Durante um descanso longo, escolha um companheiro. Uma vez por cena, quando ambos fizerem o mesmo tipo de TR Físico ou de Espírito contra a mesma aplicação, podem usar o melhor resultado natural entre os dois, mantendo seus próprios bônus. Precisam estar a até 9 m e perceber um sinal um do outro.
Façam as rolagens normalmente, inclusive vantagem ou desvantagem. Depois de conhecer os resultados, antes das consequências, decida pelo uso. Comparem os d20 efetivamente escolhidos, sem recuperar dados descartados. O benefício não garante sucesso.
Exemplo: vocês obtêm 6 e 15 nos dados. Ambos podem usar 15; com bônus de +2 e +7, os totais ficam 17 e 22.
Linguagem da Serpente.
Durante um descanso longo, ensine aos companheiros que participarem um repertório de palavras comuns e gestos. Quem aprendeu consegue trocar mensagens com os demais participantes sem testes para transmitir ou compreender o sentido pretendido, inclusive mensagens não combinadas individualmente antes.
Quem desconhece o código não compreende o sentido só por ouvir palavras ou ver gestos. A comunicação ainda pode ser percebida, e o código pode ser descoberto. Palavras precisam ser ouvidas; gestos, percebidos. As mensagens levam o tempo normal de comunicação e não substituem exigências verbais de capacidades ou concedem ações.
Aprender o código não torna todos os participantes companheiros de Entendimento Tácito. Escolher outro companheiro também não apaga o código aprendido pelos anteriores.
Leitura a Dois.
Duas vezes por cena, no total, antes de você ou o companheiro escolhido fazer um teste de Investigação, Intuição, Percepção, Persuasão, Enganação ou Intimidação, o executor pode usar o bônus da mesma perícia do outro no lugar do próprio.
Quem oferece o bônus precisa ser treinado na perícia, acompanhar a situação e transmitir suas observações. Vocês devem estar conscientes, a até 9 m, acompanhando a situação e percebendo a comunicação necessária.
O executor conserva seu d20 e as circunstâncias da tarefa. Os bônus não se somam, e o empréstimo não concede treino, especialização, requisitos ou outras capacidades do companheiro. Os dois usos são compartilhados pela dupla, em qualquer direção, e são independentes do uso de Entendimento Tácito.
Exemplo: você acompanha uma negociação e sinaliza quais argumentos usar. Se for treinado em Persuasão, seu companheiro pode trocar o bônus de +2 pelo seu +7. Com 9 no d20 dele, o total é 16, sem somar os dois bônus.
Nenhum componente concede outra ação ou tentativa, cobra PE adicionais ou oferece telepatia e sentidos compartilhados. Mantenha o tempo e os requisitos da tarefa; a orientação não revela pistas que nenhum dos dois percebeu.</t>
        </is>
      </c>
      <c r="BG8" s="175" t="inlineStr">
        <is>
          <t>Restrição Celestial · Sem Energia</t>
        </is>
      </c>
      <c r="BH8" s="175" t="inlineStr">
        <is>
          <t>Atletismo, Acrobacia, Furtividade ou Pontaria</t>
        </is>
      </c>
      <c r="BI8" s="175" t="inlineStr">
        <is>
          <t>Técnica Marcial, sem energia</t>
        </is>
      </c>
      <c r="BM8" s="175" t="inlineStr">
        <is>
          <t>Revestimento 1</t>
        </is>
      </c>
      <c r="BN8" s="175" t="inlineStr">
        <is>
          <t>Uniforme</t>
        </is>
      </c>
      <c r="BO8" s="175" t="n">
        <v>4</v>
      </c>
      <c r="BP8" s="175" t="n">
        <v>0</v>
      </c>
      <c r="BQ8" s="175" t="n">
        <v>3</v>
      </c>
      <c r="BR8" s="175" t="n">
        <v>2</v>
      </c>
      <c r="BS8" s="175" t="inlineStr">
        <is>
          <t>Grau 4</t>
        </is>
      </c>
      <c r="BT8" s="175" t="inlineStr"/>
      <c r="BU8" s="175" t="inlineStr"/>
      <c r="BV8" s="175" t="inlineStr">
        <is>
          <t>Armamento Orgânico</t>
        </is>
      </c>
      <c r="BW8" s="175">
        <f>IF(AND($B7="Origem",OR($J7="",$J7="Nenhuma",$J7="Restrição Celestial · Restrição corporal")),$C7,"")</f>
        <v/>
      </c>
      <c r="BZ8" s="175" t="inlineStr">
        <is>
          <t>Item comum</t>
        </is>
      </c>
      <c r="CA8" s="175" t="inlineStr">
        <is>
          <t>Intuição</t>
        </is>
      </c>
      <c r="CC8" s="175" t="inlineStr">
        <is>
          <t>Restrição Celestial · Sem Energia</t>
        </is>
      </c>
      <c r="CD8" s="175" t="inlineStr">
        <is>
          <t>Corpo Amaldiçoado</t>
        </is>
      </c>
      <c r="CE8" s="175" t="inlineStr">
        <is>
          <t>Burocracia</t>
        </is>
      </c>
      <c r="CF8" s="175" t="inlineStr">
        <is>
          <t>Lâmina Curta</t>
        </is>
      </c>
      <c r="CH8" s="175">
        <f>IF('DADOS_DANOS'!$J$8="","",'DADOS_DANOS'!$J$8)</f>
        <v/>
      </c>
      <c r="CI8" s="175" t="inlineStr">
        <is>
          <t>Longo Alcance</t>
        </is>
      </c>
      <c r="CK8" s="175" t="inlineStr">
        <is>
          <t>Chakram</t>
        </is>
      </c>
      <c r="CL8" s="175" t="inlineStr">
        <is>
          <t>Gojo</t>
        </is>
      </c>
      <c r="CR8" s="175">
        <f>IF(DADOS!$CZ$34&gt;=DADOS!$CC$10,DADOS!$BX$10,"")</f>
        <v/>
      </c>
      <c r="CS8" s="175" t="inlineStr">
        <is>
          <t>Latente · Sem Técnica</t>
        </is>
      </c>
      <c r="JY8" s="175">
        <f>IF(AND($B8="",$C8="",LEN(TEXTJOIN("",TRUE,E8:R8))=0),"",TEXTJOIN(" · ",TRUE,IF(COUNTIF('DADOS_CUSTOM'!$BZ$2:$BZ$160,$B8)=0,"Escolha um tipo válido",""),IF(LEN(TRIM($C8))=0,"Preencha NOME",""),IF(OR(COUNTIF('DADOS_CUSTOM'!$C$2:$C$26,$C8)&gt;1,COUNTIF('DADOS_CUSTOM'!$BV$2:$BV$171,$C8)&gt;0),"Nome repetido no livro ou custom",""),IF(AND($E8&lt;&gt;"",SWITCH($B8,"Origem","PERÍCIA 1","Marcante","ORIGEM","Menor","ORIGEM","Arma","CATEGORIA","Escudo","","Uniforme","GRAU MÍNIMO","Item comum","","Ferramenta amaldiçoada","BASE","")=""),"Apague campo que este tipo não usa",IF(AND($E8&lt;&gt;"",COUNTIF(INDIRECT(SWITCH($B8,"Origem","'DADOS_PROGRESSAO'!$AG$2:$AG$34","Marcante","'DADOS_CUSTOM'!$BW$2:$BW$160","Menor","'DADOS_CUSTOM'!$CC$2:$CC$160","Arma","'DADOS_CUSTOM'!$CF$2:$CF$160","Escudo","'DADOS_CUSTOM'!$CM$2:$CM$160","Uniforme","'DADOS_CUSTOM'!$CJ$2:$CJ$160","Item comum","'DADOS_CUSTOM'!$CM$2:$CM$160","Ferramenta amaldiçoada","'DADOS_CUSTOM'!$CK$2:$CK$160","'DADOS_CUSTOM'!$CM$2:$CM$160")),$E8)=0),"Opção inválida: "&amp;SWITCH($B8,"Origem","PERÍCIA 1","Marcante","ORIGEM","Menor","ORIGEM","Arma","CATEGORIA","Escudo","","Uniforme","GRAU MÍNIMO","Item comum","","Ferramenta amaldiçoada","BASE",""),"")),IF(AND($F8&lt;&gt;"",SWITCH($B8,"Origem","PERÍCIA 2","Marcante","","Menor","EXIGE MARCANTE","Arma","MÃO","Escudo","","Uniforme","","Item comum","","Ferramenta amaldiçoada","GRAU","")=""),"Apague campo que este tipo não usa",IF(AND($F8&lt;&gt;"",COUNTIF(INDIRECT(SWITCH($B8,"Origem","'DADOS_PROGRESSAO'!$AG$2:$AG$34","Marcante","'DADOS_CUSTOM'!$CM$2:$CM$160","Menor","'DADOS_CUSTOM'!$CL$2:$CL$160","Arma","'DADOS_CUSTOM'!$CG$2:$CG$160","Escudo","'DADOS_CUSTOM'!$CM$2:$CM$160","Uniforme","'DADOS_CUSTOM'!$CM$2:$CM$160","Item comum","'DADOS_CUSTOM'!$CM$2:$CM$160","Ferramenta amaldiçoada","'DADOS_CUSTOM'!$CJ$2:$CJ$160","'DADOS_CUSTOM'!$CM$2:$CM$160")),$F8)=0),"Opção inválida: "&amp;SWITCH($B8,"Origem","PERÍCIA 2","Marcante","","Menor","EXIGE MARCANTE","Arma","MÃO","Escudo","","Uniforme","","Item comum","","Ferramenta amaldiçoada","GRAU",""),"")),IF(AND($G8&lt;&gt;"",SWITCH($B8,"Origem","PERÍCIA 3","Marcante","","Menor","","Arma","TIPO DE DANO","Escudo","","Uniforme","","Item comum","","Ferramenta amaldiçoada","","")=""),"Apague campo que este tipo não usa",IF(AND($G8&lt;&gt;"",COUNTIF(INDIRECT(SWITCH($B8,"Origem","'DADOS_PROGRESSAO'!$AG$2:$AG$34","Marcante","'DADOS_CUSTOM'!$CM$2:$CM$160","Menor","'DADOS_CUSTOM'!$CM$2:$CM$160","Arma","'DADOS_CUSTOM'!$CH$2:$CH$160","Escudo","'DADOS_CUSTOM'!$CM$2:$CM$160","Uniforme","'DADOS_CUSTOM'!$CM$2:$CM$160","Item comum","'DADOS_CUSTOM'!$CM$2:$CM$160","Ferramenta amaldiçoada","'DADOS_CUSTOM'!$CM$2:$CM$160","'DADOS_CUSTOM'!$CM$2:$CM$160")),$G8)=0),"Opção inválida: "&amp;SWITCH($B8,"Origem","PERÍCIA 3","Marcante","","Menor","","Arma","TIPO DE DANO","Escudo","","Uniforme","","Item comum","","Ferramenta amaldiçoada","",""),"")),IF(AND($H8&lt;&gt;"",SWITCH($B8,"Origem","PERÍCIA 4","Marcante","","Menor","","Arma","PROPRIEDADE 1","Escudo","","Uniforme","","Item comum","","Ferramenta amaldiçoada","","")=""),"Apague campo que este tipo não usa",IF(AND($H8&lt;&gt;"",COUNTIF(INDIRECT(SWITCH($B8,"Origem","'DADOS_PROGRESSAO'!$AG$2:$AG$34","Marcante","'DADOS_CUSTOM'!$CM$2:$CM$160","Menor","'DADOS_CUSTOM'!$CM$2:$CM$160","Arma","'DADOS_CUSTOM'!$CI$2:$CI$160","Escudo","'DADOS_CUSTOM'!$CM$2:$CM$160","Uniforme","'DADOS_CUSTOM'!$CM$2:$CM$160","Item comum","'DADOS_CUSTOM'!$CM$2:$CM$160","Ferramenta amaldiçoada","'DADOS_CUSTOM'!$CM$2:$CM$160","'DADOS_CUSTOM'!$CM$2:$CM$160")),$H8)=0),"Opção inválida: "&amp;SWITCH($B8,"Origem","PERÍCIA 4","Marcante","","Menor","","Arma","PROPRIEDADE 1","Escudo","","Uniforme","","Item comum","","Ferramenta amaldiçoada","",""),"")),IF(AND($I8&lt;&gt;"",SWITCH($B8,"Origem","ROTA","Marcante","","Menor","","Arma","PROPRIEDADE 2","Escudo","","Uniforme","","Item comum","","Ferramenta amaldiçoada","","")=""),"Apague campo que este tipo não usa",IF(AND($I8&lt;&gt;"",COUNTIF(INDIRECT(SWITCH($B8,"Origem","'DADOS_CUSTOM'!$CB$2:$CB$160","Marcante","'DADOS_CUSTOM'!$CM$2:$CM$160","Menor","'DADOS_CUSTOM'!$CM$2:$CM$160","Arma","'DADOS_CUSTOM'!$CI$2:$CI$160","Escudo","'DADOS_CUSTOM'!$CM$2:$CM$160","Uniforme","'DADOS_CUSTOM'!$CM$2:$CM$160","Item comum","'DADOS_CUSTOM'!$CM$2:$CM$160","Ferramenta amaldiçoada","'DADOS_CUSTOM'!$CM$2:$CM$160","'DADOS_CUSTOM'!$CM$2:$CM$160")),$I8)=0),"Opção inválida: "&amp;SWITCH($B8,"Origem","ROTA","Marcante","","Menor","","Arma","PROPRIEDADE 2","Escudo","","Uniforme","","Item comum","","Ferramenta amaldiçoada","",""),""))))</f>
        <v/>
      </c>
      <c r="JZ8" s="175">
        <f>IF(AND($B8="",$C8="",LEN(TEXTJOIN("",TRUE,E8:R8))=0),"",TEXTJOIN(" · ",TRUE,IF(AND($J8&lt;&gt;"",SWITCH($B8,"Origem","BASE DO LIVRO","Marcante","","Menor","","Arma","PROPRIEDADE 3","Escudo","","Uniforme","","Item comum","","Ferramenta amaldiçoada","","")=""),"Apague campo que este tipo não usa",IF(AND($J8&lt;&gt;"",COUNTIF(INDIRECT(SWITCH($B8,"Origem","'DADOS_CUSTOM'!$CD$2:$CD$160","Marcante","'DADOS_CUSTOM'!$CM$2:$CM$160","Menor","'DADOS_CUSTOM'!$CM$2:$CM$160","Arma","'DADOS_CUSTOM'!$CI$2:$CI$160","Escudo","'DADOS_CUSTOM'!$CM$2:$CM$160","Uniforme","'DADOS_CUSTOM'!$CM$2:$CM$160","Item comum","'DADOS_CUSTOM'!$CM$2:$CM$160","Ferramenta amaldiçoada","'DADOS_CUSTOM'!$CM$2:$CM$160","'DADOS_CUSTOM'!$CM$2:$CM$160")),$J8)=0),"Opção inválida: "&amp;SWITCH($B8,"Origem","BASE DO LIVRO","Marcante","","Menor","","Arma","PROPRIEDADE 3","Escudo","","Uniforme","","Item comum","","Ferramenta amaldiçoada","",""),"")),IF(AND($K8&lt;&gt;"",SWITCH($B8,"Origem","OFÍCIO","Marcante","","Menor","","Arma","PROPRIEDADE 4","Escudo","","Uniforme","","Item comum","","Ferramenta amaldiçoada","","")=""),"Apague campo que este tipo não usa",IF(AND($K8&lt;&gt;"",COUNTIF(INDIRECT(SWITCH($B8,"Origem","'DADOS_PROGRESSAO'!$AJ$2:$AJ$23","Marcante","'DADOS_CUSTOM'!$CM$2:$CM$160","Menor","'DADOS_CUSTOM'!$CM$2:$CM$160","Arma","'DADOS_CUSTOM'!$CI$2:$CI$160","Escudo","'DADOS_CUSTOM'!$CM$2:$CM$160","Uniforme","'DADOS_CUSTOM'!$CM$2:$CM$160","Item comum","'DADOS_CUSTOM'!$CM$2:$CM$160","Ferramenta amaldiçoada","'DADOS_CUSTOM'!$CM$2:$CM$160","'DADOS_CUSTOM'!$CM$2:$CM$160")),$K8)=0),"Opção inválida: "&amp;SWITCH($B8,"Origem","OFÍCIO","Marcante","","Menor","","Arma","PROPRIEDADE 4","Escudo","","Uniforme","","Item comum","","Ferramenta amaldiçoada","",""),"")),IF(AND($L8&lt;&gt;"",SWITCH($B8,"Origem","TALENTO CE 4","Marcante","FREQUÊNCIA","Menor","FREQUÊNCIA","Arma","DADO","Escudo","PROTEÇÃO","Uniforme","PROTEÇÃO","Item comum","VOLUME","Ferramenta amaldiçoada","ESTIGMA","")=""),"Apague campo que este tipo não usa",IF(AND(OR($B8="Escudo",$B8="Uniforme",$B8="Item comum"),$L8&lt;&gt;"",NOT(ISNUMBER($L8)),NOT(AND($L8="—",FALSE))),"Informe número: "&amp;SWITCH($B8,"Origem","TALENTO CE 4","Marcante","FREQUÊNCIA","Menor","FREQUÊNCIA","Arma","DADO","Escudo","PROTEÇÃO","Uniforme","PROTEÇÃO","Item comum","VOLUME","Ferramenta amaldiçoada","ESTIGMA",""),"")),IF(AND($M8&lt;&gt;"",SWITCH($B8,"Origem","","Marcante","","Menor","","Arma","FORÇA","Escudo","TETO DE DESTREZA","Uniforme","TETO DE DESTREZA","Item comum","PREÇO","Ferramenta amaldiçoada","DESGASTE","")=""),"Apague campo que este tipo não usa",IF(AND(OR($B8="Arma",$B8="Escudo",$B8="Uniforme",$B8="Item comum",$B8="Ferramenta amaldiçoada"),$M8&lt;&gt;"",NOT(ISNUMBER($M8)),NOT(AND($M8="—",OR($B8="Arma",$B8="Escudo",$B8="Uniforme",$B8="Ferramenta amaldiçoada")))),"Informe número: "&amp;SWITCH($B8,"Origem","","Marcante","","Menor","","Arma","FORÇA","Escudo","TETO DE DESTREZA","Uniforme","TETO DE DESTREZA","Item comum","PREÇO","Ferramenta amaldiçoada","DESGASTE",""),"")),IF(AND($N8&lt;&gt;"",SWITCH($B8,"Origem","","Marcante","","Menor","","Arma","VOLUME","Escudo","FORÇA","Uniforme","FORÇA","Item comum","","Ferramenta amaldiçoada","VOLUME","")=""),"Apague campo que este tipo não usa",IF(AND(OR($B8="Arma",$B8="Escudo",$B8="Uniforme",$B8="Ferramenta amaldiçoada"),$N8&lt;&gt;"",NOT(ISNUMBER($N8)),NOT(AND($N8="—",OR($B8="Escudo",$B8="Uniforme")))),"Informe número: "&amp;SWITCH($B8,"Origem","","Marcante","","Menor","","Arma","VOLUME","Escudo","FORÇA","Uniforme","FORÇA","Item comum","","Ferramenta amaldiçoada","VOLUME",""),"")),IF(AND($O8&lt;&gt;"",SWITCH($B8,"Origem","","Marcante","","Menor","","Arma","ALCANCE","Escudo","VOLUME","Uniforme","VOLUME","Item comum","","Ferramenta amaldiçoada","PREÇO","")=""),"Apague campo que este tipo não usa",IF(AND(OR($B8="Escudo",$B8="Uniforme",$B8="Ferramenta amaldiçoada"),$O8&lt;&gt;"",NOT(ISNUMBER($O8)),NOT(AND($O8="—",FALSE))),"Informe número: "&amp;SWITCH($B8,"Origem","","Marcante","","Menor","","Arma","ALCANCE","Escudo","VOLUME","Uniforme","VOLUME","Item comum","","Ferramenta amaldiçoada","PREÇO",""),"")),IF(AND($P8&lt;&gt;"",SWITCH($B8,"Origem","","Marcante","","Menor","","Arma","RECARGA","Escudo","PREÇO","Uniforme","PREÇO","Item comum","","Ferramenta amaldiçoada","","")=""),"Apague campo que este tipo não usa",IF(AND(OR($B8="Arma",$B8="Escudo",$B8="Uniforme"),$P8&lt;&gt;"",NOT(ISNUMBER($P8)),NOT(AND($P8="—",OR($B8="Arma")))),"Informe número: "&amp;SWITCH($B8,"Origem","","Marcante","","Menor","","Arma","RECARGA","Escudo","PREÇO","Uniforme","PREÇO","Item comum","","Ferramenta amaldiçoada","",""),"")),IF(AND($Q8&lt;&gt;"",SWITCH($B8,"Origem","","Marcante","","Menor","","Arma","PREÇO","Escudo","","Uniforme","","Item comum","","Ferramenta amaldiçoada","","")=""),"Apague campo que este tipo não usa",IF(AND(OR($B8="Arma"),$Q8&lt;&gt;"",NOT(ISNUMBER($Q8)),NOT(AND($Q8="—",FALSE))),"Informe número: "&amp;SWITCH($B8,"Origem","","Marcante","","Menor","","Arma","PREÇO","Escudo","","Uniforme","","Item comum","","Ferramenta amaldiçoada","",""),"")),IF(AND($B8="Origem",OR($E8="",$F8="",$G8="",$H8="",$I8="")),"Preencha os campos obrigatórios de Origem","")))</f>
        <v/>
      </c>
      <c r="KA8" s="175">
        <f>IF(AND($B8="",$C8="",LEN(TEXTJOIN("",TRUE,E8:R8))=0),"",TEXTJOIN(" · ",TRUE,IF(AND($B8="Marcante",OR($E8="")),"Preencha os campos obrigatórios de Marcante",""),IF(AND($B8="Menor",OR($E8="")),"Preencha os campos obrigatórios de Menor",""),IF(AND($B8="Arma",OR($E8="",$F8="",$G8="",$L8="",$M8="",$N8="")),"Preencha os campos obrigatórios de Arma",""),IF(AND($B8="Escudo",OR($L8="",$M8="",$N8="",$O8="")),"Preencha os campos obrigatórios de Escudo",""),IF(AND($B8="Uniforme",OR($E8="",$L8="",$M8="",$N8="",$O8="")),"Preencha os campos obrigatórios de Uniforme",""),IF(AND($B8="Item comum",OR($L8="")),"Preencha os campos obrigatórios de Item comum",""),IF(AND($B8="Ferramenta amaldiçoada",OR($E8="",$F8="")),"Preencha os campos obrigatórios de Ferramenta amaldiçoada",""),IF(AND($B8="Origem",COUNTA(E8:H8)=4,NOT(AND(E8&lt;&gt;F8,E8&lt;&gt;G8,E8&lt;&gt;H8,F8&lt;&gt;G8,F8&lt;&gt;H8,G8&lt;&gt;H8))),"Escolha quatro perícias diferentes",""),IF(AND($B8="Origem",J8="Latente",NOT(OR(I8="Fundamento",I8="Manejos"))),"ROTA não combina com BASE DO LIVRO",""),IF(AND($B8="Origem",J8="Receptáculo",NOT(OR(I8="Fundamento",I8="Manejos"))),"ROTA não combina com BASE DO LIVRO",""),IF(AND($B8="Origem",J8="Descendente",NOT(OR(I8="Fundamento",I8="Manejos"))),"ROTA não combina com BASE DO LIVRO",""),IF(AND($B8="Origem",J8="Encarnado",NOT(OR(I8="Fundamento",I8="Manejos"))),"ROTA não combina com BASE DO LIVRO",""),IF(AND($B8="Origem",J8="Híbrido",NOT(OR(I8="Fundamento",I8="Manejos"))),"ROTA não combina com BASE DO LIVRO",""),IF(AND($B8="Origem",J8="Corpo Amaldiçoado",NOT(OR(I8="Técnica Marcial com energia"))),"ROTA não combina com BASE DO LIVRO",""),IF(AND($B8="Origem",J8="Restrição Celestial · Sem Energia",NOT(OR(I8="Técnica Marcial sem energia"))),"ROTA não combina com BASE DO LIVRO",""),IF(AND($B8="Origem",J8="Restrição Celestial · Restrição corporal",NOT(OR(I8="Fundamento"))),"ROTA não combina com BASE DO LIVRO","")))</f>
        <v/>
      </c>
    </row>
    <row r="9">
      <c r="A9" s="175" t="n">
        <v>8</v>
      </c>
      <c r="B9" s="175">
        <f>IF(ISBLANK('CONFIGURAÇÃO'!$AB$101),"",'CONFIGURAÇÃO'!$AB$101)</f>
        <v/>
      </c>
      <c r="C9" s="175">
        <f>IF(ISBLANK('CONFIGURAÇÃO'!$AB$103),"",'CONFIGURAÇÃO'!$AB$103)</f>
        <v/>
      </c>
      <c r="D9" s="175">
        <f>IF(ISBLANK('CONFIGURAÇÃO'!$AF$101),"",'CONFIGURAÇÃO'!$AF$101)</f>
        <v/>
      </c>
      <c r="E9" s="175">
        <f>IF(ISBLANK('CONFIGURAÇÃO'!$AD$104),"",'CONFIGURAÇÃO'!$AD$104)</f>
        <v/>
      </c>
      <c r="F9" s="175">
        <f>IF(ISBLANK('CONFIGURAÇÃO'!$AD$105),"",'CONFIGURAÇÃO'!$AD$105)</f>
        <v/>
      </c>
      <c r="G9" s="175">
        <f>IF(ISBLANK('CONFIGURAÇÃO'!$AD$106),"",'CONFIGURAÇÃO'!$AD$106)</f>
        <v/>
      </c>
      <c r="H9" s="175">
        <f>IF(ISBLANK('CONFIGURAÇÃO'!$AD$107),"",'CONFIGURAÇÃO'!$AD$107)</f>
        <v/>
      </c>
      <c r="I9" s="175">
        <f>IF(ISBLANK('CONFIGURAÇÃO'!$AD$108),"",'CONFIGURAÇÃO'!$AD$108)</f>
        <v/>
      </c>
      <c r="J9" s="175">
        <f>IF(ISBLANK('CONFIGURAÇÃO'!$AD$109),"",'CONFIGURAÇÃO'!$AD$109)</f>
        <v/>
      </c>
      <c r="K9" s="175">
        <f>IF(ISBLANK('CONFIGURAÇÃO'!$AD$110),"",'CONFIGURAÇÃO'!$AD$110)</f>
        <v/>
      </c>
      <c r="L9" s="175">
        <f>IF(ISBLANK('CONFIGURAÇÃO'!$AD$111),"",'CONFIGURAÇÃO'!$AD$111)</f>
        <v/>
      </c>
      <c r="M9" s="175">
        <f>IF(ISBLANK('CONFIGURAÇÃO'!$AD$112),"",'CONFIGURAÇÃO'!$AD$112)</f>
        <v/>
      </c>
      <c r="N9" s="175">
        <f>IF(ISBLANK('CONFIGURAÇÃO'!$AD$113),"",'CONFIGURAÇÃO'!$AD$113)</f>
        <v/>
      </c>
      <c r="O9" s="175">
        <f>IF(ISBLANK('CONFIGURAÇÃO'!$AD$114),"",'CONFIGURAÇÃO'!$AD$114)</f>
        <v/>
      </c>
      <c r="P9" s="175">
        <f>IF(ISBLANK('CONFIGURAÇÃO'!$AD$115),"",'CONFIGURAÇÃO'!$AD$115)</f>
        <v/>
      </c>
      <c r="Q9" s="175">
        <f>IF(ISBLANK('CONFIGURAÇÃO'!$AD$116),"",'CONFIGURAÇÃO'!$AD$116)</f>
        <v/>
      </c>
      <c r="R9" s="175">
        <f>IF(ISBLANK('CONFIGURAÇÃO'!$AB$118),"",'CONFIGURAÇÃO'!$AB$118)</f>
        <v/>
      </c>
      <c r="S9" s="175">
        <f>TEXTJOIN(" · ",TRUE,U9,V9,W9,X9)</f>
        <v/>
      </c>
      <c r="T9" s="175">
        <f>AND(B9&lt;&gt;"",C9&lt;&gt;"",S9="")</f>
        <v/>
      </c>
      <c r="U9" s="175">
        <f>TEXTJOIN(" · ",TRUE,JY9:KA9)</f>
        <v/>
      </c>
      <c r="V9" s="175">
        <f>IF(AND(OR($B9="Marcante",$B9="Menor"),NOT(OR(COUNTIF('DADOS_CUSTOM'!$CD$2:$CD$160,E9)&gt;0,COUNTIFS('DADOS_CUSTOM'!$C$2:$C$26,E9,'DADOS_CUSTOM'!$B$2:$B$26,"Origem",'DADOS_CUSTOM'!$U$2:$U$26,"")=1))),"Origem vinculada não existe ou tem erro",IF(AND($B9="Marcante",NOT(OR(E9="Restrição Celestial · Restrição corporal",AND(COUNTIFS('DADOS_CUSTOM'!$C$2:$C$26,E9,'DADOS_CUSTOM'!$B$2:$B$26,"Origem",'DADOS_CUSTOM'!$U$2:$U$26,"")=1,OR(IFERROR(INDEX('DADOS_CUSTOM'!$J$2:$J$26,MATCH(E9,'DADOS_CUSTOM'!$C$2:$C$26,0)),E9)="",IFERROR(INDEX('DADOS_CUSTOM'!$J$2:$J$26,MATCH(E9,'DADOS_CUSTOM'!$C$2:$C$26,0)),E9)="Nenhuma",IFERROR(INDEX('DADOS_CUSTOM'!$J$2:$J$26,MATCH(E9,'DADOS_CUSTOM'!$C$2:$C$26,0)),E9)="Restrição Celestial · Restrição corporal"))))),"Marcante própria só para Restrição corporal ou Origem do zero; use a marcante publicada da base",""))</f>
        <v/>
      </c>
      <c r="W9" s="175">
        <f>IF(AND($B9="Menor",F9&lt;&gt;"",F9&lt;&gt;"—",NOT(OR(AND(F9="Tentativa e Erro",OR(E9="Latente",IFERROR(INDEX('DADOS_CUSTOM'!$J$2:$J$26,MATCH(E9,'DADOS_CUSTOM'!$C$2:$C$26,0)),E9)="Latente")),AND(F9="Coexistência",OR(E9="Receptáculo",IFERROR(INDEX('DADOS_CUSTOM'!$J$2:$J$26,MATCH(E9,'DADOS_CUSTOM'!$C$2:$C$26,0)),E9)="Receptáculo")),AND(F9="Conflito",OR(E9="Receptáculo",IFERROR(INDEX('DADOS_CUSTOM'!$J$2:$J$26,MATCH(E9,'DADOS_CUSTOM'!$C$2:$C$26,0)),E9)="Receptáculo")),AND(F9="Zenin",OR(E9="Descendente",IFERROR(INDEX('DADOS_CUSTOM'!$J$2:$J$26,MATCH(E9,'DADOS_CUSTOM'!$C$2:$C$26,0)),E9)="Descendente")),AND(F9="Kamo",OR(E9="Descendente",IFERROR(INDEX('DADOS_CUSTOM'!$J$2:$J$26,MATCH(E9,'DADOS_CUSTOM'!$C$2:$C$26,0)),E9)="Descendente")),AND(F9="Gojo",OR(E9="Descendente",IFERROR(INDEX('DADOS_CUSTOM'!$J$2:$J$26,MATCH(E9,'DADOS_CUSTOM'!$C$2:$C$26,0)),E9)="Descendente")),AND(F9="Inumaki",OR(E9="Descendente",IFERROR(INDEX('DADOS_CUSTOM'!$J$2:$J$26,MATCH(E9,'DADOS_CUSTOM'!$C$2:$C$26,0)),E9)="Descendente")),AND(F9="Duas Vidas",OR(E9="Encarnado",IFERROR(INDEX('DADOS_CUSTOM'!$J$2:$J$26,MATCH(E9,'DADOS_CUSTOM'!$C$2:$C$26,0)),E9)="Encarnado")),AND(F9="Regeneração Orgânica",OR(E9="Híbrido",IFERROR(INDEX('DADOS_CUSTOM'!$J$2:$J$26,MATCH(E9,'DADOS_CUSTOM'!$C$2:$C$26,0)),E9)="Híbrido")),AND(F9="Existência Artificial",OR(E9="Corpo Amaldiçoado",IFERROR(INDEX('DADOS_CUSTOM'!$J$2:$J$26,MATCH(E9,'DADOS_CUSTOM'!$C$2:$C$26,0)),E9)="Corpo Amaldiçoado")),AND(F9="Ataque sem Prenúncio",OR(E9="Restrição Celestial · Sem Energia",IFERROR(INDEX('DADOS_CUSTOM'!$J$2:$J$26,MATCH(E9,'DADOS_CUSTOM'!$C$2:$C$26,0)),E9)="Restrição Celestial · Sem Energia")),AND(F9="Corpo Debilitado",OR(E9="Restrição Celestial · Restrição corporal",IFERROR(INDEX('DADOS_CUSTOM'!$J$2:$J$26,MATCH(E9,'DADOS_CUSTOM'!$C$2:$C$26,0)),E9)="Restrição Celestial · Restrição corporal")),AND(F9="Corpo Quebradiço",OR(E9="Restrição Celestial · Restrição corporal",IFERROR(INDEX('DADOS_CUSTOM'!$J$2:$J$26,MATCH(E9,'DADOS_CUSTOM'!$C$2:$C$26,0)),E9)="Restrição Celestial · Restrição corporal")),AND(F9="Corpo Exaurido",OR(E9="Restrição Celestial · Restrição corporal",IFERROR(INDEX('DADOS_CUSTOM'!$J$2:$J$26,MATCH(E9,'DADOS_CUSTOM'!$C$2:$C$26,0)),E9)="Restrição Celestial · Restrição corporal")),COUNTIFS('DADOS_CUSTOM'!$C$2:$C$26,F9,'DADOS_CUSTOM'!$B$2:$B$26,"Marcante",'DADOS_CUSTOM'!$E$2:$E$26,E9,'DADOS_CUSTOM'!$U$2:$U$26,"",'DADOS_CUSTOM'!$V$2:$V$26,"")=1))),"Marcante exigida não pertence à Origem ou tem erro","")</f>
        <v/>
      </c>
      <c r="X9" s="175">
        <f>IF(AND($B9="Ferramenta amaldiçoada",NOT(OR(COUNTIF('DADOS_CUSTOM'!$CK$2:$CK$75,E9)&gt;0,OR(COUNTIFS('DADOS_CUSTOM'!$C$2:$C$26,E9,'DADOS_CUSTOM'!$B$2:$B$26,"Arma",'DADOS_CUSTOM'!$U$2:$U$26,"")=1,COUNTIFS('DADOS_CUSTOM'!$C$2:$C$26,E9,'DADOS_CUSTOM'!$B$2:$B$26,"Escudo",'DADOS_CUSTOM'!$U$2:$U$26,"")=1,COUNTIFS('DADOS_CUSTOM'!$C$2:$C$26,E9,'DADOS_CUSTOM'!$B$2:$B$26,"Uniforme",'DADOS_CUSTOM'!$U$2:$U$26,"")=1,COUNTIFS('DADOS_CUSTOM'!$C$2:$C$26,E9,'DADOS_CUSTOM'!$B$2:$B$26,"Item comum",'DADOS_CUSTOM'!$U$2:$U$26,"")=1)))),"Base da ferramenta não existe ou tem erro","")</f>
        <v/>
      </c>
      <c r="AA9" s="175" t="inlineStr">
        <is>
          <t>Chakram</t>
        </is>
      </c>
      <c r="AB9" s="175" t="inlineStr">
        <is>
          <t>Arremesso</t>
        </is>
      </c>
      <c r="AC9" s="175" t="n">
        <v>1</v>
      </c>
      <c r="AD9" s="175" t="inlineStr">
        <is>
          <t>1d4</t>
        </is>
      </c>
      <c r="AE9" s="175" t="inlineStr">
        <is>
          <t>Longo Alcance · Fineza · Oculta · Leve</t>
        </is>
      </c>
      <c r="AF9" s="175" t="inlineStr">
        <is>
          <t>—</t>
        </is>
      </c>
      <c r="AG9" s="175" t="n">
        <v>0.2</v>
      </c>
      <c r="AH9" s="175" t="inlineStr">
        <is>
          <t>6 m, longa 18 m</t>
        </is>
      </c>
      <c r="AJ9" s="175">
        <f>'FICHA PESSOAL'!$M$80</f>
        <v/>
      </c>
      <c r="AK9" s="175">
        <f>ADDRESS(ROW('FICHA PESSOAL'!M80),COLUMN('FICHA PESSOAL'!M80),4)</f>
        <v/>
      </c>
      <c r="AM9" s="175">
        <f>IF(AND(OR($B3="Uniforme"),$C3&lt;&gt;"",$U3=""),$C3,"")</f>
        <v/>
      </c>
      <c r="AN9" s="175">
        <f>IF(AND(OR($B3="Uniforme"),$C3&lt;&gt;"",$U3=""),$L3,"")</f>
        <v/>
      </c>
      <c r="AO9" s="175">
        <f>IF(AND(OR($B3="Uniforme"),$C3&lt;&gt;"",$U3=""),$M3,"")</f>
        <v/>
      </c>
      <c r="AP9" s="175">
        <f>IF(AND(OR($B3="Uniforme"),$C3&lt;&gt;"",$U3=""),$N3,"")</f>
        <v/>
      </c>
      <c r="AQ9" s="175">
        <f>IF(AND(OR($B3="Uniforme"),$C3&lt;&gt;"",$U3=""),$O3,"")</f>
        <v/>
      </c>
      <c r="AR9" s="175">
        <f>IF(AND(OR($B3="Uniforme"),$C3&lt;&gt;"",$U3=""),IFERROR(VLOOKUP($E3,DADOS!$CF$5:$CH$9,3,FALSE),1),"")</f>
        <v/>
      </c>
      <c r="AS9" s="175">
        <f>IF(AND(OR($B3="Uniforme"),$C3&lt;&gt;"",$U3=""),$E3,"")</f>
        <v/>
      </c>
      <c r="AU9" s="175" t="inlineStr">
        <is>
          <t>Mochila</t>
        </is>
      </c>
      <c r="AV9" s="175" t="n">
        <v>0.2</v>
      </c>
      <c r="AW9" s="175" t="n">
        <v>5000</v>
      </c>
      <c r="AX9" s="175" t="inlineStr">
        <is>
          <t>Vazia</t>
        </is>
      </c>
      <c r="AZ9" s="175" t="inlineStr">
        <is>
          <t>Duas Vidas</t>
        </is>
      </c>
      <c r="BA9" s="175" t="inlineStr">
        <is>
          <t>Encarnado</t>
        </is>
      </c>
      <c r="BB9" s="175" t="inlineStr">
        <is>
          <t>marcante</t>
        </is>
      </c>
      <c r="BC9" s="175" t="inlineStr"/>
      <c r="BD9" s="175" t="inlineStr">
        <is>
          <t>Maestria vezes por descanso longo</t>
        </is>
      </c>
      <c r="BE9" s="175" t="inlineStr">
        <is>
          <t>Sua experiência reaparece em gestos, conhecimentos e maneiras de resolver problemas. Receba um treinamento adicional em perícia ou Ofício, novo e permanente, por Conhecimento Reavivado.
Para a Reserva de Experiência, escolha duas perícias ou Ofícios treinados, distintos e fixos. O treino de Conhecimento Reavivado pode ser um deles. Maestria vezes por descanso longo, compartilhadas entre as duas escolhas, depois de rolar um teste de uma delas e antes das consequências, pode rolar 1d4 e somar ao total.
Não custa ação ou PE adicionais. Só pode acrescentar um d4 por teste; o uso é gasto mesmo se o total continuar falhando. Resolva primeiro vantagem ou desvantagem e use o d20 escolhido. O d4 não muda seu resultado natural nem reabre consequências já aplicadas.
A tarefa conserva ações, tempo, materiais e requisitos. A Reserva não vale para ataques, TRs, Iniciativa, Bloquear ou dados de dano e cura. Seu d4 é fixo; Maestria determina os usos, renovados ao concluir um descanso longo. Descanso curto, início de sessão ou dormir durante uma missão não renovam esse estoque.</t>
        </is>
      </c>
      <c r="BG9" s="175" t="inlineStr">
        <is>
          <t>Restrição Celestial · Restrição corporal</t>
        </is>
      </c>
      <c r="BH9" s="175" t="inlineStr">
        <is>
          <t>Sentir Energia, Tecnologia, Ocultismo ou Percepção</t>
        </is>
      </c>
      <c r="BI9" s="175" t="inlineStr">
        <is>
          <t>Fundamento</t>
        </is>
      </c>
      <c r="BM9" s="175" t="inlineStr">
        <is>
          <t>Revestimento 2</t>
        </is>
      </c>
      <c r="BN9" s="175" t="inlineStr">
        <is>
          <t>Uniforme</t>
        </is>
      </c>
      <c r="BO9" s="175" t="n">
        <v>5</v>
      </c>
      <c r="BP9" s="175" t="n">
        <v>0</v>
      </c>
      <c r="BQ9" s="175" t="n">
        <v>4</v>
      </c>
      <c r="BR9" s="175" t="n">
        <v>3</v>
      </c>
      <c r="BS9" s="175" t="inlineStr">
        <is>
          <t>Grau 3</t>
        </is>
      </c>
      <c r="BT9" s="175" t="inlineStr"/>
      <c r="BU9" s="175" t="inlineStr"/>
      <c r="BV9" s="175" t="inlineStr">
        <is>
          <t>Arquivo de Procedimentos</t>
        </is>
      </c>
      <c r="BW9" s="175">
        <f>IF(AND($B8="Origem",OR($J8="",$J8="Nenhuma",$J8="Restrição Celestial · Restrição corporal")),$C8,"")</f>
        <v/>
      </c>
      <c r="BZ9" s="175" t="inlineStr">
        <is>
          <t>Ferramenta amaldiçoada</t>
        </is>
      </c>
      <c r="CA9" s="175" t="inlineStr">
        <is>
          <t>Ocultismo</t>
        </is>
      </c>
      <c r="CC9" s="175" t="inlineStr">
        <is>
          <t>Restrição Celestial · Restrição corporal</t>
        </is>
      </c>
      <c r="CD9" s="175" t="inlineStr">
        <is>
          <t>Restrição Celestial · Sem Energia</t>
        </is>
      </c>
      <c r="CE9" s="175" t="inlineStr">
        <is>
          <t>Entalhador</t>
        </is>
      </c>
      <c r="CF9" s="175" t="inlineStr">
        <is>
          <t>Lâmina Longa</t>
        </is>
      </c>
      <c r="CH9" s="175">
        <f>IF('DADOS_DANOS'!$J$9="","",'DADOS_DANOS'!$J$9)</f>
        <v/>
      </c>
      <c r="CI9" s="175" t="inlineStr">
        <is>
          <t>Duas mãos</t>
        </is>
      </c>
      <c r="CK9" s="175" t="inlineStr">
        <is>
          <t>Chicote</t>
        </is>
      </c>
      <c r="CL9" s="175" t="inlineStr">
        <is>
          <t>Inumaki</t>
        </is>
      </c>
      <c r="CS9" s="175" t="inlineStr">
        <is>
          <t>Receptáculo · Sem Técnica</t>
        </is>
      </c>
      <c r="JY9" s="175">
        <f>IF(AND($B9="",$C9="",LEN(TEXTJOIN("",TRUE,E9:R9))=0),"",TEXTJOIN(" · ",TRUE,IF(COUNTIF('DADOS_CUSTOM'!$BZ$2:$BZ$160,$B9)=0,"Escolha um tipo válido",""),IF(LEN(TRIM($C9))=0,"Preencha NOME",""),IF(OR(COUNTIF('DADOS_CUSTOM'!$C$2:$C$26,$C9)&gt;1,COUNTIF('DADOS_CUSTOM'!$BV$2:$BV$171,$C9)&gt;0),"Nome repetido no livro ou custom",""),IF(AND($E9&lt;&gt;"",SWITCH($B9,"Origem","PERÍCIA 1","Marcante","ORIGEM","Menor","ORIGEM","Arma","CATEGORIA","Escudo","","Uniforme","GRAU MÍNIMO","Item comum","","Ferramenta amaldiçoada","BASE","")=""),"Apague campo que este tipo não usa",IF(AND($E9&lt;&gt;"",COUNTIF(INDIRECT(SWITCH($B9,"Origem","'DADOS_PROGRESSAO'!$AG$2:$AG$34","Marcante","'DADOS_CUSTOM'!$BW$2:$BW$160","Menor","'DADOS_CUSTOM'!$CC$2:$CC$160","Arma","'DADOS_CUSTOM'!$CF$2:$CF$160","Escudo","'DADOS_CUSTOM'!$CM$2:$CM$160","Uniforme","'DADOS_CUSTOM'!$CJ$2:$CJ$160","Item comum","'DADOS_CUSTOM'!$CM$2:$CM$160","Ferramenta amaldiçoada","'DADOS_CUSTOM'!$CK$2:$CK$160","'DADOS_CUSTOM'!$CM$2:$CM$160")),$E9)=0),"Opção inválida: "&amp;SWITCH($B9,"Origem","PERÍCIA 1","Marcante","ORIGEM","Menor","ORIGEM","Arma","CATEGORIA","Escudo","","Uniforme","GRAU MÍNIMO","Item comum","","Ferramenta amaldiçoada","BASE",""),"")),IF(AND($F9&lt;&gt;"",SWITCH($B9,"Origem","PERÍCIA 2","Marcante","","Menor","EXIGE MARCANTE","Arma","MÃO","Escudo","","Uniforme","","Item comum","","Ferramenta amaldiçoada","GRAU","")=""),"Apague campo que este tipo não usa",IF(AND($F9&lt;&gt;"",COUNTIF(INDIRECT(SWITCH($B9,"Origem","'DADOS_PROGRESSAO'!$AG$2:$AG$34","Marcante","'DADOS_CUSTOM'!$CM$2:$CM$160","Menor","'DADOS_CUSTOM'!$CL$2:$CL$160","Arma","'DADOS_CUSTOM'!$CG$2:$CG$160","Escudo","'DADOS_CUSTOM'!$CM$2:$CM$160","Uniforme","'DADOS_CUSTOM'!$CM$2:$CM$160","Item comum","'DADOS_CUSTOM'!$CM$2:$CM$160","Ferramenta amaldiçoada","'DADOS_CUSTOM'!$CJ$2:$CJ$160","'DADOS_CUSTOM'!$CM$2:$CM$160")),$F9)=0),"Opção inválida: "&amp;SWITCH($B9,"Origem","PERÍCIA 2","Marcante","","Menor","EXIGE MARCANTE","Arma","MÃO","Escudo","","Uniforme","","Item comum","","Ferramenta amaldiçoada","GRAU",""),"")),IF(AND($G9&lt;&gt;"",SWITCH($B9,"Origem","PERÍCIA 3","Marcante","","Menor","","Arma","TIPO DE DANO","Escudo","","Uniforme","","Item comum","","Ferramenta amaldiçoada","","")=""),"Apague campo que este tipo não usa",IF(AND($G9&lt;&gt;"",COUNTIF(INDIRECT(SWITCH($B9,"Origem","'DADOS_PROGRESSAO'!$AG$2:$AG$34","Marcante","'DADOS_CUSTOM'!$CM$2:$CM$160","Menor","'DADOS_CUSTOM'!$CM$2:$CM$160","Arma","'DADOS_CUSTOM'!$CH$2:$CH$160","Escudo","'DADOS_CUSTOM'!$CM$2:$CM$160","Uniforme","'DADOS_CUSTOM'!$CM$2:$CM$160","Item comum","'DADOS_CUSTOM'!$CM$2:$CM$160","Ferramenta amaldiçoada","'DADOS_CUSTOM'!$CM$2:$CM$160","'DADOS_CUSTOM'!$CM$2:$CM$160")),$G9)=0),"Opção inválida: "&amp;SWITCH($B9,"Origem","PERÍCIA 3","Marcante","","Menor","","Arma","TIPO DE DANO","Escudo","","Uniforme","","Item comum","","Ferramenta amaldiçoada","",""),"")),IF(AND($H9&lt;&gt;"",SWITCH($B9,"Origem","PERÍCIA 4","Marcante","","Menor","","Arma","PROPRIEDADE 1","Escudo","","Uniforme","","Item comum","","Ferramenta amaldiçoada","","")=""),"Apague campo que este tipo não usa",IF(AND($H9&lt;&gt;"",COUNTIF(INDIRECT(SWITCH($B9,"Origem","'DADOS_PROGRESSAO'!$AG$2:$AG$34","Marcante","'DADOS_CUSTOM'!$CM$2:$CM$160","Menor","'DADOS_CUSTOM'!$CM$2:$CM$160","Arma","'DADOS_CUSTOM'!$CI$2:$CI$160","Escudo","'DADOS_CUSTOM'!$CM$2:$CM$160","Uniforme","'DADOS_CUSTOM'!$CM$2:$CM$160","Item comum","'DADOS_CUSTOM'!$CM$2:$CM$160","Ferramenta amaldiçoada","'DADOS_CUSTOM'!$CM$2:$CM$160","'DADOS_CUSTOM'!$CM$2:$CM$160")),$H9)=0),"Opção inválida: "&amp;SWITCH($B9,"Origem","PERÍCIA 4","Marcante","","Menor","","Arma","PROPRIEDADE 1","Escudo","","Uniforme","","Item comum","","Ferramenta amaldiçoada","",""),"")),IF(AND($I9&lt;&gt;"",SWITCH($B9,"Origem","ROTA","Marcante","","Menor","","Arma","PROPRIEDADE 2","Escudo","","Uniforme","","Item comum","","Ferramenta amaldiçoada","","")=""),"Apague campo que este tipo não usa",IF(AND($I9&lt;&gt;"",COUNTIF(INDIRECT(SWITCH($B9,"Origem","'DADOS_CUSTOM'!$CB$2:$CB$160","Marcante","'DADOS_CUSTOM'!$CM$2:$CM$160","Menor","'DADOS_CUSTOM'!$CM$2:$CM$160","Arma","'DADOS_CUSTOM'!$CI$2:$CI$160","Escudo","'DADOS_CUSTOM'!$CM$2:$CM$160","Uniforme","'DADOS_CUSTOM'!$CM$2:$CM$160","Item comum","'DADOS_CUSTOM'!$CM$2:$CM$160","Ferramenta amaldiçoada","'DADOS_CUSTOM'!$CM$2:$CM$160","'DADOS_CUSTOM'!$CM$2:$CM$160")),$I9)=0),"Opção inválida: "&amp;SWITCH($B9,"Origem","ROTA","Marcante","","Menor","","Arma","PROPRIEDADE 2","Escudo","","Uniforme","","Item comum","","Ferramenta amaldiçoada","",""),""))))</f>
        <v/>
      </c>
      <c r="JZ9" s="175">
        <f>IF(AND($B9="",$C9="",LEN(TEXTJOIN("",TRUE,E9:R9))=0),"",TEXTJOIN(" · ",TRUE,IF(AND($J9&lt;&gt;"",SWITCH($B9,"Origem","BASE DO LIVRO","Marcante","","Menor","","Arma","PROPRIEDADE 3","Escudo","","Uniforme","","Item comum","","Ferramenta amaldiçoada","","")=""),"Apague campo que este tipo não usa",IF(AND($J9&lt;&gt;"",COUNTIF(INDIRECT(SWITCH($B9,"Origem","'DADOS_CUSTOM'!$CD$2:$CD$160","Marcante","'DADOS_CUSTOM'!$CM$2:$CM$160","Menor","'DADOS_CUSTOM'!$CM$2:$CM$160","Arma","'DADOS_CUSTOM'!$CI$2:$CI$160","Escudo","'DADOS_CUSTOM'!$CM$2:$CM$160","Uniforme","'DADOS_CUSTOM'!$CM$2:$CM$160","Item comum","'DADOS_CUSTOM'!$CM$2:$CM$160","Ferramenta amaldiçoada","'DADOS_CUSTOM'!$CM$2:$CM$160","'DADOS_CUSTOM'!$CM$2:$CM$160")),$J9)=0),"Opção inválida: "&amp;SWITCH($B9,"Origem","BASE DO LIVRO","Marcante","","Menor","","Arma","PROPRIEDADE 3","Escudo","","Uniforme","","Item comum","","Ferramenta amaldiçoada","",""),"")),IF(AND($K9&lt;&gt;"",SWITCH($B9,"Origem","OFÍCIO","Marcante","","Menor","","Arma","PROPRIEDADE 4","Escudo","","Uniforme","","Item comum","","Ferramenta amaldiçoada","","")=""),"Apague campo que este tipo não usa",IF(AND($K9&lt;&gt;"",COUNTIF(INDIRECT(SWITCH($B9,"Origem","'DADOS_PROGRESSAO'!$AJ$2:$AJ$23","Marcante","'DADOS_CUSTOM'!$CM$2:$CM$160","Menor","'DADOS_CUSTOM'!$CM$2:$CM$160","Arma","'DADOS_CUSTOM'!$CI$2:$CI$160","Escudo","'DADOS_CUSTOM'!$CM$2:$CM$160","Uniforme","'DADOS_CUSTOM'!$CM$2:$CM$160","Item comum","'DADOS_CUSTOM'!$CM$2:$CM$160","Ferramenta amaldiçoada","'DADOS_CUSTOM'!$CM$2:$CM$160","'DADOS_CUSTOM'!$CM$2:$CM$160")),$K9)=0),"Opção inválida: "&amp;SWITCH($B9,"Origem","OFÍCIO","Marcante","","Menor","","Arma","PROPRIEDADE 4","Escudo","","Uniforme","","Item comum","","Ferramenta amaldiçoada","",""),"")),IF(AND($L9&lt;&gt;"",SWITCH($B9,"Origem","TALENTO CE 4","Marcante","FREQUÊNCIA","Menor","FREQUÊNCIA","Arma","DADO","Escudo","PROTEÇÃO","Uniforme","PROTEÇÃO","Item comum","VOLUME","Ferramenta amaldiçoada","ESTIGMA","")=""),"Apague campo que este tipo não usa",IF(AND(OR($B9="Escudo",$B9="Uniforme",$B9="Item comum"),$L9&lt;&gt;"",NOT(ISNUMBER($L9)),NOT(AND($L9="—",FALSE))),"Informe número: "&amp;SWITCH($B9,"Origem","TALENTO CE 4","Marcante","FREQUÊNCIA","Menor","FREQUÊNCIA","Arma","DADO","Escudo","PROTEÇÃO","Uniforme","PROTEÇÃO","Item comum","VOLUME","Ferramenta amaldiçoada","ESTIGMA",""),"")),IF(AND($M9&lt;&gt;"",SWITCH($B9,"Origem","","Marcante","","Menor","","Arma","FORÇA","Escudo","TETO DE DESTREZA","Uniforme","TETO DE DESTREZA","Item comum","PREÇO","Ferramenta amaldiçoada","DESGASTE","")=""),"Apague campo que este tipo não usa",IF(AND(OR($B9="Arma",$B9="Escudo",$B9="Uniforme",$B9="Item comum",$B9="Ferramenta amaldiçoada"),$M9&lt;&gt;"",NOT(ISNUMBER($M9)),NOT(AND($M9="—",OR($B9="Arma",$B9="Escudo",$B9="Uniforme",$B9="Ferramenta amaldiçoada")))),"Informe número: "&amp;SWITCH($B9,"Origem","","Marcante","","Menor","","Arma","FORÇA","Escudo","TETO DE DESTREZA","Uniforme","TETO DE DESTREZA","Item comum","PREÇO","Ferramenta amaldiçoada","DESGASTE",""),"")),IF(AND($N9&lt;&gt;"",SWITCH($B9,"Origem","","Marcante","","Menor","","Arma","VOLUME","Escudo","FORÇA","Uniforme","FORÇA","Item comum","","Ferramenta amaldiçoada","VOLUME","")=""),"Apague campo que este tipo não usa",IF(AND(OR($B9="Arma",$B9="Escudo",$B9="Uniforme",$B9="Ferramenta amaldiçoada"),$N9&lt;&gt;"",NOT(ISNUMBER($N9)),NOT(AND($N9="—",OR($B9="Escudo",$B9="Uniforme")))),"Informe número: "&amp;SWITCH($B9,"Origem","","Marcante","","Menor","","Arma","VOLUME","Escudo","FORÇA","Uniforme","FORÇA","Item comum","","Ferramenta amaldiçoada","VOLUME",""),"")),IF(AND($O9&lt;&gt;"",SWITCH($B9,"Origem","","Marcante","","Menor","","Arma","ALCANCE","Escudo","VOLUME","Uniforme","VOLUME","Item comum","","Ferramenta amaldiçoada","PREÇO","")=""),"Apague campo que este tipo não usa",IF(AND(OR($B9="Escudo",$B9="Uniforme",$B9="Ferramenta amaldiçoada"),$O9&lt;&gt;"",NOT(ISNUMBER($O9)),NOT(AND($O9="—",FALSE))),"Informe número: "&amp;SWITCH($B9,"Origem","","Marcante","","Menor","","Arma","ALCANCE","Escudo","VOLUME","Uniforme","VOLUME","Item comum","","Ferramenta amaldiçoada","PREÇO",""),"")),IF(AND($P9&lt;&gt;"",SWITCH($B9,"Origem","","Marcante","","Menor","","Arma","RECARGA","Escudo","PREÇO","Uniforme","PREÇO","Item comum","","Ferramenta amaldiçoada","","")=""),"Apague campo que este tipo não usa",IF(AND(OR($B9="Arma",$B9="Escudo",$B9="Uniforme"),$P9&lt;&gt;"",NOT(ISNUMBER($P9)),NOT(AND($P9="—",OR($B9="Arma")))),"Informe número: "&amp;SWITCH($B9,"Origem","","Marcante","","Menor","","Arma","RECARGA","Escudo","PREÇO","Uniforme","PREÇO","Item comum","","Ferramenta amaldiçoada","",""),"")),IF(AND($Q9&lt;&gt;"",SWITCH($B9,"Origem","","Marcante","","Menor","","Arma","PREÇO","Escudo","","Uniforme","","Item comum","","Ferramenta amaldiçoada","","")=""),"Apague campo que este tipo não usa",IF(AND(OR($B9="Arma"),$Q9&lt;&gt;"",NOT(ISNUMBER($Q9)),NOT(AND($Q9="—",FALSE))),"Informe número: "&amp;SWITCH($B9,"Origem","","Marcante","","Menor","","Arma","PREÇO","Escudo","","Uniforme","","Item comum","","Ferramenta amaldiçoada","",""),"")),IF(AND($B9="Origem",OR($E9="",$F9="",$G9="",$H9="",$I9="")),"Preencha os campos obrigatórios de Origem","")))</f>
        <v/>
      </c>
      <c r="KA9" s="175">
        <f>IF(AND($B9="",$C9="",LEN(TEXTJOIN("",TRUE,E9:R9))=0),"",TEXTJOIN(" · ",TRUE,IF(AND($B9="Marcante",OR($E9="")),"Preencha os campos obrigatórios de Marcante",""),IF(AND($B9="Menor",OR($E9="")),"Preencha os campos obrigatórios de Menor",""),IF(AND($B9="Arma",OR($E9="",$F9="",$G9="",$L9="",$M9="",$N9="")),"Preencha os campos obrigatórios de Arma",""),IF(AND($B9="Escudo",OR($L9="",$M9="",$N9="",$O9="")),"Preencha os campos obrigatórios de Escudo",""),IF(AND($B9="Uniforme",OR($E9="",$L9="",$M9="",$N9="",$O9="")),"Preencha os campos obrigatórios de Uniforme",""),IF(AND($B9="Item comum",OR($L9="")),"Preencha os campos obrigatórios de Item comum",""),IF(AND($B9="Ferramenta amaldiçoada",OR($E9="",$F9="")),"Preencha os campos obrigatórios de Ferramenta amaldiçoada",""),IF(AND($B9="Origem",COUNTA(E9:H9)=4,NOT(AND(E9&lt;&gt;F9,E9&lt;&gt;G9,E9&lt;&gt;H9,F9&lt;&gt;G9,F9&lt;&gt;H9,G9&lt;&gt;H9))),"Escolha quatro perícias diferentes",""),IF(AND($B9="Origem",J9="Latente",NOT(OR(I9="Fundamento",I9="Manejos"))),"ROTA não combina com BASE DO LIVRO",""),IF(AND($B9="Origem",J9="Receptáculo",NOT(OR(I9="Fundamento",I9="Manejos"))),"ROTA não combina com BASE DO LIVRO",""),IF(AND($B9="Origem",J9="Descendente",NOT(OR(I9="Fundamento",I9="Manejos"))),"ROTA não combina com BASE DO LIVRO",""),IF(AND($B9="Origem",J9="Encarnado",NOT(OR(I9="Fundamento",I9="Manejos"))),"ROTA não combina com BASE DO LIVRO",""),IF(AND($B9="Origem",J9="Híbrido",NOT(OR(I9="Fundamento",I9="Manejos"))),"ROTA não combina com BASE DO LIVRO",""),IF(AND($B9="Origem",J9="Corpo Amaldiçoado",NOT(OR(I9="Técnica Marcial com energia"))),"ROTA não combina com BASE DO LIVRO",""),IF(AND($B9="Origem",J9="Restrição Celestial · Sem Energia",NOT(OR(I9="Técnica Marcial sem energia"))),"ROTA não combina com BASE DO LIVRO",""),IF(AND($B9="Origem",J9="Restrição Celestial · Restrição corporal",NOT(OR(I9="Fundamento"))),"ROTA não combina com BASE DO LIVRO","")))</f>
        <v/>
      </c>
    </row>
    <row r="10">
      <c r="A10" s="175" t="n">
        <v>9</v>
      </c>
      <c r="B10" s="175">
        <f>IF(ISBLANK('CONFIGURAÇÃO'!$T$130),"",'CONFIGURAÇÃO'!$T$130)</f>
        <v/>
      </c>
      <c r="C10" s="175">
        <f>IF(ISBLANK('CONFIGURAÇÃO'!$T$132),"",'CONFIGURAÇÃO'!$T$132)</f>
        <v/>
      </c>
      <c r="D10" s="175">
        <f>IF(ISBLANK('CONFIGURAÇÃO'!$X$130),"",'CONFIGURAÇÃO'!$X$130)</f>
        <v/>
      </c>
      <c r="E10" s="175">
        <f>IF(ISBLANK('CONFIGURAÇÃO'!$V$133),"",'CONFIGURAÇÃO'!$V$133)</f>
        <v/>
      </c>
      <c r="F10" s="175">
        <f>IF(ISBLANK('CONFIGURAÇÃO'!$V$134),"",'CONFIGURAÇÃO'!$V$134)</f>
        <v/>
      </c>
      <c r="G10" s="175">
        <f>IF(ISBLANK('CONFIGURAÇÃO'!$V$135),"",'CONFIGURAÇÃO'!$V$135)</f>
        <v/>
      </c>
      <c r="H10" s="175">
        <f>IF(ISBLANK('CONFIGURAÇÃO'!$V$136),"",'CONFIGURAÇÃO'!$V$136)</f>
        <v/>
      </c>
      <c r="I10" s="175">
        <f>IF(ISBLANK('CONFIGURAÇÃO'!$V$137),"",'CONFIGURAÇÃO'!$V$137)</f>
        <v/>
      </c>
      <c r="J10" s="175">
        <f>IF(ISBLANK('CONFIGURAÇÃO'!$V$138),"",'CONFIGURAÇÃO'!$V$138)</f>
        <v/>
      </c>
      <c r="K10" s="175">
        <f>IF(ISBLANK('CONFIGURAÇÃO'!$V$139),"",'CONFIGURAÇÃO'!$V$139)</f>
        <v/>
      </c>
      <c r="L10" s="175">
        <f>IF(ISBLANK('CONFIGURAÇÃO'!$V$140),"",'CONFIGURAÇÃO'!$V$140)</f>
        <v/>
      </c>
      <c r="M10" s="175">
        <f>IF(ISBLANK('CONFIGURAÇÃO'!$V$141),"",'CONFIGURAÇÃO'!$V$141)</f>
        <v/>
      </c>
      <c r="N10" s="175">
        <f>IF(ISBLANK('CONFIGURAÇÃO'!$V$142),"",'CONFIGURAÇÃO'!$V$142)</f>
        <v/>
      </c>
      <c r="O10" s="175">
        <f>IF(ISBLANK('CONFIGURAÇÃO'!$V$143),"",'CONFIGURAÇÃO'!$V$143)</f>
        <v/>
      </c>
      <c r="P10" s="175">
        <f>IF(ISBLANK('CONFIGURAÇÃO'!$V$144),"",'CONFIGURAÇÃO'!$V$144)</f>
        <v/>
      </c>
      <c r="Q10" s="175">
        <f>IF(ISBLANK('CONFIGURAÇÃO'!$V$145),"",'CONFIGURAÇÃO'!$V$145)</f>
        <v/>
      </c>
      <c r="R10" s="175">
        <f>IF(ISBLANK('CONFIGURAÇÃO'!$T$147),"",'CONFIGURAÇÃO'!$T$147)</f>
        <v/>
      </c>
      <c r="S10" s="175">
        <f>TEXTJOIN(" · ",TRUE,U10,V10,W10,X10)</f>
        <v/>
      </c>
      <c r="T10" s="175">
        <f>AND(B10&lt;&gt;"",C10&lt;&gt;"",S10="")</f>
        <v/>
      </c>
      <c r="U10" s="175">
        <f>TEXTJOIN(" · ",TRUE,JY10:KA10)</f>
        <v/>
      </c>
      <c r="V10" s="175">
        <f>IF(AND(OR($B10="Marcante",$B10="Menor"),NOT(OR(COUNTIF('DADOS_CUSTOM'!$CD$2:$CD$160,E10)&gt;0,COUNTIFS('DADOS_CUSTOM'!$C$2:$C$26,E10,'DADOS_CUSTOM'!$B$2:$B$26,"Origem",'DADOS_CUSTOM'!$U$2:$U$26,"")=1))),"Origem vinculada não existe ou tem erro",IF(AND($B10="Marcante",NOT(OR(E10="Restrição Celestial · Restrição corporal",AND(COUNTIFS('DADOS_CUSTOM'!$C$2:$C$26,E10,'DADOS_CUSTOM'!$B$2:$B$26,"Origem",'DADOS_CUSTOM'!$U$2:$U$26,"")=1,OR(IFERROR(INDEX('DADOS_CUSTOM'!$J$2:$J$26,MATCH(E10,'DADOS_CUSTOM'!$C$2:$C$26,0)),E10)="",IFERROR(INDEX('DADOS_CUSTOM'!$J$2:$J$26,MATCH(E10,'DADOS_CUSTOM'!$C$2:$C$26,0)),E10)="Nenhuma",IFERROR(INDEX('DADOS_CUSTOM'!$J$2:$J$26,MATCH(E10,'DADOS_CUSTOM'!$C$2:$C$26,0)),E10)="Restrição Celestial · Restrição corporal"))))),"Marcante própria só para Restrição corporal ou Origem do zero; use a marcante publicada da base",""))</f>
        <v/>
      </c>
      <c r="W10" s="175">
        <f>IF(AND($B10="Menor",F10&lt;&gt;"",F10&lt;&gt;"—",NOT(OR(AND(F10="Tentativa e Erro",OR(E10="Latente",IFERROR(INDEX('DADOS_CUSTOM'!$J$2:$J$26,MATCH(E10,'DADOS_CUSTOM'!$C$2:$C$26,0)),E10)="Latente")),AND(F10="Coexistência",OR(E10="Receptáculo",IFERROR(INDEX('DADOS_CUSTOM'!$J$2:$J$26,MATCH(E10,'DADOS_CUSTOM'!$C$2:$C$26,0)),E10)="Receptáculo")),AND(F10="Conflito",OR(E10="Receptáculo",IFERROR(INDEX('DADOS_CUSTOM'!$J$2:$J$26,MATCH(E10,'DADOS_CUSTOM'!$C$2:$C$26,0)),E10)="Receptáculo")),AND(F10="Zenin",OR(E10="Descendente",IFERROR(INDEX('DADOS_CUSTOM'!$J$2:$J$26,MATCH(E10,'DADOS_CUSTOM'!$C$2:$C$26,0)),E10)="Descendente")),AND(F10="Kamo",OR(E10="Descendente",IFERROR(INDEX('DADOS_CUSTOM'!$J$2:$J$26,MATCH(E10,'DADOS_CUSTOM'!$C$2:$C$26,0)),E10)="Descendente")),AND(F10="Gojo",OR(E10="Descendente",IFERROR(INDEX('DADOS_CUSTOM'!$J$2:$J$26,MATCH(E10,'DADOS_CUSTOM'!$C$2:$C$26,0)),E10)="Descendente")),AND(F10="Inumaki",OR(E10="Descendente",IFERROR(INDEX('DADOS_CUSTOM'!$J$2:$J$26,MATCH(E10,'DADOS_CUSTOM'!$C$2:$C$26,0)),E10)="Descendente")),AND(F10="Duas Vidas",OR(E10="Encarnado",IFERROR(INDEX('DADOS_CUSTOM'!$J$2:$J$26,MATCH(E10,'DADOS_CUSTOM'!$C$2:$C$26,0)),E10)="Encarnado")),AND(F10="Regeneração Orgânica",OR(E10="Híbrido",IFERROR(INDEX('DADOS_CUSTOM'!$J$2:$J$26,MATCH(E10,'DADOS_CUSTOM'!$C$2:$C$26,0)),E10)="Híbrido")),AND(F10="Existência Artificial",OR(E10="Corpo Amaldiçoado",IFERROR(INDEX('DADOS_CUSTOM'!$J$2:$J$26,MATCH(E10,'DADOS_CUSTOM'!$C$2:$C$26,0)),E10)="Corpo Amaldiçoado")),AND(F10="Ataque sem Prenúncio",OR(E10="Restrição Celestial · Sem Energia",IFERROR(INDEX('DADOS_CUSTOM'!$J$2:$J$26,MATCH(E10,'DADOS_CUSTOM'!$C$2:$C$26,0)),E10)="Restrição Celestial · Sem Energia")),AND(F10="Corpo Debilitado",OR(E10="Restrição Celestial · Restrição corporal",IFERROR(INDEX('DADOS_CUSTOM'!$J$2:$J$26,MATCH(E10,'DADOS_CUSTOM'!$C$2:$C$26,0)),E10)="Restrição Celestial · Restrição corporal")),AND(F10="Corpo Quebradiço",OR(E10="Restrição Celestial · Restrição corporal",IFERROR(INDEX('DADOS_CUSTOM'!$J$2:$J$26,MATCH(E10,'DADOS_CUSTOM'!$C$2:$C$26,0)),E10)="Restrição Celestial · Restrição corporal")),AND(F10="Corpo Exaurido",OR(E10="Restrição Celestial · Restrição corporal",IFERROR(INDEX('DADOS_CUSTOM'!$J$2:$J$26,MATCH(E10,'DADOS_CUSTOM'!$C$2:$C$26,0)),E10)="Restrição Celestial · Restrição corporal")),COUNTIFS('DADOS_CUSTOM'!$C$2:$C$26,F10,'DADOS_CUSTOM'!$B$2:$B$26,"Marcante",'DADOS_CUSTOM'!$E$2:$E$26,E10,'DADOS_CUSTOM'!$U$2:$U$26,"",'DADOS_CUSTOM'!$V$2:$V$26,"")=1))),"Marcante exigida não pertence à Origem ou tem erro","")</f>
        <v/>
      </c>
      <c r="X10" s="175">
        <f>IF(AND($B10="Ferramenta amaldiçoada",NOT(OR(COUNTIF('DADOS_CUSTOM'!$CK$2:$CK$75,E10)&gt;0,OR(COUNTIFS('DADOS_CUSTOM'!$C$2:$C$26,E10,'DADOS_CUSTOM'!$B$2:$B$26,"Arma",'DADOS_CUSTOM'!$U$2:$U$26,"")=1,COUNTIFS('DADOS_CUSTOM'!$C$2:$C$26,E10,'DADOS_CUSTOM'!$B$2:$B$26,"Escudo",'DADOS_CUSTOM'!$U$2:$U$26,"")=1,COUNTIFS('DADOS_CUSTOM'!$C$2:$C$26,E10,'DADOS_CUSTOM'!$B$2:$B$26,"Uniforme",'DADOS_CUSTOM'!$U$2:$U$26,"")=1,COUNTIFS('DADOS_CUSTOM'!$C$2:$C$26,E10,'DADOS_CUSTOM'!$B$2:$B$26,"Item comum",'DADOS_CUSTOM'!$U$2:$U$26,"")=1)))),"Base da ferramenta não existe ou tem erro","")</f>
        <v/>
      </c>
      <c r="AA10" s="175" t="inlineStr">
        <is>
          <t>Chicote</t>
        </is>
      </c>
      <c r="AB10" s="175" t="inlineStr">
        <is>
          <t>Flexível</t>
        </is>
      </c>
      <c r="AC10" s="175" t="n">
        <v>1</v>
      </c>
      <c r="AD10" s="175" t="inlineStr">
        <is>
          <t>1d4</t>
        </is>
      </c>
      <c r="AE10" s="175" t="inlineStr">
        <is>
          <t>Alcance · Emaranha · Oculta · Leve</t>
        </is>
      </c>
      <c r="AF10" s="175" t="inlineStr">
        <is>
          <t>—</t>
        </is>
      </c>
      <c r="AG10" s="175" t="n">
        <v>0.5</v>
      </c>
      <c r="AJ10" s="175">
        <f>'FICHA PESSOAL'!$AE$78</f>
        <v/>
      </c>
      <c r="AK10" s="175">
        <f>ADDRESS(ROW('FICHA PESSOAL'!AE78),COLUMN('FICHA PESSOAL'!AE78),4)</f>
        <v/>
      </c>
      <c r="AM10" s="175">
        <f>IF(AND(OR($B4="Uniforme"),$C4&lt;&gt;"",$U4=""),$C4,"")</f>
        <v/>
      </c>
      <c r="AN10" s="175">
        <f>IF(AND(OR($B4="Uniforme"),$C4&lt;&gt;"",$U4=""),$L4,"")</f>
        <v/>
      </c>
      <c r="AO10" s="175">
        <f>IF(AND(OR($B4="Uniforme"),$C4&lt;&gt;"",$U4=""),$M4,"")</f>
        <v/>
      </c>
      <c r="AP10" s="175">
        <f>IF(AND(OR($B4="Uniforme"),$C4&lt;&gt;"",$U4=""),$N4,"")</f>
        <v/>
      </c>
      <c r="AQ10" s="175">
        <f>IF(AND(OR($B4="Uniforme"),$C4&lt;&gt;"",$U4=""),$O4,"")</f>
        <v/>
      </c>
      <c r="AR10" s="175">
        <f>IF(AND(OR($B4="Uniforme"),$C4&lt;&gt;"",$U4=""),IFERROR(VLOOKUP($E4,DADOS!$CF$5:$CH$9,3,FALSE),1),"")</f>
        <v/>
      </c>
      <c r="AS10" s="175">
        <f>IF(AND(OR($B4="Uniforme"),$C4&lt;&gt;"",$U4=""),$E4,"")</f>
        <v/>
      </c>
      <c r="AU10" s="175" t="inlineStr">
        <is>
          <t>Cantil</t>
        </is>
      </c>
      <c r="AV10" s="175" t="n">
        <v>0.3</v>
      </c>
      <c r="AW10" s="175" t="n">
        <v>1500</v>
      </c>
      <c r="AX10" s="175" t="inlineStr">
        <is>
          <t>Cheio, com 1,5 litro de água</t>
        </is>
      </c>
      <c r="AZ10" s="175" t="inlineStr">
        <is>
          <t>Regeneração Orgânica</t>
        </is>
      </c>
      <c r="BA10" s="175" t="inlineStr">
        <is>
          <t>Híbrido</t>
        </is>
      </c>
      <c r="BB10" s="175" t="inlineStr">
        <is>
          <t>marcante</t>
        </is>
      </c>
      <c r="BC10" s="175" t="inlineStr"/>
      <c r="BD10" s="175" t="inlineStr">
        <is>
          <t>Constituição ÷ 2 + 1 vezes por cena</t>
        </is>
      </c>
      <c r="BE10" s="175" t="inlineStr">
        <is>
          <t>Quando seus ferimentos se tornam graves, você concentra energia para recompor o próprio corpo. Pode usar esta capacidade metade da Constituição, arredondada para baixo, +1 vezes por cena, no máximo uma vez em cada turno seu.
Enquanto tiver pelo menos 1 PV e até 30% da vida máxima atual, arredondados para baixo, use uma Ação Bônus e gaste de 1 PE até sua maior Classe disponível pelo nível. Escolha e pague antes de rolar: recupere 1d6 PV por PE gasto, até o máximo atual.
Confira a vida ao ativar, sem contar vida temporária. A cura pode ultrapassar os 30%. Cada ativação consome um uso, qualquer que seja o gasto ou o resultado dos dados.
A regeneração cura apenas você. Não recupera Integridade, não remove condições ou Sequelas nem recompõe partes perdidas. Não é Energia Reversa, feitiço ou Manejo, e funciona com Sem Técnica. Impedimentos e modificadores de cura aplicáveis continuam valendo.
Exemplo: com Constituição 3, você tem dois usos por cena. Se a vida máxima atual é 41, o limite para ativar é 12 PV. Com 12 PV e Classe 2 disponível, pode gastar 2 PE e rolar 2d6. Resultados 3 e 5 recuperam 8 PV, levando você a 20. Com 13 PV ou zero, não poderia iniciar essa regeneração.</t>
        </is>
      </c>
      <c r="BG10" s="175">
        <f>IF(AND(OR($B2="Origem"),$C2&lt;&gt;"",$T2=TRUE),$C2,"")</f>
        <v/>
      </c>
      <c r="BH10" s="175">
        <f>IF(AND(OR($B2="Origem"),$C2&lt;&gt;"",$T2=TRUE),TEXTJOIN(" · ",TRUE,$E2:$H2),"")</f>
        <v/>
      </c>
      <c r="BI10" s="175">
        <f>IF(AND(OR($B2="Origem"),$C2&lt;&gt;"",$T2=TRUE),$I2,"")</f>
        <v/>
      </c>
      <c r="BM10" s="175" t="inlineStr">
        <is>
          <t>Revestimento 3</t>
        </is>
      </c>
      <c r="BN10" s="175" t="inlineStr">
        <is>
          <t>Uniforme</t>
        </is>
      </c>
      <c r="BO10" s="175" t="n">
        <v>6</v>
      </c>
      <c r="BP10" s="175" t="n">
        <v>0</v>
      </c>
      <c r="BQ10" s="175" t="n">
        <v>6</v>
      </c>
      <c r="BR10" s="175" t="n">
        <v>4</v>
      </c>
      <c r="BS10" s="175" t="inlineStr">
        <is>
          <t>Grau 2</t>
        </is>
      </c>
      <c r="BT10" s="175" t="inlineStr"/>
      <c r="BU10" s="175" t="inlineStr"/>
      <c r="BV10" s="175" t="inlineStr">
        <is>
          <t>Assistência Técnica</t>
        </is>
      </c>
      <c r="BW10" s="175">
        <f>IF(AND($B9="Origem",OR($J9="",$J9="Nenhuma",$J9="Restrição Celestial · Restrição corporal")),$C9,"")</f>
        <v/>
      </c>
      <c r="CA10" s="175" t="inlineStr">
        <is>
          <t>Religião</t>
        </is>
      </c>
      <c r="CC10" s="175">
        <f>IF(OR('CONFIGURAÇÃO'!$T$14="Origem"),'CONFIGURAÇÃO'!$T$16,"")</f>
        <v/>
      </c>
      <c r="CD10" s="175" t="inlineStr">
        <is>
          <t>Restrição Celestial · Restrição corporal</t>
        </is>
      </c>
      <c r="CE10" s="175" t="inlineStr">
        <is>
          <t>Alfaiate</t>
        </is>
      </c>
      <c r="CF10" s="175" t="inlineStr">
        <is>
          <t>Machado</t>
        </is>
      </c>
      <c r="CH10" s="175">
        <f>IF('DADOS_DANOS'!$J$10="","",'DADOS_DANOS'!$J$10)</f>
        <v/>
      </c>
      <c r="CI10" s="175" t="inlineStr">
        <is>
          <t>Vestida</t>
        </is>
      </c>
      <c r="CK10" s="175" t="inlineStr">
        <is>
          <t>Corrente</t>
        </is>
      </c>
      <c r="CL10" s="175" t="inlineStr">
        <is>
          <t>Duas Vidas</t>
        </is>
      </c>
      <c r="CS10" s="175" t="inlineStr">
        <is>
          <t>Descendente · Sem Técnica</t>
        </is>
      </c>
      <c r="JY10" s="175">
        <f>IF(AND($B10="",$C10="",LEN(TEXTJOIN("",TRUE,E10:R10))=0),"",TEXTJOIN(" · ",TRUE,IF(COUNTIF('DADOS_CUSTOM'!$BZ$2:$BZ$160,$B10)=0,"Escolha um tipo válido",""),IF(LEN(TRIM($C10))=0,"Preencha NOME",""),IF(OR(COUNTIF('DADOS_CUSTOM'!$C$2:$C$26,$C10)&gt;1,COUNTIF('DADOS_CUSTOM'!$BV$2:$BV$171,$C10)&gt;0),"Nome repetido no livro ou custom",""),IF(AND($E10&lt;&gt;"",SWITCH($B10,"Origem","PERÍCIA 1","Marcante","ORIGEM","Menor","ORIGEM","Arma","CATEGORIA","Escudo","","Uniforme","GRAU MÍNIMO","Item comum","","Ferramenta amaldiçoada","BASE","")=""),"Apague campo que este tipo não usa",IF(AND($E10&lt;&gt;"",COUNTIF(INDIRECT(SWITCH($B10,"Origem","'DADOS_PROGRESSAO'!$AG$2:$AG$34","Marcante","'DADOS_CUSTOM'!$BW$2:$BW$160","Menor","'DADOS_CUSTOM'!$CC$2:$CC$160","Arma","'DADOS_CUSTOM'!$CF$2:$CF$160","Escudo","'DADOS_CUSTOM'!$CM$2:$CM$160","Uniforme","'DADOS_CUSTOM'!$CJ$2:$CJ$160","Item comum","'DADOS_CUSTOM'!$CM$2:$CM$160","Ferramenta amaldiçoada","'DADOS_CUSTOM'!$CK$2:$CK$160","'DADOS_CUSTOM'!$CM$2:$CM$160")),$E10)=0),"Opção inválida: "&amp;SWITCH($B10,"Origem","PERÍCIA 1","Marcante","ORIGEM","Menor","ORIGEM","Arma","CATEGORIA","Escudo","","Uniforme","GRAU MÍNIMO","Item comum","","Ferramenta amaldiçoada","BASE",""),"")),IF(AND($F10&lt;&gt;"",SWITCH($B10,"Origem","PERÍCIA 2","Marcante","","Menor","EXIGE MARCANTE","Arma","MÃO","Escudo","","Uniforme","","Item comum","","Ferramenta amaldiçoada","GRAU","")=""),"Apague campo que este tipo não usa",IF(AND($F10&lt;&gt;"",COUNTIF(INDIRECT(SWITCH($B10,"Origem","'DADOS_PROGRESSAO'!$AG$2:$AG$34","Marcante","'DADOS_CUSTOM'!$CM$2:$CM$160","Menor","'DADOS_CUSTOM'!$CL$2:$CL$160","Arma","'DADOS_CUSTOM'!$CG$2:$CG$160","Escudo","'DADOS_CUSTOM'!$CM$2:$CM$160","Uniforme","'DADOS_CUSTOM'!$CM$2:$CM$160","Item comum","'DADOS_CUSTOM'!$CM$2:$CM$160","Ferramenta amaldiçoada","'DADOS_CUSTOM'!$CJ$2:$CJ$160","'DADOS_CUSTOM'!$CM$2:$CM$160")),$F10)=0),"Opção inválida: "&amp;SWITCH($B10,"Origem","PERÍCIA 2","Marcante","","Menor","EXIGE MARCANTE","Arma","MÃO","Escudo","","Uniforme","","Item comum","","Ferramenta amaldiçoada","GRAU",""),"")),IF(AND($G10&lt;&gt;"",SWITCH($B10,"Origem","PERÍCIA 3","Marcante","","Menor","","Arma","TIPO DE DANO","Escudo","","Uniforme","","Item comum","","Ferramenta amaldiçoada","","")=""),"Apague campo que este tipo não usa",IF(AND($G10&lt;&gt;"",COUNTIF(INDIRECT(SWITCH($B10,"Origem","'DADOS_PROGRESSAO'!$AG$2:$AG$34","Marcante","'DADOS_CUSTOM'!$CM$2:$CM$160","Menor","'DADOS_CUSTOM'!$CM$2:$CM$160","Arma","'DADOS_CUSTOM'!$CH$2:$CH$160","Escudo","'DADOS_CUSTOM'!$CM$2:$CM$160","Uniforme","'DADOS_CUSTOM'!$CM$2:$CM$160","Item comum","'DADOS_CUSTOM'!$CM$2:$CM$160","Ferramenta amaldiçoada","'DADOS_CUSTOM'!$CM$2:$CM$160","'DADOS_CUSTOM'!$CM$2:$CM$160")),$G10)=0),"Opção inválida: "&amp;SWITCH($B10,"Origem","PERÍCIA 3","Marcante","","Menor","","Arma","TIPO DE DANO","Escudo","","Uniforme","","Item comum","","Ferramenta amaldiçoada","",""),"")),IF(AND($H10&lt;&gt;"",SWITCH($B10,"Origem","PERÍCIA 4","Marcante","","Menor","","Arma","PROPRIEDADE 1","Escudo","","Uniforme","","Item comum","","Ferramenta amaldiçoada","","")=""),"Apague campo que este tipo não usa",IF(AND($H10&lt;&gt;"",COUNTIF(INDIRECT(SWITCH($B10,"Origem","'DADOS_PROGRESSAO'!$AG$2:$AG$34","Marcante","'DADOS_CUSTOM'!$CM$2:$CM$160","Menor","'DADOS_CUSTOM'!$CM$2:$CM$160","Arma","'DADOS_CUSTOM'!$CI$2:$CI$160","Escudo","'DADOS_CUSTOM'!$CM$2:$CM$160","Uniforme","'DADOS_CUSTOM'!$CM$2:$CM$160","Item comum","'DADOS_CUSTOM'!$CM$2:$CM$160","Ferramenta amaldiçoada","'DADOS_CUSTOM'!$CM$2:$CM$160","'DADOS_CUSTOM'!$CM$2:$CM$160")),$H10)=0),"Opção inválida: "&amp;SWITCH($B10,"Origem","PERÍCIA 4","Marcante","","Menor","","Arma","PROPRIEDADE 1","Escudo","","Uniforme","","Item comum","","Ferramenta amaldiçoada","",""),"")),IF(AND($I10&lt;&gt;"",SWITCH($B10,"Origem","ROTA","Marcante","","Menor","","Arma","PROPRIEDADE 2","Escudo","","Uniforme","","Item comum","","Ferramenta amaldiçoada","","")=""),"Apague campo que este tipo não usa",IF(AND($I10&lt;&gt;"",COUNTIF(INDIRECT(SWITCH($B10,"Origem","'DADOS_CUSTOM'!$CB$2:$CB$160","Marcante","'DADOS_CUSTOM'!$CM$2:$CM$160","Menor","'DADOS_CUSTOM'!$CM$2:$CM$160","Arma","'DADOS_CUSTOM'!$CI$2:$CI$160","Escudo","'DADOS_CUSTOM'!$CM$2:$CM$160","Uniforme","'DADOS_CUSTOM'!$CM$2:$CM$160","Item comum","'DADOS_CUSTOM'!$CM$2:$CM$160","Ferramenta amaldiçoada","'DADOS_CUSTOM'!$CM$2:$CM$160","'DADOS_CUSTOM'!$CM$2:$CM$160")),$I10)=0),"Opção inválida: "&amp;SWITCH($B10,"Origem","ROTA","Marcante","","Menor","","Arma","PROPRIEDADE 2","Escudo","","Uniforme","","Item comum","","Ferramenta amaldiçoada","",""),""))))</f>
        <v/>
      </c>
      <c r="JZ10" s="175">
        <f>IF(AND($B10="",$C10="",LEN(TEXTJOIN("",TRUE,E10:R10))=0),"",TEXTJOIN(" · ",TRUE,IF(AND($J10&lt;&gt;"",SWITCH($B10,"Origem","BASE DO LIVRO","Marcante","","Menor","","Arma","PROPRIEDADE 3","Escudo","","Uniforme","","Item comum","","Ferramenta amaldiçoada","","")=""),"Apague campo que este tipo não usa",IF(AND($J10&lt;&gt;"",COUNTIF(INDIRECT(SWITCH($B10,"Origem","'DADOS_CUSTOM'!$CD$2:$CD$160","Marcante","'DADOS_CUSTOM'!$CM$2:$CM$160","Menor","'DADOS_CUSTOM'!$CM$2:$CM$160","Arma","'DADOS_CUSTOM'!$CI$2:$CI$160","Escudo","'DADOS_CUSTOM'!$CM$2:$CM$160","Uniforme","'DADOS_CUSTOM'!$CM$2:$CM$160","Item comum","'DADOS_CUSTOM'!$CM$2:$CM$160","Ferramenta amaldiçoada","'DADOS_CUSTOM'!$CM$2:$CM$160","'DADOS_CUSTOM'!$CM$2:$CM$160")),$J10)=0),"Opção inválida: "&amp;SWITCH($B10,"Origem","BASE DO LIVRO","Marcante","","Menor","","Arma","PROPRIEDADE 3","Escudo","","Uniforme","","Item comum","","Ferramenta amaldiçoada","",""),"")),IF(AND($K10&lt;&gt;"",SWITCH($B10,"Origem","OFÍCIO","Marcante","","Menor","","Arma","PROPRIEDADE 4","Escudo","","Uniforme","","Item comum","","Ferramenta amaldiçoada","","")=""),"Apague campo que este tipo não usa",IF(AND($K10&lt;&gt;"",COUNTIF(INDIRECT(SWITCH($B10,"Origem","'DADOS_PROGRESSAO'!$AJ$2:$AJ$23","Marcante","'DADOS_CUSTOM'!$CM$2:$CM$160","Menor","'DADOS_CUSTOM'!$CM$2:$CM$160","Arma","'DADOS_CUSTOM'!$CI$2:$CI$160","Escudo","'DADOS_CUSTOM'!$CM$2:$CM$160","Uniforme","'DADOS_CUSTOM'!$CM$2:$CM$160","Item comum","'DADOS_CUSTOM'!$CM$2:$CM$160","Ferramenta amaldiçoada","'DADOS_CUSTOM'!$CM$2:$CM$160","'DADOS_CUSTOM'!$CM$2:$CM$160")),$K10)=0),"Opção inválida: "&amp;SWITCH($B10,"Origem","OFÍCIO","Marcante","","Menor","","Arma","PROPRIEDADE 4","Escudo","","Uniforme","","Item comum","","Ferramenta amaldiçoada","",""),"")),IF(AND($L10&lt;&gt;"",SWITCH($B10,"Origem","TALENTO CE 4","Marcante","FREQUÊNCIA","Menor","FREQUÊNCIA","Arma","DADO","Escudo","PROTEÇÃO","Uniforme","PROTEÇÃO","Item comum","VOLUME","Ferramenta amaldiçoada","ESTIGMA","")=""),"Apague campo que este tipo não usa",IF(AND(OR($B10="Escudo",$B10="Uniforme",$B10="Item comum"),$L10&lt;&gt;"",NOT(ISNUMBER($L10)),NOT(AND($L10="—",FALSE))),"Informe número: "&amp;SWITCH($B10,"Origem","TALENTO CE 4","Marcante","FREQUÊNCIA","Menor","FREQUÊNCIA","Arma","DADO","Escudo","PROTEÇÃO","Uniforme","PROTEÇÃO","Item comum","VOLUME","Ferramenta amaldiçoada","ESTIGMA",""),"")),IF(AND($M10&lt;&gt;"",SWITCH($B10,"Origem","","Marcante","","Menor","","Arma","FORÇA","Escudo","TETO DE DESTREZA","Uniforme","TETO DE DESTREZA","Item comum","PREÇO","Ferramenta amaldiçoada","DESGASTE","")=""),"Apague campo que este tipo não usa",IF(AND(OR($B10="Arma",$B10="Escudo",$B10="Uniforme",$B10="Item comum",$B10="Ferramenta amaldiçoada"),$M10&lt;&gt;"",NOT(ISNUMBER($M10)),NOT(AND($M10="—",OR($B10="Arma",$B10="Escudo",$B10="Uniforme",$B10="Ferramenta amaldiçoada")))),"Informe número: "&amp;SWITCH($B10,"Origem","","Marcante","","Menor","","Arma","FORÇA","Escudo","TETO DE DESTREZA","Uniforme","TETO DE DESTREZA","Item comum","PREÇO","Ferramenta amaldiçoada","DESGASTE",""),"")),IF(AND($N10&lt;&gt;"",SWITCH($B10,"Origem","","Marcante","","Menor","","Arma","VOLUME","Escudo","FORÇA","Uniforme","FORÇA","Item comum","","Ferramenta amaldiçoada","VOLUME","")=""),"Apague campo que este tipo não usa",IF(AND(OR($B10="Arma",$B10="Escudo",$B10="Uniforme",$B10="Ferramenta amaldiçoada"),$N10&lt;&gt;"",NOT(ISNUMBER($N10)),NOT(AND($N10="—",OR($B10="Escudo",$B10="Uniforme")))),"Informe número: "&amp;SWITCH($B10,"Origem","","Marcante","","Menor","","Arma","VOLUME","Escudo","FORÇA","Uniforme","FORÇA","Item comum","","Ferramenta amaldiçoada","VOLUME",""),"")),IF(AND($O10&lt;&gt;"",SWITCH($B10,"Origem","","Marcante","","Menor","","Arma","ALCANCE","Escudo","VOLUME","Uniforme","VOLUME","Item comum","","Ferramenta amaldiçoada","PREÇO","")=""),"Apague campo que este tipo não usa",IF(AND(OR($B10="Escudo",$B10="Uniforme",$B10="Ferramenta amaldiçoada"),$O10&lt;&gt;"",NOT(ISNUMBER($O10)),NOT(AND($O10="—",FALSE))),"Informe número: "&amp;SWITCH($B10,"Origem","","Marcante","","Menor","","Arma","ALCANCE","Escudo","VOLUME","Uniforme","VOLUME","Item comum","","Ferramenta amaldiçoada","PREÇO",""),"")),IF(AND($P10&lt;&gt;"",SWITCH($B10,"Origem","","Marcante","","Menor","","Arma","RECARGA","Escudo","PREÇO","Uniforme","PREÇO","Item comum","","Ferramenta amaldiçoada","","")=""),"Apague campo que este tipo não usa",IF(AND(OR($B10="Arma",$B10="Escudo",$B10="Uniforme"),$P10&lt;&gt;"",NOT(ISNUMBER($P10)),NOT(AND($P10="—",OR($B10="Arma")))),"Informe número: "&amp;SWITCH($B10,"Origem","","Marcante","","Menor","","Arma","RECARGA","Escudo","PREÇO","Uniforme","PREÇO","Item comum","","Ferramenta amaldiçoada","",""),"")),IF(AND($Q10&lt;&gt;"",SWITCH($B10,"Origem","","Marcante","","Menor","","Arma","PREÇO","Escudo","","Uniforme","","Item comum","","Ferramenta amaldiçoada","","")=""),"Apague campo que este tipo não usa",IF(AND(OR($B10="Arma"),$Q10&lt;&gt;"",NOT(ISNUMBER($Q10)),NOT(AND($Q10="—",FALSE))),"Informe número: "&amp;SWITCH($B10,"Origem","","Marcante","","Menor","","Arma","PREÇO","Escudo","","Uniforme","","Item comum","","Ferramenta amaldiçoada","",""),""))))</f>
        <v/>
      </c>
      <c r="KA10" s="175">
        <f>IF(AND($B10="",$C10="",LEN(TEXTJOIN("",TRUE,E10:R10))=0),"",TEXTJOIN(" · ",TRUE,IF(AND($B10="Origem",OR($E10="",$F10="",$G10="",$H10="",$I10="")),"Preencha os campos obrigatórios de Origem",""),IF(AND($B10="Marcante",OR($E10="")),"Preencha os campos obrigatórios de Marcante",""),IF(AND($B10="Menor",OR($E10="")),"Preencha os campos obrigatórios de Menor",""),IF(AND($B10="Arma",OR($E10="",$F10="",$G10="",$L10="",$M10="",$N10="")),"Preencha os campos obrigatórios de Arma",""),IF(AND($B10="Escudo",OR($L10="",$M10="",$N10="",$O10="")),"Preencha os campos obrigatórios de Escudo",""),IF(AND($B10="Uniforme",OR($E10="",$L10="",$M10="",$N10="",$O10="")),"Preencha os campos obrigatórios de Uniforme",""),IF(AND($B10="Item comum",OR($L10="")),"Preencha os campos obrigatórios de Item comum",""),IF(AND($B10="Ferramenta amaldiçoada",OR($E10="",$F10="")),"Preencha os campos obrigatórios de Ferramenta amaldiçoada",""),IF(AND($B10="Origem",COUNTA(E10:H10)=4,NOT(AND(E10&lt;&gt;F10,E10&lt;&gt;G10,E10&lt;&gt;H10,F10&lt;&gt;G10,F10&lt;&gt;H10,G10&lt;&gt;H10))),"Escolha quatro perícias diferentes",""),IF(AND($B10="Origem",J10="Latente",NOT(OR(I10="Fundamento",I10="Manejos"))),"ROTA não combina com BASE DO LIVRO",""),IF(AND($B10="Origem",J10="Receptáculo",NOT(OR(I10="Fundamento",I10="Manejos"))),"ROTA não combina com BASE DO LIVRO",""),IF(AND($B10="Origem",J10="Descendente",NOT(OR(I10="Fundamento",I10="Manejos"))),"ROTA não combina com BASE DO LIVRO",""),IF(AND($B10="Origem",J10="Encarnado",NOT(OR(I10="Fundamento",I10="Manejos"))),"ROTA não combina com BASE DO LIVRO",""),IF(AND($B10="Origem",J10="Híbrido",NOT(OR(I10="Fundamento",I10="Manejos"))),"ROTA não combina com BASE DO LIVRO",""),IF(AND($B10="Origem",J10="Corpo Amaldiçoado",NOT(OR(I10="Técnica Marcial com energia"))),"ROTA não combina com BASE DO LIVRO",""),IF(AND($B10="Origem",J10="Restrição Celestial · Sem Energia",NOT(OR(I10="Técnica Marcial sem energia"))),"ROTA não combina com BASE DO LIVRO",""),IF(AND($B10="Origem",J10="Restrição Celestial · Restrição corporal",NOT(OR(I10="Fundamento"))),"ROTA não combina com BASE DO LIVRO","")))</f>
        <v/>
      </c>
    </row>
    <row r="11">
      <c r="A11" s="175" t="n">
        <v>10</v>
      </c>
      <c r="B11" s="175">
        <f>IF(ISBLANK('CONFIGURAÇÃO'!$AB$130),"",'CONFIGURAÇÃO'!$AB$130)</f>
        <v/>
      </c>
      <c r="C11" s="175">
        <f>IF(ISBLANK('CONFIGURAÇÃO'!$AB$132),"",'CONFIGURAÇÃO'!$AB$132)</f>
        <v/>
      </c>
      <c r="D11" s="175">
        <f>IF(ISBLANK('CONFIGURAÇÃO'!$AF$130),"",'CONFIGURAÇÃO'!$AF$130)</f>
        <v/>
      </c>
      <c r="E11" s="175">
        <f>IF(ISBLANK('CONFIGURAÇÃO'!$AD$133),"",'CONFIGURAÇÃO'!$AD$133)</f>
        <v/>
      </c>
      <c r="F11" s="175">
        <f>IF(ISBLANK('CONFIGURAÇÃO'!$AD$134),"",'CONFIGURAÇÃO'!$AD$134)</f>
        <v/>
      </c>
      <c r="G11" s="175">
        <f>IF(ISBLANK('CONFIGURAÇÃO'!$AD$135),"",'CONFIGURAÇÃO'!$AD$135)</f>
        <v/>
      </c>
      <c r="H11" s="175">
        <f>IF(ISBLANK('CONFIGURAÇÃO'!$AD$136),"",'CONFIGURAÇÃO'!$AD$136)</f>
        <v/>
      </c>
      <c r="I11" s="175">
        <f>IF(ISBLANK('CONFIGURAÇÃO'!$AD$137),"",'CONFIGURAÇÃO'!$AD$137)</f>
        <v/>
      </c>
      <c r="J11" s="175">
        <f>IF(ISBLANK('CONFIGURAÇÃO'!$AD$138),"",'CONFIGURAÇÃO'!$AD$138)</f>
        <v/>
      </c>
      <c r="K11" s="175">
        <f>IF(ISBLANK('CONFIGURAÇÃO'!$AD$139),"",'CONFIGURAÇÃO'!$AD$139)</f>
        <v/>
      </c>
      <c r="L11" s="175">
        <f>IF(ISBLANK('CONFIGURAÇÃO'!$AD$140),"",'CONFIGURAÇÃO'!$AD$140)</f>
        <v/>
      </c>
      <c r="M11" s="175">
        <f>IF(ISBLANK('CONFIGURAÇÃO'!$AD$141),"",'CONFIGURAÇÃO'!$AD$141)</f>
        <v/>
      </c>
      <c r="N11" s="175">
        <f>IF(ISBLANK('CONFIGURAÇÃO'!$AD$142),"",'CONFIGURAÇÃO'!$AD$142)</f>
        <v/>
      </c>
      <c r="O11" s="175">
        <f>IF(ISBLANK('CONFIGURAÇÃO'!$AD$143),"",'CONFIGURAÇÃO'!$AD$143)</f>
        <v/>
      </c>
      <c r="P11" s="175">
        <f>IF(ISBLANK('CONFIGURAÇÃO'!$AD$144),"",'CONFIGURAÇÃO'!$AD$144)</f>
        <v/>
      </c>
      <c r="Q11" s="175">
        <f>IF(ISBLANK('CONFIGURAÇÃO'!$AD$145),"",'CONFIGURAÇÃO'!$AD$145)</f>
        <v/>
      </c>
      <c r="R11" s="175">
        <f>IF(ISBLANK('CONFIGURAÇÃO'!$AB$147),"",'CONFIGURAÇÃO'!$AB$147)</f>
        <v/>
      </c>
      <c r="S11" s="175">
        <f>TEXTJOIN(" · ",TRUE,U11,V11,W11,X11)</f>
        <v/>
      </c>
      <c r="T11" s="175">
        <f>AND(B11&lt;&gt;"",C11&lt;&gt;"",S11="")</f>
        <v/>
      </c>
      <c r="U11" s="175">
        <f>TEXTJOIN(" · ",TRUE,JY11:KA11)</f>
        <v/>
      </c>
      <c r="V11" s="175">
        <f>IF(AND(OR($B11="Marcante",$B11="Menor"),NOT(OR(COUNTIF('DADOS_CUSTOM'!$CD$2:$CD$160,E11)&gt;0,COUNTIFS('DADOS_CUSTOM'!$C$2:$C$26,E11,'DADOS_CUSTOM'!$B$2:$B$26,"Origem",'DADOS_CUSTOM'!$U$2:$U$26,"")=1))),"Origem vinculada não existe ou tem erro",IF(AND($B11="Marcante",NOT(OR(E11="Restrição Celestial · Restrição corporal",AND(COUNTIFS('DADOS_CUSTOM'!$C$2:$C$26,E11,'DADOS_CUSTOM'!$B$2:$B$26,"Origem",'DADOS_CUSTOM'!$U$2:$U$26,"")=1,OR(IFERROR(INDEX('DADOS_CUSTOM'!$J$2:$J$26,MATCH(E11,'DADOS_CUSTOM'!$C$2:$C$26,0)),E11)="",IFERROR(INDEX('DADOS_CUSTOM'!$J$2:$J$26,MATCH(E11,'DADOS_CUSTOM'!$C$2:$C$26,0)),E11)="Nenhuma",IFERROR(INDEX('DADOS_CUSTOM'!$J$2:$J$26,MATCH(E11,'DADOS_CUSTOM'!$C$2:$C$26,0)),E11)="Restrição Celestial · Restrição corporal"))))),"Marcante própria só para Restrição corporal ou Origem do zero; use a marcante publicada da base",""))</f>
        <v/>
      </c>
      <c r="W11" s="175">
        <f>IF(AND($B11="Menor",F11&lt;&gt;"",F11&lt;&gt;"—",NOT(OR(AND(F11="Tentativa e Erro",OR(E11="Latente",IFERROR(INDEX('DADOS_CUSTOM'!$J$2:$J$26,MATCH(E11,'DADOS_CUSTOM'!$C$2:$C$26,0)),E11)="Latente")),AND(F11="Coexistência",OR(E11="Receptáculo",IFERROR(INDEX('DADOS_CUSTOM'!$J$2:$J$26,MATCH(E11,'DADOS_CUSTOM'!$C$2:$C$26,0)),E11)="Receptáculo")),AND(F11="Conflito",OR(E11="Receptáculo",IFERROR(INDEX('DADOS_CUSTOM'!$J$2:$J$26,MATCH(E11,'DADOS_CUSTOM'!$C$2:$C$26,0)),E11)="Receptáculo")),AND(F11="Zenin",OR(E11="Descendente",IFERROR(INDEX('DADOS_CUSTOM'!$J$2:$J$26,MATCH(E11,'DADOS_CUSTOM'!$C$2:$C$26,0)),E11)="Descendente")),AND(F11="Kamo",OR(E11="Descendente",IFERROR(INDEX('DADOS_CUSTOM'!$J$2:$J$26,MATCH(E11,'DADOS_CUSTOM'!$C$2:$C$26,0)),E11)="Descendente")),AND(F11="Gojo",OR(E11="Descendente",IFERROR(INDEX('DADOS_CUSTOM'!$J$2:$J$26,MATCH(E11,'DADOS_CUSTOM'!$C$2:$C$26,0)),E11)="Descendente")),AND(F11="Inumaki",OR(E11="Descendente",IFERROR(INDEX('DADOS_CUSTOM'!$J$2:$J$26,MATCH(E11,'DADOS_CUSTOM'!$C$2:$C$26,0)),E11)="Descendente")),AND(F11="Duas Vidas",OR(E11="Encarnado",IFERROR(INDEX('DADOS_CUSTOM'!$J$2:$J$26,MATCH(E11,'DADOS_CUSTOM'!$C$2:$C$26,0)),E11)="Encarnado")),AND(F11="Regeneração Orgânica",OR(E11="Híbrido",IFERROR(INDEX('DADOS_CUSTOM'!$J$2:$J$26,MATCH(E11,'DADOS_CUSTOM'!$C$2:$C$26,0)),E11)="Híbrido")),AND(F11="Existência Artificial",OR(E11="Corpo Amaldiçoado",IFERROR(INDEX('DADOS_CUSTOM'!$J$2:$J$26,MATCH(E11,'DADOS_CUSTOM'!$C$2:$C$26,0)),E11)="Corpo Amaldiçoado")),AND(F11="Ataque sem Prenúncio",OR(E11="Restrição Celestial · Sem Energia",IFERROR(INDEX('DADOS_CUSTOM'!$J$2:$J$26,MATCH(E11,'DADOS_CUSTOM'!$C$2:$C$26,0)),E11)="Restrição Celestial · Sem Energia")),AND(F11="Corpo Debilitado",OR(E11="Restrição Celestial · Restrição corporal",IFERROR(INDEX('DADOS_CUSTOM'!$J$2:$J$26,MATCH(E11,'DADOS_CUSTOM'!$C$2:$C$26,0)),E11)="Restrição Celestial · Restrição corporal")),AND(F11="Corpo Quebradiço",OR(E11="Restrição Celestial · Restrição corporal",IFERROR(INDEX('DADOS_CUSTOM'!$J$2:$J$26,MATCH(E11,'DADOS_CUSTOM'!$C$2:$C$26,0)),E11)="Restrição Celestial · Restrição corporal")),AND(F11="Corpo Exaurido",OR(E11="Restrição Celestial · Restrição corporal",IFERROR(INDEX('DADOS_CUSTOM'!$J$2:$J$26,MATCH(E11,'DADOS_CUSTOM'!$C$2:$C$26,0)),E11)="Restrição Celestial · Restrição corporal")),COUNTIFS('DADOS_CUSTOM'!$C$2:$C$26,F11,'DADOS_CUSTOM'!$B$2:$B$26,"Marcante",'DADOS_CUSTOM'!$E$2:$E$26,E11,'DADOS_CUSTOM'!$U$2:$U$26,"",'DADOS_CUSTOM'!$V$2:$V$26,"")=1))),"Marcante exigida não pertence à Origem ou tem erro","")</f>
        <v/>
      </c>
      <c r="X11" s="175">
        <f>IF(AND($B11="Ferramenta amaldiçoada",NOT(OR(COUNTIF('DADOS_CUSTOM'!$CK$2:$CK$75,E11)&gt;0,OR(COUNTIFS('DADOS_CUSTOM'!$C$2:$C$26,E11,'DADOS_CUSTOM'!$B$2:$B$26,"Arma",'DADOS_CUSTOM'!$U$2:$U$26,"")=1,COUNTIFS('DADOS_CUSTOM'!$C$2:$C$26,E11,'DADOS_CUSTOM'!$B$2:$B$26,"Escudo",'DADOS_CUSTOM'!$U$2:$U$26,"")=1,COUNTIFS('DADOS_CUSTOM'!$C$2:$C$26,E11,'DADOS_CUSTOM'!$B$2:$B$26,"Uniforme",'DADOS_CUSTOM'!$U$2:$U$26,"")=1,COUNTIFS('DADOS_CUSTOM'!$C$2:$C$26,E11,'DADOS_CUSTOM'!$B$2:$B$26,"Item comum",'DADOS_CUSTOM'!$U$2:$U$26,"")=1)))),"Base da ferramenta não existe ou tem erro","")</f>
        <v/>
      </c>
      <c r="AA11" s="175" t="inlineStr">
        <is>
          <t>Corrente</t>
        </is>
      </c>
      <c r="AB11" s="175" t="inlineStr">
        <is>
          <t>Flexível</t>
        </is>
      </c>
      <c r="AC11" s="175" t="n">
        <v>2</v>
      </c>
      <c r="AD11" s="175" t="inlineStr">
        <is>
          <t>1d8</t>
        </is>
      </c>
      <c r="AE11" s="175" t="inlineStr">
        <is>
          <t>Alcance · Emaranha · Rompe</t>
        </is>
      </c>
      <c r="AF11" s="175" t="inlineStr">
        <is>
          <t>—</t>
        </is>
      </c>
      <c r="AG11" s="175" t="n">
        <v>2</v>
      </c>
      <c r="AJ11" s="175">
        <f>'FICHA PESSOAL'!$AE$79</f>
        <v/>
      </c>
      <c r="AK11" s="175">
        <f>ADDRESS(ROW('FICHA PESSOAL'!AE79),COLUMN('FICHA PESSOAL'!AE79),4)</f>
        <v/>
      </c>
      <c r="AM11" s="175">
        <f>IF(AND(OR($B5="Uniforme"),$C5&lt;&gt;"",$U5=""),$C5,"")</f>
        <v/>
      </c>
      <c r="AN11" s="175">
        <f>IF(AND(OR($B5="Uniforme"),$C5&lt;&gt;"",$U5=""),$L5,"")</f>
        <v/>
      </c>
      <c r="AO11" s="175">
        <f>IF(AND(OR($B5="Uniforme"),$C5&lt;&gt;"",$U5=""),$M5,"")</f>
        <v/>
      </c>
      <c r="AP11" s="175">
        <f>IF(AND(OR($B5="Uniforme"),$C5&lt;&gt;"",$U5=""),$N5,"")</f>
        <v/>
      </c>
      <c r="AQ11" s="175">
        <f>IF(AND(OR($B5="Uniforme"),$C5&lt;&gt;"",$U5=""),$O5,"")</f>
        <v/>
      </c>
      <c r="AR11" s="175">
        <f>IF(AND(OR($B5="Uniforme"),$C5&lt;&gt;"",$U5=""),IFERROR(VLOOKUP($E5,DADOS!$CF$5:$CH$9,3,FALSE),1),"")</f>
        <v/>
      </c>
      <c r="AS11" s="175">
        <f>IF(AND(OR($B5="Uniforme"),$C5&lt;&gt;"",$U5=""),$E5,"")</f>
        <v/>
      </c>
      <c r="AU11" s="175" t="inlineStr">
        <is>
          <t>Ração de viagem</t>
        </is>
      </c>
      <c r="AV11" s="175" t="n">
        <v>0.1</v>
      </c>
      <c r="AW11" s="175" t="n">
        <v>1000</v>
      </c>
      <c r="AX11" s="175" t="inlineStr">
        <is>
          <t>Alimento para uma pessoa por dia</t>
        </is>
      </c>
      <c r="AZ11" s="175" t="inlineStr">
        <is>
          <t>Existência Artificial</t>
        </is>
      </c>
      <c r="BA11" s="175" t="inlineStr">
        <is>
          <t>Corpo Amaldiçoado</t>
        </is>
      </c>
      <c r="BB11" s="175" t="inlineStr">
        <is>
          <t>marcante</t>
        </is>
      </c>
      <c r="BC11" s="175" t="inlineStr"/>
      <c r="BD11" s="175" t="inlineStr">
        <is>
          <t>Uma vez por dia</t>
        </is>
      </c>
      <c r="BE11" s="175" t="inlineStr">
        <is>
          <t>Energia amaldiçoada sustenta a consciência no seu corpo construído. Você não precisa comer, beber, respirar ou dormir, embora possa comer e beber por vontade própria. Não adquire estágios de Exaustão e é imune a Envenenado.
Isso não concede resistência ao dano Veneno ou imunidade a outras condições. Dispensar respiração evita a falta de ar; calor, pressão e substâncias que danifiquem a estrutura continuam funcionando. Uma capacidade ainda pode impor Inconsciente. Dano, Integridade, Sequelas, derrota e morte seguem suas regras.
Repouso.
Qualquer local conta como ambiente propício para seus descansos curtos e longos. Os demais requisitos permanecem: poder parar em segurança no curto e encerrar a missão com oportunidade de repousar no longo. O benefício vale só para você.
Pode permanecer consciente e em vigília passiva durante o repouso, usando seus sentidos normalmente. Isso não oferece detecção automática nem permite trabalhar, combater ou manter tarefas incompatíveis com o descanso. Interrupções seguem as regras gerais.
Para renovar usos por dia, um repouso equivalente ao sono exigido pela regra geral substitui dormir. A mesma pausa não renova habilidades várias vezes nem se torna descanso longo por essa permissão.
Recuperação da estrutura.
Energia Reversa e curas derivadas dela não recuperam sua vida. Efeitos destinados apenas a restaurar tecido vivo também não reparam sua estrutura. Técnicas e capacidades cuja regra alcance explicitamente corpos construídos funcionam dentro de seus limites.
Seu reparo segue Reparo do corpo. Qualquer pessoa treinada no ofício compatível pode fazê-lo, inclusive você, se estiver capaz e tiver ferramentas e materiais adequados. Não precisa ser seu criador ou possuir um vínculo especial. Reparar não restaura um núcleo destruído, não devolve a vida nem fabrica poderes.
Manutenção Precisa.
Uma vez por dia, quando um teste para reparar você durante um descanso curto falhar, quem faz o reparo pode repetir a rolagem e deve aceitar o novo resultado.
É a mesma tentativa. No sucesso, recupere apenas a quantidade prevista pelo reparo, uma única vez. O uso diário pertence a você; trocar de reparador não o renova. Também pode usar o benefício ao reparar a si mesmo, se for qualificado e capaz.</t>
        </is>
      </c>
      <c r="BG11" s="175">
        <f>IF(AND(OR($B3="Origem"),$C3&lt;&gt;"",$T3=TRUE),$C3,"")</f>
        <v/>
      </c>
      <c r="BH11" s="175">
        <f>IF(AND(OR($B3="Origem"),$C3&lt;&gt;"",$T3=TRUE),TEXTJOIN(" · ",TRUE,$E3:$H3),"")</f>
        <v/>
      </c>
      <c r="BI11" s="175">
        <f>IF(AND(OR($B3="Origem"),$C3&lt;&gt;"",$T3=TRUE),$I3,"")</f>
        <v/>
      </c>
      <c r="BM11" s="175" t="inlineStr">
        <is>
          <t>Bastão</t>
        </is>
      </c>
      <c r="BN11" s="175" t="inlineStr">
        <is>
          <t>Arma</t>
        </is>
      </c>
      <c r="BO11" s="175" t="n">
        <v>0</v>
      </c>
      <c r="BP11" s="175" t="inlineStr">
        <is>
          <t>—</t>
        </is>
      </c>
      <c r="BQ11" s="175" t="inlineStr">
        <is>
          <t>—</t>
        </is>
      </c>
      <c r="BR11" s="175" t="n">
        <v>1</v>
      </c>
      <c r="BS11" s="175" t="inlineStr">
        <is>
          <t>—</t>
        </is>
      </c>
      <c r="BT11" s="175" t="inlineStr"/>
      <c r="BU11" s="175" t="inlineStr"/>
      <c r="BV11" s="175" t="inlineStr">
        <is>
          <t>Ataque sem Prenúncio</t>
        </is>
      </c>
      <c r="BW11" s="175">
        <f>IF(AND($B10="Origem",OR($J10="",$J10="Nenhuma",$J10="Restrição Celestial · Restrição corporal")),$C10,"")</f>
        <v/>
      </c>
      <c r="CA11" s="175" t="inlineStr">
        <is>
          <t>História</t>
        </is>
      </c>
      <c r="CC11" s="175">
        <f>IF(OR('CONFIGURAÇÃO'!$AB$14="Origem"),'CONFIGURAÇÃO'!$AB$16,"")</f>
        <v/>
      </c>
      <c r="CE11" s="175" t="inlineStr">
        <is>
          <t>Culinária</t>
        </is>
      </c>
      <c r="CF11" s="175" t="inlineStr">
        <is>
          <t>Manopla</t>
        </is>
      </c>
      <c r="CH11" s="175">
        <f>IF('DADOS_DANOS'!$J$11="","",'DADOS_DANOS'!$J$11)</f>
        <v/>
      </c>
      <c r="CI11" s="175" t="inlineStr">
        <is>
          <t>Emaranha</t>
        </is>
      </c>
      <c r="CK11" s="175" t="inlineStr">
        <is>
          <t>Daikyū</t>
        </is>
      </c>
      <c r="CL11" s="175" t="inlineStr">
        <is>
          <t>Regeneração Orgânica</t>
        </is>
      </c>
      <c r="CS11" s="175" t="inlineStr">
        <is>
          <t>Encarnado · Sem Técnica</t>
        </is>
      </c>
      <c r="JY11" s="175">
        <f>IF(AND($B11="",$C11="",LEN(TEXTJOIN("",TRUE,E11:R11))=0),"",TEXTJOIN(" · ",TRUE,IF(COUNTIF('DADOS_CUSTOM'!$BZ$2:$BZ$160,$B11)=0,"Escolha um tipo válido",""),IF(LEN(TRIM($C11))=0,"Preencha NOME",""),IF(OR(COUNTIF('DADOS_CUSTOM'!$C$2:$C$26,$C11)&gt;1,COUNTIF('DADOS_CUSTOM'!$BV$2:$BV$171,$C11)&gt;0),"Nome repetido no livro ou custom",""),IF(AND($E11&lt;&gt;"",SWITCH($B11,"Origem","PERÍCIA 1","Marcante","ORIGEM","Menor","ORIGEM","Arma","CATEGORIA","Escudo","","Uniforme","GRAU MÍNIMO","Item comum","","Ferramenta amaldiçoada","BASE","")=""),"Apague campo que este tipo não usa",IF(AND($E11&lt;&gt;"",COUNTIF(INDIRECT(SWITCH($B11,"Origem","'DADOS_PROGRESSAO'!$AG$2:$AG$34","Marcante","'DADOS_CUSTOM'!$BW$2:$BW$160","Menor","'DADOS_CUSTOM'!$CC$2:$CC$160","Arma","'DADOS_CUSTOM'!$CF$2:$CF$160","Escudo","'DADOS_CUSTOM'!$CM$2:$CM$160","Uniforme","'DADOS_CUSTOM'!$CJ$2:$CJ$160","Item comum","'DADOS_CUSTOM'!$CM$2:$CM$160","Ferramenta amaldiçoada","'DADOS_CUSTOM'!$CK$2:$CK$160","'DADOS_CUSTOM'!$CM$2:$CM$160")),$E11)=0),"Opção inválida: "&amp;SWITCH($B11,"Origem","PERÍCIA 1","Marcante","ORIGEM","Menor","ORIGEM","Arma","CATEGORIA","Escudo","","Uniforme","GRAU MÍNIMO","Item comum","","Ferramenta amaldiçoada","BASE",""),"")),IF(AND($F11&lt;&gt;"",SWITCH($B11,"Origem","PERÍCIA 2","Marcante","","Menor","EXIGE MARCANTE","Arma","MÃO","Escudo","","Uniforme","","Item comum","","Ferramenta amaldiçoada","GRAU","")=""),"Apague campo que este tipo não usa",IF(AND($F11&lt;&gt;"",COUNTIF(INDIRECT(SWITCH($B11,"Origem","'DADOS_PROGRESSAO'!$AG$2:$AG$34","Marcante","'DADOS_CUSTOM'!$CM$2:$CM$160","Menor","'DADOS_CUSTOM'!$CL$2:$CL$160","Arma","'DADOS_CUSTOM'!$CG$2:$CG$160","Escudo","'DADOS_CUSTOM'!$CM$2:$CM$160","Uniforme","'DADOS_CUSTOM'!$CM$2:$CM$160","Item comum","'DADOS_CUSTOM'!$CM$2:$CM$160","Ferramenta amaldiçoada","'DADOS_CUSTOM'!$CJ$2:$CJ$160","'DADOS_CUSTOM'!$CM$2:$CM$160")),$F11)=0),"Opção inválida: "&amp;SWITCH($B11,"Origem","PERÍCIA 2","Marcante","","Menor","EXIGE MARCANTE","Arma","MÃO","Escudo","","Uniforme","","Item comum","","Ferramenta amaldiçoada","GRAU",""),"")),IF(AND($G11&lt;&gt;"",SWITCH($B11,"Origem","PERÍCIA 3","Marcante","","Menor","","Arma","TIPO DE DANO","Escudo","","Uniforme","","Item comum","","Ferramenta amaldiçoada","","")=""),"Apague campo que este tipo não usa",IF(AND($G11&lt;&gt;"",COUNTIF(INDIRECT(SWITCH($B11,"Origem","'DADOS_PROGRESSAO'!$AG$2:$AG$34","Marcante","'DADOS_CUSTOM'!$CM$2:$CM$160","Menor","'DADOS_CUSTOM'!$CM$2:$CM$160","Arma","'DADOS_CUSTOM'!$CH$2:$CH$160","Escudo","'DADOS_CUSTOM'!$CM$2:$CM$160","Uniforme","'DADOS_CUSTOM'!$CM$2:$CM$160","Item comum","'DADOS_CUSTOM'!$CM$2:$CM$160","Ferramenta amaldiçoada","'DADOS_CUSTOM'!$CM$2:$CM$160","'DADOS_CUSTOM'!$CM$2:$CM$160")),$G11)=0),"Opção inválida: "&amp;SWITCH($B11,"Origem","PERÍCIA 3","Marcante","","Menor","","Arma","TIPO DE DANO","Escudo","","Uniforme","","Item comum","","Ferramenta amaldiçoada","",""),"")),IF(AND($H11&lt;&gt;"",SWITCH($B11,"Origem","PERÍCIA 4","Marcante","","Menor","","Arma","PROPRIEDADE 1","Escudo","","Uniforme","","Item comum","","Ferramenta amaldiçoada","","")=""),"Apague campo que este tipo não usa",IF(AND($H11&lt;&gt;"",COUNTIF(INDIRECT(SWITCH($B11,"Origem","'DADOS_PROGRESSAO'!$AG$2:$AG$34","Marcante","'DADOS_CUSTOM'!$CM$2:$CM$160","Menor","'DADOS_CUSTOM'!$CM$2:$CM$160","Arma","'DADOS_CUSTOM'!$CI$2:$CI$160","Escudo","'DADOS_CUSTOM'!$CM$2:$CM$160","Uniforme","'DADOS_CUSTOM'!$CM$2:$CM$160","Item comum","'DADOS_CUSTOM'!$CM$2:$CM$160","Ferramenta amaldiçoada","'DADOS_CUSTOM'!$CM$2:$CM$160","'DADOS_CUSTOM'!$CM$2:$CM$160")),$H11)=0),"Opção inválida: "&amp;SWITCH($B11,"Origem","PERÍCIA 4","Marcante","","Menor","","Arma","PROPRIEDADE 1","Escudo","","Uniforme","","Item comum","","Ferramenta amaldiçoada","",""),"")),IF(AND($I11&lt;&gt;"",SWITCH($B11,"Origem","ROTA","Marcante","","Menor","","Arma","PROPRIEDADE 2","Escudo","","Uniforme","","Item comum","","Ferramenta amaldiçoada","","")=""),"Apague campo que este tipo não usa",IF(AND($I11&lt;&gt;"",COUNTIF(INDIRECT(SWITCH($B11,"Origem","'DADOS_CUSTOM'!$CB$2:$CB$160","Marcante","'DADOS_CUSTOM'!$CM$2:$CM$160","Menor","'DADOS_CUSTOM'!$CM$2:$CM$160","Arma","'DADOS_CUSTOM'!$CI$2:$CI$160","Escudo","'DADOS_CUSTOM'!$CM$2:$CM$160","Uniforme","'DADOS_CUSTOM'!$CM$2:$CM$160","Item comum","'DADOS_CUSTOM'!$CM$2:$CM$160","Ferramenta amaldiçoada","'DADOS_CUSTOM'!$CM$2:$CM$160","'DADOS_CUSTOM'!$CM$2:$CM$160")),$I11)=0),"Opção inválida: "&amp;SWITCH($B11,"Origem","ROTA","Marcante","","Menor","","Arma","PROPRIEDADE 2","Escudo","","Uniforme","","Item comum","","Ferramenta amaldiçoada","",""),""))))</f>
        <v/>
      </c>
      <c r="JZ11" s="175">
        <f>IF(AND($B11="",$C11="",LEN(TEXTJOIN("",TRUE,E11:R11))=0),"",TEXTJOIN(" · ",TRUE,IF(AND($J11&lt;&gt;"",SWITCH($B11,"Origem","BASE DO LIVRO","Marcante","","Menor","","Arma","PROPRIEDADE 3","Escudo","","Uniforme","","Item comum","","Ferramenta amaldiçoada","","")=""),"Apague campo que este tipo não usa",IF(AND($J11&lt;&gt;"",COUNTIF(INDIRECT(SWITCH($B11,"Origem","'DADOS_CUSTOM'!$CD$2:$CD$160","Marcante","'DADOS_CUSTOM'!$CM$2:$CM$160","Menor","'DADOS_CUSTOM'!$CM$2:$CM$160","Arma","'DADOS_CUSTOM'!$CI$2:$CI$160","Escudo","'DADOS_CUSTOM'!$CM$2:$CM$160","Uniforme","'DADOS_CUSTOM'!$CM$2:$CM$160","Item comum","'DADOS_CUSTOM'!$CM$2:$CM$160","Ferramenta amaldiçoada","'DADOS_CUSTOM'!$CM$2:$CM$160","'DADOS_CUSTOM'!$CM$2:$CM$160")),$J11)=0),"Opção inválida: "&amp;SWITCH($B11,"Origem","BASE DO LIVRO","Marcante","","Menor","","Arma","PROPRIEDADE 3","Escudo","","Uniforme","","Item comum","","Ferramenta amaldiçoada","",""),"")),IF(AND($K11&lt;&gt;"",SWITCH($B11,"Origem","OFÍCIO","Marcante","","Menor","","Arma","PROPRIEDADE 4","Escudo","","Uniforme","","Item comum","","Ferramenta amaldiçoada","","")=""),"Apague campo que este tipo não usa",IF(AND($K11&lt;&gt;"",COUNTIF(INDIRECT(SWITCH($B11,"Origem","'DADOS_PROGRESSAO'!$AJ$2:$AJ$23","Marcante","'DADOS_CUSTOM'!$CM$2:$CM$160","Menor","'DADOS_CUSTOM'!$CM$2:$CM$160","Arma","'DADOS_CUSTOM'!$CI$2:$CI$160","Escudo","'DADOS_CUSTOM'!$CM$2:$CM$160","Uniforme","'DADOS_CUSTOM'!$CM$2:$CM$160","Item comum","'DADOS_CUSTOM'!$CM$2:$CM$160","Ferramenta amaldiçoada","'DADOS_CUSTOM'!$CM$2:$CM$160","'DADOS_CUSTOM'!$CM$2:$CM$160")),$K11)=0),"Opção inválida: "&amp;SWITCH($B11,"Origem","OFÍCIO","Marcante","","Menor","","Arma","PROPRIEDADE 4","Escudo","","Uniforme","","Item comum","","Ferramenta amaldiçoada","",""),"")),IF(AND($L11&lt;&gt;"",SWITCH($B11,"Origem","TALENTO CE 4","Marcante","FREQUÊNCIA","Menor","FREQUÊNCIA","Arma","DADO","Escudo","PROTEÇÃO","Uniforme","PROTEÇÃO","Item comum","VOLUME","Ferramenta amaldiçoada","ESTIGMA","")=""),"Apague campo que este tipo não usa",IF(AND(OR($B11="Escudo",$B11="Uniforme",$B11="Item comum"),$L11&lt;&gt;"",NOT(ISNUMBER($L11)),NOT(AND($L11="—",FALSE))),"Informe número: "&amp;SWITCH($B11,"Origem","TALENTO CE 4","Marcante","FREQUÊNCIA","Menor","FREQUÊNCIA","Arma","DADO","Escudo","PROTEÇÃO","Uniforme","PROTEÇÃO","Item comum","VOLUME","Ferramenta amaldiçoada","ESTIGMA",""),"")),IF(AND($M11&lt;&gt;"",SWITCH($B11,"Origem","","Marcante","","Menor","","Arma","FORÇA","Escudo","TETO DE DESTREZA","Uniforme","TETO DE DESTREZA","Item comum","PREÇO","Ferramenta amaldiçoada","DESGASTE","")=""),"Apague campo que este tipo não usa",IF(AND(OR($B11="Arma",$B11="Escudo",$B11="Uniforme",$B11="Item comum",$B11="Ferramenta amaldiçoada"),$M11&lt;&gt;"",NOT(ISNUMBER($M11)),NOT(AND($M11="—",OR($B11="Arma",$B11="Escudo",$B11="Uniforme",$B11="Ferramenta amaldiçoada")))),"Informe número: "&amp;SWITCH($B11,"Origem","","Marcante","","Menor","","Arma","FORÇA","Escudo","TETO DE DESTREZA","Uniforme","TETO DE DESTREZA","Item comum","PREÇO","Ferramenta amaldiçoada","DESGASTE",""),"")),IF(AND($N11&lt;&gt;"",SWITCH($B11,"Origem","","Marcante","","Menor","","Arma","VOLUME","Escudo","FORÇA","Uniforme","FORÇA","Item comum","","Ferramenta amaldiçoada","VOLUME","")=""),"Apague campo que este tipo não usa",IF(AND(OR($B11="Arma",$B11="Escudo",$B11="Uniforme",$B11="Ferramenta amaldiçoada"),$N11&lt;&gt;"",NOT(ISNUMBER($N11)),NOT(AND($N11="—",OR($B11="Escudo",$B11="Uniforme")))),"Informe número: "&amp;SWITCH($B11,"Origem","","Marcante","","Menor","","Arma","VOLUME","Escudo","FORÇA","Uniforme","FORÇA","Item comum","","Ferramenta amaldiçoada","VOLUME",""),"")),IF(AND($O11&lt;&gt;"",SWITCH($B11,"Origem","","Marcante","","Menor","","Arma","ALCANCE","Escudo","VOLUME","Uniforme","VOLUME","Item comum","","Ferramenta amaldiçoada","PREÇO","")=""),"Apague campo que este tipo não usa",IF(AND(OR($B11="Escudo",$B11="Uniforme",$B11="Ferramenta amaldiçoada"),$O11&lt;&gt;"",NOT(ISNUMBER($O11)),NOT(AND($O11="—",FALSE))),"Informe número: "&amp;SWITCH($B11,"Origem","","Marcante","","Menor","","Arma","ALCANCE","Escudo","VOLUME","Uniforme","VOLUME","Item comum","","Ferramenta amaldiçoada","PREÇO",""),"")),IF(AND($P11&lt;&gt;"",SWITCH($B11,"Origem","","Marcante","","Menor","","Arma","RECARGA","Escudo","PREÇO","Uniforme","PREÇO","Item comum","","Ferramenta amaldiçoada","","")=""),"Apague campo que este tipo não usa",IF(AND(OR($B11="Arma",$B11="Escudo",$B11="Uniforme"),$P11&lt;&gt;"",NOT(ISNUMBER($P11)),NOT(AND($P11="—",OR($B11="Arma")))),"Informe número: "&amp;SWITCH($B11,"Origem","","Marcante","","Menor","","Arma","RECARGA","Escudo","PREÇO","Uniforme","PREÇO","Item comum","","Ferramenta amaldiçoada","",""),"")),IF(AND($Q11&lt;&gt;"",SWITCH($B11,"Origem","","Marcante","","Menor","","Arma","PREÇO","Escudo","","Uniforme","","Item comum","","Ferramenta amaldiçoada","","")=""),"Apague campo que este tipo não usa",IF(AND(OR($B11="Arma"),$Q11&lt;&gt;"",NOT(ISNUMBER($Q11)),NOT(AND($Q11="—",FALSE))),"Informe número: "&amp;SWITCH($B11,"Origem","","Marcante","","Menor","","Arma","PREÇO","Escudo","","Uniforme","","Item comum","","Ferramenta amaldiçoada","",""),""))))</f>
        <v/>
      </c>
      <c r="KA11" s="175">
        <f>IF(AND($B11="",$C11="",LEN(TEXTJOIN("",TRUE,E11:R11))=0),"",TEXTJOIN(" · ",TRUE,IF(AND($B11="Origem",OR($E11="",$F11="",$G11="",$H11="",$I11="")),"Preencha os campos obrigatórios de Origem",""),IF(AND($B11="Marcante",OR($E11="")),"Preencha os campos obrigatórios de Marcante",""),IF(AND($B11="Menor",OR($E11="")),"Preencha os campos obrigatórios de Menor",""),IF(AND($B11="Arma",OR($E11="",$F11="",$G11="",$L11="",$M11="",$N11="")),"Preencha os campos obrigatórios de Arma",""),IF(AND($B11="Escudo",OR($L11="",$M11="",$N11="",$O11="")),"Preencha os campos obrigatórios de Escudo",""),IF(AND($B11="Uniforme",OR($E11="",$L11="",$M11="",$N11="",$O11="")),"Preencha os campos obrigatórios de Uniforme",""),IF(AND($B11="Item comum",OR($L11="")),"Preencha os campos obrigatórios de Item comum",""),IF(AND($B11="Ferramenta amaldiçoada",OR($E11="",$F11="")),"Preencha os campos obrigatórios de Ferramenta amaldiçoada",""),IF(AND($B11="Origem",COUNTA(E11:H11)=4,NOT(AND(E11&lt;&gt;F11,E11&lt;&gt;G11,E11&lt;&gt;H11,F11&lt;&gt;G11,F11&lt;&gt;H11,G11&lt;&gt;H11))),"Escolha quatro perícias diferentes",""),IF(AND($B11="Origem",J11="Latente",NOT(OR(I11="Fundamento",I11="Manejos"))),"ROTA não combina com BASE DO LIVRO",""),IF(AND($B11="Origem",J11="Receptáculo",NOT(OR(I11="Fundamento",I11="Manejos"))),"ROTA não combina com BASE DO LIVRO",""),IF(AND($B11="Origem",J11="Descendente",NOT(OR(I11="Fundamento",I11="Manejos"))),"ROTA não combina com BASE DO LIVRO",""),IF(AND($B11="Origem",J11="Encarnado",NOT(OR(I11="Fundamento",I11="Manejos"))),"ROTA não combina com BASE DO LIVRO",""),IF(AND($B11="Origem",J11="Híbrido",NOT(OR(I11="Fundamento",I11="Manejos"))),"ROTA não combina com BASE DO LIVRO",""),IF(AND($B11="Origem",J11="Corpo Amaldiçoado",NOT(OR(I11="Técnica Marcial com energia"))),"ROTA não combina com BASE DO LIVRO",""),IF(AND($B11="Origem",J11="Restrição Celestial · Sem Energia",NOT(OR(I11="Técnica Marcial sem energia"))),"ROTA não combina com BASE DO LIVRO",""),IF(AND($B11="Origem",J11="Restrição Celestial · Restrição corporal",NOT(OR(I11="Fundamento"))),"ROTA não combina com BASE DO LIVRO","")))</f>
        <v/>
      </c>
    </row>
    <row r="12">
      <c r="A12" s="175" t="n">
        <v>11</v>
      </c>
      <c r="B12" s="175">
        <f>IF(ISBLANK('CONFIGURAÇÃO'!$T$159),"",'CONFIGURAÇÃO'!$T$159)</f>
        <v/>
      </c>
      <c r="C12" s="175">
        <f>IF(ISBLANK('CONFIGURAÇÃO'!$T$161),"",'CONFIGURAÇÃO'!$T$161)</f>
        <v/>
      </c>
      <c r="D12" s="175">
        <f>IF(ISBLANK('CONFIGURAÇÃO'!$X$159),"",'CONFIGURAÇÃO'!$X$159)</f>
        <v/>
      </c>
      <c r="E12" s="175">
        <f>IF(ISBLANK('CONFIGURAÇÃO'!$V$162),"",'CONFIGURAÇÃO'!$V$162)</f>
        <v/>
      </c>
      <c r="F12" s="175">
        <f>IF(ISBLANK('CONFIGURAÇÃO'!$V$163),"",'CONFIGURAÇÃO'!$V$163)</f>
        <v/>
      </c>
      <c r="G12" s="175">
        <f>IF(ISBLANK('CONFIGURAÇÃO'!$V$164),"",'CONFIGURAÇÃO'!$V$164)</f>
        <v/>
      </c>
      <c r="H12" s="175">
        <f>IF(ISBLANK('CONFIGURAÇÃO'!$V$165),"",'CONFIGURAÇÃO'!$V$165)</f>
        <v/>
      </c>
      <c r="I12" s="175">
        <f>IF(ISBLANK('CONFIGURAÇÃO'!$V$166),"",'CONFIGURAÇÃO'!$V$166)</f>
        <v/>
      </c>
      <c r="J12" s="175">
        <f>IF(ISBLANK('CONFIGURAÇÃO'!$V$167),"",'CONFIGURAÇÃO'!$V$167)</f>
        <v/>
      </c>
      <c r="K12" s="175">
        <f>IF(ISBLANK('CONFIGURAÇÃO'!$V$168),"",'CONFIGURAÇÃO'!$V$168)</f>
        <v/>
      </c>
      <c r="L12" s="175">
        <f>IF(ISBLANK('CONFIGURAÇÃO'!$V$169),"",'CONFIGURAÇÃO'!$V$169)</f>
        <v/>
      </c>
      <c r="M12" s="175">
        <f>IF(ISBLANK('CONFIGURAÇÃO'!$V$170),"",'CONFIGURAÇÃO'!$V$170)</f>
        <v/>
      </c>
      <c r="N12" s="175">
        <f>IF(ISBLANK('CONFIGURAÇÃO'!$V$171),"",'CONFIGURAÇÃO'!$V$171)</f>
        <v/>
      </c>
      <c r="O12" s="175">
        <f>IF(ISBLANK('CONFIGURAÇÃO'!$V$172),"",'CONFIGURAÇÃO'!$V$172)</f>
        <v/>
      </c>
      <c r="P12" s="175">
        <f>IF(ISBLANK('CONFIGURAÇÃO'!$V$173),"",'CONFIGURAÇÃO'!$V$173)</f>
        <v/>
      </c>
      <c r="Q12" s="175">
        <f>IF(ISBLANK('CONFIGURAÇÃO'!$V$174),"",'CONFIGURAÇÃO'!$V$174)</f>
        <v/>
      </c>
      <c r="R12" s="175">
        <f>IF(ISBLANK('CONFIGURAÇÃO'!$T$176),"",'CONFIGURAÇÃO'!$T$176)</f>
        <v/>
      </c>
      <c r="S12" s="175">
        <f>TEXTJOIN(" · ",TRUE,U12,V12,W12,X12)</f>
        <v/>
      </c>
      <c r="T12" s="175">
        <f>AND(B12&lt;&gt;"",C12&lt;&gt;"",S12="")</f>
        <v/>
      </c>
      <c r="U12" s="175">
        <f>TEXTJOIN(" · ",TRUE,JY12:KA12)</f>
        <v/>
      </c>
      <c r="V12" s="175">
        <f>IF(AND(OR($B12="Marcante",$B12="Menor"),NOT(OR(COUNTIF('DADOS_CUSTOM'!$CD$2:$CD$160,E12)&gt;0,COUNTIFS('DADOS_CUSTOM'!$C$2:$C$26,E12,'DADOS_CUSTOM'!$B$2:$B$26,"Origem",'DADOS_CUSTOM'!$U$2:$U$26,"")=1))),"Origem vinculada não existe ou tem erro",IF(AND($B12="Marcante",NOT(OR(E12="Restrição Celestial · Restrição corporal",AND(COUNTIFS('DADOS_CUSTOM'!$C$2:$C$26,E12,'DADOS_CUSTOM'!$B$2:$B$26,"Origem",'DADOS_CUSTOM'!$U$2:$U$26,"")=1,OR(IFERROR(INDEX('DADOS_CUSTOM'!$J$2:$J$26,MATCH(E12,'DADOS_CUSTOM'!$C$2:$C$26,0)),E12)="",IFERROR(INDEX('DADOS_CUSTOM'!$J$2:$J$26,MATCH(E12,'DADOS_CUSTOM'!$C$2:$C$26,0)),E12)="Nenhuma",IFERROR(INDEX('DADOS_CUSTOM'!$J$2:$J$26,MATCH(E12,'DADOS_CUSTOM'!$C$2:$C$26,0)),E12)="Restrição Celestial · Restrição corporal"))))),"Marcante própria só para Restrição corporal ou Origem do zero; use a marcante publicada da base",""))</f>
        <v/>
      </c>
      <c r="W12" s="175">
        <f>IF(AND($B12="Menor",F12&lt;&gt;"",F12&lt;&gt;"—",NOT(OR(AND(F12="Tentativa e Erro",OR(E12="Latente",IFERROR(INDEX('DADOS_CUSTOM'!$J$2:$J$26,MATCH(E12,'DADOS_CUSTOM'!$C$2:$C$26,0)),E12)="Latente")),AND(F12="Coexistência",OR(E12="Receptáculo",IFERROR(INDEX('DADOS_CUSTOM'!$J$2:$J$26,MATCH(E12,'DADOS_CUSTOM'!$C$2:$C$26,0)),E12)="Receptáculo")),AND(F12="Conflito",OR(E12="Receptáculo",IFERROR(INDEX('DADOS_CUSTOM'!$J$2:$J$26,MATCH(E12,'DADOS_CUSTOM'!$C$2:$C$26,0)),E12)="Receptáculo")),AND(F12="Zenin",OR(E12="Descendente",IFERROR(INDEX('DADOS_CUSTOM'!$J$2:$J$26,MATCH(E12,'DADOS_CUSTOM'!$C$2:$C$26,0)),E12)="Descendente")),AND(F12="Kamo",OR(E12="Descendente",IFERROR(INDEX('DADOS_CUSTOM'!$J$2:$J$26,MATCH(E12,'DADOS_CUSTOM'!$C$2:$C$26,0)),E12)="Descendente")),AND(F12="Gojo",OR(E12="Descendente",IFERROR(INDEX('DADOS_CUSTOM'!$J$2:$J$26,MATCH(E12,'DADOS_CUSTOM'!$C$2:$C$26,0)),E12)="Descendente")),AND(F12="Inumaki",OR(E12="Descendente",IFERROR(INDEX('DADOS_CUSTOM'!$J$2:$J$26,MATCH(E12,'DADOS_CUSTOM'!$C$2:$C$26,0)),E12)="Descendente")),AND(F12="Duas Vidas",OR(E12="Encarnado",IFERROR(INDEX('DADOS_CUSTOM'!$J$2:$J$26,MATCH(E12,'DADOS_CUSTOM'!$C$2:$C$26,0)),E12)="Encarnado")),AND(F12="Regeneração Orgânica",OR(E12="Híbrido",IFERROR(INDEX('DADOS_CUSTOM'!$J$2:$J$26,MATCH(E12,'DADOS_CUSTOM'!$C$2:$C$26,0)),E12)="Híbrido")),AND(F12="Existência Artificial",OR(E12="Corpo Amaldiçoado",IFERROR(INDEX('DADOS_CUSTOM'!$J$2:$J$26,MATCH(E12,'DADOS_CUSTOM'!$C$2:$C$26,0)),E12)="Corpo Amaldiçoado")),AND(F12="Ataque sem Prenúncio",OR(E12="Restrição Celestial · Sem Energia",IFERROR(INDEX('DADOS_CUSTOM'!$J$2:$J$26,MATCH(E12,'DADOS_CUSTOM'!$C$2:$C$26,0)),E12)="Restrição Celestial · Sem Energia")),AND(F12="Corpo Debilitado",OR(E12="Restrição Celestial · Restrição corporal",IFERROR(INDEX('DADOS_CUSTOM'!$J$2:$J$26,MATCH(E12,'DADOS_CUSTOM'!$C$2:$C$26,0)),E12)="Restrição Celestial · Restrição corporal")),AND(F12="Corpo Quebradiço",OR(E12="Restrição Celestial · Restrição corporal",IFERROR(INDEX('DADOS_CUSTOM'!$J$2:$J$26,MATCH(E12,'DADOS_CUSTOM'!$C$2:$C$26,0)),E12)="Restrição Celestial · Restrição corporal")),AND(F12="Corpo Exaurido",OR(E12="Restrição Celestial · Restrição corporal",IFERROR(INDEX('DADOS_CUSTOM'!$J$2:$J$26,MATCH(E12,'DADOS_CUSTOM'!$C$2:$C$26,0)),E12)="Restrição Celestial · Restrição corporal")),COUNTIFS('DADOS_CUSTOM'!$C$2:$C$26,F12,'DADOS_CUSTOM'!$B$2:$B$26,"Marcante",'DADOS_CUSTOM'!$E$2:$E$26,E12,'DADOS_CUSTOM'!$U$2:$U$26,"",'DADOS_CUSTOM'!$V$2:$V$26,"")=1))),"Marcante exigida não pertence à Origem ou tem erro","")</f>
        <v/>
      </c>
      <c r="X12" s="175">
        <f>IF(AND($B12="Ferramenta amaldiçoada",NOT(OR(COUNTIF('DADOS_CUSTOM'!$CK$2:$CK$75,E12)&gt;0,OR(COUNTIFS('DADOS_CUSTOM'!$C$2:$C$26,E12,'DADOS_CUSTOM'!$B$2:$B$26,"Arma",'DADOS_CUSTOM'!$U$2:$U$26,"")=1,COUNTIFS('DADOS_CUSTOM'!$C$2:$C$26,E12,'DADOS_CUSTOM'!$B$2:$B$26,"Escudo",'DADOS_CUSTOM'!$U$2:$U$26,"")=1,COUNTIFS('DADOS_CUSTOM'!$C$2:$C$26,E12,'DADOS_CUSTOM'!$B$2:$B$26,"Uniforme",'DADOS_CUSTOM'!$U$2:$U$26,"")=1,COUNTIFS('DADOS_CUSTOM'!$C$2:$C$26,E12,'DADOS_CUSTOM'!$B$2:$B$26,"Item comum",'DADOS_CUSTOM'!$U$2:$U$26,"")=1)))),"Base da ferramenta não existe ou tem erro","")</f>
        <v/>
      </c>
      <c r="AA12" s="175" t="inlineStr">
        <is>
          <t>Daikyū</t>
        </is>
      </c>
      <c r="AB12" s="175" t="inlineStr">
        <is>
          <t>Yumi</t>
        </is>
      </c>
      <c r="AC12" s="175" t="n">
        <v>2</v>
      </c>
      <c r="AD12" s="175" t="inlineStr">
        <is>
          <t>1d10</t>
        </is>
      </c>
      <c r="AE12" s="175" t="inlineStr">
        <is>
          <t>Longo Alcance</t>
        </is>
      </c>
      <c r="AF12" s="175" t="inlineStr">
        <is>
          <t>—</t>
        </is>
      </c>
      <c r="AG12" s="175" t="n">
        <v>2</v>
      </c>
      <c r="AH12" s="175" t="inlineStr">
        <is>
          <t>45 m, longa 180 m</t>
        </is>
      </c>
      <c r="AJ12" s="175">
        <f>'FICHA PESSOAL'!$AM$82</f>
        <v/>
      </c>
      <c r="AK12" s="175">
        <f>ADDRESS(ROW('FICHA PESSOAL'!AM82),COLUMN('FICHA PESSOAL'!AM82),4)</f>
        <v/>
      </c>
      <c r="AM12" s="175">
        <f>IF(AND(OR($B6="Uniforme"),$C6&lt;&gt;"",$U6=""),$C6,"")</f>
        <v/>
      </c>
      <c r="AN12" s="175">
        <f>IF(AND(OR($B6="Uniforme"),$C6&lt;&gt;"",$U6=""),$L6,"")</f>
        <v/>
      </c>
      <c r="AO12" s="175">
        <f>IF(AND(OR($B6="Uniforme"),$C6&lt;&gt;"",$U6=""),$M6,"")</f>
        <v/>
      </c>
      <c r="AP12" s="175">
        <f>IF(AND(OR($B6="Uniforme"),$C6&lt;&gt;"",$U6=""),$N6,"")</f>
        <v/>
      </c>
      <c r="AQ12" s="175">
        <f>IF(AND(OR($B6="Uniforme"),$C6&lt;&gt;"",$U6=""),$O6,"")</f>
        <v/>
      </c>
      <c r="AR12" s="175">
        <f>IF(AND(OR($B6="Uniforme"),$C6&lt;&gt;"",$U6=""),IFERROR(VLOOKUP($E6,DADOS!$CF$5:$CH$9,3,FALSE),1),"")</f>
        <v/>
      </c>
      <c r="AS12" s="175">
        <f>IF(AND(OR($B6="Uniforme"),$C6&lt;&gt;"",$U6=""),$E6,"")</f>
        <v/>
      </c>
      <c r="AU12" s="175" t="inlineStr">
        <is>
          <t>Telefone</t>
        </is>
      </c>
      <c r="AV12" s="175" t="n">
        <v>0.1</v>
      </c>
      <c r="AW12" s="175" t="n">
        <v>30000</v>
      </c>
      <c r="AX12" s="175" t="inlineStr">
        <is>
          <t>Aparelho básico com câmera</t>
        </is>
      </c>
      <c r="AZ12" s="175" t="inlineStr">
        <is>
          <t>Ataque sem Prenúncio</t>
        </is>
      </c>
      <c r="BA12" s="175" t="inlineStr">
        <is>
          <t>Restrição Celestial · Sem Energia</t>
        </is>
      </c>
      <c r="BB12" s="175" t="inlineStr">
        <is>
          <t>marcante</t>
        </is>
      </c>
      <c r="BC12" s="175" t="inlineStr"/>
      <c r="BD12" s="175" t="inlineStr">
        <is>
          <t>Uma vez por turno seu</t>
        </is>
      </c>
      <c r="BE12" s="175" t="inlineStr">
        <is>
          <t>Seu adversário percebe o golpe, mas não recebe o sinal energético que esperava para antecipá-lo. Uma vez por turno seu, depois de declarar um ataque que já possa realizar e de o defensor escolher entre Defesa e Bloquear, quando essa escolha couber, anuncie Ataque sem Prenúncio e gaste 2 PE adicionais, antes do d20 do ataque, do TR ou da aplicação Automática. Não exige outra ação. Pague também o custo do ataque ou da Kata; errar não devolve os custos.
A marcante abrange ataques comuns corpo a corpo, com arma ou desarmados, e Katas ofensivas por acerto, TR ou resultado Automático, inclusive Katas à distância ou transportadas por um golpe. Escolha um defensor. O benefício direto alcança apenas a primeira resolução ofensiva contra ele naquela execução, sem aplicações automáticas nos outros ataques, alvos ou pulsações. Não concede um ataque novo nem modifica a montagem.
Antecipação e bloqueio.
Se o defensor puder perceber energia amaldiçoada e ainda não reconhecer por estudo essa execução sua:
- O anúncio impede uma Reação do defensor provocada pela declaração dessa execução que seria resolvida antes da rolagem de acerto, do TR escolhido ou da aplicação Automática inicial, conforme o procedimento usado. Se ele já tiver declarado uma Reação dessas contra aquela execução, o anúncio a cancela, sem gastar a Reação dele.
- Se a resolução admitir Bloquear e ele tiver escolhido essa defesa, faz a rolagem com desvantagem, seguindo os dois conjuntos completos e os extremos de Aparar e Brecha.
O TR mantém dado, CD e modificadores. Automáticos não ganham teste nem ignoram imunidades, resistências ou requisitos. Benefícios sem gasto de Reação continuam disponíveis. Numa resolução com acerto seguido de TR, a marcante não acrescenta penalidade ao TR.
Defesa fixa, proteção, efeitos já ativos e respostas posteriores ao erro, acerto ou dano conservam suas regras. Uma ativação impedida não consome a reserva de Reação. A escolha de Defesa ou Bloquear permanece antes do d20 do ataque; o anúncio vem entre essa escolha e o d20. Depois do anúncio, o defensor não pode trocar a escolha.
Intervenções de terceiros continuam disponíveis. Se outra criatura assumir o ataque, confira a suscetibilidade dela, sem desfazer a intervenção já resolvida ou transferir o reconhecimento do alvo anterior.
Estudar a execução.
Depois de ser alvo efetivo de uma execução sua e percebê-la por visão ou sentido equivalente, o adversário pode usar Estudar enquanto consegue observar você. Gasta a ação de Estudar — normalmente Padrão, salvo permissão válida — e faz seu teste inicial, com a perícia e a CD do procedimento. Precisa passar para iniciar o reconhecimento. Não há segunda rolagem para habilitá-lo nem outra informação livre pelo mesmo gasto.
Na falha, a ação foi gasta e o reconhecimento não começa; novas tentativas seguem Estudar. Seus outros usos, inclusive informações evidentes sem teste, permanecem iguais.
A execução pode ter acertado, errado, sido bloqueada ou resistida. Não exige dano nem pagamento de Ataque sem Prenúncio naquela execução. Apenas observar outra pessoa ou receber dano transferido sem ser alvo não equivale a enfrentá-la.
Depois do primeiro Estudar bem-sucedido, o defensor neutraliza a marcante contra as execuções suas que já enfrentou. Cada execução inédita ainda pode receber o benefício na primeira tentativa; depois de enfrentá-la e percebê-la, ele passa a reconhecê-la, sem novo estudo, teste ou limite de Katas por estudo.
Memória entre encontros.
Registre ataques comuns por tipo ou perfil de arma, não por exemplar. Outra cópia equivalente não renova a novidade. Ataques comuns desarmados formam um único perfil: trocar soco por chute não o torna inédito.
Katas são reconhecidas separadamente. Conhecer uma arma não revela as Katas ainda desconhecidas feitas com ela. Mudar apenas números, Classe, custo ou arma compatível não torna a mesma Kata inédita. Uma mudança real de funcionamento pode definir outra aplicação, previamente identificada no repertório e adquirida normalmente.
Cada defensor conserva o estudo e as execuções reconhecidas daquele Restringido entre encontros. Combate, missão ou descanso não apagam o aprendizado, que não se transfere automaticamente a aliados ou a outro Restringido. Reconhecimento protege contra esta marcante, não contra o dano e os demais efeitos da execução.
Exemplo: uma Kata de 3 PE com Ataque sem Prenúncio custa 5 PE. Resolva a Kata normalmente, sem acrescentar dano de arma ou de Estímulo Muscular quando suas fontes não permitirem. Se o adversário já estudou você, mas nunca enfrentou essa Kata, a primeira execução ainda pode receber o benefício; depois de percebê-la, ele a reconhece nos reencontros.</t>
        </is>
      </c>
      <c r="BG12" s="175">
        <f>IF(AND(OR($B4="Origem"),$C4&lt;&gt;"",$T4=TRUE),$C4,"")</f>
        <v/>
      </c>
      <c r="BH12" s="175">
        <f>IF(AND(OR($B4="Origem"),$C4&lt;&gt;"",$T4=TRUE),TEXTJOIN(" · ",TRUE,$E4:$H4),"")</f>
        <v/>
      </c>
      <c r="BI12" s="175">
        <f>IF(AND(OR($B4="Origem"),$C4&lt;&gt;"",$T4=TRUE),$I4,"")</f>
        <v/>
      </c>
      <c r="BM12" s="175" t="inlineStr">
        <is>
          <t>Besta</t>
        </is>
      </c>
      <c r="BN12" s="175" t="inlineStr">
        <is>
          <t>Arma</t>
        </is>
      </c>
      <c r="BO12" s="175" t="n">
        <v>0</v>
      </c>
      <c r="BP12" s="175" t="inlineStr">
        <is>
          <t>—</t>
        </is>
      </c>
      <c r="BQ12" s="175" t="n">
        <v>3</v>
      </c>
      <c r="BR12" s="175" t="n">
        <v>2</v>
      </c>
      <c r="BS12" s="175" t="inlineStr">
        <is>
          <t>—</t>
        </is>
      </c>
      <c r="BT12" s="175" t="inlineStr"/>
      <c r="BU12" s="175" t="inlineStr"/>
      <c r="BV12" s="175" t="inlineStr">
        <is>
          <t>Autoridade de Berço</t>
        </is>
      </c>
      <c r="BW12" s="175">
        <f>IF(AND($B11="Origem",OR($J11="",$J11="Nenhuma",$J11="Restrição Celestial · Restrição corporal")),$C11,"")</f>
        <v/>
      </c>
      <c r="CA12" s="175" t="inlineStr">
        <is>
          <t>Hierarquia</t>
        </is>
      </c>
      <c r="CC12" s="175">
        <f>IF(OR('CONFIGURAÇÃO'!$T$43="Origem"),'CONFIGURAÇÃO'!$T$45,"")</f>
        <v/>
      </c>
      <c r="CE12" s="175" t="inlineStr">
        <is>
          <t>Instrumento</t>
        </is>
      </c>
      <c r="CF12" s="175" t="inlineStr">
        <is>
          <t>Massa</t>
        </is>
      </c>
      <c r="CH12" s="175">
        <f>IF('DADOS_DANOS'!$J$12="","",'DADOS_DANOS'!$J$12)</f>
        <v/>
      </c>
      <c r="CI12" s="175" t="inlineStr">
        <is>
          <t>Rompe</t>
        </is>
      </c>
      <c r="CK12" s="175" t="inlineStr">
        <is>
          <t>Espada Longa</t>
        </is>
      </c>
      <c r="CL12" s="175" t="inlineStr">
        <is>
          <t>Existência Artificial</t>
        </is>
      </c>
      <c r="CS12" s="175" t="inlineStr">
        <is>
          <t>Híbrido · Sem Técnica</t>
        </is>
      </c>
      <c r="JY12" s="175">
        <f>IF(AND($B12="",$C12="",LEN(TEXTJOIN("",TRUE,E12:R12))=0),"",TEXTJOIN(" · ",TRUE,IF(COUNTIF('DADOS_CUSTOM'!$BZ$2:$BZ$160,$B12)=0,"Escolha um tipo válido",""),IF(LEN(TRIM($C12))=0,"Preencha NOME",""),IF(OR(COUNTIF('DADOS_CUSTOM'!$C$2:$C$26,$C12)&gt;1,COUNTIF('DADOS_CUSTOM'!$BV$2:$BV$171,$C12)&gt;0),"Nome repetido no livro ou custom",""),IF(AND($E12&lt;&gt;"",SWITCH($B12,"Origem","PERÍCIA 1","Marcante","ORIGEM","Menor","ORIGEM","Arma","CATEGORIA","Escudo","","Uniforme","GRAU MÍNIMO","Item comum","","Ferramenta amaldiçoada","BASE","")=""),"Apague campo que este tipo não usa",IF(AND($E12&lt;&gt;"",COUNTIF(INDIRECT(SWITCH($B12,"Origem","'DADOS_PROGRESSAO'!$AG$2:$AG$34","Marcante","'DADOS_CUSTOM'!$BW$2:$BW$160","Menor","'DADOS_CUSTOM'!$CC$2:$CC$160","Arma","'DADOS_CUSTOM'!$CF$2:$CF$160","Escudo","'DADOS_CUSTOM'!$CM$2:$CM$160","Uniforme","'DADOS_CUSTOM'!$CJ$2:$CJ$160","Item comum","'DADOS_CUSTOM'!$CM$2:$CM$160","Ferramenta amaldiçoada","'DADOS_CUSTOM'!$CK$2:$CK$160","'DADOS_CUSTOM'!$CM$2:$CM$160")),$E12)=0),"Opção inválida: "&amp;SWITCH($B12,"Origem","PERÍCIA 1","Marcante","ORIGEM","Menor","ORIGEM","Arma","CATEGORIA","Escudo","","Uniforme","GRAU MÍNIMO","Item comum","","Ferramenta amaldiçoada","BASE",""),"")),IF(AND($F12&lt;&gt;"",SWITCH($B12,"Origem","PERÍCIA 2","Marcante","","Menor","EXIGE MARCANTE","Arma","MÃO","Escudo","","Uniforme","","Item comum","","Ferramenta amaldiçoada","GRAU","")=""),"Apague campo que este tipo não usa",IF(AND($F12&lt;&gt;"",COUNTIF(INDIRECT(SWITCH($B12,"Origem","'DADOS_PROGRESSAO'!$AG$2:$AG$34","Marcante","'DADOS_CUSTOM'!$CM$2:$CM$160","Menor","'DADOS_CUSTOM'!$CL$2:$CL$160","Arma","'DADOS_CUSTOM'!$CG$2:$CG$160","Escudo","'DADOS_CUSTOM'!$CM$2:$CM$160","Uniforme","'DADOS_CUSTOM'!$CM$2:$CM$160","Item comum","'DADOS_CUSTOM'!$CM$2:$CM$160","Ferramenta amaldiçoada","'DADOS_CUSTOM'!$CJ$2:$CJ$160","'DADOS_CUSTOM'!$CM$2:$CM$160")),$F12)=0),"Opção inválida: "&amp;SWITCH($B12,"Origem","PERÍCIA 2","Marcante","","Menor","EXIGE MARCANTE","Arma","MÃO","Escudo","","Uniforme","","Item comum","","Ferramenta amaldiçoada","GRAU",""),"")),IF(AND($G12&lt;&gt;"",SWITCH($B12,"Origem","PERÍCIA 3","Marcante","","Menor","","Arma","TIPO DE DANO","Escudo","","Uniforme","","Item comum","","Ferramenta amaldiçoada","","")=""),"Apague campo que este tipo não usa",IF(AND($G12&lt;&gt;"",COUNTIF(INDIRECT(SWITCH($B12,"Origem","'DADOS_PROGRESSAO'!$AG$2:$AG$34","Marcante","'DADOS_CUSTOM'!$CM$2:$CM$160","Menor","'DADOS_CUSTOM'!$CM$2:$CM$160","Arma","'DADOS_CUSTOM'!$CH$2:$CH$160","Escudo","'DADOS_CUSTOM'!$CM$2:$CM$160","Uniforme","'DADOS_CUSTOM'!$CM$2:$CM$160","Item comum","'DADOS_CUSTOM'!$CM$2:$CM$160","Ferramenta amaldiçoada","'DADOS_CUSTOM'!$CM$2:$CM$160","'DADOS_CUSTOM'!$CM$2:$CM$160")),$G12)=0),"Opção inválida: "&amp;SWITCH($B12,"Origem","PERÍCIA 3","Marcante","","Menor","","Arma","TIPO DE DANO","Escudo","","Uniforme","","Item comum","","Ferramenta amaldiçoada","",""),"")),IF(AND($H12&lt;&gt;"",SWITCH($B12,"Origem","PERÍCIA 4","Marcante","","Menor","","Arma","PROPRIEDADE 1","Escudo","","Uniforme","","Item comum","","Ferramenta amaldiçoada","","")=""),"Apague campo que este tipo não usa",IF(AND($H12&lt;&gt;"",COUNTIF(INDIRECT(SWITCH($B12,"Origem","'DADOS_PROGRESSAO'!$AG$2:$AG$34","Marcante","'DADOS_CUSTOM'!$CM$2:$CM$160","Menor","'DADOS_CUSTOM'!$CM$2:$CM$160","Arma","'DADOS_CUSTOM'!$CI$2:$CI$160","Escudo","'DADOS_CUSTOM'!$CM$2:$CM$160","Uniforme","'DADOS_CUSTOM'!$CM$2:$CM$160","Item comum","'DADOS_CUSTOM'!$CM$2:$CM$160","Ferramenta amaldiçoada","'DADOS_CUSTOM'!$CM$2:$CM$160","'DADOS_CUSTOM'!$CM$2:$CM$160")),$H12)=0),"Opção inválida: "&amp;SWITCH($B12,"Origem","PERÍCIA 4","Marcante","","Menor","","Arma","PROPRIEDADE 1","Escudo","","Uniforme","","Item comum","","Ferramenta amaldiçoada","",""),"")),IF(AND($I12&lt;&gt;"",SWITCH($B12,"Origem","ROTA","Marcante","","Menor","","Arma","PROPRIEDADE 2","Escudo","","Uniforme","","Item comum","","Ferramenta amaldiçoada","","")=""),"Apague campo que este tipo não usa",IF(AND($I12&lt;&gt;"",COUNTIF(INDIRECT(SWITCH($B12,"Origem","'DADOS_CUSTOM'!$CB$2:$CB$160","Marcante","'DADOS_CUSTOM'!$CM$2:$CM$160","Menor","'DADOS_CUSTOM'!$CM$2:$CM$160","Arma","'DADOS_CUSTOM'!$CI$2:$CI$160","Escudo","'DADOS_CUSTOM'!$CM$2:$CM$160","Uniforme","'DADOS_CUSTOM'!$CM$2:$CM$160","Item comum","'DADOS_CUSTOM'!$CM$2:$CM$160","Ferramenta amaldiçoada","'DADOS_CUSTOM'!$CM$2:$CM$160","'DADOS_CUSTOM'!$CM$2:$CM$160")),$I12)=0),"Opção inválida: "&amp;SWITCH($B12,"Origem","ROTA","Marcante","","Menor","","Arma","PROPRIEDADE 2","Escudo","","Uniforme","","Item comum","","Ferramenta amaldiçoada","",""),""))))</f>
        <v/>
      </c>
      <c r="JZ12" s="175">
        <f>IF(AND($B12="",$C12="",LEN(TEXTJOIN("",TRUE,E12:R12))=0),"",TEXTJOIN(" · ",TRUE,IF(AND($J12&lt;&gt;"",SWITCH($B12,"Origem","BASE DO LIVRO","Marcante","","Menor","","Arma","PROPRIEDADE 3","Escudo","","Uniforme","","Item comum","","Ferramenta amaldiçoada","","")=""),"Apague campo que este tipo não usa",IF(AND($J12&lt;&gt;"",COUNTIF(INDIRECT(SWITCH($B12,"Origem","'DADOS_CUSTOM'!$CD$2:$CD$160","Marcante","'DADOS_CUSTOM'!$CM$2:$CM$160","Menor","'DADOS_CUSTOM'!$CM$2:$CM$160","Arma","'DADOS_CUSTOM'!$CI$2:$CI$160","Escudo","'DADOS_CUSTOM'!$CM$2:$CM$160","Uniforme","'DADOS_CUSTOM'!$CM$2:$CM$160","Item comum","'DADOS_CUSTOM'!$CM$2:$CM$160","Ferramenta amaldiçoada","'DADOS_CUSTOM'!$CM$2:$CM$160","'DADOS_CUSTOM'!$CM$2:$CM$160")),$J12)=0),"Opção inválida: "&amp;SWITCH($B12,"Origem","BASE DO LIVRO","Marcante","","Menor","","Arma","PROPRIEDADE 3","Escudo","","Uniforme","","Item comum","","Ferramenta amaldiçoada","",""),"")),IF(AND($K12&lt;&gt;"",SWITCH($B12,"Origem","OFÍCIO","Marcante","","Menor","","Arma","PROPRIEDADE 4","Escudo","","Uniforme","","Item comum","","Ferramenta amaldiçoada","","")=""),"Apague campo que este tipo não usa",IF(AND($K12&lt;&gt;"",COUNTIF(INDIRECT(SWITCH($B12,"Origem","'DADOS_PROGRESSAO'!$AJ$2:$AJ$23","Marcante","'DADOS_CUSTOM'!$CM$2:$CM$160","Menor","'DADOS_CUSTOM'!$CM$2:$CM$160","Arma","'DADOS_CUSTOM'!$CI$2:$CI$160","Escudo","'DADOS_CUSTOM'!$CM$2:$CM$160","Uniforme","'DADOS_CUSTOM'!$CM$2:$CM$160","Item comum","'DADOS_CUSTOM'!$CM$2:$CM$160","Ferramenta amaldiçoada","'DADOS_CUSTOM'!$CM$2:$CM$160","'DADOS_CUSTOM'!$CM$2:$CM$160")),$K12)=0),"Opção inválida: "&amp;SWITCH($B12,"Origem","OFÍCIO","Marcante","","Menor","","Arma","PROPRIEDADE 4","Escudo","","Uniforme","","Item comum","","Ferramenta amaldiçoada","",""),"")),IF(AND($L12&lt;&gt;"",SWITCH($B12,"Origem","TALENTO CE 4","Marcante","FREQUÊNCIA","Menor","FREQUÊNCIA","Arma","DADO","Escudo","PROTEÇÃO","Uniforme","PROTEÇÃO","Item comum","VOLUME","Ferramenta amaldiçoada","ESTIGMA","")=""),"Apague campo que este tipo não usa",IF(AND(OR($B12="Escudo",$B12="Uniforme",$B12="Item comum"),$L12&lt;&gt;"",NOT(ISNUMBER($L12)),NOT(AND($L12="—",FALSE))),"Informe número: "&amp;SWITCH($B12,"Origem","TALENTO CE 4","Marcante","FREQUÊNCIA","Menor","FREQUÊNCIA","Arma","DADO","Escudo","PROTEÇÃO","Uniforme","PROTEÇÃO","Item comum","VOLUME","Ferramenta amaldiçoada","ESTIGMA",""),"")),IF(AND($M12&lt;&gt;"",SWITCH($B12,"Origem","","Marcante","","Menor","","Arma","FORÇA","Escudo","TETO DE DESTREZA","Uniforme","TETO DE DESTREZA","Item comum","PREÇO","Ferramenta amaldiçoada","DESGASTE","")=""),"Apague campo que este tipo não usa",IF(AND(OR($B12="Arma",$B12="Escudo",$B12="Uniforme",$B12="Item comum",$B12="Ferramenta amaldiçoada"),$M12&lt;&gt;"",NOT(ISNUMBER($M12)),NOT(AND($M12="—",OR($B12="Arma",$B12="Escudo",$B12="Uniforme",$B12="Ferramenta amaldiçoada")))),"Informe número: "&amp;SWITCH($B12,"Origem","","Marcante","","Menor","","Arma","FORÇA","Escudo","TETO DE DESTREZA","Uniforme","TETO DE DESTREZA","Item comum","PREÇO","Ferramenta amaldiçoada","DESGASTE",""),"")),IF(AND($N12&lt;&gt;"",SWITCH($B12,"Origem","","Marcante","","Menor","","Arma","VOLUME","Escudo","FORÇA","Uniforme","FORÇA","Item comum","","Ferramenta amaldiçoada","VOLUME","")=""),"Apague campo que este tipo não usa",IF(AND(OR($B12="Arma",$B12="Escudo",$B12="Uniforme",$B12="Ferramenta amaldiçoada"),$N12&lt;&gt;"",NOT(ISNUMBER($N12)),NOT(AND($N12="—",OR($B12="Escudo",$B12="Uniforme")))),"Informe número: "&amp;SWITCH($B12,"Origem","","Marcante","","Menor","","Arma","VOLUME","Escudo","FORÇA","Uniforme","FORÇA","Item comum","","Ferramenta amaldiçoada","VOLUME",""),"")),IF(AND($O12&lt;&gt;"",SWITCH($B12,"Origem","","Marcante","","Menor","","Arma","ALCANCE","Escudo","VOLUME","Uniforme","VOLUME","Item comum","","Ferramenta amaldiçoada","PREÇO","")=""),"Apague campo que este tipo não usa",IF(AND(OR($B12="Escudo",$B12="Uniforme",$B12="Ferramenta amaldiçoada"),$O12&lt;&gt;"",NOT(ISNUMBER($O12)),NOT(AND($O12="—",FALSE))),"Informe número: "&amp;SWITCH($B12,"Origem","","Marcante","","Menor","","Arma","ALCANCE","Escudo","VOLUME","Uniforme","VOLUME","Item comum","","Ferramenta amaldiçoada","PREÇO",""),"")),IF(AND($P12&lt;&gt;"",SWITCH($B12,"Origem","","Marcante","","Menor","","Arma","RECARGA","Escudo","PREÇO","Uniforme","PREÇO","Item comum","","Ferramenta amaldiçoada","","")=""),"Apague campo que este tipo não usa",IF(AND(OR($B12="Arma",$B12="Escudo",$B12="Uniforme"),$P12&lt;&gt;"",NOT(ISNUMBER($P12)),NOT(AND($P12="—",OR($B12="Arma")))),"Informe número: "&amp;SWITCH($B12,"Origem","","Marcante","","Menor","","Arma","RECARGA","Escudo","PREÇO","Uniforme","PREÇO","Item comum","","Ferramenta amaldiçoada","",""),"")),IF(AND($Q12&lt;&gt;"",SWITCH($B12,"Origem","","Marcante","","Menor","","Arma","PREÇO","Escudo","","Uniforme","","Item comum","","Ferramenta amaldiçoada","","")=""),"Apague campo que este tipo não usa",IF(AND(OR($B12="Arma"),$Q12&lt;&gt;"",NOT(ISNUMBER($Q12)),NOT(AND($Q12="—",FALSE))),"Informe número: "&amp;SWITCH($B12,"Origem","","Marcante","","Menor","","Arma","PREÇO","Escudo","","Uniforme","","Item comum","","Ferramenta amaldiçoada","",""),""))))</f>
        <v/>
      </c>
      <c r="KA12" s="175">
        <f>IF(AND($B12="",$C12="",LEN(TEXTJOIN("",TRUE,E12:R12))=0),"",TEXTJOIN(" · ",TRUE,IF(AND($B12="Origem",OR($E12="",$F12="",$G12="",$H12="",$I12="")),"Preencha os campos obrigatórios de Origem",""),IF(AND($B12="Marcante",OR($E12="")),"Preencha os campos obrigatórios de Marcante",""),IF(AND($B12="Menor",OR($E12="")),"Preencha os campos obrigatórios de Menor",""),IF(AND($B12="Arma",OR($E12="",$F12="",$G12="",$L12="",$M12="",$N12="")),"Preencha os campos obrigatórios de Arma",""),IF(AND($B12="Escudo",OR($L12="",$M12="",$N12="",$O12="")),"Preencha os campos obrigatórios de Escudo",""),IF(AND($B12="Uniforme",OR($E12="",$L12="",$M12="",$N12="",$O12="")),"Preencha os campos obrigatórios de Uniforme",""),IF(AND($B12="Item comum",OR($L12="")),"Preencha os campos obrigatórios de Item comum",""),IF(AND($B12="Ferramenta amaldiçoada",OR($E12="",$F12="")),"Preencha os campos obrigatórios de Ferramenta amaldiçoada",""),IF(AND($B12="Origem",COUNTA(E12:H12)=4,NOT(AND(E12&lt;&gt;F12,E12&lt;&gt;G12,E12&lt;&gt;H12,F12&lt;&gt;G12,F12&lt;&gt;H12,G12&lt;&gt;H12))),"Escolha quatro perícias diferentes",""),IF(AND($B12="Origem",J12="Latente",NOT(OR(I12="Fundamento",I12="Manejos"))),"ROTA não combina com BASE DO LIVRO",""),IF(AND($B12="Origem",J12="Receptáculo",NOT(OR(I12="Fundamento",I12="Manejos"))),"ROTA não combina com BASE DO LIVRO",""),IF(AND($B12="Origem",J12="Descendente",NOT(OR(I12="Fundamento",I12="Manejos"))),"ROTA não combina com BASE DO LIVRO",""),IF(AND($B12="Origem",J12="Encarnado",NOT(OR(I12="Fundamento",I12="Manejos"))),"ROTA não combina com BASE DO LIVRO",""),IF(AND($B12="Origem",J12="Híbrido",NOT(OR(I12="Fundamento",I12="Manejos"))),"ROTA não combina com BASE DO LIVRO",""),IF(AND($B12="Origem",J12="Corpo Amaldiçoado",NOT(OR(I12="Técnica Marcial com energia"))),"ROTA não combina com BASE DO LIVRO",""),IF(AND($B12="Origem",J12="Restrição Celestial · Sem Energia",NOT(OR(I12="Técnica Marcial sem energia"))),"ROTA não combina com BASE DO LIVRO",""),IF(AND($B12="Origem",J12="Restrição Celestial · Restrição corporal",NOT(OR(I12="Fundamento"))),"ROTA não combina com BASE DO LIVRO","")))</f>
        <v/>
      </c>
    </row>
    <row r="13">
      <c r="A13" s="175" t="n">
        <v>12</v>
      </c>
      <c r="B13" s="175">
        <f>IF(ISBLANK('CONFIGURAÇÃO'!$AB$159),"",'CONFIGURAÇÃO'!$AB$159)</f>
        <v/>
      </c>
      <c r="C13" s="175">
        <f>IF(ISBLANK('CONFIGURAÇÃO'!$AB$161),"",'CONFIGURAÇÃO'!$AB$161)</f>
        <v/>
      </c>
      <c r="D13" s="175">
        <f>IF(ISBLANK('CONFIGURAÇÃO'!$AF$159),"",'CONFIGURAÇÃO'!$AF$159)</f>
        <v/>
      </c>
      <c r="E13" s="175">
        <f>IF(ISBLANK('CONFIGURAÇÃO'!$AD$162),"",'CONFIGURAÇÃO'!$AD$162)</f>
        <v/>
      </c>
      <c r="F13" s="175">
        <f>IF(ISBLANK('CONFIGURAÇÃO'!$AD$163),"",'CONFIGURAÇÃO'!$AD$163)</f>
        <v/>
      </c>
      <c r="G13" s="175">
        <f>IF(ISBLANK('CONFIGURAÇÃO'!$AD$164),"",'CONFIGURAÇÃO'!$AD$164)</f>
        <v/>
      </c>
      <c r="H13" s="175">
        <f>IF(ISBLANK('CONFIGURAÇÃO'!$AD$165),"",'CONFIGURAÇÃO'!$AD$165)</f>
        <v/>
      </c>
      <c r="I13" s="175">
        <f>IF(ISBLANK('CONFIGURAÇÃO'!$AD$166),"",'CONFIGURAÇÃO'!$AD$166)</f>
        <v/>
      </c>
      <c r="J13" s="175">
        <f>IF(ISBLANK('CONFIGURAÇÃO'!$AD$167),"",'CONFIGURAÇÃO'!$AD$167)</f>
        <v/>
      </c>
      <c r="K13" s="175">
        <f>IF(ISBLANK('CONFIGURAÇÃO'!$AD$168),"",'CONFIGURAÇÃO'!$AD$168)</f>
        <v/>
      </c>
      <c r="L13" s="175">
        <f>IF(ISBLANK('CONFIGURAÇÃO'!$AD$169),"",'CONFIGURAÇÃO'!$AD$169)</f>
        <v/>
      </c>
      <c r="M13" s="175">
        <f>IF(ISBLANK('CONFIGURAÇÃO'!$AD$170),"",'CONFIGURAÇÃO'!$AD$170)</f>
        <v/>
      </c>
      <c r="N13" s="175">
        <f>IF(ISBLANK('CONFIGURAÇÃO'!$AD$171),"",'CONFIGURAÇÃO'!$AD$171)</f>
        <v/>
      </c>
      <c r="O13" s="175">
        <f>IF(ISBLANK('CONFIGURAÇÃO'!$AD$172),"",'CONFIGURAÇÃO'!$AD$172)</f>
        <v/>
      </c>
      <c r="P13" s="175">
        <f>IF(ISBLANK('CONFIGURAÇÃO'!$AD$173),"",'CONFIGURAÇÃO'!$AD$173)</f>
        <v/>
      </c>
      <c r="Q13" s="175">
        <f>IF(ISBLANK('CONFIGURAÇÃO'!$AD$174),"",'CONFIGURAÇÃO'!$AD$174)</f>
        <v/>
      </c>
      <c r="R13" s="175">
        <f>IF(ISBLANK('CONFIGURAÇÃO'!$AB$176),"",'CONFIGURAÇÃO'!$AB$176)</f>
        <v/>
      </c>
      <c r="S13" s="175">
        <f>TEXTJOIN(" · ",TRUE,U13,V13,W13,X13)</f>
        <v/>
      </c>
      <c r="T13" s="175">
        <f>AND(B13&lt;&gt;"",C13&lt;&gt;"",S13="")</f>
        <v/>
      </c>
      <c r="U13" s="175">
        <f>TEXTJOIN(" · ",TRUE,JY13:KA13)</f>
        <v/>
      </c>
      <c r="V13" s="175">
        <f>IF(AND(OR($B13="Marcante",$B13="Menor"),NOT(OR(COUNTIF('DADOS_CUSTOM'!$CD$2:$CD$160,E13)&gt;0,COUNTIFS('DADOS_CUSTOM'!$C$2:$C$26,E13,'DADOS_CUSTOM'!$B$2:$B$26,"Origem",'DADOS_CUSTOM'!$U$2:$U$26,"")=1))),"Origem vinculada não existe ou tem erro",IF(AND($B13="Marcante",NOT(OR(E13="Restrição Celestial · Restrição corporal",AND(COUNTIFS('DADOS_CUSTOM'!$C$2:$C$26,E13,'DADOS_CUSTOM'!$B$2:$B$26,"Origem",'DADOS_CUSTOM'!$U$2:$U$26,"")=1,OR(IFERROR(INDEX('DADOS_CUSTOM'!$J$2:$J$26,MATCH(E13,'DADOS_CUSTOM'!$C$2:$C$26,0)),E13)="",IFERROR(INDEX('DADOS_CUSTOM'!$J$2:$J$26,MATCH(E13,'DADOS_CUSTOM'!$C$2:$C$26,0)),E13)="Nenhuma",IFERROR(INDEX('DADOS_CUSTOM'!$J$2:$J$26,MATCH(E13,'DADOS_CUSTOM'!$C$2:$C$26,0)),E13)="Restrição Celestial · Restrição corporal"))))),"Marcante própria só para Restrição corporal ou Origem do zero; use a marcante publicada da base",""))</f>
        <v/>
      </c>
      <c r="W13" s="175">
        <f>IF(AND($B13="Menor",F13&lt;&gt;"",F13&lt;&gt;"—",NOT(OR(AND(F13="Tentativa e Erro",OR(E13="Latente",IFERROR(INDEX('DADOS_CUSTOM'!$J$2:$J$26,MATCH(E13,'DADOS_CUSTOM'!$C$2:$C$26,0)),E13)="Latente")),AND(F13="Coexistência",OR(E13="Receptáculo",IFERROR(INDEX('DADOS_CUSTOM'!$J$2:$J$26,MATCH(E13,'DADOS_CUSTOM'!$C$2:$C$26,0)),E13)="Receptáculo")),AND(F13="Conflito",OR(E13="Receptáculo",IFERROR(INDEX('DADOS_CUSTOM'!$J$2:$J$26,MATCH(E13,'DADOS_CUSTOM'!$C$2:$C$26,0)),E13)="Receptáculo")),AND(F13="Zenin",OR(E13="Descendente",IFERROR(INDEX('DADOS_CUSTOM'!$J$2:$J$26,MATCH(E13,'DADOS_CUSTOM'!$C$2:$C$26,0)),E13)="Descendente")),AND(F13="Kamo",OR(E13="Descendente",IFERROR(INDEX('DADOS_CUSTOM'!$J$2:$J$26,MATCH(E13,'DADOS_CUSTOM'!$C$2:$C$26,0)),E13)="Descendente")),AND(F13="Gojo",OR(E13="Descendente",IFERROR(INDEX('DADOS_CUSTOM'!$J$2:$J$26,MATCH(E13,'DADOS_CUSTOM'!$C$2:$C$26,0)),E13)="Descendente")),AND(F13="Inumaki",OR(E13="Descendente",IFERROR(INDEX('DADOS_CUSTOM'!$J$2:$J$26,MATCH(E13,'DADOS_CUSTOM'!$C$2:$C$26,0)),E13)="Descendente")),AND(F13="Duas Vidas",OR(E13="Encarnado",IFERROR(INDEX('DADOS_CUSTOM'!$J$2:$J$26,MATCH(E13,'DADOS_CUSTOM'!$C$2:$C$26,0)),E13)="Encarnado")),AND(F13="Regeneração Orgânica",OR(E13="Híbrido",IFERROR(INDEX('DADOS_CUSTOM'!$J$2:$J$26,MATCH(E13,'DADOS_CUSTOM'!$C$2:$C$26,0)),E13)="Híbrido")),AND(F13="Existência Artificial",OR(E13="Corpo Amaldiçoado",IFERROR(INDEX('DADOS_CUSTOM'!$J$2:$J$26,MATCH(E13,'DADOS_CUSTOM'!$C$2:$C$26,0)),E13)="Corpo Amaldiçoado")),AND(F13="Ataque sem Prenúncio",OR(E13="Restrição Celestial · Sem Energia",IFERROR(INDEX('DADOS_CUSTOM'!$J$2:$J$26,MATCH(E13,'DADOS_CUSTOM'!$C$2:$C$26,0)),E13)="Restrição Celestial · Sem Energia")),AND(F13="Corpo Debilitado",OR(E13="Restrição Celestial · Restrição corporal",IFERROR(INDEX('DADOS_CUSTOM'!$J$2:$J$26,MATCH(E13,'DADOS_CUSTOM'!$C$2:$C$26,0)),E13)="Restrição Celestial · Restrição corporal")),AND(F13="Corpo Quebradiço",OR(E13="Restrição Celestial · Restrição corporal",IFERROR(INDEX('DADOS_CUSTOM'!$J$2:$J$26,MATCH(E13,'DADOS_CUSTOM'!$C$2:$C$26,0)),E13)="Restrição Celestial · Restrição corporal")),AND(F13="Corpo Exaurido",OR(E13="Restrição Celestial · Restrição corporal",IFERROR(INDEX('DADOS_CUSTOM'!$J$2:$J$26,MATCH(E13,'DADOS_CUSTOM'!$C$2:$C$26,0)),E13)="Restrição Celestial · Restrição corporal")),COUNTIFS('DADOS_CUSTOM'!$C$2:$C$26,F13,'DADOS_CUSTOM'!$B$2:$B$26,"Marcante",'DADOS_CUSTOM'!$E$2:$E$26,E13,'DADOS_CUSTOM'!$U$2:$U$26,"",'DADOS_CUSTOM'!$V$2:$V$26,"")=1))),"Marcante exigida não pertence à Origem ou tem erro","")</f>
        <v/>
      </c>
      <c r="X13" s="175">
        <f>IF(AND($B13="Ferramenta amaldiçoada",NOT(OR(COUNTIF('DADOS_CUSTOM'!$CK$2:$CK$75,E13)&gt;0,OR(COUNTIFS('DADOS_CUSTOM'!$C$2:$C$26,E13,'DADOS_CUSTOM'!$B$2:$B$26,"Arma",'DADOS_CUSTOM'!$U$2:$U$26,"")=1,COUNTIFS('DADOS_CUSTOM'!$C$2:$C$26,E13,'DADOS_CUSTOM'!$B$2:$B$26,"Escudo",'DADOS_CUSTOM'!$U$2:$U$26,"")=1,COUNTIFS('DADOS_CUSTOM'!$C$2:$C$26,E13,'DADOS_CUSTOM'!$B$2:$B$26,"Uniforme",'DADOS_CUSTOM'!$U$2:$U$26,"")=1,COUNTIFS('DADOS_CUSTOM'!$C$2:$C$26,E13,'DADOS_CUSTOM'!$B$2:$B$26,"Item comum",'DADOS_CUSTOM'!$U$2:$U$26,"")=1)))),"Base da ferramenta não existe ou tem erro","")</f>
        <v/>
      </c>
      <c r="AA13" s="175" t="inlineStr">
        <is>
          <t>Espada Longa</t>
        </is>
      </c>
      <c r="AB13" s="175" t="inlineStr">
        <is>
          <t>Lâmina Longa</t>
        </is>
      </c>
      <c r="AC13" s="175" t="n">
        <v>1</v>
      </c>
      <c r="AD13" s="175" t="inlineStr">
        <is>
          <t>1d8</t>
        </is>
      </c>
      <c r="AE13" s="175" t="inlineStr">
        <is>
          <t>Versátil · Rompe</t>
        </is>
      </c>
      <c r="AF13" s="175" t="inlineStr">
        <is>
          <t>—</t>
        </is>
      </c>
      <c r="AG13" s="175" t="n">
        <v>1</v>
      </c>
      <c r="AJ13" s="175">
        <f>'FICHA PESSOAL'!$D$72</f>
        <v/>
      </c>
      <c r="AK13" s="175">
        <f>ADDRESS(ROW('FICHA PESSOAL'!D72),COLUMN('FICHA PESSOAL'!D72),4)</f>
        <v/>
      </c>
      <c r="AM13" s="175">
        <f>IF(AND(OR($B7="Uniforme"),$C7&lt;&gt;"",$U7=""),$C7,"")</f>
        <v/>
      </c>
      <c r="AN13" s="175">
        <f>IF(AND(OR($B7="Uniforme"),$C7&lt;&gt;"",$U7=""),$L7,"")</f>
        <v/>
      </c>
      <c r="AO13" s="175">
        <f>IF(AND(OR($B7="Uniforme"),$C7&lt;&gt;"",$U7=""),$M7,"")</f>
        <v/>
      </c>
      <c r="AP13" s="175">
        <f>IF(AND(OR($B7="Uniforme"),$C7&lt;&gt;"",$U7=""),$N7,"")</f>
        <v/>
      </c>
      <c r="AQ13" s="175">
        <f>IF(AND(OR($B7="Uniforme"),$C7&lt;&gt;"",$U7=""),$O7,"")</f>
        <v/>
      </c>
      <c r="AR13" s="175">
        <f>IF(AND(OR($B7="Uniforme"),$C7&lt;&gt;"",$U7=""),IFERROR(VLOOKUP($E7,DADOS!$CF$5:$CH$9,3,FALSE),1),"")</f>
        <v/>
      </c>
      <c r="AS13" s="175">
        <f>IF(AND(OR($B7="Uniforme"),$C7&lt;&gt;"",$U7=""),$E7,"")</f>
        <v/>
      </c>
      <c r="AU13" s="175" t="inlineStr">
        <is>
          <t>Bateria portátil</t>
        </is>
      </c>
      <c r="AV13" s="175" t="n">
        <v>0.1</v>
      </c>
      <c r="AW13" s="175" t="n">
        <v>3000</v>
      </c>
      <c r="AX13" s="175" t="inlineStr">
        <is>
          <t>Uma recarga completa do telefone</t>
        </is>
      </c>
      <c r="AZ13" s="175" t="inlineStr">
        <is>
          <t>Corpo Debilitado</t>
        </is>
      </c>
      <c r="BA13" s="175" t="inlineStr">
        <is>
          <t>Restrição Celestial · Restrição corporal</t>
        </is>
      </c>
      <c r="BB13" s="175" t="inlineStr">
        <is>
          <t>marcante</t>
        </is>
      </c>
      <c r="BC13" s="175" t="inlineStr"/>
      <c r="BD13" s="175" t="inlineStr">
        <is>
          <t>Passiva</t>
        </is>
      </c>
      <c r="BE13" s="175" t="inlineStr">
        <is>
          <t>Sua Restrição comprometeu seu corpo desde o nascimento: o braço direito e as partes das pernas abaixo dos joelhos não se desenvolveram, você não possui sensibilidade abaixo da cintura e convive com dor constante. Sua pele é tão frágil que até o luar pode queimá-la. Este exemplo tem Mechamaru como referência; proteção, cuidados e meios de agir além do corpo fazem parte do cotidiano.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Seu deslocamento próprio é 0 m, e você tem somente uma mão funcional. Depende de transporte, assistência ou recursos adequados para se locomover e realizar tarefas que exijam os membros ausentes. Falha automaticamente nos TRs de Vigor e Físico exigidos do corpo real, inclusive no TR de Concentração após dano: quando ele for exigido, o efeito termina.
Pele e repouso.
Ao final de cada turno seu, se alguma pele estiver exposta à luz do sol ou da lua, sofra 1d4 de dano Radiante, sem TR. Fora de combate, aplique a cada rodada de exposição contínua. Uma cobertura opaca que impeça a luz de alcançar toda a pele exposta evita o dano. Iluminação artificial não aciona essa regra por si só.
Para descansar em ambiente propício, precisa de estrutura protegida, materiais e cuidados adequados, registrados na ficha. Sem eles, use o descanso fora de ambiente propício. Pessoas ou recursos compatíveis da técnica podem prestar a assistência.
Cura e descanso recuperam recursos normalmente, mas não removem as limitações congênitas. As consequências pertencem ao corpo real; não passam automaticamente a marionetes ou intermediários. Um teste exigido de você continua sujeito à penalidade, e os meios de compensá-la seguem suas próprias regras.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c r="BG13" s="175">
        <f>IF(AND(OR($B5="Origem"),$C5&lt;&gt;"",$T5=TRUE),$C5,"")</f>
        <v/>
      </c>
      <c r="BH13" s="175">
        <f>IF(AND(OR($B5="Origem"),$C5&lt;&gt;"",$T5=TRUE),TEXTJOIN(" · ",TRUE,$E5:$H5),"")</f>
        <v/>
      </c>
      <c r="BI13" s="175">
        <f>IF(AND(OR($B5="Origem"),$C5&lt;&gt;"",$T5=TRUE),$I5,"")</f>
        <v/>
      </c>
      <c r="BM13" s="175" t="inlineStr">
        <is>
          <t>Besta de Uma Mão</t>
        </is>
      </c>
      <c r="BN13" s="175" t="inlineStr">
        <is>
          <t>Arma</t>
        </is>
      </c>
      <c r="BO13" s="175" t="n">
        <v>0</v>
      </c>
      <c r="BP13" s="175" t="inlineStr">
        <is>
          <t>—</t>
        </is>
      </c>
      <c r="BQ13" s="175" t="inlineStr">
        <is>
          <t>—</t>
        </is>
      </c>
      <c r="BR13" s="175" t="n">
        <v>1</v>
      </c>
      <c r="BS13" s="175" t="inlineStr">
        <is>
          <t>—</t>
        </is>
      </c>
      <c r="BT13" s="175" t="inlineStr"/>
      <c r="BU13" s="175" t="inlineStr"/>
      <c r="BV13" s="175" t="inlineStr">
        <is>
          <t>Bagagem Prevenida</t>
        </is>
      </c>
      <c r="BW13" s="175">
        <f>IF(AND($B12="Origem",OR($J12="",$J12="Nenhuma",$J12="Restrição Celestial · Restrição corporal")),$C12,"")</f>
        <v/>
      </c>
      <c r="CA13" s="175" t="inlineStr">
        <is>
          <t>Medicina</t>
        </is>
      </c>
      <c r="CC13" s="175">
        <f>IF(OR('CONFIGURAÇÃO'!$AB$43="Origem"),'CONFIGURAÇÃO'!$AB$45,"")</f>
        <v/>
      </c>
      <c r="CE13" s="175" t="inlineStr">
        <is>
          <t>Jogatina</t>
        </is>
      </c>
      <c r="CF13" s="175" t="inlineStr">
        <is>
          <t>Porrete</t>
        </is>
      </c>
      <c r="CH13" s="175">
        <f>IF('DADOS_DANOS'!$J$13="","",'DADOS_DANOS'!$J$13)</f>
        <v/>
      </c>
      <c r="CI13" s="175" t="inlineStr">
        <is>
          <t>Talha</t>
        </is>
      </c>
      <c r="CK13" s="175" t="inlineStr">
        <is>
          <t>Espadão</t>
        </is>
      </c>
      <c r="CL13" s="175" t="inlineStr">
        <is>
          <t>Ataque sem Prenúncio</t>
        </is>
      </c>
      <c r="CS13" s="175" t="inlineStr">
        <is>
          <t>Corpo Amaldiçoado</t>
        </is>
      </c>
      <c r="JY13" s="175">
        <f>IF(AND($B13="",$C13="",LEN(TEXTJOIN("",TRUE,E13:R13))=0),"",TEXTJOIN(" · ",TRUE,IF(COUNTIF('DADOS_CUSTOM'!$BZ$2:$BZ$160,$B13)=0,"Escolha um tipo válido",""),IF(LEN(TRIM($C13))=0,"Preencha NOME",""),IF(OR(COUNTIF('DADOS_CUSTOM'!$C$2:$C$26,$C13)&gt;1,COUNTIF('DADOS_CUSTOM'!$BV$2:$BV$171,$C13)&gt;0),"Nome repetido no livro ou custom",""),IF(AND($E13&lt;&gt;"",SWITCH($B13,"Origem","PERÍCIA 1","Marcante","ORIGEM","Menor","ORIGEM","Arma","CATEGORIA","Escudo","","Uniforme","GRAU MÍNIMO","Item comum","","Ferramenta amaldiçoada","BASE","")=""),"Apague campo que este tipo não usa",IF(AND($E13&lt;&gt;"",COUNTIF(INDIRECT(SWITCH($B13,"Origem","'DADOS_PROGRESSAO'!$AG$2:$AG$34","Marcante","'DADOS_CUSTOM'!$BW$2:$BW$160","Menor","'DADOS_CUSTOM'!$CC$2:$CC$160","Arma","'DADOS_CUSTOM'!$CF$2:$CF$160","Escudo","'DADOS_CUSTOM'!$CM$2:$CM$160","Uniforme","'DADOS_CUSTOM'!$CJ$2:$CJ$160","Item comum","'DADOS_CUSTOM'!$CM$2:$CM$160","Ferramenta amaldiçoada","'DADOS_CUSTOM'!$CK$2:$CK$160","'DADOS_CUSTOM'!$CM$2:$CM$160")),$E13)=0),"Opção inválida: "&amp;SWITCH($B13,"Origem","PERÍCIA 1","Marcante","ORIGEM","Menor","ORIGEM","Arma","CATEGORIA","Escudo","","Uniforme","GRAU MÍNIMO","Item comum","","Ferramenta amaldiçoada","BASE",""),"")),IF(AND($F13&lt;&gt;"",SWITCH($B13,"Origem","PERÍCIA 2","Marcante","","Menor","EXIGE MARCANTE","Arma","MÃO","Escudo","","Uniforme","","Item comum","","Ferramenta amaldiçoada","GRAU","")=""),"Apague campo que este tipo não usa",IF(AND($F13&lt;&gt;"",COUNTIF(INDIRECT(SWITCH($B13,"Origem","'DADOS_PROGRESSAO'!$AG$2:$AG$34","Marcante","'DADOS_CUSTOM'!$CM$2:$CM$160","Menor","'DADOS_CUSTOM'!$CL$2:$CL$160","Arma","'DADOS_CUSTOM'!$CG$2:$CG$160","Escudo","'DADOS_CUSTOM'!$CM$2:$CM$160","Uniforme","'DADOS_CUSTOM'!$CM$2:$CM$160","Item comum","'DADOS_CUSTOM'!$CM$2:$CM$160","Ferramenta amaldiçoada","'DADOS_CUSTOM'!$CJ$2:$CJ$160","'DADOS_CUSTOM'!$CM$2:$CM$160")),$F13)=0),"Opção inválida: "&amp;SWITCH($B13,"Origem","PERÍCIA 2","Marcante","","Menor","EXIGE MARCANTE","Arma","MÃO","Escudo","","Uniforme","","Item comum","","Ferramenta amaldiçoada","GRAU",""),"")),IF(AND($G13&lt;&gt;"",SWITCH($B13,"Origem","PERÍCIA 3","Marcante","","Menor","","Arma","TIPO DE DANO","Escudo","","Uniforme","","Item comum","","Ferramenta amaldiçoada","","")=""),"Apague campo que este tipo não usa",IF(AND($G13&lt;&gt;"",COUNTIF(INDIRECT(SWITCH($B13,"Origem","'DADOS_PROGRESSAO'!$AG$2:$AG$34","Marcante","'DADOS_CUSTOM'!$CM$2:$CM$160","Menor","'DADOS_CUSTOM'!$CM$2:$CM$160","Arma","'DADOS_CUSTOM'!$CH$2:$CH$160","Escudo","'DADOS_CUSTOM'!$CM$2:$CM$160","Uniforme","'DADOS_CUSTOM'!$CM$2:$CM$160","Item comum","'DADOS_CUSTOM'!$CM$2:$CM$160","Ferramenta amaldiçoada","'DADOS_CUSTOM'!$CM$2:$CM$160","'DADOS_CUSTOM'!$CM$2:$CM$160")),$G13)=0),"Opção inválida: "&amp;SWITCH($B13,"Origem","PERÍCIA 3","Marcante","","Menor","","Arma","TIPO DE DANO","Escudo","","Uniforme","","Item comum","","Ferramenta amaldiçoada","",""),"")),IF(AND($H13&lt;&gt;"",SWITCH($B13,"Origem","PERÍCIA 4","Marcante","","Menor","","Arma","PROPRIEDADE 1","Escudo","","Uniforme","","Item comum","","Ferramenta amaldiçoada","","")=""),"Apague campo que este tipo não usa",IF(AND($H13&lt;&gt;"",COUNTIF(INDIRECT(SWITCH($B13,"Origem","'DADOS_PROGRESSAO'!$AG$2:$AG$34","Marcante","'DADOS_CUSTOM'!$CM$2:$CM$160","Menor","'DADOS_CUSTOM'!$CM$2:$CM$160","Arma","'DADOS_CUSTOM'!$CI$2:$CI$160","Escudo","'DADOS_CUSTOM'!$CM$2:$CM$160","Uniforme","'DADOS_CUSTOM'!$CM$2:$CM$160","Item comum","'DADOS_CUSTOM'!$CM$2:$CM$160","Ferramenta amaldiçoada","'DADOS_CUSTOM'!$CM$2:$CM$160","'DADOS_CUSTOM'!$CM$2:$CM$160")),$H13)=0),"Opção inválida: "&amp;SWITCH($B13,"Origem","PERÍCIA 4","Marcante","","Menor","","Arma","PROPRIEDADE 1","Escudo","","Uniforme","","Item comum","","Ferramenta amaldiçoada","",""),"")),IF(AND($I13&lt;&gt;"",SWITCH($B13,"Origem","ROTA","Marcante","","Menor","","Arma","PROPRIEDADE 2","Escudo","","Uniforme","","Item comum","","Ferramenta amaldiçoada","","")=""),"Apague campo que este tipo não usa",IF(AND($I13&lt;&gt;"",COUNTIF(INDIRECT(SWITCH($B13,"Origem","'DADOS_CUSTOM'!$CB$2:$CB$160","Marcante","'DADOS_CUSTOM'!$CM$2:$CM$160","Menor","'DADOS_CUSTOM'!$CM$2:$CM$160","Arma","'DADOS_CUSTOM'!$CI$2:$CI$160","Escudo","'DADOS_CUSTOM'!$CM$2:$CM$160","Uniforme","'DADOS_CUSTOM'!$CM$2:$CM$160","Item comum","'DADOS_CUSTOM'!$CM$2:$CM$160","Ferramenta amaldiçoada","'DADOS_CUSTOM'!$CM$2:$CM$160","'DADOS_CUSTOM'!$CM$2:$CM$160")),$I13)=0),"Opção inválida: "&amp;SWITCH($B13,"Origem","ROTA","Marcante","","Menor","","Arma","PROPRIEDADE 2","Escudo","","Uniforme","","Item comum","","Ferramenta amaldiçoada","",""),""))))</f>
        <v/>
      </c>
      <c r="JZ13" s="175">
        <f>IF(AND($B13="",$C13="",LEN(TEXTJOIN("",TRUE,E13:R13))=0),"",TEXTJOIN(" · ",TRUE,IF(AND($J13&lt;&gt;"",SWITCH($B13,"Origem","BASE DO LIVRO","Marcante","","Menor","","Arma","PROPRIEDADE 3","Escudo","","Uniforme","","Item comum","","Ferramenta amaldiçoada","","")=""),"Apague campo que este tipo não usa",IF(AND($J13&lt;&gt;"",COUNTIF(INDIRECT(SWITCH($B13,"Origem","'DADOS_CUSTOM'!$CD$2:$CD$160","Marcante","'DADOS_CUSTOM'!$CM$2:$CM$160","Menor","'DADOS_CUSTOM'!$CM$2:$CM$160","Arma","'DADOS_CUSTOM'!$CI$2:$CI$160","Escudo","'DADOS_CUSTOM'!$CM$2:$CM$160","Uniforme","'DADOS_CUSTOM'!$CM$2:$CM$160","Item comum","'DADOS_CUSTOM'!$CM$2:$CM$160","Ferramenta amaldiçoada","'DADOS_CUSTOM'!$CM$2:$CM$160","'DADOS_CUSTOM'!$CM$2:$CM$160")),$J13)=0),"Opção inválida: "&amp;SWITCH($B13,"Origem","BASE DO LIVRO","Marcante","","Menor","","Arma","PROPRIEDADE 3","Escudo","","Uniforme","","Item comum","","Ferramenta amaldiçoada","",""),"")),IF(AND($K13&lt;&gt;"",SWITCH($B13,"Origem","OFÍCIO","Marcante","","Menor","","Arma","PROPRIEDADE 4","Escudo","","Uniforme","","Item comum","","Ferramenta amaldiçoada","","")=""),"Apague campo que este tipo não usa",IF(AND($K13&lt;&gt;"",COUNTIF(INDIRECT(SWITCH($B13,"Origem","'DADOS_PROGRESSAO'!$AJ$2:$AJ$23","Marcante","'DADOS_CUSTOM'!$CM$2:$CM$160","Menor","'DADOS_CUSTOM'!$CM$2:$CM$160","Arma","'DADOS_CUSTOM'!$CI$2:$CI$160","Escudo","'DADOS_CUSTOM'!$CM$2:$CM$160","Uniforme","'DADOS_CUSTOM'!$CM$2:$CM$160","Item comum","'DADOS_CUSTOM'!$CM$2:$CM$160","Ferramenta amaldiçoada","'DADOS_CUSTOM'!$CM$2:$CM$160","'DADOS_CUSTOM'!$CM$2:$CM$160")),$K13)=0),"Opção inválida: "&amp;SWITCH($B13,"Origem","OFÍCIO","Marcante","","Menor","","Arma","PROPRIEDADE 4","Escudo","","Uniforme","","Item comum","","Ferramenta amaldiçoada","",""),"")),IF(AND($L13&lt;&gt;"",SWITCH($B13,"Origem","TALENTO CE 4","Marcante","FREQUÊNCIA","Menor","FREQUÊNCIA","Arma","DADO","Escudo","PROTEÇÃO","Uniforme","PROTEÇÃO","Item comum","VOLUME","Ferramenta amaldiçoada","ESTIGMA","")=""),"Apague campo que este tipo não usa",IF(AND(OR($B13="Escudo",$B13="Uniforme",$B13="Item comum"),$L13&lt;&gt;"",NOT(ISNUMBER($L13)),NOT(AND($L13="—",FALSE))),"Informe número: "&amp;SWITCH($B13,"Origem","TALENTO CE 4","Marcante","FREQUÊNCIA","Menor","FREQUÊNCIA","Arma","DADO","Escudo","PROTEÇÃO","Uniforme","PROTEÇÃO","Item comum","VOLUME","Ferramenta amaldiçoada","ESTIGMA",""),"")),IF(AND($M13&lt;&gt;"",SWITCH($B13,"Origem","","Marcante","","Menor","","Arma","FORÇA","Escudo","TETO DE DESTREZA","Uniforme","TETO DE DESTREZA","Item comum","PREÇO","Ferramenta amaldiçoada","DESGASTE","")=""),"Apague campo que este tipo não usa",IF(AND(OR($B13="Arma",$B13="Escudo",$B13="Uniforme",$B13="Item comum",$B13="Ferramenta amaldiçoada"),$M13&lt;&gt;"",NOT(ISNUMBER($M13)),NOT(AND($M13="—",OR($B13="Arma",$B13="Escudo",$B13="Uniforme",$B13="Ferramenta amaldiçoada")))),"Informe número: "&amp;SWITCH($B13,"Origem","","Marcante","","Menor","","Arma","FORÇA","Escudo","TETO DE DESTREZA","Uniforme","TETO DE DESTREZA","Item comum","PREÇO","Ferramenta amaldiçoada","DESGASTE",""),"")),IF(AND($N13&lt;&gt;"",SWITCH($B13,"Origem","","Marcante","","Menor","","Arma","VOLUME","Escudo","FORÇA","Uniforme","FORÇA","Item comum","","Ferramenta amaldiçoada","VOLUME","")=""),"Apague campo que este tipo não usa",IF(AND(OR($B13="Arma",$B13="Escudo",$B13="Uniforme",$B13="Ferramenta amaldiçoada"),$N13&lt;&gt;"",NOT(ISNUMBER($N13)),NOT(AND($N13="—",OR($B13="Escudo",$B13="Uniforme")))),"Informe número: "&amp;SWITCH($B13,"Origem","","Marcante","","Menor","","Arma","VOLUME","Escudo","FORÇA","Uniforme","FORÇA","Item comum","","Ferramenta amaldiçoada","VOLUME",""),"")),IF(AND($O13&lt;&gt;"",SWITCH($B13,"Origem","","Marcante","","Menor","","Arma","ALCANCE","Escudo","VOLUME","Uniforme","VOLUME","Item comum","","Ferramenta amaldiçoada","PREÇO","")=""),"Apague campo que este tipo não usa",IF(AND(OR($B13="Escudo",$B13="Uniforme",$B13="Ferramenta amaldiçoada"),$O13&lt;&gt;"",NOT(ISNUMBER($O13)),NOT(AND($O13="—",FALSE))),"Informe número: "&amp;SWITCH($B13,"Origem","","Marcante","","Menor","","Arma","ALCANCE","Escudo","VOLUME","Uniforme","VOLUME","Item comum","","Ferramenta amaldiçoada","PREÇO",""),"")),IF(AND($P13&lt;&gt;"",SWITCH($B13,"Origem","","Marcante","","Menor","","Arma","RECARGA","Escudo","PREÇO","Uniforme","PREÇO","Item comum","","Ferramenta amaldiçoada","","")=""),"Apague campo que este tipo não usa",IF(AND(OR($B13="Arma",$B13="Escudo",$B13="Uniforme"),$P13&lt;&gt;"",NOT(ISNUMBER($P13)),NOT(AND($P13="—",OR($B13="Arma")))),"Informe número: "&amp;SWITCH($B13,"Origem","","Marcante","","Menor","","Arma","RECARGA","Escudo","PREÇO","Uniforme","PREÇO","Item comum","","Ferramenta amaldiçoada","",""),"")),IF(AND($Q13&lt;&gt;"",SWITCH($B13,"Origem","","Marcante","","Menor","","Arma","PREÇO","Escudo","","Uniforme","","Item comum","","Ferramenta amaldiçoada","","")=""),"Apague campo que este tipo não usa",IF(AND(OR($B13="Arma"),$Q13&lt;&gt;"",NOT(ISNUMBER($Q13)),NOT(AND($Q13="—",FALSE))),"Informe número: "&amp;SWITCH($B13,"Origem","","Marcante","","Menor","","Arma","PREÇO","Escudo","","Uniforme","","Item comum","","Ferramenta amaldiçoada","",""),""))))</f>
        <v/>
      </c>
      <c r="KA13" s="175">
        <f>IF(AND($B13="",$C13="",LEN(TEXTJOIN("",TRUE,E13:R13))=0),"",TEXTJOIN(" · ",TRUE,IF(AND($B13="Origem",OR($E13="",$F13="",$G13="",$H13="",$I13="")),"Preencha os campos obrigatórios de Origem",""),IF(AND($B13="Marcante",OR($E13="")),"Preencha os campos obrigatórios de Marcante",""),IF(AND($B13="Menor",OR($E13="")),"Preencha os campos obrigatórios de Menor",""),IF(AND($B13="Arma",OR($E13="",$F13="",$G13="",$L13="",$M13="",$N13="")),"Preencha os campos obrigatórios de Arma",""),IF(AND($B13="Escudo",OR($L13="",$M13="",$N13="",$O13="")),"Preencha os campos obrigatórios de Escudo",""),IF(AND($B13="Uniforme",OR($E13="",$L13="",$M13="",$N13="",$O13="")),"Preencha os campos obrigatórios de Uniforme",""),IF(AND($B13="Item comum",OR($L13="")),"Preencha os campos obrigatórios de Item comum",""),IF(AND($B13="Ferramenta amaldiçoada",OR($E13="",$F13="")),"Preencha os campos obrigatórios de Ferramenta amaldiçoada",""),IF(AND($B13="Origem",COUNTA(E13:H13)=4,NOT(AND(E13&lt;&gt;F13,E13&lt;&gt;G13,E13&lt;&gt;H13,F13&lt;&gt;G13,F13&lt;&gt;H13,G13&lt;&gt;H13))),"Escolha quatro perícias diferentes",""),IF(AND($B13="Origem",J13="Latente",NOT(OR(I13="Fundamento",I13="Manejos"))),"ROTA não combina com BASE DO LIVRO",""),IF(AND($B13="Origem",J13="Receptáculo",NOT(OR(I13="Fundamento",I13="Manejos"))),"ROTA não combina com BASE DO LIVRO",""),IF(AND($B13="Origem",J13="Descendente",NOT(OR(I13="Fundamento",I13="Manejos"))),"ROTA não combina com BASE DO LIVRO",""),IF(AND($B13="Origem",J13="Encarnado",NOT(OR(I13="Fundamento",I13="Manejos"))),"ROTA não combina com BASE DO LIVRO",""),IF(AND($B13="Origem",J13="Híbrido",NOT(OR(I13="Fundamento",I13="Manejos"))),"ROTA não combina com BASE DO LIVRO",""),IF(AND($B13="Origem",J13="Corpo Amaldiçoado",NOT(OR(I13="Técnica Marcial com energia"))),"ROTA não combina com BASE DO LIVRO",""),IF(AND($B13="Origem",J13="Restrição Celestial · Sem Energia",NOT(OR(I13="Técnica Marcial sem energia"))),"ROTA não combina com BASE DO LIVRO",""),IF(AND($B13="Origem",J13="Restrição Celestial · Restrição corporal",NOT(OR(I13="Fundamento"))),"ROTA não combina com BASE DO LIVRO","")))</f>
        <v/>
      </c>
    </row>
    <row r="14">
      <c r="A14" s="175" t="n">
        <v>13</v>
      </c>
      <c r="B14" s="175">
        <f>IF(ISBLANK('CONFIGURAÇÃO'!$T$188),"",'CONFIGURAÇÃO'!$T$188)</f>
        <v/>
      </c>
      <c r="C14" s="175">
        <f>IF(ISBLANK('CONFIGURAÇÃO'!$T$190),"",'CONFIGURAÇÃO'!$T$190)</f>
        <v/>
      </c>
      <c r="D14" s="175">
        <f>IF(ISBLANK('CONFIGURAÇÃO'!$X$188),"",'CONFIGURAÇÃO'!$X$188)</f>
        <v/>
      </c>
      <c r="E14" s="175">
        <f>IF(ISBLANK('CONFIGURAÇÃO'!$V$191),"",'CONFIGURAÇÃO'!$V$191)</f>
        <v/>
      </c>
      <c r="F14" s="175">
        <f>IF(ISBLANK('CONFIGURAÇÃO'!$V$192),"",'CONFIGURAÇÃO'!$V$192)</f>
        <v/>
      </c>
      <c r="G14" s="175">
        <f>IF(ISBLANK('CONFIGURAÇÃO'!$V$193),"",'CONFIGURAÇÃO'!$V$193)</f>
        <v/>
      </c>
      <c r="H14" s="175">
        <f>IF(ISBLANK('CONFIGURAÇÃO'!$V$194),"",'CONFIGURAÇÃO'!$V$194)</f>
        <v/>
      </c>
      <c r="I14" s="175">
        <f>IF(ISBLANK('CONFIGURAÇÃO'!$V$195),"",'CONFIGURAÇÃO'!$V$195)</f>
        <v/>
      </c>
      <c r="J14" s="175">
        <f>IF(ISBLANK('CONFIGURAÇÃO'!$V$196),"",'CONFIGURAÇÃO'!$V$196)</f>
        <v/>
      </c>
      <c r="K14" s="175">
        <f>IF(ISBLANK('CONFIGURAÇÃO'!$V$197),"",'CONFIGURAÇÃO'!$V$197)</f>
        <v/>
      </c>
      <c r="L14" s="175">
        <f>IF(ISBLANK('CONFIGURAÇÃO'!$V$198),"",'CONFIGURAÇÃO'!$V$198)</f>
        <v/>
      </c>
      <c r="M14" s="175">
        <f>IF(ISBLANK('CONFIGURAÇÃO'!$V$199),"",'CONFIGURAÇÃO'!$V$199)</f>
        <v/>
      </c>
      <c r="N14" s="175">
        <f>IF(ISBLANK('CONFIGURAÇÃO'!$V$200),"",'CONFIGURAÇÃO'!$V$200)</f>
        <v/>
      </c>
      <c r="O14" s="175">
        <f>IF(ISBLANK('CONFIGURAÇÃO'!$V$201),"",'CONFIGURAÇÃO'!$V$201)</f>
        <v/>
      </c>
      <c r="P14" s="175">
        <f>IF(ISBLANK('CONFIGURAÇÃO'!$V$202),"",'CONFIGURAÇÃO'!$V$202)</f>
        <v/>
      </c>
      <c r="Q14" s="175">
        <f>IF(ISBLANK('CONFIGURAÇÃO'!$V$203),"",'CONFIGURAÇÃO'!$V$203)</f>
        <v/>
      </c>
      <c r="R14" s="175">
        <f>IF(ISBLANK('CONFIGURAÇÃO'!$T$205),"",'CONFIGURAÇÃO'!$T$205)</f>
        <v/>
      </c>
      <c r="S14" s="175">
        <f>TEXTJOIN(" · ",TRUE,U14,V14,W14,X14)</f>
        <v/>
      </c>
      <c r="T14" s="175">
        <f>AND(B14&lt;&gt;"",C14&lt;&gt;"",S14="")</f>
        <v/>
      </c>
      <c r="U14" s="175">
        <f>TEXTJOIN(" · ",TRUE,JY14:KA14)</f>
        <v/>
      </c>
      <c r="V14" s="175">
        <f>IF(AND(OR($B14="Marcante",$B14="Menor"),NOT(OR(COUNTIF('DADOS_CUSTOM'!$CD$2:$CD$160,E14)&gt;0,COUNTIFS('DADOS_CUSTOM'!$C$2:$C$26,E14,'DADOS_CUSTOM'!$B$2:$B$26,"Origem",'DADOS_CUSTOM'!$U$2:$U$26,"")=1))),"Origem vinculada não existe ou tem erro",IF(AND($B14="Marcante",NOT(OR(E14="Restrição Celestial · Restrição corporal",AND(COUNTIFS('DADOS_CUSTOM'!$C$2:$C$26,E14,'DADOS_CUSTOM'!$B$2:$B$26,"Origem",'DADOS_CUSTOM'!$U$2:$U$26,"")=1,OR(IFERROR(INDEX('DADOS_CUSTOM'!$J$2:$J$26,MATCH(E14,'DADOS_CUSTOM'!$C$2:$C$26,0)),E14)="",IFERROR(INDEX('DADOS_CUSTOM'!$J$2:$J$26,MATCH(E14,'DADOS_CUSTOM'!$C$2:$C$26,0)),E14)="Nenhuma",IFERROR(INDEX('DADOS_CUSTOM'!$J$2:$J$26,MATCH(E14,'DADOS_CUSTOM'!$C$2:$C$26,0)),E14)="Restrição Celestial · Restrição corporal"))))),"Marcante própria só para Restrição corporal ou Origem do zero; use a marcante publicada da base",""))</f>
        <v/>
      </c>
      <c r="W14" s="175">
        <f>IF(AND($B14="Menor",F14&lt;&gt;"",F14&lt;&gt;"—",NOT(OR(AND(F14="Tentativa e Erro",OR(E14="Latente",IFERROR(INDEX('DADOS_CUSTOM'!$J$2:$J$26,MATCH(E14,'DADOS_CUSTOM'!$C$2:$C$26,0)),E14)="Latente")),AND(F14="Coexistência",OR(E14="Receptáculo",IFERROR(INDEX('DADOS_CUSTOM'!$J$2:$J$26,MATCH(E14,'DADOS_CUSTOM'!$C$2:$C$26,0)),E14)="Receptáculo")),AND(F14="Conflito",OR(E14="Receptáculo",IFERROR(INDEX('DADOS_CUSTOM'!$J$2:$J$26,MATCH(E14,'DADOS_CUSTOM'!$C$2:$C$26,0)),E14)="Receptáculo")),AND(F14="Zenin",OR(E14="Descendente",IFERROR(INDEX('DADOS_CUSTOM'!$J$2:$J$26,MATCH(E14,'DADOS_CUSTOM'!$C$2:$C$26,0)),E14)="Descendente")),AND(F14="Kamo",OR(E14="Descendente",IFERROR(INDEX('DADOS_CUSTOM'!$J$2:$J$26,MATCH(E14,'DADOS_CUSTOM'!$C$2:$C$26,0)),E14)="Descendente")),AND(F14="Gojo",OR(E14="Descendente",IFERROR(INDEX('DADOS_CUSTOM'!$J$2:$J$26,MATCH(E14,'DADOS_CUSTOM'!$C$2:$C$26,0)),E14)="Descendente")),AND(F14="Inumaki",OR(E14="Descendente",IFERROR(INDEX('DADOS_CUSTOM'!$J$2:$J$26,MATCH(E14,'DADOS_CUSTOM'!$C$2:$C$26,0)),E14)="Descendente")),AND(F14="Duas Vidas",OR(E14="Encarnado",IFERROR(INDEX('DADOS_CUSTOM'!$J$2:$J$26,MATCH(E14,'DADOS_CUSTOM'!$C$2:$C$26,0)),E14)="Encarnado")),AND(F14="Regeneração Orgânica",OR(E14="Híbrido",IFERROR(INDEX('DADOS_CUSTOM'!$J$2:$J$26,MATCH(E14,'DADOS_CUSTOM'!$C$2:$C$26,0)),E14)="Híbrido")),AND(F14="Existência Artificial",OR(E14="Corpo Amaldiçoado",IFERROR(INDEX('DADOS_CUSTOM'!$J$2:$J$26,MATCH(E14,'DADOS_CUSTOM'!$C$2:$C$26,0)),E14)="Corpo Amaldiçoado")),AND(F14="Ataque sem Prenúncio",OR(E14="Restrição Celestial · Sem Energia",IFERROR(INDEX('DADOS_CUSTOM'!$J$2:$J$26,MATCH(E14,'DADOS_CUSTOM'!$C$2:$C$26,0)),E14)="Restrição Celestial · Sem Energia")),AND(F14="Corpo Debilitado",OR(E14="Restrição Celestial · Restrição corporal",IFERROR(INDEX('DADOS_CUSTOM'!$J$2:$J$26,MATCH(E14,'DADOS_CUSTOM'!$C$2:$C$26,0)),E14)="Restrição Celestial · Restrição corporal")),AND(F14="Corpo Quebradiço",OR(E14="Restrição Celestial · Restrição corporal",IFERROR(INDEX('DADOS_CUSTOM'!$J$2:$J$26,MATCH(E14,'DADOS_CUSTOM'!$C$2:$C$26,0)),E14)="Restrição Celestial · Restrição corporal")),AND(F14="Corpo Exaurido",OR(E14="Restrição Celestial · Restrição corporal",IFERROR(INDEX('DADOS_CUSTOM'!$J$2:$J$26,MATCH(E14,'DADOS_CUSTOM'!$C$2:$C$26,0)),E14)="Restrição Celestial · Restrição corporal")),COUNTIFS('DADOS_CUSTOM'!$C$2:$C$26,F14,'DADOS_CUSTOM'!$B$2:$B$26,"Marcante",'DADOS_CUSTOM'!$E$2:$E$26,E14,'DADOS_CUSTOM'!$U$2:$U$26,"",'DADOS_CUSTOM'!$V$2:$V$26,"")=1))),"Marcante exigida não pertence à Origem ou tem erro","")</f>
        <v/>
      </c>
      <c r="X14" s="175">
        <f>IF(AND($B14="Ferramenta amaldiçoada",NOT(OR(COUNTIF('DADOS_CUSTOM'!$CK$2:$CK$75,E14)&gt;0,OR(COUNTIFS('DADOS_CUSTOM'!$C$2:$C$26,E14,'DADOS_CUSTOM'!$B$2:$B$26,"Arma",'DADOS_CUSTOM'!$U$2:$U$26,"")=1,COUNTIFS('DADOS_CUSTOM'!$C$2:$C$26,E14,'DADOS_CUSTOM'!$B$2:$B$26,"Escudo",'DADOS_CUSTOM'!$U$2:$U$26,"")=1,COUNTIFS('DADOS_CUSTOM'!$C$2:$C$26,E14,'DADOS_CUSTOM'!$B$2:$B$26,"Uniforme",'DADOS_CUSTOM'!$U$2:$U$26,"")=1,COUNTIFS('DADOS_CUSTOM'!$C$2:$C$26,E14,'DADOS_CUSTOM'!$B$2:$B$26,"Item comum",'DADOS_CUSTOM'!$U$2:$U$26,"")=1)))),"Base da ferramenta não existe ou tem erro","")</f>
        <v/>
      </c>
      <c r="AA14" s="175" t="inlineStr">
        <is>
          <t>Espadão</t>
        </is>
      </c>
      <c r="AB14" s="175" t="inlineStr">
        <is>
          <t>Lâmina Longa</t>
        </is>
      </c>
      <c r="AC14" s="175" t="n">
        <v>2</v>
      </c>
      <c r="AD14" s="175" t="inlineStr">
        <is>
          <t>1d12</t>
        </is>
      </c>
      <c r="AE14" s="175" t="inlineStr">
        <is>
          <t>Alcance</t>
        </is>
      </c>
      <c r="AF14" s="175" t="n">
        <v>3</v>
      </c>
      <c r="AG14" s="175" t="n">
        <v>2</v>
      </c>
      <c r="AJ14" s="175">
        <f>'FICHA PESSOAL'!$D$73</f>
        <v/>
      </c>
      <c r="AK14" s="175">
        <f>ADDRESS(ROW('FICHA PESSOAL'!D73),COLUMN('FICHA PESSOAL'!D73),4)</f>
        <v/>
      </c>
      <c r="AM14" s="175">
        <f>IF(AND(OR($B8="Uniforme"),$C8&lt;&gt;"",$U8=""),$C8,"")</f>
        <v/>
      </c>
      <c r="AN14" s="175">
        <f>IF(AND(OR($B8="Uniforme"),$C8&lt;&gt;"",$U8=""),$L8,"")</f>
        <v/>
      </c>
      <c r="AO14" s="175">
        <f>IF(AND(OR($B8="Uniforme"),$C8&lt;&gt;"",$U8=""),$M8,"")</f>
        <v/>
      </c>
      <c r="AP14" s="175">
        <f>IF(AND(OR($B8="Uniforme"),$C8&lt;&gt;"",$U8=""),$N8,"")</f>
        <v/>
      </c>
      <c r="AQ14" s="175">
        <f>IF(AND(OR($B8="Uniforme"),$C8&lt;&gt;"",$U8=""),$O8,"")</f>
        <v/>
      </c>
      <c r="AR14" s="175">
        <f>IF(AND(OR($B8="Uniforme"),$C8&lt;&gt;"",$U8=""),IFERROR(VLOOKUP($E8,DADOS!$CF$5:$CH$9,3,FALSE),1),"")</f>
        <v/>
      </c>
      <c r="AS14" s="175">
        <f>IF(AND(OR($B8="Uniforme"),$C8&lt;&gt;"",$U8=""),$E8,"")</f>
        <v/>
      </c>
      <c r="AU14" s="175" t="inlineStr">
        <is>
          <t>Ferramentas de ofício</t>
        </is>
      </c>
      <c r="AV14" s="175" t="n">
        <v>0.5</v>
      </c>
      <c r="AW14" s="175" t="n">
        <v>10000</v>
      </c>
      <c r="AX14" s="175" t="inlineStr">
        <is>
          <t>Estojo portátil para um ofício escolhido</t>
        </is>
      </c>
      <c r="AZ14" s="175" t="inlineStr">
        <is>
          <t>Corpo Quebradiço</t>
        </is>
      </c>
      <c r="BA14" s="175" t="inlineStr">
        <is>
          <t>Restrição Celestial · Restrição corporal</t>
        </is>
      </c>
      <c r="BB14" s="175" t="inlineStr">
        <is>
          <t>marcante</t>
        </is>
      </c>
      <c r="BC14" s="175" t="inlineStr"/>
      <c r="BD14" s="175" t="inlineStr">
        <is>
          <t>Passiva</t>
        </is>
      </c>
      <c r="BE14" s="175" t="inlineStr">
        <is>
          <t>Sua Restrição preservou seus membros, mas deixou a estrutura incapaz de sustentar o próprio peso e o esforço de uma luta. Mesmo saudável, você depende de apoio para acomodar o corpo e de transporte para se deslocar. Ferimentos que outra pessoa suportaria podem colocar sua vida em risco.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Seu deslocamento próprio é 0 m, e sua vida máxima é metade da normal, arredondada para baixo, mínimo 1. A redução também se aplica aos aumentos futuros. Você não consegue caminhar, correr, saltar, escalar ou nadar por esforço próprio.
Falha automaticamente em testes de Força e TRs Físicos exigidos do corpo real. Ataques que dependam do esforço físico desse corpo também falham, mesmo usando Destreza. Seus membros não sustentam seu peso, não empurram nem arrastam cargas pesadas e não carregam outra criatura, mesmo sem rolagem.
As mãos permitem manipulação leve, como escrever, segurar pequenos objetos e fazer gestos de uma técnica compatível. Uma conjuração não falha apenas por usar Força ou Destreza no cálculo. TRs de Vigor seguem normalmente, inclusive os de Concentração.
Cuidados.
Para descansar em ambiente propício, precisa de apoio corporal, materiais e cuidados adequados, registrados na ficha. O atendimento pode ser feito por alguém treinado em Medicina, inclusive você, se estiver treinado, capaz e com os meios necessários. Sem isso, use o descanso fora de ambiente propício.
Cura e descanso recuperam vida normalmente dentro do máximo reduzido, sem remover as limitações congênitas. As consequências pertencem ao corpo real, sem passar automaticamente a marionetes ou intermediários. Transporte e recursos compatíveis seguem suas regras. A fragilidade não acrescenta vulnerabilidade a dano ou queimaduras por luz.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c r="BG14" s="175">
        <f>IF(AND(OR($B6="Origem"),$C6&lt;&gt;"",$T6=TRUE),$C6,"")</f>
        <v/>
      </c>
      <c r="BH14" s="175">
        <f>IF(AND(OR($B6="Origem"),$C6&lt;&gt;"",$T6=TRUE),TEXTJOIN(" · ",TRUE,$E6:$H6),"")</f>
        <v/>
      </c>
      <c r="BI14" s="175">
        <f>IF(AND(OR($B6="Origem"),$C6&lt;&gt;"",$T6=TRUE),$I6,"")</f>
        <v/>
      </c>
      <c r="BM14" s="175" t="inlineStr">
        <is>
          <t>Bō</t>
        </is>
      </c>
      <c r="BN14" s="175" t="inlineStr">
        <is>
          <t>Arma</t>
        </is>
      </c>
      <c r="BO14" s="175" t="n">
        <v>0</v>
      </c>
      <c r="BP14" s="175" t="inlineStr">
        <is>
          <t>—</t>
        </is>
      </c>
      <c r="BQ14" s="175" t="n">
        <v>3</v>
      </c>
      <c r="BR14" s="175" t="n">
        <v>2</v>
      </c>
      <c r="BS14" s="175" t="inlineStr">
        <is>
          <t>—</t>
        </is>
      </c>
      <c r="BT14" s="175" t="inlineStr"/>
      <c r="BU14" s="175" t="inlineStr"/>
      <c r="BV14" s="175" t="inlineStr">
        <is>
          <t>Bastão</t>
        </is>
      </c>
      <c r="BW14" s="175">
        <f>IF(AND($B13="Origem",OR($J13="",$J13="Nenhuma",$J13="Restrição Celestial · Restrição corporal")),$C13,"")</f>
        <v/>
      </c>
      <c r="CA14" s="175" t="inlineStr">
        <is>
          <t>Sobrevivência</t>
        </is>
      </c>
      <c r="CC14" s="175">
        <f>IF(OR('CONFIGURAÇÃO'!$T$72="Origem"),'CONFIGURAÇÃO'!$T$74,"")</f>
        <v/>
      </c>
      <c r="CF14" s="175" t="inlineStr">
        <is>
          <t>Yumi</t>
        </is>
      </c>
      <c r="CH14" s="175">
        <f>IF('DADOS_DANOS'!$J$14="","",'DADOS_DANOS'!$J$14)</f>
        <v/>
      </c>
      <c r="CI14" s="175" t="inlineStr">
        <is>
          <t>Oculta</t>
        </is>
      </c>
      <c r="CK14" s="175" t="inlineStr">
        <is>
          <t>Espingarda</t>
        </is>
      </c>
      <c r="CL14" s="175" t="inlineStr">
        <is>
          <t>Corpo Debilitado</t>
        </is>
      </c>
      <c r="CS14" s="175" t="inlineStr">
        <is>
          <t>Restrição Celestial · Sem Energia</t>
        </is>
      </c>
      <c r="JY14" s="175">
        <f>IF(AND($B14="",$C14="",LEN(TEXTJOIN("",TRUE,E14:R14))=0),"",TEXTJOIN(" · ",TRUE,IF(COUNTIF('DADOS_CUSTOM'!$BZ$2:$BZ$160,$B14)=0,"Escolha um tipo válido",""),IF(LEN(TRIM($C14))=0,"Preencha NOME",""),IF(OR(COUNTIF('DADOS_CUSTOM'!$C$2:$C$26,$C14)&gt;1,COUNTIF('DADOS_CUSTOM'!$BV$2:$BV$171,$C14)&gt;0),"Nome repetido no livro ou custom",""),IF(AND($E14&lt;&gt;"",SWITCH($B14,"Origem","PERÍCIA 1","Marcante","ORIGEM","Menor","ORIGEM","Arma","CATEGORIA","Escudo","","Uniforme","GRAU MÍNIMO","Item comum","","Ferramenta amaldiçoada","BASE","")=""),"Apague campo que este tipo não usa",IF(AND($E14&lt;&gt;"",COUNTIF(INDIRECT(SWITCH($B14,"Origem","'DADOS_PROGRESSAO'!$AG$2:$AG$34","Marcante","'DADOS_CUSTOM'!$BW$2:$BW$160","Menor","'DADOS_CUSTOM'!$CC$2:$CC$160","Arma","'DADOS_CUSTOM'!$CF$2:$CF$160","Escudo","'DADOS_CUSTOM'!$CM$2:$CM$160","Uniforme","'DADOS_CUSTOM'!$CJ$2:$CJ$160","Item comum","'DADOS_CUSTOM'!$CM$2:$CM$160","Ferramenta amaldiçoada","'DADOS_CUSTOM'!$CK$2:$CK$160","'DADOS_CUSTOM'!$CM$2:$CM$160")),$E14)=0),"Opção inválida: "&amp;SWITCH($B14,"Origem","PERÍCIA 1","Marcante","ORIGEM","Menor","ORIGEM","Arma","CATEGORIA","Escudo","","Uniforme","GRAU MÍNIMO","Item comum","","Ferramenta amaldiçoada","BASE",""),"")),IF(AND($F14&lt;&gt;"",SWITCH($B14,"Origem","PERÍCIA 2","Marcante","","Menor","EXIGE MARCANTE","Arma","MÃO","Escudo","","Uniforme","","Item comum","","Ferramenta amaldiçoada","GRAU","")=""),"Apague campo que este tipo não usa",IF(AND($F14&lt;&gt;"",COUNTIF(INDIRECT(SWITCH($B14,"Origem","'DADOS_PROGRESSAO'!$AG$2:$AG$34","Marcante","'DADOS_CUSTOM'!$CM$2:$CM$160","Menor","'DADOS_CUSTOM'!$CL$2:$CL$160","Arma","'DADOS_CUSTOM'!$CG$2:$CG$160","Escudo","'DADOS_CUSTOM'!$CM$2:$CM$160","Uniforme","'DADOS_CUSTOM'!$CM$2:$CM$160","Item comum","'DADOS_CUSTOM'!$CM$2:$CM$160","Ferramenta amaldiçoada","'DADOS_CUSTOM'!$CJ$2:$CJ$160","'DADOS_CUSTOM'!$CM$2:$CM$160")),$F14)=0),"Opção inválida: "&amp;SWITCH($B14,"Origem","PERÍCIA 2","Marcante","","Menor","EXIGE MARCANTE","Arma","MÃO","Escudo","","Uniforme","","Item comum","","Ferramenta amaldiçoada","GRAU",""),"")),IF(AND($G14&lt;&gt;"",SWITCH($B14,"Origem","PERÍCIA 3","Marcante","","Menor","","Arma","TIPO DE DANO","Escudo","","Uniforme","","Item comum","","Ferramenta amaldiçoada","","")=""),"Apague campo que este tipo não usa",IF(AND($G14&lt;&gt;"",COUNTIF(INDIRECT(SWITCH($B14,"Origem","'DADOS_PROGRESSAO'!$AG$2:$AG$34","Marcante","'DADOS_CUSTOM'!$CM$2:$CM$160","Menor","'DADOS_CUSTOM'!$CM$2:$CM$160","Arma","'DADOS_CUSTOM'!$CH$2:$CH$160","Escudo","'DADOS_CUSTOM'!$CM$2:$CM$160","Uniforme","'DADOS_CUSTOM'!$CM$2:$CM$160","Item comum","'DADOS_CUSTOM'!$CM$2:$CM$160","Ferramenta amaldiçoada","'DADOS_CUSTOM'!$CM$2:$CM$160","'DADOS_CUSTOM'!$CM$2:$CM$160")),$G14)=0),"Opção inválida: "&amp;SWITCH($B14,"Origem","PERÍCIA 3","Marcante","","Menor","","Arma","TIPO DE DANO","Escudo","","Uniforme","","Item comum","","Ferramenta amaldiçoada","",""),"")),IF(AND($H14&lt;&gt;"",SWITCH($B14,"Origem","PERÍCIA 4","Marcante","","Menor","","Arma","PROPRIEDADE 1","Escudo","","Uniforme","","Item comum","","Ferramenta amaldiçoada","","")=""),"Apague campo que este tipo não usa",IF(AND($H14&lt;&gt;"",COUNTIF(INDIRECT(SWITCH($B14,"Origem","'DADOS_PROGRESSAO'!$AG$2:$AG$34","Marcante","'DADOS_CUSTOM'!$CM$2:$CM$160","Menor","'DADOS_CUSTOM'!$CM$2:$CM$160","Arma","'DADOS_CUSTOM'!$CI$2:$CI$160","Escudo","'DADOS_CUSTOM'!$CM$2:$CM$160","Uniforme","'DADOS_CUSTOM'!$CM$2:$CM$160","Item comum","'DADOS_CUSTOM'!$CM$2:$CM$160","Ferramenta amaldiçoada","'DADOS_CUSTOM'!$CM$2:$CM$160","'DADOS_CUSTOM'!$CM$2:$CM$160")),$H14)=0),"Opção inválida: "&amp;SWITCH($B14,"Origem","PERÍCIA 4","Marcante","","Menor","","Arma","PROPRIEDADE 1","Escudo","","Uniforme","","Item comum","","Ferramenta amaldiçoada","",""),"")),IF(AND($I14&lt;&gt;"",SWITCH($B14,"Origem","ROTA","Marcante","","Menor","","Arma","PROPRIEDADE 2","Escudo","","Uniforme","","Item comum","","Ferramenta amaldiçoada","","")=""),"Apague campo que este tipo não usa",IF(AND($I14&lt;&gt;"",COUNTIF(INDIRECT(SWITCH($B14,"Origem","'DADOS_CUSTOM'!$CB$2:$CB$160","Marcante","'DADOS_CUSTOM'!$CM$2:$CM$160","Menor","'DADOS_CUSTOM'!$CM$2:$CM$160","Arma","'DADOS_CUSTOM'!$CI$2:$CI$160","Escudo","'DADOS_CUSTOM'!$CM$2:$CM$160","Uniforme","'DADOS_CUSTOM'!$CM$2:$CM$160","Item comum","'DADOS_CUSTOM'!$CM$2:$CM$160","Ferramenta amaldiçoada","'DADOS_CUSTOM'!$CM$2:$CM$160","'DADOS_CUSTOM'!$CM$2:$CM$160")),$I14)=0),"Opção inválida: "&amp;SWITCH($B14,"Origem","ROTA","Marcante","","Menor","","Arma","PROPRIEDADE 2","Escudo","","Uniforme","","Item comum","","Ferramenta amaldiçoada","",""),""))))</f>
        <v/>
      </c>
      <c r="JZ14" s="175">
        <f>IF(AND($B14="",$C14="",LEN(TEXTJOIN("",TRUE,E14:R14))=0),"",TEXTJOIN(" · ",TRUE,IF(AND($J14&lt;&gt;"",SWITCH($B14,"Origem","BASE DO LIVRO","Marcante","","Menor","","Arma","PROPRIEDADE 3","Escudo","","Uniforme","","Item comum","","Ferramenta amaldiçoada","","")=""),"Apague campo que este tipo não usa",IF(AND($J14&lt;&gt;"",COUNTIF(INDIRECT(SWITCH($B14,"Origem","'DADOS_CUSTOM'!$CD$2:$CD$160","Marcante","'DADOS_CUSTOM'!$CM$2:$CM$160","Menor","'DADOS_CUSTOM'!$CM$2:$CM$160","Arma","'DADOS_CUSTOM'!$CI$2:$CI$160","Escudo","'DADOS_CUSTOM'!$CM$2:$CM$160","Uniforme","'DADOS_CUSTOM'!$CM$2:$CM$160","Item comum","'DADOS_CUSTOM'!$CM$2:$CM$160","Ferramenta amaldiçoada","'DADOS_CUSTOM'!$CM$2:$CM$160","'DADOS_CUSTOM'!$CM$2:$CM$160")),$J14)=0),"Opção inválida: "&amp;SWITCH($B14,"Origem","BASE DO LIVRO","Marcante","","Menor","","Arma","PROPRIEDADE 3","Escudo","","Uniforme","","Item comum","","Ferramenta amaldiçoada","",""),"")),IF(AND($K14&lt;&gt;"",SWITCH($B14,"Origem","OFÍCIO","Marcante","","Menor","","Arma","PROPRIEDADE 4","Escudo","","Uniforme","","Item comum","","Ferramenta amaldiçoada","","")=""),"Apague campo que este tipo não usa",IF(AND($K14&lt;&gt;"",COUNTIF(INDIRECT(SWITCH($B14,"Origem","'DADOS_PROGRESSAO'!$AJ$2:$AJ$23","Marcante","'DADOS_CUSTOM'!$CM$2:$CM$160","Menor","'DADOS_CUSTOM'!$CM$2:$CM$160","Arma","'DADOS_CUSTOM'!$CI$2:$CI$160","Escudo","'DADOS_CUSTOM'!$CM$2:$CM$160","Uniforme","'DADOS_CUSTOM'!$CM$2:$CM$160","Item comum","'DADOS_CUSTOM'!$CM$2:$CM$160","Ferramenta amaldiçoada","'DADOS_CUSTOM'!$CM$2:$CM$160","'DADOS_CUSTOM'!$CM$2:$CM$160")),$K14)=0),"Opção inválida: "&amp;SWITCH($B14,"Origem","OFÍCIO","Marcante","","Menor","","Arma","PROPRIEDADE 4","Escudo","","Uniforme","","Item comum","","Ferramenta amaldiçoada","",""),"")),IF(AND($L14&lt;&gt;"",SWITCH($B14,"Origem","TALENTO CE 4","Marcante","FREQUÊNCIA","Menor","FREQUÊNCIA","Arma","DADO","Escudo","PROTEÇÃO","Uniforme","PROTEÇÃO","Item comum","VOLUME","Ferramenta amaldiçoada","ESTIGMA","")=""),"Apague campo que este tipo não usa",IF(AND(OR($B14="Escudo",$B14="Uniforme",$B14="Item comum"),$L14&lt;&gt;"",NOT(ISNUMBER($L14)),NOT(AND($L14="—",FALSE))),"Informe número: "&amp;SWITCH($B14,"Origem","TALENTO CE 4","Marcante","FREQUÊNCIA","Menor","FREQUÊNCIA","Arma","DADO","Escudo","PROTEÇÃO","Uniforme","PROTEÇÃO","Item comum","VOLUME","Ferramenta amaldiçoada","ESTIGMA",""),"")),IF(AND($M14&lt;&gt;"",SWITCH($B14,"Origem","","Marcante","","Menor","","Arma","FORÇA","Escudo","TETO DE DESTREZA","Uniforme","TETO DE DESTREZA","Item comum","PREÇO","Ferramenta amaldiçoada","DESGASTE","")=""),"Apague campo que este tipo não usa",IF(AND(OR($B14="Arma",$B14="Escudo",$B14="Uniforme",$B14="Item comum",$B14="Ferramenta amaldiçoada"),$M14&lt;&gt;"",NOT(ISNUMBER($M14)),NOT(AND($M14="—",OR($B14="Arma",$B14="Escudo",$B14="Uniforme",$B14="Ferramenta amaldiçoada")))),"Informe número: "&amp;SWITCH($B14,"Origem","","Marcante","","Menor","","Arma","FORÇA","Escudo","TETO DE DESTREZA","Uniforme","TETO DE DESTREZA","Item comum","PREÇO","Ferramenta amaldiçoada","DESGASTE",""),"")),IF(AND($N14&lt;&gt;"",SWITCH($B14,"Origem","","Marcante","","Menor","","Arma","VOLUME","Escudo","FORÇA","Uniforme","FORÇA","Item comum","","Ferramenta amaldiçoada","VOLUME","")=""),"Apague campo que este tipo não usa",IF(AND(OR($B14="Arma",$B14="Escudo",$B14="Uniforme",$B14="Ferramenta amaldiçoada"),$N14&lt;&gt;"",NOT(ISNUMBER($N14)),NOT(AND($N14="—",OR($B14="Escudo",$B14="Uniforme")))),"Informe número: "&amp;SWITCH($B14,"Origem","","Marcante","","Menor","","Arma","VOLUME","Escudo","FORÇA","Uniforme","FORÇA","Item comum","","Ferramenta amaldiçoada","VOLUME",""),"")),IF(AND($O14&lt;&gt;"",SWITCH($B14,"Origem","","Marcante","","Menor","","Arma","ALCANCE","Escudo","VOLUME","Uniforme","VOLUME","Item comum","","Ferramenta amaldiçoada","PREÇO","")=""),"Apague campo que este tipo não usa",IF(AND(OR($B14="Escudo",$B14="Uniforme",$B14="Ferramenta amaldiçoada"),$O14&lt;&gt;"",NOT(ISNUMBER($O14)),NOT(AND($O14="—",FALSE))),"Informe número: "&amp;SWITCH($B14,"Origem","","Marcante","","Menor","","Arma","ALCANCE","Escudo","VOLUME","Uniforme","VOLUME","Item comum","","Ferramenta amaldiçoada","PREÇO",""),"")),IF(AND($P14&lt;&gt;"",SWITCH($B14,"Origem","","Marcante","","Menor","","Arma","RECARGA","Escudo","PREÇO","Uniforme","PREÇO","Item comum","","Ferramenta amaldiçoada","","")=""),"Apague campo que este tipo não usa",IF(AND(OR($B14="Arma",$B14="Escudo",$B14="Uniforme"),$P14&lt;&gt;"",NOT(ISNUMBER($P14)),NOT(AND($P14="—",OR($B14="Arma")))),"Informe número: "&amp;SWITCH($B14,"Origem","","Marcante","","Menor","","Arma","RECARGA","Escudo","PREÇO","Uniforme","PREÇO","Item comum","","Ferramenta amaldiçoada","",""),"")),IF(AND($Q14&lt;&gt;"",SWITCH($B14,"Origem","","Marcante","","Menor","","Arma","PREÇO","Escudo","","Uniforme","","Item comum","","Ferramenta amaldiçoada","","")=""),"Apague campo que este tipo não usa",IF(AND(OR($B14="Arma"),$Q14&lt;&gt;"",NOT(ISNUMBER($Q14)),NOT(AND($Q14="—",FALSE))),"Informe número: "&amp;SWITCH($B14,"Origem","","Marcante","","Menor","","Arma","PREÇO","Escudo","","Uniforme","","Item comum","","Ferramenta amaldiçoada","",""),""))))</f>
        <v/>
      </c>
      <c r="KA14" s="175">
        <f>IF(AND($B14="",$C14="",LEN(TEXTJOIN("",TRUE,E14:R14))=0),"",TEXTJOIN(" · ",TRUE,IF(AND($B14="Origem",OR($E14="",$F14="",$G14="",$H14="",$I14="")),"Preencha os campos obrigatórios de Origem",""),IF(AND($B14="Marcante",OR($E14="")),"Preencha os campos obrigatórios de Marcante",""),IF(AND($B14="Menor",OR($E14="")),"Preencha os campos obrigatórios de Menor",""),IF(AND($B14="Arma",OR($E14="",$F14="",$G14="",$L14="",$M14="",$N14="")),"Preencha os campos obrigatórios de Arma",""),IF(AND($B14="Escudo",OR($L14="",$M14="",$N14="",$O14="")),"Preencha os campos obrigatórios de Escudo",""),IF(AND($B14="Uniforme",OR($E14="",$L14="",$M14="",$N14="",$O14="")),"Preencha os campos obrigatórios de Uniforme",""),IF(AND($B14="Item comum",OR($L14="")),"Preencha os campos obrigatórios de Item comum",""),IF(AND($B14="Ferramenta amaldiçoada",OR($E14="",$F14="")),"Preencha os campos obrigatórios de Ferramenta amaldiçoada",""),IF(AND($B14="Origem",COUNTA(E14:H14)=4,NOT(AND(E14&lt;&gt;F14,E14&lt;&gt;G14,E14&lt;&gt;H14,F14&lt;&gt;G14,F14&lt;&gt;H14,G14&lt;&gt;H14))),"Escolha quatro perícias diferentes",""),IF(AND($B14="Origem",J14="Latente",NOT(OR(I14="Fundamento",I14="Manejos"))),"ROTA não combina com BASE DO LIVRO",""),IF(AND($B14="Origem",J14="Receptáculo",NOT(OR(I14="Fundamento",I14="Manejos"))),"ROTA não combina com BASE DO LIVRO",""),IF(AND($B14="Origem",J14="Descendente",NOT(OR(I14="Fundamento",I14="Manejos"))),"ROTA não combina com BASE DO LIVRO",""),IF(AND($B14="Origem",J14="Encarnado",NOT(OR(I14="Fundamento",I14="Manejos"))),"ROTA não combina com BASE DO LIVRO",""),IF(AND($B14="Origem",J14="Híbrido",NOT(OR(I14="Fundamento",I14="Manejos"))),"ROTA não combina com BASE DO LIVRO",""),IF(AND($B14="Origem",J14="Corpo Amaldiçoado",NOT(OR(I14="Técnica Marcial com energia"))),"ROTA não combina com BASE DO LIVRO",""),IF(AND($B14="Origem",J14="Restrição Celestial · Sem Energia",NOT(OR(I14="Técnica Marcial sem energia"))),"ROTA não combina com BASE DO LIVRO",""),IF(AND($B14="Origem",J14="Restrição Celestial · Restrição corporal",NOT(OR(I14="Fundamento"))),"ROTA não combina com BASE DO LIVRO","")))</f>
        <v/>
      </c>
    </row>
    <row r="15">
      <c r="A15" s="175" t="n">
        <v>14</v>
      </c>
      <c r="B15" s="175">
        <f>IF(ISBLANK('CONFIGURAÇÃO'!$AB$188),"",'CONFIGURAÇÃO'!$AB$188)</f>
        <v/>
      </c>
      <c r="C15" s="175">
        <f>IF(ISBLANK('CONFIGURAÇÃO'!$AB$190),"",'CONFIGURAÇÃO'!$AB$190)</f>
        <v/>
      </c>
      <c r="D15" s="175">
        <f>IF(ISBLANK('CONFIGURAÇÃO'!$AF$188),"",'CONFIGURAÇÃO'!$AF$188)</f>
        <v/>
      </c>
      <c r="E15" s="175">
        <f>IF(ISBLANK('CONFIGURAÇÃO'!$AD$191),"",'CONFIGURAÇÃO'!$AD$191)</f>
        <v/>
      </c>
      <c r="F15" s="175">
        <f>IF(ISBLANK('CONFIGURAÇÃO'!$AD$192),"",'CONFIGURAÇÃO'!$AD$192)</f>
        <v/>
      </c>
      <c r="G15" s="175">
        <f>IF(ISBLANK('CONFIGURAÇÃO'!$AD$193),"",'CONFIGURAÇÃO'!$AD$193)</f>
        <v/>
      </c>
      <c r="H15" s="175">
        <f>IF(ISBLANK('CONFIGURAÇÃO'!$AD$194),"",'CONFIGURAÇÃO'!$AD$194)</f>
        <v/>
      </c>
      <c r="I15" s="175">
        <f>IF(ISBLANK('CONFIGURAÇÃO'!$AD$195),"",'CONFIGURAÇÃO'!$AD$195)</f>
        <v/>
      </c>
      <c r="J15" s="175">
        <f>IF(ISBLANK('CONFIGURAÇÃO'!$AD$196),"",'CONFIGURAÇÃO'!$AD$196)</f>
        <v/>
      </c>
      <c r="K15" s="175">
        <f>IF(ISBLANK('CONFIGURAÇÃO'!$AD$197),"",'CONFIGURAÇÃO'!$AD$197)</f>
        <v/>
      </c>
      <c r="L15" s="175">
        <f>IF(ISBLANK('CONFIGURAÇÃO'!$AD$198),"",'CONFIGURAÇÃO'!$AD$198)</f>
        <v/>
      </c>
      <c r="M15" s="175">
        <f>IF(ISBLANK('CONFIGURAÇÃO'!$AD$199),"",'CONFIGURAÇÃO'!$AD$199)</f>
        <v/>
      </c>
      <c r="N15" s="175">
        <f>IF(ISBLANK('CONFIGURAÇÃO'!$AD$200),"",'CONFIGURAÇÃO'!$AD$200)</f>
        <v/>
      </c>
      <c r="O15" s="175">
        <f>IF(ISBLANK('CONFIGURAÇÃO'!$AD$201),"",'CONFIGURAÇÃO'!$AD$201)</f>
        <v/>
      </c>
      <c r="P15" s="175">
        <f>IF(ISBLANK('CONFIGURAÇÃO'!$AD$202),"",'CONFIGURAÇÃO'!$AD$202)</f>
        <v/>
      </c>
      <c r="Q15" s="175">
        <f>IF(ISBLANK('CONFIGURAÇÃO'!$AD$203),"",'CONFIGURAÇÃO'!$AD$203)</f>
        <v/>
      </c>
      <c r="R15" s="175">
        <f>IF(ISBLANK('CONFIGURAÇÃO'!$AB$205),"",'CONFIGURAÇÃO'!$AB$205)</f>
        <v/>
      </c>
      <c r="S15" s="175">
        <f>TEXTJOIN(" · ",TRUE,U15,V15,W15,X15)</f>
        <v/>
      </c>
      <c r="T15" s="175">
        <f>AND(B15&lt;&gt;"",C15&lt;&gt;"",S15="")</f>
        <v/>
      </c>
      <c r="U15" s="175">
        <f>TEXTJOIN(" · ",TRUE,JY15:KA15)</f>
        <v/>
      </c>
      <c r="V15" s="175">
        <f>IF(AND(OR($B15="Marcante",$B15="Menor"),NOT(OR(COUNTIF('DADOS_CUSTOM'!$CD$2:$CD$160,E15)&gt;0,COUNTIFS('DADOS_CUSTOM'!$C$2:$C$26,E15,'DADOS_CUSTOM'!$B$2:$B$26,"Origem",'DADOS_CUSTOM'!$U$2:$U$26,"")=1))),"Origem vinculada não existe ou tem erro",IF(AND($B15="Marcante",NOT(OR(E15="Restrição Celestial · Restrição corporal",AND(COUNTIFS('DADOS_CUSTOM'!$C$2:$C$26,E15,'DADOS_CUSTOM'!$B$2:$B$26,"Origem",'DADOS_CUSTOM'!$U$2:$U$26,"")=1,OR(IFERROR(INDEX('DADOS_CUSTOM'!$J$2:$J$26,MATCH(E15,'DADOS_CUSTOM'!$C$2:$C$26,0)),E15)="",IFERROR(INDEX('DADOS_CUSTOM'!$J$2:$J$26,MATCH(E15,'DADOS_CUSTOM'!$C$2:$C$26,0)),E15)="Nenhuma",IFERROR(INDEX('DADOS_CUSTOM'!$J$2:$J$26,MATCH(E15,'DADOS_CUSTOM'!$C$2:$C$26,0)),E15)="Restrição Celestial · Restrição corporal"))))),"Marcante própria só para Restrição corporal ou Origem do zero; use a marcante publicada da base",""))</f>
        <v/>
      </c>
      <c r="W15" s="175">
        <f>IF(AND($B15="Menor",F15&lt;&gt;"",F15&lt;&gt;"—",NOT(OR(AND(F15="Tentativa e Erro",OR(E15="Latente",IFERROR(INDEX('DADOS_CUSTOM'!$J$2:$J$26,MATCH(E15,'DADOS_CUSTOM'!$C$2:$C$26,0)),E15)="Latente")),AND(F15="Coexistência",OR(E15="Receptáculo",IFERROR(INDEX('DADOS_CUSTOM'!$J$2:$J$26,MATCH(E15,'DADOS_CUSTOM'!$C$2:$C$26,0)),E15)="Receptáculo")),AND(F15="Conflito",OR(E15="Receptáculo",IFERROR(INDEX('DADOS_CUSTOM'!$J$2:$J$26,MATCH(E15,'DADOS_CUSTOM'!$C$2:$C$26,0)),E15)="Receptáculo")),AND(F15="Zenin",OR(E15="Descendente",IFERROR(INDEX('DADOS_CUSTOM'!$J$2:$J$26,MATCH(E15,'DADOS_CUSTOM'!$C$2:$C$26,0)),E15)="Descendente")),AND(F15="Kamo",OR(E15="Descendente",IFERROR(INDEX('DADOS_CUSTOM'!$J$2:$J$26,MATCH(E15,'DADOS_CUSTOM'!$C$2:$C$26,0)),E15)="Descendente")),AND(F15="Gojo",OR(E15="Descendente",IFERROR(INDEX('DADOS_CUSTOM'!$J$2:$J$26,MATCH(E15,'DADOS_CUSTOM'!$C$2:$C$26,0)),E15)="Descendente")),AND(F15="Inumaki",OR(E15="Descendente",IFERROR(INDEX('DADOS_CUSTOM'!$J$2:$J$26,MATCH(E15,'DADOS_CUSTOM'!$C$2:$C$26,0)),E15)="Descendente")),AND(F15="Duas Vidas",OR(E15="Encarnado",IFERROR(INDEX('DADOS_CUSTOM'!$J$2:$J$26,MATCH(E15,'DADOS_CUSTOM'!$C$2:$C$26,0)),E15)="Encarnado")),AND(F15="Regeneração Orgânica",OR(E15="Híbrido",IFERROR(INDEX('DADOS_CUSTOM'!$J$2:$J$26,MATCH(E15,'DADOS_CUSTOM'!$C$2:$C$26,0)),E15)="Híbrido")),AND(F15="Existência Artificial",OR(E15="Corpo Amaldiçoado",IFERROR(INDEX('DADOS_CUSTOM'!$J$2:$J$26,MATCH(E15,'DADOS_CUSTOM'!$C$2:$C$26,0)),E15)="Corpo Amaldiçoado")),AND(F15="Ataque sem Prenúncio",OR(E15="Restrição Celestial · Sem Energia",IFERROR(INDEX('DADOS_CUSTOM'!$J$2:$J$26,MATCH(E15,'DADOS_CUSTOM'!$C$2:$C$26,0)),E15)="Restrição Celestial · Sem Energia")),AND(F15="Corpo Debilitado",OR(E15="Restrição Celestial · Restrição corporal",IFERROR(INDEX('DADOS_CUSTOM'!$J$2:$J$26,MATCH(E15,'DADOS_CUSTOM'!$C$2:$C$26,0)),E15)="Restrição Celestial · Restrição corporal")),AND(F15="Corpo Quebradiço",OR(E15="Restrição Celestial · Restrição corporal",IFERROR(INDEX('DADOS_CUSTOM'!$J$2:$J$26,MATCH(E15,'DADOS_CUSTOM'!$C$2:$C$26,0)),E15)="Restrição Celestial · Restrição corporal")),AND(F15="Corpo Exaurido",OR(E15="Restrição Celestial · Restrição corporal",IFERROR(INDEX('DADOS_CUSTOM'!$J$2:$J$26,MATCH(E15,'DADOS_CUSTOM'!$C$2:$C$26,0)),E15)="Restrição Celestial · Restrição corporal")),COUNTIFS('DADOS_CUSTOM'!$C$2:$C$26,F15,'DADOS_CUSTOM'!$B$2:$B$26,"Marcante",'DADOS_CUSTOM'!$E$2:$E$26,E15,'DADOS_CUSTOM'!$U$2:$U$26,"",'DADOS_CUSTOM'!$V$2:$V$26,"")=1))),"Marcante exigida não pertence à Origem ou tem erro","")</f>
        <v/>
      </c>
      <c r="X15" s="175">
        <f>IF(AND($B15="Ferramenta amaldiçoada",NOT(OR(COUNTIF('DADOS_CUSTOM'!$CK$2:$CK$75,E15)&gt;0,OR(COUNTIFS('DADOS_CUSTOM'!$C$2:$C$26,E15,'DADOS_CUSTOM'!$B$2:$B$26,"Arma",'DADOS_CUSTOM'!$U$2:$U$26,"")=1,COUNTIFS('DADOS_CUSTOM'!$C$2:$C$26,E15,'DADOS_CUSTOM'!$B$2:$B$26,"Escudo",'DADOS_CUSTOM'!$U$2:$U$26,"")=1,COUNTIFS('DADOS_CUSTOM'!$C$2:$C$26,E15,'DADOS_CUSTOM'!$B$2:$B$26,"Uniforme",'DADOS_CUSTOM'!$U$2:$U$26,"")=1,COUNTIFS('DADOS_CUSTOM'!$C$2:$C$26,E15,'DADOS_CUSTOM'!$B$2:$B$26,"Item comum",'DADOS_CUSTOM'!$U$2:$U$26,"")=1)))),"Base da ferramenta não existe ou tem erro","")</f>
        <v/>
      </c>
      <c r="AA15" s="175" t="inlineStr">
        <is>
          <t>Espingarda</t>
        </is>
      </c>
      <c r="AB15" s="175" t="inlineStr">
        <is>
          <t>Arma de Fogo</t>
        </is>
      </c>
      <c r="AC15" s="175" t="n">
        <v>2</v>
      </c>
      <c r="AD15" s="175" t="inlineStr">
        <is>
          <t>2d8</t>
        </is>
      </c>
      <c r="AE15" s="175" t="inlineStr">
        <is>
          <t>Longo Alcance · Munição · Rompe</t>
        </is>
      </c>
      <c r="AF15" s="175" t="n">
        <v>1</v>
      </c>
      <c r="AG15" s="175" t="n">
        <v>2</v>
      </c>
      <c r="AH15" s="175" t="inlineStr">
        <is>
          <t>9 m, longa 27 m</t>
        </is>
      </c>
      <c r="AI15" s="175" t="n">
        <v>2</v>
      </c>
      <c r="AJ15" s="175">
        <f>'FICHA PESSOAL'!$M$72</f>
        <v/>
      </c>
      <c r="AK15" s="175">
        <f>ADDRESS(ROW('FICHA PESSOAL'!M72),COLUMN('FICHA PESSOAL'!M72),4)</f>
        <v/>
      </c>
      <c r="AM15" s="175">
        <f>IF(AND(OR($B9="Uniforme"),$C9&lt;&gt;"",$U9=""),$C9,"")</f>
        <v/>
      </c>
      <c r="AN15" s="175">
        <f>IF(AND(OR($B9="Uniforme"),$C9&lt;&gt;"",$U9=""),$L9,"")</f>
        <v/>
      </c>
      <c r="AO15" s="175">
        <f>IF(AND(OR($B9="Uniforme"),$C9&lt;&gt;"",$U9=""),$M9,"")</f>
        <v/>
      </c>
      <c r="AP15" s="175">
        <f>IF(AND(OR($B9="Uniforme"),$C9&lt;&gt;"",$U9=""),$N9,"")</f>
        <v/>
      </c>
      <c r="AQ15" s="175">
        <f>IF(AND(OR($B9="Uniforme"),$C9&lt;&gt;"",$U9=""),$O9,"")</f>
        <v/>
      </c>
      <c r="AR15" s="175">
        <f>IF(AND(OR($B9="Uniforme"),$C9&lt;&gt;"",$U9=""),IFERROR(VLOOKUP($E9,DADOS!$CF$5:$CH$9,3,FALSE),1),"")</f>
        <v/>
      </c>
      <c r="AS15" s="175">
        <f>IF(AND(OR($B9="Uniforme"),$C9&lt;&gt;"",$U9=""),$E9,"")</f>
        <v/>
      </c>
      <c r="AU15" s="175">
        <f>IF(AND(OR($B2="Item comum"),$C2&lt;&gt;"",$U2=""),$C2,"")</f>
        <v/>
      </c>
      <c r="AV15" s="175">
        <f>IF(AND(OR($B2="Item comum"),$C2&lt;&gt;"",$U2=""),$L2,"")</f>
        <v/>
      </c>
      <c r="AW15" s="175">
        <f>IF(AND(OR($B2="Item comum"),$C2&lt;&gt;"",$U2=""),$M2,"")</f>
        <v/>
      </c>
      <c r="AX15" s="175">
        <f>IF(AND(OR($B2="Item comum"),$C2&lt;&gt;"",$U2=""),$R2,"")</f>
        <v/>
      </c>
      <c r="AZ15" s="175" t="inlineStr">
        <is>
          <t>Corpo Exaurido</t>
        </is>
      </c>
      <c r="BA15" s="175" t="inlineStr">
        <is>
          <t>Restrição Celestial · Restrição corporal</t>
        </is>
      </c>
      <c r="BB15" s="175" t="inlineStr">
        <is>
          <t>marcante</t>
        </is>
      </c>
      <c r="BC15" s="175" t="inlineStr"/>
      <c r="BD15" s="175" t="inlineStr">
        <is>
          <t>Passiva</t>
        </is>
      </c>
      <c r="BE15" s="175" t="inlineStr">
        <is>
          <t>Seu organismo permanece debilitado. Você conserva a capacidade de falar, fazer tarefas leves e caminhar devagar, mas não sustenta o esforço de uma luta. Ferimentos consomem a pouca autonomia física que possui, e recuperar-se exige cuidados prolongados.
Sua Defesa fica fixada em 0, sem alteração por bônus ou penalidades numéricos, e você não pode Bloquear. Cobertura total, impedimentos de alvo, resistências, imunidades, redução de dano e vida temporária seguem suas regras. A limitação não concede acerto ou crítico automático nem passa a um intermediário com Defesa própria.
Falha automaticamente nos TRs de Vigor e Físico exigidos do corpo real, inclusive Concentração quando Vigor for exigido. Testes e ataques que dependam do esforço físico desse corpo também falham automaticamente.
Seu deslocamento próprio é limitado a 4,5 m, em movimento leve no chão. Não consegue correr, saltar, escalar, nadar, sustentar o peso pelos braços, empurrar ou arrastar cargas pesadas, nem carregar outra criatura por esforço próprio, mesmo sem rolagem. Ainda pode escrever, manipular objetos leves e fazer gestos de uma técnica compatível; usar um atributo físico na conjuração não a faz falhar por si só.
Com metade da vida máxima ou menos, arredondada para baixo, seu deslocamento próprio passa a 0 m. Recuperar vida acima do limite devolve o deslocamento permitido. Isso não aplica Atordoado, retira ações ou consciência, nem impede transporte.
Cura e repouso.
Efeitos de cura recuperam metade da vida normal, arredondada para baixo, mínimo 1 quando positiva. Um descanso longo em ambiente propício recupera 25% da vida máxima, arredondados para baixo, mínimo 1, somados à vida atual até o máximo. Fora de ambiente propício, o descanso longo não recupera vida. Os demais recursos e efeitos, inclusive PE, seguem normalmente.
O ambiente propício exige cuidados e meios adequados à sua condição, registrados na ficha. Os 25% do descanso não são divididos novamente; efeitos de cura usados durante ele continuam pela metade. Descanso curto não recupera vida por si só, e uma mesma pausa não pode ser repetida para multiplicar a recuperação.
Cura comum não remove a condição congênita. Exaustão adquirida segue suas regras, sem degrau permanente adicional. As consequências pertencem ao corpo real, sem passar automaticamente a marionetes ou intermediários; testes exigidos de você continuam sujeitos às limitações.
Saída Elevada.
Seus feitiços comuns da técnica de Classe 1 ou maior recebem pontos adicionais de montagem iguais à metade da Classe utilizada, arredondada para baixo, mínimo 1. Esses pontos servem somente para Melhorias, considerando os descontos normais.
Classe utilizada | 1 | 2 | 3 | 4 | 5 | 6 | 7
Pontos adicionais | 1 | 1 | 1 | 2 | 2 | 3 | 3
Classe, custo-base em PE, quantidade permitida de Melhorias, acessos às Famílias e demais tetos permanecem. Pontos adicionais não usados se perdem; não viram diretamente dano, cura ou vida temporária. Podem preservar pontos normais que seriam gastos em Melhorias, dentro dos limites existentes.
Saída Elevada não vale para Máximas ou Manejos. Receber os pontos não acrescenta custo em PE; os custos específicos do feitiço continuam normais.</t>
        </is>
      </c>
      <c r="BG15" s="175">
        <f>IF(AND(OR($B7="Origem"),$C7&lt;&gt;"",$T7=TRUE),$C7,"")</f>
        <v/>
      </c>
      <c r="BH15" s="175">
        <f>IF(AND(OR($B7="Origem"),$C7&lt;&gt;"",$T7=TRUE),TEXTJOIN(" · ",TRUE,$E7:$H7),"")</f>
        <v/>
      </c>
      <c r="BI15" s="175">
        <f>IF(AND(OR($B7="Origem"),$C7&lt;&gt;"",$T7=TRUE),$I7,"")</f>
        <v/>
      </c>
      <c r="BM15" s="175" t="inlineStr">
        <is>
          <t>Canivete</t>
        </is>
      </c>
      <c r="BN15" s="175" t="inlineStr">
        <is>
          <t>Arma</t>
        </is>
      </c>
      <c r="BO15" s="175" t="n">
        <v>0</v>
      </c>
      <c r="BP15" s="175" t="inlineStr">
        <is>
          <t>—</t>
        </is>
      </c>
      <c r="BQ15" s="175" t="inlineStr">
        <is>
          <t>—</t>
        </is>
      </c>
      <c r="BR15" s="175" t="n">
        <v>0.1</v>
      </c>
      <c r="BS15" s="175" t="inlineStr">
        <is>
          <t>—</t>
        </is>
      </c>
      <c r="BT15" s="175" t="inlineStr"/>
      <c r="BU15" s="175" t="inlineStr"/>
      <c r="BV15" s="175" t="inlineStr">
        <is>
          <t>Bateria portátil</t>
        </is>
      </c>
      <c r="BW15" s="175">
        <f>IF(AND($B14="Origem",OR($J14="",$J14="Nenhuma",$J14="Restrição Celestial · Restrição corporal")),$C14,"")</f>
        <v/>
      </c>
      <c r="CA15" s="175" t="inlineStr">
        <is>
          <t>Natureza</t>
        </is>
      </c>
      <c r="CC15" s="175">
        <f>IF(OR('CONFIGURAÇÃO'!$AB$72="Origem"),'CONFIGURAÇÃO'!$AB$74,"")</f>
        <v/>
      </c>
      <c r="CH15" s="175">
        <f>IF('DADOS_DANOS'!$J$15="","",'DADOS_DANOS'!$J$15)</f>
        <v/>
      </c>
      <c r="CI15" s="175" t="inlineStr">
        <is>
          <t>Discreta</t>
        </is>
      </c>
      <c r="CK15" s="175" t="inlineStr">
        <is>
          <t>Faca</t>
        </is>
      </c>
      <c r="CL15" s="175" t="inlineStr">
        <is>
          <t>Corpo Quebradiço</t>
        </is>
      </c>
      <c r="CS15" s="175">
        <f>IF(AND($B2="Origem",$T2=TRUE),$C2,"")</f>
        <v/>
      </c>
      <c r="JY15" s="175">
        <f>IF(AND($B15="",$C15="",LEN(TEXTJOIN("",TRUE,E15:R15))=0),"",TEXTJOIN(" · ",TRUE,IF(COUNTIF('DADOS_CUSTOM'!$BZ$2:$BZ$160,$B15)=0,"Escolha um tipo válido",""),IF(LEN(TRIM($C15))=0,"Preencha NOME",""),IF(OR(COUNTIF('DADOS_CUSTOM'!$C$2:$C$26,$C15)&gt;1,COUNTIF('DADOS_CUSTOM'!$BV$2:$BV$171,$C15)&gt;0),"Nome repetido no livro ou custom",""),IF(AND($E15&lt;&gt;"",SWITCH($B15,"Origem","PERÍCIA 1","Marcante","ORIGEM","Menor","ORIGEM","Arma","CATEGORIA","Escudo","","Uniforme","GRAU MÍNIMO","Item comum","","Ferramenta amaldiçoada","BASE","")=""),"Apague campo que este tipo não usa",IF(AND($E15&lt;&gt;"",COUNTIF(INDIRECT(SWITCH($B15,"Origem","'DADOS_PROGRESSAO'!$AG$2:$AG$34","Marcante","'DADOS_CUSTOM'!$BW$2:$BW$160","Menor","'DADOS_CUSTOM'!$CC$2:$CC$160","Arma","'DADOS_CUSTOM'!$CF$2:$CF$160","Escudo","'DADOS_CUSTOM'!$CM$2:$CM$160","Uniforme","'DADOS_CUSTOM'!$CJ$2:$CJ$160","Item comum","'DADOS_CUSTOM'!$CM$2:$CM$160","Ferramenta amaldiçoada","'DADOS_CUSTOM'!$CK$2:$CK$160","'DADOS_CUSTOM'!$CM$2:$CM$160")),$E15)=0),"Opção inválida: "&amp;SWITCH($B15,"Origem","PERÍCIA 1","Marcante","ORIGEM","Menor","ORIGEM","Arma","CATEGORIA","Escudo","","Uniforme","GRAU MÍNIMO","Item comum","","Ferramenta amaldiçoada","BASE",""),"")),IF(AND($F15&lt;&gt;"",SWITCH($B15,"Origem","PERÍCIA 2","Marcante","","Menor","EXIGE MARCANTE","Arma","MÃO","Escudo","","Uniforme","","Item comum","","Ferramenta amaldiçoada","GRAU","")=""),"Apague campo que este tipo não usa",IF(AND($F15&lt;&gt;"",COUNTIF(INDIRECT(SWITCH($B15,"Origem","'DADOS_PROGRESSAO'!$AG$2:$AG$34","Marcante","'DADOS_CUSTOM'!$CM$2:$CM$160","Menor","'DADOS_CUSTOM'!$CL$2:$CL$160","Arma","'DADOS_CUSTOM'!$CG$2:$CG$160","Escudo","'DADOS_CUSTOM'!$CM$2:$CM$160","Uniforme","'DADOS_CUSTOM'!$CM$2:$CM$160","Item comum","'DADOS_CUSTOM'!$CM$2:$CM$160","Ferramenta amaldiçoada","'DADOS_CUSTOM'!$CJ$2:$CJ$160","'DADOS_CUSTOM'!$CM$2:$CM$160")),$F15)=0),"Opção inválida: "&amp;SWITCH($B15,"Origem","PERÍCIA 2","Marcante","","Menor","EXIGE MARCANTE","Arma","MÃO","Escudo","","Uniforme","","Item comum","","Ferramenta amaldiçoada","GRAU",""),"")),IF(AND($G15&lt;&gt;"",SWITCH($B15,"Origem","PERÍCIA 3","Marcante","","Menor","","Arma","TIPO DE DANO","Escudo","","Uniforme","","Item comum","","Ferramenta amaldiçoada","","")=""),"Apague campo que este tipo não usa",IF(AND($G15&lt;&gt;"",COUNTIF(INDIRECT(SWITCH($B15,"Origem","'DADOS_PROGRESSAO'!$AG$2:$AG$34","Marcante","'DADOS_CUSTOM'!$CM$2:$CM$160","Menor","'DADOS_CUSTOM'!$CM$2:$CM$160","Arma","'DADOS_CUSTOM'!$CH$2:$CH$160","Escudo","'DADOS_CUSTOM'!$CM$2:$CM$160","Uniforme","'DADOS_CUSTOM'!$CM$2:$CM$160","Item comum","'DADOS_CUSTOM'!$CM$2:$CM$160","Ferramenta amaldiçoada","'DADOS_CUSTOM'!$CM$2:$CM$160","'DADOS_CUSTOM'!$CM$2:$CM$160")),$G15)=0),"Opção inválida: "&amp;SWITCH($B15,"Origem","PERÍCIA 3","Marcante","","Menor","","Arma","TIPO DE DANO","Escudo","","Uniforme","","Item comum","","Ferramenta amaldiçoada","",""),"")),IF(AND($H15&lt;&gt;"",SWITCH($B15,"Origem","PERÍCIA 4","Marcante","","Menor","","Arma","PROPRIEDADE 1","Escudo","","Uniforme","","Item comum","","Ferramenta amaldiçoada","","")=""),"Apague campo que este tipo não usa",IF(AND($H15&lt;&gt;"",COUNTIF(INDIRECT(SWITCH($B15,"Origem","'DADOS_PROGRESSAO'!$AG$2:$AG$34","Marcante","'DADOS_CUSTOM'!$CM$2:$CM$160","Menor","'DADOS_CUSTOM'!$CM$2:$CM$160","Arma","'DADOS_CUSTOM'!$CI$2:$CI$160","Escudo","'DADOS_CUSTOM'!$CM$2:$CM$160","Uniforme","'DADOS_CUSTOM'!$CM$2:$CM$160","Item comum","'DADOS_CUSTOM'!$CM$2:$CM$160","Ferramenta amaldiçoada","'DADOS_CUSTOM'!$CM$2:$CM$160","'DADOS_CUSTOM'!$CM$2:$CM$160")),$H15)=0),"Opção inválida: "&amp;SWITCH($B15,"Origem","PERÍCIA 4","Marcante","","Menor","","Arma","PROPRIEDADE 1","Escudo","","Uniforme","","Item comum","","Ferramenta amaldiçoada","",""),"")),IF(AND($I15&lt;&gt;"",SWITCH($B15,"Origem","ROTA","Marcante","","Menor","","Arma","PROPRIEDADE 2","Escudo","","Uniforme","","Item comum","","Ferramenta amaldiçoada","","")=""),"Apague campo que este tipo não usa",IF(AND($I15&lt;&gt;"",COUNTIF(INDIRECT(SWITCH($B15,"Origem","'DADOS_CUSTOM'!$CB$2:$CB$160","Marcante","'DADOS_CUSTOM'!$CM$2:$CM$160","Menor","'DADOS_CUSTOM'!$CM$2:$CM$160","Arma","'DADOS_CUSTOM'!$CI$2:$CI$160","Escudo","'DADOS_CUSTOM'!$CM$2:$CM$160","Uniforme","'DADOS_CUSTOM'!$CM$2:$CM$160","Item comum","'DADOS_CUSTOM'!$CM$2:$CM$160","Ferramenta amaldiçoada","'DADOS_CUSTOM'!$CM$2:$CM$160","'DADOS_CUSTOM'!$CM$2:$CM$160")),$I15)=0),"Opção inválida: "&amp;SWITCH($B15,"Origem","ROTA","Marcante","","Menor","","Arma","PROPRIEDADE 2","Escudo","","Uniforme","","Item comum","","Ferramenta amaldiçoada","",""),""))))</f>
        <v/>
      </c>
      <c r="JZ15" s="175">
        <f>IF(AND($B15="",$C15="",LEN(TEXTJOIN("",TRUE,E15:R15))=0),"",TEXTJOIN(" · ",TRUE,IF(AND($J15&lt;&gt;"",SWITCH($B15,"Origem","BASE DO LIVRO","Marcante","","Menor","","Arma","PROPRIEDADE 3","Escudo","","Uniforme","","Item comum","","Ferramenta amaldiçoada","","")=""),"Apague campo que este tipo não usa",IF(AND($J15&lt;&gt;"",COUNTIF(INDIRECT(SWITCH($B15,"Origem","'DADOS_CUSTOM'!$CD$2:$CD$160","Marcante","'DADOS_CUSTOM'!$CM$2:$CM$160","Menor","'DADOS_CUSTOM'!$CM$2:$CM$160","Arma","'DADOS_CUSTOM'!$CI$2:$CI$160","Escudo","'DADOS_CUSTOM'!$CM$2:$CM$160","Uniforme","'DADOS_CUSTOM'!$CM$2:$CM$160","Item comum","'DADOS_CUSTOM'!$CM$2:$CM$160","Ferramenta amaldiçoada","'DADOS_CUSTOM'!$CM$2:$CM$160","'DADOS_CUSTOM'!$CM$2:$CM$160")),$J15)=0),"Opção inválida: "&amp;SWITCH($B15,"Origem","BASE DO LIVRO","Marcante","","Menor","","Arma","PROPRIEDADE 3","Escudo","","Uniforme","","Item comum","","Ferramenta amaldiçoada","",""),"")),IF(AND($K15&lt;&gt;"",SWITCH($B15,"Origem","OFÍCIO","Marcante","","Menor","","Arma","PROPRIEDADE 4","Escudo","","Uniforme","","Item comum","","Ferramenta amaldiçoada","","")=""),"Apague campo que este tipo não usa",IF(AND($K15&lt;&gt;"",COUNTIF(INDIRECT(SWITCH($B15,"Origem","'DADOS_PROGRESSAO'!$AJ$2:$AJ$23","Marcante","'DADOS_CUSTOM'!$CM$2:$CM$160","Menor","'DADOS_CUSTOM'!$CM$2:$CM$160","Arma","'DADOS_CUSTOM'!$CI$2:$CI$160","Escudo","'DADOS_CUSTOM'!$CM$2:$CM$160","Uniforme","'DADOS_CUSTOM'!$CM$2:$CM$160","Item comum","'DADOS_CUSTOM'!$CM$2:$CM$160","Ferramenta amaldiçoada","'DADOS_CUSTOM'!$CM$2:$CM$160","'DADOS_CUSTOM'!$CM$2:$CM$160")),$K15)=0),"Opção inválida: "&amp;SWITCH($B15,"Origem","OFÍCIO","Marcante","","Menor","","Arma","PROPRIEDADE 4","Escudo","","Uniforme","","Item comum","","Ferramenta amaldiçoada","",""),"")),IF(AND($L15&lt;&gt;"",SWITCH($B15,"Origem","TALENTO CE 4","Marcante","FREQUÊNCIA","Menor","FREQUÊNCIA","Arma","DADO","Escudo","PROTEÇÃO","Uniforme","PROTEÇÃO","Item comum","VOLUME","Ferramenta amaldiçoada","ESTIGMA","")=""),"Apague campo que este tipo não usa",IF(AND(OR($B15="Escudo",$B15="Uniforme",$B15="Item comum"),$L15&lt;&gt;"",NOT(ISNUMBER($L15)),NOT(AND($L15="—",FALSE))),"Informe número: "&amp;SWITCH($B15,"Origem","TALENTO CE 4","Marcante","FREQUÊNCIA","Menor","FREQUÊNCIA","Arma","DADO","Escudo","PROTEÇÃO","Uniforme","PROTEÇÃO","Item comum","VOLUME","Ferramenta amaldiçoada","ESTIGMA",""),"")),IF(AND($M15&lt;&gt;"",SWITCH($B15,"Origem","","Marcante","","Menor","","Arma","FORÇA","Escudo","TETO DE DESTREZA","Uniforme","TETO DE DESTREZA","Item comum","PREÇO","Ferramenta amaldiçoada","DESGASTE","")=""),"Apague campo que este tipo não usa",IF(AND(OR($B15="Arma",$B15="Escudo",$B15="Uniforme",$B15="Item comum",$B15="Ferramenta amaldiçoada"),$M15&lt;&gt;"",NOT(ISNUMBER($M15)),NOT(AND($M15="—",OR($B15="Arma",$B15="Escudo",$B15="Uniforme",$B15="Ferramenta amaldiçoada")))),"Informe número: "&amp;SWITCH($B15,"Origem","","Marcante","","Menor","","Arma","FORÇA","Escudo","TETO DE DESTREZA","Uniforme","TETO DE DESTREZA","Item comum","PREÇO","Ferramenta amaldiçoada","DESGASTE",""),"")),IF(AND($N15&lt;&gt;"",SWITCH($B15,"Origem","","Marcante","","Menor","","Arma","VOLUME","Escudo","FORÇA","Uniforme","FORÇA","Item comum","","Ferramenta amaldiçoada","VOLUME","")=""),"Apague campo que este tipo não usa",IF(AND(OR($B15="Arma",$B15="Escudo",$B15="Uniforme",$B15="Ferramenta amaldiçoada"),$N15&lt;&gt;"",NOT(ISNUMBER($N15)),NOT(AND($N15="—",OR($B15="Escudo",$B15="Uniforme")))),"Informe número: "&amp;SWITCH($B15,"Origem","","Marcante","","Menor","","Arma","VOLUME","Escudo","FORÇA","Uniforme","FORÇA","Item comum","","Ferramenta amaldiçoada","VOLUME",""),"")),IF(AND($O15&lt;&gt;"",SWITCH($B15,"Origem","","Marcante","","Menor","","Arma","ALCANCE","Escudo","VOLUME","Uniforme","VOLUME","Item comum","","Ferramenta amaldiçoada","PREÇO","")=""),"Apague campo que este tipo não usa",IF(AND(OR($B15="Escudo",$B15="Uniforme",$B15="Ferramenta amaldiçoada"),$O15&lt;&gt;"",NOT(ISNUMBER($O15)),NOT(AND($O15="—",FALSE))),"Informe número: "&amp;SWITCH($B15,"Origem","","Marcante","","Menor","","Arma","ALCANCE","Escudo","VOLUME","Uniforme","VOLUME","Item comum","","Ferramenta amaldiçoada","PREÇO",""),"")),IF(AND($P15&lt;&gt;"",SWITCH($B15,"Origem","","Marcante","","Menor","","Arma","RECARGA","Escudo","PREÇO","Uniforme","PREÇO","Item comum","","Ferramenta amaldiçoada","","")=""),"Apague campo que este tipo não usa",IF(AND(OR($B15="Arma",$B15="Escudo",$B15="Uniforme"),$P15&lt;&gt;"",NOT(ISNUMBER($P15)),NOT(AND($P15="—",OR($B15="Arma")))),"Informe número: "&amp;SWITCH($B15,"Origem","","Marcante","","Menor","","Arma","RECARGA","Escudo","PREÇO","Uniforme","PREÇO","Item comum","","Ferramenta amaldiçoada","",""),"")),IF(AND($Q15&lt;&gt;"",SWITCH($B15,"Origem","","Marcante","","Menor","","Arma","PREÇO","Escudo","","Uniforme","","Item comum","","Ferramenta amaldiçoada","","")=""),"Apague campo que este tipo não usa",IF(AND(OR($B15="Arma"),$Q15&lt;&gt;"",NOT(ISNUMBER($Q15)),NOT(AND($Q15="—",FALSE))),"Informe número: "&amp;SWITCH($B15,"Origem","","Marcante","","Menor","","Arma","PREÇO","Escudo","","Uniforme","","Item comum","","Ferramenta amaldiçoada","",""),""))))</f>
        <v/>
      </c>
      <c r="KA15" s="175">
        <f>IF(AND($B15="",$C15="",LEN(TEXTJOIN("",TRUE,E15:R15))=0),"",TEXTJOIN(" · ",TRUE,IF(AND($B15="Origem",OR($E15="",$F15="",$G15="",$H15="",$I15="")),"Preencha os campos obrigatórios de Origem",""),IF(AND($B15="Marcante",OR($E15="")),"Preencha os campos obrigatórios de Marcante",""),IF(AND($B15="Menor",OR($E15="")),"Preencha os campos obrigatórios de Menor",""),IF(AND($B15="Arma",OR($E15="",$F15="",$G15="",$L15="",$M15="",$N15="")),"Preencha os campos obrigatórios de Arma",""),IF(AND($B15="Escudo",OR($L15="",$M15="",$N15="",$O15="")),"Preencha os campos obrigatórios de Escudo",""),IF(AND($B15="Uniforme",OR($E15="",$L15="",$M15="",$N15="",$O15="")),"Preencha os campos obrigatórios de Uniforme",""),IF(AND($B15="Item comum",OR($L15="")),"Preencha os campos obrigatórios de Item comum",""),IF(AND($B15="Ferramenta amaldiçoada",OR($E15="",$F15="")),"Preencha os campos obrigatórios de Ferramenta amaldiçoada",""),IF(AND($B15="Origem",COUNTA(E15:H15)=4,NOT(AND(E15&lt;&gt;F15,E15&lt;&gt;G15,E15&lt;&gt;H15,F15&lt;&gt;G15,F15&lt;&gt;H15,G15&lt;&gt;H15))),"Escolha quatro perícias diferentes",""),IF(AND($B15="Origem",J15="Latente",NOT(OR(I15="Fundamento",I15="Manejos"))),"ROTA não combina com BASE DO LIVRO",""),IF(AND($B15="Origem",J15="Receptáculo",NOT(OR(I15="Fundamento",I15="Manejos"))),"ROTA não combina com BASE DO LIVRO",""),IF(AND($B15="Origem",J15="Descendente",NOT(OR(I15="Fundamento",I15="Manejos"))),"ROTA não combina com BASE DO LIVRO",""),IF(AND($B15="Origem",J15="Encarnado",NOT(OR(I15="Fundamento",I15="Manejos"))),"ROTA não combina com BASE DO LIVRO",""),IF(AND($B15="Origem",J15="Híbrido",NOT(OR(I15="Fundamento",I15="Manejos"))),"ROTA não combina com BASE DO LIVRO",""),IF(AND($B15="Origem",J15="Corpo Amaldiçoado",NOT(OR(I15="Técnica Marcial com energia"))),"ROTA não combina com BASE DO LIVRO",""),IF(AND($B15="Origem",J15="Restrição Celestial · Sem Energia",NOT(OR(I15="Técnica Marcial sem energia"))),"ROTA não combina com BASE DO LIVRO",""),IF(AND($B15="Origem",J15="Restrição Celestial · Restrição corporal",NOT(OR(I15="Fundamento"))),"ROTA não combina com BASE DO LIVRO","")))</f>
        <v/>
      </c>
    </row>
    <row r="16">
      <c r="A16" s="175" t="n">
        <v>15</v>
      </c>
      <c r="B16" s="175">
        <f>IF(ISBLANK('CONFIGURAÇÃO'!$T$217),"",'CONFIGURAÇÃO'!$T$217)</f>
        <v/>
      </c>
      <c r="C16" s="175">
        <f>IF(ISBLANK('CONFIGURAÇÃO'!$T$219),"",'CONFIGURAÇÃO'!$T$219)</f>
        <v/>
      </c>
      <c r="D16" s="175">
        <f>IF(ISBLANK('CONFIGURAÇÃO'!$X$217),"",'CONFIGURAÇÃO'!$X$217)</f>
        <v/>
      </c>
      <c r="E16" s="175">
        <f>IF(ISBLANK('CONFIGURAÇÃO'!$V$220),"",'CONFIGURAÇÃO'!$V$220)</f>
        <v/>
      </c>
      <c r="F16" s="175">
        <f>IF(ISBLANK('CONFIGURAÇÃO'!$V$221),"",'CONFIGURAÇÃO'!$V$221)</f>
        <v/>
      </c>
      <c r="G16" s="175">
        <f>IF(ISBLANK('CONFIGURAÇÃO'!$V$222),"",'CONFIGURAÇÃO'!$V$222)</f>
        <v/>
      </c>
      <c r="H16" s="175">
        <f>IF(ISBLANK('CONFIGURAÇÃO'!$V$223),"",'CONFIGURAÇÃO'!$V$223)</f>
        <v/>
      </c>
      <c r="I16" s="175">
        <f>IF(ISBLANK('CONFIGURAÇÃO'!$V$224),"",'CONFIGURAÇÃO'!$V$224)</f>
        <v/>
      </c>
      <c r="J16" s="175">
        <f>IF(ISBLANK('CONFIGURAÇÃO'!$V$225),"",'CONFIGURAÇÃO'!$V$225)</f>
        <v/>
      </c>
      <c r="K16" s="175">
        <f>IF(ISBLANK('CONFIGURAÇÃO'!$V$226),"",'CONFIGURAÇÃO'!$V$226)</f>
        <v/>
      </c>
      <c r="L16" s="175">
        <f>IF(ISBLANK('CONFIGURAÇÃO'!$V$227),"",'CONFIGURAÇÃO'!$V$227)</f>
        <v/>
      </c>
      <c r="M16" s="175">
        <f>IF(ISBLANK('CONFIGURAÇÃO'!$V$228),"",'CONFIGURAÇÃO'!$V$228)</f>
        <v/>
      </c>
      <c r="N16" s="175">
        <f>IF(ISBLANK('CONFIGURAÇÃO'!$V$229),"",'CONFIGURAÇÃO'!$V$229)</f>
        <v/>
      </c>
      <c r="O16" s="175">
        <f>IF(ISBLANK('CONFIGURAÇÃO'!$V$230),"",'CONFIGURAÇÃO'!$V$230)</f>
        <v/>
      </c>
      <c r="P16" s="175">
        <f>IF(ISBLANK('CONFIGURAÇÃO'!$V$231),"",'CONFIGURAÇÃO'!$V$231)</f>
        <v/>
      </c>
      <c r="Q16" s="175">
        <f>IF(ISBLANK('CONFIGURAÇÃO'!$V$232),"",'CONFIGURAÇÃO'!$V$232)</f>
        <v/>
      </c>
      <c r="R16" s="175">
        <f>IF(ISBLANK('CONFIGURAÇÃO'!$T$234),"",'CONFIGURAÇÃO'!$T$234)</f>
        <v/>
      </c>
      <c r="S16" s="175">
        <f>TEXTJOIN(" · ",TRUE,U16,V16,W16,X16)</f>
        <v/>
      </c>
      <c r="T16" s="175">
        <f>AND(B16&lt;&gt;"",C16&lt;&gt;"",S16="")</f>
        <v/>
      </c>
      <c r="U16" s="175">
        <f>TEXTJOIN(" · ",TRUE,JY16:KA16)</f>
        <v/>
      </c>
      <c r="V16" s="175">
        <f>IF(AND(OR($B16="Marcante",$B16="Menor"),NOT(OR(COUNTIF('DADOS_CUSTOM'!$CD$2:$CD$160,E16)&gt;0,COUNTIFS('DADOS_CUSTOM'!$C$2:$C$26,E16,'DADOS_CUSTOM'!$B$2:$B$26,"Origem",'DADOS_CUSTOM'!$U$2:$U$26,"")=1))),"Origem vinculada não existe ou tem erro",IF(AND($B16="Marcante",NOT(OR(E16="Restrição Celestial · Restrição corporal",AND(COUNTIFS('DADOS_CUSTOM'!$C$2:$C$26,E16,'DADOS_CUSTOM'!$B$2:$B$26,"Origem",'DADOS_CUSTOM'!$U$2:$U$26,"")=1,OR(IFERROR(INDEX('DADOS_CUSTOM'!$J$2:$J$26,MATCH(E16,'DADOS_CUSTOM'!$C$2:$C$26,0)),E16)="",IFERROR(INDEX('DADOS_CUSTOM'!$J$2:$J$26,MATCH(E16,'DADOS_CUSTOM'!$C$2:$C$26,0)),E16)="Nenhuma",IFERROR(INDEX('DADOS_CUSTOM'!$J$2:$J$26,MATCH(E16,'DADOS_CUSTOM'!$C$2:$C$26,0)),E16)="Restrição Celestial · Restrição corporal"))))),"Marcante própria só para Restrição corporal ou Origem do zero; use a marcante publicada da base",""))</f>
        <v/>
      </c>
      <c r="W16" s="175">
        <f>IF(AND($B16="Menor",F16&lt;&gt;"",F16&lt;&gt;"—",NOT(OR(AND(F16="Tentativa e Erro",OR(E16="Latente",IFERROR(INDEX('DADOS_CUSTOM'!$J$2:$J$26,MATCH(E16,'DADOS_CUSTOM'!$C$2:$C$26,0)),E16)="Latente")),AND(F16="Coexistência",OR(E16="Receptáculo",IFERROR(INDEX('DADOS_CUSTOM'!$J$2:$J$26,MATCH(E16,'DADOS_CUSTOM'!$C$2:$C$26,0)),E16)="Receptáculo")),AND(F16="Conflito",OR(E16="Receptáculo",IFERROR(INDEX('DADOS_CUSTOM'!$J$2:$J$26,MATCH(E16,'DADOS_CUSTOM'!$C$2:$C$26,0)),E16)="Receptáculo")),AND(F16="Zenin",OR(E16="Descendente",IFERROR(INDEX('DADOS_CUSTOM'!$J$2:$J$26,MATCH(E16,'DADOS_CUSTOM'!$C$2:$C$26,0)),E16)="Descendente")),AND(F16="Kamo",OR(E16="Descendente",IFERROR(INDEX('DADOS_CUSTOM'!$J$2:$J$26,MATCH(E16,'DADOS_CUSTOM'!$C$2:$C$26,0)),E16)="Descendente")),AND(F16="Gojo",OR(E16="Descendente",IFERROR(INDEX('DADOS_CUSTOM'!$J$2:$J$26,MATCH(E16,'DADOS_CUSTOM'!$C$2:$C$26,0)),E16)="Descendente")),AND(F16="Inumaki",OR(E16="Descendente",IFERROR(INDEX('DADOS_CUSTOM'!$J$2:$J$26,MATCH(E16,'DADOS_CUSTOM'!$C$2:$C$26,0)),E16)="Descendente")),AND(F16="Duas Vidas",OR(E16="Encarnado",IFERROR(INDEX('DADOS_CUSTOM'!$J$2:$J$26,MATCH(E16,'DADOS_CUSTOM'!$C$2:$C$26,0)),E16)="Encarnado")),AND(F16="Regeneração Orgânica",OR(E16="Híbrido",IFERROR(INDEX('DADOS_CUSTOM'!$J$2:$J$26,MATCH(E16,'DADOS_CUSTOM'!$C$2:$C$26,0)),E16)="Híbrido")),AND(F16="Existência Artificial",OR(E16="Corpo Amaldiçoado",IFERROR(INDEX('DADOS_CUSTOM'!$J$2:$J$26,MATCH(E16,'DADOS_CUSTOM'!$C$2:$C$26,0)),E16)="Corpo Amaldiçoado")),AND(F16="Ataque sem Prenúncio",OR(E16="Restrição Celestial · Sem Energia",IFERROR(INDEX('DADOS_CUSTOM'!$J$2:$J$26,MATCH(E16,'DADOS_CUSTOM'!$C$2:$C$26,0)),E16)="Restrição Celestial · Sem Energia")),AND(F16="Corpo Debilitado",OR(E16="Restrição Celestial · Restrição corporal",IFERROR(INDEX('DADOS_CUSTOM'!$J$2:$J$26,MATCH(E16,'DADOS_CUSTOM'!$C$2:$C$26,0)),E16)="Restrição Celestial · Restrição corporal")),AND(F16="Corpo Quebradiço",OR(E16="Restrição Celestial · Restrição corporal",IFERROR(INDEX('DADOS_CUSTOM'!$J$2:$J$26,MATCH(E16,'DADOS_CUSTOM'!$C$2:$C$26,0)),E16)="Restrição Celestial · Restrição corporal")),AND(F16="Corpo Exaurido",OR(E16="Restrição Celestial · Restrição corporal",IFERROR(INDEX('DADOS_CUSTOM'!$J$2:$J$26,MATCH(E16,'DADOS_CUSTOM'!$C$2:$C$26,0)),E16)="Restrição Celestial · Restrição corporal")),COUNTIFS('DADOS_CUSTOM'!$C$2:$C$26,F16,'DADOS_CUSTOM'!$B$2:$B$26,"Marcante",'DADOS_CUSTOM'!$E$2:$E$26,E16,'DADOS_CUSTOM'!$U$2:$U$26,"",'DADOS_CUSTOM'!$V$2:$V$26,"")=1))),"Marcante exigida não pertence à Origem ou tem erro","")</f>
        <v/>
      </c>
      <c r="X16" s="175">
        <f>IF(AND($B16="Ferramenta amaldiçoada",NOT(OR(COUNTIF('DADOS_CUSTOM'!$CK$2:$CK$75,E16)&gt;0,OR(COUNTIFS('DADOS_CUSTOM'!$C$2:$C$26,E16,'DADOS_CUSTOM'!$B$2:$B$26,"Arma",'DADOS_CUSTOM'!$U$2:$U$26,"")=1,COUNTIFS('DADOS_CUSTOM'!$C$2:$C$26,E16,'DADOS_CUSTOM'!$B$2:$B$26,"Escudo",'DADOS_CUSTOM'!$U$2:$U$26,"")=1,COUNTIFS('DADOS_CUSTOM'!$C$2:$C$26,E16,'DADOS_CUSTOM'!$B$2:$B$26,"Uniforme",'DADOS_CUSTOM'!$U$2:$U$26,"")=1,COUNTIFS('DADOS_CUSTOM'!$C$2:$C$26,E16,'DADOS_CUSTOM'!$B$2:$B$26,"Item comum",'DADOS_CUSTOM'!$U$2:$U$26,"")=1)))),"Base da ferramenta não existe ou tem erro","")</f>
        <v/>
      </c>
      <c r="AA16" s="175" t="inlineStr">
        <is>
          <t>Faca</t>
        </is>
      </c>
      <c r="AB16" s="175" t="inlineStr">
        <is>
          <t>Lâmina Curta</t>
        </is>
      </c>
      <c r="AC16" s="175" t="n">
        <v>1</v>
      </c>
      <c r="AD16" s="175" t="inlineStr">
        <is>
          <t>1d6</t>
        </is>
      </c>
      <c r="AE16" s="175" t="inlineStr">
        <is>
          <t>Fineza · Rompe · Leve</t>
        </is>
      </c>
      <c r="AF16" s="175" t="inlineStr">
        <is>
          <t>—</t>
        </is>
      </c>
      <c r="AG16" s="175" t="n">
        <v>0.2</v>
      </c>
      <c r="AJ16" s="175">
        <f>'FICHA PESSOAL'!$AE$73</f>
        <v/>
      </c>
      <c r="AK16" s="175">
        <f>ADDRESS(ROW('FICHA PESSOAL'!AE73),COLUMN('FICHA PESSOAL'!AE73),4)</f>
        <v/>
      </c>
      <c r="AM16" s="175">
        <f>IF(AND(OR($B10="Uniforme"),$C10&lt;&gt;"",$U10=""),$C10,"")</f>
        <v/>
      </c>
      <c r="AN16" s="175">
        <f>IF(AND(OR($B10="Uniforme"),$C10&lt;&gt;"",$U10=""),$L10,"")</f>
        <v/>
      </c>
      <c r="AO16" s="175">
        <f>IF(AND(OR($B10="Uniforme"),$C10&lt;&gt;"",$U10=""),$M10,"")</f>
        <v/>
      </c>
      <c r="AP16" s="175">
        <f>IF(AND(OR($B10="Uniforme"),$C10&lt;&gt;"",$U10=""),$N10,"")</f>
        <v/>
      </c>
      <c r="AQ16" s="175">
        <f>IF(AND(OR($B10="Uniforme"),$C10&lt;&gt;"",$U10=""),$O10,"")</f>
        <v/>
      </c>
      <c r="AR16" s="175">
        <f>IF(AND(OR($B10="Uniforme"),$C10&lt;&gt;"",$U10=""),IFERROR(VLOOKUP($E10,DADOS!$CF$5:$CH$9,3,FALSE),1),"")</f>
        <v/>
      </c>
      <c r="AS16" s="175">
        <f>IF(AND(OR($B10="Uniforme"),$C10&lt;&gt;"",$U10=""),$E10,"")</f>
        <v/>
      </c>
      <c r="AU16" s="175">
        <f>IF(AND(OR($B3="Item comum"),$C3&lt;&gt;"",$U3=""),$C3,"")</f>
        <v/>
      </c>
      <c r="AV16" s="175">
        <f>IF(AND(OR($B3="Item comum"),$C3&lt;&gt;"",$U3=""),$L3,"")</f>
        <v/>
      </c>
      <c r="AW16" s="175">
        <f>IF(AND(OR($B3="Item comum"),$C3&lt;&gt;"",$U3=""),$M3,"")</f>
        <v/>
      </c>
      <c r="AX16" s="175">
        <f>IF(AND(OR($B3="Item comum"),$C3&lt;&gt;"",$U3=""),$R3,"")</f>
        <v/>
      </c>
      <c r="AZ16" s="175" t="inlineStr">
        <is>
          <t>Manifestação Instintiva</t>
        </is>
      </c>
      <c r="BA16" s="175" t="inlineStr">
        <is>
          <t>Latente</t>
        </is>
      </c>
      <c r="BB16" s="175" t="inlineStr">
        <is>
          <t>menor</t>
        </is>
      </c>
      <c r="BC16" s="175" t="inlineStr"/>
      <c r="BD16" s="175" t="inlineStr">
        <is>
          <t>Passiva</t>
        </is>
      </c>
      <c r="BE16" s="175" t="inlineStr">
        <is>
          <t>Uma função da sua técnica se manifesta antes de você aprender a desenvolvê-la pelo método comum. Escolha um Talento de Categoria de Efeito 1 do catálogo, compatível com sua técnica ou semente de Sem Técnica, que ainda não possua.
Ele não ocupa espaço conhecido nem conta entre os cinco Talentos pagos. Mantenha seus requisitos, custos e limites. A escolha fica fixa, sem duplicação, evolução gratuita de Categoria ou troca livre. Categoria de Efeito não é Classe de conjuração.</t>
        </is>
      </c>
      <c r="BG16" s="175">
        <f>IF(AND(OR($B8="Origem"),$C8&lt;&gt;"",$T8=TRUE),$C8,"")</f>
        <v/>
      </c>
      <c r="BH16" s="175">
        <f>IF(AND(OR($B8="Origem"),$C8&lt;&gt;"",$T8=TRUE),TEXTJOIN(" · ",TRUE,$E8:$H8),"")</f>
        <v/>
      </c>
      <c r="BI16" s="175">
        <f>IF(AND(OR($B8="Origem"),$C8&lt;&gt;"",$T8=TRUE),$I8,"")</f>
        <v/>
      </c>
      <c r="BM16" s="175" t="inlineStr">
        <is>
          <t>Cassetete</t>
        </is>
      </c>
      <c r="BN16" s="175" t="inlineStr">
        <is>
          <t>Arma</t>
        </is>
      </c>
      <c r="BO16" s="175" t="n">
        <v>0</v>
      </c>
      <c r="BP16" s="175" t="inlineStr">
        <is>
          <t>—</t>
        </is>
      </c>
      <c r="BQ16" s="175" t="inlineStr">
        <is>
          <t>—</t>
        </is>
      </c>
      <c r="BR16" s="175" t="n">
        <v>0.3</v>
      </c>
      <c r="BS16" s="175" t="inlineStr">
        <is>
          <t>—</t>
        </is>
      </c>
      <c r="BT16" s="175" t="inlineStr"/>
      <c r="BU16" s="175" t="inlineStr"/>
      <c r="BV16" s="175" t="inlineStr">
        <is>
          <t>Besta</t>
        </is>
      </c>
      <c r="BW16" s="175">
        <f>IF(AND($B15="Origem",OR($J15="",$J15="Nenhuma",$J15="Restrição Celestial · Restrição corporal")),$C15,"")</f>
        <v/>
      </c>
      <c r="CA16" s="175" t="inlineStr">
        <is>
          <t>Lidar com Animais</t>
        </is>
      </c>
      <c r="CC16" s="175">
        <f>IF(OR('CONFIGURAÇÃO'!$T$101="Origem"),'CONFIGURAÇÃO'!$T$103,"")</f>
        <v/>
      </c>
      <c r="CH16" s="175">
        <f>IF('DADOS_DANOS'!$J$16="","",'DADOS_DANOS'!$J$16)</f>
        <v/>
      </c>
      <c r="CI16" s="175" t="inlineStr">
        <is>
          <t>Munição</t>
        </is>
      </c>
      <c r="CK16" s="175" t="inlineStr">
        <is>
          <t>Foice</t>
        </is>
      </c>
      <c r="CL16" s="175" t="inlineStr">
        <is>
          <t>Corpo Exaurido</t>
        </is>
      </c>
      <c r="CS16" s="175">
        <f>IF(AND($B3="Origem",$T3=TRUE),$C3,"")</f>
        <v/>
      </c>
      <c r="JY16" s="175">
        <f>IF(AND($B16="",$C16="",LEN(TEXTJOIN("",TRUE,E16:R16))=0),"",TEXTJOIN(" · ",TRUE,IF(COUNTIF('DADOS_CUSTOM'!$BZ$2:$BZ$160,$B16)=0,"Escolha um tipo válido",""),IF(LEN(TRIM($C16))=0,"Preencha NOME",""),IF(OR(COUNTIF('DADOS_CUSTOM'!$C$2:$C$26,$C16)&gt;1,COUNTIF('DADOS_CUSTOM'!$BV$2:$BV$171,$C16)&gt;0),"Nome repetido no livro ou custom",""),IF(AND($E16&lt;&gt;"",SWITCH($B16,"Origem","PERÍCIA 1","Marcante","ORIGEM","Menor","ORIGEM","Arma","CATEGORIA","Escudo","","Uniforme","GRAU MÍNIMO","Item comum","","Ferramenta amaldiçoada","BASE","")=""),"Apague campo que este tipo não usa",IF(AND($E16&lt;&gt;"",COUNTIF(INDIRECT(SWITCH($B16,"Origem","'DADOS_PROGRESSAO'!$AG$2:$AG$34","Marcante","'DADOS_CUSTOM'!$BW$2:$BW$160","Menor","'DADOS_CUSTOM'!$CC$2:$CC$160","Arma","'DADOS_CUSTOM'!$CF$2:$CF$160","Escudo","'DADOS_CUSTOM'!$CM$2:$CM$160","Uniforme","'DADOS_CUSTOM'!$CJ$2:$CJ$160","Item comum","'DADOS_CUSTOM'!$CM$2:$CM$160","Ferramenta amaldiçoada","'DADOS_CUSTOM'!$CK$2:$CK$160","'DADOS_CUSTOM'!$CM$2:$CM$160")),$E16)=0),"Opção inválida: "&amp;SWITCH($B16,"Origem","PERÍCIA 1","Marcante","ORIGEM","Menor","ORIGEM","Arma","CATEGORIA","Escudo","","Uniforme","GRAU MÍNIMO","Item comum","","Ferramenta amaldiçoada","BASE",""),"")),IF(AND($F16&lt;&gt;"",SWITCH($B16,"Origem","PERÍCIA 2","Marcante","","Menor","EXIGE MARCANTE","Arma","MÃO","Escudo","","Uniforme","","Item comum","","Ferramenta amaldiçoada","GRAU","")=""),"Apague campo que este tipo não usa",IF(AND($F16&lt;&gt;"",COUNTIF(INDIRECT(SWITCH($B16,"Origem","'DADOS_PROGRESSAO'!$AG$2:$AG$34","Marcante","'DADOS_CUSTOM'!$CM$2:$CM$160","Menor","'DADOS_CUSTOM'!$CL$2:$CL$160","Arma","'DADOS_CUSTOM'!$CG$2:$CG$160","Escudo","'DADOS_CUSTOM'!$CM$2:$CM$160","Uniforme","'DADOS_CUSTOM'!$CM$2:$CM$160","Item comum","'DADOS_CUSTOM'!$CM$2:$CM$160","Ferramenta amaldiçoada","'DADOS_CUSTOM'!$CJ$2:$CJ$160","'DADOS_CUSTOM'!$CM$2:$CM$160")),$F16)=0),"Opção inválida: "&amp;SWITCH($B16,"Origem","PERÍCIA 2","Marcante","","Menor","EXIGE MARCANTE","Arma","MÃO","Escudo","","Uniforme","","Item comum","","Ferramenta amaldiçoada","GRAU",""),"")),IF(AND($G16&lt;&gt;"",SWITCH($B16,"Origem","PERÍCIA 3","Marcante","","Menor","","Arma","TIPO DE DANO","Escudo","","Uniforme","","Item comum","","Ferramenta amaldiçoada","","")=""),"Apague campo que este tipo não usa",IF(AND($G16&lt;&gt;"",COUNTIF(INDIRECT(SWITCH($B16,"Origem","'DADOS_PROGRESSAO'!$AG$2:$AG$34","Marcante","'DADOS_CUSTOM'!$CM$2:$CM$160","Menor","'DADOS_CUSTOM'!$CM$2:$CM$160","Arma","'DADOS_CUSTOM'!$CH$2:$CH$160","Escudo","'DADOS_CUSTOM'!$CM$2:$CM$160","Uniforme","'DADOS_CUSTOM'!$CM$2:$CM$160","Item comum","'DADOS_CUSTOM'!$CM$2:$CM$160","Ferramenta amaldiçoada","'DADOS_CUSTOM'!$CM$2:$CM$160","'DADOS_CUSTOM'!$CM$2:$CM$160")),$G16)=0),"Opção inválida: "&amp;SWITCH($B16,"Origem","PERÍCIA 3","Marcante","","Menor","","Arma","TIPO DE DANO","Escudo","","Uniforme","","Item comum","","Ferramenta amaldiçoada","",""),"")),IF(AND($H16&lt;&gt;"",SWITCH($B16,"Origem","PERÍCIA 4","Marcante","","Menor","","Arma","PROPRIEDADE 1","Escudo","","Uniforme","","Item comum","","Ferramenta amaldiçoada","","")=""),"Apague campo que este tipo não usa",IF(AND($H16&lt;&gt;"",COUNTIF(INDIRECT(SWITCH($B16,"Origem","'DADOS_PROGRESSAO'!$AG$2:$AG$34","Marcante","'DADOS_CUSTOM'!$CM$2:$CM$160","Menor","'DADOS_CUSTOM'!$CM$2:$CM$160","Arma","'DADOS_CUSTOM'!$CI$2:$CI$160","Escudo","'DADOS_CUSTOM'!$CM$2:$CM$160","Uniforme","'DADOS_CUSTOM'!$CM$2:$CM$160","Item comum","'DADOS_CUSTOM'!$CM$2:$CM$160","Ferramenta amaldiçoada","'DADOS_CUSTOM'!$CM$2:$CM$160","'DADOS_CUSTOM'!$CM$2:$CM$160")),$H16)=0),"Opção inválida: "&amp;SWITCH($B16,"Origem","PERÍCIA 4","Marcante","","Menor","","Arma","PROPRIEDADE 1","Escudo","","Uniforme","","Item comum","","Ferramenta amaldiçoada","",""),"")),IF(AND($I16&lt;&gt;"",SWITCH($B16,"Origem","ROTA","Marcante","","Menor","","Arma","PROPRIEDADE 2","Escudo","","Uniforme","","Item comum","","Ferramenta amaldiçoada","","")=""),"Apague campo que este tipo não usa",IF(AND($I16&lt;&gt;"",COUNTIF(INDIRECT(SWITCH($B16,"Origem","'DADOS_CUSTOM'!$CB$2:$CB$160","Marcante","'DADOS_CUSTOM'!$CM$2:$CM$160","Menor","'DADOS_CUSTOM'!$CM$2:$CM$160","Arma","'DADOS_CUSTOM'!$CI$2:$CI$160","Escudo","'DADOS_CUSTOM'!$CM$2:$CM$160","Uniforme","'DADOS_CUSTOM'!$CM$2:$CM$160","Item comum","'DADOS_CUSTOM'!$CM$2:$CM$160","Ferramenta amaldiçoada","'DADOS_CUSTOM'!$CM$2:$CM$160","'DADOS_CUSTOM'!$CM$2:$CM$160")),$I16)=0),"Opção inválida: "&amp;SWITCH($B16,"Origem","ROTA","Marcante","","Menor","","Arma","PROPRIEDADE 2","Escudo","","Uniforme","","Item comum","","Ferramenta amaldiçoada","",""),""))))</f>
        <v/>
      </c>
      <c r="JZ16" s="175">
        <f>IF(AND($B16="",$C16="",LEN(TEXTJOIN("",TRUE,E16:R16))=0),"",TEXTJOIN(" · ",TRUE,IF(AND($J16&lt;&gt;"",SWITCH($B16,"Origem","BASE DO LIVRO","Marcante","","Menor","","Arma","PROPRIEDADE 3","Escudo","","Uniforme","","Item comum","","Ferramenta amaldiçoada","","")=""),"Apague campo que este tipo não usa",IF(AND($J16&lt;&gt;"",COUNTIF(INDIRECT(SWITCH($B16,"Origem","'DADOS_CUSTOM'!$CD$2:$CD$160","Marcante","'DADOS_CUSTOM'!$CM$2:$CM$160","Menor","'DADOS_CUSTOM'!$CM$2:$CM$160","Arma","'DADOS_CUSTOM'!$CI$2:$CI$160","Escudo","'DADOS_CUSTOM'!$CM$2:$CM$160","Uniforme","'DADOS_CUSTOM'!$CM$2:$CM$160","Item comum","'DADOS_CUSTOM'!$CM$2:$CM$160","Ferramenta amaldiçoada","'DADOS_CUSTOM'!$CM$2:$CM$160","'DADOS_CUSTOM'!$CM$2:$CM$160")),$J16)=0),"Opção inválida: "&amp;SWITCH($B16,"Origem","BASE DO LIVRO","Marcante","","Menor","","Arma","PROPRIEDADE 3","Escudo","","Uniforme","","Item comum","","Ferramenta amaldiçoada","",""),"")),IF(AND($K16&lt;&gt;"",SWITCH($B16,"Origem","OFÍCIO","Marcante","","Menor","","Arma","PROPRIEDADE 4","Escudo","","Uniforme","","Item comum","","Ferramenta amaldiçoada","","")=""),"Apague campo que este tipo não usa",IF(AND($K16&lt;&gt;"",COUNTIF(INDIRECT(SWITCH($B16,"Origem","'DADOS_PROGRESSAO'!$AJ$2:$AJ$23","Marcante","'DADOS_CUSTOM'!$CM$2:$CM$160","Menor","'DADOS_CUSTOM'!$CM$2:$CM$160","Arma","'DADOS_CUSTOM'!$CI$2:$CI$160","Escudo","'DADOS_CUSTOM'!$CM$2:$CM$160","Uniforme","'DADOS_CUSTOM'!$CM$2:$CM$160","Item comum","'DADOS_CUSTOM'!$CM$2:$CM$160","Ferramenta amaldiçoada","'DADOS_CUSTOM'!$CM$2:$CM$160","'DADOS_CUSTOM'!$CM$2:$CM$160")),$K16)=0),"Opção inválida: "&amp;SWITCH($B16,"Origem","OFÍCIO","Marcante","","Menor","","Arma","PROPRIEDADE 4","Escudo","","Uniforme","","Item comum","","Ferramenta amaldiçoada","",""),"")),IF(AND($L16&lt;&gt;"",SWITCH($B16,"Origem","TALENTO CE 4","Marcante","FREQUÊNCIA","Menor","FREQUÊNCIA","Arma","DADO","Escudo","PROTEÇÃO","Uniforme","PROTEÇÃO","Item comum","VOLUME","Ferramenta amaldiçoada","ESTIGMA","")=""),"Apague campo que este tipo não usa",IF(AND(OR($B16="Escudo",$B16="Uniforme",$B16="Item comum"),$L16&lt;&gt;"",NOT(ISNUMBER($L16)),NOT(AND($L16="—",FALSE))),"Informe número: "&amp;SWITCH($B16,"Origem","TALENTO CE 4","Marcante","FREQUÊNCIA","Menor","FREQUÊNCIA","Arma","DADO","Escudo","PROTEÇÃO","Uniforme","PROTEÇÃO","Item comum","VOLUME","Ferramenta amaldiçoada","ESTIGMA",""),"")),IF(AND($M16&lt;&gt;"",SWITCH($B16,"Origem","","Marcante","","Menor","","Arma","FORÇA","Escudo","TETO DE DESTREZA","Uniforme","TETO DE DESTREZA","Item comum","PREÇO","Ferramenta amaldiçoada","DESGASTE","")=""),"Apague campo que este tipo não usa",IF(AND(OR($B16="Arma",$B16="Escudo",$B16="Uniforme",$B16="Item comum",$B16="Ferramenta amaldiçoada"),$M16&lt;&gt;"",NOT(ISNUMBER($M16)),NOT(AND($M16="—",OR($B16="Arma",$B16="Escudo",$B16="Uniforme",$B16="Ferramenta amaldiçoada")))),"Informe número: "&amp;SWITCH($B16,"Origem","","Marcante","","Menor","","Arma","FORÇA","Escudo","TETO DE DESTREZA","Uniforme","TETO DE DESTREZA","Item comum","PREÇO","Ferramenta amaldiçoada","DESGASTE",""),"")),IF(AND($N16&lt;&gt;"",SWITCH($B16,"Origem","","Marcante","","Menor","","Arma","VOLUME","Escudo","FORÇA","Uniforme","FORÇA","Item comum","","Ferramenta amaldiçoada","VOLUME","")=""),"Apague campo que este tipo não usa",IF(AND(OR($B16="Arma",$B16="Escudo",$B16="Uniforme",$B16="Ferramenta amaldiçoada"),$N16&lt;&gt;"",NOT(ISNUMBER($N16)),NOT(AND($N16="—",OR($B16="Escudo",$B16="Uniforme")))),"Informe número: "&amp;SWITCH($B16,"Origem","","Marcante","","Menor","","Arma","VOLUME","Escudo","FORÇA","Uniforme","FORÇA","Item comum","","Ferramenta amaldiçoada","VOLUME",""),"")),IF(AND($O16&lt;&gt;"",SWITCH($B16,"Origem","","Marcante","","Menor","","Arma","ALCANCE","Escudo","VOLUME","Uniforme","VOLUME","Item comum","","Ferramenta amaldiçoada","PREÇO","")=""),"Apague campo que este tipo não usa",IF(AND(OR($B16="Escudo",$B16="Uniforme",$B16="Ferramenta amaldiçoada"),$O16&lt;&gt;"",NOT(ISNUMBER($O16)),NOT(AND($O16="—",FALSE))),"Informe número: "&amp;SWITCH($B16,"Origem","","Marcante","","Menor","","Arma","ALCANCE","Escudo","VOLUME","Uniforme","VOLUME","Item comum","","Ferramenta amaldiçoada","PREÇO",""),"")),IF(AND($P16&lt;&gt;"",SWITCH($B16,"Origem","","Marcante","","Menor","","Arma","RECARGA","Escudo","PREÇO","Uniforme","PREÇO","Item comum","","Ferramenta amaldiçoada","","")=""),"Apague campo que este tipo não usa",IF(AND(OR($B16="Arma",$B16="Escudo",$B16="Uniforme"),$P16&lt;&gt;"",NOT(ISNUMBER($P16)),NOT(AND($P16="—",OR($B16="Arma")))),"Informe número: "&amp;SWITCH($B16,"Origem","","Marcante","","Menor","","Arma","RECARGA","Escudo","PREÇO","Uniforme","PREÇO","Item comum","","Ferramenta amaldiçoada","",""),"")),IF(AND($Q16&lt;&gt;"",SWITCH($B16,"Origem","","Marcante","","Menor","","Arma","PREÇO","Escudo","","Uniforme","","Item comum","","Ferramenta amaldiçoada","","")=""),"Apague campo que este tipo não usa",IF(AND(OR($B16="Arma"),$Q16&lt;&gt;"",NOT(ISNUMBER($Q16)),NOT(AND($Q16="—",FALSE))),"Informe número: "&amp;SWITCH($B16,"Origem","","Marcante","","Menor","","Arma","PREÇO","Escudo","","Uniforme","","Item comum","","Ferramenta amaldiçoada","",""),""))))</f>
        <v/>
      </c>
      <c r="KA16" s="175">
        <f>IF(AND($B16="",$C16="",LEN(TEXTJOIN("",TRUE,E16:R16))=0),"",TEXTJOIN(" · ",TRUE,IF(AND($B16="Origem",OR($E16="",$F16="",$G16="",$H16="",$I16="")),"Preencha os campos obrigatórios de Origem",""),IF(AND($B16="Marcante",OR($E16="")),"Preencha os campos obrigatórios de Marcante",""),IF(AND($B16="Menor",OR($E16="")),"Preencha os campos obrigatórios de Menor",""),IF(AND($B16="Arma",OR($E16="",$F16="",$G16="",$L16="",$M16="",$N16="")),"Preencha os campos obrigatórios de Arma",""),IF(AND($B16="Escudo",OR($L16="",$M16="",$N16="",$O16="")),"Preencha os campos obrigatórios de Escudo",""),IF(AND($B16="Uniforme",OR($E16="",$L16="",$M16="",$N16="",$O16="")),"Preencha os campos obrigatórios de Uniforme",""),IF(AND($B16="Item comum",OR($L16="")),"Preencha os campos obrigatórios de Item comum",""),IF(AND($B16="Ferramenta amaldiçoada",OR($E16="",$F16="")),"Preencha os campos obrigatórios de Ferramenta amaldiçoada",""),IF(AND($B16="Origem",COUNTA(E16:H16)=4,NOT(AND(E16&lt;&gt;F16,E16&lt;&gt;G16,E16&lt;&gt;H16,F16&lt;&gt;G16,F16&lt;&gt;H16,G16&lt;&gt;H16))),"Escolha quatro perícias diferentes",""),IF(AND($B16="Origem",J16="Latente",NOT(OR(I16="Fundamento",I16="Manejos"))),"ROTA não combina com BASE DO LIVRO",""),IF(AND($B16="Origem",J16="Receptáculo",NOT(OR(I16="Fundamento",I16="Manejos"))),"ROTA não combina com BASE DO LIVRO",""),IF(AND($B16="Origem",J16="Descendente",NOT(OR(I16="Fundamento",I16="Manejos"))),"ROTA não combina com BASE DO LIVRO",""),IF(AND($B16="Origem",J16="Encarnado",NOT(OR(I16="Fundamento",I16="Manejos"))),"ROTA não combina com BASE DO LIVRO",""),IF(AND($B16="Origem",J16="Híbrido",NOT(OR(I16="Fundamento",I16="Manejos"))),"ROTA não combina com BASE DO LIVRO",""),IF(AND($B16="Origem",J16="Corpo Amaldiçoado",NOT(OR(I16="Técnica Marcial com energia"))),"ROTA não combina com BASE DO LIVRO",""),IF(AND($B16="Origem",J16="Restrição Celestial · Sem Energia",NOT(OR(I16="Técnica Marcial sem energia"))),"ROTA não combina com BASE DO LIVRO",""),IF(AND($B16="Origem",J16="Restrição Celestial · Restrição corporal",NOT(OR(I16="Fundamento"))),"ROTA não combina com BASE DO LIVRO","")))</f>
        <v/>
      </c>
    </row>
    <row r="17">
      <c r="A17" s="175" t="n">
        <v>16</v>
      </c>
      <c r="B17" s="175">
        <f>IF(ISBLANK('CONFIGURAÇÃO'!$AB$217),"",'CONFIGURAÇÃO'!$AB$217)</f>
        <v/>
      </c>
      <c r="C17" s="175">
        <f>IF(ISBLANK('CONFIGURAÇÃO'!$AB$219),"",'CONFIGURAÇÃO'!$AB$219)</f>
        <v/>
      </c>
      <c r="D17" s="175">
        <f>IF(ISBLANK('CONFIGURAÇÃO'!$AF$217),"",'CONFIGURAÇÃO'!$AF$217)</f>
        <v/>
      </c>
      <c r="E17" s="175">
        <f>IF(ISBLANK('CONFIGURAÇÃO'!$AD$220),"",'CONFIGURAÇÃO'!$AD$220)</f>
        <v/>
      </c>
      <c r="F17" s="175">
        <f>IF(ISBLANK('CONFIGURAÇÃO'!$AD$221),"",'CONFIGURAÇÃO'!$AD$221)</f>
        <v/>
      </c>
      <c r="G17" s="175">
        <f>IF(ISBLANK('CONFIGURAÇÃO'!$AD$222),"",'CONFIGURAÇÃO'!$AD$222)</f>
        <v/>
      </c>
      <c r="H17" s="175">
        <f>IF(ISBLANK('CONFIGURAÇÃO'!$AD$223),"",'CONFIGURAÇÃO'!$AD$223)</f>
        <v/>
      </c>
      <c r="I17" s="175">
        <f>IF(ISBLANK('CONFIGURAÇÃO'!$AD$224),"",'CONFIGURAÇÃO'!$AD$224)</f>
        <v/>
      </c>
      <c r="J17" s="175">
        <f>IF(ISBLANK('CONFIGURAÇÃO'!$AD$225),"",'CONFIGURAÇÃO'!$AD$225)</f>
        <v/>
      </c>
      <c r="K17" s="175">
        <f>IF(ISBLANK('CONFIGURAÇÃO'!$AD$226),"",'CONFIGURAÇÃO'!$AD$226)</f>
        <v/>
      </c>
      <c r="L17" s="175">
        <f>IF(ISBLANK('CONFIGURAÇÃO'!$AD$227),"",'CONFIGURAÇÃO'!$AD$227)</f>
        <v/>
      </c>
      <c r="M17" s="175">
        <f>IF(ISBLANK('CONFIGURAÇÃO'!$AD$228),"",'CONFIGURAÇÃO'!$AD$228)</f>
        <v/>
      </c>
      <c r="N17" s="175">
        <f>IF(ISBLANK('CONFIGURAÇÃO'!$AD$229),"",'CONFIGURAÇÃO'!$AD$229)</f>
        <v/>
      </c>
      <c r="O17" s="175">
        <f>IF(ISBLANK('CONFIGURAÇÃO'!$AD$230),"",'CONFIGURAÇÃO'!$AD$230)</f>
        <v/>
      </c>
      <c r="P17" s="175">
        <f>IF(ISBLANK('CONFIGURAÇÃO'!$AD$231),"",'CONFIGURAÇÃO'!$AD$231)</f>
        <v/>
      </c>
      <c r="Q17" s="175">
        <f>IF(ISBLANK('CONFIGURAÇÃO'!$AD$232),"",'CONFIGURAÇÃO'!$AD$232)</f>
        <v/>
      </c>
      <c r="R17" s="175">
        <f>IF(ISBLANK('CONFIGURAÇÃO'!$AB$234),"",'CONFIGURAÇÃO'!$AB$234)</f>
        <v/>
      </c>
      <c r="S17" s="175">
        <f>TEXTJOIN(" · ",TRUE,U17,V17,W17,X17)</f>
        <v/>
      </c>
      <c r="T17" s="175">
        <f>AND(B17&lt;&gt;"",C17&lt;&gt;"",S17="")</f>
        <v/>
      </c>
      <c r="U17" s="175">
        <f>TEXTJOIN(" · ",TRUE,JY17:KA17)</f>
        <v/>
      </c>
      <c r="V17" s="175">
        <f>IF(AND(OR($B17="Marcante",$B17="Menor"),NOT(OR(COUNTIF('DADOS_CUSTOM'!$CD$2:$CD$160,E17)&gt;0,COUNTIFS('DADOS_CUSTOM'!$C$2:$C$26,E17,'DADOS_CUSTOM'!$B$2:$B$26,"Origem",'DADOS_CUSTOM'!$U$2:$U$26,"")=1))),"Origem vinculada não existe ou tem erro",IF(AND($B17="Marcante",NOT(OR(E17="Restrição Celestial · Restrição corporal",AND(COUNTIFS('DADOS_CUSTOM'!$C$2:$C$26,E17,'DADOS_CUSTOM'!$B$2:$B$26,"Origem",'DADOS_CUSTOM'!$U$2:$U$26,"")=1,OR(IFERROR(INDEX('DADOS_CUSTOM'!$J$2:$J$26,MATCH(E17,'DADOS_CUSTOM'!$C$2:$C$26,0)),E17)="",IFERROR(INDEX('DADOS_CUSTOM'!$J$2:$J$26,MATCH(E17,'DADOS_CUSTOM'!$C$2:$C$26,0)),E17)="Nenhuma",IFERROR(INDEX('DADOS_CUSTOM'!$J$2:$J$26,MATCH(E17,'DADOS_CUSTOM'!$C$2:$C$26,0)),E17)="Restrição Celestial · Restrição corporal"))))),"Marcante própria só para Restrição corporal ou Origem do zero; use a marcante publicada da base",""))</f>
        <v/>
      </c>
      <c r="W17" s="175">
        <f>IF(AND($B17="Menor",F17&lt;&gt;"",F17&lt;&gt;"—",NOT(OR(AND(F17="Tentativa e Erro",OR(E17="Latente",IFERROR(INDEX('DADOS_CUSTOM'!$J$2:$J$26,MATCH(E17,'DADOS_CUSTOM'!$C$2:$C$26,0)),E17)="Latente")),AND(F17="Coexistência",OR(E17="Receptáculo",IFERROR(INDEX('DADOS_CUSTOM'!$J$2:$J$26,MATCH(E17,'DADOS_CUSTOM'!$C$2:$C$26,0)),E17)="Receptáculo")),AND(F17="Conflito",OR(E17="Receptáculo",IFERROR(INDEX('DADOS_CUSTOM'!$J$2:$J$26,MATCH(E17,'DADOS_CUSTOM'!$C$2:$C$26,0)),E17)="Receptáculo")),AND(F17="Zenin",OR(E17="Descendente",IFERROR(INDEX('DADOS_CUSTOM'!$J$2:$J$26,MATCH(E17,'DADOS_CUSTOM'!$C$2:$C$26,0)),E17)="Descendente")),AND(F17="Kamo",OR(E17="Descendente",IFERROR(INDEX('DADOS_CUSTOM'!$J$2:$J$26,MATCH(E17,'DADOS_CUSTOM'!$C$2:$C$26,0)),E17)="Descendente")),AND(F17="Gojo",OR(E17="Descendente",IFERROR(INDEX('DADOS_CUSTOM'!$J$2:$J$26,MATCH(E17,'DADOS_CUSTOM'!$C$2:$C$26,0)),E17)="Descendente")),AND(F17="Inumaki",OR(E17="Descendente",IFERROR(INDEX('DADOS_CUSTOM'!$J$2:$J$26,MATCH(E17,'DADOS_CUSTOM'!$C$2:$C$26,0)),E17)="Descendente")),AND(F17="Duas Vidas",OR(E17="Encarnado",IFERROR(INDEX('DADOS_CUSTOM'!$J$2:$J$26,MATCH(E17,'DADOS_CUSTOM'!$C$2:$C$26,0)),E17)="Encarnado")),AND(F17="Regeneração Orgânica",OR(E17="Híbrido",IFERROR(INDEX('DADOS_CUSTOM'!$J$2:$J$26,MATCH(E17,'DADOS_CUSTOM'!$C$2:$C$26,0)),E17)="Híbrido")),AND(F17="Existência Artificial",OR(E17="Corpo Amaldiçoado",IFERROR(INDEX('DADOS_CUSTOM'!$J$2:$J$26,MATCH(E17,'DADOS_CUSTOM'!$C$2:$C$26,0)),E17)="Corpo Amaldiçoado")),AND(F17="Ataque sem Prenúncio",OR(E17="Restrição Celestial · Sem Energia",IFERROR(INDEX('DADOS_CUSTOM'!$J$2:$J$26,MATCH(E17,'DADOS_CUSTOM'!$C$2:$C$26,0)),E17)="Restrição Celestial · Sem Energia")),AND(F17="Corpo Debilitado",OR(E17="Restrição Celestial · Restrição corporal",IFERROR(INDEX('DADOS_CUSTOM'!$J$2:$J$26,MATCH(E17,'DADOS_CUSTOM'!$C$2:$C$26,0)),E17)="Restrição Celestial · Restrição corporal")),AND(F17="Corpo Quebradiço",OR(E17="Restrição Celestial · Restrição corporal",IFERROR(INDEX('DADOS_CUSTOM'!$J$2:$J$26,MATCH(E17,'DADOS_CUSTOM'!$C$2:$C$26,0)),E17)="Restrição Celestial · Restrição corporal")),AND(F17="Corpo Exaurido",OR(E17="Restrição Celestial · Restrição corporal",IFERROR(INDEX('DADOS_CUSTOM'!$J$2:$J$26,MATCH(E17,'DADOS_CUSTOM'!$C$2:$C$26,0)),E17)="Restrição Celestial · Restrição corporal")),COUNTIFS('DADOS_CUSTOM'!$C$2:$C$26,F17,'DADOS_CUSTOM'!$B$2:$B$26,"Marcante",'DADOS_CUSTOM'!$E$2:$E$26,E17,'DADOS_CUSTOM'!$U$2:$U$26,"",'DADOS_CUSTOM'!$V$2:$V$26,"")=1))),"Marcante exigida não pertence à Origem ou tem erro","")</f>
        <v/>
      </c>
      <c r="X17" s="175">
        <f>IF(AND($B17="Ferramenta amaldiçoada",NOT(OR(COUNTIF('DADOS_CUSTOM'!$CK$2:$CK$75,E17)&gt;0,OR(COUNTIFS('DADOS_CUSTOM'!$C$2:$C$26,E17,'DADOS_CUSTOM'!$B$2:$B$26,"Arma",'DADOS_CUSTOM'!$U$2:$U$26,"")=1,COUNTIFS('DADOS_CUSTOM'!$C$2:$C$26,E17,'DADOS_CUSTOM'!$B$2:$B$26,"Escudo",'DADOS_CUSTOM'!$U$2:$U$26,"")=1,COUNTIFS('DADOS_CUSTOM'!$C$2:$C$26,E17,'DADOS_CUSTOM'!$B$2:$B$26,"Uniforme",'DADOS_CUSTOM'!$U$2:$U$26,"")=1,COUNTIFS('DADOS_CUSTOM'!$C$2:$C$26,E17,'DADOS_CUSTOM'!$B$2:$B$26,"Item comum",'DADOS_CUSTOM'!$U$2:$U$26,"")=1)))),"Base da ferramenta não existe ou tem erro","")</f>
        <v/>
      </c>
      <c r="AA17" s="175" t="inlineStr">
        <is>
          <t>Foice</t>
        </is>
      </c>
      <c r="AB17" s="175" t="inlineStr">
        <is>
          <t>Ceifa</t>
        </is>
      </c>
      <c r="AC17" s="175" t="n">
        <v>2</v>
      </c>
      <c r="AD17" s="175" t="inlineStr">
        <is>
          <t>1d10</t>
        </is>
      </c>
      <c r="AE17" s="175" t="inlineStr">
        <is>
          <t>Emaranha · Talha</t>
        </is>
      </c>
      <c r="AF17" s="175" t="n">
        <v>3</v>
      </c>
      <c r="AG17" s="175" t="n">
        <v>2</v>
      </c>
      <c r="AJ17" s="175">
        <f>'FICHA PESSOAL'!$V$78</f>
        <v/>
      </c>
      <c r="AK17" s="175">
        <f>ADDRESS(ROW('FICHA PESSOAL'!V78),COLUMN('FICHA PESSOAL'!V78),4)</f>
        <v/>
      </c>
      <c r="AM17" s="175">
        <f>IF(AND(OR($B11="Uniforme"),$C11&lt;&gt;"",$U11=""),$C11,"")</f>
        <v/>
      </c>
      <c r="AN17" s="175">
        <f>IF(AND(OR($B11="Uniforme"),$C11&lt;&gt;"",$U11=""),$L11,"")</f>
        <v/>
      </c>
      <c r="AO17" s="175">
        <f>IF(AND(OR($B11="Uniforme"),$C11&lt;&gt;"",$U11=""),$M11,"")</f>
        <v/>
      </c>
      <c r="AP17" s="175">
        <f>IF(AND(OR($B11="Uniforme"),$C11&lt;&gt;"",$U11=""),$N11,"")</f>
        <v/>
      </c>
      <c r="AQ17" s="175">
        <f>IF(AND(OR($B11="Uniforme"),$C11&lt;&gt;"",$U11=""),$O11,"")</f>
        <v/>
      </c>
      <c r="AR17" s="175">
        <f>IF(AND(OR($B11="Uniforme"),$C11&lt;&gt;"",$U11=""),IFERROR(VLOOKUP($E11,DADOS!$CF$5:$CH$9,3,FALSE),1),"")</f>
        <v/>
      </c>
      <c r="AS17" s="175">
        <f>IF(AND(OR($B11="Uniforme"),$C11&lt;&gt;"",$U11=""),$E11,"")</f>
        <v/>
      </c>
      <c r="AU17" s="175">
        <f>IF(AND(OR($B4="Item comum"),$C4&lt;&gt;"",$U4=""),$C4,"")</f>
        <v/>
      </c>
      <c r="AV17" s="175">
        <f>IF(AND(OR($B4="Item comum"),$C4&lt;&gt;"",$U4=""),$L4,"")</f>
        <v/>
      </c>
      <c r="AW17" s="175">
        <f>IF(AND(OR($B4="Item comum"),$C4&lt;&gt;"",$U4=""),$M4,"")</f>
        <v/>
      </c>
      <c r="AX17" s="175">
        <f>IF(AND(OR($B4="Item comum"),$C4&lt;&gt;"",$U4=""),$R4,"")</f>
        <v/>
      </c>
      <c r="AZ17" s="175" t="inlineStr">
        <is>
          <t>Prontidão Instintiva</t>
        </is>
      </c>
      <c r="BA17" s="175" t="inlineStr">
        <is>
          <t>Latente</t>
        </is>
      </c>
      <c r="BB17" s="175" t="inlineStr">
        <is>
          <t>menor</t>
        </is>
      </c>
      <c r="BC17" s="175" t="inlineStr"/>
      <c r="BD17" s="175" t="inlineStr">
        <is>
          <t>Passiva</t>
        </is>
      </c>
      <c r="BE17" s="175" t="inlineStr">
        <is>
          <t>Você reage ao perigo antes de organizar uma resposta. Role Iniciativa com vantagem, conservando Destreza e os demais modificadores normais.</t>
        </is>
      </c>
      <c r="BG17" s="175">
        <f>IF(AND(OR($B9="Origem"),$C9&lt;&gt;"",$T9=TRUE),$C9,"")</f>
        <v/>
      </c>
      <c r="BH17" s="175">
        <f>IF(AND(OR($B9="Origem"),$C9&lt;&gt;"",$T9=TRUE),TEXTJOIN(" · ",TRUE,$E9:$H9),"")</f>
        <v/>
      </c>
      <c r="BI17" s="175">
        <f>IF(AND(OR($B9="Origem"),$C9&lt;&gt;"",$T9=TRUE),$I9,"")</f>
        <v/>
      </c>
      <c r="BM17" s="175" t="inlineStr">
        <is>
          <t>Chakram</t>
        </is>
      </c>
      <c r="BN17" s="175" t="inlineStr">
        <is>
          <t>Arma</t>
        </is>
      </c>
      <c r="BO17" s="175" t="n">
        <v>0</v>
      </c>
      <c r="BP17" s="175" t="inlineStr">
        <is>
          <t>—</t>
        </is>
      </c>
      <c r="BQ17" s="175" t="inlineStr">
        <is>
          <t>—</t>
        </is>
      </c>
      <c r="BR17" s="175" t="n">
        <v>0.2</v>
      </c>
      <c r="BS17" s="175" t="inlineStr">
        <is>
          <t>—</t>
        </is>
      </c>
      <c r="BT17" s="175" t="inlineStr"/>
      <c r="BU17" s="175" t="inlineStr"/>
      <c r="BV17" s="175" t="inlineStr">
        <is>
          <t>Besta de Uma Mão</t>
        </is>
      </c>
      <c r="BW17" s="175">
        <f>IF(AND($B16="Origem",OR($J16="",$J16="Nenhuma",$J16="Restrição Celestial · Restrição corporal")),$C16,"")</f>
        <v/>
      </c>
      <c r="CA17" s="175" t="inlineStr">
        <is>
          <t>Tecnologia</t>
        </is>
      </c>
      <c r="CC17" s="175">
        <f>IF(OR('CONFIGURAÇÃO'!$AB$101="Origem"),'CONFIGURAÇÃO'!$AB$103,"")</f>
        <v/>
      </c>
      <c r="CH17">
        <f>IF('DADOS_DANOS'!$J$17="","",'DADOS_DANOS'!$J$17)</f>
        <v/>
      </c>
      <c r="CI17" s="175" t="inlineStr">
        <is>
          <t>Volumosa</t>
        </is>
      </c>
      <c r="CK17" s="175" t="inlineStr">
        <is>
          <t>Hankyū</t>
        </is>
      </c>
      <c r="CL17" s="175">
        <f>IF(OR('CONFIGURAÇÃO'!$T$14="Marcante"),'CONFIGURAÇÃO'!$T$16,"")</f>
        <v/>
      </c>
      <c r="CS17" s="175">
        <f>IF(AND($B4="Origem",$T4=TRUE),$C4,"")</f>
        <v/>
      </c>
      <c r="JY17" s="175">
        <f>IF(AND($B17="",$C17="",LEN(TEXTJOIN("",TRUE,E17:R17))=0),"",TEXTJOIN(" · ",TRUE,IF(COUNTIF('DADOS_CUSTOM'!$BZ$2:$BZ$160,$B17)=0,"Escolha um tipo válido",""),IF(LEN(TRIM($C17))=0,"Preencha NOME",""),IF(OR(COUNTIF('DADOS_CUSTOM'!$C$2:$C$26,$C17)&gt;1,COUNTIF('DADOS_CUSTOM'!$BV$2:$BV$171,$C17)&gt;0),"Nome repetido no livro ou custom",""),IF(AND($E17&lt;&gt;"",SWITCH($B17,"Origem","PERÍCIA 1","Marcante","ORIGEM","Menor","ORIGEM","Arma","CATEGORIA","Escudo","","Uniforme","GRAU MÍNIMO","Item comum","","Ferramenta amaldiçoada","BASE","")=""),"Apague campo que este tipo não usa",IF(AND($E17&lt;&gt;"",COUNTIF(INDIRECT(SWITCH($B17,"Origem","'DADOS_PROGRESSAO'!$AG$2:$AG$34","Marcante","'DADOS_CUSTOM'!$BW$2:$BW$160","Menor","'DADOS_CUSTOM'!$CC$2:$CC$160","Arma","'DADOS_CUSTOM'!$CF$2:$CF$160","Escudo","'DADOS_CUSTOM'!$CM$2:$CM$160","Uniforme","'DADOS_CUSTOM'!$CJ$2:$CJ$160","Item comum","'DADOS_CUSTOM'!$CM$2:$CM$160","Ferramenta amaldiçoada","'DADOS_CUSTOM'!$CK$2:$CK$160","'DADOS_CUSTOM'!$CM$2:$CM$160")),$E17)=0),"Opção inválida: "&amp;SWITCH($B17,"Origem","PERÍCIA 1","Marcante","ORIGEM","Menor","ORIGEM","Arma","CATEGORIA","Escudo","","Uniforme","GRAU MÍNIMO","Item comum","","Ferramenta amaldiçoada","BASE",""),"")),IF(AND($F17&lt;&gt;"",SWITCH($B17,"Origem","PERÍCIA 2","Marcante","","Menor","EXIGE MARCANTE","Arma","MÃO","Escudo","","Uniforme","","Item comum","","Ferramenta amaldiçoada","GRAU","")=""),"Apague campo que este tipo não usa",IF(AND($F17&lt;&gt;"",COUNTIF(INDIRECT(SWITCH($B17,"Origem","'DADOS_PROGRESSAO'!$AG$2:$AG$34","Marcante","'DADOS_CUSTOM'!$CM$2:$CM$160","Menor","'DADOS_CUSTOM'!$CL$2:$CL$160","Arma","'DADOS_CUSTOM'!$CG$2:$CG$160","Escudo","'DADOS_CUSTOM'!$CM$2:$CM$160","Uniforme","'DADOS_CUSTOM'!$CM$2:$CM$160","Item comum","'DADOS_CUSTOM'!$CM$2:$CM$160","Ferramenta amaldiçoada","'DADOS_CUSTOM'!$CJ$2:$CJ$160","'DADOS_CUSTOM'!$CM$2:$CM$160")),$F17)=0),"Opção inválida: "&amp;SWITCH($B17,"Origem","PERÍCIA 2","Marcante","","Menor","EXIGE MARCANTE","Arma","MÃO","Escudo","","Uniforme","","Item comum","","Ferramenta amaldiçoada","GRAU",""),"")),IF(AND($G17&lt;&gt;"",SWITCH($B17,"Origem","PERÍCIA 3","Marcante","","Menor","","Arma","TIPO DE DANO","Escudo","","Uniforme","","Item comum","","Ferramenta amaldiçoada","","")=""),"Apague campo que este tipo não usa",IF(AND($G17&lt;&gt;"",COUNTIF(INDIRECT(SWITCH($B17,"Origem","'DADOS_PROGRESSAO'!$AG$2:$AG$34","Marcante","'DADOS_CUSTOM'!$CM$2:$CM$160","Menor","'DADOS_CUSTOM'!$CM$2:$CM$160","Arma","'DADOS_CUSTOM'!$CH$2:$CH$160","Escudo","'DADOS_CUSTOM'!$CM$2:$CM$160","Uniforme","'DADOS_CUSTOM'!$CM$2:$CM$160","Item comum","'DADOS_CUSTOM'!$CM$2:$CM$160","Ferramenta amaldiçoada","'DADOS_CUSTOM'!$CM$2:$CM$160","'DADOS_CUSTOM'!$CM$2:$CM$160")),$G17)=0),"Opção inválida: "&amp;SWITCH($B17,"Origem","PERÍCIA 3","Marcante","","Menor","","Arma","TIPO DE DANO","Escudo","","Uniforme","","Item comum","","Ferramenta amaldiçoada","",""),"")),IF(AND($H17&lt;&gt;"",SWITCH($B17,"Origem","PERÍCIA 4","Marcante","","Menor","","Arma","PROPRIEDADE 1","Escudo","","Uniforme","","Item comum","","Ferramenta amaldiçoada","","")=""),"Apague campo que este tipo não usa",IF(AND($H17&lt;&gt;"",COUNTIF(INDIRECT(SWITCH($B17,"Origem","'DADOS_PROGRESSAO'!$AG$2:$AG$34","Marcante","'DADOS_CUSTOM'!$CM$2:$CM$160","Menor","'DADOS_CUSTOM'!$CM$2:$CM$160","Arma","'DADOS_CUSTOM'!$CI$2:$CI$160","Escudo","'DADOS_CUSTOM'!$CM$2:$CM$160","Uniforme","'DADOS_CUSTOM'!$CM$2:$CM$160","Item comum","'DADOS_CUSTOM'!$CM$2:$CM$160","Ferramenta amaldiçoada","'DADOS_CUSTOM'!$CM$2:$CM$160","'DADOS_CUSTOM'!$CM$2:$CM$160")),$H17)=0),"Opção inválida: "&amp;SWITCH($B17,"Origem","PERÍCIA 4","Marcante","","Menor","","Arma","PROPRIEDADE 1","Escudo","","Uniforme","","Item comum","","Ferramenta amaldiçoada","",""),"")),IF(AND($I17&lt;&gt;"",SWITCH($B17,"Origem","ROTA","Marcante","","Menor","","Arma","PROPRIEDADE 2","Escudo","","Uniforme","","Item comum","","Ferramenta amaldiçoada","","")=""),"Apague campo que este tipo não usa",IF(AND($I17&lt;&gt;"",COUNTIF(INDIRECT(SWITCH($B17,"Origem","'DADOS_CUSTOM'!$CB$2:$CB$160","Marcante","'DADOS_CUSTOM'!$CM$2:$CM$160","Menor","'DADOS_CUSTOM'!$CM$2:$CM$160","Arma","'DADOS_CUSTOM'!$CI$2:$CI$160","Escudo","'DADOS_CUSTOM'!$CM$2:$CM$160","Uniforme","'DADOS_CUSTOM'!$CM$2:$CM$160","Item comum","'DADOS_CUSTOM'!$CM$2:$CM$160","Ferramenta amaldiçoada","'DADOS_CUSTOM'!$CM$2:$CM$160","'DADOS_CUSTOM'!$CM$2:$CM$160")),$I17)=0),"Opção inválida: "&amp;SWITCH($B17,"Origem","ROTA","Marcante","","Menor","","Arma","PROPRIEDADE 2","Escudo","","Uniforme","","Item comum","","Ferramenta amaldiçoada","",""),""))))</f>
        <v/>
      </c>
      <c r="JZ17" s="175">
        <f>IF(AND($B17="",$C17="",LEN(TEXTJOIN("",TRUE,E17:R17))=0),"",TEXTJOIN(" · ",TRUE,IF(AND($J17&lt;&gt;"",SWITCH($B17,"Origem","BASE DO LIVRO","Marcante","","Menor","","Arma","PROPRIEDADE 3","Escudo","","Uniforme","","Item comum","","Ferramenta amaldiçoada","","")=""),"Apague campo que este tipo não usa",IF(AND($J17&lt;&gt;"",COUNTIF(INDIRECT(SWITCH($B17,"Origem","'DADOS_CUSTOM'!$CD$2:$CD$160","Marcante","'DADOS_CUSTOM'!$CM$2:$CM$160","Menor","'DADOS_CUSTOM'!$CM$2:$CM$160","Arma","'DADOS_CUSTOM'!$CI$2:$CI$160","Escudo","'DADOS_CUSTOM'!$CM$2:$CM$160","Uniforme","'DADOS_CUSTOM'!$CM$2:$CM$160","Item comum","'DADOS_CUSTOM'!$CM$2:$CM$160","Ferramenta amaldiçoada","'DADOS_CUSTOM'!$CM$2:$CM$160","'DADOS_CUSTOM'!$CM$2:$CM$160")),$J17)=0),"Opção inválida: "&amp;SWITCH($B17,"Origem","BASE DO LIVRO","Marcante","","Menor","","Arma","PROPRIEDADE 3","Escudo","","Uniforme","","Item comum","","Ferramenta amaldiçoada","",""),"")),IF(AND($K17&lt;&gt;"",SWITCH($B17,"Origem","OFÍCIO","Marcante","","Menor","","Arma","PROPRIEDADE 4","Escudo","","Uniforme","","Item comum","","Ferramenta amaldiçoada","","")=""),"Apague campo que este tipo não usa",IF(AND($K17&lt;&gt;"",COUNTIF(INDIRECT(SWITCH($B17,"Origem","'DADOS_PROGRESSAO'!$AJ$2:$AJ$23","Marcante","'DADOS_CUSTOM'!$CM$2:$CM$160","Menor","'DADOS_CUSTOM'!$CM$2:$CM$160","Arma","'DADOS_CUSTOM'!$CI$2:$CI$160","Escudo","'DADOS_CUSTOM'!$CM$2:$CM$160","Uniforme","'DADOS_CUSTOM'!$CM$2:$CM$160","Item comum","'DADOS_CUSTOM'!$CM$2:$CM$160","Ferramenta amaldiçoada","'DADOS_CUSTOM'!$CM$2:$CM$160","'DADOS_CUSTOM'!$CM$2:$CM$160")),$K17)=0),"Opção inválida: "&amp;SWITCH($B17,"Origem","OFÍCIO","Marcante","","Menor","","Arma","PROPRIEDADE 4","Escudo","","Uniforme","","Item comum","","Ferramenta amaldiçoada","",""),"")),IF(AND($L17&lt;&gt;"",SWITCH($B17,"Origem","TALENTO CE 4","Marcante","FREQUÊNCIA","Menor","FREQUÊNCIA","Arma","DADO","Escudo","PROTEÇÃO","Uniforme","PROTEÇÃO","Item comum","VOLUME","Ferramenta amaldiçoada","ESTIGMA","")=""),"Apague campo que este tipo não usa",IF(AND(OR($B17="Escudo",$B17="Uniforme",$B17="Item comum"),$L17&lt;&gt;"",NOT(ISNUMBER($L17)),NOT(AND($L17="—",FALSE))),"Informe número: "&amp;SWITCH($B17,"Origem","TALENTO CE 4","Marcante","FREQUÊNCIA","Menor","FREQUÊNCIA","Arma","DADO","Escudo","PROTEÇÃO","Uniforme","PROTEÇÃO","Item comum","VOLUME","Ferramenta amaldiçoada","ESTIGMA",""),"")),IF(AND($M17&lt;&gt;"",SWITCH($B17,"Origem","","Marcante","","Menor","","Arma","FORÇA","Escudo","TETO DE DESTREZA","Uniforme","TETO DE DESTREZA","Item comum","PREÇO","Ferramenta amaldiçoada","DESGASTE","")=""),"Apague campo que este tipo não usa",IF(AND(OR($B17="Arma",$B17="Escudo",$B17="Uniforme",$B17="Item comum",$B17="Ferramenta amaldiçoada"),$M17&lt;&gt;"",NOT(ISNUMBER($M17)),NOT(AND($M17="—",OR($B17="Arma",$B17="Escudo",$B17="Uniforme",$B17="Ferramenta amaldiçoada")))),"Informe número: "&amp;SWITCH($B17,"Origem","","Marcante","","Menor","","Arma","FORÇA","Escudo","TETO DE DESTREZA","Uniforme","TETO DE DESTREZA","Item comum","PREÇO","Ferramenta amaldiçoada","DESGASTE",""),"")),IF(AND($N17&lt;&gt;"",SWITCH($B17,"Origem","","Marcante","","Menor","","Arma","VOLUME","Escudo","FORÇA","Uniforme","FORÇA","Item comum","","Ferramenta amaldiçoada","VOLUME","")=""),"Apague campo que este tipo não usa",IF(AND(OR($B17="Arma",$B17="Escudo",$B17="Uniforme",$B17="Ferramenta amaldiçoada"),$N17&lt;&gt;"",NOT(ISNUMBER($N17)),NOT(AND($N17="—",OR($B17="Escudo",$B17="Uniforme")))),"Informe número: "&amp;SWITCH($B17,"Origem","","Marcante","","Menor","","Arma","VOLUME","Escudo","FORÇA","Uniforme","FORÇA","Item comum","","Ferramenta amaldiçoada","VOLUME",""),"")),IF(AND($O17&lt;&gt;"",SWITCH($B17,"Origem","","Marcante","","Menor","","Arma","ALCANCE","Escudo","VOLUME","Uniforme","VOLUME","Item comum","","Ferramenta amaldiçoada","PREÇO","")=""),"Apague campo que este tipo não usa",IF(AND(OR($B17="Escudo",$B17="Uniforme",$B17="Ferramenta amaldiçoada"),$O17&lt;&gt;"",NOT(ISNUMBER($O17)),NOT(AND($O17="—",FALSE))),"Informe número: "&amp;SWITCH($B17,"Origem","","Marcante","","Menor","","Arma","ALCANCE","Escudo","VOLUME","Uniforme","VOLUME","Item comum","","Ferramenta amaldiçoada","PREÇO",""),"")),IF(AND($P17&lt;&gt;"",SWITCH($B17,"Origem","","Marcante","","Menor","","Arma","RECARGA","Escudo","PREÇO","Uniforme","PREÇO","Item comum","","Ferramenta amaldiçoada","","")=""),"Apague campo que este tipo não usa",IF(AND(OR($B17="Arma",$B17="Escudo",$B17="Uniforme"),$P17&lt;&gt;"",NOT(ISNUMBER($P17)),NOT(AND($P17="—",OR($B17="Arma")))),"Informe número: "&amp;SWITCH($B17,"Origem","","Marcante","","Menor","","Arma","RECARGA","Escudo","PREÇO","Uniforme","PREÇO","Item comum","","Ferramenta amaldiçoada","",""),"")),IF(AND($Q17&lt;&gt;"",SWITCH($B17,"Origem","","Marcante","","Menor","","Arma","PREÇO","Escudo","","Uniforme","","Item comum","","Ferramenta amaldiçoada","","")=""),"Apague campo que este tipo não usa",IF(AND(OR($B17="Arma"),$Q17&lt;&gt;"",NOT(ISNUMBER($Q17)),NOT(AND($Q17="—",FALSE))),"Informe número: "&amp;SWITCH($B17,"Origem","","Marcante","","Menor","","Arma","PREÇO","Escudo","","Uniforme","","Item comum","","Ferramenta amaldiçoada","",""),""))))</f>
        <v/>
      </c>
      <c r="KA17" s="175">
        <f>IF(AND($B17="",$C17="",LEN(TEXTJOIN("",TRUE,E17:R17))=0),"",TEXTJOIN(" · ",TRUE,IF(AND($B17="Origem",OR($E17="",$F17="",$G17="",$H17="",$I17="")),"Preencha os campos obrigatórios de Origem",""),IF(AND($B17="Marcante",OR($E17="")),"Preencha os campos obrigatórios de Marcante",""),IF(AND($B17="Menor",OR($E17="")),"Preencha os campos obrigatórios de Menor",""),IF(AND($B17="Arma",OR($E17="",$F17="",$G17="",$L17="",$M17="",$N17="")),"Preencha os campos obrigatórios de Arma",""),IF(AND($B17="Escudo",OR($L17="",$M17="",$N17="",$O17="")),"Preencha os campos obrigatórios de Escudo",""),IF(AND($B17="Uniforme",OR($E17="",$L17="",$M17="",$N17="",$O17="")),"Preencha os campos obrigatórios de Uniforme",""),IF(AND($B17="Item comum",OR($L17="")),"Preencha os campos obrigatórios de Item comum",""),IF(AND($B17="Ferramenta amaldiçoada",OR($E17="",$F17="")),"Preencha os campos obrigatórios de Ferramenta amaldiçoada",""),IF(AND($B17="Origem",COUNTA(E17:H17)=4,NOT(AND(E17&lt;&gt;F17,E17&lt;&gt;G17,E17&lt;&gt;H17,F17&lt;&gt;G17,F17&lt;&gt;H17,G17&lt;&gt;H17))),"Escolha quatro perícias diferentes",""),IF(AND($B17="Origem",J17="Latente",NOT(OR(I17="Fundamento",I17="Manejos"))),"ROTA não combina com BASE DO LIVRO",""),IF(AND($B17="Origem",J17="Receptáculo",NOT(OR(I17="Fundamento",I17="Manejos"))),"ROTA não combina com BASE DO LIVRO",""),IF(AND($B17="Origem",J17="Descendente",NOT(OR(I17="Fundamento",I17="Manejos"))),"ROTA não combina com BASE DO LIVRO",""),IF(AND($B17="Origem",J17="Encarnado",NOT(OR(I17="Fundamento",I17="Manejos"))),"ROTA não combina com BASE DO LIVRO",""),IF(AND($B17="Origem",J17="Híbrido",NOT(OR(I17="Fundamento",I17="Manejos"))),"ROTA não combina com BASE DO LIVRO",""),IF(AND($B17="Origem",J17="Corpo Amaldiçoado",NOT(OR(I17="Técnica Marcial com energia"))),"ROTA não combina com BASE DO LIVRO",""),IF(AND($B17="Origem",J17="Restrição Celestial · Sem Energia",NOT(OR(I17="Técnica Marcial sem energia"))),"ROTA não combina com BASE DO LIVRO",""),IF(AND($B17="Origem",J17="Restrição Celestial · Restrição corporal",NOT(OR(I17="Fundamento"))),"ROTA não combina com BASE DO LIVRO","")))</f>
        <v/>
      </c>
    </row>
    <row r="18">
      <c r="A18" s="175" t="n">
        <v>17</v>
      </c>
      <c r="B18" s="175">
        <f>IF(ISBLANK('CONFIGURAÇÃO'!$T$246),"",'CONFIGURAÇÃO'!$T$246)</f>
        <v/>
      </c>
      <c r="C18" s="175">
        <f>IF(ISBLANK('CONFIGURAÇÃO'!$T$248),"",'CONFIGURAÇÃO'!$T$248)</f>
        <v/>
      </c>
      <c r="D18" s="175">
        <f>IF(ISBLANK('CONFIGURAÇÃO'!$X$246),"",'CONFIGURAÇÃO'!$X$246)</f>
        <v/>
      </c>
      <c r="E18" s="175">
        <f>IF(ISBLANK('CONFIGURAÇÃO'!$V$249),"",'CONFIGURAÇÃO'!$V$249)</f>
        <v/>
      </c>
      <c r="F18" s="175">
        <f>IF(ISBLANK('CONFIGURAÇÃO'!$V$250),"",'CONFIGURAÇÃO'!$V$250)</f>
        <v/>
      </c>
      <c r="G18" s="175">
        <f>IF(ISBLANK('CONFIGURAÇÃO'!$V$251),"",'CONFIGURAÇÃO'!$V$251)</f>
        <v/>
      </c>
      <c r="H18" s="175">
        <f>IF(ISBLANK('CONFIGURAÇÃO'!$V$252),"",'CONFIGURAÇÃO'!$V$252)</f>
        <v/>
      </c>
      <c r="I18" s="175">
        <f>IF(ISBLANK('CONFIGURAÇÃO'!$V$253),"",'CONFIGURAÇÃO'!$V$253)</f>
        <v/>
      </c>
      <c r="J18" s="175">
        <f>IF(ISBLANK('CONFIGURAÇÃO'!$V$254),"",'CONFIGURAÇÃO'!$V$254)</f>
        <v/>
      </c>
      <c r="K18" s="175">
        <f>IF(ISBLANK('CONFIGURAÇÃO'!$V$255),"",'CONFIGURAÇÃO'!$V$255)</f>
        <v/>
      </c>
      <c r="L18" s="175">
        <f>IF(ISBLANK('CONFIGURAÇÃO'!$V$256),"",'CONFIGURAÇÃO'!$V$256)</f>
        <v/>
      </c>
      <c r="M18" s="175">
        <f>IF(ISBLANK('CONFIGURAÇÃO'!$V$257),"",'CONFIGURAÇÃO'!$V$257)</f>
        <v/>
      </c>
      <c r="N18" s="175">
        <f>IF(ISBLANK('CONFIGURAÇÃO'!$V$258),"",'CONFIGURAÇÃO'!$V$258)</f>
        <v/>
      </c>
      <c r="O18" s="175">
        <f>IF(ISBLANK('CONFIGURAÇÃO'!$V$259),"",'CONFIGURAÇÃO'!$V$259)</f>
        <v/>
      </c>
      <c r="P18" s="175">
        <f>IF(ISBLANK('CONFIGURAÇÃO'!$V$260),"",'CONFIGURAÇÃO'!$V$260)</f>
        <v/>
      </c>
      <c r="Q18" s="175">
        <f>IF(ISBLANK('CONFIGURAÇÃO'!$V$261),"",'CONFIGURAÇÃO'!$V$261)</f>
        <v/>
      </c>
      <c r="R18" s="175">
        <f>IF(ISBLANK('CONFIGURAÇÃO'!$T$263),"",'CONFIGURAÇÃO'!$T$263)</f>
        <v/>
      </c>
      <c r="S18" s="175">
        <f>TEXTJOIN(" · ",TRUE,U18,V18,W18,X18)</f>
        <v/>
      </c>
      <c r="T18" s="175">
        <f>AND(B18&lt;&gt;"",C18&lt;&gt;"",S18="")</f>
        <v/>
      </c>
      <c r="U18" s="175">
        <f>TEXTJOIN(" · ",TRUE,JY18:KA18)</f>
        <v/>
      </c>
      <c r="V18" s="175">
        <f>IF(AND(OR($B18="Marcante",$B18="Menor"),NOT(OR(COUNTIF('DADOS_CUSTOM'!$CD$2:$CD$160,E18)&gt;0,COUNTIFS('DADOS_CUSTOM'!$C$2:$C$26,E18,'DADOS_CUSTOM'!$B$2:$B$26,"Origem",'DADOS_CUSTOM'!$U$2:$U$26,"")=1))),"Origem vinculada não existe ou tem erro",IF(AND($B18="Marcante",NOT(OR(E18="Restrição Celestial · Restrição corporal",AND(COUNTIFS('DADOS_CUSTOM'!$C$2:$C$26,E18,'DADOS_CUSTOM'!$B$2:$B$26,"Origem",'DADOS_CUSTOM'!$U$2:$U$26,"")=1,OR(IFERROR(INDEX('DADOS_CUSTOM'!$J$2:$J$26,MATCH(E18,'DADOS_CUSTOM'!$C$2:$C$26,0)),E18)="",IFERROR(INDEX('DADOS_CUSTOM'!$J$2:$J$26,MATCH(E18,'DADOS_CUSTOM'!$C$2:$C$26,0)),E18)="Nenhuma",IFERROR(INDEX('DADOS_CUSTOM'!$J$2:$J$26,MATCH(E18,'DADOS_CUSTOM'!$C$2:$C$26,0)),E18)="Restrição Celestial · Restrição corporal"))))),"Marcante própria só para Restrição corporal ou Origem do zero; use a marcante publicada da base",""))</f>
        <v/>
      </c>
      <c r="W18" s="175">
        <f>IF(AND($B18="Menor",F18&lt;&gt;"",F18&lt;&gt;"—",NOT(OR(AND(F18="Tentativa e Erro",OR(E18="Latente",IFERROR(INDEX('DADOS_CUSTOM'!$J$2:$J$26,MATCH(E18,'DADOS_CUSTOM'!$C$2:$C$26,0)),E18)="Latente")),AND(F18="Coexistência",OR(E18="Receptáculo",IFERROR(INDEX('DADOS_CUSTOM'!$J$2:$J$26,MATCH(E18,'DADOS_CUSTOM'!$C$2:$C$26,0)),E18)="Receptáculo")),AND(F18="Conflito",OR(E18="Receptáculo",IFERROR(INDEX('DADOS_CUSTOM'!$J$2:$J$26,MATCH(E18,'DADOS_CUSTOM'!$C$2:$C$26,0)),E18)="Receptáculo")),AND(F18="Zenin",OR(E18="Descendente",IFERROR(INDEX('DADOS_CUSTOM'!$J$2:$J$26,MATCH(E18,'DADOS_CUSTOM'!$C$2:$C$26,0)),E18)="Descendente")),AND(F18="Kamo",OR(E18="Descendente",IFERROR(INDEX('DADOS_CUSTOM'!$J$2:$J$26,MATCH(E18,'DADOS_CUSTOM'!$C$2:$C$26,0)),E18)="Descendente")),AND(F18="Gojo",OR(E18="Descendente",IFERROR(INDEX('DADOS_CUSTOM'!$J$2:$J$26,MATCH(E18,'DADOS_CUSTOM'!$C$2:$C$26,0)),E18)="Descendente")),AND(F18="Inumaki",OR(E18="Descendente",IFERROR(INDEX('DADOS_CUSTOM'!$J$2:$J$26,MATCH(E18,'DADOS_CUSTOM'!$C$2:$C$26,0)),E18)="Descendente")),AND(F18="Duas Vidas",OR(E18="Encarnado",IFERROR(INDEX('DADOS_CUSTOM'!$J$2:$J$26,MATCH(E18,'DADOS_CUSTOM'!$C$2:$C$26,0)),E18)="Encarnado")),AND(F18="Regeneração Orgânica",OR(E18="Híbrido",IFERROR(INDEX('DADOS_CUSTOM'!$J$2:$J$26,MATCH(E18,'DADOS_CUSTOM'!$C$2:$C$26,0)),E18)="Híbrido")),AND(F18="Existência Artificial",OR(E18="Corpo Amaldiçoado",IFERROR(INDEX('DADOS_CUSTOM'!$J$2:$J$26,MATCH(E18,'DADOS_CUSTOM'!$C$2:$C$26,0)),E18)="Corpo Amaldiçoado")),AND(F18="Ataque sem Prenúncio",OR(E18="Restrição Celestial · Sem Energia",IFERROR(INDEX('DADOS_CUSTOM'!$J$2:$J$26,MATCH(E18,'DADOS_CUSTOM'!$C$2:$C$26,0)),E18)="Restrição Celestial · Sem Energia")),AND(F18="Corpo Debilitado",OR(E18="Restrição Celestial · Restrição corporal",IFERROR(INDEX('DADOS_CUSTOM'!$J$2:$J$26,MATCH(E18,'DADOS_CUSTOM'!$C$2:$C$26,0)),E18)="Restrição Celestial · Restrição corporal")),AND(F18="Corpo Quebradiço",OR(E18="Restrição Celestial · Restrição corporal",IFERROR(INDEX('DADOS_CUSTOM'!$J$2:$J$26,MATCH(E18,'DADOS_CUSTOM'!$C$2:$C$26,0)),E18)="Restrição Celestial · Restrição corporal")),AND(F18="Corpo Exaurido",OR(E18="Restrição Celestial · Restrição corporal",IFERROR(INDEX('DADOS_CUSTOM'!$J$2:$J$26,MATCH(E18,'DADOS_CUSTOM'!$C$2:$C$26,0)),E18)="Restrição Celestial · Restrição corporal")),COUNTIFS('DADOS_CUSTOM'!$C$2:$C$26,F18,'DADOS_CUSTOM'!$B$2:$B$26,"Marcante",'DADOS_CUSTOM'!$E$2:$E$26,E18,'DADOS_CUSTOM'!$U$2:$U$26,"",'DADOS_CUSTOM'!$V$2:$V$26,"")=1))),"Marcante exigida não pertence à Origem ou tem erro","")</f>
        <v/>
      </c>
      <c r="X18" s="175">
        <f>IF(AND($B18="Ferramenta amaldiçoada",NOT(OR(COUNTIF('DADOS_CUSTOM'!$CK$2:$CK$75,E18)&gt;0,OR(COUNTIFS('DADOS_CUSTOM'!$C$2:$C$26,E18,'DADOS_CUSTOM'!$B$2:$B$26,"Arma",'DADOS_CUSTOM'!$U$2:$U$26,"")=1,COUNTIFS('DADOS_CUSTOM'!$C$2:$C$26,E18,'DADOS_CUSTOM'!$B$2:$B$26,"Escudo",'DADOS_CUSTOM'!$U$2:$U$26,"")=1,COUNTIFS('DADOS_CUSTOM'!$C$2:$C$26,E18,'DADOS_CUSTOM'!$B$2:$B$26,"Uniforme",'DADOS_CUSTOM'!$U$2:$U$26,"")=1,COUNTIFS('DADOS_CUSTOM'!$C$2:$C$26,E18,'DADOS_CUSTOM'!$B$2:$B$26,"Item comum",'DADOS_CUSTOM'!$U$2:$U$26,"")=1)))),"Base da ferramenta não existe ou tem erro","")</f>
        <v/>
      </c>
      <c r="AA18" s="175" t="inlineStr">
        <is>
          <t>Hankyū</t>
        </is>
      </c>
      <c r="AB18" s="175" t="inlineStr">
        <is>
          <t>Yumi</t>
        </is>
      </c>
      <c r="AC18" s="175" t="n">
        <v>2</v>
      </c>
      <c r="AD18" s="175" t="inlineStr">
        <is>
          <t>1d8</t>
        </is>
      </c>
      <c r="AE18" s="175" t="inlineStr">
        <is>
          <t>Longo Alcance · Oculta</t>
        </is>
      </c>
      <c r="AF18" s="175" t="inlineStr">
        <is>
          <t>—</t>
        </is>
      </c>
      <c r="AG18" s="175" t="n">
        <v>1</v>
      </c>
      <c r="AH18" s="175" t="inlineStr">
        <is>
          <t>24 m, longa 96 m</t>
        </is>
      </c>
      <c r="AJ18" s="175">
        <f>'FICHA PESSOAL'!$AM$83</f>
        <v/>
      </c>
      <c r="AK18" s="175">
        <f>ADDRESS(ROW('FICHA PESSOAL'!AM83),COLUMN('FICHA PESSOAL'!AM83),4)</f>
        <v/>
      </c>
      <c r="AM18" s="175">
        <f>IF(AND(OR($B12="Uniforme"),$C12&lt;&gt;"",$U12=""),$C12,"")</f>
        <v/>
      </c>
      <c r="AN18" s="175">
        <f>IF(AND(OR($B12="Uniforme"),$C12&lt;&gt;"",$U12=""),$L12,"")</f>
        <v/>
      </c>
      <c r="AO18" s="175">
        <f>IF(AND(OR($B12="Uniforme"),$C12&lt;&gt;"",$U12=""),$M12,"")</f>
        <v/>
      </c>
      <c r="AP18" s="175">
        <f>IF(AND(OR($B12="Uniforme"),$C12&lt;&gt;"",$U12=""),$N12,"")</f>
        <v/>
      </c>
      <c r="AQ18" s="175">
        <f>IF(AND(OR($B12="Uniforme"),$C12&lt;&gt;"",$U12=""),$O12,"")</f>
        <v/>
      </c>
      <c r="AR18" s="175">
        <f>IF(AND(OR($B12="Uniforme"),$C12&lt;&gt;"",$U12=""),IFERROR(VLOOKUP($E12,DADOS!$CF$5:$CH$9,3,FALSE),1),"")</f>
        <v/>
      </c>
      <c r="AS18" s="175">
        <f>IF(AND(OR($B12="Uniforme"),$C12&lt;&gt;"",$U12=""),$E12,"")</f>
        <v/>
      </c>
      <c r="AU18" s="175">
        <f>IF(AND(OR($B5="Item comum"),$C5&lt;&gt;"",$U5=""),$C5,"")</f>
        <v/>
      </c>
      <c r="AV18" s="175">
        <f>IF(AND(OR($B5="Item comum"),$C5&lt;&gt;"",$U5=""),$L5,"")</f>
        <v/>
      </c>
      <c r="AW18" s="175">
        <f>IF(AND(OR($B5="Item comum"),$C5&lt;&gt;"",$U5=""),$M5,"")</f>
        <v/>
      </c>
      <c r="AX18" s="175">
        <f>IF(AND(OR($B5="Item comum"),$C5&lt;&gt;"",$U5=""),$R5,"")</f>
        <v/>
      </c>
      <c r="AZ18" s="175" t="inlineStr">
        <is>
          <t>Foco Visceral</t>
        </is>
      </c>
      <c r="BA18" s="175" t="inlineStr">
        <is>
          <t>Latente</t>
        </is>
      </c>
      <c r="BB18" s="175" t="inlineStr">
        <is>
          <t>menor</t>
        </is>
      </c>
      <c r="BC18" s="175" t="inlineStr"/>
      <c r="BD18" s="175" t="inlineStr">
        <is>
          <t>Maestria vezes por cena</t>
        </is>
      </c>
      <c r="BE18" s="175" t="inlineStr">
        <is>
          <t>Você se apega ao que está fazendo, mesmo sob pressão. Maestria vezes por cena, antes de um TR para manter Concentração após sofrer dano, pode obter vantagem nessa rolagem. Cada uso beneficia um TR e é gasto mesmo na falha.</t>
        </is>
      </c>
      <c r="BG18" s="175">
        <f>IF(AND(OR($B10="Origem"),$C10&lt;&gt;"",$T10=TRUE),$C10,"")</f>
        <v/>
      </c>
      <c r="BH18" s="175">
        <f>IF(AND(OR($B10="Origem"),$C10&lt;&gt;"",$T10=TRUE),TEXTJOIN(" · ",TRUE,$E10:$H10),"")</f>
        <v/>
      </c>
      <c r="BI18" s="175">
        <f>IF(AND(OR($B10="Origem"),$C10&lt;&gt;"",$T10=TRUE),$I10,"")</f>
        <v/>
      </c>
      <c r="BM18" s="175" t="inlineStr">
        <is>
          <t>Chicote</t>
        </is>
      </c>
      <c r="BN18" s="175" t="inlineStr">
        <is>
          <t>Arma</t>
        </is>
      </c>
      <c r="BO18" s="175" t="n">
        <v>0</v>
      </c>
      <c r="BP18" s="175" t="inlineStr">
        <is>
          <t>—</t>
        </is>
      </c>
      <c r="BQ18" s="175" t="inlineStr">
        <is>
          <t>—</t>
        </is>
      </c>
      <c r="BR18" s="175" t="n">
        <v>0.5</v>
      </c>
      <c r="BS18" s="175" t="inlineStr">
        <is>
          <t>—</t>
        </is>
      </c>
      <c r="BT18" s="175" t="inlineStr"/>
      <c r="BU18" s="175" t="inlineStr"/>
      <c r="BV18" s="175" t="inlineStr">
        <is>
          <t>Bolsa Orgânica</t>
        </is>
      </c>
      <c r="BW18" s="175">
        <f>IF(AND($B17="Origem",OR($J17="",$J17="Nenhuma",$J17="Restrição Celestial · Restrição corporal")),$C17,"")</f>
        <v/>
      </c>
      <c r="CA18" s="175" t="inlineStr">
        <is>
          <t>Sentir Energia</t>
        </is>
      </c>
      <c r="CC18" s="175">
        <f>IF(OR('CONFIGURAÇÃO'!$T$130="Origem"),'CONFIGURAÇÃO'!$T$132,"")</f>
        <v/>
      </c>
      <c r="CH18">
        <f>IF('DADOS_DANOS'!$J$18="","",'DADOS_DANOS'!$J$18)</f>
        <v/>
      </c>
      <c r="CI18" s="175" t="inlineStr">
        <is>
          <t>Embainhada</t>
        </is>
      </c>
      <c r="CK18" s="175" t="inlineStr">
        <is>
          <t>Kama</t>
        </is>
      </c>
      <c r="CL18" s="175">
        <f>IF(OR('CONFIGURAÇÃO'!$AB$14="Marcante"),'CONFIGURAÇÃO'!$AB$16,"")</f>
        <v/>
      </c>
      <c r="CS18" s="175">
        <f>IF(AND($B5="Origem",$T5=TRUE),$C5,"")</f>
        <v/>
      </c>
      <c r="JY18" s="175">
        <f>IF(AND($B18="",$C18="",LEN(TEXTJOIN("",TRUE,E18:R18))=0),"",TEXTJOIN(" · ",TRUE,IF(COUNTIF('DADOS_CUSTOM'!$BZ$2:$BZ$160,$B18)=0,"Escolha um tipo válido",""),IF(LEN(TRIM($C18))=0,"Preencha NOME",""),IF(OR(COUNTIF('DADOS_CUSTOM'!$C$2:$C$26,$C18)&gt;1,COUNTIF('DADOS_CUSTOM'!$BV$2:$BV$171,$C18)&gt;0),"Nome repetido no livro ou custom",""),IF(AND($E18&lt;&gt;"",SWITCH($B18,"Origem","PERÍCIA 1","Marcante","ORIGEM","Menor","ORIGEM","Arma","CATEGORIA","Escudo","","Uniforme","GRAU MÍNIMO","Item comum","","Ferramenta amaldiçoada","BASE","")=""),"Apague campo que este tipo não usa",IF(AND($E18&lt;&gt;"",COUNTIF(INDIRECT(SWITCH($B18,"Origem","'DADOS_PROGRESSAO'!$AG$2:$AG$34","Marcante","'DADOS_CUSTOM'!$BW$2:$BW$160","Menor","'DADOS_CUSTOM'!$CC$2:$CC$160","Arma","'DADOS_CUSTOM'!$CF$2:$CF$160","Escudo","'DADOS_CUSTOM'!$CM$2:$CM$160","Uniforme","'DADOS_CUSTOM'!$CJ$2:$CJ$160","Item comum","'DADOS_CUSTOM'!$CM$2:$CM$160","Ferramenta amaldiçoada","'DADOS_CUSTOM'!$CK$2:$CK$160","'DADOS_CUSTOM'!$CM$2:$CM$160")),$E18)=0),"Opção inválida: "&amp;SWITCH($B18,"Origem","PERÍCIA 1","Marcante","ORIGEM","Menor","ORIGEM","Arma","CATEGORIA","Escudo","","Uniforme","GRAU MÍNIMO","Item comum","","Ferramenta amaldiçoada","BASE",""),"")),IF(AND($F18&lt;&gt;"",SWITCH($B18,"Origem","PERÍCIA 2","Marcante","","Menor","EXIGE MARCANTE","Arma","MÃO","Escudo","","Uniforme","","Item comum","","Ferramenta amaldiçoada","GRAU","")=""),"Apague campo que este tipo não usa",IF(AND($F18&lt;&gt;"",COUNTIF(INDIRECT(SWITCH($B18,"Origem","'DADOS_PROGRESSAO'!$AG$2:$AG$34","Marcante","'DADOS_CUSTOM'!$CM$2:$CM$160","Menor","'DADOS_CUSTOM'!$CL$2:$CL$160","Arma","'DADOS_CUSTOM'!$CG$2:$CG$160","Escudo","'DADOS_CUSTOM'!$CM$2:$CM$160","Uniforme","'DADOS_CUSTOM'!$CM$2:$CM$160","Item comum","'DADOS_CUSTOM'!$CM$2:$CM$160","Ferramenta amaldiçoada","'DADOS_CUSTOM'!$CJ$2:$CJ$160","'DADOS_CUSTOM'!$CM$2:$CM$160")),$F18)=0),"Opção inválida: "&amp;SWITCH($B18,"Origem","PERÍCIA 2","Marcante","","Menor","EXIGE MARCANTE","Arma","MÃO","Escudo","","Uniforme","","Item comum","","Ferramenta amaldiçoada","GRAU",""),"")),IF(AND($G18&lt;&gt;"",SWITCH($B18,"Origem","PERÍCIA 3","Marcante","","Menor","","Arma","TIPO DE DANO","Escudo","","Uniforme","","Item comum","","Ferramenta amaldiçoada","","")=""),"Apague campo que este tipo não usa",IF(AND($G18&lt;&gt;"",COUNTIF(INDIRECT(SWITCH($B18,"Origem","'DADOS_PROGRESSAO'!$AG$2:$AG$34","Marcante","'DADOS_CUSTOM'!$CM$2:$CM$160","Menor","'DADOS_CUSTOM'!$CM$2:$CM$160","Arma","'DADOS_CUSTOM'!$CH$2:$CH$160","Escudo","'DADOS_CUSTOM'!$CM$2:$CM$160","Uniforme","'DADOS_CUSTOM'!$CM$2:$CM$160","Item comum","'DADOS_CUSTOM'!$CM$2:$CM$160","Ferramenta amaldiçoada","'DADOS_CUSTOM'!$CM$2:$CM$160","'DADOS_CUSTOM'!$CM$2:$CM$160")),$G18)=0),"Opção inválida: "&amp;SWITCH($B18,"Origem","PERÍCIA 3","Marcante","","Menor","","Arma","TIPO DE DANO","Escudo","","Uniforme","","Item comum","","Ferramenta amaldiçoada","",""),"")),IF(AND($H18&lt;&gt;"",SWITCH($B18,"Origem","PERÍCIA 4","Marcante","","Menor","","Arma","PROPRIEDADE 1","Escudo","","Uniforme","","Item comum","","Ferramenta amaldiçoada","","")=""),"Apague campo que este tipo não usa",IF(AND($H18&lt;&gt;"",COUNTIF(INDIRECT(SWITCH($B18,"Origem","'DADOS_PROGRESSAO'!$AG$2:$AG$34","Marcante","'DADOS_CUSTOM'!$CM$2:$CM$160","Menor","'DADOS_CUSTOM'!$CM$2:$CM$160","Arma","'DADOS_CUSTOM'!$CI$2:$CI$160","Escudo","'DADOS_CUSTOM'!$CM$2:$CM$160","Uniforme","'DADOS_CUSTOM'!$CM$2:$CM$160","Item comum","'DADOS_CUSTOM'!$CM$2:$CM$160","Ferramenta amaldiçoada","'DADOS_CUSTOM'!$CM$2:$CM$160","'DADOS_CUSTOM'!$CM$2:$CM$160")),$H18)=0),"Opção inválida: "&amp;SWITCH($B18,"Origem","PERÍCIA 4","Marcante","","Menor","","Arma","PROPRIEDADE 1","Escudo","","Uniforme","","Item comum","","Ferramenta amaldiçoada","",""),"")),IF(AND($I18&lt;&gt;"",SWITCH($B18,"Origem","ROTA","Marcante","","Menor","","Arma","PROPRIEDADE 2","Escudo","","Uniforme","","Item comum","","Ferramenta amaldiçoada","","")=""),"Apague campo que este tipo não usa",IF(AND($I18&lt;&gt;"",COUNTIF(INDIRECT(SWITCH($B18,"Origem","'DADOS_CUSTOM'!$CB$2:$CB$160","Marcante","'DADOS_CUSTOM'!$CM$2:$CM$160","Menor","'DADOS_CUSTOM'!$CM$2:$CM$160","Arma","'DADOS_CUSTOM'!$CI$2:$CI$160","Escudo","'DADOS_CUSTOM'!$CM$2:$CM$160","Uniforme","'DADOS_CUSTOM'!$CM$2:$CM$160","Item comum","'DADOS_CUSTOM'!$CM$2:$CM$160","Ferramenta amaldiçoada","'DADOS_CUSTOM'!$CM$2:$CM$160","'DADOS_CUSTOM'!$CM$2:$CM$160")),$I18)=0),"Opção inválida: "&amp;SWITCH($B18,"Origem","ROTA","Marcante","","Menor","","Arma","PROPRIEDADE 2","Escudo","","Uniforme","","Item comum","","Ferramenta amaldiçoada","",""),""))))</f>
        <v/>
      </c>
      <c r="JZ18" s="175">
        <f>IF(AND($B18="",$C18="",LEN(TEXTJOIN("",TRUE,E18:R18))=0),"",TEXTJOIN(" · ",TRUE,IF(AND($J18&lt;&gt;"",SWITCH($B18,"Origem","BASE DO LIVRO","Marcante","","Menor","","Arma","PROPRIEDADE 3","Escudo","","Uniforme","","Item comum","","Ferramenta amaldiçoada","","")=""),"Apague campo que este tipo não usa",IF(AND($J18&lt;&gt;"",COUNTIF(INDIRECT(SWITCH($B18,"Origem","'DADOS_CUSTOM'!$CD$2:$CD$160","Marcante","'DADOS_CUSTOM'!$CM$2:$CM$160","Menor","'DADOS_CUSTOM'!$CM$2:$CM$160","Arma","'DADOS_CUSTOM'!$CI$2:$CI$160","Escudo","'DADOS_CUSTOM'!$CM$2:$CM$160","Uniforme","'DADOS_CUSTOM'!$CM$2:$CM$160","Item comum","'DADOS_CUSTOM'!$CM$2:$CM$160","Ferramenta amaldiçoada","'DADOS_CUSTOM'!$CM$2:$CM$160","'DADOS_CUSTOM'!$CM$2:$CM$160")),$J18)=0),"Opção inválida: "&amp;SWITCH($B18,"Origem","BASE DO LIVRO","Marcante","","Menor","","Arma","PROPRIEDADE 3","Escudo","","Uniforme","","Item comum","","Ferramenta amaldiçoada","",""),"")),IF(AND($K18&lt;&gt;"",SWITCH($B18,"Origem","OFÍCIO","Marcante","","Menor","","Arma","PROPRIEDADE 4","Escudo","","Uniforme","","Item comum","","Ferramenta amaldiçoada","","")=""),"Apague campo que este tipo não usa",IF(AND($K18&lt;&gt;"",COUNTIF(INDIRECT(SWITCH($B18,"Origem","'DADOS_PROGRESSAO'!$AJ$2:$AJ$23","Marcante","'DADOS_CUSTOM'!$CM$2:$CM$160","Menor","'DADOS_CUSTOM'!$CM$2:$CM$160","Arma","'DADOS_CUSTOM'!$CI$2:$CI$160","Escudo","'DADOS_CUSTOM'!$CM$2:$CM$160","Uniforme","'DADOS_CUSTOM'!$CM$2:$CM$160","Item comum","'DADOS_CUSTOM'!$CM$2:$CM$160","Ferramenta amaldiçoada","'DADOS_CUSTOM'!$CM$2:$CM$160","'DADOS_CUSTOM'!$CM$2:$CM$160")),$K18)=0),"Opção inválida: "&amp;SWITCH($B18,"Origem","OFÍCIO","Marcante","","Menor","","Arma","PROPRIEDADE 4","Escudo","","Uniforme","","Item comum","","Ferramenta amaldiçoada","",""),"")),IF(AND($L18&lt;&gt;"",SWITCH($B18,"Origem","TALENTO CE 4","Marcante","FREQUÊNCIA","Menor","FREQUÊNCIA","Arma","DADO","Escudo","PROTEÇÃO","Uniforme","PROTEÇÃO","Item comum","VOLUME","Ferramenta amaldiçoada","ESTIGMA","")=""),"Apague campo que este tipo não usa",IF(AND(OR($B18="Escudo",$B18="Uniforme",$B18="Item comum"),$L18&lt;&gt;"",NOT(ISNUMBER($L18)),NOT(AND($L18="—",FALSE))),"Informe número: "&amp;SWITCH($B18,"Origem","TALENTO CE 4","Marcante","FREQUÊNCIA","Menor","FREQUÊNCIA","Arma","DADO","Escudo","PROTEÇÃO","Uniforme","PROTEÇÃO","Item comum","VOLUME","Ferramenta amaldiçoada","ESTIGMA",""),"")),IF(AND($M18&lt;&gt;"",SWITCH($B18,"Origem","","Marcante","","Menor","","Arma","FORÇA","Escudo","TETO DE DESTREZA","Uniforme","TETO DE DESTREZA","Item comum","PREÇO","Ferramenta amaldiçoada","DESGASTE","")=""),"Apague campo que este tipo não usa",IF(AND(OR($B18="Arma",$B18="Escudo",$B18="Uniforme",$B18="Item comum",$B18="Ferramenta amaldiçoada"),$M18&lt;&gt;"",NOT(ISNUMBER($M18)),NOT(AND($M18="—",OR($B18="Arma",$B18="Escudo",$B18="Uniforme",$B18="Ferramenta amaldiçoada")))),"Informe número: "&amp;SWITCH($B18,"Origem","","Marcante","","Menor","","Arma","FORÇA","Escudo","TETO DE DESTREZA","Uniforme","TETO DE DESTREZA","Item comum","PREÇO","Ferramenta amaldiçoada","DESGASTE",""),"")),IF(AND($N18&lt;&gt;"",SWITCH($B18,"Origem","","Marcante","","Menor","","Arma","VOLUME","Escudo","FORÇA","Uniforme","FORÇA","Item comum","","Ferramenta amaldiçoada","VOLUME","")=""),"Apague campo que este tipo não usa",IF(AND(OR($B18="Arma",$B18="Escudo",$B18="Uniforme",$B18="Ferramenta amaldiçoada"),$N18&lt;&gt;"",NOT(ISNUMBER($N18)),NOT(AND($N18="—",OR($B18="Escudo",$B18="Uniforme")))),"Informe número: "&amp;SWITCH($B18,"Origem","","Marcante","","Menor","","Arma","VOLUME","Escudo","FORÇA","Uniforme","FORÇA","Item comum","","Ferramenta amaldiçoada","VOLUME",""),"")),IF(AND($O18&lt;&gt;"",SWITCH($B18,"Origem","","Marcante","","Menor","","Arma","ALCANCE","Escudo","VOLUME","Uniforme","VOLUME","Item comum","","Ferramenta amaldiçoada","PREÇO","")=""),"Apague campo que este tipo não usa",IF(AND(OR($B18="Escudo",$B18="Uniforme",$B18="Ferramenta amaldiçoada"),$O18&lt;&gt;"",NOT(ISNUMBER($O18)),NOT(AND($O18="—",FALSE))),"Informe número: "&amp;SWITCH($B18,"Origem","","Marcante","","Menor","","Arma","ALCANCE","Escudo","VOLUME","Uniforme","VOLUME","Item comum","","Ferramenta amaldiçoada","PREÇO",""),"")),IF(AND($P18&lt;&gt;"",SWITCH($B18,"Origem","","Marcante","","Menor","","Arma","RECARGA","Escudo","PREÇO","Uniforme","PREÇO","Item comum","","Ferramenta amaldiçoada","","")=""),"Apague campo que este tipo não usa",IF(AND(OR($B18="Arma",$B18="Escudo",$B18="Uniforme"),$P18&lt;&gt;"",NOT(ISNUMBER($P18)),NOT(AND($P18="—",OR($B18="Arma")))),"Informe número: "&amp;SWITCH($B18,"Origem","","Marcante","","Menor","","Arma","RECARGA","Escudo","PREÇO","Uniforme","PREÇO","Item comum","","Ferramenta amaldiçoada","",""),"")),IF(AND($Q18&lt;&gt;"",SWITCH($B18,"Origem","","Marcante","","Menor","","Arma","PREÇO","Escudo","","Uniforme","","Item comum","","Ferramenta amaldiçoada","","")=""),"Apague campo que este tipo não usa",IF(AND(OR($B18="Arma"),$Q18&lt;&gt;"",NOT(ISNUMBER($Q18)),NOT(AND($Q18="—",FALSE))),"Informe número: "&amp;SWITCH($B18,"Origem","","Marcante","","Menor","","Arma","PREÇO","Escudo","","Uniforme","","Item comum","","Ferramenta amaldiçoada","",""),""))))</f>
        <v/>
      </c>
      <c r="KA18" s="175">
        <f>IF(AND($B18="",$C18="",LEN(TEXTJOIN("",TRUE,E18:R18))=0),"",TEXTJOIN(" · ",TRUE,IF(AND($B18="Origem",OR($E18="",$F18="",$G18="",$H18="",$I18="")),"Preencha os campos obrigatórios de Origem",""),IF(AND($B18="Marcante",OR($E18="")),"Preencha os campos obrigatórios de Marcante",""),IF(AND($B18="Menor",OR($E18="")),"Preencha os campos obrigatórios de Menor",""),IF(AND($B18="Arma",OR($E18="",$F18="",$G18="",$L18="",$M18="",$N18="")),"Preencha os campos obrigatórios de Arma",""),IF(AND($B18="Escudo",OR($L18="",$M18="",$N18="",$O18="")),"Preencha os campos obrigatórios de Escudo",""),IF(AND($B18="Uniforme",OR($E18="",$L18="",$M18="",$N18="",$O18="")),"Preencha os campos obrigatórios de Uniforme",""),IF(AND($B18="Item comum",OR($L18="")),"Preencha os campos obrigatórios de Item comum",""),IF(AND($B18="Ferramenta amaldiçoada",OR($E18="",$F18="")),"Preencha os campos obrigatórios de Ferramenta amaldiçoada",""),IF(AND($B18="Origem",COUNTA(E18:H18)=4,NOT(AND(E18&lt;&gt;F18,E18&lt;&gt;G18,E18&lt;&gt;H18,F18&lt;&gt;G18,F18&lt;&gt;H18,G18&lt;&gt;H18))),"Escolha quatro perícias diferentes",""),IF(AND($B18="Origem",J18="Latente",NOT(OR(I18="Fundamento",I18="Manejos"))),"ROTA não combina com BASE DO LIVRO",""),IF(AND($B18="Origem",J18="Receptáculo",NOT(OR(I18="Fundamento",I18="Manejos"))),"ROTA não combina com BASE DO LIVRO",""),IF(AND($B18="Origem",J18="Descendente",NOT(OR(I18="Fundamento",I18="Manejos"))),"ROTA não combina com BASE DO LIVRO",""),IF(AND($B18="Origem",J18="Encarnado",NOT(OR(I18="Fundamento",I18="Manejos"))),"ROTA não combina com BASE DO LIVRO",""),IF(AND($B18="Origem",J18="Híbrido",NOT(OR(I18="Fundamento",I18="Manejos"))),"ROTA não combina com BASE DO LIVRO",""),IF(AND($B18="Origem",J18="Corpo Amaldiçoado",NOT(OR(I18="Técnica Marcial com energia"))),"ROTA não combina com BASE DO LIVRO",""),IF(AND($B18="Origem",J18="Restrição Celestial · Sem Energia",NOT(OR(I18="Técnica Marcial sem energia"))),"ROTA não combina com BASE DO LIVRO",""),IF(AND($B18="Origem",J18="Restrição Celestial · Restrição corporal",NOT(OR(I18="Fundamento"))),"ROTA não combina com BASE DO LIVRO","")))</f>
        <v/>
      </c>
    </row>
    <row r="19">
      <c r="A19" s="175" t="n">
        <v>18</v>
      </c>
      <c r="B19" s="175">
        <f>IF(ISBLANK('CONFIGURAÇÃO'!$AB$246),"",'CONFIGURAÇÃO'!$AB$246)</f>
        <v/>
      </c>
      <c r="C19" s="175">
        <f>IF(ISBLANK('CONFIGURAÇÃO'!$AB$248),"",'CONFIGURAÇÃO'!$AB$248)</f>
        <v/>
      </c>
      <c r="D19" s="175">
        <f>IF(ISBLANK('CONFIGURAÇÃO'!$AF$246),"",'CONFIGURAÇÃO'!$AF$246)</f>
        <v/>
      </c>
      <c r="E19" s="175">
        <f>IF(ISBLANK('CONFIGURAÇÃO'!$AD$249),"",'CONFIGURAÇÃO'!$AD$249)</f>
        <v/>
      </c>
      <c r="F19" s="175">
        <f>IF(ISBLANK('CONFIGURAÇÃO'!$AD$250),"",'CONFIGURAÇÃO'!$AD$250)</f>
        <v/>
      </c>
      <c r="G19" s="175">
        <f>IF(ISBLANK('CONFIGURAÇÃO'!$AD$251),"",'CONFIGURAÇÃO'!$AD$251)</f>
        <v/>
      </c>
      <c r="H19" s="175">
        <f>IF(ISBLANK('CONFIGURAÇÃO'!$AD$252),"",'CONFIGURAÇÃO'!$AD$252)</f>
        <v/>
      </c>
      <c r="I19" s="175">
        <f>IF(ISBLANK('CONFIGURAÇÃO'!$AD$253),"",'CONFIGURAÇÃO'!$AD$253)</f>
        <v/>
      </c>
      <c r="J19" s="175">
        <f>IF(ISBLANK('CONFIGURAÇÃO'!$AD$254),"",'CONFIGURAÇÃO'!$AD$254)</f>
        <v/>
      </c>
      <c r="K19" s="175">
        <f>IF(ISBLANK('CONFIGURAÇÃO'!$AD$255),"",'CONFIGURAÇÃO'!$AD$255)</f>
        <v/>
      </c>
      <c r="L19" s="175">
        <f>IF(ISBLANK('CONFIGURAÇÃO'!$AD$256),"",'CONFIGURAÇÃO'!$AD$256)</f>
        <v/>
      </c>
      <c r="M19" s="175">
        <f>IF(ISBLANK('CONFIGURAÇÃO'!$AD$257),"",'CONFIGURAÇÃO'!$AD$257)</f>
        <v/>
      </c>
      <c r="N19" s="175">
        <f>IF(ISBLANK('CONFIGURAÇÃO'!$AD$258),"",'CONFIGURAÇÃO'!$AD$258)</f>
        <v/>
      </c>
      <c r="O19" s="175">
        <f>IF(ISBLANK('CONFIGURAÇÃO'!$AD$259),"",'CONFIGURAÇÃO'!$AD$259)</f>
        <v/>
      </c>
      <c r="P19" s="175">
        <f>IF(ISBLANK('CONFIGURAÇÃO'!$AD$260),"",'CONFIGURAÇÃO'!$AD$260)</f>
        <v/>
      </c>
      <c r="Q19" s="175">
        <f>IF(ISBLANK('CONFIGURAÇÃO'!$AD$261),"",'CONFIGURAÇÃO'!$AD$261)</f>
        <v/>
      </c>
      <c r="R19" s="175">
        <f>IF(ISBLANK('CONFIGURAÇÃO'!$AB$263),"",'CONFIGURAÇÃO'!$AB$263)</f>
        <v/>
      </c>
      <c r="S19" s="175">
        <f>TEXTJOIN(" · ",TRUE,U19,V19,W19,X19)</f>
        <v/>
      </c>
      <c r="T19" s="175">
        <f>AND(B19&lt;&gt;"",C19&lt;&gt;"",S19="")</f>
        <v/>
      </c>
      <c r="U19" s="175">
        <f>TEXTJOIN(" · ",TRUE,JY19:KA19)</f>
        <v/>
      </c>
      <c r="V19" s="175">
        <f>IF(AND(OR($B19="Marcante",$B19="Menor"),NOT(OR(COUNTIF('DADOS_CUSTOM'!$CD$2:$CD$160,E19)&gt;0,COUNTIFS('DADOS_CUSTOM'!$C$2:$C$26,E19,'DADOS_CUSTOM'!$B$2:$B$26,"Origem",'DADOS_CUSTOM'!$U$2:$U$26,"")=1))),"Origem vinculada não existe ou tem erro",IF(AND($B19="Marcante",NOT(OR(E19="Restrição Celestial · Restrição corporal",AND(COUNTIFS('DADOS_CUSTOM'!$C$2:$C$26,E19,'DADOS_CUSTOM'!$B$2:$B$26,"Origem",'DADOS_CUSTOM'!$U$2:$U$26,"")=1,OR(IFERROR(INDEX('DADOS_CUSTOM'!$J$2:$J$26,MATCH(E19,'DADOS_CUSTOM'!$C$2:$C$26,0)),E19)="",IFERROR(INDEX('DADOS_CUSTOM'!$J$2:$J$26,MATCH(E19,'DADOS_CUSTOM'!$C$2:$C$26,0)),E19)="Nenhuma",IFERROR(INDEX('DADOS_CUSTOM'!$J$2:$J$26,MATCH(E19,'DADOS_CUSTOM'!$C$2:$C$26,0)),E19)="Restrição Celestial · Restrição corporal"))))),"Marcante própria só para Restrição corporal ou Origem do zero; use a marcante publicada da base",""))</f>
        <v/>
      </c>
      <c r="W19" s="175">
        <f>IF(AND($B19="Menor",F19&lt;&gt;"",F19&lt;&gt;"—",NOT(OR(AND(F19="Tentativa e Erro",OR(E19="Latente",IFERROR(INDEX('DADOS_CUSTOM'!$J$2:$J$26,MATCH(E19,'DADOS_CUSTOM'!$C$2:$C$26,0)),E19)="Latente")),AND(F19="Coexistência",OR(E19="Receptáculo",IFERROR(INDEX('DADOS_CUSTOM'!$J$2:$J$26,MATCH(E19,'DADOS_CUSTOM'!$C$2:$C$26,0)),E19)="Receptáculo")),AND(F19="Conflito",OR(E19="Receptáculo",IFERROR(INDEX('DADOS_CUSTOM'!$J$2:$J$26,MATCH(E19,'DADOS_CUSTOM'!$C$2:$C$26,0)),E19)="Receptáculo")),AND(F19="Zenin",OR(E19="Descendente",IFERROR(INDEX('DADOS_CUSTOM'!$J$2:$J$26,MATCH(E19,'DADOS_CUSTOM'!$C$2:$C$26,0)),E19)="Descendente")),AND(F19="Kamo",OR(E19="Descendente",IFERROR(INDEX('DADOS_CUSTOM'!$J$2:$J$26,MATCH(E19,'DADOS_CUSTOM'!$C$2:$C$26,0)),E19)="Descendente")),AND(F19="Gojo",OR(E19="Descendente",IFERROR(INDEX('DADOS_CUSTOM'!$J$2:$J$26,MATCH(E19,'DADOS_CUSTOM'!$C$2:$C$26,0)),E19)="Descendente")),AND(F19="Inumaki",OR(E19="Descendente",IFERROR(INDEX('DADOS_CUSTOM'!$J$2:$J$26,MATCH(E19,'DADOS_CUSTOM'!$C$2:$C$26,0)),E19)="Descendente")),AND(F19="Duas Vidas",OR(E19="Encarnado",IFERROR(INDEX('DADOS_CUSTOM'!$J$2:$J$26,MATCH(E19,'DADOS_CUSTOM'!$C$2:$C$26,0)),E19)="Encarnado")),AND(F19="Regeneração Orgânica",OR(E19="Híbrido",IFERROR(INDEX('DADOS_CUSTOM'!$J$2:$J$26,MATCH(E19,'DADOS_CUSTOM'!$C$2:$C$26,0)),E19)="Híbrido")),AND(F19="Existência Artificial",OR(E19="Corpo Amaldiçoado",IFERROR(INDEX('DADOS_CUSTOM'!$J$2:$J$26,MATCH(E19,'DADOS_CUSTOM'!$C$2:$C$26,0)),E19)="Corpo Amaldiçoado")),AND(F19="Ataque sem Prenúncio",OR(E19="Restrição Celestial · Sem Energia",IFERROR(INDEX('DADOS_CUSTOM'!$J$2:$J$26,MATCH(E19,'DADOS_CUSTOM'!$C$2:$C$26,0)),E19)="Restrição Celestial · Sem Energia")),AND(F19="Corpo Debilitado",OR(E19="Restrição Celestial · Restrição corporal",IFERROR(INDEX('DADOS_CUSTOM'!$J$2:$J$26,MATCH(E19,'DADOS_CUSTOM'!$C$2:$C$26,0)),E19)="Restrição Celestial · Restrição corporal")),AND(F19="Corpo Quebradiço",OR(E19="Restrição Celestial · Restrição corporal",IFERROR(INDEX('DADOS_CUSTOM'!$J$2:$J$26,MATCH(E19,'DADOS_CUSTOM'!$C$2:$C$26,0)),E19)="Restrição Celestial · Restrição corporal")),AND(F19="Corpo Exaurido",OR(E19="Restrição Celestial · Restrição corporal",IFERROR(INDEX('DADOS_CUSTOM'!$J$2:$J$26,MATCH(E19,'DADOS_CUSTOM'!$C$2:$C$26,0)),E19)="Restrição Celestial · Restrição corporal")),COUNTIFS('DADOS_CUSTOM'!$C$2:$C$26,F19,'DADOS_CUSTOM'!$B$2:$B$26,"Marcante",'DADOS_CUSTOM'!$E$2:$E$26,E19,'DADOS_CUSTOM'!$U$2:$U$26,"",'DADOS_CUSTOM'!$V$2:$V$26,"")=1))),"Marcante exigida não pertence à Origem ou tem erro","")</f>
        <v/>
      </c>
      <c r="X19" s="175">
        <f>IF(AND($B19="Ferramenta amaldiçoada",NOT(OR(COUNTIF('DADOS_CUSTOM'!$CK$2:$CK$75,E19)&gt;0,OR(COUNTIFS('DADOS_CUSTOM'!$C$2:$C$26,E19,'DADOS_CUSTOM'!$B$2:$B$26,"Arma",'DADOS_CUSTOM'!$U$2:$U$26,"")=1,COUNTIFS('DADOS_CUSTOM'!$C$2:$C$26,E19,'DADOS_CUSTOM'!$B$2:$B$26,"Escudo",'DADOS_CUSTOM'!$U$2:$U$26,"")=1,COUNTIFS('DADOS_CUSTOM'!$C$2:$C$26,E19,'DADOS_CUSTOM'!$B$2:$B$26,"Uniforme",'DADOS_CUSTOM'!$U$2:$U$26,"")=1,COUNTIFS('DADOS_CUSTOM'!$C$2:$C$26,E19,'DADOS_CUSTOM'!$B$2:$B$26,"Item comum",'DADOS_CUSTOM'!$U$2:$U$26,"")=1)))),"Base da ferramenta não existe ou tem erro","")</f>
        <v/>
      </c>
      <c r="AA19" s="175" t="inlineStr">
        <is>
          <t>Kama</t>
        </is>
      </c>
      <c r="AB19" s="175" t="inlineStr">
        <is>
          <t>Ceifa</t>
        </is>
      </c>
      <c r="AC19" s="175" t="n">
        <v>1</v>
      </c>
      <c r="AD19" s="175" t="inlineStr">
        <is>
          <t>1d6</t>
        </is>
      </c>
      <c r="AE19" s="175" t="inlineStr">
        <is>
          <t>Par · Rompe</t>
        </is>
      </c>
      <c r="AF19" s="175" t="inlineStr">
        <is>
          <t>—</t>
        </is>
      </c>
      <c r="AG19" s="175" t="n">
        <v>0.5</v>
      </c>
      <c r="AJ19" s="175">
        <f>'FICHA PESSOAL'!$V$79</f>
        <v/>
      </c>
      <c r="AK19" s="175">
        <f>ADDRESS(ROW('FICHA PESSOAL'!V79),COLUMN('FICHA PESSOAL'!V79),4)</f>
        <v/>
      </c>
      <c r="AM19" s="175">
        <f>IF(AND(OR($B13="Uniforme"),$C13&lt;&gt;"",$U13=""),$C13,"")</f>
        <v/>
      </c>
      <c r="AN19" s="175">
        <f>IF(AND(OR($B13="Uniforme"),$C13&lt;&gt;"",$U13=""),$L13,"")</f>
        <v/>
      </c>
      <c r="AO19" s="175">
        <f>IF(AND(OR($B13="Uniforme"),$C13&lt;&gt;"",$U13=""),$M13,"")</f>
        <v/>
      </c>
      <c r="AP19" s="175">
        <f>IF(AND(OR($B13="Uniforme"),$C13&lt;&gt;"",$U13=""),$N13,"")</f>
        <v/>
      </c>
      <c r="AQ19" s="175">
        <f>IF(AND(OR($B13="Uniforme"),$C13&lt;&gt;"",$U13=""),$O13,"")</f>
        <v/>
      </c>
      <c r="AR19" s="175">
        <f>IF(AND(OR($B13="Uniforme"),$C13&lt;&gt;"",$U13=""),IFERROR(VLOOKUP($E13,DADOS!$CF$5:$CH$9,3,FALSE),1),"")</f>
        <v/>
      </c>
      <c r="AS19" s="175">
        <f>IF(AND(OR($B13="Uniforme"),$C13&lt;&gt;"",$U13=""),$E13,"")</f>
        <v/>
      </c>
      <c r="AU19" s="175">
        <f>IF(AND(OR($B6="Item comum"),$C6&lt;&gt;"",$U6=""),$C6,"")</f>
        <v/>
      </c>
      <c r="AV19" s="175">
        <f>IF(AND(OR($B6="Item comum"),$C6&lt;&gt;"",$U6=""),$L6,"")</f>
        <v/>
      </c>
      <c r="AW19" s="175">
        <f>IF(AND(OR($B6="Item comum"),$C6&lt;&gt;"",$U6=""),$M6,"")</f>
        <v/>
      </c>
      <c r="AX19" s="175">
        <f>IF(AND(OR($B6="Item comum"),$C6&lt;&gt;"",$U6=""),$R6,"")</f>
        <v/>
      </c>
      <c r="AZ19" s="175" t="inlineStr">
        <is>
          <t>Aptidão Intuitiva</t>
        </is>
      </c>
      <c r="BA19" s="175" t="inlineStr">
        <is>
          <t>Latente</t>
        </is>
      </c>
      <c r="BB19" s="175" t="inlineStr">
        <is>
          <t>menor</t>
        </is>
      </c>
      <c r="BC19" s="175" t="inlineStr"/>
      <c r="BD19" s="175" t="inlineStr">
        <is>
          <t>Uma vez por cena</t>
        </is>
      </c>
      <c r="BE19" s="175" t="inlineStr">
        <is>
          <t>Você encontra caminhos que ainda não aprendeu a explicar. Uma vez por cena, antes de um teste de perícia em que não tenha treino, acrescente sua Maestria ao resultado. Vale apenas para a tentativa; não concede treino nem dispensa requisitos. Não se aplica a Ofícios, ataques ou TRs.</t>
        </is>
      </c>
      <c r="BG19" s="175">
        <f>IF(AND(OR($B11="Origem"),$C11&lt;&gt;"",$T11=TRUE),$C11,"")</f>
        <v/>
      </c>
      <c r="BH19" s="175">
        <f>IF(AND(OR($B11="Origem"),$C11&lt;&gt;"",$T11=TRUE),TEXTJOIN(" · ",TRUE,$E11:$H11),"")</f>
        <v/>
      </c>
      <c r="BI19" s="175">
        <f>IF(AND(OR($B11="Origem"),$C11&lt;&gt;"",$T11=TRUE),$I11,"")</f>
        <v/>
      </c>
      <c r="BM19" s="175" t="inlineStr">
        <is>
          <t>Corrente</t>
        </is>
      </c>
      <c r="BN19" s="175" t="inlineStr">
        <is>
          <t>Arma</t>
        </is>
      </c>
      <c r="BO19" s="175" t="n">
        <v>0</v>
      </c>
      <c r="BP19" s="175" t="inlineStr">
        <is>
          <t>—</t>
        </is>
      </c>
      <c r="BQ19" s="175" t="inlineStr">
        <is>
          <t>—</t>
        </is>
      </c>
      <c r="BR19" s="175" t="n">
        <v>2</v>
      </c>
      <c r="BS19" s="175" t="inlineStr">
        <is>
          <t>—</t>
        </is>
      </c>
      <c r="BT19" s="175" t="inlineStr"/>
      <c r="BU19" s="175" t="inlineStr"/>
      <c r="BV19" s="175" t="inlineStr">
        <is>
          <t>Broquel</t>
        </is>
      </c>
      <c r="BW19" s="175">
        <f>IF(AND($B18="Origem",OR($J18="",$J18="Nenhuma",$J18="Restrição Celestial · Restrição corporal")),$C18,"")</f>
        <v/>
      </c>
      <c r="CA19" s="175" t="inlineStr">
        <is>
          <t>Percepção</t>
        </is>
      </c>
      <c r="CC19" s="175">
        <f>IF(OR('CONFIGURAÇÃO'!$AB$130="Origem"),'CONFIGURAÇÃO'!$AB$132,"")</f>
        <v/>
      </c>
      <c r="CH19">
        <f>IF('DADOS_DANOS'!$J$19="","",'DADOS_DANOS'!$J$19)</f>
        <v/>
      </c>
      <c r="CK19" s="175" t="inlineStr">
        <is>
          <t>Kanabō</t>
        </is>
      </c>
      <c r="CL19" s="175">
        <f>IF(OR('CONFIGURAÇÃO'!$T$43="Marcante"),'CONFIGURAÇÃO'!$T$45,"")</f>
        <v/>
      </c>
      <c r="CS19" s="175">
        <f>IF(AND($B6="Origem",$T6=TRUE),$C6,"")</f>
        <v/>
      </c>
      <c r="JY19" s="175">
        <f>IF(AND($B19="",$C19="",LEN(TEXTJOIN("",TRUE,E19:R19))=0),"",TEXTJOIN(" · ",TRUE,IF(COUNTIF('DADOS_CUSTOM'!$BZ$2:$BZ$160,$B19)=0,"Escolha um tipo válido",""),IF(LEN(TRIM($C19))=0,"Preencha NOME",""),IF(OR(COUNTIF('DADOS_CUSTOM'!$C$2:$C$26,$C19)&gt;1,COUNTIF('DADOS_CUSTOM'!$BV$2:$BV$171,$C19)&gt;0),"Nome repetido no livro ou custom",""),IF(AND($E19&lt;&gt;"",SWITCH($B19,"Origem","PERÍCIA 1","Marcante","ORIGEM","Menor","ORIGEM","Arma","CATEGORIA","Escudo","","Uniforme","GRAU MÍNIMO","Item comum","","Ferramenta amaldiçoada","BASE","")=""),"Apague campo que este tipo não usa",IF(AND($E19&lt;&gt;"",COUNTIF(INDIRECT(SWITCH($B19,"Origem","'DADOS_PROGRESSAO'!$AG$2:$AG$34","Marcante","'DADOS_CUSTOM'!$BW$2:$BW$160","Menor","'DADOS_CUSTOM'!$CC$2:$CC$160","Arma","'DADOS_CUSTOM'!$CF$2:$CF$160","Escudo","'DADOS_CUSTOM'!$CM$2:$CM$160","Uniforme","'DADOS_CUSTOM'!$CJ$2:$CJ$160","Item comum","'DADOS_CUSTOM'!$CM$2:$CM$160","Ferramenta amaldiçoada","'DADOS_CUSTOM'!$CK$2:$CK$160","'DADOS_CUSTOM'!$CM$2:$CM$160")),$E19)=0),"Opção inválida: "&amp;SWITCH($B19,"Origem","PERÍCIA 1","Marcante","ORIGEM","Menor","ORIGEM","Arma","CATEGORIA","Escudo","","Uniforme","GRAU MÍNIMO","Item comum","","Ferramenta amaldiçoada","BASE",""),"")),IF(AND($F19&lt;&gt;"",SWITCH($B19,"Origem","PERÍCIA 2","Marcante","","Menor","EXIGE MARCANTE","Arma","MÃO","Escudo","","Uniforme","","Item comum","","Ferramenta amaldiçoada","GRAU","")=""),"Apague campo que este tipo não usa",IF(AND($F19&lt;&gt;"",COUNTIF(INDIRECT(SWITCH($B19,"Origem","'DADOS_PROGRESSAO'!$AG$2:$AG$34","Marcante","'DADOS_CUSTOM'!$CM$2:$CM$160","Menor","'DADOS_CUSTOM'!$CL$2:$CL$160","Arma","'DADOS_CUSTOM'!$CG$2:$CG$160","Escudo","'DADOS_CUSTOM'!$CM$2:$CM$160","Uniforme","'DADOS_CUSTOM'!$CM$2:$CM$160","Item comum","'DADOS_CUSTOM'!$CM$2:$CM$160","Ferramenta amaldiçoada","'DADOS_CUSTOM'!$CJ$2:$CJ$160","'DADOS_CUSTOM'!$CM$2:$CM$160")),$F19)=0),"Opção inválida: "&amp;SWITCH($B19,"Origem","PERÍCIA 2","Marcante","","Menor","EXIGE MARCANTE","Arma","MÃO","Escudo","","Uniforme","","Item comum","","Ferramenta amaldiçoada","GRAU",""),"")),IF(AND($G19&lt;&gt;"",SWITCH($B19,"Origem","PERÍCIA 3","Marcante","","Menor","","Arma","TIPO DE DANO","Escudo","","Uniforme","","Item comum","","Ferramenta amaldiçoada","","")=""),"Apague campo que este tipo não usa",IF(AND($G19&lt;&gt;"",COUNTIF(INDIRECT(SWITCH($B19,"Origem","'DADOS_PROGRESSAO'!$AG$2:$AG$34","Marcante","'DADOS_CUSTOM'!$CM$2:$CM$160","Menor","'DADOS_CUSTOM'!$CM$2:$CM$160","Arma","'DADOS_CUSTOM'!$CH$2:$CH$160","Escudo","'DADOS_CUSTOM'!$CM$2:$CM$160","Uniforme","'DADOS_CUSTOM'!$CM$2:$CM$160","Item comum","'DADOS_CUSTOM'!$CM$2:$CM$160","Ferramenta amaldiçoada","'DADOS_CUSTOM'!$CM$2:$CM$160","'DADOS_CUSTOM'!$CM$2:$CM$160")),$G19)=0),"Opção inválida: "&amp;SWITCH($B19,"Origem","PERÍCIA 3","Marcante","","Menor","","Arma","TIPO DE DANO","Escudo","","Uniforme","","Item comum","","Ferramenta amaldiçoada","",""),"")),IF(AND($H19&lt;&gt;"",SWITCH($B19,"Origem","PERÍCIA 4","Marcante","","Menor","","Arma","PROPRIEDADE 1","Escudo","","Uniforme","","Item comum","","Ferramenta amaldiçoada","","")=""),"Apague campo que este tipo não usa",IF(AND($H19&lt;&gt;"",COUNTIF(INDIRECT(SWITCH($B19,"Origem","'DADOS_PROGRESSAO'!$AG$2:$AG$34","Marcante","'DADOS_CUSTOM'!$CM$2:$CM$160","Menor","'DADOS_CUSTOM'!$CM$2:$CM$160","Arma","'DADOS_CUSTOM'!$CI$2:$CI$160","Escudo","'DADOS_CUSTOM'!$CM$2:$CM$160","Uniforme","'DADOS_CUSTOM'!$CM$2:$CM$160","Item comum","'DADOS_CUSTOM'!$CM$2:$CM$160","Ferramenta amaldiçoada","'DADOS_CUSTOM'!$CM$2:$CM$160","'DADOS_CUSTOM'!$CM$2:$CM$160")),$H19)=0),"Opção inválida: "&amp;SWITCH($B19,"Origem","PERÍCIA 4","Marcante","","Menor","","Arma","PROPRIEDADE 1","Escudo","","Uniforme","","Item comum","","Ferramenta amaldiçoada","",""),"")),IF(AND($I19&lt;&gt;"",SWITCH($B19,"Origem","ROTA","Marcante","","Menor","","Arma","PROPRIEDADE 2","Escudo","","Uniforme","","Item comum","","Ferramenta amaldiçoada","","")=""),"Apague campo que este tipo não usa",IF(AND($I19&lt;&gt;"",COUNTIF(INDIRECT(SWITCH($B19,"Origem","'DADOS_CUSTOM'!$CB$2:$CB$160","Marcante","'DADOS_CUSTOM'!$CM$2:$CM$160","Menor","'DADOS_CUSTOM'!$CM$2:$CM$160","Arma","'DADOS_CUSTOM'!$CI$2:$CI$160","Escudo","'DADOS_CUSTOM'!$CM$2:$CM$160","Uniforme","'DADOS_CUSTOM'!$CM$2:$CM$160","Item comum","'DADOS_CUSTOM'!$CM$2:$CM$160","Ferramenta amaldiçoada","'DADOS_CUSTOM'!$CM$2:$CM$160","'DADOS_CUSTOM'!$CM$2:$CM$160")),$I19)=0),"Opção inválida: "&amp;SWITCH($B19,"Origem","ROTA","Marcante","","Menor","","Arma","PROPRIEDADE 2","Escudo","","Uniforme","","Item comum","","Ferramenta amaldiçoada","",""),""))))</f>
        <v/>
      </c>
      <c r="JZ19" s="175">
        <f>IF(AND($B19="",$C19="",LEN(TEXTJOIN("",TRUE,E19:R19))=0),"",TEXTJOIN(" · ",TRUE,IF(AND($J19&lt;&gt;"",SWITCH($B19,"Origem","BASE DO LIVRO","Marcante","","Menor","","Arma","PROPRIEDADE 3","Escudo","","Uniforme","","Item comum","","Ferramenta amaldiçoada","","")=""),"Apague campo que este tipo não usa",IF(AND($J19&lt;&gt;"",COUNTIF(INDIRECT(SWITCH($B19,"Origem","'DADOS_CUSTOM'!$CD$2:$CD$160","Marcante","'DADOS_CUSTOM'!$CM$2:$CM$160","Menor","'DADOS_CUSTOM'!$CM$2:$CM$160","Arma","'DADOS_CUSTOM'!$CI$2:$CI$160","Escudo","'DADOS_CUSTOM'!$CM$2:$CM$160","Uniforme","'DADOS_CUSTOM'!$CM$2:$CM$160","Item comum","'DADOS_CUSTOM'!$CM$2:$CM$160","Ferramenta amaldiçoada","'DADOS_CUSTOM'!$CM$2:$CM$160","'DADOS_CUSTOM'!$CM$2:$CM$160")),$J19)=0),"Opção inválida: "&amp;SWITCH($B19,"Origem","BASE DO LIVRO","Marcante","","Menor","","Arma","PROPRIEDADE 3","Escudo","","Uniforme","","Item comum","","Ferramenta amaldiçoada","",""),"")),IF(AND($K19&lt;&gt;"",SWITCH($B19,"Origem","OFÍCIO","Marcante","","Menor","","Arma","PROPRIEDADE 4","Escudo","","Uniforme","","Item comum","","Ferramenta amaldiçoada","","")=""),"Apague campo que este tipo não usa",IF(AND($K19&lt;&gt;"",COUNTIF(INDIRECT(SWITCH($B19,"Origem","'DADOS_PROGRESSAO'!$AJ$2:$AJ$23","Marcante","'DADOS_CUSTOM'!$CM$2:$CM$160","Menor","'DADOS_CUSTOM'!$CM$2:$CM$160","Arma","'DADOS_CUSTOM'!$CI$2:$CI$160","Escudo","'DADOS_CUSTOM'!$CM$2:$CM$160","Uniforme","'DADOS_CUSTOM'!$CM$2:$CM$160","Item comum","'DADOS_CUSTOM'!$CM$2:$CM$160","Ferramenta amaldiçoada","'DADOS_CUSTOM'!$CM$2:$CM$160","'DADOS_CUSTOM'!$CM$2:$CM$160")),$K19)=0),"Opção inválida: "&amp;SWITCH($B19,"Origem","OFÍCIO","Marcante","","Menor","","Arma","PROPRIEDADE 4","Escudo","","Uniforme","","Item comum","","Ferramenta amaldiçoada","",""),"")),IF(AND($L19&lt;&gt;"",SWITCH($B19,"Origem","TALENTO CE 4","Marcante","FREQUÊNCIA","Menor","FREQUÊNCIA","Arma","DADO","Escudo","PROTEÇÃO","Uniforme","PROTEÇÃO","Item comum","VOLUME","Ferramenta amaldiçoada","ESTIGMA","")=""),"Apague campo que este tipo não usa",IF(AND(OR($B19="Escudo",$B19="Uniforme",$B19="Item comum"),$L19&lt;&gt;"",NOT(ISNUMBER($L19)),NOT(AND($L19="—",FALSE))),"Informe número: "&amp;SWITCH($B19,"Origem","TALENTO CE 4","Marcante","FREQUÊNCIA","Menor","FREQUÊNCIA","Arma","DADO","Escudo","PROTEÇÃO","Uniforme","PROTEÇÃO","Item comum","VOLUME","Ferramenta amaldiçoada","ESTIGMA",""),"")),IF(AND($M19&lt;&gt;"",SWITCH($B19,"Origem","","Marcante","","Menor","","Arma","FORÇA","Escudo","TETO DE DESTREZA","Uniforme","TETO DE DESTREZA","Item comum","PREÇO","Ferramenta amaldiçoada","DESGASTE","")=""),"Apague campo que este tipo não usa",IF(AND(OR($B19="Arma",$B19="Escudo",$B19="Uniforme",$B19="Item comum",$B19="Ferramenta amaldiçoada"),$M19&lt;&gt;"",NOT(ISNUMBER($M19)),NOT(AND($M19="—",OR($B19="Arma",$B19="Escudo",$B19="Uniforme",$B19="Ferramenta amaldiçoada")))),"Informe número: "&amp;SWITCH($B19,"Origem","","Marcante","","Menor","","Arma","FORÇA","Escudo","TETO DE DESTREZA","Uniforme","TETO DE DESTREZA","Item comum","PREÇO","Ferramenta amaldiçoada","DESGASTE",""),"")),IF(AND($N19&lt;&gt;"",SWITCH($B19,"Origem","","Marcante","","Menor","","Arma","VOLUME","Escudo","FORÇA","Uniforme","FORÇA","Item comum","","Ferramenta amaldiçoada","VOLUME","")=""),"Apague campo que este tipo não usa",IF(AND(OR($B19="Arma",$B19="Escudo",$B19="Uniforme",$B19="Ferramenta amaldiçoada"),$N19&lt;&gt;"",NOT(ISNUMBER($N19)),NOT(AND($N19="—",OR($B19="Escudo",$B19="Uniforme")))),"Informe número: "&amp;SWITCH($B19,"Origem","","Marcante","","Menor","","Arma","VOLUME","Escudo","FORÇA","Uniforme","FORÇA","Item comum","","Ferramenta amaldiçoada","VOLUME",""),"")),IF(AND($O19&lt;&gt;"",SWITCH($B19,"Origem","","Marcante","","Menor","","Arma","ALCANCE","Escudo","VOLUME","Uniforme","VOLUME","Item comum","","Ferramenta amaldiçoada","PREÇO","")=""),"Apague campo que este tipo não usa",IF(AND(OR($B19="Escudo",$B19="Uniforme",$B19="Ferramenta amaldiçoada"),$O19&lt;&gt;"",NOT(ISNUMBER($O19)),NOT(AND($O19="—",FALSE))),"Informe número: "&amp;SWITCH($B19,"Origem","","Marcante","","Menor","","Arma","ALCANCE","Escudo","VOLUME","Uniforme","VOLUME","Item comum","","Ferramenta amaldiçoada","PREÇO",""),"")),IF(AND($P19&lt;&gt;"",SWITCH($B19,"Origem","","Marcante","","Menor","","Arma","RECARGA","Escudo","PREÇO","Uniforme","PREÇO","Item comum","","Ferramenta amaldiçoada","","")=""),"Apague campo que este tipo não usa",IF(AND(OR($B19="Arma",$B19="Escudo",$B19="Uniforme"),$P19&lt;&gt;"",NOT(ISNUMBER($P19)),NOT(AND($P19="—",OR($B19="Arma")))),"Informe número: "&amp;SWITCH($B19,"Origem","","Marcante","","Menor","","Arma","RECARGA","Escudo","PREÇO","Uniforme","PREÇO","Item comum","","Ferramenta amaldiçoada","",""),"")),IF(AND($Q19&lt;&gt;"",SWITCH($B19,"Origem","","Marcante","","Menor","","Arma","PREÇO","Escudo","","Uniforme","","Item comum","","Ferramenta amaldiçoada","","")=""),"Apague campo que este tipo não usa",IF(AND(OR($B19="Arma"),$Q19&lt;&gt;"",NOT(ISNUMBER($Q19)),NOT(AND($Q19="—",FALSE))),"Informe número: "&amp;SWITCH($B19,"Origem","","Marcante","","Menor","","Arma","PREÇO","Escudo","","Uniforme","","Item comum","","Ferramenta amaldiçoada","",""),""))))</f>
        <v/>
      </c>
      <c r="KA19" s="175">
        <f>IF(AND($B19="",$C19="",LEN(TEXTJOIN("",TRUE,E19:R19))=0),"",TEXTJOIN(" · ",TRUE,IF(AND($B19="Origem",OR($E19="",$F19="",$G19="",$H19="",$I19="")),"Preencha os campos obrigatórios de Origem",""),IF(AND($B19="Marcante",OR($E19="")),"Preencha os campos obrigatórios de Marcante",""),IF(AND($B19="Menor",OR($E19="")),"Preencha os campos obrigatórios de Menor",""),IF(AND($B19="Arma",OR($E19="",$F19="",$G19="",$L19="",$M19="",$N19="")),"Preencha os campos obrigatórios de Arma",""),IF(AND($B19="Escudo",OR($L19="",$M19="",$N19="",$O19="")),"Preencha os campos obrigatórios de Escudo",""),IF(AND($B19="Uniforme",OR($E19="",$L19="",$M19="",$N19="",$O19="")),"Preencha os campos obrigatórios de Uniforme",""),IF(AND($B19="Item comum",OR($L19="")),"Preencha os campos obrigatórios de Item comum",""),IF(AND($B19="Ferramenta amaldiçoada",OR($E19="",$F19="")),"Preencha os campos obrigatórios de Ferramenta amaldiçoada",""),IF(AND($B19="Origem",COUNTA(E19:H19)=4,NOT(AND(E19&lt;&gt;F19,E19&lt;&gt;G19,E19&lt;&gt;H19,F19&lt;&gt;G19,F19&lt;&gt;H19,G19&lt;&gt;H19))),"Escolha quatro perícias diferentes",""),IF(AND($B19="Origem",J19="Latente",NOT(OR(I19="Fundamento",I19="Manejos"))),"ROTA não combina com BASE DO LIVRO",""),IF(AND($B19="Origem",J19="Receptáculo",NOT(OR(I19="Fundamento",I19="Manejos"))),"ROTA não combina com BASE DO LIVRO",""),IF(AND($B19="Origem",J19="Descendente",NOT(OR(I19="Fundamento",I19="Manejos"))),"ROTA não combina com BASE DO LIVRO",""),IF(AND($B19="Origem",J19="Encarnado",NOT(OR(I19="Fundamento",I19="Manejos"))),"ROTA não combina com BASE DO LIVRO",""),IF(AND($B19="Origem",J19="Híbrido",NOT(OR(I19="Fundamento",I19="Manejos"))),"ROTA não combina com BASE DO LIVRO",""),IF(AND($B19="Origem",J19="Corpo Amaldiçoado",NOT(OR(I19="Técnica Marcial com energia"))),"ROTA não combina com BASE DO LIVRO",""),IF(AND($B19="Origem",J19="Restrição Celestial · Sem Energia",NOT(OR(I19="Técnica Marcial sem energia"))),"ROTA não combina com BASE DO LIVRO",""),IF(AND($B19="Origem",J19="Restrição Celestial · Restrição corporal",NOT(OR(I19="Fundamento"))),"ROTA não combina com BASE DO LIVRO","")))</f>
        <v/>
      </c>
    </row>
    <row r="20">
      <c r="A20" s="175" t="n">
        <v>19</v>
      </c>
      <c r="B20" s="175">
        <f>IF(ISBLANK('CONFIGURAÇÃO'!$T$275),"",'CONFIGURAÇÃO'!$T$275)</f>
        <v/>
      </c>
      <c r="C20" s="175">
        <f>IF(ISBLANK('CONFIGURAÇÃO'!$T$277),"",'CONFIGURAÇÃO'!$T$277)</f>
        <v/>
      </c>
      <c r="D20" s="175">
        <f>IF(ISBLANK('CONFIGURAÇÃO'!$X$275),"",'CONFIGURAÇÃO'!$X$275)</f>
        <v/>
      </c>
      <c r="E20" s="175">
        <f>IF(ISBLANK('CONFIGURAÇÃO'!$V$278),"",'CONFIGURAÇÃO'!$V$278)</f>
        <v/>
      </c>
      <c r="F20" s="175">
        <f>IF(ISBLANK('CONFIGURAÇÃO'!$V$279),"",'CONFIGURAÇÃO'!$V$279)</f>
        <v/>
      </c>
      <c r="G20" s="175">
        <f>IF(ISBLANK('CONFIGURAÇÃO'!$V$280),"",'CONFIGURAÇÃO'!$V$280)</f>
        <v/>
      </c>
      <c r="H20" s="175">
        <f>IF(ISBLANK('CONFIGURAÇÃO'!$V$281),"",'CONFIGURAÇÃO'!$V$281)</f>
        <v/>
      </c>
      <c r="I20" s="175">
        <f>IF(ISBLANK('CONFIGURAÇÃO'!$V$282),"",'CONFIGURAÇÃO'!$V$282)</f>
        <v/>
      </c>
      <c r="J20" s="175">
        <f>IF(ISBLANK('CONFIGURAÇÃO'!$V$283),"",'CONFIGURAÇÃO'!$V$283)</f>
        <v/>
      </c>
      <c r="K20" s="175">
        <f>IF(ISBLANK('CONFIGURAÇÃO'!$V$284),"",'CONFIGURAÇÃO'!$V$284)</f>
        <v/>
      </c>
      <c r="L20" s="175">
        <f>IF(ISBLANK('CONFIGURAÇÃO'!$V$285),"",'CONFIGURAÇÃO'!$V$285)</f>
        <v/>
      </c>
      <c r="M20" s="175">
        <f>IF(ISBLANK('CONFIGURAÇÃO'!$V$286),"",'CONFIGURAÇÃO'!$V$286)</f>
        <v/>
      </c>
      <c r="N20" s="175">
        <f>IF(ISBLANK('CONFIGURAÇÃO'!$V$287),"",'CONFIGURAÇÃO'!$V$287)</f>
        <v/>
      </c>
      <c r="O20" s="175">
        <f>IF(ISBLANK('CONFIGURAÇÃO'!$V$288),"",'CONFIGURAÇÃO'!$V$288)</f>
        <v/>
      </c>
      <c r="P20" s="175">
        <f>IF(ISBLANK('CONFIGURAÇÃO'!$V$289),"",'CONFIGURAÇÃO'!$V$289)</f>
        <v/>
      </c>
      <c r="Q20" s="175">
        <f>IF(ISBLANK('CONFIGURAÇÃO'!$V$290),"",'CONFIGURAÇÃO'!$V$290)</f>
        <v/>
      </c>
      <c r="R20" s="175">
        <f>IF(ISBLANK('CONFIGURAÇÃO'!$T$292),"",'CONFIGURAÇÃO'!$T$292)</f>
        <v/>
      </c>
      <c r="S20" s="175">
        <f>TEXTJOIN(" · ",TRUE,U20,V20,W20,X20)</f>
        <v/>
      </c>
      <c r="T20" s="175">
        <f>AND(B20&lt;&gt;"",C20&lt;&gt;"",S20="")</f>
        <v/>
      </c>
      <c r="U20" s="175">
        <f>TEXTJOIN(" · ",TRUE,JY20:KA20)</f>
        <v/>
      </c>
      <c r="V20" s="175">
        <f>IF(AND(OR($B20="Marcante",$B20="Menor"),NOT(OR(COUNTIF('DADOS_CUSTOM'!$CD$2:$CD$160,E20)&gt;0,COUNTIFS('DADOS_CUSTOM'!$C$2:$C$26,E20,'DADOS_CUSTOM'!$B$2:$B$26,"Origem",'DADOS_CUSTOM'!$U$2:$U$26,"")=1))),"Origem vinculada não existe ou tem erro",IF(AND($B20="Marcante",NOT(OR(E20="Restrição Celestial · Restrição corporal",AND(COUNTIFS('DADOS_CUSTOM'!$C$2:$C$26,E20,'DADOS_CUSTOM'!$B$2:$B$26,"Origem",'DADOS_CUSTOM'!$U$2:$U$26,"")=1,OR(IFERROR(INDEX('DADOS_CUSTOM'!$J$2:$J$26,MATCH(E20,'DADOS_CUSTOM'!$C$2:$C$26,0)),E20)="",IFERROR(INDEX('DADOS_CUSTOM'!$J$2:$J$26,MATCH(E20,'DADOS_CUSTOM'!$C$2:$C$26,0)),E20)="Nenhuma",IFERROR(INDEX('DADOS_CUSTOM'!$J$2:$J$26,MATCH(E20,'DADOS_CUSTOM'!$C$2:$C$26,0)),E20)="Restrição Celestial · Restrição corporal"))))),"Marcante própria só para Restrição corporal ou Origem do zero; use a marcante publicada da base",""))</f>
        <v/>
      </c>
      <c r="W20" s="175">
        <f>IF(AND($B20="Menor",F20&lt;&gt;"",F20&lt;&gt;"—",NOT(OR(AND(F20="Tentativa e Erro",OR(E20="Latente",IFERROR(INDEX('DADOS_CUSTOM'!$J$2:$J$26,MATCH(E20,'DADOS_CUSTOM'!$C$2:$C$26,0)),E20)="Latente")),AND(F20="Coexistência",OR(E20="Receptáculo",IFERROR(INDEX('DADOS_CUSTOM'!$J$2:$J$26,MATCH(E20,'DADOS_CUSTOM'!$C$2:$C$26,0)),E20)="Receptáculo")),AND(F20="Conflito",OR(E20="Receptáculo",IFERROR(INDEX('DADOS_CUSTOM'!$J$2:$J$26,MATCH(E20,'DADOS_CUSTOM'!$C$2:$C$26,0)),E20)="Receptáculo")),AND(F20="Zenin",OR(E20="Descendente",IFERROR(INDEX('DADOS_CUSTOM'!$J$2:$J$26,MATCH(E20,'DADOS_CUSTOM'!$C$2:$C$26,0)),E20)="Descendente")),AND(F20="Kamo",OR(E20="Descendente",IFERROR(INDEX('DADOS_CUSTOM'!$J$2:$J$26,MATCH(E20,'DADOS_CUSTOM'!$C$2:$C$26,0)),E20)="Descendente")),AND(F20="Gojo",OR(E20="Descendente",IFERROR(INDEX('DADOS_CUSTOM'!$J$2:$J$26,MATCH(E20,'DADOS_CUSTOM'!$C$2:$C$26,0)),E20)="Descendente")),AND(F20="Inumaki",OR(E20="Descendente",IFERROR(INDEX('DADOS_CUSTOM'!$J$2:$J$26,MATCH(E20,'DADOS_CUSTOM'!$C$2:$C$26,0)),E20)="Descendente")),AND(F20="Duas Vidas",OR(E20="Encarnado",IFERROR(INDEX('DADOS_CUSTOM'!$J$2:$J$26,MATCH(E20,'DADOS_CUSTOM'!$C$2:$C$26,0)),E20)="Encarnado")),AND(F20="Regeneração Orgânica",OR(E20="Híbrido",IFERROR(INDEX('DADOS_CUSTOM'!$J$2:$J$26,MATCH(E20,'DADOS_CUSTOM'!$C$2:$C$26,0)),E20)="Híbrido")),AND(F20="Existência Artificial",OR(E20="Corpo Amaldiçoado",IFERROR(INDEX('DADOS_CUSTOM'!$J$2:$J$26,MATCH(E20,'DADOS_CUSTOM'!$C$2:$C$26,0)),E20)="Corpo Amaldiçoado")),AND(F20="Ataque sem Prenúncio",OR(E20="Restrição Celestial · Sem Energia",IFERROR(INDEX('DADOS_CUSTOM'!$J$2:$J$26,MATCH(E20,'DADOS_CUSTOM'!$C$2:$C$26,0)),E20)="Restrição Celestial · Sem Energia")),AND(F20="Corpo Debilitado",OR(E20="Restrição Celestial · Restrição corporal",IFERROR(INDEX('DADOS_CUSTOM'!$J$2:$J$26,MATCH(E20,'DADOS_CUSTOM'!$C$2:$C$26,0)),E20)="Restrição Celestial · Restrição corporal")),AND(F20="Corpo Quebradiço",OR(E20="Restrição Celestial · Restrição corporal",IFERROR(INDEX('DADOS_CUSTOM'!$J$2:$J$26,MATCH(E20,'DADOS_CUSTOM'!$C$2:$C$26,0)),E20)="Restrição Celestial · Restrição corporal")),AND(F20="Corpo Exaurido",OR(E20="Restrição Celestial · Restrição corporal",IFERROR(INDEX('DADOS_CUSTOM'!$J$2:$J$26,MATCH(E20,'DADOS_CUSTOM'!$C$2:$C$26,0)),E20)="Restrição Celestial · Restrição corporal")),COUNTIFS('DADOS_CUSTOM'!$C$2:$C$26,F20,'DADOS_CUSTOM'!$B$2:$B$26,"Marcante",'DADOS_CUSTOM'!$E$2:$E$26,E20,'DADOS_CUSTOM'!$U$2:$U$26,"",'DADOS_CUSTOM'!$V$2:$V$26,"")=1))),"Marcante exigida não pertence à Origem ou tem erro","")</f>
        <v/>
      </c>
      <c r="X20" s="175">
        <f>IF(AND($B20="Ferramenta amaldiçoada",NOT(OR(COUNTIF('DADOS_CUSTOM'!$CK$2:$CK$75,E20)&gt;0,OR(COUNTIFS('DADOS_CUSTOM'!$C$2:$C$26,E20,'DADOS_CUSTOM'!$B$2:$B$26,"Arma",'DADOS_CUSTOM'!$U$2:$U$26,"")=1,COUNTIFS('DADOS_CUSTOM'!$C$2:$C$26,E20,'DADOS_CUSTOM'!$B$2:$B$26,"Escudo",'DADOS_CUSTOM'!$U$2:$U$26,"")=1,COUNTIFS('DADOS_CUSTOM'!$C$2:$C$26,E20,'DADOS_CUSTOM'!$B$2:$B$26,"Uniforme",'DADOS_CUSTOM'!$U$2:$U$26,"")=1,COUNTIFS('DADOS_CUSTOM'!$C$2:$C$26,E20,'DADOS_CUSTOM'!$B$2:$B$26,"Item comum",'DADOS_CUSTOM'!$U$2:$U$26,"")=1)))),"Base da ferramenta não existe ou tem erro","")</f>
        <v/>
      </c>
      <c r="AA20" s="175" t="inlineStr">
        <is>
          <t>Kanabō</t>
        </is>
      </c>
      <c r="AB20" s="175" t="inlineStr">
        <is>
          <t>Massa</t>
        </is>
      </c>
      <c r="AC20" s="175" t="n">
        <v>2</v>
      </c>
      <c r="AD20" s="175" t="inlineStr">
        <is>
          <t>1d12</t>
        </is>
      </c>
      <c r="AE20" s="175" t="inlineStr">
        <is>
          <t>Talha</t>
        </is>
      </c>
      <c r="AF20" s="175" t="n">
        <v>3</v>
      </c>
      <c r="AG20" s="175" t="n">
        <v>3</v>
      </c>
      <c r="AJ20" s="175">
        <f>'FICHA PESSOAL'!$AM$72</f>
        <v/>
      </c>
      <c r="AK20" s="175">
        <f>ADDRESS(ROW('FICHA PESSOAL'!AM72),COLUMN('FICHA PESSOAL'!AM72),4)</f>
        <v/>
      </c>
      <c r="AM20" s="175">
        <f>IF(AND(OR($B14="Uniforme"),$C14&lt;&gt;"",$U14=""),$C14,"")</f>
        <v/>
      </c>
      <c r="AN20" s="175">
        <f>IF(AND(OR($B14="Uniforme"),$C14&lt;&gt;"",$U14=""),$L14,"")</f>
        <v/>
      </c>
      <c r="AO20" s="175">
        <f>IF(AND(OR($B14="Uniforme"),$C14&lt;&gt;"",$U14=""),$M14,"")</f>
        <v/>
      </c>
      <c r="AP20" s="175">
        <f>IF(AND(OR($B14="Uniforme"),$C14&lt;&gt;"",$U14=""),$N14,"")</f>
        <v/>
      </c>
      <c r="AQ20" s="175">
        <f>IF(AND(OR($B14="Uniforme"),$C14&lt;&gt;"",$U14=""),$O14,"")</f>
        <v/>
      </c>
      <c r="AR20" s="175">
        <f>IF(AND(OR($B14="Uniforme"),$C14&lt;&gt;"",$U14=""),IFERROR(VLOOKUP($E14,DADOS!$CF$5:$CH$9,3,FALSE),1),"")</f>
        <v/>
      </c>
      <c r="AS20" s="175">
        <f>IF(AND(OR($B14="Uniforme"),$C14&lt;&gt;"",$U14=""),$E14,"")</f>
        <v/>
      </c>
      <c r="AU20" s="175">
        <f>IF(AND(OR($B7="Item comum"),$C7&lt;&gt;"",$U7=""),$C7,"")</f>
        <v/>
      </c>
      <c r="AV20" s="175">
        <f>IF(AND(OR($B7="Item comum"),$C7&lt;&gt;"",$U7=""),$L7,"")</f>
        <v/>
      </c>
      <c r="AW20" s="175">
        <f>IF(AND(OR($B7="Item comum"),$C7&lt;&gt;"",$U7=""),$M7,"")</f>
        <v/>
      </c>
      <c r="AX20" s="175">
        <f>IF(AND(OR($B7="Item comum"),$C7&lt;&gt;"",$U7=""),$R7,"")</f>
        <v/>
      </c>
      <c r="AZ20" s="175" t="inlineStr">
        <is>
          <t>Presença Bruta</t>
        </is>
      </c>
      <c r="BA20" s="175" t="inlineStr">
        <is>
          <t>Latente</t>
        </is>
      </c>
      <c r="BB20" s="175" t="inlineStr">
        <is>
          <t>menor</t>
        </is>
      </c>
      <c r="BC20" s="175" t="inlineStr"/>
      <c r="BD20" s="175" t="inlineStr">
        <is>
          <t>Uma vez por cena</t>
        </is>
      </c>
      <c r="BE20" s="175" t="inlineStr">
        <is>
          <t>Sua energia manifesta uma intensidade difícil de ignorar. Uma vez por cena, ao manifestá-la de forma perceptível pelo alvo, declare o uso antes de um teste de Intimidação ou Provocar e acrescente sua Maestria, além do bônus normal. As duas opções compartilham o uso e conservam suas ações e efeitos.</t>
        </is>
      </c>
      <c r="BG20" s="175">
        <f>IF(AND(OR($B12="Origem"),$C12&lt;&gt;"",$T12=TRUE),$C12,"")</f>
        <v/>
      </c>
      <c r="BH20" s="175">
        <f>IF(AND(OR($B12="Origem"),$C12&lt;&gt;"",$T12=TRUE),TEXTJOIN(" · ",TRUE,$E12:$H12),"")</f>
        <v/>
      </c>
      <c r="BI20" s="175">
        <f>IF(AND(OR($B12="Origem"),$C12&lt;&gt;"",$T12=TRUE),$I12,"")</f>
        <v/>
      </c>
      <c r="BM20" s="175" t="inlineStr">
        <is>
          <t>Daikyū</t>
        </is>
      </c>
      <c r="BN20" s="175" t="inlineStr">
        <is>
          <t>Arma</t>
        </is>
      </c>
      <c r="BO20" s="175" t="n">
        <v>0</v>
      </c>
      <c r="BP20" s="175" t="inlineStr">
        <is>
          <t>—</t>
        </is>
      </c>
      <c r="BQ20" s="175" t="inlineStr">
        <is>
          <t>—</t>
        </is>
      </c>
      <c r="BR20" s="175" t="n">
        <v>2</v>
      </c>
      <c r="BS20" s="175" t="inlineStr">
        <is>
          <t>—</t>
        </is>
      </c>
      <c r="BT20" s="175" t="inlineStr"/>
      <c r="BU20" s="175" t="inlineStr"/>
      <c r="BV20" s="175" t="inlineStr">
        <is>
          <t>Bō</t>
        </is>
      </c>
      <c r="BW20" s="175">
        <f>IF(AND($B19="Origem",OR($J19="",$J19="Nenhuma",$J19="Restrição Celestial · Restrição corporal")),$C19,"")</f>
        <v/>
      </c>
      <c r="CA20" s="175" t="inlineStr">
        <is>
          <t>Persuasão</t>
        </is>
      </c>
      <c r="CC20" s="175">
        <f>IF(OR('CONFIGURAÇÃO'!$T$159="Origem"),'CONFIGURAÇÃO'!$T$161,"")</f>
        <v/>
      </c>
      <c r="CH20">
        <f>IF('DADOS_DANOS'!$J$20="","",'DADOS_DANOS'!$J$20)</f>
        <v/>
      </c>
      <c r="CK20" s="175" t="inlineStr">
        <is>
          <t>Katana</t>
        </is>
      </c>
      <c r="CL20" s="175">
        <f>IF(OR('CONFIGURAÇÃO'!$AB$43="Marcante"),'CONFIGURAÇÃO'!$AB$45,"")</f>
        <v/>
      </c>
      <c r="CS20" s="175">
        <f>IF(AND($B7="Origem",$T7=TRUE),$C7,"")</f>
        <v/>
      </c>
      <c r="JY20" s="175">
        <f>IF(AND($B20="",$C20="",LEN(TEXTJOIN("",TRUE,E20:R20))=0),"",TEXTJOIN(" · ",TRUE,IF(COUNTIF('DADOS_CUSTOM'!$BZ$2:$BZ$160,$B20)=0,"Escolha um tipo válido",""),IF(LEN(TRIM($C20))=0,"Preencha NOME",""),IF(OR(COUNTIF('DADOS_CUSTOM'!$C$2:$C$26,$C20)&gt;1,COUNTIF('DADOS_CUSTOM'!$BV$2:$BV$171,$C20)&gt;0),"Nome repetido no livro ou custom",""),IF(AND($E20&lt;&gt;"",SWITCH($B20,"Origem","PERÍCIA 1","Marcante","ORIGEM","Menor","ORIGEM","Arma","CATEGORIA","Escudo","","Uniforme","GRAU MÍNIMO","Item comum","","Ferramenta amaldiçoada","BASE","")=""),"Apague campo que este tipo não usa",IF(AND($E20&lt;&gt;"",COUNTIF(INDIRECT(SWITCH($B20,"Origem","'DADOS_PROGRESSAO'!$AG$2:$AG$34","Marcante","'DADOS_CUSTOM'!$BW$2:$BW$160","Menor","'DADOS_CUSTOM'!$CC$2:$CC$160","Arma","'DADOS_CUSTOM'!$CF$2:$CF$160","Escudo","'DADOS_CUSTOM'!$CM$2:$CM$160","Uniforme","'DADOS_CUSTOM'!$CJ$2:$CJ$160","Item comum","'DADOS_CUSTOM'!$CM$2:$CM$160","Ferramenta amaldiçoada","'DADOS_CUSTOM'!$CK$2:$CK$160","'DADOS_CUSTOM'!$CM$2:$CM$160")),$E20)=0),"Opção inválida: "&amp;SWITCH($B20,"Origem","PERÍCIA 1","Marcante","ORIGEM","Menor","ORIGEM","Arma","CATEGORIA","Escudo","","Uniforme","GRAU MÍNIMO","Item comum","","Ferramenta amaldiçoada","BASE",""),"")),IF(AND($F20&lt;&gt;"",SWITCH($B20,"Origem","PERÍCIA 2","Marcante","","Menor","EXIGE MARCANTE","Arma","MÃO","Escudo","","Uniforme","","Item comum","","Ferramenta amaldiçoada","GRAU","")=""),"Apague campo que este tipo não usa",IF(AND($F20&lt;&gt;"",COUNTIF(INDIRECT(SWITCH($B20,"Origem","'DADOS_PROGRESSAO'!$AG$2:$AG$34","Marcante","'DADOS_CUSTOM'!$CM$2:$CM$160","Menor","'DADOS_CUSTOM'!$CL$2:$CL$160","Arma","'DADOS_CUSTOM'!$CG$2:$CG$160","Escudo","'DADOS_CUSTOM'!$CM$2:$CM$160","Uniforme","'DADOS_CUSTOM'!$CM$2:$CM$160","Item comum","'DADOS_CUSTOM'!$CM$2:$CM$160","Ferramenta amaldiçoada","'DADOS_CUSTOM'!$CJ$2:$CJ$160","'DADOS_CUSTOM'!$CM$2:$CM$160")),$F20)=0),"Opção inválida: "&amp;SWITCH($B20,"Origem","PERÍCIA 2","Marcante","","Menor","EXIGE MARCANTE","Arma","MÃO","Escudo","","Uniforme","","Item comum","","Ferramenta amaldiçoada","GRAU",""),"")),IF(AND($G20&lt;&gt;"",SWITCH($B20,"Origem","PERÍCIA 3","Marcante","","Menor","","Arma","TIPO DE DANO","Escudo","","Uniforme","","Item comum","","Ferramenta amaldiçoada","","")=""),"Apague campo que este tipo não usa",IF(AND($G20&lt;&gt;"",COUNTIF(INDIRECT(SWITCH($B20,"Origem","'DADOS_PROGRESSAO'!$AG$2:$AG$34","Marcante","'DADOS_CUSTOM'!$CM$2:$CM$160","Menor","'DADOS_CUSTOM'!$CM$2:$CM$160","Arma","'DADOS_CUSTOM'!$CH$2:$CH$160","Escudo","'DADOS_CUSTOM'!$CM$2:$CM$160","Uniforme","'DADOS_CUSTOM'!$CM$2:$CM$160","Item comum","'DADOS_CUSTOM'!$CM$2:$CM$160","Ferramenta amaldiçoada","'DADOS_CUSTOM'!$CM$2:$CM$160","'DADOS_CUSTOM'!$CM$2:$CM$160")),$G20)=0),"Opção inválida: "&amp;SWITCH($B20,"Origem","PERÍCIA 3","Marcante","","Menor","","Arma","TIPO DE DANO","Escudo","","Uniforme","","Item comum","","Ferramenta amaldiçoada","",""),"")),IF(AND($H20&lt;&gt;"",SWITCH($B20,"Origem","PERÍCIA 4","Marcante","","Menor","","Arma","PROPRIEDADE 1","Escudo","","Uniforme","","Item comum","","Ferramenta amaldiçoada","","")=""),"Apague campo que este tipo não usa",IF(AND($H20&lt;&gt;"",COUNTIF(INDIRECT(SWITCH($B20,"Origem","'DADOS_PROGRESSAO'!$AG$2:$AG$34","Marcante","'DADOS_CUSTOM'!$CM$2:$CM$160","Menor","'DADOS_CUSTOM'!$CM$2:$CM$160","Arma","'DADOS_CUSTOM'!$CI$2:$CI$160","Escudo","'DADOS_CUSTOM'!$CM$2:$CM$160","Uniforme","'DADOS_CUSTOM'!$CM$2:$CM$160","Item comum","'DADOS_CUSTOM'!$CM$2:$CM$160","Ferramenta amaldiçoada","'DADOS_CUSTOM'!$CM$2:$CM$160","'DADOS_CUSTOM'!$CM$2:$CM$160")),$H20)=0),"Opção inválida: "&amp;SWITCH($B20,"Origem","PERÍCIA 4","Marcante","","Menor","","Arma","PROPRIEDADE 1","Escudo","","Uniforme","","Item comum","","Ferramenta amaldiçoada","",""),"")),IF(AND($I20&lt;&gt;"",SWITCH($B20,"Origem","ROTA","Marcante","","Menor","","Arma","PROPRIEDADE 2","Escudo","","Uniforme","","Item comum","","Ferramenta amaldiçoada","","")=""),"Apague campo que este tipo não usa",IF(AND($I20&lt;&gt;"",COUNTIF(INDIRECT(SWITCH($B20,"Origem","'DADOS_CUSTOM'!$CB$2:$CB$160","Marcante","'DADOS_CUSTOM'!$CM$2:$CM$160","Menor","'DADOS_CUSTOM'!$CM$2:$CM$160","Arma","'DADOS_CUSTOM'!$CI$2:$CI$160","Escudo","'DADOS_CUSTOM'!$CM$2:$CM$160","Uniforme","'DADOS_CUSTOM'!$CM$2:$CM$160","Item comum","'DADOS_CUSTOM'!$CM$2:$CM$160","Ferramenta amaldiçoada","'DADOS_CUSTOM'!$CM$2:$CM$160","'DADOS_CUSTOM'!$CM$2:$CM$160")),$I20)=0),"Opção inválida: "&amp;SWITCH($B20,"Origem","ROTA","Marcante","","Menor","","Arma","PROPRIEDADE 2","Escudo","","Uniforme","","Item comum","","Ferramenta amaldiçoada","",""),""))))</f>
        <v/>
      </c>
      <c r="JZ20" s="175">
        <f>IF(AND($B20="",$C20="",LEN(TEXTJOIN("",TRUE,E20:R20))=0),"",TEXTJOIN(" · ",TRUE,IF(AND($J20&lt;&gt;"",SWITCH($B20,"Origem","BASE DO LIVRO","Marcante","","Menor","","Arma","PROPRIEDADE 3","Escudo","","Uniforme","","Item comum","","Ferramenta amaldiçoada","","")=""),"Apague campo que este tipo não usa",IF(AND($J20&lt;&gt;"",COUNTIF(INDIRECT(SWITCH($B20,"Origem","'DADOS_CUSTOM'!$CD$2:$CD$160","Marcante","'DADOS_CUSTOM'!$CM$2:$CM$160","Menor","'DADOS_CUSTOM'!$CM$2:$CM$160","Arma","'DADOS_CUSTOM'!$CI$2:$CI$160","Escudo","'DADOS_CUSTOM'!$CM$2:$CM$160","Uniforme","'DADOS_CUSTOM'!$CM$2:$CM$160","Item comum","'DADOS_CUSTOM'!$CM$2:$CM$160","Ferramenta amaldiçoada","'DADOS_CUSTOM'!$CM$2:$CM$160","'DADOS_CUSTOM'!$CM$2:$CM$160")),$J20)=0),"Opção inválida: "&amp;SWITCH($B20,"Origem","BASE DO LIVRO","Marcante","","Menor","","Arma","PROPRIEDADE 3","Escudo","","Uniforme","","Item comum","","Ferramenta amaldiçoada","",""),"")),IF(AND($K20&lt;&gt;"",SWITCH($B20,"Origem","OFÍCIO","Marcante","","Menor","","Arma","PROPRIEDADE 4","Escudo","","Uniforme","","Item comum","","Ferramenta amaldiçoada","","")=""),"Apague campo que este tipo não usa",IF(AND($K20&lt;&gt;"",COUNTIF(INDIRECT(SWITCH($B20,"Origem","'DADOS_PROGRESSAO'!$AJ$2:$AJ$23","Marcante","'DADOS_CUSTOM'!$CM$2:$CM$160","Menor","'DADOS_CUSTOM'!$CM$2:$CM$160","Arma","'DADOS_CUSTOM'!$CI$2:$CI$160","Escudo","'DADOS_CUSTOM'!$CM$2:$CM$160","Uniforme","'DADOS_CUSTOM'!$CM$2:$CM$160","Item comum","'DADOS_CUSTOM'!$CM$2:$CM$160","Ferramenta amaldiçoada","'DADOS_CUSTOM'!$CM$2:$CM$160","'DADOS_CUSTOM'!$CM$2:$CM$160")),$K20)=0),"Opção inválida: "&amp;SWITCH($B20,"Origem","OFÍCIO","Marcante","","Menor","","Arma","PROPRIEDADE 4","Escudo","","Uniforme","","Item comum","","Ferramenta amaldiçoada","",""),"")),IF(AND($L20&lt;&gt;"",SWITCH($B20,"Origem","TALENTO CE 4","Marcante","FREQUÊNCIA","Menor","FREQUÊNCIA","Arma","DADO","Escudo","PROTEÇÃO","Uniforme","PROTEÇÃO","Item comum","VOLUME","Ferramenta amaldiçoada","ESTIGMA","")=""),"Apague campo que este tipo não usa",IF(AND(OR($B20="Escudo",$B20="Uniforme",$B20="Item comum"),$L20&lt;&gt;"",NOT(ISNUMBER($L20)),NOT(AND($L20="—",FALSE))),"Informe número: "&amp;SWITCH($B20,"Origem","TALENTO CE 4","Marcante","FREQUÊNCIA","Menor","FREQUÊNCIA","Arma","DADO","Escudo","PROTEÇÃO","Uniforme","PROTEÇÃO","Item comum","VOLUME","Ferramenta amaldiçoada","ESTIGMA",""),"")),IF(AND($M20&lt;&gt;"",SWITCH($B20,"Origem","","Marcante","","Menor","","Arma","FORÇA","Escudo","TETO DE DESTREZA","Uniforme","TETO DE DESTREZA","Item comum","PREÇO","Ferramenta amaldiçoada","DESGASTE","")=""),"Apague campo que este tipo não usa",IF(AND(OR($B20="Arma",$B20="Escudo",$B20="Uniforme",$B20="Item comum",$B20="Ferramenta amaldiçoada"),$M20&lt;&gt;"",NOT(ISNUMBER($M20)),NOT(AND($M20="—",OR($B20="Arma",$B20="Escudo",$B20="Uniforme",$B20="Ferramenta amaldiçoada")))),"Informe número: "&amp;SWITCH($B20,"Origem","","Marcante","","Menor","","Arma","FORÇA","Escudo","TETO DE DESTREZA","Uniforme","TETO DE DESTREZA","Item comum","PREÇO","Ferramenta amaldiçoada","DESGASTE",""),"")),IF(AND($N20&lt;&gt;"",SWITCH($B20,"Origem","","Marcante","","Menor","","Arma","VOLUME","Escudo","FORÇA","Uniforme","FORÇA","Item comum","","Ferramenta amaldiçoada","VOLUME","")=""),"Apague campo que este tipo não usa",IF(AND(OR($B20="Arma",$B20="Escudo",$B20="Uniforme",$B20="Ferramenta amaldiçoada"),$N20&lt;&gt;"",NOT(ISNUMBER($N20)),NOT(AND($N20="—",OR($B20="Escudo",$B20="Uniforme")))),"Informe número: "&amp;SWITCH($B20,"Origem","","Marcante","","Menor","","Arma","VOLUME","Escudo","FORÇA","Uniforme","FORÇA","Item comum","","Ferramenta amaldiçoada","VOLUME",""),"")),IF(AND($O20&lt;&gt;"",SWITCH($B20,"Origem","","Marcante","","Menor","","Arma","ALCANCE","Escudo","VOLUME","Uniforme","VOLUME","Item comum","","Ferramenta amaldiçoada","PREÇO","")=""),"Apague campo que este tipo não usa",IF(AND(OR($B20="Escudo",$B20="Uniforme",$B20="Ferramenta amaldiçoada"),$O20&lt;&gt;"",NOT(ISNUMBER($O20)),NOT(AND($O20="—",FALSE))),"Informe número: "&amp;SWITCH($B20,"Origem","","Marcante","","Menor","","Arma","ALCANCE","Escudo","VOLUME","Uniforme","VOLUME","Item comum","","Ferramenta amaldiçoada","PREÇO",""),"")),IF(AND($P20&lt;&gt;"",SWITCH($B20,"Origem","","Marcante","","Menor","","Arma","RECARGA","Escudo","PREÇO","Uniforme","PREÇO","Item comum","","Ferramenta amaldiçoada","","")=""),"Apague campo que este tipo não usa",IF(AND(OR($B20="Arma",$B20="Escudo",$B20="Uniforme"),$P20&lt;&gt;"",NOT(ISNUMBER($P20)),NOT(AND($P20="—",OR($B20="Arma")))),"Informe número: "&amp;SWITCH($B20,"Origem","","Marcante","","Menor","","Arma","RECARGA","Escudo","PREÇO","Uniforme","PREÇO","Item comum","","Ferramenta amaldiçoada","",""),"")),IF(AND($Q20&lt;&gt;"",SWITCH($B20,"Origem","","Marcante","","Menor","","Arma","PREÇO","Escudo","","Uniforme","","Item comum","","Ferramenta amaldiçoada","","")=""),"Apague campo que este tipo não usa",IF(AND(OR($B20="Arma"),$Q20&lt;&gt;"",NOT(ISNUMBER($Q20)),NOT(AND($Q20="—",FALSE))),"Informe número: "&amp;SWITCH($B20,"Origem","","Marcante","","Menor","","Arma","PREÇO","Escudo","","Uniforme","","Item comum","","Ferramenta amaldiçoada","",""),""))))</f>
        <v/>
      </c>
      <c r="KA20" s="175">
        <f>IF(AND($B20="",$C20="",LEN(TEXTJOIN("",TRUE,E20:R20))=0),"",TEXTJOIN(" · ",TRUE,IF(AND($B20="Origem",OR($E20="",$F20="",$G20="",$H20="",$I20="")),"Preencha os campos obrigatórios de Origem",""),IF(AND($B20="Marcante",OR($E20="")),"Preencha os campos obrigatórios de Marcante",""),IF(AND($B20="Menor",OR($E20="")),"Preencha os campos obrigatórios de Menor",""),IF(AND($B20="Arma",OR($E20="",$F20="",$G20="",$L20="",$M20="",$N20="")),"Preencha os campos obrigatórios de Arma",""),IF(AND($B20="Escudo",OR($L20="",$M20="",$N20="",$O20="")),"Preencha os campos obrigatórios de Escudo",""),IF(AND($B20="Uniforme",OR($E20="",$L20="",$M20="",$N20="",$O20="")),"Preencha os campos obrigatórios de Uniforme",""),IF(AND($B20="Item comum",OR($L20="")),"Preencha os campos obrigatórios de Item comum",""),IF(AND($B20="Ferramenta amaldiçoada",OR($E20="",$F20="")),"Preencha os campos obrigatórios de Ferramenta amaldiçoada",""),IF(AND($B20="Origem",COUNTA(E20:H20)=4,NOT(AND(E20&lt;&gt;F20,E20&lt;&gt;G20,E20&lt;&gt;H20,F20&lt;&gt;G20,F20&lt;&gt;H20,G20&lt;&gt;H20))),"Escolha quatro perícias diferentes",""),IF(AND($B20="Origem",J20="Latente",NOT(OR(I20="Fundamento",I20="Manejos"))),"ROTA não combina com BASE DO LIVRO",""),IF(AND($B20="Origem",J20="Receptáculo",NOT(OR(I20="Fundamento",I20="Manejos"))),"ROTA não combina com BASE DO LIVRO",""),IF(AND($B20="Origem",J20="Descendente",NOT(OR(I20="Fundamento",I20="Manejos"))),"ROTA não combina com BASE DO LIVRO",""),IF(AND($B20="Origem",J20="Encarnado",NOT(OR(I20="Fundamento",I20="Manejos"))),"ROTA não combina com BASE DO LIVRO",""),IF(AND($B20="Origem",J20="Híbrido",NOT(OR(I20="Fundamento",I20="Manejos"))),"ROTA não combina com BASE DO LIVRO",""),IF(AND($B20="Origem",J20="Corpo Amaldiçoado",NOT(OR(I20="Técnica Marcial com energia"))),"ROTA não combina com BASE DO LIVRO",""),IF(AND($B20="Origem",J20="Restrição Celestial · Sem Energia",NOT(OR(I20="Técnica Marcial sem energia"))),"ROTA não combina com BASE DO LIVRO",""),IF(AND($B20="Origem",J20="Restrição Celestial · Restrição corporal",NOT(OR(I20="Fundamento"))),"ROTA não combina com BASE DO LIVRO","")))</f>
        <v/>
      </c>
    </row>
    <row r="21">
      <c r="A21" s="175" t="n">
        <v>20</v>
      </c>
      <c r="B21" s="175">
        <f>IF(ISBLANK('CONFIGURAÇÃO'!$AB$275),"",'CONFIGURAÇÃO'!$AB$275)</f>
        <v/>
      </c>
      <c r="C21" s="175">
        <f>IF(ISBLANK('CONFIGURAÇÃO'!$AB$277),"",'CONFIGURAÇÃO'!$AB$277)</f>
        <v/>
      </c>
      <c r="D21" s="175">
        <f>IF(ISBLANK('CONFIGURAÇÃO'!$AF$275),"",'CONFIGURAÇÃO'!$AF$275)</f>
        <v/>
      </c>
      <c r="E21" s="175">
        <f>IF(ISBLANK('CONFIGURAÇÃO'!$AD$278),"",'CONFIGURAÇÃO'!$AD$278)</f>
        <v/>
      </c>
      <c r="F21" s="175">
        <f>IF(ISBLANK('CONFIGURAÇÃO'!$AD$279),"",'CONFIGURAÇÃO'!$AD$279)</f>
        <v/>
      </c>
      <c r="G21" s="175">
        <f>IF(ISBLANK('CONFIGURAÇÃO'!$AD$280),"",'CONFIGURAÇÃO'!$AD$280)</f>
        <v/>
      </c>
      <c r="H21" s="175">
        <f>IF(ISBLANK('CONFIGURAÇÃO'!$AD$281),"",'CONFIGURAÇÃO'!$AD$281)</f>
        <v/>
      </c>
      <c r="I21" s="175">
        <f>IF(ISBLANK('CONFIGURAÇÃO'!$AD$282),"",'CONFIGURAÇÃO'!$AD$282)</f>
        <v/>
      </c>
      <c r="J21" s="175">
        <f>IF(ISBLANK('CONFIGURAÇÃO'!$AD$283),"",'CONFIGURAÇÃO'!$AD$283)</f>
        <v/>
      </c>
      <c r="K21" s="175">
        <f>IF(ISBLANK('CONFIGURAÇÃO'!$AD$284),"",'CONFIGURAÇÃO'!$AD$284)</f>
        <v/>
      </c>
      <c r="L21" s="175">
        <f>IF(ISBLANK('CONFIGURAÇÃO'!$AD$285),"",'CONFIGURAÇÃO'!$AD$285)</f>
        <v/>
      </c>
      <c r="M21" s="175">
        <f>IF(ISBLANK('CONFIGURAÇÃO'!$AD$286),"",'CONFIGURAÇÃO'!$AD$286)</f>
        <v/>
      </c>
      <c r="N21" s="175">
        <f>IF(ISBLANK('CONFIGURAÇÃO'!$AD$287),"",'CONFIGURAÇÃO'!$AD$287)</f>
        <v/>
      </c>
      <c r="O21" s="175">
        <f>IF(ISBLANK('CONFIGURAÇÃO'!$AD$288),"",'CONFIGURAÇÃO'!$AD$288)</f>
        <v/>
      </c>
      <c r="P21" s="175">
        <f>IF(ISBLANK('CONFIGURAÇÃO'!$AD$289),"",'CONFIGURAÇÃO'!$AD$289)</f>
        <v/>
      </c>
      <c r="Q21" s="175">
        <f>IF(ISBLANK('CONFIGURAÇÃO'!$AD$290),"",'CONFIGURAÇÃO'!$AD$290)</f>
        <v/>
      </c>
      <c r="R21" s="175">
        <f>IF(ISBLANK('CONFIGURAÇÃO'!$AB$292),"",'CONFIGURAÇÃO'!$AB$292)</f>
        <v/>
      </c>
      <c r="S21" s="175">
        <f>TEXTJOIN(" · ",TRUE,U21,V21,W21,X21)</f>
        <v/>
      </c>
      <c r="T21" s="175">
        <f>AND(B21&lt;&gt;"",C21&lt;&gt;"",S21="")</f>
        <v/>
      </c>
      <c r="U21" s="175">
        <f>TEXTJOIN(" · ",TRUE,JY21:KA21)</f>
        <v/>
      </c>
      <c r="V21" s="175">
        <f>IF(AND(OR($B21="Marcante",$B21="Menor"),NOT(OR(COUNTIF('DADOS_CUSTOM'!$CD$2:$CD$160,E21)&gt;0,COUNTIFS('DADOS_CUSTOM'!$C$2:$C$26,E21,'DADOS_CUSTOM'!$B$2:$B$26,"Origem",'DADOS_CUSTOM'!$U$2:$U$26,"")=1))),"Origem vinculada não existe ou tem erro",IF(AND($B21="Marcante",NOT(OR(E21="Restrição Celestial · Restrição corporal",AND(COUNTIFS('DADOS_CUSTOM'!$C$2:$C$26,E21,'DADOS_CUSTOM'!$B$2:$B$26,"Origem",'DADOS_CUSTOM'!$U$2:$U$26,"")=1,OR(IFERROR(INDEX('DADOS_CUSTOM'!$J$2:$J$26,MATCH(E21,'DADOS_CUSTOM'!$C$2:$C$26,0)),E21)="",IFERROR(INDEX('DADOS_CUSTOM'!$J$2:$J$26,MATCH(E21,'DADOS_CUSTOM'!$C$2:$C$26,0)),E21)="Nenhuma",IFERROR(INDEX('DADOS_CUSTOM'!$J$2:$J$26,MATCH(E21,'DADOS_CUSTOM'!$C$2:$C$26,0)),E21)="Restrição Celestial · Restrição corporal"))))),"Marcante própria só para Restrição corporal ou Origem do zero; use a marcante publicada da base",""))</f>
        <v/>
      </c>
      <c r="W21" s="175">
        <f>IF(AND($B21="Menor",F21&lt;&gt;"",F21&lt;&gt;"—",NOT(OR(AND(F21="Tentativa e Erro",OR(E21="Latente",IFERROR(INDEX('DADOS_CUSTOM'!$J$2:$J$26,MATCH(E21,'DADOS_CUSTOM'!$C$2:$C$26,0)),E21)="Latente")),AND(F21="Coexistência",OR(E21="Receptáculo",IFERROR(INDEX('DADOS_CUSTOM'!$J$2:$J$26,MATCH(E21,'DADOS_CUSTOM'!$C$2:$C$26,0)),E21)="Receptáculo")),AND(F21="Conflito",OR(E21="Receptáculo",IFERROR(INDEX('DADOS_CUSTOM'!$J$2:$J$26,MATCH(E21,'DADOS_CUSTOM'!$C$2:$C$26,0)),E21)="Receptáculo")),AND(F21="Zenin",OR(E21="Descendente",IFERROR(INDEX('DADOS_CUSTOM'!$J$2:$J$26,MATCH(E21,'DADOS_CUSTOM'!$C$2:$C$26,0)),E21)="Descendente")),AND(F21="Kamo",OR(E21="Descendente",IFERROR(INDEX('DADOS_CUSTOM'!$J$2:$J$26,MATCH(E21,'DADOS_CUSTOM'!$C$2:$C$26,0)),E21)="Descendente")),AND(F21="Gojo",OR(E21="Descendente",IFERROR(INDEX('DADOS_CUSTOM'!$J$2:$J$26,MATCH(E21,'DADOS_CUSTOM'!$C$2:$C$26,0)),E21)="Descendente")),AND(F21="Inumaki",OR(E21="Descendente",IFERROR(INDEX('DADOS_CUSTOM'!$J$2:$J$26,MATCH(E21,'DADOS_CUSTOM'!$C$2:$C$26,0)),E21)="Descendente")),AND(F21="Duas Vidas",OR(E21="Encarnado",IFERROR(INDEX('DADOS_CUSTOM'!$J$2:$J$26,MATCH(E21,'DADOS_CUSTOM'!$C$2:$C$26,0)),E21)="Encarnado")),AND(F21="Regeneração Orgânica",OR(E21="Híbrido",IFERROR(INDEX('DADOS_CUSTOM'!$J$2:$J$26,MATCH(E21,'DADOS_CUSTOM'!$C$2:$C$26,0)),E21)="Híbrido")),AND(F21="Existência Artificial",OR(E21="Corpo Amaldiçoado",IFERROR(INDEX('DADOS_CUSTOM'!$J$2:$J$26,MATCH(E21,'DADOS_CUSTOM'!$C$2:$C$26,0)),E21)="Corpo Amaldiçoado")),AND(F21="Ataque sem Prenúncio",OR(E21="Restrição Celestial · Sem Energia",IFERROR(INDEX('DADOS_CUSTOM'!$J$2:$J$26,MATCH(E21,'DADOS_CUSTOM'!$C$2:$C$26,0)),E21)="Restrição Celestial · Sem Energia")),AND(F21="Corpo Debilitado",OR(E21="Restrição Celestial · Restrição corporal",IFERROR(INDEX('DADOS_CUSTOM'!$J$2:$J$26,MATCH(E21,'DADOS_CUSTOM'!$C$2:$C$26,0)),E21)="Restrição Celestial · Restrição corporal")),AND(F21="Corpo Quebradiço",OR(E21="Restrição Celestial · Restrição corporal",IFERROR(INDEX('DADOS_CUSTOM'!$J$2:$J$26,MATCH(E21,'DADOS_CUSTOM'!$C$2:$C$26,0)),E21)="Restrição Celestial · Restrição corporal")),AND(F21="Corpo Exaurido",OR(E21="Restrição Celestial · Restrição corporal",IFERROR(INDEX('DADOS_CUSTOM'!$J$2:$J$26,MATCH(E21,'DADOS_CUSTOM'!$C$2:$C$26,0)),E21)="Restrição Celestial · Restrição corporal")),COUNTIFS('DADOS_CUSTOM'!$C$2:$C$26,F21,'DADOS_CUSTOM'!$B$2:$B$26,"Marcante",'DADOS_CUSTOM'!$E$2:$E$26,E21,'DADOS_CUSTOM'!$U$2:$U$26,"",'DADOS_CUSTOM'!$V$2:$V$26,"")=1))),"Marcante exigida não pertence à Origem ou tem erro","")</f>
        <v/>
      </c>
      <c r="X21" s="175">
        <f>IF(AND($B21="Ferramenta amaldiçoada",NOT(OR(COUNTIF('DADOS_CUSTOM'!$CK$2:$CK$75,E21)&gt;0,OR(COUNTIFS('DADOS_CUSTOM'!$C$2:$C$26,E21,'DADOS_CUSTOM'!$B$2:$B$26,"Arma",'DADOS_CUSTOM'!$U$2:$U$26,"")=1,COUNTIFS('DADOS_CUSTOM'!$C$2:$C$26,E21,'DADOS_CUSTOM'!$B$2:$B$26,"Escudo",'DADOS_CUSTOM'!$U$2:$U$26,"")=1,COUNTIFS('DADOS_CUSTOM'!$C$2:$C$26,E21,'DADOS_CUSTOM'!$B$2:$B$26,"Uniforme",'DADOS_CUSTOM'!$U$2:$U$26,"")=1,COUNTIFS('DADOS_CUSTOM'!$C$2:$C$26,E21,'DADOS_CUSTOM'!$B$2:$B$26,"Item comum",'DADOS_CUSTOM'!$U$2:$U$26,"")=1)))),"Base da ferramenta não existe ou tem erro","")</f>
        <v/>
      </c>
      <c r="AA21" s="175" t="inlineStr">
        <is>
          <t>Katana</t>
        </is>
      </c>
      <c r="AB21" s="175" t="inlineStr">
        <is>
          <t>Lâmina Longa</t>
        </is>
      </c>
      <c r="AC21" s="175" t="n">
        <v>1</v>
      </c>
      <c r="AD21" s="175" t="inlineStr">
        <is>
          <t>1d8</t>
        </is>
      </c>
      <c r="AE21" s="175" t="inlineStr">
        <is>
          <t>Versátil · Fineza</t>
        </is>
      </c>
      <c r="AF21" s="175" t="inlineStr">
        <is>
          <t>—</t>
        </is>
      </c>
      <c r="AG21" s="175" t="n">
        <v>1</v>
      </c>
      <c r="AJ21" s="175">
        <f>'FICHA PESSOAL'!$D$74</f>
        <v/>
      </c>
      <c r="AK21" s="175">
        <f>ADDRESS(ROW('FICHA PESSOAL'!D74),COLUMN('FICHA PESSOAL'!D74),4)</f>
        <v/>
      </c>
      <c r="AM21" s="175">
        <f>IF(AND(OR($B15="Uniforme"),$C15&lt;&gt;"",$U15=""),$C15,"")</f>
        <v/>
      </c>
      <c r="AN21" s="175">
        <f>IF(AND(OR($B15="Uniforme"),$C15&lt;&gt;"",$U15=""),$L15,"")</f>
        <v/>
      </c>
      <c r="AO21" s="175">
        <f>IF(AND(OR($B15="Uniforme"),$C15&lt;&gt;"",$U15=""),$M15,"")</f>
        <v/>
      </c>
      <c r="AP21" s="175">
        <f>IF(AND(OR($B15="Uniforme"),$C15&lt;&gt;"",$U15=""),$N15,"")</f>
        <v/>
      </c>
      <c r="AQ21" s="175">
        <f>IF(AND(OR($B15="Uniforme"),$C15&lt;&gt;"",$U15=""),$O15,"")</f>
        <v/>
      </c>
      <c r="AR21" s="175">
        <f>IF(AND(OR($B15="Uniforme"),$C15&lt;&gt;"",$U15=""),IFERROR(VLOOKUP($E15,DADOS!$CF$5:$CH$9,3,FALSE),1),"")</f>
        <v/>
      </c>
      <c r="AS21" s="175">
        <f>IF(AND(OR($B15="Uniforme"),$C15&lt;&gt;"",$U15=""),$E15,"")</f>
        <v/>
      </c>
      <c r="AU21" s="175">
        <f>IF(AND(OR($B8="Item comum"),$C8&lt;&gt;"",$U8=""),$C8,"")</f>
        <v/>
      </c>
      <c r="AV21" s="175">
        <f>IF(AND(OR($B8="Item comum"),$C8&lt;&gt;"",$U8=""),$L8,"")</f>
        <v/>
      </c>
      <c r="AW21" s="175">
        <f>IF(AND(OR($B8="Item comum"),$C8&lt;&gt;"",$U8=""),$M8,"")</f>
        <v/>
      </c>
      <c r="AX21" s="175">
        <f>IF(AND(OR($B8="Item comum"),$C8&lt;&gt;"",$U8=""),$R8,"")</f>
        <v/>
      </c>
      <c r="AZ21" s="175" t="inlineStr">
        <is>
          <t>Retomar o Controle</t>
        </is>
      </c>
      <c r="BA21" s="175" t="inlineStr">
        <is>
          <t>Latente</t>
        </is>
      </c>
      <c r="BB21" s="175" t="inlineStr">
        <is>
          <t>menor</t>
        </is>
      </c>
      <c r="BC21" s="175" t="inlineStr"/>
      <c r="BD21" s="175" t="inlineStr">
        <is>
          <t>Uma vez por cena</t>
        </is>
      </c>
      <c r="BE21" s="175" t="inlineStr">
        <is>
          <t>Você força seu corpo e sua energia a responder novamente. Uma vez por cena, use uma Ação Bônus para fazer imediatamente, com vantagem, um TR para encerrar uma condição que já permita essa tentativa no fim do seu turno. Escolha uma condição e mantenha CD e modificadores.
Se falhar, conserva a tentativa normal no fim do turno. O benefício não devolve ações já perdidas.</t>
        </is>
      </c>
      <c r="BG21" s="175">
        <f>IF(AND(OR($B13="Origem"),$C13&lt;&gt;"",$T13=TRUE),$C13,"")</f>
        <v/>
      </c>
      <c r="BH21" s="175">
        <f>IF(AND(OR($B13="Origem"),$C13&lt;&gt;"",$T13=TRUE),TEXTJOIN(" · ",TRUE,$E13:$H13),"")</f>
        <v/>
      </c>
      <c r="BI21" s="175">
        <f>IF(AND(OR($B13="Origem"),$C13&lt;&gt;"",$T13=TRUE),$I13,"")</f>
        <v/>
      </c>
      <c r="BM21" s="175" t="inlineStr">
        <is>
          <t>Espada Longa</t>
        </is>
      </c>
      <c r="BN21" s="175" t="inlineStr">
        <is>
          <t>Arma</t>
        </is>
      </c>
      <c r="BO21" s="175" t="n">
        <v>0</v>
      </c>
      <c r="BP21" s="175" t="inlineStr">
        <is>
          <t>—</t>
        </is>
      </c>
      <c r="BQ21" s="175" t="inlineStr">
        <is>
          <t>—</t>
        </is>
      </c>
      <c r="BR21" s="175" t="n">
        <v>1</v>
      </c>
      <c r="BS21" s="175" t="inlineStr">
        <is>
          <t>—</t>
        </is>
      </c>
      <c r="BT21" s="175" t="inlineStr"/>
      <c r="BU21" s="175" t="inlineStr"/>
      <c r="BV21" s="175" t="inlineStr">
        <is>
          <t>Canivete</t>
        </is>
      </c>
      <c r="BW21" s="175">
        <f>IF(AND($B20="Origem",OR($J20="",$J20="Nenhuma",$J20="Restrição Celestial · Restrição corporal")),$C20,"")</f>
        <v/>
      </c>
      <c r="CA21" s="175" t="inlineStr">
        <is>
          <t>Enganação</t>
        </is>
      </c>
      <c r="CC21" s="175">
        <f>IF(OR('CONFIGURAÇÃO'!$AB$159="Origem"),'CONFIGURAÇÃO'!$AB$161,"")</f>
        <v/>
      </c>
      <c r="CH21">
        <f>IF('DADOS_DANOS'!$J$21="","",'DADOS_DANOS'!$J$21)</f>
        <v/>
      </c>
      <c r="CK21" s="175" t="inlineStr">
        <is>
          <t>Kunai</t>
        </is>
      </c>
      <c r="CL21" s="175">
        <f>IF(OR('CONFIGURAÇÃO'!$T$72="Marcante"),'CONFIGURAÇÃO'!$T$74,"")</f>
        <v/>
      </c>
      <c r="CS21" s="175">
        <f>IF(AND($B8="Origem",$T8=TRUE),$C8,"")</f>
        <v/>
      </c>
      <c r="JY21" s="175">
        <f>IF(AND($B21="",$C21="",LEN(TEXTJOIN("",TRUE,E21:R21))=0),"",TEXTJOIN(" · ",TRUE,IF(COUNTIF('DADOS_CUSTOM'!$BZ$2:$BZ$160,$B21)=0,"Escolha um tipo válido",""),IF(LEN(TRIM($C21))=0,"Preencha NOME",""),IF(OR(COUNTIF('DADOS_CUSTOM'!$C$2:$C$26,$C21)&gt;1,COUNTIF('DADOS_CUSTOM'!$BV$2:$BV$171,$C21)&gt;0),"Nome repetido no livro ou custom",""),IF(AND($E21&lt;&gt;"",SWITCH($B21,"Origem","PERÍCIA 1","Marcante","ORIGEM","Menor","ORIGEM","Arma","CATEGORIA","Escudo","","Uniforme","GRAU MÍNIMO","Item comum","","Ferramenta amaldiçoada","BASE","")=""),"Apague campo que este tipo não usa",IF(AND($E21&lt;&gt;"",COUNTIF(INDIRECT(SWITCH($B21,"Origem","'DADOS_PROGRESSAO'!$AG$2:$AG$34","Marcante","'DADOS_CUSTOM'!$BW$2:$BW$160","Menor","'DADOS_CUSTOM'!$CC$2:$CC$160","Arma","'DADOS_CUSTOM'!$CF$2:$CF$160","Escudo","'DADOS_CUSTOM'!$CM$2:$CM$160","Uniforme","'DADOS_CUSTOM'!$CJ$2:$CJ$160","Item comum","'DADOS_CUSTOM'!$CM$2:$CM$160","Ferramenta amaldiçoada","'DADOS_CUSTOM'!$CK$2:$CK$160","'DADOS_CUSTOM'!$CM$2:$CM$160")),$E21)=0),"Opção inválida: "&amp;SWITCH($B21,"Origem","PERÍCIA 1","Marcante","ORIGEM","Menor","ORIGEM","Arma","CATEGORIA","Escudo","","Uniforme","GRAU MÍNIMO","Item comum","","Ferramenta amaldiçoada","BASE",""),"")),IF(AND($F21&lt;&gt;"",SWITCH($B21,"Origem","PERÍCIA 2","Marcante","","Menor","EXIGE MARCANTE","Arma","MÃO","Escudo","","Uniforme","","Item comum","","Ferramenta amaldiçoada","GRAU","")=""),"Apague campo que este tipo não usa",IF(AND($F21&lt;&gt;"",COUNTIF(INDIRECT(SWITCH($B21,"Origem","'DADOS_PROGRESSAO'!$AG$2:$AG$34","Marcante","'DADOS_CUSTOM'!$CM$2:$CM$160","Menor","'DADOS_CUSTOM'!$CL$2:$CL$160","Arma","'DADOS_CUSTOM'!$CG$2:$CG$160","Escudo","'DADOS_CUSTOM'!$CM$2:$CM$160","Uniforme","'DADOS_CUSTOM'!$CM$2:$CM$160","Item comum","'DADOS_CUSTOM'!$CM$2:$CM$160","Ferramenta amaldiçoada","'DADOS_CUSTOM'!$CJ$2:$CJ$160","'DADOS_CUSTOM'!$CM$2:$CM$160")),$F21)=0),"Opção inválida: "&amp;SWITCH($B21,"Origem","PERÍCIA 2","Marcante","","Menor","EXIGE MARCANTE","Arma","MÃO","Escudo","","Uniforme","","Item comum","","Ferramenta amaldiçoada","GRAU",""),"")),IF(AND($G21&lt;&gt;"",SWITCH($B21,"Origem","PERÍCIA 3","Marcante","","Menor","","Arma","TIPO DE DANO","Escudo","","Uniforme","","Item comum","","Ferramenta amaldiçoada","","")=""),"Apague campo que este tipo não usa",IF(AND($G21&lt;&gt;"",COUNTIF(INDIRECT(SWITCH($B21,"Origem","'DADOS_PROGRESSAO'!$AG$2:$AG$34","Marcante","'DADOS_CUSTOM'!$CM$2:$CM$160","Menor","'DADOS_CUSTOM'!$CM$2:$CM$160","Arma","'DADOS_CUSTOM'!$CH$2:$CH$160","Escudo","'DADOS_CUSTOM'!$CM$2:$CM$160","Uniforme","'DADOS_CUSTOM'!$CM$2:$CM$160","Item comum","'DADOS_CUSTOM'!$CM$2:$CM$160","Ferramenta amaldiçoada","'DADOS_CUSTOM'!$CM$2:$CM$160","'DADOS_CUSTOM'!$CM$2:$CM$160")),$G21)=0),"Opção inválida: "&amp;SWITCH($B21,"Origem","PERÍCIA 3","Marcante","","Menor","","Arma","TIPO DE DANO","Escudo","","Uniforme","","Item comum","","Ferramenta amaldiçoada","",""),"")),IF(AND($H21&lt;&gt;"",SWITCH($B21,"Origem","PERÍCIA 4","Marcante","","Menor","","Arma","PROPRIEDADE 1","Escudo","","Uniforme","","Item comum","","Ferramenta amaldiçoada","","")=""),"Apague campo que este tipo não usa",IF(AND($H21&lt;&gt;"",COUNTIF(INDIRECT(SWITCH($B21,"Origem","'DADOS_PROGRESSAO'!$AG$2:$AG$34","Marcante","'DADOS_CUSTOM'!$CM$2:$CM$160","Menor","'DADOS_CUSTOM'!$CM$2:$CM$160","Arma","'DADOS_CUSTOM'!$CI$2:$CI$160","Escudo","'DADOS_CUSTOM'!$CM$2:$CM$160","Uniforme","'DADOS_CUSTOM'!$CM$2:$CM$160","Item comum","'DADOS_CUSTOM'!$CM$2:$CM$160","Ferramenta amaldiçoada","'DADOS_CUSTOM'!$CM$2:$CM$160","'DADOS_CUSTOM'!$CM$2:$CM$160")),$H21)=0),"Opção inválida: "&amp;SWITCH($B21,"Origem","PERÍCIA 4","Marcante","","Menor","","Arma","PROPRIEDADE 1","Escudo","","Uniforme","","Item comum","","Ferramenta amaldiçoada","",""),"")),IF(AND($I21&lt;&gt;"",SWITCH($B21,"Origem","ROTA","Marcante","","Menor","","Arma","PROPRIEDADE 2","Escudo","","Uniforme","","Item comum","","Ferramenta amaldiçoada","","")=""),"Apague campo que este tipo não usa",IF(AND($I21&lt;&gt;"",COUNTIF(INDIRECT(SWITCH($B21,"Origem","'DADOS_CUSTOM'!$CB$2:$CB$160","Marcante","'DADOS_CUSTOM'!$CM$2:$CM$160","Menor","'DADOS_CUSTOM'!$CM$2:$CM$160","Arma","'DADOS_CUSTOM'!$CI$2:$CI$160","Escudo","'DADOS_CUSTOM'!$CM$2:$CM$160","Uniforme","'DADOS_CUSTOM'!$CM$2:$CM$160","Item comum","'DADOS_CUSTOM'!$CM$2:$CM$160","Ferramenta amaldiçoada","'DADOS_CUSTOM'!$CM$2:$CM$160","'DADOS_CUSTOM'!$CM$2:$CM$160")),$I21)=0),"Opção inválida: "&amp;SWITCH($B21,"Origem","ROTA","Marcante","","Menor","","Arma","PROPRIEDADE 2","Escudo","","Uniforme","","Item comum","","Ferramenta amaldiçoada","",""),""))))</f>
        <v/>
      </c>
      <c r="JZ21" s="175">
        <f>IF(AND($B21="",$C21="",LEN(TEXTJOIN("",TRUE,E21:R21))=0),"",TEXTJOIN(" · ",TRUE,IF(AND($J21&lt;&gt;"",SWITCH($B21,"Origem","BASE DO LIVRO","Marcante","","Menor","","Arma","PROPRIEDADE 3","Escudo","","Uniforme","","Item comum","","Ferramenta amaldiçoada","","")=""),"Apague campo que este tipo não usa",IF(AND($J21&lt;&gt;"",COUNTIF(INDIRECT(SWITCH($B21,"Origem","'DADOS_CUSTOM'!$CD$2:$CD$160","Marcante","'DADOS_CUSTOM'!$CM$2:$CM$160","Menor","'DADOS_CUSTOM'!$CM$2:$CM$160","Arma","'DADOS_CUSTOM'!$CI$2:$CI$160","Escudo","'DADOS_CUSTOM'!$CM$2:$CM$160","Uniforme","'DADOS_CUSTOM'!$CM$2:$CM$160","Item comum","'DADOS_CUSTOM'!$CM$2:$CM$160","Ferramenta amaldiçoada","'DADOS_CUSTOM'!$CM$2:$CM$160","'DADOS_CUSTOM'!$CM$2:$CM$160")),$J21)=0),"Opção inválida: "&amp;SWITCH($B21,"Origem","BASE DO LIVRO","Marcante","","Menor","","Arma","PROPRIEDADE 3","Escudo","","Uniforme","","Item comum","","Ferramenta amaldiçoada","",""),"")),IF(AND($K21&lt;&gt;"",SWITCH($B21,"Origem","OFÍCIO","Marcante","","Menor","","Arma","PROPRIEDADE 4","Escudo","","Uniforme","","Item comum","","Ferramenta amaldiçoada","","")=""),"Apague campo que este tipo não usa",IF(AND($K21&lt;&gt;"",COUNTIF(INDIRECT(SWITCH($B21,"Origem","'DADOS_PROGRESSAO'!$AJ$2:$AJ$23","Marcante","'DADOS_CUSTOM'!$CM$2:$CM$160","Menor","'DADOS_CUSTOM'!$CM$2:$CM$160","Arma","'DADOS_CUSTOM'!$CI$2:$CI$160","Escudo","'DADOS_CUSTOM'!$CM$2:$CM$160","Uniforme","'DADOS_CUSTOM'!$CM$2:$CM$160","Item comum","'DADOS_CUSTOM'!$CM$2:$CM$160","Ferramenta amaldiçoada","'DADOS_CUSTOM'!$CM$2:$CM$160","'DADOS_CUSTOM'!$CM$2:$CM$160")),$K21)=0),"Opção inválida: "&amp;SWITCH($B21,"Origem","OFÍCIO","Marcante","","Menor","","Arma","PROPRIEDADE 4","Escudo","","Uniforme","","Item comum","","Ferramenta amaldiçoada","",""),"")),IF(AND($L21&lt;&gt;"",SWITCH($B21,"Origem","TALENTO CE 4","Marcante","FREQUÊNCIA","Menor","FREQUÊNCIA","Arma","DADO","Escudo","PROTEÇÃO","Uniforme","PROTEÇÃO","Item comum","VOLUME","Ferramenta amaldiçoada","ESTIGMA","")=""),"Apague campo que este tipo não usa",IF(AND(OR($B21="Escudo",$B21="Uniforme",$B21="Item comum"),$L21&lt;&gt;"",NOT(ISNUMBER($L21)),NOT(AND($L21="—",FALSE))),"Informe número: "&amp;SWITCH($B21,"Origem","TALENTO CE 4","Marcante","FREQUÊNCIA","Menor","FREQUÊNCIA","Arma","DADO","Escudo","PROTEÇÃO","Uniforme","PROTEÇÃO","Item comum","VOLUME","Ferramenta amaldiçoada","ESTIGMA",""),"")),IF(AND($M21&lt;&gt;"",SWITCH($B21,"Origem","","Marcante","","Menor","","Arma","FORÇA","Escudo","TETO DE DESTREZA","Uniforme","TETO DE DESTREZA","Item comum","PREÇO","Ferramenta amaldiçoada","DESGASTE","")=""),"Apague campo que este tipo não usa",IF(AND(OR($B21="Arma",$B21="Escudo",$B21="Uniforme",$B21="Item comum",$B21="Ferramenta amaldiçoada"),$M21&lt;&gt;"",NOT(ISNUMBER($M21)),NOT(AND($M21="—",OR($B21="Arma",$B21="Escudo",$B21="Uniforme",$B21="Ferramenta amaldiçoada")))),"Informe número: "&amp;SWITCH($B21,"Origem","","Marcante","","Menor","","Arma","FORÇA","Escudo","TETO DE DESTREZA","Uniforme","TETO DE DESTREZA","Item comum","PREÇO","Ferramenta amaldiçoada","DESGASTE",""),"")),IF(AND($N21&lt;&gt;"",SWITCH($B21,"Origem","","Marcante","","Menor","","Arma","VOLUME","Escudo","FORÇA","Uniforme","FORÇA","Item comum","","Ferramenta amaldiçoada","VOLUME","")=""),"Apague campo que este tipo não usa",IF(AND(OR($B21="Arma",$B21="Escudo",$B21="Uniforme",$B21="Ferramenta amaldiçoada"),$N21&lt;&gt;"",NOT(ISNUMBER($N21)),NOT(AND($N21="—",OR($B21="Escudo",$B21="Uniforme")))),"Informe número: "&amp;SWITCH($B21,"Origem","","Marcante","","Menor","","Arma","VOLUME","Escudo","FORÇA","Uniforme","FORÇA","Item comum","","Ferramenta amaldiçoada","VOLUME",""),"")),IF(AND($O21&lt;&gt;"",SWITCH($B21,"Origem","","Marcante","","Menor","","Arma","ALCANCE","Escudo","VOLUME","Uniforme","VOLUME","Item comum","","Ferramenta amaldiçoada","PREÇO","")=""),"Apague campo que este tipo não usa",IF(AND(OR($B21="Escudo",$B21="Uniforme",$B21="Ferramenta amaldiçoada"),$O21&lt;&gt;"",NOT(ISNUMBER($O21)),NOT(AND($O21="—",FALSE))),"Informe número: "&amp;SWITCH($B21,"Origem","","Marcante","","Menor","","Arma","ALCANCE","Escudo","VOLUME","Uniforme","VOLUME","Item comum","","Ferramenta amaldiçoada","PREÇO",""),"")),IF(AND($P21&lt;&gt;"",SWITCH($B21,"Origem","","Marcante","","Menor","","Arma","RECARGA","Escudo","PREÇO","Uniforme","PREÇO","Item comum","","Ferramenta amaldiçoada","","")=""),"Apague campo que este tipo não usa",IF(AND(OR($B21="Arma",$B21="Escudo",$B21="Uniforme"),$P21&lt;&gt;"",NOT(ISNUMBER($P21)),NOT(AND($P21="—",OR($B21="Arma")))),"Informe número: "&amp;SWITCH($B21,"Origem","","Marcante","","Menor","","Arma","RECARGA","Escudo","PREÇO","Uniforme","PREÇO","Item comum","","Ferramenta amaldiçoada","",""),"")),IF(AND($Q21&lt;&gt;"",SWITCH($B21,"Origem","","Marcante","","Menor","","Arma","PREÇO","Escudo","","Uniforme","","Item comum","","Ferramenta amaldiçoada","","")=""),"Apague campo que este tipo não usa",IF(AND(OR($B21="Arma"),$Q21&lt;&gt;"",NOT(ISNUMBER($Q21)),NOT(AND($Q21="—",FALSE))),"Informe número: "&amp;SWITCH($B21,"Origem","","Marcante","","Menor","","Arma","PREÇO","Escudo","","Uniforme","","Item comum","","Ferramenta amaldiçoada","",""),""))))</f>
        <v/>
      </c>
      <c r="KA21" s="175">
        <f>IF(AND($B21="",$C21="",LEN(TEXTJOIN("",TRUE,E21:R21))=0),"",TEXTJOIN(" · ",TRUE,IF(AND($B21="Origem",OR($E21="",$F21="",$G21="",$H21="",$I21="")),"Preencha os campos obrigatórios de Origem",""),IF(AND($B21="Marcante",OR($E21="")),"Preencha os campos obrigatórios de Marcante",""),IF(AND($B21="Menor",OR($E21="")),"Preencha os campos obrigatórios de Menor",""),IF(AND($B21="Arma",OR($E21="",$F21="",$G21="",$L21="",$M21="",$N21="")),"Preencha os campos obrigatórios de Arma",""),IF(AND($B21="Escudo",OR($L21="",$M21="",$N21="",$O21="")),"Preencha os campos obrigatórios de Escudo",""),IF(AND($B21="Uniforme",OR($E21="",$L21="",$M21="",$N21="",$O21="")),"Preencha os campos obrigatórios de Uniforme",""),IF(AND($B21="Item comum",OR($L21="")),"Preencha os campos obrigatórios de Item comum",""),IF(AND($B21="Ferramenta amaldiçoada",OR($E21="",$F21="")),"Preencha os campos obrigatórios de Ferramenta amaldiçoada",""),IF(AND($B21="Origem",COUNTA(E21:H21)=4,NOT(AND(E21&lt;&gt;F21,E21&lt;&gt;G21,E21&lt;&gt;H21,F21&lt;&gt;G21,F21&lt;&gt;H21,G21&lt;&gt;H21))),"Escolha quatro perícias diferentes",""),IF(AND($B21="Origem",J21="Latente",NOT(OR(I21="Fundamento",I21="Manejos"))),"ROTA não combina com BASE DO LIVRO",""),IF(AND($B21="Origem",J21="Receptáculo",NOT(OR(I21="Fundamento",I21="Manejos"))),"ROTA não combina com BASE DO LIVRO",""),IF(AND($B21="Origem",J21="Descendente",NOT(OR(I21="Fundamento",I21="Manejos"))),"ROTA não combina com BASE DO LIVRO",""),IF(AND($B21="Origem",J21="Encarnado",NOT(OR(I21="Fundamento",I21="Manejos"))),"ROTA não combina com BASE DO LIVRO",""),IF(AND($B21="Origem",J21="Híbrido",NOT(OR(I21="Fundamento",I21="Manejos"))),"ROTA não combina com BASE DO LIVRO",""),IF(AND($B21="Origem",J21="Corpo Amaldiçoado",NOT(OR(I21="Técnica Marcial com energia"))),"ROTA não combina com BASE DO LIVRO",""),IF(AND($B21="Origem",J21="Restrição Celestial · Sem Energia",NOT(OR(I21="Técnica Marcial sem energia"))),"ROTA não combina com BASE DO LIVRO",""),IF(AND($B21="Origem",J21="Restrição Celestial · Restrição corporal",NOT(OR(I21="Fundamento"))),"ROTA não combina com BASE DO LIVRO","")))</f>
        <v/>
      </c>
    </row>
    <row r="22">
      <c r="A22" s="175" t="n">
        <v>21</v>
      </c>
      <c r="B22" s="175">
        <f>IF(ISBLANK('CONFIGURAÇÃO'!$T$304),"",'CONFIGURAÇÃO'!$T$304)</f>
        <v/>
      </c>
      <c r="C22" s="175">
        <f>IF(ISBLANK('CONFIGURAÇÃO'!$T$306),"",'CONFIGURAÇÃO'!$T$306)</f>
        <v/>
      </c>
      <c r="D22" s="175">
        <f>IF(ISBLANK('CONFIGURAÇÃO'!$X$304),"",'CONFIGURAÇÃO'!$X$304)</f>
        <v/>
      </c>
      <c r="E22" s="175">
        <f>IF(ISBLANK('CONFIGURAÇÃO'!$V$307),"",'CONFIGURAÇÃO'!$V$307)</f>
        <v/>
      </c>
      <c r="F22" s="175">
        <f>IF(ISBLANK('CONFIGURAÇÃO'!$V$308),"",'CONFIGURAÇÃO'!$V$308)</f>
        <v/>
      </c>
      <c r="G22" s="175">
        <f>IF(ISBLANK('CONFIGURAÇÃO'!$V$309),"",'CONFIGURAÇÃO'!$V$309)</f>
        <v/>
      </c>
      <c r="H22" s="175">
        <f>IF(ISBLANK('CONFIGURAÇÃO'!$V$310),"",'CONFIGURAÇÃO'!$V$310)</f>
        <v/>
      </c>
      <c r="I22" s="175">
        <f>IF(ISBLANK('CONFIGURAÇÃO'!$V$311),"",'CONFIGURAÇÃO'!$V$311)</f>
        <v/>
      </c>
      <c r="J22" s="175">
        <f>IF(ISBLANK('CONFIGURAÇÃO'!$V$312),"",'CONFIGURAÇÃO'!$V$312)</f>
        <v/>
      </c>
      <c r="K22" s="175">
        <f>IF(ISBLANK('CONFIGURAÇÃO'!$V$313),"",'CONFIGURAÇÃO'!$V$313)</f>
        <v/>
      </c>
      <c r="L22" s="175">
        <f>IF(ISBLANK('CONFIGURAÇÃO'!$V$314),"",'CONFIGURAÇÃO'!$V$314)</f>
        <v/>
      </c>
      <c r="M22" s="175">
        <f>IF(ISBLANK('CONFIGURAÇÃO'!$V$315),"",'CONFIGURAÇÃO'!$V$315)</f>
        <v/>
      </c>
      <c r="N22" s="175">
        <f>IF(ISBLANK('CONFIGURAÇÃO'!$V$316),"",'CONFIGURAÇÃO'!$V$316)</f>
        <v/>
      </c>
      <c r="O22" s="175">
        <f>IF(ISBLANK('CONFIGURAÇÃO'!$V$317),"",'CONFIGURAÇÃO'!$V$317)</f>
        <v/>
      </c>
      <c r="P22" s="175">
        <f>IF(ISBLANK('CONFIGURAÇÃO'!$V$318),"",'CONFIGURAÇÃO'!$V$318)</f>
        <v/>
      </c>
      <c r="Q22" s="175">
        <f>IF(ISBLANK('CONFIGURAÇÃO'!$V$319),"",'CONFIGURAÇÃO'!$V$319)</f>
        <v/>
      </c>
      <c r="R22" s="175">
        <f>IF(ISBLANK('CONFIGURAÇÃO'!$T$321),"",'CONFIGURAÇÃO'!$T$321)</f>
        <v/>
      </c>
      <c r="S22" s="175">
        <f>TEXTJOIN(" · ",TRUE,U22,V22,W22,X22)</f>
        <v/>
      </c>
      <c r="T22" s="175">
        <f>AND(B22&lt;&gt;"",C22&lt;&gt;"",S22="")</f>
        <v/>
      </c>
      <c r="U22" s="175">
        <f>TEXTJOIN(" · ",TRUE,JY22:KA22)</f>
        <v/>
      </c>
      <c r="V22" s="175">
        <f>IF(AND(OR($B22="Marcante",$B22="Menor"),NOT(OR(COUNTIF('DADOS_CUSTOM'!$CD$2:$CD$160,E22)&gt;0,COUNTIFS('DADOS_CUSTOM'!$C$2:$C$26,E22,'DADOS_CUSTOM'!$B$2:$B$26,"Origem",'DADOS_CUSTOM'!$U$2:$U$26,"")=1))),"Origem vinculada não existe ou tem erro",IF(AND($B22="Marcante",NOT(OR(E22="Restrição Celestial · Restrição corporal",AND(COUNTIFS('DADOS_CUSTOM'!$C$2:$C$26,E22,'DADOS_CUSTOM'!$B$2:$B$26,"Origem",'DADOS_CUSTOM'!$U$2:$U$26,"")=1,OR(IFERROR(INDEX('DADOS_CUSTOM'!$J$2:$J$26,MATCH(E22,'DADOS_CUSTOM'!$C$2:$C$26,0)),E22)="",IFERROR(INDEX('DADOS_CUSTOM'!$J$2:$J$26,MATCH(E22,'DADOS_CUSTOM'!$C$2:$C$26,0)),E22)="Nenhuma",IFERROR(INDEX('DADOS_CUSTOM'!$J$2:$J$26,MATCH(E22,'DADOS_CUSTOM'!$C$2:$C$26,0)),E22)="Restrição Celestial · Restrição corporal"))))),"Marcante própria só para Restrição corporal ou Origem do zero; use a marcante publicada da base",""))</f>
        <v/>
      </c>
      <c r="W22" s="175">
        <f>IF(AND($B22="Menor",F22&lt;&gt;"",F22&lt;&gt;"—",NOT(OR(AND(F22="Tentativa e Erro",OR(E22="Latente",IFERROR(INDEX('DADOS_CUSTOM'!$J$2:$J$26,MATCH(E22,'DADOS_CUSTOM'!$C$2:$C$26,0)),E22)="Latente")),AND(F22="Coexistência",OR(E22="Receptáculo",IFERROR(INDEX('DADOS_CUSTOM'!$J$2:$J$26,MATCH(E22,'DADOS_CUSTOM'!$C$2:$C$26,0)),E22)="Receptáculo")),AND(F22="Conflito",OR(E22="Receptáculo",IFERROR(INDEX('DADOS_CUSTOM'!$J$2:$J$26,MATCH(E22,'DADOS_CUSTOM'!$C$2:$C$26,0)),E22)="Receptáculo")),AND(F22="Zenin",OR(E22="Descendente",IFERROR(INDEX('DADOS_CUSTOM'!$J$2:$J$26,MATCH(E22,'DADOS_CUSTOM'!$C$2:$C$26,0)),E22)="Descendente")),AND(F22="Kamo",OR(E22="Descendente",IFERROR(INDEX('DADOS_CUSTOM'!$J$2:$J$26,MATCH(E22,'DADOS_CUSTOM'!$C$2:$C$26,0)),E22)="Descendente")),AND(F22="Gojo",OR(E22="Descendente",IFERROR(INDEX('DADOS_CUSTOM'!$J$2:$J$26,MATCH(E22,'DADOS_CUSTOM'!$C$2:$C$26,0)),E22)="Descendente")),AND(F22="Inumaki",OR(E22="Descendente",IFERROR(INDEX('DADOS_CUSTOM'!$J$2:$J$26,MATCH(E22,'DADOS_CUSTOM'!$C$2:$C$26,0)),E22)="Descendente")),AND(F22="Duas Vidas",OR(E22="Encarnado",IFERROR(INDEX('DADOS_CUSTOM'!$J$2:$J$26,MATCH(E22,'DADOS_CUSTOM'!$C$2:$C$26,0)),E22)="Encarnado")),AND(F22="Regeneração Orgânica",OR(E22="Híbrido",IFERROR(INDEX('DADOS_CUSTOM'!$J$2:$J$26,MATCH(E22,'DADOS_CUSTOM'!$C$2:$C$26,0)),E22)="Híbrido")),AND(F22="Existência Artificial",OR(E22="Corpo Amaldiçoado",IFERROR(INDEX('DADOS_CUSTOM'!$J$2:$J$26,MATCH(E22,'DADOS_CUSTOM'!$C$2:$C$26,0)),E22)="Corpo Amaldiçoado")),AND(F22="Ataque sem Prenúncio",OR(E22="Restrição Celestial · Sem Energia",IFERROR(INDEX('DADOS_CUSTOM'!$J$2:$J$26,MATCH(E22,'DADOS_CUSTOM'!$C$2:$C$26,0)),E22)="Restrição Celestial · Sem Energia")),AND(F22="Corpo Debilitado",OR(E22="Restrição Celestial · Restrição corporal",IFERROR(INDEX('DADOS_CUSTOM'!$J$2:$J$26,MATCH(E22,'DADOS_CUSTOM'!$C$2:$C$26,0)),E22)="Restrição Celestial · Restrição corporal")),AND(F22="Corpo Quebradiço",OR(E22="Restrição Celestial · Restrição corporal",IFERROR(INDEX('DADOS_CUSTOM'!$J$2:$J$26,MATCH(E22,'DADOS_CUSTOM'!$C$2:$C$26,0)),E22)="Restrição Celestial · Restrição corporal")),AND(F22="Corpo Exaurido",OR(E22="Restrição Celestial · Restrição corporal",IFERROR(INDEX('DADOS_CUSTOM'!$J$2:$J$26,MATCH(E22,'DADOS_CUSTOM'!$C$2:$C$26,0)),E22)="Restrição Celestial · Restrição corporal")),COUNTIFS('DADOS_CUSTOM'!$C$2:$C$26,F22,'DADOS_CUSTOM'!$B$2:$B$26,"Marcante",'DADOS_CUSTOM'!$E$2:$E$26,E22,'DADOS_CUSTOM'!$U$2:$U$26,"",'DADOS_CUSTOM'!$V$2:$V$26,"")=1))),"Marcante exigida não pertence à Origem ou tem erro","")</f>
        <v/>
      </c>
      <c r="X22" s="175">
        <f>IF(AND($B22="Ferramenta amaldiçoada",NOT(OR(COUNTIF('DADOS_CUSTOM'!$CK$2:$CK$75,E22)&gt;0,OR(COUNTIFS('DADOS_CUSTOM'!$C$2:$C$26,E22,'DADOS_CUSTOM'!$B$2:$B$26,"Arma",'DADOS_CUSTOM'!$U$2:$U$26,"")=1,COUNTIFS('DADOS_CUSTOM'!$C$2:$C$26,E22,'DADOS_CUSTOM'!$B$2:$B$26,"Escudo",'DADOS_CUSTOM'!$U$2:$U$26,"")=1,COUNTIFS('DADOS_CUSTOM'!$C$2:$C$26,E22,'DADOS_CUSTOM'!$B$2:$B$26,"Uniforme",'DADOS_CUSTOM'!$U$2:$U$26,"")=1,COUNTIFS('DADOS_CUSTOM'!$C$2:$C$26,E22,'DADOS_CUSTOM'!$B$2:$B$26,"Item comum",'DADOS_CUSTOM'!$U$2:$U$26,"")=1)))),"Base da ferramenta não existe ou tem erro","")</f>
        <v/>
      </c>
      <c r="AA22" s="175" t="inlineStr">
        <is>
          <t>Kunai</t>
        </is>
      </c>
      <c r="AB22" s="175" t="inlineStr">
        <is>
          <t>Arremesso</t>
        </is>
      </c>
      <c r="AC22" s="175" t="n">
        <v>1</v>
      </c>
      <c r="AD22" s="175" t="inlineStr">
        <is>
          <t>1d6</t>
        </is>
      </c>
      <c r="AE22" s="175" t="inlineStr">
        <is>
          <t>Longo Alcance · Oculta · Leve</t>
        </is>
      </c>
      <c r="AF22" s="175" t="inlineStr">
        <is>
          <t>—</t>
        </is>
      </c>
      <c r="AG22" s="175" t="n">
        <v>0.2</v>
      </c>
      <c r="AH22" s="175" t="inlineStr">
        <is>
          <t>6 m, longa 18 m</t>
        </is>
      </c>
      <c r="AJ22" s="175">
        <f>'FICHA PESSOAL'!$M$81</f>
        <v/>
      </c>
      <c r="AK22" s="175">
        <f>ADDRESS(ROW('FICHA PESSOAL'!M81),COLUMN('FICHA PESSOAL'!M81),4)</f>
        <v/>
      </c>
      <c r="AM22" s="175">
        <f>IF(AND(OR($B16="Uniforme"),$C16&lt;&gt;"",$U16=""),$C16,"")</f>
        <v/>
      </c>
      <c r="AN22" s="175">
        <f>IF(AND(OR($B16="Uniforme"),$C16&lt;&gt;"",$U16=""),$L16,"")</f>
        <v/>
      </c>
      <c r="AO22" s="175">
        <f>IF(AND(OR($B16="Uniforme"),$C16&lt;&gt;"",$U16=""),$M16,"")</f>
        <v/>
      </c>
      <c r="AP22" s="175">
        <f>IF(AND(OR($B16="Uniforme"),$C16&lt;&gt;"",$U16=""),$N16,"")</f>
        <v/>
      </c>
      <c r="AQ22" s="175">
        <f>IF(AND(OR($B16="Uniforme"),$C16&lt;&gt;"",$U16=""),$O16,"")</f>
        <v/>
      </c>
      <c r="AR22" s="175">
        <f>IF(AND(OR($B16="Uniforme"),$C16&lt;&gt;"",$U16=""),IFERROR(VLOOKUP($E16,DADOS!$CF$5:$CH$9,3,FALSE),1),"")</f>
        <v/>
      </c>
      <c r="AS22" s="175">
        <f>IF(AND(OR($B16="Uniforme"),$C16&lt;&gt;"",$U16=""),$E16,"")</f>
        <v/>
      </c>
      <c r="AU22" s="175">
        <f>IF(AND(OR($B9="Item comum"),$C9&lt;&gt;"",$U9=""),$C9,"")</f>
        <v/>
      </c>
      <c r="AV22" s="175">
        <f>IF(AND(OR($B9="Item comum"),$C9&lt;&gt;"",$U9=""),$L9,"")</f>
        <v/>
      </c>
      <c r="AW22" s="175">
        <f>IF(AND(OR($B9="Item comum"),$C9&lt;&gt;"",$U9=""),$M9,"")</f>
        <v/>
      </c>
      <c r="AX22" s="175">
        <f>IF(AND(OR($B9="Item comum"),$C9&lt;&gt;"",$U9=""),$R9,"")</f>
        <v/>
      </c>
      <c r="AZ22" s="175" t="inlineStr">
        <is>
          <t>Certeza Momentânea</t>
        </is>
      </c>
      <c r="BA22" s="175" t="inlineStr">
        <is>
          <t>Latente</t>
        </is>
      </c>
      <c r="BB22" s="175" t="inlineStr">
        <is>
          <t>menor</t>
        </is>
      </c>
      <c r="BC22" s="175" t="inlineStr"/>
      <c r="BD22" s="175" t="inlineStr">
        <is>
          <t>Uma vez por dia</t>
        </is>
      </c>
      <c r="BE22" s="175" t="inlineStr">
        <is>
          <t>Por um instante, a hesitação desaparece. Uma vez por dia, antes de rolar um teste de perícia treinada, declare o uso. Se o resultado usado do d20 for menor que 10, trate-o como 10 e some os modificadores normais. O uso é gasto mesmo se o dado já mostrar 10 ou mais. Não se aplica a Ofícios, ataques ou TRs.</t>
        </is>
      </c>
      <c r="BG22" s="175">
        <f>IF(AND(OR($B14="Origem"),$C14&lt;&gt;"",$T14=TRUE),$C14,"")</f>
        <v/>
      </c>
      <c r="BH22" s="175">
        <f>IF(AND(OR($B14="Origem"),$C14&lt;&gt;"",$T14=TRUE),TEXTJOIN(" · ",TRUE,$E14:$H14),"")</f>
        <v/>
      </c>
      <c r="BI22" s="175">
        <f>IF(AND(OR($B14="Origem"),$C14&lt;&gt;"",$T14=TRUE),$I14,"")</f>
        <v/>
      </c>
      <c r="BM22" s="175" t="inlineStr">
        <is>
          <t>Espadão</t>
        </is>
      </c>
      <c r="BN22" s="175" t="inlineStr">
        <is>
          <t>Arma</t>
        </is>
      </c>
      <c r="BO22" s="175" t="n">
        <v>0</v>
      </c>
      <c r="BP22" s="175" t="inlineStr">
        <is>
          <t>—</t>
        </is>
      </c>
      <c r="BQ22" s="175" t="n">
        <v>3</v>
      </c>
      <c r="BR22" s="175" t="n">
        <v>2</v>
      </c>
      <c r="BS22" s="175" t="inlineStr">
        <is>
          <t>—</t>
        </is>
      </c>
      <c r="BT22" s="175" t="inlineStr"/>
      <c r="BU22" s="175" t="inlineStr"/>
      <c r="BV22" s="175" t="inlineStr">
        <is>
          <t>Cantil</t>
        </is>
      </c>
      <c r="BW22" s="175">
        <f>IF(AND($B21="Origem",OR($J21="",$J21="Nenhuma",$J21="Restrição Celestial · Restrição corporal")),$C21,"")</f>
        <v/>
      </c>
      <c r="CA22" s="175" t="inlineStr">
        <is>
          <t>Intimidação</t>
        </is>
      </c>
      <c r="CC22" s="175">
        <f>IF(OR('CONFIGURAÇÃO'!$T$188="Origem"),'CONFIGURAÇÃO'!$T$190,"")</f>
        <v/>
      </c>
      <c r="CH22">
        <f>IF('DADOS_DANOS'!$J$22="","",'DADOS_DANOS'!$J$22)</f>
        <v/>
      </c>
      <c r="CK22" s="175" t="inlineStr">
        <is>
          <t>Kusarigama</t>
        </is>
      </c>
      <c r="CL22" s="175">
        <f>IF(OR('CONFIGURAÇÃO'!$AB$72="Marcante"),'CONFIGURAÇÃO'!$AB$74,"")</f>
        <v/>
      </c>
      <c r="CS22" s="175">
        <f>IF(AND($B9="Origem",$T9=TRUE),$C9,"")</f>
        <v/>
      </c>
      <c r="JY22" s="175">
        <f>IF(AND($B22="",$C22="",LEN(TEXTJOIN("",TRUE,E22:R22))=0),"",TEXTJOIN(" · ",TRUE,IF(COUNTIF('DADOS_CUSTOM'!$BZ$2:$BZ$160,$B22)=0,"Escolha um tipo válido",""),IF(LEN(TRIM($C22))=0,"Preencha NOME",""),IF(OR(COUNTIF('DADOS_CUSTOM'!$C$2:$C$26,$C22)&gt;1,COUNTIF('DADOS_CUSTOM'!$BV$2:$BV$171,$C22)&gt;0),"Nome repetido no livro ou custom",""),IF(AND($E22&lt;&gt;"",SWITCH($B22,"Origem","PERÍCIA 1","Marcante","ORIGEM","Menor","ORIGEM","Arma","CATEGORIA","Escudo","","Uniforme","GRAU MÍNIMO","Item comum","","Ferramenta amaldiçoada","BASE","")=""),"Apague campo que este tipo não usa",IF(AND($E22&lt;&gt;"",COUNTIF(INDIRECT(SWITCH($B22,"Origem","'DADOS_PROGRESSAO'!$AG$2:$AG$34","Marcante","'DADOS_CUSTOM'!$BW$2:$BW$160","Menor","'DADOS_CUSTOM'!$CC$2:$CC$160","Arma","'DADOS_CUSTOM'!$CF$2:$CF$160","Escudo","'DADOS_CUSTOM'!$CM$2:$CM$160","Uniforme","'DADOS_CUSTOM'!$CJ$2:$CJ$160","Item comum","'DADOS_CUSTOM'!$CM$2:$CM$160","Ferramenta amaldiçoada","'DADOS_CUSTOM'!$CK$2:$CK$160","'DADOS_CUSTOM'!$CM$2:$CM$160")),$E22)=0),"Opção inválida: "&amp;SWITCH($B22,"Origem","PERÍCIA 1","Marcante","ORIGEM","Menor","ORIGEM","Arma","CATEGORIA","Escudo","","Uniforme","GRAU MÍNIMO","Item comum","","Ferramenta amaldiçoada","BASE",""),"")),IF(AND($F22&lt;&gt;"",SWITCH($B22,"Origem","PERÍCIA 2","Marcante","","Menor","EXIGE MARCANTE","Arma","MÃO","Escudo","","Uniforme","","Item comum","","Ferramenta amaldiçoada","GRAU","")=""),"Apague campo que este tipo não usa",IF(AND($F22&lt;&gt;"",COUNTIF(INDIRECT(SWITCH($B22,"Origem","'DADOS_PROGRESSAO'!$AG$2:$AG$34","Marcante","'DADOS_CUSTOM'!$CM$2:$CM$160","Menor","'DADOS_CUSTOM'!$CL$2:$CL$160","Arma","'DADOS_CUSTOM'!$CG$2:$CG$160","Escudo","'DADOS_CUSTOM'!$CM$2:$CM$160","Uniforme","'DADOS_CUSTOM'!$CM$2:$CM$160","Item comum","'DADOS_CUSTOM'!$CM$2:$CM$160","Ferramenta amaldiçoada","'DADOS_CUSTOM'!$CJ$2:$CJ$160","'DADOS_CUSTOM'!$CM$2:$CM$160")),$F22)=0),"Opção inválida: "&amp;SWITCH($B22,"Origem","PERÍCIA 2","Marcante","","Menor","EXIGE MARCANTE","Arma","MÃO","Escudo","","Uniforme","","Item comum","","Ferramenta amaldiçoada","GRAU",""),"")),IF(AND($G22&lt;&gt;"",SWITCH($B22,"Origem","PERÍCIA 3","Marcante","","Menor","","Arma","TIPO DE DANO","Escudo","","Uniforme","","Item comum","","Ferramenta amaldiçoada","","")=""),"Apague campo que este tipo não usa",IF(AND($G22&lt;&gt;"",COUNTIF(INDIRECT(SWITCH($B22,"Origem","'DADOS_PROGRESSAO'!$AG$2:$AG$34","Marcante","'DADOS_CUSTOM'!$CM$2:$CM$160","Menor","'DADOS_CUSTOM'!$CM$2:$CM$160","Arma","'DADOS_CUSTOM'!$CH$2:$CH$160","Escudo","'DADOS_CUSTOM'!$CM$2:$CM$160","Uniforme","'DADOS_CUSTOM'!$CM$2:$CM$160","Item comum","'DADOS_CUSTOM'!$CM$2:$CM$160","Ferramenta amaldiçoada","'DADOS_CUSTOM'!$CM$2:$CM$160","'DADOS_CUSTOM'!$CM$2:$CM$160")),$G22)=0),"Opção inválida: "&amp;SWITCH($B22,"Origem","PERÍCIA 3","Marcante","","Menor","","Arma","TIPO DE DANO","Escudo","","Uniforme","","Item comum","","Ferramenta amaldiçoada","",""),"")),IF(AND($H22&lt;&gt;"",SWITCH($B22,"Origem","PERÍCIA 4","Marcante","","Menor","","Arma","PROPRIEDADE 1","Escudo","","Uniforme","","Item comum","","Ferramenta amaldiçoada","","")=""),"Apague campo que este tipo não usa",IF(AND($H22&lt;&gt;"",COUNTIF(INDIRECT(SWITCH($B22,"Origem","'DADOS_PROGRESSAO'!$AG$2:$AG$34","Marcante","'DADOS_CUSTOM'!$CM$2:$CM$160","Menor","'DADOS_CUSTOM'!$CM$2:$CM$160","Arma","'DADOS_CUSTOM'!$CI$2:$CI$160","Escudo","'DADOS_CUSTOM'!$CM$2:$CM$160","Uniforme","'DADOS_CUSTOM'!$CM$2:$CM$160","Item comum","'DADOS_CUSTOM'!$CM$2:$CM$160","Ferramenta amaldiçoada","'DADOS_CUSTOM'!$CM$2:$CM$160","'DADOS_CUSTOM'!$CM$2:$CM$160")),$H22)=0),"Opção inválida: "&amp;SWITCH($B22,"Origem","PERÍCIA 4","Marcante","","Menor","","Arma","PROPRIEDADE 1","Escudo","","Uniforme","","Item comum","","Ferramenta amaldiçoada","",""),"")),IF(AND($I22&lt;&gt;"",SWITCH($B22,"Origem","ROTA","Marcante","","Menor","","Arma","PROPRIEDADE 2","Escudo","","Uniforme","","Item comum","","Ferramenta amaldiçoada","","")=""),"Apague campo que este tipo não usa",IF(AND($I22&lt;&gt;"",COUNTIF(INDIRECT(SWITCH($B22,"Origem","'DADOS_CUSTOM'!$CB$2:$CB$160","Marcante","'DADOS_CUSTOM'!$CM$2:$CM$160","Menor","'DADOS_CUSTOM'!$CM$2:$CM$160","Arma","'DADOS_CUSTOM'!$CI$2:$CI$160","Escudo","'DADOS_CUSTOM'!$CM$2:$CM$160","Uniforme","'DADOS_CUSTOM'!$CM$2:$CM$160","Item comum","'DADOS_CUSTOM'!$CM$2:$CM$160","Ferramenta amaldiçoada","'DADOS_CUSTOM'!$CM$2:$CM$160","'DADOS_CUSTOM'!$CM$2:$CM$160")),$I22)=0),"Opção inválida: "&amp;SWITCH($B22,"Origem","ROTA","Marcante","","Menor","","Arma","PROPRIEDADE 2","Escudo","","Uniforme","","Item comum","","Ferramenta amaldiçoada","",""),""))))</f>
        <v/>
      </c>
      <c r="JZ22" s="175">
        <f>IF(AND($B22="",$C22="",LEN(TEXTJOIN("",TRUE,E22:R22))=0),"",TEXTJOIN(" · ",TRUE,IF(AND($J22&lt;&gt;"",SWITCH($B22,"Origem","BASE DO LIVRO","Marcante","","Menor","","Arma","PROPRIEDADE 3","Escudo","","Uniforme","","Item comum","","Ferramenta amaldiçoada","","")=""),"Apague campo que este tipo não usa",IF(AND($J22&lt;&gt;"",COUNTIF(INDIRECT(SWITCH($B22,"Origem","'DADOS_CUSTOM'!$CD$2:$CD$160","Marcante","'DADOS_CUSTOM'!$CM$2:$CM$160","Menor","'DADOS_CUSTOM'!$CM$2:$CM$160","Arma","'DADOS_CUSTOM'!$CI$2:$CI$160","Escudo","'DADOS_CUSTOM'!$CM$2:$CM$160","Uniforme","'DADOS_CUSTOM'!$CM$2:$CM$160","Item comum","'DADOS_CUSTOM'!$CM$2:$CM$160","Ferramenta amaldiçoada","'DADOS_CUSTOM'!$CM$2:$CM$160","'DADOS_CUSTOM'!$CM$2:$CM$160")),$J22)=0),"Opção inválida: "&amp;SWITCH($B22,"Origem","BASE DO LIVRO","Marcante","","Menor","","Arma","PROPRIEDADE 3","Escudo","","Uniforme","","Item comum","","Ferramenta amaldiçoada","",""),"")),IF(AND($K22&lt;&gt;"",SWITCH($B22,"Origem","OFÍCIO","Marcante","","Menor","","Arma","PROPRIEDADE 4","Escudo","","Uniforme","","Item comum","","Ferramenta amaldiçoada","","")=""),"Apague campo que este tipo não usa",IF(AND($K22&lt;&gt;"",COUNTIF(INDIRECT(SWITCH($B22,"Origem","'DADOS_PROGRESSAO'!$AJ$2:$AJ$23","Marcante","'DADOS_CUSTOM'!$CM$2:$CM$160","Menor","'DADOS_CUSTOM'!$CM$2:$CM$160","Arma","'DADOS_CUSTOM'!$CI$2:$CI$160","Escudo","'DADOS_CUSTOM'!$CM$2:$CM$160","Uniforme","'DADOS_CUSTOM'!$CM$2:$CM$160","Item comum","'DADOS_CUSTOM'!$CM$2:$CM$160","Ferramenta amaldiçoada","'DADOS_CUSTOM'!$CM$2:$CM$160","'DADOS_CUSTOM'!$CM$2:$CM$160")),$K22)=0),"Opção inválida: "&amp;SWITCH($B22,"Origem","OFÍCIO","Marcante","","Menor","","Arma","PROPRIEDADE 4","Escudo","","Uniforme","","Item comum","","Ferramenta amaldiçoada","",""),"")),IF(AND($L22&lt;&gt;"",SWITCH($B22,"Origem","TALENTO CE 4","Marcante","FREQUÊNCIA","Menor","FREQUÊNCIA","Arma","DADO","Escudo","PROTEÇÃO","Uniforme","PROTEÇÃO","Item comum","VOLUME","Ferramenta amaldiçoada","ESTIGMA","")=""),"Apague campo que este tipo não usa",IF(AND(OR($B22="Escudo",$B22="Uniforme",$B22="Item comum"),$L22&lt;&gt;"",NOT(ISNUMBER($L22)),NOT(AND($L22="—",FALSE))),"Informe número: "&amp;SWITCH($B22,"Origem","TALENTO CE 4","Marcante","FREQUÊNCIA","Menor","FREQUÊNCIA","Arma","DADO","Escudo","PROTEÇÃO","Uniforme","PROTEÇÃO","Item comum","VOLUME","Ferramenta amaldiçoada","ESTIGMA",""),"")),IF(AND($M22&lt;&gt;"",SWITCH($B22,"Origem","","Marcante","","Menor","","Arma","FORÇA","Escudo","TETO DE DESTREZA","Uniforme","TETO DE DESTREZA","Item comum","PREÇO","Ferramenta amaldiçoada","DESGASTE","")=""),"Apague campo que este tipo não usa",IF(AND(OR($B22="Arma",$B22="Escudo",$B22="Uniforme",$B22="Item comum",$B22="Ferramenta amaldiçoada"),$M22&lt;&gt;"",NOT(ISNUMBER($M22)),NOT(AND($M22="—",OR($B22="Arma",$B22="Escudo",$B22="Uniforme",$B22="Ferramenta amaldiçoada")))),"Informe número: "&amp;SWITCH($B22,"Origem","","Marcante","","Menor","","Arma","FORÇA","Escudo","TETO DE DESTREZA","Uniforme","TETO DE DESTREZA","Item comum","PREÇO","Ferramenta amaldiçoada","DESGASTE",""),"")),IF(AND($N22&lt;&gt;"",SWITCH($B22,"Origem","","Marcante","","Menor","","Arma","VOLUME","Escudo","FORÇA","Uniforme","FORÇA","Item comum","","Ferramenta amaldiçoada","VOLUME","")=""),"Apague campo que este tipo não usa",IF(AND(OR($B22="Arma",$B22="Escudo",$B22="Uniforme",$B22="Ferramenta amaldiçoada"),$N22&lt;&gt;"",NOT(ISNUMBER($N22)),NOT(AND($N22="—",OR($B22="Escudo",$B22="Uniforme")))),"Informe número: "&amp;SWITCH($B22,"Origem","","Marcante","","Menor","","Arma","VOLUME","Escudo","FORÇA","Uniforme","FORÇA","Item comum","","Ferramenta amaldiçoada","VOLUME",""),"")),IF(AND($O22&lt;&gt;"",SWITCH($B22,"Origem","","Marcante","","Menor","","Arma","ALCANCE","Escudo","VOLUME","Uniforme","VOLUME","Item comum","","Ferramenta amaldiçoada","PREÇO","")=""),"Apague campo que este tipo não usa",IF(AND(OR($B22="Escudo",$B22="Uniforme",$B22="Ferramenta amaldiçoada"),$O22&lt;&gt;"",NOT(ISNUMBER($O22)),NOT(AND($O22="—",FALSE))),"Informe número: "&amp;SWITCH($B22,"Origem","","Marcante","","Menor","","Arma","ALCANCE","Escudo","VOLUME","Uniforme","VOLUME","Item comum","","Ferramenta amaldiçoada","PREÇO",""),"")),IF(AND($P22&lt;&gt;"",SWITCH($B22,"Origem","","Marcante","","Menor","","Arma","RECARGA","Escudo","PREÇO","Uniforme","PREÇO","Item comum","","Ferramenta amaldiçoada","","")=""),"Apague campo que este tipo não usa",IF(AND(OR($B22="Arma",$B22="Escudo",$B22="Uniforme"),$P22&lt;&gt;"",NOT(ISNUMBER($P22)),NOT(AND($P22="—",OR($B22="Arma")))),"Informe número: "&amp;SWITCH($B22,"Origem","","Marcante","","Menor","","Arma","RECARGA","Escudo","PREÇO","Uniforme","PREÇO","Item comum","","Ferramenta amaldiçoada","",""),"")),IF(AND($Q22&lt;&gt;"",SWITCH($B22,"Origem","","Marcante","","Menor","","Arma","PREÇO","Escudo","","Uniforme","","Item comum","","Ferramenta amaldiçoada","","")=""),"Apague campo que este tipo não usa",IF(AND(OR($B22="Arma"),$Q22&lt;&gt;"",NOT(ISNUMBER($Q22)),NOT(AND($Q22="—",FALSE))),"Informe número: "&amp;SWITCH($B22,"Origem","","Marcante","","Menor","","Arma","PREÇO","Escudo","","Uniforme","","Item comum","","Ferramenta amaldiçoada","",""),""))))</f>
        <v/>
      </c>
      <c r="KA22" s="175">
        <f>IF(AND($B22="",$C22="",LEN(TEXTJOIN("",TRUE,E22:R22))=0),"",TEXTJOIN(" · ",TRUE,IF(AND($B22="Origem",OR($E22="",$F22="",$G22="",$H22="",$I22="")),"Preencha os campos obrigatórios de Origem",""),IF(AND($B22="Marcante",OR($E22="")),"Preencha os campos obrigatórios de Marcante",""),IF(AND($B22="Menor",OR($E22="")),"Preencha os campos obrigatórios de Menor",""),IF(AND($B22="Arma",OR($E22="",$F22="",$G22="",$L22="",$M22="",$N22="")),"Preencha os campos obrigatórios de Arma",""),IF(AND($B22="Escudo",OR($L22="",$M22="",$N22="",$O22="")),"Preencha os campos obrigatórios de Escudo",""),IF(AND($B22="Uniforme",OR($E22="",$L22="",$M22="",$N22="",$O22="")),"Preencha os campos obrigatórios de Uniforme",""),IF(AND($B22="Item comum",OR($L22="")),"Preencha os campos obrigatórios de Item comum",""),IF(AND($B22="Ferramenta amaldiçoada",OR($E22="",$F22="")),"Preencha os campos obrigatórios de Ferramenta amaldiçoada",""),IF(AND($B22="Origem",COUNTA(E22:H22)=4,NOT(AND(E22&lt;&gt;F22,E22&lt;&gt;G22,E22&lt;&gt;H22,F22&lt;&gt;G22,F22&lt;&gt;H22,G22&lt;&gt;H22))),"Escolha quatro perícias diferentes",""),IF(AND($B22="Origem",J22="Latente",NOT(OR(I22="Fundamento",I22="Manejos"))),"ROTA não combina com BASE DO LIVRO",""),IF(AND($B22="Origem",J22="Receptáculo",NOT(OR(I22="Fundamento",I22="Manejos"))),"ROTA não combina com BASE DO LIVRO",""),IF(AND($B22="Origem",J22="Descendente",NOT(OR(I22="Fundamento",I22="Manejos"))),"ROTA não combina com BASE DO LIVRO",""),IF(AND($B22="Origem",J22="Encarnado",NOT(OR(I22="Fundamento",I22="Manejos"))),"ROTA não combina com BASE DO LIVRO",""),IF(AND($B22="Origem",J22="Híbrido",NOT(OR(I22="Fundamento",I22="Manejos"))),"ROTA não combina com BASE DO LIVRO",""),IF(AND($B22="Origem",J22="Corpo Amaldiçoado",NOT(OR(I22="Técnica Marcial com energia"))),"ROTA não combina com BASE DO LIVRO",""),IF(AND($B22="Origem",J22="Restrição Celestial · Sem Energia",NOT(OR(I22="Técnica Marcial sem energia"))),"ROTA não combina com BASE DO LIVRO",""),IF(AND($B22="Origem",J22="Restrição Celestial · Restrição corporal",NOT(OR(I22="Fundamento"))),"ROTA não combina com BASE DO LIVRO","")))</f>
        <v/>
      </c>
    </row>
    <row r="23">
      <c r="A23" s="175" t="n">
        <v>22</v>
      </c>
      <c r="B23" s="175">
        <f>IF(ISBLANK('CONFIGURAÇÃO'!$AB$304),"",'CONFIGURAÇÃO'!$AB$304)</f>
        <v/>
      </c>
      <c r="C23" s="175">
        <f>IF(ISBLANK('CONFIGURAÇÃO'!$AB$306),"",'CONFIGURAÇÃO'!$AB$306)</f>
        <v/>
      </c>
      <c r="D23" s="175">
        <f>IF(ISBLANK('CONFIGURAÇÃO'!$AF$304),"",'CONFIGURAÇÃO'!$AF$304)</f>
        <v/>
      </c>
      <c r="E23" s="175">
        <f>IF(ISBLANK('CONFIGURAÇÃO'!$AD$307),"",'CONFIGURAÇÃO'!$AD$307)</f>
        <v/>
      </c>
      <c r="F23" s="175">
        <f>IF(ISBLANK('CONFIGURAÇÃO'!$AD$308),"",'CONFIGURAÇÃO'!$AD$308)</f>
        <v/>
      </c>
      <c r="G23" s="175">
        <f>IF(ISBLANK('CONFIGURAÇÃO'!$AD$309),"",'CONFIGURAÇÃO'!$AD$309)</f>
        <v/>
      </c>
      <c r="H23" s="175">
        <f>IF(ISBLANK('CONFIGURAÇÃO'!$AD$310),"",'CONFIGURAÇÃO'!$AD$310)</f>
        <v/>
      </c>
      <c r="I23" s="175">
        <f>IF(ISBLANK('CONFIGURAÇÃO'!$AD$311),"",'CONFIGURAÇÃO'!$AD$311)</f>
        <v/>
      </c>
      <c r="J23" s="175">
        <f>IF(ISBLANK('CONFIGURAÇÃO'!$AD$312),"",'CONFIGURAÇÃO'!$AD$312)</f>
        <v/>
      </c>
      <c r="K23" s="175">
        <f>IF(ISBLANK('CONFIGURAÇÃO'!$AD$313),"",'CONFIGURAÇÃO'!$AD$313)</f>
        <v/>
      </c>
      <c r="L23" s="175">
        <f>IF(ISBLANK('CONFIGURAÇÃO'!$AD$314),"",'CONFIGURAÇÃO'!$AD$314)</f>
        <v/>
      </c>
      <c r="M23" s="175">
        <f>IF(ISBLANK('CONFIGURAÇÃO'!$AD$315),"",'CONFIGURAÇÃO'!$AD$315)</f>
        <v/>
      </c>
      <c r="N23" s="175">
        <f>IF(ISBLANK('CONFIGURAÇÃO'!$AD$316),"",'CONFIGURAÇÃO'!$AD$316)</f>
        <v/>
      </c>
      <c r="O23" s="175">
        <f>IF(ISBLANK('CONFIGURAÇÃO'!$AD$317),"",'CONFIGURAÇÃO'!$AD$317)</f>
        <v/>
      </c>
      <c r="P23" s="175">
        <f>IF(ISBLANK('CONFIGURAÇÃO'!$AD$318),"",'CONFIGURAÇÃO'!$AD$318)</f>
        <v/>
      </c>
      <c r="Q23" s="175">
        <f>IF(ISBLANK('CONFIGURAÇÃO'!$AD$319),"",'CONFIGURAÇÃO'!$AD$319)</f>
        <v/>
      </c>
      <c r="R23" s="175">
        <f>IF(ISBLANK('CONFIGURAÇÃO'!$AB$321),"",'CONFIGURAÇÃO'!$AB$321)</f>
        <v/>
      </c>
      <c r="S23" s="175">
        <f>TEXTJOIN(" · ",TRUE,U23,V23,W23,X23)</f>
        <v/>
      </c>
      <c r="T23" s="175">
        <f>AND(B23&lt;&gt;"",C23&lt;&gt;"",S23="")</f>
        <v/>
      </c>
      <c r="U23" s="175">
        <f>TEXTJOIN(" · ",TRUE,JY23:KA23)</f>
        <v/>
      </c>
      <c r="V23" s="175">
        <f>IF(AND(OR($B23="Marcante",$B23="Menor"),NOT(OR(COUNTIF('DADOS_CUSTOM'!$CD$2:$CD$160,E23)&gt;0,COUNTIFS('DADOS_CUSTOM'!$C$2:$C$26,E23,'DADOS_CUSTOM'!$B$2:$B$26,"Origem",'DADOS_CUSTOM'!$U$2:$U$26,"")=1))),"Origem vinculada não existe ou tem erro",IF(AND($B23="Marcante",NOT(OR(E23="Restrição Celestial · Restrição corporal",AND(COUNTIFS('DADOS_CUSTOM'!$C$2:$C$26,E23,'DADOS_CUSTOM'!$B$2:$B$26,"Origem",'DADOS_CUSTOM'!$U$2:$U$26,"")=1,OR(IFERROR(INDEX('DADOS_CUSTOM'!$J$2:$J$26,MATCH(E23,'DADOS_CUSTOM'!$C$2:$C$26,0)),E23)="",IFERROR(INDEX('DADOS_CUSTOM'!$J$2:$J$26,MATCH(E23,'DADOS_CUSTOM'!$C$2:$C$26,0)),E23)="Nenhuma",IFERROR(INDEX('DADOS_CUSTOM'!$J$2:$J$26,MATCH(E23,'DADOS_CUSTOM'!$C$2:$C$26,0)),E23)="Restrição Celestial · Restrição corporal"))))),"Marcante própria só para Restrição corporal ou Origem do zero; use a marcante publicada da base",""))</f>
        <v/>
      </c>
      <c r="W23" s="175">
        <f>IF(AND($B23="Menor",F23&lt;&gt;"",F23&lt;&gt;"—",NOT(OR(AND(F23="Tentativa e Erro",OR(E23="Latente",IFERROR(INDEX('DADOS_CUSTOM'!$J$2:$J$26,MATCH(E23,'DADOS_CUSTOM'!$C$2:$C$26,0)),E23)="Latente")),AND(F23="Coexistência",OR(E23="Receptáculo",IFERROR(INDEX('DADOS_CUSTOM'!$J$2:$J$26,MATCH(E23,'DADOS_CUSTOM'!$C$2:$C$26,0)),E23)="Receptáculo")),AND(F23="Conflito",OR(E23="Receptáculo",IFERROR(INDEX('DADOS_CUSTOM'!$J$2:$J$26,MATCH(E23,'DADOS_CUSTOM'!$C$2:$C$26,0)),E23)="Receptáculo")),AND(F23="Zenin",OR(E23="Descendente",IFERROR(INDEX('DADOS_CUSTOM'!$J$2:$J$26,MATCH(E23,'DADOS_CUSTOM'!$C$2:$C$26,0)),E23)="Descendente")),AND(F23="Kamo",OR(E23="Descendente",IFERROR(INDEX('DADOS_CUSTOM'!$J$2:$J$26,MATCH(E23,'DADOS_CUSTOM'!$C$2:$C$26,0)),E23)="Descendente")),AND(F23="Gojo",OR(E23="Descendente",IFERROR(INDEX('DADOS_CUSTOM'!$J$2:$J$26,MATCH(E23,'DADOS_CUSTOM'!$C$2:$C$26,0)),E23)="Descendente")),AND(F23="Inumaki",OR(E23="Descendente",IFERROR(INDEX('DADOS_CUSTOM'!$J$2:$J$26,MATCH(E23,'DADOS_CUSTOM'!$C$2:$C$26,0)),E23)="Descendente")),AND(F23="Duas Vidas",OR(E23="Encarnado",IFERROR(INDEX('DADOS_CUSTOM'!$J$2:$J$26,MATCH(E23,'DADOS_CUSTOM'!$C$2:$C$26,0)),E23)="Encarnado")),AND(F23="Regeneração Orgânica",OR(E23="Híbrido",IFERROR(INDEX('DADOS_CUSTOM'!$J$2:$J$26,MATCH(E23,'DADOS_CUSTOM'!$C$2:$C$26,0)),E23)="Híbrido")),AND(F23="Existência Artificial",OR(E23="Corpo Amaldiçoado",IFERROR(INDEX('DADOS_CUSTOM'!$J$2:$J$26,MATCH(E23,'DADOS_CUSTOM'!$C$2:$C$26,0)),E23)="Corpo Amaldiçoado")),AND(F23="Ataque sem Prenúncio",OR(E23="Restrição Celestial · Sem Energia",IFERROR(INDEX('DADOS_CUSTOM'!$J$2:$J$26,MATCH(E23,'DADOS_CUSTOM'!$C$2:$C$26,0)),E23)="Restrição Celestial · Sem Energia")),AND(F23="Corpo Debilitado",OR(E23="Restrição Celestial · Restrição corporal",IFERROR(INDEX('DADOS_CUSTOM'!$J$2:$J$26,MATCH(E23,'DADOS_CUSTOM'!$C$2:$C$26,0)),E23)="Restrição Celestial · Restrição corporal")),AND(F23="Corpo Quebradiço",OR(E23="Restrição Celestial · Restrição corporal",IFERROR(INDEX('DADOS_CUSTOM'!$J$2:$J$26,MATCH(E23,'DADOS_CUSTOM'!$C$2:$C$26,0)),E23)="Restrição Celestial · Restrição corporal")),AND(F23="Corpo Exaurido",OR(E23="Restrição Celestial · Restrição corporal",IFERROR(INDEX('DADOS_CUSTOM'!$J$2:$J$26,MATCH(E23,'DADOS_CUSTOM'!$C$2:$C$26,0)),E23)="Restrição Celestial · Restrição corporal")),COUNTIFS('DADOS_CUSTOM'!$C$2:$C$26,F23,'DADOS_CUSTOM'!$B$2:$B$26,"Marcante",'DADOS_CUSTOM'!$E$2:$E$26,E23,'DADOS_CUSTOM'!$U$2:$U$26,"",'DADOS_CUSTOM'!$V$2:$V$26,"")=1))),"Marcante exigida não pertence à Origem ou tem erro","")</f>
        <v/>
      </c>
      <c r="X23" s="175">
        <f>IF(AND($B23="Ferramenta amaldiçoada",NOT(OR(COUNTIF('DADOS_CUSTOM'!$CK$2:$CK$75,E23)&gt;0,OR(COUNTIFS('DADOS_CUSTOM'!$C$2:$C$26,E23,'DADOS_CUSTOM'!$B$2:$B$26,"Arma",'DADOS_CUSTOM'!$U$2:$U$26,"")=1,COUNTIFS('DADOS_CUSTOM'!$C$2:$C$26,E23,'DADOS_CUSTOM'!$B$2:$B$26,"Escudo",'DADOS_CUSTOM'!$U$2:$U$26,"")=1,COUNTIFS('DADOS_CUSTOM'!$C$2:$C$26,E23,'DADOS_CUSTOM'!$B$2:$B$26,"Uniforme",'DADOS_CUSTOM'!$U$2:$U$26,"")=1,COUNTIFS('DADOS_CUSTOM'!$C$2:$C$26,E23,'DADOS_CUSTOM'!$B$2:$B$26,"Item comum",'DADOS_CUSTOM'!$U$2:$U$26,"")=1)))),"Base da ferramenta não existe ou tem erro","")</f>
        <v/>
      </c>
      <c r="AA23" s="175" t="inlineStr">
        <is>
          <t>Kusarigama</t>
        </is>
      </c>
      <c r="AB23" s="175" t="inlineStr">
        <is>
          <t>Ceifa</t>
        </is>
      </c>
      <c r="AC23" s="175" t="n">
        <v>2</v>
      </c>
      <c r="AD23" s="175" t="inlineStr">
        <is>
          <t>1d8</t>
        </is>
      </c>
      <c r="AE23" s="175" t="inlineStr">
        <is>
          <t>Alcance · Emaranha · Longo Alcance</t>
        </is>
      </c>
      <c r="AF23" s="175" t="inlineStr">
        <is>
          <t>—</t>
        </is>
      </c>
      <c r="AG23" s="175" t="n">
        <v>2</v>
      </c>
      <c r="AH23" s="175" t="inlineStr">
        <is>
          <t>6 m, longa 18 m</t>
        </is>
      </c>
      <c r="AJ23" s="175">
        <f>'FICHA PESSOAL'!$V$80</f>
        <v/>
      </c>
      <c r="AK23" s="175">
        <f>ADDRESS(ROW('FICHA PESSOAL'!V80),COLUMN('FICHA PESSOAL'!V80),4)</f>
        <v/>
      </c>
      <c r="AM23" s="175">
        <f>IF(AND(OR($B17="Uniforme"),$C17&lt;&gt;"",$U17=""),$C17,"")</f>
        <v/>
      </c>
      <c r="AN23" s="175">
        <f>IF(AND(OR($B17="Uniforme"),$C17&lt;&gt;"",$U17=""),$L17,"")</f>
        <v/>
      </c>
      <c r="AO23" s="175">
        <f>IF(AND(OR($B17="Uniforme"),$C17&lt;&gt;"",$U17=""),$M17,"")</f>
        <v/>
      </c>
      <c r="AP23" s="175">
        <f>IF(AND(OR($B17="Uniforme"),$C17&lt;&gt;"",$U17=""),$N17,"")</f>
        <v/>
      </c>
      <c r="AQ23" s="175">
        <f>IF(AND(OR($B17="Uniforme"),$C17&lt;&gt;"",$U17=""),$O17,"")</f>
        <v/>
      </c>
      <c r="AR23" s="175">
        <f>IF(AND(OR($B17="Uniforme"),$C17&lt;&gt;"",$U17=""),IFERROR(VLOOKUP($E17,DADOS!$CF$5:$CH$9,3,FALSE),1),"")</f>
        <v/>
      </c>
      <c r="AS23" s="175">
        <f>IF(AND(OR($B17="Uniforme"),$C17&lt;&gt;"",$U17=""),$E17,"")</f>
        <v/>
      </c>
      <c r="AU23" s="175">
        <f>IF(AND(OR($B10="Item comum"),$C10&lt;&gt;"",$U10=""),$C10,"")</f>
        <v/>
      </c>
      <c r="AV23" s="175">
        <f>IF(AND(OR($B10="Item comum"),$C10&lt;&gt;"",$U10=""),$L10,"")</f>
        <v/>
      </c>
      <c r="AW23" s="175">
        <f>IF(AND(OR($B10="Item comum"),$C10&lt;&gt;"",$U10=""),$M10,"")</f>
        <v/>
      </c>
      <c r="AX23" s="175">
        <f>IF(AND(OR($B10="Item comum"),$C10&lt;&gt;"",$U10=""),$R10,"")</f>
        <v/>
      </c>
      <c r="AZ23" s="175" t="inlineStr">
        <is>
          <t>Gambiarra</t>
        </is>
      </c>
      <c r="BA23" s="175" t="inlineStr">
        <is>
          <t>Latente</t>
        </is>
      </c>
      <c r="BB23" s="175" t="inlineStr">
        <is>
          <t>menor</t>
        </is>
      </c>
      <c r="BC23" s="175" t="inlineStr"/>
      <c r="BD23" s="175" t="inlineStr">
        <is>
          <t>Uma vez por dia</t>
        </is>
      </c>
      <c r="BE23" s="175" t="inlineStr">
        <is>
          <t>Você aprendeu a resolver problemas com o que tinha à mão. Uma vez por dia, antes de um teste de Ofício em que não tenha treino, pode realizar a tentativa como treinado, somando sua Maestria, e usar objetos disponíveis como ferramentas improvisadas adequadas à tarefa.
Mantenha tempo, materiais e demais requisitos. O uso vale para uma tentativa e é gasto mesmo na falha. Não pode criar itens, realizar invocações ou obter aquisições permanentes por este benefício.</t>
        </is>
      </c>
      <c r="BG23" s="175">
        <f>IF(AND(OR($B15="Origem"),$C15&lt;&gt;"",$T15=TRUE),$C15,"")</f>
        <v/>
      </c>
      <c r="BH23" s="175">
        <f>IF(AND(OR($B15="Origem"),$C15&lt;&gt;"",$T15=TRUE),TEXTJOIN(" · ",TRUE,$E15:$H15),"")</f>
        <v/>
      </c>
      <c r="BI23" s="175">
        <f>IF(AND(OR($B15="Origem"),$C15&lt;&gt;"",$T15=TRUE),$I15,"")</f>
        <v/>
      </c>
      <c r="BM23" s="175" t="inlineStr">
        <is>
          <t>Espingarda</t>
        </is>
      </c>
      <c r="BN23" s="175" t="inlineStr">
        <is>
          <t>Arma</t>
        </is>
      </c>
      <c r="BO23" s="175" t="n">
        <v>0</v>
      </c>
      <c r="BP23" s="175" t="inlineStr">
        <is>
          <t>—</t>
        </is>
      </c>
      <c r="BQ23" s="175" t="n">
        <v>1</v>
      </c>
      <c r="BR23" s="175" t="n">
        <v>2</v>
      </c>
      <c r="BS23" s="175" t="inlineStr">
        <is>
          <t>—</t>
        </is>
      </c>
      <c r="BT23" s="175" t="inlineStr"/>
      <c r="BU23" s="175" t="inlineStr"/>
      <c r="BV23" s="175" t="inlineStr">
        <is>
          <t>Carcaça Grande</t>
        </is>
      </c>
      <c r="BW23" s="175">
        <f>IF(AND($B22="Origem",OR($J22="",$J22="Nenhuma",$J22="Restrição Celestial · Restrição corporal")),$C22,"")</f>
        <v/>
      </c>
      <c r="CA23" s="175" t="inlineStr">
        <is>
          <t>Atuação</t>
        </is>
      </c>
      <c r="CC23" s="175">
        <f>IF(OR('CONFIGURAÇÃO'!$AB$188="Origem"),'CONFIGURAÇÃO'!$AB$190,"")</f>
        <v/>
      </c>
      <c r="CH23">
        <f>IF('DADOS_DANOS'!$J$23="","",'DADOS_DANOS'!$J$23)</f>
        <v/>
      </c>
      <c r="CK23" s="175" t="inlineStr">
        <is>
          <t>Lança</t>
        </is>
      </c>
      <c r="CL23" s="175">
        <f>IF(OR('CONFIGURAÇÃO'!$T$101="Marcante"),'CONFIGURAÇÃO'!$T$103,"")</f>
        <v/>
      </c>
      <c r="CS23" s="175">
        <f>IF(AND($B10="Origem",$T10=TRUE),$C10,"")</f>
        <v/>
      </c>
      <c r="JY23" s="175">
        <f>IF(AND($B23="",$C23="",LEN(TEXTJOIN("",TRUE,E23:R23))=0),"",TEXTJOIN(" · ",TRUE,IF(COUNTIF('DADOS_CUSTOM'!$BZ$2:$BZ$160,$B23)=0,"Escolha um tipo válido",""),IF(LEN(TRIM($C23))=0,"Preencha NOME",""),IF(OR(COUNTIF('DADOS_CUSTOM'!$C$2:$C$26,$C23)&gt;1,COUNTIF('DADOS_CUSTOM'!$BV$2:$BV$171,$C23)&gt;0),"Nome repetido no livro ou custom",""),IF(AND($E23&lt;&gt;"",SWITCH($B23,"Origem","PERÍCIA 1","Marcante","ORIGEM","Menor","ORIGEM","Arma","CATEGORIA","Escudo","","Uniforme","GRAU MÍNIMO","Item comum","","Ferramenta amaldiçoada","BASE","")=""),"Apague campo que este tipo não usa",IF(AND($E23&lt;&gt;"",COUNTIF(INDIRECT(SWITCH($B23,"Origem","'DADOS_PROGRESSAO'!$AG$2:$AG$34","Marcante","'DADOS_CUSTOM'!$BW$2:$BW$160","Menor","'DADOS_CUSTOM'!$CC$2:$CC$160","Arma","'DADOS_CUSTOM'!$CF$2:$CF$160","Escudo","'DADOS_CUSTOM'!$CM$2:$CM$160","Uniforme","'DADOS_CUSTOM'!$CJ$2:$CJ$160","Item comum","'DADOS_CUSTOM'!$CM$2:$CM$160","Ferramenta amaldiçoada","'DADOS_CUSTOM'!$CK$2:$CK$160","'DADOS_CUSTOM'!$CM$2:$CM$160")),$E23)=0),"Opção inválida: "&amp;SWITCH($B23,"Origem","PERÍCIA 1","Marcante","ORIGEM","Menor","ORIGEM","Arma","CATEGORIA","Escudo","","Uniforme","GRAU MÍNIMO","Item comum","","Ferramenta amaldiçoada","BASE",""),"")),IF(AND($F23&lt;&gt;"",SWITCH($B23,"Origem","PERÍCIA 2","Marcante","","Menor","EXIGE MARCANTE","Arma","MÃO","Escudo","","Uniforme","","Item comum","","Ferramenta amaldiçoada","GRAU","")=""),"Apague campo que este tipo não usa",IF(AND($F23&lt;&gt;"",COUNTIF(INDIRECT(SWITCH($B23,"Origem","'DADOS_PROGRESSAO'!$AG$2:$AG$34","Marcante","'DADOS_CUSTOM'!$CM$2:$CM$160","Menor","'DADOS_CUSTOM'!$CL$2:$CL$160","Arma","'DADOS_CUSTOM'!$CG$2:$CG$160","Escudo","'DADOS_CUSTOM'!$CM$2:$CM$160","Uniforme","'DADOS_CUSTOM'!$CM$2:$CM$160","Item comum","'DADOS_CUSTOM'!$CM$2:$CM$160","Ferramenta amaldiçoada","'DADOS_CUSTOM'!$CJ$2:$CJ$160","'DADOS_CUSTOM'!$CM$2:$CM$160")),$F23)=0),"Opção inválida: "&amp;SWITCH($B23,"Origem","PERÍCIA 2","Marcante","","Menor","EXIGE MARCANTE","Arma","MÃO","Escudo","","Uniforme","","Item comum","","Ferramenta amaldiçoada","GRAU",""),"")),IF(AND($G23&lt;&gt;"",SWITCH($B23,"Origem","PERÍCIA 3","Marcante","","Menor","","Arma","TIPO DE DANO","Escudo","","Uniforme","","Item comum","","Ferramenta amaldiçoada","","")=""),"Apague campo que este tipo não usa",IF(AND($G23&lt;&gt;"",COUNTIF(INDIRECT(SWITCH($B23,"Origem","'DADOS_PROGRESSAO'!$AG$2:$AG$34","Marcante","'DADOS_CUSTOM'!$CM$2:$CM$160","Menor","'DADOS_CUSTOM'!$CM$2:$CM$160","Arma","'DADOS_CUSTOM'!$CH$2:$CH$160","Escudo","'DADOS_CUSTOM'!$CM$2:$CM$160","Uniforme","'DADOS_CUSTOM'!$CM$2:$CM$160","Item comum","'DADOS_CUSTOM'!$CM$2:$CM$160","Ferramenta amaldiçoada","'DADOS_CUSTOM'!$CM$2:$CM$160","'DADOS_CUSTOM'!$CM$2:$CM$160")),$G23)=0),"Opção inválida: "&amp;SWITCH($B23,"Origem","PERÍCIA 3","Marcante","","Menor","","Arma","TIPO DE DANO","Escudo","","Uniforme","","Item comum","","Ferramenta amaldiçoada","",""),"")),IF(AND($H23&lt;&gt;"",SWITCH($B23,"Origem","PERÍCIA 4","Marcante","","Menor","","Arma","PROPRIEDADE 1","Escudo","","Uniforme","","Item comum","","Ferramenta amaldiçoada","","")=""),"Apague campo que este tipo não usa",IF(AND($H23&lt;&gt;"",COUNTIF(INDIRECT(SWITCH($B23,"Origem","'DADOS_PROGRESSAO'!$AG$2:$AG$34","Marcante","'DADOS_CUSTOM'!$CM$2:$CM$160","Menor","'DADOS_CUSTOM'!$CM$2:$CM$160","Arma","'DADOS_CUSTOM'!$CI$2:$CI$160","Escudo","'DADOS_CUSTOM'!$CM$2:$CM$160","Uniforme","'DADOS_CUSTOM'!$CM$2:$CM$160","Item comum","'DADOS_CUSTOM'!$CM$2:$CM$160","Ferramenta amaldiçoada","'DADOS_CUSTOM'!$CM$2:$CM$160","'DADOS_CUSTOM'!$CM$2:$CM$160")),$H23)=0),"Opção inválida: "&amp;SWITCH($B23,"Origem","PERÍCIA 4","Marcante","","Menor","","Arma","PROPRIEDADE 1","Escudo","","Uniforme","","Item comum","","Ferramenta amaldiçoada","",""),"")),IF(AND($I23&lt;&gt;"",SWITCH($B23,"Origem","ROTA","Marcante","","Menor","","Arma","PROPRIEDADE 2","Escudo","","Uniforme","","Item comum","","Ferramenta amaldiçoada","","")=""),"Apague campo que este tipo não usa",IF(AND($I23&lt;&gt;"",COUNTIF(INDIRECT(SWITCH($B23,"Origem","'DADOS_CUSTOM'!$CB$2:$CB$160","Marcante","'DADOS_CUSTOM'!$CM$2:$CM$160","Menor","'DADOS_CUSTOM'!$CM$2:$CM$160","Arma","'DADOS_CUSTOM'!$CI$2:$CI$160","Escudo","'DADOS_CUSTOM'!$CM$2:$CM$160","Uniforme","'DADOS_CUSTOM'!$CM$2:$CM$160","Item comum","'DADOS_CUSTOM'!$CM$2:$CM$160","Ferramenta amaldiçoada","'DADOS_CUSTOM'!$CM$2:$CM$160","'DADOS_CUSTOM'!$CM$2:$CM$160")),$I23)=0),"Opção inválida: "&amp;SWITCH($B23,"Origem","ROTA","Marcante","","Menor","","Arma","PROPRIEDADE 2","Escudo","","Uniforme","","Item comum","","Ferramenta amaldiçoada","",""),""))))</f>
        <v/>
      </c>
      <c r="JZ23" s="175">
        <f>IF(AND($B23="",$C23="",LEN(TEXTJOIN("",TRUE,E23:R23))=0),"",TEXTJOIN(" · ",TRUE,IF(AND($J23&lt;&gt;"",SWITCH($B23,"Origem","BASE DO LIVRO","Marcante","","Menor","","Arma","PROPRIEDADE 3","Escudo","","Uniforme","","Item comum","","Ferramenta amaldiçoada","","")=""),"Apague campo que este tipo não usa",IF(AND($J23&lt;&gt;"",COUNTIF(INDIRECT(SWITCH($B23,"Origem","'DADOS_CUSTOM'!$CD$2:$CD$160","Marcante","'DADOS_CUSTOM'!$CM$2:$CM$160","Menor","'DADOS_CUSTOM'!$CM$2:$CM$160","Arma","'DADOS_CUSTOM'!$CI$2:$CI$160","Escudo","'DADOS_CUSTOM'!$CM$2:$CM$160","Uniforme","'DADOS_CUSTOM'!$CM$2:$CM$160","Item comum","'DADOS_CUSTOM'!$CM$2:$CM$160","Ferramenta amaldiçoada","'DADOS_CUSTOM'!$CM$2:$CM$160","'DADOS_CUSTOM'!$CM$2:$CM$160")),$J23)=0),"Opção inválida: "&amp;SWITCH($B23,"Origem","BASE DO LIVRO","Marcante","","Menor","","Arma","PROPRIEDADE 3","Escudo","","Uniforme","","Item comum","","Ferramenta amaldiçoada","",""),"")),IF(AND($K23&lt;&gt;"",SWITCH($B23,"Origem","OFÍCIO","Marcante","","Menor","","Arma","PROPRIEDADE 4","Escudo","","Uniforme","","Item comum","","Ferramenta amaldiçoada","","")=""),"Apague campo que este tipo não usa",IF(AND($K23&lt;&gt;"",COUNTIF(INDIRECT(SWITCH($B23,"Origem","'DADOS_PROGRESSAO'!$AJ$2:$AJ$23","Marcante","'DADOS_CUSTOM'!$CM$2:$CM$160","Menor","'DADOS_CUSTOM'!$CM$2:$CM$160","Arma","'DADOS_CUSTOM'!$CI$2:$CI$160","Escudo","'DADOS_CUSTOM'!$CM$2:$CM$160","Uniforme","'DADOS_CUSTOM'!$CM$2:$CM$160","Item comum","'DADOS_CUSTOM'!$CM$2:$CM$160","Ferramenta amaldiçoada","'DADOS_CUSTOM'!$CM$2:$CM$160","'DADOS_CUSTOM'!$CM$2:$CM$160")),$K23)=0),"Opção inválida: "&amp;SWITCH($B23,"Origem","OFÍCIO","Marcante","","Menor","","Arma","PROPRIEDADE 4","Escudo","","Uniforme","","Item comum","","Ferramenta amaldiçoada","",""),"")),IF(AND($L23&lt;&gt;"",SWITCH($B23,"Origem","TALENTO CE 4","Marcante","FREQUÊNCIA","Menor","FREQUÊNCIA","Arma","DADO","Escudo","PROTEÇÃO","Uniforme","PROTEÇÃO","Item comum","VOLUME","Ferramenta amaldiçoada","ESTIGMA","")=""),"Apague campo que este tipo não usa",IF(AND(OR($B23="Escudo",$B23="Uniforme",$B23="Item comum"),$L23&lt;&gt;"",NOT(ISNUMBER($L23)),NOT(AND($L23="—",FALSE))),"Informe número: "&amp;SWITCH($B23,"Origem","TALENTO CE 4","Marcante","FREQUÊNCIA","Menor","FREQUÊNCIA","Arma","DADO","Escudo","PROTEÇÃO","Uniforme","PROTEÇÃO","Item comum","VOLUME","Ferramenta amaldiçoada","ESTIGMA",""),"")),IF(AND($M23&lt;&gt;"",SWITCH($B23,"Origem","","Marcante","","Menor","","Arma","FORÇA","Escudo","TETO DE DESTREZA","Uniforme","TETO DE DESTREZA","Item comum","PREÇO","Ferramenta amaldiçoada","DESGASTE","")=""),"Apague campo que este tipo não usa",IF(AND(OR($B23="Arma",$B23="Escudo",$B23="Uniforme",$B23="Item comum",$B23="Ferramenta amaldiçoada"),$M23&lt;&gt;"",NOT(ISNUMBER($M23)),NOT(AND($M23="—",OR($B23="Arma",$B23="Escudo",$B23="Uniforme",$B23="Ferramenta amaldiçoada")))),"Informe número: "&amp;SWITCH($B23,"Origem","","Marcante","","Menor","","Arma","FORÇA","Escudo","TETO DE DESTREZA","Uniforme","TETO DE DESTREZA","Item comum","PREÇO","Ferramenta amaldiçoada","DESGASTE",""),"")),IF(AND($N23&lt;&gt;"",SWITCH($B23,"Origem","","Marcante","","Menor","","Arma","VOLUME","Escudo","FORÇA","Uniforme","FORÇA","Item comum","","Ferramenta amaldiçoada","VOLUME","")=""),"Apague campo que este tipo não usa",IF(AND(OR($B23="Arma",$B23="Escudo",$B23="Uniforme",$B23="Ferramenta amaldiçoada"),$N23&lt;&gt;"",NOT(ISNUMBER($N23)),NOT(AND($N23="—",OR($B23="Escudo",$B23="Uniforme")))),"Informe número: "&amp;SWITCH($B23,"Origem","","Marcante","","Menor","","Arma","VOLUME","Escudo","FORÇA","Uniforme","FORÇA","Item comum","","Ferramenta amaldiçoada","VOLUME",""),"")),IF(AND($O23&lt;&gt;"",SWITCH($B23,"Origem","","Marcante","","Menor","","Arma","ALCANCE","Escudo","VOLUME","Uniforme","VOLUME","Item comum","","Ferramenta amaldiçoada","PREÇO","")=""),"Apague campo que este tipo não usa",IF(AND(OR($B23="Escudo",$B23="Uniforme",$B23="Ferramenta amaldiçoada"),$O23&lt;&gt;"",NOT(ISNUMBER($O23)),NOT(AND($O23="—",FALSE))),"Informe número: "&amp;SWITCH($B23,"Origem","","Marcante","","Menor","","Arma","ALCANCE","Escudo","VOLUME","Uniforme","VOLUME","Item comum","","Ferramenta amaldiçoada","PREÇO",""),"")),IF(AND($P23&lt;&gt;"",SWITCH($B23,"Origem","","Marcante","","Menor","","Arma","RECARGA","Escudo","PREÇO","Uniforme","PREÇO","Item comum","","Ferramenta amaldiçoada","","")=""),"Apague campo que este tipo não usa",IF(AND(OR($B23="Arma",$B23="Escudo",$B23="Uniforme"),$P23&lt;&gt;"",NOT(ISNUMBER($P23)),NOT(AND($P23="—",OR($B23="Arma")))),"Informe número: "&amp;SWITCH($B23,"Origem","","Marcante","","Menor","","Arma","RECARGA","Escudo","PREÇO","Uniforme","PREÇO","Item comum","","Ferramenta amaldiçoada","",""),"")),IF(AND($Q23&lt;&gt;"",SWITCH($B23,"Origem","","Marcante","","Menor","","Arma","PREÇO","Escudo","","Uniforme","","Item comum","","Ferramenta amaldiçoada","","")=""),"Apague campo que este tipo não usa",IF(AND(OR($B23="Arma"),$Q23&lt;&gt;"",NOT(ISNUMBER($Q23)),NOT(AND($Q23="—",FALSE))),"Informe número: "&amp;SWITCH($B23,"Origem","","Marcante","","Menor","","Arma","PREÇO","Escudo","","Uniforme","","Item comum","","Ferramenta amaldiçoada","",""),""))))</f>
        <v/>
      </c>
      <c r="KA23" s="175">
        <f>IF(AND($B23="",$C23="",LEN(TEXTJOIN("",TRUE,E23:R23))=0),"",TEXTJOIN(" · ",TRUE,IF(AND($B23="Origem",OR($E23="",$F23="",$G23="",$H23="",$I23="")),"Preencha os campos obrigatórios de Origem",""),IF(AND($B23="Marcante",OR($E23="")),"Preencha os campos obrigatórios de Marcante",""),IF(AND($B23="Menor",OR($E23="")),"Preencha os campos obrigatórios de Menor",""),IF(AND($B23="Arma",OR($E23="",$F23="",$G23="",$L23="",$M23="",$N23="")),"Preencha os campos obrigatórios de Arma",""),IF(AND($B23="Escudo",OR($L23="",$M23="",$N23="",$O23="")),"Preencha os campos obrigatórios de Escudo",""),IF(AND($B23="Uniforme",OR($E23="",$L23="",$M23="",$N23="",$O23="")),"Preencha os campos obrigatórios de Uniforme",""),IF(AND($B23="Item comum",OR($L23="")),"Preencha os campos obrigatórios de Item comum",""),IF(AND($B23="Ferramenta amaldiçoada",OR($E23="",$F23="")),"Preencha os campos obrigatórios de Ferramenta amaldiçoada",""),IF(AND($B23="Origem",COUNTA(E23:H23)=4,NOT(AND(E23&lt;&gt;F23,E23&lt;&gt;G23,E23&lt;&gt;H23,F23&lt;&gt;G23,F23&lt;&gt;H23,G23&lt;&gt;H23))),"Escolha quatro perícias diferentes",""),IF(AND($B23="Origem",J23="Latente",NOT(OR(I23="Fundamento",I23="Manejos"))),"ROTA não combina com BASE DO LIVRO",""),IF(AND($B23="Origem",J23="Receptáculo",NOT(OR(I23="Fundamento",I23="Manejos"))),"ROTA não combina com BASE DO LIVRO",""),IF(AND($B23="Origem",J23="Descendente",NOT(OR(I23="Fundamento",I23="Manejos"))),"ROTA não combina com BASE DO LIVRO",""),IF(AND($B23="Origem",J23="Encarnado",NOT(OR(I23="Fundamento",I23="Manejos"))),"ROTA não combina com BASE DO LIVRO",""),IF(AND($B23="Origem",J23="Híbrido",NOT(OR(I23="Fundamento",I23="Manejos"))),"ROTA não combina com BASE DO LIVRO",""),IF(AND($B23="Origem",J23="Corpo Amaldiçoado",NOT(OR(I23="Técnica Marcial com energia"))),"ROTA não combina com BASE DO LIVRO",""),IF(AND($B23="Origem",J23="Restrição Celestial · Sem Energia",NOT(OR(I23="Técnica Marcial sem energia"))),"ROTA não combina com BASE DO LIVRO",""),IF(AND($B23="Origem",J23="Restrição Celestial · Restrição corporal",NOT(OR(I23="Fundamento"))),"ROTA não combina com BASE DO LIVRO","")))</f>
        <v/>
      </c>
    </row>
    <row r="24">
      <c r="A24" s="175" t="n">
        <v>23</v>
      </c>
      <c r="B24" s="175">
        <f>IF(ISBLANK('CONFIGURAÇÃO'!$T$333),"",'CONFIGURAÇÃO'!$T$333)</f>
        <v/>
      </c>
      <c r="C24" s="175">
        <f>IF(ISBLANK('CONFIGURAÇÃO'!$T$335),"",'CONFIGURAÇÃO'!$T$335)</f>
        <v/>
      </c>
      <c r="D24" s="175">
        <f>IF(ISBLANK('CONFIGURAÇÃO'!$X$333),"",'CONFIGURAÇÃO'!$X$333)</f>
        <v/>
      </c>
      <c r="E24" s="175">
        <f>IF(ISBLANK('CONFIGURAÇÃO'!$V$336),"",'CONFIGURAÇÃO'!$V$336)</f>
        <v/>
      </c>
      <c r="F24" s="175">
        <f>IF(ISBLANK('CONFIGURAÇÃO'!$V$337),"",'CONFIGURAÇÃO'!$V$337)</f>
        <v/>
      </c>
      <c r="G24" s="175">
        <f>IF(ISBLANK('CONFIGURAÇÃO'!$V$338),"",'CONFIGURAÇÃO'!$V$338)</f>
        <v/>
      </c>
      <c r="H24" s="175">
        <f>IF(ISBLANK('CONFIGURAÇÃO'!$V$339),"",'CONFIGURAÇÃO'!$V$339)</f>
        <v/>
      </c>
      <c r="I24" s="175">
        <f>IF(ISBLANK('CONFIGURAÇÃO'!$V$340),"",'CONFIGURAÇÃO'!$V$340)</f>
        <v/>
      </c>
      <c r="J24" s="175">
        <f>IF(ISBLANK('CONFIGURAÇÃO'!$V$341),"",'CONFIGURAÇÃO'!$V$341)</f>
        <v/>
      </c>
      <c r="K24" s="175">
        <f>IF(ISBLANK('CONFIGURAÇÃO'!$V$342),"",'CONFIGURAÇÃO'!$V$342)</f>
        <v/>
      </c>
      <c r="L24" s="175">
        <f>IF(ISBLANK('CONFIGURAÇÃO'!$V$343),"",'CONFIGURAÇÃO'!$V$343)</f>
        <v/>
      </c>
      <c r="M24" s="175">
        <f>IF(ISBLANK('CONFIGURAÇÃO'!$V$344),"",'CONFIGURAÇÃO'!$V$344)</f>
        <v/>
      </c>
      <c r="N24" s="175">
        <f>IF(ISBLANK('CONFIGURAÇÃO'!$V$345),"",'CONFIGURAÇÃO'!$V$345)</f>
        <v/>
      </c>
      <c r="O24" s="175">
        <f>IF(ISBLANK('CONFIGURAÇÃO'!$V$346),"",'CONFIGURAÇÃO'!$V$346)</f>
        <v/>
      </c>
      <c r="P24" s="175">
        <f>IF(ISBLANK('CONFIGURAÇÃO'!$V$347),"",'CONFIGURAÇÃO'!$V$347)</f>
        <v/>
      </c>
      <c r="Q24" s="175">
        <f>IF(ISBLANK('CONFIGURAÇÃO'!$V$348),"",'CONFIGURAÇÃO'!$V$348)</f>
        <v/>
      </c>
      <c r="R24" s="175">
        <f>IF(ISBLANK('CONFIGURAÇÃO'!$T$350),"",'CONFIGURAÇÃO'!$T$350)</f>
        <v/>
      </c>
      <c r="S24" s="175">
        <f>TEXTJOIN(" · ",TRUE,U24,V24,W24,X24)</f>
        <v/>
      </c>
      <c r="T24" s="175">
        <f>AND(B24&lt;&gt;"",C24&lt;&gt;"",S24="")</f>
        <v/>
      </c>
      <c r="U24" s="175">
        <f>TEXTJOIN(" · ",TRUE,JY24:KA24)</f>
        <v/>
      </c>
      <c r="V24" s="175">
        <f>IF(AND(OR($B24="Marcante",$B24="Menor"),NOT(OR(COUNTIF('DADOS_CUSTOM'!$CD$2:$CD$160,E24)&gt;0,COUNTIFS('DADOS_CUSTOM'!$C$2:$C$26,E24,'DADOS_CUSTOM'!$B$2:$B$26,"Origem",'DADOS_CUSTOM'!$U$2:$U$26,"")=1))),"Origem vinculada não existe ou tem erro",IF(AND($B24="Marcante",NOT(OR(E24="Restrição Celestial · Restrição corporal",AND(COUNTIFS('DADOS_CUSTOM'!$C$2:$C$26,E24,'DADOS_CUSTOM'!$B$2:$B$26,"Origem",'DADOS_CUSTOM'!$U$2:$U$26,"")=1,OR(IFERROR(INDEX('DADOS_CUSTOM'!$J$2:$J$26,MATCH(E24,'DADOS_CUSTOM'!$C$2:$C$26,0)),E24)="",IFERROR(INDEX('DADOS_CUSTOM'!$J$2:$J$26,MATCH(E24,'DADOS_CUSTOM'!$C$2:$C$26,0)),E24)="Nenhuma",IFERROR(INDEX('DADOS_CUSTOM'!$J$2:$J$26,MATCH(E24,'DADOS_CUSTOM'!$C$2:$C$26,0)),E24)="Restrição Celestial · Restrição corporal"))))),"Marcante própria só para Restrição corporal ou Origem do zero; use a marcante publicada da base",""))</f>
        <v/>
      </c>
      <c r="W24" s="175">
        <f>IF(AND($B24="Menor",F24&lt;&gt;"",F24&lt;&gt;"—",NOT(OR(AND(F24="Tentativa e Erro",OR(E24="Latente",IFERROR(INDEX('DADOS_CUSTOM'!$J$2:$J$26,MATCH(E24,'DADOS_CUSTOM'!$C$2:$C$26,0)),E24)="Latente")),AND(F24="Coexistência",OR(E24="Receptáculo",IFERROR(INDEX('DADOS_CUSTOM'!$J$2:$J$26,MATCH(E24,'DADOS_CUSTOM'!$C$2:$C$26,0)),E24)="Receptáculo")),AND(F24="Conflito",OR(E24="Receptáculo",IFERROR(INDEX('DADOS_CUSTOM'!$J$2:$J$26,MATCH(E24,'DADOS_CUSTOM'!$C$2:$C$26,0)),E24)="Receptáculo")),AND(F24="Zenin",OR(E24="Descendente",IFERROR(INDEX('DADOS_CUSTOM'!$J$2:$J$26,MATCH(E24,'DADOS_CUSTOM'!$C$2:$C$26,0)),E24)="Descendente")),AND(F24="Kamo",OR(E24="Descendente",IFERROR(INDEX('DADOS_CUSTOM'!$J$2:$J$26,MATCH(E24,'DADOS_CUSTOM'!$C$2:$C$26,0)),E24)="Descendente")),AND(F24="Gojo",OR(E24="Descendente",IFERROR(INDEX('DADOS_CUSTOM'!$J$2:$J$26,MATCH(E24,'DADOS_CUSTOM'!$C$2:$C$26,0)),E24)="Descendente")),AND(F24="Inumaki",OR(E24="Descendente",IFERROR(INDEX('DADOS_CUSTOM'!$J$2:$J$26,MATCH(E24,'DADOS_CUSTOM'!$C$2:$C$26,0)),E24)="Descendente")),AND(F24="Duas Vidas",OR(E24="Encarnado",IFERROR(INDEX('DADOS_CUSTOM'!$J$2:$J$26,MATCH(E24,'DADOS_CUSTOM'!$C$2:$C$26,0)),E24)="Encarnado")),AND(F24="Regeneração Orgânica",OR(E24="Híbrido",IFERROR(INDEX('DADOS_CUSTOM'!$J$2:$J$26,MATCH(E24,'DADOS_CUSTOM'!$C$2:$C$26,0)),E24)="Híbrido")),AND(F24="Existência Artificial",OR(E24="Corpo Amaldiçoado",IFERROR(INDEX('DADOS_CUSTOM'!$J$2:$J$26,MATCH(E24,'DADOS_CUSTOM'!$C$2:$C$26,0)),E24)="Corpo Amaldiçoado")),AND(F24="Ataque sem Prenúncio",OR(E24="Restrição Celestial · Sem Energia",IFERROR(INDEX('DADOS_CUSTOM'!$J$2:$J$26,MATCH(E24,'DADOS_CUSTOM'!$C$2:$C$26,0)),E24)="Restrição Celestial · Sem Energia")),AND(F24="Corpo Debilitado",OR(E24="Restrição Celestial · Restrição corporal",IFERROR(INDEX('DADOS_CUSTOM'!$J$2:$J$26,MATCH(E24,'DADOS_CUSTOM'!$C$2:$C$26,0)),E24)="Restrição Celestial · Restrição corporal")),AND(F24="Corpo Quebradiço",OR(E24="Restrição Celestial · Restrição corporal",IFERROR(INDEX('DADOS_CUSTOM'!$J$2:$J$26,MATCH(E24,'DADOS_CUSTOM'!$C$2:$C$26,0)),E24)="Restrição Celestial · Restrição corporal")),AND(F24="Corpo Exaurido",OR(E24="Restrição Celestial · Restrição corporal",IFERROR(INDEX('DADOS_CUSTOM'!$J$2:$J$26,MATCH(E24,'DADOS_CUSTOM'!$C$2:$C$26,0)),E24)="Restrição Celestial · Restrição corporal")),COUNTIFS('DADOS_CUSTOM'!$C$2:$C$26,F24,'DADOS_CUSTOM'!$B$2:$B$26,"Marcante",'DADOS_CUSTOM'!$E$2:$E$26,E24,'DADOS_CUSTOM'!$U$2:$U$26,"",'DADOS_CUSTOM'!$V$2:$V$26,"")=1))),"Marcante exigida não pertence à Origem ou tem erro","")</f>
        <v/>
      </c>
      <c r="X24" s="175">
        <f>IF(AND($B24="Ferramenta amaldiçoada",NOT(OR(COUNTIF('DADOS_CUSTOM'!$CK$2:$CK$75,E24)&gt;0,OR(COUNTIFS('DADOS_CUSTOM'!$C$2:$C$26,E24,'DADOS_CUSTOM'!$B$2:$B$26,"Arma",'DADOS_CUSTOM'!$U$2:$U$26,"")=1,COUNTIFS('DADOS_CUSTOM'!$C$2:$C$26,E24,'DADOS_CUSTOM'!$B$2:$B$26,"Escudo",'DADOS_CUSTOM'!$U$2:$U$26,"")=1,COUNTIFS('DADOS_CUSTOM'!$C$2:$C$26,E24,'DADOS_CUSTOM'!$B$2:$B$26,"Uniforme",'DADOS_CUSTOM'!$U$2:$U$26,"")=1,COUNTIFS('DADOS_CUSTOM'!$C$2:$C$26,E24,'DADOS_CUSTOM'!$B$2:$B$26,"Item comum",'DADOS_CUSTOM'!$U$2:$U$26,"")=1)))),"Base da ferramenta não existe ou tem erro","")</f>
        <v/>
      </c>
      <c r="AA24" s="175" t="inlineStr">
        <is>
          <t>Lança</t>
        </is>
      </c>
      <c r="AB24" s="175" t="inlineStr">
        <is>
          <t>Armas Longas</t>
        </is>
      </c>
      <c r="AC24" s="175" t="n">
        <v>1</v>
      </c>
      <c r="AD24" s="175" t="inlineStr">
        <is>
          <t>1d6</t>
        </is>
      </c>
      <c r="AE24" s="175" t="inlineStr">
        <is>
          <t>Alcance · Longo Alcance</t>
        </is>
      </c>
      <c r="AF24" s="175" t="inlineStr">
        <is>
          <t>—</t>
        </is>
      </c>
      <c r="AG24" s="175" t="n">
        <v>2</v>
      </c>
      <c r="AH24" s="175" t="inlineStr">
        <is>
          <t>6 m, longa 18 m</t>
        </is>
      </c>
      <c r="AJ24" s="175">
        <f>'FICHA PESSOAL'!$AM$78</f>
        <v/>
      </c>
      <c r="AK24" s="175">
        <f>ADDRESS(ROW('FICHA PESSOAL'!AM78),COLUMN('FICHA PESSOAL'!AM78),4)</f>
        <v/>
      </c>
      <c r="AM24" s="175">
        <f>IF(AND(OR($B18="Uniforme"),$C18&lt;&gt;"",$U18=""),$C18,"")</f>
        <v/>
      </c>
      <c r="AN24" s="175">
        <f>IF(AND(OR($B18="Uniforme"),$C18&lt;&gt;"",$U18=""),$L18,"")</f>
        <v/>
      </c>
      <c r="AO24" s="175">
        <f>IF(AND(OR($B18="Uniforme"),$C18&lt;&gt;"",$U18=""),$M18,"")</f>
        <v/>
      </c>
      <c r="AP24" s="175">
        <f>IF(AND(OR($B18="Uniforme"),$C18&lt;&gt;"",$U18=""),$N18,"")</f>
        <v/>
      </c>
      <c r="AQ24" s="175">
        <f>IF(AND(OR($B18="Uniforme"),$C18&lt;&gt;"",$U18=""),$O18,"")</f>
        <v/>
      </c>
      <c r="AR24" s="175">
        <f>IF(AND(OR($B18="Uniforme"),$C18&lt;&gt;"",$U18=""),IFERROR(VLOOKUP($E18,DADOS!$CF$5:$CH$9,3,FALSE),1),"")</f>
        <v/>
      </c>
      <c r="AS24" s="175">
        <f>IF(AND(OR($B18="Uniforme"),$C18&lt;&gt;"",$U18=""),$E18,"")</f>
        <v/>
      </c>
      <c r="AU24" s="175">
        <f>IF(AND(OR($B11="Item comum"),$C11&lt;&gt;"",$U11=""),$C11,"")</f>
        <v/>
      </c>
      <c r="AV24" s="175">
        <f>IF(AND(OR($B11="Item comum"),$C11&lt;&gt;"",$U11=""),$L11,"")</f>
        <v/>
      </c>
      <c r="AW24" s="175">
        <f>IF(AND(OR($B11="Item comum"),$C11&lt;&gt;"",$U11=""),$M11,"")</f>
        <v/>
      </c>
      <c r="AX24" s="175">
        <f>IF(AND(OR($B11="Item comum"),$C11&lt;&gt;"",$U11=""),$R11,"")</f>
        <v/>
      </c>
      <c r="AZ24" s="175" t="inlineStr">
        <is>
          <t>Memória Corporal</t>
        </is>
      </c>
      <c r="BA24" s="175" t="inlineStr">
        <is>
          <t>Receptáculo</t>
        </is>
      </c>
      <c r="BB24" s="175" t="inlineStr">
        <is>
          <t>menor</t>
        </is>
      </c>
      <c r="BC24" s="175" t="inlineStr"/>
      <c r="BD24" s="175" t="inlineStr">
        <is>
          <t>Uma vez por dia</t>
        </is>
      </c>
      <c r="BE24" s="175" t="inlineStr">
        <is>
          <t>Uma vez por dia, use uma Ação Bônus para receber treino em uma perícia até o fim da cena. Não concede especialização, treino permanente ou bônus adicional numa perícia já treinada. Ofícios, TRs e Aptidões ficam fora.</t>
        </is>
      </c>
      <c r="BG24" s="175">
        <f>IF(AND(OR($B16="Origem"),$C16&lt;&gt;"",$T16=TRUE),$C16,"")</f>
        <v/>
      </c>
      <c r="BH24" s="175">
        <f>IF(AND(OR($B16="Origem"),$C16&lt;&gt;"",$T16=TRUE),TEXTJOIN(" · ",TRUE,$E16:$H16),"")</f>
        <v/>
      </c>
      <c r="BI24" s="175">
        <f>IF(AND(OR($B16="Origem"),$C16&lt;&gt;"",$T16=TRUE),$I16,"")</f>
        <v/>
      </c>
      <c r="BM24" s="175" t="inlineStr">
        <is>
          <t>Faca</t>
        </is>
      </c>
      <c r="BN24" s="175" t="inlineStr">
        <is>
          <t>Arma</t>
        </is>
      </c>
      <c r="BO24" s="175" t="n">
        <v>0</v>
      </c>
      <c r="BP24" s="175" t="inlineStr">
        <is>
          <t>—</t>
        </is>
      </c>
      <c r="BQ24" s="175" t="inlineStr">
        <is>
          <t>—</t>
        </is>
      </c>
      <c r="BR24" s="175" t="n">
        <v>0.2</v>
      </c>
      <c r="BS24" s="175" t="inlineStr">
        <is>
          <t>—</t>
        </is>
      </c>
      <c r="BT24" s="175" t="inlineStr"/>
      <c r="BU24" s="175" t="inlineStr"/>
      <c r="BV24" s="175" t="inlineStr">
        <is>
          <t>Cassetete</t>
        </is>
      </c>
      <c r="BW24" s="175">
        <f>IF(AND($B23="Origem",OR($J23="",$J23="Nenhuma",$J23="Restrição Celestial · Restrição corporal")),$C23,"")</f>
        <v/>
      </c>
      <c r="CA24" s="175" t="inlineStr">
        <is>
          <t>Provocar</t>
        </is>
      </c>
      <c r="CC24" s="175">
        <f>IF(OR('CONFIGURAÇÃO'!$T$217="Origem"),'CONFIGURAÇÃO'!$T$219,"")</f>
        <v/>
      </c>
      <c r="CH24">
        <f>IF('DADOS_DANOS'!$J$24="","",'DADOS_DANOS'!$J$24)</f>
        <v/>
      </c>
      <c r="CK24" s="175" t="inlineStr">
        <is>
          <t>Machadinha</t>
        </is>
      </c>
      <c r="CL24" s="175">
        <f>IF(OR('CONFIGURAÇÃO'!$AB$101="Marcante"),'CONFIGURAÇÃO'!$AB$103,"")</f>
        <v/>
      </c>
      <c r="CS24" s="175">
        <f>IF(AND($B11="Origem",$T11=TRUE),$C11,"")</f>
        <v/>
      </c>
      <c r="JY24" s="175">
        <f>IF(AND($B24="",$C24="",LEN(TEXTJOIN("",TRUE,E24:R24))=0),"",TEXTJOIN(" · ",TRUE,IF(COUNTIF('DADOS_CUSTOM'!$BZ$2:$BZ$160,$B24)=0,"Escolha um tipo válido",""),IF(LEN(TRIM($C24))=0,"Preencha NOME",""),IF(OR(COUNTIF('DADOS_CUSTOM'!$C$2:$C$26,$C24)&gt;1,COUNTIF('DADOS_CUSTOM'!$BV$2:$BV$171,$C24)&gt;0),"Nome repetido no livro ou custom",""),IF(AND($E24&lt;&gt;"",SWITCH($B24,"Origem","PERÍCIA 1","Marcante","ORIGEM","Menor","ORIGEM","Arma","CATEGORIA","Escudo","","Uniforme","GRAU MÍNIMO","Item comum","","Ferramenta amaldiçoada","BASE","")=""),"Apague campo que este tipo não usa",IF(AND($E24&lt;&gt;"",COUNTIF(INDIRECT(SWITCH($B24,"Origem","'DADOS_PROGRESSAO'!$AG$2:$AG$34","Marcante","'DADOS_CUSTOM'!$BW$2:$BW$160","Menor","'DADOS_CUSTOM'!$CC$2:$CC$160","Arma","'DADOS_CUSTOM'!$CF$2:$CF$160","Escudo","'DADOS_CUSTOM'!$CM$2:$CM$160","Uniforme","'DADOS_CUSTOM'!$CJ$2:$CJ$160","Item comum","'DADOS_CUSTOM'!$CM$2:$CM$160","Ferramenta amaldiçoada","'DADOS_CUSTOM'!$CK$2:$CK$160","'DADOS_CUSTOM'!$CM$2:$CM$160")),$E24)=0),"Opção inválida: "&amp;SWITCH($B24,"Origem","PERÍCIA 1","Marcante","ORIGEM","Menor","ORIGEM","Arma","CATEGORIA","Escudo","","Uniforme","GRAU MÍNIMO","Item comum","","Ferramenta amaldiçoada","BASE",""),"")),IF(AND($F24&lt;&gt;"",SWITCH($B24,"Origem","PERÍCIA 2","Marcante","","Menor","EXIGE MARCANTE","Arma","MÃO","Escudo","","Uniforme","","Item comum","","Ferramenta amaldiçoada","GRAU","")=""),"Apague campo que este tipo não usa",IF(AND($F24&lt;&gt;"",COUNTIF(INDIRECT(SWITCH($B24,"Origem","'DADOS_PROGRESSAO'!$AG$2:$AG$34","Marcante","'DADOS_CUSTOM'!$CM$2:$CM$160","Menor","'DADOS_CUSTOM'!$CL$2:$CL$160","Arma","'DADOS_CUSTOM'!$CG$2:$CG$160","Escudo","'DADOS_CUSTOM'!$CM$2:$CM$160","Uniforme","'DADOS_CUSTOM'!$CM$2:$CM$160","Item comum","'DADOS_CUSTOM'!$CM$2:$CM$160","Ferramenta amaldiçoada","'DADOS_CUSTOM'!$CJ$2:$CJ$160","'DADOS_CUSTOM'!$CM$2:$CM$160")),$F24)=0),"Opção inválida: "&amp;SWITCH($B24,"Origem","PERÍCIA 2","Marcante","","Menor","EXIGE MARCANTE","Arma","MÃO","Escudo","","Uniforme","","Item comum","","Ferramenta amaldiçoada","GRAU",""),"")),IF(AND($G24&lt;&gt;"",SWITCH($B24,"Origem","PERÍCIA 3","Marcante","","Menor","","Arma","TIPO DE DANO","Escudo","","Uniforme","","Item comum","","Ferramenta amaldiçoada","","")=""),"Apague campo que este tipo não usa",IF(AND($G24&lt;&gt;"",COUNTIF(INDIRECT(SWITCH($B24,"Origem","'DADOS_PROGRESSAO'!$AG$2:$AG$34","Marcante","'DADOS_CUSTOM'!$CM$2:$CM$160","Menor","'DADOS_CUSTOM'!$CM$2:$CM$160","Arma","'DADOS_CUSTOM'!$CH$2:$CH$160","Escudo","'DADOS_CUSTOM'!$CM$2:$CM$160","Uniforme","'DADOS_CUSTOM'!$CM$2:$CM$160","Item comum","'DADOS_CUSTOM'!$CM$2:$CM$160","Ferramenta amaldiçoada","'DADOS_CUSTOM'!$CM$2:$CM$160","'DADOS_CUSTOM'!$CM$2:$CM$160")),$G24)=0),"Opção inválida: "&amp;SWITCH($B24,"Origem","PERÍCIA 3","Marcante","","Menor","","Arma","TIPO DE DANO","Escudo","","Uniforme","","Item comum","","Ferramenta amaldiçoada","",""),"")),IF(AND($H24&lt;&gt;"",SWITCH($B24,"Origem","PERÍCIA 4","Marcante","","Menor","","Arma","PROPRIEDADE 1","Escudo","","Uniforme","","Item comum","","Ferramenta amaldiçoada","","")=""),"Apague campo que este tipo não usa",IF(AND($H24&lt;&gt;"",COUNTIF(INDIRECT(SWITCH($B24,"Origem","'DADOS_PROGRESSAO'!$AG$2:$AG$34","Marcante","'DADOS_CUSTOM'!$CM$2:$CM$160","Menor","'DADOS_CUSTOM'!$CM$2:$CM$160","Arma","'DADOS_CUSTOM'!$CI$2:$CI$160","Escudo","'DADOS_CUSTOM'!$CM$2:$CM$160","Uniforme","'DADOS_CUSTOM'!$CM$2:$CM$160","Item comum","'DADOS_CUSTOM'!$CM$2:$CM$160","Ferramenta amaldiçoada","'DADOS_CUSTOM'!$CM$2:$CM$160","'DADOS_CUSTOM'!$CM$2:$CM$160")),$H24)=0),"Opção inválida: "&amp;SWITCH($B24,"Origem","PERÍCIA 4","Marcante","","Menor","","Arma","PROPRIEDADE 1","Escudo","","Uniforme","","Item comum","","Ferramenta amaldiçoada","",""),"")),IF(AND($I24&lt;&gt;"",SWITCH($B24,"Origem","ROTA","Marcante","","Menor","","Arma","PROPRIEDADE 2","Escudo","","Uniforme","","Item comum","","Ferramenta amaldiçoada","","")=""),"Apague campo que este tipo não usa",IF(AND($I24&lt;&gt;"",COUNTIF(INDIRECT(SWITCH($B24,"Origem","'DADOS_CUSTOM'!$CB$2:$CB$160","Marcante","'DADOS_CUSTOM'!$CM$2:$CM$160","Menor","'DADOS_CUSTOM'!$CM$2:$CM$160","Arma","'DADOS_CUSTOM'!$CI$2:$CI$160","Escudo","'DADOS_CUSTOM'!$CM$2:$CM$160","Uniforme","'DADOS_CUSTOM'!$CM$2:$CM$160","Item comum","'DADOS_CUSTOM'!$CM$2:$CM$160","Ferramenta amaldiçoada","'DADOS_CUSTOM'!$CM$2:$CM$160","'DADOS_CUSTOM'!$CM$2:$CM$160")),$I24)=0),"Opção inválida: "&amp;SWITCH($B24,"Origem","ROTA","Marcante","","Menor","","Arma","PROPRIEDADE 2","Escudo","","Uniforme","","Item comum","","Ferramenta amaldiçoada","",""),""))))</f>
        <v/>
      </c>
      <c r="JZ24" s="175">
        <f>IF(AND($B24="",$C24="",LEN(TEXTJOIN("",TRUE,E24:R24))=0),"",TEXTJOIN(" · ",TRUE,IF(AND($J24&lt;&gt;"",SWITCH($B24,"Origem","BASE DO LIVRO","Marcante","","Menor","","Arma","PROPRIEDADE 3","Escudo","","Uniforme","","Item comum","","Ferramenta amaldiçoada","","")=""),"Apague campo que este tipo não usa",IF(AND($J24&lt;&gt;"",COUNTIF(INDIRECT(SWITCH($B24,"Origem","'DADOS_CUSTOM'!$CD$2:$CD$160","Marcante","'DADOS_CUSTOM'!$CM$2:$CM$160","Menor","'DADOS_CUSTOM'!$CM$2:$CM$160","Arma","'DADOS_CUSTOM'!$CI$2:$CI$160","Escudo","'DADOS_CUSTOM'!$CM$2:$CM$160","Uniforme","'DADOS_CUSTOM'!$CM$2:$CM$160","Item comum","'DADOS_CUSTOM'!$CM$2:$CM$160","Ferramenta amaldiçoada","'DADOS_CUSTOM'!$CM$2:$CM$160","'DADOS_CUSTOM'!$CM$2:$CM$160")),$J24)=0),"Opção inválida: "&amp;SWITCH($B24,"Origem","BASE DO LIVRO","Marcante","","Menor","","Arma","PROPRIEDADE 3","Escudo","","Uniforme","","Item comum","","Ferramenta amaldiçoada","",""),"")),IF(AND($K24&lt;&gt;"",SWITCH($B24,"Origem","OFÍCIO","Marcante","","Menor","","Arma","PROPRIEDADE 4","Escudo","","Uniforme","","Item comum","","Ferramenta amaldiçoada","","")=""),"Apague campo que este tipo não usa",IF(AND($K24&lt;&gt;"",COUNTIF(INDIRECT(SWITCH($B24,"Origem","'DADOS_PROGRESSAO'!$AJ$2:$AJ$23","Marcante","'DADOS_CUSTOM'!$CM$2:$CM$160","Menor","'DADOS_CUSTOM'!$CM$2:$CM$160","Arma","'DADOS_CUSTOM'!$CI$2:$CI$160","Escudo","'DADOS_CUSTOM'!$CM$2:$CM$160","Uniforme","'DADOS_CUSTOM'!$CM$2:$CM$160","Item comum","'DADOS_CUSTOM'!$CM$2:$CM$160","Ferramenta amaldiçoada","'DADOS_CUSTOM'!$CM$2:$CM$160","'DADOS_CUSTOM'!$CM$2:$CM$160")),$K24)=0),"Opção inválida: "&amp;SWITCH($B24,"Origem","OFÍCIO","Marcante","","Menor","","Arma","PROPRIEDADE 4","Escudo","","Uniforme","","Item comum","","Ferramenta amaldiçoada","",""),"")),IF(AND($L24&lt;&gt;"",SWITCH($B24,"Origem","TALENTO CE 4","Marcante","FREQUÊNCIA","Menor","FREQUÊNCIA","Arma","DADO","Escudo","PROTEÇÃO","Uniforme","PROTEÇÃO","Item comum","VOLUME","Ferramenta amaldiçoada","ESTIGMA","")=""),"Apague campo que este tipo não usa",IF(AND(OR($B24="Escudo",$B24="Uniforme",$B24="Item comum"),$L24&lt;&gt;"",NOT(ISNUMBER($L24)),NOT(AND($L24="—",FALSE))),"Informe número: "&amp;SWITCH($B24,"Origem","TALENTO CE 4","Marcante","FREQUÊNCIA","Menor","FREQUÊNCIA","Arma","DADO","Escudo","PROTEÇÃO","Uniforme","PROTEÇÃO","Item comum","VOLUME","Ferramenta amaldiçoada","ESTIGMA",""),"")),IF(AND($M24&lt;&gt;"",SWITCH($B24,"Origem","","Marcante","","Menor","","Arma","FORÇA","Escudo","TETO DE DESTREZA","Uniforme","TETO DE DESTREZA","Item comum","PREÇO","Ferramenta amaldiçoada","DESGASTE","")=""),"Apague campo que este tipo não usa",IF(AND(OR($B24="Arma",$B24="Escudo",$B24="Uniforme",$B24="Item comum",$B24="Ferramenta amaldiçoada"),$M24&lt;&gt;"",NOT(ISNUMBER($M24)),NOT(AND($M24="—",OR($B24="Arma",$B24="Escudo",$B24="Uniforme",$B24="Ferramenta amaldiçoada")))),"Informe número: "&amp;SWITCH($B24,"Origem","","Marcante","","Menor","","Arma","FORÇA","Escudo","TETO DE DESTREZA","Uniforme","TETO DE DESTREZA","Item comum","PREÇO","Ferramenta amaldiçoada","DESGASTE",""),"")),IF(AND($N24&lt;&gt;"",SWITCH($B24,"Origem","","Marcante","","Menor","","Arma","VOLUME","Escudo","FORÇA","Uniforme","FORÇA","Item comum","","Ferramenta amaldiçoada","VOLUME","")=""),"Apague campo que este tipo não usa",IF(AND(OR($B24="Arma",$B24="Escudo",$B24="Uniforme",$B24="Ferramenta amaldiçoada"),$N24&lt;&gt;"",NOT(ISNUMBER($N24)),NOT(AND($N24="—",OR($B24="Escudo",$B24="Uniforme")))),"Informe número: "&amp;SWITCH($B24,"Origem","","Marcante","","Menor","","Arma","VOLUME","Escudo","FORÇA","Uniforme","FORÇA","Item comum","","Ferramenta amaldiçoada","VOLUME",""),"")),IF(AND($O24&lt;&gt;"",SWITCH($B24,"Origem","","Marcante","","Menor","","Arma","ALCANCE","Escudo","VOLUME","Uniforme","VOLUME","Item comum","","Ferramenta amaldiçoada","PREÇO","")=""),"Apague campo que este tipo não usa",IF(AND(OR($B24="Escudo",$B24="Uniforme",$B24="Ferramenta amaldiçoada"),$O24&lt;&gt;"",NOT(ISNUMBER($O24)),NOT(AND($O24="—",FALSE))),"Informe número: "&amp;SWITCH($B24,"Origem","","Marcante","","Menor","","Arma","ALCANCE","Escudo","VOLUME","Uniforme","VOLUME","Item comum","","Ferramenta amaldiçoada","PREÇO",""),"")),IF(AND($P24&lt;&gt;"",SWITCH($B24,"Origem","","Marcante","","Menor","","Arma","RECARGA","Escudo","PREÇO","Uniforme","PREÇO","Item comum","","Ferramenta amaldiçoada","","")=""),"Apague campo que este tipo não usa",IF(AND(OR($B24="Arma",$B24="Escudo",$B24="Uniforme"),$P24&lt;&gt;"",NOT(ISNUMBER($P24)),NOT(AND($P24="—",OR($B24="Arma")))),"Informe número: "&amp;SWITCH($B24,"Origem","","Marcante","","Menor","","Arma","RECARGA","Escudo","PREÇO","Uniforme","PREÇO","Item comum","","Ferramenta amaldiçoada","",""),"")),IF(AND($Q24&lt;&gt;"",SWITCH($B24,"Origem","","Marcante","","Menor","","Arma","PREÇO","Escudo","","Uniforme","","Item comum","","Ferramenta amaldiçoada","","")=""),"Apague campo que este tipo não usa",IF(AND(OR($B24="Arma"),$Q24&lt;&gt;"",NOT(ISNUMBER($Q24)),NOT(AND($Q24="—",FALSE))),"Informe número: "&amp;SWITCH($B24,"Origem","","Marcante","","Menor","","Arma","PREÇO","Escudo","","Uniforme","","Item comum","","Ferramenta amaldiçoada","",""),""))))</f>
        <v/>
      </c>
      <c r="KA24" s="175">
        <f>IF(AND($B24="",$C24="",LEN(TEXTJOIN("",TRUE,E24:R24))=0),"",TEXTJOIN(" · ",TRUE,IF(AND($B24="Origem",OR($E24="",$F24="",$G24="",$H24="",$I24="")),"Preencha os campos obrigatórios de Origem",""),IF(AND($B24="Marcante",OR($E24="")),"Preencha os campos obrigatórios de Marcante",""),IF(AND($B24="Menor",OR($E24="")),"Preencha os campos obrigatórios de Menor",""),IF(AND($B24="Arma",OR($E24="",$F24="",$G24="",$L24="",$M24="",$N24="")),"Preencha os campos obrigatórios de Arma",""),IF(AND($B24="Escudo",OR($L24="",$M24="",$N24="",$O24="")),"Preencha os campos obrigatórios de Escudo",""),IF(AND($B24="Uniforme",OR($E24="",$L24="",$M24="",$N24="",$O24="")),"Preencha os campos obrigatórios de Uniforme",""),IF(AND($B24="Item comum",OR($L24="")),"Preencha os campos obrigatórios de Item comum",""),IF(AND($B24="Ferramenta amaldiçoada",OR($E24="",$F24="")),"Preencha os campos obrigatórios de Ferramenta amaldiçoada",""),IF(AND($B24="Origem",COUNTA(E24:H24)=4,NOT(AND(E24&lt;&gt;F24,E24&lt;&gt;G24,E24&lt;&gt;H24,F24&lt;&gt;G24,F24&lt;&gt;H24,G24&lt;&gt;H24))),"Escolha quatro perícias diferentes",""),IF(AND($B24="Origem",J24="Latente",NOT(OR(I24="Fundamento",I24="Manejos"))),"ROTA não combina com BASE DO LIVRO",""),IF(AND($B24="Origem",J24="Receptáculo",NOT(OR(I24="Fundamento",I24="Manejos"))),"ROTA não combina com BASE DO LIVRO",""),IF(AND($B24="Origem",J24="Descendente",NOT(OR(I24="Fundamento",I24="Manejos"))),"ROTA não combina com BASE DO LIVRO",""),IF(AND($B24="Origem",J24="Encarnado",NOT(OR(I24="Fundamento",I24="Manejos"))),"ROTA não combina com BASE DO LIVRO",""),IF(AND($B24="Origem",J24="Híbrido",NOT(OR(I24="Fundamento",I24="Manejos"))),"ROTA não combina com BASE DO LIVRO",""),IF(AND($B24="Origem",J24="Corpo Amaldiçoado",NOT(OR(I24="Técnica Marcial com energia"))),"ROTA não combina com BASE DO LIVRO",""),IF(AND($B24="Origem",J24="Restrição Celestial · Sem Energia",NOT(OR(I24="Técnica Marcial sem energia"))),"ROTA não combina com BASE DO LIVRO",""),IF(AND($B24="Origem",J24="Restrição Celestial · Restrição corporal",NOT(OR(I24="Fundamento"))),"ROTA não combina com BASE DO LIVRO","")))</f>
        <v/>
      </c>
    </row>
    <row r="25">
      <c r="A25" s="175" t="n">
        <v>24</v>
      </c>
      <c r="B25" s="175">
        <f>IF(ISBLANK('CONFIGURAÇÃO'!$AB$333),"",'CONFIGURAÇÃO'!$AB$333)</f>
        <v/>
      </c>
      <c r="C25" s="175">
        <f>IF(ISBLANK('CONFIGURAÇÃO'!$AB$335),"",'CONFIGURAÇÃO'!$AB$335)</f>
        <v/>
      </c>
      <c r="D25" s="175">
        <f>IF(ISBLANK('CONFIGURAÇÃO'!$AF$333),"",'CONFIGURAÇÃO'!$AF$333)</f>
        <v/>
      </c>
      <c r="E25" s="175">
        <f>IF(ISBLANK('CONFIGURAÇÃO'!$AD$336),"",'CONFIGURAÇÃO'!$AD$336)</f>
        <v/>
      </c>
      <c r="F25" s="175">
        <f>IF(ISBLANK('CONFIGURAÇÃO'!$AD$337),"",'CONFIGURAÇÃO'!$AD$337)</f>
        <v/>
      </c>
      <c r="G25" s="175">
        <f>IF(ISBLANK('CONFIGURAÇÃO'!$AD$338),"",'CONFIGURAÇÃO'!$AD$338)</f>
        <v/>
      </c>
      <c r="H25" s="175">
        <f>IF(ISBLANK('CONFIGURAÇÃO'!$AD$339),"",'CONFIGURAÇÃO'!$AD$339)</f>
        <v/>
      </c>
      <c r="I25" s="175">
        <f>IF(ISBLANK('CONFIGURAÇÃO'!$AD$340),"",'CONFIGURAÇÃO'!$AD$340)</f>
        <v/>
      </c>
      <c r="J25" s="175">
        <f>IF(ISBLANK('CONFIGURAÇÃO'!$AD$341),"",'CONFIGURAÇÃO'!$AD$341)</f>
        <v/>
      </c>
      <c r="K25" s="175">
        <f>IF(ISBLANK('CONFIGURAÇÃO'!$AD$342),"",'CONFIGURAÇÃO'!$AD$342)</f>
        <v/>
      </c>
      <c r="L25" s="175">
        <f>IF(ISBLANK('CONFIGURAÇÃO'!$AD$343),"",'CONFIGURAÇÃO'!$AD$343)</f>
        <v/>
      </c>
      <c r="M25" s="175">
        <f>IF(ISBLANK('CONFIGURAÇÃO'!$AD$344),"",'CONFIGURAÇÃO'!$AD$344)</f>
        <v/>
      </c>
      <c r="N25" s="175">
        <f>IF(ISBLANK('CONFIGURAÇÃO'!$AD$345),"",'CONFIGURAÇÃO'!$AD$345)</f>
        <v/>
      </c>
      <c r="O25" s="175">
        <f>IF(ISBLANK('CONFIGURAÇÃO'!$AD$346),"",'CONFIGURAÇÃO'!$AD$346)</f>
        <v/>
      </c>
      <c r="P25" s="175">
        <f>IF(ISBLANK('CONFIGURAÇÃO'!$AD$347),"",'CONFIGURAÇÃO'!$AD$347)</f>
        <v/>
      </c>
      <c r="Q25" s="175">
        <f>IF(ISBLANK('CONFIGURAÇÃO'!$AD$348),"",'CONFIGURAÇÃO'!$AD$348)</f>
        <v/>
      </c>
      <c r="R25" s="175">
        <f>IF(ISBLANK('CONFIGURAÇÃO'!$AB$350),"",'CONFIGURAÇÃO'!$AB$350)</f>
        <v/>
      </c>
      <c r="S25" s="175">
        <f>TEXTJOIN(" · ",TRUE,U25,V25,W25,X25)</f>
        <v/>
      </c>
      <c r="T25" s="175">
        <f>AND(B25&lt;&gt;"",C25&lt;&gt;"",S25="")</f>
        <v/>
      </c>
      <c r="U25" s="175">
        <f>TEXTJOIN(" · ",TRUE,JY25:KA25)</f>
        <v/>
      </c>
      <c r="V25" s="175">
        <f>IF(AND(OR($B25="Marcante",$B25="Menor"),NOT(OR(COUNTIF('DADOS_CUSTOM'!$CD$2:$CD$160,E25)&gt;0,COUNTIFS('DADOS_CUSTOM'!$C$2:$C$26,E25,'DADOS_CUSTOM'!$B$2:$B$26,"Origem",'DADOS_CUSTOM'!$U$2:$U$26,"")=1))),"Origem vinculada não existe ou tem erro",IF(AND($B25="Marcante",NOT(OR(E25="Restrição Celestial · Restrição corporal",AND(COUNTIFS('DADOS_CUSTOM'!$C$2:$C$26,E25,'DADOS_CUSTOM'!$B$2:$B$26,"Origem",'DADOS_CUSTOM'!$U$2:$U$26,"")=1,OR(IFERROR(INDEX('DADOS_CUSTOM'!$J$2:$J$26,MATCH(E25,'DADOS_CUSTOM'!$C$2:$C$26,0)),E25)="",IFERROR(INDEX('DADOS_CUSTOM'!$J$2:$J$26,MATCH(E25,'DADOS_CUSTOM'!$C$2:$C$26,0)),E25)="Nenhuma",IFERROR(INDEX('DADOS_CUSTOM'!$J$2:$J$26,MATCH(E25,'DADOS_CUSTOM'!$C$2:$C$26,0)),E25)="Restrição Celestial · Restrição corporal"))))),"Marcante própria só para Restrição corporal ou Origem do zero; use a marcante publicada da base",""))</f>
        <v/>
      </c>
      <c r="W25" s="175">
        <f>IF(AND($B25="Menor",F25&lt;&gt;"",F25&lt;&gt;"—",NOT(OR(AND(F25="Tentativa e Erro",OR(E25="Latente",IFERROR(INDEX('DADOS_CUSTOM'!$J$2:$J$26,MATCH(E25,'DADOS_CUSTOM'!$C$2:$C$26,0)),E25)="Latente")),AND(F25="Coexistência",OR(E25="Receptáculo",IFERROR(INDEX('DADOS_CUSTOM'!$J$2:$J$26,MATCH(E25,'DADOS_CUSTOM'!$C$2:$C$26,0)),E25)="Receptáculo")),AND(F25="Conflito",OR(E25="Receptáculo",IFERROR(INDEX('DADOS_CUSTOM'!$J$2:$J$26,MATCH(E25,'DADOS_CUSTOM'!$C$2:$C$26,0)),E25)="Receptáculo")),AND(F25="Zenin",OR(E25="Descendente",IFERROR(INDEX('DADOS_CUSTOM'!$J$2:$J$26,MATCH(E25,'DADOS_CUSTOM'!$C$2:$C$26,0)),E25)="Descendente")),AND(F25="Kamo",OR(E25="Descendente",IFERROR(INDEX('DADOS_CUSTOM'!$J$2:$J$26,MATCH(E25,'DADOS_CUSTOM'!$C$2:$C$26,0)),E25)="Descendente")),AND(F25="Gojo",OR(E25="Descendente",IFERROR(INDEX('DADOS_CUSTOM'!$J$2:$J$26,MATCH(E25,'DADOS_CUSTOM'!$C$2:$C$26,0)),E25)="Descendente")),AND(F25="Inumaki",OR(E25="Descendente",IFERROR(INDEX('DADOS_CUSTOM'!$J$2:$J$26,MATCH(E25,'DADOS_CUSTOM'!$C$2:$C$26,0)),E25)="Descendente")),AND(F25="Duas Vidas",OR(E25="Encarnado",IFERROR(INDEX('DADOS_CUSTOM'!$J$2:$J$26,MATCH(E25,'DADOS_CUSTOM'!$C$2:$C$26,0)),E25)="Encarnado")),AND(F25="Regeneração Orgânica",OR(E25="Híbrido",IFERROR(INDEX('DADOS_CUSTOM'!$J$2:$J$26,MATCH(E25,'DADOS_CUSTOM'!$C$2:$C$26,0)),E25)="Híbrido")),AND(F25="Existência Artificial",OR(E25="Corpo Amaldiçoado",IFERROR(INDEX('DADOS_CUSTOM'!$J$2:$J$26,MATCH(E25,'DADOS_CUSTOM'!$C$2:$C$26,0)),E25)="Corpo Amaldiçoado")),AND(F25="Ataque sem Prenúncio",OR(E25="Restrição Celestial · Sem Energia",IFERROR(INDEX('DADOS_CUSTOM'!$J$2:$J$26,MATCH(E25,'DADOS_CUSTOM'!$C$2:$C$26,0)),E25)="Restrição Celestial · Sem Energia")),AND(F25="Corpo Debilitado",OR(E25="Restrição Celestial · Restrição corporal",IFERROR(INDEX('DADOS_CUSTOM'!$J$2:$J$26,MATCH(E25,'DADOS_CUSTOM'!$C$2:$C$26,0)),E25)="Restrição Celestial · Restrição corporal")),AND(F25="Corpo Quebradiço",OR(E25="Restrição Celestial · Restrição corporal",IFERROR(INDEX('DADOS_CUSTOM'!$J$2:$J$26,MATCH(E25,'DADOS_CUSTOM'!$C$2:$C$26,0)),E25)="Restrição Celestial · Restrição corporal")),AND(F25="Corpo Exaurido",OR(E25="Restrição Celestial · Restrição corporal",IFERROR(INDEX('DADOS_CUSTOM'!$J$2:$J$26,MATCH(E25,'DADOS_CUSTOM'!$C$2:$C$26,0)),E25)="Restrição Celestial · Restrição corporal")),COUNTIFS('DADOS_CUSTOM'!$C$2:$C$26,F25,'DADOS_CUSTOM'!$B$2:$B$26,"Marcante",'DADOS_CUSTOM'!$E$2:$E$26,E25,'DADOS_CUSTOM'!$U$2:$U$26,"",'DADOS_CUSTOM'!$V$2:$V$26,"")=1))),"Marcante exigida não pertence à Origem ou tem erro","")</f>
        <v/>
      </c>
      <c r="X25" s="175">
        <f>IF(AND($B25="Ferramenta amaldiçoada",NOT(OR(COUNTIF('DADOS_CUSTOM'!$CK$2:$CK$75,E25)&gt;0,OR(COUNTIFS('DADOS_CUSTOM'!$C$2:$C$26,E25,'DADOS_CUSTOM'!$B$2:$B$26,"Arma",'DADOS_CUSTOM'!$U$2:$U$26,"")=1,COUNTIFS('DADOS_CUSTOM'!$C$2:$C$26,E25,'DADOS_CUSTOM'!$B$2:$B$26,"Escudo",'DADOS_CUSTOM'!$U$2:$U$26,"")=1,COUNTIFS('DADOS_CUSTOM'!$C$2:$C$26,E25,'DADOS_CUSTOM'!$B$2:$B$26,"Uniforme",'DADOS_CUSTOM'!$U$2:$U$26,"")=1,COUNTIFS('DADOS_CUSTOM'!$C$2:$C$26,E25,'DADOS_CUSTOM'!$B$2:$B$26,"Item comum",'DADOS_CUSTOM'!$U$2:$U$26,"")=1)))),"Base da ferramenta não existe ou tem erro","")</f>
        <v/>
      </c>
      <c r="AA25" s="175" t="inlineStr">
        <is>
          <t>Maça</t>
        </is>
      </c>
      <c r="AB25" s="175" t="inlineStr">
        <is>
          <t>Massa</t>
        </is>
      </c>
      <c r="AC25" s="175" t="n">
        <v>1</v>
      </c>
      <c r="AD25" s="175" t="inlineStr">
        <is>
          <t>1d8</t>
        </is>
      </c>
      <c r="AE25" s="175" t="inlineStr">
        <is>
          <t>Talha</t>
        </is>
      </c>
      <c r="AF25" s="175" t="inlineStr">
        <is>
          <t>—</t>
        </is>
      </c>
      <c r="AG25" s="175" t="n">
        <v>1</v>
      </c>
      <c r="AJ25" s="175">
        <f>'FICHA PESSOAL'!$AM$75</f>
        <v/>
      </c>
      <c r="AK25" s="175">
        <f>ADDRESS(ROW('FICHA PESSOAL'!AM75),COLUMN('FICHA PESSOAL'!AM75),4)</f>
        <v/>
      </c>
      <c r="AM25" s="175">
        <f>IF(AND(OR($B19="Uniforme"),$C19&lt;&gt;"",$U19=""),$C19,"")</f>
        <v/>
      </c>
      <c r="AN25" s="175">
        <f>IF(AND(OR($B19="Uniforme"),$C19&lt;&gt;"",$U19=""),$L19,"")</f>
        <v/>
      </c>
      <c r="AO25" s="175">
        <f>IF(AND(OR($B19="Uniforme"),$C19&lt;&gt;"",$U19=""),$M19,"")</f>
        <v/>
      </c>
      <c r="AP25" s="175">
        <f>IF(AND(OR($B19="Uniforme"),$C19&lt;&gt;"",$U19=""),$N19,"")</f>
        <v/>
      </c>
      <c r="AQ25" s="175">
        <f>IF(AND(OR($B19="Uniforme"),$C19&lt;&gt;"",$U19=""),$O19,"")</f>
        <v/>
      </c>
      <c r="AR25" s="175">
        <f>IF(AND(OR($B19="Uniforme"),$C19&lt;&gt;"",$U19=""),IFERROR(VLOOKUP($E19,DADOS!$CF$5:$CH$9,3,FALSE),1),"")</f>
        <v/>
      </c>
      <c r="AS25" s="175">
        <f>IF(AND(OR($B19="Uniforme"),$C19&lt;&gt;"",$U19=""),$E19,"")</f>
        <v/>
      </c>
      <c r="AU25" s="175">
        <f>IF(AND(OR($B12="Item comum"),$C12&lt;&gt;"",$U12=""),$C12,"")</f>
        <v/>
      </c>
      <c r="AV25" s="175">
        <f>IF(AND(OR($B12="Item comum"),$C12&lt;&gt;"",$U12=""),$L12,"")</f>
        <v/>
      </c>
      <c r="AW25" s="175">
        <f>IF(AND(OR($B12="Item comum"),$C12&lt;&gt;"",$U12=""),$M12,"")</f>
        <v/>
      </c>
      <c r="AX25" s="175">
        <f>IF(AND(OR($B12="Item comum"),$C12&lt;&gt;"",$U12=""),$R12,"")</f>
        <v/>
      </c>
      <c r="AZ25" s="175" t="inlineStr">
        <is>
          <t>Traço Incorporado</t>
        </is>
      </c>
      <c r="BA25" s="175" t="inlineStr">
        <is>
          <t>Receptáculo</t>
        </is>
      </c>
      <c r="BB25" s="175" t="inlineStr">
        <is>
          <t>menor</t>
        </is>
      </c>
      <c r="BC25" s="175" t="inlineStr"/>
      <c r="BD25" s="175" t="inlineStr">
        <is>
          <t>Passiva</t>
        </is>
      </c>
      <c r="BE25" s="175" t="inlineStr">
        <is>
          <t>Receba um Talento passivo de Categoria de Efeito 1, fixo e compatível com sua ficha. Cumpra seus requisitos e limites. Ele fica fora dos espaços conhecidos e dos cinco Talentos pagos, como Manifestação Instintiva, sem duplicação ou evolução gratuita. Não concede uma Aptidão ou outra Regra.</t>
        </is>
      </c>
      <c r="BG25" s="175">
        <f>IF(AND(OR($B17="Origem"),$C17&lt;&gt;"",$T17=TRUE),$C17,"")</f>
        <v/>
      </c>
      <c r="BH25" s="175">
        <f>IF(AND(OR($B17="Origem"),$C17&lt;&gt;"",$T17=TRUE),TEXTJOIN(" · ",TRUE,$E17:$H17),"")</f>
        <v/>
      </c>
      <c r="BI25" s="175">
        <f>IF(AND(OR($B17="Origem"),$C17&lt;&gt;"",$T17=TRUE),$I17,"")</f>
        <v/>
      </c>
      <c r="BM25" s="175" t="inlineStr">
        <is>
          <t>Foice</t>
        </is>
      </c>
      <c r="BN25" s="175" t="inlineStr">
        <is>
          <t>Arma</t>
        </is>
      </c>
      <c r="BO25" s="175" t="n">
        <v>0</v>
      </c>
      <c r="BP25" s="175" t="inlineStr">
        <is>
          <t>—</t>
        </is>
      </c>
      <c r="BQ25" s="175" t="n">
        <v>3</v>
      </c>
      <c r="BR25" s="175" t="n">
        <v>2</v>
      </c>
      <c r="BS25" s="175" t="inlineStr">
        <is>
          <t>—</t>
        </is>
      </c>
      <c r="BT25" s="175" t="inlineStr"/>
      <c r="BU25" s="175" t="inlineStr"/>
      <c r="BV25" s="175" t="inlineStr">
        <is>
          <t>Certeza Momentânea</t>
        </is>
      </c>
      <c r="BW25" s="175">
        <f>IF(AND($B24="Origem",OR($J24="",$J24="Nenhuma",$J24="Restrição Celestial · Restrição corporal")),$C24,"")</f>
        <v/>
      </c>
      <c r="CC25" s="175">
        <f>IF(OR('CONFIGURAÇÃO'!$AB$217="Origem"),'CONFIGURAÇÃO'!$AB$219,"")</f>
        <v/>
      </c>
      <c r="CH25">
        <f>IF('DADOS_DANOS'!$J$25="","",'DADOS_DANOS'!$J$25)</f>
        <v/>
      </c>
      <c r="CK25" s="175" t="inlineStr">
        <is>
          <t>Machado</t>
        </is>
      </c>
      <c r="CL25" s="175">
        <f>IF(OR('CONFIGURAÇÃO'!$T$130="Marcante"),'CONFIGURAÇÃO'!$T$132,"")</f>
        <v/>
      </c>
      <c r="CS25" s="175">
        <f>IF(AND($B12="Origem",$T12=TRUE),$C12,"")</f>
        <v/>
      </c>
      <c r="JY25" s="175">
        <f>IF(AND($B25="",$C25="",LEN(TEXTJOIN("",TRUE,E25:R25))=0),"",TEXTJOIN(" · ",TRUE,IF(COUNTIF('DADOS_CUSTOM'!$BZ$2:$BZ$160,$B25)=0,"Escolha um tipo válido",""),IF(LEN(TRIM($C25))=0,"Preencha NOME",""),IF(OR(COUNTIF('DADOS_CUSTOM'!$C$2:$C$26,$C25)&gt;1,COUNTIF('DADOS_CUSTOM'!$BV$2:$BV$171,$C25)&gt;0),"Nome repetido no livro ou custom",""),IF(AND($E25&lt;&gt;"",SWITCH($B25,"Origem","PERÍCIA 1","Marcante","ORIGEM","Menor","ORIGEM","Arma","CATEGORIA","Escudo","","Uniforme","GRAU MÍNIMO","Item comum","","Ferramenta amaldiçoada","BASE","")=""),"Apague campo que este tipo não usa",IF(AND($E25&lt;&gt;"",COUNTIF(INDIRECT(SWITCH($B25,"Origem","'DADOS_PROGRESSAO'!$AG$2:$AG$34","Marcante","'DADOS_CUSTOM'!$BW$2:$BW$160","Menor","'DADOS_CUSTOM'!$CC$2:$CC$160","Arma","'DADOS_CUSTOM'!$CF$2:$CF$160","Escudo","'DADOS_CUSTOM'!$CM$2:$CM$160","Uniforme","'DADOS_CUSTOM'!$CJ$2:$CJ$160","Item comum","'DADOS_CUSTOM'!$CM$2:$CM$160","Ferramenta amaldiçoada","'DADOS_CUSTOM'!$CK$2:$CK$160","'DADOS_CUSTOM'!$CM$2:$CM$160")),$E25)=0),"Opção inválida: "&amp;SWITCH($B25,"Origem","PERÍCIA 1","Marcante","ORIGEM","Menor","ORIGEM","Arma","CATEGORIA","Escudo","","Uniforme","GRAU MÍNIMO","Item comum","","Ferramenta amaldiçoada","BASE",""),"")),IF(AND($F25&lt;&gt;"",SWITCH($B25,"Origem","PERÍCIA 2","Marcante","","Menor","EXIGE MARCANTE","Arma","MÃO","Escudo","","Uniforme","","Item comum","","Ferramenta amaldiçoada","GRAU","")=""),"Apague campo que este tipo não usa",IF(AND($F25&lt;&gt;"",COUNTIF(INDIRECT(SWITCH($B25,"Origem","'DADOS_PROGRESSAO'!$AG$2:$AG$34","Marcante","'DADOS_CUSTOM'!$CM$2:$CM$160","Menor","'DADOS_CUSTOM'!$CL$2:$CL$160","Arma","'DADOS_CUSTOM'!$CG$2:$CG$160","Escudo","'DADOS_CUSTOM'!$CM$2:$CM$160","Uniforme","'DADOS_CUSTOM'!$CM$2:$CM$160","Item comum","'DADOS_CUSTOM'!$CM$2:$CM$160","Ferramenta amaldiçoada","'DADOS_CUSTOM'!$CJ$2:$CJ$160","'DADOS_CUSTOM'!$CM$2:$CM$160")),$F25)=0),"Opção inválida: "&amp;SWITCH($B25,"Origem","PERÍCIA 2","Marcante","","Menor","EXIGE MARCANTE","Arma","MÃO","Escudo","","Uniforme","","Item comum","","Ferramenta amaldiçoada","GRAU",""),"")),IF(AND($G25&lt;&gt;"",SWITCH($B25,"Origem","PERÍCIA 3","Marcante","","Menor","","Arma","TIPO DE DANO","Escudo","","Uniforme","","Item comum","","Ferramenta amaldiçoada","","")=""),"Apague campo que este tipo não usa",IF(AND($G25&lt;&gt;"",COUNTIF(INDIRECT(SWITCH($B25,"Origem","'DADOS_PROGRESSAO'!$AG$2:$AG$34","Marcante","'DADOS_CUSTOM'!$CM$2:$CM$160","Menor","'DADOS_CUSTOM'!$CM$2:$CM$160","Arma","'DADOS_CUSTOM'!$CH$2:$CH$160","Escudo","'DADOS_CUSTOM'!$CM$2:$CM$160","Uniforme","'DADOS_CUSTOM'!$CM$2:$CM$160","Item comum","'DADOS_CUSTOM'!$CM$2:$CM$160","Ferramenta amaldiçoada","'DADOS_CUSTOM'!$CM$2:$CM$160","'DADOS_CUSTOM'!$CM$2:$CM$160")),$G25)=0),"Opção inválida: "&amp;SWITCH($B25,"Origem","PERÍCIA 3","Marcante","","Menor","","Arma","TIPO DE DANO","Escudo","","Uniforme","","Item comum","","Ferramenta amaldiçoada","",""),"")),IF(AND($H25&lt;&gt;"",SWITCH($B25,"Origem","PERÍCIA 4","Marcante","","Menor","","Arma","PROPRIEDADE 1","Escudo","","Uniforme","","Item comum","","Ferramenta amaldiçoada","","")=""),"Apague campo que este tipo não usa",IF(AND($H25&lt;&gt;"",COUNTIF(INDIRECT(SWITCH($B25,"Origem","'DADOS_PROGRESSAO'!$AG$2:$AG$34","Marcante","'DADOS_CUSTOM'!$CM$2:$CM$160","Menor","'DADOS_CUSTOM'!$CM$2:$CM$160","Arma","'DADOS_CUSTOM'!$CI$2:$CI$160","Escudo","'DADOS_CUSTOM'!$CM$2:$CM$160","Uniforme","'DADOS_CUSTOM'!$CM$2:$CM$160","Item comum","'DADOS_CUSTOM'!$CM$2:$CM$160","Ferramenta amaldiçoada","'DADOS_CUSTOM'!$CM$2:$CM$160","'DADOS_CUSTOM'!$CM$2:$CM$160")),$H25)=0),"Opção inválida: "&amp;SWITCH($B25,"Origem","PERÍCIA 4","Marcante","","Menor","","Arma","PROPRIEDADE 1","Escudo","","Uniforme","","Item comum","","Ferramenta amaldiçoada","",""),"")),IF(AND($I25&lt;&gt;"",SWITCH($B25,"Origem","ROTA","Marcante","","Menor","","Arma","PROPRIEDADE 2","Escudo","","Uniforme","","Item comum","","Ferramenta amaldiçoada","","")=""),"Apague campo que este tipo não usa",IF(AND($I25&lt;&gt;"",COUNTIF(INDIRECT(SWITCH($B25,"Origem","'DADOS_CUSTOM'!$CB$2:$CB$160","Marcante","'DADOS_CUSTOM'!$CM$2:$CM$160","Menor","'DADOS_CUSTOM'!$CM$2:$CM$160","Arma","'DADOS_CUSTOM'!$CI$2:$CI$160","Escudo","'DADOS_CUSTOM'!$CM$2:$CM$160","Uniforme","'DADOS_CUSTOM'!$CM$2:$CM$160","Item comum","'DADOS_CUSTOM'!$CM$2:$CM$160","Ferramenta amaldiçoada","'DADOS_CUSTOM'!$CM$2:$CM$160","'DADOS_CUSTOM'!$CM$2:$CM$160")),$I25)=0),"Opção inválida: "&amp;SWITCH($B25,"Origem","ROTA","Marcante","","Menor","","Arma","PROPRIEDADE 2","Escudo","","Uniforme","","Item comum","","Ferramenta amaldiçoada","",""),""))))</f>
        <v/>
      </c>
      <c r="JZ25" s="175">
        <f>IF(AND($B25="",$C25="",LEN(TEXTJOIN("",TRUE,E25:R25))=0),"",TEXTJOIN(" · ",TRUE,IF(AND($J25&lt;&gt;"",SWITCH($B25,"Origem","BASE DO LIVRO","Marcante","","Menor","","Arma","PROPRIEDADE 3","Escudo","","Uniforme","","Item comum","","Ferramenta amaldiçoada","","")=""),"Apague campo que este tipo não usa",IF(AND($J25&lt;&gt;"",COUNTIF(INDIRECT(SWITCH($B25,"Origem","'DADOS_CUSTOM'!$CD$2:$CD$160","Marcante","'DADOS_CUSTOM'!$CM$2:$CM$160","Menor","'DADOS_CUSTOM'!$CM$2:$CM$160","Arma","'DADOS_CUSTOM'!$CI$2:$CI$160","Escudo","'DADOS_CUSTOM'!$CM$2:$CM$160","Uniforme","'DADOS_CUSTOM'!$CM$2:$CM$160","Item comum","'DADOS_CUSTOM'!$CM$2:$CM$160","Ferramenta amaldiçoada","'DADOS_CUSTOM'!$CM$2:$CM$160","'DADOS_CUSTOM'!$CM$2:$CM$160")),$J25)=0),"Opção inválida: "&amp;SWITCH($B25,"Origem","BASE DO LIVRO","Marcante","","Menor","","Arma","PROPRIEDADE 3","Escudo","","Uniforme","","Item comum","","Ferramenta amaldiçoada","",""),"")),IF(AND($K25&lt;&gt;"",SWITCH($B25,"Origem","OFÍCIO","Marcante","","Menor","","Arma","PROPRIEDADE 4","Escudo","","Uniforme","","Item comum","","Ferramenta amaldiçoada","","")=""),"Apague campo que este tipo não usa",IF(AND($K25&lt;&gt;"",COUNTIF(INDIRECT(SWITCH($B25,"Origem","'DADOS_PROGRESSAO'!$AJ$2:$AJ$23","Marcante","'DADOS_CUSTOM'!$CM$2:$CM$160","Menor","'DADOS_CUSTOM'!$CM$2:$CM$160","Arma","'DADOS_CUSTOM'!$CI$2:$CI$160","Escudo","'DADOS_CUSTOM'!$CM$2:$CM$160","Uniforme","'DADOS_CUSTOM'!$CM$2:$CM$160","Item comum","'DADOS_CUSTOM'!$CM$2:$CM$160","Ferramenta amaldiçoada","'DADOS_CUSTOM'!$CM$2:$CM$160","'DADOS_CUSTOM'!$CM$2:$CM$160")),$K25)=0),"Opção inválida: "&amp;SWITCH($B25,"Origem","OFÍCIO","Marcante","","Menor","","Arma","PROPRIEDADE 4","Escudo","","Uniforme","","Item comum","","Ferramenta amaldiçoada","",""),"")),IF(AND($L25&lt;&gt;"",SWITCH($B25,"Origem","TALENTO CE 4","Marcante","FREQUÊNCIA","Menor","FREQUÊNCIA","Arma","DADO","Escudo","PROTEÇÃO","Uniforme","PROTEÇÃO","Item comum","VOLUME","Ferramenta amaldiçoada","ESTIGMA","")=""),"Apague campo que este tipo não usa",IF(AND(OR($B25="Escudo",$B25="Uniforme",$B25="Item comum"),$L25&lt;&gt;"",NOT(ISNUMBER($L25)),NOT(AND($L25="—",FALSE))),"Informe número: "&amp;SWITCH($B25,"Origem","TALENTO CE 4","Marcante","FREQUÊNCIA","Menor","FREQUÊNCIA","Arma","DADO","Escudo","PROTEÇÃO","Uniforme","PROTEÇÃO","Item comum","VOLUME","Ferramenta amaldiçoada","ESTIGMA",""),"")),IF(AND($M25&lt;&gt;"",SWITCH($B25,"Origem","","Marcante","","Menor","","Arma","FORÇA","Escudo","TETO DE DESTREZA","Uniforme","TETO DE DESTREZA","Item comum","PREÇO","Ferramenta amaldiçoada","DESGASTE","")=""),"Apague campo que este tipo não usa",IF(AND(OR($B25="Arma",$B25="Escudo",$B25="Uniforme",$B25="Item comum",$B25="Ferramenta amaldiçoada"),$M25&lt;&gt;"",NOT(ISNUMBER($M25)),NOT(AND($M25="—",OR($B25="Arma",$B25="Escudo",$B25="Uniforme",$B25="Ferramenta amaldiçoada")))),"Informe número: "&amp;SWITCH($B25,"Origem","","Marcante","","Menor","","Arma","FORÇA","Escudo","TETO DE DESTREZA","Uniforme","TETO DE DESTREZA","Item comum","PREÇO","Ferramenta amaldiçoada","DESGASTE",""),"")),IF(AND($N25&lt;&gt;"",SWITCH($B25,"Origem","","Marcante","","Menor","","Arma","VOLUME","Escudo","FORÇA","Uniforme","FORÇA","Item comum","","Ferramenta amaldiçoada","VOLUME","")=""),"Apague campo que este tipo não usa",IF(AND(OR($B25="Arma",$B25="Escudo",$B25="Uniforme",$B25="Ferramenta amaldiçoada"),$N25&lt;&gt;"",NOT(ISNUMBER($N25)),NOT(AND($N25="—",OR($B25="Escudo",$B25="Uniforme")))),"Informe número: "&amp;SWITCH($B25,"Origem","","Marcante","","Menor","","Arma","VOLUME","Escudo","FORÇA","Uniforme","FORÇA","Item comum","","Ferramenta amaldiçoada","VOLUME",""),"")),IF(AND($O25&lt;&gt;"",SWITCH($B25,"Origem","","Marcante","","Menor","","Arma","ALCANCE","Escudo","VOLUME","Uniforme","VOLUME","Item comum","","Ferramenta amaldiçoada","PREÇO","")=""),"Apague campo que este tipo não usa",IF(AND(OR($B25="Escudo",$B25="Uniforme",$B25="Ferramenta amaldiçoada"),$O25&lt;&gt;"",NOT(ISNUMBER($O25)),NOT(AND($O25="—",FALSE))),"Informe número: "&amp;SWITCH($B25,"Origem","","Marcante","","Menor","","Arma","ALCANCE","Escudo","VOLUME","Uniforme","VOLUME","Item comum","","Ferramenta amaldiçoada","PREÇO",""),"")),IF(AND($P25&lt;&gt;"",SWITCH($B25,"Origem","","Marcante","","Menor","","Arma","RECARGA","Escudo","PREÇO","Uniforme","PREÇO","Item comum","","Ferramenta amaldiçoada","","")=""),"Apague campo que este tipo não usa",IF(AND(OR($B25="Arma",$B25="Escudo",$B25="Uniforme"),$P25&lt;&gt;"",NOT(ISNUMBER($P25)),NOT(AND($P25="—",OR($B25="Arma")))),"Informe número: "&amp;SWITCH($B25,"Origem","","Marcante","","Menor","","Arma","RECARGA","Escudo","PREÇO","Uniforme","PREÇO","Item comum","","Ferramenta amaldiçoada","",""),"")),IF(AND($Q25&lt;&gt;"",SWITCH($B25,"Origem","","Marcante","","Menor","","Arma","PREÇO","Escudo","","Uniforme","","Item comum","","Ferramenta amaldiçoada","","")=""),"Apague campo que este tipo não usa",IF(AND(OR($B25="Arma"),$Q25&lt;&gt;"",NOT(ISNUMBER($Q25)),NOT(AND($Q25="—",FALSE))),"Informe número: "&amp;SWITCH($B25,"Origem","","Marcante","","Menor","","Arma","PREÇO","Escudo","","Uniforme","","Item comum","","Ferramenta amaldiçoada","",""),""))))</f>
        <v/>
      </c>
      <c r="KA25" s="175">
        <f>IF(AND($B25="",$C25="",LEN(TEXTJOIN("",TRUE,E25:R25))=0),"",TEXTJOIN(" · ",TRUE,IF(AND($B25="Origem",OR($E25="",$F25="",$G25="",$H25="",$I25="")),"Preencha os campos obrigatórios de Origem",""),IF(AND($B25="Marcante",OR($E25="")),"Preencha os campos obrigatórios de Marcante",""),IF(AND($B25="Menor",OR($E25="")),"Preencha os campos obrigatórios de Menor",""),IF(AND($B25="Arma",OR($E25="",$F25="",$G25="",$L25="",$M25="",$N25="")),"Preencha os campos obrigatórios de Arma",""),IF(AND($B25="Escudo",OR($L25="",$M25="",$N25="",$O25="")),"Preencha os campos obrigatórios de Escudo",""),IF(AND($B25="Uniforme",OR($E25="",$L25="",$M25="",$N25="",$O25="")),"Preencha os campos obrigatórios de Uniforme",""),IF(AND($B25="Item comum",OR($L25="")),"Preencha os campos obrigatórios de Item comum",""),IF(AND($B25="Ferramenta amaldiçoada",OR($E25="",$F25="")),"Preencha os campos obrigatórios de Ferramenta amaldiçoada",""),IF(AND($B25="Origem",COUNTA(E25:H25)=4,NOT(AND(E25&lt;&gt;F25,E25&lt;&gt;G25,E25&lt;&gt;H25,F25&lt;&gt;G25,F25&lt;&gt;H25,G25&lt;&gt;H25))),"Escolha quatro perícias diferentes",""),IF(AND($B25="Origem",J25="Latente",NOT(OR(I25="Fundamento",I25="Manejos"))),"ROTA não combina com BASE DO LIVRO",""),IF(AND($B25="Origem",J25="Receptáculo",NOT(OR(I25="Fundamento",I25="Manejos"))),"ROTA não combina com BASE DO LIVRO",""),IF(AND($B25="Origem",J25="Descendente",NOT(OR(I25="Fundamento",I25="Manejos"))),"ROTA não combina com BASE DO LIVRO",""),IF(AND($B25="Origem",J25="Encarnado",NOT(OR(I25="Fundamento",I25="Manejos"))),"ROTA não combina com BASE DO LIVRO",""),IF(AND($B25="Origem",J25="Híbrido",NOT(OR(I25="Fundamento",I25="Manejos"))),"ROTA não combina com BASE DO LIVRO",""),IF(AND($B25="Origem",J25="Corpo Amaldiçoado",NOT(OR(I25="Técnica Marcial com energia"))),"ROTA não combina com BASE DO LIVRO",""),IF(AND($B25="Origem",J25="Restrição Celestial · Sem Energia",NOT(OR(I25="Técnica Marcial sem energia"))),"ROTA não combina com BASE DO LIVRO",""),IF(AND($B25="Origem",J25="Restrição Celestial · Restrição corporal",NOT(OR(I25="Fundamento"))),"ROTA não combina com BASE DO LIVRO","")))</f>
        <v/>
      </c>
    </row>
    <row r="26">
      <c r="A26" s="175" t="n">
        <v>25</v>
      </c>
      <c r="B26" s="175">
        <f>IF(ISBLANK('CONFIGURAÇÃO'!$T$362),"",'CONFIGURAÇÃO'!$T$362)</f>
        <v/>
      </c>
      <c r="C26" s="175">
        <f>IF(ISBLANK('CONFIGURAÇÃO'!$T$364),"",'CONFIGURAÇÃO'!$T$364)</f>
        <v/>
      </c>
      <c r="D26" s="175">
        <f>IF(ISBLANK('CONFIGURAÇÃO'!$X$362),"",'CONFIGURAÇÃO'!$X$362)</f>
        <v/>
      </c>
      <c r="E26" s="175">
        <f>IF(ISBLANK('CONFIGURAÇÃO'!$V$365),"",'CONFIGURAÇÃO'!$V$365)</f>
        <v/>
      </c>
      <c r="F26" s="175">
        <f>IF(ISBLANK('CONFIGURAÇÃO'!$V$366),"",'CONFIGURAÇÃO'!$V$366)</f>
        <v/>
      </c>
      <c r="G26" s="175">
        <f>IF(ISBLANK('CONFIGURAÇÃO'!$V$367),"",'CONFIGURAÇÃO'!$V$367)</f>
        <v/>
      </c>
      <c r="H26" s="175">
        <f>IF(ISBLANK('CONFIGURAÇÃO'!$V$368),"",'CONFIGURAÇÃO'!$V$368)</f>
        <v/>
      </c>
      <c r="I26" s="175">
        <f>IF(ISBLANK('CONFIGURAÇÃO'!$V$369),"",'CONFIGURAÇÃO'!$V$369)</f>
        <v/>
      </c>
      <c r="J26" s="175">
        <f>IF(ISBLANK('CONFIGURAÇÃO'!$V$370),"",'CONFIGURAÇÃO'!$V$370)</f>
        <v/>
      </c>
      <c r="K26" s="175">
        <f>IF(ISBLANK('CONFIGURAÇÃO'!$V$371),"",'CONFIGURAÇÃO'!$V$371)</f>
        <v/>
      </c>
      <c r="L26" s="175">
        <f>IF(ISBLANK('CONFIGURAÇÃO'!$V$372),"",'CONFIGURAÇÃO'!$V$372)</f>
        <v/>
      </c>
      <c r="M26" s="175">
        <f>IF(ISBLANK('CONFIGURAÇÃO'!$V$373),"",'CONFIGURAÇÃO'!$V$373)</f>
        <v/>
      </c>
      <c r="N26" s="175">
        <f>IF(ISBLANK('CONFIGURAÇÃO'!$V$374),"",'CONFIGURAÇÃO'!$V$374)</f>
        <v/>
      </c>
      <c r="O26" s="175">
        <f>IF(ISBLANK('CONFIGURAÇÃO'!$V$375),"",'CONFIGURAÇÃO'!$V$375)</f>
        <v/>
      </c>
      <c r="P26" s="175">
        <f>IF(ISBLANK('CONFIGURAÇÃO'!$V$376),"",'CONFIGURAÇÃO'!$V$376)</f>
        <v/>
      </c>
      <c r="Q26" s="175">
        <f>IF(ISBLANK('CONFIGURAÇÃO'!$V$377),"",'CONFIGURAÇÃO'!$V$377)</f>
        <v/>
      </c>
      <c r="R26" s="175">
        <f>IF(ISBLANK('CONFIGURAÇÃO'!$T$379),"",'CONFIGURAÇÃO'!$T$379)</f>
        <v/>
      </c>
      <c r="S26" s="175">
        <f>TEXTJOIN(" · ",TRUE,U26,V26,W26,X26)</f>
        <v/>
      </c>
      <c r="T26" s="175">
        <f>AND(B26&lt;&gt;"",C26&lt;&gt;"",S26="")</f>
        <v/>
      </c>
      <c r="U26" s="175">
        <f>TEXTJOIN(" · ",TRUE,JY26:KA26)</f>
        <v/>
      </c>
      <c r="V26" s="175">
        <f>IF(AND(OR($B26="Marcante",$B26="Menor"),NOT(OR(COUNTIF('DADOS_CUSTOM'!$CD$2:$CD$160,E26)&gt;0,COUNTIFS('DADOS_CUSTOM'!$C$2:$C$26,E26,'DADOS_CUSTOM'!$B$2:$B$26,"Origem",'DADOS_CUSTOM'!$U$2:$U$26,"")=1))),"Origem vinculada não existe ou tem erro",IF(AND($B26="Marcante",NOT(OR(E26="Restrição Celestial · Restrição corporal",AND(COUNTIFS('DADOS_CUSTOM'!$C$2:$C$26,E26,'DADOS_CUSTOM'!$B$2:$B$26,"Origem",'DADOS_CUSTOM'!$U$2:$U$26,"")=1,OR(IFERROR(INDEX('DADOS_CUSTOM'!$J$2:$J$26,MATCH(E26,'DADOS_CUSTOM'!$C$2:$C$26,0)),E26)="",IFERROR(INDEX('DADOS_CUSTOM'!$J$2:$J$26,MATCH(E26,'DADOS_CUSTOM'!$C$2:$C$26,0)),E26)="Nenhuma",IFERROR(INDEX('DADOS_CUSTOM'!$J$2:$J$26,MATCH(E26,'DADOS_CUSTOM'!$C$2:$C$26,0)),E26)="Restrição Celestial · Restrição corporal"))))),"Marcante própria só para Restrição corporal ou Origem do zero; use a marcante publicada da base",""))</f>
        <v/>
      </c>
      <c r="W26" s="175">
        <f>IF(AND($B26="Menor",F26&lt;&gt;"",F26&lt;&gt;"—",NOT(OR(AND(F26="Tentativa e Erro",OR(E26="Latente",IFERROR(INDEX('DADOS_CUSTOM'!$J$2:$J$26,MATCH(E26,'DADOS_CUSTOM'!$C$2:$C$26,0)),E26)="Latente")),AND(F26="Coexistência",OR(E26="Receptáculo",IFERROR(INDEX('DADOS_CUSTOM'!$J$2:$J$26,MATCH(E26,'DADOS_CUSTOM'!$C$2:$C$26,0)),E26)="Receptáculo")),AND(F26="Conflito",OR(E26="Receptáculo",IFERROR(INDEX('DADOS_CUSTOM'!$J$2:$J$26,MATCH(E26,'DADOS_CUSTOM'!$C$2:$C$26,0)),E26)="Receptáculo")),AND(F26="Zenin",OR(E26="Descendente",IFERROR(INDEX('DADOS_CUSTOM'!$J$2:$J$26,MATCH(E26,'DADOS_CUSTOM'!$C$2:$C$26,0)),E26)="Descendente")),AND(F26="Kamo",OR(E26="Descendente",IFERROR(INDEX('DADOS_CUSTOM'!$J$2:$J$26,MATCH(E26,'DADOS_CUSTOM'!$C$2:$C$26,0)),E26)="Descendente")),AND(F26="Gojo",OR(E26="Descendente",IFERROR(INDEX('DADOS_CUSTOM'!$J$2:$J$26,MATCH(E26,'DADOS_CUSTOM'!$C$2:$C$26,0)),E26)="Descendente")),AND(F26="Inumaki",OR(E26="Descendente",IFERROR(INDEX('DADOS_CUSTOM'!$J$2:$J$26,MATCH(E26,'DADOS_CUSTOM'!$C$2:$C$26,0)),E26)="Descendente")),AND(F26="Duas Vidas",OR(E26="Encarnado",IFERROR(INDEX('DADOS_CUSTOM'!$J$2:$J$26,MATCH(E26,'DADOS_CUSTOM'!$C$2:$C$26,0)),E26)="Encarnado")),AND(F26="Regeneração Orgânica",OR(E26="Híbrido",IFERROR(INDEX('DADOS_CUSTOM'!$J$2:$J$26,MATCH(E26,'DADOS_CUSTOM'!$C$2:$C$26,0)),E26)="Híbrido")),AND(F26="Existência Artificial",OR(E26="Corpo Amaldiçoado",IFERROR(INDEX('DADOS_CUSTOM'!$J$2:$J$26,MATCH(E26,'DADOS_CUSTOM'!$C$2:$C$26,0)),E26)="Corpo Amaldiçoado")),AND(F26="Ataque sem Prenúncio",OR(E26="Restrição Celestial · Sem Energia",IFERROR(INDEX('DADOS_CUSTOM'!$J$2:$J$26,MATCH(E26,'DADOS_CUSTOM'!$C$2:$C$26,0)),E26)="Restrição Celestial · Sem Energia")),AND(F26="Corpo Debilitado",OR(E26="Restrição Celestial · Restrição corporal",IFERROR(INDEX('DADOS_CUSTOM'!$J$2:$J$26,MATCH(E26,'DADOS_CUSTOM'!$C$2:$C$26,0)),E26)="Restrição Celestial · Restrição corporal")),AND(F26="Corpo Quebradiço",OR(E26="Restrição Celestial · Restrição corporal",IFERROR(INDEX('DADOS_CUSTOM'!$J$2:$J$26,MATCH(E26,'DADOS_CUSTOM'!$C$2:$C$26,0)),E26)="Restrição Celestial · Restrição corporal")),AND(F26="Corpo Exaurido",OR(E26="Restrição Celestial · Restrição corporal",IFERROR(INDEX('DADOS_CUSTOM'!$J$2:$J$26,MATCH(E26,'DADOS_CUSTOM'!$C$2:$C$26,0)),E26)="Restrição Celestial · Restrição corporal")),COUNTIFS('DADOS_CUSTOM'!$C$2:$C$26,F26,'DADOS_CUSTOM'!$B$2:$B$26,"Marcante",'DADOS_CUSTOM'!$E$2:$E$26,E26,'DADOS_CUSTOM'!$U$2:$U$26,"",'DADOS_CUSTOM'!$V$2:$V$26,"")=1))),"Marcante exigida não pertence à Origem ou tem erro","")</f>
        <v/>
      </c>
      <c r="X26" s="175">
        <f>IF(AND($B26="Ferramenta amaldiçoada",NOT(OR(COUNTIF('DADOS_CUSTOM'!$CK$2:$CK$75,E26)&gt;0,OR(COUNTIFS('DADOS_CUSTOM'!$C$2:$C$26,E26,'DADOS_CUSTOM'!$B$2:$B$26,"Arma",'DADOS_CUSTOM'!$U$2:$U$26,"")=1,COUNTIFS('DADOS_CUSTOM'!$C$2:$C$26,E26,'DADOS_CUSTOM'!$B$2:$B$26,"Escudo",'DADOS_CUSTOM'!$U$2:$U$26,"")=1,COUNTIFS('DADOS_CUSTOM'!$C$2:$C$26,E26,'DADOS_CUSTOM'!$B$2:$B$26,"Uniforme",'DADOS_CUSTOM'!$U$2:$U$26,"")=1,COUNTIFS('DADOS_CUSTOM'!$C$2:$C$26,E26,'DADOS_CUSTOM'!$B$2:$B$26,"Item comum",'DADOS_CUSTOM'!$U$2:$U$26,"")=1)))),"Base da ferramenta não existe ou tem erro","")</f>
        <v/>
      </c>
      <c r="AA26" s="175" t="inlineStr">
        <is>
          <t>Machadinha</t>
        </is>
      </c>
      <c r="AB26" s="175" t="inlineStr">
        <is>
          <t>Machado</t>
        </is>
      </c>
      <c r="AC26" s="175" t="n">
        <v>1</v>
      </c>
      <c r="AD26" s="175" t="inlineStr">
        <is>
          <t>1d6</t>
        </is>
      </c>
      <c r="AE26" s="175" t="inlineStr">
        <is>
          <t>Longo Alcance · Rompe</t>
        </is>
      </c>
      <c r="AF26" s="175" t="inlineStr">
        <is>
          <t>—</t>
        </is>
      </c>
      <c r="AG26" s="175" t="n">
        <v>0.5</v>
      </c>
      <c r="AH26" s="175" t="inlineStr">
        <is>
          <t>6 m, longa 18 m</t>
        </is>
      </c>
      <c r="AJ26" s="175">
        <f>'FICHA PESSOAL'!$D$81</f>
        <v/>
      </c>
      <c r="AK26" s="175">
        <f>ADDRESS(ROW('FICHA PESSOAL'!D81),COLUMN('FICHA PESSOAL'!D81),4)</f>
        <v/>
      </c>
      <c r="AM26" s="175">
        <f>IF(AND(OR($B20="Uniforme"),$C20&lt;&gt;"",$U20=""),$C20,"")</f>
        <v/>
      </c>
      <c r="AN26" s="175">
        <f>IF(AND(OR($B20="Uniforme"),$C20&lt;&gt;"",$U20=""),$L20,"")</f>
        <v/>
      </c>
      <c r="AO26" s="175">
        <f>IF(AND(OR($B20="Uniforme"),$C20&lt;&gt;"",$U20=""),$M20,"")</f>
        <v/>
      </c>
      <c r="AP26" s="175">
        <f>IF(AND(OR($B20="Uniforme"),$C20&lt;&gt;"",$U20=""),$N20,"")</f>
        <v/>
      </c>
      <c r="AQ26" s="175">
        <f>IF(AND(OR($B20="Uniforme"),$C20&lt;&gt;"",$U20=""),$O20,"")</f>
        <v/>
      </c>
      <c r="AR26" s="175">
        <f>IF(AND(OR($B20="Uniforme"),$C20&lt;&gt;"",$U20=""),IFERROR(VLOOKUP($E20,DADOS!$CF$5:$CH$9,3,FALSE),1),"")</f>
        <v/>
      </c>
      <c r="AS26" s="175">
        <f>IF(AND(OR($B20="Uniforme"),$C20&lt;&gt;"",$U20=""),$E20,"")</f>
        <v/>
      </c>
      <c r="AU26" s="175">
        <f>IF(AND(OR($B13="Item comum"),$C13&lt;&gt;"",$U13=""),$C13,"")</f>
        <v/>
      </c>
      <c r="AV26" s="175">
        <f>IF(AND(OR($B13="Item comum"),$C13&lt;&gt;"",$U13=""),$L13,"")</f>
        <v/>
      </c>
      <c r="AW26" s="175">
        <f>IF(AND(OR($B13="Item comum"),$C13&lt;&gt;"",$U13=""),$M13,"")</f>
        <v/>
      </c>
      <c r="AX26" s="175">
        <f>IF(AND(OR($B13="Item comum"),$C13&lt;&gt;"",$U13=""),$R13,"")</f>
        <v/>
      </c>
      <c r="AZ26" s="175" t="inlineStr">
        <is>
          <t>Voz Intrusa</t>
        </is>
      </c>
      <c r="BA26" s="175" t="inlineStr">
        <is>
          <t>Receptáculo</t>
        </is>
      </c>
      <c r="BB26" s="175" t="inlineStr">
        <is>
          <t>menor</t>
        </is>
      </c>
      <c r="BC26" s="175" t="inlineStr"/>
      <c r="BD26" s="175" t="inlineStr">
        <is>
          <t>Uma vez por cena</t>
        </is>
      </c>
      <c r="BE26" s="175" t="inlineStr">
        <is>
          <t>A outra voz atravessa sua fala e provoca o adversário. Uma vez por cena, durante seu turno, pode usar uma Ação de Movimento para Provocar. Mantenha rolagem, TR do alvo, requisitos, efeitos e riscos da ação. Não recebe deslocamento junto dessa ação; o uso normal de Provocar continua disponível.</t>
        </is>
      </c>
      <c r="BG26" s="175">
        <f>IF(AND(OR($B18="Origem"),$C18&lt;&gt;"",$T18=TRUE),$C18,"")</f>
        <v/>
      </c>
      <c r="BH26" s="175">
        <f>IF(AND(OR($B18="Origem"),$C18&lt;&gt;"",$T18=TRUE),TEXTJOIN(" · ",TRUE,$E18:$H18),"")</f>
        <v/>
      </c>
      <c r="BI26" s="175">
        <f>IF(AND(OR($B18="Origem"),$C18&lt;&gt;"",$T18=TRUE),$I18,"")</f>
        <v/>
      </c>
      <c r="BM26" s="175" t="inlineStr">
        <is>
          <t>Hankyū</t>
        </is>
      </c>
      <c r="BN26" s="175" t="inlineStr">
        <is>
          <t>Arma</t>
        </is>
      </c>
      <c r="BO26" s="175" t="n">
        <v>0</v>
      </c>
      <c r="BP26" s="175" t="inlineStr">
        <is>
          <t>—</t>
        </is>
      </c>
      <c r="BQ26" s="175" t="inlineStr">
        <is>
          <t>—</t>
        </is>
      </c>
      <c r="BR26" s="175" t="n">
        <v>1</v>
      </c>
      <c r="BS26" s="175" t="inlineStr">
        <is>
          <t>—</t>
        </is>
      </c>
      <c r="BT26" s="175" t="inlineStr"/>
      <c r="BU26" s="175" t="inlineStr"/>
      <c r="BV26" s="175" t="inlineStr">
        <is>
          <t>Chakram</t>
        </is>
      </c>
      <c r="BW26" s="175">
        <f>IF(AND($B25="Origem",OR($J25="",$J25="Nenhuma",$J25="Restrição Celestial · Restrição corporal")),$C25,"")</f>
        <v/>
      </c>
      <c r="CC26" s="175">
        <f>IF(OR('CONFIGURAÇÃO'!$T$246="Origem"),'CONFIGURAÇÃO'!$T$248,"")</f>
        <v/>
      </c>
      <c r="CH26">
        <f>IF('DADOS_DANOS'!$J$26="","",'DADOS_DANOS'!$J$26)</f>
        <v/>
      </c>
      <c r="CK26" s="175" t="inlineStr">
        <is>
          <t>Machado de Guerra</t>
        </is>
      </c>
      <c r="CL26" s="175">
        <f>IF(OR('CONFIGURAÇÃO'!$AB$130="Marcante"),'CONFIGURAÇÃO'!$AB$132,"")</f>
        <v/>
      </c>
      <c r="CS26" s="175">
        <f>IF(AND($B13="Origem",$T13=TRUE),$C13,"")</f>
        <v/>
      </c>
      <c r="JY26" s="175">
        <f>IF(AND($B26="",$C26="",LEN(TEXTJOIN("",TRUE,E26:R26))=0),"",TEXTJOIN(" · ",TRUE,IF(COUNTIF('DADOS_CUSTOM'!$BZ$2:$BZ$160,$B26)=0,"Escolha um tipo válido",""),IF(LEN(TRIM($C26))=0,"Preencha NOME",""),IF(OR(COUNTIF('DADOS_CUSTOM'!$C$2:$C$26,$C26)&gt;1,COUNTIF('DADOS_CUSTOM'!$BV$2:$BV$171,$C26)&gt;0),"Nome repetido no livro ou custom",""),IF(AND($E26&lt;&gt;"",SWITCH($B26,"Origem","PERÍCIA 1","Marcante","ORIGEM","Menor","ORIGEM","Arma","CATEGORIA","Escudo","","Uniforme","GRAU MÍNIMO","Item comum","","Ferramenta amaldiçoada","BASE","")=""),"Apague campo que este tipo não usa",IF(AND($E26&lt;&gt;"",COUNTIF(INDIRECT(SWITCH($B26,"Origem","'DADOS_PROGRESSAO'!$AG$2:$AG$34","Marcante","'DADOS_CUSTOM'!$BW$2:$BW$160","Menor","'DADOS_CUSTOM'!$CC$2:$CC$160","Arma","'DADOS_CUSTOM'!$CF$2:$CF$160","Escudo","'DADOS_CUSTOM'!$CM$2:$CM$160","Uniforme","'DADOS_CUSTOM'!$CJ$2:$CJ$160","Item comum","'DADOS_CUSTOM'!$CM$2:$CM$160","Ferramenta amaldiçoada","'DADOS_CUSTOM'!$CK$2:$CK$160","'DADOS_CUSTOM'!$CM$2:$CM$160")),$E26)=0),"Opção inválida: "&amp;SWITCH($B26,"Origem","PERÍCIA 1","Marcante","ORIGEM","Menor","ORIGEM","Arma","CATEGORIA","Escudo","","Uniforme","GRAU MÍNIMO","Item comum","","Ferramenta amaldiçoada","BASE",""),"")),IF(AND($F26&lt;&gt;"",SWITCH($B26,"Origem","PERÍCIA 2","Marcante","","Menor","EXIGE MARCANTE","Arma","MÃO","Escudo","","Uniforme","","Item comum","","Ferramenta amaldiçoada","GRAU","")=""),"Apague campo que este tipo não usa",IF(AND($F26&lt;&gt;"",COUNTIF(INDIRECT(SWITCH($B26,"Origem","'DADOS_PROGRESSAO'!$AG$2:$AG$34","Marcante","'DADOS_CUSTOM'!$CM$2:$CM$160","Menor","'DADOS_CUSTOM'!$CL$2:$CL$160","Arma","'DADOS_CUSTOM'!$CG$2:$CG$160","Escudo","'DADOS_CUSTOM'!$CM$2:$CM$160","Uniforme","'DADOS_CUSTOM'!$CM$2:$CM$160","Item comum","'DADOS_CUSTOM'!$CM$2:$CM$160","Ferramenta amaldiçoada","'DADOS_CUSTOM'!$CJ$2:$CJ$160","'DADOS_CUSTOM'!$CM$2:$CM$160")),$F26)=0),"Opção inválida: "&amp;SWITCH($B26,"Origem","PERÍCIA 2","Marcante","","Menor","EXIGE MARCANTE","Arma","MÃO","Escudo","","Uniforme","","Item comum","","Ferramenta amaldiçoada","GRAU",""),"")),IF(AND($G26&lt;&gt;"",SWITCH($B26,"Origem","PERÍCIA 3","Marcante","","Menor","","Arma","TIPO DE DANO","Escudo","","Uniforme","","Item comum","","Ferramenta amaldiçoada","","")=""),"Apague campo que este tipo não usa",IF(AND($G26&lt;&gt;"",COUNTIF(INDIRECT(SWITCH($B26,"Origem","'DADOS_PROGRESSAO'!$AG$2:$AG$34","Marcante","'DADOS_CUSTOM'!$CM$2:$CM$160","Menor","'DADOS_CUSTOM'!$CM$2:$CM$160","Arma","'DADOS_CUSTOM'!$CH$2:$CH$160","Escudo","'DADOS_CUSTOM'!$CM$2:$CM$160","Uniforme","'DADOS_CUSTOM'!$CM$2:$CM$160","Item comum","'DADOS_CUSTOM'!$CM$2:$CM$160","Ferramenta amaldiçoada","'DADOS_CUSTOM'!$CM$2:$CM$160","'DADOS_CUSTOM'!$CM$2:$CM$160")),$G26)=0),"Opção inválida: "&amp;SWITCH($B26,"Origem","PERÍCIA 3","Marcante","","Menor","","Arma","TIPO DE DANO","Escudo","","Uniforme","","Item comum","","Ferramenta amaldiçoada","",""),"")),IF(AND($H26&lt;&gt;"",SWITCH($B26,"Origem","PERÍCIA 4","Marcante","","Menor","","Arma","PROPRIEDADE 1","Escudo","","Uniforme","","Item comum","","Ferramenta amaldiçoada","","")=""),"Apague campo que este tipo não usa",IF(AND($H26&lt;&gt;"",COUNTIF(INDIRECT(SWITCH($B26,"Origem","'DADOS_PROGRESSAO'!$AG$2:$AG$34","Marcante","'DADOS_CUSTOM'!$CM$2:$CM$160","Menor","'DADOS_CUSTOM'!$CM$2:$CM$160","Arma","'DADOS_CUSTOM'!$CI$2:$CI$160","Escudo","'DADOS_CUSTOM'!$CM$2:$CM$160","Uniforme","'DADOS_CUSTOM'!$CM$2:$CM$160","Item comum","'DADOS_CUSTOM'!$CM$2:$CM$160","Ferramenta amaldiçoada","'DADOS_CUSTOM'!$CM$2:$CM$160","'DADOS_CUSTOM'!$CM$2:$CM$160")),$H26)=0),"Opção inválida: "&amp;SWITCH($B26,"Origem","PERÍCIA 4","Marcante","","Menor","","Arma","PROPRIEDADE 1","Escudo","","Uniforme","","Item comum","","Ferramenta amaldiçoada","",""),"")),IF(AND($I26&lt;&gt;"",SWITCH($B26,"Origem","ROTA","Marcante","","Menor","","Arma","PROPRIEDADE 2","Escudo","","Uniforme","","Item comum","","Ferramenta amaldiçoada","","")=""),"Apague campo que este tipo não usa",IF(AND($I26&lt;&gt;"",COUNTIF(INDIRECT(SWITCH($B26,"Origem","'DADOS_CUSTOM'!$CB$2:$CB$160","Marcante","'DADOS_CUSTOM'!$CM$2:$CM$160","Menor","'DADOS_CUSTOM'!$CM$2:$CM$160","Arma","'DADOS_CUSTOM'!$CI$2:$CI$160","Escudo","'DADOS_CUSTOM'!$CM$2:$CM$160","Uniforme","'DADOS_CUSTOM'!$CM$2:$CM$160","Item comum","'DADOS_CUSTOM'!$CM$2:$CM$160","Ferramenta amaldiçoada","'DADOS_CUSTOM'!$CM$2:$CM$160","'DADOS_CUSTOM'!$CM$2:$CM$160")),$I26)=0),"Opção inválida: "&amp;SWITCH($B26,"Origem","ROTA","Marcante","","Menor","","Arma","PROPRIEDADE 2","Escudo","","Uniforme","","Item comum","","Ferramenta amaldiçoada","",""),""))))</f>
        <v/>
      </c>
      <c r="JZ26" s="175">
        <f>IF(AND($B26="",$C26="",LEN(TEXTJOIN("",TRUE,E26:R26))=0),"",TEXTJOIN(" · ",TRUE,IF(AND($J26&lt;&gt;"",SWITCH($B26,"Origem","BASE DO LIVRO","Marcante","","Menor","","Arma","PROPRIEDADE 3","Escudo","","Uniforme","","Item comum","","Ferramenta amaldiçoada","","")=""),"Apague campo que este tipo não usa",IF(AND($J26&lt;&gt;"",COUNTIF(INDIRECT(SWITCH($B26,"Origem","'DADOS_CUSTOM'!$CD$2:$CD$160","Marcante","'DADOS_CUSTOM'!$CM$2:$CM$160","Menor","'DADOS_CUSTOM'!$CM$2:$CM$160","Arma","'DADOS_CUSTOM'!$CI$2:$CI$160","Escudo","'DADOS_CUSTOM'!$CM$2:$CM$160","Uniforme","'DADOS_CUSTOM'!$CM$2:$CM$160","Item comum","'DADOS_CUSTOM'!$CM$2:$CM$160","Ferramenta amaldiçoada","'DADOS_CUSTOM'!$CM$2:$CM$160","'DADOS_CUSTOM'!$CM$2:$CM$160")),$J26)=0),"Opção inválida: "&amp;SWITCH($B26,"Origem","BASE DO LIVRO","Marcante","","Menor","","Arma","PROPRIEDADE 3","Escudo","","Uniforme","","Item comum","","Ferramenta amaldiçoada","",""),"")),IF(AND($K26&lt;&gt;"",SWITCH($B26,"Origem","OFÍCIO","Marcante","","Menor","","Arma","PROPRIEDADE 4","Escudo","","Uniforme","","Item comum","","Ferramenta amaldiçoada","","")=""),"Apague campo que este tipo não usa",IF(AND($K26&lt;&gt;"",COUNTIF(INDIRECT(SWITCH($B26,"Origem","'DADOS_PROGRESSAO'!$AJ$2:$AJ$23","Marcante","'DADOS_CUSTOM'!$CM$2:$CM$160","Menor","'DADOS_CUSTOM'!$CM$2:$CM$160","Arma","'DADOS_CUSTOM'!$CI$2:$CI$160","Escudo","'DADOS_CUSTOM'!$CM$2:$CM$160","Uniforme","'DADOS_CUSTOM'!$CM$2:$CM$160","Item comum","'DADOS_CUSTOM'!$CM$2:$CM$160","Ferramenta amaldiçoada","'DADOS_CUSTOM'!$CM$2:$CM$160","'DADOS_CUSTOM'!$CM$2:$CM$160")),$K26)=0),"Opção inválida: "&amp;SWITCH($B26,"Origem","OFÍCIO","Marcante","","Menor","","Arma","PROPRIEDADE 4","Escudo","","Uniforme","","Item comum","","Ferramenta amaldiçoada","",""),"")),IF(AND($L26&lt;&gt;"",SWITCH($B26,"Origem","TALENTO CE 4","Marcante","FREQUÊNCIA","Menor","FREQUÊNCIA","Arma","DADO","Escudo","PROTEÇÃO","Uniforme","PROTEÇÃO","Item comum","VOLUME","Ferramenta amaldiçoada","ESTIGMA","")=""),"Apague campo que este tipo não usa",IF(AND(OR($B26="Escudo",$B26="Uniforme",$B26="Item comum"),$L26&lt;&gt;"",NOT(ISNUMBER($L26)),NOT(AND($L26="—",FALSE))),"Informe número: "&amp;SWITCH($B26,"Origem","TALENTO CE 4","Marcante","FREQUÊNCIA","Menor","FREQUÊNCIA","Arma","DADO","Escudo","PROTEÇÃO","Uniforme","PROTEÇÃO","Item comum","VOLUME","Ferramenta amaldiçoada","ESTIGMA",""),"")),IF(AND($M26&lt;&gt;"",SWITCH($B26,"Origem","","Marcante","","Menor","","Arma","FORÇA","Escudo","TETO DE DESTREZA","Uniforme","TETO DE DESTREZA","Item comum","PREÇO","Ferramenta amaldiçoada","DESGASTE","")=""),"Apague campo que este tipo não usa",IF(AND(OR($B26="Arma",$B26="Escudo",$B26="Uniforme",$B26="Item comum",$B26="Ferramenta amaldiçoada"),$M26&lt;&gt;"",NOT(ISNUMBER($M26)),NOT(AND($M26="—",OR($B26="Arma",$B26="Escudo",$B26="Uniforme",$B26="Ferramenta amaldiçoada")))),"Informe número: "&amp;SWITCH($B26,"Origem","","Marcante","","Menor","","Arma","FORÇA","Escudo","TETO DE DESTREZA","Uniforme","TETO DE DESTREZA","Item comum","PREÇO","Ferramenta amaldiçoada","DESGASTE",""),"")),IF(AND($N26&lt;&gt;"",SWITCH($B26,"Origem","","Marcante","","Menor","","Arma","VOLUME","Escudo","FORÇA","Uniforme","FORÇA","Item comum","","Ferramenta amaldiçoada","VOLUME","")=""),"Apague campo que este tipo não usa",IF(AND(OR($B26="Arma",$B26="Escudo",$B26="Uniforme",$B26="Ferramenta amaldiçoada"),$N26&lt;&gt;"",NOT(ISNUMBER($N26)),NOT(AND($N26="—",OR($B26="Escudo",$B26="Uniforme")))),"Informe número: "&amp;SWITCH($B26,"Origem","","Marcante","","Menor","","Arma","VOLUME","Escudo","FORÇA","Uniforme","FORÇA","Item comum","","Ferramenta amaldiçoada","VOLUME",""),"")),IF(AND($O26&lt;&gt;"",SWITCH($B26,"Origem","","Marcante","","Menor","","Arma","ALCANCE","Escudo","VOLUME","Uniforme","VOLUME","Item comum","","Ferramenta amaldiçoada","PREÇO","")=""),"Apague campo que este tipo não usa",IF(AND(OR($B26="Escudo",$B26="Uniforme",$B26="Ferramenta amaldiçoada"),$O26&lt;&gt;"",NOT(ISNUMBER($O26)),NOT(AND($O26="—",FALSE))),"Informe número: "&amp;SWITCH($B26,"Origem","","Marcante","","Menor","","Arma","ALCANCE","Escudo","VOLUME","Uniforme","VOLUME","Item comum","","Ferramenta amaldiçoada","PREÇO",""),"")),IF(AND($P26&lt;&gt;"",SWITCH($B26,"Origem","","Marcante","","Menor","","Arma","RECARGA","Escudo","PREÇO","Uniforme","PREÇO","Item comum","","Ferramenta amaldiçoada","","")=""),"Apague campo que este tipo não usa",IF(AND(OR($B26="Arma",$B26="Escudo",$B26="Uniforme"),$P26&lt;&gt;"",NOT(ISNUMBER($P26)),NOT(AND($P26="—",OR($B26="Arma")))),"Informe número: "&amp;SWITCH($B26,"Origem","","Marcante","","Menor","","Arma","RECARGA","Escudo","PREÇO","Uniforme","PREÇO","Item comum","","Ferramenta amaldiçoada","",""),"")),IF(AND($Q26&lt;&gt;"",SWITCH($B26,"Origem","","Marcante","","Menor","","Arma","PREÇO","Escudo","","Uniforme","","Item comum","","Ferramenta amaldiçoada","","")=""),"Apague campo que este tipo não usa",IF(AND(OR($B26="Arma"),$Q26&lt;&gt;"",NOT(ISNUMBER($Q26)),NOT(AND($Q26="—",FALSE))),"Informe número: "&amp;SWITCH($B26,"Origem","","Marcante","","Menor","","Arma","PREÇO","Escudo","","Uniforme","","Item comum","","Ferramenta amaldiçoada","",""),""))))</f>
        <v/>
      </c>
      <c r="KA26" s="175">
        <f>IF(AND($B26="",$C26="",LEN(TEXTJOIN("",TRUE,E26:R26))=0),"",TEXTJOIN(" · ",TRUE,IF(AND($B26="Origem",OR($E26="",$F26="",$G26="",$H26="",$I26="")),"Preencha os campos obrigatórios de Origem",""),IF(AND($B26="Marcante",OR($E26="")),"Preencha os campos obrigatórios de Marcante",""),IF(AND($B26="Menor",OR($E26="")),"Preencha os campos obrigatórios de Menor",""),IF(AND($B26="Arma",OR($E26="",$F26="",$G26="",$L26="",$M26="",$N26="")),"Preencha os campos obrigatórios de Arma",""),IF(AND($B26="Escudo",OR($L26="",$M26="",$N26="",$O26="")),"Preencha os campos obrigatórios de Escudo",""),IF(AND($B26="Uniforme",OR($E26="",$L26="",$M26="",$N26="",$O26="")),"Preencha os campos obrigatórios de Uniforme",""),IF(AND($B26="Item comum",OR($L26="")),"Preencha os campos obrigatórios de Item comum",""),IF(AND($B26="Ferramenta amaldiçoada",OR($E26="",$F26="")),"Preencha os campos obrigatórios de Ferramenta amaldiçoada",""),IF(AND($B26="Origem",COUNTA(E26:H26)=4,NOT(AND(E26&lt;&gt;F26,E26&lt;&gt;G26,E26&lt;&gt;H26,F26&lt;&gt;G26,F26&lt;&gt;H26,G26&lt;&gt;H26))),"Escolha quatro perícias diferentes",""),IF(AND($B26="Origem",J26="Latente",NOT(OR(I26="Fundamento",I26="Manejos"))),"ROTA não combina com BASE DO LIVRO",""),IF(AND($B26="Origem",J26="Receptáculo",NOT(OR(I26="Fundamento",I26="Manejos"))),"ROTA não combina com BASE DO LIVRO",""),IF(AND($B26="Origem",J26="Descendente",NOT(OR(I26="Fundamento",I26="Manejos"))),"ROTA não combina com BASE DO LIVRO",""),IF(AND($B26="Origem",J26="Encarnado",NOT(OR(I26="Fundamento",I26="Manejos"))),"ROTA não combina com BASE DO LIVRO",""),IF(AND($B26="Origem",J26="Híbrido",NOT(OR(I26="Fundamento",I26="Manejos"))),"ROTA não combina com BASE DO LIVRO",""),IF(AND($B26="Origem",J26="Corpo Amaldiçoado",NOT(OR(I26="Técnica Marcial com energia"))),"ROTA não combina com BASE DO LIVRO",""),IF(AND($B26="Origem",J26="Restrição Celestial · Sem Energia",NOT(OR(I26="Técnica Marcial sem energia"))),"ROTA não combina com BASE DO LIVRO",""),IF(AND($B26="Origem",J26="Restrição Celestial · Restrição corporal",NOT(OR(I26="Fundamento"))),"ROTA não combina com BASE DO LIVRO","")))</f>
        <v/>
      </c>
    </row>
    <row r="27">
      <c r="AA27" s="175" t="inlineStr">
        <is>
          <t>Machado</t>
        </is>
      </c>
      <c r="AB27" s="175" t="inlineStr">
        <is>
          <t>Machado</t>
        </is>
      </c>
      <c r="AC27" s="175" t="n">
        <v>1</v>
      </c>
      <c r="AD27" s="175" t="inlineStr">
        <is>
          <t>1d8</t>
        </is>
      </c>
      <c r="AE27" s="175" t="inlineStr">
        <is>
          <t>Rompe</t>
        </is>
      </c>
      <c r="AF27" s="175" t="inlineStr">
        <is>
          <t>—</t>
        </is>
      </c>
      <c r="AG27" s="175" t="n">
        <v>1</v>
      </c>
      <c r="AJ27" s="175">
        <f>'FICHA PESSOAL'!$D$82</f>
        <v/>
      </c>
      <c r="AK27" s="175">
        <f>ADDRESS(ROW('FICHA PESSOAL'!D82),COLUMN('FICHA PESSOAL'!D82),4)</f>
        <v/>
      </c>
      <c r="AM27" s="175">
        <f>IF(AND(OR($B21="Uniforme"),$C21&lt;&gt;"",$U21=""),$C21,"")</f>
        <v/>
      </c>
      <c r="AN27" s="175">
        <f>IF(AND(OR($B21="Uniforme"),$C21&lt;&gt;"",$U21=""),$L21,"")</f>
        <v/>
      </c>
      <c r="AO27" s="175">
        <f>IF(AND(OR($B21="Uniforme"),$C21&lt;&gt;"",$U21=""),$M21,"")</f>
        <v/>
      </c>
      <c r="AP27" s="175">
        <f>IF(AND(OR($B21="Uniforme"),$C21&lt;&gt;"",$U21=""),$N21,"")</f>
        <v/>
      </c>
      <c r="AQ27" s="175">
        <f>IF(AND(OR($B21="Uniforme"),$C21&lt;&gt;"",$U21=""),$O21,"")</f>
        <v/>
      </c>
      <c r="AR27" s="175">
        <f>IF(AND(OR($B21="Uniforme"),$C21&lt;&gt;"",$U21=""),IFERROR(VLOOKUP($E21,DADOS!$CF$5:$CH$9,3,FALSE),1),"")</f>
        <v/>
      </c>
      <c r="AS27" s="175">
        <f>IF(AND(OR($B21="Uniforme"),$C21&lt;&gt;"",$U21=""),$E21,"")</f>
        <v/>
      </c>
      <c r="AU27" s="175">
        <f>IF(AND(OR($B14="Item comum"),$C14&lt;&gt;"",$U14=""),$C14,"")</f>
        <v/>
      </c>
      <c r="AV27" s="175">
        <f>IF(AND(OR($B14="Item comum"),$C14&lt;&gt;"",$U14=""),$L14,"")</f>
        <v/>
      </c>
      <c r="AW27" s="175">
        <f>IF(AND(OR($B14="Item comum"),$C14&lt;&gt;"",$U14=""),$M14,"")</f>
        <v/>
      </c>
      <c r="AX27" s="175">
        <f>IF(AND(OR($B14="Item comum"),$C14&lt;&gt;"",$U14=""),$R14,"")</f>
        <v/>
      </c>
      <c r="AZ27" s="175" t="inlineStr">
        <is>
          <t>Foco Inscrito</t>
        </is>
      </c>
      <c r="BA27" s="175" t="inlineStr">
        <is>
          <t>Receptáculo</t>
        </is>
      </c>
      <c r="BB27" s="175" t="inlineStr">
        <is>
          <t>menor</t>
        </is>
      </c>
      <c r="BC27" s="175" t="inlineStr"/>
      <c r="BD27" s="175" t="inlineStr">
        <is>
          <t>Uma vez por cena</t>
        </is>
      </c>
      <c r="BE27" s="175" t="inlineStr">
        <is>
          <t>Uma vez por cena, após falhar em um TR para manter Concentração por ter sofrido dano, repita o teste e aceite o segundo resultado. Conserve a CD e os modificadores. Não permite duas Concentrações nem restaura um efeito encerrado por outro motivo.</t>
        </is>
      </c>
      <c r="BG27" s="175">
        <f>IF(AND(OR($B19="Origem"),$C19&lt;&gt;"",$T19=TRUE),$C19,"")</f>
        <v/>
      </c>
      <c r="BH27" s="175">
        <f>IF(AND(OR($B19="Origem"),$C19&lt;&gt;"",$T19=TRUE),TEXTJOIN(" · ",TRUE,$E19:$H19),"")</f>
        <v/>
      </c>
      <c r="BI27" s="175">
        <f>IF(AND(OR($B19="Origem"),$C19&lt;&gt;"",$T19=TRUE),$I19,"")</f>
        <v/>
      </c>
      <c r="BM27" s="175" t="inlineStr">
        <is>
          <t>Kama</t>
        </is>
      </c>
      <c r="BN27" s="175" t="inlineStr">
        <is>
          <t>Arma</t>
        </is>
      </c>
      <c r="BO27" s="175" t="n">
        <v>0</v>
      </c>
      <c r="BP27" s="175" t="inlineStr">
        <is>
          <t>—</t>
        </is>
      </c>
      <c r="BQ27" s="175" t="inlineStr">
        <is>
          <t>—</t>
        </is>
      </c>
      <c r="BR27" s="175" t="n">
        <v>0.5</v>
      </c>
      <c r="BS27" s="175" t="inlineStr">
        <is>
          <t>—</t>
        </is>
      </c>
      <c r="BT27" s="175" t="inlineStr"/>
      <c r="BU27" s="175" t="inlineStr"/>
      <c r="BV27" s="175" t="inlineStr">
        <is>
          <t>Chicote</t>
        </is>
      </c>
      <c r="BW27" s="175">
        <f>IF(AND($B26="Origem",OR($J26="",$J26="Nenhuma",$J26="Restrição Celestial · Restrição corporal")),$C26,"")</f>
        <v/>
      </c>
      <c r="CC27" s="175">
        <f>IF(OR('CONFIGURAÇÃO'!$AB$246="Origem"),'CONFIGURAÇÃO'!$AB$248,"")</f>
        <v/>
      </c>
      <c r="CK27" s="175" t="inlineStr">
        <is>
          <t>Machete</t>
        </is>
      </c>
      <c r="CL27" s="175">
        <f>IF(OR('CONFIGURAÇÃO'!$T$159="Marcante"),'CONFIGURAÇÃO'!$T$161,"")</f>
        <v/>
      </c>
      <c r="CS27" s="175">
        <f>IF(AND($B14="Origem",$T14=TRUE),$C14,"")</f>
        <v/>
      </c>
    </row>
    <row r="28">
      <c r="AA28" s="175" t="inlineStr">
        <is>
          <t>Machado de Guerra</t>
        </is>
      </c>
      <c r="AB28" s="175" t="inlineStr">
        <is>
          <t>Machado</t>
        </is>
      </c>
      <c r="AC28" s="175" t="n">
        <v>2</v>
      </c>
      <c r="AD28" s="175" t="inlineStr">
        <is>
          <t>1d12</t>
        </is>
      </c>
      <c r="AE28" s="175" t="inlineStr">
        <is>
          <t>Rompe · Talha · Volumosa</t>
        </is>
      </c>
      <c r="AF28" s="175" t="n">
        <v>3</v>
      </c>
      <c r="AG28" s="175" t="n">
        <v>2</v>
      </c>
      <c r="AJ28" s="175">
        <f>'FICHA PESSOAL'!$D$83</f>
        <v/>
      </c>
      <c r="AK28" s="175">
        <f>ADDRESS(ROW('FICHA PESSOAL'!D83),COLUMN('FICHA PESSOAL'!D83),4)</f>
        <v/>
      </c>
      <c r="AM28" s="175">
        <f>IF(AND(OR($B22="Uniforme"),$C22&lt;&gt;"",$U22=""),$C22,"")</f>
        <v/>
      </c>
      <c r="AN28" s="175">
        <f>IF(AND(OR($B22="Uniforme"),$C22&lt;&gt;"",$U22=""),$L22,"")</f>
        <v/>
      </c>
      <c r="AO28" s="175">
        <f>IF(AND(OR($B22="Uniforme"),$C22&lt;&gt;"",$U22=""),$M22,"")</f>
        <v/>
      </c>
      <c r="AP28" s="175">
        <f>IF(AND(OR($B22="Uniforme"),$C22&lt;&gt;"",$U22=""),$N22,"")</f>
        <v/>
      </c>
      <c r="AQ28" s="175">
        <f>IF(AND(OR($B22="Uniforme"),$C22&lt;&gt;"",$U22=""),$O22,"")</f>
        <v/>
      </c>
      <c r="AR28" s="175">
        <f>IF(AND(OR($B22="Uniforme"),$C22&lt;&gt;"",$U22=""),IFERROR(VLOOKUP($E22,DADOS!$CF$5:$CH$9,3,FALSE),1),"")</f>
        <v/>
      </c>
      <c r="AS28" s="175">
        <f>IF(AND(OR($B22="Uniforme"),$C22&lt;&gt;"",$U22=""),$E22,"")</f>
        <v/>
      </c>
      <c r="AU28" s="175">
        <f>IF(AND(OR($B15="Item comum"),$C15&lt;&gt;"",$U15=""),$C15,"")</f>
        <v/>
      </c>
      <c r="AV28" s="175">
        <f>IF(AND(OR($B15="Item comum"),$C15&lt;&gt;"",$U15=""),$L15,"")</f>
        <v/>
      </c>
      <c r="AW28" s="175">
        <f>IF(AND(OR($B15="Item comum"),$C15&lt;&gt;"",$U15=""),$M15,"")</f>
        <v/>
      </c>
      <c r="AX28" s="175">
        <f>IF(AND(OR($B15="Item comum"),$C15&lt;&gt;"",$U15=""),$R15,"")</f>
        <v/>
      </c>
      <c r="AZ28" s="175" t="inlineStr">
        <is>
          <t>Reserva Residual</t>
        </is>
      </c>
      <c r="BA28" s="175" t="inlineStr">
        <is>
          <t>Receptáculo</t>
        </is>
      </c>
      <c r="BB28" s="175" t="inlineStr">
        <is>
          <t>menor</t>
        </is>
      </c>
      <c r="BC28" s="175" t="inlineStr"/>
      <c r="BD28" s="175" t="inlineStr">
        <is>
          <t>Uma vez por dia</t>
        </is>
      </c>
      <c r="BE28" s="175" t="inlineStr">
        <is>
          <t>Uma vez por dia, depois de resolver o uso que gastou seus últimos PE comuns e temporários, receba Constituição ou Essência + Maestria em PE temporários, sem ação. Escolha o atributo no uso e use seu valor inteiro. A reserva dura até o fim da cena e respeita o teto de metade dos PE máximos.</t>
        </is>
      </c>
      <c r="BG28" s="175">
        <f>IF(AND(OR($B20="Origem"),$C20&lt;&gt;"",$T20=TRUE),$C20,"")</f>
        <v/>
      </c>
      <c r="BH28" s="175">
        <f>IF(AND(OR($B20="Origem"),$C20&lt;&gt;"",$T20=TRUE),TEXTJOIN(" · ",TRUE,$E20:$H20),"")</f>
        <v/>
      </c>
      <c r="BI28" s="175">
        <f>IF(AND(OR($B20="Origem"),$C20&lt;&gt;"",$T20=TRUE),$I20,"")</f>
        <v/>
      </c>
      <c r="BM28" s="175" t="inlineStr">
        <is>
          <t>Kanabō</t>
        </is>
      </c>
      <c r="BN28" s="175" t="inlineStr">
        <is>
          <t>Arma</t>
        </is>
      </c>
      <c r="BO28" s="175" t="n">
        <v>0</v>
      </c>
      <c r="BP28" s="175" t="inlineStr">
        <is>
          <t>—</t>
        </is>
      </c>
      <c r="BQ28" s="175" t="n">
        <v>3</v>
      </c>
      <c r="BR28" s="175" t="n">
        <v>3</v>
      </c>
      <c r="BS28" s="175" t="inlineStr">
        <is>
          <t>—</t>
        </is>
      </c>
      <c r="BT28" s="175" t="inlineStr"/>
      <c r="BU28" s="175" t="inlineStr"/>
      <c r="BV28" s="175" t="inlineStr">
        <is>
          <t>Coexistência</t>
        </is>
      </c>
      <c r="CC28" s="175">
        <f>IF(OR('CONFIGURAÇÃO'!$T$275="Origem"),'CONFIGURAÇÃO'!$T$277,"")</f>
        <v/>
      </c>
      <c r="CK28" s="175" t="inlineStr">
        <is>
          <t>Manriki</t>
        </is>
      </c>
      <c r="CL28" s="175">
        <f>IF(OR('CONFIGURAÇÃO'!$AB$159="Marcante"),'CONFIGURAÇÃO'!$AB$161,"")</f>
        <v/>
      </c>
      <c r="CS28" s="175">
        <f>IF(AND($B15="Origem",$T15=TRUE),$C15,"")</f>
        <v/>
      </c>
    </row>
    <row r="29">
      <c r="AA29" s="175" t="inlineStr">
        <is>
          <t>Machete</t>
        </is>
      </c>
      <c r="AB29" s="175" t="inlineStr">
        <is>
          <t>Lâmina Longa</t>
        </is>
      </c>
      <c r="AC29" s="175" t="n">
        <v>1</v>
      </c>
      <c r="AD29" s="175" t="inlineStr">
        <is>
          <t>1d8</t>
        </is>
      </c>
      <c r="AE29" s="175" t="inlineStr">
        <is>
          <t>Rompe</t>
        </is>
      </c>
      <c r="AF29" s="175" t="inlineStr">
        <is>
          <t>—</t>
        </is>
      </c>
      <c r="AG29" s="175" t="n">
        <v>0.5</v>
      </c>
      <c r="AJ29" s="175">
        <f>'FICHA PESSOAL'!$D$75</f>
        <v/>
      </c>
      <c r="AK29" s="175">
        <f>ADDRESS(ROW('FICHA PESSOAL'!D75),COLUMN('FICHA PESSOAL'!D75),4)</f>
        <v/>
      </c>
      <c r="AM29" s="175">
        <f>IF(AND(OR($B23="Uniforme"),$C23&lt;&gt;"",$U23=""),$C23,"")</f>
        <v/>
      </c>
      <c r="AN29" s="175">
        <f>IF(AND(OR($B23="Uniforme"),$C23&lt;&gt;"",$U23=""),$L23,"")</f>
        <v/>
      </c>
      <c r="AO29" s="175">
        <f>IF(AND(OR($B23="Uniforme"),$C23&lt;&gt;"",$U23=""),$M23,"")</f>
        <v/>
      </c>
      <c r="AP29" s="175">
        <f>IF(AND(OR($B23="Uniforme"),$C23&lt;&gt;"",$U23=""),$N23,"")</f>
        <v/>
      </c>
      <c r="AQ29" s="175">
        <f>IF(AND(OR($B23="Uniforme"),$C23&lt;&gt;"",$U23=""),$O23,"")</f>
        <v/>
      </c>
      <c r="AR29" s="175">
        <f>IF(AND(OR($B23="Uniforme"),$C23&lt;&gt;"",$U23=""),IFERROR(VLOOKUP($E23,DADOS!$CF$5:$CH$9,3,FALSE),1),"")</f>
        <v/>
      </c>
      <c r="AS29" s="175">
        <f>IF(AND(OR($B23="Uniforme"),$C23&lt;&gt;"",$U23=""),$E23,"")</f>
        <v/>
      </c>
      <c r="AU29" s="175">
        <f>IF(AND(OR($B16="Item comum"),$C16&lt;&gt;"",$U16=""),$C16,"")</f>
        <v/>
      </c>
      <c r="AV29" s="175">
        <f>IF(AND(OR($B16="Item comum"),$C16&lt;&gt;"",$U16=""),$L16,"")</f>
        <v/>
      </c>
      <c r="AW29" s="175">
        <f>IF(AND(OR($B16="Item comum"),$C16&lt;&gt;"",$U16=""),$M16,"")</f>
        <v/>
      </c>
      <c r="AX29" s="175">
        <f>IF(AND(OR($B16="Item comum"),$C16&lt;&gt;"",$U16=""),$R16,"")</f>
        <v/>
      </c>
      <c r="AZ29" s="175" t="inlineStr">
        <is>
          <t>Orientação Instintiva</t>
        </is>
      </c>
      <c r="BA29" s="175" t="inlineStr">
        <is>
          <t>Receptáculo</t>
        </is>
      </c>
      <c r="BB29" s="175" t="inlineStr">
        <is>
          <t>menor</t>
        </is>
      </c>
      <c r="BC29" s="175" t="inlineStr"/>
      <c r="BD29" s="175" t="inlineStr">
        <is>
          <t>Uma vez por dia</t>
        </is>
      </c>
      <c r="BE29" s="175" t="inlineStr">
        <is>
          <t>Uma vez por dia, após falhar em um teste de perícia seu, repita a rolagem com os mesmos modificadores e aceite o segundo resultado. Não exige outra ação e não inclui ataques, TRs ou Ofícios.</t>
        </is>
      </c>
      <c r="BG29" s="175">
        <f>IF(AND(OR($B21="Origem"),$C21&lt;&gt;"",$T21=TRUE),$C21,"")</f>
        <v/>
      </c>
      <c r="BH29" s="175">
        <f>IF(AND(OR($B21="Origem"),$C21&lt;&gt;"",$T21=TRUE),TEXTJOIN(" · ",TRUE,$E21:$H21),"")</f>
        <v/>
      </c>
      <c r="BI29" s="175">
        <f>IF(AND(OR($B21="Origem"),$C21&lt;&gt;"",$T21=TRUE),$I21,"")</f>
        <v/>
      </c>
      <c r="BM29" s="175" t="inlineStr">
        <is>
          <t>Katana</t>
        </is>
      </c>
      <c r="BN29" s="175" t="inlineStr">
        <is>
          <t>Arma</t>
        </is>
      </c>
      <c r="BO29" s="175" t="n">
        <v>0</v>
      </c>
      <c r="BP29" s="175" t="inlineStr">
        <is>
          <t>—</t>
        </is>
      </c>
      <c r="BQ29" s="175" t="inlineStr">
        <is>
          <t>—</t>
        </is>
      </c>
      <c r="BR29" s="175" t="n">
        <v>1</v>
      </c>
      <c r="BS29" s="175" t="inlineStr">
        <is>
          <t>—</t>
        </is>
      </c>
      <c r="BT29" s="175" t="inlineStr"/>
      <c r="BU29" s="175" t="inlineStr"/>
      <c r="BV29" s="175" t="inlineStr">
        <is>
          <t>Cofre da Família</t>
        </is>
      </c>
      <c r="CC29" s="175">
        <f>IF(OR('CONFIGURAÇÃO'!$AB$275="Origem"),'CONFIGURAÇÃO'!$AB$277,"")</f>
        <v/>
      </c>
      <c r="CK29" s="175" t="inlineStr">
        <is>
          <t>Marreta</t>
        </is>
      </c>
      <c r="CL29" s="175">
        <f>IF(OR('CONFIGURAÇÃO'!$T$188="Marcante"),'CONFIGURAÇÃO'!$T$190,"")</f>
        <v/>
      </c>
      <c r="CS29" s="175">
        <f>IF(AND($B16="Origem",$T16=TRUE),$C16,"")</f>
        <v/>
      </c>
    </row>
    <row r="30">
      <c r="AA30" s="175" t="inlineStr">
        <is>
          <t>Manriki</t>
        </is>
      </c>
      <c r="AB30" s="175" t="inlineStr">
        <is>
          <t>Flexível</t>
        </is>
      </c>
      <c r="AC30" s="175" t="n">
        <v>1</v>
      </c>
      <c r="AD30" s="175" t="inlineStr">
        <is>
          <t>1d6</t>
        </is>
      </c>
      <c r="AE30" s="175" t="inlineStr">
        <is>
          <t>Emaranha · Oculta · Leve</t>
        </is>
      </c>
      <c r="AF30" s="175" t="inlineStr">
        <is>
          <t>—</t>
        </is>
      </c>
      <c r="AG30" s="175" t="n">
        <v>0.5</v>
      </c>
      <c r="AJ30" s="175">
        <f>'FICHA PESSOAL'!$AE$80</f>
        <v/>
      </c>
      <c r="AK30" s="175">
        <f>ADDRESS(ROW('FICHA PESSOAL'!AE80),COLUMN('FICHA PESSOAL'!AE80),4)</f>
        <v/>
      </c>
      <c r="AM30" s="175">
        <f>IF(AND(OR($B24="Uniforme"),$C24&lt;&gt;"",$U24=""),$C24,"")</f>
        <v/>
      </c>
      <c r="AN30" s="175">
        <f>IF(AND(OR($B24="Uniforme"),$C24&lt;&gt;"",$U24=""),$L24,"")</f>
        <v/>
      </c>
      <c r="AO30" s="175">
        <f>IF(AND(OR($B24="Uniforme"),$C24&lt;&gt;"",$U24=""),$M24,"")</f>
        <v/>
      </c>
      <c r="AP30" s="175">
        <f>IF(AND(OR($B24="Uniforme"),$C24&lt;&gt;"",$U24=""),$N24,"")</f>
        <v/>
      </c>
      <c r="AQ30" s="175">
        <f>IF(AND(OR($B24="Uniforme"),$C24&lt;&gt;"",$U24=""),$O24,"")</f>
        <v/>
      </c>
      <c r="AR30" s="175">
        <f>IF(AND(OR($B24="Uniforme"),$C24&lt;&gt;"",$U24=""),IFERROR(VLOOKUP($E24,DADOS!$CF$5:$CH$9,3,FALSE),1),"")</f>
        <v/>
      </c>
      <c r="AS30" s="175">
        <f>IF(AND(OR($B24="Uniforme"),$C24&lt;&gt;"",$U24=""),$E24,"")</f>
        <v/>
      </c>
      <c r="AU30" s="175">
        <f>IF(AND(OR($B17="Item comum"),$C17&lt;&gt;"",$U17=""),$C17,"")</f>
        <v/>
      </c>
      <c r="AV30" s="175">
        <f>IF(AND(OR($B17="Item comum"),$C17&lt;&gt;"",$U17=""),$L17,"")</f>
        <v/>
      </c>
      <c r="AW30" s="175">
        <f>IF(AND(OR($B17="Item comum"),$C17&lt;&gt;"",$U17=""),$M17,"")</f>
        <v/>
      </c>
      <c r="AX30" s="175">
        <f>IF(AND(OR($B17="Item comum"),$C17&lt;&gt;"",$U17=""),$R17,"")</f>
        <v/>
      </c>
      <c r="AZ30" s="175" t="inlineStr">
        <is>
          <t>Conselho Interior</t>
        </is>
      </c>
      <c r="BA30" s="175" t="inlineStr">
        <is>
          <t>Receptáculo</t>
        </is>
      </c>
      <c r="BB30" s="175" t="inlineStr">
        <is>
          <t>menor</t>
        </is>
      </c>
      <c r="BC30" s="175" t="inlineStr">
        <is>
          <t>Coexistência</t>
        </is>
      </c>
      <c r="BD30" s="175" t="inlineStr">
        <is>
          <t>Uma vez por cena</t>
        </is>
      </c>
      <c r="BE30" s="175" t="inlineStr">
        <is>
          <t>Requisito: Coexistência. Uma vez por cena, após falhar em Intuição ou Ocultismo, repita o teste e aceite o segundo resultado. As duas perícias compartilham o uso. A presença interpreta os indícios disponíveis; não lê pensamentos nem oferece conhecimento infalível.</t>
        </is>
      </c>
      <c r="BG30" s="175">
        <f>IF(AND(OR($B22="Origem"),$C22&lt;&gt;"",$T22=TRUE),$C22,"")</f>
        <v/>
      </c>
      <c r="BH30" s="175">
        <f>IF(AND(OR($B22="Origem"),$C22&lt;&gt;"",$T22=TRUE),TEXTJOIN(" · ",TRUE,$E22:$H22),"")</f>
        <v/>
      </c>
      <c r="BI30" s="175">
        <f>IF(AND(OR($B22="Origem"),$C22&lt;&gt;"",$T22=TRUE),$I22,"")</f>
        <v/>
      </c>
      <c r="BM30" s="175" t="inlineStr">
        <is>
          <t>Kunai</t>
        </is>
      </c>
      <c r="BN30" s="175" t="inlineStr">
        <is>
          <t>Arma</t>
        </is>
      </c>
      <c r="BO30" s="175" t="n">
        <v>0</v>
      </c>
      <c r="BP30" s="175" t="inlineStr">
        <is>
          <t>—</t>
        </is>
      </c>
      <c r="BQ30" s="175" t="inlineStr">
        <is>
          <t>—</t>
        </is>
      </c>
      <c r="BR30" s="175" t="n">
        <v>0.2</v>
      </c>
      <c r="BS30" s="175" t="inlineStr">
        <is>
          <t>—</t>
        </is>
      </c>
      <c r="BT30" s="175" t="inlineStr"/>
      <c r="BU30" s="175" t="inlineStr"/>
      <c r="BV30" s="175" t="inlineStr">
        <is>
          <t>Conflito</t>
        </is>
      </c>
      <c r="CC30" s="175">
        <f>IF(OR('CONFIGURAÇÃO'!$T$304="Origem"),'CONFIGURAÇÃO'!$T$306,"")</f>
        <v/>
      </c>
      <c r="CK30" s="175" t="inlineStr">
        <is>
          <t>Maul</t>
        </is>
      </c>
      <c r="CL30" s="175">
        <f>IF(OR('CONFIGURAÇÃO'!$AB$188="Marcante"),'CONFIGURAÇÃO'!$AB$190,"")</f>
        <v/>
      </c>
      <c r="CS30" s="175">
        <f>IF(AND($B17="Origem",$T17=TRUE),$C17,"")</f>
        <v/>
      </c>
    </row>
    <row r="31">
      <c r="AA31" s="175" t="inlineStr">
        <is>
          <t>Marreta</t>
        </is>
      </c>
      <c r="AB31" s="175" t="inlineStr">
        <is>
          <t>Massa</t>
        </is>
      </c>
      <c r="AC31" s="175" t="n">
        <v>2</v>
      </c>
      <c r="AD31" s="175" t="inlineStr">
        <is>
          <t>1d10</t>
        </is>
      </c>
      <c r="AE31" s="175" t="inlineStr">
        <is>
          <t>Rompe · Talha</t>
        </is>
      </c>
      <c r="AF31" s="175" t="n">
        <v>3</v>
      </c>
      <c r="AG31" s="175" t="n">
        <v>3</v>
      </c>
      <c r="AJ31" s="175">
        <f>'FICHA PESSOAL'!$AM$73</f>
        <v/>
      </c>
      <c r="AK31" s="175">
        <f>ADDRESS(ROW('FICHA PESSOAL'!AM73),COLUMN('FICHA PESSOAL'!AM73),4)</f>
        <v/>
      </c>
      <c r="AM31" s="175">
        <f>IF(AND(OR($B25="Uniforme"),$C25&lt;&gt;"",$U25=""),$C25,"")</f>
        <v/>
      </c>
      <c r="AN31" s="175">
        <f>IF(AND(OR($B25="Uniforme"),$C25&lt;&gt;"",$U25=""),$L25,"")</f>
        <v/>
      </c>
      <c r="AO31" s="175">
        <f>IF(AND(OR($B25="Uniforme"),$C25&lt;&gt;"",$U25=""),$M25,"")</f>
        <v/>
      </c>
      <c r="AP31" s="175">
        <f>IF(AND(OR($B25="Uniforme"),$C25&lt;&gt;"",$U25=""),$N25,"")</f>
        <v/>
      </c>
      <c r="AQ31" s="175">
        <f>IF(AND(OR($B25="Uniforme"),$C25&lt;&gt;"",$U25=""),$O25,"")</f>
        <v/>
      </c>
      <c r="AR31" s="175">
        <f>IF(AND(OR($B25="Uniforme"),$C25&lt;&gt;"",$U25=""),IFERROR(VLOOKUP($E25,DADOS!$CF$5:$CH$9,3,FALSE),1),"")</f>
        <v/>
      </c>
      <c r="AS31" s="175">
        <f>IF(AND(OR($B25="Uniforme"),$C25&lt;&gt;"",$U25=""),$E25,"")</f>
        <v/>
      </c>
      <c r="AU31" s="175">
        <f>IF(AND(OR($B18="Item comum"),$C18&lt;&gt;"",$U18=""),$C18,"")</f>
        <v/>
      </c>
      <c r="AV31" s="175">
        <f>IF(AND(OR($B18="Item comum"),$C18&lt;&gt;"",$U18=""),$L18,"")</f>
        <v/>
      </c>
      <c r="AW31" s="175">
        <f>IF(AND(OR($B18="Item comum"),$C18&lt;&gt;"",$U18=""),$M18,"")</f>
        <v/>
      </c>
      <c r="AX31" s="175">
        <f>IF(AND(OR($B18="Item comum"),$C18&lt;&gt;"",$U18=""),$R18,"")</f>
        <v/>
      </c>
      <c r="AZ31" s="175" t="inlineStr">
        <is>
          <t>Vontade de Cárcere</t>
        </is>
      </c>
      <c r="BA31" s="175" t="inlineStr">
        <is>
          <t>Receptáculo</t>
        </is>
      </c>
      <c r="BB31" s="175" t="inlineStr">
        <is>
          <t>menor</t>
        </is>
      </c>
      <c r="BC31" s="175" t="inlineStr">
        <is>
          <t>Conflito</t>
        </is>
      </c>
      <c r="BD31" s="175" t="inlineStr">
        <is>
          <t>Uma vez por cena</t>
        </is>
      </c>
      <c r="BE31" s="175" t="inlineStr">
        <is>
          <t>Requisito: Conflito. Uma vez por cena, após falhar em um TR que o efeito já permita para evitar ou encerrar Enfeitiçado ou Amedrontado, repita o teste e aceite o segundo resultado. As condições compartilham o uso.
Não cria um TR novo, antecipa uma tentativa de saída ou devolve ações consumidas.</t>
        </is>
      </c>
      <c r="BG31" s="175">
        <f>IF(AND(OR($B23="Origem"),$C23&lt;&gt;"",$T23=TRUE),$C23,"")</f>
        <v/>
      </c>
      <c r="BH31" s="175">
        <f>IF(AND(OR($B23="Origem"),$C23&lt;&gt;"",$T23=TRUE),TEXTJOIN(" · ",TRUE,$E23:$H23),"")</f>
        <v/>
      </c>
      <c r="BI31" s="175">
        <f>IF(AND(OR($B23="Origem"),$C23&lt;&gt;"",$T23=TRUE),$I23,"")</f>
        <v/>
      </c>
      <c r="BM31" s="175" t="inlineStr">
        <is>
          <t>Kusarigama</t>
        </is>
      </c>
      <c r="BN31" s="175" t="inlineStr">
        <is>
          <t>Arma</t>
        </is>
      </c>
      <c r="BO31" s="175" t="n">
        <v>0</v>
      </c>
      <c r="BP31" s="175" t="inlineStr">
        <is>
          <t>—</t>
        </is>
      </c>
      <c r="BQ31" s="175" t="inlineStr">
        <is>
          <t>—</t>
        </is>
      </c>
      <c r="BR31" s="175" t="n">
        <v>2</v>
      </c>
      <c r="BS31" s="175" t="inlineStr">
        <is>
          <t>—</t>
        </is>
      </c>
      <c r="BT31" s="175" t="inlineStr"/>
      <c r="BU31" s="175" t="inlineStr"/>
      <c r="BV31" s="175" t="inlineStr">
        <is>
          <t>Conselho Interior</t>
        </is>
      </c>
      <c r="CC31" s="175">
        <f>IF(OR('CONFIGURAÇÃO'!$AB$304="Origem"),'CONFIGURAÇÃO'!$AB$306,"")</f>
        <v/>
      </c>
      <c r="CK31" s="175" t="inlineStr">
        <is>
          <t>Maça</t>
        </is>
      </c>
      <c r="CL31" s="175">
        <f>IF(OR('CONFIGURAÇÃO'!$T$217="Marcante"),'CONFIGURAÇÃO'!$T$219,"")</f>
        <v/>
      </c>
      <c r="CS31" s="175">
        <f>IF(AND($B18="Origem",$T18=TRUE),$C18,"")</f>
        <v/>
      </c>
    </row>
    <row r="32">
      <c r="AA32" s="175" t="inlineStr">
        <is>
          <t>Maul</t>
        </is>
      </c>
      <c r="AB32" s="175" t="inlineStr">
        <is>
          <t>Massa</t>
        </is>
      </c>
      <c r="AC32" s="175" t="n">
        <v>2</v>
      </c>
      <c r="AD32" s="175" t="inlineStr">
        <is>
          <t>1d12</t>
        </is>
      </c>
      <c r="AE32" s="175" t="inlineStr">
        <is>
          <t>Rompe</t>
        </is>
      </c>
      <c r="AF32" s="175" t="n">
        <v>3</v>
      </c>
      <c r="AG32" s="175" t="n">
        <v>3</v>
      </c>
      <c r="AJ32" s="175">
        <f>'FICHA PESSOAL'!$AM$74</f>
        <v/>
      </c>
      <c r="AK32" s="175">
        <f>ADDRESS(ROW('FICHA PESSOAL'!AM74),COLUMN('FICHA PESSOAL'!AM74),4)</f>
        <v/>
      </c>
      <c r="AM32" s="175">
        <f>IF(AND(OR($B26="Uniforme"),$C26&lt;&gt;"",$U26=""),$C26,"")</f>
        <v/>
      </c>
      <c r="AN32" s="175">
        <f>IF(AND(OR($B26="Uniforme"),$C26&lt;&gt;"",$U26=""),$L26,"")</f>
        <v/>
      </c>
      <c r="AO32" s="175">
        <f>IF(AND(OR($B26="Uniforme"),$C26&lt;&gt;"",$U26=""),$M26,"")</f>
        <v/>
      </c>
      <c r="AP32" s="175">
        <f>IF(AND(OR($B26="Uniforme"),$C26&lt;&gt;"",$U26=""),$N26,"")</f>
        <v/>
      </c>
      <c r="AQ32" s="175">
        <f>IF(AND(OR($B26="Uniforme"),$C26&lt;&gt;"",$U26=""),$O26,"")</f>
        <v/>
      </c>
      <c r="AR32" s="175">
        <f>IF(AND(OR($B26="Uniforme"),$C26&lt;&gt;"",$U26=""),IFERROR(VLOOKUP($E26,DADOS!$CF$5:$CH$9,3,FALSE),1),"")</f>
        <v/>
      </c>
      <c r="AS32" s="175">
        <f>IF(AND(OR($B26="Uniforme"),$C26&lt;&gt;"",$U26=""),$E26,"")</f>
        <v/>
      </c>
      <c r="AU32" s="175">
        <f>IF(AND(OR($B19="Item comum"),$C19&lt;&gt;"",$U19=""),$C19,"")</f>
        <v/>
      </c>
      <c r="AV32" s="175">
        <f>IF(AND(OR($B19="Item comum"),$C19&lt;&gt;"",$U19=""),$L19,"")</f>
        <v/>
      </c>
      <c r="AW32" s="175">
        <f>IF(AND(OR($B19="Item comum"),$C19&lt;&gt;"",$U19=""),$M19,"")</f>
        <v/>
      </c>
      <c r="AX32" s="175">
        <f>IF(AND(OR($B19="Item comum"),$C19&lt;&gt;"",$U19=""),$R19,"")</f>
        <v/>
      </c>
      <c r="AZ32" s="175" t="inlineStr">
        <is>
          <t>Cofre da Família</t>
        </is>
      </c>
      <c r="BA32" s="175" t="inlineStr">
        <is>
          <t>Descendente</t>
        </is>
      </c>
      <c r="BB32" s="175" t="inlineStr">
        <is>
          <t>menor</t>
        </is>
      </c>
      <c r="BC32" s="175" t="inlineStr">
        <is>
          <t>Zenin</t>
        </is>
      </c>
      <c r="BD32" s="175" t="inlineStr">
        <is>
          <t>Passiva</t>
        </is>
      </c>
      <c r="BE32" s="175" t="inlineStr">
        <is>
          <t>Exclusiva Zenin. Receba uma ferramenta amaldiçoada emprestada por vez, de grau igual ou inferior à sua patente reconhecida, até grau 1. Para trocar, volte ao cofre e devolva a anterior.
Armas de grau 1 exigem feitos que justifiquem o acesso e autorização do mestre. Ferramentas especiais ficam fora da concessão. Mantenha os requisitos próprios da ferramenta; nível não substitui patente.</t>
        </is>
      </c>
      <c r="BG32" s="175">
        <f>IF(AND(OR($B24="Origem"),$C24&lt;&gt;"",$T24=TRUE),$C24,"")</f>
        <v/>
      </c>
      <c r="BH32" s="175">
        <f>IF(AND(OR($B24="Origem"),$C24&lt;&gt;"",$T24=TRUE),TEXTJOIN(" · ",TRUE,$E24:$H24),"")</f>
        <v/>
      </c>
      <c r="BI32" s="175">
        <f>IF(AND(OR($B24="Origem"),$C24&lt;&gt;"",$T24=TRUE),$I24,"")</f>
        <v/>
      </c>
      <c r="BM32" s="175" t="inlineStr">
        <is>
          <t>Lança</t>
        </is>
      </c>
      <c r="BN32" s="175" t="inlineStr">
        <is>
          <t>Arma</t>
        </is>
      </c>
      <c r="BO32" s="175" t="n">
        <v>0</v>
      </c>
      <c r="BP32" s="175" t="inlineStr">
        <is>
          <t>—</t>
        </is>
      </c>
      <c r="BQ32" s="175" t="inlineStr">
        <is>
          <t>—</t>
        </is>
      </c>
      <c r="BR32" s="175" t="n">
        <v>2</v>
      </c>
      <c r="BS32" s="175" t="inlineStr">
        <is>
          <t>—</t>
        </is>
      </c>
      <c r="BT32" s="175" t="inlineStr"/>
      <c r="BU32" s="175" t="inlineStr"/>
      <c r="BV32" s="175" t="inlineStr">
        <is>
          <t>Construção Especializada</t>
        </is>
      </c>
      <c r="CC32" s="175">
        <f>IF(OR('CONFIGURAÇÃO'!$T$333="Origem"),'CONFIGURAÇÃO'!$T$335,"")</f>
        <v/>
      </c>
      <c r="CK32" s="175" t="inlineStr">
        <is>
          <t>Metralhadora Pesada</t>
        </is>
      </c>
      <c r="CL32" s="175">
        <f>IF(OR('CONFIGURAÇÃO'!$AB$217="Marcante"),'CONFIGURAÇÃO'!$AB$219,"")</f>
        <v/>
      </c>
      <c r="CS32" s="175">
        <f>IF(AND($B19="Origem",$T19=TRUE),$C19,"")</f>
        <v/>
      </c>
    </row>
    <row r="33">
      <c r="AA33" s="175" t="inlineStr">
        <is>
          <t>Médio</t>
        </is>
      </c>
      <c r="AB33" s="175" t="inlineStr">
        <is>
          <t>Escudo</t>
        </is>
      </c>
      <c r="AC33" s="175" t="n">
        <v>1</v>
      </c>
      <c r="AD33" s="175" t="inlineStr">
        <is>
          <t>—</t>
        </is>
      </c>
      <c r="AE33" s="175" t="inlineStr">
        <is>
          <t>Proteção +2 · teto de Destreza 3</t>
        </is>
      </c>
      <c r="AF33" s="175" t="n">
        <v>3</v>
      </c>
      <c r="AG33" s="175" t="n">
        <v>1</v>
      </c>
      <c r="AJ33" s="175">
        <f>TRUE</f>
        <v/>
      </c>
      <c r="AM33" s="175">
        <f>IF(AND(AND($B2="Ferramenta amaldiçoada",$T2=TRUE),IFERROR(VLOOKUP($E2,'DADOS_CUSTOM'!$BM$2:$BU$100,2,FALSE),"")="Uniforme"),$C2,"")</f>
        <v/>
      </c>
      <c r="AN33" s="175">
        <f>IF(AND(AND($B2="Ferramenta amaldiçoada",$T2=TRUE),IFERROR(VLOOKUP($E2,'DADOS_CUSTOM'!$BM$2:$BU$100,2,FALSE),"")="Uniforme"),IFERROR(VLOOKUP($E2,'DADOS_CUSTOM'!$AM$2:$AS$32,2,FALSE),""),"")</f>
        <v/>
      </c>
      <c r="AO33" s="175">
        <f>IF(AND(AND($B2="Ferramenta amaldiçoada",$T2=TRUE),IFERROR(VLOOKUP($E2,'DADOS_CUSTOM'!$BM$2:$BU$100,2,FALSE),"")="Uniforme"),IFERROR(VLOOKUP($E2,'DADOS_CUSTOM'!$AM$2:$AS$32,3,FALSE),""),"")</f>
        <v/>
      </c>
      <c r="AP33" s="175">
        <f>IF(AND(AND($B2="Ferramenta amaldiçoada",$T2=TRUE),IFERROR(VLOOKUP($E2,'DADOS_CUSTOM'!$BM$2:$BU$100,2,FALSE),"")="Uniforme"),IFERROR(VLOOKUP($E2,'DADOS_CUSTOM'!$AM$2:$AS$32,4,FALSE),""),"")</f>
        <v/>
      </c>
      <c r="AQ33" s="175">
        <f>IF(AND(AND($B2="Ferramenta amaldiçoada",$T2=TRUE),IFERROR(VLOOKUP($E2,'DADOS_CUSTOM'!$BM$2:$BU$100,2,FALSE),"")="Uniforme"),IF($N2="",IFERROR(VLOOKUP($E2,'DADOS_CUSTOM'!$AM$2:$AS$32,5,FALSE),""),$N2),"")</f>
        <v/>
      </c>
      <c r="AR33" s="175">
        <f>IF(AND(AND($B2="Ferramenta amaldiçoada",$T2=TRUE),IFERROR(VLOOKUP($E2,'DADOS_CUSTOM'!$BM$2:$BU$100,2,FALSE),"")="Uniforme"),IFERROR(VLOOKUP($E2,'DADOS_CUSTOM'!$AM$2:$AS$32,6,FALSE),""),"")</f>
        <v/>
      </c>
      <c r="AS33" s="175">
        <f>IF(AND(AND($B2="Ferramenta amaldiçoada",$T2=TRUE),IFERROR(VLOOKUP($E2,'DADOS_CUSTOM'!$BM$2:$BU$100,2,FALSE),"")="Uniforme"),IFERROR(VLOOKUP($E2,'DADOS_CUSTOM'!$AM$2:$AS$32,7,FALSE),""),"")</f>
        <v/>
      </c>
      <c r="AU33" s="175">
        <f>IF(AND(OR($B20="Item comum"),$C20&lt;&gt;"",$U20=""),$C20,"")</f>
        <v/>
      </c>
      <c r="AV33" s="175">
        <f>IF(AND(OR($B20="Item comum"),$C20&lt;&gt;"",$U20=""),$L20,"")</f>
        <v/>
      </c>
      <c r="AW33" s="175">
        <f>IF(AND(OR($B20="Item comum"),$C20&lt;&gt;"",$U20=""),$M20,"")</f>
        <v/>
      </c>
      <c r="AX33" s="175">
        <f>IF(AND(OR($B20="Item comum"),$C20&lt;&gt;"",$U20=""),$R20,"")</f>
        <v/>
      </c>
      <c r="AZ33" s="175" t="inlineStr">
        <is>
          <t>Ensaio Partilhado</t>
        </is>
      </c>
      <c r="BA33" s="175" t="inlineStr">
        <is>
          <t>Descendente</t>
        </is>
      </c>
      <c r="BB33" s="175" t="inlineStr">
        <is>
          <t>menor</t>
        </is>
      </c>
      <c r="BC33" s="175" t="inlineStr">
        <is>
          <t>Kamo</t>
        </is>
      </c>
      <c r="BD33" s="175" t="inlineStr">
        <is>
          <t>No descanso curto</t>
        </is>
      </c>
      <c r="BE33" s="175" t="inlineStr">
        <is>
          <t>Exclusiva Kamo. Durante um descanso curto, pode rerrolar uma vez cada resultado de Execução Ensaiada ainda disponível, com um d20 por resultado, aceitando os novos valores. Não recupera resultados gastos, repete o ensaio de três dados ou muda as competências escolhidas.
Ao concluir um descanso longo e realizar o ensaio normal, pode entregar um dos resultados a um aliado treinado na perícia ou Ofício ensaiado, que tenha praticado com você. Retire o resultado da sua reserva. O aliado o usa antes da rolagem, substituindo um d20 pelo procedimento do ensaio. Não transmite TR, treino ou a capacidade de rerrolar durante descanso curto.
O resultado é consumido no uso e expira ao fim do dia em jogo ou no próximo descanso longo do Kamo, o que vier primeiro.</t>
        </is>
      </c>
      <c r="BG33" s="175">
        <f>IF(AND(OR($B25="Origem"),$C25&lt;&gt;"",$T25=TRUE),$C25,"")</f>
        <v/>
      </c>
      <c r="BH33" s="175">
        <f>IF(AND(OR($B25="Origem"),$C25&lt;&gt;"",$T25=TRUE),TEXTJOIN(" · ",TRUE,$E25:$H25),"")</f>
        <v/>
      </c>
      <c r="BI33" s="175">
        <f>IF(AND(OR($B25="Origem"),$C25&lt;&gt;"",$T25=TRUE),$I25,"")</f>
        <v/>
      </c>
      <c r="BM33" s="175" t="inlineStr">
        <is>
          <t>Machadinha</t>
        </is>
      </c>
      <c r="BN33" s="175" t="inlineStr">
        <is>
          <t>Arma</t>
        </is>
      </c>
      <c r="BO33" s="175" t="n">
        <v>0</v>
      </c>
      <c r="BP33" s="175" t="inlineStr">
        <is>
          <t>—</t>
        </is>
      </c>
      <c r="BQ33" s="175" t="inlineStr">
        <is>
          <t>—</t>
        </is>
      </c>
      <c r="BR33" s="175" t="n">
        <v>0.5</v>
      </c>
      <c r="BS33" s="175" t="inlineStr">
        <is>
          <t>—</t>
        </is>
      </c>
      <c r="BT33" s="175" t="inlineStr"/>
      <c r="BU33" s="175" t="inlineStr"/>
      <c r="BV33" s="175" t="inlineStr">
        <is>
          <t>Contribuição Decisiva</t>
        </is>
      </c>
      <c r="CC33" s="175">
        <f>IF(OR('CONFIGURAÇÃO'!$AB$333="Origem"),'CONFIGURAÇÃO'!$AB$335,"")</f>
        <v/>
      </c>
      <c r="CK33" s="175" t="inlineStr">
        <is>
          <t>Naginata</t>
        </is>
      </c>
      <c r="CL33" s="175">
        <f>IF(OR('CONFIGURAÇÃO'!$T$246="Marcante"),'CONFIGURAÇÃO'!$T$248,"")</f>
        <v/>
      </c>
      <c r="CS33" s="175">
        <f>IF(AND($B20="Origem",$T20=TRUE),$C20,"")</f>
        <v/>
      </c>
    </row>
    <row r="34">
      <c r="AA34" s="175" t="inlineStr">
        <is>
          <t>Metralhadora Pesada</t>
        </is>
      </c>
      <c r="AB34" s="175" t="inlineStr">
        <is>
          <t>Arma de Fogo</t>
        </is>
      </c>
      <c r="AC34" s="175" t="n">
        <v>2</v>
      </c>
      <c r="AD34" s="175" t="inlineStr">
        <is>
          <t>2d10</t>
        </is>
      </c>
      <c r="AE34" s="175" t="inlineStr">
        <is>
          <t>Longo Alcance · Munição · Rompe · Volumosa</t>
        </is>
      </c>
      <c r="AF34" s="175" t="n">
        <v>3</v>
      </c>
      <c r="AG34" s="175" t="n">
        <v>4</v>
      </c>
      <c r="AH34" s="175" t="inlineStr">
        <is>
          <t>24 m, longa 72 m</t>
        </is>
      </c>
      <c r="AI34" s="175" t="n">
        <v>4</v>
      </c>
      <c r="AJ34" s="175">
        <f>'FICHA PESSOAL'!$M$73</f>
        <v/>
      </c>
      <c r="AK34" s="175">
        <f>ADDRESS(ROW('FICHA PESSOAL'!M73),COLUMN('FICHA PESSOAL'!M73),4)</f>
        <v/>
      </c>
      <c r="AM34" s="175">
        <f>IF(AND(AND($B3="Ferramenta amaldiçoada",$T3=TRUE),IFERROR(VLOOKUP($E3,'DADOS_CUSTOM'!$BM$2:$BU$100,2,FALSE),"")="Uniforme"),$C3,"")</f>
        <v/>
      </c>
      <c r="AN34" s="175">
        <f>IF(AND(AND($B3="Ferramenta amaldiçoada",$T3=TRUE),IFERROR(VLOOKUP($E3,'DADOS_CUSTOM'!$BM$2:$BU$100,2,FALSE),"")="Uniforme"),IFERROR(VLOOKUP($E3,'DADOS_CUSTOM'!$AM$2:$AS$32,2,FALSE),""),"")</f>
        <v/>
      </c>
      <c r="AO34" s="175">
        <f>IF(AND(AND($B3="Ferramenta amaldiçoada",$T3=TRUE),IFERROR(VLOOKUP($E3,'DADOS_CUSTOM'!$BM$2:$BU$100,2,FALSE),"")="Uniforme"),IFERROR(VLOOKUP($E3,'DADOS_CUSTOM'!$AM$2:$AS$32,3,FALSE),""),"")</f>
        <v/>
      </c>
      <c r="AP34" s="175">
        <f>IF(AND(AND($B3="Ferramenta amaldiçoada",$T3=TRUE),IFERROR(VLOOKUP($E3,'DADOS_CUSTOM'!$BM$2:$BU$100,2,FALSE),"")="Uniforme"),IFERROR(VLOOKUP($E3,'DADOS_CUSTOM'!$AM$2:$AS$32,4,FALSE),""),"")</f>
        <v/>
      </c>
      <c r="AQ34" s="175">
        <f>IF(AND(AND($B3="Ferramenta amaldiçoada",$T3=TRUE),IFERROR(VLOOKUP($E3,'DADOS_CUSTOM'!$BM$2:$BU$100,2,FALSE),"")="Uniforme"),IF($N3="",IFERROR(VLOOKUP($E3,'DADOS_CUSTOM'!$AM$2:$AS$32,5,FALSE),""),$N3),"")</f>
        <v/>
      </c>
      <c r="AR34" s="175">
        <f>IF(AND(AND($B3="Ferramenta amaldiçoada",$T3=TRUE),IFERROR(VLOOKUP($E3,'DADOS_CUSTOM'!$BM$2:$BU$100,2,FALSE),"")="Uniforme"),IFERROR(VLOOKUP($E3,'DADOS_CUSTOM'!$AM$2:$AS$32,6,FALSE),""),"")</f>
        <v/>
      </c>
      <c r="AS34" s="175">
        <f>IF(AND(AND($B3="Ferramenta amaldiçoada",$T3=TRUE),IFERROR(VLOOKUP($E3,'DADOS_CUSTOM'!$BM$2:$BU$100,2,FALSE),"")="Uniforme"),IFERROR(VLOOKUP($E3,'DADOS_CUSTOM'!$AM$2:$AS$32,7,FALSE),""),"")</f>
        <v/>
      </c>
      <c r="AU34" s="175">
        <f>IF(AND(OR($B21="Item comum"),$C21&lt;&gt;"",$U21=""),$C21,"")</f>
        <v/>
      </c>
      <c r="AV34" s="175">
        <f>IF(AND(OR($B21="Item comum"),$C21&lt;&gt;"",$U21=""),$L21,"")</f>
        <v/>
      </c>
      <c r="AW34" s="175">
        <f>IF(AND(OR($B21="Item comum"),$C21&lt;&gt;"",$U21=""),$M21,"")</f>
        <v/>
      </c>
      <c r="AX34" s="175">
        <f>IF(AND(OR($B21="Item comum"),$C21&lt;&gt;"",$U21=""),$R21,"")</f>
        <v/>
      </c>
      <c r="AZ34" s="175" t="inlineStr">
        <is>
          <t>Método Reescrito</t>
        </is>
      </c>
      <c r="BA34" s="175" t="inlineStr">
        <is>
          <t>Descendente</t>
        </is>
      </c>
      <c r="BB34" s="175" t="inlineStr">
        <is>
          <t>menor</t>
        </is>
      </c>
      <c r="BC34" s="175" t="inlineStr">
        <is>
          <t>Gojo</t>
        </is>
      </c>
      <c r="BD34" s="175" t="inlineStr">
        <is>
          <t>No descanso longo</t>
        </is>
      </c>
      <c r="BE34" s="175" t="inlineStr">
        <is>
          <t>Exclusiva Gojo. Ao concluir um descanso longo, pode substituir uma capacidade da lista de Execução Reservada por outro feitiço ou Manejo já conhecido. Não aprende nova capacidade, amplia a lista ou renova os usos diários por esta menor.</t>
        </is>
      </c>
      <c r="BG34" s="175">
        <f>IF(AND(OR($B26="Origem"),$C26&lt;&gt;"",$T26=TRUE),$C26,"")</f>
        <v/>
      </c>
      <c r="BH34" s="175">
        <f>IF(AND(OR($B26="Origem"),$C26&lt;&gt;"",$T26=TRUE),TEXTJOIN(" · ",TRUE,$E26:$H26),"")</f>
        <v/>
      </c>
      <c r="BI34" s="175">
        <f>IF(AND(OR($B26="Origem"),$C26&lt;&gt;"",$T26=TRUE),$I26,"")</f>
        <v/>
      </c>
      <c r="BM34" s="175" t="inlineStr">
        <is>
          <t>Machado</t>
        </is>
      </c>
      <c r="BN34" s="175" t="inlineStr">
        <is>
          <t>Arma</t>
        </is>
      </c>
      <c r="BO34" s="175" t="n">
        <v>0</v>
      </c>
      <c r="BP34" s="175" t="inlineStr">
        <is>
          <t>—</t>
        </is>
      </c>
      <c r="BQ34" s="175" t="inlineStr">
        <is>
          <t>—</t>
        </is>
      </c>
      <c r="BR34" s="175" t="n">
        <v>1</v>
      </c>
      <c r="BS34" s="175" t="inlineStr">
        <is>
          <t>—</t>
        </is>
      </c>
      <c r="BT34" s="175" t="inlineStr"/>
      <c r="BU34" s="175" t="inlineStr"/>
      <c r="BV34" s="175" t="inlineStr">
        <is>
          <t>Corda</t>
        </is>
      </c>
      <c r="CC34" s="175">
        <f>IF(OR('CONFIGURAÇÃO'!$T$362="Origem"),'CONFIGURAÇÃO'!$T$364,"")</f>
        <v/>
      </c>
      <c r="CK34" s="175" t="inlineStr">
        <is>
          <t>Nodachi</t>
        </is>
      </c>
      <c r="CL34" s="175">
        <f>IF(OR('CONFIGURAÇÃO'!$AB$246="Marcante"),'CONFIGURAÇÃO'!$AB$248,"")</f>
        <v/>
      </c>
      <c r="CS34" s="175">
        <f>IF(AND($B21="Origem",$T21=TRUE),$C21,"")</f>
        <v/>
      </c>
    </row>
    <row r="35">
      <c r="AA35" s="175" t="inlineStr">
        <is>
          <t>Naginata</t>
        </is>
      </c>
      <c r="AB35" s="175" t="inlineStr">
        <is>
          <t>Armas Longas</t>
        </is>
      </c>
      <c r="AC35" s="175" t="n">
        <v>2</v>
      </c>
      <c r="AD35" s="175" t="inlineStr">
        <is>
          <t>1d10</t>
        </is>
      </c>
      <c r="AE35" s="175" t="inlineStr">
        <is>
          <t>Alcance · Rompe</t>
        </is>
      </c>
      <c r="AF35" s="175" t="n">
        <v>3</v>
      </c>
      <c r="AG35" s="175" t="n">
        <v>2</v>
      </c>
      <c r="AJ35" s="175">
        <f>'FICHA PESSOAL'!$AM$79</f>
        <v/>
      </c>
      <c r="AK35" s="175">
        <f>ADDRESS(ROW('FICHA PESSOAL'!AM79),COLUMN('FICHA PESSOAL'!AM79),4)</f>
        <v/>
      </c>
      <c r="AM35" s="175">
        <f>IF(AND(AND($B4="Ferramenta amaldiçoada",$T4=TRUE),IFERROR(VLOOKUP($E4,'DADOS_CUSTOM'!$BM$2:$BU$100,2,FALSE),"")="Uniforme"),$C4,"")</f>
        <v/>
      </c>
      <c r="AN35" s="175">
        <f>IF(AND(AND($B4="Ferramenta amaldiçoada",$T4=TRUE),IFERROR(VLOOKUP($E4,'DADOS_CUSTOM'!$BM$2:$BU$100,2,FALSE),"")="Uniforme"),IFERROR(VLOOKUP($E4,'DADOS_CUSTOM'!$AM$2:$AS$32,2,FALSE),""),"")</f>
        <v/>
      </c>
      <c r="AO35" s="175">
        <f>IF(AND(AND($B4="Ferramenta amaldiçoada",$T4=TRUE),IFERROR(VLOOKUP($E4,'DADOS_CUSTOM'!$BM$2:$BU$100,2,FALSE),"")="Uniforme"),IFERROR(VLOOKUP($E4,'DADOS_CUSTOM'!$AM$2:$AS$32,3,FALSE),""),"")</f>
        <v/>
      </c>
      <c r="AP35" s="175">
        <f>IF(AND(AND($B4="Ferramenta amaldiçoada",$T4=TRUE),IFERROR(VLOOKUP($E4,'DADOS_CUSTOM'!$BM$2:$BU$100,2,FALSE),"")="Uniforme"),IFERROR(VLOOKUP($E4,'DADOS_CUSTOM'!$AM$2:$AS$32,4,FALSE),""),"")</f>
        <v/>
      </c>
      <c r="AQ35" s="175">
        <f>IF(AND(AND($B4="Ferramenta amaldiçoada",$T4=TRUE),IFERROR(VLOOKUP($E4,'DADOS_CUSTOM'!$BM$2:$BU$100,2,FALSE),"")="Uniforme"),IF($N4="",IFERROR(VLOOKUP($E4,'DADOS_CUSTOM'!$AM$2:$AS$32,5,FALSE),""),$N4),"")</f>
        <v/>
      </c>
      <c r="AR35" s="175">
        <f>IF(AND(AND($B4="Ferramenta amaldiçoada",$T4=TRUE),IFERROR(VLOOKUP($E4,'DADOS_CUSTOM'!$BM$2:$BU$100,2,FALSE),"")="Uniforme"),IFERROR(VLOOKUP($E4,'DADOS_CUSTOM'!$AM$2:$AS$32,6,FALSE),""),"")</f>
        <v/>
      </c>
      <c r="AS35" s="175">
        <f>IF(AND(AND($B4="Ferramenta amaldiçoada",$T4=TRUE),IFERROR(VLOOKUP($E4,'DADOS_CUSTOM'!$BM$2:$BU$100,2,FALSE),"")="Uniforme"),IFERROR(VLOOKUP($E4,'DADOS_CUSTOM'!$AM$2:$AS$32,7,FALSE),""),"")</f>
        <v/>
      </c>
      <c r="AU35" s="175">
        <f>IF(AND(OR($B22="Item comum"),$C22&lt;&gt;"",$U22=""),$C22,"")</f>
        <v/>
      </c>
      <c r="AV35" s="175">
        <f>IF(AND(OR($B22="Item comum"),$C22&lt;&gt;"",$U22=""),$L22,"")</f>
        <v/>
      </c>
      <c r="AW35" s="175">
        <f>IF(AND(OR($B22="Item comum"),$C22&lt;&gt;"",$U22=""),$M22,"")</f>
        <v/>
      </c>
      <c r="AX35" s="175">
        <f>IF(AND(OR($B22="Item comum"),$C22&lt;&gt;"",$U22=""),$R22,"")</f>
        <v/>
      </c>
      <c r="AZ35" s="175" t="inlineStr">
        <is>
          <t>Círculo Íntimo</t>
        </is>
      </c>
      <c r="BA35" s="175" t="inlineStr">
        <is>
          <t>Descendente</t>
        </is>
      </c>
      <c r="BB35" s="175" t="inlineStr">
        <is>
          <t>menor</t>
        </is>
      </c>
      <c r="BC35" s="175" t="inlineStr">
        <is>
          <t>Inumaki</t>
        </is>
      </c>
      <c r="BD35" s="175" t="inlineStr">
        <is>
          <t>No descanso longo</t>
        </is>
      </c>
      <c r="BE35" s="175" t="inlineStr">
        <is>
          <t>Exclusiva Inumaki. No descanso longo, escolha dois companheiros, em vez de um. A cada aplicação da marcante, decida com qual deles cooperar.
Os limites continuam compartilhados: um Entendimento Tácito e duas Leituras a Dois por cena. Você participa de cada dupla; os efeitos não alcançam os três ao mesmo tempo nem os dois companheiros sem você. Mantenha os demais requisitos.</t>
        </is>
      </c>
      <c r="BM35" s="175" t="inlineStr">
        <is>
          <t>Machado de Guerra</t>
        </is>
      </c>
      <c r="BN35" s="175" t="inlineStr">
        <is>
          <t>Arma</t>
        </is>
      </c>
      <c r="BO35" s="175" t="n">
        <v>0</v>
      </c>
      <c r="BP35" s="175" t="inlineStr">
        <is>
          <t>—</t>
        </is>
      </c>
      <c r="BQ35" s="175" t="n">
        <v>3</v>
      </c>
      <c r="BR35" s="175" t="n">
        <v>2</v>
      </c>
      <c r="BS35" s="175" t="inlineStr">
        <is>
          <t>—</t>
        </is>
      </c>
      <c r="BT35" s="175" t="inlineStr"/>
      <c r="BU35" s="175" t="inlineStr"/>
      <c r="BV35" s="175" t="inlineStr">
        <is>
          <t>Corpo Amaldiçoado</t>
        </is>
      </c>
      <c r="CK35" s="175" t="inlineStr">
        <is>
          <t>Nunchaku</t>
        </is>
      </c>
      <c r="CL35" s="175">
        <f>IF(OR('CONFIGURAÇÃO'!$T$275="Marcante"),'CONFIGURAÇÃO'!$T$277,"")</f>
        <v/>
      </c>
      <c r="CS35" s="175">
        <f>IF(AND($B22="Origem",$T22=TRUE),$C22,"")</f>
        <v/>
      </c>
    </row>
    <row r="36">
      <c r="AA36" s="175" t="inlineStr">
        <is>
          <t>Nodachi</t>
        </is>
      </c>
      <c r="AB36" s="175" t="inlineStr">
        <is>
          <t>Lâmina Longa</t>
        </is>
      </c>
      <c r="AC36" s="175" t="n">
        <v>2</v>
      </c>
      <c r="AD36" s="175" t="inlineStr">
        <is>
          <t>1d12</t>
        </is>
      </c>
      <c r="AE36" s="175" t="inlineStr">
        <is>
          <t>Alcance · Rompe · Volumosa</t>
        </is>
      </c>
      <c r="AF36" s="175" t="n">
        <v>3</v>
      </c>
      <c r="AG36" s="175" t="n">
        <v>2</v>
      </c>
      <c r="AJ36" s="175">
        <f>'FICHA PESSOAL'!$D$76</f>
        <v/>
      </c>
      <c r="AK36" s="175">
        <f>ADDRESS(ROW('FICHA PESSOAL'!D76),COLUMN('FICHA PESSOAL'!D76),4)</f>
        <v/>
      </c>
      <c r="AM36" s="175">
        <f>IF(AND(AND($B5="Ferramenta amaldiçoada",$T5=TRUE),IFERROR(VLOOKUP($E5,'DADOS_CUSTOM'!$BM$2:$BU$100,2,FALSE),"")="Uniforme"),$C5,"")</f>
        <v/>
      </c>
      <c r="AN36" s="175">
        <f>IF(AND(AND($B5="Ferramenta amaldiçoada",$T5=TRUE),IFERROR(VLOOKUP($E5,'DADOS_CUSTOM'!$BM$2:$BU$100,2,FALSE),"")="Uniforme"),IFERROR(VLOOKUP($E5,'DADOS_CUSTOM'!$AM$2:$AS$32,2,FALSE),""),"")</f>
        <v/>
      </c>
      <c r="AO36" s="175">
        <f>IF(AND(AND($B5="Ferramenta amaldiçoada",$T5=TRUE),IFERROR(VLOOKUP($E5,'DADOS_CUSTOM'!$BM$2:$BU$100,2,FALSE),"")="Uniforme"),IFERROR(VLOOKUP($E5,'DADOS_CUSTOM'!$AM$2:$AS$32,3,FALSE),""),"")</f>
        <v/>
      </c>
      <c r="AP36" s="175">
        <f>IF(AND(AND($B5="Ferramenta amaldiçoada",$T5=TRUE),IFERROR(VLOOKUP($E5,'DADOS_CUSTOM'!$BM$2:$BU$100,2,FALSE),"")="Uniforme"),IFERROR(VLOOKUP($E5,'DADOS_CUSTOM'!$AM$2:$AS$32,4,FALSE),""),"")</f>
        <v/>
      </c>
      <c r="AQ36" s="175">
        <f>IF(AND(AND($B5="Ferramenta amaldiçoada",$T5=TRUE),IFERROR(VLOOKUP($E5,'DADOS_CUSTOM'!$BM$2:$BU$100,2,FALSE),"")="Uniforme"),IF($N5="",IFERROR(VLOOKUP($E5,'DADOS_CUSTOM'!$AM$2:$AS$32,5,FALSE),""),$N5),"")</f>
        <v/>
      </c>
      <c r="AR36" s="175">
        <f>IF(AND(AND($B5="Ferramenta amaldiçoada",$T5=TRUE),IFERROR(VLOOKUP($E5,'DADOS_CUSTOM'!$BM$2:$BU$100,2,FALSE),"")="Uniforme"),IFERROR(VLOOKUP($E5,'DADOS_CUSTOM'!$AM$2:$AS$32,6,FALSE),""),"")</f>
        <v/>
      </c>
      <c r="AS36" s="175">
        <f>IF(AND(AND($B5="Ferramenta amaldiçoada",$T5=TRUE),IFERROR(VLOOKUP($E5,'DADOS_CUSTOM'!$BM$2:$BU$100,2,FALSE),"")="Uniforme"),IFERROR(VLOOKUP($E5,'DADOS_CUSTOM'!$AM$2:$AS$32,7,FALSE),""),"")</f>
        <v/>
      </c>
      <c r="AU36" s="175">
        <f>IF(AND(OR($B23="Item comum"),$C23&lt;&gt;"",$U23=""),$C23,"")</f>
        <v/>
      </c>
      <c r="AV36" s="175">
        <f>IF(AND(OR($B23="Item comum"),$C23&lt;&gt;"",$U23=""),$L23,"")</f>
        <v/>
      </c>
      <c r="AW36" s="175">
        <f>IF(AND(OR($B23="Item comum"),$C23&lt;&gt;"",$U23=""),$M23,"")</f>
        <v/>
      </c>
      <c r="AX36" s="175">
        <f>IF(AND(OR($B23="Item comum"),$C23&lt;&gt;"",$U23=""),$R23,"")</f>
        <v/>
      </c>
      <c r="AZ36" s="175" t="inlineStr">
        <is>
          <t>Notas de Família</t>
        </is>
      </c>
      <c r="BA36" s="175" t="inlineStr">
        <is>
          <t>Descendente</t>
        </is>
      </c>
      <c r="BB36" s="175" t="inlineStr">
        <is>
          <t>menor</t>
        </is>
      </c>
      <c r="BC36" s="175" t="inlineStr"/>
      <c r="BD36" s="175" t="inlineStr">
        <is>
          <t>Uma vez por cena</t>
        </is>
      </c>
      <c r="BE36" s="175" t="inlineStr">
        <is>
          <t>Uma vez por cena, depois de falhar em História ou Ocultismo, consulte anotações familiares para obter uma informação verdadeira, mas parcial, pertinente à pergunta e ao conhecimento registrado. A falha no objetivo completo permanece. Não fornece algo que não possa constar das anotações.</t>
        </is>
      </c>
      <c r="BM36" s="175" t="inlineStr">
        <is>
          <t>Machete</t>
        </is>
      </c>
      <c r="BN36" s="175" t="inlineStr">
        <is>
          <t>Arma</t>
        </is>
      </c>
      <c r="BO36" s="175" t="n">
        <v>0</v>
      </c>
      <c r="BP36" s="175" t="inlineStr">
        <is>
          <t>—</t>
        </is>
      </c>
      <c r="BQ36" s="175" t="inlineStr">
        <is>
          <t>—</t>
        </is>
      </c>
      <c r="BR36" s="175" t="n">
        <v>0.5</v>
      </c>
      <c r="BS36" s="175" t="inlineStr">
        <is>
          <t>—</t>
        </is>
      </c>
      <c r="BT36" s="175" t="inlineStr"/>
      <c r="BU36" s="175" t="inlineStr"/>
      <c r="BV36" s="175" t="inlineStr">
        <is>
          <t>Corpo Debilitado</t>
        </is>
      </c>
      <c r="CK36" s="175" t="inlineStr">
        <is>
          <t>Odachi</t>
        </is>
      </c>
      <c r="CL36" s="175">
        <f>IF(OR('CONFIGURAÇÃO'!$AB$275="Marcante"),'CONFIGURAÇÃO'!$AB$277,"")</f>
        <v/>
      </c>
      <c r="CS36" s="175">
        <f>IF(AND($B23="Origem",$T23=TRUE),$C23,"")</f>
        <v/>
      </c>
    </row>
    <row r="37">
      <c r="AA37" s="175" t="inlineStr">
        <is>
          <t>Nunchaku</t>
        </is>
      </c>
      <c r="AB37" s="175" t="inlineStr">
        <is>
          <t>Porrete</t>
        </is>
      </c>
      <c r="AC37" s="175" t="n">
        <v>1</v>
      </c>
      <c r="AD37" s="175" t="inlineStr">
        <is>
          <t>1d6</t>
        </is>
      </c>
      <c r="AE37" s="175" t="inlineStr">
        <is>
          <t>Par · Emaranha</t>
        </is>
      </c>
      <c r="AF37" s="175" t="inlineStr">
        <is>
          <t>—</t>
        </is>
      </c>
      <c r="AG37" s="175" t="n">
        <v>0.5</v>
      </c>
      <c r="AJ37" s="175">
        <f>'FICHA PESSOAL'!$V$75</f>
        <v/>
      </c>
      <c r="AK37" s="175">
        <f>ADDRESS(ROW('FICHA PESSOAL'!V75),COLUMN('FICHA PESSOAL'!V75),4)</f>
        <v/>
      </c>
      <c r="AM37" s="175">
        <f>IF(AND(AND($B6="Ferramenta amaldiçoada",$T6=TRUE),IFERROR(VLOOKUP($E6,'DADOS_CUSTOM'!$BM$2:$BU$100,2,FALSE),"")="Uniforme"),$C6,"")</f>
        <v/>
      </c>
      <c r="AN37" s="175">
        <f>IF(AND(AND($B6="Ferramenta amaldiçoada",$T6=TRUE),IFERROR(VLOOKUP($E6,'DADOS_CUSTOM'!$BM$2:$BU$100,2,FALSE),"")="Uniforme"),IFERROR(VLOOKUP($E6,'DADOS_CUSTOM'!$AM$2:$AS$32,2,FALSE),""),"")</f>
        <v/>
      </c>
      <c r="AO37" s="175">
        <f>IF(AND(AND($B6="Ferramenta amaldiçoada",$T6=TRUE),IFERROR(VLOOKUP($E6,'DADOS_CUSTOM'!$BM$2:$BU$100,2,FALSE),"")="Uniforme"),IFERROR(VLOOKUP($E6,'DADOS_CUSTOM'!$AM$2:$AS$32,3,FALSE),""),"")</f>
        <v/>
      </c>
      <c r="AP37" s="175">
        <f>IF(AND(AND($B6="Ferramenta amaldiçoada",$T6=TRUE),IFERROR(VLOOKUP($E6,'DADOS_CUSTOM'!$BM$2:$BU$100,2,FALSE),"")="Uniforme"),IFERROR(VLOOKUP($E6,'DADOS_CUSTOM'!$AM$2:$AS$32,4,FALSE),""),"")</f>
        <v/>
      </c>
      <c r="AQ37" s="175">
        <f>IF(AND(AND($B6="Ferramenta amaldiçoada",$T6=TRUE),IFERROR(VLOOKUP($E6,'DADOS_CUSTOM'!$BM$2:$BU$100,2,FALSE),"")="Uniforme"),IF($N6="",IFERROR(VLOOKUP($E6,'DADOS_CUSTOM'!$AM$2:$AS$32,5,FALSE),""),$N6),"")</f>
        <v/>
      </c>
      <c r="AR37" s="175">
        <f>IF(AND(AND($B6="Ferramenta amaldiçoada",$T6=TRUE),IFERROR(VLOOKUP($E6,'DADOS_CUSTOM'!$BM$2:$BU$100,2,FALSE),"")="Uniforme"),IFERROR(VLOOKUP($E6,'DADOS_CUSTOM'!$AM$2:$AS$32,6,FALSE),""),"")</f>
        <v/>
      </c>
      <c r="AS37" s="175">
        <f>IF(AND(AND($B6="Ferramenta amaldiçoada",$T6=TRUE),IFERROR(VLOOKUP($E6,'DADOS_CUSTOM'!$BM$2:$BU$100,2,FALSE),"")="Uniforme"),IFERROR(VLOOKUP($E6,'DADOS_CUSTOM'!$AM$2:$AS$32,7,FALSE),""),"")</f>
        <v/>
      </c>
      <c r="AU37" s="175">
        <f>IF(AND(OR($B24="Item comum"),$C24&lt;&gt;"",$U24=""),$C24,"")</f>
        <v/>
      </c>
      <c r="AV37" s="175">
        <f>IF(AND(OR($B24="Item comum"),$C24&lt;&gt;"",$U24=""),$L24,"")</f>
        <v/>
      </c>
      <c r="AW37" s="175">
        <f>IF(AND(OR($B24="Item comum"),$C24&lt;&gt;"",$U24=""),$M24,"")</f>
        <v/>
      </c>
      <c r="AX37" s="175">
        <f>IF(AND(OR($B24="Item comum"),$C24&lt;&gt;"",$U24=""),$R24,"")</f>
        <v/>
      </c>
      <c r="AZ37" s="175" t="inlineStr">
        <is>
          <t>Autoridade de Berço</t>
        </is>
      </c>
      <c r="BA37" s="175" t="inlineStr">
        <is>
          <t>Descendente</t>
        </is>
      </c>
      <c r="BB37" s="175" t="inlineStr">
        <is>
          <t>menor</t>
        </is>
      </c>
      <c r="BC37" s="175" t="inlineStr"/>
      <c r="BD37" s="175" t="inlineStr">
        <is>
          <t>Uma vez por cena</t>
        </is>
      </c>
      <c r="BE37" s="175" t="inlineStr">
        <is>
          <t>Uma vez por cena, antes de rolar, pode usar Hierarquia no lugar de Persuasão ou Intimidação numa interação do meio jujutsu apoiada em obrigações, precedentes ou relações institucionais. Precisa ser treinado em Hierarquia. Não força obediência.</t>
        </is>
      </c>
      <c r="BM37" s="175" t="inlineStr">
        <is>
          <t>Manriki</t>
        </is>
      </c>
      <c r="BN37" s="175" t="inlineStr">
        <is>
          <t>Arma</t>
        </is>
      </c>
      <c r="BO37" s="175" t="n">
        <v>0</v>
      </c>
      <c r="BP37" s="175" t="inlineStr">
        <is>
          <t>—</t>
        </is>
      </c>
      <c r="BQ37" s="175" t="inlineStr">
        <is>
          <t>—</t>
        </is>
      </c>
      <c r="BR37" s="175" t="n">
        <v>0.5</v>
      </c>
      <c r="BS37" s="175" t="inlineStr">
        <is>
          <t>—</t>
        </is>
      </c>
      <c r="BT37" s="175" t="inlineStr"/>
      <c r="BU37" s="175" t="inlineStr"/>
      <c r="BV37" s="175" t="inlineStr">
        <is>
          <t>Corpo Exaurido</t>
        </is>
      </c>
      <c r="CK37" s="175" t="inlineStr">
        <is>
          <t>Pistola</t>
        </is>
      </c>
      <c r="CL37" s="175">
        <f>IF(OR('CONFIGURAÇÃO'!$T$304="Marcante"),'CONFIGURAÇÃO'!$T$306,"")</f>
        <v/>
      </c>
      <c r="CS37" s="175">
        <f>IF(AND($B24="Origem",$T24=TRUE),$C24,"")</f>
        <v/>
      </c>
    </row>
    <row r="38">
      <c r="AA38" s="175" t="inlineStr">
        <is>
          <t>Odachi</t>
        </is>
      </c>
      <c r="AB38" s="175" t="inlineStr">
        <is>
          <t>Lâmina Longa</t>
        </is>
      </c>
      <c r="AC38" s="175" t="n">
        <v>2</v>
      </c>
      <c r="AD38" s="175" t="inlineStr">
        <is>
          <t>1d12</t>
        </is>
      </c>
      <c r="AE38" s="175" t="inlineStr">
        <is>
          <t>Alcance · Talha · Embainhada</t>
        </is>
      </c>
      <c r="AF38" s="175" t="n">
        <v>3</v>
      </c>
      <c r="AG38" s="175" t="n">
        <v>2</v>
      </c>
      <c r="AJ38" s="175">
        <f>'FICHA PESSOAL'!$D$77</f>
        <v/>
      </c>
      <c r="AK38" s="175">
        <f>ADDRESS(ROW('FICHA PESSOAL'!D77),COLUMN('FICHA PESSOAL'!D77),4)</f>
        <v/>
      </c>
      <c r="AM38" s="175">
        <f>IF(AND(AND($B7="Ferramenta amaldiçoada",$T7=TRUE),IFERROR(VLOOKUP($E7,'DADOS_CUSTOM'!$BM$2:$BU$100,2,FALSE),"")="Uniforme"),$C7,"")</f>
        <v/>
      </c>
      <c r="AN38" s="175">
        <f>IF(AND(AND($B7="Ferramenta amaldiçoada",$T7=TRUE),IFERROR(VLOOKUP($E7,'DADOS_CUSTOM'!$BM$2:$BU$100,2,FALSE),"")="Uniforme"),IFERROR(VLOOKUP($E7,'DADOS_CUSTOM'!$AM$2:$AS$32,2,FALSE),""),"")</f>
        <v/>
      </c>
      <c r="AO38" s="175">
        <f>IF(AND(AND($B7="Ferramenta amaldiçoada",$T7=TRUE),IFERROR(VLOOKUP($E7,'DADOS_CUSTOM'!$BM$2:$BU$100,2,FALSE),"")="Uniforme"),IFERROR(VLOOKUP($E7,'DADOS_CUSTOM'!$AM$2:$AS$32,3,FALSE),""),"")</f>
        <v/>
      </c>
      <c r="AP38" s="175">
        <f>IF(AND(AND($B7="Ferramenta amaldiçoada",$T7=TRUE),IFERROR(VLOOKUP($E7,'DADOS_CUSTOM'!$BM$2:$BU$100,2,FALSE),"")="Uniforme"),IFERROR(VLOOKUP($E7,'DADOS_CUSTOM'!$AM$2:$AS$32,4,FALSE),""),"")</f>
        <v/>
      </c>
      <c r="AQ38" s="175">
        <f>IF(AND(AND($B7="Ferramenta amaldiçoada",$T7=TRUE),IFERROR(VLOOKUP($E7,'DADOS_CUSTOM'!$BM$2:$BU$100,2,FALSE),"")="Uniforme"),IF($N7="",IFERROR(VLOOKUP($E7,'DADOS_CUSTOM'!$AM$2:$AS$32,5,FALSE),""),$N7),"")</f>
        <v/>
      </c>
      <c r="AR38" s="175">
        <f>IF(AND(AND($B7="Ferramenta amaldiçoada",$T7=TRUE),IFERROR(VLOOKUP($E7,'DADOS_CUSTOM'!$BM$2:$BU$100,2,FALSE),"")="Uniforme"),IFERROR(VLOOKUP($E7,'DADOS_CUSTOM'!$AM$2:$AS$32,6,FALSE),""),"")</f>
        <v/>
      </c>
      <c r="AS38" s="175">
        <f>IF(AND(AND($B7="Ferramenta amaldiçoada",$T7=TRUE),IFERROR(VLOOKUP($E7,'DADOS_CUSTOM'!$BM$2:$BU$100,2,FALSE),"")="Uniforme"),IFERROR(VLOOKUP($E7,'DADOS_CUSTOM'!$AM$2:$AS$32,7,FALSE),""),"")</f>
        <v/>
      </c>
      <c r="AU38" s="175">
        <f>IF(AND(OR($B25="Item comum"),$C25&lt;&gt;"",$U25=""),$C25,"")</f>
        <v/>
      </c>
      <c r="AV38" s="175">
        <f>IF(AND(OR($B25="Item comum"),$C25&lt;&gt;"",$U25=""),$L25,"")</f>
        <v/>
      </c>
      <c r="AW38" s="175">
        <f>IF(AND(OR($B25="Item comum"),$C25&lt;&gt;"",$U25=""),$M25,"")</f>
        <v/>
      </c>
      <c r="AX38" s="175">
        <f>IF(AND(OR($B25="Item comum"),$C25&lt;&gt;"",$U25=""),$R25,"")</f>
        <v/>
      </c>
      <c r="AZ38" s="175" t="inlineStr">
        <is>
          <t>Bagagem Prevenida</t>
        </is>
      </c>
      <c r="BA38" s="175" t="inlineStr">
        <is>
          <t>Descendente</t>
        </is>
      </c>
      <c r="BB38" s="175" t="inlineStr">
        <is>
          <t>menor</t>
        </is>
      </c>
      <c r="BC38" s="175" t="inlineStr"/>
      <c r="BD38" s="175" t="inlineStr">
        <is>
          <t>Uma vez na missão</t>
        </is>
      </c>
      <c r="BE38" s="175" t="inlineStr">
        <is>
          <t>Ao preparar uma missão, reserve dinheiro próprio e 0,5 de Volume. Uma vez na missão, revele um item comum comprado no preparo, de até 0,5 de Volume e preço dentro da reserva, descontando-o dela. Não permite armas, proteções, itens amaldiçoados ou restritos.
Grau reconhecido no preparo | Máximo de dinheiro próprio reservado
Grau 4 | ¥10.000
Grau 3 | ¥20.000
Grau 2 | ¥30.000
Grau 1 | ¥40.000
Especial | ¥50.000
O limite acompanha grau ou patente, não nível ou Maestria. Use as equivalências de patentes intermediárias já estabelecidas na campanha. A menor não fornece dinheiro, mais Volume ou usos extras.</t>
        </is>
      </c>
      <c r="BM38" s="175" t="inlineStr">
        <is>
          <t>Marreta</t>
        </is>
      </c>
      <c r="BN38" s="175" t="inlineStr">
        <is>
          <t>Arma</t>
        </is>
      </c>
      <c r="BO38" s="175" t="n">
        <v>0</v>
      </c>
      <c r="BP38" s="175" t="inlineStr">
        <is>
          <t>—</t>
        </is>
      </c>
      <c r="BQ38" s="175" t="n">
        <v>3</v>
      </c>
      <c r="BR38" s="175" t="n">
        <v>3</v>
      </c>
      <c r="BS38" s="175" t="inlineStr">
        <is>
          <t>—</t>
        </is>
      </c>
      <c r="BT38" s="175" t="inlineStr"/>
      <c r="BU38" s="175" t="inlineStr"/>
      <c r="BV38" s="175" t="inlineStr">
        <is>
          <t>Corpo Flexível</t>
        </is>
      </c>
      <c r="CK38" s="175" t="inlineStr">
        <is>
          <t>Punhal</t>
        </is>
      </c>
      <c r="CL38" s="175">
        <f>IF(OR('CONFIGURAÇÃO'!$AB$304="Marcante"),'CONFIGURAÇÃO'!$AB$306,"")</f>
        <v/>
      </c>
      <c r="CS38" s="175">
        <f>IF(AND($B25="Origem",$T25=TRUE),$C25,"")</f>
        <v/>
      </c>
    </row>
    <row r="39">
      <c r="AA39" s="175" t="inlineStr">
        <is>
          <t>Pistola</t>
        </is>
      </c>
      <c r="AB39" s="175" t="inlineStr">
        <is>
          <t>Arma de Fogo</t>
        </is>
      </c>
      <c r="AC39" s="175" t="n">
        <v>1</v>
      </c>
      <c r="AD39" s="175" t="inlineStr">
        <is>
          <t>1d10</t>
        </is>
      </c>
      <c r="AE39" s="175" t="inlineStr">
        <is>
          <t>Longo Alcance · Munição · Oculta · Leve</t>
        </is>
      </c>
      <c r="AF39" s="175" t="inlineStr">
        <is>
          <t>—</t>
        </is>
      </c>
      <c r="AG39" s="175" t="n">
        <v>0.5</v>
      </c>
      <c r="AH39" s="175" t="inlineStr">
        <is>
          <t>9 m, longa 27 m</t>
        </is>
      </c>
      <c r="AI39" s="175" t="n">
        <v>2</v>
      </c>
      <c r="AJ39" s="175">
        <f>'FICHA PESSOAL'!$M$74</f>
        <v/>
      </c>
      <c r="AK39" s="175">
        <f>ADDRESS(ROW('FICHA PESSOAL'!M74),COLUMN('FICHA PESSOAL'!M74),4)</f>
        <v/>
      </c>
      <c r="AM39" s="175">
        <f>IF(AND(AND($B8="Ferramenta amaldiçoada",$T8=TRUE),IFERROR(VLOOKUP($E8,'DADOS_CUSTOM'!$BM$2:$BU$100,2,FALSE),"")="Uniforme"),$C8,"")</f>
        <v/>
      </c>
      <c r="AN39" s="175">
        <f>IF(AND(AND($B8="Ferramenta amaldiçoada",$T8=TRUE),IFERROR(VLOOKUP($E8,'DADOS_CUSTOM'!$BM$2:$BU$100,2,FALSE),"")="Uniforme"),IFERROR(VLOOKUP($E8,'DADOS_CUSTOM'!$AM$2:$AS$32,2,FALSE),""),"")</f>
        <v/>
      </c>
      <c r="AO39" s="175">
        <f>IF(AND(AND($B8="Ferramenta amaldiçoada",$T8=TRUE),IFERROR(VLOOKUP($E8,'DADOS_CUSTOM'!$BM$2:$BU$100,2,FALSE),"")="Uniforme"),IFERROR(VLOOKUP($E8,'DADOS_CUSTOM'!$AM$2:$AS$32,3,FALSE),""),"")</f>
        <v/>
      </c>
      <c r="AP39" s="175">
        <f>IF(AND(AND($B8="Ferramenta amaldiçoada",$T8=TRUE),IFERROR(VLOOKUP($E8,'DADOS_CUSTOM'!$BM$2:$BU$100,2,FALSE),"")="Uniforme"),IFERROR(VLOOKUP($E8,'DADOS_CUSTOM'!$AM$2:$AS$32,4,FALSE),""),"")</f>
        <v/>
      </c>
      <c r="AQ39" s="175">
        <f>IF(AND(AND($B8="Ferramenta amaldiçoada",$T8=TRUE),IFERROR(VLOOKUP($E8,'DADOS_CUSTOM'!$BM$2:$BU$100,2,FALSE),"")="Uniforme"),IF($N8="",IFERROR(VLOOKUP($E8,'DADOS_CUSTOM'!$AM$2:$AS$32,5,FALSE),""),$N8),"")</f>
        <v/>
      </c>
      <c r="AR39" s="175">
        <f>IF(AND(AND($B8="Ferramenta amaldiçoada",$T8=TRUE),IFERROR(VLOOKUP($E8,'DADOS_CUSTOM'!$BM$2:$BU$100,2,FALSE),"")="Uniforme"),IFERROR(VLOOKUP($E8,'DADOS_CUSTOM'!$AM$2:$AS$32,6,FALSE),""),"")</f>
        <v/>
      </c>
      <c r="AS39" s="175">
        <f>IF(AND(AND($B8="Ferramenta amaldiçoada",$T8=TRUE),IFERROR(VLOOKUP($E8,'DADOS_CUSTOM'!$BM$2:$BU$100,2,FALSE),"")="Uniforme"),IFERROR(VLOOKUP($E8,'DADOS_CUSTOM'!$AM$2:$AS$32,7,FALSE),""),"")</f>
        <v/>
      </c>
      <c r="AU39" s="175">
        <f>IF(AND(OR($B26="Item comum"),$C26&lt;&gt;"",$U26=""),$C26,"")</f>
        <v/>
      </c>
      <c r="AV39" s="175">
        <f>IF(AND(OR($B26="Item comum"),$C26&lt;&gt;"",$U26=""),$L26,"")</f>
        <v/>
      </c>
      <c r="AW39" s="175">
        <f>IF(AND(OR($B26="Item comum"),$C26&lt;&gt;"",$U26=""),$M26,"")</f>
        <v/>
      </c>
      <c r="AX39" s="175">
        <f>IF(AND(OR($B26="Item comum"),$C26&lt;&gt;"",$U26=""),$R26,"")</f>
        <v/>
      </c>
      <c r="AZ39" s="175" t="inlineStr">
        <is>
          <t>Palavra Empenhada</t>
        </is>
      </c>
      <c r="BA39" s="175" t="inlineStr">
        <is>
          <t>Descendente</t>
        </is>
      </c>
      <c r="BB39" s="175" t="inlineStr">
        <is>
          <t>menor</t>
        </is>
      </c>
      <c r="BC39" s="175" t="inlineStr"/>
      <c r="BD39" s="175" t="inlineStr">
        <is>
          <t>Uma vez por descanso longo</t>
        </is>
      </c>
      <c r="BE39" s="175" t="inlineStr">
        <is>
          <t>Uma vez por descanso longo, após falhar em Persuasão numa negociação viável, ofereça sua palavra e reputação como garantia. O mestre apresenta uma condição adicional concreta: pagamento, serviço ou concessão. Você pode aceitar ou recusar; cumprir a condição conclui o acordo sem repetir aquele teste.
Não torna um pedido inviável aceitável nem fornece dinheiro para pagar a condição.</t>
        </is>
      </c>
      <c r="BM39" s="175" t="inlineStr">
        <is>
          <t>Maul</t>
        </is>
      </c>
      <c r="BN39" s="175" t="inlineStr">
        <is>
          <t>Arma</t>
        </is>
      </c>
      <c r="BO39" s="175" t="n">
        <v>0</v>
      </c>
      <c r="BP39" s="175" t="inlineStr">
        <is>
          <t>—</t>
        </is>
      </c>
      <c r="BQ39" s="175" t="n">
        <v>3</v>
      </c>
      <c r="BR39" s="175" t="n">
        <v>3</v>
      </c>
      <c r="BS39" s="175" t="inlineStr">
        <is>
          <t>—</t>
        </is>
      </c>
      <c r="BT39" s="175" t="inlineStr"/>
      <c r="BU39" s="175" t="inlineStr"/>
      <c r="BV39" s="175" t="inlineStr">
        <is>
          <t>Corpo Quebradiço</t>
        </is>
      </c>
      <c r="CK39" s="175" t="inlineStr">
        <is>
          <t>Rapieira</t>
        </is>
      </c>
      <c r="CL39" s="175">
        <f>IF(OR('CONFIGURAÇÃO'!$T$333="Marcante"),'CONFIGURAÇÃO'!$T$335,"")</f>
        <v/>
      </c>
      <c r="CS39" s="175">
        <f>IF(AND($B26="Origem",$T26=TRUE),$C26,"")</f>
        <v/>
      </c>
    </row>
    <row r="40">
      <c r="AA40" s="175" t="inlineStr">
        <is>
          <t>Punhal</t>
        </is>
      </c>
      <c r="AB40" s="175" t="inlineStr">
        <is>
          <t>Lâmina Curta</t>
        </is>
      </c>
      <c r="AC40" s="175" t="n">
        <v>1</v>
      </c>
      <c r="AD40" s="175" t="inlineStr">
        <is>
          <t>1d6</t>
        </is>
      </c>
      <c r="AE40" s="175" t="inlineStr">
        <is>
          <t>Fineza · Longo Alcance · Leve</t>
        </is>
      </c>
      <c r="AF40" s="175" t="inlineStr">
        <is>
          <t>—</t>
        </is>
      </c>
      <c r="AG40" s="175" t="n">
        <v>0.3</v>
      </c>
      <c r="AH40" s="175" t="inlineStr">
        <is>
          <t>6 m, longa 18 m</t>
        </is>
      </c>
      <c r="AJ40" s="175">
        <f>'FICHA PESSOAL'!$AE$74</f>
        <v/>
      </c>
      <c r="AK40" s="175">
        <f>ADDRESS(ROW('FICHA PESSOAL'!AE74),COLUMN('FICHA PESSOAL'!AE74),4)</f>
        <v/>
      </c>
      <c r="AM40" s="175">
        <f>IF(AND(AND($B9="Ferramenta amaldiçoada",$T9=TRUE),IFERROR(VLOOKUP($E9,'DADOS_CUSTOM'!$BM$2:$BU$100,2,FALSE),"")="Uniforme"),$C9,"")</f>
        <v/>
      </c>
      <c r="AN40" s="175">
        <f>IF(AND(AND($B9="Ferramenta amaldiçoada",$T9=TRUE),IFERROR(VLOOKUP($E9,'DADOS_CUSTOM'!$BM$2:$BU$100,2,FALSE),"")="Uniforme"),IFERROR(VLOOKUP($E9,'DADOS_CUSTOM'!$AM$2:$AS$32,2,FALSE),""),"")</f>
        <v/>
      </c>
      <c r="AO40" s="175">
        <f>IF(AND(AND($B9="Ferramenta amaldiçoada",$T9=TRUE),IFERROR(VLOOKUP($E9,'DADOS_CUSTOM'!$BM$2:$BU$100,2,FALSE),"")="Uniforme"),IFERROR(VLOOKUP($E9,'DADOS_CUSTOM'!$AM$2:$AS$32,3,FALSE),""),"")</f>
        <v/>
      </c>
      <c r="AP40" s="175">
        <f>IF(AND(AND($B9="Ferramenta amaldiçoada",$T9=TRUE),IFERROR(VLOOKUP($E9,'DADOS_CUSTOM'!$BM$2:$BU$100,2,FALSE),"")="Uniforme"),IFERROR(VLOOKUP($E9,'DADOS_CUSTOM'!$AM$2:$AS$32,4,FALSE),""),"")</f>
        <v/>
      </c>
      <c r="AQ40" s="175">
        <f>IF(AND(AND($B9="Ferramenta amaldiçoada",$T9=TRUE),IFERROR(VLOOKUP($E9,'DADOS_CUSTOM'!$BM$2:$BU$100,2,FALSE),"")="Uniforme"),IF($N9="",IFERROR(VLOOKUP($E9,'DADOS_CUSTOM'!$AM$2:$AS$32,5,FALSE),""),$N9),"")</f>
        <v/>
      </c>
      <c r="AR40" s="175">
        <f>IF(AND(AND($B9="Ferramenta amaldiçoada",$T9=TRUE),IFERROR(VLOOKUP($E9,'DADOS_CUSTOM'!$BM$2:$BU$100,2,FALSE),"")="Uniforme"),IFERROR(VLOOKUP($E9,'DADOS_CUSTOM'!$AM$2:$AS$32,6,FALSE),""),"")</f>
        <v/>
      </c>
      <c r="AS40" s="175">
        <f>IF(AND(AND($B9="Ferramenta amaldiçoada",$T9=TRUE),IFERROR(VLOOKUP($E9,'DADOS_CUSTOM'!$BM$2:$BU$100,2,FALSE),"")="Uniforme"),IFERROR(VLOOKUP($E9,'DADOS_CUSTOM'!$AM$2:$AS$32,7,FALSE),""),"")</f>
        <v/>
      </c>
      <c r="AU40" s="175">
        <f>IF(AND(AND($B2="Ferramenta amaldiçoada",$T2=TRUE),IFERROR(VLOOKUP($E2,'DADOS_CUSTOM'!$BM$2:$BU$100,2,FALSE),"")="Item comum"),$C2,"")</f>
        <v/>
      </c>
      <c r="AV40" s="175">
        <f>IF(AND(AND($B2="Ferramenta amaldiçoada",$T2=TRUE),IFERROR(VLOOKUP($E2,'DADOS_CUSTOM'!$BM$2:$BU$100,2,FALSE),"")="Item comum"),IF($N2="",IFERROR(VLOOKUP($E2,'DADOS_CUSTOM'!$AU$2:$AX$39,2,FALSE),""),$N2),"")</f>
        <v/>
      </c>
      <c r="AW40" s="175">
        <f>IF(AND(AND($B2="Ferramenta amaldiçoada",$T2=TRUE),IFERROR(VLOOKUP($E2,'DADOS_CUSTOM'!$BM$2:$BU$100,2,FALSE),"")="Item comum"),$O2,"")</f>
        <v/>
      </c>
      <c r="AX40" s="175">
        <f>IF(AND(AND($B2="Ferramenta amaldiçoada",$T2=TRUE),IFERROR(VLOOKUP($E2,'DADOS_CUSTOM'!$BM$2:$BU$100,2,FALSE),"")="Item comum"),$R2,"")</f>
        <v/>
      </c>
      <c r="AZ40" s="175" t="inlineStr">
        <is>
          <t>Fundamento Incorporado</t>
        </is>
      </c>
      <c r="BA40" s="175" t="inlineStr">
        <is>
          <t>Descendente</t>
        </is>
      </c>
      <c r="BB40" s="175" t="inlineStr">
        <is>
          <t>menor</t>
        </is>
      </c>
      <c r="BC40" s="175" t="inlineStr"/>
      <c r="BD40" s="175" t="inlineStr">
        <is>
          <t>Uma vez por dia</t>
        </is>
      </c>
      <c r="BE40" s="175" t="inlineStr">
        <is>
          <t>Uma vez por dia, antes da rolagem, pode usar 10 no lugar de um d20 num teste da perícia recebida pela base da Origem, somando seus bônus. Com vantagem ou desvantagem, role o outro d20 e resolva normalmente.
Não é um piso aplicado depois do resultado. O benefício alcança a perícia escolhida, não todas as opções da base, ataques ou TRs.</t>
        </is>
      </c>
      <c r="BM40" s="175" t="inlineStr">
        <is>
          <t>Maça</t>
        </is>
      </c>
      <c r="BN40" s="175" t="inlineStr">
        <is>
          <t>Arma</t>
        </is>
      </c>
      <c r="BO40" s="175" t="n">
        <v>0</v>
      </c>
      <c r="BP40" s="175" t="inlineStr">
        <is>
          <t>—</t>
        </is>
      </c>
      <c r="BQ40" s="175" t="inlineStr">
        <is>
          <t>—</t>
        </is>
      </c>
      <c r="BR40" s="175" t="n">
        <v>1</v>
      </c>
      <c r="BS40" s="175" t="inlineStr">
        <is>
          <t>—</t>
        </is>
      </c>
      <c r="BT40" s="175" t="inlineStr"/>
      <c r="BU40" s="175" t="inlineStr"/>
      <c r="BV40" s="175" t="inlineStr">
        <is>
          <t>Corrente</t>
        </is>
      </c>
      <c r="CK40" s="175" t="inlineStr">
        <is>
          <t>Revólver</t>
        </is>
      </c>
      <c r="CL40" s="175">
        <f>IF(OR('CONFIGURAÇÃO'!$AB$333="Marcante"),'CONFIGURAÇÃO'!$AB$335,"")</f>
        <v/>
      </c>
    </row>
    <row r="41">
      <c r="AA41" s="175" t="inlineStr">
        <is>
          <t>Rapieira</t>
        </is>
      </c>
      <c r="AB41" s="175" t="inlineStr">
        <is>
          <t>Lâmina Longa</t>
        </is>
      </c>
      <c r="AC41" s="175" t="n">
        <v>1</v>
      </c>
      <c r="AD41" s="175" t="inlineStr">
        <is>
          <t>1d6</t>
        </is>
      </c>
      <c r="AE41" s="175" t="inlineStr">
        <is>
          <t>Fineza · Talha</t>
        </is>
      </c>
      <c r="AF41" s="175" t="inlineStr">
        <is>
          <t>—</t>
        </is>
      </c>
      <c r="AG41" s="175" t="n">
        <v>1</v>
      </c>
      <c r="AJ41" s="175">
        <f>'FICHA PESSOAL'!$D$78</f>
        <v/>
      </c>
      <c r="AK41" s="175">
        <f>ADDRESS(ROW('FICHA PESSOAL'!D78),COLUMN('FICHA PESSOAL'!D78),4)</f>
        <v/>
      </c>
      <c r="AM41" s="175">
        <f>IF(AND(AND($B10="Ferramenta amaldiçoada",$T10=TRUE),IFERROR(VLOOKUP($E10,'DADOS_CUSTOM'!$BM$2:$BU$100,2,FALSE),"")="Uniforme"),$C10,"")</f>
        <v/>
      </c>
      <c r="AN41" s="175">
        <f>IF(AND(AND($B10="Ferramenta amaldiçoada",$T10=TRUE),IFERROR(VLOOKUP($E10,'DADOS_CUSTOM'!$BM$2:$BU$100,2,FALSE),"")="Uniforme"),IFERROR(VLOOKUP($E10,'DADOS_CUSTOM'!$AM$2:$AS$32,2,FALSE),""),"")</f>
        <v/>
      </c>
      <c r="AO41" s="175">
        <f>IF(AND(AND($B10="Ferramenta amaldiçoada",$T10=TRUE),IFERROR(VLOOKUP($E10,'DADOS_CUSTOM'!$BM$2:$BU$100,2,FALSE),"")="Uniforme"),IFERROR(VLOOKUP($E10,'DADOS_CUSTOM'!$AM$2:$AS$32,3,FALSE),""),"")</f>
        <v/>
      </c>
      <c r="AP41" s="175">
        <f>IF(AND(AND($B10="Ferramenta amaldiçoada",$T10=TRUE),IFERROR(VLOOKUP($E10,'DADOS_CUSTOM'!$BM$2:$BU$100,2,FALSE),"")="Uniforme"),IFERROR(VLOOKUP($E10,'DADOS_CUSTOM'!$AM$2:$AS$32,4,FALSE),""),"")</f>
        <v/>
      </c>
      <c r="AQ41" s="175">
        <f>IF(AND(AND($B10="Ferramenta amaldiçoada",$T10=TRUE),IFERROR(VLOOKUP($E10,'DADOS_CUSTOM'!$BM$2:$BU$100,2,FALSE),"")="Uniforme"),IF($N10="",IFERROR(VLOOKUP($E10,'DADOS_CUSTOM'!$AM$2:$AS$32,5,FALSE),""),$N10),"")</f>
        <v/>
      </c>
      <c r="AR41" s="175">
        <f>IF(AND(AND($B10="Ferramenta amaldiçoada",$T10=TRUE),IFERROR(VLOOKUP($E10,'DADOS_CUSTOM'!$BM$2:$BU$100,2,FALSE),"")="Uniforme"),IFERROR(VLOOKUP($E10,'DADOS_CUSTOM'!$AM$2:$AS$32,6,FALSE),""),"")</f>
        <v/>
      </c>
      <c r="AS41" s="175">
        <f>IF(AND(AND($B10="Ferramenta amaldiçoada",$T10=TRUE),IFERROR(VLOOKUP($E10,'DADOS_CUSTOM'!$BM$2:$BU$100,2,FALSE),"")="Uniforme"),IFERROR(VLOOKUP($E10,'DADOS_CUSTOM'!$AM$2:$AS$32,7,FALSE),""),"")</f>
        <v/>
      </c>
      <c r="AU41" s="175">
        <f>IF(AND(AND($B3="Ferramenta amaldiçoada",$T3=TRUE),IFERROR(VLOOKUP($E3,'DADOS_CUSTOM'!$BM$2:$BU$100,2,FALSE),"")="Item comum"),$C3,"")</f>
        <v/>
      </c>
      <c r="AV41" s="175">
        <f>IF(AND(AND($B3="Ferramenta amaldiçoada",$T3=TRUE),IFERROR(VLOOKUP($E3,'DADOS_CUSTOM'!$BM$2:$BU$100,2,FALSE),"")="Item comum"),IF($N3="",IFERROR(VLOOKUP($E3,'DADOS_CUSTOM'!$AU$2:$AX$39,2,FALSE),""),$N3),"")</f>
        <v/>
      </c>
      <c r="AW41" s="175">
        <f>IF(AND(AND($B3="Ferramenta amaldiçoada",$T3=TRUE),IFERROR(VLOOKUP($E3,'DADOS_CUSTOM'!$BM$2:$BU$100,2,FALSE),"")="Item comum"),$O3,"")</f>
        <v/>
      </c>
      <c r="AX41" s="175">
        <f>IF(AND(AND($B3="Ferramenta amaldiçoada",$T3=TRUE),IFERROR(VLOOKUP($E3,'DADOS_CUSTOM'!$BM$2:$BU$100,2,FALSE),"")="Item comum"),$R3,"")</f>
        <v/>
      </c>
      <c r="AZ41" s="175" t="inlineStr">
        <is>
          <t>Treino de Armas da Casa</t>
        </is>
      </c>
      <c r="BA41" s="175" t="inlineStr">
        <is>
          <t>Descendente</t>
        </is>
      </c>
      <c r="BB41" s="175" t="inlineStr">
        <is>
          <t>menor</t>
        </is>
      </c>
      <c r="BC41" s="175" t="inlineStr"/>
      <c r="BD41" s="175" t="inlineStr">
        <is>
          <t>Passiva</t>
        </is>
      </c>
      <c r="BE41" s="175" t="inlineStr">
        <is>
          <t>Receba treino permanente em duas categorias de arma à escolha, como Yumi e Lâmina Longa. Não recebe duas listas inteiras de armas simples ou marciais. A menor não fornece equipamento, troca de atributo ou dispensa de requisitos de aquisição.</t>
        </is>
      </c>
      <c r="BM41" s="175" t="inlineStr">
        <is>
          <t>Metralhadora Pesada</t>
        </is>
      </c>
      <c r="BN41" s="175" t="inlineStr">
        <is>
          <t>Arma</t>
        </is>
      </c>
      <c r="BO41" s="175" t="n">
        <v>0</v>
      </c>
      <c r="BP41" s="175" t="inlineStr">
        <is>
          <t>—</t>
        </is>
      </c>
      <c r="BQ41" s="175" t="n">
        <v>3</v>
      </c>
      <c r="BR41" s="175" t="n">
        <v>4</v>
      </c>
      <c r="BS41" s="175" t="inlineStr">
        <is>
          <t>—</t>
        </is>
      </c>
      <c r="BT41" s="175" t="inlineStr"/>
      <c r="BU41" s="175" t="inlineStr"/>
      <c r="BV41" s="175" t="inlineStr">
        <is>
          <t>Círculo Íntimo</t>
        </is>
      </c>
      <c r="CK41" s="175" t="inlineStr">
        <is>
          <t>Rifle</t>
        </is>
      </c>
      <c r="CL41" s="175">
        <f>IF(OR('CONFIGURAÇÃO'!$T$362="Marcante"),'CONFIGURAÇÃO'!$T$364,"")</f>
        <v/>
      </c>
    </row>
    <row r="42">
      <c r="AA42" s="175" t="inlineStr">
        <is>
          <t>Revólver</t>
        </is>
      </c>
      <c r="AB42" s="175" t="inlineStr">
        <is>
          <t>Arma de Fogo</t>
        </is>
      </c>
      <c r="AC42" s="175" t="n">
        <v>1</v>
      </c>
      <c r="AD42" s="175" t="inlineStr">
        <is>
          <t>1d10</t>
        </is>
      </c>
      <c r="AE42" s="175" t="inlineStr">
        <is>
          <t>Longo Alcance · Munição · Oculta · Leve</t>
        </is>
      </c>
      <c r="AF42" s="175" t="inlineStr">
        <is>
          <t>—</t>
        </is>
      </c>
      <c r="AG42" s="175" t="n">
        <v>0.5</v>
      </c>
      <c r="AH42" s="175" t="inlineStr">
        <is>
          <t>12 m, longa 36 m</t>
        </is>
      </c>
      <c r="AI42" s="175" t="n">
        <v>2</v>
      </c>
      <c r="AJ42" s="175">
        <f>'FICHA PESSOAL'!$M$75</f>
        <v/>
      </c>
      <c r="AK42" s="175">
        <f>ADDRESS(ROW('FICHA PESSOAL'!M75),COLUMN('FICHA PESSOAL'!M75),4)</f>
        <v/>
      </c>
      <c r="AM42" s="175">
        <f>IF(AND(AND($B11="Ferramenta amaldiçoada",$T11=TRUE),IFERROR(VLOOKUP($E11,'DADOS_CUSTOM'!$BM$2:$BU$100,2,FALSE),"")="Uniforme"),$C11,"")</f>
        <v/>
      </c>
      <c r="AN42" s="175">
        <f>IF(AND(AND($B11="Ferramenta amaldiçoada",$T11=TRUE),IFERROR(VLOOKUP($E11,'DADOS_CUSTOM'!$BM$2:$BU$100,2,FALSE),"")="Uniforme"),IFERROR(VLOOKUP($E11,'DADOS_CUSTOM'!$AM$2:$AS$32,2,FALSE),""),"")</f>
        <v/>
      </c>
      <c r="AO42" s="175">
        <f>IF(AND(AND($B11="Ferramenta amaldiçoada",$T11=TRUE),IFERROR(VLOOKUP($E11,'DADOS_CUSTOM'!$BM$2:$BU$100,2,FALSE),"")="Uniforme"),IFERROR(VLOOKUP($E11,'DADOS_CUSTOM'!$AM$2:$AS$32,3,FALSE),""),"")</f>
        <v/>
      </c>
      <c r="AP42" s="175">
        <f>IF(AND(AND($B11="Ferramenta amaldiçoada",$T11=TRUE),IFERROR(VLOOKUP($E11,'DADOS_CUSTOM'!$BM$2:$BU$100,2,FALSE),"")="Uniforme"),IFERROR(VLOOKUP($E11,'DADOS_CUSTOM'!$AM$2:$AS$32,4,FALSE),""),"")</f>
        <v/>
      </c>
      <c r="AQ42" s="175">
        <f>IF(AND(AND($B11="Ferramenta amaldiçoada",$T11=TRUE),IFERROR(VLOOKUP($E11,'DADOS_CUSTOM'!$BM$2:$BU$100,2,FALSE),"")="Uniforme"),IF($N11="",IFERROR(VLOOKUP($E11,'DADOS_CUSTOM'!$AM$2:$AS$32,5,FALSE),""),$N11),"")</f>
        <v/>
      </c>
      <c r="AR42" s="175">
        <f>IF(AND(AND($B11="Ferramenta amaldiçoada",$T11=TRUE),IFERROR(VLOOKUP($E11,'DADOS_CUSTOM'!$BM$2:$BU$100,2,FALSE),"")="Uniforme"),IFERROR(VLOOKUP($E11,'DADOS_CUSTOM'!$AM$2:$AS$32,6,FALSE),""),"")</f>
        <v/>
      </c>
      <c r="AS42" s="175">
        <f>IF(AND(AND($B11="Ferramenta amaldiçoada",$T11=TRUE),IFERROR(VLOOKUP($E11,'DADOS_CUSTOM'!$BM$2:$BU$100,2,FALSE),"")="Uniforme"),IFERROR(VLOOKUP($E11,'DADOS_CUSTOM'!$AM$2:$AS$32,7,FALSE),""),"")</f>
        <v/>
      </c>
      <c r="AU42" s="175">
        <f>IF(AND(AND($B4="Ferramenta amaldiçoada",$T4=TRUE),IFERROR(VLOOKUP($E4,'DADOS_CUSTOM'!$BM$2:$BU$100,2,FALSE),"")="Item comum"),$C4,"")</f>
        <v/>
      </c>
      <c r="AV42" s="175">
        <f>IF(AND(AND($B4="Ferramenta amaldiçoada",$T4=TRUE),IFERROR(VLOOKUP($E4,'DADOS_CUSTOM'!$BM$2:$BU$100,2,FALSE),"")="Item comum"),IF($N4="",IFERROR(VLOOKUP($E4,'DADOS_CUSTOM'!$AU$2:$AX$39,2,FALSE),""),$N4),"")</f>
        <v/>
      </c>
      <c r="AW42" s="175">
        <f>IF(AND(AND($B4="Ferramenta amaldiçoada",$T4=TRUE),IFERROR(VLOOKUP($E4,'DADOS_CUSTOM'!$BM$2:$BU$100,2,FALSE),"")="Item comum"),$O4,"")</f>
        <v/>
      </c>
      <c r="AX42" s="175">
        <f>IF(AND(AND($B4="Ferramenta amaldiçoada",$T4=TRUE),IFERROR(VLOOKUP($E4,'DADOS_CUSTOM'!$BM$2:$BU$100,2,FALSE),"")="Item comum"),$R4,"")</f>
        <v/>
      </c>
      <c r="AZ42" s="175" t="inlineStr">
        <is>
          <t>Especialidade Antiga</t>
        </is>
      </c>
      <c r="BA42" s="175" t="inlineStr">
        <is>
          <t>Encarnado</t>
        </is>
      </c>
      <c r="BB42" s="175" t="inlineStr">
        <is>
          <t>menor</t>
        </is>
      </c>
      <c r="BC42" s="175" t="inlineStr"/>
      <c r="BD42" s="175" t="inlineStr">
        <is>
          <t>Passiva</t>
        </is>
      </c>
      <c r="BE42" s="175" t="inlineStr">
        <is>
          <t>Ao alcançar o nível 10, torne-se especialista na perícia ou Ofício escolhido na criação e recebido por Conhecimento Reavivado, sem precisar escolher Corpo no Marco. Use o bônus normal de especialização: metade da Maestria, arredondada para baixo. Não acumula outra especialização na mesma competência.</t>
        </is>
      </c>
      <c r="BM42" s="175" t="inlineStr">
        <is>
          <t>Naginata</t>
        </is>
      </c>
      <c r="BN42" s="175" t="inlineStr">
        <is>
          <t>Arma</t>
        </is>
      </c>
      <c r="BO42" s="175" t="n">
        <v>0</v>
      </c>
      <c r="BP42" s="175" t="inlineStr">
        <is>
          <t>—</t>
        </is>
      </c>
      <c r="BQ42" s="175" t="n">
        <v>3</v>
      </c>
      <c r="BR42" s="175" t="n">
        <v>2</v>
      </c>
      <c r="BS42" s="175" t="inlineStr">
        <is>
          <t>—</t>
        </is>
      </c>
      <c r="BT42" s="175" t="inlineStr"/>
      <c r="BU42" s="175" t="inlineStr"/>
      <c r="BV42" s="175" t="inlineStr">
        <is>
          <t>Daikyū</t>
        </is>
      </c>
      <c r="CK42" s="175" t="inlineStr">
        <is>
          <t>Rifle de Precisão</t>
        </is>
      </c>
    </row>
    <row r="43">
      <c r="AA43" s="175" t="inlineStr">
        <is>
          <t>Rifle</t>
        </is>
      </c>
      <c r="AB43" s="175" t="inlineStr">
        <is>
          <t>Arma de Fogo</t>
        </is>
      </c>
      <c r="AC43" s="175" t="n">
        <v>2</v>
      </c>
      <c r="AD43" s="175" t="inlineStr">
        <is>
          <t>2d8</t>
        </is>
      </c>
      <c r="AE43" s="175" t="inlineStr">
        <is>
          <t>Longo Alcance · Munição · Talha</t>
        </is>
      </c>
      <c r="AF43" s="175" t="n">
        <v>1</v>
      </c>
      <c r="AG43" s="175" t="n">
        <v>2</v>
      </c>
      <c r="AH43" s="175" t="inlineStr">
        <is>
          <t>24 m, longa 72 m</t>
        </is>
      </c>
      <c r="AI43" s="175" t="n">
        <v>3</v>
      </c>
      <c r="AJ43" s="175">
        <f>'FICHA PESSOAL'!$M$76</f>
        <v/>
      </c>
      <c r="AK43" s="175">
        <f>ADDRESS(ROW('FICHA PESSOAL'!M76),COLUMN('FICHA PESSOAL'!M76),4)</f>
        <v/>
      </c>
      <c r="AM43" s="175">
        <f>IF(AND(AND($B12="Ferramenta amaldiçoada",$T12=TRUE),IFERROR(VLOOKUP($E12,'DADOS_CUSTOM'!$BM$2:$BU$100,2,FALSE),"")="Uniforme"),$C12,"")</f>
        <v/>
      </c>
      <c r="AN43" s="175">
        <f>IF(AND(AND($B12="Ferramenta amaldiçoada",$T12=TRUE),IFERROR(VLOOKUP($E12,'DADOS_CUSTOM'!$BM$2:$BU$100,2,FALSE),"")="Uniforme"),IFERROR(VLOOKUP($E12,'DADOS_CUSTOM'!$AM$2:$AS$32,2,FALSE),""),"")</f>
        <v/>
      </c>
      <c r="AO43" s="175">
        <f>IF(AND(AND($B12="Ferramenta amaldiçoada",$T12=TRUE),IFERROR(VLOOKUP($E12,'DADOS_CUSTOM'!$BM$2:$BU$100,2,FALSE),"")="Uniforme"),IFERROR(VLOOKUP($E12,'DADOS_CUSTOM'!$AM$2:$AS$32,3,FALSE),""),"")</f>
        <v/>
      </c>
      <c r="AP43" s="175">
        <f>IF(AND(AND($B12="Ferramenta amaldiçoada",$T12=TRUE),IFERROR(VLOOKUP($E12,'DADOS_CUSTOM'!$BM$2:$BU$100,2,FALSE),"")="Uniforme"),IFERROR(VLOOKUP($E12,'DADOS_CUSTOM'!$AM$2:$AS$32,4,FALSE),""),"")</f>
        <v/>
      </c>
      <c r="AQ43" s="175">
        <f>IF(AND(AND($B12="Ferramenta amaldiçoada",$T12=TRUE),IFERROR(VLOOKUP($E12,'DADOS_CUSTOM'!$BM$2:$BU$100,2,FALSE),"")="Uniforme"),IF($N12="",IFERROR(VLOOKUP($E12,'DADOS_CUSTOM'!$AM$2:$AS$32,5,FALSE),""),$N12),"")</f>
        <v/>
      </c>
      <c r="AR43" s="175">
        <f>IF(AND(AND($B12="Ferramenta amaldiçoada",$T12=TRUE),IFERROR(VLOOKUP($E12,'DADOS_CUSTOM'!$BM$2:$BU$100,2,FALSE),"")="Uniforme"),IFERROR(VLOOKUP($E12,'DADOS_CUSTOM'!$AM$2:$AS$32,6,FALSE),""),"")</f>
        <v/>
      </c>
      <c r="AS43" s="175">
        <f>IF(AND(AND($B12="Ferramenta amaldiçoada",$T12=TRUE),IFERROR(VLOOKUP($E12,'DADOS_CUSTOM'!$BM$2:$BU$100,2,FALSE),"")="Uniforme"),IFERROR(VLOOKUP($E12,'DADOS_CUSTOM'!$AM$2:$AS$32,7,FALSE),""),"")</f>
        <v/>
      </c>
      <c r="AU43" s="175">
        <f>IF(AND(AND($B5="Ferramenta amaldiçoada",$T5=TRUE),IFERROR(VLOOKUP($E5,'DADOS_CUSTOM'!$BM$2:$BU$100,2,FALSE),"")="Item comum"),$C5,"")</f>
        <v/>
      </c>
      <c r="AV43" s="175">
        <f>IF(AND(AND($B5="Ferramenta amaldiçoada",$T5=TRUE),IFERROR(VLOOKUP($E5,'DADOS_CUSTOM'!$BM$2:$BU$100,2,FALSE),"")="Item comum"),IF($N5="",IFERROR(VLOOKUP($E5,'DADOS_CUSTOM'!$AU$2:$AX$39,2,FALSE),""),$N5),"")</f>
        <v/>
      </c>
      <c r="AW43" s="175">
        <f>IF(AND(AND($B5="Ferramenta amaldiçoada",$T5=TRUE),IFERROR(VLOOKUP($E5,'DADOS_CUSTOM'!$BM$2:$BU$100,2,FALSE),"")="Item comum"),$O5,"")</f>
        <v/>
      </c>
      <c r="AX43" s="175">
        <f>IF(AND(AND($B5="Ferramenta amaldiçoada",$T5=TRUE),IFERROR(VLOOKUP($E5,'DADOS_CUSTOM'!$BM$2:$BU$100,2,FALSE),"")="Item comum"),$R5,"")</f>
        <v/>
      </c>
      <c r="AZ43" s="175" t="inlineStr">
        <is>
          <t>Guarda Reaprendida</t>
        </is>
      </c>
      <c r="BA43" s="175" t="inlineStr">
        <is>
          <t>Encarnado</t>
        </is>
      </c>
      <c r="BB43" s="175" t="inlineStr">
        <is>
          <t>menor</t>
        </is>
      </c>
      <c r="BC43" s="175" t="inlineStr"/>
      <c r="BD43" s="175" t="inlineStr">
        <is>
          <t>Uma vez por cena</t>
        </is>
      </c>
      <c r="BE43" s="175" t="inlineStr">
        <is>
          <t>Uma vez por cena, depois de rolar Bloquear e antes das consequências, pode rerrolar um dos d10, aceitando o novo resultado. Conserve o outro dado e os modificadores; resolva Aparar e Brecha pelos dados finais. Não exige ação, Reação ou PE adicionais.
Com desvantagem, role os dois conjuntos e rerrole um único d10 de um deles antes de selecionar o conjunto final. Depois aplique normalmente desvantagem, Aparar e Brecha.</t>
        </is>
      </c>
      <c r="BM43" s="175" t="inlineStr">
        <is>
          <t>Nodachi</t>
        </is>
      </c>
      <c r="BN43" s="175" t="inlineStr">
        <is>
          <t>Arma</t>
        </is>
      </c>
      <c r="BO43" s="175" t="n">
        <v>0</v>
      </c>
      <c r="BP43" s="175" t="inlineStr">
        <is>
          <t>—</t>
        </is>
      </c>
      <c r="BQ43" s="175" t="n">
        <v>3</v>
      </c>
      <c r="BR43" s="175" t="n">
        <v>2</v>
      </c>
      <c r="BS43" s="175" t="inlineStr">
        <is>
          <t>—</t>
        </is>
      </c>
      <c r="BT43" s="175" t="inlineStr"/>
      <c r="BU43" s="175" t="inlineStr"/>
      <c r="BV43" s="175" t="inlineStr">
        <is>
          <t>Descendente</t>
        </is>
      </c>
      <c r="CK43" s="175" t="inlineStr">
        <is>
          <t>Sai</t>
        </is>
      </c>
    </row>
    <row r="44">
      <c r="AA44" s="175" t="inlineStr">
        <is>
          <t>Rifle de Precisão</t>
        </is>
      </c>
      <c r="AB44" s="175" t="inlineStr">
        <is>
          <t>Arma de Fogo</t>
        </is>
      </c>
      <c r="AC44" s="175" t="n">
        <v>2</v>
      </c>
      <c r="AD44" s="175" t="inlineStr">
        <is>
          <t>2d10</t>
        </is>
      </c>
      <c r="AE44" s="175" t="inlineStr">
        <is>
          <t>Longo Alcance · Munição</t>
        </is>
      </c>
      <c r="AF44" s="175" t="n">
        <v>3</v>
      </c>
      <c r="AG44" s="175" t="n">
        <v>3</v>
      </c>
      <c r="AH44" s="175" t="inlineStr">
        <is>
          <t>24 m, longa 72 m</t>
        </is>
      </c>
      <c r="AI44" s="175" t="n">
        <v>2</v>
      </c>
      <c r="AJ44" s="175">
        <f>'FICHA PESSOAL'!$M$77</f>
        <v/>
      </c>
      <c r="AK44" s="175">
        <f>ADDRESS(ROW('FICHA PESSOAL'!M77),COLUMN('FICHA PESSOAL'!M77),4)</f>
        <v/>
      </c>
      <c r="AM44" s="175">
        <f>IF(AND(AND($B13="Ferramenta amaldiçoada",$T13=TRUE),IFERROR(VLOOKUP($E13,'DADOS_CUSTOM'!$BM$2:$BU$100,2,FALSE),"")="Uniforme"),$C13,"")</f>
        <v/>
      </c>
      <c r="AN44" s="175">
        <f>IF(AND(AND($B13="Ferramenta amaldiçoada",$T13=TRUE),IFERROR(VLOOKUP($E13,'DADOS_CUSTOM'!$BM$2:$BU$100,2,FALSE),"")="Uniforme"),IFERROR(VLOOKUP($E13,'DADOS_CUSTOM'!$AM$2:$AS$32,2,FALSE),""),"")</f>
        <v/>
      </c>
      <c r="AO44" s="175">
        <f>IF(AND(AND($B13="Ferramenta amaldiçoada",$T13=TRUE),IFERROR(VLOOKUP($E13,'DADOS_CUSTOM'!$BM$2:$BU$100,2,FALSE),"")="Uniforme"),IFERROR(VLOOKUP($E13,'DADOS_CUSTOM'!$AM$2:$AS$32,3,FALSE),""),"")</f>
        <v/>
      </c>
      <c r="AP44" s="175">
        <f>IF(AND(AND($B13="Ferramenta amaldiçoada",$T13=TRUE),IFERROR(VLOOKUP($E13,'DADOS_CUSTOM'!$BM$2:$BU$100,2,FALSE),"")="Uniforme"),IFERROR(VLOOKUP($E13,'DADOS_CUSTOM'!$AM$2:$AS$32,4,FALSE),""),"")</f>
        <v/>
      </c>
      <c r="AQ44" s="175">
        <f>IF(AND(AND($B13="Ferramenta amaldiçoada",$T13=TRUE),IFERROR(VLOOKUP($E13,'DADOS_CUSTOM'!$BM$2:$BU$100,2,FALSE),"")="Uniforme"),IF($N13="",IFERROR(VLOOKUP($E13,'DADOS_CUSTOM'!$AM$2:$AS$32,5,FALSE),""),$N13),"")</f>
        <v/>
      </c>
      <c r="AR44" s="175">
        <f>IF(AND(AND($B13="Ferramenta amaldiçoada",$T13=TRUE),IFERROR(VLOOKUP($E13,'DADOS_CUSTOM'!$BM$2:$BU$100,2,FALSE),"")="Uniforme"),IFERROR(VLOOKUP($E13,'DADOS_CUSTOM'!$AM$2:$AS$32,6,FALSE),""),"")</f>
        <v/>
      </c>
      <c r="AS44" s="175">
        <f>IF(AND(AND($B13="Ferramenta amaldiçoada",$T13=TRUE),IFERROR(VLOOKUP($E13,'DADOS_CUSTOM'!$BM$2:$BU$100,2,FALSE),"")="Uniforme"),IFERROR(VLOOKUP($E13,'DADOS_CUSTOM'!$AM$2:$AS$32,7,FALSE),""),"")</f>
        <v/>
      </c>
      <c r="AU44" s="175">
        <f>IF(AND(AND($B6="Ferramenta amaldiçoada",$T6=TRUE),IFERROR(VLOOKUP($E6,'DADOS_CUSTOM'!$BM$2:$BU$100,2,FALSE),"")="Item comum"),$C6,"")</f>
        <v/>
      </c>
      <c r="AV44" s="175">
        <f>IF(AND(AND($B6="Ferramenta amaldiçoada",$T6=TRUE),IFERROR(VLOOKUP($E6,'DADOS_CUSTOM'!$BM$2:$BU$100,2,FALSE),"")="Item comum"),IF($N6="",IFERROR(VLOOKUP($E6,'DADOS_CUSTOM'!$AU$2:$AX$39,2,FALSE),""),$N6),"")</f>
        <v/>
      </c>
      <c r="AW44" s="175">
        <f>IF(AND(AND($B6="Ferramenta amaldiçoada",$T6=TRUE),IFERROR(VLOOKUP($E6,'DADOS_CUSTOM'!$BM$2:$BU$100,2,FALSE),"")="Item comum"),$O6,"")</f>
        <v/>
      </c>
      <c r="AX44" s="175">
        <f>IF(AND(AND($B6="Ferramenta amaldiçoada",$T6=TRUE),IFERROR(VLOOKUP($E6,'DADOS_CUSTOM'!$BM$2:$BU$100,2,FALSE),"")="Item comum"),$R6,"")</f>
        <v/>
      </c>
      <c r="AZ44" s="175" t="inlineStr">
        <is>
          <t>Percepção de Contorno</t>
        </is>
      </c>
      <c r="BA44" s="175" t="inlineStr">
        <is>
          <t>Encarnado</t>
        </is>
      </c>
      <c r="BB44" s="175" t="inlineStr">
        <is>
          <t>menor</t>
        </is>
      </c>
      <c r="BC44" s="175" t="inlineStr"/>
      <c r="BD44" s="175" t="inlineStr">
        <is>
          <t>Passiva</t>
        </is>
      </c>
      <c r="BE44" s="175" t="inlineStr">
        <is>
          <t>Você tem visão às cegas a 3 m × Maestria, passivamente: 3, 6, 9 ou 12 m. Use esse sentido para perceber e atacar conforme suas regras, sem depender de Sentir Energia.
Obstáculos sólidos continuam bloqueando. Não oferece leitura fina, percepção da alma, ficha de técnica ou dispensa de exigências que peçam especificamente seus olhos. Furtividade continua possível quando os sinais alcançados puderem ser ocultados.</t>
        </is>
      </c>
      <c r="BM44" s="175" t="inlineStr">
        <is>
          <t>Nunchaku</t>
        </is>
      </c>
      <c r="BN44" s="175" t="inlineStr">
        <is>
          <t>Arma</t>
        </is>
      </c>
      <c r="BO44" s="175" t="n">
        <v>0</v>
      </c>
      <c r="BP44" s="175" t="inlineStr">
        <is>
          <t>—</t>
        </is>
      </c>
      <c r="BQ44" s="175" t="inlineStr">
        <is>
          <t>—</t>
        </is>
      </c>
      <c r="BR44" s="175" t="n">
        <v>0.5</v>
      </c>
      <c r="BS44" s="175" t="inlineStr">
        <is>
          <t>—</t>
        </is>
      </c>
      <c r="BT44" s="175" t="inlineStr"/>
      <c r="BU44" s="175" t="inlineStr"/>
      <c r="BV44" s="175" t="inlineStr">
        <is>
          <t>Descendente · Sem Técnica</t>
        </is>
      </c>
      <c r="CK44" s="175" t="inlineStr">
        <is>
          <t>Shuriken</t>
        </is>
      </c>
    </row>
    <row r="45">
      <c r="AA45" s="175" t="inlineStr">
        <is>
          <t>Sai</t>
        </is>
      </c>
      <c r="AB45" s="175" t="inlineStr">
        <is>
          <t>Lâmina Curta</t>
        </is>
      </c>
      <c r="AC45" s="175" t="n">
        <v>1</v>
      </c>
      <c r="AD45" s="175" t="inlineStr">
        <is>
          <t>1d6</t>
        </is>
      </c>
      <c r="AE45" s="175" t="inlineStr">
        <is>
          <t>Fineza · Par · Leve</t>
        </is>
      </c>
      <c r="AF45" s="175" t="inlineStr">
        <is>
          <t>—</t>
        </is>
      </c>
      <c r="AG45" s="175" t="n">
        <v>0.5</v>
      </c>
      <c r="AJ45" s="175">
        <f>'FICHA PESSOAL'!$AE$75</f>
        <v/>
      </c>
      <c r="AK45" s="175">
        <f>ADDRESS(ROW('FICHA PESSOAL'!AE75),COLUMN('FICHA PESSOAL'!AE75),4)</f>
        <v/>
      </c>
      <c r="AM45" s="175">
        <f>IF(AND(AND($B14="Ferramenta amaldiçoada",$T14=TRUE),IFERROR(VLOOKUP($E14,'DADOS_CUSTOM'!$BM$2:$BU$100,2,FALSE),"")="Uniforme"),$C14,"")</f>
        <v/>
      </c>
      <c r="AN45" s="175">
        <f>IF(AND(AND($B14="Ferramenta amaldiçoada",$T14=TRUE),IFERROR(VLOOKUP($E14,'DADOS_CUSTOM'!$BM$2:$BU$100,2,FALSE),"")="Uniforme"),IFERROR(VLOOKUP($E14,'DADOS_CUSTOM'!$AM$2:$AS$32,2,FALSE),""),"")</f>
        <v/>
      </c>
      <c r="AO45" s="175">
        <f>IF(AND(AND($B14="Ferramenta amaldiçoada",$T14=TRUE),IFERROR(VLOOKUP($E14,'DADOS_CUSTOM'!$BM$2:$BU$100,2,FALSE),"")="Uniforme"),IFERROR(VLOOKUP($E14,'DADOS_CUSTOM'!$AM$2:$AS$32,3,FALSE),""),"")</f>
        <v/>
      </c>
      <c r="AP45" s="175">
        <f>IF(AND(AND($B14="Ferramenta amaldiçoada",$T14=TRUE),IFERROR(VLOOKUP($E14,'DADOS_CUSTOM'!$BM$2:$BU$100,2,FALSE),"")="Uniforme"),IFERROR(VLOOKUP($E14,'DADOS_CUSTOM'!$AM$2:$AS$32,4,FALSE),""),"")</f>
        <v/>
      </c>
      <c r="AQ45" s="175">
        <f>IF(AND(AND($B14="Ferramenta amaldiçoada",$T14=TRUE),IFERROR(VLOOKUP($E14,'DADOS_CUSTOM'!$BM$2:$BU$100,2,FALSE),"")="Uniforme"),IF($N14="",IFERROR(VLOOKUP($E14,'DADOS_CUSTOM'!$AM$2:$AS$32,5,FALSE),""),$N14),"")</f>
        <v/>
      </c>
      <c r="AR45" s="175">
        <f>IF(AND(AND($B14="Ferramenta amaldiçoada",$T14=TRUE),IFERROR(VLOOKUP($E14,'DADOS_CUSTOM'!$BM$2:$BU$100,2,FALSE),"")="Uniforme"),IFERROR(VLOOKUP($E14,'DADOS_CUSTOM'!$AM$2:$AS$32,6,FALSE),""),"")</f>
        <v/>
      </c>
      <c r="AS45" s="175">
        <f>IF(AND(AND($B14="Ferramenta amaldiçoada",$T14=TRUE),IFERROR(VLOOKUP($E14,'DADOS_CUSTOM'!$BM$2:$BU$100,2,FALSE),"")="Uniforme"),IFERROR(VLOOKUP($E14,'DADOS_CUSTOM'!$AM$2:$AS$32,7,FALSE),""),"")</f>
        <v/>
      </c>
      <c r="AU45" s="175">
        <f>IF(AND(AND($B7="Ferramenta amaldiçoada",$T7=TRUE),IFERROR(VLOOKUP($E7,'DADOS_CUSTOM'!$BM$2:$BU$100,2,FALSE),"")="Item comum"),$C7,"")</f>
        <v/>
      </c>
      <c r="AV45" s="175">
        <f>IF(AND(AND($B7="Ferramenta amaldiçoada",$T7=TRUE),IFERROR(VLOOKUP($E7,'DADOS_CUSTOM'!$BM$2:$BU$100,2,FALSE),"")="Item comum"),IF($N7="",IFERROR(VLOOKUP($E7,'DADOS_CUSTOM'!$AU$2:$AX$39,2,FALSE),""),$N7),"")</f>
        <v/>
      </c>
      <c r="AW45" s="175">
        <f>IF(AND(AND($B7="Ferramenta amaldiçoada",$T7=TRUE),IFERROR(VLOOKUP($E7,'DADOS_CUSTOM'!$BM$2:$BU$100,2,FALSE),"")="Item comum"),$O7,"")</f>
        <v/>
      </c>
      <c r="AX45" s="175">
        <f>IF(AND(AND($B7="Ferramenta amaldiçoada",$T7=TRUE),IFERROR(VLOOKUP($E7,'DADOS_CUSTOM'!$BM$2:$BU$100,2,FALSE),"")="Item comum"),$R7,"")</f>
        <v/>
      </c>
      <c r="AZ45" s="175" t="inlineStr">
        <is>
          <t>Experiência Transmitida</t>
        </is>
      </c>
      <c r="BA45" s="175" t="inlineStr">
        <is>
          <t>Encarnado</t>
        </is>
      </c>
      <c r="BB45" s="175" t="inlineStr">
        <is>
          <t>menor</t>
        </is>
      </c>
      <c r="BC45" s="175" t="inlineStr"/>
      <c r="BD45" s="175" t="inlineStr">
        <is>
          <t>Gasta a Reserva de Experiência</t>
        </is>
      </c>
      <c r="BE45" s="175" t="inlineStr">
        <is>
          <t>Depois de um aliado a até 9 m rolar um teste de qualquer perícia em que você seja treinado, antes das consequências, pode gastar um uso da sua Reserva de Experiência para acrescentar 1d4 ao resultado dele. Ele precisa ouvir e compreender sua orientação. Não exige outra ação ou PE, com no máximo um d4 de Reserva por teste.
A perícia não precisa ser uma das duas escolhidas para seus usos pessoais. O aliado não precisa ter treino, mas continua sujeito aos requisitos da tarefa; a orientação não supre treino obrigatório ausente. Não alcança Ofícios, ataques ou TRs.
Você e os aliados gastam o mesmo estoque de Maestria usos por descanso longo. Seus usos pessoais continuam limitados às duas competências fixas.</t>
        </is>
      </c>
      <c r="BM45" s="175" t="inlineStr">
        <is>
          <t>Odachi</t>
        </is>
      </c>
      <c r="BN45" s="175" t="inlineStr">
        <is>
          <t>Arma</t>
        </is>
      </c>
      <c r="BO45" s="175" t="n">
        <v>0</v>
      </c>
      <c r="BP45" s="175" t="inlineStr">
        <is>
          <t>—</t>
        </is>
      </c>
      <c r="BQ45" s="175" t="n">
        <v>3</v>
      </c>
      <c r="BR45" s="175" t="n">
        <v>2</v>
      </c>
      <c r="BS45" s="175" t="inlineStr">
        <is>
          <t>—</t>
        </is>
      </c>
      <c r="BT45" s="175" t="inlineStr"/>
      <c r="BU45" s="175" t="inlineStr"/>
      <c r="BV45" s="175" t="inlineStr">
        <is>
          <t>Duas Vidas</t>
        </is>
      </c>
      <c r="CK45" s="175" t="inlineStr">
        <is>
          <t>Soqueira</t>
        </is>
      </c>
    </row>
    <row r="46">
      <c r="AA46" s="175" t="inlineStr">
        <is>
          <t>Shuriken</t>
        </is>
      </c>
      <c r="AB46" s="175" t="inlineStr">
        <is>
          <t>Arremesso</t>
        </is>
      </c>
      <c r="AC46" s="175" t="n">
        <v>1</v>
      </c>
      <c r="AD46" s="175" t="inlineStr">
        <is>
          <t>1d4</t>
        </is>
      </c>
      <c r="AE46" s="175" t="inlineStr">
        <is>
          <t>Longo Alcance · Oculta · Par · Leve</t>
        </is>
      </c>
      <c r="AF46" s="175" t="inlineStr">
        <is>
          <t>—</t>
        </is>
      </c>
      <c r="AG46" s="175" t="n">
        <v>0.1</v>
      </c>
      <c r="AH46" s="175" t="inlineStr">
        <is>
          <t>6 m, longa 18 m</t>
        </is>
      </c>
      <c r="AJ46" s="175">
        <f>'FICHA PESSOAL'!$M$82</f>
        <v/>
      </c>
      <c r="AK46" s="175">
        <f>ADDRESS(ROW('FICHA PESSOAL'!M82),COLUMN('FICHA PESSOAL'!M82),4)</f>
        <v/>
      </c>
      <c r="AM46" s="175">
        <f>IF(AND(AND($B15="Ferramenta amaldiçoada",$T15=TRUE),IFERROR(VLOOKUP($E15,'DADOS_CUSTOM'!$BM$2:$BU$100,2,FALSE),"")="Uniforme"),$C15,"")</f>
        <v/>
      </c>
      <c r="AN46" s="175">
        <f>IF(AND(AND($B15="Ferramenta amaldiçoada",$T15=TRUE),IFERROR(VLOOKUP($E15,'DADOS_CUSTOM'!$BM$2:$BU$100,2,FALSE),"")="Uniforme"),IFERROR(VLOOKUP($E15,'DADOS_CUSTOM'!$AM$2:$AS$32,2,FALSE),""),"")</f>
        <v/>
      </c>
      <c r="AO46" s="175">
        <f>IF(AND(AND($B15="Ferramenta amaldiçoada",$T15=TRUE),IFERROR(VLOOKUP($E15,'DADOS_CUSTOM'!$BM$2:$BU$100,2,FALSE),"")="Uniforme"),IFERROR(VLOOKUP($E15,'DADOS_CUSTOM'!$AM$2:$AS$32,3,FALSE),""),"")</f>
        <v/>
      </c>
      <c r="AP46" s="175">
        <f>IF(AND(AND($B15="Ferramenta amaldiçoada",$T15=TRUE),IFERROR(VLOOKUP($E15,'DADOS_CUSTOM'!$BM$2:$BU$100,2,FALSE),"")="Uniforme"),IFERROR(VLOOKUP($E15,'DADOS_CUSTOM'!$AM$2:$AS$32,4,FALSE),""),"")</f>
        <v/>
      </c>
      <c r="AQ46" s="175">
        <f>IF(AND(AND($B15="Ferramenta amaldiçoada",$T15=TRUE),IFERROR(VLOOKUP($E15,'DADOS_CUSTOM'!$BM$2:$BU$100,2,FALSE),"")="Uniforme"),IF($N15="",IFERROR(VLOOKUP($E15,'DADOS_CUSTOM'!$AM$2:$AS$32,5,FALSE),""),$N15),"")</f>
        <v/>
      </c>
      <c r="AR46" s="175">
        <f>IF(AND(AND($B15="Ferramenta amaldiçoada",$T15=TRUE),IFERROR(VLOOKUP($E15,'DADOS_CUSTOM'!$BM$2:$BU$100,2,FALSE),"")="Uniforme"),IFERROR(VLOOKUP($E15,'DADOS_CUSTOM'!$AM$2:$AS$32,6,FALSE),""),"")</f>
        <v/>
      </c>
      <c r="AS46" s="175">
        <f>IF(AND(AND($B15="Ferramenta amaldiçoada",$T15=TRUE),IFERROR(VLOOKUP($E15,'DADOS_CUSTOM'!$BM$2:$BU$100,2,FALSE),"")="Uniforme"),IFERROR(VLOOKUP($E15,'DADOS_CUSTOM'!$AM$2:$AS$32,7,FALSE),""),"")</f>
        <v/>
      </c>
      <c r="AU46" s="175">
        <f>IF(AND(AND($B8="Ferramenta amaldiçoada",$T8=TRUE),IFERROR(VLOOKUP($E8,'DADOS_CUSTOM'!$BM$2:$BU$100,2,FALSE),"")="Item comum"),$C8,"")</f>
        <v/>
      </c>
      <c r="AV46" s="175">
        <f>IF(AND(AND($B8="Ferramenta amaldiçoada",$T8=TRUE),IFERROR(VLOOKUP($E8,'DADOS_CUSTOM'!$BM$2:$BU$100,2,FALSE),"")="Item comum"),IF($N8="",IFERROR(VLOOKUP($E8,'DADOS_CUSTOM'!$AU$2:$AX$39,2,FALSE),""),$N8),"")</f>
        <v/>
      </c>
      <c r="AW46" s="175">
        <f>IF(AND(AND($B8="Ferramenta amaldiçoada",$T8=TRUE),IFERROR(VLOOKUP($E8,'DADOS_CUSTOM'!$BM$2:$BU$100,2,FALSE),"")="Item comum"),$O8,"")</f>
        <v/>
      </c>
      <c r="AX46" s="175">
        <f>IF(AND(AND($B8="Ferramenta amaldiçoada",$T8=TRUE),IFERROR(VLOOKUP($E8,'DADOS_CUSTOM'!$BM$2:$BU$100,2,FALSE),"")="Item comum"),$R8,"")</f>
        <v/>
      </c>
      <c r="AZ46" s="175" t="inlineStr">
        <is>
          <t>Memória Testemunha</t>
        </is>
      </c>
      <c r="BA46" s="175" t="inlineStr">
        <is>
          <t>Encarnado</t>
        </is>
      </c>
      <c r="BB46" s="175" t="inlineStr">
        <is>
          <t>menor</t>
        </is>
      </c>
      <c r="BC46" s="175" t="inlineStr"/>
      <c r="BD46" s="175" t="inlineStr">
        <is>
          <t>Uma vez por dia</t>
        </is>
      </c>
      <c r="BE46" s="175" t="inlineStr">
        <is>
          <t>Uma vez por dia, dedique 1 minuto a revisitar uma cena que você ou seu hospedeiro realmente presenciou. Faça ao mestre até três perguntas sobre detalhes que poderiam ter sido percebidos naquela ocasião, sem teste de lembrança.
As respostas recuperam o que a lembrança permite. Não criam acontecimentos, não revelam algo imperceptível na ocasião nem transformam uma impressão equivocada em conhecimento do que estava oculto. O uso é gasto ao iniciar a consulta; as perguntas pertencem à mesma cena.</t>
        </is>
      </c>
      <c r="BM46" s="175" t="inlineStr">
        <is>
          <t>Pistola</t>
        </is>
      </c>
      <c r="BN46" s="175" t="inlineStr">
        <is>
          <t>Arma</t>
        </is>
      </c>
      <c r="BO46" s="175" t="n">
        <v>0</v>
      </c>
      <c r="BP46" s="175" t="inlineStr">
        <is>
          <t>—</t>
        </is>
      </c>
      <c r="BQ46" s="175" t="inlineStr">
        <is>
          <t>—</t>
        </is>
      </c>
      <c r="BR46" s="175" t="n">
        <v>0.5</v>
      </c>
      <c r="BS46" s="175" t="inlineStr">
        <is>
          <t>—</t>
        </is>
      </c>
      <c r="BT46" s="175" t="inlineStr"/>
      <c r="BU46" s="175" t="inlineStr"/>
      <c r="BV46" s="175" t="inlineStr">
        <is>
          <t>Encarnado</t>
        </is>
      </c>
      <c r="CK46" s="175" t="inlineStr">
        <is>
          <t>Submetralhadora</t>
        </is>
      </c>
    </row>
    <row r="47">
      <c r="AA47" s="175" t="inlineStr">
        <is>
          <t>Soqueira</t>
        </is>
      </c>
      <c r="AB47" s="175" t="inlineStr">
        <is>
          <t>Manopla</t>
        </is>
      </c>
      <c r="AC47" s="175" t="n">
        <v>1</v>
      </c>
      <c r="AD47" s="175" t="inlineStr">
        <is>
          <t>1d4</t>
        </is>
      </c>
      <c r="AE47" s="175" t="inlineStr">
        <is>
          <t>Vestida · Oculta · Par · Leve</t>
        </is>
      </c>
      <c r="AF47" s="175" t="inlineStr">
        <is>
          <t>—</t>
        </is>
      </c>
      <c r="AG47" s="175" t="n">
        <v>0.2</v>
      </c>
      <c r="AJ47" s="175">
        <f>'FICHA PESSOAL'!$AE$82</f>
        <v/>
      </c>
      <c r="AK47" s="175">
        <f>ADDRESS(ROW('FICHA PESSOAL'!AE82),COLUMN('FICHA PESSOAL'!AE82),4)</f>
        <v/>
      </c>
      <c r="AM47" s="175">
        <f>IF(AND(AND($B16="Ferramenta amaldiçoada",$T16=TRUE),IFERROR(VLOOKUP($E16,'DADOS_CUSTOM'!$BM$2:$BU$100,2,FALSE),"")="Uniforme"),$C16,"")</f>
        <v/>
      </c>
      <c r="AN47" s="175">
        <f>IF(AND(AND($B16="Ferramenta amaldiçoada",$T16=TRUE),IFERROR(VLOOKUP($E16,'DADOS_CUSTOM'!$BM$2:$BU$100,2,FALSE),"")="Uniforme"),IFERROR(VLOOKUP($E16,'DADOS_CUSTOM'!$AM$2:$AS$32,2,FALSE),""),"")</f>
        <v/>
      </c>
      <c r="AO47" s="175">
        <f>IF(AND(AND($B16="Ferramenta amaldiçoada",$T16=TRUE),IFERROR(VLOOKUP($E16,'DADOS_CUSTOM'!$BM$2:$BU$100,2,FALSE),"")="Uniforme"),IFERROR(VLOOKUP($E16,'DADOS_CUSTOM'!$AM$2:$AS$32,3,FALSE),""),"")</f>
        <v/>
      </c>
      <c r="AP47" s="175">
        <f>IF(AND(AND($B16="Ferramenta amaldiçoada",$T16=TRUE),IFERROR(VLOOKUP($E16,'DADOS_CUSTOM'!$BM$2:$BU$100,2,FALSE),"")="Uniforme"),IFERROR(VLOOKUP($E16,'DADOS_CUSTOM'!$AM$2:$AS$32,4,FALSE),""),"")</f>
        <v/>
      </c>
      <c r="AQ47" s="175">
        <f>IF(AND(AND($B16="Ferramenta amaldiçoada",$T16=TRUE),IFERROR(VLOOKUP($E16,'DADOS_CUSTOM'!$BM$2:$BU$100,2,FALSE),"")="Uniforme"),IF($N16="",IFERROR(VLOOKUP($E16,'DADOS_CUSTOM'!$AM$2:$AS$32,5,FALSE),""),$N16),"")</f>
        <v/>
      </c>
      <c r="AR47" s="175">
        <f>IF(AND(AND($B16="Ferramenta amaldiçoada",$T16=TRUE),IFERROR(VLOOKUP($E16,'DADOS_CUSTOM'!$BM$2:$BU$100,2,FALSE),"")="Uniforme"),IFERROR(VLOOKUP($E16,'DADOS_CUSTOM'!$AM$2:$AS$32,6,FALSE),""),"")</f>
        <v/>
      </c>
      <c r="AS47" s="175">
        <f>IF(AND(AND($B16="Ferramenta amaldiçoada",$T16=TRUE),IFERROR(VLOOKUP($E16,'DADOS_CUSTOM'!$BM$2:$BU$100,2,FALSE),"")="Uniforme"),IFERROR(VLOOKUP($E16,'DADOS_CUSTOM'!$AM$2:$AS$32,7,FALSE),""),"")</f>
        <v/>
      </c>
      <c r="AU47" s="175">
        <f>IF(AND(AND($B9="Ferramenta amaldiçoada",$T9=TRUE),IFERROR(VLOOKUP($E9,'DADOS_CUSTOM'!$BM$2:$BU$100,2,FALSE),"")="Item comum"),$C9,"")</f>
        <v/>
      </c>
      <c r="AV47" s="175">
        <f>IF(AND(AND($B9="Ferramenta amaldiçoada",$T9=TRUE),IFERROR(VLOOKUP($E9,'DADOS_CUSTOM'!$BM$2:$BU$100,2,FALSE),"")="Item comum"),IF($N9="",IFERROR(VLOOKUP($E9,'DADOS_CUSTOM'!$AU$2:$AX$39,2,FALSE),""),$N9),"")</f>
        <v/>
      </c>
      <c r="AW47" s="175">
        <f>IF(AND(AND($B9="Ferramenta amaldiçoada",$T9=TRUE),IFERROR(VLOOKUP($E9,'DADOS_CUSTOM'!$BM$2:$BU$100,2,FALSE),"")="Item comum"),$O9,"")</f>
        <v/>
      </c>
      <c r="AX47" s="175">
        <f>IF(AND(AND($B9="Ferramenta amaldiçoada",$T9=TRUE),IFERROR(VLOOKUP($E9,'DADOS_CUSTOM'!$BM$2:$BU$100,2,FALSE),"")="Item comum"),$R9,"")</f>
        <v/>
      </c>
      <c r="AZ47" s="175" t="inlineStr">
        <is>
          <t>Vivência de Outra Era</t>
        </is>
      </c>
      <c r="BA47" s="175" t="inlineStr">
        <is>
          <t>Encarnado</t>
        </is>
      </c>
      <c r="BB47" s="175" t="inlineStr">
        <is>
          <t>menor</t>
        </is>
      </c>
      <c r="BC47" s="175" t="inlineStr"/>
      <c r="BD47" s="175" t="inlineStr">
        <is>
          <t>Uma vez por cena</t>
        </is>
      </c>
      <c r="BE47" s="175" t="inlineStr">
        <is>
          <t>Uma vez por cena, antes de um teste da perícia escolhida na base do Encarnado — História, Ocultismo, Investigação ou Intimidação —, pode fazê-lo com vantagem, sem ação ou PE adicionais. A escolha é a registrada na criação e não muda entre usos.</t>
        </is>
      </c>
      <c r="BM47" s="175" t="inlineStr">
        <is>
          <t>Punhal</t>
        </is>
      </c>
      <c r="BN47" s="175" t="inlineStr">
        <is>
          <t>Arma</t>
        </is>
      </c>
      <c r="BO47" s="175" t="n">
        <v>0</v>
      </c>
      <c r="BP47" s="175" t="inlineStr">
        <is>
          <t>—</t>
        </is>
      </c>
      <c r="BQ47" s="175" t="inlineStr">
        <is>
          <t>—</t>
        </is>
      </c>
      <c r="BR47" s="175" t="n">
        <v>0.3</v>
      </c>
      <c r="BS47" s="175" t="inlineStr">
        <is>
          <t>—</t>
        </is>
      </c>
      <c r="BT47" s="175" t="inlineStr"/>
      <c r="BU47" s="175" t="inlineStr"/>
      <c r="BV47" s="175" t="inlineStr">
        <is>
          <t>Encarnado · Sem Técnica</t>
        </is>
      </c>
      <c r="CK47" s="175" t="inlineStr">
        <is>
          <t>Taco</t>
        </is>
      </c>
    </row>
    <row r="48">
      <c r="AA48" s="175" t="inlineStr">
        <is>
          <t>Submetralhadora</t>
        </is>
      </c>
      <c r="AB48" s="175" t="inlineStr">
        <is>
          <t>Arma de Fogo</t>
        </is>
      </c>
      <c r="AC48" s="175" t="n">
        <v>2</v>
      </c>
      <c r="AD48" s="175" t="inlineStr">
        <is>
          <t>2d6</t>
        </is>
      </c>
      <c r="AE48" s="175" t="inlineStr">
        <is>
          <t>Longo Alcance · Munição · Par · Oculta</t>
        </is>
      </c>
      <c r="AF48" s="175" t="inlineStr">
        <is>
          <t>—</t>
        </is>
      </c>
      <c r="AG48" s="175" t="n">
        <v>2</v>
      </c>
      <c r="AH48" s="175" t="inlineStr">
        <is>
          <t>15 m, longa 45 m</t>
        </is>
      </c>
      <c r="AI48" s="175" t="n">
        <v>3</v>
      </c>
      <c r="AJ48" s="175">
        <f>'FICHA PESSOAL'!$M$78</f>
        <v/>
      </c>
      <c r="AK48" s="175">
        <f>ADDRESS(ROW('FICHA PESSOAL'!M78),COLUMN('FICHA PESSOAL'!M78),4)</f>
        <v/>
      </c>
      <c r="AM48" s="175">
        <f>IF(AND(AND($B17="Ferramenta amaldiçoada",$T17=TRUE),IFERROR(VLOOKUP($E17,'DADOS_CUSTOM'!$BM$2:$BU$100,2,FALSE),"")="Uniforme"),$C17,"")</f>
        <v/>
      </c>
      <c r="AN48" s="175">
        <f>IF(AND(AND($B17="Ferramenta amaldiçoada",$T17=TRUE),IFERROR(VLOOKUP($E17,'DADOS_CUSTOM'!$BM$2:$BU$100,2,FALSE),"")="Uniforme"),IFERROR(VLOOKUP($E17,'DADOS_CUSTOM'!$AM$2:$AS$32,2,FALSE),""),"")</f>
        <v/>
      </c>
      <c r="AO48" s="175">
        <f>IF(AND(AND($B17="Ferramenta amaldiçoada",$T17=TRUE),IFERROR(VLOOKUP($E17,'DADOS_CUSTOM'!$BM$2:$BU$100,2,FALSE),"")="Uniforme"),IFERROR(VLOOKUP($E17,'DADOS_CUSTOM'!$AM$2:$AS$32,3,FALSE),""),"")</f>
        <v/>
      </c>
      <c r="AP48" s="175">
        <f>IF(AND(AND($B17="Ferramenta amaldiçoada",$T17=TRUE),IFERROR(VLOOKUP($E17,'DADOS_CUSTOM'!$BM$2:$BU$100,2,FALSE),"")="Uniforme"),IFERROR(VLOOKUP($E17,'DADOS_CUSTOM'!$AM$2:$AS$32,4,FALSE),""),"")</f>
        <v/>
      </c>
      <c r="AQ48" s="175">
        <f>IF(AND(AND($B17="Ferramenta amaldiçoada",$T17=TRUE),IFERROR(VLOOKUP($E17,'DADOS_CUSTOM'!$BM$2:$BU$100,2,FALSE),"")="Uniforme"),IF($N17="",IFERROR(VLOOKUP($E17,'DADOS_CUSTOM'!$AM$2:$AS$32,5,FALSE),""),$N17),"")</f>
        <v/>
      </c>
      <c r="AR48" s="175">
        <f>IF(AND(AND($B17="Ferramenta amaldiçoada",$T17=TRUE),IFERROR(VLOOKUP($E17,'DADOS_CUSTOM'!$BM$2:$BU$100,2,FALSE),"")="Uniforme"),IFERROR(VLOOKUP($E17,'DADOS_CUSTOM'!$AM$2:$AS$32,6,FALSE),""),"")</f>
        <v/>
      </c>
      <c r="AS48" s="175">
        <f>IF(AND(AND($B17="Ferramenta amaldiçoada",$T17=TRUE),IFERROR(VLOOKUP($E17,'DADOS_CUSTOM'!$BM$2:$BU$100,2,FALSE),"")="Uniforme"),IFERROR(VLOOKUP($E17,'DADOS_CUSTOM'!$AM$2:$AS$32,7,FALSE),""),"")</f>
        <v/>
      </c>
      <c r="AU48" s="175">
        <f>IF(AND(AND($B10="Ferramenta amaldiçoada",$T10=TRUE),IFERROR(VLOOKUP($E10,'DADOS_CUSTOM'!$BM$2:$BU$100,2,FALSE),"")="Item comum"),$C10,"")</f>
        <v/>
      </c>
      <c r="AV48" s="175">
        <f>IF(AND(AND($B10="Ferramenta amaldiçoada",$T10=TRUE),IFERROR(VLOOKUP($E10,'DADOS_CUSTOM'!$BM$2:$BU$100,2,FALSE),"")="Item comum"),IF($N10="",IFERROR(VLOOKUP($E10,'DADOS_CUSTOM'!$AU$2:$AX$39,2,FALSE),""),$N10),"")</f>
        <v/>
      </c>
      <c r="AW48" s="175">
        <f>IF(AND(AND($B10="Ferramenta amaldiçoada",$T10=TRUE),IFERROR(VLOOKUP($E10,'DADOS_CUSTOM'!$BM$2:$BU$100,2,FALSE),"")="Item comum"),$O10,"")</f>
        <v/>
      </c>
      <c r="AX48" s="175">
        <f>IF(AND(AND($B10="Ferramenta amaldiçoada",$T10=TRUE),IFERROR(VLOOKUP($E10,'DADOS_CUSTOM'!$BM$2:$BU$100,2,FALSE),"")="Item comum"),$R10,"")</f>
        <v/>
      </c>
      <c r="AZ48" s="175" t="inlineStr">
        <is>
          <t>Experiência Preservada</t>
        </is>
      </c>
      <c r="BA48" s="175" t="inlineStr">
        <is>
          <t>Encarnado</t>
        </is>
      </c>
      <c r="BB48" s="175" t="inlineStr">
        <is>
          <t>menor</t>
        </is>
      </c>
      <c r="BC48" s="175" t="inlineStr"/>
      <c r="BD48" s="175" t="inlineStr">
        <is>
          <t>Uma vez por cena</t>
        </is>
      </c>
      <c r="BE48" s="175" t="inlineStr">
        <is>
          <t>Uma vez por cena, se usar a Reserva de Experiência num teste próprio e ele continuar falhando depois do d4, esse uso da Reserva não é consumido. A falha e suas consequências acontecem normalmente, sem nova rolagem ou tentativa.
Você precisa ter um uso disponível para empregar a Reserva. A preservação não aumenta o saldo acima do máximo e não vale para o d4 concedido a um aliado.</t>
        </is>
      </c>
      <c r="BM48" s="175" t="inlineStr">
        <is>
          <t>Rapieira</t>
        </is>
      </c>
      <c r="BN48" s="175" t="inlineStr">
        <is>
          <t>Arma</t>
        </is>
      </c>
      <c r="BO48" s="175" t="n">
        <v>0</v>
      </c>
      <c r="BP48" s="175" t="inlineStr">
        <is>
          <t>—</t>
        </is>
      </c>
      <c r="BQ48" s="175" t="inlineStr">
        <is>
          <t>—</t>
        </is>
      </c>
      <c r="BR48" s="175" t="n">
        <v>1</v>
      </c>
      <c r="BS48" s="175" t="inlineStr">
        <is>
          <t>—</t>
        </is>
      </c>
      <c r="BT48" s="175" t="inlineStr"/>
      <c r="BU48" s="175" t="inlineStr"/>
      <c r="BV48" s="175" t="inlineStr">
        <is>
          <t>Ensaio Partilhado</t>
        </is>
      </c>
      <c r="CK48" s="175" t="inlineStr">
        <is>
          <t>Tanto</t>
        </is>
      </c>
    </row>
    <row r="49">
      <c r="AA49" s="175" t="inlineStr">
        <is>
          <t>Taco</t>
        </is>
      </c>
      <c r="AB49" s="175" t="inlineStr">
        <is>
          <t>Massa</t>
        </is>
      </c>
      <c r="AC49" s="175" t="n">
        <v>1</v>
      </c>
      <c r="AD49" s="175" t="inlineStr">
        <is>
          <t>1d8</t>
        </is>
      </c>
      <c r="AE49" s="175" t="inlineStr">
        <is>
          <t>Versátil · Discreta</t>
        </is>
      </c>
      <c r="AF49" s="175" t="inlineStr">
        <is>
          <t>—</t>
        </is>
      </c>
      <c r="AG49" s="175" t="n">
        <v>1</v>
      </c>
      <c r="AJ49" s="175">
        <f>'FICHA PESSOAL'!$AM$76</f>
        <v/>
      </c>
      <c r="AK49" s="175">
        <f>ADDRESS(ROW('FICHA PESSOAL'!AM76),COLUMN('FICHA PESSOAL'!AM76),4)</f>
        <v/>
      </c>
      <c r="AM49" s="175">
        <f>IF(AND(AND($B18="Ferramenta amaldiçoada",$T18=TRUE),IFERROR(VLOOKUP($E18,'DADOS_CUSTOM'!$BM$2:$BU$100,2,FALSE),"")="Uniforme"),$C18,"")</f>
        <v/>
      </c>
      <c r="AN49" s="175">
        <f>IF(AND(AND($B18="Ferramenta amaldiçoada",$T18=TRUE),IFERROR(VLOOKUP($E18,'DADOS_CUSTOM'!$BM$2:$BU$100,2,FALSE),"")="Uniforme"),IFERROR(VLOOKUP($E18,'DADOS_CUSTOM'!$AM$2:$AS$32,2,FALSE),""),"")</f>
        <v/>
      </c>
      <c r="AO49" s="175">
        <f>IF(AND(AND($B18="Ferramenta amaldiçoada",$T18=TRUE),IFERROR(VLOOKUP($E18,'DADOS_CUSTOM'!$BM$2:$BU$100,2,FALSE),"")="Uniforme"),IFERROR(VLOOKUP($E18,'DADOS_CUSTOM'!$AM$2:$AS$32,3,FALSE),""),"")</f>
        <v/>
      </c>
      <c r="AP49" s="175">
        <f>IF(AND(AND($B18="Ferramenta amaldiçoada",$T18=TRUE),IFERROR(VLOOKUP($E18,'DADOS_CUSTOM'!$BM$2:$BU$100,2,FALSE),"")="Uniforme"),IFERROR(VLOOKUP($E18,'DADOS_CUSTOM'!$AM$2:$AS$32,4,FALSE),""),"")</f>
        <v/>
      </c>
      <c r="AQ49" s="175">
        <f>IF(AND(AND($B18="Ferramenta amaldiçoada",$T18=TRUE),IFERROR(VLOOKUP($E18,'DADOS_CUSTOM'!$BM$2:$BU$100,2,FALSE),"")="Uniforme"),IF($N18="",IFERROR(VLOOKUP($E18,'DADOS_CUSTOM'!$AM$2:$AS$32,5,FALSE),""),$N18),"")</f>
        <v/>
      </c>
      <c r="AR49" s="175">
        <f>IF(AND(AND($B18="Ferramenta amaldiçoada",$T18=TRUE),IFERROR(VLOOKUP($E18,'DADOS_CUSTOM'!$BM$2:$BU$100,2,FALSE),"")="Uniforme"),IFERROR(VLOOKUP($E18,'DADOS_CUSTOM'!$AM$2:$AS$32,6,FALSE),""),"")</f>
        <v/>
      </c>
      <c r="AS49" s="175">
        <f>IF(AND(AND($B18="Ferramenta amaldiçoada",$T18=TRUE),IFERROR(VLOOKUP($E18,'DADOS_CUSTOM'!$BM$2:$BU$100,2,FALSE),"")="Uniforme"),IFERROR(VLOOKUP($E18,'DADOS_CUSTOM'!$AM$2:$AS$32,7,FALSE),""),"")</f>
        <v/>
      </c>
      <c r="AU49" s="175">
        <f>IF(AND(AND($B11="Ferramenta amaldiçoada",$T11=TRUE),IFERROR(VLOOKUP($E11,'DADOS_CUSTOM'!$BM$2:$BU$100,2,FALSE),"")="Item comum"),$C11,"")</f>
        <v/>
      </c>
      <c r="AV49" s="175">
        <f>IF(AND(AND($B11="Ferramenta amaldiçoada",$T11=TRUE),IFERROR(VLOOKUP($E11,'DADOS_CUSTOM'!$BM$2:$BU$100,2,FALSE),"")="Item comum"),IF($N11="",IFERROR(VLOOKUP($E11,'DADOS_CUSTOM'!$AU$2:$AX$39,2,FALSE),""),$N11),"")</f>
        <v/>
      </c>
      <c r="AW49" s="175">
        <f>IF(AND(AND($B11="Ferramenta amaldiçoada",$T11=TRUE),IFERROR(VLOOKUP($E11,'DADOS_CUSTOM'!$BM$2:$BU$100,2,FALSE),"")="Item comum"),$O11,"")</f>
        <v/>
      </c>
      <c r="AX49" s="175">
        <f>IF(AND(AND($B11="Ferramenta amaldiçoada",$T11=TRUE),IFERROR(VLOOKUP($E11,'DADOS_CUSTOM'!$BM$2:$BU$100,2,FALSE),"")="Item comum"),$R11,"")</f>
        <v/>
      </c>
      <c r="AZ49" s="175" t="inlineStr">
        <is>
          <t>Anatomia Suplementar</t>
        </is>
      </c>
      <c r="BA49" s="175" t="inlineStr">
        <is>
          <t>Híbrido</t>
        </is>
      </c>
      <c r="BB49" s="175" t="inlineStr">
        <is>
          <t>menor</t>
        </is>
      </c>
      <c r="BC49" s="175" t="inlineStr"/>
      <c r="BD49" s="175" t="inlineStr">
        <is>
          <t>Passiva</t>
        </is>
      </c>
      <c r="BE49" s="175" t="inlineStr">
        <is>
          <t>Escolha uma alteração:
- Apêndice preênsil: braço auxiliar, cauda ou tentáculo que segura um objeto de até 1 Volume e faz manipulações simples com as ações normais. Deixa as mãos livres, sem conceder ataques, escudo ou gestos adicionais.
- Olho adicional: escolha sua posição. Enquanto estiver exposto, você pode enxergar por ele. A até 9 m, enxerga na penumbra e na escuridão comum sem a penalidade por falta de luz, mas não distingue cores no escuro. Os demais impedimentos de visão continuam valendo.
Uma boca extra usada em combate é representada por Presas ou boca predatória, abaixo.</t>
        </is>
      </c>
      <c r="BM49" s="175" t="inlineStr">
        <is>
          <t>Revólver</t>
        </is>
      </c>
      <c r="BN49" s="175" t="inlineStr">
        <is>
          <t>Arma</t>
        </is>
      </c>
      <c r="BO49" s="175" t="n">
        <v>0</v>
      </c>
      <c r="BP49" s="175" t="inlineStr">
        <is>
          <t>—</t>
        </is>
      </c>
      <c r="BQ49" s="175" t="inlineStr">
        <is>
          <t>—</t>
        </is>
      </c>
      <c r="BR49" s="175" t="n">
        <v>0.5</v>
      </c>
      <c r="BS49" s="175" t="inlineStr">
        <is>
          <t>—</t>
        </is>
      </c>
      <c r="BT49" s="175" t="inlineStr"/>
      <c r="BU49" s="175" t="inlineStr"/>
      <c r="BV49" s="175" t="inlineStr">
        <is>
          <t>Escolha sua Origem</t>
        </is>
      </c>
      <c r="CK49" s="175" t="inlineStr">
        <is>
          <t>Tekko</t>
        </is>
      </c>
    </row>
    <row r="50">
      <c r="AA50" s="175" t="inlineStr">
        <is>
          <t>Tanto</t>
        </is>
      </c>
      <c r="AB50" s="175" t="inlineStr">
        <is>
          <t>Lâmina Curta</t>
        </is>
      </c>
      <c r="AC50" s="175" t="n">
        <v>1</v>
      </c>
      <c r="AD50" s="175" t="inlineStr">
        <is>
          <t>1d6</t>
        </is>
      </c>
      <c r="AE50" s="175" t="inlineStr">
        <is>
          <t>Fineza · Oculta · Leve</t>
        </is>
      </c>
      <c r="AF50" s="175" t="inlineStr">
        <is>
          <t>—</t>
        </is>
      </c>
      <c r="AG50" s="175" t="n">
        <v>0.3</v>
      </c>
      <c r="AJ50" s="175">
        <f>'FICHA PESSOAL'!$AE$76</f>
        <v/>
      </c>
      <c r="AK50" s="175">
        <f>ADDRESS(ROW('FICHA PESSOAL'!AE76),COLUMN('FICHA PESSOAL'!AE76),4)</f>
        <v/>
      </c>
      <c r="AM50" s="175">
        <f>IF(AND(AND($B19="Ferramenta amaldiçoada",$T19=TRUE),IFERROR(VLOOKUP($E19,'DADOS_CUSTOM'!$BM$2:$BU$100,2,FALSE),"")="Uniforme"),$C19,"")</f>
        <v/>
      </c>
      <c r="AN50" s="175">
        <f>IF(AND(AND($B19="Ferramenta amaldiçoada",$T19=TRUE),IFERROR(VLOOKUP($E19,'DADOS_CUSTOM'!$BM$2:$BU$100,2,FALSE),"")="Uniforme"),IFERROR(VLOOKUP($E19,'DADOS_CUSTOM'!$AM$2:$AS$32,2,FALSE),""),"")</f>
        <v/>
      </c>
      <c r="AO50" s="175">
        <f>IF(AND(AND($B19="Ferramenta amaldiçoada",$T19=TRUE),IFERROR(VLOOKUP($E19,'DADOS_CUSTOM'!$BM$2:$BU$100,2,FALSE),"")="Uniforme"),IFERROR(VLOOKUP($E19,'DADOS_CUSTOM'!$AM$2:$AS$32,3,FALSE),""),"")</f>
        <v/>
      </c>
      <c r="AP50" s="175">
        <f>IF(AND(AND($B19="Ferramenta amaldiçoada",$T19=TRUE),IFERROR(VLOOKUP($E19,'DADOS_CUSTOM'!$BM$2:$BU$100,2,FALSE),"")="Uniforme"),IFERROR(VLOOKUP($E19,'DADOS_CUSTOM'!$AM$2:$AS$32,4,FALSE),""),"")</f>
        <v/>
      </c>
      <c r="AQ50" s="175">
        <f>IF(AND(AND($B19="Ferramenta amaldiçoada",$T19=TRUE),IFERROR(VLOOKUP($E19,'DADOS_CUSTOM'!$BM$2:$BU$100,2,FALSE),"")="Uniforme"),IF($N19="",IFERROR(VLOOKUP($E19,'DADOS_CUSTOM'!$AM$2:$AS$32,5,FALSE),""),$N19),"")</f>
        <v/>
      </c>
      <c r="AR50" s="175">
        <f>IF(AND(AND($B19="Ferramenta amaldiçoada",$T19=TRUE),IFERROR(VLOOKUP($E19,'DADOS_CUSTOM'!$BM$2:$BU$100,2,FALSE),"")="Uniforme"),IFERROR(VLOOKUP($E19,'DADOS_CUSTOM'!$AM$2:$AS$32,6,FALSE),""),"")</f>
        <v/>
      </c>
      <c r="AS50" s="175">
        <f>IF(AND(AND($B19="Ferramenta amaldiçoada",$T19=TRUE),IFERROR(VLOOKUP($E19,'DADOS_CUSTOM'!$BM$2:$BU$100,2,FALSE),"")="Uniforme"),IFERROR(VLOOKUP($E19,'DADOS_CUSTOM'!$AM$2:$AS$32,7,FALSE),""),"")</f>
        <v/>
      </c>
      <c r="AU50" s="175">
        <f>IF(AND(AND($B12="Ferramenta amaldiçoada",$T12=TRUE),IFERROR(VLOOKUP($E12,'DADOS_CUSTOM'!$BM$2:$BU$100,2,FALSE),"")="Item comum"),$C12,"")</f>
        <v/>
      </c>
      <c r="AV50" s="175">
        <f>IF(AND(AND($B12="Ferramenta amaldiçoada",$T12=TRUE),IFERROR(VLOOKUP($E12,'DADOS_CUSTOM'!$BM$2:$BU$100,2,FALSE),"")="Item comum"),IF($N12="",IFERROR(VLOOKUP($E12,'DADOS_CUSTOM'!$AU$2:$AX$39,2,FALSE),""),$N12),"")</f>
        <v/>
      </c>
      <c r="AW50" s="175">
        <f>IF(AND(AND($B12="Ferramenta amaldiçoada",$T12=TRUE),IFERROR(VLOOKUP($E12,'DADOS_CUSTOM'!$BM$2:$BU$100,2,FALSE),"")="Item comum"),$O12,"")</f>
        <v/>
      </c>
      <c r="AX50" s="175">
        <f>IF(AND(AND($B12="Ferramenta amaldiçoada",$T12=TRUE),IFERROR(VLOOKUP($E12,'DADOS_CUSTOM'!$BM$2:$BU$100,2,FALSE),"")="Item comum"),$R12,"")</f>
        <v/>
      </c>
      <c r="AZ50" s="175" t="inlineStr">
        <is>
          <t>Armamento Orgânico</t>
        </is>
      </c>
      <c r="BA50" s="175" t="inlineStr">
        <is>
          <t>Híbrido</t>
        </is>
      </c>
      <c r="BB50" s="175" t="inlineStr">
        <is>
          <t>menor</t>
        </is>
      </c>
      <c r="BC50" s="175" t="inlineStr"/>
      <c r="BD50" s="175" t="inlineStr">
        <is>
          <t>Passiva</t>
        </is>
      </c>
      <c r="BE50" s="175" t="inlineStr">
        <is>
          <t>Seu corpo oferece uma forma própria de atacar. Cada aquisição dá um perfil, usando seu dado desarmado atual, que acompanha sua evolução, sem acrescentar outro dado.
Perfil | Dano | Benefício
Garras ou lâminas ósseas | Cortante | Fineza: pode usar Destreza no acerto e no dano.
Presas ou boca predatória | Perfurante | Pode Agarrar com a boca, mantendo as mãos livres. Usa a manobra normal, substituindo um ataque e sem causar dano nessa tentativa.
Punhos nodosos ou chifre rombudo | Concussão | Rompe: vantagem contra objetos e estruturas que consiga danificar.
Membro extensível | Concussão | Ataques feitos com esse membro têm alcance permanente de 3 m.
Dois perfis oferecem alternativas; suas propriedades não se somam no mesmo golpe. Membro Extensível vale também para ataques de oportunidade e Reações que já permitam atacar. Não exige outra ação, não concede ataques extras nem exige manter o membro esticado o tempo todo.
O alcance adicional não amplia armas empunhadas ou manobras: Agarrar, Derrubar e Empurrar conservam suas distâncias normais.</t>
        </is>
      </c>
      <c r="BM50" s="175" t="inlineStr">
        <is>
          <t>Rifle</t>
        </is>
      </c>
      <c r="BN50" s="175" t="inlineStr">
        <is>
          <t>Arma</t>
        </is>
      </c>
      <c r="BO50" s="175" t="n">
        <v>0</v>
      </c>
      <c r="BP50" s="175" t="inlineStr">
        <is>
          <t>—</t>
        </is>
      </c>
      <c r="BQ50" s="175" t="n">
        <v>1</v>
      </c>
      <c r="BR50" s="175" t="n">
        <v>2</v>
      </c>
      <c r="BS50" s="175" t="inlineStr">
        <is>
          <t>—</t>
        </is>
      </c>
      <c r="BT50" s="175" t="inlineStr"/>
      <c r="BU50" s="175" t="inlineStr"/>
      <c r="BV50" s="175" t="inlineStr">
        <is>
          <t>Espada Longa</t>
        </is>
      </c>
      <c r="CK50" s="175" t="inlineStr">
        <is>
          <t>Tessen</t>
        </is>
      </c>
    </row>
    <row r="51">
      <c r="AA51" s="175" t="inlineStr">
        <is>
          <t>Tekko</t>
        </is>
      </c>
      <c r="AB51" s="175" t="inlineStr">
        <is>
          <t>Manopla</t>
        </is>
      </c>
      <c r="AC51" s="175" t="n">
        <v>1</v>
      </c>
      <c r="AD51" s="175" t="inlineStr">
        <is>
          <t>1d4</t>
        </is>
      </c>
      <c r="AE51" s="175" t="inlineStr">
        <is>
          <t>Vestida · Par · Oculta · Leve</t>
        </is>
      </c>
      <c r="AF51" s="175" t="inlineStr">
        <is>
          <t>—</t>
        </is>
      </c>
      <c r="AG51" s="175" t="n">
        <v>0.2</v>
      </c>
      <c r="AJ51" s="175">
        <f>'FICHA PESSOAL'!$AE$83</f>
        <v/>
      </c>
      <c r="AK51" s="175">
        <f>ADDRESS(ROW('FICHA PESSOAL'!AE83),COLUMN('FICHA PESSOAL'!AE83),4)</f>
        <v/>
      </c>
      <c r="AM51" s="175">
        <f>IF(AND(AND($B20="Ferramenta amaldiçoada",$T20=TRUE),IFERROR(VLOOKUP($E20,'DADOS_CUSTOM'!$BM$2:$BU$100,2,FALSE),"")="Uniforme"),$C20,"")</f>
        <v/>
      </c>
      <c r="AN51" s="175">
        <f>IF(AND(AND($B20="Ferramenta amaldiçoada",$T20=TRUE),IFERROR(VLOOKUP($E20,'DADOS_CUSTOM'!$BM$2:$BU$100,2,FALSE),"")="Uniforme"),IFERROR(VLOOKUP($E20,'DADOS_CUSTOM'!$AM$2:$AS$32,2,FALSE),""),"")</f>
        <v/>
      </c>
      <c r="AO51" s="175">
        <f>IF(AND(AND($B20="Ferramenta amaldiçoada",$T20=TRUE),IFERROR(VLOOKUP($E20,'DADOS_CUSTOM'!$BM$2:$BU$100,2,FALSE),"")="Uniforme"),IFERROR(VLOOKUP($E20,'DADOS_CUSTOM'!$AM$2:$AS$32,3,FALSE),""),"")</f>
        <v/>
      </c>
      <c r="AP51" s="175">
        <f>IF(AND(AND($B20="Ferramenta amaldiçoada",$T20=TRUE),IFERROR(VLOOKUP($E20,'DADOS_CUSTOM'!$BM$2:$BU$100,2,FALSE),"")="Uniforme"),IFERROR(VLOOKUP($E20,'DADOS_CUSTOM'!$AM$2:$AS$32,4,FALSE),""),"")</f>
        <v/>
      </c>
      <c r="AQ51" s="175">
        <f>IF(AND(AND($B20="Ferramenta amaldiçoada",$T20=TRUE),IFERROR(VLOOKUP($E20,'DADOS_CUSTOM'!$BM$2:$BU$100,2,FALSE),"")="Uniforme"),IF($N20="",IFERROR(VLOOKUP($E20,'DADOS_CUSTOM'!$AM$2:$AS$32,5,FALSE),""),$N20),"")</f>
        <v/>
      </c>
      <c r="AR51" s="175">
        <f>IF(AND(AND($B20="Ferramenta amaldiçoada",$T20=TRUE),IFERROR(VLOOKUP($E20,'DADOS_CUSTOM'!$BM$2:$BU$100,2,FALSE),"")="Uniforme"),IFERROR(VLOOKUP($E20,'DADOS_CUSTOM'!$AM$2:$AS$32,6,FALSE),""),"")</f>
        <v/>
      </c>
      <c r="AS51" s="175">
        <f>IF(AND(AND($B20="Ferramenta amaldiçoada",$T20=TRUE),IFERROR(VLOOKUP($E20,'DADOS_CUSTOM'!$BM$2:$BU$100,2,FALSE),"")="Uniforme"),IFERROR(VLOOKUP($E20,'DADOS_CUSTOM'!$AM$2:$AS$32,7,FALSE),""),"")</f>
        <v/>
      </c>
      <c r="AU51" s="175">
        <f>IF(AND(AND($B13="Ferramenta amaldiçoada",$T13=TRUE),IFERROR(VLOOKUP($E13,'DADOS_CUSTOM'!$BM$2:$BU$100,2,FALSE),"")="Item comum"),$C13,"")</f>
        <v/>
      </c>
      <c r="AV51" s="175">
        <f>IF(AND(AND($B13="Ferramenta amaldiçoada",$T13=TRUE),IFERROR(VLOOKUP($E13,'DADOS_CUSTOM'!$BM$2:$BU$100,2,FALSE),"")="Item comum"),IF($N13="",IFERROR(VLOOKUP($E13,'DADOS_CUSTOM'!$AU$2:$AX$39,2,FALSE),""),$N13),"")</f>
        <v/>
      </c>
      <c r="AW51" s="175">
        <f>IF(AND(AND($B13="Ferramenta amaldiçoada",$T13=TRUE),IFERROR(VLOOKUP($E13,'DADOS_CUSTOM'!$BM$2:$BU$100,2,FALSE),"")="Item comum"),$O13,"")</f>
        <v/>
      </c>
      <c r="AX51" s="175">
        <f>IF(AND(AND($B13="Ferramenta amaldiçoada",$T13=TRUE),IFERROR(VLOOKUP($E13,'DADOS_CUSTOM'!$BM$2:$BU$100,2,FALSE),"")="Item comum"),$R13,"")</f>
        <v/>
      </c>
      <c r="AZ51" s="175" t="inlineStr">
        <is>
          <t>Locomoção Adaptada</t>
        </is>
      </c>
      <c r="BA51" s="175" t="inlineStr">
        <is>
          <t>Híbrido</t>
        </is>
      </c>
      <c r="BB51" s="175" t="inlineStr">
        <is>
          <t>menor</t>
        </is>
      </c>
      <c r="BC51" s="175" t="inlineStr"/>
      <c r="BD51" s="175" t="inlineStr">
        <is>
          <t>Passiva</t>
        </is>
      </c>
      <c r="BE51" s="175" t="inlineStr">
        <is>
          <t>Escolha uma adaptação:
- Aderência: deslocamento de escalada igual ao normal, inclusive em paredes lisas e tetos, com uma mão livre e apoio dos pés.
- Anfíbio: respiração aquática e deslocamento de natação igual ao normal.
- Planagem: use sua Reação ao começar uma queda, com os braços livres, para descer sem dano de altura. Pode avançar horizontalmente até a altura perdida, limitado ao deslocamento normal por queda. Não permite subir ou pairar.</t>
        </is>
      </c>
      <c r="BM51" s="175" t="inlineStr">
        <is>
          <t>Rifle de Precisão</t>
        </is>
      </c>
      <c r="BN51" s="175" t="inlineStr">
        <is>
          <t>Arma</t>
        </is>
      </c>
      <c r="BO51" s="175" t="n">
        <v>0</v>
      </c>
      <c r="BP51" s="175" t="inlineStr">
        <is>
          <t>—</t>
        </is>
      </c>
      <c r="BQ51" s="175" t="n">
        <v>3</v>
      </c>
      <c r="BR51" s="175" t="n">
        <v>3</v>
      </c>
      <c r="BS51" s="175" t="inlineStr">
        <is>
          <t>—</t>
        </is>
      </c>
      <c r="BT51" s="175" t="inlineStr"/>
      <c r="BU51" s="175" t="inlineStr"/>
      <c r="BV51" s="175" t="inlineStr">
        <is>
          <t>Espadão</t>
        </is>
      </c>
      <c r="CK51" s="175" t="inlineStr">
        <is>
          <t>Tonfa</t>
        </is>
      </c>
    </row>
    <row r="52">
      <c r="AA52" s="175" t="inlineStr">
        <is>
          <t>Tessen</t>
        </is>
      </c>
      <c r="AB52" s="175" t="inlineStr">
        <is>
          <t>Arremesso</t>
        </is>
      </c>
      <c r="AC52" s="175" t="n">
        <v>1</v>
      </c>
      <c r="AD52" s="175" t="inlineStr">
        <is>
          <t>1d4</t>
        </is>
      </c>
      <c r="AE52" s="175" t="inlineStr">
        <is>
          <t>Longo Alcance · Oculta · Vestida · Leve</t>
        </is>
      </c>
      <c r="AF52" s="175" t="inlineStr">
        <is>
          <t>—</t>
        </is>
      </c>
      <c r="AG52" s="175" t="n">
        <v>0.3</v>
      </c>
      <c r="AH52" s="175" t="inlineStr">
        <is>
          <t>6 m, longa 18 m</t>
        </is>
      </c>
      <c r="AJ52" s="175">
        <f>'FICHA PESSOAL'!$M$83</f>
        <v/>
      </c>
      <c r="AK52" s="175">
        <f>ADDRESS(ROW('FICHA PESSOAL'!M83),COLUMN('FICHA PESSOAL'!M83),4)</f>
        <v/>
      </c>
      <c r="AM52" s="175">
        <f>IF(AND(AND($B21="Ferramenta amaldiçoada",$T21=TRUE),IFERROR(VLOOKUP($E21,'DADOS_CUSTOM'!$BM$2:$BU$100,2,FALSE),"")="Uniforme"),$C21,"")</f>
        <v/>
      </c>
      <c r="AN52" s="175">
        <f>IF(AND(AND($B21="Ferramenta amaldiçoada",$T21=TRUE),IFERROR(VLOOKUP($E21,'DADOS_CUSTOM'!$BM$2:$BU$100,2,FALSE),"")="Uniforme"),IFERROR(VLOOKUP($E21,'DADOS_CUSTOM'!$AM$2:$AS$32,2,FALSE),""),"")</f>
        <v/>
      </c>
      <c r="AO52" s="175">
        <f>IF(AND(AND($B21="Ferramenta amaldiçoada",$T21=TRUE),IFERROR(VLOOKUP($E21,'DADOS_CUSTOM'!$BM$2:$BU$100,2,FALSE),"")="Uniforme"),IFERROR(VLOOKUP($E21,'DADOS_CUSTOM'!$AM$2:$AS$32,3,FALSE),""),"")</f>
        <v/>
      </c>
      <c r="AP52" s="175">
        <f>IF(AND(AND($B21="Ferramenta amaldiçoada",$T21=TRUE),IFERROR(VLOOKUP($E21,'DADOS_CUSTOM'!$BM$2:$BU$100,2,FALSE),"")="Uniforme"),IFERROR(VLOOKUP($E21,'DADOS_CUSTOM'!$AM$2:$AS$32,4,FALSE),""),"")</f>
        <v/>
      </c>
      <c r="AQ52" s="175">
        <f>IF(AND(AND($B21="Ferramenta amaldiçoada",$T21=TRUE),IFERROR(VLOOKUP($E21,'DADOS_CUSTOM'!$BM$2:$BU$100,2,FALSE),"")="Uniforme"),IF($N21="",IFERROR(VLOOKUP($E21,'DADOS_CUSTOM'!$AM$2:$AS$32,5,FALSE),""),$N21),"")</f>
        <v/>
      </c>
      <c r="AR52" s="175">
        <f>IF(AND(AND($B21="Ferramenta amaldiçoada",$T21=TRUE),IFERROR(VLOOKUP($E21,'DADOS_CUSTOM'!$BM$2:$BU$100,2,FALSE),"")="Uniforme"),IFERROR(VLOOKUP($E21,'DADOS_CUSTOM'!$AM$2:$AS$32,6,FALSE),""),"")</f>
        <v/>
      </c>
      <c r="AS52" s="175">
        <f>IF(AND(AND($B21="Ferramenta amaldiçoada",$T21=TRUE),IFERROR(VLOOKUP($E21,'DADOS_CUSTOM'!$BM$2:$BU$100,2,FALSE),"")="Uniforme"),IFERROR(VLOOKUP($E21,'DADOS_CUSTOM'!$AM$2:$AS$32,7,FALSE),""),"")</f>
        <v/>
      </c>
      <c r="AU52" s="175">
        <f>IF(AND(AND($B14="Ferramenta amaldiçoada",$T14=TRUE),IFERROR(VLOOKUP($E14,'DADOS_CUSTOM'!$BM$2:$BU$100,2,FALSE),"")="Item comum"),$C14,"")</f>
        <v/>
      </c>
      <c r="AV52" s="175">
        <f>IF(AND(AND($B14="Ferramenta amaldiçoada",$T14=TRUE),IFERROR(VLOOKUP($E14,'DADOS_CUSTOM'!$BM$2:$BU$100,2,FALSE),"")="Item comum"),IF($N14="",IFERROR(VLOOKUP($E14,'DADOS_CUSTOM'!$AU$2:$AX$39,2,FALSE),""),$N14),"")</f>
        <v/>
      </c>
      <c r="AW52" s="175">
        <f>IF(AND(AND($B14="Ferramenta amaldiçoada",$T14=TRUE),IFERROR(VLOOKUP($E14,'DADOS_CUSTOM'!$BM$2:$BU$100,2,FALSE),"")="Item comum"),$O14,"")</f>
        <v/>
      </c>
      <c r="AX52" s="175">
        <f>IF(AND(AND($B14="Ferramenta amaldiçoada",$T14=TRUE),IFERROR(VLOOKUP($E14,'DADOS_CUSTOM'!$BM$2:$BU$100,2,FALSE),"")="Item comum"),$R14,"")</f>
        <v/>
      </c>
      <c r="AZ52" s="175" t="inlineStr">
        <is>
          <t>Bolsa Orgânica</t>
        </is>
      </c>
      <c r="BA52" s="175" t="inlineStr">
        <is>
          <t>Híbrido</t>
        </is>
      </c>
      <c r="BB52" s="175" t="inlineStr">
        <is>
          <t>menor</t>
        </is>
      </c>
      <c r="BC52" s="175" t="inlineStr"/>
      <c r="BD52" s="175" t="inlineStr">
        <is>
          <t>Passiva</t>
        </is>
      </c>
      <c r="BE52" s="175" t="inlineStr">
        <is>
          <t>Sua capacidade de carga aumenta em Maestria Volume; os valores que usam o dobro do limite acompanham esse aumento. Você também pode guardar corporalmente um objeto de até 1 Volume, que continua contando na carga. Guardar e retirar seguem as manipulações normais.</t>
        </is>
      </c>
      <c r="BM52" s="175" t="inlineStr">
        <is>
          <t>Sai</t>
        </is>
      </c>
      <c r="BN52" s="175" t="inlineStr">
        <is>
          <t>Arma</t>
        </is>
      </c>
      <c r="BO52" s="175" t="n">
        <v>0</v>
      </c>
      <c r="BP52" s="175" t="inlineStr">
        <is>
          <t>—</t>
        </is>
      </c>
      <c r="BQ52" s="175" t="inlineStr">
        <is>
          <t>—</t>
        </is>
      </c>
      <c r="BR52" s="175" t="n">
        <v>0.5</v>
      </c>
      <c r="BS52" s="175" t="inlineStr">
        <is>
          <t>—</t>
        </is>
      </c>
      <c r="BT52" s="175" t="inlineStr"/>
      <c r="BU52" s="175" t="inlineStr"/>
      <c r="BV52" s="175" t="inlineStr">
        <is>
          <t>Especialidade Antiga</t>
        </is>
      </c>
      <c r="CK52" s="175" t="inlineStr">
        <is>
          <t>Wakizashi</t>
        </is>
      </c>
    </row>
    <row r="53">
      <c r="AA53" s="175" t="inlineStr">
        <is>
          <t>Tonfa</t>
        </is>
      </c>
      <c r="AB53" s="175" t="inlineStr">
        <is>
          <t>Porrete</t>
        </is>
      </c>
      <c r="AC53" s="175" t="n">
        <v>1</v>
      </c>
      <c r="AD53" s="175" t="inlineStr">
        <is>
          <t>1d6</t>
        </is>
      </c>
      <c r="AE53" s="175" t="inlineStr">
        <is>
          <t>Par · Vestida · Leve</t>
        </is>
      </c>
      <c r="AF53" s="175" t="inlineStr">
        <is>
          <t>—</t>
        </is>
      </c>
      <c r="AG53" s="175" t="n">
        <v>0.5</v>
      </c>
      <c r="AJ53" s="175">
        <f>'FICHA PESSOAL'!$V$76</f>
        <v/>
      </c>
      <c r="AK53" s="175">
        <f>ADDRESS(ROW('FICHA PESSOAL'!V76),COLUMN('FICHA PESSOAL'!V76),4)</f>
        <v/>
      </c>
      <c r="AM53" s="175">
        <f>IF(AND(AND($B22="Ferramenta amaldiçoada",$T22=TRUE),IFERROR(VLOOKUP($E22,'DADOS_CUSTOM'!$BM$2:$BU$100,2,FALSE),"")="Uniforme"),$C22,"")</f>
        <v/>
      </c>
      <c r="AN53" s="175">
        <f>IF(AND(AND($B22="Ferramenta amaldiçoada",$T22=TRUE),IFERROR(VLOOKUP($E22,'DADOS_CUSTOM'!$BM$2:$BU$100,2,FALSE),"")="Uniforme"),IFERROR(VLOOKUP($E22,'DADOS_CUSTOM'!$AM$2:$AS$32,2,FALSE),""),"")</f>
        <v/>
      </c>
      <c r="AO53" s="175">
        <f>IF(AND(AND($B22="Ferramenta amaldiçoada",$T22=TRUE),IFERROR(VLOOKUP($E22,'DADOS_CUSTOM'!$BM$2:$BU$100,2,FALSE),"")="Uniforme"),IFERROR(VLOOKUP($E22,'DADOS_CUSTOM'!$AM$2:$AS$32,3,FALSE),""),"")</f>
        <v/>
      </c>
      <c r="AP53" s="175">
        <f>IF(AND(AND($B22="Ferramenta amaldiçoada",$T22=TRUE),IFERROR(VLOOKUP($E22,'DADOS_CUSTOM'!$BM$2:$BU$100,2,FALSE),"")="Uniforme"),IFERROR(VLOOKUP($E22,'DADOS_CUSTOM'!$AM$2:$AS$32,4,FALSE),""),"")</f>
        <v/>
      </c>
      <c r="AQ53" s="175">
        <f>IF(AND(AND($B22="Ferramenta amaldiçoada",$T22=TRUE),IFERROR(VLOOKUP($E22,'DADOS_CUSTOM'!$BM$2:$BU$100,2,FALSE),"")="Uniforme"),IF($N22="",IFERROR(VLOOKUP($E22,'DADOS_CUSTOM'!$AM$2:$AS$32,5,FALSE),""),$N22),"")</f>
        <v/>
      </c>
      <c r="AR53" s="175">
        <f>IF(AND(AND($B22="Ferramenta amaldiçoada",$T22=TRUE),IFERROR(VLOOKUP($E22,'DADOS_CUSTOM'!$BM$2:$BU$100,2,FALSE),"")="Uniforme"),IFERROR(VLOOKUP($E22,'DADOS_CUSTOM'!$AM$2:$AS$32,6,FALSE),""),"")</f>
        <v/>
      </c>
      <c r="AS53" s="175">
        <f>IF(AND(AND($B22="Ferramenta amaldiçoada",$T22=TRUE),IFERROR(VLOOKUP($E22,'DADOS_CUSTOM'!$BM$2:$BU$100,2,FALSE),"")="Uniforme"),IFERROR(VLOOKUP($E22,'DADOS_CUSTOM'!$AM$2:$AS$32,7,FALSE),""),"")</f>
        <v/>
      </c>
      <c r="AU53" s="175">
        <f>IF(AND(AND($B15="Ferramenta amaldiçoada",$T15=TRUE),IFERROR(VLOOKUP($E15,'DADOS_CUSTOM'!$BM$2:$BU$100,2,FALSE),"")="Item comum"),$C15,"")</f>
        <v/>
      </c>
      <c r="AV53" s="175">
        <f>IF(AND(AND($B15="Ferramenta amaldiçoada",$T15=TRUE),IFERROR(VLOOKUP($E15,'DADOS_CUSTOM'!$BM$2:$BU$100,2,FALSE),"")="Item comum"),IF($N15="",IFERROR(VLOOKUP($E15,'DADOS_CUSTOM'!$AU$2:$AX$39,2,FALSE),""),$N15),"")</f>
        <v/>
      </c>
      <c r="AW53" s="175">
        <f>IF(AND(AND($B15="Ferramenta amaldiçoada",$T15=TRUE),IFERROR(VLOOKUP($E15,'DADOS_CUSTOM'!$BM$2:$BU$100,2,FALSE),"")="Item comum"),$O15,"")</f>
        <v/>
      </c>
      <c r="AX53" s="175">
        <f>IF(AND(AND($B15="Ferramenta amaldiçoada",$T15=TRUE),IFERROR(VLOOKUP($E15,'DADOS_CUSTOM'!$BM$2:$BU$100,2,FALSE),"")="Item comum"),$R15,"")</f>
        <v/>
      </c>
      <c r="AZ53" s="175" t="inlineStr">
        <is>
          <t>Memória da Dor</t>
        </is>
      </c>
      <c r="BA53" s="175" t="inlineStr">
        <is>
          <t>Híbrido</t>
        </is>
      </c>
      <c r="BB53" s="175" t="inlineStr">
        <is>
          <t>menor</t>
        </is>
      </c>
      <c r="BC53" s="175" t="inlineStr"/>
      <c r="BD53" s="175" t="inlineStr">
        <is>
          <t>Uma vez por cena</t>
        </is>
      </c>
      <c r="BE53" s="175" t="inlineStr">
        <is>
          <t>Uma vez por cena, depois de falhar em um TR contra um feitiço, pode marcar aquela ameaça. Receba vantagem no próximo TR contra uma nova conjuração do mesmo feitiço pelo mesmo inimigo, ainda nesta cena.
O benefício acaba nessa rolagem. Não refaz a falha anterior nem melhora saídas de uma condição já aplicada.</t>
        </is>
      </c>
      <c r="BM53" s="175" t="inlineStr">
        <is>
          <t>Shuriken</t>
        </is>
      </c>
      <c r="BN53" s="175" t="inlineStr">
        <is>
          <t>Arma</t>
        </is>
      </c>
      <c r="BO53" s="175" t="n">
        <v>0</v>
      </c>
      <c r="BP53" s="175" t="inlineStr">
        <is>
          <t>—</t>
        </is>
      </c>
      <c r="BQ53" s="175" t="inlineStr">
        <is>
          <t>—</t>
        </is>
      </c>
      <c r="BR53" s="175" t="n">
        <v>0.1</v>
      </c>
      <c r="BS53" s="175" t="inlineStr">
        <is>
          <t>—</t>
        </is>
      </c>
      <c r="BT53" s="175" t="inlineStr"/>
      <c r="BU53" s="175" t="inlineStr"/>
      <c r="BV53" s="175" t="inlineStr">
        <is>
          <t>Espingarda</t>
        </is>
      </c>
      <c r="CK53" s="175" t="inlineStr">
        <is>
          <t>Yari</t>
        </is>
      </c>
    </row>
    <row r="54">
      <c r="AA54" s="175" t="inlineStr">
        <is>
          <t>Torre</t>
        </is>
      </c>
      <c r="AB54" s="175" t="inlineStr">
        <is>
          <t>Escudo</t>
        </is>
      </c>
      <c r="AC54" s="175" t="n">
        <v>1</v>
      </c>
      <c r="AD54" s="175" t="inlineStr">
        <is>
          <t>—</t>
        </is>
      </c>
      <c r="AE54" s="175" t="inlineStr">
        <is>
          <t>Proteção +3 · teto de Destreza 1</t>
        </is>
      </c>
      <c r="AF54" s="175" t="n">
        <v>5</v>
      </c>
      <c r="AG54" s="175" t="n">
        <v>2</v>
      </c>
      <c r="AJ54" s="175">
        <f>TRUE</f>
        <v/>
      </c>
      <c r="AM54" s="175">
        <f>IF(AND(AND($B23="Ferramenta amaldiçoada",$T23=TRUE),IFERROR(VLOOKUP($E23,'DADOS_CUSTOM'!$BM$2:$BU$100,2,FALSE),"")="Uniforme"),$C23,"")</f>
        <v/>
      </c>
      <c r="AN54" s="175">
        <f>IF(AND(AND($B23="Ferramenta amaldiçoada",$T23=TRUE),IFERROR(VLOOKUP($E23,'DADOS_CUSTOM'!$BM$2:$BU$100,2,FALSE),"")="Uniforme"),IFERROR(VLOOKUP($E23,'DADOS_CUSTOM'!$AM$2:$AS$32,2,FALSE),""),"")</f>
        <v/>
      </c>
      <c r="AO54" s="175">
        <f>IF(AND(AND($B23="Ferramenta amaldiçoada",$T23=TRUE),IFERROR(VLOOKUP($E23,'DADOS_CUSTOM'!$BM$2:$BU$100,2,FALSE),"")="Uniforme"),IFERROR(VLOOKUP($E23,'DADOS_CUSTOM'!$AM$2:$AS$32,3,FALSE),""),"")</f>
        <v/>
      </c>
      <c r="AP54" s="175">
        <f>IF(AND(AND($B23="Ferramenta amaldiçoada",$T23=TRUE),IFERROR(VLOOKUP($E23,'DADOS_CUSTOM'!$BM$2:$BU$100,2,FALSE),"")="Uniforme"),IFERROR(VLOOKUP($E23,'DADOS_CUSTOM'!$AM$2:$AS$32,4,FALSE),""),"")</f>
        <v/>
      </c>
      <c r="AQ54" s="175">
        <f>IF(AND(AND($B23="Ferramenta amaldiçoada",$T23=TRUE),IFERROR(VLOOKUP($E23,'DADOS_CUSTOM'!$BM$2:$BU$100,2,FALSE),"")="Uniforme"),IF($N23="",IFERROR(VLOOKUP($E23,'DADOS_CUSTOM'!$AM$2:$AS$32,5,FALSE),""),$N23),"")</f>
        <v/>
      </c>
      <c r="AR54" s="175">
        <f>IF(AND(AND($B23="Ferramenta amaldiçoada",$T23=TRUE),IFERROR(VLOOKUP($E23,'DADOS_CUSTOM'!$BM$2:$BU$100,2,FALSE),"")="Uniforme"),IFERROR(VLOOKUP($E23,'DADOS_CUSTOM'!$AM$2:$AS$32,6,FALSE),""),"")</f>
        <v/>
      </c>
      <c r="AS54" s="175">
        <f>IF(AND(AND($B23="Ferramenta amaldiçoada",$T23=TRUE),IFERROR(VLOOKUP($E23,'DADOS_CUSTOM'!$BM$2:$BU$100,2,FALSE),"")="Uniforme"),IFERROR(VLOOKUP($E23,'DADOS_CUSTOM'!$AM$2:$AS$32,7,FALSE),""),"")</f>
        <v/>
      </c>
      <c r="AU54" s="175">
        <f>IF(AND(AND($B16="Ferramenta amaldiçoada",$T16=TRUE),IFERROR(VLOOKUP($E16,'DADOS_CUSTOM'!$BM$2:$BU$100,2,FALSE),"")="Item comum"),$C16,"")</f>
        <v/>
      </c>
      <c r="AV54" s="175">
        <f>IF(AND(AND($B16="Ferramenta amaldiçoada",$T16=TRUE),IFERROR(VLOOKUP($E16,'DADOS_CUSTOM'!$BM$2:$BU$100,2,FALSE),"")="Item comum"),IF($N16="",IFERROR(VLOOKUP($E16,'DADOS_CUSTOM'!$AU$2:$AX$39,2,FALSE),""),$N16),"")</f>
        <v/>
      </c>
      <c r="AW54" s="175">
        <f>IF(AND(AND($B16="Ferramenta amaldiçoada",$T16=TRUE),IFERROR(VLOOKUP($E16,'DADOS_CUSTOM'!$BM$2:$BU$100,2,FALSE),"")="Item comum"),$O16,"")</f>
        <v/>
      </c>
      <c r="AX54" s="175">
        <f>IF(AND(AND($B16="Ferramenta amaldiçoada",$T16=TRUE),IFERROR(VLOOKUP($E16,'DADOS_CUSTOM'!$BM$2:$BU$100,2,FALSE),"")="Item comum"),$R16,"")</f>
        <v/>
      </c>
      <c r="AZ54" s="175" t="inlineStr">
        <is>
          <t>Recomposição Precisa</t>
        </is>
      </c>
      <c r="BA54" s="175" t="inlineStr">
        <is>
          <t>Híbrido</t>
        </is>
      </c>
      <c r="BB54" s="175" t="inlineStr">
        <is>
          <t>menor</t>
        </is>
      </c>
      <c r="BC54" s="175" t="inlineStr"/>
      <c r="BD54" s="175" t="inlineStr">
        <is>
          <t>Passiva</t>
        </is>
      </c>
      <c r="BE54" s="175" t="inlineStr">
        <is>
          <t>Por aplicação de cura recebida, pode repetir até metade da Constituição, arredondada para baixo, mínimo 1, dos dados que deram 1. Aceite os novos resultados.
A repetição não cria outra aplicação de cura nem reaplica seus bônus. Uma cura sem dados não ganha dados para repetir.</t>
        </is>
      </c>
      <c r="BM54" s="175" t="inlineStr">
        <is>
          <t>Soqueira</t>
        </is>
      </c>
      <c r="BN54" s="175" t="inlineStr">
        <is>
          <t>Arma</t>
        </is>
      </c>
      <c r="BO54" s="175" t="n">
        <v>0</v>
      </c>
      <c r="BP54" s="175" t="inlineStr">
        <is>
          <t>—</t>
        </is>
      </c>
      <c r="BQ54" s="175" t="inlineStr">
        <is>
          <t>—</t>
        </is>
      </c>
      <c r="BR54" s="175" t="n">
        <v>0.2</v>
      </c>
      <c r="BS54" s="175" t="inlineStr">
        <is>
          <t>—</t>
        </is>
      </c>
      <c r="BT54" s="175" t="inlineStr"/>
      <c r="BU54" s="175" t="inlineStr"/>
      <c r="BV54" s="175" t="inlineStr">
        <is>
          <t>Existência Artificial</t>
        </is>
      </c>
      <c r="CK54" s="175" t="inlineStr">
        <is>
          <t>Broquel</t>
        </is>
      </c>
    </row>
    <row r="55">
      <c r="AA55" s="175" t="inlineStr">
        <is>
          <t>Wakizashi</t>
        </is>
      </c>
      <c r="AB55" s="175" t="inlineStr">
        <is>
          <t>Lâmina Longa</t>
        </is>
      </c>
      <c r="AC55" s="175" t="n">
        <v>1</v>
      </c>
      <c r="AD55" s="175" t="inlineStr">
        <is>
          <t>1d8</t>
        </is>
      </c>
      <c r="AE55" s="175" t="inlineStr">
        <is>
          <t>Oculta · Leve</t>
        </is>
      </c>
      <c r="AF55" s="175" t="inlineStr">
        <is>
          <t>—</t>
        </is>
      </c>
      <c r="AG55" s="175" t="n">
        <v>0.5</v>
      </c>
      <c r="AJ55" s="175">
        <f>'FICHA PESSOAL'!$D$79</f>
        <v/>
      </c>
      <c r="AK55" s="175">
        <f>ADDRESS(ROW('FICHA PESSOAL'!D79),COLUMN('FICHA PESSOAL'!D79),4)</f>
        <v/>
      </c>
      <c r="AM55" s="175">
        <f>IF(AND(AND($B24="Ferramenta amaldiçoada",$T24=TRUE),IFERROR(VLOOKUP($E24,'DADOS_CUSTOM'!$BM$2:$BU$100,2,FALSE),"")="Uniforme"),$C24,"")</f>
        <v/>
      </c>
      <c r="AN55" s="175">
        <f>IF(AND(AND($B24="Ferramenta amaldiçoada",$T24=TRUE),IFERROR(VLOOKUP($E24,'DADOS_CUSTOM'!$BM$2:$BU$100,2,FALSE),"")="Uniforme"),IFERROR(VLOOKUP($E24,'DADOS_CUSTOM'!$AM$2:$AS$32,2,FALSE),""),"")</f>
        <v/>
      </c>
      <c r="AO55" s="175">
        <f>IF(AND(AND($B24="Ferramenta amaldiçoada",$T24=TRUE),IFERROR(VLOOKUP($E24,'DADOS_CUSTOM'!$BM$2:$BU$100,2,FALSE),"")="Uniforme"),IFERROR(VLOOKUP($E24,'DADOS_CUSTOM'!$AM$2:$AS$32,3,FALSE),""),"")</f>
        <v/>
      </c>
      <c r="AP55" s="175">
        <f>IF(AND(AND($B24="Ferramenta amaldiçoada",$T24=TRUE),IFERROR(VLOOKUP($E24,'DADOS_CUSTOM'!$BM$2:$BU$100,2,FALSE),"")="Uniforme"),IFERROR(VLOOKUP($E24,'DADOS_CUSTOM'!$AM$2:$AS$32,4,FALSE),""),"")</f>
        <v/>
      </c>
      <c r="AQ55" s="175">
        <f>IF(AND(AND($B24="Ferramenta amaldiçoada",$T24=TRUE),IFERROR(VLOOKUP($E24,'DADOS_CUSTOM'!$BM$2:$BU$100,2,FALSE),"")="Uniforme"),IF($N24="",IFERROR(VLOOKUP($E24,'DADOS_CUSTOM'!$AM$2:$AS$32,5,FALSE),""),$N24),"")</f>
        <v/>
      </c>
      <c r="AR55" s="175">
        <f>IF(AND(AND($B24="Ferramenta amaldiçoada",$T24=TRUE),IFERROR(VLOOKUP($E24,'DADOS_CUSTOM'!$BM$2:$BU$100,2,FALSE),"")="Uniforme"),IFERROR(VLOOKUP($E24,'DADOS_CUSTOM'!$AM$2:$AS$32,6,FALSE),""),"")</f>
        <v/>
      </c>
      <c r="AS55" s="175">
        <f>IF(AND(AND($B24="Ferramenta amaldiçoada",$T24=TRUE),IFERROR(VLOOKUP($E24,'DADOS_CUSTOM'!$BM$2:$BU$100,2,FALSE),"")="Uniforme"),IFERROR(VLOOKUP($E24,'DADOS_CUSTOM'!$AM$2:$AS$32,7,FALSE),""),"")</f>
        <v/>
      </c>
      <c r="AU55" s="175">
        <f>IF(AND(AND($B17="Ferramenta amaldiçoada",$T17=TRUE),IFERROR(VLOOKUP($E17,'DADOS_CUSTOM'!$BM$2:$BU$100,2,FALSE),"")="Item comum"),$C17,"")</f>
        <v/>
      </c>
      <c r="AV55" s="175">
        <f>IF(AND(AND($B17="Ferramenta amaldiçoada",$T17=TRUE),IFERROR(VLOOKUP($E17,'DADOS_CUSTOM'!$BM$2:$BU$100,2,FALSE),"")="Item comum"),IF($N17="",IFERROR(VLOOKUP($E17,'DADOS_CUSTOM'!$AU$2:$AX$39,2,FALSE),""),$N17),"")</f>
        <v/>
      </c>
      <c r="AW55" s="175">
        <f>IF(AND(AND($B17="Ferramenta amaldiçoada",$T17=TRUE),IFERROR(VLOOKUP($E17,'DADOS_CUSTOM'!$BM$2:$BU$100,2,FALSE),"")="Item comum"),$O17,"")</f>
        <v/>
      </c>
      <c r="AX55" s="175">
        <f>IF(AND(AND($B17="Ferramenta amaldiçoada",$T17=TRUE),IFERROR(VLOOKUP($E17,'DADOS_CUSTOM'!$BM$2:$BU$100,2,FALSE),"")="Item comum"),$R17,"")</f>
        <v/>
      </c>
      <c r="AZ55" s="175" t="inlineStr">
        <is>
          <t>Reserva Orgânica</t>
        </is>
      </c>
      <c r="BA55" s="175" t="inlineStr">
        <is>
          <t>Híbrido</t>
        </is>
      </c>
      <c r="BB55" s="175" t="inlineStr">
        <is>
          <t>menor</t>
        </is>
      </c>
      <c r="BC55" s="175" t="inlineStr"/>
      <c r="BD55" s="175" t="inlineStr">
        <is>
          <t>Passiva</t>
        </is>
      </c>
      <c r="BE55" s="175" t="inlineStr">
        <is>
          <t>Transforme a cura que excederia sua vida máxima em vida temporária, até Constituição, mínimo 1, respeitando o teto geral e sem somar reservas. Isso não altera a exigência de vida para iniciar Regeneração Orgânica.</t>
        </is>
      </c>
      <c r="BM55" s="175" t="inlineStr">
        <is>
          <t>Submetralhadora</t>
        </is>
      </c>
      <c r="BN55" s="175" t="inlineStr">
        <is>
          <t>Arma</t>
        </is>
      </c>
      <c r="BO55" s="175" t="n">
        <v>0</v>
      </c>
      <c r="BP55" s="175" t="inlineStr">
        <is>
          <t>—</t>
        </is>
      </c>
      <c r="BQ55" s="175" t="inlineStr">
        <is>
          <t>—</t>
        </is>
      </c>
      <c r="BR55" s="175" t="n">
        <v>2</v>
      </c>
      <c r="BS55" s="175" t="inlineStr">
        <is>
          <t>—</t>
        </is>
      </c>
      <c r="BT55" s="175" t="inlineStr"/>
      <c r="BU55" s="175" t="inlineStr"/>
      <c r="BV55" s="175" t="inlineStr">
        <is>
          <t>Experiência Preservada</t>
        </is>
      </c>
      <c r="CK55" s="175" t="inlineStr">
        <is>
          <t>Médio</t>
        </is>
      </c>
    </row>
    <row r="56">
      <c r="AA56" s="175" t="inlineStr">
        <is>
          <t>Yari</t>
        </is>
      </c>
      <c r="AB56" s="175" t="inlineStr">
        <is>
          <t>Armas Longas</t>
        </is>
      </c>
      <c r="AC56" s="175" t="n">
        <v>2</v>
      </c>
      <c r="AD56" s="175" t="inlineStr">
        <is>
          <t>1d10</t>
        </is>
      </c>
      <c r="AE56" s="175" t="inlineStr">
        <is>
          <t>Alcance · Talha</t>
        </is>
      </c>
      <c r="AF56" s="175" t="n">
        <v>3</v>
      </c>
      <c r="AG56" s="175" t="n">
        <v>2</v>
      </c>
      <c r="AJ56" s="175">
        <f>'FICHA PESSOAL'!$AM$80</f>
        <v/>
      </c>
      <c r="AK56" s="175">
        <f>ADDRESS(ROW('FICHA PESSOAL'!AM80),COLUMN('FICHA PESSOAL'!AM80),4)</f>
        <v/>
      </c>
      <c r="AM56" s="175">
        <f>IF(AND(AND($B25="Ferramenta amaldiçoada",$T25=TRUE),IFERROR(VLOOKUP($E25,'DADOS_CUSTOM'!$BM$2:$BU$100,2,FALSE),"")="Uniforme"),$C25,"")</f>
        <v/>
      </c>
      <c r="AN56" s="175">
        <f>IF(AND(AND($B25="Ferramenta amaldiçoada",$T25=TRUE),IFERROR(VLOOKUP($E25,'DADOS_CUSTOM'!$BM$2:$BU$100,2,FALSE),"")="Uniforme"),IFERROR(VLOOKUP($E25,'DADOS_CUSTOM'!$AM$2:$AS$32,2,FALSE),""),"")</f>
        <v/>
      </c>
      <c r="AO56" s="175">
        <f>IF(AND(AND($B25="Ferramenta amaldiçoada",$T25=TRUE),IFERROR(VLOOKUP($E25,'DADOS_CUSTOM'!$BM$2:$BU$100,2,FALSE),"")="Uniforme"),IFERROR(VLOOKUP($E25,'DADOS_CUSTOM'!$AM$2:$AS$32,3,FALSE),""),"")</f>
        <v/>
      </c>
      <c r="AP56" s="175">
        <f>IF(AND(AND($B25="Ferramenta amaldiçoada",$T25=TRUE),IFERROR(VLOOKUP($E25,'DADOS_CUSTOM'!$BM$2:$BU$100,2,FALSE),"")="Uniforme"),IFERROR(VLOOKUP($E25,'DADOS_CUSTOM'!$AM$2:$AS$32,4,FALSE),""),"")</f>
        <v/>
      </c>
      <c r="AQ56" s="175">
        <f>IF(AND(AND($B25="Ferramenta amaldiçoada",$T25=TRUE),IFERROR(VLOOKUP($E25,'DADOS_CUSTOM'!$BM$2:$BU$100,2,FALSE),"")="Uniforme"),IF($N25="",IFERROR(VLOOKUP($E25,'DADOS_CUSTOM'!$AM$2:$AS$32,5,FALSE),""),$N25),"")</f>
        <v/>
      </c>
      <c r="AR56" s="175">
        <f>IF(AND(AND($B25="Ferramenta amaldiçoada",$T25=TRUE),IFERROR(VLOOKUP($E25,'DADOS_CUSTOM'!$BM$2:$BU$100,2,FALSE),"")="Uniforme"),IFERROR(VLOOKUP($E25,'DADOS_CUSTOM'!$AM$2:$AS$32,6,FALSE),""),"")</f>
        <v/>
      </c>
      <c r="AS56" s="175">
        <f>IF(AND(AND($B25="Ferramenta amaldiçoada",$T25=TRUE),IFERROR(VLOOKUP($E25,'DADOS_CUSTOM'!$BM$2:$BU$100,2,FALSE),"")="Uniforme"),IFERROR(VLOOKUP($E25,'DADOS_CUSTOM'!$AM$2:$AS$32,7,FALSE),""),"")</f>
        <v/>
      </c>
      <c r="AU56" s="175">
        <f>IF(AND(AND($B18="Ferramenta amaldiçoada",$T18=TRUE),IFERROR(VLOOKUP($E18,'DADOS_CUSTOM'!$BM$2:$BU$100,2,FALSE),"")="Item comum"),$C18,"")</f>
        <v/>
      </c>
      <c r="AV56" s="175">
        <f>IF(AND(AND($B18="Ferramenta amaldiçoada",$T18=TRUE),IFERROR(VLOOKUP($E18,'DADOS_CUSTOM'!$BM$2:$BU$100,2,FALSE),"")="Item comum"),IF($N18="",IFERROR(VLOOKUP($E18,'DADOS_CUSTOM'!$AU$2:$AX$39,2,FALSE),""),$N18),"")</f>
        <v/>
      </c>
      <c r="AW56" s="175">
        <f>IF(AND(AND($B18="Ferramenta amaldiçoada",$T18=TRUE),IFERROR(VLOOKUP($E18,'DADOS_CUSTOM'!$BM$2:$BU$100,2,FALSE),"")="Item comum"),$O18,"")</f>
        <v/>
      </c>
      <c r="AX56" s="175">
        <f>IF(AND(AND($B18="Ferramenta amaldiçoada",$T18=TRUE),IFERROR(VLOOKUP($E18,'DADOS_CUSTOM'!$BM$2:$BU$100,2,FALSE),"")="Item comum"),$R18,"")</f>
        <v/>
      </c>
      <c r="AZ56" s="175" t="inlineStr">
        <is>
          <t>Metabolismo Flexível</t>
        </is>
      </c>
      <c r="BA56" s="175" t="inlineStr">
        <is>
          <t>Híbrido</t>
        </is>
      </c>
      <c r="BB56" s="175" t="inlineStr">
        <is>
          <t>menor</t>
        </is>
      </c>
      <c r="BC56" s="175" t="inlineStr"/>
      <c r="BD56" s="175" t="inlineStr">
        <is>
          <t>No descanso curto</t>
        </is>
      </c>
      <c r="BE56" s="175" t="inlineStr">
        <is>
          <t>No descanso curto, pode ceder até sua maior Classe dos PE que efetivamente recuperaria para receber 3 PV por PE cedido. Não gasta PE que já possuía nem recebe os pontos cedidos junto da cura.</t>
        </is>
      </c>
      <c r="BM56" s="175" t="inlineStr">
        <is>
          <t>Taco</t>
        </is>
      </c>
      <c r="BN56" s="175" t="inlineStr">
        <is>
          <t>Arma</t>
        </is>
      </c>
      <c r="BO56" s="175" t="n">
        <v>0</v>
      </c>
      <c r="BP56" s="175" t="inlineStr">
        <is>
          <t>—</t>
        </is>
      </c>
      <c r="BQ56" s="175" t="inlineStr">
        <is>
          <t>—</t>
        </is>
      </c>
      <c r="BR56" s="175" t="n">
        <v>1</v>
      </c>
      <c r="BS56" s="175" t="inlineStr">
        <is>
          <t>—</t>
        </is>
      </c>
      <c r="BT56" s="175" t="inlineStr"/>
      <c r="BU56" s="175" t="inlineStr"/>
      <c r="BV56" s="175" t="inlineStr">
        <is>
          <t>Experiência Transmitida</t>
        </is>
      </c>
      <c r="CK56" s="175" t="inlineStr">
        <is>
          <t>Torre</t>
        </is>
      </c>
    </row>
    <row r="57">
      <c r="AA57" s="175">
        <f>IF(AND(OR($B2="Arma",$B2="Escudo"),$C2&lt;&gt;"",$U2=""),$C2,"")</f>
        <v/>
      </c>
      <c r="AB57" s="175">
        <f>IF(AND(OR($B2="Arma",$B2="Escudo"),$C2&lt;&gt;"",$U2=""),IF($B2="Escudo","Escudo",$E2),"")</f>
        <v/>
      </c>
      <c r="AC57" s="175">
        <f>IF(AND(OR($B2="Arma",$B2="Escudo"),$C2&lt;&gt;"",$U2=""),IF($B2="Escudo",1,$F2),"")</f>
        <v/>
      </c>
      <c r="AD57" s="175">
        <f>IF(AND(OR($B2="Arma",$B2="Escudo"),$C2&lt;&gt;"",$U2=""),IF($B2="Escudo","—",$L2),"")</f>
        <v/>
      </c>
      <c r="AE57" s="175">
        <f>IF(AND(OR($B2="Arma",$B2="Escudo"),$C2&lt;&gt;"",$U2=""),IF($B2="Escudo","Proteção +"&amp;$L2&amp;" · teto de Destreza "&amp;$M2,TEXTJOIN(" · ",TRUE,IF($H2="—","",$H2),IF($I2="—","",$I2),IF($J2="—","",$J2),IF($K2="—","",$K2))),"")</f>
        <v/>
      </c>
      <c r="AF57" s="175">
        <f>IF(AND(OR($B2="Arma",$B2="Escudo"),$C2&lt;&gt;"",$U2=""),IF($B2="Escudo",$N2,$M2),"")</f>
        <v/>
      </c>
      <c r="AG57" s="175">
        <f>IF(AND(OR($B2="Arma",$B2="Escudo"),$C2&lt;&gt;"",$U2=""),IF($B2="Escudo",$O2,$N2),"")</f>
        <v/>
      </c>
      <c r="AH57" s="175">
        <f>IF(AND(OR($B2="Arma",$B2="Escudo"),$C2&lt;&gt;"",$U2=""),IF($B2="Escudo","",$O2),"")</f>
        <v/>
      </c>
      <c r="AI57" s="175">
        <f>IF(AND(OR($B2="Arma",$B2="Escudo"),$C2&lt;&gt;"",$U2=""),IF($B2="Escudo","",$P2),"")</f>
        <v/>
      </c>
      <c r="AJ57" s="175">
        <f>IF(AND(OR($B2="Arma",$B2="Escudo"),$C2&lt;&gt;"",$U2=""),IF($B2="Escudo",TRUE,IFERROR(VLOOKUP($E2,DADOS!$BP$5:$BT$17,4,FALSE),FALSE)),"")</f>
        <v/>
      </c>
      <c r="AK57" s="175">
        <f>IF(AND(OR($B2="Arma",$B2="Escudo"),$C2&lt;&gt;"",$U2=""),"","")</f>
        <v/>
      </c>
      <c r="AM57" s="175">
        <f>IF(AND(AND($B26="Ferramenta amaldiçoada",$T26=TRUE),IFERROR(VLOOKUP($E26,'DADOS_CUSTOM'!$BM$2:$BU$100,2,FALSE),"")="Uniforme"),$C26,"")</f>
        <v/>
      </c>
      <c r="AN57" s="175">
        <f>IF(AND(AND($B26="Ferramenta amaldiçoada",$T26=TRUE),IFERROR(VLOOKUP($E26,'DADOS_CUSTOM'!$BM$2:$BU$100,2,FALSE),"")="Uniforme"),IFERROR(VLOOKUP($E26,'DADOS_CUSTOM'!$AM$2:$AS$32,2,FALSE),""),"")</f>
        <v/>
      </c>
      <c r="AO57" s="175">
        <f>IF(AND(AND($B26="Ferramenta amaldiçoada",$T26=TRUE),IFERROR(VLOOKUP($E26,'DADOS_CUSTOM'!$BM$2:$BU$100,2,FALSE),"")="Uniforme"),IFERROR(VLOOKUP($E26,'DADOS_CUSTOM'!$AM$2:$AS$32,3,FALSE),""),"")</f>
        <v/>
      </c>
      <c r="AP57" s="175">
        <f>IF(AND(AND($B26="Ferramenta amaldiçoada",$T26=TRUE),IFERROR(VLOOKUP($E26,'DADOS_CUSTOM'!$BM$2:$BU$100,2,FALSE),"")="Uniforme"),IFERROR(VLOOKUP($E26,'DADOS_CUSTOM'!$AM$2:$AS$32,4,FALSE),""),"")</f>
        <v/>
      </c>
      <c r="AQ57" s="175">
        <f>IF(AND(AND($B26="Ferramenta amaldiçoada",$T26=TRUE),IFERROR(VLOOKUP($E26,'DADOS_CUSTOM'!$BM$2:$BU$100,2,FALSE),"")="Uniforme"),IF($N26="",IFERROR(VLOOKUP($E26,'DADOS_CUSTOM'!$AM$2:$AS$32,5,FALSE),""),$N26),"")</f>
        <v/>
      </c>
      <c r="AR57" s="175">
        <f>IF(AND(AND($B26="Ferramenta amaldiçoada",$T26=TRUE),IFERROR(VLOOKUP($E26,'DADOS_CUSTOM'!$BM$2:$BU$100,2,FALSE),"")="Uniforme"),IFERROR(VLOOKUP($E26,'DADOS_CUSTOM'!$AM$2:$AS$32,6,FALSE),""),"")</f>
        <v/>
      </c>
      <c r="AS57" s="175">
        <f>IF(AND(AND($B26="Ferramenta amaldiçoada",$T26=TRUE),IFERROR(VLOOKUP($E26,'DADOS_CUSTOM'!$BM$2:$BU$100,2,FALSE),"")="Uniforme"),IFERROR(VLOOKUP($E26,'DADOS_CUSTOM'!$AM$2:$AS$32,7,FALSE),""),"")</f>
        <v/>
      </c>
      <c r="AU57" s="175">
        <f>IF(AND(AND($B19="Ferramenta amaldiçoada",$T19=TRUE),IFERROR(VLOOKUP($E19,'DADOS_CUSTOM'!$BM$2:$BU$100,2,FALSE),"")="Item comum"),$C19,"")</f>
        <v/>
      </c>
      <c r="AV57" s="175">
        <f>IF(AND(AND($B19="Ferramenta amaldiçoada",$T19=TRUE),IFERROR(VLOOKUP($E19,'DADOS_CUSTOM'!$BM$2:$BU$100,2,FALSE),"")="Item comum"),IF($N19="",IFERROR(VLOOKUP($E19,'DADOS_CUSTOM'!$AU$2:$AX$39,2,FALSE),""),$N19),"")</f>
        <v/>
      </c>
      <c r="AW57" s="175">
        <f>IF(AND(AND($B19="Ferramenta amaldiçoada",$T19=TRUE),IFERROR(VLOOKUP($E19,'DADOS_CUSTOM'!$BM$2:$BU$100,2,FALSE),"")="Item comum"),$O19,"")</f>
        <v/>
      </c>
      <c r="AX57" s="175">
        <f>IF(AND(AND($B19="Ferramenta amaldiçoada",$T19=TRUE),IFERROR(VLOOKUP($E19,'DADOS_CUSTOM'!$BM$2:$BU$100,2,FALSE),"")="Item comum"),$R19,"")</f>
        <v/>
      </c>
      <c r="AZ57" s="175" t="inlineStr">
        <is>
          <t>Ferramentas Integradas</t>
        </is>
      </c>
      <c r="BA57" s="175" t="inlineStr">
        <is>
          <t>Corpo Amaldiçoado</t>
        </is>
      </c>
      <c r="BB57" s="175" t="inlineStr">
        <is>
          <t>menor</t>
        </is>
      </c>
      <c r="BC57" s="175" t="inlineStr"/>
      <c r="BD57" s="175" t="inlineStr">
        <is>
          <t>Uma vez por cena</t>
        </is>
      </c>
      <c r="BE57" s="175" t="inlineStr">
        <is>
          <t>Incorpore à estrutura um conjunto de ferramentas de um Ofício em que seja treinado. O conjunto não ocupa Volume e fica disponível sem sacar ou guardar. Uma vez por cena, antes de um teste desse Ofício que use as ferramentas integradas, receba vantagem.
A isenção não inclui materiais, peças transportadas ou produtos. Você ainda precisa obter o conjunto; a menor não concede ferramentas gratuitas ou o treino. Instalação e troca acompanham a manutenção, sem exigir oficina fixa ou vínculo com o criador. Restrições próprias de um teste continuam valendo, como as fontes de vantagem permitidas em Criação de entidades.</t>
        </is>
      </c>
      <c r="BM57" s="175" t="inlineStr">
        <is>
          <t>Tanto</t>
        </is>
      </c>
      <c r="BN57" s="175" t="inlineStr">
        <is>
          <t>Arma</t>
        </is>
      </c>
      <c r="BO57" s="175" t="n">
        <v>0</v>
      </c>
      <c r="BP57" s="175" t="inlineStr">
        <is>
          <t>—</t>
        </is>
      </c>
      <c r="BQ57" s="175" t="inlineStr">
        <is>
          <t>—</t>
        </is>
      </c>
      <c r="BR57" s="175" t="n">
        <v>0.3</v>
      </c>
      <c r="BS57" s="175" t="inlineStr">
        <is>
          <t>—</t>
        </is>
      </c>
      <c r="BT57" s="175" t="inlineStr"/>
      <c r="BU57" s="175" t="inlineStr"/>
      <c r="BV57" s="175" t="inlineStr">
        <is>
          <t>Faca</t>
        </is>
      </c>
      <c r="CK57" s="175" t="inlineStr">
        <is>
          <t>Traje 1</t>
        </is>
      </c>
    </row>
    <row r="58">
      <c r="AA58" s="175">
        <f>IF(AND(OR($B3="Arma",$B3="Escudo"),$C3&lt;&gt;"",$U3=""),$C3,"")</f>
        <v/>
      </c>
      <c r="AB58" s="175">
        <f>IF(AND(OR($B3="Arma",$B3="Escudo"),$C3&lt;&gt;"",$U3=""),IF($B3="Escudo","Escudo",$E3),"")</f>
        <v/>
      </c>
      <c r="AC58" s="175">
        <f>IF(AND(OR($B3="Arma",$B3="Escudo"),$C3&lt;&gt;"",$U3=""),IF($B3="Escudo",1,$F3),"")</f>
        <v/>
      </c>
      <c r="AD58" s="175">
        <f>IF(AND(OR($B3="Arma",$B3="Escudo"),$C3&lt;&gt;"",$U3=""),IF($B3="Escudo","—",$L3),"")</f>
        <v/>
      </c>
      <c r="AE58" s="175">
        <f>IF(AND(OR($B3="Arma",$B3="Escudo"),$C3&lt;&gt;"",$U3=""),IF($B3="Escudo","Proteção +"&amp;$L3&amp;" · teto de Destreza "&amp;$M3,TEXTJOIN(" · ",TRUE,IF($H3="—","",$H3),IF($I3="—","",$I3),IF($J3="—","",$J3),IF($K3="—","",$K3))),"")</f>
        <v/>
      </c>
      <c r="AF58" s="175">
        <f>IF(AND(OR($B3="Arma",$B3="Escudo"),$C3&lt;&gt;"",$U3=""),IF($B3="Escudo",$N3,$M3),"")</f>
        <v/>
      </c>
      <c r="AG58" s="175">
        <f>IF(AND(OR($B3="Arma",$B3="Escudo"),$C3&lt;&gt;"",$U3=""),IF($B3="Escudo",$O3,$N3),"")</f>
        <v/>
      </c>
      <c r="AH58" s="175">
        <f>IF(AND(OR($B3="Arma",$B3="Escudo"),$C3&lt;&gt;"",$U3=""),IF($B3="Escudo","",$O3),"")</f>
        <v/>
      </c>
      <c r="AI58" s="175">
        <f>IF(AND(OR($B3="Arma",$B3="Escudo"),$C3&lt;&gt;"",$U3=""),IF($B3="Escudo","",$P3),"")</f>
        <v/>
      </c>
      <c r="AJ58" s="175">
        <f>IF(AND(OR($B3="Arma",$B3="Escudo"),$C3&lt;&gt;"",$U3=""),IF($B3="Escudo",TRUE,IFERROR(VLOOKUP($E3,DADOS!$BP$5:$BT$17,4,FALSE),FALSE)),"")</f>
        <v/>
      </c>
      <c r="AK58" s="175">
        <f>IF(AND(OR($B3="Arma",$B3="Escudo"),$C3&lt;&gt;"",$U3=""),"","")</f>
        <v/>
      </c>
      <c r="AU58" s="175">
        <f>IF(AND(AND($B20="Ferramenta amaldiçoada",$T20=TRUE),IFERROR(VLOOKUP($E20,'DADOS_CUSTOM'!$BM$2:$BU$100,2,FALSE),"")="Item comum"),$C20,"")</f>
        <v/>
      </c>
      <c r="AV58" s="175">
        <f>IF(AND(AND($B20="Ferramenta amaldiçoada",$T20=TRUE),IFERROR(VLOOKUP($E20,'DADOS_CUSTOM'!$BM$2:$BU$100,2,FALSE),"")="Item comum"),IF($N20="",IFERROR(VLOOKUP($E20,'DADOS_CUSTOM'!$AU$2:$AX$39,2,FALSE),""),$N20),"")</f>
        <v/>
      </c>
      <c r="AW58" s="175">
        <f>IF(AND(AND($B20="Ferramenta amaldiçoada",$T20=TRUE),IFERROR(VLOOKUP($E20,'DADOS_CUSTOM'!$BM$2:$BU$100,2,FALSE),"")="Item comum"),$O20,"")</f>
        <v/>
      </c>
      <c r="AX58" s="175">
        <f>IF(AND(AND($B20="Ferramenta amaldiçoada",$T20=TRUE),IFERROR(VLOOKUP($E20,'DADOS_CUSTOM'!$BM$2:$BU$100,2,FALSE),"")="Item comum"),$R20,"")</f>
        <v/>
      </c>
      <c r="AZ58" s="175" t="inlineStr">
        <is>
          <t>Acabamento Trocável</t>
        </is>
      </c>
      <c r="BA58" s="175" t="inlineStr">
        <is>
          <t>Corpo Amaldiçoado</t>
        </is>
      </c>
      <c r="BB58" s="175" t="inlineStr">
        <is>
          <t>menor</t>
        </is>
      </c>
      <c r="BC58" s="175" t="inlineStr"/>
      <c r="BD58" s="175" t="inlineStr">
        <is>
          <t>Uma vez por cena</t>
        </is>
      </c>
      <c r="BE58" s="175" t="inlineStr">
        <is>
          <t>Depois de mudar seu acabamento, escolha duas perícias entre Persuasão, Enganação, Intimidação e Atuação. Uma vez por cena, antes de um teste social de uma delas, receba vantagem. As duas compartilham o uso.
Durante um descanso curto ou longo, pode fazer uma mudança visível com materiais adequados disponíveis, como roupas, tintas ou revestimentos. Ao concluir o descanso, entram em vigor a aparência e a nova escolha de perícias, sem PE ou teste. Isso não renova o uso por cena.
A seleção acompanha a mudança de acabamento, não cada teste. A alteração não modifica automaticamente voz, tamanho, capacidades ou assinatura de energia, nem oferece treino ou sucesso social impossível.</t>
        </is>
      </c>
      <c r="BM58" s="175" t="inlineStr">
        <is>
          <t>Tekko</t>
        </is>
      </c>
      <c r="BN58" s="175" t="inlineStr">
        <is>
          <t>Arma</t>
        </is>
      </c>
      <c r="BO58" s="175" t="n">
        <v>0</v>
      </c>
      <c r="BP58" s="175" t="inlineStr">
        <is>
          <t>—</t>
        </is>
      </c>
      <c r="BQ58" s="175" t="inlineStr">
        <is>
          <t>—</t>
        </is>
      </c>
      <c r="BR58" s="175" t="n">
        <v>0.2</v>
      </c>
      <c r="BS58" s="175" t="inlineStr">
        <is>
          <t>—</t>
        </is>
      </c>
      <c r="BT58" s="175" t="inlineStr"/>
      <c r="BU58" s="175" t="inlineStr"/>
      <c r="BV58" s="175" t="inlineStr">
        <is>
          <t>Ferramentas Improvisadas</t>
        </is>
      </c>
      <c r="CK58" s="175" t="inlineStr">
        <is>
          <t>Traje 2</t>
        </is>
      </c>
    </row>
    <row r="59">
      <c r="AA59" s="175">
        <f>IF(AND(OR($B4="Arma",$B4="Escudo"),$C4&lt;&gt;"",$U4=""),$C4,"")</f>
        <v/>
      </c>
      <c r="AB59" s="175">
        <f>IF(AND(OR($B4="Arma",$B4="Escudo"),$C4&lt;&gt;"",$U4=""),IF($B4="Escudo","Escudo",$E4),"")</f>
        <v/>
      </c>
      <c r="AC59" s="175">
        <f>IF(AND(OR($B4="Arma",$B4="Escudo"),$C4&lt;&gt;"",$U4=""),IF($B4="Escudo",1,$F4),"")</f>
        <v/>
      </c>
      <c r="AD59" s="175">
        <f>IF(AND(OR($B4="Arma",$B4="Escudo"),$C4&lt;&gt;"",$U4=""),IF($B4="Escudo","—",$L4),"")</f>
        <v/>
      </c>
      <c r="AE59" s="175">
        <f>IF(AND(OR($B4="Arma",$B4="Escudo"),$C4&lt;&gt;"",$U4=""),IF($B4="Escudo","Proteção +"&amp;$L4&amp;" · teto de Destreza "&amp;$M4,TEXTJOIN(" · ",TRUE,IF($H4="—","",$H4),IF($I4="—","",$I4),IF($J4="—","",$J4),IF($K4="—","",$K4))),"")</f>
        <v/>
      </c>
      <c r="AF59" s="175">
        <f>IF(AND(OR($B4="Arma",$B4="Escudo"),$C4&lt;&gt;"",$U4=""),IF($B4="Escudo",$N4,$M4),"")</f>
        <v/>
      </c>
      <c r="AG59" s="175">
        <f>IF(AND(OR($B4="Arma",$B4="Escudo"),$C4&lt;&gt;"",$U4=""),IF($B4="Escudo",$O4,$N4),"")</f>
        <v/>
      </c>
      <c r="AH59" s="175">
        <f>IF(AND(OR($B4="Arma",$B4="Escudo"),$C4&lt;&gt;"",$U4=""),IF($B4="Escudo","",$O4),"")</f>
        <v/>
      </c>
      <c r="AI59" s="175">
        <f>IF(AND(OR($B4="Arma",$B4="Escudo"),$C4&lt;&gt;"",$U4=""),IF($B4="Escudo","",$P4),"")</f>
        <v/>
      </c>
      <c r="AJ59" s="175">
        <f>IF(AND(OR($B4="Arma",$B4="Escudo"),$C4&lt;&gt;"",$U4=""),IF($B4="Escudo",TRUE,IFERROR(VLOOKUP($E4,DADOS!$BP$5:$BT$17,4,FALSE),FALSE)),"")</f>
        <v/>
      </c>
      <c r="AK59" s="175">
        <f>IF(AND(OR($B4="Arma",$B4="Escudo"),$C4&lt;&gt;"",$U4=""),"","")</f>
        <v/>
      </c>
      <c r="AU59" s="175">
        <f>IF(AND(AND($B21="Ferramenta amaldiçoada",$T21=TRUE),IFERROR(VLOOKUP($E21,'DADOS_CUSTOM'!$BM$2:$BU$100,2,FALSE),"")="Item comum"),$C21,"")</f>
        <v/>
      </c>
      <c r="AV59" s="175">
        <f>IF(AND(AND($B21="Ferramenta amaldiçoada",$T21=TRUE),IFERROR(VLOOKUP($E21,'DADOS_CUSTOM'!$BM$2:$BU$100,2,FALSE),"")="Item comum"),IF($N21="",IFERROR(VLOOKUP($E21,'DADOS_CUSTOM'!$AU$2:$AX$39,2,FALSE),""),$N21),"")</f>
        <v/>
      </c>
      <c r="AW59" s="175">
        <f>IF(AND(AND($B21="Ferramenta amaldiçoada",$T21=TRUE),IFERROR(VLOOKUP($E21,'DADOS_CUSTOM'!$BM$2:$BU$100,2,FALSE),"")="Item comum"),$O21,"")</f>
        <v/>
      </c>
      <c r="AX59" s="175">
        <f>IF(AND(AND($B21="Ferramenta amaldiçoada",$T21=TRUE),IFERROR(VLOOKUP($E21,'DADOS_CUSTOM'!$BM$2:$BU$100,2,FALSE),"")="Item comum"),$R21,"")</f>
        <v/>
      </c>
      <c r="AZ59" s="175" t="inlineStr">
        <is>
          <t>Amortecimento de Queda</t>
        </is>
      </c>
      <c r="BA59" s="175" t="inlineStr">
        <is>
          <t>Corpo Amaldiçoado</t>
        </is>
      </c>
      <c r="BB59" s="175" t="inlineStr">
        <is>
          <t>menor</t>
        </is>
      </c>
      <c r="BC59" s="175" t="inlineStr"/>
      <c r="BD59" s="175" t="inlineStr">
        <is>
          <t>Uma vez por cena</t>
        </is>
      </c>
      <c r="BE59" s="175" t="inlineStr">
        <is>
          <t>Uma vez por cena, estando consciente, use sua Reação para reduzir à metade o dano que sofreria de uma queda, arredondando para baixo depois das defesas aplicáveis.
Não permite voo, planagem ou mudança do local de chegada. Um ataque que cause a queda e a queda em si são eventos distintos.</t>
        </is>
      </c>
      <c r="BM59" s="175" t="inlineStr">
        <is>
          <t>Tessen</t>
        </is>
      </c>
      <c r="BN59" s="175" t="inlineStr">
        <is>
          <t>Arma</t>
        </is>
      </c>
      <c r="BO59" s="175" t="n">
        <v>0</v>
      </c>
      <c r="BP59" s="175" t="inlineStr">
        <is>
          <t>—</t>
        </is>
      </c>
      <c r="BQ59" s="175" t="inlineStr">
        <is>
          <t>—</t>
        </is>
      </c>
      <c r="BR59" s="175" t="n">
        <v>0.3</v>
      </c>
      <c r="BS59" s="175" t="inlineStr">
        <is>
          <t>—</t>
        </is>
      </c>
      <c r="BT59" s="175" t="inlineStr"/>
      <c r="BU59" s="175" t="inlineStr"/>
      <c r="BV59" s="175" t="inlineStr">
        <is>
          <t>Ferramentas Integradas</t>
        </is>
      </c>
      <c r="CK59" s="175" t="inlineStr">
        <is>
          <t>Traje 3</t>
        </is>
      </c>
    </row>
    <row r="60">
      <c r="AA60" s="175">
        <f>IF(AND(OR($B5="Arma",$B5="Escudo"),$C5&lt;&gt;"",$U5=""),$C5,"")</f>
        <v/>
      </c>
      <c r="AB60" s="175">
        <f>IF(AND(OR($B5="Arma",$B5="Escudo"),$C5&lt;&gt;"",$U5=""),IF($B5="Escudo","Escudo",$E5),"")</f>
        <v/>
      </c>
      <c r="AC60" s="175">
        <f>IF(AND(OR($B5="Arma",$B5="Escudo"),$C5&lt;&gt;"",$U5=""),IF($B5="Escudo",1,$F5),"")</f>
        <v/>
      </c>
      <c r="AD60" s="175">
        <f>IF(AND(OR($B5="Arma",$B5="Escudo"),$C5&lt;&gt;"",$U5=""),IF($B5="Escudo","—",$L5),"")</f>
        <v/>
      </c>
      <c r="AE60" s="175">
        <f>IF(AND(OR($B5="Arma",$B5="Escudo"),$C5&lt;&gt;"",$U5=""),IF($B5="Escudo","Proteção +"&amp;$L5&amp;" · teto de Destreza "&amp;$M5,TEXTJOIN(" · ",TRUE,IF($H5="—","",$H5),IF($I5="—","",$I5),IF($J5="—","",$J5),IF($K5="—","",$K5))),"")</f>
        <v/>
      </c>
      <c r="AF60" s="175">
        <f>IF(AND(OR($B5="Arma",$B5="Escudo"),$C5&lt;&gt;"",$U5=""),IF($B5="Escudo",$N5,$M5),"")</f>
        <v/>
      </c>
      <c r="AG60" s="175">
        <f>IF(AND(OR($B5="Arma",$B5="Escudo"),$C5&lt;&gt;"",$U5=""),IF($B5="Escudo",$O5,$N5),"")</f>
        <v/>
      </c>
      <c r="AH60" s="175">
        <f>IF(AND(OR($B5="Arma",$B5="Escudo"),$C5&lt;&gt;"",$U5=""),IF($B5="Escudo","",$O5),"")</f>
        <v/>
      </c>
      <c r="AI60" s="175">
        <f>IF(AND(OR($B5="Arma",$B5="Escudo"),$C5&lt;&gt;"",$U5=""),IF($B5="Escudo","",$P5),"")</f>
        <v/>
      </c>
      <c r="AJ60" s="175">
        <f>IF(AND(OR($B5="Arma",$B5="Escudo"),$C5&lt;&gt;"",$U5=""),IF($B5="Escudo",TRUE,IFERROR(VLOOKUP($E5,DADOS!$BP$5:$BT$17,4,FALSE),FALSE)),"")</f>
        <v/>
      </c>
      <c r="AK60" s="175">
        <f>IF(AND(OR($B5="Arma",$B5="Escudo"),$C5&lt;&gt;"",$U5=""),"","")</f>
        <v/>
      </c>
      <c r="AU60" s="175">
        <f>IF(AND(AND($B22="Ferramenta amaldiçoada",$T22=TRUE),IFERROR(VLOOKUP($E22,'DADOS_CUSTOM'!$BM$2:$BU$100,2,FALSE),"")="Item comum"),$C22,"")</f>
        <v/>
      </c>
      <c r="AV60" s="175">
        <f>IF(AND(AND($B22="Ferramenta amaldiçoada",$T22=TRUE),IFERROR(VLOOKUP($E22,'DADOS_CUSTOM'!$BM$2:$BU$100,2,FALSE),"")="Item comum"),IF($N22="",IFERROR(VLOOKUP($E22,'DADOS_CUSTOM'!$AU$2:$AX$39,2,FALSE),""),$N22),"")</f>
        <v/>
      </c>
      <c r="AW60" s="175">
        <f>IF(AND(AND($B22="Ferramenta amaldiçoada",$T22=TRUE),IFERROR(VLOOKUP($E22,'DADOS_CUSTOM'!$BM$2:$BU$100,2,FALSE),"")="Item comum"),$O22,"")</f>
        <v/>
      </c>
      <c r="AX60" s="175">
        <f>IF(AND(AND($B22="Ferramenta amaldiçoada",$T22=TRUE),IFERROR(VLOOKUP($E22,'DADOS_CUSTOM'!$BM$2:$BU$100,2,FALSE),"")="Item comum"),$R22,"")</f>
        <v/>
      </c>
      <c r="AZ60" s="175" t="inlineStr">
        <is>
          <t>Reparo Autônomo</t>
        </is>
      </c>
      <c r="BA60" s="175" t="inlineStr">
        <is>
          <t>Corpo Amaldiçoado</t>
        </is>
      </c>
      <c r="BB60" s="175" t="inlineStr">
        <is>
          <t>menor</t>
        </is>
      </c>
      <c r="BC60" s="175" t="inlineStr"/>
      <c r="BD60" s="175" t="inlineStr">
        <is>
          <t>Uma vez por dia</t>
        </is>
      </c>
      <c r="BE60" s="175" t="inlineStr">
        <is>
          <t>Uma vez por dia, gaste uma Ação Padrão para reparar a si mesmo, inclusive em combate. No sucesso, recupere 30% da vida máxima, arredondados para baixo. Precisa estar consciente e capaz, treinado no ofício compatível, com ferramentas e materiais acessíveis.
Use o teste de Reparar, comparando sua Classe consigo mesma. Esta menor tem sua própria ação, frequência e taxa; não consome uma tentativa de um descanso curto futuro. Manutenção Precisa continua exigindo reparo durante descanso curto.</t>
        </is>
      </c>
      <c r="BM60" s="175" t="inlineStr">
        <is>
          <t>Tonfa</t>
        </is>
      </c>
      <c r="BN60" s="175" t="inlineStr">
        <is>
          <t>Arma</t>
        </is>
      </c>
      <c r="BO60" s="175" t="n">
        <v>0</v>
      </c>
      <c r="BP60" s="175" t="inlineStr">
        <is>
          <t>—</t>
        </is>
      </c>
      <c r="BQ60" s="175" t="inlineStr">
        <is>
          <t>—</t>
        </is>
      </c>
      <c r="BR60" s="175" t="n">
        <v>0.5</v>
      </c>
      <c r="BS60" s="175" t="inlineStr">
        <is>
          <t>—</t>
        </is>
      </c>
      <c r="BT60" s="175" t="inlineStr"/>
      <c r="BU60" s="175" t="inlineStr"/>
      <c r="BV60" s="175" t="inlineStr">
        <is>
          <t>Ferramentas de ofício</t>
        </is>
      </c>
      <c r="CK60" s="175" t="inlineStr">
        <is>
          <t>Revestimento 1</t>
        </is>
      </c>
    </row>
    <row r="61">
      <c r="AA61" s="175">
        <f>IF(AND(OR($B6="Arma",$B6="Escudo"),$C6&lt;&gt;"",$U6=""),$C6,"")</f>
        <v/>
      </c>
      <c r="AB61" s="175">
        <f>IF(AND(OR($B6="Arma",$B6="Escudo"),$C6&lt;&gt;"",$U6=""),IF($B6="Escudo","Escudo",$E6),"")</f>
        <v/>
      </c>
      <c r="AC61" s="175">
        <f>IF(AND(OR($B6="Arma",$B6="Escudo"),$C6&lt;&gt;"",$U6=""),IF($B6="Escudo",1,$F6),"")</f>
        <v/>
      </c>
      <c r="AD61" s="175">
        <f>IF(AND(OR($B6="Arma",$B6="Escudo"),$C6&lt;&gt;"",$U6=""),IF($B6="Escudo","—",$L6),"")</f>
        <v/>
      </c>
      <c r="AE61" s="175">
        <f>IF(AND(OR($B6="Arma",$B6="Escudo"),$C6&lt;&gt;"",$U6=""),IF($B6="Escudo","Proteção +"&amp;$L6&amp;" · teto de Destreza "&amp;$M6,TEXTJOIN(" · ",TRUE,IF($H6="—","",$H6),IF($I6="—","",$I6),IF($J6="—","",$J6),IF($K6="—","",$K6))),"")</f>
        <v/>
      </c>
      <c r="AF61" s="175">
        <f>IF(AND(OR($B6="Arma",$B6="Escudo"),$C6&lt;&gt;"",$U6=""),IF($B6="Escudo",$N6,$M6),"")</f>
        <v/>
      </c>
      <c r="AG61" s="175">
        <f>IF(AND(OR($B6="Arma",$B6="Escudo"),$C6&lt;&gt;"",$U6=""),IF($B6="Escudo",$O6,$N6),"")</f>
        <v/>
      </c>
      <c r="AH61" s="175">
        <f>IF(AND(OR($B6="Arma",$B6="Escudo"),$C6&lt;&gt;"",$U6=""),IF($B6="Escudo","",$O6),"")</f>
        <v/>
      </c>
      <c r="AI61" s="175">
        <f>IF(AND(OR($B6="Arma",$B6="Escudo"),$C6&lt;&gt;"",$U6=""),IF($B6="Escudo","",$P6),"")</f>
        <v/>
      </c>
      <c r="AJ61" s="175">
        <f>IF(AND(OR($B6="Arma",$B6="Escudo"),$C6&lt;&gt;"",$U6=""),IF($B6="Escudo",TRUE,IFERROR(VLOOKUP($E6,DADOS!$BP$5:$BT$17,4,FALSE),FALSE)),"")</f>
        <v/>
      </c>
      <c r="AK61" s="175">
        <f>IF(AND(OR($B6="Arma",$B6="Escudo"),$C6&lt;&gt;"",$U6=""),"","")</f>
        <v/>
      </c>
      <c r="AU61" s="175">
        <f>IF(AND(AND($B23="Ferramenta amaldiçoada",$T23=TRUE),IFERROR(VLOOKUP($E23,'DADOS_CUSTOM'!$BM$2:$BU$100,2,FALSE),"")="Item comum"),$C23,"")</f>
        <v/>
      </c>
      <c r="AV61" s="175">
        <f>IF(AND(AND($B23="Ferramenta amaldiçoada",$T23=TRUE),IFERROR(VLOOKUP($E23,'DADOS_CUSTOM'!$BM$2:$BU$100,2,FALSE),"")="Item comum"),IF($N23="",IFERROR(VLOOKUP($E23,'DADOS_CUSTOM'!$AU$2:$AX$39,2,FALSE),""),$N23),"")</f>
        <v/>
      </c>
      <c r="AW61" s="175">
        <f>IF(AND(AND($B23="Ferramenta amaldiçoada",$T23=TRUE),IFERROR(VLOOKUP($E23,'DADOS_CUSTOM'!$BM$2:$BU$100,2,FALSE),"")="Item comum"),$O23,"")</f>
        <v/>
      </c>
      <c r="AX61" s="175">
        <f>IF(AND(AND($B23="Ferramenta amaldiçoada",$T23=TRUE),IFERROR(VLOOKUP($E23,'DADOS_CUSTOM'!$BM$2:$BU$100,2,FALSE),"")="Item comum"),$R23,"")</f>
        <v/>
      </c>
      <c r="AZ61" s="175" t="inlineStr">
        <is>
          <t>Redundância</t>
        </is>
      </c>
      <c r="BA61" s="175" t="inlineStr">
        <is>
          <t>Corpo Amaldiçoado</t>
        </is>
      </c>
      <c r="BB61" s="175" t="inlineStr">
        <is>
          <t>menor</t>
        </is>
      </c>
      <c r="BC61" s="175" t="inlineStr"/>
      <c r="BD61" s="175" t="inlineStr">
        <is>
          <t>Uma vez por cena</t>
        </is>
      </c>
      <c r="BE61" s="175" t="inlineStr">
        <is>
          <t>Escolha Físico, Vigor, Intelecto ou Espírito. Uma vez por cena, quando falhar no TR escolhido, pode repetir a rolagem e deve aceitar o segundo resultado. A escolha é fixa; não exige treino nem o concede. Mantenha os modificadores e requisitos do teste.</t>
        </is>
      </c>
      <c r="BM61" s="175" t="inlineStr">
        <is>
          <t>Wakizashi</t>
        </is>
      </c>
      <c r="BN61" s="175" t="inlineStr">
        <is>
          <t>Arma</t>
        </is>
      </c>
      <c r="BO61" s="175" t="n">
        <v>0</v>
      </c>
      <c r="BP61" s="175" t="inlineStr">
        <is>
          <t>—</t>
        </is>
      </c>
      <c r="BQ61" s="175" t="inlineStr">
        <is>
          <t>—</t>
        </is>
      </c>
      <c r="BR61" s="175" t="n">
        <v>0.5</v>
      </c>
      <c r="BS61" s="175" t="inlineStr">
        <is>
          <t>—</t>
        </is>
      </c>
      <c r="BT61" s="175" t="inlineStr"/>
      <c r="BU61" s="175" t="inlineStr"/>
      <c r="BV61" s="175" t="inlineStr">
        <is>
          <t>Foco Inscrito</t>
        </is>
      </c>
      <c r="CK61" s="175" t="inlineStr">
        <is>
          <t>Revestimento 2</t>
        </is>
      </c>
    </row>
    <row r="62">
      <c r="AA62" s="175">
        <f>IF(AND(OR($B7="Arma",$B7="Escudo"),$C7&lt;&gt;"",$U7=""),$C7,"")</f>
        <v/>
      </c>
      <c r="AB62" s="175">
        <f>IF(AND(OR($B7="Arma",$B7="Escudo"),$C7&lt;&gt;"",$U7=""),IF($B7="Escudo","Escudo",$E7),"")</f>
        <v/>
      </c>
      <c r="AC62" s="175">
        <f>IF(AND(OR($B7="Arma",$B7="Escudo"),$C7&lt;&gt;"",$U7=""),IF($B7="Escudo",1,$F7),"")</f>
        <v/>
      </c>
      <c r="AD62" s="175">
        <f>IF(AND(OR($B7="Arma",$B7="Escudo"),$C7&lt;&gt;"",$U7=""),IF($B7="Escudo","—",$L7),"")</f>
        <v/>
      </c>
      <c r="AE62" s="175">
        <f>IF(AND(OR($B7="Arma",$B7="Escudo"),$C7&lt;&gt;"",$U7=""),IF($B7="Escudo","Proteção +"&amp;$L7&amp;" · teto de Destreza "&amp;$M7,TEXTJOIN(" · ",TRUE,IF($H7="—","",$H7),IF($I7="—","",$I7),IF($J7="—","",$J7),IF($K7="—","",$K7))),"")</f>
        <v/>
      </c>
      <c r="AF62" s="175">
        <f>IF(AND(OR($B7="Arma",$B7="Escudo"),$C7&lt;&gt;"",$U7=""),IF($B7="Escudo",$N7,$M7),"")</f>
        <v/>
      </c>
      <c r="AG62" s="175">
        <f>IF(AND(OR($B7="Arma",$B7="Escudo"),$C7&lt;&gt;"",$U7=""),IF($B7="Escudo",$O7,$N7),"")</f>
        <v/>
      </c>
      <c r="AH62" s="175">
        <f>IF(AND(OR($B7="Arma",$B7="Escudo"),$C7&lt;&gt;"",$U7=""),IF($B7="Escudo","",$O7),"")</f>
        <v/>
      </c>
      <c r="AI62" s="175">
        <f>IF(AND(OR($B7="Arma",$B7="Escudo"),$C7&lt;&gt;"",$U7=""),IF($B7="Escudo","",$P7),"")</f>
        <v/>
      </c>
      <c r="AJ62" s="175">
        <f>IF(AND(OR($B7="Arma",$B7="Escudo"),$C7&lt;&gt;"",$U7=""),IF($B7="Escudo",TRUE,IFERROR(VLOOKUP($E7,DADOS!$BP$5:$BT$17,4,FALSE),FALSE)),"")</f>
        <v/>
      </c>
      <c r="AK62" s="175">
        <f>IF(AND(OR($B7="Arma",$B7="Escudo"),$C7&lt;&gt;"",$U7=""),"","")</f>
        <v/>
      </c>
      <c r="AU62" s="175">
        <f>IF(AND(AND($B24="Ferramenta amaldiçoada",$T24=TRUE),IFERROR(VLOOKUP($E24,'DADOS_CUSTOM'!$BM$2:$BU$100,2,FALSE),"")="Item comum"),$C24,"")</f>
        <v/>
      </c>
      <c r="AV62" s="175">
        <f>IF(AND(AND($B24="Ferramenta amaldiçoada",$T24=TRUE),IFERROR(VLOOKUP($E24,'DADOS_CUSTOM'!$BM$2:$BU$100,2,FALSE),"")="Item comum"),IF($N24="",IFERROR(VLOOKUP($E24,'DADOS_CUSTOM'!$AU$2:$AX$39,2,FALSE),""),$N24),"")</f>
        <v/>
      </c>
      <c r="AW62" s="175">
        <f>IF(AND(AND($B24="Ferramenta amaldiçoada",$T24=TRUE),IFERROR(VLOOKUP($E24,'DADOS_CUSTOM'!$BM$2:$BU$100,2,FALSE),"")="Item comum"),$O24,"")</f>
        <v/>
      </c>
      <c r="AX62" s="175">
        <f>IF(AND(AND($B24="Ferramenta amaldiçoada",$T24=TRUE),IFERROR(VLOOKUP($E24,'DADOS_CUSTOM'!$BM$2:$BU$100,2,FALSE),"")="Item comum"),$R24,"")</f>
        <v/>
      </c>
      <c r="AZ62" s="175" t="inlineStr">
        <is>
          <t>Carcaça Grande</t>
        </is>
      </c>
      <c r="BA62" s="175" t="inlineStr">
        <is>
          <t>Corpo Amaldiçoado</t>
        </is>
      </c>
      <c r="BB62" s="175" t="inlineStr">
        <is>
          <t>menor</t>
        </is>
      </c>
      <c r="BC62" s="175" t="inlineStr"/>
      <c r="BD62" s="175" t="inlineStr">
        <is>
          <t>Passiva</t>
        </is>
      </c>
      <c r="BE62" s="175" t="inlineStr">
        <is>
          <t>Você é da categoria de tamanho Grande, de forma passiva e permanente. Aplique as regras gerais de tamanho. Não há ativação, custo ou transformação temporária, nem bônus próprio de vida, dano, Força, carga ou alcance concedido por esta menor.</t>
        </is>
      </c>
      <c r="BM62" s="175" t="inlineStr">
        <is>
          <t>Yari</t>
        </is>
      </c>
      <c r="BN62" s="175" t="inlineStr">
        <is>
          <t>Arma</t>
        </is>
      </c>
      <c r="BO62" s="175" t="n">
        <v>0</v>
      </c>
      <c r="BP62" s="175" t="inlineStr">
        <is>
          <t>—</t>
        </is>
      </c>
      <c r="BQ62" s="175" t="n">
        <v>3</v>
      </c>
      <c r="BR62" s="175" t="n">
        <v>2</v>
      </c>
      <c r="BS62" s="175" t="inlineStr">
        <is>
          <t>—</t>
        </is>
      </c>
      <c r="BT62" s="175" t="inlineStr"/>
      <c r="BU62" s="175" t="inlineStr"/>
      <c r="BV62" s="175" t="inlineStr">
        <is>
          <t>Foco Visceral</t>
        </is>
      </c>
      <c r="CK62" s="175" t="inlineStr">
        <is>
          <t>Revestimento 3</t>
        </is>
      </c>
    </row>
    <row r="63">
      <c r="AA63" s="175">
        <f>IF(AND(OR($B8="Arma",$B8="Escudo"),$C8&lt;&gt;"",$U8=""),$C8,"")</f>
        <v/>
      </c>
      <c r="AB63" s="175">
        <f>IF(AND(OR($B8="Arma",$B8="Escudo"),$C8&lt;&gt;"",$U8=""),IF($B8="Escudo","Escudo",$E8),"")</f>
        <v/>
      </c>
      <c r="AC63" s="175">
        <f>IF(AND(OR($B8="Arma",$B8="Escudo"),$C8&lt;&gt;"",$U8=""),IF($B8="Escudo",1,$F8),"")</f>
        <v/>
      </c>
      <c r="AD63" s="175">
        <f>IF(AND(OR($B8="Arma",$B8="Escudo"),$C8&lt;&gt;"",$U8=""),IF($B8="Escudo","—",$L8),"")</f>
        <v/>
      </c>
      <c r="AE63" s="175">
        <f>IF(AND(OR($B8="Arma",$B8="Escudo"),$C8&lt;&gt;"",$U8=""),IF($B8="Escudo","Proteção +"&amp;$L8&amp;" · teto de Destreza "&amp;$M8,TEXTJOIN(" · ",TRUE,IF($H8="—","",$H8),IF($I8="—","",$I8),IF($J8="—","",$J8),IF($K8="—","",$K8))),"")</f>
        <v/>
      </c>
      <c r="AF63" s="175">
        <f>IF(AND(OR($B8="Arma",$B8="Escudo"),$C8&lt;&gt;"",$U8=""),IF($B8="Escudo",$N8,$M8),"")</f>
        <v/>
      </c>
      <c r="AG63" s="175">
        <f>IF(AND(OR($B8="Arma",$B8="Escudo"),$C8&lt;&gt;"",$U8=""),IF($B8="Escudo",$O8,$N8),"")</f>
        <v/>
      </c>
      <c r="AH63" s="175">
        <f>IF(AND(OR($B8="Arma",$B8="Escudo"),$C8&lt;&gt;"",$U8=""),IF($B8="Escudo","",$O8),"")</f>
        <v/>
      </c>
      <c r="AI63" s="175">
        <f>IF(AND(OR($B8="Arma",$B8="Escudo"),$C8&lt;&gt;"",$U8=""),IF($B8="Escudo","",$P8),"")</f>
        <v/>
      </c>
      <c r="AJ63" s="175">
        <f>IF(AND(OR($B8="Arma",$B8="Escudo"),$C8&lt;&gt;"",$U8=""),IF($B8="Escudo",TRUE,IFERROR(VLOOKUP($E8,DADOS!$BP$5:$BT$17,4,FALSE),FALSE)),"")</f>
        <v/>
      </c>
      <c r="AK63" s="175">
        <f>IF(AND(OR($B8="Arma",$B8="Escudo"),$C8&lt;&gt;"",$U8=""),"","")</f>
        <v/>
      </c>
      <c r="AU63" s="175">
        <f>IF(AND(AND($B25="Ferramenta amaldiçoada",$T25=TRUE),IFERROR(VLOOKUP($E25,'DADOS_CUSTOM'!$BM$2:$BU$100,2,FALSE),"")="Item comum"),$C25,"")</f>
        <v/>
      </c>
      <c r="AV63" s="175">
        <f>IF(AND(AND($B25="Ferramenta amaldiçoada",$T25=TRUE),IFERROR(VLOOKUP($E25,'DADOS_CUSTOM'!$BM$2:$BU$100,2,FALSE),"")="Item comum"),IF($N25="",IFERROR(VLOOKUP($E25,'DADOS_CUSTOM'!$AU$2:$AX$39,2,FALSE),""),$N25),"")</f>
        <v/>
      </c>
      <c r="AW63" s="175">
        <f>IF(AND(AND($B25="Ferramenta amaldiçoada",$T25=TRUE),IFERROR(VLOOKUP($E25,'DADOS_CUSTOM'!$BM$2:$BU$100,2,FALSE),"")="Item comum"),$O25,"")</f>
        <v/>
      </c>
      <c r="AX63" s="175">
        <f>IF(AND(AND($B25="Ferramenta amaldiçoada",$T25=TRUE),IFERROR(VLOOKUP($E25,'DADOS_CUSTOM'!$BM$2:$BU$100,2,FALSE),"")="Item comum"),$R25,"")</f>
        <v/>
      </c>
      <c r="AZ63" s="175" t="inlineStr">
        <is>
          <t>Construção Especializada</t>
        </is>
      </c>
      <c r="BA63" s="175" t="inlineStr">
        <is>
          <t>Corpo Amaldiçoado</t>
        </is>
      </c>
      <c r="BB63" s="175" t="inlineStr">
        <is>
          <t>menor</t>
        </is>
      </c>
      <c r="BC63" s="175" t="inlineStr"/>
      <c r="BD63" s="175" t="inlineStr">
        <is>
          <t>Passiva</t>
        </is>
      </c>
      <c r="BE63" s="175" t="inlineStr">
        <is>
          <t>Receba um Talento passivo de Categoria de Efeito 1, compatível com sua rota e respeitando os requisitos. Ele representa uma função incorporada ao projeto e fica fora dos espaços conhecidos e dos cinco Talentos pagos.
Escolha na criação, sem duplicação, evolução gratuita ou troca livre durante manutenção. O benefício não concede técnica inata.</t>
        </is>
      </c>
      <c r="BM63" s="175" t="inlineStr">
        <is>
          <t>Corda</t>
        </is>
      </c>
      <c r="BN63" s="175" t="inlineStr">
        <is>
          <t>Item comum</t>
        </is>
      </c>
      <c r="BO63" s="175" t="n">
        <v>0</v>
      </c>
      <c r="BP63" s="175" t="inlineStr">
        <is>
          <t>—</t>
        </is>
      </c>
      <c r="BQ63" s="175" t="n">
        <v>0</v>
      </c>
      <c r="BR63" s="175" t="n">
        <v>0.5</v>
      </c>
      <c r="BS63" s="175" t="inlineStr">
        <is>
          <t>—</t>
        </is>
      </c>
      <c r="BT63" s="175" t="inlineStr"/>
      <c r="BU63" s="175" t="inlineStr"/>
      <c r="BV63" s="175" t="inlineStr">
        <is>
          <t>Foice</t>
        </is>
      </c>
      <c r="CK63" s="175" t="inlineStr">
        <is>
          <t>Corda</t>
        </is>
      </c>
    </row>
    <row r="64">
      <c r="AA64" s="175">
        <f>IF(AND(OR($B9="Arma",$B9="Escudo"),$C9&lt;&gt;"",$U9=""),$C9,"")</f>
        <v/>
      </c>
      <c r="AB64" s="175">
        <f>IF(AND(OR($B9="Arma",$B9="Escudo"),$C9&lt;&gt;"",$U9=""),IF($B9="Escudo","Escudo",$E9),"")</f>
        <v/>
      </c>
      <c r="AC64" s="175">
        <f>IF(AND(OR($B9="Arma",$B9="Escudo"),$C9&lt;&gt;"",$U9=""),IF($B9="Escudo",1,$F9),"")</f>
        <v/>
      </c>
      <c r="AD64" s="175">
        <f>IF(AND(OR($B9="Arma",$B9="Escudo"),$C9&lt;&gt;"",$U9=""),IF($B9="Escudo","—",$L9),"")</f>
        <v/>
      </c>
      <c r="AE64" s="175">
        <f>IF(AND(OR($B9="Arma",$B9="Escudo"),$C9&lt;&gt;"",$U9=""),IF($B9="Escudo","Proteção +"&amp;$L9&amp;" · teto de Destreza "&amp;$M9,TEXTJOIN(" · ",TRUE,IF($H9="—","",$H9),IF($I9="—","",$I9),IF($J9="—","",$J9),IF($K9="—","",$K9))),"")</f>
        <v/>
      </c>
      <c r="AF64" s="175">
        <f>IF(AND(OR($B9="Arma",$B9="Escudo"),$C9&lt;&gt;"",$U9=""),IF($B9="Escudo",$N9,$M9),"")</f>
        <v/>
      </c>
      <c r="AG64" s="175">
        <f>IF(AND(OR($B9="Arma",$B9="Escudo"),$C9&lt;&gt;"",$U9=""),IF($B9="Escudo",$O9,$N9),"")</f>
        <v/>
      </c>
      <c r="AH64" s="175">
        <f>IF(AND(OR($B9="Arma",$B9="Escudo"),$C9&lt;&gt;"",$U9=""),IF($B9="Escudo","",$O9),"")</f>
        <v/>
      </c>
      <c r="AI64" s="175">
        <f>IF(AND(OR($B9="Arma",$B9="Escudo"),$C9&lt;&gt;"",$U9=""),IF($B9="Escudo","",$P9),"")</f>
        <v/>
      </c>
      <c r="AJ64" s="175">
        <f>IF(AND(OR($B9="Arma",$B9="Escudo"),$C9&lt;&gt;"",$U9=""),IF($B9="Escudo",TRUE,IFERROR(VLOOKUP($E9,DADOS!$BP$5:$BT$17,4,FALSE),FALSE)),"")</f>
        <v/>
      </c>
      <c r="AK64" s="175">
        <f>IF(AND(OR($B9="Arma",$B9="Escudo"),$C9&lt;&gt;"",$U9=""),"","")</f>
        <v/>
      </c>
      <c r="AU64" s="175">
        <f>IF(AND(AND($B26="Ferramenta amaldiçoada",$T26=TRUE),IFERROR(VLOOKUP($E26,'DADOS_CUSTOM'!$BM$2:$BU$100,2,FALSE),"")="Item comum"),$C26,"")</f>
        <v/>
      </c>
      <c r="AV64" s="175">
        <f>IF(AND(AND($B26="Ferramenta amaldiçoada",$T26=TRUE),IFERROR(VLOOKUP($E26,'DADOS_CUSTOM'!$BM$2:$BU$100,2,FALSE),"")="Item comum"),IF($N26="",IFERROR(VLOOKUP($E26,'DADOS_CUSTOM'!$AU$2:$AX$39,2,FALSE),""),$N26),"")</f>
        <v/>
      </c>
      <c r="AW64" s="175">
        <f>IF(AND(AND($B26="Ferramenta amaldiçoada",$T26=TRUE),IFERROR(VLOOKUP($E26,'DADOS_CUSTOM'!$BM$2:$BU$100,2,FALSE),"")="Item comum"),$O26,"")</f>
        <v/>
      </c>
      <c r="AX64" s="175">
        <f>IF(AND(AND($B26="Ferramenta amaldiçoada",$T26=TRUE),IFERROR(VLOOKUP($E26,'DADOS_CUSTOM'!$BM$2:$BU$100,2,FALSE),"")="Item comum"),$R26,"")</f>
        <v/>
      </c>
      <c r="AZ64" s="175" t="inlineStr">
        <is>
          <t>Arquivo de Procedimentos</t>
        </is>
      </c>
      <c r="BA64" s="175" t="inlineStr">
        <is>
          <t>Corpo Amaldiçoado</t>
        </is>
      </c>
      <c r="BB64" s="175" t="inlineStr">
        <is>
          <t>menor</t>
        </is>
      </c>
      <c r="BC64" s="175" t="inlineStr"/>
      <c r="BD64" s="175" t="inlineStr">
        <is>
          <t>No descanso curto</t>
        </is>
      </c>
      <c r="BE64" s="175" t="inlineStr">
        <is>
          <t>Registre três perícias ou Ofícios. Você mantém treino em um deles por vez. Durante um descanso curto ou longo, pode trocar uma vez o procedimento ativo; a mudança entra em vigor ao concluir o descanso, sem PE, teste ou material adicional apenas para selecioná-lo.
A lista dos três permanece fixa. Pode trocar o procedimento no mesmo descanso em que muda o acabamento. Mantenha os requisitos de ferramentas, materiais, receitas e conhecimentos da tarefa.
O treino do Arquivo não pode ser aprimorado para especialização nem servir de requisito para adquiri-la. Não soma bônus a um treino já possuído nem concede os três ao mesmo tempo. Treinos e especializações obtidos por fontes independentes conservam suas regras.</t>
        </is>
      </c>
      <c r="BM64" s="175" t="inlineStr">
        <is>
          <t>Lanterna elétrica</t>
        </is>
      </c>
      <c r="BN64" s="175" t="inlineStr">
        <is>
          <t>Item comum</t>
        </is>
      </c>
      <c r="BO64" s="175" t="n">
        <v>0</v>
      </c>
      <c r="BP64" s="175" t="inlineStr">
        <is>
          <t>—</t>
        </is>
      </c>
      <c r="BQ64" s="175" t="n">
        <v>0</v>
      </c>
      <c r="BR64" s="175" t="n">
        <v>0.2</v>
      </c>
      <c r="BS64" s="175" t="inlineStr">
        <is>
          <t>—</t>
        </is>
      </c>
      <c r="BT64" s="175" t="inlineStr"/>
      <c r="BU64" s="175" t="inlineStr"/>
      <c r="BV64" s="175" t="inlineStr">
        <is>
          <t>Fundamento Incorporado</t>
        </is>
      </c>
      <c r="CK64" s="175" t="inlineStr">
        <is>
          <t>Lanterna elétrica</t>
        </is>
      </c>
    </row>
    <row r="65">
      <c r="AA65" s="175">
        <f>IF(AND(OR($B10="Arma",$B10="Escudo"),$C10&lt;&gt;"",$U10=""),$C10,"")</f>
        <v/>
      </c>
      <c r="AB65" s="175">
        <f>IF(AND(OR($B10="Arma",$B10="Escudo"),$C10&lt;&gt;"",$U10=""),IF($B10="Escudo","Escudo",$E10),"")</f>
        <v/>
      </c>
      <c r="AC65" s="175">
        <f>IF(AND(OR($B10="Arma",$B10="Escudo"),$C10&lt;&gt;"",$U10=""),IF($B10="Escudo",1,$F10),"")</f>
        <v/>
      </c>
      <c r="AD65" s="175">
        <f>IF(AND(OR($B10="Arma",$B10="Escudo"),$C10&lt;&gt;"",$U10=""),IF($B10="Escudo","—",$L10),"")</f>
        <v/>
      </c>
      <c r="AE65" s="175">
        <f>IF(AND(OR($B10="Arma",$B10="Escudo"),$C10&lt;&gt;"",$U10=""),IF($B10="Escudo","Proteção +"&amp;$L10&amp;" · teto de Destreza "&amp;$M10,TEXTJOIN(" · ",TRUE,IF($H10="—","",$H10),IF($I10="—","",$I10),IF($J10="—","",$J10),IF($K10="—","",$K10))),"")</f>
        <v/>
      </c>
      <c r="AF65" s="175">
        <f>IF(AND(OR($B10="Arma",$B10="Escudo"),$C10&lt;&gt;"",$U10=""),IF($B10="Escudo",$N10,$M10),"")</f>
        <v/>
      </c>
      <c r="AG65" s="175">
        <f>IF(AND(OR($B10="Arma",$B10="Escudo"),$C10&lt;&gt;"",$U10=""),IF($B10="Escudo",$O10,$N10),"")</f>
        <v/>
      </c>
      <c r="AH65" s="175">
        <f>IF(AND(OR($B10="Arma",$B10="Escudo"),$C10&lt;&gt;"",$U10=""),IF($B10="Escudo","",$O10),"")</f>
        <v/>
      </c>
      <c r="AI65" s="175">
        <f>IF(AND(OR($B10="Arma",$B10="Escudo"),$C10&lt;&gt;"",$U10=""),IF($B10="Escudo","",$P10),"")</f>
        <v/>
      </c>
      <c r="AJ65" s="175">
        <f>IF(AND(OR($B10="Arma",$B10="Escudo"),$C10&lt;&gt;"",$U10=""),IF($B10="Escudo",TRUE,IFERROR(VLOOKUP($E10,DADOS!$BP$5:$BT$17,4,FALSE),FALSE)),"")</f>
        <v/>
      </c>
      <c r="AK65" s="175">
        <f>IF(AND(OR($B10="Arma",$B10="Escudo"),$C10&lt;&gt;"",$U10=""),"","")</f>
        <v/>
      </c>
      <c r="AZ65" s="175" t="inlineStr">
        <is>
          <t>Núcleo Dependente</t>
        </is>
      </c>
      <c r="BA65" s="175" t="inlineStr">
        <is>
          <t>Corpo Amaldiçoado</t>
        </is>
      </c>
      <c r="BB65" s="175" t="inlineStr">
        <is>
          <t>menor</t>
        </is>
      </c>
      <c r="BC65" s="175" t="inlineStr"/>
      <c r="BD65" s="175" t="inlineStr">
        <is>
          <t>Passiva</t>
        </is>
      </c>
      <c r="BE65" s="175" t="inlineStr">
        <is>
          <t>Sua estrutura depende diretamente da reserva de energia. Aumente seus PE máximos em Essência + quantidade de marcos alcançados × metade da Essência, arredondada para baixo. Conte os marcos dos níveis 6, 10, 14, 18, 22, 26 e 30.
Quando Essência aumentar, recalcule todo o benefício, inclusive as parcelas anteriores. Não use Maestria nessa conta. Alterar o máximo não recupera toda a reserva; o saldo segue a regra geral aplicável à mudança.
Exemplo: com Essência 3 no nível 10, há dois marcos: 3 + 2 × 1 = 5 PE adicionais. Se Essência subir para 4, recalcule: 4 + 2 × 2 = 8 PE adicionais.
Alma e Integridade.
Você não possui barra de Integridade. Dano de Alma que também atinja vida continua causando sua perda de vida. Você é imune ao dano exclusivo à Integridade, que não atinge vida; nenhum desses danos se converte em perda de PE. Os estágios de Integridade não se aplicam, e recuperar Integridade não recupera energia.
Isso não significa ausência de alma ou imunidade a todos os efeitos que a atinjam. Em um efeito misto, resolva os demais componentes aplicáveis. Exigências de recuperar Integridade após derrota só se aplicam a quem possui essa reserva; outras causas de queda ou inconsciência continuam valendo.
Falta de energia.
Você fica inativo quando não resta nenhum PE comum ou temporário. Se gastar os últimos PE numa capacidade, resolva primeiro o efeito pago e fique inativo depois.
Enquanto inativo, permanece consciente, pode falar, perceber o entorno e fazer gestos simples. Seu deslocamento cai à metade. Falha automaticamente em quaisquer testes e não pode realizar outras ações, usar Reações ou Bloquear. Sua Defesa continua normal. Isso não impede inconsciência ou derrota por outros motivos.
Receber pelo menos 1 PE comum ou temporário por uma fonte válida encerra imediatamente a inatividade, sem ação adicional. Não renova ações ou Reações gastas nem remove outros impedimentos. Se a energia temporária acabar ou expirar e não houver PE comuns, você fica inativo novamente.
Recuperação de energia.
Conserve a recuperação normal por descanso, inclusive enquanto inativo: 25% dos PE máximos no curto e até o máximo no longo, com os arredondamentos e requisitos normais. Existência Artificial torna o ambiente propício, mas ainda é preciso uma pausa real e encerrar a missão para o descanso longo.
O fornecedor de energia e o que cobra fazem parte da história. Esta menor não cria consumo automático, doação obrigatória por descanso ou transferência livre de PE entre personagens. Recuperar durante uma cena exige uma fonte que permita fazê-lo. Abastecimento de energia e reparo de vida são procedimentos distintos.</t>
        </is>
      </c>
      <c r="BM65" s="175" t="inlineStr">
        <is>
          <t>Pilhas de reserva</t>
        </is>
      </c>
      <c r="BN65" s="175" t="inlineStr">
        <is>
          <t>Item comum</t>
        </is>
      </c>
      <c r="BO65" s="175" t="n">
        <v>0</v>
      </c>
      <c r="BP65" s="175" t="inlineStr">
        <is>
          <t>—</t>
        </is>
      </c>
      <c r="BQ65" s="175" t="n">
        <v>0</v>
      </c>
      <c r="BR65" s="175" t="n">
        <v>0.1</v>
      </c>
      <c r="BS65" s="175" t="inlineStr">
        <is>
          <t>—</t>
        </is>
      </c>
      <c r="BT65" s="175" t="inlineStr"/>
      <c r="BU65" s="175" t="inlineStr"/>
      <c r="BV65" s="175" t="inlineStr">
        <is>
          <t>Fôlego Recuperado</t>
        </is>
      </c>
      <c r="CK65" s="175" t="inlineStr">
        <is>
          <t>Pilhas de reserva</t>
        </is>
      </c>
    </row>
    <row r="66">
      <c r="AA66" s="175">
        <f>IF(AND(OR($B11="Arma",$B11="Escudo"),$C11&lt;&gt;"",$U11=""),$C11,"")</f>
        <v/>
      </c>
      <c r="AB66" s="175">
        <f>IF(AND(OR($B11="Arma",$B11="Escudo"),$C11&lt;&gt;"",$U11=""),IF($B11="Escudo","Escudo",$E11),"")</f>
        <v/>
      </c>
      <c r="AC66" s="175">
        <f>IF(AND(OR($B11="Arma",$B11="Escudo"),$C11&lt;&gt;"",$U11=""),IF($B11="Escudo",1,$F11),"")</f>
        <v/>
      </c>
      <c r="AD66" s="175">
        <f>IF(AND(OR($B11="Arma",$B11="Escudo"),$C11&lt;&gt;"",$U11=""),IF($B11="Escudo","—",$L11),"")</f>
        <v/>
      </c>
      <c r="AE66" s="175">
        <f>IF(AND(OR($B11="Arma",$B11="Escudo"),$C11&lt;&gt;"",$U11=""),IF($B11="Escudo","Proteção +"&amp;$L11&amp;" · teto de Destreza "&amp;$M11,TEXTJOIN(" · ",TRUE,IF($H11="—","",$H11),IF($I11="—","",$I11),IF($J11="—","",$J11),IF($K11="—","",$K11))),"")</f>
        <v/>
      </c>
      <c r="AF66" s="175">
        <f>IF(AND(OR($B11="Arma",$B11="Escudo"),$C11&lt;&gt;"",$U11=""),IF($B11="Escudo",$N11,$M11),"")</f>
        <v/>
      </c>
      <c r="AG66" s="175">
        <f>IF(AND(OR($B11="Arma",$B11="Escudo"),$C11&lt;&gt;"",$U11=""),IF($B11="Escudo",$O11,$N11),"")</f>
        <v/>
      </c>
      <c r="AH66" s="175">
        <f>IF(AND(OR($B11="Arma",$B11="Escudo"),$C11&lt;&gt;"",$U11=""),IF($B11="Escudo","",$O11),"")</f>
        <v/>
      </c>
      <c r="AI66" s="175">
        <f>IF(AND(OR($B11="Arma",$B11="Escudo"),$C11&lt;&gt;"",$U11=""),IF($B11="Escudo","",$P11),"")</f>
        <v/>
      </c>
      <c r="AJ66" s="175">
        <f>IF(AND(OR($B11="Arma",$B11="Escudo"),$C11&lt;&gt;"",$U11=""),IF($B11="Escudo",TRUE,IFERROR(VLOOKUP($E11,DADOS!$BP$5:$BT$17,4,FALSE),FALSE)),"")</f>
        <v/>
      </c>
      <c r="AK66" s="175">
        <f>IF(AND(OR($B11="Arma",$B11="Escudo"),$C11&lt;&gt;"",$U11=""),"","")</f>
        <v/>
      </c>
      <c r="AZ66" s="175" t="inlineStr">
        <is>
          <t>Mente Resguardada</t>
        </is>
      </c>
      <c r="BA66" s="175" t="inlineStr">
        <is>
          <t>Corpo Amaldiçoado</t>
        </is>
      </c>
      <c r="BB66" s="175" t="inlineStr">
        <is>
          <t>menor</t>
        </is>
      </c>
      <c r="BC66" s="175" t="inlineStr"/>
      <c r="BD66" s="175" t="inlineStr">
        <is>
          <t>Passiva</t>
        </is>
      </c>
      <c r="BE66" s="175" t="inlineStr">
        <is>
          <t>Você é imune a Enfeitiçado e Amedrontado. Ao escolher esta menor, escolha permanentemente uma contrapartida:
- Vulnerabilidade a um tipo de dano Físico; ou
- Vulnerabilidade a um tipo de dano Elemental e um tipo de dano Especial.
Escolha tipos individuais dos grupos apresentados em Dano, não grupos inteiros. Use as regras normais de vulnerabilidade. A imunidade não se estende a dano Psíquico, todo TR Mental, ilusões ou outras condições. Você continua tendo emoções, vontade e alma.</t>
        </is>
      </c>
      <c r="BM66" s="175" t="inlineStr">
        <is>
          <t>Algema</t>
        </is>
      </c>
      <c r="BN66" s="175" t="inlineStr">
        <is>
          <t>Item comum</t>
        </is>
      </c>
      <c r="BO66" s="175" t="n">
        <v>0</v>
      </c>
      <c r="BP66" s="175" t="inlineStr">
        <is>
          <t>—</t>
        </is>
      </c>
      <c r="BQ66" s="175" t="n">
        <v>0</v>
      </c>
      <c r="BR66" s="175" t="n">
        <v>0.2</v>
      </c>
      <c r="BS66" s="175" t="inlineStr">
        <is>
          <t>—</t>
        </is>
      </c>
      <c r="BT66" s="175" t="inlineStr"/>
      <c r="BU66" s="175" t="inlineStr"/>
      <c r="BV66" s="175" t="inlineStr">
        <is>
          <t>Gambiarra</t>
        </is>
      </c>
      <c r="CK66" s="175" t="inlineStr">
        <is>
          <t>Algema</t>
        </is>
      </c>
    </row>
    <row r="67">
      <c r="AA67" s="175">
        <f>IF(AND(OR($B12="Arma",$B12="Escudo"),$C12&lt;&gt;"",$U12=""),$C12,"")</f>
        <v/>
      </c>
      <c r="AB67" s="175">
        <f>IF(AND(OR($B12="Arma",$B12="Escudo"),$C12&lt;&gt;"",$U12=""),IF($B12="Escudo","Escudo",$E12),"")</f>
        <v/>
      </c>
      <c r="AC67" s="175">
        <f>IF(AND(OR($B12="Arma",$B12="Escudo"),$C12&lt;&gt;"",$U12=""),IF($B12="Escudo",1,$F12),"")</f>
        <v/>
      </c>
      <c r="AD67" s="175">
        <f>IF(AND(OR($B12="Arma",$B12="Escudo"),$C12&lt;&gt;"",$U12=""),IF($B12="Escudo","—",$L12),"")</f>
        <v/>
      </c>
      <c r="AE67" s="175">
        <f>IF(AND(OR($B12="Arma",$B12="Escudo"),$C12&lt;&gt;"",$U12=""),IF($B12="Escudo","Proteção +"&amp;$L12&amp;" · teto de Destreza "&amp;$M12,TEXTJOIN(" · ",TRUE,IF($H12="—","",$H12),IF($I12="—","",$I12),IF($J12="—","",$J12),IF($K12="—","",$K12))),"")</f>
        <v/>
      </c>
      <c r="AF67" s="175">
        <f>IF(AND(OR($B12="Arma",$B12="Escudo"),$C12&lt;&gt;"",$U12=""),IF($B12="Escudo",$N12,$M12),"")</f>
        <v/>
      </c>
      <c r="AG67" s="175">
        <f>IF(AND(OR($B12="Arma",$B12="Escudo"),$C12&lt;&gt;"",$U12=""),IF($B12="Escudo",$O12,$N12),"")</f>
        <v/>
      </c>
      <c r="AH67" s="175">
        <f>IF(AND(OR($B12="Arma",$B12="Escudo"),$C12&lt;&gt;"",$U12=""),IF($B12="Escudo","",$O12),"")</f>
        <v/>
      </c>
      <c r="AI67" s="175">
        <f>IF(AND(OR($B12="Arma",$B12="Escudo"),$C12&lt;&gt;"",$U12=""),IF($B12="Escudo","",$P12),"")</f>
        <v/>
      </c>
      <c r="AJ67" s="175">
        <f>IF(AND(OR($B12="Arma",$B12="Escudo"),$C12&lt;&gt;"",$U12=""),IF($B12="Escudo",TRUE,IFERROR(VLOOKUP($E12,DADOS!$BP$5:$BT$17,4,FALSE),FALSE)),"")</f>
        <v/>
      </c>
      <c r="AK67" s="175">
        <f>IF(AND(OR($B12="Arma",$B12="Escudo"),$C12&lt;&gt;"",$U12=""),"","")</f>
        <v/>
      </c>
      <c r="AZ67" s="175" t="inlineStr">
        <is>
          <t>Porte Incomum</t>
        </is>
      </c>
      <c r="BA67" s="175" t="inlineStr">
        <is>
          <t>Restrição Celestial · Sem Energia</t>
        </is>
      </c>
      <c r="BB67" s="175" t="inlineStr">
        <is>
          <t>menor</t>
        </is>
      </c>
      <c r="BC67" s="175" t="inlineStr"/>
      <c r="BD67" s="175" t="inlineStr">
        <is>
          <t>Passiva</t>
        </is>
      </c>
      <c r="BE67" s="175" t="inlineStr">
        <is>
          <t>Seu limite normal de carga aumenta em Volume igual à Maestria. Calcule o dobro a partir do novo limite. Não aumenta Força, tamanho ou dano, nem dispensa requisitos de empunhadura e proteção. Você ainda precisa conseguir segurar e transportar o que carrega.
Exemplo: Força 3 e Maestria 1 dão limite de 5 + 3 + 1 = 9 Volume, com teto de 18 para o excesso permitido. As penalidades de carga continuam valendo.</t>
        </is>
      </c>
      <c r="BM67" s="175" t="inlineStr">
        <is>
          <t>Pé de cabra</t>
        </is>
      </c>
      <c r="BN67" s="175" t="inlineStr">
        <is>
          <t>Item comum</t>
        </is>
      </c>
      <c r="BO67" s="175" t="n">
        <v>0</v>
      </c>
      <c r="BP67" s="175" t="inlineStr">
        <is>
          <t>—</t>
        </is>
      </c>
      <c r="BQ67" s="175" t="n">
        <v>0</v>
      </c>
      <c r="BR67" s="175" t="n">
        <v>0.5</v>
      </c>
      <c r="BS67" s="175" t="inlineStr">
        <is>
          <t>—</t>
        </is>
      </c>
      <c r="BT67" s="175" t="inlineStr"/>
      <c r="BU67" s="175" t="inlineStr"/>
      <c r="BV67" s="175" t="inlineStr">
        <is>
          <t>Gazuas</t>
        </is>
      </c>
      <c r="CK67" s="175" t="inlineStr">
        <is>
          <t>Pé de cabra</t>
        </is>
      </c>
    </row>
    <row r="68">
      <c r="AA68" s="175">
        <f>IF(AND(OR($B13="Arma",$B13="Escudo"),$C13&lt;&gt;"",$U13=""),$C13,"")</f>
        <v/>
      </c>
      <c r="AB68" s="175">
        <f>IF(AND(OR($B13="Arma",$B13="Escudo"),$C13&lt;&gt;"",$U13=""),IF($B13="Escudo","Escudo",$E13),"")</f>
        <v/>
      </c>
      <c r="AC68" s="175">
        <f>IF(AND(OR($B13="Arma",$B13="Escudo"),$C13&lt;&gt;"",$U13=""),IF($B13="Escudo",1,$F13),"")</f>
        <v/>
      </c>
      <c r="AD68" s="175">
        <f>IF(AND(OR($B13="Arma",$B13="Escudo"),$C13&lt;&gt;"",$U13=""),IF($B13="Escudo","—",$L13),"")</f>
        <v/>
      </c>
      <c r="AE68" s="175">
        <f>IF(AND(OR($B13="Arma",$B13="Escudo"),$C13&lt;&gt;"",$U13=""),IF($B13="Escudo","Proteção +"&amp;$L13&amp;" · teto de Destreza "&amp;$M13,TEXTJOIN(" · ",TRUE,IF($H13="—","",$H13),IF($I13="—","",$I13),IF($J13="—","",$J13),IF($K13="—","",$K13))),"")</f>
        <v/>
      </c>
      <c r="AF68" s="175">
        <f>IF(AND(OR($B13="Arma",$B13="Escudo"),$C13&lt;&gt;"",$U13=""),IF($B13="Escudo",$N13,$M13),"")</f>
        <v/>
      </c>
      <c r="AG68" s="175">
        <f>IF(AND(OR($B13="Arma",$B13="Escudo"),$C13&lt;&gt;"",$U13=""),IF($B13="Escudo",$O13,$N13),"")</f>
        <v/>
      </c>
      <c r="AH68" s="175">
        <f>IF(AND(OR($B13="Arma",$B13="Escudo"),$C13&lt;&gt;"",$U13=""),IF($B13="Escudo","",$O13),"")</f>
        <v/>
      </c>
      <c r="AI68" s="175">
        <f>IF(AND(OR($B13="Arma",$B13="Escudo"),$C13&lt;&gt;"",$U13=""),IF($B13="Escudo","",$P13),"")</f>
        <v/>
      </c>
      <c r="AJ68" s="175">
        <f>IF(AND(OR($B13="Arma",$B13="Escudo"),$C13&lt;&gt;"",$U13=""),IF($B13="Escudo",TRUE,IFERROR(VLOOKUP($E13,DADOS!$BP$5:$BT$17,4,FALSE),FALSE)),"")</f>
        <v/>
      </c>
      <c r="AK68" s="175">
        <f>IF(AND(OR($B13="Arma",$B13="Escudo"),$C13&lt;&gt;"",$U13=""),"","")</f>
        <v/>
      </c>
      <c r="AZ68" s="175" t="inlineStr">
        <is>
          <t>Corpo Flexível</t>
        </is>
      </c>
      <c r="BA68" s="175" t="inlineStr">
        <is>
          <t>Restrição Celestial · Sem Energia</t>
        </is>
      </c>
      <c r="BB68" s="175" t="inlineStr">
        <is>
          <t>menor</t>
        </is>
      </c>
      <c r="BC68" s="175" t="inlineStr"/>
      <c r="BD68" s="175" t="inlineStr">
        <is>
          <t>Passiva</t>
        </is>
      </c>
      <c r="BE68" s="175" t="inlineStr">
        <is>
          <t>Ao se espremer, ignore apenas o custo adicional de movimento da passagem estreita. A abertura ainda precisa comportar corpo e equipamento; penalidades de combate, terreno difícil e rastejar permanecem. Atravessar 3 m de passagem regular custa 3 m em vez de 6 m.</t>
        </is>
      </c>
      <c r="BM68" s="175" t="inlineStr">
        <is>
          <t>Gazuas</t>
        </is>
      </c>
      <c r="BN68" s="175" t="inlineStr">
        <is>
          <t>Item comum</t>
        </is>
      </c>
      <c r="BO68" s="175" t="n">
        <v>0</v>
      </c>
      <c r="BP68" s="175" t="inlineStr">
        <is>
          <t>—</t>
        </is>
      </c>
      <c r="BQ68" s="175" t="n">
        <v>0</v>
      </c>
      <c r="BR68" s="175" t="n">
        <v>0.1</v>
      </c>
      <c r="BS68" s="175" t="inlineStr">
        <is>
          <t>—</t>
        </is>
      </c>
      <c r="BT68" s="175" t="inlineStr"/>
      <c r="BU68" s="175" t="inlineStr"/>
      <c r="BV68" s="175" t="inlineStr">
        <is>
          <t>Gojo</t>
        </is>
      </c>
      <c r="CK68" s="175" t="inlineStr">
        <is>
          <t>Gazuas</t>
        </is>
      </c>
    </row>
    <row r="69">
      <c r="AA69" s="175">
        <f>IF(AND(OR($B14="Arma",$B14="Escudo"),$C14&lt;&gt;"",$U14=""),$C14,"")</f>
        <v/>
      </c>
      <c r="AB69" s="175">
        <f>IF(AND(OR($B14="Arma",$B14="Escudo"),$C14&lt;&gt;"",$U14=""),IF($B14="Escudo","Escudo",$E14),"")</f>
        <v/>
      </c>
      <c r="AC69" s="175">
        <f>IF(AND(OR($B14="Arma",$B14="Escudo"),$C14&lt;&gt;"",$U14=""),IF($B14="Escudo",1,$F14),"")</f>
        <v/>
      </c>
      <c r="AD69" s="175">
        <f>IF(AND(OR($B14="Arma",$B14="Escudo"),$C14&lt;&gt;"",$U14=""),IF($B14="Escudo","—",$L14),"")</f>
        <v/>
      </c>
      <c r="AE69" s="175">
        <f>IF(AND(OR($B14="Arma",$B14="Escudo"),$C14&lt;&gt;"",$U14=""),IF($B14="Escudo","Proteção +"&amp;$L14&amp;" · teto de Destreza "&amp;$M14,TEXTJOIN(" · ",TRUE,IF($H14="—","",$H14),IF($I14="—","",$I14),IF($J14="—","",$J14),IF($K14="—","",$K14))),"")</f>
        <v/>
      </c>
      <c r="AF69" s="175">
        <f>IF(AND(OR($B14="Arma",$B14="Escudo"),$C14&lt;&gt;"",$U14=""),IF($B14="Escudo",$N14,$M14),"")</f>
        <v/>
      </c>
      <c r="AG69" s="175">
        <f>IF(AND(OR($B14="Arma",$B14="Escudo"),$C14&lt;&gt;"",$U14=""),IF($B14="Escudo",$O14,$N14),"")</f>
        <v/>
      </c>
      <c r="AH69" s="175">
        <f>IF(AND(OR($B14="Arma",$B14="Escudo"),$C14&lt;&gt;"",$U14=""),IF($B14="Escudo","",$O14),"")</f>
        <v/>
      </c>
      <c r="AI69" s="175">
        <f>IF(AND(OR($B14="Arma",$B14="Escudo"),$C14&lt;&gt;"",$U14=""),IF($B14="Escudo","",$P14),"")</f>
        <v/>
      </c>
      <c r="AJ69" s="175">
        <f>IF(AND(OR($B14="Arma",$B14="Escudo"),$C14&lt;&gt;"",$U14=""),IF($B14="Escudo",TRUE,IFERROR(VLOOKUP($E14,DADOS!$BP$5:$BT$17,4,FALSE),FALSE)),"")</f>
        <v/>
      </c>
      <c r="AK69" s="175">
        <f>IF(AND(OR($B14="Arma",$B14="Escudo"),$C14&lt;&gt;"",$U14=""),"","")</f>
        <v/>
      </c>
      <c r="AZ69" s="175" t="inlineStr">
        <is>
          <t>Mapa Mental</t>
        </is>
      </c>
      <c r="BA69" s="175" t="inlineStr">
        <is>
          <t>Restrição Celestial · Sem Energia</t>
        </is>
      </c>
      <c r="BB69" s="175" t="inlineStr">
        <is>
          <t>menor</t>
        </is>
      </c>
      <c r="BC69" s="175" t="inlineStr"/>
      <c r="BD69" s="175" t="inlineStr">
        <is>
          <t>Passiva</t>
        </is>
      </c>
      <c r="BE69" s="175" t="inlineStr">
        <is>
          <t>Recorde sem teste o percurso que atravessou conscientemente: curvas, bifurcações e a ordem dos marcos percebidos. Não revela atalhos, caminhos desconhecidos, mudanças posteriores ou deslocamentos que não pôde acompanhar. A capacidade preserva trajetos difíceis sem retirar dos outros a memória cotidiana de caminhos simples.</t>
        </is>
      </c>
      <c r="BM69" s="175" t="inlineStr">
        <is>
          <t>Kit de escalada</t>
        </is>
      </c>
      <c r="BN69" s="175" t="inlineStr">
        <is>
          <t>Item comum</t>
        </is>
      </c>
      <c r="BO69" s="175" t="n">
        <v>0</v>
      </c>
      <c r="BP69" s="175" t="inlineStr">
        <is>
          <t>—</t>
        </is>
      </c>
      <c r="BQ69" s="175" t="n">
        <v>0</v>
      </c>
      <c r="BR69" s="175" t="n">
        <v>0.5</v>
      </c>
      <c r="BS69" s="175" t="inlineStr">
        <is>
          <t>—</t>
        </is>
      </c>
      <c r="BT69" s="175" t="inlineStr"/>
      <c r="BU69" s="175" t="inlineStr"/>
      <c r="BV69" s="175" t="inlineStr">
        <is>
          <t>Guarda Reaprendida</t>
        </is>
      </c>
      <c r="CK69" s="175" t="inlineStr">
        <is>
          <t>Kit de escalada</t>
        </is>
      </c>
    </row>
    <row r="70">
      <c r="AA70" s="175">
        <f>IF(AND(OR($B15="Arma",$B15="Escudo"),$C15&lt;&gt;"",$U15=""),$C15,"")</f>
        <v/>
      </c>
      <c r="AB70" s="175">
        <f>IF(AND(OR($B15="Arma",$B15="Escudo"),$C15&lt;&gt;"",$U15=""),IF($B15="Escudo","Escudo",$E15),"")</f>
        <v/>
      </c>
      <c r="AC70" s="175">
        <f>IF(AND(OR($B15="Arma",$B15="Escudo"),$C15&lt;&gt;"",$U15=""),IF($B15="Escudo",1,$F15),"")</f>
        <v/>
      </c>
      <c r="AD70" s="175">
        <f>IF(AND(OR($B15="Arma",$B15="Escudo"),$C15&lt;&gt;"",$U15=""),IF($B15="Escudo","—",$L15),"")</f>
        <v/>
      </c>
      <c r="AE70" s="175">
        <f>IF(AND(OR($B15="Arma",$B15="Escudo"),$C15&lt;&gt;"",$U15=""),IF($B15="Escudo","Proteção +"&amp;$L15&amp;" · teto de Destreza "&amp;$M15,TEXTJOIN(" · ",TRUE,IF($H15="—","",$H15),IF($I15="—","",$I15),IF($J15="—","",$J15),IF($K15="—","",$K15))),"")</f>
        <v/>
      </c>
      <c r="AF70" s="175">
        <f>IF(AND(OR($B15="Arma",$B15="Escudo"),$C15&lt;&gt;"",$U15=""),IF($B15="Escudo",$N15,$M15),"")</f>
        <v/>
      </c>
      <c r="AG70" s="175">
        <f>IF(AND(OR($B15="Arma",$B15="Escudo"),$C15&lt;&gt;"",$U15=""),IF($B15="Escudo",$O15,$N15),"")</f>
        <v/>
      </c>
      <c r="AH70" s="175">
        <f>IF(AND(OR($B15="Arma",$B15="Escudo"),$C15&lt;&gt;"",$U15=""),IF($B15="Escudo","",$O15),"")</f>
        <v/>
      </c>
      <c r="AI70" s="175">
        <f>IF(AND(OR($B15="Arma",$B15="Escudo"),$C15&lt;&gt;"",$U15=""),IF($B15="Escudo","",$P15),"")</f>
        <v/>
      </c>
      <c r="AJ70" s="175">
        <f>IF(AND(OR($B15="Arma",$B15="Escudo"),$C15&lt;&gt;"",$U15=""),IF($B15="Escudo",TRUE,IFERROR(VLOOKUP($E15,DADOS!$BP$5:$BT$17,4,FALSE),FALSE)),"")</f>
        <v/>
      </c>
      <c r="AK70" s="175">
        <f>IF(AND(OR($B15="Arma",$B15="Escudo"),$C15&lt;&gt;"",$U15=""),"","")</f>
        <v/>
      </c>
      <c r="AZ70" s="175" t="inlineStr">
        <is>
          <t>Aprendizado Complementar</t>
        </is>
      </c>
      <c r="BA70" s="175" t="inlineStr">
        <is>
          <t>Restrição Celestial · Sem Energia</t>
        </is>
      </c>
      <c r="BB70" s="175" t="inlineStr">
        <is>
          <t>menor</t>
        </is>
      </c>
      <c r="BC70" s="175" t="inlineStr"/>
      <c r="BD70" s="175" t="inlineStr">
        <is>
          <t>Passiva</t>
        </is>
      </c>
      <c r="BE70" s="175" t="inlineStr">
        <is>
          <t>Receba treino em uma perícia ou dois Ofícios que ainda não possua e possa aprender pela sua rota. Escolha ao adquirir a menor. Não fornece ferramentas, materiais, idiomas, treino em armas, TR ou especialização. Não libera Sentir Energia.</t>
        </is>
      </c>
      <c r="BM70" s="175" t="inlineStr">
        <is>
          <t>Mochila</t>
        </is>
      </c>
      <c r="BN70" s="175" t="inlineStr">
        <is>
          <t>Item comum</t>
        </is>
      </c>
      <c r="BO70" s="175" t="n">
        <v>0</v>
      </c>
      <c r="BP70" s="175" t="inlineStr">
        <is>
          <t>—</t>
        </is>
      </c>
      <c r="BQ70" s="175" t="n">
        <v>0</v>
      </c>
      <c r="BR70" s="175" t="n">
        <v>0.2</v>
      </c>
      <c r="BS70" s="175" t="inlineStr">
        <is>
          <t>—</t>
        </is>
      </c>
      <c r="BT70" s="175" t="inlineStr"/>
      <c r="BU70" s="175" t="inlineStr"/>
      <c r="BV70" s="175" t="inlineStr">
        <is>
          <t>Hankyū</t>
        </is>
      </c>
      <c r="CK70" s="175" t="inlineStr">
        <is>
          <t>Mochila</t>
        </is>
      </c>
    </row>
    <row r="71">
      <c r="AA71" s="175">
        <f>IF(AND(OR($B16="Arma",$B16="Escudo"),$C16&lt;&gt;"",$U16=""),$C16,"")</f>
        <v/>
      </c>
      <c r="AB71" s="175">
        <f>IF(AND(OR($B16="Arma",$B16="Escudo"),$C16&lt;&gt;"",$U16=""),IF($B16="Escudo","Escudo",$E16),"")</f>
        <v/>
      </c>
      <c r="AC71" s="175">
        <f>IF(AND(OR($B16="Arma",$B16="Escudo"),$C16&lt;&gt;"",$U16=""),IF($B16="Escudo",1,$F16),"")</f>
        <v/>
      </c>
      <c r="AD71" s="175">
        <f>IF(AND(OR($B16="Arma",$B16="Escudo"),$C16&lt;&gt;"",$U16=""),IF($B16="Escudo","—",$L16),"")</f>
        <v/>
      </c>
      <c r="AE71" s="175">
        <f>IF(AND(OR($B16="Arma",$B16="Escudo"),$C16&lt;&gt;"",$U16=""),IF($B16="Escudo","Proteção +"&amp;$L16&amp;" · teto de Destreza "&amp;$M16,TEXTJOIN(" · ",TRUE,IF($H16="—","",$H16),IF($I16="—","",$I16),IF($J16="—","",$J16),IF($K16="—","",$K16))),"")</f>
        <v/>
      </c>
      <c r="AF71" s="175">
        <f>IF(AND(OR($B16="Arma",$B16="Escudo"),$C16&lt;&gt;"",$U16=""),IF($B16="Escudo",$N16,$M16),"")</f>
        <v/>
      </c>
      <c r="AG71" s="175">
        <f>IF(AND(OR($B16="Arma",$B16="Escudo"),$C16&lt;&gt;"",$U16=""),IF($B16="Escudo",$O16,$N16),"")</f>
        <v/>
      </c>
      <c r="AH71" s="175">
        <f>IF(AND(OR($B16="Arma",$B16="Escudo"),$C16&lt;&gt;"",$U16=""),IF($B16="Escudo","",$O16),"")</f>
        <v/>
      </c>
      <c r="AI71" s="175">
        <f>IF(AND(OR($B16="Arma",$B16="Escudo"),$C16&lt;&gt;"",$U16=""),IF($B16="Escudo","",$P16),"")</f>
        <v/>
      </c>
      <c r="AJ71" s="175">
        <f>IF(AND(OR($B16="Arma",$B16="Escudo"),$C16&lt;&gt;"",$U16=""),IF($B16="Escudo",TRUE,IFERROR(VLOOKUP($E16,DADOS!$BP$5:$BT$17,4,FALSE),FALSE)),"")</f>
        <v/>
      </c>
      <c r="AK71" s="175">
        <f>IF(AND(OR($B16="Arma",$B16="Escudo"),$C16&lt;&gt;"",$U16=""),"","")</f>
        <v/>
      </c>
      <c r="AZ71" s="175" t="inlineStr">
        <is>
          <t>Assistência Técnica</t>
        </is>
      </c>
      <c r="BA71" s="175" t="inlineStr">
        <is>
          <t>Restrição Celestial · Sem Energia</t>
        </is>
      </c>
      <c r="BB71" s="175" t="inlineStr">
        <is>
          <t>menor</t>
        </is>
      </c>
      <c r="BC71" s="175" t="inlineStr"/>
      <c r="BD71" s="175" t="inlineStr">
        <is>
          <t>Passiva</t>
        </is>
      </c>
      <c r="BE71" s="175" t="inlineStr">
        <is>
          <t>Escolha uma perícia ou Ofício em que seja treinado. Quando usar Ajudar no teste correspondente de um aliado, ele recebe bônus igual à sua Maestria, além da vantagem normal da ajuda. O aliado mantém seus próprios modificadores.
Aplique o bônus uma vez no total, não por dado. Uma desvantagem que cancele a vantagem de Ajudar não cancela esse bônus. Mantenha contribuição possível, ação, prazo e limite normal de um ajudante; não supre treino obrigatório, ferramenta ou sentido ausente. Não vale para seu próprio teste, ataques ou TRs.</t>
        </is>
      </c>
      <c r="BM71" s="175" t="inlineStr">
        <is>
          <t>Cantil</t>
        </is>
      </c>
      <c r="BN71" s="175" t="inlineStr">
        <is>
          <t>Item comum</t>
        </is>
      </c>
      <c r="BO71" s="175" t="n">
        <v>0</v>
      </c>
      <c r="BP71" s="175" t="inlineStr">
        <is>
          <t>—</t>
        </is>
      </c>
      <c r="BQ71" s="175" t="n">
        <v>0</v>
      </c>
      <c r="BR71" s="175" t="n">
        <v>0.3</v>
      </c>
      <c r="BS71" s="175" t="inlineStr">
        <is>
          <t>—</t>
        </is>
      </c>
      <c r="BT71" s="175" t="inlineStr"/>
      <c r="BU71" s="175" t="inlineStr"/>
      <c r="BV71" s="175" t="inlineStr">
        <is>
          <t>Híbrido</t>
        </is>
      </c>
      <c r="CK71" s="175" t="inlineStr">
        <is>
          <t>Cantil</t>
        </is>
      </c>
    </row>
    <row r="72">
      <c r="AA72" s="175">
        <f>IF(AND(OR($B17="Arma",$B17="Escudo"),$C17&lt;&gt;"",$U17=""),$C17,"")</f>
        <v/>
      </c>
      <c r="AB72" s="175">
        <f>IF(AND(OR($B17="Arma",$B17="Escudo"),$C17&lt;&gt;"",$U17=""),IF($B17="Escudo","Escudo",$E17),"")</f>
        <v/>
      </c>
      <c r="AC72" s="175">
        <f>IF(AND(OR($B17="Arma",$B17="Escudo"),$C17&lt;&gt;"",$U17=""),IF($B17="Escudo",1,$F17),"")</f>
        <v/>
      </c>
      <c r="AD72" s="175">
        <f>IF(AND(OR($B17="Arma",$B17="Escudo"),$C17&lt;&gt;"",$U17=""),IF($B17="Escudo","—",$L17),"")</f>
        <v/>
      </c>
      <c r="AE72" s="175">
        <f>IF(AND(OR($B17="Arma",$B17="Escudo"),$C17&lt;&gt;"",$U17=""),IF($B17="Escudo","Proteção +"&amp;$L17&amp;" · teto de Destreza "&amp;$M17,TEXTJOIN(" · ",TRUE,IF($H17="—","",$H17),IF($I17="—","",$I17),IF($J17="—","",$J17),IF($K17="—","",$K17))),"")</f>
        <v/>
      </c>
      <c r="AF72" s="175">
        <f>IF(AND(OR($B17="Arma",$B17="Escudo"),$C17&lt;&gt;"",$U17=""),IF($B17="Escudo",$N17,$M17),"")</f>
        <v/>
      </c>
      <c r="AG72" s="175">
        <f>IF(AND(OR($B17="Arma",$B17="Escudo"),$C17&lt;&gt;"",$U17=""),IF($B17="Escudo",$O17,$N17),"")</f>
        <v/>
      </c>
      <c r="AH72" s="175">
        <f>IF(AND(OR($B17="Arma",$B17="Escudo"),$C17&lt;&gt;"",$U17=""),IF($B17="Escudo","",$O17),"")</f>
        <v/>
      </c>
      <c r="AI72" s="175">
        <f>IF(AND(OR($B17="Arma",$B17="Escudo"),$C17&lt;&gt;"",$U17=""),IF($B17="Escudo","",$P17),"")</f>
        <v/>
      </c>
      <c r="AJ72" s="175">
        <f>IF(AND(OR($B17="Arma",$B17="Escudo"),$C17&lt;&gt;"",$U17=""),IF($B17="Escudo",TRUE,IFERROR(VLOOKUP($E17,DADOS!$BP$5:$BT$17,4,FALSE),FALSE)),"")</f>
        <v/>
      </c>
      <c r="AK72" s="175">
        <f>IF(AND(OR($B17="Arma",$B17="Escudo"),$C17&lt;&gt;"",$U17=""),"","")</f>
        <v/>
      </c>
      <c r="AZ72" s="175" t="inlineStr">
        <is>
          <t>Ferramentas Improvisadas</t>
        </is>
      </c>
      <c r="BA72" s="175" t="inlineStr">
        <is>
          <t>Restrição Celestial · Sem Energia</t>
        </is>
      </c>
      <c r="BB72" s="175" t="inlineStr">
        <is>
          <t>menor</t>
        </is>
      </c>
      <c r="BC72" s="175" t="inlineStr"/>
      <c r="BD72" s="175" t="inlineStr">
        <is>
          <t>Passiva</t>
        </is>
      </c>
      <c r="BE72" s="175" t="inlineStr">
        <is>
          <t>Escolha um Ofício treinado. Nas tarefas que exigem apenas ferramentas manuais portáteis desse Ofício, pode substituir o conjunto por objetos que tenha em mãos e consiga usar fisicamente nas funções necessárias. Trate-os como ferramentas adequadas, sem penalidade apenas por serem improvisados.
Não substitui ingredientes, consumíveis, instalações, fonte de calor, diagnóstico eletrônico, proteção necessária ou processos especiais. Também não fornece poderes de ferramenta amaldiçoada ou um Selo. Os objetos precisam existir e cumprir a função.</t>
        </is>
      </c>
      <c r="BM72" s="175" t="inlineStr">
        <is>
          <t>Ração de viagem</t>
        </is>
      </c>
      <c r="BN72" s="175" t="inlineStr">
        <is>
          <t>Item comum</t>
        </is>
      </c>
      <c r="BO72" s="175" t="n">
        <v>0</v>
      </c>
      <c r="BP72" s="175" t="inlineStr">
        <is>
          <t>—</t>
        </is>
      </c>
      <c r="BQ72" s="175" t="n">
        <v>0</v>
      </c>
      <c r="BR72" s="175" t="n">
        <v>0.1</v>
      </c>
      <c r="BS72" s="175" t="inlineStr">
        <is>
          <t>—</t>
        </is>
      </c>
      <c r="BT72" s="175" t="inlineStr"/>
      <c r="BU72" s="175" t="inlineStr"/>
      <c r="BV72" s="175" t="inlineStr">
        <is>
          <t>Híbrido · Sem Técnica</t>
        </is>
      </c>
      <c r="CK72" s="175" t="inlineStr">
        <is>
          <t>Ração de viagem</t>
        </is>
      </c>
    </row>
    <row r="73">
      <c r="AA73" s="175">
        <f>IF(AND(OR($B18="Arma",$B18="Escudo"),$C18&lt;&gt;"",$U18=""),$C18,"")</f>
        <v/>
      </c>
      <c r="AB73" s="175">
        <f>IF(AND(OR($B18="Arma",$B18="Escudo"),$C18&lt;&gt;"",$U18=""),IF($B18="Escudo","Escudo",$E18),"")</f>
        <v/>
      </c>
      <c r="AC73" s="175">
        <f>IF(AND(OR($B18="Arma",$B18="Escudo"),$C18&lt;&gt;"",$U18=""),IF($B18="Escudo",1,$F18),"")</f>
        <v/>
      </c>
      <c r="AD73" s="175">
        <f>IF(AND(OR($B18="Arma",$B18="Escudo"),$C18&lt;&gt;"",$U18=""),IF($B18="Escudo","—",$L18),"")</f>
        <v/>
      </c>
      <c r="AE73" s="175">
        <f>IF(AND(OR($B18="Arma",$B18="Escudo"),$C18&lt;&gt;"",$U18=""),IF($B18="Escudo","Proteção +"&amp;$L18&amp;" · teto de Destreza "&amp;$M18,TEXTJOIN(" · ",TRUE,IF($H18="—","",$H18),IF($I18="—","",$I18),IF($J18="—","",$J18),IF($K18="—","",$K18))),"")</f>
        <v/>
      </c>
      <c r="AF73" s="175">
        <f>IF(AND(OR($B18="Arma",$B18="Escudo"),$C18&lt;&gt;"",$U18=""),IF($B18="Escudo",$N18,$M18),"")</f>
        <v/>
      </c>
      <c r="AG73" s="175">
        <f>IF(AND(OR($B18="Arma",$B18="Escudo"),$C18&lt;&gt;"",$U18=""),IF($B18="Escudo",$O18,$N18),"")</f>
        <v/>
      </c>
      <c r="AH73" s="175">
        <f>IF(AND(OR($B18="Arma",$B18="Escudo"),$C18&lt;&gt;"",$U18=""),IF($B18="Escudo","",$O18),"")</f>
        <v/>
      </c>
      <c r="AI73" s="175">
        <f>IF(AND(OR($B18="Arma",$B18="Escudo"),$C18&lt;&gt;"",$U18=""),IF($B18="Escudo","",$P18),"")</f>
        <v/>
      </c>
      <c r="AJ73" s="175">
        <f>IF(AND(OR($B18="Arma",$B18="Escudo"),$C18&lt;&gt;"",$U18=""),IF($B18="Escudo",TRUE,IFERROR(VLOOKUP($E18,DADOS!$BP$5:$BT$17,4,FALSE),FALSE)),"")</f>
        <v/>
      </c>
      <c r="AK73" s="175">
        <f>IF(AND(OR($B18="Arma",$B18="Escudo"),$C18&lt;&gt;"",$U18=""),"","")</f>
        <v/>
      </c>
      <c r="AZ73" s="175" t="inlineStr">
        <is>
          <t>Fôlego Recuperado</t>
        </is>
      </c>
      <c r="BA73" s="175" t="inlineStr">
        <is>
          <t>Restrição Celestial · Sem Energia</t>
        </is>
      </c>
      <c r="BB73" s="175" t="inlineStr">
        <is>
          <t>menor</t>
        </is>
      </c>
      <c r="BC73" s="175" t="inlineStr"/>
      <c r="BD73" s="175" t="inlineStr">
        <is>
          <t>No descanso curto</t>
        </is>
      </c>
      <c r="BE73" s="175" t="inlineStr">
        <is>
          <t>Ao concluir um descanso curto que permita recuperar PE, recupere PE adicionais iguais à sua maior Classe disponível, sem ultrapassar o máximo. Calcule a recuperação normal primeiro e acrescente o bônus.
Recuperação expressamente proibida continua zero. A menor não cura vida, recupera Integridade ou retira Exaustão. Uma pausa contínua é um descanso, não várias recuperações. Use a Classe disponível pela progressão, não a maior Kata conhecida ou a última utilizada.</t>
        </is>
      </c>
      <c r="BM73" s="175" t="inlineStr">
        <is>
          <t>Telefone</t>
        </is>
      </c>
      <c r="BN73" s="175" t="inlineStr">
        <is>
          <t>Item comum</t>
        </is>
      </c>
      <c r="BO73" s="175" t="n">
        <v>0</v>
      </c>
      <c r="BP73" s="175" t="inlineStr">
        <is>
          <t>—</t>
        </is>
      </c>
      <c r="BQ73" s="175" t="n">
        <v>0</v>
      </c>
      <c r="BR73" s="175" t="n">
        <v>0.1</v>
      </c>
      <c r="BS73" s="175" t="inlineStr">
        <is>
          <t>—</t>
        </is>
      </c>
      <c r="BT73" s="175" t="inlineStr"/>
      <c r="BU73" s="175" t="inlineStr"/>
      <c r="BV73" s="175" t="inlineStr">
        <is>
          <t>Inumaki</t>
        </is>
      </c>
      <c r="CK73" s="175" t="inlineStr">
        <is>
          <t>Telefone</t>
        </is>
      </c>
    </row>
    <row r="74">
      <c r="AA74" s="175">
        <f>IF(AND(OR($B19="Arma",$B19="Escudo"),$C19&lt;&gt;"",$U19=""),$C19,"")</f>
        <v/>
      </c>
      <c r="AB74" s="175">
        <f>IF(AND(OR($B19="Arma",$B19="Escudo"),$C19&lt;&gt;"",$U19=""),IF($B19="Escudo","Escudo",$E19),"")</f>
        <v/>
      </c>
      <c r="AC74" s="175">
        <f>IF(AND(OR($B19="Arma",$B19="Escudo"),$C19&lt;&gt;"",$U19=""),IF($B19="Escudo",1,$F19),"")</f>
        <v/>
      </c>
      <c r="AD74" s="175">
        <f>IF(AND(OR($B19="Arma",$B19="Escudo"),$C19&lt;&gt;"",$U19=""),IF($B19="Escudo","—",$L19),"")</f>
        <v/>
      </c>
      <c r="AE74" s="175">
        <f>IF(AND(OR($B19="Arma",$B19="Escudo"),$C19&lt;&gt;"",$U19=""),IF($B19="Escudo","Proteção +"&amp;$L19&amp;" · teto de Destreza "&amp;$M19,TEXTJOIN(" · ",TRUE,IF($H19="—","",$H19),IF($I19="—","",$I19),IF($J19="—","",$J19),IF($K19="—","",$K19))),"")</f>
        <v/>
      </c>
      <c r="AF74" s="175">
        <f>IF(AND(OR($B19="Arma",$B19="Escudo"),$C19&lt;&gt;"",$U19=""),IF($B19="Escudo",$N19,$M19),"")</f>
        <v/>
      </c>
      <c r="AG74" s="175">
        <f>IF(AND(OR($B19="Arma",$B19="Escudo"),$C19&lt;&gt;"",$U19=""),IF($B19="Escudo",$O19,$N19),"")</f>
        <v/>
      </c>
      <c r="AH74" s="175">
        <f>IF(AND(OR($B19="Arma",$B19="Escudo"),$C19&lt;&gt;"",$U19=""),IF($B19="Escudo","",$O19),"")</f>
        <v/>
      </c>
      <c r="AI74" s="175">
        <f>IF(AND(OR($B19="Arma",$B19="Escudo"),$C19&lt;&gt;"",$U19=""),IF($B19="Escudo","",$P19),"")</f>
        <v/>
      </c>
      <c r="AJ74" s="175">
        <f>IF(AND(OR($B19="Arma",$B19="Escudo"),$C19&lt;&gt;"",$U19=""),IF($B19="Escudo",TRUE,IFERROR(VLOOKUP($E19,DADOS!$BP$5:$BT$17,4,FALSE),FALSE)),"")</f>
        <v/>
      </c>
      <c r="AK74" s="175">
        <f>IF(AND(OR($B19="Arma",$B19="Escudo"),$C19&lt;&gt;"",$U19=""),"","")</f>
        <v/>
      </c>
      <c r="AZ74" s="175" t="inlineStr">
        <is>
          <t>Contribuição Decisiva</t>
        </is>
      </c>
      <c r="BA74" s="175" t="inlineStr">
        <is>
          <t>Restrição Celestial · Sem Energia</t>
        </is>
      </c>
      <c r="BB74" s="175" t="inlineStr">
        <is>
          <t>menor</t>
        </is>
      </c>
      <c r="BC74" s="175" t="inlineStr"/>
      <c r="BD74" s="175" t="inlineStr">
        <is>
          <t>Uma vez por cena</t>
        </is>
      </c>
      <c r="BE74" s="175" t="inlineStr">
        <is>
          <t>Uma vez por cena, depois das rolagens e antes da consequência de um teste de grupo de uma perícia em que seja treinado, se você passou, pode fazer seu sucesso contar como dois para o resultado coletivo. Não exige ação ou PE além da participação na tarefa.
Cada teste coletivo recebe no máximo uma aplicação, mesmo com vários portadores. Quem não a aplicou conserva seu uso. O grupo mantém o número de participantes e o limiar normal; a contagem ganha uma contribuição de sucesso. Isso não torna outro personagem bem-sucedido para consequências individuais ou transforma uma tarefa individual em teste de grupo.
Exemplo: cinco personagens precisam de três sucessos. Você e um aliado passam, totalizando dois. Sua contribuição passa a valer dois; com a do aliado, o grupo chega a três. Ninguém refaz a rolagem.</t>
        </is>
      </c>
      <c r="BM74" s="175" t="inlineStr">
        <is>
          <t>Bateria portátil</t>
        </is>
      </c>
      <c r="BN74" s="175" t="inlineStr">
        <is>
          <t>Item comum</t>
        </is>
      </c>
      <c r="BO74" s="175" t="n">
        <v>0</v>
      </c>
      <c r="BP74" s="175" t="inlineStr">
        <is>
          <t>—</t>
        </is>
      </c>
      <c r="BQ74" s="175" t="n">
        <v>0</v>
      </c>
      <c r="BR74" s="175" t="n">
        <v>0.1</v>
      </c>
      <c r="BS74" s="175" t="inlineStr">
        <is>
          <t>—</t>
        </is>
      </c>
      <c r="BT74" s="175" t="inlineStr"/>
      <c r="BU74" s="175" t="inlineStr"/>
      <c r="BV74" s="175" t="inlineStr">
        <is>
          <t>Kama</t>
        </is>
      </c>
      <c r="CK74" s="175" t="inlineStr">
        <is>
          <t>Bateria portátil</t>
        </is>
      </c>
    </row>
    <row r="75">
      <c r="AA75" s="175">
        <f>IF(AND(OR($B20="Arma",$B20="Escudo"),$C20&lt;&gt;"",$U20=""),$C20,"")</f>
        <v/>
      </c>
      <c r="AB75" s="175">
        <f>IF(AND(OR($B20="Arma",$B20="Escudo"),$C20&lt;&gt;"",$U20=""),IF($B20="Escudo","Escudo",$E20),"")</f>
        <v/>
      </c>
      <c r="AC75" s="175">
        <f>IF(AND(OR($B20="Arma",$B20="Escudo"),$C20&lt;&gt;"",$U20=""),IF($B20="Escudo",1,$F20),"")</f>
        <v/>
      </c>
      <c r="AD75" s="175">
        <f>IF(AND(OR($B20="Arma",$B20="Escudo"),$C20&lt;&gt;"",$U20=""),IF($B20="Escudo","—",$L20),"")</f>
        <v/>
      </c>
      <c r="AE75" s="175">
        <f>IF(AND(OR($B20="Arma",$B20="Escudo"),$C20&lt;&gt;"",$U20=""),IF($B20="Escudo","Proteção +"&amp;$L20&amp;" · teto de Destreza "&amp;$M20,TEXTJOIN(" · ",TRUE,IF($H20="—","",$H20),IF($I20="—","",$I20),IF($J20="—","",$J20),IF($K20="—","",$K20))),"")</f>
        <v/>
      </c>
      <c r="AF75" s="175">
        <f>IF(AND(OR($B20="Arma",$B20="Escudo"),$C20&lt;&gt;"",$U20=""),IF($B20="Escudo",$N20,$M20),"")</f>
        <v/>
      </c>
      <c r="AG75" s="175">
        <f>IF(AND(OR($B20="Arma",$B20="Escudo"),$C20&lt;&gt;"",$U20=""),IF($B20="Escudo",$O20,$N20),"")</f>
        <v/>
      </c>
      <c r="AH75" s="175">
        <f>IF(AND(OR($B20="Arma",$B20="Escudo"),$C20&lt;&gt;"",$U20=""),IF($B20="Escudo","",$O20),"")</f>
        <v/>
      </c>
      <c r="AI75" s="175">
        <f>IF(AND(OR($B20="Arma",$B20="Escudo"),$C20&lt;&gt;"",$U20=""),IF($B20="Escudo","",$P20),"")</f>
        <v/>
      </c>
      <c r="AJ75" s="175">
        <f>IF(AND(OR($B20="Arma",$B20="Escudo"),$C20&lt;&gt;"",$U20=""),IF($B20="Escudo",TRUE,IFERROR(VLOOKUP($E20,DADOS!$BP$5:$BT$17,4,FALSE),FALSE)),"")</f>
        <v/>
      </c>
      <c r="AK75" s="175">
        <f>IF(AND(OR($B20="Arma",$B20="Escudo"),$C20&lt;&gt;"",$U20=""),"","")</f>
        <v/>
      </c>
      <c r="AZ75" s="175" t="inlineStr">
        <is>
          <t>Reserva Condensada</t>
        </is>
      </c>
      <c r="BA75" s="175" t="inlineStr">
        <is>
          <t>Restrição Celestial · Restrição corporal</t>
        </is>
      </c>
      <c r="BB75" s="175" t="inlineStr">
        <is>
          <t>menor</t>
        </is>
      </c>
      <c r="BC75" s="175" t="inlineStr"/>
      <c r="BD75" s="175" t="inlineStr">
        <is>
          <t>Passiva</t>
        </is>
      </c>
      <c r="BE75" s="175" t="inlineStr">
        <is>
          <t>Você aprendeu a preservar uma parcela de sua energia, reunindo aos poucos uma reserva para necessidades futuras. Ela permanece guardada até você decidir recorrer ao que acumulou.
Jogador e mestre definem quanto pode ser guardado em cada ocasião, quando e em quais condições o armazenamento pode ocorrer e o máximo acumulável. Registre esses limites e condições na ficha.</t>
        </is>
      </c>
      <c r="BM75" s="175" t="inlineStr">
        <is>
          <t>Ferramentas de ofício</t>
        </is>
      </c>
      <c r="BN75" s="175" t="inlineStr">
        <is>
          <t>Item comum</t>
        </is>
      </c>
      <c r="BO75" s="175" t="n">
        <v>0</v>
      </c>
      <c r="BP75" s="175" t="inlineStr">
        <is>
          <t>—</t>
        </is>
      </c>
      <c r="BQ75" s="175" t="n">
        <v>0</v>
      </c>
      <c r="BR75" s="175" t="n">
        <v>0.5</v>
      </c>
      <c r="BS75" s="175" t="inlineStr">
        <is>
          <t>—</t>
        </is>
      </c>
      <c r="BT75" s="175" t="inlineStr"/>
      <c r="BU75" s="175" t="inlineStr"/>
      <c r="BV75" s="175" t="inlineStr">
        <is>
          <t>Kamo</t>
        </is>
      </c>
      <c r="CK75" s="175" t="inlineStr">
        <is>
          <t>Ferramentas de ofício</t>
        </is>
      </c>
    </row>
    <row r="76">
      <c r="AA76" s="175">
        <f>IF(AND(OR($B21="Arma",$B21="Escudo"),$C21&lt;&gt;"",$U21=""),$C21,"")</f>
        <v/>
      </c>
      <c r="AB76" s="175">
        <f>IF(AND(OR($B21="Arma",$B21="Escudo"),$C21&lt;&gt;"",$U21=""),IF($B21="Escudo","Escudo",$E21),"")</f>
        <v/>
      </c>
      <c r="AC76" s="175">
        <f>IF(AND(OR($B21="Arma",$B21="Escudo"),$C21&lt;&gt;"",$U21=""),IF($B21="Escudo",1,$F21),"")</f>
        <v/>
      </c>
      <c r="AD76" s="175">
        <f>IF(AND(OR($B21="Arma",$B21="Escudo"),$C21&lt;&gt;"",$U21=""),IF($B21="Escudo","—",$L21),"")</f>
        <v/>
      </c>
      <c r="AE76" s="175">
        <f>IF(AND(OR($B21="Arma",$B21="Escudo"),$C21&lt;&gt;"",$U21=""),IF($B21="Escudo","Proteção +"&amp;$L21&amp;" · teto de Destreza "&amp;$M21,TEXTJOIN(" · ",TRUE,IF($H21="—","",$H21),IF($I21="—","",$I21),IF($J21="—","",$J21),IF($K21="—","",$K21))),"")</f>
        <v/>
      </c>
      <c r="AF76" s="175">
        <f>IF(AND(OR($B21="Arma",$B21="Escudo"),$C21&lt;&gt;"",$U21=""),IF($B21="Escudo",$N21,$M21),"")</f>
        <v/>
      </c>
      <c r="AG76" s="175">
        <f>IF(AND(OR($B21="Arma",$B21="Escudo"),$C21&lt;&gt;"",$U21=""),IF($B21="Escudo",$O21,$N21),"")</f>
        <v/>
      </c>
      <c r="AH76" s="175">
        <f>IF(AND(OR($B21="Arma",$B21="Escudo"),$C21&lt;&gt;"",$U21=""),IF($B21="Escudo","",$O21),"")</f>
        <v/>
      </c>
      <c r="AI76" s="175">
        <f>IF(AND(OR($B21="Arma",$B21="Escudo"),$C21&lt;&gt;"",$U21=""),IF($B21="Escudo","",$P21),"")</f>
        <v/>
      </c>
      <c r="AJ76" s="175">
        <f>IF(AND(OR($B21="Arma",$B21="Escudo"),$C21&lt;&gt;"",$U21=""),IF($B21="Escudo",TRUE,IFERROR(VLOOKUP($E21,DADOS!$BP$5:$BT$17,4,FALSE),FALSE)),"")</f>
        <v/>
      </c>
      <c r="AK76" s="175">
        <f>IF(AND(OR($B21="Arma",$B21="Escudo"),$C21&lt;&gt;"",$U21=""),"","")</f>
        <v/>
      </c>
      <c r="AZ76" s="175" t="inlineStr">
        <is>
          <t>Reserva Excedente</t>
        </is>
      </c>
      <c r="BA76" s="175" t="inlineStr">
        <is>
          <t>Restrição Celestial · Restrição corporal</t>
        </is>
      </c>
      <c r="BB76" s="175" t="inlineStr">
        <is>
          <t>menor</t>
        </is>
      </c>
      <c r="BC76" s="175" t="inlineStr"/>
      <c r="BD76" s="175" t="inlineStr">
        <is>
          <t>Passiva</t>
        </is>
      </c>
      <c r="BE76" s="175" t="inlineStr">
        <is>
          <t>Seus PE máximos aumentam em 2 × Essência. Atualize o acréscimo quando o atributo mudar. A recuperação desses pontos segue normalmente.</t>
        </is>
      </c>
      <c r="BM76" s="175">
        <f>IF(AND(OR($B2="Arma",$B2="Escudo",$B2="Uniforme",$B2="Item comum"),$C2&lt;&gt;"",$U2=""),$C2,"")</f>
        <v/>
      </c>
      <c r="BN76" s="175">
        <f>IF(AND(OR($B2="Arma",$B2="Escudo",$B2="Uniforme",$B2="Item comum"),$C2&lt;&gt;"",$U2=""),$B2,"")</f>
        <v/>
      </c>
      <c r="BO76" s="175">
        <f>IF(AND(OR($B2="Arma",$B2="Escudo",$B2="Uniforme",$B2="Item comum"),$C2&lt;&gt;"",$U2=""),IF(OR($B2="Escudo",$B2="Uniforme"),$L2,0),"")</f>
        <v/>
      </c>
      <c r="BP76" s="175">
        <f>IF(AND(OR($B2="Arma",$B2="Escudo",$B2="Uniforme",$B2="Item comum"),$C2&lt;&gt;"",$U2=""),IF(OR($B2="Escudo",$B2="Uniforme"),$M2,"—"),"")</f>
        <v/>
      </c>
      <c r="BQ76" s="175">
        <f>IF(AND(OR($B2="Arma",$B2="Escudo",$B2="Uniforme",$B2="Item comum"),$C2&lt;&gt;"",$U2=""),IF($B2="Arma",$M2,IF($B2="Item comum",0,$N2)),"")</f>
        <v/>
      </c>
      <c r="BR76" s="175">
        <f>IF(AND(OR($B2="Arma",$B2="Escudo",$B2="Uniforme",$B2="Item comum"),$C2&lt;&gt;"",$U2=""),IF($B2="Arma",$N2,IF($B2="Item comum",$L2,$O2)),"")</f>
        <v/>
      </c>
      <c r="BS76" s="175">
        <f>IF(AND(OR($B2="Arma",$B2="Escudo",$B2="Uniforme",$B2="Item comum"),$C2&lt;&gt;"",$U2=""),IF($B2="Uniforme",$E2,"—"),"")</f>
        <v/>
      </c>
      <c r="BT76" s="175">
        <f>IF(AND(OR($B2="Arma",$B2="Escudo",$B2="Uniforme",$B2="Item comum"),$C2&lt;&gt;"",$U2=""),"","")</f>
        <v/>
      </c>
      <c r="BU76" s="175">
        <f>IF(AND(OR($B2="Arma",$B2="Escudo",$B2="Uniforme",$B2="Item comum"),$C2&lt;&gt;"",$U2=""),"","")</f>
        <v/>
      </c>
      <c r="BV76" s="175" t="inlineStr">
        <is>
          <t>Kanabō</t>
        </is>
      </c>
      <c r="CK76" s="175">
        <f>IF(OR('CONFIGURAÇÃO'!$T$14="Arma",'CONFIGURAÇÃO'!$T$14="Escudo",'CONFIGURAÇÃO'!$T$14="Uniforme",'CONFIGURAÇÃO'!$T$14="Item comum"),'CONFIGURAÇÃO'!$T$16,"")</f>
        <v/>
      </c>
    </row>
    <row r="77">
      <c r="AA77" s="175">
        <f>IF(AND(OR($B22="Arma",$B22="Escudo"),$C22&lt;&gt;"",$U22=""),$C22,"")</f>
        <v/>
      </c>
      <c r="AB77" s="175">
        <f>IF(AND(OR($B22="Arma",$B22="Escudo"),$C22&lt;&gt;"",$U22=""),IF($B22="Escudo","Escudo",$E22),"")</f>
        <v/>
      </c>
      <c r="AC77" s="175">
        <f>IF(AND(OR($B22="Arma",$B22="Escudo"),$C22&lt;&gt;"",$U22=""),IF($B22="Escudo",1,$F22),"")</f>
        <v/>
      </c>
      <c r="AD77" s="175">
        <f>IF(AND(OR($B22="Arma",$B22="Escudo"),$C22&lt;&gt;"",$U22=""),IF($B22="Escudo","—",$L22),"")</f>
        <v/>
      </c>
      <c r="AE77" s="175">
        <f>IF(AND(OR($B22="Arma",$B22="Escudo"),$C22&lt;&gt;"",$U22=""),IF($B22="Escudo","Proteção +"&amp;$L22&amp;" · teto de Destreza "&amp;$M22,TEXTJOIN(" · ",TRUE,IF($H22="—","",$H22),IF($I22="—","",$I22),IF($J22="—","",$J22),IF($K22="—","",$K22))),"")</f>
        <v/>
      </c>
      <c r="AF77" s="175">
        <f>IF(AND(OR($B22="Arma",$B22="Escudo"),$C22&lt;&gt;"",$U22=""),IF($B22="Escudo",$N22,$M22),"")</f>
        <v/>
      </c>
      <c r="AG77" s="175">
        <f>IF(AND(OR($B22="Arma",$B22="Escudo"),$C22&lt;&gt;"",$U22=""),IF($B22="Escudo",$O22,$N22),"")</f>
        <v/>
      </c>
      <c r="AH77" s="175">
        <f>IF(AND(OR($B22="Arma",$B22="Escudo"),$C22&lt;&gt;"",$U22=""),IF($B22="Escudo","",$O22),"")</f>
        <v/>
      </c>
      <c r="AI77" s="175">
        <f>IF(AND(OR($B22="Arma",$B22="Escudo"),$C22&lt;&gt;"",$U22=""),IF($B22="Escudo","",$P22),"")</f>
        <v/>
      </c>
      <c r="AJ77" s="175">
        <f>IF(AND(OR($B22="Arma",$B22="Escudo"),$C22&lt;&gt;"",$U22=""),IF($B22="Escudo",TRUE,IFERROR(VLOOKUP($E22,DADOS!$BP$5:$BT$17,4,FALSE),FALSE)),"")</f>
        <v/>
      </c>
      <c r="AK77" s="175">
        <f>IF(AND(OR($B22="Arma",$B22="Escudo"),$C22&lt;&gt;"",$U22=""),"","")</f>
        <v/>
      </c>
      <c r="AZ77" s="175" t="inlineStr">
        <is>
          <t>Recuperação Abundante</t>
        </is>
      </c>
      <c r="BA77" s="175" t="inlineStr">
        <is>
          <t>Restrição Celestial · Restrição corporal</t>
        </is>
      </c>
      <c r="BB77" s="175" t="inlineStr">
        <is>
          <t>menor</t>
        </is>
      </c>
      <c r="BC77" s="175" t="inlineStr"/>
      <c r="BD77" s="175" t="inlineStr">
        <is>
          <t>No descanso curto</t>
        </is>
      </c>
      <c r="BE77" s="175" t="inlineStr">
        <is>
          <t>Num descanso curto em ambiente propício para sua Restrição, recupere 40% dos PE máximos, arredondados para baixo, mínimo 1, sem ultrapassar o máximo.
Os cuidados continuam obrigatórios: estrutura protegida e assistência no Debilitado; apoio e atendimento no Quebradiço; os cuidados registrados no Exaurido. Reduções ou impedimentos específicos à recuperação de PE continuam valendo. Fora de ambiente propício, use a recuperação normal. A redução de cura do Exaurido afeta vida, não esses PE.</t>
        </is>
      </c>
      <c r="BM77" s="175">
        <f>IF(AND(OR($B3="Arma",$B3="Escudo",$B3="Uniforme",$B3="Item comum"),$C3&lt;&gt;"",$U3=""),$C3,"")</f>
        <v/>
      </c>
      <c r="BN77" s="175">
        <f>IF(AND(OR($B3="Arma",$B3="Escudo",$B3="Uniforme",$B3="Item comum"),$C3&lt;&gt;"",$U3=""),$B3,"")</f>
        <v/>
      </c>
      <c r="BO77" s="175">
        <f>IF(AND(OR($B3="Arma",$B3="Escudo",$B3="Uniforme",$B3="Item comum"),$C3&lt;&gt;"",$U3=""),IF(OR($B3="Escudo",$B3="Uniforme"),$L3,0),"")</f>
        <v/>
      </c>
      <c r="BP77" s="175">
        <f>IF(AND(OR($B3="Arma",$B3="Escudo",$B3="Uniforme",$B3="Item comum"),$C3&lt;&gt;"",$U3=""),IF(OR($B3="Escudo",$B3="Uniforme"),$M3,"—"),"")</f>
        <v/>
      </c>
      <c r="BQ77" s="175">
        <f>IF(AND(OR($B3="Arma",$B3="Escudo",$B3="Uniforme",$B3="Item comum"),$C3&lt;&gt;"",$U3=""),IF($B3="Arma",$M3,IF($B3="Item comum",0,$N3)),"")</f>
        <v/>
      </c>
      <c r="BR77" s="175">
        <f>IF(AND(OR($B3="Arma",$B3="Escudo",$B3="Uniforme",$B3="Item comum"),$C3&lt;&gt;"",$U3=""),IF($B3="Arma",$N3,IF($B3="Item comum",$L3,$O3)),"")</f>
        <v/>
      </c>
      <c r="BS77" s="175">
        <f>IF(AND(OR($B3="Arma",$B3="Escudo",$B3="Uniforme",$B3="Item comum"),$C3&lt;&gt;"",$U3=""),IF($B3="Uniforme",$E3,"—"),"")</f>
        <v/>
      </c>
      <c r="BT77" s="175">
        <f>IF(AND(OR($B3="Arma",$B3="Escudo",$B3="Uniforme",$B3="Item comum"),$C3&lt;&gt;"",$U3=""),"","")</f>
        <v/>
      </c>
      <c r="BU77" s="175">
        <f>IF(AND(OR($B3="Arma",$B3="Escudo",$B3="Uniforme",$B3="Item comum"),$C3&lt;&gt;"",$U3=""),"","")</f>
        <v/>
      </c>
      <c r="BV77" s="175" t="inlineStr">
        <is>
          <t>Katana</t>
        </is>
      </c>
      <c r="CK77" s="175">
        <f>IF(OR('CONFIGURAÇÃO'!$AB$14="Arma",'CONFIGURAÇÃO'!$AB$14="Escudo",'CONFIGURAÇÃO'!$AB$14="Uniforme",'CONFIGURAÇÃO'!$AB$14="Item comum"),'CONFIGURAÇÃO'!$AB$16,"")</f>
        <v/>
      </c>
    </row>
    <row r="78">
      <c r="AA78" s="175">
        <f>IF(AND(OR($B23="Arma",$B23="Escudo"),$C23&lt;&gt;"",$U23=""),$C23,"")</f>
        <v/>
      </c>
      <c r="AB78" s="175">
        <f>IF(AND(OR($B23="Arma",$B23="Escudo"),$C23&lt;&gt;"",$U23=""),IF($B23="Escudo","Escudo",$E23),"")</f>
        <v/>
      </c>
      <c r="AC78" s="175">
        <f>IF(AND(OR($B23="Arma",$B23="Escudo"),$C23&lt;&gt;"",$U23=""),IF($B23="Escudo",1,$F23),"")</f>
        <v/>
      </c>
      <c r="AD78" s="175">
        <f>IF(AND(OR($B23="Arma",$B23="Escudo"),$C23&lt;&gt;"",$U23=""),IF($B23="Escudo","—",$L23),"")</f>
        <v/>
      </c>
      <c r="AE78" s="175">
        <f>IF(AND(OR($B23="Arma",$B23="Escudo"),$C23&lt;&gt;"",$U23=""),IF($B23="Escudo","Proteção +"&amp;$L23&amp;" · teto de Destreza "&amp;$M23,TEXTJOIN(" · ",TRUE,IF($H23="—","",$H23),IF($I23="—","",$I23),IF($J23="—","",$J23),IF($K23="—","",$K23))),"")</f>
        <v/>
      </c>
      <c r="AF78" s="175">
        <f>IF(AND(OR($B23="Arma",$B23="Escudo"),$C23&lt;&gt;"",$U23=""),IF($B23="Escudo",$N23,$M23),"")</f>
        <v/>
      </c>
      <c r="AG78" s="175">
        <f>IF(AND(OR($B23="Arma",$B23="Escudo"),$C23&lt;&gt;"",$U23=""),IF($B23="Escudo",$O23,$N23),"")</f>
        <v/>
      </c>
      <c r="AH78" s="175">
        <f>IF(AND(OR($B23="Arma",$B23="Escudo"),$C23&lt;&gt;"",$U23=""),IF($B23="Escudo","",$O23),"")</f>
        <v/>
      </c>
      <c r="AI78" s="175">
        <f>IF(AND(OR($B23="Arma",$B23="Escudo"),$C23&lt;&gt;"",$U23=""),IF($B23="Escudo","",$P23),"")</f>
        <v/>
      </c>
      <c r="AJ78" s="175">
        <f>IF(AND(OR($B23="Arma",$B23="Escudo"),$C23&lt;&gt;"",$U23=""),IF($B23="Escudo",TRUE,IFERROR(VLOOKUP($E23,DADOS!$BP$5:$BT$17,4,FALSE),FALSE)),"")</f>
        <v/>
      </c>
      <c r="AK78" s="175">
        <f>IF(AND(OR($B23="Arma",$B23="Escudo"),$C23&lt;&gt;"",$U23=""),"","")</f>
        <v/>
      </c>
      <c r="AZ78" s="175" t="inlineStr">
        <is>
          <t>Sobrecarga Deliberada</t>
        </is>
      </c>
      <c r="BA78" s="175" t="inlineStr">
        <is>
          <t>Restrição Celestial · Restrição corporal</t>
        </is>
      </c>
      <c r="BB78" s="175" t="inlineStr">
        <is>
          <t>menor</t>
        </is>
      </c>
      <c r="BC78" s="175" t="inlineStr"/>
      <c r="BD78" s="175" t="inlineStr">
        <is>
          <t>Uma vez por cena</t>
        </is>
      </c>
      <c r="BE78" s="175" t="inlineStr">
        <is>
          <t>Uma vez por cena, antes das rolagens de um feitiço comum de Classe 1 ou maior, pague PE adicionais iguais à metade do custo-base, arredondada para cima, e escolha vantagem em uma rolagem de ataque ou desvantagem para um alvo em um TR da aplicação inicial.
Escolha antes do dado. O custo-base é o da Classe utilizada, antes de descontos e acréscimos: base 9 PE cobra 5 PE adicionais, além do custo normal do feitiço. Só aquela rolagem recebe o benefício; não alcança outros ataques, alvos ou TRs posteriores para sair de uma condição. Não vale para Manejos ou Máximas.</t>
        </is>
      </c>
      <c r="BM78" s="175">
        <f>IF(AND(OR($B4="Arma",$B4="Escudo",$B4="Uniforme",$B4="Item comum"),$C4&lt;&gt;"",$U4=""),$C4,"")</f>
        <v/>
      </c>
      <c r="BN78" s="175">
        <f>IF(AND(OR($B4="Arma",$B4="Escudo",$B4="Uniforme",$B4="Item comum"),$C4&lt;&gt;"",$U4=""),$B4,"")</f>
        <v/>
      </c>
      <c r="BO78" s="175">
        <f>IF(AND(OR($B4="Arma",$B4="Escudo",$B4="Uniforme",$B4="Item comum"),$C4&lt;&gt;"",$U4=""),IF(OR($B4="Escudo",$B4="Uniforme"),$L4,0),"")</f>
        <v/>
      </c>
      <c r="BP78" s="175">
        <f>IF(AND(OR($B4="Arma",$B4="Escudo",$B4="Uniforme",$B4="Item comum"),$C4&lt;&gt;"",$U4=""),IF(OR($B4="Escudo",$B4="Uniforme"),$M4,"—"),"")</f>
        <v/>
      </c>
      <c r="BQ78" s="175">
        <f>IF(AND(OR($B4="Arma",$B4="Escudo",$B4="Uniforme",$B4="Item comum"),$C4&lt;&gt;"",$U4=""),IF($B4="Arma",$M4,IF($B4="Item comum",0,$N4)),"")</f>
        <v/>
      </c>
      <c r="BR78" s="175">
        <f>IF(AND(OR($B4="Arma",$B4="Escudo",$B4="Uniforme",$B4="Item comum"),$C4&lt;&gt;"",$U4=""),IF($B4="Arma",$N4,IF($B4="Item comum",$L4,$O4)),"")</f>
        <v/>
      </c>
      <c r="BS78" s="175">
        <f>IF(AND(OR($B4="Arma",$B4="Escudo",$B4="Uniforme",$B4="Item comum"),$C4&lt;&gt;"",$U4=""),IF($B4="Uniforme",$E4,"—"),"")</f>
        <v/>
      </c>
      <c r="BT78" s="175">
        <f>IF(AND(OR($B4="Arma",$B4="Escudo",$B4="Uniforme",$B4="Item comum"),$C4&lt;&gt;"",$U4=""),"","")</f>
        <v/>
      </c>
      <c r="BU78" s="175">
        <f>IF(AND(OR($B4="Arma",$B4="Escudo",$B4="Uniforme",$B4="Item comum"),$C4&lt;&gt;"",$U4=""),"","")</f>
        <v/>
      </c>
      <c r="BV78" s="175" t="inlineStr">
        <is>
          <t>Kit de escalada</t>
        </is>
      </c>
      <c r="CK78" s="175">
        <f>IF(OR('CONFIGURAÇÃO'!$T$43="Arma",'CONFIGURAÇÃO'!$T$43="Escudo",'CONFIGURAÇÃO'!$T$43="Uniforme",'CONFIGURAÇÃO'!$T$43="Item comum"),'CONFIGURAÇÃO'!$T$45,"")</f>
        <v/>
      </c>
    </row>
    <row r="79">
      <c r="AA79" s="175">
        <f>IF(AND(OR($B24="Arma",$B24="Escudo"),$C24&lt;&gt;"",$U24=""),$C24,"")</f>
        <v/>
      </c>
      <c r="AB79" s="175">
        <f>IF(AND(OR($B24="Arma",$B24="Escudo"),$C24&lt;&gt;"",$U24=""),IF($B24="Escudo","Escudo",$E24),"")</f>
        <v/>
      </c>
      <c r="AC79" s="175">
        <f>IF(AND(OR($B24="Arma",$B24="Escudo"),$C24&lt;&gt;"",$U24=""),IF($B24="Escudo",1,$F24),"")</f>
        <v/>
      </c>
      <c r="AD79" s="175">
        <f>IF(AND(OR($B24="Arma",$B24="Escudo"),$C24&lt;&gt;"",$U24=""),IF($B24="Escudo","—",$L24),"")</f>
        <v/>
      </c>
      <c r="AE79" s="175">
        <f>IF(AND(OR($B24="Arma",$B24="Escudo"),$C24&lt;&gt;"",$U24=""),IF($B24="Escudo","Proteção +"&amp;$L24&amp;" · teto de Destreza "&amp;$M24,TEXTJOIN(" · ",TRUE,IF($H24="—","",$H24),IF($I24="—","",$I24),IF($J24="—","",$J24),IF($K24="—","",$K24))),"")</f>
        <v/>
      </c>
      <c r="AF79" s="175">
        <f>IF(AND(OR($B24="Arma",$B24="Escudo"),$C24&lt;&gt;"",$U24=""),IF($B24="Escudo",$N24,$M24),"")</f>
        <v/>
      </c>
      <c r="AG79" s="175">
        <f>IF(AND(OR($B24="Arma",$B24="Escudo"),$C24&lt;&gt;"",$U24=""),IF($B24="Escudo",$O24,$N24),"")</f>
        <v/>
      </c>
      <c r="AH79" s="175">
        <f>IF(AND(OR($B24="Arma",$B24="Escudo"),$C24&lt;&gt;"",$U24=""),IF($B24="Escudo","",$O24),"")</f>
        <v/>
      </c>
      <c r="AI79" s="175">
        <f>IF(AND(OR($B24="Arma",$B24="Escudo"),$C24&lt;&gt;"",$U24=""),IF($B24="Escudo","",$P24),"")</f>
        <v/>
      </c>
      <c r="AJ79" s="175">
        <f>IF(AND(OR($B24="Arma",$B24="Escudo"),$C24&lt;&gt;"",$U24=""),IF($B24="Escudo",TRUE,IFERROR(VLOOKUP($E24,DADOS!$BP$5:$BT$17,4,FALSE),FALSE)),"")</f>
        <v/>
      </c>
      <c r="AK79" s="175">
        <f>IF(AND(OR($B24="Arma",$B24="Escudo"),$C24&lt;&gt;"",$U24=""),"","")</f>
        <v/>
      </c>
      <c r="AZ79" s="175" t="inlineStr">
        <is>
          <t>Leitura de Reservas</t>
        </is>
      </c>
      <c r="BA79" s="175" t="inlineStr">
        <is>
          <t>Restrição Celestial · Restrição corporal</t>
        </is>
      </c>
      <c r="BB79" s="175" t="inlineStr">
        <is>
          <t>menor</t>
        </is>
      </c>
      <c r="BC79" s="175" t="inlineStr"/>
      <c r="BD79" s="175" t="inlineStr">
        <is>
          <t>Passiva</t>
        </is>
      </c>
      <c r="BE79" s="175" t="inlineStr">
        <is>
          <t>Ao passar num exame de fluxo com Sentir Energia, descubra também os PE atuais e máximos do alvo naquele momento. Mantenha o procedimento normal; esta é uma informação adicional do exame.</t>
        </is>
      </c>
      <c r="BM79" s="175">
        <f>IF(AND(OR($B5="Arma",$B5="Escudo",$B5="Uniforme",$B5="Item comum"),$C5&lt;&gt;"",$U5=""),$C5,"")</f>
        <v/>
      </c>
      <c r="BN79" s="175">
        <f>IF(AND(OR($B5="Arma",$B5="Escudo",$B5="Uniforme",$B5="Item comum"),$C5&lt;&gt;"",$U5=""),$B5,"")</f>
        <v/>
      </c>
      <c r="BO79" s="175">
        <f>IF(AND(OR($B5="Arma",$B5="Escudo",$B5="Uniforme",$B5="Item comum"),$C5&lt;&gt;"",$U5=""),IF(OR($B5="Escudo",$B5="Uniforme"),$L5,0),"")</f>
        <v/>
      </c>
      <c r="BP79" s="175">
        <f>IF(AND(OR($B5="Arma",$B5="Escudo",$B5="Uniforme",$B5="Item comum"),$C5&lt;&gt;"",$U5=""),IF(OR($B5="Escudo",$B5="Uniforme"),$M5,"—"),"")</f>
        <v/>
      </c>
      <c r="BQ79" s="175">
        <f>IF(AND(OR($B5="Arma",$B5="Escudo",$B5="Uniforme",$B5="Item comum"),$C5&lt;&gt;"",$U5=""),IF($B5="Arma",$M5,IF($B5="Item comum",0,$N5)),"")</f>
        <v/>
      </c>
      <c r="BR79" s="175">
        <f>IF(AND(OR($B5="Arma",$B5="Escudo",$B5="Uniforme",$B5="Item comum"),$C5&lt;&gt;"",$U5=""),IF($B5="Arma",$N5,IF($B5="Item comum",$L5,$O5)),"")</f>
        <v/>
      </c>
      <c r="BS79" s="175">
        <f>IF(AND(OR($B5="Arma",$B5="Escudo",$B5="Uniforme",$B5="Item comum"),$C5&lt;&gt;"",$U5=""),IF($B5="Uniforme",$E5,"—"),"")</f>
        <v/>
      </c>
      <c r="BT79" s="175">
        <f>IF(AND(OR($B5="Arma",$B5="Escudo",$B5="Uniforme",$B5="Item comum"),$C5&lt;&gt;"",$U5=""),"","")</f>
        <v/>
      </c>
      <c r="BU79" s="175">
        <f>IF(AND(OR($B5="Arma",$B5="Escudo",$B5="Uniforme",$B5="Item comum"),$C5&lt;&gt;"",$U5=""),"","")</f>
        <v/>
      </c>
      <c r="BV79" s="175" t="inlineStr">
        <is>
          <t>Kunai</t>
        </is>
      </c>
      <c r="CK79" s="175">
        <f>IF(OR('CONFIGURAÇÃO'!$AB$43="Arma",'CONFIGURAÇÃO'!$AB$43="Escudo",'CONFIGURAÇÃO'!$AB$43="Uniforme",'CONFIGURAÇÃO'!$AB$43="Item comum"),'CONFIGURAÇÃO'!$AB$45,"")</f>
        <v/>
      </c>
    </row>
    <row r="80">
      <c r="AA80" s="175">
        <f>IF(AND(OR($B25="Arma",$B25="Escudo"),$C25&lt;&gt;"",$U25=""),$C25,"")</f>
        <v/>
      </c>
      <c r="AB80" s="175">
        <f>IF(AND(OR($B25="Arma",$B25="Escudo"),$C25&lt;&gt;"",$U25=""),IF($B25="Escudo","Escudo",$E25),"")</f>
        <v/>
      </c>
      <c r="AC80" s="175">
        <f>IF(AND(OR($B25="Arma",$B25="Escudo"),$C25&lt;&gt;"",$U25=""),IF($B25="Escudo",1,$F25),"")</f>
        <v/>
      </c>
      <c r="AD80" s="175">
        <f>IF(AND(OR($B25="Arma",$B25="Escudo"),$C25&lt;&gt;"",$U25=""),IF($B25="Escudo","—",$L25),"")</f>
        <v/>
      </c>
      <c r="AE80" s="175">
        <f>IF(AND(OR($B25="Arma",$B25="Escudo"),$C25&lt;&gt;"",$U25=""),IF($B25="Escudo","Proteção +"&amp;$L25&amp;" · teto de Destreza "&amp;$M25,TEXTJOIN(" · ",TRUE,IF($H25="—","",$H25),IF($I25="—","",$I25),IF($J25="—","",$J25),IF($K25="—","",$K25))),"")</f>
        <v/>
      </c>
      <c r="AF80" s="175">
        <f>IF(AND(OR($B25="Arma",$B25="Escudo"),$C25&lt;&gt;"",$U25=""),IF($B25="Escudo",$N25,$M25),"")</f>
        <v/>
      </c>
      <c r="AG80" s="175">
        <f>IF(AND(OR($B25="Arma",$B25="Escudo"),$C25&lt;&gt;"",$U25=""),IF($B25="Escudo",$O25,$N25),"")</f>
        <v/>
      </c>
      <c r="AH80" s="175">
        <f>IF(AND(OR($B25="Arma",$B25="Escudo"),$C25&lt;&gt;"",$U25=""),IF($B25="Escudo","",$O25),"")</f>
        <v/>
      </c>
      <c r="AI80" s="175">
        <f>IF(AND(OR($B25="Arma",$B25="Escudo"),$C25&lt;&gt;"",$U25=""),IF($B25="Escudo","",$P25),"")</f>
        <v/>
      </c>
      <c r="AJ80" s="175">
        <f>IF(AND(OR($B25="Arma",$B25="Escudo"),$C25&lt;&gt;"",$U25=""),IF($B25="Escudo",TRUE,IFERROR(VLOOKUP($E25,DADOS!$BP$5:$BT$17,4,FALSE),FALSE)),"")</f>
        <v/>
      </c>
      <c r="AK80" s="175">
        <f>IF(AND(OR($B25="Arma",$B25="Escudo"),$C25&lt;&gt;"",$U25=""),"","")</f>
        <v/>
      </c>
      <c r="AZ80" s="175" t="inlineStr">
        <is>
          <t>Último Fôlego de Energia</t>
        </is>
      </c>
      <c r="BA80" s="175" t="inlineStr">
        <is>
          <t>Restrição Celestial · Restrição corporal</t>
        </is>
      </c>
      <c r="BB80" s="175" t="inlineStr">
        <is>
          <t>menor</t>
        </is>
      </c>
      <c r="BC80" s="175" t="inlineStr"/>
      <c r="BD80" s="175" t="inlineStr">
        <is>
          <t>Uma vez por descanso longo</t>
        </is>
      </c>
      <c r="BE80" s="175" t="inlineStr">
        <is>
          <t>Uma vez por descanso longo, após pagar um feitiço que deixe sua energia em zero, receba PE temporários iguais a 2 × sua maior Classe, respeitando o teto normal. Duram até o fim do próximo turno e não podem ser armazenados na Reserva Condensada.</t>
        </is>
      </c>
      <c r="BM80" s="175">
        <f>IF(AND(OR($B6="Arma",$B6="Escudo",$B6="Uniforme",$B6="Item comum"),$C6&lt;&gt;"",$U6=""),$C6,"")</f>
        <v/>
      </c>
      <c r="BN80" s="175">
        <f>IF(AND(OR($B6="Arma",$B6="Escudo",$B6="Uniforme",$B6="Item comum"),$C6&lt;&gt;"",$U6=""),$B6,"")</f>
        <v/>
      </c>
      <c r="BO80" s="175">
        <f>IF(AND(OR($B6="Arma",$B6="Escudo",$B6="Uniforme",$B6="Item comum"),$C6&lt;&gt;"",$U6=""),IF(OR($B6="Escudo",$B6="Uniforme"),$L6,0),"")</f>
        <v/>
      </c>
      <c r="BP80" s="175">
        <f>IF(AND(OR($B6="Arma",$B6="Escudo",$B6="Uniforme",$B6="Item comum"),$C6&lt;&gt;"",$U6=""),IF(OR($B6="Escudo",$B6="Uniforme"),$M6,"—"),"")</f>
        <v/>
      </c>
      <c r="BQ80" s="175">
        <f>IF(AND(OR($B6="Arma",$B6="Escudo",$B6="Uniforme",$B6="Item comum"),$C6&lt;&gt;"",$U6=""),IF($B6="Arma",$M6,IF($B6="Item comum",0,$N6)),"")</f>
        <v/>
      </c>
      <c r="BR80" s="175">
        <f>IF(AND(OR($B6="Arma",$B6="Escudo",$B6="Uniforme",$B6="Item comum"),$C6&lt;&gt;"",$U6=""),IF($B6="Arma",$N6,IF($B6="Item comum",$L6,$O6)),"")</f>
        <v/>
      </c>
      <c r="BS80" s="175">
        <f>IF(AND(OR($B6="Arma",$B6="Escudo",$B6="Uniforme",$B6="Item comum"),$C6&lt;&gt;"",$U6=""),IF($B6="Uniforme",$E6,"—"),"")</f>
        <v/>
      </c>
      <c r="BT80" s="175">
        <f>IF(AND(OR($B6="Arma",$B6="Escudo",$B6="Uniforme",$B6="Item comum"),$C6&lt;&gt;"",$U6=""),"","")</f>
        <v/>
      </c>
      <c r="BU80" s="175">
        <f>IF(AND(OR($B6="Arma",$B6="Escudo",$B6="Uniforme",$B6="Item comum"),$C6&lt;&gt;"",$U6=""),"","")</f>
        <v/>
      </c>
      <c r="BV80" s="175" t="inlineStr">
        <is>
          <t>Kusarigama</t>
        </is>
      </c>
      <c r="CK80" s="175">
        <f>IF(OR('CONFIGURAÇÃO'!$T$72="Arma",'CONFIGURAÇÃO'!$T$72="Escudo",'CONFIGURAÇÃO'!$T$72="Uniforme",'CONFIGURAÇÃO'!$T$72="Item comum"),'CONFIGURAÇÃO'!$T$74,"")</f>
        <v/>
      </c>
    </row>
    <row r="81">
      <c r="AA81" s="175">
        <f>IF(AND(OR($B26="Arma",$B26="Escudo"),$C26&lt;&gt;"",$U26=""),$C26,"")</f>
        <v/>
      </c>
      <c r="AB81" s="175">
        <f>IF(AND(OR($B26="Arma",$B26="Escudo"),$C26&lt;&gt;"",$U26=""),IF($B26="Escudo","Escudo",$E26),"")</f>
        <v/>
      </c>
      <c r="AC81" s="175">
        <f>IF(AND(OR($B26="Arma",$B26="Escudo"),$C26&lt;&gt;"",$U26=""),IF($B26="Escudo",1,$F26),"")</f>
        <v/>
      </c>
      <c r="AD81" s="175">
        <f>IF(AND(OR($B26="Arma",$B26="Escudo"),$C26&lt;&gt;"",$U26=""),IF($B26="Escudo","—",$L26),"")</f>
        <v/>
      </c>
      <c r="AE81" s="175">
        <f>IF(AND(OR($B26="Arma",$B26="Escudo"),$C26&lt;&gt;"",$U26=""),IF($B26="Escudo","Proteção +"&amp;$L26&amp;" · teto de Destreza "&amp;$M26,TEXTJOIN(" · ",TRUE,IF($H26="—","",$H26),IF($I26="—","",$I26),IF($J26="—","",$J26),IF($K26="—","",$K26))),"")</f>
        <v/>
      </c>
      <c r="AF81" s="175">
        <f>IF(AND(OR($B26="Arma",$B26="Escudo"),$C26&lt;&gt;"",$U26=""),IF($B26="Escudo",$N26,$M26),"")</f>
        <v/>
      </c>
      <c r="AG81" s="175">
        <f>IF(AND(OR($B26="Arma",$B26="Escudo"),$C26&lt;&gt;"",$U26=""),IF($B26="Escudo",$O26,$N26),"")</f>
        <v/>
      </c>
      <c r="AH81" s="175">
        <f>IF(AND(OR($B26="Arma",$B26="Escudo"),$C26&lt;&gt;"",$U26=""),IF($B26="Escudo","",$O26),"")</f>
        <v/>
      </c>
      <c r="AI81" s="175">
        <f>IF(AND(OR($B26="Arma",$B26="Escudo"),$C26&lt;&gt;"",$U26=""),IF($B26="Escudo","",$P26),"")</f>
        <v/>
      </c>
      <c r="AJ81" s="175">
        <f>IF(AND(OR($B26="Arma",$B26="Escudo"),$C26&lt;&gt;"",$U26=""),IF($B26="Escudo",TRUE,IFERROR(VLOOKUP($E26,DADOS!$BP$5:$BT$17,4,FALSE),FALSE)),"")</f>
        <v/>
      </c>
      <c r="AK81" s="175">
        <f>IF(AND(OR($B26="Arma",$B26="Escudo"),$C26&lt;&gt;"",$U26=""),"","")</f>
        <v/>
      </c>
      <c r="AZ81" s="175" t="inlineStr">
        <is>
          <t>Percepção Estendida</t>
        </is>
      </c>
      <c r="BA81" s="175" t="inlineStr">
        <is>
          <t>Restrição Celestial · Restrição corporal</t>
        </is>
      </c>
      <c r="BB81" s="175" t="inlineStr">
        <is>
          <t>menor</t>
        </is>
      </c>
      <c r="BC81" s="175" t="inlineStr"/>
      <c r="BD81" s="175" t="inlineStr">
        <is>
          <t>Passiva</t>
        </is>
      </c>
      <c r="BE81" s="175" t="inlineStr">
        <is>
          <t>O alcance de Vasculhar com Sentir Energia aumenta de 18 m para 36 m, permanentemente. Mantenha ação, testes e obstáculos normais. Isso não aumenta outros sentidos, procedimentos ou alcances de feitiços.</t>
        </is>
      </c>
      <c r="BM81" s="175">
        <f>IF(AND(OR($B7="Arma",$B7="Escudo",$B7="Uniforme",$B7="Item comum"),$C7&lt;&gt;"",$U7=""),$C7,"")</f>
        <v/>
      </c>
      <c r="BN81" s="175">
        <f>IF(AND(OR($B7="Arma",$B7="Escudo",$B7="Uniforme",$B7="Item comum"),$C7&lt;&gt;"",$U7=""),$B7,"")</f>
        <v/>
      </c>
      <c r="BO81" s="175">
        <f>IF(AND(OR($B7="Arma",$B7="Escudo",$B7="Uniforme",$B7="Item comum"),$C7&lt;&gt;"",$U7=""),IF(OR($B7="Escudo",$B7="Uniforme"),$L7,0),"")</f>
        <v/>
      </c>
      <c r="BP81" s="175">
        <f>IF(AND(OR($B7="Arma",$B7="Escudo",$B7="Uniforme",$B7="Item comum"),$C7&lt;&gt;"",$U7=""),IF(OR($B7="Escudo",$B7="Uniforme"),$M7,"—"),"")</f>
        <v/>
      </c>
      <c r="BQ81" s="175">
        <f>IF(AND(OR($B7="Arma",$B7="Escudo",$B7="Uniforme",$B7="Item comum"),$C7&lt;&gt;"",$U7=""),IF($B7="Arma",$M7,IF($B7="Item comum",0,$N7)),"")</f>
        <v/>
      </c>
      <c r="BR81" s="175">
        <f>IF(AND(OR($B7="Arma",$B7="Escudo",$B7="Uniforme",$B7="Item comum"),$C7&lt;&gt;"",$U7=""),IF($B7="Arma",$N7,IF($B7="Item comum",$L7,$O7)),"")</f>
        <v/>
      </c>
      <c r="BS81" s="175">
        <f>IF(AND(OR($B7="Arma",$B7="Escudo",$B7="Uniforme",$B7="Item comum"),$C7&lt;&gt;"",$U7=""),IF($B7="Uniforme",$E7,"—"),"")</f>
        <v/>
      </c>
      <c r="BT81" s="175">
        <f>IF(AND(OR($B7="Arma",$B7="Escudo",$B7="Uniforme",$B7="Item comum"),$C7&lt;&gt;"",$U7=""),"","")</f>
        <v/>
      </c>
      <c r="BU81" s="175">
        <f>IF(AND(OR($B7="Arma",$B7="Escudo",$B7="Uniforme",$B7="Item comum"),$C7&lt;&gt;"",$U7=""),"","")</f>
        <v/>
      </c>
      <c r="BV81" s="175" t="inlineStr">
        <is>
          <t>Lanterna elétrica</t>
        </is>
      </c>
      <c r="CK81" s="175">
        <f>IF(OR('CONFIGURAÇÃO'!$AB$72="Arma",'CONFIGURAÇÃO'!$AB$72="Escudo",'CONFIGURAÇÃO'!$AB$72="Uniforme",'CONFIGURAÇÃO'!$AB$72="Item comum"),'CONFIGURAÇÃO'!$AB$74,"")</f>
        <v/>
      </c>
    </row>
    <row r="82">
      <c r="AA82" s="175">
        <f>IF(AND(AND($B2="Ferramenta amaldiçoada",$T2=TRUE),OR(IFERROR(VLOOKUP($E2,'DADOS_CUSTOM'!$BM$2:$BU$100,2,FALSE),"")="Arma",IFERROR(VLOOKUP($E2,'DADOS_CUSTOM'!$BM$2:$BU$100,2,FALSE),"")="Escudo")),$C2,"")</f>
        <v/>
      </c>
      <c r="AB82" s="175">
        <f>IF(AND(AND($B2="Ferramenta amaldiçoada",$T2=TRUE),OR(IFERROR(VLOOKUP($E2,'DADOS_CUSTOM'!$BM$2:$BU$100,2,FALSE),"")="Arma",IFERROR(VLOOKUP($E2,'DADOS_CUSTOM'!$BM$2:$BU$100,2,FALSE),"")="Escudo")),IFERROR(VLOOKUP($E2,'DADOS_CUSTOM'!$AA$2:$AK$81,2,FALSE),""),"")</f>
        <v/>
      </c>
      <c r="AC82" s="175">
        <f>IF(AND(AND($B2="Ferramenta amaldiçoada",$T2=TRUE),OR(IFERROR(VLOOKUP($E2,'DADOS_CUSTOM'!$BM$2:$BU$100,2,FALSE),"")="Arma",IFERROR(VLOOKUP($E2,'DADOS_CUSTOM'!$BM$2:$BU$100,2,FALSE),"")="Escudo")),IFERROR(VLOOKUP($E2,'DADOS_CUSTOM'!$AA$2:$AK$81,3,FALSE),""),"")</f>
        <v/>
      </c>
      <c r="AD82" s="175">
        <f>IF(AND(AND($B2="Ferramenta amaldiçoada",$T2=TRUE),OR(IFERROR(VLOOKUP($E2,'DADOS_CUSTOM'!$BM$2:$BU$100,2,FALSE),"")="Arma",IFERROR(VLOOKUP($E2,'DADOS_CUSTOM'!$BM$2:$BU$100,2,FALSE),"")="Escudo")),IFERROR(VLOOKUP($E2,'DADOS_CUSTOM'!$AA$2:$AK$81,4,FALSE),""),"")</f>
        <v/>
      </c>
      <c r="AE82" s="175">
        <f>IF(AND(AND($B2="Ferramenta amaldiçoada",$T2=TRUE),OR(IFERROR(VLOOKUP($E2,'DADOS_CUSTOM'!$BM$2:$BU$100,2,FALSE),"")="Arma",IFERROR(VLOOKUP($E2,'DADOS_CUSTOM'!$BM$2:$BU$100,2,FALSE),"")="Escudo")),IFERROR(VLOOKUP($E2,'DADOS_CUSTOM'!$AA$2:$AK$81,5,FALSE),""),"")</f>
        <v/>
      </c>
      <c r="AF82" s="175">
        <f>IF(AND(AND($B2="Ferramenta amaldiçoada",$T2=TRUE),OR(IFERROR(VLOOKUP($E2,'DADOS_CUSTOM'!$BM$2:$BU$100,2,FALSE),"")="Arma",IFERROR(VLOOKUP($E2,'DADOS_CUSTOM'!$BM$2:$BU$100,2,FALSE),"")="Escudo")),IFERROR(VLOOKUP($E2,'DADOS_CUSTOM'!$AA$2:$AK$81,6,FALSE),""),"")</f>
        <v/>
      </c>
      <c r="AG82" s="175">
        <f>IF(AND(AND($B2="Ferramenta amaldiçoada",$T2=TRUE),OR(IFERROR(VLOOKUP($E2,'DADOS_CUSTOM'!$BM$2:$BU$100,2,FALSE),"")="Arma",IFERROR(VLOOKUP($E2,'DADOS_CUSTOM'!$BM$2:$BU$100,2,FALSE),"")="Escudo")),IF($N2="",IFERROR(VLOOKUP($E2,'DADOS_CUSTOM'!$AA$2:$AK$81,7,FALSE),""),$N2),"")</f>
        <v/>
      </c>
      <c r="AH82" s="175">
        <f>IF(AND(AND($B2="Ferramenta amaldiçoada",$T2=TRUE),OR(IFERROR(VLOOKUP($E2,'DADOS_CUSTOM'!$BM$2:$BU$100,2,FALSE),"")="Arma",IFERROR(VLOOKUP($E2,'DADOS_CUSTOM'!$BM$2:$BU$100,2,FALSE),"")="Escudo")),IFERROR(VLOOKUP($E2,'DADOS_CUSTOM'!$AA$2:$AK$81,8,FALSE),""),"")</f>
        <v/>
      </c>
      <c r="AI82" s="175">
        <f>IF(AND(AND($B2="Ferramenta amaldiçoada",$T2=TRUE),OR(IFERROR(VLOOKUP($E2,'DADOS_CUSTOM'!$BM$2:$BU$100,2,FALSE),"")="Arma",IFERROR(VLOOKUP($E2,'DADOS_CUSTOM'!$BM$2:$BU$100,2,FALSE),"")="Escudo")),IFERROR(VLOOKUP($E2,'DADOS_CUSTOM'!$AA$2:$AK$81,9,FALSE),""),"")</f>
        <v/>
      </c>
      <c r="AJ82" s="175">
        <f>IF(AND(AND($B2="Ferramenta amaldiçoada",$T2=TRUE),OR(IFERROR(VLOOKUP($E2,'DADOS_CUSTOM'!$BM$2:$BU$100,2,FALSE),"")="Arma",IFERROR(VLOOKUP($E2,'DADOS_CUSTOM'!$BM$2:$BU$100,2,FALSE),"")="Escudo")),IFERROR(VLOOKUP($E2,'DADOS_CUSTOM'!$AA$2:$AK$81,10,FALSE),""),"")</f>
        <v/>
      </c>
      <c r="AK82" s="175">
        <f>IF(AND(AND($B2="Ferramenta amaldiçoada",$T2=TRUE),OR(IFERROR(VLOOKUP($E2,'DADOS_CUSTOM'!$BM$2:$BU$100,2,FALSE),"")="Arma",IFERROR(VLOOKUP($E2,'DADOS_CUSTOM'!$BM$2:$BU$100,2,FALSE),"")="Escudo")),IFERROR(VLOOKUP($E2,'DADOS_CUSTOM'!$AA$2:$AK$81,11,FALSE),""),"")</f>
        <v/>
      </c>
      <c r="AZ82" s="175" t="inlineStr">
        <is>
          <t>Prática Cotidiana</t>
        </is>
      </c>
      <c r="BA82" s="175" t="inlineStr">
        <is>
          <t>Restrição Celestial · Restrição corporal</t>
        </is>
      </c>
      <c r="BB82" s="175" t="inlineStr">
        <is>
          <t>menor</t>
        </is>
      </c>
      <c r="BC82" s="175" t="inlineStr"/>
      <c r="BD82" s="175" t="inlineStr">
        <is>
          <t>Passiva</t>
        </is>
      </c>
      <c r="BE82" s="175" t="inlineStr">
        <is>
          <t>Aprenda dois feitiços adicionais de Classe 0, compatíveis com sua técnica, em quaisquer Formas normalmente permitidas nessa Classe. Eles ficam além da quantidade normal conhecida e seguem as demais regras dessas aplicações.
A escolha não se limita a Apoio ou Efeito. Esses feitiços não viram espaços comuns para Talentos ou invocações.</t>
        </is>
      </c>
      <c r="BM82" s="175">
        <f>IF(AND(OR($B8="Arma",$B8="Escudo",$B8="Uniforme",$B8="Item comum"),$C8&lt;&gt;"",$U8=""),$C8,"")</f>
        <v/>
      </c>
      <c r="BN82" s="175">
        <f>IF(AND(OR($B8="Arma",$B8="Escudo",$B8="Uniforme",$B8="Item comum"),$C8&lt;&gt;"",$U8=""),$B8,"")</f>
        <v/>
      </c>
      <c r="BO82" s="175">
        <f>IF(AND(OR($B8="Arma",$B8="Escudo",$B8="Uniforme",$B8="Item comum"),$C8&lt;&gt;"",$U8=""),IF(OR($B8="Escudo",$B8="Uniforme"),$L8,0),"")</f>
        <v/>
      </c>
      <c r="BP82" s="175">
        <f>IF(AND(OR($B8="Arma",$B8="Escudo",$B8="Uniforme",$B8="Item comum"),$C8&lt;&gt;"",$U8=""),IF(OR($B8="Escudo",$B8="Uniforme"),$M8,"—"),"")</f>
        <v/>
      </c>
      <c r="BQ82" s="175">
        <f>IF(AND(OR($B8="Arma",$B8="Escudo",$B8="Uniforme",$B8="Item comum"),$C8&lt;&gt;"",$U8=""),IF($B8="Arma",$M8,IF($B8="Item comum",0,$N8)),"")</f>
        <v/>
      </c>
      <c r="BR82" s="175">
        <f>IF(AND(OR($B8="Arma",$B8="Escudo",$B8="Uniforme",$B8="Item comum"),$C8&lt;&gt;"",$U8=""),IF($B8="Arma",$N8,IF($B8="Item comum",$L8,$O8)),"")</f>
        <v/>
      </c>
      <c r="BS82" s="175">
        <f>IF(AND(OR($B8="Arma",$B8="Escudo",$B8="Uniforme",$B8="Item comum"),$C8&lt;&gt;"",$U8=""),IF($B8="Uniforme",$E8,"—"),"")</f>
        <v/>
      </c>
      <c r="BT82" s="175">
        <f>IF(AND(OR($B8="Arma",$B8="Escudo",$B8="Uniforme",$B8="Item comum"),$C8&lt;&gt;"",$U8=""),"","")</f>
        <v/>
      </c>
      <c r="BU82" s="175">
        <f>IF(AND(OR($B8="Arma",$B8="Escudo",$B8="Uniforme",$B8="Item comum"),$C8&lt;&gt;"",$U8=""),"","")</f>
        <v/>
      </c>
      <c r="BV82" s="175" t="inlineStr">
        <is>
          <t>Lança</t>
        </is>
      </c>
      <c r="CK82" s="175">
        <f>IF(OR('CONFIGURAÇÃO'!$T$101="Arma",'CONFIGURAÇÃO'!$T$101="Escudo",'CONFIGURAÇÃO'!$T$101="Uniforme",'CONFIGURAÇÃO'!$T$101="Item comum"),'CONFIGURAÇÃO'!$T$103,"")</f>
        <v/>
      </c>
    </row>
    <row r="83">
      <c r="AA83" s="175">
        <f>IF(AND(AND($B3="Ferramenta amaldiçoada",$T3=TRUE),OR(IFERROR(VLOOKUP($E3,'DADOS_CUSTOM'!$BM$2:$BU$100,2,FALSE),"")="Arma",IFERROR(VLOOKUP($E3,'DADOS_CUSTOM'!$BM$2:$BU$100,2,FALSE),"")="Escudo")),$C3,"")</f>
        <v/>
      </c>
      <c r="AB83" s="175">
        <f>IF(AND(AND($B3="Ferramenta amaldiçoada",$T3=TRUE),OR(IFERROR(VLOOKUP($E3,'DADOS_CUSTOM'!$BM$2:$BU$100,2,FALSE),"")="Arma",IFERROR(VLOOKUP($E3,'DADOS_CUSTOM'!$BM$2:$BU$100,2,FALSE),"")="Escudo")),IFERROR(VLOOKUP($E3,'DADOS_CUSTOM'!$AA$2:$AK$81,2,FALSE),""),"")</f>
        <v/>
      </c>
      <c r="AC83" s="175">
        <f>IF(AND(AND($B3="Ferramenta amaldiçoada",$T3=TRUE),OR(IFERROR(VLOOKUP($E3,'DADOS_CUSTOM'!$BM$2:$BU$100,2,FALSE),"")="Arma",IFERROR(VLOOKUP($E3,'DADOS_CUSTOM'!$BM$2:$BU$100,2,FALSE),"")="Escudo")),IFERROR(VLOOKUP($E3,'DADOS_CUSTOM'!$AA$2:$AK$81,3,FALSE),""),"")</f>
        <v/>
      </c>
      <c r="AD83" s="175">
        <f>IF(AND(AND($B3="Ferramenta amaldiçoada",$T3=TRUE),OR(IFERROR(VLOOKUP($E3,'DADOS_CUSTOM'!$BM$2:$BU$100,2,FALSE),"")="Arma",IFERROR(VLOOKUP($E3,'DADOS_CUSTOM'!$BM$2:$BU$100,2,FALSE),"")="Escudo")),IFERROR(VLOOKUP($E3,'DADOS_CUSTOM'!$AA$2:$AK$81,4,FALSE),""),"")</f>
        <v/>
      </c>
      <c r="AE83" s="175">
        <f>IF(AND(AND($B3="Ferramenta amaldiçoada",$T3=TRUE),OR(IFERROR(VLOOKUP($E3,'DADOS_CUSTOM'!$BM$2:$BU$100,2,FALSE),"")="Arma",IFERROR(VLOOKUP($E3,'DADOS_CUSTOM'!$BM$2:$BU$100,2,FALSE),"")="Escudo")),IFERROR(VLOOKUP($E3,'DADOS_CUSTOM'!$AA$2:$AK$81,5,FALSE),""),"")</f>
        <v/>
      </c>
      <c r="AF83" s="175">
        <f>IF(AND(AND($B3="Ferramenta amaldiçoada",$T3=TRUE),OR(IFERROR(VLOOKUP($E3,'DADOS_CUSTOM'!$BM$2:$BU$100,2,FALSE),"")="Arma",IFERROR(VLOOKUP($E3,'DADOS_CUSTOM'!$BM$2:$BU$100,2,FALSE),"")="Escudo")),IFERROR(VLOOKUP($E3,'DADOS_CUSTOM'!$AA$2:$AK$81,6,FALSE),""),"")</f>
        <v/>
      </c>
      <c r="AG83" s="175">
        <f>IF(AND(AND($B3="Ferramenta amaldiçoada",$T3=TRUE),OR(IFERROR(VLOOKUP($E3,'DADOS_CUSTOM'!$BM$2:$BU$100,2,FALSE),"")="Arma",IFERROR(VLOOKUP($E3,'DADOS_CUSTOM'!$BM$2:$BU$100,2,FALSE),"")="Escudo")),IF($N3="",IFERROR(VLOOKUP($E3,'DADOS_CUSTOM'!$AA$2:$AK$81,7,FALSE),""),$N3),"")</f>
        <v/>
      </c>
      <c r="AH83" s="175">
        <f>IF(AND(AND($B3="Ferramenta amaldiçoada",$T3=TRUE),OR(IFERROR(VLOOKUP($E3,'DADOS_CUSTOM'!$BM$2:$BU$100,2,FALSE),"")="Arma",IFERROR(VLOOKUP($E3,'DADOS_CUSTOM'!$BM$2:$BU$100,2,FALSE),"")="Escudo")),IFERROR(VLOOKUP($E3,'DADOS_CUSTOM'!$AA$2:$AK$81,8,FALSE),""),"")</f>
        <v/>
      </c>
      <c r="AI83" s="175">
        <f>IF(AND(AND($B3="Ferramenta amaldiçoada",$T3=TRUE),OR(IFERROR(VLOOKUP($E3,'DADOS_CUSTOM'!$BM$2:$BU$100,2,FALSE),"")="Arma",IFERROR(VLOOKUP($E3,'DADOS_CUSTOM'!$BM$2:$BU$100,2,FALSE),"")="Escudo")),IFERROR(VLOOKUP($E3,'DADOS_CUSTOM'!$AA$2:$AK$81,9,FALSE),""),"")</f>
        <v/>
      </c>
      <c r="AJ83" s="175">
        <f>IF(AND(AND($B3="Ferramenta amaldiçoada",$T3=TRUE),OR(IFERROR(VLOOKUP($E3,'DADOS_CUSTOM'!$BM$2:$BU$100,2,FALSE),"")="Arma",IFERROR(VLOOKUP($E3,'DADOS_CUSTOM'!$BM$2:$BU$100,2,FALSE),"")="Escudo")),IFERROR(VLOOKUP($E3,'DADOS_CUSTOM'!$AA$2:$AK$81,10,FALSE),""),"")</f>
        <v/>
      </c>
      <c r="AK83" s="175">
        <f>IF(AND(AND($B3="Ferramenta amaldiçoada",$T3=TRUE),OR(IFERROR(VLOOKUP($E3,'DADOS_CUSTOM'!$BM$2:$BU$100,2,FALSE),"")="Arma",IFERROR(VLOOKUP($E3,'DADOS_CUSTOM'!$BM$2:$BU$100,2,FALSE),"")="Escudo")),IFERROR(VLOOKUP($E3,'DADOS_CUSTOM'!$AA$2:$AK$81,11,FALSE),""),"")</f>
        <v/>
      </c>
      <c r="AZ83" s="175">
        <f>IF(AND(OR($B2="Marcante",$B2="Menor"),$C2&lt;&gt;"",$T2=TRUE),$C2,"")</f>
        <v/>
      </c>
      <c r="BA83" s="175">
        <f>IF(AND(OR($B2="Marcante",$B2="Menor"),$C2&lt;&gt;"",$T2=TRUE),$E2,"")</f>
        <v/>
      </c>
      <c r="BB83" s="175">
        <f>IF(AND(OR($B2="Marcante",$B2="Menor"),$C2&lt;&gt;"",$T2=TRUE),IF($B2="Marcante","marcante","menor"),"")</f>
        <v/>
      </c>
      <c r="BC83" s="175">
        <f>IF(AND(OR($B2="Marcante",$B2="Menor"),$C2&lt;&gt;"",$T2=TRUE),IF($B2="Menor",IF($F2="—","",$F2),""),"")</f>
        <v/>
      </c>
      <c r="BD83" s="175">
        <f>IF(AND(OR($B2="Marcante",$B2="Menor"),$C2&lt;&gt;"",$T2=TRUE),$L2,"")</f>
        <v/>
      </c>
      <c r="BE83" s="175">
        <f>IF(AND(OR($B2="Marcante",$B2="Menor"),$C2&lt;&gt;"",$T2=TRUE),$R2,"")</f>
        <v/>
      </c>
      <c r="BM83" s="175">
        <f>IF(AND(OR($B9="Arma",$B9="Escudo",$B9="Uniforme",$B9="Item comum"),$C9&lt;&gt;"",$U9=""),$C9,"")</f>
        <v/>
      </c>
      <c r="BN83" s="175">
        <f>IF(AND(OR($B9="Arma",$B9="Escudo",$B9="Uniforme",$B9="Item comum"),$C9&lt;&gt;"",$U9=""),$B9,"")</f>
        <v/>
      </c>
      <c r="BO83" s="175">
        <f>IF(AND(OR($B9="Arma",$B9="Escudo",$B9="Uniforme",$B9="Item comum"),$C9&lt;&gt;"",$U9=""),IF(OR($B9="Escudo",$B9="Uniforme"),$L9,0),"")</f>
        <v/>
      </c>
      <c r="BP83" s="175">
        <f>IF(AND(OR($B9="Arma",$B9="Escudo",$B9="Uniforme",$B9="Item comum"),$C9&lt;&gt;"",$U9=""),IF(OR($B9="Escudo",$B9="Uniforme"),$M9,"—"),"")</f>
        <v/>
      </c>
      <c r="BQ83" s="175">
        <f>IF(AND(OR($B9="Arma",$B9="Escudo",$B9="Uniforme",$B9="Item comum"),$C9&lt;&gt;"",$U9=""),IF($B9="Arma",$M9,IF($B9="Item comum",0,$N9)),"")</f>
        <v/>
      </c>
      <c r="BR83" s="175">
        <f>IF(AND(OR($B9="Arma",$B9="Escudo",$B9="Uniforme",$B9="Item comum"),$C9&lt;&gt;"",$U9=""),IF($B9="Arma",$N9,IF($B9="Item comum",$L9,$O9)),"")</f>
        <v/>
      </c>
      <c r="BS83" s="175">
        <f>IF(AND(OR($B9="Arma",$B9="Escudo",$B9="Uniforme",$B9="Item comum"),$C9&lt;&gt;"",$U9=""),IF($B9="Uniforme",$E9,"—"),"")</f>
        <v/>
      </c>
      <c r="BT83" s="175">
        <f>IF(AND(OR($B9="Arma",$B9="Escudo",$B9="Uniforme",$B9="Item comum"),$C9&lt;&gt;"",$U9=""),"","")</f>
        <v/>
      </c>
      <c r="BU83" s="175">
        <f>IF(AND(OR($B9="Arma",$B9="Escudo",$B9="Uniforme",$B9="Item comum"),$C9&lt;&gt;"",$U9=""),"","")</f>
        <v/>
      </c>
      <c r="BV83" s="175" t="inlineStr">
        <is>
          <t>Latente</t>
        </is>
      </c>
      <c r="CK83" s="175">
        <f>IF(OR('CONFIGURAÇÃO'!$AB$101="Arma",'CONFIGURAÇÃO'!$AB$101="Escudo",'CONFIGURAÇÃO'!$AB$101="Uniforme",'CONFIGURAÇÃO'!$AB$101="Item comum"),'CONFIGURAÇÃO'!$AB$103,"")</f>
        <v/>
      </c>
    </row>
    <row r="84">
      <c r="AA84" s="175">
        <f>IF(AND(AND($B4="Ferramenta amaldiçoada",$T4=TRUE),OR(IFERROR(VLOOKUP($E4,'DADOS_CUSTOM'!$BM$2:$BU$100,2,FALSE),"")="Arma",IFERROR(VLOOKUP($E4,'DADOS_CUSTOM'!$BM$2:$BU$100,2,FALSE),"")="Escudo")),$C4,"")</f>
        <v/>
      </c>
      <c r="AB84" s="175">
        <f>IF(AND(AND($B4="Ferramenta amaldiçoada",$T4=TRUE),OR(IFERROR(VLOOKUP($E4,'DADOS_CUSTOM'!$BM$2:$BU$100,2,FALSE),"")="Arma",IFERROR(VLOOKUP($E4,'DADOS_CUSTOM'!$BM$2:$BU$100,2,FALSE),"")="Escudo")),IFERROR(VLOOKUP($E4,'DADOS_CUSTOM'!$AA$2:$AK$81,2,FALSE),""),"")</f>
        <v/>
      </c>
      <c r="AC84" s="175">
        <f>IF(AND(AND($B4="Ferramenta amaldiçoada",$T4=TRUE),OR(IFERROR(VLOOKUP($E4,'DADOS_CUSTOM'!$BM$2:$BU$100,2,FALSE),"")="Arma",IFERROR(VLOOKUP($E4,'DADOS_CUSTOM'!$BM$2:$BU$100,2,FALSE),"")="Escudo")),IFERROR(VLOOKUP($E4,'DADOS_CUSTOM'!$AA$2:$AK$81,3,FALSE),""),"")</f>
        <v/>
      </c>
      <c r="AD84" s="175">
        <f>IF(AND(AND($B4="Ferramenta amaldiçoada",$T4=TRUE),OR(IFERROR(VLOOKUP($E4,'DADOS_CUSTOM'!$BM$2:$BU$100,2,FALSE),"")="Arma",IFERROR(VLOOKUP($E4,'DADOS_CUSTOM'!$BM$2:$BU$100,2,FALSE),"")="Escudo")),IFERROR(VLOOKUP($E4,'DADOS_CUSTOM'!$AA$2:$AK$81,4,FALSE),""),"")</f>
        <v/>
      </c>
      <c r="AE84" s="175">
        <f>IF(AND(AND($B4="Ferramenta amaldiçoada",$T4=TRUE),OR(IFERROR(VLOOKUP($E4,'DADOS_CUSTOM'!$BM$2:$BU$100,2,FALSE),"")="Arma",IFERROR(VLOOKUP($E4,'DADOS_CUSTOM'!$BM$2:$BU$100,2,FALSE),"")="Escudo")),IFERROR(VLOOKUP($E4,'DADOS_CUSTOM'!$AA$2:$AK$81,5,FALSE),""),"")</f>
        <v/>
      </c>
      <c r="AF84" s="175">
        <f>IF(AND(AND($B4="Ferramenta amaldiçoada",$T4=TRUE),OR(IFERROR(VLOOKUP($E4,'DADOS_CUSTOM'!$BM$2:$BU$100,2,FALSE),"")="Arma",IFERROR(VLOOKUP($E4,'DADOS_CUSTOM'!$BM$2:$BU$100,2,FALSE),"")="Escudo")),IFERROR(VLOOKUP($E4,'DADOS_CUSTOM'!$AA$2:$AK$81,6,FALSE),""),"")</f>
        <v/>
      </c>
      <c r="AG84" s="175">
        <f>IF(AND(AND($B4="Ferramenta amaldiçoada",$T4=TRUE),OR(IFERROR(VLOOKUP($E4,'DADOS_CUSTOM'!$BM$2:$BU$100,2,FALSE),"")="Arma",IFERROR(VLOOKUP($E4,'DADOS_CUSTOM'!$BM$2:$BU$100,2,FALSE),"")="Escudo")),IF($N4="",IFERROR(VLOOKUP($E4,'DADOS_CUSTOM'!$AA$2:$AK$81,7,FALSE),""),$N4),"")</f>
        <v/>
      </c>
      <c r="AH84" s="175">
        <f>IF(AND(AND($B4="Ferramenta amaldiçoada",$T4=TRUE),OR(IFERROR(VLOOKUP($E4,'DADOS_CUSTOM'!$BM$2:$BU$100,2,FALSE),"")="Arma",IFERROR(VLOOKUP($E4,'DADOS_CUSTOM'!$BM$2:$BU$100,2,FALSE),"")="Escudo")),IFERROR(VLOOKUP($E4,'DADOS_CUSTOM'!$AA$2:$AK$81,8,FALSE),""),"")</f>
        <v/>
      </c>
      <c r="AI84" s="175">
        <f>IF(AND(AND($B4="Ferramenta amaldiçoada",$T4=TRUE),OR(IFERROR(VLOOKUP($E4,'DADOS_CUSTOM'!$BM$2:$BU$100,2,FALSE),"")="Arma",IFERROR(VLOOKUP($E4,'DADOS_CUSTOM'!$BM$2:$BU$100,2,FALSE),"")="Escudo")),IFERROR(VLOOKUP($E4,'DADOS_CUSTOM'!$AA$2:$AK$81,9,FALSE),""),"")</f>
        <v/>
      </c>
      <c r="AJ84" s="175">
        <f>IF(AND(AND($B4="Ferramenta amaldiçoada",$T4=TRUE),OR(IFERROR(VLOOKUP($E4,'DADOS_CUSTOM'!$BM$2:$BU$100,2,FALSE),"")="Arma",IFERROR(VLOOKUP($E4,'DADOS_CUSTOM'!$BM$2:$BU$100,2,FALSE),"")="Escudo")),IFERROR(VLOOKUP($E4,'DADOS_CUSTOM'!$AA$2:$AK$81,10,FALSE),""),"")</f>
        <v/>
      </c>
      <c r="AK84" s="175">
        <f>IF(AND(AND($B4="Ferramenta amaldiçoada",$T4=TRUE),OR(IFERROR(VLOOKUP($E4,'DADOS_CUSTOM'!$BM$2:$BU$100,2,FALSE),"")="Arma",IFERROR(VLOOKUP($E4,'DADOS_CUSTOM'!$BM$2:$BU$100,2,FALSE),"")="Escudo")),IFERROR(VLOOKUP($E4,'DADOS_CUSTOM'!$AA$2:$AK$81,11,FALSE),""),"")</f>
        <v/>
      </c>
      <c r="AZ84" s="175">
        <f>IF(AND(OR($B3="Marcante",$B3="Menor"),$C3&lt;&gt;"",$T3=TRUE),$C3,"")</f>
        <v/>
      </c>
      <c r="BA84" s="175">
        <f>IF(AND(OR($B3="Marcante",$B3="Menor"),$C3&lt;&gt;"",$T3=TRUE),$E3,"")</f>
        <v/>
      </c>
      <c r="BB84" s="175">
        <f>IF(AND(OR($B3="Marcante",$B3="Menor"),$C3&lt;&gt;"",$T3=TRUE),IF($B3="Marcante","marcante","menor"),"")</f>
        <v/>
      </c>
      <c r="BC84" s="175">
        <f>IF(AND(OR($B3="Marcante",$B3="Menor"),$C3&lt;&gt;"",$T3=TRUE),IF($B3="Menor",IF($F3="—","",$F3),""),"")</f>
        <v/>
      </c>
      <c r="BD84" s="175">
        <f>IF(AND(OR($B3="Marcante",$B3="Menor"),$C3&lt;&gt;"",$T3=TRUE),$L3,"")</f>
        <v/>
      </c>
      <c r="BE84" s="175">
        <f>IF(AND(OR($B3="Marcante",$B3="Menor"),$C3&lt;&gt;"",$T3=TRUE),$R3,"")</f>
        <v/>
      </c>
      <c r="BM84" s="175">
        <f>IF(AND(OR($B10="Arma",$B10="Escudo",$B10="Uniforme",$B10="Item comum"),$C10&lt;&gt;"",$U10=""),$C10,"")</f>
        <v/>
      </c>
      <c r="BN84" s="175">
        <f>IF(AND(OR($B10="Arma",$B10="Escudo",$B10="Uniforme",$B10="Item comum"),$C10&lt;&gt;"",$U10=""),$B10,"")</f>
        <v/>
      </c>
      <c r="BO84" s="175">
        <f>IF(AND(OR($B10="Arma",$B10="Escudo",$B10="Uniforme",$B10="Item comum"),$C10&lt;&gt;"",$U10=""),IF(OR($B10="Escudo",$B10="Uniforme"),$L10,0),"")</f>
        <v/>
      </c>
      <c r="BP84" s="175">
        <f>IF(AND(OR($B10="Arma",$B10="Escudo",$B10="Uniforme",$B10="Item comum"),$C10&lt;&gt;"",$U10=""),IF(OR($B10="Escudo",$B10="Uniforme"),$M10,"—"),"")</f>
        <v/>
      </c>
      <c r="BQ84" s="175">
        <f>IF(AND(OR($B10="Arma",$B10="Escudo",$B10="Uniforme",$B10="Item comum"),$C10&lt;&gt;"",$U10=""),IF($B10="Arma",$M10,IF($B10="Item comum",0,$N10)),"")</f>
        <v/>
      </c>
      <c r="BR84" s="175">
        <f>IF(AND(OR($B10="Arma",$B10="Escudo",$B10="Uniforme",$B10="Item comum"),$C10&lt;&gt;"",$U10=""),IF($B10="Arma",$N10,IF($B10="Item comum",$L10,$O10)),"")</f>
        <v/>
      </c>
      <c r="BS84" s="175">
        <f>IF(AND(OR($B10="Arma",$B10="Escudo",$B10="Uniforme",$B10="Item comum"),$C10&lt;&gt;"",$U10=""),IF($B10="Uniforme",$E10,"—"),"")</f>
        <v/>
      </c>
      <c r="BT84" s="175">
        <f>IF(AND(OR($B10="Arma",$B10="Escudo",$B10="Uniforme",$B10="Item comum"),$C10&lt;&gt;"",$U10=""),"","")</f>
        <v/>
      </c>
      <c r="BU84" s="175">
        <f>IF(AND(OR($B10="Arma",$B10="Escudo",$B10="Uniforme",$B10="Item comum"),$C10&lt;&gt;"",$U10=""),"","")</f>
        <v/>
      </c>
      <c r="BV84" s="175" t="inlineStr">
        <is>
          <t>Latente · Sem Técnica</t>
        </is>
      </c>
      <c r="CK84" s="175">
        <f>IF(OR('CONFIGURAÇÃO'!$T$130="Arma",'CONFIGURAÇÃO'!$T$130="Escudo",'CONFIGURAÇÃO'!$T$130="Uniforme",'CONFIGURAÇÃO'!$T$130="Item comum"),'CONFIGURAÇÃO'!$T$132,"")</f>
        <v/>
      </c>
    </row>
    <row r="85">
      <c r="AA85" s="175">
        <f>IF(AND(AND($B5="Ferramenta amaldiçoada",$T5=TRUE),OR(IFERROR(VLOOKUP($E5,'DADOS_CUSTOM'!$BM$2:$BU$100,2,FALSE),"")="Arma",IFERROR(VLOOKUP($E5,'DADOS_CUSTOM'!$BM$2:$BU$100,2,FALSE),"")="Escudo")),$C5,"")</f>
        <v/>
      </c>
      <c r="AB85" s="175">
        <f>IF(AND(AND($B5="Ferramenta amaldiçoada",$T5=TRUE),OR(IFERROR(VLOOKUP($E5,'DADOS_CUSTOM'!$BM$2:$BU$100,2,FALSE),"")="Arma",IFERROR(VLOOKUP($E5,'DADOS_CUSTOM'!$BM$2:$BU$100,2,FALSE),"")="Escudo")),IFERROR(VLOOKUP($E5,'DADOS_CUSTOM'!$AA$2:$AK$81,2,FALSE),""),"")</f>
        <v/>
      </c>
      <c r="AC85" s="175">
        <f>IF(AND(AND($B5="Ferramenta amaldiçoada",$T5=TRUE),OR(IFERROR(VLOOKUP($E5,'DADOS_CUSTOM'!$BM$2:$BU$100,2,FALSE),"")="Arma",IFERROR(VLOOKUP($E5,'DADOS_CUSTOM'!$BM$2:$BU$100,2,FALSE),"")="Escudo")),IFERROR(VLOOKUP($E5,'DADOS_CUSTOM'!$AA$2:$AK$81,3,FALSE),""),"")</f>
        <v/>
      </c>
      <c r="AD85" s="175">
        <f>IF(AND(AND($B5="Ferramenta amaldiçoada",$T5=TRUE),OR(IFERROR(VLOOKUP($E5,'DADOS_CUSTOM'!$BM$2:$BU$100,2,FALSE),"")="Arma",IFERROR(VLOOKUP($E5,'DADOS_CUSTOM'!$BM$2:$BU$100,2,FALSE),"")="Escudo")),IFERROR(VLOOKUP($E5,'DADOS_CUSTOM'!$AA$2:$AK$81,4,FALSE),""),"")</f>
        <v/>
      </c>
      <c r="AE85" s="175">
        <f>IF(AND(AND($B5="Ferramenta amaldiçoada",$T5=TRUE),OR(IFERROR(VLOOKUP($E5,'DADOS_CUSTOM'!$BM$2:$BU$100,2,FALSE),"")="Arma",IFERROR(VLOOKUP($E5,'DADOS_CUSTOM'!$BM$2:$BU$100,2,FALSE),"")="Escudo")),IFERROR(VLOOKUP($E5,'DADOS_CUSTOM'!$AA$2:$AK$81,5,FALSE),""),"")</f>
        <v/>
      </c>
      <c r="AF85" s="175">
        <f>IF(AND(AND($B5="Ferramenta amaldiçoada",$T5=TRUE),OR(IFERROR(VLOOKUP($E5,'DADOS_CUSTOM'!$BM$2:$BU$100,2,FALSE),"")="Arma",IFERROR(VLOOKUP($E5,'DADOS_CUSTOM'!$BM$2:$BU$100,2,FALSE),"")="Escudo")),IFERROR(VLOOKUP($E5,'DADOS_CUSTOM'!$AA$2:$AK$81,6,FALSE),""),"")</f>
        <v/>
      </c>
      <c r="AG85" s="175">
        <f>IF(AND(AND($B5="Ferramenta amaldiçoada",$T5=TRUE),OR(IFERROR(VLOOKUP($E5,'DADOS_CUSTOM'!$BM$2:$BU$100,2,FALSE),"")="Arma",IFERROR(VLOOKUP($E5,'DADOS_CUSTOM'!$BM$2:$BU$100,2,FALSE),"")="Escudo")),IF($N5="",IFERROR(VLOOKUP($E5,'DADOS_CUSTOM'!$AA$2:$AK$81,7,FALSE),""),$N5),"")</f>
        <v/>
      </c>
      <c r="AH85" s="175">
        <f>IF(AND(AND($B5="Ferramenta amaldiçoada",$T5=TRUE),OR(IFERROR(VLOOKUP($E5,'DADOS_CUSTOM'!$BM$2:$BU$100,2,FALSE),"")="Arma",IFERROR(VLOOKUP($E5,'DADOS_CUSTOM'!$BM$2:$BU$100,2,FALSE),"")="Escudo")),IFERROR(VLOOKUP($E5,'DADOS_CUSTOM'!$AA$2:$AK$81,8,FALSE),""),"")</f>
        <v/>
      </c>
      <c r="AI85" s="175">
        <f>IF(AND(AND($B5="Ferramenta amaldiçoada",$T5=TRUE),OR(IFERROR(VLOOKUP($E5,'DADOS_CUSTOM'!$BM$2:$BU$100,2,FALSE),"")="Arma",IFERROR(VLOOKUP($E5,'DADOS_CUSTOM'!$BM$2:$BU$100,2,FALSE),"")="Escudo")),IFERROR(VLOOKUP($E5,'DADOS_CUSTOM'!$AA$2:$AK$81,9,FALSE),""),"")</f>
        <v/>
      </c>
      <c r="AJ85" s="175">
        <f>IF(AND(AND($B5="Ferramenta amaldiçoada",$T5=TRUE),OR(IFERROR(VLOOKUP($E5,'DADOS_CUSTOM'!$BM$2:$BU$100,2,FALSE),"")="Arma",IFERROR(VLOOKUP($E5,'DADOS_CUSTOM'!$BM$2:$BU$100,2,FALSE),"")="Escudo")),IFERROR(VLOOKUP($E5,'DADOS_CUSTOM'!$AA$2:$AK$81,10,FALSE),""),"")</f>
        <v/>
      </c>
      <c r="AK85" s="175">
        <f>IF(AND(AND($B5="Ferramenta amaldiçoada",$T5=TRUE),OR(IFERROR(VLOOKUP($E5,'DADOS_CUSTOM'!$BM$2:$BU$100,2,FALSE),"")="Arma",IFERROR(VLOOKUP($E5,'DADOS_CUSTOM'!$BM$2:$BU$100,2,FALSE),"")="Escudo")),IFERROR(VLOOKUP($E5,'DADOS_CUSTOM'!$AA$2:$AK$81,11,FALSE),""),"")</f>
        <v/>
      </c>
      <c r="AZ85" s="175">
        <f>IF(AND(OR($B4="Marcante",$B4="Menor"),$C4&lt;&gt;"",$T4=TRUE),$C4,"")</f>
        <v/>
      </c>
      <c r="BA85" s="175">
        <f>IF(AND(OR($B4="Marcante",$B4="Menor"),$C4&lt;&gt;"",$T4=TRUE),$E4,"")</f>
        <v/>
      </c>
      <c r="BB85" s="175">
        <f>IF(AND(OR($B4="Marcante",$B4="Menor"),$C4&lt;&gt;"",$T4=TRUE),IF($B4="Marcante","marcante","menor"),"")</f>
        <v/>
      </c>
      <c r="BC85" s="175">
        <f>IF(AND(OR($B4="Marcante",$B4="Menor"),$C4&lt;&gt;"",$T4=TRUE),IF($B4="Menor",IF($F4="—","",$F4),""),"")</f>
        <v/>
      </c>
      <c r="BD85" s="175">
        <f>IF(AND(OR($B4="Marcante",$B4="Menor"),$C4&lt;&gt;"",$T4=TRUE),$L4,"")</f>
        <v/>
      </c>
      <c r="BE85" s="175">
        <f>IF(AND(OR($B4="Marcante",$B4="Menor"),$C4&lt;&gt;"",$T4=TRUE),$R4,"")</f>
        <v/>
      </c>
      <c r="BM85" s="175">
        <f>IF(AND(OR($B11="Arma",$B11="Escudo",$B11="Uniforme",$B11="Item comum"),$C11&lt;&gt;"",$U11=""),$C11,"")</f>
        <v/>
      </c>
      <c r="BN85" s="175">
        <f>IF(AND(OR($B11="Arma",$B11="Escudo",$B11="Uniforme",$B11="Item comum"),$C11&lt;&gt;"",$U11=""),$B11,"")</f>
        <v/>
      </c>
      <c r="BO85" s="175">
        <f>IF(AND(OR($B11="Arma",$B11="Escudo",$B11="Uniforme",$B11="Item comum"),$C11&lt;&gt;"",$U11=""),IF(OR($B11="Escudo",$B11="Uniforme"),$L11,0),"")</f>
        <v/>
      </c>
      <c r="BP85" s="175">
        <f>IF(AND(OR($B11="Arma",$B11="Escudo",$B11="Uniforme",$B11="Item comum"),$C11&lt;&gt;"",$U11=""),IF(OR($B11="Escudo",$B11="Uniforme"),$M11,"—"),"")</f>
        <v/>
      </c>
      <c r="BQ85" s="175">
        <f>IF(AND(OR($B11="Arma",$B11="Escudo",$B11="Uniforme",$B11="Item comum"),$C11&lt;&gt;"",$U11=""),IF($B11="Arma",$M11,IF($B11="Item comum",0,$N11)),"")</f>
        <v/>
      </c>
      <c r="BR85" s="175">
        <f>IF(AND(OR($B11="Arma",$B11="Escudo",$B11="Uniforme",$B11="Item comum"),$C11&lt;&gt;"",$U11=""),IF($B11="Arma",$N11,IF($B11="Item comum",$L11,$O11)),"")</f>
        <v/>
      </c>
      <c r="BS85" s="175">
        <f>IF(AND(OR($B11="Arma",$B11="Escudo",$B11="Uniforme",$B11="Item comum"),$C11&lt;&gt;"",$U11=""),IF($B11="Uniforme",$E11,"—"),"")</f>
        <v/>
      </c>
      <c r="BT85" s="175">
        <f>IF(AND(OR($B11="Arma",$B11="Escudo",$B11="Uniforme",$B11="Item comum"),$C11&lt;&gt;"",$U11=""),"","")</f>
        <v/>
      </c>
      <c r="BU85" s="175">
        <f>IF(AND(OR($B11="Arma",$B11="Escudo",$B11="Uniforme",$B11="Item comum"),$C11&lt;&gt;"",$U11=""),"","")</f>
        <v/>
      </c>
      <c r="BV85" s="175" t="inlineStr">
        <is>
          <t>Leitura de Reservas</t>
        </is>
      </c>
      <c r="CK85" s="175">
        <f>IF(OR('CONFIGURAÇÃO'!$AB$130="Arma",'CONFIGURAÇÃO'!$AB$130="Escudo",'CONFIGURAÇÃO'!$AB$130="Uniforme",'CONFIGURAÇÃO'!$AB$130="Item comum"),'CONFIGURAÇÃO'!$AB$132,"")</f>
        <v/>
      </c>
    </row>
    <row r="86">
      <c r="AA86" s="175">
        <f>IF(AND(AND($B6="Ferramenta amaldiçoada",$T6=TRUE),OR(IFERROR(VLOOKUP($E6,'DADOS_CUSTOM'!$BM$2:$BU$100,2,FALSE),"")="Arma",IFERROR(VLOOKUP($E6,'DADOS_CUSTOM'!$BM$2:$BU$100,2,FALSE),"")="Escudo")),$C6,"")</f>
        <v/>
      </c>
      <c r="AB86" s="175">
        <f>IF(AND(AND($B6="Ferramenta amaldiçoada",$T6=TRUE),OR(IFERROR(VLOOKUP($E6,'DADOS_CUSTOM'!$BM$2:$BU$100,2,FALSE),"")="Arma",IFERROR(VLOOKUP($E6,'DADOS_CUSTOM'!$BM$2:$BU$100,2,FALSE),"")="Escudo")),IFERROR(VLOOKUP($E6,'DADOS_CUSTOM'!$AA$2:$AK$81,2,FALSE),""),"")</f>
        <v/>
      </c>
      <c r="AC86" s="175">
        <f>IF(AND(AND($B6="Ferramenta amaldiçoada",$T6=TRUE),OR(IFERROR(VLOOKUP($E6,'DADOS_CUSTOM'!$BM$2:$BU$100,2,FALSE),"")="Arma",IFERROR(VLOOKUP($E6,'DADOS_CUSTOM'!$BM$2:$BU$100,2,FALSE),"")="Escudo")),IFERROR(VLOOKUP($E6,'DADOS_CUSTOM'!$AA$2:$AK$81,3,FALSE),""),"")</f>
        <v/>
      </c>
      <c r="AD86" s="175">
        <f>IF(AND(AND($B6="Ferramenta amaldiçoada",$T6=TRUE),OR(IFERROR(VLOOKUP($E6,'DADOS_CUSTOM'!$BM$2:$BU$100,2,FALSE),"")="Arma",IFERROR(VLOOKUP($E6,'DADOS_CUSTOM'!$BM$2:$BU$100,2,FALSE),"")="Escudo")),IFERROR(VLOOKUP($E6,'DADOS_CUSTOM'!$AA$2:$AK$81,4,FALSE),""),"")</f>
        <v/>
      </c>
      <c r="AE86" s="175">
        <f>IF(AND(AND($B6="Ferramenta amaldiçoada",$T6=TRUE),OR(IFERROR(VLOOKUP($E6,'DADOS_CUSTOM'!$BM$2:$BU$100,2,FALSE),"")="Arma",IFERROR(VLOOKUP($E6,'DADOS_CUSTOM'!$BM$2:$BU$100,2,FALSE),"")="Escudo")),IFERROR(VLOOKUP($E6,'DADOS_CUSTOM'!$AA$2:$AK$81,5,FALSE),""),"")</f>
        <v/>
      </c>
      <c r="AF86" s="175">
        <f>IF(AND(AND($B6="Ferramenta amaldiçoada",$T6=TRUE),OR(IFERROR(VLOOKUP($E6,'DADOS_CUSTOM'!$BM$2:$BU$100,2,FALSE),"")="Arma",IFERROR(VLOOKUP($E6,'DADOS_CUSTOM'!$BM$2:$BU$100,2,FALSE),"")="Escudo")),IFERROR(VLOOKUP($E6,'DADOS_CUSTOM'!$AA$2:$AK$81,6,FALSE),""),"")</f>
        <v/>
      </c>
      <c r="AG86" s="175">
        <f>IF(AND(AND($B6="Ferramenta amaldiçoada",$T6=TRUE),OR(IFERROR(VLOOKUP($E6,'DADOS_CUSTOM'!$BM$2:$BU$100,2,FALSE),"")="Arma",IFERROR(VLOOKUP($E6,'DADOS_CUSTOM'!$BM$2:$BU$100,2,FALSE),"")="Escudo")),IF($N6="",IFERROR(VLOOKUP($E6,'DADOS_CUSTOM'!$AA$2:$AK$81,7,FALSE),""),$N6),"")</f>
        <v/>
      </c>
      <c r="AH86" s="175">
        <f>IF(AND(AND($B6="Ferramenta amaldiçoada",$T6=TRUE),OR(IFERROR(VLOOKUP($E6,'DADOS_CUSTOM'!$BM$2:$BU$100,2,FALSE),"")="Arma",IFERROR(VLOOKUP($E6,'DADOS_CUSTOM'!$BM$2:$BU$100,2,FALSE),"")="Escudo")),IFERROR(VLOOKUP($E6,'DADOS_CUSTOM'!$AA$2:$AK$81,8,FALSE),""),"")</f>
        <v/>
      </c>
      <c r="AI86" s="175">
        <f>IF(AND(AND($B6="Ferramenta amaldiçoada",$T6=TRUE),OR(IFERROR(VLOOKUP($E6,'DADOS_CUSTOM'!$BM$2:$BU$100,2,FALSE),"")="Arma",IFERROR(VLOOKUP($E6,'DADOS_CUSTOM'!$BM$2:$BU$100,2,FALSE),"")="Escudo")),IFERROR(VLOOKUP($E6,'DADOS_CUSTOM'!$AA$2:$AK$81,9,FALSE),""),"")</f>
        <v/>
      </c>
      <c r="AJ86" s="175">
        <f>IF(AND(AND($B6="Ferramenta amaldiçoada",$T6=TRUE),OR(IFERROR(VLOOKUP($E6,'DADOS_CUSTOM'!$BM$2:$BU$100,2,FALSE),"")="Arma",IFERROR(VLOOKUP($E6,'DADOS_CUSTOM'!$BM$2:$BU$100,2,FALSE),"")="Escudo")),IFERROR(VLOOKUP($E6,'DADOS_CUSTOM'!$AA$2:$AK$81,10,FALSE),""),"")</f>
        <v/>
      </c>
      <c r="AK86" s="175">
        <f>IF(AND(AND($B6="Ferramenta amaldiçoada",$T6=TRUE),OR(IFERROR(VLOOKUP($E6,'DADOS_CUSTOM'!$BM$2:$BU$100,2,FALSE),"")="Arma",IFERROR(VLOOKUP($E6,'DADOS_CUSTOM'!$BM$2:$BU$100,2,FALSE),"")="Escudo")),IFERROR(VLOOKUP($E6,'DADOS_CUSTOM'!$AA$2:$AK$81,11,FALSE),""),"")</f>
        <v/>
      </c>
      <c r="AZ86" s="175">
        <f>IF(AND(OR($B5="Marcante",$B5="Menor"),$C5&lt;&gt;"",$T5=TRUE),$C5,"")</f>
        <v/>
      </c>
      <c r="BA86" s="175">
        <f>IF(AND(OR($B5="Marcante",$B5="Menor"),$C5&lt;&gt;"",$T5=TRUE),$E5,"")</f>
        <v/>
      </c>
      <c r="BB86" s="175">
        <f>IF(AND(OR($B5="Marcante",$B5="Menor"),$C5&lt;&gt;"",$T5=TRUE),IF($B5="Marcante","marcante","menor"),"")</f>
        <v/>
      </c>
      <c r="BC86" s="175">
        <f>IF(AND(OR($B5="Marcante",$B5="Menor"),$C5&lt;&gt;"",$T5=TRUE),IF($B5="Menor",IF($F5="—","",$F5),""),"")</f>
        <v/>
      </c>
      <c r="BD86" s="175">
        <f>IF(AND(OR($B5="Marcante",$B5="Menor"),$C5&lt;&gt;"",$T5=TRUE),$L5,"")</f>
        <v/>
      </c>
      <c r="BE86" s="175">
        <f>IF(AND(OR($B5="Marcante",$B5="Menor"),$C5&lt;&gt;"",$T5=TRUE),$R5,"")</f>
        <v/>
      </c>
      <c r="BM86" s="175">
        <f>IF(AND(OR($B12="Arma",$B12="Escudo",$B12="Uniforme",$B12="Item comum"),$C12&lt;&gt;"",$U12=""),$C12,"")</f>
        <v/>
      </c>
      <c r="BN86" s="175">
        <f>IF(AND(OR($B12="Arma",$B12="Escudo",$B12="Uniforme",$B12="Item comum"),$C12&lt;&gt;"",$U12=""),$B12,"")</f>
        <v/>
      </c>
      <c r="BO86" s="175">
        <f>IF(AND(OR($B12="Arma",$B12="Escudo",$B12="Uniforme",$B12="Item comum"),$C12&lt;&gt;"",$U12=""),IF(OR($B12="Escudo",$B12="Uniforme"),$L12,0),"")</f>
        <v/>
      </c>
      <c r="BP86" s="175">
        <f>IF(AND(OR($B12="Arma",$B12="Escudo",$B12="Uniforme",$B12="Item comum"),$C12&lt;&gt;"",$U12=""),IF(OR($B12="Escudo",$B12="Uniforme"),$M12,"—"),"")</f>
        <v/>
      </c>
      <c r="BQ86" s="175">
        <f>IF(AND(OR($B12="Arma",$B12="Escudo",$B12="Uniforme",$B12="Item comum"),$C12&lt;&gt;"",$U12=""),IF($B12="Arma",$M12,IF($B12="Item comum",0,$N12)),"")</f>
        <v/>
      </c>
      <c r="BR86" s="175">
        <f>IF(AND(OR($B12="Arma",$B12="Escudo",$B12="Uniforme",$B12="Item comum"),$C12&lt;&gt;"",$U12=""),IF($B12="Arma",$N12,IF($B12="Item comum",$L12,$O12)),"")</f>
        <v/>
      </c>
      <c r="BS86" s="175">
        <f>IF(AND(OR($B12="Arma",$B12="Escudo",$B12="Uniforme",$B12="Item comum"),$C12&lt;&gt;"",$U12=""),IF($B12="Uniforme",$E12,"—"),"")</f>
        <v/>
      </c>
      <c r="BT86" s="175">
        <f>IF(AND(OR($B12="Arma",$B12="Escudo",$B12="Uniforme",$B12="Item comum"),$C12&lt;&gt;"",$U12=""),"","")</f>
        <v/>
      </c>
      <c r="BU86" s="175">
        <f>IF(AND(OR($B12="Arma",$B12="Escudo",$B12="Uniforme",$B12="Item comum"),$C12&lt;&gt;"",$U12=""),"","")</f>
        <v/>
      </c>
      <c r="BV86" s="175" t="inlineStr">
        <is>
          <t>Locomoção Adaptada</t>
        </is>
      </c>
      <c r="CK86" s="175">
        <f>IF(OR('CONFIGURAÇÃO'!$T$159="Arma",'CONFIGURAÇÃO'!$T$159="Escudo",'CONFIGURAÇÃO'!$T$159="Uniforme",'CONFIGURAÇÃO'!$T$159="Item comum"),'CONFIGURAÇÃO'!$T$161,"")</f>
        <v/>
      </c>
    </row>
    <row r="87">
      <c r="AA87" s="175">
        <f>IF(AND(AND($B7="Ferramenta amaldiçoada",$T7=TRUE),OR(IFERROR(VLOOKUP($E7,'DADOS_CUSTOM'!$BM$2:$BU$100,2,FALSE),"")="Arma",IFERROR(VLOOKUP($E7,'DADOS_CUSTOM'!$BM$2:$BU$100,2,FALSE),"")="Escudo")),$C7,"")</f>
        <v/>
      </c>
      <c r="AB87" s="175">
        <f>IF(AND(AND($B7="Ferramenta amaldiçoada",$T7=TRUE),OR(IFERROR(VLOOKUP($E7,'DADOS_CUSTOM'!$BM$2:$BU$100,2,FALSE),"")="Arma",IFERROR(VLOOKUP($E7,'DADOS_CUSTOM'!$BM$2:$BU$100,2,FALSE),"")="Escudo")),IFERROR(VLOOKUP($E7,'DADOS_CUSTOM'!$AA$2:$AK$81,2,FALSE),""),"")</f>
        <v/>
      </c>
      <c r="AC87" s="175">
        <f>IF(AND(AND($B7="Ferramenta amaldiçoada",$T7=TRUE),OR(IFERROR(VLOOKUP($E7,'DADOS_CUSTOM'!$BM$2:$BU$100,2,FALSE),"")="Arma",IFERROR(VLOOKUP($E7,'DADOS_CUSTOM'!$BM$2:$BU$100,2,FALSE),"")="Escudo")),IFERROR(VLOOKUP($E7,'DADOS_CUSTOM'!$AA$2:$AK$81,3,FALSE),""),"")</f>
        <v/>
      </c>
      <c r="AD87" s="175">
        <f>IF(AND(AND($B7="Ferramenta amaldiçoada",$T7=TRUE),OR(IFERROR(VLOOKUP($E7,'DADOS_CUSTOM'!$BM$2:$BU$100,2,FALSE),"")="Arma",IFERROR(VLOOKUP($E7,'DADOS_CUSTOM'!$BM$2:$BU$100,2,FALSE),"")="Escudo")),IFERROR(VLOOKUP($E7,'DADOS_CUSTOM'!$AA$2:$AK$81,4,FALSE),""),"")</f>
        <v/>
      </c>
      <c r="AE87" s="175">
        <f>IF(AND(AND($B7="Ferramenta amaldiçoada",$T7=TRUE),OR(IFERROR(VLOOKUP($E7,'DADOS_CUSTOM'!$BM$2:$BU$100,2,FALSE),"")="Arma",IFERROR(VLOOKUP($E7,'DADOS_CUSTOM'!$BM$2:$BU$100,2,FALSE),"")="Escudo")),IFERROR(VLOOKUP($E7,'DADOS_CUSTOM'!$AA$2:$AK$81,5,FALSE),""),"")</f>
        <v/>
      </c>
      <c r="AF87" s="175">
        <f>IF(AND(AND($B7="Ferramenta amaldiçoada",$T7=TRUE),OR(IFERROR(VLOOKUP($E7,'DADOS_CUSTOM'!$BM$2:$BU$100,2,FALSE),"")="Arma",IFERROR(VLOOKUP($E7,'DADOS_CUSTOM'!$BM$2:$BU$100,2,FALSE),"")="Escudo")),IFERROR(VLOOKUP($E7,'DADOS_CUSTOM'!$AA$2:$AK$81,6,FALSE),""),"")</f>
        <v/>
      </c>
      <c r="AG87" s="175">
        <f>IF(AND(AND($B7="Ferramenta amaldiçoada",$T7=TRUE),OR(IFERROR(VLOOKUP($E7,'DADOS_CUSTOM'!$BM$2:$BU$100,2,FALSE),"")="Arma",IFERROR(VLOOKUP($E7,'DADOS_CUSTOM'!$BM$2:$BU$100,2,FALSE),"")="Escudo")),IF($N7="",IFERROR(VLOOKUP($E7,'DADOS_CUSTOM'!$AA$2:$AK$81,7,FALSE),""),$N7),"")</f>
        <v/>
      </c>
      <c r="AH87" s="175">
        <f>IF(AND(AND($B7="Ferramenta amaldiçoada",$T7=TRUE),OR(IFERROR(VLOOKUP($E7,'DADOS_CUSTOM'!$BM$2:$BU$100,2,FALSE),"")="Arma",IFERROR(VLOOKUP($E7,'DADOS_CUSTOM'!$BM$2:$BU$100,2,FALSE),"")="Escudo")),IFERROR(VLOOKUP($E7,'DADOS_CUSTOM'!$AA$2:$AK$81,8,FALSE),""),"")</f>
        <v/>
      </c>
      <c r="AI87" s="175">
        <f>IF(AND(AND($B7="Ferramenta amaldiçoada",$T7=TRUE),OR(IFERROR(VLOOKUP($E7,'DADOS_CUSTOM'!$BM$2:$BU$100,2,FALSE),"")="Arma",IFERROR(VLOOKUP($E7,'DADOS_CUSTOM'!$BM$2:$BU$100,2,FALSE),"")="Escudo")),IFERROR(VLOOKUP($E7,'DADOS_CUSTOM'!$AA$2:$AK$81,9,FALSE),""),"")</f>
        <v/>
      </c>
      <c r="AJ87" s="175">
        <f>IF(AND(AND($B7="Ferramenta amaldiçoada",$T7=TRUE),OR(IFERROR(VLOOKUP($E7,'DADOS_CUSTOM'!$BM$2:$BU$100,2,FALSE),"")="Arma",IFERROR(VLOOKUP($E7,'DADOS_CUSTOM'!$BM$2:$BU$100,2,FALSE),"")="Escudo")),IFERROR(VLOOKUP($E7,'DADOS_CUSTOM'!$AA$2:$AK$81,10,FALSE),""),"")</f>
        <v/>
      </c>
      <c r="AK87" s="175">
        <f>IF(AND(AND($B7="Ferramenta amaldiçoada",$T7=TRUE),OR(IFERROR(VLOOKUP($E7,'DADOS_CUSTOM'!$BM$2:$BU$100,2,FALSE),"")="Arma",IFERROR(VLOOKUP($E7,'DADOS_CUSTOM'!$BM$2:$BU$100,2,FALSE),"")="Escudo")),IFERROR(VLOOKUP($E7,'DADOS_CUSTOM'!$AA$2:$AK$81,11,FALSE),""),"")</f>
        <v/>
      </c>
      <c r="AZ87" s="175">
        <f>IF(AND(OR($B6="Marcante",$B6="Menor"),$C6&lt;&gt;"",$T6=TRUE),$C6,"")</f>
        <v/>
      </c>
      <c r="BA87" s="175">
        <f>IF(AND(OR($B6="Marcante",$B6="Menor"),$C6&lt;&gt;"",$T6=TRUE),$E6,"")</f>
        <v/>
      </c>
      <c r="BB87" s="175">
        <f>IF(AND(OR($B6="Marcante",$B6="Menor"),$C6&lt;&gt;"",$T6=TRUE),IF($B6="Marcante","marcante","menor"),"")</f>
        <v/>
      </c>
      <c r="BC87" s="175">
        <f>IF(AND(OR($B6="Marcante",$B6="Menor"),$C6&lt;&gt;"",$T6=TRUE),IF($B6="Menor",IF($F6="—","",$F6),""),"")</f>
        <v/>
      </c>
      <c r="BD87" s="175">
        <f>IF(AND(OR($B6="Marcante",$B6="Menor"),$C6&lt;&gt;"",$T6=TRUE),$L6,"")</f>
        <v/>
      </c>
      <c r="BE87" s="175">
        <f>IF(AND(OR($B6="Marcante",$B6="Menor"),$C6&lt;&gt;"",$T6=TRUE),$R6,"")</f>
        <v/>
      </c>
      <c r="BM87" s="175">
        <f>IF(AND(OR($B13="Arma",$B13="Escudo",$B13="Uniforme",$B13="Item comum"),$C13&lt;&gt;"",$U13=""),$C13,"")</f>
        <v/>
      </c>
      <c r="BN87" s="175">
        <f>IF(AND(OR($B13="Arma",$B13="Escudo",$B13="Uniforme",$B13="Item comum"),$C13&lt;&gt;"",$U13=""),$B13,"")</f>
        <v/>
      </c>
      <c r="BO87" s="175">
        <f>IF(AND(OR($B13="Arma",$B13="Escudo",$B13="Uniforme",$B13="Item comum"),$C13&lt;&gt;"",$U13=""),IF(OR($B13="Escudo",$B13="Uniforme"),$L13,0),"")</f>
        <v/>
      </c>
      <c r="BP87" s="175">
        <f>IF(AND(OR($B13="Arma",$B13="Escudo",$B13="Uniforme",$B13="Item comum"),$C13&lt;&gt;"",$U13=""),IF(OR($B13="Escudo",$B13="Uniforme"),$M13,"—"),"")</f>
        <v/>
      </c>
      <c r="BQ87" s="175">
        <f>IF(AND(OR($B13="Arma",$B13="Escudo",$B13="Uniforme",$B13="Item comum"),$C13&lt;&gt;"",$U13=""),IF($B13="Arma",$M13,IF($B13="Item comum",0,$N13)),"")</f>
        <v/>
      </c>
      <c r="BR87" s="175">
        <f>IF(AND(OR($B13="Arma",$B13="Escudo",$B13="Uniforme",$B13="Item comum"),$C13&lt;&gt;"",$U13=""),IF($B13="Arma",$N13,IF($B13="Item comum",$L13,$O13)),"")</f>
        <v/>
      </c>
      <c r="BS87" s="175">
        <f>IF(AND(OR($B13="Arma",$B13="Escudo",$B13="Uniforme",$B13="Item comum"),$C13&lt;&gt;"",$U13=""),IF($B13="Uniforme",$E13,"—"),"")</f>
        <v/>
      </c>
      <c r="BT87" s="175">
        <f>IF(AND(OR($B13="Arma",$B13="Escudo",$B13="Uniforme",$B13="Item comum"),$C13&lt;&gt;"",$U13=""),"","")</f>
        <v/>
      </c>
      <c r="BU87" s="175">
        <f>IF(AND(OR($B13="Arma",$B13="Escudo",$B13="Uniforme",$B13="Item comum"),$C13&lt;&gt;"",$U13=""),"","")</f>
        <v/>
      </c>
      <c r="BV87" s="175" t="inlineStr">
        <is>
          <t>Machadinha</t>
        </is>
      </c>
      <c r="CK87" s="175">
        <f>IF(OR('CONFIGURAÇÃO'!$AB$159="Arma",'CONFIGURAÇÃO'!$AB$159="Escudo",'CONFIGURAÇÃO'!$AB$159="Uniforme",'CONFIGURAÇÃO'!$AB$159="Item comum"),'CONFIGURAÇÃO'!$AB$161,"")</f>
        <v/>
      </c>
    </row>
    <row r="88">
      <c r="AA88" s="175">
        <f>IF(AND(AND($B8="Ferramenta amaldiçoada",$T8=TRUE),OR(IFERROR(VLOOKUP($E8,'DADOS_CUSTOM'!$BM$2:$BU$100,2,FALSE),"")="Arma",IFERROR(VLOOKUP($E8,'DADOS_CUSTOM'!$BM$2:$BU$100,2,FALSE),"")="Escudo")),$C8,"")</f>
        <v/>
      </c>
      <c r="AB88" s="175">
        <f>IF(AND(AND($B8="Ferramenta amaldiçoada",$T8=TRUE),OR(IFERROR(VLOOKUP($E8,'DADOS_CUSTOM'!$BM$2:$BU$100,2,FALSE),"")="Arma",IFERROR(VLOOKUP($E8,'DADOS_CUSTOM'!$BM$2:$BU$100,2,FALSE),"")="Escudo")),IFERROR(VLOOKUP($E8,'DADOS_CUSTOM'!$AA$2:$AK$81,2,FALSE),""),"")</f>
        <v/>
      </c>
      <c r="AC88" s="175">
        <f>IF(AND(AND($B8="Ferramenta amaldiçoada",$T8=TRUE),OR(IFERROR(VLOOKUP($E8,'DADOS_CUSTOM'!$BM$2:$BU$100,2,FALSE),"")="Arma",IFERROR(VLOOKUP($E8,'DADOS_CUSTOM'!$BM$2:$BU$100,2,FALSE),"")="Escudo")),IFERROR(VLOOKUP($E8,'DADOS_CUSTOM'!$AA$2:$AK$81,3,FALSE),""),"")</f>
        <v/>
      </c>
      <c r="AD88" s="175">
        <f>IF(AND(AND($B8="Ferramenta amaldiçoada",$T8=TRUE),OR(IFERROR(VLOOKUP($E8,'DADOS_CUSTOM'!$BM$2:$BU$100,2,FALSE),"")="Arma",IFERROR(VLOOKUP($E8,'DADOS_CUSTOM'!$BM$2:$BU$100,2,FALSE),"")="Escudo")),IFERROR(VLOOKUP($E8,'DADOS_CUSTOM'!$AA$2:$AK$81,4,FALSE),""),"")</f>
        <v/>
      </c>
      <c r="AE88" s="175">
        <f>IF(AND(AND($B8="Ferramenta amaldiçoada",$T8=TRUE),OR(IFERROR(VLOOKUP($E8,'DADOS_CUSTOM'!$BM$2:$BU$100,2,FALSE),"")="Arma",IFERROR(VLOOKUP($E8,'DADOS_CUSTOM'!$BM$2:$BU$100,2,FALSE),"")="Escudo")),IFERROR(VLOOKUP($E8,'DADOS_CUSTOM'!$AA$2:$AK$81,5,FALSE),""),"")</f>
        <v/>
      </c>
      <c r="AF88" s="175">
        <f>IF(AND(AND($B8="Ferramenta amaldiçoada",$T8=TRUE),OR(IFERROR(VLOOKUP($E8,'DADOS_CUSTOM'!$BM$2:$BU$100,2,FALSE),"")="Arma",IFERROR(VLOOKUP($E8,'DADOS_CUSTOM'!$BM$2:$BU$100,2,FALSE),"")="Escudo")),IFERROR(VLOOKUP($E8,'DADOS_CUSTOM'!$AA$2:$AK$81,6,FALSE),""),"")</f>
        <v/>
      </c>
      <c r="AG88" s="175">
        <f>IF(AND(AND($B8="Ferramenta amaldiçoada",$T8=TRUE),OR(IFERROR(VLOOKUP($E8,'DADOS_CUSTOM'!$BM$2:$BU$100,2,FALSE),"")="Arma",IFERROR(VLOOKUP($E8,'DADOS_CUSTOM'!$BM$2:$BU$100,2,FALSE),"")="Escudo")),IF($N8="",IFERROR(VLOOKUP($E8,'DADOS_CUSTOM'!$AA$2:$AK$81,7,FALSE),""),$N8),"")</f>
        <v/>
      </c>
      <c r="AH88" s="175">
        <f>IF(AND(AND($B8="Ferramenta amaldiçoada",$T8=TRUE),OR(IFERROR(VLOOKUP($E8,'DADOS_CUSTOM'!$BM$2:$BU$100,2,FALSE),"")="Arma",IFERROR(VLOOKUP($E8,'DADOS_CUSTOM'!$BM$2:$BU$100,2,FALSE),"")="Escudo")),IFERROR(VLOOKUP($E8,'DADOS_CUSTOM'!$AA$2:$AK$81,8,FALSE),""),"")</f>
        <v/>
      </c>
      <c r="AI88" s="175">
        <f>IF(AND(AND($B8="Ferramenta amaldiçoada",$T8=TRUE),OR(IFERROR(VLOOKUP($E8,'DADOS_CUSTOM'!$BM$2:$BU$100,2,FALSE),"")="Arma",IFERROR(VLOOKUP($E8,'DADOS_CUSTOM'!$BM$2:$BU$100,2,FALSE),"")="Escudo")),IFERROR(VLOOKUP($E8,'DADOS_CUSTOM'!$AA$2:$AK$81,9,FALSE),""),"")</f>
        <v/>
      </c>
      <c r="AJ88" s="175">
        <f>IF(AND(AND($B8="Ferramenta amaldiçoada",$T8=TRUE),OR(IFERROR(VLOOKUP($E8,'DADOS_CUSTOM'!$BM$2:$BU$100,2,FALSE),"")="Arma",IFERROR(VLOOKUP($E8,'DADOS_CUSTOM'!$BM$2:$BU$100,2,FALSE),"")="Escudo")),IFERROR(VLOOKUP($E8,'DADOS_CUSTOM'!$AA$2:$AK$81,10,FALSE),""),"")</f>
        <v/>
      </c>
      <c r="AK88" s="175">
        <f>IF(AND(AND($B8="Ferramenta amaldiçoada",$T8=TRUE),OR(IFERROR(VLOOKUP($E8,'DADOS_CUSTOM'!$BM$2:$BU$100,2,FALSE),"")="Arma",IFERROR(VLOOKUP($E8,'DADOS_CUSTOM'!$BM$2:$BU$100,2,FALSE),"")="Escudo")),IFERROR(VLOOKUP($E8,'DADOS_CUSTOM'!$AA$2:$AK$81,11,FALSE),""),"")</f>
        <v/>
      </c>
      <c r="AZ88" s="175">
        <f>IF(AND(OR($B7="Marcante",$B7="Menor"),$C7&lt;&gt;"",$T7=TRUE),$C7,"")</f>
        <v/>
      </c>
      <c r="BA88" s="175">
        <f>IF(AND(OR($B7="Marcante",$B7="Menor"),$C7&lt;&gt;"",$T7=TRUE),$E7,"")</f>
        <v/>
      </c>
      <c r="BB88" s="175">
        <f>IF(AND(OR($B7="Marcante",$B7="Menor"),$C7&lt;&gt;"",$T7=TRUE),IF($B7="Marcante","marcante","menor"),"")</f>
        <v/>
      </c>
      <c r="BC88" s="175">
        <f>IF(AND(OR($B7="Marcante",$B7="Menor"),$C7&lt;&gt;"",$T7=TRUE),IF($B7="Menor",IF($F7="—","",$F7),""),"")</f>
        <v/>
      </c>
      <c r="BD88" s="175">
        <f>IF(AND(OR($B7="Marcante",$B7="Menor"),$C7&lt;&gt;"",$T7=TRUE),$L7,"")</f>
        <v/>
      </c>
      <c r="BE88" s="175">
        <f>IF(AND(OR($B7="Marcante",$B7="Menor"),$C7&lt;&gt;"",$T7=TRUE),$R7,"")</f>
        <v/>
      </c>
      <c r="BM88" s="175">
        <f>IF(AND(OR($B14="Arma",$B14="Escudo",$B14="Uniforme",$B14="Item comum"),$C14&lt;&gt;"",$U14=""),$C14,"")</f>
        <v/>
      </c>
      <c r="BN88" s="175">
        <f>IF(AND(OR($B14="Arma",$B14="Escudo",$B14="Uniforme",$B14="Item comum"),$C14&lt;&gt;"",$U14=""),$B14,"")</f>
        <v/>
      </c>
      <c r="BO88" s="175">
        <f>IF(AND(OR($B14="Arma",$B14="Escudo",$B14="Uniforme",$B14="Item comum"),$C14&lt;&gt;"",$U14=""),IF(OR($B14="Escudo",$B14="Uniforme"),$L14,0),"")</f>
        <v/>
      </c>
      <c r="BP88" s="175">
        <f>IF(AND(OR($B14="Arma",$B14="Escudo",$B14="Uniforme",$B14="Item comum"),$C14&lt;&gt;"",$U14=""),IF(OR($B14="Escudo",$B14="Uniforme"),$M14,"—"),"")</f>
        <v/>
      </c>
      <c r="BQ88" s="175">
        <f>IF(AND(OR($B14="Arma",$B14="Escudo",$B14="Uniforme",$B14="Item comum"),$C14&lt;&gt;"",$U14=""),IF($B14="Arma",$M14,IF($B14="Item comum",0,$N14)),"")</f>
        <v/>
      </c>
      <c r="BR88" s="175">
        <f>IF(AND(OR($B14="Arma",$B14="Escudo",$B14="Uniforme",$B14="Item comum"),$C14&lt;&gt;"",$U14=""),IF($B14="Arma",$N14,IF($B14="Item comum",$L14,$O14)),"")</f>
        <v/>
      </c>
      <c r="BS88" s="175">
        <f>IF(AND(OR($B14="Arma",$B14="Escudo",$B14="Uniforme",$B14="Item comum"),$C14&lt;&gt;"",$U14=""),IF($B14="Uniforme",$E14,"—"),"")</f>
        <v/>
      </c>
      <c r="BT88" s="175">
        <f>IF(AND(OR($B14="Arma",$B14="Escudo",$B14="Uniforme",$B14="Item comum"),$C14&lt;&gt;"",$U14=""),"","")</f>
        <v/>
      </c>
      <c r="BU88" s="175">
        <f>IF(AND(OR($B14="Arma",$B14="Escudo",$B14="Uniforme",$B14="Item comum"),$C14&lt;&gt;"",$U14=""),"","")</f>
        <v/>
      </c>
      <c r="BV88" s="175" t="inlineStr">
        <is>
          <t>Machado</t>
        </is>
      </c>
      <c r="CK88" s="175">
        <f>IF(OR('CONFIGURAÇÃO'!$T$188="Arma",'CONFIGURAÇÃO'!$T$188="Escudo",'CONFIGURAÇÃO'!$T$188="Uniforme",'CONFIGURAÇÃO'!$T$188="Item comum"),'CONFIGURAÇÃO'!$T$190,"")</f>
        <v/>
      </c>
    </row>
    <row r="89">
      <c r="AA89" s="175">
        <f>IF(AND(AND($B9="Ferramenta amaldiçoada",$T9=TRUE),OR(IFERROR(VLOOKUP($E9,'DADOS_CUSTOM'!$BM$2:$BU$100,2,FALSE),"")="Arma",IFERROR(VLOOKUP($E9,'DADOS_CUSTOM'!$BM$2:$BU$100,2,FALSE),"")="Escudo")),$C9,"")</f>
        <v/>
      </c>
      <c r="AB89" s="175">
        <f>IF(AND(AND($B9="Ferramenta amaldiçoada",$T9=TRUE),OR(IFERROR(VLOOKUP($E9,'DADOS_CUSTOM'!$BM$2:$BU$100,2,FALSE),"")="Arma",IFERROR(VLOOKUP($E9,'DADOS_CUSTOM'!$BM$2:$BU$100,2,FALSE),"")="Escudo")),IFERROR(VLOOKUP($E9,'DADOS_CUSTOM'!$AA$2:$AK$81,2,FALSE),""),"")</f>
        <v/>
      </c>
      <c r="AC89" s="175">
        <f>IF(AND(AND($B9="Ferramenta amaldiçoada",$T9=TRUE),OR(IFERROR(VLOOKUP($E9,'DADOS_CUSTOM'!$BM$2:$BU$100,2,FALSE),"")="Arma",IFERROR(VLOOKUP($E9,'DADOS_CUSTOM'!$BM$2:$BU$100,2,FALSE),"")="Escudo")),IFERROR(VLOOKUP($E9,'DADOS_CUSTOM'!$AA$2:$AK$81,3,FALSE),""),"")</f>
        <v/>
      </c>
      <c r="AD89" s="175">
        <f>IF(AND(AND($B9="Ferramenta amaldiçoada",$T9=TRUE),OR(IFERROR(VLOOKUP($E9,'DADOS_CUSTOM'!$BM$2:$BU$100,2,FALSE),"")="Arma",IFERROR(VLOOKUP($E9,'DADOS_CUSTOM'!$BM$2:$BU$100,2,FALSE),"")="Escudo")),IFERROR(VLOOKUP($E9,'DADOS_CUSTOM'!$AA$2:$AK$81,4,FALSE),""),"")</f>
        <v/>
      </c>
      <c r="AE89" s="175">
        <f>IF(AND(AND($B9="Ferramenta amaldiçoada",$T9=TRUE),OR(IFERROR(VLOOKUP($E9,'DADOS_CUSTOM'!$BM$2:$BU$100,2,FALSE),"")="Arma",IFERROR(VLOOKUP($E9,'DADOS_CUSTOM'!$BM$2:$BU$100,2,FALSE),"")="Escudo")),IFERROR(VLOOKUP($E9,'DADOS_CUSTOM'!$AA$2:$AK$81,5,FALSE),""),"")</f>
        <v/>
      </c>
      <c r="AF89" s="175">
        <f>IF(AND(AND($B9="Ferramenta amaldiçoada",$T9=TRUE),OR(IFERROR(VLOOKUP($E9,'DADOS_CUSTOM'!$BM$2:$BU$100,2,FALSE),"")="Arma",IFERROR(VLOOKUP($E9,'DADOS_CUSTOM'!$BM$2:$BU$100,2,FALSE),"")="Escudo")),IFERROR(VLOOKUP($E9,'DADOS_CUSTOM'!$AA$2:$AK$81,6,FALSE),""),"")</f>
        <v/>
      </c>
      <c r="AG89" s="175">
        <f>IF(AND(AND($B9="Ferramenta amaldiçoada",$T9=TRUE),OR(IFERROR(VLOOKUP($E9,'DADOS_CUSTOM'!$BM$2:$BU$100,2,FALSE),"")="Arma",IFERROR(VLOOKUP($E9,'DADOS_CUSTOM'!$BM$2:$BU$100,2,FALSE),"")="Escudo")),IF($N9="",IFERROR(VLOOKUP($E9,'DADOS_CUSTOM'!$AA$2:$AK$81,7,FALSE),""),$N9),"")</f>
        <v/>
      </c>
      <c r="AH89" s="175">
        <f>IF(AND(AND($B9="Ferramenta amaldiçoada",$T9=TRUE),OR(IFERROR(VLOOKUP($E9,'DADOS_CUSTOM'!$BM$2:$BU$100,2,FALSE),"")="Arma",IFERROR(VLOOKUP($E9,'DADOS_CUSTOM'!$BM$2:$BU$100,2,FALSE),"")="Escudo")),IFERROR(VLOOKUP($E9,'DADOS_CUSTOM'!$AA$2:$AK$81,8,FALSE),""),"")</f>
        <v/>
      </c>
      <c r="AI89" s="175">
        <f>IF(AND(AND($B9="Ferramenta amaldiçoada",$T9=TRUE),OR(IFERROR(VLOOKUP($E9,'DADOS_CUSTOM'!$BM$2:$BU$100,2,FALSE),"")="Arma",IFERROR(VLOOKUP($E9,'DADOS_CUSTOM'!$BM$2:$BU$100,2,FALSE),"")="Escudo")),IFERROR(VLOOKUP($E9,'DADOS_CUSTOM'!$AA$2:$AK$81,9,FALSE),""),"")</f>
        <v/>
      </c>
      <c r="AJ89" s="175">
        <f>IF(AND(AND($B9="Ferramenta amaldiçoada",$T9=TRUE),OR(IFERROR(VLOOKUP($E9,'DADOS_CUSTOM'!$BM$2:$BU$100,2,FALSE),"")="Arma",IFERROR(VLOOKUP($E9,'DADOS_CUSTOM'!$BM$2:$BU$100,2,FALSE),"")="Escudo")),IFERROR(VLOOKUP($E9,'DADOS_CUSTOM'!$AA$2:$AK$81,10,FALSE),""),"")</f>
        <v/>
      </c>
      <c r="AK89" s="175">
        <f>IF(AND(AND($B9="Ferramenta amaldiçoada",$T9=TRUE),OR(IFERROR(VLOOKUP($E9,'DADOS_CUSTOM'!$BM$2:$BU$100,2,FALSE),"")="Arma",IFERROR(VLOOKUP($E9,'DADOS_CUSTOM'!$BM$2:$BU$100,2,FALSE),"")="Escudo")),IFERROR(VLOOKUP($E9,'DADOS_CUSTOM'!$AA$2:$AK$81,11,FALSE),""),"")</f>
        <v/>
      </c>
      <c r="AZ89" s="175">
        <f>IF(AND(OR($B8="Marcante",$B8="Menor"),$C8&lt;&gt;"",$T8=TRUE),$C8,"")</f>
        <v/>
      </c>
      <c r="BA89" s="175">
        <f>IF(AND(OR($B8="Marcante",$B8="Menor"),$C8&lt;&gt;"",$T8=TRUE),$E8,"")</f>
        <v/>
      </c>
      <c r="BB89" s="175">
        <f>IF(AND(OR($B8="Marcante",$B8="Menor"),$C8&lt;&gt;"",$T8=TRUE),IF($B8="Marcante","marcante","menor"),"")</f>
        <v/>
      </c>
      <c r="BC89" s="175">
        <f>IF(AND(OR($B8="Marcante",$B8="Menor"),$C8&lt;&gt;"",$T8=TRUE),IF($B8="Menor",IF($F8="—","",$F8),""),"")</f>
        <v/>
      </c>
      <c r="BD89" s="175">
        <f>IF(AND(OR($B8="Marcante",$B8="Menor"),$C8&lt;&gt;"",$T8=TRUE),$L8,"")</f>
        <v/>
      </c>
      <c r="BE89" s="175">
        <f>IF(AND(OR($B8="Marcante",$B8="Menor"),$C8&lt;&gt;"",$T8=TRUE),$R8,"")</f>
        <v/>
      </c>
      <c r="BM89" s="175">
        <f>IF(AND(OR($B15="Arma",$B15="Escudo",$B15="Uniforme",$B15="Item comum"),$C15&lt;&gt;"",$U15=""),$C15,"")</f>
        <v/>
      </c>
      <c r="BN89" s="175">
        <f>IF(AND(OR($B15="Arma",$B15="Escudo",$B15="Uniforme",$B15="Item comum"),$C15&lt;&gt;"",$U15=""),$B15,"")</f>
        <v/>
      </c>
      <c r="BO89" s="175">
        <f>IF(AND(OR($B15="Arma",$B15="Escudo",$B15="Uniforme",$B15="Item comum"),$C15&lt;&gt;"",$U15=""),IF(OR($B15="Escudo",$B15="Uniforme"),$L15,0),"")</f>
        <v/>
      </c>
      <c r="BP89" s="175">
        <f>IF(AND(OR($B15="Arma",$B15="Escudo",$B15="Uniforme",$B15="Item comum"),$C15&lt;&gt;"",$U15=""),IF(OR($B15="Escudo",$B15="Uniforme"),$M15,"—"),"")</f>
        <v/>
      </c>
      <c r="BQ89" s="175">
        <f>IF(AND(OR($B15="Arma",$B15="Escudo",$B15="Uniforme",$B15="Item comum"),$C15&lt;&gt;"",$U15=""),IF($B15="Arma",$M15,IF($B15="Item comum",0,$N15)),"")</f>
        <v/>
      </c>
      <c r="BR89" s="175">
        <f>IF(AND(OR($B15="Arma",$B15="Escudo",$B15="Uniforme",$B15="Item comum"),$C15&lt;&gt;"",$U15=""),IF($B15="Arma",$N15,IF($B15="Item comum",$L15,$O15)),"")</f>
        <v/>
      </c>
      <c r="BS89" s="175">
        <f>IF(AND(OR($B15="Arma",$B15="Escudo",$B15="Uniforme",$B15="Item comum"),$C15&lt;&gt;"",$U15=""),IF($B15="Uniforme",$E15,"—"),"")</f>
        <v/>
      </c>
      <c r="BT89" s="175">
        <f>IF(AND(OR($B15="Arma",$B15="Escudo",$B15="Uniforme",$B15="Item comum"),$C15&lt;&gt;"",$U15=""),"","")</f>
        <v/>
      </c>
      <c r="BU89" s="175">
        <f>IF(AND(OR($B15="Arma",$B15="Escudo",$B15="Uniforme",$B15="Item comum"),$C15&lt;&gt;"",$U15=""),"","")</f>
        <v/>
      </c>
      <c r="BV89" s="175" t="inlineStr">
        <is>
          <t>Machado de Guerra</t>
        </is>
      </c>
      <c r="CK89" s="175">
        <f>IF(OR('CONFIGURAÇÃO'!$AB$188="Arma",'CONFIGURAÇÃO'!$AB$188="Escudo",'CONFIGURAÇÃO'!$AB$188="Uniforme",'CONFIGURAÇÃO'!$AB$188="Item comum"),'CONFIGURAÇÃO'!$AB$190,"")</f>
        <v/>
      </c>
    </row>
    <row r="90">
      <c r="AA90" s="175">
        <f>IF(AND(AND($B10="Ferramenta amaldiçoada",$T10=TRUE),OR(IFERROR(VLOOKUP($E10,'DADOS_CUSTOM'!$BM$2:$BU$100,2,FALSE),"")="Arma",IFERROR(VLOOKUP($E10,'DADOS_CUSTOM'!$BM$2:$BU$100,2,FALSE),"")="Escudo")),$C10,"")</f>
        <v/>
      </c>
      <c r="AB90" s="175">
        <f>IF(AND(AND($B10="Ferramenta amaldiçoada",$T10=TRUE),OR(IFERROR(VLOOKUP($E10,'DADOS_CUSTOM'!$BM$2:$BU$100,2,FALSE),"")="Arma",IFERROR(VLOOKUP($E10,'DADOS_CUSTOM'!$BM$2:$BU$100,2,FALSE),"")="Escudo")),IFERROR(VLOOKUP($E10,'DADOS_CUSTOM'!$AA$2:$AK$81,2,FALSE),""),"")</f>
        <v/>
      </c>
      <c r="AC90" s="175">
        <f>IF(AND(AND($B10="Ferramenta amaldiçoada",$T10=TRUE),OR(IFERROR(VLOOKUP($E10,'DADOS_CUSTOM'!$BM$2:$BU$100,2,FALSE),"")="Arma",IFERROR(VLOOKUP($E10,'DADOS_CUSTOM'!$BM$2:$BU$100,2,FALSE),"")="Escudo")),IFERROR(VLOOKUP($E10,'DADOS_CUSTOM'!$AA$2:$AK$81,3,FALSE),""),"")</f>
        <v/>
      </c>
      <c r="AD90" s="175">
        <f>IF(AND(AND($B10="Ferramenta amaldiçoada",$T10=TRUE),OR(IFERROR(VLOOKUP($E10,'DADOS_CUSTOM'!$BM$2:$BU$100,2,FALSE),"")="Arma",IFERROR(VLOOKUP($E10,'DADOS_CUSTOM'!$BM$2:$BU$100,2,FALSE),"")="Escudo")),IFERROR(VLOOKUP($E10,'DADOS_CUSTOM'!$AA$2:$AK$81,4,FALSE),""),"")</f>
        <v/>
      </c>
      <c r="AE90" s="175">
        <f>IF(AND(AND($B10="Ferramenta amaldiçoada",$T10=TRUE),OR(IFERROR(VLOOKUP($E10,'DADOS_CUSTOM'!$BM$2:$BU$100,2,FALSE),"")="Arma",IFERROR(VLOOKUP($E10,'DADOS_CUSTOM'!$BM$2:$BU$100,2,FALSE),"")="Escudo")),IFERROR(VLOOKUP($E10,'DADOS_CUSTOM'!$AA$2:$AK$81,5,FALSE),""),"")</f>
        <v/>
      </c>
      <c r="AF90" s="175">
        <f>IF(AND(AND($B10="Ferramenta amaldiçoada",$T10=TRUE),OR(IFERROR(VLOOKUP($E10,'DADOS_CUSTOM'!$BM$2:$BU$100,2,FALSE),"")="Arma",IFERROR(VLOOKUP($E10,'DADOS_CUSTOM'!$BM$2:$BU$100,2,FALSE),"")="Escudo")),IFERROR(VLOOKUP($E10,'DADOS_CUSTOM'!$AA$2:$AK$81,6,FALSE),""),"")</f>
        <v/>
      </c>
      <c r="AG90" s="175">
        <f>IF(AND(AND($B10="Ferramenta amaldiçoada",$T10=TRUE),OR(IFERROR(VLOOKUP($E10,'DADOS_CUSTOM'!$BM$2:$BU$100,2,FALSE),"")="Arma",IFERROR(VLOOKUP($E10,'DADOS_CUSTOM'!$BM$2:$BU$100,2,FALSE),"")="Escudo")),IF($N10="",IFERROR(VLOOKUP($E10,'DADOS_CUSTOM'!$AA$2:$AK$81,7,FALSE),""),$N10),"")</f>
        <v/>
      </c>
      <c r="AH90" s="175">
        <f>IF(AND(AND($B10="Ferramenta amaldiçoada",$T10=TRUE),OR(IFERROR(VLOOKUP($E10,'DADOS_CUSTOM'!$BM$2:$BU$100,2,FALSE),"")="Arma",IFERROR(VLOOKUP($E10,'DADOS_CUSTOM'!$BM$2:$BU$100,2,FALSE),"")="Escudo")),IFERROR(VLOOKUP($E10,'DADOS_CUSTOM'!$AA$2:$AK$81,8,FALSE),""),"")</f>
        <v/>
      </c>
      <c r="AI90" s="175">
        <f>IF(AND(AND($B10="Ferramenta amaldiçoada",$T10=TRUE),OR(IFERROR(VLOOKUP($E10,'DADOS_CUSTOM'!$BM$2:$BU$100,2,FALSE),"")="Arma",IFERROR(VLOOKUP($E10,'DADOS_CUSTOM'!$BM$2:$BU$100,2,FALSE),"")="Escudo")),IFERROR(VLOOKUP($E10,'DADOS_CUSTOM'!$AA$2:$AK$81,9,FALSE),""),"")</f>
        <v/>
      </c>
      <c r="AJ90" s="175">
        <f>IF(AND(AND($B10="Ferramenta amaldiçoada",$T10=TRUE),OR(IFERROR(VLOOKUP($E10,'DADOS_CUSTOM'!$BM$2:$BU$100,2,FALSE),"")="Arma",IFERROR(VLOOKUP($E10,'DADOS_CUSTOM'!$BM$2:$BU$100,2,FALSE),"")="Escudo")),IFERROR(VLOOKUP($E10,'DADOS_CUSTOM'!$AA$2:$AK$81,10,FALSE),""),"")</f>
        <v/>
      </c>
      <c r="AK90" s="175">
        <f>IF(AND(AND($B10="Ferramenta amaldiçoada",$T10=TRUE),OR(IFERROR(VLOOKUP($E10,'DADOS_CUSTOM'!$BM$2:$BU$100,2,FALSE),"")="Arma",IFERROR(VLOOKUP($E10,'DADOS_CUSTOM'!$BM$2:$BU$100,2,FALSE),"")="Escudo")),IFERROR(VLOOKUP($E10,'DADOS_CUSTOM'!$AA$2:$AK$81,11,FALSE),""),"")</f>
        <v/>
      </c>
      <c r="AZ90" s="175">
        <f>IF(AND(OR($B9="Marcante",$B9="Menor"),$C9&lt;&gt;"",$T9=TRUE),$C9,"")</f>
        <v/>
      </c>
      <c r="BA90" s="175">
        <f>IF(AND(OR($B9="Marcante",$B9="Menor"),$C9&lt;&gt;"",$T9=TRUE),$E9,"")</f>
        <v/>
      </c>
      <c r="BB90" s="175">
        <f>IF(AND(OR($B9="Marcante",$B9="Menor"),$C9&lt;&gt;"",$T9=TRUE),IF($B9="Marcante","marcante","menor"),"")</f>
        <v/>
      </c>
      <c r="BC90" s="175">
        <f>IF(AND(OR($B9="Marcante",$B9="Menor"),$C9&lt;&gt;"",$T9=TRUE),IF($B9="Menor",IF($F9="—","",$F9),""),"")</f>
        <v/>
      </c>
      <c r="BD90" s="175">
        <f>IF(AND(OR($B9="Marcante",$B9="Menor"),$C9&lt;&gt;"",$T9=TRUE),$L9,"")</f>
        <v/>
      </c>
      <c r="BE90" s="175">
        <f>IF(AND(OR($B9="Marcante",$B9="Menor"),$C9&lt;&gt;"",$T9=TRUE),$R9,"")</f>
        <v/>
      </c>
      <c r="BM90" s="175">
        <f>IF(AND(OR($B16="Arma",$B16="Escudo",$B16="Uniforme",$B16="Item comum"),$C16&lt;&gt;"",$U16=""),$C16,"")</f>
        <v/>
      </c>
      <c r="BN90" s="175">
        <f>IF(AND(OR($B16="Arma",$B16="Escudo",$B16="Uniforme",$B16="Item comum"),$C16&lt;&gt;"",$U16=""),$B16,"")</f>
        <v/>
      </c>
      <c r="BO90" s="175">
        <f>IF(AND(OR($B16="Arma",$B16="Escudo",$B16="Uniforme",$B16="Item comum"),$C16&lt;&gt;"",$U16=""),IF(OR($B16="Escudo",$B16="Uniforme"),$L16,0),"")</f>
        <v/>
      </c>
      <c r="BP90" s="175">
        <f>IF(AND(OR($B16="Arma",$B16="Escudo",$B16="Uniforme",$B16="Item comum"),$C16&lt;&gt;"",$U16=""),IF(OR($B16="Escudo",$B16="Uniforme"),$M16,"—"),"")</f>
        <v/>
      </c>
      <c r="BQ90" s="175">
        <f>IF(AND(OR($B16="Arma",$B16="Escudo",$B16="Uniforme",$B16="Item comum"),$C16&lt;&gt;"",$U16=""),IF($B16="Arma",$M16,IF($B16="Item comum",0,$N16)),"")</f>
        <v/>
      </c>
      <c r="BR90" s="175">
        <f>IF(AND(OR($B16="Arma",$B16="Escudo",$B16="Uniforme",$B16="Item comum"),$C16&lt;&gt;"",$U16=""),IF($B16="Arma",$N16,IF($B16="Item comum",$L16,$O16)),"")</f>
        <v/>
      </c>
      <c r="BS90" s="175">
        <f>IF(AND(OR($B16="Arma",$B16="Escudo",$B16="Uniforme",$B16="Item comum"),$C16&lt;&gt;"",$U16=""),IF($B16="Uniforme",$E16,"—"),"")</f>
        <v/>
      </c>
      <c r="BT90" s="175">
        <f>IF(AND(OR($B16="Arma",$B16="Escudo",$B16="Uniforme",$B16="Item comum"),$C16&lt;&gt;"",$U16=""),"","")</f>
        <v/>
      </c>
      <c r="BU90" s="175">
        <f>IF(AND(OR($B16="Arma",$B16="Escudo",$B16="Uniforme",$B16="Item comum"),$C16&lt;&gt;"",$U16=""),"","")</f>
        <v/>
      </c>
      <c r="BV90" s="175" t="inlineStr">
        <is>
          <t>Machete</t>
        </is>
      </c>
      <c r="CK90" s="175">
        <f>IF(OR('CONFIGURAÇÃO'!$T$217="Arma",'CONFIGURAÇÃO'!$T$217="Escudo",'CONFIGURAÇÃO'!$T$217="Uniforme",'CONFIGURAÇÃO'!$T$217="Item comum"),'CONFIGURAÇÃO'!$T$219,"")</f>
        <v/>
      </c>
    </row>
    <row r="91">
      <c r="AA91" s="175">
        <f>IF(AND(AND($B11="Ferramenta amaldiçoada",$T11=TRUE),OR(IFERROR(VLOOKUP($E11,'DADOS_CUSTOM'!$BM$2:$BU$100,2,FALSE),"")="Arma",IFERROR(VLOOKUP($E11,'DADOS_CUSTOM'!$BM$2:$BU$100,2,FALSE),"")="Escudo")),$C11,"")</f>
        <v/>
      </c>
      <c r="AB91" s="175">
        <f>IF(AND(AND($B11="Ferramenta amaldiçoada",$T11=TRUE),OR(IFERROR(VLOOKUP($E11,'DADOS_CUSTOM'!$BM$2:$BU$100,2,FALSE),"")="Arma",IFERROR(VLOOKUP($E11,'DADOS_CUSTOM'!$BM$2:$BU$100,2,FALSE),"")="Escudo")),IFERROR(VLOOKUP($E11,'DADOS_CUSTOM'!$AA$2:$AK$81,2,FALSE),""),"")</f>
        <v/>
      </c>
      <c r="AC91" s="175">
        <f>IF(AND(AND($B11="Ferramenta amaldiçoada",$T11=TRUE),OR(IFERROR(VLOOKUP($E11,'DADOS_CUSTOM'!$BM$2:$BU$100,2,FALSE),"")="Arma",IFERROR(VLOOKUP($E11,'DADOS_CUSTOM'!$BM$2:$BU$100,2,FALSE),"")="Escudo")),IFERROR(VLOOKUP($E11,'DADOS_CUSTOM'!$AA$2:$AK$81,3,FALSE),""),"")</f>
        <v/>
      </c>
      <c r="AD91" s="175">
        <f>IF(AND(AND($B11="Ferramenta amaldiçoada",$T11=TRUE),OR(IFERROR(VLOOKUP($E11,'DADOS_CUSTOM'!$BM$2:$BU$100,2,FALSE),"")="Arma",IFERROR(VLOOKUP($E11,'DADOS_CUSTOM'!$BM$2:$BU$100,2,FALSE),"")="Escudo")),IFERROR(VLOOKUP($E11,'DADOS_CUSTOM'!$AA$2:$AK$81,4,FALSE),""),"")</f>
        <v/>
      </c>
      <c r="AE91" s="175">
        <f>IF(AND(AND($B11="Ferramenta amaldiçoada",$T11=TRUE),OR(IFERROR(VLOOKUP($E11,'DADOS_CUSTOM'!$BM$2:$BU$100,2,FALSE),"")="Arma",IFERROR(VLOOKUP($E11,'DADOS_CUSTOM'!$BM$2:$BU$100,2,FALSE),"")="Escudo")),IFERROR(VLOOKUP($E11,'DADOS_CUSTOM'!$AA$2:$AK$81,5,FALSE),""),"")</f>
        <v/>
      </c>
      <c r="AF91" s="175">
        <f>IF(AND(AND($B11="Ferramenta amaldiçoada",$T11=TRUE),OR(IFERROR(VLOOKUP($E11,'DADOS_CUSTOM'!$BM$2:$BU$100,2,FALSE),"")="Arma",IFERROR(VLOOKUP($E11,'DADOS_CUSTOM'!$BM$2:$BU$100,2,FALSE),"")="Escudo")),IFERROR(VLOOKUP($E11,'DADOS_CUSTOM'!$AA$2:$AK$81,6,FALSE),""),"")</f>
        <v/>
      </c>
      <c r="AG91" s="175">
        <f>IF(AND(AND($B11="Ferramenta amaldiçoada",$T11=TRUE),OR(IFERROR(VLOOKUP($E11,'DADOS_CUSTOM'!$BM$2:$BU$100,2,FALSE),"")="Arma",IFERROR(VLOOKUP($E11,'DADOS_CUSTOM'!$BM$2:$BU$100,2,FALSE),"")="Escudo")),IF($N11="",IFERROR(VLOOKUP($E11,'DADOS_CUSTOM'!$AA$2:$AK$81,7,FALSE),""),$N11),"")</f>
        <v/>
      </c>
      <c r="AH91" s="175">
        <f>IF(AND(AND($B11="Ferramenta amaldiçoada",$T11=TRUE),OR(IFERROR(VLOOKUP($E11,'DADOS_CUSTOM'!$BM$2:$BU$100,2,FALSE),"")="Arma",IFERROR(VLOOKUP($E11,'DADOS_CUSTOM'!$BM$2:$BU$100,2,FALSE),"")="Escudo")),IFERROR(VLOOKUP($E11,'DADOS_CUSTOM'!$AA$2:$AK$81,8,FALSE),""),"")</f>
        <v/>
      </c>
      <c r="AI91" s="175">
        <f>IF(AND(AND($B11="Ferramenta amaldiçoada",$T11=TRUE),OR(IFERROR(VLOOKUP($E11,'DADOS_CUSTOM'!$BM$2:$BU$100,2,FALSE),"")="Arma",IFERROR(VLOOKUP($E11,'DADOS_CUSTOM'!$BM$2:$BU$100,2,FALSE),"")="Escudo")),IFERROR(VLOOKUP($E11,'DADOS_CUSTOM'!$AA$2:$AK$81,9,FALSE),""),"")</f>
        <v/>
      </c>
      <c r="AJ91" s="175">
        <f>IF(AND(AND($B11="Ferramenta amaldiçoada",$T11=TRUE),OR(IFERROR(VLOOKUP($E11,'DADOS_CUSTOM'!$BM$2:$BU$100,2,FALSE),"")="Arma",IFERROR(VLOOKUP($E11,'DADOS_CUSTOM'!$BM$2:$BU$100,2,FALSE),"")="Escudo")),IFERROR(VLOOKUP($E11,'DADOS_CUSTOM'!$AA$2:$AK$81,10,FALSE),""),"")</f>
        <v/>
      </c>
      <c r="AK91" s="175">
        <f>IF(AND(AND($B11="Ferramenta amaldiçoada",$T11=TRUE),OR(IFERROR(VLOOKUP($E11,'DADOS_CUSTOM'!$BM$2:$BU$100,2,FALSE),"")="Arma",IFERROR(VLOOKUP($E11,'DADOS_CUSTOM'!$BM$2:$BU$100,2,FALSE),"")="Escudo")),IFERROR(VLOOKUP($E11,'DADOS_CUSTOM'!$AA$2:$AK$81,11,FALSE),""),"")</f>
        <v/>
      </c>
      <c r="AZ91" s="175">
        <f>IF(AND(OR($B10="Marcante",$B10="Menor"),$C10&lt;&gt;"",$T10=TRUE),$C10,"")</f>
        <v/>
      </c>
      <c r="BA91" s="175">
        <f>IF(AND(OR($B10="Marcante",$B10="Menor"),$C10&lt;&gt;"",$T10=TRUE),$E10,"")</f>
        <v/>
      </c>
      <c r="BB91" s="175">
        <f>IF(AND(OR($B10="Marcante",$B10="Menor"),$C10&lt;&gt;"",$T10=TRUE),IF($B10="Marcante","marcante","menor"),"")</f>
        <v/>
      </c>
      <c r="BC91" s="175">
        <f>IF(AND(OR($B10="Marcante",$B10="Menor"),$C10&lt;&gt;"",$T10=TRUE),IF($B10="Menor",IF($F10="—","",$F10),""),"")</f>
        <v/>
      </c>
      <c r="BD91" s="175">
        <f>IF(AND(OR($B10="Marcante",$B10="Menor"),$C10&lt;&gt;"",$T10=TRUE),$L10,"")</f>
        <v/>
      </c>
      <c r="BE91" s="175">
        <f>IF(AND(OR($B10="Marcante",$B10="Menor"),$C10&lt;&gt;"",$T10=TRUE),$R10,"")</f>
        <v/>
      </c>
      <c r="BM91" s="175">
        <f>IF(AND(OR($B17="Arma",$B17="Escudo",$B17="Uniforme",$B17="Item comum"),$C17&lt;&gt;"",$U17=""),$C17,"")</f>
        <v/>
      </c>
      <c r="BN91" s="175">
        <f>IF(AND(OR($B17="Arma",$B17="Escudo",$B17="Uniforme",$B17="Item comum"),$C17&lt;&gt;"",$U17=""),$B17,"")</f>
        <v/>
      </c>
      <c r="BO91" s="175">
        <f>IF(AND(OR($B17="Arma",$B17="Escudo",$B17="Uniforme",$B17="Item comum"),$C17&lt;&gt;"",$U17=""),IF(OR($B17="Escudo",$B17="Uniforme"),$L17,0),"")</f>
        <v/>
      </c>
      <c r="BP91" s="175">
        <f>IF(AND(OR($B17="Arma",$B17="Escudo",$B17="Uniforme",$B17="Item comum"),$C17&lt;&gt;"",$U17=""),IF(OR($B17="Escudo",$B17="Uniforme"),$M17,"—"),"")</f>
        <v/>
      </c>
      <c r="BQ91" s="175">
        <f>IF(AND(OR($B17="Arma",$B17="Escudo",$B17="Uniforme",$B17="Item comum"),$C17&lt;&gt;"",$U17=""),IF($B17="Arma",$M17,IF($B17="Item comum",0,$N17)),"")</f>
        <v/>
      </c>
      <c r="BR91" s="175">
        <f>IF(AND(OR($B17="Arma",$B17="Escudo",$B17="Uniforme",$B17="Item comum"),$C17&lt;&gt;"",$U17=""),IF($B17="Arma",$N17,IF($B17="Item comum",$L17,$O17)),"")</f>
        <v/>
      </c>
      <c r="BS91" s="175">
        <f>IF(AND(OR($B17="Arma",$B17="Escudo",$B17="Uniforme",$B17="Item comum"),$C17&lt;&gt;"",$U17=""),IF($B17="Uniforme",$E17,"—"),"")</f>
        <v/>
      </c>
      <c r="BT91" s="175">
        <f>IF(AND(OR($B17="Arma",$B17="Escudo",$B17="Uniforme",$B17="Item comum"),$C17&lt;&gt;"",$U17=""),"","")</f>
        <v/>
      </c>
      <c r="BU91" s="175">
        <f>IF(AND(OR($B17="Arma",$B17="Escudo",$B17="Uniforme",$B17="Item comum"),$C17&lt;&gt;"",$U17=""),"","")</f>
        <v/>
      </c>
      <c r="BV91" s="175" t="inlineStr">
        <is>
          <t>Manifestação Instintiva</t>
        </is>
      </c>
      <c r="CK91" s="175">
        <f>IF(OR('CONFIGURAÇÃO'!$AB$217="Arma",'CONFIGURAÇÃO'!$AB$217="Escudo",'CONFIGURAÇÃO'!$AB$217="Uniforme",'CONFIGURAÇÃO'!$AB$217="Item comum"),'CONFIGURAÇÃO'!$AB$219,"")</f>
        <v/>
      </c>
    </row>
    <row r="92">
      <c r="AA92" s="175">
        <f>IF(AND(AND($B12="Ferramenta amaldiçoada",$T12=TRUE),OR(IFERROR(VLOOKUP($E12,'DADOS_CUSTOM'!$BM$2:$BU$100,2,FALSE),"")="Arma",IFERROR(VLOOKUP($E12,'DADOS_CUSTOM'!$BM$2:$BU$100,2,FALSE),"")="Escudo")),$C12,"")</f>
        <v/>
      </c>
      <c r="AB92" s="175">
        <f>IF(AND(AND($B12="Ferramenta amaldiçoada",$T12=TRUE),OR(IFERROR(VLOOKUP($E12,'DADOS_CUSTOM'!$BM$2:$BU$100,2,FALSE),"")="Arma",IFERROR(VLOOKUP($E12,'DADOS_CUSTOM'!$BM$2:$BU$100,2,FALSE),"")="Escudo")),IFERROR(VLOOKUP($E12,'DADOS_CUSTOM'!$AA$2:$AK$81,2,FALSE),""),"")</f>
        <v/>
      </c>
      <c r="AC92" s="175">
        <f>IF(AND(AND($B12="Ferramenta amaldiçoada",$T12=TRUE),OR(IFERROR(VLOOKUP($E12,'DADOS_CUSTOM'!$BM$2:$BU$100,2,FALSE),"")="Arma",IFERROR(VLOOKUP($E12,'DADOS_CUSTOM'!$BM$2:$BU$100,2,FALSE),"")="Escudo")),IFERROR(VLOOKUP($E12,'DADOS_CUSTOM'!$AA$2:$AK$81,3,FALSE),""),"")</f>
        <v/>
      </c>
      <c r="AD92" s="175">
        <f>IF(AND(AND($B12="Ferramenta amaldiçoada",$T12=TRUE),OR(IFERROR(VLOOKUP($E12,'DADOS_CUSTOM'!$BM$2:$BU$100,2,FALSE),"")="Arma",IFERROR(VLOOKUP($E12,'DADOS_CUSTOM'!$BM$2:$BU$100,2,FALSE),"")="Escudo")),IFERROR(VLOOKUP($E12,'DADOS_CUSTOM'!$AA$2:$AK$81,4,FALSE),""),"")</f>
        <v/>
      </c>
      <c r="AE92" s="175">
        <f>IF(AND(AND($B12="Ferramenta amaldiçoada",$T12=TRUE),OR(IFERROR(VLOOKUP($E12,'DADOS_CUSTOM'!$BM$2:$BU$100,2,FALSE),"")="Arma",IFERROR(VLOOKUP($E12,'DADOS_CUSTOM'!$BM$2:$BU$100,2,FALSE),"")="Escudo")),IFERROR(VLOOKUP($E12,'DADOS_CUSTOM'!$AA$2:$AK$81,5,FALSE),""),"")</f>
        <v/>
      </c>
      <c r="AF92" s="175">
        <f>IF(AND(AND($B12="Ferramenta amaldiçoada",$T12=TRUE),OR(IFERROR(VLOOKUP($E12,'DADOS_CUSTOM'!$BM$2:$BU$100,2,FALSE),"")="Arma",IFERROR(VLOOKUP($E12,'DADOS_CUSTOM'!$BM$2:$BU$100,2,FALSE),"")="Escudo")),IFERROR(VLOOKUP($E12,'DADOS_CUSTOM'!$AA$2:$AK$81,6,FALSE),""),"")</f>
        <v/>
      </c>
      <c r="AG92" s="175">
        <f>IF(AND(AND($B12="Ferramenta amaldiçoada",$T12=TRUE),OR(IFERROR(VLOOKUP($E12,'DADOS_CUSTOM'!$BM$2:$BU$100,2,FALSE),"")="Arma",IFERROR(VLOOKUP($E12,'DADOS_CUSTOM'!$BM$2:$BU$100,2,FALSE),"")="Escudo")),IF($N12="",IFERROR(VLOOKUP($E12,'DADOS_CUSTOM'!$AA$2:$AK$81,7,FALSE),""),$N12),"")</f>
        <v/>
      </c>
      <c r="AH92" s="175">
        <f>IF(AND(AND($B12="Ferramenta amaldiçoada",$T12=TRUE),OR(IFERROR(VLOOKUP($E12,'DADOS_CUSTOM'!$BM$2:$BU$100,2,FALSE),"")="Arma",IFERROR(VLOOKUP($E12,'DADOS_CUSTOM'!$BM$2:$BU$100,2,FALSE),"")="Escudo")),IFERROR(VLOOKUP($E12,'DADOS_CUSTOM'!$AA$2:$AK$81,8,FALSE),""),"")</f>
        <v/>
      </c>
      <c r="AI92" s="175">
        <f>IF(AND(AND($B12="Ferramenta amaldiçoada",$T12=TRUE),OR(IFERROR(VLOOKUP($E12,'DADOS_CUSTOM'!$BM$2:$BU$100,2,FALSE),"")="Arma",IFERROR(VLOOKUP($E12,'DADOS_CUSTOM'!$BM$2:$BU$100,2,FALSE),"")="Escudo")),IFERROR(VLOOKUP($E12,'DADOS_CUSTOM'!$AA$2:$AK$81,9,FALSE),""),"")</f>
        <v/>
      </c>
      <c r="AJ92" s="175">
        <f>IF(AND(AND($B12="Ferramenta amaldiçoada",$T12=TRUE),OR(IFERROR(VLOOKUP($E12,'DADOS_CUSTOM'!$BM$2:$BU$100,2,FALSE),"")="Arma",IFERROR(VLOOKUP($E12,'DADOS_CUSTOM'!$BM$2:$BU$100,2,FALSE),"")="Escudo")),IFERROR(VLOOKUP($E12,'DADOS_CUSTOM'!$AA$2:$AK$81,10,FALSE),""),"")</f>
        <v/>
      </c>
      <c r="AK92" s="175">
        <f>IF(AND(AND($B12="Ferramenta amaldiçoada",$T12=TRUE),OR(IFERROR(VLOOKUP($E12,'DADOS_CUSTOM'!$BM$2:$BU$100,2,FALSE),"")="Arma",IFERROR(VLOOKUP($E12,'DADOS_CUSTOM'!$BM$2:$BU$100,2,FALSE),"")="Escudo")),IFERROR(VLOOKUP($E12,'DADOS_CUSTOM'!$AA$2:$AK$81,11,FALSE),""),"")</f>
        <v/>
      </c>
      <c r="AZ92" s="175">
        <f>IF(AND(OR($B11="Marcante",$B11="Menor"),$C11&lt;&gt;"",$T11=TRUE),$C11,"")</f>
        <v/>
      </c>
      <c r="BA92" s="175">
        <f>IF(AND(OR($B11="Marcante",$B11="Menor"),$C11&lt;&gt;"",$T11=TRUE),$E11,"")</f>
        <v/>
      </c>
      <c r="BB92" s="175">
        <f>IF(AND(OR($B11="Marcante",$B11="Menor"),$C11&lt;&gt;"",$T11=TRUE),IF($B11="Marcante","marcante","menor"),"")</f>
        <v/>
      </c>
      <c r="BC92" s="175">
        <f>IF(AND(OR($B11="Marcante",$B11="Menor"),$C11&lt;&gt;"",$T11=TRUE),IF($B11="Menor",IF($F11="—","",$F11),""),"")</f>
        <v/>
      </c>
      <c r="BD92" s="175">
        <f>IF(AND(OR($B11="Marcante",$B11="Menor"),$C11&lt;&gt;"",$T11=TRUE),$L11,"")</f>
        <v/>
      </c>
      <c r="BE92" s="175">
        <f>IF(AND(OR($B11="Marcante",$B11="Menor"),$C11&lt;&gt;"",$T11=TRUE),$R11,"")</f>
        <v/>
      </c>
      <c r="BM92" s="175">
        <f>IF(AND(OR($B18="Arma",$B18="Escudo",$B18="Uniforme",$B18="Item comum"),$C18&lt;&gt;"",$U18=""),$C18,"")</f>
        <v/>
      </c>
      <c r="BN92" s="175">
        <f>IF(AND(OR($B18="Arma",$B18="Escudo",$B18="Uniforme",$B18="Item comum"),$C18&lt;&gt;"",$U18=""),$B18,"")</f>
        <v/>
      </c>
      <c r="BO92" s="175">
        <f>IF(AND(OR($B18="Arma",$B18="Escudo",$B18="Uniforme",$B18="Item comum"),$C18&lt;&gt;"",$U18=""),IF(OR($B18="Escudo",$B18="Uniforme"),$L18,0),"")</f>
        <v/>
      </c>
      <c r="BP92" s="175">
        <f>IF(AND(OR($B18="Arma",$B18="Escudo",$B18="Uniforme",$B18="Item comum"),$C18&lt;&gt;"",$U18=""),IF(OR($B18="Escudo",$B18="Uniforme"),$M18,"—"),"")</f>
        <v/>
      </c>
      <c r="BQ92" s="175">
        <f>IF(AND(OR($B18="Arma",$B18="Escudo",$B18="Uniforme",$B18="Item comum"),$C18&lt;&gt;"",$U18=""),IF($B18="Arma",$M18,IF($B18="Item comum",0,$N18)),"")</f>
        <v/>
      </c>
      <c r="BR92" s="175">
        <f>IF(AND(OR($B18="Arma",$B18="Escudo",$B18="Uniforme",$B18="Item comum"),$C18&lt;&gt;"",$U18=""),IF($B18="Arma",$N18,IF($B18="Item comum",$L18,$O18)),"")</f>
        <v/>
      </c>
      <c r="BS92" s="175">
        <f>IF(AND(OR($B18="Arma",$B18="Escudo",$B18="Uniforme",$B18="Item comum"),$C18&lt;&gt;"",$U18=""),IF($B18="Uniforme",$E18,"—"),"")</f>
        <v/>
      </c>
      <c r="BT92" s="175">
        <f>IF(AND(OR($B18="Arma",$B18="Escudo",$B18="Uniforme",$B18="Item comum"),$C18&lt;&gt;"",$U18=""),"","")</f>
        <v/>
      </c>
      <c r="BU92" s="175">
        <f>IF(AND(OR($B18="Arma",$B18="Escudo",$B18="Uniforme",$B18="Item comum"),$C18&lt;&gt;"",$U18=""),"","")</f>
        <v/>
      </c>
      <c r="BV92" s="175" t="inlineStr">
        <is>
          <t>Manriki</t>
        </is>
      </c>
      <c r="CK92" s="175">
        <f>IF(OR('CONFIGURAÇÃO'!$T$246="Arma",'CONFIGURAÇÃO'!$T$246="Escudo",'CONFIGURAÇÃO'!$T$246="Uniforme",'CONFIGURAÇÃO'!$T$246="Item comum"),'CONFIGURAÇÃO'!$T$248,"")</f>
        <v/>
      </c>
    </row>
    <row r="93">
      <c r="AA93" s="175">
        <f>IF(AND(AND($B13="Ferramenta amaldiçoada",$T13=TRUE),OR(IFERROR(VLOOKUP($E13,'DADOS_CUSTOM'!$BM$2:$BU$100,2,FALSE),"")="Arma",IFERROR(VLOOKUP($E13,'DADOS_CUSTOM'!$BM$2:$BU$100,2,FALSE),"")="Escudo")),$C13,"")</f>
        <v/>
      </c>
      <c r="AB93" s="175">
        <f>IF(AND(AND($B13="Ferramenta amaldiçoada",$T13=TRUE),OR(IFERROR(VLOOKUP($E13,'DADOS_CUSTOM'!$BM$2:$BU$100,2,FALSE),"")="Arma",IFERROR(VLOOKUP($E13,'DADOS_CUSTOM'!$BM$2:$BU$100,2,FALSE),"")="Escudo")),IFERROR(VLOOKUP($E13,'DADOS_CUSTOM'!$AA$2:$AK$81,2,FALSE),""),"")</f>
        <v/>
      </c>
      <c r="AC93" s="175">
        <f>IF(AND(AND($B13="Ferramenta amaldiçoada",$T13=TRUE),OR(IFERROR(VLOOKUP($E13,'DADOS_CUSTOM'!$BM$2:$BU$100,2,FALSE),"")="Arma",IFERROR(VLOOKUP($E13,'DADOS_CUSTOM'!$BM$2:$BU$100,2,FALSE),"")="Escudo")),IFERROR(VLOOKUP($E13,'DADOS_CUSTOM'!$AA$2:$AK$81,3,FALSE),""),"")</f>
        <v/>
      </c>
      <c r="AD93" s="175">
        <f>IF(AND(AND($B13="Ferramenta amaldiçoada",$T13=TRUE),OR(IFERROR(VLOOKUP($E13,'DADOS_CUSTOM'!$BM$2:$BU$100,2,FALSE),"")="Arma",IFERROR(VLOOKUP($E13,'DADOS_CUSTOM'!$BM$2:$BU$100,2,FALSE),"")="Escudo")),IFERROR(VLOOKUP($E13,'DADOS_CUSTOM'!$AA$2:$AK$81,4,FALSE),""),"")</f>
        <v/>
      </c>
      <c r="AE93" s="175">
        <f>IF(AND(AND($B13="Ferramenta amaldiçoada",$T13=TRUE),OR(IFERROR(VLOOKUP($E13,'DADOS_CUSTOM'!$BM$2:$BU$100,2,FALSE),"")="Arma",IFERROR(VLOOKUP($E13,'DADOS_CUSTOM'!$BM$2:$BU$100,2,FALSE),"")="Escudo")),IFERROR(VLOOKUP($E13,'DADOS_CUSTOM'!$AA$2:$AK$81,5,FALSE),""),"")</f>
        <v/>
      </c>
      <c r="AF93" s="175">
        <f>IF(AND(AND($B13="Ferramenta amaldiçoada",$T13=TRUE),OR(IFERROR(VLOOKUP($E13,'DADOS_CUSTOM'!$BM$2:$BU$100,2,FALSE),"")="Arma",IFERROR(VLOOKUP($E13,'DADOS_CUSTOM'!$BM$2:$BU$100,2,FALSE),"")="Escudo")),IFERROR(VLOOKUP($E13,'DADOS_CUSTOM'!$AA$2:$AK$81,6,FALSE),""),"")</f>
        <v/>
      </c>
      <c r="AG93" s="175">
        <f>IF(AND(AND($B13="Ferramenta amaldiçoada",$T13=TRUE),OR(IFERROR(VLOOKUP($E13,'DADOS_CUSTOM'!$BM$2:$BU$100,2,FALSE),"")="Arma",IFERROR(VLOOKUP($E13,'DADOS_CUSTOM'!$BM$2:$BU$100,2,FALSE),"")="Escudo")),IF($N13="",IFERROR(VLOOKUP($E13,'DADOS_CUSTOM'!$AA$2:$AK$81,7,FALSE),""),$N13),"")</f>
        <v/>
      </c>
      <c r="AH93" s="175">
        <f>IF(AND(AND($B13="Ferramenta amaldiçoada",$T13=TRUE),OR(IFERROR(VLOOKUP($E13,'DADOS_CUSTOM'!$BM$2:$BU$100,2,FALSE),"")="Arma",IFERROR(VLOOKUP($E13,'DADOS_CUSTOM'!$BM$2:$BU$100,2,FALSE),"")="Escudo")),IFERROR(VLOOKUP($E13,'DADOS_CUSTOM'!$AA$2:$AK$81,8,FALSE),""),"")</f>
        <v/>
      </c>
      <c r="AI93" s="175">
        <f>IF(AND(AND($B13="Ferramenta amaldiçoada",$T13=TRUE),OR(IFERROR(VLOOKUP($E13,'DADOS_CUSTOM'!$BM$2:$BU$100,2,FALSE),"")="Arma",IFERROR(VLOOKUP($E13,'DADOS_CUSTOM'!$BM$2:$BU$100,2,FALSE),"")="Escudo")),IFERROR(VLOOKUP($E13,'DADOS_CUSTOM'!$AA$2:$AK$81,9,FALSE),""),"")</f>
        <v/>
      </c>
      <c r="AJ93" s="175">
        <f>IF(AND(AND($B13="Ferramenta amaldiçoada",$T13=TRUE),OR(IFERROR(VLOOKUP($E13,'DADOS_CUSTOM'!$BM$2:$BU$100,2,FALSE),"")="Arma",IFERROR(VLOOKUP($E13,'DADOS_CUSTOM'!$BM$2:$BU$100,2,FALSE),"")="Escudo")),IFERROR(VLOOKUP($E13,'DADOS_CUSTOM'!$AA$2:$AK$81,10,FALSE),""),"")</f>
        <v/>
      </c>
      <c r="AK93" s="175">
        <f>IF(AND(AND($B13="Ferramenta amaldiçoada",$T13=TRUE),OR(IFERROR(VLOOKUP($E13,'DADOS_CUSTOM'!$BM$2:$BU$100,2,FALSE),"")="Arma",IFERROR(VLOOKUP($E13,'DADOS_CUSTOM'!$BM$2:$BU$100,2,FALSE),"")="Escudo")),IFERROR(VLOOKUP($E13,'DADOS_CUSTOM'!$AA$2:$AK$81,11,FALSE),""),"")</f>
        <v/>
      </c>
      <c r="AZ93" s="175">
        <f>IF(AND(OR($B12="Marcante",$B12="Menor"),$C12&lt;&gt;"",$T12=TRUE),$C12,"")</f>
        <v/>
      </c>
      <c r="BA93" s="175">
        <f>IF(AND(OR($B12="Marcante",$B12="Menor"),$C12&lt;&gt;"",$T12=TRUE),$E12,"")</f>
        <v/>
      </c>
      <c r="BB93" s="175">
        <f>IF(AND(OR($B12="Marcante",$B12="Menor"),$C12&lt;&gt;"",$T12=TRUE),IF($B12="Marcante","marcante","menor"),"")</f>
        <v/>
      </c>
      <c r="BC93" s="175">
        <f>IF(AND(OR($B12="Marcante",$B12="Menor"),$C12&lt;&gt;"",$T12=TRUE),IF($B12="Menor",IF($F12="—","",$F12),""),"")</f>
        <v/>
      </c>
      <c r="BD93" s="175">
        <f>IF(AND(OR($B12="Marcante",$B12="Menor"),$C12&lt;&gt;"",$T12=TRUE),$L12,"")</f>
        <v/>
      </c>
      <c r="BE93" s="175">
        <f>IF(AND(OR($B12="Marcante",$B12="Menor"),$C12&lt;&gt;"",$T12=TRUE),$R12,"")</f>
        <v/>
      </c>
      <c r="BM93" s="175">
        <f>IF(AND(OR($B19="Arma",$B19="Escudo",$B19="Uniforme",$B19="Item comum"),$C19&lt;&gt;"",$U19=""),$C19,"")</f>
        <v/>
      </c>
      <c r="BN93" s="175">
        <f>IF(AND(OR($B19="Arma",$B19="Escudo",$B19="Uniforme",$B19="Item comum"),$C19&lt;&gt;"",$U19=""),$B19,"")</f>
        <v/>
      </c>
      <c r="BO93" s="175">
        <f>IF(AND(OR($B19="Arma",$B19="Escudo",$B19="Uniforme",$B19="Item comum"),$C19&lt;&gt;"",$U19=""),IF(OR($B19="Escudo",$B19="Uniforme"),$L19,0),"")</f>
        <v/>
      </c>
      <c r="BP93" s="175">
        <f>IF(AND(OR($B19="Arma",$B19="Escudo",$B19="Uniforme",$B19="Item comum"),$C19&lt;&gt;"",$U19=""),IF(OR($B19="Escudo",$B19="Uniforme"),$M19,"—"),"")</f>
        <v/>
      </c>
      <c r="BQ93" s="175">
        <f>IF(AND(OR($B19="Arma",$B19="Escudo",$B19="Uniforme",$B19="Item comum"),$C19&lt;&gt;"",$U19=""),IF($B19="Arma",$M19,IF($B19="Item comum",0,$N19)),"")</f>
        <v/>
      </c>
      <c r="BR93" s="175">
        <f>IF(AND(OR($B19="Arma",$B19="Escudo",$B19="Uniforme",$B19="Item comum"),$C19&lt;&gt;"",$U19=""),IF($B19="Arma",$N19,IF($B19="Item comum",$L19,$O19)),"")</f>
        <v/>
      </c>
      <c r="BS93" s="175">
        <f>IF(AND(OR($B19="Arma",$B19="Escudo",$B19="Uniforme",$B19="Item comum"),$C19&lt;&gt;"",$U19=""),IF($B19="Uniforme",$E19,"—"),"")</f>
        <v/>
      </c>
      <c r="BT93" s="175">
        <f>IF(AND(OR($B19="Arma",$B19="Escudo",$B19="Uniforme",$B19="Item comum"),$C19&lt;&gt;"",$U19=""),"","")</f>
        <v/>
      </c>
      <c r="BU93" s="175">
        <f>IF(AND(OR($B19="Arma",$B19="Escudo",$B19="Uniforme",$B19="Item comum"),$C19&lt;&gt;"",$U19=""),"","")</f>
        <v/>
      </c>
      <c r="BV93" s="175" t="inlineStr">
        <is>
          <t>Mapa Mental</t>
        </is>
      </c>
      <c r="CK93" s="175">
        <f>IF(OR('CONFIGURAÇÃO'!$AB$246="Arma",'CONFIGURAÇÃO'!$AB$246="Escudo",'CONFIGURAÇÃO'!$AB$246="Uniforme",'CONFIGURAÇÃO'!$AB$246="Item comum"),'CONFIGURAÇÃO'!$AB$248,"")</f>
        <v/>
      </c>
    </row>
    <row r="94">
      <c r="AA94" s="175">
        <f>IF(AND(AND($B14="Ferramenta amaldiçoada",$T14=TRUE),OR(IFERROR(VLOOKUP($E14,'DADOS_CUSTOM'!$BM$2:$BU$100,2,FALSE),"")="Arma",IFERROR(VLOOKUP($E14,'DADOS_CUSTOM'!$BM$2:$BU$100,2,FALSE),"")="Escudo")),$C14,"")</f>
        <v/>
      </c>
      <c r="AB94" s="175">
        <f>IF(AND(AND($B14="Ferramenta amaldiçoada",$T14=TRUE),OR(IFERROR(VLOOKUP($E14,'DADOS_CUSTOM'!$BM$2:$BU$100,2,FALSE),"")="Arma",IFERROR(VLOOKUP($E14,'DADOS_CUSTOM'!$BM$2:$BU$100,2,FALSE),"")="Escudo")),IFERROR(VLOOKUP($E14,'DADOS_CUSTOM'!$AA$2:$AK$81,2,FALSE),""),"")</f>
        <v/>
      </c>
      <c r="AC94" s="175">
        <f>IF(AND(AND($B14="Ferramenta amaldiçoada",$T14=TRUE),OR(IFERROR(VLOOKUP($E14,'DADOS_CUSTOM'!$BM$2:$BU$100,2,FALSE),"")="Arma",IFERROR(VLOOKUP($E14,'DADOS_CUSTOM'!$BM$2:$BU$100,2,FALSE),"")="Escudo")),IFERROR(VLOOKUP($E14,'DADOS_CUSTOM'!$AA$2:$AK$81,3,FALSE),""),"")</f>
        <v/>
      </c>
      <c r="AD94" s="175">
        <f>IF(AND(AND($B14="Ferramenta amaldiçoada",$T14=TRUE),OR(IFERROR(VLOOKUP($E14,'DADOS_CUSTOM'!$BM$2:$BU$100,2,FALSE),"")="Arma",IFERROR(VLOOKUP($E14,'DADOS_CUSTOM'!$BM$2:$BU$100,2,FALSE),"")="Escudo")),IFERROR(VLOOKUP($E14,'DADOS_CUSTOM'!$AA$2:$AK$81,4,FALSE),""),"")</f>
        <v/>
      </c>
      <c r="AE94" s="175">
        <f>IF(AND(AND($B14="Ferramenta amaldiçoada",$T14=TRUE),OR(IFERROR(VLOOKUP($E14,'DADOS_CUSTOM'!$BM$2:$BU$100,2,FALSE),"")="Arma",IFERROR(VLOOKUP($E14,'DADOS_CUSTOM'!$BM$2:$BU$100,2,FALSE),"")="Escudo")),IFERROR(VLOOKUP($E14,'DADOS_CUSTOM'!$AA$2:$AK$81,5,FALSE),""),"")</f>
        <v/>
      </c>
      <c r="AF94" s="175">
        <f>IF(AND(AND($B14="Ferramenta amaldiçoada",$T14=TRUE),OR(IFERROR(VLOOKUP($E14,'DADOS_CUSTOM'!$BM$2:$BU$100,2,FALSE),"")="Arma",IFERROR(VLOOKUP($E14,'DADOS_CUSTOM'!$BM$2:$BU$100,2,FALSE),"")="Escudo")),IFERROR(VLOOKUP($E14,'DADOS_CUSTOM'!$AA$2:$AK$81,6,FALSE),""),"")</f>
        <v/>
      </c>
      <c r="AG94" s="175">
        <f>IF(AND(AND($B14="Ferramenta amaldiçoada",$T14=TRUE),OR(IFERROR(VLOOKUP($E14,'DADOS_CUSTOM'!$BM$2:$BU$100,2,FALSE),"")="Arma",IFERROR(VLOOKUP($E14,'DADOS_CUSTOM'!$BM$2:$BU$100,2,FALSE),"")="Escudo")),IF($N14="",IFERROR(VLOOKUP($E14,'DADOS_CUSTOM'!$AA$2:$AK$81,7,FALSE),""),$N14),"")</f>
        <v/>
      </c>
      <c r="AH94" s="175">
        <f>IF(AND(AND($B14="Ferramenta amaldiçoada",$T14=TRUE),OR(IFERROR(VLOOKUP($E14,'DADOS_CUSTOM'!$BM$2:$BU$100,2,FALSE),"")="Arma",IFERROR(VLOOKUP($E14,'DADOS_CUSTOM'!$BM$2:$BU$100,2,FALSE),"")="Escudo")),IFERROR(VLOOKUP($E14,'DADOS_CUSTOM'!$AA$2:$AK$81,8,FALSE),""),"")</f>
        <v/>
      </c>
      <c r="AI94" s="175">
        <f>IF(AND(AND($B14="Ferramenta amaldiçoada",$T14=TRUE),OR(IFERROR(VLOOKUP($E14,'DADOS_CUSTOM'!$BM$2:$BU$100,2,FALSE),"")="Arma",IFERROR(VLOOKUP($E14,'DADOS_CUSTOM'!$BM$2:$BU$100,2,FALSE),"")="Escudo")),IFERROR(VLOOKUP($E14,'DADOS_CUSTOM'!$AA$2:$AK$81,9,FALSE),""),"")</f>
        <v/>
      </c>
      <c r="AJ94" s="175">
        <f>IF(AND(AND($B14="Ferramenta amaldiçoada",$T14=TRUE),OR(IFERROR(VLOOKUP($E14,'DADOS_CUSTOM'!$BM$2:$BU$100,2,FALSE),"")="Arma",IFERROR(VLOOKUP($E14,'DADOS_CUSTOM'!$BM$2:$BU$100,2,FALSE),"")="Escudo")),IFERROR(VLOOKUP($E14,'DADOS_CUSTOM'!$AA$2:$AK$81,10,FALSE),""),"")</f>
        <v/>
      </c>
      <c r="AK94" s="175">
        <f>IF(AND(AND($B14="Ferramenta amaldiçoada",$T14=TRUE),OR(IFERROR(VLOOKUP($E14,'DADOS_CUSTOM'!$BM$2:$BU$100,2,FALSE),"")="Arma",IFERROR(VLOOKUP($E14,'DADOS_CUSTOM'!$BM$2:$BU$100,2,FALSE),"")="Escudo")),IFERROR(VLOOKUP($E14,'DADOS_CUSTOM'!$AA$2:$AK$81,11,FALSE),""),"")</f>
        <v/>
      </c>
      <c r="AZ94" s="175">
        <f>IF(AND(OR($B13="Marcante",$B13="Menor"),$C13&lt;&gt;"",$T13=TRUE),$C13,"")</f>
        <v/>
      </c>
      <c r="BA94" s="175">
        <f>IF(AND(OR($B13="Marcante",$B13="Menor"),$C13&lt;&gt;"",$T13=TRUE),$E13,"")</f>
        <v/>
      </c>
      <c r="BB94" s="175">
        <f>IF(AND(OR($B13="Marcante",$B13="Menor"),$C13&lt;&gt;"",$T13=TRUE),IF($B13="Marcante","marcante","menor"),"")</f>
        <v/>
      </c>
      <c r="BC94" s="175">
        <f>IF(AND(OR($B13="Marcante",$B13="Menor"),$C13&lt;&gt;"",$T13=TRUE),IF($B13="Menor",IF($F13="—","",$F13),""),"")</f>
        <v/>
      </c>
      <c r="BD94" s="175">
        <f>IF(AND(OR($B13="Marcante",$B13="Menor"),$C13&lt;&gt;"",$T13=TRUE),$L13,"")</f>
        <v/>
      </c>
      <c r="BE94" s="175">
        <f>IF(AND(OR($B13="Marcante",$B13="Menor"),$C13&lt;&gt;"",$T13=TRUE),$R13,"")</f>
        <v/>
      </c>
      <c r="BM94" s="175">
        <f>IF(AND(OR($B20="Arma",$B20="Escudo",$B20="Uniforme",$B20="Item comum"),$C20&lt;&gt;"",$U20=""),$C20,"")</f>
        <v/>
      </c>
      <c r="BN94" s="175">
        <f>IF(AND(OR($B20="Arma",$B20="Escudo",$B20="Uniforme",$B20="Item comum"),$C20&lt;&gt;"",$U20=""),$B20,"")</f>
        <v/>
      </c>
      <c r="BO94" s="175">
        <f>IF(AND(OR($B20="Arma",$B20="Escudo",$B20="Uniforme",$B20="Item comum"),$C20&lt;&gt;"",$U20=""),IF(OR($B20="Escudo",$B20="Uniforme"),$L20,0),"")</f>
        <v/>
      </c>
      <c r="BP94" s="175">
        <f>IF(AND(OR($B20="Arma",$B20="Escudo",$B20="Uniforme",$B20="Item comum"),$C20&lt;&gt;"",$U20=""),IF(OR($B20="Escudo",$B20="Uniforme"),$M20,"—"),"")</f>
        <v/>
      </c>
      <c r="BQ94" s="175">
        <f>IF(AND(OR($B20="Arma",$B20="Escudo",$B20="Uniforme",$B20="Item comum"),$C20&lt;&gt;"",$U20=""),IF($B20="Arma",$M20,IF($B20="Item comum",0,$N20)),"")</f>
        <v/>
      </c>
      <c r="BR94" s="175">
        <f>IF(AND(OR($B20="Arma",$B20="Escudo",$B20="Uniforme",$B20="Item comum"),$C20&lt;&gt;"",$U20=""),IF($B20="Arma",$N20,IF($B20="Item comum",$L20,$O20)),"")</f>
        <v/>
      </c>
      <c r="BS94" s="175">
        <f>IF(AND(OR($B20="Arma",$B20="Escudo",$B20="Uniforme",$B20="Item comum"),$C20&lt;&gt;"",$U20=""),IF($B20="Uniforme",$E20,"—"),"")</f>
        <v/>
      </c>
      <c r="BT94" s="175">
        <f>IF(AND(OR($B20="Arma",$B20="Escudo",$B20="Uniforme",$B20="Item comum"),$C20&lt;&gt;"",$U20=""),"","")</f>
        <v/>
      </c>
      <c r="BU94" s="175">
        <f>IF(AND(OR($B20="Arma",$B20="Escudo",$B20="Uniforme",$B20="Item comum"),$C20&lt;&gt;"",$U20=""),"","")</f>
        <v/>
      </c>
      <c r="BV94" s="175" t="inlineStr">
        <is>
          <t>Marreta</t>
        </is>
      </c>
      <c r="CK94" s="175">
        <f>IF(OR('CONFIGURAÇÃO'!$T$275="Arma",'CONFIGURAÇÃO'!$T$275="Escudo",'CONFIGURAÇÃO'!$T$275="Uniforme",'CONFIGURAÇÃO'!$T$275="Item comum"),'CONFIGURAÇÃO'!$T$277,"")</f>
        <v/>
      </c>
    </row>
    <row r="95">
      <c r="AA95" s="175">
        <f>IF(AND(AND($B15="Ferramenta amaldiçoada",$T15=TRUE),OR(IFERROR(VLOOKUP($E15,'DADOS_CUSTOM'!$BM$2:$BU$100,2,FALSE),"")="Arma",IFERROR(VLOOKUP($E15,'DADOS_CUSTOM'!$BM$2:$BU$100,2,FALSE),"")="Escudo")),$C15,"")</f>
        <v/>
      </c>
      <c r="AB95" s="175">
        <f>IF(AND(AND($B15="Ferramenta amaldiçoada",$T15=TRUE),OR(IFERROR(VLOOKUP($E15,'DADOS_CUSTOM'!$BM$2:$BU$100,2,FALSE),"")="Arma",IFERROR(VLOOKUP($E15,'DADOS_CUSTOM'!$BM$2:$BU$100,2,FALSE),"")="Escudo")),IFERROR(VLOOKUP($E15,'DADOS_CUSTOM'!$AA$2:$AK$81,2,FALSE),""),"")</f>
        <v/>
      </c>
      <c r="AC95" s="175">
        <f>IF(AND(AND($B15="Ferramenta amaldiçoada",$T15=TRUE),OR(IFERROR(VLOOKUP($E15,'DADOS_CUSTOM'!$BM$2:$BU$100,2,FALSE),"")="Arma",IFERROR(VLOOKUP($E15,'DADOS_CUSTOM'!$BM$2:$BU$100,2,FALSE),"")="Escudo")),IFERROR(VLOOKUP($E15,'DADOS_CUSTOM'!$AA$2:$AK$81,3,FALSE),""),"")</f>
        <v/>
      </c>
      <c r="AD95" s="175">
        <f>IF(AND(AND($B15="Ferramenta amaldiçoada",$T15=TRUE),OR(IFERROR(VLOOKUP($E15,'DADOS_CUSTOM'!$BM$2:$BU$100,2,FALSE),"")="Arma",IFERROR(VLOOKUP($E15,'DADOS_CUSTOM'!$BM$2:$BU$100,2,FALSE),"")="Escudo")),IFERROR(VLOOKUP($E15,'DADOS_CUSTOM'!$AA$2:$AK$81,4,FALSE),""),"")</f>
        <v/>
      </c>
      <c r="AE95" s="175">
        <f>IF(AND(AND($B15="Ferramenta amaldiçoada",$T15=TRUE),OR(IFERROR(VLOOKUP($E15,'DADOS_CUSTOM'!$BM$2:$BU$100,2,FALSE),"")="Arma",IFERROR(VLOOKUP($E15,'DADOS_CUSTOM'!$BM$2:$BU$100,2,FALSE),"")="Escudo")),IFERROR(VLOOKUP($E15,'DADOS_CUSTOM'!$AA$2:$AK$81,5,FALSE),""),"")</f>
        <v/>
      </c>
      <c r="AF95" s="175">
        <f>IF(AND(AND($B15="Ferramenta amaldiçoada",$T15=TRUE),OR(IFERROR(VLOOKUP($E15,'DADOS_CUSTOM'!$BM$2:$BU$100,2,FALSE),"")="Arma",IFERROR(VLOOKUP($E15,'DADOS_CUSTOM'!$BM$2:$BU$100,2,FALSE),"")="Escudo")),IFERROR(VLOOKUP($E15,'DADOS_CUSTOM'!$AA$2:$AK$81,6,FALSE),""),"")</f>
        <v/>
      </c>
      <c r="AG95" s="175">
        <f>IF(AND(AND($B15="Ferramenta amaldiçoada",$T15=TRUE),OR(IFERROR(VLOOKUP($E15,'DADOS_CUSTOM'!$BM$2:$BU$100,2,FALSE),"")="Arma",IFERROR(VLOOKUP($E15,'DADOS_CUSTOM'!$BM$2:$BU$100,2,FALSE),"")="Escudo")),IF($N15="",IFERROR(VLOOKUP($E15,'DADOS_CUSTOM'!$AA$2:$AK$81,7,FALSE),""),$N15),"")</f>
        <v/>
      </c>
      <c r="AH95" s="175">
        <f>IF(AND(AND($B15="Ferramenta amaldiçoada",$T15=TRUE),OR(IFERROR(VLOOKUP($E15,'DADOS_CUSTOM'!$BM$2:$BU$100,2,FALSE),"")="Arma",IFERROR(VLOOKUP($E15,'DADOS_CUSTOM'!$BM$2:$BU$100,2,FALSE),"")="Escudo")),IFERROR(VLOOKUP($E15,'DADOS_CUSTOM'!$AA$2:$AK$81,8,FALSE),""),"")</f>
        <v/>
      </c>
      <c r="AI95" s="175">
        <f>IF(AND(AND($B15="Ferramenta amaldiçoada",$T15=TRUE),OR(IFERROR(VLOOKUP($E15,'DADOS_CUSTOM'!$BM$2:$BU$100,2,FALSE),"")="Arma",IFERROR(VLOOKUP($E15,'DADOS_CUSTOM'!$BM$2:$BU$100,2,FALSE),"")="Escudo")),IFERROR(VLOOKUP($E15,'DADOS_CUSTOM'!$AA$2:$AK$81,9,FALSE),""),"")</f>
        <v/>
      </c>
      <c r="AJ95" s="175">
        <f>IF(AND(AND($B15="Ferramenta amaldiçoada",$T15=TRUE),OR(IFERROR(VLOOKUP($E15,'DADOS_CUSTOM'!$BM$2:$BU$100,2,FALSE),"")="Arma",IFERROR(VLOOKUP($E15,'DADOS_CUSTOM'!$BM$2:$BU$100,2,FALSE),"")="Escudo")),IFERROR(VLOOKUP($E15,'DADOS_CUSTOM'!$AA$2:$AK$81,10,FALSE),""),"")</f>
        <v/>
      </c>
      <c r="AK95" s="175">
        <f>IF(AND(AND($B15="Ferramenta amaldiçoada",$T15=TRUE),OR(IFERROR(VLOOKUP($E15,'DADOS_CUSTOM'!$BM$2:$BU$100,2,FALSE),"")="Arma",IFERROR(VLOOKUP($E15,'DADOS_CUSTOM'!$BM$2:$BU$100,2,FALSE),"")="Escudo")),IFERROR(VLOOKUP($E15,'DADOS_CUSTOM'!$AA$2:$AK$81,11,FALSE),""),"")</f>
        <v/>
      </c>
      <c r="AZ95" s="175">
        <f>IF(AND(OR($B14="Marcante",$B14="Menor"),$C14&lt;&gt;"",$T14=TRUE),$C14,"")</f>
        <v/>
      </c>
      <c r="BA95" s="175">
        <f>IF(AND(OR($B14="Marcante",$B14="Menor"),$C14&lt;&gt;"",$T14=TRUE),$E14,"")</f>
        <v/>
      </c>
      <c r="BB95" s="175">
        <f>IF(AND(OR($B14="Marcante",$B14="Menor"),$C14&lt;&gt;"",$T14=TRUE),IF($B14="Marcante","marcante","menor"),"")</f>
        <v/>
      </c>
      <c r="BC95" s="175">
        <f>IF(AND(OR($B14="Marcante",$B14="Menor"),$C14&lt;&gt;"",$T14=TRUE),IF($B14="Menor",IF($F14="—","",$F14),""),"")</f>
        <v/>
      </c>
      <c r="BD95" s="175">
        <f>IF(AND(OR($B14="Marcante",$B14="Menor"),$C14&lt;&gt;"",$T14=TRUE),$L14,"")</f>
        <v/>
      </c>
      <c r="BE95" s="175">
        <f>IF(AND(OR($B14="Marcante",$B14="Menor"),$C14&lt;&gt;"",$T14=TRUE),$R14,"")</f>
        <v/>
      </c>
      <c r="BM95" s="175">
        <f>IF(AND(OR($B21="Arma",$B21="Escudo",$B21="Uniforme",$B21="Item comum"),$C21&lt;&gt;"",$U21=""),$C21,"")</f>
        <v/>
      </c>
      <c r="BN95" s="175">
        <f>IF(AND(OR($B21="Arma",$B21="Escudo",$B21="Uniforme",$B21="Item comum"),$C21&lt;&gt;"",$U21=""),$B21,"")</f>
        <v/>
      </c>
      <c r="BO95" s="175">
        <f>IF(AND(OR($B21="Arma",$B21="Escudo",$B21="Uniforme",$B21="Item comum"),$C21&lt;&gt;"",$U21=""),IF(OR($B21="Escudo",$B21="Uniforme"),$L21,0),"")</f>
        <v/>
      </c>
      <c r="BP95" s="175">
        <f>IF(AND(OR($B21="Arma",$B21="Escudo",$B21="Uniforme",$B21="Item comum"),$C21&lt;&gt;"",$U21=""),IF(OR($B21="Escudo",$B21="Uniforme"),$M21,"—"),"")</f>
        <v/>
      </c>
      <c r="BQ95" s="175">
        <f>IF(AND(OR($B21="Arma",$B21="Escudo",$B21="Uniforme",$B21="Item comum"),$C21&lt;&gt;"",$U21=""),IF($B21="Arma",$M21,IF($B21="Item comum",0,$N21)),"")</f>
        <v/>
      </c>
      <c r="BR95" s="175">
        <f>IF(AND(OR($B21="Arma",$B21="Escudo",$B21="Uniforme",$B21="Item comum"),$C21&lt;&gt;"",$U21=""),IF($B21="Arma",$N21,IF($B21="Item comum",$L21,$O21)),"")</f>
        <v/>
      </c>
      <c r="BS95" s="175">
        <f>IF(AND(OR($B21="Arma",$B21="Escudo",$B21="Uniforme",$B21="Item comum"),$C21&lt;&gt;"",$U21=""),IF($B21="Uniforme",$E21,"—"),"")</f>
        <v/>
      </c>
      <c r="BT95" s="175">
        <f>IF(AND(OR($B21="Arma",$B21="Escudo",$B21="Uniforme",$B21="Item comum"),$C21&lt;&gt;"",$U21=""),"","")</f>
        <v/>
      </c>
      <c r="BU95" s="175">
        <f>IF(AND(OR($B21="Arma",$B21="Escudo",$B21="Uniforme",$B21="Item comum"),$C21&lt;&gt;"",$U21=""),"","")</f>
        <v/>
      </c>
      <c r="BV95" s="175" t="inlineStr">
        <is>
          <t>Maul</t>
        </is>
      </c>
      <c r="CK95" s="175">
        <f>IF(OR('CONFIGURAÇÃO'!$AB$275="Arma",'CONFIGURAÇÃO'!$AB$275="Escudo",'CONFIGURAÇÃO'!$AB$275="Uniforme",'CONFIGURAÇÃO'!$AB$275="Item comum"),'CONFIGURAÇÃO'!$AB$277,"")</f>
        <v/>
      </c>
    </row>
    <row r="96">
      <c r="AA96" s="175">
        <f>IF(AND(AND($B16="Ferramenta amaldiçoada",$T16=TRUE),OR(IFERROR(VLOOKUP($E16,'DADOS_CUSTOM'!$BM$2:$BU$100,2,FALSE),"")="Arma",IFERROR(VLOOKUP($E16,'DADOS_CUSTOM'!$BM$2:$BU$100,2,FALSE),"")="Escudo")),$C16,"")</f>
        <v/>
      </c>
      <c r="AB96" s="175">
        <f>IF(AND(AND($B16="Ferramenta amaldiçoada",$T16=TRUE),OR(IFERROR(VLOOKUP($E16,'DADOS_CUSTOM'!$BM$2:$BU$100,2,FALSE),"")="Arma",IFERROR(VLOOKUP($E16,'DADOS_CUSTOM'!$BM$2:$BU$100,2,FALSE),"")="Escudo")),IFERROR(VLOOKUP($E16,'DADOS_CUSTOM'!$AA$2:$AK$81,2,FALSE),""),"")</f>
        <v/>
      </c>
      <c r="AC96" s="175">
        <f>IF(AND(AND($B16="Ferramenta amaldiçoada",$T16=TRUE),OR(IFERROR(VLOOKUP($E16,'DADOS_CUSTOM'!$BM$2:$BU$100,2,FALSE),"")="Arma",IFERROR(VLOOKUP($E16,'DADOS_CUSTOM'!$BM$2:$BU$100,2,FALSE),"")="Escudo")),IFERROR(VLOOKUP($E16,'DADOS_CUSTOM'!$AA$2:$AK$81,3,FALSE),""),"")</f>
        <v/>
      </c>
      <c r="AD96" s="175">
        <f>IF(AND(AND($B16="Ferramenta amaldiçoada",$T16=TRUE),OR(IFERROR(VLOOKUP($E16,'DADOS_CUSTOM'!$BM$2:$BU$100,2,FALSE),"")="Arma",IFERROR(VLOOKUP($E16,'DADOS_CUSTOM'!$BM$2:$BU$100,2,FALSE),"")="Escudo")),IFERROR(VLOOKUP($E16,'DADOS_CUSTOM'!$AA$2:$AK$81,4,FALSE),""),"")</f>
        <v/>
      </c>
      <c r="AE96" s="175">
        <f>IF(AND(AND($B16="Ferramenta amaldiçoada",$T16=TRUE),OR(IFERROR(VLOOKUP($E16,'DADOS_CUSTOM'!$BM$2:$BU$100,2,FALSE),"")="Arma",IFERROR(VLOOKUP($E16,'DADOS_CUSTOM'!$BM$2:$BU$100,2,FALSE),"")="Escudo")),IFERROR(VLOOKUP($E16,'DADOS_CUSTOM'!$AA$2:$AK$81,5,FALSE),""),"")</f>
        <v/>
      </c>
      <c r="AF96" s="175">
        <f>IF(AND(AND($B16="Ferramenta amaldiçoada",$T16=TRUE),OR(IFERROR(VLOOKUP($E16,'DADOS_CUSTOM'!$BM$2:$BU$100,2,FALSE),"")="Arma",IFERROR(VLOOKUP($E16,'DADOS_CUSTOM'!$BM$2:$BU$100,2,FALSE),"")="Escudo")),IFERROR(VLOOKUP($E16,'DADOS_CUSTOM'!$AA$2:$AK$81,6,FALSE),""),"")</f>
        <v/>
      </c>
      <c r="AG96" s="175">
        <f>IF(AND(AND($B16="Ferramenta amaldiçoada",$T16=TRUE),OR(IFERROR(VLOOKUP($E16,'DADOS_CUSTOM'!$BM$2:$BU$100,2,FALSE),"")="Arma",IFERROR(VLOOKUP($E16,'DADOS_CUSTOM'!$BM$2:$BU$100,2,FALSE),"")="Escudo")),IF($N16="",IFERROR(VLOOKUP($E16,'DADOS_CUSTOM'!$AA$2:$AK$81,7,FALSE),""),$N16),"")</f>
        <v/>
      </c>
      <c r="AH96" s="175">
        <f>IF(AND(AND($B16="Ferramenta amaldiçoada",$T16=TRUE),OR(IFERROR(VLOOKUP($E16,'DADOS_CUSTOM'!$BM$2:$BU$100,2,FALSE),"")="Arma",IFERROR(VLOOKUP($E16,'DADOS_CUSTOM'!$BM$2:$BU$100,2,FALSE),"")="Escudo")),IFERROR(VLOOKUP($E16,'DADOS_CUSTOM'!$AA$2:$AK$81,8,FALSE),""),"")</f>
        <v/>
      </c>
      <c r="AI96" s="175">
        <f>IF(AND(AND($B16="Ferramenta amaldiçoada",$T16=TRUE),OR(IFERROR(VLOOKUP($E16,'DADOS_CUSTOM'!$BM$2:$BU$100,2,FALSE),"")="Arma",IFERROR(VLOOKUP($E16,'DADOS_CUSTOM'!$BM$2:$BU$100,2,FALSE),"")="Escudo")),IFERROR(VLOOKUP($E16,'DADOS_CUSTOM'!$AA$2:$AK$81,9,FALSE),""),"")</f>
        <v/>
      </c>
      <c r="AJ96" s="175">
        <f>IF(AND(AND($B16="Ferramenta amaldiçoada",$T16=TRUE),OR(IFERROR(VLOOKUP($E16,'DADOS_CUSTOM'!$BM$2:$BU$100,2,FALSE),"")="Arma",IFERROR(VLOOKUP($E16,'DADOS_CUSTOM'!$BM$2:$BU$100,2,FALSE),"")="Escudo")),IFERROR(VLOOKUP($E16,'DADOS_CUSTOM'!$AA$2:$AK$81,10,FALSE),""),"")</f>
        <v/>
      </c>
      <c r="AK96" s="175">
        <f>IF(AND(AND($B16="Ferramenta amaldiçoada",$T16=TRUE),OR(IFERROR(VLOOKUP($E16,'DADOS_CUSTOM'!$BM$2:$BU$100,2,FALSE),"")="Arma",IFERROR(VLOOKUP($E16,'DADOS_CUSTOM'!$BM$2:$BU$100,2,FALSE),"")="Escudo")),IFERROR(VLOOKUP($E16,'DADOS_CUSTOM'!$AA$2:$AK$81,11,FALSE),""),"")</f>
        <v/>
      </c>
      <c r="AZ96" s="175">
        <f>IF(AND(OR($B15="Marcante",$B15="Menor"),$C15&lt;&gt;"",$T15=TRUE),$C15,"")</f>
        <v/>
      </c>
      <c r="BA96" s="175">
        <f>IF(AND(OR($B15="Marcante",$B15="Menor"),$C15&lt;&gt;"",$T15=TRUE),$E15,"")</f>
        <v/>
      </c>
      <c r="BB96" s="175">
        <f>IF(AND(OR($B15="Marcante",$B15="Menor"),$C15&lt;&gt;"",$T15=TRUE),IF($B15="Marcante","marcante","menor"),"")</f>
        <v/>
      </c>
      <c r="BC96" s="175">
        <f>IF(AND(OR($B15="Marcante",$B15="Menor"),$C15&lt;&gt;"",$T15=TRUE),IF($B15="Menor",IF($F15="—","",$F15),""),"")</f>
        <v/>
      </c>
      <c r="BD96" s="175">
        <f>IF(AND(OR($B15="Marcante",$B15="Menor"),$C15&lt;&gt;"",$T15=TRUE),$L15,"")</f>
        <v/>
      </c>
      <c r="BE96" s="175">
        <f>IF(AND(OR($B15="Marcante",$B15="Menor"),$C15&lt;&gt;"",$T15=TRUE),$R15,"")</f>
        <v/>
      </c>
      <c r="BM96" s="175">
        <f>IF(AND(OR($B22="Arma",$B22="Escudo",$B22="Uniforme",$B22="Item comum"),$C22&lt;&gt;"",$U22=""),$C22,"")</f>
        <v/>
      </c>
      <c r="BN96" s="175">
        <f>IF(AND(OR($B22="Arma",$B22="Escudo",$B22="Uniforme",$B22="Item comum"),$C22&lt;&gt;"",$U22=""),$B22,"")</f>
        <v/>
      </c>
      <c r="BO96" s="175">
        <f>IF(AND(OR($B22="Arma",$B22="Escudo",$B22="Uniforme",$B22="Item comum"),$C22&lt;&gt;"",$U22=""),IF(OR($B22="Escudo",$B22="Uniforme"),$L22,0),"")</f>
        <v/>
      </c>
      <c r="BP96" s="175">
        <f>IF(AND(OR($B22="Arma",$B22="Escudo",$B22="Uniforme",$B22="Item comum"),$C22&lt;&gt;"",$U22=""),IF(OR($B22="Escudo",$B22="Uniforme"),$M22,"—"),"")</f>
        <v/>
      </c>
      <c r="BQ96" s="175">
        <f>IF(AND(OR($B22="Arma",$B22="Escudo",$B22="Uniforme",$B22="Item comum"),$C22&lt;&gt;"",$U22=""),IF($B22="Arma",$M22,IF($B22="Item comum",0,$N22)),"")</f>
        <v/>
      </c>
      <c r="BR96" s="175">
        <f>IF(AND(OR($B22="Arma",$B22="Escudo",$B22="Uniforme",$B22="Item comum"),$C22&lt;&gt;"",$U22=""),IF($B22="Arma",$N22,IF($B22="Item comum",$L22,$O22)),"")</f>
        <v/>
      </c>
      <c r="BS96" s="175">
        <f>IF(AND(OR($B22="Arma",$B22="Escudo",$B22="Uniforme",$B22="Item comum"),$C22&lt;&gt;"",$U22=""),IF($B22="Uniforme",$E22,"—"),"")</f>
        <v/>
      </c>
      <c r="BT96" s="175">
        <f>IF(AND(OR($B22="Arma",$B22="Escudo",$B22="Uniforme",$B22="Item comum"),$C22&lt;&gt;"",$U22=""),"","")</f>
        <v/>
      </c>
      <c r="BU96" s="175">
        <f>IF(AND(OR($B22="Arma",$B22="Escudo",$B22="Uniforme",$B22="Item comum"),$C22&lt;&gt;"",$U22=""),"","")</f>
        <v/>
      </c>
      <c r="BV96" s="175" t="inlineStr">
        <is>
          <t>Maça</t>
        </is>
      </c>
      <c r="CK96" s="175">
        <f>IF(OR('CONFIGURAÇÃO'!$T$304="Arma",'CONFIGURAÇÃO'!$T$304="Escudo",'CONFIGURAÇÃO'!$T$304="Uniforme",'CONFIGURAÇÃO'!$T$304="Item comum"),'CONFIGURAÇÃO'!$T$306,"")</f>
        <v/>
      </c>
    </row>
    <row r="97">
      <c r="AA97" s="175">
        <f>IF(AND(AND($B17="Ferramenta amaldiçoada",$T17=TRUE),OR(IFERROR(VLOOKUP($E17,'DADOS_CUSTOM'!$BM$2:$BU$100,2,FALSE),"")="Arma",IFERROR(VLOOKUP($E17,'DADOS_CUSTOM'!$BM$2:$BU$100,2,FALSE),"")="Escudo")),$C17,"")</f>
        <v/>
      </c>
      <c r="AB97" s="175">
        <f>IF(AND(AND($B17="Ferramenta amaldiçoada",$T17=TRUE),OR(IFERROR(VLOOKUP($E17,'DADOS_CUSTOM'!$BM$2:$BU$100,2,FALSE),"")="Arma",IFERROR(VLOOKUP($E17,'DADOS_CUSTOM'!$BM$2:$BU$100,2,FALSE),"")="Escudo")),IFERROR(VLOOKUP($E17,'DADOS_CUSTOM'!$AA$2:$AK$81,2,FALSE),""),"")</f>
        <v/>
      </c>
      <c r="AC97" s="175">
        <f>IF(AND(AND($B17="Ferramenta amaldiçoada",$T17=TRUE),OR(IFERROR(VLOOKUP($E17,'DADOS_CUSTOM'!$BM$2:$BU$100,2,FALSE),"")="Arma",IFERROR(VLOOKUP($E17,'DADOS_CUSTOM'!$BM$2:$BU$100,2,FALSE),"")="Escudo")),IFERROR(VLOOKUP($E17,'DADOS_CUSTOM'!$AA$2:$AK$81,3,FALSE),""),"")</f>
        <v/>
      </c>
      <c r="AD97" s="175">
        <f>IF(AND(AND($B17="Ferramenta amaldiçoada",$T17=TRUE),OR(IFERROR(VLOOKUP($E17,'DADOS_CUSTOM'!$BM$2:$BU$100,2,FALSE),"")="Arma",IFERROR(VLOOKUP($E17,'DADOS_CUSTOM'!$BM$2:$BU$100,2,FALSE),"")="Escudo")),IFERROR(VLOOKUP($E17,'DADOS_CUSTOM'!$AA$2:$AK$81,4,FALSE),""),"")</f>
        <v/>
      </c>
      <c r="AE97" s="175">
        <f>IF(AND(AND($B17="Ferramenta amaldiçoada",$T17=TRUE),OR(IFERROR(VLOOKUP($E17,'DADOS_CUSTOM'!$BM$2:$BU$100,2,FALSE),"")="Arma",IFERROR(VLOOKUP($E17,'DADOS_CUSTOM'!$BM$2:$BU$100,2,FALSE),"")="Escudo")),IFERROR(VLOOKUP($E17,'DADOS_CUSTOM'!$AA$2:$AK$81,5,FALSE),""),"")</f>
        <v/>
      </c>
      <c r="AF97" s="175">
        <f>IF(AND(AND($B17="Ferramenta amaldiçoada",$T17=TRUE),OR(IFERROR(VLOOKUP($E17,'DADOS_CUSTOM'!$BM$2:$BU$100,2,FALSE),"")="Arma",IFERROR(VLOOKUP($E17,'DADOS_CUSTOM'!$BM$2:$BU$100,2,FALSE),"")="Escudo")),IFERROR(VLOOKUP($E17,'DADOS_CUSTOM'!$AA$2:$AK$81,6,FALSE),""),"")</f>
        <v/>
      </c>
      <c r="AG97" s="175">
        <f>IF(AND(AND($B17="Ferramenta amaldiçoada",$T17=TRUE),OR(IFERROR(VLOOKUP($E17,'DADOS_CUSTOM'!$BM$2:$BU$100,2,FALSE),"")="Arma",IFERROR(VLOOKUP($E17,'DADOS_CUSTOM'!$BM$2:$BU$100,2,FALSE),"")="Escudo")),IF($N17="",IFERROR(VLOOKUP($E17,'DADOS_CUSTOM'!$AA$2:$AK$81,7,FALSE),""),$N17),"")</f>
        <v/>
      </c>
      <c r="AH97" s="175">
        <f>IF(AND(AND($B17="Ferramenta amaldiçoada",$T17=TRUE),OR(IFERROR(VLOOKUP($E17,'DADOS_CUSTOM'!$BM$2:$BU$100,2,FALSE),"")="Arma",IFERROR(VLOOKUP($E17,'DADOS_CUSTOM'!$BM$2:$BU$100,2,FALSE),"")="Escudo")),IFERROR(VLOOKUP($E17,'DADOS_CUSTOM'!$AA$2:$AK$81,8,FALSE),""),"")</f>
        <v/>
      </c>
      <c r="AI97" s="175">
        <f>IF(AND(AND($B17="Ferramenta amaldiçoada",$T17=TRUE),OR(IFERROR(VLOOKUP($E17,'DADOS_CUSTOM'!$BM$2:$BU$100,2,FALSE),"")="Arma",IFERROR(VLOOKUP($E17,'DADOS_CUSTOM'!$BM$2:$BU$100,2,FALSE),"")="Escudo")),IFERROR(VLOOKUP($E17,'DADOS_CUSTOM'!$AA$2:$AK$81,9,FALSE),""),"")</f>
        <v/>
      </c>
      <c r="AJ97" s="175">
        <f>IF(AND(AND($B17="Ferramenta amaldiçoada",$T17=TRUE),OR(IFERROR(VLOOKUP($E17,'DADOS_CUSTOM'!$BM$2:$BU$100,2,FALSE),"")="Arma",IFERROR(VLOOKUP($E17,'DADOS_CUSTOM'!$BM$2:$BU$100,2,FALSE),"")="Escudo")),IFERROR(VLOOKUP($E17,'DADOS_CUSTOM'!$AA$2:$AK$81,10,FALSE),""),"")</f>
        <v/>
      </c>
      <c r="AK97" s="175">
        <f>IF(AND(AND($B17="Ferramenta amaldiçoada",$T17=TRUE),OR(IFERROR(VLOOKUP($E17,'DADOS_CUSTOM'!$BM$2:$BU$100,2,FALSE),"")="Arma",IFERROR(VLOOKUP($E17,'DADOS_CUSTOM'!$BM$2:$BU$100,2,FALSE),"")="Escudo")),IFERROR(VLOOKUP($E17,'DADOS_CUSTOM'!$AA$2:$AK$81,11,FALSE),""),"")</f>
        <v/>
      </c>
      <c r="AZ97" s="175">
        <f>IF(AND(OR($B16="Marcante",$B16="Menor"),$C16&lt;&gt;"",$T16=TRUE),$C16,"")</f>
        <v/>
      </c>
      <c r="BA97" s="175">
        <f>IF(AND(OR($B16="Marcante",$B16="Menor"),$C16&lt;&gt;"",$T16=TRUE),$E16,"")</f>
        <v/>
      </c>
      <c r="BB97" s="175">
        <f>IF(AND(OR($B16="Marcante",$B16="Menor"),$C16&lt;&gt;"",$T16=TRUE),IF($B16="Marcante","marcante","menor"),"")</f>
        <v/>
      </c>
      <c r="BC97" s="175">
        <f>IF(AND(OR($B16="Marcante",$B16="Menor"),$C16&lt;&gt;"",$T16=TRUE),IF($B16="Menor",IF($F16="—","",$F16),""),"")</f>
        <v/>
      </c>
      <c r="BD97" s="175">
        <f>IF(AND(OR($B16="Marcante",$B16="Menor"),$C16&lt;&gt;"",$T16=TRUE),$L16,"")</f>
        <v/>
      </c>
      <c r="BE97" s="175">
        <f>IF(AND(OR($B16="Marcante",$B16="Menor"),$C16&lt;&gt;"",$T16=TRUE),$R16,"")</f>
        <v/>
      </c>
      <c r="BM97" s="175">
        <f>IF(AND(OR($B23="Arma",$B23="Escudo",$B23="Uniforme",$B23="Item comum"),$C23&lt;&gt;"",$U23=""),$C23,"")</f>
        <v/>
      </c>
      <c r="BN97" s="175">
        <f>IF(AND(OR($B23="Arma",$B23="Escudo",$B23="Uniforme",$B23="Item comum"),$C23&lt;&gt;"",$U23=""),$B23,"")</f>
        <v/>
      </c>
      <c r="BO97" s="175">
        <f>IF(AND(OR($B23="Arma",$B23="Escudo",$B23="Uniforme",$B23="Item comum"),$C23&lt;&gt;"",$U23=""),IF(OR($B23="Escudo",$B23="Uniforme"),$L23,0),"")</f>
        <v/>
      </c>
      <c r="BP97" s="175">
        <f>IF(AND(OR($B23="Arma",$B23="Escudo",$B23="Uniforme",$B23="Item comum"),$C23&lt;&gt;"",$U23=""),IF(OR($B23="Escudo",$B23="Uniforme"),$M23,"—"),"")</f>
        <v/>
      </c>
      <c r="BQ97" s="175">
        <f>IF(AND(OR($B23="Arma",$B23="Escudo",$B23="Uniforme",$B23="Item comum"),$C23&lt;&gt;"",$U23=""),IF($B23="Arma",$M23,IF($B23="Item comum",0,$N23)),"")</f>
        <v/>
      </c>
      <c r="BR97" s="175">
        <f>IF(AND(OR($B23="Arma",$B23="Escudo",$B23="Uniforme",$B23="Item comum"),$C23&lt;&gt;"",$U23=""),IF($B23="Arma",$N23,IF($B23="Item comum",$L23,$O23)),"")</f>
        <v/>
      </c>
      <c r="BS97" s="175">
        <f>IF(AND(OR($B23="Arma",$B23="Escudo",$B23="Uniforme",$B23="Item comum"),$C23&lt;&gt;"",$U23=""),IF($B23="Uniforme",$E23,"—"),"")</f>
        <v/>
      </c>
      <c r="BT97" s="175">
        <f>IF(AND(OR($B23="Arma",$B23="Escudo",$B23="Uniforme",$B23="Item comum"),$C23&lt;&gt;"",$U23=""),"","")</f>
        <v/>
      </c>
      <c r="BU97" s="175">
        <f>IF(AND(OR($B23="Arma",$B23="Escudo",$B23="Uniforme",$B23="Item comum"),$C23&lt;&gt;"",$U23=""),"","")</f>
        <v/>
      </c>
      <c r="BV97" s="175" t="inlineStr">
        <is>
          <t>Memória Corporal</t>
        </is>
      </c>
      <c r="CK97" s="175">
        <f>IF(OR('CONFIGURAÇÃO'!$AB$304="Arma",'CONFIGURAÇÃO'!$AB$304="Escudo",'CONFIGURAÇÃO'!$AB$304="Uniforme",'CONFIGURAÇÃO'!$AB$304="Item comum"),'CONFIGURAÇÃO'!$AB$306,"")</f>
        <v/>
      </c>
    </row>
    <row r="98">
      <c r="AA98" s="175">
        <f>IF(AND(AND($B18="Ferramenta amaldiçoada",$T18=TRUE),OR(IFERROR(VLOOKUP($E18,'DADOS_CUSTOM'!$BM$2:$BU$100,2,FALSE),"")="Arma",IFERROR(VLOOKUP($E18,'DADOS_CUSTOM'!$BM$2:$BU$100,2,FALSE),"")="Escudo")),$C18,"")</f>
        <v/>
      </c>
      <c r="AB98" s="175">
        <f>IF(AND(AND($B18="Ferramenta amaldiçoada",$T18=TRUE),OR(IFERROR(VLOOKUP($E18,'DADOS_CUSTOM'!$BM$2:$BU$100,2,FALSE),"")="Arma",IFERROR(VLOOKUP($E18,'DADOS_CUSTOM'!$BM$2:$BU$100,2,FALSE),"")="Escudo")),IFERROR(VLOOKUP($E18,'DADOS_CUSTOM'!$AA$2:$AK$81,2,FALSE),""),"")</f>
        <v/>
      </c>
      <c r="AC98" s="175">
        <f>IF(AND(AND($B18="Ferramenta amaldiçoada",$T18=TRUE),OR(IFERROR(VLOOKUP($E18,'DADOS_CUSTOM'!$BM$2:$BU$100,2,FALSE),"")="Arma",IFERROR(VLOOKUP($E18,'DADOS_CUSTOM'!$BM$2:$BU$100,2,FALSE),"")="Escudo")),IFERROR(VLOOKUP($E18,'DADOS_CUSTOM'!$AA$2:$AK$81,3,FALSE),""),"")</f>
        <v/>
      </c>
      <c r="AD98" s="175">
        <f>IF(AND(AND($B18="Ferramenta amaldiçoada",$T18=TRUE),OR(IFERROR(VLOOKUP($E18,'DADOS_CUSTOM'!$BM$2:$BU$100,2,FALSE),"")="Arma",IFERROR(VLOOKUP($E18,'DADOS_CUSTOM'!$BM$2:$BU$100,2,FALSE),"")="Escudo")),IFERROR(VLOOKUP($E18,'DADOS_CUSTOM'!$AA$2:$AK$81,4,FALSE),""),"")</f>
        <v/>
      </c>
      <c r="AE98" s="175">
        <f>IF(AND(AND($B18="Ferramenta amaldiçoada",$T18=TRUE),OR(IFERROR(VLOOKUP($E18,'DADOS_CUSTOM'!$BM$2:$BU$100,2,FALSE),"")="Arma",IFERROR(VLOOKUP($E18,'DADOS_CUSTOM'!$BM$2:$BU$100,2,FALSE),"")="Escudo")),IFERROR(VLOOKUP($E18,'DADOS_CUSTOM'!$AA$2:$AK$81,5,FALSE),""),"")</f>
        <v/>
      </c>
      <c r="AF98" s="175">
        <f>IF(AND(AND($B18="Ferramenta amaldiçoada",$T18=TRUE),OR(IFERROR(VLOOKUP($E18,'DADOS_CUSTOM'!$BM$2:$BU$100,2,FALSE),"")="Arma",IFERROR(VLOOKUP($E18,'DADOS_CUSTOM'!$BM$2:$BU$100,2,FALSE),"")="Escudo")),IFERROR(VLOOKUP($E18,'DADOS_CUSTOM'!$AA$2:$AK$81,6,FALSE),""),"")</f>
        <v/>
      </c>
      <c r="AG98" s="175">
        <f>IF(AND(AND($B18="Ferramenta amaldiçoada",$T18=TRUE),OR(IFERROR(VLOOKUP($E18,'DADOS_CUSTOM'!$BM$2:$BU$100,2,FALSE),"")="Arma",IFERROR(VLOOKUP($E18,'DADOS_CUSTOM'!$BM$2:$BU$100,2,FALSE),"")="Escudo")),IF($N18="",IFERROR(VLOOKUP($E18,'DADOS_CUSTOM'!$AA$2:$AK$81,7,FALSE),""),$N18),"")</f>
        <v/>
      </c>
      <c r="AH98" s="175">
        <f>IF(AND(AND($B18="Ferramenta amaldiçoada",$T18=TRUE),OR(IFERROR(VLOOKUP($E18,'DADOS_CUSTOM'!$BM$2:$BU$100,2,FALSE),"")="Arma",IFERROR(VLOOKUP($E18,'DADOS_CUSTOM'!$BM$2:$BU$100,2,FALSE),"")="Escudo")),IFERROR(VLOOKUP($E18,'DADOS_CUSTOM'!$AA$2:$AK$81,8,FALSE),""),"")</f>
        <v/>
      </c>
      <c r="AI98" s="175">
        <f>IF(AND(AND($B18="Ferramenta amaldiçoada",$T18=TRUE),OR(IFERROR(VLOOKUP($E18,'DADOS_CUSTOM'!$BM$2:$BU$100,2,FALSE),"")="Arma",IFERROR(VLOOKUP($E18,'DADOS_CUSTOM'!$BM$2:$BU$100,2,FALSE),"")="Escudo")),IFERROR(VLOOKUP($E18,'DADOS_CUSTOM'!$AA$2:$AK$81,9,FALSE),""),"")</f>
        <v/>
      </c>
      <c r="AJ98" s="175">
        <f>IF(AND(AND($B18="Ferramenta amaldiçoada",$T18=TRUE),OR(IFERROR(VLOOKUP($E18,'DADOS_CUSTOM'!$BM$2:$BU$100,2,FALSE),"")="Arma",IFERROR(VLOOKUP($E18,'DADOS_CUSTOM'!$BM$2:$BU$100,2,FALSE),"")="Escudo")),IFERROR(VLOOKUP($E18,'DADOS_CUSTOM'!$AA$2:$AK$81,10,FALSE),""),"")</f>
        <v/>
      </c>
      <c r="AK98" s="175">
        <f>IF(AND(AND($B18="Ferramenta amaldiçoada",$T18=TRUE),OR(IFERROR(VLOOKUP($E18,'DADOS_CUSTOM'!$BM$2:$BU$100,2,FALSE),"")="Arma",IFERROR(VLOOKUP($E18,'DADOS_CUSTOM'!$BM$2:$BU$100,2,FALSE),"")="Escudo")),IFERROR(VLOOKUP($E18,'DADOS_CUSTOM'!$AA$2:$AK$81,11,FALSE),""),"")</f>
        <v/>
      </c>
      <c r="AZ98" s="175">
        <f>IF(AND(OR($B17="Marcante",$B17="Menor"),$C17&lt;&gt;"",$T17=TRUE),$C17,"")</f>
        <v/>
      </c>
      <c r="BA98" s="175">
        <f>IF(AND(OR($B17="Marcante",$B17="Menor"),$C17&lt;&gt;"",$T17=TRUE),$E17,"")</f>
        <v/>
      </c>
      <c r="BB98" s="175">
        <f>IF(AND(OR($B17="Marcante",$B17="Menor"),$C17&lt;&gt;"",$T17=TRUE),IF($B17="Marcante","marcante","menor"),"")</f>
        <v/>
      </c>
      <c r="BC98" s="175">
        <f>IF(AND(OR($B17="Marcante",$B17="Menor"),$C17&lt;&gt;"",$T17=TRUE),IF($B17="Menor",IF($F17="—","",$F17),""),"")</f>
        <v/>
      </c>
      <c r="BD98" s="175">
        <f>IF(AND(OR($B17="Marcante",$B17="Menor"),$C17&lt;&gt;"",$T17=TRUE),$L17,"")</f>
        <v/>
      </c>
      <c r="BE98" s="175">
        <f>IF(AND(OR($B17="Marcante",$B17="Menor"),$C17&lt;&gt;"",$T17=TRUE),$R17,"")</f>
        <v/>
      </c>
      <c r="BM98" s="175">
        <f>IF(AND(OR($B24="Arma",$B24="Escudo",$B24="Uniforme",$B24="Item comum"),$C24&lt;&gt;"",$U24=""),$C24,"")</f>
        <v/>
      </c>
      <c r="BN98" s="175">
        <f>IF(AND(OR($B24="Arma",$B24="Escudo",$B24="Uniforme",$B24="Item comum"),$C24&lt;&gt;"",$U24=""),$B24,"")</f>
        <v/>
      </c>
      <c r="BO98" s="175">
        <f>IF(AND(OR($B24="Arma",$B24="Escudo",$B24="Uniforme",$B24="Item comum"),$C24&lt;&gt;"",$U24=""),IF(OR($B24="Escudo",$B24="Uniforme"),$L24,0),"")</f>
        <v/>
      </c>
      <c r="BP98" s="175">
        <f>IF(AND(OR($B24="Arma",$B24="Escudo",$B24="Uniforme",$B24="Item comum"),$C24&lt;&gt;"",$U24=""),IF(OR($B24="Escudo",$B24="Uniforme"),$M24,"—"),"")</f>
        <v/>
      </c>
      <c r="BQ98" s="175">
        <f>IF(AND(OR($B24="Arma",$B24="Escudo",$B24="Uniforme",$B24="Item comum"),$C24&lt;&gt;"",$U24=""),IF($B24="Arma",$M24,IF($B24="Item comum",0,$N24)),"")</f>
        <v/>
      </c>
      <c r="BR98" s="175">
        <f>IF(AND(OR($B24="Arma",$B24="Escudo",$B24="Uniforme",$B24="Item comum"),$C24&lt;&gt;"",$U24=""),IF($B24="Arma",$N24,IF($B24="Item comum",$L24,$O24)),"")</f>
        <v/>
      </c>
      <c r="BS98" s="175">
        <f>IF(AND(OR($B24="Arma",$B24="Escudo",$B24="Uniforme",$B24="Item comum"),$C24&lt;&gt;"",$U24=""),IF($B24="Uniforme",$E24,"—"),"")</f>
        <v/>
      </c>
      <c r="BT98" s="175">
        <f>IF(AND(OR($B24="Arma",$B24="Escudo",$B24="Uniforme",$B24="Item comum"),$C24&lt;&gt;"",$U24=""),"","")</f>
        <v/>
      </c>
      <c r="BU98" s="175">
        <f>IF(AND(OR($B24="Arma",$B24="Escudo",$B24="Uniforme",$B24="Item comum"),$C24&lt;&gt;"",$U24=""),"","")</f>
        <v/>
      </c>
      <c r="BV98" s="175" t="inlineStr">
        <is>
          <t>Memória Testemunha</t>
        </is>
      </c>
      <c r="CK98" s="175">
        <f>IF(OR('CONFIGURAÇÃO'!$T$333="Arma",'CONFIGURAÇÃO'!$T$333="Escudo",'CONFIGURAÇÃO'!$T$333="Uniforme",'CONFIGURAÇÃO'!$T$333="Item comum"),'CONFIGURAÇÃO'!$T$335,"")</f>
        <v/>
      </c>
    </row>
    <row r="99">
      <c r="AA99" s="175">
        <f>IF(AND(AND($B19="Ferramenta amaldiçoada",$T19=TRUE),OR(IFERROR(VLOOKUP($E19,'DADOS_CUSTOM'!$BM$2:$BU$100,2,FALSE),"")="Arma",IFERROR(VLOOKUP($E19,'DADOS_CUSTOM'!$BM$2:$BU$100,2,FALSE),"")="Escudo")),$C19,"")</f>
        <v/>
      </c>
      <c r="AB99" s="175">
        <f>IF(AND(AND($B19="Ferramenta amaldiçoada",$T19=TRUE),OR(IFERROR(VLOOKUP($E19,'DADOS_CUSTOM'!$BM$2:$BU$100,2,FALSE),"")="Arma",IFERROR(VLOOKUP($E19,'DADOS_CUSTOM'!$BM$2:$BU$100,2,FALSE),"")="Escudo")),IFERROR(VLOOKUP($E19,'DADOS_CUSTOM'!$AA$2:$AK$81,2,FALSE),""),"")</f>
        <v/>
      </c>
      <c r="AC99" s="175">
        <f>IF(AND(AND($B19="Ferramenta amaldiçoada",$T19=TRUE),OR(IFERROR(VLOOKUP($E19,'DADOS_CUSTOM'!$BM$2:$BU$100,2,FALSE),"")="Arma",IFERROR(VLOOKUP($E19,'DADOS_CUSTOM'!$BM$2:$BU$100,2,FALSE),"")="Escudo")),IFERROR(VLOOKUP($E19,'DADOS_CUSTOM'!$AA$2:$AK$81,3,FALSE),""),"")</f>
        <v/>
      </c>
      <c r="AD99" s="175">
        <f>IF(AND(AND($B19="Ferramenta amaldiçoada",$T19=TRUE),OR(IFERROR(VLOOKUP($E19,'DADOS_CUSTOM'!$BM$2:$BU$100,2,FALSE),"")="Arma",IFERROR(VLOOKUP($E19,'DADOS_CUSTOM'!$BM$2:$BU$100,2,FALSE),"")="Escudo")),IFERROR(VLOOKUP($E19,'DADOS_CUSTOM'!$AA$2:$AK$81,4,FALSE),""),"")</f>
        <v/>
      </c>
      <c r="AE99" s="175">
        <f>IF(AND(AND($B19="Ferramenta amaldiçoada",$T19=TRUE),OR(IFERROR(VLOOKUP($E19,'DADOS_CUSTOM'!$BM$2:$BU$100,2,FALSE),"")="Arma",IFERROR(VLOOKUP($E19,'DADOS_CUSTOM'!$BM$2:$BU$100,2,FALSE),"")="Escudo")),IFERROR(VLOOKUP($E19,'DADOS_CUSTOM'!$AA$2:$AK$81,5,FALSE),""),"")</f>
        <v/>
      </c>
      <c r="AF99" s="175">
        <f>IF(AND(AND($B19="Ferramenta amaldiçoada",$T19=TRUE),OR(IFERROR(VLOOKUP($E19,'DADOS_CUSTOM'!$BM$2:$BU$100,2,FALSE),"")="Arma",IFERROR(VLOOKUP($E19,'DADOS_CUSTOM'!$BM$2:$BU$100,2,FALSE),"")="Escudo")),IFERROR(VLOOKUP($E19,'DADOS_CUSTOM'!$AA$2:$AK$81,6,FALSE),""),"")</f>
        <v/>
      </c>
      <c r="AG99" s="175">
        <f>IF(AND(AND($B19="Ferramenta amaldiçoada",$T19=TRUE),OR(IFERROR(VLOOKUP($E19,'DADOS_CUSTOM'!$BM$2:$BU$100,2,FALSE),"")="Arma",IFERROR(VLOOKUP($E19,'DADOS_CUSTOM'!$BM$2:$BU$100,2,FALSE),"")="Escudo")),IF($N19="",IFERROR(VLOOKUP($E19,'DADOS_CUSTOM'!$AA$2:$AK$81,7,FALSE),""),$N19),"")</f>
        <v/>
      </c>
      <c r="AH99" s="175">
        <f>IF(AND(AND($B19="Ferramenta amaldiçoada",$T19=TRUE),OR(IFERROR(VLOOKUP($E19,'DADOS_CUSTOM'!$BM$2:$BU$100,2,FALSE),"")="Arma",IFERROR(VLOOKUP($E19,'DADOS_CUSTOM'!$BM$2:$BU$100,2,FALSE),"")="Escudo")),IFERROR(VLOOKUP($E19,'DADOS_CUSTOM'!$AA$2:$AK$81,8,FALSE),""),"")</f>
        <v/>
      </c>
      <c r="AI99" s="175">
        <f>IF(AND(AND($B19="Ferramenta amaldiçoada",$T19=TRUE),OR(IFERROR(VLOOKUP($E19,'DADOS_CUSTOM'!$BM$2:$BU$100,2,FALSE),"")="Arma",IFERROR(VLOOKUP($E19,'DADOS_CUSTOM'!$BM$2:$BU$100,2,FALSE),"")="Escudo")),IFERROR(VLOOKUP($E19,'DADOS_CUSTOM'!$AA$2:$AK$81,9,FALSE),""),"")</f>
        <v/>
      </c>
      <c r="AJ99" s="175">
        <f>IF(AND(AND($B19="Ferramenta amaldiçoada",$T19=TRUE),OR(IFERROR(VLOOKUP($E19,'DADOS_CUSTOM'!$BM$2:$BU$100,2,FALSE),"")="Arma",IFERROR(VLOOKUP($E19,'DADOS_CUSTOM'!$BM$2:$BU$100,2,FALSE),"")="Escudo")),IFERROR(VLOOKUP($E19,'DADOS_CUSTOM'!$AA$2:$AK$81,10,FALSE),""),"")</f>
        <v/>
      </c>
      <c r="AK99" s="175">
        <f>IF(AND(AND($B19="Ferramenta amaldiçoada",$T19=TRUE),OR(IFERROR(VLOOKUP($E19,'DADOS_CUSTOM'!$BM$2:$BU$100,2,FALSE),"")="Arma",IFERROR(VLOOKUP($E19,'DADOS_CUSTOM'!$BM$2:$BU$100,2,FALSE),"")="Escudo")),IFERROR(VLOOKUP($E19,'DADOS_CUSTOM'!$AA$2:$AK$81,11,FALSE),""),"")</f>
        <v/>
      </c>
      <c r="AZ99" s="175">
        <f>IF(AND(OR($B18="Marcante",$B18="Menor"),$C18&lt;&gt;"",$T18=TRUE),$C18,"")</f>
        <v/>
      </c>
      <c r="BA99" s="175">
        <f>IF(AND(OR($B18="Marcante",$B18="Menor"),$C18&lt;&gt;"",$T18=TRUE),$E18,"")</f>
        <v/>
      </c>
      <c r="BB99" s="175">
        <f>IF(AND(OR($B18="Marcante",$B18="Menor"),$C18&lt;&gt;"",$T18=TRUE),IF($B18="Marcante","marcante","menor"),"")</f>
        <v/>
      </c>
      <c r="BC99" s="175">
        <f>IF(AND(OR($B18="Marcante",$B18="Menor"),$C18&lt;&gt;"",$T18=TRUE),IF($B18="Menor",IF($F18="—","",$F18),""),"")</f>
        <v/>
      </c>
      <c r="BD99" s="175">
        <f>IF(AND(OR($B18="Marcante",$B18="Menor"),$C18&lt;&gt;"",$T18=TRUE),$L18,"")</f>
        <v/>
      </c>
      <c r="BE99" s="175">
        <f>IF(AND(OR($B18="Marcante",$B18="Menor"),$C18&lt;&gt;"",$T18=TRUE),$R18,"")</f>
        <v/>
      </c>
      <c r="BM99" s="175">
        <f>IF(AND(OR($B25="Arma",$B25="Escudo",$B25="Uniforme",$B25="Item comum"),$C25&lt;&gt;"",$U25=""),$C25,"")</f>
        <v/>
      </c>
      <c r="BN99" s="175">
        <f>IF(AND(OR($B25="Arma",$B25="Escudo",$B25="Uniforme",$B25="Item comum"),$C25&lt;&gt;"",$U25=""),$B25,"")</f>
        <v/>
      </c>
      <c r="BO99" s="175">
        <f>IF(AND(OR($B25="Arma",$B25="Escudo",$B25="Uniforme",$B25="Item comum"),$C25&lt;&gt;"",$U25=""),IF(OR($B25="Escudo",$B25="Uniforme"),$L25,0),"")</f>
        <v/>
      </c>
      <c r="BP99" s="175">
        <f>IF(AND(OR($B25="Arma",$B25="Escudo",$B25="Uniforme",$B25="Item comum"),$C25&lt;&gt;"",$U25=""),IF(OR($B25="Escudo",$B25="Uniforme"),$M25,"—"),"")</f>
        <v/>
      </c>
      <c r="BQ99" s="175">
        <f>IF(AND(OR($B25="Arma",$B25="Escudo",$B25="Uniforme",$B25="Item comum"),$C25&lt;&gt;"",$U25=""),IF($B25="Arma",$M25,IF($B25="Item comum",0,$N25)),"")</f>
        <v/>
      </c>
      <c r="BR99" s="175">
        <f>IF(AND(OR($B25="Arma",$B25="Escudo",$B25="Uniforme",$B25="Item comum"),$C25&lt;&gt;"",$U25=""),IF($B25="Arma",$N25,IF($B25="Item comum",$L25,$O25)),"")</f>
        <v/>
      </c>
      <c r="BS99" s="175">
        <f>IF(AND(OR($B25="Arma",$B25="Escudo",$B25="Uniforme",$B25="Item comum"),$C25&lt;&gt;"",$U25=""),IF($B25="Uniforme",$E25,"—"),"")</f>
        <v/>
      </c>
      <c r="BT99" s="175">
        <f>IF(AND(OR($B25="Arma",$B25="Escudo",$B25="Uniforme",$B25="Item comum"),$C25&lt;&gt;"",$U25=""),"","")</f>
        <v/>
      </c>
      <c r="BU99" s="175">
        <f>IF(AND(OR($B25="Arma",$B25="Escudo",$B25="Uniforme",$B25="Item comum"),$C25&lt;&gt;"",$U25=""),"","")</f>
        <v/>
      </c>
      <c r="BV99" s="175" t="inlineStr">
        <is>
          <t>Memória da Dor</t>
        </is>
      </c>
      <c r="CK99" s="175">
        <f>IF(OR('CONFIGURAÇÃO'!$AB$333="Arma",'CONFIGURAÇÃO'!$AB$333="Escudo",'CONFIGURAÇÃO'!$AB$333="Uniforme",'CONFIGURAÇÃO'!$AB$333="Item comum"),'CONFIGURAÇÃO'!$AB$335,"")</f>
        <v/>
      </c>
    </row>
    <row r="100">
      <c r="AA100" s="175">
        <f>IF(AND(AND($B20="Ferramenta amaldiçoada",$T20=TRUE),OR(IFERROR(VLOOKUP($E20,'DADOS_CUSTOM'!$BM$2:$BU$100,2,FALSE),"")="Arma",IFERROR(VLOOKUP($E20,'DADOS_CUSTOM'!$BM$2:$BU$100,2,FALSE),"")="Escudo")),$C20,"")</f>
        <v/>
      </c>
      <c r="AB100" s="175">
        <f>IF(AND(AND($B20="Ferramenta amaldiçoada",$T20=TRUE),OR(IFERROR(VLOOKUP($E20,'DADOS_CUSTOM'!$BM$2:$BU$100,2,FALSE),"")="Arma",IFERROR(VLOOKUP($E20,'DADOS_CUSTOM'!$BM$2:$BU$100,2,FALSE),"")="Escudo")),IFERROR(VLOOKUP($E20,'DADOS_CUSTOM'!$AA$2:$AK$81,2,FALSE),""),"")</f>
        <v/>
      </c>
      <c r="AC100" s="175">
        <f>IF(AND(AND($B20="Ferramenta amaldiçoada",$T20=TRUE),OR(IFERROR(VLOOKUP($E20,'DADOS_CUSTOM'!$BM$2:$BU$100,2,FALSE),"")="Arma",IFERROR(VLOOKUP($E20,'DADOS_CUSTOM'!$BM$2:$BU$100,2,FALSE),"")="Escudo")),IFERROR(VLOOKUP($E20,'DADOS_CUSTOM'!$AA$2:$AK$81,3,FALSE),""),"")</f>
        <v/>
      </c>
      <c r="AD100" s="175">
        <f>IF(AND(AND($B20="Ferramenta amaldiçoada",$T20=TRUE),OR(IFERROR(VLOOKUP($E20,'DADOS_CUSTOM'!$BM$2:$BU$100,2,FALSE),"")="Arma",IFERROR(VLOOKUP($E20,'DADOS_CUSTOM'!$BM$2:$BU$100,2,FALSE),"")="Escudo")),IFERROR(VLOOKUP($E20,'DADOS_CUSTOM'!$AA$2:$AK$81,4,FALSE),""),"")</f>
        <v/>
      </c>
      <c r="AE100" s="175">
        <f>IF(AND(AND($B20="Ferramenta amaldiçoada",$T20=TRUE),OR(IFERROR(VLOOKUP($E20,'DADOS_CUSTOM'!$BM$2:$BU$100,2,FALSE),"")="Arma",IFERROR(VLOOKUP($E20,'DADOS_CUSTOM'!$BM$2:$BU$100,2,FALSE),"")="Escudo")),IFERROR(VLOOKUP($E20,'DADOS_CUSTOM'!$AA$2:$AK$81,5,FALSE),""),"")</f>
        <v/>
      </c>
      <c r="AF100" s="175">
        <f>IF(AND(AND($B20="Ferramenta amaldiçoada",$T20=TRUE),OR(IFERROR(VLOOKUP($E20,'DADOS_CUSTOM'!$BM$2:$BU$100,2,FALSE),"")="Arma",IFERROR(VLOOKUP($E20,'DADOS_CUSTOM'!$BM$2:$BU$100,2,FALSE),"")="Escudo")),IFERROR(VLOOKUP($E20,'DADOS_CUSTOM'!$AA$2:$AK$81,6,FALSE),""),"")</f>
        <v/>
      </c>
      <c r="AG100" s="175">
        <f>IF(AND(AND($B20="Ferramenta amaldiçoada",$T20=TRUE),OR(IFERROR(VLOOKUP($E20,'DADOS_CUSTOM'!$BM$2:$BU$100,2,FALSE),"")="Arma",IFERROR(VLOOKUP($E20,'DADOS_CUSTOM'!$BM$2:$BU$100,2,FALSE),"")="Escudo")),IF($N20="",IFERROR(VLOOKUP($E20,'DADOS_CUSTOM'!$AA$2:$AK$81,7,FALSE),""),$N20),"")</f>
        <v/>
      </c>
      <c r="AH100" s="175">
        <f>IF(AND(AND($B20="Ferramenta amaldiçoada",$T20=TRUE),OR(IFERROR(VLOOKUP($E20,'DADOS_CUSTOM'!$BM$2:$BU$100,2,FALSE),"")="Arma",IFERROR(VLOOKUP($E20,'DADOS_CUSTOM'!$BM$2:$BU$100,2,FALSE),"")="Escudo")),IFERROR(VLOOKUP($E20,'DADOS_CUSTOM'!$AA$2:$AK$81,8,FALSE),""),"")</f>
        <v/>
      </c>
      <c r="AI100" s="175">
        <f>IF(AND(AND($B20="Ferramenta amaldiçoada",$T20=TRUE),OR(IFERROR(VLOOKUP($E20,'DADOS_CUSTOM'!$BM$2:$BU$100,2,FALSE),"")="Arma",IFERROR(VLOOKUP($E20,'DADOS_CUSTOM'!$BM$2:$BU$100,2,FALSE),"")="Escudo")),IFERROR(VLOOKUP($E20,'DADOS_CUSTOM'!$AA$2:$AK$81,9,FALSE),""),"")</f>
        <v/>
      </c>
      <c r="AJ100" s="175">
        <f>IF(AND(AND($B20="Ferramenta amaldiçoada",$T20=TRUE),OR(IFERROR(VLOOKUP($E20,'DADOS_CUSTOM'!$BM$2:$BU$100,2,FALSE),"")="Arma",IFERROR(VLOOKUP($E20,'DADOS_CUSTOM'!$BM$2:$BU$100,2,FALSE),"")="Escudo")),IFERROR(VLOOKUP($E20,'DADOS_CUSTOM'!$AA$2:$AK$81,10,FALSE),""),"")</f>
        <v/>
      </c>
      <c r="AK100" s="175">
        <f>IF(AND(AND($B20="Ferramenta amaldiçoada",$T20=TRUE),OR(IFERROR(VLOOKUP($E20,'DADOS_CUSTOM'!$BM$2:$BU$100,2,FALSE),"")="Arma",IFERROR(VLOOKUP($E20,'DADOS_CUSTOM'!$BM$2:$BU$100,2,FALSE),"")="Escudo")),IFERROR(VLOOKUP($E20,'DADOS_CUSTOM'!$AA$2:$AK$81,11,FALSE),""),"")</f>
        <v/>
      </c>
      <c r="AZ100" s="175">
        <f>IF(AND(OR($B19="Marcante",$B19="Menor"),$C19&lt;&gt;"",$T19=TRUE),$C19,"")</f>
        <v/>
      </c>
      <c r="BA100" s="175">
        <f>IF(AND(OR($B19="Marcante",$B19="Menor"),$C19&lt;&gt;"",$T19=TRUE),$E19,"")</f>
        <v/>
      </c>
      <c r="BB100" s="175">
        <f>IF(AND(OR($B19="Marcante",$B19="Menor"),$C19&lt;&gt;"",$T19=TRUE),IF($B19="Marcante","marcante","menor"),"")</f>
        <v/>
      </c>
      <c r="BC100" s="175">
        <f>IF(AND(OR($B19="Marcante",$B19="Menor"),$C19&lt;&gt;"",$T19=TRUE),IF($B19="Menor",IF($F19="—","",$F19),""),"")</f>
        <v/>
      </c>
      <c r="BD100" s="175">
        <f>IF(AND(OR($B19="Marcante",$B19="Menor"),$C19&lt;&gt;"",$T19=TRUE),$L19,"")</f>
        <v/>
      </c>
      <c r="BE100" s="175">
        <f>IF(AND(OR($B19="Marcante",$B19="Menor"),$C19&lt;&gt;"",$T19=TRUE),$R19,"")</f>
        <v/>
      </c>
      <c r="BM100" s="175">
        <f>IF(AND(OR($B26="Arma",$B26="Escudo",$B26="Uniforme",$B26="Item comum"),$C26&lt;&gt;"",$U26=""),$C26,"")</f>
        <v/>
      </c>
      <c r="BN100" s="175">
        <f>IF(AND(OR($B26="Arma",$B26="Escudo",$B26="Uniforme",$B26="Item comum"),$C26&lt;&gt;"",$U26=""),$B26,"")</f>
        <v/>
      </c>
      <c r="BO100" s="175">
        <f>IF(AND(OR($B26="Arma",$B26="Escudo",$B26="Uniforme",$B26="Item comum"),$C26&lt;&gt;"",$U26=""),IF(OR($B26="Escudo",$B26="Uniforme"),$L26,0),"")</f>
        <v/>
      </c>
      <c r="BP100" s="175">
        <f>IF(AND(OR($B26="Arma",$B26="Escudo",$B26="Uniforme",$B26="Item comum"),$C26&lt;&gt;"",$U26=""),IF(OR($B26="Escudo",$B26="Uniforme"),$M26,"—"),"")</f>
        <v/>
      </c>
      <c r="BQ100" s="175">
        <f>IF(AND(OR($B26="Arma",$B26="Escudo",$B26="Uniforme",$B26="Item comum"),$C26&lt;&gt;"",$U26=""),IF($B26="Arma",$M26,IF($B26="Item comum",0,$N26)),"")</f>
        <v/>
      </c>
      <c r="BR100" s="175">
        <f>IF(AND(OR($B26="Arma",$B26="Escudo",$B26="Uniforme",$B26="Item comum"),$C26&lt;&gt;"",$U26=""),IF($B26="Arma",$N26,IF($B26="Item comum",$L26,$O26)),"")</f>
        <v/>
      </c>
      <c r="BS100" s="175">
        <f>IF(AND(OR($B26="Arma",$B26="Escudo",$B26="Uniforme",$B26="Item comum"),$C26&lt;&gt;"",$U26=""),IF($B26="Uniforme",$E26,"—"),"")</f>
        <v/>
      </c>
      <c r="BT100" s="175">
        <f>IF(AND(OR($B26="Arma",$B26="Escudo",$B26="Uniforme",$B26="Item comum"),$C26&lt;&gt;"",$U26=""),"","")</f>
        <v/>
      </c>
      <c r="BU100" s="175">
        <f>IF(AND(OR($B26="Arma",$B26="Escudo",$B26="Uniforme",$B26="Item comum"),$C26&lt;&gt;"",$U26=""),"","")</f>
        <v/>
      </c>
      <c r="BV100" s="175" t="inlineStr">
        <is>
          <t>Mente Resguardada</t>
        </is>
      </c>
      <c r="CK100" s="175">
        <f>IF(OR('CONFIGURAÇÃO'!$T$362="Arma",'CONFIGURAÇÃO'!$T$362="Escudo",'CONFIGURAÇÃO'!$T$362="Uniforme",'CONFIGURAÇÃO'!$T$362="Item comum"),'CONFIGURAÇÃO'!$T$364,"")</f>
        <v/>
      </c>
    </row>
    <row r="101">
      <c r="AA101" s="175">
        <f>IF(AND(AND($B21="Ferramenta amaldiçoada",$T21=TRUE),OR(IFERROR(VLOOKUP($E21,'DADOS_CUSTOM'!$BM$2:$BU$100,2,FALSE),"")="Arma",IFERROR(VLOOKUP($E21,'DADOS_CUSTOM'!$BM$2:$BU$100,2,FALSE),"")="Escudo")),$C21,"")</f>
        <v/>
      </c>
      <c r="AB101" s="175">
        <f>IF(AND(AND($B21="Ferramenta amaldiçoada",$T21=TRUE),OR(IFERROR(VLOOKUP($E21,'DADOS_CUSTOM'!$BM$2:$BU$100,2,FALSE),"")="Arma",IFERROR(VLOOKUP($E21,'DADOS_CUSTOM'!$BM$2:$BU$100,2,FALSE),"")="Escudo")),IFERROR(VLOOKUP($E21,'DADOS_CUSTOM'!$AA$2:$AK$81,2,FALSE),""),"")</f>
        <v/>
      </c>
      <c r="AC101" s="175">
        <f>IF(AND(AND($B21="Ferramenta amaldiçoada",$T21=TRUE),OR(IFERROR(VLOOKUP($E21,'DADOS_CUSTOM'!$BM$2:$BU$100,2,FALSE),"")="Arma",IFERROR(VLOOKUP($E21,'DADOS_CUSTOM'!$BM$2:$BU$100,2,FALSE),"")="Escudo")),IFERROR(VLOOKUP($E21,'DADOS_CUSTOM'!$AA$2:$AK$81,3,FALSE),""),"")</f>
        <v/>
      </c>
      <c r="AD101" s="175">
        <f>IF(AND(AND($B21="Ferramenta amaldiçoada",$T21=TRUE),OR(IFERROR(VLOOKUP($E21,'DADOS_CUSTOM'!$BM$2:$BU$100,2,FALSE),"")="Arma",IFERROR(VLOOKUP($E21,'DADOS_CUSTOM'!$BM$2:$BU$100,2,FALSE),"")="Escudo")),IFERROR(VLOOKUP($E21,'DADOS_CUSTOM'!$AA$2:$AK$81,4,FALSE),""),"")</f>
        <v/>
      </c>
      <c r="AE101" s="175">
        <f>IF(AND(AND($B21="Ferramenta amaldiçoada",$T21=TRUE),OR(IFERROR(VLOOKUP($E21,'DADOS_CUSTOM'!$BM$2:$BU$100,2,FALSE),"")="Arma",IFERROR(VLOOKUP($E21,'DADOS_CUSTOM'!$BM$2:$BU$100,2,FALSE),"")="Escudo")),IFERROR(VLOOKUP($E21,'DADOS_CUSTOM'!$AA$2:$AK$81,5,FALSE),""),"")</f>
        <v/>
      </c>
      <c r="AF101" s="175">
        <f>IF(AND(AND($B21="Ferramenta amaldiçoada",$T21=TRUE),OR(IFERROR(VLOOKUP($E21,'DADOS_CUSTOM'!$BM$2:$BU$100,2,FALSE),"")="Arma",IFERROR(VLOOKUP($E21,'DADOS_CUSTOM'!$BM$2:$BU$100,2,FALSE),"")="Escudo")),IFERROR(VLOOKUP($E21,'DADOS_CUSTOM'!$AA$2:$AK$81,6,FALSE),""),"")</f>
        <v/>
      </c>
      <c r="AG101" s="175">
        <f>IF(AND(AND($B21="Ferramenta amaldiçoada",$T21=TRUE),OR(IFERROR(VLOOKUP($E21,'DADOS_CUSTOM'!$BM$2:$BU$100,2,FALSE),"")="Arma",IFERROR(VLOOKUP($E21,'DADOS_CUSTOM'!$BM$2:$BU$100,2,FALSE),"")="Escudo")),IF($N21="",IFERROR(VLOOKUP($E21,'DADOS_CUSTOM'!$AA$2:$AK$81,7,FALSE),""),$N21),"")</f>
        <v/>
      </c>
      <c r="AH101" s="175">
        <f>IF(AND(AND($B21="Ferramenta amaldiçoada",$T21=TRUE),OR(IFERROR(VLOOKUP($E21,'DADOS_CUSTOM'!$BM$2:$BU$100,2,FALSE),"")="Arma",IFERROR(VLOOKUP($E21,'DADOS_CUSTOM'!$BM$2:$BU$100,2,FALSE),"")="Escudo")),IFERROR(VLOOKUP($E21,'DADOS_CUSTOM'!$AA$2:$AK$81,8,FALSE),""),"")</f>
        <v/>
      </c>
      <c r="AI101" s="175">
        <f>IF(AND(AND($B21="Ferramenta amaldiçoada",$T21=TRUE),OR(IFERROR(VLOOKUP($E21,'DADOS_CUSTOM'!$BM$2:$BU$100,2,FALSE),"")="Arma",IFERROR(VLOOKUP($E21,'DADOS_CUSTOM'!$BM$2:$BU$100,2,FALSE),"")="Escudo")),IFERROR(VLOOKUP($E21,'DADOS_CUSTOM'!$AA$2:$AK$81,9,FALSE),""),"")</f>
        <v/>
      </c>
      <c r="AJ101" s="175">
        <f>IF(AND(AND($B21="Ferramenta amaldiçoada",$T21=TRUE),OR(IFERROR(VLOOKUP($E21,'DADOS_CUSTOM'!$BM$2:$BU$100,2,FALSE),"")="Arma",IFERROR(VLOOKUP($E21,'DADOS_CUSTOM'!$BM$2:$BU$100,2,FALSE),"")="Escudo")),IFERROR(VLOOKUP($E21,'DADOS_CUSTOM'!$AA$2:$AK$81,10,FALSE),""),"")</f>
        <v/>
      </c>
      <c r="AK101" s="175">
        <f>IF(AND(AND($B21="Ferramenta amaldiçoada",$T21=TRUE),OR(IFERROR(VLOOKUP($E21,'DADOS_CUSTOM'!$BM$2:$BU$100,2,FALSE),"")="Arma",IFERROR(VLOOKUP($E21,'DADOS_CUSTOM'!$BM$2:$BU$100,2,FALSE),"")="Escudo")),IFERROR(VLOOKUP($E21,'DADOS_CUSTOM'!$AA$2:$AK$81,11,FALSE),""),"")</f>
        <v/>
      </c>
      <c r="AZ101" s="175">
        <f>IF(AND(OR($B20="Marcante",$B20="Menor"),$C20&lt;&gt;"",$T20=TRUE),$C20,"")</f>
        <v/>
      </c>
      <c r="BA101" s="175">
        <f>IF(AND(OR($B20="Marcante",$B20="Menor"),$C20&lt;&gt;"",$T20=TRUE),$E20,"")</f>
        <v/>
      </c>
      <c r="BB101" s="175">
        <f>IF(AND(OR($B20="Marcante",$B20="Menor"),$C20&lt;&gt;"",$T20=TRUE),IF($B20="Marcante","marcante","menor"),"")</f>
        <v/>
      </c>
      <c r="BC101" s="175">
        <f>IF(AND(OR($B20="Marcante",$B20="Menor"),$C20&lt;&gt;"",$T20=TRUE),IF($B20="Menor",IF($F20="—","",$F20),""),"")</f>
        <v/>
      </c>
      <c r="BD101" s="175">
        <f>IF(AND(OR($B20="Marcante",$B20="Menor"),$C20&lt;&gt;"",$T20=TRUE),$L20,"")</f>
        <v/>
      </c>
      <c r="BE101" s="175">
        <f>IF(AND(OR($B20="Marcante",$B20="Menor"),$C20&lt;&gt;"",$T20=TRUE),$R20,"")</f>
        <v/>
      </c>
      <c r="BM101" s="175">
        <f>IF(AND(AND($B2="Ferramenta amaldiçoada",$T2=TRUE),TRUE),$C2,"")</f>
        <v/>
      </c>
      <c r="BN101" s="175">
        <f>IF(AND(AND($B2="Ferramenta amaldiçoada",$T2=TRUE),TRUE),IFERROR(VLOOKUP($E2,'DADOS_CUSTOM'!$BM$2:$BU$100,2,FALSE),""),"")</f>
        <v/>
      </c>
      <c r="BO101" s="175">
        <f>IF(AND(AND($B2="Ferramenta amaldiçoada",$T2=TRUE),TRUE),IFERROR(VLOOKUP($E2,'DADOS_CUSTOM'!$BM$2:$BU$100,3,FALSE),""),"")</f>
        <v/>
      </c>
      <c r="BP101" s="175">
        <f>IF(AND(AND($B2="Ferramenta amaldiçoada",$T2=TRUE),TRUE),IFERROR(VLOOKUP($E2,'DADOS_CUSTOM'!$BM$2:$BU$100,4,FALSE),""),"")</f>
        <v/>
      </c>
      <c r="BQ101" s="175">
        <f>IF(AND(AND($B2="Ferramenta amaldiçoada",$T2=TRUE),TRUE),IFERROR(VLOOKUP($E2,'DADOS_CUSTOM'!$BM$2:$BU$100,5,FALSE),""),"")</f>
        <v/>
      </c>
      <c r="BR101" s="175">
        <f>IF(AND(AND($B2="Ferramenta amaldiçoada",$T2=TRUE),TRUE),IF($N2="",IFERROR(VLOOKUP($E2,'DADOS_CUSTOM'!$BM$2:$BU$100,6,FALSE),""),$N2),"")</f>
        <v/>
      </c>
      <c r="BS101" s="175">
        <f>IF(AND(AND($B2="Ferramenta amaldiçoada",$T2=TRUE),TRUE),$F2,"")</f>
        <v/>
      </c>
      <c r="BT101" s="175">
        <f>IF(AND(AND($B2="Ferramenta amaldiçoada",$T2=TRUE),TRUE),$L2,"")</f>
        <v/>
      </c>
      <c r="BU101" s="175">
        <f>IF(AND(AND($B2="Ferramenta amaldiçoada",$T2=TRUE),TRUE),$M2,"")</f>
        <v/>
      </c>
      <c r="BV101" s="175" t="inlineStr">
        <is>
          <t>Metabolismo Flexível</t>
        </is>
      </c>
    </row>
    <row r="102">
      <c r="AA102" s="175">
        <f>IF(AND(AND($B22="Ferramenta amaldiçoada",$T22=TRUE),OR(IFERROR(VLOOKUP($E22,'DADOS_CUSTOM'!$BM$2:$BU$100,2,FALSE),"")="Arma",IFERROR(VLOOKUP($E22,'DADOS_CUSTOM'!$BM$2:$BU$100,2,FALSE),"")="Escudo")),$C22,"")</f>
        <v/>
      </c>
      <c r="AB102" s="175">
        <f>IF(AND(AND($B22="Ferramenta amaldiçoada",$T22=TRUE),OR(IFERROR(VLOOKUP($E22,'DADOS_CUSTOM'!$BM$2:$BU$100,2,FALSE),"")="Arma",IFERROR(VLOOKUP($E22,'DADOS_CUSTOM'!$BM$2:$BU$100,2,FALSE),"")="Escudo")),IFERROR(VLOOKUP($E22,'DADOS_CUSTOM'!$AA$2:$AK$81,2,FALSE),""),"")</f>
        <v/>
      </c>
      <c r="AC102" s="175">
        <f>IF(AND(AND($B22="Ferramenta amaldiçoada",$T22=TRUE),OR(IFERROR(VLOOKUP($E22,'DADOS_CUSTOM'!$BM$2:$BU$100,2,FALSE),"")="Arma",IFERROR(VLOOKUP($E22,'DADOS_CUSTOM'!$BM$2:$BU$100,2,FALSE),"")="Escudo")),IFERROR(VLOOKUP($E22,'DADOS_CUSTOM'!$AA$2:$AK$81,3,FALSE),""),"")</f>
        <v/>
      </c>
      <c r="AD102" s="175">
        <f>IF(AND(AND($B22="Ferramenta amaldiçoada",$T22=TRUE),OR(IFERROR(VLOOKUP($E22,'DADOS_CUSTOM'!$BM$2:$BU$100,2,FALSE),"")="Arma",IFERROR(VLOOKUP($E22,'DADOS_CUSTOM'!$BM$2:$BU$100,2,FALSE),"")="Escudo")),IFERROR(VLOOKUP($E22,'DADOS_CUSTOM'!$AA$2:$AK$81,4,FALSE),""),"")</f>
        <v/>
      </c>
      <c r="AE102" s="175">
        <f>IF(AND(AND($B22="Ferramenta amaldiçoada",$T22=TRUE),OR(IFERROR(VLOOKUP($E22,'DADOS_CUSTOM'!$BM$2:$BU$100,2,FALSE),"")="Arma",IFERROR(VLOOKUP($E22,'DADOS_CUSTOM'!$BM$2:$BU$100,2,FALSE),"")="Escudo")),IFERROR(VLOOKUP($E22,'DADOS_CUSTOM'!$AA$2:$AK$81,5,FALSE),""),"")</f>
        <v/>
      </c>
      <c r="AF102" s="175">
        <f>IF(AND(AND($B22="Ferramenta amaldiçoada",$T22=TRUE),OR(IFERROR(VLOOKUP($E22,'DADOS_CUSTOM'!$BM$2:$BU$100,2,FALSE),"")="Arma",IFERROR(VLOOKUP($E22,'DADOS_CUSTOM'!$BM$2:$BU$100,2,FALSE),"")="Escudo")),IFERROR(VLOOKUP($E22,'DADOS_CUSTOM'!$AA$2:$AK$81,6,FALSE),""),"")</f>
        <v/>
      </c>
      <c r="AG102" s="175">
        <f>IF(AND(AND($B22="Ferramenta amaldiçoada",$T22=TRUE),OR(IFERROR(VLOOKUP($E22,'DADOS_CUSTOM'!$BM$2:$BU$100,2,FALSE),"")="Arma",IFERROR(VLOOKUP($E22,'DADOS_CUSTOM'!$BM$2:$BU$100,2,FALSE),"")="Escudo")),IF($N22="",IFERROR(VLOOKUP($E22,'DADOS_CUSTOM'!$AA$2:$AK$81,7,FALSE),""),$N22),"")</f>
        <v/>
      </c>
      <c r="AH102" s="175">
        <f>IF(AND(AND($B22="Ferramenta amaldiçoada",$T22=TRUE),OR(IFERROR(VLOOKUP($E22,'DADOS_CUSTOM'!$BM$2:$BU$100,2,FALSE),"")="Arma",IFERROR(VLOOKUP($E22,'DADOS_CUSTOM'!$BM$2:$BU$100,2,FALSE),"")="Escudo")),IFERROR(VLOOKUP($E22,'DADOS_CUSTOM'!$AA$2:$AK$81,8,FALSE),""),"")</f>
        <v/>
      </c>
      <c r="AI102" s="175">
        <f>IF(AND(AND($B22="Ferramenta amaldiçoada",$T22=TRUE),OR(IFERROR(VLOOKUP($E22,'DADOS_CUSTOM'!$BM$2:$BU$100,2,FALSE),"")="Arma",IFERROR(VLOOKUP($E22,'DADOS_CUSTOM'!$BM$2:$BU$100,2,FALSE),"")="Escudo")),IFERROR(VLOOKUP($E22,'DADOS_CUSTOM'!$AA$2:$AK$81,9,FALSE),""),"")</f>
        <v/>
      </c>
      <c r="AJ102" s="175">
        <f>IF(AND(AND($B22="Ferramenta amaldiçoada",$T22=TRUE),OR(IFERROR(VLOOKUP($E22,'DADOS_CUSTOM'!$BM$2:$BU$100,2,FALSE),"")="Arma",IFERROR(VLOOKUP($E22,'DADOS_CUSTOM'!$BM$2:$BU$100,2,FALSE),"")="Escudo")),IFERROR(VLOOKUP($E22,'DADOS_CUSTOM'!$AA$2:$AK$81,10,FALSE),""),"")</f>
        <v/>
      </c>
      <c r="AK102" s="175">
        <f>IF(AND(AND($B22="Ferramenta amaldiçoada",$T22=TRUE),OR(IFERROR(VLOOKUP($E22,'DADOS_CUSTOM'!$BM$2:$BU$100,2,FALSE),"")="Arma",IFERROR(VLOOKUP($E22,'DADOS_CUSTOM'!$BM$2:$BU$100,2,FALSE),"")="Escudo")),IFERROR(VLOOKUP($E22,'DADOS_CUSTOM'!$AA$2:$AK$81,11,FALSE),""),"")</f>
        <v/>
      </c>
      <c r="AZ102" s="175">
        <f>IF(AND(OR($B21="Marcante",$B21="Menor"),$C21&lt;&gt;"",$T21=TRUE),$C21,"")</f>
        <v/>
      </c>
      <c r="BA102" s="175">
        <f>IF(AND(OR($B21="Marcante",$B21="Menor"),$C21&lt;&gt;"",$T21=TRUE),$E21,"")</f>
        <v/>
      </c>
      <c r="BB102" s="175">
        <f>IF(AND(OR($B21="Marcante",$B21="Menor"),$C21&lt;&gt;"",$T21=TRUE),IF($B21="Marcante","marcante","menor"),"")</f>
        <v/>
      </c>
      <c r="BC102" s="175">
        <f>IF(AND(OR($B21="Marcante",$B21="Menor"),$C21&lt;&gt;"",$T21=TRUE),IF($B21="Menor",IF($F21="—","",$F21),""),"")</f>
        <v/>
      </c>
      <c r="BD102" s="175">
        <f>IF(AND(OR($B21="Marcante",$B21="Menor"),$C21&lt;&gt;"",$T21=TRUE),$L21,"")</f>
        <v/>
      </c>
      <c r="BE102" s="175">
        <f>IF(AND(OR($B21="Marcante",$B21="Menor"),$C21&lt;&gt;"",$T21=TRUE),$R21,"")</f>
        <v/>
      </c>
      <c r="BM102" s="175">
        <f>IF(AND(AND($B3="Ferramenta amaldiçoada",$T3=TRUE),TRUE),$C3,"")</f>
        <v/>
      </c>
      <c r="BN102" s="175">
        <f>IF(AND(AND($B3="Ferramenta amaldiçoada",$T3=TRUE),TRUE),IFERROR(VLOOKUP($E3,'DADOS_CUSTOM'!$BM$2:$BU$100,2,FALSE),""),"")</f>
        <v/>
      </c>
      <c r="BO102" s="175">
        <f>IF(AND(AND($B3="Ferramenta amaldiçoada",$T3=TRUE),TRUE),IFERROR(VLOOKUP($E3,'DADOS_CUSTOM'!$BM$2:$BU$100,3,FALSE),""),"")</f>
        <v/>
      </c>
      <c r="BP102" s="175">
        <f>IF(AND(AND($B3="Ferramenta amaldiçoada",$T3=TRUE),TRUE),IFERROR(VLOOKUP($E3,'DADOS_CUSTOM'!$BM$2:$BU$100,4,FALSE),""),"")</f>
        <v/>
      </c>
      <c r="BQ102" s="175">
        <f>IF(AND(AND($B3="Ferramenta amaldiçoada",$T3=TRUE),TRUE),IFERROR(VLOOKUP($E3,'DADOS_CUSTOM'!$BM$2:$BU$100,5,FALSE),""),"")</f>
        <v/>
      </c>
      <c r="BR102" s="175">
        <f>IF(AND(AND($B3="Ferramenta amaldiçoada",$T3=TRUE),TRUE),IF($N3="",IFERROR(VLOOKUP($E3,'DADOS_CUSTOM'!$BM$2:$BU$100,6,FALSE),""),$N3),"")</f>
        <v/>
      </c>
      <c r="BS102" s="175">
        <f>IF(AND(AND($B3="Ferramenta amaldiçoada",$T3=TRUE),TRUE),$F3,"")</f>
        <v/>
      </c>
      <c r="BT102" s="175">
        <f>IF(AND(AND($B3="Ferramenta amaldiçoada",$T3=TRUE),TRUE),$L3,"")</f>
        <v/>
      </c>
      <c r="BU102" s="175">
        <f>IF(AND(AND($B3="Ferramenta amaldiçoada",$T3=TRUE),TRUE),$M3,"")</f>
        <v/>
      </c>
      <c r="BV102" s="175" t="inlineStr">
        <is>
          <t>Metralhadora Pesada</t>
        </is>
      </c>
    </row>
    <row r="103">
      <c r="AA103" s="175">
        <f>IF(AND(AND($B23="Ferramenta amaldiçoada",$T23=TRUE),OR(IFERROR(VLOOKUP($E23,'DADOS_CUSTOM'!$BM$2:$BU$100,2,FALSE),"")="Arma",IFERROR(VLOOKUP($E23,'DADOS_CUSTOM'!$BM$2:$BU$100,2,FALSE),"")="Escudo")),$C23,"")</f>
        <v/>
      </c>
      <c r="AB103" s="175">
        <f>IF(AND(AND($B23="Ferramenta amaldiçoada",$T23=TRUE),OR(IFERROR(VLOOKUP($E23,'DADOS_CUSTOM'!$BM$2:$BU$100,2,FALSE),"")="Arma",IFERROR(VLOOKUP($E23,'DADOS_CUSTOM'!$BM$2:$BU$100,2,FALSE),"")="Escudo")),IFERROR(VLOOKUP($E23,'DADOS_CUSTOM'!$AA$2:$AK$81,2,FALSE),""),"")</f>
        <v/>
      </c>
      <c r="AC103" s="175">
        <f>IF(AND(AND($B23="Ferramenta amaldiçoada",$T23=TRUE),OR(IFERROR(VLOOKUP($E23,'DADOS_CUSTOM'!$BM$2:$BU$100,2,FALSE),"")="Arma",IFERROR(VLOOKUP($E23,'DADOS_CUSTOM'!$BM$2:$BU$100,2,FALSE),"")="Escudo")),IFERROR(VLOOKUP($E23,'DADOS_CUSTOM'!$AA$2:$AK$81,3,FALSE),""),"")</f>
        <v/>
      </c>
      <c r="AD103" s="175">
        <f>IF(AND(AND($B23="Ferramenta amaldiçoada",$T23=TRUE),OR(IFERROR(VLOOKUP($E23,'DADOS_CUSTOM'!$BM$2:$BU$100,2,FALSE),"")="Arma",IFERROR(VLOOKUP($E23,'DADOS_CUSTOM'!$BM$2:$BU$100,2,FALSE),"")="Escudo")),IFERROR(VLOOKUP($E23,'DADOS_CUSTOM'!$AA$2:$AK$81,4,FALSE),""),"")</f>
        <v/>
      </c>
      <c r="AE103" s="175">
        <f>IF(AND(AND($B23="Ferramenta amaldiçoada",$T23=TRUE),OR(IFERROR(VLOOKUP($E23,'DADOS_CUSTOM'!$BM$2:$BU$100,2,FALSE),"")="Arma",IFERROR(VLOOKUP($E23,'DADOS_CUSTOM'!$BM$2:$BU$100,2,FALSE),"")="Escudo")),IFERROR(VLOOKUP($E23,'DADOS_CUSTOM'!$AA$2:$AK$81,5,FALSE),""),"")</f>
        <v/>
      </c>
      <c r="AF103" s="175">
        <f>IF(AND(AND($B23="Ferramenta amaldiçoada",$T23=TRUE),OR(IFERROR(VLOOKUP($E23,'DADOS_CUSTOM'!$BM$2:$BU$100,2,FALSE),"")="Arma",IFERROR(VLOOKUP($E23,'DADOS_CUSTOM'!$BM$2:$BU$100,2,FALSE),"")="Escudo")),IFERROR(VLOOKUP($E23,'DADOS_CUSTOM'!$AA$2:$AK$81,6,FALSE),""),"")</f>
        <v/>
      </c>
      <c r="AG103" s="175">
        <f>IF(AND(AND($B23="Ferramenta amaldiçoada",$T23=TRUE),OR(IFERROR(VLOOKUP($E23,'DADOS_CUSTOM'!$BM$2:$BU$100,2,FALSE),"")="Arma",IFERROR(VLOOKUP($E23,'DADOS_CUSTOM'!$BM$2:$BU$100,2,FALSE),"")="Escudo")),IF($N23="",IFERROR(VLOOKUP($E23,'DADOS_CUSTOM'!$AA$2:$AK$81,7,FALSE),""),$N23),"")</f>
        <v/>
      </c>
      <c r="AH103" s="175">
        <f>IF(AND(AND($B23="Ferramenta amaldiçoada",$T23=TRUE),OR(IFERROR(VLOOKUP($E23,'DADOS_CUSTOM'!$BM$2:$BU$100,2,FALSE),"")="Arma",IFERROR(VLOOKUP($E23,'DADOS_CUSTOM'!$BM$2:$BU$100,2,FALSE),"")="Escudo")),IFERROR(VLOOKUP($E23,'DADOS_CUSTOM'!$AA$2:$AK$81,8,FALSE),""),"")</f>
        <v/>
      </c>
      <c r="AI103" s="175">
        <f>IF(AND(AND($B23="Ferramenta amaldiçoada",$T23=TRUE),OR(IFERROR(VLOOKUP($E23,'DADOS_CUSTOM'!$BM$2:$BU$100,2,FALSE),"")="Arma",IFERROR(VLOOKUP($E23,'DADOS_CUSTOM'!$BM$2:$BU$100,2,FALSE),"")="Escudo")),IFERROR(VLOOKUP($E23,'DADOS_CUSTOM'!$AA$2:$AK$81,9,FALSE),""),"")</f>
        <v/>
      </c>
      <c r="AJ103" s="175">
        <f>IF(AND(AND($B23="Ferramenta amaldiçoada",$T23=TRUE),OR(IFERROR(VLOOKUP($E23,'DADOS_CUSTOM'!$BM$2:$BU$100,2,FALSE),"")="Arma",IFERROR(VLOOKUP($E23,'DADOS_CUSTOM'!$BM$2:$BU$100,2,FALSE),"")="Escudo")),IFERROR(VLOOKUP($E23,'DADOS_CUSTOM'!$AA$2:$AK$81,10,FALSE),""),"")</f>
        <v/>
      </c>
      <c r="AK103" s="175">
        <f>IF(AND(AND($B23="Ferramenta amaldiçoada",$T23=TRUE),OR(IFERROR(VLOOKUP($E23,'DADOS_CUSTOM'!$BM$2:$BU$100,2,FALSE),"")="Arma",IFERROR(VLOOKUP($E23,'DADOS_CUSTOM'!$BM$2:$BU$100,2,FALSE),"")="Escudo")),IFERROR(VLOOKUP($E23,'DADOS_CUSTOM'!$AA$2:$AK$81,11,FALSE),""),"")</f>
        <v/>
      </c>
      <c r="AZ103" s="175">
        <f>IF(AND(OR($B22="Marcante",$B22="Menor"),$C22&lt;&gt;"",$T22=TRUE),$C22,"")</f>
        <v/>
      </c>
      <c r="BA103" s="175">
        <f>IF(AND(OR($B22="Marcante",$B22="Menor"),$C22&lt;&gt;"",$T22=TRUE),$E22,"")</f>
        <v/>
      </c>
      <c r="BB103" s="175">
        <f>IF(AND(OR($B22="Marcante",$B22="Menor"),$C22&lt;&gt;"",$T22=TRUE),IF($B22="Marcante","marcante","menor"),"")</f>
        <v/>
      </c>
      <c r="BC103" s="175">
        <f>IF(AND(OR($B22="Marcante",$B22="Menor"),$C22&lt;&gt;"",$T22=TRUE),IF($B22="Menor",IF($F22="—","",$F22),""),"")</f>
        <v/>
      </c>
      <c r="BD103" s="175">
        <f>IF(AND(OR($B22="Marcante",$B22="Menor"),$C22&lt;&gt;"",$T22=TRUE),$L22,"")</f>
        <v/>
      </c>
      <c r="BE103" s="175">
        <f>IF(AND(OR($B22="Marcante",$B22="Menor"),$C22&lt;&gt;"",$T22=TRUE),$R22,"")</f>
        <v/>
      </c>
      <c r="BM103" s="175">
        <f>IF(AND(AND($B4="Ferramenta amaldiçoada",$T4=TRUE),TRUE),$C4,"")</f>
        <v/>
      </c>
      <c r="BN103" s="175">
        <f>IF(AND(AND($B4="Ferramenta amaldiçoada",$T4=TRUE),TRUE),IFERROR(VLOOKUP($E4,'DADOS_CUSTOM'!$BM$2:$BU$100,2,FALSE),""),"")</f>
        <v/>
      </c>
      <c r="BO103" s="175">
        <f>IF(AND(AND($B4="Ferramenta amaldiçoada",$T4=TRUE),TRUE),IFERROR(VLOOKUP($E4,'DADOS_CUSTOM'!$BM$2:$BU$100,3,FALSE),""),"")</f>
        <v/>
      </c>
      <c r="BP103" s="175">
        <f>IF(AND(AND($B4="Ferramenta amaldiçoada",$T4=TRUE),TRUE),IFERROR(VLOOKUP($E4,'DADOS_CUSTOM'!$BM$2:$BU$100,4,FALSE),""),"")</f>
        <v/>
      </c>
      <c r="BQ103" s="175">
        <f>IF(AND(AND($B4="Ferramenta amaldiçoada",$T4=TRUE),TRUE),IFERROR(VLOOKUP($E4,'DADOS_CUSTOM'!$BM$2:$BU$100,5,FALSE),""),"")</f>
        <v/>
      </c>
      <c r="BR103" s="175">
        <f>IF(AND(AND($B4="Ferramenta amaldiçoada",$T4=TRUE),TRUE),IF($N4="",IFERROR(VLOOKUP($E4,'DADOS_CUSTOM'!$BM$2:$BU$100,6,FALSE),""),$N4),"")</f>
        <v/>
      </c>
      <c r="BS103" s="175">
        <f>IF(AND(AND($B4="Ferramenta amaldiçoada",$T4=TRUE),TRUE),$F4,"")</f>
        <v/>
      </c>
      <c r="BT103" s="175">
        <f>IF(AND(AND($B4="Ferramenta amaldiçoada",$T4=TRUE),TRUE),$L4,"")</f>
        <v/>
      </c>
      <c r="BU103" s="175">
        <f>IF(AND(AND($B4="Ferramenta amaldiçoada",$T4=TRUE),TRUE),$M4,"")</f>
        <v/>
      </c>
      <c r="BV103" s="175" t="inlineStr">
        <is>
          <t>Mochila</t>
        </is>
      </c>
    </row>
    <row r="104">
      <c r="AA104" s="175">
        <f>IF(AND(AND($B24="Ferramenta amaldiçoada",$T24=TRUE),OR(IFERROR(VLOOKUP($E24,'DADOS_CUSTOM'!$BM$2:$BU$100,2,FALSE),"")="Arma",IFERROR(VLOOKUP($E24,'DADOS_CUSTOM'!$BM$2:$BU$100,2,FALSE),"")="Escudo")),$C24,"")</f>
        <v/>
      </c>
      <c r="AB104" s="175">
        <f>IF(AND(AND($B24="Ferramenta amaldiçoada",$T24=TRUE),OR(IFERROR(VLOOKUP($E24,'DADOS_CUSTOM'!$BM$2:$BU$100,2,FALSE),"")="Arma",IFERROR(VLOOKUP($E24,'DADOS_CUSTOM'!$BM$2:$BU$100,2,FALSE),"")="Escudo")),IFERROR(VLOOKUP($E24,'DADOS_CUSTOM'!$AA$2:$AK$81,2,FALSE),""),"")</f>
        <v/>
      </c>
      <c r="AC104" s="175">
        <f>IF(AND(AND($B24="Ferramenta amaldiçoada",$T24=TRUE),OR(IFERROR(VLOOKUP($E24,'DADOS_CUSTOM'!$BM$2:$BU$100,2,FALSE),"")="Arma",IFERROR(VLOOKUP($E24,'DADOS_CUSTOM'!$BM$2:$BU$100,2,FALSE),"")="Escudo")),IFERROR(VLOOKUP($E24,'DADOS_CUSTOM'!$AA$2:$AK$81,3,FALSE),""),"")</f>
        <v/>
      </c>
      <c r="AD104" s="175">
        <f>IF(AND(AND($B24="Ferramenta amaldiçoada",$T24=TRUE),OR(IFERROR(VLOOKUP($E24,'DADOS_CUSTOM'!$BM$2:$BU$100,2,FALSE),"")="Arma",IFERROR(VLOOKUP($E24,'DADOS_CUSTOM'!$BM$2:$BU$100,2,FALSE),"")="Escudo")),IFERROR(VLOOKUP($E24,'DADOS_CUSTOM'!$AA$2:$AK$81,4,FALSE),""),"")</f>
        <v/>
      </c>
      <c r="AE104" s="175">
        <f>IF(AND(AND($B24="Ferramenta amaldiçoada",$T24=TRUE),OR(IFERROR(VLOOKUP($E24,'DADOS_CUSTOM'!$BM$2:$BU$100,2,FALSE),"")="Arma",IFERROR(VLOOKUP($E24,'DADOS_CUSTOM'!$BM$2:$BU$100,2,FALSE),"")="Escudo")),IFERROR(VLOOKUP($E24,'DADOS_CUSTOM'!$AA$2:$AK$81,5,FALSE),""),"")</f>
        <v/>
      </c>
      <c r="AF104" s="175">
        <f>IF(AND(AND($B24="Ferramenta amaldiçoada",$T24=TRUE),OR(IFERROR(VLOOKUP($E24,'DADOS_CUSTOM'!$BM$2:$BU$100,2,FALSE),"")="Arma",IFERROR(VLOOKUP($E24,'DADOS_CUSTOM'!$BM$2:$BU$100,2,FALSE),"")="Escudo")),IFERROR(VLOOKUP($E24,'DADOS_CUSTOM'!$AA$2:$AK$81,6,FALSE),""),"")</f>
        <v/>
      </c>
      <c r="AG104" s="175">
        <f>IF(AND(AND($B24="Ferramenta amaldiçoada",$T24=TRUE),OR(IFERROR(VLOOKUP($E24,'DADOS_CUSTOM'!$BM$2:$BU$100,2,FALSE),"")="Arma",IFERROR(VLOOKUP($E24,'DADOS_CUSTOM'!$BM$2:$BU$100,2,FALSE),"")="Escudo")),IF($N24="",IFERROR(VLOOKUP($E24,'DADOS_CUSTOM'!$AA$2:$AK$81,7,FALSE),""),$N24),"")</f>
        <v/>
      </c>
      <c r="AH104" s="175">
        <f>IF(AND(AND($B24="Ferramenta amaldiçoada",$T24=TRUE),OR(IFERROR(VLOOKUP($E24,'DADOS_CUSTOM'!$BM$2:$BU$100,2,FALSE),"")="Arma",IFERROR(VLOOKUP($E24,'DADOS_CUSTOM'!$BM$2:$BU$100,2,FALSE),"")="Escudo")),IFERROR(VLOOKUP($E24,'DADOS_CUSTOM'!$AA$2:$AK$81,8,FALSE),""),"")</f>
        <v/>
      </c>
      <c r="AI104" s="175">
        <f>IF(AND(AND($B24="Ferramenta amaldiçoada",$T24=TRUE),OR(IFERROR(VLOOKUP($E24,'DADOS_CUSTOM'!$BM$2:$BU$100,2,FALSE),"")="Arma",IFERROR(VLOOKUP($E24,'DADOS_CUSTOM'!$BM$2:$BU$100,2,FALSE),"")="Escudo")),IFERROR(VLOOKUP($E24,'DADOS_CUSTOM'!$AA$2:$AK$81,9,FALSE),""),"")</f>
        <v/>
      </c>
      <c r="AJ104" s="175">
        <f>IF(AND(AND($B24="Ferramenta amaldiçoada",$T24=TRUE),OR(IFERROR(VLOOKUP($E24,'DADOS_CUSTOM'!$BM$2:$BU$100,2,FALSE),"")="Arma",IFERROR(VLOOKUP($E24,'DADOS_CUSTOM'!$BM$2:$BU$100,2,FALSE),"")="Escudo")),IFERROR(VLOOKUP($E24,'DADOS_CUSTOM'!$AA$2:$AK$81,10,FALSE),""),"")</f>
        <v/>
      </c>
      <c r="AK104" s="175">
        <f>IF(AND(AND($B24="Ferramenta amaldiçoada",$T24=TRUE),OR(IFERROR(VLOOKUP($E24,'DADOS_CUSTOM'!$BM$2:$BU$100,2,FALSE),"")="Arma",IFERROR(VLOOKUP($E24,'DADOS_CUSTOM'!$BM$2:$BU$100,2,FALSE),"")="Escudo")),IFERROR(VLOOKUP($E24,'DADOS_CUSTOM'!$AA$2:$AK$81,11,FALSE),""),"")</f>
        <v/>
      </c>
      <c r="AZ104" s="175">
        <f>IF(AND(OR($B23="Marcante",$B23="Menor"),$C23&lt;&gt;"",$T23=TRUE),$C23,"")</f>
        <v/>
      </c>
      <c r="BA104" s="175">
        <f>IF(AND(OR($B23="Marcante",$B23="Menor"),$C23&lt;&gt;"",$T23=TRUE),$E23,"")</f>
        <v/>
      </c>
      <c r="BB104" s="175">
        <f>IF(AND(OR($B23="Marcante",$B23="Menor"),$C23&lt;&gt;"",$T23=TRUE),IF($B23="Marcante","marcante","menor"),"")</f>
        <v/>
      </c>
      <c r="BC104" s="175">
        <f>IF(AND(OR($B23="Marcante",$B23="Menor"),$C23&lt;&gt;"",$T23=TRUE),IF($B23="Menor",IF($F23="—","",$F23),""),"")</f>
        <v/>
      </c>
      <c r="BD104" s="175">
        <f>IF(AND(OR($B23="Marcante",$B23="Menor"),$C23&lt;&gt;"",$T23=TRUE),$L23,"")</f>
        <v/>
      </c>
      <c r="BE104" s="175">
        <f>IF(AND(OR($B23="Marcante",$B23="Menor"),$C23&lt;&gt;"",$T23=TRUE),$R23,"")</f>
        <v/>
      </c>
      <c r="BM104" s="175">
        <f>IF(AND(AND($B5="Ferramenta amaldiçoada",$T5=TRUE),TRUE),$C5,"")</f>
        <v/>
      </c>
      <c r="BN104" s="175">
        <f>IF(AND(AND($B5="Ferramenta amaldiçoada",$T5=TRUE),TRUE),IFERROR(VLOOKUP($E5,'DADOS_CUSTOM'!$BM$2:$BU$100,2,FALSE),""),"")</f>
        <v/>
      </c>
      <c r="BO104" s="175">
        <f>IF(AND(AND($B5="Ferramenta amaldiçoada",$T5=TRUE),TRUE),IFERROR(VLOOKUP($E5,'DADOS_CUSTOM'!$BM$2:$BU$100,3,FALSE),""),"")</f>
        <v/>
      </c>
      <c r="BP104" s="175">
        <f>IF(AND(AND($B5="Ferramenta amaldiçoada",$T5=TRUE),TRUE),IFERROR(VLOOKUP($E5,'DADOS_CUSTOM'!$BM$2:$BU$100,4,FALSE),""),"")</f>
        <v/>
      </c>
      <c r="BQ104" s="175">
        <f>IF(AND(AND($B5="Ferramenta amaldiçoada",$T5=TRUE),TRUE),IFERROR(VLOOKUP($E5,'DADOS_CUSTOM'!$BM$2:$BU$100,5,FALSE),""),"")</f>
        <v/>
      </c>
      <c r="BR104" s="175">
        <f>IF(AND(AND($B5="Ferramenta amaldiçoada",$T5=TRUE),TRUE),IF($N5="",IFERROR(VLOOKUP($E5,'DADOS_CUSTOM'!$BM$2:$BU$100,6,FALSE),""),$N5),"")</f>
        <v/>
      </c>
      <c r="BS104" s="175">
        <f>IF(AND(AND($B5="Ferramenta amaldiçoada",$T5=TRUE),TRUE),$F5,"")</f>
        <v/>
      </c>
      <c r="BT104" s="175">
        <f>IF(AND(AND($B5="Ferramenta amaldiçoada",$T5=TRUE),TRUE),$L5,"")</f>
        <v/>
      </c>
      <c r="BU104" s="175">
        <f>IF(AND(AND($B5="Ferramenta amaldiçoada",$T5=TRUE),TRUE),$M5,"")</f>
        <v/>
      </c>
      <c r="BV104" s="175" t="inlineStr">
        <is>
          <t>Médio</t>
        </is>
      </c>
    </row>
    <row r="105">
      <c r="AA105" s="175">
        <f>IF(AND(AND($B25="Ferramenta amaldiçoada",$T25=TRUE),OR(IFERROR(VLOOKUP($E25,'DADOS_CUSTOM'!$BM$2:$BU$100,2,FALSE),"")="Arma",IFERROR(VLOOKUP($E25,'DADOS_CUSTOM'!$BM$2:$BU$100,2,FALSE),"")="Escudo")),$C25,"")</f>
        <v/>
      </c>
      <c r="AB105" s="175">
        <f>IF(AND(AND($B25="Ferramenta amaldiçoada",$T25=TRUE),OR(IFERROR(VLOOKUP($E25,'DADOS_CUSTOM'!$BM$2:$BU$100,2,FALSE),"")="Arma",IFERROR(VLOOKUP($E25,'DADOS_CUSTOM'!$BM$2:$BU$100,2,FALSE),"")="Escudo")),IFERROR(VLOOKUP($E25,'DADOS_CUSTOM'!$AA$2:$AK$81,2,FALSE),""),"")</f>
        <v/>
      </c>
      <c r="AC105" s="175">
        <f>IF(AND(AND($B25="Ferramenta amaldiçoada",$T25=TRUE),OR(IFERROR(VLOOKUP($E25,'DADOS_CUSTOM'!$BM$2:$BU$100,2,FALSE),"")="Arma",IFERROR(VLOOKUP($E25,'DADOS_CUSTOM'!$BM$2:$BU$100,2,FALSE),"")="Escudo")),IFERROR(VLOOKUP($E25,'DADOS_CUSTOM'!$AA$2:$AK$81,3,FALSE),""),"")</f>
        <v/>
      </c>
      <c r="AD105" s="175">
        <f>IF(AND(AND($B25="Ferramenta amaldiçoada",$T25=TRUE),OR(IFERROR(VLOOKUP($E25,'DADOS_CUSTOM'!$BM$2:$BU$100,2,FALSE),"")="Arma",IFERROR(VLOOKUP($E25,'DADOS_CUSTOM'!$BM$2:$BU$100,2,FALSE),"")="Escudo")),IFERROR(VLOOKUP($E25,'DADOS_CUSTOM'!$AA$2:$AK$81,4,FALSE),""),"")</f>
        <v/>
      </c>
      <c r="AE105" s="175">
        <f>IF(AND(AND($B25="Ferramenta amaldiçoada",$T25=TRUE),OR(IFERROR(VLOOKUP($E25,'DADOS_CUSTOM'!$BM$2:$BU$100,2,FALSE),"")="Arma",IFERROR(VLOOKUP($E25,'DADOS_CUSTOM'!$BM$2:$BU$100,2,FALSE),"")="Escudo")),IFERROR(VLOOKUP($E25,'DADOS_CUSTOM'!$AA$2:$AK$81,5,FALSE),""),"")</f>
        <v/>
      </c>
      <c r="AF105" s="175">
        <f>IF(AND(AND($B25="Ferramenta amaldiçoada",$T25=TRUE),OR(IFERROR(VLOOKUP($E25,'DADOS_CUSTOM'!$BM$2:$BU$100,2,FALSE),"")="Arma",IFERROR(VLOOKUP($E25,'DADOS_CUSTOM'!$BM$2:$BU$100,2,FALSE),"")="Escudo")),IFERROR(VLOOKUP($E25,'DADOS_CUSTOM'!$AA$2:$AK$81,6,FALSE),""),"")</f>
        <v/>
      </c>
      <c r="AG105" s="175">
        <f>IF(AND(AND($B25="Ferramenta amaldiçoada",$T25=TRUE),OR(IFERROR(VLOOKUP($E25,'DADOS_CUSTOM'!$BM$2:$BU$100,2,FALSE),"")="Arma",IFERROR(VLOOKUP($E25,'DADOS_CUSTOM'!$BM$2:$BU$100,2,FALSE),"")="Escudo")),IF($N25="",IFERROR(VLOOKUP($E25,'DADOS_CUSTOM'!$AA$2:$AK$81,7,FALSE),""),$N25),"")</f>
        <v/>
      </c>
      <c r="AH105" s="175">
        <f>IF(AND(AND($B25="Ferramenta amaldiçoada",$T25=TRUE),OR(IFERROR(VLOOKUP($E25,'DADOS_CUSTOM'!$BM$2:$BU$100,2,FALSE),"")="Arma",IFERROR(VLOOKUP($E25,'DADOS_CUSTOM'!$BM$2:$BU$100,2,FALSE),"")="Escudo")),IFERROR(VLOOKUP($E25,'DADOS_CUSTOM'!$AA$2:$AK$81,8,FALSE),""),"")</f>
        <v/>
      </c>
      <c r="AI105" s="175">
        <f>IF(AND(AND($B25="Ferramenta amaldiçoada",$T25=TRUE),OR(IFERROR(VLOOKUP($E25,'DADOS_CUSTOM'!$BM$2:$BU$100,2,FALSE),"")="Arma",IFERROR(VLOOKUP($E25,'DADOS_CUSTOM'!$BM$2:$BU$100,2,FALSE),"")="Escudo")),IFERROR(VLOOKUP($E25,'DADOS_CUSTOM'!$AA$2:$AK$81,9,FALSE),""),"")</f>
        <v/>
      </c>
      <c r="AJ105" s="175">
        <f>IF(AND(AND($B25="Ferramenta amaldiçoada",$T25=TRUE),OR(IFERROR(VLOOKUP($E25,'DADOS_CUSTOM'!$BM$2:$BU$100,2,FALSE),"")="Arma",IFERROR(VLOOKUP($E25,'DADOS_CUSTOM'!$BM$2:$BU$100,2,FALSE),"")="Escudo")),IFERROR(VLOOKUP($E25,'DADOS_CUSTOM'!$AA$2:$AK$81,10,FALSE),""),"")</f>
        <v/>
      </c>
      <c r="AK105" s="175">
        <f>IF(AND(AND($B25="Ferramenta amaldiçoada",$T25=TRUE),OR(IFERROR(VLOOKUP($E25,'DADOS_CUSTOM'!$BM$2:$BU$100,2,FALSE),"")="Arma",IFERROR(VLOOKUP($E25,'DADOS_CUSTOM'!$BM$2:$BU$100,2,FALSE),"")="Escudo")),IFERROR(VLOOKUP($E25,'DADOS_CUSTOM'!$AA$2:$AK$81,11,FALSE),""),"")</f>
        <v/>
      </c>
      <c r="AZ105" s="175">
        <f>IF(AND(OR($B24="Marcante",$B24="Menor"),$C24&lt;&gt;"",$T24=TRUE),$C24,"")</f>
        <v/>
      </c>
      <c r="BA105" s="175">
        <f>IF(AND(OR($B24="Marcante",$B24="Menor"),$C24&lt;&gt;"",$T24=TRUE),$E24,"")</f>
        <v/>
      </c>
      <c r="BB105" s="175">
        <f>IF(AND(OR($B24="Marcante",$B24="Menor"),$C24&lt;&gt;"",$T24=TRUE),IF($B24="Marcante","marcante","menor"),"")</f>
        <v/>
      </c>
      <c r="BC105" s="175">
        <f>IF(AND(OR($B24="Marcante",$B24="Menor"),$C24&lt;&gt;"",$T24=TRUE),IF($B24="Menor",IF($F24="—","",$F24),""),"")</f>
        <v/>
      </c>
      <c r="BD105" s="175">
        <f>IF(AND(OR($B24="Marcante",$B24="Menor"),$C24&lt;&gt;"",$T24=TRUE),$L24,"")</f>
        <v/>
      </c>
      <c r="BE105" s="175">
        <f>IF(AND(OR($B24="Marcante",$B24="Menor"),$C24&lt;&gt;"",$T24=TRUE),$R24,"")</f>
        <v/>
      </c>
      <c r="BM105" s="175">
        <f>IF(AND(AND($B6="Ferramenta amaldiçoada",$T6=TRUE),TRUE),$C6,"")</f>
        <v/>
      </c>
      <c r="BN105" s="175">
        <f>IF(AND(AND($B6="Ferramenta amaldiçoada",$T6=TRUE),TRUE),IFERROR(VLOOKUP($E6,'DADOS_CUSTOM'!$BM$2:$BU$100,2,FALSE),""),"")</f>
        <v/>
      </c>
      <c r="BO105" s="175">
        <f>IF(AND(AND($B6="Ferramenta amaldiçoada",$T6=TRUE),TRUE),IFERROR(VLOOKUP($E6,'DADOS_CUSTOM'!$BM$2:$BU$100,3,FALSE),""),"")</f>
        <v/>
      </c>
      <c r="BP105" s="175">
        <f>IF(AND(AND($B6="Ferramenta amaldiçoada",$T6=TRUE),TRUE),IFERROR(VLOOKUP($E6,'DADOS_CUSTOM'!$BM$2:$BU$100,4,FALSE),""),"")</f>
        <v/>
      </c>
      <c r="BQ105" s="175">
        <f>IF(AND(AND($B6="Ferramenta amaldiçoada",$T6=TRUE),TRUE),IFERROR(VLOOKUP($E6,'DADOS_CUSTOM'!$BM$2:$BU$100,5,FALSE),""),"")</f>
        <v/>
      </c>
      <c r="BR105" s="175">
        <f>IF(AND(AND($B6="Ferramenta amaldiçoada",$T6=TRUE),TRUE),IF($N6="",IFERROR(VLOOKUP($E6,'DADOS_CUSTOM'!$BM$2:$BU$100,6,FALSE),""),$N6),"")</f>
        <v/>
      </c>
      <c r="BS105" s="175">
        <f>IF(AND(AND($B6="Ferramenta amaldiçoada",$T6=TRUE),TRUE),$F6,"")</f>
        <v/>
      </c>
      <c r="BT105" s="175">
        <f>IF(AND(AND($B6="Ferramenta amaldiçoada",$T6=TRUE),TRUE),$L6,"")</f>
        <v/>
      </c>
      <c r="BU105" s="175">
        <f>IF(AND(AND($B6="Ferramenta amaldiçoada",$T6=TRUE),TRUE),$M6,"")</f>
        <v/>
      </c>
      <c r="BV105" s="175" t="inlineStr">
        <is>
          <t>Método Reescrito</t>
        </is>
      </c>
    </row>
    <row r="106">
      <c r="AA106" s="175">
        <f>IF(AND(AND($B26="Ferramenta amaldiçoada",$T26=TRUE),OR(IFERROR(VLOOKUP($E26,'DADOS_CUSTOM'!$BM$2:$BU$100,2,FALSE),"")="Arma",IFERROR(VLOOKUP($E26,'DADOS_CUSTOM'!$BM$2:$BU$100,2,FALSE),"")="Escudo")),$C26,"")</f>
        <v/>
      </c>
      <c r="AB106" s="175">
        <f>IF(AND(AND($B26="Ferramenta amaldiçoada",$T26=TRUE),OR(IFERROR(VLOOKUP($E26,'DADOS_CUSTOM'!$BM$2:$BU$100,2,FALSE),"")="Arma",IFERROR(VLOOKUP($E26,'DADOS_CUSTOM'!$BM$2:$BU$100,2,FALSE),"")="Escudo")),IFERROR(VLOOKUP($E26,'DADOS_CUSTOM'!$AA$2:$AK$81,2,FALSE),""),"")</f>
        <v/>
      </c>
      <c r="AC106" s="175">
        <f>IF(AND(AND($B26="Ferramenta amaldiçoada",$T26=TRUE),OR(IFERROR(VLOOKUP($E26,'DADOS_CUSTOM'!$BM$2:$BU$100,2,FALSE),"")="Arma",IFERROR(VLOOKUP($E26,'DADOS_CUSTOM'!$BM$2:$BU$100,2,FALSE),"")="Escudo")),IFERROR(VLOOKUP($E26,'DADOS_CUSTOM'!$AA$2:$AK$81,3,FALSE),""),"")</f>
        <v/>
      </c>
      <c r="AD106" s="175">
        <f>IF(AND(AND($B26="Ferramenta amaldiçoada",$T26=TRUE),OR(IFERROR(VLOOKUP($E26,'DADOS_CUSTOM'!$BM$2:$BU$100,2,FALSE),"")="Arma",IFERROR(VLOOKUP($E26,'DADOS_CUSTOM'!$BM$2:$BU$100,2,FALSE),"")="Escudo")),IFERROR(VLOOKUP($E26,'DADOS_CUSTOM'!$AA$2:$AK$81,4,FALSE),""),"")</f>
        <v/>
      </c>
      <c r="AE106" s="175">
        <f>IF(AND(AND($B26="Ferramenta amaldiçoada",$T26=TRUE),OR(IFERROR(VLOOKUP($E26,'DADOS_CUSTOM'!$BM$2:$BU$100,2,FALSE),"")="Arma",IFERROR(VLOOKUP($E26,'DADOS_CUSTOM'!$BM$2:$BU$100,2,FALSE),"")="Escudo")),IFERROR(VLOOKUP($E26,'DADOS_CUSTOM'!$AA$2:$AK$81,5,FALSE),""),"")</f>
        <v/>
      </c>
      <c r="AF106" s="175">
        <f>IF(AND(AND($B26="Ferramenta amaldiçoada",$T26=TRUE),OR(IFERROR(VLOOKUP($E26,'DADOS_CUSTOM'!$BM$2:$BU$100,2,FALSE),"")="Arma",IFERROR(VLOOKUP($E26,'DADOS_CUSTOM'!$BM$2:$BU$100,2,FALSE),"")="Escudo")),IFERROR(VLOOKUP($E26,'DADOS_CUSTOM'!$AA$2:$AK$81,6,FALSE),""),"")</f>
        <v/>
      </c>
      <c r="AG106" s="175">
        <f>IF(AND(AND($B26="Ferramenta amaldiçoada",$T26=TRUE),OR(IFERROR(VLOOKUP($E26,'DADOS_CUSTOM'!$BM$2:$BU$100,2,FALSE),"")="Arma",IFERROR(VLOOKUP($E26,'DADOS_CUSTOM'!$BM$2:$BU$100,2,FALSE),"")="Escudo")),IF($N26="",IFERROR(VLOOKUP($E26,'DADOS_CUSTOM'!$AA$2:$AK$81,7,FALSE),""),$N26),"")</f>
        <v/>
      </c>
      <c r="AH106" s="175">
        <f>IF(AND(AND($B26="Ferramenta amaldiçoada",$T26=TRUE),OR(IFERROR(VLOOKUP($E26,'DADOS_CUSTOM'!$BM$2:$BU$100,2,FALSE),"")="Arma",IFERROR(VLOOKUP($E26,'DADOS_CUSTOM'!$BM$2:$BU$100,2,FALSE),"")="Escudo")),IFERROR(VLOOKUP($E26,'DADOS_CUSTOM'!$AA$2:$AK$81,8,FALSE),""),"")</f>
        <v/>
      </c>
      <c r="AI106" s="175">
        <f>IF(AND(AND($B26="Ferramenta amaldiçoada",$T26=TRUE),OR(IFERROR(VLOOKUP($E26,'DADOS_CUSTOM'!$BM$2:$BU$100,2,FALSE),"")="Arma",IFERROR(VLOOKUP($E26,'DADOS_CUSTOM'!$BM$2:$BU$100,2,FALSE),"")="Escudo")),IFERROR(VLOOKUP($E26,'DADOS_CUSTOM'!$AA$2:$AK$81,9,FALSE),""),"")</f>
        <v/>
      </c>
      <c r="AJ106" s="175">
        <f>IF(AND(AND($B26="Ferramenta amaldiçoada",$T26=TRUE),OR(IFERROR(VLOOKUP($E26,'DADOS_CUSTOM'!$BM$2:$BU$100,2,FALSE),"")="Arma",IFERROR(VLOOKUP($E26,'DADOS_CUSTOM'!$BM$2:$BU$100,2,FALSE),"")="Escudo")),IFERROR(VLOOKUP($E26,'DADOS_CUSTOM'!$AA$2:$AK$81,10,FALSE),""),"")</f>
        <v/>
      </c>
      <c r="AK106" s="175">
        <f>IF(AND(AND($B26="Ferramenta amaldiçoada",$T26=TRUE),OR(IFERROR(VLOOKUP($E26,'DADOS_CUSTOM'!$BM$2:$BU$100,2,FALSE),"")="Arma",IFERROR(VLOOKUP($E26,'DADOS_CUSTOM'!$BM$2:$BU$100,2,FALSE),"")="Escudo")),IFERROR(VLOOKUP($E26,'DADOS_CUSTOM'!$AA$2:$AK$81,11,FALSE),""),"")</f>
        <v/>
      </c>
      <c r="AZ106" s="175">
        <f>IF(AND(OR($B25="Marcante",$B25="Menor"),$C25&lt;&gt;"",$T25=TRUE),$C25,"")</f>
        <v/>
      </c>
      <c r="BA106" s="175">
        <f>IF(AND(OR($B25="Marcante",$B25="Menor"),$C25&lt;&gt;"",$T25=TRUE),$E25,"")</f>
        <v/>
      </c>
      <c r="BB106" s="175">
        <f>IF(AND(OR($B25="Marcante",$B25="Menor"),$C25&lt;&gt;"",$T25=TRUE),IF($B25="Marcante","marcante","menor"),"")</f>
        <v/>
      </c>
      <c r="BC106" s="175">
        <f>IF(AND(OR($B25="Marcante",$B25="Menor"),$C25&lt;&gt;"",$T25=TRUE),IF($B25="Menor",IF($F25="—","",$F25),""),"")</f>
        <v/>
      </c>
      <c r="BD106" s="175">
        <f>IF(AND(OR($B25="Marcante",$B25="Menor"),$C25&lt;&gt;"",$T25=TRUE),$L25,"")</f>
        <v/>
      </c>
      <c r="BE106" s="175">
        <f>IF(AND(OR($B25="Marcante",$B25="Menor"),$C25&lt;&gt;"",$T25=TRUE),$R25,"")</f>
        <v/>
      </c>
      <c r="BM106" s="175">
        <f>IF(AND(AND($B7="Ferramenta amaldiçoada",$T7=TRUE),TRUE),$C7,"")</f>
        <v/>
      </c>
      <c r="BN106" s="175">
        <f>IF(AND(AND($B7="Ferramenta amaldiçoada",$T7=TRUE),TRUE),IFERROR(VLOOKUP($E7,'DADOS_CUSTOM'!$BM$2:$BU$100,2,FALSE),""),"")</f>
        <v/>
      </c>
      <c r="BO106" s="175">
        <f>IF(AND(AND($B7="Ferramenta amaldiçoada",$T7=TRUE),TRUE),IFERROR(VLOOKUP($E7,'DADOS_CUSTOM'!$BM$2:$BU$100,3,FALSE),""),"")</f>
        <v/>
      </c>
      <c r="BP106" s="175">
        <f>IF(AND(AND($B7="Ferramenta amaldiçoada",$T7=TRUE),TRUE),IFERROR(VLOOKUP($E7,'DADOS_CUSTOM'!$BM$2:$BU$100,4,FALSE),""),"")</f>
        <v/>
      </c>
      <c r="BQ106" s="175">
        <f>IF(AND(AND($B7="Ferramenta amaldiçoada",$T7=TRUE),TRUE),IFERROR(VLOOKUP($E7,'DADOS_CUSTOM'!$BM$2:$BU$100,5,FALSE),""),"")</f>
        <v/>
      </c>
      <c r="BR106" s="175">
        <f>IF(AND(AND($B7="Ferramenta amaldiçoada",$T7=TRUE),TRUE),IF($N7="",IFERROR(VLOOKUP($E7,'DADOS_CUSTOM'!$BM$2:$BU$100,6,FALSE),""),$N7),"")</f>
        <v/>
      </c>
      <c r="BS106" s="175">
        <f>IF(AND(AND($B7="Ferramenta amaldiçoada",$T7=TRUE),TRUE),$F7,"")</f>
        <v/>
      </c>
      <c r="BT106" s="175">
        <f>IF(AND(AND($B7="Ferramenta amaldiçoada",$T7=TRUE),TRUE),$L7,"")</f>
        <v/>
      </c>
      <c r="BU106" s="175">
        <f>IF(AND(AND($B7="Ferramenta amaldiçoada",$T7=TRUE),TRUE),$M7,"")</f>
        <v/>
      </c>
      <c r="BV106" s="175" t="inlineStr">
        <is>
          <t>Naginata</t>
        </is>
      </c>
    </row>
    <row r="107">
      <c r="AZ107" s="175">
        <f>IF(AND(OR($B26="Marcante",$B26="Menor"),$C26&lt;&gt;"",$T26=TRUE),$C26,"")</f>
        <v/>
      </c>
      <c r="BA107" s="175">
        <f>IF(AND(OR($B26="Marcante",$B26="Menor"),$C26&lt;&gt;"",$T26=TRUE),$E26,"")</f>
        <v/>
      </c>
      <c r="BB107" s="175">
        <f>IF(AND(OR($B26="Marcante",$B26="Menor"),$C26&lt;&gt;"",$T26=TRUE),IF($B26="Marcante","marcante","menor"),"")</f>
        <v/>
      </c>
      <c r="BC107" s="175">
        <f>IF(AND(OR($B26="Marcante",$B26="Menor"),$C26&lt;&gt;"",$T26=TRUE),IF($B26="Menor",IF($F26="—","",$F26),""),"")</f>
        <v/>
      </c>
      <c r="BD107" s="175">
        <f>IF(AND(OR($B26="Marcante",$B26="Menor"),$C26&lt;&gt;"",$T26=TRUE),$L26,"")</f>
        <v/>
      </c>
      <c r="BE107" s="175">
        <f>IF(AND(OR($B26="Marcante",$B26="Menor"),$C26&lt;&gt;"",$T26=TRUE),$R26,"")</f>
        <v/>
      </c>
      <c r="BM107" s="175">
        <f>IF(AND(AND($B8="Ferramenta amaldiçoada",$T8=TRUE),TRUE),$C8,"")</f>
        <v/>
      </c>
      <c r="BN107" s="175">
        <f>IF(AND(AND($B8="Ferramenta amaldiçoada",$T8=TRUE),TRUE),IFERROR(VLOOKUP($E8,'DADOS_CUSTOM'!$BM$2:$BU$100,2,FALSE),""),"")</f>
        <v/>
      </c>
      <c r="BO107" s="175">
        <f>IF(AND(AND($B8="Ferramenta amaldiçoada",$T8=TRUE),TRUE),IFERROR(VLOOKUP($E8,'DADOS_CUSTOM'!$BM$2:$BU$100,3,FALSE),""),"")</f>
        <v/>
      </c>
      <c r="BP107" s="175">
        <f>IF(AND(AND($B8="Ferramenta amaldiçoada",$T8=TRUE),TRUE),IFERROR(VLOOKUP($E8,'DADOS_CUSTOM'!$BM$2:$BU$100,4,FALSE),""),"")</f>
        <v/>
      </c>
      <c r="BQ107" s="175">
        <f>IF(AND(AND($B8="Ferramenta amaldiçoada",$T8=TRUE),TRUE),IFERROR(VLOOKUP($E8,'DADOS_CUSTOM'!$BM$2:$BU$100,5,FALSE),""),"")</f>
        <v/>
      </c>
      <c r="BR107" s="175">
        <f>IF(AND(AND($B8="Ferramenta amaldiçoada",$T8=TRUE),TRUE),IF($N8="",IFERROR(VLOOKUP($E8,'DADOS_CUSTOM'!$BM$2:$BU$100,6,FALSE),""),$N8),"")</f>
        <v/>
      </c>
      <c r="BS107" s="175">
        <f>IF(AND(AND($B8="Ferramenta amaldiçoada",$T8=TRUE),TRUE),$F8,"")</f>
        <v/>
      </c>
      <c r="BT107" s="175">
        <f>IF(AND(AND($B8="Ferramenta amaldiçoada",$T8=TRUE),TRUE),$L8,"")</f>
        <v/>
      </c>
      <c r="BU107" s="175">
        <f>IF(AND(AND($B8="Ferramenta amaldiçoada",$T8=TRUE),TRUE),$M8,"")</f>
        <v/>
      </c>
      <c r="BV107" s="175" t="inlineStr">
        <is>
          <t>Nodachi</t>
        </is>
      </c>
    </row>
    <row r="108">
      <c r="BM108" s="175">
        <f>IF(AND(AND($B9="Ferramenta amaldiçoada",$T9=TRUE),TRUE),$C9,"")</f>
        <v/>
      </c>
      <c r="BN108" s="175">
        <f>IF(AND(AND($B9="Ferramenta amaldiçoada",$T9=TRUE),TRUE),IFERROR(VLOOKUP($E9,'DADOS_CUSTOM'!$BM$2:$BU$100,2,FALSE),""),"")</f>
        <v/>
      </c>
      <c r="BO108" s="175">
        <f>IF(AND(AND($B9="Ferramenta amaldiçoada",$T9=TRUE),TRUE),IFERROR(VLOOKUP($E9,'DADOS_CUSTOM'!$BM$2:$BU$100,3,FALSE),""),"")</f>
        <v/>
      </c>
      <c r="BP108" s="175">
        <f>IF(AND(AND($B9="Ferramenta amaldiçoada",$T9=TRUE),TRUE),IFERROR(VLOOKUP($E9,'DADOS_CUSTOM'!$BM$2:$BU$100,4,FALSE),""),"")</f>
        <v/>
      </c>
      <c r="BQ108" s="175">
        <f>IF(AND(AND($B9="Ferramenta amaldiçoada",$T9=TRUE),TRUE),IFERROR(VLOOKUP($E9,'DADOS_CUSTOM'!$BM$2:$BU$100,5,FALSE),""),"")</f>
        <v/>
      </c>
      <c r="BR108" s="175">
        <f>IF(AND(AND($B9="Ferramenta amaldiçoada",$T9=TRUE),TRUE),IF($N9="",IFERROR(VLOOKUP($E9,'DADOS_CUSTOM'!$BM$2:$BU$100,6,FALSE),""),$N9),"")</f>
        <v/>
      </c>
      <c r="BS108" s="175">
        <f>IF(AND(AND($B9="Ferramenta amaldiçoada",$T9=TRUE),TRUE),$F9,"")</f>
        <v/>
      </c>
      <c r="BT108" s="175">
        <f>IF(AND(AND($B9="Ferramenta amaldiçoada",$T9=TRUE),TRUE),$L9,"")</f>
        <v/>
      </c>
      <c r="BU108" s="175">
        <f>IF(AND(AND($B9="Ferramenta amaldiçoada",$T9=TRUE),TRUE),$M9,"")</f>
        <v/>
      </c>
      <c r="BV108" s="175" t="inlineStr">
        <is>
          <t>Notas de Família</t>
        </is>
      </c>
    </row>
    <row r="109">
      <c r="BM109" s="175">
        <f>IF(AND(AND($B10="Ferramenta amaldiçoada",$T10=TRUE),TRUE),$C10,"")</f>
        <v/>
      </c>
      <c r="BN109" s="175">
        <f>IF(AND(AND($B10="Ferramenta amaldiçoada",$T10=TRUE),TRUE),IFERROR(VLOOKUP($E10,'DADOS_CUSTOM'!$BM$2:$BU$100,2,FALSE),""),"")</f>
        <v/>
      </c>
      <c r="BO109" s="175">
        <f>IF(AND(AND($B10="Ferramenta amaldiçoada",$T10=TRUE),TRUE),IFERROR(VLOOKUP($E10,'DADOS_CUSTOM'!$BM$2:$BU$100,3,FALSE),""),"")</f>
        <v/>
      </c>
      <c r="BP109" s="175">
        <f>IF(AND(AND($B10="Ferramenta amaldiçoada",$T10=TRUE),TRUE),IFERROR(VLOOKUP($E10,'DADOS_CUSTOM'!$BM$2:$BU$100,4,FALSE),""),"")</f>
        <v/>
      </c>
      <c r="BQ109" s="175">
        <f>IF(AND(AND($B10="Ferramenta amaldiçoada",$T10=TRUE),TRUE),IFERROR(VLOOKUP($E10,'DADOS_CUSTOM'!$BM$2:$BU$100,5,FALSE),""),"")</f>
        <v/>
      </c>
      <c r="BR109" s="175">
        <f>IF(AND(AND($B10="Ferramenta amaldiçoada",$T10=TRUE),TRUE),IF($N10="",IFERROR(VLOOKUP($E10,'DADOS_CUSTOM'!$BM$2:$BU$100,6,FALSE),""),$N10),"")</f>
        <v/>
      </c>
      <c r="BS109" s="175">
        <f>IF(AND(AND($B10="Ferramenta amaldiçoada",$T10=TRUE),TRUE),$F10,"")</f>
        <v/>
      </c>
      <c r="BT109" s="175">
        <f>IF(AND(AND($B10="Ferramenta amaldiçoada",$T10=TRUE),TRUE),$L10,"")</f>
        <v/>
      </c>
      <c r="BU109" s="175">
        <f>IF(AND(AND($B10="Ferramenta amaldiçoada",$T10=TRUE),TRUE),$M10,"")</f>
        <v/>
      </c>
      <c r="BV109" s="175" t="inlineStr">
        <is>
          <t>Nunchaku</t>
        </is>
      </c>
    </row>
    <row r="110">
      <c r="BM110" s="175">
        <f>IF(AND(AND($B11="Ferramenta amaldiçoada",$T11=TRUE),TRUE),$C11,"")</f>
        <v/>
      </c>
      <c r="BN110" s="175">
        <f>IF(AND(AND($B11="Ferramenta amaldiçoada",$T11=TRUE),TRUE),IFERROR(VLOOKUP($E11,'DADOS_CUSTOM'!$BM$2:$BU$100,2,FALSE),""),"")</f>
        <v/>
      </c>
      <c r="BO110" s="175">
        <f>IF(AND(AND($B11="Ferramenta amaldiçoada",$T11=TRUE),TRUE),IFERROR(VLOOKUP($E11,'DADOS_CUSTOM'!$BM$2:$BU$100,3,FALSE),""),"")</f>
        <v/>
      </c>
      <c r="BP110" s="175">
        <f>IF(AND(AND($B11="Ferramenta amaldiçoada",$T11=TRUE),TRUE),IFERROR(VLOOKUP($E11,'DADOS_CUSTOM'!$BM$2:$BU$100,4,FALSE),""),"")</f>
        <v/>
      </c>
      <c r="BQ110" s="175">
        <f>IF(AND(AND($B11="Ferramenta amaldiçoada",$T11=TRUE),TRUE),IFERROR(VLOOKUP($E11,'DADOS_CUSTOM'!$BM$2:$BU$100,5,FALSE),""),"")</f>
        <v/>
      </c>
      <c r="BR110" s="175">
        <f>IF(AND(AND($B11="Ferramenta amaldiçoada",$T11=TRUE),TRUE),IF($N11="",IFERROR(VLOOKUP($E11,'DADOS_CUSTOM'!$BM$2:$BU$100,6,FALSE),""),$N11),"")</f>
        <v/>
      </c>
      <c r="BS110" s="175">
        <f>IF(AND(AND($B11="Ferramenta amaldiçoada",$T11=TRUE),TRUE),$F11,"")</f>
        <v/>
      </c>
      <c r="BT110" s="175">
        <f>IF(AND(AND($B11="Ferramenta amaldiçoada",$T11=TRUE),TRUE),$L11,"")</f>
        <v/>
      </c>
      <c r="BU110" s="175">
        <f>IF(AND(AND($B11="Ferramenta amaldiçoada",$T11=TRUE),TRUE),$M11,"")</f>
        <v/>
      </c>
      <c r="BV110" s="175" t="inlineStr">
        <is>
          <t>Núcleo Dependente</t>
        </is>
      </c>
    </row>
    <row r="111">
      <c r="BM111" s="175">
        <f>IF(AND(AND($B12="Ferramenta amaldiçoada",$T12=TRUE),TRUE),$C12,"")</f>
        <v/>
      </c>
      <c r="BN111" s="175">
        <f>IF(AND(AND($B12="Ferramenta amaldiçoada",$T12=TRUE),TRUE),IFERROR(VLOOKUP($E12,'DADOS_CUSTOM'!$BM$2:$BU$100,2,FALSE),""),"")</f>
        <v/>
      </c>
      <c r="BO111" s="175">
        <f>IF(AND(AND($B12="Ferramenta amaldiçoada",$T12=TRUE),TRUE),IFERROR(VLOOKUP($E12,'DADOS_CUSTOM'!$BM$2:$BU$100,3,FALSE),""),"")</f>
        <v/>
      </c>
      <c r="BP111" s="175">
        <f>IF(AND(AND($B12="Ferramenta amaldiçoada",$T12=TRUE),TRUE),IFERROR(VLOOKUP($E12,'DADOS_CUSTOM'!$BM$2:$BU$100,4,FALSE),""),"")</f>
        <v/>
      </c>
      <c r="BQ111" s="175">
        <f>IF(AND(AND($B12="Ferramenta amaldiçoada",$T12=TRUE),TRUE),IFERROR(VLOOKUP($E12,'DADOS_CUSTOM'!$BM$2:$BU$100,5,FALSE),""),"")</f>
        <v/>
      </c>
      <c r="BR111" s="175">
        <f>IF(AND(AND($B12="Ferramenta amaldiçoada",$T12=TRUE),TRUE),IF($N12="",IFERROR(VLOOKUP($E12,'DADOS_CUSTOM'!$BM$2:$BU$100,6,FALSE),""),$N12),"")</f>
        <v/>
      </c>
      <c r="BS111" s="175">
        <f>IF(AND(AND($B12="Ferramenta amaldiçoada",$T12=TRUE),TRUE),$F12,"")</f>
        <v/>
      </c>
      <c r="BT111" s="175">
        <f>IF(AND(AND($B12="Ferramenta amaldiçoada",$T12=TRUE),TRUE),$L12,"")</f>
        <v/>
      </c>
      <c r="BU111" s="175">
        <f>IF(AND(AND($B12="Ferramenta amaldiçoada",$T12=TRUE),TRUE),$M12,"")</f>
        <v/>
      </c>
      <c r="BV111" s="175" t="inlineStr">
        <is>
          <t>Odachi</t>
        </is>
      </c>
    </row>
    <row r="112">
      <c r="BM112" s="175">
        <f>IF(AND(AND($B13="Ferramenta amaldiçoada",$T13=TRUE),TRUE),$C13,"")</f>
        <v/>
      </c>
      <c r="BN112" s="175">
        <f>IF(AND(AND($B13="Ferramenta amaldiçoada",$T13=TRUE),TRUE),IFERROR(VLOOKUP($E13,'DADOS_CUSTOM'!$BM$2:$BU$100,2,FALSE),""),"")</f>
        <v/>
      </c>
      <c r="BO112" s="175">
        <f>IF(AND(AND($B13="Ferramenta amaldiçoada",$T13=TRUE),TRUE),IFERROR(VLOOKUP($E13,'DADOS_CUSTOM'!$BM$2:$BU$100,3,FALSE),""),"")</f>
        <v/>
      </c>
      <c r="BP112" s="175">
        <f>IF(AND(AND($B13="Ferramenta amaldiçoada",$T13=TRUE),TRUE),IFERROR(VLOOKUP($E13,'DADOS_CUSTOM'!$BM$2:$BU$100,4,FALSE),""),"")</f>
        <v/>
      </c>
      <c r="BQ112" s="175">
        <f>IF(AND(AND($B13="Ferramenta amaldiçoada",$T13=TRUE),TRUE),IFERROR(VLOOKUP($E13,'DADOS_CUSTOM'!$BM$2:$BU$100,5,FALSE),""),"")</f>
        <v/>
      </c>
      <c r="BR112" s="175">
        <f>IF(AND(AND($B13="Ferramenta amaldiçoada",$T13=TRUE),TRUE),IF($N13="",IFERROR(VLOOKUP($E13,'DADOS_CUSTOM'!$BM$2:$BU$100,6,FALSE),""),$N13),"")</f>
        <v/>
      </c>
      <c r="BS112" s="175">
        <f>IF(AND(AND($B13="Ferramenta amaldiçoada",$T13=TRUE),TRUE),$F13,"")</f>
        <v/>
      </c>
      <c r="BT112" s="175">
        <f>IF(AND(AND($B13="Ferramenta amaldiçoada",$T13=TRUE),TRUE),$L13,"")</f>
        <v/>
      </c>
      <c r="BU112" s="175">
        <f>IF(AND(AND($B13="Ferramenta amaldiçoada",$T13=TRUE),TRUE),$M13,"")</f>
        <v/>
      </c>
      <c r="BV112" s="175" t="inlineStr">
        <is>
          <t>Orientação Instintiva</t>
        </is>
      </c>
    </row>
    <row r="113">
      <c r="BM113" s="175">
        <f>IF(AND(AND($B14="Ferramenta amaldiçoada",$T14=TRUE),TRUE),$C14,"")</f>
        <v/>
      </c>
      <c r="BN113" s="175">
        <f>IF(AND(AND($B14="Ferramenta amaldiçoada",$T14=TRUE),TRUE),IFERROR(VLOOKUP($E14,'DADOS_CUSTOM'!$BM$2:$BU$100,2,FALSE),""),"")</f>
        <v/>
      </c>
      <c r="BO113" s="175">
        <f>IF(AND(AND($B14="Ferramenta amaldiçoada",$T14=TRUE),TRUE),IFERROR(VLOOKUP($E14,'DADOS_CUSTOM'!$BM$2:$BU$100,3,FALSE),""),"")</f>
        <v/>
      </c>
      <c r="BP113" s="175">
        <f>IF(AND(AND($B14="Ferramenta amaldiçoada",$T14=TRUE),TRUE),IFERROR(VLOOKUP($E14,'DADOS_CUSTOM'!$BM$2:$BU$100,4,FALSE),""),"")</f>
        <v/>
      </c>
      <c r="BQ113" s="175">
        <f>IF(AND(AND($B14="Ferramenta amaldiçoada",$T14=TRUE),TRUE),IFERROR(VLOOKUP($E14,'DADOS_CUSTOM'!$BM$2:$BU$100,5,FALSE),""),"")</f>
        <v/>
      </c>
      <c r="BR113" s="175">
        <f>IF(AND(AND($B14="Ferramenta amaldiçoada",$T14=TRUE),TRUE),IF($N14="",IFERROR(VLOOKUP($E14,'DADOS_CUSTOM'!$BM$2:$BU$100,6,FALSE),""),$N14),"")</f>
        <v/>
      </c>
      <c r="BS113" s="175">
        <f>IF(AND(AND($B14="Ferramenta amaldiçoada",$T14=TRUE),TRUE),$F14,"")</f>
        <v/>
      </c>
      <c r="BT113" s="175">
        <f>IF(AND(AND($B14="Ferramenta amaldiçoada",$T14=TRUE),TRUE),$L14,"")</f>
        <v/>
      </c>
      <c r="BU113" s="175">
        <f>IF(AND(AND($B14="Ferramenta amaldiçoada",$T14=TRUE),TRUE),$M14,"")</f>
        <v/>
      </c>
      <c r="BV113" s="175" t="inlineStr">
        <is>
          <t>Palavra Empenhada</t>
        </is>
      </c>
    </row>
    <row r="114">
      <c r="BM114" s="175">
        <f>IF(AND(AND($B15="Ferramenta amaldiçoada",$T15=TRUE),TRUE),$C15,"")</f>
        <v/>
      </c>
      <c r="BN114" s="175">
        <f>IF(AND(AND($B15="Ferramenta amaldiçoada",$T15=TRUE),TRUE),IFERROR(VLOOKUP($E15,'DADOS_CUSTOM'!$BM$2:$BU$100,2,FALSE),""),"")</f>
        <v/>
      </c>
      <c r="BO114" s="175">
        <f>IF(AND(AND($B15="Ferramenta amaldiçoada",$T15=TRUE),TRUE),IFERROR(VLOOKUP($E15,'DADOS_CUSTOM'!$BM$2:$BU$100,3,FALSE),""),"")</f>
        <v/>
      </c>
      <c r="BP114" s="175">
        <f>IF(AND(AND($B15="Ferramenta amaldiçoada",$T15=TRUE),TRUE),IFERROR(VLOOKUP($E15,'DADOS_CUSTOM'!$BM$2:$BU$100,4,FALSE),""),"")</f>
        <v/>
      </c>
      <c r="BQ114" s="175">
        <f>IF(AND(AND($B15="Ferramenta amaldiçoada",$T15=TRUE),TRUE),IFERROR(VLOOKUP($E15,'DADOS_CUSTOM'!$BM$2:$BU$100,5,FALSE),""),"")</f>
        <v/>
      </c>
      <c r="BR114" s="175">
        <f>IF(AND(AND($B15="Ferramenta amaldiçoada",$T15=TRUE),TRUE),IF($N15="",IFERROR(VLOOKUP($E15,'DADOS_CUSTOM'!$BM$2:$BU$100,6,FALSE),""),$N15),"")</f>
        <v/>
      </c>
      <c r="BS114" s="175">
        <f>IF(AND(AND($B15="Ferramenta amaldiçoada",$T15=TRUE),TRUE),$F15,"")</f>
        <v/>
      </c>
      <c r="BT114" s="175">
        <f>IF(AND(AND($B15="Ferramenta amaldiçoada",$T15=TRUE),TRUE),$L15,"")</f>
        <v/>
      </c>
      <c r="BU114" s="175">
        <f>IF(AND(AND($B15="Ferramenta amaldiçoada",$T15=TRUE),TRUE),$M15,"")</f>
        <v/>
      </c>
      <c r="BV114" s="175" t="inlineStr">
        <is>
          <t>Percepção Estendida</t>
        </is>
      </c>
    </row>
    <row r="115">
      <c r="BM115" s="175">
        <f>IF(AND(AND($B16="Ferramenta amaldiçoada",$T16=TRUE),TRUE),$C16,"")</f>
        <v/>
      </c>
      <c r="BN115" s="175">
        <f>IF(AND(AND($B16="Ferramenta amaldiçoada",$T16=TRUE),TRUE),IFERROR(VLOOKUP($E16,'DADOS_CUSTOM'!$BM$2:$BU$100,2,FALSE),""),"")</f>
        <v/>
      </c>
      <c r="BO115" s="175">
        <f>IF(AND(AND($B16="Ferramenta amaldiçoada",$T16=TRUE),TRUE),IFERROR(VLOOKUP($E16,'DADOS_CUSTOM'!$BM$2:$BU$100,3,FALSE),""),"")</f>
        <v/>
      </c>
      <c r="BP115" s="175">
        <f>IF(AND(AND($B16="Ferramenta amaldiçoada",$T16=TRUE),TRUE),IFERROR(VLOOKUP($E16,'DADOS_CUSTOM'!$BM$2:$BU$100,4,FALSE),""),"")</f>
        <v/>
      </c>
      <c r="BQ115" s="175">
        <f>IF(AND(AND($B16="Ferramenta amaldiçoada",$T16=TRUE),TRUE),IFERROR(VLOOKUP($E16,'DADOS_CUSTOM'!$BM$2:$BU$100,5,FALSE),""),"")</f>
        <v/>
      </c>
      <c r="BR115" s="175">
        <f>IF(AND(AND($B16="Ferramenta amaldiçoada",$T16=TRUE),TRUE),IF($N16="",IFERROR(VLOOKUP($E16,'DADOS_CUSTOM'!$BM$2:$BU$100,6,FALSE),""),$N16),"")</f>
        <v/>
      </c>
      <c r="BS115" s="175">
        <f>IF(AND(AND($B16="Ferramenta amaldiçoada",$T16=TRUE),TRUE),$F16,"")</f>
        <v/>
      </c>
      <c r="BT115" s="175">
        <f>IF(AND(AND($B16="Ferramenta amaldiçoada",$T16=TRUE),TRUE),$L16,"")</f>
        <v/>
      </c>
      <c r="BU115" s="175">
        <f>IF(AND(AND($B16="Ferramenta amaldiçoada",$T16=TRUE),TRUE),$M16,"")</f>
        <v/>
      </c>
      <c r="BV115" s="175" t="inlineStr">
        <is>
          <t>Percepção de Contorno</t>
        </is>
      </c>
    </row>
    <row r="116">
      <c r="BM116" s="175">
        <f>IF(AND(AND($B17="Ferramenta amaldiçoada",$T17=TRUE),TRUE),$C17,"")</f>
        <v/>
      </c>
      <c r="BN116" s="175">
        <f>IF(AND(AND($B17="Ferramenta amaldiçoada",$T17=TRUE),TRUE),IFERROR(VLOOKUP($E17,'DADOS_CUSTOM'!$BM$2:$BU$100,2,FALSE),""),"")</f>
        <v/>
      </c>
      <c r="BO116" s="175">
        <f>IF(AND(AND($B17="Ferramenta amaldiçoada",$T17=TRUE),TRUE),IFERROR(VLOOKUP($E17,'DADOS_CUSTOM'!$BM$2:$BU$100,3,FALSE),""),"")</f>
        <v/>
      </c>
      <c r="BP116" s="175">
        <f>IF(AND(AND($B17="Ferramenta amaldiçoada",$T17=TRUE),TRUE),IFERROR(VLOOKUP($E17,'DADOS_CUSTOM'!$BM$2:$BU$100,4,FALSE),""),"")</f>
        <v/>
      </c>
      <c r="BQ116" s="175">
        <f>IF(AND(AND($B17="Ferramenta amaldiçoada",$T17=TRUE),TRUE),IFERROR(VLOOKUP($E17,'DADOS_CUSTOM'!$BM$2:$BU$100,5,FALSE),""),"")</f>
        <v/>
      </c>
      <c r="BR116" s="175">
        <f>IF(AND(AND($B17="Ferramenta amaldiçoada",$T17=TRUE),TRUE),IF($N17="",IFERROR(VLOOKUP($E17,'DADOS_CUSTOM'!$BM$2:$BU$100,6,FALSE),""),$N17),"")</f>
        <v/>
      </c>
      <c r="BS116" s="175">
        <f>IF(AND(AND($B17="Ferramenta amaldiçoada",$T17=TRUE),TRUE),$F17,"")</f>
        <v/>
      </c>
      <c r="BT116" s="175">
        <f>IF(AND(AND($B17="Ferramenta amaldiçoada",$T17=TRUE),TRUE),$L17,"")</f>
        <v/>
      </c>
      <c r="BU116" s="175">
        <f>IF(AND(AND($B17="Ferramenta amaldiçoada",$T17=TRUE),TRUE),$M17,"")</f>
        <v/>
      </c>
      <c r="BV116" s="175" t="inlineStr">
        <is>
          <t>Pilhas de reserva</t>
        </is>
      </c>
    </row>
    <row r="117">
      <c r="BM117" s="175">
        <f>IF(AND(AND($B18="Ferramenta amaldiçoada",$T18=TRUE),TRUE),$C18,"")</f>
        <v/>
      </c>
      <c r="BN117" s="175">
        <f>IF(AND(AND($B18="Ferramenta amaldiçoada",$T18=TRUE),TRUE),IFERROR(VLOOKUP($E18,'DADOS_CUSTOM'!$BM$2:$BU$100,2,FALSE),""),"")</f>
        <v/>
      </c>
      <c r="BO117" s="175">
        <f>IF(AND(AND($B18="Ferramenta amaldiçoada",$T18=TRUE),TRUE),IFERROR(VLOOKUP($E18,'DADOS_CUSTOM'!$BM$2:$BU$100,3,FALSE),""),"")</f>
        <v/>
      </c>
      <c r="BP117" s="175">
        <f>IF(AND(AND($B18="Ferramenta amaldiçoada",$T18=TRUE),TRUE),IFERROR(VLOOKUP($E18,'DADOS_CUSTOM'!$BM$2:$BU$100,4,FALSE),""),"")</f>
        <v/>
      </c>
      <c r="BQ117" s="175">
        <f>IF(AND(AND($B18="Ferramenta amaldiçoada",$T18=TRUE),TRUE),IFERROR(VLOOKUP($E18,'DADOS_CUSTOM'!$BM$2:$BU$100,5,FALSE),""),"")</f>
        <v/>
      </c>
      <c r="BR117" s="175">
        <f>IF(AND(AND($B18="Ferramenta amaldiçoada",$T18=TRUE),TRUE),IF($N18="",IFERROR(VLOOKUP($E18,'DADOS_CUSTOM'!$BM$2:$BU$100,6,FALSE),""),$N18),"")</f>
        <v/>
      </c>
      <c r="BS117" s="175">
        <f>IF(AND(AND($B18="Ferramenta amaldiçoada",$T18=TRUE),TRUE),$F18,"")</f>
        <v/>
      </c>
      <c r="BT117" s="175">
        <f>IF(AND(AND($B18="Ferramenta amaldiçoada",$T18=TRUE),TRUE),$L18,"")</f>
        <v/>
      </c>
      <c r="BU117" s="175">
        <f>IF(AND(AND($B18="Ferramenta amaldiçoada",$T18=TRUE),TRUE),$M18,"")</f>
        <v/>
      </c>
      <c r="BV117" s="175" t="inlineStr">
        <is>
          <t>Pistola</t>
        </is>
      </c>
    </row>
    <row r="118">
      <c r="BM118" s="175">
        <f>IF(AND(AND($B19="Ferramenta amaldiçoada",$T19=TRUE),TRUE),$C19,"")</f>
        <v/>
      </c>
      <c r="BN118" s="175">
        <f>IF(AND(AND($B19="Ferramenta amaldiçoada",$T19=TRUE),TRUE),IFERROR(VLOOKUP($E19,'DADOS_CUSTOM'!$BM$2:$BU$100,2,FALSE),""),"")</f>
        <v/>
      </c>
      <c r="BO118" s="175">
        <f>IF(AND(AND($B19="Ferramenta amaldiçoada",$T19=TRUE),TRUE),IFERROR(VLOOKUP($E19,'DADOS_CUSTOM'!$BM$2:$BU$100,3,FALSE),""),"")</f>
        <v/>
      </c>
      <c r="BP118" s="175">
        <f>IF(AND(AND($B19="Ferramenta amaldiçoada",$T19=TRUE),TRUE),IFERROR(VLOOKUP($E19,'DADOS_CUSTOM'!$BM$2:$BU$100,4,FALSE),""),"")</f>
        <v/>
      </c>
      <c r="BQ118" s="175">
        <f>IF(AND(AND($B19="Ferramenta amaldiçoada",$T19=TRUE),TRUE),IFERROR(VLOOKUP($E19,'DADOS_CUSTOM'!$BM$2:$BU$100,5,FALSE),""),"")</f>
        <v/>
      </c>
      <c r="BR118" s="175">
        <f>IF(AND(AND($B19="Ferramenta amaldiçoada",$T19=TRUE),TRUE),IF($N19="",IFERROR(VLOOKUP($E19,'DADOS_CUSTOM'!$BM$2:$BU$100,6,FALSE),""),$N19),"")</f>
        <v/>
      </c>
      <c r="BS118" s="175">
        <f>IF(AND(AND($B19="Ferramenta amaldiçoada",$T19=TRUE),TRUE),$F19,"")</f>
        <v/>
      </c>
      <c r="BT118" s="175">
        <f>IF(AND(AND($B19="Ferramenta amaldiçoada",$T19=TRUE),TRUE),$L19,"")</f>
        <v/>
      </c>
      <c r="BU118" s="175">
        <f>IF(AND(AND($B19="Ferramenta amaldiçoada",$T19=TRUE),TRUE),$M19,"")</f>
        <v/>
      </c>
      <c r="BV118" s="175" t="inlineStr">
        <is>
          <t>Porte Incomum</t>
        </is>
      </c>
    </row>
    <row r="119">
      <c r="BM119" s="175">
        <f>IF(AND(AND($B20="Ferramenta amaldiçoada",$T20=TRUE),TRUE),$C20,"")</f>
        <v/>
      </c>
      <c r="BN119" s="175">
        <f>IF(AND(AND($B20="Ferramenta amaldiçoada",$T20=TRUE),TRUE),IFERROR(VLOOKUP($E20,'DADOS_CUSTOM'!$BM$2:$BU$100,2,FALSE),""),"")</f>
        <v/>
      </c>
      <c r="BO119" s="175">
        <f>IF(AND(AND($B20="Ferramenta amaldiçoada",$T20=TRUE),TRUE),IFERROR(VLOOKUP($E20,'DADOS_CUSTOM'!$BM$2:$BU$100,3,FALSE),""),"")</f>
        <v/>
      </c>
      <c r="BP119" s="175">
        <f>IF(AND(AND($B20="Ferramenta amaldiçoada",$T20=TRUE),TRUE),IFERROR(VLOOKUP($E20,'DADOS_CUSTOM'!$BM$2:$BU$100,4,FALSE),""),"")</f>
        <v/>
      </c>
      <c r="BQ119" s="175">
        <f>IF(AND(AND($B20="Ferramenta amaldiçoada",$T20=TRUE),TRUE),IFERROR(VLOOKUP($E20,'DADOS_CUSTOM'!$BM$2:$BU$100,5,FALSE),""),"")</f>
        <v/>
      </c>
      <c r="BR119" s="175">
        <f>IF(AND(AND($B20="Ferramenta amaldiçoada",$T20=TRUE),TRUE),IF($N20="",IFERROR(VLOOKUP($E20,'DADOS_CUSTOM'!$BM$2:$BU$100,6,FALSE),""),$N20),"")</f>
        <v/>
      </c>
      <c r="BS119" s="175">
        <f>IF(AND(AND($B20="Ferramenta amaldiçoada",$T20=TRUE),TRUE),$F20,"")</f>
        <v/>
      </c>
      <c r="BT119" s="175">
        <f>IF(AND(AND($B20="Ferramenta amaldiçoada",$T20=TRUE),TRUE),$L20,"")</f>
        <v/>
      </c>
      <c r="BU119" s="175">
        <f>IF(AND(AND($B20="Ferramenta amaldiçoada",$T20=TRUE),TRUE),$M20,"")</f>
        <v/>
      </c>
      <c r="BV119" s="175" t="inlineStr">
        <is>
          <t>Presença Bruta</t>
        </is>
      </c>
    </row>
    <row r="120">
      <c r="B120" s="175">
        <f>IFERROR(MATCH('FICHA'!$X$11,'DADOS_CUSTOM'!$C$2:$C$26,0),0)</f>
        <v/>
      </c>
      <c r="BM120" s="175">
        <f>IF(AND(AND($B21="Ferramenta amaldiçoada",$T21=TRUE),TRUE),$C21,"")</f>
        <v/>
      </c>
      <c r="BN120" s="175">
        <f>IF(AND(AND($B21="Ferramenta amaldiçoada",$T21=TRUE),TRUE),IFERROR(VLOOKUP($E21,'DADOS_CUSTOM'!$BM$2:$BU$100,2,FALSE),""),"")</f>
        <v/>
      </c>
      <c r="BO120" s="175">
        <f>IF(AND(AND($B21="Ferramenta amaldiçoada",$T21=TRUE),TRUE),IFERROR(VLOOKUP($E21,'DADOS_CUSTOM'!$BM$2:$BU$100,3,FALSE),""),"")</f>
        <v/>
      </c>
      <c r="BP120" s="175">
        <f>IF(AND(AND($B21="Ferramenta amaldiçoada",$T21=TRUE),TRUE),IFERROR(VLOOKUP($E21,'DADOS_CUSTOM'!$BM$2:$BU$100,4,FALSE),""),"")</f>
        <v/>
      </c>
      <c r="BQ120" s="175">
        <f>IF(AND(AND($B21="Ferramenta amaldiçoada",$T21=TRUE),TRUE),IFERROR(VLOOKUP($E21,'DADOS_CUSTOM'!$BM$2:$BU$100,5,FALSE),""),"")</f>
        <v/>
      </c>
      <c r="BR120" s="175">
        <f>IF(AND(AND($B21="Ferramenta amaldiçoada",$T21=TRUE),TRUE),IF($N21="",IFERROR(VLOOKUP($E21,'DADOS_CUSTOM'!$BM$2:$BU$100,6,FALSE),""),$N21),"")</f>
        <v/>
      </c>
      <c r="BS120" s="175">
        <f>IF(AND(AND($B21="Ferramenta amaldiçoada",$T21=TRUE),TRUE),$F21,"")</f>
        <v/>
      </c>
      <c r="BT120" s="175">
        <f>IF(AND(AND($B21="Ferramenta amaldiçoada",$T21=TRUE),TRUE),$L21,"")</f>
        <v/>
      </c>
      <c r="BU120" s="175">
        <f>IF(AND(AND($B21="Ferramenta amaldiçoada",$T21=TRUE),TRUE),$M21,"")</f>
        <v/>
      </c>
      <c r="BV120" s="175" t="inlineStr">
        <is>
          <t>Prontidão Instintiva</t>
        </is>
      </c>
    </row>
    <row r="121">
      <c r="B121" s="175">
        <f>IF($B$120=0,FALSE,AND(INDEX('DADOS_CUSTOM'!$B$2:$B$26,$B$120)="Origem",INDEX('DADOS_CUSTOM'!$T$2:$T$26,$B$120)=TRUE))</f>
        <v/>
      </c>
      <c r="BM121" s="175">
        <f>IF(AND(AND($B22="Ferramenta amaldiçoada",$T22=TRUE),TRUE),$C22,"")</f>
        <v/>
      </c>
      <c r="BN121" s="175">
        <f>IF(AND(AND($B22="Ferramenta amaldiçoada",$T22=TRUE),TRUE),IFERROR(VLOOKUP($E22,'DADOS_CUSTOM'!$BM$2:$BU$100,2,FALSE),""),"")</f>
        <v/>
      </c>
      <c r="BO121" s="175">
        <f>IF(AND(AND($B22="Ferramenta amaldiçoada",$T22=TRUE),TRUE),IFERROR(VLOOKUP($E22,'DADOS_CUSTOM'!$BM$2:$BU$100,3,FALSE),""),"")</f>
        <v/>
      </c>
      <c r="BP121" s="175">
        <f>IF(AND(AND($B22="Ferramenta amaldiçoada",$T22=TRUE),TRUE),IFERROR(VLOOKUP($E22,'DADOS_CUSTOM'!$BM$2:$BU$100,4,FALSE),""),"")</f>
        <v/>
      </c>
      <c r="BQ121" s="175">
        <f>IF(AND(AND($B22="Ferramenta amaldiçoada",$T22=TRUE),TRUE),IFERROR(VLOOKUP($E22,'DADOS_CUSTOM'!$BM$2:$BU$100,5,FALSE),""),"")</f>
        <v/>
      </c>
      <c r="BR121" s="175">
        <f>IF(AND(AND($B22="Ferramenta amaldiçoada",$T22=TRUE),TRUE),IF($N22="",IFERROR(VLOOKUP($E22,'DADOS_CUSTOM'!$BM$2:$BU$100,6,FALSE),""),$N22),"")</f>
        <v/>
      </c>
      <c r="BS121" s="175">
        <f>IF(AND(AND($B22="Ferramenta amaldiçoada",$T22=TRUE),TRUE),$F22,"")</f>
        <v/>
      </c>
      <c r="BT121" s="175">
        <f>IF(AND(AND($B22="Ferramenta amaldiçoada",$T22=TRUE),TRUE),$L22,"")</f>
        <v/>
      </c>
      <c r="BU121" s="175">
        <f>IF(AND(AND($B22="Ferramenta amaldiçoada",$T22=TRUE),TRUE),$M22,"")</f>
        <v/>
      </c>
      <c r="BV121" s="175" t="inlineStr">
        <is>
          <t>Prática Cotidiana</t>
        </is>
      </c>
    </row>
    <row r="122">
      <c r="B122" s="175">
        <f>IF($B$121,INDEX('DADOS_CUSTOM'!$I$2:$I$26,$B$120),"")</f>
        <v/>
      </c>
      <c r="BM122" s="175">
        <f>IF(AND(AND($B23="Ferramenta amaldiçoada",$T23=TRUE),TRUE),$C23,"")</f>
        <v/>
      </c>
      <c r="BN122" s="175">
        <f>IF(AND(AND($B23="Ferramenta amaldiçoada",$T23=TRUE),TRUE),IFERROR(VLOOKUP($E23,'DADOS_CUSTOM'!$BM$2:$BU$100,2,FALSE),""),"")</f>
        <v/>
      </c>
      <c r="BO122" s="175">
        <f>IF(AND(AND($B23="Ferramenta amaldiçoada",$T23=TRUE),TRUE),IFERROR(VLOOKUP($E23,'DADOS_CUSTOM'!$BM$2:$BU$100,3,FALSE),""),"")</f>
        <v/>
      </c>
      <c r="BP122" s="175">
        <f>IF(AND(AND($B23="Ferramenta amaldiçoada",$T23=TRUE),TRUE),IFERROR(VLOOKUP($E23,'DADOS_CUSTOM'!$BM$2:$BU$100,4,FALSE),""),"")</f>
        <v/>
      </c>
      <c r="BQ122" s="175">
        <f>IF(AND(AND($B23="Ferramenta amaldiçoada",$T23=TRUE),TRUE),IFERROR(VLOOKUP($E23,'DADOS_CUSTOM'!$BM$2:$BU$100,5,FALSE),""),"")</f>
        <v/>
      </c>
      <c r="BR122" s="175">
        <f>IF(AND(AND($B23="Ferramenta amaldiçoada",$T23=TRUE),TRUE),IF($N23="",IFERROR(VLOOKUP($E23,'DADOS_CUSTOM'!$BM$2:$BU$100,6,FALSE),""),$N23),"")</f>
        <v/>
      </c>
      <c r="BS122" s="175">
        <f>IF(AND(AND($B23="Ferramenta amaldiçoada",$T23=TRUE),TRUE),$F23,"")</f>
        <v/>
      </c>
      <c r="BT122" s="175">
        <f>IF(AND(AND($B23="Ferramenta amaldiçoada",$T23=TRUE),TRUE),$L23,"")</f>
        <v/>
      </c>
      <c r="BU122" s="175">
        <f>IF(AND(AND($B23="Ferramenta amaldiçoada",$T23=TRUE),TRUE),$M23,"")</f>
        <v/>
      </c>
      <c r="BV122" s="175" t="inlineStr">
        <is>
          <t>Punhal</t>
        </is>
      </c>
    </row>
    <row r="123">
      <c r="B123" s="175">
        <f>IF($B$121,INDEX('DADOS_CUSTOM'!$J$2:$J$26,$B$120),"")</f>
        <v/>
      </c>
      <c r="BM123" s="175">
        <f>IF(AND(AND($B24="Ferramenta amaldiçoada",$T24=TRUE),TRUE),$C24,"")</f>
        <v/>
      </c>
      <c r="BN123" s="175">
        <f>IF(AND(AND($B24="Ferramenta amaldiçoada",$T24=TRUE),TRUE),IFERROR(VLOOKUP($E24,'DADOS_CUSTOM'!$BM$2:$BU$100,2,FALSE),""),"")</f>
        <v/>
      </c>
      <c r="BO123" s="175">
        <f>IF(AND(AND($B24="Ferramenta amaldiçoada",$T24=TRUE),TRUE),IFERROR(VLOOKUP($E24,'DADOS_CUSTOM'!$BM$2:$BU$100,3,FALSE),""),"")</f>
        <v/>
      </c>
      <c r="BP123" s="175">
        <f>IF(AND(AND($B24="Ferramenta amaldiçoada",$T24=TRUE),TRUE),IFERROR(VLOOKUP($E24,'DADOS_CUSTOM'!$BM$2:$BU$100,4,FALSE),""),"")</f>
        <v/>
      </c>
      <c r="BQ123" s="175">
        <f>IF(AND(AND($B24="Ferramenta amaldiçoada",$T24=TRUE),TRUE),IFERROR(VLOOKUP($E24,'DADOS_CUSTOM'!$BM$2:$BU$100,5,FALSE),""),"")</f>
        <v/>
      </c>
      <c r="BR123" s="175">
        <f>IF(AND(AND($B24="Ferramenta amaldiçoada",$T24=TRUE),TRUE),IF($N24="",IFERROR(VLOOKUP($E24,'DADOS_CUSTOM'!$BM$2:$BU$100,6,FALSE),""),$N24),"")</f>
        <v/>
      </c>
      <c r="BS123" s="175">
        <f>IF(AND(AND($B24="Ferramenta amaldiçoada",$T24=TRUE),TRUE),$F24,"")</f>
        <v/>
      </c>
      <c r="BT123" s="175">
        <f>IF(AND(AND($B24="Ferramenta amaldiçoada",$T24=TRUE),TRUE),$L24,"")</f>
        <v/>
      </c>
      <c r="BU123" s="175">
        <f>IF(AND(AND($B24="Ferramenta amaldiçoada",$T24=TRUE),TRUE),$M24,"")</f>
        <v/>
      </c>
      <c r="BV123" s="175" t="inlineStr">
        <is>
          <t>Pé de cabra</t>
        </is>
      </c>
    </row>
    <row r="124">
      <c r="B124" s="175">
        <f>IF($B$121,INDEX('DADOS_CUSTOM'!$K$2:$K$26,$B$120),"")</f>
        <v/>
      </c>
      <c r="BM124" s="175">
        <f>IF(AND(AND($B25="Ferramenta amaldiçoada",$T25=TRUE),TRUE),$C25,"")</f>
        <v/>
      </c>
      <c r="BN124" s="175">
        <f>IF(AND(AND($B25="Ferramenta amaldiçoada",$T25=TRUE),TRUE),IFERROR(VLOOKUP($E25,'DADOS_CUSTOM'!$BM$2:$BU$100,2,FALSE),""),"")</f>
        <v/>
      </c>
      <c r="BO124" s="175">
        <f>IF(AND(AND($B25="Ferramenta amaldiçoada",$T25=TRUE),TRUE),IFERROR(VLOOKUP($E25,'DADOS_CUSTOM'!$BM$2:$BU$100,3,FALSE),""),"")</f>
        <v/>
      </c>
      <c r="BP124" s="175">
        <f>IF(AND(AND($B25="Ferramenta amaldiçoada",$T25=TRUE),TRUE),IFERROR(VLOOKUP($E25,'DADOS_CUSTOM'!$BM$2:$BU$100,4,FALSE),""),"")</f>
        <v/>
      </c>
      <c r="BQ124" s="175">
        <f>IF(AND(AND($B25="Ferramenta amaldiçoada",$T25=TRUE),TRUE),IFERROR(VLOOKUP($E25,'DADOS_CUSTOM'!$BM$2:$BU$100,5,FALSE),""),"")</f>
        <v/>
      </c>
      <c r="BR124" s="175">
        <f>IF(AND(AND($B25="Ferramenta amaldiçoada",$T25=TRUE),TRUE),IF($N25="",IFERROR(VLOOKUP($E25,'DADOS_CUSTOM'!$BM$2:$BU$100,6,FALSE),""),$N25),"")</f>
        <v/>
      </c>
      <c r="BS124" s="175">
        <f>IF(AND(AND($B25="Ferramenta amaldiçoada",$T25=TRUE),TRUE),$F25,"")</f>
        <v/>
      </c>
      <c r="BT124" s="175">
        <f>IF(AND(AND($B25="Ferramenta amaldiçoada",$T25=TRUE),TRUE),$L25,"")</f>
        <v/>
      </c>
      <c r="BU124" s="175">
        <f>IF(AND(AND($B25="Ferramenta amaldiçoada",$T25=TRUE),TRUE),$M25,"")</f>
        <v/>
      </c>
      <c r="BV124" s="175" t="inlineStr">
        <is>
          <t>Rapieira</t>
        </is>
      </c>
    </row>
    <row r="125">
      <c r="B125" s="175">
        <f>IF($B$121,INDEX('DADOS_CUSTOM'!$L$2:$L$26,$B$120),"")</f>
        <v/>
      </c>
      <c r="BM125" s="175">
        <f>IF(AND(AND($B26="Ferramenta amaldiçoada",$T26=TRUE),TRUE),$C26,"")</f>
        <v/>
      </c>
      <c r="BN125" s="175">
        <f>IF(AND(AND($B26="Ferramenta amaldiçoada",$T26=TRUE),TRUE),IFERROR(VLOOKUP($E26,'DADOS_CUSTOM'!$BM$2:$BU$100,2,FALSE),""),"")</f>
        <v/>
      </c>
      <c r="BO125" s="175">
        <f>IF(AND(AND($B26="Ferramenta amaldiçoada",$T26=TRUE),TRUE),IFERROR(VLOOKUP($E26,'DADOS_CUSTOM'!$BM$2:$BU$100,3,FALSE),""),"")</f>
        <v/>
      </c>
      <c r="BP125" s="175">
        <f>IF(AND(AND($B26="Ferramenta amaldiçoada",$T26=TRUE),TRUE),IFERROR(VLOOKUP($E26,'DADOS_CUSTOM'!$BM$2:$BU$100,4,FALSE),""),"")</f>
        <v/>
      </c>
      <c r="BQ125" s="175">
        <f>IF(AND(AND($B26="Ferramenta amaldiçoada",$T26=TRUE),TRUE),IFERROR(VLOOKUP($E26,'DADOS_CUSTOM'!$BM$2:$BU$100,5,FALSE),""),"")</f>
        <v/>
      </c>
      <c r="BR125" s="175">
        <f>IF(AND(AND($B26="Ferramenta amaldiçoada",$T26=TRUE),TRUE),IF($N26="",IFERROR(VLOOKUP($E26,'DADOS_CUSTOM'!$BM$2:$BU$100,6,FALSE),""),$N26),"")</f>
        <v/>
      </c>
      <c r="BS125" s="175">
        <f>IF(AND(AND($B26="Ferramenta amaldiçoada",$T26=TRUE),TRUE),$F26,"")</f>
        <v/>
      </c>
      <c r="BT125" s="175">
        <f>IF(AND(AND($B26="Ferramenta amaldiçoada",$T26=TRUE),TRUE),$L26,"")</f>
        <v/>
      </c>
      <c r="BU125" s="175">
        <f>IF(AND(AND($B26="Ferramenta amaldiçoada",$T26=TRUE),TRUE),$M26,"")</f>
        <v/>
      </c>
      <c r="BV125" s="175" t="inlineStr">
        <is>
          <t>Ração de viagem</t>
        </is>
      </c>
    </row>
    <row r="126">
      <c r="BV126" s="175" t="inlineStr">
        <is>
          <t>Receptáculo</t>
        </is>
      </c>
    </row>
    <row r="127">
      <c r="BV127" s="175" t="inlineStr">
        <is>
          <t>Receptáculo · Sem Técnica</t>
        </is>
      </c>
    </row>
    <row r="128">
      <c r="BV128" s="175" t="inlineStr">
        <is>
          <t>Recomposição Precisa</t>
        </is>
      </c>
    </row>
    <row r="129">
      <c r="BV129" s="175" t="inlineStr">
        <is>
          <t>Recuperação Abundante</t>
        </is>
      </c>
    </row>
    <row r="130">
      <c r="BV130" s="175" t="inlineStr">
        <is>
          <t>Redundância</t>
        </is>
      </c>
    </row>
    <row r="131">
      <c r="BV131" s="175" t="inlineStr">
        <is>
          <t>Regeneração Orgânica</t>
        </is>
      </c>
    </row>
    <row r="132">
      <c r="BV132" s="175" t="inlineStr">
        <is>
          <t>Reparo Autônomo</t>
        </is>
      </c>
    </row>
    <row r="133">
      <c r="BV133" s="175" t="inlineStr">
        <is>
          <t>Reserva Condensada</t>
        </is>
      </c>
    </row>
    <row r="134">
      <c r="BV134" s="175" t="inlineStr">
        <is>
          <t>Reserva Excedente</t>
        </is>
      </c>
    </row>
    <row r="135">
      <c r="BV135" s="175" t="inlineStr">
        <is>
          <t>Reserva Orgânica</t>
        </is>
      </c>
    </row>
    <row r="136">
      <c r="BV136" s="175" t="inlineStr">
        <is>
          <t>Reserva Residual</t>
        </is>
      </c>
    </row>
    <row r="137">
      <c r="BV137" s="175" t="inlineStr">
        <is>
          <t>Restrição Celestial · Restrição corporal</t>
        </is>
      </c>
    </row>
    <row r="138">
      <c r="BV138" s="175" t="inlineStr">
        <is>
          <t>Restrição Celestial · Sem Energia</t>
        </is>
      </c>
    </row>
    <row r="139">
      <c r="BV139" s="175" t="inlineStr">
        <is>
          <t>Retomar o Controle</t>
        </is>
      </c>
    </row>
    <row r="140">
      <c r="BV140" s="175" t="inlineStr">
        <is>
          <t>Revestimento 1</t>
        </is>
      </c>
    </row>
    <row r="141">
      <c r="BV141" s="175" t="inlineStr">
        <is>
          <t>Revestimento 2</t>
        </is>
      </c>
    </row>
    <row r="142">
      <c r="BV142" s="175" t="inlineStr">
        <is>
          <t>Revestimento 3</t>
        </is>
      </c>
    </row>
    <row r="143">
      <c r="BV143" s="175" t="inlineStr">
        <is>
          <t>Revólver</t>
        </is>
      </c>
    </row>
    <row r="144">
      <c r="BV144" s="175" t="inlineStr">
        <is>
          <t>Rifle</t>
        </is>
      </c>
    </row>
    <row r="145">
      <c r="BV145" s="175" t="inlineStr">
        <is>
          <t>Rifle de Precisão</t>
        </is>
      </c>
    </row>
    <row r="146">
      <c r="BV146" s="175" t="inlineStr">
        <is>
          <t>Sai</t>
        </is>
      </c>
    </row>
    <row r="147">
      <c r="BV147" s="175" t="inlineStr">
        <is>
          <t>Shuriken</t>
        </is>
      </c>
    </row>
    <row r="148">
      <c r="BV148" s="175" t="inlineStr">
        <is>
          <t>Sobrecarga Deliberada</t>
        </is>
      </c>
    </row>
    <row r="149">
      <c r="BV149" s="175" t="inlineStr">
        <is>
          <t>Soqueira</t>
        </is>
      </c>
    </row>
    <row r="150">
      <c r="BV150" s="175" t="inlineStr">
        <is>
          <t>Submetralhadora</t>
        </is>
      </c>
    </row>
    <row r="151">
      <c r="BV151" s="175" t="inlineStr">
        <is>
          <t>Taco</t>
        </is>
      </c>
    </row>
    <row r="152">
      <c r="BV152" s="175" t="inlineStr">
        <is>
          <t>Tanto</t>
        </is>
      </c>
    </row>
    <row r="153">
      <c r="BV153" s="175" t="inlineStr">
        <is>
          <t>Tekko</t>
        </is>
      </c>
    </row>
    <row r="154">
      <c r="BV154" s="175" t="inlineStr">
        <is>
          <t>Telefone</t>
        </is>
      </c>
    </row>
    <row r="155">
      <c r="BV155" s="175" t="inlineStr">
        <is>
          <t>Tentativa e Erro</t>
        </is>
      </c>
    </row>
    <row r="156">
      <c r="BV156" s="175" t="inlineStr">
        <is>
          <t>Tessen</t>
        </is>
      </c>
    </row>
    <row r="157">
      <c r="BV157" s="175" t="inlineStr">
        <is>
          <t>Tonfa</t>
        </is>
      </c>
    </row>
    <row r="158">
      <c r="BV158" s="175" t="inlineStr">
        <is>
          <t>Torre</t>
        </is>
      </c>
    </row>
    <row r="159">
      <c r="BV159" s="175" t="inlineStr">
        <is>
          <t>Traje 1</t>
        </is>
      </c>
    </row>
    <row r="160">
      <c r="BV160" s="175" t="inlineStr">
        <is>
          <t>Traje 2</t>
        </is>
      </c>
    </row>
    <row r="161">
      <c r="BV161" s="175" t="inlineStr">
        <is>
          <t>Traje 3</t>
        </is>
      </c>
    </row>
    <row r="162">
      <c r="BV162" s="175" t="inlineStr">
        <is>
          <t>Traço Incorporado</t>
        </is>
      </c>
    </row>
    <row r="163">
      <c r="BV163" s="175" t="inlineStr">
        <is>
          <t>Treino de Armas da Casa</t>
        </is>
      </c>
    </row>
    <row r="164">
      <c r="BV164" s="175" t="inlineStr">
        <is>
          <t>Vivência de Outra Era</t>
        </is>
      </c>
    </row>
    <row r="165">
      <c r="BV165" s="175" t="inlineStr">
        <is>
          <t>Vontade de Cárcere</t>
        </is>
      </c>
    </row>
    <row r="166">
      <c r="BV166" s="175" t="inlineStr">
        <is>
          <t>Voz Intrusa</t>
        </is>
      </c>
    </row>
    <row r="167">
      <c r="BV167" s="175" t="inlineStr">
        <is>
          <t>Wakizashi</t>
        </is>
      </c>
    </row>
    <row r="168">
      <c r="BV168" s="175" t="inlineStr">
        <is>
          <t>Yari</t>
        </is>
      </c>
    </row>
    <row r="169">
      <c r="BV169" s="175" t="inlineStr">
        <is>
          <t>Zenin</t>
        </is>
      </c>
    </row>
    <row r="170">
      <c r="BV170" s="175" t="inlineStr">
        <is>
          <t>Último Fôlego de Energia</t>
        </is>
      </c>
    </row>
    <row r="171">
      <c r="BV171" s="175" t="inlineStr">
        <is>
          <t>✎ Criada com o mestre</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D400"/>
  <sheetViews>
    <sheetView showGridLines="0" workbookViewId="0">
      <selection activeCell="A1" sqref="A1"/>
    </sheetView>
  </sheetViews>
  <sheetFormatPr baseColWidth="8" defaultRowHeight="18" customHeight="1"/>
  <cols>
    <col width="4.1" customWidth="1" min="1" max="1"/>
    <col outlineLevel="1" width="3.125" customWidth="1" min="2" max="2"/>
    <col outlineLevel="1" width="7.625" customWidth="1" min="3" max="3"/>
    <col outlineLevel="1" width="23.375" customWidth="1" min="4" max="4"/>
    <col outlineLevel="1" width="12" customWidth="1" min="5" max="5"/>
    <col outlineLevel="1" width="8.875" customWidth="1" min="6" max="6"/>
    <col outlineLevel="1" width="14.5" customWidth="1" min="7" max="7"/>
    <col outlineLevel="1" width="19.5" customWidth="1" min="8" max="8"/>
    <col outlineLevel="1" width="3.125" customWidth="1" min="9" max="9"/>
    <col outlineLevel="1" width="3.125" customWidth="1" min="10" max="10"/>
    <col outlineLevel="1" width="12" customWidth="1" min="11" max="11"/>
    <col outlineLevel="1" width="12" customWidth="1" min="12" max="12"/>
    <col outlineLevel="1" width="12" customWidth="1" min="13" max="13"/>
    <col outlineLevel="1" width="12" customWidth="1" min="14" max="14"/>
    <col outlineLevel="1" width="12" customWidth="1" min="15" max="15"/>
    <col outlineLevel="1" width="12" customWidth="1" min="16" max="16"/>
    <col outlineLevel="1" width="3.125" customWidth="1" min="17" max="17"/>
    <col width="4.1" customWidth="1" min="18" max="18"/>
    <col hidden="1" outlineLevel="1" width="2.125" customWidth="1" min="19" max="19"/>
    <col hidden="1" outlineLevel="1" width="10.125" customWidth="1" min="20" max="20"/>
    <col hidden="1" outlineLevel="1" width="10.125" customWidth="1" min="21" max="21"/>
    <col hidden="1" outlineLevel="1" width="10.125" customWidth="1" min="22" max="22"/>
    <col hidden="1" outlineLevel="1" width="10.125" customWidth="1" min="23" max="23"/>
    <col hidden="1" outlineLevel="1" width="10.125" customWidth="1" min="24" max="24"/>
    <col hidden="1" outlineLevel="1" width="10.125" customWidth="1" min="25" max="25"/>
    <col hidden="1" outlineLevel="1" width="2.125" customWidth="1" min="26" max="26"/>
    <col hidden="1" outlineLevel="1" width="2.125" customWidth="1" min="27" max="27"/>
    <col hidden="1" outlineLevel="1" width="10.125" customWidth="1" min="28" max="28"/>
    <col hidden="1" outlineLevel="1" width="10.125" customWidth="1" min="29" max="29"/>
    <col hidden="1" outlineLevel="1" width="10.125" customWidth="1" min="30" max="30"/>
    <col hidden="1" outlineLevel="1" width="10.125" customWidth="1" min="31" max="31"/>
    <col hidden="1" outlineLevel="1" width="10.125" customWidth="1" min="32" max="32"/>
    <col hidden="1" outlineLevel="1" width="10.125" customWidth="1" min="33" max="33"/>
    <col hidden="1" outlineLevel="1" width="2.125" customWidth="1" min="34" max="34"/>
    <col width="4.1" customWidth="1" min="35" max="35"/>
    <col hidden="1" outlineLevel="1" width="2.125" customWidth="1" min="36" max="36"/>
    <col hidden="1" outlineLevel="1" width="10.125" customWidth="1" min="37" max="37"/>
    <col hidden="1" outlineLevel="1" width="10.125" customWidth="1" min="38" max="38"/>
    <col hidden="1" outlineLevel="1" width="10.125" customWidth="1" min="39" max="39"/>
    <col hidden="1" outlineLevel="1" width="10.125" customWidth="1" min="40" max="40"/>
    <col hidden="1" outlineLevel="1" width="10.125" customWidth="1" min="41" max="41"/>
    <col hidden="1" outlineLevel="1" width="10.125" customWidth="1" min="42" max="42"/>
    <col hidden="1" outlineLevel="1" width="2.125" customWidth="1" min="43" max="43"/>
    <col hidden="1" outlineLevel="1" width="2.125" customWidth="1" min="44" max="44"/>
    <col hidden="1" outlineLevel="1" width="10.125" customWidth="1" min="45" max="45"/>
    <col hidden="1" outlineLevel="1" width="10.125" customWidth="1" min="46" max="46"/>
    <col hidden="1" outlineLevel="1" width="10.125" customWidth="1" min="47" max="47"/>
    <col hidden="1" outlineLevel="1" width="10.125" customWidth="1" min="48" max="48"/>
    <col hidden="1" outlineLevel="1" width="10.125" customWidth="1" min="49" max="49"/>
    <col hidden="1" outlineLevel="1" width="10.125" customWidth="1" min="50" max="50"/>
    <col hidden="1" outlineLevel="1" width="2.125" customWidth="1" min="51" max="51"/>
    <col width="4.1" customWidth="1" min="52" max="52"/>
    <col hidden="1" outlineLevel="1" width="2.125" customWidth="1" min="53" max="53"/>
    <col hidden="1" outlineLevel="1" width="10.125" customWidth="1" min="54" max="54"/>
    <col hidden="1" outlineLevel="1" width="10.125" customWidth="1" min="55" max="55"/>
    <col hidden="1" outlineLevel="1" width="10.125" customWidth="1" min="56" max="56"/>
    <col hidden="1" outlineLevel="1" width="10.125" customWidth="1" min="57" max="57"/>
    <col hidden="1" outlineLevel="1" width="10.125" customWidth="1" min="58" max="58"/>
    <col hidden="1" outlineLevel="1" width="10.125" customWidth="1" min="59" max="59"/>
    <col hidden="1" outlineLevel="1" width="2.125" customWidth="1" min="60" max="60"/>
    <col hidden="1" outlineLevel="1" width="2.125" customWidth="1" min="61" max="61"/>
    <col hidden="1" outlineLevel="1" width="10.125" customWidth="1" min="62" max="62"/>
    <col hidden="1" outlineLevel="1" width="10.125" customWidth="1" min="63" max="63"/>
    <col hidden="1" outlineLevel="1" width="10.125" customWidth="1" min="64" max="64"/>
    <col hidden="1" outlineLevel="1" width="10.125" customWidth="1" min="65" max="65"/>
    <col hidden="1" outlineLevel="1" width="10.125" customWidth="1" min="66" max="66"/>
    <col hidden="1" outlineLevel="1" width="10.125" customWidth="1" min="67" max="67"/>
    <col hidden="1" outlineLevel="1" width="2.125" customWidth="1" min="68" max="68"/>
    <col width="4.1" customWidth="1" min="69" max="69"/>
    <col hidden="1" outlineLevel="1" width="2.125" customWidth="1" min="70" max="70"/>
    <col hidden="1" outlineLevel="1" width="10.125" customWidth="1" min="71" max="71"/>
    <col hidden="1" outlineLevel="1" width="10.125" customWidth="1" min="72" max="72"/>
    <col hidden="1" outlineLevel="1" width="10.125" customWidth="1" min="73" max="73"/>
    <col hidden="1" outlineLevel="1" width="10.125" customWidth="1" min="74" max="74"/>
    <col hidden="1" outlineLevel="1" width="10.125" customWidth="1" min="75" max="75"/>
    <col hidden="1" outlineLevel="1" width="10.125" customWidth="1" min="76" max="76"/>
    <col hidden="1" outlineLevel="1" width="2.125" customWidth="1" min="77" max="77"/>
    <col hidden="1" outlineLevel="1" width="2.125" customWidth="1" min="78" max="78"/>
    <col hidden="1" outlineLevel="1" width="10.125" customWidth="1" min="79" max="79"/>
    <col hidden="1" outlineLevel="1" width="10.125" customWidth="1" min="80" max="80"/>
    <col hidden="1" outlineLevel="1" width="10.125" customWidth="1" min="81" max="81"/>
    <col hidden="1" outlineLevel="1" width="10.125" customWidth="1" min="82" max="82"/>
    <col hidden="1" outlineLevel="1" width="10.125" customWidth="1" min="83" max="83"/>
    <col hidden="1" outlineLevel="1" width="10.125" customWidth="1" min="84" max="84"/>
    <col hidden="1" outlineLevel="1" width="2.125" customWidth="1" min="85" max="85"/>
    <col width="4.1" customWidth="1" min="86" max="86"/>
    <col hidden="1" outlineLevel="1" width="2.125" customWidth="1" min="87" max="87"/>
    <col hidden="1" outlineLevel="1" width="10.125" customWidth="1" min="88" max="88"/>
    <col hidden="1" outlineLevel="1" width="10.125" customWidth="1" min="89" max="89"/>
    <col hidden="1" outlineLevel="1" width="10.125" customWidth="1" min="90" max="90"/>
    <col hidden="1" outlineLevel="1" width="10.125" customWidth="1" min="91" max="91"/>
    <col hidden="1" outlineLevel="1" width="10.125" customWidth="1" min="92" max="92"/>
    <col hidden="1" outlineLevel="1" width="10.125" customWidth="1" min="93" max="93"/>
    <col hidden="1" outlineLevel="1" width="2.125" customWidth="1" min="94" max="94"/>
    <col hidden="1" outlineLevel="1" width="2.125" customWidth="1" min="95" max="95"/>
    <col hidden="1" outlineLevel="1" width="10.125" customWidth="1" min="96" max="96"/>
    <col hidden="1" outlineLevel="1" width="10.125" customWidth="1" min="97" max="97"/>
    <col hidden="1" outlineLevel="1" width="10.125" customWidth="1" min="98" max="98"/>
    <col hidden="1" outlineLevel="1" width="10.125" customWidth="1" min="99" max="99"/>
    <col hidden="1" outlineLevel="1" width="10.125" customWidth="1" min="100" max="100"/>
    <col hidden="1" outlineLevel="1" width="10.125" customWidth="1" min="101" max="101"/>
    <col hidden="1" outlineLevel="1" width="2.125" customWidth="1" min="102" max="102"/>
    <col width="4.1" customWidth="1" min="103" max="103"/>
    <col hidden="1" outlineLevel="1" width="2.125" customWidth="1" min="104" max="104"/>
    <col hidden="1" outlineLevel="1" width="10.125" customWidth="1" min="105" max="105"/>
    <col hidden="1" outlineLevel="1" width="10.125" customWidth="1" min="106" max="106"/>
    <col hidden="1" outlineLevel="1" width="10.125" customWidth="1" min="107" max="107"/>
    <col hidden="1" outlineLevel="1" width="10.125" customWidth="1" min="108" max="108"/>
    <col hidden="1" outlineLevel="1" width="10.125" customWidth="1" min="109" max="109"/>
    <col hidden="1" outlineLevel="1" width="10.125" customWidth="1" min="110" max="110"/>
    <col hidden="1" outlineLevel="1" width="2.125" customWidth="1" min="111" max="111"/>
    <col hidden="1" outlineLevel="1" width="2.125" customWidth="1" min="112" max="112"/>
    <col hidden="1" outlineLevel="1" width="10.125" customWidth="1" min="113" max="113"/>
    <col hidden="1" outlineLevel="1" width="10.125" customWidth="1" min="114" max="114"/>
    <col hidden="1" outlineLevel="1" width="10.125" customWidth="1" min="115" max="115"/>
    <col hidden="1" outlineLevel="1" width="10.125" customWidth="1" min="116" max="116"/>
    <col hidden="1" outlineLevel="1" width="10.125" customWidth="1" min="117" max="117"/>
    <col hidden="1" outlineLevel="1" width="10.125" customWidth="1" min="118" max="118"/>
    <col hidden="1" outlineLevel="1" width="2.125" customWidth="1" min="119" max="119"/>
    <col width="4.1" customWidth="1" min="120" max="120"/>
    <col hidden="1" outlineLevel="1" width="2.125" customWidth="1" min="121" max="121"/>
    <col hidden="1" outlineLevel="1" width="10.125" customWidth="1" min="122" max="122"/>
    <col hidden="1" outlineLevel="1" width="10.125" customWidth="1" min="123" max="123"/>
    <col hidden="1" outlineLevel="1" width="10.125" customWidth="1" min="124" max="124"/>
    <col hidden="1" outlineLevel="1" width="10.125" customWidth="1" min="125" max="125"/>
    <col hidden="1" outlineLevel="1" width="10.125" customWidth="1" min="126" max="126"/>
    <col hidden="1" outlineLevel="1" width="10.125" customWidth="1" min="127" max="127"/>
    <col hidden="1" outlineLevel="1" width="2.125" customWidth="1" min="128" max="128"/>
    <col hidden="1" outlineLevel="1" width="2.125" customWidth="1" min="129" max="129"/>
    <col hidden="1" outlineLevel="1" width="10.125" customWidth="1" min="130" max="130"/>
    <col hidden="1" outlineLevel="1" width="10.125" customWidth="1" min="131" max="131"/>
    <col hidden="1" outlineLevel="1" width="10.125" customWidth="1" min="132" max="132"/>
    <col hidden="1" outlineLevel="1" width="10.125" customWidth="1" min="133" max="133"/>
    <col hidden="1" outlineLevel="1" width="10.125" customWidth="1" min="134" max="134"/>
    <col hidden="1" outlineLevel="1" width="10.125" customWidth="1" min="135" max="135"/>
    <col hidden="1" outlineLevel="1" width="2.125" customWidth="1" min="136" max="136"/>
    <col width="4.1" customWidth="1" min="137" max="137"/>
    <col hidden="1" outlineLevel="1" width="2.125" customWidth="1" min="138" max="138"/>
    <col hidden="1" outlineLevel="1" width="10.125" customWidth="1" min="139" max="139"/>
    <col hidden="1" outlineLevel="1" width="10.125" customWidth="1" min="140" max="140"/>
    <col hidden="1" outlineLevel="1" width="10.125" customWidth="1" min="141" max="141"/>
    <col hidden="1" outlineLevel="1" width="10.125" customWidth="1" min="142" max="142"/>
    <col hidden="1" outlineLevel="1" width="10.125" customWidth="1" min="143" max="143"/>
    <col hidden="1" outlineLevel="1" width="10.125" customWidth="1" min="144" max="144"/>
    <col hidden="1" outlineLevel="1" width="2.125" customWidth="1" min="145" max="145"/>
    <col hidden="1" outlineLevel="1" width="2.125" customWidth="1" min="146" max="146"/>
    <col hidden="1" outlineLevel="1" width="10.125" customWidth="1" min="147" max="147"/>
    <col hidden="1" outlineLevel="1" width="10.125" customWidth="1" min="148" max="148"/>
    <col hidden="1" outlineLevel="1" width="10.125" customWidth="1" min="149" max="149"/>
    <col hidden="1" outlineLevel="1" width="10.125" customWidth="1" min="150" max="150"/>
    <col hidden="1" outlineLevel="1" width="10.125" customWidth="1" min="151" max="151"/>
    <col hidden="1" outlineLevel="1" width="10.125" customWidth="1" min="152" max="152"/>
    <col hidden="1" outlineLevel="1" width="2.125" customWidth="1" min="153" max="153"/>
    <col width="4.1" customWidth="1" min="154" max="154"/>
    <col hidden="1" outlineLevel="1" width="2.125" customWidth="1" min="155" max="155"/>
    <col hidden="1" outlineLevel="1" width="10.125" customWidth="1" min="156" max="156"/>
    <col hidden="1" outlineLevel="1" width="10.125" customWidth="1" min="157" max="157"/>
    <col hidden="1" outlineLevel="1" width="10.125" customWidth="1" min="158" max="158"/>
    <col hidden="1" outlineLevel="1" width="10.125" customWidth="1" min="159" max="159"/>
    <col hidden="1" outlineLevel="1" width="10.125" customWidth="1" min="160" max="160"/>
    <col hidden="1" outlineLevel="1" width="10.125" customWidth="1" min="161" max="161"/>
    <col hidden="1" outlineLevel="1" width="2.125" customWidth="1" min="162" max="162"/>
    <col hidden="1" outlineLevel="1" width="2.125" customWidth="1" min="163" max="163"/>
    <col hidden="1" outlineLevel="1" width="10.125" customWidth="1" min="164" max="164"/>
    <col hidden="1" outlineLevel="1" width="10.125" customWidth="1" min="165" max="165"/>
    <col hidden="1" outlineLevel="1" width="10.125" customWidth="1" min="166" max="166"/>
    <col hidden="1" outlineLevel="1" width="10.125" customWidth="1" min="167" max="167"/>
    <col hidden="1" outlineLevel="1" width="10.125" customWidth="1" min="168" max="168"/>
    <col hidden="1" outlineLevel="1" width="10.125" customWidth="1" min="169" max="169"/>
    <col hidden="1" outlineLevel="1" width="2.125" customWidth="1" min="170" max="170"/>
    <col width="4.1" customWidth="1" min="171" max="171"/>
    <col hidden="1" outlineLevel="1" width="2.125" customWidth="1" min="172" max="172"/>
    <col hidden="1" outlineLevel="1" width="10.125" customWidth="1" min="173" max="173"/>
    <col hidden="1" outlineLevel="1" width="10.125" customWidth="1" min="174" max="174"/>
    <col hidden="1" outlineLevel="1" width="10.125" customWidth="1" min="175" max="175"/>
    <col hidden="1" outlineLevel="1" width="10.125" customWidth="1" min="176" max="176"/>
    <col hidden="1" outlineLevel="1" width="10.125" customWidth="1" min="177" max="177"/>
    <col hidden="1" outlineLevel="1" width="10.125" customWidth="1" min="178" max="178"/>
    <col hidden="1" outlineLevel="1" width="2.125" customWidth="1" min="179" max="179"/>
    <col hidden="1" outlineLevel="1" width="2.125" customWidth="1" min="180" max="180"/>
    <col hidden="1" outlineLevel="1" width="10.125" customWidth="1" min="181" max="181"/>
    <col hidden="1" outlineLevel="1" width="10.125" customWidth="1" min="182" max="182"/>
    <col hidden="1" outlineLevel="1" width="10.125" customWidth="1" min="183" max="183"/>
    <col hidden="1" outlineLevel="1" width="10.125" customWidth="1" min="184" max="184"/>
    <col hidden="1" outlineLevel="1" width="10.125" customWidth="1" min="185" max="185"/>
    <col hidden="1" outlineLevel="1" width="10.125" customWidth="1" min="186" max="186"/>
    <col hidden="1" outlineLevel="1" width="2.125" customWidth="1" min="187" max="187"/>
    <col width="4.1" customWidth="1" min="188" max="188"/>
    <col hidden="1" outlineLevel="1" width="2.125" customWidth="1" min="189" max="189"/>
    <col hidden="1" outlineLevel="1" width="10.125" customWidth="1" min="190" max="190"/>
    <col hidden="1" outlineLevel="1" width="10.125" customWidth="1" min="191" max="191"/>
    <col hidden="1" outlineLevel="1" width="10.125" customWidth="1" min="192" max="192"/>
    <col hidden="1" outlineLevel="1" width="10.125" customWidth="1" min="193" max="193"/>
    <col hidden="1" outlineLevel="1" width="10.125" customWidth="1" min="194" max="194"/>
    <col hidden="1" outlineLevel="1" width="10.125" customWidth="1" min="195" max="195"/>
    <col hidden="1" outlineLevel="1" width="2.125" customWidth="1" min="196" max="196"/>
    <col hidden="1" outlineLevel="1" width="2.125" customWidth="1" min="197" max="197"/>
    <col hidden="1" outlineLevel="1" width="10.125" customWidth="1" min="198" max="198"/>
    <col hidden="1" outlineLevel="1" width="10.125" customWidth="1" min="199" max="199"/>
    <col hidden="1" outlineLevel="1" width="10.125" customWidth="1" min="200" max="200"/>
    <col hidden="1" outlineLevel="1" width="10.125" customWidth="1" min="201" max="201"/>
    <col hidden="1" outlineLevel="1" width="10.125" customWidth="1" min="202" max="202"/>
    <col hidden="1" outlineLevel="1" width="10.125" customWidth="1" min="203" max="203"/>
    <col hidden="1" outlineLevel="1" width="2.125" customWidth="1" min="204" max="204"/>
    <col width="4.1" customWidth="1" min="205" max="205"/>
    <col hidden="1" outlineLevel="1" width="2.125" customWidth="1" min="206" max="206"/>
    <col hidden="1" outlineLevel="1" width="10.125" customWidth="1" min="207" max="207"/>
    <col hidden="1" outlineLevel="1" width="10.125" customWidth="1" min="208" max="208"/>
    <col hidden="1" outlineLevel="1" width="10.125" customWidth="1" min="209" max="209"/>
    <col hidden="1" outlineLevel="1" width="10.125" customWidth="1" min="210" max="210"/>
    <col hidden="1" outlineLevel="1" width="10.125" customWidth="1" min="211" max="211"/>
    <col hidden="1" outlineLevel="1" width="10.125" customWidth="1" min="212" max="212"/>
    <col hidden="1" outlineLevel="1" width="2.125" customWidth="1" min="213" max="213"/>
    <col hidden="1" outlineLevel="1" width="2.125" customWidth="1" min="214" max="214"/>
    <col hidden="1" outlineLevel="1" width="10.125" customWidth="1" min="215" max="215"/>
    <col hidden="1" outlineLevel="1" width="10.125" customWidth="1" min="216" max="216"/>
    <col hidden="1" outlineLevel="1" width="10.125" customWidth="1" min="217" max="217"/>
    <col hidden="1" outlineLevel="1" width="10.125" customWidth="1" min="218" max="218"/>
    <col hidden="1" outlineLevel="1" width="10.125" customWidth="1" min="219" max="219"/>
    <col hidden="1" outlineLevel="1" width="10.125" customWidth="1" min="220" max="220"/>
    <col hidden="1" outlineLevel="1" width="2.125" customWidth="1" min="221" max="221"/>
    <col width="4.1" customWidth="1" min="222" max="222"/>
    <col hidden="1" outlineLevel="1" width="2.125" customWidth="1" min="223" max="223"/>
    <col hidden="1" outlineLevel="1" width="10.125" customWidth="1" min="224" max="224"/>
    <col hidden="1" outlineLevel="1" width="10.125" customWidth="1" min="225" max="225"/>
    <col hidden="1" outlineLevel="1" width="10.125" customWidth="1" min="226" max="226"/>
    <col hidden="1" outlineLevel="1" width="10.125" customWidth="1" min="227" max="227"/>
    <col hidden="1" outlineLevel="1" width="10.125" customWidth="1" min="228" max="228"/>
    <col hidden="1" outlineLevel="1" width="10.125" customWidth="1" min="229" max="229"/>
    <col hidden="1" outlineLevel="1" width="2.125" customWidth="1" min="230" max="230"/>
    <col hidden="1" outlineLevel="1" width="2.125" customWidth="1" min="231" max="231"/>
    <col hidden="1" outlineLevel="1" width="10.125" customWidth="1" min="232" max="232"/>
    <col hidden="1" outlineLevel="1" width="10.125" customWidth="1" min="233" max="233"/>
    <col hidden="1" outlineLevel="1" width="10.125" customWidth="1" min="234" max="234"/>
    <col hidden="1" outlineLevel="1" width="10.125" customWidth="1" min="235" max="235"/>
    <col hidden="1" outlineLevel="1" width="10.125" customWidth="1" min="236" max="236"/>
    <col hidden="1" outlineLevel="1" width="10.125" customWidth="1" min="237" max="237"/>
    <col hidden="1" outlineLevel="1" width="2.125" customWidth="1" min="238" max="238"/>
  </cols>
  <sheetData>
    <row r="1" ht="12" customHeight="1">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c r="BS1" s="176" t="n"/>
      <c r="BT1" s="176" t="n"/>
      <c r="BU1" s="176" t="n"/>
      <c r="BV1" s="176" t="n"/>
      <c r="BW1" s="176" t="n"/>
      <c r="BX1" s="176" t="n"/>
      <c r="BY1" s="176" t="n"/>
      <c r="BZ1" s="176" t="n"/>
      <c r="CA1" s="176" t="n"/>
      <c r="CB1" s="176" t="n"/>
      <c r="CC1" s="176" t="n"/>
      <c r="CD1" s="176" t="n"/>
      <c r="CE1" s="176" t="n"/>
      <c r="CF1" s="176" t="n"/>
      <c r="CG1" s="176" t="n"/>
      <c r="CH1" s="176" t="n"/>
      <c r="CI1" s="176" t="n"/>
      <c r="CJ1" s="176" t="n"/>
      <c r="CK1" s="176" t="n"/>
      <c r="CL1" s="176" t="n"/>
      <c r="CM1" s="176" t="n"/>
      <c r="CN1" s="176" t="n"/>
      <c r="CO1" s="176" t="n"/>
      <c r="CP1" s="176" t="n"/>
      <c r="CQ1" s="176" t="n"/>
      <c r="CR1" s="176" t="n"/>
      <c r="CS1" s="176" t="n"/>
      <c r="CT1" s="176" t="n"/>
      <c r="CU1" s="176" t="n"/>
      <c r="CV1" s="176" t="n"/>
      <c r="CW1" s="176" t="n"/>
      <c r="CX1" s="176" t="n"/>
      <c r="CY1" s="176" t="n"/>
      <c r="CZ1" s="176" t="n"/>
      <c r="DA1" s="176" t="n"/>
      <c r="DB1" s="176" t="n"/>
      <c r="DC1" s="176" t="n"/>
      <c r="DD1" s="176" t="n"/>
      <c r="DE1" s="176" t="n"/>
      <c r="DF1" s="176" t="n"/>
      <c r="DG1" s="176" t="n"/>
      <c r="DH1" s="176" t="n"/>
      <c r="DI1" s="176" t="n"/>
      <c r="DJ1" s="176" t="n"/>
      <c r="DK1" s="176" t="n"/>
      <c r="DL1" s="176" t="n"/>
      <c r="DM1" s="176" t="n"/>
      <c r="DN1" s="176" t="n"/>
      <c r="DO1" s="176" t="n"/>
      <c r="DP1" s="176" t="n"/>
      <c r="DQ1" s="176" t="n"/>
      <c r="DR1" s="176" t="n"/>
      <c r="DS1" s="176" t="n"/>
      <c r="DT1" s="176" t="n"/>
      <c r="DU1" s="176" t="n"/>
      <c r="DV1" s="176" t="n"/>
      <c r="DW1" s="176" t="n"/>
      <c r="DX1" s="176" t="n"/>
      <c r="DY1" s="176" t="n"/>
      <c r="DZ1" s="176" t="n"/>
      <c r="EA1" s="176" t="n"/>
      <c r="EB1" s="176" t="n"/>
      <c r="EC1" s="176" t="n"/>
      <c r="ED1" s="176" t="n"/>
      <c r="EE1" s="176" t="n"/>
      <c r="EF1" s="176" t="n"/>
      <c r="EG1" s="176" t="n"/>
      <c r="EH1" s="176" t="n"/>
      <c r="EI1" s="176" t="n"/>
      <c r="EJ1" s="176" t="n"/>
      <c r="EK1" s="176" t="n"/>
      <c r="EL1" s="176" t="n"/>
      <c r="EM1" s="176" t="n"/>
      <c r="EN1" s="176" t="n"/>
      <c r="EO1" s="176" t="n"/>
      <c r="EP1" s="176" t="n"/>
      <c r="EQ1" s="176" t="n"/>
      <c r="ER1" s="176" t="n"/>
      <c r="ES1" s="176" t="n"/>
      <c r="ET1" s="176" t="n"/>
      <c r="EU1" s="176" t="n"/>
      <c r="EV1" s="176" t="n"/>
      <c r="EW1" s="176" t="n"/>
      <c r="EX1" s="176" t="n"/>
      <c r="EY1" s="176" t="n"/>
      <c r="EZ1" s="176" t="n"/>
      <c r="FA1" s="176" t="n"/>
      <c r="FB1" s="176" t="n"/>
      <c r="FC1" s="176" t="n"/>
      <c r="FD1" s="176" t="n"/>
      <c r="FE1" s="176" t="n"/>
      <c r="FF1" s="176" t="n"/>
      <c r="FG1" s="176" t="n"/>
      <c r="FH1" s="176" t="n"/>
      <c r="FI1" s="176" t="n"/>
      <c r="FJ1" s="176" t="n"/>
      <c r="FK1" s="176" t="n"/>
      <c r="FL1" s="176" t="n"/>
      <c r="FM1" s="176" t="n"/>
      <c r="FN1" s="176" t="n"/>
      <c r="FO1" s="176" t="n"/>
      <c r="FP1" s="176" t="n"/>
      <c r="FQ1" s="176" t="n"/>
      <c r="FR1" s="176" t="n"/>
      <c r="FS1" s="176" t="n"/>
      <c r="FT1" s="176" t="n"/>
      <c r="FU1" s="176" t="n"/>
      <c r="FV1" s="176" t="n"/>
      <c r="FW1" s="176" t="n"/>
      <c r="FX1" s="176" t="n"/>
      <c r="FY1" s="176" t="n"/>
      <c r="FZ1" s="176" t="n"/>
      <c r="GA1" s="176" t="n"/>
      <c r="GB1" s="176" t="n"/>
      <c r="GC1" s="176" t="n"/>
      <c r="GD1" s="176" t="n"/>
      <c r="GE1" s="176" t="n"/>
      <c r="GF1" s="176" t="n"/>
      <c r="GG1" s="176" t="n"/>
      <c r="GH1" s="176" t="n"/>
      <c r="GI1" s="176" t="n"/>
      <c r="GJ1" s="176" t="n"/>
      <c r="GK1" s="176" t="n"/>
      <c r="GL1" s="176" t="n"/>
      <c r="GM1" s="176" t="n"/>
      <c r="GN1" s="176" t="n"/>
      <c r="GO1" s="176" t="n"/>
      <c r="GP1" s="176" t="n"/>
      <c r="GQ1" s="176" t="n"/>
      <c r="GR1" s="176" t="n"/>
      <c r="GS1" s="176" t="n"/>
      <c r="GT1" s="176" t="n"/>
      <c r="GU1" s="176" t="n"/>
      <c r="GV1" s="176" t="n"/>
      <c r="GW1" s="176" t="n"/>
      <c r="GX1" s="176" t="n"/>
      <c r="GY1" s="176" t="n"/>
      <c r="GZ1" s="176" t="n"/>
      <c r="HA1" s="176" t="n"/>
      <c r="HB1" s="176" t="n"/>
      <c r="HC1" s="176" t="n"/>
      <c r="HD1" s="176" t="n"/>
      <c r="HE1" s="176" t="n"/>
      <c r="HF1" s="176" t="n"/>
      <c r="HG1" s="176" t="n"/>
      <c r="HH1" s="176" t="n"/>
      <c r="HI1" s="176" t="n"/>
      <c r="HJ1" s="176" t="n"/>
      <c r="HK1" s="176" t="n"/>
      <c r="HL1" s="176" t="n"/>
      <c r="HM1" s="176" t="n"/>
      <c r="HN1" s="176" t="n"/>
      <c r="HO1" s="176" t="n"/>
      <c r="HP1" s="176" t="n"/>
      <c r="HQ1" s="176" t="n"/>
      <c r="HR1" s="176" t="n"/>
      <c r="HS1" s="176" t="n"/>
      <c r="HT1" s="176" t="n"/>
      <c r="HU1" s="176" t="n"/>
      <c r="HV1" s="176" t="n"/>
      <c r="HW1" s="176" t="n"/>
      <c r="HX1" s="176" t="n"/>
      <c r="HY1" s="176" t="n"/>
      <c r="HZ1" s="176" t="n"/>
      <c r="IA1" s="176" t="n"/>
      <c r="IB1" s="176" t="n"/>
      <c r="IC1" s="176" t="n"/>
      <c r="ID1" s="176" t="n"/>
    </row>
    <row r="2" ht="24" customHeight="1">
      <c r="A2" s="177" t="inlineStr">
        <is>
          <t>GERAL</t>
        </is>
      </c>
      <c r="B2" s="176" t="n"/>
      <c r="C2" s="178" t="inlineStr">
        <is>
          <t>CONFIGURAÇÃO</t>
        </is>
      </c>
      <c r="J2" s="176" t="n"/>
      <c r="K2" s="176" t="n"/>
      <c r="L2" s="176" t="n"/>
      <c r="M2" s="176" t="n"/>
      <c r="N2" s="176" t="n"/>
      <c r="O2" s="176" t="n"/>
      <c r="P2" s="176" t="n"/>
      <c r="Q2" s="176" t="n"/>
      <c r="R2" s="177" t="inlineStr">
        <is>
          <t>01 · CADASTROS GERAIS</t>
        </is>
      </c>
      <c r="S2" s="176" t="n"/>
      <c r="T2" s="179" t="inlineStr">
        <is>
          <t>01 · CADASTROS GERAIS</t>
        </is>
      </c>
      <c r="AH2" s="176" t="n"/>
      <c r="AI2" s="177" t="inlineStr">
        <is>
          <t>02 · CAMINHO E TRILHA</t>
        </is>
      </c>
      <c r="AJ2" s="176" t="n"/>
      <c r="AK2" s="179" t="inlineStr">
        <is>
          <t>02 · CAMINHO E TRILHA</t>
        </is>
      </c>
      <c r="AY2" s="176" t="n"/>
      <c r="AZ2" s="177" t="inlineStr">
        <is>
          <t>03 · PERÍCIAS</t>
        </is>
      </c>
      <c r="BA2" s="176" t="n"/>
      <c r="BB2" s="179" t="inlineStr">
        <is>
          <t>03 · PERÍCIAS</t>
        </is>
      </c>
      <c r="BP2" s="176" t="n"/>
      <c r="BQ2" s="177" t="inlineStr">
        <is>
          <t>04 · OFÍCIOS</t>
        </is>
      </c>
      <c r="BR2" s="176" t="n"/>
      <c r="BS2" s="179" t="inlineStr">
        <is>
          <t>04 · OFÍCIOS</t>
        </is>
      </c>
      <c r="CG2" s="176" t="n"/>
      <c r="CH2" s="177" t="inlineStr">
        <is>
          <t>05 · FAMÍLIAS</t>
        </is>
      </c>
      <c r="CI2" s="176" t="n"/>
      <c r="CJ2" s="179" t="inlineStr">
        <is>
          <t>05 · FAMÍLIAS</t>
        </is>
      </c>
      <c r="CX2" s="176" t="n"/>
      <c r="CY2" s="177" t="inlineStr">
        <is>
          <t>06 · MELHORIAS</t>
        </is>
      </c>
      <c r="CZ2" s="176" t="n"/>
      <c r="DA2" s="179" t="inlineStr">
        <is>
          <t>06 · MELHORIAS</t>
        </is>
      </c>
      <c r="DO2" s="176" t="n"/>
      <c r="DP2" s="177" t="inlineStr">
        <is>
          <t>07 · RESTRIÇÕES</t>
        </is>
      </c>
      <c r="DQ2" s="176" t="n"/>
      <c r="DR2" s="179" t="inlineStr">
        <is>
          <t>07 · RESTRIÇÕES</t>
        </is>
      </c>
      <c r="EF2" s="176" t="n"/>
      <c r="EG2" s="177" t="inlineStr">
        <is>
          <t>08 · TIPOS DE DANO</t>
        </is>
      </c>
      <c r="EH2" s="176" t="n"/>
      <c r="EI2" s="179" t="inlineStr">
        <is>
          <t>08 · TIPOS DE DANO</t>
        </is>
      </c>
      <c r="EW2" s="176" t="n"/>
      <c r="EX2" s="177" t="inlineStr">
        <is>
          <t>09 · FORMAS</t>
        </is>
      </c>
      <c r="EY2" s="176" t="n"/>
      <c r="EZ2" s="179" t="inlineStr">
        <is>
          <t>09 · FORMAS</t>
        </is>
      </c>
      <c r="FN2" s="176" t="n"/>
      <c r="FO2" s="177" t="inlineStr">
        <is>
          <t>10 · APTIDÕES E BÊNÇÃOS</t>
        </is>
      </c>
      <c r="FP2" s="176" t="n"/>
      <c r="FQ2" s="179" t="inlineStr">
        <is>
          <t>10 · APTIDÕES E BÊNÇÃOS</t>
        </is>
      </c>
      <c r="GE2" s="176" t="n"/>
      <c r="GF2" s="177" t="inlineStr">
        <is>
          <t>11 · TALENTOS</t>
        </is>
      </c>
      <c r="GG2" s="176" t="n"/>
      <c r="GH2" s="179" t="inlineStr">
        <is>
          <t>11 · TALENTOS</t>
        </is>
      </c>
      <c r="GV2" s="176" t="n"/>
      <c r="GW2" s="177" t="inlineStr">
        <is>
          <t>12 · TIPOS DE ENTIDADE</t>
        </is>
      </c>
      <c r="GX2" s="176" t="n"/>
      <c r="GY2" s="179" t="inlineStr">
        <is>
          <t>12 · TIPOS DE ENTIDADE</t>
        </is>
      </c>
      <c r="HM2" s="176" t="n"/>
      <c r="HN2" s="177" t="inlineStr">
        <is>
          <t>13 · TALENTOS DE ENTIDADE</t>
        </is>
      </c>
      <c r="HO2" s="176" t="n"/>
      <c r="HP2" s="179" t="inlineStr">
        <is>
          <t>13 · TALENTOS DE ENTIDADE</t>
        </is>
      </c>
      <c r="ID2" s="176" t="n"/>
    </row>
    <row r="3" ht="12" customHeight="1">
      <c r="B3" s="176" t="n"/>
      <c r="J3" s="176" t="n"/>
      <c r="K3" s="176" t="n"/>
      <c r="L3" s="176" t="n"/>
      <c r="M3" s="176" t="n"/>
      <c r="N3" s="176" t="n"/>
      <c r="O3" s="176" t="n"/>
      <c r="P3" s="176" t="n"/>
      <c r="Q3" s="176" t="n"/>
      <c r="S3" s="176" t="n"/>
      <c r="T3" s="180" t="inlineStr">
        <is>
          <t>Cadastre aqui conteúdos próprios para aparecerem nos menus da ficha. Escolha o tipo e um nome único; MESTRE VIU é um lembrete de revisão, e a aprovação acontece no chat.</t>
        </is>
      </c>
      <c r="AH3" s="176" t="n"/>
      <c r="AJ3" s="176" t="n"/>
      <c r="AY3" s="176" t="n"/>
      <c r="BA3" s="176" t="n"/>
      <c r="BP3" s="176" t="n"/>
      <c r="BR3" s="176" t="n"/>
      <c r="CG3" s="176" t="n"/>
      <c r="CI3" s="176" t="n"/>
      <c r="CX3" s="176" t="n"/>
      <c r="CZ3" s="176" t="n"/>
      <c r="DO3" s="176" t="n"/>
      <c r="DQ3" s="176" t="n"/>
      <c r="EF3" s="176" t="n"/>
      <c r="EH3" s="176" t="n"/>
      <c r="EW3" s="176" t="n"/>
      <c r="EY3" s="176" t="n"/>
      <c r="FN3" s="176" t="n"/>
      <c r="FP3" s="176" t="n"/>
      <c r="GE3" s="176" t="n"/>
      <c r="GG3" s="176" t="n"/>
      <c r="GV3" s="176" t="n"/>
      <c r="GX3" s="176" t="n"/>
      <c r="HM3" s="176" t="n"/>
      <c r="HO3" s="176" t="n"/>
      <c r="ID3" s="176" t="n"/>
    </row>
    <row r="4" ht="9" customHeight="1">
      <c r="B4" s="176" t="n"/>
      <c r="C4" s="176" t="n"/>
      <c r="D4" s="176" t="n"/>
      <c r="E4" s="176" t="n"/>
      <c r="F4" s="176" t="n"/>
      <c r="G4" s="176" t="n"/>
      <c r="H4" s="176" t="n"/>
      <c r="I4" s="176" t="n"/>
      <c r="J4" s="176" t="n"/>
      <c r="K4" s="176" t="n"/>
      <c r="L4" s="176" t="n"/>
      <c r="M4" s="176" t="n"/>
      <c r="N4" s="176" t="n"/>
      <c r="O4" s="176" t="n"/>
      <c r="P4" s="176" t="n"/>
      <c r="Q4" s="176" t="n"/>
      <c r="S4" s="176" t="n"/>
      <c r="AH4" s="176" t="n"/>
      <c r="AJ4" s="176" t="n"/>
      <c r="AK4" s="180" t="inlineStr">
        <is>
          <t>Personalize Caminho e Trilha escolhendo uma base do livro ou preenchendo os campos próprios. Campos em branco herdam a base escolhida; confira os avisos de cada cadastro.</t>
        </is>
      </c>
      <c r="AY4" s="176" t="n"/>
      <c r="BA4" s="176" t="n"/>
      <c r="BB4" s="180" t="inlineStr">
        <is>
          <t>Crie Perícias próprias para os menus da ficha. Use um nome único, escolha uma base quando quiser herdar suas regras e preencha somente as diferenças.</t>
        </is>
      </c>
      <c r="BP4" s="176" t="n"/>
      <c r="BR4" s="176" t="n"/>
      <c r="BS4" s="180" t="inlineStr">
        <is>
          <t>Cadastre Ofícios próprios para os menus da ficha. Escolha uma base para herdar seus campos ou descreva um Ofício novo; confira os requisitos e avisos antes de usá-lo.</t>
        </is>
      </c>
      <c r="CG4" s="176" t="n"/>
      <c r="CI4" s="176" t="n"/>
      <c r="CJ4" s="180" t="inlineStr">
        <is>
          <t>Defina Famílias próprias e suas características para os conteúdos que as utilizam. Use nomes únicos e confira os avisos. Campos em branco herdam a base escolhida, quando houver.</t>
        </is>
      </c>
      <c r="CX4" s="176" t="n"/>
      <c r="CZ4" s="176" t="n"/>
      <c r="DA4" s="180" t="inlineStr">
        <is>
          <t>Cadastre Melhorias próprias e seus valores. A base do livro fornece os campos deixados em branco; sem base, preencha os campos necessários. Confira os avisos antes de escolher na ficha.</t>
        </is>
      </c>
      <c r="DO4" s="176" t="n"/>
      <c r="DQ4" s="176" t="n"/>
      <c r="DR4" s="180" t="inlineStr">
        <is>
          <t>Cadastre Restrições próprias e suas condições de uso. Deixe em branco os campos que devem herdar a base do livro. A descrição registra a regra; texto livre não cria automação.</t>
        </is>
      </c>
      <c r="EF4" s="176" t="n"/>
      <c r="EH4" s="176" t="n"/>
      <c r="EI4" s="180" t="inlineStr">
        <is>
          <t>Crie Tipos de dano para os menus da ficha. Escolha uma base do livro para herdar seus campos ou preencha os dados próprios. Confira as condições, os avisos e o efeito descrito.</t>
        </is>
      </c>
      <c r="EW4" s="176" t="n"/>
      <c r="EY4" s="176" t="n"/>
      <c r="EZ4" s="180" t="inlineStr">
        <is>
          <t>Cadastre Formas para personagens e entidades. Campos em branco herdam a base do livro. ALC = alcance; P = personagem; E = entidade; os números indicam a Classe ou faixa de Classes. TR = Teste de Resistência. As escadas definem a progressão de alcance e área.</t>
        </is>
      </c>
      <c r="FN4" s="176" t="n"/>
      <c r="FP4" s="176" t="n"/>
      <c r="FQ4" s="180" t="inlineStr">
        <is>
          <t>Crie Aptidões e Bênçãos do personagem escolhendo o tipo e, se desejar, uma base do livro. Campos em branco herdam essa base. Confira os requisitos, o efeito e os avisos do cadastro.</t>
        </is>
      </c>
      <c r="GE4" s="176" t="n"/>
      <c r="GG4" s="176" t="n"/>
      <c r="GH4" s="180" t="inlineStr">
        <is>
          <t>Cadastre Talentos do personagem. Use uma base do livro para herdar os campos em branco ou descreva um Talento próprio; confira os requisitos e avisos. Texto livre não cria automação.</t>
        </is>
      </c>
      <c r="GV4" s="176" t="n"/>
      <c r="GX4" s="176" t="n"/>
      <c r="GY4" s="180" t="inlineStr">
        <is>
          <t>Defina Tipos de entidade para as invocações e demais entidades. Escolha uma base para herdar os campos em branco. PE = pontos de energia; confira os valores, requisitos e avisos.</t>
        </is>
      </c>
      <c r="HM4" s="176" t="n"/>
      <c r="HO4" s="176" t="n"/>
      <c r="HP4" s="180" t="inlineStr">
        <is>
          <t>Cadastre Talentos usados por entidades. Escolha uma base do livro ou preencha os campos próprios e confira os requisitos. PE = pontos de energia; descrições em texto não criam automação.</t>
        </is>
      </c>
      <c r="ID4" s="176" t="n"/>
    </row>
    <row r="5" ht="18" customHeight="1">
      <c r="B5" s="176" t="n"/>
      <c r="C5" s="180" t="inlineStr">
        <is>
          <t>Somar acumula com a conta e o Buff/Debuff. Trocar por fixa o resultado final, inclusive zero.</t>
        </is>
      </c>
      <c r="I5" s="176" t="n"/>
      <c r="J5" s="176" t="n"/>
      <c r="K5" s="179" t="inlineStr">
        <is>
          <t>LISTAS DE CONFIGURAÇÃO</t>
        </is>
      </c>
      <c r="S5" s="176" t="n"/>
      <c r="T5" s="179" t="inlineStr">
        <is>
          <t>CONTEÚDO CUSTOM</t>
        </is>
      </c>
      <c r="Z5" s="176" t="n"/>
      <c r="AA5" s="176" t="n"/>
      <c r="AB5" s="176" t="n"/>
      <c r="AC5" s="176" t="n"/>
      <c r="AD5" s="176" t="n"/>
      <c r="AE5" s="176" t="n"/>
      <c r="AF5" s="176" t="n"/>
      <c r="AG5" s="176" t="n"/>
      <c r="AH5" s="176" t="n"/>
      <c r="AJ5" s="176" t="n"/>
      <c r="AY5" s="176" t="n"/>
      <c r="BA5" s="176" t="n"/>
      <c r="BP5" s="176" t="n"/>
      <c r="BR5" s="176" t="n"/>
      <c r="CG5" s="176" t="n"/>
      <c r="CI5" s="176" t="n"/>
      <c r="CX5" s="176" t="n"/>
      <c r="CZ5" s="176" t="n"/>
      <c r="DO5" s="176" t="n"/>
      <c r="DQ5" s="176" t="n"/>
      <c r="EF5" s="176" t="n"/>
      <c r="EH5" s="176" t="n"/>
      <c r="EW5" s="176" t="n"/>
      <c r="EY5" s="176" t="n"/>
      <c r="FN5" s="176" t="n"/>
      <c r="FP5" s="176" t="n"/>
      <c r="GE5" s="176" t="n"/>
      <c r="GG5" s="176" t="n"/>
      <c r="GV5" s="176" t="n"/>
      <c r="GX5" s="176" t="n"/>
      <c r="HM5" s="176" t="n"/>
      <c r="HO5" s="176" t="n"/>
      <c r="ID5" s="176" t="n"/>
    </row>
    <row r="6" ht="12" customHeight="1">
      <c r="B6" s="176" t="n"/>
      <c r="I6" s="176" t="n"/>
      <c r="J6" s="176" t="n"/>
      <c r="S6" s="176" t="n"/>
      <c r="T6" s="180">
        <f>IF((TEXTJOIN(" · ",TRUE,DADOS_CONFIG!$P$2,DADOS_CONFIG!$T$17,DADOS_CONFIG!$AF$32))="","Livro + custom nos menus. MESTRE VIU é um lembrete; o bot aprova no chat.","⚠ "&amp;(TEXTJOIN(" · ",TRUE,DADOS_CONFIG!$P$2,DADOS_CONFIG!$T$17,DADOS_CONFIG!$AF$32)))</f>
        <v/>
      </c>
      <c r="Z6" s="176" t="n"/>
      <c r="AA6" s="176" t="n"/>
      <c r="AB6" s="176" t="n"/>
      <c r="AC6" s="176" t="n"/>
      <c r="AD6" s="176" t="n"/>
      <c r="AE6" s="176" t="n"/>
      <c r="AF6" s="176" t="n"/>
      <c r="AG6" s="176" t="n"/>
      <c r="AH6" s="176" t="n"/>
      <c r="AJ6" s="176" t="n"/>
      <c r="AY6" s="176" t="n"/>
      <c r="BA6" s="176" t="n"/>
      <c r="BP6" s="176" t="n"/>
      <c r="BR6" s="176" t="n"/>
      <c r="CG6" s="176" t="n"/>
      <c r="CI6" s="176" t="n"/>
      <c r="CX6" s="176" t="n"/>
      <c r="CZ6" s="176" t="n"/>
      <c r="DO6" s="176" t="n"/>
      <c r="DQ6" s="176" t="n"/>
      <c r="EF6" s="176" t="n"/>
      <c r="EH6" s="176" t="n"/>
      <c r="EW6" s="176" t="n"/>
      <c r="EY6" s="176" t="n"/>
      <c r="FN6" s="176" t="n"/>
      <c r="FP6" s="176" t="n"/>
      <c r="GE6" s="176" t="n"/>
      <c r="GG6" s="176" t="n"/>
      <c r="GV6" s="176" t="n"/>
      <c r="GX6" s="176" t="n"/>
      <c r="HM6" s="176" t="n"/>
      <c r="HO6" s="176" t="n"/>
      <c r="ID6" s="176" t="n"/>
    </row>
    <row r="7" ht="15.75" customHeight="1">
      <c r="B7" s="176" t="n"/>
      <c r="C7" s="180">
        <f>COUNTIFS(C11:C40,TRUE)&amp;" ligados de 30"</f>
        <v/>
      </c>
      <c r="I7" s="176" t="n"/>
      <c r="J7" s="176" t="n"/>
      <c r="K7" s="180" t="inlineStr">
        <is>
          <t>Escolha uma lista abaixo e abra o + acima do título com o mesmo número, à direita.</t>
        </is>
      </c>
      <c r="S7" s="176" t="n"/>
      <c r="Z7" s="176" t="n"/>
      <c r="AA7" s="176" t="n"/>
      <c r="AB7" s="176" t="n"/>
      <c r="AC7" s="176" t="n"/>
      <c r="AD7" s="176" t="n"/>
      <c r="AE7" s="176" t="n"/>
      <c r="AF7" s="176" t="n"/>
      <c r="AG7" s="176" t="n"/>
      <c r="AH7" s="176" t="n"/>
      <c r="AJ7" s="176" t="n"/>
      <c r="AY7" s="176" t="n"/>
      <c r="BA7" s="176" t="n"/>
      <c r="BP7" s="176" t="n"/>
      <c r="BR7" s="176" t="n"/>
      <c r="CG7" s="176" t="n"/>
      <c r="CI7" s="176" t="n"/>
      <c r="CX7" s="176" t="n"/>
      <c r="CZ7" s="176" t="n"/>
      <c r="DO7" s="176" t="n"/>
      <c r="DQ7" s="176" t="n"/>
      <c r="EF7" s="176" t="n"/>
      <c r="EH7" s="176" t="n"/>
      <c r="EW7" s="176" t="n"/>
      <c r="EY7" s="176" t="n"/>
      <c r="FN7" s="176" t="n"/>
      <c r="FP7" s="176" t="n"/>
      <c r="GE7" s="176" t="n"/>
      <c r="GG7" s="176" t="n"/>
      <c r="GV7" s="176" t="n"/>
      <c r="GX7" s="176" t="n"/>
      <c r="HM7" s="176" t="n"/>
      <c r="HO7" s="176" t="n"/>
      <c r="ID7" s="176" t="n"/>
    </row>
    <row r="8" ht="15.75" customHeight="1">
      <c r="B8" s="176" t="n"/>
      <c r="C8" s="176" t="n"/>
      <c r="D8" s="176" t="n"/>
      <c r="E8" s="176" t="n"/>
      <c r="F8" s="176" t="n"/>
      <c r="G8" s="176" t="n"/>
      <c r="H8" s="176" t="n"/>
      <c r="I8" s="176" t="n"/>
      <c r="J8" s="176" t="n"/>
      <c r="S8" s="176" t="n"/>
      <c r="T8" s="176" t="n"/>
      <c r="U8" s="176" t="n"/>
      <c r="V8" s="176" t="n"/>
      <c r="W8" s="176" t="n"/>
      <c r="X8" s="176" t="n"/>
      <c r="Y8" s="176" t="n"/>
      <c r="Z8" s="176" t="n"/>
      <c r="AA8" s="176" t="n"/>
      <c r="AB8" s="176" t="n"/>
      <c r="AC8" s="176" t="n"/>
      <c r="AD8" s="176" t="n"/>
      <c r="AE8" s="176" t="n"/>
      <c r="AF8" s="176" t="n"/>
      <c r="AG8" s="176" t="n"/>
      <c r="AH8" s="176" t="n"/>
      <c r="AJ8" s="176" t="n"/>
      <c r="AK8" s="176" t="n"/>
      <c r="AL8" s="176" t="n"/>
      <c r="AM8" s="176" t="n"/>
      <c r="AN8" s="176" t="n"/>
      <c r="AO8" s="176" t="n"/>
      <c r="AP8" s="176" t="n"/>
      <c r="AQ8" s="176" t="n"/>
      <c r="AR8" s="176" t="n"/>
      <c r="AS8" s="176" t="n"/>
      <c r="AT8" s="176" t="n"/>
      <c r="AU8" s="176" t="n"/>
      <c r="AV8" s="176" t="n"/>
      <c r="AW8" s="176" t="n"/>
      <c r="AX8" s="176" t="n"/>
      <c r="AY8" s="176" t="n"/>
      <c r="BA8" s="176" t="n"/>
      <c r="BB8" s="176" t="n"/>
      <c r="BC8" s="176" t="n"/>
      <c r="BD8" s="176" t="n"/>
      <c r="BE8" s="176" t="n"/>
      <c r="BF8" s="176" t="n"/>
      <c r="BG8" s="176" t="n"/>
      <c r="BH8" s="176" t="n"/>
      <c r="BI8" s="176" t="n"/>
      <c r="BJ8" s="176" t="n"/>
      <c r="BK8" s="176" t="n"/>
      <c r="BL8" s="176" t="n"/>
      <c r="BM8" s="176" t="n"/>
      <c r="BN8" s="176" t="n"/>
      <c r="BO8" s="176" t="n"/>
      <c r="BP8" s="176" t="n"/>
      <c r="BR8" s="176" t="n"/>
      <c r="BS8" s="176" t="n"/>
      <c r="BT8" s="176" t="n"/>
      <c r="BU8" s="176" t="n"/>
      <c r="BV8" s="176" t="n"/>
      <c r="BW8" s="176" t="n"/>
      <c r="BX8" s="176" t="n"/>
      <c r="BY8" s="176" t="n"/>
      <c r="BZ8" s="176" t="n"/>
      <c r="CA8" s="176" t="n"/>
      <c r="CB8" s="176" t="n"/>
      <c r="CC8" s="176" t="n"/>
      <c r="CD8" s="176" t="n"/>
      <c r="CE8" s="176" t="n"/>
      <c r="CF8" s="176" t="n"/>
      <c r="CG8" s="176" t="n"/>
      <c r="CI8" s="176" t="n"/>
      <c r="CJ8" s="176" t="n"/>
      <c r="CK8" s="176" t="n"/>
      <c r="CL8" s="176" t="n"/>
      <c r="CM8" s="176" t="n"/>
      <c r="CN8" s="176" t="n"/>
      <c r="CO8" s="176" t="n"/>
      <c r="CP8" s="176" t="n"/>
      <c r="CQ8" s="176" t="n"/>
      <c r="CR8" s="176" t="n"/>
      <c r="CS8" s="176" t="n"/>
      <c r="CT8" s="176" t="n"/>
      <c r="CU8" s="176" t="n"/>
      <c r="CV8" s="176" t="n"/>
      <c r="CW8" s="176" t="n"/>
      <c r="CX8" s="176" t="n"/>
      <c r="CZ8" s="176" t="n"/>
      <c r="DA8" s="176" t="n"/>
      <c r="DB8" s="176" t="n"/>
      <c r="DC8" s="176" t="n"/>
      <c r="DD8" s="176" t="n"/>
      <c r="DE8" s="176" t="n"/>
      <c r="DF8" s="176" t="n"/>
      <c r="DG8" s="176" t="n"/>
      <c r="DH8" s="176" t="n"/>
      <c r="DI8" s="176" t="n"/>
      <c r="DJ8" s="176" t="n"/>
      <c r="DK8" s="176" t="n"/>
      <c r="DL8" s="176" t="n"/>
      <c r="DM8" s="176" t="n"/>
      <c r="DN8" s="176" t="n"/>
      <c r="DO8" s="176" t="n"/>
      <c r="DQ8" s="176" t="n"/>
      <c r="DR8" s="176" t="n"/>
      <c r="DS8" s="176" t="n"/>
      <c r="DT8" s="176" t="n"/>
      <c r="DU8" s="176" t="n"/>
      <c r="DV8" s="176" t="n"/>
      <c r="DW8" s="176" t="n"/>
      <c r="DX8" s="176" t="n"/>
      <c r="DY8" s="176" t="n"/>
      <c r="DZ8" s="176" t="n"/>
      <c r="EA8" s="176" t="n"/>
      <c r="EB8" s="176" t="n"/>
      <c r="EC8" s="176" t="n"/>
      <c r="ED8" s="176" t="n"/>
      <c r="EE8" s="176" t="n"/>
      <c r="EF8" s="176" t="n"/>
      <c r="EH8" s="176" t="n"/>
      <c r="EI8" s="176" t="n"/>
      <c r="EJ8" s="176" t="n"/>
      <c r="EK8" s="176" t="n"/>
      <c r="EL8" s="176" t="n"/>
      <c r="EM8" s="176" t="n"/>
      <c r="EN8" s="176" t="n"/>
      <c r="EO8" s="176" t="n"/>
      <c r="EP8" s="176" t="n"/>
      <c r="EQ8" s="176" t="n"/>
      <c r="ER8" s="176" t="n"/>
      <c r="ES8" s="176" t="n"/>
      <c r="ET8" s="176" t="n"/>
      <c r="EU8" s="176" t="n"/>
      <c r="EV8" s="176" t="n"/>
      <c r="EW8" s="176" t="n"/>
      <c r="EY8" s="176" t="n"/>
      <c r="EZ8" s="176" t="n"/>
      <c r="FA8" s="176" t="n"/>
      <c r="FB8" s="176" t="n"/>
      <c r="FC8" s="176" t="n"/>
      <c r="FD8" s="176" t="n"/>
      <c r="FE8" s="176" t="n"/>
      <c r="FF8" s="176" t="n"/>
      <c r="FG8" s="176" t="n"/>
      <c r="FH8" s="176" t="n"/>
      <c r="FI8" s="176" t="n"/>
      <c r="FJ8" s="176" t="n"/>
      <c r="FK8" s="176" t="n"/>
      <c r="FL8" s="176" t="n"/>
      <c r="FM8" s="176" t="n"/>
      <c r="FN8" s="176" t="n"/>
      <c r="FP8" s="176" t="n"/>
      <c r="FQ8" s="176" t="n"/>
      <c r="FR8" s="176" t="n"/>
      <c r="FS8" s="176" t="n"/>
      <c r="FT8" s="176" t="n"/>
      <c r="FU8" s="176" t="n"/>
      <c r="FV8" s="176" t="n"/>
      <c r="FW8" s="176" t="n"/>
      <c r="FX8" s="176" t="n"/>
      <c r="FY8" s="176" t="n"/>
      <c r="FZ8" s="176" t="n"/>
      <c r="GA8" s="176" t="n"/>
      <c r="GB8" s="176" t="n"/>
      <c r="GC8" s="176" t="n"/>
      <c r="GD8" s="176" t="n"/>
      <c r="GE8" s="176" t="n"/>
      <c r="GG8" s="176" t="n"/>
      <c r="GH8" s="176" t="n"/>
      <c r="GI8" s="176" t="n"/>
      <c r="GJ8" s="176" t="n"/>
      <c r="GK8" s="176" t="n"/>
      <c r="GL8" s="176" t="n"/>
      <c r="GM8" s="176" t="n"/>
      <c r="GN8" s="176" t="n"/>
      <c r="GO8" s="176" t="n"/>
      <c r="GP8" s="176" t="n"/>
      <c r="GQ8" s="176" t="n"/>
      <c r="GR8" s="176" t="n"/>
      <c r="GS8" s="176" t="n"/>
      <c r="GT8" s="176" t="n"/>
      <c r="GU8" s="176" t="n"/>
      <c r="GV8" s="176" t="n"/>
      <c r="GX8" s="176" t="n"/>
      <c r="GY8" s="176" t="n"/>
      <c r="GZ8" s="176" t="n"/>
      <c r="HA8" s="176" t="n"/>
      <c r="HB8" s="176" t="n"/>
      <c r="HC8" s="176" t="n"/>
      <c r="HD8" s="176" t="n"/>
      <c r="HE8" s="176" t="n"/>
      <c r="HF8" s="176" t="n"/>
      <c r="HG8" s="176" t="n"/>
      <c r="HH8" s="176" t="n"/>
      <c r="HI8" s="176" t="n"/>
      <c r="HJ8" s="176" t="n"/>
      <c r="HK8" s="176" t="n"/>
      <c r="HL8" s="176" t="n"/>
      <c r="HM8" s="176" t="n"/>
      <c r="HO8" s="176" t="n"/>
      <c r="HP8" s="176" t="n"/>
      <c r="HQ8" s="176" t="n"/>
      <c r="HR8" s="176" t="n"/>
      <c r="HS8" s="176" t="n"/>
      <c r="HT8" s="176" t="n"/>
      <c r="HU8" s="176" t="n"/>
      <c r="HV8" s="176" t="n"/>
      <c r="HW8" s="176" t="n"/>
      <c r="HX8" s="176" t="n"/>
      <c r="HY8" s="176" t="n"/>
      <c r="HZ8" s="176" t="n"/>
      <c r="IA8" s="176" t="n"/>
      <c r="IB8" s="176" t="n"/>
      <c r="IC8" s="176" t="n"/>
      <c r="ID8" s="176" t="n"/>
    </row>
    <row r="9" ht="18.75" customHeight="1">
      <c r="B9" s="176" t="n"/>
      <c r="C9" s="179" t="inlineStr">
        <is>
          <t>BÔNUS E MUDANÇAS</t>
        </is>
      </c>
      <c r="I9" s="176" t="n"/>
      <c r="J9" s="176" t="n"/>
      <c r="S9" s="176" t="n"/>
      <c r="T9" s="176" t="n"/>
      <c r="U9" s="176" t="n"/>
      <c r="V9" s="176" t="n"/>
      <c r="W9" s="176" t="n"/>
      <c r="X9" s="176" t="n"/>
      <c r="Y9" s="176" t="n"/>
      <c r="Z9" s="176" t="n"/>
      <c r="AA9" s="176" t="n"/>
      <c r="AB9" s="176" t="n"/>
      <c r="AC9" s="176" t="n"/>
      <c r="AD9" s="176" t="n"/>
      <c r="AE9" s="176" t="n"/>
      <c r="AF9" s="176" t="n"/>
      <c r="AG9" s="176" t="n"/>
      <c r="AH9" s="176" t="n"/>
      <c r="AJ9" s="176" t="n"/>
      <c r="AK9" s="179" t="inlineStr">
        <is>
          <t>CAMINHO · CUSTOM</t>
        </is>
      </c>
      <c r="AQ9" s="176" t="n"/>
      <c r="AR9" s="176" t="n"/>
      <c r="AS9" s="179" t="inlineStr">
        <is>
          <t>TRILHA · CUSTOM</t>
        </is>
      </c>
      <c r="AY9" s="176" t="n"/>
      <c r="BA9" s="176" t="n"/>
      <c r="BB9" s="179" t="inlineStr">
        <is>
          <t>PERÍCIA 1 · CUSTOM</t>
        </is>
      </c>
      <c r="BH9" s="176" t="n"/>
      <c r="BI9" s="176" t="n"/>
      <c r="BJ9" s="179" t="inlineStr">
        <is>
          <t>PERÍCIA 2 · CUSTOM</t>
        </is>
      </c>
      <c r="BP9" s="176" t="n"/>
      <c r="BR9" s="176" t="n"/>
      <c r="BS9" s="179" t="inlineStr">
        <is>
          <t>OFÍCIO 1 · CUSTOM</t>
        </is>
      </c>
      <c r="BY9" s="176" t="n"/>
      <c r="BZ9" s="176" t="n"/>
      <c r="CA9" s="179" t="inlineStr">
        <is>
          <t>OFÍCIO 2 · CUSTOM</t>
        </is>
      </c>
      <c r="CG9" s="176" t="n"/>
      <c r="CI9" s="176" t="n"/>
      <c r="CJ9" s="179" t="inlineStr">
        <is>
          <t>FAMÍLIAS CUSTOM</t>
        </is>
      </c>
      <c r="CX9" s="176" t="n"/>
      <c r="CZ9" s="176" t="n"/>
      <c r="DA9" s="179" t="inlineStr">
        <is>
          <t>MELHORIAS CUSTOM</t>
        </is>
      </c>
      <c r="DO9" s="176" t="n"/>
      <c r="DQ9" s="176" t="n"/>
      <c r="DR9" s="179" t="inlineStr">
        <is>
          <t>RESTRIÇÕES CUSTOM</t>
        </is>
      </c>
      <c r="EF9" s="176" t="n"/>
      <c r="EH9" s="176" t="n"/>
      <c r="EI9" s="179" t="inlineStr">
        <is>
          <t>TIPOS DE DANO CUSTOM</t>
        </is>
      </c>
      <c r="EW9" s="176" t="n"/>
      <c r="EY9" s="176" t="n"/>
      <c r="EZ9" s="179" t="inlineStr">
        <is>
          <t>FORMAS CUSTOM</t>
        </is>
      </c>
      <c r="FN9" s="176" t="n"/>
      <c r="FP9" s="176" t="n"/>
      <c r="FQ9" s="179" t="inlineStr">
        <is>
          <t>APTIDÕES / BÊNÇÃOS CUSTOM</t>
        </is>
      </c>
      <c r="GE9" s="176" t="n"/>
      <c r="GG9" s="176" t="n"/>
      <c r="GH9" s="179" t="inlineStr">
        <is>
          <t>TALENTOS CUSTOM</t>
        </is>
      </c>
      <c r="GV9" s="176" t="n"/>
      <c r="GX9" s="176" t="n"/>
      <c r="GY9" s="179" t="inlineStr">
        <is>
          <t>ENTIDADES CUSTOM · TIPOS</t>
        </is>
      </c>
      <c r="HM9" s="176" t="n"/>
      <c r="HO9" s="176" t="n"/>
      <c r="HP9" s="179" t="inlineStr">
        <is>
          <t>ENTIDADES CUSTOM · TALENTOS</t>
        </is>
      </c>
      <c r="ID9" s="176" t="n"/>
    </row>
    <row r="10" ht="24" customHeight="1">
      <c r="A10" s="176" t="n"/>
      <c r="B10" s="176" t="n"/>
      <c r="C10" s="181" t="inlineStr">
        <is>
          <t>LIGADO</t>
        </is>
      </c>
      <c r="D10" s="181" t="inlineStr">
        <is>
          <t>CAIXA</t>
        </is>
      </c>
      <c r="E10" s="181" t="inlineStr">
        <is>
          <t>COMO</t>
        </is>
      </c>
      <c r="F10" s="181" t="inlineStr">
        <is>
          <t>VALOR</t>
        </is>
      </c>
      <c r="G10" s="181" t="inlineStr">
        <is>
          <t>TIPO DE FONTE</t>
        </is>
      </c>
      <c r="H10" s="181" t="inlineStr">
        <is>
          <t>FONTE</t>
        </is>
      </c>
      <c r="I10" s="176" t="n"/>
      <c r="J10" s="176" t="n"/>
      <c r="K10" s="176" t="n"/>
      <c r="L10" s="176" t="n"/>
      <c r="M10" s="176" t="n"/>
      <c r="N10" s="176" t="n"/>
      <c r="O10" s="176" t="n"/>
      <c r="P10" s="176" t="n"/>
      <c r="Q10" s="176" t="n"/>
      <c r="R10" s="176" t="n"/>
      <c r="S10" s="176" t="n"/>
      <c r="T10" s="176" t="n"/>
      <c r="U10" s="176" t="n"/>
      <c r="V10" s="176" t="n"/>
      <c r="W10" s="176" t="n"/>
      <c r="X10" s="176" t="n"/>
      <c r="Y10" s="176" t="n"/>
      <c r="Z10" s="176" t="n"/>
      <c r="AA10" s="176" t="n"/>
      <c r="AB10" s="176" t="n"/>
      <c r="AC10" s="176" t="n"/>
      <c r="AD10" s="176" t="n"/>
      <c r="AE10" s="176" t="n"/>
      <c r="AF10" s="176" t="n"/>
      <c r="AG10" s="176" t="n"/>
      <c r="AH10" s="176" t="n"/>
      <c r="AI10" s="176" t="n"/>
      <c r="AJ10" s="176" t="n"/>
      <c r="AK10" s="181" t="inlineStr">
        <is>
          <t>TIPO</t>
        </is>
      </c>
      <c r="AL10" s="182" t="n"/>
      <c r="AM10" s="182" t="n"/>
      <c r="AN10" s="183" t="n"/>
      <c r="AO10" s="181" t="inlineStr">
        <is>
          <t>MESTRE VIU</t>
        </is>
      </c>
      <c r="AP10" s="183" t="n"/>
      <c r="AQ10" s="176" t="n"/>
      <c r="AR10" s="176" t="n"/>
      <c r="AS10" s="181" t="inlineStr">
        <is>
          <t>TIPO</t>
        </is>
      </c>
      <c r="AT10" s="182" t="n"/>
      <c r="AU10" s="182" t="n"/>
      <c r="AV10" s="183" t="n"/>
      <c r="AW10" s="181" t="inlineStr">
        <is>
          <t>MESTRE VIU</t>
        </is>
      </c>
      <c r="AX10" s="183" t="n"/>
      <c r="AY10" s="176" t="n"/>
      <c r="AZ10" s="176" t="n"/>
      <c r="BA10" s="176" t="n"/>
      <c r="BB10" s="181" t="inlineStr">
        <is>
          <t>TIPO</t>
        </is>
      </c>
      <c r="BC10" s="182" t="n"/>
      <c r="BD10" s="182" t="n"/>
      <c r="BE10" s="183" t="n"/>
      <c r="BF10" s="181" t="inlineStr">
        <is>
          <t>MESTRE VIU</t>
        </is>
      </c>
      <c r="BG10" s="183" t="n"/>
      <c r="BH10" s="176" t="n"/>
      <c r="BI10" s="176" t="n"/>
      <c r="BJ10" s="181" t="inlineStr">
        <is>
          <t>TIPO</t>
        </is>
      </c>
      <c r="BK10" s="182" t="n"/>
      <c r="BL10" s="182" t="n"/>
      <c r="BM10" s="183" t="n"/>
      <c r="BN10" s="181" t="inlineStr">
        <is>
          <t>MESTRE VIU</t>
        </is>
      </c>
      <c r="BO10" s="183" t="n"/>
      <c r="BP10" s="176" t="n"/>
      <c r="BQ10" s="176" t="n"/>
      <c r="BR10" s="176" t="n"/>
      <c r="BS10" s="181" t="inlineStr">
        <is>
          <t>TIPO</t>
        </is>
      </c>
      <c r="BT10" s="182" t="n"/>
      <c r="BU10" s="182" t="n"/>
      <c r="BV10" s="183" t="n"/>
      <c r="BW10" s="181" t="inlineStr">
        <is>
          <t>MESTRE VIU</t>
        </is>
      </c>
      <c r="BX10" s="183" t="n"/>
      <c r="BY10" s="176" t="n"/>
      <c r="BZ10" s="176" t="n"/>
      <c r="CA10" s="181" t="inlineStr">
        <is>
          <t>TIPO</t>
        </is>
      </c>
      <c r="CB10" s="182" t="n"/>
      <c r="CC10" s="182" t="n"/>
      <c r="CD10" s="183" t="n"/>
      <c r="CE10" s="181" t="inlineStr">
        <is>
          <t>MESTRE VIU</t>
        </is>
      </c>
      <c r="CF10" s="183" t="n"/>
      <c r="CG10" s="176" t="n"/>
      <c r="CH10" s="176" t="n"/>
      <c r="CI10" s="176" t="n"/>
      <c r="CJ10" s="176" t="n"/>
      <c r="CK10" s="176" t="n"/>
      <c r="CL10" s="176" t="n"/>
      <c r="CM10" s="176" t="n"/>
      <c r="CN10" s="176" t="n"/>
      <c r="CO10" s="176" t="n"/>
      <c r="CP10" s="176" t="n"/>
      <c r="CQ10" s="176" t="n"/>
      <c r="CR10" s="176" t="n"/>
      <c r="CS10" s="176" t="n"/>
      <c r="CT10" s="176" t="n"/>
      <c r="CU10" s="176" t="n"/>
      <c r="CV10" s="176" t="n"/>
      <c r="CW10" s="176" t="n"/>
      <c r="CX10" s="176" t="n"/>
      <c r="CY10" s="176" t="n"/>
      <c r="CZ10" s="176" t="n"/>
      <c r="DA10" s="176" t="n"/>
      <c r="DB10" s="176" t="n"/>
      <c r="DC10" s="176" t="n"/>
      <c r="DD10" s="176" t="n"/>
      <c r="DE10" s="176" t="n"/>
      <c r="DF10" s="176" t="n"/>
      <c r="DG10" s="176" t="n"/>
      <c r="DH10" s="176" t="n"/>
      <c r="DI10" s="176" t="n"/>
      <c r="DJ10" s="176" t="n"/>
      <c r="DK10" s="176" t="n"/>
      <c r="DL10" s="176" t="n"/>
      <c r="DM10" s="176" t="n"/>
      <c r="DN10" s="176" t="n"/>
      <c r="DO10" s="176" t="n"/>
      <c r="DP10" s="176" t="n"/>
      <c r="DQ10" s="176" t="n"/>
      <c r="DR10" s="176" t="n"/>
      <c r="DS10" s="176" t="n"/>
      <c r="DT10" s="176" t="n"/>
      <c r="DU10" s="176" t="n"/>
      <c r="DV10" s="176" t="n"/>
      <c r="DW10" s="176" t="n"/>
      <c r="DX10" s="176" t="n"/>
      <c r="DY10" s="176" t="n"/>
      <c r="DZ10" s="176" t="n"/>
      <c r="EA10" s="176" t="n"/>
      <c r="EB10" s="176" t="n"/>
      <c r="EC10" s="176" t="n"/>
      <c r="ED10" s="176" t="n"/>
      <c r="EE10" s="176" t="n"/>
      <c r="EF10" s="176" t="n"/>
      <c r="EG10" s="176" t="n"/>
      <c r="EH10" s="176" t="n"/>
      <c r="EI10" s="176" t="n"/>
      <c r="EJ10" s="176" t="n"/>
      <c r="EK10" s="176" t="n"/>
      <c r="EL10" s="176" t="n"/>
      <c r="EM10" s="176" t="n"/>
      <c r="EN10" s="176" t="n"/>
      <c r="EO10" s="176" t="n"/>
      <c r="EP10" s="176" t="n"/>
      <c r="EQ10" s="176" t="n"/>
      <c r="ER10" s="176" t="n"/>
      <c r="ES10" s="176" t="n"/>
      <c r="ET10" s="176" t="n"/>
      <c r="EU10" s="176" t="n"/>
      <c r="EV10" s="176" t="n"/>
      <c r="EW10" s="176" t="n"/>
      <c r="EX10" s="176" t="n"/>
      <c r="EY10" s="176" t="n"/>
      <c r="EZ10" s="176" t="n"/>
      <c r="FA10" s="176" t="n"/>
      <c r="FB10" s="176" t="n"/>
      <c r="FC10" s="176" t="n"/>
      <c r="FD10" s="176" t="n"/>
      <c r="FE10" s="176" t="n"/>
      <c r="FF10" s="176" t="n"/>
      <c r="FG10" s="176" t="n"/>
      <c r="FH10" s="176" t="n"/>
      <c r="FI10" s="176" t="n"/>
      <c r="FJ10" s="176" t="n"/>
      <c r="FK10" s="176" t="n"/>
      <c r="FL10" s="176" t="n"/>
      <c r="FM10" s="176" t="n"/>
      <c r="FN10" s="176" t="n"/>
      <c r="FO10" s="176" t="n"/>
      <c r="FP10" s="176" t="n"/>
      <c r="FQ10" s="176" t="n"/>
      <c r="FR10" s="176" t="n"/>
      <c r="FS10" s="176" t="n"/>
      <c r="FT10" s="176" t="n"/>
      <c r="FU10" s="176" t="n"/>
      <c r="FV10" s="176" t="n"/>
      <c r="FW10" s="176" t="n"/>
      <c r="FX10" s="176" t="n"/>
      <c r="FY10" s="176" t="n"/>
      <c r="FZ10" s="176" t="n"/>
      <c r="GA10" s="176" t="n"/>
      <c r="GB10" s="176" t="n"/>
      <c r="GC10" s="176" t="n"/>
      <c r="GD10" s="176" t="n"/>
      <c r="GE10" s="176" t="n"/>
      <c r="GF10" s="176" t="n"/>
      <c r="GG10" s="176" t="n"/>
      <c r="GH10" s="176" t="n"/>
      <c r="GI10" s="176" t="n"/>
      <c r="GJ10" s="176" t="n"/>
      <c r="GK10" s="176" t="n"/>
      <c r="GL10" s="176" t="n"/>
      <c r="GM10" s="176" t="n"/>
      <c r="GN10" s="176" t="n"/>
      <c r="GO10" s="176" t="n"/>
      <c r="GP10" s="176" t="n"/>
      <c r="GQ10" s="176" t="n"/>
      <c r="GR10" s="176" t="n"/>
      <c r="GS10" s="176" t="n"/>
      <c r="GT10" s="176" t="n"/>
      <c r="GU10" s="176" t="n"/>
      <c r="GV10" s="176" t="n"/>
      <c r="GW10" s="176" t="n"/>
      <c r="GX10" s="176" t="n"/>
      <c r="GY10" s="176" t="n"/>
      <c r="GZ10" s="176" t="n"/>
      <c r="HA10" s="176" t="n"/>
      <c r="HB10" s="176" t="n"/>
      <c r="HC10" s="176" t="n"/>
      <c r="HD10" s="176" t="n"/>
      <c r="HE10" s="176" t="n"/>
      <c r="HF10" s="176" t="n"/>
      <c r="HG10" s="176" t="n"/>
      <c r="HH10" s="176" t="n"/>
      <c r="HI10" s="176" t="n"/>
      <c r="HJ10" s="176" t="n"/>
      <c r="HK10" s="176" t="n"/>
      <c r="HL10" s="176" t="n"/>
      <c r="HM10" s="176" t="n"/>
      <c r="HN10" s="176" t="n"/>
      <c r="HO10" s="176" t="n"/>
      <c r="HP10" s="176" t="n"/>
      <c r="HQ10" s="176" t="n"/>
      <c r="HR10" s="176" t="n"/>
      <c r="HS10" s="176" t="n"/>
      <c r="HT10" s="176" t="n"/>
      <c r="HU10" s="176" t="n"/>
      <c r="HV10" s="176" t="n"/>
      <c r="HW10" s="176" t="n"/>
      <c r="HX10" s="176" t="n"/>
      <c r="HY10" s="176" t="n"/>
      <c r="HZ10" s="176" t="n"/>
      <c r="IA10" s="176" t="n"/>
      <c r="IB10" s="176" t="n"/>
      <c r="IC10" s="176" t="n"/>
      <c r="ID10" s="176" t="n"/>
    </row>
    <row r="11" ht="31.5" customHeight="1">
      <c r="A11" s="176" t="n"/>
      <c r="B11" s="176" t="n"/>
      <c r="C11" s="184" t="b">
        <v>0</v>
      </c>
      <c r="D11" s="185" t="n"/>
      <c r="E11" s="185" t="n"/>
      <c r="F11" s="186" t="n"/>
      <c r="G11" s="185" t="n"/>
      <c r="H11" s="185" t="n"/>
      <c r="I11" s="176" t="n"/>
      <c r="J11" s="176" t="n"/>
      <c r="K11" s="185" t="inlineStr">
        <is>
          <t>01 · Cadastros gerais</t>
        </is>
      </c>
      <c r="L11" s="187" t="n"/>
      <c r="M11" s="187" t="n"/>
      <c r="N11" s="188" t="n"/>
      <c r="O11" s="185" t="inlineStr">
        <is>
          <t>02 · Caminho e Trilha</t>
        </is>
      </c>
      <c r="P11" s="187" t="n"/>
      <c r="Q11" s="188" t="n"/>
      <c r="R11" s="176" t="n"/>
      <c r="S11" s="176" t="n"/>
      <c r="T11" s="176" t="n"/>
      <c r="U11" s="176" t="n"/>
      <c r="V11" s="176" t="n"/>
      <c r="W11" s="176" t="n"/>
      <c r="X11" s="176" t="n"/>
      <c r="Y11" s="176" t="n"/>
      <c r="Z11" s="176" t="n"/>
      <c r="AA11" s="176" t="n"/>
      <c r="AB11" s="176" t="n"/>
      <c r="AC11" s="176" t="n"/>
      <c r="AD11" s="176" t="n"/>
      <c r="AE11" s="176" t="n"/>
      <c r="AF11" s="176" t="n"/>
      <c r="AG11" s="176" t="n"/>
      <c r="AH11" s="176" t="n"/>
      <c r="AI11" s="176" t="n"/>
      <c r="AJ11" s="176" t="n"/>
      <c r="AK11" s="185" t="inlineStr">
        <is>
          <t>Caminho</t>
        </is>
      </c>
      <c r="AL11" s="182" t="n"/>
      <c r="AM11" s="182" t="n"/>
      <c r="AN11" s="183" t="n"/>
      <c r="AO11" s="184" t="b">
        <v>0</v>
      </c>
      <c r="AP11" s="183" t="n"/>
      <c r="AQ11" s="176" t="n"/>
      <c r="AR11" s="176" t="n"/>
      <c r="AS11" s="185" t="inlineStr">
        <is>
          <t>Trilha</t>
        </is>
      </c>
      <c r="AT11" s="182" t="n"/>
      <c r="AU11" s="182" t="n"/>
      <c r="AV11" s="183" t="n"/>
      <c r="AW11" s="184" t="b">
        <v>0</v>
      </c>
      <c r="AX11" s="183" t="n"/>
      <c r="AY11" s="176" t="n"/>
      <c r="AZ11" s="176" t="n"/>
      <c r="BA11" s="176" t="n"/>
      <c r="BB11" s="185" t="inlineStr">
        <is>
          <t>Perícia</t>
        </is>
      </c>
      <c r="BC11" s="182" t="n"/>
      <c r="BD11" s="182" t="n"/>
      <c r="BE11" s="183" t="n"/>
      <c r="BF11" s="184" t="b">
        <v>0</v>
      </c>
      <c r="BG11" s="183" t="n"/>
      <c r="BH11" s="176" t="n"/>
      <c r="BI11" s="176" t="n"/>
      <c r="BJ11" s="185" t="inlineStr">
        <is>
          <t>Perícia</t>
        </is>
      </c>
      <c r="BK11" s="182" t="n"/>
      <c r="BL11" s="182" t="n"/>
      <c r="BM11" s="183" t="n"/>
      <c r="BN11" s="184" t="b">
        <v>0</v>
      </c>
      <c r="BO11" s="183" t="n"/>
      <c r="BP11" s="176" t="n"/>
      <c r="BQ11" s="176" t="n"/>
      <c r="BR11" s="176" t="n"/>
      <c r="BS11" s="185" t="inlineStr">
        <is>
          <t>Ofício</t>
        </is>
      </c>
      <c r="BT11" s="182" t="n"/>
      <c r="BU11" s="182" t="n"/>
      <c r="BV11" s="183" t="n"/>
      <c r="BW11" s="184" t="b">
        <v>0</v>
      </c>
      <c r="BX11" s="183" t="n"/>
      <c r="BY11" s="176" t="n"/>
      <c r="BZ11" s="176" t="n"/>
      <c r="CA11" s="185" t="inlineStr">
        <is>
          <t>Ofício</t>
        </is>
      </c>
      <c r="CB11" s="182" t="n"/>
      <c r="CC11" s="182" t="n"/>
      <c r="CD11" s="183" t="n"/>
      <c r="CE11" s="184" t="b">
        <v>0</v>
      </c>
      <c r="CF11" s="183" t="n"/>
      <c r="CG11" s="176" t="n"/>
      <c r="CH11" s="176" t="n"/>
      <c r="CI11" s="176" t="n"/>
      <c r="CJ11" s="179" t="inlineStr">
        <is>
          <t>FAMÍLIA · 1</t>
        </is>
      </c>
      <c r="CP11" s="176" t="n"/>
      <c r="CQ11" s="176" t="n"/>
      <c r="CR11" s="179" t="inlineStr">
        <is>
          <t>FAMÍLIA · 2</t>
        </is>
      </c>
      <c r="CX11" s="176" t="n"/>
      <c r="CY11" s="176" t="n"/>
      <c r="CZ11" s="176" t="n"/>
      <c r="DA11" s="179" t="inlineStr">
        <is>
          <t>MELHORIA · 1</t>
        </is>
      </c>
      <c r="DG11" s="176" t="n"/>
      <c r="DH11" s="176" t="n"/>
      <c r="DI11" s="179" t="inlineStr">
        <is>
          <t>MELHORIA · 2</t>
        </is>
      </c>
      <c r="DO11" s="176" t="n"/>
      <c r="DP11" s="176" t="n"/>
      <c r="DQ11" s="176" t="n"/>
      <c r="DR11" s="179" t="inlineStr">
        <is>
          <t>RESTRIÇÃO · 1</t>
        </is>
      </c>
      <c r="DX11" s="176" t="n"/>
      <c r="DY11" s="176" t="n"/>
      <c r="DZ11" s="179" t="inlineStr">
        <is>
          <t>RESTRIÇÃO · 2</t>
        </is>
      </c>
      <c r="EF11" s="176" t="n"/>
      <c r="EG11" s="176" t="n"/>
      <c r="EH11" s="176" t="n"/>
      <c r="EI11" s="179" t="inlineStr">
        <is>
          <t>TIPO DE DANO · 1</t>
        </is>
      </c>
      <c r="EO11" s="176" t="n"/>
      <c r="EP11" s="176" t="n"/>
      <c r="EQ11" s="179" t="inlineStr">
        <is>
          <t>TIPO DE DANO · 2</t>
        </is>
      </c>
      <c r="EW11" s="176" t="n"/>
      <c r="EX11" s="176" t="n"/>
      <c r="EY11" s="176" t="n"/>
      <c r="EZ11" s="176" t="n"/>
      <c r="FA11" s="176" t="n"/>
      <c r="FB11" s="176" t="n"/>
      <c r="FC11" s="176" t="n"/>
      <c r="FD11" s="176" t="n"/>
      <c r="FE11" s="176" t="n"/>
      <c r="FF11" s="176" t="n"/>
      <c r="FG11" s="176" t="n"/>
      <c r="FH11" s="176" t="n"/>
      <c r="FI11" s="176" t="n"/>
      <c r="FJ11" s="176" t="n"/>
      <c r="FK11" s="176" t="n"/>
      <c r="FL11" s="176" t="n"/>
      <c r="FM11" s="176" t="n"/>
      <c r="FN11" s="176" t="n"/>
      <c r="FO11" s="176" t="n"/>
      <c r="FP11" s="176" t="n"/>
      <c r="FQ11" s="176" t="n"/>
      <c r="FR11" s="176" t="n"/>
      <c r="FS11" s="176" t="n"/>
      <c r="FT11" s="176" t="n"/>
      <c r="FU11" s="176" t="n"/>
      <c r="FV11" s="176" t="n"/>
      <c r="FW11" s="176" t="n"/>
      <c r="FX11" s="176" t="n"/>
      <c r="FY11" s="176" t="n"/>
      <c r="FZ11" s="176" t="n"/>
      <c r="GA11" s="176" t="n"/>
      <c r="GB11" s="176" t="n"/>
      <c r="GC11" s="176" t="n"/>
      <c r="GD11" s="176" t="n"/>
      <c r="GE11" s="176" t="n"/>
      <c r="GF11" s="176" t="n"/>
      <c r="GG11" s="176" t="n"/>
      <c r="GH11" s="176" t="n"/>
      <c r="GI11" s="176" t="n"/>
      <c r="GJ11" s="176" t="n"/>
      <c r="GK11" s="176" t="n"/>
      <c r="GL11" s="176" t="n"/>
      <c r="GM11" s="176" t="n"/>
      <c r="GN11" s="176" t="n"/>
      <c r="GO11" s="176" t="n"/>
      <c r="GP11" s="176" t="n"/>
      <c r="GQ11" s="176" t="n"/>
      <c r="GR11" s="176" t="n"/>
      <c r="GS11" s="176" t="n"/>
      <c r="GT11" s="176" t="n"/>
      <c r="GU11" s="176" t="n"/>
      <c r="GV11" s="176" t="n"/>
      <c r="GW11" s="176" t="n"/>
      <c r="GX11" s="176" t="n"/>
      <c r="GY11" s="179" t="inlineStr">
        <is>
          <t>TIPO DE ENTIDADE · 1</t>
        </is>
      </c>
      <c r="HE11" s="176" t="n"/>
      <c r="HF11" s="176" t="n"/>
      <c r="HG11" s="179" t="inlineStr">
        <is>
          <t>TIPO DE ENTIDADE · 2</t>
        </is>
      </c>
      <c r="HM11" s="176" t="n"/>
      <c r="HN11" s="176" t="n"/>
      <c r="HO11" s="176" t="n"/>
      <c r="HP11" s="179" t="inlineStr">
        <is>
          <t>TALENTO · ENTIDADE · 1</t>
        </is>
      </c>
      <c r="HV11" s="176" t="n"/>
      <c r="HW11" s="176" t="n"/>
      <c r="HX11" s="179" t="inlineStr">
        <is>
          <t>TALENTO · ENTIDADE · 2</t>
        </is>
      </c>
      <c r="ID11" s="176" t="n"/>
    </row>
    <row r="12" ht="31.5" customHeight="1">
      <c r="A12" s="176" t="n"/>
      <c r="B12" s="176" t="n"/>
      <c r="C12" s="184" t="b">
        <v>0</v>
      </c>
      <c r="D12" s="185" t="n"/>
      <c r="E12" s="185" t="n"/>
      <c r="F12" s="186" t="n"/>
      <c r="G12" s="185" t="n"/>
      <c r="H12" s="185" t="n"/>
      <c r="I12" s="176" t="n"/>
      <c r="J12" s="176" t="n"/>
      <c r="K12" s="189" t="n"/>
      <c r="L12" s="190" t="n"/>
      <c r="M12" s="190" t="n"/>
      <c r="N12" s="191" t="n"/>
      <c r="O12" s="189" t="n"/>
      <c r="P12" s="190" t="n"/>
      <c r="Q12" s="191" t="n"/>
      <c r="R12" s="176" t="n"/>
      <c r="S12" s="176" t="n"/>
      <c r="T12" s="179" t="inlineStr">
        <is>
          <t>CARTÃO 1 · CUSTOM</t>
        </is>
      </c>
      <c r="Z12" s="176" t="n"/>
      <c r="AA12" s="176" t="n"/>
      <c r="AB12" s="179" t="inlineStr">
        <is>
          <t>CARTÃO 2 · CUSTOM</t>
        </is>
      </c>
      <c r="AH12" s="176" t="n"/>
      <c r="AI12" s="176" t="n"/>
      <c r="AJ12" s="176" t="n"/>
      <c r="AK12" s="181" t="inlineStr">
        <is>
          <t>NOME</t>
        </is>
      </c>
      <c r="AL12" s="182" t="n"/>
      <c r="AM12" s="182" t="n"/>
      <c r="AN12" s="182" t="n"/>
      <c r="AO12" s="182" t="n"/>
      <c r="AP12" s="183" t="n"/>
      <c r="AQ12" s="176" t="n"/>
      <c r="AR12" s="176" t="n"/>
      <c r="AS12" s="181" t="inlineStr">
        <is>
          <t>NOME</t>
        </is>
      </c>
      <c r="AT12" s="182" t="n"/>
      <c r="AU12" s="182" t="n"/>
      <c r="AV12" s="182" t="n"/>
      <c r="AW12" s="182" t="n"/>
      <c r="AX12" s="183" t="n"/>
      <c r="AY12" s="176" t="n"/>
      <c r="AZ12" s="176" t="n"/>
      <c r="BA12" s="176" t="n"/>
      <c r="BB12" s="181" t="inlineStr">
        <is>
          <t>NOME</t>
        </is>
      </c>
      <c r="BC12" s="182" t="n"/>
      <c r="BD12" s="182" t="n"/>
      <c r="BE12" s="182" t="n"/>
      <c r="BF12" s="182" t="n"/>
      <c r="BG12" s="183" t="n"/>
      <c r="BH12" s="176" t="n"/>
      <c r="BI12" s="176" t="n"/>
      <c r="BJ12" s="181" t="inlineStr">
        <is>
          <t>NOME</t>
        </is>
      </c>
      <c r="BK12" s="182" t="n"/>
      <c r="BL12" s="182" t="n"/>
      <c r="BM12" s="182" t="n"/>
      <c r="BN12" s="182" t="n"/>
      <c r="BO12" s="183" t="n"/>
      <c r="BP12" s="176" t="n"/>
      <c r="BQ12" s="176" t="n"/>
      <c r="BR12" s="176" t="n"/>
      <c r="BS12" s="181" t="inlineStr">
        <is>
          <t>NOME</t>
        </is>
      </c>
      <c r="BT12" s="182" t="n"/>
      <c r="BU12" s="182" t="n"/>
      <c r="BV12" s="182" t="n"/>
      <c r="BW12" s="182" t="n"/>
      <c r="BX12" s="183" t="n"/>
      <c r="BY12" s="176" t="n"/>
      <c r="BZ12" s="176" t="n"/>
      <c r="CA12" s="181" t="inlineStr">
        <is>
          <t>NOME</t>
        </is>
      </c>
      <c r="CB12" s="182" t="n"/>
      <c r="CC12" s="182" t="n"/>
      <c r="CD12" s="182" t="n"/>
      <c r="CE12" s="182" t="n"/>
      <c r="CF12" s="183" t="n"/>
      <c r="CG12" s="176" t="n"/>
      <c r="CH12" s="176" t="n"/>
      <c r="CI12" s="176" t="n"/>
      <c r="CJ12" s="181" t="inlineStr">
        <is>
          <t>TIPO</t>
        </is>
      </c>
      <c r="CK12" s="182" t="n"/>
      <c r="CL12" s="182" t="n"/>
      <c r="CM12" s="183" t="n"/>
      <c r="CN12" s="181" t="inlineStr">
        <is>
          <t>MESTRE VIU</t>
        </is>
      </c>
      <c r="CO12" s="183" t="n"/>
      <c r="CP12" s="176" t="n"/>
      <c r="CQ12" s="176" t="n"/>
      <c r="CR12" s="181" t="inlineStr">
        <is>
          <t>TIPO</t>
        </is>
      </c>
      <c r="CS12" s="182" t="n"/>
      <c r="CT12" s="182" t="n"/>
      <c r="CU12" s="183" t="n"/>
      <c r="CV12" s="181" t="inlineStr">
        <is>
          <t>MESTRE VIU</t>
        </is>
      </c>
      <c r="CW12" s="183" t="n"/>
      <c r="CX12" s="176" t="n"/>
      <c r="CY12" s="176" t="n"/>
      <c r="CZ12" s="176" t="n"/>
      <c r="DA12" s="181" t="inlineStr">
        <is>
          <t>TIPO</t>
        </is>
      </c>
      <c r="DB12" s="182" t="n"/>
      <c r="DC12" s="182" t="n"/>
      <c r="DD12" s="183" t="n"/>
      <c r="DE12" s="181" t="inlineStr">
        <is>
          <t>MESTRE VIU</t>
        </is>
      </c>
      <c r="DF12" s="183" t="n"/>
      <c r="DG12" s="176" t="n"/>
      <c r="DH12" s="176" t="n"/>
      <c r="DI12" s="181" t="inlineStr">
        <is>
          <t>TIPO</t>
        </is>
      </c>
      <c r="DJ12" s="182" t="n"/>
      <c r="DK12" s="182" t="n"/>
      <c r="DL12" s="183" t="n"/>
      <c r="DM12" s="181" t="inlineStr">
        <is>
          <t>MESTRE VIU</t>
        </is>
      </c>
      <c r="DN12" s="183" t="n"/>
      <c r="DO12" s="176" t="n"/>
      <c r="DP12" s="176" t="n"/>
      <c r="DQ12" s="176" t="n"/>
      <c r="DR12" s="181" t="inlineStr">
        <is>
          <t>TIPO</t>
        </is>
      </c>
      <c r="DS12" s="182" t="n"/>
      <c r="DT12" s="182" t="n"/>
      <c r="DU12" s="183" t="n"/>
      <c r="DV12" s="181" t="inlineStr">
        <is>
          <t>MESTRE VIU</t>
        </is>
      </c>
      <c r="DW12" s="183" t="n"/>
      <c r="DX12" s="176" t="n"/>
      <c r="DY12" s="176" t="n"/>
      <c r="DZ12" s="181" t="inlineStr">
        <is>
          <t>TIPO</t>
        </is>
      </c>
      <c r="EA12" s="182" t="n"/>
      <c r="EB12" s="182" t="n"/>
      <c r="EC12" s="183" t="n"/>
      <c r="ED12" s="181" t="inlineStr">
        <is>
          <t>MESTRE VIU</t>
        </is>
      </c>
      <c r="EE12" s="183" t="n"/>
      <c r="EF12" s="176" t="n"/>
      <c r="EG12" s="176" t="n"/>
      <c r="EH12" s="176" t="n"/>
      <c r="EI12" s="181" t="inlineStr">
        <is>
          <t>NOME</t>
        </is>
      </c>
      <c r="EJ12" s="182" t="n"/>
      <c r="EK12" s="182" t="n"/>
      <c r="EL12" s="183" t="n"/>
      <c r="EM12" s="181" t="inlineStr">
        <is>
          <t>MESTRE VIU</t>
        </is>
      </c>
      <c r="EN12" s="183" t="n"/>
      <c r="EO12" s="176" t="n"/>
      <c r="EP12" s="176" t="n"/>
      <c r="EQ12" s="181" t="inlineStr">
        <is>
          <t>NOME</t>
        </is>
      </c>
      <c r="ER12" s="182" t="n"/>
      <c r="ES12" s="182" t="n"/>
      <c r="ET12" s="183" t="n"/>
      <c r="EU12" s="181" t="inlineStr">
        <is>
          <t>MESTRE VIU</t>
        </is>
      </c>
      <c r="EV12" s="183" t="n"/>
      <c r="EW12" s="176" t="n"/>
      <c r="EX12" s="176" t="n"/>
      <c r="EY12" s="176" t="n"/>
      <c r="EZ12" s="179" t="inlineStr">
        <is>
          <t>FORMAS · 1</t>
        </is>
      </c>
      <c r="FF12" s="176" t="n"/>
      <c r="FG12" s="176" t="n"/>
      <c r="FH12" s="179" t="inlineStr">
        <is>
          <t>FORMAS · 2</t>
        </is>
      </c>
      <c r="FN12" s="176" t="n"/>
      <c r="FO12" s="176" t="n"/>
      <c r="FP12" s="176" t="n"/>
      <c r="FQ12" s="179" t="inlineStr">
        <is>
          <t>APTIDÕES / BÊNÇÃOS · 1</t>
        </is>
      </c>
      <c r="FW12" s="176" t="n"/>
      <c r="FX12" s="176" t="n"/>
      <c r="FY12" s="179" t="inlineStr">
        <is>
          <t>APTIDÕES / BÊNÇÃOS · 2</t>
        </is>
      </c>
      <c r="GE12" s="176" t="n"/>
      <c r="GF12" s="176" t="n"/>
      <c r="GG12" s="176" t="n"/>
      <c r="GH12" s="179" t="inlineStr">
        <is>
          <t>TALENTOS · 1</t>
        </is>
      </c>
      <c r="GN12" s="176" t="n"/>
      <c r="GO12" s="176" t="n"/>
      <c r="GP12" s="179" t="inlineStr">
        <is>
          <t>TALENTOS · 2</t>
        </is>
      </c>
      <c r="GV12" s="176" t="n"/>
      <c r="GW12" s="176" t="n"/>
      <c r="GX12" s="176" t="n"/>
      <c r="GY12" s="181" t="inlineStr">
        <is>
          <t>NOME</t>
        </is>
      </c>
      <c r="GZ12" s="182" t="n"/>
      <c r="HA12" s="182" t="n"/>
      <c r="HB12" s="183" t="n"/>
      <c r="HC12" s="181" t="inlineStr">
        <is>
          <t>MESTRE VIU</t>
        </is>
      </c>
      <c r="HD12" s="183" t="n"/>
      <c r="HE12" s="176" t="n"/>
      <c r="HF12" s="176" t="n"/>
      <c r="HG12" s="181" t="inlineStr">
        <is>
          <t>NOME</t>
        </is>
      </c>
      <c r="HH12" s="182" t="n"/>
      <c r="HI12" s="182" t="n"/>
      <c r="HJ12" s="183" t="n"/>
      <c r="HK12" s="181" t="inlineStr">
        <is>
          <t>MESTRE VIU</t>
        </is>
      </c>
      <c r="HL12" s="183" t="n"/>
      <c r="HM12" s="176" t="n"/>
      <c r="HN12" s="176" t="n"/>
      <c r="HO12" s="176" t="n"/>
      <c r="HP12" s="181" t="inlineStr">
        <is>
          <t>NOME</t>
        </is>
      </c>
      <c r="HQ12" s="182" t="n"/>
      <c r="HR12" s="182" t="n"/>
      <c r="HS12" s="183" t="n"/>
      <c r="HT12" s="181" t="inlineStr">
        <is>
          <t>MESTRE VIU</t>
        </is>
      </c>
      <c r="HU12" s="183" t="n"/>
      <c r="HV12" s="176" t="n"/>
      <c r="HW12" s="176" t="n"/>
      <c r="HX12" s="181" t="inlineStr">
        <is>
          <t>NOME</t>
        </is>
      </c>
      <c r="HY12" s="182" t="n"/>
      <c r="HZ12" s="182" t="n"/>
      <c r="IA12" s="183" t="n"/>
      <c r="IB12" s="181" t="inlineStr">
        <is>
          <t>MESTRE VIU</t>
        </is>
      </c>
      <c r="IC12" s="183" t="n"/>
      <c r="ID12" s="176" t="n"/>
    </row>
    <row r="13" ht="31.5" customHeight="1">
      <c r="A13" s="176" t="n"/>
      <c r="B13" s="176" t="n"/>
      <c r="C13" s="184" t="b">
        <v>0</v>
      </c>
      <c r="D13" s="185" t="n"/>
      <c r="E13" s="185" t="n"/>
      <c r="F13" s="186" t="n"/>
      <c r="G13" s="185" t="n"/>
      <c r="H13" s="185" t="n"/>
      <c r="I13" s="176" t="n"/>
      <c r="J13" s="176" t="n"/>
      <c r="K13" s="176" t="n"/>
      <c r="L13" s="176" t="n"/>
      <c r="M13" s="176" t="n"/>
      <c r="N13" s="176" t="n"/>
      <c r="O13" s="176" t="n"/>
      <c r="P13" s="176" t="n"/>
      <c r="Q13" s="176" t="n"/>
      <c r="R13" s="176" t="n"/>
      <c r="S13" s="176" t="n"/>
      <c r="T13" s="181" t="inlineStr">
        <is>
          <t>TIPO</t>
        </is>
      </c>
      <c r="U13" s="182" t="n"/>
      <c r="V13" s="182" t="n"/>
      <c r="W13" s="183" t="n"/>
      <c r="X13" s="181" t="inlineStr">
        <is>
          <t>MESTRE VIU</t>
        </is>
      </c>
      <c r="Y13" s="183" t="n"/>
      <c r="Z13" s="176" t="n"/>
      <c r="AA13" s="176" t="n"/>
      <c r="AB13" s="181" t="inlineStr">
        <is>
          <t>TIPO</t>
        </is>
      </c>
      <c r="AC13" s="182" t="n"/>
      <c r="AD13" s="182" t="n"/>
      <c r="AE13" s="183" t="n"/>
      <c r="AF13" s="181" t="inlineStr">
        <is>
          <t>MESTRE VIU</t>
        </is>
      </c>
      <c r="AG13" s="183" t="n"/>
      <c r="AH13" s="176" t="n"/>
      <c r="AI13" s="176" t="n"/>
      <c r="AJ13" s="176" t="n"/>
      <c r="AK13" s="185" t="n"/>
      <c r="AL13" s="182" t="n"/>
      <c r="AM13" s="182" t="n"/>
      <c r="AN13" s="182" t="n"/>
      <c r="AO13" s="182" t="n"/>
      <c r="AP13" s="183" t="n"/>
      <c r="AQ13" s="176" t="n"/>
      <c r="AR13" s="176" t="n"/>
      <c r="AS13" s="185" t="n"/>
      <c r="AT13" s="182" t="n"/>
      <c r="AU13" s="182" t="n"/>
      <c r="AV13" s="182" t="n"/>
      <c r="AW13" s="182" t="n"/>
      <c r="AX13" s="183" t="n"/>
      <c r="AY13" s="176" t="n"/>
      <c r="AZ13" s="176" t="n"/>
      <c r="BA13" s="176" t="n"/>
      <c r="BB13" s="185" t="n"/>
      <c r="BC13" s="182" t="n"/>
      <c r="BD13" s="182" t="n"/>
      <c r="BE13" s="182" t="n"/>
      <c r="BF13" s="182" t="n"/>
      <c r="BG13" s="183" t="n"/>
      <c r="BH13" s="176" t="n"/>
      <c r="BI13" s="176" t="n"/>
      <c r="BJ13" s="185" t="n"/>
      <c r="BK13" s="182" t="n"/>
      <c r="BL13" s="182" t="n"/>
      <c r="BM13" s="182" t="n"/>
      <c r="BN13" s="182" t="n"/>
      <c r="BO13" s="183" t="n"/>
      <c r="BP13" s="176" t="n"/>
      <c r="BQ13" s="176" t="n"/>
      <c r="BR13" s="176" t="n"/>
      <c r="BS13" s="185" t="n"/>
      <c r="BT13" s="182" t="n"/>
      <c r="BU13" s="182" t="n"/>
      <c r="BV13" s="182" t="n"/>
      <c r="BW13" s="182" t="n"/>
      <c r="BX13" s="183" t="n"/>
      <c r="BY13" s="176" t="n"/>
      <c r="BZ13" s="176" t="n"/>
      <c r="CA13" s="185" t="n"/>
      <c r="CB13" s="182" t="n"/>
      <c r="CC13" s="182" t="n"/>
      <c r="CD13" s="182" t="n"/>
      <c r="CE13" s="182" t="n"/>
      <c r="CF13" s="183" t="n"/>
      <c r="CG13" s="176" t="n"/>
      <c r="CH13" s="176" t="n"/>
      <c r="CI13" s="176" t="n"/>
      <c r="CJ13" s="185" t="inlineStr">
        <is>
          <t>Família</t>
        </is>
      </c>
      <c r="CK13" s="182" t="n"/>
      <c r="CL13" s="182" t="n"/>
      <c r="CM13" s="183" t="n"/>
      <c r="CN13" s="184" t="b">
        <v>0</v>
      </c>
      <c r="CO13" s="183" t="n"/>
      <c r="CP13" s="176" t="n"/>
      <c r="CQ13" s="176" t="n"/>
      <c r="CR13" s="185" t="inlineStr">
        <is>
          <t>Família</t>
        </is>
      </c>
      <c r="CS13" s="182" t="n"/>
      <c r="CT13" s="182" t="n"/>
      <c r="CU13" s="183" t="n"/>
      <c r="CV13" s="184" t="b">
        <v>0</v>
      </c>
      <c r="CW13" s="183" t="n"/>
      <c r="CX13" s="176" t="n"/>
      <c r="CY13" s="176" t="n"/>
      <c r="CZ13" s="176" t="n"/>
      <c r="DA13" s="185" t="inlineStr">
        <is>
          <t>Melhoria</t>
        </is>
      </c>
      <c r="DB13" s="182" t="n"/>
      <c r="DC13" s="182" t="n"/>
      <c r="DD13" s="183" t="n"/>
      <c r="DE13" s="184" t="b">
        <v>0</v>
      </c>
      <c r="DF13" s="183" t="n"/>
      <c r="DG13" s="176" t="n"/>
      <c r="DH13" s="176" t="n"/>
      <c r="DI13" s="185" t="inlineStr">
        <is>
          <t>Melhoria</t>
        </is>
      </c>
      <c r="DJ13" s="182" t="n"/>
      <c r="DK13" s="182" t="n"/>
      <c r="DL13" s="183" t="n"/>
      <c r="DM13" s="184" t="b">
        <v>0</v>
      </c>
      <c r="DN13" s="183" t="n"/>
      <c r="DO13" s="176" t="n"/>
      <c r="DP13" s="176" t="n"/>
      <c r="DQ13" s="176" t="n"/>
      <c r="DR13" s="185" t="inlineStr">
        <is>
          <t>Restrição</t>
        </is>
      </c>
      <c r="DS13" s="182" t="n"/>
      <c r="DT13" s="182" t="n"/>
      <c r="DU13" s="183" t="n"/>
      <c r="DV13" s="184" t="b">
        <v>0</v>
      </c>
      <c r="DW13" s="183" t="n"/>
      <c r="DX13" s="176" t="n"/>
      <c r="DY13" s="176" t="n"/>
      <c r="DZ13" s="185" t="inlineStr">
        <is>
          <t>Restrição</t>
        </is>
      </c>
      <c r="EA13" s="182" t="n"/>
      <c r="EB13" s="182" t="n"/>
      <c r="EC13" s="183" t="n"/>
      <c r="ED13" s="184" t="b">
        <v>0</v>
      </c>
      <c r="EE13" s="183" t="n"/>
      <c r="EF13" s="176" t="n"/>
      <c r="EG13" s="176" t="n"/>
      <c r="EH13" s="176" t="n"/>
      <c r="EI13" s="185" t="n"/>
      <c r="EJ13" s="182" t="n"/>
      <c r="EK13" s="182" t="n"/>
      <c r="EL13" s="183" t="n"/>
      <c r="EM13" s="184" t="b">
        <v>0</v>
      </c>
      <c r="EN13" s="183" t="n"/>
      <c r="EO13" s="176" t="n"/>
      <c r="EP13" s="176" t="n"/>
      <c r="EQ13" s="185" t="n"/>
      <c r="ER13" s="182" t="n"/>
      <c r="ES13" s="182" t="n"/>
      <c r="ET13" s="183" t="n"/>
      <c r="EU13" s="184" t="b">
        <v>0</v>
      </c>
      <c r="EV13" s="183" t="n"/>
      <c r="EW13" s="176" t="n"/>
      <c r="EX13" s="176" t="n"/>
      <c r="EY13" s="176" t="n"/>
      <c r="EZ13" s="181" t="inlineStr">
        <is>
          <t>TIPO</t>
        </is>
      </c>
      <c r="FA13" s="182" t="n"/>
      <c r="FB13" s="182" t="n"/>
      <c r="FC13" s="183" t="n"/>
      <c r="FD13" s="181" t="inlineStr">
        <is>
          <t>MESTRE VIU</t>
        </is>
      </c>
      <c r="FE13" s="183" t="n"/>
      <c r="FF13" s="176" t="n"/>
      <c r="FG13" s="176" t="n"/>
      <c r="FH13" s="181" t="inlineStr">
        <is>
          <t>TIPO</t>
        </is>
      </c>
      <c r="FI13" s="182" t="n"/>
      <c r="FJ13" s="182" t="n"/>
      <c r="FK13" s="183" t="n"/>
      <c r="FL13" s="181" t="inlineStr">
        <is>
          <t>MESTRE VIU</t>
        </is>
      </c>
      <c r="FM13" s="183" t="n"/>
      <c r="FN13" s="176" t="n"/>
      <c r="FO13" s="176" t="n"/>
      <c r="FP13" s="176" t="n"/>
      <c r="FQ13" s="181" t="inlineStr">
        <is>
          <t>TIPO</t>
        </is>
      </c>
      <c r="FR13" s="182" t="n"/>
      <c r="FS13" s="182" t="n"/>
      <c r="FT13" s="183" t="n"/>
      <c r="FU13" s="181" t="inlineStr">
        <is>
          <t>MESTRE VIU</t>
        </is>
      </c>
      <c r="FV13" s="183" t="n"/>
      <c r="FW13" s="176" t="n"/>
      <c r="FX13" s="176" t="n"/>
      <c r="FY13" s="181" t="inlineStr">
        <is>
          <t>TIPO</t>
        </is>
      </c>
      <c r="FZ13" s="182" t="n"/>
      <c r="GA13" s="182" t="n"/>
      <c r="GB13" s="183" t="n"/>
      <c r="GC13" s="181" t="inlineStr">
        <is>
          <t>MESTRE VIU</t>
        </is>
      </c>
      <c r="GD13" s="183" t="n"/>
      <c r="GE13" s="176" t="n"/>
      <c r="GF13" s="176" t="n"/>
      <c r="GG13" s="176" t="n"/>
      <c r="GH13" s="181" t="inlineStr">
        <is>
          <t>TIPO</t>
        </is>
      </c>
      <c r="GI13" s="182" t="n"/>
      <c r="GJ13" s="182" t="n"/>
      <c r="GK13" s="183" t="n"/>
      <c r="GL13" s="181" t="inlineStr">
        <is>
          <t>MESTRE VIU</t>
        </is>
      </c>
      <c r="GM13" s="183" t="n"/>
      <c r="GN13" s="176" t="n"/>
      <c r="GO13" s="176" t="n"/>
      <c r="GP13" s="181" t="inlineStr">
        <is>
          <t>TIPO</t>
        </is>
      </c>
      <c r="GQ13" s="182" t="n"/>
      <c r="GR13" s="182" t="n"/>
      <c r="GS13" s="183" t="n"/>
      <c r="GT13" s="181" t="inlineStr">
        <is>
          <t>MESTRE VIU</t>
        </is>
      </c>
      <c r="GU13" s="183" t="n"/>
      <c r="GV13" s="176" t="n"/>
      <c r="GW13" s="176" t="n"/>
      <c r="GX13" s="176" t="n"/>
      <c r="GY13" s="185" t="n"/>
      <c r="GZ13" s="182" t="n"/>
      <c r="HA13" s="182" t="n"/>
      <c r="HB13" s="183" t="n"/>
      <c r="HC13" s="184" t="b">
        <v>0</v>
      </c>
      <c r="HD13" s="183" t="n"/>
      <c r="HE13" s="176" t="n"/>
      <c r="HF13" s="176" t="n"/>
      <c r="HG13" s="185" t="n"/>
      <c r="HH13" s="182" t="n"/>
      <c r="HI13" s="182" t="n"/>
      <c r="HJ13" s="183" t="n"/>
      <c r="HK13" s="184" t="b">
        <v>0</v>
      </c>
      <c r="HL13" s="183" t="n"/>
      <c r="HM13" s="176" t="n"/>
      <c r="HN13" s="176" t="n"/>
      <c r="HO13" s="176" t="n"/>
      <c r="HP13" s="185" t="n"/>
      <c r="HQ13" s="182" t="n"/>
      <c r="HR13" s="182" t="n"/>
      <c r="HS13" s="183" t="n"/>
      <c r="HT13" s="184" t="b">
        <v>0</v>
      </c>
      <c r="HU13" s="183" t="n"/>
      <c r="HV13" s="176" t="n"/>
      <c r="HW13" s="176" t="n"/>
      <c r="HX13" s="185" t="n"/>
      <c r="HY13" s="182" t="n"/>
      <c r="HZ13" s="182" t="n"/>
      <c r="IA13" s="183" t="n"/>
      <c r="IB13" s="184" t="b">
        <v>0</v>
      </c>
      <c r="IC13" s="183" t="n"/>
      <c r="ID13" s="176" t="n"/>
    </row>
    <row r="14" ht="31.5" customHeight="1">
      <c r="A14" s="176" t="n"/>
      <c r="B14" s="176" t="n"/>
      <c r="C14" s="184" t="b">
        <v>0</v>
      </c>
      <c r="D14" s="185" t="n"/>
      <c r="E14" s="185" t="n"/>
      <c r="F14" s="186" t="n"/>
      <c r="G14" s="185" t="n"/>
      <c r="H14" s="185" t="n"/>
      <c r="I14" s="176" t="n"/>
      <c r="J14" s="176" t="n"/>
      <c r="K14" s="185" t="inlineStr">
        <is>
          <t>03 · Perícias</t>
        </is>
      </c>
      <c r="L14" s="187" t="n"/>
      <c r="M14" s="187" t="n"/>
      <c r="N14" s="188" t="n"/>
      <c r="O14" s="185" t="inlineStr">
        <is>
          <t>04 · Ofícios</t>
        </is>
      </c>
      <c r="P14" s="187" t="n"/>
      <c r="Q14" s="188" t="n"/>
      <c r="R14" s="176" t="n"/>
      <c r="S14" s="176" t="n"/>
      <c r="T14" s="185" t="n"/>
      <c r="U14" s="182" t="n"/>
      <c r="V14" s="182" t="n"/>
      <c r="W14" s="183" t="n"/>
      <c r="X14" s="184" t="b">
        <v>0</v>
      </c>
      <c r="Y14" s="183" t="n"/>
      <c r="Z14" s="176" t="n"/>
      <c r="AA14" s="176" t="n"/>
      <c r="AB14" s="185" t="n"/>
      <c r="AC14" s="182" t="n"/>
      <c r="AD14" s="182" t="n"/>
      <c r="AE14" s="183" t="n"/>
      <c r="AF14" s="184" t="b">
        <v>0</v>
      </c>
      <c r="AG14" s="183" t="n"/>
      <c r="AH14" s="176" t="n"/>
      <c r="AI14" s="176" t="n"/>
      <c r="AJ14" s="176" t="n"/>
      <c r="AK14" s="181" t="inlineStr">
        <is>
          <t>VIDA INICIAL</t>
        </is>
      </c>
      <c r="AL14" s="182" t="n"/>
      <c r="AM14" s="183" t="n"/>
      <c r="AN14" s="185" t="n"/>
      <c r="AO14" s="182" t="n"/>
      <c r="AP14" s="183" t="n"/>
      <c r="AQ14" s="176" t="n"/>
      <c r="AR14" s="176" t="n"/>
      <c r="AS14" s="181" t="inlineStr">
        <is>
          <t>CAMINHO</t>
        </is>
      </c>
      <c r="AT14" s="182" t="n"/>
      <c r="AU14" s="183" t="n"/>
      <c r="AV14" s="185" t="n"/>
      <c r="AW14" s="182" t="n"/>
      <c r="AX14" s="183" t="n"/>
      <c r="AY14" s="176" t="n"/>
      <c r="AZ14" s="176" t="n"/>
      <c r="BA14" s="176" t="n"/>
      <c r="BB14" s="181">
        <f>IF(BB11="Ofício","ATRIBUTO PADRÃO","ATRIBUTO FIXO")</f>
        <v/>
      </c>
      <c r="BC14" s="182" t="n"/>
      <c r="BD14" s="183" t="n"/>
      <c r="BE14" s="185" t="n"/>
      <c r="BF14" s="182" t="n"/>
      <c r="BG14" s="183" t="n"/>
      <c r="BH14" s="176" t="n"/>
      <c r="BI14" s="176" t="n"/>
      <c r="BJ14" s="181">
        <f>IF(BJ11="Ofício","ATRIBUTO PADRÃO","ATRIBUTO FIXO")</f>
        <v/>
      </c>
      <c r="BK14" s="182" t="n"/>
      <c r="BL14" s="183" t="n"/>
      <c r="BM14" s="185" t="n"/>
      <c r="BN14" s="182" t="n"/>
      <c r="BO14" s="183" t="n"/>
      <c r="BP14" s="176" t="n"/>
      <c r="BQ14" s="176" t="n"/>
      <c r="BR14" s="176" t="n"/>
      <c r="BS14" s="181">
        <f>IF(BS11="Ofício","ATRIBUTO PADRÃO","ATRIBUTO FIXO")</f>
        <v/>
      </c>
      <c r="BT14" s="182" t="n"/>
      <c r="BU14" s="183" t="n"/>
      <c r="BV14" s="185" t="n"/>
      <c r="BW14" s="182" t="n"/>
      <c r="BX14" s="183" t="n"/>
      <c r="BY14" s="176" t="n"/>
      <c r="BZ14" s="176" t="n"/>
      <c r="CA14" s="181">
        <f>IF(CA11="Ofício","ATRIBUTO PADRÃO","ATRIBUTO FIXO")</f>
        <v/>
      </c>
      <c r="CB14" s="182" t="n"/>
      <c r="CC14" s="183" t="n"/>
      <c r="CD14" s="185" t="n"/>
      <c r="CE14" s="182" t="n"/>
      <c r="CF14" s="183" t="n"/>
      <c r="CG14" s="176" t="n"/>
      <c r="CH14" s="176" t="n"/>
      <c r="CI14" s="176" t="n"/>
      <c r="CJ14" s="181" t="inlineStr">
        <is>
          <t>NOME</t>
        </is>
      </c>
      <c r="CK14" s="182" t="n"/>
      <c r="CL14" s="182" t="n"/>
      <c r="CM14" s="182" t="n"/>
      <c r="CN14" s="182" t="n"/>
      <c r="CO14" s="183" t="n"/>
      <c r="CP14" s="176" t="n"/>
      <c r="CQ14" s="176" t="n"/>
      <c r="CR14" s="181" t="inlineStr">
        <is>
          <t>NOME</t>
        </is>
      </c>
      <c r="CS14" s="182" t="n"/>
      <c r="CT14" s="182" t="n"/>
      <c r="CU14" s="182" t="n"/>
      <c r="CV14" s="182" t="n"/>
      <c r="CW14" s="183" t="n"/>
      <c r="CX14" s="176" t="n"/>
      <c r="CY14" s="176" t="n"/>
      <c r="CZ14" s="176" t="n"/>
      <c r="DA14" s="181" t="inlineStr">
        <is>
          <t>NOME</t>
        </is>
      </c>
      <c r="DB14" s="182" t="n"/>
      <c r="DC14" s="182" t="n"/>
      <c r="DD14" s="182" t="n"/>
      <c r="DE14" s="182" t="n"/>
      <c r="DF14" s="183" t="n"/>
      <c r="DG14" s="176" t="n"/>
      <c r="DH14" s="176" t="n"/>
      <c r="DI14" s="181" t="inlineStr">
        <is>
          <t>NOME</t>
        </is>
      </c>
      <c r="DJ14" s="182" t="n"/>
      <c r="DK14" s="182" t="n"/>
      <c r="DL14" s="182" t="n"/>
      <c r="DM14" s="182" t="n"/>
      <c r="DN14" s="183" t="n"/>
      <c r="DO14" s="176" t="n"/>
      <c r="DP14" s="176" t="n"/>
      <c r="DQ14" s="176" t="n"/>
      <c r="DR14" s="181" t="inlineStr">
        <is>
          <t>NOME</t>
        </is>
      </c>
      <c r="DS14" s="182" t="n"/>
      <c r="DT14" s="182" t="n"/>
      <c r="DU14" s="182" t="n"/>
      <c r="DV14" s="182" t="n"/>
      <c r="DW14" s="183" t="n"/>
      <c r="DX14" s="176" t="n"/>
      <c r="DY14" s="176" t="n"/>
      <c r="DZ14" s="181" t="inlineStr">
        <is>
          <t>NOME</t>
        </is>
      </c>
      <c r="EA14" s="182" t="n"/>
      <c r="EB14" s="182" t="n"/>
      <c r="EC14" s="182" t="n"/>
      <c r="ED14" s="182" t="n"/>
      <c r="EE14" s="183" t="n"/>
      <c r="EF14" s="176" t="n"/>
      <c r="EG14" s="176" t="n"/>
      <c r="EH14" s="176" t="n"/>
      <c r="EI14" s="176" t="n"/>
      <c r="EJ14" s="176" t="n"/>
      <c r="EK14" s="176" t="n"/>
      <c r="EL14" s="176" t="n"/>
      <c r="EM14" s="176" t="n"/>
      <c r="EN14" s="176" t="n"/>
      <c r="EO14" s="176" t="n"/>
      <c r="EP14" s="176" t="n"/>
      <c r="EQ14" s="176" t="n"/>
      <c r="ER14" s="176" t="n"/>
      <c r="ES14" s="176" t="n"/>
      <c r="ET14" s="176" t="n"/>
      <c r="EU14" s="176" t="n"/>
      <c r="EV14" s="176" t="n"/>
      <c r="EW14" s="176" t="n"/>
      <c r="EX14" s="176" t="n"/>
      <c r="EY14" s="176" t="n"/>
      <c r="EZ14" s="185" t="inlineStr">
        <is>
          <t>Forma</t>
        </is>
      </c>
      <c r="FA14" s="182" t="n"/>
      <c r="FB14" s="182" t="n"/>
      <c r="FC14" s="183" t="n"/>
      <c r="FD14" s="184" t="b">
        <v>0</v>
      </c>
      <c r="FE14" s="183" t="n"/>
      <c r="FF14" s="176" t="n"/>
      <c r="FG14" s="176" t="n"/>
      <c r="FH14" s="185" t="inlineStr">
        <is>
          <t>Forma</t>
        </is>
      </c>
      <c r="FI14" s="182" t="n"/>
      <c r="FJ14" s="182" t="n"/>
      <c r="FK14" s="183" t="n"/>
      <c r="FL14" s="184" t="b">
        <v>0</v>
      </c>
      <c r="FM14" s="183" t="n"/>
      <c r="FN14" s="176" t="n"/>
      <c r="FO14" s="176" t="n"/>
      <c r="FP14" s="176" t="n"/>
      <c r="FQ14" s="185" t="n"/>
      <c r="FR14" s="182" t="n"/>
      <c r="FS14" s="182" t="n"/>
      <c r="FT14" s="183" t="n"/>
      <c r="FU14" s="184" t="b">
        <v>0</v>
      </c>
      <c r="FV14" s="183" t="n"/>
      <c r="FW14" s="176" t="n"/>
      <c r="FX14" s="176" t="n"/>
      <c r="FY14" s="185" t="n"/>
      <c r="FZ14" s="182" t="n"/>
      <c r="GA14" s="182" t="n"/>
      <c r="GB14" s="183" t="n"/>
      <c r="GC14" s="184" t="b">
        <v>0</v>
      </c>
      <c r="GD14" s="183" t="n"/>
      <c r="GE14" s="176" t="n"/>
      <c r="GF14" s="176" t="n"/>
      <c r="GG14" s="176" t="n"/>
      <c r="GH14" s="185" t="inlineStr">
        <is>
          <t>Talento</t>
        </is>
      </c>
      <c r="GI14" s="182" t="n"/>
      <c r="GJ14" s="182" t="n"/>
      <c r="GK14" s="183" t="n"/>
      <c r="GL14" s="184" t="b">
        <v>0</v>
      </c>
      <c r="GM14" s="183" t="n"/>
      <c r="GN14" s="176" t="n"/>
      <c r="GO14" s="176" t="n"/>
      <c r="GP14" s="185" t="inlineStr">
        <is>
          <t>Talento</t>
        </is>
      </c>
      <c r="GQ14" s="182" t="n"/>
      <c r="GR14" s="182" t="n"/>
      <c r="GS14" s="183" t="n"/>
      <c r="GT14" s="184" t="b">
        <v>0</v>
      </c>
      <c r="GU14" s="183" t="n"/>
      <c r="GV14" s="176" t="n"/>
      <c r="GW14" s="176" t="n"/>
      <c r="GX14" s="176" t="n"/>
      <c r="GY14" s="176" t="n"/>
      <c r="GZ14" s="176" t="n"/>
      <c r="HA14" s="176" t="n"/>
      <c r="HB14" s="176" t="n"/>
      <c r="HC14" s="176" t="n"/>
      <c r="HD14" s="176" t="n"/>
      <c r="HE14" s="176" t="n"/>
      <c r="HF14" s="176" t="n"/>
      <c r="HG14" s="176" t="n"/>
      <c r="HH14" s="176" t="n"/>
      <c r="HI14" s="176" t="n"/>
      <c r="HJ14" s="176" t="n"/>
      <c r="HK14" s="176" t="n"/>
      <c r="HL14" s="176" t="n"/>
      <c r="HM14" s="176" t="n"/>
      <c r="HN14" s="176" t="n"/>
      <c r="HO14" s="176" t="n"/>
      <c r="HP14" s="176" t="n"/>
      <c r="HQ14" s="176" t="n"/>
      <c r="HR14" s="176" t="n"/>
      <c r="HS14" s="176" t="n"/>
      <c r="HT14" s="176" t="n"/>
      <c r="HU14" s="176" t="n"/>
      <c r="HV14" s="176" t="n"/>
      <c r="HW14" s="176" t="n"/>
      <c r="HX14" s="176" t="n"/>
      <c r="HY14" s="176" t="n"/>
      <c r="HZ14" s="176" t="n"/>
      <c r="IA14" s="176" t="n"/>
      <c r="IB14" s="176" t="n"/>
      <c r="IC14" s="176" t="n"/>
      <c r="ID14" s="176" t="n"/>
    </row>
    <row r="15" ht="31.5" customHeight="1">
      <c r="A15" s="176" t="n"/>
      <c r="B15" s="176" t="n"/>
      <c r="C15" s="184" t="b">
        <v>0</v>
      </c>
      <c r="D15" s="185" t="n"/>
      <c r="E15" s="185" t="n"/>
      <c r="F15" s="186" t="n"/>
      <c r="G15" s="185" t="n"/>
      <c r="H15" s="185" t="n"/>
      <c r="I15" s="176" t="n"/>
      <c r="J15" s="176" t="n"/>
      <c r="K15" s="189" t="n"/>
      <c r="L15" s="190" t="n"/>
      <c r="M15" s="190" t="n"/>
      <c r="N15" s="191" t="n"/>
      <c r="O15" s="189" t="n"/>
      <c r="P15" s="190" t="n"/>
      <c r="Q15" s="191" t="n"/>
      <c r="R15" s="176" t="n"/>
      <c r="S15" s="176" t="n"/>
      <c r="T15" s="181" t="inlineStr">
        <is>
          <t>NOME</t>
        </is>
      </c>
      <c r="U15" s="182" t="n"/>
      <c r="V15" s="182" t="n"/>
      <c r="W15" s="182" t="n"/>
      <c r="X15" s="182" t="n"/>
      <c r="Y15" s="183" t="n"/>
      <c r="Z15" s="176" t="n"/>
      <c r="AA15" s="176" t="n"/>
      <c r="AB15" s="181" t="inlineStr">
        <is>
          <t>NOME</t>
        </is>
      </c>
      <c r="AC15" s="182" t="n"/>
      <c r="AD15" s="182" t="n"/>
      <c r="AE15" s="182" t="n"/>
      <c r="AF15" s="182" t="n"/>
      <c r="AG15" s="183" t="n"/>
      <c r="AH15" s="176" t="n"/>
      <c r="AI15" s="176" t="n"/>
      <c r="AJ15" s="176" t="n"/>
      <c r="AK15" s="181" t="inlineStr">
        <is>
          <t>VIDA POR NÍVEL</t>
        </is>
      </c>
      <c r="AL15" s="182" t="n"/>
      <c r="AM15" s="183" t="n"/>
      <c r="AN15" s="185" t="n"/>
      <c r="AO15" s="182" t="n"/>
      <c r="AP15" s="183" t="n"/>
      <c r="AQ15" s="176" t="n"/>
      <c r="AR15" s="176" t="n"/>
      <c r="AS15" s="181" t="inlineStr">
        <is>
          <t>BASE DO LIVRO</t>
        </is>
      </c>
      <c r="AT15" s="182" t="n"/>
      <c r="AU15" s="183" t="n"/>
      <c r="AV15" s="185" t="inlineStr">
        <is>
          <t>Nenhuma</t>
        </is>
      </c>
      <c r="AW15" s="182" t="n"/>
      <c r="AX15" s="183" t="n"/>
      <c r="AY15" s="176" t="n"/>
      <c r="AZ15" s="176" t="n"/>
      <c r="BA15" s="176" t="n"/>
      <c r="BB15" s="181" t="inlineStr">
        <is>
          <t>DESCRIÇÃO</t>
        </is>
      </c>
      <c r="BC15" s="182" t="n"/>
      <c r="BD15" s="182" t="n"/>
      <c r="BE15" s="182" t="n"/>
      <c r="BF15" s="182" t="n"/>
      <c r="BG15" s="183" t="n"/>
      <c r="BH15" s="176" t="n"/>
      <c r="BI15" s="176" t="n"/>
      <c r="BJ15" s="181" t="inlineStr">
        <is>
          <t>DESCRIÇÃO</t>
        </is>
      </c>
      <c r="BK15" s="182" t="n"/>
      <c r="BL15" s="182" t="n"/>
      <c r="BM15" s="182" t="n"/>
      <c r="BN15" s="182" t="n"/>
      <c r="BO15" s="183" t="n"/>
      <c r="BP15" s="176" t="n"/>
      <c r="BQ15" s="176" t="n"/>
      <c r="BR15" s="176" t="n"/>
      <c r="BS15" s="181" t="inlineStr">
        <is>
          <t>DESCRIÇÃO</t>
        </is>
      </c>
      <c r="BT15" s="182" t="n"/>
      <c r="BU15" s="182" t="n"/>
      <c r="BV15" s="182" t="n"/>
      <c r="BW15" s="182" t="n"/>
      <c r="BX15" s="183" t="n"/>
      <c r="BY15" s="176" t="n"/>
      <c r="BZ15" s="176" t="n"/>
      <c r="CA15" s="181" t="inlineStr">
        <is>
          <t>DESCRIÇÃO</t>
        </is>
      </c>
      <c r="CB15" s="182" t="n"/>
      <c r="CC15" s="182" t="n"/>
      <c r="CD15" s="182" t="n"/>
      <c r="CE15" s="182" t="n"/>
      <c r="CF15" s="183" t="n"/>
      <c r="CG15" s="176" t="n"/>
      <c r="CH15" s="176" t="n"/>
      <c r="CI15" s="176" t="n"/>
      <c r="CJ15" s="185" t="n"/>
      <c r="CK15" s="182" t="n"/>
      <c r="CL15" s="182" t="n"/>
      <c r="CM15" s="182" t="n"/>
      <c r="CN15" s="182" t="n"/>
      <c r="CO15" s="183" t="n"/>
      <c r="CP15" s="176" t="n"/>
      <c r="CQ15" s="176" t="n"/>
      <c r="CR15" s="185" t="n"/>
      <c r="CS15" s="182" t="n"/>
      <c r="CT15" s="182" t="n"/>
      <c r="CU15" s="182" t="n"/>
      <c r="CV15" s="182" t="n"/>
      <c r="CW15" s="183" t="n"/>
      <c r="CX15" s="176" t="n"/>
      <c r="CY15" s="176" t="n"/>
      <c r="CZ15" s="176" t="n"/>
      <c r="DA15" s="185" t="n"/>
      <c r="DB15" s="182" t="n"/>
      <c r="DC15" s="182" t="n"/>
      <c r="DD15" s="182" t="n"/>
      <c r="DE15" s="182" t="n"/>
      <c r="DF15" s="183" t="n"/>
      <c r="DG15" s="176" t="n"/>
      <c r="DH15" s="176" t="n"/>
      <c r="DI15" s="185" t="n"/>
      <c r="DJ15" s="182" t="n"/>
      <c r="DK15" s="182" t="n"/>
      <c r="DL15" s="182" t="n"/>
      <c r="DM15" s="182" t="n"/>
      <c r="DN15" s="183" t="n"/>
      <c r="DO15" s="176" t="n"/>
      <c r="DP15" s="176" t="n"/>
      <c r="DQ15" s="176" t="n"/>
      <c r="DR15" s="185" t="n"/>
      <c r="DS15" s="182" t="n"/>
      <c r="DT15" s="182" t="n"/>
      <c r="DU15" s="182" t="n"/>
      <c r="DV15" s="182" t="n"/>
      <c r="DW15" s="183" t="n"/>
      <c r="DX15" s="176" t="n"/>
      <c r="DY15" s="176" t="n"/>
      <c r="DZ15" s="185" t="n"/>
      <c r="EA15" s="182" t="n"/>
      <c r="EB15" s="182" t="n"/>
      <c r="EC15" s="182" t="n"/>
      <c r="ED15" s="182" t="n"/>
      <c r="EE15" s="183" t="n"/>
      <c r="EF15" s="176" t="n"/>
      <c r="EG15" s="176" t="n"/>
      <c r="EH15" s="176" t="n"/>
      <c r="EI15" s="176" t="n"/>
      <c r="EJ15" s="176" t="n"/>
      <c r="EK15" s="176" t="n"/>
      <c r="EL15" s="176" t="n"/>
      <c r="EM15" s="176" t="n"/>
      <c r="EN15" s="176" t="n"/>
      <c r="EO15" s="176" t="n"/>
      <c r="EP15" s="176" t="n"/>
      <c r="EQ15" s="176" t="n"/>
      <c r="ER15" s="176" t="n"/>
      <c r="ES15" s="176" t="n"/>
      <c r="ET15" s="176" t="n"/>
      <c r="EU15" s="176" t="n"/>
      <c r="EV15" s="176" t="n"/>
      <c r="EW15" s="176" t="n"/>
      <c r="EX15" s="176" t="n"/>
      <c r="EY15" s="176" t="n"/>
      <c r="EZ15" s="181" t="inlineStr">
        <is>
          <t>NOME</t>
        </is>
      </c>
      <c r="FA15" s="182" t="n"/>
      <c r="FB15" s="182" t="n"/>
      <c r="FC15" s="182" t="n"/>
      <c r="FD15" s="182" t="n"/>
      <c r="FE15" s="183" t="n"/>
      <c r="FF15" s="176" t="n"/>
      <c r="FG15" s="176" t="n"/>
      <c r="FH15" s="181" t="inlineStr">
        <is>
          <t>NOME</t>
        </is>
      </c>
      <c r="FI15" s="182" t="n"/>
      <c r="FJ15" s="182" t="n"/>
      <c r="FK15" s="182" t="n"/>
      <c r="FL15" s="182" t="n"/>
      <c r="FM15" s="183" t="n"/>
      <c r="FN15" s="176" t="n"/>
      <c r="FO15" s="176" t="n"/>
      <c r="FP15" s="176" t="n"/>
      <c r="FQ15" s="181" t="inlineStr">
        <is>
          <t>NOME</t>
        </is>
      </c>
      <c r="FR15" s="182" t="n"/>
      <c r="FS15" s="182" t="n"/>
      <c r="FT15" s="182" t="n"/>
      <c r="FU15" s="182" t="n"/>
      <c r="FV15" s="183" t="n"/>
      <c r="FW15" s="176" t="n"/>
      <c r="FX15" s="176" t="n"/>
      <c r="FY15" s="181" t="inlineStr">
        <is>
          <t>NOME</t>
        </is>
      </c>
      <c r="FZ15" s="182" t="n"/>
      <c r="GA15" s="182" t="n"/>
      <c r="GB15" s="182" t="n"/>
      <c r="GC15" s="182" t="n"/>
      <c r="GD15" s="183" t="n"/>
      <c r="GE15" s="176" t="n"/>
      <c r="GF15" s="176" t="n"/>
      <c r="GG15" s="176" t="n"/>
      <c r="GH15" s="181" t="inlineStr">
        <is>
          <t>NOME</t>
        </is>
      </c>
      <c r="GI15" s="182" t="n"/>
      <c r="GJ15" s="182" t="n"/>
      <c r="GK15" s="182" t="n"/>
      <c r="GL15" s="182" t="n"/>
      <c r="GM15" s="183" t="n"/>
      <c r="GN15" s="176" t="n"/>
      <c r="GO15" s="176" t="n"/>
      <c r="GP15" s="181" t="inlineStr">
        <is>
          <t>NOME</t>
        </is>
      </c>
      <c r="GQ15" s="182" t="n"/>
      <c r="GR15" s="182" t="n"/>
      <c r="GS15" s="182" t="n"/>
      <c r="GT15" s="182" t="n"/>
      <c r="GU15" s="183" t="n"/>
      <c r="GV15" s="176" t="n"/>
      <c r="GW15" s="176" t="n"/>
      <c r="GX15" s="176" t="n"/>
      <c r="GY15" s="181" t="inlineStr">
        <is>
          <t>BASE DO LIVRO</t>
        </is>
      </c>
      <c r="GZ15" s="182" t="n"/>
      <c r="HA15" s="183" t="n"/>
      <c r="HB15" s="185" t="inlineStr">
        <is>
          <t>Nenhuma</t>
        </is>
      </c>
      <c r="HC15" s="182" t="n"/>
      <c r="HD15" s="183" t="n"/>
      <c r="HE15" s="176" t="n"/>
      <c r="HF15" s="176" t="n"/>
      <c r="HG15" s="181" t="inlineStr">
        <is>
          <t>BASE DO LIVRO</t>
        </is>
      </c>
      <c r="HH15" s="182" t="n"/>
      <c r="HI15" s="183" t="n"/>
      <c r="HJ15" s="185" t="inlineStr">
        <is>
          <t>Nenhuma</t>
        </is>
      </c>
      <c r="HK15" s="182" t="n"/>
      <c r="HL15" s="183" t="n"/>
      <c r="HM15" s="176" t="n"/>
      <c r="HN15" s="176" t="n"/>
      <c r="HO15" s="176" t="n"/>
      <c r="HP15" s="181" t="inlineStr">
        <is>
          <t>BASE DO LIVRO</t>
        </is>
      </c>
      <c r="HQ15" s="182" t="n"/>
      <c r="HR15" s="183" t="n"/>
      <c r="HS15" s="185" t="inlineStr">
        <is>
          <t>Nenhuma</t>
        </is>
      </c>
      <c r="HT15" s="182" t="n"/>
      <c r="HU15" s="183" t="n"/>
      <c r="HV15" s="176" t="n"/>
      <c r="HW15" s="176" t="n"/>
      <c r="HX15" s="181" t="inlineStr">
        <is>
          <t>BASE DO LIVRO</t>
        </is>
      </c>
      <c r="HY15" s="182" t="n"/>
      <c r="HZ15" s="183" t="n"/>
      <c r="IA15" s="185" t="inlineStr">
        <is>
          <t>Nenhuma</t>
        </is>
      </c>
      <c r="IB15" s="182" t="n"/>
      <c r="IC15" s="183" t="n"/>
      <c r="ID15" s="176" t="n"/>
    </row>
    <row r="16" ht="31.5" customHeight="1">
      <c r="A16" s="176" t="n"/>
      <c r="B16" s="176" t="n"/>
      <c r="C16" s="184" t="b">
        <v>0</v>
      </c>
      <c r="D16" s="185" t="n"/>
      <c r="E16" s="185" t="n"/>
      <c r="F16" s="186" t="n"/>
      <c r="G16" s="185" t="n"/>
      <c r="H16" s="185" t="n"/>
      <c r="I16" s="176" t="n"/>
      <c r="J16" s="176" t="n"/>
      <c r="K16" s="176" t="n"/>
      <c r="L16" s="176" t="n"/>
      <c r="M16" s="176" t="n"/>
      <c r="N16" s="176" t="n"/>
      <c r="O16" s="176" t="n"/>
      <c r="P16" s="176" t="n"/>
      <c r="Q16" s="176" t="n"/>
      <c r="R16" s="176" t="n"/>
      <c r="S16" s="176" t="n"/>
      <c r="T16" s="185" t="n"/>
      <c r="U16" s="182" t="n"/>
      <c r="V16" s="182" t="n"/>
      <c r="W16" s="182" t="n"/>
      <c r="X16" s="182" t="n"/>
      <c r="Y16" s="183" t="n"/>
      <c r="Z16" s="176" t="n"/>
      <c r="AA16" s="176" t="n"/>
      <c r="AB16" s="185" t="n"/>
      <c r="AC16" s="182" t="n"/>
      <c r="AD16" s="182" t="n"/>
      <c r="AE16" s="182" t="n"/>
      <c r="AF16" s="182" t="n"/>
      <c r="AG16" s="183" t="n"/>
      <c r="AH16" s="176" t="n"/>
      <c r="AI16" s="176" t="n"/>
      <c r="AJ16" s="176" t="n"/>
      <c r="AK16" s="181" t="inlineStr">
        <is>
          <t>DADO DE VIDA</t>
        </is>
      </c>
      <c r="AL16" s="182" t="n"/>
      <c r="AM16" s="183" t="n"/>
      <c r="AN16" s="185" t="n"/>
      <c r="AO16" s="182" t="n"/>
      <c r="AP16" s="183" t="n"/>
      <c r="AQ16" s="176" t="n"/>
      <c r="AR16" s="176" t="n"/>
      <c r="AS16" s="176" t="n"/>
      <c r="AT16" s="176" t="n"/>
      <c r="AU16" s="176" t="n"/>
      <c r="AV16" s="176" t="n"/>
      <c r="AW16" s="176" t="n"/>
      <c r="AX16" s="176" t="n"/>
      <c r="AY16" s="176" t="n"/>
      <c r="AZ16" s="176" t="n"/>
      <c r="BA16" s="176" t="n"/>
      <c r="BB16" s="192" t="n"/>
      <c r="BC16" s="187" t="n"/>
      <c r="BD16" s="187" t="n"/>
      <c r="BE16" s="187" t="n"/>
      <c r="BF16" s="187" t="n"/>
      <c r="BG16" s="188" t="n"/>
      <c r="BH16" s="176" t="n"/>
      <c r="BI16" s="176" t="n"/>
      <c r="BJ16" s="192" t="n"/>
      <c r="BK16" s="187" t="n"/>
      <c r="BL16" s="187" t="n"/>
      <c r="BM16" s="187" t="n"/>
      <c r="BN16" s="187" t="n"/>
      <c r="BO16" s="188" t="n"/>
      <c r="BP16" s="176" t="n"/>
      <c r="BQ16" s="176" t="n"/>
      <c r="BR16" s="176" t="n"/>
      <c r="BS16" s="192" t="n"/>
      <c r="BT16" s="187" t="n"/>
      <c r="BU16" s="187" t="n"/>
      <c r="BV16" s="187" t="n"/>
      <c r="BW16" s="187" t="n"/>
      <c r="BX16" s="188" t="n"/>
      <c r="BY16" s="176" t="n"/>
      <c r="BZ16" s="176" t="n"/>
      <c r="CA16" s="192" t="n"/>
      <c r="CB16" s="187" t="n"/>
      <c r="CC16" s="187" t="n"/>
      <c r="CD16" s="187" t="n"/>
      <c r="CE16" s="187" t="n"/>
      <c r="CF16" s="188" t="n"/>
      <c r="CG16" s="176" t="n"/>
      <c r="CH16" s="176" t="n"/>
      <c r="CI16" s="176" t="n"/>
      <c r="CJ16" s="181" t="inlineStr">
        <is>
          <t>ESTADO NA FICHA</t>
        </is>
      </c>
      <c r="CK16" s="182" t="n"/>
      <c r="CL16" s="183" t="n"/>
      <c r="CM16" s="185">
        <f>IF('FICHA AMALDIÇOADA'!O41="","Neutra",'FICHA AMALDIÇOADA'!O41)</f>
        <v/>
      </c>
      <c r="CN16" s="182" t="n"/>
      <c r="CO16" s="183" t="n"/>
      <c r="CP16" s="176" t="n"/>
      <c r="CQ16" s="176" t="n"/>
      <c r="CR16" s="181" t="inlineStr">
        <is>
          <t>ESTADO NA FICHA</t>
        </is>
      </c>
      <c r="CS16" s="182" t="n"/>
      <c r="CT16" s="183" t="n"/>
      <c r="CU16" s="185">
        <f>IF('FICHA AMALDIÇOADA'!O42="","Neutra",'FICHA AMALDIÇOADA'!O42)</f>
        <v/>
      </c>
      <c r="CV16" s="182" t="n"/>
      <c r="CW16" s="183" t="n"/>
      <c r="CX16" s="176" t="n"/>
      <c r="CY16" s="176" t="n"/>
      <c r="CZ16" s="176" t="n"/>
      <c r="DA16" s="181" t="inlineStr">
        <is>
          <t>BASE DO LIVRO</t>
        </is>
      </c>
      <c r="DB16" s="182" t="n"/>
      <c r="DC16" s="183" t="n"/>
      <c r="DD16" s="185" t="inlineStr">
        <is>
          <t>Nenhuma</t>
        </is>
      </c>
      <c r="DE16" s="182" t="n"/>
      <c r="DF16" s="183" t="n"/>
      <c r="DG16" s="176" t="n"/>
      <c r="DH16" s="176" t="n"/>
      <c r="DI16" s="181" t="inlineStr">
        <is>
          <t>BASE DO LIVRO</t>
        </is>
      </c>
      <c r="DJ16" s="182" t="n"/>
      <c r="DK16" s="183" t="n"/>
      <c r="DL16" s="185" t="inlineStr">
        <is>
          <t>Nenhuma</t>
        </is>
      </c>
      <c r="DM16" s="182" t="n"/>
      <c r="DN16" s="183" t="n"/>
      <c r="DO16" s="176" t="n"/>
      <c r="DP16" s="176" t="n"/>
      <c r="DQ16" s="176" t="n"/>
      <c r="DR16" s="181" t="inlineStr">
        <is>
          <t>BASE DO LIVRO</t>
        </is>
      </c>
      <c r="DS16" s="182" t="n"/>
      <c r="DT16" s="183" t="n"/>
      <c r="DU16" s="185" t="inlineStr">
        <is>
          <t>Nenhuma</t>
        </is>
      </c>
      <c r="DV16" s="182" t="n"/>
      <c r="DW16" s="183" t="n"/>
      <c r="DX16" s="176" t="n"/>
      <c r="DY16" s="176" t="n"/>
      <c r="DZ16" s="181" t="inlineStr">
        <is>
          <t>BASE DO LIVRO</t>
        </is>
      </c>
      <c r="EA16" s="182" t="n"/>
      <c r="EB16" s="183" t="n"/>
      <c r="EC16" s="185" t="inlineStr">
        <is>
          <t>Nenhuma</t>
        </is>
      </c>
      <c r="ED16" s="182" t="n"/>
      <c r="EE16" s="183" t="n"/>
      <c r="EF16" s="176" t="n"/>
      <c r="EG16" s="176" t="n"/>
      <c r="EH16" s="176" t="n"/>
      <c r="EI16" s="181" t="inlineStr">
        <is>
          <t>DEFINIÇÃO</t>
        </is>
      </c>
      <c r="EJ16" s="182" t="n"/>
      <c r="EK16" s="182" t="n"/>
      <c r="EL16" s="182" t="n"/>
      <c r="EM16" s="182" t="n"/>
      <c r="EN16" s="183" t="n"/>
      <c r="EO16" s="176" t="n"/>
      <c r="EP16" s="176" t="n"/>
      <c r="EQ16" s="181" t="inlineStr">
        <is>
          <t>DEFINIÇÃO</t>
        </is>
      </c>
      <c r="ER16" s="182" t="n"/>
      <c r="ES16" s="182" t="n"/>
      <c r="ET16" s="182" t="n"/>
      <c r="EU16" s="182" t="n"/>
      <c r="EV16" s="183" t="n"/>
      <c r="EW16" s="176" t="n"/>
      <c r="EX16" s="176" t="n"/>
      <c r="EY16" s="176" t="n"/>
      <c r="EZ16" s="185" t="n"/>
      <c r="FA16" s="182" t="n"/>
      <c r="FB16" s="182" t="n"/>
      <c r="FC16" s="182" t="n"/>
      <c r="FD16" s="182" t="n"/>
      <c r="FE16" s="183" t="n"/>
      <c r="FF16" s="176" t="n"/>
      <c r="FG16" s="176" t="n"/>
      <c r="FH16" s="185" t="n"/>
      <c r="FI16" s="182" t="n"/>
      <c r="FJ16" s="182" t="n"/>
      <c r="FK16" s="182" t="n"/>
      <c r="FL16" s="182" t="n"/>
      <c r="FM16" s="183" t="n"/>
      <c r="FN16" s="176" t="n"/>
      <c r="FO16" s="176" t="n"/>
      <c r="FP16" s="176" t="n"/>
      <c r="FQ16" s="185" t="n"/>
      <c r="FR16" s="182" t="n"/>
      <c r="FS16" s="182" t="n"/>
      <c r="FT16" s="182" t="n"/>
      <c r="FU16" s="182" t="n"/>
      <c r="FV16" s="183" t="n"/>
      <c r="FW16" s="176" t="n"/>
      <c r="FX16" s="176" t="n"/>
      <c r="FY16" s="185" t="n"/>
      <c r="FZ16" s="182" t="n"/>
      <c r="GA16" s="182" t="n"/>
      <c r="GB16" s="182" t="n"/>
      <c r="GC16" s="182" t="n"/>
      <c r="GD16" s="183" t="n"/>
      <c r="GE16" s="176" t="n"/>
      <c r="GF16" s="176" t="n"/>
      <c r="GG16" s="176" t="n"/>
      <c r="GH16" s="185" t="n"/>
      <c r="GI16" s="182" t="n"/>
      <c r="GJ16" s="182" t="n"/>
      <c r="GK16" s="182" t="n"/>
      <c r="GL16" s="182" t="n"/>
      <c r="GM16" s="183" t="n"/>
      <c r="GN16" s="176" t="n"/>
      <c r="GO16" s="176" t="n"/>
      <c r="GP16" s="185" t="n"/>
      <c r="GQ16" s="182" t="n"/>
      <c r="GR16" s="182" t="n"/>
      <c r="GS16" s="182" t="n"/>
      <c r="GT16" s="182" t="n"/>
      <c r="GU16" s="183" t="n"/>
      <c r="GV16" s="176" t="n"/>
      <c r="GW16" s="176" t="n"/>
      <c r="GX16" s="176" t="n"/>
      <c r="GY16" s="181" t="inlineStr">
        <is>
          <t>VIDA</t>
        </is>
      </c>
      <c r="GZ16" s="182" t="n"/>
      <c r="HA16" s="183" t="n"/>
      <c r="HB16" s="185" t="n"/>
      <c r="HC16" s="182" t="n"/>
      <c r="HD16" s="183" t="n"/>
      <c r="HE16" s="176" t="n"/>
      <c r="HF16" s="176" t="n"/>
      <c r="HG16" s="181" t="inlineStr">
        <is>
          <t>VIDA</t>
        </is>
      </c>
      <c r="HH16" s="182" t="n"/>
      <c r="HI16" s="183" t="n"/>
      <c r="HJ16" s="185" t="n"/>
      <c r="HK16" s="182" t="n"/>
      <c r="HL16" s="183" t="n"/>
      <c r="HM16" s="176" t="n"/>
      <c r="HN16" s="176" t="n"/>
      <c r="HO16" s="176" t="n"/>
      <c r="HP16" s="181" t="inlineStr">
        <is>
          <t>CATEGORIA DE EFEITO</t>
        </is>
      </c>
      <c r="HQ16" s="182" t="n"/>
      <c r="HR16" s="183" t="n"/>
      <c r="HS16" s="185" t="n"/>
      <c r="HT16" s="182" t="n"/>
      <c r="HU16" s="183" t="n"/>
      <c r="HV16" s="176" t="n"/>
      <c r="HW16" s="176" t="n"/>
      <c r="HX16" s="181" t="inlineStr">
        <is>
          <t>CATEGORIA DE EFEITO</t>
        </is>
      </c>
      <c r="HY16" s="182" t="n"/>
      <c r="HZ16" s="183" t="n"/>
      <c r="IA16" s="185" t="n"/>
      <c r="IB16" s="182" t="n"/>
      <c r="IC16" s="183" t="n"/>
      <c r="ID16" s="176" t="n"/>
    </row>
    <row r="17" ht="31.5" customHeight="1">
      <c r="A17" s="176" t="n"/>
      <c r="B17" s="176" t="n"/>
      <c r="C17" s="184" t="b">
        <v>0</v>
      </c>
      <c r="D17" s="185" t="n"/>
      <c r="E17" s="185" t="n"/>
      <c r="F17" s="186" t="n"/>
      <c r="G17" s="185" t="n"/>
      <c r="H17" s="185" t="n"/>
      <c r="I17" s="176" t="n"/>
      <c r="J17" s="176" t="n"/>
      <c r="K17" s="185" t="inlineStr">
        <is>
          <t>05 · Famílias</t>
        </is>
      </c>
      <c r="L17" s="187" t="n"/>
      <c r="M17" s="187" t="n"/>
      <c r="N17" s="188" t="n"/>
      <c r="O17" s="185" t="inlineStr">
        <is>
          <t>06 · Melhorias</t>
        </is>
      </c>
      <c r="P17" s="187" t="n"/>
      <c r="Q17" s="188" t="n"/>
      <c r="R17" s="176" t="n"/>
      <c r="S17" s="176" t="n"/>
      <c r="T17" s="181">
        <f>SWITCH('CONFIGURAÇÃO'!$T$14,"Origem","PERÍCIA 1","Marcante","ORIGEM","Menor","ORIGEM","Arma","CATEGORIA","Escudo","","Uniforme","GRAU MÍNIMO","Item comum","","Ferramenta amaldiçoada","BASE","")</f>
        <v/>
      </c>
      <c r="U17" s="183" t="n"/>
      <c r="V17" s="185" t="n"/>
      <c r="W17" s="182" t="n"/>
      <c r="X17" s="182" t="n"/>
      <c r="Y17" s="183" t="n"/>
      <c r="Z17" s="176" t="n"/>
      <c r="AA17" s="176" t="n"/>
      <c r="AB17" s="181">
        <f>SWITCH('CONFIGURAÇÃO'!$AB$14,"Origem","PERÍCIA 1","Marcante","ORIGEM","Menor","ORIGEM","Arma","CATEGORIA","Escudo","","Uniforme","GRAU MÍNIMO","Item comum","","Ferramenta amaldiçoada","BASE","")</f>
        <v/>
      </c>
      <c r="AC17" s="183" t="n"/>
      <c r="AD17" s="185" t="n"/>
      <c r="AE17" s="182" t="n"/>
      <c r="AF17" s="182" t="n"/>
      <c r="AG17" s="183" t="n"/>
      <c r="AH17" s="176" t="n"/>
      <c r="AI17" s="176" t="n"/>
      <c r="AJ17" s="176" t="n"/>
      <c r="AK17" s="181" t="inlineStr">
        <is>
          <t>PE POR NÍVEL</t>
        </is>
      </c>
      <c r="AL17" s="182" t="n"/>
      <c r="AM17" s="183" t="n"/>
      <c r="AN17" s="185" t="n"/>
      <c r="AO17" s="182" t="n"/>
      <c r="AP17" s="183" t="n"/>
      <c r="AQ17" s="176" t="n"/>
      <c r="AR17" s="176" t="n"/>
      <c r="AS17" s="176" t="n"/>
      <c r="AT17" s="176" t="n"/>
      <c r="AU17" s="176" t="n"/>
      <c r="AV17" s="176" t="n"/>
      <c r="AW17" s="176" t="n"/>
      <c r="AX17" s="176" t="n"/>
      <c r="AY17" s="176" t="n"/>
      <c r="AZ17" s="176" t="n"/>
      <c r="BA17" s="176" t="n"/>
      <c r="BB17" s="193" t="n"/>
      <c r="BG17" s="194" t="n"/>
      <c r="BH17" s="176" t="n"/>
      <c r="BI17" s="176" t="n"/>
      <c r="BJ17" s="193" t="n"/>
      <c r="BO17" s="194" t="n"/>
      <c r="BP17" s="176" t="n"/>
      <c r="BQ17" s="176" t="n"/>
      <c r="BR17" s="176" t="n"/>
      <c r="BS17" s="193" t="n"/>
      <c r="BX17" s="194" t="n"/>
      <c r="BY17" s="176" t="n"/>
      <c r="BZ17" s="176" t="n"/>
      <c r="CA17" s="193" t="n"/>
      <c r="CF17" s="194" t="n"/>
      <c r="CG17" s="176" t="n"/>
      <c r="CH17" s="176" t="n"/>
      <c r="CI17" s="176" t="n"/>
      <c r="CJ17" s="181" t="inlineStr">
        <is>
          <t>DESCRIÇÃO</t>
        </is>
      </c>
      <c r="CK17" s="182" t="n"/>
      <c r="CL17" s="182" t="n"/>
      <c r="CM17" s="182" t="n"/>
      <c r="CN17" s="182" t="n"/>
      <c r="CO17" s="183" t="n"/>
      <c r="CP17" s="176" t="n"/>
      <c r="CQ17" s="176" t="n"/>
      <c r="CR17" s="181" t="inlineStr">
        <is>
          <t>DESCRIÇÃO</t>
        </is>
      </c>
      <c r="CS17" s="182" t="n"/>
      <c r="CT17" s="182" t="n"/>
      <c r="CU17" s="182" t="n"/>
      <c r="CV17" s="182" t="n"/>
      <c r="CW17" s="183" t="n"/>
      <c r="CX17" s="176" t="n"/>
      <c r="CY17" s="176" t="n"/>
      <c r="CZ17" s="176" t="n"/>
      <c r="DA17" s="181" t="inlineStr">
        <is>
          <t>FAMÍLIA</t>
        </is>
      </c>
      <c r="DB17" s="182" t="n"/>
      <c r="DC17" s="183" t="n"/>
      <c r="DD17" s="185" t="n"/>
      <c r="DE17" s="182" t="n"/>
      <c r="DF17" s="183" t="n"/>
      <c r="DG17" s="176" t="n"/>
      <c r="DH17" s="176" t="n"/>
      <c r="DI17" s="181" t="inlineStr">
        <is>
          <t>FAMÍLIA</t>
        </is>
      </c>
      <c r="DJ17" s="182" t="n"/>
      <c r="DK17" s="183" t="n"/>
      <c r="DL17" s="185" t="n"/>
      <c r="DM17" s="182" t="n"/>
      <c r="DN17" s="183" t="n"/>
      <c r="DO17" s="176" t="n"/>
      <c r="DP17" s="176" t="n"/>
      <c r="DQ17" s="176" t="n"/>
      <c r="DR17" s="181" t="inlineStr">
        <is>
          <t>DEVOLUÇÃO</t>
        </is>
      </c>
      <c r="DS17" s="182" t="n"/>
      <c r="DT17" s="183" t="n"/>
      <c r="DU17" s="185" t="n"/>
      <c r="DV17" s="182" t="n"/>
      <c r="DW17" s="183" t="n"/>
      <c r="DX17" s="176" t="n"/>
      <c r="DY17" s="176" t="n"/>
      <c r="DZ17" s="181" t="inlineStr">
        <is>
          <t>DEVOLUÇÃO</t>
        </is>
      </c>
      <c r="EA17" s="182" t="n"/>
      <c r="EB17" s="183" t="n"/>
      <c r="EC17" s="185" t="n"/>
      <c r="ED17" s="182" t="n"/>
      <c r="EE17" s="183" t="n"/>
      <c r="EF17" s="176" t="n"/>
      <c r="EG17" s="176" t="n"/>
      <c r="EH17" s="176" t="n"/>
      <c r="EI17" s="192" t="n"/>
      <c r="EJ17" s="187" t="n"/>
      <c r="EK17" s="187" t="n"/>
      <c r="EL17" s="187" t="n"/>
      <c r="EM17" s="187" t="n"/>
      <c r="EN17" s="188" t="n"/>
      <c r="EO17" s="176" t="n"/>
      <c r="EP17" s="176" t="n"/>
      <c r="EQ17" s="192" t="n"/>
      <c r="ER17" s="187" t="n"/>
      <c r="ES17" s="187" t="n"/>
      <c r="ET17" s="187" t="n"/>
      <c r="EU17" s="187" t="n"/>
      <c r="EV17" s="188" t="n"/>
      <c r="EW17" s="176" t="n"/>
      <c r="EX17" s="176" t="n"/>
      <c r="EY17" s="176" t="n"/>
      <c r="EZ17" s="181" t="inlineStr">
        <is>
          <t>BASE DO LIVRO</t>
        </is>
      </c>
      <c r="FA17" s="182" t="n"/>
      <c r="FB17" s="183" t="n"/>
      <c r="FC17" s="185" t="n"/>
      <c r="FD17" s="182" t="n"/>
      <c r="FE17" s="183" t="n"/>
      <c r="FF17" s="176" t="n"/>
      <c r="FG17" s="176" t="n"/>
      <c r="FH17" s="181" t="inlineStr">
        <is>
          <t>BASE DO LIVRO</t>
        </is>
      </c>
      <c r="FI17" s="182" t="n"/>
      <c r="FJ17" s="183" t="n"/>
      <c r="FK17" s="185" t="n"/>
      <c r="FL17" s="182" t="n"/>
      <c r="FM17" s="183" t="n"/>
      <c r="FN17" s="176" t="n"/>
      <c r="FO17" s="176" t="n"/>
      <c r="FP17" s="176" t="n"/>
      <c r="FQ17" s="181" t="inlineStr">
        <is>
          <t>BASE DO LIVRO</t>
        </is>
      </c>
      <c r="FR17" s="182" t="n"/>
      <c r="FS17" s="183" t="n"/>
      <c r="FT17" s="185" t="n"/>
      <c r="FU17" s="182" t="n"/>
      <c r="FV17" s="183" t="n"/>
      <c r="FW17" s="176" t="n"/>
      <c r="FX17" s="176" t="n"/>
      <c r="FY17" s="181" t="inlineStr">
        <is>
          <t>BASE DO LIVRO</t>
        </is>
      </c>
      <c r="FZ17" s="182" t="n"/>
      <c r="GA17" s="183" t="n"/>
      <c r="GB17" s="185" t="n"/>
      <c r="GC17" s="182" t="n"/>
      <c r="GD17" s="183" t="n"/>
      <c r="GE17" s="176" t="n"/>
      <c r="GF17" s="176" t="n"/>
      <c r="GG17" s="176" t="n"/>
      <c r="GH17" s="181" t="inlineStr">
        <is>
          <t>BASE DO LIVRO</t>
        </is>
      </c>
      <c r="GI17" s="182" t="n"/>
      <c r="GJ17" s="183" t="n"/>
      <c r="GK17" s="185" t="n"/>
      <c r="GL17" s="182" t="n"/>
      <c r="GM17" s="183" t="n"/>
      <c r="GN17" s="176" t="n"/>
      <c r="GO17" s="176" t="n"/>
      <c r="GP17" s="181" t="inlineStr">
        <is>
          <t>BASE DO LIVRO</t>
        </is>
      </c>
      <c r="GQ17" s="182" t="n"/>
      <c r="GR17" s="183" t="n"/>
      <c r="GS17" s="185" t="n"/>
      <c r="GT17" s="182" t="n"/>
      <c r="GU17" s="183" t="n"/>
      <c r="GV17" s="176" t="n"/>
      <c r="GW17" s="176" t="n"/>
      <c r="GX17" s="176" t="n"/>
      <c r="GY17" s="181" t="inlineStr">
        <is>
          <t>TALISMÃ</t>
        </is>
      </c>
      <c r="GZ17" s="182" t="n"/>
      <c r="HA17" s="183" t="n"/>
      <c r="HB17" s="185" t="n"/>
      <c r="HC17" s="182" t="n"/>
      <c r="HD17" s="183" t="n"/>
      <c r="HE17" s="176" t="n"/>
      <c r="HF17" s="176" t="n"/>
      <c r="HG17" s="181" t="inlineStr">
        <is>
          <t>TALISMÃ</t>
        </is>
      </c>
      <c r="HH17" s="182" t="n"/>
      <c r="HI17" s="183" t="n"/>
      <c r="HJ17" s="185" t="n"/>
      <c r="HK17" s="182" t="n"/>
      <c r="HL17" s="183" t="n"/>
      <c r="HM17" s="176" t="n"/>
      <c r="HN17" s="176" t="n"/>
      <c r="HO17" s="176" t="n"/>
      <c r="HP17" s="176" t="n"/>
      <c r="HQ17" s="176" t="n"/>
      <c r="HR17" s="176" t="n"/>
      <c r="HS17" s="176" t="n"/>
      <c r="HT17" s="176" t="n"/>
      <c r="HU17" s="176" t="n"/>
      <c r="HV17" s="176" t="n"/>
      <c r="HW17" s="176" t="n"/>
      <c r="HX17" s="176" t="n"/>
      <c r="HY17" s="176" t="n"/>
      <c r="HZ17" s="176" t="n"/>
      <c r="IA17" s="176" t="n"/>
      <c r="IB17" s="176" t="n"/>
      <c r="IC17" s="176" t="n"/>
      <c r="ID17" s="176" t="n"/>
    </row>
    <row r="18" ht="31.5" customHeight="1">
      <c r="A18" s="176" t="n"/>
      <c r="B18" s="176" t="n"/>
      <c r="C18" s="184" t="b">
        <v>0</v>
      </c>
      <c r="D18" s="185" t="n"/>
      <c r="E18" s="185" t="n"/>
      <c r="F18" s="186" t="n"/>
      <c r="G18" s="185" t="n"/>
      <c r="H18" s="185" t="n"/>
      <c r="I18" s="176" t="n"/>
      <c r="J18" s="176" t="n"/>
      <c r="K18" s="189" t="n"/>
      <c r="L18" s="190" t="n"/>
      <c r="M18" s="190" t="n"/>
      <c r="N18" s="191" t="n"/>
      <c r="O18" s="189" t="n"/>
      <c r="P18" s="190" t="n"/>
      <c r="Q18" s="191" t="n"/>
      <c r="R18" s="176" t="n"/>
      <c r="S18" s="176" t="n"/>
      <c r="T18" s="181">
        <f>SWITCH('CONFIGURAÇÃO'!$T$14,"Origem","PERÍCIA 2","Marcante","","Menor","EXIGE MARCANTE","Arma","MÃO","Escudo","","Uniforme","","Item comum","","Ferramenta amaldiçoada","GRAU","")</f>
        <v/>
      </c>
      <c r="U18" s="183" t="n"/>
      <c r="V18" s="185" t="n"/>
      <c r="W18" s="182" t="n"/>
      <c r="X18" s="182" t="n"/>
      <c r="Y18" s="183" t="n"/>
      <c r="Z18" s="176" t="n"/>
      <c r="AA18" s="176" t="n"/>
      <c r="AB18" s="181">
        <f>SWITCH('CONFIGURAÇÃO'!$AB$14,"Origem","PERÍCIA 2","Marcante","","Menor","EXIGE MARCANTE","Arma","MÃO","Escudo","","Uniforme","","Item comum","","Ferramenta amaldiçoada","GRAU","")</f>
        <v/>
      </c>
      <c r="AC18" s="183" t="n"/>
      <c r="AD18" s="185" t="n"/>
      <c r="AE18" s="182" t="n"/>
      <c r="AF18" s="182" t="n"/>
      <c r="AG18" s="183" t="n"/>
      <c r="AH18" s="176" t="n"/>
      <c r="AI18" s="176" t="n"/>
      <c r="AJ18" s="176" t="n"/>
      <c r="AK18" s="181" t="inlineStr">
        <is>
          <t>ATRIBUTO NATURAL 1</t>
        </is>
      </c>
      <c r="AL18" s="182" t="n"/>
      <c r="AM18" s="183" t="n"/>
      <c r="AN18" s="185" t="n"/>
      <c r="AO18" s="182" t="n"/>
      <c r="AP18" s="183" t="n"/>
      <c r="AQ18" s="176" t="n"/>
      <c r="AR18" s="176" t="n"/>
      <c r="AS18" s="176" t="n"/>
      <c r="AT18" s="176" t="n"/>
      <c r="AU18" s="176" t="n"/>
      <c r="AV18" s="176" t="n"/>
      <c r="AW18" s="176" t="n"/>
      <c r="AX18" s="176" t="n"/>
      <c r="AY18" s="176" t="n"/>
      <c r="AZ18" s="176" t="n"/>
      <c r="BA18" s="176" t="n"/>
      <c r="BB18" s="189" t="n"/>
      <c r="BC18" s="190" t="n"/>
      <c r="BD18" s="190" t="n"/>
      <c r="BE18" s="190" t="n"/>
      <c r="BF18" s="190" t="n"/>
      <c r="BG18" s="191" t="n"/>
      <c r="BH18" s="176" t="n"/>
      <c r="BI18" s="176" t="n"/>
      <c r="BJ18" s="189" t="n"/>
      <c r="BK18" s="190" t="n"/>
      <c r="BL18" s="190" t="n"/>
      <c r="BM18" s="190" t="n"/>
      <c r="BN18" s="190" t="n"/>
      <c r="BO18" s="191" t="n"/>
      <c r="BP18" s="176" t="n"/>
      <c r="BQ18" s="176" t="n"/>
      <c r="BR18" s="176" t="n"/>
      <c r="BS18" s="189" t="n"/>
      <c r="BT18" s="190" t="n"/>
      <c r="BU18" s="190" t="n"/>
      <c r="BV18" s="190" t="n"/>
      <c r="BW18" s="190" t="n"/>
      <c r="BX18" s="191" t="n"/>
      <c r="BY18" s="176" t="n"/>
      <c r="BZ18" s="176" t="n"/>
      <c r="CA18" s="189" t="n"/>
      <c r="CB18" s="190" t="n"/>
      <c r="CC18" s="190" t="n"/>
      <c r="CD18" s="190" t="n"/>
      <c r="CE18" s="190" t="n"/>
      <c r="CF18" s="191" t="n"/>
      <c r="CG18" s="176" t="n"/>
      <c r="CH18" s="176" t="n"/>
      <c r="CI18" s="176" t="n"/>
      <c r="CJ18" s="192" t="n"/>
      <c r="CK18" s="187" t="n"/>
      <c r="CL18" s="187" t="n"/>
      <c r="CM18" s="187" t="n"/>
      <c r="CN18" s="187" t="n"/>
      <c r="CO18" s="188" t="n"/>
      <c r="CP18" s="176" t="n"/>
      <c r="CQ18" s="176" t="n"/>
      <c r="CR18" s="192" t="n"/>
      <c r="CS18" s="187" t="n"/>
      <c r="CT18" s="187" t="n"/>
      <c r="CU18" s="187" t="n"/>
      <c r="CV18" s="187" t="n"/>
      <c r="CW18" s="188" t="n"/>
      <c r="CX18" s="176" t="n"/>
      <c r="CY18" s="176" t="n"/>
      <c r="CZ18" s="176" t="n"/>
      <c r="DA18" s="181" t="inlineStr">
        <is>
          <t>PESO</t>
        </is>
      </c>
      <c r="DB18" s="182" t="n"/>
      <c r="DC18" s="183" t="n"/>
      <c r="DD18" s="185" t="n"/>
      <c r="DE18" s="182" t="n"/>
      <c r="DF18" s="183" t="n"/>
      <c r="DG18" s="176" t="n"/>
      <c r="DH18" s="176" t="n"/>
      <c r="DI18" s="181" t="inlineStr">
        <is>
          <t>PESO</t>
        </is>
      </c>
      <c r="DJ18" s="182" t="n"/>
      <c r="DK18" s="183" t="n"/>
      <c r="DL18" s="185" t="n"/>
      <c r="DM18" s="182" t="n"/>
      <c r="DN18" s="183" t="n"/>
      <c r="DO18" s="176" t="n"/>
      <c r="DP18" s="176" t="n"/>
      <c r="DQ18" s="176" t="n"/>
      <c r="DR18" s="181" t="inlineStr">
        <is>
          <t>FREQUÊNCIA</t>
        </is>
      </c>
      <c r="DS18" s="182" t="n"/>
      <c r="DT18" s="183" t="n"/>
      <c r="DU18" s="185" t="n"/>
      <c r="DV18" s="182" t="n"/>
      <c r="DW18" s="183" t="n"/>
      <c r="DX18" s="176" t="n"/>
      <c r="DY18" s="176" t="n"/>
      <c r="DZ18" s="181" t="inlineStr">
        <is>
          <t>FREQUÊNCIA</t>
        </is>
      </c>
      <c r="EA18" s="182" t="n"/>
      <c r="EB18" s="183" t="n"/>
      <c r="EC18" s="185" t="n"/>
      <c r="ED18" s="182" t="n"/>
      <c r="EE18" s="183" t="n"/>
      <c r="EF18" s="176" t="n"/>
      <c r="EG18" s="176" t="n"/>
      <c r="EH18" s="176" t="n"/>
      <c r="EI18" s="193" t="n"/>
      <c r="EN18" s="194" t="n"/>
      <c r="EO18" s="176" t="n"/>
      <c r="EP18" s="176" t="n"/>
      <c r="EQ18" s="193" t="n"/>
      <c r="EV18" s="194" t="n"/>
      <c r="EW18" s="176" t="n"/>
      <c r="EX18" s="176" t="n"/>
      <c r="EY18" s="176" t="n"/>
      <c r="EZ18" s="181" t="inlineStr">
        <is>
          <t>FAMÍLIA</t>
        </is>
      </c>
      <c r="FA18" s="182" t="n"/>
      <c r="FB18" s="183" t="n"/>
      <c r="FC18" s="185" t="n"/>
      <c r="FD18" s="182" t="n"/>
      <c r="FE18" s="183" t="n"/>
      <c r="FF18" s="176" t="n"/>
      <c r="FG18" s="176" t="n"/>
      <c r="FH18" s="181" t="inlineStr">
        <is>
          <t>FAMÍLIA</t>
        </is>
      </c>
      <c r="FI18" s="182" t="n"/>
      <c r="FJ18" s="183" t="n"/>
      <c r="FK18" s="185" t="n"/>
      <c r="FL18" s="182" t="n"/>
      <c r="FM18" s="183" t="n"/>
      <c r="FN18" s="176" t="n"/>
      <c r="FO18" s="176" t="n"/>
      <c r="FP18" s="176" t="n"/>
      <c r="FQ18" s="181" t="inlineStr">
        <is>
          <t>CATEGORIA DE EFEITO</t>
        </is>
      </c>
      <c r="FR18" s="182" t="n"/>
      <c r="FS18" s="183" t="n"/>
      <c r="FT18" s="185" t="n"/>
      <c r="FU18" s="182" t="n"/>
      <c r="FV18" s="183" t="n"/>
      <c r="FW18" s="176" t="n"/>
      <c r="FX18" s="176" t="n"/>
      <c r="FY18" s="181" t="inlineStr">
        <is>
          <t>CATEGORIA DE EFEITO</t>
        </is>
      </c>
      <c r="FZ18" s="182" t="n"/>
      <c r="GA18" s="183" t="n"/>
      <c r="GB18" s="185" t="n"/>
      <c r="GC18" s="182" t="n"/>
      <c r="GD18" s="183" t="n"/>
      <c r="GE18" s="176" t="n"/>
      <c r="GF18" s="176" t="n"/>
      <c r="GG18" s="176" t="n"/>
      <c r="GH18" s="181" t="inlineStr">
        <is>
          <t>CATEGORIA DE EFEITO</t>
        </is>
      </c>
      <c r="GI18" s="182" t="n"/>
      <c r="GJ18" s="183" t="n"/>
      <c r="GK18" s="185" t="n"/>
      <c r="GL18" s="182" t="n"/>
      <c r="GM18" s="183" t="n"/>
      <c r="GN18" s="176" t="n"/>
      <c r="GO18" s="176" t="n"/>
      <c r="GP18" s="181" t="inlineStr">
        <is>
          <t>CATEGORIA DE EFEITO</t>
        </is>
      </c>
      <c r="GQ18" s="182" t="n"/>
      <c r="GR18" s="183" t="n"/>
      <c r="GS18" s="185" t="n"/>
      <c r="GT18" s="182" t="n"/>
      <c r="GU18" s="183" t="n"/>
      <c r="GV18" s="176" t="n"/>
      <c r="GW18" s="176" t="n"/>
      <c r="GX18" s="176" t="n"/>
      <c r="GY18" s="176" t="n"/>
      <c r="GZ18" s="176" t="n"/>
      <c r="HA18" s="176" t="n"/>
      <c r="HB18" s="176" t="n"/>
      <c r="HC18" s="176" t="n"/>
      <c r="HD18" s="176" t="n"/>
      <c r="HE18" s="176" t="n"/>
      <c r="HF18" s="176" t="n"/>
      <c r="HG18" s="176" t="n"/>
      <c r="HH18" s="176" t="n"/>
      <c r="HI18" s="176" t="n"/>
      <c r="HJ18" s="176" t="n"/>
      <c r="HK18" s="176" t="n"/>
      <c r="HL18" s="176" t="n"/>
      <c r="HM18" s="176" t="n"/>
      <c r="HN18" s="176" t="n"/>
      <c r="HO18" s="176" t="n"/>
      <c r="HP18" s="176" t="n"/>
      <c r="HQ18" s="176" t="n"/>
      <c r="HR18" s="176" t="n"/>
      <c r="HS18" s="176" t="n"/>
      <c r="HT18" s="176" t="n"/>
      <c r="HU18" s="176" t="n"/>
      <c r="HV18" s="176" t="n"/>
      <c r="HW18" s="176" t="n"/>
      <c r="HX18" s="176" t="n"/>
      <c r="HY18" s="176" t="n"/>
      <c r="HZ18" s="176" t="n"/>
      <c r="IA18" s="176" t="n"/>
      <c r="IB18" s="176" t="n"/>
      <c r="IC18" s="176" t="n"/>
      <c r="ID18" s="176" t="n"/>
    </row>
    <row r="19" ht="31.5" customHeight="1">
      <c r="A19" s="176" t="n"/>
      <c r="B19" s="176" t="n"/>
      <c r="C19" s="184" t="b">
        <v>0</v>
      </c>
      <c r="D19" s="185" t="n"/>
      <c r="E19" s="185" t="n"/>
      <c r="F19" s="186" t="n"/>
      <c r="G19" s="185" t="n"/>
      <c r="H19" s="185" t="n"/>
      <c r="I19" s="176" t="n"/>
      <c r="J19" s="176" t="n"/>
      <c r="K19" s="176" t="n"/>
      <c r="L19" s="176" t="n"/>
      <c r="M19" s="176" t="n"/>
      <c r="N19" s="176" t="n"/>
      <c r="O19" s="176" t="n"/>
      <c r="P19" s="176" t="n"/>
      <c r="Q19" s="176" t="n"/>
      <c r="R19" s="176" t="n"/>
      <c r="S19" s="176" t="n"/>
      <c r="T19" s="181">
        <f>SWITCH('CONFIGURAÇÃO'!$T$14,"Origem","PERÍCIA 3","Marcante","","Menor","","Arma","TIPO DE DANO","Escudo","","Uniforme","","Item comum","","Ferramenta amaldiçoada","","")</f>
        <v/>
      </c>
      <c r="U19" s="183" t="n"/>
      <c r="V19" s="185" t="n"/>
      <c r="W19" s="182" t="n"/>
      <c r="X19" s="182" t="n"/>
      <c r="Y19" s="183" t="n"/>
      <c r="Z19" s="176" t="n"/>
      <c r="AA19" s="176" t="n"/>
      <c r="AB19" s="181">
        <f>SWITCH('CONFIGURAÇÃO'!$AB$14,"Origem","PERÍCIA 3","Marcante","","Menor","","Arma","TIPO DE DANO","Escudo","","Uniforme","","Item comum","","Ferramenta amaldiçoada","","")</f>
        <v/>
      </c>
      <c r="AC19" s="183" t="n"/>
      <c r="AD19" s="185" t="n"/>
      <c r="AE19" s="182" t="n"/>
      <c r="AF19" s="182" t="n"/>
      <c r="AG19" s="183" t="n"/>
      <c r="AH19" s="176" t="n"/>
      <c r="AI19" s="176" t="n"/>
      <c r="AJ19" s="176" t="n"/>
      <c r="AK19" s="181" t="inlineStr">
        <is>
          <t>ATRIBUTO NATURAL 2</t>
        </is>
      </c>
      <c r="AL19" s="182" t="n"/>
      <c r="AM19" s="183" t="n"/>
      <c r="AN19" s="185" t="n"/>
      <c r="AO19" s="182" t="n"/>
      <c r="AP19" s="183" t="n"/>
      <c r="AQ19" s="176" t="n"/>
      <c r="AR19" s="176" t="n"/>
      <c r="AS19" s="176" t="n"/>
      <c r="AT19" s="176" t="n"/>
      <c r="AU19" s="176" t="n"/>
      <c r="AV19" s="176" t="n"/>
      <c r="AW19" s="176" t="n"/>
      <c r="AX19" s="176" t="n"/>
      <c r="AY19" s="176" t="n"/>
      <c r="AZ19" s="176" t="n"/>
      <c r="BA19" s="176" t="n"/>
      <c r="BB19" s="176" t="n"/>
      <c r="BC19" s="176" t="n"/>
      <c r="BD19" s="176" t="n"/>
      <c r="BE19" s="176" t="n"/>
      <c r="BF19" s="176" t="n"/>
      <c r="BG19" s="176" t="n"/>
      <c r="BH19" s="176" t="n"/>
      <c r="BI19" s="176" t="n"/>
      <c r="BJ19" s="176" t="n"/>
      <c r="BK19" s="176" t="n"/>
      <c r="BL19" s="176" t="n"/>
      <c r="BM19" s="176" t="n"/>
      <c r="BN19" s="176" t="n"/>
      <c r="BO19" s="176" t="n"/>
      <c r="BP19" s="176" t="n"/>
      <c r="BQ19" s="176" t="n"/>
      <c r="BR19" s="176" t="n"/>
      <c r="BS19" s="176" t="n"/>
      <c r="BT19" s="176" t="n"/>
      <c r="BU19" s="176" t="n"/>
      <c r="BV19" s="176" t="n"/>
      <c r="BW19" s="176" t="n"/>
      <c r="BX19" s="176" t="n"/>
      <c r="BY19" s="176" t="n"/>
      <c r="BZ19" s="176" t="n"/>
      <c r="CA19" s="176" t="n"/>
      <c r="CB19" s="176" t="n"/>
      <c r="CC19" s="176" t="n"/>
      <c r="CD19" s="176" t="n"/>
      <c r="CE19" s="176" t="n"/>
      <c r="CF19" s="176" t="n"/>
      <c r="CG19" s="176" t="n"/>
      <c r="CH19" s="176" t="n"/>
      <c r="CI19" s="176" t="n"/>
      <c r="CJ19" s="193" t="n"/>
      <c r="CO19" s="194" t="n"/>
      <c r="CP19" s="176" t="n"/>
      <c r="CQ19" s="176" t="n"/>
      <c r="CR19" s="193" t="n"/>
      <c r="CW19" s="194" t="n"/>
      <c r="CX19" s="176" t="n"/>
      <c r="CY19" s="176" t="n"/>
      <c r="CZ19" s="176" t="n"/>
      <c r="DA19" s="181" t="inlineStr">
        <is>
          <t>EXIGE TR</t>
        </is>
      </c>
      <c r="DB19" s="182" t="n"/>
      <c r="DC19" s="183" t="n"/>
      <c r="DD19" s="185" t="n"/>
      <c r="DE19" s="182" t="n"/>
      <c r="DF19" s="183" t="n"/>
      <c r="DG19" s="176" t="n"/>
      <c r="DH19" s="176" t="n"/>
      <c r="DI19" s="181" t="inlineStr">
        <is>
          <t>EXIGE TR</t>
        </is>
      </c>
      <c r="DJ19" s="182" t="n"/>
      <c r="DK19" s="183" t="n"/>
      <c r="DL19" s="185" t="n"/>
      <c r="DM19" s="182" t="n"/>
      <c r="DN19" s="183" t="n"/>
      <c r="DO19" s="176" t="n"/>
      <c r="DP19" s="176" t="n"/>
      <c r="DQ19" s="176" t="n"/>
      <c r="DR19" s="176" t="n"/>
      <c r="DS19" s="176" t="n"/>
      <c r="DT19" s="176" t="n"/>
      <c r="DU19" s="176" t="n"/>
      <c r="DV19" s="176" t="n"/>
      <c r="DW19" s="176" t="n"/>
      <c r="DX19" s="176" t="n"/>
      <c r="DY19" s="176" t="n"/>
      <c r="DZ19" s="176" t="n"/>
      <c r="EA19" s="176" t="n"/>
      <c r="EB19" s="176" t="n"/>
      <c r="EC19" s="176" t="n"/>
      <c r="ED19" s="176" t="n"/>
      <c r="EE19" s="176" t="n"/>
      <c r="EF19" s="176" t="n"/>
      <c r="EG19" s="176" t="n"/>
      <c r="EH19" s="176" t="n"/>
      <c r="EI19" s="193" t="n"/>
      <c r="EN19" s="194" t="n"/>
      <c r="EO19" s="176" t="n"/>
      <c r="EP19" s="176" t="n"/>
      <c r="EQ19" s="193" t="n"/>
      <c r="EV19" s="194" t="n"/>
      <c r="EW19" s="176" t="n"/>
      <c r="EX19" s="176" t="n"/>
      <c r="EY19" s="176" t="n"/>
      <c r="EZ19" s="181" t="inlineStr">
        <is>
          <t>PESO</t>
        </is>
      </c>
      <c r="FA19" s="182" t="n"/>
      <c r="FB19" s="183" t="n"/>
      <c r="FC19" s="185" t="n"/>
      <c r="FD19" s="182" t="n"/>
      <c r="FE19" s="183" t="n"/>
      <c r="FF19" s="176" t="n"/>
      <c r="FG19" s="176" t="n"/>
      <c r="FH19" s="181" t="inlineStr">
        <is>
          <t>PESO</t>
        </is>
      </c>
      <c r="FI19" s="182" t="n"/>
      <c r="FJ19" s="183" t="n"/>
      <c r="FK19" s="185" t="n"/>
      <c r="FL19" s="182" t="n"/>
      <c r="FM19" s="183" t="n"/>
      <c r="FN19" s="176" t="n"/>
      <c r="FO19" s="176" t="n"/>
      <c r="FP19" s="176" t="n"/>
      <c r="FQ19" s="181" t="inlineStr">
        <is>
          <t>NÍVEL MÍNIMO</t>
        </is>
      </c>
      <c r="FR19" s="182" t="n"/>
      <c r="FS19" s="183" t="n"/>
      <c r="FT19" s="185" t="n"/>
      <c r="FU19" s="182" t="n"/>
      <c r="FV19" s="183" t="n"/>
      <c r="FW19" s="176" t="n"/>
      <c r="FX19" s="176" t="n"/>
      <c r="FY19" s="181" t="inlineStr">
        <is>
          <t>NÍVEL MÍNIMO</t>
        </is>
      </c>
      <c r="FZ19" s="182" t="n"/>
      <c r="GA19" s="183" t="n"/>
      <c r="GB19" s="185" t="n"/>
      <c r="GC19" s="182" t="n"/>
      <c r="GD19" s="183" t="n"/>
      <c r="GE19" s="176" t="n"/>
      <c r="GF19" s="176" t="n"/>
      <c r="GG19" s="176" t="n"/>
      <c r="GH19" s="181" t="inlineStr">
        <is>
          <t>ROTA</t>
        </is>
      </c>
      <c r="GI19" s="182" t="n"/>
      <c r="GJ19" s="183" t="n"/>
      <c r="GK19" s="185" t="n"/>
      <c r="GL19" s="182" t="n"/>
      <c r="GM19" s="183" t="n"/>
      <c r="GN19" s="176" t="n"/>
      <c r="GO19" s="176" t="n"/>
      <c r="GP19" s="181" t="inlineStr">
        <is>
          <t>ROTA</t>
        </is>
      </c>
      <c r="GQ19" s="182" t="n"/>
      <c r="GR19" s="183" t="n"/>
      <c r="GS19" s="185" t="n"/>
      <c r="GT19" s="182" t="n"/>
      <c r="GU19" s="183" t="n"/>
      <c r="GV19" s="176" t="n"/>
      <c r="GW19" s="176" t="n"/>
      <c r="GX19" s="176" t="n"/>
      <c r="GY19" s="181" t="inlineStr">
        <is>
          <t>RESERVA DE PE</t>
        </is>
      </c>
      <c r="GZ19" s="182" t="n"/>
      <c r="HA19" s="183" t="n"/>
      <c r="HB19" s="185" t="n"/>
      <c r="HC19" s="182" t="n"/>
      <c r="HD19" s="183" t="n"/>
      <c r="HE19" s="176" t="n"/>
      <c r="HF19" s="176" t="n"/>
      <c r="HG19" s="181" t="inlineStr">
        <is>
          <t>RESERVA DE PE</t>
        </is>
      </c>
      <c r="HH19" s="182" t="n"/>
      <c r="HI19" s="183" t="n"/>
      <c r="HJ19" s="185" t="n"/>
      <c r="HK19" s="182" t="n"/>
      <c r="HL19" s="183" t="n"/>
      <c r="HM19" s="176" t="n"/>
      <c r="HN19" s="176" t="n"/>
      <c r="HO19" s="176" t="n"/>
      <c r="HP19" s="176" t="n"/>
      <c r="HQ19" s="176" t="n"/>
      <c r="HR19" s="176" t="n"/>
      <c r="HS19" s="176" t="n"/>
      <c r="HT19" s="176" t="n"/>
      <c r="HU19" s="176" t="n"/>
      <c r="HV19" s="176" t="n"/>
      <c r="HW19" s="176" t="n"/>
      <c r="HX19" s="176" t="n"/>
      <c r="HY19" s="176" t="n"/>
      <c r="HZ19" s="176" t="n"/>
      <c r="IA19" s="176" t="n"/>
      <c r="IB19" s="176" t="n"/>
      <c r="IC19" s="176" t="n"/>
      <c r="ID19" s="176" t="n"/>
    </row>
    <row r="20" ht="31.5" customHeight="1">
      <c r="A20" s="176" t="n"/>
      <c r="B20" s="176" t="n"/>
      <c r="C20" s="184" t="b">
        <v>0</v>
      </c>
      <c r="D20" s="185" t="n"/>
      <c r="E20" s="185" t="n"/>
      <c r="F20" s="186" t="n"/>
      <c r="G20" s="185" t="n"/>
      <c r="H20" s="185" t="n"/>
      <c r="I20" s="176" t="n"/>
      <c r="J20" s="176" t="n"/>
      <c r="K20" s="185" t="inlineStr">
        <is>
          <t>07 · Restrições</t>
        </is>
      </c>
      <c r="L20" s="187" t="n"/>
      <c r="M20" s="187" t="n"/>
      <c r="N20" s="188" t="n"/>
      <c r="O20" s="185" t="inlineStr">
        <is>
          <t>08 · Tipos de dano</t>
        </is>
      </c>
      <c r="P20" s="187" t="n"/>
      <c r="Q20" s="188" t="n"/>
      <c r="R20" s="176" t="n"/>
      <c r="S20" s="176" t="n"/>
      <c r="T20" s="181">
        <f>SWITCH('CONFIGURAÇÃO'!$T$14,"Origem","PERÍCIA 4","Marcante","","Menor","","Arma","PROPRIEDADE 1","Escudo","","Uniforme","","Item comum","","Ferramenta amaldiçoada","","")</f>
        <v/>
      </c>
      <c r="U20" s="183" t="n"/>
      <c r="V20" s="185" t="n"/>
      <c r="W20" s="182" t="n"/>
      <c r="X20" s="182" t="n"/>
      <c r="Y20" s="183" t="n"/>
      <c r="Z20" s="176" t="n"/>
      <c r="AA20" s="176" t="n"/>
      <c r="AB20" s="181">
        <f>SWITCH('CONFIGURAÇÃO'!$AB$14,"Origem","PERÍCIA 4","Marcante","","Menor","","Arma","PROPRIEDADE 1","Escudo","","Uniforme","","Item comum","","Ferramenta amaldiçoada","","")</f>
        <v/>
      </c>
      <c r="AC20" s="183" t="n"/>
      <c r="AD20" s="185" t="n"/>
      <c r="AE20" s="182" t="n"/>
      <c r="AF20" s="182" t="n"/>
      <c r="AG20" s="183" t="n"/>
      <c r="AH20" s="176" t="n"/>
      <c r="AI20" s="176" t="n"/>
      <c r="AJ20" s="176" t="n"/>
      <c r="AK20" s="181" t="inlineStr">
        <is>
          <t>PERÍCIA FIXA 1</t>
        </is>
      </c>
      <c r="AL20" s="182" t="n"/>
      <c r="AM20" s="183" t="n"/>
      <c r="AN20" s="185" t="n"/>
      <c r="AO20" s="182" t="n"/>
      <c r="AP20" s="183" t="n"/>
      <c r="AQ20" s="176" t="n"/>
      <c r="AR20" s="176" t="n"/>
      <c r="AS20" s="176" t="n"/>
      <c r="AT20" s="176" t="n"/>
      <c r="AU20" s="176" t="n"/>
      <c r="AV20" s="176" t="n"/>
      <c r="AW20" s="176" t="n"/>
      <c r="AX20" s="176" t="n"/>
      <c r="AY20" s="176" t="n"/>
      <c r="AZ20" s="176" t="n"/>
      <c r="BA20" s="176" t="n"/>
      <c r="BB20" s="180">
        <f>IF('DADOS_PROGRESSAO'!$G$2="","Usa os treinos e especializações existentes.","⚠ "&amp;'DADOS_PROGRESSAO'!$G$2)</f>
        <v/>
      </c>
      <c r="BH20" s="176" t="n"/>
      <c r="BI20" s="176" t="n"/>
      <c r="BJ20" s="180">
        <f>IF('DADOS_PROGRESSAO'!$G$3="","Usa os treinos e especializações existentes.","⚠ "&amp;'DADOS_PROGRESSAO'!$G$3)</f>
        <v/>
      </c>
      <c r="BP20" s="176" t="n"/>
      <c r="BQ20" s="176" t="n"/>
      <c r="BR20" s="176" t="n"/>
      <c r="BS20" s="180">
        <f>IF('DADOS_PROGRESSAO'!$G$12="","Usa os treinos e especializações existentes.","⚠ "&amp;'DADOS_PROGRESSAO'!$G$12)</f>
        <v/>
      </c>
      <c r="BY20" s="176" t="n"/>
      <c r="BZ20" s="176" t="n"/>
      <c r="CA20" s="180">
        <f>IF('DADOS_PROGRESSAO'!$G$13="","Usa os treinos e especializações existentes.","⚠ "&amp;'DADOS_PROGRESSAO'!$G$13)</f>
        <v/>
      </c>
      <c r="CG20" s="176" t="n"/>
      <c r="CH20" s="176" t="n"/>
      <c r="CI20" s="176" t="n"/>
      <c r="CJ20" s="193" t="n"/>
      <c r="CO20" s="194" t="n"/>
      <c r="CP20" s="176" t="n"/>
      <c r="CQ20" s="176" t="n"/>
      <c r="CR20" s="193" t="n"/>
      <c r="CW20" s="194" t="n"/>
      <c r="CX20" s="176" t="n"/>
      <c r="CY20" s="176" t="n"/>
      <c r="CZ20" s="176" t="n"/>
      <c r="DA20" s="176" t="n"/>
      <c r="DB20" s="176" t="n"/>
      <c r="DC20" s="176" t="n"/>
      <c r="DD20" s="176" t="n"/>
      <c r="DE20" s="176" t="n"/>
      <c r="DF20" s="176" t="n"/>
      <c r="DG20" s="176" t="n"/>
      <c r="DH20" s="176" t="n"/>
      <c r="DI20" s="176" t="n"/>
      <c r="DJ20" s="176" t="n"/>
      <c r="DK20" s="176" t="n"/>
      <c r="DL20" s="176" t="n"/>
      <c r="DM20" s="176" t="n"/>
      <c r="DN20" s="176" t="n"/>
      <c r="DO20" s="176" t="n"/>
      <c r="DP20" s="176" t="n"/>
      <c r="DQ20" s="176" t="n"/>
      <c r="DR20" s="181" t="inlineStr">
        <is>
          <t>EFEITO E REQUISITOS</t>
        </is>
      </c>
      <c r="DS20" s="182" t="n"/>
      <c r="DT20" s="182" t="n"/>
      <c r="DU20" s="182" t="n"/>
      <c r="DV20" s="182" t="n"/>
      <c r="DW20" s="183" t="n"/>
      <c r="DX20" s="176" t="n"/>
      <c r="DY20" s="176" t="n"/>
      <c r="DZ20" s="181" t="inlineStr">
        <is>
          <t>EFEITO E REQUISITOS</t>
        </is>
      </c>
      <c r="EA20" s="182" t="n"/>
      <c r="EB20" s="182" t="n"/>
      <c r="EC20" s="182" t="n"/>
      <c r="ED20" s="182" t="n"/>
      <c r="EE20" s="183" t="n"/>
      <c r="EF20" s="176" t="n"/>
      <c r="EG20" s="176" t="n"/>
      <c r="EH20" s="176" t="n"/>
      <c r="EI20" s="193" t="n"/>
      <c r="EN20" s="194" t="n"/>
      <c r="EO20" s="176" t="n"/>
      <c r="EP20" s="176" t="n"/>
      <c r="EQ20" s="193" t="n"/>
      <c r="EV20" s="194" t="n"/>
      <c r="EW20" s="176" t="n"/>
      <c r="EX20" s="176" t="n"/>
      <c r="EY20" s="176" t="n"/>
      <c r="EZ20" s="181" t="inlineStr">
        <is>
          <t>RESOLUÇÃO</t>
        </is>
      </c>
      <c r="FA20" s="182" t="n"/>
      <c r="FB20" s="183" t="n"/>
      <c r="FC20" s="185" t="n"/>
      <c r="FD20" s="182" t="n"/>
      <c r="FE20" s="183" t="n"/>
      <c r="FF20" s="176" t="n"/>
      <c r="FG20" s="176" t="n"/>
      <c r="FH20" s="181" t="inlineStr">
        <is>
          <t>RESOLUÇÃO</t>
        </is>
      </c>
      <c r="FI20" s="182" t="n"/>
      <c r="FJ20" s="183" t="n"/>
      <c r="FK20" s="185" t="n"/>
      <c r="FL20" s="182" t="n"/>
      <c r="FM20" s="183" t="n"/>
      <c r="FN20" s="176" t="n"/>
      <c r="FO20" s="176" t="n"/>
      <c r="FP20" s="176" t="n"/>
      <c r="FQ20" s="181" t="inlineStr">
        <is>
          <t>REFINO / LAPIDAÇÃO</t>
        </is>
      </c>
      <c r="FR20" s="182" t="n"/>
      <c r="FS20" s="183" t="n"/>
      <c r="FT20" s="185" t="n"/>
      <c r="FU20" s="182" t="n"/>
      <c r="FV20" s="183" t="n"/>
      <c r="FW20" s="176" t="n"/>
      <c r="FX20" s="176" t="n"/>
      <c r="FY20" s="181" t="inlineStr">
        <is>
          <t>REFINO / LAPIDAÇÃO</t>
        </is>
      </c>
      <c r="FZ20" s="182" t="n"/>
      <c r="GA20" s="183" t="n"/>
      <c r="GB20" s="185" t="n"/>
      <c r="GC20" s="182" t="n"/>
      <c r="GD20" s="183" t="n"/>
      <c r="GE20" s="176" t="n"/>
      <c r="GF20" s="176" t="n"/>
      <c r="GG20" s="176" t="n"/>
      <c r="GH20" s="176" t="n"/>
      <c r="GI20" s="176" t="n"/>
      <c r="GJ20" s="176" t="n"/>
      <c r="GK20" s="176" t="n"/>
      <c r="GL20" s="176" t="n"/>
      <c r="GM20" s="176" t="n"/>
      <c r="GN20" s="176" t="n"/>
      <c r="GO20" s="176" t="n"/>
      <c r="GP20" s="176" t="n"/>
      <c r="GQ20" s="176" t="n"/>
      <c r="GR20" s="176" t="n"/>
      <c r="GS20" s="176" t="n"/>
      <c r="GT20" s="176" t="n"/>
      <c r="GU20" s="176" t="n"/>
      <c r="GV20" s="176" t="n"/>
      <c r="GW20" s="176" t="n"/>
      <c r="GX20" s="176" t="n"/>
      <c r="GY20" s="176" t="n"/>
      <c r="GZ20" s="176" t="n"/>
      <c r="HA20" s="176" t="n"/>
      <c r="HB20" s="176" t="n"/>
      <c r="HC20" s="176" t="n"/>
      <c r="HD20" s="176" t="n"/>
      <c r="HE20" s="176" t="n"/>
      <c r="HF20" s="176" t="n"/>
      <c r="HG20" s="176" t="n"/>
      <c r="HH20" s="176" t="n"/>
      <c r="HI20" s="176" t="n"/>
      <c r="HJ20" s="176" t="n"/>
      <c r="HK20" s="176" t="n"/>
      <c r="HL20" s="176" t="n"/>
      <c r="HM20" s="176" t="n"/>
      <c r="HN20" s="176" t="n"/>
      <c r="HO20" s="176" t="n"/>
      <c r="HP20" s="176" t="n"/>
      <c r="HQ20" s="176" t="n"/>
      <c r="HR20" s="176" t="n"/>
      <c r="HS20" s="176" t="n"/>
      <c r="HT20" s="176" t="n"/>
      <c r="HU20" s="176" t="n"/>
      <c r="HV20" s="176" t="n"/>
      <c r="HW20" s="176" t="n"/>
      <c r="HX20" s="176" t="n"/>
      <c r="HY20" s="176" t="n"/>
      <c r="HZ20" s="176" t="n"/>
      <c r="IA20" s="176" t="n"/>
      <c r="IB20" s="176" t="n"/>
      <c r="IC20" s="176" t="n"/>
      <c r="ID20" s="176" t="n"/>
    </row>
    <row r="21" ht="31.5" customHeight="1">
      <c r="A21" s="176" t="n"/>
      <c r="B21" s="176" t="n"/>
      <c r="C21" s="184" t="b">
        <v>0</v>
      </c>
      <c r="D21" s="185" t="n"/>
      <c r="E21" s="185" t="n"/>
      <c r="F21" s="186" t="n"/>
      <c r="G21" s="185" t="n"/>
      <c r="H21" s="185" t="n"/>
      <c r="I21" s="176" t="n"/>
      <c r="J21" s="176" t="n"/>
      <c r="K21" s="189" t="n"/>
      <c r="L21" s="190" t="n"/>
      <c r="M21" s="190" t="n"/>
      <c r="N21" s="191" t="n"/>
      <c r="O21" s="189" t="n"/>
      <c r="P21" s="190" t="n"/>
      <c r="Q21" s="191" t="n"/>
      <c r="R21" s="176" t="n"/>
      <c r="S21" s="176" t="n"/>
      <c r="T21" s="181">
        <f>SWITCH('CONFIGURAÇÃO'!$T$14,"Origem","ROTA","Marcante","","Menor","","Arma","PROPRIEDADE 2","Escudo","","Uniforme","","Item comum","","Ferramenta amaldiçoada","","")</f>
        <v/>
      </c>
      <c r="U21" s="183" t="n"/>
      <c r="V21" s="185" t="n"/>
      <c r="W21" s="182" t="n"/>
      <c r="X21" s="182" t="n"/>
      <c r="Y21" s="183" t="n"/>
      <c r="Z21" s="176" t="n"/>
      <c r="AA21" s="176" t="n"/>
      <c r="AB21" s="181">
        <f>SWITCH('CONFIGURAÇÃO'!$AB$14,"Origem","ROTA","Marcante","","Menor","","Arma","PROPRIEDADE 2","Escudo","","Uniforme","","Item comum","","Ferramenta amaldiçoada","","")</f>
        <v/>
      </c>
      <c r="AC21" s="183" t="n"/>
      <c r="AD21" s="185" t="n"/>
      <c r="AE21" s="182" t="n"/>
      <c r="AF21" s="182" t="n"/>
      <c r="AG21" s="183" t="n"/>
      <c r="AH21" s="176" t="n"/>
      <c r="AI21" s="176" t="n"/>
      <c r="AJ21" s="176" t="n"/>
      <c r="AK21" s="181" t="inlineStr">
        <is>
          <t>PERÍCIA FIXA 2</t>
        </is>
      </c>
      <c r="AL21" s="182" t="n"/>
      <c r="AM21" s="183" t="n"/>
      <c r="AN21" s="185" t="n"/>
      <c r="AO21" s="182" t="n"/>
      <c r="AP21" s="183" t="n"/>
      <c r="AQ21" s="176" t="n"/>
      <c r="AR21" s="176" t="n"/>
      <c r="AS21" s="176" t="n"/>
      <c r="AT21" s="176" t="n"/>
      <c r="AU21" s="176" t="n"/>
      <c r="AV21" s="176" t="n"/>
      <c r="AW21" s="176" t="n"/>
      <c r="AX21" s="176" t="n"/>
      <c r="AY21" s="176" t="n"/>
      <c r="AZ21" s="176" t="n"/>
      <c r="BA21" s="176" t="n"/>
      <c r="BH21" s="176" t="n"/>
      <c r="BI21" s="176" t="n"/>
      <c r="BP21" s="176" t="n"/>
      <c r="BQ21" s="176" t="n"/>
      <c r="BR21" s="176" t="n"/>
      <c r="BY21" s="176" t="n"/>
      <c r="BZ21" s="176" t="n"/>
      <c r="CG21" s="176" t="n"/>
      <c r="CH21" s="176" t="n"/>
      <c r="CI21" s="176" t="n"/>
      <c r="CJ21" s="189" t="n"/>
      <c r="CK21" s="190" t="n"/>
      <c r="CL21" s="190" t="n"/>
      <c r="CM21" s="190" t="n"/>
      <c r="CN21" s="190" t="n"/>
      <c r="CO21" s="191" t="n"/>
      <c r="CP21" s="176" t="n"/>
      <c r="CQ21" s="176" t="n"/>
      <c r="CR21" s="189" t="n"/>
      <c r="CS21" s="190" t="n"/>
      <c r="CT21" s="190" t="n"/>
      <c r="CU21" s="190" t="n"/>
      <c r="CV21" s="190" t="n"/>
      <c r="CW21" s="191" t="n"/>
      <c r="CX21" s="176" t="n"/>
      <c r="CY21" s="176" t="n"/>
      <c r="CZ21" s="176" t="n"/>
      <c r="DA21" s="181" t="inlineStr">
        <is>
          <t>REQUISITOS E REPETIÇÃO</t>
        </is>
      </c>
      <c r="DB21" s="182" t="n"/>
      <c r="DC21" s="182" t="n"/>
      <c r="DD21" s="182" t="n"/>
      <c r="DE21" s="182" t="n"/>
      <c r="DF21" s="183" t="n"/>
      <c r="DG21" s="176" t="n"/>
      <c r="DH21" s="176" t="n"/>
      <c r="DI21" s="181" t="inlineStr">
        <is>
          <t>REQUISITOS E REPETIÇÃO</t>
        </is>
      </c>
      <c r="DJ21" s="182" t="n"/>
      <c r="DK21" s="182" t="n"/>
      <c r="DL21" s="182" t="n"/>
      <c r="DM21" s="182" t="n"/>
      <c r="DN21" s="183" t="n"/>
      <c r="DO21" s="176" t="n"/>
      <c r="DP21" s="176" t="n"/>
      <c r="DQ21" s="176" t="n"/>
      <c r="DR21" s="192" t="n"/>
      <c r="DS21" s="187" t="n"/>
      <c r="DT21" s="187" t="n"/>
      <c r="DU21" s="187" t="n"/>
      <c r="DV21" s="187" t="n"/>
      <c r="DW21" s="188" t="n"/>
      <c r="DX21" s="176" t="n"/>
      <c r="DY21" s="176" t="n"/>
      <c r="DZ21" s="192" t="n"/>
      <c r="EA21" s="187" t="n"/>
      <c r="EB21" s="187" t="n"/>
      <c r="EC21" s="187" t="n"/>
      <c r="ED21" s="187" t="n"/>
      <c r="EE21" s="188" t="n"/>
      <c r="EF21" s="176" t="n"/>
      <c r="EG21" s="176" t="n"/>
      <c r="EH21" s="176" t="n"/>
      <c r="EI21" s="189" t="n"/>
      <c r="EJ21" s="190" t="n"/>
      <c r="EK21" s="190" t="n"/>
      <c r="EL21" s="190" t="n"/>
      <c r="EM21" s="190" t="n"/>
      <c r="EN21" s="191" t="n"/>
      <c r="EO21" s="176" t="n"/>
      <c r="EP21" s="176" t="n"/>
      <c r="EQ21" s="189" t="n"/>
      <c r="ER21" s="190" t="n"/>
      <c r="ES21" s="190" t="n"/>
      <c r="ET21" s="190" t="n"/>
      <c r="EU21" s="190" t="n"/>
      <c r="EV21" s="191" t="n"/>
      <c r="EW21" s="176" t="n"/>
      <c r="EX21" s="176" t="n"/>
      <c r="EY21" s="176" t="n"/>
      <c r="EZ21" s="181" t="inlineStr">
        <is>
          <t>RESULTADO</t>
        </is>
      </c>
      <c r="FA21" s="182" t="n"/>
      <c r="FB21" s="183" t="n"/>
      <c r="FC21" s="185" t="n"/>
      <c r="FD21" s="182" t="n"/>
      <c r="FE21" s="183" t="n"/>
      <c r="FF21" s="176" t="n"/>
      <c r="FG21" s="176" t="n"/>
      <c r="FH21" s="181" t="inlineStr">
        <is>
          <t>RESULTADO</t>
        </is>
      </c>
      <c r="FI21" s="182" t="n"/>
      <c r="FJ21" s="183" t="n"/>
      <c r="FK21" s="185" t="n"/>
      <c r="FL21" s="182" t="n"/>
      <c r="FM21" s="183" t="n"/>
      <c r="FN21" s="176" t="n"/>
      <c r="FO21" s="176" t="n"/>
      <c r="FP21" s="176" t="n"/>
      <c r="FQ21" s="181" t="inlineStr">
        <is>
          <t>ESCOLHA</t>
        </is>
      </c>
      <c r="FR21" s="182" t="n"/>
      <c r="FS21" s="183" t="n"/>
      <c r="FT21" s="185" t="n"/>
      <c r="FU21" s="182" t="n"/>
      <c r="FV21" s="183" t="n"/>
      <c r="FW21" s="176" t="n"/>
      <c r="FX21" s="176" t="n"/>
      <c r="FY21" s="181" t="inlineStr">
        <is>
          <t>ESCOLHA</t>
        </is>
      </c>
      <c r="FZ21" s="182" t="n"/>
      <c r="GA21" s="183" t="n"/>
      <c r="GB21" s="185" t="n"/>
      <c r="GC21" s="182" t="n"/>
      <c r="GD21" s="183" t="n"/>
      <c r="GE21" s="176" t="n"/>
      <c r="GF21" s="176" t="n"/>
      <c r="GG21" s="176" t="n"/>
      <c r="GH21" s="181" t="inlineStr">
        <is>
          <t>REQUISITOS</t>
        </is>
      </c>
      <c r="GI21" s="182" t="n"/>
      <c r="GJ21" s="182" t="n"/>
      <c r="GK21" s="182" t="n"/>
      <c r="GL21" s="182" t="n"/>
      <c r="GM21" s="183" t="n"/>
      <c r="GN21" s="176" t="n"/>
      <c r="GO21" s="176" t="n"/>
      <c r="GP21" s="181" t="inlineStr">
        <is>
          <t>REQUISITOS</t>
        </is>
      </c>
      <c r="GQ21" s="182" t="n"/>
      <c r="GR21" s="182" t="n"/>
      <c r="GS21" s="182" t="n"/>
      <c r="GT21" s="182" t="n"/>
      <c r="GU21" s="183" t="n"/>
      <c r="GV21" s="176" t="n"/>
      <c r="GW21" s="176" t="n"/>
      <c r="GX21" s="176" t="n"/>
      <c r="GY21" s="176" t="n"/>
      <c r="GZ21" s="176" t="n"/>
      <c r="HA21" s="176" t="n"/>
      <c r="HB21" s="176" t="n"/>
      <c r="HC21" s="176" t="n"/>
      <c r="HD21" s="176" t="n"/>
      <c r="HE21" s="176" t="n"/>
      <c r="HF21" s="176" t="n"/>
      <c r="HG21" s="176" t="n"/>
      <c r="HH21" s="176" t="n"/>
      <c r="HI21" s="176" t="n"/>
      <c r="HJ21" s="176" t="n"/>
      <c r="HK21" s="176" t="n"/>
      <c r="HL21" s="176" t="n"/>
      <c r="HM21" s="176" t="n"/>
      <c r="HN21" s="176" t="n"/>
      <c r="HO21" s="176" t="n"/>
      <c r="HP21" s="176" t="n"/>
      <c r="HQ21" s="176" t="n"/>
      <c r="HR21" s="176" t="n"/>
      <c r="HS21" s="176" t="n"/>
      <c r="HT21" s="176" t="n"/>
      <c r="HU21" s="176" t="n"/>
      <c r="HV21" s="176" t="n"/>
      <c r="HW21" s="176" t="n"/>
      <c r="HX21" s="176" t="n"/>
      <c r="HY21" s="176" t="n"/>
      <c r="HZ21" s="176" t="n"/>
      <c r="IA21" s="176" t="n"/>
      <c r="IB21" s="176" t="n"/>
      <c r="IC21" s="176" t="n"/>
      <c r="ID21" s="176" t="n"/>
    </row>
    <row r="22" ht="31.5" customHeight="1">
      <c r="A22" s="176" t="n"/>
      <c r="B22" s="176" t="n"/>
      <c r="C22" s="184" t="b">
        <v>0</v>
      </c>
      <c r="D22" s="185" t="n"/>
      <c r="E22" s="185" t="n"/>
      <c r="F22" s="186" t="n"/>
      <c r="G22" s="185" t="n"/>
      <c r="H22" s="185" t="n"/>
      <c r="I22" s="176" t="n"/>
      <c r="J22" s="176" t="n"/>
      <c r="K22" s="176" t="n"/>
      <c r="L22" s="176" t="n"/>
      <c r="M22" s="176" t="n"/>
      <c r="N22" s="176" t="n"/>
      <c r="O22" s="176" t="n"/>
      <c r="P22" s="176" t="n"/>
      <c r="Q22" s="176" t="n"/>
      <c r="R22" s="176" t="n"/>
      <c r="S22" s="176" t="n"/>
      <c r="T22" s="181">
        <f>SWITCH('CONFIGURAÇÃO'!$T$14,"Origem","BASE DO LIVRO","Marcante","","Menor","","Arma","PROPRIEDADE 3","Escudo","","Uniforme","","Item comum","","Ferramenta amaldiçoada","","")</f>
        <v/>
      </c>
      <c r="U22" s="183" t="n"/>
      <c r="V22" s="185" t="n"/>
      <c r="W22" s="182" t="n"/>
      <c r="X22" s="182" t="n"/>
      <c r="Y22" s="183" t="n"/>
      <c r="Z22" s="176" t="n"/>
      <c r="AA22" s="176" t="n"/>
      <c r="AB22" s="181">
        <f>SWITCH('CONFIGURAÇÃO'!$AB$14,"Origem","BASE DO LIVRO","Marcante","","Menor","","Arma","PROPRIEDADE 3","Escudo","","Uniforme","","Item comum","","Ferramenta amaldiçoada","","")</f>
        <v/>
      </c>
      <c r="AC22" s="183" t="n"/>
      <c r="AD22" s="185" t="n"/>
      <c r="AE22" s="182" t="n"/>
      <c r="AF22" s="182" t="n"/>
      <c r="AG22" s="183" t="n"/>
      <c r="AH22" s="176" t="n"/>
      <c r="AI22" s="176" t="n"/>
      <c r="AJ22" s="176" t="n"/>
      <c r="AK22" s="181" t="inlineStr">
        <is>
          <t>TROCA PERÍCIAS POR ARMA</t>
        </is>
      </c>
      <c r="AL22" s="182" t="n"/>
      <c r="AM22" s="183" t="n"/>
      <c r="AN22" s="185" t="inlineStr">
        <is>
          <t>Não</t>
        </is>
      </c>
      <c r="AO22" s="182" t="n"/>
      <c r="AP22" s="183" t="n"/>
      <c r="AQ22" s="176" t="n"/>
      <c r="AR22" s="176" t="n"/>
      <c r="AS22" s="176" t="n"/>
      <c r="AT22" s="176" t="n"/>
      <c r="AU22" s="176" t="n"/>
      <c r="AV22" s="176" t="n"/>
      <c r="AW22" s="176" t="n"/>
      <c r="AX22" s="176" t="n"/>
      <c r="AY22" s="176" t="n"/>
      <c r="AZ22" s="176" t="n"/>
      <c r="BA22" s="176" t="n"/>
      <c r="BB22" s="176" t="n"/>
      <c r="BC22" s="176" t="n"/>
      <c r="BD22" s="176" t="n"/>
      <c r="BE22" s="176" t="n"/>
      <c r="BF22" s="176" t="n"/>
      <c r="BG22" s="176" t="n"/>
      <c r="BH22" s="176" t="n"/>
      <c r="BI22" s="176" t="n"/>
      <c r="BJ22" s="176" t="n"/>
      <c r="BK22" s="176" t="n"/>
      <c r="BL22" s="176" t="n"/>
      <c r="BM22" s="176" t="n"/>
      <c r="BN22" s="176" t="n"/>
      <c r="BO22" s="176" t="n"/>
      <c r="BP22" s="176" t="n"/>
      <c r="BQ22" s="176" t="n"/>
      <c r="BR22" s="176" t="n"/>
      <c r="BS22" s="176" t="n"/>
      <c r="BT22" s="176" t="n"/>
      <c r="BU22" s="176" t="n"/>
      <c r="BV22" s="176" t="n"/>
      <c r="BW22" s="176" t="n"/>
      <c r="BX22" s="176" t="n"/>
      <c r="BY22" s="176" t="n"/>
      <c r="BZ22" s="176" t="n"/>
      <c r="CA22" s="176" t="n"/>
      <c r="CB22" s="176" t="n"/>
      <c r="CC22" s="176" t="n"/>
      <c r="CD22" s="176" t="n"/>
      <c r="CE22" s="176" t="n"/>
      <c r="CF22" s="176" t="n"/>
      <c r="CG22" s="176" t="n"/>
      <c r="CH22" s="176" t="n"/>
      <c r="CI22" s="176" t="n"/>
      <c r="CJ22" s="176" t="n"/>
      <c r="CK22" s="176" t="n"/>
      <c r="CL22" s="176" t="n"/>
      <c r="CM22" s="176" t="n"/>
      <c r="CN22" s="176" t="n"/>
      <c r="CO22" s="176" t="n"/>
      <c r="CP22" s="176" t="n"/>
      <c r="CQ22" s="176" t="n"/>
      <c r="CR22" s="176" t="n"/>
      <c r="CS22" s="176" t="n"/>
      <c r="CT22" s="176" t="n"/>
      <c r="CU22" s="176" t="n"/>
      <c r="CV22" s="176" t="n"/>
      <c r="CW22" s="176" t="n"/>
      <c r="CX22" s="176" t="n"/>
      <c r="CY22" s="176" t="n"/>
      <c r="CZ22" s="176" t="n"/>
      <c r="DA22" s="192" t="n"/>
      <c r="DB22" s="187" t="n"/>
      <c r="DC22" s="187" t="n"/>
      <c r="DD22" s="187" t="n"/>
      <c r="DE22" s="187" t="n"/>
      <c r="DF22" s="188" t="n"/>
      <c r="DG22" s="176" t="n"/>
      <c r="DH22" s="176" t="n"/>
      <c r="DI22" s="192" t="n"/>
      <c r="DJ22" s="187" t="n"/>
      <c r="DK22" s="187" t="n"/>
      <c r="DL22" s="187" t="n"/>
      <c r="DM22" s="187" t="n"/>
      <c r="DN22" s="188" t="n"/>
      <c r="DO22" s="176" t="n"/>
      <c r="DP22" s="176" t="n"/>
      <c r="DQ22" s="176" t="n"/>
      <c r="DR22" s="193" t="n"/>
      <c r="DW22" s="194" t="n"/>
      <c r="DX22" s="176" t="n"/>
      <c r="DY22" s="176" t="n"/>
      <c r="DZ22" s="193" t="n"/>
      <c r="EE22" s="194" t="n"/>
      <c r="EF22" s="176" t="n"/>
      <c r="EG22" s="176" t="n"/>
      <c r="EH22" s="176" t="n"/>
      <c r="EI22" s="176" t="n"/>
      <c r="EJ22" s="176" t="n"/>
      <c r="EK22" s="176" t="n"/>
      <c r="EL22" s="176" t="n"/>
      <c r="EM22" s="176" t="n"/>
      <c r="EN22" s="176" t="n"/>
      <c r="EO22" s="176" t="n"/>
      <c r="EP22" s="176" t="n"/>
      <c r="EQ22" s="176" t="n"/>
      <c r="ER22" s="176" t="n"/>
      <c r="ES22" s="176" t="n"/>
      <c r="ET22" s="176" t="n"/>
      <c r="EU22" s="176" t="n"/>
      <c r="EV22" s="176" t="n"/>
      <c r="EW22" s="176" t="n"/>
      <c r="EX22" s="176" t="n"/>
      <c r="EY22" s="176" t="n"/>
      <c r="EZ22" s="181" t="inlineStr">
        <is>
          <t>EXIGE TR</t>
        </is>
      </c>
      <c r="FA22" s="182" t="n"/>
      <c r="FB22" s="183" t="n"/>
      <c r="FC22" s="185" t="n"/>
      <c r="FD22" s="182" t="n"/>
      <c r="FE22" s="183" t="n"/>
      <c r="FF22" s="176" t="n"/>
      <c r="FG22" s="176" t="n"/>
      <c r="FH22" s="181" t="inlineStr">
        <is>
          <t>EXIGE TR</t>
        </is>
      </c>
      <c r="FI22" s="182" t="n"/>
      <c r="FJ22" s="183" t="n"/>
      <c r="FK22" s="185" t="n"/>
      <c r="FL22" s="182" t="n"/>
      <c r="FM22" s="183" t="n"/>
      <c r="FN22" s="176" t="n"/>
      <c r="FO22" s="176" t="n"/>
      <c r="FP22" s="176" t="n"/>
      <c r="FQ22" s="176" t="n"/>
      <c r="FR22" s="176" t="n"/>
      <c r="FS22" s="176" t="n"/>
      <c r="FT22" s="176" t="n"/>
      <c r="FU22" s="176" t="n"/>
      <c r="FV22" s="176" t="n"/>
      <c r="FW22" s="176" t="n"/>
      <c r="FX22" s="176" t="n"/>
      <c r="FY22" s="176" t="n"/>
      <c r="FZ22" s="176" t="n"/>
      <c r="GA22" s="176" t="n"/>
      <c r="GB22" s="176" t="n"/>
      <c r="GC22" s="176" t="n"/>
      <c r="GD22" s="176" t="n"/>
      <c r="GE22" s="176" t="n"/>
      <c r="GF22" s="176" t="n"/>
      <c r="GG22" s="176" t="n"/>
      <c r="GH22" s="192" t="n"/>
      <c r="GI22" s="187" t="n"/>
      <c r="GJ22" s="187" t="n"/>
      <c r="GK22" s="187" t="n"/>
      <c r="GL22" s="187" t="n"/>
      <c r="GM22" s="188" t="n"/>
      <c r="GN22" s="176" t="n"/>
      <c r="GO22" s="176" t="n"/>
      <c r="GP22" s="192" t="n"/>
      <c r="GQ22" s="187" t="n"/>
      <c r="GR22" s="187" t="n"/>
      <c r="GS22" s="187" t="n"/>
      <c r="GT22" s="187" t="n"/>
      <c r="GU22" s="188" t="n"/>
      <c r="GV22" s="176" t="n"/>
      <c r="GW22" s="176" t="n"/>
      <c r="GX22" s="176" t="n"/>
      <c r="GY22" s="181" t="inlineStr">
        <is>
          <t>DEFINIÇÃO</t>
        </is>
      </c>
      <c r="GZ22" s="182" t="n"/>
      <c r="HA22" s="182" t="n"/>
      <c r="HB22" s="182" t="n"/>
      <c r="HC22" s="182" t="n"/>
      <c r="HD22" s="183" t="n"/>
      <c r="HE22" s="176" t="n"/>
      <c r="HF22" s="176" t="n"/>
      <c r="HG22" s="181" t="inlineStr">
        <is>
          <t>DEFINIÇÃO</t>
        </is>
      </c>
      <c r="HH22" s="182" t="n"/>
      <c r="HI22" s="182" t="n"/>
      <c r="HJ22" s="182" t="n"/>
      <c r="HK22" s="182" t="n"/>
      <c r="HL22" s="183" t="n"/>
      <c r="HM22" s="176" t="n"/>
      <c r="HN22" s="176" t="n"/>
      <c r="HO22" s="176" t="n"/>
      <c r="HP22" s="181" t="inlineStr">
        <is>
          <t>REQUISITOS</t>
        </is>
      </c>
      <c r="HQ22" s="182" t="n"/>
      <c r="HR22" s="182" t="n"/>
      <c r="HS22" s="182" t="n"/>
      <c r="HT22" s="182" t="n"/>
      <c r="HU22" s="183" t="n"/>
      <c r="HV22" s="176" t="n"/>
      <c r="HW22" s="176" t="n"/>
      <c r="HX22" s="181" t="inlineStr">
        <is>
          <t>REQUISITOS</t>
        </is>
      </c>
      <c r="HY22" s="182" t="n"/>
      <c r="HZ22" s="182" t="n"/>
      <c r="IA22" s="182" t="n"/>
      <c r="IB22" s="182" t="n"/>
      <c r="IC22" s="183" t="n"/>
      <c r="ID22" s="176" t="n"/>
    </row>
    <row r="23" ht="31.5" customHeight="1">
      <c r="A23" s="176" t="n"/>
      <c r="B23" s="176" t="n"/>
      <c r="C23" s="184" t="b">
        <v>0</v>
      </c>
      <c r="D23" s="185" t="n"/>
      <c r="E23" s="185" t="n"/>
      <c r="F23" s="186" t="n"/>
      <c r="G23" s="185" t="n"/>
      <c r="H23" s="185" t="n"/>
      <c r="I23" s="176" t="n"/>
      <c r="J23" s="176" t="n"/>
      <c r="K23" s="185" t="inlineStr">
        <is>
          <t>09 · Formas</t>
        </is>
      </c>
      <c r="L23" s="187" t="n"/>
      <c r="M23" s="187" t="n"/>
      <c r="N23" s="188" t="n"/>
      <c r="O23" s="185" t="inlineStr">
        <is>
          <t>10 · Aptidões e Bênçãos</t>
        </is>
      </c>
      <c r="P23" s="187" t="n"/>
      <c r="Q23" s="188" t="n"/>
      <c r="R23" s="176" t="n"/>
      <c r="S23" s="176" t="n"/>
      <c r="T23" s="181">
        <f>SWITCH('CONFIGURAÇÃO'!$T$14,"Origem","OFÍCIO","Marcante","","Menor","","Arma","PROPRIEDADE 4","Escudo","","Uniforme","","Item comum","","Ferramenta amaldiçoada","","")</f>
        <v/>
      </c>
      <c r="U23" s="183" t="n"/>
      <c r="V23" s="185" t="n"/>
      <c r="W23" s="182" t="n"/>
      <c r="X23" s="182" t="n"/>
      <c r="Y23" s="183" t="n"/>
      <c r="Z23" s="176" t="n"/>
      <c r="AA23" s="176" t="n"/>
      <c r="AB23" s="181">
        <f>SWITCH('CONFIGURAÇÃO'!$AB$14,"Origem","OFÍCIO","Marcante","","Menor","","Arma","PROPRIEDADE 4","Escudo","","Uniforme","","Item comum","","Ferramenta amaldiçoada","","")</f>
        <v/>
      </c>
      <c r="AC23" s="183" t="n"/>
      <c r="AD23" s="185" t="n"/>
      <c r="AE23" s="182" t="n"/>
      <c r="AF23" s="182" t="n"/>
      <c r="AG23" s="183" t="n"/>
      <c r="AH23" s="176" t="n"/>
      <c r="AI23" s="176" t="n"/>
      <c r="AJ23" s="176" t="n"/>
      <c r="AK23" s="181" t="inlineStr">
        <is>
          <t>TREINO DE ARMA</t>
        </is>
      </c>
      <c r="AL23" s="182" t="n"/>
      <c r="AM23" s="183" t="n"/>
      <c r="AN23" s="185" t="inlineStr">
        <is>
          <t>Todas</t>
        </is>
      </c>
      <c r="AO23" s="182" t="n"/>
      <c r="AP23" s="183" t="n"/>
      <c r="AQ23" s="176" t="n"/>
      <c r="AR23" s="176" t="n"/>
      <c r="AS23" s="176" t="n"/>
      <c r="AT23" s="176" t="n"/>
      <c r="AU23" s="176" t="n"/>
      <c r="AV23" s="176" t="n"/>
      <c r="AW23" s="176" t="n"/>
      <c r="AX23" s="176" t="n"/>
      <c r="AY23" s="176" t="n"/>
      <c r="AZ23" s="176" t="n"/>
      <c r="BA23" s="176" t="n"/>
      <c r="BB23" s="179" t="inlineStr">
        <is>
          <t>PERÍCIA 3 · CUSTOM</t>
        </is>
      </c>
      <c r="BH23" s="176" t="n"/>
      <c r="BI23" s="176" t="n"/>
      <c r="BJ23" s="179" t="inlineStr">
        <is>
          <t>PERÍCIA 4 · CUSTOM</t>
        </is>
      </c>
      <c r="BP23" s="176" t="n"/>
      <c r="BQ23" s="176" t="n"/>
      <c r="BR23" s="176" t="n"/>
      <c r="BS23" s="179" t="inlineStr">
        <is>
          <t>OFÍCIO 3 · CUSTOM</t>
        </is>
      </c>
      <c r="BY23" s="176" t="n"/>
      <c r="BZ23" s="176" t="n"/>
      <c r="CA23" s="179" t="inlineStr">
        <is>
          <t>OFÍCIO 4 · CUSTOM</t>
        </is>
      </c>
      <c r="CG23" s="176" t="n"/>
      <c r="CH23" s="176" t="n"/>
      <c r="CI23" s="176" t="n"/>
      <c r="CJ23" s="180">
        <f>IF('DADOS_CRIACAO'!$F$2="","","⚠ "&amp;'DADOS_CRIACAO'!$F$2)</f>
        <v/>
      </c>
      <c r="CP23" s="176" t="n"/>
      <c r="CQ23" s="176" t="n"/>
      <c r="CR23" s="180">
        <f>IF('DADOS_CRIACAO'!$F$3="","","⚠ "&amp;'DADOS_CRIACAO'!$F$3)</f>
        <v/>
      </c>
      <c r="CX23" s="176" t="n"/>
      <c r="CY23" s="176" t="n"/>
      <c r="CZ23" s="176" t="n"/>
      <c r="DA23" s="193" t="n"/>
      <c r="DF23" s="194" t="n"/>
      <c r="DG23" s="176" t="n"/>
      <c r="DH23" s="176" t="n"/>
      <c r="DI23" s="193" t="n"/>
      <c r="DN23" s="194" t="n"/>
      <c r="DO23" s="176" t="n"/>
      <c r="DP23" s="176" t="n"/>
      <c r="DQ23" s="176" t="n"/>
      <c r="DR23" s="193" t="n"/>
      <c r="DW23" s="194" t="n"/>
      <c r="DX23" s="176" t="n"/>
      <c r="DY23" s="176" t="n"/>
      <c r="DZ23" s="193" t="n"/>
      <c r="EE23" s="194" t="n"/>
      <c r="EF23" s="176" t="n"/>
      <c r="EG23" s="176" t="n"/>
      <c r="EH23" s="176" t="n"/>
      <c r="EI23" s="181" t="inlineStr">
        <is>
          <t>EFEITO E REQUISITOS</t>
        </is>
      </c>
      <c r="EJ23" s="182" t="n"/>
      <c r="EK23" s="182" t="n"/>
      <c r="EL23" s="182" t="n"/>
      <c r="EM23" s="182" t="n"/>
      <c r="EN23" s="183" t="n"/>
      <c r="EO23" s="176" t="n"/>
      <c r="EP23" s="176" t="n"/>
      <c r="EQ23" s="181" t="inlineStr">
        <is>
          <t>EFEITO E REQUISITOS</t>
        </is>
      </c>
      <c r="ER23" s="182" t="n"/>
      <c r="ES23" s="182" t="n"/>
      <c r="ET23" s="182" t="n"/>
      <c r="EU23" s="182" t="n"/>
      <c r="EV23" s="183" t="n"/>
      <c r="EW23" s="176" t="n"/>
      <c r="EX23" s="176" t="n"/>
      <c r="EY23" s="176" t="n"/>
      <c r="EZ23" s="181" t="inlineStr">
        <is>
          <t>CLASSE 0</t>
        </is>
      </c>
      <c r="FA23" s="182" t="n"/>
      <c r="FB23" s="183" t="n"/>
      <c r="FC23" s="185" t="n"/>
      <c r="FD23" s="182" t="n"/>
      <c r="FE23" s="183" t="n"/>
      <c r="FF23" s="176" t="n"/>
      <c r="FG23" s="176" t="n"/>
      <c r="FH23" s="181" t="inlineStr">
        <is>
          <t>CLASSE 0</t>
        </is>
      </c>
      <c r="FI23" s="182" t="n"/>
      <c r="FJ23" s="183" t="n"/>
      <c r="FK23" s="185" t="n"/>
      <c r="FL23" s="182" t="n"/>
      <c r="FM23" s="183" t="n"/>
      <c r="FN23" s="176" t="n"/>
      <c r="FO23" s="176" t="n"/>
      <c r="FP23" s="176" t="n"/>
      <c r="FQ23" s="181" t="inlineStr">
        <is>
          <t>REQUISITOS</t>
        </is>
      </c>
      <c r="FR23" s="182" t="n"/>
      <c r="FS23" s="182" t="n"/>
      <c r="FT23" s="182" t="n"/>
      <c r="FU23" s="182" t="n"/>
      <c r="FV23" s="183" t="n"/>
      <c r="FW23" s="176" t="n"/>
      <c r="FX23" s="176" t="n"/>
      <c r="FY23" s="181" t="inlineStr">
        <is>
          <t>REQUISITOS</t>
        </is>
      </c>
      <c r="FZ23" s="182" t="n"/>
      <c r="GA23" s="182" t="n"/>
      <c r="GB23" s="182" t="n"/>
      <c r="GC23" s="182" t="n"/>
      <c r="GD23" s="183" t="n"/>
      <c r="GE23" s="176" t="n"/>
      <c r="GF23" s="176" t="n"/>
      <c r="GG23" s="176" t="n"/>
      <c r="GH23" s="193" t="n"/>
      <c r="GM23" s="194" t="n"/>
      <c r="GN23" s="176" t="n"/>
      <c r="GO23" s="176" t="n"/>
      <c r="GP23" s="193" t="n"/>
      <c r="GU23" s="194" t="n"/>
      <c r="GV23" s="176" t="n"/>
      <c r="GW23" s="176" t="n"/>
      <c r="GX23" s="176" t="n"/>
      <c r="GY23" s="192" t="n"/>
      <c r="GZ23" s="187" t="n"/>
      <c r="HA23" s="187" t="n"/>
      <c r="HB23" s="187" t="n"/>
      <c r="HC23" s="187" t="n"/>
      <c r="HD23" s="188" t="n"/>
      <c r="HE23" s="176" t="n"/>
      <c r="HF23" s="176" t="n"/>
      <c r="HG23" s="192" t="n"/>
      <c r="HH23" s="187" t="n"/>
      <c r="HI23" s="187" t="n"/>
      <c r="HJ23" s="187" t="n"/>
      <c r="HK23" s="187" t="n"/>
      <c r="HL23" s="188" t="n"/>
      <c r="HM23" s="176" t="n"/>
      <c r="HN23" s="176" t="n"/>
      <c r="HO23" s="176" t="n"/>
      <c r="HP23" s="192" t="n"/>
      <c r="HQ23" s="187" t="n"/>
      <c r="HR23" s="187" t="n"/>
      <c r="HS23" s="187" t="n"/>
      <c r="HT23" s="187" t="n"/>
      <c r="HU23" s="188" t="n"/>
      <c r="HV23" s="176" t="n"/>
      <c r="HW23" s="176" t="n"/>
      <c r="HX23" s="192" t="n"/>
      <c r="HY23" s="187" t="n"/>
      <c r="HZ23" s="187" t="n"/>
      <c r="IA23" s="187" t="n"/>
      <c r="IB23" s="187" t="n"/>
      <c r="IC23" s="188" t="n"/>
      <c r="ID23" s="176" t="n"/>
    </row>
    <row r="24" ht="31.5" customHeight="1">
      <c r="A24" s="176" t="n"/>
      <c r="B24" s="176" t="n"/>
      <c r="C24" s="184" t="b">
        <v>0</v>
      </c>
      <c r="D24" s="185" t="n"/>
      <c r="E24" s="185" t="n"/>
      <c r="F24" s="186" t="n"/>
      <c r="G24" s="185" t="n"/>
      <c r="H24" s="185" t="n"/>
      <c r="I24" s="176" t="n"/>
      <c r="J24" s="176" t="n"/>
      <c r="K24" s="189" t="n"/>
      <c r="L24" s="190" t="n"/>
      <c r="M24" s="190" t="n"/>
      <c r="N24" s="191" t="n"/>
      <c r="O24" s="189" t="n"/>
      <c r="P24" s="190" t="n"/>
      <c r="Q24" s="191" t="n"/>
      <c r="R24" s="176" t="n"/>
      <c r="S24" s="176" t="n"/>
      <c r="T24" s="181">
        <f>SWITCH('CONFIGURAÇÃO'!$T$14,"Origem","TALENTO CE 4","Marcante","FREQUÊNCIA","Menor","FREQUÊNCIA","Arma","DADO","Escudo","PROTEÇÃO","Uniforme","PROTEÇÃO","Item comum","VOLUME","Ferramenta amaldiçoada","ESTIGMA","")</f>
        <v/>
      </c>
      <c r="U24" s="183" t="n"/>
      <c r="V24" s="185" t="n"/>
      <c r="W24" s="182" t="n"/>
      <c r="X24" s="182" t="n"/>
      <c r="Y24" s="183" t="n"/>
      <c r="Z24" s="176" t="n"/>
      <c r="AA24" s="176" t="n"/>
      <c r="AB24" s="181">
        <f>SWITCH('CONFIGURAÇÃO'!$AB$14,"Origem","TALENTO CE 4","Marcante","FREQUÊNCIA","Menor","FREQUÊNCIA","Arma","DADO","Escudo","PROTEÇÃO","Uniforme","PROTEÇÃO","Item comum","VOLUME","Ferramenta amaldiçoada","ESTIGMA","")</f>
        <v/>
      </c>
      <c r="AC24" s="183" t="n"/>
      <c r="AD24" s="185" t="n"/>
      <c r="AE24" s="182" t="n"/>
      <c r="AF24" s="182" t="n"/>
      <c r="AG24" s="183" t="n"/>
      <c r="AH24" s="176" t="n"/>
      <c r="AI24" s="176" t="n"/>
      <c r="AJ24" s="176" t="n"/>
      <c r="AK24" s="181" t="inlineStr">
        <is>
          <t>CATEGORIA DE ARMA 1</t>
        </is>
      </c>
      <c r="AL24" s="182" t="n"/>
      <c r="AM24" s="183" t="n"/>
      <c r="AN24" s="185" t="n"/>
      <c r="AO24" s="182" t="n"/>
      <c r="AP24" s="183" t="n"/>
      <c r="AQ24" s="176" t="n"/>
      <c r="AR24" s="176" t="n"/>
      <c r="AS24" s="176" t="n"/>
      <c r="AT24" s="176" t="n"/>
      <c r="AU24" s="176" t="n"/>
      <c r="AV24" s="176" t="n"/>
      <c r="AW24" s="176" t="n"/>
      <c r="AX24" s="176" t="n"/>
      <c r="AY24" s="176" t="n"/>
      <c r="AZ24" s="176" t="n"/>
      <c r="BA24" s="176" t="n"/>
      <c r="BB24" s="181" t="inlineStr">
        <is>
          <t>TIPO</t>
        </is>
      </c>
      <c r="BC24" s="182" t="n"/>
      <c r="BD24" s="182" t="n"/>
      <c r="BE24" s="183" t="n"/>
      <c r="BF24" s="181" t="inlineStr">
        <is>
          <t>MESTRE VIU</t>
        </is>
      </c>
      <c r="BG24" s="183" t="n"/>
      <c r="BH24" s="176" t="n"/>
      <c r="BI24" s="176" t="n"/>
      <c r="BJ24" s="181" t="inlineStr">
        <is>
          <t>TIPO</t>
        </is>
      </c>
      <c r="BK24" s="182" t="n"/>
      <c r="BL24" s="182" t="n"/>
      <c r="BM24" s="183" t="n"/>
      <c r="BN24" s="181" t="inlineStr">
        <is>
          <t>MESTRE VIU</t>
        </is>
      </c>
      <c r="BO24" s="183" t="n"/>
      <c r="BP24" s="176" t="n"/>
      <c r="BQ24" s="176" t="n"/>
      <c r="BR24" s="176" t="n"/>
      <c r="BS24" s="181" t="inlineStr">
        <is>
          <t>TIPO</t>
        </is>
      </c>
      <c r="BT24" s="182" t="n"/>
      <c r="BU24" s="182" t="n"/>
      <c r="BV24" s="183" t="n"/>
      <c r="BW24" s="181" t="inlineStr">
        <is>
          <t>MESTRE VIU</t>
        </is>
      </c>
      <c r="BX24" s="183" t="n"/>
      <c r="BY24" s="176" t="n"/>
      <c r="BZ24" s="176" t="n"/>
      <c r="CA24" s="181" t="inlineStr">
        <is>
          <t>TIPO</t>
        </is>
      </c>
      <c r="CB24" s="182" t="n"/>
      <c r="CC24" s="182" t="n"/>
      <c r="CD24" s="183" t="n"/>
      <c r="CE24" s="181" t="inlineStr">
        <is>
          <t>MESTRE VIU</t>
        </is>
      </c>
      <c r="CF24" s="183" t="n"/>
      <c r="CG24" s="176" t="n"/>
      <c r="CH24" s="176" t="n"/>
      <c r="CI24" s="176" t="n"/>
      <c r="CJ24" s="176" t="n"/>
      <c r="CK24" s="176" t="n"/>
      <c r="CL24" s="176" t="n"/>
      <c r="CM24" s="176" t="n"/>
      <c r="CN24" s="176" t="n"/>
      <c r="CO24" s="176" t="n"/>
      <c r="CP24" s="176" t="n"/>
      <c r="CQ24" s="176" t="n"/>
      <c r="CR24" s="176" t="n"/>
      <c r="CS24" s="176" t="n"/>
      <c r="CT24" s="176" t="n"/>
      <c r="CU24" s="176" t="n"/>
      <c r="CV24" s="176" t="n"/>
      <c r="CW24" s="176" t="n"/>
      <c r="CX24" s="176" t="n"/>
      <c r="CY24" s="176" t="n"/>
      <c r="CZ24" s="176" t="n"/>
      <c r="DA24" s="193" t="n"/>
      <c r="DF24" s="194" t="n"/>
      <c r="DG24" s="176" t="n"/>
      <c r="DH24" s="176" t="n"/>
      <c r="DI24" s="193" t="n"/>
      <c r="DN24" s="194" t="n"/>
      <c r="DO24" s="176" t="n"/>
      <c r="DP24" s="176" t="n"/>
      <c r="DQ24" s="176" t="n"/>
      <c r="DR24" s="193" t="n"/>
      <c r="DW24" s="194" t="n"/>
      <c r="DX24" s="176" t="n"/>
      <c r="DY24" s="176" t="n"/>
      <c r="DZ24" s="193" t="n"/>
      <c r="EE24" s="194" t="n"/>
      <c r="EF24" s="176" t="n"/>
      <c r="EG24" s="176" t="n"/>
      <c r="EH24" s="176" t="n"/>
      <c r="EI24" s="192" t="n"/>
      <c r="EJ24" s="187" t="n"/>
      <c r="EK24" s="187" t="n"/>
      <c r="EL24" s="187" t="n"/>
      <c r="EM24" s="187" t="n"/>
      <c r="EN24" s="188" t="n"/>
      <c r="EO24" s="176" t="n"/>
      <c r="EP24" s="176" t="n"/>
      <c r="EQ24" s="192" t="n"/>
      <c r="ER24" s="187" t="n"/>
      <c r="ES24" s="187" t="n"/>
      <c r="ET24" s="187" t="n"/>
      <c r="EU24" s="187" t="n"/>
      <c r="EV24" s="188" t="n"/>
      <c r="EW24" s="176" t="n"/>
      <c r="EX24" s="176" t="n"/>
      <c r="EY24" s="176" t="n"/>
      <c r="EZ24" s="181" t="inlineStr">
        <is>
          <t>RESTRIÇÃO EMBUTIDA</t>
        </is>
      </c>
      <c r="FA24" s="182" t="n"/>
      <c r="FB24" s="183" t="n"/>
      <c r="FC24" s="185" t="n"/>
      <c r="FD24" s="182" t="n"/>
      <c r="FE24" s="183" t="n"/>
      <c r="FF24" s="176" t="n"/>
      <c r="FG24" s="176" t="n"/>
      <c r="FH24" s="181" t="inlineStr">
        <is>
          <t>RESTRIÇÃO EMBUTIDA</t>
        </is>
      </c>
      <c r="FI24" s="182" t="n"/>
      <c r="FJ24" s="183" t="n"/>
      <c r="FK24" s="185" t="n"/>
      <c r="FL24" s="182" t="n"/>
      <c r="FM24" s="183" t="n"/>
      <c r="FN24" s="176" t="n"/>
      <c r="FO24" s="176" t="n"/>
      <c r="FP24" s="176" t="n"/>
      <c r="FQ24" s="192" t="n"/>
      <c r="FR24" s="187" t="n"/>
      <c r="FS24" s="187" t="n"/>
      <c r="FT24" s="187" t="n"/>
      <c r="FU24" s="187" t="n"/>
      <c r="FV24" s="188" t="n"/>
      <c r="FW24" s="176" t="n"/>
      <c r="FX24" s="176" t="n"/>
      <c r="FY24" s="192" t="n"/>
      <c r="FZ24" s="187" t="n"/>
      <c r="GA24" s="187" t="n"/>
      <c r="GB24" s="187" t="n"/>
      <c r="GC24" s="187" t="n"/>
      <c r="GD24" s="188" t="n"/>
      <c r="GE24" s="176" t="n"/>
      <c r="GF24" s="176" t="n"/>
      <c r="GG24" s="176" t="n"/>
      <c r="GH24" s="193" t="n"/>
      <c r="GM24" s="194" t="n"/>
      <c r="GN24" s="176" t="n"/>
      <c r="GO24" s="176" t="n"/>
      <c r="GP24" s="193" t="n"/>
      <c r="GU24" s="194" t="n"/>
      <c r="GV24" s="176" t="n"/>
      <c r="GW24" s="176" t="n"/>
      <c r="GX24" s="176" t="n"/>
      <c r="GY24" s="193" t="n"/>
      <c r="HD24" s="194" t="n"/>
      <c r="HE24" s="176" t="n"/>
      <c r="HF24" s="176" t="n"/>
      <c r="HG24" s="193" t="n"/>
      <c r="HL24" s="194" t="n"/>
      <c r="HM24" s="176" t="n"/>
      <c r="HN24" s="176" t="n"/>
      <c r="HO24" s="176" t="n"/>
      <c r="HP24" s="193" t="n"/>
      <c r="HU24" s="194" t="n"/>
      <c r="HV24" s="176" t="n"/>
      <c r="HW24" s="176" t="n"/>
      <c r="HX24" s="193" t="n"/>
      <c r="IC24" s="194" t="n"/>
      <c r="ID24" s="176" t="n"/>
    </row>
    <row r="25" ht="31.5" customHeight="1">
      <c r="A25" s="176" t="n"/>
      <c r="B25" s="176" t="n"/>
      <c r="C25" s="184" t="b">
        <v>0</v>
      </c>
      <c r="D25" s="185" t="n"/>
      <c r="E25" s="185" t="n"/>
      <c r="F25" s="186" t="n"/>
      <c r="G25" s="185" t="n"/>
      <c r="H25" s="185" t="n"/>
      <c r="I25" s="176" t="n"/>
      <c r="J25" s="176" t="n"/>
      <c r="K25" s="176" t="n"/>
      <c r="L25" s="176" t="n"/>
      <c r="M25" s="176" t="n"/>
      <c r="N25" s="176" t="n"/>
      <c r="O25" s="176" t="n"/>
      <c r="P25" s="176" t="n"/>
      <c r="Q25" s="176" t="n"/>
      <c r="R25" s="176" t="n"/>
      <c r="S25" s="176" t="n"/>
      <c r="T25" s="181">
        <f>SWITCH('CONFIGURAÇÃO'!$T$14,"Origem","","Marcante","","Menor","","Arma","FORÇA","Escudo","TETO DE DESTREZA","Uniforme","TETO DE DESTREZA","Item comum","PREÇO","Ferramenta amaldiçoada","DESGASTE","")</f>
        <v/>
      </c>
      <c r="U25" s="183" t="n"/>
      <c r="V25" s="185" t="n"/>
      <c r="W25" s="182" t="n"/>
      <c r="X25" s="182" t="n"/>
      <c r="Y25" s="183" t="n"/>
      <c r="Z25" s="176" t="n"/>
      <c r="AA25" s="176" t="n"/>
      <c r="AB25" s="181">
        <f>SWITCH('CONFIGURAÇÃO'!$AB$14,"Origem","","Marcante","","Menor","","Arma","FORÇA","Escudo","TETO DE DESTREZA","Uniforme","TETO DE DESTREZA","Item comum","PREÇO","Ferramenta amaldiçoada","DESGASTE","")</f>
        <v/>
      </c>
      <c r="AC25" s="183" t="n"/>
      <c r="AD25" s="185" t="n"/>
      <c r="AE25" s="182" t="n"/>
      <c r="AF25" s="182" t="n"/>
      <c r="AG25" s="183" t="n"/>
      <c r="AH25" s="176" t="n"/>
      <c r="AI25" s="176" t="n"/>
      <c r="AJ25" s="176" t="n"/>
      <c r="AK25" s="181" t="inlineStr">
        <is>
          <t>CATEGORIA DE ARMA 2</t>
        </is>
      </c>
      <c r="AL25" s="182" t="n"/>
      <c r="AM25" s="183" t="n"/>
      <c r="AN25" s="185" t="n"/>
      <c r="AO25" s="182" t="n"/>
      <c r="AP25" s="183" t="n"/>
      <c r="AQ25" s="176" t="n"/>
      <c r="AR25" s="176" t="n"/>
      <c r="AS25" s="176" t="n"/>
      <c r="AT25" s="176" t="n"/>
      <c r="AU25" s="176" t="n"/>
      <c r="AV25" s="176" t="n"/>
      <c r="AW25" s="176" t="n"/>
      <c r="AX25" s="176" t="n"/>
      <c r="AY25" s="176" t="n"/>
      <c r="AZ25" s="176" t="n"/>
      <c r="BA25" s="176" t="n"/>
      <c r="BB25" s="185" t="inlineStr">
        <is>
          <t>Perícia</t>
        </is>
      </c>
      <c r="BC25" s="182" t="n"/>
      <c r="BD25" s="182" t="n"/>
      <c r="BE25" s="183" t="n"/>
      <c r="BF25" s="184" t="b">
        <v>0</v>
      </c>
      <c r="BG25" s="183" t="n"/>
      <c r="BH25" s="176" t="n"/>
      <c r="BI25" s="176" t="n"/>
      <c r="BJ25" s="185" t="inlineStr">
        <is>
          <t>Perícia</t>
        </is>
      </c>
      <c r="BK25" s="182" t="n"/>
      <c r="BL25" s="182" t="n"/>
      <c r="BM25" s="183" t="n"/>
      <c r="BN25" s="184" t="b">
        <v>0</v>
      </c>
      <c r="BO25" s="183" t="n"/>
      <c r="BP25" s="176" t="n"/>
      <c r="BQ25" s="176" t="n"/>
      <c r="BR25" s="176" t="n"/>
      <c r="BS25" s="185" t="inlineStr">
        <is>
          <t>Ofício</t>
        </is>
      </c>
      <c r="BT25" s="182" t="n"/>
      <c r="BU25" s="182" t="n"/>
      <c r="BV25" s="183" t="n"/>
      <c r="BW25" s="184" t="b">
        <v>0</v>
      </c>
      <c r="BX25" s="183" t="n"/>
      <c r="BY25" s="176" t="n"/>
      <c r="BZ25" s="176" t="n"/>
      <c r="CA25" s="185" t="inlineStr">
        <is>
          <t>Ofício</t>
        </is>
      </c>
      <c r="CB25" s="182" t="n"/>
      <c r="CC25" s="182" t="n"/>
      <c r="CD25" s="183" t="n"/>
      <c r="CE25" s="184" t="b">
        <v>0</v>
      </c>
      <c r="CF25" s="183" t="n"/>
      <c r="CG25" s="176" t="n"/>
      <c r="CH25" s="176" t="n"/>
      <c r="CI25" s="176" t="n"/>
      <c r="CJ25" s="179" t="inlineStr">
        <is>
          <t>FAMÍLIA · 3</t>
        </is>
      </c>
      <c r="CP25" s="176" t="n"/>
      <c r="CQ25" s="176" t="n"/>
      <c r="CR25" s="179" t="inlineStr">
        <is>
          <t>FAMÍLIA · 4</t>
        </is>
      </c>
      <c r="CX25" s="176" t="n"/>
      <c r="CY25" s="176" t="n"/>
      <c r="CZ25" s="176" t="n"/>
      <c r="DA25" s="189" t="n"/>
      <c r="DB25" s="190" t="n"/>
      <c r="DC25" s="190" t="n"/>
      <c r="DD25" s="190" t="n"/>
      <c r="DE25" s="190" t="n"/>
      <c r="DF25" s="191" t="n"/>
      <c r="DG25" s="176" t="n"/>
      <c r="DH25" s="176" t="n"/>
      <c r="DI25" s="189" t="n"/>
      <c r="DJ25" s="190" t="n"/>
      <c r="DK25" s="190" t="n"/>
      <c r="DL25" s="190" t="n"/>
      <c r="DM25" s="190" t="n"/>
      <c r="DN25" s="191" t="n"/>
      <c r="DO25" s="176" t="n"/>
      <c r="DP25" s="176" t="n"/>
      <c r="DQ25" s="176" t="n"/>
      <c r="DR25" s="193" t="n"/>
      <c r="DW25" s="194" t="n"/>
      <c r="DX25" s="176" t="n"/>
      <c r="DY25" s="176" t="n"/>
      <c r="DZ25" s="193" t="n"/>
      <c r="EE25" s="194" t="n"/>
      <c r="EF25" s="176" t="n"/>
      <c r="EG25" s="176" t="n"/>
      <c r="EH25" s="176" t="n"/>
      <c r="EI25" s="193" t="n"/>
      <c r="EN25" s="194" t="n"/>
      <c r="EO25" s="176" t="n"/>
      <c r="EP25" s="176" t="n"/>
      <c r="EQ25" s="193" t="n"/>
      <c r="EV25" s="194" t="n"/>
      <c r="EW25" s="176" t="n"/>
      <c r="EX25" s="176" t="n"/>
      <c r="EY25" s="176" t="n"/>
      <c r="EZ25" s="181" t="inlineStr">
        <is>
          <t>ESCADA DE ALCANCE</t>
        </is>
      </c>
      <c r="FA25" s="182" t="n"/>
      <c r="FB25" s="183" t="n"/>
      <c r="FC25" s="185" t="n"/>
      <c r="FD25" s="182" t="n"/>
      <c r="FE25" s="183" t="n"/>
      <c r="FF25" s="176" t="n"/>
      <c r="FG25" s="176" t="n"/>
      <c r="FH25" s="181" t="inlineStr">
        <is>
          <t>ESCADA DE ALCANCE</t>
        </is>
      </c>
      <c r="FI25" s="182" t="n"/>
      <c r="FJ25" s="183" t="n"/>
      <c r="FK25" s="185" t="n"/>
      <c r="FL25" s="182" t="n"/>
      <c r="FM25" s="183" t="n"/>
      <c r="FN25" s="176" t="n"/>
      <c r="FO25" s="176" t="n"/>
      <c r="FP25" s="176" t="n"/>
      <c r="FQ25" s="193" t="n"/>
      <c r="FV25" s="194" t="n"/>
      <c r="FW25" s="176" t="n"/>
      <c r="FX25" s="176" t="n"/>
      <c r="FY25" s="193" t="n"/>
      <c r="GD25" s="194" t="n"/>
      <c r="GE25" s="176" t="n"/>
      <c r="GF25" s="176" t="n"/>
      <c r="GG25" s="176" t="n"/>
      <c r="GH25" s="189" t="n"/>
      <c r="GI25" s="190" t="n"/>
      <c r="GJ25" s="190" t="n"/>
      <c r="GK25" s="190" t="n"/>
      <c r="GL25" s="190" t="n"/>
      <c r="GM25" s="191" t="n"/>
      <c r="GN25" s="176" t="n"/>
      <c r="GO25" s="176" t="n"/>
      <c r="GP25" s="189" t="n"/>
      <c r="GQ25" s="190" t="n"/>
      <c r="GR25" s="190" t="n"/>
      <c r="GS25" s="190" t="n"/>
      <c r="GT25" s="190" t="n"/>
      <c r="GU25" s="191" t="n"/>
      <c r="GV25" s="176" t="n"/>
      <c r="GW25" s="176" t="n"/>
      <c r="GX25" s="176" t="n"/>
      <c r="GY25" s="189" t="n"/>
      <c r="GZ25" s="190" t="n"/>
      <c r="HA25" s="190" t="n"/>
      <c r="HB25" s="190" t="n"/>
      <c r="HC25" s="190" t="n"/>
      <c r="HD25" s="191" t="n"/>
      <c r="HE25" s="176" t="n"/>
      <c r="HF25" s="176" t="n"/>
      <c r="HG25" s="189" t="n"/>
      <c r="HH25" s="190" t="n"/>
      <c r="HI25" s="190" t="n"/>
      <c r="HJ25" s="190" t="n"/>
      <c r="HK25" s="190" t="n"/>
      <c r="HL25" s="191" t="n"/>
      <c r="HM25" s="176" t="n"/>
      <c r="HN25" s="176" t="n"/>
      <c r="HO25" s="176" t="n"/>
      <c r="HP25" s="189" t="n"/>
      <c r="HQ25" s="190" t="n"/>
      <c r="HR25" s="190" t="n"/>
      <c r="HS25" s="190" t="n"/>
      <c r="HT25" s="190" t="n"/>
      <c r="HU25" s="191" t="n"/>
      <c r="HV25" s="176" t="n"/>
      <c r="HW25" s="176" t="n"/>
      <c r="HX25" s="189" t="n"/>
      <c r="HY25" s="190" t="n"/>
      <c r="HZ25" s="190" t="n"/>
      <c r="IA25" s="190" t="n"/>
      <c r="IB25" s="190" t="n"/>
      <c r="IC25" s="191" t="n"/>
      <c r="ID25" s="176" t="n"/>
    </row>
    <row r="26" ht="31.5" customHeight="1">
      <c r="A26" s="176" t="n"/>
      <c r="B26" s="176" t="n"/>
      <c r="C26" s="184" t="b">
        <v>0</v>
      </c>
      <c r="D26" s="185" t="n"/>
      <c r="E26" s="185" t="n"/>
      <c r="F26" s="186" t="n"/>
      <c r="G26" s="185" t="n"/>
      <c r="H26" s="185" t="n"/>
      <c r="I26" s="176" t="n"/>
      <c r="J26" s="176" t="n"/>
      <c r="K26" s="185" t="inlineStr">
        <is>
          <t>11 · Talentos</t>
        </is>
      </c>
      <c r="L26" s="187" t="n"/>
      <c r="M26" s="187" t="n"/>
      <c r="N26" s="188" t="n"/>
      <c r="O26" s="185" t="inlineStr">
        <is>
          <t>12 · Tipos de entidade</t>
        </is>
      </c>
      <c r="P26" s="187" t="n"/>
      <c r="Q26" s="188" t="n"/>
      <c r="R26" s="176" t="n"/>
      <c r="S26" s="176" t="n"/>
      <c r="T26" s="181">
        <f>SWITCH('CONFIGURAÇÃO'!$T$14,"Origem","","Marcante","","Menor","","Arma","VOLUME","Escudo","FORÇA","Uniforme","FORÇA","Item comum","","Ferramenta amaldiçoada","VOLUME","")</f>
        <v/>
      </c>
      <c r="U26" s="183" t="n"/>
      <c r="V26" s="185" t="n"/>
      <c r="W26" s="182" t="n"/>
      <c r="X26" s="182" t="n"/>
      <c r="Y26" s="183" t="n"/>
      <c r="Z26" s="176" t="n"/>
      <c r="AA26" s="176" t="n"/>
      <c r="AB26" s="181">
        <f>SWITCH('CONFIGURAÇÃO'!$AB$14,"Origem","","Marcante","","Menor","","Arma","VOLUME","Escudo","FORÇA","Uniforme","FORÇA","Item comum","","Ferramenta amaldiçoada","VOLUME","")</f>
        <v/>
      </c>
      <c r="AC26" s="183" t="n"/>
      <c r="AD26" s="185" t="n"/>
      <c r="AE26" s="182" t="n"/>
      <c r="AF26" s="182" t="n"/>
      <c r="AG26" s="183" t="n"/>
      <c r="AH26" s="176" t="n"/>
      <c r="AI26" s="176" t="n"/>
      <c r="AJ26" s="176" t="n"/>
      <c r="AK26" s="181" t="inlineStr">
        <is>
          <t>CATEGORIA DE ARMA 3</t>
        </is>
      </c>
      <c r="AL26" s="182" t="n"/>
      <c r="AM26" s="183" t="n"/>
      <c r="AN26" s="185" t="n"/>
      <c r="AO26" s="182" t="n"/>
      <c r="AP26" s="183" t="n"/>
      <c r="AQ26" s="176" t="n"/>
      <c r="AR26" s="176" t="n"/>
      <c r="AS26" s="176" t="n"/>
      <c r="AT26" s="176" t="n"/>
      <c r="AU26" s="176" t="n"/>
      <c r="AV26" s="176" t="n"/>
      <c r="AW26" s="176" t="n"/>
      <c r="AX26" s="176" t="n"/>
      <c r="AY26" s="176" t="n"/>
      <c r="AZ26" s="176" t="n"/>
      <c r="BA26" s="176" t="n"/>
      <c r="BB26" s="181" t="inlineStr">
        <is>
          <t>NOME</t>
        </is>
      </c>
      <c r="BC26" s="182" t="n"/>
      <c r="BD26" s="182" t="n"/>
      <c r="BE26" s="182" t="n"/>
      <c r="BF26" s="182" t="n"/>
      <c r="BG26" s="183" t="n"/>
      <c r="BH26" s="176" t="n"/>
      <c r="BI26" s="176" t="n"/>
      <c r="BJ26" s="181" t="inlineStr">
        <is>
          <t>NOME</t>
        </is>
      </c>
      <c r="BK26" s="182" t="n"/>
      <c r="BL26" s="182" t="n"/>
      <c r="BM26" s="182" t="n"/>
      <c r="BN26" s="182" t="n"/>
      <c r="BO26" s="183" t="n"/>
      <c r="BP26" s="176" t="n"/>
      <c r="BQ26" s="176" t="n"/>
      <c r="BR26" s="176" t="n"/>
      <c r="BS26" s="181" t="inlineStr">
        <is>
          <t>NOME</t>
        </is>
      </c>
      <c r="BT26" s="182" t="n"/>
      <c r="BU26" s="182" t="n"/>
      <c r="BV26" s="182" t="n"/>
      <c r="BW26" s="182" t="n"/>
      <c r="BX26" s="183" t="n"/>
      <c r="BY26" s="176" t="n"/>
      <c r="BZ26" s="176" t="n"/>
      <c r="CA26" s="181" t="inlineStr">
        <is>
          <t>NOME</t>
        </is>
      </c>
      <c r="CB26" s="182" t="n"/>
      <c r="CC26" s="182" t="n"/>
      <c r="CD26" s="182" t="n"/>
      <c r="CE26" s="182" t="n"/>
      <c r="CF26" s="183" t="n"/>
      <c r="CG26" s="176" t="n"/>
      <c r="CH26" s="176" t="n"/>
      <c r="CI26" s="176" t="n"/>
      <c r="CJ26" s="181" t="inlineStr">
        <is>
          <t>TIPO</t>
        </is>
      </c>
      <c r="CK26" s="182" t="n"/>
      <c r="CL26" s="182" t="n"/>
      <c r="CM26" s="183" t="n"/>
      <c r="CN26" s="181" t="inlineStr">
        <is>
          <t>MESTRE VIU</t>
        </is>
      </c>
      <c r="CO26" s="183" t="n"/>
      <c r="CP26" s="176" t="n"/>
      <c r="CQ26" s="176" t="n"/>
      <c r="CR26" s="181" t="inlineStr">
        <is>
          <t>TIPO</t>
        </is>
      </c>
      <c r="CS26" s="182" t="n"/>
      <c r="CT26" s="182" t="n"/>
      <c r="CU26" s="183" t="n"/>
      <c r="CV26" s="181" t="inlineStr">
        <is>
          <t>MESTRE VIU</t>
        </is>
      </c>
      <c r="CW26" s="183" t="n"/>
      <c r="CX26" s="176" t="n"/>
      <c r="CY26" s="176" t="n"/>
      <c r="CZ26" s="176" t="n"/>
      <c r="DA26" s="176" t="n"/>
      <c r="DB26" s="176" t="n"/>
      <c r="DC26" s="176" t="n"/>
      <c r="DD26" s="176" t="n"/>
      <c r="DE26" s="176" t="n"/>
      <c r="DF26" s="176" t="n"/>
      <c r="DG26" s="176" t="n"/>
      <c r="DH26" s="176" t="n"/>
      <c r="DI26" s="176" t="n"/>
      <c r="DJ26" s="176" t="n"/>
      <c r="DK26" s="176" t="n"/>
      <c r="DL26" s="176" t="n"/>
      <c r="DM26" s="176" t="n"/>
      <c r="DN26" s="176" t="n"/>
      <c r="DO26" s="176" t="n"/>
      <c r="DP26" s="176" t="n"/>
      <c r="DQ26" s="176" t="n"/>
      <c r="DR26" s="193" t="n"/>
      <c r="DW26" s="194" t="n"/>
      <c r="DX26" s="176" t="n"/>
      <c r="DY26" s="176" t="n"/>
      <c r="DZ26" s="193" t="n"/>
      <c r="EE26" s="194" t="n"/>
      <c r="EF26" s="176" t="n"/>
      <c r="EG26" s="176" t="n"/>
      <c r="EH26" s="176" t="n"/>
      <c r="EI26" s="193" t="n"/>
      <c r="EN26" s="194" t="n"/>
      <c r="EO26" s="176" t="n"/>
      <c r="EP26" s="176" t="n"/>
      <c r="EQ26" s="193" t="n"/>
      <c r="EV26" s="194" t="n"/>
      <c r="EW26" s="176" t="n"/>
      <c r="EX26" s="176" t="n"/>
      <c r="EY26" s="176" t="n"/>
      <c r="EZ26" s="181" t="inlineStr">
        <is>
          <t>ESCADA DE ÁREA</t>
        </is>
      </c>
      <c r="FA26" s="182" t="n"/>
      <c r="FB26" s="183" t="n"/>
      <c r="FC26" s="185" t="n"/>
      <c r="FD26" s="182" t="n"/>
      <c r="FE26" s="183" t="n"/>
      <c r="FF26" s="176" t="n"/>
      <c r="FG26" s="176" t="n"/>
      <c r="FH26" s="181" t="inlineStr">
        <is>
          <t>ESCADA DE ÁREA</t>
        </is>
      </c>
      <c r="FI26" s="182" t="n"/>
      <c r="FJ26" s="183" t="n"/>
      <c r="FK26" s="185" t="n"/>
      <c r="FL26" s="182" t="n"/>
      <c r="FM26" s="183" t="n"/>
      <c r="FN26" s="176" t="n"/>
      <c r="FO26" s="176" t="n"/>
      <c r="FP26" s="176" t="n"/>
      <c r="FQ26" s="193" t="n"/>
      <c r="FV26" s="194" t="n"/>
      <c r="FW26" s="176" t="n"/>
      <c r="FX26" s="176" t="n"/>
      <c r="FY26" s="193" t="n"/>
      <c r="GD26" s="194" t="n"/>
      <c r="GE26" s="176" t="n"/>
      <c r="GF26" s="176" t="n"/>
      <c r="GG26" s="176" t="n"/>
      <c r="GH26" s="176" t="n"/>
      <c r="GI26" s="176" t="n"/>
      <c r="GJ26" s="176" t="n"/>
      <c r="GK26" s="176" t="n"/>
      <c r="GL26" s="176" t="n"/>
      <c r="GM26" s="176" t="n"/>
      <c r="GN26" s="176" t="n"/>
      <c r="GO26" s="176" t="n"/>
      <c r="GP26" s="176" t="n"/>
      <c r="GQ26" s="176" t="n"/>
      <c r="GR26" s="176" t="n"/>
      <c r="GS26" s="176" t="n"/>
      <c r="GT26" s="176" t="n"/>
      <c r="GU26" s="176" t="n"/>
      <c r="GV26" s="176" t="n"/>
      <c r="GW26" s="176" t="n"/>
      <c r="GX26" s="176" t="n"/>
      <c r="GY26" s="176" t="n"/>
      <c r="GZ26" s="176" t="n"/>
      <c r="HA26" s="176" t="n"/>
      <c r="HB26" s="176" t="n"/>
      <c r="HC26" s="176" t="n"/>
      <c r="HD26" s="176" t="n"/>
      <c r="HE26" s="176" t="n"/>
      <c r="HF26" s="176" t="n"/>
      <c r="HG26" s="176" t="n"/>
      <c r="HH26" s="176" t="n"/>
      <c r="HI26" s="176" t="n"/>
      <c r="HJ26" s="176" t="n"/>
      <c r="HK26" s="176" t="n"/>
      <c r="HL26" s="176" t="n"/>
      <c r="HM26" s="176" t="n"/>
      <c r="HN26" s="176" t="n"/>
      <c r="HO26" s="176" t="n"/>
      <c r="HP26" s="176" t="n"/>
      <c r="HQ26" s="176" t="n"/>
      <c r="HR26" s="176" t="n"/>
      <c r="HS26" s="176" t="n"/>
      <c r="HT26" s="176" t="n"/>
      <c r="HU26" s="176" t="n"/>
      <c r="HV26" s="176" t="n"/>
      <c r="HW26" s="176" t="n"/>
      <c r="HX26" s="176" t="n"/>
      <c r="HY26" s="176" t="n"/>
      <c r="HZ26" s="176" t="n"/>
      <c r="IA26" s="176" t="n"/>
      <c r="IB26" s="176" t="n"/>
      <c r="IC26" s="176" t="n"/>
      <c r="ID26" s="176" t="n"/>
    </row>
    <row r="27" ht="31.5" customHeight="1">
      <c r="A27" s="176" t="n"/>
      <c r="B27" s="176" t="n"/>
      <c r="C27" s="184" t="b">
        <v>0</v>
      </c>
      <c r="D27" s="185" t="n"/>
      <c r="E27" s="185" t="n"/>
      <c r="F27" s="186" t="n"/>
      <c r="G27" s="185" t="n"/>
      <c r="H27" s="185" t="n"/>
      <c r="I27" s="176" t="n"/>
      <c r="J27" s="176" t="n"/>
      <c r="K27" s="189" t="n"/>
      <c r="L27" s="190" t="n"/>
      <c r="M27" s="190" t="n"/>
      <c r="N27" s="191" t="n"/>
      <c r="O27" s="189" t="n"/>
      <c r="P27" s="190" t="n"/>
      <c r="Q27" s="191" t="n"/>
      <c r="R27" s="176" t="n"/>
      <c r="S27" s="176" t="n"/>
      <c r="T27" s="181">
        <f>SWITCH('CONFIGURAÇÃO'!$T$14,"Origem","","Marcante","","Menor","","Arma","ALCANCE","Escudo","VOLUME","Uniforme","VOLUME","Item comum","","Ferramenta amaldiçoada","PREÇO","")</f>
        <v/>
      </c>
      <c r="U27" s="183" t="n"/>
      <c r="V27" s="185" t="n"/>
      <c r="W27" s="182" t="n"/>
      <c r="X27" s="182" t="n"/>
      <c r="Y27" s="183" t="n"/>
      <c r="Z27" s="176" t="n"/>
      <c r="AA27" s="176" t="n"/>
      <c r="AB27" s="181">
        <f>SWITCH('CONFIGURAÇÃO'!$AB$14,"Origem","","Marcante","","Menor","","Arma","ALCANCE","Escudo","VOLUME","Uniforme","VOLUME","Item comum","","Ferramenta amaldiçoada","PREÇO","")</f>
        <v/>
      </c>
      <c r="AC27" s="183" t="n"/>
      <c r="AD27" s="185" t="n"/>
      <c r="AE27" s="182" t="n"/>
      <c r="AF27" s="182" t="n"/>
      <c r="AG27" s="183" t="n"/>
      <c r="AH27" s="176" t="n"/>
      <c r="AI27" s="176" t="n"/>
      <c r="AJ27" s="176" t="n"/>
      <c r="AK27" s="181" t="inlineStr">
        <is>
          <t>CATEGORIA DE ARMA 4</t>
        </is>
      </c>
      <c r="AL27" s="182" t="n"/>
      <c r="AM27" s="183" t="n"/>
      <c r="AN27" s="185" t="n"/>
      <c r="AO27" s="182" t="n"/>
      <c r="AP27" s="183" t="n"/>
      <c r="AQ27" s="176" t="n"/>
      <c r="AR27" s="176" t="n"/>
      <c r="AS27" s="176" t="n"/>
      <c r="AT27" s="176" t="n"/>
      <c r="AU27" s="176" t="n"/>
      <c r="AV27" s="176" t="n"/>
      <c r="AW27" s="176" t="n"/>
      <c r="AX27" s="176" t="n"/>
      <c r="AY27" s="176" t="n"/>
      <c r="AZ27" s="176" t="n"/>
      <c r="BA27" s="176" t="n"/>
      <c r="BB27" s="185" t="n"/>
      <c r="BC27" s="182" t="n"/>
      <c r="BD27" s="182" t="n"/>
      <c r="BE27" s="182" t="n"/>
      <c r="BF27" s="182" t="n"/>
      <c r="BG27" s="183" t="n"/>
      <c r="BH27" s="176" t="n"/>
      <c r="BI27" s="176" t="n"/>
      <c r="BJ27" s="185" t="n"/>
      <c r="BK27" s="182" t="n"/>
      <c r="BL27" s="182" t="n"/>
      <c r="BM27" s="182" t="n"/>
      <c r="BN27" s="182" t="n"/>
      <c r="BO27" s="183" t="n"/>
      <c r="BP27" s="176" t="n"/>
      <c r="BQ27" s="176" t="n"/>
      <c r="BR27" s="176" t="n"/>
      <c r="BS27" s="185" t="n"/>
      <c r="BT27" s="182" t="n"/>
      <c r="BU27" s="182" t="n"/>
      <c r="BV27" s="182" t="n"/>
      <c r="BW27" s="182" t="n"/>
      <c r="BX27" s="183" t="n"/>
      <c r="BY27" s="176" t="n"/>
      <c r="BZ27" s="176" t="n"/>
      <c r="CA27" s="185" t="n"/>
      <c r="CB27" s="182" t="n"/>
      <c r="CC27" s="182" t="n"/>
      <c r="CD27" s="182" t="n"/>
      <c r="CE27" s="182" t="n"/>
      <c r="CF27" s="183" t="n"/>
      <c r="CG27" s="176" t="n"/>
      <c r="CH27" s="176" t="n"/>
      <c r="CI27" s="176" t="n"/>
      <c r="CJ27" s="185" t="inlineStr">
        <is>
          <t>Família</t>
        </is>
      </c>
      <c r="CK27" s="182" t="n"/>
      <c r="CL27" s="182" t="n"/>
      <c r="CM27" s="183" t="n"/>
      <c r="CN27" s="184" t="b">
        <v>0</v>
      </c>
      <c r="CO27" s="183" t="n"/>
      <c r="CP27" s="176" t="n"/>
      <c r="CQ27" s="176" t="n"/>
      <c r="CR27" s="185" t="inlineStr">
        <is>
          <t>Família</t>
        </is>
      </c>
      <c r="CS27" s="182" t="n"/>
      <c r="CT27" s="182" t="n"/>
      <c r="CU27" s="183" t="n"/>
      <c r="CV27" s="184" t="b">
        <v>0</v>
      </c>
      <c r="CW27" s="183" t="n"/>
      <c r="CX27" s="176" t="n"/>
      <c r="CY27" s="176" t="n"/>
      <c r="CZ27" s="176" t="n"/>
      <c r="DA27" s="181" t="inlineStr">
        <is>
          <t>EFEITO</t>
        </is>
      </c>
      <c r="DB27" s="182" t="n"/>
      <c r="DC27" s="182" t="n"/>
      <c r="DD27" s="182" t="n"/>
      <c r="DE27" s="182" t="n"/>
      <c r="DF27" s="183" t="n"/>
      <c r="DG27" s="176" t="n"/>
      <c r="DH27" s="176" t="n"/>
      <c r="DI27" s="181" t="inlineStr">
        <is>
          <t>EFEITO</t>
        </is>
      </c>
      <c r="DJ27" s="182" t="n"/>
      <c r="DK27" s="182" t="n"/>
      <c r="DL27" s="182" t="n"/>
      <c r="DM27" s="182" t="n"/>
      <c r="DN27" s="183" t="n"/>
      <c r="DO27" s="176" t="n"/>
      <c r="DP27" s="176" t="n"/>
      <c r="DQ27" s="176" t="n"/>
      <c r="DR27" s="189" t="n"/>
      <c r="DS27" s="190" t="n"/>
      <c r="DT27" s="190" t="n"/>
      <c r="DU27" s="190" t="n"/>
      <c r="DV27" s="190" t="n"/>
      <c r="DW27" s="191" t="n"/>
      <c r="DX27" s="176" t="n"/>
      <c r="DY27" s="176" t="n"/>
      <c r="DZ27" s="189" t="n"/>
      <c r="EA27" s="190" t="n"/>
      <c r="EB27" s="190" t="n"/>
      <c r="EC27" s="190" t="n"/>
      <c r="ED27" s="190" t="n"/>
      <c r="EE27" s="191" t="n"/>
      <c r="EF27" s="176" t="n"/>
      <c r="EG27" s="176" t="n"/>
      <c r="EH27" s="176" t="n"/>
      <c r="EI27" s="193" t="n"/>
      <c r="EN27" s="194" t="n"/>
      <c r="EO27" s="176" t="n"/>
      <c r="EP27" s="176" t="n"/>
      <c r="EQ27" s="193" t="n"/>
      <c r="EV27" s="194" t="n"/>
      <c r="EW27" s="176" t="n"/>
      <c r="EX27" s="176" t="n"/>
      <c r="EY27" s="176" t="n"/>
      <c r="EZ27" s="181" t="inlineStr">
        <is>
          <t>ALC · P · 0</t>
        </is>
      </c>
      <c r="FA27" s="182" t="n"/>
      <c r="FB27" s="183" t="n"/>
      <c r="FC27" s="185" t="n"/>
      <c r="FD27" s="182" t="n"/>
      <c r="FE27" s="183" t="n"/>
      <c r="FF27" s="176" t="n"/>
      <c r="FG27" s="176" t="n"/>
      <c r="FH27" s="181" t="inlineStr">
        <is>
          <t>ALC · P · 0</t>
        </is>
      </c>
      <c r="FI27" s="182" t="n"/>
      <c r="FJ27" s="183" t="n"/>
      <c r="FK27" s="185" t="n"/>
      <c r="FL27" s="182" t="n"/>
      <c r="FM27" s="183" t="n"/>
      <c r="FN27" s="176" t="n"/>
      <c r="FO27" s="176" t="n"/>
      <c r="FP27" s="176" t="n"/>
      <c r="FQ27" s="189" t="n"/>
      <c r="FR27" s="190" t="n"/>
      <c r="FS27" s="190" t="n"/>
      <c r="FT27" s="190" t="n"/>
      <c r="FU27" s="190" t="n"/>
      <c r="FV27" s="191" t="n"/>
      <c r="FW27" s="176" t="n"/>
      <c r="FX27" s="176" t="n"/>
      <c r="FY27" s="189" t="n"/>
      <c r="FZ27" s="190" t="n"/>
      <c r="GA27" s="190" t="n"/>
      <c r="GB27" s="190" t="n"/>
      <c r="GC27" s="190" t="n"/>
      <c r="GD27" s="191" t="n"/>
      <c r="GE27" s="176" t="n"/>
      <c r="GF27" s="176" t="n"/>
      <c r="GG27" s="176" t="n"/>
      <c r="GH27" s="181" t="inlineStr">
        <is>
          <t>EFEITO</t>
        </is>
      </c>
      <c r="GI27" s="182" t="n"/>
      <c r="GJ27" s="182" t="n"/>
      <c r="GK27" s="182" t="n"/>
      <c r="GL27" s="182" t="n"/>
      <c r="GM27" s="183" t="n"/>
      <c r="GN27" s="176" t="n"/>
      <c r="GO27" s="176" t="n"/>
      <c r="GP27" s="181" t="inlineStr">
        <is>
          <t>EFEITO</t>
        </is>
      </c>
      <c r="GQ27" s="182" t="n"/>
      <c r="GR27" s="182" t="n"/>
      <c r="GS27" s="182" t="n"/>
      <c r="GT27" s="182" t="n"/>
      <c r="GU27" s="183" t="n"/>
      <c r="GV27" s="176" t="n"/>
      <c r="GW27" s="176" t="n"/>
      <c r="GX27" s="176" t="n"/>
      <c r="GY27" s="181" t="inlineStr">
        <is>
          <t>EFEITO E REQUISITOS</t>
        </is>
      </c>
      <c r="GZ27" s="182" t="n"/>
      <c r="HA27" s="182" t="n"/>
      <c r="HB27" s="182" t="n"/>
      <c r="HC27" s="182" t="n"/>
      <c r="HD27" s="183" t="n"/>
      <c r="HE27" s="176" t="n"/>
      <c r="HF27" s="176" t="n"/>
      <c r="HG27" s="181" t="inlineStr">
        <is>
          <t>EFEITO E REQUISITOS</t>
        </is>
      </c>
      <c r="HH27" s="182" t="n"/>
      <c r="HI27" s="182" t="n"/>
      <c r="HJ27" s="182" t="n"/>
      <c r="HK27" s="182" t="n"/>
      <c r="HL27" s="183" t="n"/>
      <c r="HM27" s="176" t="n"/>
      <c r="HN27" s="176" t="n"/>
      <c r="HO27" s="176" t="n"/>
      <c r="HP27" s="181" t="inlineStr">
        <is>
          <t>EFEITO</t>
        </is>
      </c>
      <c r="HQ27" s="182" t="n"/>
      <c r="HR27" s="182" t="n"/>
      <c r="HS27" s="182" t="n"/>
      <c r="HT27" s="182" t="n"/>
      <c r="HU27" s="183" t="n"/>
      <c r="HV27" s="176" t="n"/>
      <c r="HW27" s="176" t="n"/>
      <c r="HX27" s="181" t="inlineStr">
        <is>
          <t>EFEITO</t>
        </is>
      </c>
      <c r="HY27" s="182" t="n"/>
      <c r="HZ27" s="182" t="n"/>
      <c r="IA27" s="182" t="n"/>
      <c r="IB27" s="182" t="n"/>
      <c r="IC27" s="183" t="n"/>
      <c r="ID27" s="176" t="n"/>
    </row>
    <row r="28" ht="31.5" customHeight="1">
      <c r="A28" s="176" t="n"/>
      <c r="B28" s="176" t="n"/>
      <c r="C28" s="184" t="b">
        <v>0</v>
      </c>
      <c r="D28" s="185" t="n"/>
      <c r="E28" s="185" t="n"/>
      <c r="F28" s="186" t="n"/>
      <c r="G28" s="185" t="n"/>
      <c r="H28" s="185" t="n"/>
      <c r="I28" s="176" t="n"/>
      <c r="J28" s="176" t="n"/>
      <c r="K28" s="176" t="n"/>
      <c r="L28" s="176" t="n"/>
      <c r="M28" s="176" t="n"/>
      <c r="N28" s="176" t="n"/>
      <c r="O28" s="176" t="n"/>
      <c r="P28" s="176" t="n"/>
      <c r="Q28" s="176" t="n"/>
      <c r="R28" s="176" t="n"/>
      <c r="S28" s="176" t="n"/>
      <c r="T28" s="181">
        <f>SWITCH('CONFIGURAÇÃO'!$T$14,"Origem","","Marcante","","Menor","","Arma","RECARGA","Escudo","PREÇO","Uniforme","PREÇO","Item comum","","Ferramenta amaldiçoada","","")</f>
        <v/>
      </c>
      <c r="U28" s="183" t="n"/>
      <c r="V28" s="185" t="n"/>
      <c r="W28" s="182" t="n"/>
      <c r="X28" s="182" t="n"/>
      <c r="Y28" s="183" t="n"/>
      <c r="Z28" s="176" t="n"/>
      <c r="AA28" s="176" t="n"/>
      <c r="AB28" s="181">
        <f>SWITCH('CONFIGURAÇÃO'!$AB$14,"Origem","","Marcante","","Menor","","Arma","RECARGA","Escudo","PREÇO","Uniforme","PREÇO","Item comum","","Ferramenta amaldiçoada","","")</f>
        <v/>
      </c>
      <c r="AC28" s="183" t="n"/>
      <c r="AD28" s="185" t="n"/>
      <c r="AE28" s="182" t="n"/>
      <c r="AF28" s="182" t="n"/>
      <c r="AG28" s="183" t="n"/>
      <c r="AH28" s="176" t="n"/>
      <c r="AI28" s="176" t="n"/>
      <c r="AJ28" s="176" t="n"/>
      <c r="AK28" s="181" t="inlineStr">
        <is>
          <t>CATEGORIA DE ARMA 5</t>
        </is>
      </c>
      <c r="AL28" s="182" t="n"/>
      <c r="AM28" s="183" t="n"/>
      <c r="AN28" s="185" t="n"/>
      <c r="AO28" s="182" t="n"/>
      <c r="AP28" s="183" t="n"/>
      <c r="AQ28" s="176" t="n"/>
      <c r="AR28" s="176" t="n"/>
      <c r="AS28" s="176" t="n"/>
      <c r="AT28" s="176" t="n"/>
      <c r="AU28" s="176" t="n"/>
      <c r="AV28" s="176" t="n"/>
      <c r="AW28" s="176" t="n"/>
      <c r="AX28" s="176" t="n"/>
      <c r="AY28" s="176" t="n"/>
      <c r="AZ28" s="176" t="n"/>
      <c r="BA28" s="176" t="n"/>
      <c r="BB28" s="181">
        <f>IF(BB25="Ofício","ATRIBUTO PADRÃO","ATRIBUTO FIXO")</f>
        <v/>
      </c>
      <c r="BC28" s="182" t="n"/>
      <c r="BD28" s="183" t="n"/>
      <c r="BE28" s="185" t="n"/>
      <c r="BF28" s="182" t="n"/>
      <c r="BG28" s="183" t="n"/>
      <c r="BH28" s="176" t="n"/>
      <c r="BI28" s="176" t="n"/>
      <c r="BJ28" s="181">
        <f>IF(BJ25="Ofício","ATRIBUTO PADRÃO","ATRIBUTO FIXO")</f>
        <v/>
      </c>
      <c r="BK28" s="182" t="n"/>
      <c r="BL28" s="183" t="n"/>
      <c r="BM28" s="185" t="n"/>
      <c r="BN28" s="182" t="n"/>
      <c r="BO28" s="183" t="n"/>
      <c r="BP28" s="176" t="n"/>
      <c r="BQ28" s="176" t="n"/>
      <c r="BR28" s="176" t="n"/>
      <c r="BS28" s="181">
        <f>IF(BS25="Ofício","ATRIBUTO PADRÃO","ATRIBUTO FIXO")</f>
        <v/>
      </c>
      <c r="BT28" s="182" t="n"/>
      <c r="BU28" s="183" t="n"/>
      <c r="BV28" s="185" t="n"/>
      <c r="BW28" s="182" t="n"/>
      <c r="BX28" s="183" t="n"/>
      <c r="BY28" s="176" t="n"/>
      <c r="BZ28" s="176" t="n"/>
      <c r="CA28" s="181">
        <f>IF(CA25="Ofício","ATRIBUTO PADRÃO","ATRIBUTO FIXO")</f>
        <v/>
      </c>
      <c r="CB28" s="182" t="n"/>
      <c r="CC28" s="183" t="n"/>
      <c r="CD28" s="185" t="n"/>
      <c r="CE28" s="182" t="n"/>
      <c r="CF28" s="183" t="n"/>
      <c r="CG28" s="176" t="n"/>
      <c r="CH28" s="176" t="n"/>
      <c r="CI28" s="176" t="n"/>
      <c r="CJ28" s="181" t="inlineStr">
        <is>
          <t>NOME</t>
        </is>
      </c>
      <c r="CK28" s="182" t="n"/>
      <c r="CL28" s="182" t="n"/>
      <c r="CM28" s="182" t="n"/>
      <c r="CN28" s="182" t="n"/>
      <c r="CO28" s="183" t="n"/>
      <c r="CP28" s="176" t="n"/>
      <c r="CQ28" s="176" t="n"/>
      <c r="CR28" s="181" t="inlineStr">
        <is>
          <t>NOME</t>
        </is>
      </c>
      <c r="CS28" s="182" t="n"/>
      <c r="CT28" s="182" t="n"/>
      <c r="CU28" s="182" t="n"/>
      <c r="CV28" s="182" t="n"/>
      <c r="CW28" s="183" t="n"/>
      <c r="CX28" s="176" t="n"/>
      <c r="CY28" s="176" t="n"/>
      <c r="CZ28" s="176" t="n"/>
      <c r="DA28" s="192" t="n"/>
      <c r="DB28" s="187" t="n"/>
      <c r="DC28" s="187" t="n"/>
      <c r="DD28" s="187" t="n"/>
      <c r="DE28" s="187" t="n"/>
      <c r="DF28" s="188" t="n"/>
      <c r="DG28" s="176" t="n"/>
      <c r="DH28" s="176" t="n"/>
      <c r="DI28" s="192" t="n"/>
      <c r="DJ28" s="187" t="n"/>
      <c r="DK28" s="187" t="n"/>
      <c r="DL28" s="187" t="n"/>
      <c r="DM28" s="187" t="n"/>
      <c r="DN28" s="188" t="n"/>
      <c r="DO28" s="176" t="n"/>
      <c r="DP28" s="176" t="n"/>
      <c r="DQ28" s="176" t="n"/>
      <c r="DR28" s="176" t="n"/>
      <c r="DS28" s="176" t="n"/>
      <c r="DT28" s="176" t="n"/>
      <c r="DU28" s="176" t="n"/>
      <c r="DV28" s="176" t="n"/>
      <c r="DW28" s="176" t="n"/>
      <c r="DX28" s="176" t="n"/>
      <c r="DY28" s="176" t="n"/>
      <c r="DZ28" s="176" t="n"/>
      <c r="EA28" s="176" t="n"/>
      <c r="EB28" s="176" t="n"/>
      <c r="EC28" s="176" t="n"/>
      <c r="ED28" s="176" t="n"/>
      <c r="EE28" s="176" t="n"/>
      <c r="EF28" s="176" t="n"/>
      <c r="EG28" s="176" t="n"/>
      <c r="EH28" s="176" t="n"/>
      <c r="EI28" s="193" t="n"/>
      <c r="EN28" s="194" t="n"/>
      <c r="EO28" s="176" t="n"/>
      <c r="EP28" s="176" t="n"/>
      <c r="EQ28" s="193" t="n"/>
      <c r="EV28" s="194" t="n"/>
      <c r="EW28" s="176" t="n"/>
      <c r="EX28" s="176" t="n"/>
      <c r="EY28" s="176" t="n"/>
      <c r="EZ28" s="181" t="inlineStr">
        <is>
          <t>ALC · P · 1 a 5</t>
        </is>
      </c>
      <c r="FA28" s="182" t="n"/>
      <c r="FB28" s="183" t="n"/>
      <c r="FC28" s="185" t="n"/>
      <c r="FD28" s="182" t="n"/>
      <c r="FE28" s="183" t="n"/>
      <c r="FF28" s="176" t="n"/>
      <c r="FG28" s="176" t="n"/>
      <c r="FH28" s="181" t="inlineStr">
        <is>
          <t>ALC · P · 1 a 5</t>
        </is>
      </c>
      <c r="FI28" s="182" t="n"/>
      <c r="FJ28" s="183" t="n"/>
      <c r="FK28" s="185" t="n"/>
      <c r="FL28" s="182" t="n"/>
      <c r="FM28" s="183" t="n"/>
      <c r="FN28" s="176" t="n"/>
      <c r="FO28" s="176" t="n"/>
      <c r="FP28" s="176" t="n"/>
      <c r="FQ28" s="176" t="n"/>
      <c r="FR28" s="176" t="n"/>
      <c r="FS28" s="176" t="n"/>
      <c r="FT28" s="176" t="n"/>
      <c r="FU28" s="176" t="n"/>
      <c r="FV28" s="176" t="n"/>
      <c r="FW28" s="176" t="n"/>
      <c r="FX28" s="176" t="n"/>
      <c r="FY28" s="176" t="n"/>
      <c r="FZ28" s="176" t="n"/>
      <c r="GA28" s="176" t="n"/>
      <c r="GB28" s="176" t="n"/>
      <c r="GC28" s="176" t="n"/>
      <c r="GD28" s="176" t="n"/>
      <c r="GE28" s="176" t="n"/>
      <c r="GF28" s="176" t="n"/>
      <c r="GG28" s="176" t="n"/>
      <c r="GH28" s="192" t="n"/>
      <c r="GI28" s="187" t="n"/>
      <c r="GJ28" s="187" t="n"/>
      <c r="GK28" s="187" t="n"/>
      <c r="GL28" s="187" t="n"/>
      <c r="GM28" s="188" t="n"/>
      <c r="GN28" s="176" t="n"/>
      <c r="GO28" s="176" t="n"/>
      <c r="GP28" s="192" t="n"/>
      <c r="GQ28" s="187" t="n"/>
      <c r="GR28" s="187" t="n"/>
      <c r="GS28" s="187" t="n"/>
      <c r="GT28" s="187" t="n"/>
      <c r="GU28" s="188" t="n"/>
      <c r="GV28" s="176" t="n"/>
      <c r="GW28" s="176" t="n"/>
      <c r="GX28" s="176" t="n"/>
      <c r="GY28" s="192" t="n"/>
      <c r="GZ28" s="187" t="n"/>
      <c r="HA28" s="187" t="n"/>
      <c r="HB28" s="187" t="n"/>
      <c r="HC28" s="187" t="n"/>
      <c r="HD28" s="188" t="n"/>
      <c r="HE28" s="176" t="n"/>
      <c r="HF28" s="176" t="n"/>
      <c r="HG28" s="192" t="n"/>
      <c r="HH28" s="187" t="n"/>
      <c r="HI28" s="187" t="n"/>
      <c r="HJ28" s="187" t="n"/>
      <c r="HK28" s="187" t="n"/>
      <c r="HL28" s="188" t="n"/>
      <c r="HM28" s="176" t="n"/>
      <c r="HN28" s="176" t="n"/>
      <c r="HO28" s="176" t="n"/>
      <c r="HP28" s="192" t="n"/>
      <c r="HQ28" s="187" t="n"/>
      <c r="HR28" s="187" t="n"/>
      <c r="HS28" s="187" t="n"/>
      <c r="HT28" s="187" t="n"/>
      <c r="HU28" s="188" t="n"/>
      <c r="HV28" s="176" t="n"/>
      <c r="HW28" s="176" t="n"/>
      <c r="HX28" s="192" t="n"/>
      <c r="HY28" s="187" t="n"/>
      <c r="HZ28" s="187" t="n"/>
      <c r="IA28" s="187" t="n"/>
      <c r="IB28" s="187" t="n"/>
      <c r="IC28" s="188" t="n"/>
      <c r="ID28" s="176" t="n"/>
    </row>
    <row r="29" ht="31.5" customHeight="1">
      <c r="A29" s="176" t="n"/>
      <c r="B29" s="176" t="n"/>
      <c r="C29" s="184" t="b">
        <v>0</v>
      </c>
      <c r="D29" s="185" t="n"/>
      <c r="E29" s="185" t="n"/>
      <c r="F29" s="186" t="n"/>
      <c r="G29" s="185" t="n"/>
      <c r="H29" s="185" t="n"/>
      <c r="I29" s="176" t="n"/>
      <c r="J29" s="176" t="n"/>
      <c r="K29" s="185" t="inlineStr">
        <is>
          <t>13 · Talentos de entidade</t>
        </is>
      </c>
      <c r="L29" s="187" t="n"/>
      <c r="M29" s="187" t="n"/>
      <c r="N29" s="188" t="n"/>
      <c r="O29" s="176" t="n"/>
      <c r="P29" s="176" t="n"/>
      <c r="Q29" s="176" t="n"/>
      <c r="R29" s="176" t="n"/>
      <c r="S29" s="176" t="n"/>
      <c r="T29" s="181">
        <f>SWITCH('CONFIGURAÇÃO'!$T$14,"Origem","","Marcante","","Menor","","Arma","PREÇO","Escudo","","Uniforme","","Item comum","","Ferramenta amaldiçoada","","")</f>
        <v/>
      </c>
      <c r="U29" s="183" t="n"/>
      <c r="V29" s="185" t="n"/>
      <c r="W29" s="182" t="n"/>
      <c r="X29" s="182" t="n"/>
      <c r="Y29" s="183" t="n"/>
      <c r="Z29" s="176" t="n"/>
      <c r="AA29" s="176" t="n"/>
      <c r="AB29" s="181">
        <f>SWITCH('CONFIGURAÇÃO'!$AB$14,"Origem","","Marcante","","Menor","","Arma","PREÇO","Escudo","","Uniforme","","Item comum","","Ferramenta amaldiçoada","","")</f>
        <v/>
      </c>
      <c r="AC29" s="183" t="n"/>
      <c r="AD29" s="185" t="n"/>
      <c r="AE29" s="182" t="n"/>
      <c r="AF29" s="182" t="n"/>
      <c r="AG29" s="183" t="n"/>
      <c r="AH29" s="176" t="n"/>
      <c r="AI29" s="176" t="n"/>
      <c r="AJ29" s="176" t="n"/>
      <c r="AK29" s="181" t="inlineStr">
        <is>
          <t>CATEGORIA DE ARMA 6</t>
        </is>
      </c>
      <c r="AL29" s="182" t="n"/>
      <c r="AM29" s="183" t="n"/>
      <c r="AN29" s="185" t="n"/>
      <c r="AO29" s="182" t="n"/>
      <c r="AP29" s="183" t="n"/>
      <c r="AQ29" s="176" t="n"/>
      <c r="AR29" s="176" t="n"/>
      <c r="AS29" s="176" t="n"/>
      <c r="AT29" s="176" t="n"/>
      <c r="AU29" s="176" t="n"/>
      <c r="AV29" s="176" t="n"/>
      <c r="AW29" s="176" t="n"/>
      <c r="AX29" s="176" t="n"/>
      <c r="AY29" s="176" t="n"/>
      <c r="AZ29" s="176" t="n"/>
      <c r="BA29" s="176" t="n"/>
      <c r="BB29" s="181" t="inlineStr">
        <is>
          <t>DESCRIÇÃO</t>
        </is>
      </c>
      <c r="BC29" s="182" t="n"/>
      <c r="BD29" s="182" t="n"/>
      <c r="BE29" s="182" t="n"/>
      <c r="BF29" s="182" t="n"/>
      <c r="BG29" s="183" t="n"/>
      <c r="BH29" s="176" t="n"/>
      <c r="BI29" s="176" t="n"/>
      <c r="BJ29" s="181" t="inlineStr">
        <is>
          <t>DESCRIÇÃO</t>
        </is>
      </c>
      <c r="BK29" s="182" t="n"/>
      <c r="BL29" s="182" t="n"/>
      <c r="BM29" s="182" t="n"/>
      <c r="BN29" s="182" t="n"/>
      <c r="BO29" s="183" t="n"/>
      <c r="BP29" s="176" t="n"/>
      <c r="BQ29" s="176" t="n"/>
      <c r="BR29" s="176" t="n"/>
      <c r="BS29" s="181" t="inlineStr">
        <is>
          <t>DESCRIÇÃO</t>
        </is>
      </c>
      <c r="BT29" s="182" t="n"/>
      <c r="BU29" s="182" t="n"/>
      <c r="BV29" s="182" t="n"/>
      <c r="BW29" s="182" t="n"/>
      <c r="BX29" s="183" t="n"/>
      <c r="BY29" s="176" t="n"/>
      <c r="BZ29" s="176" t="n"/>
      <c r="CA29" s="181" t="inlineStr">
        <is>
          <t>DESCRIÇÃO</t>
        </is>
      </c>
      <c r="CB29" s="182" t="n"/>
      <c r="CC29" s="182" t="n"/>
      <c r="CD29" s="182" t="n"/>
      <c r="CE29" s="182" t="n"/>
      <c r="CF29" s="183" t="n"/>
      <c r="CG29" s="176" t="n"/>
      <c r="CH29" s="176" t="n"/>
      <c r="CI29" s="176" t="n"/>
      <c r="CJ29" s="185" t="n"/>
      <c r="CK29" s="182" t="n"/>
      <c r="CL29" s="182" t="n"/>
      <c r="CM29" s="182" t="n"/>
      <c r="CN29" s="182" t="n"/>
      <c r="CO29" s="183" t="n"/>
      <c r="CP29" s="176" t="n"/>
      <c r="CQ29" s="176" t="n"/>
      <c r="CR29" s="185" t="n"/>
      <c r="CS29" s="182" t="n"/>
      <c r="CT29" s="182" t="n"/>
      <c r="CU29" s="182" t="n"/>
      <c r="CV29" s="182" t="n"/>
      <c r="CW29" s="183" t="n"/>
      <c r="CX29" s="176" t="n"/>
      <c r="CY29" s="176" t="n"/>
      <c r="CZ29" s="176" t="n"/>
      <c r="DA29" s="193" t="n"/>
      <c r="DF29" s="194" t="n"/>
      <c r="DG29" s="176" t="n"/>
      <c r="DH29" s="176" t="n"/>
      <c r="DI29" s="193" t="n"/>
      <c r="DN29" s="194" t="n"/>
      <c r="DO29" s="176" t="n"/>
      <c r="DP29" s="176" t="n"/>
      <c r="DQ29" s="176" t="n"/>
      <c r="DR29" s="180">
        <f>IF('DADOS_RESTRICOES'!$K$2="","","⚠ "&amp;'DADOS_RESTRICOES'!$K$2)</f>
        <v/>
      </c>
      <c r="DX29" s="176" t="n"/>
      <c r="DY29" s="176" t="n"/>
      <c r="DZ29" s="180">
        <f>IF('DADOS_RESTRICOES'!$K$3="","","⚠ "&amp;'DADOS_RESTRICOES'!$K$3)</f>
        <v/>
      </c>
      <c r="EF29" s="176" t="n"/>
      <c r="EG29" s="176" t="n"/>
      <c r="EH29" s="176" t="n"/>
      <c r="EI29" s="193" t="n"/>
      <c r="EN29" s="194" t="n"/>
      <c r="EO29" s="176" t="n"/>
      <c r="EP29" s="176" t="n"/>
      <c r="EQ29" s="193" t="n"/>
      <c r="EV29" s="194" t="n"/>
      <c r="EW29" s="176" t="n"/>
      <c r="EX29" s="176" t="n"/>
      <c r="EY29" s="176" t="n"/>
      <c r="EZ29" s="181" t="inlineStr">
        <is>
          <t>ALC · P · 6 e 7</t>
        </is>
      </c>
      <c r="FA29" s="182" t="n"/>
      <c r="FB29" s="183" t="n"/>
      <c r="FC29" s="185" t="n"/>
      <c r="FD29" s="182" t="n"/>
      <c r="FE29" s="183" t="n"/>
      <c r="FF29" s="176" t="n"/>
      <c r="FG29" s="176" t="n"/>
      <c r="FH29" s="181" t="inlineStr">
        <is>
          <t>ALC · P · 6 e 7</t>
        </is>
      </c>
      <c r="FI29" s="182" t="n"/>
      <c r="FJ29" s="183" t="n"/>
      <c r="FK29" s="185" t="n"/>
      <c r="FL29" s="182" t="n"/>
      <c r="FM29" s="183" t="n"/>
      <c r="FN29" s="176" t="n"/>
      <c r="FO29" s="176" t="n"/>
      <c r="FP29" s="176" t="n"/>
      <c r="FQ29" s="181" t="inlineStr">
        <is>
          <t>EFEITO</t>
        </is>
      </c>
      <c r="FR29" s="182" t="n"/>
      <c r="FS29" s="182" t="n"/>
      <c r="FT29" s="182" t="n"/>
      <c r="FU29" s="182" t="n"/>
      <c r="FV29" s="183" t="n"/>
      <c r="FW29" s="176" t="n"/>
      <c r="FX29" s="176" t="n"/>
      <c r="FY29" s="181" t="inlineStr">
        <is>
          <t>EFEITO</t>
        </is>
      </c>
      <c r="FZ29" s="182" t="n"/>
      <c r="GA29" s="182" t="n"/>
      <c r="GB29" s="182" t="n"/>
      <c r="GC29" s="182" t="n"/>
      <c r="GD29" s="183" t="n"/>
      <c r="GE29" s="176" t="n"/>
      <c r="GF29" s="176" t="n"/>
      <c r="GG29" s="176" t="n"/>
      <c r="GH29" s="193" t="n"/>
      <c r="GM29" s="194" t="n"/>
      <c r="GN29" s="176" t="n"/>
      <c r="GO29" s="176" t="n"/>
      <c r="GP29" s="193" t="n"/>
      <c r="GU29" s="194" t="n"/>
      <c r="GV29" s="176" t="n"/>
      <c r="GW29" s="176" t="n"/>
      <c r="GX29" s="176" t="n"/>
      <c r="GY29" s="193" t="n"/>
      <c r="HD29" s="194" t="n"/>
      <c r="HE29" s="176" t="n"/>
      <c r="HF29" s="176" t="n"/>
      <c r="HG29" s="193" t="n"/>
      <c r="HL29" s="194" t="n"/>
      <c r="HM29" s="176" t="n"/>
      <c r="HN29" s="176" t="n"/>
      <c r="HO29" s="176" t="n"/>
      <c r="HP29" s="193" t="n"/>
      <c r="HU29" s="194" t="n"/>
      <c r="HV29" s="176" t="n"/>
      <c r="HW29" s="176" t="n"/>
      <c r="HX29" s="193" t="n"/>
      <c r="IC29" s="194" t="n"/>
      <c r="ID29" s="176" t="n"/>
    </row>
    <row r="30" ht="31.5" customHeight="1">
      <c r="A30" s="176" t="n"/>
      <c r="B30" s="176" t="n"/>
      <c r="C30" s="184" t="b">
        <v>0</v>
      </c>
      <c r="D30" s="185" t="n"/>
      <c r="E30" s="185" t="n"/>
      <c r="F30" s="186" t="n"/>
      <c r="G30" s="185" t="n"/>
      <c r="H30" s="185" t="n"/>
      <c r="I30" s="176" t="n"/>
      <c r="J30" s="176" t="n"/>
      <c r="K30" s="189" t="n"/>
      <c r="L30" s="190" t="n"/>
      <c r="M30" s="190" t="n"/>
      <c r="N30" s="191" t="n"/>
      <c r="O30" s="176" t="n"/>
      <c r="P30" s="176" t="n"/>
      <c r="Q30" s="176" t="n"/>
      <c r="R30" s="176" t="n"/>
      <c r="S30" s="176" t="n"/>
      <c r="T30" s="181" t="inlineStr">
        <is>
          <t>EFEITO · DESCRIÇÃO</t>
        </is>
      </c>
      <c r="U30" s="182" t="n"/>
      <c r="V30" s="182" t="n"/>
      <c r="W30" s="182" t="n"/>
      <c r="X30" s="182" t="n"/>
      <c r="Y30" s="183" t="n"/>
      <c r="Z30" s="176" t="n"/>
      <c r="AA30" s="176" t="n"/>
      <c r="AB30" s="181" t="inlineStr">
        <is>
          <t>EFEITO · DESCRIÇÃO</t>
        </is>
      </c>
      <c r="AC30" s="182" t="n"/>
      <c r="AD30" s="182" t="n"/>
      <c r="AE30" s="182" t="n"/>
      <c r="AF30" s="182" t="n"/>
      <c r="AG30" s="183" t="n"/>
      <c r="AH30" s="176" t="n"/>
      <c r="AI30" s="176" t="n"/>
      <c r="AJ30" s="176" t="n"/>
      <c r="AK30" s="181" t="inlineStr">
        <is>
          <t>CATEGORIA DE ARMA 7</t>
        </is>
      </c>
      <c r="AL30" s="182" t="n"/>
      <c r="AM30" s="183" t="n"/>
      <c r="AN30" s="185" t="n"/>
      <c r="AO30" s="182" t="n"/>
      <c r="AP30" s="183" t="n"/>
      <c r="AQ30" s="176" t="n"/>
      <c r="AR30" s="176" t="n"/>
      <c r="AS30" s="176" t="n"/>
      <c r="AT30" s="176" t="n"/>
      <c r="AU30" s="176" t="n"/>
      <c r="AV30" s="176" t="n"/>
      <c r="AW30" s="176" t="n"/>
      <c r="AX30" s="176" t="n"/>
      <c r="AY30" s="176" t="n"/>
      <c r="AZ30" s="176" t="n"/>
      <c r="BA30" s="176" t="n"/>
      <c r="BB30" s="192" t="n"/>
      <c r="BC30" s="187" t="n"/>
      <c r="BD30" s="187" t="n"/>
      <c r="BE30" s="187" t="n"/>
      <c r="BF30" s="187" t="n"/>
      <c r="BG30" s="188" t="n"/>
      <c r="BH30" s="176" t="n"/>
      <c r="BI30" s="176" t="n"/>
      <c r="BJ30" s="192" t="n"/>
      <c r="BK30" s="187" t="n"/>
      <c r="BL30" s="187" t="n"/>
      <c r="BM30" s="187" t="n"/>
      <c r="BN30" s="187" t="n"/>
      <c r="BO30" s="188" t="n"/>
      <c r="BP30" s="176" t="n"/>
      <c r="BQ30" s="176" t="n"/>
      <c r="BR30" s="176" t="n"/>
      <c r="BS30" s="192" t="n"/>
      <c r="BT30" s="187" t="n"/>
      <c r="BU30" s="187" t="n"/>
      <c r="BV30" s="187" t="n"/>
      <c r="BW30" s="187" t="n"/>
      <c r="BX30" s="188" t="n"/>
      <c r="BY30" s="176" t="n"/>
      <c r="BZ30" s="176" t="n"/>
      <c r="CA30" s="192" t="n"/>
      <c r="CB30" s="187" t="n"/>
      <c r="CC30" s="187" t="n"/>
      <c r="CD30" s="187" t="n"/>
      <c r="CE30" s="187" t="n"/>
      <c r="CF30" s="188" t="n"/>
      <c r="CG30" s="176" t="n"/>
      <c r="CH30" s="176" t="n"/>
      <c r="CI30" s="176" t="n"/>
      <c r="CJ30" s="181" t="inlineStr">
        <is>
          <t>ESTADO NA FICHA</t>
        </is>
      </c>
      <c r="CK30" s="182" t="n"/>
      <c r="CL30" s="183" t="n"/>
      <c r="CM30" s="185">
        <f>IF('FICHA AMALDIÇOADA'!O43="","Neutra",'FICHA AMALDIÇOADA'!O43)</f>
        <v/>
      </c>
      <c r="CN30" s="182" t="n"/>
      <c r="CO30" s="183" t="n"/>
      <c r="CP30" s="176" t="n"/>
      <c r="CQ30" s="176" t="n"/>
      <c r="CR30" s="181" t="inlineStr">
        <is>
          <t>ESTADO NA FICHA</t>
        </is>
      </c>
      <c r="CS30" s="182" t="n"/>
      <c r="CT30" s="183" t="n"/>
      <c r="CU30" s="185">
        <f>IF('FICHA AMALDIÇOADA'!O44="","Neutra",'FICHA AMALDIÇOADA'!O44)</f>
        <v/>
      </c>
      <c r="CV30" s="182" t="n"/>
      <c r="CW30" s="183" t="n"/>
      <c r="CX30" s="176" t="n"/>
      <c r="CY30" s="176" t="n"/>
      <c r="CZ30" s="176" t="n"/>
      <c r="DA30" s="193" t="n"/>
      <c r="DF30" s="194" t="n"/>
      <c r="DG30" s="176" t="n"/>
      <c r="DH30" s="176" t="n"/>
      <c r="DI30" s="193" t="n"/>
      <c r="DN30" s="194" t="n"/>
      <c r="DO30" s="176" t="n"/>
      <c r="DP30" s="176" t="n"/>
      <c r="DQ30" s="176" t="n"/>
      <c r="DX30" s="176" t="n"/>
      <c r="DY30" s="176" t="n"/>
      <c r="EF30" s="176" t="n"/>
      <c r="EG30" s="176" t="n"/>
      <c r="EH30" s="176" t="n"/>
      <c r="EI30" s="193" t="n"/>
      <c r="EN30" s="194" t="n"/>
      <c r="EO30" s="176" t="n"/>
      <c r="EP30" s="176" t="n"/>
      <c r="EQ30" s="193" t="n"/>
      <c r="EV30" s="194" t="n"/>
      <c r="EW30" s="176" t="n"/>
      <c r="EX30" s="176" t="n"/>
      <c r="EY30" s="176" t="n"/>
      <c r="EZ30" s="181" t="inlineStr">
        <is>
          <t>ALC · E · 0</t>
        </is>
      </c>
      <c r="FA30" s="182" t="n"/>
      <c r="FB30" s="183" t="n"/>
      <c r="FC30" s="185" t="n"/>
      <c r="FD30" s="182" t="n"/>
      <c r="FE30" s="183" t="n"/>
      <c r="FF30" s="176" t="n"/>
      <c r="FG30" s="176" t="n"/>
      <c r="FH30" s="181" t="inlineStr">
        <is>
          <t>ALC · E · 0</t>
        </is>
      </c>
      <c r="FI30" s="182" t="n"/>
      <c r="FJ30" s="183" t="n"/>
      <c r="FK30" s="185" t="n"/>
      <c r="FL30" s="182" t="n"/>
      <c r="FM30" s="183" t="n"/>
      <c r="FN30" s="176" t="n"/>
      <c r="FO30" s="176" t="n"/>
      <c r="FP30" s="176" t="n"/>
      <c r="FQ30" s="192" t="n"/>
      <c r="FR30" s="187" t="n"/>
      <c r="FS30" s="187" t="n"/>
      <c r="FT30" s="187" t="n"/>
      <c r="FU30" s="187" t="n"/>
      <c r="FV30" s="188" t="n"/>
      <c r="FW30" s="176" t="n"/>
      <c r="FX30" s="176" t="n"/>
      <c r="FY30" s="192" t="n"/>
      <c r="FZ30" s="187" t="n"/>
      <c r="GA30" s="187" t="n"/>
      <c r="GB30" s="187" t="n"/>
      <c r="GC30" s="187" t="n"/>
      <c r="GD30" s="188" t="n"/>
      <c r="GE30" s="176" t="n"/>
      <c r="GF30" s="176" t="n"/>
      <c r="GG30" s="176" t="n"/>
      <c r="GH30" s="193" t="n"/>
      <c r="GM30" s="194" t="n"/>
      <c r="GN30" s="176" t="n"/>
      <c r="GO30" s="176" t="n"/>
      <c r="GP30" s="193" t="n"/>
      <c r="GU30" s="194" t="n"/>
      <c r="GV30" s="176" t="n"/>
      <c r="GW30" s="176" t="n"/>
      <c r="GX30" s="176" t="n"/>
      <c r="GY30" s="193" t="n"/>
      <c r="HD30" s="194" t="n"/>
      <c r="HE30" s="176" t="n"/>
      <c r="HF30" s="176" t="n"/>
      <c r="HG30" s="193" t="n"/>
      <c r="HL30" s="194" t="n"/>
      <c r="HM30" s="176" t="n"/>
      <c r="HN30" s="176" t="n"/>
      <c r="HO30" s="176" t="n"/>
      <c r="HP30" s="193" t="n"/>
      <c r="HU30" s="194" t="n"/>
      <c r="HV30" s="176" t="n"/>
      <c r="HW30" s="176" t="n"/>
      <c r="HX30" s="193" t="n"/>
      <c r="IC30" s="194" t="n"/>
      <c r="ID30" s="176" t="n"/>
    </row>
    <row r="31" ht="31.5" customHeight="1">
      <c r="A31" s="176" t="n"/>
      <c r="B31" s="176" t="n"/>
      <c r="C31" s="184" t="b">
        <v>0</v>
      </c>
      <c r="D31" s="185" t="n"/>
      <c r="E31" s="185" t="n"/>
      <c r="F31" s="186" t="n"/>
      <c r="G31" s="185" t="n"/>
      <c r="H31" s="185" t="n"/>
      <c r="I31" s="176" t="n"/>
      <c r="J31" s="176" t="n"/>
      <c r="K31" s="176" t="n"/>
      <c r="L31" s="176" t="n"/>
      <c r="M31" s="176" t="n"/>
      <c r="N31" s="176" t="n"/>
      <c r="O31" s="176" t="n"/>
      <c r="P31" s="176" t="n"/>
      <c r="Q31" s="176" t="n"/>
      <c r="R31" s="176" t="n"/>
      <c r="S31" s="176" t="n"/>
      <c r="T31" s="192" t="n"/>
      <c r="U31" s="187" t="n"/>
      <c r="V31" s="187" t="n"/>
      <c r="W31" s="187" t="n"/>
      <c r="X31" s="187" t="n"/>
      <c r="Y31" s="188" t="n"/>
      <c r="Z31" s="176" t="n"/>
      <c r="AA31" s="176" t="n"/>
      <c r="AB31" s="192" t="n"/>
      <c r="AC31" s="187" t="n"/>
      <c r="AD31" s="187" t="n"/>
      <c r="AE31" s="187" t="n"/>
      <c r="AF31" s="187" t="n"/>
      <c r="AG31" s="188" t="n"/>
      <c r="AH31" s="176" t="n"/>
      <c r="AI31" s="176" t="n"/>
      <c r="AJ31" s="176" t="n"/>
      <c r="AK31" s="181" t="inlineStr">
        <is>
          <t>CATEGORIA DE ARMA 8</t>
        </is>
      </c>
      <c r="AL31" s="182" t="n"/>
      <c r="AM31" s="183" t="n"/>
      <c r="AN31" s="185" t="n"/>
      <c r="AO31" s="182" t="n"/>
      <c r="AP31" s="183" t="n"/>
      <c r="AQ31" s="176" t="n"/>
      <c r="AR31" s="176" t="n"/>
      <c r="AS31" s="176" t="n"/>
      <c r="AT31" s="176" t="n"/>
      <c r="AU31" s="176" t="n"/>
      <c r="AV31" s="176" t="n"/>
      <c r="AW31" s="176" t="n"/>
      <c r="AX31" s="176" t="n"/>
      <c r="AY31" s="176" t="n"/>
      <c r="AZ31" s="176" t="n"/>
      <c r="BA31" s="176" t="n"/>
      <c r="BB31" s="193" t="n"/>
      <c r="BG31" s="194" t="n"/>
      <c r="BH31" s="176" t="n"/>
      <c r="BI31" s="176" t="n"/>
      <c r="BJ31" s="193" t="n"/>
      <c r="BO31" s="194" t="n"/>
      <c r="BP31" s="176" t="n"/>
      <c r="BQ31" s="176" t="n"/>
      <c r="BR31" s="176" t="n"/>
      <c r="BS31" s="193" t="n"/>
      <c r="BX31" s="194" t="n"/>
      <c r="BY31" s="176" t="n"/>
      <c r="BZ31" s="176" t="n"/>
      <c r="CA31" s="193" t="n"/>
      <c r="CF31" s="194" t="n"/>
      <c r="CG31" s="176" t="n"/>
      <c r="CH31" s="176" t="n"/>
      <c r="CI31" s="176" t="n"/>
      <c r="CJ31" s="181" t="inlineStr">
        <is>
          <t>DESCRIÇÃO</t>
        </is>
      </c>
      <c r="CK31" s="182" t="n"/>
      <c r="CL31" s="182" t="n"/>
      <c r="CM31" s="182" t="n"/>
      <c r="CN31" s="182" t="n"/>
      <c r="CO31" s="183" t="n"/>
      <c r="CP31" s="176" t="n"/>
      <c r="CQ31" s="176" t="n"/>
      <c r="CR31" s="181" t="inlineStr">
        <is>
          <t>DESCRIÇÃO</t>
        </is>
      </c>
      <c r="CS31" s="182" t="n"/>
      <c r="CT31" s="182" t="n"/>
      <c r="CU31" s="182" t="n"/>
      <c r="CV31" s="182" t="n"/>
      <c r="CW31" s="183" t="n"/>
      <c r="CX31" s="176" t="n"/>
      <c r="CY31" s="176" t="n"/>
      <c r="CZ31" s="176" t="n"/>
      <c r="DA31" s="193" t="n"/>
      <c r="DF31" s="194" t="n"/>
      <c r="DG31" s="176" t="n"/>
      <c r="DH31" s="176" t="n"/>
      <c r="DI31" s="193" t="n"/>
      <c r="DN31" s="194" t="n"/>
      <c r="DO31" s="176" t="n"/>
      <c r="DP31" s="176" t="n"/>
      <c r="DQ31" s="176" t="n"/>
      <c r="DR31" s="176" t="n"/>
      <c r="DS31" s="176" t="n"/>
      <c r="DT31" s="176" t="n"/>
      <c r="DU31" s="176" t="n"/>
      <c r="DV31" s="176" t="n"/>
      <c r="DW31" s="176" t="n"/>
      <c r="DX31" s="176" t="n"/>
      <c r="DY31" s="176" t="n"/>
      <c r="DZ31" s="176" t="n"/>
      <c r="EA31" s="176" t="n"/>
      <c r="EB31" s="176" t="n"/>
      <c r="EC31" s="176" t="n"/>
      <c r="ED31" s="176" t="n"/>
      <c r="EE31" s="176" t="n"/>
      <c r="EF31" s="176" t="n"/>
      <c r="EG31" s="176" t="n"/>
      <c r="EH31" s="176" t="n"/>
      <c r="EI31" s="193" t="n"/>
      <c r="EN31" s="194" t="n"/>
      <c r="EO31" s="176" t="n"/>
      <c r="EP31" s="176" t="n"/>
      <c r="EQ31" s="193" t="n"/>
      <c r="EV31" s="194" t="n"/>
      <c r="EW31" s="176" t="n"/>
      <c r="EX31" s="176" t="n"/>
      <c r="EY31" s="176" t="n"/>
      <c r="EZ31" s="181" t="inlineStr">
        <is>
          <t>ALC · E · 1 a 5</t>
        </is>
      </c>
      <c r="FA31" s="182" t="n"/>
      <c r="FB31" s="183" t="n"/>
      <c r="FC31" s="185" t="n"/>
      <c r="FD31" s="182" t="n"/>
      <c r="FE31" s="183" t="n"/>
      <c r="FF31" s="176" t="n"/>
      <c r="FG31" s="176" t="n"/>
      <c r="FH31" s="181" t="inlineStr">
        <is>
          <t>ALC · E · 1 a 5</t>
        </is>
      </c>
      <c r="FI31" s="182" t="n"/>
      <c r="FJ31" s="183" t="n"/>
      <c r="FK31" s="185" t="n"/>
      <c r="FL31" s="182" t="n"/>
      <c r="FM31" s="183" t="n"/>
      <c r="FN31" s="176" t="n"/>
      <c r="FO31" s="176" t="n"/>
      <c r="FP31" s="176" t="n"/>
      <c r="FQ31" s="193" t="n"/>
      <c r="FV31" s="194" t="n"/>
      <c r="FW31" s="176" t="n"/>
      <c r="FX31" s="176" t="n"/>
      <c r="FY31" s="193" t="n"/>
      <c r="GD31" s="194" t="n"/>
      <c r="GE31" s="176" t="n"/>
      <c r="GF31" s="176" t="n"/>
      <c r="GG31" s="176" t="n"/>
      <c r="GH31" s="189" t="n"/>
      <c r="GI31" s="190" t="n"/>
      <c r="GJ31" s="190" t="n"/>
      <c r="GK31" s="190" t="n"/>
      <c r="GL31" s="190" t="n"/>
      <c r="GM31" s="191" t="n"/>
      <c r="GN31" s="176" t="n"/>
      <c r="GO31" s="176" t="n"/>
      <c r="GP31" s="189" t="n"/>
      <c r="GQ31" s="190" t="n"/>
      <c r="GR31" s="190" t="n"/>
      <c r="GS31" s="190" t="n"/>
      <c r="GT31" s="190" t="n"/>
      <c r="GU31" s="191" t="n"/>
      <c r="GV31" s="176" t="n"/>
      <c r="GW31" s="176" t="n"/>
      <c r="GX31" s="176" t="n"/>
      <c r="GY31" s="193" t="n"/>
      <c r="HD31" s="194" t="n"/>
      <c r="HE31" s="176" t="n"/>
      <c r="HF31" s="176" t="n"/>
      <c r="HG31" s="193" t="n"/>
      <c r="HL31" s="194" t="n"/>
      <c r="HM31" s="176" t="n"/>
      <c r="HN31" s="176" t="n"/>
      <c r="HO31" s="176" t="n"/>
      <c r="HP31" s="193" t="n"/>
      <c r="HU31" s="194" t="n"/>
      <c r="HV31" s="176" t="n"/>
      <c r="HW31" s="176" t="n"/>
      <c r="HX31" s="193" t="n"/>
      <c r="IC31" s="194" t="n"/>
      <c r="ID31" s="176" t="n"/>
    </row>
    <row r="32" ht="31.5" customHeight="1">
      <c r="A32" s="176" t="n"/>
      <c r="B32" s="176" t="n"/>
      <c r="C32" s="184" t="b">
        <v>0</v>
      </c>
      <c r="D32" s="185" t="n"/>
      <c r="E32" s="185" t="n"/>
      <c r="F32" s="186" t="n"/>
      <c r="G32" s="185" t="n"/>
      <c r="H32" s="185" t="n"/>
      <c r="I32" s="176" t="n"/>
      <c r="J32" s="176" t="n"/>
      <c r="K32" s="176" t="n"/>
      <c r="L32" s="176" t="n"/>
      <c r="M32" s="176" t="n"/>
      <c r="N32" s="176" t="n"/>
      <c r="O32" s="176" t="n"/>
      <c r="P32" s="176" t="n"/>
      <c r="Q32" s="176" t="n"/>
      <c r="R32" s="176" t="n"/>
      <c r="S32" s="176" t="n"/>
      <c r="T32" s="193" t="n"/>
      <c r="Y32" s="194" t="n"/>
      <c r="Z32" s="176" t="n"/>
      <c r="AA32" s="176" t="n"/>
      <c r="AB32" s="193" t="n"/>
      <c r="AG32" s="194" t="n"/>
      <c r="AH32" s="176" t="n"/>
      <c r="AI32" s="176" t="n"/>
      <c r="AJ32" s="176" t="n"/>
      <c r="AK32" s="181" t="inlineStr">
        <is>
          <t>CATEGORIA DE ARMA 9</t>
        </is>
      </c>
      <c r="AL32" s="182" t="n"/>
      <c r="AM32" s="183" t="n"/>
      <c r="AN32" s="185" t="n"/>
      <c r="AO32" s="182" t="n"/>
      <c r="AP32" s="183" t="n"/>
      <c r="AQ32" s="176" t="n"/>
      <c r="AR32" s="176" t="n"/>
      <c r="AS32" s="176" t="n"/>
      <c r="AT32" s="176" t="n"/>
      <c r="AU32" s="176" t="n"/>
      <c r="AV32" s="176" t="n"/>
      <c r="AW32" s="176" t="n"/>
      <c r="AX32" s="176" t="n"/>
      <c r="AY32" s="176" t="n"/>
      <c r="AZ32" s="176" t="n"/>
      <c r="BA32" s="176" t="n"/>
      <c r="BB32" s="189" t="n"/>
      <c r="BC32" s="190" t="n"/>
      <c r="BD32" s="190" t="n"/>
      <c r="BE32" s="190" t="n"/>
      <c r="BF32" s="190" t="n"/>
      <c r="BG32" s="191" t="n"/>
      <c r="BH32" s="176" t="n"/>
      <c r="BI32" s="176" t="n"/>
      <c r="BJ32" s="189" t="n"/>
      <c r="BK32" s="190" t="n"/>
      <c r="BL32" s="190" t="n"/>
      <c r="BM32" s="190" t="n"/>
      <c r="BN32" s="190" t="n"/>
      <c r="BO32" s="191" t="n"/>
      <c r="BP32" s="176" t="n"/>
      <c r="BQ32" s="176" t="n"/>
      <c r="BR32" s="176" t="n"/>
      <c r="BS32" s="189" t="n"/>
      <c r="BT32" s="190" t="n"/>
      <c r="BU32" s="190" t="n"/>
      <c r="BV32" s="190" t="n"/>
      <c r="BW32" s="190" t="n"/>
      <c r="BX32" s="191" t="n"/>
      <c r="BY32" s="176" t="n"/>
      <c r="BZ32" s="176" t="n"/>
      <c r="CA32" s="189" t="n"/>
      <c r="CB32" s="190" t="n"/>
      <c r="CC32" s="190" t="n"/>
      <c r="CD32" s="190" t="n"/>
      <c r="CE32" s="190" t="n"/>
      <c r="CF32" s="191" t="n"/>
      <c r="CG32" s="176" t="n"/>
      <c r="CH32" s="176" t="n"/>
      <c r="CI32" s="176" t="n"/>
      <c r="CJ32" s="192" t="n"/>
      <c r="CK32" s="187" t="n"/>
      <c r="CL32" s="187" t="n"/>
      <c r="CM32" s="187" t="n"/>
      <c r="CN32" s="187" t="n"/>
      <c r="CO32" s="188" t="n"/>
      <c r="CP32" s="176" t="n"/>
      <c r="CQ32" s="176" t="n"/>
      <c r="CR32" s="192" t="n"/>
      <c r="CS32" s="187" t="n"/>
      <c r="CT32" s="187" t="n"/>
      <c r="CU32" s="187" t="n"/>
      <c r="CV32" s="187" t="n"/>
      <c r="CW32" s="188" t="n"/>
      <c r="CX32" s="176" t="n"/>
      <c r="CY32" s="176" t="n"/>
      <c r="CZ32" s="176" t="n"/>
      <c r="DA32" s="189" t="n"/>
      <c r="DB32" s="190" t="n"/>
      <c r="DC32" s="190" t="n"/>
      <c r="DD32" s="190" t="n"/>
      <c r="DE32" s="190" t="n"/>
      <c r="DF32" s="191" t="n"/>
      <c r="DG32" s="176" t="n"/>
      <c r="DH32" s="176" t="n"/>
      <c r="DI32" s="189" t="n"/>
      <c r="DJ32" s="190" t="n"/>
      <c r="DK32" s="190" t="n"/>
      <c r="DL32" s="190" t="n"/>
      <c r="DM32" s="190" t="n"/>
      <c r="DN32" s="191" t="n"/>
      <c r="DO32" s="176" t="n"/>
      <c r="DP32" s="176" t="n"/>
      <c r="DQ32" s="176" t="n"/>
      <c r="DR32" s="176" t="n"/>
      <c r="DS32" s="176" t="n"/>
      <c r="DT32" s="176" t="n"/>
      <c r="DU32" s="176" t="n"/>
      <c r="DV32" s="176" t="n"/>
      <c r="DW32" s="176" t="n"/>
      <c r="DX32" s="176" t="n"/>
      <c r="DY32" s="176" t="n"/>
      <c r="DZ32" s="176" t="n"/>
      <c r="EA32" s="176" t="n"/>
      <c r="EB32" s="176" t="n"/>
      <c r="EC32" s="176" t="n"/>
      <c r="ED32" s="176" t="n"/>
      <c r="EE32" s="176" t="n"/>
      <c r="EF32" s="176" t="n"/>
      <c r="EG32" s="176" t="n"/>
      <c r="EH32" s="176" t="n"/>
      <c r="EI32" s="193" t="n"/>
      <c r="EN32" s="194" t="n"/>
      <c r="EO32" s="176" t="n"/>
      <c r="EP32" s="176" t="n"/>
      <c r="EQ32" s="193" t="n"/>
      <c r="EV32" s="194" t="n"/>
      <c r="EW32" s="176" t="n"/>
      <c r="EX32" s="176" t="n"/>
      <c r="EY32" s="176" t="n"/>
      <c r="EZ32" s="181" t="inlineStr">
        <is>
          <t>ALC · E · 6</t>
        </is>
      </c>
      <c r="FA32" s="182" t="n"/>
      <c r="FB32" s="183" t="n"/>
      <c r="FC32" s="185" t="n"/>
      <c r="FD32" s="182" t="n"/>
      <c r="FE32" s="183" t="n"/>
      <c r="FF32" s="176" t="n"/>
      <c r="FG32" s="176" t="n"/>
      <c r="FH32" s="181" t="inlineStr">
        <is>
          <t>ALC · E · 6</t>
        </is>
      </c>
      <c r="FI32" s="182" t="n"/>
      <c r="FJ32" s="183" t="n"/>
      <c r="FK32" s="185" t="n"/>
      <c r="FL32" s="182" t="n"/>
      <c r="FM32" s="183" t="n"/>
      <c r="FN32" s="176" t="n"/>
      <c r="FO32" s="176" t="n"/>
      <c r="FP32" s="176" t="n"/>
      <c r="FQ32" s="193" t="n"/>
      <c r="FV32" s="194" t="n"/>
      <c r="FW32" s="176" t="n"/>
      <c r="FX32" s="176" t="n"/>
      <c r="FY32" s="193" t="n"/>
      <c r="GD32" s="194" t="n"/>
      <c r="GE32" s="176" t="n"/>
      <c r="GF32" s="176" t="n"/>
      <c r="GG32" s="176" t="n"/>
      <c r="GH32" s="176" t="n"/>
      <c r="GI32" s="176" t="n"/>
      <c r="GJ32" s="176" t="n"/>
      <c r="GK32" s="176" t="n"/>
      <c r="GL32" s="176" t="n"/>
      <c r="GM32" s="176" t="n"/>
      <c r="GN32" s="176" t="n"/>
      <c r="GO32" s="176" t="n"/>
      <c r="GP32" s="176" t="n"/>
      <c r="GQ32" s="176" t="n"/>
      <c r="GR32" s="176" t="n"/>
      <c r="GS32" s="176" t="n"/>
      <c r="GT32" s="176" t="n"/>
      <c r="GU32" s="176" t="n"/>
      <c r="GV32" s="176" t="n"/>
      <c r="GW32" s="176" t="n"/>
      <c r="GX32" s="176" t="n"/>
      <c r="GY32" s="193" t="n"/>
      <c r="HD32" s="194" t="n"/>
      <c r="HE32" s="176" t="n"/>
      <c r="HF32" s="176" t="n"/>
      <c r="HG32" s="193" t="n"/>
      <c r="HL32" s="194" t="n"/>
      <c r="HM32" s="176" t="n"/>
      <c r="HN32" s="176" t="n"/>
      <c r="HO32" s="176" t="n"/>
      <c r="HP32" s="193" t="n"/>
      <c r="HU32" s="194" t="n"/>
      <c r="HV32" s="176" t="n"/>
      <c r="HW32" s="176" t="n"/>
      <c r="HX32" s="193" t="n"/>
      <c r="IC32" s="194" t="n"/>
      <c r="ID32" s="176" t="n"/>
    </row>
    <row r="33" ht="31.5" customHeight="1">
      <c r="A33" s="176" t="n"/>
      <c r="B33" s="176" t="n"/>
      <c r="C33" s="184" t="b">
        <v>0</v>
      </c>
      <c r="D33" s="185" t="n"/>
      <c r="E33" s="185" t="n"/>
      <c r="F33" s="186" t="n"/>
      <c r="G33" s="185" t="n"/>
      <c r="H33" s="185" t="n"/>
      <c r="I33" s="176" t="n"/>
      <c r="J33" s="176" t="n"/>
      <c r="K33" s="176" t="n"/>
      <c r="L33" s="176" t="n"/>
      <c r="M33" s="176" t="n"/>
      <c r="N33" s="176" t="n"/>
      <c r="O33" s="176" t="n"/>
      <c r="P33" s="176" t="n"/>
      <c r="Q33" s="176" t="n"/>
      <c r="R33" s="176" t="n"/>
      <c r="S33" s="176" t="n"/>
      <c r="T33" s="193" t="n"/>
      <c r="Y33" s="194" t="n"/>
      <c r="Z33" s="176" t="n"/>
      <c r="AA33" s="176" t="n"/>
      <c r="AB33" s="193" t="n"/>
      <c r="AG33" s="194" t="n"/>
      <c r="AH33" s="176" t="n"/>
      <c r="AI33" s="176" t="n"/>
      <c r="AJ33" s="176" t="n"/>
      <c r="AK33" s="181" t="inlineStr">
        <is>
          <t>CATEGORIA DE ARMA 10</t>
        </is>
      </c>
      <c r="AL33" s="182" t="n"/>
      <c r="AM33" s="183" t="n"/>
      <c r="AN33" s="185" t="n"/>
      <c r="AO33" s="182" t="n"/>
      <c r="AP33" s="183" t="n"/>
      <c r="AQ33" s="176" t="n"/>
      <c r="AR33" s="176" t="n"/>
      <c r="AS33" s="176" t="n"/>
      <c r="AT33" s="176" t="n"/>
      <c r="AU33" s="176" t="n"/>
      <c r="AV33" s="176" t="n"/>
      <c r="AW33" s="176" t="n"/>
      <c r="AX33" s="176" t="n"/>
      <c r="AY33" s="176" t="n"/>
      <c r="AZ33" s="176" t="n"/>
      <c r="BA33" s="176" t="n"/>
      <c r="BB33" s="176" t="n"/>
      <c r="BC33" s="176" t="n"/>
      <c r="BD33" s="176" t="n"/>
      <c r="BE33" s="176" t="n"/>
      <c r="BF33" s="176" t="n"/>
      <c r="BG33" s="176" t="n"/>
      <c r="BH33" s="176" t="n"/>
      <c r="BI33" s="176" t="n"/>
      <c r="BJ33" s="176" t="n"/>
      <c r="BK33" s="176" t="n"/>
      <c r="BL33" s="176" t="n"/>
      <c r="BM33" s="176" t="n"/>
      <c r="BN33" s="176" t="n"/>
      <c r="BO33" s="176" t="n"/>
      <c r="BP33" s="176" t="n"/>
      <c r="BQ33" s="176" t="n"/>
      <c r="BR33" s="176" t="n"/>
      <c r="BS33" s="176" t="n"/>
      <c r="BT33" s="176" t="n"/>
      <c r="BU33" s="176" t="n"/>
      <c r="BV33" s="176" t="n"/>
      <c r="BW33" s="176" t="n"/>
      <c r="BX33" s="176" t="n"/>
      <c r="BY33" s="176" t="n"/>
      <c r="BZ33" s="176" t="n"/>
      <c r="CA33" s="176" t="n"/>
      <c r="CB33" s="176" t="n"/>
      <c r="CC33" s="176" t="n"/>
      <c r="CD33" s="176" t="n"/>
      <c r="CE33" s="176" t="n"/>
      <c r="CF33" s="176" t="n"/>
      <c r="CG33" s="176" t="n"/>
      <c r="CH33" s="176" t="n"/>
      <c r="CI33" s="176" t="n"/>
      <c r="CJ33" s="193" t="n"/>
      <c r="CO33" s="194" t="n"/>
      <c r="CP33" s="176" t="n"/>
      <c r="CQ33" s="176" t="n"/>
      <c r="CR33" s="193" t="n"/>
      <c r="CW33" s="194" t="n"/>
      <c r="CX33" s="176" t="n"/>
      <c r="CY33" s="176" t="n"/>
      <c r="CZ33" s="176" t="n"/>
      <c r="DA33" s="176" t="n"/>
      <c r="DB33" s="176" t="n"/>
      <c r="DC33" s="176" t="n"/>
      <c r="DD33" s="176" t="n"/>
      <c r="DE33" s="176" t="n"/>
      <c r="DF33" s="176" t="n"/>
      <c r="DG33" s="176" t="n"/>
      <c r="DH33" s="176" t="n"/>
      <c r="DI33" s="176" t="n"/>
      <c r="DJ33" s="176" t="n"/>
      <c r="DK33" s="176" t="n"/>
      <c r="DL33" s="176" t="n"/>
      <c r="DM33" s="176" t="n"/>
      <c r="DN33" s="176" t="n"/>
      <c r="DO33" s="176" t="n"/>
      <c r="DP33" s="176" t="n"/>
      <c r="DQ33" s="176" t="n"/>
      <c r="DR33" s="179" t="inlineStr">
        <is>
          <t>RESTRIÇÃO · 3</t>
        </is>
      </c>
      <c r="DX33" s="176" t="n"/>
      <c r="DY33" s="176" t="n"/>
      <c r="DZ33" s="179" t="inlineStr">
        <is>
          <t>RESTRIÇÃO · 4</t>
        </is>
      </c>
      <c r="EF33" s="176" t="n"/>
      <c r="EG33" s="176" t="n"/>
      <c r="EH33" s="176" t="n"/>
      <c r="EI33" s="193" t="n"/>
      <c r="EN33" s="194" t="n"/>
      <c r="EO33" s="176" t="n"/>
      <c r="EP33" s="176" t="n"/>
      <c r="EQ33" s="193" t="n"/>
      <c r="EV33" s="194" t="n"/>
      <c r="EW33" s="176" t="n"/>
      <c r="EX33" s="176" t="n"/>
      <c r="EY33" s="176" t="n"/>
      <c r="EZ33" s="181" t="inlineStr">
        <is>
          <t>ALC · E · 7</t>
        </is>
      </c>
      <c r="FA33" s="182" t="n"/>
      <c r="FB33" s="183" t="n"/>
      <c r="FC33" s="185" t="n"/>
      <c r="FD33" s="182" t="n"/>
      <c r="FE33" s="183" t="n"/>
      <c r="FF33" s="176" t="n"/>
      <c r="FG33" s="176" t="n"/>
      <c r="FH33" s="181" t="inlineStr">
        <is>
          <t>ALC · E · 7</t>
        </is>
      </c>
      <c r="FI33" s="182" t="n"/>
      <c r="FJ33" s="183" t="n"/>
      <c r="FK33" s="185" t="n"/>
      <c r="FL33" s="182" t="n"/>
      <c r="FM33" s="183" t="n"/>
      <c r="FN33" s="176" t="n"/>
      <c r="FO33" s="176" t="n"/>
      <c r="FP33" s="176" t="n"/>
      <c r="FQ33" s="189" t="n"/>
      <c r="FR33" s="190" t="n"/>
      <c r="FS33" s="190" t="n"/>
      <c r="FT33" s="190" t="n"/>
      <c r="FU33" s="190" t="n"/>
      <c r="FV33" s="191" t="n"/>
      <c r="FW33" s="176" t="n"/>
      <c r="FX33" s="176" t="n"/>
      <c r="FY33" s="189" t="n"/>
      <c r="FZ33" s="190" t="n"/>
      <c r="GA33" s="190" t="n"/>
      <c r="GB33" s="190" t="n"/>
      <c r="GC33" s="190" t="n"/>
      <c r="GD33" s="191" t="n"/>
      <c r="GE33" s="176" t="n"/>
      <c r="GF33" s="176" t="n"/>
      <c r="GG33" s="176" t="n"/>
      <c r="GH33" s="176" t="n"/>
      <c r="GI33" s="176" t="n"/>
      <c r="GJ33" s="176" t="n"/>
      <c r="GK33" s="176" t="n"/>
      <c r="GL33" s="176" t="n"/>
      <c r="GM33" s="176" t="n"/>
      <c r="GN33" s="176" t="n"/>
      <c r="GO33" s="176" t="n"/>
      <c r="GP33" s="176" t="n"/>
      <c r="GQ33" s="176" t="n"/>
      <c r="GR33" s="176" t="n"/>
      <c r="GS33" s="176" t="n"/>
      <c r="GT33" s="176" t="n"/>
      <c r="GU33" s="176" t="n"/>
      <c r="GV33" s="176" t="n"/>
      <c r="GW33" s="176" t="n"/>
      <c r="GX33" s="176" t="n"/>
      <c r="GY33" s="193" t="n"/>
      <c r="HD33" s="194" t="n"/>
      <c r="HE33" s="176" t="n"/>
      <c r="HF33" s="176" t="n"/>
      <c r="HG33" s="193" t="n"/>
      <c r="HL33" s="194" t="n"/>
      <c r="HM33" s="176" t="n"/>
      <c r="HN33" s="176" t="n"/>
      <c r="HO33" s="176" t="n"/>
      <c r="HP33" s="193" t="n"/>
      <c r="HU33" s="194" t="n"/>
      <c r="HV33" s="176" t="n"/>
      <c r="HW33" s="176" t="n"/>
      <c r="HX33" s="193" t="n"/>
      <c r="IC33" s="194" t="n"/>
      <c r="ID33" s="176" t="n"/>
    </row>
    <row r="34" ht="31.5" customHeight="1">
      <c r="A34" s="176" t="n"/>
      <c r="B34" s="176" t="n"/>
      <c r="C34" s="184" t="b">
        <v>0</v>
      </c>
      <c r="D34" s="185" t="n"/>
      <c r="E34" s="185" t="n"/>
      <c r="F34" s="186" t="n"/>
      <c r="G34" s="185" t="n"/>
      <c r="H34" s="185" t="n"/>
      <c r="I34" s="176" t="n"/>
      <c r="J34" s="176" t="n"/>
      <c r="K34" s="176" t="n"/>
      <c r="L34" s="176" t="n"/>
      <c r="M34" s="176" t="n"/>
      <c r="N34" s="176" t="n"/>
      <c r="O34" s="176" t="n"/>
      <c r="P34" s="176" t="n"/>
      <c r="Q34" s="176" t="n"/>
      <c r="R34" s="176" t="n"/>
      <c r="S34" s="176" t="n"/>
      <c r="T34" s="193" t="n"/>
      <c r="Y34" s="194" t="n"/>
      <c r="Z34" s="176" t="n"/>
      <c r="AA34" s="176" t="n"/>
      <c r="AB34" s="193" t="n"/>
      <c r="AG34" s="194" t="n"/>
      <c r="AH34" s="176" t="n"/>
      <c r="AI34" s="176" t="n"/>
      <c r="AJ34" s="176" t="n"/>
      <c r="AK34" s="181" t="inlineStr">
        <is>
          <t>CATEGORIA DE ARMA 11</t>
        </is>
      </c>
      <c r="AL34" s="182" t="n"/>
      <c r="AM34" s="183" t="n"/>
      <c r="AN34" s="185" t="n"/>
      <c r="AO34" s="182" t="n"/>
      <c r="AP34" s="183" t="n"/>
      <c r="AQ34" s="176" t="n"/>
      <c r="AR34" s="176" t="n"/>
      <c r="AS34" s="176" t="n"/>
      <c r="AT34" s="176" t="n"/>
      <c r="AU34" s="176" t="n"/>
      <c r="AV34" s="176" t="n"/>
      <c r="AW34" s="176" t="n"/>
      <c r="AX34" s="176" t="n"/>
      <c r="AY34" s="176" t="n"/>
      <c r="AZ34" s="176" t="n"/>
      <c r="BA34" s="176" t="n"/>
      <c r="BB34" s="180">
        <f>IF('DADOS_PROGRESSAO'!$G$4="","Usa os treinos e especializações existentes.","⚠ "&amp;'DADOS_PROGRESSAO'!$G$4)</f>
        <v/>
      </c>
      <c r="BH34" s="176" t="n"/>
      <c r="BI34" s="176" t="n"/>
      <c r="BJ34" s="180">
        <f>IF('DADOS_PROGRESSAO'!$G$5="","Usa os treinos e especializações existentes.","⚠ "&amp;'DADOS_PROGRESSAO'!$G$5)</f>
        <v/>
      </c>
      <c r="BP34" s="176" t="n"/>
      <c r="BQ34" s="176" t="n"/>
      <c r="BR34" s="176" t="n"/>
      <c r="BS34" s="180">
        <f>IF('DADOS_PROGRESSAO'!$G$14="","Usa os treinos e especializações existentes.","⚠ "&amp;'DADOS_PROGRESSAO'!$G$14)</f>
        <v/>
      </c>
      <c r="BY34" s="176" t="n"/>
      <c r="BZ34" s="176" t="n"/>
      <c r="CA34" s="180">
        <f>IF('DADOS_PROGRESSAO'!$G$15="","Usa os treinos e especializações existentes.","⚠ "&amp;'DADOS_PROGRESSAO'!$G$15)</f>
        <v/>
      </c>
      <c r="CG34" s="176" t="n"/>
      <c r="CH34" s="176" t="n"/>
      <c r="CI34" s="176" t="n"/>
      <c r="CJ34" s="193" t="n"/>
      <c r="CO34" s="194" t="n"/>
      <c r="CP34" s="176" t="n"/>
      <c r="CQ34" s="176" t="n"/>
      <c r="CR34" s="193" t="n"/>
      <c r="CW34" s="194" t="n"/>
      <c r="CX34" s="176" t="n"/>
      <c r="CY34" s="176" t="n"/>
      <c r="CZ34" s="176" t="n"/>
      <c r="DA34" s="180">
        <f>IF('DADOS_MELHORIAS'!$M$2="","","⚠ "&amp;'DADOS_MELHORIAS'!$M$2)</f>
        <v/>
      </c>
      <c r="DG34" s="176" t="n"/>
      <c r="DH34" s="176" t="n"/>
      <c r="DI34" s="180">
        <f>IF('DADOS_MELHORIAS'!$M$3="","","⚠ "&amp;'DADOS_MELHORIAS'!$M$3)</f>
        <v/>
      </c>
      <c r="DO34" s="176" t="n"/>
      <c r="DP34" s="176" t="n"/>
      <c r="DQ34" s="176" t="n"/>
      <c r="DR34" s="181" t="inlineStr">
        <is>
          <t>TIPO</t>
        </is>
      </c>
      <c r="DS34" s="182" t="n"/>
      <c r="DT34" s="182" t="n"/>
      <c r="DU34" s="183" t="n"/>
      <c r="DV34" s="181" t="inlineStr">
        <is>
          <t>MESTRE VIU</t>
        </is>
      </c>
      <c r="DW34" s="183" t="n"/>
      <c r="DX34" s="176" t="n"/>
      <c r="DY34" s="176" t="n"/>
      <c r="DZ34" s="181" t="inlineStr">
        <is>
          <t>TIPO</t>
        </is>
      </c>
      <c r="EA34" s="182" t="n"/>
      <c r="EB34" s="182" t="n"/>
      <c r="EC34" s="183" t="n"/>
      <c r="ED34" s="181" t="inlineStr">
        <is>
          <t>MESTRE VIU</t>
        </is>
      </c>
      <c r="EE34" s="183" t="n"/>
      <c r="EF34" s="176" t="n"/>
      <c r="EG34" s="176" t="n"/>
      <c r="EH34" s="176" t="n"/>
      <c r="EI34" s="193" t="n"/>
      <c r="EN34" s="194" t="n"/>
      <c r="EO34" s="176" t="n"/>
      <c r="EP34" s="176" t="n"/>
      <c r="EQ34" s="193" t="n"/>
      <c r="EV34" s="194" t="n"/>
      <c r="EW34" s="176" t="n"/>
      <c r="EX34" s="176" t="n"/>
      <c r="EY34" s="176" t="n"/>
      <c r="EZ34" s="181" t="inlineStr">
        <is>
          <t>ÁREA · P · 0</t>
        </is>
      </c>
      <c r="FA34" s="182" t="n"/>
      <c r="FB34" s="183" t="n"/>
      <c r="FC34" s="185" t="n"/>
      <c r="FD34" s="182" t="n"/>
      <c r="FE34" s="183" t="n"/>
      <c r="FF34" s="176" t="n"/>
      <c r="FG34" s="176" t="n"/>
      <c r="FH34" s="181" t="inlineStr">
        <is>
          <t>ÁREA · P · 0</t>
        </is>
      </c>
      <c r="FI34" s="182" t="n"/>
      <c r="FJ34" s="183" t="n"/>
      <c r="FK34" s="185" t="n"/>
      <c r="FL34" s="182" t="n"/>
      <c r="FM34" s="183" t="n"/>
      <c r="FN34" s="176" t="n"/>
      <c r="FO34" s="176" t="n"/>
      <c r="FP34" s="176" t="n"/>
      <c r="FQ34" s="176" t="n"/>
      <c r="FR34" s="176" t="n"/>
      <c r="FS34" s="176" t="n"/>
      <c r="FT34" s="176" t="n"/>
      <c r="FU34" s="176" t="n"/>
      <c r="FV34" s="176" t="n"/>
      <c r="FW34" s="176" t="n"/>
      <c r="FX34" s="176" t="n"/>
      <c r="FY34" s="176" t="n"/>
      <c r="FZ34" s="176" t="n"/>
      <c r="GA34" s="176" t="n"/>
      <c r="GB34" s="176" t="n"/>
      <c r="GC34" s="176" t="n"/>
      <c r="GD34" s="176" t="n"/>
      <c r="GE34" s="176" t="n"/>
      <c r="GF34" s="176" t="n"/>
      <c r="GG34" s="176" t="n"/>
      <c r="GH34" s="180">
        <f>IF('DADOS_TALENTOS'!$I2="","","⚠ "&amp;'DADOS_TALENTOS'!$I2)</f>
        <v/>
      </c>
      <c r="GN34" s="176" t="n"/>
      <c r="GO34" s="176" t="n"/>
      <c r="GP34" s="180">
        <f>IF('DADOS_TALENTOS'!$I3="","","⚠ "&amp;'DADOS_TALENTOS'!$I3)</f>
        <v/>
      </c>
      <c r="GV34" s="176" t="n"/>
      <c r="GW34" s="176" t="n"/>
      <c r="GX34" s="176" t="n"/>
      <c r="GY34" s="193" t="n"/>
      <c r="HD34" s="194" t="n"/>
      <c r="HE34" s="176" t="n"/>
      <c r="HF34" s="176" t="n"/>
      <c r="HG34" s="193" t="n"/>
      <c r="HL34" s="194" t="n"/>
      <c r="HM34" s="176" t="n"/>
      <c r="HN34" s="176" t="n"/>
      <c r="HO34" s="176" t="n"/>
      <c r="HP34" s="193" t="n"/>
      <c r="HU34" s="194" t="n"/>
      <c r="HV34" s="176" t="n"/>
      <c r="HW34" s="176" t="n"/>
      <c r="HX34" s="193" t="n"/>
      <c r="IC34" s="194" t="n"/>
      <c r="ID34" s="176" t="n"/>
    </row>
    <row r="35" ht="31.5" customHeight="1">
      <c r="A35" s="176" t="n"/>
      <c r="B35" s="176" t="n"/>
      <c r="C35" s="184" t="b">
        <v>0</v>
      </c>
      <c r="D35" s="185" t="n"/>
      <c r="E35" s="185" t="n"/>
      <c r="F35" s="186" t="n"/>
      <c r="G35" s="185" t="n"/>
      <c r="H35" s="185" t="n"/>
      <c r="I35" s="176" t="n"/>
      <c r="J35" s="176" t="n"/>
      <c r="K35" s="176" t="n"/>
      <c r="L35" s="176" t="n"/>
      <c r="M35" s="176" t="n"/>
      <c r="N35" s="176" t="n"/>
      <c r="O35" s="176" t="n"/>
      <c r="P35" s="176" t="n"/>
      <c r="Q35" s="176" t="n"/>
      <c r="R35" s="176" t="n"/>
      <c r="S35" s="176" t="n"/>
      <c r="T35" s="189" t="n"/>
      <c r="U35" s="190" t="n"/>
      <c r="V35" s="190" t="n"/>
      <c r="W35" s="190" t="n"/>
      <c r="X35" s="190" t="n"/>
      <c r="Y35" s="191" t="n"/>
      <c r="Z35" s="176" t="n"/>
      <c r="AA35" s="176" t="n"/>
      <c r="AB35" s="189" t="n"/>
      <c r="AC35" s="190" t="n"/>
      <c r="AD35" s="190" t="n"/>
      <c r="AE35" s="190" t="n"/>
      <c r="AF35" s="190" t="n"/>
      <c r="AG35" s="191" t="n"/>
      <c r="AH35" s="176" t="n"/>
      <c r="AI35" s="176" t="n"/>
      <c r="AJ35" s="176" t="n"/>
      <c r="AK35" s="181" t="inlineStr">
        <is>
          <t>CATEGORIA DE ARMA 12</t>
        </is>
      </c>
      <c r="AL35" s="182" t="n"/>
      <c r="AM35" s="183" t="n"/>
      <c r="AN35" s="185" t="n"/>
      <c r="AO35" s="182" t="n"/>
      <c r="AP35" s="183" t="n"/>
      <c r="AQ35" s="176" t="n"/>
      <c r="AR35" s="176" t="n"/>
      <c r="AS35" s="176" t="n"/>
      <c r="AT35" s="176" t="n"/>
      <c r="AU35" s="176" t="n"/>
      <c r="AV35" s="176" t="n"/>
      <c r="AW35" s="176" t="n"/>
      <c r="AX35" s="176" t="n"/>
      <c r="AY35" s="176" t="n"/>
      <c r="AZ35" s="176" t="n"/>
      <c r="BA35" s="176" t="n"/>
      <c r="BH35" s="176" t="n"/>
      <c r="BI35" s="176" t="n"/>
      <c r="BP35" s="176" t="n"/>
      <c r="BQ35" s="176" t="n"/>
      <c r="BR35" s="176" t="n"/>
      <c r="BY35" s="176" t="n"/>
      <c r="BZ35" s="176" t="n"/>
      <c r="CG35" s="176" t="n"/>
      <c r="CH35" s="176" t="n"/>
      <c r="CI35" s="176" t="n"/>
      <c r="CJ35" s="189" t="n"/>
      <c r="CK35" s="190" t="n"/>
      <c r="CL35" s="190" t="n"/>
      <c r="CM35" s="190" t="n"/>
      <c r="CN35" s="190" t="n"/>
      <c r="CO35" s="191" t="n"/>
      <c r="CP35" s="176" t="n"/>
      <c r="CQ35" s="176" t="n"/>
      <c r="CR35" s="189" t="n"/>
      <c r="CS35" s="190" t="n"/>
      <c r="CT35" s="190" t="n"/>
      <c r="CU35" s="190" t="n"/>
      <c r="CV35" s="190" t="n"/>
      <c r="CW35" s="191" t="n"/>
      <c r="CX35" s="176" t="n"/>
      <c r="CY35" s="176" t="n"/>
      <c r="CZ35" s="176" t="n"/>
      <c r="DG35" s="176" t="n"/>
      <c r="DH35" s="176" t="n"/>
      <c r="DO35" s="176" t="n"/>
      <c r="DP35" s="176" t="n"/>
      <c r="DQ35" s="176" t="n"/>
      <c r="DR35" s="185" t="inlineStr">
        <is>
          <t>Restrição</t>
        </is>
      </c>
      <c r="DS35" s="182" t="n"/>
      <c r="DT35" s="182" t="n"/>
      <c r="DU35" s="183" t="n"/>
      <c r="DV35" s="184" t="b">
        <v>0</v>
      </c>
      <c r="DW35" s="183" t="n"/>
      <c r="DX35" s="176" t="n"/>
      <c r="DY35" s="176" t="n"/>
      <c r="DZ35" s="185" t="inlineStr">
        <is>
          <t>Restrição</t>
        </is>
      </c>
      <c r="EA35" s="182" t="n"/>
      <c r="EB35" s="182" t="n"/>
      <c r="EC35" s="183" t="n"/>
      <c r="ED35" s="184" t="b">
        <v>0</v>
      </c>
      <c r="EE35" s="183" t="n"/>
      <c r="EF35" s="176" t="n"/>
      <c r="EG35" s="176" t="n"/>
      <c r="EH35" s="176" t="n"/>
      <c r="EI35" s="189" t="n"/>
      <c r="EJ35" s="190" t="n"/>
      <c r="EK35" s="190" t="n"/>
      <c r="EL35" s="190" t="n"/>
      <c r="EM35" s="190" t="n"/>
      <c r="EN35" s="191" t="n"/>
      <c r="EO35" s="176" t="n"/>
      <c r="EP35" s="176" t="n"/>
      <c r="EQ35" s="189" t="n"/>
      <c r="ER35" s="190" t="n"/>
      <c r="ES35" s="190" t="n"/>
      <c r="ET35" s="190" t="n"/>
      <c r="EU35" s="190" t="n"/>
      <c r="EV35" s="191" t="n"/>
      <c r="EW35" s="176" t="n"/>
      <c r="EX35" s="176" t="n"/>
      <c r="EY35" s="176" t="n"/>
      <c r="EZ35" s="181" t="inlineStr">
        <is>
          <t>ÁREA · P · 1 a 5</t>
        </is>
      </c>
      <c r="FA35" s="182" t="n"/>
      <c r="FB35" s="183" t="n"/>
      <c r="FC35" s="185" t="n"/>
      <c r="FD35" s="182" t="n"/>
      <c r="FE35" s="183" t="n"/>
      <c r="FF35" s="176" t="n"/>
      <c r="FG35" s="176" t="n"/>
      <c r="FH35" s="181" t="inlineStr">
        <is>
          <t>ÁREA · P · 1 a 5</t>
        </is>
      </c>
      <c r="FI35" s="182" t="n"/>
      <c r="FJ35" s="183" t="n"/>
      <c r="FK35" s="185" t="n"/>
      <c r="FL35" s="182" t="n"/>
      <c r="FM35" s="183" t="n"/>
      <c r="FN35" s="176" t="n"/>
      <c r="FO35" s="176" t="n"/>
      <c r="FP35" s="176" t="n"/>
      <c r="FQ35" s="176" t="n"/>
      <c r="FR35" s="176" t="n"/>
      <c r="FS35" s="176" t="n"/>
      <c r="FT35" s="176" t="n"/>
      <c r="FU35" s="176" t="n"/>
      <c r="FV35" s="176" t="n"/>
      <c r="FW35" s="176" t="n"/>
      <c r="FX35" s="176" t="n"/>
      <c r="FY35" s="176" t="n"/>
      <c r="FZ35" s="176" t="n"/>
      <c r="GA35" s="176" t="n"/>
      <c r="GB35" s="176" t="n"/>
      <c r="GC35" s="176" t="n"/>
      <c r="GD35" s="176" t="n"/>
      <c r="GE35" s="176" t="n"/>
      <c r="GF35" s="176" t="n"/>
      <c r="GG35" s="176" t="n"/>
      <c r="GN35" s="176" t="n"/>
      <c r="GO35" s="176" t="n"/>
      <c r="GV35" s="176" t="n"/>
      <c r="GW35" s="176" t="n"/>
      <c r="GX35" s="176" t="n"/>
      <c r="GY35" s="189" t="n"/>
      <c r="GZ35" s="190" t="n"/>
      <c r="HA35" s="190" t="n"/>
      <c r="HB35" s="190" t="n"/>
      <c r="HC35" s="190" t="n"/>
      <c r="HD35" s="191" t="n"/>
      <c r="HE35" s="176" t="n"/>
      <c r="HF35" s="176" t="n"/>
      <c r="HG35" s="189" t="n"/>
      <c r="HH35" s="190" t="n"/>
      <c r="HI35" s="190" t="n"/>
      <c r="HJ35" s="190" t="n"/>
      <c r="HK35" s="190" t="n"/>
      <c r="HL35" s="191" t="n"/>
      <c r="HM35" s="176" t="n"/>
      <c r="HN35" s="176" t="n"/>
      <c r="HO35" s="176" t="n"/>
      <c r="HP35" s="189" t="n"/>
      <c r="HQ35" s="190" t="n"/>
      <c r="HR35" s="190" t="n"/>
      <c r="HS35" s="190" t="n"/>
      <c r="HT35" s="190" t="n"/>
      <c r="HU35" s="191" t="n"/>
      <c r="HV35" s="176" t="n"/>
      <c r="HW35" s="176" t="n"/>
      <c r="HX35" s="189" t="n"/>
      <c r="HY35" s="190" t="n"/>
      <c r="HZ35" s="190" t="n"/>
      <c r="IA35" s="190" t="n"/>
      <c r="IB35" s="190" t="n"/>
      <c r="IC35" s="191" t="n"/>
      <c r="ID35" s="176" t="n"/>
    </row>
    <row r="36" ht="31.5" customHeight="1">
      <c r="A36" s="176" t="n"/>
      <c r="B36" s="176" t="n"/>
      <c r="C36" s="184" t="b">
        <v>0</v>
      </c>
      <c r="D36" s="185" t="n"/>
      <c r="E36" s="185" t="n"/>
      <c r="F36" s="186" t="n"/>
      <c r="G36" s="185" t="n"/>
      <c r="H36" s="185" t="n"/>
      <c r="I36" s="176" t="n"/>
      <c r="J36" s="176" t="n"/>
      <c r="K36" s="176" t="n"/>
      <c r="L36" s="176" t="n"/>
      <c r="M36" s="176" t="n"/>
      <c r="N36" s="176" t="n"/>
      <c r="O36" s="176" t="n"/>
      <c r="P36" s="176" t="n"/>
      <c r="Q36" s="176" t="n"/>
      <c r="R36" s="176" t="n"/>
      <c r="S36" s="176" t="n"/>
      <c r="T36" s="180">
        <f>IF('DADOS_CUSTOM'!$S$2="","Revise os valores ao trocar o tipo.","⚠ "&amp;'DADOS_CUSTOM'!$S$2)</f>
        <v/>
      </c>
      <c r="Z36" s="176" t="n"/>
      <c r="AA36" s="176" t="n"/>
      <c r="AB36" s="180">
        <f>IF('DADOS_CUSTOM'!$S$3="","Revise os valores ao trocar o tipo.","⚠ "&amp;'DADOS_CUSTOM'!$S$3)</f>
        <v/>
      </c>
      <c r="AH36" s="176" t="n"/>
      <c r="AI36" s="176" t="n"/>
      <c r="AJ36" s="176" t="n"/>
      <c r="AK36" s="181" t="inlineStr">
        <is>
          <t>CATEGORIA DE ARMA 13</t>
        </is>
      </c>
      <c r="AL36" s="182" t="n"/>
      <c r="AM36" s="183" t="n"/>
      <c r="AN36" s="185" t="n"/>
      <c r="AO36" s="182" t="n"/>
      <c r="AP36" s="183" t="n"/>
      <c r="AQ36" s="176" t="n"/>
      <c r="AR36" s="176" t="n"/>
      <c r="AS36" s="176" t="n"/>
      <c r="AT36" s="176" t="n"/>
      <c r="AU36" s="176" t="n"/>
      <c r="AV36" s="176" t="n"/>
      <c r="AW36" s="176" t="n"/>
      <c r="AX36" s="176" t="n"/>
      <c r="AY36" s="176" t="n"/>
      <c r="AZ36" s="176" t="n"/>
      <c r="BA36" s="176" t="n"/>
      <c r="BB36" s="176" t="n"/>
      <c r="BC36" s="176" t="n"/>
      <c r="BD36" s="176" t="n"/>
      <c r="BE36" s="176" t="n"/>
      <c r="BF36" s="176" t="n"/>
      <c r="BG36" s="176" t="n"/>
      <c r="BH36" s="176" t="n"/>
      <c r="BI36" s="176" t="n"/>
      <c r="BJ36" s="176" t="n"/>
      <c r="BK36" s="176" t="n"/>
      <c r="BL36" s="176" t="n"/>
      <c r="BM36" s="176" t="n"/>
      <c r="BN36" s="176" t="n"/>
      <c r="BO36" s="176" t="n"/>
      <c r="BP36" s="176" t="n"/>
      <c r="BQ36" s="176" t="n"/>
      <c r="BR36" s="176" t="n"/>
      <c r="BS36" s="176" t="n"/>
      <c r="BT36" s="176" t="n"/>
      <c r="BU36" s="176" t="n"/>
      <c r="BV36" s="176" t="n"/>
      <c r="BW36" s="176" t="n"/>
      <c r="BX36" s="176" t="n"/>
      <c r="BY36" s="176" t="n"/>
      <c r="BZ36" s="176" t="n"/>
      <c r="CA36" s="176" t="n"/>
      <c r="CB36" s="176" t="n"/>
      <c r="CC36" s="176" t="n"/>
      <c r="CD36" s="176" t="n"/>
      <c r="CE36" s="176" t="n"/>
      <c r="CF36" s="176" t="n"/>
      <c r="CG36" s="176" t="n"/>
      <c r="CH36" s="176" t="n"/>
      <c r="CI36" s="176" t="n"/>
      <c r="CJ36" s="176" t="n"/>
      <c r="CK36" s="176" t="n"/>
      <c r="CL36" s="176" t="n"/>
      <c r="CM36" s="176" t="n"/>
      <c r="CN36" s="176" t="n"/>
      <c r="CO36" s="176" t="n"/>
      <c r="CP36" s="176" t="n"/>
      <c r="CQ36" s="176" t="n"/>
      <c r="CR36" s="176" t="n"/>
      <c r="CS36" s="176" t="n"/>
      <c r="CT36" s="176" t="n"/>
      <c r="CU36" s="176" t="n"/>
      <c r="CV36" s="176" t="n"/>
      <c r="CW36" s="176" t="n"/>
      <c r="CX36" s="176" t="n"/>
      <c r="CY36" s="176" t="n"/>
      <c r="CZ36" s="176" t="n"/>
      <c r="DA36" s="176" t="n"/>
      <c r="DB36" s="176" t="n"/>
      <c r="DC36" s="176" t="n"/>
      <c r="DD36" s="176" t="n"/>
      <c r="DE36" s="176" t="n"/>
      <c r="DF36" s="176" t="n"/>
      <c r="DG36" s="176" t="n"/>
      <c r="DH36" s="176" t="n"/>
      <c r="DI36" s="176" t="n"/>
      <c r="DJ36" s="176" t="n"/>
      <c r="DK36" s="176" t="n"/>
      <c r="DL36" s="176" t="n"/>
      <c r="DM36" s="176" t="n"/>
      <c r="DN36" s="176" t="n"/>
      <c r="DO36" s="176" t="n"/>
      <c r="DP36" s="176" t="n"/>
      <c r="DQ36" s="176" t="n"/>
      <c r="DR36" s="181" t="inlineStr">
        <is>
          <t>NOME</t>
        </is>
      </c>
      <c r="DS36" s="182" t="n"/>
      <c r="DT36" s="182" t="n"/>
      <c r="DU36" s="182" t="n"/>
      <c r="DV36" s="182" t="n"/>
      <c r="DW36" s="183" t="n"/>
      <c r="DX36" s="176" t="n"/>
      <c r="DY36" s="176" t="n"/>
      <c r="DZ36" s="181" t="inlineStr">
        <is>
          <t>NOME</t>
        </is>
      </c>
      <c r="EA36" s="182" t="n"/>
      <c r="EB36" s="182" t="n"/>
      <c r="EC36" s="182" t="n"/>
      <c r="ED36" s="182" t="n"/>
      <c r="EE36" s="183" t="n"/>
      <c r="EF36" s="176" t="n"/>
      <c r="EG36" s="176" t="n"/>
      <c r="EH36" s="176" t="n"/>
      <c r="EI36" s="180">
        <f>IF('DADOS_DANOS'!$H$2="","","⚠ "&amp;'DADOS_DANOS'!$H$2)</f>
        <v/>
      </c>
      <c r="EO36" s="176" t="n"/>
      <c r="EP36" s="176" t="n"/>
      <c r="EQ36" s="180">
        <f>IF('DADOS_DANOS'!$H$3="","","⚠ "&amp;'DADOS_DANOS'!$H$3)</f>
        <v/>
      </c>
      <c r="EW36" s="176" t="n"/>
      <c r="EX36" s="176" t="n"/>
      <c r="EY36" s="176" t="n"/>
      <c r="EZ36" s="181" t="inlineStr">
        <is>
          <t>ÁREA · P · 6 e 7</t>
        </is>
      </c>
      <c r="FA36" s="182" t="n"/>
      <c r="FB36" s="183" t="n"/>
      <c r="FC36" s="185" t="n"/>
      <c r="FD36" s="182" t="n"/>
      <c r="FE36" s="183" t="n"/>
      <c r="FF36" s="176" t="n"/>
      <c r="FG36" s="176" t="n"/>
      <c r="FH36" s="181" t="inlineStr">
        <is>
          <t>ÁREA · P · 6 e 7</t>
        </is>
      </c>
      <c r="FI36" s="182" t="n"/>
      <c r="FJ36" s="183" t="n"/>
      <c r="FK36" s="185" t="n"/>
      <c r="FL36" s="182" t="n"/>
      <c r="FM36" s="183" t="n"/>
      <c r="FN36" s="176" t="n"/>
      <c r="FO36" s="176" t="n"/>
      <c r="FP36" s="176" t="n"/>
      <c r="FQ36" s="180">
        <f>IF('DADOS_APTIDOES'!$K2="","","⚠ "&amp;'DADOS_APTIDOES'!$K2)</f>
        <v/>
      </c>
      <c r="FW36" s="176" t="n"/>
      <c r="FX36" s="176" t="n"/>
      <c r="FY36" s="180">
        <f>IF('DADOS_APTIDOES'!$K3="","","⚠ "&amp;'DADOS_APTIDOES'!$K3)</f>
        <v/>
      </c>
      <c r="GE36" s="176" t="n"/>
      <c r="GF36" s="176" t="n"/>
      <c r="GG36" s="176" t="n"/>
      <c r="GH36" s="176" t="n"/>
      <c r="GI36" s="176" t="n"/>
      <c r="GJ36" s="176" t="n"/>
      <c r="GK36" s="176" t="n"/>
      <c r="GL36" s="176" t="n"/>
      <c r="GM36" s="176" t="n"/>
      <c r="GN36" s="176" t="n"/>
      <c r="GO36" s="176" t="n"/>
      <c r="GP36" s="176" t="n"/>
      <c r="GQ36" s="176" t="n"/>
      <c r="GR36" s="176" t="n"/>
      <c r="GS36" s="176" t="n"/>
      <c r="GT36" s="176" t="n"/>
      <c r="GU36" s="176" t="n"/>
      <c r="GV36" s="176" t="n"/>
      <c r="GW36" s="176" t="n"/>
      <c r="GX36" s="176" t="n"/>
      <c r="GY36" s="176" t="n"/>
      <c r="GZ36" s="176" t="n"/>
      <c r="HA36" s="176" t="n"/>
      <c r="HB36" s="176" t="n"/>
      <c r="HC36" s="176" t="n"/>
      <c r="HD36" s="176" t="n"/>
      <c r="HE36" s="176" t="n"/>
      <c r="HF36" s="176" t="n"/>
      <c r="HG36" s="176" t="n"/>
      <c r="HH36" s="176" t="n"/>
      <c r="HI36" s="176" t="n"/>
      <c r="HJ36" s="176" t="n"/>
      <c r="HK36" s="176" t="n"/>
      <c r="HL36" s="176" t="n"/>
      <c r="HM36" s="176" t="n"/>
      <c r="HN36" s="176" t="n"/>
      <c r="HO36" s="176" t="n"/>
      <c r="HP36" s="176" t="n"/>
      <c r="HQ36" s="176" t="n"/>
      <c r="HR36" s="176" t="n"/>
      <c r="HS36" s="176" t="n"/>
      <c r="HT36" s="176" t="n"/>
      <c r="HU36" s="176" t="n"/>
      <c r="HV36" s="176" t="n"/>
      <c r="HW36" s="176" t="n"/>
      <c r="HX36" s="176" t="n"/>
      <c r="HY36" s="176" t="n"/>
      <c r="HZ36" s="176" t="n"/>
      <c r="IA36" s="176" t="n"/>
      <c r="IB36" s="176" t="n"/>
      <c r="IC36" s="176" t="n"/>
      <c r="ID36" s="176" t="n"/>
    </row>
    <row r="37" ht="31.5" customHeight="1">
      <c r="A37" s="176" t="n"/>
      <c r="B37" s="176" t="n"/>
      <c r="C37" s="184" t="b">
        <v>0</v>
      </c>
      <c r="D37" s="185" t="n"/>
      <c r="E37" s="185" t="n"/>
      <c r="F37" s="186" t="n"/>
      <c r="G37" s="185" t="n"/>
      <c r="H37" s="185" t="n"/>
      <c r="I37" s="176" t="n"/>
      <c r="J37" s="176" t="n"/>
      <c r="K37" s="176" t="n"/>
      <c r="L37" s="176" t="n"/>
      <c r="M37" s="176" t="n"/>
      <c r="N37" s="176" t="n"/>
      <c r="O37" s="176" t="n"/>
      <c r="P37" s="176" t="n"/>
      <c r="Q37" s="176" t="n"/>
      <c r="R37" s="176" t="n"/>
      <c r="S37" s="176" t="n"/>
      <c r="Z37" s="176" t="n"/>
      <c r="AA37" s="176" t="n"/>
      <c r="AH37" s="176" t="n"/>
      <c r="AI37" s="176" t="n"/>
      <c r="AJ37" s="176" t="n"/>
      <c r="AK37" s="176" t="n"/>
      <c r="AL37" s="176" t="n"/>
      <c r="AM37" s="176" t="n"/>
      <c r="AN37" s="176" t="n"/>
      <c r="AO37" s="176" t="n"/>
      <c r="AP37" s="176" t="n"/>
      <c r="AQ37" s="176" t="n"/>
      <c r="AR37" s="176" t="n"/>
      <c r="AS37" s="176" t="n"/>
      <c r="AT37" s="176" t="n"/>
      <c r="AU37" s="176" t="n"/>
      <c r="AV37" s="176" t="n"/>
      <c r="AW37" s="176" t="n"/>
      <c r="AX37" s="176" t="n"/>
      <c r="AY37" s="176" t="n"/>
      <c r="AZ37" s="176" t="n"/>
      <c r="BA37" s="176" t="n"/>
      <c r="BB37" s="179" t="inlineStr">
        <is>
          <t>PERÍCIA 5 · CUSTOM</t>
        </is>
      </c>
      <c r="BH37" s="176" t="n"/>
      <c r="BI37" s="176" t="n"/>
      <c r="BJ37" s="179" t="inlineStr">
        <is>
          <t>PERÍCIA 6 · CUSTOM</t>
        </is>
      </c>
      <c r="BP37" s="176" t="n"/>
      <c r="BQ37" s="176" t="n"/>
      <c r="BR37" s="176" t="n"/>
      <c r="BS37" s="179" t="inlineStr">
        <is>
          <t>OFÍCIO 5 · CUSTOM</t>
        </is>
      </c>
      <c r="BY37" s="176" t="n"/>
      <c r="BZ37" s="176" t="n"/>
      <c r="CA37" s="179" t="inlineStr">
        <is>
          <t>OFÍCIO 6 · CUSTOM</t>
        </is>
      </c>
      <c r="CG37" s="176" t="n"/>
      <c r="CH37" s="176" t="n"/>
      <c r="CI37" s="176" t="n"/>
      <c r="CJ37" s="180">
        <f>IF('DADOS_CRIACAO'!$F$4="","","⚠ "&amp;'DADOS_CRIACAO'!$F$4)</f>
        <v/>
      </c>
      <c r="CP37" s="176" t="n"/>
      <c r="CQ37" s="176" t="n"/>
      <c r="CR37" s="180">
        <f>IF('DADOS_CRIACAO'!$F$5="","","⚠ "&amp;'DADOS_CRIACAO'!$F$5)</f>
        <v/>
      </c>
      <c r="CX37" s="176" t="n"/>
      <c r="CY37" s="176" t="n"/>
      <c r="CZ37" s="176" t="n"/>
      <c r="DA37" s="179" t="inlineStr">
        <is>
          <t>MELHORIA · 3</t>
        </is>
      </c>
      <c r="DG37" s="176" t="n"/>
      <c r="DH37" s="176" t="n"/>
      <c r="DI37" s="179" t="inlineStr">
        <is>
          <t>MELHORIA · 4</t>
        </is>
      </c>
      <c r="DO37" s="176" t="n"/>
      <c r="DP37" s="176" t="n"/>
      <c r="DQ37" s="176" t="n"/>
      <c r="DR37" s="185" t="n"/>
      <c r="DS37" s="182" t="n"/>
      <c r="DT37" s="182" t="n"/>
      <c r="DU37" s="182" t="n"/>
      <c r="DV37" s="182" t="n"/>
      <c r="DW37" s="183" t="n"/>
      <c r="DX37" s="176" t="n"/>
      <c r="DY37" s="176" t="n"/>
      <c r="DZ37" s="185" t="n"/>
      <c r="EA37" s="182" t="n"/>
      <c r="EB37" s="182" t="n"/>
      <c r="EC37" s="182" t="n"/>
      <c r="ED37" s="182" t="n"/>
      <c r="EE37" s="183" t="n"/>
      <c r="EF37" s="176" t="n"/>
      <c r="EG37" s="176" t="n"/>
      <c r="EH37" s="176" t="n"/>
      <c r="EO37" s="176" t="n"/>
      <c r="EP37" s="176" t="n"/>
      <c r="EW37" s="176" t="n"/>
      <c r="EX37" s="176" t="n"/>
      <c r="EY37" s="176" t="n"/>
      <c r="EZ37" s="181" t="inlineStr">
        <is>
          <t>ÁREA · E · 0</t>
        </is>
      </c>
      <c r="FA37" s="182" t="n"/>
      <c r="FB37" s="183" t="n"/>
      <c r="FC37" s="185" t="n"/>
      <c r="FD37" s="182" t="n"/>
      <c r="FE37" s="183" t="n"/>
      <c r="FF37" s="176" t="n"/>
      <c r="FG37" s="176" t="n"/>
      <c r="FH37" s="181" t="inlineStr">
        <is>
          <t>ÁREA · E · 0</t>
        </is>
      </c>
      <c r="FI37" s="182" t="n"/>
      <c r="FJ37" s="183" t="n"/>
      <c r="FK37" s="185" t="n"/>
      <c r="FL37" s="182" t="n"/>
      <c r="FM37" s="183" t="n"/>
      <c r="FN37" s="176" t="n"/>
      <c r="FO37" s="176" t="n"/>
      <c r="FP37" s="176" t="n"/>
      <c r="FW37" s="176" t="n"/>
      <c r="FX37" s="176" t="n"/>
      <c r="GE37" s="176" t="n"/>
      <c r="GF37" s="176" t="n"/>
      <c r="GG37" s="176" t="n"/>
      <c r="GH37" s="179" t="inlineStr">
        <is>
          <t>TALENTOS · 3</t>
        </is>
      </c>
      <c r="GN37" s="176" t="n"/>
      <c r="GO37" s="176" t="n"/>
      <c r="GP37" s="179" t="inlineStr">
        <is>
          <t>TALENTOS · 4</t>
        </is>
      </c>
      <c r="GV37" s="176" t="n"/>
      <c r="GW37" s="176" t="n"/>
      <c r="GX37" s="176" t="n"/>
      <c r="GY37" s="180">
        <f>IF('DADOS_ENTIDADES'!$K$2="","","⚠ "&amp;'DADOS_ENTIDADES'!$K$2)</f>
        <v/>
      </c>
      <c r="HE37" s="176" t="n"/>
      <c r="HF37" s="176" t="n"/>
      <c r="HG37" s="180">
        <f>IF('DADOS_ENTIDADES'!$K$3="","","⚠ "&amp;'DADOS_ENTIDADES'!$K$3)</f>
        <v/>
      </c>
      <c r="HM37" s="176" t="n"/>
      <c r="HN37" s="176" t="n"/>
      <c r="HO37" s="176" t="n"/>
      <c r="HP37" s="180">
        <f>IF('DADOS_ENTIDADES'!$AG$2="","","⚠ "&amp;'DADOS_ENTIDADES'!$AG$2)</f>
        <v/>
      </c>
      <c r="HV37" s="176" t="n"/>
      <c r="HW37" s="176" t="n"/>
      <c r="HX37" s="180">
        <f>IF('DADOS_ENTIDADES'!$AG$3="","","⚠ "&amp;'DADOS_ENTIDADES'!$AG$3)</f>
        <v/>
      </c>
      <c r="ID37" s="176" t="n"/>
    </row>
    <row r="38" ht="31.5" customHeight="1">
      <c r="A38" s="176" t="n"/>
      <c r="B38" s="176" t="n"/>
      <c r="C38" s="184" t="b">
        <v>0</v>
      </c>
      <c r="D38" s="185" t="n"/>
      <c r="E38" s="185" t="n"/>
      <c r="F38" s="186" t="n"/>
      <c r="G38" s="185" t="n"/>
      <c r="H38" s="185" t="n"/>
      <c r="I38" s="176" t="n"/>
      <c r="J38" s="176" t="n"/>
      <c r="K38" s="176" t="n"/>
      <c r="L38" s="176" t="n"/>
      <c r="M38" s="176" t="n"/>
      <c r="N38" s="176" t="n"/>
      <c r="O38" s="176" t="n"/>
      <c r="P38" s="176" t="n"/>
      <c r="Q38" s="176" t="n"/>
      <c r="R38" s="176" t="n"/>
      <c r="S38" s="176" t="n"/>
      <c r="T38" s="176" t="n"/>
      <c r="U38" s="176" t="n"/>
      <c r="V38" s="176" t="n"/>
      <c r="W38" s="176" t="n"/>
      <c r="X38" s="176" t="n"/>
      <c r="Y38" s="176" t="n"/>
      <c r="Z38" s="176" t="n"/>
      <c r="AA38" s="176" t="n"/>
      <c r="AB38" s="176" t="n"/>
      <c r="AC38" s="176" t="n"/>
      <c r="AD38" s="176" t="n"/>
      <c r="AE38" s="176" t="n"/>
      <c r="AF38" s="176" t="n"/>
      <c r="AG38" s="176" t="n"/>
      <c r="AH38" s="176" t="n"/>
      <c r="AI38" s="176" t="n"/>
      <c r="AJ38" s="176" t="n"/>
      <c r="AK38" s="176" t="n"/>
      <c r="AL38" s="176" t="n"/>
      <c r="AM38" s="176" t="n"/>
      <c r="AN38" s="176" t="n"/>
      <c r="AO38" s="176" t="n"/>
      <c r="AP38" s="176" t="n"/>
      <c r="AQ38" s="176" t="n"/>
      <c r="AR38" s="176" t="n"/>
      <c r="AS38" s="176" t="n"/>
      <c r="AT38" s="176" t="n"/>
      <c r="AU38" s="176" t="n"/>
      <c r="AV38" s="176" t="n"/>
      <c r="AW38" s="176" t="n"/>
      <c r="AX38" s="176" t="n"/>
      <c r="AY38" s="176" t="n"/>
      <c r="AZ38" s="176" t="n"/>
      <c r="BA38" s="176" t="n"/>
      <c r="BB38" s="181" t="inlineStr">
        <is>
          <t>TIPO</t>
        </is>
      </c>
      <c r="BC38" s="182" t="n"/>
      <c r="BD38" s="182" t="n"/>
      <c r="BE38" s="183" t="n"/>
      <c r="BF38" s="181" t="inlineStr">
        <is>
          <t>MESTRE VIU</t>
        </is>
      </c>
      <c r="BG38" s="183" t="n"/>
      <c r="BH38" s="176" t="n"/>
      <c r="BI38" s="176" t="n"/>
      <c r="BJ38" s="181" t="inlineStr">
        <is>
          <t>TIPO</t>
        </is>
      </c>
      <c r="BK38" s="182" t="n"/>
      <c r="BL38" s="182" t="n"/>
      <c r="BM38" s="183" t="n"/>
      <c r="BN38" s="181" t="inlineStr">
        <is>
          <t>MESTRE VIU</t>
        </is>
      </c>
      <c r="BO38" s="183" t="n"/>
      <c r="BP38" s="176" t="n"/>
      <c r="BQ38" s="176" t="n"/>
      <c r="BR38" s="176" t="n"/>
      <c r="BS38" s="181" t="inlineStr">
        <is>
          <t>TIPO</t>
        </is>
      </c>
      <c r="BT38" s="182" t="n"/>
      <c r="BU38" s="182" t="n"/>
      <c r="BV38" s="183" t="n"/>
      <c r="BW38" s="181" t="inlineStr">
        <is>
          <t>MESTRE VIU</t>
        </is>
      </c>
      <c r="BX38" s="183" t="n"/>
      <c r="BY38" s="176" t="n"/>
      <c r="BZ38" s="176" t="n"/>
      <c r="CA38" s="181" t="inlineStr">
        <is>
          <t>TIPO</t>
        </is>
      </c>
      <c r="CB38" s="182" t="n"/>
      <c r="CC38" s="182" t="n"/>
      <c r="CD38" s="183" t="n"/>
      <c r="CE38" s="181" t="inlineStr">
        <is>
          <t>MESTRE VIU</t>
        </is>
      </c>
      <c r="CF38" s="183" t="n"/>
      <c r="CG38" s="176" t="n"/>
      <c r="CH38" s="176" t="n"/>
      <c r="CI38" s="176" t="n"/>
      <c r="CJ38" s="176" t="n"/>
      <c r="CK38" s="176" t="n"/>
      <c r="CL38" s="176" t="n"/>
      <c r="CM38" s="176" t="n"/>
      <c r="CN38" s="176" t="n"/>
      <c r="CO38" s="176" t="n"/>
      <c r="CP38" s="176" t="n"/>
      <c r="CQ38" s="176" t="n"/>
      <c r="CR38" s="176" t="n"/>
      <c r="CS38" s="176" t="n"/>
      <c r="CT38" s="176" t="n"/>
      <c r="CU38" s="176" t="n"/>
      <c r="CV38" s="176" t="n"/>
      <c r="CW38" s="176" t="n"/>
      <c r="CX38" s="176" t="n"/>
      <c r="CY38" s="176" t="n"/>
      <c r="CZ38" s="176" t="n"/>
      <c r="DA38" s="181" t="inlineStr">
        <is>
          <t>TIPO</t>
        </is>
      </c>
      <c r="DB38" s="182" t="n"/>
      <c r="DC38" s="182" t="n"/>
      <c r="DD38" s="183" t="n"/>
      <c r="DE38" s="181" t="inlineStr">
        <is>
          <t>MESTRE VIU</t>
        </is>
      </c>
      <c r="DF38" s="183" t="n"/>
      <c r="DG38" s="176" t="n"/>
      <c r="DH38" s="176" t="n"/>
      <c r="DI38" s="181" t="inlineStr">
        <is>
          <t>TIPO</t>
        </is>
      </c>
      <c r="DJ38" s="182" t="n"/>
      <c r="DK38" s="182" t="n"/>
      <c r="DL38" s="183" t="n"/>
      <c r="DM38" s="181" t="inlineStr">
        <is>
          <t>MESTRE VIU</t>
        </is>
      </c>
      <c r="DN38" s="183" t="n"/>
      <c r="DO38" s="176" t="n"/>
      <c r="DP38" s="176" t="n"/>
      <c r="DQ38" s="176" t="n"/>
      <c r="DR38" s="181" t="inlineStr">
        <is>
          <t>BASE DO LIVRO</t>
        </is>
      </c>
      <c r="DS38" s="182" t="n"/>
      <c r="DT38" s="183" t="n"/>
      <c r="DU38" s="185" t="inlineStr">
        <is>
          <t>Nenhuma</t>
        </is>
      </c>
      <c r="DV38" s="182" t="n"/>
      <c r="DW38" s="183" t="n"/>
      <c r="DX38" s="176" t="n"/>
      <c r="DY38" s="176" t="n"/>
      <c r="DZ38" s="181" t="inlineStr">
        <is>
          <t>BASE DO LIVRO</t>
        </is>
      </c>
      <c r="EA38" s="182" t="n"/>
      <c r="EB38" s="183" t="n"/>
      <c r="EC38" s="185" t="inlineStr">
        <is>
          <t>Nenhuma</t>
        </is>
      </c>
      <c r="ED38" s="182" t="n"/>
      <c r="EE38" s="183" t="n"/>
      <c r="EF38" s="176" t="n"/>
      <c r="EG38" s="176" t="n"/>
      <c r="EH38" s="176" t="n"/>
      <c r="EI38" s="176" t="n"/>
      <c r="EJ38" s="176" t="n"/>
      <c r="EK38" s="176" t="n"/>
      <c r="EL38" s="176" t="n"/>
      <c r="EM38" s="176" t="n"/>
      <c r="EN38" s="176" t="n"/>
      <c r="EO38" s="176" t="n"/>
      <c r="EP38" s="176" t="n"/>
      <c r="EQ38" s="176" t="n"/>
      <c r="ER38" s="176" t="n"/>
      <c r="ES38" s="176" t="n"/>
      <c r="ET38" s="176" t="n"/>
      <c r="EU38" s="176" t="n"/>
      <c r="EV38" s="176" t="n"/>
      <c r="EW38" s="176" t="n"/>
      <c r="EX38" s="176" t="n"/>
      <c r="EY38" s="176" t="n"/>
      <c r="EZ38" s="181" t="inlineStr">
        <is>
          <t>ÁREA · E · 1 a 5</t>
        </is>
      </c>
      <c r="FA38" s="182" t="n"/>
      <c r="FB38" s="183" t="n"/>
      <c r="FC38" s="185" t="n"/>
      <c r="FD38" s="182" t="n"/>
      <c r="FE38" s="183" t="n"/>
      <c r="FF38" s="176" t="n"/>
      <c r="FG38" s="176" t="n"/>
      <c r="FH38" s="181" t="inlineStr">
        <is>
          <t>ÁREA · E · 1 a 5</t>
        </is>
      </c>
      <c r="FI38" s="182" t="n"/>
      <c r="FJ38" s="183" t="n"/>
      <c r="FK38" s="185" t="n"/>
      <c r="FL38" s="182" t="n"/>
      <c r="FM38" s="183" t="n"/>
      <c r="FN38" s="176" t="n"/>
      <c r="FO38" s="176" t="n"/>
      <c r="FP38" s="176" t="n"/>
      <c r="FQ38" s="176" t="n"/>
      <c r="FR38" s="176" t="n"/>
      <c r="FS38" s="176" t="n"/>
      <c r="FT38" s="176" t="n"/>
      <c r="FU38" s="176" t="n"/>
      <c r="FV38" s="176" t="n"/>
      <c r="FW38" s="176" t="n"/>
      <c r="FX38" s="176" t="n"/>
      <c r="FY38" s="176" t="n"/>
      <c r="FZ38" s="176" t="n"/>
      <c r="GA38" s="176" t="n"/>
      <c r="GB38" s="176" t="n"/>
      <c r="GC38" s="176" t="n"/>
      <c r="GD38" s="176" t="n"/>
      <c r="GE38" s="176" t="n"/>
      <c r="GF38" s="176" t="n"/>
      <c r="GG38" s="176" t="n"/>
      <c r="GH38" s="181" t="inlineStr">
        <is>
          <t>TIPO</t>
        </is>
      </c>
      <c r="GI38" s="182" t="n"/>
      <c r="GJ38" s="182" t="n"/>
      <c r="GK38" s="183" t="n"/>
      <c r="GL38" s="181" t="inlineStr">
        <is>
          <t>MESTRE VIU</t>
        </is>
      </c>
      <c r="GM38" s="183" t="n"/>
      <c r="GN38" s="176" t="n"/>
      <c r="GO38" s="176" t="n"/>
      <c r="GP38" s="181" t="inlineStr">
        <is>
          <t>TIPO</t>
        </is>
      </c>
      <c r="GQ38" s="182" t="n"/>
      <c r="GR38" s="182" t="n"/>
      <c r="GS38" s="183" t="n"/>
      <c r="GT38" s="181" t="inlineStr">
        <is>
          <t>MESTRE VIU</t>
        </is>
      </c>
      <c r="GU38" s="183" t="n"/>
      <c r="GV38" s="176" t="n"/>
      <c r="GW38" s="176" t="n"/>
      <c r="GX38" s="176" t="n"/>
      <c r="HE38" s="176" t="n"/>
      <c r="HF38" s="176" t="n"/>
      <c r="HM38" s="176" t="n"/>
      <c r="HN38" s="176" t="n"/>
      <c r="HO38" s="176" t="n"/>
      <c r="HV38" s="176" t="n"/>
      <c r="HW38" s="176" t="n"/>
      <c r="ID38" s="176" t="n"/>
    </row>
    <row r="39" ht="31.5" customHeight="1">
      <c r="A39" s="176" t="n"/>
      <c r="B39" s="176" t="n"/>
      <c r="C39" s="184" t="b">
        <v>0</v>
      </c>
      <c r="D39" s="185" t="n"/>
      <c r="E39" s="185" t="n"/>
      <c r="F39" s="186" t="n"/>
      <c r="G39" s="185" t="n"/>
      <c r="H39" s="185" t="n"/>
      <c r="I39" s="176" t="n"/>
      <c r="J39" s="176" t="n"/>
      <c r="K39" s="176" t="n"/>
      <c r="L39" s="176" t="n"/>
      <c r="M39" s="176" t="n"/>
      <c r="N39" s="176" t="n"/>
      <c r="O39" s="176" t="n"/>
      <c r="P39" s="176" t="n"/>
      <c r="Q39" s="176" t="n"/>
      <c r="R39" s="176" t="n"/>
      <c r="S39" s="176" t="n"/>
      <c r="T39" s="176" t="n"/>
      <c r="U39" s="176" t="n"/>
      <c r="V39" s="176" t="n"/>
      <c r="W39" s="176" t="n"/>
      <c r="X39" s="176" t="n"/>
      <c r="Y39" s="176" t="n"/>
      <c r="Z39" s="176" t="n"/>
      <c r="AA39" s="176" t="n"/>
      <c r="AB39" s="176" t="n"/>
      <c r="AC39" s="176" t="n"/>
      <c r="AD39" s="176" t="n"/>
      <c r="AE39" s="176" t="n"/>
      <c r="AF39" s="176" t="n"/>
      <c r="AG39" s="176" t="n"/>
      <c r="AH39" s="176" t="n"/>
      <c r="AI39" s="176" t="n"/>
      <c r="AJ39" s="176" t="n"/>
      <c r="AK39" s="176" t="n"/>
      <c r="AL39" s="176" t="n"/>
      <c r="AM39" s="176" t="n"/>
      <c r="AN39" s="176" t="n"/>
      <c r="AO39" s="176" t="n"/>
      <c r="AP39" s="176" t="n"/>
      <c r="AQ39" s="176" t="n"/>
      <c r="AR39" s="176" t="n"/>
      <c r="AS39" s="176" t="n"/>
      <c r="AT39" s="176" t="n"/>
      <c r="AU39" s="176" t="n"/>
      <c r="AV39" s="176" t="n"/>
      <c r="AW39" s="176" t="n"/>
      <c r="AX39" s="176" t="n"/>
      <c r="AY39" s="176" t="n"/>
      <c r="AZ39" s="176" t="n"/>
      <c r="BA39" s="176" t="n"/>
      <c r="BB39" s="185" t="inlineStr">
        <is>
          <t>Perícia</t>
        </is>
      </c>
      <c r="BC39" s="182" t="n"/>
      <c r="BD39" s="182" t="n"/>
      <c r="BE39" s="183" t="n"/>
      <c r="BF39" s="184" t="b">
        <v>0</v>
      </c>
      <c r="BG39" s="183" t="n"/>
      <c r="BH39" s="176" t="n"/>
      <c r="BI39" s="176" t="n"/>
      <c r="BJ39" s="185" t="inlineStr">
        <is>
          <t>Perícia</t>
        </is>
      </c>
      <c r="BK39" s="182" t="n"/>
      <c r="BL39" s="182" t="n"/>
      <c r="BM39" s="183" t="n"/>
      <c r="BN39" s="184" t="b">
        <v>0</v>
      </c>
      <c r="BO39" s="183" t="n"/>
      <c r="BP39" s="176" t="n"/>
      <c r="BQ39" s="176" t="n"/>
      <c r="BR39" s="176" t="n"/>
      <c r="BS39" s="185" t="inlineStr">
        <is>
          <t>Ofício</t>
        </is>
      </c>
      <c r="BT39" s="182" t="n"/>
      <c r="BU39" s="182" t="n"/>
      <c r="BV39" s="183" t="n"/>
      <c r="BW39" s="184" t="b">
        <v>0</v>
      </c>
      <c r="BX39" s="183" t="n"/>
      <c r="BY39" s="176" t="n"/>
      <c r="BZ39" s="176" t="n"/>
      <c r="CA39" s="185" t="inlineStr">
        <is>
          <t>Ofício</t>
        </is>
      </c>
      <c r="CB39" s="182" t="n"/>
      <c r="CC39" s="182" t="n"/>
      <c r="CD39" s="183" t="n"/>
      <c r="CE39" s="184" t="b">
        <v>0</v>
      </c>
      <c r="CF39" s="183" t="n"/>
      <c r="CG39" s="176" t="n"/>
      <c r="CH39" s="176" t="n"/>
      <c r="CI39" s="176" t="n"/>
      <c r="CJ39" s="179" t="inlineStr">
        <is>
          <t>FAMÍLIA · 5</t>
        </is>
      </c>
      <c r="CP39" s="176" t="n"/>
      <c r="CQ39" s="176" t="n"/>
      <c r="CR39" s="179" t="inlineStr">
        <is>
          <t>FAMÍLIA · 6</t>
        </is>
      </c>
      <c r="CX39" s="176" t="n"/>
      <c r="CY39" s="176" t="n"/>
      <c r="CZ39" s="176" t="n"/>
      <c r="DA39" s="185" t="inlineStr">
        <is>
          <t>Melhoria</t>
        </is>
      </c>
      <c r="DB39" s="182" t="n"/>
      <c r="DC39" s="182" t="n"/>
      <c r="DD39" s="183" t="n"/>
      <c r="DE39" s="184" t="b">
        <v>0</v>
      </c>
      <c r="DF39" s="183" t="n"/>
      <c r="DG39" s="176" t="n"/>
      <c r="DH39" s="176" t="n"/>
      <c r="DI39" s="185" t="inlineStr">
        <is>
          <t>Melhoria</t>
        </is>
      </c>
      <c r="DJ39" s="182" t="n"/>
      <c r="DK39" s="182" t="n"/>
      <c r="DL39" s="183" t="n"/>
      <c r="DM39" s="184" t="b">
        <v>0</v>
      </c>
      <c r="DN39" s="183" t="n"/>
      <c r="DO39" s="176" t="n"/>
      <c r="DP39" s="176" t="n"/>
      <c r="DQ39" s="176" t="n"/>
      <c r="DR39" s="181" t="inlineStr">
        <is>
          <t>DEVOLUÇÃO</t>
        </is>
      </c>
      <c r="DS39" s="182" t="n"/>
      <c r="DT39" s="183" t="n"/>
      <c r="DU39" s="185" t="n"/>
      <c r="DV39" s="182" t="n"/>
      <c r="DW39" s="183" t="n"/>
      <c r="DX39" s="176" t="n"/>
      <c r="DY39" s="176" t="n"/>
      <c r="DZ39" s="181" t="inlineStr">
        <is>
          <t>DEVOLUÇÃO</t>
        </is>
      </c>
      <c r="EA39" s="182" t="n"/>
      <c r="EB39" s="183" t="n"/>
      <c r="EC39" s="185" t="n"/>
      <c r="ED39" s="182" t="n"/>
      <c r="EE39" s="183" t="n"/>
      <c r="EF39" s="176" t="n"/>
      <c r="EG39" s="176" t="n"/>
      <c r="EH39" s="176" t="n"/>
      <c r="EI39" s="179" t="inlineStr">
        <is>
          <t>TIPO DE DANO · 3</t>
        </is>
      </c>
      <c r="EO39" s="176" t="n"/>
      <c r="EP39" s="176" t="n"/>
      <c r="EQ39" s="179" t="inlineStr">
        <is>
          <t>TIPO DE DANO · 4</t>
        </is>
      </c>
      <c r="EW39" s="176" t="n"/>
      <c r="EX39" s="176" t="n"/>
      <c r="EY39" s="176" t="n"/>
      <c r="EZ39" s="181" t="inlineStr">
        <is>
          <t>ÁREA · E · 6</t>
        </is>
      </c>
      <c r="FA39" s="182" t="n"/>
      <c r="FB39" s="183" t="n"/>
      <c r="FC39" s="185" t="n"/>
      <c r="FD39" s="182" t="n"/>
      <c r="FE39" s="183" t="n"/>
      <c r="FF39" s="176" t="n"/>
      <c r="FG39" s="176" t="n"/>
      <c r="FH39" s="181" t="inlineStr">
        <is>
          <t>ÁREA · E · 6</t>
        </is>
      </c>
      <c r="FI39" s="182" t="n"/>
      <c r="FJ39" s="183" t="n"/>
      <c r="FK39" s="185" t="n"/>
      <c r="FL39" s="182" t="n"/>
      <c r="FM39" s="183" t="n"/>
      <c r="FN39" s="176" t="n"/>
      <c r="FO39" s="176" t="n"/>
      <c r="FP39" s="176" t="n"/>
      <c r="FQ39" s="179" t="inlineStr">
        <is>
          <t>APTIDÕES / BÊNÇÃOS · 3</t>
        </is>
      </c>
      <c r="FW39" s="176" t="n"/>
      <c r="FX39" s="176" t="n"/>
      <c r="FY39" s="179" t="inlineStr">
        <is>
          <t>APTIDÕES / BÊNÇÃOS · 4</t>
        </is>
      </c>
      <c r="GE39" s="176" t="n"/>
      <c r="GF39" s="176" t="n"/>
      <c r="GG39" s="176" t="n"/>
      <c r="GH39" s="185" t="inlineStr">
        <is>
          <t>Talento</t>
        </is>
      </c>
      <c r="GI39" s="182" t="n"/>
      <c r="GJ39" s="182" t="n"/>
      <c r="GK39" s="183" t="n"/>
      <c r="GL39" s="184" t="b">
        <v>0</v>
      </c>
      <c r="GM39" s="183" t="n"/>
      <c r="GN39" s="176" t="n"/>
      <c r="GO39" s="176" t="n"/>
      <c r="GP39" s="185" t="inlineStr">
        <is>
          <t>Talento</t>
        </is>
      </c>
      <c r="GQ39" s="182" t="n"/>
      <c r="GR39" s="182" t="n"/>
      <c r="GS39" s="183" t="n"/>
      <c r="GT39" s="184" t="b">
        <v>0</v>
      </c>
      <c r="GU39" s="183" t="n"/>
      <c r="GV39" s="176" t="n"/>
      <c r="GW39" s="176" t="n"/>
      <c r="GX39" s="176" t="n"/>
      <c r="GY39" s="179" t="inlineStr">
        <is>
          <t>TIPO DE ENTIDADE · 3</t>
        </is>
      </c>
      <c r="HE39" s="176" t="n"/>
      <c r="HF39" s="176" t="n"/>
      <c r="HG39" s="179" t="inlineStr">
        <is>
          <t>TIPO DE ENTIDADE · 4</t>
        </is>
      </c>
      <c r="HM39" s="176" t="n"/>
      <c r="HN39" s="176" t="n"/>
      <c r="HO39" s="176" t="n"/>
      <c r="HP39" s="179" t="inlineStr">
        <is>
          <t>TALENTO · ENTIDADE · 3</t>
        </is>
      </c>
      <c r="HV39" s="176" t="n"/>
      <c r="HW39" s="176" t="n"/>
      <c r="HX39" s="179" t="inlineStr">
        <is>
          <t>TALENTO · ENTIDADE · 4</t>
        </is>
      </c>
      <c r="ID39" s="176" t="n"/>
    </row>
    <row r="40" ht="31.5" customHeight="1">
      <c r="A40" s="176" t="n"/>
      <c r="B40" s="176" t="n"/>
      <c r="C40" s="184" t="b">
        <v>0</v>
      </c>
      <c r="D40" s="185" t="n"/>
      <c r="E40" s="185" t="n"/>
      <c r="F40" s="186" t="n"/>
      <c r="G40" s="185" t="n"/>
      <c r="H40" s="185" t="n"/>
      <c r="I40" s="176" t="n"/>
      <c r="J40" s="176" t="n"/>
      <c r="K40" s="176" t="n"/>
      <c r="L40" s="176" t="n"/>
      <c r="M40" s="176" t="n"/>
      <c r="N40" s="176" t="n"/>
      <c r="O40" s="176" t="n"/>
      <c r="P40" s="176" t="n"/>
      <c r="Q40" s="176" t="n"/>
      <c r="R40" s="176" t="n"/>
      <c r="S40" s="176" t="n"/>
      <c r="T40" s="176" t="n"/>
      <c r="U40" s="176" t="n"/>
      <c r="V40" s="176" t="n"/>
      <c r="W40" s="176" t="n"/>
      <c r="X40" s="176" t="n"/>
      <c r="Y40" s="176" t="n"/>
      <c r="Z40" s="176" t="n"/>
      <c r="AA40" s="176" t="n"/>
      <c r="AB40" s="176" t="n"/>
      <c r="AC40" s="176" t="n"/>
      <c r="AD40" s="176" t="n"/>
      <c r="AE40" s="176" t="n"/>
      <c r="AF40" s="176" t="n"/>
      <c r="AG40" s="176" t="n"/>
      <c r="AH40" s="176" t="n"/>
      <c r="AI40" s="176" t="n"/>
      <c r="AJ40" s="176" t="n"/>
      <c r="AK40" s="181" t="inlineStr">
        <is>
          <t>OBSERVAÇÕES</t>
        </is>
      </c>
      <c r="AL40" s="182" t="n"/>
      <c r="AM40" s="182" t="n"/>
      <c r="AN40" s="182" t="n"/>
      <c r="AO40" s="182" t="n"/>
      <c r="AP40" s="183" t="n"/>
      <c r="AQ40" s="176" t="n"/>
      <c r="AR40" s="176" t="n"/>
      <c r="AS40" s="181" t="inlineStr">
        <is>
          <t>OBSERVAÇÕES</t>
        </is>
      </c>
      <c r="AT40" s="182" t="n"/>
      <c r="AU40" s="182" t="n"/>
      <c r="AV40" s="182" t="n"/>
      <c r="AW40" s="182" t="n"/>
      <c r="AX40" s="183" t="n"/>
      <c r="AY40" s="176" t="n"/>
      <c r="AZ40" s="176" t="n"/>
      <c r="BA40" s="176" t="n"/>
      <c r="BB40" s="181" t="inlineStr">
        <is>
          <t>NOME</t>
        </is>
      </c>
      <c r="BC40" s="182" t="n"/>
      <c r="BD40" s="182" t="n"/>
      <c r="BE40" s="182" t="n"/>
      <c r="BF40" s="182" t="n"/>
      <c r="BG40" s="183" t="n"/>
      <c r="BH40" s="176" t="n"/>
      <c r="BI40" s="176" t="n"/>
      <c r="BJ40" s="181" t="inlineStr">
        <is>
          <t>NOME</t>
        </is>
      </c>
      <c r="BK40" s="182" t="n"/>
      <c r="BL40" s="182" t="n"/>
      <c r="BM40" s="182" t="n"/>
      <c r="BN40" s="182" t="n"/>
      <c r="BO40" s="183" t="n"/>
      <c r="BP40" s="176" t="n"/>
      <c r="BQ40" s="176" t="n"/>
      <c r="BR40" s="176" t="n"/>
      <c r="BS40" s="181" t="inlineStr">
        <is>
          <t>NOME</t>
        </is>
      </c>
      <c r="BT40" s="182" t="n"/>
      <c r="BU40" s="182" t="n"/>
      <c r="BV40" s="182" t="n"/>
      <c r="BW40" s="182" t="n"/>
      <c r="BX40" s="183" t="n"/>
      <c r="BY40" s="176" t="n"/>
      <c r="BZ40" s="176" t="n"/>
      <c r="CA40" s="181" t="inlineStr">
        <is>
          <t>NOME</t>
        </is>
      </c>
      <c r="CB40" s="182" t="n"/>
      <c r="CC40" s="182" t="n"/>
      <c r="CD40" s="182" t="n"/>
      <c r="CE40" s="182" t="n"/>
      <c r="CF40" s="183" t="n"/>
      <c r="CG40" s="176" t="n"/>
      <c r="CH40" s="176" t="n"/>
      <c r="CI40" s="176" t="n"/>
      <c r="CJ40" s="181" t="inlineStr">
        <is>
          <t>TIPO</t>
        </is>
      </c>
      <c r="CK40" s="182" t="n"/>
      <c r="CL40" s="182" t="n"/>
      <c r="CM40" s="183" t="n"/>
      <c r="CN40" s="181" t="inlineStr">
        <is>
          <t>MESTRE VIU</t>
        </is>
      </c>
      <c r="CO40" s="183" t="n"/>
      <c r="CP40" s="176" t="n"/>
      <c r="CQ40" s="176" t="n"/>
      <c r="CR40" s="181" t="inlineStr">
        <is>
          <t>TIPO</t>
        </is>
      </c>
      <c r="CS40" s="182" t="n"/>
      <c r="CT40" s="182" t="n"/>
      <c r="CU40" s="183" t="n"/>
      <c r="CV40" s="181" t="inlineStr">
        <is>
          <t>MESTRE VIU</t>
        </is>
      </c>
      <c r="CW40" s="183" t="n"/>
      <c r="CX40" s="176" t="n"/>
      <c r="CY40" s="176" t="n"/>
      <c r="CZ40" s="176" t="n"/>
      <c r="DA40" s="181" t="inlineStr">
        <is>
          <t>NOME</t>
        </is>
      </c>
      <c r="DB40" s="182" t="n"/>
      <c r="DC40" s="182" t="n"/>
      <c r="DD40" s="182" t="n"/>
      <c r="DE40" s="182" t="n"/>
      <c r="DF40" s="183" t="n"/>
      <c r="DG40" s="176" t="n"/>
      <c r="DH40" s="176" t="n"/>
      <c r="DI40" s="181" t="inlineStr">
        <is>
          <t>NOME</t>
        </is>
      </c>
      <c r="DJ40" s="182" t="n"/>
      <c r="DK40" s="182" t="n"/>
      <c r="DL40" s="182" t="n"/>
      <c r="DM40" s="182" t="n"/>
      <c r="DN40" s="183" t="n"/>
      <c r="DO40" s="176" t="n"/>
      <c r="DP40" s="176" t="n"/>
      <c r="DQ40" s="176" t="n"/>
      <c r="DR40" s="181" t="inlineStr">
        <is>
          <t>FREQUÊNCIA</t>
        </is>
      </c>
      <c r="DS40" s="182" t="n"/>
      <c r="DT40" s="183" t="n"/>
      <c r="DU40" s="185" t="n"/>
      <c r="DV40" s="182" t="n"/>
      <c r="DW40" s="183" t="n"/>
      <c r="DX40" s="176" t="n"/>
      <c r="DY40" s="176" t="n"/>
      <c r="DZ40" s="181" t="inlineStr">
        <is>
          <t>FREQUÊNCIA</t>
        </is>
      </c>
      <c r="EA40" s="182" t="n"/>
      <c r="EB40" s="183" t="n"/>
      <c r="EC40" s="185" t="n"/>
      <c r="ED40" s="182" t="n"/>
      <c r="EE40" s="183" t="n"/>
      <c r="EF40" s="176" t="n"/>
      <c r="EG40" s="176" t="n"/>
      <c r="EH40" s="176" t="n"/>
      <c r="EI40" s="181" t="inlineStr">
        <is>
          <t>NOME</t>
        </is>
      </c>
      <c r="EJ40" s="182" t="n"/>
      <c r="EK40" s="182" t="n"/>
      <c r="EL40" s="183" t="n"/>
      <c r="EM40" s="181" t="inlineStr">
        <is>
          <t>MESTRE VIU</t>
        </is>
      </c>
      <c r="EN40" s="183" t="n"/>
      <c r="EO40" s="176" t="n"/>
      <c r="EP40" s="176" t="n"/>
      <c r="EQ40" s="181" t="inlineStr">
        <is>
          <t>NOME</t>
        </is>
      </c>
      <c r="ER40" s="182" t="n"/>
      <c r="ES40" s="182" t="n"/>
      <c r="ET40" s="183" t="n"/>
      <c r="EU40" s="181" t="inlineStr">
        <is>
          <t>MESTRE VIU</t>
        </is>
      </c>
      <c r="EV40" s="183" t="n"/>
      <c r="EW40" s="176" t="n"/>
      <c r="EX40" s="176" t="n"/>
      <c r="EY40" s="176" t="n"/>
      <c r="EZ40" s="181" t="inlineStr">
        <is>
          <t>ÁREA · E · 7</t>
        </is>
      </c>
      <c r="FA40" s="182" t="n"/>
      <c r="FB40" s="183" t="n"/>
      <c r="FC40" s="185" t="n"/>
      <c r="FD40" s="182" t="n"/>
      <c r="FE40" s="183" t="n"/>
      <c r="FF40" s="176" t="n"/>
      <c r="FG40" s="176" t="n"/>
      <c r="FH40" s="181" t="inlineStr">
        <is>
          <t>ÁREA · E · 7</t>
        </is>
      </c>
      <c r="FI40" s="182" t="n"/>
      <c r="FJ40" s="183" t="n"/>
      <c r="FK40" s="185" t="n"/>
      <c r="FL40" s="182" t="n"/>
      <c r="FM40" s="183" t="n"/>
      <c r="FN40" s="176" t="n"/>
      <c r="FO40" s="176" t="n"/>
      <c r="FP40" s="176" t="n"/>
      <c r="FQ40" s="181" t="inlineStr">
        <is>
          <t>TIPO</t>
        </is>
      </c>
      <c r="FR40" s="182" t="n"/>
      <c r="FS40" s="182" t="n"/>
      <c r="FT40" s="183" t="n"/>
      <c r="FU40" s="181" t="inlineStr">
        <is>
          <t>MESTRE VIU</t>
        </is>
      </c>
      <c r="FV40" s="183" t="n"/>
      <c r="FW40" s="176" t="n"/>
      <c r="FX40" s="176" t="n"/>
      <c r="FY40" s="181" t="inlineStr">
        <is>
          <t>TIPO</t>
        </is>
      </c>
      <c r="FZ40" s="182" t="n"/>
      <c r="GA40" s="182" t="n"/>
      <c r="GB40" s="183" t="n"/>
      <c r="GC40" s="181" t="inlineStr">
        <is>
          <t>MESTRE VIU</t>
        </is>
      </c>
      <c r="GD40" s="183" t="n"/>
      <c r="GE40" s="176" t="n"/>
      <c r="GF40" s="176" t="n"/>
      <c r="GG40" s="176" t="n"/>
      <c r="GH40" s="181" t="inlineStr">
        <is>
          <t>NOME</t>
        </is>
      </c>
      <c r="GI40" s="182" t="n"/>
      <c r="GJ40" s="182" t="n"/>
      <c r="GK40" s="182" t="n"/>
      <c r="GL40" s="182" t="n"/>
      <c r="GM40" s="183" t="n"/>
      <c r="GN40" s="176" t="n"/>
      <c r="GO40" s="176" t="n"/>
      <c r="GP40" s="181" t="inlineStr">
        <is>
          <t>NOME</t>
        </is>
      </c>
      <c r="GQ40" s="182" t="n"/>
      <c r="GR40" s="182" t="n"/>
      <c r="GS40" s="182" t="n"/>
      <c r="GT40" s="182" t="n"/>
      <c r="GU40" s="183" t="n"/>
      <c r="GV40" s="176" t="n"/>
      <c r="GW40" s="176" t="n"/>
      <c r="GX40" s="176" t="n"/>
      <c r="GY40" s="181" t="inlineStr">
        <is>
          <t>NOME</t>
        </is>
      </c>
      <c r="GZ40" s="182" t="n"/>
      <c r="HA40" s="182" t="n"/>
      <c r="HB40" s="183" t="n"/>
      <c r="HC40" s="181" t="inlineStr">
        <is>
          <t>MESTRE VIU</t>
        </is>
      </c>
      <c r="HD40" s="183" t="n"/>
      <c r="HE40" s="176" t="n"/>
      <c r="HF40" s="176" t="n"/>
      <c r="HG40" s="181" t="inlineStr">
        <is>
          <t>NOME</t>
        </is>
      </c>
      <c r="HH40" s="182" t="n"/>
      <c r="HI40" s="182" t="n"/>
      <c r="HJ40" s="183" t="n"/>
      <c r="HK40" s="181" t="inlineStr">
        <is>
          <t>MESTRE VIU</t>
        </is>
      </c>
      <c r="HL40" s="183" t="n"/>
      <c r="HM40" s="176" t="n"/>
      <c r="HN40" s="176" t="n"/>
      <c r="HO40" s="176" t="n"/>
      <c r="HP40" s="181" t="inlineStr">
        <is>
          <t>NOME</t>
        </is>
      </c>
      <c r="HQ40" s="182" t="n"/>
      <c r="HR40" s="182" t="n"/>
      <c r="HS40" s="183" t="n"/>
      <c r="HT40" s="181" t="inlineStr">
        <is>
          <t>MESTRE VIU</t>
        </is>
      </c>
      <c r="HU40" s="183" t="n"/>
      <c r="HV40" s="176" t="n"/>
      <c r="HW40" s="176" t="n"/>
      <c r="HX40" s="181" t="inlineStr">
        <is>
          <t>NOME</t>
        </is>
      </c>
      <c r="HY40" s="182" t="n"/>
      <c r="HZ40" s="182" t="n"/>
      <c r="IA40" s="183" t="n"/>
      <c r="IB40" s="181" t="inlineStr">
        <is>
          <t>MESTRE VIU</t>
        </is>
      </c>
      <c r="IC40" s="183" t="n"/>
      <c r="ID40" s="176" t="n"/>
    </row>
    <row r="41" ht="31.5" customHeight="1">
      <c r="A41" s="176" t="n"/>
      <c r="B41" s="176" t="n"/>
      <c r="C41" s="176" t="n"/>
      <c r="D41" s="176" t="n"/>
      <c r="E41" s="176" t="n"/>
      <c r="F41" s="176" t="n"/>
      <c r="G41" s="176" t="n"/>
      <c r="H41" s="176" t="n"/>
      <c r="I41" s="176" t="n"/>
      <c r="J41" s="176" t="n"/>
      <c r="K41" s="176" t="n"/>
      <c r="L41" s="176" t="n"/>
      <c r="M41" s="176" t="n"/>
      <c r="N41" s="176" t="n"/>
      <c r="O41" s="176" t="n"/>
      <c r="P41" s="176" t="n"/>
      <c r="Q41" s="176" t="n"/>
      <c r="R41" s="176" t="n"/>
      <c r="S41" s="176" t="n"/>
      <c r="T41" s="179" t="inlineStr">
        <is>
          <t>CARTÃO 3 · CUSTOM</t>
        </is>
      </c>
      <c r="Z41" s="176" t="n"/>
      <c r="AA41" s="176" t="n"/>
      <c r="AB41" s="179" t="inlineStr">
        <is>
          <t>CARTÃO 4 · CUSTOM</t>
        </is>
      </c>
      <c r="AH41" s="176" t="n"/>
      <c r="AI41" s="176" t="n"/>
      <c r="AJ41" s="176" t="n"/>
      <c r="AK41" s="192" t="n"/>
      <c r="AL41" s="187" t="n"/>
      <c r="AM41" s="187" t="n"/>
      <c r="AN41" s="187" t="n"/>
      <c r="AO41" s="187" t="n"/>
      <c r="AP41" s="188" t="n"/>
      <c r="AQ41" s="176" t="n"/>
      <c r="AR41" s="176" t="n"/>
      <c r="AS41" s="192" t="n"/>
      <c r="AT41" s="187" t="n"/>
      <c r="AU41" s="187" t="n"/>
      <c r="AV41" s="187" t="n"/>
      <c r="AW41" s="187" t="n"/>
      <c r="AX41" s="188" t="n"/>
      <c r="AY41" s="176" t="n"/>
      <c r="AZ41" s="176" t="n"/>
      <c r="BA41" s="176" t="n"/>
      <c r="BB41" s="185" t="n"/>
      <c r="BC41" s="182" t="n"/>
      <c r="BD41" s="182" t="n"/>
      <c r="BE41" s="182" t="n"/>
      <c r="BF41" s="182" t="n"/>
      <c r="BG41" s="183" t="n"/>
      <c r="BH41" s="176" t="n"/>
      <c r="BI41" s="176" t="n"/>
      <c r="BJ41" s="185" t="n"/>
      <c r="BK41" s="182" t="n"/>
      <c r="BL41" s="182" t="n"/>
      <c r="BM41" s="182" t="n"/>
      <c r="BN41" s="182" t="n"/>
      <c r="BO41" s="183" t="n"/>
      <c r="BP41" s="176" t="n"/>
      <c r="BQ41" s="176" t="n"/>
      <c r="BR41" s="176" t="n"/>
      <c r="BS41" s="185" t="n"/>
      <c r="BT41" s="182" t="n"/>
      <c r="BU41" s="182" t="n"/>
      <c r="BV41" s="182" t="n"/>
      <c r="BW41" s="182" t="n"/>
      <c r="BX41" s="183" t="n"/>
      <c r="BY41" s="176" t="n"/>
      <c r="BZ41" s="176" t="n"/>
      <c r="CA41" s="185" t="n"/>
      <c r="CB41" s="182" t="n"/>
      <c r="CC41" s="182" t="n"/>
      <c r="CD41" s="182" t="n"/>
      <c r="CE41" s="182" t="n"/>
      <c r="CF41" s="183" t="n"/>
      <c r="CG41" s="176" t="n"/>
      <c r="CH41" s="176" t="n"/>
      <c r="CI41" s="176" t="n"/>
      <c r="CJ41" s="185" t="inlineStr">
        <is>
          <t>Família</t>
        </is>
      </c>
      <c r="CK41" s="182" t="n"/>
      <c r="CL41" s="182" t="n"/>
      <c r="CM41" s="183" t="n"/>
      <c r="CN41" s="184" t="b">
        <v>0</v>
      </c>
      <c r="CO41" s="183" t="n"/>
      <c r="CP41" s="176" t="n"/>
      <c r="CQ41" s="176" t="n"/>
      <c r="CR41" s="185" t="inlineStr">
        <is>
          <t>Família</t>
        </is>
      </c>
      <c r="CS41" s="182" t="n"/>
      <c r="CT41" s="182" t="n"/>
      <c r="CU41" s="183" t="n"/>
      <c r="CV41" s="184" t="b">
        <v>0</v>
      </c>
      <c r="CW41" s="183" t="n"/>
      <c r="CX41" s="176" t="n"/>
      <c r="CY41" s="176" t="n"/>
      <c r="CZ41" s="176" t="n"/>
      <c r="DA41" s="185" t="n"/>
      <c r="DB41" s="182" t="n"/>
      <c r="DC41" s="182" t="n"/>
      <c r="DD41" s="182" t="n"/>
      <c r="DE41" s="182" t="n"/>
      <c r="DF41" s="183" t="n"/>
      <c r="DG41" s="176" t="n"/>
      <c r="DH41" s="176" t="n"/>
      <c r="DI41" s="185" t="n"/>
      <c r="DJ41" s="182" t="n"/>
      <c r="DK41" s="182" t="n"/>
      <c r="DL41" s="182" t="n"/>
      <c r="DM41" s="182" t="n"/>
      <c r="DN41" s="183" t="n"/>
      <c r="DO41" s="176" t="n"/>
      <c r="DP41" s="176" t="n"/>
      <c r="DQ41" s="176" t="n"/>
      <c r="DR41" s="176" t="n"/>
      <c r="DS41" s="176" t="n"/>
      <c r="DT41" s="176" t="n"/>
      <c r="DU41" s="176" t="n"/>
      <c r="DV41" s="176" t="n"/>
      <c r="DW41" s="176" t="n"/>
      <c r="DX41" s="176" t="n"/>
      <c r="DY41" s="176" t="n"/>
      <c r="DZ41" s="176" t="n"/>
      <c r="EA41" s="176" t="n"/>
      <c r="EB41" s="176" t="n"/>
      <c r="EC41" s="176" t="n"/>
      <c r="ED41" s="176" t="n"/>
      <c r="EE41" s="176" t="n"/>
      <c r="EF41" s="176" t="n"/>
      <c r="EG41" s="176" t="n"/>
      <c r="EH41" s="176" t="n"/>
      <c r="EI41" s="185" t="n"/>
      <c r="EJ41" s="182" t="n"/>
      <c r="EK41" s="182" t="n"/>
      <c r="EL41" s="183" t="n"/>
      <c r="EM41" s="184" t="b">
        <v>0</v>
      </c>
      <c r="EN41" s="183" t="n"/>
      <c r="EO41" s="176" t="n"/>
      <c r="EP41" s="176" t="n"/>
      <c r="EQ41" s="185" t="n"/>
      <c r="ER41" s="182" t="n"/>
      <c r="ES41" s="182" t="n"/>
      <c r="ET41" s="183" t="n"/>
      <c r="EU41" s="184" t="b">
        <v>0</v>
      </c>
      <c r="EV41" s="183" t="n"/>
      <c r="EW41" s="176" t="n"/>
      <c r="EX41" s="176" t="n"/>
      <c r="EY41" s="176" t="n"/>
      <c r="EZ41" s="176" t="n"/>
      <c r="FA41" s="176" t="n"/>
      <c r="FB41" s="176" t="n"/>
      <c r="FC41" s="176" t="n"/>
      <c r="FD41" s="176" t="n"/>
      <c r="FE41" s="176" t="n"/>
      <c r="FF41" s="176" t="n"/>
      <c r="FG41" s="176" t="n"/>
      <c r="FH41" s="176" t="n"/>
      <c r="FI41" s="176" t="n"/>
      <c r="FJ41" s="176" t="n"/>
      <c r="FK41" s="176" t="n"/>
      <c r="FL41" s="176" t="n"/>
      <c r="FM41" s="176" t="n"/>
      <c r="FN41" s="176" t="n"/>
      <c r="FO41" s="176" t="n"/>
      <c r="FP41" s="176" t="n"/>
      <c r="FQ41" s="185" t="n"/>
      <c r="FR41" s="182" t="n"/>
      <c r="FS41" s="182" t="n"/>
      <c r="FT41" s="183" t="n"/>
      <c r="FU41" s="184" t="b">
        <v>0</v>
      </c>
      <c r="FV41" s="183" t="n"/>
      <c r="FW41" s="176" t="n"/>
      <c r="FX41" s="176" t="n"/>
      <c r="FY41" s="185" t="n"/>
      <c r="FZ41" s="182" t="n"/>
      <c r="GA41" s="182" t="n"/>
      <c r="GB41" s="183" t="n"/>
      <c r="GC41" s="184" t="b">
        <v>0</v>
      </c>
      <c r="GD41" s="183" t="n"/>
      <c r="GE41" s="176" t="n"/>
      <c r="GF41" s="176" t="n"/>
      <c r="GG41" s="176" t="n"/>
      <c r="GH41" s="185" t="n"/>
      <c r="GI41" s="182" t="n"/>
      <c r="GJ41" s="182" t="n"/>
      <c r="GK41" s="182" t="n"/>
      <c r="GL41" s="182" t="n"/>
      <c r="GM41" s="183" t="n"/>
      <c r="GN41" s="176" t="n"/>
      <c r="GO41" s="176" t="n"/>
      <c r="GP41" s="185" t="n"/>
      <c r="GQ41" s="182" t="n"/>
      <c r="GR41" s="182" t="n"/>
      <c r="GS41" s="182" t="n"/>
      <c r="GT41" s="182" t="n"/>
      <c r="GU41" s="183" t="n"/>
      <c r="GV41" s="176" t="n"/>
      <c r="GW41" s="176" t="n"/>
      <c r="GX41" s="176" t="n"/>
      <c r="GY41" s="185" t="n"/>
      <c r="GZ41" s="182" t="n"/>
      <c r="HA41" s="182" t="n"/>
      <c r="HB41" s="183" t="n"/>
      <c r="HC41" s="184" t="b">
        <v>0</v>
      </c>
      <c r="HD41" s="183" t="n"/>
      <c r="HE41" s="176" t="n"/>
      <c r="HF41" s="176" t="n"/>
      <c r="HG41" s="185" t="n"/>
      <c r="HH41" s="182" t="n"/>
      <c r="HI41" s="182" t="n"/>
      <c r="HJ41" s="183" t="n"/>
      <c r="HK41" s="184" t="b">
        <v>0</v>
      </c>
      <c r="HL41" s="183" t="n"/>
      <c r="HM41" s="176" t="n"/>
      <c r="HN41" s="176" t="n"/>
      <c r="HO41" s="176" t="n"/>
      <c r="HP41" s="185" t="n"/>
      <c r="HQ41" s="182" t="n"/>
      <c r="HR41" s="182" t="n"/>
      <c r="HS41" s="183" t="n"/>
      <c r="HT41" s="184" t="b">
        <v>0</v>
      </c>
      <c r="HU41" s="183" t="n"/>
      <c r="HV41" s="176" t="n"/>
      <c r="HW41" s="176" t="n"/>
      <c r="HX41" s="185" t="n"/>
      <c r="HY41" s="182" t="n"/>
      <c r="HZ41" s="182" t="n"/>
      <c r="IA41" s="183" t="n"/>
      <c r="IB41" s="184" t="b">
        <v>0</v>
      </c>
      <c r="IC41" s="183" t="n"/>
      <c r="ID41" s="176" t="n"/>
    </row>
    <row r="42" ht="31.5" customHeight="1">
      <c r="A42" s="176" t="n"/>
      <c r="B42" s="176" t="n"/>
      <c r="C42" s="176" t="n"/>
      <c r="D42" s="176" t="n"/>
      <c r="E42" s="176" t="n"/>
      <c r="F42" s="176" t="n"/>
      <c r="G42" s="176" t="n"/>
      <c r="H42" s="176" t="n"/>
      <c r="I42" s="176" t="n"/>
      <c r="J42" s="176" t="n"/>
      <c r="K42" s="176" t="n"/>
      <c r="L42" s="176" t="n"/>
      <c r="M42" s="176" t="n"/>
      <c r="N42" s="176" t="n"/>
      <c r="O42" s="176" t="n"/>
      <c r="P42" s="176" t="n"/>
      <c r="Q42" s="176" t="n"/>
      <c r="R42" s="176" t="n"/>
      <c r="S42" s="176" t="n"/>
      <c r="T42" s="181" t="inlineStr">
        <is>
          <t>TIPO</t>
        </is>
      </c>
      <c r="U42" s="182" t="n"/>
      <c r="V42" s="182" t="n"/>
      <c r="W42" s="183" t="n"/>
      <c r="X42" s="181" t="inlineStr">
        <is>
          <t>MESTRE VIU</t>
        </is>
      </c>
      <c r="Y42" s="183" t="n"/>
      <c r="Z42" s="176" t="n"/>
      <c r="AA42" s="176" t="n"/>
      <c r="AB42" s="181" t="inlineStr">
        <is>
          <t>TIPO</t>
        </is>
      </c>
      <c r="AC42" s="182" t="n"/>
      <c r="AD42" s="182" t="n"/>
      <c r="AE42" s="183" t="n"/>
      <c r="AF42" s="181" t="inlineStr">
        <is>
          <t>MESTRE VIU</t>
        </is>
      </c>
      <c r="AG42" s="183" t="n"/>
      <c r="AH42" s="176" t="n"/>
      <c r="AI42" s="176" t="n"/>
      <c r="AJ42" s="176" t="n"/>
      <c r="AK42" s="193" t="n"/>
      <c r="AP42" s="194" t="n"/>
      <c r="AQ42" s="176" t="n"/>
      <c r="AR42" s="176" t="n"/>
      <c r="AS42" s="193" t="n"/>
      <c r="AX42" s="194" t="n"/>
      <c r="AY42" s="176" t="n"/>
      <c r="AZ42" s="176" t="n"/>
      <c r="BA42" s="176" t="n"/>
      <c r="BB42" s="181">
        <f>IF(BB39="Ofício","ATRIBUTO PADRÃO","ATRIBUTO FIXO")</f>
        <v/>
      </c>
      <c r="BC42" s="182" t="n"/>
      <c r="BD42" s="183" t="n"/>
      <c r="BE42" s="185" t="n"/>
      <c r="BF42" s="182" t="n"/>
      <c r="BG42" s="183" t="n"/>
      <c r="BH42" s="176" t="n"/>
      <c r="BI42" s="176" t="n"/>
      <c r="BJ42" s="181">
        <f>IF(BJ39="Ofício","ATRIBUTO PADRÃO","ATRIBUTO FIXO")</f>
        <v/>
      </c>
      <c r="BK42" s="182" t="n"/>
      <c r="BL42" s="183" t="n"/>
      <c r="BM42" s="185" t="n"/>
      <c r="BN42" s="182" t="n"/>
      <c r="BO42" s="183" t="n"/>
      <c r="BP42" s="176" t="n"/>
      <c r="BQ42" s="176" t="n"/>
      <c r="BR42" s="176" t="n"/>
      <c r="BS42" s="181">
        <f>IF(BS39="Ofício","ATRIBUTO PADRÃO","ATRIBUTO FIXO")</f>
        <v/>
      </c>
      <c r="BT42" s="182" t="n"/>
      <c r="BU42" s="183" t="n"/>
      <c r="BV42" s="185" t="n"/>
      <c r="BW42" s="182" t="n"/>
      <c r="BX42" s="183" t="n"/>
      <c r="BY42" s="176" t="n"/>
      <c r="BZ42" s="176" t="n"/>
      <c r="CA42" s="181">
        <f>IF(CA39="Ofício","ATRIBUTO PADRÃO","ATRIBUTO FIXO")</f>
        <v/>
      </c>
      <c r="CB42" s="182" t="n"/>
      <c r="CC42" s="183" t="n"/>
      <c r="CD42" s="185" t="n"/>
      <c r="CE42" s="182" t="n"/>
      <c r="CF42" s="183" t="n"/>
      <c r="CG42" s="176" t="n"/>
      <c r="CH42" s="176" t="n"/>
      <c r="CI42" s="176" t="n"/>
      <c r="CJ42" s="181" t="inlineStr">
        <is>
          <t>NOME</t>
        </is>
      </c>
      <c r="CK42" s="182" t="n"/>
      <c r="CL42" s="182" t="n"/>
      <c r="CM42" s="182" t="n"/>
      <c r="CN42" s="182" t="n"/>
      <c r="CO42" s="183" t="n"/>
      <c r="CP42" s="176" t="n"/>
      <c r="CQ42" s="176" t="n"/>
      <c r="CR42" s="181" t="inlineStr">
        <is>
          <t>NOME</t>
        </is>
      </c>
      <c r="CS42" s="182" t="n"/>
      <c r="CT42" s="182" t="n"/>
      <c r="CU42" s="182" t="n"/>
      <c r="CV42" s="182" t="n"/>
      <c r="CW42" s="183" t="n"/>
      <c r="CX42" s="176" t="n"/>
      <c r="CY42" s="176" t="n"/>
      <c r="CZ42" s="176" t="n"/>
      <c r="DA42" s="181" t="inlineStr">
        <is>
          <t>BASE DO LIVRO</t>
        </is>
      </c>
      <c r="DB42" s="182" t="n"/>
      <c r="DC42" s="183" t="n"/>
      <c r="DD42" s="185" t="inlineStr">
        <is>
          <t>Nenhuma</t>
        </is>
      </c>
      <c r="DE42" s="182" t="n"/>
      <c r="DF42" s="183" t="n"/>
      <c r="DG42" s="176" t="n"/>
      <c r="DH42" s="176" t="n"/>
      <c r="DI42" s="181" t="inlineStr">
        <is>
          <t>BASE DO LIVRO</t>
        </is>
      </c>
      <c r="DJ42" s="182" t="n"/>
      <c r="DK42" s="183" t="n"/>
      <c r="DL42" s="185" t="inlineStr">
        <is>
          <t>Nenhuma</t>
        </is>
      </c>
      <c r="DM42" s="182" t="n"/>
      <c r="DN42" s="183" t="n"/>
      <c r="DO42" s="176" t="n"/>
      <c r="DP42" s="176" t="n"/>
      <c r="DQ42" s="176" t="n"/>
      <c r="DR42" s="181" t="inlineStr">
        <is>
          <t>EFEITO E REQUISITOS</t>
        </is>
      </c>
      <c r="DS42" s="182" t="n"/>
      <c r="DT42" s="182" t="n"/>
      <c r="DU42" s="182" t="n"/>
      <c r="DV42" s="182" t="n"/>
      <c r="DW42" s="183" t="n"/>
      <c r="DX42" s="176" t="n"/>
      <c r="DY42" s="176" t="n"/>
      <c r="DZ42" s="181" t="inlineStr">
        <is>
          <t>EFEITO E REQUISITOS</t>
        </is>
      </c>
      <c r="EA42" s="182" t="n"/>
      <c r="EB42" s="182" t="n"/>
      <c r="EC42" s="182" t="n"/>
      <c r="ED42" s="182" t="n"/>
      <c r="EE42" s="183" t="n"/>
      <c r="EF42" s="176" t="n"/>
      <c r="EG42" s="176" t="n"/>
      <c r="EH42" s="176" t="n"/>
      <c r="EI42" s="176" t="n"/>
      <c r="EJ42" s="176" t="n"/>
      <c r="EK42" s="176" t="n"/>
      <c r="EL42" s="176" t="n"/>
      <c r="EM42" s="176" t="n"/>
      <c r="EN42" s="176" t="n"/>
      <c r="EO42" s="176" t="n"/>
      <c r="EP42" s="176" t="n"/>
      <c r="EQ42" s="176" t="n"/>
      <c r="ER42" s="176" t="n"/>
      <c r="ES42" s="176" t="n"/>
      <c r="ET42" s="176" t="n"/>
      <c r="EU42" s="176" t="n"/>
      <c r="EV42" s="176" t="n"/>
      <c r="EW42" s="176" t="n"/>
      <c r="EX42" s="176" t="n"/>
      <c r="EY42" s="176" t="n"/>
      <c r="EZ42" s="181" t="inlineStr">
        <is>
          <t>REQUISITOS</t>
        </is>
      </c>
      <c r="FA42" s="182" t="n"/>
      <c r="FB42" s="182" t="n"/>
      <c r="FC42" s="182" t="n"/>
      <c r="FD42" s="182" t="n"/>
      <c r="FE42" s="183" t="n"/>
      <c r="FF42" s="176" t="n"/>
      <c r="FG42" s="176" t="n"/>
      <c r="FH42" s="181" t="inlineStr">
        <is>
          <t>REQUISITOS</t>
        </is>
      </c>
      <c r="FI42" s="182" t="n"/>
      <c r="FJ42" s="182" t="n"/>
      <c r="FK42" s="182" t="n"/>
      <c r="FL42" s="182" t="n"/>
      <c r="FM42" s="183" t="n"/>
      <c r="FN42" s="176" t="n"/>
      <c r="FO42" s="176" t="n"/>
      <c r="FP42" s="176" t="n"/>
      <c r="FQ42" s="181" t="inlineStr">
        <is>
          <t>NOME</t>
        </is>
      </c>
      <c r="FR42" s="182" t="n"/>
      <c r="FS42" s="182" t="n"/>
      <c r="FT42" s="182" t="n"/>
      <c r="FU42" s="182" t="n"/>
      <c r="FV42" s="183" t="n"/>
      <c r="FW42" s="176" t="n"/>
      <c r="FX42" s="176" t="n"/>
      <c r="FY42" s="181" t="inlineStr">
        <is>
          <t>NOME</t>
        </is>
      </c>
      <c r="FZ42" s="182" t="n"/>
      <c r="GA42" s="182" t="n"/>
      <c r="GB42" s="182" t="n"/>
      <c r="GC42" s="182" t="n"/>
      <c r="GD42" s="183" t="n"/>
      <c r="GE42" s="176" t="n"/>
      <c r="GF42" s="176" t="n"/>
      <c r="GG42" s="176" t="n"/>
      <c r="GH42" s="181" t="inlineStr">
        <is>
          <t>BASE DO LIVRO</t>
        </is>
      </c>
      <c r="GI42" s="182" t="n"/>
      <c r="GJ42" s="183" t="n"/>
      <c r="GK42" s="185" t="n"/>
      <c r="GL42" s="182" t="n"/>
      <c r="GM42" s="183" t="n"/>
      <c r="GN42" s="176" t="n"/>
      <c r="GO42" s="176" t="n"/>
      <c r="GP42" s="181" t="inlineStr">
        <is>
          <t>BASE DO LIVRO</t>
        </is>
      </c>
      <c r="GQ42" s="182" t="n"/>
      <c r="GR42" s="183" t="n"/>
      <c r="GS42" s="185" t="n"/>
      <c r="GT42" s="182" t="n"/>
      <c r="GU42" s="183" t="n"/>
      <c r="GV42" s="176" t="n"/>
      <c r="GW42" s="176" t="n"/>
      <c r="GX42" s="176" t="n"/>
      <c r="GY42" s="176" t="n"/>
      <c r="GZ42" s="176" t="n"/>
      <c r="HA42" s="176" t="n"/>
      <c r="HB42" s="176" t="n"/>
      <c r="HC42" s="176" t="n"/>
      <c r="HD42" s="176" t="n"/>
      <c r="HE42" s="176" t="n"/>
      <c r="HF42" s="176" t="n"/>
      <c r="HG42" s="176" t="n"/>
      <c r="HH42" s="176" t="n"/>
      <c r="HI42" s="176" t="n"/>
      <c r="HJ42" s="176" t="n"/>
      <c r="HK42" s="176" t="n"/>
      <c r="HL42" s="176" t="n"/>
      <c r="HM42" s="176" t="n"/>
      <c r="HN42" s="176" t="n"/>
      <c r="HO42" s="176" t="n"/>
      <c r="HP42" s="176" t="n"/>
      <c r="HQ42" s="176" t="n"/>
      <c r="HR42" s="176" t="n"/>
      <c r="HS42" s="176" t="n"/>
      <c r="HT42" s="176" t="n"/>
      <c r="HU42" s="176" t="n"/>
      <c r="HV42" s="176" t="n"/>
      <c r="HW42" s="176" t="n"/>
      <c r="HX42" s="176" t="n"/>
      <c r="HY42" s="176" t="n"/>
      <c r="HZ42" s="176" t="n"/>
      <c r="IA42" s="176" t="n"/>
      <c r="IB42" s="176" t="n"/>
      <c r="IC42" s="176" t="n"/>
      <c r="ID42" s="176" t="n"/>
    </row>
    <row r="43" ht="31.5" customHeight="1">
      <c r="A43" s="176" t="n"/>
      <c r="B43" s="176" t="n"/>
      <c r="C43" s="179" t="inlineStr">
        <is>
          <t>REGRAS DE CAMPANHA</t>
        </is>
      </c>
      <c r="I43" s="176" t="n"/>
      <c r="J43" s="176" t="n"/>
      <c r="K43" s="176" t="n"/>
      <c r="L43" s="176" t="n"/>
      <c r="M43" s="176" t="n"/>
      <c r="N43" s="176" t="n"/>
      <c r="O43" s="176" t="n"/>
      <c r="P43" s="176" t="n"/>
      <c r="Q43" s="176" t="n"/>
      <c r="R43" s="176" t="n"/>
      <c r="S43" s="176" t="n"/>
      <c r="T43" s="185" t="n"/>
      <c r="U43" s="182" t="n"/>
      <c r="V43" s="182" t="n"/>
      <c r="W43" s="183" t="n"/>
      <c r="X43" s="184" t="b">
        <v>0</v>
      </c>
      <c r="Y43" s="183" t="n"/>
      <c r="Z43" s="176" t="n"/>
      <c r="AA43" s="176" t="n"/>
      <c r="AB43" s="185" t="n"/>
      <c r="AC43" s="182" t="n"/>
      <c r="AD43" s="182" t="n"/>
      <c r="AE43" s="183" t="n"/>
      <c r="AF43" s="184" t="b">
        <v>0</v>
      </c>
      <c r="AG43" s="183" t="n"/>
      <c r="AH43" s="176" t="n"/>
      <c r="AI43" s="176" t="n"/>
      <c r="AJ43" s="176" t="n"/>
      <c r="AK43" s="189" t="n"/>
      <c r="AL43" s="190" t="n"/>
      <c r="AM43" s="190" t="n"/>
      <c r="AN43" s="190" t="n"/>
      <c r="AO43" s="190" t="n"/>
      <c r="AP43" s="191" t="n"/>
      <c r="AQ43" s="176" t="n"/>
      <c r="AR43" s="176" t="n"/>
      <c r="AS43" s="189" t="n"/>
      <c r="AT43" s="190" t="n"/>
      <c r="AU43" s="190" t="n"/>
      <c r="AV43" s="190" t="n"/>
      <c r="AW43" s="190" t="n"/>
      <c r="AX43" s="191" t="n"/>
      <c r="AY43" s="176" t="n"/>
      <c r="AZ43" s="176" t="n"/>
      <c r="BA43" s="176" t="n"/>
      <c r="BB43" s="181" t="inlineStr">
        <is>
          <t>DESCRIÇÃO</t>
        </is>
      </c>
      <c r="BC43" s="182" t="n"/>
      <c r="BD43" s="182" t="n"/>
      <c r="BE43" s="182" t="n"/>
      <c r="BF43" s="182" t="n"/>
      <c r="BG43" s="183" t="n"/>
      <c r="BH43" s="176" t="n"/>
      <c r="BI43" s="176" t="n"/>
      <c r="BJ43" s="181" t="inlineStr">
        <is>
          <t>DESCRIÇÃO</t>
        </is>
      </c>
      <c r="BK43" s="182" t="n"/>
      <c r="BL43" s="182" t="n"/>
      <c r="BM43" s="182" t="n"/>
      <c r="BN43" s="182" t="n"/>
      <c r="BO43" s="183" t="n"/>
      <c r="BP43" s="176" t="n"/>
      <c r="BQ43" s="176" t="n"/>
      <c r="BR43" s="176" t="n"/>
      <c r="BS43" s="181" t="inlineStr">
        <is>
          <t>DESCRIÇÃO</t>
        </is>
      </c>
      <c r="BT43" s="182" t="n"/>
      <c r="BU43" s="182" t="n"/>
      <c r="BV43" s="182" t="n"/>
      <c r="BW43" s="182" t="n"/>
      <c r="BX43" s="183" t="n"/>
      <c r="BY43" s="176" t="n"/>
      <c r="BZ43" s="176" t="n"/>
      <c r="CA43" s="181" t="inlineStr">
        <is>
          <t>DESCRIÇÃO</t>
        </is>
      </c>
      <c r="CB43" s="182" t="n"/>
      <c r="CC43" s="182" t="n"/>
      <c r="CD43" s="182" t="n"/>
      <c r="CE43" s="182" t="n"/>
      <c r="CF43" s="183" t="n"/>
      <c r="CG43" s="176" t="n"/>
      <c r="CH43" s="176" t="n"/>
      <c r="CI43" s="176" t="n"/>
      <c r="CJ43" s="185" t="n"/>
      <c r="CK43" s="182" t="n"/>
      <c r="CL43" s="182" t="n"/>
      <c r="CM43" s="182" t="n"/>
      <c r="CN43" s="182" t="n"/>
      <c r="CO43" s="183" t="n"/>
      <c r="CP43" s="176" t="n"/>
      <c r="CQ43" s="176" t="n"/>
      <c r="CR43" s="185" t="n"/>
      <c r="CS43" s="182" t="n"/>
      <c r="CT43" s="182" t="n"/>
      <c r="CU43" s="182" t="n"/>
      <c r="CV43" s="182" t="n"/>
      <c r="CW43" s="183" t="n"/>
      <c r="CX43" s="176" t="n"/>
      <c r="CY43" s="176" t="n"/>
      <c r="CZ43" s="176" t="n"/>
      <c r="DA43" s="181" t="inlineStr">
        <is>
          <t>FAMÍLIA</t>
        </is>
      </c>
      <c r="DB43" s="182" t="n"/>
      <c r="DC43" s="183" t="n"/>
      <c r="DD43" s="185" t="n"/>
      <c r="DE43" s="182" t="n"/>
      <c r="DF43" s="183" t="n"/>
      <c r="DG43" s="176" t="n"/>
      <c r="DH43" s="176" t="n"/>
      <c r="DI43" s="181" t="inlineStr">
        <is>
          <t>FAMÍLIA</t>
        </is>
      </c>
      <c r="DJ43" s="182" t="n"/>
      <c r="DK43" s="183" t="n"/>
      <c r="DL43" s="185" t="n"/>
      <c r="DM43" s="182" t="n"/>
      <c r="DN43" s="183" t="n"/>
      <c r="DO43" s="176" t="n"/>
      <c r="DP43" s="176" t="n"/>
      <c r="DQ43" s="176" t="n"/>
      <c r="DR43" s="192" t="n"/>
      <c r="DS43" s="187" t="n"/>
      <c r="DT43" s="187" t="n"/>
      <c r="DU43" s="187" t="n"/>
      <c r="DV43" s="187" t="n"/>
      <c r="DW43" s="188" t="n"/>
      <c r="DX43" s="176" t="n"/>
      <c r="DY43" s="176" t="n"/>
      <c r="DZ43" s="192" t="n"/>
      <c r="EA43" s="187" t="n"/>
      <c r="EB43" s="187" t="n"/>
      <c r="EC43" s="187" t="n"/>
      <c r="ED43" s="187" t="n"/>
      <c r="EE43" s="188" t="n"/>
      <c r="EF43" s="176" t="n"/>
      <c r="EG43" s="176" t="n"/>
      <c r="EH43" s="176" t="n"/>
      <c r="EI43" s="176" t="n"/>
      <c r="EJ43" s="176" t="n"/>
      <c r="EK43" s="176" t="n"/>
      <c r="EL43" s="176" t="n"/>
      <c r="EM43" s="176" t="n"/>
      <c r="EN43" s="176" t="n"/>
      <c r="EO43" s="176" t="n"/>
      <c r="EP43" s="176" t="n"/>
      <c r="EQ43" s="176" t="n"/>
      <c r="ER43" s="176" t="n"/>
      <c r="ES43" s="176" t="n"/>
      <c r="ET43" s="176" t="n"/>
      <c r="EU43" s="176" t="n"/>
      <c r="EV43" s="176" t="n"/>
      <c r="EW43" s="176" t="n"/>
      <c r="EX43" s="176" t="n"/>
      <c r="EY43" s="176" t="n"/>
      <c r="EZ43" s="192" t="n"/>
      <c r="FA43" s="187" t="n"/>
      <c r="FB43" s="187" t="n"/>
      <c r="FC43" s="187" t="n"/>
      <c r="FD43" s="187" t="n"/>
      <c r="FE43" s="188" t="n"/>
      <c r="FF43" s="176" t="n"/>
      <c r="FG43" s="176" t="n"/>
      <c r="FH43" s="192" t="n"/>
      <c r="FI43" s="187" t="n"/>
      <c r="FJ43" s="187" t="n"/>
      <c r="FK43" s="187" t="n"/>
      <c r="FL43" s="187" t="n"/>
      <c r="FM43" s="188" t="n"/>
      <c r="FN43" s="176" t="n"/>
      <c r="FO43" s="176" t="n"/>
      <c r="FP43" s="176" t="n"/>
      <c r="FQ43" s="185" t="n"/>
      <c r="FR43" s="182" t="n"/>
      <c r="FS43" s="182" t="n"/>
      <c r="FT43" s="182" t="n"/>
      <c r="FU43" s="182" t="n"/>
      <c r="FV43" s="183" t="n"/>
      <c r="FW43" s="176" t="n"/>
      <c r="FX43" s="176" t="n"/>
      <c r="FY43" s="185" t="n"/>
      <c r="FZ43" s="182" t="n"/>
      <c r="GA43" s="182" t="n"/>
      <c r="GB43" s="182" t="n"/>
      <c r="GC43" s="182" t="n"/>
      <c r="GD43" s="183" t="n"/>
      <c r="GE43" s="176" t="n"/>
      <c r="GF43" s="176" t="n"/>
      <c r="GG43" s="176" t="n"/>
      <c r="GH43" s="181" t="inlineStr">
        <is>
          <t>CATEGORIA DE EFEITO</t>
        </is>
      </c>
      <c r="GI43" s="182" t="n"/>
      <c r="GJ43" s="183" t="n"/>
      <c r="GK43" s="185" t="n"/>
      <c r="GL43" s="182" t="n"/>
      <c r="GM43" s="183" t="n"/>
      <c r="GN43" s="176" t="n"/>
      <c r="GO43" s="176" t="n"/>
      <c r="GP43" s="181" t="inlineStr">
        <is>
          <t>CATEGORIA DE EFEITO</t>
        </is>
      </c>
      <c r="GQ43" s="182" t="n"/>
      <c r="GR43" s="183" t="n"/>
      <c r="GS43" s="185" t="n"/>
      <c r="GT43" s="182" t="n"/>
      <c r="GU43" s="183" t="n"/>
      <c r="GV43" s="176" t="n"/>
      <c r="GW43" s="176" t="n"/>
      <c r="GX43" s="176" t="n"/>
      <c r="GY43" s="181" t="inlineStr">
        <is>
          <t>BASE DO LIVRO</t>
        </is>
      </c>
      <c r="GZ43" s="182" t="n"/>
      <c r="HA43" s="183" t="n"/>
      <c r="HB43" s="185" t="inlineStr">
        <is>
          <t>Nenhuma</t>
        </is>
      </c>
      <c r="HC43" s="182" t="n"/>
      <c r="HD43" s="183" t="n"/>
      <c r="HE43" s="176" t="n"/>
      <c r="HF43" s="176" t="n"/>
      <c r="HG43" s="181" t="inlineStr">
        <is>
          <t>BASE DO LIVRO</t>
        </is>
      </c>
      <c r="HH43" s="182" t="n"/>
      <c r="HI43" s="183" t="n"/>
      <c r="HJ43" s="185" t="inlineStr">
        <is>
          <t>Nenhuma</t>
        </is>
      </c>
      <c r="HK43" s="182" t="n"/>
      <c r="HL43" s="183" t="n"/>
      <c r="HM43" s="176" t="n"/>
      <c r="HN43" s="176" t="n"/>
      <c r="HO43" s="176" t="n"/>
      <c r="HP43" s="181" t="inlineStr">
        <is>
          <t>BASE DO LIVRO</t>
        </is>
      </c>
      <c r="HQ43" s="182" t="n"/>
      <c r="HR43" s="183" t="n"/>
      <c r="HS43" s="185" t="inlineStr">
        <is>
          <t>Nenhuma</t>
        </is>
      </c>
      <c r="HT43" s="182" t="n"/>
      <c r="HU43" s="183" t="n"/>
      <c r="HV43" s="176" t="n"/>
      <c r="HW43" s="176" t="n"/>
      <c r="HX43" s="181" t="inlineStr">
        <is>
          <t>BASE DO LIVRO</t>
        </is>
      </c>
      <c r="HY43" s="182" t="n"/>
      <c r="HZ43" s="183" t="n"/>
      <c r="IA43" s="185" t="inlineStr">
        <is>
          <t>Nenhuma</t>
        </is>
      </c>
      <c r="IB43" s="182" t="n"/>
      <c r="IC43" s="183" t="n"/>
      <c r="ID43" s="176" t="n"/>
    </row>
    <row r="44" ht="31.5" customHeight="1">
      <c r="A44" s="176" t="n"/>
      <c r="B44" s="176" t="n"/>
      <c r="C44" s="180" t="inlineStr">
        <is>
          <t>CAMPANHA em branco usa o livro. Preencha só o que mudar e registre o motivo.</t>
        </is>
      </c>
      <c r="I44" s="176" t="n"/>
      <c r="J44" s="176" t="n"/>
      <c r="K44" s="176" t="n"/>
      <c r="L44" s="176" t="n"/>
      <c r="M44" s="176" t="n"/>
      <c r="N44" s="176" t="n"/>
      <c r="O44" s="176" t="n"/>
      <c r="P44" s="176" t="n"/>
      <c r="Q44" s="176" t="n"/>
      <c r="R44" s="176" t="n"/>
      <c r="S44" s="176" t="n"/>
      <c r="T44" s="181" t="inlineStr">
        <is>
          <t>NOME</t>
        </is>
      </c>
      <c r="U44" s="182" t="n"/>
      <c r="V44" s="182" t="n"/>
      <c r="W44" s="182" t="n"/>
      <c r="X44" s="182" t="n"/>
      <c r="Y44" s="183" t="n"/>
      <c r="Z44" s="176" t="n"/>
      <c r="AA44" s="176" t="n"/>
      <c r="AB44" s="181" t="inlineStr">
        <is>
          <t>NOME</t>
        </is>
      </c>
      <c r="AC44" s="182" t="n"/>
      <c r="AD44" s="182" t="n"/>
      <c r="AE44" s="182" t="n"/>
      <c r="AF44" s="182" t="n"/>
      <c r="AG44" s="183" t="n"/>
      <c r="AH44" s="176" t="n"/>
      <c r="AI44" s="176" t="n"/>
      <c r="AJ44" s="176" t="n"/>
      <c r="AK44" s="176" t="n"/>
      <c r="AL44" s="176" t="n"/>
      <c r="AM44" s="176" t="n"/>
      <c r="AN44" s="176" t="n"/>
      <c r="AO44" s="176" t="n"/>
      <c r="AP44" s="176" t="n"/>
      <c r="AQ44" s="176" t="n"/>
      <c r="AR44" s="176" t="n"/>
      <c r="AS44" s="176" t="n"/>
      <c r="AT44" s="176" t="n"/>
      <c r="AU44" s="176" t="n"/>
      <c r="AV44" s="176" t="n"/>
      <c r="AW44" s="176" t="n"/>
      <c r="AX44" s="176" t="n"/>
      <c r="AY44" s="176" t="n"/>
      <c r="AZ44" s="176" t="n"/>
      <c r="BA44" s="176" t="n"/>
      <c r="BB44" s="192" t="n"/>
      <c r="BC44" s="187" t="n"/>
      <c r="BD44" s="187" t="n"/>
      <c r="BE44" s="187" t="n"/>
      <c r="BF44" s="187" t="n"/>
      <c r="BG44" s="188" t="n"/>
      <c r="BH44" s="176" t="n"/>
      <c r="BI44" s="176" t="n"/>
      <c r="BJ44" s="192" t="n"/>
      <c r="BK44" s="187" t="n"/>
      <c r="BL44" s="187" t="n"/>
      <c r="BM44" s="187" t="n"/>
      <c r="BN44" s="187" t="n"/>
      <c r="BO44" s="188" t="n"/>
      <c r="BP44" s="176" t="n"/>
      <c r="BQ44" s="176" t="n"/>
      <c r="BR44" s="176" t="n"/>
      <c r="BS44" s="192" t="n"/>
      <c r="BT44" s="187" t="n"/>
      <c r="BU44" s="187" t="n"/>
      <c r="BV44" s="187" t="n"/>
      <c r="BW44" s="187" t="n"/>
      <c r="BX44" s="188" t="n"/>
      <c r="BY44" s="176" t="n"/>
      <c r="BZ44" s="176" t="n"/>
      <c r="CA44" s="192" t="n"/>
      <c r="CB44" s="187" t="n"/>
      <c r="CC44" s="187" t="n"/>
      <c r="CD44" s="187" t="n"/>
      <c r="CE44" s="187" t="n"/>
      <c r="CF44" s="188" t="n"/>
      <c r="CG44" s="176" t="n"/>
      <c r="CH44" s="176" t="n"/>
      <c r="CI44" s="176" t="n"/>
      <c r="CJ44" s="181" t="inlineStr">
        <is>
          <t>ESTADO NA FICHA</t>
        </is>
      </c>
      <c r="CK44" s="182" t="n"/>
      <c r="CL44" s="183" t="n"/>
      <c r="CM44" s="185">
        <f>IF('FICHA AMALDIÇOADA'!O45="","Neutra",'FICHA AMALDIÇOADA'!O45)</f>
        <v/>
      </c>
      <c r="CN44" s="182" t="n"/>
      <c r="CO44" s="183" t="n"/>
      <c r="CP44" s="176" t="n"/>
      <c r="CQ44" s="176" t="n"/>
      <c r="CR44" s="181" t="inlineStr">
        <is>
          <t>ESTADO NA FICHA</t>
        </is>
      </c>
      <c r="CS44" s="182" t="n"/>
      <c r="CT44" s="183" t="n"/>
      <c r="CU44" s="185">
        <f>IF('FICHA AMALDIÇOADA'!O46="","Neutra",'FICHA AMALDIÇOADA'!O46)</f>
        <v/>
      </c>
      <c r="CV44" s="182" t="n"/>
      <c r="CW44" s="183" t="n"/>
      <c r="CX44" s="176" t="n"/>
      <c r="CY44" s="176" t="n"/>
      <c r="CZ44" s="176" t="n"/>
      <c r="DA44" s="181" t="inlineStr">
        <is>
          <t>PESO</t>
        </is>
      </c>
      <c r="DB44" s="182" t="n"/>
      <c r="DC44" s="183" t="n"/>
      <c r="DD44" s="185" t="n"/>
      <c r="DE44" s="182" t="n"/>
      <c r="DF44" s="183" t="n"/>
      <c r="DG44" s="176" t="n"/>
      <c r="DH44" s="176" t="n"/>
      <c r="DI44" s="181" t="inlineStr">
        <is>
          <t>PESO</t>
        </is>
      </c>
      <c r="DJ44" s="182" t="n"/>
      <c r="DK44" s="183" t="n"/>
      <c r="DL44" s="185" t="n"/>
      <c r="DM44" s="182" t="n"/>
      <c r="DN44" s="183" t="n"/>
      <c r="DO44" s="176" t="n"/>
      <c r="DP44" s="176" t="n"/>
      <c r="DQ44" s="176" t="n"/>
      <c r="DR44" s="193" t="n"/>
      <c r="DW44" s="194" t="n"/>
      <c r="DX44" s="176" t="n"/>
      <c r="DY44" s="176" t="n"/>
      <c r="DZ44" s="193" t="n"/>
      <c r="EE44" s="194" t="n"/>
      <c r="EF44" s="176" t="n"/>
      <c r="EG44" s="176" t="n"/>
      <c r="EH44" s="176" t="n"/>
      <c r="EI44" s="181" t="inlineStr">
        <is>
          <t>DEFINIÇÃO</t>
        </is>
      </c>
      <c r="EJ44" s="182" t="n"/>
      <c r="EK44" s="182" t="n"/>
      <c r="EL44" s="182" t="n"/>
      <c r="EM44" s="182" t="n"/>
      <c r="EN44" s="183" t="n"/>
      <c r="EO44" s="176" t="n"/>
      <c r="EP44" s="176" t="n"/>
      <c r="EQ44" s="181" t="inlineStr">
        <is>
          <t>DEFINIÇÃO</t>
        </is>
      </c>
      <c r="ER44" s="182" t="n"/>
      <c r="ES44" s="182" t="n"/>
      <c r="ET44" s="182" t="n"/>
      <c r="EU44" s="182" t="n"/>
      <c r="EV44" s="183" t="n"/>
      <c r="EW44" s="176" t="n"/>
      <c r="EX44" s="176" t="n"/>
      <c r="EY44" s="176" t="n"/>
      <c r="EZ44" s="193" t="n"/>
      <c r="FE44" s="194" t="n"/>
      <c r="FF44" s="176" t="n"/>
      <c r="FG44" s="176" t="n"/>
      <c r="FH44" s="193" t="n"/>
      <c r="FM44" s="194" t="n"/>
      <c r="FN44" s="176" t="n"/>
      <c r="FO44" s="176" t="n"/>
      <c r="FP44" s="176" t="n"/>
      <c r="FQ44" s="181" t="inlineStr">
        <is>
          <t>BASE DO LIVRO</t>
        </is>
      </c>
      <c r="FR44" s="182" t="n"/>
      <c r="FS44" s="183" t="n"/>
      <c r="FT44" s="185" t="n"/>
      <c r="FU44" s="182" t="n"/>
      <c r="FV44" s="183" t="n"/>
      <c r="FW44" s="176" t="n"/>
      <c r="FX44" s="176" t="n"/>
      <c r="FY44" s="181" t="inlineStr">
        <is>
          <t>BASE DO LIVRO</t>
        </is>
      </c>
      <c r="FZ44" s="182" t="n"/>
      <c r="GA44" s="183" t="n"/>
      <c r="GB44" s="185" t="n"/>
      <c r="GC44" s="182" t="n"/>
      <c r="GD44" s="183" t="n"/>
      <c r="GE44" s="176" t="n"/>
      <c r="GF44" s="176" t="n"/>
      <c r="GG44" s="176" t="n"/>
      <c r="GH44" s="181" t="inlineStr">
        <is>
          <t>ROTA</t>
        </is>
      </c>
      <c r="GI44" s="182" t="n"/>
      <c r="GJ44" s="183" t="n"/>
      <c r="GK44" s="185" t="n"/>
      <c r="GL44" s="182" t="n"/>
      <c r="GM44" s="183" t="n"/>
      <c r="GN44" s="176" t="n"/>
      <c r="GO44" s="176" t="n"/>
      <c r="GP44" s="181" t="inlineStr">
        <is>
          <t>ROTA</t>
        </is>
      </c>
      <c r="GQ44" s="182" t="n"/>
      <c r="GR44" s="183" t="n"/>
      <c r="GS44" s="185" t="n"/>
      <c r="GT44" s="182" t="n"/>
      <c r="GU44" s="183" t="n"/>
      <c r="GV44" s="176" t="n"/>
      <c r="GW44" s="176" t="n"/>
      <c r="GX44" s="176" t="n"/>
      <c r="GY44" s="181" t="inlineStr">
        <is>
          <t>VIDA</t>
        </is>
      </c>
      <c r="GZ44" s="182" t="n"/>
      <c r="HA44" s="183" t="n"/>
      <c r="HB44" s="185" t="n"/>
      <c r="HC44" s="182" t="n"/>
      <c r="HD44" s="183" t="n"/>
      <c r="HE44" s="176" t="n"/>
      <c r="HF44" s="176" t="n"/>
      <c r="HG44" s="181" t="inlineStr">
        <is>
          <t>VIDA</t>
        </is>
      </c>
      <c r="HH44" s="182" t="n"/>
      <c r="HI44" s="183" t="n"/>
      <c r="HJ44" s="185" t="n"/>
      <c r="HK44" s="182" t="n"/>
      <c r="HL44" s="183" t="n"/>
      <c r="HM44" s="176" t="n"/>
      <c r="HN44" s="176" t="n"/>
      <c r="HO44" s="176" t="n"/>
      <c r="HP44" s="181" t="inlineStr">
        <is>
          <t>CATEGORIA DE EFEITO</t>
        </is>
      </c>
      <c r="HQ44" s="182" t="n"/>
      <c r="HR44" s="183" t="n"/>
      <c r="HS44" s="185" t="n"/>
      <c r="HT44" s="182" t="n"/>
      <c r="HU44" s="183" t="n"/>
      <c r="HV44" s="176" t="n"/>
      <c r="HW44" s="176" t="n"/>
      <c r="HX44" s="181" t="inlineStr">
        <is>
          <t>CATEGORIA DE EFEITO</t>
        </is>
      </c>
      <c r="HY44" s="182" t="n"/>
      <c r="HZ44" s="183" t="n"/>
      <c r="IA44" s="185" t="n"/>
      <c r="IB44" s="182" t="n"/>
      <c r="IC44" s="183" t="n"/>
      <c r="ID44" s="176" t="n"/>
    </row>
    <row r="45" ht="31.5" customHeight="1">
      <c r="A45" s="176" t="n"/>
      <c r="B45" s="176" t="n"/>
      <c r="C45" s="181" t="inlineStr">
        <is>
          <t>REGRA</t>
        </is>
      </c>
      <c r="D45" s="183" t="n"/>
      <c r="E45" s="181" t="inlineStr">
        <is>
          <t>LIVRO</t>
        </is>
      </c>
      <c r="F45" s="181" t="inlineStr">
        <is>
          <t>CAMPANHA</t>
        </is>
      </c>
      <c r="G45" s="181" t="inlineStr">
        <is>
          <t>EM USO</t>
        </is>
      </c>
      <c r="H45" s="181" t="inlineStr">
        <is>
          <t>MOTIVO</t>
        </is>
      </c>
      <c r="I45" s="176" t="n"/>
      <c r="J45" s="176" t="n"/>
      <c r="K45" s="176" t="n"/>
      <c r="L45" s="176" t="n"/>
      <c r="M45" s="176" t="n"/>
      <c r="N45" s="176" t="n"/>
      <c r="O45" s="176" t="n"/>
      <c r="P45" s="176" t="n"/>
      <c r="Q45" s="176" t="n"/>
      <c r="R45" s="176" t="n"/>
      <c r="S45" s="176" t="n"/>
      <c r="T45" s="185" t="n"/>
      <c r="U45" s="182" t="n"/>
      <c r="V45" s="182" t="n"/>
      <c r="W45" s="182" t="n"/>
      <c r="X45" s="182" t="n"/>
      <c r="Y45" s="183" t="n"/>
      <c r="Z45" s="176" t="n"/>
      <c r="AA45" s="176" t="n"/>
      <c r="AB45" s="185" t="n"/>
      <c r="AC45" s="182" t="n"/>
      <c r="AD45" s="182" t="n"/>
      <c r="AE45" s="182" t="n"/>
      <c r="AF45" s="182" t="n"/>
      <c r="AG45" s="183" t="n"/>
      <c r="AH45" s="176" t="n"/>
      <c r="AI45" s="176" t="n"/>
      <c r="AJ45" s="176" t="n"/>
      <c r="AK45" s="180">
        <f>IF('DADOS_PROGRESSAO'!$K$2="","Livro + custom nos menus.","⚠ "&amp;'DADOS_PROGRESSAO'!$K$2)</f>
        <v/>
      </c>
      <c r="AQ45" s="176" t="n"/>
      <c r="AR45" s="176" t="n"/>
      <c r="AS45" s="180">
        <f>IF('DADOS_PROGRESSAO'!$K$3="","Livro + custom nos menus.","⚠ "&amp;'DADOS_PROGRESSAO'!$K$3)</f>
        <v/>
      </c>
      <c r="AY45" s="176" t="n"/>
      <c r="AZ45" s="176" t="n"/>
      <c r="BA45" s="176" t="n"/>
      <c r="BB45" s="193" t="n"/>
      <c r="BG45" s="194" t="n"/>
      <c r="BH45" s="176" t="n"/>
      <c r="BI45" s="176" t="n"/>
      <c r="BJ45" s="193" t="n"/>
      <c r="BO45" s="194" t="n"/>
      <c r="BP45" s="176" t="n"/>
      <c r="BQ45" s="176" t="n"/>
      <c r="BR45" s="176" t="n"/>
      <c r="BS45" s="193" t="n"/>
      <c r="BX45" s="194" t="n"/>
      <c r="BY45" s="176" t="n"/>
      <c r="BZ45" s="176" t="n"/>
      <c r="CA45" s="193" t="n"/>
      <c r="CF45" s="194" t="n"/>
      <c r="CG45" s="176" t="n"/>
      <c r="CH45" s="176" t="n"/>
      <c r="CI45" s="176" t="n"/>
      <c r="CJ45" s="181" t="inlineStr">
        <is>
          <t>DESCRIÇÃO</t>
        </is>
      </c>
      <c r="CK45" s="182" t="n"/>
      <c r="CL45" s="182" t="n"/>
      <c r="CM45" s="182" t="n"/>
      <c r="CN45" s="182" t="n"/>
      <c r="CO45" s="183" t="n"/>
      <c r="CP45" s="176" t="n"/>
      <c r="CQ45" s="176" t="n"/>
      <c r="CR45" s="181" t="inlineStr">
        <is>
          <t>DESCRIÇÃO</t>
        </is>
      </c>
      <c r="CS45" s="182" t="n"/>
      <c r="CT45" s="182" t="n"/>
      <c r="CU45" s="182" t="n"/>
      <c r="CV45" s="182" t="n"/>
      <c r="CW45" s="183" t="n"/>
      <c r="CX45" s="176" t="n"/>
      <c r="CY45" s="176" t="n"/>
      <c r="CZ45" s="176" t="n"/>
      <c r="DA45" s="181" t="inlineStr">
        <is>
          <t>EXIGE TR</t>
        </is>
      </c>
      <c r="DB45" s="182" t="n"/>
      <c r="DC45" s="183" t="n"/>
      <c r="DD45" s="185" t="n"/>
      <c r="DE45" s="182" t="n"/>
      <c r="DF45" s="183" t="n"/>
      <c r="DG45" s="176" t="n"/>
      <c r="DH45" s="176" t="n"/>
      <c r="DI45" s="181" t="inlineStr">
        <is>
          <t>EXIGE TR</t>
        </is>
      </c>
      <c r="DJ45" s="182" t="n"/>
      <c r="DK45" s="183" t="n"/>
      <c r="DL45" s="185" t="n"/>
      <c r="DM45" s="182" t="n"/>
      <c r="DN45" s="183" t="n"/>
      <c r="DO45" s="176" t="n"/>
      <c r="DP45" s="176" t="n"/>
      <c r="DQ45" s="176" t="n"/>
      <c r="DR45" s="193" t="n"/>
      <c r="DW45" s="194" t="n"/>
      <c r="DX45" s="176" t="n"/>
      <c r="DY45" s="176" t="n"/>
      <c r="DZ45" s="193" t="n"/>
      <c r="EE45" s="194" t="n"/>
      <c r="EF45" s="176" t="n"/>
      <c r="EG45" s="176" t="n"/>
      <c r="EH45" s="176" t="n"/>
      <c r="EI45" s="192" t="n"/>
      <c r="EJ45" s="187" t="n"/>
      <c r="EK45" s="187" t="n"/>
      <c r="EL45" s="187" t="n"/>
      <c r="EM45" s="187" t="n"/>
      <c r="EN45" s="188" t="n"/>
      <c r="EO45" s="176" t="n"/>
      <c r="EP45" s="176" t="n"/>
      <c r="EQ45" s="192" t="n"/>
      <c r="ER45" s="187" t="n"/>
      <c r="ES45" s="187" t="n"/>
      <c r="ET45" s="187" t="n"/>
      <c r="EU45" s="187" t="n"/>
      <c r="EV45" s="188" t="n"/>
      <c r="EW45" s="176" t="n"/>
      <c r="EX45" s="176" t="n"/>
      <c r="EY45" s="176" t="n"/>
      <c r="EZ45" s="193" t="n"/>
      <c r="FE45" s="194" t="n"/>
      <c r="FF45" s="176" t="n"/>
      <c r="FG45" s="176" t="n"/>
      <c r="FH45" s="193" t="n"/>
      <c r="FM45" s="194" t="n"/>
      <c r="FN45" s="176" t="n"/>
      <c r="FO45" s="176" t="n"/>
      <c r="FP45" s="176" t="n"/>
      <c r="FQ45" s="181" t="inlineStr">
        <is>
          <t>CATEGORIA DE EFEITO</t>
        </is>
      </c>
      <c r="FR45" s="182" t="n"/>
      <c r="FS45" s="183" t="n"/>
      <c r="FT45" s="185" t="n"/>
      <c r="FU45" s="182" t="n"/>
      <c r="FV45" s="183" t="n"/>
      <c r="FW45" s="176" t="n"/>
      <c r="FX45" s="176" t="n"/>
      <c r="FY45" s="181" t="inlineStr">
        <is>
          <t>CATEGORIA DE EFEITO</t>
        </is>
      </c>
      <c r="FZ45" s="182" t="n"/>
      <c r="GA45" s="183" t="n"/>
      <c r="GB45" s="185" t="n"/>
      <c r="GC45" s="182" t="n"/>
      <c r="GD45" s="183" t="n"/>
      <c r="GE45" s="176" t="n"/>
      <c r="GF45" s="176" t="n"/>
      <c r="GG45" s="176" t="n"/>
      <c r="GH45" s="176" t="n"/>
      <c r="GI45" s="176" t="n"/>
      <c r="GJ45" s="176" t="n"/>
      <c r="GK45" s="176" t="n"/>
      <c r="GL45" s="176" t="n"/>
      <c r="GM45" s="176" t="n"/>
      <c r="GN45" s="176" t="n"/>
      <c r="GO45" s="176" t="n"/>
      <c r="GP45" s="176" t="n"/>
      <c r="GQ45" s="176" t="n"/>
      <c r="GR45" s="176" t="n"/>
      <c r="GS45" s="176" t="n"/>
      <c r="GT45" s="176" t="n"/>
      <c r="GU45" s="176" t="n"/>
      <c r="GV45" s="176" t="n"/>
      <c r="GW45" s="176" t="n"/>
      <c r="GX45" s="176" t="n"/>
      <c r="GY45" s="181" t="inlineStr">
        <is>
          <t>TALISMÃ</t>
        </is>
      </c>
      <c r="GZ45" s="182" t="n"/>
      <c r="HA45" s="183" t="n"/>
      <c r="HB45" s="185" t="n"/>
      <c r="HC45" s="182" t="n"/>
      <c r="HD45" s="183" t="n"/>
      <c r="HE45" s="176" t="n"/>
      <c r="HF45" s="176" t="n"/>
      <c r="HG45" s="181" t="inlineStr">
        <is>
          <t>TALISMÃ</t>
        </is>
      </c>
      <c r="HH45" s="182" t="n"/>
      <c r="HI45" s="183" t="n"/>
      <c r="HJ45" s="185" t="n"/>
      <c r="HK45" s="182" t="n"/>
      <c r="HL45" s="183" t="n"/>
      <c r="HM45" s="176" t="n"/>
      <c r="HN45" s="176" t="n"/>
      <c r="HO45" s="176" t="n"/>
      <c r="HP45" s="176" t="n"/>
      <c r="HQ45" s="176" t="n"/>
      <c r="HR45" s="176" t="n"/>
      <c r="HS45" s="176" t="n"/>
      <c r="HT45" s="176" t="n"/>
      <c r="HU45" s="176" t="n"/>
      <c r="HV45" s="176" t="n"/>
      <c r="HW45" s="176" t="n"/>
      <c r="HX45" s="176" t="n"/>
      <c r="HY45" s="176" t="n"/>
      <c r="HZ45" s="176" t="n"/>
      <c r="IA45" s="176" t="n"/>
      <c r="IB45" s="176" t="n"/>
      <c r="IC45" s="176" t="n"/>
      <c r="ID45" s="176" t="n"/>
    </row>
    <row r="46" ht="31.5" customHeight="1">
      <c r="A46" s="176" t="n"/>
      <c r="B46" s="176" t="n"/>
      <c r="C46" s="185" t="inlineStr">
        <is>
          <t>Nível inicial</t>
        </is>
      </c>
      <c r="D46" s="183" t="n"/>
      <c r="E46" s="186" t="n">
        <v>2</v>
      </c>
      <c r="F46" s="185" t="n"/>
      <c r="G46" s="186">
        <f>IF(F46="",E46,IF(IFERROR(AND(ISNUMBER(F46),F46&gt;=1,INT(F46)=F46,F46&lt;=30),FALSE),F46,NA()))</f>
        <v/>
      </c>
      <c r="H46" s="185" t="n"/>
      <c r="I46" s="176" t="n"/>
      <c r="J46" s="176" t="n"/>
      <c r="K46" s="176" t="n"/>
      <c r="L46" s="176" t="n"/>
      <c r="M46" s="176" t="n"/>
      <c r="N46" s="176" t="n"/>
      <c r="O46" s="176" t="n"/>
      <c r="P46" s="176" t="n"/>
      <c r="Q46" s="176" t="n"/>
      <c r="R46" s="176" t="n"/>
      <c r="S46" s="176" t="n"/>
      <c r="T46" s="181">
        <f>SWITCH('CONFIGURAÇÃO'!$T$43,"Origem","PERÍCIA 1","Marcante","ORIGEM","Menor","ORIGEM","Arma","CATEGORIA","Escudo","","Uniforme","GRAU MÍNIMO","Item comum","","Ferramenta amaldiçoada","BASE","")</f>
        <v/>
      </c>
      <c r="U46" s="183" t="n"/>
      <c r="V46" s="185" t="n"/>
      <c r="W46" s="182" t="n"/>
      <c r="X46" s="182" t="n"/>
      <c r="Y46" s="183" t="n"/>
      <c r="Z46" s="176" t="n"/>
      <c r="AA46" s="176" t="n"/>
      <c r="AB46" s="181">
        <f>SWITCH('CONFIGURAÇÃO'!$AB$43,"Origem","PERÍCIA 1","Marcante","ORIGEM","Menor","ORIGEM","Arma","CATEGORIA","Escudo","","Uniforme","GRAU MÍNIMO","Item comum","","Ferramenta amaldiçoada","BASE","")</f>
        <v/>
      </c>
      <c r="AC46" s="183" t="n"/>
      <c r="AD46" s="185" t="n"/>
      <c r="AE46" s="182" t="n"/>
      <c r="AF46" s="182" t="n"/>
      <c r="AG46" s="183" t="n"/>
      <c r="AH46" s="176" t="n"/>
      <c r="AI46" s="176" t="n"/>
      <c r="AJ46" s="176" t="n"/>
      <c r="AQ46" s="176" t="n"/>
      <c r="AR46" s="176" t="n"/>
      <c r="AY46" s="176" t="n"/>
      <c r="AZ46" s="176" t="n"/>
      <c r="BA46" s="176" t="n"/>
      <c r="BB46" s="189" t="n"/>
      <c r="BC46" s="190" t="n"/>
      <c r="BD46" s="190" t="n"/>
      <c r="BE46" s="190" t="n"/>
      <c r="BF46" s="190" t="n"/>
      <c r="BG46" s="191" t="n"/>
      <c r="BH46" s="176" t="n"/>
      <c r="BI46" s="176" t="n"/>
      <c r="BJ46" s="189" t="n"/>
      <c r="BK46" s="190" t="n"/>
      <c r="BL46" s="190" t="n"/>
      <c r="BM46" s="190" t="n"/>
      <c r="BN46" s="190" t="n"/>
      <c r="BO46" s="191" t="n"/>
      <c r="BP46" s="176" t="n"/>
      <c r="BQ46" s="176" t="n"/>
      <c r="BR46" s="176" t="n"/>
      <c r="BS46" s="189" t="n"/>
      <c r="BT46" s="190" t="n"/>
      <c r="BU46" s="190" t="n"/>
      <c r="BV46" s="190" t="n"/>
      <c r="BW46" s="190" t="n"/>
      <c r="BX46" s="191" t="n"/>
      <c r="BY46" s="176" t="n"/>
      <c r="BZ46" s="176" t="n"/>
      <c r="CA46" s="189" t="n"/>
      <c r="CB46" s="190" t="n"/>
      <c r="CC46" s="190" t="n"/>
      <c r="CD46" s="190" t="n"/>
      <c r="CE46" s="190" t="n"/>
      <c r="CF46" s="191" t="n"/>
      <c r="CG46" s="176" t="n"/>
      <c r="CH46" s="176" t="n"/>
      <c r="CI46" s="176" t="n"/>
      <c r="CJ46" s="192" t="n"/>
      <c r="CK46" s="187" t="n"/>
      <c r="CL46" s="187" t="n"/>
      <c r="CM46" s="187" t="n"/>
      <c r="CN46" s="187" t="n"/>
      <c r="CO46" s="188" t="n"/>
      <c r="CP46" s="176" t="n"/>
      <c r="CQ46" s="176" t="n"/>
      <c r="CR46" s="192" t="n"/>
      <c r="CS46" s="187" t="n"/>
      <c r="CT46" s="187" t="n"/>
      <c r="CU46" s="187" t="n"/>
      <c r="CV46" s="187" t="n"/>
      <c r="CW46" s="188" t="n"/>
      <c r="CX46" s="176" t="n"/>
      <c r="CY46" s="176" t="n"/>
      <c r="CZ46" s="176" t="n"/>
      <c r="DA46" s="176" t="n"/>
      <c r="DB46" s="176" t="n"/>
      <c r="DC46" s="176" t="n"/>
      <c r="DD46" s="176" t="n"/>
      <c r="DE46" s="176" t="n"/>
      <c r="DF46" s="176" t="n"/>
      <c r="DG46" s="176" t="n"/>
      <c r="DH46" s="176" t="n"/>
      <c r="DI46" s="176" t="n"/>
      <c r="DJ46" s="176" t="n"/>
      <c r="DK46" s="176" t="n"/>
      <c r="DL46" s="176" t="n"/>
      <c r="DM46" s="176" t="n"/>
      <c r="DN46" s="176" t="n"/>
      <c r="DO46" s="176" t="n"/>
      <c r="DP46" s="176" t="n"/>
      <c r="DQ46" s="176" t="n"/>
      <c r="DR46" s="193" t="n"/>
      <c r="DW46" s="194" t="n"/>
      <c r="DX46" s="176" t="n"/>
      <c r="DY46" s="176" t="n"/>
      <c r="DZ46" s="193" t="n"/>
      <c r="EE46" s="194" t="n"/>
      <c r="EF46" s="176" t="n"/>
      <c r="EG46" s="176" t="n"/>
      <c r="EH46" s="176" t="n"/>
      <c r="EI46" s="193" t="n"/>
      <c r="EN46" s="194" t="n"/>
      <c r="EO46" s="176" t="n"/>
      <c r="EP46" s="176" t="n"/>
      <c r="EQ46" s="193" t="n"/>
      <c r="EV46" s="194" t="n"/>
      <c r="EW46" s="176" t="n"/>
      <c r="EX46" s="176" t="n"/>
      <c r="EY46" s="176" t="n"/>
      <c r="EZ46" s="189" t="n"/>
      <c r="FA46" s="190" t="n"/>
      <c r="FB46" s="190" t="n"/>
      <c r="FC46" s="190" t="n"/>
      <c r="FD46" s="190" t="n"/>
      <c r="FE46" s="191" t="n"/>
      <c r="FF46" s="176" t="n"/>
      <c r="FG46" s="176" t="n"/>
      <c r="FH46" s="189" t="n"/>
      <c r="FI46" s="190" t="n"/>
      <c r="FJ46" s="190" t="n"/>
      <c r="FK46" s="190" t="n"/>
      <c r="FL46" s="190" t="n"/>
      <c r="FM46" s="191" t="n"/>
      <c r="FN46" s="176" t="n"/>
      <c r="FO46" s="176" t="n"/>
      <c r="FP46" s="176" t="n"/>
      <c r="FQ46" s="181" t="inlineStr">
        <is>
          <t>NÍVEL MÍNIMO</t>
        </is>
      </c>
      <c r="FR46" s="182" t="n"/>
      <c r="FS46" s="183" t="n"/>
      <c r="FT46" s="185" t="n"/>
      <c r="FU46" s="182" t="n"/>
      <c r="FV46" s="183" t="n"/>
      <c r="FW46" s="176" t="n"/>
      <c r="FX46" s="176" t="n"/>
      <c r="FY46" s="181" t="inlineStr">
        <is>
          <t>NÍVEL MÍNIMO</t>
        </is>
      </c>
      <c r="FZ46" s="182" t="n"/>
      <c r="GA46" s="183" t="n"/>
      <c r="GB46" s="185" t="n"/>
      <c r="GC46" s="182" t="n"/>
      <c r="GD46" s="183" t="n"/>
      <c r="GE46" s="176" t="n"/>
      <c r="GF46" s="176" t="n"/>
      <c r="GG46" s="176" t="n"/>
      <c r="GH46" s="181" t="inlineStr">
        <is>
          <t>REQUISITOS</t>
        </is>
      </c>
      <c r="GI46" s="182" t="n"/>
      <c r="GJ46" s="182" t="n"/>
      <c r="GK46" s="182" t="n"/>
      <c r="GL46" s="182" t="n"/>
      <c r="GM46" s="183" t="n"/>
      <c r="GN46" s="176" t="n"/>
      <c r="GO46" s="176" t="n"/>
      <c r="GP46" s="181" t="inlineStr">
        <is>
          <t>REQUISITOS</t>
        </is>
      </c>
      <c r="GQ46" s="182" t="n"/>
      <c r="GR46" s="182" t="n"/>
      <c r="GS46" s="182" t="n"/>
      <c r="GT46" s="182" t="n"/>
      <c r="GU46" s="183" t="n"/>
      <c r="GV46" s="176" t="n"/>
      <c r="GW46" s="176" t="n"/>
      <c r="GX46" s="176" t="n"/>
      <c r="GY46" s="176" t="n"/>
      <c r="GZ46" s="176" t="n"/>
      <c r="HA46" s="176" t="n"/>
      <c r="HB46" s="176" t="n"/>
      <c r="HC46" s="176" t="n"/>
      <c r="HD46" s="176" t="n"/>
      <c r="HE46" s="176" t="n"/>
      <c r="HF46" s="176" t="n"/>
      <c r="HG46" s="176" t="n"/>
      <c r="HH46" s="176" t="n"/>
      <c r="HI46" s="176" t="n"/>
      <c r="HJ46" s="176" t="n"/>
      <c r="HK46" s="176" t="n"/>
      <c r="HL46" s="176" t="n"/>
      <c r="HM46" s="176" t="n"/>
      <c r="HN46" s="176" t="n"/>
      <c r="HO46" s="176" t="n"/>
      <c r="HP46" s="176" t="n"/>
      <c r="HQ46" s="176" t="n"/>
      <c r="HR46" s="176" t="n"/>
      <c r="HS46" s="176" t="n"/>
      <c r="HT46" s="176" t="n"/>
      <c r="HU46" s="176" t="n"/>
      <c r="HV46" s="176" t="n"/>
      <c r="HW46" s="176" t="n"/>
      <c r="HX46" s="176" t="n"/>
      <c r="HY46" s="176" t="n"/>
      <c r="HZ46" s="176" t="n"/>
      <c r="IA46" s="176" t="n"/>
      <c r="IB46" s="176" t="n"/>
      <c r="IC46" s="176" t="n"/>
      <c r="ID46" s="176" t="n"/>
    </row>
    <row r="47" ht="31.5" customHeight="1">
      <c r="A47" s="176" t="n"/>
      <c r="B47" s="176" t="n"/>
      <c r="C47" s="185" t="inlineStr">
        <is>
          <t>Pontos de atributo iniciais</t>
        </is>
      </c>
      <c r="D47" s="183" t="n"/>
      <c r="E47" s="186" t="n">
        <v>9</v>
      </c>
      <c r="F47" s="185" t="n"/>
      <c r="G47" s="186">
        <f>IF(F47="",E47,IF(IFERROR(AND(ISNUMBER(F47),F47&gt;=0,INT(F47)=F47),FALSE),F47,NA()))</f>
        <v/>
      </c>
      <c r="H47" s="185" t="n"/>
      <c r="I47" s="176" t="n"/>
      <c r="J47" s="176" t="n"/>
      <c r="K47" s="176" t="n"/>
      <c r="L47" s="176" t="n"/>
      <c r="M47" s="176" t="n"/>
      <c r="N47" s="176" t="n"/>
      <c r="O47" s="176" t="n"/>
      <c r="P47" s="176" t="n"/>
      <c r="Q47" s="176" t="n"/>
      <c r="R47" s="176" t="n"/>
      <c r="S47" s="176" t="n"/>
      <c r="T47" s="181">
        <f>SWITCH('CONFIGURAÇÃO'!$T$43,"Origem","PERÍCIA 2","Marcante","","Menor","EXIGE MARCANTE","Arma","MÃO","Escudo","","Uniforme","","Item comum","","Ferramenta amaldiçoada","GRAU","")</f>
        <v/>
      </c>
      <c r="U47" s="183" t="n"/>
      <c r="V47" s="185" t="n"/>
      <c r="W47" s="182" t="n"/>
      <c r="X47" s="182" t="n"/>
      <c r="Y47" s="183" t="n"/>
      <c r="Z47" s="176" t="n"/>
      <c r="AA47" s="176" t="n"/>
      <c r="AB47" s="181">
        <f>SWITCH('CONFIGURAÇÃO'!$AB$43,"Origem","PERÍCIA 2","Marcante","","Menor","EXIGE MARCANTE","Arma","MÃO","Escudo","","Uniforme","","Item comum","","Ferramenta amaldiçoada","GRAU","")</f>
        <v/>
      </c>
      <c r="AC47" s="183" t="n"/>
      <c r="AD47" s="185" t="n"/>
      <c r="AE47" s="182" t="n"/>
      <c r="AF47" s="182" t="n"/>
      <c r="AG47" s="183" t="n"/>
      <c r="AH47" s="176" t="n"/>
      <c r="AI47" s="176" t="n"/>
      <c r="AJ47" s="176" t="n"/>
      <c r="AK47" s="176" t="n"/>
      <c r="AL47" s="176" t="n"/>
      <c r="AM47" s="176" t="n"/>
      <c r="AN47" s="176" t="n"/>
      <c r="AO47" s="176" t="n"/>
      <c r="AP47" s="176" t="n"/>
      <c r="AQ47" s="176" t="n"/>
      <c r="AR47" s="176" t="n"/>
      <c r="AS47" s="176" t="n"/>
      <c r="AT47" s="176" t="n"/>
      <c r="AU47" s="176" t="n"/>
      <c r="AV47" s="176" t="n"/>
      <c r="AW47" s="176" t="n"/>
      <c r="AX47" s="176" t="n"/>
      <c r="AY47" s="176" t="n"/>
      <c r="AZ47" s="176" t="n"/>
      <c r="BA47" s="176" t="n"/>
      <c r="BB47" s="176" t="n"/>
      <c r="BC47" s="176" t="n"/>
      <c r="BD47" s="176" t="n"/>
      <c r="BE47" s="176" t="n"/>
      <c r="BF47" s="176" t="n"/>
      <c r="BG47" s="176" t="n"/>
      <c r="BH47" s="176" t="n"/>
      <c r="BI47" s="176" t="n"/>
      <c r="BJ47" s="176" t="n"/>
      <c r="BK47" s="176" t="n"/>
      <c r="BL47" s="176" t="n"/>
      <c r="BM47" s="176" t="n"/>
      <c r="BN47" s="176" t="n"/>
      <c r="BO47" s="176" t="n"/>
      <c r="BP47" s="176" t="n"/>
      <c r="BQ47" s="176" t="n"/>
      <c r="BR47" s="176" t="n"/>
      <c r="BS47" s="176" t="n"/>
      <c r="BT47" s="176" t="n"/>
      <c r="BU47" s="176" t="n"/>
      <c r="BV47" s="176" t="n"/>
      <c r="BW47" s="176" t="n"/>
      <c r="BX47" s="176" t="n"/>
      <c r="BY47" s="176" t="n"/>
      <c r="BZ47" s="176" t="n"/>
      <c r="CA47" s="176" t="n"/>
      <c r="CB47" s="176" t="n"/>
      <c r="CC47" s="176" t="n"/>
      <c r="CD47" s="176" t="n"/>
      <c r="CE47" s="176" t="n"/>
      <c r="CF47" s="176" t="n"/>
      <c r="CG47" s="176" t="n"/>
      <c r="CH47" s="176" t="n"/>
      <c r="CI47" s="176" t="n"/>
      <c r="CJ47" s="193" t="n"/>
      <c r="CO47" s="194" t="n"/>
      <c r="CP47" s="176" t="n"/>
      <c r="CQ47" s="176" t="n"/>
      <c r="CR47" s="193" t="n"/>
      <c r="CW47" s="194" t="n"/>
      <c r="CX47" s="176" t="n"/>
      <c r="CY47" s="176" t="n"/>
      <c r="CZ47" s="176" t="n"/>
      <c r="DA47" s="181" t="inlineStr">
        <is>
          <t>REQUISITOS E REPETIÇÃO</t>
        </is>
      </c>
      <c r="DB47" s="182" t="n"/>
      <c r="DC47" s="182" t="n"/>
      <c r="DD47" s="182" t="n"/>
      <c r="DE47" s="182" t="n"/>
      <c r="DF47" s="183" t="n"/>
      <c r="DG47" s="176" t="n"/>
      <c r="DH47" s="176" t="n"/>
      <c r="DI47" s="181" t="inlineStr">
        <is>
          <t>REQUISITOS E REPETIÇÃO</t>
        </is>
      </c>
      <c r="DJ47" s="182" t="n"/>
      <c r="DK47" s="182" t="n"/>
      <c r="DL47" s="182" t="n"/>
      <c r="DM47" s="182" t="n"/>
      <c r="DN47" s="183" t="n"/>
      <c r="DO47" s="176" t="n"/>
      <c r="DP47" s="176" t="n"/>
      <c r="DQ47" s="176" t="n"/>
      <c r="DR47" s="193" t="n"/>
      <c r="DW47" s="194" t="n"/>
      <c r="DX47" s="176" t="n"/>
      <c r="DY47" s="176" t="n"/>
      <c r="DZ47" s="193" t="n"/>
      <c r="EE47" s="194" t="n"/>
      <c r="EF47" s="176" t="n"/>
      <c r="EG47" s="176" t="n"/>
      <c r="EH47" s="176" t="n"/>
      <c r="EI47" s="193" t="n"/>
      <c r="EN47" s="194" t="n"/>
      <c r="EO47" s="176" t="n"/>
      <c r="EP47" s="176" t="n"/>
      <c r="EQ47" s="193" t="n"/>
      <c r="EV47" s="194" t="n"/>
      <c r="EW47" s="176" t="n"/>
      <c r="EX47" s="176" t="n"/>
      <c r="EY47" s="176" t="n"/>
      <c r="EZ47" s="176" t="n"/>
      <c r="FA47" s="176" t="n"/>
      <c r="FB47" s="176" t="n"/>
      <c r="FC47" s="176" t="n"/>
      <c r="FD47" s="176" t="n"/>
      <c r="FE47" s="176" t="n"/>
      <c r="FF47" s="176" t="n"/>
      <c r="FG47" s="176" t="n"/>
      <c r="FH47" s="176" t="n"/>
      <c r="FI47" s="176" t="n"/>
      <c r="FJ47" s="176" t="n"/>
      <c r="FK47" s="176" t="n"/>
      <c r="FL47" s="176" t="n"/>
      <c r="FM47" s="176" t="n"/>
      <c r="FN47" s="176" t="n"/>
      <c r="FO47" s="176" t="n"/>
      <c r="FP47" s="176" t="n"/>
      <c r="FQ47" s="181" t="inlineStr">
        <is>
          <t>REFINO / LAPIDAÇÃO</t>
        </is>
      </c>
      <c r="FR47" s="182" t="n"/>
      <c r="FS47" s="183" t="n"/>
      <c r="FT47" s="185" t="n"/>
      <c r="FU47" s="182" t="n"/>
      <c r="FV47" s="183" t="n"/>
      <c r="FW47" s="176" t="n"/>
      <c r="FX47" s="176" t="n"/>
      <c r="FY47" s="181" t="inlineStr">
        <is>
          <t>REFINO / LAPIDAÇÃO</t>
        </is>
      </c>
      <c r="FZ47" s="182" t="n"/>
      <c r="GA47" s="183" t="n"/>
      <c r="GB47" s="185" t="n"/>
      <c r="GC47" s="182" t="n"/>
      <c r="GD47" s="183" t="n"/>
      <c r="GE47" s="176" t="n"/>
      <c r="GF47" s="176" t="n"/>
      <c r="GG47" s="176" t="n"/>
      <c r="GH47" s="192" t="n"/>
      <c r="GI47" s="187" t="n"/>
      <c r="GJ47" s="187" t="n"/>
      <c r="GK47" s="187" t="n"/>
      <c r="GL47" s="187" t="n"/>
      <c r="GM47" s="188" t="n"/>
      <c r="GN47" s="176" t="n"/>
      <c r="GO47" s="176" t="n"/>
      <c r="GP47" s="192" t="n"/>
      <c r="GQ47" s="187" t="n"/>
      <c r="GR47" s="187" t="n"/>
      <c r="GS47" s="187" t="n"/>
      <c r="GT47" s="187" t="n"/>
      <c r="GU47" s="188" t="n"/>
      <c r="GV47" s="176" t="n"/>
      <c r="GW47" s="176" t="n"/>
      <c r="GX47" s="176" t="n"/>
      <c r="GY47" s="181" t="inlineStr">
        <is>
          <t>RESERVA DE PE</t>
        </is>
      </c>
      <c r="GZ47" s="182" t="n"/>
      <c r="HA47" s="183" t="n"/>
      <c r="HB47" s="185" t="n"/>
      <c r="HC47" s="182" t="n"/>
      <c r="HD47" s="183" t="n"/>
      <c r="HE47" s="176" t="n"/>
      <c r="HF47" s="176" t="n"/>
      <c r="HG47" s="181" t="inlineStr">
        <is>
          <t>RESERVA DE PE</t>
        </is>
      </c>
      <c r="HH47" s="182" t="n"/>
      <c r="HI47" s="183" t="n"/>
      <c r="HJ47" s="185" t="n"/>
      <c r="HK47" s="182" t="n"/>
      <c r="HL47" s="183" t="n"/>
      <c r="HM47" s="176" t="n"/>
      <c r="HN47" s="176" t="n"/>
      <c r="HO47" s="176" t="n"/>
      <c r="HP47" s="176" t="n"/>
      <c r="HQ47" s="176" t="n"/>
      <c r="HR47" s="176" t="n"/>
      <c r="HS47" s="176" t="n"/>
      <c r="HT47" s="176" t="n"/>
      <c r="HU47" s="176" t="n"/>
      <c r="HV47" s="176" t="n"/>
      <c r="HW47" s="176" t="n"/>
      <c r="HX47" s="176" t="n"/>
      <c r="HY47" s="176" t="n"/>
      <c r="HZ47" s="176" t="n"/>
      <c r="IA47" s="176" t="n"/>
      <c r="IB47" s="176" t="n"/>
      <c r="IC47" s="176" t="n"/>
      <c r="ID47" s="176" t="n"/>
    </row>
    <row r="48" ht="31.5" customHeight="1">
      <c r="A48" s="176" t="n"/>
      <c r="B48" s="176" t="n"/>
      <c r="C48" s="185" t="inlineStr">
        <is>
          <t>Teto de atributo · criação</t>
        </is>
      </c>
      <c r="D48" s="183" t="n"/>
      <c r="E48" s="186" t="n">
        <v>3</v>
      </c>
      <c r="F48" s="185" t="n"/>
      <c r="G48" s="186">
        <f>IF(F48="",E48,IF(IFERROR(AND(ISNUMBER(F48),F48&gt;=0,INT(F48)=F48),FALSE),F48,NA()))</f>
        <v/>
      </c>
      <c r="H48" s="185" t="n"/>
      <c r="I48" s="176" t="n"/>
      <c r="J48" s="176" t="n"/>
      <c r="K48" s="176" t="n"/>
      <c r="L48" s="176" t="n"/>
      <c r="M48" s="176" t="n"/>
      <c r="N48" s="176" t="n"/>
      <c r="O48" s="176" t="n"/>
      <c r="P48" s="176" t="n"/>
      <c r="Q48" s="176" t="n"/>
      <c r="R48" s="176" t="n"/>
      <c r="S48" s="176" t="n"/>
      <c r="T48" s="181">
        <f>SWITCH('CONFIGURAÇÃO'!$T$43,"Origem","PERÍCIA 3","Marcante","","Menor","","Arma","TIPO DE DANO","Escudo","","Uniforme","","Item comum","","Ferramenta amaldiçoada","","")</f>
        <v/>
      </c>
      <c r="U48" s="183" t="n"/>
      <c r="V48" s="185" t="n"/>
      <c r="W48" s="182" t="n"/>
      <c r="X48" s="182" t="n"/>
      <c r="Y48" s="183" t="n"/>
      <c r="Z48" s="176" t="n"/>
      <c r="AA48" s="176" t="n"/>
      <c r="AB48" s="181">
        <f>SWITCH('CONFIGURAÇÃO'!$AB$43,"Origem","PERÍCIA 3","Marcante","","Menor","","Arma","TIPO DE DANO","Escudo","","Uniforme","","Item comum","","Ferramenta amaldiçoada","","")</f>
        <v/>
      </c>
      <c r="AC48" s="183" t="n"/>
      <c r="AD48" s="185" t="n"/>
      <c r="AE48" s="182" t="n"/>
      <c r="AF48" s="182" t="n"/>
      <c r="AG48" s="183" t="n"/>
      <c r="AH48" s="176" t="n"/>
      <c r="AI48" s="176" t="n"/>
      <c r="AJ48" s="176" t="n"/>
      <c r="AK48" s="179" t="inlineStr">
        <is>
          <t>HABILIDADES POR NÍVEL · CAMINHO</t>
        </is>
      </c>
      <c r="AQ48" s="176" t="n"/>
      <c r="AR48" s="176" t="n"/>
      <c r="AS48" s="179" t="inlineStr">
        <is>
          <t>HABILIDADES POR NÍVEL · TRILHA</t>
        </is>
      </c>
      <c r="AY48" s="176" t="n"/>
      <c r="AZ48" s="176" t="n"/>
      <c r="BA48" s="176" t="n"/>
      <c r="BB48" s="180">
        <f>IF('DADOS_PROGRESSAO'!$G$6="","Usa os treinos e especializações existentes.","⚠ "&amp;'DADOS_PROGRESSAO'!$G$6)</f>
        <v/>
      </c>
      <c r="BH48" s="176" t="n"/>
      <c r="BI48" s="176" t="n"/>
      <c r="BJ48" s="180">
        <f>IF('DADOS_PROGRESSAO'!$G$7="","Usa os treinos e especializações existentes.","⚠ "&amp;'DADOS_PROGRESSAO'!$G$7)</f>
        <v/>
      </c>
      <c r="BP48" s="176" t="n"/>
      <c r="BQ48" s="176" t="n"/>
      <c r="BR48" s="176" t="n"/>
      <c r="BS48" s="180">
        <f>IF('DADOS_PROGRESSAO'!$G$16="","Usa os treinos e especializações existentes.","⚠ "&amp;'DADOS_PROGRESSAO'!$G$16)</f>
        <v/>
      </c>
      <c r="BY48" s="176" t="n"/>
      <c r="BZ48" s="176" t="n"/>
      <c r="CA48" s="180">
        <f>IF('DADOS_PROGRESSAO'!$G$17="","Usa os treinos e especializações existentes.","⚠ "&amp;'DADOS_PROGRESSAO'!$G$17)</f>
        <v/>
      </c>
      <c r="CG48" s="176" t="n"/>
      <c r="CH48" s="176" t="n"/>
      <c r="CI48" s="176" t="n"/>
      <c r="CJ48" s="193" t="n"/>
      <c r="CO48" s="194" t="n"/>
      <c r="CP48" s="176" t="n"/>
      <c r="CQ48" s="176" t="n"/>
      <c r="CR48" s="193" t="n"/>
      <c r="CW48" s="194" t="n"/>
      <c r="CX48" s="176" t="n"/>
      <c r="CY48" s="176" t="n"/>
      <c r="CZ48" s="176" t="n"/>
      <c r="DA48" s="192" t="n"/>
      <c r="DB48" s="187" t="n"/>
      <c r="DC48" s="187" t="n"/>
      <c r="DD48" s="187" t="n"/>
      <c r="DE48" s="187" t="n"/>
      <c r="DF48" s="188" t="n"/>
      <c r="DG48" s="176" t="n"/>
      <c r="DH48" s="176" t="n"/>
      <c r="DI48" s="192" t="n"/>
      <c r="DJ48" s="187" t="n"/>
      <c r="DK48" s="187" t="n"/>
      <c r="DL48" s="187" t="n"/>
      <c r="DM48" s="187" t="n"/>
      <c r="DN48" s="188" t="n"/>
      <c r="DO48" s="176" t="n"/>
      <c r="DP48" s="176" t="n"/>
      <c r="DQ48" s="176" t="n"/>
      <c r="DR48" s="193" t="n"/>
      <c r="DW48" s="194" t="n"/>
      <c r="DX48" s="176" t="n"/>
      <c r="DY48" s="176" t="n"/>
      <c r="DZ48" s="193" t="n"/>
      <c r="EE48" s="194" t="n"/>
      <c r="EF48" s="176" t="n"/>
      <c r="EG48" s="176" t="n"/>
      <c r="EH48" s="176" t="n"/>
      <c r="EI48" s="193" t="n"/>
      <c r="EN48" s="194" t="n"/>
      <c r="EO48" s="176" t="n"/>
      <c r="EP48" s="176" t="n"/>
      <c r="EQ48" s="193" t="n"/>
      <c r="EV48" s="194" t="n"/>
      <c r="EW48" s="176" t="n"/>
      <c r="EX48" s="176" t="n"/>
      <c r="EY48" s="176" t="n"/>
      <c r="EZ48" s="181" t="inlineStr">
        <is>
          <t>EFEITO</t>
        </is>
      </c>
      <c r="FA48" s="182" t="n"/>
      <c r="FB48" s="182" t="n"/>
      <c r="FC48" s="182" t="n"/>
      <c r="FD48" s="182" t="n"/>
      <c r="FE48" s="183" t="n"/>
      <c r="FF48" s="176" t="n"/>
      <c r="FG48" s="176" t="n"/>
      <c r="FH48" s="181" t="inlineStr">
        <is>
          <t>EFEITO</t>
        </is>
      </c>
      <c r="FI48" s="182" t="n"/>
      <c r="FJ48" s="182" t="n"/>
      <c r="FK48" s="182" t="n"/>
      <c r="FL48" s="182" t="n"/>
      <c r="FM48" s="183" t="n"/>
      <c r="FN48" s="176" t="n"/>
      <c r="FO48" s="176" t="n"/>
      <c r="FP48" s="176" t="n"/>
      <c r="FQ48" s="181" t="inlineStr">
        <is>
          <t>ESCOLHA</t>
        </is>
      </c>
      <c r="FR48" s="182" t="n"/>
      <c r="FS48" s="183" t="n"/>
      <c r="FT48" s="185" t="n"/>
      <c r="FU48" s="182" t="n"/>
      <c r="FV48" s="183" t="n"/>
      <c r="FW48" s="176" t="n"/>
      <c r="FX48" s="176" t="n"/>
      <c r="FY48" s="181" t="inlineStr">
        <is>
          <t>ESCOLHA</t>
        </is>
      </c>
      <c r="FZ48" s="182" t="n"/>
      <c r="GA48" s="183" t="n"/>
      <c r="GB48" s="185" t="n"/>
      <c r="GC48" s="182" t="n"/>
      <c r="GD48" s="183" t="n"/>
      <c r="GE48" s="176" t="n"/>
      <c r="GF48" s="176" t="n"/>
      <c r="GG48" s="176" t="n"/>
      <c r="GH48" s="193" t="n"/>
      <c r="GM48" s="194" t="n"/>
      <c r="GN48" s="176" t="n"/>
      <c r="GO48" s="176" t="n"/>
      <c r="GP48" s="193" t="n"/>
      <c r="GU48" s="194" t="n"/>
      <c r="GV48" s="176" t="n"/>
      <c r="GW48" s="176" t="n"/>
      <c r="GX48" s="176" t="n"/>
      <c r="GY48" s="176" t="n"/>
      <c r="GZ48" s="176" t="n"/>
      <c r="HA48" s="176" t="n"/>
      <c r="HB48" s="176" t="n"/>
      <c r="HC48" s="176" t="n"/>
      <c r="HD48" s="176" t="n"/>
      <c r="HE48" s="176" t="n"/>
      <c r="HF48" s="176" t="n"/>
      <c r="HG48" s="176" t="n"/>
      <c r="HH48" s="176" t="n"/>
      <c r="HI48" s="176" t="n"/>
      <c r="HJ48" s="176" t="n"/>
      <c r="HK48" s="176" t="n"/>
      <c r="HL48" s="176" t="n"/>
      <c r="HM48" s="176" t="n"/>
      <c r="HN48" s="176" t="n"/>
      <c r="HO48" s="176" t="n"/>
      <c r="HP48" s="176" t="n"/>
      <c r="HQ48" s="176" t="n"/>
      <c r="HR48" s="176" t="n"/>
      <c r="HS48" s="176" t="n"/>
      <c r="HT48" s="176" t="n"/>
      <c r="HU48" s="176" t="n"/>
      <c r="HV48" s="176" t="n"/>
      <c r="HW48" s="176" t="n"/>
      <c r="HX48" s="176" t="n"/>
      <c r="HY48" s="176" t="n"/>
      <c r="HZ48" s="176" t="n"/>
      <c r="IA48" s="176" t="n"/>
      <c r="IB48" s="176" t="n"/>
      <c r="IC48" s="176" t="n"/>
      <c r="ID48" s="176" t="n"/>
    </row>
    <row r="49" ht="31.5" customHeight="1">
      <c r="A49" s="176" t="n"/>
      <c r="B49" s="176" t="n"/>
      <c r="C49" s="185" t="inlineStr">
        <is>
          <t>Teto de atributo · progressão</t>
        </is>
      </c>
      <c r="D49" s="183" t="n"/>
      <c r="E49" s="186" t="n">
        <v>6</v>
      </c>
      <c r="F49" s="185" t="n"/>
      <c r="G49" s="186">
        <f>IF(F49="",E49,IF(IFERROR(AND(ISNUMBER(F49),F49&gt;=0,INT(F49)=F49),FALSE),F49,NA()))</f>
        <v/>
      </c>
      <c r="H49" s="185" t="n"/>
      <c r="I49" s="176" t="n"/>
      <c r="J49" s="176" t="n"/>
      <c r="K49" s="176" t="n"/>
      <c r="L49" s="176" t="n"/>
      <c r="M49" s="176" t="n"/>
      <c r="N49" s="176" t="n"/>
      <c r="O49" s="176" t="n"/>
      <c r="P49" s="176" t="n"/>
      <c r="Q49" s="176" t="n"/>
      <c r="R49" s="176" t="n"/>
      <c r="S49" s="176" t="n"/>
      <c r="T49" s="181">
        <f>SWITCH('CONFIGURAÇÃO'!$T$43,"Origem","PERÍCIA 4","Marcante","","Menor","","Arma","PROPRIEDADE 1","Escudo","","Uniforme","","Item comum","","Ferramenta amaldiçoada","","")</f>
        <v/>
      </c>
      <c r="U49" s="183" t="n"/>
      <c r="V49" s="185" t="n"/>
      <c r="W49" s="182" t="n"/>
      <c r="X49" s="182" t="n"/>
      <c r="Y49" s="183" t="n"/>
      <c r="Z49" s="176" t="n"/>
      <c r="AA49" s="176" t="n"/>
      <c r="AB49" s="181">
        <f>SWITCH('CONFIGURAÇÃO'!$AB$43,"Origem","PERÍCIA 4","Marcante","","Menor","","Arma","PROPRIEDADE 1","Escudo","","Uniforme","","Item comum","","Ferramenta amaldiçoada","","")</f>
        <v/>
      </c>
      <c r="AC49" s="183" t="n"/>
      <c r="AD49" s="185" t="n"/>
      <c r="AE49" s="182" t="n"/>
      <c r="AF49" s="182" t="n"/>
      <c r="AG49" s="183" t="n"/>
      <c r="AH49" s="176" t="n"/>
      <c r="AI49" s="176" t="n"/>
      <c r="AJ49" s="176" t="n"/>
      <c r="AK49" s="180" t="inlineStr">
        <is>
          <t>Mesmos níveis do livro · preenche o grupo 7 da FICHA.</t>
        </is>
      </c>
      <c r="AQ49" s="176" t="n"/>
      <c r="AR49" s="176" t="n"/>
      <c r="AS49" s="180" t="inlineStr">
        <is>
          <t>Mesmos níveis do livro · preenche o grupo 7 da FICHA.</t>
        </is>
      </c>
      <c r="AY49" s="176" t="n"/>
      <c r="AZ49" s="176" t="n"/>
      <c r="BA49" s="176" t="n"/>
      <c r="BH49" s="176" t="n"/>
      <c r="BI49" s="176" t="n"/>
      <c r="BP49" s="176" t="n"/>
      <c r="BQ49" s="176" t="n"/>
      <c r="BR49" s="176" t="n"/>
      <c r="BY49" s="176" t="n"/>
      <c r="BZ49" s="176" t="n"/>
      <c r="CG49" s="176" t="n"/>
      <c r="CH49" s="176" t="n"/>
      <c r="CI49" s="176" t="n"/>
      <c r="CJ49" s="189" t="n"/>
      <c r="CK49" s="190" t="n"/>
      <c r="CL49" s="190" t="n"/>
      <c r="CM49" s="190" t="n"/>
      <c r="CN49" s="190" t="n"/>
      <c r="CO49" s="191" t="n"/>
      <c r="CP49" s="176" t="n"/>
      <c r="CQ49" s="176" t="n"/>
      <c r="CR49" s="189" t="n"/>
      <c r="CS49" s="190" t="n"/>
      <c r="CT49" s="190" t="n"/>
      <c r="CU49" s="190" t="n"/>
      <c r="CV49" s="190" t="n"/>
      <c r="CW49" s="191" t="n"/>
      <c r="CX49" s="176" t="n"/>
      <c r="CY49" s="176" t="n"/>
      <c r="CZ49" s="176" t="n"/>
      <c r="DA49" s="193" t="n"/>
      <c r="DF49" s="194" t="n"/>
      <c r="DG49" s="176" t="n"/>
      <c r="DH49" s="176" t="n"/>
      <c r="DI49" s="193" t="n"/>
      <c r="DN49" s="194" t="n"/>
      <c r="DO49" s="176" t="n"/>
      <c r="DP49" s="176" t="n"/>
      <c r="DQ49" s="176" t="n"/>
      <c r="DR49" s="189" t="n"/>
      <c r="DS49" s="190" t="n"/>
      <c r="DT49" s="190" t="n"/>
      <c r="DU49" s="190" t="n"/>
      <c r="DV49" s="190" t="n"/>
      <c r="DW49" s="191" t="n"/>
      <c r="DX49" s="176" t="n"/>
      <c r="DY49" s="176" t="n"/>
      <c r="DZ49" s="189" t="n"/>
      <c r="EA49" s="190" t="n"/>
      <c r="EB49" s="190" t="n"/>
      <c r="EC49" s="190" t="n"/>
      <c r="ED49" s="190" t="n"/>
      <c r="EE49" s="191" t="n"/>
      <c r="EF49" s="176" t="n"/>
      <c r="EG49" s="176" t="n"/>
      <c r="EH49" s="176" t="n"/>
      <c r="EI49" s="189" t="n"/>
      <c r="EJ49" s="190" t="n"/>
      <c r="EK49" s="190" t="n"/>
      <c r="EL49" s="190" t="n"/>
      <c r="EM49" s="190" t="n"/>
      <c r="EN49" s="191" t="n"/>
      <c r="EO49" s="176" t="n"/>
      <c r="EP49" s="176" t="n"/>
      <c r="EQ49" s="189" t="n"/>
      <c r="ER49" s="190" t="n"/>
      <c r="ES49" s="190" t="n"/>
      <c r="ET49" s="190" t="n"/>
      <c r="EU49" s="190" t="n"/>
      <c r="EV49" s="191" t="n"/>
      <c r="EW49" s="176" t="n"/>
      <c r="EX49" s="176" t="n"/>
      <c r="EY49" s="176" t="n"/>
      <c r="EZ49" s="192" t="n"/>
      <c r="FA49" s="187" t="n"/>
      <c r="FB49" s="187" t="n"/>
      <c r="FC49" s="187" t="n"/>
      <c r="FD49" s="187" t="n"/>
      <c r="FE49" s="188" t="n"/>
      <c r="FF49" s="176" t="n"/>
      <c r="FG49" s="176" t="n"/>
      <c r="FH49" s="192" t="n"/>
      <c r="FI49" s="187" t="n"/>
      <c r="FJ49" s="187" t="n"/>
      <c r="FK49" s="187" t="n"/>
      <c r="FL49" s="187" t="n"/>
      <c r="FM49" s="188" t="n"/>
      <c r="FN49" s="176" t="n"/>
      <c r="FO49" s="176" t="n"/>
      <c r="FP49" s="176" t="n"/>
      <c r="FQ49" s="176" t="n"/>
      <c r="FR49" s="176" t="n"/>
      <c r="FS49" s="176" t="n"/>
      <c r="FT49" s="176" t="n"/>
      <c r="FU49" s="176" t="n"/>
      <c r="FV49" s="176" t="n"/>
      <c r="FW49" s="176" t="n"/>
      <c r="FX49" s="176" t="n"/>
      <c r="FY49" s="176" t="n"/>
      <c r="FZ49" s="176" t="n"/>
      <c r="GA49" s="176" t="n"/>
      <c r="GB49" s="176" t="n"/>
      <c r="GC49" s="176" t="n"/>
      <c r="GD49" s="176" t="n"/>
      <c r="GE49" s="176" t="n"/>
      <c r="GF49" s="176" t="n"/>
      <c r="GG49" s="176" t="n"/>
      <c r="GH49" s="193" t="n"/>
      <c r="GM49" s="194" t="n"/>
      <c r="GN49" s="176" t="n"/>
      <c r="GO49" s="176" t="n"/>
      <c r="GP49" s="193" t="n"/>
      <c r="GU49" s="194" t="n"/>
      <c r="GV49" s="176" t="n"/>
      <c r="GW49" s="176" t="n"/>
      <c r="GX49" s="176" t="n"/>
      <c r="GY49" s="176" t="n"/>
      <c r="GZ49" s="176" t="n"/>
      <c r="HA49" s="176" t="n"/>
      <c r="HB49" s="176" t="n"/>
      <c r="HC49" s="176" t="n"/>
      <c r="HD49" s="176" t="n"/>
      <c r="HE49" s="176" t="n"/>
      <c r="HF49" s="176" t="n"/>
      <c r="HG49" s="176" t="n"/>
      <c r="HH49" s="176" t="n"/>
      <c r="HI49" s="176" t="n"/>
      <c r="HJ49" s="176" t="n"/>
      <c r="HK49" s="176" t="n"/>
      <c r="HL49" s="176" t="n"/>
      <c r="HM49" s="176" t="n"/>
      <c r="HN49" s="176" t="n"/>
      <c r="HO49" s="176" t="n"/>
      <c r="HP49" s="176" t="n"/>
      <c r="HQ49" s="176" t="n"/>
      <c r="HR49" s="176" t="n"/>
      <c r="HS49" s="176" t="n"/>
      <c r="HT49" s="176" t="n"/>
      <c r="HU49" s="176" t="n"/>
      <c r="HV49" s="176" t="n"/>
      <c r="HW49" s="176" t="n"/>
      <c r="HX49" s="176" t="n"/>
      <c r="HY49" s="176" t="n"/>
      <c r="HZ49" s="176" t="n"/>
      <c r="IA49" s="176" t="n"/>
      <c r="IB49" s="176" t="n"/>
      <c r="IC49" s="176" t="n"/>
      <c r="ID49" s="176" t="n"/>
    </row>
    <row r="50" ht="31.5" customHeight="1">
      <c r="A50" s="176" t="n"/>
      <c r="B50" s="176" t="n"/>
      <c r="C50" s="185" t="inlineStr">
        <is>
          <t>Perícias · com ofícios</t>
        </is>
      </c>
      <c r="D50" s="183" t="n"/>
      <c r="E50" s="186" t="n">
        <v>9</v>
      </c>
      <c r="F50" s="185" t="n"/>
      <c r="G50" s="186">
        <f>IF(F50="",E50,IF(IFERROR(AND(ISNUMBER(F50),F50&gt;=0,INT(F50)=F50),FALSE),F50,NA()))</f>
        <v/>
      </c>
      <c r="H50" s="185" t="n"/>
      <c r="I50" s="176" t="n"/>
      <c r="J50" s="176" t="n"/>
      <c r="K50" s="176" t="n"/>
      <c r="L50" s="176" t="n"/>
      <c r="M50" s="176" t="n"/>
      <c r="N50" s="176" t="n"/>
      <c r="O50" s="176" t="n"/>
      <c r="P50" s="176" t="n"/>
      <c r="Q50" s="176" t="n"/>
      <c r="R50" s="176" t="n"/>
      <c r="S50" s="176" t="n"/>
      <c r="T50" s="181">
        <f>SWITCH('CONFIGURAÇÃO'!$T$43,"Origem","ROTA","Marcante","","Menor","","Arma","PROPRIEDADE 2","Escudo","","Uniforme","","Item comum","","Ferramenta amaldiçoada","","")</f>
        <v/>
      </c>
      <c r="U50" s="183" t="n"/>
      <c r="V50" s="185" t="n"/>
      <c r="W50" s="182" t="n"/>
      <c r="X50" s="182" t="n"/>
      <c r="Y50" s="183" t="n"/>
      <c r="Z50" s="176" t="n"/>
      <c r="AA50" s="176" t="n"/>
      <c r="AB50" s="181">
        <f>SWITCH('CONFIGURAÇÃO'!$AB$43,"Origem","ROTA","Marcante","","Menor","","Arma","PROPRIEDADE 2","Escudo","","Uniforme","","Item comum","","Ferramenta amaldiçoada","","")</f>
        <v/>
      </c>
      <c r="AC50" s="183" t="n"/>
      <c r="AD50" s="185" t="n"/>
      <c r="AE50" s="182" t="n"/>
      <c r="AF50" s="182" t="n"/>
      <c r="AG50" s="183" t="n"/>
      <c r="AH50" s="176" t="n"/>
      <c r="AI50" s="176" t="n"/>
      <c r="AJ50" s="176" t="n"/>
      <c r="AK50" s="181" t="n">
        <v>2</v>
      </c>
      <c r="AL50" s="185" t="n"/>
      <c r="AM50" s="182" t="n"/>
      <c r="AN50" s="182" t="n"/>
      <c r="AO50" s="182" t="n"/>
      <c r="AP50" s="183" t="n"/>
      <c r="AQ50" s="176" t="n"/>
      <c r="AR50" s="176" t="n"/>
      <c r="AS50" s="181" t="n">
        <v>2</v>
      </c>
      <c r="AT50" s="185" t="n"/>
      <c r="AU50" s="182" t="n"/>
      <c r="AV50" s="182" t="n"/>
      <c r="AW50" s="182" t="n"/>
      <c r="AX50" s="183" t="n"/>
      <c r="AY50" s="176" t="n"/>
      <c r="AZ50" s="176" t="n"/>
      <c r="BA50" s="176" t="n"/>
      <c r="BB50" s="176" t="n"/>
      <c r="BC50" s="176" t="n"/>
      <c r="BD50" s="176" t="n"/>
      <c r="BE50" s="176" t="n"/>
      <c r="BF50" s="176" t="n"/>
      <c r="BG50" s="176" t="n"/>
      <c r="BH50" s="176" t="n"/>
      <c r="BI50" s="176" t="n"/>
      <c r="BJ50" s="176" t="n"/>
      <c r="BK50" s="176" t="n"/>
      <c r="BL50" s="176" t="n"/>
      <c r="BM50" s="176" t="n"/>
      <c r="BN50" s="176" t="n"/>
      <c r="BO50" s="176" t="n"/>
      <c r="BP50" s="176" t="n"/>
      <c r="BQ50" s="176" t="n"/>
      <c r="BR50" s="176" t="n"/>
      <c r="BS50" s="176" t="n"/>
      <c r="BT50" s="176" t="n"/>
      <c r="BU50" s="176" t="n"/>
      <c r="BV50" s="176" t="n"/>
      <c r="BW50" s="176" t="n"/>
      <c r="BX50" s="176" t="n"/>
      <c r="BY50" s="176" t="n"/>
      <c r="BZ50" s="176" t="n"/>
      <c r="CA50" s="176" t="n"/>
      <c r="CB50" s="176" t="n"/>
      <c r="CC50" s="176" t="n"/>
      <c r="CD50" s="176" t="n"/>
      <c r="CE50" s="176" t="n"/>
      <c r="CF50" s="176" t="n"/>
      <c r="CG50" s="176" t="n"/>
      <c r="CH50" s="176" t="n"/>
      <c r="CI50" s="176" t="n"/>
      <c r="CJ50" s="176" t="n"/>
      <c r="CK50" s="176" t="n"/>
      <c r="CL50" s="176" t="n"/>
      <c r="CM50" s="176" t="n"/>
      <c r="CN50" s="176" t="n"/>
      <c r="CO50" s="176" t="n"/>
      <c r="CP50" s="176" t="n"/>
      <c r="CQ50" s="176" t="n"/>
      <c r="CR50" s="176" t="n"/>
      <c r="CS50" s="176" t="n"/>
      <c r="CT50" s="176" t="n"/>
      <c r="CU50" s="176" t="n"/>
      <c r="CV50" s="176" t="n"/>
      <c r="CW50" s="176" t="n"/>
      <c r="CX50" s="176" t="n"/>
      <c r="CY50" s="176" t="n"/>
      <c r="CZ50" s="176" t="n"/>
      <c r="DA50" s="193" t="n"/>
      <c r="DF50" s="194" t="n"/>
      <c r="DG50" s="176" t="n"/>
      <c r="DH50" s="176" t="n"/>
      <c r="DI50" s="193" t="n"/>
      <c r="DN50" s="194" t="n"/>
      <c r="DO50" s="176" t="n"/>
      <c r="DP50" s="176" t="n"/>
      <c r="DQ50" s="176" t="n"/>
      <c r="DR50" s="176" t="n"/>
      <c r="DS50" s="176" t="n"/>
      <c r="DT50" s="176" t="n"/>
      <c r="DU50" s="176" t="n"/>
      <c r="DV50" s="176" t="n"/>
      <c r="DW50" s="176" t="n"/>
      <c r="DX50" s="176" t="n"/>
      <c r="DY50" s="176" t="n"/>
      <c r="DZ50" s="176" t="n"/>
      <c r="EA50" s="176" t="n"/>
      <c r="EB50" s="176" t="n"/>
      <c r="EC50" s="176" t="n"/>
      <c r="ED50" s="176" t="n"/>
      <c r="EE50" s="176" t="n"/>
      <c r="EF50" s="176" t="n"/>
      <c r="EG50" s="176" t="n"/>
      <c r="EH50" s="176" t="n"/>
      <c r="EI50" s="176" t="n"/>
      <c r="EJ50" s="176" t="n"/>
      <c r="EK50" s="176" t="n"/>
      <c r="EL50" s="176" t="n"/>
      <c r="EM50" s="176" t="n"/>
      <c r="EN50" s="176" t="n"/>
      <c r="EO50" s="176" t="n"/>
      <c r="EP50" s="176" t="n"/>
      <c r="EQ50" s="176" t="n"/>
      <c r="ER50" s="176" t="n"/>
      <c r="ES50" s="176" t="n"/>
      <c r="ET50" s="176" t="n"/>
      <c r="EU50" s="176" t="n"/>
      <c r="EV50" s="176" t="n"/>
      <c r="EW50" s="176" t="n"/>
      <c r="EX50" s="176" t="n"/>
      <c r="EY50" s="176" t="n"/>
      <c r="EZ50" s="193" t="n"/>
      <c r="FE50" s="194" t="n"/>
      <c r="FF50" s="176" t="n"/>
      <c r="FG50" s="176" t="n"/>
      <c r="FH50" s="193" t="n"/>
      <c r="FM50" s="194" t="n"/>
      <c r="FN50" s="176" t="n"/>
      <c r="FO50" s="176" t="n"/>
      <c r="FP50" s="176" t="n"/>
      <c r="FQ50" s="181" t="inlineStr">
        <is>
          <t>REQUISITOS</t>
        </is>
      </c>
      <c r="FR50" s="182" t="n"/>
      <c r="FS50" s="182" t="n"/>
      <c r="FT50" s="182" t="n"/>
      <c r="FU50" s="182" t="n"/>
      <c r="FV50" s="183" t="n"/>
      <c r="FW50" s="176" t="n"/>
      <c r="FX50" s="176" t="n"/>
      <c r="FY50" s="181" t="inlineStr">
        <is>
          <t>REQUISITOS</t>
        </is>
      </c>
      <c r="FZ50" s="182" t="n"/>
      <c r="GA50" s="182" t="n"/>
      <c r="GB50" s="182" t="n"/>
      <c r="GC50" s="182" t="n"/>
      <c r="GD50" s="183" t="n"/>
      <c r="GE50" s="176" t="n"/>
      <c r="GF50" s="176" t="n"/>
      <c r="GG50" s="176" t="n"/>
      <c r="GH50" s="189" t="n"/>
      <c r="GI50" s="190" t="n"/>
      <c r="GJ50" s="190" t="n"/>
      <c r="GK50" s="190" t="n"/>
      <c r="GL50" s="190" t="n"/>
      <c r="GM50" s="191" t="n"/>
      <c r="GN50" s="176" t="n"/>
      <c r="GO50" s="176" t="n"/>
      <c r="GP50" s="189" t="n"/>
      <c r="GQ50" s="190" t="n"/>
      <c r="GR50" s="190" t="n"/>
      <c r="GS50" s="190" t="n"/>
      <c r="GT50" s="190" t="n"/>
      <c r="GU50" s="191" t="n"/>
      <c r="GV50" s="176" t="n"/>
      <c r="GW50" s="176" t="n"/>
      <c r="GX50" s="176" t="n"/>
      <c r="GY50" s="181" t="inlineStr">
        <is>
          <t>DEFINIÇÃO</t>
        </is>
      </c>
      <c r="GZ50" s="182" t="n"/>
      <c r="HA50" s="182" t="n"/>
      <c r="HB50" s="182" t="n"/>
      <c r="HC50" s="182" t="n"/>
      <c r="HD50" s="183" t="n"/>
      <c r="HE50" s="176" t="n"/>
      <c r="HF50" s="176" t="n"/>
      <c r="HG50" s="181" t="inlineStr">
        <is>
          <t>DEFINIÇÃO</t>
        </is>
      </c>
      <c r="HH50" s="182" t="n"/>
      <c r="HI50" s="182" t="n"/>
      <c r="HJ50" s="182" t="n"/>
      <c r="HK50" s="182" t="n"/>
      <c r="HL50" s="183" t="n"/>
      <c r="HM50" s="176" t="n"/>
      <c r="HN50" s="176" t="n"/>
      <c r="HO50" s="176" t="n"/>
      <c r="HP50" s="181" t="inlineStr">
        <is>
          <t>REQUISITOS</t>
        </is>
      </c>
      <c r="HQ50" s="182" t="n"/>
      <c r="HR50" s="182" t="n"/>
      <c r="HS50" s="182" t="n"/>
      <c r="HT50" s="182" t="n"/>
      <c r="HU50" s="183" t="n"/>
      <c r="HV50" s="176" t="n"/>
      <c r="HW50" s="176" t="n"/>
      <c r="HX50" s="181" t="inlineStr">
        <is>
          <t>REQUISITOS</t>
        </is>
      </c>
      <c r="HY50" s="182" t="n"/>
      <c r="HZ50" s="182" t="n"/>
      <c r="IA50" s="182" t="n"/>
      <c r="IB50" s="182" t="n"/>
      <c r="IC50" s="183" t="n"/>
      <c r="ID50" s="176" t="n"/>
    </row>
    <row r="51" ht="31.5" customHeight="1">
      <c r="A51" s="176" t="n"/>
      <c r="B51" s="176" t="n"/>
      <c r="C51" s="185" t="inlineStr">
        <is>
          <t>Ofícios · criação</t>
        </is>
      </c>
      <c r="D51" s="183" t="n"/>
      <c r="E51" s="186" t="n">
        <v>2</v>
      </c>
      <c r="F51" s="185" t="n"/>
      <c r="G51" s="186">
        <f>IF(F51="",E51,IF(IFERROR(AND(ISNUMBER(F51),F51&gt;=0,INT(F51)=F51),FALSE),F51,NA()))</f>
        <v/>
      </c>
      <c r="H51" s="185" t="n"/>
      <c r="I51" s="176" t="n"/>
      <c r="J51" s="176" t="n"/>
      <c r="K51" s="176" t="n"/>
      <c r="L51" s="176" t="n"/>
      <c r="M51" s="176" t="n"/>
      <c r="N51" s="176" t="n"/>
      <c r="O51" s="176" t="n"/>
      <c r="P51" s="176" t="n"/>
      <c r="Q51" s="176" t="n"/>
      <c r="R51" s="176" t="n"/>
      <c r="S51" s="176" t="n"/>
      <c r="T51" s="181">
        <f>SWITCH('CONFIGURAÇÃO'!$T$43,"Origem","BASE DO LIVRO","Marcante","","Menor","","Arma","PROPRIEDADE 3","Escudo","","Uniforme","","Item comum","","Ferramenta amaldiçoada","","")</f>
        <v/>
      </c>
      <c r="U51" s="183" t="n"/>
      <c r="V51" s="185" t="n"/>
      <c r="W51" s="182" t="n"/>
      <c r="X51" s="182" t="n"/>
      <c r="Y51" s="183" t="n"/>
      <c r="Z51" s="176" t="n"/>
      <c r="AA51" s="176" t="n"/>
      <c r="AB51" s="181">
        <f>SWITCH('CONFIGURAÇÃO'!$AB$43,"Origem","BASE DO LIVRO","Marcante","","Menor","","Arma","PROPRIEDADE 3","Escudo","","Uniforme","","Item comum","","Ferramenta amaldiçoada","","")</f>
        <v/>
      </c>
      <c r="AC51" s="183" t="n"/>
      <c r="AD51" s="185" t="n"/>
      <c r="AE51" s="182" t="n"/>
      <c r="AF51" s="182" t="n"/>
      <c r="AG51" s="183" t="n"/>
      <c r="AH51" s="176" t="n"/>
      <c r="AI51" s="176" t="n"/>
      <c r="AJ51" s="176" t="n"/>
      <c r="AK51" s="192" t="n"/>
      <c r="AL51" s="187" t="n"/>
      <c r="AM51" s="187" t="n"/>
      <c r="AN51" s="187" t="n"/>
      <c r="AO51" s="187" t="n"/>
      <c r="AP51" s="188" t="n"/>
      <c r="AQ51" s="176" t="n"/>
      <c r="AR51" s="176" t="n"/>
      <c r="AS51" s="192" t="n"/>
      <c r="AT51" s="187" t="n"/>
      <c r="AU51" s="187" t="n"/>
      <c r="AV51" s="187" t="n"/>
      <c r="AW51" s="187" t="n"/>
      <c r="AX51" s="188" t="n"/>
      <c r="AY51" s="176" t="n"/>
      <c r="AZ51" s="176" t="n"/>
      <c r="BA51" s="176" t="n"/>
      <c r="BB51" s="179" t="inlineStr">
        <is>
          <t>PERÍCIA 7 · CUSTOM</t>
        </is>
      </c>
      <c r="BH51" s="176" t="n"/>
      <c r="BI51" s="176" t="n"/>
      <c r="BJ51" s="179" t="inlineStr">
        <is>
          <t>PERÍCIA 8 · CUSTOM</t>
        </is>
      </c>
      <c r="BP51" s="176" t="n"/>
      <c r="BQ51" s="176" t="n"/>
      <c r="BR51" s="176" t="n"/>
      <c r="BS51" s="179" t="inlineStr">
        <is>
          <t>OFÍCIO 7 · CUSTOM</t>
        </is>
      </c>
      <c r="BY51" s="176" t="n"/>
      <c r="BZ51" s="176" t="n"/>
      <c r="CA51" s="179" t="inlineStr">
        <is>
          <t>OFÍCIO 8 · CUSTOM</t>
        </is>
      </c>
      <c r="CG51" s="176" t="n"/>
      <c r="CH51" s="176" t="n"/>
      <c r="CI51" s="176" t="n"/>
      <c r="CJ51" s="180">
        <f>IF('DADOS_CRIACAO'!$F$6="","","⚠ "&amp;'DADOS_CRIACAO'!$F$6)</f>
        <v/>
      </c>
      <c r="CP51" s="176" t="n"/>
      <c r="CQ51" s="176" t="n"/>
      <c r="CR51" s="180">
        <f>IF('DADOS_CRIACAO'!$F$7="","","⚠ "&amp;'DADOS_CRIACAO'!$F$7)</f>
        <v/>
      </c>
      <c r="CX51" s="176" t="n"/>
      <c r="CY51" s="176" t="n"/>
      <c r="CZ51" s="176" t="n"/>
      <c r="DA51" s="189" t="n"/>
      <c r="DB51" s="190" t="n"/>
      <c r="DC51" s="190" t="n"/>
      <c r="DD51" s="190" t="n"/>
      <c r="DE51" s="190" t="n"/>
      <c r="DF51" s="191" t="n"/>
      <c r="DG51" s="176" t="n"/>
      <c r="DH51" s="176" t="n"/>
      <c r="DI51" s="189" t="n"/>
      <c r="DJ51" s="190" t="n"/>
      <c r="DK51" s="190" t="n"/>
      <c r="DL51" s="190" t="n"/>
      <c r="DM51" s="190" t="n"/>
      <c r="DN51" s="191" t="n"/>
      <c r="DO51" s="176" t="n"/>
      <c r="DP51" s="176" t="n"/>
      <c r="DQ51" s="176" t="n"/>
      <c r="DR51" s="180">
        <f>IF('DADOS_RESTRICOES'!$K$4="","","⚠ "&amp;'DADOS_RESTRICOES'!$K$4)</f>
        <v/>
      </c>
      <c r="DX51" s="176" t="n"/>
      <c r="DY51" s="176" t="n"/>
      <c r="DZ51" s="180">
        <f>IF('DADOS_RESTRICOES'!$K$5="","","⚠ "&amp;'DADOS_RESTRICOES'!$K$5)</f>
        <v/>
      </c>
      <c r="EF51" s="176" t="n"/>
      <c r="EG51" s="176" t="n"/>
      <c r="EH51" s="176" t="n"/>
      <c r="EI51" s="181" t="inlineStr">
        <is>
          <t>EFEITO E REQUISITOS</t>
        </is>
      </c>
      <c r="EJ51" s="182" t="n"/>
      <c r="EK51" s="182" t="n"/>
      <c r="EL51" s="182" t="n"/>
      <c r="EM51" s="182" t="n"/>
      <c r="EN51" s="183" t="n"/>
      <c r="EO51" s="176" t="n"/>
      <c r="EP51" s="176" t="n"/>
      <c r="EQ51" s="181" t="inlineStr">
        <is>
          <t>EFEITO E REQUISITOS</t>
        </is>
      </c>
      <c r="ER51" s="182" t="n"/>
      <c r="ES51" s="182" t="n"/>
      <c r="ET51" s="182" t="n"/>
      <c r="EU51" s="182" t="n"/>
      <c r="EV51" s="183" t="n"/>
      <c r="EW51" s="176" t="n"/>
      <c r="EX51" s="176" t="n"/>
      <c r="EY51" s="176" t="n"/>
      <c r="EZ51" s="193" t="n"/>
      <c r="FE51" s="194" t="n"/>
      <c r="FF51" s="176" t="n"/>
      <c r="FG51" s="176" t="n"/>
      <c r="FH51" s="193" t="n"/>
      <c r="FM51" s="194" t="n"/>
      <c r="FN51" s="176" t="n"/>
      <c r="FO51" s="176" t="n"/>
      <c r="FP51" s="176" t="n"/>
      <c r="FQ51" s="192" t="n"/>
      <c r="FR51" s="187" t="n"/>
      <c r="FS51" s="187" t="n"/>
      <c r="FT51" s="187" t="n"/>
      <c r="FU51" s="187" t="n"/>
      <c r="FV51" s="188" t="n"/>
      <c r="FW51" s="176" t="n"/>
      <c r="FX51" s="176" t="n"/>
      <c r="FY51" s="192" t="n"/>
      <c r="FZ51" s="187" t="n"/>
      <c r="GA51" s="187" t="n"/>
      <c r="GB51" s="187" t="n"/>
      <c r="GC51" s="187" t="n"/>
      <c r="GD51" s="188" t="n"/>
      <c r="GE51" s="176" t="n"/>
      <c r="GF51" s="176" t="n"/>
      <c r="GG51" s="176" t="n"/>
      <c r="GH51" s="176" t="n"/>
      <c r="GI51" s="176" t="n"/>
      <c r="GJ51" s="176" t="n"/>
      <c r="GK51" s="176" t="n"/>
      <c r="GL51" s="176" t="n"/>
      <c r="GM51" s="176" t="n"/>
      <c r="GN51" s="176" t="n"/>
      <c r="GO51" s="176" t="n"/>
      <c r="GP51" s="176" t="n"/>
      <c r="GQ51" s="176" t="n"/>
      <c r="GR51" s="176" t="n"/>
      <c r="GS51" s="176" t="n"/>
      <c r="GT51" s="176" t="n"/>
      <c r="GU51" s="176" t="n"/>
      <c r="GV51" s="176" t="n"/>
      <c r="GW51" s="176" t="n"/>
      <c r="GX51" s="176" t="n"/>
      <c r="GY51" s="192" t="n"/>
      <c r="GZ51" s="187" t="n"/>
      <c r="HA51" s="187" t="n"/>
      <c r="HB51" s="187" t="n"/>
      <c r="HC51" s="187" t="n"/>
      <c r="HD51" s="188" t="n"/>
      <c r="HE51" s="176" t="n"/>
      <c r="HF51" s="176" t="n"/>
      <c r="HG51" s="192" t="n"/>
      <c r="HH51" s="187" t="n"/>
      <c r="HI51" s="187" t="n"/>
      <c r="HJ51" s="187" t="n"/>
      <c r="HK51" s="187" t="n"/>
      <c r="HL51" s="188" t="n"/>
      <c r="HM51" s="176" t="n"/>
      <c r="HN51" s="176" t="n"/>
      <c r="HO51" s="176" t="n"/>
      <c r="HP51" s="192" t="n"/>
      <c r="HQ51" s="187" t="n"/>
      <c r="HR51" s="187" t="n"/>
      <c r="HS51" s="187" t="n"/>
      <c r="HT51" s="187" t="n"/>
      <c r="HU51" s="188" t="n"/>
      <c r="HV51" s="176" t="n"/>
      <c r="HW51" s="176" t="n"/>
      <c r="HX51" s="192" t="n"/>
      <c r="HY51" s="187" t="n"/>
      <c r="HZ51" s="187" t="n"/>
      <c r="IA51" s="187" t="n"/>
      <c r="IB51" s="187" t="n"/>
      <c r="IC51" s="188" t="n"/>
      <c r="ID51" s="176" t="n"/>
    </row>
    <row r="52" ht="31.5" customHeight="1">
      <c r="A52" s="176" t="n"/>
      <c r="B52" s="176" t="n"/>
      <c r="C52" s="185" t="inlineStr">
        <is>
          <t>Perícias · sem ofícios</t>
        </is>
      </c>
      <c r="D52" s="183" t="n"/>
      <c r="E52" s="186" t="n">
        <v>10</v>
      </c>
      <c r="F52" s="185" t="n"/>
      <c r="G52" s="186">
        <f>IF(F52="",E52,IF(IFERROR(AND(ISNUMBER(F52),F52&gt;=0,INT(F52)=F52),FALSE),F52,NA()))</f>
        <v/>
      </c>
      <c r="H52" s="185" t="n"/>
      <c r="I52" s="176" t="n"/>
      <c r="J52" s="176" t="n"/>
      <c r="K52" s="176" t="n"/>
      <c r="L52" s="176" t="n"/>
      <c r="M52" s="176" t="n"/>
      <c r="N52" s="176" t="n"/>
      <c r="O52" s="176" t="n"/>
      <c r="P52" s="176" t="n"/>
      <c r="Q52" s="176" t="n"/>
      <c r="R52" s="176" t="n"/>
      <c r="S52" s="176" t="n"/>
      <c r="T52" s="181">
        <f>SWITCH('CONFIGURAÇÃO'!$T$43,"Origem","OFÍCIO","Marcante","","Menor","","Arma","PROPRIEDADE 4","Escudo","","Uniforme","","Item comum","","Ferramenta amaldiçoada","","")</f>
        <v/>
      </c>
      <c r="U52" s="183" t="n"/>
      <c r="V52" s="185" t="n"/>
      <c r="W52" s="182" t="n"/>
      <c r="X52" s="182" t="n"/>
      <c r="Y52" s="183" t="n"/>
      <c r="Z52" s="176" t="n"/>
      <c r="AA52" s="176" t="n"/>
      <c r="AB52" s="181">
        <f>SWITCH('CONFIGURAÇÃO'!$AB$43,"Origem","OFÍCIO","Marcante","","Menor","","Arma","PROPRIEDADE 4","Escudo","","Uniforme","","Item comum","","Ferramenta amaldiçoada","","")</f>
        <v/>
      </c>
      <c r="AC52" s="183" t="n"/>
      <c r="AD52" s="185" t="n"/>
      <c r="AE52" s="182" t="n"/>
      <c r="AF52" s="182" t="n"/>
      <c r="AG52" s="183" t="n"/>
      <c r="AH52" s="176" t="n"/>
      <c r="AI52" s="176" t="n"/>
      <c r="AJ52" s="176" t="n"/>
      <c r="AK52" s="189" t="n"/>
      <c r="AL52" s="190" t="n"/>
      <c r="AM52" s="190" t="n"/>
      <c r="AN52" s="190" t="n"/>
      <c r="AO52" s="190" t="n"/>
      <c r="AP52" s="191" t="n"/>
      <c r="AQ52" s="176" t="n"/>
      <c r="AR52" s="176" t="n"/>
      <c r="AS52" s="189" t="n"/>
      <c r="AT52" s="190" t="n"/>
      <c r="AU52" s="190" t="n"/>
      <c r="AV52" s="190" t="n"/>
      <c r="AW52" s="190" t="n"/>
      <c r="AX52" s="191" t="n"/>
      <c r="AY52" s="176" t="n"/>
      <c r="AZ52" s="176" t="n"/>
      <c r="BA52" s="176" t="n"/>
      <c r="BB52" s="181" t="inlineStr">
        <is>
          <t>TIPO</t>
        </is>
      </c>
      <c r="BC52" s="182" t="n"/>
      <c r="BD52" s="182" t="n"/>
      <c r="BE52" s="183" t="n"/>
      <c r="BF52" s="181" t="inlineStr">
        <is>
          <t>MESTRE VIU</t>
        </is>
      </c>
      <c r="BG52" s="183" t="n"/>
      <c r="BH52" s="176" t="n"/>
      <c r="BI52" s="176" t="n"/>
      <c r="BJ52" s="181" t="inlineStr">
        <is>
          <t>TIPO</t>
        </is>
      </c>
      <c r="BK52" s="182" t="n"/>
      <c r="BL52" s="182" t="n"/>
      <c r="BM52" s="183" t="n"/>
      <c r="BN52" s="181" t="inlineStr">
        <is>
          <t>MESTRE VIU</t>
        </is>
      </c>
      <c r="BO52" s="183" t="n"/>
      <c r="BP52" s="176" t="n"/>
      <c r="BQ52" s="176" t="n"/>
      <c r="BR52" s="176" t="n"/>
      <c r="BS52" s="181" t="inlineStr">
        <is>
          <t>TIPO</t>
        </is>
      </c>
      <c r="BT52" s="182" t="n"/>
      <c r="BU52" s="182" t="n"/>
      <c r="BV52" s="183" t="n"/>
      <c r="BW52" s="181" t="inlineStr">
        <is>
          <t>MESTRE VIU</t>
        </is>
      </c>
      <c r="BX52" s="183" t="n"/>
      <c r="BY52" s="176" t="n"/>
      <c r="BZ52" s="176" t="n"/>
      <c r="CA52" s="181" t="inlineStr">
        <is>
          <t>TIPO</t>
        </is>
      </c>
      <c r="CB52" s="182" t="n"/>
      <c r="CC52" s="182" t="n"/>
      <c r="CD52" s="183" t="n"/>
      <c r="CE52" s="181" t="inlineStr">
        <is>
          <t>MESTRE VIU</t>
        </is>
      </c>
      <c r="CF52" s="183" t="n"/>
      <c r="CG52" s="176" t="n"/>
      <c r="CH52" s="176" t="n"/>
      <c r="CI52" s="176" t="n"/>
      <c r="CJ52" s="176" t="n"/>
      <c r="CK52" s="176" t="n"/>
      <c r="CL52" s="176" t="n"/>
      <c r="CM52" s="176" t="n"/>
      <c r="CN52" s="176" t="n"/>
      <c r="CO52" s="176" t="n"/>
      <c r="CP52" s="176" t="n"/>
      <c r="CQ52" s="176" t="n"/>
      <c r="CR52" s="176" t="n"/>
      <c r="CS52" s="176" t="n"/>
      <c r="CT52" s="176" t="n"/>
      <c r="CU52" s="176" t="n"/>
      <c r="CV52" s="176" t="n"/>
      <c r="CW52" s="176" t="n"/>
      <c r="CX52" s="176" t="n"/>
      <c r="CY52" s="176" t="n"/>
      <c r="CZ52" s="176" t="n"/>
      <c r="DA52" s="176" t="n"/>
      <c r="DB52" s="176" t="n"/>
      <c r="DC52" s="176" t="n"/>
      <c r="DD52" s="176" t="n"/>
      <c r="DE52" s="176" t="n"/>
      <c r="DF52" s="176" t="n"/>
      <c r="DG52" s="176" t="n"/>
      <c r="DH52" s="176" t="n"/>
      <c r="DI52" s="176" t="n"/>
      <c r="DJ52" s="176" t="n"/>
      <c r="DK52" s="176" t="n"/>
      <c r="DL52" s="176" t="n"/>
      <c r="DM52" s="176" t="n"/>
      <c r="DN52" s="176" t="n"/>
      <c r="DO52" s="176" t="n"/>
      <c r="DP52" s="176" t="n"/>
      <c r="DQ52" s="176" t="n"/>
      <c r="DX52" s="176" t="n"/>
      <c r="DY52" s="176" t="n"/>
      <c r="EF52" s="176" t="n"/>
      <c r="EG52" s="176" t="n"/>
      <c r="EH52" s="176" t="n"/>
      <c r="EI52" s="192" t="n"/>
      <c r="EJ52" s="187" t="n"/>
      <c r="EK52" s="187" t="n"/>
      <c r="EL52" s="187" t="n"/>
      <c r="EM52" s="187" t="n"/>
      <c r="EN52" s="188" t="n"/>
      <c r="EO52" s="176" t="n"/>
      <c r="EP52" s="176" t="n"/>
      <c r="EQ52" s="192" t="n"/>
      <c r="ER52" s="187" t="n"/>
      <c r="ES52" s="187" t="n"/>
      <c r="ET52" s="187" t="n"/>
      <c r="EU52" s="187" t="n"/>
      <c r="EV52" s="188" t="n"/>
      <c r="EW52" s="176" t="n"/>
      <c r="EX52" s="176" t="n"/>
      <c r="EY52" s="176" t="n"/>
      <c r="EZ52" s="189" t="n"/>
      <c r="FA52" s="190" t="n"/>
      <c r="FB52" s="190" t="n"/>
      <c r="FC52" s="190" t="n"/>
      <c r="FD52" s="190" t="n"/>
      <c r="FE52" s="191" t="n"/>
      <c r="FF52" s="176" t="n"/>
      <c r="FG52" s="176" t="n"/>
      <c r="FH52" s="189" t="n"/>
      <c r="FI52" s="190" t="n"/>
      <c r="FJ52" s="190" t="n"/>
      <c r="FK52" s="190" t="n"/>
      <c r="FL52" s="190" t="n"/>
      <c r="FM52" s="191" t="n"/>
      <c r="FN52" s="176" t="n"/>
      <c r="FO52" s="176" t="n"/>
      <c r="FP52" s="176" t="n"/>
      <c r="FQ52" s="193" t="n"/>
      <c r="FV52" s="194" t="n"/>
      <c r="FW52" s="176" t="n"/>
      <c r="FX52" s="176" t="n"/>
      <c r="FY52" s="193" t="n"/>
      <c r="GD52" s="194" t="n"/>
      <c r="GE52" s="176" t="n"/>
      <c r="GF52" s="176" t="n"/>
      <c r="GG52" s="176" t="n"/>
      <c r="GH52" s="181" t="inlineStr">
        <is>
          <t>EFEITO</t>
        </is>
      </c>
      <c r="GI52" s="182" t="n"/>
      <c r="GJ52" s="182" t="n"/>
      <c r="GK52" s="182" t="n"/>
      <c r="GL52" s="182" t="n"/>
      <c r="GM52" s="183" t="n"/>
      <c r="GN52" s="176" t="n"/>
      <c r="GO52" s="176" t="n"/>
      <c r="GP52" s="181" t="inlineStr">
        <is>
          <t>EFEITO</t>
        </is>
      </c>
      <c r="GQ52" s="182" t="n"/>
      <c r="GR52" s="182" t="n"/>
      <c r="GS52" s="182" t="n"/>
      <c r="GT52" s="182" t="n"/>
      <c r="GU52" s="183" t="n"/>
      <c r="GV52" s="176" t="n"/>
      <c r="GW52" s="176" t="n"/>
      <c r="GX52" s="176" t="n"/>
      <c r="GY52" s="193" t="n"/>
      <c r="HD52" s="194" t="n"/>
      <c r="HE52" s="176" t="n"/>
      <c r="HF52" s="176" t="n"/>
      <c r="HG52" s="193" t="n"/>
      <c r="HL52" s="194" t="n"/>
      <c r="HM52" s="176" t="n"/>
      <c r="HN52" s="176" t="n"/>
      <c r="HO52" s="176" t="n"/>
      <c r="HP52" s="193" t="n"/>
      <c r="HU52" s="194" t="n"/>
      <c r="HV52" s="176" t="n"/>
      <c r="HW52" s="176" t="n"/>
      <c r="HX52" s="193" t="n"/>
      <c r="IC52" s="194" t="n"/>
      <c r="ID52" s="176" t="n"/>
    </row>
    <row r="53" ht="31.5" customHeight="1">
      <c r="A53" s="176" t="n"/>
      <c r="B53" s="176" t="n"/>
      <c r="C53" s="185" t="inlineStr">
        <is>
          <t>Deslocamento base</t>
        </is>
      </c>
      <c r="D53" s="183" t="n"/>
      <c r="E53" s="195" t="n">
        <v>9</v>
      </c>
      <c r="F53" s="185" t="n"/>
      <c r="G53" s="195">
        <f>IF(F53="",E53,IF(IFERROR(AND(ISNUMBER(F53),F53&gt;=0),FALSE),F53,NA()))</f>
        <v/>
      </c>
      <c r="H53" s="185" t="n"/>
      <c r="I53" s="176" t="n"/>
      <c r="J53" s="176" t="n"/>
      <c r="K53" s="176" t="n"/>
      <c r="L53" s="176" t="n"/>
      <c r="M53" s="176" t="n"/>
      <c r="N53" s="176" t="n"/>
      <c r="O53" s="176" t="n"/>
      <c r="P53" s="176" t="n"/>
      <c r="Q53" s="176" t="n"/>
      <c r="R53" s="176" t="n"/>
      <c r="S53" s="176" t="n"/>
      <c r="T53" s="181">
        <f>SWITCH('CONFIGURAÇÃO'!$T$43,"Origem","TALENTO CE 4","Marcante","FREQUÊNCIA","Menor","FREQUÊNCIA","Arma","DADO","Escudo","PROTEÇÃO","Uniforme","PROTEÇÃO","Item comum","VOLUME","Ferramenta amaldiçoada","ESTIGMA","")</f>
        <v/>
      </c>
      <c r="U53" s="183" t="n"/>
      <c r="V53" s="185" t="n"/>
      <c r="W53" s="182" t="n"/>
      <c r="X53" s="182" t="n"/>
      <c r="Y53" s="183" t="n"/>
      <c r="Z53" s="176" t="n"/>
      <c r="AA53" s="176" t="n"/>
      <c r="AB53" s="181">
        <f>SWITCH('CONFIGURAÇÃO'!$AB$43,"Origem","TALENTO CE 4","Marcante","FREQUÊNCIA","Menor","FREQUÊNCIA","Arma","DADO","Escudo","PROTEÇÃO","Uniforme","PROTEÇÃO","Item comum","VOLUME","Ferramenta amaldiçoada","ESTIGMA","")</f>
        <v/>
      </c>
      <c r="AC53" s="183" t="n"/>
      <c r="AD53" s="185" t="n"/>
      <c r="AE53" s="182" t="n"/>
      <c r="AF53" s="182" t="n"/>
      <c r="AG53" s="183" t="n"/>
      <c r="AH53" s="176" t="n"/>
      <c r="AI53" s="176" t="n"/>
      <c r="AJ53" s="176" t="n"/>
      <c r="AK53" s="181" t="n">
        <v>7</v>
      </c>
      <c r="AL53" s="185" t="n"/>
      <c r="AM53" s="182" t="n"/>
      <c r="AN53" s="182" t="n"/>
      <c r="AO53" s="182" t="n"/>
      <c r="AP53" s="183" t="n"/>
      <c r="AQ53" s="176" t="n"/>
      <c r="AR53" s="176" t="n"/>
      <c r="AS53" s="181" t="n">
        <v>11</v>
      </c>
      <c r="AT53" s="185" t="n"/>
      <c r="AU53" s="182" t="n"/>
      <c r="AV53" s="182" t="n"/>
      <c r="AW53" s="182" t="n"/>
      <c r="AX53" s="183" t="n"/>
      <c r="AY53" s="176" t="n"/>
      <c r="AZ53" s="176" t="n"/>
      <c r="BA53" s="176" t="n"/>
      <c r="BB53" s="185" t="inlineStr">
        <is>
          <t>Perícia</t>
        </is>
      </c>
      <c r="BC53" s="182" t="n"/>
      <c r="BD53" s="182" t="n"/>
      <c r="BE53" s="183" t="n"/>
      <c r="BF53" s="184" t="b">
        <v>0</v>
      </c>
      <c r="BG53" s="183" t="n"/>
      <c r="BH53" s="176" t="n"/>
      <c r="BI53" s="176" t="n"/>
      <c r="BJ53" s="185" t="inlineStr">
        <is>
          <t>Perícia</t>
        </is>
      </c>
      <c r="BK53" s="182" t="n"/>
      <c r="BL53" s="182" t="n"/>
      <c r="BM53" s="183" t="n"/>
      <c r="BN53" s="184" t="b">
        <v>0</v>
      </c>
      <c r="BO53" s="183" t="n"/>
      <c r="BP53" s="176" t="n"/>
      <c r="BQ53" s="176" t="n"/>
      <c r="BR53" s="176" t="n"/>
      <c r="BS53" s="185" t="inlineStr">
        <is>
          <t>Ofício</t>
        </is>
      </c>
      <c r="BT53" s="182" t="n"/>
      <c r="BU53" s="182" t="n"/>
      <c r="BV53" s="183" t="n"/>
      <c r="BW53" s="184" t="b">
        <v>0</v>
      </c>
      <c r="BX53" s="183" t="n"/>
      <c r="BY53" s="176" t="n"/>
      <c r="BZ53" s="176" t="n"/>
      <c r="CA53" s="185" t="inlineStr">
        <is>
          <t>Ofício</t>
        </is>
      </c>
      <c r="CB53" s="182" t="n"/>
      <c r="CC53" s="182" t="n"/>
      <c r="CD53" s="183" t="n"/>
      <c r="CE53" s="184" t="b">
        <v>0</v>
      </c>
      <c r="CF53" s="183" t="n"/>
      <c r="CG53" s="176" t="n"/>
      <c r="CH53" s="176" t="n"/>
      <c r="CI53" s="176" t="n"/>
      <c r="CJ53" s="179" t="inlineStr">
        <is>
          <t>FAMÍLIA · 7</t>
        </is>
      </c>
      <c r="CP53" s="176" t="n"/>
      <c r="CQ53" s="176" t="n"/>
      <c r="CR53" s="179" t="inlineStr">
        <is>
          <t>FAMÍLIA · 8</t>
        </is>
      </c>
      <c r="CX53" s="176" t="n"/>
      <c r="CY53" s="176" t="n"/>
      <c r="CZ53" s="176" t="n"/>
      <c r="DA53" s="181" t="inlineStr">
        <is>
          <t>EFEITO</t>
        </is>
      </c>
      <c r="DB53" s="182" t="n"/>
      <c r="DC53" s="182" t="n"/>
      <c r="DD53" s="182" t="n"/>
      <c r="DE53" s="182" t="n"/>
      <c r="DF53" s="183" t="n"/>
      <c r="DG53" s="176" t="n"/>
      <c r="DH53" s="176" t="n"/>
      <c r="DI53" s="181" t="inlineStr">
        <is>
          <t>EFEITO</t>
        </is>
      </c>
      <c r="DJ53" s="182" t="n"/>
      <c r="DK53" s="182" t="n"/>
      <c r="DL53" s="182" t="n"/>
      <c r="DM53" s="182" t="n"/>
      <c r="DN53" s="183" t="n"/>
      <c r="DO53" s="176" t="n"/>
      <c r="DP53" s="176" t="n"/>
      <c r="DQ53" s="176" t="n"/>
      <c r="DR53" s="176" t="n"/>
      <c r="DS53" s="176" t="n"/>
      <c r="DT53" s="176" t="n"/>
      <c r="DU53" s="176" t="n"/>
      <c r="DV53" s="176" t="n"/>
      <c r="DW53" s="176" t="n"/>
      <c r="DX53" s="176" t="n"/>
      <c r="DY53" s="176" t="n"/>
      <c r="DZ53" s="176" t="n"/>
      <c r="EA53" s="176" t="n"/>
      <c r="EB53" s="176" t="n"/>
      <c r="EC53" s="176" t="n"/>
      <c r="ED53" s="176" t="n"/>
      <c r="EE53" s="176" t="n"/>
      <c r="EF53" s="176" t="n"/>
      <c r="EG53" s="176" t="n"/>
      <c r="EH53" s="176" t="n"/>
      <c r="EI53" s="193" t="n"/>
      <c r="EN53" s="194" t="n"/>
      <c r="EO53" s="176" t="n"/>
      <c r="EP53" s="176" t="n"/>
      <c r="EQ53" s="193" t="n"/>
      <c r="EV53" s="194" t="n"/>
      <c r="EW53" s="176" t="n"/>
      <c r="EX53" s="176" t="n"/>
      <c r="EY53" s="176" t="n"/>
      <c r="EZ53" s="176" t="n"/>
      <c r="FA53" s="176" t="n"/>
      <c r="FB53" s="176" t="n"/>
      <c r="FC53" s="176" t="n"/>
      <c r="FD53" s="176" t="n"/>
      <c r="FE53" s="176" t="n"/>
      <c r="FF53" s="176" t="n"/>
      <c r="FG53" s="176" t="n"/>
      <c r="FH53" s="176" t="n"/>
      <c r="FI53" s="176" t="n"/>
      <c r="FJ53" s="176" t="n"/>
      <c r="FK53" s="176" t="n"/>
      <c r="FL53" s="176" t="n"/>
      <c r="FM53" s="176" t="n"/>
      <c r="FN53" s="176" t="n"/>
      <c r="FO53" s="176" t="n"/>
      <c r="FP53" s="176" t="n"/>
      <c r="FQ53" s="193" t="n"/>
      <c r="FV53" s="194" t="n"/>
      <c r="FW53" s="176" t="n"/>
      <c r="FX53" s="176" t="n"/>
      <c r="FY53" s="193" t="n"/>
      <c r="GD53" s="194" t="n"/>
      <c r="GE53" s="176" t="n"/>
      <c r="GF53" s="176" t="n"/>
      <c r="GG53" s="176" t="n"/>
      <c r="GH53" s="192" t="n"/>
      <c r="GI53" s="187" t="n"/>
      <c r="GJ53" s="187" t="n"/>
      <c r="GK53" s="187" t="n"/>
      <c r="GL53" s="187" t="n"/>
      <c r="GM53" s="188" t="n"/>
      <c r="GN53" s="176" t="n"/>
      <c r="GO53" s="176" t="n"/>
      <c r="GP53" s="192" t="n"/>
      <c r="GQ53" s="187" t="n"/>
      <c r="GR53" s="187" t="n"/>
      <c r="GS53" s="187" t="n"/>
      <c r="GT53" s="187" t="n"/>
      <c r="GU53" s="188" t="n"/>
      <c r="GV53" s="176" t="n"/>
      <c r="GW53" s="176" t="n"/>
      <c r="GX53" s="176" t="n"/>
      <c r="GY53" s="189" t="n"/>
      <c r="GZ53" s="190" t="n"/>
      <c r="HA53" s="190" t="n"/>
      <c r="HB53" s="190" t="n"/>
      <c r="HC53" s="190" t="n"/>
      <c r="HD53" s="191" t="n"/>
      <c r="HE53" s="176" t="n"/>
      <c r="HF53" s="176" t="n"/>
      <c r="HG53" s="189" t="n"/>
      <c r="HH53" s="190" t="n"/>
      <c r="HI53" s="190" t="n"/>
      <c r="HJ53" s="190" t="n"/>
      <c r="HK53" s="190" t="n"/>
      <c r="HL53" s="191" t="n"/>
      <c r="HM53" s="176" t="n"/>
      <c r="HN53" s="176" t="n"/>
      <c r="HO53" s="176" t="n"/>
      <c r="HP53" s="189" t="n"/>
      <c r="HQ53" s="190" t="n"/>
      <c r="HR53" s="190" t="n"/>
      <c r="HS53" s="190" t="n"/>
      <c r="HT53" s="190" t="n"/>
      <c r="HU53" s="191" t="n"/>
      <c r="HV53" s="176" t="n"/>
      <c r="HW53" s="176" t="n"/>
      <c r="HX53" s="189" t="n"/>
      <c r="HY53" s="190" t="n"/>
      <c r="HZ53" s="190" t="n"/>
      <c r="IA53" s="190" t="n"/>
      <c r="IB53" s="190" t="n"/>
      <c r="IC53" s="191" t="n"/>
      <c r="ID53" s="176" t="n"/>
    </row>
    <row r="54" ht="31.5" customHeight="1">
      <c r="A54" s="176" t="n"/>
      <c r="B54" s="176" t="n"/>
      <c r="C54" s="185" t="inlineStr">
        <is>
          <t>Morrendo · Aguentar</t>
        </is>
      </c>
      <c r="D54" s="183" t="n"/>
      <c r="E54" s="196" t="n">
        <v>0.25</v>
      </c>
      <c r="F54" s="185" t="n"/>
      <c r="G54" s="196">
        <f>IF(F54="",E54,IF(IFERROR(AND(ISNUMBER(F54),F54&gt;=0),FALSE),F54,NA()))</f>
        <v/>
      </c>
      <c r="H54" s="185" t="n"/>
      <c r="I54" s="176" t="n"/>
      <c r="J54" s="176" t="n"/>
      <c r="K54" s="176" t="n"/>
      <c r="L54" s="176" t="n"/>
      <c r="M54" s="176" t="n"/>
      <c r="N54" s="176" t="n"/>
      <c r="O54" s="176" t="n"/>
      <c r="P54" s="176" t="n"/>
      <c r="Q54" s="176" t="n"/>
      <c r="R54" s="176" t="n"/>
      <c r="S54" s="176" t="n"/>
      <c r="T54" s="181">
        <f>SWITCH('CONFIGURAÇÃO'!$T$43,"Origem","","Marcante","","Menor","","Arma","FORÇA","Escudo","TETO DE DESTREZA","Uniforme","TETO DE DESTREZA","Item comum","PREÇO","Ferramenta amaldiçoada","DESGASTE","")</f>
        <v/>
      </c>
      <c r="U54" s="183" t="n"/>
      <c r="V54" s="185" t="n"/>
      <c r="W54" s="182" t="n"/>
      <c r="X54" s="182" t="n"/>
      <c r="Y54" s="183" t="n"/>
      <c r="Z54" s="176" t="n"/>
      <c r="AA54" s="176" t="n"/>
      <c r="AB54" s="181">
        <f>SWITCH('CONFIGURAÇÃO'!$AB$43,"Origem","","Marcante","","Menor","","Arma","FORÇA","Escudo","TETO DE DESTREZA","Uniforme","TETO DE DESTREZA","Item comum","PREÇO","Ferramenta amaldiçoada","DESGASTE","")</f>
        <v/>
      </c>
      <c r="AC54" s="183" t="n"/>
      <c r="AD54" s="185" t="n"/>
      <c r="AE54" s="182" t="n"/>
      <c r="AF54" s="182" t="n"/>
      <c r="AG54" s="183" t="n"/>
      <c r="AH54" s="176" t="n"/>
      <c r="AI54" s="176" t="n"/>
      <c r="AJ54" s="176" t="n"/>
      <c r="AK54" s="192" t="n"/>
      <c r="AL54" s="187" t="n"/>
      <c r="AM54" s="187" t="n"/>
      <c r="AN54" s="187" t="n"/>
      <c r="AO54" s="187" t="n"/>
      <c r="AP54" s="188" t="n"/>
      <c r="AQ54" s="176" t="n"/>
      <c r="AR54" s="176" t="n"/>
      <c r="AS54" s="192" t="n"/>
      <c r="AT54" s="187" t="n"/>
      <c r="AU54" s="187" t="n"/>
      <c r="AV54" s="187" t="n"/>
      <c r="AW54" s="187" t="n"/>
      <c r="AX54" s="188" t="n"/>
      <c r="AY54" s="176" t="n"/>
      <c r="AZ54" s="176" t="n"/>
      <c r="BA54" s="176" t="n"/>
      <c r="BB54" s="181" t="inlineStr">
        <is>
          <t>NOME</t>
        </is>
      </c>
      <c r="BC54" s="182" t="n"/>
      <c r="BD54" s="182" t="n"/>
      <c r="BE54" s="182" t="n"/>
      <c r="BF54" s="182" t="n"/>
      <c r="BG54" s="183" t="n"/>
      <c r="BH54" s="176" t="n"/>
      <c r="BI54" s="176" t="n"/>
      <c r="BJ54" s="181" t="inlineStr">
        <is>
          <t>NOME</t>
        </is>
      </c>
      <c r="BK54" s="182" t="n"/>
      <c r="BL54" s="182" t="n"/>
      <c r="BM54" s="182" t="n"/>
      <c r="BN54" s="182" t="n"/>
      <c r="BO54" s="183" t="n"/>
      <c r="BP54" s="176" t="n"/>
      <c r="BQ54" s="176" t="n"/>
      <c r="BR54" s="176" t="n"/>
      <c r="BS54" s="181" t="inlineStr">
        <is>
          <t>NOME</t>
        </is>
      </c>
      <c r="BT54" s="182" t="n"/>
      <c r="BU54" s="182" t="n"/>
      <c r="BV54" s="182" t="n"/>
      <c r="BW54" s="182" t="n"/>
      <c r="BX54" s="183" t="n"/>
      <c r="BY54" s="176" t="n"/>
      <c r="BZ54" s="176" t="n"/>
      <c r="CA54" s="181" t="inlineStr">
        <is>
          <t>NOME</t>
        </is>
      </c>
      <c r="CB54" s="182" t="n"/>
      <c r="CC54" s="182" t="n"/>
      <c r="CD54" s="182" t="n"/>
      <c r="CE54" s="182" t="n"/>
      <c r="CF54" s="183" t="n"/>
      <c r="CG54" s="176" t="n"/>
      <c r="CH54" s="176" t="n"/>
      <c r="CI54" s="176" t="n"/>
      <c r="CJ54" s="181" t="inlineStr">
        <is>
          <t>TIPO</t>
        </is>
      </c>
      <c r="CK54" s="182" t="n"/>
      <c r="CL54" s="182" t="n"/>
      <c r="CM54" s="183" t="n"/>
      <c r="CN54" s="181" t="inlineStr">
        <is>
          <t>MESTRE VIU</t>
        </is>
      </c>
      <c r="CO54" s="183" t="n"/>
      <c r="CP54" s="176" t="n"/>
      <c r="CQ54" s="176" t="n"/>
      <c r="CR54" s="181" t="inlineStr">
        <is>
          <t>TIPO</t>
        </is>
      </c>
      <c r="CS54" s="182" t="n"/>
      <c r="CT54" s="182" t="n"/>
      <c r="CU54" s="183" t="n"/>
      <c r="CV54" s="181" t="inlineStr">
        <is>
          <t>MESTRE VIU</t>
        </is>
      </c>
      <c r="CW54" s="183" t="n"/>
      <c r="CX54" s="176" t="n"/>
      <c r="CY54" s="176" t="n"/>
      <c r="CZ54" s="176" t="n"/>
      <c r="DA54" s="192" t="n"/>
      <c r="DB54" s="187" t="n"/>
      <c r="DC54" s="187" t="n"/>
      <c r="DD54" s="187" t="n"/>
      <c r="DE54" s="187" t="n"/>
      <c r="DF54" s="188" t="n"/>
      <c r="DG54" s="176" t="n"/>
      <c r="DH54" s="176" t="n"/>
      <c r="DI54" s="192" t="n"/>
      <c r="DJ54" s="187" t="n"/>
      <c r="DK54" s="187" t="n"/>
      <c r="DL54" s="187" t="n"/>
      <c r="DM54" s="187" t="n"/>
      <c r="DN54" s="188" t="n"/>
      <c r="DO54" s="176" t="n"/>
      <c r="DP54" s="176" t="n"/>
      <c r="DQ54" s="176" t="n"/>
      <c r="DR54" s="176" t="n"/>
      <c r="DS54" s="176" t="n"/>
      <c r="DT54" s="176" t="n"/>
      <c r="DU54" s="176" t="n"/>
      <c r="DV54" s="176" t="n"/>
      <c r="DW54" s="176" t="n"/>
      <c r="DX54" s="176" t="n"/>
      <c r="DY54" s="176" t="n"/>
      <c r="DZ54" s="176" t="n"/>
      <c r="EA54" s="176" t="n"/>
      <c r="EB54" s="176" t="n"/>
      <c r="EC54" s="176" t="n"/>
      <c r="ED54" s="176" t="n"/>
      <c r="EE54" s="176" t="n"/>
      <c r="EF54" s="176" t="n"/>
      <c r="EG54" s="176" t="n"/>
      <c r="EH54" s="176" t="n"/>
      <c r="EI54" s="193" t="n"/>
      <c r="EN54" s="194" t="n"/>
      <c r="EO54" s="176" t="n"/>
      <c r="EP54" s="176" t="n"/>
      <c r="EQ54" s="193" t="n"/>
      <c r="EV54" s="194" t="n"/>
      <c r="EW54" s="176" t="n"/>
      <c r="EX54" s="176" t="n"/>
      <c r="EY54" s="176" t="n"/>
      <c r="EZ54" s="176" t="n"/>
      <c r="FA54" s="176" t="n"/>
      <c r="FB54" s="176" t="n"/>
      <c r="FC54" s="176" t="n"/>
      <c r="FD54" s="176" t="n"/>
      <c r="FE54" s="176" t="n"/>
      <c r="FF54" s="176" t="n"/>
      <c r="FG54" s="176" t="n"/>
      <c r="FH54" s="176" t="n"/>
      <c r="FI54" s="176" t="n"/>
      <c r="FJ54" s="176" t="n"/>
      <c r="FK54" s="176" t="n"/>
      <c r="FL54" s="176" t="n"/>
      <c r="FM54" s="176" t="n"/>
      <c r="FN54" s="176" t="n"/>
      <c r="FO54" s="176" t="n"/>
      <c r="FP54" s="176" t="n"/>
      <c r="FQ54" s="189" t="n"/>
      <c r="FR54" s="190" t="n"/>
      <c r="FS54" s="190" t="n"/>
      <c r="FT54" s="190" t="n"/>
      <c r="FU54" s="190" t="n"/>
      <c r="FV54" s="191" t="n"/>
      <c r="FW54" s="176" t="n"/>
      <c r="FX54" s="176" t="n"/>
      <c r="FY54" s="189" t="n"/>
      <c r="FZ54" s="190" t="n"/>
      <c r="GA54" s="190" t="n"/>
      <c r="GB54" s="190" t="n"/>
      <c r="GC54" s="190" t="n"/>
      <c r="GD54" s="191" t="n"/>
      <c r="GE54" s="176" t="n"/>
      <c r="GF54" s="176" t="n"/>
      <c r="GG54" s="176" t="n"/>
      <c r="GH54" s="193" t="n"/>
      <c r="GM54" s="194" t="n"/>
      <c r="GN54" s="176" t="n"/>
      <c r="GO54" s="176" t="n"/>
      <c r="GP54" s="193" t="n"/>
      <c r="GU54" s="194" t="n"/>
      <c r="GV54" s="176" t="n"/>
      <c r="GW54" s="176" t="n"/>
      <c r="GX54" s="176" t="n"/>
      <c r="GY54" s="176" t="n"/>
      <c r="GZ54" s="176" t="n"/>
      <c r="HA54" s="176" t="n"/>
      <c r="HB54" s="176" t="n"/>
      <c r="HC54" s="176" t="n"/>
      <c r="HD54" s="176" t="n"/>
      <c r="HE54" s="176" t="n"/>
      <c r="HF54" s="176" t="n"/>
      <c r="HG54" s="176" t="n"/>
      <c r="HH54" s="176" t="n"/>
      <c r="HI54" s="176" t="n"/>
      <c r="HJ54" s="176" t="n"/>
      <c r="HK54" s="176" t="n"/>
      <c r="HL54" s="176" t="n"/>
      <c r="HM54" s="176" t="n"/>
      <c r="HN54" s="176" t="n"/>
      <c r="HO54" s="176" t="n"/>
      <c r="HP54" s="176" t="n"/>
      <c r="HQ54" s="176" t="n"/>
      <c r="HR54" s="176" t="n"/>
      <c r="HS54" s="176" t="n"/>
      <c r="HT54" s="176" t="n"/>
      <c r="HU54" s="176" t="n"/>
      <c r="HV54" s="176" t="n"/>
      <c r="HW54" s="176" t="n"/>
      <c r="HX54" s="176" t="n"/>
      <c r="HY54" s="176" t="n"/>
      <c r="HZ54" s="176" t="n"/>
      <c r="IA54" s="176" t="n"/>
      <c r="IB54" s="176" t="n"/>
      <c r="IC54" s="176" t="n"/>
      <c r="ID54" s="176" t="n"/>
    </row>
    <row r="55" ht="31.5" customHeight="1">
      <c r="A55" s="176" t="n"/>
      <c r="B55" s="176" t="n"/>
      <c r="C55" s="185" t="inlineStr">
        <is>
          <t>Morrendo · Insistir · 1ª vez</t>
        </is>
      </c>
      <c r="D55" s="183" t="n"/>
      <c r="E55" s="196" t="n">
        <v>0.3333333333333333</v>
      </c>
      <c r="F55" s="185" t="n"/>
      <c r="G55" s="196">
        <f>IF(F55="",E55,IF(IFERROR(AND(ISNUMBER(F55),F55&gt;=0),FALSE),F55,NA()))</f>
        <v/>
      </c>
      <c r="H55" s="185" t="n"/>
      <c r="I55" s="176" t="n"/>
      <c r="J55" s="176" t="n"/>
      <c r="K55" s="176" t="n"/>
      <c r="L55" s="176" t="n"/>
      <c r="M55" s="176" t="n"/>
      <c r="N55" s="176" t="n"/>
      <c r="O55" s="176" t="n"/>
      <c r="P55" s="176" t="n"/>
      <c r="Q55" s="176" t="n"/>
      <c r="R55" s="176" t="n"/>
      <c r="S55" s="176" t="n"/>
      <c r="T55" s="181">
        <f>SWITCH('CONFIGURAÇÃO'!$T$43,"Origem","","Marcante","","Menor","","Arma","VOLUME","Escudo","FORÇA","Uniforme","FORÇA","Item comum","","Ferramenta amaldiçoada","VOLUME","")</f>
        <v/>
      </c>
      <c r="U55" s="183" t="n"/>
      <c r="V55" s="185" t="n"/>
      <c r="W55" s="182" t="n"/>
      <c r="X55" s="182" t="n"/>
      <c r="Y55" s="183" t="n"/>
      <c r="Z55" s="176" t="n"/>
      <c r="AA55" s="176" t="n"/>
      <c r="AB55" s="181">
        <f>SWITCH('CONFIGURAÇÃO'!$AB$43,"Origem","","Marcante","","Menor","","Arma","VOLUME","Escudo","FORÇA","Uniforme","FORÇA","Item comum","","Ferramenta amaldiçoada","VOLUME","")</f>
        <v/>
      </c>
      <c r="AC55" s="183" t="n"/>
      <c r="AD55" s="185" t="n"/>
      <c r="AE55" s="182" t="n"/>
      <c r="AF55" s="182" t="n"/>
      <c r="AG55" s="183" t="n"/>
      <c r="AH55" s="176" t="n"/>
      <c r="AI55" s="176" t="n"/>
      <c r="AJ55" s="176" t="n"/>
      <c r="AK55" s="189" t="n"/>
      <c r="AL55" s="190" t="n"/>
      <c r="AM55" s="190" t="n"/>
      <c r="AN55" s="190" t="n"/>
      <c r="AO55" s="190" t="n"/>
      <c r="AP55" s="191" t="n"/>
      <c r="AQ55" s="176" t="n"/>
      <c r="AR55" s="176" t="n"/>
      <c r="AS55" s="189" t="n"/>
      <c r="AT55" s="190" t="n"/>
      <c r="AU55" s="190" t="n"/>
      <c r="AV55" s="190" t="n"/>
      <c r="AW55" s="190" t="n"/>
      <c r="AX55" s="191" t="n"/>
      <c r="AY55" s="176" t="n"/>
      <c r="AZ55" s="176" t="n"/>
      <c r="BA55" s="176" t="n"/>
      <c r="BB55" s="185" t="n"/>
      <c r="BC55" s="182" t="n"/>
      <c r="BD55" s="182" t="n"/>
      <c r="BE55" s="182" t="n"/>
      <c r="BF55" s="182" t="n"/>
      <c r="BG55" s="183" t="n"/>
      <c r="BH55" s="176" t="n"/>
      <c r="BI55" s="176" t="n"/>
      <c r="BJ55" s="185" t="n"/>
      <c r="BK55" s="182" t="n"/>
      <c r="BL55" s="182" t="n"/>
      <c r="BM55" s="182" t="n"/>
      <c r="BN55" s="182" t="n"/>
      <c r="BO55" s="183" t="n"/>
      <c r="BP55" s="176" t="n"/>
      <c r="BQ55" s="176" t="n"/>
      <c r="BR55" s="176" t="n"/>
      <c r="BS55" s="185" t="n"/>
      <c r="BT55" s="182" t="n"/>
      <c r="BU55" s="182" t="n"/>
      <c r="BV55" s="182" t="n"/>
      <c r="BW55" s="182" t="n"/>
      <c r="BX55" s="183" t="n"/>
      <c r="BY55" s="176" t="n"/>
      <c r="BZ55" s="176" t="n"/>
      <c r="CA55" s="185" t="n"/>
      <c r="CB55" s="182" t="n"/>
      <c r="CC55" s="182" t="n"/>
      <c r="CD55" s="182" t="n"/>
      <c r="CE55" s="182" t="n"/>
      <c r="CF55" s="183" t="n"/>
      <c r="CG55" s="176" t="n"/>
      <c r="CH55" s="176" t="n"/>
      <c r="CI55" s="176" t="n"/>
      <c r="CJ55" s="185" t="inlineStr">
        <is>
          <t>Família</t>
        </is>
      </c>
      <c r="CK55" s="182" t="n"/>
      <c r="CL55" s="182" t="n"/>
      <c r="CM55" s="183" t="n"/>
      <c r="CN55" s="184" t="b">
        <v>0</v>
      </c>
      <c r="CO55" s="183" t="n"/>
      <c r="CP55" s="176" t="n"/>
      <c r="CQ55" s="176" t="n"/>
      <c r="CR55" s="185" t="inlineStr">
        <is>
          <t>Família</t>
        </is>
      </c>
      <c r="CS55" s="182" t="n"/>
      <c r="CT55" s="182" t="n"/>
      <c r="CU55" s="183" t="n"/>
      <c r="CV55" s="184" t="b">
        <v>0</v>
      </c>
      <c r="CW55" s="183" t="n"/>
      <c r="CX55" s="176" t="n"/>
      <c r="CY55" s="176" t="n"/>
      <c r="CZ55" s="176" t="n"/>
      <c r="DA55" s="193" t="n"/>
      <c r="DF55" s="194" t="n"/>
      <c r="DG55" s="176" t="n"/>
      <c r="DH55" s="176" t="n"/>
      <c r="DI55" s="193" t="n"/>
      <c r="DN55" s="194" t="n"/>
      <c r="DO55" s="176" t="n"/>
      <c r="DP55" s="176" t="n"/>
      <c r="DQ55" s="176" t="n"/>
      <c r="DR55" s="179" t="inlineStr">
        <is>
          <t>RESTRIÇÃO · 5</t>
        </is>
      </c>
      <c r="DX55" s="176" t="n"/>
      <c r="DY55" s="176" t="n"/>
      <c r="DZ55" s="179" t="inlineStr">
        <is>
          <t>RESTRIÇÃO · 6</t>
        </is>
      </c>
      <c r="EF55" s="176" t="n"/>
      <c r="EG55" s="176" t="n"/>
      <c r="EH55" s="176" t="n"/>
      <c r="EI55" s="193" t="n"/>
      <c r="EN55" s="194" t="n"/>
      <c r="EO55" s="176" t="n"/>
      <c r="EP55" s="176" t="n"/>
      <c r="EQ55" s="193" t="n"/>
      <c r="EV55" s="194" t="n"/>
      <c r="EW55" s="176" t="n"/>
      <c r="EX55" s="176" t="n"/>
      <c r="EY55" s="176" t="n"/>
      <c r="EZ55" s="180">
        <f>IF('DADOS_FORMAS'!$AD2="","","⚠ "&amp;'DADOS_FORMAS'!$AD2)</f>
        <v/>
      </c>
      <c r="FF55" s="176" t="n"/>
      <c r="FG55" s="176" t="n"/>
      <c r="FH55" s="180">
        <f>IF('DADOS_FORMAS'!$AD3="","","⚠ "&amp;'DADOS_FORMAS'!$AD3)</f>
        <v/>
      </c>
      <c r="FN55" s="176" t="n"/>
      <c r="FO55" s="176" t="n"/>
      <c r="FP55" s="176" t="n"/>
      <c r="FQ55" s="176" t="n"/>
      <c r="FR55" s="176" t="n"/>
      <c r="FS55" s="176" t="n"/>
      <c r="FT55" s="176" t="n"/>
      <c r="FU55" s="176" t="n"/>
      <c r="FV55" s="176" t="n"/>
      <c r="FW55" s="176" t="n"/>
      <c r="FX55" s="176" t="n"/>
      <c r="FY55" s="176" t="n"/>
      <c r="FZ55" s="176" t="n"/>
      <c r="GA55" s="176" t="n"/>
      <c r="GB55" s="176" t="n"/>
      <c r="GC55" s="176" t="n"/>
      <c r="GD55" s="176" t="n"/>
      <c r="GE55" s="176" t="n"/>
      <c r="GF55" s="176" t="n"/>
      <c r="GG55" s="176" t="n"/>
      <c r="GH55" s="193" t="n"/>
      <c r="GM55" s="194" t="n"/>
      <c r="GN55" s="176" t="n"/>
      <c r="GO55" s="176" t="n"/>
      <c r="GP55" s="193" t="n"/>
      <c r="GU55" s="194" t="n"/>
      <c r="GV55" s="176" t="n"/>
      <c r="GW55" s="176" t="n"/>
      <c r="GX55" s="176" t="n"/>
      <c r="GY55" s="181" t="inlineStr">
        <is>
          <t>EFEITO E REQUISITOS</t>
        </is>
      </c>
      <c r="GZ55" s="182" t="n"/>
      <c r="HA55" s="182" t="n"/>
      <c r="HB55" s="182" t="n"/>
      <c r="HC55" s="182" t="n"/>
      <c r="HD55" s="183" t="n"/>
      <c r="HE55" s="176" t="n"/>
      <c r="HF55" s="176" t="n"/>
      <c r="HG55" s="181" t="inlineStr">
        <is>
          <t>EFEITO E REQUISITOS</t>
        </is>
      </c>
      <c r="HH55" s="182" t="n"/>
      <c r="HI55" s="182" t="n"/>
      <c r="HJ55" s="182" t="n"/>
      <c r="HK55" s="182" t="n"/>
      <c r="HL55" s="183" t="n"/>
      <c r="HM55" s="176" t="n"/>
      <c r="HN55" s="176" t="n"/>
      <c r="HO55" s="176" t="n"/>
      <c r="HP55" s="181" t="inlineStr">
        <is>
          <t>EFEITO</t>
        </is>
      </c>
      <c r="HQ55" s="182" t="n"/>
      <c r="HR55" s="182" t="n"/>
      <c r="HS55" s="182" t="n"/>
      <c r="HT55" s="182" t="n"/>
      <c r="HU55" s="183" t="n"/>
      <c r="HV55" s="176" t="n"/>
      <c r="HW55" s="176" t="n"/>
      <c r="HX55" s="181" t="inlineStr">
        <is>
          <t>EFEITO</t>
        </is>
      </c>
      <c r="HY55" s="182" t="n"/>
      <c r="HZ55" s="182" t="n"/>
      <c r="IA55" s="182" t="n"/>
      <c r="IB55" s="182" t="n"/>
      <c r="IC55" s="183" t="n"/>
      <c r="ID55" s="176" t="n"/>
    </row>
    <row r="56" ht="31.5" customHeight="1">
      <c r="A56" s="176" t="n"/>
      <c r="B56" s="176" t="n"/>
      <c r="C56" s="185" t="inlineStr">
        <is>
          <t>Morrendo · Insistir · seguintes</t>
        </is>
      </c>
      <c r="D56" s="183" t="n"/>
      <c r="E56" s="196" t="n">
        <v>0.5</v>
      </c>
      <c r="F56" s="185" t="n"/>
      <c r="G56" s="196">
        <f>IF(F56="",E56,IF(IFERROR(AND(ISNUMBER(F56),F56&gt;=0),FALSE),F56,NA()))</f>
        <v/>
      </c>
      <c r="H56" s="185" t="n"/>
      <c r="I56" s="176" t="n"/>
      <c r="J56" s="176" t="n"/>
      <c r="K56" s="176" t="n"/>
      <c r="L56" s="176" t="n"/>
      <c r="M56" s="176" t="n"/>
      <c r="N56" s="176" t="n"/>
      <c r="O56" s="176" t="n"/>
      <c r="P56" s="176" t="n"/>
      <c r="Q56" s="176" t="n"/>
      <c r="R56" s="176" t="n"/>
      <c r="S56" s="176" t="n"/>
      <c r="T56" s="181">
        <f>SWITCH('CONFIGURAÇÃO'!$T$43,"Origem","","Marcante","","Menor","","Arma","ALCANCE","Escudo","VOLUME","Uniforme","VOLUME","Item comum","","Ferramenta amaldiçoada","PREÇO","")</f>
        <v/>
      </c>
      <c r="U56" s="183" t="n"/>
      <c r="V56" s="185" t="n"/>
      <c r="W56" s="182" t="n"/>
      <c r="X56" s="182" t="n"/>
      <c r="Y56" s="183" t="n"/>
      <c r="Z56" s="176" t="n"/>
      <c r="AA56" s="176" t="n"/>
      <c r="AB56" s="181">
        <f>SWITCH('CONFIGURAÇÃO'!$AB$43,"Origem","","Marcante","","Menor","","Arma","ALCANCE","Escudo","VOLUME","Uniforme","VOLUME","Item comum","","Ferramenta amaldiçoada","PREÇO","")</f>
        <v/>
      </c>
      <c r="AC56" s="183" t="n"/>
      <c r="AD56" s="185" t="n"/>
      <c r="AE56" s="182" t="n"/>
      <c r="AF56" s="182" t="n"/>
      <c r="AG56" s="183" t="n"/>
      <c r="AH56" s="176" t="n"/>
      <c r="AI56" s="176" t="n"/>
      <c r="AJ56" s="176" t="n"/>
      <c r="AK56" s="181" t="n">
        <v>15</v>
      </c>
      <c r="AL56" s="185" t="n"/>
      <c r="AM56" s="182" t="n"/>
      <c r="AN56" s="182" t="n"/>
      <c r="AO56" s="182" t="n"/>
      <c r="AP56" s="183" t="n"/>
      <c r="AQ56" s="176" t="n"/>
      <c r="AR56" s="176" t="n"/>
      <c r="AS56" s="181" t="n">
        <v>19</v>
      </c>
      <c r="AT56" s="185" t="n"/>
      <c r="AU56" s="182" t="n"/>
      <c r="AV56" s="182" t="n"/>
      <c r="AW56" s="182" t="n"/>
      <c r="AX56" s="183" t="n"/>
      <c r="AY56" s="176" t="n"/>
      <c r="AZ56" s="176" t="n"/>
      <c r="BA56" s="176" t="n"/>
      <c r="BB56" s="181">
        <f>IF(BB53="Ofício","ATRIBUTO PADRÃO","ATRIBUTO FIXO")</f>
        <v/>
      </c>
      <c r="BC56" s="182" t="n"/>
      <c r="BD56" s="183" t="n"/>
      <c r="BE56" s="185" t="n"/>
      <c r="BF56" s="182" t="n"/>
      <c r="BG56" s="183" t="n"/>
      <c r="BH56" s="176" t="n"/>
      <c r="BI56" s="176" t="n"/>
      <c r="BJ56" s="181">
        <f>IF(BJ53="Ofício","ATRIBUTO PADRÃO","ATRIBUTO FIXO")</f>
        <v/>
      </c>
      <c r="BK56" s="182" t="n"/>
      <c r="BL56" s="183" t="n"/>
      <c r="BM56" s="185" t="n"/>
      <c r="BN56" s="182" t="n"/>
      <c r="BO56" s="183" t="n"/>
      <c r="BP56" s="176" t="n"/>
      <c r="BQ56" s="176" t="n"/>
      <c r="BR56" s="176" t="n"/>
      <c r="BS56" s="181">
        <f>IF(BS53="Ofício","ATRIBUTO PADRÃO","ATRIBUTO FIXO")</f>
        <v/>
      </c>
      <c r="BT56" s="182" t="n"/>
      <c r="BU56" s="183" t="n"/>
      <c r="BV56" s="185" t="n"/>
      <c r="BW56" s="182" t="n"/>
      <c r="BX56" s="183" t="n"/>
      <c r="BY56" s="176" t="n"/>
      <c r="BZ56" s="176" t="n"/>
      <c r="CA56" s="181">
        <f>IF(CA53="Ofício","ATRIBUTO PADRÃO","ATRIBUTO FIXO")</f>
        <v/>
      </c>
      <c r="CB56" s="182" t="n"/>
      <c r="CC56" s="183" t="n"/>
      <c r="CD56" s="185" t="n"/>
      <c r="CE56" s="182" t="n"/>
      <c r="CF56" s="183" t="n"/>
      <c r="CG56" s="176" t="n"/>
      <c r="CH56" s="176" t="n"/>
      <c r="CI56" s="176" t="n"/>
      <c r="CJ56" s="181" t="inlineStr">
        <is>
          <t>NOME</t>
        </is>
      </c>
      <c r="CK56" s="182" t="n"/>
      <c r="CL56" s="182" t="n"/>
      <c r="CM56" s="182" t="n"/>
      <c r="CN56" s="182" t="n"/>
      <c r="CO56" s="183" t="n"/>
      <c r="CP56" s="176" t="n"/>
      <c r="CQ56" s="176" t="n"/>
      <c r="CR56" s="181" t="inlineStr">
        <is>
          <t>NOME</t>
        </is>
      </c>
      <c r="CS56" s="182" t="n"/>
      <c r="CT56" s="182" t="n"/>
      <c r="CU56" s="182" t="n"/>
      <c r="CV56" s="182" t="n"/>
      <c r="CW56" s="183" t="n"/>
      <c r="CX56" s="176" t="n"/>
      <c r="CY56" s="176" t="n"/>
      <c r="CZ56" s="176" t="n"/>
      <c r="DA56" s="193" t="n"/>
      <c r="DF56" s="194" t="n"/>
      <c r="DG56" s="176" t="n"/>
      <c r="DH56" s="176" t="n"/>
      <c r="DI56" s="193" t="n"/>
      <c r="DN56" s="194" t="n"/>
      <c r="DO56" s="176" t="n"/>
      <c r="DP56" s="176" t="n"/>
      <c r="DQ56" s="176" t="n"/>
      <c r="DR56" s="181" t="inlineStr">
        <is>
          <t>TIPO</t>
        </is>
      </c>
      <c r="DS56" s="182" t="n"/>
      <c r="DT56" s="182" t="n"/>
      <c r="DU56" s="183" t="n"/>
      <c r="DV56" s="181" t="inlineStr">
        <is>
          <t>MESTRE VIU</t>
        </is>
      </c>
      <c r="DW56" s="183" t="n"/>
      <c r="DX56" s="176" t="n"/>
      <c r="DY56" s="176" t="n"/>
      <c r="DZ56" s="181" t="inlineStr">
        <is>
          <t>TIPO</t>
        </is>
      </c>
      <c r="EA56" s="182" t="n"/>
      <c r="EB56" s="182" t="n"/>
      <c r="EC56" s="183" t="n"/>
      <c r="ED56" s="181" t="inlineStr">
        <is>
          <t>MESTRE VIU</t>
        </is>
      </c>
      <c r="EE56" s="183" t="n"/>
      <c r="EF56" s="176" t="n"/>
      <c r="EG56" s="176" t="n"/>
      <c r="EH56" s="176" t="n"/>
      <c r="EI56" s="193" t="n"/>
      <c r="EN56" s="194" t="n"/>
      <c r="EO56" s="176" t="n"/>
      <c r="EP56" s="176" t="n"/>
      <c r="EQ56" s="193" t="n"/>
      <c r="EV56" s="194" t="n"/>
      <c r="EW56" s="176" t="n"/>
      <c r="EX56" s="176" t="n"/>
      <c r="EY56" s="176" t="n"/>
      <c r="FF56" s="176" t="n"/>
      <c r="FG56" s="176" t="n"/>
      <c r="FN56" s="176" t="n"/>
      <c r="FO56" s="176" t="n"/>
      <c r="FP56" s="176" t="n"/>
      <c r="FQ56" s="181" t="inlineStr">
        <is>
          <t>EFEITO</t>
        </is>
      </c>
      <c r="FR56" s="182" t="n"/>
      <c r="FS56" s="182" t="n"/>
      <c r="FT56" s="182" t="n"/>
      <c r="FU56" s="182" t="n"/>
      <c r="FV56" s="183" t="n"/>
      <c r="FW56" s="176" t="n"/>
      <c r="FX56" s="176" t="n"/>
      <c r="FY56" s="181" t="inlineStr">
        <is>
          <t>EFEITO</t>
        </is>
      </c>
      <c r="FZ56" s="182" t="n"/>
      <c r="GA56" s="182" t="n"/>
      <c r="GB56" s="182" t="n"/>
      <c r="GC56" s="182" t="n"/>
      <c r="GD56" s="183" t="n"/>
      <c r="GE56" s="176" t="n"/>
      <c r="GF56" s="176" t="n"/>
      <c r="GG56" s="176" t="n"/>
      <c r="GH56" s="189" t="n"/>
      <c r="GI56" s="190" t="n"/>
      <c r="GJ56" s="190" t="n"/>
      <c r="GK56" s="190" t="n"/>
      <c r="GL56" s="190" t="n"/>
      <c r="GM56" s="191" t="n"/>
      <c r="GN56" s="176" t="n"/>
      <c r="GO56" s="176" t="n"/>
      <c r="GP56" s="189" t="n"/>
      <c r="GQ56" s="190" t="n"/>
      <c r="GR56" s="190" t="n"/>
      <c r="GS56" s="190" t="n"/>
      <c r="GT56" s="190" t="n"/>
      <c r="GU56" s="191" t="n"/>
      <c r="GV56" s="176" t="n"/>
      <c r="GW56" s="176" t="n"/>
      <c r="GX56" s="176" t="n"/>
      <c r="GY56" s="192" t="n"/>
      <c r="GZ56" s="187" t="n"/>
      <c r="HA56" s="187" t="n"/>
      <c r="HB56" s="187" t="n"/>
      <c r="HC56" s="187" t="n"/>
      <c r="HD56" s="188" t="n"/>
      <c r="HE56" s="176" t="n"/>
      <c r="HF56" s="176" t="n"/>
      <c r="HG56" s="192" t="n"/>
      <c r="HH56" s="187" t="n"/>
      <c r="HI56" s="187" t="n"/>
      <c r="HJ56" s="187" t="n"/>
      <c r="HK56" s="187" t="n"/>
      <c r="HL56" s="188" t="n"/>
      <c r="HM56" s="176" t="n"/>
      <c r="HN56" s="176" t="n"/>
      <c r="HO56" s="176" t="n"/>
      <c r="HP56" s="192" t="n"/>
      <c r="HQ56" s="187" t="n"/>
      <c r="HR56" s="187" t="n"/>
      <c r="HS56" s="187" t="n"/>
      <c r="HT56" s="187" t="n"/>
      <c r="HU56" s="188" t="n"/>
      <c r="HV56" s="176" t="n"/>
      <c r="HW56" s="176" t="n"/>
      <c r="HX56" s="192" t="n"/>
      <c r="HY56" s="187" t="n"/>
      <c r="HZ56" s="187" t="n"/>
      <c r="IA56" s="187" t="n"/>
      <c r="IB56" s="187" t="n"/>
      <c r="IC56" s="188" t="n"/>
      <c r="ID56" s="176" t="n"/>
    </row>
    <row r="57" ht="31.5" customHeight="1">
      <c r="A57" s="176" t="n"/>
      <c r="B57" s="176" t="n"/>
      <c r="C57" s="185" t="inlineStr">
        <is>
          <t>Morrendo · teto de Insistir</t>
        </is>
      </c>
      <c r="D57" s="183" t="n"/>
      <c r="E57" s="186" t="n">
        <v>15</v>
      </c>
      <c r="F57" s="185" t="n"/>
      <c r="G57" s="186">
        <f>IF(F57="",E57,IF(IFERROR(AND(ISNUMBER(F57),F57&gt;=0),FALSE),F57,NA()))</f>
        <v/>
      </c>
      <c r="H57" s="185" t="n"/>
      <c r="I57" s="176" t="n"/>
      <c r="J57" s="176" t="n"/>
      <c r="K57" s="176" t="n"/>
      <c r="L57" s="176" t="n"/>
      <c r="M57" s="176" t="n"/>
      <c r="N57" s="176" t="n"/>
      <c r="O57" s="176" t="n"/>
      <c r="P57" s="176" t="n"/>
      <c r="Q57" s="176" t="n"/>
      <c r="R57" s="176" t="n"/>
      <c r="S57" s="176" t="n"/>
      <c r="T57" s="181">
        <f>SWITCH('CONFIGURAÇÃO'!$T$43,"Origem","","Marcante","","Menor","","Arma","RECARGA","Escudo","PREÇO","Uniforme","PREÇO","Item comum","","Ferramenta amaldiçoada","","")</f>
        <v/>
      </c>
      <c r="U57" s="183" t="n"/>
      <c r="V57" s="185" t="n"/>
      <c r="W57" s="182" t="n"/>
      <c r="X57" s="182" t="n"/>
      <c r="Y57" s="183" t="n"/>
      <c r="Z57" s="176" t="n"/>
      <c r="AA57" s="176" t="n"/>
      <c r="AB57" s="181">
        <f>SWITCH('CONFIGURAÇÃO'!$AB$43,"Origem","","Marcante","","Menor","","Arma","RECARGA","Escudo","PREÇO","Uniforme","PREÇO","Item comum","","Ferramenta amaldiçoada","","")</f>
        <v/>
      </c>
      <c r="AC57" s="183" t="n"/>
      <c r="AD57" s="185" t="n"/>
      <c r="AE57" s="182" t="n"/>
      <c r="AF57" s="182" t="n"/>
      <c r="AG57" s="183" t="n"/>
      <c r="AH57" s="176" t="n"/>
      <c r="AI57" s="176" t="n"/>
      <c r="AJ57" s="176" t="n"/>
      <c r="AK57" s="192" t="n"/>
      <c r="AL57" s="187" t="n"/>
      <c r="AM57" s="187" t="n"/>
      <c r="AN57" s="187" t="n"/>
      <c r="AO57" s="187" t="n"/>
      <c r="AP57" s="188" t="n"/>
      <c r="AQ57" s="176" t="n"/>
      <c r="AR57" s="176" t="n"/>
      <c r="AS57" s="192" t="n"/>
      <c r="AT57" s="187" t="n"/>
      <c r="AU57" s="187" t="n"/>
      <c r="AV57" s="187" t="n"/>
      <c r="AW57" s="187" t="n"/>
      <c r="AX57" s="188" t="n"/>
      <c r="AY57" s="176" t="n"/>
      <c r="AZ57" s="176" t="n"/>
      <c r="BA57" s="176" t="n"/>
      <c r="BB57" s="181" t="inlineStr">
        <is>
          <t>DESCRIÇÃO</t>
        </is>
      </c>
      <c r="BC57" s="182" t="n"/>
      <c r="BD57" s="182" t="n"/>
      <c r="BE57" s="182" t="n"/>
      <c r="BF57" s="182" t="n"/>
      <c r="BG57" s="183" t="n"/>
      <c r="BH57" s="176" t="n"/>
      <c r="BI57" s="176" t="n"/>
      <c r="BJ57" s="181" t="inlineStr">
        <is>
          <t>DESCRIÇÃO</t>
        </is>
      </c>
      <c r="BK57" s="182" t="n"/>
      <c r="BL57" s="182" t="n"/>
      <c r="BM57" s="182" t="n"/>
      <c r="BN57" s="182" t="n"/>
      <c r="BO57" s="183" t="n"/>
      <c r="BP57" s="176" t="n"/>
      <c r="BQ57" s="176" t="n"/>
      <c r="BR57" s="176" t="n"/>
      <c r="BS57" s="181" t="inlineStr">
        <is>
          <t>DESCRIÇÃO</t>
        </is>
      </c>
      <c r="BT57" s="182" t="n"/>
      <c r="BU57" s="182" t="n"/>
      <c r="BV57" s="182" t="n"/>
      <c r="BW57" s="182" t="n"/>
      <c r="BX57" s="183" t="n"/>
      <c r="BY57" s="176" t="n"/>
      <c r="BZ57" s="176" t="n"/>
      <c r="CA57" s="181" t="inlineStr">
        <is>
          <t>DESCRIÇÃO</t>
        </is>
      </c>
      <c r="CB57" s="182" t="n"/>
      <c r="CC57" s="182" t="n"/>
      <c r="CD57" s="182" t="n"/>
      <c r="CE57" s="182" t="n"/>
      <c r="CF57" s="183" t="n"/>
      <c r="CG57" s="176" t="n"/>
      <c r="CH57" s="176" t="n"/>
      <c r="CI57" s="176" t="n"/>
      <c r="CJ57" s="185" t="n"/>
      <c r="CK57" s="182" t="n"/>
      <c r="CL57" s="182" t="n"/>
      <c r="CM57" s="182" t="n"/>
      <c r="CN57" s="182" t="n"/>
      <c r="CO57" s="183" t="n"/>
      <c r="CP57" s="176" t="n"/>
      <c r="CQ57" s="176" t="n"/>
      <c r="CR57" s="185" t="n"/>
      <c r="CS57" s="182" t="n"/>
      <c r="CT57" s="182" t="n"/>
      <c r="CU57" s="182" t="n"/>
      <c r="CV57" s="182" t="n"/>
      <c r="CW57" s="183" t="n"/>
      <c r="CX57" s="176" t="n"/>
      <c r="CY57" s="176" t="n"/>
      <c r="CZ57" s="176" t="n"/>
      <c r="DA57" s="193" t="n"/>
      <c r="DF57" s="194" t="n"/>
      <c r="DG57" s="176" t="n"/>
      <c r="DH57" s="176" t="n"/>
      <c r="DI57" s="193" t="n"/>
      <c r="DN57" s="194" t="n"/>
      <c r="DO57" s="176" t="n"/>
      <c r="DP57" s="176" t="n"/>
      <c r="DQ57" s="176" t="n"/>
      <c r="DR57" s="185" t="inlineStr">
        <is>
          <t>Restrição</t>
        </is>
      </c>
      <c r="DS57" s="182" t="n"/>
      <c r="DT57" s="182" t="n"/>
      <c r="DU57" s="183" t="n"/>
      <c r="DV57" s="184" t="b">
        <v>0</v>
      </c>
      <c r="DW57" s="183" t="n"/>
      <c r="DX57" s="176" t="n"/>
      <c r="DY57" s="176" t="n"/>
      <c r="DZ57" s="185" t="inlineStr">
        <is>
          <t>Restrição</t>
        </is>
      </c>
      <c r="EA57" s="182" t="n"/>
      <c r="EB57" s="182" t="n"/>
      <c r="EC57" s="183" t="n"/>
      <c r="ED57" s="184" t="b">
        <v>0</v>
      </c>
      <c r="EE57" s="183" t="n"/>
      <c r="EF57" s="176" t="n"/>
      <c r="EG57" s="176" t="n"/>
      <c r="EH57" s="176" t="n"/>
      <c r="EI57" s="193" t="n"/>
      <c r="EN57" s="194" t="n"/>
      <c r="EO57" s="176" t="n"/>
      <c r="EP57" s="176" t="n"/>
      <c r="EQ57" s="193" t="n"/>
      <c r="EV57" s="194" t="n"/>
      <c r="EW57" s="176" t="n"/>
      <c r="EX57" s="176" t="n"/>
      <c r="EY57" s="176" t="n"/>
      <c r="EZ57" s="176" t="n"/>
      <c r="FA57" s="176" t="n"/>
      <c r="FB57" s="176" t="n"/>
      <c r="FC57" s="176" t="n"/>
      <c r="FD57" s="176" t="n"/>
      <c r="FE57" s="176" t="n"/>
      <c r="FF57" s="176" t="n"/>
      <c r="FG57" s="176" t="n"/>
      <c r="FH57" s="176" t="n"/>
      <c r="FI57" s="176" t="n"/>
      <c r="FJ57" s="176" t="n"/>
      <c r="FK57" s="176" t="n"/>
      <c r="FL57" s="176" t="n"/>
      <c r="FM57" s="176" t="n"/>
      <c r="FN57" s="176" t="n"/>
      <c r="FO57" s="176" t="n"/>
      <c r="FP57" s="176" t="n"/>
      <c r="FQ57" s="192" t="n"/>
      <c r="FR57" s="187" t="n"/>
      <c r="FS57" s="187" t="n"/>
      <c r="FT57" s="187" t="n"/>
      <c r="FU57" s="187" t="n"/>
      <c r="FV57" s="188" t="n"/>
      <c r="FW57" s="176" t="n"/>
      <c r="FX57" s="176" t="n"/>
      <c r="FY57" s="192" t="n"/>
      <c r="FZ57" s="187" t="n"/>
      <c r="GA57" s="187" t="n"/>
      <c r="GB57" s="187" t="n"/>
      <c r="GC57" s="187" t="n"/>
      <c r="GD57" s="188" t="n"/>
      <c r="GE57" s="176" t="n"/>
      <c r="GF57" s="176" t="n"/>
      <c r="GG57" s="176" t="n"/>
      <c r="GH57" s="176" t="n"/>
      <c r="GI57" s="176" t="n"/>
      <c r="GJ57" s="176" t="n"/>
      <c r="GK57" s="176" t="n"/>
      <c r="GL57" s="176" t="n"/>
      <c r="GM57" s="176" t="n"/>
      <c r="GN57" s="176" t="n"/>
      <c r="GO57" s="176" t="n"/>
      <c r="GP57" s="176" t="n"/>
      <c r="GQ57" s="176" t="n"/>
      <c r="GR57" s="176" t="n"/>
      <c r="GS57" s="176" t="n"/>
      <c r="GT57" s="176" t="n"/>
      <c r="GU57" s="176" t="n"/>
      <c r="GV57" s="176" t="n"/>
      <c r="GW57" s="176" t="n"/>
      <c r="GX57" s="176" t="n"/>
      <c r="GY57" s="193" t="n"/>
      <c r="HD57" s="194" t="n"/>
      <c r="HE57" s="176" t="n"/>
      <c r="HF57" s="176" t="n"/>
      <c r="HG57" s="193" t="n"/>
      <c r="HL57" s="194" t="n"/>
      <c r="HM57" s="176" t="n"/>
      <c r="HN57" s="176" t="n"/>
      <c r="HO57" s="176" t="n"/>
      <c r="HP57" s="193" t="n"/>
      <c r="HU57" s="194" t="n"/>
      <c r="HV57" s="176" t="n"/>
      <c r="HW57" s="176" t="n"/>
      <c r="HX57" s="193" t="n"/>
      <c r="IC57" s="194" t="n"/>
      <c r="ID57" s="176" t="n"/>
    </row>
    <row r="58" ht="31.5" customHeight="1">
      <c r="A58" s="176" t="n"/>
      <c r="B58" s="176" t="n"/>
      <c r="C58" s="185" t="inlineStr">
        <is>
          <t>Morrendo · prazo</t>
        </is>
      </c>
      <c r="D58" s="183" t="n"/>
      <c r="E58" s="186" t="n">
        <v>3</v>
      </c>
      <c r="F58" s="185" t="n"/>
      <c r="G58" s="186">
        <f>IF(F58="",E58,IF(IFERROR(AND(ISNUMBER(F58),F58&gt;=0,INT(F58)=F58),FALSE),F58,NA()))</f>
        <v/>
      </c>
      <c r="H58" s="185" t="n"/>
      <c r="I58" s="176" t="n"/>
      <c r="J58" s="176" t="n"/>
      <c r="K58" s="176" t="n"/>
      <c r="L58" s="176" t="n"/>
      <c r="M58" s="176" t="n"/>
      <c r="N58" s="176" t="n"/>
      <c r="O58" s="176" t="n"/>
      <c r="P58" s="176" t="n"/>
      <c r="Q58" s="176" t="n"/>
      <c r="R58" s="176" t="n"/>
      <c r="S58" s="176" t="n"/>
      <c r="T58" s="181">
        <f>SWITCH('CONFIGURAÇÃO'!$T$43,"Origem","","Marcante","","Menor","","Arma","PREÇO","Escudo","","Uniforme","","Item comum","","Ferramenta amaldiçoada","","")</f>
        <v/>
      </c>
      <c r="U58" s="183" t="n"/>
      <c r="V58" s="185" t="n"/>
      <c r="W58" s="182" t="n"/>
      <c r="X58" s="182" t="n"/>
      <c r="Y58" s="183" t="n"/>
      <c r="Z58" s="176" t="n"/>
      <c r="AA58" s="176" t="n"/>
      <c r="AB58" s="181">
        <f>SWITCH('CONFIGURAÇÃO'!$AB$43,"Origem","","Marcante","","Menor","","Arma","PREÇO","Escudo","","Uniforme","","Item comum","","Ferramenta amaldiçoada","","")</f>
        <v/>
      </c>
      <c r="AC58" s="183" t="n"/>
      <c r="AD58" s="185" t="n"/>
      <c r="AE58" s="182" t="n"/>
      <c r="AF58" s="182" t="n"/>
      <c r="AG58" s="183" t="n"/>
      <c r="AH58" s="176" t="n"/>
      <c r="AI58" s="176" t="n"/>
      <c r="AJ58" s="176" t="n"/>
      <c r="AK58" s="189" t="n"/>
      <c r="AL58" s="190" t="n"/>
      <c r="AM58" s="190" t="n"/>
      <c r="AN58" s="190" t="n"/>
      <c r="AO58" s="190" t="n"/>
      <c r="AP58" s="191" t="n"/>
      <c r="AQ58" s="176" t="n"/>
      <c r="AR58" s="176" t="n"/>
      <c r="AS58" s="189" t="n"/>
      <c r="AT58" s="190" t="n"/>
      <c r="AU58" s="190" t="n"/>
      <c r="AV58" s="190" t="n"/>
      <c r="AW58" s="190" t="n"/>
      <c r="AX58" s="191" t="n"/>
      <c r="AY58" s="176" t="n"/>
      <c r="AZ58" s="176" t="n"/>
      <c r="BA58" s="176" t="n"/>
      <c r="BB58" s="192" t="n"/>
      <c r="BC58" s="187" t="n"/>
      <c r="BD58" s="187" t="n"/>
      <c r="BE58" s="187" t="n"/>
      <c r="BF58" s="187" t="n"/>
      <c r="BG58" s="188" t="n"/>
      <c r="BH58" s="176" t="n"/>
      <c r="BI58" s="176" t="n"/>
      <c r="BJ58" s="192" t="n"/>
      <c r="BK58" s="187" t="n"/>
      <c r="BL58" s="187" t="n"/>
      <c r="BM58" s="187" t="n"/>
      <c r="BN58" s="187" t="n"/>
      <c r="BO58" s="188" t="n"/>
      <c r="BP58" s="176" t="n"/>
      <c r="BQ58" s="176" t="n"/>
      <c r="BR58" s="176" t="n"/>
      <c r="BS58" s="192" t="n"/>
      <c r="BT58" s="187" t="n"/>
      <c r="BU58" s="187" t="n"/>
      <c r="BV58" s="187" t="n"/>
      <c r="BW58" s="187" t="n"/>
      <c r="BX58" s="188" t="n"/>
      <c r="BY58" s="176" t="n"/>
      <c r="BZ58" s="176" t="n"/>
      <c r="CA58" s="192" t="n"/>
      <c r="CB58" s="187" t="n"/>
      <c r="CC58" s="187" t="n"/>
      <c r="CD58" s="187" t="n"/>
      <c r="CE58" s="187" t="n"/>
      <c r="CF58" s="188" t="n"/>
      <c r="CG58" s="176" t="n"/>
      <c r="CH58" s="176" t="n"/>
      <c r="CI58" s="176" t="n"/>
      <c r="CJ58" s="181" t="inlineStr">
        <is>
          <t>ESTADO NA FICHA</t>
        </is>
      </c>
      <c r="CK58" s="182" t="n"/>
      <c r="CL58" s="183" t="n"/>
      <c r="CM58" s="185">
        <f>IF('FICHA AMALDIÇOADA'!O47="","Neutra",'FICHA AMALDIÇOADA'!O47)</f>
        <v/>
      </c>
      <c r="CN58" s="182" t="n"/>
      <c r="CO58" s="183" t="n"/>
      <c r="CP58" s="176" t="n"/>
      <c r="CQ58" s="176" t="n"/>
      <c r="CR58" s="181" t="inlineStr">
        <is>
          <t>ESTADO NA FICHA</t>
        </is>
      </c>
      <c r="CS58" s="182" t="n"/>
      <c r="CT58" s="183" t="n"/>
      <c r="CU58" s="185">
        <f>IF('FICHA AMALDIÇOADA'!O48="","Neutra",'FICHA AMALDIÇOADA'!O48)</f>
        <v/>
      </c>
      <c r="CV58" s="182" t="n"/>
      <c r="CW58" s="183" t="n"/>
      <c r="CX58" s="176" t="n"/>
      <c r="CY58" s="176" t="n"/>
      <c r="CZ58" s="176" t="n"/>
      <c r="DA58" s="189" t="n"/>
      <c r="DB58" s="190" t="n"/>
      <c r="DC58" s="190" t="n"/>
      <c r="DD58" s="190" t="n"/>
      <c r="DE58" s="190" t="n"/>
      <c r="DF58" s="191" t="n"/>
      <c r="DG58" s="176" t="n"/>
      <c r="DH58" s="176" t="n"/>
      <c r="DI58" s="189" t="n"/>
      <c r="DJ58" s="190" t="n"/>
      <c r="DK58" s="190" t="n"/>
      <c r="DL58" s="190" t="n"/>
      <c r="DM58" s="190" t="n"/>
      <c r="DN58" s="191" t="n"/>
      <c r="DO58" s="176" t="n"/>
      <c r="DP58" s="176" t="n"/>
      <c r="DQ58" s="176" t="n"/>
      <c r="DR58" s="181" t="inlineStr">
        <is>
          <t>NOME</t>
        </is>
      </c>
      <c r="DS58" s="182" t="n"/>
      <c r="DT58" s="182" t="n"/>
      <c r="DU58" s="182" t="n"/>
      <c r="DV58" s="182" t="n"/>
      <c r="DW58" s="183" t="n"/>
      <c r="DX58" s="176" t="n"/>
      <c r="DY58" s="176" t="n"/>
      <c r="DZ58" s="181" t="inlineStr">
        <is>
          <t>NOME</t>
        </is>
      </c>
      <c r="EA58" s="182" t="n"/>
      <c r="EB58" s="182" t="n"/>
      <c r="EC58" s="182" t="n"/>
      <c r="ED58" s="182" t="n"/>
      <c r="EE58" s="183" t="n"/>
      <c r="EF58" s="176" t="n"/>
      <c r="EG58" s="176" t="n"/>
      <c r="EH58" s="176" t="n"/>
      <c r="EI58" s="193" t="n"/>
      <c r="EN58" s="194" t="n"/>
      <c r="EO58" s="176" t="n"/>
      <c r="EP58" s="176" t="n"/>
      <c r="EQ58" s="193" t="n"/>
      <c r="EV58" s="194" t="n"/>
      <c r="EW58" s="176" t="n"/>
      <c r="EX58" s="176" t="n"/>
      <c r="EY58" s="176" t="n"/>
      <c r="EZ58" s="179" t="inlineStr">
        <is>
          <t>FORMAS · 3</t>
        </is>
      </c>
      <c r="FF58" s="176" t="n"/>
      <c r="FG58" s="176" t="n"/>
      <c r="FH58" s="179" t="inlineStr">
        <is>
          <t>FORMAS · 4</t>
        </is>
      </c>
      <c r="FN58" s="176" t="n"/>
      <c r="FO58" s="176" t="n"/>
      <c r="FP58" s="176" t="n"/>
      <c r="FQ58" s="193" t="n"/>
      <c r="FV58" s="194" t="n"/>
      <c r="FW58" s="176" t="n"/>
      <c r="FX58" s="176" t="n"/>
      <c r="FY58" s="193" t="n"/>
      <c r="GD58" s="194" t="n"/>
      <c r="GE58" s="176" t="n"/>
      <c r="GF58" s="176" t="n"/>
      <c r="GG58" s="176" t="n"/>
      <c r="GH58" s="176" t="n"/>
      <c r="GI58" s="176" t="n"/>
      <c r="GJ58" s="176" t="n"/>
      <c r="GK58" s="176" t="n"/>
      <c r="GL58" s="176" t="n"/>
      <c r="GM58" s="176" t="n"/>
      <c r="GN58" s="176" t="n"/>
      <c r="GO58" s="176" t="n"/>
      <c r="GP58" s="176" t="n"/>
      <c r="GQ58" s="176" t="n"/>
      <c r="GR58" s="176" t="n"/>
      <c r="GS58" s="176" t="n"/>
      <c r="GT58" s="176" t="n"/>
      <c r="GU58" s="176" t="n"/>
      <c r="GV58" s="176" t="n"/>
      <c r="GW58" s="176" t="n"/>
      <c r="GX58" s="176" t="n"/>
      <c r="GY58" s="193" t="n"/>
      <c r="HD58" s="194" t="n"/>
      <c r="HE58" s="176" t="n"/>
      <c r="HF58" s="176" t="n"/>
      <c r="HG58" s="193" t="n"/>
      <c r="HL58" s="194" t="n"/>
      <c r="HM58" s="176" t="n"/>
      <c r="HN58" s="176" t="n"/>
      <c r="HO58" s="176" t="n"/>
      <c r="HP58" s="193" t="n"/>
      <c r="HU58" s="194" t="n"/>
      <c r="HV58" s="176" t="n"/>
      <c r="HW58" s="176" t="n"/>
      <c r="HX58" s="193" t="n"/>
      <c r="IC58" s="194" t="n"/>
      <c r="ID58" s="176" t="n"/>
    </row>
    <row r="59" ht="31.5" customHeight="1">
      <c r="A59" s="176" t="n"/>
      <c r="B59" s="176" t="n"/>
      <c r="C59" s="185" t="inlineStr">
        <is>
          <t>Vida rolada</t>
        </is>
      </c>
      <c r="D59" s="183" t="n"/>
      <c r="E59" s="197" t="inlineStr">
        <is>
          <t>Não</t>
        </is>
      </c>
      <c r="F59" s="185" t="n"/>
      <c r="G59" s="197">
        <f>IF(F59="",E59,IF(IFERROR(OR(F59="Sim",F59="Não"),FALSE),F59,NA()))</f>
        <v/>
      </c>
      <c r="H59" s="185" t="n"/>
      <c r="I59" s="176" t="n"/>
      <c r="J59" s="176" t="n"/>
      <c r="K59" s="176" t="n"/>
      <c r="L59" s="176" t="n"/>
      <c r="M59" s="176" t="n"/>
      <c r="N59" s="176" t="n"/>
      <c r="O59" s="176" t="n"/>
      <c r="P59" s="176" t="n"/>
      <c r="Q59" s="176" t="n"/>
      <c r="R59" s="176" t="n"/>
      <c r="S59" s="176" t="n"/>
      <c r="T59" s="181" t="inlineStr">
        <is>
          <t>EFEITO · DESCRIÇÃO</t>
        </is>
      </c>
      <c r="U59" s="182" t="n"/>
      <c r="V59" s="182" t="n"/>
      <c r="W59" s="182" t="n"/>
      <c r="X59" s="182" t="n"/>
      <c r="Y59" s="183" t="n"/>
      <c r="Z59" s="176" t="n"/>
      <c r="AA59" s="176" t="n"/>
      <c r="AB59" s="181" t="inlineStr">
        <is>
          <t>EFEITO · DESCRIÇÃO</t>
        </is>
      </c>
      <c r="AC59" s="182" t="n"/>
      <c r="AD59" s="182" t="n"/>
      <c r="AE59" s="182" t="n"/>
      <c r="AF59" s="182" t="n"/>
      <c r="AG59" s="183" t="n"/>
      <c r="AH59" s="176" t="n"/>
      <c r="AI59" s="176" t="n"/>
      <c r="AJ59" s="176" t="n"/>
      <c r="AK59" s="181" t="n">
        <v>23</v>
      </c>
      <c r="AL59" s="185" t="n"/>
      <c r="AM59" s="182" t="n"/>
      <c r="AN59" s="182" t="n"/>
      <c r="AO59" s="182" t="n"/>
      <c r="AP59" s="183" t="n"/>
      <c r="AQ59" s="176" t="n"/>
      <c r="AR59" s="176" t="n"/>
      <c r="AS59" s="181" t="n">
        <v>27</v>
      </c>
      <c r="AT59" s="185" t="n"/>
      <c r="AU59" s="182" t="n"/>
      <c r="AV59" s="182" t="n"/>
      <c r="AW59" s="182" t="n"/>
      <c r="AX59" s="183" t="n"/>
      <c r="AY59" s="176" t="n"/>
      <c r="AZ59" s="176" t="n"/>
      <c r="BA59" s="176" t="n"/>
      <c r="BB59" s="193" t="n"/>
      <c r="BG59" s="194" t="n"/>
      <c r="BH59" s="176" t="n"/>
      <c r="BI59" s="176" t="n"/>
      <c r="BJ59" s="193" t="n"/>
      <c r="BO59" s="194" t="n"/>
      <c r="BP59" s="176" t="n"/>
      <c r="BQ59" s="176" t="n"/>
      <c r="BR59" s="176" t="n"/>
      <c r="BS59" s="193" t="n"/>
      <c r="BX59" s="194" t="n"/>
      <c r="BY59" s="176" t="n"/>
      <c r="BZ59" s="176" t="n"/>
      <c r="CA59" s="193" t="n"/>
      <c r="CF59" s="194" t="n"/>
      <c r="CG59" s="176" t="n"/>
      <c r="CH59" s="176" t="n"/>
      <c r="CI59" s="176" t="n"/>
      <c r="CJ59" s="181" t="inlineStr">
        <is>
          <t>DESCRIÇÃO</t>
        </is>
      </c>
      <c r="CK59" s="182" t="n"/>
      <c r="CL59" s="182" t="n"/>
      <c r="CM59" s="182" t="n"/>
      <c r="CN59" s="182" t="n"/>
      <c r="CO59" s="183" t="n"/>
      <c r="CP59" s="176" t="n"/>
      <c r="CQ59" s="176" t="n"/>
      <c r="CR59" s="181" t="inlineStr">
        <is>
          <t>DESCRIÇÃO</t>
        </is>
      </c>
      <c r="CS59" s="182" t="n"/>
      <c r="CT59" s="182" t="n"/>
      <c r="CU59" s="182" t="n"/>
      <c r="CV59" s="182" t="n"/>
      <c r="CW59" s="183" t="n"/>
      <c r="CX59" s="176" t="n"/>
      <c r="CY59" s="176" t="n"/>
      <c r="CZ59" s="176" t="n"/>
      <c r="DA59" s="176" t="n"/>
      <c r="DB59" s="176" t="n"/>
      <c r="DC59" s="176" t="n"/>
      <c r="DD59" s="176" t="n"/>
      <c r="DE59" s="176" t="n"/>
      <c r="DF59" s="176" t="n"/>
      <c r="DG59" s="176" t="n"/>
      <c r="DH59" s="176" t="n"/>
      <c r="DI59" s="176" t="n"/>
      <c r="DJ59" s="176" t="n"/>
      <c r="DK59" s="176" t="n"/>
      <c r="DL59" s="176" t="n"/>
      <c r="DM59" s="176" t="n"/>
      <c r="DN59" s="176" t="n"/>
      <c r="DO59" s="176" t="n"/>
      <c r="DP59" s="176" t="n"/>
      <c r="DQ59" s="176" t="n"/>
      <c r="DR59" s="185" t="n"/>
      <c r="DS59" s="182" t="n"/>
      <c r="DT59" s="182" t="n"/>
      <c r="DU59" s="182" t="n"/>
      <c r="DV59" s="182" t="n"/>
      <c r="DW59" s="183" t="n"/>
      <c r="DX59" s="176" t="n"/>
      <c r="DY59" s="176" t="n"/>
      <c r="DZ59" s="185" t="n"/>
      <c r="EA59" s="182" t="n"/>
      <c r="EB59" s="182" t="n"/>
      <c r="EC59" s="182" t="n"/>
      <c r="ED59" s="182" t="n"/>
      <c r="EE59" s="183" t="n"/>
      <c r="EF59" s="176" t="n"/>
      <c r="EG59" s="176" t="n"/>
      <c r="EH59" s="176" t="n"/>
      <c r="EI59" s="193" t="n"/>
      <c r="EN59" s="194" t="n"/>
      <c r="EO59" s="176" t="n"/>
      <c r="EP59" s="176" t="n"/>
      <c r="EQ59" s="193" t="n"/>
      <c r="EV59" s="194" t="n"/>
      <c r="EW59" s="176" t="n"/>
      <c r="EX59" s="176" t="n"/>
      <c r="EY59" s="176" t="n"/>
      <c r="EZ59" s="181" t="inlineStr">
        <is>
          <t>TIPO</t>
        </is>
      </c>
      <c r="FA59" s="182" t="n"/>
      <c r="FB59" s="182" t="n"/>
      <c r="FC59" s="183" t="n"/>
      <c r="FD59" s="181" t="inlineStr">
        <is>
          <t>MESTRE VIU</t>
        </is>
      </c>
      <c r="FE59" s="183" t="n"/>
      <c r="FF59" s="176" t="n"/>
      <c r="FG59" s="176" t="n"/>
      <c r="FH59" s="181" t="inlineStr">
        <is>
          <t>TIPO</t>
        </is>
      </c>
      <c r="FI59" s="182" t="n"/>
      <c r="FJ59" s="182" t="n"/>
      <c r="FK59" s="183" t="n"/>
      <c r="FL59" s="181" t="inlineStr">
        <is>
          <t>MESTRE VIU</t>
        </is>
      </c>
      <c r="FM59" s="183" t="n"/>
      <c r="FN59" s="176" t="n"/>
      <c r="FO59" s="176" t="n"/>
      <c r="FP59" s="176" t="n"/>
      <c r="FQ59" s="193" t="n"/>
      <c r="FV59" s="194" t="n"/>
      <c r="FW59" s="176" t="n"/>
      <c r="FX59" s="176" t="n"/>
      <c r="FY59" s="193" t="n"/>
      <c r="GD59" s="194" t="n"/>
      <c r="GE59" s="176" t="n"/>
      <c r="GF59" s="176" t="n"/>
      <c r="GG59" s="176" t="n"/>
      <c r="GH59" s="180">
        <f>IF('DADOS_TALENTOS'!$I4="","","⚠ "&amp;'DADOS_TALENTOS'!$I4)</f>
        <v/>
      </c>
      <c r="GN59" s="176" t="n"/>
      <c r="GO59" s="176" t="n"/>
      <c r="GP59" s="180">
        <f>IF('DADOS_TALENTOS'!$I5="","","⚠ "&amp;'DADOS_TALENTOS'!$I5)</f>
        <v/>
      </c>
      <c r="GV59" s="176" t="n"/>
      <c r="GW59" s="176" t="n"/>
      <c r="GX59" s="176" t="n"/>
      <c r="GY59" s="193" t="n"/>
      <c r="HD59" s="194" t="n"/>
      <c r="HE59" s="176" t="n"/>
      <c r="HF59" s="176" t="n"/>
      <c r="HG59" s="193" t="n"/>
      <c r="HL59" s="194" t="n"/>
      <c r="HM59" s="176" t="n"/>
      <c r="HN59" s="176" t="n"/>
      <c r="HO59" s="176" t="n"/>
      <c r="HP59" s="193" t="n"/>
      <c r="HU59" s="194" t="n"/>
      <c r="HV59" s="176" t="n"/>
      <c r="HW59" s="176" t="n"/>
      <c r="HX59" s="193" t="n"/>
      <c r="IC59" s="194" t="n"/>
      <c r="ID59" s="176" t="n"/>
    </row>
    <row r="60" ht="31.5" customHeight="1">
      <c r="A60" s="176" t="n"/>
      <c r="B60" s="176" t="n"/>
      <c r="C60" s="176" t="n"/>
      <c r="D60" s="176" t="n"/>
      <c r="E60" s="176" t="n"/>
      <c r="F60" s="176" t="n"/>
      <c r="G60" s="176" t="n"/>
      <c r="H60" s="176" t="n"/>
      <c r="I60" s="176" t="n"/>
      <c r="J60" s="176" t="n"/>
      <c r="K60" s="176" t="n"/>
      <c r="L60" s="176" t="n"/>
      <c r="M60" s="176" t="n"/>
      <c r="N60" s="176" t="n"/>
      <c r="O60" s="176" t="n"/>
      <c r="P60" s="176" t="n"/>
      <c r="Q60" s="176" t="n"/>
      <c r="R60" s="176" t="n"/>
      <c r="S60" s="176" t="n"/>
      <c r="T60" s="192" t="n"/>
      <c r="U60" s="187" t="n"/>
      <c r="V60" s="187" t="n"/>
      <c r="W60" s="187" t="n"/>
      <c r="X60" s="187" t="n"/>
      <c r="Y60" s="188" t="n"/>
      <c r="Z60" s="176" t="n"/>
      <c r="AA60" s="176" t="n"/>
      <c r="AB60" s="192" t="n"/>
      <c r="AC60" s="187" t="n"/>
      <c r="AD60" s="187" t="n"/>
      <c r="AE60" s="187" t="n"/>
      <c r="AF60" s="187" t="n"/>
      <c r="AG60" s="188" t="n"/>
      <c r="AH60" s="176" t="n"/>
      <c r="AI60" s="176" t="n"/>
      <c r="AJ60" s="176" t="n"/>
      <c r="AK60" s="192" t="n"/>
      <c r="AL60" s="187" t="n"/>
      <c r="AM60" s="187" t="n"/>
      <c r="AN60" s="187" t="n"/>
      <c r="AO60" s="187" t="n"/>
      <c r="AP60" s="188" t="n"/>
      <c r="AQ60" s="176" t="n"/>
      <c r="AR60" s="176" t="n"/>
      <c r="AS60" s="192" t="n"/>
      <c r="AT60" s="187" t="n"/>
      <c r="AU60" s="187" t="n"/>
      <c r="AV60" s="187" t="n"/>
      <c r="AW60" s="187" t="n"/>
      <c r="AX60" s="188" t="n"/>
      <c r="AY60" s="176" t="n"/>
      <c r="AZ60" s="176" t="n"/>
      <c r="BA60" s="176" t="n"/>
      <c r="BB60" s="189" t="n"/>
      <c r="BC60" s="190" t="n"/>
      <c r="BD60" s="190" t="n"/>
      <c r="BE60" s="190" t="n"/>
      <c r="BF60" s="190" t="n"/>
      <c r="BG60" s="191" t="n"/>
      <c r="BH60" s="176" t="n"/>
      <c r="BI60" s="176" t="n"/>
      <c r="BJ60" s="189" t="n"/>
      <c r="BK60" s="190" t="n"/>
      <c r="BL60" s="190" t="n"/>
      <c r="BM60" s="190" t="n"/>
      <c r="BN60" s="190" t="n"/>
      <c r="BO60" s="191" t="n"/>
      <c r="BP60" s="176" t="n"/>
      <c r="BQ60" s="176" t="n"/>
      <c r="BR60" s="176" t="n"/>
      <c r="BS60" s="189" t="n"/>
      <c r="BT60" s="190" t="n"/>
      <c r="BU60" s="190" t="n"/>
      <c r="BV60" s="190" t="n"/>
      <c r="BW60" s="190" t="n"/>
      <c r="BX60" s="191" t="n"/>
      <c r="BY60" s="176" t="n"/>
      <c r="BZ60" s="176" t="n"/>
      <c r="CA60" s="189" t="n"/>
      <c r="CB60" s="190" t="n"/>
      <c r="CC60" s="190" t="n"/>
      <c r="CD60" s="190" t="n"/>
      <c r="CE60" s="190" t="n"/>
      <c r="CF60" s="191" t="n"/>
      <c r="CG60" s="176" t="n"/>
      <c r="CH60" s="176" t="n"/>
      <c r="CI60" s="176" t="n"/>
      <c r="CJ60" s="192" t="n"/>
      <c r="CK60" s="187" t="n"/>
      <c r="CL60" s="187" t="n"/>
      <c r="CM60" s="187" t="n"/>
      <c r="CN60" s="187" t="n"/>
      <c r="CO60" s="188" t="n"/>
      <c r="CP60" s="176" t="n"/>
      <c r="CQ60" s="176" t="n"/>
      <c r="CR60" s="192" t="n"/>
      <c r="CS60" s="187" t="n"/>
      <c r="CT60" s="187" t="n"/>
      <c r="CU60" s="187" t="n"/>
      <c r="CV60" s="187" t="n"/>
      <c r="CW60" s="188" t="n"/>
      <c r="CX60" s="176" t="n"/>
      <c r="CY60" s="176" t="n"/>
      <c r="CZ60" s="176" t="n"/>
      <c r="DA60" s="180">
        <f>IF('DADOS_MELHORIAS'!$M$4="","","⚠ "&amp;'DADOS_MELHORIAS'!$M$4)</f>
        <v/>
      </c>
      <c r="DG60" s="176" t="n"/>
      <c r="DH60" s="176" t="n"/>
      <c r="DI60" s="180">
        <f>IF('DADOS_MELHORIAS'!$M$5="","","⚠ "&amp;'DADOS_MELHORIAS'!$M$5)</f>
        <v/>
      </c>
      <c r="DO60" s="176" t="n"/>
      <c r="DP60" s="176" t="n"/>
      <c r="DQ60" s="176" t="n"/>
      <c r="DR60" s="181" t="inlineStr">
        <is>
          <t>BASE DO LIVRO</t>
        </is>
      </c>
      <c r="DS60" s="182" t="n"/>
      <c r="DT60" s="183" t="n"/>
      <c r="DU60" s="185" t="inlineStr">
        <is>
          <t>Nenhuma</t>
        </is>
      </c>
      <c r="DV60" s="182" t="n"/>
      <c r="DW60" s="183" t="n"/>
      <c r="DX60" s="176" t="n"/>
      <c r="DY60" s="176" t="n"/>
      <c r="DZ60" s="181" t="inlineStr">
        <is>
          <t>BASE DO LIVRO</t>
        </is>
      </c>
      <c r="EA60" s="182" t="n"/>
      <c r="EB60" s="183" t="n"/>
      <c r="EC60" s="185" t="inlineStr">
        <is>
          <t>Nenhuma</t>
        </is>
      </c>
      <c r="ED60" s="182" t="n"/>
      <c r="EE60" s="183" t="n"/>
      <c r="EF60" s="176" t="n"/>
      <c r="EG60" s="176" t="n"/>
      <c r="EH60" s="176" t="n"/>
      <c r="EI60" s="193" t="n"/>
      <c r="EN60" s="194" t="n"/>
      <c r="EO60" s="176" t="n"/>
      <c r="EP60" s="176" t="n"/>
      <c r="EQ60" s="193" t="n"/>
      <c r="EV60" s="194" t="n"/>
      <c r="EW60" s="176" t="n"/>
      <c r="EX60" s="176" t="n"/>
      <c r="EY60" s="176" t="n"/>
      <c r="EZ60" s="185" t="inlineStr">
        <is>
          <t>Forma</t>
        </is>
      </c>
      <c r="FA60" s="182" t="n"/>
      <c r="FB60" s="182" t="n"/>
      <c r="FC60" s="183" t="n"/>
      <c r="FD60" s="184" t="b">
        <v>0</v>
      </c>
      <c r="FE60" s="183" t="n"/>
      <c r="FF60" s="176" t="n"/>
      <c r="FG60" s="176" t="n"/>
      <c r="FH60" s="185" t="inlineStr">
        <is>
          <t>Forma</t>
        </is>
      </c>
      <c r="FI60" s="182" t="n"/>
      <c r="FJ60" s="182" t="n"/>
      <c r="FK60" s="183" t="n"/>
      <c r="FL60" s="184" t="b">
        <v>0</v>
      </c>
      <c r="FM60" s="183" t="n"/>
      <c r="FN60" s="176" t="n"/>
      <c r="FO60" s="176" t="n"/>
      <c r="FP60" s="176" t="n"/>
      <c r="FQ60" s="189" t="n"/>
      <c r="FR60" s="190" t="n"/>
      <c r="FS60" s="190" t="n"/>
      <c r="FT60" s="190" t="n"/>
      <c r="FU60" s="190" t="n"/>
      <c r="FV60" s="191" t="n"/>
      <c r="FW60" s="176" t="n"/>
      <c r="FX60" s="176" t="n"/>
      <c r="FY60" s="189" t="n"/>
      <c r="FZ60" s="190" t="n"/>
      <c r="GA60" s="190" t="n"/>
      <c r="GB60" s="190" t="n"/>
      <c r="GC60" s="190" t="n"/>
      <c r="GD60" s="191" t="n"/>
      <c r="GE60" s="176" t="n"/>
      <c r="GF60" s="176" t="n"/>
      <c r="GG60" s="176" t="n"/>
      <c r="GN60" s="176" t="n"/>
      <c r="GO60" s="176" t="n"/>
      <c r="GV60" s="176" t="n"/>
      <c r="GW60" s="176" t="n"/>
      <c r="GX60" s="176" t="n"/>
      <c r="GY60" s="193" t="n"/>
      <c r="HD60" s="194" t="n"/>
      <c r="HE60" s="176" t="n"/>
      <c r="HF60" s="176" t="n"/>
      <c r="HG60" s="193" t="n"/>
      <c r="HL60" s="194" t="n"/>
      <c r="HM60" s="176" t="n"/>
      <c r="HN60" s="176" t="n"/>
      <c r="HO60" s="176" t="n"/>
      <c r="HP60" s="193" t="n"/>
      <c r="HU60" s="194" t="n"/>
      <c r="HV60" s="176" t="n"/>
      <c r="HW60" s="176" t="n"/>
      <c r="HX60" s="193" t="n"/>
      <c r="IC60" s="194" t="n"/>
      <c r="ID60" s="176" t="n"/>
    </row>
    <row r="61" ht="31.5" customHeight="1">
      <c r="A61" s="176" t="n"/>
      <c r="B61" s="176" t="n"/>
      <c r="C61" s="180">
        <f>IF(DADOS_CONFIG!$T$17="","",DADOS_CONFIG!$T$17)</f>
        <v/>
      </c>
      <c r="I61" s="176" t="n"/>
      <c r="J61" s="176" t="n"/>
      <c r="K61" s="176" t="n"/>
      <c r="L61" s="176" t="n"/>
      <c r="M61" s="176" t="n"/>
      <c r="N61" s="176" t="n"/>
      <c r="O61" s="176" t="n"/>
      <c r="P61" s="176" t="n"/>
      <c r="Q61" s="176" t="n"/>
      <c r="R61" s="176" t="n"/>
      <c r="S61" s="176" t="n"/>
      <c r="T61" s="193" t="n"/>
      <c r="Y61" s="194" t="n"/>
      <c r="Z61" s="176" t="n"/>
      <c r="AA61" s="176" t="n"/>
      <c r="AB61" s="193" t="n"/>
      <c r="AG61" s="194" t="n"/>
      <c r="AH61" s="176" t="n"/>
      <c r="AI61" s="176" t="n"/>
      <c r="AJ61" s="176" t="n"/>
      <c r="AK61" s="189" t="n"/>
      <c r="AL61" s="190" t="n"/>
      <c r="AM61" s="190" t="n"/>
      <c r="AN61" s="190" t="n"/>
      <c r="AO61" s="190" t="n"/>
      <c r="AP61" s="191" t="n"/>
      <c r="AQ61" s="176" t="n"/>
      <c r="AR61" s="176" t="n"/>
      <c r="AS61" s="189" t="n"/>
      <c r="AT61" s="190" t="n"/>
      <c r="AU61" s="190" t="n"/>
      <c r="AV61" s="190" t="n"/>
      <c r="AW61" s="190" t="n"/>
      <c r="AX61" s="191" t="n"/>
      <c r="AY61" s="176" t="n"/>
      <c r="AZ61" s="176" t="n"/>
      <c r="BA61" s="176" t="n"/>
      <c r="BB61" s="176" t="n"/>
      <c r="BC61" s="176" t="n"/>
      <c r="BD61" s="176" t="n"/>
      <c r="BE61" s="176" t="n"/>
      <c r="BF61" s="176" t="n"/>
      <c r="BG61" s="176" t="n"/>
      <c r="BH61" s="176" t="n"/>
      <c r="BI61" s="176" t="n"/>
      <c r="BJ61" s="176" t="n"/>
      <c r="BK61" s="176" t="n"/>
      <c r="BL61" s="176" t="n"/>
      <c r="BM61" s="176" t="n"/>
      <c r="BN61" s="176" t="n"/>
      <c r="BO61" s="176" t="n"/>
      <c r="BP61" s="176" t="n"/>
      <c r="BQ61" s="176" t="n"/>
      <c r="BR61" s="176" t="n"/>
      <c r="BS61" s="176" t="n"/>
      <c r="BT61" s="176" t="n"/>
      <c r="BU61" s="176" t="n"/>
      <c r="BV61" s="176" t="n"/>
      <c r="BW61" s="176" t="n"/>
      <c r="BX61" s="176" t="n"/>
      <c r="BY61" s="176" t="n"/>
      <c r="BZ61" s="176" t="n"/>
      <c r="CA61" s="176" t="n"/>
      <c r="CB61" s="176" t="n"/>
      <c r="CC61" s="176" t="n"/>
      <c r="CD61" s="176" t="n"/>
      <c r="CE61" s="176" t="n"/>
      <c r="CF61" s="176" t="n"/>
      <c r="CG61" s="176" t="n"/>
      <c r="CH61" s="176" t="n"/>
      <c r="CI61" s="176" t="n"/>
      <c r="CJ61" s="193" t="n"/>
      <c r="CO61" s="194" t="n"/>
      <c r="CP61" s="176" t="n"/>
      <c r="CQ61" s="176" t="n"/>
      <c r="CR61" s="193" t="n"/>
      <c r="CW61" s="194" t="n"/>
      <c r="CX61" s="176" t="n"/>
      <c r="CY61" s="176" t="n"/>
      <c r="CZ61" s="176" t="n"/>
      <c r="DG61" s="176" t="n"/>
      <c r="DH61" s="176" t="n"/>
      <c r="DO61" s="176" t="n"/>
      <c r="DP61" s="176" t="n"/>
      <c r="DQ61" s="176" t="n"/>
      <c r="DR61" s="181" t="inlineStr">
        <is>
          <t>DEVOLUÇÃO</t>
        </is>
      </c>
      <c r="DS61" s="182" t="n"/>
      <c r="DT61" s="183" t="n"/>
      <c r="DU61" s="185" t="n"/>
      <c r="DV61" s="182" t="n"/>
      <c r="DW61" s="183" t="n"/>
      <c r="DX61" s="176" t="n"/>
      <c r="DY61" s="176" t="n"/>
      <c r="DZ61" s="181" t="inlineStr">
        <is>
          <t>DEVOLUÇÃO</t>
        </is>
      </c>
      <c r="EA61" s="182" t="n"/>
      <c r="EB61" s="183" t="n"/>
      <c r="EC61" s="185" t="n"/>
      <c r="ED61" s="182" t="n"/>
      <c r="EE61" s="183" t="n"/>
      <c r="EF61" s="176" t="n"/>
      <c r="EG61" s="176" t="n"/>
      <c r="EH61" s="176" t="n"/>
      <c r="EI61" s="193" t="n"/>
      <c r="EN61" s="194" t="n"/>
      <c r="EO61" s="176" t="n"/>
      <c r="EP61" s="176" t="n"/>
      <c r="EQ61" s="193" t="n"/>
      <c r="EV61" s="194" t="n"/>
      <c r="EW61" s="176" t="n"/>
      <c r="EX61" s="176" t="n"/>
      <c r="EY61" s="176" t="n"/>
      <c r="EZ61" s="181" t="inlineStr">
        <is>
          <t>NOME</t>
        </is>
      </c>
      <c r="FA61" s="182" t="n"/>
      <c r="FB61" s="182" t="n"/>
      <c r="FC61" s="182" t="n"/>
      <c r="FD61" s="182" t="n"/>
      <c r="FE61" s="183" t="n"/>
      <c r="FF61" s="176" t="n"/>
      <c r="FG61" s="176" t="n"/>
      <c r="FH61" s="181" t="inlineStr">
        <is>
          <t>NOME</t>
        </is>
      </c>
      <c r="FI61" s="182" t="n"/>
      <c r="FJ61" s="182" t="n"/>
      <c r="FK61" s="182" t="n"/>
      <c r="FL61" s="182" t="n"/>
      <c r="FM61" s="183" t="n"/>
      <c r="FN61" s="176" t="n"/>
      <c r="FO61" s="176" t="n"/>
      <c r="FP61" s="176" t="n"/>
      <c r="FQ61" s="176" t="n"/>
      <c r="FR61" s="176" t="n"/>
      <c r="FS61" s="176" t="n"/>
      <c r="FT61" s="176" t="n"/>
      <c r="FU61" s="176" t="n"/>
      <c r="FV61" s="176" t="n"/>
      <c r="FW61" s="176" t="n"/>
      <c r="FX61" s="176" t="n"/>
      <c r="FY61" s="176" t="n"/>
      <c r="FZ61" s="176" t="n"/>
      <c r="GA61" s="176" t="n"/>
      <c r="GB61" s="176" t="n"/>
      <c r="GC61" s="176" t="n"/>
      <c r="GD61" s="176" t="n"/>
      <c r="GE61" s="176" t="n"/>
      <c r="GF61" s="176" t="n"/>
      <c r="GG61" s="176" t="n"/>
      <c r="GH61" s="176" t="n"/>
      <c r="GI61" s="176" t="n"/>
      <c r="GJ61" s="176" t="n"/>
      <c r="GK61" s="176" t="n"/>
      <c r="GL61" s="176" t="n"/>
      <c r="GM61" s="176" t="n"/>
      <c r="GN61" s="176" t="n"/>
      <c r="GO61" s="176" t="n"/>
      <c r="GP61" s="176" t="n"/>
      <c r="GQ61" s="176" t="n"/>
      <c r="GR61" s="176" t="n"/>
      <c r="GS61" s="176" t="n"/>
      <c r="GT61" s="176" t="n"/>
      <c r="GU61" s="176" t="n"/>
      <c r="GV61" s="176" t="n"/>
      <c r="GW61" s="176" t="n"/>
      <c r="GX61" s="176" t="n"/>
      <c r="GY61" s="193" t="n"/>
      <c r="HD61" s="194" t="n"/>
      <c r="HE61" s="176" t="n"/>
      <c r="HF61" s="176" t="n"/>
      <c r="HG61" s="193" t="n"/>
      <c r="HL61" s="194" t="n"/>
      <c r="HM61" s="176" t="n"/>
      <c r="HN61" s="176" t="n"/>
      <c r="HO61" s="176" t="n"/>
      <c r="HP61" s="193" t="n"/>
      <c r="HU61" s="194" t="n"/>
      <c r="HV61" s="176" t="n"/>
      <c r="HW61" s="176" t="n"/>
      <c r="HX61" s="193" t="n"/>
      <c r="IC61" s="194" t="n"/>
      <c r="ID61" s="176" t="n"/>
    </row>
    <row r="62" ht="31.5" customHeight="1">
      <c r="A62" s="176" t="n"/>
      <c r="B62" s="176" t="n"/>
      <c r="C62" s="179" t="inlineStr">
        <is>
          <t>XP · CUSTO POR NÍVEL</t>
        </is>
      </c>
      <c r="I62" s="176" t="n"/>
      <c r="J62" s="176" t="n"/>
      <c r="K62" s="176" t="n"/>
      <c r="L62" s="176" t="n"/>
      <c r="M62" s="176" t="n"/>
      <c r="N62" s="176" t="n"/>
      <c r="O62" s="176" t="n"/>
      <c r="P62" s="176" t="n"/>
      <c r="Q62" s="176" t="n"/>
      <c r="R62" s="176" t="n"/>
      <c r="S62" s="176" t="n"/>
      <c r="T62" s="193" t="n"/>
      <c r="Y62" s="194" t="n"/>
      <c r="Z62" s="176" t="n"/>
      <c r="AA62" s="176" t="n"/>
      <c r="AB62" s="193" t="n"/>
      <c r="AG62" s="194" t="n"/>
      <c r="AH62" s="176" t="n"/>
      <c r="AI62" s="176" t="n"/>
      <c r="AJ62" s="176" t="n"/>
      <c r="AK62" s="181" t="n">
        <v>30</v>
      </c>
      <c r="AL62" s="185" t="n"/>
      <c r="AM62" s="182" t="n"/>
      <c r="AN62" s="182" t="n"/>
      <c r="AO62" s="182" t="n"/>
      <c r="AP62" s="183" t="n"/>
      <c r="AQ62" s="176" t="n"/>
      <c r="AR62" s="176" t="n"/>
      <c r="AS62" s="176" t="n"/>
      <c r="AT62" s="176" t="n"/>
      <c r="AU62" s="176" t="n"/>
      <c r="AV62" s="176" t="n"/>
      <c r="AW62" s="176" t="n"/>
      <c r="AX62" s="176" t="n"/>
      <c r="AY62" s="176" t="n"/>
      <c r="AZ62" s="176" t="n"/>
      <c r="BA62" s="176" t="n"/>
      <c r="BB62" s="180">
        <f>IF('DADOS_PROGRESSAO'!$G$8="","Usa os treinos e especializações existentes.","⚠ "&amp;'DADOS_PROGRESSAO'!$G$8)</f>
        <v/>
      </c>
      <c r="BH62" s="176" t="n"/>
      <c r="BI62" s="176" t="n"/>
      <c r="BJ62" s="180">
        <f>IF('DADOS_PROGRESSAO'!$G$9="","Usa os treinos e especializações existentes.","⚠ "&amp;'DADOS_PROGRESSAO'!$G$9)</f>
        <v/>
      </c>
      <c r="BP62" s="176" t="n"/>
      <c r="BQ62" s="176" t="n"/>
      <c r="BR62" s="176" t="n"/>
      <c r="BS62" s="180">
        <f>IF('DADOS_PROGRESSAO'!$G$18="","Usa os treinos e especializações existentes.","⚠ "&amp;'DADOS_PROGRESSAO'!$G$18)</f>
        <v/>
      </c>
      <c r="BY62" s="176" t="n"/>
      <c r="BZ62" s="176" t="n"/>
      <c r="CA62" s="180">
        <f>IF('DADOS_PROGRESSAO'!$G$19="","Usa os treinos e especializações existentes.","⚠ "&amp;'DADOS_PROGRESSAO'!$G$19)</f>
        <v/>
      </c>
      <c r="CG62" s="176" t="n"/>
      <c r="CH62" s="176" t="n"/>
      <c r="CI62" s="176" t="n"/>
      <c r="CJ62" s="193" t="n"/>
      <c r="CO62" s="194" t="n"/>
      <c r="CP62" s="176" t="n"/>
      <c r="CQ62" s="176" t="n"/>
      <c r="CR62" s="193" t="n"/>
      <c r="CW62" s="194" t="n"/>
      <c r="CX62" s="176" t="n"/>
      <c r="CY62" s="176" t="n"/>
      <c r="CZ62" s="176" t="n"/>
      <c r="DA62" s="176" t="n"/>
      <c r="DB62" s="176" t="n"/>
      <c r="DC62" s="176" t="n"/>
      <c r="DD62" s="176" t="n"/>
      <c r="DE62" s="176" t="n"/>
      <c r="DF62" s="176" t="n"/>
      <c r="DG62" s="176" t="n"/>
      <c r="DH62" s="176" t="n"/>
      <c r="DI62" s="176" t="n"/>
      <c r="DJ62" s="176" t="n"/>
      <c r="DK62" s="176" t="n"/>
      <c r="DL62" s="176" t="n"/>
      <c r="DM62" s="176" t="n"/>
      <c r="DN62" s="176" t="n"/>
      <c r="DO62" s="176" t="n"/>
      <c r="DP62" s="176" t="n"/>
      <c r="DQ62" s="176" t="n"/>
      <c r="DR62" s="181" t="inlineStr">
        <is>
          <t>FREQUÊNCIA</t>
        </is>
      </c>
      <c r="DS62" s="182" t="n"/>
      <c r="DT62" s="183" t="n"/>
      <c r="DU62" s="185" t="n"/>
      <c r="DV62" s="182" t="n"/>
      <c r="DW62" s="183" t="n"/>
      <c r="DX62" s="176" t="n"/>
      <c r="DY62" s="176" t="n"/>
      <c r="DZ62" s="181" t="inlineStr">
        <is>
          <t>FREQUÊNCIA</t>
        </is>
      </c>
      <c r="EA62" s="182" t="n"/>
      <c r="EB62" s="183" t="n"/>
      <c r="EC62" s="185" t="n"/>
      <c r="ED62" s="182" t="n"/>
      <c r="EE62" s="183" t="n"/>
      <c r="EF62" s="176" t="n"/>
      <c r="EG62" s="176" t="n"/>
      <c r="EH62" s="176" t="n"/>
      <c r="EI62" s="193" t="n"/>
      <c r="EN62" s="194" t="n"/>
      <c r="EO62" s="176" t="n"/>
      <c r="EP62" s="176" t="n"/>
      <c r="EQ62" s="193" t="n"/>
      <c r="EV62" s="194" t="n"/>
      <c r="EW62" s="176" t="n"/>
      <c r="EX62" s="176" t="n"/>
      <c r="EY62" s="176" t="n"/>
      <c r="EZ62" s="185" t="n"/>
      <c r="FA62" s="182" t="n"/>
      <c r="FB62" s="182" t="n"/>
      <c r="FC62" s="182" t="n"/>
      <c r="FD62" s="182" t="n"/>
      <c r="FE62" s="183" t="n"/>
      <c r="FF62" s="176" t="n"/>
      <c r="FG62" s="176" t="n"/>
      <c r="FH62" s="185" t="n"/>
      <c r="FI62" s="182" t="n"/>
      <c r="FJ62" s="182" t="n"/>
      <c r="FK62" s="182" t="n"/>
      <c r="FL62" s="182" t="n"/>
      <c r="FM62" s="183" t="n"/>
      <c r="FN62" s="176" t="n"/>
      <c r="FO62" s="176" t="n"/>
      <c r="FP62" s="176" t="n"/>
      <c r="FQ62" s="176" t="n"/>
      <c r="FR62" s="176" t="n"/>
      <c r="FS62" s="176" t="n"/>
      <c r="FT62" s="176" t="n"/>
      <c r="FU62" s="176" t="n"/>
      <c r="FV62" s="176" t="n"/>
      <c r="FW62" s="176" t="n"/>
      <c r="FX62" s="176" t="n"/>
      <c r="FY62" s="176" t="n"/>
      <c r="FZ62" s="176" t="n"/>
      <c r="GA62" s="176" t="n"/>
      <c r="GB62" s="176" t="n"/>
      <c r="GC62" s="176" t="n"/>
      <c r="GD62" s="176" t="n"/>
      <c r="GE62" s="176" t="n"/>
      <c r="GF62" s="176" t="n"/>
      <c r="GG62" s="176" t="n"/>
      <c r="GH62" s="179" t="inlineStr">
        <is>
          <t>TALENTOS · 5</t>
        </is>
      </c>
      <c r="GN62" s="176" t="n"/>
      <c r="GO62" s="176" t="n"/>
      <c r="GP62" s="179" t="inlineStr">
        <is>
          <t>TALENTOS · 6</t>
        </is>
      </c>
      <c r="GV62" s="176" t="n"/>
      <c r="GW62" s="176" t="n"/>
      <c r="GX62" s="176" t="n"/>
      <c r="GY62" s="193" t="n"/>
      <c r="HD62" s="194" t="n"/>
      <c r="HE62" s="176" t="n"/>
      <c r="HF62" s="176" t="n"/>
      <c r="HG62" s="193" t="n"/>
      <c r="HL62" s="194" t="n"/>
      <c r="HM62" s="176" t="n"/>
      <c r="HN62" s="176" t="n"/>
      <c r="HO62" s="176" t="n"/>
      <c r="HP62" s="193" t="n"/>
      <c r="HU62" s="194" t="n"/>
      <c r="HV62" s="176" t="n"/>
      <c r="HW62" s="176" t="n"/>
      <c r="HX62" s="193" t="n"/>
      <c r="IC62" s="194" t="n"/>
      <c r="ID62" s="176" t="n"/>
    </row>
    <row r="63" ht="31.5" customHeight="1">
      <c r="A63" s="176" t="n"/>
      <c r="B63" s="176" t="n"/>
      <c r="C63" s="180" t="inlineStr">
        <is>
          <t>Custo para sair do nível indicado. XP acumulado começa em zero no nível inicial da campanha.</t>
        </is>
      </c>
      <c r="I63" s="176" t="n"/>
      <c r="J63" s="176" t="n"/>
      <c r="K63" s="176" t="n"/>
      <c r="L63" s="176" t="n"/>
      <c r="M63" s="176" t="n"/>
      <c r="N63" s="176" t="n"/>
      <c r="O63" s="176" t="n"/>
      <c r="P63" s="176" t="n"/>
      <c r="Q63" s="176" t="n"/>
      <c r="R63" s="176" t="n"/>
      <c r="S63" s="176" t="n"/>
      <c r="T63" s="193" t="n"/>
      <c r="Y63" s="194" t="n"/>
      <c r="Z63" s="176" t="n"/>
      <c r="AA63" s="176" t="n"/>
      <c r="AB63" s="193" t="n"/>
      <c r="AG63" s="194" t="n"/>
      <c r="AH63" s="176" t="n"/>
      <c r="AI63" s="176" t="n"/>
      <c r="AJ63" s="176" t="n"/>
      <c r="AK63" s="192" t="n"/>
      <c r="AL63" s="187" t="n"/>
      <c r="AM63" s="187" t="n"/>
      <c r="AN63" s="187" t="n"/>
      <c r="AO63" s="187" t="n"/>
      <c r="AP63" s="188" t="n"/>
      <c r="AQ63" s="176" t="n"/>
      <c r="AR63" s="176" t="n"/>
      <c r="AS63" s="176" t="n"/>
      <c r="AT63" s="176" t="n"/>
      <c r="AU63" s="176" t="n"/>
      <c r="AV63" s="176" t="n"/>
      <c r="AW63" s="176" t="n"/>
      <c r="AX63" s="176" t="n"/>
      <c r="AY63" s="176" t="n"/>
      <c r="AZ63" s="176" t="n"/>
      <c r="BA63" s="176" t="n"/>
      <c r="BH63" s="176" t="n"/>
      <c r="BI63" s="176" t="n"/>
      <c r="BP63" s="176" t="n"/>
      <c r="BQ63" s="176" t="n"/>
      <c r="BR63" s="176" t="n"/>
      <c r="BY63" s="176" t="n"/>
      <c r="BZ63" s="176" t="n"/>
      <c r="CG63" s="176" t="n"/>
      <c r="CH63" s="176" t="n"/>
      <c r="CI63" s="176" t="n"/>
      <c r="CJ63" s="189" t="n"/>
      <c r="CK63" s="190" t="n"/>
      <c r="CL63" s="190" t="n"/>
      <c r="CM63" s="190" t="n"/>
      <c r="CN63" s="190" t="n"/>
      <c r="CO63" s="191" t="n"/>
      <c r="CP63" s="176" t="n"/>
      <c r="CQ63" s="176" t="n"/>
      <c r="CR63" s="189" t="n"/>
      <c r="CS63" s="190" t="n"/>
      <c r="CT63" s="190" t="n"/>
      <c r="CU63" s="190" t="n"/>
      <c r="CV63" s="190" t="n"/>
      <c r="CW63" s="191" t="n"/>
      <c r="CX63" s="176" t="n"/>
      <c r="CY63" s="176" t="n"/>
      <c r="CZ63" s="176" t="n"/>
      <c r="DA63" s="179" t="inlineStr">
        <is>
          <t>MELHORIA · 5</t>
        </is>
      </c>
      <c r="DG63" s="176" t="n"/>
      <c r="DH63" s="176" t="n"/>
      <c r="DI63" s="179" t="inlineStr">
        <is>
          <t>MELHORIA · 6</t>
        </is>
      </c>
      <c r="DO63" s="176" t="n"/>
      <c r="DP63" s="176" t="n"/>
      <c r="DQ63" s="176" t="n"/>
      <c r="DR63" s="176" t="n"/>
      <c r="DS63" s="176" t="n"/>
      <c r="DT63" s="176" t="n"/>
      <c r="DU63" s="176" t="n"/>
      <c r="DV63" s="176" t="n"/>
      <c r="DW63" s="176" t="n"/>
      <c r="DX63" s="176" t="n"/>
      <c r="DY63" s="176" t="n"/>
      <c r="DZ63" s="176" t="n"/>
      <c r="EA63" s="176" t="n"/>
      <c r="EB63" s="176" t="n"/>
      <c r="EC63" s="176" t="n"/>
      <c r="ED63" s="176" t="n"/>
      <c r="EE63" s="176" t="n"/>
      <c r="EF63" s="176" t="n"/>
      <c r="EG63" s="176" t="n"/>
      <c r="EH63" s="176" t="n"/>
      <c r="EI63" s="189" t="n"/>
      <c r="EJ63" s="190" t="n"/>
      <c r="EK63" s="190" t="n"/>
      <c r="EL63" s="190" t="n"/>
      <c r="EM63" s="190" t="n"/>
      <c r="EN63" s="191" t="n"/>
      <c r="EO63" s="176" t="n"/>
      <c r="EP63" s="176" t="n"/>
      <c r="EQ63" s="189" t="n"/>
      <c r="ER63" s="190" t="n"/>
      <c r="ES63" s="190" t="n"/>
      <c r="ET63" s="190" t="n"/>
      <c r="EU63" s="190" t="n"/>
      <c r="EV63" s="191" t="n"/>
      <c r="EW63" s="176" t="n"/>
      <c r="EX63" s="176" t="n"/>
      <c r="EY63" s="176" t="n"/>
      <c r="EZ63" s="181" t="inlineStr">
        <is>
          <t>BASE DO LIVRO</t>
        </is>
      </c>
      <c r="FA63" s="182" t="n"/>
      <c r="FB63" s="183" t="n"/>
      <c r="FC63" s="185" t="n"/>
      <c r="FD63" s="182" t="n"/>
      <c r="FE63" s="183" t="n"/>
      <c r="FF63" s="176" t="n"/>
      <c r="FG63" s="176" t="n"/>
      <c r="FH63" s="181" t="inlineStr">
        <is>
          <t>BASE DO LIVRO</t>
        </is>
      </c>
      <c r="FI63" s="182" t="n"/>
      <c r="FJ63" s="183" t="n"/>
      <c r="FK63" s="185" t="n"/>
      <c r="FL63" s="182" t="n"/>
      <c r="FM63" s="183" t="n"/>
      <c r="FN63" s="176" t="n"/>
      <c r="FO63" s="176" t="n"/>
      <c r="FP63" s="176" t="n"/>
      <c r="FQ63" s="180">
        <f>IF('DADOS_APTIDOES'!$K4="","","⚠ "&amp;'DADOS_APTIDOES'!$K4)</f>
        <v/>
      </c>
      <c r="FW63" s="176" t="n"/>
      <c r="FX63" s="176" t="n"/>
      <c r="FY63" s="180">
        <f>IF('DADOS_APTIDOES'!$K5="","","⚠ "&amp;'DADOS_APTIDOES'!$K5)</f>
        <v/>
      </c>
      <c r="GE63" s="176" t="n"/>
      <c r="GF63" s="176" t="n"/>
      <c r="GG63" s="176" t="n"/>
      <c r="GH63" s="181" t="inlineStr">
        <is>
          <t>TIPO</t>
        </is>
      </c>
      <c r="GI63" s="182" t="n"/>
      <c r="GJ63" s="182" t="n"/>
      <c r="GK63" s="183" t="n"/>
      <c r="GL63" s="181" t="inlineStr">
        <is>
          <t>MESTRE VIU</t>
        </is>
      </c>
      <c r="GM63" s="183" t="n"/>
      <c r="GN63" s="176" t="n"/>
      <c r="GO63" s="176" t="n"/>
      <c r="GP63" s="181" t="inlineStr">
        <is>
          <t>TIPO</t>
        </is>
      </c>
      <c r="GQ63" s="182" t="n"/>
      <c r="GR63" s="182" t="n"/>
      <c r="GS63" s="183" t="n"/>
      <c r="GT63" s="181" t="inlineStr">
        <is>
          <t>MESTRE VIU</t>
        </is>
      </c>
      <c r="GU63" s="183" t="n"/>
      <c r="GV63" s="176" t="n"/>
      <c r="GW63" s="176" t="n"/>
      <c r="GX63" s="176" t="n"/>
      <c r="GY63" s="189" t="n"/>
      <c r="GZ63" s="190" t="n"/>
      <c r="HA63" s="190" t="n"/>
      <c r="HB63" s="190" t="n"/>
      <c r="HC63" s="190" t="n"/>
      <c r="HD63" s="191" t="n"/>
      <c r="HE63" s="176" t="n"/>
      <c r="HF63" s="176" t="n"/>
      <c r="HG63" s="189" t="n"/>
      <c r="HH63" s="190" t="n"/>
      <c r="HI63" s="190" t="n"/>
      <c r="HJ63" s="190" t="n"/>
      <c r="HK63" s="190" t="n"/>
      <c r="HL63" s="191" t="n"/>
      <c r="HM63" s="176" t="n"/>
      <c r="HN63" s="176" t="n"/>
      <c r="HO63" s="176" t="n"/>
      <c r="HP63" s="189" t="n"/>
      <c r="HQ63" s="190" t="n"/>
      <c r="HR63" s="190" t="n"/>
      <c r="HS63" s="190" t="n"/>
      <c r="HT63" s="190" t="n"/>
      <c r="HU63" s="191" t="n"/>
      <c r="HV63" s="176" t="n"/>
      <c r="HW63" s="176" t="n"/>
      <c r="HX63" s="189" t="n"/>
      <c r="HY63" s="190" t="n"/>
      <c r="HZ63" s="190" t="n"/>
      <c r="IA63" s="190" t="n"/>
      <c r="IB63" s="190" t="n"/>
      <c r="IC63" s="191" t="n"/>
      <c r="ID63" s="176" t="n"/>
    </row>
    <row r="64" ht="24" customHeight="1">
      <c r="A64" s="176" t="n"/>
      <c r="B64" s="176" t="n"/>
      <c r="C64" s="181" t="inlineStr">
        <is>
          <t>NÍVEL</t>
        </is>
      </c>
      <c r="D64" s="183" t="n"/>
      <c r="E64" s="181" t="inlineStr">
        <is>
          <t>LIVRO</t>
        </is>
      </c>
      <c r="F64" s="181" t="inlineStr">
        <is>
          <t>CAMPANHA</t>
        </is>
      </c>
      <c r="G64" s="181" t="inlineStr">
        <is>
          <t>EM USO</t>
        </is>
      </c>
      <c r="H64" s="181" t="inlineStr">
        <is>
          <t>XP ACUMULADO</t>
        </is>
      </c>
      <c r="I64" s="176" t="n"/>
      <c r="J64" s="176" t="n"/>
      <c r="K64" s="176" t="n"/>
      <c r="L64" s="176" t="n"/>
      <c r="M64" s="176" t="n"/>
      <c r="N64" s="176" t="n"/>
      <c r="O64" s="176" t="n"/>
      <c r="P64" s="176" t="n"/>
      <c r="Q64" s="176" t="n"/>
      <c r="R64" s="176" t="n"/>
      <c r="S64" s="176" t="n"/>
      <c r="T64" s="189" t="n"/>
      <c r="U64" s="190" t="n"/>
      <c r="V64" s="190" t="n"/>
      <c r="W64" s="190" t="n"/>
      <c r="X64" s="190" t="n"/>
      <c r="Y64" s="191" t="n"/>
      <c r="Z64" s="176" t="n"/>
      <c r="AA64" s="176" t="n"/>
      <c r="AB64" s="189" t="n"/>
      <c r="AC64" s="190" t="n"/>
      <c r="AD64" s="190" t="n"/>
      <c r="AE64" s="190" t="n"/>
      <c r="AF64" s="190" t="n"/>
      <c r="AG64" s="191" t="n"/>
      <c r="AH64" s="176" t="n"/>
      <c r="AI64" s="176" t="n"/>
      <c r="AJ64" s="176" t="n"/>
      <c r="AK64" s="189" t="n"/>
      <c r="AL64" s="190" t="n"/>
      <c r="AM64" s="190" t="n"/>
      <c r="AN64" s="190" t="n"/>
      <c r="AO64" s="190" t="n"/>
      <c r="AP64" s="191" t="n"/>
      <c r="AQ64" s="176" t="n"/>
      <c r="AR64" s="176" t="n"/>
      <c r="AS64" s="176" t="n"/>
      <c r="AT64" s="176" t="n"/>
      <c r="AU64" s="176" t="n"/>
      <c r="AV64" s="176" t="n"/>
      <c r="AW64" s="176" t="n"/>
      <c r="AX64" s="176" t="n"/>
      <c r="AY64" s="176" t="n"/>
      <c r="AZ64" s="176" t="n"/>
      <c r="BA64" s="176" t="n"/>
      <c r="BB64" s="176" t="n"/>
      <c r="BC64" s="176" t="n"/>
      <c r="BD64" s="176" t="n"/>
      <c r="BE64" s="176" t="n"/>
      <c r="BF64" s="176" t="n"/>
      <c r="BG64" s="176" t="n"/>
      <c r="BH64" s="176" t="n"/>
      <c r="BI64" s="176" t="n"/>
      <c r="BJ64" s="176" t="n"/>
      <c r="BK64" s="176" t="n"/>
      <c r="BL64" s="176" t="n"/>
      <c r="BM64" s="176" t="n"/>
      <c r="BN64" s="176" t="n"/>
      <c r="BO64" s="176" t="n"/>
      <c r="BP64" s="176" t="n"/>
      <c r="BQ64" s="176" t="n"/>
      <c r="BR64" s="176" t="n"/>
      <c r="BS64" s="176" t="n"/>
      <c r="BT64" s="176" t="n"/>
      <c r="BU64" s="176" t="n"/>
      <c r="BV64" s="176" t="n"/>
      <c r="BW64" s="176" t="n"/>
      <c r="BX64" s="176" t="n"/>
      <c r="BY64" s="176" t="n"/>
      <c r="BZ64" s="176" t="n"/>
      <c r="CA64" s="176" t="n"/>
      <c r="CB64" s="176" t="n"/>
      <c r="CC64" s="176" t="n"/>
      <c r="CD64" s="176" t="n"/>
      <c r="CE64" s="176" t="n"/>
      <c r="CF64" s="176" t="n"/>
      <c r="CG64" s="176" t="n"/>
      <c r="CH64" s="176" t="n"/>
      <c r="CI64" s="176" t="n"/>
      <c r="CJ64" s="176" t="n"/>
      <c r="CK64" s="176" t="n"/>
      <c r="CL64" s="176" t="n"/>
      <c r="CM64" s="176" t="n"/>
      <c r="CN64" s="176" t="n"/>
      <c r="CO64" s="176" t="n"/>
      <c r="CP64" s="176" t="n"/>
      <c r="CQ64" s="176" t="n"/>
      <c r="CR64" s="176" t="n"/>
      <c r="CS64" s="176" t="n"/>
      <c r="CT64" s="176" t="n"/>
      <c r="CU64" s="176" t="n"/>
      <c r="CV64" s="176" t="n"/>
      <c r="CW64" s="176" t="n"/>
      <c r="CX64" s="176" t="n"/>
      <c r="CY64" s="176" t="n"/>
      <c r="CZ64" s="176" t="n"/>
      <c r="DA64" s="181" t="inlineStr">
        <is>
          <t>TIPO</t>
        </is>
      </c>
      <c r="DB64" s="182" t="n"/>
      <c r="DC64" s="182" t="n"/>
      <c r="DD64" s="183" t="n"/>
      <c r="DE64" s="181" t="inlineStr">
        <is>
          <t>MESTRE VIU</t>
        </is>
      </c>
      <c r="DF64" s="183" t="n"/>
      <c r="DG64" s="176" t="n"/>
      <c r="DH64" s="176" t="n"/>
      <c r="DI64" s="181" t="inlineStr">
        <is>
          <t>TIPO</t>
        </is>
      </c>
      <c r="DJ64" s="182" t="n"/>
      <c r="DK64" s="182" t="n"/>
      <c r="DL64" s="183" t="n"/>
      <c r="DM64" s="181" t="inlineStr">
        <is>
          <t>MESTRE VIU</t>
        </is>
      </c>
      <c r="DN64" s="183" t="n"/>
      <c r="DO64" s="176" t="n"/>
      <c r="DP64" s="176" t="n"/>
      <c r="DQ64" s="176" t="n"/>
      <c r="DR64" s="181" t="inlineStr">
        <is>
          <t>EFEITO E REQUISITOS</t>
        </is>
      </c>
      <c r="DS64" s="182" t="n"/>
      <c r="DT64" s="182" t="n"/>
      <c r="DU64" s="182" t="n"/>
      <c r="DV64" s="182" t="n"/>
      <c r="DW64" s="183" t="n"/>
      <c r="DX64" s="176" t="n"/>
      <c r="DY64" s="176" t="n"/>
      <c r="DZ64" s="181" t="inlineStr">
        <is>
          <t>EFEITO E REQUISITOS</t>
        </is>
      </c>
      <c r="EA64" s="182" t="n"/>
      <c r="EB64" s="182" t="n"/>
      <c r="EC64" s="182" t="n"/>
      <c r="ED64" s="182" t="n"/>
      <c r="EE64" s="183" t="n"/>
      <c r="EF64" s="176" t="n"/>
      <c r="EG64" s="176" t="n"/>
      <c r="EH64" s="176" t="n"/>
      <c r="EI64" s="180">
        <f>IF('DADOS_DANOS'!$H$4="","","⚠ "&amp;'DADOS_DANOS'!$H$4)</f>
        <v/>
      </c>
      <c r="EO64" s="176" t="n"/>
      <c r="EP64" s="176" t="n"/>
      <c r="EQ64" s="180">
        <f>IF('DADOS_DANOS'!$H$5="","","⚠ "&amp;'DADOS_DANOS'!$H$5)</f>
        <v/>
      </c>
      <c r="EW64" s="176" t="n"/>
      <c r="EX64" s="176" t="n"/>
      <c r="EY64" s="176" t="n"/>
      <c r="EZ64" s="181" t="inlineStr">
        <is>
          <t>FAMÍLIA</t>
        </is>
      </c>
      <c r="FA64" s="182" t="n"/>
      <c r="FB64" s="183" t="n"/>
      <c r="FC64" s="185" t="n"/>
      <c r="FD64" s="182" t="n"/>
      <c r="FE64" s="183" t="n"/>
      <c r="FF64" s="176" t="n"/>
      <c r="FG64" s="176" t="n"/>
      <c r="FH64" s="181" t="inlineStr">
        <is>
          <t>FAMÍLIA</t>
        </is>
      </c>
      <c r="FI64" s="182" t="n"/>
      <c r="FJ64" s="183" t="n"/>
      <c r="FK64" s="185" t="n"/>
      <c r="FL64" s="182" t="n"/>
      <c r="FM64" s="183" t="n"/>
      <c r="FN64" s="176" t="n"/>
      <c r="FO64" s="176" t="n"/>
      <c r="FP64" s="176" t="n"/>
      <c r="FW64" s="176" t="n"/>
      <c r="FX64" s="176" t="n"/>
      <c r="GE64" s="176" t="n"/>
      <c r="GF64" s="176" t="n"/>
      <c r="GG64" s="176" t="n"/>
      <c r="GH64" s="185" t="inlineStr">
        <is>
          <t>Talento</t>
        </is>
      </c>
      <c r="GI64" s="182" t="n"/>
      <c r="GJ64" s="182" t="n"/>
      <c r="GK64" s="183" t="n"/>
      <c r="GL64" s="184" t="b">
        <v>0</v>
      </c>
      <c r="GM64" s="183" t="n"/>
      <c r="GN64" s="176" t="n"/>
      <c r="GO64" s="176" t="n"/>
      <c r="GP64" s="185" t="inlineStr">
        <is>
          <t>Talento</t>
        </is>
      </c>
      <c r="GQ64" s="182" t="n"/>
      <c r="GR64" s="182" t="n"/>
      <c r="GS64" s="183" t="n"/>
      <c r="GT64" s="184" t="b">
        <v>0</v>
      </c>
      <c r="GU64" s="183" t="n"/>
      <c r="GV64" s="176" t="n"/>
      <c r="GW64" s="176" t="n"/>
      <c r="GX64" s="176" t="n"/>
      <c r="GY64" s="176" t="n"/>
      <c r="GZ64" s="176" t="n"/>
      <c r="HA64" s="176" t="n"/>
      <c r="HB64" s="176" t="n"/>
      <c r="HC64" s="176" t="n"/>
      <c r="HD64" s="176" t="n"/>
      <c r="HE64" s="176" t="n"/>
      <c r="HF64" s="176" t="n"/>
      <c r="HG64" s="176" t="n"/>
      <c r="HH64" s="176" t="n"/>
      <c r="HI64" s="176" t="n"/>
      <c r="HJ64" s="176" t="n"/>
      <c r="HK64" s="176" t="n"/>
      <c r="HL64" s="176" t="n"/>
      <c r="HM64" s="176" t="n"/>
      <c r="HN64" s="176" t="n"/>
      <c r="HO64" s="176" t="n"/>
      <c r="HP64" s="176" t="n"/>
      <c r="HQ64" s="176" t="n"/>
      <c r="HR64" s="176" t="n"/>
      <c r="HS64" s="176" t="n"/>
      <c r="HT64" s="176" t="n"/>
      <c r="HU64" s="176" t="n"/>
      <c r="HV64" s="176" t="n"/>
      <c r="HW64" s="176" t="n"/>
      <c r="HX64" s="176" t="n"/>
      <c r="HY64" s="176" t="n"/>
      <c r="HZ64" s="176" t="n"/>
      <c r="IA64" s="176" t="n"/>
      <c r="IB64" s="176" t="n"/>
      <c r="IC64" s="176" t="n"/>
      <c r="ID64" s="176" t="n"/>
    </row>
    <row r="65" ht="21" customHeight="1">
      <c r="A65" s="176" t="n"/>
      <c r="B65" s="176" t="n"/>
      <c r="C65" s="186" t="n">
        <v>1</v>
      </c>
      <c r="D65" s="183" t="n"/>
      <c r="E65" s="186" t="n"/>
      <c r="F65" s="185" t="n"/>
      <c r="G65" s="186">
        <f>IF(F65="",IF(E65="","",E65),IF(IFERROR(AND(ISNUMBER(F65),F65&gt;=0,INT(F65)=F65),FALSE),F65,NA()))</f>
        <v/>
      </c>
      <c r="H65" s="186">
        <f>DADOS_CONFIG!Z2</f>
        <v/>
      </c>
      <c r="I65" s="176" t="n"/>
      <c r="J65" s="176" t="n"/>
      <c r="K65" s="176" t="n"/>
      <c r="L65" s="176" t="n"/>
      <c r="M65" s="176" t="n"/>
      <c r="N65" s="176" t="n"/>
      <c r="O65" s="176" t="n"/>
      <c r="P65" s="176" t="n"/>
      <c r="Q65" s="176" t="n"/>
      <c r="R65" s="176" t="n"/>
      <c r="S65" s="176" t="n"/>
      <c r="T65" s="180">
        <f>IF('DADOS_CUSTOM'!$S$4="","Revise os valores ao trocar o tipo.","⚠ "&amp;'DADOS_CUSTOM'!$S$4)</f>
        <v/>
      </c>
      <c r="Z65" s="176" t="n"/>
      <c r="AA65" s="176" t="n"/>
      <c r="AB65" s="180">
        <f>IF('DADOS_CUSTOM'!$S$5="","Revise os valores ao trocar o tipo.","⚠ "&amp;'DADOS_CUSTOM'!$S$5)</f>
        <v/>
      </c>
      <c r="AH65" s="176" t="n"/>
      <c r="AI65" s="176" t="n"/>
      <c r="AJ65" s="176" t="n"/>
      <c r="AK65" s="176" t="n"/>
      <c r="AL65" s="176" t="n"/>
      <c r="AM65" s="176" t="n"/>
      <c r="AN65" s="176" t="n"/>
      <c r="AO65" s="176" t="n"/>
      <c r="AP65" s="176" t="n"/>
      <c r="AQ65" s="176" t="n"/>
      <c r="AR65" s="176" t="n"/>
      <c r="AS65" s="176" t="n"/>
      <c r="AT65" s="176" t="n"/>
      <c r="AU65" s="176" t="n"/>
      <c r="AV65" s="176" t="n"/>
      <c r="AW65" s="176" t="n"/>
      <c r="AX65" s="176" t="n"/>
      <c r="AY65" s="176" t="n"/>
      <c r="AZ65" s="176" t="n"/>
      <c r="BA65" s="176" t="n"/>
      <c r="BB65" s="179" t="inlineStr">
        <is>
          <t>PERÍCIA 9 · CUSTOM</t>
        </is>
      </c>
      <c r="BH65" s="176" t="n"/>
      <c r="BI65" s="176" t="n"/>
      <c r="BJ65" s="179" t="inlineStr">
        <is>
          <t>PERÍCIA 10 · CUSTOM</t>
        </is>
      </c>
      <c r="BP65" s="176" t="n"/>
      <c r="BQ65" s="176" t="n"/>
      <c r="BR65" s="176" t="n"/>
      <c r="BS65" s="179" t="inlineStr">
        <is>
          <t>OFÍCIO 9 · CUSTOM</t>
        </is>
      </c>
      <c r="BY65" s="176" t="n"/>
      <c r="BZ65" s="176" t="n"/>
      <c r="CA65" s="179" t="inlineStr">
        <is>
          <t>OFÍCIO 10 · CUSTOM</t>
        </is>
      </c>
      <c r="CG65" s="176" t="n"/>
      <c r="CH65" s="176" t="n"/>
      <c r="CI65" s="176" t="n"/>
      <c r="CJ65" s="180">
        <f>IF('DADOS_CRIACAO'!$F$8="","","⚠ "&amp;'DADOS_CRIACAO'!$F$8)</f>
        <v/>
      </c>
      <c r="CP65" s="176" t="n"/>
      <c r="CQ65" s="176" t="n"/>
      <c r="CR65" s="180">
        <f>IF('DADOS_CRIACAO'!$F$9="","","⚠ "&amp;'DADOS_CRIACAO'!$F$9)</f>
        <v/>
      </c>
      <c r="CX65" s="176" t="n"/>
      <c r="CY65" s="176" t="n"/>
      <c r="CZ65" s="176" t="n"/>
      <c r="DA65" s="185" t="inlineStr">
        <is>
          <t>Melhoria</t>
        </is>
      </c>
      <c r="DB65" s="182" t="n"/>
      <c r="DC65" s="182" t="n"/>
      <c r="DD65" s="183" t="n"/>
      <c r="DE65" s="184" t="b">
        <v>0</v>
      </c>
      <c r="DF65" s="183" t="n"/>
      <c r="DG65" s="176" t="n"/>
      <c r="DH65" s="176" t="n"/>
      <c r="DI65" s="185" t="inlineStr">
        <is>
          <t>Melhoria</t>
        </is>
      </c>
      <c r="DJ65" s="182" t="n"/>
      <c r="DK65" s="182" t="n"/>
      <c r="DL65" s="183" t="n"/>
      <c r="DM65" s="184" t="b">
        <v>0</v>
      </c>
      <c r="DN65" s="183" t="n"/>
      <c r="DO65" s="176" t="n"/>
      <c r="DP65" s="176" t="n"/>
      <c r="DQ65" s="176" t="n"/>
      <c r="DR65" s="192" t="n"/>
      <c r="DS65" s="187" t="n"/>
      <c r="DT65" s="187" t="n"/>
      <c r="DU65" s="187" t="n"/>
      <c r="DV65" s="187" t="n"/>
      <c r="DW65" s="188" t="n"/>
      <c r="DX65" s="176" t="n"/>
      <c r="DY65" s="176" t="n"/>
      <c r="DZ65" s="192" t="n"/>
      <c r="EA65" s="187" t="n"/>
      <c r="EB65" s="187" t="n"/>
      <c r="EC65" s="187" t="n"/>
      <c r="ED65" s="187" t="n"/>
      <c r="EE65" s="188" t="n"/>
      <c r="EF65" s="176" t="n"/>
      <c r="EG65" s="176" t="n"/>
      <c r="EH65" s="176" t="n"/>
      <c r="EO65" s="176" t="n"/>
      <c r="EP65" s="176" t="n"/>
      <c r="EW65" s="176" t="n"/>
      <c r="EX65" s="176" t="n"/>
      <c r="EY65" s="176" t="n"/>
      <c r="EZ65" s="181" t="inlineStr">
        <is>
          <t>PESO</t>
        </is>
      </c>
      <c r="FA65" s="182" t="n"/>
      <c r="FB65" s="183" t="n"/>
      <c r="FC65" s="185" t="n"/>
      <c r="FD65" s="182" t="n"/>
      <c r="FE65" s="183" t="n"/>
      <c r="FF65" s="176" t="n"/>
      <c r="FG65" s="176" t="n"/>
      <c r="FH65" s="181" t="inlineStr">
        <is>
          <t>PESO</t>
        </is>
      </c>
      <c r="FI65" s="182" t="n"/>
      <c r="FJ65" s="183" t="n"/>
      <c r="FK65" s="185" t="n"/>
      <c r="FL65" s="182" t="n"/>
      <c r="FM65" s="183" t="n"/>
      <c r="FN65" s="176" t="n"/>
      <c r="FO65" s="176" t="n"/>
      <c r="FP65" s="176" t="n"/>
      <c r="FQ65" s="176" t="n"/>
      <c r="FR65" s="176" t="n"/>
      <c r="FS65" s="176" t="n"/>
      <c r="FT65" s="176" t="n"/>
      <c r="FU65" s="176" t="n"/>
      <c r="FV65" s="176" t="n"/>
      <c r="FW65" s="176" t="n"/>
      <c r="FX65" s="176" t="n"/>
      <c r="FY65" s="176" t="n"/>
      <c r="FZ65" s="176" t="n"/>
      <c r="GA65" s="176" t="n"/>
      <c r="GB65" s="176" t="n"/>
      <c r="GC65" s="176" t="n"/>
      <c r="GD65" s="176" t="n"/>
      <c r="GE65" s="176" t="n"/>
      <c r="GF65" s="176" t="n"/>
      <c r="GG65" s="176" t="n"/>
      <c r="GH65" s="181" t="inlineStr">
        <is>
          <t>NOME</t>
        </is>
      </c>
      <c r="GI65" s="182" t="n"/>
      <c r="GJ65" s="182" t="n"/>
      <c r="GK65" s="182" t="n"/>
      <c r="GL65" s="182" t="n"/>
      <c r="GM65" s="183" t="n"/>
      <c r="GN65" s="176" t="n"/>
      <c r="GO65" s="176" t="n"/>
      <c r="GP65" s="181" t="inlineStr">
        <is>
          <t>NOME</t>
        </is>
      </c>
      <c r="GQ65" s="182" t="n"/>
      <c r="GR65" s="182" t="n"/>
      <c r="GS65" s="182" t="n"/>
      <c r="GT65" s="182" t="n"/>
      <c r="GU65" s="183" t="n"/>
      <c r="GV65" s="176" t="n"/>
      <c r="GW65" s="176" t="n"/>
      <c r="GX65" s="176" t="n"/>
      <c r="GY65" s="180">
        <f>IF('DADOS_ENTIDADES'!$K$4="","","⚠ "&amp;'DADOS_ENTIDADES'!$K$4)</f>
        <v/>
      </c>
      <c r="HE65" s="176" t="n"/>
      <c r="HF65" s="176" t="n"/>
      <c r="HG65" s="180">
        <f>IF('DADOS_ENTIDADES'!$K$5="","","⚠ "&amp;'DADOS_ENTIDADES'!$K$5)</f>
        <v/>
      </c>
      <c r="HM65" s="176" t="n"/>
      <c r="HN65" s="176" t="n"/>
      <c r="HO65" s="176" t="n"/>
      <c r="HP65" s="180">
        <f>IF('DADOS_ENTIDADES'!$AG$4="","","⚠ "&amp;'DADOS_ENTIDADES'!$AG$4)</f>
        <v/>
      </c>
      <c r="HV65" s="176" t="n"/>
      <c r="HW65" s="176" t="n"/>
      <c r="HX65" s="180">
        <f>IF('DADOS_ENTIDADES'!$AG$5="","","⚠ "&amp;'DADOS_ENTIDADES'!$AG$5)</f>
        <v/>
      </c>
      <c r="ID65" s="176" t="n"/>
    </row>
    <row r="66" ht="21" customHeight="1">
      <c r="A66" s="176" t="n"/>
      <c r="B66" s="176" t="n"/>
      <c r="C66" s="186" t="n">
        <v>2</v>
      </c>
      <c r="D66" s="183" t="n"/>
      <c r="E66" s="186" t="n">
        <v>200</v>
      </c>
      <c r="F66" s="185" t="n"/>
      <c r="G66" s="186">
        <f>IF(F66="",IF(E66="","",E66),IF(IFERROR(AND(ISNUMBER(F66),F66&gt;=0,INT(F66)=F66),FALSE),F66,NA()))</f>
        <v/>
      </c>
      <c r="H66" s="186">
        <f>DADOS_CONFIG!Z3</f>
        <v/>
      </c>
      <c r="I66" s="176" t="n"/>
      <c r="J66" s="176" t="n"/>
      <c r="K66" s="176" t="n"/>
      <c r="L66" s="176" t="n"/>
      <c r="M66" s="176" t="n"/>
      <c r="N66" s="176" t="n"/>
      <c r="O66" s="176" t="n"/>
      <c r="P66" s="176" t="n"/>
      <c r="Q66" s="176" t="n"/>
      <c r="R66" s="176" t="n"/>
      <c r="S66" s="176" t="n"/>
      <c r="Z66" s="176" t="n"/>
      <c r="AA66" s="176" t="n"/>
      <c r="AH66" s="176" t="n"/>
      <c r="AI66" s="176" t="n"/>
      <c r="AJ66" s="176" t="n"/>
      <c r="AK66" s="176" t="n"/>
      <c r="AL66" s="176" t="n"/>
      <c r="AM66" s="176" t="n"/>
      <c r="AN66" s="176" t="n"/>
      <c r="AO66" s="176" t="n"/>
      <c r="AP66" s="176" t="n"/>
      <c r="AQ66" s="176" t="n"/>
      <c r="AR66" s="176" t="n"/>
      <c r="AS66" s="176" t="n"/>
      <c r="AT66" s="176" t="n"/>
      <c r="AU66" s="176" t="n"/>
      <c r="AV66" s="176" t="n"/>
      <c r="AW66" s="176" t="n"/>
      <c r="AX66" s="176" t="n"/>
      <c r="AY66" s="176" t="n"/>
      <c r="AZ66" s="176" t="n"/>
      <c r="BA66" s="176" t="n"/>
      <c r="BB66" s="181" t="inlineStr">
        <is>
          <t>TIPO</t>
        </is>
      </c>
      <c r="BC66" s="182" t="n"/>
      <c r="BD66" s="182" t="n"/>
      <c r="BE66" s="183" t="n"/>
      <c r="BF66" s="181" t="inlineStr">
        <is>
          <t>MESTRE VIU</t>
        </is>
      </c>
      <c r="BG66" s="183" t="n"/>
      <c r="BH66" s="176" t="n"/>
      <c r="BI66" s="176" t="n"/>
      <c r="BJ66" s="181" t="inlineStr">
        <is>
          <t>TIPO</t>
        </is>
      </c>
      <c r="BK66" s="182" t="n"/>
      <c r="BL66" s="182" t="n"/>
      <c r="BM66" s="183" t="n"/>
      <c r="BN66" s="181" t="inlineStr">
        <is>
          <t>MESTRE VIU</t>
        </is>
      </c>
      <c r="BO66" s="183" t="n"/>
      <c r="BP66" s="176" t="n"/>
      <c r="BQ66" s="176" t="n"/>
      <c r="BR66" s="176" t="n"/>
      <c r="BS66" s="181" t="inlineStr">
        <is>
          <t>TIPO</t>
        </is>
      </c>
      <c r="BT66" s="182" t="n"/>
      <c r="BU66" s="182" t="n"/>
      <c r="BV66" s="183" t="n"/>
      <c r="BW66" s="181" t="inlineStr">
        <is>
          <t>MESTRE VIU</t>
        </is>
      </c>
      <c r="BX66" s="183" t="n"/>
      <c r="BY66" s="176" t="n"/>
      <c r="BZ66" s="176" t="n"/>
      <c r="CA66" s="181" t="inlineStr">
        <is>
          <t>TIPO</t>
        </is>
      </c>
      <c r="CB66" s="182" t="n"/>
      <c r="CC66" s="182" t="n"/>
      <c r="CD66" s="183" t="n"/>
      <c r="CE66" s="181" t="inlineStr">
        <is>
          <t>MESTRE VIU</t>
        </is>
      </c>
      <c r="CF66" s="183" t="n"/>
      <c r="CG66" s="176" t="n"/>
      <c r="CH66" s="176" t="n"/>
      <c r="CI66" s="176" t="n"/>
      <c r="CJ66" s="176" t="n"/>
      <c r="CK66" s="176" t="n"/>
      <c r="CL66" s="176" t="n"/>
      <c r="CM66" s="176" t="n"/>
      <c r="CN66" s="176" t="n"/>
      <c r="CO66" s="176" t="n"/>
      <c r="CP66" s="176" t="n"/>
      <c r="CQ66" s="176" t="n"/>
      <c r="CR66" s="176" t="n"/>
      <c r="CS66" s="176" t="n"/>
      <c r="CT66" s="176" t="n"/>
      <c r="CU66" s="176" t="n"/>
      <c r="CV66" s="176" t="n"/>
      <c r="CW66" s="176" t="n"/>
      <c r="CX66" s="176" t="n"/>
      <c r="CY66" s="176" t="n"/>
      <c r="CZ66" s="176" t="n"/>
      <c r="DA66" s="181" t="inlineStr">
        <is>
          <t>NOME</t>
        </is>
      </c>
      <c r="DB66" s="182" t="n"/>
      <c r="DC66" s="182" t="n"/>
      <c r="DD66" s="182" t="n"/>
      <c r="DE66" s="182" t="n"/>
      <c r="DF66" s="183" t="n"/>
      <c r="DG66" s="176" t="n"/>
      <c r="DH66" s="176" t="n"/>
      <c r="DI66" s="181" t="inlineStr">
        <is>
          <t>NOME</t>
        </is>
      </c>
      <c r="DJ66" s="182" t="n"/>
      <c r="DK66" s="182" t="n"/>
      <c r="DL66" s="182" t="n"/>
      <c r="DM66" s="182" t="n"/>
      <c r="DN66" s="183" t="n"/>
      <c r="DO66" s="176" t="n"/>
      <c r="DP66" s="176" t="n"/>
      <c r="DQ66" s="176" t="n"/>
      <c r="DR66" s="193" t="n"/>
      <c r="DW66" s="194" t="n"/>
      <c r="DX66" s="176" t="n"/>
      <c r="DY66" s="176" t="n"/>
      <c r="DZ66" s="193" t="n"/>
      <c r="EE66" s="194" t="n"/>
      <c r="EF66" s="176" t="n"/>
      <c r="EG66" s="176" t="n"/>
      <c r="EH66" s="176" t="n"/>
      <c r="EI66" s="176" t="n"/>
      <c r="EJ66" s="176" t="n"/>
      <c r="EK66" s="176" t="n"/>
      <c r="EL66" s="176" t="n"/>
      <c r="EM66" s="176" t="n"/>
      <c r="EN66" s="176" t="n"/>
      <c r="EO66" s="176" t="n"/>
      <c r="EP66" s="176" t="n"/>
      <c r="EQ66" s="176" t="n"/>
      <c r="ER66" s="176" t="n"/>
      <c r="ES66" s="176" t="n"/>
      <c r="ET66" s="176" t="n"/>
      <c r="EU66" s="176" t="n"/>
      <c r="EV66" s="176" t="n"/>
      <c r="EW66" s="176" t="n"/>
      <c r="EX66" s="176" t="n"/>
      <c r="EY66" s="176" t="n"/>
      <c r="EZ66" s="181" t="inlineStr">
        <is>
          <t>RESOLUÇÃO</t>
        </is>
      </c>
      <c r="FA66" s="182" t="n"/>
      <c r="FB66" s="183" t="n"/>
      <c r="FC66" s="185" t="n"/>
      <c r="FD66" s="182" t="n"/>
      <c r="FE66" s="183" t="n"/>
      <c r="FF66" s="176" t="n"/>
      <c r="FG66" s="176" t="n"/>
      <c r="FH66" s="181" t="inlineStr">
        <is>
          <t>RESOLUÇÃO</t>
        </is>
      </c>
      <c r="FI66" s="182" t="n"/>
      <c r="FJ66" s="183" t="n"/>
      <c r="FK66" s="185" t="n"/>
      <c r="FL66" s="182" t="n"/>
      <c r="FM66" s="183" t="n"/>
      <c r="FN66" s="176" t="n"/>
      <c r="FO66" s="176" t="n"/>
      <c r="FP66" s="176" t="n"/>
      <c r="FQ66" s="179" t="inlineStr">
        <is>
          <t>APTIDÕES / BÊNÇÃOS · 5</t>
        </is>
      </c>
      <c r="FW66" s="176" t="n"/>
      <c r="FX66" s="176" t="n"/>
      <c r="FY66" s="179" t="inlineStr">
        <is>
          <t>APTIDÕES / BÊNÇÃOS · 6</t>
        </is>
      </c>
      <c r="GE66" s="176" t="n"/>
      <c r="GF66" s="176" t="n"/>
      <c r="GG66" s="176" t="n"/>
      <c r="GH66" s="185" t="n"/>
      <c r="GI66" s="182" t="n"/>
      <c r="GJ66" s="182" t="n"/>
      <c r="GK66" s="182" t="n"/>
      <c r="GL66" s="182" t="n"/>
      <c r="GM66" s="183" t="n"/>
      <c r="GN66" s="176" t="n"/>
      <c r="GO66" s="176" t="n"/>
      <c r="GP66" s="185" t="n"/>
      <c r="GQ66" s="182" t="n"/>
      <c r="GR66" s="182" t="n"/>
      <c r="GS66" s="182" t="n"/>
      <c r="GT66" s="182" t="n"/>
      <c r="GU66" s="183" t="n"/>
      <c r="GV66" s="176" t="n"/>
      <c r="GW66" s="176" t="n"/>
      <c r="GX66" s="176" t="n"/>
      <c r="HE66" s="176" t="n"/>
      <c r="HF66" s="176" t="n"/>
      <c r="HM66" s="176" t="n"/>
      <c r="HN66" s="176" t="n"/>
      <c r="HO66" s="176" t="n"/>
      <c r="HV66" s="176" t="n"/>
      <c r="HW66" s="176" t="n"/>
      <c r="ID66" s="176" t="n"/>
    </row>
    <row r="67" ht="21" customHeight="1">
      <c r="A67" s="176" t="n"/>
      <c r="B67" s="176" t="n"/>
      <c r="C67" s="186" t="n">
        <v>3</v>
      </c>
      <c r="D67" s="183" t="n"/>
      <c r="E67" s="186" t="n">
        <v>300</v>
      </c>
      <c r="F67" s="185" t="n"/>
      <c r="G67" s="186">
        <f>IF(F67="",IF(E67="","",E67),IF(IFERROR(AND(ISNUMBER(F67),F67&gt;=0,INT(F67)=F67),FALSE),F67,NA()))</f>
        <v/>
      </c>
      <c r="H67" s="186">
        <f>DADOS_CONFIG!Z4</f>
        <v/>
      </c>
      <c r="I67" s="176" t="n"/>
      <c r="J67" s="176" t="n"/>
      <c r="K67" s="176" t="n"/>
      <c r="L67" s="176" t="n"/>
      <c r="M67" s="176" t="n"/>
      <c r="N67" s="176" t="n"/>
      <c r="O67" s="176" t="n"/>
      <c r="P67" s="176" t="n"/>
      <c r="Q67" s="176" t="n"/>
      <c r="R67" s="176" t="n"/>
      <c r="S67" s="176" t="n"/>
      <c r="T67" s="176" t="n"/>
      <c r="U67" s="176" t="n"/>
      <c r="V67" s="176" t="n"/>
      <c r="W67" s="176" t="n"/>
      <c r="X67" s="176" t="n"/>
      <c r="Y67" s="176" t="n"/>
      <c r="Z67" s="176" t="n"/>
      <c r="AA67" s="176" t="n"/>
      <c r="AB67" s="176" t="n"/>
      <c r="AC67" s="176" t="n"/>
      <c r="AD67" s="176" t="n"/>
      <c r="AE67" s="176" t="n"/>
      <c r="AF67" s="176" t="n"/>
      <c r="AG67" s="176" t="n"/>
      <c r="AH67" s="176" t="n"/>
      <c r="AI67" s="176" t="n"/>
      <c r="AJ67" s="176" t="n"/>
      <c r="AK67" s="176" t="n"/>
      <c r="AL67" s="176" t="n"/>
      <c r="AM67" s="176" t="n"/>
      <c r="AN67" s="176" t="n"/>
      <c r="AO67" s="176" t="n"/>
      <c r="AP67" s="176" t="n"/>
      <c r="AQ67" s="176" t="n"/>
      <c r="AR67" s="176" t="n"/>
      <c r="AS67" s="176" t="n"/>
      <c r="AT67" s="176" t="n"/>
      <c r="AU67" s="176" t="n"/>
      <c r="AV67" s="176" t="n"/>
      <c r="AW67" s="176" t="n"/>
      <c r="AX67" s="176" t="n"/>
      <c r="AY67" s="176" t="n"/>
      <c r="AZ67" s="176" t="n"/>
      <c r="BA67" s="176" t="n"/>
      <c r="BB67" s="185" t="inlineStr">
        <is>
          <t>Perícia</t>
        </is>
      </c>
      <c r="BC67" s="182" t="n"/>
      <c r="BD67" s="182" t="n"/>
      <c r="BE67" s="183" t="n"/>
      <c r="BF67" s="184" t="b">
        <v>0</v>
      </c>
      <c r="BG67" s="183" t="n"/>
      <c r="BH67" s="176" t="n"/>
      <c r="BI67" s="176" t="n"/>
      <c r="BJ67" s="185" t="inlineStr">
        <is>
          <t>Perícia</t>
        </is>
      </c>
      <c r="BK67" s="182" t="n"/>
      <c r="BL67" s="182" t="n"/>
      <c r="BM67" s="183" t="n"/>
      <c r="BN67" s="184" t="b">
        <v>0</v>
      </c>
      <c r="BO67" s="183" t="n"/>
      <c r="BP67" s="176" t="n"/>
      <c r="BQ67" s="176" t="n"/>
      <c r="BR67" s="176" t="n"/>
      <c r="BS67" s="185" t="inlineStr">
        <is>
          <t>Ofício</t>
        </is>
      </c>
      <c r="BT67" s="182" t="n"/>
      <c r="BU67" s="182" t="n"/>
      <c r="BV67" s="183" t="n"/>
      <c r="BW67" s="184" t="b">
        <v>0</v>
      </c>
      <c r="BX67" s="183" t="n"/>
      <c r="BY67" s="176" t="n"/>
      <c r="BZ67" s="176" t="n"/>
      <c r="CA67" s="185" t="inlineStr">
        <is>
          <t>Ofício</t>
        </is>
      </c>
      <c r="CB67" s="182" t="n"/>
      <c r="CC67" s="182" t="n"/>
      <c r="CD67" s="183" t="n"/>
      <c r="CE67" s="184" t="b">
        <v>0</v>
      </c>
      <c r="CF67" s="183" t="n"/>
      <c r="CG67" s="176" t="n"/>
      <c r="CH67" s="176" t="n"/>
      <c r="CI67" s="176" t="n"/>
      <c r="CJ67" s="179" t="inlineStr">
        <is>
          <t>FAMÍLIA · 9</t>
        </is>
      </c>
      <c r="CP67" s="176" t="n"/>
      <c r="CQ67" s="176" t="n"/>
      <c r="CR67" s="179" t="inlineStr">
        <is>
          <t>FAMÍLIA · 10</t>
        </is>
      </c>
      <c r="CX67" s="176" t="n"/>
      <c r="CY67" s="176" t="n"/>
      <c r="CZ67" s="176" t="n"/>
      <c r="DA67" s="185" t="n"/>
      <c r="DB67" s="182" t="n"/>
      <c r="DC67" s="182" t="n"/>
      <c r="DD67" s="182" t="n"/>
      <c r="DE67" s="182" t="n"/>
      <c r="DF67" s="183" t="n"/>
      <c r="DG67" s="176" t="n"/>
      <c r="DH67" s="176" t="n"/>
      <c r="DI67" s="185" t="n"/>
      <c r="DJ67" s="182" t="n"/>
      <c r="DK67" s="182" t="n"/>
      <c r="DL67" s="182" t="n"/>
      <c r="DM67" s="182" t="n"/>
      <c r="DN67" s="183" t="n"/>
      <c r="DO67" s="176" t="n"/>
      <c r="DP67" s="176" t="n"/>
      <c r="DQ67" s="176" t="n"/>
      <c r="DR67" s="193" t="n"/>
      <c r="DW67" s="194" t="n"/>
      <c r="DX67" s="176" t="n"/>
      <c r="DY67" s="176" t="n"/>
      <c r="DZ67" s="193" t="n"/>
      <c r="EE67" s="194" t="n"/>
      <c r="EF67" s="176" t="n"/>
      <c r="EG67" s="176" t="n"/>
      <c r="EH67" s="176" t="n"/>
      <c r="EI67" s="179" t="inlineStr">
        <is>
          <t>TIPO DE DANO · 5</t>
        </is>
      </c>
      <c r="EO67" s="176" t="n"/>
      <c r="EP67" s="176" t="n"/>
      <c r="EQ67" s="179" t="inlineStr">
        <is>
          <t>TIPO DE DANO · 6</t>
        </is>
      </c>
      <c r="EW67" s="176" t="n"/>
      <c r="EX67" s="176" t="n"/>
      <c r="EY67" s="176" t="n"/>
      <c r="EZ67" s="181" t="inlineStr">
        <is>
          <t>RESULTADO</t>
        </is>
      </c>
      <c r="FA67" s="182" t="n"/>
      <c r="FB67" s="183" t="n"/>
      <c r="FC67" s="185" t="n"/>
      <c r="FD67" s="182" t="n"/>
      <c r="FE67" s="183" t="n"/>
      <c r="FF67" s="176" t="n"/>
      <c r="FG67" s="176" t="n"/>
      <c r="FH67" s="181" t="inlineStr">
        <is>
          <t>RESULTADO</t>
        </is>
      </c>
      <c r="FI67" s="182" t="n"/>
      <c r="FJ67" s="183" t="n"/>
      <c r="FK67" s="185" t="n"/>
      <c r="FL67" s="182" t="n"/>
      <c r="FM67" s="183" t="n"/>
      <c r="FN67" s="176" t="n"/>
      <c r="FO67" s="176" t="n"/>
      <c r="FP67" s="176" t="n"/>
      <c r="FQ67" s="181" t="inlineStr">
        <is>
          <t>TIPO</t>
        </is>
      </c>
      <c r="FR67" s="182" t="n"/>
      <c r="FS67" s="182" t="n"/>
      <c r="FT67" s="183" t="n"/>
      <c r="FU67" s="181" t="inlineStr">
        <is>
          <t>MESTRE VIU</t>
        </is>
      </c>
      <c r="FV67" s="183" t="n"/>
      <c r="FW67" s="176" t="n"/>
      <c r="FX67" s="176" t="n"/>
      <c r="FY67" s="181" t="inlineStr">
        <is>
          <t>TIPO</t>
        </is>
      </c>
      <c r="FZ67" s="182" t="n"/>
      <c r="GA67" s="182" t="n"/>
      <c r="GB67" s="183" t="n"/>
      <c r="GC67" s="181" t="inlineStr">
        <is>
          <t>MESTRE VIU</t>
        </is>
      </c>
      <c r="GD67" s="183" t="n"/>
      <c r="GE67" s="176" t="n"/>
      <c r="GF67" s="176" t="n"/>
      <c r="GG67" s="176" t="n"/>
      <c r="GH67" s="181" t="inlineStr">
        <is>
          <t>BASE DO LIVRO</t>
        </is>
      </c>
      <c r="GI67" s="182" t="n"/>
      <c r="GJ67" s="183" t="n"/>
      <c r="GK67" s="185" t="n"/>
      <c r="GL67" s="182" t="n"/>
      <c r="GM67" s="183" t="n"/>
      <c r="GN67" s="176" t="n"/>
      <c r="GO67" s="176" t="n"/>
      <c r="GP67" s="181" t="inlineStr">
        <is>
          <t>BASE DO LIVRO</t>
        </is>
      </c>
      <c r="GQ67" s="182" t="n"/>
      <c r="GR67" s="183" t="n"/>
      <c r="GS67" s="185" t="n"/>
      <c r="GT67" s="182" t="n"/>
      <c r="GU67" s="183" t="n"/>
      <c r="GV67" s="176" t="n"/>
      <c r="GW67" s="176" t="n"/>
      <c r="GX67" s="176" t="n"/>
      <c r="GY67" s="179" t="inlineStr">
        <is>
          <t>TIPO DE ENTIDADE · 5</t>
        </is>
      </c>
      <c r="HE67" s="176" t="n"/>
      <c r="HF67" s="176" t="n"/>
      <c r="HG67" s="179" t="inlineStr">
        <is>
          <t>TIPO DE ENTIDADE · 6</t>
        </is>
      </c>
      <c r="HM67" s="176" t="n"/>
      <c r="HN67" s="176" t="n"/>
      <c r="HO67" s="176" t="n"/>
      <c r="HP67" s="179" t="inlineStr">
        <is>
          <t>TALENTO · ENTIDADE · 5</t>
        </is>
      </c>
      <c r="HV67" s="176" t="n"/>
      <c r="HW67" s="176" t="n"/>
      <c r="HX67" s="179" t="inlineStr">
        <is>
          <t>TALENTO · ENTIDADE · 6</t>
        </is>
      </c>
      <c r="ID67" s="176" t="n"/>
    </row>
    <row r="68" ht="21" customHeight="1">
      <c r="A68" s="176" t="n"/>
      <c r="B68" s="176" t="n"/>
      <c r="C68" s="186" t="n">
        <v>4</v>
      </c>
      <c r="D68" s="183" t="n"/>
      <c r="E68" s="186" t="n">
        <v>300</v>
      </c>
      <c r="F68" s="185" t="n"/>
      <c r="G68" s="186">
        <f>IF(F68="",IF(E68="","",E68),IF(IFERROR(AND(ISNUMBER(F68),F68&gt;=0,INT(F68)=F68),FALSE),F68,NA()))</f>
        <v/>
      </c>
      <c r="H68" s="186">
        <f>DADOS_CONFIG!Z5</f>
        <v/>
      </c>
      <c r="I68" s="176" t="n"/>
      <c r="J68" s="176" t="n"/>
      <c r="K68" s="176" t="n"/>
      <c r="L68" s="176" t="n"/>
      <c r="M68" s="176" t="n"/>
      <c r="N68" s="176" t="n"/>
      <c r="O68" s="176" t="n"/>
      <c r="P68" s="176" t="n"/>
      <c r="Q68" s="176" t="n"/>
      <c r="R68" s="176" t="n"/>
      <c r="S68" s="176" t="n"/>
      <c r="T68" s="176" t="n"/>
      <c r="U68" s="176" t="n"/>
      <c r="V68" s="176" t="n"/>
      <c r="W68" s="176" t="n"/>
      <c r="X68" s="176" t="n"/>
      <c r="Y68" s="176" t="n"/>
      <c r="Z68" s="176" t="n"/>
      <c r="AA68" s="176" t="n"/>
      <c r="AB68" s="176" t="n"/>
      <c r="AC68" s="176" t="n"/>
      <c r="AD68" s="176" t="n"/>
      <c r="AE68" s="176" t="n"/>
      <c r="AF68" s="176" t="n"/>
      <c r="AG68" s="176" t="n"/>
      <c r="AH68" s="176" t="n"/>
      <c r="AI68" s="176" t="n"/>
      <c r="AJ68" s="176" t="n"/>
      <c r="AK68" s="176" t="n"/>
      <c r="AL68" s="176" t="n"/>
      <c r="AM68" s="176" t="n"/>
      <c r="AN68" s="176" t="n"/>
      <c r="AO68" s="176" t="n"/>
      <c r="AP68" s="176" t="n"/>
      <c r="AQ68" s="176" t="n"/>
      <c r="AR68" s="176" t="n"/>
      <c r="AS68" s="176" t="n"/>
      <c r="AT68" s="176" t="n"/>
      <c r="AU68" s="176" t="n"/>
      <c r="AV68" s="176" t="n"/>
      <c r="AW68" s="176" t="n"/>
      <c r="AX68" s="176" t="n"/>
      <c r="AY68" s="176" t="n"/>
      <c r="AZ68" s="176" t="n"/>
      <c r="BA68" s="176" t="n"/>
      <c r="BB68" s="181" t="inlineStr">
        <is>
          <t>NOME</t>
        </is>
      </c>
      <c r="BC68" s="182" t="n"/>
      <c r="BD68" s="182" t="n"/>
      <c r="BE68" s="182" t="n"/>
      <c r="BF68" s="182" t="n"/>
      <c r="BG68" s="183" t="n"/>
      <c r="BH68" s="176" t="n"/>
      <c r="BI68" s="176" t="n"/>
      <c r="BJ68" s="181" t="inlineStr">
        <is>
          <t>NOME</t>
        </is>
      </c>
      <c r="BK68" s="182" t="n"/>
      <c r="BL68" s="182" t="n"/>
      <c r="BM68" s="182" t="n"/>
      <c r="BN68" s="182" t="n"/>
      <c r="BO68" s="183" t="n"/>
      <c r="BP68" s="176" t="n"/>
      <c r="BQ68" s="176" t="n"/>
      <c r="BR68" s="176" t="n"/>
      <c r="BS68" s="181" t="inlineStr">
        <is>
          <t>NOME</t>
        </is>
      </c>
      <c r="BT68" s="182" t="n"/>
      <c r="BU68" s="182" t="n"/>
      <c r="BV68" s="182" t="n"/>
      <c r="BW68" s="182" t="n"/>
      <c r="BX68" s="183" t="n"/>
      <c r="BY68" s="176" t="n"/>
      <c r="BZ68" s="176" t="n"/>
      <c r="CA68" s="181" t="inlineStr">
        <is>
          <t>NOME</t>
        </is>
      </c>
      <c r="CB68" s="182" t="n"/>
      <c r="CC68" s="182" t="n"/>
      <c r="CD68" s="182" t="n"/>
      <c r="CE68" s="182" t="n"/>
      <c r="CF68" s="183" t="n"/>
      <c r="CG68" s="176" t="n"/>
      <c r="CH68" s="176" t="n"/>
      <c r="CI68" s="176" t="n"/>
      <c r="CJ68" s="181" t="inlineStr">
        <is>
          <t>TIPO</t>
        </is>
      </c>
      <c r="CK68" s="182" t="n"/>
      <c r="CL68" s="182" t="n"/>
      <c r="CM68" s="183" t="n"/>
      <c r="CN68" s="181" t="inlineStr">
        <is>
          <t>MESTRE VIU</t>
        </is>
      </c>
      <c r="CO68" s="183" t="n"/>
      <c r="CP68" s="176" t="n"/>
      <c r="CQ68" s="176" t="n"/>
      <c r="CR68" s="181" t="inlineStr">
        <is>
          <t>TIPO</t>
        </is>
      </c>
      <c r="CS68" s="182" t="n"/>
      <c r="CT68" s="182" t="n"/>
      <c r="CU68" s="183" t="n"/>
      <c r="CV68" s="181" t="inlineStr">
        <is>
          <t>MESTRE VIU</t>
        </is>
      </c>
      <c r="CW68" s="183" t="n"/>
      <c r="CX68" s="176" t="n"/>
      <c r="CY68" s="176" t="n"/>
      <c r="CZ68" s="176" t="n"/>
      <c r="DA68" s="181" t="inlineStr">
        <is>
          <t>BASE DO LIVRO</t>
        </is>
      </c>
      <c r="DB68" s="182" t="n"/>
      <c r="DC68" s="183" t="n"/>
      <c r="DD68" s="185" t="inlineStr">
        <is>
          <t>Nenhuma</t>
        </is>
      </c>
      <c r="DE68" s="182" t="n"/>
      <c r="DF68" s="183" t="n"/>
      <c r="DG68" s="176" t="n"/>
      <c r="DH68" s="176" t="n"/>
      <c r="DI68" s="181" t="inlineStr">
        <is>
          <t>BASE DO LIVRO</t>
        </is>
      </c>
      <c r="DJ68" s="182" t="n"/>
      <c r="DK68" s="183" t="n"/>
      <c r="DL68" s="185" t="inlineStr">
        <is>
          <t>Nenhuma</t>
        </is>
      </c>
      <c r="DM68" s="182" t="n"/>
      <c r="DN68" s="183" t="n"/>
      <c r="DO68" s="176" t="n"/>
      <c r="DP68" s="176" t="n"/>
      <c r="DQ68" s="176" t="n"/>
      <c r="DR68" s="193" t="n"/>
      <c r="DW68" s="194" t="n"/>
      <c r="DX68" s="176" t="n"/>
      <c r="DY68" s="176" t="n"/>
      <c r="DZ68" s="193" t="n"/>
      <c r="EE68" s="194" t="n"/>
      <c r="EF68" s="176" t="n"/>
      <c r="EG68" s="176" t="n"/>
      <c r="EH68" s="176" t="n"/>
      <c r="EI68" s="181" t="inlineStr">
        <is>
          <t>NOME</t>
        </is>
      </c>
      <c r="EJ68" s="182" t="n"/>
      <c r="EK68" s="182" t="n"/>
      <c r="EL68" s="183" t="n"/>
      <c r="EM68" s="181" t="inlineStr">
        <is>
          <t>MESTRE VIU</t>
        </is>
      </c>
      <c r="EN68" s="183" t="n"/>
      <c r="EO68" s="176" t="n"/>
      <c r="EP68" s="176" t="n"/>
      <c r="EQ68" s="181" t="inlineStr">
        <is>
          <t>NOME</t>
        </is>
      </c>
      <c r="ER68" s="182" t="n"/>
      <c r="ES68" s="182" t="n"/>
      <c r="ET68" s="183" t="n"/>
      <c r="EU68" s="181" t="inlineStr">
        <is>
          <t>MESTRE VIU</t>
        </is>
      </c>
      <c r="EV68" s="183" t="n"/>
      <c r="EW68" s="176" t="n"/>
      <c r="EX68" s="176" t="n"/>
      <c r="EY68" s="176" t="n"/>
      <c r="EZ68" s="181" t="inlineStr">
        <is>
          <t>EXIGE TR</t>
        </is>
      </c>
      <c r="FA68" s="182" t="n"/>
      <c r="FB68" s="183" t="n"/>
      <c r="FC68" s="185" t="n"/>
      <c r="FD68" s="182" t="n"/>
      <c r="FE68" s="183" t="n"/>
      <c r="FF68" s="176" t="n"/>
      <c r="FG68" s="176" t="n"/>
      <c r="FH68" s="181" t="inlineStr">
        <is>
          <t>EXIGE TR</t>
        </is>
      </c>
      <c r="FI68" s="182" t="n"/>
      <c r="FJ68" s="183" t="n"/>
      <c r="FK68" s="185" t="n"/>
      <c r="FL68" s="182" t="n"/>
      <c r="FM68" s="183" t="n"/>
      <c r="FN68" s="176" t="n"/>
      <c r="FO68" s="176" t="n"/>
      <c r="FP68" s="176" t="n"/>
      <c r="FQ68" s="185" t="n"/>
      <c r="FR68" s="182" t="n"/>
      <c r="FS68" s="182" t="n"/>
      <c r="FT68" s="183" t="n"/>
      <c r="FU68" s="184" t="b">
        <v>0</v>
      </c>
      <c r="FV68" s="183" t="n"/>
      <c r="FW68" s="176" t="n"/>
      <c r="FX68" s="176" t="n"/>
      <c r="FY68" s="185" t="n"/>
      <c r="FZ68" s="182" t="n"/>
      <c r="GA68" s="182" t="n"/>
      <c r="GB68" s="183" t="n"/>
      <c r="GC68" s="184" t="b">
        <v>0</v>
      </c>
      <c r="GD68" s="183" t="n"/>
      <c r="GE68" s="176" t="n"/>
      <c r="GF68" s="176" t="n"/>
      <c r="GG68" s="176" t="n"/>
      <c r="GH68" s="181" t="inlineStr">
        <is>
          <t>CATEGORIA DE EFEITO</t>
        </is>
      </c>
      <c r="GI68" s="182" t="n"/>
      <c r="GJ68" s="183" t="n"/>
      <c r="GK68" s="185" t="n"/>
      <c r="GL68" s="182" t="n"/>
      <c r="GM68" s="183" t="n"/>
      <c r="GN68" s="176" t="n"/>
      <c r="GO68" s="176" t="n"/>
      <c r="GP68" s="181" t="inlineStr">
        <is>
          <t>CATEGORIA DE EFEITO</t>
        </is>
      </c>
      <c r="GQ68" s="182" t="n"/>
      <c r="GR68" s="183" t="n"/>
      <c r="GS68" s="185" t="n"/>
      <c r="GT68" s="182" t="n"/>
      <c r="GU68" s="183" t="n"/>
      <c r="GV68" s="176" t="n"/>
      <c r="GW68" s="176" t="n"/>
      <c r="GX68" s="176" t="n"/>
      <c r="GY68" s="181" t="inlineStr">
        <is>
          <t>NOME</t>
        </is>
      </c>
      <c r="GZ68" s="182" t="n"/>
      <c r="HA68" s="182" t="n"/>
      <c r="HB68" s="183" t="n"/>
      <c r="HC68" s="181" t="inlineStr">
        <is>
          <t>MESTRE VIU</t>
        </is>
      </c>
      <c r="HD68" s="183" t="n"/>
      <c r="HE68" s="176" t="n"/>
      <c r="HF68" s="176" t="n"/>
      <c r="HG68" s="181" t="inlineStr">
        <is>
          <t>NOME</t>
        </is>
      </c>
      <c r="HH68" s="182" t="n"/>
      <c r="HI68" s="182" t="n"/>
      <c r="HJ68" s="183" t="n"/>
      <c r="HK68" s="181" t="inlineStr">
        <is>
          <t>MESTRE VIU</t>
        </is>
      </c>
      <c r="HL68" s="183" t="n"/>
      <c r="HM68" s="176" t="n"/>
      <c r="HN68" s="176" t="n"/>
      <c r="HO68" s="176" t="n"/>
      <c r="HP68" s="181" t="inlineStr">
        <is>
          <t>NOME</t>
        </is>
      </c>
      <c r="HQ68" s="182" t="n"/>
      <c r="HR68" s="182" t="n"/>
      <c r="HS68" s="183" t="n"/>
      <c r="HT68" s="181" t="inlineStr">
        <is>
          <t>MESTRE VIU</t>
        </is>
      </c>
      <c r="HU68" s="183" t="n"/>
      <c r="HV68" s="176" t="n"/>
      <c r="HW68" s="176" t="n"/>
      <c r="HX68" s="181" t="inlineStr">
        <is>
          <t>NOME</t>
        </is>
      </c>
      <c r="HY68" s="182" t="n"/>
      <c r="HZ68" s="182" t="n"/>
      <c r="IA68" s="183" t="n"/>
      <c r="IB68" s="181" t="inlineStr">
        <is>
          <t>MESTRE VIU</t>
        </is>
      </c>
      <c r="IC68" s="183" t="n"/>
      <c r="ID68" s="176" t="n"/>
    </row>
    <row r="69" ht="21" customHeight="1">
      <c r="A69" s="176" t="n"/>
      <c r="B69" s="176" t="n"/>
      <c r="C69" s="186" t="n">
        <v>5</v>
      </c>
      <c r="D69" s="183" t="n"/>
      <c r="E69" s="186" t="n">
        <v>500</v>
      </c>
      <c r="F69" s="185" t="n"/>
      <c r="G69" s="186">
        <f>IF(F69="",IF(E69="","",E69),IF(IFERROR(AND(ISNUMBER(F69),F69&gt;=0,INT(F69)=F69),FALSE),F69,NA()))</f>
        <v/>
      </c>
      <c r="H69" s="186">
        <f>DADOS_CONFIG!Z6</f>
        <v/>
      </c>
      <c r="I69" s="176" t="n"/>
      <c r="J69" s="176" t="n"/>
      <c r="K69" s="176" t="n"/>
      <c r="L69" s="176" t="n"/>
      <c r="M69" s="176" t="n"/>
      <c r="N69" s="176" t="n"/>
      <c r="O69" s="176" t="n"/>
      <c r="P69" s="176" t="n"/>
      <c r="Q69" s="176" t="n"/>
      <c r="R69" s="176" t="n"/>
      <c r="S69" s="176" t="n"/>
      <c r="T69" s="176" t="n"/>
      <c r="U69" s="176" t="n"/>
      <c r="V69" s="176" t="n"/>
      <c r="W69" s="176" t="n"/>
      <c r="X69" s="176" t="n"/>
      <c r="Y69" s="176" t="n"/>
      <c r="Z69" s="176" t="n"/>
      <c r="AA69" s="176" t="n"/>
      <c r="AB69" s="176" t="n"/>
      <c r="AC69" s="176" t="n"/>
      <c r="AD69" s="176" t="n"/>
      <c r="AE69" s="176" t="n"/>
      <c r="AF69" s="176" t="n"/>
      <c r="AG69" s="176" t="n"/>
      <c r="AH69" s="176" t="n"/>
      <c r="AI69" s="176" t="n"/>
      <c r="AJ69" s="176" t="n"/>
      <c r="AK69" s="176" t="n"/>
      <c r="AL69" s="176" t="n"/>
      <c r="AM69" s="176" t="n"/>
      <c r="AN69" s="176" t="n"/>
      <c r="AO69" s="176" t="n"/>
      <c r="AP69" s="176" t="n"/>
      <c r="AQ69" s="176" t="n"/>
      <c r="AR69" s="176" t="n"/>
      <c r="AS69" s="176" t="n"/>
      <c r="AT69" s="176" t="n"/>
      <c r="AU69" s="176" t="n"/>
      <c r="AV69" s="176" t="n"/>
      <c r="AW69" s="176" t="n"/>
      <c r="AX69" s="176" t="n"/>
      <c r="AY69" s="176" t="n"/>
      <c r="AZ69" s="176" t="n"/>
      <c r="BA69" s="176" t="n"/>
      <c r="BB69" s="185" t="n"/>
      <c r="BC69" s="182" t="n"/>
      <c r="BD69" s="182" t="n"/>
      <c r="BE69" s="182" t="n"/>
      <c r="BF69" s="182" t="n"/>
      <c r="BG69" s="183" t="n"/>
      <c r="BH69" s="176" t="n"/>
      <c r="BI69" s="176" t="n"/>
      <c r="BJ69" s="185" t="n"/>
      <c r="BK69" s="182" t="n"/>
      <c r="BL69" s="182" t="n"/>
      <c r="BM69" s="182" t="n"/>
      <c r="BN69" s="182" t="n"/>
      <c r="BO69" s="183" t="n"/>
      <c r="BP69" s="176" t="n"/>
      <c r="BQ69" s="176" t="n"/>
      <c r="BR69" s="176" t="n"/>
      <c r="BS69" s="185" t="n"/>
      <c r="BT69" s="182" t="n"/>
      <c r="BU69" s="182" t="n"/>
      <c r="BV69" s="182" t="n"/>
      <c r="BW69" s="182" t="n"/>
      <c r="BX69" s="183" t="n"/>
      <c r="BY69" s="176" t="n"/>
      <c r="BZ69" s="176" t="n"/>
      <c r="CA69" s="185" t="n"/>
      <c r="CB69" s="182" t="n"/>
      <c r="CC69" s="182" t="n"/>
      <c r="CD69" s="182" t="n"/>
      <c r="CE69" s="182" t="n"/>
      <c r="CF69" s="183" t="n"/>
      <c r="CG69" s="176" t="n"/>
      <c r="CH69" s="176" t="n"/>
      <c r="CI69" s="176" t="n"/>
      <c r="CJ69" s="185" t="inlineStr">
        <is>
          <t>Família</t>
        </is>
      </c>
      <c r="CK69" s="182" t="n"/>
      <c r="CL69" s="182" t="n"/>
      <c r="CM69" s="183" t="n"/>
      <c r="CN69" s="184" t="b">
        <v>0</v>
      </c>
      <c r="CO69" s="183" t="n"/>
      <c r="CP69" s="176" t="n"/>
      <c r="CQ69" s="176" t="n"/>
      <c r="CR69" s="185" t="inlineStr">
        <is>
          <t>Família</t>
        </is>
      </c>
      <c r="CS69" s="182" t="n"/>
      <c r="CT69" s="182" t="n"/>
      <c r="CU69" s="183" t="n"/>
      <c r="CV69" s="184" t="b">
        <v>0</v>
      </c>
      <c r="CW69" s="183" t="n"/>
      <c r="CX69" s="176" t="n"/>
      <c r="CY69" s="176" t="n"/>
      <c r="CZ69" s="176" t="n"/>
      <c r="DA69" s="181" t="inlineStr">
        <is>
          <t>FAMÍLIA</t>
        </is>
      </c>
      <c r="DB69" s="182" t="n"/>
      <c r="DC69" s="183" t="n"/>
      <c r="DD69" s="185" t="n"/>
      <c r="DE69" s="182" t="n"/>
      <c r="DF69" s="183" t="n"/>
      <c r="DG69" s="176" t="n"/>
      <c r="DH69" s="176" t="n"/>
      <c r="DI69" s="181" t="inlineStr">
        <is>
          <t>FAMÍLIA</t>
        </is>
      </c>
      <c r="DJ69" s="182" t="n"/>
      <c r="DK69" s="183" t="n"/>
      <c r="DL69" s="185" t="n"/>
      <c r="DM69" s="182" t="n"/>
      <c r="DN69" s="183" t="n"/>
      <c r="DO69" s="176" t="n"/>
      <c r="DP69" s="176" t="n"/>
      <c r="DQ69" s="176" t="n"/>
      <c r="DR69" s="193" t="n"/>
      <c r="DW69" s="194" t="n"/>
      <c r="DX69" s="176" t="n"/>
      <c r="DY69" s="176" t="n"/>
      <c r="DZ69" s="193" t="n"/>
      <c r="EE69" s="194" t="n"/>
      <c r="EF69" s="176" t="n"/>
      <c r="EG69" s="176" t="n"/>
      <c r="EH69" s="176" t="n"/>
      <c r="EI69" s="185" t="n"/>
      <c r="EJ69" s="182" t="n"/>
      <c r="EK69" s="182" t="n"/>
      <c r="EL69" s="183" t="n"/>
      <c r="EM69" s="184" t="b">
        <v>0</v>
      </c>
      <c r="EN69" s="183" t="n"/>
      <c r="EO69" s="176" t="n"/>
      <c r="EP69" s="176" t="n"/>
      <c r="EQ69" s="185" t="n"/>
      <c r="ER69" s="182" t="n"/>
      <c r="ES69" s="182" t="n"/>
      <c r="ET69" s="183" t="n"/>
      <c r="EU69" s="184" t="b">
        <v>0</v>
      </c>
      <c r="EV69" s="183" t="n"/>
      <c r="EW69" s="176" t="n"/>
      <c r="EX69" s="176" t="n"/>
      <c r="EY69" s="176" t="n"/>
      <c r="EZ69" s="181" t="inlineStr">
        <is>
          <t>CLASSE 0</t>
        </is>
      </c>
      <c r="FA69" s="182" t="n"/>
      <c r="FB69" s="183" t="n"/>
      <c r="FC69" s="185" t="n"/>
      <c r="FD69" s="182" t="n"/>
      <c r="FE69" s="183" t="n"/>
      <c r="FF69" s="176" t="n"/>
      <c r="FG69" s="176" t="n"/>
      <c r="FH69" s="181" t="inlineStr">
        <is>
          <t>CLASSE 0</t>
        </is>
      </c>
      <c r="FI69" s="182" t="n"/>
      <c r="FJ69" s="183" t="n"/>
      <c r="FK69" s="185" t="n"/>
      <c r="FL69" s="182" t="n"/>
      <c r="FM69" s="183" t="n"/>
      <c r="FN69" s="176" t="n"/>
      <c r="FO69" s="176" t="n"/>
      <c r="FP69" s="176" t="n"/>
      <c r="FQ69" s="181" t="inlineStr">
        <is>
          <t>NOME</t>
        </is>
      </c>
      <c r="FR69" s="182" t="n"/>
      <c r="FS69" s="182" t="n"/>
      <c r="FT69" s="182" t="n"/>
      <c r="FU69" s="182" t="n"/>
      <c r="FV69" s="183" t="n"/>
      <c r="FW69" s="176" t="n"/>
      <c r="FX69" s="176" t="n"/>
      <c r="FY69" s="181" t="inlineStr">
        <is>
          <t>NOME</t>
        </is>
      </c>
      <c r="FZ69" s="182" t="n"/>
      <c r="GA69" s="182" t="n"/>
      <c r="GB69" s="182" t="n"/>
      <c r="GC69" s="182" t="n"/>
      <c r="GD69" s="183" t="n"/>
      <c r="GE69" s="176" t="n"/>
      <c r="GF69" s="176" t="n"/>
      <c r="GG69" s="176" t="n"/>
      <c r="GH69" s="181" t="inlineStr">
        <is>
          <t>ROTA</t>
        </is>
      </c>
      <c r="GI69" s="182" t="n"/>
      <c r="GJ69" s="183" t="n"/>
      <c r="GK69" s="185" t="n"/>
      <c r="GL69" s="182" t="n"/>
      <c r="GM69" s="183" t="n"/>
      <c r="GN69" s="176" t="n"/>
      <c r="GO69" s="176" t="n"/>
      <c r="GP69" s="181" t="inlineStr">
        <is>
          <t>ROTA</t>
        </is>
      </c>
      <c r="GQ69" s="182" t="n"/>
      <c r="GR69" s="183" t="n"/>
      <c r="GS69" s="185" t="n"/>
      <c r="GT69" s="182" t="n"/>
      <c r="GU69" s="183" t="n"/>
      <c r="GV69" s="176" t="n"/>
      <c r="GW69" s="176" t="n"/>
      <c r="GX69" s="176" t="n"/>
      <c r="GY69" s="185" t="n"/>
      <c r="GZ69" s="182" t="n"/>
      <c r="HA69" s="182" t="n"/>
      <c r="HB69" s="183" t="n"/>
      <c r="HC69" s="184" t="b">
        <v>0</v>
      </c>
      <c r="HD69" s="183" t="n"/>
      <c r="HE69" s="176" t="n"/>
      <c r="HF69" s="176" t="n"/>
      <c r="HG69" s="185" t="n"/>
      <c r="HH69" s="182" t="n"/>
      <c r="HI69" s="182" t="n"/>
      <c r="HJ69" s="183" t="n"/>
      <c r="HK69" s="184" t="b">
        <v>0</v>
      </c>
      <c r="HL69" s="183" t="n"/>
      <c r="HM69" s="176" t="n"/>
      <c r="HN69" s="176" t="n"/>
      <c r="HO69" s="176" t="n"/>
      <c r="HP69" s="185" t="n"/>
      <c r="HQ69" s="182" t="n"/>
      <c r="HR69" s="182" t="n"/>
      <c r="HS69" s="183" t="n"/>
      <c r="HT69" s="184" t="b">
        <v>0</v>
      </c>
      <c r="HU69" s="183" t="n"/>
      <c r="HV69" s="176" t="n"/>
      <c r="HW69" s="176" t="n"/>
      <c r="HX69" s="185" t="n"/>
      <c r="HY69" s="182" t="n"/>
      <c r="HZ69" s="182" t="n"/>
      <c r="IA69" s="183" t="n"/>
      <c r="IB69" s="184" t="b">
        <v>0</v>
      </c>
      <c r="IC69" s="183" t="n"/>
      <c r="ID69" s="176" t="n"/>
    </row>
    <row r="70" ht="21" customHeight="1">
      <c r="A70" s="176" t="n"/>
      <c r="B70" s="176" t="n"/>
      <c r="C70" s="186" t="n">
        <v>6</v>
      </c>
      <c r="D70" s="183" t="n"/>
      <c r="E70" s="186" t="n">
        <v>500</v>
      </c>
      <c r="F70" s="185" t="n"/>
      <c r="G70" s="186">
        <f>IF(F70="",IF(E70="","",E70),IF(IFERROR(AND(ISNUMBER(F70),F70&gt;=0,INT(F70)=F70),FALSE),F70,NA()))</f>
        <v/>
      </c>
      <c r="H70" s="186">
        <f>DADOS_CONFIG!Z7</f>
        <v/>
      </c>
      <c r="I70" s="176" t="n"/>
      <c r="J70" s="176" t="n"/>
      <c r="K70" s="176" t="n"/>
      <c r="L70" s="176" t="n"/>
      <c r="M70" s="176" t="n"/>
      <c r="N70" s="176" t="n"/>
      <c r="O70" s="176" t="n"/>
      <c r="P70" s="176" t="n"/>
      <c r="Q70" s="176" t="n"/>
      <c r="R70" s="176" t="n"/>
      <c r="S70" s="176" t="n"/>
      <c r="T70" s="179" t="inlineStr">
        <is>
          <t>CARTÃO 5 · CUSTOM</t>
        </is>
      </c>
      <c r="Z70" s="176" t="n"/>
      <c r="AA70" s="176" t="n"/>
      <c r="AB70" s="179" t="inlineStr">
        <is>
          <t>CARTÃO 6 · CUSTOM</t>
        </is>
      </c>
      <c r="AH70" s="176" t="n"/>
      <c r="AI70" s="176" t="n"/>
      <c r="AJ70" s="176" t="n"/>
      <c r="AK70" s="176" t="n"/>
      <c r="AL70" s="176" t="n"/>
      <c r="AM70" s="176" t="n"/>
      <c r="AN70" s="176" t="n"/>
      <c r="AO70" s="176" t="n"/>
      <c r="AP70" s="176" t="n"/>
      <c r="AQ70" s="176" t="n"/>
      <c r="AR70" s="176" t="n"/>
      <c r="AS70" s="176" t="n"/>
      <c r="AT70" s="176" t="n"/>
      <c r="AU70" s="176" t="n"/>
      <c r="AV70" s="176" t="n"/>
      <c r="AW70" s="176" t="n"/>
      <c r="AX70" s="176" t="n"/>
      <c r="AY70" s="176" t="n"/>
      <c r="AZ70" s="176" t="n"/>
      <c r="BA70" s="176" t="n"/>
      <c r="BB70" s="181">
        <f>IF(BB67="Ofício","ATRIBUTO PADRÃO","ATRIBUTO FIXO")</f>
        <v/>
      </c>
      <c r="BC70" s="182" t="n"/>
      <c r="BD70" s="183" t="n"/>
      <c r="BE70" s="185" t="n"/>
      <c r="BF70" s="182" t="n"/>
      <c r="BG70" s="183" t="n"/>
      <c r="BH70" s="176" t="n"/>
      <c r="BI70" s="176" t="n"/>
      <c r="BJ70" s="181">
        <f>IF(BJ67="Ofício","ATRIBUTO PADRÃO","ATRIBUTO FIXO")</f>
        <v/>
      </c>
      <c r="BK70" s="182" t="n"/>
      <c r="BL70" s="183" t="n"/>
      <c r="BM70" s="185" t="n"/>
      <c r="BN70" s="182" t="n"/>
      <c r="BO70" s="183" t="n"/>
      <c r="BP70" s="176" t="n"/>
      <c r="BQ70" s="176" t="n"/>
      <c r="BR70" s="176" t="n"/>
      <c r="BS70" s="181">
        <f>IF(BS67="Ofício","ATRIBUTO PADRÃO","ATRIBUTO FIXO")</f>
        <v/>
      </c>
      <c r="BT70" s="182" t="n"/>
      <c r="BU70" s="183" t="n"/>
      <c r="BV70" s="185" t="n"/>
      <c r="BW70" s="182" t="n"/>
      <c r="BX70" s="183" t="n"/>
      <c r="BY70" s="176" t="n"/>
      <c r="BZ70" s="176" t="n"/>
      <c r="CA70" s="181">
        <f>IF(CA67="Ofício","ATRIBUTO PADRÃO","ATRIBUTO FIXO")</f>
        <v/>
      </c>
      <c r="CB70" s="182" t="n"/>
      <c r="CC70" s="183" t="n"/>
      <c r="CD70" s="185" t="n"/>
      <c r="CE70" s="182" t="n"/>
      <c r="CF70" s="183" t="n"/>
      <c r="CG70" s="176" t="n"/>
      <c r="CH70" s="176" t="n"/>
      <c r="CI70" s="176" t="n"/>
      <c r="CJ70" s="181" t="inlineStr">
        <is>
          <t>NOME</t>
        </is>
      </c>
      <c r="CK70" s="182" t="n"/>
      <c r="CL70" s="182" t="n"/>
      <c r="CM70" s="182" t="n"/>
      <c r="CN70" s="182" t="n"/>
      <c r="CO70" s="183" t="n"/>
      <c r="CP70" s="176" t="n"/>
      <c r="CQ70" s="176" t="n"/>
      <c r="CR70" s="181" t="inlineStr">
        <is>
          <t>NOME</t>
        </is>
      </c>
      <c r="CS70" s="182" t="n"/>
      <c r="CT70" s="182" t="n"/>
      <c r="CU70" s="182" t="n"/>
      <c r="CV70" s="182" t="n"/>
      <c r="CW70" s="183" t="n"/>
      <c r="CX70" s="176" t="n"/>
      <c r="CY70" s="176" t="n"/>
      <c r="CZ70" s="176" t="n"/>
      <c r="DA70" s="181" t="inlineStr">
        <is>
          <t>PESO</t>
        </is>
      </c>
      <c r="DB70" s="182" t="n"/>
      <c r="DC70" s="183" t="n"/>
      <c r="DD70" s="185" t="n"/>
      <c r="DE70" s="182" t="n"/>
      <c r="DF70" s="183" t="n"/>
      <c r="DG70" s="176" t="n"/>
      <c r="DH70" s="176" t="n"/>
      <c r="DI70" s="181" t="inlineStr">
        <is>
          <t>PESO</t>
        </is>
      </c>
      <c r="DJ70" s="182" t="n"/>
      <c r="DK70" s="183" t="n"/>
      <c r="DL70" s="185" t="n"/>
      <c r="DM70" s="182" t="n"/>
      <c r="DN70" s="183" t="n"/>
      <c r="DO70" s="176" t="n"/>
      <c r="DP70" s="176" t="n"/>
      <c r="DQ70" s="176" t="n"/>
      <c r="DR70" s="193" t="n"/>
      <c r="DW70" s="194" t="n"/>
      <c r="DX70" s="176" t="n"/>
      <c r="DY70" s="176" t="n"/>
      <c r="DZ70" s="193" t="n"/>
      <c r="EE70" s="194" t="n"/>
      <c r="EF70" s="176" t="n"/>
      <c r="EG70" s="176" t="n"/>
      <c r="EH70" s="176" t="n"/>
      <c r="EI70" s="176" t="n"/>
      <c r="EJ70" s="176" t="n"/>
      <c r="EK70" s="176" t="n"/>
      <c r="EL70" s="176" t="n"/>
      <c r="EM70" s="176" t="n"/>
      <c r="EN70" s="176" t="n"/>
      <c r="EO70" s="176" t="n"/>
      <c r="EP70" s="176" t="n"/>
      <c r="EQ70" s="176" t="n"/>
      <c r="ER70" s="176" t="n"/>
      <c r="ES70" s="176" t="n"/>
      <c r="ET70" s="176" t="n"/>
      <c r="EU70" s="176" t="n"/>
      <c r="EV70" s="176" t="n"/>
      <c r="EW70" s="176" t="n"/>
      <c r="EX70" s="176" t="n"/>
      <c r="EY70" s="176" t="n"/>
      <c r="EZ70" s="181" t="inlineStr">
        <is>
          <t>RESTRIÇÃO EMBUTIDA</t>
        </is>
      </c>
      <c r="FA70" s="182" t="n"/>
      <c r="FB70" s="183" t="n"/>
      <c r="FC70" s="185" t="n"/>
      <c r="FD70" s="182" t="n"/>
      <c r="FE70" s="183" t="n"/>
      <c r="FF70" s="176" t="n"/>
      <c r="FG70" s="176" t="n"/>
      <c r="FH70" s="181" t="inlineStr">
        <is>
          <t>RESTRIÇÃO EMBUTIDA</t>
        </is>
      </c>
      <c r="FI70" s="182" t="n"/>
      <c r="FJ70" s="183" t="n"/>
      <c r="FK70" s="185" t="n"/>
      <c r="FL70" s="182" t="n"/>
      <c r="FM70" s="183" t="n"/>
      <c r="FN70" s="176" t="n"/>
      <c r="FO70" s="176" t="n"/>
      <c r="FP70" s="176" t="n"/>
      <c r="FQ70" s="185" t="n"/>
      <c r="FR70" s="182" t="n"/>
      <c r="FS70" s="182" t="n"/>
      <c r="FT70" s="182" t="n"/>
      <c r="FU70" s="182" t="n"/>
      <c r="FV70" s="183" t="n"/>
      <c r="FW70" s="176" t="n"/>
      <c r="FX70" s="176" t="n"/>
      <c r="FY70" s="185" t="n"/>
      <c r="FZ70" s="182" t="n"/>
      <c r="GA70" s="182" t="n"/>
      <c r="GB70" s="182" t="n"/>
      <c r="GC70" s="182" t="n"/>
      <c r="GD70" s="183" t="n"/>
      <c r="GE70" s="176" t="n"/>
      <c r="GF70" s="176" t="n"/>
      <c r="GG70" s="176" t="n"/>
      <c r="GH70" s="176" t="n"/>
      <c r="GI70" s="176" t="n"/>
      <c r="GJ70" s="176" t="n"/>
      <c r="GK70" s="176" t="n"/>
      <c r="GL70" s="176" t="n"/>
      <c r="GM70" s="176" t="n"/>
      <c r="GN70" s="176" t="n"/>
      <c r="GO70" s="176" t="n"/>
      <c r="GP70" s="176" t="n"/>
      <c r="GQ70" s="176" t="n"/>
      <c r="GR70" s="176" t="n"/>
      <c r="GS70" s="176" t="n"/>
      <c r="GT70" s="176" t="n"/>
      <c r="GU70" s="176" t="n"/>
      <c r="GV70" s="176" t="n"/>
      <c r="GW70" s="176" t="n"/>
      <c r="GX70" s="176" t="n"/>
      <c r="GY70" s="176" t="n"/>
      <c r="GZ70" s="176" t="n"/>
      <c r="HA70" s="176" t="n"/>
      <c r="HB70" s="176" t="n"/>
      <c r="HC70" s="176" t="n"/>
      <c r="HD70" s="176" t="n"/>
      <c r="HE70" s="176" t="n"/>
      <c r="HF70" s="176" t="n"/>
      <c r="HG70" s="176" t="n"/>
      <c r="HH70" s="176" t="n"/>
      <c r="HI70" s="176" t="n"/>
      <c r="HJ70" s="176" t="n"/>
      <c r="HK70" s="176" t="n"/>
      <c r="HL70" s="176" t="n"/>
      <c r="HM70" s="176" t="n"/>
      <c r="HN70" s="176" t="n"/>
      <c r="HO70" s="176" t="n"/>
      <c r="HP70" s="176" t="n"/>
      <c r="HQ70" s="176" t="n"/>
      <c r="HR70" s="176" t="n"/>
      <c r="HS70" s="176" t="n"/>
      <c r="HT70" s="176" t="n"/>
      <c r="HU70" s="176" t="n"/>
      <c r="HV70" s="176" t="n"/>
      <c r="HW70" s="176" t="n"/>
      <c r="HX70" s="176" t="n"/>
      <c r="HY70" s="176" t="n"/>
      <c r="HZ70" s="176" t="n"/>
      <c r="IA70" s="176" t="n"/>
      <c r="IB70" s="176" t="n"/>
      <c r="IC70" s="176" t="n"/>
      <c r="ID70" s="176" t="n"/>
    </row>
    <row r="71" ht="21" customHeight="1">
      <c r="A71" s="176" t="n"/>
      <c r="B71" s="176" t="n"/>
      <c r="C71" s="186" t="n">
        <v>7</v>
      </c>
      <c r="D71" s="183" t="n"/>
      <c r="E71" s="186" t="n">
        <v>500</v>
      </c>
      <c r="F71" s="185" t="n"/>
      <c r="G71" s="186">
        <f>IF(F71="",IF(E71="","",E71),IF(IFERROR(AND(ISNUMBER(F71),F71&gt;=0,INT(F71)=F71),FALSE),F71,NA()))</f>
        <v/>
      </c>
      <c r="H71" s="186">
        <f>DADOS_CONFIG!Z8</f>
        <v/>
      </c>
      <c r="I71" s="176" t="n"/>
      <c r="J71" s="176" t="n"/>
      <c r="K71" s="176" t="n"/>
      <c r="L71" s="176" t="n"/>
      <c r="M71" s="176" t="n"/>
      <c r="N71" s="176" t="n"/>
      <c r="O71" s="176" t="n"/>
      <c r="P71" s="176" t="n"/>
      <c r="Q71" s="176" t="n"/>
      <c r="R71" s="176" t="n"/>
      <c r="S71" s="176" t="n"/>
      <c r="T71" s="181" t="inlineStr">
        <is>
          <t>TIPO</t>
        </is>
      </c>
      <c r="U71" s="182" t="n"/>
      <c r="V71" s="182" t="n"/>
      <c r="W71" s="183" t="n"/>
      <c r="X71" s="181" t="inlineStr">
        <is>
          <t>MESTRE VIU</t>
        </is>
      </c>
      <c r="Y71" s="183" t="n"/>
      <c r="Z71" s="176" t="n"/>
      <c r="AA71" s="176" t="n"/>
      <c r="AB71" s="181" t="inlineStr">
        <is>
          <t>TIPO</t>
        </is>
      </c>
      <c r="AC71" s="182" t="n"/>
      <c r="AD71" s="182" t="n"/>
      <c r="AE71" s="183" t="n"/>
      <c r="AF71" s="181" t="inlineStr">
        <is>
          <t>MESTRE VIU</t>
        </is>
      </c>
      <c r="AG71" s="183" t="n"/>
      <c r="AH71" s="176" t="n"/>
      <c r="AI71" s="176" t="n"/>
      <c r="AJ71" s="176" t="n"/>
      <c r="AK71" s="176" t="n"/>
      <c r="AL71" s="176" t="n"/>
      <c r="AM71" s="176" t="n"/>
      <c r="AN71" s="176" t="n"/>
      <c r="AO71" s="176" t="n"/>
      <c r="AP71" s="176" t="n"/>
      <c r="AQ71" s="176" t="n"/>
      <c r="AR71" s="176" t="n"/>
      <c r="AS71" s="176" t="n"/>
      <c r="AT71" s="176" t="n"/>
      <c r="AU71" s="176" t="n"/>
      <c r="AV71" s="176" t="n"/>
      <c r="AW71" s="176" t="n"/>
      <c r="AX71" s="176" t="n"/>
      <c r="AY71" s="176" t="n"/>
      <c r="AZ71" s="176" t="n"/>
      <c r="BA71" s="176" t="n"/>
      <c r="BB71" s="181" t="inlineStr">
        <is>
          <t>DESCRIÇÃO</t>
        </is>
      </c>
      <c r="BC71" s="182" t="n"/>
      <c r="BD71" s="182" t="n"/>
      <c r="BE71" s="182" t="n"/>
      <c r="BF71" s="182" t="n"/>
      <c r="BG71" s="183" t="n"/>
      <c r="BH71" s="176" t="n"/>
      <c r="BI71" s="176" t="n"/>
      <c r="BJ71" s="181" t="inlineStr">
        <is>
          <t>DESCRIÇÃO</t>
        </is>
      </c>
      <c r="BK71" s="182" t="n"/>
      <c r="BL71" s="182" t="n"/>
      <c r="BM71" s="182" t="n"/>
      <c r="BN71" s="182" t="n"/>
      <c r="BO71" s="183" t="n"/>
      <c r="BP71" s="176" t="n"/>
      <c r="BQ71" s="176" t="n"/>
      <c r="BR71" s="176" t="n"/>
      <c r="BS71" s="181" t="inlineStr">
        <is>
          <t>DESCRIÇÃO</t>
        </is>
      </c>
      <c r="BT71" s="182" t="n"/>
      <c r="BU71" s="182" t="n"/>
      <c r="BV71" s="182" t="n"/>
      <c r="BW71" s="182" t="n"/>
      <c r="BX71" s="183" t="n"/>
      <c r="BY71" s="176" t="n"/>
      <c r="BZ71" s="176" t="n"/>
      <c r="CA71" s="181" t="inlineStr">
        <is>
          <t>DESCRIÇÃO</t>
        </is>
      </c>
      <c r="CB71" s="182" t="n"/>
      <c r="CC71" s="182" t="n"/>
      <c r="CD71" s="182" t="n"/>
      <c r="CE71" s="182" t="n"/>
      <c r="CF71" s="183" t="n"/>
      <c r="CG71" s="176" t="n"/>
      <c r="CH71" s="176" t="n"/>
      <c r="CI71" s="176" t="n"/>
      <c r="CJ71" s="185" t="n"/>
      <c r="CK71" s="182" t="n"/>
      <c r="CL71" s="182" t="n"/>
      <c r="CM71" s="182" t="n"/>
      <c r="CN71" s="182" t="n"/>
      <c r="CO71" s="183" t="n"/>
      <c r="CP71" s="176" t="n"/>
      <c r="CQ71" s="176" t="n"/>
      <c r="CR71" s="185" t="n"/>
      <c r="CS71" s="182" t="n"/>
      <c r="CT71" s="182" t="n"/>
      <c r="CU71" s="182" t="n"/>
      <c r="CV71" s="182" t="n"/>
      <c r="CW71" s="183" t="n"/>
      <c r="CX71" s="176" t="n"/>
      <c r="CY71" s="176" t="n"/>
      <c r="CZ71" s="176" t="n"/>
      <c r="DA71" s="181" t="inlineStr">
        <is>
          <t>EXIGE TR</t>
        </is>
      </c>
      <c r="DB71" s="182" t="n"/>
      <c r="DC71" s="183" t="n"/>
      <c r="DD71" s="185" t="n"/>
      <c r="DE71" s="182" t="n"/>
      <c r="DF71" s="183" t="n"/>
      <c r="DG71" s="176" t="n"/>
      <c r="DH71" s="176" t="n"/>
      <c r="DI71" s="181" t="inlineStr">
        <is>
          <t>EXIGE TR</t>
        </is>
      </c>
      <c r="DJ71" s="182" t="n"/>
      <c r="DK71" s="183" t="n"/>
      <c r="DL71" s="185" t="n"/>
      <c r="DM71" s="182" t="n"/>
      <c r="DN71" s="183" t="n"/>
      <c r="DO71" s="176" t="n"/>
      <c r="DP71" s="176" t="n"/>
      <c r="DQ71" s="176" t="n"/>
      <c r="DR71" s="189" t="n"/>
      <c r="DS71" s="190" t="n"/>
      <c r="DT71" s="190" t="n"/>
      <c r="DU71" s="190" t="n"/>
      <c r="DV71" s="190" t="n"/>
      <c r="DW71" s="191" t="n"/>
      <c r="DX71" s="176" t="n"/>
      <c r="DY71" s="176" t="n"/>
      <c r="DZ71" s="189" t="n"/>
      <c r="EA71" s="190" t="n"/>
      <c r="EB71" s="190" t="n"/>
      <c r="EC71" s="190" t="n"/>
      <c r="ED71" s="190" t="n"/>
      <c r="EE71" s="191" t="n"/>
      <c r="EF71" s="176" t="n"/>
      <c r="EG71" s="176" t="n"/>
      <c r="EH71" s="176" t="n"/>
      <c r="EI71" s="176" t="n"/>
      <c r="EJ71" s="176" t="n"/>
      <c r="EK71" s="176" t="n"/>
      <c r="EL71" s="176" t="n"/>
      <c r="EM71" s="176" t="n"/>
      <c r="EN71" s="176" t="n"/>
      <c r="EO71" s="176" t="n"/>
      <c r="EP71" s="176" t="n"/>
      <c r="EQ71" s="176" t="n"/>
      <c r="ER71" s="176" t="n"/>
      <c r="ES71" s="176" t="n"/>
      <c r="ET71" s="176" t="n"/>
      <c r="EU71" s="176" t="n"/>
      <c r="EV71" s="176" t="n"/>
      <c r="EW71" s="176" t="n"/>
      <c r="EX71" s="176" t="n"/>
      <c r="EY71" s="176" t="n"/>
      <c r="EZ71" s="181" t="inlineStr">
        <is>
          <t>ESCADA DE ALCANCE</t>
        </is>
      </c>
      <c r="FA71" s="182" t="n"/>
      <c r="FB71" s="183" t="n"/>
      <c r="FC71" s="185" t="n"/>
      <c r="FD71" s="182" t="n"/>
      <c r="FE71" s="183" t="n"/>
      <c r="FF71" s="176" t="n"/>
      <c r="FG71" s="176" t="n"/>
      <c r="FH71" s="181" t="inlineStr">
        <is>
          <t>ESCADA DE ALCANCE</t>
        </is>
      </c>
      <c r="FI71" s="182" t="n"/>
      <c r="FJ71" s="183" t="n"/>
      <c r="FK71" s="185" t="n"/>
      <c r="FL71" s="182" t="n"/>
      <c r="FM71" s="183" t="n"/>
      <c r="FN71" s="176" t="n"/>
      <c r="FO71" s="176" t="n"/>
      <c r="FP71" s="176" t="n"/>
      <c r="FQ71" s="181" t="inlineStr">
        <is>
          <t>BASE DO LIVRO</t>
        </is>
      </c>
      <c r="FR71" s="182" t="n"/>
      <c r="FS71" s="183" t="n"/>
      <c r="FT71" s="185" t="n"/>
      <c r="FU71" s="182" t="n"/>
      <c r="FV71" s="183" t="n"/>
      <c r="FW71" s="176" t="n"/>
      <c r="FX71" s="176" t="n"/>
      <c r="FY71" s="181" t="inlineStr">
        <is>
          <t>BASE DO LIVRO</t>
        </is>
      </c>
      <c r="FZ71" s="182" t="n"/>
      <c r="GA71" s="183" t="n"/>
      <c r="GB71" s="185" t="n"/>
      <c r="GC71" s="182" t="n"/>
      <c r="GD71" s="183" t="n"/>
      <c r="GE71" s="176" t="n"/>
      <c r="GF71" s="176" t="n"/>
      <c r="GG71" s="176" t="n"/>
      <c r="GH71" s="181" t="inlineStr">
        <is>
          <t>REQUISITOS</t>
        </is>
      </c>
      <c r="GI71" s="182" t="n"/>
      <c r="GJ71" s="182" t="n"/>
      <c r="GK71" s="182" t="n"/>
      <c r="GL71" s="182" t="n"/>
      <c r="GM71" s="183" t="n"/>
      <c r="GN71" s="176" t="n"/>
      <c r="GO71" s="176" t="n"/>
      <c r="GP71" s="181" t="inlineStr">
        <is>
          <t>REQUISITOS</t>
        </is>
      </c>
      <c r="GQ71" s="182" t="n"/>
      <c r="GR71" s="182" t="n"/>
      <c r="GS71" s="182" t="n"/>
      <c r="GT71" s="182" t="n"/>
      <c r="GU71" s="183" t="n"/>
      <c r="GV71" s="176" t="n"/>
      <c r="GW71" s="176" t="n"/>
      <c r="GX71" s="176" t="n"/>
      <c r="GY71" s="181" t="inlineStr">
        <is>
          <t>BASE DO LIVRO</t>
        </is>
      </c>
      <c r="GZ71" s="182" t="n"/>
      <c r="HA71" s="183" t="n"/>
      <c r="HB71" s="185" t="inlineStr">
        <is>
          <t>Nenhuma</t>
        </is>
      </c>
      <c r="HC71" s="182" t="n"/>
      <c r="HD71" s="183" t="n"/>
      <c r="HE71" s="176" t="n"/>
      <c r="HF71" s="176" t="n"/>
      <c r="HG71" s="181" t="inlineStr">
        <is>
          <t>BASE DO LIVRO</t>
        </is>
      </c>
      <c r="HH71" s="182" t="n"/>
      <c r="HI71" s="183" t="n"/>
      <c r="HJ71" s="185" t="inlineStr">
        <is>
          <t>Nenhuma</t>
        </is>
      </c>
      <c r="HK71" s="182" t="n"/>
      <c r="HL71" s="183" t="n"/>
      <c r="HM71" s="176" t="n"/>
      <c r="HN71" s="176" t="n"/>
      <c r="HO71" s="176" t="n"/>
      <c r="HP71" s="181" t="inlineStr">
        <is>
          <t>BASE DO LIVRO</t>
        </is>
      </c>
      <c r="HQ71" s="182" t="n"/>
      <c r="HR71" s="183" t="n"/>
      <c r="HS71" s="185" t="inlineStr">
        <is>
          <t>Nenhuma</t>
        </is>
      </c>
      <c r="HT71" s="182" t="n"/>
      <c r="HU71" s="183" t="n"/>
      <c r="HV71" s="176" t="n"/>
      <c r="HW71" s="176" t="n"/>
      <c r="HX71" s="181" t="inlineStr">
        <is>
          <t>BASE DO LIVRO</t>
        </is>
      </c>
      <c r="HY71" s="182" t="n"/>
      <c r="HZ71" s="183" t="n"/>
      <c r="IA71" s="185" t="inlineStr">
        <is>
          <t>Nenhuma</t>
        </is>
      </c>
      <c r="IB71" s="182" t="n"/>
      <c r="IC71" s="183" t="n"/>
      <c r="ID71" s="176" t="n"/>
    </row>
    <row r="72" ht="21" customHeight="1">
      <c r="A72" s="176" t="n"/>
      <c r="B72" s="176" t="n"/>
      <c r="C72" s="186" t="n">
        <v>8</v>
      </c>
      <c r="D72" s="183" t="n"/>
      <c r="E72" s="186" t="n">
        <v>700</v>
      </c>
      <c r="F72" s="185" t="n"/>
      <c r="G72" s="186">
        <f>IF(F72="",IF(E72="","",E72),IF(IFERROR(AND(ISNUMBER(F72),F72&gt;=0,INT(F72)=F72),FALSE),F72,NA()))</f>
        <v/>
      </c>
      <c r="H72" s="186">
        <f>DADOS_CONFIG!Z9</f>
        <v/>
      </c>
      <c r="I72" s="176" t="n"/>
      <c r="J72" s="176" t="n"/>
      <c r="K72" s="176" t="n"/>
      <c r="L72" s="176" t="n"/>
      <c r="M72" s="176" t="n"/>
      <c r="N72" s="176" t="n"/>
      <c r="O72" s="176" t="n"/>
      <c r="P72" s="176" t="n"/>
      <c r="Q72" s="176" t="n"/>
      <c r="R72" s="176" t="n"/>
      <c r="S72" s="176" t="n"/>
      <c r="T72" s="185" t="n"/>
      <c r="U72" s="182" t="n"/>
      <c r="V72" s="182" t="n"/>
      <c r="W72" s="183" t="n"/>
      <c r="X72" s="184" t="b">
        <v>0</v>
      </c>
      <c r="Y72" s="183" t="n"/>
      <c r="Z72" s="176" t="n"/>
      <c r="AA72" s="176" t="n"/>
      <c r="AB72" s="185" t="n"/>
      <c r="AC72" s="182" t="n"/>
      <c r="AD72" s="182" t="n"/>
      <c r="AE72" s="183" t="n"/>
      <c r="AF72" s="184" t="b">
        <v>0</v>
      </c>
      <c r="AG72" s="183" t="n"/>
      <c r="AH72" s="176" t="n"/>
      <c r="AI72" s="176" t="n"/>
      <c r="AJ72" s="176" t="n"/>
      <c r="AK72" s="176" t="n"/>
      <c r="AL72" s="176" t="n"/>
      <c r="AM72" s="176" t="n"/>
      <c r="AN72" s="176" t="n"/>
      <c r="AO72" s="176" t="n"/>
      <c r="AP72" s="176" t="n"/>
      <c r="AQ72" s="176" t="n"/>
      <c r="AR72" s="176" t="n"/>
      <c r="AS72" s="176" t="n"/>
      <c r="AT72" s="176" t="n"/>
      <c r="AU72" s="176" t="n"/>
      <c r="AV72" s="176" t="n"/>
      <c r="AW72" s="176" t="n"/>
      <c r="AX72" s="176" t="n"/>
      <c r="AY72" s="176" t="n"/>
      <c r="AZ72" s="176" t="n"/>
      <c r="BA72" s="176" t="n"/>
      <c r="BB72" s="192" t="n"/>
      <c r="BC72" s="187" t="n"/>
      <c r="BD72" s="187" t="n"/>
      <c r="BE72" s="187" t="n"/>
      <c r="BF72" s="187" t="n"/>
      <c r="BG72" s="188" t="n"/>
      <c r="BH72" s="176" t="n"/>
      <c r="BI72" s="176" t="n"/>
      <c r="BJ72" s="192" t="n"/>
      <c r="BK72" s="187" t="n"/>
      <c r="BL72" s="187" t="n"/>
      <c r="BM72" s="187" t="n"/>
      <c r="BN72" s="187" t="n"/>
      <c r="BO72" s="188" t="n"/>
      <c r="BP72" s="176" t="n"/>
      <c r="BQ72" s="176" t="n"/>
      <c r="BR72" s="176" t="n"/>
      <c r="BS72" s="192" t="n"/>
      <c r="BT72" s="187" t="n"/>
      <c r="BU72" s="187" t="n"/>
      <c r="BV72" s="187" t="n"/>
      <c r="BW72" s="187" t="n"/>
      <c r="BX72" s="188" t="n"/>
      <c r="BY72" s="176" t="n"/>
      <c r="BZ72" s="176" t="n"/>
      <c r="CA72" s="192" t="n"/>
      <c r="CB72" s="187" t="n"/>
      <c r="CC72" s="187" t="n"/>
      <c r="CD72" s="187" t="n"/>
      <c r="CE72" s="187" t="n"/>
      <c r="CF72" s="188" t="n"/>
      <c r="CG72" s="176" t="n"/>
      <c r="CH72" s="176" t="n"/>
      <c r="CI72" s="176" t="n"/>
      <c r="CJ72" s="181" t="inlineStr">
        <is>
          <t>ESTADO NA FICHA</t>
        </is>
      </c>
      <c r="CK72" s="182" t="n"/>
      <c r="CL72" s="183" t="n"/>
      <c r="CM72" s="185">
        <f>IF('FICHA AMALDIÇOADA'!O49="","Neutra",'FICHA AMALDIÇOADA'!O49)</f>
        <v/>
      </c>
      <c r="CN72" s="182" t="n"/>
      <c r="CO72" s="183" t="n"/>
      <c r="CP72" s="176" t="n"/>
      <c r="CQ72" s="176" t="n"/>
      <c r="CR72" s="181" t="inlineStr">
        <is>
          <t>ESTADO NA FICHA</t>
        </is>
      </c>
      <c r="CS72" s="182" t="n"/>
      <c r="CT72" s="183" t="n"/>
      <c r="CU72" s="185">
        <f>IF('FICHA AMALDIÇOADA'!O50="","Neutra",'FICHA AMALDIÇOADA'!O50)</f>
        <v/>
      </c>
      <c r="CV72" s="182" t="n"/>
      <c r="CW72" s="183" t="n"/>
      <c r="CX72" s="176" t="n"/>
      <c r="CY72" s="176" t="n"/>
      <c r="CZ72" s="176" t="n"/>
      <c r="DA72" s="176" t="n"/>
      <c r="DB72" s="176" t="n"/>
      <c r="DC72" s="176" t="n"/>
      <c r="DD72" s="176" t="n"/>
      <c r="DE72" s="176" t="n"/>
      <c r="DF72" s="176" t="n"/>
      <c r="DG72" s="176" t="n"/>
      <c r="DH72" s="176" t="n"/>
      <c r="DI72" s="176" t="n"/>
      <c r="DJ72" s="176" t="n"/>
      <c r="DK72" s="176" t="n"/>
      <c r="DL72" s="176" t="n"/>
      <c r="DM72" s="176" t="n"/>
      <c r="DN72" s="176" t="n"/>
      <c r="DO72" s="176" t="n"/>
      <c r="DP72" s="176" t="n"/>
      <c r="DQ72" s="176" t="n"/>
      <c r="DR72" s="176" t="n"/>
      <c r="DS72" s="176" t="n"/>
      <c r="DT72" s="176" t="n"/>
      <c r="DU72" s="176" t="n"/>
      <c r="DV72" s="176" t="n"/>
      <c r="DW72" s="176" t="n"/>
      <c r="DX72" s="176" t="n"/>
      <c r="DY72" s="176" t="n"/>
      <c r="DZ72" s="176" t="n"/>
      <c r="EA72" s="176" t="n"/>
      <c r="EB72" s="176" t="n"/>
      <c r="EC72" s="176" t="n"/>
      <c r="ED72" s="176" t="n"/>
      <c r="EE72" s="176" t="n"/>
      <c r="EF72" s="176" t="n"/>
      <c r="EG72" s="176" t="n"/>
      <c r="EH72" s="176" t="n"/>
      <c r="EI72" s="181" t="inlineStr">
        <is>
          <t>DEFINIÇÃO</t>
        </is>
      </c>
      <c r="EJ72" s="182" t="n"/>
      <c r="EK72" s="182" t="n"/>
      <c r="EL72" s="182" t="n"/>
      <c r="EM72" s="182" t="n"/>
      <c r="EN72" s="183" t="n"/>
      <c r="EO72" s="176" t="n"/>
      <c r="EP72" s="176" t="n"/>
      <c r="EQ72" s="181" t="inlineStr">
        <is>
          <t>DEFINIÇÃO</t>
        </is>
      </c>
      <c r="ER72" s="182" t="n"/>
      <c r="ES72" s="182" t="n"/>
      <c r="ET72" s="182" t="n"/>
      <c r="EU72" s="182" t="n"/>
      <c r="EV72" s="183" t="n"/>
      <c r="EW72" s="176" t="n"/>
      <c r="EX72" s="176" t="n"/>
      <c r="EY72" s="176" t="n"/>
      <c r="EZ72" s="181" t="inlineStr">
        <is>
          <t>ESCADA DE ÁREA</t>
        </is>
      </c>
      <c r="FA72" s="182" t="n"/>
      <c r="FB72" s="183" t="n"/>
      <c r="FC72" s="185" t="n"/>
      <c r="FD72" s="182" t="n"/>
      <c r="FE72" s="183" t="n"/>
      <c r="FF72" s="176" t="n"/>
      <c r="FG72" s="176" t="n"/>
      <c r="FH72" s="181" t="inlineStr">
        <is>
          <t>ESCADA DE ÁREA</t>
        </is>
      </c>
      <c r="FI72" s="182" t="n"/>
      <c r="FJ72" s="183" t="n"/>
      <c r="FK72" s="185" t="n"/>
      <c r="FL72" s="182" t="n"/>
      <c r="FM72" s="183" t="n"/>
      <c r="FN72" s="176" t="n"/>
      <c r="FO72" s="176" t="n"/>
      <c r="FP72" s="176" t="n"/>
      <c r="FQ72" s="181" t="inlineStr">
        <is>
          <t>CATEGORIA DE EFEITO</t>
        </is>
      </c>
      <c r="FR72" s="182" t="n"/>
      <c r="FS72" s="183" t="n"/>
      <c r="FT72" s="185" t="n"/>
      <c r="FU72" s="182" t="n"/>
      <c r="FV72" s="183" t="n"/>
      <c r="FW72" s="176" t="n"/>
      <c r="FX72" s="176" t="n"/>
      <c r="FY72" s="181" t="inlineStr">
        <is>
          <t>CATEGORIA DE EFEITO</t>
        </is>
      </c>
      <c r="FZ72" s="182" t="n"/>
      <c r="GA72" s="183" t="n"/>
      <c r="GB72" s="185" t="n"/>
      <c r="GC72" s="182" t="n"/>
      <c r="GD72" s="183" t="n"/>
      <c r="GE72" s="176" t="n"/>
      <c r="GF72" s="176" t="n"/>
      <c r="GG72" s="176" t="n"/>
      <c r="GH72" s="192" t="n"/>
      <c r="GI72" s="187" t="n"/>
      <c r="GJ72" s="187" t="n"/>
      <c r="GK72" s="187" t="n"/>
      <c r="GL72" s="187" t="n"/>
      <c r="GM72" s="188" t="n"/>
      <c r="GN72" s="176" t="n"/>
      <c r="GO72" s="176" t="n"/>
      <c r="GP72" s="192" t="n"/>
      <c r="GQ72" s="187" t="n"/>
      <c r="GR72" s="187" t="n"/>
      <c r="GS72" s="187" t="n"/>
      <c r="GT72" s="187" t="n"/>
      <c r="GU72" s="188" t="n"/>
      <c r="GV72" s="176" t="n"/>
      <c r="GW72" s="176" t="n"/>
      <c r="GX72" s="176" t="n"/>
      <c r="GY72" s="181" t="inlineStr">
        <is>
          <t>VIDA</t>
        </is>
      </c>
      <c r="GZ72" s="182" t="n"/>
      <c r="HA72" s="183" t="n"/>
      <c r="HB72" s="185" t="n"/>
      <c r="HC72" s="182" t="n"/>
      <c r="HD72" s="183" t="n"/>
      <c r="HE72" s="176" t="n"/>
      <c r="HF72" s="176" t="n"/>
      <c r="HG72" s="181" t="inlineStr">
        <is>
          <t>VIDA</t>
        </is>
      </c>
      <c r="HH72" s="182" t="n"/>
      <c r="HI72" s="183" t="n"/>
      <c r="HJ72" s="185" t="n"/>
      <c r="HK72" s="182" t="n"/>
      <c r="HL72" s="183" t="n"/>
      <c r="HM72" s="176" t="n"/>
      <c r="HN72" s="176" t="n"/>
      <c r="HO72" s="176" t="n"/>
      <c r="HP72" s="181" t="inlineStr">
        <is>
          <t>CATEGORIA DE EFEITO</t>
        </is>
      </c>
      <c r="HQ72" s="182" t="n"/>
      <c r="HR72" s="183" t="n"/>
      <c r="HS72" s="185" t="n"/>
      <c r="HT72" s="182" t="n"/>
      <c r="HU72" s="183" t="n"/>
      <c r="HV72" s="176" t="n"/>
      <c r="HW72" s="176" t="n"/>
      <c r="HX72" s="181" t="inlineStr">
        <is>
          <t>CATEGORIA DE EFEITO</t>
        </is>
      </c>
      <c r="HY72" s="182" t="n"/>
      <c r="HZ72" s="183" t="n"/>
      <c r="IA72" s="185" t="n"/>
      <c r="IB72" s="182" t="n"/>
      <c r="IC72" s="183" t="n"/>
      <c r="ID72" s="176" t="n"/>
    </row>
    <row r="73" ht="21" customHeight="1">
      <c r="A73" s="176" t="n"/>
      <c r="B73" s="176" t="n"/>
      <c r="C73" s="186" t="n">
        <v>9</v>
      </c>
      <c r="D73" s="183" t="n"/>
      <c r="E73" s="186" t="n">
        <v>700</v>
      </c>
      <c r="F73" s="185" t="n"/>
      <c r="G73" s="186">
        <f>IF(F73="",IF(E73="","",E73),IF(IFERROR(AND(ISNUMBER(F73),F73&gt;=0,INT(F73)=F73),FALSE),F73,NA()))</f>
        <v/>
      </c>
      <c r="H73" s="186">
        <f>DADOS_CONFIG!Z10</f>
        <v/>
      </c>
      <c r="I73" s="176" t="n"/>
      <c r="J73" s="176" t="n"/>
      <c r="K73" s="176" t="n"/>
      <c r="L73" s="176" t="n"/>
      <c r="M73" s="176" t="n"/>
      <c r="N73" s="176" t="n"/>
      <c r="O73" s="176" t="n"/>
      <c r="P73" s="176" t="n"/>
      <c r="Q73" s="176" t="n"/>
      <c r="R73" s="176" t="n"/>
      <c r="S73" s="176" t="n"/>
      <c r="T73" s="181" t="inlineStr">
        <is>
          <t>NOME</t>
        </is>
      </c>
      <c r="U73" s="182" t="n"/>
      <c r="V73" s="182" t="n"/>
      <c r="W73" s="182" t="n"/>
      <c r="X73" s="182" t="n"/>
      <c r="Y73" s="183" t="n"/>
      <c r="Z73" s="176" t="n"/>
      <c r="AA73" s="176" t="n"/>
      <c r="AB73" s="181" t="inlineStr">
        <is>
          <t>NOME</t>
        </is>
      </c>
      <c r="AC73" s="182" t="n"/>
      <c r="AD73" s="182" t="n"/>
      <c r="AE73" s="182" t="n"/>
      <c r="AF73" s="182" t="n"/>
      <c r="AG73" s="183" t="n"/>
      <c r="AH73" s="176" t="n"/>
      <c r="AI73" s="176" t="n"/>
      <c r="AJ73" s="176" t="n"/>
      <c r="AK73" s="176" t="n"/>
      <c r="AL73" s="176" t="n"/>
      <c r="AM73" s="176" t="n"/>
      <c r="AN73" s="176" t="n"/>
      <c r="AO73" s="176" t="n"/>
      <c r="AP73" s="176" t="n"/>
      <c r="AQ73" s="176" t="n"/>
      <c r="AR73" s="176" t="n"/>
      <c r="AS73" s="176" t="n"/>
      <c r="AT73" s="176" t="n"/>
      <c r="AU73" s="176" t="n"/>
      <c r="AV73" s="176" t="n"/>
      <c r="AW73" s="176" t="n"/>
      <c r="AX73" s="176" t="n"/>
      <c r="AY73" s="176" t="n"/>
      <c r="AZ73" s="176" t="n"/>
      <c r="BA73" s="176" t="n"/>
      <c r="BB73" s="193" t="n"/>
      <c r="BG73" s="194" t="n"/>
      <c r="BH73" s="176" t="n"/>
      <c r="BI73" s="176" t="n"/>
      <c r="BJ73" s="193" t="n"/>
      <c r="BO73" s="194" t="n"/>
      <c r="BP73" s="176" t="n"/>
      <c r="BQ73" s="176" t="n"/>
      <c r="BR73" s="176" t="n"/>
      <c r="BS73" s="193" t="n"/>
      <c r="BX73" s="194" t="n"/>
      <c r="BY73" s="176" t="n"/>
      <c r="BZ73" s="176" t="n"/>
      <c r="CA73" s="193" t="n"/>
      <c r="CF73" s="194" t="n"/>
      <c r="CG73" s="176" t="n"/>
      <c r="CH73" s="176" t="n"/>
      <c r="CI73" s="176" t="n"/>
      <c r="CJ73" s="181" t="inlineStr">
        <is>
          <t>DESCRIÇÃO</t>
        </is>
      </c>
      <c r="CK73" s="182" t="n"/>
      <c r="CL73" s="182" t="n"/>
      <c r="CM73" s="182" t="n"/>
      <c r="CN73" s="182" t="n"/>
      <c r="CO73" s="183" t="n"/>
      <c r="CP73" s="176" t="n"/>
      <c r="CQ73" s="176" t="n"/>
      <c r="CR73" s="181" t="inlineStr">
        <is>
          <t>DESCRIÇÃO</t>
        </is>
      </c>
      <c r="CS73" s="182" t="n"/>
      <c r="CT73" s="182" t="n"/>
      <c r="CU73" s="182" t="n"/>
      <c r="CV73" s="182" t="n"/>
      <c r="CW73" s="183" t="n"/>
      <c r="CX73" s="176" t="n"/>
      <c r="CY73" s="176" t="n"/>
      <c r="CZ73" s="176" t="n"/>
      <c r="DA73" s="181" t="inlineStr">
        <is>
          <t>REQUISITOS E REPETIÇÃO</t>
        </is>
      </c>
      <c r="DB73" s="182" t="n"/>
      <c r="DC73" s="182" t="n"/>
      <c r="DD73" s="182" t="n"/>
      <c r="DE73" s="182" t="n"/>
      <c r="DF73" s="183" t="n"/>
      <c r="DG73" s="176" t="n"/>
      <c r="DH73" s="176" t="n"/>
      <c r="DI73" s="181" t="inlineStr">
        <is>
          <t>REQUISITOS E REPETIÇÃO</t>
        </is>
      </c>
      <c r="DJ73" s="182" t="n"/>
      <c r="DK73" s="182" t="n"/>
      <c r="DL73" s="182" t="n"/>
      <c r="DM73" s="182" t="n"/>
      <c r="DN73" s="183" t="n"/>
      <c r="DO73" s="176" t="n"/>
      <c r="DP73" s="176" t="n"/>
      <c r="DQ73" s="176" t="n"/>
      <c r="DR73" s="180">
        <f>IF('DADOS_RESTRICOES'!$K$6="","","⚠ "&amp;'DADOS_RESTRICOES'!$K$6)</f>
        <v/>
      </c>
      <c r="DX73" s="176" t="n"/>
      <c r="DY73" s="176" t="n"/>
      <c r="DZ73" s="180">
        <f>IF('DADOS_RESTRICOES'!$K$7="","","⚠ "&amp;'DADOS_RESTRICOES'!$K$7)</f>
        <v/>
      </c>
      <c r="EF73" s="176" t="n"/>
      <c r="EG73" s="176" t="n"/>
      <c r="EH73" s="176" t="n"/>
      <c r="EI73" s="192" t="n"/>
      <c r="EJ73" s="187" t="n"/>
      <c r="EK73" s="187" t="n"/>
      <c r="EL73" s="187" t="n"/>
      <c r="EM73" s="187" t="n"/>
      <c r="EN73" s="188" t="n"/>
      <c r="EO73" s="176" t="n"/>
      <c r="EP73" s="176" t="n"/>
      <c r="EQ73" s="192" t="n"/>
      <c r="ER73" s="187" t="n"/>
      <c r="ES73" s="187" t="n"/>
      <c r="ET73" s="187" t="n"/>
      <c r="EU73" s="187" t="n"/>
      <c r="EV73" s="188" t="n"/>
      <c r="EW73" s="176" t="n"/>
      <c r="EX73" s="176" t="n"/>
      <c r="EY73" s="176" t="n"/>
      <c r="EZ73" s="181" t="inlineStr">
        <is>
          <t>ALC · P · 0</t>
        </is>
      </c>
      <c r="FA73" s="182" t="n"/>
      <c r="FB73" s="183" t="n"/>
      <c r="FC73" s="185" t="n"/>
      <c r="FD73" s="182" t="n"/>
      <c r="FE73" s="183" t="n"/>
      <c r="FF73" s="176" t="n"/>
      <c r="FG73" s="176" t="n"/>
      <c r="FH73" s="181" t="inlineStr">
        <is>
          <t>ALC · P · 0</t>
        </is>
      </c>
      <c r="FI73" s="182" t="n"/>
      <c r="FJ73" s="183" t="n"/>
      <c r="FK73" s="185" t="n"/>
      <c r="FL73" s="182" t="n"/>
      <c r="FM73" s="183" t="n"/>
      <c r="FN73" s="176" t="n"/>
      <c r="FO73" s="176" t="n"/>
      <c r="FP73" s="176" t="n"/>
      <c r="FQ73" s="181" t="inlineStr">
        <is>
          <t>NÍVEL MÍNIMO</t>
        </is>
      </c>
      <c r="FR73" s="182" t="n"/>
      <c r="FS73" s="183" t="n"/>
      <c r="FT73" s="185" t="n"/>
      <c r="FU73" s="182" t="n"/>
      <c r="FV73" s="183" t="n"/>
      <c r="FW73" s="176" t="n"/>
      <c r="FX73" s="176" t="n"/>
      <c r="FY73" s="181" t="inlineStr">
        <is>
          <t>NÍVEL MÍNIMO</t>
        </is>
      </c>
      <c r="FZ73" s="182" t="n"/>
      <c r="GA73" s="183" t="n"/>
      <c r="GB73" s="185" t="n"/>
      <c r="GC73" s="182" t="n"/>
      <c r="GD73" s="183" t="n"/>
      <c r="GE73" s="176" t="n"/>
      <c r="GF73" s="176" t="n"/>
      <c r="GG73" s="176" t="n"/>
      <c r="GH73" s="193" t="n"/>
      <c r="GM73" s="194" t="n"/>
      <c r="GN73" s="176" t="n"/>
      <c r="GO73" s="176" t="n"/>
      <c r="GP73" s="193" t="n"/>
      <c r="GU73" s="194" t="n"/>
      <c r="GV73" s="176" t="n"/>
      <c r="GW73" s="176" t="n"/>
      <c r="GX73" s="176" t="n"/>
      <c r="GY73" s="181" t="inlineStr">
        <is>
          <t>TALISMÃ</t>
        </is>
      </c>
      <c r="GZ73" s="182" t="n"/>
      <c r="HA73" s="183" t="n"/>
      <c r="HB73" s="185" t="n"/>
      <c r="HC73" s="182" t="n"/>
      <c r="HD73" s="183" t="n"/>
      <c r="HE73" s="176" t="n"/>
      <c r="HF73" s="176" t="n"/>
      <c r="HG73" s="181" t="inlineStr">
        <is>
          <t>TALISMÃ</t>
        </is>
      </c>
      <c r="HH73" s="182" t="n"/>
      <c r="HI73" s="183" t="n"/>
      <c r="HJ73" s="185" t="n"/>
      <c r="HK73" s="182" t="n"/>
      <c r="HL73" s="183" t="n"/>
      <c r="HM73" s="176" t="n"/>
      <c r="HN73" s="176" t="n"/>
      <c r="HO73" s="176" t="n"/>
      <c r="HP73" s="176" t="n"/>
      <c r="HQ73" s="176" t="n"/>
      <c r="HR73" s="176" t="n"/>
      <c r="HS73" s="176" t="n"/>
      <c r="HT73" s="176" t="n"/>
      <c r="HU73" s="176" t="n"/>
      <c r="HV73" s="176" t="n"/>
      <c r="HW73" s="176" t="n"/>
      <c r="HX73" s="176" t="n"/>
      <c r="HY73" s="176" t="n"/>
      <c r="HZ73" s="176" t="n"/>
      <c r="IA73" s="176" t="n"/>
      <c r="IB73" s="176" t="n"/>
      <c r="IC73" s="176" t="n"/>
      <c r="ID73" s="176" t="n"/>
    </row>
    <row r="74" ht="21" customHeight="1">
      <c r="A74" s="176" t="n"/>
      <c r="B74" s="176" t="n"/>
      <c r="C74" s="186" t="n">
        <v>10</v>
      </c>
      <c r="D74" s="183" t="n"/>
      <c r="E74" s="186" t="n">
        <v>700</v>
      </c>
      <c r="F74" s="185" t="n"/>
      <c r="G74" s="186">
        <f>IF(F74="",IF(E74="","",E74),IF(IFERROR(AND(ISNUMBER(F74),F74&gt;=0,INT(F74)=F74),FALSE),F74,NA()))</f>
        <v/>
      </c>
      <c r="H74" s="186">
        <f>DADOS_CONFIG!Z11</f>
        <v/>
      </c>
      <c r="I74" s="176" t="n"/>
      <c r="J74" s="176" t="n"/>
      <c r="K74" s="176" t="n"/>
      <c r="L74" s="176" t="n"/>
      <c r="M74" s="176" t="n"/>
      <c r="N74" s="176" t="n"/>
      <c r="O74" s="176" t="n"/>
      <c r="P74" s="176" t="n"/>
      <c r="Q74" s="176" t="n"/>
      <c r="R74" s="176" t="n"/>
      <c r="S74" s="176" t="n"/>
      <c r="T74" s="185" t="n"/>
      <c r="U74" s="182" t="n"/>
      <c r="V74" s="182" t="n"/>
      <c r="W74" s="182" t="n"/>
      <c r="X74" s="182" t="n"/>
      <c r="Y74" s="183" t="n"/>
      <c r="Z74" s="176" t="n"/>
      <c r="AA74" s="176" t="n"/>
      <c r="AB74" s="185" t="n"/>
      <c r="AC74" s="182" t="n"/>
      <c r="AD74" s="182" t="n"/>
      <c r="AE74" s="182" t="n"/>
      <c r="AF74" s="182" t="n"/>
      <c r="AG74" s="183" t="n"/>
      <c r="AH74" s="176" t="n"/>
      <c r="AI74" s="176" t="n"/>
      <c r="AJ74" s="176" t="n"/>
      <c r="AK74" s="176" t="n"/>
      <c r="AL74" s="176" t="n"/>
      <c r="AM74" s="176" t="n"/>
      <c r="AN74" s="176" t="n"/>
      <c r="AO74" s="176" t="n"/>
      <c r="AP74" s="176" t="n"/>
      <c r="AQ74" s="176" t="n"/>
      <c r="AR74" s="176" t="n"/>
      <c r="AS74" s="176" t="n"/>
      <c r="AT74" s="176" t="n"/>
      <c r="AU74" s="176" t="n"/>
      <c r="AV74" s="176" t="n"/>
      <c r="AW74" s="176" t="n"/>
      <c r="AX74" s="176" t="n"/>
      <c r="AY74" s="176" t="n"/>
      <c r="AZ74" s="176" t="n"/>
      <c r="BA74" s="176" t="n"/>
      <c r="BB74" s="189" t="n"/>
      <c r="BC74" s="190" t="n"/>
      <c r="BD74" s="190" t="n"/>
      <c r="BE74" s="190" t="n"/>
      <c r="BF74" s="190" t="n"/>
      <c r="BG74" s="191" t="n"/>
      <c r="BH74" s="176" t="n"/>
      <c r="BI74" s="176" t="n"/>
      <c r="BJ74" s="189" t="n"/>
      <c r="BK74" s="190" t="n"/>
      <c r="BL74" s="190" t="n"/>
      <c r="BM74" s="190" t="n"/>
      <c r="BN74" s="190" t="n"/>
      <c r="BO74" s="191" t="n"/>
      <c r="BP74" s="176" t="n"/>
      <c r="BQ74" s="176" t="n"/>
      <c r="BR74" s="176" t="n"/>
      <c r="BS74" s="189" t="n"/>
      <c r="BT74" s="190" t="n"/>
      <c r="BU74" s="190" t="n"/>
      <c r="BV74" s="190" t="n"/>
      <c r="BW74" s="190" t="n"/>
      <c r="BX74" s="191" t="n"/>
      <c r="BY74" s="176" t="n"/>
      <c r="BZ74" s="176" t="n"/>
      <c r="CA74" s="189" t="n"/>
      <c r="CB74" s="190" t="n"/>
      <c r="CC74" s="190" t="n"/>
      <c r="CD74" s="190" t="n"/>
      <c r="CE74" s="190" t="n"/>
      <c r="CF74" s="191" t="n"/>
      <c r="CG74" s="176" t="n"/>
      <c r="CH74" s="176" t="n"/>
      <c r="CI74" s="176" t="n"/>
      <c r="CJ74" s="192" t="n"/>
      <c r="CK74" s="187" t="n"/>
      <c r="CL74" s="187" t="n"/>
      <c r="CM74" s="187" t="n"/>
      <c r="CN74" s="187" t="n"/>
      <c r="CO74" s="188" t="n"/>
      <c r="CP74" s="176" t="n"/>
      <c r="CQ74" s="176" t="n"/>
      <c r="CR74" s="192" t="n"/>
      <c r="CS74" s="187" t="n"/>
      <c r="CT74" s="187" t="n"/>
      <c r="CU74" s="187" t="n"/>
      <c r="CV74" s="187" t="n"/>
      <c r="CW74" s="188" t="n"/>
      <c r="CX74" s="176" t="n"/>
      <c r="CY74" s="176" t="n"/>
      <c r="CZ74" s="176" t="n"/>
      <c r="DA74" s="192" t="n"/>
      <c r="DB74" s="187" t="n"/>
      <c r="DC74" s="187" t="n"/>
      <c r="DD74" s="187" t="n"/>
      <c r="DE74" s="187" t="n"/>
      <c r="DF74" s="188" t="n"/>
      <c r="DG74" s="176" t="n"/>
      <c r="DH74" s="176" t="n"/>
      <c r="DI74" s="192" t="n"/>
      <c r="DJ74" s="187" t="n"/>
      <c r="DK74" s="187" t="n"/>
      <c r="DL74" s="187" t="n"/>
      <c r="DM74" s="187" t="n"/>
      <c r="DN74" s="188" t="n"/>
      <c r="DO74" s="176" t="n"/>
      <c r="DP74" s="176" t="n"/>
      <c r="DQ74" s="176" t="n"/>
      <c r="DX74" s="176" t="n"/>
      <c r="DY74" s="176" t="n"/>
      <c r="EF74" s="176" t="n"/>
      <c r="EG74" s="176" t="n"/>
      <c r="EH74" s="176" t="n"/>
      <c r="EI74" s="193" t="n"/>
      <c r="EN74" s="194" t="n"/>
      <c r="EO74" s="176" t="n"/>
      <c r="EP74" s="176" t="n"/>
      <c r="EQ74" s="193" t="n"/>
      <c r="EV74" s="194" t="n"/>
      <c r="EW74" s="176" t="n"/>
      <c r="EX74" s="176" t="n"/>
      <c r="EY74" s="176" t="n"/>
      <c r="EZ74" s="181" t="inlineStr">
        <is>
          <t>ALC · P · 1 a 5</t>
        </is>
      </c>
      <c r="FA74" s="182" t="n"/>
      <c r="FB74" s="183" t="n"/>
      <c r="FC74" s="185" t="n"/>
      <c r="FD74" s="182" t="n"/>
      <c r="FE74" s="183" t="n"/>
      <c r="FF74" s="176" t="n"/>
      <c r="FG74" s="176" t="n"/>
      <c r="FH74" s="181" t="inlineStr">
        <is>
          <t>ALC · P · 1 a 5</t>
        </is>
      </c>
      <c r="FI74" s="182" t="n"/>
      <c r="FJ74" s="183" t="n"/>
      <c r="FK74" s="185" t="n"/>
      <c r="FL74" s="182" t="n"/>
      <c r="FM74" s="183" t="n"/>
      <c r="FN74" s="176" t="n"/>
      <c r="FO74" s="176" t="n"/>
      <c r="FP74" s="176" t="n"/>
      <c r="FQ74" s="181" t="inlineStr">
        <is>
          <t>REFINO / LAPIDAÇÃO</t>
        </is>
      </c>
      <c r="FR74" s="182" t="n"/>
      <c r="FS74" s="183" t="n"/>
      <c r="FT74" s="185" t="n"/>
      <c r="FU74" s="182" t="n"/>
      <c r="FV74" s="183" t="n"/>
      <c r="FW74" s="176" t="n"/>
      <c r="FX74" s="176" t="n"/>
      <c r="FY74" s="181" t="inlineStr">
        <is>
          <t>REFINO / LAPIDAÇÃO</t>
        </is>
      </c>
      <c r="FZ74" s="182" t="n"/>
      <c r="GA74" s="183" t="n"/>
      <c r="GB74" s="185" t="n"/>
      <c r="GC74" s="182" t="n"/>
      <c r="GD74" s="183" t="n"/>
      <c r="GE74" s="176" t="n"/>
      <c r="GF74" s="176" t="n"/>
      <c r="GG74" s="176" t="n"/>
      <c r="GH74" s="193" t="n"/>
      <c r="GM74" s="194" t="n"/>
      <c r="GN74" s="176" t="n"/>
      <c r="GO74" s="176" t="n"/>
      <c r="GP74" s="193" t="n"/>
      <c r="GU74" s="194" t="n"/>
      <c r="GV74" s="176" t="n"/>
      <c r="GW74" s="176" t="n"/>
      <c r="GX74" s="176" t="n"/>
      <c r="GY74" s="176" t="n"/>
      <c r="GZ74" s="176" t="n"/>
      <c r="HA74" s="176" t="n"/>
      <c r="HB74" s="176" t="n"/>
      <c r="HC74" s="176" t="n"/>
      <c r="HD74" s="176" t="n"/>
      <c r="HE74" s="176" t="n"/>
      <c r="HF74" s="176" t="n"/>
      <c r="HG74" s="176" t="n"/>
      <c r="HH74" s="176" t="n"/>
      <c r="HI74" s="176" t="n"/>
      <c r="HJ74" s="176" t="n"/>
      <c r="HK74" s="176" t="n"/>
      <c r="HL74" s="176" t="n"/>
      <c r="HM74" s="176" t="n"/>
      <c r="HN74" s="176" t="n"/>
      <c r="HO74" s="176" t="n"/>
      <c r="HP74" s="176" t="n"/>
      <c r="HQ74" s="176" t="n"/>
      <c r="HR74" s="176" t="n"/>
      <c r="HS74" s="176" t="n"/>
      <c r="HT74" s="176" t="n"/>
      <c r="HU74" s="176" t="n"/>
      <c r="HV74" s="176" t="n"/>
      <c r="HW74" s="176" t="n"/>
      <c r="HX74" s="176" t="n"/>
      <c r="HY74" s="176" t="n"/>
      <c r="HZ74" s="176" t="n"/>
      <c r="IA74" s="176" t="n"/>
      <c r="IB74" s="176" t="n"/>
      <c r="IC74" s="176" t="n"/>
      <c r="ID74" s="176" t="n"/>
    </row>
    <row r="75" ht="21" customHeight="1">
      <c r="A75" s="176" t="n"/>
      <c r="B75" s="176" t="n"/>
      <c r="C75" s="186" t="n">
        <v>11</v>
      </c>
      <c r="D75" s="183" t="n"/>
      <c r="E75" s="186" t="n">
        <v>900</v>
      </c>
      <c r="F75" s="185" t="n"/>
      <c r="G75" s="186">
        <f>IF(F75="",IF(E75="","",E75),IF(IFERROR(AND(ISNUMBER(F75),F75&gt;=0,INT(F75)=F75),FALSE),F75,NA()))</f>
        <v/>
      </c>
      <c r="H75" s="186">
        <f>DADOS_CONFIG!Z12</f>
        <v/>
      </c>
      <c r="I75" s="176" t="n"/>
      <c r="J75" s="176" t="n"/>
      <c r="K75" s="176" t="n"/>
      <c r="L75" s="176" t="n"/>
      <c r="M75" s="176" t="n"/>
      <c r="N75" s="176" t="n"/>
      <c r="O75" s="176" t="n"/>
      <c r="P75" s="176" t="n"/>
      <c r="Q75" s="176" t="n"/>
      <c r="R75" s="176" t="n"/>
      <c r="S75" s="176" t="n"/>
      <c r="T75" s="181">
        <f>SWITCH('CONFIGURAÇÃO'!$T$72,"Origem","PERÍCIA 1","Marcante","ORIGEM","Menor","ORIGEM","Arma","CATEGORIA","Escudo","","Uniforme","GRAU MÍNIMO","Item comum","","Ferramenta amaldiçoada","BASE","")</f>
        <v/>
      </c>
      <c r="U75" s="183" t="n"/>
      <c r="V75" s="185" t="n"/>
      <c r="W75" s="182" t="n"/>
      <c r="X75" s="182" t="n"/>
      <c r="Y75" s="183" t="n"/>
      <c r="Z75" s="176" t="n"/>
      <c r="AA75" s="176" t="n"/>
      <c r="AB75" s="181">
        <f>SWITCH('CONFIGURAÇÃO'!$AB$72,"Origem","PERÍCIA 1","Marcante","ORIGEM","Menor","ORIGEM","Arma","CATEGORIA","Escudo","","Uniforme","GRAU MÍNIMO","Item comum","","Ferramenta amaldiçoada","BASE","")</f>
        <v/>
      </c>
      <c r="AC75" s="183" t="n"/>
      <c r="AD75" s="185" t="n"/>
      <c r="AE75" s="182" t="n"/>
      <c r="AF75" s="182" t="n"/>
      <c r="AG75" s="183" t="n"/>
      <c r="AH75" s="176" t="n"/>
      <c r="AI75" s="176" t="n"/>
      <c r="AJ75" s="176" t="n"/>
      <c r="AK75" s="176" t="n"/>
      <c r="AL75" s="176" t="n"/>
      <c r="AM75" s="176" t="n"/>
      <c r="AN75" s="176" t="n"/>
      <c r="AO75" s="176" t="n"/>
      <c r="AP75" s="176" t="n"/>
      <c r="AQ75" s="176" t="n"/>
      <c r="AR75" s="176" t="n"/>
      <c r="AS75" s="176" t="n"/>
      <c r="AT75" s="176" t="n"/>
      <c r="AU75" s="176" t="n"/>
      <c r="AV75" s="176" t="n"/>
      <c r="AW75" s="176" t="n"/>
      <c r="AX75" s="176" t="n"/>
      <c r="AY75" s="176" t="n"/>
      <c r="AZ75" s="176" t="n"/>
      <c r="BA75" s="176" t="n"/>
      <c r="BB75" s="176" t="n"/>
      <c r="BC75" s="176" t="n"/>
      <c r="BD75" s="176" t="n"/>
      <c r="BE75" s="176" t="n"/>
      <c r="BF75" s="176" t="n"/>
      <c r="BG75" s="176" t="n"/>
      <c r="BH75" s="176" t="n"/>
      <c r="BI75" s="176" t="n"/>
      <c r="BJ75" s="176" t="n"/>
      <c r="BK75" s="176" t="n"/>
      <c r="BL75" s="176" t="n"/>
      <c r="BM75" s="176" t="n"/>
      <c r="BN75" s="176" t="n"/>
      <c r="BO75" s="176" t="n"/>
      <c r="BP75" s="176" t="n"/>
      <c r="BQ75" s="176" t="n"/>
      <c r="BR75" s="176" t="n"/>
      <c r="BS75" s="176" t="n"/>
      <c r="BT75" s="176" t="n"/>
      <c r="BU75" s="176" t="n"/>
      <c r="BV75" s="176" t="n"/>
      <c r="BW75" s="176" t="n"/>
      <c r="BX75" s="176" t="n"/>
      <c r="BY75" s="176" t="n"/>
      <c r="BZ75" s="176" t="n"/>
      <c r="CA75" s="176" t="n"/>
      <c r="CB75" s="176" t="n"/>
      <c r="CC75" s="176" t="n"/>
      <c r="CD75" s="176" t="n"/>
      <c r="CE75" s="176" t="n"/>
      <c r="CF75" s="176" t="n"/>
      <c r="CG75" s="176" t="n"/>
      <c r="CH75" s="176" t="n"/>
      <c r="CI75" s="176" t="n"/>
      <c r="CJ75" s="193" t="n"/>
      <c r="CO75" s="194" t="n"/>
      <c r="CP75" s="176" t="n"/>
      <c r="CQ75" s="176" t="n"/>
      <c r="CR75" s="193" t="n"/>
      <c r="CW75" s="194" t="n"/>
      <c r="CX75" s="176" t="n"/>
      <c r="CY75" s="176" t="n"/>
      <c r="CZ75" s="176" t="n"/>
      <c r="DA75" s="193" t="n"/>
      <c r="DF75" s="194" t="n"/>
      <c r="DG75" s="176" t="n"/>
      <c r="DH75" s="176" t="n"/>
      <c r="DI75" s="193" t="n"/>
      <c r="DN75" s="194" t="n"/>
      <c r="DO75" s="176" t="n"/>
      <c r="DP75" s="176" t="n"/>
      <c r="DQ75" s="176" t="n"/>
      <c r="DR75" s="176" t="n"/>
      <c r="DS75" s="176" t="n"/>
      <c r="DT75" s="176" t="n"/>
      <c r="DU75" s="176" t="n"/>
      <c r="DV75" s="176" t="n"/>
      <c r="DW75" s="176" t="n"/>
      <c r="DX75" s="176" t="n"/>
      <c r="DY75" s="176" t="n"/>
      <c r="DZ75" s="176" t="n"/>
      <c r="EA75" s="176" t="n"/>
      <c r="EB75" s="176" t="n"/>
      <c r="EC75" s="176" t="n"/>
      <c r="ED75" s="176" t="n"/>
      <c r="EE75" s="176" t="n"/>
      <c r="EF75" s="176" t="n"/>
      <c r="EG75" s="176" t="n"/>
      <c r="EH75" s="176" t="n"/>
      <c r="EI75" s="193" t="n"/>
      <c r="EN75" s="194" t="n"/>
      <c r="EO75" s="176" t="n"/>
      <c r="EP75" s="176" t="n"/>
      <c r="EQ75" s="193" t="n"/>
      <c r="EV75" s="194" t="n"/>
      <c r="EW75" s="176" t="n"/>
      <c r="EX75" s="176" t="n"/>
      <c r="EY75" s="176" t="n"/>
      <c r="EZ75" s="181" t="inlineStr">
        <is>
          <t>ALC · P · 6 e 7</t>
        </is>
      </c>
      <c r="FA75" s="182" t="n"/>
      <c r="FB75" s="183" t="n"/>
      <c r="FC75" s="185" t="n"/>
      <c r="FD75" s="182" t="n"/>
      <c r="FE75" s="183" t="n"/>
      <c r="FF75" s="176" t="n"/>
      <c r="FG75" s="176" t="n"/>
      <c r="FH75" s="181" t="inlineStr">
        <is>
          <t>ALC · P · 6 e 7</t>
        </is>
      </c>
      <c r="FI75" s="182" t="n"/>
      <c r="FJ75" s="183" t="n"/>
      <c r="FK75" s="185" t="n"/>
      <c r="FL75" s="182" t="n"/>
      <c r="FM75" s="183" t="n"/>
      <c r="FN75" s="176" t="n"/>
      <c r="FO75" s="176" t="n"/>
      <c r="FP75" s="176" t="n"/>
      <c r="FQ75" s="181" t="inlineStr">
        <is>
          <t>ESCOLHA</t>
        </is>
      </c>
      <c r="FR75" s="182" t="n"/>
      <c r="FS75" s="183" t="n"/>
      <c r="FT75" s="185" t="n"/>
      <c r="FU75" s="182" t="n"/>
      <c r="FV75" s="183" t="n"/>
      <c r="FW75" s="176" t="n"/>
      <c r="FX75" s="176" t="n"/>
      <c r="FY75" s="181" t="inlineStr">
        <is>
          <t>ESCOLHA</t>
        </is>
      </c>
      <c r="FZ75" s="182" t="n"/>
      <c r="GA75" s="183" t="n"/>
      <c r="GB75" s="185" t="n"/>
      <c r="GC75" s="182" t="n"/>
      <c r="GD75" s="183" t="n"/>
      <c r="GE75" s="176" t="n"/>
      <c r="GF75" s="176" t="n"/>
      <c r="GG75" s="176" t="n"/>
      <c r="GH75" s="189" t="n"/>
      <c r="GI75" s="190" t="n"/>
      <c r="GJ75" s="190" t="n"/>
      <c r="GK75" s="190" t="n"/>
      <c r="GL75" s="190" t="n"/>
      <c r="GM75" s="191" t="n"/>
      <c r="GN75" s="176" t="n"/>
      <c r="GO75" s="176" t="n"/>
      <c r="GP75" s="189" t="n"/>
      <c r="GQ75" s="190" t="n"/>
      <c r="GR75" s="190" t="n"/>
      <c r="GS75" s="190" t="n"/>
      <c r="GT75" s="190" t="n"/>
      <c r="GU75" s="191" t="n"/>
      <c r="GV75" s="176" t="n"/>
      <c r="GW75" s="176" t="n"/>
      <c r="GX75" s="176" t="n"/>
      <c r="GY75" s="181" t="inlineStr">
        <is>
          <t>RESERVA DE PE</t>
        </is>
      </c>
      <c r="GZ75" s="182" t="n"/>
      <c r="HA75" s="183" t="n"/>
      <c r="HB75" s="185" t="n"/>
      <c r="HC75" s="182" t="n"/>
      <c r="HD75" s="183" t="n"/>
      <c r="HE75" s="176" t="n"/>
      <c r="HF75" s="176" t="n"/>
      <c r="HG75" s="181" t="inlineStr">
        <is>
          <t>RESERVA DE PE</t>
        </is>
      </c>
      <c r="HH75" s="182" t="n"/>
      <c r="HI75" s="183" t="n"/>
      <c r="HJ75" s="185" t="n"/>
      <c r="HK75" s="182" t="n"/>
      <c r="HL75" s="183" t="n"/>
      <c r="HM75" s="176" t="n"/>
      <c r="HN75" s="176" t="n"/>
      <c r="HO75" s="176" t="n"/>
      <c r="HP75" s="176" t="n"/>
      <c r="HQ75" s="176" t="n"/>
      <c r="HR75" s="176" t="n"/>
      <c r="HS75" s="176" t="n"/>
      <c r="HT75" s="176" t="n"/>
      <c r="HU75" s="176" t="n"/>
      <c r="HV75" s="176" t="n"/>
      <c r="HW75" s="176" t="n"/>
      <c r="HX75" s="176" t="n"/>
      <c r="HY75" s="176" t="n"/>
      <c r="HZ75" s="176" t="n"/>
      <c r="IA75" s="176" t="n"/>
      <c r="IB75" s="176" t="n"/>
      <c r="IC75" s="176" t="n"/>
      <c r="ID75" s="176" t="n"/>
    </row>
    <row r="76" ht="21" customHeight="1">
      <c r="A76" s="176" t="n"/>
      <c r="B76" s="176" t="n"/>
      <c r="C76" s="186" t="n">
        <v>12</v>
      </c>
      <c r="D76" s="183" t="n"/>
      <c r="E76" s="186" t="n">
        <v>900</v>
      </c>
      <c r="F76" s="185" t="n"/>
      <c r="G76" s="186">
        <f>IF(F76="",IF(E76="","",E76),IF(IFERROR(AND(ISNUMBER(F76),F76&gt;=0,INT(F76)=F76),FALSE),F76,NA()))</f>
        <v/>
      </c>
      <c r="H76" s="186">
        <f>DADOS_CONFIG!Z13</f>
        <v/>
      </c>
      <c r="I76" s="176" t="n"/>
      <c r="J76" s="176" t="n"/>
      <c r="K76" s="176" t="n"/>
      <c r="L76" s="176" t="n"/>
      <c r="M76" s="176" t="n"/>
      <c r="N76" s="176" t="n"/>
      <c r="O76" s="176" t="n"/>
      <c r="P76" s="176" t="n"/>
      <c r="Q76" s="176" t="n"/>
      <c r="R76" s="176" t="n"/>
      <c r="S76" s="176" t="n"/>
      <c r="T76" s="181">
        <f>SWITCH('CONFIGURAÇÃO'!$T$72,"Origem","PERÍCIA 2","Marcante","","Menor","EXIGE MARCANTE","Arma","MÃO","Escudo","","Uniforme","","Item comum","","Ferramenta amaldiçoada","GRAU","")</f>
        <v/>
      </c>
      <c r="U76" s="183" t="n"/>
      <c r="V76" s="185" t="n"/>
      <c r="W76" s="182" t="n"/>
      <c r="X76" s="182" t="n"/>
      <c r="Y76" s="183" t="n"/>
      <c r="Z76" s="176" t="n"/>
      <c r="AA76" s="176" t="n"/>
      <c r="AB76" s="181">
        <f>SWITCH('CONFIGURAÇÃO'!$AB$72,"Origem","PERÍCIA 2","Marcante","","Menor","EXIGE MARCANTE","Arma","MÃO","Escudo","","Uniforme","","Item comum","","Ferramenta amaldiçoada","GRAU","")</f>
        <v/>
      </c>
      <c r="AC76" s="183" t="n"/>
      <c r="AD76" s="185" t="n"/>
      <c r="AE76" s="182" t="n"/>
      <c r="AF76" s="182" t="n"/>
      <c r="AG76" s="183" t="n"/>
      <c r="AH76" s="176" t="n"/>
      <c r="AI76" s="176" t="n"/>
      <c r="AJ76" s="176" t="n"/>
      <c r="AK76" s="176" t="n"/>
      <c r="AL76" s="176" t="n"/>
      <c r="AM76" s="176" t="n"/>
      <c r="AN76" s="176" t="n"/>
      <c r="AO76" s="176" t="n"/>
      <c r="AP76" s="176" t="n"/>
      <c r="AQ76" s="176" t="n"/>
      <c r="AR76" s="176" t="n"/>
      <c r="AS76" s="176" t="n"/>
      <c r="AT76" s="176" t="n"/>
      <c r="AU76" s="176" t="n"/>
      <c r="AV76" s="176" t="n"/>
      <c r="AW76" s="176" t="n"/>
      <c r="AX76" s="176" t="n"/>
      <c r="AY76" s="176" t="n"/>
      <c r="AZ76" s="176" t="n"/>
      <c r="BA76" s="176" t="n"/>
      <c r="BB76" s="180">
        <f>IF('DADOS_PROGRESSAO'!$G$10="","Usa os treinos e especializações existentes.","⚠ "&amp;'DADOS_PROGRESSAO'!$G$10)</f>
        <v/>
      </c>
      <c r="BH76" s="176" t="n"/>
      <c r="BI76" s="176" t="n"/>
      <c r="BJ76" s="180">
        <f>IF('DADOS_PROGRESSAO'!$G$11="","Usa os treinos e especializações existentes.","⚠ "&amp;'DADOS_PROGRESSAO'!$G$11)</f>
        <v/>
      </c>
      <c r="BP76" s="176" t="n"/>
      <c r="BQ76" s="176" t="n"/>
      <c r="BR76" s="176" t="n"/>
      <c r="BS76" s="180">
        <f>IF('DADOS_PROGRESSAO'!$G$20="","Usa os treinos e especializações existentes.","⚠ "&amp;'DADOS_PROGRESSAO'!$G$20)</f>
        <v/>
      </c>
      <c r="BY76" s="176" t="n"/>
      <c r="BZ76" s="176" t="n"/>
      <c r="CA76" s="180">
        <f>IF('DADOS_PROGRESSAO'!$G$21="","Usa os treinos e especializações existentes.","⚠ "&amp;'DADOS_PROGRESSAO'!$G$21)</f>
        <v/>
      </c>
      <c r="CG76" s="176" t="n"/>
      <c r="CH76" s="176" t="n"/>
      <c r="CI76" s="176" t="n"/>
      <c r="CJ76" s="193" t="n"/>
      <c r="CO76" s="194" t="n"/>
      <c r="CP76" s="176" t="n"/>
      <c r="CQ76" s="176" t="n"/>
      <c r="CR76" s="193" t="n"/>
      <c r="CW76" s="194" t="n"/>
      <c r="CX76" s="176" t="n"/>
      <c r="CY76" s="176" t="n"/>
      <c r="CZ76" s="176" t="n"/>
      <c r="DA76" s="193" t="n"/>
      <c r="DF76" s="194" t="n"/>
      <c r="DG76" s="176" t="n"/>
      <c r="DH76" s="176" t="n"/>
      <c r="DI76" s="193" t="n"/>
      <c r="DN76" s="194" t="n"/>
      <c r="DO76" s="176" t="n"/>
      <c r="DP76" s="176" t="n"/>
      <c r="DQ76" s="176" t="n"/>
      <c r="DR76" s="176" t="n"/>
      <c r="DS76" s="176" t="n"/>
      <c r="DT76" s="176" t="n"/>
      <c r="DU76" s="176" t="n"/>
      <c r="DV76" s="176" t="n"/>
      <c r="DW76" s="176" t="n"/>
      <c r="DX76" s="176" t="n"/>
      <c r="DY76" s="176" t="n"/>
      <c r="DZ76" s="176" t="n"/>
      <c r="EA76" s="176" t="n"/>
      <c r="EB76" s="176" t="n"/>
      <c r="EC76" s="176" t="n"/>
      <c r="ED76" s="176" t="n"/>
      <c r="EE76" s="176" t="n"/>
      <c r="EF76" s="176" t="n"/>
      <c r="EG76" s="176" t="n"/>
      <c r="EH76" s="176" t="n"/>
      <c r="EI76" s="193" t="n"/>
      <c r="EN76" s="194" t="n"/>
      <c r="EO76" s="176" t="n"/>
      <c r="EP76" s="176" t="n"/>
      <c r="EQ76" s="193" t="n"/>
      <c r="EV76" s="194" t="n"/>
      <c r="EW76" s="176" t="n"/>
      <c r="EX76" s="176" t="n"/>
      <c r="EY76" s="176" t="n"/>
      <c r="EZ76" s="181" t="inlineStr">
        <is>
          <t>ALC · E · 0</t>
        </is>
      </c>
      <c r="FA76" s="182" t="n"/>
      <c r="FB76" s="183" t="n"/>
      <c r="FC76" s="185" t="n"/>
      <c r="FD76" s="182" t="n"/>
      <c r="FE76" s="183" t="n"/>
      <c r="FF76" s="176" t="n"/>
      <c r="FG76" s="176" t="n"/>
      <c r="FH76" s="181" t="inlineStr">
        <is>
          <t>ALC · E · 0</t>
        </is>
      </c>
      <c r="FI76" s="182" t="n"/>
      <c r="FJ76" s="183" t="n"/>
      <c r="FK76" s="185" t="n"/>
      <c r="FL76" s="182" t="n"/>
      <c r="FM76" s="183" t="n"/>
      <c r="FN76" s="176" t="n"/>
      <c r="FO76" s="176" t="n"/>
      <c r="FP76" s="176" t="n"/>
      <c r="FQ76" s="176" t="n"/>
      <c r="FR76" s="176" t="n"/>
      <c r="FS76" s="176" t="n"/>
      <c r="FT76" s="176" t="n"/>
      <c r="FU76" s="176" t="n"/>
      <c r="FV76" s="176" t="n"/>
      <c r="FW76" s="176" t="n"/>
      <c r="FX76" s="176" t="n"/>
      <c r="FY76" s="176" t="n"/>
      <c r="FZ76" s="176" t="n"/>
      <c r="GA76" s="176" t="n"/>
      <c r="GB76" s="176" t="n"/>
      <c r="GC76" s="176" t="n"/>
      <c r="GD76" s="176" t="n"/>
      <c r="GE76" s="176" t="n"/>
      <c r="GF76" s="176" t="n"/>
      <c r="GG76" s="176" t="n"/>
      <c r="GH76" s="176" t="n"/>
      <c r="GI76" s="176" t="n"/>
      <c r="GJ76" s="176" t="n"/>
      <c r="GK76" s="176" t="n"/>
      <c r="GL76" s="176" t="n"/>
      <c r="GM76" s="176" t="n"/>
      <c r="GN76" s="176" t="n"/>
      <c r="GO76" s="176" t="n"/>
      <c r="GP76" s="176" t="n"/>
      <c r="GQ76" s="176" t="n"/>
      <c r="GR76" s="176" t="n"/>
      <c r="GS76" s="176" t="n"/>
      <c r="GT76" s="176" t="n"/>
      <c r="GU76" s="176" t="n"/>
      <c r="GV76" s="176" t="n"/>
      <c r="GW76" s="176" t="n"/>
      <c r="GX76" s="176" t="n"/>
      <c r="GY76" s="176" t="n"/>
      <c r="GZ76" s="176" t="n"/>
      <c r="HA76" s="176" t="n"/>
      <c r="HB76" s="176" t="n"/>
      <c r="HC76" s="176" t="n"/>
      <c r="HD76" s="176" t="n"/>
      <c r="HE76" s="176" t="n"/>
      <c r="HF76" s="176" t="n"/>
      <c r="HG76" s="176" t="n"/>
      <c r="HH76" s="176" t="n"/>
      <c r="HI76" s="176" t="n"/>
      <c r="HJ76" s="176" t="n"/>
      <c r="HK76" s="176" t="n"/>
      <c r="HL76" s="176" t="n"/>
      <c r="HM76" s="176" t="n"/>
      <c r="HN76" s="176" t="n"/>
      <c r="HO76" s="176" t="n"/>
      <c r="HP76" s="176" t="n"/>
      <c r="HQ76" s="176" t="n"/>
      <c r="HR76" s="176" t="n"/>
      <c r="HS76" s="176" t="n"/>
      <c r="HT76" s="176" t="n"/>
      <c r="HU76" s="176" t="n"/>
      <c r="HV76" s="176" t="n"/>
      <c r="HW76" s="176" t="n"/>
      <c r="HX76" s="176" t="n"/>
      <c r="HY76" s="176" t="n"/>
      <c r="HZ76" s="176" t="n"/>
      <c r="IA76" s="176" t="n"/>
      <c r="IB76" s="176" t="n"/>
      <c r="IC76" s="176" t="n"/>
      <c r="ID76" s="176" t="n"/>
    </row>
    <row r="77" ht="21" customHeight="1">
      <c r="A77" s="176" t="n"/>
      <c r="B77" s="176" t="n"/>
      <c r="C77" s="186" t="n">
        <v>13</v>
      </c>
      <c r="D77" s="183" t="n"/>
      <c r="E77" s="186" t="n">
        <v>900</v>
      </c>
      <c r="F77" s="185" t="n"/>
      <c r="G77" s="186">
        <f>IF(F77="",IF(E77="","",E77),IF(IFERROR(AND(ISNUMBER(F77),F77&gt;=0,INT(F77)=F77),FALSE),F77,NA()))</f>
        <v/>
      </c>
      <c r="H77" s="186">
        <f>DADOS_CONFIG!Z14</f>
        <v/>
      </c>
      <c r="I77" s="176" t="n"/>
      <c r="J77" s="176" t="n"/>
      <c r="K77" s="176" t="n"/>
      <c r="L77" s="176" t="n"/>
      <c r="M77" s="176" t="n"/>
      <c r="N77" s="176" t="n"/>
      <c r="O77" s="176" t="n"/>
      <c r="P77" s="176" t="n"/>
      <c r="Q77" s="176" t="n"/>
      <c r="R77" s="176" t="n"/>
      <c r="S77" s="176" t="n"/>
      <c r="T77" s="181">
        <f>SWITCH('CONFIGURAÇÃO'!$T$72,"Origem","PERÍCIA 3","Marcante","","Menor","","Arma","TIPO DE DANO","Escudo","","Uniforme","","Item comum","","Ferramenta amaldiçoada","","")</f>
        <v/>
      </c>
      <c r="U77" s="183" t="n"/>
      <c r="V77" s="185" t="n"/>
      <c r="W77" s="182" t="n"/>
      <c r="X77" s="182" t="n"/>
      <c r="Y77" s="183" t="n"/>
      <c r="Z77" s="176" t="n"/>
      <c r="AA77" s="176" t="n"/>
      <c r="AB77" s="181">
        <f>SWITCH('CONFIGURAÇÃO'!$AB$72,"Origem","PERÍCIA 3","Marcante","","Menor","","Arma","TIPO DE DANO","Escudo","","Uniforme","","Item comum","","Ferramenta amaldiçoada","","")</f>
        <v/>
      </c>
      <c r="AC77" s="183" t="n"/>
      <c r="AD77" s="185" t="n"/>
      <c r="AE77" s="182" t="n"/>
      <c r="AF77" s="182" t="n"/>
      <c r="AG77" s="183" t="n"/>
      <c r="AH77" s="176" t="n"/>
      <c r="AI77" s="176" t="n"/>
      <c r="AJ77" s="176" t="n"/>
      <c r="AK77" s="176" t="n"/>
      <c r="AL77" s="176" t="n"/>
      <c r="AM77" s="176" t="n"/>
      <c r="AN77" s="176" t="n"/>
      <c r="AO77" s="176" t="n"/>
      <c r="AP77" s="176" t="n"/>
      <c r="AQ77" s="176" t="n"/>
      <c r="AR77" s="176" t="n"/>
      <c r="AS77" s="176" t="n"/>
      <c r="AT77" s="176" t="n"/>
      <c r="AU77" s="176" t="n"/>
      <c r="AV77" s="176" t="n"/>
      <c r="AW77" s="176" t="n"/>
      <c r="AX77" s="176" t="n"/>
      <c r="AY77" s="176" t="n"/>
      <c r="AZ77" s="176" t="n"/>
      <c r="BA77" s="176" t="n"/>
      <c r="BH77" s="176" t="n"/>
      <c r="BI77" s="176" t="n"/>
      <c r="BP77" s="176" t="n"/>
      <c r="BQ77" s="176" t="n"/>
      <c r="BR77" s="176" t="n"/>
      <c r="BY77" s="176" t="n"/>
      <c r="BZ77" s="176" t="n"/>
      <c r="CG77" s="176" t="n"/>
      <c r="CH77" s="176" t="n"/>
      <c r="CI77" s="176" t="n"/>
      <c r="CJ77" s="189" t="n"/>
      <c r="CK77" s="190" t="n"/>
      <c r="CL77" s="190" t="n"/>
      <c r="CM77" s="190" t="n"/>
      <c r="CN77" s="190" t="n"/>
      <c r="CO77" s="191" t="n"/>
      <c r="CP77" s="176" t="n"/>
      <c r="CQ77" s="176" t="n"/>
      <c r="CR77" s="189" t="n"/>
      <c r="CS77" s="190" t="n"/>
      <c r="CT77" s="190" t="n"/>
      <c r="CU77" s="190" t="n"/>
      <c r="CV77" s="190" t="n"/>
      <c r="CW77" s="191" t="n"/>
      <c r="CX77" s="176" t="n"/>
      <c r="CY77" s="176" t="n"/>
      <c r="CZ77" s="176" t="n"/>
      <c r="DA77" s="189" t="n"/>
      <c r="DB77" s="190" t="n"/>
      <c r="DC77" s="190" t="n"/>
      <c r="DD77" s="190" t="n"/>
      <c r="DE77" s="190" t="n"/>
      <c r="DF77" s="191" t="n"/>
      <c r="DG77" s="176" t="n"/>
      <c r="DH77" s="176" t="n"/>
      <c r="DI77" s="189" t="n"/>
      <c r="DJ77" s="190" t="n"/>
      <c r="DK77" s="190" t="n"/>
      <c r="DL77" s="190" t="n"/>
      <c r="DM77" s="190" t="n"/>
      <c r="DN77" s="191" t="n"/>
      <c r="DO77" s="176" t="n"/>
      <c r="DP77" s="176" t="n"/>
      <c r="DQ77" s="176" t="n"/>
      <c r="DR77" s="179" t="inlineStr">
        <is>
          <t>RESTRIÇÃO · 7</t>
        </is>
      </c>
      <c r="DX77" s="176" t="n"/>
      <c r="DY77" s="176" t="n"/>
      <c r="DZ77" s="179" t="inlineStr">
        <is>
          <t>RESTRIÇÃO · 8</t>
        </is>
      </c>
      <c r="EF77" s="176" t="n"/>
      <c r="EG77" s="176" t="n"/>
      <c r="EH77" s="176" t="n"/>
      <c r="EI77" s="189" t="n"/>
      <c r="EJ77" s="190" t="n"/>
      <c r="EK77" s="190" t="n"/>
      <c r="EL77" s="190" t="n"/>
      <c r="EM77" s="190" t="n"/>
      <c r="EN77" s="191" t="n"/>
      <c r="EO77" s="176" t="n"/>
      <c r="EP77" s="176" t="n"/>
      <c r="EQ77" s="189" t="n"/>
      <c r="ER77" s="190" t="n"/>
      <c r="ES77" s="190" t="n"/>
      <c r="ET77" s="190" t="n"/>
      <c r="EU77" s="190" t="n"/>
      <c r="EV77" s="191" t="n"/>
      <c r="EW77" s="176" t="n"/>
      <c r="EX77" s="176" t="n"/>
      <c r="EY77" s="176" t="n"/>
      <c r="EZ77" s="181" t="inlineStr">
        <is>
          <t>ALC · E · 1 a 5</t>
        </is>
      </c>
      <c r="FA77" s="182" t="n"/>
      <c r="FB77" s="183" t="n"/>
      <c r="FC77" s="185" t="n"/>
      <c r="FD77" s="182" t="n"/>
      <c r="FE77" s="183" t="n"/>
      <c r="FF77" s="176" t="n"/>
      <c r="FG77" s="176" t="n"/>
      <c r="FH77" s="181" t="inlineStr">
        <is>
          <t>ALC · E · 1 a 5</t>
        </is>
      </c>
      <c r="FI77" s="182" t="n"/>
      <c r="FJ77" s="183" t="n"/>
      <c r="FK77" s="185" t="n"/>
      <c r="FL77" s="182" t="n"/>
      <c r="FM77" s="183" t="n"/>
      <c r="FN77" s="176" t="n"/>
      <c r="FO77" s="176" t="n"/>
      <c r="FP77" s="176" t="n"/>
      <c r="FQ77" s="181" t="inlineStr">
        <is>
          <t>REQUISITOS</t>
        </is>
      </c>
      <c r="FR77" s="182" t="n"/>
      <c r="FS77" s="182" t="n"/>
      <c r="FT77" s="182" t="n"/>
      <c r="FU77" s="182" t="n"/>
      <c r="FV77" s="183" t="n"/>
      <c r="FW77" s="176" t="n"/>
      <c r="FX77" s="176" t="n"/>
      <c r="FY77" s="181" t="inlineStr">
        <is>
          <t>REQUISITOS</t>
        </is>
      </c>
      <c r="FZ77" s="182" t="n"/>
      <c r="GA77" s="182" t="n"/>
      <c r="GB77" s="182" t="n"/>
      <c r="GC77" s="182" t="n"/>
      <c r="GD77" s="183" t="n"/>
      <c r="GE77" s="176" t="n"/>
      <c r="GF77" s="176" t="n"/>
      <c r="GG77" s="176" t="n"/>
      <c r="GH77" s="181" t="inlineStr">
        <is>
          <t>EFEITO</t>
        </is>
      </c>
      <c r="GI77" s="182" t="n"/>
      <c r="GJ77" s="182" t="n"/>
      <c r="GK77" s="182" t="n"/>
      <c r="GL77" s="182" t="n"/>
      <c r="GM77" s="183" t="n"/>
      <c r="GN77" s="176" t="n"/>
      <c r="GO77" s="176" t="n"/>
      <c r="GP77" s="181" t="inlineStr">
        <is>
          <t>EFEITO</t>
        </is>
      </c>
      <c r="GQ77" s="182" t="n"/>
      <c r="GR77" s="182" t="n"/>
      <c r="GS77" s="182" t="n"/>
      <c r="GT77" s="182" t="n"/>
      <c r="GU77" s="183" t="n"/>
      <c r="GV77" s="176" t="n"/>
      <c r="GW77" s="176" t="n"/>
      <c r="GX77" s="176" t="n"/>
      <c r="GY77" s="176" t="n"/>
      <c r="GZ77" s="176" t="n"/>
      <c r="HA77" s="176" t="n"/>
      <c r="HB77" s="176" t="n"/>
      <c r="HC77" s="176" t="n"/>
      <c r="HD77" s="176" t="n"/>
      <c r="HE77" s="176" t="n"/>
      <c r="HF77" s="176" t="n"/>
      <c r="HG77" s="176" t="n"/>
      <c r="HH77" s="176" t="n"/>
      <c r="HI77" s="176" t="n"/>
      <c r="HJ77" s="176" t="n"/>
      <c r="HK77" s="176" t="n"/>
      <c r="HL77" s="176" t="n"/>
      <c r="HM77" s="176" t="n"/>
      <c r="HN77" s="176" t="n"/>
      <c r="HO77" s="176" t="n"/>
      <c r="HP77" s="176" t="n"/>
      <c r="HQ77" s="176" t="n"/>
      <c r="HR77" s="176" t="n"/>
      <c r="HS77" s="176" t="n"/>
      <c r="HT77" s="176" t="n"/>
      <c r="HU77" s="176" t="n"/>
      <c r="HV77" s="176" t="n"/>
      <c r="HW77" s="176" t="n"/>
      <c r="HX77" s="176" t="n"/>
      <c r="HY77" s="176" t="n"/>
      <c r="HZ77" s="176" t="n"/>
      <c r="IA77" s="176" t="n"/>
      <c r="IB77" s="176" t="n"/>
      <c r="IC77" s="176" t="n"/>
      <c r="ID77" s="176" t="n"/>
    </row>
    <row r="78" ht="21" customHeight="1">
      <c r="A78" s="176" t="n"/>
      <c r="B78" s="176" t="n"/>
      <c r="C78" s="186" t="n">
        <v>14</v>
      </c>
      <c r="D78" s="183" t="n"/>
      <c r="E78" s="186" t="n">
        <v>1100</v>
      </c>
      <c r="F78" s="185" t="n"/>
      <c r="G78" s="186">
        <f>IF(F78="",IF(E78="","",E78),IF(IFERROR(AND(ISNUMBER(F78),F78&gt;=0,INT(F78)=F78),FALSE),F78,NA()))</f>
        <v/>
      </c>
      <c r="H78" s="186">
        <f>DADOS_CONFIG!Z15</f>
        <v/>
      </c>
      <c r="I78" s="176" t="n"/>
      <c r="J78" s="176" t="n"/>
      <c r="K78" s="176" t="n"/>
      <c r="L78" s="176" t="n"/>
      <c r="M78" s="176" t="n"/>
      <c r="N78" s="176" t="n"/>
      <c r="O78" s="176" t="n"/>
      <c r="P78" s="176" t="n"/>
      <c r="Q78" s="176" t="n"/>
      <c r="R78" s="176" t="n"/>
      <c r="S78" s="176" t="n"/>
      <c r="T78" s="181">
        <f>SWITCH('CONFIGURAÇÃO'!$T$72,"Origem","PERÍCIA 4","Marcante","","Menor","","Arma","PROPRIEDADE 1","Escudo","","Uniforme","","Item comum","","Ferramenta amaldiçoada","","")</f>
        <v/>
      </c>
      <c r="U78" s="183" t="n"/>
      <c r="V78" s="185" t="n"/>
      <c r="W78" s="182" t="n"/>
      <c r="X78" s="182" t="n"/>
      <c r="Y78" s="183" t="n"/>
      <c r="Z78" s="176" t="n"/>
      <c r="AA78" s="176" t="n"/>
      <c r="AB78" s="181">
        <f>SWITCH('CONFIGURAÇÃO'!$AB$72,"Origem","PERÍCIA 4","Marcante","","Menor","","Arma","PROPRIEDADE 1","Escudo","","Uniforme","","Item comum","","Ferramenta amaldiçoada","","")</f>
        <v/>
      </c>
      <c r="AC78" s="183" t="n"/>
      <c r="AD78" s="185" t="n"/>
      <c r="AE78" s="182" t="n"/>
      <c r="AF78" s="182" t="n"/>
      <c r="AG78" s="183" t="n"/>
      <c r="AH78" s="176" t="n"/>
      <c r="AI78" s="176" t="n"/>
      <c r="AJ78" s="176" t="n"/>
      <c r="AK78" s="176" t="n"/>
      <c r="AL78" s="176" t="n"/>
      <c r="AM78" s="176" t="n"/>
      <c r="AN78" s="176" t="n"/>
      <c r="AO78" s="176" t="n"/>
      <c r="AP78" s="176" t="n"/>
      <c r="AQ78" s="176" t="n"/>
      <c r="AR78" s="176" t="n"/>
      <c r="AS78" s="176" t="n"/>
      <c r="AT78" s="176" t="n"/>
      <c r="AU78" s="176" t="n"/>
      <c r="AV78" s="176" t="n"/>
      <c r="AW78" s="176" t="n"/>
      <c r="AX78" s="176" t="n"/>
      <c r="AY78" s="176" t="n"/>
      <c r="AZ78" s="176" t="n"/>
      <c r="BA78" s="176" t="n"/>
      <c r="BB78" s="176" t="n"/>
      <c r="BC78" s="176" t="n"/>
      <c r="BD78" s="176" t="n"/>
      <c r="BE78" s="176" t="n"/>
      <c r="BF78" s="176" t="n"/>
      <c r="BG78" s="176" t="n"/>
      <c r="BH78" s="176" t="n"/>
      <c r="BI78" s="176" t="n"/>
      <c r="BJ78" s="176" t="n"/>
      <c r="BK78" s="176" t="n"/>
      <c r="BL78" s="176" t="n"/>
      <c r="BM78" s="176" t="n"/>
      <c r="BN78" s="176" t="n"/>
      <c r="BO78" s="176" t="n"/>
      <c r="BP78" s="176" t="n"/>
      <c r="BQ78" s="176" t="n"/>
      <c r="BR78" s="176" t="n"/>
      <c r="BS78" s="176" t="n"/>
      <c r="BT78" s="176" t="n"/>
      <c r="BU78" s="176" t="n"/>
      <c r="BV78" s="176" t="n"/>
      <c r="BW78" s="176" t="n"/>
      <c r="BX78" s="176" t="n"/>
      <c r="BY78" s="176" t="n"/>
      <c r="BZ78" s="176" t="n"/>
      <c r="CA78" s="176" t="n"/>
      <c r="CB78" s="176" t="n"/>
      <c r="CC78" s="176" t="n"/>
      <c r="CD78" s="176" t="n"/>
      <c r="CE78" s="176" t="n"/>
      <c r="CF78" s="176" t="n"/>
      <c r="CG78" s="176" t="n"/>
      <c r="CH78" s="176" t="n"/>
      <c r="CI78" s="176" t="n"/>
      <c r="CJ78" s="176" t="n"/>
      <c r="CK78" s="176" t="n"/>
      <c r="CL78" s="176" t="n"/>
      <c r="CM78" s="176" t="n"/>
      <c r="CN78" s="176" t="n"/>
      <c r="CO78" s="176" t="n"/>
      <c r="CP78" s="176" t="n"/>
      <c r="CQ78" s="176" t="n"/>
      <c r="CR78" s="176" t="n"/>
      <c r="CS78" s="176" t="n"/>
      <c r="CT78" s="176" t="n"/>
      <c r="CU78" s="176" t="n"/>
      <c r="CV78" s="176" t="n"/>
      <c r="CW78" s="176" t="n"/>
      <c r="CX78" s="176" t="n"/>
      <c r="CY78" s="176" t="n"/>
      <c r="CZ78" s="176" t="n"/>
      <c r="DA78" s="176" t="n"/>
      <c r="DB78" s="176" t="n"/>
      <c r="DC78" s="176" t="n"/>
      <c r="DD78" s="176" t="n"/>
      <c r="DE78" s="176" t="n"/>
      <c r="DF78" s="176" t="n"/>
      <c r="DG78" s="176" t="n"/>
      <c r="DH78" s="176" t="n"/>
      <c r="DI78" s="176" t="n"/>
      <c r="DJ78" s="176" t="n"/>
      <c r="DK78" s="176" t="n"/>
      <c r="DL78" s="176" t="n"/>
      <c r="DM78" s="176" t="n"/>
      <c r="DN78" s="176" t="n"/>
      <c r="DO78" s="176" t="n"/>
      <c r="DP78" s="176" t="n"/>
      <c r="DQ78" s="176" t="n"/>
      <c r="DR78" s="181" t="inlineStr">
        <is>
          <t>TIPO</t>
        </is>
      </c>
      <c r="DS78" s="182" t="n"/>
      <c r="DT78" s="182" t="n"/>
      <c r="DU78" s="183" t="n"/>
      <c r="DV78" s="181" t="inlineStr">
        <is>
          <t>MESTRE VIU</t>
        </is>
      </c>
      <c r="DW78" s="183" t="n"/>
      <c r="DX78" s="176" t="n"/>
      <c r="DY78" s="176" t="n"/>
      <c r="DZ78" s="181" t="inlineStr">
        <is>
          <t>TIPO</t>
        </is>
      </c>
      <c r="EA78" s="182" t="n"/>
      <c r="EB78" s="182" t="n"/>
      <c r="EC78" s="183" t="n"/>
      <c r="ED78" s="181" t="inlineStr">
        <is>
          <t>MESTRE VIU</t>
        </is>
      </c>
      <c r="EE78" s="183" t="n"/>
      <c r="EF78" s="176" t="n"/>
      <c r="EG78" s="176" t="n"/>
      <c r="EH78" s="176" t="n"/>
      <c r="EI78" s="176" t="n"/>
      <c r="EJ78" s="176" t="n"/>
      <c r="EK78" s="176" t="n"/>
      <c r="EL78" s="176" t="n"/>
      <c r="EM78" s="176" t="n"/>
      <c r="EN78" s="176" t="n"/>
      <c r="EO78" s="176" t="n"/>
      <c r="EP78" s="176" t="n"/>
      <c r="EQ78" s="176" t="n"/>
      <c r="ER78" s="176" t="n"/>
      <c r="ES78" s="176" t="n"/>
      <c r="ET78" s="176" t="n"/>
      <c r="EU78" s="176" t="n"/>
      <c r="EV78" s="176" t="n"/>
      <c r="EW78" s="176" t="n"/>
      <c r="EX78" s="176" t="n"/>
      <c r="EY78" s="176" t="n"/>
      <c r="EZ78" s="181" t="inlineStr">
        <is>
          <t>ALC · E · 6</t>
        </is>
      </c>
      <c r="FA78" s="182" t="n"/>
      <c r="FB78" s="183" t="n"/>
      <c r="FC78" s="185" t="n"/>
      <c r="FD78" s="182" t="n"/>
      <c r="FE78" s="183" t="n"/>
      <c r="FF78" s="176" t="n"/>
      <c r="FG78" s="176" t="n"/>
      <c r="FH78" s="181" t="inlineStr">
        <is>
          <t>ALC · E · 6</t>
        </is>
      </c>
      <c r="FI78" s="182" t="n"/>
      <c r="FJ78" s="183" t="n"/>
      <c r="FK78" s="185" t="n"/>
      <c r="FL78" s="182" t="n"/>
      <c r="FM78" s="183" t="n"/>
      <c r="FN78" s="176" t="n"/>
      <c r="FO78" s="176" t="n"/>
      <c r="FP78" s="176" t="n"/>
      <c r="FQ78" s="192" t="n"/>
      <c r="FR78" s="187" t="n"/>
      <c r="FS78" s="187" t="n"/>
      <c r="FT78" s="187" t="n"/>
      <c r="FU78" s="187" t="n"/>
      <c r="FV78" s="188" t="n"/>
      <c r="FW78" s="176" t="n"/>
      <c r="FX78" s="176" t="n"/>
      <c r="FY78" s="192" t="n"/>
      <c r="FZ78" s="187" t="n"/>
      <c r="GA78" s="187" t="n"/>
      <c r="GB78" s="187" t="n"/>
      <c r="GC78" s="187" t="n"/>
      <c r="GD78" s="188" t="n"/>
      <c r="GE78" s="176" t="n"/>
      <c r="GF78" s="176" t="n"/>
      <c r="GG78" s="176" t="n"/>
      <c r="GH78" s="192" t="n"/>
      <c r="GI78" s="187" t="n"/>
      <c r="GJ78" s="187" t="n"/>
      <c r="GK78" s="187" t="n"/>
      <c r="GL78" s="187" t="n"/>
      <c r="GM78" s="188" t="n"/>
      <c r="GN78" s="176" t="n"/>
      <c r="GO78" s="176" t="n"/>
      <c r="GP78" s="192" t="n"/>
      <c r="GQ78" s="187" t="n"/>
      <c r="GR78" s="187" t="n"/>
      <c r="GS78" s="187" t="n"/>
      <c r="GT78" s="187" t="n"/>
      <c r="GU78" s="188" t="n"/>
      <c r="GV78" s="176" t="n"/>
      <c r="GW78" s="176" t="n"/>
      <c r="GX78" s="176" t="n"/>
      <c r="GY78" s="181" t="inlineStr">
        <is>
          <t>DEFINIÇÃO</t>
        </is>
      </c>
      <c r="GZ78" s="182" t="n"/>
      <c r="HA78" s="182" t="n"/>
      <c r="HB78" s="182" t="n"/>
      <c r="HC78" s="182" t="n"/>
      <c r="HD78" s="183" t="n"/>
      <c r="HE78" s="176" t="n"/>
      <c r="HF78" s="176" t="n"/>
      <c r="HG78" s="181" t="inlineStr">
        <is>
          <t>DEFINIÇÃO</t>
        </is>
      </c>
      <c r="HH78" s="182" t="n"/>
      <c r="HI78" s="182" t="n"/>
      <c r="HJ78" s="182" t="n"/>
      <c r="HK78" s="182" t="n"/>
      <c r="HL78" s="183" t="n"/>
      <c r="HM78" s="176" t="n"/>
      <c r="HN78" s="176" t="n"/>
      <c r="HO78" s="176" t="n"/>
      <c r="HP78" s="181" t="inlineStr">
        <is>
          <t>REQUISITOS</t>
        </is>
      </c>
      <c r="HQ78" s="182" t="n"/>
      <c r="HR78" s="182" t="n"/>
      <c r="HS78" s="182" t="n"/>
      <c r="HT78" s="182" t="n"/>
      <c r="HU78" s="183" t="n"/>
      <c r="HV78" s="176" t="n"/>
      <c r="HW78" s="176" t="n"/>
      <c r="HX78" s="181" t="inlineStr">
        <is>
          <t>REQUISITOS</t>
        </is>
      </c>
      <c r="HY78" s="182" t="n"/>
      <c r="HZ78" s="182" t="n"/>
      <c r="IA78" s="182" t="n"/>
      <c r="IB78" s="182" t="n"/>
      <c r="IC78" s="183" t="n"/>
      <c r="ID78" s="176" t="n"/>
    </row>
    <row r="79" ht="21" customHeight="1">
      <c r="A79" s="176" t="n"/>
      <c r="B79" s="176" t="n"/>
      <c r="C79" s="186" t="n">
        <v>15</v>
      </c>
      <c r="D79" s="183" t="n"/>
      <c r="E79" s="186" t="n">
        <v>1100</v>
      </c>
      <c r="F79" s="185" t="n"/>
      <c r="G79" s="186">
        <f>IF(F79="",IF(E79="","",E79),IF(IFERROR(AND(ISNUMBER(F79),F79&gt;=0,INT(F79)=F79),FALSE),F79,NA()))</f>
        <v/>
      </c>
      <c r="H79" s="186">
        <f>DADOS_CONFIG!Z16</f>
        <v/>
      </c>
      <c r="I79" s="176" t="n"/>
      <c r="J79" s="176" t="n"/>
      <c r="K79" s="176" t="n"/>
      <c r="L79" s="176" t="n"/>
      <c r="M79" s="176" t="n"/>
      <c r="N79" s="176" t="n"/>
      <c r="O79" s="176" t="n"/>
      <c r="P79" s="176" t="n"/>
      <c r="Q79" s="176" t="n"/>
      <c r="R79" s="176" t="n"/>
      <c r="S79" s="176" t="n"/>
      <c r="T79" s="181">
        <f>SWITCH('CONFIGURAÇÃO'!$T$72,"Origem","ROTA","Marcante","","Menor","","Arma","PROPRIEDADE 2","Escudo","","Uniforme","","Item comum","","Ferramenta amaldiçoada","","")</f>
        <v/>
      </c>
      <c r="U79" s="183" t="n"/>
      <c r="V79" s="185" t="n"/>
      <c r="W79" s="182" t="n"/>
      <c r="X79" s="182" t="n"/>
      <c r="Y79" s="183" t="n"/>
      <c r="Z79" s="176" t="n"/>
      <c r="AA79" s="176" t="n"/>
      <c r="AB79" s="181">
        <f>SWITCH('CONFIGURAÇÃO'!$AB$72,"Origem","ROTA","Marcante","","Menor","","Arma","PROPRIEDADE 2","Escudo","","Uniforme","","Item comum","","Ferramenta amaldiçoada","","")</f>
        <v/>
      </c>
      <c r="AC79" s="183" t="n"/>
      <c r="AD79" s="185" t="n"/>
      <c r="AE79" s="182" t="n"/>
      <c r="AF79" s="182" t="n"/>
      <c r="AG79" s="183" t="n"/>
      <c r="AH79" s="176" t="n"/>
      <c r="AI79" s="176" t="n"/>
      <c r="AJ79" s="176" t="n"/>
      <c r="AK79" s="176" t="n"/>
      <c r="AL79" s="176" t="n"/>
      <c r="AM79" s="176" t="n"/>
      <c r="AN79" s="176" t="n"/>
      <c r="AO79" s="176" t="n"/>
      <c r="AP79" s="176" t="n"/>
      <c r="AQ79" s="176" t="n"/>
      <c r="AR79" s="176" t="n"/>
      <c r="AS79" s="176" t="n"/>
      <c r="AT79" s="176" t="n"/>
      <c r="AU79" s="176" t="n"/>
      <c r="AV79" s="176" t="n"/>
      <c r="AW79" s="176" t="n"/>
      <c r="AX79" s="176" t="n"/>
      <c r="AY79" s="176" t="n"/>
      <c r="AZ79" s="176" t="n"/>
      <c r="BA79" s="176" t="n"/>
      <c r="BB79" s="176" t="n"/>
      <c r="BC79" s="176" t="n"/>
      <c r="BD79" s="176" t="n"/>
      <c r="BE79" s="176" t="n"/>
      <c r="BF79" s="176" t="n"/>
      <c r="BG79" s="176" t="n"/>
      <c r="BH79" s="176" t="n"/>
      <c r="BI79" s="176" t="n"/>
      <c r="BJ79" s="176" t="n"/>
      <c r="BK79" s="176" t="n"/>
      <c r="BL79" s="176" t="n"/>
      <c r="BM79" s="176" t="n"/>
      <c r="BN79" s="176" t="n"/>
      <c r="BO79" s="176" t="n"/>
      <c r="BP79" s="176" t="n"/>
      <c r="BQ79" s="176" t="n"/>
      <c r="BR79" s="176" t="n"/>
      <c r="BS79" s="176" t="n"/>
      <c r="BT79" s="176" t="n"/>
      <c r="BU79" s="176" t="n"/>
      <c r="BV79" s="176" t="n"/>
      <c r="BW79" s="176" t="n"/>
      <c r="BX79" s="176" t="n"/>
      <c r="BY79" s="176" t="n"/>
      <c r="BZ79" s="176" t="n"/>
      <c r="CA79" s="176" t="n"/>
      <c r="CB79" s="176" t="n"/>
      <c r="CC79" s="176" t="n"/>
      <c r="CD79" s="176" t="n"/>
      <c r="CE79" s="176" t="n"/>
      <c r="CF79" s="176" t="n"/>
      <c r="CG79" s="176" t="n"/>
      <c r="CH79" s="176" t="n"/>
      <c r="CI79" s="176" t="n"/>
      <c r="CJ79" s="180">
        <f>IF('DADOS_CRIACAO'!$F$10="","","⚠ "&amp;'DADOS_CRIACAO'!$F$10)</f>
        <v/>
      </c>
      <c r="CP79" s="176" t="n"/>
      <c r="CQ79" s="176" t="n"/>
      <c r="CR79" s="180">
        <f>IF('DADOS_CRIACAO'!$F$11="","","⚠ "&amp;'DADOS_CRIACAO'!$F$11)</f>
        <v/>
      </c>
      <c r="CX79" s="176" t="n"/>
      <c r="CY79" s="176" t="n"/>
      <c r="CZ79" s="176" t="n"/>
      <c r="DA79" s="181" t="inlineStr">
        <is>
          <t>EFEITO</t>
        </is>
      </c>
      <c r="DB79" s="182" t="n"/>
      <c r="DC79" s="182" t="n"/>
      <c r="DD79" s="182" t="n"/>
      <c r="DE79" s="182" t="n"/>
      <c r="DF79" s="183" t="n"/>
      <c r="DG79" s="176" t="n"/>
      <c r="DH79" s="176" t="n"/>
      <c r="DI79" s="181" t="inlineStr">
        <is>
          <t>EFEITO</t>
        </is>
      </c>
      <c r="DJ79" s="182" t="n"/>
      <c r="DK79" s="182" t="n"/>
      <c r="DL79" s="182" t="n"/>
      <c r="DM79" s="182" t="n"/>
      <c r="DN79" s="183" t="n"/>
      <c r="DO79" s="176" t="n"/>
      <c r="DP79" s="176" t="n"/>
      <c r="DQ79" s="176" t="n"/>
      <c r="DR79" s="185" t="inlineStr">
        <is>
          <t>Restrição</t>
        </is>
      </c>
      <c r="DS79" s="182" t="n"/>
      <c r="DT79" s="182" t="n"/>
      <c r="DU79" s="183" t="n"/>
      <c r="DV79" s="184" t="b">
        <v>0</v>
      </c>
      <c r="DW79" s="183" t="n"/>
      <c r="DX79" s="176" t="n"/>
      <c r="DY79" s="176" t="n"/>
      <c r="DZ79" s="185" t="inlineStr">
        <is>
          <t>Restrição</t>
        </is>
      </c>
      <c r="EA79" s="182" t="n"/>
      <c r="EB79" s="182" t="n"/>
      <c r="EC79" s="183" t="n"/>
      <c r="ED79" s="184" t="b">
        <v>0</v>
      </c>
      <c r="EE79" s="183" t="n"/>
      <c r="EF79" s="176" t="n"/>
      <c r="EG79" s="176" t="n"/>
      <c r="EH79" s="176" t="n"/>
      <c r="EI79" s="181" t="inlineStr">
        <is>
          <t>EFEITO E REQUISITOS</t>
        </is>
      </c>
      <c r="EJ79" s="182" t="n"/>
      <c r="EK79" s="182" t="n"/>
      <c r="EL79" s="182" t="n"/>
      <c r="EM79" s="182" t="n"/>
      <c r="EN79" s="183" t="n"/>
      <c r="EO79" s="176" t="n"/>
      <c r="EP79" s="176" t="n"/>
      <c r="EQ79" s="181" t="inlineStr">
        <is>
          <t>EFEITO E REQUISITOS</t>
        </is>
      </c>
      <c r="ER79" s="182" t="n"/>
      <c r="ES79" s="182" t="n"/>
      <c r="ET79" s="182" t="n"/>
      <c r="EU79" s="182" t="n"/>
      <c r="EV79" s="183" t="n"/>
      <c r="EW79" s="176" t="n"/>
      <c r="EX79" s="176" t="n"/>
      <c r="EY79" s="176" t="n"/>
      <c r="EZ79" s="181" t="inlineStr">
        <is>
          <t>ALC · E · 7</t>
        </is>
      </c>
      <c r="FA79" s="182" t="n"/>
      <c r="FB79" s="183" t="n"/>
      <c r="FC79" s="185" t="n"/>
      <c r="FD79" s="182" t="n"/>
      <c r="FE79" s="183" t="n"/>
      <c r="FF79" s="176" t="n"/>
      <c r="FG79" s="176" t="n"/>
      <c r="FH79" s="181" t="inlineStr">
        <is>
          <t>ALC · E · 7</t>
        </is>
      </c>
      <c r="FI79" s="182" t="n"/>
      <c r="FJ79" s="183" t="n"/>
      <c r="FK79" s="185" t="n"/>
      <c r="FL79" s="182" t="n"/>
      <c r="FM79" s="183" t="n"/>
      <c r="FN79" s="176" t="n"/>
      <c r="FO79" s="176" t="n"/>
      <c r="FP79" s="176" t="n"/>
      <c r="FQ79" s="193" t="n"/>
      <c r="FV79" s="194" t="n"/>
      <c r="FW79" s="176" t="n"/>
      <c r="FX79" s="176" t="n"/>
      <c r="FY79" s="193" t="n"/>
      <c r="GD79" s="194" t="n"/>
      <c r="GE79" s="176" t="n"/>
      <c r="GF79" s="176" t="n"/>
      <c r="GG79" s="176" t="n"/>
      <c r="GH79" s="193" t="n"/>
      <c r="GM79" s="194" t="n"/>
      <c r="GN79" s="176" t="n"/>
      <c r="GO79" s="176" t="n"/>
      <c r="GP79" s="193" t="n"/>
      <c r="GU79" s="194" t="n"/>
      <c r="GV79" s="176" t="n"/>
      <c r="GW79" s="176" t="n"/>
      <c r="GX79" s="176" t="n"/>
      <c r="GY79" s="192" t="n"/>
      <c r="GZ79" s="187" t="n"/>
      <c r="HA79" s="187" t="n"/>
      <c r="HB79" s="187" t="n"/>
      <c r="HC79" s="187" t="n"/>
      <c r="HD79" s="188" t="n"/>
      <c r="HE79" s="176" t="n"/>
      <c r="HF79" s="176" t="n"/>
      <c r="HG79" s="192" t="n"/>
      <c r="HH79" s="187" t="n"/>
      <c r="HI79" s="187" t="n"/>
      <c r="HJ79" s="187" t="n"/>
      <c r="HK79" s="187" t="n"/>
      <c r="HL79" s="188" t="n"/>
      <c r="HM79" s="176" t="n"/>
      <c r="HN79" s="176" t="n"/>
      <c r="HO79" s="176" t="n"/>
      <c r="HP79" s="192" t="n"/>
      <c r="HQ79" s="187" t="n"/>
      <c r="HR79" s="187" t="n"/>
      <c r="HS79" s="187" t="n"/>
      <c r="HT79" s="187" t="n"/>
      <c r="HU79" s="188" t="n"/>
      <c r="HV79" s="176" t="n"/>
      <c r="HW79" s="176" t="n"/>
      <c r="HX79" s="192" t="n"/>
      <c r="HY79" s="187" t="n"/>
      <c r="HZ79" s="187" t="n"/>
      <c r="IA79" s="187" t="n"/>
      <c r="IB79" s="187" t="n"/>
      <c r="IC79" s="188" t="n"/>
      <c r="ID79" s="176" t="n"/>
    </row>
    <row r="80" ht="21" customHeight="1">
      <c r="A80" s="176" t="n"/>
      <c r="B80" s="176" t="n"/>
      <c r="C80" s="186" t="n">
        <v>16</v>
      </c>
      <c r="D80" s="183" t="n"/>
      <c r="E80" s="186" t="n">
        <v>1100</v>
      </c>
      <c r="F80" s="185" t="n"/>
      <c r="G80" s="186">
        <f>IF(F80="",IF(E80="","",E80),IF(IFERROR(AND(ISNUMBER(F80),F80&gt;=0,INT(F80)=F80),FALSE),F80,NA()))</f>
        <v/>
      </c>
      <c r="H80" s="186">
        <f>DADOS_CONFIG!Z17</f>
        <v/>
      </c>
      <c r="I80" s="176" t="n"/>
      <c r="J80" s="176" t="n"/>
      <c r="K80" s="176" t="n"/>
      <c r="L80" s="176" t="n"/>
      <c r="M80" s="176" t="n"/>
      <c r="N80" s="176" t="n"/>
      <c r="O80" s="176" t="n"/>
      <c r="P80" s="176" t="n"/>
      <c r="Q80" s="176" t="n"/>
      <c r="R80" s="176" t="n"/>
      <c r="S80" s="176" t="n"/>
      <c r="T80" s="181">
        <f>SWITCH('CONFIGURAÇÃO'!$T$72,"Origem","BASE DO LIVRO","Marcante","","Menor","","Arma","PROPRIEDADE 3","Escudo","","Uniforme","","Item comum","","Ferramenta amaldiçoada","","")</f>
        <v/>
      </c>
      <c r="U80" s="183" t="n"/>
      <c r="V80" s="185" t="n"/>
      <c r="W80" s="182" t="n"/>
      <c r="X80" s="182" t="n"/>
      <c r="Y80" s="183" t="n"/>
      <c r="Z80" s="176" t="n"/>
      <c r="AA80" s="176" t="n"/>
      <c r="AB80" s="181">
        <f>SWITCH('CONFIGURAÇÃO'!$AB$72,"Origem","BASE DO LIVRO","Marcante","","Menor","","Arma","PROPRIEDADE 3","Escudo","","Uniforme","","Item comum","","Ferramenta amaldiçoada","","")</f>
        <v/>
      </c>
      <c r="AC80" s="183" t="n"/>
      <c r="AD80" s="185" t="n"/>
      <c r="AE80" s="182" t="n"/>
      <c r="AF80" s="182" t="n"/>
      <c r="AG80" s="183" t="n"/>
      <c r="AH80" s="176" t="n"/>
      <c r="AI80" s="176" t="n"/>
      <c r="AJ80" s="176" t="n"/>
      <c r="AK80" s="176" t="n"/>
      <c r="AL80" s="176" t="n"/>
      <c r="AM80" s="176" t="n"/>
      <c r="AN80" s="176" t="n"/>
      <c r="AO80" s="176" t="n"/>
      <c r="AP80" s="176" t="n"/>
      <c r="AQ80" s="176" t="n"/>
      <c r="AR80" s="176" t="n"/>
      <c r="AS80" s="176" t="n"/>
      <c r="AT80" s="176" t="n"/>
      <c r="AU80" s="176" t="n"/>
      <c r="AV80" s="176" t="n"/>
      <c r="AW80" s="176" t="n"/>
      <c r="AX80" s="176" t="n"/>
      <c r="AY80" s="176" t="n"/>
      <c r="AZ80" s="176" t="n"/>
      <c r="BA80" s="176" t="n"/>
      <c r="BB80" s="176" t="n"/>
      <c r="BC80" s="176" t="n"/>
      <c r="BD80" s="176" t="n"/>
      <c r="BE80" s="176" t="n"/>
      <c r="BF80" s="176" t="n"/>
      <c r="BG80" s="176" t="n"/>
      <c r="BH80" s="176" t="n"/>
      <c r="BI80" s="176" t="n"/>
      <c r="BJ80" s="176" t="n"/>
      <c r="BK80" s="176" t="n"/>
      <c r="BL80" s="176" t="n"/>
      <c r="BM80" s="176" t="n"/>
      <c r="BN80" s="176" t="n"/>
      <c r="BO80" s="176" t="n"/>
      <c r="BP80" s="176" t="n"/>
      <c r="BQ80" s="176" t="n"/>
      <c r="BR80" s="176" t="n"/>
      <c r="BS80" s="176" t="n"/>
      <c r="BT80" s="176" t="n"/>
      <c r="BU80" s="176" t="n"/>
      <c r="BV80" s="176" t="n"/>
      <c r="BW80" s="176" t="n"/>
      <c r="BX80" s="176" t="n"/>
      <c r="BY80" s="176" t="n"/>
      <c r="BZ80" s="176" t="n"/>
      <c r="CA80" s="176" t="n"/>
      <c r="CB80" s="176" t="n"/>
      <c r="CC80" s="176" t="n"/>
      <c r="CD80" s="176" t="n"/>
      <c r="CE80" s="176" t="n"/>
      <c r="CF80" s="176" t="n"/>
      <c r="CG80" s="176" t="n"/>
      <c r="CH80" s="176" t="n"/>
      <c r="CI80" s="176" t="n"/>
      <c r="CJ80" s="176" t="n"/>
      <c r="CK80" s="176" t="n"/>
      <c r="CL80" s="176" t="n"/>
      <c r="CM80" s="176" t="n"/>
      <c r="CN80" s="176" t="n"/>
      <c r="CO80" s="176" t="n"/>
      <c r="CP80" s="176" t="n"/>
      <c r="CQ80" s="176" t="n"/>
      <c r="CR80" s="176" t="n"/>
      <c r="CS80" s="176" t="n"/>
      <c r="CT80" s="176" t="n"/>
      <c r="CU80" s="176" t="n"/>
      <c r="CV80" s="176" t="n"/>
      <c r="CW80" s="176" t="n"/>
      <c r="CX80" s="176" t="n"/>
      <c r="CY80" s="176" t="n"/>
      <c r="CZ80" s="176" t="n"/>
      <c r="DA80" s="192" t="n"/>
      <c r="DB80" s="187" t="n"/>
      <c r="DC80" s="187" t="n"/>
      <c r="DD80" s="187" t="n"/>
      <c r="DE80" s="187" t="n"/>
      <c r="DF80" s="188" t="n"/>
      <c r="DG80" s="176" t="n"/>
      <c r="DH80" s="176" t="n"/>
      <c r="DI80" s="192" t="n"/>
      <c r="DJ80" s="187" t="n"/>
      <c r="DK80" s="187" t="n"/>
      <c r="DL80" s="187" t="n"/>
      <c r="DM80" s="187" t="n"/>
      <c r="DN80" s="188" t="n"/>
      <c r="DO80" s="176" t="n"/>
      <c r="DP80" s="176" t="n"/>
      <c r="DQ80" s="176" t="n"/>
      <c r="DR80" s="181" t="inlineStr">
        <is>
          <t>NOME</t>
        </is>
      </c>
      <c r="DS80" s="182" t="n"/>
      <c r="DT80" s="182" t="n"/>
      <c r="DU80" s="182" t="n"/>
      <c r="DV80" s="182" t="n"/>
      <c r="DW80" s="183" t="n"/>
      <c r="DX80" s="176" t="n"/>
      <c r="DY80" s="176" t="n"/>
      <c r="DZ80" s="181" t="inlineStr">
        <is>
          <t>NOME</t>
        </is>
      </c>
      <c r="EA80" s="182" t="n"/>
      <c r="EB80" s="182" t="n"/>
      <c r="EC80" s="182" t="n"/>
      <c r="ED80" s="182" t="n"/>
      <c r="EE80" s="183" t="n"/>
      <c r="EF80" s="176" t="n"/>
      <c r="EG80" s="176" t="n"/>
      <c r="EH80" s="176" t="n"/>
      <c r="EI80" s="192" t="n"/>
      <c r="EJ80" s="187" t="n"/>
      <c r="EK80" s="187" t="n"/>
      <c r="EL80" s="187" t="n"/>
      <c r="EM80" s="187" t="n"/>
      <c r="EN80" s="188" t="n"/>
      <c r="EO80" s="176" t="n"/>
      <c r="EP80" s="176" t="n"/>
      <c r="EQ80" s="192" t="n"/>
      <c r="ER80" s="187" t="n"/>
      <c r="ES80" s="187" t="n"/>
      <c r="ET80" s="187" t="n"/>
      <c r="EU80" s="187" t="n"/>
      <c r="EV80" s="188" t="n"/>
      <c r="EW80" s="176" t="n"/>
      <c r="EX80" s="176" t="n"/>
      <c r="EY80" s="176" t="n"/>
      <c r="EZ80" s="181" t="inlineStr">
        <is>
          <t>ÁREA · P · 0</t>
        </is>
      </c>
      <c r="FA80" s="182" t="n"/>
      <c r="FB80" s="183" t="n"/>
      <c r="FC80" s="185" t="n"/>
      <c r="FD80" s="182" t="n"/>
      <c r="FE80" s="183" t="n"/>
      <c r="FF80" s="176" t="n"/>
      <c r="FG80" s="176" t="n"/>
      <c r="FH80" s="181" t="inlineStr">
        <is>
          <t>ÁREA · P · 0</t>
        </is>
      </c>
      <c r="FI80" s="182" t="n"/>
      <c r="FJ80" s="183" t="n"/>
      <c r="FK80" s="185" t="n"/>
      <c r="FL80" s="182" t="n"/>
      <c r="FM80" s="183" t="n"/>
      <c r="FN80" s="176" t="n"/>
      <c r="FO80" s="176" t="n"/>
      <c r="FP80" s="176" t="n"/>
      <c r="FQ80" s="193" t="n"/>
      <c r="FV80" s="194" t="n"/>
      <c r="FW80" s="176" t="n"/>
      <c r="FX80" s="176" t="n"/>
      <c r="FY80" s="193" t="n"/>
      <c r="GD80" s="194" t="n"/>
      <c r="GE80" s="176" t="n"/>
      <c r="GF80" s="176" t="n"/>
      <c r="GG80" s="176" t="n"/>
      <c r="GH80" s="193" t="n"/>
      <c r="GM80" s="194" t="n"/>
      <c r="GN80" s="176" t="n"/>
      <c r="GO80" s="176" t="n"/>
      <c r="GP80" s="193" t="n"/>
      <c r="GU80" s="194" t="n"/>
      <c r="GV80" s="176" t="n"/>
      <c r="GW80" s="176" t="n"/>
      <c r="GX80" s="176" t="n"/>
      <c r="GY80" s="193" t="n"/>
      <c r="HD80" s="194" t="n"/>
      <c r="HE80" s="176" t="n"/>
      <c r="HF80" s="176" t="n"/>
      <c r="HG80" s="193" t="n"/>
      <c r="HL80" s="194" t="n"/>
      <c r="HM80" s="176" t="n"/>
      <c r="HN80" s="176" t="n"/>
      <c r="HO80" s="176" t="n"/>
      <c r="HP80" s="193" t="n"/>
      <c r="HU80" s="194" t="n"/>
      <c r="HV80" s="176" t="n"/>
      <c r="HW80" s="176" t="n"/>
      <c r="HX80" s="193" t="n"/>
      <c r="IC80" s="194" t="n"/>
      <c r="ID80" s="176" t="n"/>
    </row>
    <row r="81" ht="21" customHeight="1">
      <c r="A81" s="176" t="n"/>
      <c r="B81" s="176" t="n"/>
      <c r="C81" s="186" t="n">
        <v>17</v>
      </c>
      <c r="D81" s="183" t="n"/>
      <c r="E81" s="186" t="n">
        <v>1300</v>
      </c>
      <c r="F81" s="185" t="n"/>
      <c r="G81" s="186">
        <f>IF(F81="",IF(E81="","",E81),IF(IFERROR(AND(ISNUMBER(F81),F81&gt;=0,INT(F81)=F81),FALSE),F81,NA()))</f>
        <v/>
      </c>
      <c r="H81" s="186">
        <f>DADOS_CONFIG!Z18</f>
        <v/>
      </c>
      <c r="I81" s="176" t="n"/>
      <c r="J81" s="176" t="n"/>
      <c r="K81" s="176" t="n"/>
      <c r="L81" s="176" t="n"/>
      <c r="M81" s="176" t="n"/>
      <c r="N81" s="176" t="n"/>
      <c r="O81" s="176" t="n"/>
      <c r="P81" s="176" t="n"/>
      <c r="Q81" s="176" t="n"/>
      <c r="R81" s="176" t="n"/>
      <c r="S81" s="176" t="n"/>
      <c r="T81" s="181">
        <f>SWITCH('CONFIGURAÇÃO'!$T$72,"Origem","OFÍCIO","Marcante","","Menor","","Arma","PROPRIEDADE 4","Escudo","","Uniforme","","Item comum","","Ferramenta amaldiçoada","","")</f>
        <v/>
      </c>
      <c r="U81" s="183" t="n"/>
      <c r="V81" s="185" t="n"/>
      <c r="W81" s="182" t="n"/>
      <c r="X81" s="182" t="n"/>
      <c r="Y81" s="183" t="n"/>
      <c r="Z81" s="176" t="n"/>
      <c r="AA81" s="176" t="n"/>
      <c r="AB81" s="181">
        <f>SWITCH('CONFIGURAÇÃO'!$AB$72,"Origem","OFÍCIO","Marcante","","Menor","","Arma","PROPRIEDADE 4","Escudo","","Uniforme","","Item comum","","Ferramenta amaldiçoada","","")</f>
        <v/>
      </c>
      <c r="AC81" s="183" t="n"/>
      <c r="AD81" s="185" t="n"/>
      <c r="AE81" s="182" t="n"/>
      <c r="AF81" s="182" t="n"/>
      <c r="AG81" s="183" t="n"/>
      <c r="AH81" s="176" t="n"/>
      <c r="AI81" s="176" t="n"/>
      <c r="AJ81" s="176" t="n"/>
      <c r="AK81" s="176" t="n"/>
      <c r="AL81" s="176" t="n"/>
      <c r="AM81" s="176" t="n"/>
      <c r="AN81" s="176" t="n"/>
      <c r="AO81" s="176" t="n"/>
      <c r="AP81" s="176" t="n"/>
      <c r="AQ81" s="176" t="n"/>
      <c r="AR81" s="176" t="n"/>
      <c r="AS81" s="176" t="n"/>
      <c r="AT81" s="176" t="n"/>
      <c r="AU81" s="176" t="n"/>
      <c r="AV81" s="176" t="n"/>
      <c r="AW81" s="176" t="n"/>
      <c r="AX81" s="176" t="n"/>
      <c r="AY81" s="176" t="n"/>
      <c r="AZ81" s="176" t="n"/>
      <c r="BA81" s="176" t="n"/>
      <c r="BB81" s="176" t="n"/>
      <c r="BC81" s="176" t="n"/>
      <c r="BD81" s="176" t="n"/>
      <c r="BE81" s="176" t="n"/>
      <c r="BF81" s="176" t="n"/>
      <c r="BG81" s="176" t="n"/>
      <c r="BH81" s="176" t="n"/>
      <c r="BI81" s="176" t="n"/>
      <c r="BJ81" s="176" t="n"/>
      <c r="BK81" s="176" t="n"/>
      <c r="BL81" s="176" t="n"/>
      <c r="BM81" s="176" t="n"/>
      <c r="BN81" s="176" t="n"/>
      <c r="BO81" s="176" t="n"/>
      <c r="BP81" s="176" t="n"/>
      <c r="BQ81" s="176" t="n"/>
      <c r="BR81" s="176" t="n"/>
      <c r="BS81" s="176" t="n"/>
      <c r="BT81" s="176" t="n"/>
      <c r="BU81" s="176" t="n"/>
      <c r="BV81" s="176" t="n"/>
      <c r="BW81" s="176" t="n"/>
      <c r="BX81" s="176" t="n"/>
      <c r="BY81" s="176" t="n"/>
      <c r="BZ81" s="176" t="n"/>
      <c r="CA81" s="176" t="n"/>
      <c r="CB81" s="176" t="n"/>
      <c r="CC81" s="176" t="n"/>
      <c r="CD81" s="176" t="n"/>
      <c r="CE81" s="176" t="n"/>
      <c r="CF81" s="176" t="n"/>
      <c r="CG81" s="176" t="n"/>
      <c r="CH81" s="176" t="n"/>
      <c r="CI81" s="176" t="n"/>
      <c r="CJ81" s="176" t="n"/>
      <c r="CK81" s="176" t="n"/>
      <c r="CL81" s="176" t="n"/>
      <c r="CM81" s="176" t="n"/>
      <c r="CN81" s="176" t="n"/>
      <c r="CO81" s="176" t="n"/>
      <c r="CP81" s="176" t="n"/>
      <c r="CQ81" s="176" t="n"/>
      <c r="CR81" s="176" t="n"/>
      <c r="CS81" s="176" t="n"/>
      <c r="CT81" s="176" t="n"/>
      <c r="CU81" s="176" t="n"/>
      <c r="CV81" s="176" t="n"/>
      <c r="CW81" s="176" t="n"/>
      <c r="CX81" s="176" t="n"/>
      <c r="CY81" s="176" t="n"/>
      <c r="CZ81" s="176" t="n"/>
      <c r="DA81" s="193" t="n"/>
      <c r="DF81" s="194" t="n"/>
      <c r="DG81" s="176" t="n"/>
      <c r="DH81" s="176" t="n"/>
      <c r="DI81" s="193" t="n"/>
      <c r="DN81" s="194" t="n"/>
      <c r="DO81" s="176" t="n"/>
      <c r="DP81" s="176" t="n"/>
      <c r="DQ81" s="176" t="n"/>
      <c r="DR81" s="185" t="n"/>
      <c r="DS81" s="182" t="n"/>
      <c r="DT81" s="182" t="n"/>
      <c r="DU81" s="182" t="n"/>
      <c r="DV81" s="182" t="n"/>
      <c r="DW81" s="183" t="n"/>
      <c r="DX81" s="176" t="n"/>
      <c r="DY81" s="176" t="n"/>
      <c r="DZ81" s="185" t="n"/>
      <c r="EA81" s="182" t="n"/>
      <c r="EB81" s="182" t="n"/>
      <c r="EC81" s="182" t="n"/>
      <c r="ED81" s="182" t="n"/>
      <c r="EE81" s="183" t="n"/>
      <c r="EF81" s="176" t="n"/>
      <c r="EG81" s="176" t="n"/>
      <c r="EH81" s="176" t="n"/>
      <c r="EI81" s="193" t="n"/>
      <c r="EN81" s="194" t="n"/>
      <c r="EO81" s="176" t="n"/>
      <c r="EP81" s="176" t="n"/>
      <c r="EQ81" s="193" t="n"/>
      <c r="EV81" s="194" t="n"/>
      <c r="EW81" s="176" t="n"/>
      <c r="EX81" s="176" t="n"/>
      <c r="EY81" s="176" t="n"/>
      <c r="EZ81" s="181" t="inlineStr">
        <is>
          <t>ÁREA · P · 1 a 5</t>
        </is>
      </c>
      <c r="FA81" s="182" t="n"/>
      <c r="FB81" s="183" t="n"/>
      <c r="FC81" s="185" t="n"/>
      <c r="FD81" s="182" t="n"/>
      <c r="FE81" s="183" t="n"/>
      <c r="FF81" s="176" t="n"/>
      <c r="FG81" s="176" t="n"/>
      <c r="FH81" s="181" t="inlineStr">
        <is>
          <t>ÁREA · P · 1 a 5</t>
        </is>
      </c>
      <c r="FI81" s="182" t="n"/>
      <c r="FJ81" s="183" t="n"/>
      <c r="FK81" s="185" t="n"/>
      <c r="FL81" s="182" t="n"/>
      <c r="FM81" s="183" t="n"/>
      <c r="FN81" s="176" t="n"/>
      <c r="FO81" s="176" t="n"/>
      <c r="FP81" s="176" t="n"/>
      <c r="FQ81" s="189" t="n"/>
      <c r="FR81" s="190" t="n"/>
      <c r="FS81" s="190" t="n"/>
      <c r="FT81" s="190" t="n"/>
      <c r="FU81" s="190" t="n"/>
      <c r="FV81" s="191" t="n"/>
      <c r="FW81" s="176" t="n"/>
      <c r="FX81" s="176" t="n"/>
      <c r="FY81" s="189" t="n"/>
      <c r="FZ81" s="190" t="n"/>
      <c r="GA81" s="190" t="n"/>
      <c r="GB81" s="190" t="n"/>
      <c r="GC81" s="190" t="n"/>
      <c r="GD81" s="191" t="n"/>
      <c r="GE81" s="176" t="n"/>
      <c r="GF81" s="176" t="n"/>
      <c r="GG81" s="176" t="n"/>
      <c r="GH81" s="189" t="n"/>
      <c r="GI81" s="190" t="n"/>
      <c r="GJ81" s="190" t="n"/>
      <c r="GK81" s="190" t="n"/>
      <c r="GL81" s="190" t="n"/>
      <c r="GM81" s="191" t="n"/>
      <c r="GN81" s="176" t="n"/>
      <c r="GO81" s="176" t="n"/>
      <c r="GP81" s="189" t="n"/>
      <c r="GQ81" s="190" t="n"/>
      <c r="GR81" s="190" t="n"/>
      <c r="GS81" s="190" t="n"/>
      <c r="GT81" s="190" t="n"/>
      <c r="GU81" s="191" t="n"/>
      <c r="GV81" s="176" t="n"/>
      <c r="GW81" s="176" t="n"/>
      <c r="GX81" s="176" t="n"/>
      <c r="GY81" s="189" t="n"/>
      <c r="GZ81" s="190" t="n"/>
      <c r="HA81" s="190" t="n"/>
      <c r="HB81" s="190" t="n"/>
      <c r="HC81" s="190" t="n"/>
      <c r="HD81" s="191" t="n"/>
      <c r="HE81" s="176" t="n"/>
      <c r="HF81" s="176" t="n"/>
      <c r="HG81" s="189" t="n"/>
      <c r="HH81" s="190" t="n"/>
      <c r="HI81" s="190" t="n"/>
      <c r="HJ81" s="190" t="n"/>
      <c r="HK81" s="190" t="n"/>
      <c r="HL81" s="191" t="n"/>
      <c r="HM81" s="176" t="n"/>
      <c r="HN81" s="176" t="n"/>
      <c r="HO81" s="176" t="n"/>
      <c r="HP81" s="189" t="n"/>
      <c r="HQ81" s="190" t="n"/>
      <c r="HR81" s="190" t="n"/>
      <c r="HS81" s="190" t="n"/>
      <c r="HT81" s="190" t="n"/>
      <c r="HU81" s="191" t="n"/>
      <c r="HV81" s="176" t="n"/>
      <c r="HW81" s="176" t="n"/>
      <c r="HX81" s="189" t="n"/>
      <c r="HY81" s="190" t="n"/>
      <c r="HZ81" s="190" t="n"/>
      <c r="IA81" s="190" t="n"/>
      <c r="IB81" s="190" t="n"/>
      <c r="IC81" s="191" t="n"/>
      <c r="ID81" s="176" t="n"/>
    </row>
    <row r="82" ht="21" customHeight="1">
      <c r="A82" s="176" t="n"/>
      <c r="B82" s="176" t="n"/>
      <c r="C82" s="186" t="n">
        <v>18</v>
      </c>
      <c r="D82" s="183" t="n"/>
      <c r="E82" s="186" t="n">
        <v>1300</v>
      </c>
      <c r="F82" s="185" t="n"/>
      <c r="G82" s="186">
        <f>IF(F82="",IF(E82="","",E82),IF(IFERROR(AND(ISNUMBER(F82),F82&gt;=0,INT(F82)=F82),FALSE),F82,NA()))</f>
        <v/>
      </c>
      <c r="H82" s="186">
        <f>DADOS_CONFIG!Z19</f>
        <v/>
      </c>
      <c r="I82" s="176" t="n"/>
      <c r="J82" s="176" t="n"/>
      <c r="K82" s="176" t="n"/>
      <c r="L82" s="176" t="n"/>
      <c r="M82" s="176" t="n"/>
      <c r="N82" s="176" t="n"/>
      <c r="O82" s="176" t="n"/>
      <c r="P82" s="176" t="n"/>
      <c r="Q82" s="176" t="n"/>
      <c r="R82" s="176" t="n"/>
      <c r="S82" s="176" t="n"/>
      <c r="T82" s="181">
        <f>SWITCH('CONFIGURAÇÃO'!$T$72,"Origem","TALENTO CE 4","Marcante","FREQUÊNCIA","Menor","FREQUÊNCIA","Arma","DADO","Escudo","PROTEÇÃO","Uniforme","PROTEÇÃO","Item comum","VOLUME","Ferramenta amaldiçoada","ESTIGMA","")</f>
        <v/>
      </c>
      <c r="U82" s="183" t="n"/>
      <c r="V82" s="185" t="n"/>
      <c r="W82" s="182" t="n"/>
      <c r="X82" s="182" t="n"/>
      <c r="Y82" s="183" t="n"/>
      <c r="Z82" s="176" t="n"/>
      <c r="AA82" s="176" t="n"/>
      <c r="AB82" s="181">
        <f>SWITCH('CONFIGURAÇÃO'!$AB$72,"Origem","TALENTO CE 4","Marcante","FREQUÊNCIA","Menor","FREQUÊNCIA","Arma","DADO","Escudo","PROTEÇÃO","Uniforme","PROTEÇÃO","Item comum","VOLUME","Ferramenta amaldiçoada","ESTIGMA","")</f>
        <v/>
      </c>
      <c r="AC82" s="183" t="n"/>
      <c r="AD82" s="185" t="n"/>
      <c r="AE82" s="182" t="n"/>
      <c r="AF82" s="182" t="n"/>
      <c r="AG82" s="183" t="n"/>
      <c r="AH82" s="176" t="n"/>
      <c r="AI82" s="176" t="n"/>
      <c r="AJ82" s="176" t="n"/>
      <c r="AK82" s="176" t="n"/>
      <c r="AL82" s="176" t="n"/>
      <c r="AM82" s="176" t="n"/>
      <c r="AN82" s="176" t="n"/>
      <c r="AO82" s="176" t="n"/>
      <c r="AP82" s="176" t="n"/>
      <c r="AQ82" s="176" t="n"/>
      <c r="AR82" s="176" t="n"/>
      <c r="AS82" s="176" t="n"/>
      <c r="AT82" s="176" t="n"/>
      <c r="AU82" s="176" t="n"/>
      <c r="AV82" s="176" t="n"/>
      <c r="AW82" s="176" t="n"/>
      <c r="AX82" s="176" t="n"/>
      <c r="AY82" s="176" t="n"/>
      <c r="AZ82" s="176" t="n"/>
      <c r="BA82" s="176" t="n"/>
      <c r="BB82" s="176" t="n"/>
      <c r="BC82" s="176" t="n"/>
      <c r="BD82" s="176" t="n"/>
      <c r="BE82" s="176" t="n"/>
      <c r="BF82" s="176" t="n"/>
      <c r="BG82" s="176" t="n"/>
      <c r="BH82" s="176" t="n"/>
      <c r="BI82" s="176" t="n"/>
      <c r="BJ82" s="176" t="n"/>
      <c r="BK82" s="176" t="n"/>
      <c r="BL82" s="176" t="n"/>
      <c r="BM82" s="176" t="n"/>
      <c r="BN82" s="176" t="n"/>
      <c r="BO82" s="176" t="n"/>
      <c r="BP82" s="176" t="n"/>
      <c r="BQ82" s="176" t="n"/>
      <c r="BR82" s="176" t="n"/>
      <c r="BS82" s="176" t="n"/>
      <c r="BT82" s="176" t="n"/>
      <c r="BU82" s="176" t="n"/>
      <c r="BV82" s="176" t="n"/>
      <c r="BW82" s="176" t="n"/>
      <c r="BX82" s="176" t="n"/>
      <c r="BY82" s="176" t="n"/>
      <c r="BZ82" s="176" t="n"/>
      <c r="CA82" s="176" t="n"/>
      <c r="CB82" s="176" t="n"/>
      <c r="CC82" s="176" t="n"/>
      <c r="CD82" s="176" t="n"/>
      <c r="CE82" s="176" t="n"/>
      <c r="CF82" s="176" t="n"/>
      <c r="CG82" s="176" t="n"/>
      <c r="CH82" s="176" t="n"/>
      <c r="CI82" s="176" t="n"/>
      <c r="CJ82" s="176" t="n"/>
      <c r="CK82" s="176" t="n"/>
      <c r="CL82" s="176" t="n"/>
      <c r="CM82" s="176" t="n"/>
      <c r="CN82" s="176" t="n"/>
      <c r="CO82" s="176" t="n"/>
      <c r="CP82" s="176" t="n"/>
      <c r="CQ82" s="176" t="n"/>
      <c r="CR82" s="176" t="n"/>
      <c r="CS82" s="176" t="n"/>
      <c r="CT82" s="176" t="n"/>
      <c r="CU82" s="176" t="n"/>
      <c r="CV82" s="176" t="n"/>
      <c r="CW82" s="176" t="n"/>
      <c r="CX82" s="176" t="n"/>
      <c r="CY82" s="176" t="n"/>
      <c r="CZ82" s="176" t="n"/>
      <c r="DA82" s="193" t="n"/>
      <c r="DF82" s="194" t="n"/>
      <c r="DG82" s="176" t="n"/>
      <c r="DH82" s="176" t="n"/>
      <c r="DI82" s="193" t="n"/>
      <c r="DN82" s="194" t="n"/>
      <c r="DO82" s="176" t="n"/>
      <c r="DP82" s="176" t="n"/>
      <c r="DQ82" s="176" t="n"/>
      <c r="DR82" s="181" t="inlineStr">
        <is>
          <t>BASE DO LIVRO</t>
        </is>
      </c>
      <c r="DS82" s="182" t="n"/>
      <c r="DT82" s="183" t="n"/>
      <c r="DU82" s="185" t="inlineStr">
        <is>
          <t>Nenhuma</t>
        </is>
      </c>
      <c r="DV82" s="182" t="n"/>
      <c r="DW82" s="183" t="n"/>
      <c r="DX82" s="176" t="n"/>
      <c r="DY82" s="176" t="n"/>
      <c r="DZ82" s="181" t="inlineStr">
        <is>
          <t>BASE DO LIVRO</t>
        </is>
      </c>
      <c r="EA82" s="182" t="n"/>
      <c r="EB82" s="183" t="n"/>
      <c r="EC82" s="185" t="inlineStr">
        <is>
          <t>Nenhuma</t>
        </is>
      </c>
      <c r="ED82" s="182" t="n"/>
      <c r="EE82" s="183" t="n"/>
      <c r="EF82" s="176" t="n"/>
      <c r="EG82" s="176" t="n"/>
      <c r="EH82" s="176" t="n"/>
      <c r="EI82" s="193" t="n"/>
      <c r="EN82" s="194" t="n"/>
      <c r="EO82" s="176" t="n"/>
      <c r="EP82" s="176" t="n"/>
      <c r="EQ82" s="193" t="n"/>
      <c r="EV82" s="194" t="n"/>
      <c r="EW82" s="176" t="n"/>
      <c r="EX82" s="176" t="n"/>
      <c r="EY82" s="176" t="n"/>
      <c r="EZ82" s="181" t="inlineStr">
        <is>
          <t>ÁREA · P · 6 e 7</t>
        </is>
      </c>
      <c r="FA82" s="182" t="n"/>
      <c r="FB82" s="183" t="n"/>
      <c r="FC82" s="185" t="n"/>
      <c r="FD82" s="182" t="n"/>
      <c r="FE82" s="183" t="n"/>
      <c r="FF82" s="176" t="n"/>
      <c r="FG82" s="176" t="n"/>
      <c r="FH82" s="181" t="inlineStr">
        <is>
          <t>ÁREA · P · 6 e 7</t>
        </is>
      </c>
      <c r="FI82" s="182" t="n"/>
      <c r="FJ82" s="183" t="n"/>
      <c r="FK82" s="185" t="n"/>
      <c r="FL82" s="182" t="n"/>
      <c r="FM82" s="183" t="n"/>
      <c r="FN82" s="176" t="n"/>
      <c r="FO82" s="176" t="n"/>
      <c r="FP82" s="176" t="n"/>
      <c r="FQ82" s="176" t="n"/>
      <c r="FR82" s="176" t="n"/>
      <c r="FS82" s="176" t="n"/>
      <c r="FT82" s="176" t="n"/>
      <c r="FU82" s="176" t="n"/>
      <c r="FV82" s="176" t="n"/>
      <c r="FW82" s="176" t="n"/>
      <c r="FX82" s="176" t="n"/>
      <c r="FY82" s="176" t="n"/>
      <c r="FZ82" s="176" t="n"/>
      <c r="GA82" s="176" t="n"/>
      <c r="GB82" s="176" t="n"/>
      <c r="GC82" s="176" t="n"/>
      <c r="GD82" s="176" t="n"/>
      <c r="GE82" s="176" t="n"/>
      <c r="GF82" s="176" t="n"/>
      <c r="GG82" s="176" t="n"/>
      <c r="GH82" s="176" t="n"/>
      <c r="GI82" s="176" t="n"/>
      <c r="GJ82" s="176" t="n"/>
      <c r="GK82" s="176" t="n"/>
      <c r="GL82" s="176" t="n"/>
      <c r="GM82" s="176" t="n"/>
      <c r="GN82" s="176" t="n"/>
      <c r="GO82" s="176" t="n"/>
      <c r="GP82" s="176" t="n"/>
      <c r="GQ82" s="176" t="n"/>
      <c r="GR82" s="176" t="n"/>
      <c r="GS82" s="176" t="n"/>
      <c r="GT82" s="176" t="n"/>
      <c r="GU82" s="176" t="n"/>
      <c r="GV82" s="176" t="n"/>
      <c r="GW82" s="176" t="n"/>
      <c r="GX82" s="176" t="n"/>
      <c r="GY82" s="176" t="n"/>
      <c r="GZ82" s="176" t="n"/>
      <c r="HA82" s="176" t="n"/>
      <c r="HB82" s="176" t="n"/>
      <c r="HC82" s="176" t="n"/>
      <c r="HD82" s="176" t="n"/>
      <c r="HE82" s="176" t="n"/>
      <c r="HF82" s="176" t="n"/>
      <c r="HG82" s="176" t="n"/>
      <c r="HH82" s="176" t="n"/>
      <c r="HI82" s="176" t="n"/>
      <c r="HJ82" s="176" t="n"/>
      <c r="HK82" s="176" t="n"/>
      <c r="HL82" s="176" t="n"/>
      <c r="HM82" s="176" t="n"/>
      <c r="HN82" s="176" t="n"/>
      <c r="HO82" s="176" t="n"/>
      <c r="HP82" s="176" t="n"/>
      <c r="HQ82" s="176" t="n"/>
      <c r="HR82" s="176" t="n"/>
      <c r="HS82" s="176" t="n"/>
      <c r="HT82" s="176" t="n"/>
      <c r="HU82" s="176" t="n"/>
      <c r="HV82" s="176" t="n"/>
      <c r="HW82" s="176" t="n"/>
      <c r="HX82" s="176" t="n"/>
      <c r="HY82" s="176" t="n"/>
      <c r="HZ82" s="176" t="n"/>
      <c r="IA82" s="176" t="n"/>
      <c r="IB82" s="176" t="n"/>
      <c r="IC82" s="176" t="n"/>
      <c r="ID82" s="176" t="n"/>
    </row>
    <row r="83" ht="21" customHeight="1">
      <c r="A83" s="176" t="n"/>
      <c r="B83" s="176" t="n"/>
      <c r="C83" s="186" t="n">
        <v>19</v>
      </c>
      <c r="D83" s="183" t="n"/>
      <c r="E83" s="186" t="n">
        <v>1300</v>
      </c>
      <c r="F83" s="185" t="n"/>
      <c r="G83" s="186">
        <f>IF(F83="",IF(E83="","",E83),IF(IFERROR(AND(ISNUMBER(F83),F83&gt;=0,INT(F83)=F83),FALSE),F83,NA()))</f>
        <v/>
      </c>
      <c r="H83" s="186">
        <f>DADOS_CONFIG!Z20</f>
        <v/>
      </c>
      <c r="I83" s="176" t="n"/>
      <c r="J83" s="176" t="n"/>
      <c r="K83" s="176" t="n"/>
      <c r="L83" s="176" t="n"/>
      <c r="M83" s="176" t="n"/>
      <c r="N83" s="176" t="n"/>
      <c r="O83" s="176" t="n"/>
      <c r="P83" s="176" t="n"/>
      <c r="Q83" s="176" t="n"/>
      <c r="R83" s="176" t="n"/>
      <c r="S83" s="176" t="n"/>
      <c r="T83" s="181">
        <f>SWITCH('CONFIGURAÇÃO'!$T$72,"Origem","","Marcante","","Menor","","Arma","FORÇA","Escudo","TETO DE DESTREZA","Uniforme","TETO DE DESTREZA","Item comum","PREÇO","Ferramenta amaldiçoada","DESGASTE","")</f>
        <v/>
      </c>
      <c r="U83" s="183" t="n"/>
      <c r="V83" s="185" t="n"/>
      <c r="W83" s="182" t="n"/>
      <c r="X83" s="182" t="n"/>
      <c r="Y83" s="183" t="n"/>
      <c r="Z83" s="176" t="n"/>
      <c r="AA83" s="176" t="n"/>
      <c r="AB83" s="181">
        <f>SWITCH('CONFIGURAÇÃO'!$AB$72,"Origem","","Marcante","","Menor","","Arma","FORÇA","Escudo","TETO DE DESTREZA","Uniforme","TETO DE DESTREZA","Item comum","PREÇO","Ferramenta amaldiçoada","DESGASTE","")</f>
        <v/>
      </c>
      <c r="AC83" s="183" t="n"/>
      <c r="AD83" s="185" t="n"/>
      <c r="AE83" s="182" t="n"/>
      <c r="AF83" s="182" t="n"/>
      <c r="AG83" s="183" t="n"/>
      <c r="AH83" s="176" t="n"/>
      <c r="AI83" s="176" t="n"/>
      <c r="AJ83" s="176" t="n"/>
      <c r="AK83" s="176" t="n"/>
      <c r="AL83" s="176" t="n"/>
      <c r="AM83" s="176" t="n"/>
      <c r="AN83" s="176" t="n"/>
      <c r="AO83" s="176" t="n"/>
      <c r="AP83" s="176" t="n"/>
      <c r="AQ83" s="176" t="n"/>
      <c r="AR83" s="176" t="n"/>
      <c r="AS83" s="176" t="n"/>
      <c r="AT83" s="176" t="n"/>
      <c r="AU83" s="176" t="n"/>
      <c r="AV83" s="176" t="n"/>
      <c r="AW83" s="176" t="n"/>
      <c r="AX83" s="176" t="n"/>
      <c r="AY83" s="176" t="n"/>
      <c r="AZ83" s="176" t="n"/>
      <c r="BA83" s="176" t="n"/>
      <c r="BB83" s="176" t="n"/>
      <c r="BC83" s="176" t="n"/>
      <c r="BD83" s="176" t="n"/>
      <c r="BE83" s="176" t="n"/>
      <c r="BF83" s="176" t="n"/>
      <c r="BG83" s="176" t="n"/>
      <c r="BH83" s="176" t="n"/>
      <c r="BI83" s="176" t="n"/>
      <c r="BJ83" s="176" t="n"/>
      <c r="BK83" s="176" t="n"/>
      <c r="BL83" s="176" t="n"/>
      <c r="BM83" s="176" t="n"/>
      <c r="BN83" s="176" t="n"/>
      <c r="BO83" s="176" t="n"/>
      <c r="BP83" s="176" t="n"/>
      <c r="BQ83" s="176" t="n"/>
      <c r="BR83" s="176" t="n"/>
      <c r="BS83" s="176" t="n"/>
      <c r="BT83" s="176" t="n"/>
      <c r="BU83" s="176" t="n"/>
      <c r="BV83" s="176" t="n"/>
      <c r="BW83" s="176" t="n"/>
      <c r="BX83" s="176" t="n"/>
      <c r="BY83" s="176" t="n"/>
      <c r="BZ83" s="176" t="n"/>
      <c r="CA83" s="176" t="n"/>
      <c r="CB83" s="176" t="n"/>
      <c r="CC83" s="176" t="n"/>
      <c r="CD83" s="176" t="n"/>
      <c r="CE83" s="176" t="n"/>
      <c r="CF83" s="176" t="n"/>
      <c r="CG83" s="176" t="n"/>
      <c r="CH83" s="176" t="n"/>
      <c r="CI83" s="176" t="n"/>
      <c r="CJ83" s="176" t="n"/>
      <c r="CK83" s="176" t="n"/>
      <c r="CL83" s="176" t="n"/>
      <c r="CM83" s="176" t="n"/>
      <c r="CN83" s="176" t="n"/>
      <c r="CO83" s="176" t="n"/>
      <c r="CP83" s="176" t="n"/>
      <c r="CQ83" s="176" t="n"/>
      <c r="CR83" s="176" t="n"/>
      <c r="CS83" s="176" t="n"/>
      <c r="CT83" s="176" t="n"/>
      <c r="CU83" s="176" t="n"/>
      <c r="CV83" s="176" t="n"/>
      <c r="CW83" s="176" t="n"/>
      <c r="CX83" s="176" t="n"/>
      <c r="CY83" s="176" t="n"/>
      <c r="CZ83" s="176" t="n"/>
      <c r="DA83" s="193" t="n"/>
      <c r="DF83" s="194" t="n"/>
      <c r="DG83" s="176" t="n"/>
      <c r="DH83" s="176" t="n"/>
      <c r="DI83" s="193" t="n"/>
      <c r="DN83" s="194" t="n"/>
      <c r="DO83" s="176" t="n"/>
      <c r="DP83" s="176" t="n"/>
      <c r="DQ83" s="176" t="n"/>
      <c r="DR83" s="181" t="inlineStr">
        <is>
          <t>DEVOLUÇÃO</t>
        </is>
      </c>
      <c r="DS83" s="182" t="n"/>
      <c r="DT83" s="183" t="n"/>
      <c r="DU83" s="185" t="n"/>
      <c r="DV83" s="182" t="n"/>
      <c r="DW83" s="183" t="n"/>
      <c r="DX83" s="176" t="n"/>
      <c r="DY83" s="176" t="n"/>
      <c r="DZ83" s="181" t="inlineStr">
        <is>
          <t>DEVOLUÇÃO</t>
        </is>
      </c>
      <c r="EA83" s="182" t="n"/>
      <c r="EB83" s="183" t="n"/>
      <c r="EC83" s="185" t="n"/>
      <c r="ED83" s="182" t="n"/>
      <c r="EE83" s="183" t="n"/>
      <c r="EF83" s="176" t="n"/>
      <c r="EG83" s="176" t="n"/>
      <c r="EH83" s="176" t="n"/>
      <c r="EI83" s="193" t="n"/>
      <c r="EN83" s="194" t="n"/>
      <c r="EO83" s="176" t="n"/>
      <c r="EP83" s="176" t="n"/>
      <c r="EQ83" s="193" t="n"/>
      <c r="EV83" s="194" t="n"/>
      <c r="EW83" s="176" t="n"/>
      <c r="EX83" s="176" t="n"/>
      <c r="EY83" s="176" t="n"/>
      <c r="EZ83" s="181" t="inlineStr">
        <is>
          <t>ÁREA · E · 0</t>
        </is>
      </c>
      <c r="FA83" s="182" t="n"/>
      <c r="FB83" s="183" t="n"/>
      <c r="FC83" s="185" t="n"/>
      <c r="FD83" s="182" t="n"/>
      <c r="FE83" s="183" t="n"/>
      <c r="FF83" s="176" t="n"/>
      <c r="FG83" s="176" t="n"/>
      <c r="FH83" s="181" t="inlineStr">
        <is>
          <t>ÁREA · E · 0</t>
        </is>
      </c>
      <c r="FI83" s="182" t="n"/>
      <c r="FJ83" s="183" t="n"/>
      <c r="FK83" s="185" t="n"/>
      <c r="FL83" s="182" t="n"/>
      <c r="FM83" s="183" t="n"/>
      <c r="FN83" s="176" t="n"/>
      <c r="FO83" s="176" t="n"/>
      <c r="FP83" s="176" t="n"/>
      <c r="FQ83" s="181" t="inlineStr">
        <is>
          <t>EFEITO</t>
        </is>
      </c>
      <c r="FR83" s="182" t="n"/>
      <c r="FS83" s="182" t="n"/>
      <c r="FT83" s="182" t="n"/>
      <c r="FU83" s="182" t="n"/>
      <c r="FV83" s="183" t="n"/>
      <c r="FW83" s="176" t="n"/>
      <c r="FX83" s="176" t="n"/>
      <c r="FY83" s="181" t="inlineStr">
        <is>
          <t>EFEITO</t>
        </is>
      </c>
      <c r="FZ83" s="182" t="n"/>
      <c r="GA83" s="182" t="n"/>
      <c r="GB83" s="182" t="n"/>
      <c r="GC83" s="182" t="n"/>
      <c r="GD83" s="183" t="n"/>
      <c r="GE83" s="176" t="n"/>
      <c r="GF83" s="176" t="n"/>
      <c r="GG83" s="176" t="n"/>
      <c r="GH83" s="176" t="n"/>
      <c r="GI83" s="176" t="n"/>
      <c r="GJ83" s="176" t="n"/>
      <c r="GK83" s="176" t="n"/>
      <c r="GL83" s="176" t="n"/>
      <c r="GM83" s="176" t="n"/>
      <c r="GN83" s="176" t="n"/>
      <c r="GO83" s="176" t="n"/>
      <c r="GP83" s="176" t="n"/>
      <c r="GQ83" s="176" t="n"/>
      <c r="GR83" s="176" t="n"/>
      <c r="GS83" s="176" t="n"/>
      <c r="GT83" s="176" t="n"/>
      <c r="GU83" s="176" t="n"/>
      <c r="GV83" s="176" t="n"/>
      <c r="GW83" s="176" t="n"/>
      <c r="GX83" s="176" t="n"/>
      <c r="GY83" s="181" t="inlineStr">
        <is>
          <t>EFEITO E REQUISITOS</t>
        </is>
      </c>
      <c r="GZ83" s="182" t="n"/>
      <c r="HA83" s="182" t="n"/>
      <c r="HB83" s="182" t="n"/>
      <c r="HC83" s="182" t="n"/>
      <c r="HD83" s="183" t="n"/>
      <c r="HE83" s="176" t="n"/>
      <c r="HF83" s="176" t="n"/>
      <c r="HG83" s="181" t="inlineStr">
        <is>
          <t>EFEITO E REQUISITOS</t>
        </is>
      </c>
      <c r="HH83" s="182" t="n"/>
      <c r="HI83" s="182" t="n"/>
      <c r="HJ83" s="182" t="n"/>
      <c r="HK83" s="182" t="n"/>
      <c r="HL83" s="183" t="n"/>
      <c r="HM83" s="176" t="n"/>
      <c r="HN83" s="176" t="n"/>
      <c r="HO83" s="176" t="n"/>
      <c r="HP83" s="181" t="inlineStr">
        <is>
          <t>EFEITO</t>
        </is>
      </c>
      <c r="HQ83" s="182" t="n"/>
      <c r="HR83" s="182" t="n"/>
      <c r="HS83" s="182" t="n"/>
      <c r="HT83" s="182" t="n"/>
      <c r="HU83" s="183" t="n"/>
      <c r="HV83" s="176" t="n"/>
      <c r="HW83" s="176" t="n"/>
      <c r="HX83" s="181" t="inlineStr">
        <is>
          <t>EFEITO</t>
        </is>
      </c>
      <c r="HY83" s="182" t="n"/>
      <c r="HZ83" s="182" t="n"/>
      <c r="IA83" s="182" t="n"/>
      <c r="IB83" s="182" t="n"/>
      <c r="IC83" s="183" t="n"/>
      <c r="ID83" s="176" t="n"/>
    </row>
    <row r="84" ht="21" customHeight="1">
      <c r="A84" s="176" t="n"/>
      <c r="B84" s="176" t="n"/>
      <c r="C84" s="186" t="n">
        <v>20</v>
      </c>
      <c r="D84" s="183" t="n"/>
      <c r="E84" s="186" t="n">
        <v>1500</v>
      </c>
      <c r="F84" s="185" t="n"/>
      <c r="G84" s="186">
        <f>IF(F84="",IF(E84="","",E84),IF(IFERROR(AND(ISNUMBER(F84),F84&gt;=0,INT(F84)=F84),FALSE),F84,NA()))</f>
        <v/>
      </c>
      <c r="H84" s="186">
        <f>DADOS_CONFIG!Z21</f>
        <v/>
      </c>
      <c r="I84" s="176" t="n"/>
      <c r="J84" s="176" t="n"/>
      <c r="K84" s="176" t="n"/>
      <c r="L84" s="176" t="n"/>
      <c r="M84" s="176" t="n"/>
      <c r="N84" s="176" t="n"/>
      <c r="O84" s="176" t="n"/>
      <c r="P84" s="176" t="n"/>
      <c r="Q84" s="176" t="n"/>
      <c r="R84" s="176" t="n"/>
      <c r="S84" s="176" t="n"/>
      <c r="T84" s="181">
        <f>SWITCH('CONFIGURAÇÃO'!$T$72,"Origem","","Marcante","","Menor","","Arma","VOLUME","Escudo","FORÇA","Uniforme","FORÇA","Item comum","","Ferramenta amaldiçoada","VOLUME","")</f>
        <v/>
      </c>
      <c r="U84" s="183" t="n"/>
      <c r="V84" s="185" t="n"/>
      <c r="W84" s="182" t="n"/>
      <c r="X84" s="182" t="n"/>
      <c r="Y84" s="183" t="n"/>
      <c r="Z84" s="176" t="n"/>
      <c r="AA84" s="176" t="n"/>
      <c r="AB84" s="181">
        <f>SWITCH('CONFIGURAÇÃO'!$AB$72,"Origem","","Marcante","","Menor","","Arma","VOLUME","Escudo","FORÇA","Uniforme","FORÇA","Item comum","","Ferramenta amaldiçoada","VOLUME","")</f>
        <v/>
      </c>
      <c r="AC84" s="183" t="n"/>
      <c r="AD84" s="185" t="n"/>
      <c r="AE84" s="182" t="n"/>
      <c r="AF84" s="182" t="n"/>
      <c r="AG84" s="183" t="n"/>
      <c r="AH84" s="176" t="n"/>
      <c r="AI84" s="176" t="n"/>
      <c r="AJ84" s="176" t="n"/>
      <c r="AK84" s="176" t="n"/>
      <c r="AL84" s="176" t="n"/>
      <c r="AM84" s="176" t="n"/>
      <c r="AN84" s="176" t="n"/>
      <c r="AO84" s="176" t="n"/>
      <c r="AP84" s="176" t="n"/>
      <c r="AQ84" s="176" t="n"/>
      <c r="AR84" s="176" t="n"/>
      <c r="AS84" s="176" t="n"/>
      <c r="AT84" s="176" t="n"/>
      <c r="AU84" s="176" t="n"/>
      <c r="AV84" s="176" t="n"/>
      <c r="AW84" s="176" t="n"/>
      <c r="AX84" s="176" t="n"/>
      <c r="AY84" s="176" t="n"/>
      <c r="AZ84" s="176" t="n"/>
      <c r="BA84" s="176" t="n"/>
      <c r="BB84" s="176" t="n"/>
      <c r="BC84" s="176" t="n"/>
      <c r="BD84" s="176" t="n"/>
      <c r="BE84" s="176" t="n"/>
      <c r="BF84" s="176" t="n"/>
      <c r="BG84" s="176" t="n"/>
      <c r="BH84" s="176" t="n"/>
      <c r="BI84" s="176" t="n"/>
      <c r="BJ84" s="176" t="n"/>
      <c r="BK84" s="176" t="n"/>
      <c r="BL84" s="176" t="n"/>
      <c r="BM84" s="176" t="n"/>
      <c r="BN84" s="176" t="n"/>
      <c r="BO84" s="176" t="n"/>
      <c r="BP84" s="176" t="n"/>
      <c r="BQ84" s="176" t="n"/>
      <c r="BR84" s="176" t="n"/>
      <c r="BS84" s="176" t="n"/>
      <c r="BT84" s="176" t="n"/>
      <c r="BU84" s="176" t="n"/>
      <c r="BV84" s="176" t="n"/>
      <c r="BW84" s="176" t="n"/>
      <c r="BX84" s="176" t="n"/>
      <c r="BY84" s="176" t="n"/>
      <c r="BZ84" s="176" t="n"/>
      <c r="CA84" s="176" t="n"/>
      <c r="CB84" s="176" t="n"/>
      <c r="CC84" s="176" t="n"/>
      <c r="CD84" s="176" t="n"/>
      <c r="CE84" s="176" t="n"/>
      <c r="CF84" s="176" t="n"/>
      <c r="CG84" s="176" t="n"/>
      <c r="CH84" s="176" t="n"/>
      <c r="CI84" s="176" t="n"/>
      <c r="CJ84" s="176" t="n"/>
      <c r="CK84" s="176" t="n"/>
      <c r="CL84" s="176" t="n"/>
      <c r="CM84" s="176" t="n"/>
      <c r="CN84" s="176" t="n"/>
      <c r="CO84" s="176" t="n"/>
      <c r="CP84" s="176" t="n"/>
      <c r="CQ84" s="176" t="n"/>
      <c r="CR84" s="176" t="n"/>
      <c r="CS84" s="176" t="n"/>
      <c r="CT84" s="176" t="n"/>
      <c r="CU84" s="176" t="n"/>
      <c r="CV84" s="176" t="n"/>
      <c r="CW84" s="176" t="n"/>
      <c r="CX84" s="176" t="n"/>
      <c r="CY84" s="176" t="n"/>
      <c r="CZ84" s="176" t="n"/>
      <c r="DA84" s="189" t="n"/>
      <c r="DB84" s="190" t="n"/>
      <c r="DC84" s="190" t="n"/>
      <c r="DD84" s="190" t="n"/>
      <c r="DE84" s="190" t="n"/>
      <c r="DF84" s="191" t="n"/>
      <c r="DG84" s="176" t="n"/>
      <c r="DH84" s="176" t="n"/>
      <c r="DI84" s="189" t="n"/>
      <c r="DJ84" s="190" t="n"/>
      <c r="DK84" s="190" t="n"/>
      <c r="DL84" s="190" t="n"/>
      <c r="DM84" s="190" t="n"/>
      <c r="DN84" s="191" t="n"/>
      <c r="DO84" s="176" t="n"/>
      <c r="DP84" s="176" t="n"/>
      <c r="DQ84" s="176" t="n"/>
      <c r="DR84" s="181" t="inlineStr">
        <is>
          <t>FREQUÊNCIA</t>
        </is>
      </c>
      <c r="DS84" s="182" t="n"/>
      <c r="DT84" s="183" t="n"/>
      <c r="DU84" s="185" t="n"/>
      <c r="DV84" s="182" t="n"/>
      <c r="DW84" s="183" t="n"/>
      <c r="DX84" s="176" t="n"/>
      <c r="DY84" s="176" t="n"/>
      <c r="DZ84" s="181" t="inlineStr">
        <is>
          <t>FREQUÊNCIA</t>
        </is>
      </c>
      <c r="EA84" s="182" t="n"/>
      <c r="EB84" s="183" t="n"/>
      <c r="EC84" s="185" t="n"/>
      <c r="ED84" s="182" t="n"/>
      <c r="EE84" s="183" t="n"/>
      <c r="EF84" s="176" t="n"/>
      <c r="EG84" s="176" t="n"/>
      <c r="EH84" s="176" t="n"/>
      <c r="EI84" s="193" t="n"/>
      <c r="EN84" s="194" t="n"/>
      <c r="EO84" s="176" t="n"/>
      <c r="EP84" s="176" t="n"/>
      <c r="EQ84" s="193" t="n"/>
      <c r="EV84" s="194" t="n"/>
      <c r="EW84" s="176" t="n"/>
      <c r="EX84" s="176" t="n"/>
      <c r="EY84" s="176" t="n"/>
      <c r="EZ84" s="181" t="inlineStr">
        <is>
          <t>ÁREA · E · 1 a 5</t>
        </is>
      </c>
      <c r="FA84" s="182" t="n"/>
      <c r="FB84" s="183" t="n"/>
      <c r="FC84" s="185" t="n"/>
      <c r="FD84" s="182" t="n"/>
      <c r="FE84" s="183" t="n"/>
      <c r="FF84" s="176" t="n"/>
      <c r="FG84" s="176" t="n"/>
      <c r="FH84" s="181" t="inlineStr">
        <is>
          <t>ÁREA · E · 1 a 5</t>
        </is>
      </c>
      <c r="FI84" s="182" t="n"/>
      <c r="FJ84" s="183" t="n"/>
      <c r="FK84" s="185" t="n"/>
      <c r="FL84" s="182" t="n"/>
      <c r="FM84" s="183" t="n"/>
      <c r="FN84" s="176" t="n"/>
      <c r="FO84" s="176" t="n"/>
      <c r="FP84" s="176" t="n"/>
      <c r="FQ84" s="192" t="n"/>
      <c r="FR84" s="187" t="n"/>
      <c r="FS84" s="187" t="n"/>
      <c r="FT84" s="187" t="n"/>
      <c r="FU84" s="187" t="n"/>
      <c r="FV84" s="188" t="n"/>
      <c r="FW84" s="176" t="n"/>
      <c r="FX84" s="176" t="n"/>
      <c r="FY84" s="192" t="n"/>
      <c r="FZ84" s="187" t="n"/>
      <c r="GA84" s="187" t="n"/>
      <c r="GB84" s="187" t="n"/>
      <c r="GC84" s="187" t="n"/>
      <c r="GD84" s="188" t="n"/>
      <c r="GE84" s="176" t="n"/>
      <c r="GF84" s="176" t="n"/>
      <c r="GG84" s="176" t="n"/>
      <c r="GH84" s="180">
        <f>IF('DADOS_TALENTOS'!$I6="","","⚠ "&amp;'DADOS_TALENTOS'!$I6)</f>
        <v/>
      </c>
      <c r="GN84" s="176" t="n"/>
      <c r="GO84" s="176" t="n"/>
      <c r="GP84" s="180">
        <f>IF('DADOS_TALENTOS'!$I7="","","⚠ "&amp;'DADOS_TALENTOS'!$I7)</f>
        <v/>
      </c>
      <c r="GV84" s="176" t="n"/>
      <c r="GW84" s="176" t="n"/>
      <c r="GX84" s="176" t="n"/>
      <c r="GY84" s="192" t="n"/>
      <c r="GZ84" s="187" t="n"/>
      <c r="HA84" s="187" t="n"/>
      <c r="HB84" s="187" t="n"/>
      <c r="HC84" s="187" t="n"/>
      <c r="HD84" s="188" t="n"/>
      <c r="HE84" s="176" t="n"/>
      <c r="HF84" s="176" t="n"/>
      <c r="HG84" s="192" t="n"/>
      <c r="HH84" s="187" t="n"/>
      <c r="HI84" s="187" t="n"/>
      <c r="HJ84" s="187" t="n"/>
      <c r="HK84" s="187" t="n"/>
      <c r="HL84" s="188" t="n"/>
      <c r="HM84" s="176" t="n"/>
      <c r="HN84" s="176" t="n"/>
      <c r="HO84" s="176" t="n"/>
      <c r="HP84" s="192" t="n"/>
      <c r="HQ84" s="187" t="n"/>
      <c r="HR84" s="187" t="n"/>
      <c r="HS84" s="187" t="n"/>
      <c r="HT84" s="187" t="n"/>
      <c r="HU84" s="188" t="n"/>
      <c r="HV84" s="176" t="n"/>
      <c r="HW84" s="176" t="n"/>
      <c r="HX84" s="192" t="n"/>
      <c r="HY84" s="187" t="n"/>
      <c r="HZ84" s="187" t="n"/>
      <c r="IA84" s="187" t="n"/>
      <c r="IB84" s="187" t="n"/>
      <c r="IC84" s="188" t="n"/>
      <c r="ID84" s="176" t="n"/>
    </row>
    <row r="85" ht="21" customHeight="1">
      <c r="A85" s="176" t="n"/>
      <c r="B85" s="176" t="n"/>
      <c r="C85" s="186" t="n">
        <v>21</v>
      </c>
      <c r="D85" s="183" t="n"/>
      <c r="E85" s="186" t="n">
        <v>1500</v>
      </c>
      <c r="F85" s="185" t="n"/>
      <c r="G85" s="186">
        <f>IF(F85="",IF(E85="","",E85),IF(IFERROR(AND(ISNUMBER(F85),F85&gt;=0,INT(F85)=F85),FALSE),F85,NA()))</f>
        <v/>
      </c>
      <c r="H85" s="186">
        <f>DADOS_CONFIG!Z22</f>
        <v/>
      </c>
      <c r="I85" s="176" t="n"/>
      <c r="J85" s="176" t="n"/>
      <c r="K85" s="176" t="n"/>
      <c r="L85" s="176" t="n"/>
      <c r="M85" s="176" t="n"/>
      <c r="N85" s="176" t="n"/>
      <c r="O85" s="176" t="n"/>
      <c r="P85" s="176" t="n"/>
      <c r="Q85" s="176" t="n"/>
      <c r="R85" s="176" t="n"/>
      <c r="S85" s="176" t="n"/>
      <c r="T85" s="181">
        <f>SWITCH('CONFIGURAÇÃO'!$T$72,"Origem","","Marcante","","Menor","","Arma","ALCANCE","Escudo","VOLUME","Uniforme","VOLUME","Item comum","","Ferramenta amaldiçoada","PREÇO","")</f>
        <v/>
      </c>
      <c r="U85" s="183" t="n"/>
      <c r="V85" s="185" t="n"/>
      <c r="W85" s="182" t="n"/>
      <c r="X85" s="182" t="n"/>
      <c r="Y85" s="183" t="n"/>
      <c r="Z85" s="176" t="n"/>
      <c r="AA85" s="176" t="n"/>
      <c r="AB85" s="181">
        <f>SWITCH('CONFIGURAÇÃO'!$AB$72,"Origem","","Marcante","","Menor","","Arma","ALCANCE","Escudo","VOLUME","Uniforme","VOLUME","Item comum","","Ferramenta amaldiçoada","PREÇO","")</f>
        <v/>
      </c>
      <c r="AC85" s="183" t="n"/>
      <c r="AD85" s="185" t="n"/>
      <c r="AE85" s="182" t="n"/>
      <c r="AF85" s="182" t="n"/>
      <c r="AG85" s="183" t="n"/>
      <c r="AH85" s="176" t="n"/>
      <c r="AI85" s="176" t="n"/>
      <c r="AJ85" s="176" t="n"/>
      <c r="AK85" s="176" t="n"/>
      <c r="AL85" s="176" t="n"/>
      <c r="AM85" s="176" t="n"/>
      <c r="AN85" s="176" t="n"/>
      <c r="AO85" s="176" t="n"/>
      <c r="AP85" s="176" t="n"/>
      <c r="AQ85" s="176" t="n"/>
      <c r="AR85" s="176" t="n"/>
      <c r="AS85" s="176" t="n"/>
      <c r="AT85" s="176" t="n"/>
      <c r="AU85" s="176" t="n"/>
      <c r="AV85" s="176" t="n"/>
      <c r="AW85" s="176" t="n"/>
      <c r="AX85" s="176" t="n"/>
      <c r="AY85" s="176" t="n"/>
      <c r="AZ85" s="176" t="n"/>
      <c r="BA85" s="176" t="n"/>
      <c r="BB85" s="176" t="n"/>
      <c r="BC85" s="176" t="n"/>
      <c r="BD85" s="176" t="n"/>
      <c r="BE85" s="176" t="n"/>
      <c r="BF85" s="176" t="n"/>
      <c r="BG85" s="176" t="n"/>
      <c r="BH85" s="176" t="n"/>
      <c r="BI85" s="176" t="n"/>
      <c r="BJ85" s="176" t="n"/>
      <c r="BK85" s="176" t="n"/>
      <c r="BL85" s="176" t="n"/>
      <c r="BM85" s="176" t="n"/>
      <c r="BN85" s="176" t="n"/>
      <c r="BO85" s="176" t="n"/>
      <c r="BP85" s="176" t="n"/>
      <c r="BQ85" s="176" t="n"/>
      <c r="BR85" s="176" t="n"/>
      <c r="BS85" s="176" t="n"/>
      <c r="BT85" s="176" t="n"/>
      <c r="BU85" s="176" t="n"/>
      <c r="BV85" s="176" t="n"/>
      <c r="BW85" s="176" t="n"/>
      <c r="BX85" s="176" t="n"/>
      <c r="BY85" s="176" t="n"/>
      <c r="BZ85" s="176" t="n"/>
      <c r="CA85" s="176" t="n"/>
      <c r="CB85" s="176" t="n"/>
      <c r="CC85" s="176" t="n"/>
      <c r="CD85" s="176" t="n"/>
      <c r="CE85" s="176" t="n"/>
      <c r="CF85" s="176" t="n"/>
      <c r="CG85" s="176" t="n"/>
      <c r="CH85" s="176" t="n"/>
      <c r="CI85" s="176" t="n"/>
      <c r="CJ85" s="176" t="n"/>
      <c r="CK85" s="176" t="n"/>
      <c r="CL85" s="176" t="n"/>
      <c r="CM85" s="176" t="n"/>
      <c r="CN85" s="176" t="n"/>
      <c r="CO85" s="176" t="n"/>
      <c r="CP85" s="176" t="n"/>
      <c r="CQ85" s="176" t="n"/>
      <c r="CR85" s="176" t="n"/>
      <c r="CS85" s="176" t="n"/>
      <c r="CT85" s="176" t="n"/>
      <c r="CU85" s="176" t="n"/>
      <c r="CV85" s="176" t="n"/>
      <c r="CW85" s="176" t="n"/>
      <c r="CX85" s="176" t="n"/>
      <c r="CY85" s="176" t="n"/>
      <c r="CZ85" s="176" t="n"/>
      <c r="DA85" s="176" t="n"/>
      <c r="DB85" s="176" t="n"/>
      <c r="DC85" s="176" t="n"/>
      <c r="DD85" s="176" t="n"/>
      <c r="DE85" s="176" t="n"/>
      <c r="DF85" s="176" t="n"/>
      <c r="DG85" s="176" t="n"/>
      <c r="DH85" s="176" t="n"/>
      <c r="DI85" s="176" t="n"/>
      <c r="DJ85" s="176" t="n"/>
      <c r="DK85" s="176" t="n"/>
      <c r="DL85" s="176" t="n"/>
      <c r="DM85" s="176" t="n"/>
      <c r="DN85" s="176" t="n"/>
      <c r="DO85" s="176" t="n"/>
      <c r="DP85" s="176" t="n"/>
      <c r="DQ85" s="176" t="n"/>
      <c r="DR85" s="176" t="n"/>
      <c r="DS85" s="176" t="n"/>
      <c r="DT85" s="176" t="n"/>
      <c r="DU85" s="176" t="n"/>
      <c r="DV85" s="176" t="n"/>
      <c r="DW85" s="176" t="n"/>
      <c r="DX85" s="176" t="n"/>
      <c r="DY85" s="176" t="n"/>
      <c r="DZ85" s="176" t="n"/>
      <c r="EA85" s="176" t="n"/>
      <c r="EB85" s="176" t="n"/>
      <c r="EC85" s="176" t="n"/>
      <c r="ED85" s="176" t="n"/>
      <c r="EE85" s="176" t="n"/>
      <c r="EF85" s="176" t="n"/>
      <c r="EG85" s="176" t="n"/>
      <c r="EH85" s="176" t="n"/>
      <c r="EI85" s="193" t="n"/>
      <c r="EN85" s="194" t="n"/>
      <c r="EO85" s="176" t="n"/>
      <c r="EP85" s="176" t="n"/>
      <c r="EQ85" s="193" t="n"/>
      <c r="EV85" s="194" t="n"/>
      <c r="EW85" s="176" t="n"/>
      <c r="EX85" s="176" t="n"/>
      <c r="EY85" s="176" t="n"/>
      <c r="EZ85" s="181" t="inlineStr">
        <is>
          <t>ÁREA · E · 6</t>
        </is>
      </c>
      <c r="FA85" s="182" t="n"/>
      <c r="FB85" s="183" t="n"/>
      <c r="FC85" s="185" t="n"/>
      <c r="FD85" s="182" t="n"/>
      <c r="FE85" s="183" t="n"/>
      <c r="FF85" s="176" t="n"/>
      <c r="FG85" s="176" t="n"/>
      <c r="FH85" s="181" t="inlineStr">
        <is>
          <t>ÁREA · E · 6</t>
        </is>
      </c>
      <c r="FI85" s="182" t="n"/>
      <c r="FJ85" s="183" t="n"/>
      <c r="FK85" s="185" t="n"/>
      <c r="FL85" s="182" t="n"/>
      <c r="FM85" s="183" t="n"/>
      <c r="FN85" s="176" t="n"/>
      <c r="FO85" s="176" t="n"/>
      <c r="FP85" s="176" t="n"/>
      <c r="FQ85" s="193" t="n"/>
      <c r="FV85" s="194" t="n"/>
      <c r="FW85" s="176" t="n"/>
      <c r="FX85" s="176" t="n"/>
      <c r="FY85" s="193" t="n"/>
      <c r="GD85" s="194" t="n"/>
      <c r="GE85" s="176" t="n"/>
      <c r="GF85" s="176" t="n"/>
      <c r="GG85" s="176" t="n"/>
      <c r="GN85" s="176" t="n"/>
      <c r="GO85" s="176" t="n"/>
      <c r="GV85" s="176" t="n"/>
      <c r="GW85" s="176" t="n"/>
      <c r="GX85" s="176" t="n"/>
      <c r="GY85" s="193" t="n"/>
      <c r="HD85" s="194" t="n"/>
      <c r="HE85" s="176" t="n"/>
      <c r="HF85" s="176" t="n"/>
      <c r="HG85" s="193" t="n"/>
      <c r="HL85" s="194" t="n"/>
      <c r="HM85" s="176" t="n"/>
      <c r="HN85" s="176" t="n"/>
      <c r="HO85" s="176" t="n"/>
      <c r="HP85" s="193" t="n"/>
      <c r="HU85" s="194" t="n"/>
      <c r="HV85" s="176" t="n"/>
      <c r="HW85" s="176" t="n"/>
      <c r="HX85" s="193" t="n"/>
      <c r="IC85" s="194" t="n"/>
      <c r="ID85" s="176" t="n"/>
    </row>
    <row r="86" ht="21" customHeight="1">
      <c r="A86" s="176" t="n"/>
      <c r="B86" s="176" t="n"/>
      <c r="C86" s="186" t="n">
        <v>22</v>
      </c>
      <c r="D86" s="183" t="n"/>
      <c r="E86" s="186" t="n">
        <v>1500</v>
      </c>
      <c r="F86" s="185" t="n"/>
      <c r="G86" s="186">
        <f>IF(F86="",IF(E86="","",E86),IF(IFERROR(AND(ISNUMBER(F86),F86&gt;=0,INT(F86)=F86),FALSE),F86,NA()))</f>
        <v/>
      </c>
      <c r="H86" s="186">
        <f>DADOS_CONFIG!Z23</f>
        <v/>
      </c>
      <c r="I86" s="176" t="n"/>
      <c r="J86" s="176" t="n"/>
      <c r="K86" s="176" t="n"/>
      <c r="L86" s="176" t="n"/>
      <c r="M86" s="176" t="n"/>
      <c r="N86" s="176" t="n"/>
      <c r="O86" s="176" t="n"/>
      <c r="P86" s="176" t="n"/>
      <c r="Q86" s="176" t="n"/>
      <c r="R86" s="176" t="n"/>
      <c r="S86" s="176" t="n"/>
      <c r="T86" s="181">
        <f>SWITCH('CONFIGURAÇÃO'!$T$72,"Origem","","Marcante","","Menor","","Arma","RECARGA","Escudo","PREÇO","Uniforme","PREÇO","Item comum","","Ferramenta amaldiçoada","","")</f>
        <v/>
      </c>
      <c r="U86" s="183" t="n"/>
      <c r="V86" s="185" t="n"/>
      <c r="W86" s="182" t="n"/>
      <c r="X86" s="182" t="n"/>
      <c r="Y86" s="183" t="n"/>
      <c r="Z86" s="176" t="n"/>
      <c r="AA86" s="176" t="n"/>
      <c r="AB86" s="181">
        <f>SWITCH('CONFIGURAÇÃO'!$AB$72,"Origem","","Marcante","","Menor","","Arma","RECARGA","Escudo","PREÇO","Uniforme","PREÇO","Item comum","","Ferramenta amaldiçoada","","")</f>
        <v/>
      </c>
      <c r="AC86" s="183" t="n"/>
      <c r="AD86" s="185" t="n"/>
      <c r="AE86" s="182" t="n"/>
      <c r="AF86" s="182" t="n"/>
      <c r="AG86" s="183" t="n"/>
      <c r="AH86" s="176" t="n"/>
      <c r="AI86" s="176" t="n"/>
      <c r="AJ86" s="176" t="n"/>
      <c r="AK86" s="176" t="n"/>
      <c r="AL86" s="176" t="n"/>
      <c r="AM86" s="176" t="n"/>
      <c r="AN86" s="176" t="n"/>
      <c r="AO86" s="176" t="n"/>
      <c r="AP86" s="176" t="n"/>
      <c r="AQ86" s="176" t="n"/>
      <c r="AR86" s="176" t="n"/>
      <c r="AS86" s="176" t="n"/>
      <c r="AT86" s="176" t="n"/>
      <c r="AU86" s="176" t="n"/>
      <c r="AV86" s="176" t="n"/>
      <c r="AW86" s="176" t="n"/>
      <c r="AX86" s="176" t="n"/>
      <c r="AY86" s="176" t="n"/>
      <c r="AZ86" s="176" t="n"/>
      <c r="BA86" s="176" t="n"/>
      <c r="BB86" s="176" t="n"/>
      <c r="BC86" s="176" t="n"/>
      <c r="BD86" s="176" t="n"/>
      <c r="BE86" s="176" t="n"/>
      <c r="BF86" s="176" t="n"/>
      <c r="BG86" s="176" t="n"/>
      <c r="BH86" s="176" t="n"/>
      <c r="BI86" s="176" t="n"/>
      <c r="BJ86" s="176" t="n"/>
      <c r="BK86" s="176" t="n"/>
      <c r="BL86" s="176" t="n"/>
      <c r="BM86" s="176" t="n"/>
      <c r="BN86" s="176" t="n"/>
      <c r="BO86" s="176" t="n"/>
      <c r="BP86" s="176" t="n"/>
      <c r="BQ86" s="176" t="n"/>
      <c r="BR86" s="176" t="n"/>
      <c r="BS86" s="176" t="n"/>
      <c r="BT86" s="176" t="n"/>
      <c r="BU86" s="176" t="n"/>
      <c r="BV86" s="176" t="n"/>
      <c r="BW86" s="176" t="n"/>
      <c r="BX86" s="176" t="n"/>
      <c r="BY86" s="176" t="n"/>
      <c r="BZ86" s="176" t="n"/>
      <c r="CA86" s="176" t="n"/>
      <c r="CB86" s="176" t="n"/>
      <c r="CC86" s="176" t="n"/>
      <c r="CD86" s="176" t="n"/>
      <c r="CE86" s="176" t="n"/>
      <c r="CF86" s="176" t="n"/>
      <c r="CG86" s="176" t="n"/>
      <c r="CH86" s="176" t="n"/>
      <c r="CI86" s="176" t="n"/>
      <c r="CJ86" s="176" t="n"/>
      <c r="CK86" s="176" t="n"/>
      <c r="CL86" s="176" t="n"/>
      <c r="CM86" s="176" t="n"/>
      <c r="CN86" s="176" t="n"/>
      <c r="CO86" s="176" t="n"/>
      <c r="CP86" s="176" t="n"/>
      <c r="CQ86" s="176" t="n"/>
      <c r="CR86" s="176" t="n"/>
      <c r="CS86" s="176" t="n"/>
      <c r="CT86" s="176" t="n"/>
      <c r="CU86" s="176" t="n"/>
      <c r="CV86" s="176" t="n"/>
      <c r="CW86" s="176" t="n"/>
      <c r="CX86" s="176" t="n"/>
      <c r="CY86" s="176" t="n"/>
      <c r="CZ86" s="176" t="n"/>
      <c r="DA86" s="180">
        <f>IF('DADOS_MELHORIAS'!$M$6="","","⚠ "&amp;'DADOS_MELHORIAS'!$M$6)</f>
        <v/>
      </c>
      <c r="DG86" s="176" t="n"/>
      <c r="DH86" s="176" t="n"/>
      <c r="DI86" s="180">
        <f>IF('DADOS_MELHORIAS'!$M$7="","","⚠ "&amp;'DADOS_MELHORIAS'!$M$7)</f>
        <v/>
      </c>
      <c r="DO86" s="176" t="n"/>
      <c r="DP86" s="176" t="n"/>
      <c r="DQ86" s="176" t="n"/>
      <c r="DR86" s="181" t="inlineStr">
        <is>
          <t>EFEITO E REQUISITOS</t>
        </is>
      </c>
      <c r="DS86" s="182" t="n"/>
      <c r="DT86" s="182" t="n"/>
      <c r="DU86" s="182" t="n"/>
      <c r="DV86" s="182" t="n"/>
      <c r="DW86" s="183" t="n"/>
      <c r="DX86" s="176" t="n"/>
      <c r="DY86" s="176" t="n"/>
      <c r="DZ86" s="181" t="inlineStr">
        <is>
          <t>EFEITO E REQUISITOS</t>
        </is>
      </c>
      <c r="EA86" s="182" t="n"/>
      <c r="EB86" s="182" t="n"/>
      <c r="EC86" s="182" t="n"/>
      <c r="ED86" s="182" t="n"/>
      <c r="EE86" s="183" t="n"/>
      <c r="EF86" s="176" t="n"/>
      <c r="EG86" s="176" t="n"/>
      <c r="EH86" s="176" t="n"/>
      <c r="EI86" s="193" t="n"/>
      <c r="EN86" s="194" t="n"/>
      <c r="EO86" s="176" t="n"/>
      <c r="EP86" s="176" t="n"/>
      <c r="EQ86" s="193" t="n"/>
      <c r="EV86" s="194" t="n"/>
      <c r="EW86" s="176" t="n"/>
      <c r="EX86" s="176" t="n"/>
      <c r="EY86" s="176" t="n"/>
      <c r="EZ86" s="181" t="inlineStr">
        <is>
          <t>ÁREA · E · 7</t>
        </is>
      </c>
      <c r="FA86" s="182" t="n"/>
      <c r="FB86" s="183" t="n"/>
      <c r="FC86" s="185" t="n"/>
      <c r="FD86" s="182" t="n"/>
      <c r="FE86" s="183" t="n"/>
      <c r="FF86" s="176" t="n"/>
      <c r="FG86" s="176" t="n"/>
      <c r="FH86" s="181" t="inlineStr">
        <is>
          <t>ÁREA · E · 7</t>
        </is>
      </c>
      <c r="FI86" s="182" t="n"/>
      <c r="FJ86" s="183" t="n"/>
      <c r="FK86" s="185" t="n"/>
      <c r="FL86" s="182" t="n"/>
      <c r="FM86" s="183" t="n"/>
      <c r="FN86" s="176" t="n"/>
      <c r="FO86" s="176" t="n"/>
      <c r="FP86" s="176" t="n"/>
      <c r="FQ86" s="193" t="n"/>
      <c r="FV86" s="194" t="n"/>
      <c r="FW86" s="176" t="n"/>
      <c r="FX86" s="176" t="n"/>
      <c r="FY86" s="193" t="n"/>
      <c r="GD86" s="194" t="n"/>
      <c r="GE86" s="176" t="n"/>
      <c r="GF86" s="176" t="n"/>
      <c r="GG86" s="176" t="n"/>
      <c r="GH86" s="176" t="n"/>
      <c r="GI86" s="176" t="n"/>
      <c r="GJ86" s="176" t="n"/>
      <c r="GK86" s="176" t="n"/>
      <c r="GL86" s="176" t="n"/>
      <c r="GM86" s="176" t="n"/>
      <c r="GN86" s="176" t="n"/>
      <c r="GO86" s="176" t="n"/>
      <c r="GP86" s="176" t="n"/>
      <c r="GQ86" s="176" t="n"/>
      <c r="GR86" s="176" t="n"/>
      <c r="GS86" s="176" t="n"/>
      <c r="GT86" s="176" t="n"/>
      <c r="GU86" s="176" t="n"/>
      <c r="GV86" s="176" t="n"/>
      <c r="GW86" s="176" t="n"/>
      <c r="GX86" s="176" t="n"/>
      <c r="GY86" s="193" t="n"/>
      <c r="HD86" s="194" t="n"/>
      <c r="HE86" s="176" t="n"/>
      <c r="HF86" s="176" t="n"/>
      <c r="HG86" s="193" t="n"/>
      <c r="HL86" s="194" t="n"/>
      <c r="HM86" s="176" t="n"/>
      <c r="HN86" s="176" t="n"/>
      <c r="HO86" s="176" t="n"/>
      <c r="HP86" s="193" t="n"/>
      <c r="HU86" s="194" t="n"/>
      <c r="HV86" s="176" t="n"/>
      <c r="HW86" s="176" t="n"/>
      <c r="HX86" s="193" t="n"/>
      <c r="IC86" s="194" t="n"/>
      <c r="ID86" s="176" t="n"/>
    </row>
    <row r="87" ht="21" customHeight="1">
      <c r="A87" s="176" t="n"/>
      <c r="B87" s="176" t="n"/>
      <c r="C87" s="186" t="n">
        <v>23</v>
      </c>
      <c r="D87" s="183" t="n"/>
      <c r="E87" s="186" t="n">
        <v>1700</v>
      </c>
      <c r="F87" s="185" t="n"/>
      <c r="G87" s="186">
        <f>IF(F87="",IF(E87="","",E87),IF(IFERROR(AND(ISNUMBER(F87),F87&gt;=0,INT(F87)=F87),FALSE),F87,NA()))</f>
        <v/>
      </c>
      <c r="H87" s="186">
        <f>DADOS_CONFIG!Z24</f>
        <v/>
      </c>
      <c r="I87" s="176" t="n"/>
      <c r="J87" s="176" t="n"/>
      <c r="K87" s="176" t="n"/>
      <c r="L87" s="176" t="n"/>
      <c r="M87" s="176" t="n"/>
      <c r="N87" s="176" t="n"/>
      <c r="O87" s="176" t="n"/>
      <c r="P87" s="176" t="n"/>
      <c r="Q87" s="176" t="n"/>
      <c r="R87" s="176" t="n"/>
      <c r="S87" s="176" t="n"/>
      <c r="T87" s="181">
        <f>SWITCH('CONFIGURAÇÃO'!$T$72,"Origem","","Marcante","","Menor","","Arma","PREÇO","Escudo","","Uniforme","","Item comum","","Ferramenta amaldiçoada","","")</f>
        <v/>
      </c>
      <c r="U87" s="183" t="n"/>
      <c r="V87" s="185" t="n"/>
      <c r="W87" s="182" t="n"/>
      <c r="X87" s="182" t="n"/>
      <c r="Y87" s="183" t="n"/>
      <c r="Z87" s="176" t="n"/>
      <c r="AA87" s="176" t="n"/>
      <c r="AB87" s="181">
        <f>SWITCH('CONFIGURAÇÃO'!$AB$72,"Origem","","Marcante","","Menor","","Arma","PREÇO","Escudo","","Uniforme","","Item comum","","Ferramenta amaldiçoada","","")</f>
        <v/>
      </c>
      <c r="AC87" s="183" t="n"/>
      <c r="AD87" s="185" t="n"/>
      <c r="AE87" s="182" t="n"/>
      <c r="AF87" s="182" t="n"/>
      <c r="AG87" s="183" t="n"/>
      <c r="AH87" s="176" t="n"/>
      <c r="AI87" s="176" t="n"/>
      <c r="AJ87" s="176" t="n"/>
      <c r="AK87" s="176" t="n"/>
      <c r="AL87" s="176" t="n"/>
      <c r="AM87" s="176" t="n"/>
      <c r="AN87" s="176" t="n"/>
      <c r="AO87" s="176" t="n"/>
      <c r="AP87" s="176" t="n"/>
      <c r="AQ87" s="176" t="n"/>
      <c r="AR87" s="176" t="n"/>
      <c r="AS87" s="176" t="n"/>
      <c r="AT87" s="176" t="n"/>
      <c r="AU87" s="176" t="n"/>
      <c r="AV87" s="176" t="n"/>
      <c r="AW87" s="176" t="n"/>
      <c r="AX87" s="176" t="n"/>
      <c r="AY87" s="176" t="n"/>
      <c r="AZ87" s="176" t="n"/>
      <c r="BA87" s="176" t="n"/>
      <c r="BB87" s="176" t="n"/>
      <c r="BC87" s="176" t="n"/>
      <c r="BD87" s="176" t="n"/>
      <c r="BE87" s="176" t="n"/>
      <c r="BF87" s="176" t="n"/>
      <c r="BG87" s="176" t="n"/>
      <c r="BH87" s="176" t="n"/>
      <c r="BI87" s="176" t="n"/>
      <c r="BJ87" s="176" t="n"/>
      <c r="BK87" s="176" t="n"/>
      <c r="BL87" s="176" t="n"/>
      <c r="BM87" s="176" t="n"/>
      <c r="BN87" s="176" t="n"/>
      <c r="BO87" s="176" t="n"/>
      <c r="BP87" s="176" t="n"/>
      <c r="BQ87" s="176" t="n"/>
      <c r="BR87" s="176" t="n"/>
      <c r="BS87" s="176" t="n"/>
      <c r="BT87" s="176" t="n"/>
      <c r="BU87" s="176" t="n"/>
      <c r="BV87" s="176" t="n"/>
      <c r="BW87" s="176" t="n"/>
      <c r="BX87" s="176" t="n"/>
      <c r="BY87" s="176" t="n"/>
      <c r="BZ87" s="176" t="n"/>
      <c r="CA87" s="176" t="n"/>
      <c r="CB87" s="176" t="n"/>
      <c r="CC87" s="176" t="n"/>
      <c r="CD87" s="176" t="n"/>
      <c r="CE87" s="176" t="n"/>
      <c r="CF87" s="176" t="n"/>
      <c r="CG87" s="176" t="n"/>
      <c r="CH87" s="176" t="n"/>
      <c r="CI87" s="176" t="n"/>
      <c r="CJ87" s="176" t="n"/>
      <c r="CK87" s="176" t="n"/>
      <c r="CL87" s="176" t="n"/>
      <c r="CM87" s="176" t="n"/>
      <c r="CN87" s="176" t="n"/>
      <c r="CO87" s="176" t="n"/>
      <c r="CP87" s="176" t="n"/>
      <c r="CQ87" s="176" t="n"/>
      <c r="CR87" s="176" t="n"/>
      <c r="CS87" s="176" t="n"/>
      <c r="CT87" s="176" t="n"/>
      <c r="CU87" s="176" t="n"/>
      <c r="CV87" s="176" t="n"/>
      <c r="CW87" s="176" t="n"/>
      <c r="CX87" s="176" t="n"/>
      <c r="CY87" s="176" t="n"/>
      <c r="CZ87" s="176" t="n"/>
      <c r="DG87" s="176" t="n"/>
      <c r="DH87" s="176" t="n"/>
      <c r="DO87" s="176" t="n"/>
      <c r="DP87" s="176" t="n"/>
      <c r="DQ87" s="176" t="n"/>
      <c r="DR87" s="192" t="n"/>
      <c r="DS87" s="187" t="n"/>
      <c r="DT87" s="187" t="n"/>
      <c r="DU87" s="187" t="n"/>
      <c r="DV87" s="187" t="n"/>
      <c r="DW87" s="188" t="n"/>
      <c r="DX87" s="176" t="n"/>
      <c r="DY87" s="176" t="n"/>
      <c r="DZ87" s="192" t="n"/>
      <c r="EA87" s="187" t="n"/>
      <c r="EB87" s="187" t="n"/>
      <c r="EC87" s="187" t="n"/>
      <c r="ED87" s="187" t="n"/>
      <c r="EE87" s="188" t="n"/>
      <c r="EF87" s="176" t="n"/>
      <c r="EG87" s="176" t="n"/>
      <c r="EH87" s="176" t="n"/>
      <c r="EI87" s="193" t="n"/>
      <c r="EN87" s="194" t="n"/>
      <c r="EO87" s="176" t="n"/>
      <c r="EP87" s="176" t="n"/>
      <c r="EQ87" s="193" t="n"/>
      <c r="EV87" s="194" t="n"/>
      <c r="EW87" s="176" t="n"/>
      <c r="EX87" s="176" t="n"/>
      <c r="EY87" s="176" t="n"/>
      <c r="EZ87" s="176" t="n"/>
      <c r="FA87" s="176" t="n"/>
      <c r="FB87" s="176" t="n"/>
      <c r="FC87" s="176" t="n"/>
      <c r="FD87" s="176" t="n"/>
      <c r="FE87" s="176" t="n"/>
      <c r="FF87" s="176" t="n"/>
      <c r="FG87" s="176" t="n"/>
      <c r="FH87" s="176" t="n"/>
      <c r="FI87" s="176" t="n"/>
      <c r="FJ87" s="176" t="n"/>
      <c r="FK87" s="176" t="n"/>
      <c r="FL87" s="176" t="n"/>
      <c r="FM87" s="176" t="n"/>
      <c r="FN87" s="176" t="n"/>
      <c r="FO87" s="176" t="n"/>
      <c r="FP87" s="176" t="n"/>
      <c r="FQ87" s="189" t="n"/>
      <c r="FR87" s="190" t="n"/>
      <c r="FS87" s="190" t="n"/>
      <c r="FT87" s="190" t="n"/>
      <c r="FU87" s="190" t="n"/>
      <c r="FV87" s="191" t="n"/>
      <c r="FW87" s="176" t="n"/>
      <c r="FX87" s="176" t="n"/>
      <c r="FY87" s="189" t="n"/>
      <c r="FZ87" s="190" t="n"/>
      <c r="GA87" s="190" t="n"/>
      <c r="GB87" s="190" t="n"/>
      <c r="GC87" s="190" t="n"/>
      <c r="GD87" s="191" t="n"/>
      <c r="GE87" s="176" t="n"/>
      <c r="GF87" s="176" t="n"/>
      <c r="GG87" s="176" t="n"/>
      <c r="GH87" s="179" t="inlineStr">
        <is>
          <t>TALENTOS · 7</t>
        </is>
      </c>
      <c r="GN87" s="176" t="n"/>
      <c r="GO87" s="176" t="n"/>
      <c r="GP87" s="179" t="inlineStr">
        <is>
          <t>TALENTOS · 8</t>
        </is>
      </c>
      <c r="GV87" s="176" t="n"/>
      <c r="GW87" s="176" t="n"/>
      <c r="GX87" s="176" t="n"/>
      <c r="GY87" s="193" t="n"/>
      <c r="HD87" s="194" t="n"/>
      <c r="HE87" s="176" t="n"/>
      <c r="HF87" s="176" t="n"/>
      <c r="HG87" s="193" t="n"/>
      <c r="HL87" s="194" t="n"/>
      <c r="HM87" s="176" t="n"/>
      <c r="HN87" s="176" t="n"/>
      <c r="HO87" s="176" t="n"/>
      <c r="HP87" s="193" t="n"/>
      <c r="HU87" s="194" t="n"/>
      <c r="HV87" s="176" t="n"/>
      <c r="HW87" s="176" t="n"/>
      <c r="HX87" s="193" t="n"/>
      <c r="IC87" s="194" t="n"/>
      <c r="ID87" s="176" t="n"/>
    </row>
    <row r="88" ht="21" customHeight="1">
      <c r="A88" s="176" t="n"/>
      <c r="B88" s="176" t="n"/>
      <c r="C88" s="186" t="n">
        <v>24</v>
      </c>
      <c r="D88" s="183" t="n"/>
      <c r="E88" s="186" t="n">
        <v>1700</v>
      </c>
      <c r="F88" s="185" t="n"/>
      <c r="G88" s="186">
        <f>IF(F88="",IF(E88="","",E88),IF(IFERROR(AND(ISNUMBER(F88),F88&gt;=0,INT(F88)=F88),FALSE),F88,NA()))</f>
        <v/>
      </c>
      <c r="H88" s="186">
        <f>DADOS_CONFIG!Z25</f>
        <v/>
      </c>
      <c r="I88" s="176" t="n"/>
      <c r="J88" s="176" t="n"/>
      <c r="K88" s="176" t="n"/>
      <c r="L88" s="176" t="n"/>
      <c r="M88" s="176" t="n"/>
      <c r="N88" s="176" t="n"/>
      <c r="O88" s="176" t="n"/>
      <c r="P88" s="176" t="n"/>
      <c r="Q88" s="176" t="n"/>
      <c r="R88" s="176" t="n"/>
      <c r="S88" s="176" t="n"/>
      <c r="T88" s="181" t="inlineStr">
        <is>
          <t>EFEITO · DESCRIÇÃO</t>
        </is>
      </c>
      <c r="U88" s="182" t="n"/>
      <c r="V88" s="182" t="n"/>
      <c r="W88" s="182" t="n"/>
      <c r="X88" s="182" t="n"/>
      <c r="Y88" s="183" t="n"/>
      <c r="Z88" s="176" t="n"/>
      <c r="AA88" s="176" t="n"/>
      <c r="AB88" s="181" t="inlineStr">
        <is>
          <t>EFEITO · DESCRIÇÃO</t>
        </is>
      </c>
      <c r="AC88" s="182" t="n"/>
      <c r="AD88" s="182" t="n"/>
      <c r="AE88" s="182" t="n"/>
      <c r="AF88" s="182" t="n"/>
      <c r="AG88" s="183" t="n"/>
      <c r="AH88" s="176" t="n"/>
      <c r="AI88" s="176" t="n"/>
      <c r="AJ88" s="176" t="n"/>
      <c r="AK88" s="176" t="n"/>
      <c r="AL88" s="176" t="n"/>
      <c r="AM88" s="176" t="n"/>
      <c r="AN88" s="176" t="n"/>
      <c r="AO88" s="176" t="n"/>
      <c r="AP88" s="176" t="n"/>
      <c r="AQ88" s="176" t="n"/>
      <c r="AR88" s="176" t="n"/>
      <c r="AS88" s="176" t="n"/>
      <c r="AT88" s="176" t="n"/>
      <c r="AU88" s="176" t="n"/>
      <c r="AV88" s="176" t="n"/>
      <c r="AW88" s="176" t="n"/>
      <c r="AX88" s="176" t="n"/>
      <c r="AY88" s="176" t="n"/>
      <c r="AZ88" s="176" t="n"/>
      <c r="BA88" s="176" t="n"/>
      <c r="BB88" s="176" t="n"/>
      <c r="BC88" s="176" t="n"/>
      <c r="BD88" s="176" t="n"/>
      <c r="BE88" s="176" t="n"/>
      <c r="BF88" s="176" t="n"/>
      <c r="BG88" s="176" t="n"/>
      <c r="BH88" s="176" t="n"/>
      <c r="BI88" s="176" t="n"/>
      <c r="BJ88" s="176" t="n"/>
      <c r="BK88" s="176" t="n"/>
      <c r="BL88" s="176" t="n"/>
      <c r="BM88" s="176" t="n"/>
      <c r="BN88" s="176" t="n"/>
      <c r="BO88" s="176" t="n"/>
      <c r="BP88" s="176" t="n"/>
      <c r="BQ88" s="176" t="n"/>
      <c r="BR88" s="176" t="n"/>
      <c r="BS88" s="176" t="n"/>
      <c r="BT88" s="176" t="n"/>
      <c r="BU88" s="176" t="n"/>
      <c r="BV88" s="176" t="n"/>
      <c r="BW88" s="176" t="n"/>
      <c r="BX88" s="176" t="n"/>
      <c r="BY88" s="176" t="n"/>
      <c r="BZ88" s="176" t="n"/>
      <c r="CA88" s="176" t="n"/>
      <c r="CB88" s="176" t="n"/>
      <c r="CC88" s="176" t="n"/>
      <c r="CD88" s="176" t="n"/>
      <c r="CE88" s="176" t="n"/>
      <c r="CF88" s="176" t="n"/>
      <c r="CG88" s="176" t="n"/>
      <c r="CH88" s="176" t="n"/>
      <c r="CI88" s="176" t="n"/>
      <c r="CJ88" s="176" t="n"/>
      <c r="CK88" s="176" t="n"/>
      <c r="CL88" s="176" t="n"/>
      <c r="CM88" s="176" t="n"/>
      <c r="CN88" s="176" t="n"/>
      <c r="CO88" s="176" t="n"/>
      <c r="CP88" s="176" t="n"/>
      <c r="CQ88" s="176" t="n"/>
      <c r="CR88" s="176" t="n"/>
      <c r="CS88" s="176" t="n"/>
      <c r="CT88" s="176" t="n"/>
      <c r="CU88" s="176" t="n"/>
      <c r="CV88" s="176" t="n"/>
      <c r="CW88" s="176" t="n"/>
      <c r="CX88" s="176" t="n"/>
      <c r="CY88" s="176" t="n"/>
      <c r="CZ88" s="176" t="n"/>
      <c r="DA88" s="176" t="n"/>
      <c r="DB88" s="176" t="n"/>
      <c r="DC88" s="176" t="n"/>
      <c r="DD88" s="176" t="n"/>
      <c r="DE88" s="176" t="n"/>
      <c r="DF88" s="176" t="n"/>
      <c r="DG88" s="176" t="n"/>
      <c r="DH88" s="176" t="n"/>
      <c r="DI88" s="176" t="n"/>
      <c r="DJ88" s="176" t="n"/>
      <c r="DK88" s="176" t="n"/>
      <c r="DL88" s="176" t="n"/>
      <c r="DM88" s="176" t="n"/>
      <c r="DN88" s="176" t="n"/>
      <c r="DO88" s="176" t="n"/>
      <c r="DP88" s="176" t="n"/>
      <c r="DQ88" s="176" t="n"/>
      <c r="DR88" s="193" t="n"/>
      <c r="DW88" s="194" t="n"/>
      <c r="DX88" s="176" t="n"/>
      <c r="DY88" s="176" t="n"/>
      <c r="DZ88" s="193" t="n"/>
      <c r="EE88" s="194" t="n"/>
      <c r="EF88" s="176" t="n"/>
      <c r="EG88" s="176" t="n"/>
      <c r="EH88" s="176" t="n"/>
      <c r="EI88" s="193" t="n"/>
      <c r="EN88" s="194" t="n"/>
      <c r="EO88" s="176" t="n"/>
      <c r="EP88" s="176" t="n"/>
      <c r="EQ88" s="193" t="n"/>
      <c r="EV88" s="194" t="n"/>
      <c r="EW88" s="176" t="n"/>
      <c r="EX88" s="176" t="n"/>
      <c r="EY88" s="176" t="n"/>
      <c r="EZ88" s="181" t="inlineStr">
        <is>
          <t>REQUISITOS</t>
        </is>
      </c>
      <c r="FA88" s="182" t="n"/>
      <c r="FB88" s="182" t="n"/>
      <c r="FC88" s="182" t="n"/>
      <c r="FD88" s="182" t="n"/>
      <c r="FE88" s="183" t="n"/>
      <c r="FF88" s="176" t="n"/>
      <c r="FG88" s="176" t="n"/>
      <c r="FH88" s="181" t="inlineStr">
        <is>
          <t>REQUISITOS</t>
        </is>
      </c>
      <c r="FI88" s="182" t="n"/>
      <c r="FJ88" s="182" t="n"/>
      <c r="FK88" s="182" t="n"/>
      <c r="FL88" s="182" t="n"/>
      <c r="FM88" s="183" t="n"/>
      <c r="FN88" s="176" t="n"/>
      <c r="FO88" s="176" t="n"/>
      <c r="FP88" s="176" t="n"/>
      <c r="FQ88" s="176" t="n"/>
      <c r="FR88" s="176" t="n"/>
      <c r="FS88" s="176" t="n"/>
      <c r="FT88" s="176" t="n"/>
      <c r="FU88" s="176" t="n"/>
      <c r="FV88" s="176" t="n"/>
      <c r="FW88" s="176" t="n"/>
      <c r="FX88" s="176" t="n"/>
      <c r="FY88" s="176" t="n"/>
      <c r="FZ88" s="176" t="n"/>
      <c r="GA88" s="176" t="n"/>
      <c r="GB88" s="176" t="n"/>
      <c r="GC88" s="176" t="n"/>
      <c r="GD88" s="176" t="n"/>
      <c r="GE88" s="176" t="n"/>
      <c r="GF88" s="176" t="n"/>
      <c r="GG88" s="176" t="n"/>
      <c r="GH88" s="181" t="inlineStr">
        <is>
          <t>TIPO</t>
        </is>
      </c>
      <c r="GI88" s="182" t="n"/>
      <c r="GJ88" s="182" t="n"/>
      <c r="GK88" s="183" t="n"/>
      <c r="GL88" s="181" t="inlineStr">
        <is>
          <t>MESTRE VIU</t>
        </is>
      </c>
      <c r="GM88" s="183" t="n"/>
      <c r="GN88" s="176" t="n"/>
      <c r="GO88" s="176" t="n"/>
      <c r="GP88" s="181" t="inlineStr">
        <is>
          <t>TIPO</t>
        </is>
      </c>
      <c r="GQ88" s="182" t="n"/>
      <c r="GR88" s="182" t="n"/>
      <c r="GS88" s="183" t="n"/>
      <c r="GT88" s="181" t="inlineStr">
        <is>
          <t>MESTRE VIU</t>
        </is>
      </c>
      <c r="GU88" s="183" t="n"/>
      <c r="GV88" s="176" t="n"/>
      <c r="GW88" s="176" t="n"/>
      <c r="GX88" s="176" t="n"/>
      <c r="GY88" s="193" t="n"/>
      <c r="HD88" s="194" t="n"/>
      <c r="HE88" s="176" t="n"/>
      <c r="HF88" s="176" t="n"/>
      <c r="HG88" s="193" t="n"/>
      <c r="HL88" s="194" t="n"/>
      <c r="HM88" s="176" t="n"/>
      <c r="HN88" s="176" t="n"/>
      <c r="HO88" s="176" t="n"/>
      <c r="HP88" s="193" t="n"/>
      <c r="HU88" s="194" t="n"/>
      <c r="HV88" s="176" t="n"/>
      <c r="HW88" s="176" t="n"/>
      <c r="HX88" s="193" t="n"/>
      <c r="IC88" s="194" t="n"/>
      <c r="ID88" s="176" t="n"/>
    </row>
    <row r="89" ht="21" customHeight="1">
      <c r="A89" s="176" t="n"/>
      <c r="B89" s="176" t="n"/>
      <c r="C89" s="186" t="n">
        <v>25</v>
      </c>
      <c r="D89" s="183" t="n"/>
      <c r="E89" s="186" t="n">
        <v>1700</v>
      </c>
      <c r="F89" s="185" t="n"/>
      <c r="G89" s="186">
        <f>IF(F89="",IF(E89="","",E89),IF(IFERROR(AND(ISNUMBER(F89),F89&gt;=0,INT(F89)=F89),FALSE),F89,NA()))</f>
        <v/>
      </c>
      <c r="H89" s="186">
        <f>DADOS_CONFIG!Z26</f>
        <v/>
      </c>
      <c r="I89" s="176" t="n"/>
      <c r="J89" s="176" t="n"/>
      <c r="K89" s="176" t="n"/>
      <c r="L89" s="176" t="n"/>
      <c r="M89" s="176" t="n"/>
      <c r="N89" s="176" t="n"/>
      <c r="O89" s="176" t="n"/>
      <c r="P89" s="176" t="n"/>
      <c r="Q89" s="176" t="n"/>
      <c r="R89" s="176" t="n"/>
      <c r="S89" s="176" t="n"/>
      <c r="T89" s="192" t="n"/>
      <c r="U89" s="187" t="n"/>
      <c r="V89" s="187" t="n"/>
      <c r="W89" s="187" t="n"/>
      <c r="X89" s="187" t="n"/>
      <c r="Y89" s="188" t="n"/>
      <c r="Z89" s="176" t="n"/>
      <c r="AA89" s="176" t="n"/>
      <c r="AB89" s="192" t="n"/>
      <c r="AC89" s="187" t="n"/>
      <c r="AD89" s="187" t="n"/>
      <c r="AE89" s="187" t="n"/>
      <c r="AF89" s="187" t="n"/>
      <c r="AG89" s="188" t="n"/>
      <c r="AH89" s="176" t="n"/>
      <c r="AI89" s="176" t="n"/>
      <c r="AJ89" s="176" t="n"/>
      <c r="AK89" s="176" t="n"/>
      <c r="AL89" s="176" t="n"/>
      <c r="AM89" s="176" t="n"/>
      <c r="AN89" s="176" t="n"/>
      <c r="AO89" s="176" t="n"/>
      <c r="AP89" s="176" t="n"/>
      <c r="AQ89" s="176" t="n"/>
      <c r="AR89" s="176" t="n"/>
      <c r="AS89" s="176" t="n"/>
      <c r="AT89" s="176" t="n"/>
      <c r="AU89" s="176" t="n"/>
      <c r="AV89" s="176" t="n"/>
      <c r="AW89" s="176" t="n"/>
      <c r="AX89" s="176" t="n"/>
      <c r="AY89" s="176" t="n"/>
      <c r="AZ89" s="176" t="n"/>
      <c r="BA89" s="176" t="n"/>
      <c r="BB89" s="176" t="n"/>
      <c r="BC89" s="176" t="n"/>
      <c r="BD89" s="176" t="n"/>
      <c r="BE89" s="176" t="n"/>
      <c r="BF89" s="176" t="n"/>
      <c r="BG89" s="176" t="n"/>
      <c r="BH89" s="176" t="n"/>
      <c r="BI89" s="176" t="n"/>
      <c r="BJ89" s="176" t="n"/>
      <c r="BK89" s="176" t="n"/>
      <c r="BL89" s="176" t="n"/>
      <c r="BM89" s="176" t="n"/>
      <c r="BN89" s="176" t="n"/>
      <c r="BO89" s="176" t="n"/>
      <c r="BP89" s="176" t="n"/>
      <c r="BQ89" s="176" t="n"/>
      <c r="BR89" s="176" t="n"/>
      <c r="BS89" s="176" t="n"/>
      <c r="BT89" s="176" t="n"/>
      <c r="BU89" s="176" t="n"/>
      <c r="BV89" s="176" t="n"/>
      <c r="BW89" s="176" t="n"/>
      <c r="BX89" s="176" t="n"/>
      <c r="BY89" s="176" t="n"/>
      <c r="BZ89" s="176" t="n"/>
      <c r="CA89" s="176" t="n"/>
      <c r="CB89" s="176" t="n"/>
      <c r="CC89" s="176" t="n"/>
      <c r="CD89" s="176" t="n"/>
      <c r="CE89" s="176" t="n"/>
      <c r="CF89" s="176" t="n"/>
      <c r="CG89" s="176" t="n"/>
      <c r="CH89" s="176" t="n"/>
      <c r="CI89" s="176" t="n"/>
      <c r="CJ89" s="176" t="n"/>
      <c r="CK89" s="176" t="n"/>
      <c r="CL89" s="176" t="n"/>
      <c r="CM89" s="176" t="n"/>
      <c r="CN89" s="176" t="n"/>
      <c r="CO89" s="176" t="n"/>
      <c r="CP89" s="176" t="n"/>
      <c r="CQ89" s="176" t="n"/>
      <c r="CR89" s="176" t="n"/>
      <c r="CS89" s="176" t="n"/>
      <c r="CT89" s="176" t="n"/>
      <c r="CU89" s="176" t="n"/>
      <c r="CV89" s="176" t="n"/>
      <c r="CW89" s="176" t="n"/>
      <c r="CX89" s="176" t="n"/>
      <c r="CY89" s="176" t="n"/>
      <c r="CZ89" s="176" t="n"/>
      <c r="DA89" s="179" t="inlineStr">
        <is>
          <t>MELHORIA · 7</t>
        </is>
      </c>
      <c r="DG89" s="176" t="n"/>
      <c r="DH89" s="176" t="n"/>
      <c r="DI89" s="179" t="inlineStr">
        <is>
          <t>MELHORIA · 8</t>
        </is>
      </c>
      <c r="DO89" s="176" t="n"/>
      <c r="DP89" s="176" t="n"/>
      <c r="DQ89" s="176" t="n"/>
      <c r="DR89" s="193" t="n"/>
      <c r="DW89" s="194" t="n"/>
      <c r="DX89" s="176" t="n"/>
      <c r="DY89" s="176" t="n"/>
      <c r="DZ89" s="193" t="n"/>
      <c r="EE89" s="194" t="n"/>
      <c r="EF89" s="176" t="n"/>
      <c r="EG89" s="176" t="n"/>
      <c r="EH89" s="176" t="n"/>
      <c r="EI89" s="193" t="n"/>
      <c r="EN89" s="194" t="n"/>
      <c r="EO89" s="176" t="n"/>
      <c r="EP89" s="176" t="n"/>
      <c r="EQ89" s="193" t="n"/>
      <c r="EV89" s="194" t="n"/>
      <c r="EW89" s="176" t="n"/>
      <c r="EX89" s="176" t="n"/>
      <c r="EY89" s="176" t="n"/>
      <c r="EZ89" s="192" t="n"/>
      <c r="FA89" s="187" t="n"/>
      <c r="FB89" s="187" t="n"/>
      <c r="FC89" s="187" t="n"/>
      <c r="FD89" s="187" t="n"/>
      <c r="FE89" s="188" t="n"/>
      <c r="FF89" s="176" t="n"/>
      <c r="FG89" s="176" t="n"/>
      <c r="FH89" s="192" t="n"/>
      <c r="FI89" s="187" t="n"/>
      <c r="FJ89" s="187" t="n"/>
      <c r="FK89" s="187" t="n"/>
      <c r="FL89" s="187" t="n"/>
      <c r="FM89" s="188" t="n"/>
      <c r="FN89" s="176" t="n"/>
      <c r="FO89" s="176" t="n"/>
      <c r="FP89" s="176" t="n"/>
      <c r="FQ89" s="176" t="n"/>
      <c r="FR89" s="176" t="n"/>
      <c r="FS89" s="176" t="n"/>
      <c r="FT89" s="176" t="n"/>
      <c r="FU89" s="176" t="n"/>
      <c r="FV89" s="176" t="n"/>
      <c r="FW89" s="176" t="n"/>
      <c r="FX89" s="176" t="n"/>
      <c r="FY89" s="176" t="n"/>
      <c r="FZ89" s="176" t="n"/>
      <c r="GA89" s="176" t="n"/>
      <c r="GB89" s="176" t="n"/>
      <c r="GC89" s="176" t="n"/>
      <c r="GD89" s="176" t="n"/>
      <c r="GE89" s="176" t="n"/>
      <c r="GF89" s="176" t="n"/>
      <c r="GG89" s="176" t="n"/>
      <c r="GH89" s="185" t="inlineStr">
        <is>
          <t>Talento</t>
        </is>
      </c>
      <c r="GI89" s="182" t="n"/>
      <c r="GJ89" s="182" t="n"/>
      <c r="GK89" s="183" t="n"/>
      <c r="GL89" s="184" t="b">
        <v>0</v>
      </c>
      <c r="GM89" s="183" t="n"/>
      <c r="GN89" s="176" t="n"/>
      <c r="GO89" s="176" t="n"/>
      <c r="GP89" s="185" t="inlineStr">
        <is>
          <t>Talento</t>
        </is>
      </c>
      <c r="GQ89" s="182" t="n"/>
      <c r="GR89" s="182" t="n"/>
      <c r="GS89" s="183" t="n"/>
      <c r="GT89" s="184" t="b">
        <v>0</v>
      </c>
      <c r="GU89" s="183" t="n"/>
      <c r="GV89" s="176" t="n"/>
      <c r="GW89" s="176" t="n"/>
      <c r="GX89" s="176" t="n"/>
      <c r="GY89" s="193" t="n"/>
      <c r="HD89" s="194" t="n"/>
      <c r="HE89" s="176" t="n"/>
      <c r="HF89" s="176" t="n"/>
      <c r="HG89" s="193" t="n"/>
      <c r="HL89" s="194" t="n"/>
      <c r="HM89" s="176" t="n"/>
      <c r="HN89" s="176" t="n"/>
      <c r="HO89" s="176" t="n"/>
      <c r="HP89" s="193" t="n"/>
      <c r="HU89" s="194" t="n"/>
      <c r="HV89" s="176" t="n"/>
      <c r="HW89" s="176" t="n"/>
      <c r="HX89" s="193" t="n"/>
      <c r="IC89" s="194" t="n"/>
      <c r="ID89" s="176" t="n"/>
    </row>
    <row r="90" ht="21" customHeight="1">
      <c r="A90" s="176" t="n"/>
      <c r="B90" s="176" t="n"/>
      <c r="C90" s="186" t="n">
        <v>26</v>
      </c>
      <c r="D90" s="183" t="n"/>
      <c r="E90" s="186" t="n">
        <v>1700</v>
      </c>
      <c r="F90" s="185" t="n"/>
      <c r="G90" s="186">
        <f>IF(F90="",IF(E90="","",E90),IF(IFERROR(AND(ISNUMBER(F90),F90&gt;=0,INT(F90)=F90),FALSE),F90,NA()))</f>
        <v/>
      </c>
      <c r="H90" s="186">
        <f>DADOS_CONFIG!Z27</f>
        <v/>
      </c>
      <c r="I90" s="176" t="n"/>
      <c r="J90" s="176" t="n"/>
      <c r="K90" s="176" t="n"/>
      <c r="L90" s="176" t="n"/>
      <c r="M90" s="176" t="n"/>
      <c r="N90" s="176" t="n"/>
      <c r="O90" s="176" t="n"/>
      <c r="P90" s="176" t="n"/>
      <c r="Q90" s="176" t="n"/>
      <c r="R90" s="176" t="n"/>
      <c r="S90" s="176" t="n"/>
      <c r="T90" s="193" t="n"/>
      <c r="Y90" s="194" t="n"/>
      <c r="Z90" s="176" t="n"/>
      <c r="AA90" s="176" t="n"/>
      <c r="AB90" s="193" t="n"/>
      <c r="AG90" s="194" t="n"/>
      <c r="AH90" s="176" t="n"/>
      <c r="AI90" s="176" t="n"/>
      <c r="AJ90" s="176" t="n"/>
      <c r="AK90" s="176" t="n"/>
      <c r="AL90" s="176" t="n"/>
      <c r="AM90" s="176" t="n"/>
      <c r="AN90" s="176" t="n"/>
      <c r="AO90" s="176" t="n"/>
      <c r="AP90" s="176" t="n"/>
      <c r="AQ90" s="176" t="n"/>
      <c r="AR90" s="176" t="n"/>
      <c r="AS90" s="176" t="n"/>
      <c r="AT90" s="176" t="n"/>
      <c r="AU90" s="176" t="n"/>
      <c r="AV90" s="176" t="n"/>
      <c r="AW90" s="176" t="n"/>
      <c r="AX90" s="176" t="n"/>
      <c r="AY90" s="176" t="n"/>
      <c r="AZ90" s="176" t="n"/>
      <c r="BA90" s="176" t="n"/>
      <c r="BB90" s="176" t="n"/>
      <c r="BC90" s="176" t="n"/>
      <c r="BD90" s="176" t="n"/>
      <c r="BE90" s="176" t="n"/>
      <c r="BF90" s="176" t="n"/>
      <c r="BG90" s="176" t="n"/>
      <c r="BH90" s="176" t="n"/>
      <c r="BI90" s="176" t="n"/>
      <c r="BJ90" s="176" t="n"/>
      <c r="BK90" s="176" t="n"/>
      <c r="BL90" s="176" t="n"/>
      <c r="BM90" s="176" t="n"/>
      <c r="BN90" s="176" t="n"/>
      <c r="BO90" s="176" t="n"/>
      <c r="BP90" s="176" t="n"/>
      <c r="BQ90" s="176" t="n"/>
      <c r="BR90" s="176" t="n"/>
      <c r="BS90" s="176" t="n"/>
      <c r="BT90" s="176" t="n"/>
      <c r="BU90" s="176" t="n"/>
      <c r="BV90" s="176" t="n"/>
      <c r="BW90" s="176" t="n"/>
      <c r="BX90" s="176" t="n"/>
      <c r="BY90" s="176" t="n"/>
      <c r="BZ90" s="176" t="n"/>
      <c r="CA90" s="176" t="n"/>
      <c r="CB90" s="176" t="n"/>
      <c r="CC90" s="176" t="n"/>
      <c r="CD90" s="176" t="n"/>
      <c r="CE90" s="176" t="n"/>
      <c r="CF90" s="176" t="n"/>
      <c r="CG90" s="176" t="n"/>
      <c r="CH90" s="176" t="n"/>
      <c r="CI90" s="176" t="n"/>
      <c r="CJ90" s="176" t="n"/>
      <c r="CK90" s="176" t="n"/>
      <c r="CL90" s="176" t="n"/>
      <c r="CM90" s="176" t="n"/>
      <c r="CN90" s="176" t="n"/>
      <c r="CO90" s="176" t="n"/>
      <c r="CP90" s="176" t="n"/>
      <c r="CQ90" s="176" t="n"/>
      <c r="CR90" s="176" t="n"/>
      <c r="CS90" s="176" t="n"/>
      <c r="CT90" s="176" t="n"/>
      <c r="CU90" s="176" t="n"/>
      <c r="CV90" s="176" t="n"/>
      <c r="CW90" s="176" t="n"/>
      <c r="CX90" s="176" t="n"/>
      <c r="CY90" s="176" t="n"/>
      <c r="CZ90" s="176" t="n"/>
      <c r="DA90" s="181" t="inlineStr">
        <is>
          <t>TIPO</t>
        </is>
      </c>
      <c r="DB90" s="182" t="n"/>
      <c r="DC90" s="182" t="n"/>
      <c r="DD90" s="183" t="n"/>
      <c r="DE90" s="181" t="inlineStr">
        <is>
          <t>MESTRE VIU</t>
        </is>
      </c>
      <c r="DF90" s="183" t="n"/>
      <c r="DG90" s="176" t="n"/>
      <c r="DH90" s="176" t="n"/>
      <c r="DI90" s="181" t="inlineStr">
        <is>
          <t>TIPO</t>
        </is>
      </c>
      <c r="DJ90" s="182" t="n"/>
      <c r="DK90" s="182" t="n"/>
      <c r="DL90" s="183" t="n"/>
      <c r="DM90" s="181" t="inlineStr">
        <is>
          <t>MESTRE VIU</t>
        </is>
      </c>
      <c r="DN90" s="183" t="n"/>
      <c r="DO90" s="176" t="n"/>
      <c r="DP90" s="176" t="n"/>
      <c r="DQ90" s="176" t="n"/>
      <c r="DR90" s="193" t="n"/>
      <c r="DW90" s="194" t="n"/>
      <c r="DX90" s="176" t="n"/>
      <c r="DY90" s="176" t="n"/>
      <c r="DZ90" s="193" t="n"/>
      <c r="EE90" s="194" t="n"/>
      <c r="EF90" s="176" t="n"/>
      <c r="EG90" s="176" t="n"/>
      <c r="EH90" s="176" t="n"/>
      <c r="EI90" s="193" t="n"/>
      <c r="EN90" s="194" t="n"/>
      <c r="EO90" s="176" t="n"/>
      <c r="EP90" s="176" t="n"/>
      <c r="EQ90" s="193" t="n"/>
      <c r="EV90" s="194" t="n"/>
      <c r="EW90" s="176" t="n"/>
      <c r="EX90" s="176" t="n"/>
      <c r="EY90" s="176" t="n"/>
      <c r="EZ90" s="193" t="n"/>
      <c r="FE90" s="194" t="n"/>
      <c r="FF90" s="176" t="n"/>
      <c r="FG90" s="176" t="n"/>
      <c r="FH90" s="193" t="n"/>
      <c r="FM90" s="194" t="n"/>
      <c r="FN90" s="176" t="n"/>
      <c r="FO90" s="176" t="n"/>
      <c r="FP90" s="176" t="n"/>
      <c r="FQ90" s="180">
        <f>IF('DADOS_APTIDOES'!$K6="","","⚠ "&amp;'DADOS_APTIDOES'!$K6)</f>
        <v/>
      </c>
      <c r="FW90" s="176" t="n"/>
      <c r="FX90" s="176" t="n"/>
      <c r="FY90" s="180">
        <f>IF('DADOS_APTIDOES'!$K7="","","⚠ "&amp;'DADOS_APTIDOES'!$K7)</f>
        <v/>
      </c>
      <c r="GE90" s="176" t="n"/>
      <c r="GF90" s="176" t="n"/>
      <c r="GG90" s="176" t="n"/>
      <c r="GH90" s="181" t="inlineStr">
        <is>
          <t>NOME</t>
        </is>
      </c>
      <c r="GI90" s="182" t="n"/>
      <c r="GJ90" s="182" t="n"/>
      <c r="GK90" s="182" t="n"/>
      <c r="GL90" s="182" t="n"/>
      <c r="GM90" s="183" t="n"/>
      <c r="GN90" s="176" t="n"/>
      <c r="GO90" s="176" t="n"/>
      <c r="GP90" s="181" t="inlineStr">
        <is>
          <t>NOME</t>
        </is>
      </c>
      <c r="GQ90" s="182" t="n"/>
      <c r="GR90" s="182" t="n"/>
      <c r="GS90" s="182" t="n"/>
      <c r="GT90" s="182" t="n"/>
      <c r="GU90" s="183" t="n"/>
      <c r="GV90" s="176" t="n"/>
      <c r="GW90" s="176" t="n"/>
      <c r="GX90" s="176" t="n"/>
      <c r="GY90" s="193" t="n"/>
      <c r="HD90" s="194" t="n"/>
      <c r="HE90" s="176" t="n"/>
      <c r="HF90" s="176" t="n"/>
      <c r="HG90" s="193" t="n"/>
      <c r="HL90" s="194" t="n"/>
      <c r="HM90" s="176" t="n"/>
      <c r="HN90" s="176" t="n"/>
      <c r="HO90" s="176" t="n"/>
      <c r="HP90" s="193" t="n"/>
      <c r="HU90" s="194" t="n"/>
      <c r="HV90" s="176" t="n"/>
      <c r="HW90" s="176" t="n"/>
      <c r="HX90" s="193" t="n"/>
      <c r="IC90" s="194" t="n"/>
      <c r="ID90" s="176" t="n"/>
    </row>
    <row r="91" ht="21" customHeight="1">
      <c r="A91" s="176" t="n"/>
      <c r="B91" s="176" t="n"/>
      <c r="C91" s="186" t="n">
        <v>27</v>
      </c>
      <c r="D91" s="183" t="n"/>
      <c r="E91" s="186" t="n">
        <v>1700</v>
      </c>
      <c r="F91" s="185" t="n"/>
      <c r="G91" s="186">
        <f>IF(F91="",IF(E91="","",E91),IF(IFERROR(AND(ISNUMBER(F91),F91&gt;=0,INT(F91)=F91),FALSE),F91,NA()))</f>
        <v/>
      </c>
      <c r="H91" s="186">
        <f>DADOS_CONFIG!Z28</f>
        <v/>
      </c>
      <c r="I91" s="176" t="n"/>
      <c r="J91" s="176" t="n"/>
      <c r="K91" s="176" t="n"/>
      <c r="L91" s="176" t="n"/>
      <c r="M91" s="176" t="n"/>
      <c r="N91" s="176" t="n"/>
      <c r="O91" s="176" t="n"/>
      <c r="P91" s="176" t="n"/>
      <c r="Q91" s="176" t="n"/>
      <c r="R91" s="176" t="n"/>
      <c r="S91" s="176" t="n"/>
      <c r="T91" s="193" t="n"/>
      <c r="Y91" s="194" t="n"/>
      <c r="Z91" s="176" t="n"/>
      <c r="AA91" s="176" t="n"/>
      <c r="AB91" s="193" t="n"/>
      <c r="AG91" s="194" t="n"/>
      <c r="AH91" s="176" t="n"/>
      <c r="AI91" s="176" t="n"/>
      <c r="AJ91" s="176" t="n"/>
      <c r="AK91" s="176" t="n"/>
      <c r="AL91" s="176" t="n"/>
      <c r="AM91" s="176" t="n"/>
      <c r="AN91" s="176" t="n"/>
      <c r="AO91" s="176" t="n"/>
      <c r="AP91" s="176" t="n"/>
      <c r="AQ91" s="176" t="n"/>
      <c r="AR91" s="176" t="n"/>
      <c r="AS91" s="176" t="n"/>
      <c r="AT91" s="176" t="n"/>
      <c r="AU91" s="176" t="n"/>
      <c r="AV91" s="176" t="n"/>
      <c r="AW91" s="176" t="n"/>
      <c r="AX91" s="176" t="n"/>
      <c r="AY91" s="176" t="n"/>
      <c r="AZ91" s="176" t="n"/>
      <c r="BA91" s="176" t="n"/>
      <c r="BB91" s="176" t="n"/>
      <c r="BC91" s="176" t="n"/>
      <c r="BD91" s="176" t="n"/>
      <c r="BE91" s="176" t="n"/>
      <c r="BF91" s="176" t="n"/>
      <c r="BG91" s="176" t="n"/>
      <c r="BH91" s="176" t="n"/>
      <c r="BI91" s="176" t="n"/>
      <c r="BJ91" s="176" t="n"/>
      <c r="BK91" s="176" t="n"/>
      <c r="BL91" s="176" t="n"/>
      <c r="BM91" s="176" t="n"/>
      <c r="BN91" s="176" t="n"/>
      <c r="BO91" s="176" t="n"/>
      <c r="BP91" s="176" t="n"/>
      <c r="BQ91" s="176" t="n"/>
      <c r="BR91" s="176" t="n"/>
      <c r="BS91" s="176" t="n"/>
      <c r="BT91" s="176" t="n"/>
      <c r="BU91" s="176" t="n"/>
      <c r="BV91" s="176" t="n"/>
      <c r="BW91" s="176" t="n"/>
      <c r="BX91" s="176" t="n"/>
      <c r="BY91" s="176" t="n"/>
      <c r="BZ91" s="176" t="n"/>
      <c r="CA91" s="176" t="n"/>
      <c r="CB91" s="176" t="n"/>
      <c r="CC91" s="176" t="n"/>
      <c r="CD91" s="176" t="n"/>
      <c r="CE91" s="176" t="n"/>
      <c r="CF91" s="176" t="n"/>
      <c r="CG91" s="176" t="n"/>
      <c r="CH91" s="176" t="n"/>
      <c r="CI91" s="176" t="n"/>
      <c r="CJ91" s="176" t="n"/>
      <c r="CK91" s="176" t="n"/>
      <c r="CL91" s="176" t="n"/>
      <c r="CM91" s="176" t="n"/>
      <c r="CN91" s="176" t="n"/>
      <c r="CO91" s="176" t="n"/>
      <c r="CP91" s="176" t="n"/>
      <c r="CQ91" s="176" t="n"/>
      <c r="CR91" s="176" t="n"/>
      <c r="CS91" s="176" t="n"/>
      <c r="CT91" s="176" t="n"/>
      <c r="CU91" s="176" t="n"/>
      <c r="CV91" s="176" t="n"/>
      <c r="CW91" s="176" t="n"/>
      <c r="CX91" s="176" t="n"/>
      <c r="CY91" s="176" t="n"/>
      <c r="CZ91" s="176" t="n"/>
      <c r="DA91" s="185" t="inlineStr">
        <is>
          <t>Melhoria</t>
        </is>
      </c>
      <c r="DB91" s="182" t="n"/>
      <c r="DC91" s="182" t="n"/>
      <c r="DD91" s="183" t="n"/>
      <c r="DE91" s="184" t="b">
        <v>0</v>
      </c>
      <c r="DF91" s="183" t="n"/>
      <c r="DG91" s="176" t="n"/>
      <c r="DH91" s="176" t="n"/>
      <c r="DI91" s="185" t="inlineStr">
        <is>
          <t>Melhoria</t>
        </is>
      </c>
      <c r="DJ91" s="182" t="n"/>
      <c r="DK91" s="182" t="n"/>
      <c r="DL91" s="183" t="n"/>
      <c r="DM91" s="184" t="b">
        <v>0</v>
      </c>
      <c r="DN91" s="183" t="n"/>
      <c r="DO91" s="176" t="n"/>
      <c r="DP91" s="176" t="n"/>
      <c r="DQ91" s="176" t="n"/>
      <c r="DR91" s="193" t="n"/>
      <c r="DW91" s="194" t="n"/>
      <c r="DX91" s="176" t="n"/>
      <c r="DY91" s="176" t="n"/>
      <c r="DZ91" s="193" t="n"/>
      <c r="EE91" s="194" t="n"/>
      <c r="EF91" s="176" t="n"/>
      <c r="EG91" s="176" t="n"/>
      <c r="EH91" s="176" t="n"/>
      <c r="EI91" s="189" t="n"/>
      <c r="EJ91" s="190" t="n"/>
      <c r="EK91" s="190" t="n"/>
      <c r="EL91" s="190" t="n"/>
      <c r="EM91" s="190" t="n"/>
      <c r="EN91" s="191" t="n"/>
      <c r="EO91" s="176" t="n"/>
      <c r="EP91" s="176" t="n"/>
      <c r="EQ91" s="189" t="n"/>
      <c r="ER91" s="190" t="n"/>
      <c r="ES91" s="190" t="n"/>
      <c r="ET91" s="190" t="n"/>
      <c r="EU91" s="190" t="n"/>
      <c r="EV91" s="191" t="n"/>
      <c r="EW91" s="176" t="n"/>
      <c r="EX91" s="176" t="n"/>
      <c r="EY91" s="176" t="n"/>
      <c r="EZ91" s="193" t="n"/>
      <c r="FE91" s="194" t="n"/>
      <c r="FF91" s="176" t="n"/>
      <c r="FG91" s="176" t="n"/>
      <c r="FH91" s="193" t="n"/>
      <c r="FM91" s="194" t="n"/>
      <c r="FN91" s="176" t="n"/>
      <c r="FO91" s="176" t="n"/>
      <c r="FP91" s="176" t="n"/>
      <c r="FW91" s="176" t="n"/>
      <c r="FX91" s="176" t="n"/>
      <c r="GE91" s="176" t="n"/>
      <c r="GF91" s="176" t="n"/>
      <c r="GG91" s="176" t="n"/>
      <c r="GH91" s="185" t="n"/>
      <c r="GI91" s="182" t="n"/>
      <c r="GJ91" s="182" t="n"/>
      <c r="GK91" s="182" t="n"/>
      <c r="GL91" s="182" t="n"/>
      <c r="GM91" s="183" t="n"/>
      <c r="GN91" s="176" t="n"/>
      <c r="GO91" s="176" t="n"/>
      <c r="GP91" s="185" t="n"/>
      <c r="GQ91" s="182" t="n"/>
      <c r="GR91" s="182" t="n"/>
      <c r="GS91" s="182" t="n"/>
      <c r="GT91" s="182" t="n"/>
      <c r="GU91" s="183" t="n"/>
      <c r="GV91" s="176" t="n"/>
      <c r="GW91" s="176" t="n"/>
      <c r="GX91" s="176" t="n"/>
      <c r="GY91" s="189" t="n"/>
      <c r="GZ91" s="190" t="n"/>
      <c r="HA91" s="190" t="n"/>
      <c r="HB91" s="190" t="n"/>
      <c r="HC91" s="190" t="n"/>
      <c r="HD91" s="191" t="n"/>
      <c r="HE91" s="176" t="n"/>
      <c r="HF91" s="176" t="n"/>
      <c r="HG91" s="189" t="n"/>
      <c r="HH91" s="190" t="n"/>
      <c r="HI91" s="190" t="n"/>
      <c r="HJ91" s="190" t="n"/>
      <c r="HK91" s="190" t="n"/>
      <c r="HL91" s="191" t="n"/>
      <c r="HM91" s="176" t="n"/>
      <c r="HN91" s="176" t="n"/>
      <c r="HO91" s="176" t="n"/>
      <c r="HP91" s="189" t="n"/>
      <c r="HQ91" s="190" t="n"/>
      <c r="HR91" s="190" t="n"/>
      <c r="HS91" s="190" t="n"/>
      <c r="HT91" s="190" t="n"/>
      <c r="HU91" s="191" t="n"/>
      <c r="HV91" s="176" t="n"/>
      <c r="HW91" s="176" t="n"/>
      <c r="HX91" s="189" t="n"/>
      <c r="HY91" s="190" t="n"/>
      <c r="HZ91" s="190" t="n"/>
      <c r="IA91" s="190" t="n"/>
      <c r="IB91" s="190" t="n"/>
      <c r="IC91" s="191" t="n"/>
      <c r="ID91" s="176" t="n"/>
    </row>
    <row r="92" ht="21" customHeight="1">
      <c r="A92" s="176" t="n"/>
      <c r="B92" s="176" t="n"/>
      <c r="C92" s="186" t="n">
        <v>28</v>
      </c>
      <c r="D92" s="183" t="n"/>
      <c r="E92" s="186" t="n">
        <v>1700</v>
      </c>
      <c r="F92" s="185" t="n"/>
      <c r="G92" s="186">
        <f>IF(F92="",IF(E92="","",E92),IF(IFERROR(AND(ISNUMBER(F92),F92&gt;=0,INT(F92)=F92),FALSE),F92,NA()))</f>
        <v/>
      </c>
      <c r="H92" s="186">
        <f>DADOS_CONFIG!Z29</f>
        <v/>
      </c>
      <c r="I92" s="176" t="n"/>
      <c r="J92" s="176" t="n"/>
      <c r="K92" s="176" t="n"/>
      <c r="L92" s="176" t="n"/>
      <c r="M92" s="176" t="n"/>
      <c r="N92" s="176" t="n"/>
      <c r="O92" s="176" t="n"/>
      <c r="P92" s="176" t="n"/>
      <c r="Q92" s="176" t="n"/>
      <c r="R92" s="176" t="n"/>
      <c r="S92" s="176" t="n"/>
      <c r="T92" s="193" t="n"/>
      <c r="Y92" s="194" t="n"/>
      <c r="Z92" s="176" t="n"/>
      <c r="AA92" s="176" t="n"/>
      <c r="AB92" s="193" t="n"/>
      <c r="AG92" s="194" t="n"/>
      <c r="AH92" s="176" t="n"/>
      <c r="AI92" s="176" t="n"/>
      <c r="AJ92" s="176" t="n"/>
      <c r="AK92" s="176" t="n"/>
      <c r="AL92" s="176" t="n"/>
      <c r="AM92" s="176" t="n"/>
      <c r="AN92" s="176" t="n"/>
      <c r="AO92" s="176" t="n"/>
      <c r="AP92" s="176" t="n"/>
      <c r="AQ92" s="176" t="n"/>
      <c r="AR92" s="176" t="n"/>
      <c r="AS92" s="176" t="n"/>
      <c r="AT92" s="176" t="n"/>
      <c r="AU92" s="176" t="n"/>
      <c r="AV92" s="176" t="n"/>
      <c r="AW92" s="176" t="n"/>
      <c r="AX92" s="176" t="n"/>
      <c r="AY92" s="176" t="n"/>
      <c r="AZ92" s="176" t="n"/>
      <c r="BA92" s="176" t="n"/>
      <c r="BB92" s="176" t="n"/>
      <c r="BC92" s="176" t="n"/>
      <c r="BD92" s="176" t="n"/>
      <c r="BE92" s="176" t="n"/>
      <c r="BF92" s="176" t="n"/>
      <c r="BG92" s="176" t="n"/>
      <c r="BH92" s="176" t="n"/>
      <c r="BI92" s="176" t="n"/>
      <c r="BJ92" s="176" t="n"/>
      <c r="BK92" s="176" t="n"/>
      <c r="BL92" s="176" t="n"/>
      <c r="BM92" s="176" t="n"/>
      <c r="BN92" s="176" t="n"/>
      <c r="BO92" s="176" t="n"/>
      <c r="BP92" s="176" t="n"/>
      <c r="BQ92" s="176" t="n"/>
      <c r="BR92" s="176" t="n"/>
      <c r="BS92" s="176" t="n"/>
      <c r="BT92" s="176" t="n"/>
      <c r="BU92" s="176" t="n"/>
      <c r="BV92" s="176" t="n"/>
      <c r="BW92" s="176" t="n"/>
      <c r="BX92" s="176" t="n"/>
      <c r="BY92" s="176" t="n"/>
      <c r="BZ92" s="176" t="n"/>
      <c r="CA92" s="176" t="n"/>
      <c r="CB92" s="176" t="n"/>
      <c r="CC92" s="176" t="n"/>
      <c r="CD92" s="176" t="n"/>
      <c r="CE92" s="176" t="n"/>
      <c r="CF92" s="176" t="n"/>
      <c r="CG92" s="176" t="n"/>
      <c r="CH92" s="176" t="n"/>
      <c r="CI92" s="176" t="n"/>
      <c r="CJ92" s="176" t="n"/>
      <c r="CK92" s="176" t="n"/>
      <c r="CL92" s="176" t="n"/>
      <c r="CM92" s="176" t="n"/>
      <c r="CN92" s="176" t="n"/>
      <c r="CO92" s="176" t="n"/>
      <c r="CP92" s="176" t="n"/>
      <c r="CQ92" s="176" t="n"/>
      <c r="CR92" s="176" t="n"/>
      <c r="CS92" s="176" t="n"/>
      <c r="CT92" s="176" t="n"/>
      <c r="CU92" s="176" t="n"/>
      <c r="CV92" s="176" t="n"/>
      <c r="CW92" s="176" t="n"/>
      <c r="CX92" s="176" t="n"/>
      <c r="CY92" s="176" t="n"/>
      <c r="CZ92" s="176" t="n"/>
      <c r="DA92" s="181" t="inlineStr">
        <is>
          <t>NOME</t>
        </is>
      </c>
      <c r="DB92" s="182" t="n"/>
      <c r="DC92" s="182" t="n"/>
      <c r="DD92" s="182" t="n"/>
      <c r="DE92" s="182" t="n"/>
      <c r="DF92" s="183" t="n"/>
      <c r="DG92" s="176" t="n"/>
      <c r="DH92" s="176" t="n"/>
      <c r="DI92" s="181" t="inlineStr">
        <is>
          <t>NOME</t>
        </is>
      </c>
      <c r="DJ92" s="182" t="n"/>
      <c r="DK92" s="182" t="n"/>
      <c r="DL92" s="182" t="n"/>
      <c r="DM92" s="182" t="n"/>
      <c r="DN92" s="183" t="n"/>
      <c r="DO92" s="176" t="n"/>
      <c r="DP92" s="176" t="n"/>
      <c r="DQ92" s="176" t="n"/>
      <c r="DR92" s="193" t="n"/>
      <c r="DW92" s="194" t="n"/>
      <c r="DX92" s="176" t="n"/>
      <c r="DY92" s="176" t="n"/>
      <c r="DZ92" s="193" t="n"/>
      <c r="EE92" s="194" t="n"/>
      <c r="EF92" s="176" t="n"/>
      <c r="EG92" s="176" t="n"/>
      <c r="EH92" s="176" t="n"/>
      <c r="EI92" s="180">
        <f>IF('DADOS_DANOS'!$H$6="","","⚠ "&amp;'DADOS_DANOS'!$H$6)</f>
        <v/>
      </c>
      <c r="EO92" s="176" t="n"/>
      <c r="EP92" s="176" t="n"/>
      <c r="EQ92" s="180">
        <f>IF('DADOS_DANOS'!$H$7="","","⚠ "&amp;'DADOS_DANOS'!$H$7)</f>
        <v/>
      </c>
      <c r="EW92" s="176" t="n"/>
      <c r="EX92" s="176" t="n"/>
      <c r="EY92" s="176" t="n"/>
      <c r="EZ92" s="189" t="n"/>
      <c r="FA92" s="190" t="n"/>
      <c r="FB92" s="190" t="n"/>
      <c r="FC92" s="190" t="n"/>
      <c r="FD92" s="190" t="n"/>
      <c r="FE92" s="191" t="n"/>
      <c r="FF92" s="176" t="n"/>
      <c r="FG92" s="176" t="n"/>
      <c r="FH92" s="189" t="n"/>
      <c r="FI92" s="190" t="n"/>
      <c r="FJ92" s="190" t="n"/>
      <c r="FK92" s="190" t="n"/>
      <c r="FL92" s="190" t="n"/>
      <c r="FM92" s="191" t="n"/>
      <c r="FN92" s="176" t="n"/>
      <c r="FO92" s="176" t="n"/>
      <c r="FP92" s="176" t="n"/>
      <c r="FQ92" s="176" t="n"/>
      <c r="FR92" s="176" t="n"/>
      <c r="FS92" s="176" t="n"/>
      <c r="FT92" s="176" t="n"/>
      <c r="FU92" s="176" t="n"/>
      <c r="FV92" s="176" t="n"/>
      <c r="FW92" s="176" t="n"/>
      <c r="FX92" s="176" t="n"/>
      <c r="FY92" s="176" t="n"/>
      <c r="FZ92" s="176" t="n"/>
      <c r="GA92" s="176" t="n"/>
      <c r="GB92" s="176" t="n"/>
      <c r="GC92" s="176" t="n"/>
      <c r="GD92" s="176" t="n"/>
      <c r="GE92" s="176" t="n"/>
      <c r="GF92" s="176" t="n"/>
      <c r="GG92" s="176" t="n"/>
      <c r="GH92" s="181" t="inlineStr">
        <is>
          <t>BASE DO LIVRO</t>
        </is>
      </c>
      <c r="GI92" s="182" t="n"/>
      <c r="GJ92" s="183" t="n"/>
      <c r="GK92" s="185" t="n"/>
      <c r="GL92" s="182" t="n"/>
      <c r="GM92" s="183" t="n"/>
      <c r="GN92" s="176" t="n"/>
      <c r="GO92" s="176" t="n"/>
      <c r="GP92" s="181" t="inlineStr">
        <is>
          <t>BASE DO LIVRO</t>
        </is>
      </c>
      <c r="GQ92" s="182" t="n"/>
      <c r="GR92" s="183" t="n"/>
      <c r="GS92" s="185" t="n"/>
      <c r="GT92" s="182" t="n"/>
      <c r="GU92" s="183" t="n"/>
      <c r="GV92" s="176" t="n"/>
      <c r="GW92" s="176" t="n"/>
      <c r="GX92" s="176" t="n"/>
      <c r="GY92" s="176" t="n"/>
      <c r="GZ92" s="176" t="n"/>
      <c r="HA92" s="176" t="n"/>
      <c r="HB92" s="176" t="n"/>
      <c r="HC92" s="176" t="n"/>
      <c r="HD92" s="176" t="n"/>
      <c r="HE92" s="176" t="n"/>
      <c r="HF92" s="176" t="n"/>
      <c r="HG92" s="176" t="n"/>
      <c r="HH92" s="176" t="n"/>
      <c r="HI92" s="176" t="n"/>
      <c r="HJ92" s="176" t="n"/>
      <c r="HK92" s="176" t="n"/>
      <c r="HL92" s="176" t="n"/>
      <c r="HM92" s="176" t="n"/>
      <c r="HN92" s="176" t="n"/>
      <c r="HO92" s="176" t="n"/>
      <c r="HP92" s="176" t="n"/>
      <c r="HQ92" s="176" t="n"/>
      <c r="HR92" s="176" t="n"/>
      <c r="HS92" s="176" t="n"/>
      <c r="HT92" s="176" t="n"/>
      <c r="HU92" s="176" t="n"/>
      <c r="HV92" s="176" t="n"/>
      <c r="HW92" s="176" t="n"/>
      <c r="HX92" s="176" t="n"/>
      <c r="HY92" s="176" t="n"/>
      <c r="HZ92" s="176" t="n"/>
      <c r="IA92" s="176" t="n"/>
      <c r="IB92" s="176" t="n"/>
      <c r="IC92" s="176" t="n"/>
      <c r="ID92" s="176" t="n"/>
    </row>
    <row r="93" ht="21" customHeight="1">
      <c r="A93" s="176" t="n"/>
      <c r="B93" s="176" t="n"/>
      <c r="C93" s="186" t="n">
        <v>29</v>
      </c>
      <c r="D93" s="183" t="n"/>
      <c r="E93" s="186" t="n">
        <v>1700</v>
      </c>
      <c r="F93" s="185" t="n"/>
      <c r="G93" s="186">
        <f>IF(F93="",IF(E93="","",E93),IF(IFERROR(AND(ISNUMBER(F93),F93&gt;=0,INT(F93)=F93),FALSE),F93,NA()))</f>
        <v/>
      </c>
      <c r="H93" s="186">
        <f>DADOS_CONFIG!Z30</f>
        <v/>
      </c>
      <c r="I93" s="176" t="n"/>
      <c r="J93" s="176" t="n"/>
      <c r="K93" s="176" t="n"/>
      <c r="L93" s="176" t="n"/>
      <c r="M93" s="176" t="n"/>
      <c r="N93" s="176" t="n"/>
      <c r="O93" s="176" t="n"/>
      <c r="P93" s="176" t="n"/>
      <c r="Q93" s="176" t="n"/>
      <c r="R93" s="176" t="n"/>
      <c r="S93" s="176" t="n"/>
      <c r="T93" s="189" t="n"/>
      <c r="U93" s="190" t="n"/>
      <c r="V93" s="190" t="n"/>
      <c r="W93" s="190" t="n"/>
      <c r="X93" s="190" t="n"/>
      <c r="Y93" s="191" t="n"/>
      <c r="Z93" s="176" t="n"/>
      <c r="AA93" s="176" t="n"/>
      <c r="AB93" s="189" t="n"/>
      <c r="AC93" s="190" t="n"/>
      <c r="AD93" s="190" t="n"/>
      <c r="AE93" s="190" t="n"/>
      <c r="AF93" s="190" t="n"/>
      <c r="AG93" s="191" t="n"/>
      <c r="AH93" s="176" t="n"/>
      <c r="AI93" s="176" t="n"/>
      <c r="AJ93" s="176" t="n"/>
      <c r="AK93" s="176" t="n"/>
      <c r="AL93" s="176" t="n"/>
      <c r="AM93" s="176" t="n"/>
      <c r="AN93" s="176" t="n"/>
      <c r="AO93" s="176" t="n"/>
      <c r="AP93" s="176" t="n"/>
      <c r="AQ93" s="176" t="n"/>
      <c r="AR93" s="176" t="n"/>
      <c r="AS93" s="176" t="n"/>
      <c r="AT93" s="176" t="n"/>
      <c r="AU93" s="176" t="n"/>
      <c r="AV93" s="176" t="n"/>
      <c r="AW93" s="176" t="n"/>
      <c r="AX93" s="176" t="n"/>
      <c r="AY93" s="176" t="n"/>
      <c r="AZ93" s="176" t="n"/>
      <c r="BA93" s="176" t="n"/>
      <c r="BB93" s="176" t="n"/>
      <c r="BC93" s="176" t="n"/>
      <c r="BD93" s="176" t="n"/>
      <c r="BE93" s="176" t="n"/>
      <c r="BF93" s="176" t="n"/>
      <c r="BG93" s="176" t="n"/>
      <c r="BH93" s="176" t="n"/>
      <c r="BI93" s="176" t="n"/>
      <c r="BJ93" s="176" t="n"/>
      <c r="BK93" s="176" t="n"/>
      <c r="BL93" s="176" t="n"/>
      <c r="BM93" s="176" t="n"/>
      <c r="BN93" s="176" t="n"/>
      <c r="BO93" s="176" t="n"/>
      <c r="BP93" s="176" t="n"/>
      <c r="BQ93" s="176" t="n"/>
      <c r="BR93" s="176" t="n"/>
      <c r="BS93" s="176" t="n"/>
      <c r="BT93" s="176" t="n"/>
      <c r="BU93" s="176" t="n"/>
      <c r="BV93" s="176" t="n"/>
      <c r="BW93" s="176" t="n"/>
      <c r="BX93" s="176" t="n"/>
      <c r="BY93" s="176" t="n"/>
      <c r="BZ93" s="176" t="n"/>
      <c r="CA93" s="176" t="n"/>
      <c r="CB93" s="176" t="n"/>
      <c r="CC93" s="176" t="n"/>
      <c r="CD93" s="176" t="n"/>
      <c r="CE93" s="176" t="n"/>
      <c r="CF93" s="176" t="n"/>
      <c r="CG93" s="176" t="n"/>
      <c r="CH93" s="176" t="n"/>
      <c r="CI93" s="176" t="n"/>
      <c r="CJ93" s="176" t="n"/>
      <c r="CK93" s="176" t="n"/>
      <c r="CL93" s="176" t="n"/>
      <c r="CM93" s="176" t="n"/>
      <c r="CN93" s="176" t="n"/>
      <c r="CO93" s="176" t="n"/>
      <c r="CP93" s="176" t="n"/>
      <c r="CQ93" s="176" t="n"/>
      <c r="CR93" s="176" t="n"/>
      <c r="CS93" s="176" t="n"/>
      <c r="CT93" s="176" t="n"/>
      <c r="CU93" s="176" t="n"/>
      <c r="CV93" s="176" t="n"/>
      <c r="CW93" s="176" t="n"/>
      <c r="CX93" s="176" t="n"/>
      <c r="CY93" s="176" t="n"/>
      <c r="CZ93" s="176" t="n"/>
      <c r="DA93" s="185" t="n"/>
      <c r="DB93" s="182" t="n"/>
      <c r="DC93" s="182" t="n"/>
      <c r="DD93" s="182" t="n"/>
      <c r="DE93" s="182" t="n"/>
      <c r="DF93" s="183" t="n"/>
      <c r="DG93" s="176" t="n"/>
      <c r="DH93" s="176" t="n"/>
      <c r="DI93" s="185" t="n"/>
      <c r="DJ93" s="182" t="n"/>
      <c r="DK93" s="182" t="n"/>
      <c r="DL93" s="182" t="n"/>
      <c r="DM93" s="182" t="n"/>
      <c r="DN93" s="183" t="n"/>
      <c r="DO93" s="176" t="n"/>
      <c r="DP93" s="176" t="n"/>
      <c r="DQ93" s="176" t="n"/>
      <c r="DR93" s="189" t="n"/>
      <c r="DS93" s="190" t="n"/>
      <c r="DT93" s="190" t="n"/>
      <c r="DU93" s="190" t="n"/>
      <c r="DV93" s="190" t="n"/>
      <c r="DW93" s="191" t="n"/>
      <c r="DX93" s="176" t="n"/>
      <c r="DY93" s="176" t="n"/>
      <c r="DZ93" s="189" t="n"/>
      <c r="EA93" s="190" t="n"/>
      <c r="EB93" s="190" t="n"/>
      <c r="EC93" s="190" t="n"/>
      <c r="ED93" s="190" t="n"/>
      <c r="EE93" s="191" t="n"/>
      <c r="EF93" s="176" t="n"/>
      <c r="EG93" s="176" t="n"/>
      <c r="EH93" s="176" t="n"/>
      <c r="EO93" s="176" t="n"/>
      <c r="EP93" s="176" t="n"/>
      <c r="EW93" s="176" t="n"/>
      <c r="EX93" s="176" t="n"/>
      <c r="EY93" s="176" t="n"/>
      <c r="EZ93" s="176" t="n"/>
      <c r="FA93" s="176" t="n"/>
      <c r="FB93" s="176" t="n"/>
      <c r="FC93" s="176" t="n"/>
      <c r="FD93" s="176" t="n"/>
      <c r="FE93" s="176" t="n"/>
      <c r="FF93" s="176" t="n"/>
      <c r="FG93" s="176" t="n"/>
      <c r="FH93" s="176" t="n"/>
      <c r="FI93" s="176" t="n"/>
      <c r="FJ93" s="176" t="n"/>
      <c r="FK93" s="176" t="n"/>
      <c r="FL93" s="176" t="n"/>
      <c r="FM93" s="176" t="n"/>
      <c r="FN93" s="176" t="n"/>
      <c r="FO93" s="176" t="n"/>
      <c r="FP93" s="176" t="n"/>
      <c r="FQ93" s="179" t="inlineStr">
        <is>
          <t>APTIDÕES / BÊNÇÃOS · 7</t>
        </is>
      </c>
      <c r="FW93" s="176" t="n"/>
      <c r="FX93" s="176" t="n"/>
      <c r="FY93" s="179" t="inlineStr">
        <is>
          <t>APTIDÕES / BÊNÇÃOS · 8</t>
        </is>
      </c>
      <c r="GE93" s="176" t="n"/>
      <c r="GF93" s="176" t="n"/>
      <c r="GG93" s="176" t="n"/>
      <c r="GH93" s="181" t="inlineStr">
        <is>
          <t>CATEGORIA DE EFEITO</t>
        </is>
      </c>
      <c r="GI93" s="182" t="n"/>
      <c r="GJ93" s="183" t="n"/>
      <c r="GK93" s="185" t="n"/>
      <c r="GL93" s="182" t="n"/>
      <c r="GM93" s="183" t="n"/>
      <c r="GN93" s="176" t="n"/>
      <c r="GO93" s="176" t="n"/>
      <c r="GP93" s="181" t="inlineStr">
        <is>
          <t>CATEGORIA DE EFEITO</t>
        </is>
      </c>
      <c r="GQ93" s="182" t="n"/>
      <c r="GR93" s="183" t="n"/>
      <c r="GS93" s="185" t="n"/>
      <c r="GT93" s="182" t="n"/>
      <c r="GU93" s="183" t="n"/>
      <c r="GV93" s="176" t="n"/>
      <c r="GW93" s="176" t="n"/>
      <c r="GX93" s="176" t="n"/>
      <c r="GY93" s="180">
        <f>IF('DADOS_ENTIDADES'!$K$6="","","⚠ "&amp;'DADOS_ENTIDADES'!$K$6)</f>
        <v/>
      </c>
      <c r="HE93" s="176" t="n"/>
      <c r="HF93" s="176" t="n"/>
      <c r="HG93" s="180">
        <f>IF('DADOS_ENTIDADES'!$K$7="","","⚠ "&amp;'DADOS_ENTIDADES'!$K$7)</f>
        <v/>
      </c>
      <c r="HM93" s="176" t="n"/>
      <c r="HN93" s="176" t="n"/>
      <c r="HO93" s="176" t="n"/>
      <c r="HP93" s="180">
        <f>IF('DADOS_ENTIDADES'!$AG$6="","","⚠ "&amp;'DADOS_ENTIDADES'!$AG$6)</f>
        <v/>
      </c>
      <c r="HV93" s="176" t="n"/>
      <c r="HW93" s="176" t="n"/>
      <c r="HX93" s="180">
        <f>IF('DADOS_ENTIDADES'!$AG$7="","","⚠ "&amp;'DADOS_ENTIDADES'!$AG$7)</f>
        <v/>
      </c>
      <c r="ID93" s="176" t="n"/>
    </row>
    <row r="94" ht="21" customHeight="1">
      <c r="A94" s="176" t="n"/>
      <c r="B94" s="176" t="n"/>
      <c r="C94" s="186" t="n">
        <v>30</v>
      </c>
      <c r="D94" s="183" t="n"/>
      <c r="E94" s="186" t="n"/>
      <c r="F94" s="185" t="n"/>
      <c r="G94" s="186" t="inlineStr">
        <is>
          <t>—</t>
        </is>
      </c>
      <c r="H94" s="186">
        <f>DADOS_CONFIG!Z31</f>
        <v/>
      </c>
      <c r="I94" s="176" t="n"/>
      <c r="J94" s="176" t="n"/>
      <c r="K94" s="176" t="n"/>
      <c r="L94" s="176" t="n"/>
      <c r="M94" s="176" t="n"/>
      <c r="N94" s="176" t="n"/>
      <c r="O94" s="176" t="n"/>
      <c r="P94" s="176" t="n"/>
      <c r="Q94" s="176" t="n"/>
      <c r="R94" s="176" t="n"/>
      <c r="S94" s="176" t="n"/>
      <c r="T94" s="180">
        <f>IF('DADOS_CUSTOM'!$S$6="","Revise os valores ao trocar o tipo.","⚠ "&amp;'DADOS_CUSTOM'!$S$6)</f>
        <v/>
      </c>
      <c r="Z94" s="176" t="n"/>
      <c r="AA94" s="176" t="n"/>
      <c r="AB94" s="180">
        <f>IF('DADOS_CUSTOM'!$S$7="","Revise os valores ao trocar o tipo.","⚠ "&amp;'DADOS_CUSTOM'!$S$7)</f>
        <v/>
      </c>
      <c r="AH94" s="176" t="n"/>
      <c r="AI94" s="176" t="n"/>
      <c r="AJ94" s="176" t="n"/>
      <c r="AK94" s="176" t="n"/>
      <c r="AL94" s="176" t="n"/>
      <c r="AM94" s="176" t="n"/>
      <c r="AN94" s="176" t="n"/>
      <c r="AO94" s="176" t="n"/>
      <c r="AP94" s="176" t="n"/>
      <c r="AQ94" s="176" t="n"/>
      <c r="AR94" s="176" t="n"/>
      <c r="AS94" s="176" t="n"/>
      <c r="AT94" s="176" t="n"/>
      <c r="AU94" s="176" t="n"/>
      <c r="AV94" s="176" t="n"/>
      <c r="AW94" s="176" t="n"/>
      <c r="AX94" s="176" t="n"/>
      <c r="AY94" s="176" t="n"/>
      <c r="AZ94" s="176" t="n"/>
      <c r="BA94" s="176" t="n"/>
      <c r="BB94" s="176" t="n"/>
      <c r="BC94" s="176" t="n"/>
      <c r="BD94" s="176" t="n"/>
      <c r="BE94" s="176" t="n"/>
      <c r="BF94" s="176" t="n"/>
      <c r="BG94" s="176" t="n"/>
      <c r="BH94" s="176" t="n"/>
      <c r="BI94" s="176" t="n"/>
      <c r="BJ94" s="176" t="n"/>
      <c r="BK94" s="176" t="n"/>
      <c r="BL94" s="176" t="n"/>
      <c r="BM94" s="176" t="n"/>
      <c r="BN94" s="176" t="n"/>
      <c r="BO94" s="176" t="n"/>
      <c r="BP94" s="176" t="n"/>
      <c r="BQ94" s="176" t="n"/>
      <c r="BR94" s="176" t="n"/>
      <c r="BS94" s="176" t="n"/>
      <c r="BT94" s="176" t="n"/>
      <c r="BU94" s="176" t="n"/>
      <c r="BV94" s="176" t="n"/>
      <c r="BW94" s="176" t="n"/>
      <c r="BX94" s="176" t="n"/>
      <c r="BY94" s="176" t="n"/>
      <c r="BZ94" s="176" t="n"/>
      <c r="CA94" s="176" t="n"/>
      <c r="CB94" s="176" t="n"/>
      <c r="CC94" s="176" t="n"/>
      <c r="CD94" s="176" t="n"/>
      <c r="CE94" s="176" t="n"/>
      <c r="CF94" s="176" t="n"/>
      <c r="CG94" s="176" t="n"/>
      <c r="CH94" s="176" t="n"/>
      <c r="CI94" s="176" t="n"/>
      <c r="CJ94" s="176" t="n"/>
      <c r="CK94" s="176" t="n"/>
      <c r="CL94" s="176" t="n"/>
      <c r="CM94" s="176" t="n"/>
      <c r="CN94" s="176" t="n"/>
      <c r="CO94" s="176" t="n"/>
      <c r="CP94" s="176" t="n"/>
      <c r="CQ94" s="176" t="n"/>
      <c r="CR94" s="176" t="n"/>
      <c r="CS94" s="176" t="n"/>
      <c r="CT94" s="176" t="n"/>
      <c r="CU94" s="176" t="n"/>
      <c r="CV94" s="176" t="n"/>
      <c r="CW94" s="176" t="n"/>
      <c r="CX94" s="176" t="n"/>
      <c r="CY94" s="176" t="n"/>
      <c r="CZ94" s="176" t="n"/>
      <c r="DA94" s="181" t="inlineStr">
        <is>
          <t>BASE DO LIVRO</t>
        </is>
      </c>
      <c r="DB94" s="182" t="n"/>
      <c r="DC94" s="183" t="n"/>
      <c r="DD94" s="185" t="inlineStr">
        <is>
          <t>Nenhuma</t>
        </is>
      </c>
      <c r="DE94" s="182" t="n"/>
      <c r="DF94" s="183" t="n"/>
      <c r="DG94" s="176" t="n"/>
      <c r="DH94" s="176" t="n"/>
      <c r="DI94" s="181" t="inlineStr">
        <is>
          <t>BASE DO LIVRO</t>
        </is>
      </c>
      <c r="DJ94" s="182" t="n"/>
      <c r="DK94" s="183" t="n"/>
      <c r="DL94" s="185" t="inlineStr">
        <is>
          <t>Nenhuma</t>
        </is>
      </c>
      <c r="DM94" s="182" t="n"/>
      <c r="DN94" s="183" t="n"/>
      <c r="DO94" s="176" t="n"/>
      <c r="DP94" s="176" t="n"/>
      <c r="DQ94" s="176" t="n"/>
      <c r="DR94" s="176" t="n"/>
      <c r="DS94" s="176" t="n"/>
      <c r="DT94" s="176" t="n"/>
      <c r="DU94" s="176" t="n"/>
      <c r="DV94" s="176" t="n"/>
      <c r="DW94" s="176" t="n"/>
      <c r="DX94" s="176" t="n"/>
      <c r="DY94" s="176" t="n"/>
      <c r="DZ94" s="176" t="n"/>
      <c r="EA94" s="176" t="n"/>
      <c r="EB94" s="176" t="n"/>
      <c r="EC94" s="176" t="n"/>
      <c r="ED94" s="176" t="n"/>
      <c r="EE94" s="176" t="n"/>
      <c r="EF94" s="176" t="n"/>
      <c r="EG94" s="176" t="n"/>
      <c r="EH94" s="176" t="n"/>
      <c r="EI94" s="176" t="n"/>
      <c r="EJ94" s="176" t="n"/>
      <c r="EK94" s="176" t="n"/>
      <c r="EL94" s="176" t="n"/>
      <c r="EM94" s="176" t="n"/>
      <c r="EN94" s="176" t="n"/>
      <c r="EO94" s="176" t="n"/>
      <c r="EP94" s="176" t="n"/>
      <c r="EQ94" s="176" t="n"/>
      <c r="ER94" s="176" t="n"/>
      <c r="ES94" s="176" t="n"/>
      <c r="ET94" s="176" t="n"/>
      <c r="EU94" s="176" t="n"/>
      <c r="EV94" s="176" t="n"/>
      <c r="EW94" s="176" t="n"/>
      <c r="EX94" s="176" t="n"/>
      <c r="EY94" s="176" t="n"/>
      <c r="EZ94" s="181" t="inlineStr">
        <is>
          <t>EFEITO</t>
        </is>
      </c>
      <c r="FA94" s="182" t="n"/>
      <c r="FB94" s="182" t="n"/>
      <c r="FC94" s="182" t="n"/>
      <c r="FD94" s="182" t="n"/>
      <c r="FE94" s="183" t="n"/>
      <c r="FF94" s="176" t="n"/>
      <c r="FG94" s="176" t="n"/>
      <c r="FH94" s="181" t="inlineStr">
        <is>
          <t>EFEITO</t>
        </is>
      </c>
      <c r="FI94" s="182" t="n"/>
      <c r="FJ94" s="182" t="n"/>
      <c r="FK94" s="182" t="n"/>
      <c r="FL94" s="182" t="n"/>
      <c r="FM94" s="183" t="n"/>
      <c r="FN94" s="176" t="n"/>
      <c r="FO94" s="176" t="n"/>
      <c r="FP94" s="176" t="n"/>
      <c r="FQ94" s="181" t="inlineStr">
        <is>
          <t>TIPO</t>
        </is>
      </c>
      <c r="FR94" s="182" t="n"/>
      <c r="FS94" s="182" t="n"/>
      <c r="FT94" s="183" t="n"/>
      <c r="FU94" s="181" t="inlineStr">
        <is>
          <t>MESTRE VIU</t>
        </is>
      </c>
      <c r="FV94" s="183" t="n"/>
      <c r="FW94" s="176" t="n"/>
      <c r="FX94" s="176" t="n"/>
      <c r="FY94" s="181" t="inlineStr">
        <is>
          <t>TIPO</t>
        </is>
      </c>
      <c r="FZ94" s="182" t="n"/>
      <c r="GA94" s="182" t="n"/>
      <c r="GB94" s="183" t="n"/>
      <c r="GC94" s="181" t="inlineStr">
        <is>
          <t>MESTRE VIU</t>
        </is>
      </c>
      <c r="GD94" s="183" t="n"/>
      <c r="GE94" s="176" t="n"/>
      <c r="GF94" s="176" t="n"/>
      <c r="GG94" s="176" t="n"/>
      <c r="GH94" s="181" t="inlineStr">
        <is>
          <t>ROTA</t>
        </is>
      </c>
      <c r="GI94" s="182" t="n"/>
      <c r="GJ94" s="183" t="n"/>
      <c r="GK94" s="185" t="n"/>
      <c r="GL94" s="182" t="n"/>
      <c r="GM94" s="183" t="n"/>
      <c r="GN94" s="176" t="n"/>
      <c r="GO94" s="176" t="n"/>
      <c r="GP94" s="181" t="inlineStr">
        <is>
          <t>ROTA</t>
        </is>
      </c>
      <c r="GQ94" s="182" t="n"/>
      <c r="GR94" s="183" t="n"/>
      <c r="GS94" s="185" t="n"/>
      <c r="GT94" s="182" t="n"/>
      <c r="GU94" s="183" t="n"/>
      <c r="GV94" s="176" t="n"/>
      <c r="GW94" s="176" t="n"/>
      <c r="GX94" s="176" t="n"/>
      <c r="HE94" s="176" t="n"/>
      <c r="HF94" s="176" t="n"/>
      <c r="HM94" s="176" t="n"/>
      <c r="HN94" s="176" t="n"/>
      <c r="HO94" s="176" t="n"/>
      <c r="HV94" s="176" t="n"/>
      <c r="HW94" s="176" t="n"/>
      <c r="ID94" s="176" t="n"/>
    </row>
    <row r="95" ht="21" customHeight="1">
      <c r="A95" s="176" t="n"/>
      <c r="B95" s="176" t="n"/>
      <c r="C95" s="176" t="n"/>
      <c r="D95" s="176" t="n"/>
      <c r="E95" s="176" t="n"/>
      <c r="F95" s="176" t="n"/>
      <c r="G95" s="176" t="n"/>
      <c r="H95" s="176" t="n"/>
      <c r="I95" s="176" t="n"/>
      <c r="J95" s="176" t="n"/>
      <c r="K95" s="176" t="n"/>
      <c r="L95" s="176" t="n"/>
      <c r="M95" s="176" t="n"/>
      <c r="N95" s="176" t="n"/>
      <c r="O95" s="176" t="n"/>
      <c r="P95" s="176" t="n"/>
      <c r="Q95" s="176" t="n"/>
      <c r="R95" s="176" t="n"/>
      <c r="S95" s="176" t="n"/>
      <c r="Z95" s="176" t="n"/>
      <c r="AA95" s="176" t="n"/>
      <c r="AH95" s="176" t="n"/>
      <c r="AI95" s="176" t="n"/>
      <c r="AJ95" s="176" t="n"/>
      <c r="AK95" s="176" t="n"/>
      <c r="AL95" s="176" t="n"/>
      <c r="AM95" s="176" t="n"/>
      <c r="AN95" s="176" t="n"/>
      <c r="AO95" s="176" t="n"/>
      <c r="AP95" s="176" t="n"/>
      <c r="AQ95" s="176" t="n"/>
      <c r="AR95" s="176" t="n"/>
      <c r="AS95" s="176" t="n"/>
      <c r="AT95" s="176" t="n"/>
      <c r="AU95" s="176" t="n"/>
      <c r="AV95" s="176" t="n"/>
      <c r="AW95" s="176" t="n"/>
      <c r="AX95" s="176" t="n"/>
      <c r="AY95" s="176" t="n"/>
      <c r="AZ95" s="176" t="n"/>
      <c r="BA95" s="176" t="n"/>
      <c r="BB95" s="176" t="n"/>
      <c r="BC95" s="176" t="n"/>
      <c r="BD95" s="176" t="n"/>
      <c r="BE95" s="176" t="n"/>
      <c r="BF95" s="176" t="n"/>
      <c r="BG95" s="176" t="n"/>
      <c r="BH95" s="176" t="n"/>
      <c r="BI95" s="176" t="n"/>
      <c r="BJ95" s="176" t="n"/>
      <c r="BK95" s="176" t="n"/>
      <c r="BL95" s="176" t="n"/>
      <c r="BM95" s="176" t="n"/>
      <c r="BN95" s="176" t="n"/>
      <c r="BO95" s="176" t="n"/>
      <c r="BP95" s="176" t="n"/>
      <c r="BQ95" s="176" t="n"/>
      <c r="BR95" s="176" t="n"/>
      <c r="BS95" s="176" t="n"/>
      <c r="BT95" s="176" t="n"/>
      <c r="BU95" s="176" t="n"/>
      <c r="BV95" s="176" t="n"/>
      <c r="BW95" s="176" t="n"/>
      <c r="BX95" s="176" t="n"/>
      <c r="BY95" s="176" t="n"/>
      <c r="BZ95" s="176" t="n"/>
      <c r="CA95" s="176" t="n"/>
      <c r="CB95" s="176" t="n"/>
      <c r="CC95" s="176" t="n"/>
      <c r="CD95" s="176" t="n"/>
      <c r="CE95" s="176" t="n"/>
      <c r="CF95" s="176" t="n"/>
      <c r="CG95" s="176" t="n"/>
      <c r="CH95" s="176" t="n"/>
      <c r="CI95" s="176" t="n"/>
      <c r="CJ95" s="176" t="n"/>
      <c r="CK95" s="176" t="n"/>
      <c r="CL95" s="176" t="n"/>
      <c r="CM95" s="176" t="n"/>
      <c r="CN95" s="176" t="n"/>
      <c r="CO95" s="176" t="n"/>
      <c r="CP95" s="176" t="n"/>
      <c r="CQ95" s="176" t="n"/>
      <c r="CR95" s="176" t="n"/>
      <c r="CS95" s="176" t="n"/>
      <c r="CT95" s="176" t="n"/>
      <c r="CU95" s="176" t="n"/>
      <c r="CV95" s="176" t="n"/>
      <c r="CW95" s="176" t="n"/>
      <c r="CX95" s="176" t="n"/>
      <c r="CY95" s="176" t="n"/>
      <c r="CZ95" s="176" t="n"/>
      <c r="DA95" s="181" t="inlineStr">
        <is>
          <t>FAMÍLIA</t>
        </is>
      </c>
      <c r="DB95" s="182" t="n"/>
      <c r="DC95" s="183" t="n"/>
      <c r="DD95" s="185" t="n"/>
      <c r="DE95" s="182" t="n"/>
      <c r="DF95" s="183" t="n"/>
      <c r="DG95" s="176" t="n"/>
      <c r="DH95" s="176" t="n"/>
      <c r="DI95" s="181" t="inlineStr">
        <is>
          <t>FAMÍLIA</t>
        </is>
      </c>
      <c r="DJ95" s="182" t="n"/>
      <c r="DK95" s="183" t="n"/>
      <c r="DL95" s="185" t="n"/>
      <c r="DM95" s="182" t="n"/>
      <c r="DN95" s="183" t="n"/>
      <c r="DO95" s="176" t="n"/>
      <c r="DP95" s="176" t="n"/>
      <c r="DQ95" s="176" t="n"/>
      <c r="DR95" s="180">
        <f>IF('DADOS_RESTRICOES'!$K$8="","","⚠ "&amp;'DADOS_RESTRICOES'!$K$8)</f>
        <v/>
      </c>
      <c r="DX95" s="176" t="n"/>
      <c r="DY95" s="176" t="n"/>
      <c r="DZ95" s="180">
        <f>IF('DADOS_RESTRICOES'!$K$9="","","⚠ "&amp;'DADOS_RESTRICOES'!$K$9)</f>
        <v/>
      </c>
      <c r="EF95" s="176" t="n"/>
      <c r="EG95" s="176" t="n"/>
      <c r="EH95" s="176" t="n"/>
      <c r="EI95" s="179" t="inlineStr">
        <is>
          <t>TIPO DE DANO · 7</t>
        </is>
      </c>
      <c r="EO95" s="176" t="n"/>
      <c r="EP95" s="176" t="n"/>
      <c r="EQ95" s="179" t="inlineStr">
        <is>
          <t>TIPO DE DANO · 8</t>
        </is>
      </c>
      <c r="EW95" s="176" t="n"/>
      <c r="EX95" s="176" t="n"/>
      <c r="EY95" s="176" t="n"/>
      <c r="EZ95" s="192" t="n"/>
      <c r="FA95" s="187" t="n"/>
      <c r="FB95" s="187" t="n"/>
      <c r="FC95" s="187" t="n"/>
      <c r="FD95" s="187" t="n"/>
      <c r="FE95" s="188" t="n"/>
      <c r="FF95" s="176" t="n"/>
      <c r="FG95" s="176" t="n"/>
      <c r="FH95" s="192" t="n"/>
      <c r="FI95" s="187" t="n"/>
      <c r="FJ95" s="187" t="n"/>
      <c r="FK95" s="187" t="n"/>
      <c r="FL95" s="187" t="n"/>
      <c r="FM95" s="188" t="n"/>
      <c r="FN95" s="176" t="n"/>
      <c r="FO95" s="176" t="n"/>
      <c r="FP95" s="176" t="n"/>
      <c r="FQ95" s="185" t="n"/>
      <c r="FR95" s="182" t="n"/>
      <c r="FS95" s="182" t="n"/>
      <c r="FT95" s="183" t="n"/>
      <c r="FU95" s="184" t="b">
        <v>0</v>
      </c>
      <c r="FV95" s="183" t="n"/>
      <c r="FW95" s="176" t="n"/>
      <c r="FX95" s="176" t="n"/>
      <c r="FY95" s="185" t="n"/>
      <c r="FZ95" s="182" t="n"/>
      <c r="GA95" s="182" t="n"/>
      <c r="GB95" s="183" t="n"/>
      <c r="GC95" s="184" t="b">
        <v>0</v>
      </c>
      <c r="GD95" s="183" t="n"/>
      <c r="GE95" s="176" t="n"/>
      <c r="GF95" s="176" t="n"/>
      <c r="GG95" s="176" t="n"/>
      <c r="GH95" s="176" t="n"/>
      <c r="GI95" s="176" t="n"/>
      <c r="GJ95" s="176" t="n"/>
      <c r="GK95" s="176" t="n"/>
      <c r="GL95" s="176" t="n"/>
      <c r="GM95" s="176" t="n"/>
      <c r="GN95" s="176" t="n"/>
      <c r="GO95" s="176" t="n"/>
      <c r="GP95" s="176" t="n"/>
      <c r="GQ95" s="176" t="n"/>
      <c r="GR95" s="176" t="n"/>
      <c r="GS95" s="176" t="n"/>
      <c r="GT95" s="176" t="n"/>
      <c r="GU95" s="176" t="n"/>
      <c r="GV95" s="176" t="n"/>
      <c r="GW95" s="176" t="n"/>
      <c r="GX95" s="176" t="n"/>
      <c r="GY95" s="179" t="inlineStr">
        <is>
          <t>TIPO DE ENTIDADE · 7</t>
        </is>
      </c>
      <c r="HE95" s="176" t="n"/>
      <c r="HF95" s="176" t="n"/>
      <c r="HG95" s="179" t="inlineStr">
        <is>
          <t>TIPO DE ENTIDADE · 8</t>
        </is>
      </c>
      <c r="HM95" s="176" t="n"/>
      <c r="HN95" s="176" t="n"/>
      <c r="HO95" s="176" t="n"/>
      <c r="HP95" s="179" t="inlineStr">
        <is>
          <t>TALENTO · ENTIDADE · 7</t>
        </is>
      </c>
      <c r="HV95" s="176" t="n"/>
      <c r="HW95" s="176" t="n"/>
      <c r="HX95" s="179" t="inlineStr">
        <is>
          <t>TALENTO · ENTIDADE · 8</t>
        </is>
      </c>
      <c r="ID95" s="176" t="n"/>
    </row>
    <row r="96" ht="21" customHeight="1">
      <c r="A96" s="176" t="n"/>
      <c r="B96" s="176" t="n"/>
      <c r="C96" s="176" t="n"/>
      <c r="D96" s="176" t="n"/>
      <c r="E96" s="176" t="n"/>
      <c r="F96" s="176" t="n"/>
      <c r="G96" s="176" t="n"/>
      <c r="H96" s="176" t="n"/>
      <c r="I96" s="176" t="n"/>
      <c r="J96" s="176" t="n"/>
      <c r="K96" s="176" t="n"/>
      <c r="L96" s="176" t="n"/>
      <c r="M96" s="176" t="n"/>
      <c r="N96" s="176" t="n"/>
      <c r="O96" s="176" t="n"/>
      <c r="P96" s="176" t="n"/>
      <c r="Q96" s="176" t="n"/>
      <c r="R96" s="176" t="n"/>
      <c r="S96" s="176" t="n"/>
      <c r="T96" s="176" t="n"/>
      <c r="U96" s="176" t="n"/>
      <c r="V96" s="176" t="n"/>
      <c r="W96" s="176" t="n"/>
      <c r="X96" s="176" t="n"/>
      <c r="Y96" s="176" t="n"/>
      <c r="Z96" s="176" t="n"/>
      <c r="AA96" s="176" t="n"/>
      <c r="AB96" s="176" t="n"/>
      <c r="AC96" s="176" t="n"/>
      <c r="AD96" s="176" t="n"/>
      <c r="AE96" s="176" t="n"/>
      <c r="AF96" s="176" t="n"/>
      <c r="AG96" s="176" t="n"/>
      <c r="AH96" s="176" t="n"/>
      <c r="AI96" s="176" t="n"/>
      <c r="AJ96" s="176" t="n"/>
      <c r="AK96" s="176" t="n"/>
      <c r="AL96" s="176" t="n"/>
      <c r="AM96" s="176" t="n"/>
      <c r="AN96" s="176" t="n"/>
      <c r="AO96" s="176" t="n"/>
      <c r="AP96" s="176" t="n"/>
      <c r="AQ96" s="176" t="n"/>
      <c r="AR96" s="176" t="n"/>
      <c r="AS96" s="176" t="n"/>
      <c r="AT96" s="176" t="n"/>
      <c r="AU96" s="176" t="n"/>
      <c r="AV96" s="176" t="n"/>
      <c r="AW96" s="176" t="n"/>
      <c r="AX96" s="176" t="n"/>
      <c r="AY96" s="176" t="n"/>
      <c r="AZ96" s="176" t="n"/>
      <c r="BA96" s="176" t="n"/>
      <c r="BB96" s="176" t="n"/>
      <c r="BC96" s="176" t="n"/>
      <c r="BD96" s="176" t="n"/>
      <c r="BE96" s="176" t="n"/>
      <c r="BF96" s="176" t="n"/>
      <c r="BG96" s="176" t="n"/>
      <c r="BH96" s="176" t="n"/>
      <c r="BI96" s="176" t="n"/>
      <c r="BJ96" s="176" t="n"/>
      <c r="BK96" s="176" t="n"/>
      <c r="BL96" s="176" t="n"/>
      <c r="BM96" s="176" t="n"/>
      <c r="BN96" s="176" t="n"/>
      <c r="BO96" s="176" t="n"/>
      <c r="BP96" s="176" t="n"/>
      <c r="BQ96" s="176" t="n"/>
      <c r="BR96" s="176" t="n"/>
      <c r="BS96" s="176" t="n"/>
      <c r="BT96" s="176" t="n"/>
      <c r="BU96" s="176" t="n"/>
      <c r="BV96" s="176" t="n"/>
      <c r="BW96" s="176" t="n"/>
      <c r="BX96" s="176" t="n"/>
      <c r="BY96" s="176" t="n"/>
      <c r="BZ96" s="176" t="n"/>
      <c r="CA96" s="176" t="n"/>
      <c r="CB96" s="176" t="n"/>
      <c r="CC96" s="176" t="n"/>
      <c r="CD96" s="176" t="n"/>
      <c r="CE96" s="176" t="n"/>
      <c r="CF96" s="176" t="n"/>
      <c r="CG96" s="176" t="n"/>
      <c r="CH96" s="176" t="n"/>
      <c r="CI96" s="176" t="n"/>
      <c r="CJ96" s="176" t="n"/>
      <c r="CK96" s="176" t="n"/>
      <c r="CL96" s="176" t="n"/>
      <c r="CM96" s="176" t="n"/>
      <c r="CN96" s="176" t="n"/>
      <c r="CO96" s="176" t="n"/>
      <c r="CP96" s="176" t="n"/>
      <c r="CQ96" s="176" t="n"/>
      <c r="CR96" s="176" t="n"/>
      <c r="CS96" s="176" t="n"/>
      <c r="CT96" s="176" t="n"/>
      <c r="CU96" s="176" t="n"/>
      <c r="CV96" s="176" t="n"/>
      <c r="CW96" s="176" t="n"/>
      <c r="CX96" s="176" t="n"/>
      <c r="CY96" s="176" t="n"/>
      <c r="CZ96" s="176" t="n"/>
      <c r="DA96" s="181" t="inlineStr">
        <is>
          <t>PESO</t>
        </is>
      </c>
      <c r="DB96" s="182" t="n"/>
      <c r="DC96" s="183" t="n"/>
      <c r="DD96" s="185" t="n"/>
      <c r="DE96" s="182" t="n"/>
      <c r="DF96" s="183" t="n"/>
      <c r="DG96" s="176" t="n"/>
      <c r="DH96" s="176" t="n"/>
      <c r="DI96" s="181" t="inlineStr">
        <is>
          <t>PESO</t>
        </is>
      </c>
      <c r="DJ96" s="182" t="n"/>
      <c r="DK96" s="183" t="n"/>
      <c r="DL96" s="185" t="n"/>
      <c r="DM96" s="182" t="n"/>
      <c r="DN96" s="183" t="n"/>
      <c r="DO96" s="176" t="n"/>
      <c r="DP96" s="176" t="n"/>
      <c r="DQ96" s="176" t="n"/>
      <c r="DX96" s="176" t="n"/>
      <c r="DY96" s="176" t="n"/>
      <c r="EF96" s="176" t="n"/>
      <c r="EG96" s="176" t="n"/>
      <c r="EH96" s="176" t="n"/>
      <c r="EI96" s="181" t="inlineStr">
        <is>
          <t>NOME</t>
        </is>
      </c>
      <c r="EJ96" s="182" t="n"/>
      <c r="EK96" s="182" t="n"/>
      <c r="EL96" s="183" t="n"/>
      <c r="EM96" s="181" t="inlineStr">
        <is>
          <t>MESTRE VIU</t>
        </is>
      </c>
      <c r="EN96" s="183" t="n"/>
      <c r="EO96" s="176" t="n"/>
      <c r="EP96" s="176" t="n"/>
      <c r="EQ96" s="181" t="inlineStr">
        <is>
          <t>NOME</t>
        </is>
      </c>
      <c r="ER96" s="182" t="n"/>
      <c r="ES96" s="182" t="n"/>
      <c r="ET96" s="183" t="n"/>
      <c r="EU96" s="181" t="inlineStr">
        <is>
          <t>MESTRE VIU</t>
        </is>
      </c>
      <c r="EV96" s="183" t="n"/>
      <c r="EW96" s="176" t="n"/>
      <c r="EX96" s="176" t="n"/>
      <c r="EY96" s="176" t="n"/>
      <c r="EZ96" s="193" t="n"/>
      <c r="FE96" s="194" t="n"/>
      <c r="FF96" s="176" t="n"/>
      <c r="FG96" s="176" t="n"/>
      <c r="FH96" s="193" t="n"/>
      <c r="FM96" s="194" t="n"/>
      <c r="FN96" s="176" t="n"/>
      <c r="FO96" s="176" t="n"/>
      <c r="FP96" s="176" t="n"/>
      <c r="FQ96" s="181" t="inlineStr">
        <is>
          <t>NOME</t>
        </is>
      </c>
      <c r="FR96" s="182" t="n"/>
      <c r="FS96" s="182" t="n"/>
      <c r="FT96" s="182" t="n"/>
      <c r="FU96" s="182" t="n"/>
      <c r="FV96" s="183" t="n"/>
      <c r="FW96" s="176" t="n"/>
      <c r="FX96" s="176" t="n"/>
      <c r="FY96" s="181" t="inlineStr">
        <is>
          <t>NOME</t>
        </is>
      </c>
      <c r="FZ96" s="182" t="n"/>
      <c r="GA96" s="182" t="n"/>
      <c r="GB96" s="182" t="n"/>
      <c r="GC96" s="182" t="n"/>
      <c r="GD96" s="183" t="n"/>
      <c r="GE96" s="176" t="n"/>
      <c r="GF96" s="176" t="n"/>
      <c r="GG96" s="176" t="n"/>
      <c r="GH96" s="181" t="inlineStr">
        <is>
          <t>REQUISITOS</t>
        </is>
      </c>
      <c r="GI96" s="182" t="n"/>
      <c r="GJ96" s="182" t="n"/>
      <c r="GK96" s="182" t="n"/>
      <c r="GL96" s="182" t="n"/>
      <c r="GM96" s="183" t="n"/>
      <c r="GN96" s="176" t="n"/>
      <c r="GO96" s="176" t="n"/>
      <c r="GP96" s="181" t="inlineStr">
        <is>
          <t>REQUISITOS</t>
        </is>
      </c>
      <c r="GQ96" s="182" t="n"/>
      <c r="GR96" s="182" t="n"/>
      <c r="GS96" s="182" t="n"/>
      <c r="GT96" s="182" t="n"/>
      <c r="GU96" s="183" t="n"/>
      <c r="GV96" s="176" t="n"/>
      <c r="GW96" s="176" t="n"/>
      <c r="GX96" s="176" t="n"/>
      <c r="GY96" s="181" t="inlineStr">
        <is>
          <t>NOME</t>
        </is>
      </c>
      <c r="GZ96" s="182" t="n"/>
      <c r="HA96" s="182" t="n"/>
      <c r="HB96" s="183" t="n"/>
      <c r="HC96" s="181" t="inlineStr">
        <is>
          <t>MESTRE VIU</t>
        </is>
      </c>
      <c r="HD96" s="183" t="n"/>
      <c r="HE96" s="176" t="n"/>
      <c r="HF96" s="176" t="n"/>
      <c r="HG96" s="181" t="inlineStr">
        <is>
          <t>NOME</t>
        </is>
      </c>
      <c r="HH96" s="182" t="n"/>
      <c r="HI96" s="182" t="n"/>
      <c r="HJ96" s="183" t="n"/>
      <c r="HK96" s="181" t="inlineStr">
        <is>
          <t>MESTRE VIU</t>
        </is>
      </c>
      <c r="HL96" s="183" t="n"/>
      <c r="HM96" s="176" t="n"/>
      <c r="HN96" s="176" t="n"/>
      <c r="HO96" s="176" t="n"/>
      <c r="HP96" s="181" t="inlineStr">
        <is>
          <t>NOME</t>
        </is>
      </c>
      <c r="HQ96" s="182" t="n"/>
      <c r="HR96" s="182" t="n"/>
      <c r="HS96" s="183" t="n"/>
      <c r="HT96" s="181" t="inlineStr">
        <is>
          <t>MESTRE VIU</t>
        </is>
      </c>
      <c r="HU96" s="183" t="n"/>
      <c r="HV96" s="176" t="n"/>
      <c r="HW96" s="176" t="n"/>
      <c r="HX96" s="181" t="inlineStr">
        <is>
          <t>NOME</t>
        </is>
      </c>
      <c r="HY96" s="182" t="n"/>
      <c r="HZ96" s="182" t="n"/>
      <c r="IA96" s="183" t="n"/>
      <c r="IB96" s="181" t="inlineStr">
        <is>
          <t>MESTRE VIU</t>
        </is>
      </c>
      <c r="IC96" s="183" t="n"/>
      <c r="ID96" s="176" t="n"/>
    </row>
    <row r="97" ht="22.5" customHeight="1">
      <c r="A97" s="176" t="n"/>
      <c r="B97" s="176" t="n"/>
      <c r="C97" s="179" t="inlineStr">
        <is>
          <t>VIDA ROLADA · REGISTRO</t>
        </is>
      </c>
      <c r="I97" s="176" t="n"/>
      <c r="J97" s="176" t="n"/>
      <c r="K97" s="176" t="n"/>
      <c r="L97" s="176" t="n"/>
      <c r="M97" s="176" t="n"/>
      <c r="N97" s="176" t="n"/>
      <c r="O97" s="176" t="n"/>
      <c r="P97" s="176" t="n"/>
      <c r="Q97" s="176" t="n"/>
      <c r="R97" s="176" t="n"/>
      <c r="S97" s="176" t="n"/>
      <c r="T97" s="176" t="n"/>
      <c r="U97" s="176" t="n"/>
      <c r="V97" s="176" t="n"/>
      <c r="W97" s="176" t="n"/>
      <c r="X97" s="176" t="n"/>
      <c r="Y97" s="176" t="n"/>
      <c r="Z97" s="176" t="n"/>
      <c r="AA97" s="176" t="n"/>
      <c r="AB97" s="176" t="n"/>
      <c r="AC97" s="176" t="n"/>
      <c r="AD97" s="176" t="n"/>
      <c r="AE97" s="176" t="n"/>
      <c r="AF97" s="176" t="n"/>
      <c r="AG97" s="176" t="n"/>
      <c r="AH97" s="176" t="n"/>
      <c r="AI97" s="176" t="n"/>
      <c r="AJ97" s="176" t="n"/>
      <c r="AK97" s="176" t="n"/>
      <c r="AL97" s="176" t="n"/>
      <c r="AM97" s="176" t="n"/>
      <c r="AN97" s="176" t="n"/>
      <c r="AO97" s="176" t="n"/>
      <c r="AP97" s="176" t="n"/>
      <c r="AQ97" s="176" t="n"/>
      <c r="AR97" s="176" t="n"/>
      <c r="AS97" s="176" t="n"/>
      <c r="AT97" s="176" t="n"/>
      <c r="AU97" s="176" t="n"/>
      <c r="AV97" s="176" t="n"/>
      <c r="AW97" s="176" t="n"/>
      <c r="AX97" s="176" t="n"/>
      <c r="AY97" s="176" t="n"/>
      <c r="AZ97" s="176" t="n"/>
      <c r="BA97" s="176" t="n"/>
      <c r="BB97" s="176" t="n"/>
      <c r="BC97" s="176" t="n"/>
      <c r="BD97" s="176" t="n"/>
      <c r="BE97" s="176" t="n"/>
      <c r="BF97" s="176" t="n"/>
      <c r="BG97" s="176" t="n"/>
      <c r="BH97" s="176" t="n"/>
      <c r="BI97" s="176" t="n"/>
      <c r="BJ97" s="176" t="n"/>
      <c r="BK97" s="176" t="n"/>
      <c r="BL97" s="176" t="n"/>
      <c r="BM97" s="176" t="n"/>
      <c r="BN97" s="176" t="n"/>
      <c r="BO97" s="176" t="n"/>
      <c r="BP97" s="176" t="n"/>
      <c r="BQ97" s="176" t="n"/>
      <c r="BR97" s="176" t="n"/>
      <c r="BS97" s="176" t="n"/>
      <c r="BT97" s="176" t="n"/>
      <c r="BU97" s="176" t="n"/>
      <c r="BV97" s="176" t="n"/>
      <c r="BW97" s="176" t="n"/>
      <c r="BX97" s="176" t="n"/>
      <c r="BY97" s="176" t="n"/>
      <c r="BZ97" s="176" t="n"/>
      <c r="CA97" s="176" t="n"/>
      <c r="CB97" s="176" t="n"/>
      <c r="CC97" s="176" t="n"/>
      <c r="CD97" s="176" t="n"/>
      <c r="CE97" s="176" t="n"/>
      <c r="CF97" s="176" t="n"/>
      <c r="CG97" s="176" t="n"/>
      <c r="CH97" s="176" t="n"/>
      <c r="CI97" s="176" t="n"/>
      <c r="CJ97" s="176" t="n"/>
      <c r="CK97" s="176" t="n"/>
      <c r="CL97" s="176" t="n"/>
      <c r="CM97" s="176" t="n"/>
      <c r="CN97" s="176" t="n"/>
      <c r="CO97" s="176" t="n"/>
      <c r="CP97" s="176" t="n"/>
      <c r="CQ97" s="176" t="n"/>
      <c r="CR97" s="176" t="n"/>
      <c r="CS97" s="176" t="n"/>
      <c r="CT97" s="176" t="n"/>
      <c r="CU97" s="176" t="n"/>
      <c r="CV97" s="176" t="n"/>
      <c r="CW97" s="176" t="n"/>
      <c r="CX97" s="176" t="n"/>
      <c r="CY97" s="176" t="n"/>
      <c r="CZ97" s="176" t="n"/>
      <c r="DA97" s="181" t="inlineStr">
        <is>
          <t>EXIGE TR</t>
        </is>
      </c>
      <c r="DB97" s="182" t="n"/>
      <c r="DC97" s="183" t="n"/>
      <c r="DD97" s="185" t="n"/>
      <c r="DE97" s="182" t="n"/>
      <c r="DF97" s="183" t="n"/>
      <c r="DG97" s="176" t="n"/>
      <c r="DH97" s="176" t="n"/>
      <c r="DI97" s="181" t="inlineStr">
        <is>
          <t>EXIGE TR</t>
        </is>
      </c>
      <c r="DJ97" s="182" t="n"/>
      <c r="DK97" s="183" t="n"/>
      <c r="DL97" s="185" t="n"/>
      <c r="DM97" s="182" t="n"/>
      <c r="DN97" s="183" t="n"/>
      <c r="DO97" s="176" t="n"/>
      <c r="DP97" s="176" t="n"/>
      <c r="DQ97" s="176" t="n"/>
      <c r="DR97" s="176" t="n"/>
      <c r="DS97" s="176" t="n"/>
      <c r="DT97" s="176" t="n"/>
      <c r="DU97" s="176" t="n"/>
      <c r="DV97" s="176" t="n"/>
      <c r="DW97" s="176" t="n"/>
      <c r="DX97" s="176" t="n"/>
      <c r="DY97" s="176" t="n"/>
      <c r="DZ97" s="176" t="n"/>
      <c r="EA97" s="176" t="n"/>
      <c r="EB97" s="176" t="n"/>
      <c r="EC97" s="176" t="n"/>
      <c r="ED97" s="176" t="n"/>
      <c r="EE97" s="176" t="n"/>
      <c r="EF97" s="176" t="n"/>
      <c r="EG97" s="176" t="n"/>
      <c r="EH97" s="176" t="n"/>
      <c r="EI97" s="185" t="n"/>
      <c r="EJ97" s="182" t="n"/>
      <c r="EK97" s="182" t="n"/>
      <c r="EL97" s="183" t="n"/>
      <c r="EM97" s="184" t="b">
        <v>0</v>
      </c>
      <c r="EN97" s="183" t="n"/>
      <c r="EO97" s="176" t="n"/>
      <c r="EP97" s="176" t="n"/>
      <c r="EQ97" s="185" t="n"/>
      <c r="ER97" s="182" t="n"/>
      <c r="ES97" s="182" t="n"/>
      <c r="ET97" s="183" t="n"/>
      <c r="EU97" s="184" t="b">
        <v>0</v>
      </c>
      <c r="EV97" s="183" t="n"/>
      <c r="EW97" s="176" t="n"/>
      <c r="EX97" s="176" t="n"/>
      <c r="EY97" s="176" t="n"/>
      <c r="EZ97" s="193" t="n"/>
      <c r="FE97" s="194" t="n"/>
      <c r="FF97" s="176" t="n"/>
      <c r="FG97" s="176" t="n"/>
      <c r="FH97" s="193" t="n"/>
      <c r="FM97" s="194" t="n"/>
      <c r="FN97" s="176" t="n"/>
      <c r="FO97" s="176" t="n"/>
      <c r="FP97" s="176" t="n"/>
      <c r="FQ97" s="185" t="n"/>
      <c r="FR97" s="182" t="n"/>
      <c r="FS97" s="182" t="n"/>
      <c r="FT97" s="182" t="n"/>
      <c r="FU97" s="182" t="n"/>
      <c r="FV97" s="183" t="n"/>
      <c r="FW97" s="176" t="n"/>
      <c r="FX97" s="176" t="n"/>
      <c r="FY97" s="185" t="n"/>
      <c r="FZ97" s="182" t="n"/>
      <c r="GA97" s="182" t="n"/>
      <c r="GB97" s="182" t="n"/>
      <c r="GC97" s="182" t="n"/>
      <c r="GD97" s="183" t="n"/>
      <c r="GE97" s="176" t="n"/>
      <c r="GF97" s="176" t="n"/>
      <c r="GG97" s="176" t="n"/>
      <c r="GH97" s="192" t="n"/>
      <c r="GI97" s="187" t="n"/>
      <c r="GJ97" s="187" t="n"/>
      <c r="GK97" s="187" t="n"/>
      <c r="GL97" s="187" t="n"/>
      <c r="GM97" s="188" t="n"/>
      <c r="GN97" s="176" t="n"/>
      <c r="GO97" s="176" t="n"/>
      <c r="GP97" s="192" t="n"/>
      <c r="GQ97" s="187" t="n"/>
      <c r="GR97" s="187" t="n"/>
      <c r="GS97" s="187" t="n"/>
      <c r="GT97" s="187" t="n"/>
      <c r="GU97" s="188" t="n"/>
      <c r="GV97" s="176" t="n"/>
      <c r="GW97" s="176" t="n"/>
      <c r="GX97" s="176" t="n"/>
      <c r="GY97" s="185" t="n"/>
      <c r="GZ97" s="182" t="n"/>
      <c r="HA97" s="182" t="n"/>
      <c r="HB97" s="183" t="n"/>
      <c r="HC97" s="184" t="b">
        <v>0</v>
      </c>
      <c r="HD97" s="183" t="n"/>
      <c r="HE97" s="176" t="n"/>
      <c r="HF97" s="176" t="n"/>
      <c r="HG97" s="185" t="n"/>
      <c r="HH97" s="182" t="n"/>
      <c r="HI97" s="182" t="n"/>
      <c r="HJ97" s="183" t="n"/>
      <c r="HK97" s="184" t="b">
        <v>0</v>
      </c>
      <c r="HL97" s="183" t="n"/>
      <c r="HM97" s="176" t="n"/>
      <c r="HN97" s="176" t="n"/>
      <c r="HO97" s="176" t="n"/>
      <c r="HP97" s="185" t="n"/>
      <c r="HQ97" s="182" t="n"/>
      <c r="HR97" s="182" t="n"/>
      <c r="HS97" s="183" t="n"/>
      <c r="HT97" s="184" t="b">
        <v>0</v>
      </c>
      <c r="HU97" s="183" t="n"/>
      <c r="HV97" s="176" t="n"/>
      <c r="HW97" s="176" t="n"/>
      <c r="HX97" s="185" t="n"/>
      <c r="HY97" s="182" t="n"/>
      <c r="HZ97" s="182" t="n"/>
      <c r="IA97" s="183" t="n"/>
      <c r="IB97" s="184" t="b">
        <v>0</v>
      </c>
      <c r="IC97" s="183" t="n"/>
      <c r="ID97" s="176" t="n"/>
    </row>
    <row r="98" ht="30" customHeight="1">
      <c r="A98" s="176" t="n"/>
      <c r="B98" s="176" t="n"/>
      <c r="C98" s="180" t="inlineStr">
        <is>
          <t>Primeiro nível usa a vida inicial fixa. Registre o resultado do dado nos níveis seguintes; Constituição entra normalmente.</t>
        </is>
      </c>
      <c r="I98" s="176" t="n"/>
      <c r="J98" s="176" t="n"/>
      <c r="K98" s="176" t="n"/>
      <c r="L98" s="176" t="n"/>
      <c r="M98" s="176" t="n"/>
      <c r="N98" s="176" t="n"/>
      <c r="O98" s="176" t="n"/>
      <c r="P98" s="176" t="n"/>
      <c r="Q98" s="176" t="n"/>
      <c r="R98" s="176" t="n"/>
      <c r="S98" s="176" t="n"/>
      <c r="T98" s="176" t="n"/>
      <c r="U98" s="176" t="n"/>
      <c r="V98" s="176" t="n"/>
      <c r="W98" s="176" t="n"/>
      <c r="X98" s="176" t="n"/>
      <c r="Y98" s="176" t="n"/>
      <c r="Z98" s="176" t="n"/>
      <c r="AA98" s="176" t="n"/>
      <c r="AB98" s="176" t="n"/>
      <c r="AC98" s="176" t="n"/>
      <c r="AD98" s="176" t="n"/>
      <c r="AE98" s="176" t="n"/>
      <c r="AF98" s="176" t="n"/>
      <c r="AG98" s="176" t="n"/>
      <c r="AH98" s="176" t="n"/>
      <c r="AI98" s="176" t="n"/>
      <c r="AJ98" s="176" t="n"/>
      <c r="AK98" s="176" t="n"/>
      <c r="AL98" s="176" t="n"/>
      <c r="AM98" s="176" t="n"/>
      <c r="AN98" s="176" t="n"/>
      <c r="AO98" s="176" t="n"/>
      <c r="AP98" s="176" t="n"/>
      <c r="AQ98" s="176" t="n"/>
      <c r="AR98" s="176" t="n"/>
      <c r="AS98" s="176" t="n"/>
      <c r="AT98" s="176" t="n"/>
      <c r="AU98" s="176" t="n"/>
      <c r="AV98" s="176" t="n"/>
      <c r="AW98" s="176" t="n"/>
      <c r="AX98" s="176" t="n"/>
      <c r="AY98" s="176" t="n"/>
      <c r="AZ98" s="176" t="n"/>
      <c r="BA98" s="176" t="n"/>
      <c r="BB98" s="176" t="n"/>
      <c r="BC98" s="176" t="n"/>
      <c r="BD98" s="176" t="n"/>
      <c r="BE98" s="176" t="n"/>
      <c r="BF98" s="176" t="n"/>
      <c r="BG98" s="176" t="n"/>
      <c r="BH98" s="176" t="n"/>
      <c r="BI98" s="176" t="n"/>
      <c r="BJ98" s="176" t="n"/>
      <c r="BK98" s="176" t="n"/>
      <c r="BL98" s="176" t="n"/>
      <c r="BM98" s="176" t="n"/>
      <c r="BN98" s="176" t="n"/>
      <c r="BO98" s="176" t="n"/>
      <c r="BP98" s="176" t="n"/>
      <c r="BQ98" s="176" t="n"/>
      <c r="BR98" s="176" t="n"/>
      <c r="BS98" s="176" t="n"/>
      <c r="BT98" s="176" t="n"/>
      <c r="BU98" s="176" t="n"/>
      <c r="BV98" s="176" t="n"/>
      <c r="BW98" s="176" t="n"/>
      <c r="BX98" s="176" t="n"/>
      <c r="BY98" s="176" t="n"/>
      <c r="BZ98" s="176" t="n"/>
      <c r="CA98" s="176" t="n"/>
      <c r="CB98" s="176" t="n"/>
      <c r="CC98" s="176" t="n"/>
      <c r="CD98" s="176" t="n"/>
      <c r="CE98" s="176" t="n"/>
      <c r="CF98" s="176" t="n"/>
      <c r="CG98" s="176" t="n"/>
      <c r="CH98" s="176" t="n"/>
      <c r="CI98" s="176" t="n"/>
      <c r="CJ98" s="176" t="n"/>
      <c r="CK98" s="176" t="n"/>
      <c r="CL98" s="176" t="n"/>
      <c r="CM98" s="176" t="n"/>
      <c r="CN98" s="176" t="n"/>
      <c r="CO98" s="176" t="n"/>
      <c r="CP98" s="176" t="n"/>
      <c r="CQ98" s="176" t="n"/>
      <c r="CR98" s="176" t="n"/>
      <c r="CS98" s="176" t="n"/>
      <c r="CT98" s="176" t="n"/>
      <c r="CU98" s="176" t="n"/>
      <c r="CV98" s="176" t="n"/>
      <c r="CW98" s="176" t="n"/>
      <c r="CX98" s="176" t="n"/>
      <c r="CY98" s="176" t="n"/>
      <c r="CZ98" s="176" t="n"/>
      <c r="DA98" s="176" t="n"/>
      <c r="DB98" s="176" t="n"/>
      <c r="DC98" s="176" t="n"/>
      <c r="DD98" s="176" t="n"/>
      <c r="DE98" s="176" t="n"/>
      <c r="DF98" s="176" t="n"/>
      <c r="DG98" s="176" t="n"/>
      <c r="DH98" s="176" t="n"/>
      <c r="DI98" s="176" t="n"/>
      <c r="DJ98" s="176" t="n"/>
      <c r="DK98" s="176" t="n"/>
      <c r="DL98" s="176" t="n"/>
      <c r="DM98" s="176" t="n"/>
      <c r="DN98" s="176" t="n"/>
      <c r="DO98" s="176" t="n"/>
      <c r="DP98" s="176" t="n"/>
      <c r="DQ98" s="176" t="n"/>
      <c r="DR98" s="176" t="n"/>
      <c r="DS98" s="176" t="n"/>
      <c r="DT98" s="176" t="n"/>
      <c r="DU98" s="176" t="n"/>
      <c r="DV98" s="176" t="n"/>
      <c r="DW98" s="176" t="n"/>
      <c r="DX98" s="176" t="n"/>
      <c r="DY98" s="176" t="n"/>
      <c r="DZ98" s="176" t="n"/>
      <c r="EA98" s="176" t="n"/>
      <c r="EB98" s="176" t="n"/>
      <c r="EC98" s="176" t="n"/>
      <c r="ED98" s="176" t="n"/>
      <c r="EE98" s="176" t="n"/>
      <c r="EF98" s="176" t="n"/>
      <c r="EG98" s="176" t="n"/>
      <c r="EH98" s="176" t="n"/>
      <c r="EI98" s="176" t="n"/>
      <c r="EJ98" s="176" t="n"/>
      <c r="EK98" s="176" t="n"/>
      <c r="EL98" s="176" t="n"/>
      <c r="EM98" s="176" t="n"/>
      <c r="EN98" s="176" t="n"/>
      <c r="EO98" s="176" t="n"/>
      <c r="EP98" s="176" t="n"/>
      <c r="EQ98" s="176" t="n"/>
      <c r="ER98" s="176" t="n"/>
      <c r="ES98" s="176" t="n"/>
      <c r="ET98" s="176" t="n"/>
      <c r="EU98" s="176" t="n"/>
      <c r="EV98" s="176" t="n"/>
      <c r="EW98" s="176" t="n"/>
      <c r="EX98" s="176" t="n"/>
      <c r="EY98" s="176" t="n"/>
      <c r="EZ98" s="189" t="n"/>
      <c r="FA98" s="190" t="n"/>
      <c r="FB98" s="190" t="n"/>
      <c r="FC98" s="190" t="n"/>
      <c r="FD98" s="190" t="n"/>
      <c r="FE98" s="191" t="n"/>
      <c r="FF98" s="176" t="n"/>
      <c r="FG98" s="176" t="n"/>
      <c r="FH98" s="189" t="n"/>
      <c r="FI98" s="190" t="n"/>
      <c r="FJ98" s="190" t="n"/>
      <c r="FK98" s="190" t="n"/>
      <c r="FL98" s="190" t="n"/>
      <c r="FM98" s="191" t="n"/>
      <c r="FN98" s="176" t="n"/>
      <c r="FO98" s="176" t="n"/>
      <c r="FP98" s="176" t="n"/>
      <c r="FQ98" s="181" t="inlineStr">
        <is>
          <t>BASE DO LIVRO</t>
        </is>
      </c>
      <c r="FR98" s="182" t="n"/>
      <c r="FS98" s="183" t="n"/>
      <c r="FT98" s="185" t="n"/>
      <c r="FU98" s="182" t="n"/>
      <c r="FV98" s="183" t="n"/>
      <c r="FW98" s="176" t="n"/>
      <c r="FX98" s="176" t="n"/>
      <c r="FY98" s="181" t="inlineStr">
        <is>
          <t>BASE DO LIVRO</t>
        </is>
      </c>
      <c r="FZ98" s="182" t="n"/>
      <c r="GA98" s="183" t="n"/>
      <c r="GB98" s="185" t="n"/>
      <c r="GC98" s="182" t="n"/>
      <c r="GD98" s="183" t="n"/>
      <c r="GE98" s="176" t="n"/>
      <c r="GF98" s="176" t="n"/>
      <c r="GG98" s="176" t="n"/>
      <c r="GH98" s="193" t="n"/>
      <c r="GM98" s="194" t="n"/>
      <c r="GN98" s="176" t="n"/>
      <c r="GO98" s="176" t="n"/>
      <c r="GP98" s="193" t="n"/>
      <c r="GU98" s="194" t="n"/>
      <c r="GV98" s="176" t="n"/>
      <c r="GW98" s="176" t="n"/>
      <c r="GX98" s="176" t="n"/>
      <c r="GY98" s="176" t="n"/>
      <c r="GZ98" s="176" t="n"/>
      <c r="HA98" s="176" t="n"/>
      <c r="HB98" s="176" t="n"/>
      <c r="HC98" s="176" t="n"/>
      <c r="HD98" s="176" t="n"/>
      <c r="HE98" s="176" t="n"/>
      <c r="HF98" s="176" t="n"/>
      <c r="HG98" s="176" t="n"/>
      <c r="HH98" s="176" t="n"/>
      <c r="HI98" s="176" t="n"/>
      <c r="HJ98" s="176" t="n"/>
      <c r="HK98" s="176" t="n"/>
      <c r="HL98" s="176" t="n"/>
      <c r="HM98" s="176" t="n"/>
      <c r="HN98" s="176" t="n"/>
      <c r="HO98" s="176" t="n"/>
      <c r="HP98" s="176" t="n"/>
      <c r="HQ98" s="176" t="n"/>
      <c r="HR98" s="176" t="n"/>
      <c r="HS98" s="176" t="n"/>
      <c r="HT98" s="176" t="n"/>
      <c r="HU98" s="176" t="n"/>
      <c r="HV98" s="176" t="n"/>
      <c r="HW98" s="176" t="n"/>
      <c r="HX98" s="176" t="n"/>
      <c r="HY98" s="176" t="n"/>
      <c r="HZ98" s="176" t="n"/>
      <c r="IA98" s="176" t="n"/>
      <c r="IB98" s="176" t="n"/>
      <c r="IC98" s="176" t="n"/>
      <c r="ID98" s="176" t="n"/>
    </row>
    <row r="99" ht="24" customHeight="1">
      <c r="A99" s="176" t="n"/>
      <c r="B99" s="176" t="n"/>
      <c r="C99" s="181" t="inlineStr">
        <is>
          <t>NÍVEL</t>
        </is>
      </c>
      <c r="D99" s="183" t="n"/>
      <c r="E99" s="181" t="inlineStr">
        <is>
          <t>DADO</t>
        </is>
      </c>
      <c r="F99" s="181" t="inlineStr">
        <is>
          <t>ROLAGEM</t>
        </is>
      </c>
      <c r="G99" s="181" t="inlineStr">
        <is>
          <t>GANHO</t>
        </is>
      </c>
      <c r="H99" s="181" t="inlineStr">
        <is>
          <t>MOTIVO</t>
        </is>
      </c>
      <c r="I99" s="176" t="n"/>
      <c r="J99" s="176" t="n"/>
      <c r="K99" s="176" t="n"/>
      <c r="L99" s="176" t="n"/>
      <c r="M99" s="176" t="n"/>
      <c r="N99" s="176" t="n"/>
      <c r="O99" s="176" t="n"/>
      <c r="P99" s="176" t="n"/>
      <c r="Q99" s="176" t="n"/>
      <c r="R99" s="176" t="n"/>
      <c r="S99" s="176" t="n"/>
      <c r="T99" s="179" t="inlineStr">
        <is>
          <t>CARTÃO 7 · CUSTOM</t>
        </is>
      </c>
      <c r="Z99" s="176" t="n"/>
      <c r="AA99" s="176" t="n"/>
      <c r="AB99" s="179" t="inlineStr">
        <is>
          <t>CARTÃO 8 · CUSTOM</t>
        </is>
      </c>
      <c r="AH99" s="176" t="n"/>
      <c r="AI99" s="176" t="n"/>
      <c r="AJ99" s="176" t="n"/>
      <c r="AK99" s="176" t="n"/>
      <c r="AL99" s="176" t="n"/>
      <c r="AM99" s="176" t="n"/>
      <c r="AN99" s="176" t="n"/>
      <c r="AO99" s="176" t="n"/>
      <c r="AP99" s="176" t="n"/>
      <c r="AQ99" s="176" t="n"/>
      <c r="AR99" s="176" t="n"/>
      <c r="AS99" s="176" t="n"/>
      <c r="AT99" s="176" t="n"/>
      <c r="AU99" s="176" t="n"/>
      <c r="AV99" s="176" t="n"/>
      <c r="AW99" s="176" t="n"/>
      <c r="AX99" s="176" t="n"/>
      <c r="AY99" s="176" t="n"/>
      <c r="AZ99" s="176" t="n"/>
      <c r="BA99" s="176" t="n"/>
      <c r="BB99" s="176" t="n"/>
      <c r="BC99" s="176" t="n"/>
      <c r="BD99" s="176" t="n"/>
      <c r="BE99" s="176" t="n"/>
      <c r="BF99" s="176" t="n"/>
      <c r="BG99" s="176" t="n"/>
      <c r="BH99" s="176" t="n"/>
      <c r="BI99" s="176" t="n"/>
      <c r="BJ99" s="176" t="n"/>
      <c r="BK99" s="176" t="n"/>
      <c r="BL99" s="176" t="n"/>
      <c r="BM99" s="176" t="n"/>
      <c r="BN99" s="176" t="n"/>
      <c r="BO99" s="176" t="n"/>
      <c r="BP99" s="176" t="n"/>
      <c r="BQ99" s="176" t="n"/>
      <c r="BR99" s="176" t="n"/>
      <c r="BS99" s="176" t="n"/>
      <c r="BT99" s="176" t="n"/>
      <c r="BU99" s="176" t="n"/>
      <c r="BV99" s="176" t="n"/>
      <c r="BW99" s="176" t="n"/>
      <c r="BX99" s="176" t="n"/>
      <c r="BY99" s="176" t="n"/>
      <c r="BZ99" s="176" t="n"/>
      <c r="CA99" s="176" t="n"/>
      <c r="CB99" s="176" t="n"/>
      <c r="CC99" s="176" t="n"/>
      <c r="CD99" s="176" t="n"/>
      <c r="CE99" s="176" t="n"/>
      <c r="CF99" s="176" t="n"/>
      <c r="CG99" s="176" t="n"/>
      <c r="CH99" s="176" t="n"/>
      <c r="CI99" s="176" t="n"/>
      <c r="CJ99" s="176" t="n"/>
      <c r="CK99" s="176" t="n"/>
      <c r="CL99" s="176" t="n"/>
      <c r="CM99" s="176" t="n"/>
      <c r="CN99" s="176" t="n"/>
      <c r="CO99" s="176" t="n"/>
      <c r="CP99" s="176" t="n"/>
      <c r="CQ99" s="176" t="n"/>
      <c r="CR99" s="176" t="n"/>
      <c r="CS99" s="176" t="n"/>
      <c r="CT99" s="176" t="n"/>
      <c r="CU99" s="176" t="n"/>
      <c r="CV99" s="176" t="n"/>
      <c r="CW99" s="176" t="n"/>
      <c r="CX99" s="176" t="n"/>
      <c r="CY99" s="176" t="n"/>
      <c r="CZ99" s="176" t="n"/>
      <c r="DA99" s="181" t="inlineStr">
        <is>
          <t>REQUISITOS E REPETIÇÃO</t>
        </is>
      </c>
      <c r="DB99" s="182" t="n"/>
      <c r="DC99" s="182" t="n"/>
      <c r="DD99" s="182" t="n"/>
      <c r="DE99" s="182" t="n"/>
      <c r="DF99" s="183" t="n"/>
      <c r="DG99" s="176" t="n"/>
      <c r="DH99" s="176" t="n"/>
      <c r="DI99" s="181" t="inlineStr">
        <is>
          <t>REQUISITOS E REPETIÇÃO</t>
        </is>
      </c>
      <c r="DJ99" s="182" t="n"/>
      <c r="DK99" s="182" t="n"/>
      <c r="DL99" s="182" t="n"/>
      <c r="DM99" s="182" t="n"/>
      <c r="DN99" s="183" t="n"/>
      <c r="DO99" s="176" t="n"/>
      <c r="DP99" s="176" t="n"/>
      <c r="DQ99" s="176" t="n"/>
      <c r="DR99" s="179" t="inlineStr">
        <is>
          <t>RESTRIÇÃO · 9</t>
        </is>
      </c>
      <c r="DX99" s="176" t="n"/>
      <c r="DY99" s="176" t="n"/>
      <c r="DZ99" s="179" t="inlineStr">
        <is>
          <t>RESTRIÇÃO · 10</t>
        </is>
      </c>
      <c r="EF99" s="176" t="n"/>
      <c r="EG99" s="176" t="n"/>
      <c r="EH99" s="176" t="n"/>
      <c r="EI99" s="176" t="n"/>
      <c r="EJ99" s="176" t="n"/>
      <c r="EK99" s="176" t="n"/>
      <c r="EL99" s="176" t="n"/>
      <c r="EM99" s="176" t="n"/>
      <c r="EN99" s="176" t="n"/>
      <c r="EO99" s="176" t="n"/>
      <c r="EP99" s="176" t="n"/>
      <c r="EQ99" s="176" t="n"/>
      <c r="ER99" s="176" t="n"/>
      <c r="ES99" s="176" t="n"/>
      <c r="ET99" s="176" t="n"/>
      <c r="EU99" s="176" t="n"/>
      <c r="EV99" s="176" t="n"/>
      <c r="EW99" s="176" t="n"/>
      <c r="EX99" s="176" t="n"/>
      <c r="EY99" s="176" t="n"/>
      <c r="EZ99" s="176" t="n"/>
      <c r="FA99" s="176" t="n"/>
      <c r="FB99" s="176" t="n"/>
      <c r="FC99" s="176" t="n"/>
      <c r="FD99" s="176" t="n"/>
      <c r="FE99" s="176" t="n"/>
      <c r="FF99" s="176" t="n"/>
      <c r="FG99" s="176" t="n"/>
      <c r="FH99" s="176" t="n"/>
      <c r="FI99" s="176" t="n"/>
      <c r="FJ99" s="176" t="n"/>
      <c r="FK99" s="176" t="n"/>
      <c r="FL99" s="176" t="n"/>
      <c r="FM99" s="176" t="n"/>
      <c r="FN99" s="176" t="n"/>
      <c r="FO99" s="176" t="n"/>
      <c r="FP99" s="176" t="n"/>
      <c r="FQ99" s="181" t="inlineStr">
        <is>
          <t>CATEGORIA DE EFEITO</t>
        </is>
      </c>
      <c r="FR99" s="182" t="n"/>
      <c r="FS99" s="183" t="n"/>
      <c r="FT99" s="185" t="n"/>
      <c r="FU99" s="182" t="n"/>
      <c r="FV99" s="183" t="n"/>
      <c r="FW99" s="176" t="n"/>
      <c r="FX99" s="176" t="n"/>
      <c r="FY99" s="181" t="inlineStr">
        <is>
          <t>CATEGORIA DE EFEITO</t>
        </is>
      </c>
      <c r="FZ99" s="182" t="n"/>
      <c r="GA99" s="183" t="n"/>
      <c r="GB99" s="185" t="n"/>
      <c r="GC99" s="182" t="n"/>
      <c r="GD99" s="183" t="n"/>
      <c r="GE99" s="176" t="n"/>
      <c r="GF99" s="176" t="n"/>
      <c r="GG99" s="176" t="n"/>
      <c r="GH99" s="193" t="n"/>
      <c r="GM99" s="194" t="n"/>
      <c r="GN99" s="176" t="n"/>
      <c r="GO99" s="176" t="n"/>
      <c r="GP99" s="193" t="n"/>
      <c r="GU99" s="194" t="n"/>
      <c r="GV99" s="176" t="n"/>
      <c r="GW99" s="176" t="n"/>
      <c r="GX99" s="176" t="n"/>
      <c r="GY99" s="181" t="inlineStr">
        <is>
          <t>BASE DO LIVRO</t>
        </is>
      </c>
      <c r="GZ99" s="182" t="n"/>
      <c r="HA99" s="183" t="n"/>
      <c r="HB99" s="185" t="inlineStr">
        <is>
          <t>Nenhuma</t>
        </is>
      </c>
      <c r="HC99" s="182" t="n"/>
      <c r="HD99" s="183" t="n"/>
      <c r="HE99" s="176" t="n"/>
      <c r="HF99" s="176" t="n"/>
      <c r="HG99" s="181" t="inlineStr">
        <is>
          <t>BASE DO LIVRO</t>
        </is>
      </c>
      <c r="HH99" s="182" t="n"/>
      <c r="HI99" s="183" t="n"/>
      <c r="HJ99" s="185" t="inlineStr">
        <is>
          <t>Nenhuma</t>
        </is>
      </c>
      <c r="HK99" s="182" t="n"/>
      <c r="HL99" s="183" t="n"/>
      <c r="HM99" s="176" t="n"/>
      <c r="HN99" s="176" t="n"/>
      <c r="HO99" s="176" t="n"/>
      <c r="HP99" s="181" t="inlineStr">
        <is>
          <t>BASE DO LIVRO</t>
        </is>
      </c>
      <c r="HQ99" s="182" t="n"/>
      <c r="HR99" s="183" t="n"/>
      <c r="HS99" s="185" t="inlineStr">
        <is>
          <t>Nenhuma</t>
        </is>
      </c>
      <c r="HT99" s="182" t="n"/>
      <c r="HU99" s="183" t="n"/>
      <c r="HV99" s="176" t="n"/>
      <c r="HW99" s="176" t="n"/>
      <c r="HX99" s="181" t="inlineStr">
        <is>
          <t>BASE DO LIVRO</t>
        </is>
      </c>
      <c r="HY99" s="182" t="n"/>
      <c r="HZ99" s="183" t="n"/>
      <c r="IA99" s="185" t="inlineStr">
        <is>
          <t>Nenhuma</t>
        </is>
      </c>
      <c r="IB99" s="182" t="n"/>
      <c r="IC99" s="183" t="n"/>
      <c r="ID99" s="176" t="n"/>
    </row>
    <row r="100" ht="21" customHeight="1">
      <c r="A100" s="176" t="n"/>
      <c r="B100" s="176" t="n"/>
      <c r="C100" s="186" t="n">
        <v>1</v>
      </c>
      <c r="D100" s="183" t="n"/>
      <c r="E100" s="197" t="inlineStr">
        <is>
          <t>Inicial fixa</t>
        </is>
      </c>
      <c r="F100" s="186" t="inlineStr">
        <is>
          <t>—</t>
        </is>
      </c>
      <c r="G100" s="186">
        <f>IF(DADOS_CONFIG!$S$15="Não","",IF(1&gt;'FICHA'!$AH$11,"",DADOS_CONFIG!AF2))</f>
        <v/>
      </c>
      <c r="H100" s="176" t="n"/>
      <c r="I100" s="176" t="n"/>
      <c r="J100" s="176" t="n"/>
      <c r="K100" s="176" t="n"/>
      <c r="L100" s="176" t="n"/>
      <c r="M100" s="176" t="n"/>
      <c r="N100" s="176" t="n"/>
      <c r="O100" s="176" t="n"/>
      <c r="P100" s="176" t="n"/>
      <c r="Q100" s="176" t="n"/>
      <c r="R100" s="176" t="n"/>
      <c r="S100" s="176" t="n"/>
      <c r="T100" s="181" t="inlineStr">
        <is>
          <t>TIPO</t>
        </is>
      </c>
      <c r="U100" s="182" t="n"/>
      <c r="V100" s="182" t="n"/>
      <c r="W100" s="183" t="n"/>
      <c r="X100" s="181" t="inlineStr">
        <is>
          <t>MESTRE VIU</t>
        </is>
      </c>
      <c r="Y100" s="183" t="n"/>
      <c r="Z100" s="176" t="n"/>
      <c r="AA100" s="176" t="n"/>
      <c r="AB100" s="181" t="inlineStr">
        <is>
          <t>TIPO</t>
        </is>
      </c>
      <c r="AC100" s="182" t="n"/>
      <c r="AD100" s="182" t="n"/>
      <c r="AE100" s="183" t="n"/>
      <c r="AF100" s="181" t="inlineStr">
        <is>
          <t>MESTRE VIU</t>
        </is>
      </c>
      <c r="AG100" s="183" t="n"/>
      <c r="AH100" s="176" t="n"/>
      <c r="AI100" s="176" t="n"/>
      <c r="AJ100" s="176" t="n"/>
      <c r="AK100" s="176" t="n"/>
      <c r="AL100" s="176" t="n"/>
      <c r="AM100" s="176" t="n"/>
      <c r="AN100" s="176" t="n"/>
      <c r="AO100" s="176" t="n"/>
      <c r="AP100" s="176" t="n"/>
      <c r="AQ100" s="176" t="n"/>
      <c r="AR100" s="176" t="n"/>
      <c r="AS100" s="176" t="n"/>
      <c r="AT100" s="176" t="n"/>
      <c r="AU100" s="176" t="n"/>
      <c r="AV100" s="176" t="n"/>
      <c r="AW100" s="176" t="n"/>
      <c r="AX100" s="176" t="n"/>
      <c r="AY100" s="176" t="n"/>
      <c r="AZ100" s="176" t="n"/>
      <c r="BA100" s="176" t="n"/>
      <c r="BB100" s="176" t="n"/>
      <c r="BC100" s="176" t="n"/>
      <c r="BD100" s="176" t="n"/>
      <c r="BE100" s="176" t="n"/>
      <c r="BF100" s="176" t="n"/>
      <c r="BG100" s="176" t="n"/>
      <c r="BH100" s="176" t="n"/>
      <c r="BI100" s="176" t="n"/>
      <c r="BJ100" s="176" t="n"/>
      <c r="BK100" s="176" t="n"/>
      <c r="BL100" s="176" t="n"/>
      <c r="BM100" s="176" t="n"/>
      <c r="BN100" s="176" t="n"/>
      <c r="BO100" s="176" t="n"/>
      <c r="BP100" s="176" t="n"/>
      <c r="BQ100" s="176" t="n"/>
      <c r="BR100" s="176" t="n"/>
      <c r="BS100" s="176" t="n"/>
      <c r="BT100" s="176" t="n"/>
      <c r="BU100" s="176" t="n"/>
      <c r="BV100" s="176" t="n"/>
      <c r="BW100" s="176" t="n"/>
      <c r="BX100" s="176" t="n"/>
      <c r="BY100" s="176" t="n"/>
      <c r="BZ100" s="176" t="n"/>
      <c r="CA100" s="176" t="n"/>
      <c r="CB100" s="176" t="n"/>
      <c r="CC100" s="176" t="n"/>
      <c r="CD100" s="176" t="n"/>
      <c r="CE100" s="176" t="n"/>
      <c r="CF100" s="176" t="n"/>
      <c r="CG100" s="176" t="n"/>
      <c r="CH100" s="176" t="n"/>
      <c r="CI100" s="176" t="n"/>
      <c r="CJ100" s="176" t="n"/>
      <c r="CK100" s="176" t="n"/>
      <c r="CL100" s="176" t="n"/>
      <c r="CM100" s="176" t="n"/>
      <c r="CN100" s="176" t="n"/>
      <c r="CO100" s="176" t="n"/>
      <c r="CP100" s="176" t="n"/>
      <c r="CQ100" s="176" t="n"/>
      <c r="CR100" s="176" t="n"/>
      <c r="CS100" s="176" t="n"/>
      <c r="CT100" s="176" t="n"/>
      <c r="CU100" s="176" t="n"/>
      <c r="CV100" s="176" t="n"/>
      <c r="CW100" s="176" t="n"/>
      <c r="CX100" s="176" t="n"/>
      <c r="CY100" s="176" t="n"/>
      <c r="CZ100" s="176" t="n"/>
      <c r="DA100" s="192" t="n"/>
      <c r="DB100" s="187" t="n"/>
      <c r="DC100" s="187" t="n"/>
      <c r="DD100" s="187" t="n"/>
      <c r="DE100" s="187" t="n"/>
      <c r="DF100" s="188" t="n"/>
      <c r="DG100" s="176" t="n"/>
      <c r="DH100" s="176" t="n"/>
      <c r="DI100" s="192" t="n"/>
      <c r="DJ100" s="187" t="n"/>
      <c r="DK100" s="187" t="n"/>
      <c r="DL100" s="187" t="n"/>
      <c r="DM100" s="187" t="n"/>
      <c r="DN100" s="188" t="n"/>
      <c r="DO100" s="176" t="n"/>
      <c r="DP100" s="176" t="n"/>
      <c r="DQ100" s="176" t="n"/>
      <c r="DR100" s="181" t="inlineStr">
        <is>
          <t>TIPO</t>
        </is>
      </c>
      <c r="DS100" s="182" t="n"/>
      <c r="DT100" s="182" t="n"/>
      <c r="DU100" s="183" t="n"/>
      <c r="DV100" s="181" t="inlineStr">
        <is>
          <t>MESTRE VIU</t>
        </is>
      </c>
      <c r="DW100" s="183" t="n"/>
      <c r="DX100" s="176" t="n"/>
      <c r="DY100" s="176" t="n"/>
      <c r="DZ100" s="181" t="inlineStr">
        <is>
          <t>TIPO</t>
        </is>
      </c>
      <c r="EA100" s="182" t="n"/>
      <c r="EB100" s="182" t="n"/>
      <c r="EC100" s="183" t="n"/>
      <c r="ED100" s="181" t="inlineStr">
        <is>
          <t>MESTRE VIU</t>
        </is>
      </c>
      <c r="EE100" s="183" t="n"/>
      <c r="EF100" s="176" t="n"/>
      <c r="EG100" s="176" t="n"/>
      <c r="EH100" s="176" t="n"/>
      <c r="EI100" s="181" t="inlineStr">
        <is>
          <t>DEFINIÇÃO</t>
        </is>
      </c>
      <c r="EJ100" s="182" t="n"/>
      <c r="EK100" s="182" t="n"/>
      <c r="EL100" s="182" t="n"/>
      <c r="EM100" s="182" t="n"/>
      <c r="EN100" s="183" t="n"/>
      <c r="EO100" s="176" t="n"/>
      <c r="EP100" s="176" t="n"/>
      <c r="EQ100" s="181" t="inlineStr">
        <is>
          <t>DEFINIÇÃO</t>
        </is>
      </c>
      <c r="ER100" s="182" t="n"/>
      <c r="ES100" s="182" t="n"/>
      <c r="ET100" s="182" t="n"/>
      <c r="EU100" s="182" t="n"/>
      <c r="EV100" s="183" t="n"/>
      <c r="EW100" s="176" t="n"/>
      <c r="EX100" s="176" t="n"/>
      <c r="EY100" s="176" t="n"/>
      <c r="EZ100" s="176" t="n"/>
      <c r="FA100" s="176" t="n"/>
      <c r="FB100" s="176" t="n"/>
      <c r="FC100" s="176" t="n"/>
      <c r="FD100" s="176" t="n"/>
      <c r="FE100" s="176" t="n"/>
      <c r="FF100" s="176" t="n"/>
      <c r="FG100" s="176" t="n"/>
      <c r="FH100" s="176" t="n"/>
      <c r="FI100" s="176" t="n"/>
      <c r="FJ100" s="176" t="n"/>
      <c r="FK100" s="176" t="n"/>
      <c r="FL100" s="176" t="n"/>
      <c r="FM100" s="176" t="n"/>
      <c r="FN100" s="176" t="n"/>
      <c r="FO100" s="176" t="n"/>
      <c r="FP100" s="176" t="n"/>
      <c r="FQ100" s="181" t="inlineStr">
        <is>
          <t>NÍVEL MÍNIMO</t>
        </is>
      </c>
      <c r="FR100" s="182" t="n"/>
      <c r="FS100" s="183" t="n"/>
      <c r="FT100" s="185" t="n"/>
      <c r="FU100" s="182" t="n"/>
      <c r="FV100" s="183" t="n"/>
      <c r="FW100" s="176" t="n"/>
      <c r="FX100" s="176" t="n"/>
      <c r="FY100" s="181" t="inlineStr">
        <is>
          <t>NÍVEL MÍNIMO</t>
        </is>
      </c>
      <c r="FZ100" s="182" t="n"/>
      <c r="GA100" s="183" t="n"/>
      <c r="GB100" s="185" t="n"/>
      <c r="GC100" s="182" t="n"/>
      <c r="GD100" s="183" t="n"/>
      <c r="GE100" s="176" t="n"/>
      <c r="GF100" s="176" t="n"/>
      <c r="GG100" s="176" t="n"/>
      <c r="GH100" s="189" t="n"/>
      <c r="GI100" s="190" t="n"/>
      <c r="GJ100" s="190" t="n"/>
      <c r="GK100" s="190" t="n"/>
      <c r="GL100" s="190" t="n"/>
      <c r="GM100" s="191" t="n"/>
      <c r="GN100" s="176" t="n"/>
      <c r="GO100" s="176" t="n"/>
      <c r="GP100" s="189" t="n"/>
      <c r="GQ100" s="190" t="n"/>
      <c r="GR100" s="190" t="n"/>
      <c r="GS100" s="190" t="n"/>
      <c r="GT100" s="190" t="n"/>
      <c r="GU100" s="191" t="n"/>
      <c r="GV100" s="176" t="n"/>
      <c r="GW100" s="176" t="n"/>
      <c r="GX100" s="176" t="n"/>
      <c r="GY100" s="181" t="inlineStr">
        <is>
          <t>VIDA</t>
        </is>
      </c>
      <c r="GZ100" s="182" t="n"/>
      <c r="HA100" s="183" t="n"/>
      <c r="HB100" s="185" t="n"/>
      <c r="HC100" s="182" t="n"/>
      <c r="HD100" s="183" t="n"/>
      <c r="HE100" s="176" t="n"/>
      <c r="HF100" s="176" t="n"/>
      <c r="HG100" s="181" t="inlineStr">
        <is>
          <t>VIDA</t>
        </is>
      </c>
      <c r="HH100" s="182" t="n"/>
      <c r="HI100" s="183" t="n"/>
      <c r="HJ100" s="185" t="n"/>
      <c r="HK100" s="182" t="n"/>
      <c r="HL100" s="183" t="n"/>
      <c r="HM100" s="176" t="n"/>
      <c r="HN100" s="176" t="n"/>
      <c r="HO100" s="176" t="n"/>
      <c r="HP100" s="181" t="inlineStr">
        <is>
          <t>CATEGORIA DE EFEITO</t>
        </is>
      </c>
      <c r="HQ100" s="182" t="n"/>
      <c r="HR100" s="183" t="n"/>
      <c r="HS100" s="185" t="n"/>
      <c r="HT100" s="182" t="n"/>
      <c r="HU100" s="183" t="n"/>
      <c r="HV100" s="176" t="n"/>
      <c r="HW100" s="176" t="n"/>
      <c r="HX100" s="181" t="inlineStr">
        <is>
          <t>CATEGORIA DE EFEITO</t>
        </is>
      </c>
      <c r="HY100" s="182" t="n"/>
      <c r="HZ100" s="183" t="n"/>
      <c r="IA100" s="185" t="n"/>
      <c r="IB100" s="182" t="n"/>
      <c r="IC100" s="183" t="n"/>
      <c r="ID100" s="176" t="n"/>
    </row>
    <row r="101" ht="21" customHeight="1">
      <c r="A101" s="176" t="n"/>
      <c r="B101" s="176" t="n"/>
      <c r="C101" s="186" t="n">
        <v>2</v>
      </c>
      <c r="D101" s="183" t="n"/>
      <c r="E101" s="197">
        <f>IF(DADOS_CONFIG!$AI$10="","","d"&amp;DADOS_CONFIG!$AI$10)</f>
        <v/>
      </c>
      <c r="F101" s="186" t="n"/>
      <c r="G101" s="186">
        <f>IF(DADOS_CONFIG!$S$15="Não","",IF(2&gt;'FICHA'!$AH$11,"",DADOS_CONFIG!AF3))</f>
        <v/>
      </c>
      <c r="H101" s="176" t="n"/>
      <c r="I101" s="176" t="n"/>
      <c r="J101" s="176" t="n"/>
      <c r="K101" s="176" t="n"/>
      <c r="L101" s="176" t="n"/>
      <c r="M101" s="176" t="n"/>
      <c r="N101" s="176" t="n"/>
      <c r="O101" s="176" t="n"/>
      <c r="P101" s="176" t="n"/>
      <c r="Q101" s="176" t="n"/>
      <c r="R101" s="176" t="n"/>
      <c r="S101" s="176" t="n"/>
      <c r="T101" s="185" t="n"/>
      <c r="U101" s="182" t="n"/>
      <c r="V101" s="182" t="n"/>
      <c r="W101" s="183" t="n"/>
      <c r="X101" s="184" t="b">
        <v>0</v>
      </c>
      <c r="Y101" s="183" t="n"/>
      <c r="Z101" s="176" t="n"/>
      <c r="AA101" s="176" t="n"/>
      <c r="AB101" s="185" t="n"/>
      <c r="AC101" s="182" t="n"/>
      <c r="AD101" s="182" t="n"/>
      <c r="AE101" s="183" t="n"/>
      <c r="AF101" s="184" t="b">
        <v>0</v>
      </c>
      <c r="AG101" s="183" t="n"/>
      <c r="AH101" s="176" t="n"/>
      <c r="AI101" s="176" t="n"/>
      <c r="AJ101" s="176" t="n"/>
      <c r="AK101" s="176" t="n"/>
      <c r="AL101" s="176" t="n"/>
      <c r="AM101" s="176" t="n"/>
      <c r="AN101" s="176" t="n"/>
      <c r="AO101" s="176" t="n"/>
      <c r="AP101" s="176" t="n"/>
      <c r="AQ101" s="176" t="n"/>
      <c r="AR101" s="176" t="n"/>
      <c r="AS101" s="176" t="n"/>
      <c r="AT101" s="176" t="n"/>
      <c r="AU101" s="176" t="n"/>
      <c r="AV101" s="176" t="n"/>
      <c r="AW101" s="176" t="n"/>
      <c r="AX101" s="176" t="n"/>
      <c r="AY101" s="176" t="n"/>
      <c r="AZ101" s="176" t="n"/>
      <c r="BA101" s="176" t="n"/>
      <c r="BB101" s="176" t="n"/>
      <c r="BC101" s="176" t="n"/>
      <c r="BD101" s="176" t="n"/>
      <c r="BE101" s="176" t="n"/>
      <c r="BF101" s="176" t="n"/>
      <c r="BG101" s="176" t="n"/>
      <c r="BH101" s="176" t="n"/>
      <c r="BI101" s="176" t="n"/>
      <c r="BJ101" s="176" t="n"/>
      <c r="BK101" s="176" t="n"/>
      <c r="BL101" s="176" t="n"/>
      <c r="BM101" s="176" t="n"/>
      <c r="BN101" s="176" t="n"/>
      <c r="BO101" s="176" t="n"/>
      <c r="BP101" s="176" t="n"/>
      <c r="BQ101" s="176" t="n"/>
      <c r="BR101" s="176" t="n"/>
      <c r="BS101" s="176" t="n"/>
      <c r="BT101" s="176" t="n"/>
      <c r="BU101" s="176" t="n"/>
      <c r="BV101" s="176" t="n"/>
      <c r="BW101" s="176" t="n"/>
      <c r="BX101" s="176" t="n"/>
      <c r="BY101" s="176" t="n"/>
      <c r="BZ101" s="176" t="n"/>
      <c r="CA101" s="176" t="n"/>
      <c r="CB101" s="176" t="n"/>
      <c r="CC101" s="176" t="n"/>
      <c r="CD101" s="176" t="n"/>
      <c r="CE101" s="176" t="n"/>
      <c r="CF101" s="176" t="n"/>
      <c r="CG101" s="176" t="n"/>
      <c r="CH101" s="176" t="n"/>
      <c r="CI101" s="176" t="n"/>
      <c r="CJ101" s="176" t="n"/>
      <c r="CK101" s="176" t="n"/>
      <c r="CL101" s="176" t="n"/>
      <c r="CM101" s="176" t="n"/>
      <c r="CN101" s="176" t="n"/>
      <c r="CO101" s="176" t="n"/>
      <c r="CP101" s="176" t="n"/>
      <c r="CQ101" s="176" t="n"/>
      <c r="CR101" s="176" t="n"/>
      <c r="CS101" s="176" t="n"/>
      <c r="CT101" s="176" t="n"/>
      <c r="CU101" s="176" t="n"/>
      <c r="CV101" s="176" t="n"/>
      <c r="CW101" s="176" t="n"/>
      <c r="CX101" s="176" t="n"/>
      <c r="CY101" s="176" t="n"/>
      <c r="CZ101" s="176" t="n"/>
      <c r="DA101" s="193" t="n"/>
      <c r="DF101" s="194" t="n"/>
      <c r="DG101" s="176" t="n"/>
      <c r="DH101" s="176" t="n"/>
      <c r="DI101" s="193" t="n"/>
      <c r="DN101" s="194" t="n"/>
      <c r="DO101" s="176" t="n"/>
      <c r="DP101" s="176" t="n"/>
      <c r="DQ101" s="176" t="n"/>
      <c r="DR101" s="185" t="inlineStr">
        <is>
          <t>Restrição</t>
        </is>
      </c>
      <c r="DS101" s="182" t="n"/>
      <c r="DT101" s="182" t="n"/>
      <c r="DU101" s="183" t="n"/>
      <c r="DV101" s="184" t="b">
        <v>0</v>
      </c>
      <c r="DW101" s="183" t="n"/>
      <c r="DX101" s="176" t="n"/>
      <c r="DY101" s="176" t="n"/>
      <c r="DZ101" s="185" t="inlineStr">
        <is>
          <t>Restrição</t>
        </is>
      </c>
      <c r="EA101" s="182" t="n"/>
      <c r="EB101" s="182" t="n"/>
      <c r="EC101" s="183" t="n"/>
      <c r="ED101" s="184" t="b">
        <v>0</v>
      </c>
      <c r="EE101" s="183" t="n"/>
      <c r="EF101" s="176" t="n"/>
      <c r="EG101" s="176" t="n"/>
      <c r="EH101" s="176" t="n"/>
      <c r="EI101" s="192" t="n"/>
      <c r="EJ101" s="187" t="n"/>
      <c r="EK101" s="187" t="n"/>
      <c r="EL101" s="187" t="n"/>
      <c r="EM101" s="187" t="n"/>
      <c r="EN101" s="188" t="n"/>
      <c r="EO101" s="176" t="n"/>
      <c r="EP101" s="176" t="n"/>
      <c r="EQ101" s="192" t="n"/>
      <c r="ER101" s="187" t="n"/>
      <c r="ES101" s="187" t="n"/>
      <c r="ET101" s="187" t="n"/>
      <c r="EU101" s="187" t="n"/>
      <c r="EV101" s="188" t="n"/>
      <c r="EW101" s="176" t="n"/>
      <c r="EX101" s="176" t="n"/>
      <c r="EY101" s="176" t="n"/>
      <c r="EZ101" s="180">
        <f>IF('DADOS_FORMAS'!$AD4="","","⚠ "&amp;'DADOS_FORMAS'!$AD4)</f>
        <v/>
      </c>
      <c r="FF101" s="176" t="n"/>
      <c r="FG101" s="176" t="n"/>
      <c r="FH101" s="180">
        <f>IF('DADOS_FORMAS'!$AD5="","","⚠ "&amp;'DADOS_FORMAS'!$AD5)</f>
        <v/>
      </c>
      <c r="FN101" s="176" t="n"/>
      <c r="FO101" s="176" t="n"/>
      <c r="FP101" s="176" t="n"/>
      <c r="FQ101" s="181" t="inlineStr">
        <is>
          <t>REFINO / LAPIDAÇÃO</t>
        </is>
      </c>
      <c r="FR101" s="182" t="n"/>
      <c r="FS101" s="183" t="n"/>
      <c r="FT101" s="185" t="n"/>
      <c r="FU101" s="182" t="n"/>
      <c r="FV101" s="183" t="n"/>
      <c r="FW101" s="176" t="n"/>
      <c r="FX101" s="176" t="n"/>
      <c r="FY101" s="181" t="inlineStr">
        <is>
          <t>REFINO / LAPIDAÇÃO</t>
        </is>
      </c>
      <c r="FZ101" s="182" t="n"/>
      <c r="GA101" s="183" t="n"/>
      <c r="GB101" s="185" t="n"/>
      <c r="GC101" s="182" t="n"/>
      <c r="GD101" s="183" t="n"/>
      <c r="GE101" s="176" t="n"/>
      <c r="GF101" s="176" t="n"/>
      <c r="GG101" s="176" t="n"/>
      <c r="GH101" s="176" t="n"/>
      <c r="GI101" s="176" t="n"/>
      <c r="GJ101" s="176" t="n"/>
      <c r="GK101" s="176" t="n"/>
      <c r="GL101" s="176" t="n"/>
      <c r="GM101" s="176" t="n"/>
      <c r="GN101" s="176" t="n"/>
      <c r="GO101" s="176" t="n"/>
      <c r="GP101" s="176" t="n"/>
      <c r="GQ101" s="176" t="n"/>
      <c r="GR101" s="176" t="n"/>
      <c r="GS101" s="176" t="n"/>
      <c r="GT101" s="176" t="n"/>
      <c r="GU101" s="176" t="n"/>
      <c r="GV101" s="176" t="n"/>
      <c r="GW101" s="176" t="n"/>
      <c r="GX101" s="176" t="n"/>
      <c r="GY101" s="181" t="inlineStr">
        <is>
          <t>TALISMÃ</t>
        </is>
      </c>
      <c r="GZ101" s="182" t="n"/>
      <c r="HA101" s="183" t="n"/>
      <c r="HB101" s="185" t="n"/>
      <c r="HC101" s="182" t="n"/>
      <c r="HD101" s="183" t="n"/>
      <c r="HE101" s="176" t="n"/>
      <c r="HF101" s="176" t="n"/>
      <c r="HG101" s="181" t="inlineStr">
        <is>
          <t>TALISMÃ</t>
        </is>
      </c>
      <c r="HH101" s="182" t="n"/>
      <c r="HI101" s="183" t="n"/>
      <c r="HJ101" s="185" t="n"/>
      <c r="HK101" s="182" t="n"/>
      <c r="HL101" s="183" t="n"/>
      <c r="HM101" s="176" t="n"/>
      <c r="HN101" s="176" t="n"/>
      <c r="HO101" s="176" t="n"/>
      <c r="HP101" s="176" t="n"/>
      <c r="HQ101" s="176" t="n"/>
      <c r="HR101" s="176" t="n"/>
      <c r="HS101" s="176" t="n"/>
      <c r="HT101" s="176" t="n"/>
      <c r="HU101" s="176" t="n"/>
      <c r="HV101" s="176" t="n"/>
      <c r="HW101" s="176" t="n"/>
      <c r="HX101" s="176" t="n"/>
      <c r="HY101" s="176" t="n"/>
      <c r="HZ101" s="176" t="n"/>
      <c r="IA101" s="176" t="n"/>
      <c r="IB101" s="176" t="n"/>
      <c r="IC101" s="176" t="n"/>
      <c r="ID101" s="176" t="n"/>
    </row>
    <row r="102" ht="21" customHeight="1">
      <c r="A102" s="176" t="n"/>
      <c r="B102" s="176" t="n"/>
      <c r="C102" s="186" t="n">
        <v>3</v>
      </c>
      <c r="D102" s="183" t="n"/>
      <c r="E102" s="197">
        <f>IF(DADOS_CONFIG!$AI$10="","","d"&amp;DADOS_CONFIG!$AI$10)</f>
        <v/>
      </c>
      <c r="F102" s="186" t="n"/>
      <c r="G102" s="186">
        <f>IF(DADOS_CONFIG!$S$15="Não","",IF(3&gt;'FICHA'!$AH$11,"",DADOS_CONFIG!AF4))</f>
        <v/>
      </c>
      <c r="H102" s="176" t="n"/>
      <c r="I102" s="176" t="n"/>
      <c r="J102" s="176" t="n"/>
      <c r="K102" s="176" t="n"/>
      <c r="L102" s="176" t="n"/>
      <c r="M102" s="176" t="n"/>
      <c r="N102" s="176" t="n"/>
      <c r="O102" s="176" t="n"/>
      <c r="P102" s="176" t="n"/>
      <c r="Q102" s="176" t="n"/>
      <c r="R102" s="176" t="n"/>
      <c r="S102" s="176" t="n"/>
      <c r="T102" s="181" t="inlineStr">
        <is>
          <t>NOME</t>
        </is>
      </c>
      <c r="U102" s="182" t="n"/>
      <c r="V102" s="182" t="n"/>
      <c r="W102" s="182" t="n"/>
      <c r="X102" s="182" t="n"/>
      <c r="Y102" s="183" t="n"/>
      <c r="Z102" s="176" t="n"/>
      <c r="AA102" s="176" t="n"/>
      <c r="AB102" s="181" t="inlineStr">
        <is>
          <t>NOME</t>
        </is>
      </c>
      <c r="AC102" s="182" t="n"/>
      <c r="AD102" s="182" t="n"/>
      <c r="AE102" s="182" t="n"/>
      <c r="AF102" s="182" t="n"/>
      <c r="AG102" s="183" t="n"/>
      <c r="AH102" s="176" t="n"/>
      <c r="AI102" s="176" t="n"/>
      <c r="AJ102" s="176" t="n"/>
      <c r="AK102" s="176" t="n"/>
      <c r="AL102" s="176" t="n"/>
      <c r="AM102" s="176" t="n"/>
      <c r="AN102" s="176" t="n"/>
      <c r="AO102" s="176" t="n"/>
      <c r="AP102" s="176" t="n"/>
      <c r="AQ102" s="176" t="n"/>
      <c r="AR102" s="176" t="n"/>
      <c r="AS102" s="176" t="n"/>
      <c r="AT102" s="176" t="n"/>
      <c r="AU102" s="176" t="n"/>
      <c r="AV102" s="176" t="n"/>
      <c r="AW102" s="176" t="n"/>
      <c r="AX102" s="176" t="n"/>
      <c r="AY102" s="176" t="n"/>
      <c r="AZ102" s="176" t="n"/>
      <c r="BA102" s="176" t="n"/>
      <c r="BB102" s="176" t="n"/>
      <c r="BC102" s="176" t="n"/>
      <c r="BD102" s="176" t="n"/>
      <c r="BE102" s="176" t="n"/>
      <c r="BF102" s="176" t="n"/>
      <c r="BG102" s="176" t="n"/>
      <c r="BH102" s="176" t="n"/>
      <c r="BI102" s="176" t="n"/>
      <c r="BJ102" s="176" t="n"/>
      <c r="BK102" s="176" t="n"/>
      <c r="BL102" s="176" t="n"/>
      <c r="BM102" s="176" t="n"/>
      <c r="BN102" s="176" t="n"/>
      <c r="BO102" s="176" t="n"/>
      <c r="BP102" s="176" t="n"/>
      <c r="BQ102" s="176" t="n"/>
      <c r="BR102" s="176" t="n"/>
      <c r="BS102" s="176" t="n"/>
      <c r="BT102" s="176" t="n"/>
      <c r="BU102" s="176" t="n"/>
      <c r="BV102" s="176" t="n"/>
      <c r="BW102" s="176" t="n"/>
      <c r="BX102" s="176" t="n"/>
      <c r="BY102" s="176" t="n"/>
      <c r="BZ102" s="176" t="n"/>
      <c r="CA102" s="176" t="n"/>
      <c r="CB102" s="176" t="n"/>
      <c r="CC102" s="176" t="n"/>
      <c r="CD102" s="176" t="n"/>
      <c r="CE102" s="176" t="n"/>
      <c r="CF102" s="176" t="n"/>
      <c r="CG102" s="176" t="n"/>
      <c r="CH102" s="176" t="n"/>
      <c r="CI102" s="176" t="n"/>
      <c r="CJ102" s="176" t="n"/>
      <c r="CK102" s="176" t="n"/>
      <c r="CL102" s="176" t="n"/>
      <c r="CM102" s="176" t="n"/>
      <c r="CN102" s="176" t="n"/>
      <c r="CO102" s="176" t="n"/>
      <c r="CP102" s="176" t="n"/>
      <c r="CQ102" s="176" t="n"/>
      <c r="CR102" s="176" t="n"/>
      <c r="CS102" s="176" t="n"/>
      <c r="CT102" s="176" t="n"/>
      <c r="CU102" s="176" t="n"/>
      <c r="CV102" s="176" t="n"/>
      <c r="CW102" s="176" t="n"/>
      <c r="CX102" s="176" t="n"/>
      <c r="CY102" s="176" t="n"/>
      <c r="CZ102" s="176" t="n"/>
      <c r="DA102" s="193" t="n"/>
      <c r="DF102" s="194" t="n"/>
      <c r="DG102" s="176" t="n"/>
      <c r="DH102" s="176" t="n"/>
      <c r="DI102" s="193" t="n"/>
      <c r="DN102" s="194" t="n"/>
      <c r="DO102" s="176" t="n"/>
      <c r="DP102" s="176" t="n"/>
      <c r="DQ102" s="176" t="n"/>
      <c r="DR102" s="181" t="inlineStr">
        <is>
          <t>NOME</t>
        </is>
      </c>
      <c r="DS102" s="182" t="n"/>
      <c r="DT102" s="182" t="n"/>
      <c r="DU102" s="182" t="n"/>
      <c r="DV102" s="182" t="n"/>
      <c r="DW102" s="183" t="n"/>
      <c r="DX102" s="176" t="n"/>
      <c r="DY102" s="176" t="n"/>
      <c r="DZ102" s="181" t="inlineStr">
        <is>
          <t>NOME</t>
        </is>
      </c>
      <c r="EA102" s="182" t="n"/>
      <c r="EB102" s="182" t="n"/>
      <c r="EC102" s="182" t="n"/>
      <c r="ED102" s="182" t="n"/>
      <c r="EE102" s="183" t="n"/>
      <c r="EF102" s="176" t="n"/>
      <c r="EG102" s="176" t="n"/>
      <c r="EH102" s="176" t="n"/>
      <c r="EI102" s="193" t="n"/>
      <c r="EN102" s="194" t="n"/>
      <c r="EO102" s="176" t="n"/>
      <c r="EP102" s="176" t="n"/>
      <c r="EQ102" s="193" t="n"/>
      <c r="EV102" s="194" t="n"/>
      <c r="EW102" s="176" t="n"/>
      <c r="EX102" s="176" t="n"/>
      <c r="EY102" s="176" t="n"/>
      <c r="FF102" s="176" t="n"/>
      <c r="FG102" s="176" t="n"/>
      <c r="FN102" s="176" t="n"/>
      <c r="FO102" s="176" t="n"/>
      <c r="FP102" s="176" t="n"/>
      <c r="FQ102" s="181" t="inlineStr">
        <is>
          <t>ESCOLHA</t>
        </is>
      </c>
      <c r="FR102" s="182" t="n"/>
      <c r="FS102" s="183" t="n"/>
      <c r="FT102" s="185" t="n"/>
      <c r="FU102" s="182" t="n"/>
      <c r="FV102" s="183" t="n"/>
      <c r="FW102" s="176" t="n"/>
      <c r="FX102" s="176" t="n"/>
      <c r="FY102" s="181" t="inlineStr">
        <is>
          <t>ESCOLHA</t>
        </is>
      </c>
      <c r="FZ102" s="182" t="n"/>
      <c r="GA102" s="183" t="n"/>
      <c r="GB102" s="185" t="n"/>
      <c r="GC102" s="182" t="n"/>
      <c r="GD102" s="183" t="n"/>
      <c r="GE102" s="176" t="n"/>
      <c r="GF102" s="176" t="n"/>
      <c r="GG102" s="176" t="n"/>
      <c r="GH102" s="181" t="inlineStr">
        <is>
          <t>EFEITO</t>
        </is>
      </c>
      <c r="GI102" s="182" t="n"/>
      <c r="GJ102" s="182" t="n"/>
      <c r="GK102" s="182" t="n"/>
      <c r="GL102" s="182" t="n"/>
      <c r="GM102" s="183" t="n"/>
      <c r="GN102" s="176" t="n"/>
      <c r="GO102" s="176" t="n"/>
      <c r="GP102" s="181" t="inlineStr">
        <is>
          <t>EFEITO</t>
        </is>
      </c>
      <c r="GQ102" s="182" t="n"/>
      <c r="GR102" s="182" t="n"/>
      <c r="GS102" s="182" t="n"/>
      <c r="GT102" s="182" t="n"/>
      <c r="GU102" s="183" t="n"/>
      <c r="GV102" s="176" t="n"/>
      <c r="GW102" s="176" t="n"/>
      <c r="GX102" s="176" t="n"/>
      <c r="GY102" s="176" t="n"/>
      <c r="GZ102" s="176" t="n"/>
      <c r="HA102" s="176" t="n"/>
      <c r="HB102" s="176" t="n"/>
      <c r="HC102" s="176" t="n"/>
      <c r="HD102" s="176" t="n"/>
      <c r="HE102" s="176" t="n"/>
      <c r="HF102" s="176" t="n"/>
      <c r="HG102" s="176" t="n"/>
      <c r="HH102" s="176" t="n"/>
      <c r="HI102" s="176" t="n"/>
      <c r="HJ102" s="176" t="n"/>
      <c r="HK102" s="176" t="n"/>
      <c r="HL102" s="176" t="n"/>
      <c r="HM102" s="176" t="n"/>
      <c r="HN102" s="176" t="n"/>
      <c r="HO102" s="176" t="n"/>
      <c r="HP102" s="176" t="n"/>
      <c r="HQ102" s="176" t="n"/>
      <c r="HR102" s="176" t="n"/>
      <c r="HS102" s="176" t="n"/>
      <c r="HT102" s="176" t="n"/>
      <c r="HU102" s="176" t="n"/>
      <c r="HV102" s="176" t="n"/>
      <c r="HW102" s="176" t="n"/>
      <c r="HX102" s="176" t="n"/>
      <c r="HY102" s="176" t="n"/>
      <c r="HZ102" s="176" t="n"/>
      <c r="IA102" s="176" t="n"/>
      <c r="IB102" s="176" t="n"/>
      <c r="IC102" s="176" t="n"/>
      <c r="ID102" s="176" t="n"/>
    </row>
    <row r="103" ht="21" customHeight="1">
      <c r="A103" s="176" t="n"/>
      <c r="B103" s="176" t="n"/>
      <c r="C103" s="186" t="n">
        <v>4</v>
      </c>
      <c r="D103" s="183" t="n"/>
      <c r="E103" s="197">
        <f>IF(DADOS_CONFIG!$AI$10="","","d"&amp;DADOS_CONFIG!$AI$10)</f>
        <v/>
      </c>
      <c r="F103" s="186" t="n"/>
      <c r="G103" s="186">
        <f>IF(DADOS_CONFIG!$S$15="Não","",IF(4&gt;'FICHA'!$AH$11,"",DADOS_CONFIG!AF5))</f>
        <v/>
      </c>
      <c r="H103" s="176" t="n"/>
      <c r="I103" s="176" t="n"/>
      <c r="J103" s="176" t="n"/>
      <c r="K103" s="176" t="n"/>
      <c r="L103" s="176" t="n"/>
      <c r="M103" s="176" t="n"/>
      <c r="N103" s="176" t="n"/>
      <c r="O103" s="176" t="n"/>
      <c r="P103" s="176" t="n"/>
      <c r="Q103" s="176" t="n"/>
      <c r="R103" s="176" t="n"/>
      <c r="S103" s="176" t="n"/>
      <c r="T103" s="185" t="n"/>
      <c r="U103" s="182" t="n"/>
      <c r="V103" s="182" t="n"/>
      <c r="W103" s="182" t="n"/>
      <c r="X103" s="182" t="n"/>
      <c r="Y103" s="183" t="n"/>
      <c r="Z103" s="176" t="n"/>
      <c r="AA103" s="176" t="n"/>
      <c r="AB103" s="185" t="n"/>
      <c r="AC103" s="182" t="n"/>
      <c r="AD103" s="182" t="n"/>
      <c r="AE103" s="182" t="n"/>
      <c r="AF103" s="182" t="n"/>
      <c r="AG103" s="183" t="n"/>
      <c r="AH103" s="176" t="n"/>
      <c r="AI103" s="176" t="n"/>
      <c r="AJ103" s="176" t="n"/>
      <c r="AK103" s="176" t="n"/>
      <c r="AL103" s="176" t="n"/>
      <c r="AM103" s="176" t="n"/>
      <c r="AN103" s="176" t="n"/>
      <c r="AO103" s="176" t="n"/>
      <c r="AP103" s="176" t="n"/>
      <c r="AQ103" s="176" t="n"/>
      <c r="AR103" s="176" t="n"/>
      <c r="AS103" s="176" t="n"/>
      <c r="AT103" s="176" t="n"/>
      <c r="AU103" s="176" t="n"/>
      <c r="AV103" s="176" t="n"/>
      <c r="AW103" s="176" t="n"/>
      <c r="AX103" s="176" t="n"/>
      <c r="AY103" s="176" t="n"/>
      <c r="AZ103" s="176" t="n"/>
      <c r="BA103" s="176" t="n"/>
      <c r="BB103" s="176" t="n"/>
      <c r="BC103" s="176" t="n"/>
      <c r="BD103" s="176" t="n"/>
      <c r="BE103" s="176" t="n"/>
      <c r="BF103" s="176" t="n"/>
      <c r="BG103" s="176" t="n"/>
      <c r="BH103" s="176" t="n"/>
      <c r="BI103" s="176" t="n"/>
      <c r="BJ103" s="176" t="n"/>
      <c r="BK103" s="176" t="n"/>
      <c r="BL103" s="176" t="n"/>
      <c r="BM103" s="176" t="n"/>
      <c r="BN103" s="176" t="n"/>
      <c r="BO103" s="176" t="n"/>
      <c r="BP103" s="176" t="n"/>
      <c r="BQ103" s="176" t="n"/>
      <c r="BR103" s="176" t="n"/>
      <c r="BS103" s="176" t="n"/>
      <c r="BT103" s="176" t="n"/>
      <c r="BU103" s="176" t="n"/>
      <c r="BV103" s="176" t="n"/>
      <c r="BW103" s="176" t="n"/>
      <c r="BX103" s="176" t="n"/>
      <c r="BY103" s="176" t="n"/>
      <c r="BZ103" s="176" t="n"/>
      <c r="CA103" s="176" t="n"/>
      <c r="CB103" s="176" t="n"/>
      <c r="CC103" s="176" t="n"/>
      <c r="CD103" s="176" t="n"/>
      <c r="CE103" s="176" t="n"/>
      <c r="CF103" s="176" t="n"/>
      <c r="CG103" s="176" t="n"/>
      <c r="CH103" s="176" t="n"/>
      <c r="CI103" s="176" t="n"/>
      <c r="CJ103" s="176" t="n"/>
      <c r="CK103" s="176" t="n"/>
      <c r="CL103" s="176" t="n"/>
      <c r="CM103" s="176" t="n"/>
      <c r="CN103" s="176" t="n"/>
      <c r="CO103" s="176" t="n"/>
      <c r="CP103" s="176" t="n"/>
      <c r="CQ103" s="176" t="n"/>
      <c r="CR103" s="176" t="n"/>
      <c r="CS103" s="176" t="n"/>
      <c r="CT103" s="176" t="n"/>
      <c r="CU103" s="176" t="n"/>
      <c r="CV103" s="176" t="n"/>
      <c r="CW103" s="176" t="n"/>
      <c r="CX103" s="176" t="n"/>
      <c r="CY103" s="176" t="n"/>
      <c r="CZ103" s="176" t="n"/>
      <c r="DA103" s="189" t="n"/>
      <c r="DB103" s="190" t="n"/>
      <c r="DC103" s="190" t="n"/>
      <c r="DD103" s="190" t="n"/>
      <c r="DE103" s="190" t="n"/>
      <c r="DF103" s="191" t="n"/>
      <c r="DG103" s="176" t="n"/>
      <c r="DH103" s="176" t="n"/>
      <c r="DI103" s="189" t="n"/>
      <c r="DJ103" s="190" t="n"/>
      <c r="DK103" s="190" t="n"/>
      <c r="DL103" s="190" t="n"/>
      <c r="DM103" s="190" t="n"/>
      <c r="DN103" s="191" t="n"/>
      <c r="DO103" s="176" t="n"/>
      <c r="DP103" s="176" t="n"/>
      <c r="DQ103" s="176" t="n"/>
      <c r="DR103" s="185" t="n"/>
      <c r="DS103" s="182" t="n"/>
      <c r="DT103" s="182" t="n"/>
      <c r="DU103" s="182" t="n"/>
      <c r="DV103" s="182" t="n"/>
      <c r="DW103" s="183" t="n"/>
      <c r="DX103" s="176" t="n"/>
      <c r="DY103" s="176" t="n"/>
      <c r="DZ103" s="185" t="n"/>
      <c r="EA103" s="182" t="n"/>
      <c r="EB103" s="182" t="n"/>
      <c r="EC103" s="182" t="n"/>
      <c r="ED103" s="182" t="n"/>
      <c r="EE103" s="183" t="n"/>
      <c r="EF103" s="176" t="n"/>
      <c r="EG103" s="176" t="n"/>
      <c r="EH103" s="176" t="n"/>
      <c r="EI103" s="193" t="n"/>
      <c r="EN103" s="194" t="n"/>
      <c r="EO103" s="176" t="n"/>
      <c r="EP103" s="176" t="n"/>
      <c r="EQ103" s="193" t="n"/>
      <c r="EV103" s="194" t="n"/>
      <c r="EW103" s="176" t="n"/>
      <c r="EX103" s="176" t="n"/>
      <c r="EY103" s="176" t="n"/>
      <c r="EZ103" s="176" t="n"/>
      <c r="FA103" s="176" t="n"/>
      <c r="FB103" s="176" t="n"/>
      <c r="FC103" s="176" t="n"/>
      <c r="FD103" s="176" t="n"/>
      <c r="FE103" s="176" t="n"/>
      <c r="FF103" s="176" t="n"/>
      <c r="FG103" s="176" t="n"/>
      <c r="FH103" s="176" t="n"/>
      <c r="FI103" s="176" t="n"/>
      <c r="FJ103" s="176" t="n"/>
      <c r="FK103" s="176" t="n"/>
      <c r="FL103" s="176" t="n"/>
      <c r="FM103" s="176" t="n"/>
      <c r="FN103" s="176" t="n"/>
      <c r="FO103" s="176" t="n"/>
      <c r="FP103" s="176" t="n"/>
      <c r="FQ103" s="176" t="n"/>
      <c r="FR103" s="176" t="n"/>
      <c r="FS103" s="176" t="n"/>
      <c r="FT103" s="176" t="n"/>
      <c r="FU103" s="176" t="n"/>
      <c r="FV103" s="176" t="n"/>
      <c r="FW103" s="176" t="n"/>
      <c r="FX103" s="176" t="n"/>
      <c r="FY103" s="176" t="n"/>
      <c r="FZ103" s="176" t="n"/>
      <c r="GA103" s="176" t="n"/>
      <c r="GB103" s="176" t="n"/>
      <c r="GC103" s="176" t="n"/>
      <c r="GD103" s="176" t="n"/>
      <c r="GE103" s="176" t="n"/>
      <c r="GF103" s="176" t="n"/>
      <c r="GG103" s="176" t="n"/>
      <c r="GH103" s="192" t="n"/>
      <c r="GI103" s="187" t="n"/>
      <c r="GJ103" s="187" t="n"/>
      <c r="GK103" s="187" t="n"/>
      <c r="GL103" s="187" t="n"/>
      <c r="GM103" s="188" t="n"/>
      <c r="GN103" s="176" t="n"/>
      <c r="GO103" s="176" t="n"/>
      <c r="GP103" s="192" t="n"/>
      <c r="GQ103" s="187" t="n"/>
      <c r="GR103" s="187" t="n"/>
      <c r="GS103" s="187" t="n"/>
      <c r="GT103" s="187" t="n"/>
      <c r="GU103" s="188" t="n"/>
      <c r="GV103" s="176" t="n"/>
      <c r="GW103" s="176" t="n"/>
      <c r="GX103" s="176" t="n"/>
      <c r="GY103" s="181" t="inlineStr">
        <is>
          <t>RESERVA DE PE</t>
        </is>
      </c>
      <c r="GZ103" s="182" t="n"/>
      <c r="HA103" s="183" t="n"/>
      <c r="HB103" s="185" t="n"/>
      <c r="HC103" s="182" t="n"/>
      <c r="HD103" s="183" t="n"/>
      <c r="HE103" s="176" t="n"/>
      <c r="HF103" s="176" t="n"/>
      <c r="HG103" s="181" t="inlineStr">
        <is>
          <t>RESERVA DE PE</t>
        </is>
      </c>
      <c r="HH103" s="182" t="n"/>
      <c r="HI103" s="183" t="n"/>
      <c r="HJ103" s="185" t="n"/>
      <c r="HK103" s="182" t="n"/>
      <c r="HL103" s="183" t="n"/>
      <c r="HM103" s="176" t="n"/>
      <c r="HN103" s="176" t="n"/>
      <c r="HO103" s="176" t="n"/>
      <c r="HP103" s="176" t="n"/>
      <c r="HQ103" s="176" t="n"/>
      <c r="HR103" s="176" t="n"/>
      <c r="HS103" s="176" t="n"/>
      <c r="HT103" s="176" t="n"/>
      <c r="HU103" s="176" t="n"/>
      <c r="HV103" s="176" t="n"/>
      <c r="HW103" s="176" t="n"/>
      <c r="HX103" s="176" t="n"/>
      <c r="HY103" s="176" t="n"/>
      <c r="HZ103" s="176" t="n"/>
      <c r="IA103" s="176" t="n"/>
      <c r="IB103" s="176" t="n"/>
      <c r="IC103" s="176" t="n"/>
      <c r="ID103" s="176" t="n"/>
    </row>
    <row r="104" ht="21" customHeight="1">
      <c r="A104" s="176" t="n"/>
      <c r="B104" s="176" t="n"/>
      <c r="C104" s="186" t="n">
        <v>5</v>
      </c>
      <c r="D104" s="183" t="n"/>
      <c r="E104" s="197">
        <f>IF(DADOS_CONFIG!$AI$10="","","d"&amp;DADOS_CONFIG!$AI$10)</f>
        <v/>
      </c>
      <c r="F104" s="186" t="n"/>
      <c r="G104" s="186">
        <f>IF(DADOS_CONFIG!$S$15="Não","",IF(5&gt;'FICHA'!$AH$11,"",DADOS_CONFIG!AF6))</f>
        <v/>
      </c>
      <c r="H104" s="176" t="n"/>
      <c r="I104" s="176" t="n"/>
      <c r="J104" s="176" t="n"/>
      <c r="K104" s="176" t="n"/>
      <c r="L104" s="176" t="n"/>
      <c r="M104" s="176" t="n"/>
      <c r="N104" s="176" t="n"/>
      <c r="O104" s="176" t="n"/>
      <c r="P104" s="176" t="n"/>
      <c r="Q104" s="176" t="n"/>
      <c r="R104" s="176" t="n"/>
      <c r="S104" s="176" t="n"/>
      <c r="T104" s="181">
        <f>SWITCH('CONFIGURAÇÃO'!$T$101,"Origem","PERÍCIA 1","Marcante","ORIGEM","Menor","ORIGEM","Arma","CATEGORIA","Escudo","","Uniforme","GRAU MÍNIMO","Item comum","","Ferramenta amaldiçoada","BASE","")</f>
        <v/>
      </c>
      <c r="U104" s="183" t="n"/>
      <c r="V104" s="185" t="n"/>
      <c r="W104" s="182" t="n"/>
      <c r="X104" s="182" t="n"/>
      <c r="Y104" s="183" t="n"/>
      <c r="Z104" s="176" t="n"/>
      <c r="AA104" s="176" t="n"/>
      <c r="AB104" s="181">
        <f>SWITCH('CONFIGURAÇÃO'!$AB$101,"Origem","PERÍCIA 1","Marcante","ORIGEM","Menor","ORIGEM","Arma","CATEGORIA","Escudo","","Uniforme","GRAU MÍNIMO","Item comum","","Ferramenta amaldiçoada","BASE","")</f>
        <v/>
      </c>
      <c r="AC104" s="183" t="n"/>
      <c r="AD104" s="185" t="n"/>
      <c r="AE104" s="182" t="n"/>
      <c r="AF104" s="182" t="n"/>
      <c r="AG104" s="183" t="n"/>
      <c r="AH104" s="176" t="n"/>
      <c r="AI104" s="176" t="n"/>
      <c r="AJ104" s="176" t="n"/>
      <c r="AK104" s="176" t="n"/>
      <c r="AL104" s="176" t="n"/>
      <c r="AM104" s="176" t="n"/>
      <c r="AN104" s="176" t="n"/>
      <c r="AO104" s="176" t="n"/>
      <c r="AP104" s="176" t="n"/>
      <c r="AQ104" s="176" t="n"/>
      <c r="AR104" s="176" t="n"/>
      <c r="AS104" s="176" t="n"/>
      <c r="AT104" s="176" t="n"/>
      <c r="AU104" s="176" t="n"/>
      <c r="AV104" s="176" t="n"/>
      <c r="AW104" s="176" t="n"/>
      <c r="AX104" s="176" t="n"/>
      <c r="AY104" s="176" t="n"/>
      <c r="AZ104" s="176" t="n"/>
      <c r="BA104" s="176" t="n"/>
      <c r="BB104" s="176" t="n"/>
      <c r="BC104" s="176" t="n"/>
      <c r="BD104" s="176" t="n"/>
      <c r="BE104" s="176" t="n"/>
      <c r="BF104" s="176" t="n"/>
      <c r="BG104" s="176" t="n"/>
      <c r="BH104" s="176" t="n"/>
      <c r="BI104" s="176" t="n"/>
      <c r="BJ104" s="176" t="n"/>
      <c r="BK104" s="176" t="n"/>
      <c r="BL104" s="176" t="n"/>
      <c r="BM104" s="176" t="n"/>
      <c r="BN104" s="176" t="n"/>
      <c r="BO104" s="176" t="n"/>
      <c r="BP104" s="176" t="n"/>
      <c r="BQ104" s="176" t="n"/>
      <c r="BR104" s="176" t="n"/>
      <c r="BS104" s="176" t="n"/>
      <c r="BT104" s="176" t="n"/>
      <c r="BU104" s="176" t="n"/>
      <c r="BV104" s="176" t="n"/>
      <c r="BW104" s="176" t="n"/>
      <c r="BX104" s="176" t="n"/>
      <c r="BY104" s="176" t="n"/>
      <c r="BZ104" s="176" t="n"/>
      <c r="CA104" s="176" t="n"/>
      <c r="CB104" s="176" t="n"/>
      <c r="CC104" s="176" t="n"/>
      <c r="CD104" s="176" t="n"/>
      <c r="CE104" s="176" t="n"/>
      <c r="CF104" s="176" t="n"/>
      <c r="CG104" s="176" t="n"/>
      <c r="CH104" s="176" t="n"/>
      <c r="CI104" s="176" t="n"/>
      <c r="CJ104" s="176" t="n"/>
      <c r="CK104" s="176" t="n"/>
      <c r="CL104" s="176" t="n"/>
      <c r="CM104" s="176" t="n"/>
      <c r="CN104" s="176" t="n"/>
      <c r="CO104" s="176" t="n"/>
      <c r="CP104" s="176" t="n"/>
      <c r="CQ104" s="176" t="n"/>
      <c r="CR104" s="176" t="n"/>
      <c r="CS104" s="176" t="n"/>
      <c r="CT104" s="176" t="n"/>
      <c r="CU104" s="176" t="n"/>
      <c r="CV104" s="176" t="n"/>
      <c r="CW104" s="176" t="n"/>
      <c r="CX104" s="176" t="n"/>
      <c r="CY104" s="176" t="n"/>
      <c r="CZ104" s="176" t="n"/>
      <c r="DA104" s="176" t="n"/>
      <c r="DB104" s="176" t="n"/>
      <c r="DC104" s="176" t="n"/>
      <c r="DD104" s="176" t="n"/>
      <c r="DE104" s="176" t="n"/>
      <c r="DF104" s="176" t="n"/>
      <c r="DG104" s="176" t="n"/>
      <c r="DH104" s="176" t="n"/>
      <c r="DI104" s="176" t="n"/>
      <c r="DJ104" s="176" t="n"/>
      <c r="DK104" s="176" t="n"/>
      <c r="DL104" s="176" t="n"/>
      <c r="DM104" s="176" t="n"/>
      <c r="DN104" s="176" t="n"/>
      <c r="DO104" s="176" t="n"/>
      <c r="DP104" s="176" t="n"/>
      <c r="DQ104" s="176" t="n"/>
      <c r="DR104" s="181" t="inlineStr">
        <is>
          <t>BASE DO LIVRO</t>
        </is>
      </c>
      <c r="DS104" s="182" t="n"/>
      <c r="DT104" s="183" t="n"/>
      <c r="DU104" s="185" t="inlineStr">
        <is>
          <t>Nenhuma</t>
        </is>
      </c>
      <c r="DV104" s="182" t="n"/>
      <c r="DW104" s="183" t="n"/>
      <c r="DX104" s="176" t="n"/>
      <c r="DY104" s="176" t="n"/>
      <c r="DZ104" s="181" t="inlineStr">
        <is>
          <t>BASE DO LIVRO</t>
        </is>
      </c>
      <c r="EA104" s="182" t="n"/>
      <c r="EB104" s="183" t="n"/>
      <c r="EC104" s="185" t="inlineStr">
        <is>
          <t>Nenhuma</t>
        </is>
      </c>
      <c r="ED104" s="182" t="n"/>
      <c r="EE104" s="183" t="n"/>
      <c r="EF104" s="176" t="n"/>
      <c r="EG104" s="176" t="n"/>
      <c r="EH104" s="176" t="n"/>
      <c r="EI104" s="193" t="n"/>
      <c r="EN104" s="194" t="n"/>
      <c r="EO104" s="176" t="n"/>
      <c r="EP104" s="176" t="n"/>
      <c r="EQ104" s="193" t="n"/>
      <c r="EV104" s="194" t="n"/>
      <c r="EW104" s="176" t="n"/>
      <c r="EX104" s="176" t="n"/>
      <c r="EY104" s="176" t="n"/>
      <c r="EZ104" s="179" t="inlineStr">
        <is>
          <t>FORMAS · 5</t>
        </is>
      </c>
      <c r="FF104" s="176" t="n"/>
      <c r="FG104" s="176" t="n"/>
      <c r="FH104" s="179" t="inlineStr">
        <is>
          <t>FORMAS · 6</t>
        </is>
      </c>
      <c r="FN104" s="176" t="n"/>
      <c r="FO104" s="176" t="n"/>
      <c r="FP104" s="176" t="n"/>
      <c r="FQ104" s="181" t="inlineStr">
        <is>
          <t>REQUISITOS</t>
        </is>
      </c>
      <c r="FR104" s="182" t="n"/>
      <c r="FS104" s="182" t="n"/>
      <c r="FT104" s="182" t="n"/>
      <c r="FU104" s="182" t="n"/>
      <c r="FV104" s="183" t="n"/>
      <c r="FW104" s="176" t="n"/>
      <c r="FX104" s="176" t="n"/>
      <c r="FY104" s="181" t="inlineStr">
        <is>
          <t>REQUISITOS</t>
        </is>
      </c>
      <c r="FZ104" s="182" t="n"/>
      <c r="GA104" s="182" t="n"/>
      <c r="GB104" s="182" t="n"/>
      <c r="GC104" s="182" t="n"/>
      <c r="GD104" s="183" t="n"/>
      <c r="GE104" s="176" t="n"/>
      <c r="GF104" s="176" t="n"/>
      <c r="GG104" s="176" t="n"/>
      <c r="GH104" s="193" t="n"/>
      <c r="GM104" s="194" t="n"/>
      <c r="GN104" s="176" t="n"/>
      <c r="GO104" s="176" t="n"/>
      <c r="GP104" s="193" t="n"/>
      <c r="GU104" s="194" t="n"/>
      <c r="GV104" s="176" t="n"/>
      <c r="GW104" s="176" t="n"/>
      <c r="GX104" s="176" t="n"/>
      <c r="GY104" s="176" t="n"/>
      <c r="GZ104" s="176" t="n"/>
      <c r="HA104" s="176" t="n"/>
      <c r="HB104" s="176" t="n"/>
      <c r="HC104" s="176" t="n"/>
      <c r="HD104" s="176" t="n"/>
      <c r="HE104" s="176" t="n"/>
      <c r="HF104" s="176" t="n"/>
      <c r="HG104" s="176" t="n"/>
      <c r="HH104" s="176" t="n"/>
      <c r="HI104" s="176" t="n"/>
      <c r="HJ104" s="176" t="n"/>
      <c r="HK104" s="176" t="n"/>
      <c r="HL104" s="176" t="n"/>
      <c r="HM104" s="176" t="n"/>
      <c r="HN104" s="176" t="n"/>
      <c r="HO104" s="176" t="n"/>
      <c r="HP104" s="176" t="n"/>
      <c r="HQ104" s="176" t="n"/>
      <c r="HR104" s="176" t="n"/>
      <c r="HS104" s="176" t="n"/>
      <c r="HT104" s="176" t="n"/>
      <c r="HU104" s="176" t="n"/>
      <c r="HV104" s="176" t="n"/>
      <c r="HW104" s="176" t="n"/>
      <c r="HX104" s="176" t="n"/>
      <c r="HY104" s="176" t="n"/>
      <c r="HZ104" s="176" t="n"/>
      <c r="IA104" s="176" t="n"/>
      <c r="IB104" s="176" t="n"/>
      <c r="IC104" s="176" t="n"/>
      <c r="ID104" s="176" t="n"/>
    </row>
    <row r="105" ht="21" customHeight="1">
      <c r="A105" s="176" t="n"/>
      <c r="B105" s="176" t="n"/>
      <c r="C105" s="186" t="n">
        <v>6</v>
      </c>
      <c r="D105" s="183" t="n"/>
      <c r="E105" s="197">
        <f>IF(DADOS_CONFIG!$AI$10="","","d"&amp;DADOS_CONFIG!$AI$10)</f>
        <v/>
      </c>
      <c r="F105" s="186" t="n"/>
      <c r="G105" s="186">
        <f>IF(DADOS_CONFIG!$S$15="Não","",IF(6&gt;'FICHA'!$AH$11,"",DADOS_CONFIG!AF7))</f>
        <v/>
      </c>
      <c r="H105" s="176" t="n"/>
      <c r="I105" s="176" t="n"/>
      <c r="J105" s="176" t="n"/>
      <c r="K105" s="176" t="n"/>
      <c r="L105" s="176" t="n"/>
      <c r="M105" s="176" t="n"/>
      <c r="N105" s="176" t="n"/>
      <c r="O105" s="176" t="n"/>
      <c r="P105" s="176" t="n"/>
      <c r="Q105" s="176" t="n"/>
      <c r="R105" s="176" t="n"/>
      <c r="S105" s="176" t="n"/>
      <c r="T105" s="181">
        <f>SWITCH('CONFIGURAÇÃO'!$T$101,"Origem","PERÍCIA 2","Marcante","","Menor","EXIGE MARCANTE","Arma","MÃO","Escudo","","Uniforme","","Item comum","","Ferramenta amaldiçoada","GRAU","")</f>
        <v/>
      </c>
      <c r="U105" s="183" t="n"/>
      <c r="V105" s="185" t="n"/>
      <c r="W105" s="182" t="n"/>
      <c r="X105" s="182" t="n"/>
      <c r="Y105" s="183" t="n"/>
      <c r="Z105" s="176" t="n"/>
      <c r="AA105" s="176" t="n"/>
      <c r="AB105" s="181">
        <f>SWITCH('CONFIGURAÇÃO'!$AB$101,"Origem","PERÍCIA 2","Marcante","","Menor","EXIGE MARCANTE","Arma","MÃO","Escudo","","Uniforme","","Item comum","","Ferramenta amaldiçoada","GRAU","")</f>
        <v/>
      </c>
      <c r="AC105" s="183" t="n"/>
      <c r="AD105" s="185" t="n"/>
      <c r="AE105" s="182" t="n"/>
      <c r="AF105" s="182" t="n"/>
      <c r="AG105" s="183" t="n"/>
      <c r="AH105" s="176" t="n"/>
      <c r="AI105" s="176" t="n"/>
      <c r="AJ105" s="176" t="n"/>
      <c r="AK105" s="176" t="n"/>
      <c r="AL105" s="176" t="n"/>
      <c r="AM105" s="176" t="n"/>
      <c r="AN105" s="176" t="n"/>
      <c r="AO105" s="176" t="n"/>
      <c r="AP105" s="176" t="n"/>
      <c r="AQ105" s="176" t="n"/>
      <c r="AR105" s="176" t="n"/>
      <c r="AS105" s="176" t="n"/>
      <c r="AT105" s="176" t="n"/>
      <c r="AU105" s="176" t="n"/>
      <c r="AV105" s="176" t="n"/>
      <c r="AW105" s="176" t="n"/>
      <c r="AX105" s="176" t="n"/>
      <c r="AY105" s="176" t="n"/>
      <c r="AZ105" s="176" t="n"/>
      <c r="BA105" s="176" t="n"/>
      <c r="BB105" s="176" t="n"/>
      <c r="BC105" s="176" t="n"/>
      <c r="BD105" s="176" t="n"/>
      <c r="BE105" s="176" t="n"/>
      <c r="BF105" s="176" t="n"/>
      <c r="BG105" s="176" t="n"/>
      <c r="BH105" s="176" t="n"/>
      <c r="BI105" s="176" t="n"/>
      <c r="BJ105" s="176" t="n"/>
      <c r="BK105" s="176" t="n"/>
      <c r="BL105" s="176" t="n"/>
      <c r="BM105" s="176" t="n"/>
      <c r="BN105" s="176" t="n"/>
      <c r="BO105" s="176" t="n"/>
      <c r="BP105" s="176" t="n"/>
      <c r="BQ105" s="176" t="n"/>
      <c r="BR105" s="176" t="n"/>
      <c r="BS105" s="176" t="n"/>
      <c r="BT105" s="176" t="n"/>
      <c r="BU105" s="176" t="n"/>
      <c r="BV105" s="176" t="n"/>
      <c r="BW105" s="176" t="n"/>
      <c r="BX105" s="176" t="n"/>
      <c r="BY105" s="176" t="n"/>
      <c r="BZ105" s="176" t="n"/>
      <c r="CA105" s="176" t="n"/>
      <c r="CB105" s="176" t="n"/>
      <c r="CC105" s="176" t="n"/>
      <c r="CD105" s="176" t="n"/>
      <c r="CE105" s="176" t="n"/>
      <c r="CF105" s="176" t="n"/>
      <c r="CG105" s="176" t="n"/>
      <c r="CH105" s="176" t="n"/>
      <c r="CI105" s="176" t="n"/>
      <c r="CJ105" s="176" t="n"/>
      <c r="CK105" s="176" t="n"/>
      <c r="CL105" s="176" t="n"/>
      <c r="CM105" s="176" t="n"/>
      <c r="CN105" s="176" t="n"/>
      <c r="CO105" s="176" t="n"/>
      <c r="CP105" s="176" t="n"/>
      <c r="CQ105" s="176" t="n"/>
      <c r="CR105" s="176" t="n"/>
      <c r="CS105" s="176" t="n"/>
      <c r="CT105" s="176" t="n"/>
      <c r="CU105" s="176" t="n"/>
      <c r="CV105" s="176" t="n"/>
      <c r="CW105" s="176" t="n"/>
      <c r="CX105" s="176" t="n"/>
      <c r="CY105" s="176" t="n"/>
      <c r="CZ105" s="176" t="n"/>
      <c r="DA105" s="181" t="inlineStr">
        <is>
          <t>EFEITO</t>
        </is>
      </c>
      <c r="DB105" s="182" t="n"/>
      <c r="DC105" s="182" t="n"/>
      <c r="DD105" s="182" t="n"/>
      <c r="DE105" s="182" t="n"/>
      <c r="DF105" s="183" t="n"/>
      <c r="DG105" s="176" t="n"/>
      <c r="DH105" s="176" t="n"/>
      <c r="DI105" s="181" t="inlineStr">
        <is>
          <t>EFEITO</t>
        </is>
      </c>
      <c r="DJ105" s="182" t="n"/>
      <c r="DK105" s="182" t="n"/>
      <c r="DL105" s="182" t="n"/>
      <c r="DM105" s="182" t="n"/>
      <c r="DN105" s="183" t="n"/>
      <c r="DO105" s="176" t="n"/>
      <c r="DP105" s="176" t="n"/>
      <c r="DQ105" s="176" t="n"/>
      <c r="DR105" s="181" t="inlineStr">
        <is>
          <t>DEVOLUÇÃO</t>
        </is>
      </c>
      <c r="DS105" s="182" t="n"/>
      <c r="DT105" s="183" t="n"/>
      <c r="DU105" s="185" t="n"/>
      <c r="DV105" s="182" t="n"/>
      <c r="DW105" s="183" t="n"/>
      <c r="DX105" s="176" t="n"/>
      <c r="DY105" s="176" t="n"/>
      <c r="DZ105" s="181" t="inlineStr">
        <is>
          <t>DEVOLUÇÃO</t>
        </is>
      </c>
      <c r="EA105" s="182" t="n"/>
      <c r="EB105" s="183" t="n"/>
      <c r="EC105" s="185" t="n"/>
      <c r="ED105" s="182" t="n"/>
      <c r="EE105" s="183" t="n"/>
      <c r="EF105" s="176" t="n"/>
      <c r="EG105" s="176" t="n"/>
      <c r="EH105" s="176" t="n"/>
      <c r="EI105" s="189" t="n"/>
      <c r="EJ105" s="190" t="n"/>
      <c r="EK105" s="190" t="n"/>
      <c r="EL105" s="190" t="n"/>
      <c r="EM105" s="190" t="n"/>
      <c r="EN105" s="191" t="n"/>
      <c r="EO105" s="176" t="n"/>
      <c r="EP105" s="176" t="n"/>
      <c r="EQ105" s="189" t="n"/>
      <c r="ER105" s="190" t="n"/>
      <c r="ES105" s="190" t="n"/>
      <c r="ET105" s="190" t="n"/>
      <c r="EU105" s="190" t="n"/>
      <c r="EV105" s="191" t="n"/>
      <c r="EW105" s="176" t="n"/>
      <c r="EX105" s="176" t="n"/>
      <c r="EY105" s="176" t="n"/>
      <c r="EZ105" s="181" t="inlineStr">
        <is>
          <t>TIPO</t>
        </is>
      </c>
      <c r="FA105" s="182" t="n"/>
      <c r="FB105" s="182" t="n"/>
      <c r="FC105" s="183" t="n"/>
      <c r="FD105" s="181" t="inlineStr">
        <is>
          <t>MESTRE VIU</t>
        </is>
      </c>
      <c r="FE105" s="183" t="n"/>
      <c r="FF105" s="176" t="n"/>
      <c r="FG105" s="176" t="n"/>
      <c r="FH105" s="181" t="inlineStr">
        <is>
          <t>TIPO</t>
        </is>
      </c>
      <c r="FI105" s="182" t="n"/>
      <c r="FJ105" s="182" t="n"/>
      <c r="FK105" s="183" t="n"/>
      <c r="FL105" s="181" t="inlineStr">
        <is>
          <t>MESTRE VIU</t>
        </is>
      </c>
      <c r="FM105" s="183" t="n"/>
      <c r="FN105" s="176" t="n"/>
      <c r="FO105" s="176" t="n"/>
      <c r="FP105" s="176" t="n"/>
      <c r="FQ105" s="192" t="n"/>
      <c r="FR105" s="187" t="n"/>
      <c r="FS105" s="187" t="n"/>
      <c r="FT105" s="187" t="n"/>
      <c r="FU105" s="187" t="n"/>
      <c r="FV105" s="188" t="n"/>
      <c r="FW105" s="176" t="n"/>
      <c r="FX105" s="176" t="n"/>
      <c r="FY105" s="192" t="n"/>
      <c r="FZ105" s="187" t="n"/>
      <c r="GA105" s="187" t="n"/>
      <c r="GB105" s="187" t="n"/>
      <c r="GC105" s="187" t="n"/>
      <c r="GD105" s="188" t="n"/>
      <c r="GE105" s="176" t="n"/>
      <c r="GF105" s="176" t="n"/>
      <c r="GG105" s="176" t="n"/>
      <c r="GH105" s="193" t="n"/>
      <c r="GM105" s="194" t="n"/>
      <c r="GN105" s="176" t="n"/>
      <c r="GO105" s="176" t="n"/>
      <c r="GP105" s="193" t="n"/>
      <c r="GU105" s="194" t="n"/>
      <c r="GV105" s="176" t="n"/>
      <c r="GW105" s="176" t="n"/>
      <c r="GX105" s="176" t="n"/>
      <c r="GY105" s="176" t="n"/>
      <c r="GZ105" s="176" t="n"/>
      <c r="HA105" s="176" t="n"/>
      <c r="HB105" s="176" t="n"/>
      <c r="HC105" s="176" t="n"/>
      <c r="HD105" s="176" t="n"/>
      <c r="HE105" s="176" t="n"/>
      <c r="HF105" s="176" t="n"/>
      <c r="HG105" s="176" t="n"/>
      <c r="HH105" s="176" t="n"/>
      <c r="HI105" s="176" t="n"/>
      <c r="HJ105" s="176" t="n"/>
      <c r="HK105" s="176" t="n"/>
      <c r="HL105" s="176" t="n"/>
      <c r="HM105" s="176" t="n"/>
      <c r="HN105" s="176" t="n"/>
      <c r="HO105" s="176" t="n"/>
      <c r="HP105" s="176" t="n"/>
      <c r="HQ105" s="176" t="n"/>
      <c r="HR105" s="176" t="n"/>
      <c r="HS105" s="176" t="n"/>
      <c r="HT105" s="176" t="n"/>
      <c r="HU105" s="176" t="n"/>
      <c r="HV105" s="176" t="n"/>
      <c r="HW105" s="176" t="n"/>
      <c r="HX105" s="176" t="n"/>
      <c r="HY105" s="176" t="n"/>
      <c r="HZ105" s="176" t="n"/>
      <c r="IA105" s="176" t="n"/>
      <c r="IB105" s="176" t="n"/>
      <c r="IC105" s="176" t="n"/>
      <c r="ID105" s="176" t="n"/>
    </row>
    <row r="106" ht="21" customHeight="1">
      <c r="A106" s="176" t="n"/>
      <c r="B106" s="176" t="n"/>
      <c r="C106" s="186" t="n">
        <v>7</v>
      </c>
      <c r="D106" s="183" t="n"/>
      <c r="E106" s="197">
        <f>IF(DADOS_CONFIG!$AI$10="","","d"&amp;DADOS_CONFIG!$AI$10)</f>
        <v/>
      </c>
      <c r="F106" s="186" t="n"/>
      <c r="G106" s="186">
        <f>IF(DADOS_CONFIG!$S$15="Não","",IF(7&gt;'FICHA'!$AH$11,"",DADOS_CONFIG!AF8))</f>
        <v/>
      </c>
      <c r="H106" s="176" t="n"/>
      <c r="I106" s="176" t="n"/>
      <c r="J106" s="176" t="n"/>
      <c r="K106" s="176" t="n"/>
      <c r="L106" s="176" t="n"/>
      <c r="M106" s="176" t="n"/>
      <c r="N106" s="176" t="n"/>
      <c r="O106" s="176" t="n"/>
      <c r="P106" s="176" t="n"/>
      <c r="Q106" s="176" t="n"/>
      <c r="R106" s="176" t="n"/>
      <c r="S106" s="176" t="n"/>
      <c r="T106" s="181">
        <f>SWITCH('CONFIGURAÇÃO'!$T$101,"Origem","PERÍCIA 3","Marcante","","Menor","","Arma","TIPO DE DANO","Escudo","","Uniforme","","Item comum","","Ferramenta amaldiçoada","","")</f>
        <v/>
      </c>
      <c r="U106" s="183" t="n"/>
      <c r="V106" s="185" t="n"/>
      <c r="W106" s="182" t="n"/>
      <c r="X106" s="182" t="n"/>
      <c r="Y106" s="183" t="n"/>
      <c r="Z106" s="176" t="n"/>
      <c r="AA106" s="176" t="n"/>
      <c r="AB106" s="181">
        <f>SWITCH('CONFIGURAÇÃO'!$AB$101,"Origem","PERÍCIA 3","Marcante","","Menor","","Arma","TIPO DE DANO","Escudo","","Uniforme","","Item comum","","Ferramenta amaldiçoada","","")</f>
        <v/>
      </c>
      <c r="AC106" s="183" t="n"/>
      <c r="AD106" s="185" t="n"/>
      <c r="AE106" s="182" t="n"/>
      <c r="AF106" s="182" t="n"/>
      <c r="AG106" s="183" t="n"/>
      <c r="AH106" s="176" t="n"/>
      <c r="AI106" s="176" t="n"/>
      <c r="AJ106" s="176" t="n"/>
      <c r="AK106" s="176" t="n"/>
      <c r="AL106" s="176" t="n"/>
      <c r="AM106" s="176" t="n"/>
      <c r="AN106" s="176" t="n"/>
      <c r="AO106" s="176" t="n"/>
      <c r="AP106" s="176" t="n"/>
      <c r="AQ106" s="176" t="n"/>
      <c r="AR106" s="176" t="n"/>
      <c r="AS106" s="176" t="n"/>
      <c r="AT106" s="176" t="n"/>
      <c r="AU106" s="176" t="n"/>
      <c r="AV106" s="176" t="n"/>
      <c r="AW106" s="176" t="n"/>
      <c r="AX106" s="176" t="n"/>
      <c r="AY106" s="176" t="n"/>
      <c r="AZ106" s="176" t="n"/>
      <c r="BA106" s="176" t="n"/>
      <c r="BB106" s="176" t="n"/>
      <c r="BC106" s="176" t="n"/>
      <c r="BD106" s="176" t="n"/>
      <c r="BE106" s="176" t="n"/>
      <c r="BF106" s="176" t="n"/>
      <c r="BG106" s="176" t="n"/>
      <c r="BH106" s="176" t="n"/>
      <c r="BI106" s="176" t="n"/>
      <c r="BJ106" s="176" t="n"/>
      <c r="BK106" s="176" t="n"/>
      <c r="BL106" s="176" t="n"/>
      <c r="BM106" s="176" t="n"/>
      <c r="BN106" s="176" t="n"/>
      <c r="BO106" s="176" t="n"/>
      <c r="BP106" s="176" t="n"/>
      <c r="BQ106" s="176" t="n"/>
      <c r="BR106" s="176" t="n"/>
      <c r="BS106" s="176" t="n"/>
      <c r="BT106" s="176" t="n"/>
      <c r="BU106" s="176" t="n"/>
      <c r="BV106" s="176" t="n"/>
      <c r="BW106" s="176" t="n"/>
      <c r="BX106" s="176" t="n"/>
      <c r="BY106" s="176" t="n"/>
      <c r="BZ106" s="176" t="n"/>
      <c r="CA106" s="176" t="n"/>
      <c r="CB106" s="176" t="n"/>
      <c r="CC106" s="176" t="n"/>
      <c r="CD106" s="176" t="n"/>
      <c r="CE106" s="176" t="n"/>
      <c r="CF106" s="176" t="n"/>
      <c r="CG106" s="176" t="n"/>
      <c r="CH106" s="176" t="n"/>
      <c r="CI106" s="176" t="n"/>
      <c r="CJ106" s="176" t="n"/>
      <c r="CK106" s="176" t="n"/>
      <c r="CL106" s="176" t="n"/>
      <c r="CM106" s="176" t="n"/>
      <c r="CN106" s="176" t="n"/>
      <c r="CO106" s="176" t="n"/>
      <c r="CP106" s="176" t="n"/>
      <c r="CQ106" s="176" t="n"/>
      <c r="CR106" s="176" t="n"/>
      <c r="CS106" s="176" t="n"/>
      <c r="CT106" s="176" t="n"/>
      <c r="CU106" s="176" t="n"/>
      <c r="CV106" s="176" t="n"/>
      <c r="CW106" s="176" t="n"/>
      <c r="CX106" s="176" t="n"/>
      <c r="CY106" s="176" t="n"/>
      <c r="CZ106" s="176" t="n"/>
      <c r="DA106" s="192" t="n"/>
      <c r="DB106" s="187" t="n"/>
      <c r="DC106" s="187" t="n"/>
      <c r="DD106" s="187" t="n"/>
      <c r="DE106" s="187" t="n"/>
      <c r="DF106" s="188" t="n"/>
      <c r="DG106" s="176" t="n"/>
      <c r="DH106" s="176" t="n"/>
      <c r="DI106" s="192" t="n"/>
      <c r="DJ106" s="187" t="n"/>
      <c r="DK106" s="187" t="n"/>
      <c r="DL106" s="187" t="n"/>
      <c r="DM106" s="187" t="n"/>
      <c r="DN106" s="188" t="n"/>
      <c r="DO106" s="176" t="n"/>
      <c r="DP106" s="176" t="n"/>
      <c r="DQ106" s="176" t="n"/>
      <c r="DR106" s="181" t="inlineStr">
        <is>
          <t>FREQUÊNCIA</t>
        </is>
      </c>
      <c r="DS106" s="182" t="n"/>
      <c r="DT106" s="183" t="n"/>
      <c r="DU106" s="185" t="n"/>
      <c r="DV106" s="182" t="n"/>
      <c r="DW106" s="183" t="n"/>
      <c r="DX106" s="176" t="n"/>
      <c r="DY106" s="176" t="n"/>
      <c r="DZ106" s="181" t="inlineStr">
        <is>
          <t>FREQUÊNCIA</t>
        </is>
      </c>
      <c r="EA106" s="182" t="n"/>
      <c r="EB106" s="183" t="n"/>
      <c r="EC106" s="185" t="n"/>
      <c r="ED106" s="182" t="n"/>
      <c r="EE106" s="183" t="n"/>
      <c r="EF106" s="176" t="n"/>
      <c r="EG106" s="176" t="n"/>
      <c r="EH106" s="176" t="n"/>
      <c r="EI106" s="176" t="n"/>
      <c r="EJ106" s="176" t="n"/>
      <c r="EK106" s="176" t="n"/>
      <c r="EL106" s="176" t="n"/>
      <c r="EM106" s="176" t="n"/>
      <c r="EN106" s="176" t="n"/>
      <c r="EO106" s="176" t="n"/>
      <c r="EP106" s="176" t="n"/>
      <c r="EQ106" s="176" t="n"/>
      <c r="ER106" s="176" t="n"/>
      <c r="ES106" s="176" t="n"/>
      <c r="ET106" s="176" t="n"/>
      <c r="EU106" s="176" t="n"/>
      <c r="EV106" s="176" t="n"/>
      <c r="EW106" s="176" t="n"/>
      <c r="EX106" s="176" t="n"/>
      <c r="EY106" s="176" t="n"/>
      <c r="EZ106" s="185" t="inlineStr">
        <is>
          <t>Forma</t>
        </is>
      </c>
      <c r="FA106" s="182" t="n"/>
      <c r="FB106" s="182" t="n"/>
      <c r="FC106" s="183" t="n"/>
      <c r="FD106" s="184" t="b">
        <v>0</v>
      </c>
      <c r="FE106" s="183" t="n"/>
      <c r="FF106" s="176" t="n"/>
      <c r="FG106" s="176" t="n"/>
      <c r="FH106" s="185" t="inlineStr">
        <is>
          <t>Forma</t>
        </is>
      </c>
      <c r="FI106" s="182" t="n"/>
      <c r="FJ106" s="182" t="n"/>
      <c r="FK106" s="183" t="n"/>
      <c r="FL106" s="184" t="b">
        <v>0</v>
      </c>
      <c r="FM106" s="183" t="n"/>
      <c r="FN106" s="176" t="n"/>
      <c r="FO106" s="176" t="n"/>
      <c r="FP106" s="176" t="n"/>
      <c r="FQ106" s="193" t="n"/>
      <c r="FV106" s="194" t="n"/>
      <c r="FW106" s="176" t="n"/>
      <c r="FX106" s="176" t="n"/>
      <c r="FY106" s="193" t="n"/>
      <c r="GD106" s="194" t="n"/>
      <c r="GE106" s="176" t="n"/>
      <c r="GF106" s="176" t="n"/>
      <c r="GG106" s="176" t="n"/>
      <c r="GH106" s="189" t="n"/>
      <c r="GI106" s="190" t="n"/>
      <c r="GJ106" s="190" t="n"/>
      <c r="GK106" s="190" t="n"/>
      <c r="GL106" s="190" t="n"/>
      <c r="GM106" s="191" t="n"/>
      <c r="GN106" s="176" t="n"/>
      <c r="GO106" s="176" t="n"/>
      <c r="GP106" s="189" t="n"/>
      <c r="GQ106" s="190" t="n"/>
      <c r="GR106" s="190" t="n"/>
      <c r="GS106" s="190" t="n"/>
      <c r="GT106" s="190" t="n"/>
      <c r="GU106" s="191" t="n"/>
      <c r="GV106" s="176" t="n"/>
      <c r="GW106" s="176" t="n"/>
      <c r="GX106" s="176" t="n"/>
      <c r="GY106" s="181" t="inlineStr">
        <is>
          <t>DEFINIÇÃO</t>
        </is>
      </c>
      <c r="GZ106" s="182" t="n"/>
      <c r="HA106" s="182" t="n"/>
      <c r="HB106" s="182" t="n"/>
      <c r="HC106" s="182" t="n"/>
      <c r="HD106" s="183" t="n"/>
      <c r="HE106" s="176" t="n"/>
      <c r="HF106" s="176" t="n"/>
      <c r="HG106" s="181" t="inlineStr">
        <is>
          <t>DEFINIÇÃO</t>
        </is>
      </c>
      <c r="HH106" s="182" t="n"/>
      <c r="HI106" s="182" t="n"/>
      <c r="HJ106" s="182" t="n"/>
      <c r="HK106" s="182" t="n"/>
      <c r="HL106" s="183" t="n"/>
      <c r="HM106" s="176" t="n"/>
      <c r="HN106" s="176" t="n"/>
      <c r="HO106" s="176" t="n"/>
      <c r="HP106" s="181" t="inlineStr">
        <is>
          <t>REQUISITOS</t>
        </is>
      </c>
      <c r="HQ106" s="182" t="n"/>
      <c r="HR106" s="182" t="n"/>
      <c r="HS106" s="182" t="n"/>
      <c r="HT106" s="182" t="n"/>
      <c r="HU106" s="183" t="n"/>
      <c r="HV106" s="176" t="n"/>
      <c r="HW106" s="176" t="n"/>
      <c r="HX106" s="181" t="inlineStr">
        <is>
          <t>REQUISITOS</t>
        </is>
      </c>
      <c r="HY106" s="182" t="n"/>
      <c r="HZ106" s="182" t="n"/>
      <c r="IA106" s="182" t="n"/>
      <c r="IB106" s="182" t="n"/>
      <c r="IC106" s="183" t="n"/>
      <c r="ID106" s="176" t="n"/>
    </row>
    <row r="107" ht="21" customHeight="1">
      <c r="A107" s="176" t="n"/>
      <c r="B107" s="176" t="n"/>
      <c r="C107" s="186" t="n">
        <v>8</v>
      </c>
      <c r="D107" s="183" t="n"/>
      <c r="E107" s="197">
        <f>IF(DADOS_CONFIG!$AI$10="","","d"&amp;DADOS_CONFIG!$AI$10)</f>
        <v/>
      </c>
      <c r="F107" s="186" t="n"/>
      <c r="G107" s="186">
        <f>IF(DADOS_CONFIG!$S$15="Não","",IF(8&gt;'FICHA'!$AH$11,"",DADOS_CONFIG!AF9))</f>
        <v/>
      </c>
      <c r="H107" s="176" t="n"/>
      <c r="I107" s="176" t="n"/>
      <c r="J107" s="176" t="n"/>
      <c r="K107" s="176" t="n"/>
      <c r="L107" s="176" t="n"/>
      <c r="M107" s="176" t="n"/>
      <c r="N107" s="176" t="n"/>
      <c r="O107" s="176" t="n"/>
      <c r="P107" s="176" t="n"/>
      <c r="Q107" s="176" t="n"/>
      <c r="R107" s="176" t="n"/>
      <c r="S107" s="176" t="n"/>
      <c r="T107" s="181">
        <f>SWITCH('CONFIGURAÇÃO'!$T$101,"Origem","PERÍCIA 4","Marcante","","Menor","","Arma","PROPRIEDADE 1","Escudo","","Uniforme","","Item comum","","Ferramenta amaldiçoada","","")</f>
        <v/>
      </c>
      <c r="U107" s="183" t="n"/>
      <c r="V107" s="185" t="n"/>
      <c r="W107" s="182" t="n"/>
      <c r="X107" s="182" t="n"/>
      <c r="Y107" s="183" t="n"/>
      <c r="Z107" s="176" t="n"/>
      <c r="AA107" s="176" t="n"/>
      <c r="AB107" s="181">
        <f>SWITCH('CONFIGURAÇÃO'!$AB$101,"Origem","PERÍCIA 4","Marcante","","Menor","","Arma","PROPRIEDADE 1","Escudo","","Uniforme","","Item comum","","Ferramenta amaldiçoada","","")</f>
        <v/>
      </c>
      <c r="AC107" s="183" t="n"/>
      <c r="AD107" s="185" t="n"/>
      <c r="AE107" s="182" t="n"/>
      <c r="AF107" s="182" t="n"/>
      <c r="AG107" s="183" t="n"/>
      <c r="AH107" s="176" t="n"/>
      <c r="AI107" s="176" t="n"/>
      <c r="AJ107" s="176" t="n"/>
      <c r="AK107" s="176" t="n"/>
      <c r="AL107" s="176" t="n"/>
      <c r="AM107" s="176" t="n"/>
      <c r="AN107" s="176" t="n"/>
      <c r="AO107" s="176" t="n"/>
      <c r="AP107" s="176" t="n"/>
      <c r="AQ107" s="176" t="n"/>
      <c r="AR107" s="176" t="n"/>
      <c r="AS107" s="176" t="n"/>
      <c r="AT107" s="176" t="n"/>
      <c r="AU107" s="176" t="n"/>
      <c r="AV107" s="176" t="n"/>
      <c r="AW107" s="176" t="n"/>
      <c r="AX107" s="176" t="n"/>
      <c r="AY107" s="176" t="n"/>
      <c r="AZ107" s="176" t="n"/>
      <c r="BA107" s="176" t="n"/>
      <c r="BB107" s="176" t="n"/>
      <c r="BC107" s="176" t="n"/>
      <c r="BD107" s="176" t="n"/>
      <c r="BE107" s="176" t="n"/>
      <c r="BF107" s="176" t="n"/>
      <c r="BG107" s="176" t="n"/>
      <c r="BH107" s="176" t="n"/>
      <c r="BI107" s="176" t="n"/>
      <c r="BJ107" s="176" t="n"/>
      <c r="BK107" s="176" t="n"/>
      <c r="BL107" s="176" t="n"/>
      <c r="BM107" s="176" t="n"/>
      <c r="BN107" s="176" t="n"/>
      <c r="BO107" s="176" t="n"/>
      <c r="BP107" s="176" t="n"/>
      <c r="BQ107" s="176" t="n"/>
      <c r="BR107" s="176" t="n"/>
      <c r="BS107" s="176" t="n"/>
      <c r="BT107" s="176" t="n"/>
      <c r="BU107" s="176" t="n"/>
      <c r="BV107" s="176" t="n"/>
      <c r="BW107" s="176" t="n"/>
      <c r="BX107" s="176" t="n"/>
      <c r="BY107" s="176" t="n"/>
      <c r="BZ107" s="176" t="n"/>
      <c r="CA107" s="176" t="n"/>
      <c r="CB107" s="176" t="n"/>
      <c r="CC107" s="176" t="n"/>
      <c r="CD107" s="176" t="n"/>
      <c r="CE107" s="176" t="n"/>
      <c r="CF107" s="176" t="n"/>
      <c r="CG107" s="176" t="n"/>
      <c r="CH107" s="176" t="n"/>
      <c r="CI107" s="176" t="n"/>
      <c r="CJ107" s="176" t="n"/>
      <c r="CK107" s="176" t="n"/>
      <c r="CL107" s="176" t="n"/>
      <c r="CM107" s="176" t="n"/>
      <c r="CN107" s="176" t="n"/>
      <c r="CO107" s="176" t="n"/>
      <c r="CP107" s="176" t="n"/>
      <c r="CQ107" s="176" t="n"/>
      <c r="CR107" s="176" t="n"/>
      <c r="CS107" s="176" t="n"/>
      <c r="CT107" s="176" t="n"/>
      <c r="CU107" s="176" t="n"/>
      <c r="CV107" s="176" t="n"/>
      <c r="CW107" s="176" t="n"/>
      <c r="CX107" s="176" t="n"/>
      <c r="CY107" s="176" t="n"/>
      <c r="CZ107" s="176" t="n"/>
      <c r="DA107" s="193" t="n"/>
      <c r="DF107" s="194" t="n"/>
      <c r="DG107" s="176" t="n"/>
      <c r="DH107" s="176" t="n"/>
      <c r="DI107" s="193" t="n"/>
      <c r="DN107" s="194" t="n"/>
      <c r="DO107" s="176" t="n"/>
      <c r="DP107" s="176" t="n"/>
      <c r="DQ107" s="176" t="n"/>
      <c r="DR107" s="176" t="n"/>
      <c r="DS107" s="176" t="n"/>
      <c r="DT107" s="176" t="n"/>
      <c r="DU107" s="176" t="n"/>
      <c r="DV107" s="176" t="n"/>
      <c r="DW107" s="176" t="n"/>
      <c r="DX107" s="176" t="n"/>
      <c r="DY107" s="176" t="n"/>
      <c r="DZ107" s="176" t="n"/>
      <c r="EA107" s="176" t="n"/>
      <c r="EB107" s="176" t="n"/>
      <c r="EC107" s="176" t="n"/>
      <c r="ED107" s="176" t="n"/>
      <c r="EE107" s="176" t="n"/>
      <c r="EF107" s="176" t="n"/>
      <c r="EG107" s="176" t="n"/>
      <c r="EH107" s="176" t="n"/>
      <c r="EI107" s="181" t="inlineStr">
        <is>
          <t>EFEITO E REQUISITOS</t>
        </is>
      </c>
      <c r="EJ107" s="182" t="n"/>
      <c r="EK107" s="182" t="n"/>
      <c r="EL107" s="182" t="n"/>
      <c r="EM107" s="182" t="n"/>
      <c r="EN107" s="183" t="n"/>
      <c r="EO107" s="176" t="n"/>
      <c r="EP107" s="176" t="n"/>
      <c r="EQ107" s="181" t="inlineStr">
        <is>
          <t>EFEITO E REQUISITOS</t>
        </is>
      </c>
      <c r="ER107" s="182" t="n"/>
      <c r="ES107" s="182" t="n"/>
      <c r="ET107" s="182" t="n"/>
      <c r="EU107" s="182" t="n"/>
      <c r="EV107" s="183" t="n"/>
      <c r="EW107" s="176" t="n"/>
      <c r="EX107" s="176" t="n"/>
      <c r="EY107" s="176" t="n"/>
      <c r="EZ107" s="181" t="inlineStr">
        <is>
          <t>NOME</t>
        </is>
      </c>
      <c r="FA107" s="182" t="n"/>
      <c r="FB107" s="182" t="n"/>
      <c r="FC107" s="182" t="n"/>
      <c r="FD107" s="182" t="n"/>
      <c r="FE107" s="183" t="n"/>
      <c r="FF107" s="176" t="n"/>
      <c r="FG107" s="176" t="n"/>
      <c r="FH107" s="181" t="inlineStr">
        <is>
          <t>NOME</t>
        </is>
      </c>
      <c r="FI107" s="182" t="n"/>
      <c r="FJ107" s="182" t="n"/>
      <c r="FK107" s="182" t="n"/>
      <c r="FL107" s="182" t="n"/>
      <c r="FM107" s="183" t="n"/>
      <c r="FN107" s="176" t="n"/>
      <c r="FO107" s="176" t="n"/>
      <c r="FP107" s="176" t="n"/>
      <c r="FQ107" s="193" t="n"/>
      <c r="FV107" s="194" t="n"/>
      <c r="FW107" s="176" t="n"/>
      <c r="FX107" s="176" t="n"/>
      <c r="FY107" s="193" t="n"/>
      <c r="GD107" s="194" t="n"/>
      <c r="GE107" s="176" t="n"/>
      <c r="GF107" s="176" t="n"/>
      <c r="GG107" s="176" t="n"/>
      <c r="GH107" s="176" t="n"/>
      <c r="GI107" s="176" t="n"/>
      <c r="GJ107" s="176" t="n"/>
      <c r="GK107" s="176" t="n"/>
      <c r="GL107" s="176" t="n"/>
      <c r="GM107" s="176" t="n"/>
      <c r="GN107" s="176" t="n"/>
      <c r="GO107" s="176" t="n"/>
      <c r="GP107" s="176" t="n"/>
      <c r="GQ107" s="176" t="n"/>
      <c r="GR107" s="176" t="n"/>
      <c r="GS107" s="176" t="n"/>
      <c r="GT107" s="176" t="n"/>
      <c r="GU107" s="176" t="n"/>
      <c r="GV107" s="176" t="n"/>
      <c r="GW107" s="176" t="n"/>
      <c r="GX107" s="176" t="n"/>
      <c r="GY107" s="192" t="n"/>
      <c r="GZ107" s="187" t="n"/>
      <c r="HA107" s="187" t="n"/>
      <c r="HB107" s="187" t="n"/>
      <c r="HC107" s="187" t="n"/>
      <c r="HD107" s="188" t="n"/>
      <c r="HE107" s="176" t="n"/>
      <c r="HF107" s="176" t="n"/>
      <c r="HG107" s="192" t="n"/>
      <c r="HH107" s="187" t="n"/>
      <c r="HI107" s="187" t="n"/>
      <c r="HJ107" s="187" t="n"/>
      <c r="HK107" s="187" t="n"/>
      <c r="HL107" s="188" t="n"/>
      <c r="HM107" s="176" t="n"/>
      <c r="HN107" s="176" t="n"/>
      <c r="HO107" s="176" t="n"/>
      <c r="HP107" s="192" t="n"/>
      <c r="HQ107" s="187" t="n"/>
      <c r="HR107" s="187" t="n"/>
      <c r="HS107" s="187" t="n"/>
      <c r="HT107" s="187" t="n"/>
      <c r="HU107" s="188" t="n"/>
      <c r="HV107" s="176" t="n"/>
      <c r="HW107" s="176" t="n"/>
      <c r="HX107" s="192" t="n"/>
      <c r="HY107" s="187" t="n"/>
      <c r="HZ107" s="187" t="n"/>
      <c r="IA107" s="187" t="n"/>
      <c r="IB107" s="187" t="n"/>
      <c r="IC107" s="188" t="n"/>
      <c r="ID107" s="176" t="n"/>
    </row>
    <row r="108" ht="21" customHeight="1">
      <c r="A108" s="176" t="n"/>
      <c r="B108" s="176" t="n"/>
      <c r="C108" s="186" t="n">
        <v>9</v>
      </c>
      <c r="D108" s="183" t="n"/>
      <c r="E108" s="197">
        <f>IF(DADOS_CONFIG!$AI$10="","","d"&amp;DADOS_CONFIG!$AI$10)</f>
        <v/>
      </c>
      <c r="F108" s="186" t="n"/>
      <c r="G108" s="186">
        <f>IF(DADOS_CONFIG!$S$15="Não","",IF(9&gt;'FICHA'!$AH$11,"",DADOS_CONFIG!AF10))</f>
        <v/>
      </c>
      <c r="H108" s="176" t="n"/>
      <c r="I108" s="176" t="n"/>
      <c r="J108" s="176" t="n"/>
      <c r="K108" s="176" t="n"/>
      <c r="L108" s="176" t="n"/>
      <c r="M108" s="176" t="n"/>
      <c r="N108" s="176" t="n"/>
      <c r="O108" s="176" t="n"/>
      <c r="P108" s="176" t="n"/>
      <c r="Q108" s="176" t="n"/>
      <c r="R108" s="176" t="n"/>
      <c r="S108" s="176" t="n"/>
      <c r="T108" s="181">
        <f>SWITCH('CONFIGURAÇÃO'!$T$101,"Origem","ROTA","Marcante","","Menor","","Arma","PROPRIEDADE 2","Escudo","","Uniforme","","Item comum","","Ferramenta amaldiçoada","","")</f>
        <v/>
      </c>
      <c r="U108" s="183" t="n"/>
      <c r="V108" s="185" t="n"/>
      <c r="W108" s="182" t="n"/>
      <c r="X108" s="182" t="n"/>
      <c r="Y108" s="183" t="n"/>
      <c r="Z108" s="176" t="n"/>
      <c r="AA108" s="176" t="n"/>
      <c r="AB108" s="181">
        <f>SWITCH('CONFIGURAÇÃO'!$AB$101,"Origem","ROTA","Marcante","","Menor","","Arma","PROPRIEDADE 2","Escudo","","Uniforme","","Item comum","","Ferramenta amaldiçoada","","")</f>
        <v/>
      </c>
      <c r="AC108" s="183" t="n"/>
      <c r="AD108" s="185" t="n"/>
      <c r="AE108" s="182" t="n"/>
      <c r="AF108" s="182" t="n"/>
      <c r="AG108" s="183" t="n"/>
      <c r="AH108" s="176" t="n"/>
      <c r="AI108" s="176" t="n"/>
      <c r="AJ108" s="176" t="n"/>
      <c r="AK108" s="176" t="n"/>
      <c r="AL108" s="176" t="n"/>
      <c r="AM108" s="176" t="n"/>
      <c r="AN108" s="176" t="n"/>
      <c r="AO108" s="176" t="n"/>
      <c r="AP108" s="176" t="n"/>
      <c r="AQ108" s="176" t="n"/>
      <c r="AR108" s="176" t="n"/>
      <c r="AS108" s="176" t="n"/>
      <c r="AT108" s="176" t="n"/>
      <c r="AU108" s="176" t="n"/>
      <c r="AV108" s="176" t="n"/>
      <c r="AW108" s="176" t="n"/>
      <c r="AX108" s="176" t="n"/>
      <c r="AY108" s="176" t="n"/>
      <c r="AZ108" s="176" t="n"/>
      <c r="BA108" s="176" t="n"/>
      <c r="BB108" s="176" t="n"/>
      <c r="BC108" s="176" t="n"/>
      <c r="BD108" s="176" t="n"/>
      <c r="BE108" s="176" t="n"/>
      <c r="BF108" s="176" t="n"/>
      <c r="BG108" s="176" t="n"/>
      <c r="BH108" s="176" t="n"/>
      <c r="BI108" s="176" t="n"/>
      <c r="BJ108" s="176" t="n"/>
      <c r="BK108" s="176" t="n"/>
      <c r="BL108" s="176" t="n"/>
      <c r="BM108" s="176" t="n"/>
      <c r="BN108" s="176" t="n"/>
      <c r="BO108" s="176" t="n"/>
      <c r="BP108" s="176" t="n"/>
      <c r="BQ108" s="176" t="n"/>
      <c r="BR108" s="176" t="n"/>
      <c r="BS108" s="176" t="n"/>
      <c r="BT108" s="176" t="n"/>
      <c r="BU108" s="176" t="n"/>
      <c r="BV108" s="176" t="n"/>
      <c r="BW108" s="176" t="n"/>
      <c r="BX108" s="176" t="n"/>
      <c r="BY108" s="176" t="n"/>
      <c r="BZ108" s="176" t="n"/>
      <c r="CA108" s="176" t="n"/>
      <c r="CB108" s="176" t="n"/>
      <c r="CC108" s="176" t="n"/>
      <c r="CD108" s="176" t="n"/>
      <c r="CE108" s="176" t="n"/>
      <c r="CF108" s="176" t="n"/>
      <c r="CG108" s="176" t="n"/>
      <c r="CH108" s="176" t="n"/>
      <c r="CI108" s="176" t="n"/>
      <c r="CJ108" s="176" t="n"/>
      <c r="CK108" s="176" t="n"/>
      <c r="CL108" s="176" t="n"/>
      <c r="CM108" s="176" t="n"/>
      <c r="CN108" s="176" t="n"/>
      <c r="CO108" s="176" t="n"/>
      <c r="CP108" s="176" t="n"/>
      <c r="CQ108" s="176" t="n"/>
      <c r="CR108" s="176" t="n"/>
      <c r="CS108" s="176" t="n"/>
      <c r="CT108" s="176" t="n"/>
      <c r="CU108" s="176" t="n"/>
      <c r="CV108" s="176" t="n"/>
      <c r="CW108" s="176" t="n"/>
      <c r="CX108" s="176" t="n"/>
      <c r="CY108" s="176" t="n"/>
      <c r="CZ108" s="176" t="n"/>
      <c r="DA108" s="193" t="n"/>
      <c r="DF108" s="194" t="n"/>
      <c r="DG108" s="176" t="n"/>
      <c r="DH108" s="176" t="n"/>
      <c r="DI108" s="193" t="n"/>
      <c r="DN108" s="194" t="n"/>
      <c r="DO108" s="176" t="n"/>
      <c r="DP108" s="176" t="n"/>
      <c r="DQ108" s="176" t="n"/>
      <c r="DR108" s="181" t="inlineStr">
        <is>
          <t>EFEITO E REQUISITOS</t>
        </is>
      </c>
      <c r="DS108" s="182" t="n"/>
      <c r="DT108" s="182" t="n"/>
      <c r="DU108" s="182" t="n"/>
      <c r="DV108" s="182" t="n"/>
      <c r="DW108" s="183" t="n"/>
      <c r="DX108" s="176" t="n"/>
      <c r="DY108" s="176" t="n"/>
      <c r="DZ108" s="181" t="inlineStr">
        <is>
          <t>EFEITO E REQUISITOS</t>
        </is>
      </c>
      <c r="EA108" s="182" t="n"/>
      <c r="EB108" s="182" t="n"/>
      <c r="EC108" s="182" t="n"/>
      <c r="ED108" s="182" t="n"/>
      <c r="EE108" s="183" t="n"/>
      <c r="EF108" s="176" t="n"/>
      <c r="EG108" s="176" t="n"/>
      <c r="EH108" s="176" t="n"/>
      <c r="EI108" s="192" t="n"/>
      <c r="EJ108" s="187" t="n"/>
      <c r="EK108" s="187" t="n"/>
      <c r="EL108" s="187" t="n"/>
      <c r="EM108" s="187" t="n"/>
      <c r="EN108" s="188" t="n"/>
      <c r="EO108" s="176" t="n"/>
      <c r="EP108" s="176" t="n"/>
      <c r="EQ108" s="192" t="n"/>
      <c r="ER108" s="187" t="n"/>
      <c r="ES108" s="187" t="n"/>
      <c r="ET108" s="187" t="n"/>
      <c r="EU108" s="187" t="n"/>
      <c r="EV108" s="188" t="n"/>
      <c r="EW108" s="176" t="n"/>
      <c r="EX108" s="176" t="n"/>
      <c r="EY108" s="176" t="n"/>
      <c r="EZ108" s="185" t="n"/>
      <c r="FA108" s="182" t="n"/>
      <c r="FB108" s="182" t="n"/>
      <c r="FC108" s="182" t="n"/>
      <c r="FD108" s="182" t="n"/>
      <c r="FE108" s="183" t="n"/>
      <c r="FF108" s="176" t="n"/>
      <c r="FG108" s="176" t="n"/>
      <c r="FH108" s="185" t="n"/>
      <c r="FI108" s="182" t="n"/>
      <c r="FJ108" s="182" t="n"/>
      <c r="FK108" s="182" t="n"/>
      <c r="FL108" s="182" t="n"/>
      <c r="FM108" s="183" t="n"/>
      <c r="FN108" s="176" t="n"/>
      <c r="FO108" s="176" t="n"/>
      <c r="FP108" s="176" t="n"/>
      <c r="FQ108" s="189" t="n"/>
      <c r="FR108" s="190" t="n"/>
      <c r="FS108" s="190" t="n"/>
      <c r="FT108" s="190" t="n"/>
      <c r="FU108" s="190" t="n"/>
      <c r="FV108" s="191" t="n"/>
      <c r="FW108" s="176" t="n"/>
      <c r="FX108" s="176" t="n"/>
      <c r="FY108" s="189" t="n"/>
      <c r="FZ108" s="190" t="n"/>
      <c r="GA108" s="190" t="n"/>
      <c r="GB108" s="190" t="n"/>
      <c r="GC108" s="190" t="n"/>
      <c r="GD108" s="191" t="n"/>
      <c r="GE108" s="176" t="n"/>
      <c r="GF108" s="176" t="n"/>
      <c r="GG108" s="176" t="n"/>
      <c r="GH108" s="176" t="n"/>
      <c r="GI108" s="176" t="n"/>
      <c r="GJ108" s="176" t="n"/>
      <c r="GK108" s="176" t="n"/>
      <c r="GL108" s="176" t="n"/>
      <c r="GM108" s="176" t="n"/>
      <c r="GN108" s="176" t="n"/>
      <c r="GO108" s="176" t="n"/>
      <c r="GP108" s="176" t="n"/>
      <c r="GQ108" s="176" t="n"/>
      <c r="GR108" s="176" t="n"/>
      <c r="GS108" s="176" t="n"/>
      <c r="GT108" s="176" t="n"/>
      <c r="GU108" s="176" t="n"/>
      <c r="GV108" s="176" t="n"/>
      <c r="GW108" s="176" t="n"/>
      <c r="GX108" s="176" t="n"/>
      <c r="GY108" s="193" t="n"/>
      <c r="HD108" s="194" t="n"/>
      <c r="HE108" s="176" t="n"/>
      <c r="HF108" s="176" t="n"/>
      <c r="HG108" s="193" t="n"/>
      <c r="HL108" s="194" t="n"/>
      <c r="HM108" s="176" t="n"/>
      <c r="HN108" s="176" t="n"/>
      <c r="HO108" s="176" t="n"/>
      <c r="HP108" s="193" t="n"/>
      <c r="HU108" s="194" t="n"/>
      <c r="HV108" s="176" t="n"/>
      <c r="HW108" s="176" t="n"/>
      <c r="HX108" s="193" t="n"/>
      <c r="IC108" s="194" t="n"/>
      <c r="ID108" s="176" t="n"/>
    </row>
    <row r="109" ht="21" customHeight="1">
      <c r="A109" s="176" t="n"/>
      <c r="B109" s="176" t="n"/>
      <c r="C109" s="186" t="n">
        <v>10</v>
      </c>
      <c r="D109" s="183" t="n"/>
      <c r="E109" s="197">
        <f>IF(DADOS_CONFIG!$AI$10="","","d"&amp;DADOS_CONFIG!$AI$10)</f>
        <v/>
      </c>
      <c r="F109" s="186" t="n"/>
      <c r="G109" s="186">
        <f>IF(DADOS_CONFIG!$S$15="Não","",IF(10&gt;'FICHA'!$AH$11,"",DADOS_CONFIG!AF11))</f>
        <v/>
      </c>
      <c r="H109" s="176" t="n"/>
      <c r="I109" s="176" t="n"/>
      <c r="J109" s="176" t="n"/>
      <c r="K109" s="176" t="n"/>
      <c r="L109" s="176" t="n"/>
      <c r="M109" s="176" t="n"/>
      <c r="N109" s="176" t="n"/>
      <c r="O109" s="176" t="n"/>
      <c r="P109" s="176" t="n"/>
      <c r="Q109" s="176" t="n"/>
      <c r="R109" s="176" t="n"/>
      <c r="S109" s="176" t="n"/>
      <c r="T109" s="181">
        <f>SWITCH('CONFIGURAÇÃO'!$T$101,"Origem","BASE DO LIVRO","Marcante","","Menor","","Arma","PROPRIEDADE 3","Escudo","","Uniforme","","Item comum","","Ferramenta amaldiçoada","","")</f>
        <v/>
      </c>
      <c r="U109" s="183" t="n"/>
      <c r="V109" s="185" t="n"/>
      <c r="W109" s="182" t="n"/>
      <c r="X109" s="182" t="n"/>
      <c r="Y109" s="183" t="n"/>
      <c r="Z109" s="176" t="n"/>
      <c r="AA109" s="176" t="n"/>
      <c r="AB109" s="181">
        <f>SWITCH('CONFIGURAÇÃO'!$AB$101,"Origem","BASE DO LIVRO","Marcante","","Menor","","Arma","PROPRIEDADE 3","Escudo","","Uniforme","","Item comum","","Ferramenta amaldiçoada","","")</f>
        <v/>
      </c>
      <c r="AC109" s="183" t="n"/>
      <c r="AD109" s="185" t="n"/>
      <c r="AE109" s="182" t="n"/>
      <c r="AF109" s="182" t="n"/>
      <c r="AG109" s="183" t="n"/>
      <c r="AH109" s="176" t="n"/>
      <c r="AI109" s="176" t="n"/>
      <c r="AJ109" s="176" t="n"/>
      <c r="AK109" s="176" t="n"/>
      <c r="AL109" s="176" t="n"/>
      <c r="AM109" s="176" t="n"/>
      <c r="AN109" s="176" t="n"/>
      <c r="AO109" s="176" t="n"/>
      <c r="AP109" s="176" t="n"/>
      <c r="AQ109" s="176" t="n"/>
      <c r="AR109" s="176" t="n"/>
      <c r="AS109" s="176" t="n"/>
      <c r="AT109" s="176" t="n"/>
      <c r="AU109" s="176" t="n"/>
      <c r="AV109" s="176" t="n"/>
      <c r="AW109" s="176" t="n"/>
      <c r="AX109" s="176" t="n"/>
      <c r="AY109" s="176" t="n"/>
      <c r="AZ109" s="176" t="n"/>
      <c r="BA109" s="176" t="n"/>
      <c r="BB109" s="176" t="n"/>
      <c r="BC109" s="176" t="n"/>
      <c r="BD109" s="176" t="n"/>
      <c r="BE109" s="176" t="n"/>
      <c r="BF109" s="176" t="n"/>
      <c r="BG109" s="176" t="n"/>
      <c r="BH109" s="176" t="n"/>
      <c r="BI109" s="176" t="n"/>
      <c r="BJ109" s="176" t="n"/>
      <c r="BK109" s="176" t="n"/>
      <c r="BL109" s="176" t="n"/>
      <c r="BM109" s="176" t="n"/>
      <c r="BN109" s="176" t="n"/>
      <c r="BO109" s="176" t="n"/>
      <c r="BP109" s="176" t="n"/>
      <c r="BQ109" s="176" t="n"/>
      <c r="BR109" s="176" t="n"/>
      <c r="BS109" s="176" t="n"/>
      <c r="BT109" s="176" t="n"/>
      <c r="BU109" s="176" t="n"/>
      <c r="BV109" s="176" t="n"/>
      <c r="BW109" s="176" t="n"/>
      <c r="BX109" s="176" t="n"/>
      <c r="BY109" s="176" t="n"/>
      <c r="BZ109" s="176" t="n"/>
      <c r="CA109" s="176" t="n"/>
      <c r="CB109" s="176" t="n"/>
      <c r="CC109" s="176" t="n"/>
      <c r="CD109" s="176" t="n"/>
      <c r="CE109" s="176" t="n"/>
      <c r="CF109" s="176" t="n"/>
      <c r="CG109" s="176" t="n"/>
      <c r="CH109" s="176" t="n"/>
      <c r="CI109" s="176" t="n"/>
      <c r="CJ109" s="176" t="n"/>
      <c r="CK109" s="176" t="n"/>
      <c r="CL109" s="176" t="n"/>
      <c r="CM109" s="176" t="n"/>
      <c r="CN109" s="176" t="n"/>
      <c r="CO109" s="176" t="n"/>
      <c r="CP109" s="176" t="n"/>
      <c r="CQ109" s="176" t="n"/>
      <c r="CR109" s="176" t="n"/>
      <c r="CS109" s="176" t="n"/>
      <c r="CT109" s="176" t="n"/>
      <c r="CU109" s="176" t="n"/>
      <c r="CV109" s="176" t="n"/>
      <c r="CW109" s="176" t="n"/>
      <c r="CX109" s="176" t="n"/>
      <c r="CY109" s="176" t="n"/>
      <c r="CZ109" s="176" t="n"/>
      <c r="DA109" s="193" t="n"/>
      <c r="DF109" s="194" t="n"/>
      <c r="DG109" s="176" t="n"/>
      <c r="DH109" s="176" t="n"/>
      <c r="DI109" s="193" t="n"/>
      <c r="DN109" s="194" t="n"/>
      <c r="DO109" s="176" t="n"/>
      <c r="DP109" s="176" t="n"/>
      <c r="DQ109" s="176" t="n"/>
      <c r="DR109" s="192" t="n"/>
      <c r="DS109" s="187" t="n"/>
      <c r="DT109" s="187" t="n"/>
      <c r="DU109" s="187" t="n"/>
      <c r="DV109" s="187" t="n"/>
      <c r="DW109" s="188" t="n"/>
      <c r="DX109" s="176" t="n"/>
      <c r="DY109" s="176" t="n"/>
      <c r="DZ109" s="192" t="n"/>
      <c r="EA109" s="187" t="n"/>
      <c r="EB109" s="187" t="n"/>
      <c r="EC109" s="187" t="n"/>
      <c r="ED109" s="187" t="n"/>
      <c r="EE109" s="188" t="n"/>
      <c r="EF109" s="176" t="n"/>
      <c r="EG109" s="176" t="n"/>
      <c r="EH109" s="176" t="n"/>
      <c r="EI109" s="193" t="n"/>
      <c r="EN109" s="194" t="n"/>
      <c r="EO109" s="176" t="n"/>
      <c r="EP109" s="176" t="n"/>
      <c r="EQ109" s="193" t="n"/>
      <c r="EV109" s="194" t="n"/>
      <c r="EW109" s="176" t="n"/>
      <c r="EX109" s="176" t="n"/>
      <c r="EY109" s="176" t="n"/>
      <c r="EZ109" s="181" t="inlineStr">
        <is>
          <t>BASE DO LIVRO</t>
        </is>
      </c>
      <c r="FA109" s="182" t="n"/>
      <c r="FB109" s="183" t="n"/>
      <c r="FC109" s="185" t="n"/>
      <c r="FD109" s="182" t="n"/>
      <c r="FE109" s="183" t="n"/>
      <c r="FF109" s="176" t="n"/>
      <c r="FG109" s="176" t="n"/>
      <c r="FH109" s="181" t="inlineStr">
        <is>
          <t>BASE DO LIVRO</t>
        </is>
      </c>
      <c r="FI109" s="182" t="n"/>
      <c r="FJ109" s="183" t="n"/>
      <c r="FK109" s="185" t="n"/>
      <c r="FL109" s="182" t="n"/>
      <c r="FM109" s="183" t="n"/>
      <c r="FN109" s="176" t="n"/>
      <c r="FO109" s="176" t="n"/>
      <c r="FP109" s="176" t="n"/>
      <c r="FQ109" s="176" t="n"/>
      <c r="FR109" s="176" t="n"/>
      <c r="FS109" s="176" t="n"/>
      <c r="FT109" s="176" t="n"/>
      <c r="FU109" s="176" t="n"/>
      <c r="FV109" s="176" t="n"/>
      <c r="FW109" s="176" t="n"/>
      <c r="FX109" s="176" t="n"/>
      <c r="FY109" s="176" t="n"/>
      <c r="FZ109" s="176" t="n"/>
      <c r="GA109" s="176" t="n"/>
      <c r="GB109" s="176" t="n"/>
      <c r="GC109" s="176" t="n"/>
      <c r="GD109" s="176" t="n"/>
      <c r="GE109" s="176" t="n"/>
      <c r="GF109" s="176" t="n"/>
      <c r="GG109" s="176" t="n"/>
      <c r="GH109" s="180">
        <f>IF('DADOS_TALENTOS'!$I8="","","⚠ "&amp;'DADOS_TALENTOS'!$I8)</f>
        <v/>
      </c>
      <c r="GN109" s="176" t="n"/>
      <c r="GO109" s="176" t="n"/>
      <c r="GP109" s="180">
        <f>IF('DADOS_TALENTOS'!$I9="","","⚠ "&amp;'DADOS_TALENTOS'!$I9)</f>
        <v/>
      </c>
      <c r="GV109" s="176" t="n"/>
      <c r="GW109" s="176" t="n"/>
      <c r="GX109" s="176" t="n"/>
      <c r="GY109" s="189" t="n"/>
      <c r="GZ109" s="190" t="n"/>
      <c r="HA109" s="190" t="n"/>
      <c r="HB109" s="190" t="n"/>
      <c r="HC109" s="190" t="n"/>
      <c r="HD109" s="191" t="n"/>
      <c r="HE109" s="176" t="n"/>
      <c r="HF109" s="176" t="n"/>
      <c r="HG109" s="189" t="n"/>
      <c r="HH109" s="190" t="n"/>
      <c r="HI109" s="190" t="n"/>
      <c r="HJ109" s="190" t="n"/>
      <c r="HK109" s="190" t="n"/>
      <c r="HL109" s="191" t="n"/>
      <c r="HM109" s="176" t="n"/>
      <c r="HN109" s="176" t="n"/>
      <c r="HO109" s="176" t="n"/>
      <c r="HP109" s="189" t="n"/>
      <c r="HQ109" s="190" t="n"/>
      <c r="HR109" s="190" t="n"/>
      <c r="HS109" s="190" t="n"/>
      <c r="HT109" s="190" t="n"/>
      <c r="HU109" s="191" t="n"/>
      <c r="HV109" s="176" t="n"/>
      <c r="HW109" s="176" t="n"/>
      <c r="HX109" s="189" t="n"/>
      <c r="HY109" s="190" t="n"/>
      <c r="HZ109" s="190" t="n"/>
      <c r="IA109" s="190" t="n"/>
      <c r="IB109" s="190" t="n"/>
      <c r="IC109" s="191" t="n"/>
      <c r="ID109" s="176" t="n"/>
    </row>
    <row r="110" ht="21" customHeight="1">
      <c r="A110" s="176" t="n"/>
      <c r="B110" s="176" t="n"/>
      <c r="C110" s="186" t="n">
        <v>11</v>
      </c>
      <c r="D110" s="183" t="n"/>
      <c r="E110" s="197">
        <f>IF(DADOS_CONFIG!$AI$10="","","d"&amp;DADOS_CONFIG!$AI$10)</f>
        <v/>
      </c>
      <c r="F110" s="186" t="n"/>
      <c r="G110" s="186">
        <f>IF(DADOS_CONFIG!$S$15="Não","",IF(11&gt;'FICHA'!$AH$11,"",DADOS_CONFIG!AF12))</f>
        <v/>
      </c>
      <c r="H110" s="176" t="n"/>
      <c r="I110" s="176" t="n"/>
      <c r="J110" s="176" t="n"/>
      <c r="K110" s="176" t="n"/>
      <c r="L110" s="176" t="n"/>
      <c r="M110" s="176" t="n"/>
      <c r="N110" s="176" t="n"/>
      <c r="O110" s="176" t="n"/>
      <c r="P110" s="176" t="n"/>
      <c r="Q110" s="176" t="n"/>
      <c r="R110" s="176" t="n"/>
      <c r="S110" s="176" t="n"/>
      <c r="T110" s="181">
        <f>SWITCH('CONFIGURAÇÃO'!$T$101,"Origem","OFÍCIO","Marcante","","Menor","","Arma","PROPRIEDADE 4","Escudo","","Uniforme","","Item comum","","Ferramenta amaldiçoada","","")</f>
        <v/>
      </c>
      <c r="U110" s="183" t="n"/>
      <c r="V110" s="185" t="n"/>
      <c r="W110" s="182" t="n"/>
      <c r="X110" s="182" t="n"/>
      <c r="Y110" s="183" t="n"/>
      <c r="Z110" s="176" t="n"/>
      <c r="AA110" s="176" t="n"/>
      <c r="AB110" s="181">
        <f>SWITCH('CONFIGURAÇÃO'!$AB$101,"Origem","OFÍCIO","Marcante","","Menor","","Arma","PROPRIEDADE 4","Escudo","","Uniforme","","Item comum","","Ferramenta amaldiçoada","","")</f>
        <v/>
      </c>
      <c r="AC110" s="183" t="n"/>
      <c r="AD110" s="185" t="n"/>
      <c r="AE110" s="182" t="n"/>
      <c r="AF110" s="182" t="n"/>
      <c r="AG110" s="183" t="n"/>
      <c r="AH110" s="176" t="n"/>
      <c r="AI110" s="176" t="n"/>
      <c r="AJ110" s="176" t="n"/>
      <c r="AK110" s="176" t="n"/>
      <c r="AL110" s="176" t="n"/>
      <c r="AM110" s="176" t="n"/>
      <c r="AN110" s="176" t="n"/>
      <c r="AO110" s="176" t="n"/>
      <c r="AP110" s="176" t="n"/>
      <c r="AQ110" s="176" t="n"/>
      <c r="AR110" s="176" t="n"/>
      <c r="AS110" s="176" t="n"/>
      <c r="AT110" s="176" t="n"/>
      <c r="AU110" s="176" t="n"/>
      <c r="AV110" s="176" t="n"/>
      <c r="AW110" s="176" t="n"/>
      <c r="AX110" s="176" t="n"/>
      <c r="AY110" s="176" t="n"/>
      <c r="AZ110" s="176" t="n"/>
      <c r="BA110" s="176" t="n"/>
      <c r="BB110" s="176" t="n"/>
      <c r="BC110" s="176" t="n"/>
      <c r="BD110" s="176" t="n"/>
      <c r="BE110" s="176" t="n"/>
      <c r="BF110" s="176" t="n"/>
      <c r="BG110" s="176" t="n"/>
      <c r="BH110" s="176" t="n"/>
      <c r="BI110" s="176" t="n"/>
      <c r="BJ110" s="176" t="n"/>
      <c r="BK110" s="176" t="n"/>
      <c r="BL110" s="176" t="n"/>
      <c r="BM110" s="176" t="n"/>
      <c r="BN110" s="176" t="n"/>
      <c r="BO110" s="176" t="n"/>
      <c r="BP110" s="176" t="n"/>
      <c r="BQ110" s="176" t="n"/>
      <c r="BR110" s="176" t="n"/>
      <c r="BS110" s="176" t="n"/>
      <c r="BT110" s="176" t="n"/>
      <c r="BU110" s="176" t="n"/>
      <c r="BV110" s="176" t="n"/>
      <c r="BW110" s="176" t="n"/>
      <c r="BX110" s="176" t="n"/>
      <c r="BY110" s="176" t="n"/>
      <c r="BZ110" s="176" t="n"/>
      <c r="CA110" s="176" t="n"/>
      <c r="CB110" s="176" t="n"/>
      <c r="CC110" s="176" t="n"/>
      <c r="CD110" s="176" t="n"/>
      <c r="CE110" s="176" t="n"/>
      <c r="CF110" s="176" t="n"/>
      <c r="CG110" s="176" t="n"/>
      <c r="CH110" s="176" t="n"/>
      <c r="CI110" s="176" t="n"/>
      <c r="CJ110" s="176" t="n"/>
      <c r="CK110" s="176" t="n"/>
      <c r="CL110" s="176" t="n"/>
      <c r="CM110" s="176" t="n"/>
      <c r="CN110" s="176" t="n"/>
      <c r="CO110" s="176" t="n"/>
      <c r="CP110" s="176" t="n"/>
      <c r="CQ110" s="176" t="n"/>
      <c r="CR110" s="176" t="n"/>
      <c r="CS110" s="176" t="n"/>
      <c r="CT110" s="176" t="n"/>
      <c r="CU110" s="176" t="n"/>
      <c r="CV110" s="176" t="n"/>
      <c r="CW110" s="176" t="n"/>
      <c r="CX110" s="176" t="n"/>
      <c r="CY110" s="176" t="n"/>
      <c r="CZ110" s="176" t="n"/>
      <c r="DA110" s="189" t="n"/>
      <c r="DB110" s="190" t="n"/>
      <c r="DC110" s="190" t="n"/>
      <c r="DD110" s="190" t="n"/>
      <c r="DE110" s="190" t="n"/>
      <c r="DF110" s="191" t="n"/>
      <c r="DG110" s="176" t="n"/>
      <c r="DH110" s="176" t="n"/>
      <c r="DI110" s="189" t="n"/>
      <c r="DJ110" s="190" t="n"/>
      <c r="DK110" s="190" t="n"/>
      <c r="DL110" s="190" t="n"/>
      <c r="DM110" s="190" t="n"/>
      <c r="DN110" s="191" t="n"/>
      <c r="DO110" s="176" t="n"/>
      <c r="DP110" s="176" t="n"/>
      <c r="DQ110" s="176" t="n"/>
      <c r="DR110" s="193" t="n"/>
      <c r="DW110" s="194" t="n"/>
      <c r="DX110" s="176" t="n"/>
      <c r="DY110" s="176" t="n"/>
      <c r="DZ110" s="193" t="n"/>
      <c r="EE110" s="194" t="n"/>
      <c r="EF110" s="176" t="n"/>
      <c r="EG110" s="176" t="n"/>
      <c r="EH110" s="176" t="n"/>
      <c r="EI110" s="193" t="n"/>
      <c r="EN110" s="194" t="n"/>
      <c r="EO110" s="176" t="n"/>
      <c r="EP110" s="176" t="n"/>
      <c r="EQ110" s="193" t="n"/>
      <c r="EV110" s="194" t="n"/>
      <c r="EW110" s="176" t="n"/>
      <c r="EX110" s="176" t="n"/>
      <c r="EY110" s="176" t="n"/>
      <c r="EZ110" s="181" t="inlineStr">
        <is>
          <t>FAMÍLIA</t>
        </is>
      </c>
      <c r="FA110" s="182" t="n"/>
      <c r="FB110" s="183" t="n"/>
      <c r="FC110" s="185" t="n"/>
      <c r="FD110" s="182" t="n"/>
      <c r="FE110" s="183" t="n"/>
      <c r="FF110" s="176" t="n"/>
      <c r="FG110" s="176" t="n"/>
      <c r="FH110" s="181" t="inlineStr">
        <is>
          <t>FAMÍLIA</t>
        </is>
      </c>
      <c r="FI110" s="182" t="n"/>
      <c r="FJ110" s="183" t="n"/>
      <c r="FK110" s="185" t="n"/>
      <c r="FL110" s="182" t="n"/>
      <c r="FM110" s="183" t="n"/>
      <c r="FN110" s="176" t="n"/>
      <c r="FO110" s="176" t="n"/>
      <c r="FP110" s="176" t="n"/>
      <c r="FQ110" s="181" t="inlineStr">
        <is>
          <t>EFEITO</t>
        </is>
      </c>
      <c r="FR110" s="182" t="n"/>
      <c r="FS110" s="182" t="n"/>
      <c r="FT110" s="182" t="n"/>
      <c r="FU110" s="182" t="n"/>
      <c r="FV110" s="183" t="n"/>
      <c r="FW110" s="176" t="n"/>
      <c r="FX110" s="176" t="n"/>
      <c r="FY110" s="181" t="inlineStr">
        <is>
          <t>EFEITO</t>
        </is>
      </c>
      <c r="FZ110" s="182" t="n"/>
      <c r="GA110" s="182" t="n"/>
      <c r="GB110" s="182" t="n"/>
      <c r="GC110" s="182" t="n"/>
      <c r="GD110" s="183" t="n"/>
      <c r="GE110" s="176" t="n"/>
      <c r="GF110" s="176" t="n"/>
      <c r="GG110" s="176" t="n"/>
      <c r="GN110" s="176" t="n"/>
      <c r="GO110" s="176" t="n"/>
      <c r="GV110" s="176" t="n"/>
      <c r="GW110" s="176" t="n"/>
      <c r="GX110" s="176" t="n"/>
      <c r="GY110" s="176" t="n"/>
      <c r="GZ110" s="176" t="n"/>
      <c r="HA110" s="176" t="n"/>
      <c r="HB110" s="176" t="n"/>
      <c r="HC110" s="176" t="n"/>
      <c r="HD110" s="176" t="n"/>
      <c r="HE110" s="176" t="n"/>
      <c r="HF110" s="176" t="n"/>
      <c r="HG110" s="176" t="n"/>
      <c r="HH110" s="176" t="n"/>
      <c r="HI110" s="176" t="n"/>
      <c r="HJ110" s="176" t="n"/>
      <c r="HK110" s="176" t="n"/>
      <c r="HL110" s="176" t="n"/>
      <c r="HM110" s="176" t="n"/>
      <c r="HN110" s="176" t="n"/>
      <c r="HO110" s="176" t="n"/>
      <c r="HP110" s="176" t="n"/>
      <c r="HQ110" s="176" t="n"/>
      <c r="HR110" s="176" t="n"/>
      <c r="HS110" s="176" t="n"/>
      <c r="HT110" s="176" t="n"/>
      <c r="HU110" s="176" t="n"/>
      <c r="HV110" s="176" t="n"/>
      <c r="HW110" s="176" t="n"/>
      <c r="HX110" s="176" t="n"/>
      <c r="HY110" s="176" t="n"/>
      <c r="HZ110" s="176" t="n"/>
      <c r="IA110" s="176" t="n"/>
      <c r="IB110" s="176" t="n"/>
      <c r="IC110" s="176" t="n"/>
      <c r="ID110" s="176" t="n"/>
    </row>
    <row r="111" ht="21" customHeight="1">
      <c r="A111" s="176" t="n"/>
      <c r="B111" s="176" t="n"/>
      <c r="C111" s="186" t="n">
        <v>12</v>
      </c>
      <c r="D111" s="183" t="n"/>
      <c r="E111" s="197">
        <f>IF(DADOS_CONFIG!$AI$10="","","d"&amp;DADOS_CONFIG!$AI$10)</f>
        <v/>
      </c>
      <c r="F111" s="186" t="n"/>
      <c r="G111" s="186">
        <f>IF(DADOS_CONFIG!$S$15="Não","",IF(12&gt;'FICHA'!$AH$11,"",DADOS_CONFIG!AF13))</f>
        <v/>
      </c>
      <c r="H111" s="176" t="n"/>
      <c r="I111" s="176" t="n"/>
      <c r="J111" s="176" t="n"/>
      <c r="K111" s="176" t="n"/>
      <c r="L111" s="176" t="n"/>
      <c r="M111" s="176" t="n"/>
      <c r="N111" s="176" t="n"/>
      <c r="O111" s="176" t="n"/>
      <c r="P111" s="176" t="n"/>
      <c r="Q111" s="176" t="n"/>
      <c r="R111" s="176" t="n"/>
      <c r="S111" s="176" t="n"/>
      <c r="T111" s="181">
        <f>SWITCH('CONFIGURAÇÃO'!$T$101,"Origem","TALENTO CE 4","Marcante","FREQUÊNCIA","Menor","FREQUÊNCIA","Arma","DADO","Escudo","PROTEÇÃO","Uniforme","PROTEÇÃO","Item comum","VOLUME","Ferramenta amaldiçoada","ESTIGMA","")</f>
        <v/>
      </c>
      <c r="U111" s="183" t="n"/>
      <c r="V111" s="185" t="n"/>
      <c r="W111" s="182" t="n"/>
      <c r="X111" s="182" t="n"/>
      <c r="Y111" s="183" t="n"/>
      <c r="Z111" s="176" t="n"/>
      <c r="AA111" s="176" t="n"/>
      <c r="AB111" s="181">
        <f>SWITCH('CONFIGURAÇÃO'!$AB$101,"Origem","TALENTO CE 4","Marcante","FREQUÊNCIA","Menor","FREQUÊNCIA","Arma","DADO","Escudo","PROTEÇÃO","Uniforme","PROTEÇÃO","Item comum","VOLUME","Ferramenta amaldiçoada","ESTIGMA","")</f>
        <v/>
      </c>
      <c r="AC111" s="183" t="n"/>
      <c r="AD111" s="185" t="n"/>
      <c r="AE111" s="182" t="n"/>
      <c r="AF111" s="182" t="n"/>
      <c r="AG111" s="183" t="n"/>
      <c r="AH111" s="176" t="n"/>
      <c r="AI111" s="176" t="n"/>
      <c r="AJ111" s="176" t="n"/>
      <c r="AK111" s="176" t="n"/>
      <c r="AL111" s="176" t="n"/>
      <c r="AM111" s="176" t="n"/>
      <c r="AN111" s="176" t="n"/>
      <c r="AO111" s="176" t="n"/>
      <c r="AP111" s="176" t="n"/>
      <c r="AQ111" s="176" t="n"/>
      <c r="AR111" s="176" t="n"/>
      <c r="AS111" s="176" t="n"/>
      <c r="AT111" s="176" t="n"/>
      <c r="AU111" s="176" t="n"/>
      <c r="AV111" s="176" t="n"/>
      <c r="AW111" s="176" t="n"/>
      <c r="AX111" s="176" t="n"/>
      <c r="AY111" s="176" t="n"/>
      <c r="AZ111" s="176" t="n"/>
      <c r="BA111" s="176" t="n"/>
      <c r="BB111" s="176" t="n"/>
      <c r="BC111" s="176" t="n"/>
      <c r="BD111" s="176" t="n"/>
      <c r="BE111" s="176" t="n"/>
      <c r="BF111" s="176" t="n"/>
      <c r="BG111" s="176" t="n"/>
      <c r="BH111" s="176" t="n"/>
      <c r="BI111" s="176" t="n"/>
      <c r="BJ111" s="176" t="n"/>
      <c r="BK111" s="176" t="n"/>
      <c r="BL111" s="176" t="n"/>
      <c r="BM111" s="176" t="n"/>
      <c r="BN111" s="176" t="n"/>
      <c r="BO111" s="176" t="n"/>
      <c r="BP111" s="176" t="n"/>
      <c r="BQ111" s="176" t="n"/>
      <c r="BR111" s="176" t="n"/>
      <c r="BS111" s="176" t="n"/>
      <c r="BT111" s="176" t="n"/>
      <c r="BU111" s="176" t="n"/>
      <c r="BV111" s="176" t="n"/>
      <c r="BW111" s="176" t="n"/>
      <c r="BX111" s="176" t="n"/>
      <c r="BY111" s="176" t="n"/>
      <c r="BZ111" s="176" t="n"/>
      <c r="CA111" s="176" t="n"/>
      <c r="CB111" s="176" t="n"/>
      <c r="CC111" s="176" t="n"/>
      <c r="CD111" s="176" t="n"/>
      <c r="CE111" s="176" t="n"/>
      <c r="CF111" s="176" t="n"/>
      <c r="CG111" s="176" t="n"/>
      <c r="CH111" s="176" t="n"/>
      <c r="CI111" s="176" t="n"/>
      <c r="CJ111" s="176" t="n"/>
      <c r="CK111" s="176" t="n"/>
      <c r="CL111" s="176" t="n"/>
      <c r="CM111" s="176" t="n"/>
      <c r="CN111" s="176" t="n"/>
      <c r="CO111" s="176" t="n"/>
      <c r="CP111" s="176" t="n"/>
      <c r="CQ111" s="176" t="n"/>
      <c r="CR111" s="176" t="n"/>
      <c r="CS111" s="176" t="n"/>
      <c r="CT111" s="176" t="n"/>
      <c r="CU111" s="176" t="n"/>
      <c r="CV111" s="176" t="n"/>
      <c r="CW111" s="176" t="n"/>
      <c r="CX111" s="176" t="n"/>
      <c r="CY111" s="176" t="n"/>
      <c r="CZ111" s="176" t="n"/>
      <c r="DA111" s="176" t="n"/>
      <c r="DB111" s="176" t="n"/>
      <c r="DC111" s="176" t="n"/>
      <c r="DD111" s="176" t="n"/>
      <c r="DE111" s="176" t="n"/>
      <c r="DF111" s="176" t="n"/>
      <c r="DG111" s="176" t="n"/>
      <c r="DH111" s="176" t="n"/>
      <c r="DI111" s="176" t="n"/>
      <c r="DJ111" s="176" t="n"/>
      <c r="DK111" s="176" t="n"/>
      <c r="DL111" s="176" t="n"/>
      <c r="DM111" s="176" t="n"/>
      <c r="DN111" s="176" t="n"/>
      <c r="DO111" s="176" t="n"/>
      <c r="DP111" s="176" t="n"/>
      <c r="DQ111" s="176" t="n"/>
      <c r="DR111" s="193" t="n"/>
      <c r="DW111" s="194" t="n"/>
      <c r="DX111" s="176" t="n"/>
      <c r="DY111" s="176" t="n"/>
      <c r="DZ111" s="193" t="n"/>
      <c r="EE111" s="194" t="n"/>
      <c r="EF111" s="176" t="n"/>
      <c r="EG111" s="176" t="n"/>
      <c r="EH111" s="176" t="n"/>
      <c r="EI111" s="193" t="n"/>
      <c r="EN111" s="194" t="n"/>
      <c r="EO111" s="176" t="n"/>
      <c r="EP111" s="176" t="n"/>
      <c r="EQ111" s="193" t="n"/>
      <c r="EV111" s="194" t="n"/>
      <c r="EW111" s="176" t="n"/>
      <c r="EX111" s="176" t="n"/>
      <c r="EY111" s="176" t="n"/>
      <c r="EZ111" s="181" t="inlineStr">
        <is>
          <t>PESO</t>
        </is>
      </c>
      <c r="FA111" s="182" t="n"/>
      <c r="FB111" s="183" t="n"/>
      <c r="FC111" s="185" t="n"/>
      <c r="FD111" s="182" t="n"/>
      <c r="FE111" s="183" t="n"/>
      <c r="FF111" s="176" t="n"/>
      <c r="FG111" s="176" t="n"/>
      <c r="FH111" s="181" t="inlineStr">
        <is>
          <t>PESO</t>
        </is>
      </c>
      <c r="FI111" s="182" t="n"/>
      <c r="FJ111" s="183" t="n"/>
      <c r="FK111" s="185" t="n"/>
      <c r="FL111" s="182" t="n"/>
      <c r="FM111" s="183" t="n"/>
      <c r="FN111" s="176" t="n"/>
      <c r="FO111" s="176" t="n"/>
      <c r="FP111" s="176" t="n"/>
      <c r="FQ111" s="192" t="n"/>
      <c r="FR111" s="187" t="n"/>
      <c r="FS111" s="187" t="n"/>
      <c r="FT111" s="187" t="n"/>
      <c r="FU111" s="187" t="n"/>
      <c r="FV111" s="188" t="n"/>
      <c r="FW111" s="176" t="n"/>
      <c r="FX111" s="176" t="n"/>
      <c r="FY111" s="192" t="n"/>
      <c r="FZ111" s="187" t="n"/>
      <c r="GA111" s="187" t="n"/>
      <c r="GB111" s="187" t="n"/>
      <c r="GC111" s="187" t="n"/>
      <c r="GD111" s="188" t="n"/>
      <c r="GE111" s="176" t="n"/>
      <c r="GF111" s="176" t="n"/>
      <c r="GG111" s="176" t="n"/>
      <c r="GH111" s="176" t="n"/>
      <c r="GI111" s="176" t="n"/>
      <c r="GJ111" s="176" t="n"/>
      <c r="GK111" s="176" t="n"/>
      <c r="GL111" s="176" t="n"/>
      <c r="GM111" s="176" t="n"/>
      <c r="GN111" s="176" t="n"/>
      <c r="GO111" s="176" t="n"/>
      <c r="GP111" s="176" t="n"/>
      <c r="GQ111" s="176" t="n"/>
      <c r="GR111" s="176" t="n"/>
      <c r="GS111" s="176" t="n"/>
      <c r="GT111" s="176" t="n"/>
      <c r="GU111" s="176" t="n"/>
      <c r="GV111" s="176" t="n"/>
      <c r="GW111" s="176" t="n"/>
      <c r="GX111" s="176" t="n"/>
      <c r="GY111" s="181" t="inlineStr">
        <is>
          <t>EFEITO E REQUISITOS</t>
        </is>
      </c>
      <c r="GZ111" s="182" t="n"/>
      <c r="HA111" s="182" t="n"/>
      <c r="HB111" s="182" t="n"/>
      <c r="HC111" s="182" t="n"/>
      <c r="HD111" s="183" t="n"/>
      <c r="HE111" s="176" t="n"/>
      <c r="HF111" s="176" t="n"/>
      <c r="HG111" s="181" t="inlineStr">
        <is>
          <t>EFEITO E REQUISITOS</t>
        </is>
      </c>
      <c r="HH111" s="182" t="n"/>
      <c r="HI111" s="182" t="n"/>
      <c r="HJ111" s="182" t="n"/>
      <c r="HK111" s="182" t="n"/>
      <c r="HL111" s="183" t="n"/>
      <c r="HM111" s="176" t="n"/>
      <c r="HN111" s="176" t="n"/>
      <c r="HO111" s="176" t="n"/>
      <c r="HP111" s="181" t="inlineStr">
        <is>
          <t>EFEITO</t>
        </is>
      </c>
      <c r="HQ111" s="182" t="n"/>
      <c r="HR111" s="182" t="n"/>
      <c r="HS111" s="182" t="n"/>
      <c r="HT111" s="182" t="n"/>
      <c r="HU111" s="183" t="n"/>
      <c r="HV111" s="176" t="n"/>
      <c r="HW111" s="176" t="n"/>
      <c r="HX111" s="181" t="inlineStr">
        <is>
          <t>EFEITO</t>
        </is>
      </c>
      <c r="HY111" s="182" t="n"/>
      <c r="HZ111" s="182" t="n"/>
      <c r="IA111" s="182" t="n"/>
      <c r="IB111" s="182" t="n"/>
      <c r="IC111" s="183" t="n"/>
      <c r="ID111" s="176" t="n"/>
    </row>
    <row r="112" ht="21" customHeight="1">
      <c r="A112" s="176" t="n"/>
      <c r="B112" s="176" t="n"/>
      <c r="C112" s="186" t="n">
        <v>13</v>
      </c>
      <c r="D112" s="183" t="n"/>
      <c r="E112" s="197">
        <f>IF(DADOS_CONFIG!$AI$10="","","d"&amp;DADOS_CONFIG!$AI$10)</f>
        <v/>
      </c>
      <c r="F112" s="186" t="n"/>
      <c r="G112" s="186">
        <f>IF(DADOS_CONFIG!$S$15="Não","",IF(13&gt;'FICHA'!$AH$11,"",DADOS_CONFIG!AF14))</f>
        <v/>
      </c>
      <c r="H112" s="176" t="n"/>
      <c r="I112" s="176" t="n"/>
      <c r="J112" s="176" t="n"/>
      <c r="K112" s="176" t="n"/>
      <c r="L112" s="176" t="n"/>
      <c r="M112" s="176" t="n"/>
      <c r="N112" s="176" t="n"/>
      <c r="O112" s="176" t="n"/>
      <c r="P112" s="176" t="n"/>
      <c r="Q112" s="176" t="n"/>
      <c r="R112" s="176" t="n"/>
      <c r="S112" s="176" t="n"/>
      <c r="T112" s="181">
        <f>SWITCH('CONFIGURAÇÃO'!$T$101,"Origem","","Marcante","","Menor","","Arma","FORÇA","Escudo","TETO DE DESTREZA","Uniforme","TETO DE DESTREZA","Item comum","PREÇO","Ferramenta amaldiçoada","DESGASTE","")</f>
        <v/>
      </c>
      <c r="U112" s="183" t="n"/>
      <c r="V112" s="185" t="n"/>
      <c r="W112" s="182" t="n"/>
      <c r="X112" s="182" t="n"/>
      <c r="Y112" s="183" t="n"/>
      <c r="Z112" s="176" t="n"/>
      <c r="AA112" s="176" t="n"/>
      <c r="AB112" s="181">
        <f>SWITCH('CONFIGURAÇÃO'!$AB$101,"Origem","","Marcante","","Menor","","Arma","FORÇA","Escudo","TETO DE DESTREZA","Uniforme","TETO DE DESTREZA","Item comum","PREÇO","Ferramenta amaldiçoada","DESGASTE","")</f>
        <v/>
      </c>
      <c r="AC112" s="183" t="n"/>
      <c r="AD112" s="185" t="n"/>
      <c r="AE112" s="182" t="n"/>
      <c r="AF112" s="182" t="n"/>
      <c r="AG112" s="183" t="n"/>
      <c r="AH112" s="176" t="n"/>
      <c r="AI112" s="176" t="n"/>
      <c r="AJ112" s="176" t="n"/>
      <c r="AK112" s="176" t="n"/>
      <c r="AL112" s="176" t="n"/>
      <c r="AM112" s="176" t="n"/>
      <c r="AN112" s="176" t="n"/>
      <c r="AO112" s="176" t="n"/>
      <c r="AP112" s="176" t="n"/>
      <c r="AQ112" s="176" t="n"/>
      <c r="AR112" s="176" t="n"/>
      <c r="AS112" s="176" t="n"/>
      <c r="AT112" s="176" t="n"/>
      <c r="AU112" s="176" t="n"/>
      <c r="AV112" s="176" t="n"/>
      <c r="AW112" s="176" t="n"/>
      <c r="AX112" s="176" t="n"/>
      <c r="AY112" s="176" t="n"/>
      <c r="AZ112" s="176" t="n"/>
      <c r="BA112" s="176" t="n"/>
      <c r="BB112" s="176" t="n"/>
      <c r="BC112" s="176" t="n"/>
      <c r="BD112" s="176" t="n"/>
      <c r="BE112" s="176" t="n"/>
      <c r="BF112" s="176" t="n"/>
      <c r="BG112" s="176" t="n"/>
      <c r="BH112" s="176" t="n"/>
      <c r="BI112" s="176" t="n"/>
      <c r="BJ112" s="176" t="n"/>
      <c r="BK112" s="176" t="n"/>
      <c r="BL112" s="176" t="n"/>
      <c r="BM112" s="176" t="n"/>
      <c r="BN112" s="176" t="n"/>
      <c r="BO112" s="176" t="n"/>
      <c r="BP112" s="176" t="n"/>
      <c r="BQ112" s="176" t="n"/>
      <c r="BR112" s="176" t="n"/>
      <c r="BS112" s="176" t="n"/>
      <c r="BT112" s="176" t="n"/>
      <c r="BU112" s="176" t="n"/>
      <c r="BV112" s="176" t="n"/>
      <c r="BW112" s="176" t="n"/>
      <c r="BX112" s="176" t="n"/>
      <c r="BY112" s="176" t="n"/>
      <c r="BZ112" s="176" t="n"/>
      <c r="CA112" s="176" t="n"/>
      <c r="CB112" s="176" t="n"/>
      <c r="CC112" s="176" t="n"/>
      <c r="CD112" s="176" t="n"/>
      <c r="CE112" s="176" t="n"/>
      <c r="CF112" s="176" t="n"/>
      <c r="CG112" s="176" t="n"/>
      <c r="CH112" s="176" t="n"/>
      <c r="CI112" s="176" t="n"/>
      <c r="CJ112" s="176" t="n"/>
      <c r="CK112" s="176" t="n"/>
      <c r="CL112" s="176" t="n"/>
      <c r="CM112" s="176" t="n"/>
      <c r="CN112" s="176" t="n"/>
      <c r="CO112" s="176" t="n"/>
      <c r="CP112" s="176" t="n"/>
      <c r="CQ112" s="176" t="n"/>
      <c r="CR112" s="176" t="n"/>
      <c r="CS112" s="176" t="n"/>
      <c r="CT112" s="176" t="n"/>
      <c r="CU112" s="176" t="n"/>
      <c r="CV112" s="176" t="n"/>
      <c r="CW112" s="176" t="n"/>
      <c r="CX112" s="176" t="n"/>
      <c r="CY112" s="176" t="n"/>
      <c r="CZ112" s="176" t="n"/>
      <c r="DA112" s="180">
        <f>IF('DADOS_MELHORIAS'!$M$8="","","⚠ "&amp;'DADOS_MELHORIAS'!$M$8)</f>
        <v/>
      </c>
      <c r="DG112" s="176" t="n"/>
      <c r="DH112" s="176" t="n"/>
      <c r="DI112" s="180">
        <f>IF('DADOS_MELHORIAS'!$M$9="","","⚠ "&amp;'DADOS_MELHORIAS'!$M$9)</f>
        <v/>
      </c>
      <c r="DO112" s="176" t="n"/>
      <c r="DP112" s="176" t="n"/>
      <c r="DQ112" s="176" t="n"/>
      <c r="DR112" s="193" t="n"/>
      <c r="DW112" s="194" t="n"/>
      <c r="DX112" s="176" t="n"/>
      <c r="DY112" s="176" t="n"/>
      <c r="DZ112" s="193" t="n"/>
      <c r="EE112" s="194" t="n"/>
      <c r="EF112" s="176" t="n"/>
      <c r="EG112" s="176" t="n"/>
      <c r="EH112" s="176" t="n"/>
      <c r="EI112" s="193" t="n"/>
      <c r="EN112" s="194" t="n"/>
      <c r="EO112" s="176" t="n"/>
      <c r="EP112" s="176" t="n"/>
      <c r="EQ112" s="193" t="n"/>
      <c r="EV112" s="194" t="n"/>
      <c r="EW112" s="176" t="n"/>
      <c r="EX112" s="176" t="n"/>
      <c r="EY112" s="176" t="n"/>
      <c r="EZ112" s="181" t="inlineStr">
        <is>
          <t>RESOLUÇÃO</t>
        </is>
      </c>
      <c r="FA112" s="182" t="n"/>
      <c r="FB112" s="183" t="n"/>
      <c r="FC112" s="185" t="n"/>
      <c r="FD112" s="182" t="n"/>
      <c r="FE112" s="183" t="n"/>
      <c r="FF112" s="176" t="n"/>
      <c r="FG112" s="176" t="n"/>
      <c r="FH112" s="181" t="inlineStr">
        <is>
          <t>RESOLUÇÃO</t>
        </is>
      </c>
      <c r="FI112" s="182" t="n"/>
      <c r="FJ112" s="183" t="n"/>
      <c r="FK112" s="185" t="n"/>
      <c r="FL112" s="182" t="n"/>
      <c r="FM112" s="183" t="n"/>
      <c r="FN112" s="176" t="n"/>
      <c r="FO112" s="176" t="n"/>
      <c r="FP112" s="176" t="n"/>
      <c r="FQ112" s="193" t="n"/>
      <c r="FV112" s="194" t="n"/>
      <c r="FW112" s="176" t="n"/>
      <c r="FX112" s="176" t="n"/>
      <c r="FY112" s="193" t="n"/>
      <c r="GD112" s="194" t="n"/>
      <c r="GE112" s="176" t="n"/>
      <c r="GF112" s="176" t="n"/>
      <c r="GG112" s="176" t="n"/>
      <c r="GH112" s="179" t="inlineStr">
        <is>
          <t>TALENTOS · 9</t>
        </is>
      </c>
      <c r="GN112" s="176" t="n"/>
      <c r="GO112" s="176" t="n"/>
      <c r="GP112" s="179" t="inlineStr">
        <is>
          <t>TALENTOS · 10</t>
        </is>
      </c>
      <c r="GV112" s="176" t="n"/>
      <c r="GW112" s="176" t="n"/>
      <c r="GX112" s="176" t="n"/>
      <c r="GY112" s="192" t="n"/>
      <c r="GZ112" s="187" t="n"/>
      <c r="HA112" s="187" t="n"/>
      <c r="HB112" s="187" t="n"/>
      <c r="HC112" s="187" t="n"/>
      <c r="HD112" s="188" t="n"/>
      <c r="HE112" s="176" t="n"/>
      <c r="HF112" s="176" t="n"/>
      <c r="HG112" s="192" t="n"/>
      <c r="HH112" s="187" t="n"/>
      <c r="HI112" s="187" t="n"/>
      <c r="HJ112" s="187" t="n"/>
      <c r="HK112" s="187" t="n"/>
      <c r="HL112" s="188" t="n"/>
      <c r="HM112" s="176" t="n"/>
      <c r="HN112" s="176" t="n"/>
      <c r="HO112" s="176" t="n"/>
      <c r="HP112" s="192" t="n"/>
      <c r="HQ112" s="187" t="n"/>
      <c r="HR112" s="187" t="n"/>
      <c r="HS112" s="187" t="n"/>
      <c r="HT112" s="187" t="n"/>
      <c r="HU112" s="188" t="n"/>
      <c r="HV112" s="176" t="n"/>
      <c r="HW112" s="176" t="n"/>
      <c r="HX112" s="192" t="n"/>
      <c r="HY112" s="187" t="n"/>
      <c r="HZ112" s="187" t="n"/>
      <c r="IA112" s="187" t="n"/>
      <c r="IB112" s="187" t="n"/>
      <c r="IC112" s="188" t="n"/>
      <c r="ID112" s="176" t="n"/>
    </row>
    <row r="113" ht="21" customHeight="1">
      <c r="A113" s="176" t="n"/>
      <c r="B113" s="176" t="n"/>
      <c r="C113" s="186" t="n">
        <v>14</v>
      </c>
      <c r="D113" s="183" t="n"/>
      <c r="E113" s="197">
        <f>IF(DADOS_CONFIG!$AI$10="","","d"&amp;DADOS_CONFIG!$AI$10)</f>
        <v/>
      </c>
      <c r="F113" s="186" t="n"/>
      <c r="G113" s="186">
        <f>IF(DADOS_CONFIG!$S$15="Não","",IF(14&gt;'FICHA'!$AH$11,"",DADOS_CONFIG!AF15))</f>
        <v/>
      </c>
      <c r="H113" s="176" t="n"/>
      <c r="I113" s="176" t="n"/>
      <c r="J113" s="176" t="n"/>
      <c r="K113" s="176" t="n"/>
      <c r="L113" s="176" t="n"/>
      <c r="M113" s="176" t="n"/>
      <c r="N113" s="176" t="n"/>
      <c r="O113" s="176" t="n"/>
      <c r="P113" s="176" t="n"/>
      <c r="Q113" s="176" t="n"/>
      <c r="R113" s="176" t="n"/>
      <c r="S113" s="176" t="n"/>
      <c r="T113" s="181">
        <f>SWITCH('CONFIGURAÇÃO'!$T$101,"Origem","","Marcante","","Menor","","Arma","VOLUME","Escudo","FORÇA","Uniforme","FORÇA","Item comum","","Ferramenta amaldiçoada","VOLUME","")</f>
        <v/>
      </c>
      <c r="U113" s="183" t="n"/>
      <c r="V113" s="185" t="n"/>
      <c r="W113" s="182" t="n"/>
      <c r="X113" s="182" t="n"/>
      <c r="Y113" s="183" t="n"/>
      <c r="Z113" s="176" t="n"/>
      <c r="AA113" s="176" t="n"/>
      <c r="AB113" s="181">
        <f>SWITCH('CONFIGURAÇÃO'!$AB$101,"Origem","","Marcante","","Menor","","Arma","VOLUME","Escudo","FORÇA","Uniforme","FORÇA","Item comum","","Ferramenta amaldiçoada","VOLUME","")</f>
        <v/>
      </c>
      <c r="AC113" s="183" t="n"/>
      <c r="AD113" s="185" t="n"/>
      <c r="AE113" s="182" t="n"/>
      <c r="AF113" s="182" t="n"/>
      <c r="AG113" s="183" t="n"/>
      <c r="AH113" s="176" t="n"/>
      <c r="AI113" s="176" t="n"/>
      <c r="AJ113" s="176" t="n"/>
      <c r="AK113" s="176" t="n"/>
      <c r="AL113" s="176" t="n"/>
      <c r="AM113" s="176" t="n"/>
      <c r="AN113" s="176" t="n"/>
      <c r="AO113" s="176" t="n"/>
      <c r="AP113" s="176" t="n"/>
      <c r="AQ113" s="176" t="n"/>
      <c r="AR113" s="176" t="n"/>
      <c r="AS113" s="176" t="n"/>
      <c r="AT113" s="176" t="n"/>
      <c r="AU113" s="176" t="n"/>
      <c r="AV113" s="176" t="n"/>
      <c r="AW113" s="176" t="n"/>
      <c r="AX113" s="176" t="n"/>
      <c r="AY113" s="176" t="n"/>
      <c r="AZ113" s="176" t="n"/>
      <c r="BA113" s="176" t="n"/>
      <c r="BB113" s="176" t="n"/>
      <c r="BC113" s="176" t="n"/>
      <c r="BD113" s="176" t="n"/>
      <c r="BE113" s="176" t="n"/>
      <c r="BF113" s="176" t="n"/>
      <c r="BG113" s="176" t="n"/>
      <c r="BH113" s="176" t="n"/>
      <c r="BI113" s="176" t="n"/>
      <c r="BJ113" s="176" t="n"/>
      <c r="BK113" s="176" t="n"/>
      <c r="BL113" s="176" t="n"/>
      <c r="BM113" s="176" t="n"/>
      <c r="BN113" s="176" t="n"/>
      <c r="BO113" s="176" t="n"/>
      <c r="BP113" s="176" t="n"/>
      <c r="BQ113" s="176" t="n"/>
      <c r="BR113" s="176" t="n"/>
      <c r="BS113" s="176" t="n"/>
      <c r="BT113" s="176" t="n"/>
      <c r="BU113" s="176" t="n"/>
      <c r="BV113" s="176" t="n"/>
      <c r="BW113" s="176" t="n"/>
      <c r="BX113" s="176" t="n"/>
      <c r="BY113" s="176" t="n"/>
      <c r="BZ113" s="176" t="n"/>
      <c r="CA113" s="176" t="n"/>
      <c r="CB113" s="176" t="n"/>
      <c r="CC113" s="176" t="n"/>
      <c r="CD113" s="176" t="n"/>
      <c r="CE113" s="176" t="n"/>
      <c r="CF113" s="176" t="n"/>
      <c r="CG113" s="176" t="n"/>
      <c r="CH113" s="176" t="n"/>
      <c r="CI113" s="176" t="n"/>
      <c r="CJ113" s="176" t="n"/>
      <c r="CK113" s="176" t="n"/>
      <c r="CL113" s="176" t="n"/>
      <c r="CM113" s="176" t="n"/>
      <c r="CN113" s="176" t="n"/>
      <c r="CO113" s="176" t="n"/>
      <c r="CP113" s="176" t="n"/>
      <c r="CQ113" s="176" t="n"/>
      <c r="CR113" s="176" t="n"/>
      <c r="CS113" s="176" t="n"/>
      <c r="CT113" s="176" t="n"/>
      <c r="CU113" s="176" t="n"/>
      <c r="CV113" s="176" t="n"/>
      <c r="CW113" s="176" t="n"/>
      <c r="CX113" s="176" t="n"/>
      <c r="CY113" s="176" t="n"/>
      <c r="CZ113" s="176" t="n"/>
      <c r="DG113" s="176" t="n"/>
      <c r="DH113" s="176" t="n"/>
      <c r="DO113" s="176" t="n"/>
      <c r="DP113" s="176" t="n"/>
      <c r="DQ113" s="176" t="n"/>
      <c r="DR113" s="193" t="n"/>
      <c r="DW113" s="194" t="n"/>
      <c r="DX113" s="176" t="n"/>
      <c r="DY113" s="176" t="n"/>
      <c r="DZ113" s="193" t="n"/>
      <c r="EE113" s="194" t="n"/>
      <c r="EF113" s="176" t="n"/>
      <c r="EG113" s="176" t="n"/>
      <c r="EH113" s="176" t="n"/>
      <c r="EI113" s="193" t="n"/>
      <c r="EN113" s="194" t="n"/>
      <c r="EO113" s="176" t="n"/>
      <c r="EP113" s="176" t="n"/>
      <c r="EQ113" s="193" t="n"/>
      <c r="EV113" s="194" t="n"/>
      <c r="EW113" s="176" t="n"/>
      <c r="EX113" s="176" t="n"/>
      <c r="EY113" s="176" t="n"/>
      <c r="EZ113" s="181" t="inlineStr">
        <is>
          <t>RESULTADO</t>
        </is>
      </c>
      <c r="FA113" s="182" t="n"/>
      <c r="FB113" s="183" t="n"/>
      <c r="FC113" s="185" t="n"/>
      <c r="FD113" s="182" t="n"/>
      <c r="FE113" s="183" t="n"/>
      <c r="FF113" s="176" t="n"/>
      <c r="FG113" s="176" t="n"/>
      <c r="FH113" s="181" t="inlineStr">
        <is>
          <t>RESULTADO</t>
        </is>
      </c>
      <c r="FI113" s="182" t="n"/>
      <c r="FJ113" s="183" t="n"/>
      <c r="FK113" s="185" t="n"/>
      <c r="FL113" s="182" t="n"/>
      <c r="FM113" s="183" t="n"/>
      <c r="FN113" s="176" t="n"/>
      <c r="FO113" s="176" t="n"/>
      <c r="FP113" s="176" t="n"/>
      <c r="FQ113" s="193" t="n"/>
      <c r="FV113" s="194" t="n"/>
      <c r="FW113" s="176" t="n"/>
      <c r="FX113" s="176" t="n"/>
      <c r="FY113" s="193" t="n"/>
      <c r="GD113" s="194" t="n"/>
      <c r="GE113" s="176" t="n"/>
      <c r="GF113" s="176" t="n"/>
      <c r="GG113" s="176" t="n"/>
      <c r="GH113" s="181" t="inlineStr">
        <is>
          <t>TIPO</t>
        </is>
      </c>
      <c r="GI113" s="182" t="n"/>
      <c r="GJ113" s="182" t="n"/>
      <c r="GK113" s="183" t="n"/>
      <c r="GL113" s="181" t="inlineStr">
        <is>
          <t>MESTRE VIU</t>
        </is>
      </c>
      <c r="GM113" s="183" t="n"/>
      <c r="GN113" s="176" t="n"/>
      <c r="GO113" s="176" t="n"/>
      <c r="GP113" s="181" t="inlineStr">
        <is>
          <t>TIPO</t>
        </is>
      </c>
      <c r="GQ113" s="182" t="n"/>
      <c r="GR113" s="182" t="n"/>
      <c r="GS113" s="183" t="n"/>
      <c r="GT113" s="181" t="inlineStr">
        <is>
          <t>MESTRE VIU</t>
        </is>
      </c>
      <c r="GU113" s="183" t="n"/>
      <c r="GV113" s="176" t="n"/>
      <c r="GW113" s="176" t="n"/>
      <c r="GX113" s="176" t="n"/>
      <c r="GY113" s="193" t="n"/>
      <c r="HD113" s="194" t="n"/>
      <c r="HE113" s="176" t="n"/>
      <c r="HF113" s="176" t="n"/>
      <c r="HG113" s="193" t="n"/>
      <c r="HL113" s="194" t="n"/>
      <c r="HM113" s="176" t="n"/>
      <c r="HN113" s="176" t="n"/>
      <c r="HO113" s="176" t="n"/>
      <c r="HP113" s="193" t="n"/>
      <c r="HU113" s="194" t="n"/>
      <c r="HV113" s="176" t="n"/>
      <c r="HW113" s="176" t="n"/>
      <c r="HX113" s="193" t="n"/>
      <c r="IC113" s="194" t="n"/>
      <c r="ID113" s="176" t="n"/>
    </row>
    <row r="114" ht="21" customHeight="1">
      <c r="A114" s="176" t="n"/>
      <c r="B114" s="176" t="n"/>
      <c r="C114" s="186" t="n">
        <v>15</v>
      </c>
      <c r="D114" s="183" t="n"/>
      <c r="E114" s="197">
        <f>IF(DADOS_CONFIG!$AI$10="","","d"&amp;DADOS_CONFIG!$AI$10)</f>
        <v/>
      </c>
      <c r="F114" s="186" t="n"/>
      <c r="G114" s="186">
        <f>IF(DADOS_CONFIG!$S$15="Não","",IF(15&gt;'FICHA'!$AH$11,"",DADOS_CONFIG!AF16))</f>
        <v/>
      </c>
      <c r="H114" s="176" t="n"/>
      <c r="I114" s="176" t="n"/>
      <c r="J114" s="176" t="n"/>
      <c r="K114" s="176" t="n"/>
      <c r="L114" s="176" t="n"/>
      <c r="M114" s="176" t="n"/>
      <c r="N114" s="176" t="n"/>
      <c r="O114" s="176" t="n"/>
      <c r="P114" s="176" t="n"/>
      <c r="Q114" s="176" t="n"/>
      <c r="R114" s="176" t="n"/>
      <c r="S114" s="176" t="n"/>
      <c r="T114" s="181">
        <f>SWITCH('CONFIGURAÇÃO'!$T$101,"Origem","","Marcante","","Menor","","Arma","ALCANCE","Escudo","VOLUME","Uniforme","VOLUME","Item comum","","Ferramenta amaldiçoada","PREÇO","")</f>
        <v/>
      </c>
      <c r="U114" s="183" t="n"/>
      <c r="V114" s="185" t="n"/>
      <c r="W114" s="182" t="n"/>
      <c r="X114" s="182" t="n"/>
      <c r="Y114" s="183" t="n"/>
      <c r="Z114" s="176" t="n"/>
      <c r="AA114" s="176" t="n"/>
      <c r="AB114" s="181">
        <f>SWITCH('CONFIGURAÇÃO'!$AB$101,"Origem","","Marcante","","Menor","","Arma","ALCANCE","Escudo","VOLUME","Uniforme","VOLUME","Item comum","","Ferramenta amaldiçoada","PREÇO","")</f>
        <v/>
      </c>
      <c r="AC114" s="183" t="n"/>
      <c r="AD114" s="185" t="n"/>
      <c r="AE114" s="182" t="n"/>
      <c r="AF114" s="182" t="n"/>
      <c r="AG114" s="183" t="n"/>
      <c r="AH114" s="176" t="n"/>
      <c r="AI114" s="176" t="n"/>
      <c r="AJ114" s="176" t="n"/>
      <c r="AK114" s="176" t="n"/>
      <c r="AL114" s="176" t="n"/>
      <c r="AM114" s="176" t="n"/>
      <c r="AN114" s="176" t="n"/>
      <c r="AO114" s="176" t="n"/>
      <c r="AP114" s="176" t="n"/>
      <c r="AQ114" s="176" t="n"/>
      <c r="AR114" s="176" t="n"/>
      <c r="AS114" s="176" t="n"/>
      <c r="AT114" s="176" t="n"/>
      <c r="AU114" s="176" t="n"/>
      <c r="AV114" s="176" t="n"/>
      <c r="AW114" s="176" t="n"/>
      <c r="AX114" s="176" t="n"/>
      <c r="AY114" s="176" t="n"/>
      <c r="AZ114" s="176" t="n"/>
      <c r="BA114" s="176" t="n"/>
      <c r="BB114" s="176" t="n"/>
      <c r="BC114" s="176" t="n"/>
      <c r="BD114" s="176" t="n"/>
      <c r="BE114" s="176" t="n"/>
      <c r="BF114" s="176" t="n"/>
      <c r="BG114" s="176" t="n"/>
      <c r="BH114" s="176" t="n"/>
      <c r="BI114" s="176" t="n"/>
      <c r="BJ114" s="176" t="n"/>
      <c r="BK114" s="176" t="n"/>
      <c r="BL114" s="176" t="n"/>
      <c r="BM114" s="176" t="n"/>
      <c r="BN114" s="176" t="n"/>
      <c r="BO114" s="176" t="n"/>
      <c r="BP114" s="176" t="n"/>
      <c r="BQ114" s="176" t="n"/>
      <c r="BR114" s="176" t="n"/>
      <c r="BS114" s="176" t="n"/>
      <c r="BT114" s="176" t="n"/>
      <c r="BU114" s="176" t="n"/>
      <c r="BV114" s="176" t="n"/>
      <c r="BW114" s="176" t="n"/>
      <c r="BX114" s="176" t="n"/>
      <c r="BY114" s="176" t="n"/>
      <c r="BZ114" s="176" t="n"/>
      <c r="CA114" s="176" t="n"/>
      <c r="CB114" s="176" t="n"/>
      <c r="CC114" s="176" t="n"/>
      <c r="CD114" s="176" t="n"/>
      <c r="CE114" s="176" t="n"/>
      <c r="CF114" s="176" t="n"/>
      <c r="CG114" s="176" t="n"/>
      <c r="CH114" s="176" t="n"/>
      <c r="CI114" s="176" t="n"/>
      <c r="CJ114" s="176" t="n"/>
      <c r="CK114" s="176" t="n"/>
      <c r="CL114" s="176" t="n"/>
      <c r="CM114" s="176" t="n"/>
      <c r="CN114" s="176" t="n"/>
      <c r="CO114" s="176" t="n"/>
      <c r="CP114" s="176" t="n"/>
      <c r="CQ114" s="176" t="n"/>
      <c r="CR114" s="176" t="n"/>
      <c r="CS114" s="176" t="n"/>
      <c r="CT114" s="176" t="n"/>
      <c r="CU114" s="176" t="n"/>
      <c r="CV114" s="176" t="n"/>
      <c r="CW114" s="176" t="n"/>
      <c r="CX114" s="176" t="n"/>
      <c r="CY114" s="176" t="n"/>
      <c r="CZ114" s="176" t="n"/>
      <c r="DA114" s="176" t="n"/>
      <c r="DB114" s="176" t="n"/>
      <c r="DC114" s="176" t="n"/>
      <c r="DD114" s="176" t="n"/>
      <c r="DE114" s="176" t="n"/>
      <c r="DF114" s="176" t="n"/>
      <c r="DG114" s="176" t="n"/>
      <c r="DH114" s="176" t="n"/>
      <c r="DI114" s="176" t="n"/>
      <c r="DJ114" s="176" t="n"/>
      <c r="DK114" s="176" t="n"/>
      <c r="DL114" s="176" t="n"/>
      <c r="DM114" s="176" t="n"/>
      <c r="DN114" s="176" t="n"/>
      <c r="DO114" s="176" t="n"/>
      <c r="DP114" s="176" t="n"/>
      <c r="DQ114" s="176" t="n"/>
      <c r="DR114" s="193" t="n"/>
      <c r="DW114" s="194" t="n"/>
      <c r="DX114" s="176" t="n"/>
      <c r="DY114" s="176" t="n"/>
      <c r="DZ114" s="193" t="n"/>
      <c r="EE114" s="194" t="n"/>
      <c r="EF114" s="176" t="n"/>
      <c r="EG114" s="176" t="n"/>
      <c r="EH114" s="176" t="n"/>
      <c r="EI114" s="193" t="n"/>
      <c r="EN114" s="194" t="n"/>
      <c r="EO114" s="176" t="n"/>
      <c r="EP114" s="176" t="n"/>
      <c r="EQ114" s="193" t="n"/>
      <c r="EV114" s="194" t="n"/>
      <c r="EW114" s="176" t="n"/>
      <c r="EX114" s="176" t="n"/>
      <c r="EY114" s="176" t="n"/>
      <c r="EZ114" s="181" t="inlineStr">
        <is>
          <t>EXIGE TR</t>
        </is>
      </c>
      <c r="FA114" s="182" t="n"/>
      <c r="FB114" s="183" t="n"/>
      <c r="FC114" s="185" t="n"/>
      <c r="FD114" s="182" t="n"/>
      <c r="FE114" s="183" t="n"/>
      <c r="FF114" s="176" t="n"/>
      <c r="FG114" s="176" t="n"/>
      <c r="FH114" s="181" t="inlineStr">
        <is>
          <t>EXIGE TR</t>
        </is>
      </c>
      <c r="FI114" s="182" t="n"/>
      <c r="FJ114" s="183" t="n"/>
      <c r="FK114" s="185" t="n"/>
      <c r="FL114" s="182" t="n"/>
      <c r="FM114" s="183" t="n"/>
      <c r="FN114" s="176" t="n"/>
      <c r="FO114" s="176" t="n"/>
      <c r="FP114" s="176" t="n"/>
      <c r="FQ114" s="189" t="n"/>
      <c r="FR114" s="190" t="n"/>
      <c r="FS114" s="190" t="n"/>
      <c r="FT114" s="190" t="n"/>
      <c r="FU114" s="190" t="n"/>
      <c r="FV114" s="191" t="n"/>
      <c r="FW114" s="176" t="n"/>
      <c r="FX114" s="176" t="n"/>
      <c r="FY114" s="189" t="n"/>
      <c r="FZ114" s="190" t="n"/>
      <c r="GA114" s="190" t="n"/>
      <c r="GB114" s="190" t="n"/>
      <c r="GC114" s="190" t="n"/>
      <c r="GD114" s="191" t="n"/>
      <c r="GE114" s="176" t="n"/>
      <c r="GF114" s="176" t="n"/>
      <c r="GG114" s="176" t="n"/>
      <c r="GH114" s="185" t="inlineStr">
        <is>
          <t>Talento</t>
        </is>
      </c>
      <c r="GI114" s="182" t="n"/>
      <c r="GJ114" s="182" t="n"/>
      <c r="GK114" s="183" t="n"/>
      <c r="GL114" s="184" t="b">
        <v>0</v>
      </c>
      <c r="GM114" s="183" t="n"/>
      <c r="GN114" s="176" t="n"/>
      <c r="GO114" s="176" t="n"/>
      <c r="GP114" s="185" t="inlineStr">
        <is>
          <t>Talento</t>
        </is>
      </c>
      <c r="GQ114" s="182" t="n"/>
      <c r="GR114" s="182" t="n"/>
      <c r="GS114" s="183" t="n"/>
      <c r="GT114" s="184" t="b">
        <v>0</v>
      </c>
      <c r="GU114" s="183" t="n"/>
      <c r="GV114" s="176" t="n"/>
      <c r="GW114" s="176" t="n"/>
      <c r="GX114" s="176" t="n"/>
      <c r="GY114" s="193" t="n"/>
      <c r="HD114" s="194" t="n"/>
      <c r="HE114" s="176" t="n"/>
      <c r="HF114" s="176" t="n"/>
      <c r="HG114" s="193" t="n"/>
      <c r="HL114" s="194" t="n"/>
      <c r="HM114" s="176" t="n"/>
      <c r="HN114" s="176" t="n"/>
      <c r="HO114" s="176" t="n"/>
      <c r="HP114" s="193" t="n"/>
      <c r="HU114" s="194" t="n"/>
      <c r="HV114" s="176" t="n"/>
      <c r="HW114" s="176" t="n"/>
      <c r="HX114" s="193" t="n"/>
      <c r="IC114" s="194" t="n"/>
      <c r="ID114" s="176" t="n"/>
    </row>
    <row r="115" ht="21" customHeight="1">
      <c r="A115" s="176" t="n"/>
      <c r="B115" s="176" t="n"/>
      <c r="C115" s="186" t="n">
        <v>16</v>
      </c>
      <c r="D115" s="183" t="n"/>
      <c r="E115" s="197">
        <f>IF(DADOS_CONFIG!$AI$10="","","d"&amp;DADOS_CONFIG!$AI$10)</f>
        <v/>
      </c>
      <c r="F115" s="186" t="n"/>
      <c r="G115" s="186">
        <f>IF(DADOS_CONFIG!$S$15="Não","",IF(16&gt;'FICHA'!$AH$11,"",DADOS_CONFIG!AF17))</f>
        <v/>
      </c>
      <c r="H115" s="176" t="n"/>
      <c r="I115" s="176" t="n"/>
      <c r="J115" s="176" t="n"/>
      <c r="K115" s="176" t="n"/>
      <c r="L115" s="176" t="n"/>
      <c r="M115" s="176" t="n"/>
      <c r="N115" s="176" t="n"/>
      <c r="O115" s="176" t="n"/>
      <c r="P115" s="176" t="n"/>
      <c r="Q115" s="176" t="n"/>
      <c r="R115" s="176" t="n"/>
      <c r="S115" s="176" t="n"/>
      <c r="T115" s="181">
        <f>SWITCH('CONFIGURAÇÃO'!$T$101,"Origem","","Marcante","","Menor","","Arma","RECARGA","Escudo","PREÇO","Uniforme","PREÇO","Item comum","","Ferramenta amaldiçoada","","")</f>
        <v/>
      </c>
      <c r="U115" s="183" t="n"/>
      <c r="V115" s="185" t="n"/>
      <c r="W115" s="182" t="n"/>
      <c r="X115" s="182" t="n"/>
      <c r="Y115" s="183" t="n"/>
      <c r="Z115" s="176" t="n"/>
      <c r="AA115" s="176" t="n"/>
      <c r="AB115" s="181">
        <f>SWITCH('CONFIGURAÇÃO'!$AB$101,"Origem","","Marcante","","Menor","","Arma","RECARGA","Escudo","PREÇO","Uniforme","PREÇO","Item comum","","Ferramenta amaldiçoada","","")</f>
        <v/>
      </c>
      <c r="AC115" s="183" t="n"/>
      <c r="AD115" s="185" t="n"/>
      <c r="AE115" s="182" t="n"/>
      <c r="AF115" s="182" t="n"/>
      <c r="AG115" s="183" t="n"/>
      <c r="AH115" s="176" t="n"/>
      <c r="AI115" s="176" t="n"/>
      <c r="AJ115" s="176" t="n"/>
      <c r="AK115" s="176" t="n"/>
      <c r="AL115" s="176" t="n"/>
      <c r="AM115" s="176" t="n"/>
      <c r="AN115" s="176" t="n"/>
      <c r="AO115" s="176" t="n"/>
      <c r="AP115" s="176" t="n"/>
      <c r="AQ115" s="176" t="n"/>
      <c r="AR115" s="176" t="n"/>
      <c r="AS115" s="176" t="n"/>
      <c r="AT115" s="176" t="n"/>
      <c r="AU115" s="176" t="n"/>
      <c r="AV115" s="176" t="n"/>
      <c r="AW115" s="176" t="n"/>
      <c r="AX115" s="176" t="n"/>
      <c r="AY115" s="176" t="n"/>
      <c r="AZ115" s="176" t="n"/>
      <c r="BA115" s="176" t="n"/>
      <c r="BB115" s="176" t="n"/>
      <c r="BC115" s="176" t="n"/>
      <c r="BD115" s="176" t="n"/>
      <c r="BE115" s="176" t="n"/>
      <c r="BF115" s="176" t="n"/>
      <c r="BG115" s="176" t="n"/>
      <c r="BH115" s="176" t="n"/>
      <c r="BI115" s="176" t="n"/>
      <c r="BJ115" s="176" t="n"/>
      <c r="BK115" s="176" t="n"/>
      <c r="BL115" s="176" t="n"/>
      <c r="BM115" s="176" t="n"/>
      <c r="BN115" s="176" t="n"/>
      <c r="BO115" s="176" t="n"/>
      <c r="BP115" s="176" t="n"/>
      <c r="BQ115" s="176" t="n"/>
      <c r="BR115" s="176" t="n"/>
      <c r="BS115" s="176" t="n"/>
      <c r="BT115" s="176" t="n"/>
      <c r="BU115" s="176" t="n"/>
      <c r="BV115" s="176" t="n"/>
      <c r="BW115" s="176" t="n"/>
      <c r="BX115" s="176" t="n"/>
      <c r="BY115" s="176" t="n"/>
      <c r="BZ115" s="176" t="n"/>
      <c r="CA115" s="176" t="n"/>
      <c r="CB115" s="176" t="n"/>
      <c r="CC115" s="176" t="n"/>
      <c r="CD115" s="176" t="n"/>
      <c r="CE115" s="176" t="n"/>
      <c r="CF115" s="176" t="n"/>
      <c r="CG115" s="176" t="n"/>
      <c r="CH115" s="176" t="n"/>
      <c r="CI115" s="176" t="n"/>
      <c r="CJ115" s="176" t="n"/>
      <c r="CK115" s="176" t="n"/>
      <c r="CL115" s="176" t="n"/>
      <c r="CM115" s="176" t="n"/>
      <c r="CN115" s="176" t="n"/>
      <c r="CO115" s="176" t="n"/>
      <c r="CP115" s="176" t="n"/>
      <c r="CQ115" s="176" t="n"/>
      <c r="CR115" s="176" t="n"/>
      <c r="CS115" s="176" t="n"/>
      <c r="CT115" s="176" t="n"/>
      <c r="CU115" s="176" t="n"/>
      <c r="CV115" s="176" t="n"/>
      <c r="CW115" s="176" t="n"/>
      <c r="CX115" s="176" t="n"/>
      <c r="CY115" s="176" t="n"/>
      <c r="CZ115" s="176" t="n"/>
      <c r="DA115" s="179" t="inlineStr">
        <is>
          <t>MELHORIA · 9</t>
        </is>
      </c>
      <c r="DG115" s="176" t="n"/>
      <c r="DH115" s="176" t="n"/>
      <c r="DI115" s="179" t="inlineStr">
        <is>
          <t>MELHORIA · 10</t>
        </is>
      </c>
      <c r="DO115" s="176" t="n"/>
      <c r="DP115" s="176" t="n"/>
      <c r="DQ115" s="176" t="n"/>
      <c r="DR115" s="189" t="n"/>
      <c r="DS115" s="190" t="n"/>
      <c r="DT115" s="190" t="n"/>
      <c r="DU115" s="190" t="n"/>
      <c r="DV115" s="190" t="n"/>
      <c r="DW115" s="191" t="n"/>
      <c r="DX115" s="176" t="n"/>
      <c r="DY115" s="176" t="n"/>
      <c r="DZ115" s="189" t="n"/>
      <c r="EA115" s="190" t="n"/>
      <c r="EB115" s="190" t="n"/>
      <c r="EC115" s="190" t="n"/>
      <c r="ED115" s="190" t="n"/>
      <c r="EE115" s="191" t="n"/>
      <c r="EF115" s="176" t="n"/>
      <c r="EG115" s="176" t="n"/>
      <c r="EH115" s="176" t="n"/>
      <c r="EI115" s="193" t="n"/>
      <c r="EN115" s="194" t="n"/>
      <c r="EO115" s="176" t="n"/>
      <c r="EP115" s="176" t="n"/>
      <c r="EQ115" s="193" t="n"/>
      <c r="EV115" s="194" t="n"/>
      <c r="EW115" s="176" t="n"/>
      <c r="EX115" s="176" t="n"/>
      <c r="EY115" s="176" t="n"/>
      <c r="EZ115" s="181" t="inlineStr">
        <is>
          <t>CLASSE 0</t>
        </is>
      </c>
      <c r="FA115" s="182" t="n"/>
      <c r="FB115" s="183" t="n"/>
      <c r="FC115" s="185" t="n"/>
      <c r="FD115" s="182" t="n"/>
      <c r="FE115" s="183" t="n"/>
      <c r="FF115" s="176" t="n"/>
      <c r="FG115" s="176" t="n"/>
      <c r="FH115" s="181" t="inlineStr">
        <is>
          <t>CLASSE 0</t>
        </is>
      </c>
      <c r="FI115" s="182" t="n"/>
      <c r="FJ115" s="183" t="n"/>
      <c r="FK115" s="185" t="n"/>
      <c r="FL115" s="182" t="n"/>
      <c r="FM115" s="183" t="n"/>
      <c r="FN115" s="176" t="n"/>
      <c r="FO115" s="176" t="n"/>
      <c r="FP115" s="176" t="n"/>
      <c r="FQ115" s="176" t="n"/>
      <c r="FR115" s="176" t="n"/>
      <c r="FS115" s="176" t="n"/>
      <c r="FT115" s="176" t="n"/>
      <c r="FU115" s="176" t="n"/>
      <c r="FV115" s="176" t="n"/>
      <c r="FW115" s="176" t="n"/>
      <c r="FX115" s="176" t="n"/>
      <c r="FY115" s="176" t="n"/>
      <c r="FZ115" s="176" t="n"/>
      <c r="GA115" s="176" t="n"/>
      <c r="GB115" s="176" t="n"/>
      <c r="GC115" s="176" t="n"/>
      <c r="GD115" s="176" t="n"/>
      <c r="GE115" s="176" t="n"/>
      <c r="GF115" s="176" t="n"/>
      <c r="GG115" s="176" t="n"/>
      <c r="GH115" s="181" t="inlineStr">
        <is>
          <t>NOME</t>
        </is>
      </c>
      <c r="GI115" s="182" t="n"/>
      <c r="GJ115" s="182" t="n"/>
      <c r="GK115" s="182" t="n"/>
      <c r="GL115" s="182" t="n"/>
      <c r="GM115" s="183" t="n"/>
      <c r="GN115" s="176" t="n"/>
      <c r="GO115" s="176" t="n"/>
      <c r="GP115" s="181" t="inlineStr">
        <is>
          <t>NOME</t>
        </is>
      </c>
      <c r="GQ115" s="182" t="n"/>
      <c r="GR115" s="182" t="n"/>
      <c r="GS115" s="182" t="n"/>
      <c r="GT115" s="182" t="n"/>
      <c r="GU115" s="183" t="n"/>
      <c r="GV115" s="176" t="n"/>
      <c r="GW115" s="176" t="n"/>
      <c r="GX115" s="176" t="n"/>
      <c r="GY115" s="193" t="n"/>
      <c r="HD115" s="194" t="n"/>
      <c r="HE115" s="176" t="n"/>
      <c r="HF115" s="176" t="n"/>
      <c r="HG115" s="193" t="n"/>
      <c r="HL115" s="194" t="n"/>
      <c r="HM115" s="176" t="n"/>
      <c r="HN115" s="176" t="n"/>
      <c r="HO115" s="176" t="n"/>
      <c r="HP115" s="193" t="n"/>
      <c r="HU115" s="194" t="n"/>
      <c r="HV115" s="176" t="n"/>
      <c r="HW115" s="176" t="n"/>
      <c r="HX115" s="193" t="n"/>
      <c r="IC115" s="194" t="n"/>
      <c r="ID115" s="176" t="n"/>
    </row>
    <row r="116" ht="21" customHeight="1">
      <c r="A116" s="176" t="n"/>
      <c r="B116" s="176" t="n"/>
      <c r="C116" s="186" t="n">
        <v>17</v>
      </c>
      <c r="D116" s="183" t="n"/>
      <c r="E116" s="197">
        <f>IF(DADOS_CONFIG!$AI$10="","","d"&amp;DADOS_CONFIG!$AI$10)</f>
        <v/>
      </c>
      <c r="F116" s="186" t="n"/>
      <c r="G116" s="186">
        <f>IF(DADOS_CONFIG!$S$15="Não","",IF(17&gt;'FICHA'!$AH$11,"",DADOS_CONFIG!AF18))</f>
        <v/>
      </c>
      <c r="H116" s="176" t="n"/>
      <c r="I116" s="176" t="n"/>
      <c r="J116" s="176" t="n"/>
      <c r="K116" s="176" t="n"/>
      <c r="L116" s="176" t="n"/>
      <c r="M116" s="176" t="n"/>
      <c r="N116" s="176" t="n"/>
      <c r="O116" s="176" t="n"/>
      <c r="P116" s="176" t="n"/>
      <c r="Q116" s="176" t="n"/>
      <c r="R116" s="176" t="n"/>
      <c r="S116" s="176" t="n"/>
      <c r="T116" s="181">
        <f>SWITCH('CONFIGURAÇÃO'!$T$101,"Origem","","Marcante","","Menor","","Arma","PREÇO","Escudo","","Uniforme","","Item comum","","Ferramenta amaldiçoada","","")</f>
        <v/>
      </c>
      <c r="U116" s="183" t="n"/>
      <c r="V116" s="185" t="n"/>
      <c r="W116" s="182" t="n"/>
      <c r="X116" s="182" t="n"/>
      <c r="Y116" s="183" t="n"/>
      <c r="Z116" s="176" t="n"/>
      <c r="AA116" s="176" t="n"/>
      <c r="AB116" s="181">
        <f>SWITCH('CONFIGURAÇÃO'!$AB$101,"Origem","","Marcante","","Menor","","Arma","PREÇO","Escudo","","Uniforme","","Item comum","","Ferramenta amaldiçoada","","")</f>
        <v/>
      </c>
      <c r="AC116" s="183" t="n"/>
      <c r="AD116" s="185" t="n"/>
      <c r="AE116" s="182" t="n"/>
      <c r="AF116" s="182" t="n"/>
      <c r="AG116" s="183" t="n"/>
      <c r="AH116" s="176" t="n"/>
      <c r="AI116" s="176" t="n"/>
      <c r="AJ116" s="176" t="n"/>
      <c r="AK116" s="176" t="n"/>
      <c r="AL116" s="176" t="n"/>
      <c r="AM116" s="176" t="n"/>
      <c r="AN116" s="176" t="n"/>
      <c r="AO116" s="176" t="n"/>
      <c r="AP116" s="176" t="n"/>
      <c r="AQ116" s="176" t="n"/>
      <c r="AR116" s="176" t="n"/>
      <c r="AS116" s="176" t="n"/>
      <c r="AT116" s="176" t="n"/>
      <c r="AU116" s="176" t="n"/>
      <c r="AV116" s="176" t="n"/>
      <c r="AW116" s="176" t="n"/>
      <c r="AX116" s="176" t="n"/>
      <c r="AY116" s="176" t="n"/>
      <c r="AZ116" s="176" t="n"/>
      <c r="BA116" s="176" t="n"/>
      <c r="BB116" s="176" t="n"/>
      <c r="BC116" s="176" t="n"/>
      <c r="BD116" s="176" t="n"/>
      <c r="BE116" s="176" t="n"/>
      <c r="BF116" s="176" t="n"/>
      <c r="BG116" s="176" t="n"/>
      <c r="BH116" s="176" t="n"/>
      <c r="BI116" s="176" t="n"/>
      <c r="BJ116" s="176" t="n"/>
      <c r="BK116" s="176" t="n"/>
      <c r="BL116" s="176" t="n"/>
      <c r="BM116" s="176" t="n"/>
      <c r="BN116" s="176" t="n"/>
      <c r="BO116" s="176" t="n"/>
      <c r="BP116" s="176" t="n"/>
      <c r="BQ116" s="176" t="n"/>
      <c r="BR116" s="176" t="n"/>
      <c r="BS116" s="176" t="n"/>
      <c r="BT116" s="176" t="n"/>
      <c r="BU116" s="176" t="n"/>
      <c r="BV116" s="176" t="n"/>
      <c r="BW116" s="176" t="n"/>
      <c r="BX116" s="176" t="n"/>
      <c r="BY116" s="176" t="n"/>
      <c r="BZ116" s="176" t="n"/>
      <c r="CA116" s="176" t="n"/>
      <c r="CB116" s="176" t="n"/>
      <c r="CC116" s="176" t="n"/>
      <c r="CD116" s="176" t="n"/>
      <c r="CE116" s="176" t="n"/>
      <c r="CF116" s="176" t="n"/>
      <c r="CG116" s="176" t="n"/>
      <c r="CH116" s="176" t="n"/>
      <c r="CI116" s="176" t="n"/>
      <c r="CJ116" s="176" t="n"/>
      <c r="CK116" s="176" t="n"/>
      <c r="CL116" s="176" t="n"/>
      <c r="CM116" s="176" t="n"/>
      <c r="CN116" s="176" t="n"/>
      <c r="CO116" s="176" t="n"/>
      <c r="CP116" s="176" t="n"/>
      <c r="CQ116" s="176" t="n"/>
      <c r="CR116" s="176" t="n"/>
      <c r="CS116" s="176" t="n"/>
      <c r="CT116" s="176" t="n"/>
      <c r="CU116" s="176" t="n"/>
      <c r="CV116" s="176" t="n"/>
      <c r="CW116" s="176" t="n"/>
      <c r="CX116" s="176" t="n"/>
      <c r="CY116" s="176" t="n"/>
      <c r="CZ116" s="176" t="n"/>
      <c r="DA116" s="181" t="inlineStr">
        <is>
          <t>TIPO</t>
        </is>
      </c>
      <c r="DB116" s="182" t="n"/>
      <c r="DC116" s="182" t="n"/>
      <c r="DD116" s="183" t="n"/>
      <c r="DE116" s="181" t="inlineStr">
        <is>
          <t>MESTRE VIU</t>
        </is>
      </c>
      <c r="DF116" s="183" t="n"/>
      <c r="DG116" s="176" t="n"/>
      <c r="DH116" s="176" t="n"/>
      <c r="DI116" s="181" t="inlineStr">
        <is>
          <t>TIPO</t>
        </is>
      </c>
      <c r="DJ116" s="182" t="n"/>
      <c r="DK116" s="182" t="n"/>
      <c r="DL116" s="183" t="n"/>
      <c r="DM116" s="181" t="inlineStr">
        <is>
          <t>MESTRE VIU</t>
        </is>
      </c>
      <c r="DN116" s="183" t="n"/>
      <c r="DO116" s="176" t="n"/>
      <c r="DP116" s="176" t="n"/>
      <c r="DQ116" s="176" t="n"/>
      <c r="DR116" s="176" t="n"/>
      <c r="DS116" s="176" t="n"/>
      <c r="DT116" s="176" t="n"/>
      <c r="DU116" s="176" t="n"/>
      <c r="DV116" s="176" t="n"/>
      <c r="DW116" s="176" t="n"/>
      <c r="DX116" s="176" t="n"/>
      <c r="DY116" s="176" t="n"/>
      <c r="DZ116" s="176" t="n"/>
      <c r="EA116" s="176" t="n"/>
      <c r="EB116" s="176" t="n"/>
      <c r="EC116" s="176" t="n"/>
      <c r="ED116" s="176" t="n"/>
      <c r="EE116" s="176" t="n"/>
      <c r="EF116" s="176" t="n"/>
      <c r="EG116" s="176" t="n"/>
      <c r="EH116" s="176" t="n"/>
      <c r="EI116" s="193" t="n"/>
      <c r="EN116" s="194" t="n"/>
      <c r="EO116" s="176" t="n"/>
      <c r="EP116" s="176" t="n"/>
      <c r="EQ116" s="193" t="n"/>
      <c r="EV116" s="194" t="n"/>
      <c r="EW116" s="176" t="n"/>
      <c r="EX116" s="176" t="n"/>
      <c r="EY116" s="176" t="n"/>
      <c r="EZ116" s="181" t="inlineStr">
        <is>
          <t>RESTRIÇÃO EMBUTIDA</t>
        </is>
      </c>
      <c r="FA116" s="182" t="n"/>
      <c r="FB116" s="183" t="n"/>
      <c r="FC116" s="185" t="n"/>
      <c r="FD116" s="182" t="n"/>
      <c r="FE116" s="183" t="n"/>
      <c r="FF116" s="176" t="n"/>
      <c r="FG116" s="176" t="n"/>
      <c r="FH116" s="181" t="inlineStr">
        <is>
          <t>RESTRIÇÃO EMBUTIDA</t>
        </is>
      </c>
      <c r="FI116" s="182" t="n"/>
      <c r="FJ116" s="183" t="n"/>
      <c r="FK116" s="185" t="n"/>
      <c r="FL116" s="182" t="n"/>
      <c r="FM116" s="183" t="n"/>
      <c r="FN116" s="176" t="n"/>
      <c r="FO116" s="176" t="n"/>
      <c r="FP116" s="176" t="n"/>
      <c r="FQ116" s="176" t="n"/>
      <c r="FR116" s="176" t="n"/>
      <c r="FS116" s="176" t="n"/>
      <c r="FT116" s="176" t="n"/>
      <c r="FU116" s="176" t="n"/>
      <c r="FV116" s="176" t="n"/>
      <c r="FW116" s="176" t="n"/>
      <c r="FX116" s="176" t="n"/>
      <c r="FY116" s="176" t="n"/>
      <c r="FZ116" s="176" t="n"/>
      <c r="GA116" s="176" t="n"/>
      <c r="GB116" s="176" t="n"/>
      <c r="GC116" s="176" t="n"/>
      <c r="GD116" s="176" t="n"/>
      <c r="GE116" s="176" t="n"/>
      <c r="GF116" s="176" t="n"/>
      <c r="GG116" s="176" t="n"/>
      <c r="GH116" s="185" t="n"/>
      <c r="GI116" s="182" t="n"/>
      <c r="GJ116" s="182" t="n"/>
      <c r="GK116" s="182" t="n"/>
      <c r="GL116" s="182" t="n"/>
      <c r="GM116" s="183" t="n"/>
      <c r="GN116" s="176" t="n"/>
      <c r="GO116" s="176" t="n"/>
      <c r="GP116" s="185" t="n"/>
      <c r="GQ116" s="182" t="n"/>
      <c r="GR116" s="182" t="n"/>
      <c r="GS116" s="182" t="n"/>
      <c r="GT116" s="182" t="n"/>
      <c r="GU116" s="183" t="n"/>
      <c r="GV116" s="176" t="n"/>
      <c r="GW116" s="176" t="n"/>
      <c r="GX116" s="176" t="n"/>
      <c r="GY116" s="193" t="n"/>
      <c r="HD116" s="194" t="n"/>
      <c r="HE116" s="176" t="n"/>
      <c r="HF116" s="176" t="n"/>
      <c r="HG116" s="193" t="n"/>
      <c r="HL116" s="194" t="n"/>
      <c r="HM116" s="176" t="n"/>
      <c r="HN116" s="176" t="n"/>
      <c r="HO116" s="176" t="n"/>
      <c r="HP116" s="193" t="n"/>
      <c r="HU116" s="194" t="n"/>
      <c r="HV116" s="176" t="n"/>
      <c r="HW116" s="176" t="n"/>
      <c r="HX116" s="193" t="n"/>
      <c r="IC116" s="194" t="n"/>
      <c r="ID116" s="176" t="n"/>
    </row>
    <row r="117" ht="21" customHeight="1">
      <c r="A117" s="176" t="n"/>
      <c r="B117" s="176" t="n"/>
      <c r="C117" s="186" t="n">
        <v>18</v>
      </c>
      <c r="D117" s="183" t="n"/>
      <c r="E117" s="197">
        <f>IF(DADOS_CONFIG!$AI$10="","","d"&amp;DADOS_CONFIG!$AI$10)</f>
        <v/>
      </c>
      <c r="F117" s="186" t="n"/>
      <c r="G117" s="186">
        <f>IF(DADOS_CONFIG!$S$15="Não","",IF(18&gt;'FICHA'!$AH$11,"",DADOS_CONFIG!AF19))</f>
        <v/>
      </c>
      <c r="H117" s="176" t="n"/>
      <c r="I117" s="176" t="n"/>
      <c r="J117" s="176" t="n"/>
      <c r="K117" s="176" t="n"/>
      <c r="L117" s="176" t="n"/>
      <c r="M117" s="176" t="n"/>
      <c r="N117" s="176" t="n"/>
      <c r="O117" s="176" t="n"/>
      <c r="P117" s="176" t="n"/>
      <c r="Q117" s="176" t="n"/>
      <c r="R117" s="176" t="n"/>
      <c r="S117" s="176" t="n"/>
      <c r="T117" s="181" t="inlineStr">
        <is>
          <t>EFEITO · DESCRIÇÃO</t>
        </is>
      </c>
      <c r="U117" s="182" t="n"/>
      <c r="V117" s="182" t="n"/>
      <c r="W117" s="182" t="n"/>
      <c r="X117" s="182" t="n"/>
      <c r="Y117" s="183" t="n"/>
      <c r="Z117" s="176" t="n"/>
      <c r="AA117" s="176" t="n"/>
      <c r="AB117" s="181" t="inlineStr">
        <is>
          <t>EFEITO · DESCRIÇÃO</t>
        </is>
      </c>
      <c r="AC117" s="182" t="n"/>
      <c r="AD117" s="182" t="n"/>
      <c r="AE117" s="182" t="n"/>
      <c r="AF117" s="182" t="n"/>
      <c r="AG117" s="183" t="n"/>
      <c r="AH117" s="176" t="n"/>
      <c r="AI117" s="176" t="n"/>
      <c r="AJ117" s="176" t="n"/>
      <c r="AK117" s="176" t="n"/>
      <c r="AL117" s="176" t="n"/>
      <c r="AM117" s="176" t="n"/>
      <c r="AN117" s="176" t="n"/>
      <c r="AO117" s="176" t="n"/>
      <c r="AP117" s="176" t="n"/>
      <c r="AQ117" s="176" t="n"/>
      <c r="AR117" s="176" t="n"/>
      <c r="AS117" s="176" t="n"/>
      <c r="AT117" s="176" t="n"/>
      <c r="AU117" s="176" t="n"/>
      <c r="AV117" s="176" t="n"/>
      <c r="AW117" s="176" t="n"/>
      <c r="AX117" s="176" t="n"/>
      <c r="AY117" s="176" t="n"/>
      <c r="AZ117" s="176" t="n"/>
      <c r="BA117" s="176" t="n"/>
      <c r="BB117" s="176" t="n"/>
      <c r="BC117" s="176" t="n"/>
      <c r="BD117" s="176" t="n"/>
      <c r="BE117" s="176" t="n"/>
      <c r="BF117" s="176" t="n"/>
      <c r="BG117" s="176" t="n"/>
      <c r="BH117" s="176" t="n"/>
      <c r="BI117" s="176" t="n"/>
      <c r="BJ117" s="176" t="n"/>
      <c r="BK117" s="176" t="n"/>
      <c r="BL117" s="176" t="n"/>
      <c r="BM117" s="176" t="n"/>
      <c r="BN117" s="176" t="n"/>
      <c r="BO117" s="176" t="n"/>
      <c r="BP117" s="176" t="n"/>
      <c r="BQ117" s="176" t="n"/>
      <c r="BR117" s="176" t="n"/>
      <c r="BS117" s="176" t="n"/>
      <c r="BT117" s="176" t="n"/>
      <c r="BU117" s="176" t="n"/>
      <c r="BV117" s="176" t="n"/>
      <c r="BW117" s="176" t="n"/>
      <c r="BX117" s="176" t="n"/>
      <c r="BY117" s="176" t="n"/>
      <c r="BZ117" s="176" t="n"/>
      <c r="CA117" s="176" t="n"/>
      <c r="CB117" s="176" t="n"/>
      <c r="CC117" s="176" t="n"/>
      <c r="CD117" s="176" t="n"/>
      <c r="CE117" s="176" t="n"/>
      <c r="CF117" s="176" t="n"/>
      <c r="CG117" s="176" t="n"/>
      <c r="CH117" s="176" t="n"/>
      <c r="CI117" s="176" t="n"/>
      <c r="CJ117" s="176" t="n"/>
      <c r="CK117" s="176" t="n"/>
      <c r="CL117" s="176" t="n"/>
      <c r="CM117" s="176" t="n"/>
      <c r="CN117" s="176" t="n"/>
      <c r="CO117" s="176" t="n"/>
      <c r="CP117" s="176" t="n"/>
      <c r="CQ117" s="176" t="n"/>
      <c r="CR117" s="176" t="n"/>
      <c r="CS117" s="176" t="n"/>
      <c r="CT117" s="176" t="n"/>
      <c r="CU117" s="176" t="n"/>
      <c r="CV117" s="176" t="n"/>
      <c r="CW117" s="176" t="n"/>
      <c r="CX117" s="176" t="n"/>
      <c r="CY117" s="176" t="n"/>
      <c r="CZ117" s="176" t="n"/>
      <c r="DA117" s="185" t="inlineStr">
        <is>
          <t>Melhoria</t>
        </is>
      </c>
      <c r="DB117" s="182" t="n"/>
      <c r="DC117" s="182" t="n"/>
      <c r="DD117" s="183" t="n"/>
      <c r="DE117" s="184" t="b">
        <v>0</v>
      </c>
      <c r="DF117" s="183" t="n"/>
      <c r="DG117" s="176" t="n"/>
      <c r="DH117" s="176" t="n"/>
      <c r="DI117" s="185" t="inlineStr">
        <is>
          <t>Melhoria</t>
        </is>
      </c>
      <c r="DJ117" s="182" t="n"/>
      <c r="DK117" s="182" t="n"/>
      <c r="DL117" s="183" t="n"/>
      <c r="DM117" s="184" t="b">
        <v>0</v>
      </c>
      <c r="DN117" s="183" t="n"/>
      <c r="DO117" s="176" t="n"/>
      <c r="DP117" s="176" t="n"/>
      <c r="DQ117" s="176" t="n"/>
      <c r="DR117" s="180">
        <f>IF('DADOS_RESTRICOES'!$K$10="","","⚠ "&amp;'DADOS_RESTRICOES'!$K$10)</f>
        <v/>
      </c>
      <c r="DX117" s="176" t="n"/>
      <c r="DY117" s="176" t="n"/>
      <c r="DZ117" s="180">
        <f>IF('DADOS_RESTRICOES'!$K$11="","","⚠ "&amp;'DADOS_RESTRICOES'!$K$11)</f>
        <v/>
      </c>
      <c r="EF117" s="176" t="n"/>
      <c r="EG117" s="176" t="n"/>
      <c r="EH117" s="176" t="n"/>
      <c r="EI117" s="193" t="n"/>
      <c r="EN117" s="194" t="n"/>
      <c r="EO117" s="176" t="n"/>
      <c r="EP117" s="176" t="n"/>
      <c r="EQ117" s="193" t="n"/>
      <c r="EV117" s="194" t="n"/>
      <c r="EW117" s="176" t="n"/>
      <c r="EX117" s="176" t="n"/>
      <c r="EY117" s="176" t="n"/>
      <c r="EZ117" s="181" t="inlineStr">
        <is>
          <t>ESCADA DE ALCANCE</t>
        </is>
      </c>
      <c r="FA117" s="182" t="n"/>
      <c r="FB117" s="183" t="n"/>
      <c r="FC117" s="185" t="n"/>
      <c r="FD117" s="182" t="n"/>
      <c r="FE117" s="183" t="n"/>
      <c r="FF117" s="176" t="n"/>
      <c r="FG117" s="176" t="n"/>
      <c r="FH117" s="181" t="inlineStr">
        <is>
          <t>ESCADA DE ALCANCE</t>
        </is>
      </c>
      <c r="FI117" s="182" t="n"/>
      <c r="FJ117" s="183" t="n"/>
      <c r="FK117" s="185" t="n"/>
      <c r="FL117" s="182" t="n"/>
      <c r="FM117" s="183" t="n"/>
      <c r="FN117" s="176" t="n"/>
      <c r="FO117" s="176" t="n"/>
      <c r="FP117" s="176" t="n"/>
      <c r="FQ117" s="180">
        <f>IF('DADOS_APTIDOES'!$K8="","","⚠ "&amp;'DADOS_APTIDOES'!$K8)</f>
        <v/>
      </c>
      <c r="FW117" s="176" t="n"/>
      <c r="FX117" s="176" t="n"/>
      <c r="FY117" s="180">
        <f>IF('DADOS_APTIDOES'!$K9="","","⚠ "&amp;'DADOS_APTIDOES'!$K9)</f>
        <v/>
      </c>
      <c r="GE117" s="176" t="n"/>
      <c r="GF117" s="176" t="n"/>
      <c r="GG117" s="176" t="n"/>
      <c r="GH117" s="181" t="inlineStr">
        <is>
          <t>BASE DO LIVRO</t>
        </is>
      </c>
      <c r="GI117" s="182" t="n"/>
      <c r="GJ117" s="183" t="n"/>
      <c r="GK117" s="185" t="n"/>
      <c r="GL117" s="182" t="n"/>
      <c r="GM117" s="183" t="n"/>
      <c r="GN117" s="176" t="n"/>
      <c r="GO117" s="176" t="n"/>
      <c r="GP117" s="181" t="inlineStr">
        <is>
          <t>BASE DO LIVRO</t>
        </is>
      </c>
      <c r="GQ117" s="182" t="n"/>
      <c r="GR117" s="183" t="n"/>
      <c r="GS117" s="185" t="n"/>
      <c r="GT117" s="182" t="n"/>
      <c r="GU117" s="183" t="n"/>
      <c r="GV117" s="176" t="n"/>
      <c r="GW117" s="176" t="n"/>
      <c r="GX117" s="176" t="n"/>
      <c r="GY117" s="193" t="n"/>
      <c r="HD117" s="194" t="n"/>
      <c r="HE117" s="176" t="n"/>
      <c r="HF117" s="176" t="n"/>
      <c r="HG117" s="193" t="n"/>
      <c r="HL117" s="194" t="n"/>
      <c r="HM117" s="176" t="n"/>
      <c r="HN117" s="176" t="n"/>
      <c r="HO117" s="176" t="n"/>
      <c r="HP117" s="193" t="n"/>
      <c r="HU117" s="194" t="n"/>
      <c r="HV117" s="176" t="n"/>
      <c r="HW117" s="176" t="n"/>
      <c r="HX117" s="193" t="n"/>
      <c r="IC117" s="194" t="n"/>
      <c r="ID117" s="176" t="n"/>
    </row>
    <row r="118" ht="21" customHeight="1">
      <c r="A118" s="176" t="n"/>
      <c r="B118" s="176" t="n"/>
      <c r="C118" s="186" t="n">
        <v>19</v>
      </c>
      <c r="D118" s="183" t="n"/>
      <c r="E118" s="197">
        <f>IF(DADOS_CONFIG!$AI$10="","","d"&amp;DADOS_CONFIG!$AI$10)</f>
        <v/>
      </c>
      <c r="F118" s="186" t="n"/>
      <c r="G118" s="186">
        <f>IF(DADOS_CONFIG!$S$15="Não","",IF(19&gt;'FICHA'!$AH$11,"",DADOS_CONFIG!AF20))</f>
        <v/>
      </c>
      <c r="H118" s="176" t="n"/>
      <c r="I118" s="176" t="n"/>
      <c r="J118" s="176" t="n"/>
      <c r="K118" s="176" t="n"/>
      <c r="L118" s="176" t="n"/>
      <c r="M118" s="176" t="n"/>
      <c r="N118" s="176" t="n"/>
      <c r="O118" s="176" t="n"/>
      <c r="P118" s="176" t="n"/>
      <c r="Q118" s="176" t="n"/>
      <c r="R118" s="176" t="n"/>
      <c r="S118" s="176" t="n"/>
      <c r="T118" s="192" t="n"/>
      <c r="U118" s="187" t="n"/>
      <c r="V118" s="187" t="n"/>
      <c r="W118" s="187" t="n"/>
      <c r="X118" s="187" t="n"/>
      <c r="Y118" s="188" t="n"/>
      <c r="Z118" s="176" t="n"/>
      <c r="AA118" s="176" t="n"/>
      <c r="AB118" s="192" t="n"/>
      <c r="AC118" s="187" t="n"/>
      <c r="AD118" s="187" t="n"/>
      <c r="AE118" s="187" t="n"/>
      <c r="AF118" s="187" t="n"/>
      <c r="AG118" s="188" t="n"/>
      <c r="AH118" s="176" t="n"/>
      <c r="AI118" s="176" t="n"/>
      <c r="AJ118" s="176" t="n"/>
      <c r="AK118" s="176" t="n"/>
      <c r="AL118" s="176" t="n"/>
      <c r="AM118" s="176" t="n"/>
      <c r="AN118" s="176" t="n"/>
      <c r="AO118" s="176" t="n"/>
      <c r="AP118" s="176" t="n"/>
      <c r="AQ118" s="176" t="n"/>
      <c r="AR118" s="176" t="n"/>
      <c r="AS118" s="176" t="n"/>
      <c r="AT118" s="176" t="n"/>
      <c r="AU118" s="176" t="n"/>
      <c r="AV118" s="176" t="n"/>
      <c r="AW118" s="176" t="n"/>
      <c r="AX118" s="176" t="n"/>
      <c r="AY118" s="176" t="n"/>
      <c r="AZ118" s="176" t="n"/>
      <c r="BA118" s="176" t="n"/>
      <c r="BB118" s="176" t="n"/>
      <c r="BC118" s="176" t="n"/>
      <c r="BD118" s="176" t="n"/>
      <c r="BE118" s="176" t="n"/>
      <c r="BF118" s="176" t="n"/>
      <c r="BG118" s="176" t="n"/>
      <c r="BH118" s="176" t="n"/>
      <c r="BI118" s="176" t="n"/>
      <c r="BJ118" s="176" t="n"/>
      <c r="BK118" s="176" t="n"/>
      <c r="BL118" s="176" t="n"/>
      <c r="BM118" s="176" t="n"/>
      <c r="BN118" s="176" t="n"/>
      <c r="BO118" s="176" t="n"/>
      <c r="BP118" s="176" t="n"/>
      <c r="BQ118" s="176" t="n"/>
      <c r="BR118" s="176" t="n"/>
      <c r="BS118" s="176" t="n"/>
      <c r="BT118" s="176" t="n"/>
      <c r="BU118" s="176" t="n"/>
      <c r="BV118" s="176" t="n"/>
      <c r="BW118" s="176" t="n"/>
      <c r="BX118" s="176" t="n"/>
      <c r="BY118" s="176" t="n"/>
      <c r="BZ118" s="176" t="n"/>
      <c r="CA118" s="176" t="n"/>
      <c r="CB118" s="176" t="n"/>
      <c r="CC118" s="176" t="n"/>
      <c r="CD118" s="176" t="n"/>
      <c r="CE118" s="176" t="n"/>
      <c r="CF118" s="176" t="n"/>
      <c r="CG118" s="176" t="n"/>
      <c r="CH118" s="176" t="n"/>
      <c r="CI118" s="176" t="n"/>
      <c r="CJ118" s="176" t="n"/>
      <c r="CK118" s="176" t="n"/>
      <c r="CL118" s="176" t="n"/>
      <c r="CM118" s="176" t="n"/>
      <c r="CN118" s="176" t="n"/>
      <c r="CO118" s="176" t="n"/>
      <c r="CP118" s="176" t="n"/>
      <c r="CQ118" s="176" t="n"/>
      <c r="CR118" s="176" t="n"/>
      <c r="CS118" s="176" t="n"/>
      <c r="CT118" s="176" t="n"/>
      <c r="CU118" s="176" t="n"/>
      <c r="CV118" s="176" t="n"/>
      <c r="CW118" s="176" t="n"/>
      <c r="CX118" s="176" t="n"/>
      <c r="CY118" s="176" t="n"/>
      <c r="CZ118" s="176" t="n"/>
      <c r="DA118" s="181" t="inlineStr">
        <is>
          <t>NOME</t>
        </is>
      </c>
      <c r="DB118" s="182" t="n"/>
      <c r="DC118" s="182" t="n"/>
      <c r="DD118" s="182" t="n"/>
      <c r="DE118" s="182" t="n"/>
      <c r="DF118" s="183" t="n"/>
      <c r="DG118" s="176" t="n"/>
      <c r="DH118" s="176" t="n"/>
      <c r="DI118" s="181" t="inlineStr">
        <is>
          <t>NOME</t>
        </is>
      </c>
      <c r="DJ118" s="182" t="n"/>
      <c r="DK118" s="182" t="n"/>
      <c r="DL118" s="182" t="n"/>
      <c r="DM118" s="182" t="n"/>
      <c r="DN118" s="183" t="n"/>
      <c r="DO118" s="176" t="n"/>
      <c r="DP118" s="176" t="n"/>
      <c r="DQ118" s="176" t="n"/>
      <c r="DX118" s="176" t="n"/>
      <c r="DY118" s="176" t="n"/>
      <c r="EF118" s="176" t="n"/>
      <c r="EG118" s="176" t="n"/>
      <c r="EH118" s="176" t="n"/>
      <c r="EI118" s="193" t="n"/>
      <c r="EN118" s="194" t="n"/>
      <c r="EO118" s="176" t="n"/>
      <c r="EP118" s="176" t="n"/>
      <c r="EQ118" s="193" t="n"/>
      <c r="EV118" s="194" t="n"/>
      <c r="EW118" s="176" t="n"/>
      <c r="EX118" s="176" t="n"/>
      <c r="EY118" s="176" t="n"/>
      <c r="EZ118" s="181" t="inlineStr">
        <is>
          <t>ESCADA DE ÁREA</t>
        </is>
      </c>
      <c r="FA118" s="182" t="n"/>
      <c r="FB118" s="183" t="n"/>
      <c r="FC118" s="185" t="n"/>
      <c r="FD118" s="182" t="n"/>
      <c r="FE118" s="183" t="n"/>
      <c r="FF118" s="176" t="n"/>
      <c r="FG118" s="176" t="n"/>
      <c r="FH118" s="181" t="inlineStr">
        <is>
          <t>ESCADA DE ÁREA</t>
        </is>
      </c>
      <c r="FI118" s="182" t="n"/>
      <c r="FJ118" s="183" t="n"/>
      <c r="FK118" s="185" t="n"/>
      <c r="FL118" s="182" t="n"/>
      <c r="FM118" s="183" t="n"/>
      <c r="FN118" s="176" t="n"/>
      <c r="FO118" s="176" t="n"/>
      <c r="FP118" s="176" t="n"/>
      <c r="FW118" s="176" t="n"/>
      <c r="FX118" s="176" t="n"/>
      <c r="GE118" s="176" t="n"/>
      <c r="GF118" s="176" t="n"/>
      <c r="GG118" s="176" t="n"/>
      <c r="GH118" s="181" t="inlineStr">
        <is>
          <t>CATEGORIA DE EFEITO</t>
        </is>
      </c>
      <c r="GI118" s="182" t="n"/>
      <c r="GJ118" s="183" t="n"/>
      <c r="GK118" s="185" t="n"/>
      <c r="GL118" s="182" t="n"/>
      <c r="GM118" s="183" t="n"/>
      <c r="GN118" s="176" t="n"/>
      <c r="GO118" s="176" t="n"/>
      <c r="GP118" s="181" t="inlineStr">
        <is>
          <t>CATEGORIA DE EFEITO</t>
        </is>
      </c>
      <c r="GQ118" s="182" t="n"/>
      <c r="GR118" s="183" t="n"/>
      <c r="GS118" s="185" t="n"/>
      <c r="GT118" s="182" t="n"/>
      <c r="GU118" s="183" t="n"/>
      <c r="GV118" s="176" t="n"/>
      <c r="GW118" s="176" t="n"/>
      <c r="GX118" s="176" t="n"/>
      <c r="GY118" s="193" t="n"/>
      <c r="HD118" s="194" t="n"/>
      <c r="HE118" s="176" t="n"/>
      <c r="HF118" s="176" t="n"/>
      <c r="HG118" s="193" t="n"/>
      <c r="HL118" s="194" t="n"/>
      <c r="HM118" s="176" t="n"/>
      <c r="HN118" s="176" t="n"/>
      <c r="HO118" s="176" t="n"/>
      <c r="HP118" s="193" t="n"/>
      <c r="HU118" s="194" t="n"/>
      <c r="HV118" s="176" t="n"/>
      <c r="HW118" s="176" t="n"/>
      <c r="HX118" s="193" t="n"/>
      <c r="IC118" s="194" t="n"/>
      <c r="ID118" s="176" t="n"/>
    </row>
    <row r="119" ht="21" customHeight="1">
      <c r="A119" s="176" t="n"/>
      <c r="B119" s="176" t="n"/>
      <c r="C119" s="186" t="n">
        <v>20</v>
      </c>
      <c r="D119" s="183" t="n"/>
      <c r="E119" s="197">
        <f>IF(DADOS_CONFIG!$AI$10="","","d"&amp;DADOS_CONFIG!$AI$10)</f>
        <v/>
      </c>
      <c r="F119" s="186" t="n"/>
      <c r="G119" s="186">
        <f>IF(DADOS_CONFIG!$S$15="Não","",IF(20&gt;'FICHA'!$AH$11,"",DADOS_CONFIG!AF21))</f>
        <v/>
      </c>
      <c r="H119" s="176" t="n"/>
      <c r="I119" s="176" t="n"/>
      <c r="J119" s="176" t="n"/>
      <c r="K119" s="176" t="n"/>
      <c r="L119" s="176" t="n"/>
      <c r="M119" s="176" t="n"/>
      <c r="N119" s="176" t="n"/>
      <c r="O119" s="176" t="n"/>
      <c r="P119" s="176" t="n"/>
      <c r="Q119" s="176" t="n"/>
      <c r="R119" s="176" t="n"/>
      <c r="S119" s="176" t="n"/>
      <c r="T119" s="193" t="n"/>
      <c r="Y119" s="194" t="n"/>
      <c r="Z119" s="176" t="n"/>
      <c r="AA119" s="176" t="n"/>
      <c r="AB119" s="193" t="n"/>
      <c r="AG119" s="194" t="n"/>
      <c r="AH119" s="176" t="n"/>
      <c r="AI119" s="176" t="n"/>
      <c r="AJ119" s="176" t="n"/>
      <c r="AK119" s="176" t="n"/>
      <c r="AL119" s="176" t="n"/>
      <c r="AM119" s="176" t="n"/>
      <c r="AN119" s="176" t="n"/>
      <c r="AO119" s="176" t="n"/>
      <c r="AP119" s="176" t="n"/>
      <c r="AQ119" s="176" t="n"/>
      <c r="AR119" s="176" t="n"/>
      <c r="AS119" s="176" t="n"/>
      <c r="AT119" s="176" t="n"/>
      <c r="AU119" s="176" t="n"/>
      <c r="AV119" s="176" t="n"/>
      <c r="AW119" s="176" t="n"/>
      <c r="AX119" s="176" t="n"/>
      <c r="AY119" s="176" t="n"/>
      <c r="AZ119" s="176" t="n"/>
      <c r="BA119" s="176" t="n"/>
      <c r="BB119" s="176" t="n"/>
      <c r="BC119" s="176" t="n"/>
      <c r="BD119" s="176" t="n"/>
      <c r="BE119" s="176" t="n"/>
      <c r="BF119" s="176" t="n"/>
      <c r="BG119" s="176" t="n"/>
      <c r="BH119" s="176" t="n"/>
      <c r="BI119" s="176" t="n"/>
      <c r="BJ119" s="176" t="n"/>
      <c r="BK119" s="176" t="n"/>
      <c r="BL119" s="176" t="n"/>
      <c r="BM119" s="176" t="n"/>
      <c r="BN119" s="176" t="n"/>
      <c r="BO119" s="176" t="n"/>
      <c r="BP119" s="176" t="n"/>
      <c r="BQ119" s="176" t="n"/>
      <c r="BR119" s="176" t="n"/>
      <c r="BS119" s="176" t="n"/>
      <c r="BT119" s="176" t="n"/>
      <c r="BU119" s="176" t="n"/>
      <c r="BV119" s="176" t="n"/>
      <c r="BW119" s="176" t="n"/>
      <c r="BX119" s="176" t="n"/>
      <c r="BY119" s="176" t="n"/>
      <c r="BZ119" s="176" t="n"/>
      <c r="CA119" s="176" t="n"/>
      <c r="CB119" s="176" t="n"/>
      <c r="CC119" s="176" t="n"/>
      <c r="CD119" s="176" t="n"/>
      <c r="CE119" s="176" t="n"/>
      <c r="CF119" s="176" t="n"/>
      <c r="CG119" s="176" t="n"/>
      <c r="CH119" s="176" t="n"/>
      <c r="CI119" s="176" t="n"/>
      <c r="CJ119" s="176" t="n"/>
      <c r="CK119" s="176" t="n"/>
      <c r="CL119" s="176" t="n"/>
      <c r="CM119" s="176" t="n"/>
      <c r="CN119" s="176" t="n"/>
      <c r="CO119" s="176" t="n"/>
      <c r="CP119" s="176" t="n"/>
      <c r="CQ119" s="176" t="n"/>
      <c r="CR119" s="176" t="n"/>
      <c r="CS119" s="176" t="n"/>
      <c r="CT119" s="176" t="n"/>
      <c r="CU119" s="176" t="n"/>
      <c r="CV119" s="176" t="n"/>
      <c r="CW119" s="176" t="n"/>
      <c r="CX119" s="176" t="n"/>
      <c r="CY119" s="176" t="n"/>
      <c r="CZ119" s="176" t="n"/>
      <c r="DA119" s="185" t="n"/>
      <c r="DB119" s="182" t="n"/>
      <c r="DC119" s="182" t="n"/>
      <c r="DD119" s="182" t="n"/>
      <c r="DE119" s="182" t="n"/>
      <c r="DF119" s="183" t="n"/>
      <c r="DG119" s="176" t="n"/>
      <c r="DH119" s="176" t="n"/>
      <c r="DI119" s="185" t="n"/>
      <c r="DJ119" s="182" t="n"/>
      <c r="DK119" s="182" t="n"/>
      <c r="DL119" s="182" t="n"/>
      <c r="DM119" s="182" t="n"/>
      <c r="DN119" s="183" t="n"/>
      <c r="DO119" s="176" t="n"/>
      <c r="DP119" s="176" t="n"/>
      <c r="DQ119" s="176" t="n"/>
      <c r="DR119" s="176" t="n"/>
      <c r="DS119" s="176" t="n"/>
      <c r="DT119" s="176" t="n"/>
      <c r="DU119" s="176" t="n"/>
      <c r="DV119" s="176" t="n"/>
      <c r="DW119" s="176" t="n"/>
      <c r="DX119" s="176" t="n"/>
      <c r="DY119" s="176" t="n"/>
      <c r="DZ119" s="176" t="n"/>
      <c r="EA119" s="176" t="n"/>
      <c r="EB119" s="176" t="n"/>
      <c r="EC119" s="176" t="n"/>
      <c r="ED119" s="176" t="n"/>
      <c r="EE119" s="176" t="n"/>
      <c r="EF119" s="176" t="n"/>
      <c r="EG119" s="176" t="n"/>
      <c r="EH119" s="176" t="n"/>
      <c r="EI119" s="189" t="n"/>
      <c r="EJ119" s="190" t="n"/>
      <c r="EK119" s="190" t="n"/>
      <c r="EL119" s="190" t="n"/>
      <c r="EM119" s="190" t="n"/>
      <c r="EN119" s="191" t="n"/>
      <c r="EO119" s="176" t="n"/>
      <c r="EP119" s="176" t="n"/>
      <c r="EQ119" s="189" t="n"/>
      <c r="ER119" s="190" t="n"/>
      <c r="ES119" s="190" t="n"/>
      <c r="ET119" s="190" t="n"/>
      <c r="EU119" s="190" t="n"/>
      <c r="EV119" s="191" t="n"/>
      <c r="EW119" s="176" t="n"/>
      <c r="EX119" s="176" t="n"/>
      <c r="EY119" s="176" t="n"/>
      <c r="EZ119" s="181" t="inlineStr">
        <is>
          <t>ALC · P · 0</t>
        </is>
      </c>
      <c r="FA119" s="182" t="n"/>
      <c r="FB119" s="183" t="n"/>
      <c r="FC119" s="185" t="n"/>
      <c r="FD119" s="182" t="n"/>
      <c r="FE119" s="183" t="n"/>
      <c r="FF119" s="176" t="n"/>
      <c r="FG119" s="176" t="n"/>
      <c r="FH119" s="181" t="inlineStr">
        <is>
          <t>ALC · P · 0</t>
        </is>
      </c>
      <c r="FI119" s="182" t="n"/>
      <c r="FJ119" s="183" t="n"/>
      <c r="FK119" s="185" t="n"/>
      <c r="FL119" s="182" t="n"/>
      <c r="FM119" s="183" t="n"/>
      <c r="FN119" s="176" t="n"/>
      <c r="FO119" s="176" t="n"/>
      <c r="FP119" s="176" t="n"/>
      <c r="FQ119" s="176" t="n"/>
      <c r="FR119" s="176" t="n"/>
      <c r="FS119" s="176" t="n"/>
      <c r="FT119" s="176" t="n"/>
      <c r="FU119" s="176" t="n"/>
      <c r="FV119" s="176" t="n"/>
      <c r="FW119" s="176" t="n"/>
      <c r="FX119" s="176" t="n"/>
      <c r="FY119" s="176" t="n"/>
      <c r="FZ119" s="176" t="n"/>
      <c r="GA119" s="176" t="n"/>
      <c r="GB119" s="176" t="n"/>
      <c r="GC119" s="176" t="n"/>
      <c r="GD119" s="176" t="n"/>
      <c r="GE119" s="176" t="n"/>
      <c r="GF119" s="176" t="n"/>
      <c r="GG119" s="176" t="n"/>
      <c r="GH119" s="181" t="inlineStr">
        <is>
          <t>ROTA</t>
        </is>
      </c>
      <c r="GI119" s="182" t="n"/>
      <c r="GJ119" s="183" t="n"/>
      <c r="GK119" s="185" t="n"/>
      <c r="GL119" s="182" t="n"/>
      <c r="GM119" s="183" t="n"/>
      <c r="GN119" s="176" t="n"/>
      <c r="GO119" s="176" t="n"/>
      <c r="GP119" s="181" t="inlineStr">
        <is>
          <t>ROTA</t>
        </is>
      </c>
      <c r="GQ119" s="182" t="n"/>
      <c r="GR119" s="183" t="n"/>
      <c r="GS119" s="185" t="n"/>
      <c r="GT119" s="182" t="n"/>
      <c r="GU119" s="183" t="n"/>
      <c r="GV119" s="176" t="n"/>
      <c r="GW119" s="176" t="n"/>
      <c r="GX119" s="176" t="n"/>
      <c r="GY119" s="189" t="n"/>
      <c r="GZ119" s="190" t="n"/>
      <c r="HA119" s="190" t="n"/>
      <c r="HB119" s="190" t="n"/>
      <c r="HC119" s="190" t="n"/>
      <c r="HD119" s="191" t="n"/>
      <c r="HE119" s="176" t="n"/>
      <c r="HF119" s="176" t="n"/>
      <c r="HG119" s="189" t="n"/>
      <c r="HH119" s="190" t="n"/>
      <c r="HI119" s="190" t="n"/>
      <c r="HJ119" s="190" t="n"/>
      <c r="HK119" s="190" t="n"/>
      <c r="HL119" s="191" t="n"/>
      <c r="HM119" s="176" t="n"/>
      <c r="HN119" s="176" t="n"/>
      <c r="HO119" s="176" t="n"/>
      <c r="HP119" s="189" t="n"/>
      <c r="HQ119" s="190" t="n"/>
      <c r="HR119" s="190" t="n"/>
      <c r="HS119" s="190" t="n"/>
      <c r="HT119" s="190" t="n"/>
      <c r="HU119" s="191" t="n"/>
      <c r="HV119" s="176" t="n"/>
      <c r="HW119" s="176" t="n"/>
      <c r="HX119" s="189" t="n"/>
      <c r="HY119" s="190" t="n"/>
      <c r="HZ119" s="190" t="n"/>
      <c r="IA119" s="190" t="n"/>
      <c r="IB119" s="190" t="n"/>
      <c r="IC119" s="191" t="n"/>
      <c r="ID119" s="176" t="n"/>
    </row>
    <row r="120" ht="21" customHeight="1">
      <c r="A120" s="176" t="n"/>
      <c r="B120" s="176" t="n"/>
      <c r="C120" s="186" t="n">
        <v>21</v>
      </c>
      <c r="D120" s="183" t="n"/>
      <c r="E120" s="197">
        <f>IF(DADOS_CONFIG!$AI$10="","","d"&amp;DADOS_CONFIG!$AI$10)</f>
        <v/>
      </c>
      <c r="F120" s="186" t="n"/>
      <c r="G120" s="186">
        <f>IF(DADOS_CONFIG!$S$15="Não","",IF(21&gt;'FICHA'!$AH$11,"",DADOS_CONFIG!AF22))</f>
        <v/>
      </c>
      <c r="H120" s="176" t="n"/>
      <c r="I120" s="176" t="n"/>
      <c r="J120" s="176" t="n"/>
      <c r="K120" s="176" t="n"/>
      <c r="L120" s="176" t="n"/>
      <c r="M120" s="176" t="n"/>
      <c r="N120" s="176" t="n"/>
      <c r="O120" s="176" t="n"/>
      <c r="P120" s="176" t="n"/>
      <c r="Q120" s="176" t="n"/>
      <c r="R120" s="176" t="n"/>
      <c r="S120" s="176" t="n"/>
      <c r="T120" s="193" t="n"/>
      <c r="Y120" s="194" t="n"/>
      <c r="Z120" s="176" t="n"/>
      <c r="AA120" s="176" t="n"/>
      <c r="AB120" s="193" t="n"/>
      <c r="AG120" s="194" t="n"/>
      <c r="AH120" s="176" t="n"/>
      <c r="AI120" s="176" t="n"/>
      <c r="AJ120" s="176" t="n"/>
      <c r="AK120" s="176" t="n"/>
      <c r="AL120" s="176" t="n"/>
      <c r="AM120" s="176" t="n"/>
      <c r="AN120" s="176" t="n"/>
      <c r="AO120" s="176" t="n"/>
      <c r="AP120" s="176" t="n"/>
      <c r="AQ120" s="176" t="n"/>
      <c r="AR120" s="176" t="n"/>
      <c r="AS120" s="176" t="n"/>
      <c r="AT120" s="176" t="n"/>
      <c r="AU120" s="176" t="n"/>
      <c r="AV120" s="176" t="n"/>
      <c r="AW120" s="176" t="n"/>
      <c r="AX120" s="176" t="n"/>
      <c r="AY120" s="176" t="n"/>
      <c r="AZ120" s="176" t="n"/>
      <c r="BA120" s="176" t="n"/>
      <c r="BB120" s="176" t="n"/>
      <c r="BC120" s="176" t="n"/>
      <c r="BD120" s="176" t="n"/>
      <c r="BE120" s="176" t="n"/>
      <c r="BF120" s="176" t="n"/>
      <c r="BG120" s="176" t="n"/>
      <c r="BH120" s="176" t="n"/>
      <c r="BI120" s="176" t="n"/>
      <c r="BJ120" s="176" t="n"/>
      <c r="BK120" s="176" t="n"/>
      <c r="BL120" s="176" t="n"/>
      <c r="BM120" s="176" t="n"/>
      <c r="BN120" s="176" t="n"/>
      <c r="BO120" s="176" t="n"/>
      <c r="BP120" s="176" t="n"/>
      <c r="BQ120" s="176" t="n"/>
      <c r="BR120" s="176" t="n"/>
      <c r="BS120" s="176" t="n"/>
      <c r="BT120" s="176" t="n"/>
      <c r="BU120" s="176" t="n"/>
      <c r="BV120" s="176" t="n"/>
      <c r="BW120" s="176" t="n"/>
      <c r="BX120" s="176" t="n"/>
      <c r="BY120" s="176" t="n"/>
      <c r="BZ120" s="176" t="n"/>
      <c r="CA120" s="176" t="n"/>
      <c r="CB120" s="176" t="n"/>
      <c r="CC120" s="176" t="n"/>
      <c r="CD120" s="176" t="n"/>
      <c r="CE120" s="176" t="n"/>
      <c r="CF120" s="176" t="n"/>
      <c r="CG120" s="176" t="n"/>
      <c r="CH120" s="176" t="n"/>
      <c r="CI120" s="176" t="n"/>
      <c r="CJ120" s="176" t="n"/>
      <c r="CK120" s="176" t="n"/>
      <c r="CL120" s="176" t="n"/>
      <c r="CM120" s="176" t="n"/>
      <c r="CN120" s="176" t="n"/>
      <c r="CO120" s="176" t="n"/>
      <c r="CP120" s="176" t="n"/>
      <c r="CQ120" s="176" t="n"/>
      <c r="CR120" s="176" t="n"/>
      <c r="CS120" s="176" t="n"/>
      <c r="CT120" s="176" t="n"/>
      <c r="CU120" s="176" t="n"/>
      <c r="CV120" s="176" t="n"/>
      <c r="CW120" s="176" t="n"/>
      <c r="CX120" s="176" t="n"/>
      <c r="CY120" s="176" t="n"/>
      <c r="CZ120" s="176" t="n"/>
      <c r="DA120" s="181" t="inlineStr">
        <is>
          <t>BASE DO LIVRO</t>
        </is>
      </c>
      <c r="DB120" s="182" t="n"/>
      <c r="DC120" s="183" t="n"/>
      <c r="DD120" s="185" t="inlineStr">
        <is>
          <t>Nenhuma</t>
        </is>
      </c>
      <c r="DE120" s="182" t="n"/>
      <c r="DF120" s="183" t="n"/>
      <c r="DG120" s="176" t="n"/>
      <c r="DH120" s="176" t="n"/>
      <c r="DI120" s="181" t="inlineStr">
        <is>
          <t>BASE DO LIVRO</t>
        </is>
      </c>
      <c r="DJ120" s="182" t="n"/>
      <c r="DK120" s="183" t="n"/>
      <c r="DL120" s="185" t="inlineStr">
        <is>
          <t>Nenhuma</t>
        </is>
      </c>
      <c r="DM120" s="182" t="n"/>
      <c r="DN120" s="183" t="n"/>
      <c r="DO120" s="176" t="n"/>
      <c r="DP120" s="176" t="n"/>
      <c r="DQ120" s="176" t="n"/>
      <c r="DR120" s="176" t="n"/>
      <c r="DS120" s="176" t="n"/>
      <c r="DT120" s="176" t="n"/>
      <c r="DU120" s="176" t="n"/>
      <c r="DV120" s="176" t="n"/>
      <c r="DW120" s="176" t="n"/>
      <c r="DX120" s="176" t="n"/>
      <c r="DY120" s="176" t="n"/>
      <c r="DZ120" s="176" t="n"/>
      <c r="EA120" s="176" t="n"/>
      <c r="EB120" s="176" t="n"/>
      <c r="EC120" s="176" t="n"/>
      <c r="ED120" s="176" t="n"/>
      <c r="EE120" s="176" t="n"/>
      <c r="EF120" s="176" t="n"/>
      <c r="EG120" s="176" t="n"/>
      <c r="EH120" s="176" t="n"/>
      <c r="EI120" s="180">
        <f>IF('DADOS_DANOS'!$H$8="","","⚠ "&amp;'DADOS_DANOS'!$H$8)</f>
        <v/>
      </c>
      <c r="EO120" s="176" t="n"/>
      <c r="EP120" s="176" t="n"/>
      <c r="EQ120" s="180">
        <f>IF('DADOS_DANOS'!$H$9="","","⚠ "&amp;'DADOS_DANOS'!$H$9)</f>
        <v/>
      </c>
      <c r="EW120" s="176" t="n"/>
      <c r="EX120" s="176" t="n"/>
      <c r="EY120" s="176" t="n"/>
      <c r="EZ120" s="181" t="inlineStr">
        <is>
          <t>ALC · P · 1 a 5</t>
        </is>
      </c>
      <c r="FA120" s="182" t="n"/>
      <c r="FB120" s="183" t="n"/>
      <c r="FC120" s="185" t="n"/>
      <c r="FD120" s="182" t="n"/>
      <c r="FE120" s="183" t="n"/>
      <c r="FF120" s="176" t="n"/>
      <c r="FG120" s="176" t="n"/>
      <c r="FH120" s="181" t="inlineStr">
        <is>
          <t>ALC · P · 1 a 5</t>
        </is>
      </c>
      <c r="FI120" s="182" t="n"/>
      <c r="FJ120" s="183" t="n"/>
      <c r="FK120" s="185" t="n"/>
      <c r="FL120" s="182" t="n"/>
      <c r="FM120" s="183" t="n"/>
      <c r="FN120" s="176" t="n"/>
      <c r="FO120" s="176" t="n"/>
      <c r="FP120" s="176" t="n"/>
      <c r="FQ120" s="179" t="inlineStr">
        <is>
          <t>APTIDÕES / BÊNÇÃOS · 9</t>
        </is>
      </c>
      <c r="FW120" s="176" t="n"/>
      <c r="FX120" s="176" t="n"/>
      <c r="FY120" s="179" t="inlineStr">
        <is>
          <t>APTIDÕES / BÊNÇÃOS · 10</t>
        </is>
      </c>
      <c r="GE120" s="176" t="n"/>
      <c r="GF120" s="176" t="n"/>
      <c r="GG120" s="176" t="n"/>
      <c r="GH120" s="176" t="n"/>
      <c r="GI120" s="176" t="n"/>
      <c r="GJ120" s="176" t="n"/>
      <c r="GK120" s="176" t="n"/>
      <c r="GL120" s="176" t="n"/>
      <c r="GM120" s="176" t="n"/>
      <c r="GN120" s="176" t="n"/>
      <c r="GO120" s="176" t="n"/>
      <c r="GP120" s="176" t="n"/>
      <c r="GQ120" s="176" t="n"/>
      <c r="GR120" s="176" t="n"/>
      <c r="GS120" s="176" t="n"/>
      <c r="GT120" s="176" t="n"/>
      <c r="GU120" s="176" t="n"/>
      <c r="GV120" s="176" t="n"/>
      <c r="GW120" s="176" t="n"/>
      <c r="GX120" s="176" t="n"/>
      <c r="GY120" s="176" t="n"/>
      <c r="GZ120" s="176" t="n"/>
      <c r="HA120" s="176" t="n"/>
      <c r="HB120" s="176" t="n"/>
      <c r="HC120" s="176" t="n"/>
      <c r="HD120" s="176" t="n"/>
      <c r="HE120" s="176" t="n"/>
      <c r="HF120" s="176" t="n"/>
      <c r="HG120" s="176" t="n"/>
      <c r="HH120" s="176" t="n"/>
      <c r="HI120" s="176" t="n"/>
      <c r="HJ120" s="176" t="n"/>
      <c r="HK120" s="176" t="n"/>
      <c r="HL120" s="176" t="n"/>
      <c r="HM120" s="176" t="n"/>
      <c r="HN120" s="176" t="n"/>
      <c r="HO120" s="176" t="n"/>
      <c r="HP120" s="176" t="n"/>
      <c r="HQ120" s="176" t="n"/>
      <c r="HR120" s="176" t="n"/>
      <c r="HS120" s="176" t="n"/>
      <c r="HT120" s="176" t="n"/>
      <c r="HU120" s="176" t="n"/>
      <c r="HV120" s="176" t="n"/>
      <c r="HW120" s="176" t="n"/>
      <c r="HX120" s="176" t="n"/>
      <c r="HY120" s="176" t="n"/>
      <c r="HZ120" s="176" t="n"/>
      <c r="IA120" s="176" t="n"/>
      <c r="IB120" s="176" t="n"/>
      <c r="IC120" s="176" t="n"/>
      <c r="ID120" s="176" t="n"/>
    </row>
    <row r="121" ht="21" customHeight="1">
      <c r="A121" s="176" t="n"/>
      <c r="B121" s="176" t="n"/>
      <c r="C121" s="186" t="n">
        <v>22</v>
      </c>
      <c r="D121" s="183" t="n"/>
      <c r="E121" s="197">
        <f>IF(DADOS_CONFIG!$AI$10="","","d"&amp;DADOS_CONFIG!$AI$10)</f>
        <v/>
      </c>
      <c r="F121" s="186" t="n"/>
      <c r="G121" s="186">
        <f>IF(DADOS_CONFIG!$S$15="Não","",IF(22&gt;'FICHA'!$AH$11,"",DADOS_CONFIG!AF23))</f>
        <v/>
      </c>
      <c r="H121" s="176" t="n"/>
      <c r="I121" s="176" t="n"/>
      <c r="J121" s="176" t="n"/>
      <c r="K121" s="176" t="n"/>
      <c r="L121" s="176" t="n"/>
      <c r="M121" s="176" t="n"/>
      <c r="N121" s="176" t="n"/>
      <c r="O121" s="176" t="n"/>
      <c r="P121" s="176" t="n"/>
      <c r="Q121" s="176" t="n"/>
      <c r="R121" s="176" t="n"/>
      <c r="S121" s="176" t="n"/>
      <c r="T121" s="193" t="n"/>
      <c r="Y121" s="194" t="n"/>
      <c r="Z121" s="176" t="n"/>
      <c r="AA121" s="176" t="n"/>
      <c r="AB121" s="193" t="n"/>
      <c r="AG121" s="194" t="n"/>
      <c r="AH121" s="176" t="n"/>
      <c r="AI121" s="176" t="n"/>
      <c r="AJ121" s="176" t="n"/>
      <c r="AK121" s="176" t="n"/>
      <c r="AL121" s="176" t="n"/>
      <c r="AM121" s="176" t="n"/>
      <c r="AN121" s="176" t="n"/>
      <c r="AO121" s="176" t="n"/>
      <c r="AP121" s="176" t="n"/>
      <c r="AQ121" s="176" t="n"/>
      <c r="AR121" s="176" t="n"/>
      <c r="AS121" s="176" t="n"/>
      <c r="AT121" s="176" t="n"/>
      <c r="AU121" s="176" t="n"/>
      <c r="AV121" s="176" t="n"/>
      <c r="AW121" s="176" t="n"/>
      <c r="AX121" s="176" t="n"/>
      <c r="AY121" s="176" t="n"/>
      <c r="AZ121" s="176" t="n"/>
      <c r="BA121" s="176" t="n"/>
      <c r="BB121" s="176" t="n"/>
      <c r="BC121" s="176" t="n"/>
      <c r="BD121" s="176" t="n"/>
      <c r="BE121" s="176" t="n"/>
      <c r="BF121" s="176" t="n"/>
      <c r="BG121" s="176" t="n"/>
      <c r="BH121" s="176" t="n"/>
      <c r="BI121" s="176" t="n"/>
      <c r="BJ121" s="176" t="n"/>
      <c r="BK121" s="176" t="n"/>
      <c r="BL121" s="176" t="n"/>
      <c r="BM121" s="176" t="n"/>
      <c r="BN121" s="176" t="n"/>
      <c r="BO121" s="176" t="n"/>
      <c r="BP121" s="176" t="n"/>
      <c r="BQ121" s="176" t="n"/>
      <c r="BR121" s="176" t="n"/>
      <c r="BS121" s="176" t="n"/>
      <c r="BT121" s="176" t="n"/>
      <c r="BU121" s="176" t="n"/>
      <c r="BV121" s="176" t="n"/>
      <c r="BW121" s="176" t="n"/>
      <c r="BX121" s="176" t="n"/>
      <c r="BY121" s="176" t="n"/>
      <c r="BZ121" s="176" t="n"/>
      <c r="CA121" s="176" t="n"/>
      <c r="CB121" s="176" t="n"/>
      <c r="CC121" s="176" t="n"/>
      <c r="CD121" s="176" t="n"/>
      <c r="CE121" s="176" t="n"/>
      <c r="CF121" s="176" t="n"/>
      <c r="CG121" s="176" t="n"/>
      <c r="CH121" s="176" t="n"/>
      <c r="CI121" s="176" t="n"/>
      <c r="CJ121" s="176" t="n"/>
      <c r="CK121" s="176" t="n"/>
      <c r="CL121" s="176" t="n"/>
      <c r="CM121" s="176" t="n"/>
      <c r="CN121" s="176" t="n"/>
      <c r="CO121" s="176" t="n"/>
      <c r="CP121" s="176" t="n"/>
      <c r="CQ121" s="176" t="n"/>
      <c r="CR121" s="176" t="n"/>
      <c r="CS121" s="176" t="n"/>
      <c r="CT121" s="176" t="n"/>
      <c r="CU121" s="176" t="n"/>
      <c r="CV121" s="176" t="n"/>
      <c r="CW121" s="176" t="n"/>
      <c r="CX121" s="176" t="n"/>
      <c r="CY121" s="176" t="n"/>
      <c r="CZ121" s="176" t="n"/>
      <c r="DA121" s="181" t="inlineStr">
        <is>
          <t>FAMÍLIA</t>
        </is>
      </c>
      <c r="DB121" s="182" t="n"/>
      <c r="DC121" s="183" t="n"/>
      <c r="DD121" s="185" t="n"/>
      <c r="DE121" s="182" t="n"/>
      <c r="DF121" s="183" t="n"/>
      <c r="DG121" s="176" t="n"/>
      <c r="DH121" s="176" t="n"/>
      <c r="DI121" s="181" t="inlineStr">
        <is>
          <t>FAMÍLIA</t>
        </is>
      </c>
      <c r="DJ121" s="182" t="n"/>
      <c r="DK121" s="183" t="n"/>
      <c r="DL121" s="185" t="n"/>
      <c r="DM121" s="182" t="n"/>
      <c r="DN121" s="183" t="n"/>
      <c r="DO121" s="176" t="n"/>
      <c r="DP121" s="176" t="n"/>
      <c r="DQ121" s="176" t="n"/>
      <c r="DR121" s="179" t="inlineStr">
        <is>
          <t>RESTRIÇÃO · 11</t>
        </is>
      </c>
      <c r="DX121" s="176" t="n"/>
      <c r="DY121" s="176" t="n"/>
      <c r="DZ121" s="179" t="inlineStr">
        <is>
          <t>RESTRIÇÃO · 12</t>
        </is>
      </c>
      <c r="EF121" s="176" t="n"/>
      <c r="EG121" s="176" t="n"/>
      <c r="EH121" s="176" t="n"/>
      <c r="EO121" s="176" t="n"/>
      <c r="EP121" s="176" t="n"/>
      <c r="EW121" s="176" t="n"/>
      <c r="EX121" s="176" t="n"/>
      <c r="EY121" s="176" t="n"/>
      <c r="EZ121" s="181" t="inlineStr">
        <is>
          <t>ALC · P · 6 e 7</t>
        </is>
      </c>
      <c r="FA121" s="182" t="n"/>
      <c r="FB121" s="183" t="n"/>
      <c r="FC121" s="185" t="n"/>
      <c r="FD121" s="182" t="n"/>
      <c r="FE121" s="183" t="n"/>
      <c r="FF121" s="176" t="n"/>
      <c r="FG121" s="176" t="n"/>
      <c r="FH121" s="181" t="inlineStr">
        <is>
          <t>ALC · P · 6 e 7</t>
        </is>
      </c>
      <c r="FI121" s="182" t="n"/>
      <c r="FJ121" s="183" t="n"/>
      <c r="FK121" s="185" t="n"/>
      <c r="FL121" s="182" t="n"/>
      <c r="FM121" s="183" t="n"/>
      <c r="FN121" s="176" t="n"/>
      <c r="FO121" s="176" t="n"/>
      <c r="FP121" s="176" t="n"/>
      <c r="FQ121" s="181" t="inlineStr">
        <is>
          <t>TIPO</t>
        </is>
      </c>
      <c r="FR121" s="182" t="n"/>
      <c r="FS121" s="182" t="n"/>
      <c r="FT121" s="183" t="n"/>
      <c r="FU121" s="181" t="inlineStr">
        <is>
          <t>MESTRE VIU</t>
        </is>
      </c>
      <c r="FV121" s="183" t="n"/>
      <c r="FW121" s="176" t="n"/>
      <c r="FX121" s="176" t="n"/>
      <c r="FY121" s="181" t="inlineStr">
        <is>
          <t>TIPO</t>
        </is>
      </c>
      <c r="FZ121" s="182" t="n"/>
      <c r="GA121" s="182" t="n"/>
      <c r="GB121" s="183" t="n"/>
      <c r="GC121" s="181" t="inlineStr">
        <is>
          <t>MESTRE VIU</t>
        </is>
      </c>
      <c r="GD121" s="183" t="n"/>
      <c r="GE121" s="176" t="n"/>
      <c r="GF121" s="176" t="n"/>
      <c r="GG121" s="176" t="n"/>
      <c r="GH121" s="181" t="inlineStr">
        <is>
          <t>REQUISITOS</t>
        </is>
      </c>
      <c r="GI121" s="182" t="n"/>
      <c r="GJ121" s="182" t="n"/>
      <c r="GK121" s="182" t="n"/>
      <c r="GL121" s="182" t="n"/>
      <c r="GM121" s="183" t="n"/>
      <c r="GN121" s="176" t="n"/>
      <c r="GO121" s="176" t="n"/>
      <c r="GP121" s="181" t="inlineStr">
        <is>
          <t>REQUISITOS</t>
        </is>
      </c>
      <c r="GQ121" s="182" t="n"/>
      <c r="GR121" s="182" t="n"/>
      <c r="GS121" s="182" t="n"/>
      <c r="GT121" s="182" t="n"/>
      <c r="GU121" s="183" t="n"/>
      <c r="GV121" s="176" t="n"/>
      <c r="GW121" s="176" t="n"/>
      <c r="GX121" s="176" t="n"/>
      <c r="GY121" s="180">
        <f>IF('DADOS_ENTIDADES'!$K$8="","","⚠ "&amp;'DADOS_ENTIDADES'!$K$8)</f>
        <v/>
      </c>
      <c r="HE121" s="176" t="n"/>
      <c r="HF121" s="176" t="n"/>
      <c r="HG121" s="180">
        <f>IF('DADOS_ENTIDADES'!$K$9="","","⚠ "&amp;'DADOS_ENTIDADES'!$K$9)</f>
        <v/>
      </c>
      <c r="HM121" s="176" t="n"/>
      <c r="HN121" s="176" t="n"/>
      <c r="HO121" s="176" t="n"/>
      <c r="HP121" s="180">
        <f>IF('DADOS_ENTIDADES'!$AG$8="","","⚠ "&amp;'DADOS_ENTIDADES'!$AG$8)</f>
        <v/>
      </c>
      <c r="HV121" s="176" t="n"/>
      <c r="HW121" s="176" t="n"/>
      <c r="HX121" s="180">
        <f>IF('DADOS_ENTIDADES'!$AG$9="","","⚠ "&amp;'DADOS_ENTIDADES'!$AG$9)</f>
        <v/>
      </c>
      <c r="ID121" s="176" t="n"/>
    </row>
    <row r="122" ht="21" customHeight="1">
      <c r="A122" s="176" t="n"/>
      <c r="B122" s="176" t="n"/>
      <c r="C122" s="186" t="n">
        <v>23</v>
      </c>
      <c r="D122" s="183" t="n"/>
      <c r="E122" s="197">
        <f>IF(DADOS_CONFIG!$AI$10="","","d"&amp;DADOS_CONFIG!$AI$10)</f>
        <v/>
      </c>
      <c r="F122" s="186" t="n"/>
      <c r="G122" s="186">
        <f>IF(DADOS_CONFIG!$S$15="Não","",IF(23&gt;'FICHA'!$AH$11,"",DADOS_CONFIG!AF24))</f>
        <v/>
      </c>
      <c r="H122" s="176" t="n"/>
      <c r="I122" s="176" t="n"/>
      <c r="J122" s="176" t="n"/>
      <c r="K122" s="176" t="n"/>
      <c r="L122" s="176" t="n"/>
      <c r="M122" s="176" t="n"/>
      <c r="N122" s="176" t="n"/>
      <c r="O122" s="176" t="n"/>
      <c r="P122" s="176" t="n"/>
      <c r="Q122" s="176" t="n"/>
      <c r="R122" s="176" t="n"/>
      <c r="S122" s="176" t="n"/>
      <c r="T122" s="189" t="n"/>
      <c r="U122" s="190" t="n"/>
      <c r="V122" s="190" t="n"/>
      <c r="W122" s="190" t="n"/>
      <c r="X122" s="190" t="n"/>
      <c r="Y122" s="191" t="n"/>
      <c r="Z122" s="176" t="n"/>
      <c r="AA122" s="176" t="n"/>
      <c r="AB122" s="189" t="n"/>
      <c r="AC122" s="190" t="n"/>
      <c r="AD122" s="190" t="n"/>
      <c r="AE122" s="190" t="n"/>
      <c r="AF122" s="190" t="n"/>
      <c r="AG122" s="191" t="n"/>
      <c r="AH122" s="176" t="n"/>
      <c r="AI122" s="176" t="n"/>
      <c r="AJ122" s="176" t="n"/>
      <c r="AK122" s="176" t="n"/>
      <c r="AL122" s="176" t="n"/>
      <c r="AM122" s="176" t="n"/>
      <c r="AN122" s="176" t="n"/>
      <c r="AO122" s="176" t="n"/>
      <c r="AP122" s="176" t="n"/>
      <c r="AQ122" s="176" t="n"/>
      <c r="AR122" s="176" t="n"/>
      <c r="AS122" s="176" t="n"/>
      <c r="AT122" s="176" t="n"/>
      <c r="AU122" s="176" t="n"/>
      <c r="AV122" s="176" t="n"/>
      <c r="AW122" s="176" t="n"/>
      <c r="AX122" s="176" t="n"/>
      <c r="AY122" s="176" t="n"/>
      <c r="AZ122" s="176" t="n"/>
      <c r="BA122" s="176" t="n"/>
      <c r="BB122" s="176" t="n"/>
      <c r="BC122" s="176" t="n"/>
      <c r="BD122" s="176" t="n"/>
      <c r="BE122" s="176" t="n"/>
      <c r="BF122" s="176" t="n"/>
      <c r="BG122" s="176" t="n"/>
      <c r="BH122" s="176" t="n"/>
      <c r="BI122" s="176" t="n"/>
      <c r="BJ122" s="176" t="n"/>
      <c r="BK122" s="176" t="n"/>
      <c r="BL122" s="176" t="n"/>
      <c r="BM122" s="176" t="n"/>
      <c r="BN122" s="176" t="n"/>
      <c r="BO122" s="176" t="n"/>
      <c r="BP122" s="176" t="n"/>
      <c r="BQ122" s="176" t="n"/>
      <c r="BR122" s="176" t="n"/>
      <c r="BS122" s="176" t="n"/>
      <c r="BT122" s="176" t="n"/>
      <c r="BU122" s="176" t="n"/>
      <c r="BV122" s="176" t="n"/>
      <c r="BW122" s="176" t="n"/>
      <c r="BX122" s="176" t="n"/>
      <c r="BY122" s="176" t="n"/>
      <c r="BZ122" s="176" t="n"/>
      <c r="CA122" s="176" t="n"/>
      <c r="CB122" s="176" t="n"/>
      <c r="CC122" s="176" t="n"/>
      <c r="CD122" s="176" t="n"/>
      <c r="CE122" s="176" t="n"/>
      <c r="CF122" s="176" t="n"/>
      <c r="CG122" s="176" t="n"/>
      <c r="CH122" s="176" t="n"/>
      <c r="CI122" s="176" t="n"/>
      <c r="CJ122" s="176" t="n"/>
      <c r="CK122" s="176" t="n"/>
      <c r="CL122" s="176" t="n"/>
      <c r="CM122" s="176" t="n"/>
      <c r="CN122" s="176" t="n"/>
      <c r="CO122" s="176" t="n"/>
      <c r="CP122" s="176" t="n"/>
      <c r="CQ122" s="176" t="n"/>
      <c r="CR122" s="176" t="n"/>
      <c r="CS122" s="176" t="n"/>
      <c r="CT122" s="176" t="n"/>
      <c r="CU122" s="176" t="n"/>
      <c r="CV122" s="176" t="n"/>
      <c r="CW122" s="176" t="n"/>
      <c r="CX122" s="176" t="n"/>
      <c r="CY122" s="176" t="n"/>
      <c r="CZ122" s="176" t="n"/>
      <c r="DA122" s="181" t="inlineStr">
        <is>
          <t>PESO</t>
        </is>
      </c>
      <c r="DB122" s="182" t="n"/>
      <c r="DC122" s="183" t="n"/>
      <c r="DD122" s="185" t="n"/>
      <c r="DE122" s="182" t="n"/>
      <c r="DF122" s="183" t="n"/>
      <c r="DG122" s="176" t="n"/>
      <c r="DH122" s="176" t="n"/>
      <c r="DI122" s="181" t="inlineStr">
        <is>
          <t>PESO</t>
        </is>
      </c>
      <c r="DJ122" s="182" t="n"/>
      <c r="DK122" s="183" t="n"/>
      <c r="DL122" s="185" t="n"/>
      <c r="DM122" s="182" t="n"/>
      <c r="DN122" s="183" t="n"/>
      <c r="DO122" s="176" t="n"/>
      <c r="DP122" s="176" t="n"/>
      <c r="DQ122" s="176" t="n"/>
      <c r="DR122" s="181" t="inlineStr">
        <is>
          <t>TIPO</t>
        </is>
      </c>
      <c r="DS122" s="182" t="n"/>
      <c r="DT122" s="182" t="n"/>
      <c r="DU122" s="183" t="n"/>
      <c r="DV122" s="181" t="inlineStr">
        <is>
          <t>MESTRE VIU</t>
        </is>
      </c>
      <c r="DW122" s="183" t="n"/>
      <c r="DX122" s="176" t="n"/>
      <c r="DY122" s="176" t="n"/>
      <c r="DZ122" s="181" t="inlineStr">
        <is>
          <t>TIPO</t>
        </is>
      </c>
      <c r="EA122" s="182" t="n"/>
      <c r="EB122" s="182" t="n"/>
      <c r="EC122" s="183" t="n"/>
      <c r="ED122" s="181" t="inlineStr">
        <is>
          <t>MESTRE VIU</t>
        </is>
      </c>
      <c r="EE122" s="183" t="n"/>
      <c r="EF122" s="176" t="n"/>
      <c r="EG122" s="176" t="n"/>
      <c r="EH122" s="176" t="n"/>
      <c r="EI122" s="176" t="n"/>
      <c r="EJ122" s="176" t="n"/>
      <c r="EK122" s="176" t="n"/>
      <c r="EL122" s="176" t="n"/>
      <c r="EM122" s="176" t="n"/>
      <c r="EN122" s="176" t="n"/>
      <c r="EO122" s="176" t="n"/>
      <c r="EP122" s="176" t="n"/>
      <c r="EQ122" s="176" t="n"/>
      <c r="ER122" s="176" t="n"/>
      <c r="ES122" s="176" t="n"/>
      <c r="ET122" s="176" t="n"/>
      <c r="EU122" s="176" t="n"/>
      <c r="EV122" s="176" t="n"/>
      <c r="EW122" s="176" t="n"/>
      <c r="EX122" s="176" t="n"/>
      <c r="EY122" s="176" t="n"/>
      <c r="EZ122" s="181" t="inlineStr">
        <is>
          <t>ALC · E · 0</t>
        </is>
      </c>
      <c r="FA122" s="182" t="n"/>
      <c r="FB122" s="183" t="n"/>
      <c r="FC122" s="185" t="n"/>
      <c r="FD122" s="182" t="n"/>
      <c r="FE122" s="183" t="n"/>
      <c r="FF122" s="176" t="n"/>
      <c r="FG122" s="176" t="n"/>
      <c r="FH122" s="181" t="inlineStr">
        <is>
          <t>ALC · E · 0</t>
        </is>
      </c>
      <c r="FI122" s="182" t="n"/>
      <c r="FJ122" s="183" t="n"/>
      <c r="FK122" s="185" t="n"/>
      <c r="FL122" s="182" t="n"/>
      <c r="FM122" s="183" t="n"/>
      <c r="FN122" s="176" t="n"/>
      <c r="FO122" s="176" t="n"/>
      <c r="FP122" s="176" t="n"/>
      <c r="FQ122" s="185" t="n"/>
      <c r="FR122" s="182" t="n"/>
      <c r="FS122" s="182" t="n"/>
      <c r="FT122" s="183" t="n"/>
      <c r="FU122" s="184" t="b">
        <v>0</v>
      </c>
      <c r="FV122" s="183" t="n"/>
      <c r="FW122" s="176" t="n"/>
      <c r="FX122" s="176" t="n"/>
      <c r="FY122" s="185" t="n"/>
      <c r="FZ122" s="182" t="n"/>
      <c r="GA122" s="182" t="n"/>
      <c r="GB122" s="183" t="n"/>
      <c r="GC122" s="184" t="b">
        <v>0</v>
      </c>
      <c r="GD122" s="183" t="n"/>
      <c r="GE122" s="176" t="n"/>
      <c r="GF122" s="176" t="n"/>
      <c r="GG122" s="176" t="n"/>
      <c r="GH122" s="192" t="n"/>
      <c r="GI122" s="187" t="n"/>
      <c r="GJ122" s="187" t="n"/>
      <c r="GK122" s="187" t="n"/>
      <c r="GL122" s="187" t="n"/>
      <c r="GM122" s="188" t="n"/>
      <c r="GN122" s="176" t="n"/>
      <c r="GO122" s="176" t="n"/>
      <c r="GP122" s="192" t="n"/>
      <c r="GQ122" s="187" t="n"/>
      <c r="GR122" s="187" t="n"/>
      <c r="GS122" s="187" t="n"/>
      <c r="GT122" s="187" t="n"/>
      <c r="GU122" s="188" t="n"/>
      <c r="GV122" s="176" t="n"/>
      <c r="GW122" s="176" t="n"/>
      <c r="GX122" s="176" t="n"/>
      <c r="HE122" s="176" t="n"/>
      <c r="HF122" s="176" t="n"/>
      <c r="HM122" s="176" t="n"/>
      <c r="HN122" s="176" t="n"/>
      <c r="HO122" s="176" t="n"/>
      <c r="HV122" s="176" t="n"/>
      <c r="HW122" s="176" t="n"/>
      <c r="ID122" s="176" t="n"/>
    </row>
    <row r="123" ht="21" customHeight="1">
      <c r="A123" s="176" t="n"/>
      <c r="B123" s="176" t="n"/>
      <c r="C123" s="186" t="n">
        <v>24</v>
      </c>
      <c r="D123" s="183" t="n"/>
      <c r="E123" s="197">
        <f>IF(DADOS_CONFIG!$AI$10="","","d"&amp;DADOS_CONFIG!$AI$10)</f>
        <v/>
      </c>
      <c r="F123" s="186" t="n"/>
      <c r="G123" s="186">
        <f>IF(DADOS_CONFIG!$S$15="Não","",IF(24&gt;'FICHA'!$AH$11,"",DADOS_CONFIG!AF25))</f>
        <v/>
      </c>
      <c r="H123" s="176" t="n"/>
      <c r="I123" s="176" t="n"/>
      <c r="J123" s="176" t="n"/>
      <c r="K123" s="176" t="n"/>
      <c r="L123" s="176" t="n"/>
      <c r="M123" s="176" t="n"/>
      <c r="N123" s="176" t="n"/>
      <c r="O123" s="176" t="n"/>
      <c r="P123" s="176" t="n"/>
      <c r="Q123" s="176" t="n"/>
      <c r="R123" s="176" t="n"/>
      <c r="S123" s="176" t="n"/>
      <c r="T123" s="180">
        <f>IF('DADOS_CUSTOM'!$S$8="","Revise os valores ao trocar o tipo.","⚠ "&amp;'DADOS_CUSTOM'!$S$8)</f>
        <v/>
      </c>
      <c r="Z123" s="176" t="n"/>
      <c r="AA123" s="176" t="n"/>
      <c r="AB123" s="180">
        <f>IF('DADOS_CUSTOM'!$S$9="","Revise os valores ao trocar o tipo.","⚠ "&amp;'DADOS_CUSTOM'!$S$9)</f>
        <v/>
      </c>
      <c r="AH123" s="176" t="n"/>
      <c r="AI123" s="176" t="n"/>
      <c r="AJ123" s="176" t="n"/>
      <c r="AK123" s="176" t="n"/>
      <c r="AL123" s="176" t="n"/>
      <c r="AM123" s="176" t="n"/>
      <c r="AN123" s="176" t="n"/>
      <c r="AO123" s="176" t="n"/>
      <c r="AP123" s="176" t="n"/>
      <c r="AQ123" s="176" t="n"/>
      <c r="AR123" s="176" t="n"/>
      <c r="AS123" s="176" t="n"/>
      <c r="AT123" s="176" t="n"/>
      <c r="AU123" s="176" t="n"/>
      <c r="AV123" s="176" t="n"/>
      <c r="AW123" s="176" t="n"/>
      <c r="AX123" s="176" t="n"/>
      <c r="AY123" s="176" t="n"/>
      <c r="AZ123" s="176" t="n"/>
      <c r="BA123" s="176" t="n"/>
      <c r="BB123" s="176" t="n"/>
      <c r="BC123" s="176" t="n"/>
      <c r="BD123" s="176" t="n"/>
      <c r="BE123" s="176" t="n"/>
      <c r="BF123" s="176" t="n"/>
      <c r="BG123" s="176" t="n"/>
      <c r="BH123" s="176" t="n"/>
      <c r="BI123" s="176" t="n"/>
      <c r="BJ123" s="176" t="n"/>
      <c r="BK123" s="176" t="n"/>
      <c r="BL123" s="176" t="n"/>
      <c r="BM123" s="176" t="n"/>
      <c r="BN123" s="176" t="n"/>
      <c r="BO123" s="176" t="n"/>
      <c r="BP123" s="176" t="n"/>
      <c r="BQ123" s="176" t="n"/>
      <c r="BR123" s="176" t="n"/>
      <c r="BS123" s="176" t="n"/>
      <c r="BT123" s="176" t="n"/>
      <c r="BU123" s="176" t="n"/>
      <c r="BV123" s="176" t="n"/>
      <c r="BW123" s="176" t="n"/>
      <c r="BX123" s="176" t="n"/>
      <c r="BY123" s="176" t="n"/>
      <c r="BZ123" s="176" t="n"/>
      <c r="CA123" s="176" t="n"/>
      <c r="CB123" s="176" t="n"/>
      <c r="CC123" s="176" t="n"/>
      <c r="CD123" s="176" t="n"/>
      <c r="CE123" s="176" t="n"/>
      <c r="CF123" s="176" t="n"/>
      <c r="CG123" s="176" t="n"/>
      <c r="CH123" s="176" t="n"/>
      <c r="CI123" s="176" t="n"/>
      <c r="CJ123" s="176" t="n"/>
      <c r="CK123" s="176" t="n"/>
      <c r="CL123" s="176" t="n"/>
      <c r="CM123" s="176" t="n"/>
      <c r="CN123" s="176" t="n"/>
      <c r="CO123" s="176" t="n"/>
      <c r="CP123" s="176" t="n"/>
      <c r="CQ123" s="176" t="n"/>
      <c r="CR123" s="176" t="n"/>
      <c r="CS123" s="176" t="n"/>
      <c r="CT123" s="176" t="n"/>
      <c r="CU123" s="176" t="n"/>
      <c r="CV123" s="176" t="n"/>
      <c r="CW123" s="176" t="n"/>
      <c r="CX123" s="176" t="n"/>
      <c r="CY123" s="176" t="n"/>
      <c r="CZ123" s="176" t="n"/>
      <c r="DA123" s="181" t="inlineStr">
        <is>
          <t>EXIGE TR</t>
        </is>
      </c>
      <c r="DB123" s="182" t="n"/>
      <c r="DC123" s="183" t="n"/>
      <c r="DD123" s="185" t="n"/>
      <c r="DE123" s="182" t="n"/>
      <c r="DF123" s="183" t="n"/>
      <c r="DG123" s="176" t="n"/>
      <c r="DH123" s="176" t="n"/>
      <c r="DI123" s="181" t="inlineStr">
        <is>
          <t>EXIGE TR</t>
        </is>
      </c>
      <c r="DJ123" s="182" t="n"/>
      <c r="DK123" s="183" t="n"/>
      <c r="DL123" s="185" t="n"/>
      <c r="DM123" s="182" t="n"/>
      <c r="DN123" s="183" t="n"/>
      <c r="DO123" s="176" t="n"/>
      <c r="DP123" s="176" t="n"/>
      <c r="DQ123" s="176" t="n"/>
      <c r="DR123" s="185" t="inlineStr">
        <is>
          <t>Restrição</t>
        </is>
      </c>
      <c r="DS123" s="182" t="n"/>
      <c r="DT123" s="182" t="n"/>
      <c r="DU123" s="183" t="n"/>
      <c r="DV123" s="184" t="b">
        <v>0</v>
      </c>
      <c r="DW123" s="183" t="n"/>
      <c r="DX123" s="176" t="n"/>
      <c r="DY123" s="176" t="n"/>
      <c r="DZ123" s="185" t="inlineStr">
        <is>
          <t>Restrição</t>
        </is>
      </c>
      <c r="EA123" s="182" t="n"/>
      <c r="EB123" s="182" t="n"/>
      <c r="EC123" s="183" t="n"/>
      <c r="ED123" s="184" t="b">
        <v>0</v>
      </c>
      <c r="EE123" s="183" t="n"/>
      <c r="EF123" s="176" t="n"/>
      <c r="EG123" s="176" t="n"/>
      <c r="EH123" s="176" t="n"/>
      <c r="EI123" s="179" t="inlineStr">
        <is>
          <t>TIPO DE DANO · 9</t>
        </is>
      </c>
      <c r="EO123" s="176" t="n"/>
      <c r="EP123" s="176" t="n"/>
      <c r="EQ123" s="179" t="inlineStr">
        <is>
          <t>TIPO DE DANO · 10</t>
        </is>
      </c>
      <c r="EW123" s="176" t="n"/>
      <c r="EX123" s="176" t="n"/>
      <c r="EY123" s="176" t="n"/>
      <c r="EZ123" s="181" t="inlineStr">
        <is>
          <t>ALC · E · 1 a 5</t>
        </is>
      </c>
      <c r="FA123" s="182" t="n"/>
      <c r="FB123" s="183" t="n"/>
      <c r="FC123" s="185" t="n"/>
      <c r="FD123" s="182" t="n"/>
      <c r="FE123" s="183" t="n"/>
      <c r="FF123" s="176" t="n"/>
      <c r="FG123" s="176" t="n"/>
      <c r="FH123" s="181" t="inlineStr">
        <is>
          <t>ALC · E · 1 a 5</t>
        </is>
      </c>
      <c r="FI123" s="182" t="n"/>
      <c r="FJ123" s="183" t="n"/>
      <c r="FK123" s="185" t="n"/>
      <c r="FL123" s="182" t="n"/>
      <c r="FM123" s="183" t="n"/>
      <c r="FN123" s="176" t="n"/>
      <c r="FO123" s="176" t="n"/>
      <c r="FP123" s="176" t="n"/>
      <c r="FQ123" s="181" t="inlineStr">
        <is>
          <t>NOME</t>
        </is>
      </c>
      <c r="FR123" s="182" t="n"/>
      <c r="FS123" s="182" t="n"/>
      <c r="FT123" s="182" t="n"/>
      <c r="FU123" s="182" t="n"/>
      <c r="FV123" s="183" t="n"/>
      <c r="FW123" s="176" t="n"/>
      <c r="FX123" s="176" t="n"/>
      <c r="FY123" s="181" t="inlineStr">
        <is>
          <t>NOME</t>
        </is>
      </c>
      <c r="FZ123" s="182" t="n"/>
      <c r="GA123" s="182" t="n"/>
      <c r="GB123" s="182" t="n"/>
      <c r="GC123" s="182" t="n"/>
      <c r="GD123" s="183" t="n"/>
      <c r="GE123" s="176" t="n"/>
      <c r="GF123" s="176" t="n"/>
      <c r="GG123" s="176" t="n"/>
      <c r="GH123" s="193" t="n"/>
      <c r="GM123" s="194" t="n"/>
      <c r="GN123" s="176" t="n"/>
      <c r="GO123" s="176" t="n"/>
      <c r="GP123" s="193" t="n"/>
      <c r="GU123" s="194" t="n"/>
      <c r="GV123" s="176" t="n"/>
      <c r="GW123" s="176" t="n"/>
      <c r="GX123" s="176" t="n"/>
      <c r="GY123" s="179" t="inlineStr">
        <is>
          <t>TIPO DE ENTIDADE · 9</t>
        </is>
      </c>
      <c r="HE123" s="176" t="n"/>
      <c r="HF123" s="176" t="n"/>
      <c r="HG123" s="179" t="inlineStr">
        <is>
          <t>TIPO DE ENTIDADE · 10</t>
        </is>
      </c>
      <c r="HM123" s="176" t="n"/>
      <c r="HN123" s="176" t="n"/>
      <c r="HO123" s="176" t="n"/>
      <c r="HP123" s="179" t="inlineStr">
        <is>
          <t>TALENTO · ENTIDADE · 9</t>
        </is>
      </c>
      <c r="HV123" s="176" t="n"/>
      <c r="HW123" s="176" t="n"/>
      <c r="HX123" s="179" t="inlineStr">
        <is>
          <t>TALENTO · ENTIDADE · 10</t>
        </is>
      </c>
      <c r="ID123" s="176" t="n"/>
    </row>
    <row r="124" ht="21" customHeight="1">
      <c r="A124" s="176" t="n"/>
      <c r="B124" s="176" t="n"/>
      <c r="C124" s="186" t="n">
        <v>25</v>
      </c>
      <c r="D124" s="183" t="n"/>
      <c r="E124" s="197">
        <f>IF(DADOS_CONFIG!$AI$10="","","d"&amp;DADOS_CONFIG!$AI$10)</f>
        <v/>
      </c>
      <c r="F124" s="186" t="n"/>
      <c r="G124" s="186">
        <f>IF(DADOS_CONFIG!$S$15="Não","",IF(25&gt;'FICHA'!$AH$11,"",DADOS_CONFIG!AF26))</f>
        <v/>
      </c>
      <c r="H124" s="176" t="n"/>
      <c r="I124" s="176" t="n"/>
      <c r="J124" s="176" t="n"/>
      <c r="K124" s="176" t="n"/>
      <c r="L124" s="176" t="n"/>
      <c r="M124" s="176" t="n"/>
      <c r="N124" s="176" t="n"/>
      <c r="O124" s="176" t="n"/>
      <c r="P124" s="176" t="n"/>
      <c r="Q124" s="176" t="n"/>
      <c r="R124" s="176" t="n"/>
      <c r="S124" s="176" t="n"/>
      <c r="Z124" s="176" t="n"/>
      <c r="AA124" s="176" t="n"/>
      <c r="AH124" s="176" t="n"/>
      <c r="AI124" s="176" t="n"/>
      <c r="AJ124" s="176" t="n"/>
      <c r="AK124" s="176" t="n"/>
      <c r="AL124" s="176" t="n"/>
      <c r="AM124" s="176" t="n"/>
      <c r="AN124" s="176" t="n"/>
      <c r="AO124" s="176" t="n"/>
      <c r="AP124" s="176" t="n"/>
      <c r="AQ124" s="176" t="n"/>
      <c r="AR124" s="176" t="n"/>
      <c r="AS124" s="176" t="n"/>
      <c r="AT124" s="176" t="n"/>
      <c r="AU124" s="176" t="n"/>
      <c r="AV124" s="176" t="n"/>
      <c r="AW124" s="176" t="n"/>
      <c r="AX124" s="176" t="n"/>
      <c r="AY124" s="176" t="n"/>
      <c r="AZ124" s="176" t="n"/>
      <c r="BA124" s="176" t="n"/>
      <c r="BB124" s="176" t="n"/>
      <c r="BC124" s="176" t="n"/>
      <c r="BD124" s="176" t="n"/>
      <c r="BE124" s="176" t="n"/>
      <c r="BF124" s="176" t="n"/>
      <c r="BG124" s="176" t="n"/>
      <c r="BH124" s="176" t="n"/>
      <c r="BI124" s="176" t="n"/>
      <c r="BJ124" s="176" t="n"/>
      <c r="BK124" s="176" t="n"/>
      <c r="BL124" s="176" t="n"/>
      <c r="BM124" s="176" t="n"/>
      <c r="BN124" s="176" t="n"/>
      <c r="BO124" s="176" t="n"/>
      <c r="BP124" s="176" t="n"/>
      <c r="BQ124" s="176" t="n"/>
      <c r="BR124" s="176" t="n"/>
      <c r="BS124" s="176" t="n"/>
      <c r="BT124" s="176" t="n"/>
      <c r="BU124" s="176" t="n"/>
      <c r="BV124" s="176" t="n"/>
      <c r="BW124" s="176" t="n"/>
      <c r="BX124" s="176" t="n"/>
      <c r="BY124" s="176" t="n"/>
      <c r="BZ124" s="176" t="n"/>
      <c r="CA124" s="176" t="n"/>
      <c r="CB124" s="176" t="n"/>
      <c r="CC124" s="176" t="n"/>
      <c r="CD124" s="176" t="n"/>
      <c r="CE124" s="176" t="n"/>
      <c r="CF124" s="176" t="n"/>
      <c r="CG124" s="176" t="n"/>
      <c r="CH124" s="176" t="n"/>
      <c r="CI124" s="176" t="n"/>
      <c r="CJ124" s="176" t="n"/>
      <c r="CK124" s="176" t="n"/>
      <c r="CL124" s="176" t="n"/>
      <c r="CM124" s="176" t="n"/>
      <c r="CN124" s="176" t="n"/>
      <c r="CO124" s="176" t="n"/>
      <c r="CP124" s="176" t="n"/>
      <c r="CQ124" s="176" t="n"/>
      <c r="CR124" s="176" t="n"/>
      <c r="CS124" s="176" t="n"/>
      <c r="CT124" s="176" t="n"/>
      <c r="CU124" s="176" t="n"/>
      <c r="CV124" s="176" t="n"/>
      <c r="CW124" s="176" t="n"/>
      <c r="CX124" s="176" t="n"/>
      <c r="CY124" s="176" t="n"/>
      <c r="CZ124" s="176" t="n"/>
      <c r="DA124" s="176" t="n"/>
      <c r="DB124" s="176" t="n"/>
      <c r="DC124" s="176" t="n"/>
      <c r="DD124" s="176" t="n"/>
      <c r="DE124" s="176" t="n"/>
      <c r="DF124" s="176" t="n"/>
      <c r="DG124" s="176" t="n"/>
      <c r="DH124" s="176" t="n"/>
      <c r="DI124" s="176" t="n"/>
      <c r="DJ124" s="176" t="n"/>
      <c r="DK124" s="176" t="n"/>
      <c r="DL124" s="176" t="n"/>
      <c r="DM124" s="176" t="n"/>
      <c r="DN124" s="176" t="n"/>
      <c r="DO124" s="176" t="n"/>
      <c r="DP124" s="176" t="n"/>
      <c r="DQ124" s="176" t="n"/>
      <c r="DR124" s="181" t="inlineStr">
        <is>
          <t>NOME</t>
        </is>
      </c>
      <c r="DS124" s="182" t="n"/>
      <c r="DT124" s="182" t="n"/>
      <c r="DU124" s="182" t="n"/>
      <c r="DV124" s="182" t="n"/>
      <c r="DW124" s="183" t="n"/>
      <c r="DX124" s="176" t="n"/>
      <c r="DY124" s="176" t="n"/>
      <c r="DZ124" s="181" t="inlineStr">
        <is>
          <t>NOME</t>
        </is>
      </c>
      <c r="EA124" s="182" t="n"/>
      <c r="EB124" s="182" t="n"/>
      <c r="EC124" s="182" t="n"/>
      <c r="ED124" s="182" t="n"/>
      <c r="EE124" s="183" t="n"/>
      <c r="EF124" s="176" t="n"/>
      <c r="EG124" s="176" t="n"/>
      <c r="EH124" s="176" t="n"/>
      <c r="EI124" s="181" t="inlineStr">
        <is>
          <t>NOME</t>
        </is>
      </c>
      <c r="EJ124" s="182" t="n"/>
      <c r="EK124" s="182" t="n"/>
      <c r="EL124" s="183" t="n"/>
      <c r="EM124" s="181" t="inlineStr">
        <is>
          <t>MESTRE VIU</t>
        </is>
      </c>
      <c r="EN124" s="183" t="n"/>
      <c r="EO124" s="176" t="n"/>
      <c r="EP124" s="176" t="n"/>
      <c r="EQ124" s="181" t="inlineStr">
        <is>
          <t>NOME</t>
        </is>
      </c>
      <c r="ER124" s="182" t="n"/>
      <c r="ES124" s="182" t="n"/>
      <c r="ET124" s="183" t="n"/>
      <c r="EU124" s="181" t="inlineStr">
        <is>
          <t>MESTRE VIU</t>
        </is>
      </c>
      <c r="EV124" s="183" t="n"/>
      <c r="EW124" s="176" t="n"/>
      <c r="EX124" s="176" t="n"/>
      <c r="EY124" s="176" t="n"/>
      <c r="EZ124" s="181" t="inlineStr">
        <is>
          <t>ALC · E · 6</t>
        </is>
      </c>
      <c r="FA124" s="182" t="n"/>
      <c r="FB124" s="183" t="n"/>
      <c r="FC124" s="185" t="n"/>
      <c r="FD124" s="182" t="n"/>
      <c r="FE124" s="183" t="n"/>
      <c r="FF124" s="176" t="n"/>
      <c r="FG124" s="176" t="n"/>
      <c r="FH124" s="181" t="inlineStr">
        <is>
          <t>ALC · E · 6</t>
        </is>
      </c>
      <c r="FI124" s="182" t="n"/>
      <c r="FJ124" s="183" t="n"/>
      <c r="FK124" s="185" t="n"/>
      <c r="FL124" s="182" t="n"/>
      <c r="FM124" s="183" t="n"/>
      <c r="FN124" s="176" t="n"/>
      <c r="FO124" s="176" t="n"/>
      <c r="FP124" s="176" t="n"/>
      <c r="FQ124" s="185" t="n"/>
      <c r="FR124" s="182" t="n"/>
      <c r="FS124" s="182" t="n"/>
      <c r="FT124" s="182" t="n"/>
      <c r="FU124" s="182" t="n"/>
      <c r="FV124" s="183" t="n"/>
      <c r="FW124" s="176" t="n"/>
      <c r="FX124" s="176" t="n"/>
      <c r="FY124" s="185" t="n"/>
      <c r="FZ124" s="182" t="n"/>
      <c r="GA124" s="182" t="n"/>
      <c r="GB124" s="182" t="n"/>
      <c r="GC124" s="182" t="n"/>
      <c r="GD124" s="183" t="n"/>
      <c r="GE124" s="176" t="n"/>
      <c r="GF124" s="176" t="n"/>
      <c r="GG124" s="176" t="n"/>
      <c r="GH124" s="193" t="n"/>
      <c r="GM124" s="194" t="n"/>
      <c r="GN124" s="176" t="n"/>
      <c r="GO124" s="176" t="n"/>
      <c r="GP124" s="193" t="n"/>
      <c r="GU124" s="194" t="n"/>
      <c r="GV124" s="176" t="n"/>
      <c r="GW124" s="176" t="n"/>
      <c r="GX124" s="176" t="n"/>
      <c r="GY124" s="181" t="inlineStr">
        <is>
          <t>NOME</t>
        </is>
      </c>
      <c r="GZ124" s="182" t="n"/>
      <c r="HA124" s="182" t="n"/>
      <c r="HB124" s="183" t="n"/>
      <c r="HC124" s="181" t="inlineStr">
        <is>
          <t>MESTRE VIU</t>
        </is>
      </c>
      <c r="HD124" s="183" t="n"/>
      <c r="HE124" s="176" t="n"/>
      <c r="HF124" s="176" t="n"/>
      <c r="HG124" s="181" t="inlineStr">
        <is>
          <t>NOME</t>
        </is>
      </c>
      <c r="HH124" s="182" t="n"/>
      <c r="HI124" s="182" t="n"/>
      <c r="HJ124" s="183" t="n"/>
      <c r="HK124" s="181" t="inlineStr">
        <is>
          <t>MESTRE VIU</t>
        </is>
      </c>
      <c r="HL124" s="183" t="n"/>
      <c r="HM124" s="176" t="n"/>
      <c r="HN124" s="176" t="n"/>
      <c r="HO124" s="176" t="n"/>
      <c r="HP124" s="181" t="inlineStr">
        <is>
          <t>NOME</t>
        </is>
      </c>
      <c r="HQ124" s="182" t="n"/>
      <c r="HR124" s="182" t="n"/>
      <c r="HS124" s="183" t="n"/>
      <c r="HT124" s="181" t="inlineStr">
        <is>
          <t>MESTRE VIU</t>
        </is>
      </c>
      <c r="HU124" s="183" t="n"/>
      <c r="HV124" s="176" t="n"/>
      <c r="HW124" s="176" t="n"/>
      <c r="HX124" s="181" t="inlineStr">
        <is>
          <t>NOME</t>
        </is>
      </c>
      <c r="HY124" s="182" t="n"/>
      <c r="HZ124" s="182" t="n"/>
      <c r="IA124" s="183" t="n"/>
      <c r="IB124" s="181" t="inlineStr">
        <is>
          <t>MESTRE VIU</t>
        </is>
      </c>
      <c r="IC124" s="183" t="n"/>
      <c r="ID124" s="176" t="n"/>
    </row>
    <row r="125" ht="21" customHeight="1">
      <c r="A125" s="176" t="n"/>
      <c r="B125" s="176" t="n"/>
      <c r="C125" s="186" t="n">
        <v>26</v>
      </c>
      <c r="D125" s="183" t="n"/>
      <c r="E125" s="197">
        <f>IF(DADOS_CONFIG!$AI$10="","","d"&amp;DADOS_CONFIG!$AI$10)</f>
        <v/>
      </c>
      <c r="F125" s="186" t="n"/>
      <c r="G125" s="186">
        <f>IF(DADOS_CONFIG!$S$15="Não","",IF(26&gt;'FICHA'!$AH$11,"",DADOS_CONFIG!AF27))</f>
        <v/>
      </c>
      <c r="H125" s="176" t="n"/>
      <c r="I125" s="176" t="n"/>
      <c r="J125" s="176" t="n"/>
      <c r="K125" s="176" t="n"/>
      <c r="L125" s="176" t="n"/>
      <c r="M125" s="176" t="n"/>
      <c r="N125" s="176" t="n"/>
      <c r="O125" s="176" t="n"/>
      <c r="P125" s="176" t="n"/>
      <c r="Q125" s="176" t="n"/>
      <c r="R125" s="176" t="n"/>
      <c r="S125" s="176" t="n"/>
      <c r="T125" s="176" t="n"/>
      <c r="U125" s="176" t="n"/>
      <c r="V125" s="176" t="n"/>
      <c r="W125" s="176" t="n"/>
      <c r="X125" s="176" t="n"/>
      <c r="Y125" s="176" t="n"/>
      <c r="Z125" s="176" t="n"/>
      <c r="AA125" s="176" t="n"/>
      <c r="AB125" s="176" t="n"/>
      <c r="AC125" s="176" t="n"/>
      <c r="AD125" s="176" t="n"/>
      <c r="AE125" s="176" t="n"/>
      <c r="AF125" s="176" t="n"/>
      <c r="AG125" s="176" t="n"/>
      <c r="AH125" s="176" t="n"/>
      <c r="AI125" s="176" t="n"/>
      <c r="AJ125" s="176" t="n"/>
      <c r="AK125" s="176" t="n"/>
      <c r="AL125" s="176" t="n"/>
      <c r="AM125" s="176" t="n"/>
      <c r="AN125" s="176" t="n"/>
      <c r="AO125" s="176" t="n"/>
      <c r="AP125" s="176" t="n"/>
      <c r="AQ125" s="176" t="n"/>
      <c r="AR125" s="176" t="n"/>
      <c r="AS125" s="176" t="n"/>
      <c r="AT125" s="176" t="n"/>
      <c r="AU125" s="176" t="n"/>
      <c r="AV125" s="176" t="n"/>
      <c r="AW125" s="176" t="n"/>
      <c r="AX125" s="176" t="n"/>
      <c r="AY125" s="176" t="n"/>
      <c r="AZ125" s="176" t="n"/>
      <c r="BA125" s="176" t="n"/>
      <c r="BB125" s="176" t="n"/>
      <c r="BC125" s="176" t="n"/>
      <c r="BD125" s="176" t="n"/>
      <c r="BE125" s="176" t="n"/>
      <c r="BF125" s="176" t="n"/>
      <c r="BG125" s="176" t="n"/>
      <c r="BH125" s="176" t="n"/>
      <c r="BI125" s="176" t="n"/>
      <c r="BJ125" s="176" t="n"/>
      <c r="BK125" s="176" t="n"/>
      <c r="BL125" s="176" t="n"/>
      <c r="BM125" s="176" t="n"/>
      <c r="BN125" s="176" t="n"/>
      <c r="BO125" s="176" t="n"/>
      <c r="BP125" s="176" t="n"/>
      <c r="BQ125" s="176" t="n"/>
      <c r="BR125" s="176" t="n"/>
      <c r="BS125" s="176" t="n"/>
      <c r="BT125" s="176" t="n"/>
      <c r="BU125" s="176" t="n"/>
      <c r="BV125" s="176" t="n"/>
      <c r="BW125" s="176" t="n"/>
      <c r="BX125" s="176" t="n"/>
      <c r="BY125" s="176" t="n"/>
      <c r="BZ125" s="176" t="n"/>
      <c r="CA125" s="176" t="n"/>
      <c r="CB125" s="176" t="n"/>
      <c r="CC125" s="176" t="n"/>
      <c r="CD125" s="176" t="n"/>
      <c r="CE125" s="176" t="n"/>
      <c r="CF125" s="176" t="n"/>
      <c r="CG125" s="176" t="n"/>
      <c r="CH125" s="176" t="n"/>
      <c r="CI125" s="176" t="n"/>
      <c r="CJ125" s="176" t="n"/>
      <c r="CK125" s="176" t="n"/>
      <c r="CL125" s="176" t="n"/>
      <c r="CM125" s="176" t="n"/>
      <c r="CN125" s="176" t="n"/>
      <c r="CO125" s="176" t="n"/>
      <c r="CP125" s="176" t="n"/>
      <c r="CQ125" s="176" t="n"/>
      <c r="CR125" s="176" t="n"/>
      <c r="CS125" s="176" t="n"/>
      <c r="CT125" s="176" t="n"/>
      <c r="CU125" s="176" t="n"/>
      <c r="CV125" s="176" t="n"/>
      <c r="CW125" s="176" t="n"/>
      <c r="CX125" s="176" t="n"/>
      <c r="CY125" s="176" t="n"/>
      <c r="CZ125" s="176" t="n"/>
      <c r="DA125" s="181" t="inlineStr">
        <is>
          <t>REQUISITOS E REPETIÇÃO</t>
        </is>
      </c>
      <c r="DB125" s="182" t="n"/>
      <c r="DC125" s="182" t="n"/>
      <c r="DD125" s="182" t="n"/>
      <c r="DE125" s="182" t="n"/>
      <c r="DF125" s="183" t="n"/>
      <c r="DG125" s="176" t="n"/>
      <c r="DH125" s="176" t="n"/>
      <c r="DI125" s="181" t="inlineStr">
        <is>
          <t>REQUISITOS E REPETIÇÃO</t>
        </is>
      </c>
      <c r="DJ125" s="182" t="n"/>
      <c r="DK125" s="182" t="n"/>
      <c r="DL125" s="182" t="n"/>
      <c r="DM125" s="182" t="n"/>
      <c r="DN125" s="183" t="n"/>
      <c r="DO125" s="176" t="n"/>
      <c r="DP125" s="176" t="n"/>
      <c r="DQ125" s="176" t="n"/>
      <c r="DR125" s="185" t="n"/>
      <c r="DS125" s="182" t="n"/>
      <c r="DT125" s="182" t="n"/>
      <c r="DU125" s="182" t="n"/>
      <c r="DV125" s="182" t="n"/>
      <c r="DW125" s="183" t="n"/>
      <c r="DX125" s="176" t="n"/>
      <c r="DY125" s="176" t="n"/>
      <c r="DZ125" s="185" t="n"/>
      <c r="EA125" s="182" t="n"/>
      <c r="EB125" s="182" t="n"/>
      <c r="EC125" s="182" t="n"/>
      <c r="ED125" s="182" t="n"/>
      <c r="EE125" s="183" t="n"/>
      <c r="EF125" s="176" t="n"/>
      <c r="EG125" s="176" t="n"/>
      <c r="EH125" s="176" t="n"/>
      <c r="EI125" s="185" t="n"/>
      <c r="EJ125" s="182" t="n"/>
      <c r="EK125" s="182" t="n"/>
      <c r="EL125" s="183" t="n"/>
      <c r="EM125" s="184" t="b">
        <v>0</v>
      </c>
      <c r="EN125" s="183" t="n"/>
      <c r="EO125" s="176" t="n"/>
      <c r="EP125" s="176" t="n"/>
      <c r="EQ125" s="185" t="n"/>
      <c r="ER125" s="182" t="n"/>
      <c r="ES125" s="182" t="n"/>
      <c r="ET125" s="183" t="n"/>
      <c r="EU125" s="184" t="b">
        <v>0</v>
      </c>
      <c r="EV125" s="183" t="n"/>
      <c r="EW125" s="176" t="n"/>
      <c r="EX125" s="176" t="n"/>
      <c r="EY125" s="176" t="n"/>
      <c r="EZ125" s="181" t="inlineStr">
        <is>
          <t>ALC · E · 7</t>
        </is>
      </c>
      <c r="FA125" s="182" t="n"/>
      <c r="FB125" s="183" t="n"/>
      <c r="FC125" s="185" t="n"/>
      <c r="FD125" s="182" t="n"/>
      <c r="FE125" s="183" t="n"/>
      <c r="FF125" s="176" t="n"/>
      <c r="FG125" s="176" t="n"/>
      <c r="FH125" s="181" t="inlineStr">
        <is>
          <t>ALC · E · 7</t>
        </is>
      </c>
      <c r="FI125" s="182" t="n"/>
      <c r="FJ125" s="183" t="n"/>
      <c r="FK125" s="185" t="n"/>
      <c r="FL125" s="182" t="n"/>
      <c r="FM125" s="183" t="n"/>
      <c r="FN125" s="176" t="n"/>
      <c r="FO125" s="176" t="n"/>
      <c r="FP125" s="176" t="n"/>
      <c r="FQ125" s="181" t="inlineStr">
        <is>
          <t>BASE DO LIVRO</t>
        </is>
      </c>
      <c r="FR125" s="182" t="n"/>
      <c r="FS125" s="183" t="n"/>
      <c r="FT125" s="185" t="n"/>
      <c r="FU125" s="182" t="n"/>
      <c r="FV125" s="183" t="n"/>
      <c r="FW125" s="176" t="n"/>
      <c r="FX125" s="176" t="n"/>
      <c r="FY125" s="181" t="inlineStr">
        <is>
          <t>BASE DO LIVRO</t>
        </is>
      </c>
      <c r="FZ125" s="182" t="n"/>
      <c r="GA125" s="183" t="n"/>
      <c r="GB125" s="185" t="n"/>
      <c r="GC125" s="182" t="n"/>
      <c r="GD125" s="183" t="n"/>
      <c r="GE125" s="176" t="n"/>
      <c r="GF125" s="176" t="n"/>
      <c r="GG125" s="176" t="n"/>
      <c r="GH125" s="189" t="n"/>
      <c r="GI125" s="190" t="n"/>
      <c r="GJ125" s="190" t="n"/>
      <c r="GK125" s="190" t="n"/>
      <c r="GL125" s="190" t="n"/>
      <c r="GM125" s="191" t="n"/>
      <c r="GN125" s="176" t="n"/>
      <c r="GO125" s="176" t="n"/>
      <c r="GP125" s="189" t="n"/>
      <c r="GQ125" s="190" t="n"/>
      <c r="GR125" s="190" t="n"/>
      <c r="GS125" s="190" t="n"/>
      <c r="GT125" s="190" t="n"/>
      <c r="GU125" s="191" t="n"/>
      <c r="GV125" s="176" t="n"/>
      <c r="GW125" s="176" t="n"/>
      <c r="GX125" s="176" t="n"/>
      <c r="GY125" s="185" t="n"/>
      <c r="GZ125" s="182" t="n"/>
      <c r="HA125" s="182" t="n"/>
      <c r="HB125" s="183" t="n"/>
      <c r="HC125" s="184" t="b">
        <v>0</v>
      </c>
      <c r="HD125" s="183" t="n"/>
      <c r="HE125" s="176" t="n"/>
      <c r="HF125" s="176" t="n"/>
      <c r="HG125" s="185" t="n"/>
      <c r="HH125" s="182" t="n"/>
      <c r="HI125" s="182" t="n"/>
      <c r="HJ125" s="183" t="n"/>
      <c r="HK125" s="184" t="b">
        <v>0</v>
      </c>
      <c r="HL125" s="183" t="n"/>
      <c r="HM125" s="176" t="n"/>
      <c r="HN125" s="176" t="n"/>
      <c r="HO125" s="176" t="n"/>
      <c r="HP125" s="185" t="n"/>
      <c r="HQ125" s="182" t="n"/>
      <c r="HR125" s="182" t="n"/>
      <c r="HS125" s="183" t="n"/>
      <c r="HT125" s="184" t="b">
        <v>0</v>
      </c>
      <c r="HU125" s="183" t="n"/>
      <c r="HV125" s="176" t="n"/>
      <c r="HW125" s="176" t="n"/>
      <c r="HX125" s="185" t="n"/>
      <c r="HY125" s="182" t="n"/>
      <c r="HZ125" s="182" t="n"/>
      <c r="IA125" s="183" t="n"/>
      <c r="IB125" s="184" t="b">
        <v>0</v>
      </c>
      <c r="IC125" s="183" t="n"/>
      <c r="ID125" s="176" t="n"/>
    </row>
    <row r="126" ht="21" customHeight="1">
      <c r="A126" s="176" t="n"/>
      <c r="B126" s="176" t="n"/>
      <c r="C126" s="186" t="n">
        <v>27</v>
      </c>
      <c r="D126" s="183" t="n"/>
      <c r="E126" s="197">
        <f>IF(DADOS_CONFIG!$AI$10="","","d"&amp;DADOS_CONFIG!$AI$10)</f>
        <v/>
      </c>
      <c r="F126" s="186" t="n"/>
      <c r="G126" s="186">
        <f>IF(DADOS_CONFIG!$S$15="Não","",IF(27&gt;'FICHA'!$AH$11,"",DADOS_CONFIG!AF28))</f>
        <v/>
      </c>
      <c r="H126" s="176" t="n"/>
      <c r="I126" s="176" t="n"/>
      <c r="J126" s="176" t="n"/>
      <c r="K126" s="176" t="n"/>
      <c r="L126" s="176" t="n"/>
      <c r="M126" s="176" t="n"/>
      <c r="N126" s="176" t="n"/>
      <c r="O126" s="176" t="n"/>
      <c r="P126" s="176" t="n"/>
      <c r="Q126" s="176" t="n"/>
      <c r="R126" s="176" t="n"/>
      <c r="S126" s="176" t="n"/>
      <c r="T126" s="176" t="n"/>
      <c r="U126" s="176" t="n"/>
      <c r="V126" s="176" t="n"/>
      <c r="W126" s="176" t="n"/>
      <c r="X126" s="176" t="n"/>
      <c r="Y126" s="176" t="n"/>
      <c r="Z126" s="176" t="n"/>
      <c r="AA126" s="176" t="n"/>
      <c r="AB126" s="176" t="n"/>
      <c r="AC126" s="176" t="n"/>
      <c r="AD126" s="176" t="n"/>
      <c r="AE126" s="176" t="n"/>
      <c r="AF126" s="176" t="n"/>
      <c r="AG126" s="176" t="n"/>
      <c r="AH126" s="176" t="n"/>
      <c r="AI126" s="176" t="n"/>
      <c r="AJ126" s="176" t="n"/>
      <c r="AK126" s="176" t="n"/>
      <c r="AL126" s="176" t="n"/>
      <c r="AM126" s="176" t="n"/>
      <c r="AN126" s="176" t="n"/>
      <c r="AO126" s="176" t="n"/>
      <c r="AP126" s="176" t="n"/>
      <c r="AQ126" s="176" t="n"/>
      <c r="AR126" s="176" t="n"/>
      <c r="AS126" s="176" t="n"/>
      <c r="AT126" s="176" t="n"/>
      <c r="AU126" s="176" t="n"/>
      <c r="AV126" s="176" t="n"/>
      <c r="AW126" s="176" t="n"/>
      <c r="AX126" s="176" t="n"/>
      <c r="AY126" s="176" t="n"/>
      <c r="AZ126" s="176" t="n"/>
      <c r="BA126" s="176" t="n"/>
      <c r="BB126" s="176" t="n"/>
      <c r="BC126" s="176" t="n"/>
      <c r="BD126" s="176" t="n"/>
      <c r="BE126" s="176" t="n"/>
      <c r="BF126" s="176" t="n"/>
      <c r="BG126" s="176" t="n"/>
      <c r="BH126" s="176" t="n"/>
      <c r="BI126" s="176" t="n"/>
      <c r="BJ126" s="176" t="n"/>
      <c r="BK126" s="176" t="n"/>
      <c r="BL126" s="176" t="n"/>
      <c r="BM126" s="176" t="n"/>
      <c r="BN126" s="176" t="n"/>
      <c r="BO126" s="176" t="n"/>
      <c r="BP126" s="176" t="n"/>
      <c r="BQ126" s="176" t="n"/>
      <c r="BR126" s="176" t="n"/>
      <c r="BS126" s="176" t="n"/>
      <c r="BT126" s="176" t="n"/>
      <c r="BU126" s="176" t="n"/>
      <c r="BV126" s="176" t="n"/>
      <c r="BW126" s="176" t="n"/>
      <c r="BX126" s="176" t="n"/>
      <c r="BY126" s="176" t="n"/>
      <c r="BZ126" s="176" t="n"/>
      <c r="CA126" s="176" t="n"/>
      <c r="CB126" s="176" t="n"/>
      <c r="CC126" s="176" t="n"/>
      <c r="CD126" s="176" t="n"/>
      <c r="CE126" s="176" t="n"/>
      <c r="CF126" s="176" t="n"/>
      <c r="CG126" s="176" t="n"/>
      <c r="CH126" s="176" t="n"/>
      <c r="CI126" s="176" t="n"/>
      <c r="CJ126" s="176" t="n"/>
      <c r="CK126" s="176" t="n"/>
      <c r="CL126" s="176" t="n"/>
      <c r="CM126" s="176" t="n"/>
      <c r="CN126" s="176" t="n"/>
      <c r="CO126" s="176" t="n"/>
      <c r="CP126" s="176" t="n"/>
      <c r="CQ126" s="176" t="n"/>
      <c r="CR126" s="176" t="n"/>
      <c r="CS126" s="176" t="n"/>
      <c r="CT126" s="176" t="n"/>
      <c r="CU126" s="176" t="n"/>
      <c r="CV126" s="176" t="n"/>
      <c r="CW126" s="176" t="n"/>
      <c r="CX126" s="176" t="n"/>
      <c r="CY126" s="176" t="n"/>
      <c r="CZ126" s="176" t="n"/>
      <c r="DA126" s="192" t="n"/>
      <c r="DB126" s="187" t="n"/>
      <c r="DC126" s="187" t="n"/>
      <c r="DD126" s="187" t="n"/>
      <c r="DE126" s="187" t="n"/>
      <c r="DF126" s="188" t="n"/>
      <c r="DG126" s="176" t="n"/>
      <c r="DH126" s="176" t="n"/>
      <c r="DI126" s="192" t="n"/>
      <c r="DJ126" s="187" t="n"/>
      <c r="DK126" s="187" t="n"/>
      <c r="DL126" s="187" t="n"/>
      <c r="DM126" s="187" t="n"/>
      <c r="DN126" s="188" t="n"/>
      <c r="DO126" s="176" t="n"/>
      <c r="DP126" s="176" t="n"/>
      <c r="DQ126" s="176" t="n"/>
      <c r="DR126" s="181" t="inlineStr">
        <is>
          <t>BASE DO LIVRO</t>
        </is>
      </c>
      <c r="DS126" s="182" t="n"/>
      <c r="DT126" s="183" t="n"/>
      <c r="DU126" s="185" t="inlineStr">
        <is>
          <t>Nenhuma</t>
        </is>
      </c>
      <c r="DV126" s="182" t="n"/>
      <c r="DW126" s="183" t="n"/>
      <c r="DX126" s="176" t="n"/>
      <c r="DY126" s="176" t="n"/>
      <c r="DZ126" s="181" t="inlineStr">
        <is>
          <t>BASE DO LIVRO</t>
        </is>
      </c>
      <c r="EA126" s="182" t="n"/>
      <c r="EB126" s="183" t="n"/>
      <c r="EC126" s="185" t="inlineStr">
        <is>
          <t>Nenhuma</t>
        </is>
      </c>
      <c r="ED126" s="182" t="n"/>
      <c r="EE126" s="183" t="n"/>
      <c r="EF126" s="176" t="n"/>
      <c r="EG126" s="176" t="n"/>
      <c r="EH126" s="176" t="n"/>
      <c r="EI126" s="176" t="n"/>
      <c r="EJ126" s="176" t="n"/>
      <c r="EK126" s="176" t="n"/>
      <c r="EL126" s="176" t="n"/>
      <c r="EM126" s="176" t="n"/>
      <c r="EN126" s="176" t="n"/>
      <c r="EO126" s="176" t="n"/>
      <c r="EP126" s="176" t="n"/>
      <c r="EQ126" s="176" t="n"/>
      <c r="ER126" s="176" t="n"/>
      <c r="ES126" s="176" t="n"/>
      <c r="ET126" s="176" t="n"/>
      <c r="EU126" s="176" t="n"/>
      <c r="EV126" s="176" t="n"/>
      <c r="EW126" s="176" t="n"/>
      <c r="EX126" s="176" t="n"/>
      <c r="EY126" s="176" t="n"/>
      <c r="EZ126" s="181" t="inlineStr">
        <is>
          <t>ÁREA · P · 0</t>
        </is>
      </c>
      <c r="FA126" s="182" t="n"/>
      <c r="FB126" s="183" t="n"/>
      <c r="FC126" s="185" t="n"/>
      <c r="FD126" s="182" t="n"/>
      <c r="FE126" s="183" t="n"/>
      <c r="FF126" s="176" t="n"/>
      <c r="FG126" s="176" t="n"/>
      <c r="FH126" s="181" t="inlineStr">
        <is>
          <t>ÁREA · P · 0</t>
        </is>
      </c>
      <c r="FI126" s="182" t="n"/>
      <c r="FJ126" s="183" t="n"/>
      <c r="FK126" s="185" t="n"/>
      <c r="FL126" s="182" t="n"/>
      <c r="FM126" s="183" t="n"/>
      <c r="FN126" s="176" t="n"/>
      <c r="FO126" s="176" t="n"/>
      <c r="FP126" s="176" t="n"/>
      <c r="FQ126" s="181" t="inlineStr">
        <is>
          <t>CATEGORIA DE EFEITO</t>
        </is>
      </c>
      <c r="FR126" s="182" t="n"/>
      <c r="FS126" s="183" t="n"/>
      <c r="FT126" s="185" t="n"/>
      <c r="FU126" s="182" t="n"/>
      <c r="FV126" s="183" t="n"/>
      <c r="FW126" s="176" t="n"/>
      <c r="FX126" s="176" t="n"/>
      <c r="FY126" s="181" t="inlineStr">
        <is>
          <t>CATEGORIA DE EFEITO</t>
        </is>
      </c>
      <c r="FZ126" s="182" t="n"/>
      <c r="GA126" s="183" t="n"/>
      <c r="GB126" s="185" t="n"/>
      <c r="GC126" s="182" t="n"/>
      <c r="GD126" s="183" t="n"/>
      <c r="GE126" s="176" t="n"/>
      <c r="GF126" s="176" t="n"/>
      <c r="GG126" s="176" t="n"/>
      <c r="GH126" s="176" t="n"/>
      <c r="GI126" s="176" t="n"/>
      <c r="GJ126" s="176" t="n"/>
      <c r="GK126" s="176" t="n"/>
      <c r="GL126" s="176" t="n"/>
      <c r="GM126" s="176" t="n"/>
      <c r="GN126" s="176" t="n"/>
      <c r="GO126" s="176" t="n"/>
      <c r="GP126" s="176" t="n"/>
      <c r="GQ126" s="176" t="n"/>
      <c r="GR126" s="176" t="n"/>
      <c r="GS126" s="176" t="n"/>
      <c r="GT126" s="176" t="n"/>
      <c r="GU126" s="176" t="n"/>
      <c r="GV126" s="176" t="n"/>
      <c r="GW126" s="176" t="n"/>
      <c r="GX126" s="176" t="n"/>
      <c r="GY126" s="176" t="n"/>
      <c r="GZ126" s="176" t="n"/>
      <c r="HA126" s="176" t="n"/>
      <c r="HB126" s="176" t="n"/>
      <c r="HC126" s="176" t="n"/>
      <c r="HD126" s="176" t="n"/>
      <c r="HE126" s="176" t="n"/>
      <c r="HF126" s="176" t="n"/>
      <c r="HG126" s="176" t="n"/>
      <c r="HH126" s="176" t="n"/>
      <c r="HI126" s="176" t="n"/>
      <c r="HJ126" s="176" t="n"/>
      <c r="HK126" s="176" t="n"/>
      <c r="HL126" s="176" t="n"/>
      <c r="HM126" s="176" t="n"/>
      <c r="HN126" s="176" t="n"/>
      <c r="HO126" s="176" t="n"/>
      <c r="HP126" s="176" t="n"/>
      <c r="HQ126" s="176" t="n"/>
      <c r="HR126" s="176" t="n"/>
      <c r="HS126" s="176" t="n"/>
      <c r="HT126" s="176" t="n"/>
      <c r="HU126" s="176" t="n"/>
      <c r="HV126" s="176" t="n"/>
      <c r="HW126" s="176" t="n"/>
      <c r="HX126" s="176" t="n"/>
      <c r="HY126" s="176" t="n"/>
      <c r="HZ126" s="176" t="n"/>
      <c r="IA126" s="176" t="n"/>
      <c r="IB126" s="176" t="n"/>
      <c r="IC126" s="176" t="n"/>
      <c r="ID126" s="176" t="n"/>
    </row>
    <row r="127" ht="21" customHeight="1">
      <c r="A127" s="176" t="n"/>
      <c r="B127" s="176" t="n"/>
      <c r="C127" s="186" t="n">
        <v>28</v>
      </c>
      <c r="D127" s="183" t="n"/>
      <c r="E127" s="197">
        <f>IF(DADOS_CONFIG!$AI$10="","","d"&amp;DADOS_CONFIG!$AI$10)</f>
        <v/>
      </c>
      <c r="F127" s="186" t="n"/>
      <c r="G127" s="186">
        <f>IF(DADOS_CONFIG!$S$15="Não","",IF(28&gt;'FICHA'!$AH$11,"",DADOS_CONFIG!AF29))</f>
        <v/>
      </c>
      <c r="H127" s="176" t="n"/>
      <c r="I127" s="176" t="n"/>
      <c r="J127" s="176" t="n"/>
      <c r="K127" s="176" t="n"/>
      <c r="L127" s="176" t="n"/>
      <c r="M127" s="176" t="n"/>
      <c r="N127" s="176" t="n"/>
      <c r="O127" s="176" t="n"/>
      <c r="P127" s="176" t="n"/>
      <c r="Q127" s="176" t="n"/>
      <c r="R127" s="176" t="n"/>
      <c r="S127" s="176" t="n"/>
      <c r="T127" s="176" t="n"/>
      <c r="U127" s="176" t="n"/>
      <c r="V127" s="176" t="n"/>
      <c r="W127" s="176" t="n"/>
      <c r="X127" s="176" t="n"/>
      <c r="Y127" s="176" t="n"/>
      <c r="Z127" s="176" t="n"/>
      <c r="AA127" s="176" t="n"/>
      <c r="AB127" s="176" t="n"/>
      <c r="AC127" s="176" t="n"/>
      <c r="AD127" s="176" t="n"/>
      <c r="AE127" s="176" t="n"/>
      <c r="AF127" s="176" t="n"/>
      <c r="AG127" s="176" t="n"/>
      <c r="AH127" s="176" t="n"/>
      <c r="AI127" s="176" t="n"/>
      <c r="AJ127" s="176" t="n"/>
      <c r="AK127" s="176" t="n"/>
      <c r="AL127" s="176" t="n"/>
      <c r="AM127" s="176" t="n"/>
      <c r="AN127" s="176" t="n"/>
      <c r="AO127" s="176" t="n"/>
      <c r="AP127" s="176" t="n"/>
      <c r="AQ127" s="176" t="n"/>
      <c r="AR127" s="176" t="n"/>
      <c r="AS127" s="176" t="n"/>
      <c r="AT127" s="176" t="n"/>
      <c r="AU127" s="176" t="n"/>
      <c r="AV127" s="176" t="n"/>
      <c r="AW127" s="176" t="n"/>
      <c r="AX127" s="176" t="n"/>
      <c r="AY127" s="176" t="n"/>
      <c r="AZ127" s="176" t="n"/>
      <c r="BA127" s="176" t="n"/>
      <c r="BB127" s="176" t="n"/>
      <c r="BC127" s="176" t="n"/>
      <c r="BD127" s="176" t="n"/>
      <c r="BE127" s="176" t="n"/>
      <c r="BF127" s="176" t="n"/>
      <c r="BG127" s="176" t="n"/>
      <c r="BH127" s="176" t="n"/>
      <c r="BI127" s="176" t="n"/>
      <c r="BJ127" s="176" t="n"/>
      <c r="BK127" s="176" t="n"/>
      <c r="BL127" s="176" t="n"/>
      <c r="BM127" s="176" t="n"/>
      <c r="BN127" s="176" t="n"/>
      <c r="BO127" s="176" t="n"/>
      <c r="BP127" s="176" t="n"/>
      <c r="BQ127" s="176" t="n"/>
      <c r="BR127" s="176" t="n"/>
      <c r="BS127" s="176" t="n"/>
      <c r="BT127" s="176" t="n"/>
      <c r="BU127" s="176" t="n"/>
      <c r="BV127" s="176" t="n"/>
      <c r="BW127" s="176" t="n"/>
      <c r="BX127" s="176" t="n"/>
      <c r="BY127" s="176" t="n"/>
      <c r="BZ127" s="176" t="n"/>
      <c r="CA127" s="176" t="n"/>
      <c r="CB127" s="176" t="n"/>
      <c r="CC127" s="176" t="n"/>
      <c r="CD127" s="176" t="n"/>
      <c r="CE127" s="176" t="n"/>
      <c r="CF127" s="176" t="n"/>
      <c r="CG127" s="176" t="n"/>
      <c r="CH127" s="176" t="n"/>
      <c r="CI127" s="176" t="n"/>
      <c r="CJ127" s="176" t="n"/>
      <c r="CK127" s="176" t="n"/>
      <c r="CL127" s="176" t="n"/>
      <c r="CM127" s="176" t="n"/>
      <c r="CN127" s="176" t="n"/>
      <c r="CO127" s="176" t="n"/>
      <c r="CP127" s="176" t="n"/>
      <c r="CQ127" s="176" t="n"/>
      <c r="CR127" s="176" t="n"/>
      <c r="CS127" s="176" t="n"/>
      <c r="CT127" s="176" t="n"/>
      <c r="CU127" s="176" t="n"/>
      <c r="CV127" s="176" t="n"/>
      <c r="CW127" s="176" t="n"/>
      <c r="CX127" s="176" t="n"/>
      <c r="CY127" s="176" t="n"/>
      <c r="CZ127" s="176" t="n"/>
      <c r="DA127" s="193" t="n"/>
      <c r="DF127" s="194" t="n"/>
      <c r="DG127" s="176" t="n"/>
      <c r="DH127" s="176" t="n"/>
      <c r="DI127" s="193" t="n"/>
      <c r="DN127" s="194" t="n"/>
      <c r="DO127" s="176" t="n"/>
      <c r="DP127" s="176" t="n"/>
      <c r="DQ127" s="176" t="n"/>
      <c r="DR127" s="181" t="inlineStr">
        <is>
          <t>DEVOLUÇÃO</t>
        </is>
      </c>
      <c r="DS127" s="182" t="n"/>
      <c r="DT127" s="183" t="n"/>
      <c r="DU127" s="185" t="n"/>
      <c r="DV127" s="182" t="n"/>
      <c r="DW127" s="183" t="n"/>
      <c r="DX127" s="176" t="n"/>
      <c r="DY127" s="176" t="n"/>
      <c r="DZ127" s="181" t="inlineStr">
        <is>
          <t>DEVOLUÇÃO</t>
        </is>
      </c>
      <c r="EA127" s="182" t="n"/>
      <c r="EB127" s="183" t="n"/>
      <c r="EC127" s="185" t="n"/>
      <c r="ED127" s="182" t="n"/>
      <c r="EE127" s="183" t="n"/>
      <c r="EF127" s="176" t="n"/>
      <c r="EG127" s="176" t="n"/>
      <c r="EH127" s="176" t="n"/>
      <c r="EI127" s="176" t="n"/>
      <c r="EJ127" s="176" t="n"/>
      <c r="EK127" s="176" t="n"/>
      <c r="EL127" s="176" t="n"/>
      <c r="EM127" s="176" t="n"/>
      <c r="EN127" s="176" t="n"/>
      <c r="EO127" s="176" t="n"/>
      <c r="EP127" s="176" t="n"/>
      <c r="EQ127" s="176" t="n"/>
      <c r="ER127" s="176" t="n"/>
      <c r="ES127" s="176" t="n"/>
      <c r="ET127" s="176" t="n"/>
      <c r="EU127" s="176" t="n"/>
      <c r="EV127" s="176" t="n"/>
      <c r="EW127" s="176" t="n"/>
      <c r="EX127" s="176" t="n"/>
      <c r="EY127" s="176" t="n"/>
      <c r="EZ127" s="181" t="inlineStr">
        <is>
          <t>ÁREA · P · 1 a 5</t>
        </is>
      </c>
      <c r="FA127" s="182" t="n"/>
      <c r="FB127" s="183" t="n"/>
      <c r="FC127" s="185" t="n"/>
      <c r="FD127" s="182" t="n"/>
      <c r="FE127" s="183" t="n"/>
      <c r="FF127" s="176" t="n"/>
      <c r="FG127" s="176" t="n"/>
      <c r="FH127" s="181" t="inlineStr">
        <is>
          <t>ÁREA · P · 1 a 5</t>
        </is>
      </c>
      <c r="FI127" s="182" t="n"/>
      <c r="FJ127" s="183" t="n"/>
      <c r="FK127" s="185" t="n"/>
      <c r="FL127" s="182" t="n"/>
      <c r="FM127" s="183" t="n"/>
      <c r="FN127" s="176" t="n"/>
      <c r="FO127" s="176" t="n"/>
      <c r="FP127" s="176" t="n"/>
      <c r="FQ127" s="181" t="inlineStr">
        <is>
          <t>NÍVEL MÍNIMO</t>
        </is>
      </c>
      <c r="FR127" s="182" t="n"/>
      <c r="FS127" s="183" t="n"/>
      <c r="FT127" s="185" t="n"/>
      <c r="FU127" s="182" t="n"/>
      <c r="FV127" s="183" t="n"/>
      <c r="FW127" s="176" t="n"/>
      <c r="FX127" s="176" t="n"/>
      <c r="FY127" s="181" t="inlineStr">
        <is>
          <t>NÍVEL MÍNIMO</t>
        </is>
      </c>
      <c r="FZ127" s="182" t="n"/>
      <c r="GA127" s="183" t="n"/>
      <c r="GB127" s="185" t="n"/>
      <c r="GC127" s="182" t="n"/>
      <c r="GD127" s="183" t="n"/>
      <c r="GE127" s="176" t="n"/>
      <c r="GF127" s="176" t="n"/>
      <c r="GG127" s="176" t="n"/>
      <c r="GH127" s="181" t="inlineStr">
        <is>
          <t>EFEITO</t>
        </is>
      </c>
      <c r="GI127" s="182" t="n"/>
      <c r="GJ127" s="182" t="n"/>
      <c r="GK127" s="182" t="n"/>
      <c r="GL127" s="182" t="n"/>
      <c r="GM127" s="183" t="n"/>
      <c r="GN127" s="176" t="n"/>
      <c r="GO127" s="176" t="n"/>
      <c r="GP127" s="181" t="inlineStr">
        <is>
          <t>EFEITO</t>
        </is>
      </c>
      <c r="GQ127" s="182" t="n"/>
      <c r="GR127" s="182" t="n"/>
      <c r="GS127" s="182" t="n"/>
      <c r="GT127" s="182" t="n"/>
      <c r="GU127" s="183" t="n"/>
      <c r="GV127" s="176" t="n"/>
      <c r="GW127" s="176" t="n"/>
      <c r="GX127" s="176" t="n"/>
      <c r="GY127" s="181" t="inlineStr">
        <is>
          <t>BASE DO LIVRO</t>
        </is>
      </c>
      <c r="GZ127" s="182" t="n"/>
      <c r="HA127" s="183" t="n"/>
      <c r="HB127" s="185" t="inlineStr">
        <is>
          <t>Nenhuma</t>
        </is>
      </c>
      <c r="HC127" s="182" t="n"/>
      <c r="HD127" s="183" t="n"/>
      <c r="HE127" s="176" t="n"/>
      <c r="HF127" s="176" t="n"/>
      <c r="HG127" s="181" t="inlineStr">
        <is>
          <t>BASE DO LIVRO</t>
        </is>
      </c>
      <c r="HH127" s="182" t="n"/>
      <c r="HI127" s="183" t="n"/>
      <c r="HJ127" s="185" t="inlineStr">
        <is>
          <t>Nenhuma</t>
        </is>
      </c>
      <c r="HK127" s="182" t="n"/>
      <c r="HL127" s="183" t="n"/>
      <c r="HM127" s="176" t="n"/>
      <c r="HN127" s="176" t="n"/>
      <c r="HO127" s="176" t="n"/>
      <c r="HP127" s="181" t="inlineStr">
        <is>
          <t>BASE DO LIVRO</t>
        </is>
      </c>
      <c r="HQ127" s="182" t="n"/>
      <c r="HR127" s="183" t="n"/>
      <c r="HS127" s="185" t="inlineStr">
        <is>
          <t>Nenhuma</t>
        </is>
      </c>
      <c r="HT127" s="182" t="n"/>
      <c r="HU127" s="183" t="n"/>
      <c r="HV127" s="176" t="n"/>
      <c r="HW127" s="176" t="n"/>
      <c r="HX127" s="181" t="inlineStr">
        <is>
          <t>BASE DO LIVRO</t>
        </is>
      </c>
      <c r="HY127" s="182" t="n"/>
      <c r="HZ127" s="183" t="n"/>
      <c r="IA127" s="185" t="inlineStr">
        <is>
          <t>Nenhuma</t>
        </is>
      </c>
      <c r="IB127" s="182" t="n"/>
      <c r="IC127" s="183" t="n"/>
      <c r="ID127" s="176" t="n"/>
    </row>
    <row r="128" ht="21" customHeight="1">
      <c r="A128" s="176" t="n"/>
      <c r="B128" s="176" t="n"/>
      <c r="C128" s="186" t="n">
        <v>29</v>
      </c>
      <c r="D128" s="183" t="n"/>
      <c r="E128" s="197">
        <f>IF(DADOS_CONFIG!$AI$10="","","d"&amp;DADOS_CONFIG!$AI$10)</f>
        <v/>
      </c>
      <c r="F128" s="186" t="n"/>
      <c r="G128" s="186">
        <f>IF(DADOS_CONFIG!$S$15="Não","",IF(29&gt;'FICHA'!$AH$11,"",DADOS_CONFIG!AF30))</f>
        <v/>
      </c>
      <c r="H128" s="176" t="n"/>
      <c r="I128" s="176" t="n"/>
      <c r="J128" s="176" t="n"/>
      <c r="K128" s="176" t="n"/>
      <c r="L128" s="176" t="n"/>
      <c r="M128" s="176" t="n"/>
      <c r="N128" s="176" t="n"/>
      <c r="O128" s="176" t="n"/>
      <c r="P128" s="176" t="n"/>
      <c r="Q128" s="176" t="n"/>
      <c r="R128" s="176" t="n"/>
      <c r="S128" s="176" t="n"/>
      <c r="T128" s="179" t="inlineStr">
        <is>
          <t>CARTÃO 9 · CUSTOM</t>
        </is>
      </c>
      <c r="Z128" s="176" t="n"/>
      <c r="AA128" s="176" t="n"/>
      <c r="AB128" s="179" t="inlineStr">
        <is>
          <t>CARTÃO 10 · CUSTOM</t>
        </is>
      </c>
      <c r="AH128" s="176" t="n"/>
      <c r="AI128" s="176" t="n"/>
      <c r="AJ128" s="176" t="n"/>
      <c r="AK128" s="176" t="n"/>
      <c r="AL128" s="176" t="n"/>
      <c r="AM128" s="176" t="n"/>
      <c r="AN128" s="176" t="n"/>
      <c r="AO128" s="176" t="n"/>
      <c r="AP128" s="176" t="n"/>
      <c r="AQ128" s="176" t="n"/>
      <c r="AR128" s="176" t="n"/>
      <c r="AS128" s="176" t="n"/>
      <c r="AT128" s="176" t="n"/>
      <c r="AU128" s="176" t="n"/>
      <c r="AV128" s="176" t="n"/>
      <c r="AW128" s="176" t="n"/>
      <c r="AX128" s="176" t="n"/>
      <c r="AY128" s="176" t="n"/>
      <c r="AZ128" s="176" t="n"/>
      <c r="BA128" s="176" t="n"/>
      <c r="BB128" s="176" t="n"/>
      <c r="BC128" s="176" t="n"/>
      <c r="BD128" s="176" t="n"/>
      <c r="BE128" s="176" t="n"/>
      <c r="BF128" s="176" t="n"/>
      <c r="BG128" s="176" t="n"/>
      <c r="BH128" s="176" t="n"/>
      <c r="BI128" s="176" t="n"/>
      <c r="BJ128" s="176" t="n"/>
      <c r="BK128" s="176" t="n"/>
      <c r="BL128" s="176" t="n"/>
      <c r="BM128" s="176" t="n"/>
      <c r="BN128" s="176" t="n"/>
      <c r="BO128" s="176" t="n"/>
      <c r="BP128" s="176" t="n"/>
      <c r="BQ128" s="176" t="n"/>
      <c r="BR128" s="176" t="n"/>
      <c r="BS128" s="176" t="n"/>
      <c r="BT128" s="176" t="n"/>
      <c r="BU128" s="176" t="n"/>
      <c r="BV128" s="176" t="n"/>
      <c r="BW128" s="176" t="n"/>
      <c r="BX128" s="176" t="n"/>
      <c r="BY128" s="176" t="n"/>
      <c r="BZ128" s="176" t="n"/>
      <c r="CA128" s="176" t="n"/>
      <c r="CB128" s="176" t="n"/>
      <c r="CC128" s="176" t="n"/>
      <c r="CD128" s="176" t="n"/>
      <c r="CE128" s="176" t="n"/>
      <c r="CF128" s="176" t="n"/>
      <c r="CG128" s="176" t="n"/>
      <c r="CH128" s="176" t="n"/>
      <c r="CI128" s="176" t="n"/>
      <c r="CJ128" s="176" t="n"/>
      <c r="CK128" s="176" t="n"/>
      <c r="CL128" s="176" t="n"/>
      <c r="CM128" s="176" t="n"/>
      <c r="CN128" s="176" t="n"/>
      <c r="CO128" s="176" t="n"/>
      <c r="CP128" s="176" t="n"/>
      <c r="CQ128" s="176" t="n"/>
      <c r="CR128" s="176" t="n"/>
      <c r="CS128" s="176" t="n"/>
      <c r="CT128" s="176" t="n"/>
      <c r="CU128" s="176" t="n"/>
      <c r="CV128" s="176" t="n"/>
      <c r="CW128" s="176" t="n"/>
      <c r="CX128" s="176" t="n"/>
      <c r="CY128" s="176" t="n"/>
      <c r="CZ128" s="176" t="n"/>
      <c r="DA128" s="193" t="n"/>
      <c r="DF128" s="194" t="n"/>
      <c r="DG128" s="176" t="n"/>
      <c r="DH128" s="176" t="n"/>
      <c r="DI128" s="193" t="n"/>
      <c r="DN128" s="194" t="n"/>
      <c r="DO128" s="176" t="n"/>
      <c r="DP128" s="176" t="n"/>
      <c r="DQ128" s="176" t="n"/>
      <c r="DR128" s="181" t="inlineStr">
        <is>
          <t>FREQUÊNCIA</t>
        </is>
      </c>
      <c r="DS128" s="182" t="n"/>
      <c r="DT128" s="183" t="n"/>
      <c r="DU128" s="185" t="n"/>
      <c r="DV128" s="182" t="n"/>
      <c r="DW128" s="183" t="n"/>
      <c r="DX128" s="176" t="n"/>
      <c r="DY128" s="176" t="n"/>
      <c r="DZ128" s="181" t="inlineStr">
        <is>
          <t>FREQUÊNCIA</t>
        </is>
      </c>
      <c r="EA128" s="182" t="n"/>
      <c r="EB128" s="183" t="n"/>
      <c r="EC128" s="185" t="n"/>
      <c r="ED128" s="182" t="n"/>
      <c r="EE128" s="183" t="n"/>
      <c r="EF128" s="176" t="n"/>
      <c r="EG128" s="176" t="n"/>
      <c r="EH128" s="176" t="n"/>
      <c r="EI128" s="181" t="inlineStr">
        <is>
          <t>DEFINIÇÃO</t>
        </is>
      </c>
      <c r="EJ128" s="182" t="n"/>
      <c r="EK128" s="182" t="n"/>
      <c r="EL128" s="182" t="n"/>
      <c r="EM128" s="182" t="n"/>
      <c r="EN128" s="183" t="n"/>
      <c r="EO128" s="176" t="n"/>
      <c r="EP128" s="176" t="n"/>
      <c r="EQ128" s="181" t="inlineStr">
        <is>
          <t>DEFINIÇÃO</t>
        </is>
      </c>
      <c r="ER128" s="182" t="n"/>
      <c r="ES128" s="182" t="n"/>
      <c r="ET128" s="182" t="n"/>
      <c r="EU128" s="182" t="n"/>
      <c r="EV128" s="183" t="n"/>
      <c r="EW128" s="176" t="n"/>
      <c r="EX128" s="176" t="n"/>
      <c r="EY128" s="176" t="n"/>
      <c r="EZ128" s="181" t="inlineStr">
        <is>
          <t>ÁREA · P · 6 e 7</t>
        </is>
      </c>
      <c r="FA128" s="182" t="n"/>
      <c r="FB128" s="183" t="n"/>
      <c r="FC128" s="185" t="n"/>
      <c r="FD128" s="182" t="n"/>
      <c r="FE128" s="183" t="n"/>
      <c r="FF128" s="176" t="n"/>
      <c r="FG128" s="176" t="n"/>
      <c r="FH128" s="181" t="inlineStr">
        <is>
          <t>ÁREA · P · 6 e 7</t>
        </is>
      </c>
      <c r="FI128" s="182" t="n"/>
      <c r="FJ128" s="183" t="n"/>
      <c r="FK128" s="185" t="n"/>
      <c r="FL128" s="182" t="n"/>
      <c r="FM128" s="183" t="n"/>
      <c r="FN128" s="176" t="n"/>
      <c r="FO128" s="176" t="n"/>
      <c r="FP128" s="176" t="n"/>
      <c r="FQ128" s="181" t="inlineStr">
        <is>
          <t>REFINO / LAPIDAÇÃO</t>
        </is>
      </c>
      <c r="FR128" s="182" t="n"/>
      <c r="FS128" s="183" t="n"/>
      <c r="FT128" s="185" t="n"/>
      <c r="FU128" s="182" t="n"/>
      <c r="FV128" s="183" t="n"/>
      <c r="FW128" s="176" t="n"/>
      <c r="FX128" s="176" t="n"/>
      <c r="FY128" s="181" t="inlineStr">
        <is>
          <t>REFINO / LAPIDAÇÃO</t>
        </is>
      </c>
      <c r="FZ128" s="182" t="n"/>
      <c r="GA128" s="183" t="n"/>
      <c r="GB128" s="185" t="n"/>
      <c r="GC128" s="182" t="n"/>
      <c r="GD128" s="183" t="n"/>
      <c r="GE128" s="176" t="n"/>
      <c r="GF128" s="176" t="n"/>
      <c r="GG128" s="176" t="n"/>
      <c r="GH128" s="192" t="n"/>
      <c r="GI128" s="187" t="n"/>
      <c r="GJ128" s="187" t="n"/>
      <c r="GK128" s="187" t="n"/>
      <c r="GL128" s="187" t="n"/>
      <c r="GM128" s="188" t="n"/>
      <c r="GN128" s="176" t="n"/>
      <c r="GO128" s="176" t="n"/>
      <c r="GP128" s="192" t="n"/>
      <c r="GQ128" s="187" t="n"/>
      <c r="GR128" s="187" t="n"/>
      <c r="GS128" s="187" t="n"/>
      <c r="GT128" s="187" t="n"/>
      <c r="GU128" s="188" t="n"/>
      <c r="GV128" s="176" t="n"/>
      <c r="GW128" s="176" t="n"/>
      <c r="GX128" s="176" t="n"/>
      <c r="GY128" s="181" t="inlineStr">
        <is>
          <t>VIDA</t>
        </is>
      </c>
      <c r="GZ128" s="182" t="n"/>
      <c r="HA128" s="183" t="n"/>
      <c r="HB128" s="185" t="n"/>
      <c r="HC128" s="182" t="n"/>
      <c r="HD128" s="183" t="n"/>
      <c r="HE128" s="176" t="n"/>
      <c r="HF128" s="176" t="n"/>
      <c r="HG128" s="181" t="inlineStr">
        <is>
          <t>VIDA</t>
        </is>
      </c>
      <c r="HH128" s="182" t="n"/>
      <c r="HI128" s="183" t="n"/>
      <c r="HJ128" s="185" t="n"/>
      <c r="HK128" s="182" t="n"/>
      <c r="HL128" s="183" t="n"/>
      <c r="HM128" s="176" t="n"/>
      <c r="HN128" s="176" t="n"/>
      <c r="HO128" s="176" t="n"/>
      <c r="HP128" s="181" t="inlineStr">
        <is>
          <t>CATEGORIA DE EFEITO</t>
        </is>
      </c>
      <c r="HQ128" s="182" t="n"/>
      <c r="HR128" s="183" t="n"/>
      <c r="HS128" s="185" t="n"/>
      <c r="HT128" s="182" t="n"/>
      <c r="HU128" s="183" t="n"/>
      <c r="HV128" s="176" t="n"/>
      <c r="HW128" s="176" t="n"/>
      <c r="HX128" s="181" t="inlineStr">
        <is>
          <t>CATEGORIA DE EFEITO</t>
        </is>
      </c>
      <c r="HY128" s="182" t="n"/>
      <c r="HZ128" s="183" t="n"/>
      <c r="IA128" s="185" t="n"/>
      <c r="IB128" s="182" t="n"/>
      <c r="IC128" s="183" t="n"/>
      <c r="ID128" s="176" t="n"/>
    </row>
    <row r="129" ht="21" customHeight="1">
      <c r="A129" s="176" t="n"/>
      <c r="B129" s="176" t="n"/>
      <c r="C129" s="186" t="n">
        <v>30</v>
      </c>
      <c r="D129" s="183" t="n"/>
      <c r="E129" s="197">
        <f>IF(DADOS_CONFIG!$AI$10="","","d"&amp;DADOS_CONFIG!$AI$10)</f>
        <v/>
      </c>
      <c r="F129" s="186" t="n"/>
      <c r="G129" s="186">
        <f>IF(DADOS_CONFIG!$S$15="Não","",IF(30&gt;'FICHA'!$AH$11,"",DADOS_CONFIG!AF31))</f>
        <v/>
      </c>
      <c r="H129" s="176" t="n"/>
      <c r="I129" s="176" t="n"/>
      <c r="J129" s="176" t="n"/>
      <c r="K129" s="176" t="n"/>
      <c r="L129" s="176" t="n"/>
      <c r="M129" s="176" t="n"/>
      <c r="N129" s="176" t="n"/>
      <c r="O129" s="176" t="n"/>
      <c r="P129" s="176" t="n"/>
      <c r="Q129" s="176" t="n"/>
      <c r="R129" s="176" t="n"/>
      <c r="S129" s="176" t="n"/>
      <c r="T129" s="181" t="inlineStr">
        <is>
          <t>TIPO</t>
        </is>
      </c>
      <c r="U129" s="182" t="n"/>
      <c r="V129" s="182" t="n"/>
      <c r="W129" s="183" t="n"/>
      <c r="X129" s="181" t="inlineStr">
        <is>
          <t>MESTRE VIU</t>
        </is>
      </c>
      <c r="Y129" s="183" t="n"/>
      <c r="Z129" s="176" t="n"/>
      <c r="AA129" s="176" t="n"/>
      <c r="AB129" s="181" t="inlineStr">
        <is>
          <t>TIPO</t>
        </is>
      </c>
      <c r="AC129" s="182" t="n"/>
      <c r="AD129" s="182" t="n"/>
      <c r="AE129" s="183" t="n"/>
      <c r="AF129" s="181" t="inlineStr">
        <is>
          <t>MESTRE VIU</t>
        </is>
      </c>
      <c r="AG129" s="183" t="n"/>
      <c r="AH129" s="176" t="n"/>
      <c r="AI129" s="176" t="n"/>
      <c r="AJ129" s="176" t="n"/>
      <c r="AK129" s="176" t="n"/>
      <c r="AL129" s="176" t="n"/>
      <c r="AM129" s="176" t="n"/>
      <c r="AN129" s="176" t="n"/>
      <c r="AO129" s="176" t="n"/>
      <c r="AP129" s="176" t="n"/>
      <c r="AQ129" s="176" t="n"/>
      <c r="AR129" s="176" t="n"/>
      <c r="AS129" s="176" t="n"/>
      <c r="AT129" s="176" t="n"/>
      <c r="AU129" s="176" t="n"/>
      <c r="AV129" s="176" t="n"/>
      <c r="AW129" s="176" t="n"/>
      <c r="AX129" s="176" t="n"/>
      <c r="AY129" s="176" t="n"/>
      <c r="AZ129" s="176" t="n"/>
      <c r="BA129" s="176" t="n"/>
      <c r="BB129" s="176" t="n"/>
      <c r="BC129" s="176" t="n"/>
      <c r="BD129" s="176" t="n"/>
      <c r="BE129" s="176" t="n"/>
      <c r="BF129" s="176" t="n"/>
      <c r="BG129" s="176" t="n"/>
      <c r="BH129" s="176" t="n"/>
      <c r="BI129" s="176" t="n"/>
      <c r="BJ129" s="176" t="n"/>
      <c r="BK129" s="176" t="n"/>
      <c r="BL129" s="176" t="n"/>
      <c r="BM129" s="176" t="n"/>
      <c r="BN129" s="176" t="n"/>
      <c r="BO129" s="176" t="n"/>
      <c r="BP129" s="176" t="n"/>
      <c r="BQ129" s="176" t="n"/>
      <c r="BR129" s="176" t="n"/>
      <c r="BS129" s="176" t="n"/>
      <c r="BT129" s="176" t="n"/>
      <c r="BU129" s="176" t="n"/>
      <c r="BV129" s="176" t="n"/>
      <c r="BW129" s="176" t="n"/>
      <c r="BX129" s="176" t="n"/>
      <c r="BY129" s="176" t="n"/>
      <c r="BZ129" s="176" t="n"/>
      <c r="CA129" s="176" t="n"/>
      <c r="CB129" s="176" t="n"/>
      <c r="CC129" s="176" t="n"/>
      <c r="CD129" s="176" t="n"/>
      <c r="CE129" s="176" t="n"/>
      <c r="CF129" s="176" t="n"/>
      <c r="CG129" s="176" t="n"/>
      <c r="CH129" s="176" t="n"/>
      <c r="CI129" s="176" t="n"/>
      <c r="CJ129" s="176" t="n"/>
      <c r="CK129" s="176" t="n"/>
      <c r="CL129" s="176" t="n"/>
      <c r="CM129" s="176" t="n"/>
      <c r="CN129" s="176" t="n"/>
      <c r="CO129" s="176" t="n"/>
      <c r="CP129" s="176" t="n"/>
      <c r="CQ129" s="176" t="n"/>
      <c r="CR129" s="176" t="n"/>
      <c r="CS129" s="176" t="n"/>
      <c r="CT129" s="176" t="n"/>
      <c r="CU129" s="176" t="n"/>
      <c r="CV129" s="176" t="n"/>
      <c r="CW129" s="176" t="n"/>
      <c r="CX129" s="176" t="n"/>
      <c r="CY129" s="176" t="n"/>
      <c r="CZ129" s="176" t="n"/>
      <c r="DA129" s="189" t="n"/>
      <c r="DB129" s="190" t="n"/>
      <c r="DC129" s="190" t="n"/>
      <c r="DD129" s="190" t="n"/>
      <c r="DE129" s="190" t="n"/>
      <c r="DF129" s="191" t="n"/>
      <c r="DG129" s="176" t="n"/>
      <c r="DH129" s="176" t="n"/>
      <c r="DI129" s="189" t="n"/>
      <c r="DJ129" s="190" t="n"/>
      <c r="DK129" s="190" t="n"/>
      <c r="DL129" s="190" t="n"/>
      <c r="DM129" s="190" t="n"/>
      <c r="DN129" s="191" t="n"/>
      <c r="DO129" s="176" t="n"/>
      <c r="DP129" s="176" t="n"/>
      <c r="DQ129" s="176" t="n"/>
      <c r="DR129" s="176" t="n"/>
      <c r="DS129" s="176" t="n"/>
      <c r="DT129" s="176" t="n"/>
      <c r="DU129" s="176" t="n"/>
      <c r="DV129" s="176" t="n"/>
      <c r="DW129" s="176" t="n"/>
      <c r="DX129" s="176" t="n"/>
      <c r="DY129" s="176" t="n"/>
      <c r="DZ129" s="176" t="n"/>
      <c r="EA129" s="176" t="n"/>
      <c r="EB129" s="176" t="n"/>
      <c r="EC129" s="176" t="n"/>
      <c r="ED129" s="176" t="n"/>
      <c r="EE129" s="176" t="n"/>
      <c r="EF129" s="176" t="n"/>
      <c r="EG129" s="176" t="n"/>
      <c r="EH129" s="176" t="n"/>
      <c r="EI129" s="192" t="n"/>
      <c r="EJ129" s="187" t="n"/>
      <c r="EK129" s="187" t="n"/>
      <c r="EL129" s="187" t="n"/>
      <c r="EM129" s="187" t="n"/>
      <c r="EN129" s="188" t="n"/>
      <c r="EO129" s="176" t="n"/>
      <c r="EP129" s="176" t="n"/>
      <c r="EQ129" s="192" t="n"/>
      <c r="ER129" s="187" t="n"/>
      <c r="ES129" s="187" t="n"/>
      <c r="ET129" s="187" t="n"/>
      <c r="EU129" s="187" t="n"/>
      <c r="EV129" s="188" t="n"/>
      <c r="EW129" s="176" t="n"/>
      <c r="EX129" s="176" t="n"/>
      <c r="EY129" s="176" t="n"/>
      <c r="EZ129" s="181" t="inlineStr">
        <is>
          <t>ÁREA · E · 0</t>
        </is>
      </c>
      <c r="FA129" s="182" t="n"/>
      <c r="FB129" s="183" t="n"/>
      <c r="FC129" s="185" t="n"/>
      <c r="FD129" s="182" t="n"/>
      <c r="FE129" s="183" t="n"/>
      <c r="FF129" s="176" t="n"/>
      <c r="FG129" s="176" t="n"/>
      <c r="FH129" s="181" t="inlineStr">
        <is>
          <t>ÁREA · E · 0</t>
        </is>
      </c>
      <c r="FI129" s="182" t="n"/>
      <c r="FJ129" s="183" t="n"/>
      <c r="FK129" s="185" t="n"/>
      <c r="FL129" s="182" t="n"/>
      <c r="FM129" s="183" t="n"/>
      <c r="FN129" s="176" t="n"/>
      <c r="FO129" s="176" t="n"/>
      <c r="FP129" s="176" t="n"/>
      <c r="FQ129" s="181" t="inlineStr">
        <is>
          <t>ESCOLHA</t>
        </is>
      </c>
      <c r="FR129" s="182" t="n"/>
      <c r="FS129" s="183" t="n"/>
      <c r="FT129" s="185" t="n"/>
      <c r="FU129" s="182" t="n"/>
      <c r="FV129" s="183" t="n"/>
      <c r="FW129" s="176" t="n"/>
      <c r="FX129" s="176" t="n"/>
      <c r="FY129" s="181" t="inlineStr">
        <is>
          <t>ESCOLHA</t>
        </is>
      </c>
      <c r="FZ129" s="182" t="n"/>
      <c r="GA129" s="183" t="n"/>
      <c r="GB129" s="185" t="n"/>
      <c r="GC129" s="182" t="n"/>
      <c r="GD129" s="183" t="n"/>
      <c r="GE129" s="176" t="n"/>
      <c r="GF129" s="176" t="n"/>
      <c r="GG129" s="176" t="n"/>
      <c r="GH129" s="193" t="n"/>
      <c r="GM129" s="194" t="n"/>
      <c r="GN129" s="176" t="n"/>
      <c r="GO129" s="176" t="n"/>
      <c r="GP129" s="193" t="n"/>
      <c r="GU129" s="194" t="n"/>
      <c r="GV129" s="176" t="n"/>
      <c r="GW129" s="176" t="n"/>
      <c r="GX129" s="176" t="n"/>
      <c r="GY129" s="181" t="inlineStr">
        <is>
          <t>TALISMÃ</t>
        </is>
      </c>
      <c r="GZ129" s="182" t="n"/>
      <c r="HA129" s="183" t="n"/>
      <c r="HB129" s="185" t="n"/>
      <c r="HC129" s="182" t="n"/>
      <c r="HD129" s="183" t="n"/>
      <c r="HE129" s="176" t="n"/>
      <c r="HF129" s="176" t="n"/>
      <c r="HG129" s="181" t="inlineStr">
        <is>
          <t>TALISMÃ</t>
        </is>
      </c>
      <c r="HH129" s="182" t="n"/>
      <c r="HI129" s="183" t="n"/>
      <c r="HJ129" s="185" t="n"/>
      <c r="HK129" s="182" t="n"/>
      <c r="HL129" s="183" t="n"/>
      <c r="HM129" s="176" t="n"/>
      <c r="HN129" s="176" t="n"/>
      <c r="HO129" s="176" t="n"/>
      <c r="HP129" s="176" t="n"/>
      <c r="HQ129" s="176" t="n"/>
      <c r="HR129" s="176" t="n"/>
      <c r="HS129" s="176" t="n"/>
      <c r="HT129" s="176" t="n"/>
      <c r="HU129" s="176" t="n"/>
      <c r="HV129" s="176" t="n"/>
      <c r="HW129" s="176" t="n"/>
      <c r="HX129" s="176" t="n"/>
      <c r="HY129" s="176" t="n"/>
      <c r="HZ129" s="176" t="n"/>
      <c r="IA129" s="176" t="n"/>
      <c r="IB129" s="176" t="n"/>
      <c r="IC129" s="176" t="n"/>
      <c r="ID129" s="176" t="n"/>
    </row>
    <row r="130" ht="18.75" customHeight="1">
      <c r="A130" s="176" t="n"/>
      <c r="B130" s="176" t="n"/>
      <c r="C130" s="180">
        <f>DADOS_CONFIG!$AF$32</f>
        <v/>
      </c>
      <c r="I130" s="176" t="n"/>
      <c r="J130" s="176" t="n"/>
      <c r="K130" s="176" t="n"/>
      <c r="L130" s="176" t="n"/>
      <c r="M130" s="176" t="n"/>
      <c r="N130" s="176" t="n"/>
      <c r="O130" s="176" t="n"/>
      <c r="P130" s="176" t="n"/>
      <c r="Q130" s="176" t="n"/>
      <c r="R130" s="176" t="n"/>
      <c r="S130" s="176" t="n"/>
      <c r="T130" s="185" t="n"/>
      <c r="U130" s="182" t="n"/>
      <c r="V130" s="182" t="n"/>
      <c r="W130" s="183" t="n"/>
      <c r="X130" s="184" t="b">
        <v>0</v>
      </c>
      <c r="Y130" s="183" t="n"/>
      <c r="Z130" s="176" t="n"/>
      <c r="AA130" s="176" t="n"/>
      <c r="AB130" s="185" t="n"/>
      <c r="AC130" s="182" t="n"/>
      <c r="AD130" s="182" t="n"/>
      <c r="AE130" s="183" t="n"/>
      <c r="AF130" s="184" t="b">
        <v>0</v>
      </c>
      <c r="AG130" s="183" t="n"/>
      <c r="AH130" s="176" t="n"/>
      <c r="AI130" s="176" t="n"/>
      <c r="AJ130" s="176" t="n"/>
      <c r="AK130" s="176" t="n"/>
      <c r="AL130" s="176" t="n"/>
      <c r="AM130" s="176" t="n"/>
      <c r="AN130" s="176" t="n"/>
      <c r="AO130" s="176" t="n"/>
      <c r="AP130" s="176" t="n"/>
      <c r="AQ130" s="176" t="n"/>
      <c r="AR130" s="176" t="n"/>
      <c r="AS130" s="176" t="n"/>
      <c r="AT130" s="176" t="n"/>
      <c r="AU130" s="176" t="n"/>
      <c r="AV130" s="176" t="n"/>
      <c r="AW130" s="176" t="n"/>
      <c r="AX130" s="176" t="n"/>
      <c r="AY130" s="176" t="n"/>
      <c r="AZ130" s="176" t="n"/>
      <c r="BA130" s="176" t="n"/>
      <c r="BB130" s="176" t="n"/>
      <c r="BC130" s="176" t="n"/>
      <c r="BD130" s="176" t="n"/>
      <c r="BE130" s="176" t="n"/>
      <c r="BF130" s="176" t="n"/>
      <c r="BG130" s="176" t="n"/>
      <c r="BH130" s="176" t="n"/>
      <c r="BI130" s="176" t="n"/>
      <c r="BJ130" s="176" t="n"/>
      <c r="BK130" s="176" t="n"/>
      <c r="BL130" s="176" t="n"/>
      <c r="BM130" s="176" t="n"/>
      <c r="BN130" s="176" t="n"/>
      <c r="BO130" s="176" t="n"/>
      <c r="BP130" s="176" t="n"/>
      <c r="BQ130" s="176" t="n"/>
      <c r="BR130" s="176" t="n"/>
      <c r="BS130" s="176" t="n"/>
      <c r="BT130" s="176" t="n"/>
      <c r="BU130" s="176" t="n"/>
      <c r="BV130" s="176" t="n"/>
      <c r="BW130" s="176" t="n"/>
      <c r="BX130" s="176" t="n"/>
      <c r="BY130" s="176" t="n"/>
      <c r="BZ130" s="176" t="n"/>
      <c r="CA130" s="176" t="n"/>
      <c r="CB130" s="176" t="n"/>
      <c r="CC130" s="176" t="n"/>
      <c r="CD130" s="176" t="n"/>
      <c r="CE130" s="176" t="n"/>
      <c r="CF130" s="176" t="n"/>
      <c r="CG130" s="176" t="n"/>
      <c r="CH130" s="176" t="n"/>
      <c r="CI130" s="176" t="n"/>
      <c r="CJ130" s="176" t="n"/>
      <c r="CK130" s="176" t="n"/>
      <c r="CL130" s="176" t="n"/>
      <c r="CM130" s="176" t="n"/>
      <c r="CN130" s="176" t="n"/>
      <c r="CO130" s="176" t="n"/>
      <c r="CP130" s="176" t="n"/>
      <c r="CQ130" s="176" t="n"/>
      <c r="CR130" s="176" t="n"/>
      <c r="CS130" s="176" t="n"/>
      <c r="CT130" s="176" t="n"/>
      <c r="CU130" s="176" t="n"/>
      <c r="CV130" s="176" t="n"/>
      <c r="CW130" s="176" t="n"/>
      <c r="CX130" s="176" t="n"/>
      <c r="CY130" s="176" t="n"/>
      <c r="CZ130" s="176" t="n"/>
      <c r="DA130" s="176" t="n"/>
      <c r="DB130" s="176" t="n"/>
      <c r="DC130" s="176" t="n"/>
      <c r="DD130" s="176" t="n"/>
      <c r="DE130" s="176" t="n"/>
      <c r="DF130" s="176" t="n"/>
      <c r="DG130" s="176" t="n"/>
      <c r="DH130" s="176" t="n"/>
      <c r="DI130" s="176" t="n"/>
      <c r="DJ130" s="176" t="n"/>
      <c r="DK130" s="176" t="n"/>
      <c r="DL130" s="176" t="n"/>
      <c r="DM130" s="176" t="n"/>
      <c r="DN130" s="176" t="n"/>
      <c r="DO130" s="176" t="n"/>
      <c r="DP130" s="176" t="n"/>
      <c r="DQ130" s="176" t="n"/>
      <c r="DR130" s="181" t="inlineStr">
        <is>
          <t>EFEITO E REQUISITOS</t>
        </is>
      </c>
      <c r="DS130" s="182" t="n"/>
      <c r="DT130" s="182" t="n"/>
      <c r="DU130" s="182" t="n"/>
      <c r="DV130" s="182" t="n"/>
      <c r="DW130" s="183" t="n"/>
      <c r="DX130" s="176" t="n"/>
      <c r="DY130" s="176" t="n"/>
      <c r="DZ130" s="181" t="inlineStr">
        <is>
          <t>EFEITO E REQUISITOS</t>
        </is>
      </c>
      <c r="EA130" s="182" t="n"/>
      <c r="EB130" s="182" t="n"/>
      <c r="EC130" s="182" t="n"/>
      <c r="ED130" s="182" t="n"/>
      <c r="EE130" s="183" t="n"/>
      <c r="EF130" s="176" t="n"/>
      <c r="EG130" s="176" t="n"/>
      <c r="EH130" s="176" t="n"/>
      <c r="EI130" s="193" t="n"/>
      <c r="EN130" s="194" t="n"/>
      <c r="EO130" s="176" t="n"/>
      <c r="EP130" s="176" t="n"/>
      <c r="EQ130" s="193" t="n"/>
      <c r="EV130" s="194" t="n"/>
      <c r="EW130" s="176" t="n"/>
      <c r="EX130" s="176" t="n"/>
      <c r="EY130" s="176" t="n"/>
      <c r="EZ130" s="181" t="inlineStr">
        <is>
          <t>ÁREA · E · 1 a 5</t>
        </is>
      </c>
      <c r="FA130" s="182" t="n"/>
      <c r="FB130" s="183" t="n"/>
      <c r="FC130" s="185" t="n"/>
      <c r="FD130" s="182" t="n"/>
      <c r="FE130" s="183" t="n"/>
      <c r="FF130" s="176" t="n"/>
      <c r="FG130" s="176" t="n"/>
      <c r="FH130" s="181" t="inlineStr">
        <is>
          <t>ÁREA · E · 1 a 5</t>
        </is>
      </c>
      <c r="FI130" s="182" t="n"/>
      <c r="FJ130" s="183" t="n"/>
      <c r="FK130" s="185" t="n"/>
      <c r="FL130" s="182" t="n"/>
      <c r="FM130" s="183" t="n"/>
      <c r="FN130" s="176" t="n"/>
      <c r="FO130" s="176" t="n"/>
      <c r="FP130" s="176" t="n"/>
      <c r="FQ130" s="176" t="n"/>
      <c r="FR130" s="176" t="n"/>
      <c r="FS130" s="176" t="n"/>
      <c r="FT130" s="176" t="n"/>
      <c r="FU130" s="176" t="n"/>
      <c r="FV130" s="176" t="n"/>
      <c r="FW130" s="176" t="n"/>
      <c r="FX130" s="176" t="n"/>
      <c r="FY130" s="176" t="n"/>
      <c r="FZ130" s="176" t="n"/>
      <c r="GA130" s="176" t="n"/>
      <c r="GB130" s="176" t="n"/>
      <c r="GC130" s="176" t="n"/>
      <c r="GD130" s="176" t="n"/>
      <c r="GE130" s="176" t="n"/>
      <c r="GF130" s="176" t="n"/>
      <c r="GG130" s="176" t="n"/>
      <c r="GH130" s="193" t="n"/>
      <c r="GM130" s="194" t="n"/>
      <c r="GN130" s="176" t="n"/>
      <c r="GO130" s="176" t="n"/>
      <c r="GP130" s="193" t="n"/>
      <c r="GU130" s="194" t="n"/>
      <c r="GV130" s="176" t="n"/>
      <c r="GW130" s="176" t="n"/>
      <c r="GX130" s="176" t="n"/>
      <c r="GY130" s="176" t="n"/>
      <c r="GZ130" s="176" t="n"/>
      <c r="HA130" s="176" t="n"/>
      <c r="HB130" s="176" t="n"/>
      <c r="HC130" s="176" t="n"/>
      <c r="HD130" s="176" t="n"/>
      <c r="HE130" s="176" t="n"/>
      <c r="HF130" s="176" t="n"/>
      <c r="HG130" s="176" t="n"/>
      <c r="HH130" s="176" t="n"/>
      <c r="HI130" s="176" t="n"/>
      <c r="HJ130" s="176" t="n"/>
      <c r="HK130" s="176" t="n"/>
      <c r="HL130" s="176" t="n"/>
      <c r="HM130" s="176" t="n"/>
      <c r="HN130" s="176" t="n"/>
      <c r="HO130" s="176" t="n"/>
      <c r="HP130" s="176" t="n"/>
      <c r="HQ130" s="176" t="n"/>
      <c r="HR130" s="176" t="n"/>
      <c r="HS130" s="176" t="n"/>
      <c r="HT130" s="176" t="n"/>
      <c r="HU130" s="176" t="n"/>
      <c r="HV130" s="176" t="n"/>
      <c r="HW130" s="176" t="n"/>
      <c r="HX130" s="176" t="n"/>
      <c r="HY130" s="176" t="n"/>
      <c r="HZ130" s="176" t="n"/>
      <c r="IA130" s="176" t="n"/>
      <c r="IB130" s="176" t="n"/>
      <c r="IC130" s="176" t="n"/>
      <c r="ID130" s="176" t="n"/>
    </row>
    <row r="131" ht="18.75" customHeight="1">
      <c r="A131" s="176" t="n"/>
      <c r="B131" s="176" t="n"/>
      <c r="C131" s="176" t="n"/>
      <c r="D131" s="176" t="n"/>
      <c r="E131" s="176" t="n"/>
      <c r="F131" s="176" t="n"/>
      <c r="G131" s="176" t="n"/>
      <c r="H131" s="176" t="n"/>
      <c r="I131" s="176" t="n"/>
      <c r="J131" s="176" t="n"/>
      <c r="K131" s="176" t="n"/>
      <c r="L131" s="176" t="n"/>
      <c r="M131" s="176" t="n"/>
      <c r="N131" s="176" t="n"/>
      <c r="O131" s="176" t="n"/>
      <c r="P131" s="176" t="n"/>
      <c r="Q131" s="176" t="n"/>
      <c r="R131" s="176" t="n"/>
      <c r="S131" s="176" t="n"/>
      <c r="T131" s="181" t="inlineStr">
        <is>
          <t>NOME</t>
        </is>
      </c>
      <c r="U131" s="182" t="n"/>
      <c r="V131" s="182" t="n"/>
      <c r="W131" s="182" t="n"/>
      <c r="X131" s="182" t="n"/>
      <c r="Y131" s="183" t="n"/>
      <c r="Z131" s="176" t="n"/>
      <c r="AA131" s="176" t="n"/>
      <c r="AB131" s="181" t="inlineStr">
        <is>
          <t>NOME</t>
        </is>
      </c>
      <c r="AC131" s="182" t="n"/>
      <c r="AD131" s="182" t="n"/>
      <c r="AE131" s="182" t="n"/>
      <c r="AF131" s="182" t="n"/>
      <c r="AG131" s="183" t="n"/>
      <c r="AH131" s="176" t="n"/>
      <c r="AI131" s="176" t="n"/>
      <c r="AJ131" s="176" t="n"/>
      <c r="AK131" s="176" t="n"/>
      <c r="AL131" s="176" t="n"/>
      <c r="AM131" s="176" t="n"/>
      <c r="AN131" s="176" t="n"/>
      <c r="AO131" s="176" t="n"/>
      <c r="AP131" s="176" t="n"/>
      <c r="AQ131" s="176" t="n"/>
      <c r="AR131" s="176" t="n"/>
      <c r="AS131" s="176" t="n"/>
      <c r="AT131" s="176" t="n"/>
      <c r="AU131" s="176" t="n"/>
      <c r="AV131" s="176" t="n"/>
      <c r="AW131" s="176" t="n"/>
      <c r="AX131" s="176" t="n"/>
      <c r="AY131" s="176" t="n"/>
      <c r="AZ131" s="176" t="n"/>
      <c r="BA131" s="176" t="n"/>
      <c r="BB131" s="176" t="n"/>
      <c r="BC131" s="176" t="n"/>
      <c r="BD131" s="176" t="n"/>
      <c r="BE131" s="176" t="n"/>
      <c r="BF131" s="176" t="n"/>
      <c r="BG131" s="176" t="n"/>
      <c r="BH131" s="176" t="n"/>
      <c r="BI131" s="176" t="n"/>
      <c r="BJ131" s="176" t="n"/>
      <c r="BK131" s="176" t="n"/>
      <c r="BL131" s="176" t="n"/>
      <c r="BM131" s="176" t="n"/>
      <c r="BN131" s="176" t="n"/>
      <c r="BO131" s="176" t="n"/>
      <c r="BP131" s="176" t="n"/>
      <c r="BQ131" s="176" t="n"/>
      <c r="BR131" s="176" t="n"/>
      <c r="BS131" s="176" t="n"/>
      <c r="BT131" s="176" t="n"/>
      <c r="BU131" s="176" t="n"/>
      <c r="BV131" s="176" t="n"/>
      <c r="BW131" s="176" t="n"/>
      <c r="BX131" s="176" t="n"/>
      <c r="BY131" s="176" t="n"/>
      <c r="BZ131" s="176" t="n"/>
      <c r="CA131" s="176" t="n"/>
      <c r="CB131" s="176" t="n"/>
      <c r="CC131" s="176" t="n"/>
      <c r="CD131" s="176" t="n"/>
      <c r="CE131" s="176" t="n"/>
      <c r="CF131" s="176" t="n"/>
      <c r="CG131" s="176" t="n"/>
      <c r="CH131" s="176" t="n"/>
      <c r="CI131" s="176" t="n"/>
      <c r="CJ131" s="176" t="n"/>
      <c r="CK131" s="176" t="n"/>
      <c r="CL131" s="176" t="n"/>
      <c r="CM131" s="176" t="n"/>
      <c r="CN131" s="176" t="n"/>
      <c r="CO131" s="176" t="n"/>
      <c r="CP131" s="176" t="n"/>
      <c r="CQ131" s="176" t="n"/>
      <c r="CR131" s="176" t="n"/>
      <c r="CS131" s="176" t="n"/>
      <c r="CT131" s="176" t="n"/>
      <c r="CU131" s="176" t="n"/>
      <c r="CV131" s="176" t="n"/>
      <c r="CW131" s="176" t="n"/>
      <c r="CX131" s="176" t="n"/>
      <c r="CY131" s="176" t="n"/>
      <c r="CZ131" s="176" t="n"/>
      <c r="DA131" s="181" t="inlineStr">
        <is>
          <t>EFEITO</t>
        </is>
      </c>
      <c r="DB131" s="182" t="n"/>
      <c r="DC131" s="182" t="n"/>
      <c r="DD131" s="182" t="n"/>
      <c r="DE131" s="182" t="n"/>
      <c r="DF131" s="183" t="n"/>
      <c r="DG131" s="176" t="n"/>
      <c r="DH131" s="176" t="n"/>
      <c r="DI131" s="181" t="inlineStr">
        <is>
          <t>EFEITO</t>
        </is>
      </c>
      <c r="DJ131" s="182" t="n"/>
      <c r="DK131" s="182" t="n"/>
      <c r="DL131" s="182" t="n"/>
      <c r="DM131" s="182" t="n"/>
      <c r="DN131" s="183" t="n"/>
      <c r="DO131" s="176" t="n"/>
      <c r="DP131" s="176" t="n"/>
      <c r="DQ131" s="176" t="n"/>
      <c r="DR131" s="192" t="n"/>
      <c r="DS131" s="187" t="n"/>
      <c r="DT131" s="187" t="n"/>
      <c r="DU131" s="187" t="n"/>
      <c r="DV131" s="187" t="n"/>
      <c r="DW131" s="188" t="n"/>
      <c r="DX131" s="176" t="n"/>
      <c r="DY131" s="176" t="n"/>
      <c r="DZ131" s="192" t="n"/>
      <c r="EA131" s="187" t="n"/>
      <c r="EB131" s="187" t="n"/>
      <c r="EC131" s="187" t="n"/>
      <c r="ED131" s="187" t="n"/>
      <c r="EE131" s="188" t="n"/>
      <c r="EF131" s="176" t="n"/>
      <c r="EG131" s="176" t="n"/>
      <c r="EH131" s="176" t="n"/>
      <c r="EI131" s="193" t="n"/>
      <c r="EN131" s="194" t="n"/>
      <c r="EO131" s="176" t="n"/>
      <c r="EP131" s="176" t="n"/>
      <c r="EQ131" s="193" t="n"/>
      <c r="EV131" s="194" t="n"/>
      <c r="EW131" s="176" t="n"/>
      <c r="EX131" s="176" t="n"/>
      <c r="EY131" s="176" t="n"/>
      <c r="EZ131" s="181" t="inlineStr">
        <is>
          <t>ÁREA · E · 6</t>
        </is>
      </c>
      <c r="FA131" s="182" t="n"/>
      <c r="FB131" s="183" t="n"/>
      <c r="FC131" s="185" t="n"/>
      <c r="FD131" s="182" t="n"/>
      <c r="FE131" s="183" t="n"/>
      <c r="FF131" s="176" t="n"/>
      <c r="FG131" s="176" t="n"/>
      <c r="FH131" s="181" t="inlineStr">
        <is>
          <t>ÁREA · E · 6</t>
        </is>
      </c>
      <c r="FI131" s="182" t="n"/>
      <c r="FJ131" s="183" t="n"/>
      <c r="FK131" s="185" t="n"/>
      <c r="FL131" s="182" t="n"/>
      <c r="FM131" s="183" t="n"/>
      <c r="FN131" s="176" t="n"/>
      <c r="FO131" s="176" t="n"/>
      <c r="FP131" s="176" t="n"/>
      <c r="FQ131" s="181" t="inlineStr">
        <is>
          <t>REQUISITOS</t>
        </is>
      </c>
      <c r="FR131" s="182" t="n"/>
      <c r="FS131" s="182" t="n"/>
      <c r="FT131" s="182" t="n"/>
      <c r="FU131" s="182" t="n"/>
      <c r="FV131" s="183" t="n"/>
      <c r="FW131" s="176" t="n"/>
      <c r="FX131" s="176" t="n"/>
      <c r="FY131" s="181" t="inlineStr">
        <is>
          <t>REQUISITOS</t>
        </is>
      </c>
      <c r="FZ131" s="182" t="n"/>
      <c r="GA131" s="182" t="n"/>
      <c r="GB131" s="182" t="n"/>
      <c r="GC131" s="182" t="n"/>
      <c r="GD131" s="183" t="n"/>
      <c r="GE131" s="176" t="n"/>
      <c r="GF131" s="176" t="n"/>
      <c r="GG131" s="176" t="n"/>
      <c r="GH131" s="189" t="n"/>
      <c r="GI131" s="190" t="n"/>
      <c r="GJ131" s="190" t="n"/>
      <c r="GK131" s="190" t="n"/>
      <c r="GL131" s="190" t="n"/>
      <c r="GM131" s="191" t="n"/>
      <c r="GN131" s="176" t="n"/>
      <c r="GO131" s="176" t="n"/>
      <c r="GP131" s="189" t="n"/>
      <c r="GQ131" s="190" t="n"/>
      <c r="GR131" s="190" t="n"/>
      <c r="GS131" s="190" t="n"/>
      <c r="GT131" s="190" t="n"/>
      <c r="GU131" s="191" t="n"/>
      <c r="GV131" s="176" t="n"/>
      <c r="GW131" s="176" t="n"/>
      <c r="GX131" s="176" t="n"/>
      <c r="GY131" s="181" t="inlineStr">
        <is>
          <t>RESERVA DE PE</t>
        </is>
      </c>
      <c r="GZ131" s="182" t="n"/>
      <c r="HA131" s="183" t="n"/>
      <c r="HB131" s="185" t="n"/>
      <c r="HC131" s="182" t="n"/>
      <c r="HD131" s="183" t="n"/>
      <c r="HE131" s="176" t="n"/>
      <c r="HF131" s="176" t="n"/>
      <c r="HG131" s="181" t="inlineStr">
        <is>
          <t>RESERVA DE PE</t>
        </is>
      </c>
      <c r="HH131" s="182" t="n"/>
      <c r="HI131" s="183" t="n"/>
      <c r="HJ131" s="185" t="n"/>
      <c r="HK131" s="182" t="n"/>
      <c r="HL131" s="183" t="n"/>
      <c r="HM131" s="176" t="n"/>
      <c r="HN131" s="176" t="n"/>
      <c r="HO131" s="176" t="n"/>
      <c r="HP131" s="176" t="n"/>
      <c r="HQ131" s="176" t="n"/>
      <c r="HR131" s="176" t="n"/>
      <c r="HS131" s="176" t="n"/>
      <c r="HT131" s="176" t="n"/>
      <c r="HU131" s="176" t="n"/>
      <c r="HV131" s="176" t="n"/>
      <c r="HW131" s="176" t="n"/>
      <c r="HX131" s="176" t="n"/>
      <c r="HY131" s="176" t="n"/>
      <c r="HZ131" s="176" t="n"/>
      <c r="IA131" s="176" t="n"/>
      <c r="IB131" s="176" t="n"/>
      <c r="IC131" s="176" t="n"/>
      <c r="ID131" s="176" t="n"/>
    </row>
    <row r="132" ht="18.75" customHeight="1">
      <c r="A132" s="176" t="n"/>
      <c r="B132" s="176" t="n"/>
      <c r="C132" s="176" t="n"/>
      <c r="D132" s="176" t="n"/>
      <c r="E132" s="176" t="n"/>
      <c r="F132" s="176" t="n"/>
      <c r="G132" s="176" t="n"/>
      <c r="H132" s="176" t="n"/>
      <c r="I132" s="176" t="n"/>
      <c r="J132" s="176" t="n"/>
      <c r="K132" s="176" t="n"/>
      <c r="L132" s="176" t="n"/>
      <c r="M132" s="176" t="n"/>
      <c r="N132" s="176" t="n"/>
      <c r="O132" s="176" t="n"/>
      <c r="P132" s="176" t="n"/>
      <c r="Q132" s="176" t="n"/>
      <c r="R132" s="176" t="n"/>
      <c r="S132" s="176" t="n"/>
      <c r="T132" s="185" t="n"/>
      <c r="U132" s="182" t="n"/>
      <c r="V132" s="182" t="n"/>
      <c r="W132" s="182" t="n"/>
      <c r="X132" s="182" t="n"/>
      <c r="Y132" s="183" t="n"/>
      <c r="Z132" s="176" t="n"/>
      <c r="AA132" s="176" t="n"/>
      <c r="AB132" s="185" t="n"/>
      <c r="AC132" s="182" t="n"/>
      <c r="AD132" s="182" t="n"/>
      <c r="AE132" s="182" t="n"/>
      <c r="AF132" s="182" t="n"/>
      <c r="AG132" s="183" t="n"/>
      <c r="AH132" s="176" t="n"/>
      <c r="AI132" s="176" t="n"/>
      <c r="AJ132" s="176" t="n"/>
      <c r="AK132" s="176" t="n"/>
      <c r="AL132" s="176" t="n"/>
      <c r="AM132" s="176" t="n"/>
      <c r="AN132" s="176" t="n"/>
      <c r="AO132" s="176" t="n"/>
      <c r="AP132" s="176" t="n"/>
      <c r="AQ132" s="176" t="n"/>
      <c r="AR132" s="176" t="n"/>
      <c r="AS132" s="176" t="n"/>
      <c r="AT132" s="176" t="n"/>
      <c r="AU132" s="176" t="n"/>
      <c r="AV132" s="176" t="n"/>
      <c r="AW132" s="176" t="n"/>
      <c r="AX132" s="176" t="n"/>
      <c r="AY132" s="176" t="n"/>
      <c r="AZ132" s="176" t="n"/>
      <c r="BA132" s="176" t="n"/>
      <c r="BB132" s="176" t="n"/>
      <c r="BC132" s="176" t="n"/>
      <c r="BD132" s="176" t="n"/>
      <c r="BE132" s="176" t="n"/>
      <c r="BF132" s="176" t="n"/>
      <c r="BG132" s="176" t="n"/>
      <c r="BH132" s="176" t="n"/>
      <c r="BI132" s="176" t="n"/>
      <c r="BJ132" s="176" t="n"/>
      <c r="BK132" s="176" t="n"/>
      <c r="BL132" s="176" t="n"/>
      <c r="BM132" s="176" t="n"/>
      <c r="BN132" s="176" t="n"/>
      <c r="BO132" s="176" t="n"/>
      <c r="BP132" s="176" t="n"/>
      <c r="BQ132" s="176" t="n"/>
      <c r="BR132" s="176" t="n"/>
      <c r="BS132" s="176" t="n"/>
      <c r="BT132" s="176" t="n"/>
      <c r="BU132" s="176" t="n"/>
      <c r="BV132" s="176" t="n"/>
      <c r="BW132" s="176" t="n"/>
      <c r="BX132" s="176" t="n"/>
      <c r="BY132" s="176" t="n"/>
      <c r="BZ132" s="176" t="n"/>
      <c r="CA132" s="176" t="n"/>
      <c r="CB132" s="176" t="n"/>
      <c r="CC132" s="176" t="n"/>
      <c r="CD132" s="176" t="n"/>
      <c r="CE132" s="176" t="n"/>
      <c r="CF132" s="176" t="n"/>
      <c r="CG132" s="176" t="n"/>
      <c r="CH132" s="176" t="n"/>
      <c r="CI132" s="176" t="n"/>
      <c r="CJ132" s="176" t="n"/>
      <c r="CK132" s="176" t="n"/>
      <c r="CL132" s="176" t="n"/>
      <c r="CM132" s="176" t="n"/>
      <c r="CN132" s="176" t="n"/>
      <c r="CO132" s="176" t="n"/>
      <c r="CP132" s="176" t="n"/>
      <c r="CQ132" s="176" t="n"/>
      <c r="CR132" s="176" t="n"/>
      <c r="CS132" s="176" t="n"/>
      <c r="CT132" s="176" t="n"/>
      <c r="CU132" s="176" t="n"/>
      <c r="CV132" s="176" t="n"/>
      <c r="CW132" s="176" t="n"/>
      <c r="CX132" s="176" t="n"/>
      <c r="CY132" s="176" t="n"/>
      <c r="CZ132" s="176" t="n"/>
      <c r="DA132" s="192" t="n"/>
      <c r="DB132" s="187" t="n"/>
      <c r="DC132" s="187" t="n"/>
      <c r="DD132" s="187" t="n"/>
      <c r="DE132" s="187" t="n"/>
      <c r="DF132" s="188" t="n"/>
      <c r="DG132" s="176" t="n"/>
      <c r="DH132" s="176" t="n"/>
      <c r="DI132" s="192" t="n"/>
      <c r="DJ132" s="187" t="n"/>
      <c r="DK132" s="187" t="n"/>
      <c r="DL132" s="187" t="n"/>
      <c r="DM132" s="187" t="n"/>
      <c r="DN132" s="188" t="n"/>
      <c r="DO132" s="176" t="n"/>
      <c r="DP132" s="176" t="n"/>
      <c r="DQ132" s="176" t="n"/>
      <c r="DR132" s="193" t="n"/>
      <c r="DW132" s="194" t="n"/>
      <c r="DX132" s="176" t="n"/>
      <c r="DY132" s="176" t="n"/>
      <c r="DZ132" s="193" t="n"/>
      <c r="EE132" s="194" t="n"/>
      <c r="EF132" s="176" t="n"/>
      <c r="EG132" s="176" t="n"/>
      <c r="EH132" s="176" t="n"/>
      <c r="EI132" s="193" t="n"/>
      <c r="EN132" s="194" t="n"/>
      <c r="EO132" s="176" t="n"/>
      <c r="EP132" s="176" t="n"/>
      <c r="EQ132" s="193" t="n"/>
      <c r="EV132" s="194" t="n"/>
      <c r="EW132" s="176" t="n"/>
      <c r="EX132" s="176" t="n"/>
      <c r="EY132" s="176" t="n"/>
      <c r="EZ132" s="181" t="inlineStr">
        <is>
          <t>ÁREA · E · 7</t>
        </is>
      </c>
      <c r="FA132" s="182" t="n"/>
      <c r="FB132" s="183" t="n"/>
      <c r="FC132" s="185" t="n"/>
      <c r="FD132" s="182" t="n"/>
      <c r="FE132" s="183" t="n"/>
      <c r="FF132" s="176" t="n"/>
      <c r="FG132" s="176" t="n"/>
      <c r="FH132" s="181" t="inlineStr">
        <is>
          <t>ÁREA · E · 7</t>
        </is>
      </c>
      <c r="FI132" s="182" t="n"/>
      <c r="FJ132" s="183" t="n"/>
      <c r="FK132" s="185" t="n"/>
      <c r="FL132" s="182" t="n"/>
      <c r="FM132" s="183" t="n"/>
      <c r="FN132" s="176" t="n"/>
      <c r="FO132" s="176" t="n"/>
      <c r="FP132" s="176" t="n"/>
      <c r="FQ132" s="192" t="n"/>
      <c r="FR132" s="187" t="n"/>
      <c r="FS132" s="187" t="n"/>
      <c r="FT132" s="187" t="n"/>
      <c r="FU132" s="187" t="n"/>
      <c r="FV132" s="188" t="n"/>
      <c r="FW132" s="176" t="n"/>
      <c r="FX132" s="176" t="n"/>
      <c r="FY132" s="192" t="n"/>
      <c r="FZ132" s="187" t="n"/>
      <c r="GA132" s="187" t="n"/>
      <c r="GB132" s="187" t="n"/>
      <c r="GC132" s="187" t="n"/>
      <c r="GD132" s="188" t="n"/>
      <c r="GE132" s="176" t="n"/>
      <c r="GF132" s="176" t="n"/>
      <c r="GG132" s="176" t="n"/>
      <c r="GH132" s="176" t="n"/>
      <c r="GI132" s="176" t="n"/>
      <c r="GJ132" s="176" t="n"/>
      <c r="GK132" s="176" t="n"/>
      <c r="GL132" s="176" t="n"/>
      <c r="GM132" s="176" t="n"/>
      <c r="GN132" s="176" t="n"/>
      <c r="GO132" s="176" t="n"/>
      <c r="GP132" s="176" t="n"/>
      <c r="GQ132" s="176" t="n"/>
      <c r="GR132" s="176" t="n"/>
      <c r="GS132" s="176" t="n"/>
      <c r="GT132" s="176" t="n"/>
      <c r="GU132" s="176" t="n"/>
      <c r="GV132" s="176" t="n"/>
      <c r="GW132" s="176" t="n"/>
      <c r="GX132" s="176" t="n"/>
      <c r="GY132" s="176" t="n"/>
      <c r="GZ132" s="176" t="n"/>
      <c r="HA132" s="176" t="n"/>
      <c r="HB132" s="176" t="n"/>
      <c r="HC132" s="176" t="n"/>
      <c r="HD132" s="176" t="n"/>
      <c r="HE132" s="176" t="n"/>
      <c r="HF132" s="176" t="n"/>
      <c r="HG132" s="176" t="n"/>
      <c r="HH132" s="176" t="n"/>
      <c r="HI132" s="176" t="n"/>
      <c r="HJ132" s="176" t="n"/>
      <c r="HK132" s="176" t="n"/>
      <c r="HL132" s="176" t="n"/>
      <c r="HM132" s="176" t="n"/>
      <c r="HN132" s="176" t="n"/>
      <c r="HO132" s="176" t="n"/>
      <c r="HP132" s="176" t="n"/>
      <c r="HQ132" s="176" t="n"/>
      <c r="HR132" s="176" t="n"/>
      <c r="HS132" s="176" t="n"/>
      <c r="HT132" s="176" t="n"/>
      <c r="HU132" s="176" t="n"/>
      <c r="HV132" s="176" t="n"/>
      <c r="HW132" s="176" t="n"/>
      <c r="HX132" s="176" t="n"/>
      <c r="HY132" s="176" t="n"/>
      <c r="HZ132" s="176" t="n"/>
      <c r="IA132" s="176" t="n"/>
      <c r="IB132" s="176" t="n"/>
      <c r="IC132" s="176" t="n"/>
      <c r="ID132" s="176" t="n"/>
    </row>
    <row r="133" ht="18.75" customHeight="1">
      <c r="A133" s="176" t="n"/>
      <c r="B133" s="176" t="n"/>
      <c r="C133" s="179" t="inlineStr">
        <is>
          <t>INVOCAÇÕES · FAMÍLIAS</t>
        </is>
      </c>
      <c r="I133" s="176" t="n"/>
      <c r="J133" s="176" t="n"/>
      <c r="K133" s="176" t="n"/>
      <c r="L133" s="176" t="n"/>
      <c r="M133" s="176" t="n"/>
      <c r="N133" s="176" t="n"/>
      <c r="O133" s="176" t="n"/>
      <c r="P133" s="176" t="n"/>
      <c r="Q133" s="176" t="n"/>
      <c r="R133" s="176" t="n"/>
      <c r="S133" s="176" t="n"/>
      <c r="T133" s="181">
        <f>SWITCH('CONFIGURAÇÃO'!$T$130,"Origem","PERÍCIA 1","Marcante","ORIGEM","Menor","ORIGEM","Arma","CATEGORIA","Escudo","","Uniforme","GRAU MÍNIMO","Item comum","","Ferramenta amaldiçoada","BASE","")</f>
        <v/>
      </c>
      <c r="U133" s="183" t="n"/>
      <c r="V133" s="185" t="n"/>
      <c r="W133" s="182" t="n"/>
      <c r="X133" s="182" t="n"/>
      <c r="Y133" s="183" t="n"/>
      <c r="Z133" s="176" t="n"/>
      <c r="AA133" s="176" t="n"/>
      <c r="AB133" s="181">
        <f>SWITCH('CONFIGURAÇÃO'!$AB$130,"Origem","PERÍCIA 1","Marcante","ORIGEM","Menor","ORIGEM","Arma","CATEGORIA","Escudo","","Uniforme","GRAU MÍNIMO","Item comum","","Ferramenta amaldiçoada","BASE","")</f>
        <v/>
      </c>
      <c r="AC133" s="183" t="n"/>
      <c r="AD133" s="185" t="n"/>
      <c r="AE133" s="182" t="n"/>
      <c r="AF133" s="182" t="n"/>
      <c r="AG133" s="183" t="n"/>
      <c r="AH133" s="176" t="n"/>
      <c r="AI133" s="176" t="n"/>
      <c r="AJ133" s="176" t="n"/>
      <c r="AK133" s="176" t="n"/>
      <c r="AL133" s="176" t="n"/>
      <c r="AM133" s="176" t="n"/>
      <c r="AN133" s="176" t="n"/>
      <c r="AO133" s="176" t="n"/>
      <c r="AP133" s="176" t="n"/>
      <c r="AQ133" s="176" t="n"/>
      <c r="AR133" s="176" t="n"/>
      <c r="AS133" s="176" t="n"/>
      <c r="AT133" s="176" t="n"/>
      <c r="AU133" s="176" t="n"/>
      <c r="AV133" s="176" t="n"/>
      <c r="AW133" s="176" t="n"/>
      <c r="AX133" s="176" t="n"/>
      <c r="AY133" s="176" t="n"/>
      <c r="AZ133" s="176" t="n"/>
      <c r="BA133" s="176" t="n"/>
      <c r="BB133" s="176" t="n"/>
      <c r="BC133" s="176" t="n"/>
      <c r="BD133" s="176" t="n"/>
      <c r="BE133" s="176" t="n"/>
      <c r="BF133" s="176" t="n"/>
      <c r="BG133" s="176" t="n"/>
      <c r="BH133" s="176" t="n"/>
      <c r="BI133" s="176" t="n"/>
      <c r="BJ133" s="176" t="n"/>
      <c r="BK133" s="176" t="n"/>
      <c r="BL133" s="176" t="n"/>
      <c r="BM133" s="176" t="n"/>
      <c r="BN133" s="176" t="n"/>
      <c r="BO133" s="176" t="n"/>
      <c r="BP133" s="176" t="n"/>
      <c r="BQ133" s="176" t="n"/>
      <c r="BR133" s="176" t="n"/>
      <c r="BS133" s="176" t="n"/>
      <c r="BT133" s="176" t="n"/>
      <c r="BU133" s="176" t="n"/>
      <c r="BV133" s="176" t="n"/>
      <c r="BW133" s="176" t="n"/>
      <c r="BX133" s="176" t="n"/>
      <c r="BY133" s="176" t="n"/>
      <c r="BZ133" s="176" t="n"/>
      <c r="CA133" s="176" t="n"/>
      <c r="CB133" s="176" t="n"/>
      <c r="CC133" s="176" t="n"/>
      <c r="CD133" s="176" t="n"/>
      <c r="CE133" s="176" t="n"/>
      <c r="CF133" s="176" t="n"/>
      <c r="CG133" s="176" t="n"/>
      <c r="CH133" s="176" t="n"/>
      <c r="CI133" s="176" t="n"/>
      <c r="CJ133" s="176" t="n"/>
      <c r="CK133" s="176" t="n"/>
      <c r="CL133" s="176" t="n"/>
      <c r="CM133" s="176" t="n"/>
      <c r="CN133" s="176" t="n"/>
      <c r="CO133" s="176" t="n"/>
      <c r="CP133" s="176" t="n"/>
      <c r="CQ133" s="176" t="n"/>
      <c r="CR133" s="176" t="n"/>
      <c r="CS133" s="176" t="n"/>
      <c r="CT133" s="176" t="n"/>
      <c r="CU133" s="176" t="n"/>
      <c r="CV133" s="176" t="n"/>
      <c r="CW133" s="176" t="n"/>
      <c r="CX133" s="176" t="n"/>
      <c r="CY133" s="176" t="n"/>
      <c r="CZ133" s="176" t="n"/>
      <c r="DA133" s="193" t="n"/>
      <c r="DF133" s="194" t="n"/>
      <c r="DG133" s="176" t="n"/>
      <c r="DH133" s="176" t="n"/>
      <c r="DI133" s="193" t="n"/>
      <c r="DN133" s="194" t="n"/>
      <c r="DO133" s="176" t="n"/>
      <c r="DP133" s="176" t="n"/>
      <c r="DQ133" s="176" t="n"/>
      <c r="DR133" s="193" t="n"/>
      <c r="DW133" s="194" t="n"/>
      <c r="DX133" s="176" t="n"/>
      <c r="DY133" s="176" t="n"/>
      <c r="DZ133" s="193" t="n"/>
      <c r="EE133" s="194" t="n"/>
      <c r="EF133" s="176" t="n"/>
      <c r="EG133" s="176" t="n"/>
      <c r="EH133" s="176" t="n"/>
      <c r="EI133" s="189" t="n"/>
      <c r="EJ133" s="190" t="n"/>
      <c r="EK133" s="190" t="n"/>
      <c r="EL133" s="190" t="n"/>
      <c r="EM133" s="190" t="n"/>
      <c r="EN133" s="191" t="n"/>
      <c r="EO133" s="176" t="n"/>
      <c r="EP133" s="176" t="n"/>
      <c r="EQ133" s="189" t="n"/>
      <c r="ER133" s="190" t="n"/>
      <c r="ES133" s="190" t="n"/>
      <c r="ET133" s="190" t="n"/>
      <c r="EU133" s="190" t="n"/>
      <c r="EV133" s="191" t="n"/>
      <c r="EW133" s="176" t="n"/>
      <c r="EX133" s="176" t="n"/>
      <c r="EY133" s="176" t="n"/>
      <c r="EZ133" s="176" t="n"/>
      <c r="FA133" s="176" t="n"/>
      <c r="FB133" s="176" t="n"/>
      <c r="FC133" s="176" t="n"/>
      <c r="FD133" s="176" t="n"/>
      <c r="FE133" s="176" t="n"/>
      <c r="FF133" s="176" t="n"/>
      <c r="FG133" s="176" t="n"/>
      <c r="FH133" s="176" t="n"/>
      <c r="FI133" s="176" t="n"/>
      <c r="FJ133" s="176" t="n"/>
      <c r="FK133" s="176" t="n"/>
      <c r="FL133" s="176" t="n"/>
      <c r="FM133" s="176" t="n"/>
      <c r="FN133" s="176" t="n"/>
      <c r="FO133" s="176" t="n"/>
      <c r="FP133" s="176" t="n"/>
      <c r="FQ133" s="193" t="n"/>
      <c r="FV133" s="194" t="n"/>
      <c r="FW133" s="176" t="n"/>
      <c r="FX133" s="176" t="n"/>
      <c r="FY133" s="193" t="n"/>
      <c r="GD133" s="194" t="n"/>
      <c r="GE133" s="176" t="n"/>
      <c r="GF133" s="176" t="n"/>
      <c r="GG133" s="176" t="n"/>
      <c r="GH133" s="176" t="n"/>
      <c r="GI133" s="176" t="n"/>
      <c r="GJ133" s="176" t="n"/>
      <c r="GK133" s="176" t="n"/>
      <c r="GL133" s="176" t="n"/>
      <c r="GM133" s="176" t="n"/>
      <c r="GN133" s="176" t="n"/>
      <c r="GO133" s="176" t="n"/>
      <c r="GP133" s="176" t="n"/>
      <c r="GQ133" s="176" t="n"/>
      <c r="GR133" s="176" t="n"/>
      <c r="GS133" s="176" t="n"/>
      <c r="GT133" s="176" t="n"/>
      <c r="GU133" s="176" t="n"/>
      <c r="GV133" s="176" t="n"/>
      <c r="GW133" s="176" t="n"/>
      <c r="GX133" s="176" t="n"/>
      <c r="GY133" s="176" t="n"/>
      <c r="GZ133" s="176" t="n"/>
      <c r="HA133" s="176" t="n"/>
      <c r="HB133" s="176" t="n"/>
      <c r="HC133" s="176" t="n"/>
      <c r="HD133" s="176" t="n"/>
      <c r="HE133" s="176" t="n"/>
      <c r="HF133" s="176" t="n"/>
      <c r="HG133" s="176" t="n"/>
      <c r="HH133" s="176" t="n"/>
      <c r="HI133" s="176" t="n"/>
      <c r="HJ133" s="176" t="n"/>
      <c r="HK133" s="176" t="n"/>
      <c r="HL133" s="176" t="n"/>
      <c r="HM133" s="176" t="n"/>
      <c r="HN133" s="176" t="n"/>
      <c r="HO133" s="176" t="n"/>
      <c r="HP133" s="176" t="n"/>
      <c r="HQ133" s="176" t="n"/>
      <c r="HR133" s="176" t="n"/>
      <c r="HS133" s="176" t="n"/>
      <c r="HT133" s="176" t="n"/>
      <c r="HU133" s="176" t="n"/>
      <c r="HV133" s="176" t="n"/>
      <c r="HW133" s="176" t="n"/>
      <c r="HX133" s="176" t="n"/>
      <c r="HY133" s="176" t="n"/>
      <c r="HZ133" s="176" t="n"/>
      <c r="IA133" s="176" t="n"/>
      <c r="IB133" s="176" t="n"/>
      <c r="IC133" s="176" t="n"/>
      <c r="ID133" s="176" t="n"/>
    </row>
    <row r="134" ht="18.75" customHeight="1">
      <c r="A134" s="176" t="n"/>
      <c r="B134" s="176" t="n"/>
      <c r="I134" s="176" t="n"/>
      <c r="J134" s="176" t="n"/>
      <c r="K134" s="176" t="n"/>
      <c r="L134" s="176" t="n"/>
      <c r="M134" s="176" t="n"/>
      <c r="N134" s="176" t="n"/>
      <c r="O134" s="176" t="n"/>
      <c r="P134" s="176" t="n"/>
      <c r="Q134" s="176" t="n"/>
      <c r="R134" s="176" t="n"/>
      <c r="S134" s="176" t="n"/>
      <c r="T134" s="181">
        <f>SWITCH('CONFIGURAÇÃO'!$T$130,"Origem","PERÍCIA 2","Marcante","","Menor","EXIGE MARCANTE","Arma","MÃO","Escudo","","Uniforme","","Item comum","","Ferramenta amaldiçoada","GRAU","")</f>
        <v/>
      </c>
      <c r="U134" s="183" t="n"/>
      <c r="V134" s="185" t="n"/>
      <c r="W134" s="182" t="n"/>
      <c r="X134" s="182" t="n"/>
      <c r="Y134" s="183" t="n"/>
      <c r="Z134" s="176" t="n"/>
      <c r="AA134" s="176" t="n"/>
      <c r="AB134" s="181">
        <f>SWITCH('CONFIGURAÇÃO'!$AB$130,"Origem","PERÍCIA 2","Marcante","","Menor","EXIGE MARCANTE","Arma","MÃO","Escudo","","Uniforme","","Item comum","","Ferramenta amaldiçoada","GRAU","")</f>
        <v/>
      </c>
      <c r="AC134" s="183" t="n"/>
      <c r="AD134" s="185" t="n"/>
      <c r="AE134" s="182" t="n"/>
      <c r="AF134" s="182" t="n"/>
      <c r="AG134" s="183" t="n"/>
      <c r="AH134" s="176" t="n"/>
      <c r="AI134" s="176" t="n"/>
      <c r="AJ134" s="176" t="n"/>
      <c r="AK134" s="176" t="n"/>
      <c r="AL134" s="176" t="n"/>
      <c r="AM134" s="176" t="n"/>
      <c r="AN134" s="176" t="n"/>
      <c r="AO134" s="176" t="n"/>
      <c r="AP134" s="176" t="n"/>
      <c r="AQ134" s="176" t="n"/>
      <c r="AR134" s="176" t="n"/>
      <c r="AS134" s="176" t="n"/>
      <c r="AT134" s="176" t="n"/>
      <c r="AU134" s="176" t="n"/>
      <c r="AV134" s="176" t="n"/>
      <c r="AW134" s="176" t="n"/>
      <c r="AX134" s="176" t="n"/>
      <c r="AY134" s="176" t="n"/>
      <c r="AZ134" s="176" t="n"/>
      <c r="BA134" s="176" t="n"/>
      <c r="BB134" s="176" t="n"/>
      <c r="BC134" s="176" t="n"/>
      <c r="BD134" s="176" t="n"/>
      <c r="BE134" s="176" t="n"/>
      <c r="BF134" s="176" t="n"/>
      <c r="BG134" s="176" t="n"/>
      <c r="BH134" s="176" t="n"/>
      <c r="BI134" s="176" t="n"/>
      <c r="BJ134" s="176" t="n"/>
      <c r="BK134" s="176" t="n"/>
      <c r="BL134" s="176" t="n"/>
      <c r="BM134" s="176" t="n"/>
      <c r="BN134" s="176" t="n"/>
      <c r="BO134" s="176" t="n"/>
      <c r="BP134" s="176" t="n"/>
      <c r="BQ134" s="176" t="n"/>
      <c r="BR134" s="176" t="n"/>
      <c r="BS134" s="176" t="n"/>
      <c r="BT134" s="176" t="n"/>
      <c r="BU134" s="176" t="n"/>
      <c r="BV134" s="176" t="n"/>
      <c r="BW134" s="176" t="n"/>
      <c r="BX134" s="176" t="n"/>
      <c r="BY134" s="176" t="n"/>
      <c r="BZ134" s="176" t="n"/>
      <c r="CA134" s="176" t="n"/>
      <c r="CB134" s="176" t="n"/>
      <c r="CC134" s="176" t="n"/>
      <c r="CD134" s="176" t="n"/>
      <c r="CE134" s="176" t="n"/>
      <c r="CF134" s="176" t="n"/>
      <c r="CG134" s="176" t="n"/>
      <c r="CH134" s="176" t="n"/>
      <c r="CI134" s="176" t="n"/>
      <c r="CJ134" s="176" t="n"/>
      <c r="CK134" s="176" t="n"/>
      <c r="CL134" s="176" t="n"/>
      <c r="CM134" s="176" t="n"/>
      <c r="CN134" s="176" t="n"/>
      <c r="CO134" s="176" t="n"/>
      <c r="CP134" s="176" t="n"/>
      <c r="CQ134" s="176" t="n"/>
      <c r="CR134" s="176" t="n"/>
      <c r="CS134" s="176" t="n"/>
      <c r="CT134" s="176" t="n"/>
      <c r="CU134" s="176" t="n"/>
      <c r="CV134" s="176" t="n"/>
      <c r="CW134" s="176" t="n"/>
      <c r="CX134" s="176" t="n"/>
      <c r="CY134" s="176" t="n"/>
      <c r="CZ134" s="176" t="n"/>
      <c r="DA134" s="193" t="n"/>
      <c r="DF134" s="194" t="n"/>
      <c r="DG134" s="176" t="n"/>
      <c r="DH134" s="176" t="n"/>
      <c r="DI134" s="193" t="n"/>
      <c r="DN134" s="194" t="n"/>
      <c r="DO134" s="176" t="n"/>
      <c r="DP134" s="176" t="n"/>
      <c r="DQ134" s="176" t="n"/>
      <c r="DR134" s="193" t="n"/>
      <c r="DW134" s="194" t="n"/>
      <c r="DX134" s="176" t="n"/>
      <c r="DY134" s="176" t="n"/>
      <c r="DZ134" s="193" t="n"/>
      <c r="EE134" s="194" t="n"/>
      <c r="EF134" s="176" t="n"/>
      <c r="EG134" s="176" t="n"/>
      <c r="EH134" s="176" t="n"/>
      <c r="EI134" s="176" t="n"/>
      <c r="EJ134" s="176" t="n"/>
      <c r="EK134" s="176" t="n"/>
      <c r="EL134" s="176" t="n"/>
      <c r="EM134" s="176" t="n"/>
      <c r="EN134" s="176" t="n"/>
      <c r="EO134" s="176" t="n"/>
      <c r="EP134" s="176" t="n"/>
      <c r="EQ134" s="176" t="n"/>
      <c r="ER134" s="176" t="n"/>
      <c r="ES134" s="176" t="n"/>
      <c r="ET134" s="176" t="n"/>
      <c r="EU134" s="176" t="n"/>
      <c r="EV134" s="176" t="n"/>
      <c r="EW134" s="176" t="n"/>
      <c r="EX134" s="176" t="n"/>
      <c r="EY134" s="176" t="n"/>
      <c r="EZ134" s="181" t="inlineStr">
        <is>
          <t>REQUISITOS</t>
        </is>
      </c>
      <c r="FA134" s="182" t="n"/>
      <c r="FB134" s="182" t="n"/>
      <c r="FC134" s="182" t="n"/>
      <c r="FD134" s="182" t="n"/>
      <c r="FE134" s="183" t="n"/>
      <c r="FF134" s="176" t="n"/>
      <c r="FG134" s="176" t="n"/>
      <c r="FH134" s="181" t="inlineStr">
        <is>
          <t>REQUISITOS</t>
        </is>
      </c>
      <c r="FI134" s="182" t="n"/>
      <c r="FJ134" s="182" t="n"/>
      <c r="FK134" s="182" t="n"/>
      <c r="FL134" s="182" t="n"/>
      <c r="FM134" s="183" t="n"/>
      <c r="FN134" s="176" t="n"/>
      <c r="FO134" s="176" t="n"/>
      <c r="FP134" s="176" t="n"/>
      <c r="FQ134" s="193" t="n"/>
      <c r="FV134" s="194" t="n"/>
      <c r="FW134" s="176" t="n"/>
      <c r="FX134" s="176" t="n"/>
      <c r="FY134" s="193" t="n"/>
      <c r="GD134" s="194" t="n"/>
      <c r="GE134" s="176" t="n"/>
      <c r="GF134" s="176" t="n"/>
      <c r="GG134" s="176" t="n"/>
      <c r="GH134" s="180">
        <f>IF('DADOS_TALENTOS'!$I10="","","⚠ "&amp;'DADOS_TALENTOS'!$I10)</f>
        <v/>
      </c>
      <c r="GN134" s="176" t="n"/>
      <c r="GO134" s="176" t="n"/>
      <c r="GP134" s="180">
        <f>IF('DADOS_TALENTOS'!$I11="","","⚠ "&amp;'DADOS_TALENTOS'!$I11)</f>
        <v/>
      </c>
      <c r="GV134" s="176" t="n"/>
      <c r="GW134" s="176" t="n"/>
      <c r="GX134" s="176" t="n"/>
      <c r="GY134" s="181" t="inlineStr">
        <is>
          <t>DEFINIÇÃO</t>
        </is>
      </c>
      <c r="GZ134" s="182" t="n"/>
      <c r="HA134" s="182" t="n"/>
      <c r="HB134" s="182" t="n"/>
      <c r="HC134" s="182" t="n"/>
      <c r="HD134" s="183" t="n"/>
      <c r="HE134" s="176" t="n"/>
      <c r="HF134" s="176" t="n"/>
      <c r="HG134" s="181" t="inlineStr">
        <is>
          <t>DEFINIÇÃO</t>
        </is>
      </c>
      <c r="HH134" s="182" t="n"/>
      <c r="HI134" s="182" t="n"/>
      <c r="HJ134" s="182" t="n"/>
      <c r="HK134" s="182" t="n"/>
      <c r="HL134" s="183" t="n"/>
      <c r="HM134" s="176" t="n"/>
      <c r="HN134" s="176" t="n"/>
      <c r="HO134" s="176" t="n"/>
      <c r="HP134" s="181" t="inlineStr">
        <is>
          <t>REQUISITOS</t>
        </is>
      </c>
      <c r="HQ134" s="182" t="n"/>
      <c r="HR134" s="182" t="n"/>
      <c r="HS134" s="182" t="n"/>
      <c r="HT134" s="182" t="n"/>
      <c r="HU134" s="183" t="n"/>
      <c r="HV134" s="176" t="n"/>
      <c r="HW134" s="176" t="n"/>
      <c r="HX134" s="181" t="inlineStr">
        <is>
          <t>REQUISITOS</t>
        </is>
      </c>
      <c r="HY134" s="182" t="n"/>
      <c r="HZ134" s="182" t="n"/>
      <c r="IA134" s="182" t="n"/>
      <c r="IB134" s="182" t="n"/>
      <c r="IC134" s="183" t="n"/>
      <c r="ID134" s="176" t="n"/>
    </row>
    <row r="135" ht="18.75" customHeight="1">
      <c r="A135" s="176" t="n"/>
      <c r="B135" s="176" t="n"/>
      <c r="C135" s="180" t="inlineStr">
        <is>
          <t>Autonomia é escolhida em cada entidade. Em branco usa o sistema. Não autônoma: ganho previsto para o Guia de Criação.</t>
        </is>
      </c>
      <c r="I135" s="176" t="n"/>
      <c r="J135" s="176" t="n"/>
      <c r="K135" s="176" t="n"/>
      <c r="L135" s="176" t="n"/>
      <c r="M135" s="176" t="n"/>
      <c r="N135" s="176" t="n"/>
      <c r="O135" s="176" t="n"/>
      <c r="P135" s="176" t="n"/>
      <c r="Q135" s="176" t="n"/>
      <c r="R135" s="176" t="n"/>
      <c r="S135" s="176" t="n"/>
      <c r="T135" s="181">
        <f>SWITCH('CONFIGURAÇÃO'!$T$130,"Origem","PERÍCIA 3","Marcante","","Menor","","Arma","TIPO DE DANO","Escudo","","Uniforme","","Item comum","","Ferramenta amaldiçoada","","")</f>
        <v/>
      </c>
      <c r="U135" s="183" t="n"/>
      <c r="V135" s="185" t="n"/>
      <c r="W135" s="182" t="n"/>
      <c r="X135" s="182" t="n"/>
      <c r="Y135" s="183" t="n"/>
      <c r="Z135" s="176" t="n"/>
      <c r="AA135" s="176" t="n"/>
      <c r="AB135" s="181">
        <f>SWITCH('CONFIGURAÇÃO'!$AB$130,"Origem","PERÍCIA 3","Marcante","","Menor","","Arma","TIPO DE DANO","Escudo","","Uniforme","","Item comum","","Ferramenta amaldiçoada","","")</f>
        <v/>
      </c>
      <c r="AC135" s="183" t="n"/>
      <c r="AD135" s="185" t="n"/>
      <c r="AE135" s="182" t="n"/>
      <c r="AF135" s="182" t="n"/>
      <c r="AG135" s="183" t="n"/>
      <c r="AH135" s="176" t="n"/>
      <c r="AI135" s="176" t="n"/>
      <c r="AJ135" s="176" t="n"/>
      <c r="AK135" s="176" t="n"/>
      <c r="AL135" s="176" t="n"/>
      <c r="AM135" s="176" t="n"/>
      <c r="AN135" s="176" t="n"/>
      <c r="AO135" s="176" t="n"/>
      <c r="AP135" s="176" t="n"/>
      <c r="AQ135" s="176" t="n"/>
      <c r="AR135" s="176" t="n"/>
      <c r="AS135" s="176" t="n"/>
      <c r="AT135" s="176" t="n"/>
      <c r="AU135" s="176" t="n"/>
      <c r="AV135" s="176" t="n"/>
      <c r="AW135" s="176" t="n"/>
      <c r="AX135" s="176" t="n"/>
      <c r="AY135" s="176" t="n"/>
      <c r="AZ135" s="176" t="n"/>
      <c r="BA135" s="176" t="n"/>
      <c r="BB135" s="176" t="n"/>
      <c r="BC135" s="176" t="n"/>
      <c r="BD135" s="176" t="n"/>
      <c r="BE135" s="176" t="n"/>
      <c r="BF135" s="176" t="n"/>
      <c r="BG135" s="176" t="n"/>
      <c r="BH135" s="176" t="n"/>
      <c r="BI135" s="176" t="n"/>
      <c r="BJ135" s="176" t="n"/>
      <c r="BK135" s="176" t="n"/>
      <c r="BL135" s="176" t="n"/>
      <c r="BM135" s="176" t="n"/>
      <c r="BN135" s="176" t="n"/>
      <c r="BO135" s="176" t="n"/>
      <c r="BP135" s="176" t="n"/>
      <c r="BQ135" s="176" t="n"/>
      <c r="BR135" s="176" t="n"/>
      <c r="BS135" s="176" t="n"/>
      <c r="BT135" s="176" t="n"/>
      <c r="BU135" s="176" t="n"/>
      <c r="BV135" s="176" t="n"/>
      <c r="BW135" s="176" t="n"/>
      <c r="BX135" s="176" t="n"/>
      <c r="BY135" s="176" t="n"/>
      <c r="BZ135" s="176" t="n"/>
      <c r="CA135" s="176" t="n"/>
      <c r="CB135" s="176" t="n"/>
      <c r="CC135" s="176" t="n"/>
      <c r="CD135" s="176" t="n"/>
      <c r="CE135" s="176" t="n"/>
      <c r="CF135" s="176" t="n"/>
      <c r="CG135" s="176" t="n"/>
      <c r="CH135" s="176" t="n"/>
      <c r="CI135" s="176" t="n"/>
      <c r="CJ135" s="176" t="n"/>
      <c r="CK135" s="176" t="n"/>
      <c r="CL135" s="176" t="n"/>
      <c r="CM135" s="176" t="n"/>
      <c r="CN135" s="176" t="n"/>
      <c r="CO135" s="176" t="n"/>
      <c r="CP135" s="176" t="n"/>
      <c r="CQ135" s="176" t="n"/>
      <c r="CR135" s="176" t="n"/>
      <c r="CS135" s="176" t="n"/>
      <c r="CT135" s="176" t="n"/>
      <c r="CU135" s="176" t="n"/>
      <c r="CV135" s="176" t="n"/>
      <c r="CW135" s="176" t="n"/>
      <c r="CX135" s="176" t="n"/>
      <c r="CY135" s="176" t="n"/>
      <c r="CZ135" s="176" t="n"/>
      <c r="DA135" s="193" t="n"/>
      <c r="DF135" s="194" t="n"/>
      <c r="DG135" s="176" t="n"/>
      <c r="DH135" s="176" t="n"/>
      <c r="DI135" s="193" t="n"/>
      <c r="DN135" s="194" t="n"/>
      <c r="DO135" s="176" t="n"/>
      <c r="DP135" s="176" t="n"/>
      <c r="DQ135" s="176" t="n"/>
      <c r="DR135" s="193" t="n"/>
      <c r="DW135" s="194" t="n"/>
      <c r="DX135" s="176" t="n"/>
      <c r="DY135" s="176" t="n"/>
      <c r="DZ135" s="193" t="n"/>
      <c r="EE135" s="194" t="n"/>
      <c r="EF135" s="176" t="n"/>
      <c r="EG135" s="176" t="n"/>
      <c r="EH135" s="176" t="n"/>
      <c r="EI135" s="181" t="inlineStr">
        <is>
          <t>EFEITO E REQUISITOS</t>
        </is>
      </c>
      <c r="EJ135" s="182" t="n"/>
      <c r="EK135" s="182" t="n"/>
      <c r="EL135" s="182" t="n"/>
      <c r="EM135" s="182" t="n"/>
      <c r="EN135" s="183" t="n"/>
      <c r="EO135" s="176" t="n"/>
      <c r="EP135" s="176" t="n"/>
      <c r="EQ135" s="181" t="inlineStr">
        <is>
          <t>EFEITO E REQUISITOS</t>
        </is>
      </c>
      <c r="ER135" s="182" t="n"/>
      <c r="ES135" s="182" t="n"/>
      <c r="ET135" s="182" t="n"/>
      <c r="EU135" s="182" t="n"/>
      <c r="EV135" s="183" t="n"/>
      <c r="EW135" s="176" t="n"/>
      <c r="EX135" s="176" t="n"/>
      <c r="EY135" s="176" t="n"/>
      <c r="EZ135" s="192" t="n"/>
      <c r="FA135" s="187" t="n"/>
      <c r="FB135" s="187" t="n"/>
      <c r="FC135" s="187" t="n"/>
      <c r="FD135" s="187" t="n"/>
      <c r="FE135" s="188" t="n"/>
      <c r="FF135" s="176" t="n"/>
      <c r="FG135" s="176" t="n"/>
      <c r="FH135" s="192" t="n"/>
      <c r="FI135" s="187" t="n"/>
      <c r="FJ135" s="187" t="n"/>
      <c r="FK135" s="187" t="n"/>
      <c r="FL135" s="187" t="n"/>
      <c r="FM135" s="188" t="n"/>
      <c r="FN135" s="176" t="n"/>
      <c r="FO135" s="176" t="n"/>
      <c r="FP135" s="176" t="n"/>
      <c r="FQ135" s="189" t="n"/>
      <c r="FR135" s="190" t="n"/>
      <c r="FS135" s="190" t="n"/>
      <c r="FT135" s="190" t="n"/>
      <c r="FU135" s="190" t="n"/>
      <c r="FV135" s="191" t="n"/>
      <c r="FW135" s="176" t="n"/>
      <c r="FX135" s="176" t="n"/>
      <c r="FY135" s="189" t="n"/>
      <c r="FZ135" s="190" t="n"/>
      <c r="GA135" s="190" t="n"/>
      <c r="GB135" s="190" t="n"/>
      <c r="GC135" s="190" t="n"/>
      <c r="GD135" s="191" t="n"/>
      <c r="GE135" s="176" t="n"/>
      <c r="GF135" s="176" t="n"/>
      <c r="GG135" s="176" t="n"/>
      <c r="GN135" s="176" t="n"/>
      <c r="GO135" s="176" t="n"/>
      <c r="GV135" s="176" t="n"/>
      <c r="GW135" s="176" t="n"/>
      <c r="GX135" s="176" t="n"/>
      <c r="GY135" s="192" t="n"/>
      <c r="GZ135" s="187" t="n"/>
      <c r="HA135" s="187" t="n"/>
      <c r="HB135" s="187" t="n"/>
      <c r="HC135" s="187" t="n"/>
      <c r="HD135" s="188" t="n"/>
      <c r="HE135" s="176" t="n"/>
      <c r="HF135" s="176" t="n"/>
      <c r="HG135" s="192" t="n"/>
      <c r="HH135" s="187" t="n"/>
      <c r="HI135" s="187" t="n"/>
      <c r="HJ135" s="187" t="n"/>
      <c r="HK135" s="187" t="n"/>
      <c r="HL135" s="188" t="n"/>
      <c r="HM135" s="176" t="n"/>
      <c r="HN135" s="176" t="n"/>
      <c r="HO135" s="176" t="n"/>
      <c r="HP135" s="192" t="n"/>
      <c r="HQ135" s="187" t="n"/>
      <c r="HR135" s="187" t="n"/>
      <c r="HS135" s="187" t="n"/>
      <c r="HT135" s="187" t="n"/>
      <c r="HU135" s="188" t="n"/>
      <c r="HV135" s="176" t="n"/>
      <c r="HW135" s="176" t="n"/>
      <c r="HX135" s="192" t="n"/>
      <c r="HY135" s="187" t="n"/>
      <c r="HZ135" s="187" t="n"/>
      <c r="IA135" s="187" t="n"/>
      <c r="IB135" s="187" t="n"/>
      <c r="IC135" s="188" t="n"/>
      <c r="ID135" s="176" t="n"/>
    </row>
    <row r="136" ht="18.75" customHeight="1">
      <c r="A136" s="176" t="n"/>
      <c r="B136" s="176" t="n"/>
      <c r="I136" s="176" t="n"/>
      <c r="J136" s="176" t="n"/>
      <c r="K136" s="176" t="n"/>
      <c r="L136" s="176" t="n"/>
      <c r="M136" s="176" t="n"/>
      <c r="N136" s="176" t="n"/>
      <c r="O136" s="176" t="n"/>
      <c r="P136" s="176" t="n"/>
      <c r="Q136" s="176" t="n"/>
      <c r="R136" s="176" t="n"/>
      <c r="S136" s="176" t="n"/>
      <c r="T136" s="181">
        <f>SWITCH('CONFIGURAÇÃO'!$T$130,"Origem","PERÍCIA 4","Marcante","","Menor","","Arma","PROPRIEDADE 1","Escudo","","Uniforme","","Item comum","","Ferramenta amaldiçoada","","")</f>
        <v/>
      </c>
      <c r="U136" s="183" t="n"/>
      <c r="V136" s="185" t="n"/>
      <c r="W136" s="182" t="n"/>
      <c r="X136" s="182" t="n"/>
      <c r="Y136" s="183" t="n"/>
      <c r="Z136" s="176" t="n"/>
      <c r="AA136" s="176" t="n"/>
      <c r="AB136" s="181">
        <f>SWITCH('CONFIGURAÇÃO'!$AB$130,"Origem","PERÍCIA 4","Marcante","","Menor","","Arma","PROPRIEDADE 1","Escudo","","Uniforme","","Item comum","","Ferramenta amaldiçoada","","")</f>
        <v/>
      </c>
      <c r="AC136" s="183" t="n"/>
      <c r="AD136" s="185" t="n"/>
      <c r="AE136" s="182" t="n"/>
      <c r="AF136" s="182" t="n"/>
      <c r="AG136" s="183" t="n"/>
      <c r="AH136" s="176" t="n"/>
      <c r="AI136" s="176" t="n"/>
      <c r="AJ136" s="176" t="n"/>
      <c r="AK136" s="176" t="n"/>
      <c r="AL136" s="176" t="n"/>
      <c r="AM136" s="176" t="n"/>
      <c r="AN136" s="176" t="n"/>
      <c r="AO136" s="176" t="n"/>
      <c r="AP136" s="176" t="n"/>
      <c r="AQ136" s="176" t="n"/>
      <c r="AR136" s="176" t="n"/>
      <c r="AS136" s="176" t="n"/>
      <c r="AT136" s="176" t="n"/>
      <c r="AU136" s="176" t="n"/>
      <c r="AV136" s="176" t="n"/>
      <c r="AW136" s="176" t="n"/>
      <c r="AX136" s="176" t="n"/>
      <c r="AY136" s="176" t="n"/>
      <c r="AZ136" s="176" t="n"/>
      <c r="BA136" s="176" t="n"/>
      <c r="BB136" s="176" t="n"/>
      <c r="BC136" s="176" t="n"/>
      <c r="BD136" s="176" t="n"/>
      <c r="BE136" s="176" t="n"/>
      <c r="BF136" s="176" t="n"/>
      <c r="BG136" s="176" t="n"/>
      <c r="BH136" s="176" t="n"/>
      <c r="BI136" s="176" t="n"/>
      <c r="BJ136" s="176" t="n"/>
      <c r="BK136" s="176" t="n"/>
      <c r="BL136" s="176" t="n"/>
      <c r="BM136" s="176" t="n"/>
      <c r="BN136" s="176" t="n"/>
      <c r="BO136" s="176" t="n"/>
      <c r="BP136" s="176" t="n"/>
      <c r="BQ136" s="176" t="n"/>
      <c r="BR136" s="176" t="n"/>
      <c r="BS136" s="176" t="n"/>
      <c r="BT136" s="176" t="n"/>
      <c r="BU136" s="176" t="n"/>
      <c r="BV136" s="176" t="n"/>
      <c r="BW136" s="176" t="n"/>
      <c r="BX136" s="176" t="n"/>
      <c r="BY136" s="176" t="n"/>
      <c r="BZ136" s="176" t="n"/>
      <c r="CA136" s="176" t="n"/>
      <c r="CB136" s="176" t="n"/>
      <c r="CC136" s="176" t="n"/>
      <c r="CD136" s="176" t="n"/>
      <c r="CE136" s="176" t="n"/>
      <c r="CF136" s="176" t="n"/>
      <c r="CG136" s="176" t="n"/>
      <c r="CH136" s="176" t="n"/>
      <c r="CI136" s="176" t="n"/>
      <c r="CJ136" s="176" t="n"/>
      <c r="CK136" s="176" t="n"/>
      <c r="CL136" s="176" t="n"/>
      <c r="CM136" s="176" t="n"/>
      <c r="CN136" s="176" t="n"/>
      <c r="CO136" s="176" t="n"/>
      <c r="CP136" s="176" t="n"/>
      <c r="CQ136" s="176" t="n"/>
      <c r="CR136" s="176" t="n"/>
      <c r="CS136" s="176" t="n"/>
      <c r="CT136" s="176" t="n"/>
      <c r="CU136" s="176" t="n"/>
      <c r="CV136" s="176" t="n"/>
      <c r="CW136" s="176" t="n"/>
      <c r="CX136" s="176" t="n"/>
      <c r="CY136" s="176" t="n"/>
      <c r="CZ136" s="176" t="n"/>
      <c r="DA136" s="189" t="n"/>
      <c r="DB136" s="190" t="n"/>
      <c r="DC136" s="190" t="n"/>
      <c r="DD136" s="190" t="n"/>
      <c r="DE136" s="190" t="n"/>
      <c r="DF136" s="191" t="n"/>
      <c r="DG136" s="176" t="n"/>
      <c r="DH136" s="176" t="n"/>
      <c r="DI136" s="189" t="n"/>
      <c r="DJ136" s="190" t="n"/>
      <c r="DK136" s="190" t="n"/>
      <c r="DL136" s="190" t="n"/>
      <c r="DM136" s="190" t="n"/>
      <c r="DN136" s="191" t="n"/>
      <c r="DO136" s="176" t="n"/>
      <c r="DP136" s="176" t="n"/>
      <c r="DQ136" s="176" t="n"/>
      <c r="DR136" s="193" t="n"/>
      <c r="DW136" s="194" t="n"/>
      <c r="DX136" s="176" t="n"/>
      <c r="DY136" s="176" t="n"/>
      <c r="DZ136" s="193" t="n"/>
      <c r="EE136" s="194" t="n"/>
      <c r="EF136" s="176" t="n"/>
      <c r="EG136" s="176" t="n"/>
      <c r="EH136" s="176" t="n"/>
      <c r="EI136" s="192" t="n"/>
      <c r="EJ136" s="187" t="n"/>
      <c r="EK136" s="187" t="n"/>
      <c r="EL136" s="187" t="n"/>
      <c r="EM136" s="187" t="n"/>
      <c r="EN136" s="188" t="n"/>
      <c r="EO136" s="176" t="n"/>
      <c r="EP136" s="176" t="n"/>
      <c r="EQ136" s="192" t="n"/>
      <c r="ER136" s="187" t="n"/>
      <c r="ES136" s="187" t="n"/>
      <c r="ET136" s="187" t="n"/>
      <c r="EU136" s="187" t="n"/>
      <c r="EV136" s="188" t="n"/>
      <c r="EW136" s="176" t="n"/>
      <c r="EX136" s="176" t="n"/>
      <c r="EY136" s="176" t="n"/>
      <c r="EZ136" s="193" t="n"/>
      <c r="FE136" s="194" t="n"/>
      <c r="FF136" s="176" t="n"/>
      <c r="FG136" s="176" t="n"/>
      <c r="FH136" s="193" t="n"/>
      <c r="FM136" s="194" t="n"/>
      <c r="FN136" s="176" t="n"/>
      <c r="FO136" s="176" t="n"/>
      <c r="FP136" s="176" t="n"/>
      <c r="FQ136" s="176" t="n"/>
      <c r="FR136" s="176" t="n"/>
      <c r="FS136" s="176" t="n"/>
      <c r="FT136" s="176" t="n"/>
      <c r="FU136" s="176" t="n"/>
      <c r="FV136" s="176" t="n"/>
      <c r="FW136" s="176" t="n"/>
      <c r="FX136" s="176" t="n"/>
      <c r="FY136" s="176" t="n"/>
      <c r="FZ136" s="176" t="n"/>
      <c r="GA136" s="176" t="n"/>
      <c r="GB136" s="176" t="n"/>
      <c r="GC136" s="176" t="n"/>
      <c r="GD136" s="176" t="n"/>
      <c r="GE136" s="176" t="n"/>
      <c r="GF136" s="176" t="n"/>
      <c r="GG136" s="176" t="n"/>
      <c r="GH136" s="176" t="n"/>
      <c r="GI136" s="176" t="n"/>
      <c r="GJ136" s="176" t="n"/>
      <c r="GK136" s="176" t="n"/>
      <c r="GL136" s="176" t="n"/>
      <c r="GM136" s="176" t="n"/>
      <c r="GN136" s="176" t="n"/>
      <c r="GO136" s="176" t="n"/>
      <c r="GP136" s="176" t="n"/>
      <c r="GQ136" s="176" t="n"/>
      <c r="GR136" s="176" t="n"/>
      <c r="GS136" s="176" t="n"/>
      <c r="GT136" s="176" t="n"/>
      <c r="GU136" s="176" t="n"/>
      <c r="GV136" s="176" t="n"/>
      <c r="GW136" s="176" t="n"/>
      <c r="GX136" s="176" t="n"/>
      <c r="GY136" s="193" t="n"/>
      <c r="HD136" s="194" t="n"/>
      <c r="HE136" s="176" t="n"/>
      <c r="HF136" s="176" t="n"/>
      <c r="HG136" s="193" t="n"/>
      <c r="HL136" s="194" t="n"/>
      <c r="HM136" s="176" t="n"/>
      <c r="HN136" s="176" t="n"/>
      <c r="HO136" s="176" t="n"/>
      <c r="HP136" s="193" t="n"/>
      <c r="HU136" s="194" t="n"/>
      <c r="HV136" s="176" t="n"/>
      <c r="HW136" s="176" t="n"/>
      <c r="HX136" s="193" t="n"/>
      <c r="IC136" s="194" t="n"/>
      <c r="ID136" s="176" t="n"/>
    </row>
    <row r="137" ht="18.75" customHeight="1">
      <c r="A137" s="176" t="n"/>
      <c r="B137" s="176" t="n"/>
      <c r="C137" s="176" t="n"/>
      <c r="D137" s="176" t="n"/>
      <c r="E137" s="176" t="n"/>
      <c r="F137" s="176" t="n"/>
      <c r="G137" s="176" t="n"/>
      <c r="H137" s="176" t="n"/>
      <c r="I137" s="176" t="n"/>
      <c r="J137" s="176" t="n"/>
      <c r="K137" s="176" t="n"/>
      <c r="L137" s="176" t="n"/>
      <c r="M137" s="176" t="n"/>
      <c r="N137" s="176" t="n"/>
      <c r="O137" s="176" t="n"/>
      <c r="P137" s="176" t="n"/>
      <c r="Q137" s="176" t="n"/>
      <c r="R137" s="176" t="n"/>
      <c r="S137" s="176" t="n"/>
      <c r="T137" s="181">
        <f>SWITCH('CONFIGURAÇÃO'!$T$130,"Origem","ROTA","Marcante","","Menor","","Arma","PROPRIEDADE 2","Escudo","","Uniforme","","Item comum","","Ferramenta amaldiçoada","","")</f>
        <v/>
      </c>
      <c r="U137" s="183" t="n"/>
      <c r="V137" s="185" t="n"/>
      <c r="W137" s="182" t="n"/>
      <c r="X137" s="182" t="n"/>
      <c r="Y137" s="183" t="n"/>
      <c r="Z137" s="176" t="n"/>
      <c r="AA137" s="176" t="n"/>
      <c r="AB137" s="181">
        <f>SWITCH('CONFIGURAÇÃO'!$AB$130,"Origem","ROTA","Marcante","","Menor","","Arma","PROPRIEDADE 2","Escudo","","Uniforme","","Item comum","","Ferramenta amaldiçoada","","")</f>
        <v/>
      </c>
      <c r="AC137" s="183" t="n"/>
      <c r="AD137" s="185" t="n"/>
      <c r="AE137" s="182" t="n"/>
      <c r="AF137" s="182" t="n"/>
      <c r="AG137" s="183" t="n"/>
      <c r="AH137" s="176" t="n"/>
      <c r="AI137" s="176" t="n"/>
      <c r="AJ137" s="176" t="n"/>
      <c r="AK137" s="176" t="n"/>
      <c r="AL137" s="176" t="n"/>
      <c r="AM137" s="176" t="n"/>
      <c r="AN137" s="176" t="n"/>
      <c r="AO137" s="176" t="n"/>
      <c r="AP137" s="176" t="n"/>
      <c r="AQ137" s="176" t="n"/>
      <c r="AR137" s="176" t="n"/>
      <c r="AS137" s="176" t="n"/>
      <c r="AT137" s="176" t="n"/>
      <c r="AU137" s="176" t="n"/>
      <c r="AV137" s="176" t="n"/>
      <c r="AW137" s="176" t="n"/>
      <c r="AX137" s="176" t="n"/>
      <c r="AY137" s="176" t="n"/>
      <c r="AZ137" s="176" t="n"/>
      <c r="BA137" s="176" t="n"/>
      <c r="BB137" s="176" t="n"/>
      <c r="BC137" s="176" t="n"/>
      <c r="BD137" s="176" t="n"/>
      <c r="BE137" s="176" t="n"/>
      <c r="BF137" s="176" t="n"/>
      <c r="BG137" s="176" t="n"/>
      <c r="BH137" s="176" t="n"/>
      <c r="BI137" s="176" t="n"/>
      <c r="BJ137" s="176" t="n"/>
      <c r="BK137" s="176" t="n"/>
      <c r="BL137" s="176" t="n"/>
      <c r="BM137" s="176" t="n"/>
      <c r="BN137" s="176" t="n"/>
      <c r="BO137" s="176" t="n"/>
      <c r="BP137" s="176" t="n"/>
      <c r="BQ137" s="176" t="n"/>
      <c r="BR137" s="176" t="n"/>
      <c r="BS137" s="176" t="n"/>
      <c r="BT137" s="176" t="n"/>
      <c r="BU137" s="176" t="n"/>
      <c r="BV137" s="176" t="n"/>
      <c r="BW137" s="176" t="n"/>
      <c r="BX137" s="176" t="n"/>
      <c r="BY137" s="176" t="n"/>
      <c r="BZ137" s="176" t="n"/>
      <c r="CA137" s="176" t="n"/>
      <c r="CB137" s="176" t="n"/>
      <c r="CC137" s="176" t="n"/>
      <c r="CD137" s="176" t="n"/>
      <c r="CE137" s="176" t="n"/>
      <c r="CF137" s="176" t="n"/>
      <c r="CG137" s="176" t="n"/>
      <c r="CH137" s="176" t="n"/>
      <c r="CI137" s="176" t="n"/>
      <c r="CJ137" s="176" t="n"/>
      <c r="CK137" s="176" t="n"/>
      <c r="CL137" s="176" t="n"/>
      <c r="CM137" s="176" t="n"/>
      <c r="CN137" s="176" t="n"/>
      <c r="CO137" s="176" t="n"/>
      <c r="CP137" s="176" t="n"/>
      <c r="CQ137" s="176" t="n"/>
      <c r="CR137" s="176" t="n"/>
      <c r="CS137" s="176" t="n"/>
      <c r="CT137" s="176" t="n"/>
      <c r="CU137" s="176" t="n"/>
      <c r="CV137" s="176" t="n"/>
      <c r="CW137" s="176" t="n"/>
      <c r="CX137" s="176" t="n"/>
      <c r="CY137" s="176" t="n"/>
      <c r="CZ137" s="176" t="n"/>
      <c r="DA137" s="176" t="n"/>
      <c r="DB137" s="176" t="n"/>
      <c r="DC137" s="176" t="n"/>
      <c r="DD137" s="176" t="n"/>
      <c r="DE137" s="176" t="n"/>
      <c r="DF137" s="176" t="n"/>
      <c r="DG137" s="176" t="n"/>
      <c r="DH137" s="176" t="n"/>
      <c r="DI137" s="176" t="n"/>
      <c r="DJ137" s="176" t="n"/>
      <c r="DK137" s="176" t="n"/>
      <c r="DL137" s="176" t="n"/>
      <c r="DM137" s="176" t="n"/>
      <c r="DN137" s="176" t="n"/>
      <c r="DO137" s="176" t="n"/>
      <c r="DP137" s="176" t="n"/>
      <c r="DQ137" s="176" t="n"/>
      <c r="DR137" s="189" t="n"/>
      <c r="DS137" s="190" t="n"/>
      <c r="DT137" s="190" t="n"/>
      <c r="DU137" s="190" t="n"/>
      <c r="DV137" s="190" t="n"/>
      <c r="DW137" s="191" t="n"/>
      <c r="DX137" s="176" t="n"/>
      <c r="DY137" s="176" t="n"/>
      <c r="DZ137" s="189" t="n"/>
      <c r="EA137" s="190" t="n"/>
      <c r="EB137" s="190" t="n"/>
      <c r="EC137" s="190" t="n"/>
      <c r="ED137" s="190" t="n"/>
      <c r="EE137" s="191" t="n"/>
      <c r="EF137" s="176" t="n"/>
      <c r="EG137" s="176" t="n"/>
      <c r="EH137" s="176" t="n"/>
      <c r="EI137" s="193" t="n"/>
      <c r="EN137" s="194" t="n"/>
      <c r="EO137" s="176" t="n"/>
      <c r="EP137" s="176" t="n"/>
      <c r="EQ137" s="193" t="n"/>
      <c r="EV137" s="194" t="n"/>
      <c r="EW137" s="176" t="n"/>
      <c r="EX137" s="176" t="n"/>
      <c r="EY137" s="176" t="n"/>
      <c r="EZ137" s="193" t="n"/>
      <c r="FE137" s="194" t="n"/>
      <c r="FF137" s="176" t="n"/>
      <c r="FG137" s="176" t="n"/>
      <c r="FH137" s="193" t="n"/>
      <c r="FM137" s="194" t="n"/>
      <c r="FN137" s="176" t="n"/>
      <c r="FO137" s="176" t="n"/>
      <c r="FP137" s="176" t="n"/>
      <c r="FQ137" s="181" t="inlineStr">
        <is>
          <t>EFEITO</t>
        </is>
      </c>
      <c r="FR137" s="182" t="n"/>
      <c r="FS137" s="182" t="n"/>
      <c r="FT137" s="182" t="n"/>
      <c r="FU137" s="182" t="n"/>
      <c r="FV137" s="183" t="n"/>
      <c r="FW137" s="176" t="n"/>
      <c r="FX137" s="176" t="n"/>
      <c r="FY137" s="181" t="inlineStr">
        <is>
          <t>EFEITO</t>
        </is>
      </c>
      <c r="FZ137" s="182" t="n"/>
      <c r="GA137" s="182" t="n"/>
      <c r="GB137" s="182" t="n"/>
      <c r="GC137" s="182" t="n"/>
      <c r="GD137" s="183" t="n"/>
      <c r="GE137" s="176" t="n"/>
      <c r="GF137" s="176" t="n"/>
      <c r="GG137" s="176" t="n"/>
      <c r="GH137" s="176" t="n"/>
      <c r="GI137" s="176" t="n"/>
      <c r="GJ137" s="176" t="n"/>
      <c r="GK137" s="176" t="n"/>
      <c r="GL137" s="176" t="n"/>
      <c r="GM137" s="176" t="n"/>
      <c r="GN137" s="176" t="n"/>
      <c r="GO137" s="176" t="n"/>
      <c r="GP137" s="176" t="n"/>
      <c r="GQ137" s="176" t="n"/>
      <c r="GR137" s="176" t="n"/>
      <c r="GS137" s="176" t="n"/>
      <c r="GT137" s="176" t="n"/>
      <c r="GU137" s="176" t="n"/>
      <c r="GV137" s="176" t="n"/>
      <c r="GW137" s="176" t="n"/>
      <c r="GX137" s="176" t="n"/>
      <c r="GY137" s="189" t="n"/>
      <c r="GZ137" s="190" t="n"/>
      <c r="HA137" s="190" t="n"/>
      <c r="HB137" s="190" t="n"/>
      <c r="HC137" s="190" t="n"/>
      <c r="HD137" s="191" t="n"/>
      <c r="HE137" s="176" t="n"/>
      <c r="HF137" s="176" t="n"/>
      <c r="HG137" s="189" t="n"/>
      <c r="HH137" s="190" t="n"/>
      <c r="HI137" s="190" t="n"/>
      <c r="HJ137" s="190" t="n"/>
      <c r="HK137" s="190" t="n"/>
      <c r="HL137" s="191" t="n"/>
      <c r="HM137" s="176" t="n"/>
      <c r="HN137" s="176" t="n"/>
      <c r="HO137" s="176" t="n"/>
      <c r="HP137" s="189" t="n"/>
      <c r="HQ137" s="190" t="n"/>
      <c r="HR137" s="190" t="n"/>
      <c r="HS137" s="190" t="n"/>
      <c r="HT137" s="190" t="n"/>
      <c r="HU137" s="191" t="n"/>
      <c r="HV137" s="176" t="n"/>
      <c r="HW137" s="176" t="n"/>
      <c r="HX137" s="189" t="n"/>
      <c r="HY137" s="190" t="n"/>
      <c r="HZ137" s="190" t="n"/>
      <c r="IA137" s="190" t="n"/>
      <c r="IB137" s="190" t="n"/>
      <c r="IC137" s="191" t="n"/>
      <c r="ID137" s="176" t="n"/>
    </row>
    <row r="138" ht="18.75" customHeight="1">
      <c r="A138" s="176" t="n"/>
      <c r="B138" s="176" t="n"/>
      <c r="C138" s="181" t="inlineStr">
        <is>
          <t>REGRA</t>
        </is>
      </c>
      <c r="D138" s="182" t="n"/>
      <c r="E138" s="183" t="n"/>
      <c r="F138" s="181" t="inlineStr">
        <is>
          <t>SISTEMA</t>
        </is>
      </c>
      <c r="G138" s="181" t="inlineStr">
        <is>
          <t>CAMPANHA</t>
        </is>
      </c>
      <c r="H138" s="181" t="inlineStr">
        <is>
          <t>EM USO</t>
        </is>
      </c>
      <c r="I138" s="176" t="n"/>
      <c r="J138" s="176" t="n"/>
      <c r="K138" s="176" t="n"/>
      <c r="L138" s="176" t="n"/>
      <c r="M138" s="176" t="n"/>
      <c r="N138" s="176" t="n"/>
      <c r="O138" s="176" t="n"/>
      <c r="P138" s="176" t="n"/>
      <c r="Q138" s="176" t="n"/>
      <c r="R138" s="176" t="n"/>
      <c r="S138" s="176" t="n"/>
      <c r="T138" s="181">
        <f>SWITCH('CONFIGURAÇÃO'!$T$130,"Origem","BASE DO LIVRO","Marcante","","Menor","","Arma","PROPRIEDADE 3","Escudo","","Uniforme","","Item comum","","Ferramenta amaldiçoada","","")</f>
        <v/>
      </c>
      <c r="U138" s="183" t="n"/>
      <c r="V138" s="185" t="n"/>
      <c r="W138" s="182" t="n"/>
      <c r="X138" s="182" t="n"/>
      <c r="Y138" s="183" t="n"/>
      <c r="Z138" s="176" t="n"/>
      <c r="AA138" s="176" t="n"/>
      <c r="AB138" s="181">
        <f>SWITCH('CONFIGURAÇÃO'!$AB$130,"Origem","BASE DO LIVRO","Marcante","","Menor","","Arma","PROPRIEDADE 3","Escudo","","Uniforme","","Item comum","","Ferramenta amaldiçoada","","")</f>
        <v/>
      </c>
      <c r="AC138" s="183" t="n"/>
      <c r="AD138" s="185" t="n"/>
      <c r="AE138" s="182" t="n"/>
      <c r="AF138" s="182" t="n"/>
      <c r="AG138" s="183" t="n"/>
      <c r="AH138" s="176" t="n"/>
      <c r="AI138" s="176" t="n"/>
      <c r="AJ138" s="176" t="n"/>
      <c r="AK138" s="176" t="n"/>
      <c r="AL138" s="176" t="n"/>
      <c r="AM138" s="176" t="n"/>
      <c r="AN138" s="176" t="n"/>
      <c r="AO138" s="176" t="n"/>
      <c r="AP138" s="176" t="n"/>
      <c r="AQ138" s="176" t="n"/>
      <c r="AR138" s="176" t="n"/>
      <c r="AS138" s="176" t="n"/>
      <c r="AT138" s="176" t="n"/>
      <c r="AU138" s="176" t="n"/>
      <c r="AV138" s="176" t="n"/>
      <c r="AW138" s="176" t="n"/>
      <c r="AX138" s="176" t="n"/>
      <c r="AY138" s="176" t="n"/>
      <c r="AZ138" s="176" t="n"/>
      <c r="BA138" s="176" t="n"/>
      <c r="BB138" s="176" t="n"/>
      <c r="BC138" s="176" t="n"/>
      <c r="BD138" s="176" t="n"/>
      <c r="BE138" s="176" t="n"/>
      <c r="BF138" s="176" t="n"/>
      <c r="BG138" s="176" t="n"/>
      <c r="BH138" s="176" t="n"/>
      <c r="BI138" s="176" t="n"/>
      <c r="BJ138" s="176" t="n"/>
      <c r="BK138" s="176" t="n"/>
      <c r="BL138" s="176" t="n"/>
      <c r="BM138" s="176" t="n"/>
      <c r="BN138" s="176" t="n"/>
      <c r="BO138" s="176" t="n"/>
      <c r="BP138" s="176" t="n"/>
      <c r="BQ138" s="176" t="n"/>
      <c r="BR138" s="176" t="n"/>
      <c r="BS138" s="176" t="n"/>
      <c r="BT138" s="176" t="n"/>
      <c r="BU138" s="176" t="n"/>
      <c r="BV138" s="176" t="n"/>
      <c r="BW138" s="176" t="n"/>
      <c r="BX138" s="176" t="n"/>
      <c r="BY138" s="176" t="n"/>
      <c r="BZ138" s="176" t="n"/>
      <c r="CA138" s="176" t="n"/>
      <c r="CB138" s="176" t="n"/>
      <c r="CC138" s="176" t="n"/>
      <c r="CD138" s="176" t="n"/>
      <c r="CE138" s="176" t="n"/>
      <c r="CF138" s="176" t="n"/>
      <c r="CG138" s="176" t="n"/>
      <c r="CH138" s="176" t="n"/>
      <c r="CI138" s="176" t="n"/>
      <c r="CJ138" s="176" t="n"/>
      <c r="CK138" s="176" t="n"/>
      <c r="CL138" s="176" t="n"/>
      <c r="CM138" s="176" t="n"/>
      <c r="CN138" s="176" t="n"/>
      <c r="CO138" s="176" t="n"/>
      <c r="CP138" s="176" t="n"/>
      <c r="CQ138" s="176" t="n"/>
      <c r="CR138" s="176" t="n"/>
      <c r="CS138" s="176" t="n"/>
      <c r="CT138" s="176" t="n"/>
      <c r="CU138" s="176" t="n"/>
      <c r="CV138" s="176" t="n"/>
      <c r="CW138" s="176" t="n"/>
      <c r="CX138" s="176" t="n"/>
      <c r="CY138" s="176" t="n"/>
      <c r="CZ138" s="176" t="n"/>
      <c r="DA138" s="180">
        <f>IF('DADOS_MELHORIAS'!$M$10="","","⚠ "&amp;'DADOS_MELHORIAS'!$M$10)</f>
        <v/>
      </c>
      <c r="DG138" s="176" t="n"/>
      <c r="DH138" s="176" t="n"/>
      <c r="DI138" s="180">
        <f>IF('DADOS_MELHORIAS'!$M$11="","","⚠ "&amp;'DADOS_MELHORIAS'!$M$11)</f>
        <v/>
      </c>
      <c r="DO138" s="176" t="n"/>
      <c r="DP138" s="176" t="n"/>
      <c r="DQ138" s="176" t="n"/>
      <c r="DR138" s="176" t="n"/>
      <c r="DS138" s="176" t="n"/>
      <c r="DT138" s="176" t="n"/>
      <c r="DU138" s="176" t="n"/>
      <c r="DV138" s="176" t="n"/>
      <c r="DW138" s="176" t="n"/>
      <c r="DX138" s="176" t="n"/>
      <c r="DY138" s="176" t="n"/>
      <c r="DZ138" s="176" t="n"/>
      <c r="EA138" s="176" t="n"/>
      <c r="EB138" s="176" t="n"/>
      <c r="EC138" s="176" t="n"/>
      <c r="ED138" s="176" t="n"/>
      <c r="EE138" s="176" t="n"/>
      <c r="EF138" s="176" t="n"/>
      <c r="EG138" s="176" t="n"/>
      <c r="EH138" s="176" t="n"/>
      <c r="EI138" s="193" t="n"/>
      <c r="EN138" s="194" t="n"/>
      <c r="EO138" s="176" t="n"/>
      <c r="EP138" s="176" t="n"/>
      <c r="EQ138" s="193" t="n"/>
      <c r="EV138" s="194" t="n"/>
      <c r="EW138" s="176" t="n"/>
      <c r="EX138" s="176" t="n"/>
      <c r="EY138" s="176" t="n"/>
      <c r="EZ138" s="189" t="n"/>
      <c r="FA138" s="190" t="n"/>
      <c r="FB138" s="190" t="n"/>
      <c r="FC138" s="190" t="n"/>
      <c r="FD138" s="190" t="n"/>
      <c r="FE138" s="191" t="n"/>
      <c r="FF138" s="176" t="n"/>
      <c r="FG138" s="176" t="n"/>
      <c r="FH138" s="189" t="n"/>
      <c r="FI138" s="190" t="n"/>
      <c r="FJ138" s="190" t="n"/>
      <c r="FK138" s="190" t="n"/>
      <c r="FL138" s="190" t="n"/>
      <c r="FM138" s="191" t="n"/>
      <c r="FN138" s="176" t="n"/>
      <c r="FO138" s="176" t="n"/>
      <c r="FP138" s="176" t="n"/>
      <c r="FQ138" s="192" t="n"/>
      <c r="FR138" s="187" t="n"/>
      <c r="FS138" s="187" t="n"/>
      <c r="FT138" s="187" t="n"/>
      <c r="FU138" s="187" t="n"/>
      <c r="FV138" s="188" t="n"/>
      <c r="FW138" s="176" t="n"/>
      <c r="FX138" s="176" t="n"/>
      <c r="FY138" s="192" t="n"/>
      <c r="FZ138" s="187" t="n"/>
      <c r="GA138" s="187" t="n"/>
      <c r="GB138" s="187" t="n"/>
      <c r="GC138" s="187" t="n"/>
      <c r="GD138" s="188" t="n"/>
      <c r="GE138" s="176" t="n"/>
      <c r="GF138" s="176" t="n"/>
      <c r="GG138" s="176" t="n"/>
      <c r="GH138" s="176" t="n"/>
      <c r="GI138" s="176" t="n"/>
      <c r="GJ138" s="176" t="n"/>
      <c r="GK138" s="176" t="n"/>
      <c r="GL138" s="176" t="n"/>
      <c r="GM138" s="176" t="n"/>
      <c r="GN138" s="176" t="n"/>
      <c r="GO138" s="176" t="n"/>
      <c r="GP138" s="176" t="n"/>
      <c r="GQ138" s="176" t="n"/>
      <c r="GR138" s="176" t="n"/>
      <c r="GS138" s="176" t="n"/>
      <c r="GT138" s="176" t="n"/>
      <c r="GU138" s="176" t="n"/>
      <c r="GV138" s="176" t="n"/>
      <c r="GW138" s="176" t="n"/>
      <c r="GX138" s="176" t="n"/>
      <c r="GY138" s="176" t="n"/>
      <c r="GZ138" s="176" t="n"/>
      <c r="HA138" s="176" t="n"/>
      <c r="HB138" s="176" t="n"/>
      <c r="HC138" s="176" t="n"/>
      <c r="HD138" s="176" t="n"/>
      <c r="HE138" s="176" t="n"/>
      <c r="HF138" s="176" t="n"/>
      <c r="HG138" s="176" t="n"/>
      <c r="HH138" s="176" t="n"/>
      <c r="HI138" s="176" t="n"/>
      <c r="HJ138" s="176" t="n"/>
      <c r="HK138" s="176" t="n"/>
      <c r="HL138" s="176" t="n"/>
      <c r="HM138" s="176" t="n"/>
      <c r="HN138" s="176" t="n"/>
      <c r="HO138" s="176" t="n"/>
      <c r="HP138" s="176" t="n"/>
      <c r="HQ138" s="176" t="n"/>
      <c r="HR138" s="176" t="n"/>
      <c r="HS138" s="176" t="n"/>
      <c r="HT138" s="176" t="n"/>
      <c r="HU138" s="176" t="n"/>
      <c r="HV138" s="176" t="n"/>
      <c r="HW138" s="176" t="n"/>
      <c r="HX138" s="176" t="n"/>
      <c r="HY138" s="176" t="n"/>
      <c r="HZ138" s="176" t="n"/>
      <c r="IA138" s="176" t="n"/>
      <c r="IB138" s="176" t="n"/>
      <c r="IC138" s="176" t="n"/>
      <c r="ID138" s="176" t="n"/>
    </row>
    <row r="139" ht="18.75" customHeight="1">
      <c r="A139" s="176" t="n"/>
      <c r="B139" s="176" t="n"/>
      <c r="C139" s="185" t="inlineStr">
        <is>
          <t>Abertas · Autônoma · padrão</t>
        </is>
      </c>
      <c r="D139" s="182" t="n"/>
      <c r="E139" s="183" t="n"/>
      <c r="F139" s="186" t="n">
        <v>3</v>
      </c>
      <c r="G139" s="186" t="n"/>
      <c r="H139" s="186">
        <f>IF(ISBLANK(G139),F139,IF(IFERROR(AND(ISNUMBER(G139),G139&gt;=0,G139&lt;=9,INT(G139)=G139),FALSE),G139,NA()))</f>
        <v/>
      </c>
      <c r="I139" s="176" t="n"/>
      <c r="J139" s="176" t="n"/>
      <c r="K139" s="176" t="n"/>
      <c r="L139" s="176" t="n"/>
      <c r="M139" s="176" t="n"/>
      <c r="N139" s="176" t="n"/>
      <c r="O139" s="176" t="n"/>
      <c r="P139" s="176" t="n"/>
      <c r="Q139" s="176" t="n"/>
      <c r="R139" s="176" t="n"/>
      <c r="S139" s="176" t="n"/>
      <c r="T139" s="181">
        <f>SWITCH('CONFIGURAÇÃO'!$T$130,"Origem","OFÍCIO","Marcante","","Menor","","Arma","PROPRIEDADE 4","Escudo","","Uniforme","","Item comum","","Ferramenta amaldiçoada","","")</f>
        <v/>
      </c>
      <c r="U139" s="183" t="n"/>
      <c r="V139" s="185" t="n"/>
      <c r="W139" s="182" t="n"/>
      <c r="X139" s="182" t="n"/>
      <c r="Y139" s="183" t="n"/>
      <c r="Z139" s="176" t="n"/>
      <c r="AA139" s="176" t="n"/>
      <c r="AB139" s="181">
        <f>SWITCH('CONFIGURAÇÃO'!$AB$130,"Origem","OFÍCIO","Marcante","","Menor","","Arma","PROPRIEDADE 4","Escudo","","Uniforme","","Item comum","","Ferramenta amaldiçoada","","")</f>
        <v/>
      </c>
      <c r="AC139" s="183" t="n"/>
      <c r="AD139" s="185" t="n"/>
      <c r="AE139" s="182" t="n"/>
      <c r="AF139" s="182" t="n"/>
      <c r="AG139" s="183" t="n"/>
      <c r="AH139" s="176" t="n"/>
      <c r="AI139" s="176" t="n"/>
      <c r="AJ139" s="176" t="n"/>
      <c r="AK139" s="176" t="n"/>
      <c r="AL139" s="176" t="n"/>
      <c r="AM139" s="176" t="n"/>
      <c r="AN139" s="176" t="n"/>
      <c r="AO139" s="176" t="n"/>
      <c r="AP139" s="176" t="n"/>
      <c r="AQ139" s="176" t="n"/>
      <c r="AR139" s="176" t="n"/>
      <c r="AS139" s="176" t="n"/>
      <c r="AT139" s="176" t="n"/>
      <c r="AU139" s="176" t="n"/>
      <c r="AV139" s="176" t="n"/>
      <c r="AW139" s="176" t="n"/>
      <c r="AX139" s="176" t="n"/>
      <c r="AY139" s="176" t="n"/>
      <c r="AZ139" s="176" t="n"/>
      <c r="BA139" s="176" t="n"/>
      <c r="BB139" s="176" t="n"/>
      <c r="BC139" s="176" t="n"/>
      <c r="BD139" s="176" t="n"/>
      <c r="BE139" s="176" t="n"/>
      <c r="BF139" s="176" t="n"/>
      <c r="BG139" s="176" t="n"/>
      <c r="BH139" s="176" t="n"/>
      <c r="BI139" s="176" t="n"/>
      <c r="BJ139" s="176" t="n"/>
      <c r="BK139" s="176" t="n"/>
      <c r="BL139" s="176" t="n"/>
      <c r="BM139" s="176" t="n"/>
      <c r="BN139" s="176" t="n"/>
      <c r="BO139" s="176" t="n"/>
      <c r="BP139" s="176" t="n"/>
      <c r="BQ139" s="176" t="n"/>
      <c r="BR139" s="176" t="n"/>
      <c r="BS139" s="176" t="n"/>
      <c r="BT139" s="176" t="n"/>
      <c r="BU139" s="176" t="n"/>
      <c r="BV139" s="176" t="n"/>
      <c r="BW139" s="176" t="n"/>
      <c r="BX139" s="176" t="n"/>
      <c r="BY139" s="176" t="n"/>
      <c r="BZ139" s="176" t="n"/>
      <c r="CA139" s="176" t="n"/>
      <c r="CB139" s="176" t="n"/>
      <c r="CC139" s="176" t="n"/>
      <c r="CD139" s="176" t="n"/>
      <c r="CE139" s="176" t="n"/>
      <c r="CF139" s="176" t="n"/>
      <c r="CG139" s="176" t="n"/>
      <c r="CH139" s="176" t="n"/>
      <c r="CI139" s="176" t="n"/>
      <c r="CJ139" s="176" t="n"/>
      <c r="CK139" s="176" t="n"/>
      <c r="CL139" s="176" t="n"/>
      <c r="CM139" s="176" t="n"/>
      <c r="CN139" s="176" t="n"/>
      <c r="CO139" s="176" t="n"/>
      <c r="CP139" s="176" t="n"/>
      <c r="CQ139" s="176" t="n"/>
      <c r="CR139" s="176" t="n"/>
      <c r="CS139" s="176" t="n"/>
      <c r="CT139" s="176" t="n"/>
      <c r="CU139" s="176" t="n"/>
      <c r="CV139" s="176" t="n"/>
      <c r="CW139" s="176" t="n"/>
      <c r="CX139" s="176" t="n"/>
      <c r="CY139" s="176" t="n"/>
      <c r="CZ139" s="176" t="n"/>
      <c r="DG139" s="176" t="n"/>
      <c r="DH139" s="176" t="n"/>
      <c r="DO139" s="176" t="n"/>
      <c r="DP139" s="176" t="n"/>
      <c r="DQ139" s="176" t="n"/>
      <c r="DR139" s="180">
        <f>IF('DADOS_RESTRICOES'!$K$12="","","⚠ "&amp;'DADOS_RESTRICOES'!$K$12)</f>
        <v/>
      </c>
      <c r="DX139" s="176" t="n"/>
      <c r="DY139" s="176" t="n"/>
      <c r="DZ139" s="180">
        <f>IF('DADOS_RESTRICOES'!$K$13="","","⚠ "&amp;'DADOS_RESTRICOES'!$K$13)</f>
        <v/>
      </c>
      <c r="EF139" s="176" t="n"/>
      <c r="EG139" s="176" t="n"/>
      <c r="EH139" s="176" t="n"/>
      <c r="EI139" s="193" t="n"/>
      <c r="EN139" s="194" t="n"/>
      <c r="EO139" s="176" t="n"/>
      <c r="EP139" s="176" t="n"/>
      <c r="EQ139" s="193" t="n"/>
      <c r="EV139" s="194" t="n"/>
      <c r="EW139" s="176" t="n"/>
      <c r="EX139" s="176" t="n"/>
      <c r="EY139" s="176" t="n"/>
      <c r="EZ139" s="176" t="n"/>
      <c r="FA139" s="176" t="n"/>
      <c r="FB139" s="176" t="n"/>
      <c r="FC139" s="176" t="n"/>
      <c r="FD139" s="176" t="n"/>
      <c r="FE139" s="176" t="n"/>
      <c r="FF139" s="176" t="n"/>
      <c r="FG139" s="176" t="n"/>
      <c r="FH139" s="176" t="n"/>
      <c r="FI139" s="176" t="n"/>
      <c r="FJ139" s="176" t="n"/>
      <c r="FK139" s="176" t="n"/>
      <c r="FL139" s="176" t="n"/>
      <c r="FM139" s="176" t="n"/>
      <c r="FN139" s="176" t="n"/>
      <c r="FO139" s="176" t="n"/>
      <c r="FP139" s="176" t="n"/>
      <c r="FQ139" s="193" t="n"/>
      <c r="FV139" s="194" t="n"/>
      <c r="FW139" s="176" t="n"/>
      <c r="FX139" s="176" t="n"/>
      <c r="FY139" s="193" t="n"/>
      <c r="GD139" s="194" t="n"/>
      <c r="GE139" s="176" t="n"/>
      <c r="GF139" s="176" t="n"/>
      <c r="GG139" s="176" t="n"/>
      <c r="GH139" s="176" t="n"/>
      <c r="GI139" s="176" t="n"/>
      <c r="GJ139" s="176" t="n"/>
      <c r="GK139" s="176" t="n"/>
      <c r="GL139" s="176" t="n"/>
      <c r="GM139" s="176" t="n"/>
      <c r="GN139" s="176" t="n"/>
      <c r="GO139" s="176" t="n"/>
      <c r="GP139" s="176" t="n"/>
      <c r="GQ139" s="176" t="n"/>
      <c r="GR139" s="176" t="n"/>
      <c r="GS139" s="176" t="n"/>
      <c r="GT139" s="176" t="n"/>
      <c r="GU139" s="176" t="n"/>
      <c r="GV139" s="176" t="n"/>
      <c r="GW139" s="176" t="n"/>
      <c r="GX139" s="176" t="n"/>
      <c r="GY139" s="181" t="inlineStr">
        <is>
          <t>EFEITO E REQUISITOS</t>
        </is>
      </c>
      <c r="GZ139" s="182" t="n"/>
      <c r="HA139" s="182" t="n"/>
      <c r="HB139" s="182" t="n"/>
      <c r="HC139" s="182" t="n"/>
      <c r="HD139" s="183" t="n"/>
      <c r="HE139" s="176" t="n"/>
      <c r="HF139" s="176" t="n"/>
      <c r="HG139" s="181" t="inlineStr">
        <is>
          <t>EFEITO E REQUISITOS</t>
        </is>
      </c>
      <c r="HH139" s="182" t="n"/>
      <c r="HI139" s="182" t="n"/>
      <c r="HJ139" s="182" t="n"/>
      <c r="HK139" s="182" t="n"/>
      <c r="HL139" s="183" t="n"/>
      <c r="HM139" s="176" t="n"/>
      <c r="HN139" s="176" t="n"/>
      <c r="HO139" s="176" t="n"/>
      <c r="HP139" s="181" t="inlineStr">
        <is>
          <t>EFEITO</t>
        </is>
      </c>
      <c r="HQ139" s="182" t="n"/>
      <c r="HR139" s="182" t="n"/>
      <c r="HS139" s="182" t="n"/>
      <c r="HT139" s="182" t="n"/>
      <c r="HU139" s="183" t="n"/>
      <c r="HV139" s="176" t="n"/>
      <c r="HW139" s="176" t="n"/>
      <c r="HX139" s="181" t="inlineStr">
        <is>
          <t>EFEITO</t>
        </is>
      </c>
      <c r="HY139" s="182" t="n"/>
      <c r="HZ139" s="182" t="n"/>
      <c r="IA139" s="182" t="n"/>
      <c r="IB139" s="182" t="n"/>
      <c r="IC139" s="183" t="n"/>
      <c r="ID139" s="176" t="n"/>
    </row>
    <row r="140" ht="18.75" customHeight="1">
      <c r="A140" s="176" t="n"/>
      <c r="B140" s="176" t="n"/>
      <c r="C140" s="185" t="inlineStr">
        <is>
          <t>Livres · Autônoma · padrão</t>
        </is>
      </c>
      <c r="D140" s="182" t="n"/>
      <c r="E140" s="183" t="n"/>
      <c r="F140" s="186" t="n">
        <v>1</v>
      </c>
      <c r="G140" s="186" t="n"/>
      <c r="H140" s="186">
        <f>IF(ISBLANK(G140),F140,IF(IFERROR(AND(ISNUMBER(G140),G140&gt;=0,G140&lt;=9,INT(G140)=G140),FALSE),G140,NA()))</f>
        <v/>
      </c>
      <c r="I140" s="176" t="n"/>
      <c r="J140" s="176" t="n"/>
      <c r="K140" s="176" t="n"/>
      <c r="L140" s="176" t="n"/>
      <c r="M140" s="176" t="n"/>
      <c r="N140" s="176" t="n"/>
      <c r="O140" s="176" t="n"/>
      <c r="P140" s="176" t="n"/>
      <c r="Q140" s="176" t="n"/>
      <c r="R140" s="176" t="n"/>
      <c r="S140" s="176" t="n"/>
      <c r="T140" s="181">
        <f>SWITCH('CONFIGURAÇÃO'!$T$130,"Origem","TALENTO CE 4","Marcante","FREQUÊNCIA","Menor","FREQUÊNCIA","Arma","DADO","Escudo","PROTEÇÃO","Uniforme","PROTEÇÃO","Item comum","VOLUME","Ferramenta amaldiçoada","ESTIGMA","")</f>
        <v/>
      </c>
      <c r="U140" s="183" t="n"/>
      <c r="V140" s="185" t="n"/>
      <c r="W140" s="182" t="n"/>
      <c r="X140" s="182" t="n"/>
      <c r="Y140" s="183" t="n"/>
      <c r="Z140" s="176" t="n"/>
      <c r="AA140" s="176" t="n"/>
      <c r="AB140" s="181">
        <f>SWITCH('CONFIGURAÇÃO'!$AB$130,"Origem","TALENTO CE 4","Marcante","FREQUÊNCIA","Menor","FREQUÊNCIA","Arma","DADO","Escudo","PROTEÇÃO","Uniforme","PROTEÇÃO","Item comum","VOLUME","Ferramenta amaldiçoada","ESTIGMA","")</f>
        <v/>
      </c>
      <c r="AC140" s="183" t="n"/>
      <c r="AD140" s="185" t="n"/>
      <c r="AE140" s="182" t="n"/>
      <c r="AF140" s="182" t="n"/>
      <c r="AG140" s="183" t="n"/>
      <c r="AH140" s="176" t="n"/>
      <c r="AI140" s="176" t="n"/>
      <c r="AJ140" s="176" t="n"/>
      <c r="AK140" s="176" t="n"/>
      <c r="AL140" s="176" t="n"/>
      <c r="AM140" s="176" t="n"/>
      <c r="AN140" s="176" t="n"/>
      <c r="AO140" s="176" t="n"/>
      <c r="AP140" s="176" t="n"/>
      <c r="AQ140" s="176" t="n"/>
      <c r="AR140" s="176" t="n"/>
      <c r="AS140" s="176" t="n"/>
      <c r="AT140" s="176" t="n"/>
      <c r="AU140" s="176" t="n"/>
      <c r="AV140" s="176" t="n"/>
      <c r="AW140" s="176" t="n"/>
      <c r="AX140" s="176" t="n"/>
      <c r="AY140" s="176" t="n"/>
      <c r="AZ140" s="176" t="n"/>
      <c r="BA140" s="176" t="n"/>
      <c r="BB140" s="176" t="n"/>
      <c r="BC140" s="176" t="n"/>
      <c r="BD140" s="176" t="n"/>
      <c r="BE140" s="176" t="n"/>
      <c r="BF140" s="176" t="n"/>
      <c r="BG140" s="176" t="n"/>
      <c r="BH140" s="176" t="n"/>
      <c r="BI140" s="176" t="n"/>
      <c r="BJ140" s="176" t="n"/>
      <c r="BK140" s="176" t="n"/>
      <c r="BL140" s="176" t="n"/>
      <c r="BM140" s="176" t="n"/>
      <c r="BN140" s="176" t="n"/>
      <c r="BO140" s="176" t="n"/>
      <c r="BP140" s="176" t="n"/>
      <c r="BQ140" s="176" t="n"/>
      <c r="BR140" s="176" t="n"/>
      <c r="BS140" s="176" t="n"/>
      <c r="BT140" s="176" t="n"/>
      <c r="BU140" s="176" t="n"/>
      <c r="BV140" s="176" t="n"/>
      <c r="BW140" s="176" t="n"/>
      <c r="BX140" s="176" t="n"/>
      <c r="BY140" s="176" t="n"/>
      <c r="BZ140" s="176" t="n"/>
      <c r="CA140" s="176" t="n"/>
      <c r="CB140" s="176" t="n"/>
      <c r="CC140" s="176" t="n"/>
      <c r="CD140" s="176" t="n"/>
      <c r="CE140" s="176" t="n"/>
      <c r="CF140" s="176" t="n"/>
      <c r="CG140" s="176" t="n"/>
      <c r="CH140" s="176" t="n"/>
      <c r="CI140" s="176" t="n"/>
      <c r="CJ140" s="176" t="n"/>
      <c r="CK140" s="176" t="n"/>
      <c r="CL140" s="176" t="n"/>
      <c r="CM140" s="176" t="n"/>
      <c r="CN140" s="176" t="n"/>
      <c r="CO140" s="176" t="n"/>
      <c r="CP140" s="176" t="n"/>
      <c r="CQ140" s="176" t="n"/>
      <c r="CR140" s="176" t="n"/>
      <c r="CS140" s="176" t="n"/>
      <c r="CT140" s="176" t="n"/>
      <c r="CU140" s="176" t="n"/>
      <c r="CV140" s="176" t="n"/>
      <c r="CW140" s="176" t="n"/>
      <c r="CX140" s="176" t="n"/>
      <c r="CY140" s="176" t="n"/>
      <c r="CZ140" s="176" t="n"/>
      <c r="DA140" s="176" t="n"/>
      <c r="DB140" s="176" t="n"/>
      <c r="DC140" s="176" t="n"/>
      <c r="DD140" s="176" t="n"/>
      <c r="DE140" s="176" t="n"/>
      <c r="DF140" s="176" t="n"/>
      <c r="DG140" s="176" t="n"/>
      <c r="DH140" s="176" t="n"/>
      <c r="DI140" s="176" t="n"/>
      <c r="DJ140" s="176" t="n"/>
      <c r="DK140" s="176" t="n"/>
      <c r="DL140" s="176" t="n"/>
      <c r="DM140" s="176" t="n"/>
      <c r="DN140" s="176" t="n"/>
      <c r="DO140" s="176" t="n"/>
      <c r="DP140" s="176" t="n"/>
      <c r="DQ140" s="176" t="n"/>
      <c r="DX140" s="176" t="n"/>
      <c r="DY140" s="176" t="n"/>
      <c r="EF140" s="176" t="n"/>
      <c r="EG140" s="176" t="n"/>
      <c r="EH140" s="176" t="n"/>
      <c r="EI140" s="193" t="n"/>
      <c r="EN140" s="194" t="n"/>
      <c r="EO140" s="176" t="n"/>
      <c r="EP140" s="176" t="n"/>
      <c r="EQ140" s="193" t="n"/>
      <c r="EV140" s="194" t="n"/>
      <c r="EW140" s="176" t="n"/>
      <c r="EX140" s="176" t="n"/>
      <c r="EY140" s="176" t="n"/>
      <c r="EZ140" s="181" t="inlineStr">
        <is>
          <t>EFEITO</t>
        </is>
      </c>
      <c r="FA140" s="182" t="n"/>
      <c r="FB140" s="182" t="n"/>
      <c r="FC140" s="182" t="n"/>
      <c r="FD140" s="182" t="n"/>
      <c r="FE140" s="183" t="n"/>
      <c r="FF140" s="176" t="n"/>
      <c r="FG140" s="176" t="n"/>
      <c r="FH140" s="181" t="inlineStr">
        <is>
          <t>EFEITO</t>
        </is>
      </c>
      <c r="FI140" s="182" t="n"/>
      <c r="FJ140" s="182" t="n"/>
      <c r="FK140" s="182" t="n"/>
      <c r="FL140" s="182" t="n"/>
      <c r="FM140" s="183" t="n"/>
      <c r="FN140" s="176" t="n"/>
      <c r="FO140" s="176" t="n"/>
      <c r="FP140" s="176" t="n"/>
      <c r="FQ140" s="193" t="n"/>
      <c r="FV140" s="194" t="n"/>
      <c r="FW140" s="176" t="n"/>
      <c r="FX140" s="176" t="n"/>
      <c r="FY140" s="193" t="n"/>
      <c r="GD140" s="194" t="n"/>
      <c r="GE140" s="176" t="n"/>
      <c r="GF140" s="176" t="n"/>
      <c r="GG140" s="176" t="n"/>
      <c r="GH140" s="176" t="n"/>
      <c r="GI140" s="176" t="n"/>
      <c r="GJ140" s="176" t="n"/>
      <c r="GK140" s="176" t="n"/>
      <c r="GL140" s="176" t="n"/>
      <c r="GM140" s="176" t="n"/>
      <c r="GN140" s="176" t="n"/>
      <c r="GO140" s="176" t="n"/>
      <c r="GP140" s="176" t="n"/>
      <c r="GQ140" s="176" t="n"/>
      <c r="GR140" s="176" t="n"/>
      <c r="GS140" s="176" t="n"/>
      <c r="GT140" s="176" t="n"/>
      <c r="GU140" s="176" t="n"/>
      <c r="GV140" s="176" t="n"/>
      <c r="GW140" s="176" t="n"/>
      <c r="GX140" s="176" t="n"/>
      <c r="GY140" s="192" t="n"/>
      <c r="GZ140" s="187" t="n"/>
      <c r="HA140" s="187" t="n"/>
      <c r="HB140" s="187" t="n"/>
      <c r="HC140" s="187" t="n"/>
      <c r="HD140" s="188" t="n"/>
      <c r="HE140" s="176" t="n"/>
      <c r="HF140" s="176" t="n"/>
      <c r="HG140" s="192" t="n"/>
      <c r="HH140" s="187" t="n"/>
      <c r="HI140" s="187" t="n"/>
      <c r="HJ140" s="187" t="n"/>
      <c r="HK140" s="187" t="n"/>
      <c r="HL140" s="188" t="n"/>
      <c r="HM140" s="176" t="n"/>
      <c r="HN140" s="176" t="n"/>
      <c r="HO140" s="176" t="n"/>
      <c r="HP140" s="192" t="n"/>
      <c r="HQ140" s="187" t="n"/>
      <c r="HR140" s="187" t="n"/>
      <c r="HS140" s="187" t="n"/>
      <c r="HT140" s="187" t="n"/>
      <c r="HU140" s="188" t="n"/>
      <c r="HV140" s="176" t="n"/>
      <c r="HW140" s="176" t="n"/>
      <c r="HX140" s="192" t="n"/>
      <c r="HY140" s="187" t="n"/>
      <c r="HZ140" s="187" t="n"/>
      <c r="IA140" s="187" t="n"/>
      <c r="IB140" s="187" t="n"/>
      <c r="IC140" s="188" t="n"/>
      <c r="ID140" s="176" t="n"/>
    </row>
    <row r="141" ht="18.75" customHeight="1">
      <c r="A141" s="176" t="n"/>
      <c r="B141" s="176" t="n"/>
      <c r="C141" s="185" t="inlineStr">
        <is>
          <t>Abertas · Parceria / Múltiplas</t>
        </is>
      </c>
      <c r="D141" s="182" t="n"/>
      <c r="E141" s="183" t="n"/>
      <c r="F141" s="186" t="n">
        <v>4</v>
      </c>
      <c r="G141" s="186" t="n"/>
      <c r="H141" s="186">
        <f>IF(ISBLANK(G141),F141,IF(IFERROR(AND(ISNUMBER(G141),G141&gt;=0,G141&lt;=9,INT(G141)=G141),FALSE),G141,NA()))</f>
        <v/>
      </c>
      <c r="I141" s="176" t="n"/>
      <c r="J141" s="176" t="n"/>
      <c r="K141" s="176" t="n"/>
      <c r="L141" s="176" t="n"/>
      <c r="M141" s="176" t="n"/>
      <c r="N141" s="176" t="n"/>
      <c r="O141" s="176" t="n"/>
      <c r="P141" s="176" t="n"/>
      <c r="Q141" s="176" t="n"/>
      <c r="R141" s="176" t="n"/>
      <c r="S141" s="176" t="n"/>
      <c r="T141" s="181">
        <f>SWITCH('CONFIGURAÇÃO'!$T$130,"Origem","","Marcante","","Menor","","Arma","FORÇA","Escudo","TETO DE DESTREZA","Uniforme","TETO DE DESTREZA","Item comum","PREÇO","Ferramenta amaldiçoada","DESGASTE","")</f>
        <v/>
      </c>
      <c r="U141" s="183" t="n"/>
      <c r="V141" s="185" t="n"/>
      <c r="W141" s="182" t="n"/>
      <c r="X141" s="182" t="n"/>
      <c r="Y141" s="183" t="n"/>
      <c r="Z141" s="176" t="n"/>
      <c r="AA141" s="176" t="n"/>
      <c r="AB141" s="181">
        <f>SWITCH('CONFIGURAÇÃO'!$AB$130,"Origem","","Marcante","","Menor","","Arma","FORÇA","Escudo","TETO DE DESTREZA","Uniforme","TETO DE DESTREZA","Item comum","PREÇO","Ferramenta amaldiçoada","DESGASTE","")</f>
        <v/>
      </c>
      <c r="AC141" s="183" t="n"/>
      <c r="AD141" s="185" t="n"/>
      <c r="AE141" s="182" t="n"/>
      <c r="AF141" s="182" t="n"/>
      <c r="AG141" s="183" t="n"/>
      <c r="AH141" s="176" t="n"/>
      <c r="AI141" s="176" t="n"/>
      <c r="AJ141" s="176" t="n"/>
      <c r="AK141" s="176" t="n"/>
      <c r="AL141" s="176" t="n"/>
      <c r="AM141" s="176" t="n"/>
      <c r="AN141" s="176" t="n"/>
      <c r="AO141" s="176" t="n"/>
      <c r="AP141" s="176" t="n"/>
      <c r="AQ141" s="176" t="n"/>
      <c r="AR141" s="176" t="n"/>
      <c r="AS141" s="176" t="n"/>
      <c r="AT141" s="176" t="n"/>
      <c r="AU141" s="176" t="n"/>
      <c r="AV141" s="176" t="n"/>
      <c r="AW141" s="176" t="n"/>
      <c r="AX141" s="176" t="n"/>
      <c r="AY141" s="176" t="n"/>
      <c r="AZ141" s="176" t="n"/>
      <c r="BA141" s="176" t="n"/>
      <c r="BB141" s="176" t="n"/>
      <c r="BC141" s="176" t="n"/>
      <c r="BD141" s="176" t="n"/>
      <c r="BE141" s="176" t="n"/>
      <c r="BF141" s="176" t="n"/>
      <c r="BG141" s="176" t="n"/>
      <c r="BH141" s="176" t="n"/>
      <c r="BI141" s="176" t="n"/>
      <c r="BJ141" s="176" t="n"/>
      <c r="BK141" s="176" t="n"/>
      <c r="BL141" s="176" t="n"/>
      <c r="BM141" s="176" t="n"/>
      <c r="BN141" s="176" t="n"/>
      <c r="BO141" s="176" t="n"/>
      <c r="BP141" s="176" t="n"/>
      <c r="BQ141" s="176" t="n"/>
      <c r="BR141" s="176" t="n"/>
      <c r="BS141" s="176" t="n"/>
      <c r="BT141" s="176" t="n"/>
      <c r="BU141" s="176" t="n"/>
      <c r="BV141" s="176" t="n"/>
      <c r="BW141" s="176" t="n"/>
      <c r="BX141" s="176" t="n"/>
      <c r="BY141" s="176" t="n"/>
      <c r="BZ141" s="176" t="n"/>
      <c r="CA141" s="176" t="n"/>
      <c r="CB141" s="176" t="n"/>
      <c r="CC141" s="176" t="n"/>
      <c r="CD141" s="176" t="n"/>
      <c r="CE141" s="176" t="n"/>
      <c r="CF141" s="176" t="n"/>
      <c r="CG141" s="176" t="n"/>
      <c r="CH141" s="176" t="n"/>
      <c r="CI141" s="176" t="n"/>
      <c r="CJ141" s="176" t="n"/>
      <c r="CK141" s="176" t="n"/>
      <c r="CL141" s="176" t="n"/>
      <c r="CM141" s="176" t="n"/>
      <c r="CN141" s="176" t="n"/>
      <c r="CO141" s="176" t="n"/>
      <c r="CP141" s="176" t="n"/>
      <c r="CQ141" s="176" t="n"/>
      <c r="CR141" s="176" t="n"/>
      <c r="CS141" s="176" t="n"/>
      <c r="CT141" s="176" t="n"/>
      <c r="CU141" s="176" t="n"/>
      <c r="CV141" s="176" t="n"/>
      <c r="CW141" s="176" t="n"/>
      <c r="CX141" s="176" t="n"/>
      <c r="CY141" s="176" t="n"/>
      <c r="CZ141" s="176" t="n"/>
      <c r="DA141" s="179" t="inlineStr">
        <is>
          <t>MELHORIA · 11</t>
        </is>
      </c>
      <c r="DG141" s="176" t="n"/>
      <c r="DH141" s="176" t="n"/>
      <c r="DI141" s="179" t="inlineStr">
        <is>
          <t>MELHORIA · 12</t>
        </is>
      </c>
      <c r="DO141" s="176" t="n"/>
      <c r="DP141" s="176" t="n"/>
      <c r="DQ141" s="176" t="n"/>
      <c r="DR141" s="176" t="n"/>
      <c r="DS141" s="176" t="n"/>
      <c r="DT141" s="176" t="n"/>
      <c r="DU141" s="176" t="n"/>
      <c r="DV141" s="176" t="n"/>
      <c r="DW141" s="176" t="n"/>
      <c r="DX141" s="176" t="n"/>
      <c r="DY141" s="176" t="n"/>
      <c r="DZ141" s="176" t="n"/>
      <c r="EA141" s="176" t="n"/>
      <c r="EB141" s="176" t="n"/>
      <c r="EC141" s="176" t="n"/>
      <c r="ED141" s="176" t="n"/>
      <c r="EE141" s="176" t="n"/>
      <c r="EF141" s="176" t="n"/>
      <c r="EG141" s="176" t="n"/>
      <c r="EH141" s="176" t="n"/>
      <c r="EI141" s="193" t="n"/>
      <c r="EN141" s="194" t="n"/>
      <c r="EO141" s="176" t="n"/>
      <c r="EP141" s="176" t="n"/>
      <c r="EQ141" s="193" t="n"/>
      <c r="EV141" s="194" t="n"/>
      <c r="EW141" s="176" t="n"/>
      <c r="EX141" s="176" t="n"/>
      <c r="EY141" s="176" t="n"/>
      <c r="EZ141" s="192" t="n"/>
      <c r="FA141" s="187" t="n"/>
      <c r="FB141" s="187" t="n"/>
      <c r="FC141" s="187" t="n"/>
      <c r="FD141" s="187" t="n"/>
      <c r="FE141" s="188" t="n"/>
      <c r="FF141" s="176" t="n"/>
      <c r="FG141" s="176" t="n"/>
      <c r="FH141" s="192" t="n"/>
      <c r="FI141" s="187" t="n"/>
      <c r="FJ141" s="187" t="n"/>
      <c r="FK141" s="187" t="n"/>
      <c r="FL141" s="187" t="n"/>
      <c r="FM141" s="188" t="n"/>
      <c r="FN141" s="176" t="n"/>
      <c r="FO141" s="176" t="n"/>
      <c r="FP141" s="176" t="n"/>
      <c r="FQ141" s="189" t="n"/>
      <c r="FR141" s="190" t="n"/>
      <c r="FS141" s="190" t="n"/>
      <c r="FT141" s="190" t="n"/>
      <c r="FU141" s="190" t="n"/>
      <c r="FV141" s="191" t="n"/>
      <c r="FW141" s="176" t="n"/>
      <c r="FX141" s="176" t="n"/>
      <c r="FY141" s="189" t="n"/>
      <c r="FZ141" s="190" t="n"/>
      <c r="GA141" s="190" t="n"/>
      <c r="GB141" s="190" t="n"/>
      <c r="GC141" s="190" t="n"/>
      <c r="GD141" s="191" t="n"/>
      <c r="GE141" s="176" t="n"/>
      <c r="GF141" s="176" t="n"/>
      <c r="GG141" s="176" t="n"/>
      <c r="GH141" s="176" t="n"/>
      <c r="GI141" s="176" t="n"/>
      <c r="GJ141" s="176" t="n"/>
      <c r="GK141" s="176" t="n"/>
      <c r="GL141" s="176" t="n"/>
      <c r="GM141" s="176" t="n"/>
      <c r="GN141" s="176" t="n"/>
      <c r="GO141" s="176" t="n"/>
      <c r="GP141" s="176" t="n"/>
      <c r="GQ141" s="176" t="n"/>
      <c r="GR141" s="176" t="n"/>
      <c r="GS141" s="176" t="n"/>
      <c r="GT141" s="176" t="n"/>
      <c r="GU141" s="176" t="n"/>
      <c r="GV141" s="176" t="n"/>
      <c r="GW141" s="176" t="n"/>
      <c r="GX141" s="176" t="n"/>
      <c r="GY141" s="193" t="n"/>
      <c r="HD141" s="194" t="n"/>
      <c r="HE141" s="176" t="n"/>
      <c r="HF141" s="176" t="n"/>
      <c r="HG141" s="193" t="n"/>
      <c r="HL141" s="194" t="n"/>
      <c r="HM141" s="176" t="n"/>
      <c r="HN141" s="176" t="n"/>
      <c r="HO141" s="176" t="n"/>
      <c r="HP141" s="193" t="n"/>
      <c r="HU141" s="194" t="n"/>
      <c r="HV141" s="176" t="n"/>
      <c r="HW141" s="176" t="n"/>
      <c r="HX141" s="193" t="n"/>
      <c r="IC141" s="194" t="n"/>
      <c r="ID141" s="176" t="n"/>
    </row>
    <row r="142" ht="18.75" customHeight="1">
      <c r="A142" s="176" t="n"/>
      <c r="B142" s="176" t="n"/>
      <c r="C142" s="185" t="inlineStr">
        <is>
          <t>Livres · Parceria / Múltiplas</t>
        </is>
      </c>
      <c r="D142" s="182" t="n"/>
      <c r="E142" s="183" t="n"/>
      <c r="F142" s="186" t="n">
        <v>1</v>
      </c>
      <c r="G142" s="186" t="n"/>
      <c r="H142" s="186">
        <f>IF(ISBLANK(G142),F142,IF(IFERROR(AND(ISNUMBER(G142),G142&gt;=0,G142&lt;=9,INT(G142)=G142),FALSE),G142,NA()))</f>
        <v/>
      </c>
      <c r="I142" s="176" t="n"/>
      <c r="J142" s="176" t="n"/>
      <c r="K142" s="176" t="n"/>
      <c r="L142" s="176" t="n"/>
      <c r="M142" s="176" t="n"/>
      <c r="N142" s="176" t="n"/>
      <c r="O142" s="176" t="n"/>
      <c r="P142" s="176" t="n"/>
      <c r="Q142" s="176" t="n"/>
      <c r="R142" s="176" t="n"/>
      <c r="S142" s="176" t="n"/>
      <c r="T142" s="181">
        <f>SWITCH('CONFIGURAÇÃO'!$T$130,"Origem","","Marcante","","Menor","","Arma","VOLUME","Escudo","FORÇA","Uniforme","FORÇA","Item comum","","Ferramenta amaldiçoada","VOLUME","")</f>
        <v/>
      </c>
      <c r="U142" s="183" t="n"/>
      <c r="V142" s="185" t="n"/>
      <c r="W142" s="182" t="n"/>
      <c r="X142" s="182" t="n"/>
      <c r="Y142" s="183" t="n"/>
      <c r="Z142" s="176" t="n"/>
      <c r="AA142" s="176" t="n"/>
      <c r="AB142" s="181">
        <f>SWITCH('CONFIGURAÇÃO'!$AB$130,"Origem","","Marcante","","Menor","","Arma","VOLUME","Escudo","FORÇA","Uniforme","FORÇA","Item comum","","Ferramenta amaldiçoada","VOLUME","")</f>
        <v/>
      </c>
      <c r="AC142" s="183" t="n"/>
      <c r="AD142" s="185" t="n"/>
      <c r="AE142" s="182" t="n"/>
      <c r="AF142" s="182" t="n"/>
      <c r="AG142" s="183" t="n"/>
      <c r="AH142" s="176" t="n"/>
      <c r="AI142" s="176" t="n"/>
      <c r="AJ142" s="176" t="n"/>
      <c r="AK142" s="176" t="n"/>
      <c r="AL142" s="176" t="n"/>
      <c r="AM142" s="176" t="n"/>
      <c r="AN142" s="176" t="n"/>
      <c r="AO142" s="176" t="n"/>
      <c r="AP142" s="176" t="n"/>
      <c r="AQ142" s="176" t="n"/>
      <c r="AR142" s="176" t="n"/>
      <c r="AS142" s="176" t="n"/>
      <c r="AT142" s="176" t="n"/>
      <c r="AU142" s="176" t="n"/>
      <c r="AV142" s="176" t="n"/>
      <c r="AW142" s="176" t="n"/>
      <c r="AX142" s="176" t="n"/>
      <c r="AY142" s="176" t="n"/>
      <c r="AZ142" s="176" t="n"/>
      <c r="BA142" s="176" t="n"/>
      <c r="BB142" s="176" t="n"/>
      <c r="BC142" s="176" t="n"/>
      <c r="BD142" s="176" t="n"/>
      <c r="BE142" s="176" t="n"/>
      <c r="BF142" s="176" t="n"/>
      <c r="BG142" s="176" t="n"/>
      <c r="BH142" s="176" t="n"/>
      <c r="BI142" s="176" t="n"/>
      <c r="BJ142" s="176" t="n"/>
      <c r="BK142" s="176" t="n"/>
      <c r="BL142" s="176" t="n"/>
      <c r="BM142" s="176" t="n"/>
      <c r="BN142" s="176" t="n"/>
      <c r="BO142" s="176" t="n"/>
      <c r="BP142" s="176" t="n"/>
      <c r="BQ142" s="176" t="n"/>
      <c r="BR142" s="176" t="n"/>
      <c r="BS142" s="176" t="n"/>
      <c r="BT142" s="176" t="n"/>
      <c r="BU142" s="176" t="n"/>
      <c r="BV142" s="176" t="n"/>
      <c r="BW142" s="176" t="n"/>
      <c r="BX142" s="176" t="n"/>
      <c r="BY142" s="176" t="n"/>
      <c r="BZ142" s="176" t="n"/>
      <c r="CA142" s="176" t="n"/>
      <c r="CB142" s="176" t="n"/>
      <c r="CC142" s="176" t="n"/>
      <c r="CD142" s="176" t="n"/>
      <c r="CE142" s="176" t="n"/>
      <c r="CF142" s="176" t="n"/>
      <c r="CG142" s="176" t="n"/>
      <c r="CH142" s="176" t="n"/>
      <c r="CI142" s="176" t="n"/>
      <c r="CJ142" s="176" t="n"/>
      <c r="CK142" s="176" t="n"/>
      <c r="CL142" s="176" t="n"/>
      <c r="CM142" s="176" t="n"/>
      <c r="CN142" s="176" t="n"/>
      <c r="CO142" s="176" t="n"/>
      <c r="CP142" s="176" t="n"/>
      <c r="CQ142" s="176" t="n"/>
      <c r="CR142" s="176" t="n"/>
      <c r="CS142" s="176" t="n"/>
      <c r="CT142" s="176" t="n"/>
      <c r="CU142" s="176" t="n"/>
      <c r="CV142" s="176" t="n"/>
      <c r="CW142" s="176" t="n"/>
      <c r="CX142" s="176" t="n"/>
      <c r="CY142" s="176" t="n"/>
      <c r="CZ142" s="176" t="n"/>
      <c r="DA142" s="181" t="inlineStr">
        <is>
          <t>TIPO</t>
        </is>
      </c>
      <c r="DB142" s="182" t="n"/>
      <c r="DC142" s="182" t="n"/>
      <c r="DD142" s="183" t="n"/>
      <c r="DE142" s="181" t="inlineStr">
        <is>
          <t>MESTRE VIU</t>
        </is>
      </c>
      <c r="DF142" s="183" t="n"/>
      <c r="DG142" s="176" t="n"/>
      <c r="DH142" s="176" t="n"/>
      <c r="DI142" s="181" t="inlineStr">
        <is>
          <t>TIPO</t>
        </is>
      </c>
      <c r="DJ142" s="182" t="n"/>
      <c r="DK142" s="182" t="n"/>
      <c r="DL142" s="183" t="n"/>
      <c r="DM142" s="181" t="inlineStr">
        <is>
          <t>MESTRE VIU</t>
        </is>
      </c>
      <c r="DN142" s="183" t="n"/>
      <c r="DO142" s="176" t="n"/>
      <c r="DP142" s="176" t="n"/>
      <c r="DQ142" s="176" t="n"/>
      <c r="DR142" s="176" t="n"/>
      <c r="DS142" s="176" t="n"/>
      <c r="DT142" s="176" t="n"/>
      <c r="DU142" s="176" t="n"/>
      <c r="DV142" s="176" t="n"/>
      <c r="DW142" s="176" t="n"/>
      <c r="DX142" s="176" t="n"/>
      <c r="DY142" s="176" t="n"/>
      <c r="DZ142" s="176" t="n"/>
      <c r="EA142" s="176" t="n"/>
      <c r="EB142" s="176" t="n"/>
      <c r="EC142" s="176" t="n"/>
      <c r="ED142" s="176" t="n"/>
      <c r="EE142" s="176" t="n"/>
      <c r="EF142" s="176" t="n"/>
      <c r="EG142" s="176" t="n"/>
      <c r="EH142" s="176" t="n"/>
      <c r="EI142" s="193" t="n"/>
      <c r="EN142" s="194" t="n"/>
      <c r="EO142" s="176" t="n"/>
      <c r="EP142" s="176" t="n"/>
      <c r="EQ142" s="193" t="n"/>
      <c r="EV142" s="194" t="n"/>
      <c r="EW142" s="176" t="n"/>
      <c r="EX142" s="176" t="n"/>
      <c r="EY142" s="176" t="n"/>
      <c r="EZ142" s="193" t="n"/>
      <c r="FE142" s="194" t="n"/>
      <c r="FF142" s="176" t="n"/>
      <c r="FG142" s="176" t="n"/>
      <c r="FH142" s="193" t="n"/>
      <c r="FM142" s="194" t="n"/>
      <c r="FN142" s="176" t="n"/>
      <c r="FO142" s="176" t="n"/>
      <c r="FP142" s="176" t="n"/>
      <c r="FQ142" s="176" t="n"/>
      <c r="FR142" s="176" t="n"/>
      <c r="FS142" s="176" t="n"/>
      <c r="FT142" s="176" t="n"/>
      <c r="FU142" s="176" t="n"/>
      <c r="FV142" s="176" t="n"/>
      <c r="FW142" s="176" t="n"/>
      <c r="FX142" s="176" t="n"/>
      <c r="FY142" s="176" t="n"/>
      <c r="FZ142" s="176" t="n"/>
      <c r="GA142" s="176" t="n"/>
      <c r="GB142" s="176" t="n"/>
      <c r="GC142" s="176" t="n"/>
      <c r="GD142" s="176" t="n"/>
      <c r="GE142" s="176" t="n"/>
      <c r="GF142" s="176" t="n"/>
      <c r="GG142" s="176" t="n"/>
      <c r="GH142" s="176" t="n"/>
      <c r="GI142" s="176" t="n"/>
      <c r="GJ142" s="176" t="n"/>
      <c r="GK142" s="176" t="n"/>
      <c r="GL142" s="176" t="n"/>
      <c r="GM142" s="176" t="n"/>
      <c r="GN142" s="176" t="n"/>
      <c r="GO142" s="176" t="n"/>
      <c r="GP142" s="176" t="n"/>
      <c r="GQ142" s="176" t="n"/>
      <c r="GR142" s="176" t="n"/>
      <c r="GS142" s="176" t="n"/>
      <c r="GT142" s="176" t="n"/>
      <c r="GU142" s="176" t="n"/>
      <c r="GV142" s="176" t="n"/>
      <c r="GW142" s="176" t="n"/>
      <c r="GX142" s="176" t="n"/>
      <c r="GY142" s="193" t="n"/>
      <c r="HD142" s="194" t="n"/>
      <c r="HE142" s="176" t="n"/>
      <c r="HF142" s="176" t="n"/>
      <c r="HG142" s="193" t="n"/>
      <c r="HL142" s="194" t="n"/>
      <c r="HM142" s="176" t="n"/>
      <c r="HN142" s="176" t="n"/>
      <c r="HO142" s="176" t="n"/>
      <c r="HP142" s="193" t="n"/>
      <c r="HU142" s="194" t="n"/>
      <c r="HV142" s="176" t="n"/>
      <c r="HW142" s="176" t="n"/>
      <c r="HX142" s="193" t="n"/>
      <c r="IC142" s="194" t="n"/>
      <c r="ID142" s="176" t="n"/>
    </row>
    <row r="143" ht="18.75" customHeight="1">
      <c r="A143" s="176" t="n"/>
      <c r="B143" s="176" t="n"/>
      <c r="C143" s="185" t="inlineStr">
        <is>
          <t>Abertas · Invocação Principal</t>
        </is>
      </c>
      <c r="D143" s="182" t="n"/>
      <c r="E143" s="183" t="n"/>
      <c r="F143" s="186" t="n">
        <v>5</v>
      </c>
      <c r="G143" s="186" t="n"/>
      <c r="H143" s="186">
        <f>IF(ISBLANK(G143),F143,IF(IFERROR(AND(ISNUMBER(G143),G143&gt;=0,G143&lt;=9,INT(G143)=G143),FALSE),G143,NA()))</f>
        <v/>
      </c>
      <c r="I143" s="176" t="n"/>
      <c r="J143" s="176" t="n"/>
      <c r="K143" s="176" t="n"/>
      <c r="L143" s="176" t="n"/>
      <c r="M143" s="176" t="n"/>
      <c r="N143" s="176" t="n"/>
      <c r="O143" s="176" t="n"/>
      <c r="P143" s="176" t="n"/>
      <c r="Q143" s="176" t="n"/>
      <c r="R143" s="176" t="n"/>
      <c r="S143" s="176" t="n"/>
      <c r="T143" s="181">
        <f>SWITCH('CONFIGURAÇÃO'!$T$130,"Origem","","Marcante","","Menor","","Arma","ALCANCE","Escudo","VOLUME","Uniforme","VOLUME","Item comum","","Ferramenta amaldiçoada","PREÇO","")</f>
        <v/>
      </c>
      <c r="U143" s="183" t="n"/>
      <c r="V143" s="185" t="n"/>
      <c r="W143" s="182" t="n"/>
      <c r="X143" s="182" t="n"/>
      <c r="Y143" s="183" t="n"/>
      <c r="Z143" s="176" t="n"/>
      <c r="AA143" s="176" t="n"/>
      <c r="AB143" s="181">
        <f>SWITCH('CONFIGURAÇÃO'!$AB$130,"Origem","","Marcante","","Menor","","Arma","ALCANCE","Escudo","VOLUME","Uniforme","VOLUME","Item comum","","Ferramenta amaldiçoada","PREÇO","")</f>
        <v/>
      </c>
      <c r="AC143" s="183" t="n"/>
      <c r="AD143" s="185" t="n"/>
      <c r="AE143" s="182" t="n"/>
      <c r="AF143" s="182" t="n"/>
      <c r="AG143" s="183" t="n"/>
      <c r="AH143" s="176" t="n"/>
      <c r="AI143" s="176" t="n"/>
      <c r="AJ143" s="176" t="n"/>
      <c r="AK143" s="176" t="n"/>
      <c r="AL143" s="176" t="n"/>
      <c r="AM143" s="176" t="n"/>
      <c r="AN143" s="176" t="n"/>
      <c r="AO143" s="176" t="n"/>
      <c r="AP143" s="176" t="n"/>
      <c r="AQ143" s="176" t="n"/>
      <c r="AR143" s="176" t="n"/>
      <c r="AS143" s="176" t="n"/>
      <c r="AT143" s="176" t="n"/>
      <c r="AU143" s="176" t="n"/>
      <c r="AV143" s="176" t="n"/>
      <c r="AW143" s="176" t="n"/>
      <c r="AX143" s="176" t="n"/>
      <c r="AY143" s="176" t="n"/>
      <c r="AZ143" s="176" t="n"/>
      <c r="BA143" s="176" t="n"/>
      <c r="BB143" s="176" t="n"/>
      <c r="BC143" s="176" t="n"/>
      <c r="BD143" s="176" t="n"/>
      <c r="BE143" s="176" t="n"/>
      <c r="BF143" s="176" t="n"/>
      <c r="BG143" s="176" t="n"/>
      <c r="BH143" s="176" t="n"/>
      <c r="BI143" s="176" t="n"/>
      <c r="BJ143" s="176" t="n"/>
      <c r="BK143" s="176" t="n"/>
      <c r="BL143" s="176" t="n"/>
      <c r="BM143" s="176" t="n"/>
      <c r="BN143" s="176" t="n"/>
      <c r="BO143" s="176" t="n"/>
      <c r="BP143" s="176" t="n"/>
      <c r="BQ143" s="176" t="n"/>
      <c r="BR143" s="176" t="n"/>
      <c r="BS143" s="176" t="n"/>
      <c r="BT143" s="176" t="n"/>
      <c r="BU143" s="176" t="n"/>
      <c r="BV143" s="176" t="n"/>
      <c r="BW143" s="176" t="n"/>
      <c r="BX143" s="176" t="n"/>
      <c r="BY143" s="176" t="n"/>
      <c r="BZ143" s="176" t="n"/>
      <c r="CA143" s="176" t="n"/>
      <c r="CB143" s="176" t="n"/>
      <c r="CC143" s="176" t="n"/>
      <c r="CD143" s="176" t="n"/>
      <c r="CE143" s="176" t="n"/>
      <c r="CF143" s="176" t="n"/>
      <c r="CG143" s="176" t="n"/>
      <c r="CH143" s="176" t="n"/>
      <c r="CI143" s="176" t="n"/>
      <c r="CJ143" s="176" t="n"/>
      <c r="CK143" s="176" t="n"/>
      <c r="CL143" s="176" t="n"/>
      <c r="CM143" s="176" t="n"/>
      <c r="CN143" s="176" t="n"/>
      <c r="CO143" s="176" t="n"/>
      <c r="CP143" s="176" t="n"/>
      <c r="CQ143" s="176" t="n"/>
      <c r="CR143" s="176" t="n"/>
      <c r="CS143" s="176" t="n"/>
      <c r="CT143" s="176" t="n"/>
      <c r="CU143" s="176" t="n"/>
      <c r="CV143" s="176" t="n"/>
      <c r="CW143" s="176" t="n"/>
      <c r="CX143" s="176" t="n"/>
      <c r="CY143" s="176" t="n"/>
      <c r="CZ143" s="176" t="n"/>
      <c r="DA143" s="185" t="inlineStr">
        <is>
          <t>Melhoria</t>
        </is>
      </c>
      <c r="DB143" s="182" t="n"/>
      <c r="DC143" s="182" t="n"/>
      <c r="DD143" s="183" t="n"/>
      <c r="DE143" s="184" t="b">
        <v>0</v>
      </c>
      <c r="DF143" s="183" t="n"/>
      <c r="DG143" s="176" t="n"/>
      <c r="DH143" s="176" t="n"/>
      <c r="DI143" s="185" t="inlineStr">
        <is>
          <t>Melhoria</t>
        </is>
      </c>
      <c r="DJ143" s="182" t="n"/>
      <c r="DK143" s="182" t="n"/>
      <c r="DL143" s="183" t="n"/>
      <c r="DM143" s="184" t="b">
        <v>0</v>
      </c>
      <c r="DN143" s="183" t="n"/>
      <c r="DO143" s="176" t="n"/>
      <c r="DP143" s="176" t="n"/>
      <c r="DQ143" s="176" t="n"/>
      <c r="DR143" s="179" t="inlineStr">
        <is>
          <t>RESTRIÇÃO · 13</t>
        </is>
      </c>
      <c r="DX143" s="176" t="n"/>
      <c r="DY143" s="176" t="n"/>
      <c r="DZ143" s="179" t="inlineStr">
        <is>
          <t>RESTRIÇÃO · 14</t>
        </is>
      </c>
      <c r="EF143" s="176" t="n"/>
      <c r="EG143" s="176" t="n"/>
      <c r="EH143" s="176" t="n"/>
      <c r="EI143" s="193" t="n"/>
      <c r="EN143" s="194" t="n"/>
      <c r="EO143" s="176" t="n"/>
      <c r="EP143" s="176" t="n"/>
      <c r="EQ143" s="193" t="n"/>
      <c r="EV143" s="194" t="n"/>
      <c r="EW143" s="176" t="n"/>
      <c r="EX143" s="176" t="n"/>
      <c r="EY143" s="176" t="n"/>
      <c r="EZ143" s="193" t="n"/>
      <c r="FE143" s="194" t="n"/>
      <c r="FF143" s="176" t="n"/>
      <c r="FG143" s="176" t="n"/>
      <c r="FH143" s="193" t="n"/>
      <c r="FM143" s="194" t="n"/>
      <c r="FN143" s="176" t="n"/>
      <c r="FO143" s="176" t="n"/>
      <c r="FP143" s="176" t="n"/>
      <c r="FQ143" s="176" t="n"/>
      <c r="FR143" s="176" t="n"/>
      <c r="FS143" s="176" t="n"/>
      <c r="FT143" s="176" t="n"/>
      <c r="FU143" s="176" t="n"/>
      <c r="FV143" s="176" t="n"/>
      <c r="FW143" s="176" t="n"/>
      <c r="FX143" s="176" t="n"/>
      <c r="FY143" s="176" t="n"/>
      <c r="FZ143" s="176" t="n"/>
      <c r="GA143" s="176" t="n"/>
      <c r="GB143" s="176" t="n"/>
      <c r="GC143" s="176" t="n"/>
      <c r="GD143" s="176" t="n"/>
      <c r="GE143" s="176" t="n"/>
      <c r="GF143" s="176" t="n"/>
      <c r="GG143" s="176" t="n"/>
      <c r="GH143" s="176" t="n"/>
      <c r="GI143" s="176" t="n"/>
      <c r="GJ143" s="176" t="n"/>
      <c r="GK143" s="176" t="n"/>
      <c r="GL143" s="176" t="n"/>
      <c r="GM143" s="176" t="n"/>
      <c r="GN143" s="176" t="n"/>
      <c r="GO143" s="176" t="n"/>
      <c r="GP143" s="176" t="n"/>
      <c r="GQ143" s="176" t="n"/>
      <c r="GR143" s="176" t="n"/>
      <c r="GS143" s="176" t="n"/>
      <c r="GT143" s="176" t="n"/>
      <c r="GU143" s="176" t="n"/>
      <c r="GV143" s="176" t="n"/>
      <c r="GW143" s="176" t="n"/>
      <c r="GX143" s="176" t="n"/>
      <c r="GY143" s="193" t="n"/>
      <c r="HD143" s="194" t="n"/>
      <c r="HE143" s="176" t="n"/>
      <c r="HF143" s="176" t="n"/>
      <c r="HG143" s="193" t="n"/>
      <c r="HL143" s="194" t="n"/>
      <c r="HM143" s="176" t="n"/>
      <c r="HN143" s="176" t="n"/>
      <c r="HO143" s="176" t="n"/>
      <c r="HP143" s="193" t="n"/>
      <c r="HU143" s="194" t="n"/>
      <c r="HV143" s="176" t="n"/>
      <c r="HW143" s="176" t="n"/>
      <c r="HX143" s="193" t="n"/>
      <c r="IC143" s="194" t="n"/>
      <c r="ID143" s="176" t="n"/>
    </row>
    <row r="144" ht="18.75" customHeight="1">
      <c r="A144" s="176" t="n"/>
      <c r="B144" s="176" t="n"/>
      <c r="C144" s="185" t="inlineStr">
        <is>
          <t>Livres · Invocação Principal</t>
        </is>
      </c>
      <c r="D144" s="182" t="n"/>
      <c r="E144" s="183" t="n"/>
      <c r="F144" s="186" t="n">
        <v>2</v>
      </c>
      <c r="G144" s="186" t="n"/>
      <c r="H144" s="186">
        <f>IF(ISBLANK(G144),F144,IF(IFERROR(AND(ISNUMBER(G144),G144&gt;=0,G144&lt;=9,INT(G144)=G144),FALSE),G144,NA()))</f>
        <v/>
      </c>
      <c r="I144" s="176" t="n"/>
      <c r="J144" s="176" t="n"/>
      <c r="K144" s="176" t="n"/>
      <c r="L144" s="176" t="n"/>
      <c r="M144" s="176" t="n"/>
      <c r="N144" s="176" t="n"/>
      <c r="O144" s="176" t="n"/>
      <c r="P144" s="176" t="n"/>
      <c r="Q144" s="176" t="n"/>
      <c r="R144" s="176" t="n"/>
      <c r="S144" s="176" t="n"/>
      <c r="T144" s="181">
        <f>SWITCH('CONFIGURAÇÃO'!$T$130,"Origem","","Marcante","","Menor","","Arma","RECARGA","Escudo","PREÇO","Uniforme","PREÇO","Item comum","","Ferramenta amaldiçoada","","")</f>
        <v/>
      </c>
      <c r="U144" s="183" t="n"/>
      <c r="V144" s="185" t="n"/>
      <c r="W144" s="182" t="n"/>
      <c r="X144" s="182" t="n"/>
      <c r="Y144" s="183" t="n"/>
      <c r="Z144" s="176" t="n"/>
      <c r="AA144" s="176" t="n"/>
      <c r="AB144" s="181">
        <f>SWITCH('CONFIGURAÇÃO'!$AB$130,"Origem","","Marcante","","Menor","","Arma","RECARGA","Escudo","PREÇO","Uniforme","PREÇO","Item comum","","Ferramenta amaldiçoada","","")</f>
        <v/>
      </c>
      <c r="AC144" s="183" t="n"/>
      <c r="AD144" s="185" t="n"/>
      <c r="AE144" s="182" t="n"/>
      <c r="AF144" s="182" t="n"/>
      <c r="AG144" s="183" t="n"/>
      <c r="AH144" s="176" t="n"/>
      <c r="AI144" s="176" t="n"/>
      <c r="AJ144" s="176" t="n"/>
      <c r="AK144" s="176" t="n"/>
      <c r="AL144" s="176" t="n"/>
      <c r="AM144" s="176" t="n"/>
      <c r="AN144" s="176" t="n"/>
      <c r="AO144" s="176" t="n"/>
      <c r="AP144" s="176" t="n"/>
      <c r="AQ144" s="176" t="n"/>
      <c r="AR144" s="176" t="n"/>
      <c r="AS144" s="176" t="n"/>
      <c r="AT144" s="176" t="n"/>
      <c r="AU144" s="176" t="n"/>
      <c r="AV144" s="176" t="n"/>
      <c r="AW144" s="176" t="n"/>
      <c r="AX144" s="176" t="n"/>
      <c r="AY144" s="176" t="n"/>
      <c r="AZ144" s="176" t="n"/>
      <c r="BA144" s="176" t="n"/>
      <c r="BB144" s="176" t="n"/>
      <c r="BC144" s="176" t="n"/>
      <c r="BD144" s="176" t="n"/>
      <c r="BE144" s="176" t="n"/>
      <c r="BF144" s="176" t="n"/>
      <c r="BG144" s="176" t="n"/>
      <c r="BH144" s="176" t="n"/>
      <c r="BI144" s="176" t="n"/>
      <c r="BJ144" s="176" t="n"/>
      <c r="BK144" s="176" t="n"/>
      <c r="BL144" s="176" t="n"/>
      <c r="BM144" s="176" t="n"/>
      <c r="BN144" s="176" t="n"/>
      <c r="BO144" s="176" t="n"/>
      <c r="BP144" s="176" t="n"/>
      <c r="BQ144" s="176" t="n"/>
      <c r="BR144" s="176" t="n"/>
      <c r="BS144" s="176" t="n"/>
      <c r="BT144" s="176" t="n"/>
      <c r="BU144" s="176" t="n"/>
      <c r="BV144" s="176" t="n"/>
      <c r="BW144" s="176" t="n"/>
      <c r="BX144" s="176" t="n"/>
      <c r="BY144" s="176" t="n"/>
      <c r="BZ144" s="176" t="n"/>
      <c r="CA144" s="176" t="n"/>
      <c r="CB144" s="176" t="n"/>
      <c r="CC144" s="176" t="n"/>
      <c r="CD144" s="176" t="n"/>
      <c r="CE144" s="176" t="n"/>
      <c r="CF144" s="176" t="n"/>
      <c r="CG144" s="176" t="n"/>
      <c r="CH144" s="176" t="n"/>
      <c r="CI144" s="176" t="n"/>
      <c r="CJ144" s="176" t="n"/>
      <c r="CK144" s="176" t="n"/>
      <c r="CL144" s="176" t="n"/>
      <c r="CM144" s="176" t="n"/>
      <c r="CN144" s="176" t="n"/>
      <c r="CO144" s="176" t="n"/>
      <c r="CP144" s="176" t="n"/>
      <c r="CQ144" s="176" t="n"/>
      <c r="CR144" s="176" t="n"/>
      <c r="CS144" s="176" t="n"/>
      <c r="CT144" s="176" t="n"/>
      <c r="CU144" s="176" t="n"/>
      <c r="CV144" s="176" t="n"/>
      <c r="CW144" s="176" t="n"/>
      <c r="CX144" s="176" t="n"/>
      <c r="CY144" s="176" t="n"/>
      <c r="CZ144" s="176" t="n"/>
      <c r="DA144" s="181" t="inlineStr">
        <is>
          <t>NOME</t>
        </is>
      </c>
      <c r="DB144" s="182" t="n"/>
      <c r="DC144" s="182" t="n"/>
      <c r="DD144" s="182" t="n"/>
      <c r="DE144" s="182" t="n"/>
      <c r="DF144" s="183" t="n"/>
      <c r="DG144" s="176" t="n"/>
      <c r="DH144" s="176" t="n"/>
      <c r="DI144" s="181" t="inlineStr">
        <is>
          <t>NOME</t>
        </is>
      </c>
      <c r="DJ144" s="182" t="n"/>
      <c r="DK144" s="182" t="n"/>
      <c r="DL144" s="182" t="n"/>
      <c r="DM144" s="182" t="n"/>
      <c r="DN144" s="183" t="n"/>
      <c r="DO144" s="176" t="n"/>
      <c r="DP144" s="176" t="n"/>
      <c r="DQ144" s="176" t="n"/>
      <c r="DR144" s="181" t="inlineStr">
        <is>
          <t>TIPO</t>
        </is>
      </c>
      <c r="DS144" s="182" t="n"/>
      <c r="DT144" s="182" t="n"/>
      <c r="DU144" s="183" t="n"/>
      <c r="DV144" s="181" t="inlineStr">
        <is>
          <t>MESTRE VIU</t>
        </is>
      </c>
      <c r="DW144" s="183" t="n"/>
      <c r="DX144" s="176" t="n"/>
      <c r="DY144" s="176" t="n"/>
      <c r="DZ144" s="181" t="inlineStr">
        <is>
          <t>TIPO</t>
        </is>
      </c>
      <c r="EA144" s="182" t="n"/>
      <c r="EB144" s="182" t="n"/>
      <c r="EC144" s="183" t="n"/>
      <c r="ED144" s="181" t="inlineStr">
        <is>
          <t>MESTRE VIU</t>
        </is>
      </c>
      <c r="EE144" s="183" t="n"/>
      <c r="EF144" s="176" t="n"/>
      <c r="EG144" s="176" t="n"/>
      <c r="EH144" s="176" t="n"/>
      <c r="EI144" s="193" t="n"/>
      <c r="EN144" s="194" t="n"/>
      <c r="EO144" s="176" t="n"/>
      <c r="EP144" s="176" t="n"/>
      <c r="EQ144" s="193" t="n"/>
      <c r="EV144" s="194" t="n"/>
      <c r="EW144" s="176" t="n"/>
      <c r="EX144" s="176" t="n"/>
      <c r="EY144" s="176" t="n"/>
      <c r="EZ144" s="189" t="n"/>
      <c r="FA144" s="190" t="n"/>
      <c r="FB144" s="190" t="n"/>
      <c r="FC144" s="190" t="n"/>
      <c r="FD144" s="190" t="n"/>
      <c r="FE144" s="191" t="n"/>
      <c r="FF144" s="176" t="n"/>
      <c r="FG144" s="176" t="n"/>
      <c r="FH144" s="189" t="n"/>
      <c r="FI144" s="190" t="n"/>
      <c r="FJ144" s="190" t="n"/>
      <c r="FK144" s="190" t="n"/>
      <c r="FL144" s="190" t="n"/>
      <c r="FM144" s="191" t="n"/>
      <c r="FN144" s="176" t="n"/>
      <c r="FO144" s="176" t="n"/>
      <c r="FP144" s="176" t="n"/>
      <c r="FQ144" s="180">
        <f>IF('DADOS_APTIDOES'!$K10="","","⚠ "&amp;'DADOS_APTIDOES'!$K10)</f>
        <v/>
      </c>
      <c r="FW144" s="176" t="n"/>
      <c r="FX144" s="176" t="n"/>
      <c r="FY144" s="180">
        <f>IF('DADOS_APTIDOES'!$K11="","","⚠ "&amp;'DADOS_APTIDOES'!$K11)</f>
        <v/>
      </c>
      <c r="GE144" s="176" t="n"/>
      <c r="GF144" s="176" t="n"/>
      <c r="GG144" s="176" t="n"/>
      <c r="GH144" s="176" t="n"/>
      <c r="GI144" s="176" t="n"/>
      <c r="GJ144" s="176" t="n"/>
      <c r="GK144" s="176" t="n"/>
      <c r="GL144" s="176" t="n"/>
      <c r="GM144" s="176" t="n"/>
      <c r="GN144" s="176" t="n"/>
      <c r="GO144" s="176" t="n"/>
      <c r="GP144" s="176" t="n"/>
      <c r="GQ144" s="176" t="n"/>
      <c r="GR144" s="176" t="n"/>
      <c r="GS144" s="176" t="n"/>
      <c r="GT144" s="176" t="n"/>
      <c r="GU144" s="176" t="n"/>
      <c r="GV144" s="176" t="n"/>
      <c r="GW144" s="176" t="n"/>
      <c r="GX144" s="176" t="n"/>
      <c r="GY144" s="193" t="n"/>
      <c r="HD144" s="194" t="n"/>
      <c r="HE144" s="176" t="n"/>
      <c r="HF144" s="176" t="n"/>
      <c r="HG144" s="193" t="n"/>
      <c r="HL144" s="194" t="n"/>
      <c r="HM144" s="176" t="n"/>
      <c r="HN144" s="176" t="n"/>
      <c r="HO144" s="176" t="n"/>
      <c r="HP144" s="193" t="n"/>
      <c r="HU144" s="194" t="n"/>
      <c r="HV144" s="176" t="n"/>
      <c r="HW144" s="176" t="n"/>
      <c r="HX144" s="193" t="n"/>
      <c r="IC144" s="194" t="n"/>
      <c r="ID144" s="176" t="n"/>
    </row>
    <row r="145" ht="18.75" customHeight="1">
      <c r="A145" s="176" t="n"/>
      <c r="B145" s="176" t="n"/>
      <c r="C145" s="185" t="inlineStr">
        <is>
          <t>Não autônoma · Livres adicionais</t>
        </is>
      </c>
      <c r="D145" s="182" t="n"/>
      <c r="E145" s="183" t="n"/>
      <c r="F145" s="186" t="n">
        <v>1</v>
      </c>
      <c r="G145" s="186" t="n"/>
      <c r="H145" s="186">
        <f>IF(ISBLANK(G145),F145,IF(IFERROR(AND(ISNUMBER(G145),G145&gt;=0,G145&lt;=9,INT(G145)=G145),FALSE),G145,NA()))</f>
        <v/>
      </c>
      <c r="I145" s="176" t="n"/>
      <c r="J145" s="176" t="n"/>
      <c r="K145" s="176" t="n"/>
      <c r="L145" s="176" t="n"/>
      <c r="M145" s="176" t="n"/>
      <c r="N145" s="176" t="n"/>
      <c r="O145" s="176" t="n"/>
      <c r="P145" s="176" t="n"/>
      <c r="Q145" s="176" t="n"/>
      <c r="R145" s="176" t="n"/>
      <c r="S145" s="176" t="n"/>
      <c r="T145" s="181">
        <f>SWITCH('CONFIGURAÇÃO'!$T$130,"Origem","","Marcante","","Menor","","Arma","PREÇO","Escudo","","Uniforme","","Item comum","","Ferramenta amaldiçoada","","")</f>
        <v/>
      </c>
      <c r="U145" s="183" t="n"/>
      <c r="V145" s="185" t="n"/>
      <c r="W145" s="182" t="n"/>
      <c r="X145" s="182" t="n"/>
      <c r="Y145" s="183" t="n"/>
      <c r="Z145" s="176" t="n"/>
      <c r="AA145" s="176" t="n"/>
      <c r="AB145" s="181">
        <f>SWITCH('CONFIGURAÇÃO'!$AB$130,"Origem","","Marcante","","Menor","","Arma","PREÇO","Escudo","","Uniforme","","Item comum","","Ferramenta amaldiçoada","","")</f>
        <v/>
      </c>
      <c r="AC145" s="183" t="n"/>
      <c r="AD145" s="185" t="n"/>
      <c r="AE145" s="182" t="n"/>
      <c r="AF145" s="182" t="n"/>
      <c r="AG145" s="183" t="n"/>
      <c r="AH145" s="176" t="n"/>
      <c r="AI145" s="176" t="n"/>
      <c r="AJ145" s="176" t="n"/>
      <c r="AK145" s="176" t="n"/>
      <c r="AL145" s="176" t="n"/>
      <c r="AM145" s="176" t="n"/>
      <c r="AN145" s="176" t="n"/>
      <c r="AO145" s="176" t="n"/>
      <c r="AP145" s="176" t="n"/>
      <c r="AQ145" s="176" t="n"/>
      <c r="AR145" s="176" t="n"/>
      <c r="AS145" s="176" t="n"/>
      <c r="AT145" s="176" t="n"/>
      <c r="AU145" s="176" t="n"/>
      <c r="AV145" s="176" t="n"/>
      <c r="AW145" s="176" t="n"/>
      <c r="AX145" s="176" t="n"/>
      <c r="AY145" s="176" t="n"/>
      <c r="AZ145" s="176" t="n"/>
      <c r="BA145" s="176" t="n"/>
      <c r="BB145" s="176" t="n"/>
      <c r="BC145" s="176" t="n"/>
      <c r="BD145" s="176" t="n"/>
      <c r="BE145" s="176" t="n"/>
      <c r="BF145" s="176" t="n"/>
      <c r="BG145" s="176" t="n"/>
      <c r="BH145" s="176" t="n"/>
      <c r="BI145" s="176" t="n"/>
      <c r="BJ145" s="176" t="n"/>
      <c r="BK145" s="176" t="n"/>
      <c r="BL145" s="176" t="n"/>
      <c r="BM145" s="176" t="n"/>
      <c r="BN145" s="176" t="n"/>
      <c r="BO145" s="176" t="n"/>
      <c r="BP145" s="176" t="n"/>
      <c r="BQ145" s="176" t="n"/>
      <c r="BR145" s="176" t="n"/>
      <c r="BS145" s="176" t="n"/>
      <c r="BT145" s="176" t="n"/>
      <c r="BU145" s="176" t="n"/>
      <c r="BV145" s="176" t="n"/>
      <c r="BW145" s="176" t="n"/>
      <c r="BX145" s="176" t="n"/>
      <c r="BY145" s="176" t="n"/>
      <c r="BZ145" s="176" t="n"/>
      <c r="CA145" s="176" t="n"/>
      <c r="CB145" s="176" t="n"/>
      <c r="CC145" s="176" t="n"/>
      <c r="CD145" s="176" t="n"/>
      <c r="CE145" s="176" t="n"/>
      <c r="CF145" s="176" t="n"/>
      <c r="CG145" s="176" t="n"/>
      <c r="CH145" s="176" t="n"/>
      <c r="CI145" s="176" t="n"/>
      <c r="CJ145" s="176" t="n"/>
      <c r="CK145" s="176" t="n"/>
      <c r="CL145" s="176" t="n"/>
      <c r="CM145" s="176" t="n"/>
      <c r="CN145" s="176" t="n"/>
      <c r="CO145" s="176" t="n"/>
      <c r="CP145" s="176" t="n"/>
      <c r="CQ145" s="176" t="n"/>
      <c r="CR145" s="176" t="n"/>
      <c r="CS145" s="176" t="n"/>
      <c r="CT145" s="176" t="n"/>
      <c r="CU145" s="176" t="n"/>
      <c r="CV145" s="176" t="n"/>
      <c r="CW145" s="176" t="n"/>
      <c r="CX145" s="176" t="n"/>
      <c r="CY145" s="176" t="n"/>
      <c r="CZ145" s="176" t="n"/>
      <c r="DA145" s="185" t="n"/>
      <c r="DB145" s="182" t="n"/>
      <c r="DC145" s="182" t="n"/>
      <c r="DD145" s="182" t="n"/>
      <c r="DE145" s="182" t="n"/>
      <c r="DF145" s="183" t="n"/>
      <c r="DG145" s="176" t="n"/>
      <c r="DH145" s="176" t="n"/>
      <c r="DI145" s="185" t="n"/>
      <c r="DJ145" s="182" t="n"/>
      <c r="DK145" s="182" t="n"/>
      <c r="DL145" s="182" t="n"/>
      <c r="DM145" s="182" t="n"/>
      <c r="DN145" s="183" t="n"/>
      <c r="DO145" s="176" t="n"/>
      <c r="DP145" s="176" t="n"/>
      <c r="DQ145" s="176" t="n"/>
      <c r="DR145" s="185" t="inlineStr">
        <is>
          <t>Restrição</t>
        </is>
      </c>
      <c r="DS145" s="182" t="n"/>
      <c r="DT145" s="182" t="n"/>
      <c r="DU145" s="183" t="n"/>
      <c r="DV145" s="184" t="b">
        <v>0</v>
      </c>
      <c r="DW145" s="183" t="n"/>
      <c r="DX145" s="176" t="n"/>
      <c r="DY145" s="176" t="n"/>
      <c r="DZ145" s="185" t="inlineStr">
        <is>
          <t>Restrição</t>
        </is>
      </c>
      <c r="EA145" s="182" t="n"/>
      <c r="EB145" s="182" t="n"/>
      <c r="EC145" s="183" t="n"/>
      <c r="ED145" s="184" t="b">
        <v>0</v>
      </c>
      <c r="EE145" s="183" t="n"/>
      <c r="EF145" s="176" t="n"/>
      <c r="EG145" s="176" t="n"/>
      <c r="EH145" s="176" t="n"/>
      <c r="EI145" s="193" t="n"/>
      <c r="EN145" s="194" t="n"/>
      <c r="EO145" s="176" t="n"/>
      <c r="EP145" s="176" t="n"/>
      <c r="EQ145" s="193" t="n"/>
      <c r="EV145" s="194" t="n"/>
      <c r="EW145" s="176" t="n"/>
      <c r="EX145" s="176" t="n"/>
      <c r="EY145" s="176" t="n"/>
      <c r="EZ145" s="176" t="n"/>
      <c r="FA145" s="176" t="n"/>
      <c r="FB145" s="176" t="n"/>
      <c r="FC145" s="176" t="n"/>
      <c r="FD145" s="176" t="n"/>
      <c r="FE145" s="176" t="n"/>
      <c r="FF145" s="176" t="n"/>
      <c r="FG145" s="176" t="n"/>
      <c r="FH145" s="176" t="n"/>
      <c r="FI145" s="176" t="n"/>
      <c r="FJ145" s="176" t="n"/>
      <c r="FK145" s="176" t="n"/>
      <c r="FL145" s="176" t="n"/>
      <c r="FM145" s="176" t="n"/>
      <c r="FN145" s="176" t="n"/>
      <c r="FO145" s="176" t="n"/>
      <c r="FP145" s="176" t="n"/>
      <c r="FW145" s="176" t="n"/>
      <c r="FX145" s="176" t="n"/>
      <c r="GE145" s="176" t="n"/>
      <c r="GF145" s="176" t="n"/>
      <c r="GG145" s="176" t="n"/>
      <c r="GH145" s="176" t="n"/>
      <c r="GI145" s="176" t="n"/>
      <c r="GJ145" s="176" t="n"/>
      <c r="GK145" s="176" t="n"/>
      <c r="GL145" s="176" t="n"/>
      <c r="GM145" s="176" t="n"/>
      <c r="GN145" s="176" t="n"/>
      <c r="GO145" s="176" t="n"/>
      <c r="GP145" s="176" t="n"/>
      <c r="GQ145" s="176" t="n"/>
      <c r="GR145" s="176" t="n"/>
      <c r="GS145" s="176" t="n"/>
      <c r="GT145" s="176" t="n"/>
      <c r="GU145" s="176" t="n"/>
      <c r="GV145" s="176" t="n"/>
      <c r="GW145" s="176" t="n"/>
      <c r="GX145" s="176" t="n"/>
      <c r="GY145" s="193" t="n"/>
      <c r="HD145" s="194" t="n"/>
      <c r="HE145" s="176" t="n"/>
      <c r="HF145" s="176" t="n"/>
      <c r="HG145" s="193" t="n"/>
      <c r="HL145" s="194" t="n"/>
      <c r="HM145" s="176" t="n"/>
      <c r="HN145" s="176" t="n"/>
      <c r="HO145" s="176" t="n"/>
      <c r="HP145" s="193" t="n"/>
      <c r="HU145" s="194" t="n"/>
      <c r="HV145" s="176" t="n"/>
      <c r="HW145" s="176" t="n"/>
      <c r="HX145" s="193" t="n"/>
      <c r="IC145" s="194" t="n"/>
      <c r="ID145" s="176" t="n"/>
    </row>
    <row r="146" ht="18.75" customHeight="1">
      <c r="A146" s="176" t="n"/>
      <c r="B146" s="176" t="n"/>
      <c r="C146" s="176" t="n"/>
      <c r="D146" s="176" t="n"/>
      <c r="E146" s="176" t="n"/>
      <c r="F146" s="176" t="n"/>
      <c r="G146" s="176" t="n"/>
      <c r="H146" s="176" t="n"/>
      <c r="I146" s="176" t="n"/>
      <c r="J146" s="176" t="n"/>
      <c r="K146" s="176" t="n"/>
      <c r="L146" s="176" t="n"/>
      <c r="M146" s="176" t="n"/>
      <c r="N146" s="176" t="n"/>
      <c r="O146" s="176" t="n"/>
      <c r="P146" s="176" t="n"/>
      <c r="Q146" s="176" t="n"/>
      <c r="R146" s="176" t="n"/>
      <c r="S146" s="176" t="n"/>
      <c r="T146" s="181" t="inlineStr">
        <is>
          <t>EFEITO · DESCRIÇÃO</t>
        </is>
      </c>
      <c r="U146" s="182" t="n"/>
      <c r="V146" s="182" t="n"/>
      <c r="W146" s="182" t="n"/>
      <c r="X146" s="182" t="n"/>
      <c r="Y146" s="183" t="n"/>
      <c r="Z146" s="176" t="n"/>
      <c r="AA146" s="176" t="n"/>
      <c r="AB146" s="181" t="inlineStr">
        <is>
          <t>EFEITO · DESCRIÇÃO</t>
        </is>
      </c>
      <c r="AC146" s="182" t="n"/>
      <c r="AD146" s="182" t="n"/>
      <c r="AE146" s="182" t="n"/>
      <c r="AF146" s="182" t="n"/>
      <c r="AG146" s="183" t="n"/>
      <c r="AH146" s="176" t="n"/>
      <c r="AI146" s="176" t="n"/>
      <c r="AJ146" s="176" t="n"/>
      <c r="AK146" s="176" t="n"/>
      <c r="AL146" s="176" t="n"/>
      <c r="AM146" s="176" t="n"/>
      <c r="AN146" s="176" t="n"/>
      <c r="AO146" s="176" t="n"/>
      <c r="AP146" s="176" t="n"/>
      <c r="AQ146" s="176" t="n"/>
      <c r="AR146" s="176" t="n"/>
      <c r="AS146" s="176" t="n"/>
      <c r="AT146" s="176" t="n"/>
      <c r="AU146" s="176" t="n"/>
      <c r="AV146" s="176" t="n"/>
      <c r="AW146" s="176" t="n"/>
      <c r="AX146" s="176" t="n"/>
      <c r="AY146" s="176" t="n"/>
      <c r="AZ146" s="176" t="n"/>
      <c r="BA146" s="176" t="n"/>
      <c r="BB146" s="176" t="n"/>
      <c r="BC146" s="176" t="n"/>
      <c r="BD146" s="176" t="n"/>
      <c r="BE146" s="176" t="n"/>
      <c r="BF146" s="176" t="n"/>
      <c r="BG146" s="176" t="n"/>
      <c r="BH146" s="176" t="n"/>
      <c r="BI146" s="176" t="n"/>
      <c r="BJ146" s="176" t="n"/>
      <c r="BK146" s="176" t="n"/>
      <c r="BL146" s="176" t="n"/>
      <c r="BM146" s="176" t="n"/>
      <c r="BN146" s="176" t="n"/>
      <c r="BO146" s="176" t="n"/>
      <c r="BP146" s="176" t="n"/>
      <c r="BQ146" s="176" t="n"/>
      <c r="BR146" s="176" t="n"/>
      <c r="BS146" s="176" t="n"/>
      <c r="BT146" s="176" t="n"/>
      <c r="BU146" s="176" t="n"/>
      <c r="BV146" s="176" t="n"/>
      <c r="BW146" s="176" t="n"/>
      <c r="BX146" s="176" t="n"/>
      <c r="BY146" s="176" t="n"/>
      <c r="BZ146" s="176" t="n"/>
      <c r="CA146" s="176" t="n"/>
      <c r="CB146" s="176" t="n"/>
      <c r="CC146" s="176" t="n"/>
      <c r="CD146" s="176" t="n"/>
      <c r="CE146" s="176" t="n"/>
      <c r="CF146" s="176" t="n"/>
      <c r="CG146" s="176" t="n"/>
      <c r="CH146" s="176" t="n"/>
      <c r="CI146" s="176" t="n"/>
      <c r="CJ146" s="176" t="n"/>
      <c r="CK146" s="176" t="n"/>
      <c r="CL146" s="176" t="n"/>
      <c r="CM146" s="176" t="n"/>
      <c r="CN146" s="176" t="n"/>
      <c r="CO146" s="176" t="n"/>
      <c r="CP146" s="176" t="n"/>
      <c r="CQ146" s="176" t="n"/>
      <c r="CR146" s="176" t="n"/>
      <c r="CS146" s="176" t="n"/>
      <c r="CT146" s="176" t="n"/>
      <c r="CU146" s="176" t="n"/>
      <c r="CV146" s="176" t="n"/>
      <c r="CW146" s="176" t="n"/>
      <c r="CX146" s="176" t="n"/>
      <c r="CY146" s="176" t="n"/>
      <c r="CZ146" s="176" t="n"/>
      <c r="DA146" s="181" t="inlineStr">
        <is>
          <t>BASE DO LIVRO</t>
        </is>
      </c>
      <c r="DB146" s="182" t="n"/>
      <c r="DC146" s="183" t="n"/>
      <c r="DD146" s="185" t="inlineStr">
        <is>
          <t>Nenhuma</t>
        </is>
      </c>
      <c r="DE146" s="182" t="n"/>
      <c r="DF146" s="183" t="n"/>
      <c r="DG146" s="176" t="n"/>
      <c r="DH146" s="176" t="n"/>
      <c r="DI146" s="181" t="inlineStr">
        <is>
          <t>BASE DO LIVRO</t>
        </is>
      </c>
      <c r="DJ146" s="182" t="n"/>
      <c r="DK146" s="183" t="n"/>
      <c r="DL146" s="185" t="inlineStr">
        <is>
          <t>Nenhuma</t>
        </is>
      </c>
      <c r="DM146" s="182" t="n"/>
      <c r="DN146" s="183" t="n"/>
      <c r="DO146" s="176" t="n"/>
      <c r="DP146" s="176" t="n"/>
      <c r="DQ146" s="176" t="n"/>
      <c r="DR146" s="181" t="inlineStr">
        <is>
          <t>NOME</t>
        </is>
      </c>
      <c r="DS146" s="182" t="n"/>
      <c r="DT146" s="182" t="n"/>
      <c r="DU146" s="182" t="n"/>
      <c r="DV146" s="182" t="n"/>
      <c r="DW146" s="183" t="n"/>
      <c r="DX146" s="176" t="n"/>
      <c r="DY146" s="176" t="n"/>
      <c r="DZ146" s="181" t="inlineStr">
        <is>
          <t>NOME</t>
        </is>
      </c>
      <c r="EA146" s="182" t="n"/>
      <c r="EB146" s="182" t="n"/>
      <c r="EC146" s="182" t="n"/>
      <c r="ED146" s="182" t="n"/>
      <c r="EE146" s="183" t="n"/>
      <c r="EF146" s="176" t="n"/>
      <c r="EG146" s="176" t="n"/>
      <c r="EH146" s="176" t="n"/>
      <c r="EI146" s="193" t="n"/>
      <c r="EN146" s="194" t="n"/>
      <c r="EO146" s="176" t="n"/>
      <c r="EP146" s="176" t="n"/>
      <c r="EQ146" s="193" t="n"/>
      <c r="EV146" s="194" t="n"/>
      <c r="EW146" s="176" t="n"/>
      <c r="EX146" s="176" t="n"/>
      <c r="EY146" s="176" t="n"/>
      <c r="EZ146" s="176" t="n"/>
      <c r="FA146" s="176" t="n"/>
      <c r="FB146" s="176" t="n"/>
      <c r="FC146" s="176" t="n"/>
      <c r="FD146" s="176" t="n"/>
      <c r="FE146" s="176" t="n"/>
      <c r="FF146" s="176" t="n"/>
      <c r="FG146" s="176" t="n"/>
      <c r="FH146" s="176" t="n"/>
      <c r="FI146" s="176" t="n"/>
      <c r="FJ146" s="176" t="n"/>
      <c r="FK146" s="176" t="n"/>
      <c r="FL146" s="176" t="n"/>
      <c r="FM146" s="176" t="n"/>
      <c r="FN146" s="176" t="n"/>
      <c r="FO146" s="176" t="n"/>
      <c r="FP146" s="176" t="n"/>
      <c r="FQ146" s="176" t="n"/>
      <c r="FR146" s="176" t="n"/>
      <c r="FS146" s="176" t="n"/>
      <c r="FT146" s="176" t="n"/>
      <c r="FU146" s="176" t="n"/>
      <c r="FV146" s="176" t="n"/>
      <c r="FW146" s="176" t="n"/>
      <c r="FX146" s="176" t="n"/>
      <c r="FY146" s="176" t="n"/>
      <c r="FZ146" s="176" t="n"/>
      <c r="GA146" s="176" t="n"/>
      <c r="GB146" s="176" t="n"/>
      <c r="GC146" s="176" t="n"/>
      <c r="GD146" s="176" t="n"/>
      <c r="GE146" s="176" t="n"/>
      <c r="GF146" s="176" t="n"/>
      <c r="GG146" s="176" t="n"/>
      <c r="GH146" s="176" t="n"/>
      <c r="GI146" s="176" t="n"/>
      <c r="GJ146" s="176" t="n"/>
      <c r="GK146" s="176" t="n"/>
      <c r="GL146" s="176" t="n"/>
      <c r="GM146" s="176" t="n"/>
      <c r="GN146" s="176" t="n"/>
      <c r="GO146" s="176" t="n"/>
      <c r="GP146" s="176" t="n"/>
      <c r="GQ146" s="176" t="n"/>
      <c r="GR146" s="176" t="n"/>
      <c r="GS146" s="176" t="n"/>
      <c r="GT146" s="176" t="n"/>
      <c r="GU146" s="176" t="n"/>
      <c r="GV146" s="176" t="n"/>
      <c r="GW146" s="176" t="n"/>
      <c r="GX146" s="176" t="n"/>
      <c r="GY146" s="193" t="n"/>
      <c r="HD146" s="194" t="n"/>
      <c r="HE146" s="176" t="n"/>
      <c r="HF146" s="176" t="n"/>
      <c r="HG146" s="193" t="n"/>
      <c r="HL146" s="194" t="n"/>
      <c r="HM146" s="176" t="n"/>
      <c r="HN146" s="176" t="n"/>
      <c r="HO146" s="176" t="n"/>
      <c r="HP146" s="193" t="n"/>
      <c r="HU146" s="194" t="n"/>
      <c r="HV146" s="176" t="n"/>
      <c r="HW146" s="176" t="n"/>
      <c r="HX146" s="193" t="n"/>
      <c r="IC146" s="194" t="n"/>
      <c r="ID146" s="176" t="n"/>
    </row>
    <row r="147" ht="18.75" customHeight="1">
      <c r="A147" s="176" t="n"/>
      <c r="B147" s="176" t="n"/>
      <c r="C147" s="180" t="inlineStr">
        <is>
          <t>Nove espaços não concedem nove Famílias. Livre conta como aberta. Limites incompatíveis ou acima da capacidade geram aviso na entidade.</t>
        </is>
      </c>
      <c r="I147" s="176" t="n"/>
      <c r="J147" s="176" t="n"/>
      <c r="K147" s="176" t="n"/>
      <c r="L147" s="176" t="n"/>
      <c r="M147" s="176" t="n"/>
      <c r="N147" s="176" t="n"/>
      <c r="O147" s="176" t="n"/>
      <c r="P147" s="176" t="n"/>
      <c r="Q147" s="176" t="n"/>
      <c r="R147" s="176" t="n"/>
      <c r="S147" s="176" t="n"/>
      <c r="T147" s="192" t="n"/>
      <c r="U147" s="187" t="n"/>
      <c r="V147" s="187" t="n"/>
      <c r="W147" s="187" t="n"/>
      <c r="X147" s="187" t="n"/>
      <c r="Y147" s="188" t="n"/>
      <c r="Z147" s="176" t="n"/>
      <c r="AA147" s="176" t="n"/>
      <c r="AB147" s="192" t="n"/>
      <c r="AC147" s="187" t="n"/>
      <c r="AD147" s="187" t="n"/>
      <c r="AE147" s="187" t="n"/>
      <c r="AF147" s="187" t="n"/>
      <c r="AG147" s="188" t="n"/>
      <c r="AH147" s="176" t="n"/>
      <c r="AI147" s="176" t="n"/>
      <c r="AJ147" s="176" t="n"/>
      <c r="AK147" s="176" t="n"/>
      <c r="AL147" s="176" t="n"/>
      <c r="AM147" s="176" t="n"/>
      <c r="AN147" s="176" t="n"/>
      <c r="AO147" s="176" t="n"/>
      <c r="AP147" s="176" t="n"/>
      <c r="AQ147" s="176" t="n"/>
      <c r="AR147" s="176" t="n"/>
      <c r="AS147" s="176" t="n"/>
      <c r="AT147" s="176" t="n"/>
      <c r="AU147" s="176" t="n"/>
      <c r="AV147" s="176" t="n"/>
      <c r="AW147" s="176" t="n"/>
      <c r="AX147" s="176" t="n"/>
      <c r="AY147" s="176" t="n"/>
      <c r="AZ147" s="176" t="n"/>
      <c r="BA147" s="176" t="n"/>
      <c r="BB147" s="176" t="n"/>
      <c r="BC147" s="176" t="n"/>
      <c r="BD147" s="176" t="n"/>
      <c r="BE147" s="176" t="n"/>
      <c r="BF147" s="176" t="n"/>
      <c r="BG147" s="176" t="n"/>
      <c r="BH147" s="176" t="n"/>
      <c r="BI147" s="176" t="n"/>
      <c r="BJ147" s="176" t="n"/>
      <c r="BK147" s="176" t="n"/>
      <c r="BL147" s="176" t="n"/>
      <c r="BM147" s="176" t="n"/>
      <c r="BN147" s="176" t="n"/>
      <c r="BO147" s="176" t="n"/>
      <c r="BP147" s="176" t="n"/>
      <c r="BQ147" s="176" t="n"/>
      <c r="BR147" s="176" t="n"/>
      <c r="BS147" s="176" t="n"/>
      <c r="BT147" s="176" t="n"/>
      <c r="BU147" s="176" t="n"/>
      <c r="BV147" s="176" t="n"/>
      <c r="BW147" s="176" t="n"/>
      <c r="BX147" s="176" t="n"/>
      <c r="BY147" s="176" t="n"/>
      <c r="BZ147" s="176" t="n"/>
      <c r="CA147" s="176" t="n"/>
      <c r="CB147" s="176" t="n"/>
      <c r="CC147" s="176" t="n"/>
      <c r="CD147" s="176" t="n"/>
      <c r="CE147" s="176" t="n"/>
      <c r="CF147" s="176" t="n"/>
      <c r="CG147" s="176" t="n"/>
      <c r="CH147" s="176" t="n"/>
      <c r="CI147" s="176" t="n"/>
      <c r="CJ147" s="176" t="n"/>
      <c r="CK147" s="176" t="n"/>
      <c r="CL147" s="176" t="n"/>
      <c r="CM147" s="176" t="n"/>
      <c r="CN147" s="176" t="n"/>
      <c r="CO147" s="176" t="n"/>
      <c r="CP147" s="176" t="n"/>
      <c r="CQ147" s="176" t="n"/>
      <c r="CR147" s="176" t="n"/>
      <c r="CS147" s="176" t="n"/>
      <c r="CT147" s="176" t="n"/>
      <c r="CU147" s="176" t="n"/>
      <c r="CV147" s="176" t="n"/>
      <c r="CW147" s="176" t="n"/>
      <c r="CX147" s="176" t="n"/>
      <c r="CY147" s="176" t="n"/>
      <c r="CZ147" s="176" t="n"/>
      <c r="DA147" s="181" t="inlineStr">
        <is>
          <t>FAMÍLIA</t>
        </is>
      </c>
      <c r="DB147" s="182" t="n"/>
      <c r="DC147" s="183" t="n"/>
      <c r="DD147" s="185" t="n"/>
      <c r="DE147" s="182" t="n"/>
      <c r="DF147" s="183" t="n"/>
      <c r="DG147" s="176" t="n"/>
      <c r="DH147" s="176" t="n"/>
      <c r="DI147" s="181" t="inlineStr">
        <is>
          <t>FAMÍLIA</t>
        </is>
      </c>
      <c r="DJ147" s="182" t="n"/>
      <c r="DK147" s="183" t="n"/>
      <c r="DL147" s="185" t="n"/>
      <c r="DM147" s="182" t="n"/>
      <c r="DN147" s="183" t="n"/>
      <c r="DO147" s="176" t="n"/>
      <c r="DP147" s="176" t="n"/>
      <c r="DQ147" s="176" t="n"/>
      <c r="DR147" s="185" t="n"/>
      <c r="DS147" s="182" t="n"/>
      <c r="DT147" s="182" t="n"/>
      <c r="DU147" s="182" t="n"/>
      <c r="DV147" s="182" t="n"/>
      <c r="DW147" s="183" t="n"/>
      <c r="DX147" s="176" t="n"/>
      <c r="DY147" s="176" t="n"/>
      <c r="DZ147" s="185" t="n"/>
      <c r="EA147" s="182" t="n"/>
      <c r="EB147" s="182" t="n"/>
      <c r="EC147" s="182" t="n"/>
      <c r="ED147" s="182" t="n"/>
      <c r="EE147" s="183" t="n"/>
      <c r="EF147" s="176" t="n"/>
      <c r="EG147" s="176" t="n"/>
      <c r="EH147" s="176" t="n"/>
      <c r="EI147" s="189" t="n"/>
      <c r="EJ147" s="190" t="n"/>
      <c r="EK147" s="190" t="n"/>
      <c r="EL147" s="190" t="n"/>
      <c r="EM147" s="190" t="n"/>
      <c r="EN147" s="191" t="n"/>
      <c r="EO147" s="176" t="n"/>
      <c r="EP147" s="176" t="n"/>
      <c r="EQ147" s="189" t="n"/>
      <c r="ER147" s="190" t="n"/>
      <c r="ES147" s="190" t="n"/>
      <c r="ET147" s="190" t="n"/>
      <c r="EU147" s="190" t="n"/>
      <c r="EV147" s="191" t="n"/>
      <c r="EW147" s="176" t="n"/>
      <c r="EX147" s="176" t="n"/>
      <c r="EY147" s="176" t="n"/>
      <c r="EZ147" s="180">
        <f>IF('DADOS_FORMAS'!$AD6="","","⚠ "&amp;'DADOS_FORMAS'!$AD6)</f>
        <v/>
      </c>
      <c r="FF147" s="176" t="n"/>
      <c r="FG147" s="176" t="n"/>
      <c r="FH147" s="180">
        <f>IF('DADOS_FORMAS'!$AD7="","","⚠ "&amp;'DADOS_FORMAS'!$AD7)</f>
        <v/>
      </c>
      <c r="FN147" s="176" t="n"/>
      <c r="FO147" s="176" t="n"/>
      <c r="FP147" s="176" t="n"/>
      <c r="FQ147" s="176" t="n"/>
      <c r="FR147" s="176" t="n"/>
      <c r="FS147" s="176" t="n"/>
      <c r="FT147" s="176" t="n"/>
      <c r="FU147" s="176" t="n"/>
      <c r="FV147" s="176" t="n"/>
      <c r="FW147" s="176" t="n"/>
      <c r="FX147" s="176" t="n"/>
      <c r="FY147" s="176" t="n"/>
      <c r="FZ147" s="176" t="n"/>
      <c r="GA147" s="176" t="n"/>
      <c r="GB147" s="176" t="n"/>
      <c r="GC147" s="176" t="n"/>
      <c r="GD147" s="176" t="n"/>
      <c r="GE147" s="176" t="n"/>
      <c r="GF147" s="176" t="n"/>
      <c r="GG147" s="176" t="n"/>
      <c r="GH147" s="176" t="n"/>
      <c r="GI147" s="176" t="n"/>
      <c r="GJ147" s="176" t="n"/>
      <c r="GK147" s="176" t="n"/>
      <c r="GL147" s="176" t="n"/>
      <c r="GM147" s="176" t="n"/>
      <c r="GN147" s="176" t="n"/>
      <c r="GO147" s="176" t="n"/>
      <c r="GP147" s="176" t="n"/>
      <c r="GQ147" s="176" t="n"/>
      <c r="GR147" s="176" t="n"/>
      <c r="GS147" s="176" t="n"/>
      <c r="GT147" s="176" t="n"/>
      <c r="GU147" s="176" t="n"/>
      <c r="GV147" s="176" t="n"/>
      <c r="GW147" s="176" t="n"/>
      <c r="GX147" s="176" t="n"/>
      <c r="GY147" s="189" t="n"/>
      <c r="GZ147" s="190" t="n"/>
      <c r="HA147" s="190" t="n"/>
      <c r="HB147" s="190" t="n"/>
      <c r="HC147" s="190" t="n"/>
      <c r="HD147" s="191" t="n"/>
      <c r="HE147" s="176" t="n"/>
      <c r="HF147" s="176" t="n"/>
      <c r="HG147" s="189" t="n"/>
      <c r="HH147" s="190" t="n"/>
      <c r="HI147" s="190" t="n"/>
      <c r="HJ147" s="190" t="n"/>
      <c r="HK147" s="190" t="n"/>
      <c r="HL147" s="191" t="n"/>
      <c r="HM147" s="176" t="n"/>
      <c r="HN147" s="176" t="n"/>
      <c r="HO147" s="176" t="n"/>
      <c r="HP147" s="189" t="n"/>
      <c r="HQ147" s="190" t="n"/>
      <c r="HR147" s="190" t="n"/>
      <c r="HS147" s="190" t="n"/>
      <c r="HT147" s="190" t="n"/>
      <c r="HU147" s="191" t="n"/>
      <c r="HV147" s="176" t="n"/>
      <c r="HW147" s="176" t="n"/>
      <c r="HX147" s="189" t="n"/>
      <c r="HY147" s="190" t="n"/>
      <c r="HZ147" s="190" t="n"/>
      <c r="IA147" s="190" t="n"/>
      <c r="IB147" s="190" t="n"/>
      <c r="IC147" s="191" t="n"/>
      <c r="ID147" s="176" t="n"/>
    </row>
    <row r="148" ht="18.75" customHeight="1">
      <c r="A148" s="176" t="n"/>
      <c r="B148" s="176" t="n"/>
      <c r="I148" s="176" t="n"/>
      <c r="J148" s="176" t="n"/>
      <c r="K148" s="176" t="n"/>
      <c r="L148" s="176" t="n"/>
      <c r="M148" s="176" t="n"/>
      <c r="N148" s="176" t="n"/>
      <c r="O148" s="176" t="n"/>
      <c r="P148" s="176" t="n"/>
      <c r="Q148" s="176" t="n"/>
      <c r="R148" s="176" t="n"/>
      <c r="S148" s="176" t="n"/>
      <c r="T148" s="193" t="n"/>
      <c r="Y148" s="194" t="n"/>
      <c r="Z148" s="176" t="n"/>
      <c r="AA148" s="176" t="n"/>
      <c r="AB148" s="193" t="n"/>
      <c r="AG148" s="194" t="n"/>
      <c r="AH148" s="176" t="n"/>
      <c r="AI148" s="176" t="n"/>
      <c r="AJ148" s="176" t="n"/>
      <c r="AK148" s="176" t="n"/>
      <c r="AL148" s="176" t="n"/>
      <c r="AM148" s="176" t="n"/>
      <c r="AN148" s="176" t="n"/>
      <c r="AO148" s="176" t="n"/>
      <c r="AP148" s="176" t="n"/>
      <c r="AQ148" s="176" t="n"/>
      <c r="AR148" s="176" t="n"/>
      <c r="AS148" s="176" t="n"/>
      <c r="AT148" s="176" t="n"/>
      <c r="AU148" s="176" t="n"/>
      <c r="AV148" s="176" t="n"/>
      <c r="AW148" s="176" t="n"/>
      <c r="AX148" s="176" t="n"/>
      <c r="AY148" s="176" t="n"/>
      <c r="AZ148" s="176" t="n"/>
      <c r="BA148" s="176" t="n"/>
      <c r="BB148" s="176" t="n"/>
      <c r="BC148" s="176" t="n"/>
      <c r="BD148" s="176" t="n"/>
      <c r="BE148" s="176" t="n"/>
      <c r="BF148" s="176" t="n"/>
      <c r="BG148" s="176" t="n"/>
      <c r="BH148" s="176" t="n"/>
      <c r="BI148" s="176" t="n"/>
      <c r="BJ148" s="176" t="n"/>
      <c r="BK148" s="176" t="n"/>
      <c r="BL148" s="176" t="n"/>
      <c r="BM148" s="176" t="n"/>
      <c r="BN148" s="176" t="n"/>
      <c r="BO148" s="176" t="n"/>
      <c r="BP148" s="176" t="n"/>
      <c r="BQ148" s="176" t="n"/>
      <c r="BR148" s="176" t="n"/>
      <c r="BS148" s="176" t="n"/>
      <c r="BT148" s="176" t="n"/>
      <c r="BU148" s="176" t="n"/>
      <c r="BV148" s="176" t="n"/>
      <c r="BW148" s="176" t="n"/>
      <c r="BX148" s="176" t="n"/>
      <c r="BY148" s="176" t="n"/>
      <c r="BZ148" s="176" t="n"/>
      <c r="CA148" s="176" t="n"/>
      <c r="CB148" s="176" t="n"/>
      <c r="CC148" s="176" t="n"/>
      <c r="CD148" s="176" t="n"/>
      <c r="CE148" s="176" t="n"/>
      <c r="CF148" s="176" t="n"/>
      <c r="CG148" s="176" t="n"/>
      <c r="CH148" s="176" t="n"/>
      <c r="CI148" s="176" t="n"/>
      <c r="CJ148" s="176" t="n"/>
      <c r="CK148" s="176" t="n"/>
      <c r="CL148" s="176" t="n"/>
      <c r="CM148" s="176" t="n"/>
      <c r="CN148" s="176" t="n"/>
      <c r="CO148" s="176" t="n"/>
      <c r="CP148" s="176" t="n"/>
      <c r="CQ148" s="176" t="n"/>
      <c r="CR148" s="176" t="n"/>
      <c r="CS148" s="176" t="n"/>
      <c r="CT148" s="176" t="n"/>
      <c r="CU148" s="176" t="n"/>
      <c r="CV148" s="176" t="n"/>
      <c r="CW148" s="176" t="n"/>
      <c r="CX148" s="176" t="n"/>
      <c r="CY148" s="176" t="n"/>
      <c r="CZ148" s="176" t="n"/>
      <c r="DA148" s="181" t="inlineStr">
        <is>
          <t>PESO</t>
        </is>
      </c>
      <c r="DB148" s="182" t="n"/>
      <c r="DC148" s="183" t="n"/>
      <c r="DD148" s="185" t="n"/>
      <c r="DE148" s="182" t="n"/>
      <c r="DF148" s="183" t="n"/>
      <c r="DG148" s="176" t="n"/>
      <c r="DH148" s="176" t="n"/>
      <c r="DI148" s="181" t="inlineStr">
        <is>
          <t>PESO</t>
        </is>
      </c>
      <c r="DJ148" s="182" t="n"/>
      <c r="DK148" s="183" t="n"/>
      <c r="DL148" s="185" t="n"/>
      <c r="DM148" s="182" t="n"/>
      <c r="DN148" s="183" t="n"/>
      <c r="DO148" s="176" t="n"/>
      <c r="DP148" s="176" t="n"/>
      <c r="DQ148" s="176" t="n"/>
      <c r="DR148" s="181" t="inlineStr">
        <is>
          <t>BASE DO LIVRO</t>
        </is>
      </c>
      <c r="DS148" s="182" t="n"/>
      <c r="DT148" s="183" t="n"/>
      <c r="DU148" s="185" t="inlineStr">
        <is>
          <t>Nenhuma</t>
        </is>
      </c>
      <c r="DV148" s="182" t="n"/>
      <c r="DW148" s="183" t="n"/>
      <c r="DX148" s="176" t="n"/>
      <c r="DY148" s="176" t="n"/>
      <c r="DZ148" s="181" t="inlineStr">
        <is>
          <t>BASE DO LIVRO</t>
        </is>
      </c>
      <c r="EA148" s="182" t="n"/>
      <c r="EB148" s="183" t="n"/>
      <c r="EC148" s="185" t="inlineStr">
        <is>
          <t>Nenhuma</t>
        </is>
      </c>
      <c r="ED148" s="182" t="n"/>
      <c r="EE148" s="183" t="n"/>
      <c r="EF148" s="176" t="n"/>
      <c r="EG148" s="176" t="n"/>
      <c r="EH148" s="176" t="n"/>
      <c r="EI148" s="180">
        <f>IF('DADOS_DANOS'!$H$10="","","⚠ "&amp;'DADOS_DANOS'!$H$10)</f>
        <v/>
      </c>
      <c r="EO148" s="176" t="n"/>
      <c r="EP148" s="176" t="n"/>
      <c r="EQ148" s="180">
        <f>IF('DADOS_DANOS'!$H$11="","","⚠ "&amp;'DADOS_DANOS'!$H$11)</f>
        <v/>
      </c>
      <c r="EW148" s="176" t="n"/>
      <c r="EX148" s="176" t="n"/>
      <c r="EY148" s="176" t="n"/>
      <c r="FF148" s="176" t="n"/>
      <c r="FG148" s="176" t="n"/>
      <c r="FN148" s="176" t="n"/>
      <c r="FO148" s="176" t="n"/>
      <c r="FP148" s="176" t="n"/>
      <c r="FQ148" s="176" t="n"/>
      <c r="FR148" s="176" t="n"/>
      <c r="FS148" s="176" t="n"/>
      <c r="FT148" s="176" t="n"/>
      <c r="FU148" s="176" t="n"/>
      <c r="FV148" s="176" t="n"/>
      <c r="FW148" s="176" t="n"/>
      <c r="FX148" s="176" t="n"/>
      <c r="FY148" s="176" t="n"/>
      <c r="FZ148" s="176" t="n"/>
      <c r="GA148" s="176" t="n"/>
      <c r="GB148" s="176" t="n"/>
      <c r="GC148" s="176" t="n"/>
      <c r="GD148" s="176" t="n"/>
      <c r="GE148" s="176" t="n"/>
      <c r="GF148" s="176" t="n"/>
      <c r="GG148" s="176" t="n"/>
      <c r="GH148" s="176" t="n"/>
      <c r="GI148" s="176" t="n"/>
      <c r="GJ148" s="176" t="n"/>
      <c r="GK148" s="176" t="n"/>
      <c r="GL148" s="176" t="n"/>
      <c r="GM148" s="176" t="n"/>
      <c r="GN148" s="176" t="n"/>
      <c r="GO148" s="176" t="n"/>
      <c r="GP148" s="176" t="n"/>
      <c r="GQ148" s="176" t="n"/>
      <c r="GR148" s="176" t="n"/>
      <c r="GS148" s="176" t="n"/>
      <c r="GT148" s="176" t="n"/>
      <c r="GU148" s="176" t="n"/>
      <c r="GV148" s="176" t="n"/>
      <c r="GW148" s="176" t="n"/>
      <c r="GX148" s="176" t="n"/>
      <c r="GY148" s="176" t="n"/>
      <c r="GZ148" s="176" t="n"/>
      <c r="HA148" s="176" t="n"/>
      <c r="HB148" s="176" t="n"/>
      <c r="HC148" s="176" t="n"/>
      <c r="HD148" s="176" t="n"/>
      <c r="HE148" s="176" t="n"/>
      <c r="HF148" s="176" t="n"/>
      <c r="HG148" s="176" t="n"/>
      <c r="HH148" s="176" t="n"/>
      <c r="HI148" s="176" t="n"/>
      <c r="HJ148" s="176" t="n"/>
      <c r="HK148" s="176" t="n"/>
      <c r="HL148" s="176" t="n"/>
      <c r="HM148" s="176" t="n"/>
      <c r="HN148" s="176" t="n"/>
      <c r="HO148" s="176" t="n"/>
      <c r="HP148" s="176" t="n"/>
      <c r="HQ148" s="176" t="n"/>
      <c r="HR148" s="176" t="n"/>
      <c r="HS148" s="176" t="n"/>
      <c r="HT148" s="176" t="n"/>
      <c r="HU148" s="176" t="n"/>
      <c r="HV148" s="176" t="n"/>
      <c r="HW148" s="176" t="n"/>
      <c r="HX148" s="176" t="n"/>
      <c r="HY148" s="176" t="n"/>
      <c r="HZ148" s="176" t="n"/>
      <c r="IA148" s="176" t="n"/>
      <c r="IB148" s="176" t="n"/>
      <c r="IC148" s="176" t="n"/>
      <c r="ID148" s="176" t="n"/>
    </row>
    <row r="149" ht="18.75" customHeight="1">
      <c r="A149" s="176" t="n"/>
      <c r="B149" s="176" t="n"/>
      <c r="I149" s="176" t="n"/>
      <c r="J149" s="176" t="n"/>
      <c r="K149" s="176" t="n"/>
      <c r="L149" s="176" t="n"/>
      <c r="M149" s="176" t="n"/>
      <c r="N149" s="176" t="n"/>
      <c r="O149" s="176" t="n"/>
      <c r="P149" s="176" t="n"/>
      <c r="Q149" s="176" t="n"/>
      <c r="R149" s="176" t="n"/>
      <c r="S149" s="176" t="n"/>
      <c r="T149" s="193" t="n"/>
      <c r="Y149" s="194" t="n"/>
      <c r="Z149" s="176" t="n"/>
      <c r="AA149" s="176" t="n"/>
      <c r="AB149" s="193" t="n"/>
      <c r="AG149" s="194" t="n"/>
      <c r="AH149" s="176" t="n"/>
      <c r="AI149" s="176" t="n"/>
      <c r="AJ149" s="176" t="n"/>
      <c r="AK149" s="176" t="n"/>
      <c r="AL149" s="176" t="n"/>
      <c r="AM149" s="176" t="n"/>
      <c r="AN149" s="176" t="n"/>
      <c r="AO149" s="176" t="n"/>
      <c r="AP149" s="176" t="n"/>
      <c r="AQ149" s="176" t="n"/>
      <c r="AR149" s="176" t="n"/>
      <c r="AS149" s="176" t="n"/>
      <c r="AT149" s="176" t="n"/>
      <c r="AU149" s="176" t="n"/>
      <c r="AV149" s="176" t="n"/>
      <c r="AW149" s="176" t="n"/>
      <c r="AX149" s="176" t="n"/>
      <c r="AY149" s="176" t="n"/>
      <c r="AZ149" s="176" t="n"/>
      <c r="BA149" s="176" t="n"/>
      <c r="BB149" s="176" t="n"/>
      <c r="BC149" s="176" t="n"/>
      <c r="BD149" s="176" t="n"/>
      <c r="BE149" s="176" t="n"/>
      <c r="BF149" s="176" t="n"/>
      <c r="BG149" s="176" t="n"/>
      <c r="BH149" s="176" t="n"/>
      <c r="BI149" s="176" t="n"/>
      <c r="BJ149" s="176" t="n"/>
      <c r="BK149" s="176" t="n"/>
      <c r="BL149" s="176" t="n"/>
      <c r="BM149" s="176" t="n"/>
      <c r="BN149" s="176" t="n"/>
      <c r="BO149" s="176" t="n"/>
      <c r="BP149" s="176" t="n"/>
      <c r="BQ149" s="176" t="n"/>
      <c r="BR149" s="176" t="n"/>
      <c r="BS149" s="176" t="n"/>
      <c r="BT149" s="176" t="n"/>
      <c r="BU149" s="176" t="n"/>
      <c r="BV149" s="176" t="n"/>
      <c r="BW149" s="176" t="n"/>
      <c r="BX149" s="176" t="n"/>
      <c r="BY149" s="176" t="n"/>
      <c r="BZ149" s="176" t="n"/>
      <c r="CA149" s="176" t="n"/>
      <c r="CB149" s="176" t="n"/>
      <c r="CC149" s="176" t="n"/>
      <c r="CD149" s="176" t="n"/>
      <c r="CE149" s="176" t="n"/>
      <c r="CF149" s="176" t="n"/>
      <c r="CG149" s="176" t="n"/>
      <c r="CH149" s="176" t="n"/>
      <c r="CI149" s="176" t="n"/>
      <c r="CJ149" s="176" t="n"/>
      <c r="CK149" s="176" t="n"/>
      <c r="CL149" s="176" t="n"/>
      <c r="CM149" s="176" t="n"/>
      <c r="CN149" s="176" t="n"/>
      <c r="CO149" s="176" t="n"/>
      <c r="CP149" s="176" t="n"/>
      <c r="CQ149" s="176" t="n"/>
      <c r="CR149" s="176" t="n"/>
      <c r="CS149" s="176" t="n"/>
      <c r="CT149" s="176" t="n"/>
      <c r="CU149" s="176" t="n"/>
      <c r="CV149" s="176" t="n"/>
      <c r="CW149" s="176" t="n"/>
      <c r="CX149" s="176" t="n"/>
      <c r="CY149" s="176" t="n"/>
      <c r="CZ149" s="176" t="n"/>
      <c r="DA149" s="181" t="inlineStr">
        <is>
          <t>EXIGE TR</t>
        </is>
      </c>
      <c r="DB149" s="182" t="n"/>
      <c r="DC149" s="183" t="n"/>
      <c r="DD149" s="185" t="n"/>
      <c r="DE149" s="182" t="n"/>
      <c r="DF149" s="183" t="n"/>
      <c r="DG149" s="176" t="n"/>
      <c r="DH149" s="176" t="n"/>
      <c r="DI149" s="181" t="inlineStr">
        <is>
          <t>EXIGE TR</t>
        </is>
      </c>
      <c r="DJ149" s="182" t="n"/>
      <c r="DK149" s="183" t="n"/>
      <c r="DL149" s="185" t="n"/>
      <c r="DM149" s="182" t="n"/>
      <c r="DN149" s="183" t="n"/>
      <c r="DO149" s="176" t="n"/>
      <c r="DP149" s="176" t="n"/>
      <c r="DQ149" s="176" t="n"/>
      <c r="DR149" s="181" t="inlineStr">
        <is>
          <t>DEVOLUÇÃO</t>
        </is>
      </c>
      <c r="DS149" s="182" t="n"/>
      <c r="DT149" s="183" t="n"/>
      <c r="DU149" s="185" t="n"/>
      <c r="DV149" s="182" t="n"/>
      <c r="DW149" s="183" t="n"/>
      <c r="DX149" s="176" t="n"/>
      <c r="DY149" s="176" t="n"/>
      <c r="DZ149" s="181" t="inlineStr">
        <is>
          <t>DEVOLUÇÃO</t>
        </is>
      </c>
      <c r="EA149" s="182" t="n"/>
      <c r="EB149" s="183" t="n"/>
      <c r="EC149" s="185" t="n"/>
      <c r="ED149" s="182" t="n"/>
      <c r="EE149" s="183" t="n"/>
      <c r="EF149" s="176" t="n"/>
      <c r="EG149" s="176" t="n"/>
      <c r="EH149" s="176" t="n"/>
      <c r="EO149" s="176" t="n"/>
      <c r="EP149" s="176" t="n"/>
      <c r="EW149" s="176" t="n"/>
      <c r="EX149" s="176" t="n"/>
      <c r="EY149" s="176" t="n"/>
      <c r="EZ149" s="176" t="n"/>
      <c r="FA149" s="176" t="n"/>
      <c r="FB149" s="176" t="n"/>
      <c r="FC149" s="176" t="n"/>
      <c r="FD149" s="176" t="n"/>
      <c r="FE149" s="176" t="n"/>
      <c r="FF149" s="176" t="n"/>
      <c r="FG149" s="176" t="n"/>
      <c r="FH149" s="176" t="n"/>
      <c r="FI149" s="176" t="n"/>
      <c r="FJ149" s="176" t="n"/>
      <c r="FK149" s="176" t="n"/>
      <c r="FL149" s="176" t="n"/>
      <c r="FM149" s="176" t="n"/>
      <c r="FN149" s="176" t="n"/>
      <c r="FO149" s="176" t="n"/>
      <c r="FP149" s="176" t="n"/>
      <c r="FQ149" s="176" t="n"/>
      <c r="FR149" s="176" t="n"/>
      <c r="FS149" s="176" t="n"/>
      <c r="FT149" s="176" t="n"/>
      <c r="FU149" s="176" t="n"/>
      <c r="FV149" s="176" t="n"/>
      <c r="FW149" s="176" t="n"/>
      <c r="FX149" s="176" t="n"/>
      <c r="FY149" s="176" t="n"/>
      <c r="FZ149" s="176" t="n"/>
      <c r="GA149" s="176" t="n"/>
      <c r="GB149" s="176" t="n"/>
      <c r="GC149" s="176" t="n"/>
      <c r="GD149" s="176" t="n"/>
      <c r="GE149" s="176" t="n"/>
      <c r="GF149" s="176" t="n"/>
      <c r="GG149" s="176" t="n"/>
      <c r="GH149" s="176" t="n"/>
      <c r="GI149" s="176" t="n"/>
      <c r="GJ149" s="176" t="n"/>
      <c r="GK149" s="176" t="n"/>
      <c r="GL149" s="176" t="n"/>
      <c r="GM149" s="176" t="n"/>
      <c r="GN149" s="176" t="n"/>
      <c r="GO149" s="176" t="n"/>
      <c r="GP149" s="176" t="n"/>
      <c r="GQ149" s="176" t="n"/>
      <c r="GR149" s="176" t="n"/>
      <c r="GS149" s="176" t="n"/>
      <c r="GT149" s="176" t="n"/>
      <c r="GU149" s="176" t="n"/>
      <c r="GV149" s="176" t="n"/>
      <c r="GW149" s="176" t="n"/>
      <c r="GX149" s="176" t="n"/>
      <c r="GY149" s="180">
        <f>IF('DADOS_ENTIDADES'!$K$10="","","⚠ "&amp;'DADOS_ENTIDADES'!$K$10)</f>
        <v/>
      </c>
      <c r="HE149" s="176" t="n"/>
      <c r="HF149" s="176" t="n"/>
      <c r="HG149" s="180">
        <f>IF('DADOS_ENTIDADES'!$K$11="","","⚠ "&amp;'DADOS_ENTIDADES'!$K$11)</f>
        <v/>
      </c>
      <c r="HM149" s="176" t="n"/>
      <c r="HN149" s="176" t="n"/>
      <c r="HO149" s="176" t="n"/>
      <c r="HP149" s="180">
        <f>IF('DADOS_ENTIDADES'!$AG$10="","","⚠ "&amp;'DADOS_ENTIDADES'!$AG$10)</f>
        <v/>
      </c>
      <c r="HV149" s="176" t="n"/>
      <c r="HW149" s="176" t="n"/>
      <c r="HX149" s="180">
        <f>IF('DADOS_ENTIDADES'!$AG$11="","","⚠ "&amp;'DADOS_ENTIDADES'!$AG$11)</f>
        <v/>
      </c>
      <c r="ID149" s="176" t="n"/>
    </row>
    <row r="150" ht="18.75" customHeight="1">
      <c r="A150" s="176" t="n"/>
      <c r="B150" s="176" t="n"/>
      <c r="C150" s="176" t="n"/>
      <c r="D150" s="176" t="n"/>
      <c r="E150" s="176" t="n"/>
      <c r="F150" s="176" t="n"/>
      <c r="G150" s="176" t="n"/>
      <c r="H150" s="176" t="n"/>
      <c r="I150" s="176" t="n"/>
      <c r="J150" s="176" t="n"/>
      <c r="K150" s="176" t="n"/>
      <c r="L150" s="176" t="n"/>
      <c r="M150" s="176" t="n"/>
      <c r="N150" s="176" t="n"/>
      <c r="O150" s="176" t="n"/>
      <c r="P150" s="176" t="n"/>
      <c r="Q150" s="176" t="n"/>
      <c r="R150" s="176" t="n"/>
      <c r="S150" s="176" t="n"/>
      <c r="T150" s="193" t="n"/>
      <c r="Y150" s="194" t="n"/>
      <c r="Z150" s="176" t="n"/>
      <c r="AA150" s="176" t="n"/>
      <c r="AB150" s="193" t="n"/>
      <c r="AG150" s="194" t="n"/>
      <c r="AH150" s="176" t="n"/>
      <c r="AI150" s="176" t="n"/>
      <c r="AJ150" s="176" t="n"/>
      <c r="AK150" s="176" t="n"/>
      <c r="AL150" s="176" t="n"/>
      <c r="AM150" s="176" t="n"/>
      <c r="AN150" s="176" t="n"/>
      <c r="AO150" s="176" t="n"/>
      <c r="AP150" s="176" t="n"/>
      <c r="AQ150" s="176" t="n"/>
      <c r="AR150" s="176" t="n"/>
      <c r="AS150" s="176" t="n"/>
      <c r="AT150" s="176" t="n"/>
      <c r="AU150" s="176" t="n"/>
      <c r="AV150" s="176" t="n"/>
      <c r="AW150" s="176" t="n"/>
      <c r="AX150" s="176" t="n"/>
      <c r="AY150" s="176" t="n"/>
      <c r="AZ150" s="176" t="n"/>
      <c r="BA150" s="176" t="n"/>
      <c r="BB150" s="176" t="n"/>
      <c r="BC150" s="176" t="n"/>
      <c r="BD150" s="176" t="n"/>
      <c r="BE150" s="176" t="n"/>
      <c r="BF150" s="176" t="n"/>
      <c r="BG150" s="176" t="n"/>
      <c r="BH150" s="176" t="n"/>
      <c r="BI150" s="176" t="n"/>
      <c r="BJ150" s="176" t="n"/>
      <c r="BK150" s="176" t="n"/>
      <c r="BL150" s="176" t="n"/>
      <c r="BM150" s="176" t="n"/>
      <c r="BN150" s="176" t="n"/>
      <c r="BO150" s="176" t="n"/>
      <c r="BP150" s="176" t="n"/>
      <c r="BQ150" s="176" t="n"/>
      <c r="BR150" s="176" t="n"/>
      <c r="BS150" s="176" t="n"/>
      <c r="BT150" s="176" t="n"/>
      <c r="BU150" s="176" t="n"/>
      <c r="BV150" s="176" t="n"/>
      <c r="BW150" s="176" t="n"/>
      <c r="BX150" s="176" t="n"/>
      <c r="BY150" s="176" t="n"/>
      <c r="BZ150" s="176" t="n"/>
      <c r="CA150" s="176" t="n"/>
      <c r="CB150" s="176" t="n"/>
      <c r="CC150" s="176" t="n"/>
      <c r="CD150" s="176" t="n"/>
      <c r="CE150" s="176" t="n"/>
      <c r="CF150" s="176" t="n"/>
      <c r="CG150" s="176" t="n"/>
      <c r="CH150" s="176" t="n"/>
      <c r="CI150" s="176" t="n"/>
      <c r="CJ150" s="176" t="n"/>
      <c r="CK150" s="176" t="n"/>
      <c r="CL150" s="176" t="n"/>
      <c r="CM150" s="176" t="n"/>
      <c r="CN150" s="176" t="n"/>
      <c r="CO150" s="176" t="n"/>
      <c r="CP150" s="176" t="n"/>
      <c r="CQ150" s="176" t="n"/>
      <c r="CR150" s="176" t="n"/>
      <c r="CS150" s="176" t="n"/>
      <c r="CT150" s="176" t="n"/>
      <c r="CU150" s="176" t="n"/>
      <c r="CV150" s="176" t="n"/>
      <c r="CW150" s="176" t="n"/>
      <c r="CX150" s="176" t="n"/>
      <c r="CY150" s="176" t="n"/>
      <c r="CZ150" s="176" t="n"/>
      <c r="DA150" s="176" t="n"/>
      <c r="DB150" s="176" t="n"/>
      <c r="DC150" s="176" t="n"/>
      <c r="DD150" s="176" t="n"/>
      <c r="DE150" s="176" t="n"/>
      <c r="DF150" s="176" t="n"/>
      <c r="DG150" s="176" t="n"/>
      <c r="DH150" s="176" t="n"/>
      <c r="DI150" s="176" t="n"/>
      <c r="DJ150" s="176" t="n"/>
      <c r="DK150" s="176" t="n"/>
      <c r="DL150" s="176" t="n"/>
      <c r="DM150" s="176" t="n"/>
      <c r="DN150" s="176" t="n"/>
      <c r="DO150" s="176" t="n"/>
      <c r="DP150" s="176" t="n"/>
      <c r="DQ150" s="176" t="n"/>
      <c r="DR150" s="181" t="inlineStr">
        <is>
          <t>FREQUÊNCIA</t>
        </is>
      </c>
      <c r="DS150" s="182" t="n"/>
      <c r="DT150" s="183" t="n"/>
      <c r="DU150" s="185" t="n"/>
      <c r="DV150" s="182" t="n"/>
      <c r="DW150" s="183" t="n"/>
      <c r="DX150" s="176" t="n"/>
      <c r="DY150" s="176" t="n"/>
      <c r="DZ150" s="181" t="inlineStr">
        <is>
          <t>FREQUÊNCIA</t>
        </is>
      </c>
      <c r="EA150" s="182" t="n"/>
      <c r="EB150" s="183" t="n"/>
      <c r="EC150" s="185" t="n"/>
      <c r="ED150" s="182" t="n"/>
      <c r="EE150" s="183" t="n"/>
      <c r="EF150" s="176" t="n"/>
      <c r="EG150" s="176" t="n"/>
      <c r="EH150" s="176" t="n"/>
      <c r="EI150" s="176" t="n"/>
      <c r="EJ150" s="176" t="n"/>
      <c r="EK150" s="176" t="n"/>
      <c r="EL150" s="176" t="n"/>
      <c r="EM150" s="176" t="n"/>
      <c r="EN150" s="176" t="n"/>
      <c r="EO150" s="176" t="n"/>
      <c r="EP150" s="176" t="n"/>
      <c r="EQ150" s="176" t="n"/>
      <c r="ER150" s="176" t="n"/>
      <c r="ES150" s="176" t="n"/>
      <c r="ET150" s="176" t="n"/>
      <c r="EU150" s="176" t="n"/>
      <c r="EV150" s="176" t="n"/>
      <c r="EW150" s="176" t="n"/>
      <c r="EX150" s="176" t="n"/>
      <c r="EY150" s="176" t="n"/>
      <c r="EZ150" s="179" t="inlineStr">
        <is>
          <t>FORMAS · 7</t>
        </is>
      </c>
      <c r="FF150" s="176" t="n"/>
      <c r="FG150" s="176" t="n"/>
      <c r="FH150" s="179" t="inlineStr">
        <is>
          <t>FORMAS · 8</t>
        </is>
      </c>
      <c r="FN150" s="176" t="n"/>
      <c r="FO150" s="176" t="n"/>
      <c r="FP150" s="176" t="n"/>
      <c r="FQ150" s="176" t="n"/>
      <c r="FR150" s="176" t="n"/>
      <c r="FS150" s="176" t="n"/>
      <c r="FT150" s="176" t="n"/>
      <c r="FU150" s="176" t="n"/>
      <c r="FV150" s="176" t="n"/>
      <c r="FW150" s="176" t="n"/>
      <c r="FX150" s="176" t="n"/>
      <c r="FY150" s="176" t="n"/>
      <c r="FZ150" s="176" t="n"/>
      <c r="GA150" s="176" t="n"/>
      <c r="GB150" s="176" t="n"/>
      <c r="GC150" s="176" t="n"/>
      <c r="GD150" s="176" t="n"/>
      <c r="GE150" s="176" t="n"/>
      <c r="GF150" s="176" t="n"/>
      <c r="GG150" s="176" t="n"/>
      <c r="GH150" s="176" t="n"/>
      <c r="GI150" s="176" t="n"/>
      <c r="GJ150" s="176" t="n"/>
      <c r="GK150" s="176" t="n"/>
      <c r="GL150" s="176" t="n"/>
      <c r="GM150" s="176" t="n"/>
      <c r="GN150" s="176" t="n"/>
      <c r="GO150" s="176" t="n"/>
      <c r="GP150" s="176" t="n"/>
      <c r="GQ150" s="176" t="n"/>
      <c r="GR150" s="176" t="n"/>
      <c r="GS150" s="176" t="n"/>
      <c r="GT150" s="176" t="n"/>
      <c r="GU150" s="176" t="n"/>
      <c r="GV150" s="176" t="n"/>
      <c r="GW150" s="176" t="n"/>
      <c r="GX150" s="176" t="n"/>
      <c r="HE150" s="176" t="n"/>
      <c r="HF150" s="176" t="n"/>
      <c r="HM150" s="176" t="n"/>
      <c r="HN150" s="176" t="n"/>
      <c r="HO150" s="176" t="n"/>
      <c r="HV150" s="176" t="n"/>
      <c r="HW150" s="176" t="n"/>
      <c r="ID150" s="176" t="n"/>
    </row>
    <row r="151" ht="18.75" customHeight="1">
      <c r="A151" s="176" t="n"/>
      <c r="B151" s="176" t="n"/>
      <c r="C151" s="176" t="n"/>
      <c r="D151" s="176" t="n"/>
      <c r="E151" s="176" t="n"/>
      <c r="F151" s="176" t="n"/>
      <c r="G151" s="176" t="n"/>
      <c r="H151" s="176" t="n"/>
      <c r="I151" s="176" t="n"/>
      <c r="J151" s="176" t="n"/>
      <c r="K151" s="176" t="n"/>
      <c r="L151" s="176" t="n"/>
      <c r="M151" s="176" t="n"/>
      <c r="N151" s="176" t="n"/>
      <c r="O151" s="176" t="n"/>
      <c r="P151" s="176" t="n"/>
      <c r="Q151" s="176" t="n"/>
      <c r="R151" s="176" t="n"/>
      <c r="S151" s="176" t="n"/>
      <c r="T151" s="189" t="n"/>
      <c r="U151" s="190" t="n"/>
      <c r="V151" s="190" t="n"/>
      <c r="W151" s="190" t="n"/>
      <c r="X151" s="190" t="n"/>
      <c r="Y151" s="191" t="n"/>
      <c r="Z151" s="176" t="n"/>
      <c r="AA151" s="176" t="n"/>
      <c r="AB151" s="189" t="n"/>
      <c r="AC151" s="190" t="n"/>
      <c r="AD151" s="190" t="n"/>
      <c r="AE151" s="190" t="n"/>
      <c r="AF151" s="190" t="n"/>
      <c r="AG151" s="191" t="n"/>
      <c r="AH151" s="176" t="n"/>
      <c r="AI151" s="176" t="n"/>
      <c r="AJ151" s="176" t="n"/>
      <c r="AK151" s="176" t="n"/>
      <c r="AL151" s="176" t="n"/>
      <c r="AM151" s="176" t="n"/>
      <c r="AN151" s="176" t="n"/>
      <c r="AO151" s="176" t="n"/>
      <c r="AP151" s="176" t="n"/>
      <c r="AQ151" s="176" t="n"/>
      <c r="AR151" s="176" t="n"/>
      <c r="AS151" s="176" t="n"/>
      <c r="AT151" s="176" t="n"/>
      <c r="AU151" s="176" t="n"/>
      <c r="AV151" s="176" t="n"/>
      <c r="AW151" s="176" t="n"/>
      <c r="AX151" s="176" t="n"/>
      <c r="AY151" s="176" t="n"/>
      <c r="AZ151" s="176" t="n"/>
      <c r="BA151" s="176" t="n"/>
      <c r="BB151" s="176" t="n"/>
      <c r="BC151" s="176" t="n"/>
      <c r="BD151" s="176" t="n"/>
      <c r="BE151" s="176" t="n"/>
      <c r="BF151" s="176" t="n"/>
      <c r="BG151" s="176" t="n"/>
      <c r="BH151" s="176" t="n"/>
      <c r="BI151" s="176" t="n"/>
      <c r="BJ151" s="176" t="n"/>
      <c r="BK151" s="176" t="n"/>
      <c r="BL151" s="176" t="n"/>
      <c r="BM151" s="176" t="n"/>
      <c r="BN151" s="176" t="n"/>
      <c r="BO151" s="176" t="n"/>
      <c r="BP151" s="176" t="n"/>
      <c r="BQ151" s="176" t="n"/>
      <c r="BR151" s="176" t="n"/>
      <c r="BS151" s="176" t="n"/>
      <c r="BT151" s="176" t="n"/>
      <c r="BU151" s="176" t="n"/>
      <c r="BV151" s="176" t="n"/>
      <c r="BW151" s="176" t="n"/>
      <c r="BX151" s="176" t="n"/>
      <c r="BY151" s="176" t="n"/>
      <c r="BZ151" s="176" t="n"/>
      <c r="CA151" s="176" t="n"/>
      <c r="CB151" s="176" t="n"/>
      <c r="CC151" s="176" t="n"/>
      <c r="CD151" s="176" t="n"/>
      <c r="CE151" s="176" t="n"/>
      <c r="CF151" s="176" t="n"/>
      <c r="CG151" s="176" t="n"/>
      <c r="CH151" s="176" t="n"/>
      <c r="CI151" s="176" t="n"/>
      <c r="CJ151" s="176" t="n"/>
      <c r="CK151" s="176" t="n"/>
      <c r="CL151" s="176" t="n"/>
      <c r="CM151" s="176" t="n"/>
      <c r="CN151" s="176" t="n"/>
      <c r="CO151" s="176" t="n"/>
      <c r="CP151" s="176" t="n"/>
      <c r="CQ151" s="176" t="n"/>
      <c r="CR151" s="176" t="n"/>
      <c r="CS151" s="176" t="n"/>
      <c r="CT151" s="176" t="n"/>
      <c r="CU151" s="176" t="n"/>
      <c r="CV151" s="176" t="n"/>
      <c r="CW151" s="176" t="n"/>
      <c r="CX151" s="176" t="n"/>
      <c r="CY151" s="176" t="n"/>
      <c r="CZ151" s="176" t="n"/>
      <c r="DA151" s="181" t="inlineStr">
        <is>
          <t>REQUISITOS E REPETIÇÃO</t>
        </is>
      </c>
      <c r="DB151" s="182" t="n"/>
      <c r="DC151" s="182" t="n"/>
      <c r="DD151" s="182" t="n"/>
      <c r="DE151" s="182" t="n"/>
      <c r="DF151" s="183" t="n"/>
      <c r="DG151" s="176" t="n"/>
      <c r="DH151" s="176" t="n"/>
      <c r="DI151" s="181" t="inlineStr">
        <is>
          <t>REQUISITOS E REPETIÇÃO</t>
        </is>
      </c>
      <c r="DJ151" s="182" t="n"/>
      <c r="DK151" s="182" t="n"/>
      <c r="DL151" s="182" t="n"/>
      <c r="DM151" s="182" t="n"/>
      <c r="DN151" s="183" t="n"/>
      <c r="DO151" s="176" t="n"/>
      <c r="DP151" s="176" t="n"/>
      <c r="DQ151" s="176" t="n"/>
      <c r="DR151" s="176" t="n"/>
      <c r="DS151" s="176" t="n"/>
      <c r="DT151" s="176" t="n"/>
      <c r="DU151" s="176" t="n"/>
      <c r="DV151" s="176" t="n"/>
      <c r="DW151" s="176" t="n"/>
      <c r="DX151" s="176" t="n"/>
      <c r="DY151" s="176" t="n"/>
      <c r="DZ151" s="176" t="n"/>
      <c r="EA151" s="176" t="n"/>
      <c r="EB151" s="176" t="n"/>
      <c r="EC151" s="176" t="n"/>
      <c r="ED151" s="176" t="n"/>
      <c r="EE151" s="176" t="n"/>
      <c r="EF151" s="176" t="n"/>
      <c r="EG151" s="176" t="n"/>
      <c r="EH151" s="176" t="n"/>
      <c r="EI151" s="176" t="n"/>
      <c r="EJ151" s="176" t="n"/>
      <c r="EK151" s="176" t="n"/>
      <c r="EL151" s="176" t="n"/>
      <c r="EM151" s="176" t="n"/>
      <c r="EN151" s="176" t="n"/>
      <c r="EO151" s="176" t="n"/>
      <c r="EP151" s="176" t="n"/>
      <c r="EQ151" s="176" t="n"/>
      <c r="ER151" s="176" t="n"/>
      <c r="ES151" s="176" t="n"/>
      <c r="ET151" s="176" t="n"/>
      <c r="EU151" s="176" t="n"/>
      <c r="EV151" s="176" t="n"/>
      <c r="EW151" s="176" t="n"/>
      <c r="EX151" s="176" t="n"/>
      <c r="EY151" s="176" t="n"/>
      <c r="EZ151" s="181" t="inlineStr">
        <is>
          <t>TIPO</t>
        </is>
      </c>
      <c r="FA151" s="182" t="n"/>
      <c r="FB151" s="182" t="n"/>
      <c r="FC151" s="183" t="n"/>
      <c r="FD151" s="181" t="inlineStr">
        <is>
          <t>MESTRE VIU</t>
        </is>
      </c>
      <c r="FE151" s="183" t="n"/>
      <c r="FF151" s="176" t="n"/>
      <c r="FG151" s="176" t="n"/>
      <c r="FH151" s="181" t="inlineStr">
        <is>
          <t>TIPO</t>
        </is>
      </c>
      <c r="FI151" s="182" t="n"/>
      <c r="FJ151" s="182" t="n"/>
      <c r="FK151" s="183" t="n"/>
      <c r="FL151" s="181" t="inlineStr">
        <is>
          <t>MESTRE VIU</t>
        </is>
      </c>
      <c r="FM151" s="183" t="n"/>
      <c r="FN151" s="176" t="n"/>
      <c r="FO151" s="176" t="n"/>
      <c r="FP151" s="176" t="n"/>
      <c r="FQ151" s="176" t="n"/>
      <c r="FR151" s="176" t="n"/>
      <c r="FS151" s="176" t="n"/>
      <c r="FT151" s="176" t="n"/>
      <c r="FU151" s="176" t="n"/>
      <c r="FV151" s="176" t="n"/>
      <c r="FW151" s="176" t="n"/>
      <c r="FX151" s="176" t="n"/>
      <c r="FY151" s="176" t="n"/>
      <c r="FZ151" s="176" t="n"/>
      <c r="GA151" s="176" t="n"/>
      <c r="GB151" s="176" t="n"/>
      <c r="GC151" s="176" t="n"/>
      <c r="GD151" s="176" t="n"/>
      <c r="GE151" s="176" t="n"/>
      <c r="GF151" s="176" t="n"/>
      <c r="GG151" s="176" t="n"/>
      <c r="GH151" s="176" t="n"/>
      <c r="GI151" s="176" t="n"/>
      <c r="GJ151" s="176" t="n"/>
      <c r="GK151" s="176" t="n"/>
      <c r="GL151" s="176" t="n"/>
      <c r="GM151" s="176" t="n"/>
      <c r="GN151" s="176" t="n"/>
      <c r="GO151" s="176" t="n"/>
      <c r="GP151" s="176" t="n"/>
      <c r="GQ151" s="176" t="n"/>
      <c r="GR151" s="176" t="n"/>
      <c r="GS151" s="176" t="n"/>
      <c r="GT151" s="176" t="n"/>
      <c r="GU151" s="176" t="n"/>
      <c r="GV151" s="176" t="n"/>
      <c r="GW151" s="176" t="n"/>
      <c r="GX151" s="176" t="n"/>
      <c r="GY151" s="176" t="n"/>
      <c r="GZ151" s="176" t="n"/>
      <c r="HA151" s="176" t="n"/>
      <c r="HB151" s="176" t="n"/>
      <c r="HC151" s="176" t="n"/>
      <c r="HD151" s="176" t="n"/>
      <c r="HE151" s="176" t="n"/>
      <c r="HF151" s="176" t="n"/>
      <c r="HG151" s="176" t="n"/>
      <c r="HH151" s="176" t="n"/>
      <c r="HI151" s="176" t="n"/>
      <c r="HJ151" s="176" t="n"/>
      <c r="HK151" s="176" t="n"/>
      <c r="HL151" s="176" t="n"/>
      <c r="HM151" s="176" t="n"/>
      <c r="HN151" s="176" t="n"/>
      <c r="HO151" s="176" t="n"/>
      <c r="HP151" s="179" t="inlineStr">
        <is>
          <t>TALENTO · ENTIDADE · 11</t>
        </is>
      </c>
      <c r="HV151" s="176" t="n"/>
      <c r="HW151" s="176" t="n"/>
      <c r="HX151" s="179" t="inlineStr">
        <is>
          <t>TALENTO · ENTIDADE · 12</t>
        </is>
      </c>
      <c r="ID151" s="176" t="n"/>
    </row>
    <row r="152" ht="18.75" customHeight="1">
      <c r="A152" s="176" t="n"/>
      <c r="B152" s="176" t="n"/>
      <c r="C152" s="176" t="n"/>
      <c r="D152" s="176" t="n"/>
      <c r="E152" s="176" t="n"/>
      <c r="F152" s="176" t="n"/>
      <c r="G152" s="176" t="n"/>
      <c r="H152" s="176" t="n"/>
      <c r="I152" s="176" t="n"/>
      <c r="J152" s="176" t="n"/>
      <c r="K152" s="176" t="n"/>
      <c r="L152" s="176" t="n"/>
      <c r="M152" s="176" t="n"/>
      <c r="N152" s="176" t="n"/>
      <c r="O152" s="176" t="n"/>
      <c r="P152" s="176" t="n"/>
      <c r="Q152" s="176" t="n"/>
      <c r="R152" s="176" t="n"/>
      <c r="S152" s="176" t="n"/>
      <c r="T152" s="180">
        <f>IF('DADOS_CUSTOM'!$S$10="","Revise os valores ao trocar o tipo.","⚠ "&amp;'DADOS_CUSTOM'!$S$10)</f>
        <v/>
      </c>
      <c r="Z152" s="176" t="n"/>
      <c r="AA152" s="176" t="n"/>
      <c r="AB152" s="180">
        <f>IF('DADOS_CUSTOM'!$S$11="","Revise os valores ao trocar o tipo.","⚠ "&amp;'DADOS_CUSTOM'!$S$11)</f>
        <v/>
      </c>
      <c r="AH152" s="176" t="n"/>
      <c r="AI152" s="176" t="n"/>
      <c r="AJ152" s="176" t="n"/>
      <c r="AK152" s="176" t="n"/>
      <c r="AL152" s="176" t="n"/>
      <c r="AM152" s="176" t="n"/>
      <c r="AN152" s="176" t="n"/>
      <c r="AO152" s="176" t="n"/>
      <c r="AP152" s="176" t="n"/>
      <c r="AQ152" s="176" t="n"/>
      <c r="AR152" s="176" t="n"/>
      <c r="AS152" s="176" t="n"/>
      <c r="AT152" s="176" t="n"/>
      <c r="AU152" s="176" t="n"/>
      <c r="AV152" s="176" t="n"/>
      <c r="AW152" s="176" t="n"/>
      <c r="AX152" s="176" t="n"/>
      <c r="AY152" s="176" t="n"/>
      <c r="AZ152" s="176" t="n"/>
      <c r="BA152" s="176" t="n"/>
      <c r="BB152" s="176" t="n"/>
      <c r="BC152" s="176" t="n"/>
      <c r="BD152" s="176" t="n"/>
      <c r="BE152" s="176" t="n"/>
      <c r="BF152" s="176" t="n"/>
      <c r="BG152" s="176" t="n"/>
      <c r="BH152" s="176" t="n"/>
      <c r="BI152" s="176" t="n"/>
      <c r="BJ152" s="176" t="n"/>
      <c r="BK152" s="176" t="n"/>
      <c r="BL152" s="176" t="n"/>
      <c r="BM152" s="176" t="n"/>
      <c r="BN152" s="176" t="n"/>
      <c r="BO152" s="176" t="n"/>
      <c r="BP152" s="176" t="n"/>
      <c r="BQ152" s="176" t="n"/>
      <c r="BR152" s="176" t="n"/>
      <c r="BS152" s="176" t="n"/>
      <c r="BT152" s="176" t="n"/>
      <c r="BU152" s="176" t="n"/>
      <c r="BV152" s="176" t="n"/>
      <c r="BW152" s="176" t="n"/>
      <c r="BX152" s="176" t="n"/>
      <c r="BY152" s="176" t="n"/>
      <c r="BZ152" s="176" t="n"/>
      <c r="CA152" s="176" t="n"/>
      <c r="CB152" s="176" t="n"/>
      <c r="CC152" s="176" t="n"/>
      <c r="CD152" s="176" t="n"/>
      <c r="CE152" s="176" t="n"/>
      <c r="CF152" s="176" t="n"/>
      <c r="CG152" s="176" t="n"/>
      <c r="CH152" s="176" t="n"/>
      <c r="CI152" s="176" t="n"/>
      <c r="CJ152" s="176" t="n"/>
      <c r="CK152" s="176" t="n"/>
      <c r="CL152" s="176" t="n"/>
      <c r="CM152" s="176" t="n"/>
      <c r="CN152" s="176" t="n"/>
      <c r="CO152" s="176" t="n"/>
      <c r="CP152" s="176" t="n"/>
      <c r="CQ152" s="176" t="n"/>
      <c r="CR152" s="176" t="n"/>
      <c r="CS152" s="176" t="n"/>
      <c r="CT152" s="176" t="n"/>
      <c r="CU152" s="176" t="n"/>
      <c r="CV152" s="176" t="n"/>
      <c r="CW152" s="176" t="n"/>
      <c r="CX152" s="176" t="n"/>
      <c r="CY152" s="176" t="n"/>
      <c r="CZ152" s="176" t="n"/>
      <c r="DA152" s="192" t="n"/>
      <c r="DB152" s="187" t="n"/>
      <c r="DC152" s="187" t="n"/>
      <c r="DD152" s="187" t="n"/>
      <c r="DE152" s="187" t="n"/>
      <c r="DF152" s="188" t="n"/>
      <c r="DG152" s="176" t="n"/>
      <c r="DH152" s="176" t="n"/>
      <c r="DI152" s="192" t="n"/>
      <c r="DJ152" s="187" t="n"/>
      <c r="DK152" s="187" t="n"/>
      <c r="DL152" s="187" t="n"/>
      <c r="DM152" s="187" t="n"/>
      <c r="DN152" s="188" t="n"/>
      <c r="DO152" s="176" t="n"/>
      <c r="DP152" s="176" t="n"/>
      <c r="DQ152" s="176" t="n"/>
      <c r="DR152" s="181" t="inlineStr">
        <is>
          <t>EFEITO E REQUISITOS</t>
        </is>
      </c>
      <c r="DS152" s="182" t="n"/>
      <c r="DT152" s="182" t="n"/>
      <c r="DU152" s="182" t="n"/>
      <c r="DV152" s="182" t="n"/>
      <c r="DW152" s="183" t="n"/>
      <c r="DX152" s="176" t="n"/>
      <c r="DY152" s="176" t="n"/>
      <c r="DZ152" s="181" t="inlineStr">
        <is>
          <t>EFEITO E REQUISITOS</t>
        </is>
      </c>
      <c r="EA152" s="182" t="n"/>
      <c r="EB152" s="182" t="n"/>
      <c r="EC152" s="182" t="n"/>
      <c r="ED152" s="182" t="n"/>
      <c r="EE152" s="183" t="n"/>
      <c r="EF152" s="176" t="n"/>
      <c r="EG152" s="176" t="n"/>
      <c r="EH152" s="176" t="n"/>
      <c r="EI152" s="176" t="n"/>
      <c r="EJ152" s="176" t="n"/>
      <c r="EK152" s="176" t="n"/>
      <c r="EL152" s="176" t="n"/>
      <c r="EM152" s="176" t="n"/>
      <c r="EN152" s="176" t="n"/>
      <c r="EO152" s="176" t="n"/>
      <c r="EP152" s="176" t="n"/>
      <c r="EQ152" s="176" t="n"/>
      <c r="ER152" s="176" t="n"/>
      <c r="ES152" s="176" t="n"/>
      <c r="ET152" s="176" t="n"/>
      <c r="EU152" s="176" t="n"/>
      <c r="EV152" s="176" t="n"/>
      <c r="EW152" s="176" t="n"/>
      <c r="EX152" s="176" t="n"/>
      <c r="EY152" s="176" t="n"/>
      <c r="EZ152" s="185" t="inlineStr">
        <is>
          <t>Forma</t>
        </is>
      </c>
      <c r="FA152" s="182" t="n"/>
      <c r="FB152" s="182" t="n"/>
      <c r="FC152" s="183" t="n"/>
      <c r="FD152" s="184" t="b">
        <v>0</v>
      </c>
      <c r="FE152" s="183" t="n"/>
      <c r="FF152" s="176" t="n"/>
      <c r="FG152" s="176" t="n"/>
      <c r="FH152" s="185" t="inlineStr">
        <is>
          <t>Forma</t>
        </is>
      </c>
      <c r="FI152" s="182" t="n"/>
      <c r="FJ152" s="182" t="n"/>
      <c r="FK152" s="183" t="n"/>
      <c r="FL152" s="184" t="b">
        <v>0</v>
      </c>
      <c r="FM152" s="183" t="n"/>
      <c r="FN152" s="176" t="n"/>
      <c r="FO152" s="176" t="n"/>
      <c r="FP152" s="176" t="n"/>
      <c r="FQ152" s="176" t="n"/>
      <c r="FR152" s="176" t="n"/>
      <c r="FS152" s="176" t="n"/>
      <c r="FT152" s="176" t="n"/>
      <c r="FU152" s="176" t="n"/>
      <c r="FV152" s="176" t="n"/>
      <c r="FW152" s="176" t="n"/>
      <c r="FX152" s="176" t="n"/>
      <c r="FY152" s="176" t="n"/>
      <c r="FZ152" s="176" t="n"/>
      <c r="GA152" s="176" t="n"/>
      <c r="GB152" s="176" t="n"/>
      <c r="GC152" s="176" t="n"/>
      <c r="GD152" s="176" t="n"/>
      <c r="GE152" s="176" t="n"/>
      <c r="GF152" s="176" t="n"/>
      <c r="GG152" s="176" t="n"/>
      <c r="GH152" s="176" t="n"/>
      <c r="GI152" s="176" t="n"/>
      <c r="GJ152" s="176" t="n"/>
      <c r="GK152" s="176" t="n"/>
      <c r="GL152" s="176" t="n"/>
      <c r="GM152" s="176" t="n"/>
      <c r="GN152" s="176" t="n"/>
      <c r="GO152" s="176" t="n"/>
      <c r="GP152" s="176" t="n"/>
      <c r="GQ152" s="176" t="n"/>
      <c r="GR152" s="176" t="n"/>
      <c r="GS152" s="176" t="n"/>
      <c r="GT152" s="176" t="n"/>
      <c r="GU152" s="176" t="n"/>
      <c r="GV152" s="176" t="n"/>
      <c r="GW152" s="176" t="n"/>
      <c r="GX152" s="176" t="n"/>
      <c r="GY152" s="176" t="n"/>
      <c r="GZ152" s="176" t="n"/>
      <c r="HA152" s="176" t="n"/>
      <c r="HB152" s="176" t="n"/>
      <c r="HC152" s="176" t="n"/>
      <c r="HD152" s="176" t="n"/>
      <c r="HE152" s="176" t="n"/>
      <c r="HF152" s="176" t="n"/>
      <c r="HG152" s="176" t="n"/>
      <c r="HH152" s="176" t="n"/>
      <c r="HI152" s="176" t="n"/>
      <c r="HJ152" s="176" t="n"/>
      <c r="HK152" s="176" t="n"/>
      <c r="HL152" s="176" t="n"/>
      <c r="HM152" s="176" t="n"/>
      <c r="HN152" s="176" t="n"/>
      <c r="HO152" s="176" t="n"/>
      <c r="HP152" s="181" t="inlineStr">
        <is>
          <t>NOME</t>
        </is>
      </c>
      <c r="HQ152" s="182" t="n"/>
      <c r="HR152" s="182" t="n"/>
      <c r="HS152" s="183" t="n"/>
      <c r="HT152" s="181" t="inlineStr">
        <is>
          <t>MESTRE VIU</t>
        </is>
      </c>
      <c r="HU152" s="183" t="n"/>
      <c r="HV152" s="176" t="n"/>
      <c r="HW152" s="176" t="n"/>
      <c r="HX152" s="181" t="inlineStr">
        <is>
          <t>NOME</t>
        </is>
      </c>
      <c r="HY152" s="182" t="n"/>
      <c r="HZ152" s="182" t="n"/>
      <c r="IA152" s="183" t="n"/>
      <c r="IB152" s="181" t="inlineStr">
        <is>
          <t>MESTRE VIU</t>
        </is>
      </c>
      <c r="IC152" s="183" t="n"/>
      <c r="ID152" s="176" t="n"/>
    </row>
    <row r="153" ht="18.75" customHeight="1">
      <c r="A153" s="176" t="n"/>
      <c r="B153" s="176" t="n"/>
      <c r="C153" s="179" t="inlineStr">
        <is>
          <t>TÉCNICA · FAMÍLIAS</t>
        </is>
      </c>
      <c r="I153" s="176" t="n"/>
      <c r="J153" s="176" t="n"/>
      <c r="K153" s="176" t="n"/>
      <c r="L153" s="176" t="n"/>
      <c r="M153" s="176" t="n"/>
      <c r="N153" s="176" t="n"/>
      <c r="O153" s="176" t="n"/>
      <c r="P153" s="176" t="n"/>
      <c r="Q153" s="176" t="n"/>
      <c r="R153" s="176" t="n"/>
      <c r="S153" s="176" t="n"/>
      <c r="Z153" s="176" t="n"/>
      <c r="AA153" s="176" t="n"/>
      <c r="AH153" s="176" t="n"/>
      <c r="AI153" s="176" t="n"/>
      <c r="AJ153" s="176" t="n"/>
      <c r="AK153" s="176" t="n"/>
      <c r="AL153" s="176" t="n"/>
      <c r="AM153" s="176" t="n"/>
      <c r="AN153" s="176" t="n"/>
      <c r="AO153" s="176" t="n"/>
      <c r="AP153" s="176" t="n"/>
      <c r="AQ153" s="176" t="n"/>
      <c r="AR153" s="176" t="n"/>
      <c r="AS153" s="176" t="n"/>
      <c r="AT153" s="176" t="n"/>
      <c r="AU153" s="176" t="n"/>
      <c r="AV153" s="176" t="n"/>
      <c r="AW153" s="176" t="n"/>
      <c r="AX153" s="176" t="n"/>
      <c r="AY153" s="176" t="n"/>
      <c r="AZ153" s="176" t="n"/>
      <c r="BA153" s="176" t="n"/>
      <c r="BB153" s="176" t="n"/>
      <c r="BC153" s="176" t="n"/>
      <c r="BD153" s="176" t="n"/>
      <c r="BE153" s="176" t="n"/>
      <c r="BF153" s="176" t="n"/>
      <c r="BG153" s="176" t="n"/>
      <c r="BH153" s="176" t="n"/>
      <c r="BI153" s="176" t="n"/>
      <c r="BJ153" s="176" t="n"/>
      <c r="BK153" s="176" t="n"/>
      <c r="BL153" s="176" t="n"/>
      <c r="BM153" s="176" t="n"/>
      <c r="BN153" s="176" t="n"/>
      <c r="BO153" s="176" t="n"/>
      <c r="BP153" s="176" t="n"/>
      <c r="BQ153" s="176" t="n"/>
      <c r="BR153" s="176" t="n"/>
      <c r="BS153" s="176" t="n"/>
      <c r="BT153" s="176" t="n"/>
      <c r="BU153" s="176" t="n"/>
      <c r="BV153" s="176" t="n"/>
      <c r="BW153" s="176" t="n"/>
      <c r="BX153" s="176" t="n"/>
      <c r="BY153" s="176" t="n"/>
      <c r="BZ153" s="176" t="n"/>
      <c r="CA153" s="176" t="n"/>
      <c r="CB153" s="176" t="n"/>
      <c r="CC153" s="176" t="n"/>
      <c r="CD153" s="176" t="n"/>
      <c r="CE153" s="176" t="n"/>
      <c r="CF153" s="176" t="n"/>
      <c r="CG153" s="176" t="n"/>
      <c r="CH153" s="176" t="n"/>
      <c r="CI153" s="176" t="n"/>
      <c r="CJ153" s="176" t="n"/>
      <c r="CK153" s="176" t="n"/>
      <c r="CL153" s="176" t="n"/>
      <c r="CM153" s="176" t="n"/>
      <c r="CN153" s="176" t="n"/>
      <c r="CO153" s="176" t="n"/>
      <c r="CP153" s="176" t="n"/>
      <c r="CQ153" s="176" t="n"/>
      <c r="CR153" s="176" t="n"/>
      <c r="CS153" s="176" t="n"/>
      <c r="CT153" s="176" t="n"/>
      <c r="CU153" s="176" t="n"/>
      <c r="CV153" s="176" t="n"/>
      <c r="CW153" s="176" t="n"/>
      <c r="CX153" s="176" t="n"/>
      <c r="CY153" s="176" t="n"/>
      <c r="CZ153" s="176" t="n"/>
      <c r="DA153" s="193" t="n"/>
      <c r="DF153" s="194" t="n"/>
      <c r="DG153" s="176" t="n"/>
      <c r="DH153" s="176" t="n"/>
      <c r="DI153" s="193" t="n"/>
      <c r="DN153" s="194" t="n"/>
      <c r="DO153" s="176" t="n"/>
      <c r="DP153" s="176" t="n"/>
      <c r="DQ153" s="176" t="n"/>
      <c r="DR153" s="192" t="n"/>
      <c r="DS153" s="187" t="n"/>
      <c r="DT153" s="187" t="n"/>
      <c r="DU153" s="187" t="n"/>
      <c r="DV153" s="187" t="n"/>
      <c r="DW153" s="188" t="n"/>
      <c r="DX153" s="176" t="n"/>
      <c r="DY153" s="176" t="n"/>
      <c r="DZ153" s="192" t="n"/>
      <c r="EA153" s="187" t="n"/>
      <c r="EB153" s="187" t="n"/>
      <c r="EC153" s="187" t="n"/>
      <c r="ED153" s="187" t="n"/>
      <c r="EE153" s="188" t="n"/>
      <c r="EF153" s="176" t="n"/>
      <c r="EG153" s="176" t="n"/>
      <c r="EH153" s="176" t="n"/>
      <c r="EI153" s="176" t="n"/>
      <c r="EJ153" s="176" t="n"/>
      <c r="EK153" s="176" t="n"/>
      <c r="EL153" s="176" t="n"/>
      <c r="EM153" s="176" t="n"/>
      <c r="EN153" s="176" t="n"/>
      <c r="EO153" s="176" t="n"/>
      <c r="EP153" s="176" t="n"/>
      <c r="EQ153" s="176" t="n"/>
      <c r="ER153" s="176" t="n"/>
      <c r="ES153" s="176" t="n"/>
      <c r="ET153" s="176" t="n"/>
      <c r="EU153" s="176" t="n"/>
      <c r="EV153" s="176" t="n"/>
      <c r="EW153" s="176" t="n"/>
      <c r="EX153" s="176" t="n"/>
      <c r="EY153" s="176" t="n"/>
      <c r="EZ153" s="181" t="inlineStr">
        <is>
          <t>NOME</t>
        </is>
      </c>
      <c r="FA153" s="182" t="n"/>
      <c r="FB153" s="182" t="n"/>
      <c r="FC153" s="182" t="n"/>
      <c r="FD153" s="182" t="n"/>
      <c r="FE153" s="183" t="n"/>
      <c r="FF153" s="176" t="n"/>
      <c r="FG153" s="176" t="n"/>
      <c r="FH153" s="181" t="inlineStr">
        <is>
          <t>NOME</t>
        </is>
      </c>
      <c r="FI153" s="182" t="n"/>
      <c r="FJ153" s="182" t="n"/>
      <c r="FK153" s="182" t="n"/>
      <c r="FL153" s="182" t="n"/>
      <c r="FM153" s="183" t="n"/>
      <c r="FN153" s="176" t="n"/>
      <c r="FO153" s="176" t="n"/>
      <c r="FP153" s="176" t="n"/>
      <c r="FQ153" s="176" t="n"/>
      <c r="FR153" s="176" t="n"/>
      <c r="FS153" s="176" t="n"/>
      <c r="FT153" s="176" t="n"/>
      <c r="FU153" s="176" t="n"/>
      <c r="FV153" s="176" t="n"/>
      <c r="FW153" s="176" t="n"/>
      <c r="FX153" s="176" t="n"/>
      <c r="FY153" s="176" t="n"/>
      <c r="FZ153" s="176" t="n"/>
      <c r="GA153" s="176" t="n"/>
      <c r="GB153" s="176" t="n"/>
      <c r="GC153" s="176" t="n"/>
      <c r="GD153" s="176" t="n"/>
      <c r="GE153" s="176" t="n"/>
      <c r="GF153" s="176" t="n"/>
      <c r="GG153" s="176" t="n"/>
      <c r="GH153" s="176" t="n"/>
      <c r="GI153" s="176" t="n"/>
      <c r="GJ153" s="176" t="n"/>
      <c r="GK153" s="176" t="n"/>
      <c r="GL153" s="176" t="n"/>
      <c r="GM153" s="176" t="n"/>
      <c r="GN153" s="176" t="n"/>
      <c r="GO153" s="176" t="n"/>
      <c r="GP153" s="176" t="n"/>
      <c r="GQ153" s="176" t="n"/>
      <c r="GR153" s="176" t="n"/>
      <c r="GS153" s="176" t="n"/>
      <c r="GT153" s="176" t="n"/>
      <c r="GU153" s="176" t="n"/>
      <c r="GV153" s="176" t="n"/>
      <c r="GW153" s="176" t="n"/>
      <c r="GX153" s="176" t="n"/>
      <c r="GY153" s="176" t="n"/>
      <c r="GZ153" s="176" t="n"/>
      <c r="HA153" s="176" t="n"/>
      <c r="HB153" s="176" t="n"/>
      <c r="HC153" s="176" t="n"/>
      <c r="HD153" s="176" t="n"/>
      <c r="HE153" s="176" t="n"/>
      <c r="HF153" s="176" t="n"/>
      <c r="HG153" s="176" t="n"/>
      <c r="HH153" s="176" t="n"/>
      <c r="HI153" s="176" t="n"/>
      <c r="HJ153" s="176" t="n"/>
      <c r="HK153" s="176" t="n"/>
      <c r="HL153" s="176" t="n"/>
      <c r="HM153" s="176" t="n"/>
      <c r="HN153" s="176" t="n"/>
      <c r="HO153" s="176" t="n"/>
      <c r="HP153" s="185" t="n"/>
      <c r="HQ153" s="182" t="n"/>
      <c r="HR153" s="182" t="n"/>
      <c r="HS153" s="183" t="n"/>
      <c r="HT153" s="184" t="b">
        <v>0</v>
      </c>
      <c r="HU153" s="183" t="n"/>
      <c r="HV153" s="176" t="n"/>
      <c r="HW153" s="176" t="n"/>
      <c r="HX153" s="185" t="n"/>
      <c r="HY153" s="182" t="n"/>
      <c r="HZ153" s="182" t="n"/>
      <c r="IA153" s="183" t="n"/>
      <c r="IB153" s="184" t="b">
        <v>0</v>
      </c>
      <c r="IC153" s="183" t="n"/>
      <c r="ID153" s="176" t="n"/>
    </row>
    <row r="154" ht="18.75" customHeight="1">
      <c r="A154" s="176" t="n"/>
      <c r="B154" s="176" t="n"/>
      <c r="I154" s="176" t="n"/>
      <c r="J154" s="176" t="n"/>
      <c r="K154" s="176" t="n"/>
      <c r="L154" s="176" t="n"/>
      <c r="M154" s="176" t="n"/>
      <c r="N154" s="176" t="n"/>
      <c r="O154" s="176" t="n"/>
      <c r="P154" s="176" t="n"/>
      <c r="Q154" s="176" t="n"/>
      <c r="R154" s="176" t="n"/>
      <c r="S154" s="176" t="n"/>
      <c r="T154" s="176" t="n"/>
      <c r="U154" s="176" t="n"/>
      <c r="V154" s="176" t="n"/>
      <c r="W154" s="176" t="n"/>
      <c r="X154" s="176" t="n"/>
      <c r="Y154" s="176" t="n"/>
      <c r="Z154" s="176" t="n"/>
      <c r="AA154" s="176" t="n"/>
      <c r="AB154" s="176" t="n"/>
      <c r="AC154" s="176" t="n"/>
      <c r="AD154" s="176" t="n"/>
      <c r="AE154" s="176" t="n"/>
      <c r="AF154" s="176" t="n"/>
      <c r="AG154" s="176" t="n"/>
      <c r="AH154" s="176" t="n"/>
      <c r="AI154" s="176" t="n"/>
      <c r="AJ154" s="176" t="n"/>
      <c r="AK154" s="176" t="n"/>
      <c r="AL154" s="176" t="n"/>
      <c r="AM154" s="176" t="n"/>
      <c r="AN154" s="176" t="n"/>
      <c r="AO154" s="176" t="n"/>
      <c r="AP154" s="176" t="n"/>
      <c r="AQ154" s="176" t="n"/>
      <c r="AR154" s="176" t="n"/>
      <c r="AS154" s="176" t="n"/>
      <c r="AT154" s="176" t="n"/>
      <c r="AU154" s="176" t="n"/>
      <c r="AV154" s="176" t="n"/>
      <c r="AW154" s="176" t="n"/>
      <c r="AX154" s="176" t="n"/>
      <c r="AY154" s="176" t="n"/>
      <c r="AZ154" s="176" t="n"/>
      <c r="BA154" s="176" t="n"/>
      <c r="BB154" s="176" t="n"/>
      <c r="BC154" s="176" t="n"/>
      <c r="BD154" s="176" t="n"/>
      <c r="BE154" s="176" t="n"/>
      <c r="BF154" s="176" t="n"/>
      <c r="BG154" s="176" t="n"/>
      <c r="BH154" s="176" t="n"/>
      <c r="BI154" s="176" t="n"/>
      <c r="BJ154" s="176" t="n"/>
      <c r="BK154" s="176" t="n"/>
      <c r="BL154" s="176" t="n"/>
      <c r="BM154" s="176" t="n"/>
      <c r="BN154" s="176" t="n"/>
      <c r="BO154" s="176" t="n"/>
      <c r="BP154" s="176" t="n"/>
      <c r="BQ154" s="176" t="n"/>
      <c r="BR154" s="176" t="n"/>
      <c r="BS154" s="176" t="n"/>
      <c r="BT154" s="176" t="n"/>
      <c r="BU154" s="176" t="n"/>
      <c r="BV154" s="176" t="n"/>
      <c r="BW154" s="176" t="n"/>
      <c r="BX154" s="176" t="n"/>
      <c r="BY154" s="176" t="n"/>
      <c r="BZ154" s="176" t="n"/>
      <c r="CA154" s="176" t="n"/>
      <c r="CB154" s="176" t="n"/>
      <c r="CC154" s="176" t="n"/>
      <c r="CD154" s="176" t="n"/>
      <c r="CE154" s="176" t="n"/>
      <c r="CF154" s="176" t="n"/>
      <c r="CG154" s="176" t="n"/>
      <c r="CH154" s="176" t="n"/>
      <c r="CI154" s="176" t="n"/>
      <c r="CJ154" s="176" t="n"/>
      <c r="CK154" s="176" t="n"/>
      <c r="CL154" s="176" t="n"/>
      <c r="CM154" s="176" t="n"/>
      <c r="CN154" s="176" t="n"/>
      <c r="CO154" s="176" t="n"/>
      <c r="CP154" s="176" t="n"/>
      <c r="CQ154" s="176" t="n"/>
      <c r="CR154" s="176" t="n"/>
      <c r="CS154" s="176" t="n"/>
      <c r="CT154" s="176" t="n"/>
      <c r="CU154" s="176" t="n"/>
      <c r="CV154" s="176" t="n"/>
      <c r="CW154" s="176" t="n"/>
      <c r="CX154" s="176" t="n"/>
      <c r="CY154" s="176" t="n"/>
      <c r="CZ154" s="176" t="n"/>
      <c r="DA154" s="193" t="n"/>
      <c r="DF154" s="194" t="n"/>
      <c r="DG154" s="176" t="n"/>
      <c r="DH154" s="176" t="n"/>
      <c r="DI154" s="193" t="n"/>
      <c r="DN154" s="194" t="n"/>
      <c r="DO154" s="176" t="n"/>
      <c r="DP154" s="176" t="n"/>
      <c r="DQ154" s="176" t="n"/>
      <c r="DR154" s="193" t="n"/>
      <c r="DW154" s="194" t="n"/>
      <c r="DX154" s="176" t="n"/>
      <c r="DY154" s="176" t="n"/>
      <c r="DZ154" s="193" t="n"/>
      <c r="EE154" s="194" t="n"/>
      <c r="EF154" s="176" t="n"/>
      <c r="EG154" s="176" t="n"/>
      <c r="EH154" s="176" t="n"/>
      <c r="EI154" s="176" t="n"/>
      <c r="EJ154" s="176" t="n"/>
      <c r="EK154" s="176" t="n"/>
      <c r="EL154" s="176" t="n"/>
      <c r="EM154" s="176" t="n"/>
      <c r="EN154" s="176" t="n"/>
      <c r="EO154" s="176" t="n"/>
      <c r="EP154" s="176" t="n"/>
      <c r="EQ154" s="176" t="n"/>
      <c r="ER154" s="176" t="n"/>
      <c r="ES154" s="176" t="n"/>
      <c r="ET154" s="176" t="n"/>
      <c r="EU154" s="176" t="n"/>
      <c r="EV154" s="176" t="n"/>
      <c r="EW154" s="176" t="n"/>
      <c r="EX154" s="176" t="n"/>
      <c r="EY154" s="176" t="n"/>
      <c r="EZ154" s="185" t="n"/>
      <c r="FA154" s="182" t="n"/>
      <c r="FB154" s="182" t="n"/>
      <c r="FC154" s="182" t="n"/>
      <c r="FD154" s="182" t="n"/>
      <c r="FE154" s="183" t="n"/>
      <c r="FF154" s="176" t="n"/>
      <c r="FG154" s="176" t="n"/>
      <c r="FH154" s="185" t="n"/>
      <c r="FI154" s="182" t="n"/>
      <c r="FJ154" s="182" t="n"/>
      <c r="FK154" s="182" t="n"/>
      <c r="FL154" s="182" t="n"/>
      <c r="FM154" s="183" t="n"/>
      <c r="FN154" s="176" t="n"/>
      <c r="FO154" s="176" t="n"/>
      <c r="FP154" s="176" t="n"/>
      <c r="FQ154" s="176" t="n"/>
      <c r="FR154" s="176" t="n"/>
      <c r="FS154" s="176" t="n"/>
      <c r="FT154" s="176" t="n"/>
      <c r="FU154" s="176" t="n"/>
      <c r="FV154" s="176" t="n"/>
      <c r="FW154" s="176" t="n"/>
      <c r="FX154" s="176" t="n"/>
      <c r="FY154" s="176" t="n"/>
      <c r="FZ154" s="176" t="n"/>
      <c r="GA154" s="176" t="n"/>
      <c r="GB154" s="176" t="n"/>
      <c r="GC154" s="176" t="n"/>
      <c r="GD154" s="176" t="n"/>
      <c r="GE154" s="176" t="n"/>
      <c r="GF154" s="176" t="n"/>
      <c r="GG154" s="176" t="n"/>
      <c r="GH154" s="176" t="n"/>
      <c r="GI154" s="176" t="n"/>
      <c r="GJ154" s="176" t="n"/>
      <c r="GK154" s="176" t="n"/>
      <c r="GL154" s="176" t="n"/>
      <c r="GM154" s="176" t="n"/>
      <c r="GN154" s="176" t="n"/>
      <c r="GO154" s="176" t="n"/>
      <c r="GP154" s="176" t="n"/>
      <c r="GQ154" s="176" t="n"/>
      <c r="GR154" s="176" t="n"/>
      <c r="GS154" s="176" t="n"/>
      <c r="GT154" s="176" t="n"/>
      <c r="GU154" s="176" t="n"/>
      <c r="GV154" s="176" t="n"/>
      <c r="GW154" s="176" t="n"/>
      <c r="GX154" s="176" t="n"/>
      <c r="GY154" s="176" t="n"/>
      <c r="GZ154" s="176" t="n"/>
      <c r="HA154" s="176" t="n"/>
      <c r="HB154" s="176" t="n"/>
      <c r="HC154" s="176" t="n"/>
      <c r="HD154" s="176" t="n"/>
      <c r="HE154" s="176" t="n"/>
      <c r="HF154" s="176" t="n"/>
      <c r="HG154" s="176" t="n"/>
      <c r="HH154" s="176" t="n"/>
      <c r="HI154" s="176" t="n"/>
      <c r="HJ154" s="176" t="n"/>
      <c r="HK154" s="176" t="n"/>
      <c r="HL154" s="176" t="n"/>
      <c r="HM154" s="176" t="n"/>
      <c r="HN154" s="176" t="n"/>
      <c r="HO154" s="176" t="n"/>
      <c r="HP154" s="176" t="n"/>
      <c r="HQ154" s="176" t="n"/>
      <c r="HR154" s="176" t="n"/>
      <c r="HS154" s="176" t="n"/>
      <c r="HT154" s="176" t="n"/>
      <c r="HU154" s="176" t="n"/>
      <c r="HV154" s="176" t="n"/>
      <c r="HW154" s="176" t="n"/>
      <c r="HX154" s="176" t="n"/>
      <c r="HY154" s="176" t="n"/>
      <c r="HZ154" s="176" t="n"/>
      <c r="IA154" s="176" t="n"/>
      <c r="IB154" s="176" t="n"/>
      <c r="IC154" s="176" t="n"/>
      <c r="ID154" s="176" t="n"/>
    </row>
    <row r="155" ht="18.75" customHeight="1">
      <c r="A155" s="176" t="n"/>
      <c r="B155" s="176" t="n"/>
      <c r="C155" s="176" t="n"/>
      <c r="D155" s="176" t="n"/>
      <c r="E155" s="176" t="n"/>
      <c r="F155" s="176" t="n"/>
      <c r="G155" s="176" t="n"/>
      <c r="H155" s="176" t="n"/>
      <c r="I155" s="176" t="n"/>
      <c r="J155" s="176" t="n"/>
      <c r="K155" s="176" t="n"/>
      <c r="L155" s="176" t="n"/>
      <c r="M155" s="176" t="n"/>
      <c r="N155" s="176" t="n"/>
      <c r="O155" s="176" t="n"/>
      <c r="P155" s="176" t="n"/>
      <c r="Q155" s="176" t="n"/>
      <c r="R155" s="176" t="n"/>
      <c r="S155" s="176" t="n"/>
      <c r="T155" s="176" t="n"/>
      <c r="U155" s="176" t="n"/>
      <c r="V155" s="176" t="n"/>
      <c r="W155" s="176" t="n"/>
      <c r="X155" s="176" t="n"/>
      <c r="Y155" s="176" t="n"/>
      <c r="Z155" s="176" t="n"/>
      <c r="AA155" s="176" t="n"/>
      <c r="AB155" s="176" t="n"/>
      <c r="AC155" s="176" t="n"/>
      <c r="AD155" s="176" t="n"/>
      <c r="AE155" s="176" t="n"/>
      <c r="AF155" s="176" t="n"/>
      <c r="AG155" s="176" t="n"/>
      <c r="AH155" s="176" t="n"/>
      <c r="AI155" s="176" t="n"/>
      <c r="AJ155" s="176" t="n"/>
      <c r="AK155" s="176" t="n"/>
      <c r="AL155" s="176" t="n"/>
      <c r="AM155" s="176" t="n"/>
      <c r="AN155" s="176" t="n"/>
      <c r="AO155" s="176" t="n"/>
      <c r="AP155" s="176" t="n"/>
      <c r="AQ155" s="176" t="n"/>
      <c r="AR155" s="176" t="n"/>
      <c r="AS155" s="176" t="n"/>
      <c r="AT155" s="176" t="n"/>
      <c r="AU155" s="176" t="n"/>
      <c r="AV155" s="176" t="n"/>
      <c r="AW155" s="176" t="n"/>
      <c r="AX155" s="176" t="n"/>
      <c r="AY155" s="176" t="n"/>
      <c r="AZ155" s="176" t="n"/>
      <c r="BA155" s="176" t="n"/>
      <c r="BB155" s="176" t="n"/>
      <c r="BC155" s="176" t="n"/>
      <c r="BD155" s="176" t="n"/>
      <c r="BE155" s="176" t="n"/>
      <c r="BF155" s="176" t="n"/>
      <c r="BG155" s="176" t="n"/>
      <c r="BH155" s="176" t="n"/>
      <c r="BI155" s="176" t="n"/>
      <c r="BJ155" s="176" t="n"/>
      <c r="BK155" s="176" t="n"/>
      <c r="BL155" s="176" t="n"/>
      <c r="BM155" s="176" t="n"/>
      <c r="BN155" s="176" t="n"/>
      <c r="BO155" s="176" t="n"/>
      <c r="BP155" s="176" t="n"/>
      <c r="BQ155" s="176" t="n"/>
      <c r="BR155" s="176" t="n"/>
      <c r="BS155" s="176" t="n"/>
      <c r="BT155" s="176" t="n"/>
      <c r="BU155" s="176" t="n"/>
      <c r="BV155" s="176" t="n"/>
      <c r="BW155" s="176" t="n"/>
      <c r="BX155" s="176" t="n"/>
      <c r="BY155" s="176" t="n"/>
      <c r="BZ155" s="176" t="n"/>
      <c r="CA155" s="176" t="n"/>
      <c r="CB155" s="176" t="n"/>
      <c r="CC155" s="176" t="n"/>
      <c r="CD155" s="176" t="n"/>
      <c r="CE155" s="176" t="n"/>
      <c r="CF155" s="176" t="n"/>
      <c r="CG155" s="176" t="n"/>
      <c r="CH155" s="176" t="n"/>
      <c r="CI155" s="176" t="n"/>
      <c r="CJ155" s="176" t="n"/>
      <c r="CK155" s="176" t="n"/>
      <c r="CL155" s="176" t="n"/>
      <c r="CM155" s="176" t="n"/>
      <c r="CN155" s="176" t="n"/>
      <c r="CO155" s="176" t="n"/>
      <c r="CP155" s="176" t="n"/>
      <c r="CQ155" s="176" t="n"/>
      <c r="CR155" s="176" t="n"/>
      <c r="CS155" s="176" t="n"/>
      <c r="CT155" s="176" t="n"/>
      <c r="CU155" s="176" t="n"/>
      <c r="CV155" s="176" t="n"/>
      <c r="CW155" s="176" t="n"/>
      <c r="CX155" s="176" t="n"/>
      <c r="CY155" s="176" t="n"/>
      <c r="CZ155" s="176" t="n"/>
      <c r="DA155" s="189" t="n"/>
      <c r="DB155" s="190" t="n"/>
      <c r="DC155" s="190" t="n"/>
      <c r="DD155" s="190" t="n"/>
      <c r="DE155" s="190" t="n"/>
      <c r="DF155" s="191" t="n"/>
      <c r="DG155" s="176" t="n"/>
      <c r="DH155" s="176" t="n"/>
      <c r="DI155" s="189" t="n"/>
      <c r="DJ155" s="190" t="n"/>
      <c r="DK155" s="190" t="n"/>
      <c r="DL155" s="190" t="n"/>
      <c r="DM155" s="190" t="n"/>
      <c r="DN155" s="191" t="n"/>
      <c r="DO155" s="176" t="n"/>
      <c r="DP155" s="176" t="n"/>
      <c r="DQ155" s="176" t="n"/>
      <c r="DR155" s="193" t="n"/>
      <c r="DW155" s="194" t="n"/>
      <c r="DX155" s="176" t="n"/>
      <c r="DY155" s="176" t="n"/>
      <c r="DZ155" s="193" t="n"/>
      <c r="EE155" s="194" t="n"/>
      <c r="EF155" s="176" t="n"/>
      <c r="EG155" s="176" t="n"/>
      <c r="EH155" s="176" t="n"/>
      <c r="EI155" s="176" t="n"/>
      <c r="EJ155" s="176" t="n"/>
      <c r="EK155" s="176" t="n"/>
      <c r="EL155" s="176" t="n"/>
      <c r="EM155" s="176" t="n"/>
      <c r="EN155" s="176" t="n"/>
      <c r="EO155" s="176" t="n"/>
      <c r="EP155" s="176" t="n"/>
      <c r="EQ155" s="176" t="n"/>
      <c r="ER155" s="176" t="n"/>
      <c r="ES155" s="176" t="n"/>
      <c r="ET155" s="176" t="n"/>
      <c r="EU155" s="176" t="n"/>
      <c r="EV155" s="176" t="n"/>
      <c r="EW155" s="176" t="n"/>
      <c r="EX155" s="176" t="n"/>
      <c r="EY155" s="176" t="n"/>
      <c r="EZ155" s="181" t="inlineStr">
        <is>
          <t>BASE DO LIVRO</t>
        </is>
      </c>
      <c r="FA155" s="182" t="n"/>
      <c r="FB155" s="183" t="n"/>
      <c r="FC155" s="185" t="n"/>
      <c r="FD155" s="182" t="n"/>
      <c r="FE155" s="183" t="n"/>
      <c r="FF155" s="176" t="n"/>
      <c r="FG155" s="176" t="n"/>
      <c r="FH155" s="181" t="inlineStr">
        <is>
          <t>BASE DO LIVRO</t>
        </is>
      </c>
      <c r="FI155" s="182" t="n"/>
      <c r="FJ155" s="183" t="n"/>
      <c r="FK155" s="185" t="n"/>
      <c r="FL155" s="182" t="n"/>
      <c r="FM155" s="183" t="n"/>
      <c r="FN155" s="176" t="n"/>
      <c r="FO155" s="176" t="n"/>
      <c r="FP155" s="176" t="n"/>
      <c r="FQ155" s="176" t="n"/>
      <c r="FR155" s="176" t="n"/>
      <c r="FS155" s="176" t="n"/>
      <c r="FT155" s="176" t="n"/>
      <c r="FU155" s="176" t="n"/>
      <c r="FV155" s="176" t="n"/>
      <c r="FW155" s="176" t="n"/>
      <c r="FX155" s="176" t="n"/>
      <c r="FY155" s="176" t="n"/>
      <c r="FZ155" s="176" t="n"/>
      <c r="GA155" s="176" t="n"/>
      <c r="GB155" s="176" t="n"/>
      <c r="GC155" s="176" t="n"/>
      <c r="GD155" s="176" t="n"/>
      <c r="GE155" s="176" t="n"/>
      <c r="GF155" s="176" t="n"/>
      <c r="GG155" s="176" t="n"/>
      <c r="GH155" s="176" t="n"/>
      <c r="GI155" s="176" t="n"/>
      <c r="GJ155" s="176" t="n"/>
      <c r="GK155" s="176" t="n"/>
      <c r="GL155" s="176" t="n"/>
      <c r="GM155" s="176" t="n"/>
      <c r="GN155" s="176" t="n"/>
      <c r="GO155" s="176" t="n"/>
      <c r="GP155" s="176" t="n"/>
      <c r="GQ155" s="176" t="n"/>
      <c r="GR155" s="176" t="n"/>
      <c r="GS155" s="176" t="n"/>
      <c r="GT155" s="176" t="n"/>
      <c r="GU155" s="176" t="n"/>
      <c r="GV155" s="176" t="n"/>
      <c r="GW155" s="176" t="n"/>
      <c r="GX155" s="176" t="n"/>
      <c r="GY155" s="176" t="n"/>
      <c r="GZ155" s="176" t="n"/>
      <c r="HA155" s="176" t="n"/>
      <c r="HB155" s="176" t="n"/>
      <c r="HC155" s="176" t="n"/>
      <c r="HD155" s="176" t="n"/>
      <c r="HE155" s="176" t="n"/>
      <c r="HF155" s="176" t="n"/>
      <c r="HG155" s="176" t="n"/>
      <c r="HH155" s="176" t="n"/>
      <c r="HI155" s="176" t="n"/>
      <c r="HJ155" s="176" t="n"/>
      <c r="HK155" s="176" t="n"/>
      <c r="HL155" s="176" t="n"/>
      <c r="HM155" s="176" t="n"/>
      <c r="HN155" s="176" t="n"/>
      <c r="HO155" s="176" t="n"/>
      <c r="HP155" s="181" t="inlineStr">
        <is>
          <t>BASE DO LIVRO</t>
        </is>
      </c>
      <c r="HQ155" s="182" t="n"/>
      <c r="HR155" s="183" t="n"/>
      <c r="HS155" s="185" t="inlineStr">
        <is>
          <t>Nenhuma</t>
        </is>
      </c>
      <c r="HT155" s="182" t="n"/>
      <c r="HU155" s="183" t="n"/>
      <c r="HV155" s="176" t="n"/>
      <c r="HW155" s="176" t="n"/>
      <c r="HX155" s="181" t="inlineStr">
        <is>
          <t>BASE DO LIVRO</t>
        </is>
      </c>
      <c r="HY155" s="182" t="n"/>
      <c r="HZ155" s="183" t="n"/>
      <c r="IA155" s="185" t="inlineStr">
        <is>
          <t>Nenhuma</t>
        </is>
      </c>
      <c r="IB155" s="182" t="n"/>
      <c r="IC155" s="183" t="n"/>
      <c r="ID155" s="176" t="n"/>
    </row>
    <row r="156" ht="18.75" customHeight="1">
      <c r="A156" s="176" t="n"/>
      <c r="B156" s="176" t="n"/>
      <c r="C156" s="181" t="inlineStr">
        <is>
          <t>REGRA</t>
        </is>
      </c>
      <c r="D156" s="182" t="n"/>
      <c r="E156" s="183" t="n"/>
      <c r="F156" s="181" t="inlineStr">
        <is>
          <t>LIVRO</t>
        </is>
      </c>
      <c r="G156" s="181" t="inlineStr">
        <is>
          <t>CAMPANHA</t>
        </is>
      </c>
      <c r="H156" s="181" t="inlineStr">
        <is>
          <t>EM USO</t>
        </is>
      </c>
      <c r="I156" s="176" t="n"/>
      <c r="J156" s="176" t="n"/>
      <c r="K156" s="176" t="n"/>
      <c r="L156" s="176" t="n"/>
      <c r="M156" s="176" t="n"/>
      <c r="N156" s="176" t="n"/>
      <c r="O156" s="176" t="n"/>
      <c r="P156" s="176" t="n"/>
      <c r="Q156" s="176" t="n"/>
      <c r="R156" s="176" t="n"/>
      <c r="S156" s="176" t="n"/>
      <c r="T156" s="176" t="n"/>
      <c r="U156" s="176" t="n"/>
      <c r="V156" s="176" t="n"/>
      <c r="W156" s="176" t="n"/>
      <c r="X156" s="176" t="n"/>
      <c r="Y156" s="176" t="n"/>
      <c r="Z156" s="176" t="n"/>
      <c r="AA156" s="176" t="n"/>
      <c r="AB156" s="176" t="n"/>
      <c r="AC156" s="176" t="n"/>
      <c r="AD156" s="176" t="n"/>
      <c r="AE156" s="176" t="n"/>
      <c r="AF156" s="176" t="n"/>
      <c r="AG156" s="176" t="n"/>
      <c r="AH156" s="176" t="n"/>
      <c r="AI156" s="176" t="n"/>
      <c r="AJ156" s="176" t="n"/>
      <c r="AK156" s="176" t="n"/>
      <c r="AL156" s="176" t="n"/>
      <c r="AM156" s="176" t="n"/>
      <c r="AN156" s="176" t="n"/>
      <c r="AO156" s="176" t="n"/>
      <c r="AP156" s="176" t="n"/>
      <c r="AQ156" s="176" t="n"/>
      <c r="AR156" s="176" t="n"/>
      <c r="AS156" s="176" t="n"/>
      <c r="AT156" s="176" t="n"/>
      <c r="AU156" s="176" t="n"/>
      <c r="AV156" s="176" t="n"/>
      <c r="AW156" s="176" t="n"/>
      <c r="AX156" s="176" t="n"/>
      <c r="AY156" s="176" t="n"/>
      <c r="AZ156" s="176" t="n"/>
      <c r="BA156" s="176" t="n"/>
      <c r="BB156" s="176" t="n"/>
      <c r="BC156" s="176" t="n"/>
      <c r="BD156" s="176" t="n"/>
      <c r="BE156" s="176" t="n"/>
      <c r="BF156" s="176" t="n"/>
      <c r="BG156" s="176" t="n"/>
      <c r="BH156" s="176" t="n"/>
      <c r="BI156" s="176" t="n"/>
      <c r="BJ156" s="176" t="n"/>
      <c r="BK156" s="176" t="n"/>
      <c r="BL156" s="176" t="n"/>
      <c r="BM156" s="176" t="n"/>
      <c r="BN156" s="176" t="n"/>
      <c r="BO156" s="176" t="n"/>
      <c r="BP156" s="176" t="n"/>
      <c r="BQ156" s="176" t="n"/>
      <c r="BR156" s="176" t="n"/>
      <c r="BS156" s="176" t="n"/>
      <c r="BT156" s="176" t="n"/>
      <c r="BU156" s="176" t="n"/>
      <c r="BV156" s="176" t="n"/>
      <c r="BW156" s="176" t="n"/>
      <c r="BX156" s="176" t="n"/>
      <c r="BY156" s="176" t="n"/>
      <c r="BZ156" s="176" t="n"/>
      <c r="CA156" s="176" t="n"/>
      <c r="CB156" s="176" t="n"/>
      <c r="CC156" s="176" t="n"/>
      <c r="CD156" s="176" t="n"/>
      <c r="CE156" s="176" t="n"/>
      <c r="CF156" s="176" t="n"/>
      <c r="CG156" s="176" t="n"/>
      <c r="CH156" s="176" t="n"/>
      <c r="CI156" s="176" t="n"/>
      <c r="CJ156" s="176" t="n"/>
      <c r="CK156" s="176" t="n"/>
      <c r="CL156" s="176" t="n"/>
      <c r="CM156" s="176" t="n"/>
      <c r="CN156" s="176" t="n"/>
      <c r="CO156" s="176" t="n"/>
      <c r="CP156" s="176" t="n"/>
      <c r="CQ156" s="176" t="n"/>
      <c r="CR156" s="176" t="n"/>
      <c r="CS156" s="176" t="n"/>
      <c r="CT156" s="176" t="n"/>
      <c r="CU156" s="176" t="n"/>
      <c r="CV156" s="176" t="n"/>
      <c r="CW156" s="176" t="n"/>
      <c r="CX156" s="176" t="n"/>
      <c r="CY156" s="176" t="n"/>
      <c r="CZ156" s="176" t="n"/>
      <c r="DA156" s="176" t="n"/>
      <c r="DB156" s="176" t="n"/>
      <c r="DC156" s="176" t="n"/>
      <c r="DD156" s="176" t="n"/>
      <c r="DE156" s="176" t="n"/>
      <c r="DF156" s="176" t="n"/>
      <c r="DG156" s="176" t="n"/>
      <c r="DH156" s="176" t="n"/>
      <c r="DI156" s="176" t="n"/>
      <c r="DJ156" s="176" t="n"/>
      <c r="DK156" s="176" t="n"/>
      <c r="DL156" s="176" t="n"/>
      <c r="DM156" s="176" t="n"/>
      <c r="DN156" s="176" t="n"/>
      <c r="DO156" s="176" t="n"/>
      <c r="DP156" s="176" t="n"/>
      <c r="DQ156" s="176" t="n"/>
      <c r="DR156" s="193" t="n"/>
      <c r="DW156" s="194" t="n"/>
      <c r="DX156" s="176" t="n"/>
      <c r="DY156" s="176" t="n"/>
      <c r="DZ156" s="193" t="n"/>
      <c r="EE156" s="194" t="n"/>
      <c r="EF156" s="176" t="n"/>
      <c r="EG156" s="176" t="n"/>
      <c r="EH156" s="176" t="n"/>
      <c r="EI156" s="176" t="n"/>
      <c r="EJ156" s="176" t="n"/>
      <c r="EK156" s="176" t="n"/>
      <c r="EL156" s="176" t="n"/>
      <c r="EM156" s="176" t="n"/>
      <c r="EN156" s="176" t="n"/>
      <c r="EO156" s="176" t="n"/>
      <c r="EP156" s="176" t="n"/>
      <c r="EQ156" s="176" t="n"/>
      <c r="ER156" s="176" t="n"/>
      <c r="ES156" s="176" t="n"/>
      <c r="ET156" s="176" t="n"/>
      <c r="EU156" s="176" t="n"/>
      <c r="EV156" s="176" t="n"/>
      <c r="EW156" s="176" t="n"/>
      <c r="EX156" s="176" t="n"/>
      <c r="EY156" s="176" t="n"/>
      <c r="EZ156" s="181" t="inlineStr">
        <is>
          <t>FAMÍLIA</t>
        </is>
      </c>
      <c r="FA156" s="182" t="n"/>
      <c r="FB156" s="183" t="n"/>
      <c r="FC156" s="185" t="n"/>
      <c r="FD156" s="182" t="n"/>
      <c r="FE156" s="183" t="n"/>
      <c r="FF156" s="176" t="n"/>
      <c r="FG156" s="176" t="n"/>
      <c r="FH156" s="181" t="inlineStr">
        <is>
          <t>FAMÍLIA</t>
        </is>
      </c>
      <c r="FI156" s="182" t="n"/>
      <c r="FJ156" s="183" t="n"/>
      <c r="FK156" s="185" t="n"/>
      <c r="FL156" s="182" t="n"/>
      <c r="FM156" s="183" t="n"/>
      <c r="FN156" s="176" t="n"/>
      <c r="FO156" s="176" t="n"/>
      <c r="FP156" s="176" t="n"/>
      <c r="FQ156" s="176" t="n"/>
      <c r="FR156" s="176" t="n"/>
      <c r="FS156" s="176" t="n"/>
      <c r="FT156" s="176" t="n"/>
      <c r="FU156" s="176" t="n"/>
      <c r="FV156" s="176" t="n"/>
      <c r="FW156" s="176" t="n"/>
      <c r="FX156" s="176" t="n"/>
      <c r="FY156" s="176" t="n"/>
      <c r="FZ156" s="176" t="n"/>
      <c r="GA156" s="176" t="n"/>
      <c r="GB156" s="176" t="n"/>
      <c r="GC156" s="176" t="n"/>
      <c r="GD156" s="176" t="n"/>
      <c r="GE156" s="176" t="n"/>
      <c r="GF156" s="176" t="n"/>
      <c r="GG156" s="176" t="n"/>
      <c r="GH156" s="176" t="n"/>
      <c r="GI156" s="176" t="n"/>
      <c r="GJ156" s="176" t="n"/>
      <c r="GK156" s="176" t="n"/>
      <c r="GL156" s="176" t="n"/>
      <c r="GM156" s="176" t="n"/>
      <c r="GN156" s="176" t="n"/>
      <c r="GO156" s="176" t="n"/>
      <c r="GP156" s="176" t="n"/>
      <c r="GQ156" s="176" t="n"/>
      <c r="GR156" s="176" t="n"/>
      <c r="GS156" s="176" t="n"/>
      <c r="GT156" s="176" t="n"/>
      <c r="GU156" s="176" t="n"/>
      <c r="GV156" s="176" t="n"/>
      <c r="GW156" s="176" t="n"/>
      <c r="GX156" s="176" t="n"/>
      <c r="GY156" s="176" t="n"/>
      <c r="GZ156" s="176" t="n"/>
      <c r="HA156" s="176" t="n"/>
      <c r="HB156" s="176" t="n"/>
      <c r="HC156" s="176" t="n"/>
      <c r="HD156" s="176" t="n"/>
      <c r="HE156" s="176" t="n"/>
      <c r="HF156" s="176" t="n"/>
      <c r="HG156" s="176" t="n"/>
      <c r="HH156" s="176" t="n"/>
      <c r="HI156" s="176" t="n"/>
      <c r="HJ156" s="176" t="n"/>
      <c r="HK156" s="176" t="n"/>
      <c r="HL156" s="176" t="n"/>
      <c r="HM156" s="176" t="n"/>
      <c r="HN156" s="176" t="n"/>
      <c r="HO156" s="176" t="n"/>
      <c r="HP156" s="181" t="inlineStr">
        <is>
          <t>CATEGORIA DE EFEITO</t>
        </is>
      </c>
      <c r="HQ156" s="182" t="n"/>
      <c r="HR156" s="183" t="n"/>
      <c r="HS156" s="185" t="n"/>
      <c r="HT156" s="182" t="n"/>
      <c r="HU156" s="183" t="n"/>
      <c r="HV156" s="176" t="n"/>
      <c r="HW156" s="176" t="n"/>
      <c r="HX156" s="181" t="inlineStr">
        <is>
          <t>CATEGORIA DE EFEITO</t>
        </is>
      </c>
      <c r="HY156" s="182" t="n"/>
      <c r="HZ156" s="183" t="n"/>
      <c r="IA156" s="185" t="n"/>
      <c r="IB156" s="182" t="n"/>
      <c r="IC156" s="183" t="n"/>
      <c r="ID156" s="176" t="n"/>
    </row>
    <row r="157" ht="18.75" customHeight="1">
      <c r="A157" s="176" t="n"/>
      <c r="B157" s="176" t="n"/>
      <c r="C157" s="185" t="inlineStr">
        <is>
          <t>Famílias Livres</t>
        </is>
      </c>
      <c r="D157" s="182" t="n"/>
      <c r="E157" s="183" t="n"/>
      <c r="F157" s="186" t="n">
        <v>2</v>
      </c>
      <c r="G157" s="186" t="n"/>
      <c r="H157" s="186">
        <f>IF(ISBLANK(G157),F157,IF(IFERROR(AND(ISNUMBER(G157),G157&gt;=0,INT(G157)=G157),FALSE),G157,NA()))</f>
        <v/>
      </c>
      <c r="I157" s="176" t="n"/>
      <c r="J157" s="176" t="n"/>
      <c r="K157" s="176" t="n"/>
      <c r="L157" s="176" t="n"/>
      <c r="M157" s="176" t="n"/>
      <c r="N157" s="176" t="n"/>
      <c r="O157" s="176" t="n"/>
      <c r="P157" s="176" t="n"/>
      <c r="Q157" s="176" t="n"/>
      <c r="R157" s="176" t="n"/>
      <c r="S157" s="176" t="n"/>
      <c r="T157" s="179" t="inlineStr">
        <is>
          <t>CARTÃO 11 · CUSTOM</t>
        </is>
      </c>
      <c r="Z157" s="176" t="n"/>
      <c r="AA157" s="176" t="n"/>
      <c r="AB157" s="179" t="inlineStr">
        <is>
          <t>CARTÃO 12 · CUSTOM</t>
        </is>
      </c>
      <c r="AH157" s="176" t="n"/>
      <c r="AI157" s="176" t="n"/>
      <c r="AJ157" s="176" t="n"/>
      <c r="AK157" s="176" t="n"/>
      <c r="AL157" s="176" t="n"/>
      <c r="AM157" s="176" t="n"/>
      <c r="AN157" s="176" t="n"/>
      <c r="AO157" s="176" t="n"/>
      <c r="AP157" s="176" t="n"/>
      <c r="AQ157" s="176" t="n"/>
      <c r="AR157" s="176" t="n"/>
      <c r="AS157" s="176" t="n"/>
      <c r="AT157" s="176" t="n"/>
      <c r="AU157" s="176" t="n"/>
      <c r="AV157" s="176" t="n"/>
      <c r="AW157" s="176" t="n"/>
      <c r="AX157" s="176" t="n"/>
      <c r="AY157" s="176" t="n"/>
      <c r="AZ157" s="176" t="n"/>
      <c r="BA157" s="176" t="n"/>
      <c r="BB157" s="176" t="n"/>
      <c r="BC157" s="176" t="n"/>
      <c r="BD157" s="176" t="n"/>
      <c r="BE157" s="176" t="n"/>
      <c r="BF157" s="176" t="n"/>
      <c r="BG157" s="176" t="n"/>
      <c r="BH157" s="176" t="n"/>
      <c r="BI157" s="176" t="n"/>
      <c r="BJ157" s="176" t="n"/>
      <c r="BK157" s="176" t="n"/>
      <c r="BL157" s="176" t="n"/>
      <c r="BM157" s="176" t="n"/>
      <c r="BN157" s="176" t="n"/>
      <c r="BO157" s="176" t="n"/>
      <c r="BP157" s="176" t="n"/>
      <c r="BQ157" s="176" t="n"/>
      <c r="BR157" s="176" t="n"/>
      <c r="BS157" s="176" t="n"/>
      <c r="BT157" s="176" t="n"/>
      <c r="BU157" s="176" t="n"/>
      <c r="BV157" s="176" t="n"/>
      <c r="BW157" s="176" t="n"/>
      <c r="BX157" s="176" t="n"/>
      <c r="BY157" s="176" t="n"/>
      <c r="BZ157" s="176" t="n"/>
      <c r="CA157" s="176" t="n"/>
      <c r="CB157" s="176" t="n"/>
      <c r="CC157" s="176" t="n"/>
      <c r="CD157" s="176" t="n"/>
      <c r="CE157" s="176" t="n"/>
      <c r="CF157" s="176" t="n"/>
      <c r="CG157" s="176" t="n"/>
      <c r="CH157" s="176" t="n"/>
      <c r="CI157" s="176" t="n"/>
      <c r="CJ157" s="176" t="n"/>
      <c r="CK157" s="176" t="n"/>
      <c r="CL157" s="176" t="n"/>
      <c r="CM157" s="176" t="n"/>
      <c r="CN157" s="176" t="n"/>
      <c r="CO157" s="176" t="n"/>
      <c r="CP157" s="176" t="n"/>
      <c r="CQ157" s="176" t="n"/>
      <c r="CR157" s="176" t="n"/>
      <c r="CS157" s="176" t="n"/>
      <c r="CT157" s="176" t="n"/>
      <c r="CU157" s="176" t="n"/>
      <c r="CV157" s="176" t="n"/>
      <c r="CW157" s="176" t="n"/>
      <c r="CX157" s="176" t="n"/>
      <c r="CY157" s="176" t="n"/>
      <c r="CZ157" s="176" t="n"/>
      <c r="DA157" s="181" t="inlineStr">
        <is>
          <t>EFEITO</t>
        </is>
      </c>
      <c r="DB157" s="182" t="n"/>
      <c r="DC157" s="182" t="n"/>
      <c r="DD157" s="182" t="n"/>
      <c r="DE157" s="182" t="n"/>
      <c r="DF157" s="183" t="n"/>
      <c r="DG157" s="176" t="n"/>
      <c r="DH157" s="176" t="n"/>
      <c r="DI157" s="181" t="inlineStr">
        <is>
          <t>EFEITO</t>
        </is>
      </c>
      <c r="DJ157" s="182" t="n"/>
      <c r="DK157" s="182" t="n"/>
      <c r="DL157" s="182" t="n"/>
      <c r="DM157" s="182" t="n"/>
      <c r="DN157" s="183" t="n"/>
      <c r="DO157" s="176" t="n"/>
      <c r="DP157" s="176" t="n"/>
      <c r="DQ157" s="176" t="n"/>
      <c r="DR157" s="193" t="n"/>
      <c r="DW157" s="194" t="n"/>
      <c r="DX157" s="176" t="n"/>
      <c r="DY157" s="176" t="n"/>
      <c r="DZ157" s="193" t="n"/>
      <c r="EE157" s="194" t="n"/>
      <c r="EF157" s="176" t="n"/>
      <c r="EG157" s="176" t="n"/>
      <c r="EH157" s="176" t="n"/>
      <c r="EI157" s="176" t="n"/>
      <c r="EJ157" s="176" t="n"/>
      <c r="EK157" s="176" t="n"/>
      <c r="EL157" s="176" t="n"/>
      <c r="EM157" s="176" t="n"/>
      <c r="EN157" s="176" t="n"/>
      <c r="EO157" s="176" t="n"/>
      <c r="EP157" s="176" t="n"/>
      <c r="EQ157" s="176" t="n"/>
      <c r="ER157" s="176" t="n"/>
      <c r="ES157" s="176" t="n"/>
      <c r="ET157" s="176" t="n"/>
      <c r="EU157" s="176" t="n"/>
      <c r="EV157" s="176" t="n"/>
      <c r="EW157" s="176" t="n"/>
      <c r="EX157" s="176" t="n"/>
      <c r="EY157" s="176" t="n"/>
      <c r="EZ157" s="181" t="inlineStr">
        <is>
          <t>PESO</t>
        </is>
      </c>
      <c r="FA157" s="182" t="n"/>
      <c r="FB157" s="183" t="n"/>
      <c r="FC157" s="185" t="n"/>
      <c r="FD157" s="182" t="n"/>
      <c r="FE157" s="183" t="n"/>
      <c r="FF157" s="176" t="n"/>
      <c r="FG157" s="176" t="n"/>
      <c r="FH157" s="181" t="inlineStr">
        <is>
          <t>PESO</t>
        </is>
      </c>
      <c r="FI157" s="182" t="n"/>
      <c r="FJ157" s="183" t="n"/>
      <c r="FK157" s="185" t="n"/>
      <c r="FL157" s="182" t="n"/>
      <c r="FM157" s="183" t="n"/>
      <c r="FN157" s="176" t="n"/>
      <c r="FO157" s="176" t="n"/>
      <c r="FP157" s="176" t="n"/>
      <c r="FQ157" s="176" t="n"/>
      <c r="FR157" s="176" t="n"/>
      <c r="FS157" s="176" t="n"/>
      <c r="FT157" s="176" t="n"/>
      <c r="FU157" s="176" t="n"/>
      <c r="FV157" s="176" t="n"/>
      <c r="FW157" s="176" t="n"/>
      <c r="FX157" s="176" t="n"/>
      <c r="FY157" s="176" t="n"/>
      <c r="FZ157" s="176" t="n"/>
      <c r="GA157" s="176" t="n"/>
      <c r="GB157" s="176" t="n"/>
      <c r="GC157" s="176" t="n"/>
      <c r="GD157" s="176" t="n"/>
      <c r="GE157" s="176" t="n"/>
      <c r="GF157" s="176" t="n"/>
      <c r="GG157" s="176" t="n"/>
      <c r="GH157" s="176" t="n"/>
      <c r="GI157" s="176" t="n"/>
      <c r="GJ157" s="176" t="n"/>
      <c r="GK157" s="176" t="n"/>
      <c r="GL157" s="176" t="n"/>
      <c r="GM157" s="176" t="n"/>
      <c r="GN157" s="176" t="n"/>
      <c r="GO157" s="176" t="n"/>
      <c r="GP157" s="176" t="n"/>
      <c r="GQ157" s="176" t="n"/>
      <c r="GR157" s="176" t="n"/>
      <c r="GS157" s="176" t="n"/>
      <c r="GT157" s="176" t="n"/>
      <c r="GU157" s="176" t="n"/>
      <c r="GV157" s="176" t="n"/>
      <c r="GW157" s="176" t="n"/>
      <c r="GX157" s="176" t="n"/>
      <c r="GY157" s="176" t="n"/>
      <c r="GZ157" s="176" t="n"/>
      <c r="HA157" s="176" t="n"/>
      <c r="HB157" s="176" t="n"/>
      <c r="HC157" s="176" t="n"/>
      <c r="HD157" s="176" t="n"/>
      <c r="HE157" s="176" t="n"/>
      <c r="HF157" s="176" t="n"/>
      <c r="HG157" s="176" t="n"/>
      <c r="HH157" s="176" t="n"/>
      <c r="HI157" s="176" t="n"/>
      <c r="HJ157" s="176" t="n"/>
      <c r="HK157" s="176" t="n"/>
      <c r="HL157" s="176" t="n"/>
      <c r="HM157" s="176" t="n"/>
      <c r="HN157" s="176" t="n"/>
      <c r="HO157" s="176" t="n"/>
      <c r="HP157" s="176" t="n"/>
      <c r="HQ157" s="176" t="n"/>
      <c r="HR157" s="176" t="n"/>
      <c r="HS157" s="176" t="n"/>
      <c r="HT157" s="176" t="n"/>
      <c r="HU157" s="176" t="n"/>
      <c r="HV157" s="176" t="n"/>
      <c r="HW157" s="176" t="n"/>
      <c r="HX157" s="176" t="n"/>
      <c r="HY157" s="176" t="n"/>
      <c r="HZ157" s="176" t="n"/>
      <c r="IA157" s="176" t="n"/>
      <c r="IB157" s="176" t="n"/>
      <c r="IC157" s="176" t="n"/>
      <c r="ID157" s="176" t="n"/>
    </row>
    <row r="158" ht="18.75" customHeight="1">
      <c r="A158" s="176" t="n"/>
      <c r="B158" s="176" t="n"/>
      <c r="C158" s="185" t="inlineStr">
        <is>
          <t>Famílias Fechadas</t>
        </is>
      </c>
      <c r="D158" s="182" t="n"/>
      <c r="E158" s="183" t="n"/>
      <c r="F158" s="186" t="n">
        <v>3</v>
      </c>
      <c r="G158" s="186" t="n"/>
      <c r="H158" s="186">
        <f>IF(ISBLANK(G158),F158,IF(IFERROR(AND(ISNUMBER(G158),G158&gt;=0,INT(G158)=G158),FALSE),G158,NA()))</f>
        <v/>
      </c>
      <c r="I158" s="176" t="n"/>
      <c r="J158" s="176" t="n"/>
      <c r="K158" s="176" t="n"/>
      <c r="L158" s="176" t="n"/>
      <c r="M158" s="176" t="n"/>
      <c r="N158" s="176" t="n"/>
      <c r="O158" s="176" t="n"/>
      <c r="P158" s="176" t="n"/>
      <c r="Q158" s="176" t="n"/>
      <c r="R158" s="176" t="n"/>
      <c r="S158" s="176" t="n"/>
      <c r="T158" s="181" t="inlineStr">
        <is>
          <t>TIPO</t>
        </is>
      </c>
      <c r="U158" s="182" t="n"/>
      <c r="V158" s="182" t="n"/>
      <c r="W158" s="183" t="n"/>
      <c r="X158" s="181" t="inlineStr">
        <is>
          <t>MESTRE VIU</t>
        </is>
      </c>
      <c r="Y158" s="183" t="n"/>
      <c r="Z158" s="176" t="n"/>
      <c r="AA158" s="176" t="n"/>
      <c r="AB158" s="181" t="inlineStr">
        <is>
          <t>TIPO</t>
        </is>
      </c>
      <c r="AC158" s="182" t="n"/>
      <c r="AD158" s="182" t="n"/>
      <c r="AE158" s="183" t="n"/>
      <c r="AF158" s="181" t="inlineStr">
        <is>
          <t>MESTRE VIU</t>
        </is>
      </c>
      <c r="AG158" s="183" t="n"/>
      <c r="AH158" s="176" t="n"/>
      <c r="AI158" s="176" t="n"/>
      <c r="AJ158" s="176" t="n"/>
      <c r="AK158" s="176" t="n"/>
      <c r="AL158" s="176" t="n"/>
      <c r="AM158" s="176" t="n"/>
      <c r="AN158" s="176" t="n"/>
      <c r="AO158" s="176" t="n"/>
      <c r="AP158" s="176" t="n"/>
      <c r="AQ158" s="176" t="n"/>
      <c r="AR158" s="176" t="n"/>
      <c r="AS158" s="176" t="n"/>
      <c r="AT158" s="176" t="n"/>
      <c r="AU158" s="176" t="n"/>
      <c r="AV158" s="176" t="n"/>
      <c r="AW158" s="176" t="n"/>
      <c r="AX158" s="176" t="n"/>
      <c r="AY158" s="176" t="n"/>
      <c r="AZ158" s="176" t="n"/>
      <c r="BA158" s="176" t="n"/>
      <c r="BB158" s="176" t="n"/>
      <c r="BC158" s="176" t="n"/>
      <c r="BD158" s="176" t="n"/>
      <c r="BE158" s="176" t="n"/>
      <c r="BF158" s="176" t="n"/>
      <c r="BG158" s="176" t="n"/>
      <c r="BH158" s="176" t="n"/>
      <c r="BI158" s="176" t="n"/>
      <c r="BJ158" s="176" t="n"/>
      <c r="BK158" s="176" t="n"/>
      <c r="BL158" s="176" t="n"/>
      <c r="BM158" s="176" t="n"/>
      <c r="BN158" s="176" t="n"/>
      <c r="BO158" s="176" t="n"/>
      <c r="BP158" s="176" t="n"/>
      <c r="BQ158" s="176" t="n"/>
      <c r="BR158" s="176" t="n"/>
      <c r="BS158" s="176" t="n"/>
      <c r="BT158" s="176" t="n"/>
      <c r="BU158" s="176" t="n"/>
      <c r="BV158" s="176" t="n"/>
      <c r="BW158" s="176" t="n"/>
      <c r="BX158" s="176" t="n"/>
      <c r="BY158" s="176" t="n"/>
      <c r="BZ158" s="176" t="n"/>
      <c r="CA158" s="176" t="n"/>
      <c r="CB158" s="176" t="n"/>
      <c r="CC158" s="176" t="n"/>
      <c r="CD158" s="176" t="n"/>
      <c r="CE158" s="176" t="n"/>
      <c r="CF158" s="176" t="n"/>
      <c r="CG158" s="176" t="n"/>
      <c r="CH158" s="176" t="n"/>
      <c r="CI158" s="176" t="n"/>
      <c r="CJ158" s="176" t="n"/>
      <c r="CK158" s="176" t="n"/>
      <c r="CL158" s="176" t="n"/>
      <c r="CM158" s="176" t="n"/>
      <c r="CN158" s="176" t="n"/>
      <c r="CO158" s="176" t="n"/>
      <c r="CP158" s="176" t="n"/>
      <c r="CQ158" s="176" t="n"/>
      <c r="CR158" s="176" t="n"/>
      <c r="CS158" s="176" t="n"/>
      <c r="CT158" s="176" t="n"/>
      <c r="CU158" s="176" t="n"/>
      <c r="CV158" s="176" t="n"/>
      <c r="CW158" s="176" t="n"/>
      <c r="CX158" s="176" t="n"/>
      <c r="CY158" s="176" t="n"/>
      <c r="CZ158" s="176" t="n"/>
      <c r="DA158" s="192" t="n"/>
      <c r="DB158" s="187" t="n"/>
      <c r="DC158" s="187" t="n"/>
      <c r="DD158" s="187" t="n"/>
      <c r="DE158" s="187" t="n"/>
      <c r="DF158" s="188" t="n"/>
      <c r="DG158" s="176" t="n"/>
      <c r="DH158" s="176" t="n"/>
      <c r="DI158" s="192" t="n"/>
      <c r="DJ158" s="187" t="n"/>
      <c r="DK158" s="187" t="n"/>
      <c r="DL158" s="187" t="n"/>
      <c r="DM158" s="187" t="n"/>
      <c r="DN158" s="188" t="n"/>
      <c r="DO158" s="176" t="n"/>
      <c r="DP158" s="176" t="n"/>
      <c r="DQ158" s="176" t="n"/>
      <c r="DR158" s="193" t="n"/>
      <c r="DW158" s="194" t="n"/>
      <c r="DX158" s="176" t="n"/>
      <c r="DY158" s="176" t="n"/>
      <c r="DZ158" s="193" t="n"/>
      <c r="EE158" s="194" t="n"/>
      <c r="EF158" s="176" t="n"/>
      <c r="EG158" s="176" t="n"/>
      <c r="EH158" s="176" t="n"/>
      <c r="EI158" s="176" t="n"/>
      <c r="EJ158" s="176" t="n"/>
      <c r="EK158" s="176" t="n"/>
      <c r="EL158" s="176" t="n"/>
      <c r="EM158" s="176" t="n"/>
      <c r="EN158" s="176" t="n"/>
      <c r="EO158" s="176" t="n"/>
      <c r="EP158" s="176" t="n"/>
      <c r="EQ158" s="176" t="n"/>
      <c r="ER158" s="176" t="n"/>
      <c r="ES158" s="176" t="n"/>
      <c r="ET158" s="176" t="n"/>
      <c r="EU158" s="176" t="n"/>
      <c r="EV158" s="176" t="n"/>
      <c r="EW158" s="176" t="n"/>
      <c r="EX158" s="176" t="n"/>
      <c r="EY158" s="176" t="n"/>
      <c r="EZ158" s="181" t="inlineStr">
        <is>
          <t>RESOLUÇÃO</t>
        </is>
      </c>
      <c r="FA158" s="182" t="n"/>
      <c r="FB158" s="183" t="n"/>
      <c r="FC158" s="185" t="n"/>
      <c r="FD158" s="182" t="n"/>
      <c r="FE158" s="183" t="n"/>
      <c r="FF158" s="176" t="n"/>
      <c r="FG158" s="176" t="n"/>
      <c r="FH158" s="181" t="inlineStr">
        <is>
          <t>RESOLUÇÃO</t>
        </is>
      </c>
      <c r="FI158" s="182" t="n"/>
      <c r="FJ158" s="183" t="n"/>
      <c r="FK158" s="185" t="n"/>
      <c r="FL158" s="182" t="n"/>
      <c r="FM158" s="183" t="n"/>
      <c r="FN158" s="176" t="n"/>
      <c r="FO158" s="176" t="n"/>
      <c r="FP158" s="176" t="n"/>
      <c r="FQ158" s="176" t="n"/>
      <c r="FR158" s="176" t="n"/>
      <c r="FS158" s="176" t="n"/>
      <c r="FT158" s="176" t="n"/>
      <c r="FU158" s="176" t="n"/>
      <c r="FV158" s="176" t="n"/>
      <c r="FW158" s="176" t="n"/>
      <c r="FX158" s="176" t="n"/>
      <c r="FY158" s="176" t="n"/>
      <c r="FZ158" s="176" t="n"/>
      <c r="GA158" s="176" t="n"/>
      <c r="GB158" s="176" t="n"/>
      <c r="GC158" s="176" t="n"/>
      <c r="GD158" s="176" t="n"/>
      <c r="GE158" s="176" t="n"/>
      <c r="GF158" s="176" t="n"/>
      <c r="GG158" s="176" t="n"/>
      <c r="GH158" s="176" t="n"/>
      <c r="GI158" s="176" t="n"/>
      <c r="GJ158" s="176" t="n"/>
      <c r="GK158" s="176" t="n"/>
      <c r="GL158" s="176" t="n"/>
      <c r="GM158" s="176" t="n"/>
      <c r="GN158" s="176" t="n"/>
      <c r="GO158" s="176" t="n"/>
      <c r="GP158" s="176" t="n"/>
      <c r="GQ158" s="176" t="n"/>
      <c r="GR158" s="176" t="n"/>
      <c r="GS158" s="176" t="n"/>
      <c r="GT158" s="176" t="n"/>
      <c r="GU158" s="176" t="n"/>
      <c r="GV158" s="176" t="n"/>
      <c r="GW158" s="176" t="n"/>
      <c r="GX158" s="176" t="n"/>
      <c r="GY158" s="176" t="n"/>
      <c r="GZ158" s="176" t="n"/>
      <c r="HA158" s="176" t="n"/>
      <c r="HB158" s="176" t="n"/>
      <c r="HC158" s="176" t="n"/>
      <c r="HD158" s="176" t="n"/>
      <c r="HE158" s="176" t="n"/>
      <c r="HF158" s="176" t="n"/>
      <c r="HG158" s="176" t="n"/>
      <c r="HH158" s="176" t="n"/>
      <c r="HI158" s="176" t="n"/>
      <c r="HJ158" s="176" t="n"/>
      <c r="HK158" s="176" t="n"/>
      <c r="HL158" s="176" t="n"/>
      <c r="HM158" s="176" t="n"/>
      <c r="HN158" s="176" t="n"/>
      <c r="HO158" s="176" t="n"/>
      <c r="HP158" s="176" t="n"/>
      <c r="HQ158" s="176" t="n"/>
      <c r="HR158" s="176" t="n"/>
      <c r="HS158" s="176" t="n"/>
      <c r="HT158" s="176" t="n"/>
      <c r="HU158" s="176" t="n"/>
      <c r="HV158" s="176" t="n"/>
      <c r="HW158" s="176" t="n"/>
      <c r="HX158" s="176" t="n"/>
      <c r="HY158" s="176" t="n"/>
      <c r="HZ158" s="176" t="n"/>
      <c r="IA158" s="176" t="n"/>
      <c r="IB158" s="176" t="n"/>
      <c r="IC158" s="176" t="n"/>
      <c r="ID158" s="176" t="n"/>
    </row>
    <row r="159" ht="18.75" customHeight="1">
      <c r="A159" s="176" t="n"/>
      <c r="B159" s="176" t="n"/>
      <c r="C159" s="185" t="inlineStr">
        <is>
          <t>Famílias Neutras</t>
        </is>
      </c>
      <c r="D159" s="182" t="n"/>
      <c r="E159" s="183" t="n"/>
      <c r="F159" s="186" t="n">
        <v>4</v>
      </c>
      <c r="G159" s="185" t="inlineStr">
        <is>
          <t>saldo</t>
        </is>
      </c>
      <c r="H159" s="186">
        <f>H160-H157-H158</f>
        <v/>
      </c>
      <c r="I159" s="176" t="n"/>
      <c r="J159" s="176" t="n"/>
      <c r="K159" s="176" t="n"/>
      <c r="L159" s="176" t="n"/>
      <c r="M159" s="176" t="n"/>
      <c r="N159" s="176" t="n"/>
      <c r="O159" s="176" t="n"/>
      <c r="P159" s="176" t="n"/>
      <c r="Q159" s="176" t="n"/>
      <c r="R159" s="176" t="n"/>
      <c r="S159" s="176" t="n"/>
      <c r="T159" s="185" t="n"/>
      <c r="U159" s="182" t="n"/>
      <c r="V159" s="182" t="n"/>
      <c r="W159" s="183" t="n"/>
      <c r="X159" s="184" t="b">
        <v>0</v>
      </c>
      <c r="Y159" s="183" t="n"/>
      <c r="Z159" s="176" t="n"/>
      <c r="AA159" s="176" t="n"/>
      <c r="AB159" s="185" t="n"/>
      <c r="AC159" s="182" t="n"/>
      <c r="AD159" s="182" t="n"/>
      <c r="AE159" s="183" t="n"/>
      <c r="AF159" s="184" t="b">
        <v>0</v>
      </c>
      <c r="AG159" s="183" t="n"/>
      <c r="AH159" s="176" t="n"/>
      <c r="AI159" s="176" t="n"/>
      <c r="AJ159" s="176" t="n"/>
      <c r="AK159" s="176" t="n"/>
      <c r="AL159" s="176" t="n"/>
      <c r="AM159" s="176" t="n"/>
      <c r="AN159" s="176" t="n"/>
      <c r="AO159" s="176" t="n"/>
      <c r="AP159" s="176" t="n"/>
      <c r="AQ159" s="176" t="n"/>
      <c r="AR159" s="176" t="n"/>
      <c r="AS159" s="176" t="n"/>
      <c r="AT159" s="176" t="n"/>
      <c r="AU159" s="176" t="n"/>
      <c r="AV159" s="176" t="n"/>
      <c r="AW159" s="176" t="n"/>
      <c r="AX159" s="176" t="n"/>
      <c r="AY159" s="176" t="n"/>
      <c r="AZ159" s="176" t="n"/>
      <c r="BA159" s="176" t="n"/>
      <c r="BB159" s="176" t="n"/>
      <c r="BC159" s="176" t="n"/>
      <c r="BD159" s="176" t="n"/>
      <c r="BE159" s="176" t="n"/>
      <c r="BF159" s="176" t="n"/>
      <c r="BG159" s="176" t="n"/>
      <c r="BH159" s="176" t="n"/>
      <c r="BI159" s="176" t="n"/>
      <c r="BJ159" s="176" t="n"/>
      <c r="BK159" s="176" t="n"/>
      <c r="BL159" s="176" t="n"/>
      <c r="BM159" s="176" t="n"/>
      <c r="BN159" s="176" t="n"/>
      <c r="BO159" s="176" t="n"/>
      <c r="BP159" s="176" t="n"/>
      <c r="BQ159" s="176" t="n"/>
      <c r="BR159" s="176" t="n"/>
      <c r="BS159" s="176" t="n"/>
      <c r="BT159" s="176" t="n"/>
      <c r="BU159" s="176" t="n"/>
      <c r="BV159" s="176" t="n"/>
      <c r="BW159" s="176" t="n"/>
      <c r="BX159" s="176" t="n"/>
      <c r="BY159" s="176" t="n"/>
      <c r="BZ159" s="176" t="n"/>
      <c r="CA159" s="176" t="n"/>
      <c r="CB159" s="176" t="n"/>
      <c r="CC159" s="176" t="n"/>
      <c r="CD159" s="176" t="n"/>
      <c r="CE159" s="176" t="n"/>
      <c r="CF159" s="176" t="n"/>
      <c r="CG159" s="176" t="n"/>
      <c r="CH159" s="176" t="n"/>
      <c r="CI159" s="176" t="n"/>
      <c r="CJ159" s="176" t="n"/>
      <c r="CK159" s="176" t="n"/>
      <c r="CL159" s="176" t="n"/>
      <c r="CM159" s="176" t="n"/>
      <c r="CN159" s="176" t="n"/>
      <c r="CO159" s="176" t="n"/>
      <c r="CP159" s="176" t="n"/>
      <c r="CQ159" s="176" t="n"/>
      <c r="CR159" s="176" t="n"/>
      <c r="CS159" s="176" t="n"/>
      <c r="CT159" s="176" t="n"/>
      <c r="CU159" s="176" t="n"/>
      <c r="CV159" s="176" t="n"/>
      <c r="CW159" s="176" t="n"/>
      <c r="CX159" s="176" t="n"/>
      <c r="CY159" s="176" t="n"/>
      <c r="CZ159" s="176" t="n"/>
      <c r="DA159" s="193" t="n"/>
      <c r="DF159" s="194" t="n"/>
      <c r="DG159" s="176" t="n"/>
      <c r="DH159" s="176" t="n"/>
      <c r="DI159" s="193" t="n"/>
      <c r="DN159" s="194" t="n"/>
      <c r="DO159" s="176" t="n"/>
      <c r="DP159" s="176" t="n"/>
      <c r="DQ159" s="176" t="n"/>
      <c r="DR159" s="189" t="n"/>
      <c r="DS159" s="190" t="n"/>
      <c r="DT159" s="190" t="n"/>
      <c r="DU159" s="190" t="n"/>
      <c r="DV159" s="190" t="n"/>
      <c r="DW159" s="191" t="n"/>
      <c r="DX159" s="176" t="n"/>
      <c r="DY159" s="176" t="n"/>
      <c r="DZ159" s="189" t="n"/>
      <c r="EA159" s="190" t="n"/>
      <c r="EB159" s="190" t="n"/>
      <c r="EC159" s="190" t="n"/>
      <c r="ED159" s="190" t="n"/>
      <c r="EE159" s="191" t="n"/>
      <c r="EF159" s="176" t="n"/>
      <c r="EG159" s="176" t="n"/>
      <c r="EH159" s="176" t="n"/>
      <c r="EI159" s="176" t="n"/>
      <c r="EJ159" s="176" t="n"/>
      <c r="EK159" s="176" t="n"/>
      <c r="EL159" s="176" t="n"/>
      <c r="EM159" s="176" t="n"/>
      <c r="EN159" s="176" t="n"/>
      <c r="EO159" s="176" t="n"/>
      <c r="EP159" s="176" t="n"/>
      <c r="EQ159" s="176" t="n"/>
      <c r="ER159" s="176" t="n"/>
      <c r="ES159" s="176" t="n"/>
      <c r="ET159" s="176" t="n"/>
      <c r="EU159" s="176" t="n"/>
      <c r="EV159" s="176" t="n"/>
      <c r="EW159" s="176" t="n"/>
      <c r="EX159" s="176" t="n"/>
      <c r="EY159" s="176" t="n"/>
      <c r="EZ159" s="181" t="inlineStr">
        <is>
          <t>RESULTADO</t>
        </is>
      </c>
      <c r="FA159" s="182" t="n"/>
      <c r="FB159" s="183" t="n"/>
      <c r="FC159" s="185" t="n"/>
      <c r="FD159" s="182" t="n"/>
      <c r="FE159" s="183" t="n"/>
      <c r="FF159" s="176" t="n"/>
      <c r="FG159" s="176" t="n"/>
      <c r="FH159" s="181" t="inlineStr">
        <is>
          <t>RESULTADO</t>
        </is>
      </c>
      <c r="FI159" s="182" t="n"/>
      <c r="FJ159" s="183" t="n"/>
      <c r="FK159" s="185" t="n"/>
      <c r="FL159" s="182" t="n"/>
      <c r="FM159" s="183" t="n"/>
      <c r="FN159" s="176" t="n"/>
      <c r="FO159" s="176" t="n"/>
      <c r="FP159" s="176" t="n"/>
      <c r="FQ159" s="176" t="n"/>
      <c r="FR159" s="176" t="n"/>
      <c r="FS159" s="176" t="n"/>
      <c r="FT159" s="176" t="n"/>
      <c r="FU159" s="176" t="n"/>
      <c r="FV159" s="176" t="n"/>
      <c r="FW159" s="176" t="n"/>
      <c r="FX159" s="176" t="n"/>
      <c r="FY159" s="176" t="n"/>
      <c r="FZ159" s="176" t="n"/>
      <c r="GA159" s="176" t="n"/>
      <c r="GB159" s="176" t="n"/>
      <c r="GC159" s="176" t="n"/>
      <c r="GD159" s="176" t="n"/>
      <c r="GE159" s="176" t="n"/>
      <c r="GF159" s="176" t="n"/>
      <c r="GG159" s="176" t="n"/>
      <c r="GH159" s="176" t="n"/>
      <c r="GI159" s="176" t="n"/>
      <c r="GJ159" s="176" t="n"/>
      <c r="GK159" s="176" t="n"/>
      <c r="GL159" s="176" t="n"/>
      <c r="GM159" s="176" t="n"/>
      <c r="GN159" s="176" t="n"/>
      <c r="GO159" s="176" t="n"/>
      <c r="GP159" s="176" t="n"/>
      <c r="GQ159" s="176" t="n"/>
      <c r="GR159" s="176" t="n"/>
      <c r="GS159" s="176" t="n"/>
      <c r="GT159" s="176" t="n"/>
      <c r="GU159" s="176" t="n"/>
      <c r="GV159" s="176" t="n"/>
      <c r="GW159" s="176" t="n"/>
      <c r="GX159" s="176" t="n"/>
      <c r="GY159" s="176" t="n"/>
      <c r="GZ159" s="176" t="n"/>
      <c r="HA159" s="176" t="n"/>
      <c r="HB159" s="176" t="n"/>
      <c r="HC159" s="176" t="n"/>
      <c r="HD159" s="176" t="n"/>
      <c r="HE159" s="176" t="n"/>
      <c r="HF159" s="176" t="n"/>
      <c r="HG159" s="176" t="n"/>
      <c r="HH159" s="176" t="n"/>
      <c r="HI159" s="176" t="n"/>
      <c r="HJ159" s="176" t="n"/>
      <c r="HK159" s="176" t="n"/>
      <c r="HL159" s="176" t="n"/>
      <c r="HM159" s="176" t="n"/>
      <c r="HN159" s="176" t="n"/>
      <c r="HO159" s="176" t="n"/>
      <c r="HP159" s="176" t="n"/>
      <c r="HQ159" s="176" t="n"/>
      <c r="HR159" s="176" t="n"/>
      <c r="HS159" s="176" t="n"/>
      <c r="HT159" s="176" t="n"/>
      <c r="HU159" s="176" t="n"/>
      <c r="HV159" s="176" t="n"/>
      <c r="HW159" s="176" t="n"/>
      <c r="HX159" s="176" t="n"/>
      <c r="HY159" s="176" t="n"/>
      <c r="HZ159" s="176" t="n"/>
      <c r="IA159" s="176" t="n"/>
      <c r="IB159" s="176" t="n"/>
      <c r="IC159" s="176" t="n"/>
      <c r="ID159" s="176" t="n"/>
    </row>
    <row r="160" ht="18.75" customHeight="1">
      <c r="A160" s="176" t="n"/>
      <c r="B160" s="176" t="n"/>
      <c r="C160" s="185" t="inlineStr">
        <is>
          <t>Famílias disponíveis</t>
        </is>
      </c>
      <c r="D160" s="182" t="n"/>
      <c r="E160" s="183" t="n"/>
      <c r="F160" s="186" t="n">
        <v>9</v>
      </c>
      <c r="G160" s="185" t="inlineStr">
        <is>
          <t>catálogo</t>
        </is>
      </c>
      <c r="H160" s="186">
        <f>COUNTIF('DADOS_CRIACAO'!$H$2:$H$20,"?*")</f>
        <v/>
      </c>
      <c r="I160" s="176" t="n"/>
      <c r="J160" s="176" t="n"/>
      <c r="K160" s="176" t="n"/>
      <c r="L160" s="176" t="n"/>
      <c r="M160" s="176" t="n"/>
      <c r="N160" s="176" t="n"/>
      <c r="O160" s="176" t="n"/>
      <c r="P160" s="176" t="n"/>
      <c r="Q160" s="176" t="n"/>
      <c r="R160" s="176" t="n"/>
      <c r="S160" s="176" t="n"/>
      <c r="T160" s="181" t="inlineStr">
        <is>
          <t>NOME</t>
        </is>
      </c>
      <c r="U160" s="182" t="n"/>
      <c r="V160" s="182" t="n"/>
      <c r="W160" s="182" t="n"/>
      <c r="X160" s="182" t="n"/>
      <c r="Y160" s="183" t="n"/>
      <c r="Z160" s="176" t="n"/>
      <c r="AA160" s="176" t="n"/>
      <c r="AB160" s="181" t="inlineStr">
        <is>
          <t>NOME</t>
        </is>
      </c>
      <c r="AC160" s="182" t="n"/>
      <c r="AD160" s="182" t="n"/>
      <c r="AE160" s="182" t="n"/>
      <c r="AF160" s="182" t="n"/>
      <c r="AG160" s="183" t="n"/>
      <c r="AH160" s="176" t="n"/>
      <c r="AI160" s="176" t="n"/>
      <c r="AJ160" s="176" t="n"/>
      <c r="AK160" s="176" t="n"/>
      <c r="AL160" s="176" t="n"/>
      <c r="AM160" s="176" t="n"/>
      <c r="AN160" s="176" t="n"/>
      <c r="AO160" s="176" t="n"/>
      <c r="AP160" s="176" t="n"/>
      <c r="AQ160" s="176" t="n"/>
      <c r="AR160" s="176" t="n"/>
      <c r="AS160" s="176" t="n"/>
      <c r="AT160" s="176" t="n"/>
      <c r="AU160" s="176" t="n"/>
      <c r="AV160" s="176" t="n"/>
      <c r="AW160" s="176" t="n"/>
      <c r="AX160" s="176" t="n"/>
      <c r="AY160" s="176" t="n"/>
      <c r="AZ160" s="176" t="n"/>
      <c r="BA160" s="176" t="n"/>
      <c r="BB160" s="176" t="n"/>
      <c r="BC160" s="176" t="n"/>
      <c r="BD160" s="176" t="n"/>
      <c r="BE160" s="176" t="n"/>
      <c r="BF160" s="176" t="n"/>
      <c r="BG160" s="176" t="n"/>
      <c r="BH160" s="176" t="n"/>
      <c r="BI160" s="176" t="n"/>
      <c r="BJ160" s="176" t="n"/>
      <c r="BK160" s="176" t="n"/>
      <c r="BL160" s="176" t="n"/>
      <c r="BM160" s="176" t="n"/>
      <c r="BN160" s="176" t="n"/>
      <c r="BO160" s="176" t="n"/>
      <c r="BP160" s="176" t="n"/>
      <c r="BQ160" s="176" t="n"/>
      <c r="BR160" s="176" t="n"/>
      <c r="BS160" s="176" t="n"/>
      <c r="BT160" s="176" t="n"/>
      <c r="BU160" s="176" t="n"/>
      <c r="BV160" s="176" t="n"/>
      <c r="BW160" s="176" t="n"/>
      <c r="BX160" s="176" t="n"/>
      <c r="BY160" s="176" t="n"/>
      <c r="BZ160" s="176" t="n"/>
      <c r="CA160" s="176" t="n"/>
      <c r="CB160" s="176" t="n"/>
      <c r="CC160" s="176" t="n"/>
      <c r="CD160" s="176" t="n"/>
      <c r="CE160" s="176" t="n"/>
      <c r="CF160" s="176" t="n"/>
      <c r="CG160" s="176" t="n"/>
      <c r="CH160" s="176" t="n"/>
      <c r="CI160" s="176" t="n"/>
      <c r="CJ160" s="176" t="n"/>
      <c r="CK160" s="176" t="n"/>
      <c r="CL160" s="176" t="n"/>
      <c r="CM160" s="176" t="n"/>
      <c r="CN160" s="176" t="n"/>
      <c r="CO160" s="176" t="n"/>
      <c r="CP160" s="176" t="n"/>
      <c r="CQ160" s="176" t="n"/>
      <c r="CR160" s="176" t="n"/>
      <c r="CS160" s="176" t="n"/>
      <c r="CT160" s="176" t="n"/>
      <c r="CU160" s="176" t="n"/>
      <c r="CV160" s="176" t="n"/>
      <c r="CW160" s="176" t="n"/>
      <c r="CX160" s="176" t="n"/>
      <c r="CY160" s="176" t="n"/>
      <c r="CZ160" s="176" t="n"/>
      <c r="DA160" s="193" t="n"/>
      <c r="DF160" s="194" t="n"/>
      <c r="DG160" s="176" t="n"/>
      <c r="DH160" s="176" t="n"/>
      <c r="DI160" s="193" t="n"/>
      <c r="DN160" s="194" t="n"/>
      <c r="DO160" s="176" t="n"/>
      <c r="DP160" s="176" t="n"/>
      <c r="DQ160" s="176" t="n"/>
      <c r="DR160" s="176" t="n"/>
      <c r="DS160" s="176" t="n"/>
      <c r="DT160" s="176" t="n"/>
      <c r="DU160" s="176" t="n"/>
      <c r="DV160" s="176" t="n"/>
      <c r="DW160" s="176" t="n"/>
      <c r="DX160" s="176" t="n"/>
      <c r="DY160" s="176" t="n"/>
      <c r="DZ160" s="176" t="n"/>
      <c r="EA160" s="176" t="n"/>
      <c r="EB160" s="176" t="n"/>
      <c r="EC160" s="176" t="n"/>
      <c r="ED160" s="176" t="n"/>
      <c r="EE160" s="176" t="n"/>
      <c r="EF160" s="176" t="n"/>
      <c r="EG160" s="176" t="n"/>
      <c r="EH160" s="176" t="n"/>
      <c r="EI160" s="176" t="n"/>
      <c r="EJ160" s="176" t="n"/>
      <c r="EK160" s="176" t="n"/>
      <c r="EL160" s="176" t="n"/>
      <c r="EM160" s="176" t="n"/>
      <c r="EN160" s="176" t="n"/>
      <c r="EO160" s="176" t="n"/>
      <c r="EP160" s="176" t="n"/>
      <c r="EQ160" s="176" t="n"/>
      <c r="ER160" s="176" t="n"/>
      <c r="ES160" s="176" t="n"/>
      <c r="ET160" s="176" t="n"/>
      <c r="EU160" s="176" t="n"/>
      <c r="EV160" s="176" t="n"/>
      <c r="EW160" s="176" t="n"/>
      <c r="EX160" s="176" t="n"/>
      <c r="EY160" s="176" t="n"/>
      <c r="EZ160" s="181" t="inlineStr">
        <is>
          <t>EXIGE TR</t>
        </is>
      </c>
      <c r="FA160" s="182" t="n"/>
      <c r="FB160" s="183" t="n"/>
      <c r="FC160" s="185" t="n"/>
      <c r="FD160" s="182" t="n"/>
      <c r="FE160" s="183" t="n"/>
      <c r="FF160" s="176" t="n"/>
      <c r="FG160" s="176" t="n"/>
      <c r="FH160" s="181" t="inlineStr">
        <is>
          <t>EXIGE TR</t>
        </is>
      </c>
      <c r="FI160" s="182" t="n"/>
      <c r="FJ160" s="183" t="n"/>
      <c r="FK160" s="185" t="n"/>
      <c r="FL160" s="182" t="n"/>
      <c r="FM160" s="183" t="n"/>
      <c r="FN160" s="176" t="n"/>
      <c r="FO160" s="176" t="n"/>
      <c r="FP160" s="176" t="n"/>
      <c r="FQ160" s="176" t="n"/>
      <c r="FR160" s="176" t="n"/>
      <c r="FS160" s="176" t="n"/>
      <c r="FT160" s="176" t="n"/>
      <c r="FU160" s="176" t="n"/>
      <c r="FV160" s="176" t="n"/>
      <c r="FW160" s="176" t="n"/>
      <c r="FX160" s="176" t="n"/>
      <c r="FY160" s="176" t="n"/>
      <c r="FZ160" s="176" t="n"/>
      <c r="GA160" s="176" t="n"/>
      <c r="GB160" s="176" t="n"/>
      <c r="GC160" s="176" t="n"/>
      <c r="GD160" s="176" t="n"/>
      <c r="GE160" s="176" t="n"/>
      <c r="GF160" s="176" t="n"/>
      <c r="GG160" s="176" t="n"/>
      <c r="GH160" s="176" t="n"/>
      <c r="GI160" s="176" t="n"/>
      <c r="GJ160" s="176" t="n"/>
      <c r="GK160" s="176" t="n"/>
      <c r="GL160" s="176" t="n"/>
      <c r="GM160" s="176" t="n"/>
      <c r="GN160" s="176" t="n"/>
      <c r="GO160" s="176" t="n"/>
      <c r="GP160" s="176" t="n"/>
      <c r="GQ160" s="176" t="n"/>
      <c r="GR160" s="176" t="n"/>
      <c r="GS160" s="176" t="n"/>
      <c r="GT160" s="176" t="n"/>
      <c r="GU160" s="176" t="n"/>
      <c r="GV160" s="176" t="n"/>
      <c r="GW160" s="176" t="n"/>
      <c r="GX160" s="176" t="n"/>
      <c r="GY160" s="176" t="n"/>
      <c r="GZ160" s="176" t="n"/>
      <c r="HA160" s="176" t="n"/>
      <c r="HB160" s="176" t="n"/>
      <c r="HC160" s="176" t="n"/>
      <c r="HD160" s="176" t="n"/>
      <c r="HE160" s="176" t="n"/>
      <c r="HF160" s="176" t="n"/>
      <c r="HG160" s="176" t="n"/>
      <c r="HH160" s="176" t="n"/>
      <c r="HI160" s="176" t="n"/>
      <c r="HJ160" s="176" t="n"/>
      <c r="HK160" s="176" t="n"/>
      <c r="HL160" s="176" t="n"/>
      <c r="HM160" s="176" t="n"/>
      <c r="HN160" s="176" t="n"/>
      <c r="HO160" s="176" t="n"/>
      <c r="HP160" s="176" t="n"/>
      <c r="HQ160" s="176" t="n"/>
      <c r="HR160" s="176" t="n"/>
      <c r="HS160" s="176" t="n"/>
      <c r="HT160" s="176" t="n"/>
      <c r="HU160" s="176" t="n"/>
      <c r="HV160" s="176" t="n"/>
      <c r="HW160" s="176" t="n"/>
      <c r="HX160" s="176" t="n"/>
      <c r="HY160" s="176" t="n"/>
      <c r="HZ160" s="176" t="n"/>
      <c r="IA160" s="176" t="n"/>
      <c r="IB160" s="176" t="n"/>
      <c r="IC160" s="176" t="n"/>
      <c r="ID160" s="176" t="n"/>
    </row>
    <row r="161" ht="18.75" customHeight="1">
      <c r="A161" s="176" t="n"/>
      <c r="B161" s="176" t="n"/>
      <c r="C161" s="176" t="n"/>
      <c r="D161" s="176" t="n"/>
      <c r="E161" s="176" t="n"/>
      <c r="F161" s="176" t="n"/>
      <c r="G161" s="176" t="n"/>
      <c r="H161" s="176" t="n"/>
      <c r="I161" s="176" t="n"/>
      <c r="J161" s="176" t="n"/>
      <c r="K161" s="176" t="n"/>
      <c r="L161" s="176" t="n"/>
      <c r="M161" s="176" t="n"/>
      <c r="N161" s="176" t="n"/>
      <c r="O161" s="176" t="n"/>
      <c r="P161" s="176" t="n"/>
      <c r="Q161" s="176" t="n"/>
      <c r="R161" s="176" t="n"/>
      <c r="S161" s="176" t="n"/>
      <c r="T161" s="185" t="n"/>
      <c r="U161" s="182" t="n"/>
      <c r="V161" s="182" t="n"/>
      <c r="W161" s="182" t="n"/>
      <c r="X161" s="182" t="n"/>
      <c r="Y161" s="183" t="n"/>
      <c r="Z161" s="176" t="n"/>
      <c r="AA161" s="176" t="n"/>
      <c r="AB161" s="185" t="n"/>
      <c r="AC161" s="182" t="n"/>
      <c r="AD161" s="182" t="n"/>
      <c r="AE161" s="182" t="n"/>
      <c r="AF161" s="182" t="n"/>
      <c r="AG161" s="183" t="n"/>
      <c r="AH161" s="176" t="n"/>
      <c r="AI161" s="176" t="n"/>
      <c r="AJ161" s="176" t="n"/>
      <c r="AK161" s="176" t="n"/>
      <c r="AL161" s="176" t="n"/>
      <c r="AM161" s="176" t="n"/>
      <c r="AN161" s="176" t="n"/>
      <c r="AO161" s="176" t="n"/>
      <c r="AP161" s="176" t="n"/>
      <c r="AQ161" s="176" t="n"/>
      <c r="AR161" s="176" t="n"/>
      <c r="AS161" s="176" t="n"/>
      <c r="AT161" s="176" t="n"/>
      <c r="AU161" s="176" t="n"/>
      <c r="AV161" s="176" t="n"/>
      <c r="AW161" s="176" t="n"/>
      <c r="AX161" s="176" t="n"/>
      <c r="AY161" s="176" t="n"/>
      <c r="AZ161" s="176" t="n"/>
      <c r="BA161" s="176" t="n"/>
      <c r="BB161" s="176" t="n"/>
      <c r="BC161" s="176" t="n"/>
      <c r="BD161" s="176" t="n"/>
      <c r="BE161" s="176" t="n"/>
      <c r="BF161" s="176" t="n"/>
      <c r="BG161" s="176" t="n"/>
      <c r="BH161" s="176" t="n"/>
      <c r="BI161" s="176" t="n"/>
      <c r="BJ161" s="176" t="n"/>
      <c r="BK161" s="176" t="n"/>
      <c r="BL161" s="176" t="n"/>
      <c r="BM161" s="176" t="n"/>
      <c r="BN161" s="176" t="n"/>
      <c r="BO161" s="176" t="n"/>
      <c r="BP161" s="176" t="n"/>
      <c r="BQ161" s="176" t="n"/>
      <c r="BR161" s="176" t="n"/>
      <c r="BS161" s="176" t="n"/>
      <c r="BT161" s="176" t="n"/>
      <c r="BU161" s="176" t="n"/>
      <c r="BV161" s="176" t="n"/>
      <c r="BW161" s="176" t="n"/>
      <c r="BX161" s="176" t="n"/>
      <c r="BY161" s="176" t="n"/>
      <c r="BZ161" s="176" t="n"/>
      <c r="CA161" s="176" t="n"/>
      <c r="CB161" s="176" t="n"/>
      <c r="CC161" s="176" t="n"/>
      <c r="CD161" s="176" t="n"/>
      <c r="CE161" s="176" t="n"/>
      <c r="CF161" s="176" t="n"/>
      <c r="CG161" s="176" t="n"/>
      <c r="CH161" s="176" t="n"/>
      <c r="CI161" s="176" t="n"/>
      <c r="CJ161" s="176" t="n"/>
      <c r="CK161" s="176" t="n"/>
      <c r="CL161" s="176" t="n"/>
      <c r="CM161" s="176" t="n"/>
      <c r="CN161" s="176" t="n"/>
      <c r="CO161" s="176" t="n"/>
      <c r="CP161" s="176" t="n"/>
      <c r="CQ161" s="176" t="n"/>
      <c r="CR161" s="176" t="n"/>
      <c r="CS161" s="176" t="n"/>
      <c r="CT161" s="176" t="n"/>
      <c r="CU161" s="176" t="n"/>
      <c r="CV161" s="176" t="n"/>
      <c r="CW161" s="176" t="n"/>
      <c r="CX161" s="176" t="n"/>
      <c r="CY161" s="176" t="n"/>
      <c r="CZ161" s="176" t="n"/>
      <c r="DA161" s="193" t="n"/>
      <c r="DF161" s="194" t="n"/>
      <c r="DG161" s="176" t="n"/>
      <c r="DH161" s="176" t="n"/>
      <c r="DI161" s="193" t="n"/>
      <c r="DN161" s="194" t="n"/>
      <c r="DO161" s="176" t="n"/>
      <c r="DP161" s="176" t="n"/>
      <c r="DQ161" s="176" t="n"/>
      <c r="DR161" s="180">
        <f>IF('DADOS_RESTRICOES'!$K$14="","","⚠ "&amp;'DADOS_RESTRICOES'!$K$14)</f>
        <v/>
      </c>
      <c r="DX161" s="176" t="n"/>
      <c r="DY161" s="176" t="n"/>
      <c r="DZ161" s="180">
        <f>IF('DADOS_RESTRICOES'!$K$15="","","⚠ "&amp;'DADOS_RESTRICOES'!$K$15)</f>
        <v/>
      </c>
      <c r="EF161" s="176" t="n"/>
      <c r="EG161" s="176" t="n"/>
      <c r="EH161" s="176" t="n"/>
      <c r="EI161" s="176" t="n"/>
      <c r="EJ161" s="176" t="n"/>
      <c r="EK161" s="176" t="n"/>
      <c r="EL161" s="176" t="n"/>
      <c r="EM161" s="176" t="n"/>
      <c r="EN161" s="176" t="n"/>
      <c r="EO161" s="176" t="n"/>
      <c r="EP161" s="176" t="n"/>
      <c r="EQ161" s="176" t="n"/>
      <c r="ER161" s="176" t="n"/>
      <c r="ES161" s="176" t="n"/>
      <c r="ET161" s="176" t="n"/>
      <c r="EU161" s="176" t="n"/>
      <c r="EV161" s="176" t="n"/>
      <c r="EW161" s="176" t="n"/>
      <c r="EX161" s="176" t="n"/>
      <c r="EY161" s="176" t="n"/>
      <c r="EZ161" s="181" t="inlineStr">
        <is>
          <t>CLASSE 0</t>
        </is>
      </c>
      <c r="FA161" s="182" t="n"/>
      <c r="FB161" s="183" t="n"/>
      <c r="FC161" s="185" t="n"/>
      <c r="FD161" s="182" t="n"/>
      <c r="FE161" s="183" t="n"/>
      <c r="FF161" s="176" t="n"/>
      <c r="FG161" s="176" t="n"/>
      <c r="FH161" s="181" t="inlineStr">
        <is>
          <t>CLASSE 0</t>
        </is>
      </c>
      <c r="FI161" s="182" t="n"/>
      <c r="FJ161" s="183" t="n"/>
      <c r="FK161" s="185" t="n"/>
      <c r="FL161" s="182" t="n"/>
      <c r="FM161" s="183" t="n"/>
      <c r="FN161" s="176" t="n"/>
      <c r="FO161" s="176" t="n"/>
      <c r="FP161" s="176" t="n"/>
      <c r="FQ161" s="176" t="n"/>
      <c r="FR161" s="176" t="n"/>
      <c r="FS161" s="176" t="n"/>
      <c r="FT161" s="176" t="n"/>
      <c r="FU161" s="176" t="n"/>
      <c r="FV161" s="176" t="n"/>
      <c r="FW161" s="176" t="n"/>
      <c r="FX161" s="176" t="n"/>
      <c r="FY161" s="176" t="n"/>
      <c r="FZ161" s="176" t="n"/>
      <c r="GA161" s="176" t="n"/>
      <c r="GB161" s="176" t="n"/>
      <c r="GC161" s="176" t="n"/>
      <c r="GD161" s="176" t="n"/>
      <c r="GE161" s="176" t="n"/>
      <c r="GF161" s="176" t="n"/>
      <c r="GG161" s="176" t="n"/>
      <c r="GH161" s="176" t="n"/>
      <c r="GI161" s="176" t="n"/>
      <c r="GJ161" s="176" t="n"/>
      <c r="GK161" s="176" t="n"/>
      <c r="GL161" s="176" t="n"/>
      <c r="GM161" s="176" t="n"/>
      <c r="GN161" s="176" t="n"/>
      <c r="GO161" s="176" t="n"/>
      <c r="GP161" s="176" t="n"/>
      <c r="GQ161" s="176" t="n"/>
      <c r="GR161" s="176" t="n"/>
      <c r="GS161" s="176" t="n"/>
      <c r="GT161" s="176" t="n"/>
      <c r="GU161" s="176" t="n"/>
      <c r="GV161" s="176" t="n"/>
      <c r="GW161" s="176" t="n"/>
      <c r="GX161" s="176" t="n"/>
      <c r="GY161" s="176" t="n"/>
      <c r="GZ161" s="176" t="n"/>
      <c r="HA161" s="176" t="n"/>
      <c r="HB161" s="176" t="n"/>
      <c r="HC161" s="176" t="n"/>
      <c r="HD161" s="176" t="n"/>
      <c r="HE161" s="176" t="n"/>
      <c r="HF161" s="176" t="n"/>
      <c r="HG161" s="176" t="n"/>
      <c r="HH161" s="176" t="n"/>
      <c r="HI161" s="176" t="n"/>
      <c r="HJ161" s="176" t="n"/>
      <c r="HK161" s="176" t="n"/>
      <c r="HL161" s="176" t="n"/>
      <c r="HM161" s="176" t="n"/>
      <c r="HN161" s="176" t="n"/>
      <c r="HO161" s="176" t="n"/>
      <c r="HP161" s="176" t="n"/>
      <c r="HQ161" s="176" t="n"/>
      <c r="HR161" s="176" t="n"/>
      <c r="HS161" s="176" t="n"/>
      <c r="HT161" s="176" t="n"/>
      <c r="HU161" s="176" t="n"/>
      <c r="HV161" s="176" t="n"/>
      <c r="HW161" s="176" t="n"/>
      <c r="HX161" s="176" t="n"/>
      <c r="HY161" s="176" t="n"/>
      <c r="HZ161" s="176" t="n"/>
      <c r="IA161" s="176" t="n"/>
      <c r="IB161" s="176" t="n"/>
      <c r="IC161" s="176" t="n"/>
      <c r="ID161" s="176" t="n"/>
    </row>
    <row r="162" ht="18.75" customHeight="1">
      <c r="A162" s="176" t="n"/>
      <c r="B162" s="176" t="n"/>
      <c r="C162" s="180">
        <f>IFERROR(IF(H159&lt;0,"⚠ Livres + Fechadas ultrapassam o catálogo.",""),"⚠ Confira os limites das Famílias.")</f>
        <v/>
      </c>
      <c r="I162" s="176" t="n"/>
      <c r="J162" s="176" t="n"/>
      <c r="K162" s="176" t="n"/>
      <c r="L162" s="176" t="n"/>
      <c r="M162" s="176" t="n"/>
      <c r="N162" s="176" t="n"/>
      <c r="O162" s="176" t="n"/>
      <c r="P162" s="176" t="n"/>
      <c r="Q162" s="176" t="n"/>
      <c r="R162" s="176" t="n"/>
      <c r="S162" s="176" t="n"/>
      <c r="T162" s="181">
        <f>SWITCH('CONFIGURAÇÃO'!$T$159,"Origem","PERÍCIA 1","Marcante","ORIGEM","Menor","ORIGEM","Arma","CATEGORIA","Escudo","","Uniforme","GRAU MÍNIMO","Item comum","","Ferramenta amaldiçoada","BASE","")</f>
        <v/>
      </c>
      <c r="U162" s="183" t="n"/>
      <c r="V162" s="185" t="n"/>
      <c r="W162" s="182" t="n"/>
      <c r="X162" s="182" t="n"/>
      <c r="Y162" s="183" t="n"/>
      <c r="Z162" s="176" t="n"/>
      <c r="AA162" s="176" t="n"/>
      <c r="AB162" s="181">
        <f>SWITCH('CONFIGURAÇÃO'!$AB$159,"Origem","PERÍCIA 1","Marcante","ORIGEM","Menor","ORIGEM","Arma","CATEGORIA","Escudo","","Uniforme","GRAU MÍNIMO","Item comum","","Ferramenta amaldiçoada","BASE","")</f>
        <v/>
      </c>
      <c r="AC162" s="183" t="n"/>
      <c r="AD162" s="185" t="n"/>
      <c r="AE162" s="182" t="n"/>
      <c r="AF162" s="182" t="n"/>
      <c r="AG162" s="183" t="n"/>
      <c r="AH162" s="176" t="n"/>
      <c r="AI162" s="176" t="n"/>
      <c r="AJ162" s="176" t="n"/>
      <c r="AK162" s="176" t="n"/>
      <c r="AL162" s="176" t="n"/>
      <c r="AM162" s="176" t="n"/>
      <c r="AN162" s="176" t="n"/>
      <c r="AO162" s="176" t="n"/>
      <c r="AP162" s="176" t="n"/>
      <c r="AQ162" s="176" t="n"/>
      <c r="AR162" s="176" t="n"/>
      <c r="AS162" s="176" t="n"/>
      <c r="AT162" s="176" t="n"/>
      <c r="AU162" s="176" t="n"/>
      <c r="AV162" s="176" t="n"/>
      <c r="AW162" s="176" t="n"/>
      <c r="AX162" s="176" t="n"/>
      <c r="AY162" s="176" t="n"/>
      <c r="AZ162" s="176" t="n"/>
      <c r="BA162" s="176" t="n"/>
      <c r="BB162" s="176" t="n"/>
      <c r="BC162" s="176" t="n"/>
      <c r="BD162" s="176" t="n"/>
      <c r="BE162" s="176" t="n"/>
      <c r="BF162" s="176" t="n"/>
      <c r="BG162" s="176" t="n"/>
      <c r="BH162" s="176" t="n"/>
      <c r="BI162" s="176" t="n"/>
      <c r="BJ162" s="176" t="n"/>
      <c r="BK162" s="176" t="n"/>
      <c r="BL162" s="176" t="n"/>
      <c r="BM162" s="176" t="n"/>
      <c r="BN162" s="176" t="n"/>
      <c r="BO162" s="176" t="n"/>
      <c r="BP162" s="176" t="n"/>
      <c r="BQ162" s="176" t="n"/>
      <c r="BR162" s="176" t="n"/>
      <c r="BS162" s="176" t="n"/>
      <c r="BT162" s="176" t="n"/>
      <c r="BU162" s="176" t="n"/>
      <c r="BV162" s="176" t="n"/>
      <c r="BW162" s="176" t="n"/>
      <c r="BX162" s="176" t="n"/>
      <c r="BY162" s="176" t="n"/>
      <c r="BZ162" s="176" t="n"/>
      <c r="CA162" s="176" t="n"/>
      <c r="CB162" s="176" t="n"/>
      <c r="CC162" s="176" t="n"/>
      <c r="CD162" s="176" t="n"/>
      <c r="CE162" s="176" t="n"/>
      <c r="CF162" s="176" t="n"/>
      <c r="CG162" s="176" t="n"/>
      <c r="CH162" s="176" t="n"/>
      <c r="CI162" s="176" t="n"/>
      <c r="CJ162" s="176" t="n"/>
      <c r="CK162" s="176" t="n"/>
      <c r="CL162" s="176" t="n"/>
      <c r="CM162" s="176" t="n"/>
      <c r="CN162" s="176" t="n"/>
      <c r="CO162" s="176" t="n"/>
      <c r="CP162" s="176" t="n"/>
      <c r="CQ162" s="176" t="n"/>
      <c r="CR162" s="176" t="n"/>
      <c r="CS162" s="176" t="n"/>
      <c r="CT162" s="176" t="n"/>
      <c r="CU162" s="176" t="n"/>
      <c r="CV162" s="176" t="n"/>
      <c r="CW162" s="176" t="n"/>
      <c r="CX162" s="176" t="n"/>
      <c r="CY162" s="176" t="n"/>
      <c r="CZ162" s="176" t="n"/>
      <c r="DA162" s="189" t="n"/>
      <c r="DB162" s="190" t="n"/>
      <c r="DC162" s="190" t="n"/>
      <c r="DD162" s="190" t="n"/>
      <c r="DE162" s="190" t="n"/>
      <c r="DF162" s="191" t="n"/>
      <c r="DG162" s="176" t="n"/>
      <c r="DH162" s="176" t="n"/>
      <c r="DI162" s="189" t="n"/>
      <c r="DJ162" s="190" t="n"/>
      <c r="DK162" s="190" t="n"/>
      <c r="DL162" s="190" t="n"/>
      <c r="DM162" s="190" t="n"/>
      <c r="DN162" s="191" t="n"/>
      <c r="DO162" s="176" t="n"/>
      <c r="DP162" s="176" t="n"/>
      <c r="DQ162" s="176" t="n"/>
      <c r="DX162" s="176" t="n"/>
      <c r="DY162" s="176" t="n"/>
      <c r="EF162" s="176" t="n"/>
      <c r="EG162" s="176" t="n"/>
      <c r="EH162" s="176" t="n"/>
      <c r="EI162" s="176" t="n"/>
      <c r="EJ162" s="176" t="n"/>
      <c r="EK162" s="176" t="n"/>
      <c r="EL162" s="176" t="n"/>
      <c r="EM162" s="176" t="n"/>
      <c r="EN162" s="176" t="n"/>
      <c r="EO162" s="176" t="n"/>
      <c r="EP162" s="176" t="n"/>
      <c r="EQ162" s="176" t="n"/>
      <c r="ER162" s="176" t="n"/>
      <c r="ES162" s="176" t="n"/>
      <c r="ET162" s="176" t="n"/>
      <c r="EU162" s="176" t="n"/>
      <c r="EV162" s="176" t="n"/>
      <c r="EW162" s="176" t="n"/>
      <c r="EX162" s="176" t="n"/>
      <c r="EY162" s="176" t="n"/>
      <c r="EZ162" s="181" t="inlineStr">
        <is>
          <t>RESTRIÇÃO EMBUTIDA</t>
        </is>
      </c>
      <c r="FA162" s="182" t="n"/>
      <c r="FB162" s="183" t="n"/>
      <c r="FC162" s="185" t="n"/>
      <c r="FD162" s="182" t="n"/>
      <c r="FE162" s="183" t="n"/>
      <c r="FF162" s="176" t="n"/>
      <c r="FG162" s="176" t="n"/>
      <c r="FH162" s="181" t="inlineStr">
        <is>
          <t>RESTRIÇÃO EMBUTIDA</t>
        </is>
      </c>
      <c r="FI162" s="182" t="n"/>
      <c r="FJ162" s="183" t="n"/>
      <c r="FK162" s="185" t="n"/>
      <c r="FL162" s="182" t="n"/>
      <c r="FM162" s="183" t="n"/>
      <c r="FN162" s="176" t="n"/>
      <c r="FO162" s="176" t="n"/>
      <c r="FP162" s="176" t="n"/>
      <c r="FQ162" s="176" t="n"/>
      <c r="FR162" s="176" t="n"/>
      <c r="FS162" s="176" t="n"/>
      <c r="FT162" s="176" t="n"/>
      <c r="FU162" s="176" t="n"/>
      <c r="FV162" s="176" t="n"/>
      <c r="FW162" s="176" t="n"/>
      <c r="FX162" s="176" t="n"/>
      <c r="FY162" s="176" t="n"/>
      <c r="FZ162" s="176" t="n"/>
      <c r="GA162" s="176" t="n"/>
      <c r="GB162" s="176" t="n"/>
      <c r="GC162" s="176" t="n"/>
      <c r="GD162" s="176" t="n"/>
      <c r="GE162" s="176" t="n"/>
      <c r="GF162" s="176" t="n"/>
      <c r="GG162" s="176" t="n"/>
      <c r="GH162" s="176" t="n"/>
      <c r="GI162" s="176" t="n"/>
      <c r="GJ162" s="176" t="n"/>
      <c r="GK162" s="176" t="n"/>
      <c r="GL162" s="176" t="n"/>
      <c r="GM162" s="176" t="n"/>
      <c r="GN162" s="176" t="n"/>
      <c r="GO162" s="176" t="n"/>
      <c r="GP162" s="176" t="n"/>
      <c r="GQ162" s="176" t="n"/>
      <c r="GR162" s="176" t="n"/>
      <c r="GS162" s="176" t="n"/>
      <c r="GT162" s="176" t="n"/>
      <c r="GU162" s="176" t="n"/>
      <c r="GV162" s="176" t="n"/>
      <c r="GW162" s="176" t="n"/>
      <c r="GX162" s="176" t="n"/>
      <c r="GY162" s="176" t="n"/>
      <c r="GZ162" s="176" t="n"/>
      <c r="HA162" s="176" t="n"/>
      <c r="HB162" s="176" t="n"/>
      <c r="HC162" s="176" t="n"/>
      <c r="HD162" s="176" t="n"/>
      <c r="HE162" s="176" t="n"/>
      <c r="HF162" s="176" t="n"/>
      <c r="HG162" s="176" t="n"/>
      <c r="HH162" s="176" t="n"/>
      <c r="HI162" s="176" t="n"/>
      <c r="HJ162" s="176" t="n"/>
      <c r="HK162" s="176" t="n"/>
      <c r="HL162" s="176" t="n"/>
      <c r="HM162" s="176" t="n"/>
      <c r="HN162" s="176" t="n"/>
      <c r="HO162" s="176" t="n"/>
      <c r="HP162" s="181" t="inlineStr">
        <is>
          <t>REQUISITOS</t>
        </is>
      </c>
      <c r="HQ162" s="182" t="n"/>
      <c r="HR162" s="182" t="n"/>
      <c r="HS162" s="182" t="n"/>
      <c r="HT162" s="182" t="n"/>
      <c r="HU162" s="183" t="n"/>
      <c r="HV162" s="176" t="n"/>
      <c r="HW162" s="176" t="n"/>
      <c r="HX162" s="181" t="inlineStr">
        <is>
          <t>REQUISITOS</t>
        </is>
      </c>
      <c r="HY162" s="182" t="n"/>
      <c r="HZ162" s="182" t="n"/>
      <c r="IA162" s="182" t="n"/>
      <c r="IB162" s="182" t="n"/>
      <c r="IC162" s="183" t="n"/>
      <c r="ID162" s="176" t="n"/>
    </row>
    <row r="163" ht="18.75" customHeight="1">
      <c r="A163" s="176" t="n"/>
      <c r="B163" s="176" t="n"/>
      <c r="I163" s="176" t="n"/>
      <c r="J163" s="176" t="n"/>
      <c r="K163" s="176" t="n"/>
      <c r="L163" s="176" t="n"/>
      <c r="M163" s="176" t="n"/>
      <c r="N163" s="176" t="n"/>
      <c r="O163" s="176" t="n"/>
      <c r="P163" s="176" t="n"/>
      <c r="Q163" s="176" t="n"/>
      <c r="R163" s="176" t="n"/>
      <c r="S163" s="176" t="n"/>
      <c r="T163" s="181">
        <f>SWITCH('CONFIGURAÇÃO'!$T$159,"Origem","PERÍCIA 2","Marcante","","Menor","EXIGE MARCANTE","Arma","MÃO","Escudo","","Uniforme","","Item comum","","Ferramenta amaldiçoada","GRAU","")</f>
        <v/>
      </c>
      <c r="U163" s="183" t="n"/>
      <c r="V163" s="185" t="n"/>
      <c r="W163" s="182" t="n"/>
      <c r="X163" s="182" t="n"/>
      <c r="Y163" s="183" t="n"/>
      <c r="Z163" s="176" t="n"/>
      <c r="AA163" s="176" t="n"/>
      <c r="AB163" s="181">
        <f>SWITCH('CONFIGURAÇÃO'!$AB$159,"Origem","PERÍCIA 2","Marcante","","Menor","EXIGE MARCANTE","Arma","MÃO","Escudo","","Uniforme","","Item comum","","Ferramenta amaldiçoada","GRAU","")</f>
        <v/>
      </c>
      <c r="AC163" s="183" t="n"/>
      <c r="AD163" s="185" t="n"/>
      <c r="AE163" s="182" t="n"/>
      <c r="AF163" s="182" t="n"/>
      <c r="AG163" s="183" t="n"/>
      <c r="AH163" s="176" t="n"/>
      <c r="AI163" s="176" t="n"/>
      <c r="AJ163" s="176" t="n"/>
      <c r="AK163" s="176" t="n"/>
      <c r="AL163" s="176" t="n"/>
      <c r="AM163" s="176" t="n"/>
      <c r="AN163" s="176" t="n"/>
      <c r="AO163" s="176" t="n"/>
      <c r="AP163" s="176" t="n"/>
      <c r="AQ163" s="176" t="n"/>
      <c r="AR163" s="176" t="n"/>
      <c r="AS163" s="176" t="n"/>
      <c r="AT163" s="176" t="n"/>
      <c r="AU163" s="176" t="n"/>
      <c r="AV163" s="176" t="n"/>
      <c r="AW163" s="176" t="n"/>
      <c r="AX163" s="176" t="n"/>
      <c r="AY163" s="176" t="n"/>
      <c r="AZ163" s="176" t="n"/>
      <c r="BA163" s="176" t="n"/>
      <c r="BB163" s="176" t="n"/>
      <c r="BC163" s="176" t="n"/>
      <c r="BD163" s="176" t="n"/>
      <c r="BE163" s="176" t="n"/>
      <c r="BF163" s="176" t="n"/>
      <c r="BG163" s="176" t="n"/>
      <c r="BH163" s="176" t="n"/>
      <c r="BI163" s="176" t="n"/>
      <c r="BJ163" s="176" t="n"/>
      <c r="BK163" s="176" t="n"/>
      <c r="BL163" s="176" t="n"/>
      <c r="BM163" s="176" t="n"/>
      <c r="BN163" s="176" t="n"/>
      <c r="BO163" s="176" t="n"/>
      <c r="BP163" s="176" t="n"/>
      <c r="BQ163" s="176" t="n"/>
      <c r="BR163" s="176" t="n"/>
      <c r="BS163" s="176" t="n"/>
      <c r="BT163" s="176" t="n"/>
      <c r="BU163" s="176" t="n"/>
      <c r="BV163" s="176" t="n"/>
      <c r="BW163" s="176" t="n"/>
      <c r="BX163" s="176" t="n"/>
      <c r="BY163" s="176" t="n"/>
      <c r="BZ163" s="176" t="n"/>
      <c r="CA163" s="176" t="n"/>
      <c r="CB163" s="176" t="n"/>
      <c r="CC163" s="176" t="n"/>
      <c r="CD163" s="176" t="n"/>
      <c r="CE163" s="176" t="n"/>
      <c r="CF163" s="176" t="n"/>
      <c r="CG163" s="176" t="n"/>
      <c r="CH163" s="176" t="n"/>
      <c r="CI163" s="176" t="n"/>
      <c r="CJ163" s="176" t="n"/>
      <c r="CK163" s="176" t="n"/>
      <c r="CL163" s="176" t="n"/>
      <c r="CM163" s="176" t="n"/>
      <c r="CN163" s="176" t="n"/>
      <c r="CO163" s="176" t="n"/>
      <c r="CP163" s="176" t="n"/>
      <c r="CQ163" s="176" t="n"/>
      <c r="CR163" s="176" t="n"/>
      <c r="CS163" s="176" t="n"/>
      <c r="CT163" s="176" t="n"/>
      <c r="CU163" s="176" t="n"/>
      <c r="CV163" s="176" t="n"/>
      <c r="CW163" s="176" t="n"/>
      <c r="CX163" s="176" t="n"/>
      <c r="CY163" s="176" t="n"/>
      <c r="CZ163" s="176" t="n"/>
      <c r="DA163" s="176" t="n"/>
      <c r="DB163" s="176" t="n"/>
      <c r="DC163" s="176" t="n"/>
      <c r="DD163" s="176" t="n"/>
      <c r="DE163" s="176" t="n"/>
      <c r="DF163" s="176" t="n"/>
      <c r="DG163" s="176" t="n"/>
      <c r="DH163" s="176" t="n"/>
      <c r="DI163" s="176" t="n"/>
      <c r="DJ163" s="176" t="n"/>
      <c r="DK163" s="176" t="n"/>
      <c r="DL163" s="176" t="n"/>
      <c r="DM163" s="176" t="n"/>
      <c r="DN163" s="176" t="n"/>
      <c r="DO163" s="176" t="n"/>
      <c r="DP163" s="176" t="n"/>
      <c r="DQ163" s="176" t="n"/>
      <c r="DR163" s="176" t="n"/>
      <c r="DS163" s="176" t="n"/>
      <c r="DT163" s="176" t="n"/>
      <c r="DU163" s="176" t="n"/>
      <c r="DV163" s="176" t="n"/>
      <c r="DW163" s="176" t="n"/>
      <c r="DX163" s="176" t="n"/>
      <c r="DY163" s="176" t="n"/>
      <c r="DZ163" s="176" t="n"/>
      <c r="EA163" s="176" t="n"/>
      <c r="EB163" s="176" t="n"/>
      <c r="EC163" s="176" t="n"/>
      <c r="ED163" s="176" t="n"/>
      <c r="EE163" s="176" t="n"/>
      <c r="EF163" s="176" t="n"/>
      <c r="EG163" s="176" t="n"/>
      <c r="EH163" s="176" t="n"/>
      <c r="EI163" s="176" t="n"/>
      <c r="EJ163" s="176" t="n"/>
      <c r="EK163" s="176" t="n"/>
      <c r="EL163" s="176" t="n"/>
      <c r="EM163" s="176" t="n"/>
      <c r="EN163" s="176" t="n"/>
      <c r="EO163" s="176" t="n"/>
      <c r="EP163" s="176" t="n"/>
      <c r="EQ163" s="176" t="n"/>
      <c r="ER163" s="176" t="n"/>
      <c r="ES163" s="176" t="n"/>
      <c r="ET163" s="176" t="n"/>
      <c r="EU163" s="176" t="n"/>
      <c r="EV163" s="176" t="n"/>
      <c r="EW163" s="176" t="n"/>
      <c r="EX163" s="176" t="n"/>
      <c r="EY163" s="176" t="n"/>
      <c r="EZ163" s="181" t="inlineStr">
        <is>
          <t>ESCADA DE ALCANCE</t>
        </is>
      </c>
      <c r="FA163" s="182" t="n"/>
      <c r="FB163" s="183" t="n"/>
      <c r="FC163" s="185" t="n"/>
      <c r="FD163" s="182" t="n"/>
      <c r="FE163" s="183" t="n"/>
      <c r="FF163" s="176" t="n"/>
      <c r="FG163" s="176" t="n"/>
      <c r="FH163" s="181" t="inlineStr">
        <is>
          <t>ESCADA DE ALCANCE</t>
        </is>
      </c>
      <c r="FI163" s="182" t="n"/>
      <c r="FJ163" s="183" t="n"/>
      <c r="FK163" s="185" t="n"/>
      <c r="FL163" s="182" t="n"/>
      <c r="FM163" s="183" t="n"/>
      <c r="FN163" s="176" t="n"/>
      <c r="FO163" s="176" t="n"/>
      <c r="FP163" s="176" t="n"/>
      <c r="FQ163" s="176" t="n"/>
      <c r="FR163" s="176" t="n"/>
      <c r="FS163" s="176" t="n"/>
      <c r="FT163" s="176" t="n"/>
      <c r="FU163" s="176" t="n"/>
      <c r="FV163" s="176" t="n"/>
      <c r="FW163" s="176" t="n"/>
      <c r="FX163" s="176" t="n"/>
      <c r="FY163" s="176" t="n"/>
      <c r="FZ163" s="176" t="n"/>
      <c r="GA163" s="176" t="n"/>
      <c r="GB163" s="176" t="n"/>
      <c r="GC163" s="176" t="n"/>
      <c r="GD163" s="176" t="n"/>
      <c r="GE163" s="176" t="n"/>
      <c r="GF163" s="176" t="n"/>
      <c r="GG163" s="176" t="n"/>
      <c r="GH163" s="176" t="n"/>
      <c r="GI163" s="176" t="n"/>
      <c r="GJ163" s="176" t="n"/>
      <c r="GK163" s="176" t="n"/>
      <c r="GL163" s="176" t="n"/>
      <c r="GM163" s="176" t="n"/>
      <c r="GN163" s="176" t="n"/>
      <c r="GO163" s="176" t="n"/>
      <c r="GP163" s="176" t="n"/>
      <c r="GQ163" s="176" t="n"/>
      <c r="GR163" s="176" t="n"/>
      <c r="GS163" s="176" t="n"/>
      <c r="GT163" s="176" t="n"/>
      <c r="GU163" s="176" t="n"/>
      <c r="GV163" s="176" t="n"/>
      <c r="GW163" s="176" t="n"/>
      <c r="GX163" s="176" t="n"/>
      <c r="GY163" s="176" t="n"/>
      <c r="GZ163" s="176" t="n"/>
      <c r="HA163" s="176" t="n"/>
      <c r="HB163" s="176" t="n"/>
      <c r="HC163" s="176" t="n"/>
      <c r="HD163" s="176" t="n"/>
      <c r="HE163" s="176" t="n"/>
      <c r="HF163" s="176" t="n"/>
      <c r="HG163" s="176" t="n"/>
      <c r="HH163" s="176" t="n"/>
      <c r="HI163" s="176" t="n"/>
      <c r="HJ163" s="176" t="n"/>
      <c r="HK163" s="176" t="n"/>
      <c r="HL163" s="176" t="n"/>
      <c r="HM163" s="176" t="n"/>
      <c r="HN163" s="176" t="n"/>
      <c r="HO163" s="176" t="n"/>
      <c r="HP163" s="192" t="n"/>
      <c r="HQ163" s="187" t="n"/>
      <c r="HR163" s="187" t="n"/>
      <c r="HS163" s="187" t="n"/>
      <c r="HT163" s="187" t="n"/>
      <c r="HU163" s="188" t="n"/>
      <c r="HV163" s="176" t="n"/>
      <c r="HW163" s="176" t="n"/>
      <c r="HX163" s="192" t="n"/>
      <c r="HY163" s="187" t="n"/>
      <c r="HZ163" s="187" t="n"/>
      <c r="IA163" s="187" t="n"/>
      <c r="IB163" s="187" t="n"/>
      <c r="IC163" s="188" t="n"/>
      <c r="ID163" s="176" t="n"/>
    </row>
    <row r="164" ht="18.75" customHeight="1">
      <c r="A164" s="176" t="n"/>
      <c r="B164" s="176" t="n"/>
      <c r="I164" s="176" t="n"/>
      <c r="J164" s="176" t="n"/>
      <c r="K164" s="176" t="n"/>
      <c r="L164" s="176" t="n"/>
      <c r="M164" s="176" t="n"/>
      <c r="N164" s="176" t="n"/>
      <c r="O164" s="176" t="n"/>
      <c r="P164" s="176" t="n"/>
      <c r="Q164" s="176" t="n"/>
      <c r="R164" s="176" t="n"/>
      <c r="S164" s="176" t="n"/>
      <c r="T164" s="181">
        <f>SWITCH('CONFIGURAÇÃO'!$T$159,"Origem","PERÍCIA 3","Marcante","","Menor","","Arma","TIPO DE DANO","Escudo","","Uniforme","","Item comum","","Ferramenta amaldiçoada","","")</f>
        <v/>
      </c>
      <c r="U164" s="183" t="n"/>
      <c r="V164" s="185" t="n"/>
      <c r="W164" s="182" t="n"/>
      <c r="X164" s="182" t="n"/>
      <c r="Y164" s="183" t="n"/>
      <c r="Z164" s="176" t="n"/>
      <c r="AA164" s="176" t="n"/>
      <c r="AB164" s="181">
        <f>SWITCH('CONFIGURAÇÃO'!$AB$159,"Origem","PERÍCIA 3","Marcante","","Menor","","Arma","TIPO DE DANO","Escudo","","Uniforme","","Item comum","","Ferramenta amaldiçoada","","")</f>
        <v/>
      </c>
      <c r="AC164" s="183" t="n"/>
      <c r="AD164" s="185" t="n"/>
      <c r="AE164" s="182" t="n"/>
      <c r="AF164" s="182" t="n"/>
      <c r="AG164" s="183" t="n"/>
      <c r="AH164" s="176" t="n"/>
      <c r="AI164" s="176" t="n"/>
      <c r="AJ164" s="176" t="n"/>
      <c r="AK164" s="176" t="n"/>
      <c r="AL164" s="176" t="n"/>
      <c r="AM164" s="176" t="n"/>
      <c r="AN164" s="176" t="n"/>
      <c r="AO164" s="176" t="n"/>
      <c r="AP164" s="176" t="n"/>
      <c r="AQ164" s="176" t="n"/>
      <c r="AR164" s="176" t="n"/>
      <c r="AS164" s="176" t="n"/>
      <c r="AT164" s="176" t="n"/>
      <c r="AU164" s="176" t="n"/>
      <c r="AV164" s="176" t="n"/>
      <c r="AW164" s="176" t="n"/>
      <c r="AX164" s="176" t="n"/>
      <c r="AY164" s="176" t="n"/>
      <c r="AZ164" s="176" t="n"/>
      <c r="BA164" s="176" t="n"/>
      <c r="BB164" s="176" t="n"/>
      <c r="BC164" s="176" t="n"/>
      <c r="BD164" s="176" t="n"/>
      <c r="BE164" s="176" t="n"/>
      <c r="BF164" s="176" t="n"/>
      <c r="BG164" s="176" t="n"/>
      <c r="BH164" s="176" t="n"/>
      <c r="BI164" s="176" t="n"/>
      <c r="BJ164" s="176" t="n"/>
      <c r="BK164" s="176" t="n"/>
      <c r="BL164" s="176" t="n"/>
      <c r="BM164" s="176" t="n"/>
      <c r="BN164" s="176" t="n"/>
      <c r="BO164" s="176" t="n"/>
      <c r="BP164" s="176" t="n"/>
      <c r="BQ164" s="176" t="n"/>
      <c r="BR164" s="176" t="n"/>
      <c r="BS164" s="176" t="n"/>
      <c r="BT164" s="176" t="n"/>
      <c r="BU164" s="176" t="n"/>
      <c r="BV164" s="176" t="n"/>
      <c r="BW164" s="176" t="n"/>
      <c r="BX164" s="176" t="n"/>
      <c r="BY164" s="176" t="n"/>
      <c r="BZ164" s="176" t="n"/>
      <c r="CA164" s="176" t="n"/>
      <c r="CB164" s="176" t="n"/>
      <c r="CC164" s="176" t="n"/>
      <c r="CD164" s="176" t="n"/>
      <c r="CE164" s="176" t="n"/>
      <c r="CF164" s="176" t="n"/>
      <c r="CG164" s="176" t="n"/>
      <c r="CH164" s="176" t="n"/>
      <c r="CI164" s="176" t="n"/>
      <c r="CJ164" s="176" t="n"/>
      <c r="CK164" s="176" t="n"/>
      <c r="CL164" s="176" t="n"/>
      <c r="CM164" s="176" t="n"/>
      <c r="CN164" s="176" t="n"/>
      <c r="CO164" s="176" t="n"/>
      <c r="CP164" s="176" t="n"/>
      <c r="CQ164" s="176" t="n"/>
      <c r="CR164" s="176" t="n"/>
      <c r="CS164" s="176" t="n"/>
      <c r="CT164" s="176" t="n"/>
      <c r="CU164" s="176" t="n"/>
      <c r="CV164" s="176" t="n"/>
      <c r="CW164" s="176" t="n"/>
      <c r="CX164" s="176" t="n"/>
      <c r="CY164" s="176" t="n"/>
      <c r="CZ164" s="176" t="n"/>
      <c r="DA164" s="180">
        <f>IF('DADOS_MELHORIAS'!$M$12="","","⚠ "&amp;'DADOS_MELHORIAS'!$M$12)</f>
        <v/>
      </c>
      <c r="DG164" s="176" t="n"/>
      <c r="DH164" s="176" t="n"/>
      <c r="DI164" s="180">
        <f>IF('DADOS_MELHORIAS'!$M$13="","","⚠ "&amp;'DADOS_MELHORIAS'!$M$13)</f>
        <v/>
      </c>
      <c r="DO164" s="176" t="n"/>
      <c r="DP164" s="176" t="n"/>
      <c r="DQ164" s="176" t="n"/>
      <c r="DR164" s="176" t="n"/>
      <c r="DS164" s="176" t="n"/>
      <c r="DT164" s="176" t="n"/>
      <c r="DU164" s="176" t="n"/>
      <c r="DV164" s="176" t="n"/>
      <c r="DW164" s="176" t="n"/>
      <c r="DX164" s="176" t="n"/>
      <c r="DY164" s="176" t="n"/>
      <c r="DZ164" s="176" t="n"/>
      <c r="EA164" s="176" t="n"/>
      <c r="EB164" s="176" t="n"/>
      <c r="EC164" s="176" t="n"/>
      <c r="ED164" s="176" t="n"/>
      <c r="EE164" s="176" t="n"/>
      <c r="EF164" s="176" t="n"/>
      <c r="EG164" s="176" t="n"/>
      <c r="EH164" s="176" t="n"/>
      <c r="EI164" s="176" t="n"/>
      <c r="EJ164" s="176" t="n"/>
      <c r="EK164" s="176" t="n"/>
      <c r="EL164" s="176" t="n"/>
      <c r="EM164" s="176" t="n"/>
      <c r="EN164" s="176" t="n"/>
      <c r="EO164" s="176" t="n"/>
      <c r="EP164" s="176" t="n"/>
      <c r="EQ164" s="176" t="n"/>
      <c r="ER164" s="176" t="n"/>
      <c r="ES164" s="176" t="n"/>
      <c r="ET164" s="176" t="n"/>
      <c r="EU164" s="176" t="n"/>
      <c r="EV164" s="176" t="n"/>
      <c r="EW164" s="176" t="n"/>
      <c r="EX164" s="176" t="n"/>
      <c r="EY164" s="176" t="n"/>
      <c r="EZ164" s="181" t="inlineStr">
        <is>
          <t>ESCADA DE ÁREA</t>
        </is>
      </c>
      <c r="FA164" s="182" t="n"/>
      <c r="FB164" s="183" t="n"/>
      <c r="FC164" s="185" t="n"/>
      <c r="FD164" s="182" t="n"/>
      <c r="FE164" s="183" t="n"/>
      <c r="FF164" s="176" t="n"/>
      <c r="FG164" s="176" t="n"/>
      <c r="FH164" s="181" t="inlineStr">
        <is>
          <t>ESCADA DE ÁREA</t>
        </is>
      </c>
      <c r="FI164" s="182" t="n"/>
      <c r="FJ164" s="183" t="n"/>
      <c r="FK164" s="185" t="n"/>
      <c r="FL164" s="182" t="n"/>
      <c r="FM164" s="183" t="n"/>
      <c r="FN164" s="176" t="n"/>
      <c r="FO164" s="176" t="n"/>
      <c r="FP164" s="176" t="n"/>
      <c r="FQ164" s="176" t="n"/>
      <c r="FR164" s="176" t="n"/>
      <c r="FS164" s="176" t="n"/>
      <c r="FT164" s="176" t="n"/>
      <c r="FU164" s="176" t="n"/>
      <c r="FV164" s="176" t="n"/>
      <c r="FW164" s="176" t="n"/>
      <c r="FX164" s="176" t="n"/>
      <c r="FY164" s="176" t="n"/>
      <c r="FZ164" s="176" t="n"/>
      <c r="GA164" s="176" t="n"/>
      <c r="GB164" s="176" t="n"/>
      <c r="GC164" s="176" t="n"/>
      <c r="GD164" s="176" t="n"/>
      <c r="GE164" s="176" t="n"/>
      <c r="GF164" s="176" t="n"/>
      <c r="GG164" s="176" t="n"/>
      <c r="GH164" s="176" t="n"/>
      <c r="GI164" s="176" t="n"/>
      <c r="GJ164" s="176" t="n"/>
      <c r="GK164" s="176" t="n"/>
      <c r="GL164" s="176" t="n"/>
      <c r="GM164" s="176" t="n"/>
      <c r="GN164" s="176" t="n"/>
      <c r="GO164" s="176" t="n"/>
      <c r="GP164" s="176" t="n"/>
      <c r="GQ164" s="176" t="n"/>
      <c r="GR164" s="176" t="n"/>
      <c r="GS164" s="176" t="n"/>
      <c r="GT164" s="176" t="n"/>
      <c r="GU164" s="176" t="n"/>
      <c r="GV164" s="176" t="n"/>
      <c r="GW164" s="176" t="n"/>
      <c r="GX164" s="176" t="n"/>
      <c r="GY164" s="176" t="n"/>
      <c r="GZ164" s="176" t="n"/>
      <c r="HA164" s="176" t="n"/>
      <c r="HB164" s="176" t="n"/>
      <c r="HC164" s="176" t="n"/>
      <c r="HD164" s="176" t="n"/>
      <c r="HE164" s="176" t="n"/>
      <c r="HF164" s="176" t="n"/>
      <c r="HG164" s="176" t="n"/>
      <c r="HH164" s="176" t="n"/>
      <c r="HI164" s="176" t="n"/>
      <c r="HJ164" s="176" t="n"/>
      <c r="HK164" s="176" t="n"/>
      <c r="HL164" s="176" t="n"/>
      <c r="HM164" s="176" t="n"/>
      <c r="HN164" s="176" t="n"/>
      <c r="HO164" s="176" t="n"/>
      <c r="HP164" s="193" t="n"/>
      <c r="HU164" s="194" t="n"/>
      <c r="HV164" s="176" t="n"/>
      <c r="HW164" s="176" t="n"/>
      <c r="HX164" s="193" t="n"/>
      <c r="IC164" s="194" t="n"/>
      <c r="ID164" s="176" t="n"/>
    </row>
    <row r="165" ht="18.75" customHeight="1">
      <c r="A165" s="176" t="n"/>
      <c r="B165" s="176" t="n"/>
      <c r="C165" s="176" t="n"/>
      <c r="D165" s="176" t="n"/>
      <c r="E165" s="176" t="n"/>
      <c r="F165" s="176" t="n"/>
      <c r="G165" s="176" t="n"/>
      <c r="H165" s="176" t="n"/>
      <c r="I165" s="176" t="n"/>
      <c r="J165" s="176" t="n"/>
      <c r="K165" s="176" t="n"/>
      <c r="L165" s="176" t="n"/>
      <c r="M165" s="176" t="n"/>
      <c r="N165" s="176" t="n"/>
      <c r="O165" s="176" t="n"/>
      <c r="P165" s="176" t="n"/>
      <c r="Q165" s="176" t="n"/>
      <c r="R165" s="176" t="n"/>
      <c r="S165" s="176" t="n"/>
      <c r="T165" s="181">
        <f>SWITCH('CONFIGURAÇÃO'!$T$159,"Origem","PERÍCIA 4","Marcante","","Menor","","Arma","PROPRIEDADE 1","Escudo","","Uniforme","","Item comum","","Ferramenta amaldiçoada","","")</f>
        <v/>
      </c>
      <c r="U165" s="183" t="n"/>
      <c r="V165" s="185" t="n"/>
      <c r="W165" s="182" t="n"/>
      <c r="X165" s="182" t="n"/>
      <c r="Y165" s="183" t="n"/>
      <c r="Z165" s="176" t="n"/>
      <c r="AA165" s="176" t="n"/>
      <c r="AB165" s="181">
        <f>SWITCH('CONFIGURAÇÃO'!$AB$159,"Origem","PERÍCIA 4","Marcante","","Menor","","Arma","PROPRIEDADE 1","Escudo","","Uniforme","","Item comum","","Ferramenta amaldiçoada","","")</f>
        <v/>
      </c>
      <c r="AC165" s="183" t="n"/>
      <c r="AD165" s="185" t="n"/>
      <c r="AE165" s="182" t="n"/>
      <c r="AF165" s="182" t="n"/>
      <c r="AG165" s="183" t="n"/>
      <c r="AH165" s="176" t="n"/>
      <c r="AI165" s="176" t="n"/>
      <c r="AJ165" s="176" t="n"/>
      <c r="AK165" s="176" t="n"/>
      <c r="AL165" s="176" t="n"/>
      <c r="AM165" s="176" t="n"/>
      <c r="AN165" s="176" t="n"/>
      <c r="AO165" s="176" t="n"/>
      <c r="AP165" s="176" t="n"/>
      <c r="AQ165" s="176" t="n"/>
      <c r="AR165" s="176" t="n"/>
      <c r="AS165" s="176" t="n"/>
      <c r="AT165" s="176" t="n"/>
      <c r="AU165" s="176" t="n"/>
      <c r="AV165" s="176" t="n"/>
      <c r="AW165" s="176" t="n"/>
      <c r="AX165" s="176" t="n"/>
      <c r="AY165" s="176" t="n"/>
      <c r="AZ165" s="176" t="n"/>
      <c r="BA165" s="176" t="n"/>
      <c r="BB165" s="176" t="n"/>
      <c r="BC165" s="176" t="n"/>
      <c r="BD165" s="176" t="n"/>
      <c r="BE165" s="176" t="n"/>
      <c r="BF165" s="176" t="n"/>
      <c r="BG165" s="176" t="n"/>
      <c r="BH165" s="176" t="n"/>
      <c r="BI165" s="176" t="n"/>
      <c r="BJ165" s="176" t="n"/>
      <c r="BK165" s="176" t="n"/>
      <c r="BL165" s="176" t="n"/>
      <c r="BM165" s="176" t="n"/>
      <c r="BN165" s="176" t="n"/>
      <c r="BO165" s="176" t="n"/>
      <c r="BP165" s="176" t="n"/>
      <c r="BQ165" s="176" t="n"/>
      <c r="BR165" s="176" t="n"/>
      <c r="BS165" s="176" t="n"/>
      <c r="BT165" s="176" t="n"/>
      <c r="BU165" s="176" t="n"/>
      <c r="BV165" s="176" t="n"/>
      <c r="BW165" s="176" t="n"/>
      <c r="BX165" s="176" t="n"/>
      <c r="BY165" s="176" t="n"/>
      <c r="BZ165" s="176" t="n"/>
      <c r="CA165" s="176" t="n"/>
      <c r="CB165" s="176" t="n"/>
      <c r="CC165" s="176" t="n"/>
      <c r="CD165" s="176" t="n"/>
      <c r="CE165" s="176" t="n"/>
      <c r="CF165" s="176" t="n"/>
      <c r="CG165" s="176" t="n"/>
      <c r="CH165" s="176" t="n"/>
      <c r="CI165" s="176" t="n"/>
      <c r="CJ165" s="176" t="n"/>
      <c r="CK165" s="176" t="n"/>
      <c r="CL165" s="176" t="n"/>
      <c r="CM165" s="176" t="n"/>
      <c r="CN165" s="176" t="n"/>
      <c r="CO165" s="176" t="n"/>
      <c r="CP165" s="176" t="n"/>
      <c r="CQ165" s="176" t="n"/>
      <c r="CR165" s="176" t="n"/>
      <c r="CS165" s="176" t="n"/>
      <c r="CT165" s="176" t="n"/>
      <c r="CU165" s="176" t="n"/>
      <c r="CV165" s="176" t="n"/>
      <c r="CW165" s="176" t="n"/>
      <c r="CX165" s="176" t="n"/>
      <c r="CY165" s="176" t="n"/>
      <c r="CZ165" s="176" t="n"/>
      <c r="DG165" s="176" t="n"/>
      <c r="DH165" s="176" t="n"/>
      <c r="DO165" s="176" t="n"/>
      <c r="DP165" s="176" t="n"/>
      <c r="DQ165" s="176" t="n"/>
      <c r="DR165" s="179" t="inlineStr">
        <is>
          <t>RESTRIÇÃO · 15</t>
        </is>
      </c>
      <c r="DX165" s="176" t="n"/>
      <c r="DY165" s="176" t="n"/>
      <c r="DZ165" s="179" t="inlineStr">
        <is>
          <t>RESTRIÇÃO · 16</t>
        </is>
      </c>
      <c r="EF165" s="176" t="n"/>
      <c r="EG165" s="176" t="n"/>
      <c r="EH165" s="176" t="n"/>
      <c r="EI165" s="176" t="n"/>
      <c r="EJ165" s="176" t="n"/>
      <c r="EK165" s="176" t="n"/>
      <c r="EL165" s="176" t="n"/>
      <c r="EM165" s="176" t="n"/>
      <c r="EN165" s="176" t="n"/>
      <c r="EO165" s="176" t="n"/>
      <c r="EP165" s="176" t="n"/>
      <c r="EQ165" s="176" t="n"/>
      <c r="ER165" s="176" t="n"/>
      <c r="ES165" s="176" t="n"/>
      <c r="ET165" s="176" t="n"/>
      <c r="EU165" s="176" t="n"/>
      <c r="EV165" s="176" t="n"/>
      <c r="EW165" s="176" t="n"/>
      <c r="EX165" s="176" t="n"/>
      <c r="EY165" s="176" t="n"/>
      <c r="EZ165" s="181" t="inlineStr">
        <is>
          <t>ALC · P · 0</t>
        </is>
      </c>
      <c r="FA165" s="182" t="n"/>
      <c r="FB165" s="183" t="n"/>
      <c r="FC165" s="185" t="n"/>
      <c r="FD165" s="182" t="n"/>
      <c r="FE165" s="183" t="n"/>
      <c r="FF165" s="176" t="n"/>
      <c r="FG165" s="176" t="n"/>
      <c r="FH165" s="181" t="inlineStr">
        <is>
          <t>ALC · P · 0</t>
        </is>
      </c>
      <c r="FI165" s="182" t="n"/>
      <c r="FJ165" s="183" t="n"/>
      <c r="FK165" s="185" t="n"/>
      <c r="FL165" s="182" t="n"/>
      <c r="FM165" s="183" t="n"/>
      <c r="FN165" s="176" t="n"/>
      <c r="FO165" s="176" t="n"/>
      <c r="FP165" s="176" t="n"/>
      <c r="FQ165" s="176" t="n"/>
      <c r="FR165" s="176" t="n"/>
      <c r="FS165" s="176" t="n"/>
      <c r="FT165" s="176" t="n"/>
      <c r="FU165" s="176" t="n"/>
      <c r="FV165" s="176" t="n"/>
      <c r="FW165" s="176" t="n"/>
      <c r="FX165" s="176" t="n"/>
      <c r="FY165" s="176" t="n"/>
      <c r="FZ165" s="176" t="n"/>
      <c r="GA165" s="176" t="n"/>
      <c r="GB165" s="176" t="n"/>
      <c r="GC165" s="176" t="n"/>
      <c r="GD165" s="176" t="n"/>
      <c r="GE165" s="176" t="n"/>
      <c r="GF165" s="176" t="n"/>
      <c r="GG165" s="176" t="n"/>
      <c r="GH165" s="176" t="n"/>
      <c r="GI165" s="176" t="n"/>
      <c r="GJ165" s="176" t="n"/>
      <c r="GK165" s="176" t="n"/>
      <c r="GL165" s="176" t="n"/>
      <c r="GM165" s="176" t="n"/>
      <c r="GN165" s="176" t="n"/>
      <c r="GO165" s="176" t="n"/>
      <c r="GP165" s="176" t="n"/>
      <c r="GQ165" s="176" t="n"/>
      <c r="GR165" s="176" t="n"/>
      <c r="GS165" s="176" t="n"/>
      <c r="GT165" s="176" t="n"/>
      <c r="GU165" s="176" t="n"/>
      <c r="GV165" s="176" t="n"/>
      <c r="GW165" s="176" t="n"/>
      <c r="GX165" s="176" t="n"/>
      <c r="GY165" s="176" t="n"/>
      <c r="GZ165" s="176" t="n"/>
      <c r="HA165" s="176" t="n"/>
      <c r="HB165" s="176" t="n"/>
      <c r="HC165" s="176" t="n"/>
      <c r="HD165" s="176" t="n"/>
      <c r="HE165" s="176" t="n"/>
      <c r="HF165" s="176" t="n"/>
      <c r="HG165" s="176" t="n"/>
      <c r="HH165" s="176" t="n"/>
      <c r="HI165" s="176" t="n"/>
      <c r="HJ165" s="176" t="n"/>
      <c r="HK165" s="176" t="n"/>
      <c r="HL165" s="176" t="n"/>
      <c r="HM165" s="176" t="n"/>
      <c r="HN165" s="176" t="n"/>
      <c r="HO165" s="176" t="n"/>
      <c r="HP165" s="189" t="n"/>
      <c r="HQ165" s="190" t="n"/>
      <c r="HR165" s="190" t="n"/>
      <c r="HS165" s="190" t="n"/>
      <c r="HT165" s="190" t="n"/>
      <c r="HU165" s="191" t="n"/>
      <c r="HV165" s="176" t="n"/>
      <c r="HW165" s="176" t="n"/>
      <c r="HX165" s="189" t="n"/>
      <c r="HY165" s="190" t="n"/>
      <c r="HZ165" s="190" t="n"/>
      <c r="IA165" s="190" t="n"/>
      <c r="IB165" s="190" t="n"/>
      <c r="IC165" s="191" t="n"/>
      <c r="ID165" s="176" t="n"/>
    </row>
    <row r="166" ht="18.75" customHeight="1">
      <c r="A166" s="176" t="n"/>
      <c r="B166" s="176" t="n"/>
      <c r="C166" s="176" t="n"/>
      <c r="D166" s="176" t="n"/>
      <c r="E166" s="176" t="n"/>
      <c r="F166" s="176" t="n"/>
      <c r="G166" s="176" t="n"/>
      <c r="H166" s="176" t="n"/>
      <c r="I166" s="176" t="n"/>
      <c r="J166" s="176" t="n"/>
      <c r="K166" s="176" t="n"/>
      <c r="L166" s="176" t="n"/>
      <c r="M166" s="176" t="n"/>
      <c r="N166" s="176" t="n"/>
      <c r="O166" s="176" t="n"/>
      <c r="P166" s="176" t="n"/>
      <c r="Q166" s="176" t="n"/>
      <c r="R166" s="176" t="n"/>
      <c r="S166" s="176" t="n"/>
      <c r="T166" s="181">
        <f>SWITCH('CONFIGURAÇÃO'!$T$159,"Origem","ROTA","Marcante","","Menor","","Arma","PROPRIEDADE 2","Escudo","","Uniforme","","Item comum","","Ferramenta amaldiçoada","","")</f>
        <v/>
      </c>
      <c r="U166" s="183" t="n"/>
      <c r="V166" s="185" t="n"/>
      <c r="W166" s="182" t="n"/>
      <c r="X166" s="182" t="n"/>
      <c r="Y166" s="183" t="n"/>
      <c r="Z166" s="176" t="n"/>
      <c r="AA166" s="176" t="n"/>
      <c r="AB166" s="181">
        <f>SWITCH('CONFIGURAÇÃO'!$AB$159,"Origem","ROTA","Marcante","","Menor","","Arma","PROPRIEDADE 2","Escudo","","Uniforme","","Item comum","","Ferramenta amaldiçoada","","")</f>
        <v/>
      </c>
      <c r="AC166" s="183" t="n"/>
      <c r="AD166" s="185" t="n"/>
      <c r="AE166" s="182" t="n"/>
      <c r="AF166" s="182" t="n"/>
      <c r="AG166" s="183" t="n"/>
      <c r="AH166" s="176" t="n"/>
      <c r="AI166" s="176" t="n"/>
      <c r="AJ166" s="176" t="n"/>
      <c r="AK166" s="176" t="n"/>
      <c r="AL166" s="176" t="n"/>
      <c r="AM166" s="176" t="n"/>
      <c r="AN166" s="176" t="n"/>
      <c r="AO166" s="176" t="n"/>
      <c r="AP166" s="176" t="n"/>
      <c r="AQ166" s="176" t="n"/>
      <c r="AR166" s="176" t="n"/>
      <c r="AS166" s="176" t="n"/>
      <c r="AT166" s="176" t="n"/>
      <c r="AU166" s="176" t="n"/>
      <c r="AV166" s="176" t="n"/>
      <c r="AW166" s="176" t="n"/>
      <c r="AX166" s="176" t="n"/>
      <c r="AY166" s="176" t="n"/>
      <c r="AZ166" s="176" t="n"/>
      <c r="BA166" s="176" t="n"/>
      <c r="BB166" s="176" t="n"/>
      <c r="BC166" s="176" t="n"/>
      <c r="BD166" s="176" t="n"/>
      <c r="BE166" s="176" t="n"/>
      <c r="BF166" s="176" t="n"/>
      <c r="BG166" s="176" t="n"/>
      <c r="BH166" s="176" t="n"/>
      <c r="BI166" s="176" t="n"/>
      <c r="BJ166" s="176" t="n"/>
      <c r="BK166" s="176" t="n"/>
      <c r="BL166" s="176" t="n"/>
      <c r="BM166" s="176" t="n"/>
      <c r="BN166" s="176" t="n"/>
      <c r="BO166" s="176" t="n"/>
      <c r="BP166" s="176" t="n"/>
      <c r="BQ166" s="176" t="n"/>
      <c r="BR166" s="176" t="n"/>
      <c r="BS166" s="176" t="n"/>
      <c r="BT166" s="176" t="n"/>
      <c r="BU166" s="176" t="n"/>
      <c r="BV166" s="176" t="n"/>
      <c r="BW166" s="176" t="n"/>
      <c r="BX166" s="176" t="n"/>
      <c r="BY166" s="176" t="n"/>
      <c r="BZ166" s="176" t="n"/>
      <c r="CA166" s="176" t="n"/>
      <c r="CB166" s="176" t="n"/>
      <c r="CC166" s="176" t="n"/>
      <c r="CD166" s="176" t="n"/>
      <c r="CE166" s="176" t="n"/>
      <c r="CF166" s="176" t="n"/>
      <c r="CG166" s="176" t="n"/>
      <c r="CH166" s="176" t="n"/>
      <c r="CI166" s="176" t="n"/>
      <c r="CJ166" s="176" t="n"/>
      <c r="CK166" s="176" t="n"/>
      <c r="CL166" s="176" t="n"/>
      <c r="CM166" s="176" t="n"/>
      <c r="CN166" s="176" t="n"/>
      <c r="CO166" s="176" t="n"/>
      <c r="CP166" s="176" t="n"/>
      <c r="CQ166" s="176" t="n"/>
      <c r="CR166" s="176" t="n"/>
      <c r="CS166" s="176" t="n"/>
      <c r="CT166" s="176" t="n"/>
      <c r="CU166" s="176" t="n"/>
      <c r="CV166" s="176" t="n"/>
      <c r="CW166" s="176" t="n"/>
      <c r="CX166" s="176" t="n"/>
      <c r="CY166" s="176" t="n"/>
      <c r="CZ166" s="176" t="n"/>
      <c r="DA166" s="176" t="n"/>
      <c r="DB166" s="176" t="n"/>
      <c r="DC166" s="176" t="n"/>
      <c r="DD166" s="176" t="n"/>
      <c r="DE166" s="176" t="n"/>
      <c r="DF166" s="176" t="n"/>
      <c r="DG166" s="176" t="n"/>
      <c r="DH166" s="176" t="n"/>
      <c r="DI166" s="176" t="n"/>
      <c r="DJ166" s="176" t="n"/>
      <c r="DK166" s="176" t="n"/>
      <c r="DL166" s="176" t="n"/>
      <c r="DM166" s="176" t="n"/>
      <c r="DN166" s="176" t="n"/>
      <c r="DO166" s="176" t="n"/>
      <c r="DP166" s="176" t="n"/>
      <c r="DQ166" s="176" t="n"/>
      <c r="DR166" s="181" t="inlineStr">
        <is>
          <t>TIPO</t>
        </is>
      </c>
      <c r="DS166" s="182" t="n"/>
      <c r="DT166" s="182" t="n"/>
      <c r="DU166" s="183" t="n"/>
      <c r="DV166" s="181" t="inlineStr">
        <is>
          <t>MESTRE VIU</t>
        </is>
      </c>
      <c r="DW166" s="183" t="n"/>
      <c r="DX166" s="176" t="n"/>
      <c r="DY166" s="176" t="n"/>
      <c r="DZ166" s="181" t="inlineStr">
        <is>
          <t>TIPO</t>
        </is>
      </c>
      <c r="EA166" s="182" t="n"/>
      <c r="EB166" s="182" t="n"/>
      <c r="EC166" s="183" t="n"/>
      <c r="ED166" s="181" t="inlineStr">
        <is>
          <t>MESTRE VIU</t>
        </is>
      </c>
      <c r="EE166" s="183" t="n"/>
      <c r="EF166" s="176" t="n"/>
      <c r="EG166" s="176" t="n"/>
      <c r="EH166" s="176" t="n"/>
      <c r="EI166" s="176" t="n"/>
      <c r="EJ166" s="176" t="n"/>
      <c r="EK166" s="176" t="n"/>
      <c r="EL166" s="176" t="n"/>
      <c r="EM166" s="176" t="n"/>
      <c r="EN166" s="176" t="n"/>
      <c r="EO166" s="176" t="n"/>
      <c r="EP166" s="176" t="n"/>
      <c r="EQ166" s="176" t="n"/>
      <c r="ER166" s="176" t="n"/>
      <c r="ES166" s="176" t="n"/>
      <c r="ET166" s="176" t="n"/>
      <c r="EU166" s="176" t="n"/>
      <c r="EV166" s="176" t="n"/>
      <c r="EW166" s="176" t="n"/>
      <c r="EX166" s="176" t="n"/>
      <c r="EY166" s="176" t="n"/>
      <c r="EZ166" s="181" t="inlineStr">
        <is>
          <t>ALC · P · 1 a 5</t>
        </is>
      </c>
      <c r="FA166" s="182" t="n"/>
      <c r="FB166" s="183" t="n"/>
      <c r="FC166" s="185" t="n"/>
      <c r="FD166" s="182" t="n"/>
      <c r="FE166" s="183" t="n"/>
      <c r="FF166" s="176" t="n"/>
      <c r="FG166" s="176" t="n"/>
      <c r="FH166" s="181" t="inlineStr">
        <is>
          <t>ALC · P · 1 a 5</t>
        </is>
      </c>
      <c r="FI166" s="182" t="n"/>
      <c r="FJ166" s="183" t="n"/>
      <c r="FK166" s="185" t="n"/>
      <c r="FL166" s="182" t="n"/>
      <c r="FM166" s="183" t="n"/>
      <c r="FN166" s="176" t="n"/>
      <c r="FO166" s="176" t="n"/>
      <c r="FP166" s="176" t="n"/>
      <c r="FQ166" s="176" t="n"/>
      <c r="FR166" s="176" t="n"/>
      <c r="FS166" s="176" t="n"/>
      <c r="FT166" s="176" t="n"/>
      <c r="FU166" s="176" t="n"/>
      <c r="FV166" s="176" t="n"/>
      <c r="FW166" s="176" t="n"/>
      <c r="FX166" s="176" t="n"/>
      <c r="FY166" s="176" t="n"/>
      <c r="FZ166" s="176" t="n"/>
      <c r="GA166" s="176" t="n"/>
      <c r="GB166" s="176" t="n"/>
      <c r="GC166" s="176" t="n"/>
      <c r="GD166" s="176" t="n"/>
      <c r="GE166" s="176" t="n"/>
      <c r="GF166" s="176" t="n"/>
      <c r="GG166" s="176" t="n"/>
      <c r="GH166" s="176" t="n"/>
      <c r="GI166" s="176" t="n"/>
      <c r="GJ166" s="176" t="n"/>
      <c r="GK166" s="176" t="n"/>
      <c r="GL166" s="176" t="n"/>
      <c r="GM166" s="176" t="n"/>
      <c r="GN166" s="176" t="n"/>
      <c r="GO166" s="176" t="n"/>
      <c r="GP166" s="176" t="n"/>
      <c r="GQ166" s="176" t="n"/>
      <c r="GR166" s="176" t="n"/>
      <c r="GS166" s="176" t="n"/>
      <c r="GT166" s="176" t="n"/>
      <c r="GU166" s="176" t="n"/>
      <c r="GV166" s="176" t="n"/>
      <c r="GW166" s="176" t="n"/>
      <c r="GX166" s="176" t="n"/>
      <c r="GY166" s="176" t="n"/>
      <c r="GZ166" s="176" t="n"/>
      <c r="HA166" s="176" t="n"/>
      <c r="HB166" s="176" t="n"/>
      <c r="HC166" s="176" t="n"/>
      <c r="HD166" s="176" t="n"/>
      <c r="HE166" s="176" t="n"/>
      <c r="HF166" s="176" t="n"/>
      <c r="HG166" s="176" t="n"/>
      <c r="HH166" s="176" t="n"/>
      <c r="HI166" s="176" t="n"/>
      <c r="HJ166" s="176" t="n"/>
      <c r="HK166" s="176" t="n"/>
      <c r="HL166" s="176" t="n"/>
      <c r="HM166" s="176" t="n"/>
      <c r="HN166" s="176" t="n"/>
      <c r="HO166" s="176" t="n"/>
      <c r="HP166" s="176" t="n"/>
      <c r="HQ166" s="176" t="n"/>
      <c r="HR166" s="176" t="n"/>
      <c r="HS166" s="176" t="n"/>
      <c r="HT166" s="176" t="n"/>
      <c r="HU166" s="176" t="n"/>
      <c r="HV166" s="176" t="n"/>
      <c r="HW166" s="176" t="n"/>
      <c r="HX166" s="176" t="n"/>
      <c r="HY166" s="176" t="n"/>
      <c r="HZ166" s="176" t="n"/>
      <c r="IA166" s="176" t="n"/>
      <c r="IB166" s="176" t="n"/>
      <c r="IC166" s="176" t="n"/>
      <c r="ID166" s="176" t="n"/>
    </row>
    <row r="167" ht="18.75" customHeight="1">
      <c r="A167" s="176" t="n"/>
      <c r="B167" s="176" t="n"/>
      <c r="C167" s="176" t="n"/>
      <c r="D167" s="176" t="n"/>
      <c r="E167" s="176" t="n"/>
      <c r="F167" s="176" t="n"/>
      <c r="G167" s="176" t="n"/>
      <c r="H167" s="176" t="n"/>
      <c r="I167" s="176" t="n"/>
      <c r="J167" s="176" t="n"/>
      <c r="K167" s="176" t="n"/>
      <c r="L167" s="176" t="n"/>
      <c r="M167" s="176" t="n"/>
      <c r="N167" s="176" t="n"/>
      <c r="O167" s="176" t="n"/>
      <c r="P167" s="176" t="n"/>
      <c r="Q167" s="176" t="n"/>
      <c r="R167" s="176" t="n"/>
      <c r="S167" s="176" t="n"/>
      <c r="T167" s="181">
        <f>SWITCH('CONFIGURAÇÃO'!$T$159,"Origem","BASE DO LIVRO","Marcante","","Menor","","Arma","PROPRIEDADE 3","Escudo","","Uniforme","","Item comum","","Ferramenta amaldiçoada","","")</f>
        <v/>
      </c>
      <c r="U167" s="183" t="n"/>
      <c r="V167" s="185" t="n"/>
      <c r="W167" s="182" t="n"/>
      <c r="X167" s="182" t="n"/>
      <c r="Y167" s="183" t="n"/>
      <c r="Z167" s="176" t="n"/>
      <c r="AA167" s="176" t="n"/>
      <c r="AB167" s="181">
        <f>SWITCH('CONFIGURAÇÃO'!$AB$159,"Origem","BASE DO LIVRO","Marcante","","Menor","","Arma","PROPRIEDADE 3","Escudo","","Uniforme","","Item comum","","Ferramenta amaldiçoada","","")</f>
        <v/>
      </c>
      <c r="AC167" s="183" t="n"/>
      <c r="AD167" s="185" t="n"/>
      <c r="AE167" s="182" t="n"/>
      <c r="AF167" s="182" t="n"/>
      <c r="AG167" s="183" t="n"/>
      <c r="AH167" s="176" t="n"/>
      <c r="AI167" s="176" t="n"/>
      <c r="AJ167" s="176" t="n"/>
      <c r="AK167" s="176" t="n"/>
      <c r="AL167" s="176" t="n"/>
      <c r="AM167" s="176" t="n"/>
      <c r="AN167" s="176" t="n"/>
      <c r="AO167" s="176" t="n"/>
      <c r="AP167" s="176" t="n"/>
      <c r="AQ167" s="176" t="n"/>
      <c r="AR167" s="176" t="n"/>
      <c r="AS167" s="176" t="n"/>
      <c r="AT167" s="176" t="n"/>
      <c r="AU167" s="176" t="n"/>
      <c r="AV167" s="176" t="n"/>
      <c r="AW167" s="176" t="n"/>
      <c r="AX167" s="176" t="n"/>
      <c r="AY167" s="176" t="n"/>
      <c r="AZ167" s="176" t="n"/>
      <c r="BA167" s="176" t="n"/>
      <c r="BB167" s="176" t="n"/>
      <c r="BC167" s="176" t="n"/>
      <c r="BD167" s="176" t="n"/>
      <c r="BE167" s="176" t="n"/>
      <c r="BF167" s="176" t="n"/>
      <c r="BG167" s="176" t="n"/>
      <c r="BH167" s="176" t="n"/>
      <c r="BI167" s="176" t="n"/>
      <c r="BJ167" s="176" t="n"/>
      <c r="BK167" s="176" t="n"/>
      <c r="BL167" s="176" t="n"/>
      <c r="BM167" s="176" t="n"/>
      <c r="BN167" s="176" t="n"/>
      <c r="BO167" s="176" t="n"/>
      <c r="BP167" s="176" t="n"/>
      <c r="BQ167" s="176" t="n"/>
      <c r="BR167" s="176" t="n"/>
      <c r="BS167" s="176" t="n"/>
      <c r="BT167" s="176" t="n"/>
      <c r="BU167" s="176" t="n"/>
      <c r="BV167" s="176" t="n"/>
      <c r="BW167" s="176" t="n"/>
      <c r="BX167" s="176" t="n"/>
      <c r="BY167" s="176" t="n"/>
      <c r="BZ167" s="176" t="n"/>
      <c r="CA167" s="176" t="n"/>
      <c r="CB167" s="176" t="n"/>
      <c r="CC167" s="176" t="n"/>
      <c r="CD167" s="176" t="n"/>
      <c r="CE167" s="176" t="n"/>
      <c r="CF167" s="176" t="n"/>
      <c r="CG167" s="176" t="n"/>
      <c r="CH167" s="176" t="n"/>
      <c r="CI167" s="176" t="n"/>
      <c r="CJ167" s="176" t="n"/>
      <c r="CK167" s="176" t="n"/>
      <c r="CL167" s="176" t="n"/>
      <c r="CM167" s="176" t="n"/>
      <c r="CN167" s="176" t="n"/>
      <c r="CO167" s="176" t="n"/>
      <c r="CP167" s="176" t="n"/>
      <c r="CQ167" s="176" t="n"/>
      <c r="CR167" s="176" t="n"/>
      <c r="CS167" s="176" t="n"/>
      <c r="CT167" s="176" t="n"/>
      <c r="CU167" s="176" t="n"/>
      <c r="CV167" s="176" t="n"/>
      <c r="CW167" s="176" t="n"/>
      <c r="CX167" s="176" t="n"/>
      <c r="CY167" s="176" t="n"/>
      <c r="CZ167" s="176" t="n"/>
      <c r="DA167" s="179" t="inlineStr">
        <is>
          <t>MELHORIA · 13</t>
        </is>
      </c>
      <c r="DG167" s="176" t="n"/>
      <c r="DH167" s="176" t="n"/>
      <c r="DI167" s="179" t="inlineStr">
        <is>
          <t>MELHORIA · 14</t>
        </is>
      </c>
      <c r="DO167" s="176" t="n"/>
      <c r="DP167" s="176" t="n"/>
      <c r="DQ167" s="176" t="n"/>
      <c r="DR167" s="185" t="inlineStr">
        <is>
          <t>Restrição</t>
        </is>
      </c>
      <c r="DS167" s="182" t="n"/>
      <c r="DT167" s="182" t="n"/>
      <c r="DU167" s="183" t="n"/>
      <c r="DV167" s="184" t="b">
        <v>0</v>
      </c>
      <c r="DW167" s="183" t="n"/>
      <c r="DX167" s="176" t="n"/>
      <c r="DY167" s="176" t="n"/>
      <c r="DZ167" s="185" t="inlineStr">
        <is>
          <t>Restrição</t>
        </is>
      </c>
      <c r="EA167" s="182" t="n"/>
      <c r="EB167" s="182" t="n"/>
      <c r="EC167" s="183" t="n"/>
      <c r="ED167" s="184" t="b">
        <v>0</v>
      </c>
      <c r="EE167" s="183" t="n"/>
      <c r="EF167" s="176" t="n"/>
      <c r="EG167" s="176" t="n"/>
      <c r="EH167" s="176" t="n"/>
      <c r="EI167" s="176" t="n"/>
      <c r="EJ167" s="176" t="n"/>
      <c r="EK167" s="176" t="n"/>
      <c r="EL167" s="176" t="n"/>
      <c r="EM167" s="176" t="n"/>
      <c r="EN167" s="176" t="n"/>
      <c r="EO167" s="176" t="n"/>
      <c r="EP167" s="176" t="n"/>
      <c r="EQ167" s="176" t="n"/>
      <c r="ER167" s="176" t="n"/>
      <c r="ES167" s="176" t="n"/>
      <c r="ET167" s="176" t="n"/>
      <c r="EU167" s="176" t="n"/>
      <c r="EV167" s="176" t="n"/>
      <c r="EW167" s="176" t="n"/>
      <c r="EX167" s="176" t="n"/>
      <c r="EY167" s="176" t="n"/>
      <c r="EZ167" s="181" t="inlineStr">
        <is>
          <t>ALC · P · 6 e 7</t>
        </is>
      </c>
      <c r="FA167" s="182" t="n"/>
      <c r="FB167" s="183" t="n"/>
      <c r="FC167" s="185" t="n"/>
      <c r="FD167" s="182" t="n"/>
      <c r="FE167" s="183" t="n"/>
      <c r="FF167" s="176" t="n"/>
      <c r="FG167" s="176" t="n"/>
      <c r="FH167" s="181" t="inlineStr">
        <is>
          <t>ALC · P · 6 e 7</t>
        </is>
      </c>
      <c r="FI167" s="182" t="n"/>
      <c r="FJ167" s="183" t="n"/>
      <c r="FK167" s="185" t="n"/>
      <c r="FL167" s="182" t="n"/>
      <c r="FM167" s="183" t="n"/>
      <c r="FN167" s="176" t="n"/>
      <c r="FO167" s="176" t="n"/>
      <c r="FP167" s="176" t="n"/>
      <c r="FQ167" s="176" t="n"/>
      <c r="FR167" s="176" t="n"/>
      <c r="FS167" s="176" t="n"/>
      <c r="FT167" s="176" t="n"/>
      <c r="FU167" s="176" t="n"/>
      <c r="FV167" s="176" t="n"/>
      <c r="FW167" s="176" t="n"/>
      <c r="FX167" s="176" t="n"/>
      <c r="FY167" s="176" t="n"/>
      <c r="FZ167" s="176" t="n"/>
      <c r="GA167" s="176" t="n"/>
      <c r="GB167" s="176" t="n"/>
      <c r="GC167" s="176" t="n"/>
      <c r="GD167" s="176" t="n"/>
      <c r="GE167" s="176" t="n"/>
      <c r="GF167" s="176" t="n"/>
      <c r="GG167" s="176" t="n"/>
      <c r="GH167" s="176" t="n"/>
      <c r="GI167" s="176" t="n"/>
      <c r="GJ167" s="176" t="n"/>
      <c r="GK167" s="176" t="n"/>
      <c r="GL167" s="176" t="n"/>
      <c r="GM167" s="176" t="n"/>
      <c r="GN167" s="176" t="n"/>
      <c r="GO167" s="176" t="n"/>
      <c r="GP167" s="176" t="n"/>
      <c r="GQ167" s="176" t="n"/>
      <c r="GR167" s="176" t="n"/>
      <c r="GS167" s="176" t="n"/>
      <c r="GT167" s="176" t="n"/>
      <c r="GU167" s="176" t="n"/>
      <c r="GV167" s="176" t="n"/>
      <c r="GW167" s="176" t="n"/>
      <c r="GX167" s="176" t="n"/>
      <c r="GY167" s="176" t="n"/>
      <c r="GZ167" s="176" t="n"/>
      <c r="HA167" s="176" t="n"/>
      <c r="HB167" s="176" t="n"/>
      <c r="HC167" s="176" t="n"/>
      <c r="HD167" s="176" t="n"/>
      <c r="HE167" s="176" t="n"/>
      <c r="HF167" s="176" t="n"/>
      <c r="HG167" s="176" t="n"/>
      <c r="HH167" s="176" t="n"/>
      <c r="HI167" s="176" t="n"/>
      <c r="HJ167" s="176" t="n"/>
      <c r="HK167" s="176" t="n"/>
      <c r="HL167" s="176" t="n"/>
      <c r="HM167" s="176" t="n"/>
      <c r="HN167" s="176" t="n"/>
      <c r="HO167" s="176" t="n"/>
      <c r="HP167" s="181" t="inlineStr">
        <is>
          <t>EFEITO</t>
        </is>
      </c>
      <c r="HQ167" s="182" t="n"/>
      <c r="HR167" s="182" t="n"/>
      <c r="HS167" s="182" t="n"/>
      <c r="HT167" s="182" t="n"/>
      <c r="HU167" s="183" t="n"/>
      <c r="HV167" s="176" t="n"/>
      <c r="HW167" s="176" t="n"/>
      <c r="HX167" s="181" t="inlineStr">
        <is>
          <t>EFEITO</t>
        </is>
      </c>
      <c r="HY167" s="182" t="n"/>
      <c r="HZ167" s="182" t="n"/>
      <c r="IA167" s="182" t="n"/>
      <c r="IB167" s="182" t="n"/>
      <c r="IC167" s="183" t="n"/>
      <c r="ID167" s="176" t="n"/>
    </row>
    <row r="168" ht="18.75" customHeight="1">
      <c r="A168" s="176" t="n"/>
      <c r="B168" s="176" t="n"/>
      <c r="C168" s="176" t="n"/>
      <c r="D168" s="176" t="n"/>
      <c r="E168" s="176" t="n"/>
      <c r="F168" s="176" t="n"/>
      <c r="G168" s="176" t="n"/>
      <c r="H168" s="176" t="n"/>
      <c r="I168" s="176" t="n"/>
      <c r="J168" s="176" t="n"/>
      <c r="K168" s="176" t="n"/>
      <c r="L168" s="176" t="n"/>
      <c r="M168" s="176" t="n"/>
      <c r="N168" s="176" t="n"/>
      <c r="O168" s="176" t="n"/>
      <c r="P168" s="176" t="n"/>
      <c r="Q168" s="176" t="n"/>
      <c r="R168" s="176" t="n"/>
      <c r="S168" s="176" t="n"/>
      <c r="T168" s="181">
        <f>SWITCH('CONFIGURAÇÃO'!$T$159,"Origem","OFÍCIO","Marcante","","Menor","","Arma","PROPRIEDADE 4","Escudo","","Uniforme","","Item comum","","Ferramenta amaldiçoada","","")</f>
        <v/>
      </c>
      <c r="U168" s="183" t="n"/>
      <c r="V168" s="185" t="n"/>
      <c r="W168" s="182" t="n"/>
      <c r="X168" s="182" t="n"/>
      <c r="Y168" s="183" t="n"/>
      <c r="Z168" s="176" t="n"/>
      <c r="AA168" s="176" t="n"/>
      <c r="AB168" s="181">
        <f>SWITCH('CONFIGURAÇÃO'!$AB$159,"Origem","OFÍCIO","Marcante","","Menor","","Arma","PROPRIEDADE 4","Escudo","","Uniforme","","Item comum","","Ferramenta amaldiçoada","","")</f>
        <v/>
      </c>
      <c r="AC168" s="183" t="n"/>
      <c r="AD168" s="185" t="n"/>
      <c r="AE168" s="182" t="n"/>
      <c r="AF168" s="182" t="n"/>
      <c r="AG168" s="183" t="n"/>
      <c r="AH168" s="176" t="n"/>
      <c r="AI168" s="176" t="n"/>
      <c r="AJ168" s="176" t="n"/>
      <c r="AK168" s="176" t="n"/>
      <c r="AL168" s="176" t="n"/>
      <c r="AM168" s="176" t="n"/>
      <c r="AN168" s="176" t="n"/>
      <c r="AO168" s="176" t="n"/>
      <c r="AP168" s="176" t="n"/>
      <c r="AQ168" s="176" t="n"/>
      <c r="AR168" s="176" t="n"/>
      <c r="AS168" s="176" t="n"/>
      <c r="AT168" s="176" t="n"/>
      <c r="AU168" s="176" t="n"/>
      <c r="AV168" s="176" t="n"/>
      <c r="AW168" s="176" t="n"/>
      <c r="AX168" s="176" t="n"/>
      <c r="AY168" s="176" t="n"/>
      <c r="AZ168" s="176" t="n"/>
      <c r="BA168" s="176" t="n"/>
      <c r="BB168" s="176" t="n"/>
      <c r="BC168" s="176" t="n"/>
      <c r="BD168" s="176" t="n"/>
      <c r="BE168" s="176" t="n"/>
      <c r="BF168" s="176" t="n"/>
      <c r="BG168" s="176" t="n"/>
      <c r="BH168" s="176" t="n"/>
      <c r="BI168" s="176" t="n"/>
      <c r="BJ168" s="176" t="n"/>
      <c r="BK168" s="176" t="n"/>
      <c r="BL168" s="176" t="n"/>
      <c r="BM168" s="176" t="n"/>
      <c r="BN168" s="176" t="n"/>
      <c r="BO168" s="176" t="n"/>
      <c r="BP168" s="176" t="n"/>
      <c r="BQ168" s="176" t="n"/>
      <c r="BR168" s="176" t="n"/>
      <c r="BS168" s="176" t="n"/>
      <c r="BT168" s="176" t="n"/>
      <c r="BU168" s="176" t="n"/>
      <c r="BV168" s="176" t="n"/>
      <c r="BW168" s="176" t="n"/>
      <c r="BX168" s="176" t="n"/>
      <c r="BY168" s="176" t="n"/>
      <c r="BZ168" s="176" t="n"/>
      <c r="CA168" s="176" t="n"/>
      <c r="CB168" s="176" t="n"/>
      <c r="CC168" s="176" t="n"/>
      <c r="CD168" s="176" t="n"/>
      <c r="CE168" s="176" t="n"/>
      <c r="CF168" s="176" t="n"/>
      <c r="CG168" s="176" t="n"/>
      <c r="CH168" s="176" t="n"/>
      <c r="CI168" s="176" t="n"/>
      <c r="CJ168" s="176" t="n"/>
      <c r="CK168" s="176" t="n"/>
      <c r="CL168" s="176" t="n"/>
      <c r="CM168" s="176" t="n"/>
      <c r="CN168" s="176" t="n"/>
      <c r="CO168" s="176" t="n"/>
      <c r="CP168" s="176" t="n"/>
      <c r="CQ168" s="176" t="n"/>
      <c r="CR168" s="176" t="n"/>
      <c r="CS168" s="176" t="n"/>
      <c r="CT168" s="176" t="n"/>
      <c r="CU168" s="176" t="n"/>
      <c r="CV168" s="176" t="n"/>
      <c r="CW168" s="176" t="n"/>
      <c r="CX168" s="176" t="n"/>
      <c r="CY168" s="176" t="n"/>
      <c r="CZ168" s="176" t="n"/>
      <c r="DA168" s="181" t="inlineStr">
        <is>
          <t>TIPO</t>
        </is>
      </c>
      <c r="DB168" s="182" t="n"/>
      <c r="DC168" s="182" t="n"/>
      <c r="DD168" s="183" t="n"/>
      <c r="DE168" s="181" t="inlineStr">
        <is>
          <t>MESTRE VIU</t>
        </is>
      </c>
      <c r="DF168" s="183" t="n"/>
      <c r="DG168" s="176" t="n"/>
      <c r="DH168" s="176" t="n"/>
      <c r="DI168" s="181" t="inlineStr">
        <is>
          <t>TIPO</t>
        </is>
      </c>
      <c r="DJ168" s="182" t="n"/>
      <c r="DK168" s="182" t="n"/>
      <c r="DL168" s="183" t="n"/>
      <c r="DM168" s="181" t="inlineStr">
        <is>
          <t>MESTRE VIU</t>
        </is>
      </c>
      <c r="DN168" s="183" t="n"/>
      <c r="DO168" s="176" t="n"/>
      <c r="DP168" s="176" t="n"/>
      <c r="DQ168" s="176" t="n"/>
      <c r="DR168" s="181" t="inlineStr">
        <is>
          <t>NOME</t>
        </is>
      </c>
      <c r="DS168" s="182" t="n"/>
      <c r="DT168" s="182" t="n"/>
      <c r="DU168" s="182" t="n"/>
      <c r="DV168" s="182" t="n"/>
      <c r="DW168" s="183" t="n"/>
      <c r="DX168" s="176" t="n"/>
      <c r="DY168" s="176" t="n"/>
      <c r="DZ168" s="181" t="inlineStr">
        <is>
          <t>NOME</t>
        </is>
      </c>
      <c r="EA168" s="182" t="n"/>
      <c r="EB168" s="182" t="n"/>
      <c r="EC168" s="182" t="n"/>
      <c r="ED168" s="182" t="n"/>
      <c r="EE168" s="183" t="n"/>
      <c r="EF168" s="176" t="n"/>
      <c r="EG168" s="176" t="n"/>
      <c r="EH168" s="176" t="n"/>
      <c r="EI168" s="176" t="n"/>
      <c r="EJ168" s="176" t="n"/>
      <c r="EK168" s="176" t="n"/>
      <c r="EL168" s="176" t="n"/>
      <c r="EM168" s="176" t="n"/>
      <c r="EN168" s="176" t="n"/>
      <c r="EO168" s="176" t="n"/>
      <c r="EP168" s="176" t="n"/>
      <c r="EQ168" s="176" t="n"/>
      <c r="ER168" s="176" t="n"/>
      <c r="ES168" s="176" t="n"/>
      <c r="ET168" s="176" t="n"/>
      <c r="EU168" s="176" t="n"/>
      <c r="EV168" s="176" t="n"/>
      <c r="EW168" s="176" t="n"/>
      <c r="EX168" s="176" t="n"/>
      <c r="EY168" s="176" t="n"/>
      <c r="EZ168" s="181" t="inlineStr">
        <is>
          <t>ALC · E · 0</t>
        </is>
      </c>
      <c r="FA168" s="182" t="n"/>
      <c r="FB168" s="183" t="n"/>
      <c r="FC168" s="185" t="n"/>
      <c r="FD168" s="182" t="n"/>
      <c r="FE168" s="183" t="n"/>
      <c r="FF168" s="176" t="n"/>
      <c r="FG168" s="176" t="n"/>
      <c r="FH168" s="181" t="inlineStr">
        <is>
          <t>ALC · E · 0</t>
        </is>
      </c>
      <c r="FI168" s="182" t="n"/>
      <c r="FJ168" s="183" t="n"/>
      <c r="FK168" s="185" t="n"/>
      <c r="FL168" s="182" t="n"/>
      <c r="FM168" s="183" t="n"/>
      <c r="FN168" s="176" t="n"/>
      <c r="FO168" s="176" t="n"/>
      <c r="FP168" s="176" t="n"/>
      <c r="FQ168" s="176" t="n"/>
      <c r="FR168" s="176" t="n"/>
      <c r="FS168" s="176" t="n"/>
      <c r="FT168" s="176" t="n"/>
      <c r="FU168" s="176" t="n"/>
      <c r="FV168" s="176" t="n"/>
      <c r="FW168" s="176" t="n"/>
      <c r="FX168" s="176" t="n"/>
      <c r="FY168" s="176" t="n"/>
      <c r="FZ168" s="176" t="n"/>
      <c r="GA168" s="176" t="n"/>
      <c r="GB168" s="176" t="n"/>
      <c r="GC168" s="176" t="n"/>
      <c r="GD168" s="176" t="n"/>
      <c r="GE168" s="176" t="n"/>
      <c r="GF168" s="176" t="n"/>
      <c r="GG168" s="176" t="n"/>
      <c r="GH168" s="176" t="n"/>
      <c r="GI168" s="176" t="n"/>
      <c r="GJ168" s="176" t="n"/>
      <c r="GK168" s="176" t="n"/>
      <c r="GL168" s="176" t="n"/>
      <c r="GM168" s="176" t="n"/>
      <c r="GN168" s="176" t="n"/>
      <c r="GO168" s="176" t="n"/>
      <c r="GP168" s="176" t="n"/>
      <c r="GQ168" s="176" t="n"/>
      <c r="GR168" s="176" t="n"/>
      <c r="GS168" s="176" t="n"/>
      <c r="GT168" s="176" t="n"/>
      <c r="GU168" s="176" t="n"/>
      <c r="GV168" s="176" t="n"/>
      <c r="GW168" s="176" t="n"/>
      <c r="GX168" s="176" t="n"/>
      <c r="GY168" s="176" t="n"/>
      <c r="GZ168" s="176" t="n"/>
      <c r="HA168" s="176" t="n"/>
      <c r="HB168" s="176" t="n"/>
      <c r="HC168" s="176" t="n"/>
      <c r="HD168" s="176" t="n"/>
      <c r="HE168" s="176" t="n"/>
      <c r="HF168" s="176" t="n"/>
      <c r="HG168" s="176" t="n"/>
      <c r="HH168" s="176" t="n"/>
      <c r="HI168" s="176" t="n"/>
      <c r="HJ168" s="176" t="n"/>
      <c r="HK168" s="176" t="n"/>
      <c r="HL168" s="176" t="n"/>
      <c r="HM168" s="176" t="n"/>
      <c r="HN168" s="176" t="n"/>
      <c r="HO168" s="176" t="n"/>
      <c r="HP168" s="192" t="n"/>
      <c r="HQ168" s="187" t="n"/>
      <c r="HR168" s="187" t="n"/>
      <c r="HS168" s="187" t="n"/>
      <c r="HT168" s="187" t="n"/>
      <c r="HU168" s="188" t="n"/>
      <c r="HV168" s="176" t="n"/>
      <c r="HW168" s="176" t="n"/>
      <c r="HX168" s="192" t="n"/>
      <c r="HY168" s="187" t="n"/>
      <c r="HZ168" s="187" t="n"/>
      <c r="IA168" s="187" t="n"/>
      <c r="IB168" s="187" t="n"/>
      <c r="IC168" s="188" t="n"/>
      <c r="ID168" s="176" t="n"/>
    </row>
    <row r="169" ht="18.75" customHeight="1">
      <c r="A169" s="176" t="n"/>
      <c r="B169" s="176" t="n"/>
      <c r="C169" s="176" t="n"/>
      <c r="D169" s="176" t="n"/>
      <c r="E169" s="176" t="n"/>
      <c r="F169" s="176" t="n"/>
      <c r="G169" s="176" t="n"/>
      <c r="H169" s="176" t="n"/>
      <c r="I169" s="176" t="n"/>
      <c r="J169" s="176" t="n"/>
      <c r="K169" s="176" t="n"/>
      <c r="L169" s="176" t="n"/>
      <c r="M169" s="176" t="n"/>
      <c r="N169" s="176" t="n"/>
      <c r="O169" s="176" t="n"/>
      <c r="P169" s="176" t="n"/>
      <c r="Q169" s="176" t="n"/>
      <c r="R169" s="176" t="n"/>
      <c r="S169" s="176" t="n"/>
      <c r="T169" s="181">
        <f>SWITCH('CONFIGURAÇÃO'!$T$159,"Origem","TALENTO CE 4","Marcante","FREQUÊNCIA","Menor","FREQUÊNCIA","Arma","DADO","Escudo","PROTEÇÃO","Uniforme","PROTEÇÃO","Item comum","VOLUME","Ferramenta amaldiçoada","ESTIGMA","")</f>
        <v/>
      </c>
      <c r="U169" s="183" t="n"/>
      <c r="V169" s="185" t="n"/>
      <c r="W169" s="182" t="n"/>
      <c r="X169" s="182" t="n"/>
      <c r="Y169" s="183" t="n"/>
      <c r="Z169" s="176" t="n"/>
      <c r="AA169" s="176" t="n"/>
      <c r="AB169" s="181">
        <f>SWITCH('CONFIGURAÇÃO'!$AB$159,"Origem","TALENTO CE 4","Marcante","FREQUÊNCIA","Menor","FREQUÊNCIA","Arma","DADO","Escudo","PROTEÇÃO","Uniforme","PROTEÇÃO","Item comum","VOLUME","Ferramenta amaldiçoada","ESTIGMA","")</f>
        <v/>
      </c>
      <c r="AC169" s="183" t="n"/>
      <c r="AD169" s="185" t="n"/>
      <c r="AE169" s="182" t="n"/>
      <c r="AF169" s="182" t="n"/>
      <c r="AG169" s="183" t="n"/>
      <c r="AH169" s="176" t="n"/>
      <c r="AI169" s="176" t="n"/>
      <c r="AJ169" s="176" t="n"/>
      <c r="AK169" s="176" t="n"/>
      <c r="AL169" s="176" t="n"/>
      <c r="AM169" s="176" t="n"/>
      <c r="AN169" s="176" t="n"/>
      <c r="AO169" s="176" t="n"/>
      <c r="AP169" s="176" t="n"/>
      <c r="AQ169" s="176" t="n"/>
      <c r="AR169" s="176" t="n"/>
      <c r="AS169" s="176" t="n"/>
      <c r="AT169" s="176" t="n"/>
      <c r="AU169" s="176" t="n"/>
      <c r="AV169" s="176" t="n"/>
      <c r="AW169" s="176" t="n"/>
      <c r="AX169" s="176" t="n"/>
      <c r="AY169" s="176" t="n"/>
      <c r="AZ169" s="176" t="n"/>
      <c r="BA169" s="176" t="n"/>
      <c r="BB169" s="176" t="n"/>
      <c r="BC169" s="176" t="n"/>
      <c r="BD169" s="176" t="n"/>
      <c r="BE169" s="176" t="n"/>
      <c r="BF169" s="176" t="n"/>
      <c r="BG169" s="176" t="n"/>
      <c r="BH169" s="176" t="n"/>
      <c r="BI169" s="176" t="n"/>
      <c r="BJ169" s="176" t="n"/>
      <c r="BK169" s="176" t="n"/>
      <c r="BL169" s="176" t="n"/>
      <c r="BM169" s="176" t="n"/>
      <c r="BN169" s="176" t="n"/>
      <c r="BO169" s="176" t="n"/>
      <c r="BP169" s="176" t="n"/>
      <c r="BQ169" s="176" t="n"/>
      <c r="BR169" s="176" t="n"/>
      <c r="BS169" s="176" t="n"/>
      <c r="BT169" s="176" t="n"/>
      <c r="BU169" s="176" t="n"/>
      <c r="BV169" s="176" t="n"/>
      <c r="BW169" s="176" t="n"/>
      <c r="BX169" s="176" t="n"/>
      <c r="BY169" s="176" t="n"/>
      <c r="BZ169" s="176" t="n"/>
      <c r="CA169" s="176" t="n"/>
      <c r="CB169" s="176" t="n"/>
      <c r="CC169" s="176" t="n"/>
      <c r="CD169" s="176" t="n"/>
      <c r="CE169" s="176" t="n"/>
      <c r="CF169" s="176" t="n"/>
      <c r="CG169" s="176" t="n"/>
      <c r="CH169" s="176" t="n"/>
      <c r="CI169" s="176" t="n"/>
      <c r="CJ169" s="176" t="n"/>
      <c r="CK169" s="176" t="n"/>
      <c r="CL169" s="176" t="n"/>
      <c r="CM169" s="176" t="n"/>
      <c r="CN169" s="176" t="n"/>
      <c r="CO169" s="176" t="n"/>
      <c r="CP169" s="176" t="n"/>
      <c r="CQ169" s="176" t="n"/>
      <c r="CR169" s="176" t="n"/>
      <c r="CS169" s="176" t="n"/>
      <c r="CT169" s="176" t="n"/>
      <c r="CU169" s="176" t="n"/>
      <c r="CV169" s="176" t="n"/>
      <c r="CW169" s="176" t="n"/>
      <c r="CX169" s="176" t="n"/>
      <c r="CY169" s="176" t="n"/>
      <c r="CZ169" s="176" t="n"/>
      <c r="DA169" s="185" t="inlineStr">
        <is>
          <t>Melhoria</t>
        </is>
      </c>
      <c r="DB169" s="182" t="n"/>
      <c r="DC169" s="182" t="n"/>
      <c r="DD169" s="183" t="n"/>
      <c r="DE169" s="184" t="b">
        <v>0</v>
      </c>
      <c r="DF169" s="183" t="n"/>
      <c r="DG169" s="176" t="n"/>
      <c r="DH169" s="176" t="n"/>
      <c r="DI169" s="185" t="inlineStr">
        <is>
          <t>Melhoria</t>
        </is>
      </c>
      <c r="DJ169" s="182" t="n"/>
      <c r="DK169" s="182" t="n"/>
      <c r="DL169" s="183" t="n"/>
      <c r="DM169" s="184" t="b">
        <v>0</v>
      </c>
      <c r="DN169" s="183" t="n"/>
      <c r="DO169" s="176" t="n"/>
      <c r="DP169" s="176" t="n"/>
      <c r="DQ169" s="176" t="n"/>
      <c r="DR169" s="185" t="n"/>
      <c r="DS169" s="182" t="n"/>
      <c r="DT169" s="182" t="n"/>
      <c r="DU169" s="182" t="n"/>
      <c r="DV169" s="182" t="n"/>
      <c r="DW169" s="183" t="n"/>
      <c r="DX169" s="176" t="n"/>
      <c r="DY169" s="176" t="n"/>
      <c r="DZ169" s="185" t="n"/>
      <c r="EA169" s="182" t="n"/>
      <c r="EB169" s="182" t="n"/>
      <c r="EC169" s="182" t="n"/>
      <c r="ED169" s="182" t="n"/>
      <c r="EE169" s="183" t="n"/>
      <c r="EF169" s="176" t="n"/>
      <c r="EG169" s="176" t="n"/>
      <c r="EH169" s="176" t="n"/>
      <c r="EI169" s="176" t="n"/>
      <c r="EJ169" s="176" t="n"/>
      <c r="EK169" s="176" t="n"/>
      <c r="EL169" s="176" t="n"/>
      <c r="EM169" s="176" t="n"/>
      <c r="EN169" s="176" t="n"/>
      <c r="EO169" s="176" t="n"/>
      <c r="EP169" s="176" t="n"/>
      <c r="EQ169" s="176" t="n"/>
      <c r="ER169" s="176" t="n"/>
      <c r="ES169" s="176" t="n"/>
      <c r="ET169" s="176" t="n"/>
      <c r="EU169" s="176" t="n"/>
      <c r="EV169" s="176" t="n"/>
      <c r="EW169" s="176" t="n"/>
      <c r="EX169" s="176" t="n"/>
      <c r="EY169" s="176" t="n"/>
      <c r="EZ169" s="181" t="inlineStr">
        <is>
          <t>ALC · E · 1 a 5</t>
        </is>
      </c>
      <c r="FA169" s="182" t="n"/>
      <c r="FB169" s="183" t="n"/>
      <c r="FC169" s="185" t="n"/>
      <c r="FD169" s="182" t="n"/>
      <c r="FE169" s="183" t="n"/>
      <c r="FF169" s="176" t="n"/>
      <c r="FG169" s="176" t="n"/>
      <c r="FH169" s="181" t="inlineStr">
        <is>
          <t>ALC · E · 1 a 5</t>
        </is>
      </c>
      <c r="FI169" s="182" t="n"/>
      <c r="FJ169" s="183" t="n"/>
      <c r="FK169" s="185" t="n"/>
      <c r="FL169" s="182" t="n"/>
      <c r="FM169" s="183" t="n"/>
      <c r="FN169" s="176" t="n"/>
      <c r="FO169" s="176" t="n"/>
      <c r="FP169" s="176" t="n"/>
      <c r="FQ169" s="176" t="n"/>
      <c r="FR169" s="176" t="n"/>
      <c r="FS169" s="176" t="n"/>
      <c r="FT169" s="176" t="n"/>
      <c r="FU169" s="176" t="n"/>
      <c r="FV169" s="176" t="n"/>
      <c r="FW169" s="176" t="n"/>
      <c r="FX169" s="176" t="n"/>
      <c r="FY169" s="176" t="n"/>
      <c r="FZ169" s="176" t="n"/>
      <c r="GA169" s="176" t="n"/>
      <c r="GB169" s="176" t="n"/>
      <c r="GC169" s="176" t="n"/>
      <c r="GD169" s="176" t="n"/>
      <c r="GE169" s="176" t="n"/>
      <c r="GF169" s="176" t="n"/>
      <c r="GG169" s="176" t="n"/>
      <c r="GH169" s="176" t="n"/>
      <c r="GI169" s="176" t="n"/>
      <c r="GJ169" s="176" t="n"/>
      <c r="GK169" s="176" t="n"/>
      <c r="GL169" s="176" t="n"/>
      <c r="GM169" s="176" t="n"/>
      <c r="GN169" s="176" t="n"/>
      <c r="GO169" s="176" t="n"/>
      <c r="GP169" s="176" t="n"/>
      <c r="GQ169" s="176" t="n"/>
      <c r="GR169" s="176" t="n"/>
      <c r="GS169" s="176" t="n"/>
      <c r="GT169" s="176" t="n"/>
      <c r="GU169" s="176" t="n"/>
      <c r="GV169" s="176" t="n"/>
      <c r="GW169" s="176" t="n"/>
      <c r="GX169" s="176" t="n"/>
      <c r="GY169" s="176" t="n"/>
      <c r="GZ169" s="176" t="n"/>
      <c r="HA169" s="176" t="n"/>
      <c r="HB169" s="176" t="n"/>
      <c r="HC169" s="176" t="n"/>
      <c r="HD169" s="176" t="n"/>
      <c r="HE169" s="176" t="n"/>
      <c r="HF169" s="176" t="n"/>
      <c r="HG169" s="176" t="n"/>
      <c r="HH169" s="176" t="n"/>
      <c r="HI169" s="176" t="n"/>
      <c r="HJ169" s="176" t="n"/>
      <c r="HK169" s="176" t="n"/>
      <c r="HL169" s="176" t="n"/>
      <c r="HM169" s="176" t="n"/>
      <c r="HN169" s="176" t="n"/>
      <c r="HO169" s="176" t="n"/>
      <c r="HP169" s="193" t="n"/>
      <c r="HU169" s="194" t="n"/>
      <c r="HV169" s="176" t="n"/>
      <c r="HW169" s="176" t="n"/>
      <c r="HX169" s="193" t="n"/>
      <c r="IC169" s="194" t="n"/>
      <c r="ID169" s="176" t="n"/>
    </row>
    <row r="170" ht="18.75" customHeight="1">
      <c r="A170" s="176" t="n"/>
      <c r="B170" s="176" t="n"/>
      <c r="C170" s="176" t="n"/>
      <c r="D170" s="176" t="n"/>
      <c r="E170" s="176" t="n"/>
      <c r="F170" s="176" t="n"/>
      <c r="G170" s="176" t="n"/>
      <c r="H170" s="176" t="n"/>
      <c r="I170" s="176" t="n"/>
      <c r="J170" s="176" t="n"/>
      <c r="K170" s="176" t="n"/>
      <c r="L170" s="176" t="n"/>
      <c r="M170" s="176" t="n"/>
      <c r="N170" s="176" t="n"/>
      <c r="O170" s="176" t="n"/>
      <c r="P170" s="176" t="n"/>
      <c r="Q170" s="176" t="n"/>
      <c r="R170" s="176" t="n"/>
      <c r="S170" s="176" t="n"/>
      <c r="T170" s="181">
        <f>SWITCH('CONFIGURAÇÃO'!$T$159,"Origem","","Marcante","","Menor","","Arma","FORÇA","Escudo","TETO DE DESTREZA","Uniforme","TETO DE DESTREZA","Item comum","PREÇO","Ferramenta amaldiçoada","DESGASTE","")</f>
        <v/>
      </c>
      <c r="U170" s="183" t="n"/>
      <c r="V170" s="185" t="n"/>
      <c r="W170" s="182" t="n"/>
      <c r="X170" s="182" t="n"/>
      <c r="Y170" s="183" t="n"/>
      <c r="Z170" s="176" t="n"/>
      <c r="AA170" s="176" t="n"/>
      <c r="AB170" s="181">
        <f>SWITCH('CONFIGURAÇÃO'!$AB$159,"Origem","","Marcante","","Menor","","Arma","FORÇA","Escudo","TETO DE DESTREZA","Uniforme","TETO DE DESTREZA","Item comum","PREÇO","Ferramenta amaldiçoada","DESGASTE","")</f>
        <v/>
      </c>
      <c r="AC170" s="183" t="n"/>
      <c r="AD170" s="185" t="n"/>
      <c r="AE170" s="182" t="n"/>
      <c r="AF170" s="182" t="n"/>
      <c r="AG170" s="183" t="n"/>
      <c r="AH170" s="176" t="n"/>
      <c r="AI170" s="176" t="n"/>
      <c r="AJ170" s="176" t="n"/>
      <c r="AK170" s="176" t="n"/>
      <c r="AL170" s="176" t="n"/>
      <c r="AM170" s="176" t="n"/>
      <c r="AN170" s="176" t="n"/>
      <c r="AO170" s="176" t="n"/>
      <c r="AP170" s="176" t="n"/>
      <c r="AQ170" s="176" t="n"/>
      <c r="AR170" s="176" t="n"/>
      <c r="AS170" s="176" t="n"/>
      <c r="AT170" s="176" t="n"/>
      <c r="AU170" s="176" t="n"/>
      <c r="AV170" s="176" t="n"/>
      <c r="AW170" s="176" t="n"/>
      <c r="AX170" s="176" t="n"/>
      <c r="AY170" s="176" t="n"/>
      <c r="AZ170" s="176" t="n"/>
      <c r="BA170" s="176" t="n"/>
      <c r="BB170" s="176" t="n"/>
      <c r="BC170" s="176" t="n"/>
      <c r="BD170" s="176" t="n"/>
      <c r="BE170" s="176" t="n"/>
      <c r="BF170" s="176" t="n"/>
      <c r="BG170" s="176" t="n"/>
      <c r="BH170" s="176" t="n"/>
      <c r="BI170" s="176" t="n"/>
      <c r="BJ170" s="176" t="n"/>
      <c r="BK170" s="176" t="n"/>
      <c r="BL170" s="176" t="n"/>
      <c r="BM170" s="176" t="n"/>
      <c r="BN170" s="176" t="n"/>
      <c r="BO170" s="176" t="n"/>
      <c r="BP170" s="176" t="n"/>
      <c r="BQ170" s="176" t="n"/>
      <c r="BR170" s="176" t="n"/>
      <c r="BS170" s="176" t="n"/>
      <c r="BT170" s="176" t="n"/>
      <c r="BU170" s="176" t="n"/>
      <c r="BV170" s="176" t="n"/>
      <c r="BW170" s="176" t="n"/>
      <c r="BX170" s="176" t="n"/>
      <c r="BY170" s="176" t="n"/>
      <c r="BZ170" s="176" t="n"/>
      <c r="CA170" s="176" t="n"/>
      <c r="CB170" s="176" t="n"/>
      <c r="CC170" s="176" t="n"/>
      <c r="CD170" s="176" t="n"/>
      <c r="CE170" s="176" t="n"/>
      <c r="CF170" s="176" t="n"/>
      <c r="CG170" s="176" t="n"/>
      <c r="CH170" s="176" t="n"/>
      <c r="CI170" s="176" t="n"/>
      <c r="CJ170" s="176" t="n"/>
      <c r="CK170" s="176" t="n"/>
      <c r="CL170" s="176" t="n"/>
      <c r="CM170" s="176" t="n"/>
      <c r="CN170" s="176" t="n"/>
      <c r="CO170" s="176" t="n"/>
      <c r="CP170" s="176" t="n"/>
      <c r="CQ170" s="176" t="n"/>
      <c r="CR170" s="176" t="n"/>
      <c r="CS170" s="176" t="n"/>
      <c r="CT170" s="176" t="n"/>
      <c r="CU170" s="176" t="n"/>
      <c r="CV170" s="176" t="n"/>
      <c r="CW170" s="176" t="n"/>
      <c r="CX170" s="176" t="n"/>
      <c r="CY170" s="176" t="n"/>
      <c r="CZ170" s="176" t="n"/>
      <c r="DA170" s="181" t="inlineStr">
        <is>
          <t>NOME</t>
        </is>
      </c>
      <c r="DB170" s="182" t="n"/>
      <c r="DC170" s="182" t="n"/>
      <c r="DD170" s="182" t="n"/>
      <c r="DE170" s="182" t="n"/>
      <c r="DF170" s="183" t="n"/>
      <c r="DG170" s="176" t="n"/>
      <c r="DH170" s="176" t="n"/>
      <c r="DI170" s="181" t="inlineStr">
        <is>
          <t>NOME</t>
        </is>
      </c>
      <c r="DJ170" s="182" t="n"/>
      <c r="DK170" s="182" t="n"/>
      <c r="DL170" s="182" t="n"/>
      <c r="DM170" s="182" t="n"/>
      <c r="DN170" s="183" t="n"/>
      <c r="DO170" s="176" t="n"/>
      <c r="DP170" s="176" t="n"/>
      <c r="DQ170" s="176" t="n"/>
      <c r="DR170" s="181" t="inlineStr">
        <is>
          <t>BASE DO LIVRO</t>
        </is>
      </c>
      <c r="DS170" s="182" t="n"/>
      <c r="DT170" s="183" t="n"/>
      <c r="DU170" s="185" t="inlineStr">
        <is>
          <t>Nenhuma</t>
        </is>
      </c>
      <c r="DV170" s="182" t="n"/>
      <c r="DW170" s="183" t="n"/>
      <c r="DX170" s="176" t="n"/>
      <c r="DY170" s="176" t="n"/>
      <c r="DZ170" s="181" t="inlineStr">
        <is>
          <t>BASE DO LIVRO</t>
        </is>
      </c>
      <c r="EA170" s="182" t="n"/>
      <c r="EB170" s="183" t="n"/>
      <c r="EC170" s="185" t="inlineStr">
        <is>
          <t>Nenhuma</t>
        </is>
      </c>
      <c r="ED170" s="182" t="n"/>
      <c r="EE170" s="183" t="n"/>
      <c r="EF170" s="176" t="n"/>
      <c r="EG170" s="176" t="n"/>
      <c r="EH170" s="176" t="n"/>
      <c r="EI170" s="176" t="n"/>
      <c r="EJ170" s="176" t="n"/>
      <c r="EK170" s="176" t="n"/>
      <c r="EL170" s="176" t="n"/>
      <c r="EM170" s="176" t="n"/>
      <c r="EN170" s="176" t="n"/>
      <c r="EO170" s="176" t="n"/>
      <c r="EP170" s="176" t="n"/>
      <c r="EQ170" s="176" t="n"/>
      <c r="ER170" s="176" t="n"/>
      <c r="ES170" s="176" t="n"/>
      <c r="ET170" s="176" t="n"/>
      <c r="EU170" s="176" t="n"/>
      <c r="EV170" s="176" t="n"/>
      <c r="EW170" s="176" t="n"/>
      <c r="EX170" s="176" t="n"/>
      <c r="EY170" s="176" t="n"/>
      <c r="EZ170" s="181" t="inlineStr">
        <is>
          <t>ALC · E · 6</t>
        </is>
      </c>
      <c r="FA170" s="182" t="n"/>
      <c r="FB170" s="183" t="n"/>
      <c r="FC170" s="185" t="n"/>
      <c r="FD170" s="182" t="n"/>
      <c r="FE170" s="183" t="n"/>
      <c r="FF170" s="176" t="n"/>
      <c r="FG170" s="176" t="n"/>
      <c r="FH170" s="181" t="inlineStr">
        <is>
          <t>ALC · E · 6</t>
        </is>
      </c>
      <c r="FI170" s="182" t="n"/>
      <c r="FJ170" s="183" t="n"/>
      <c r="FK170" s="185" t="n"/>
      <c r="FL170" s="182" t="n"/>
      <c r="FM170" s="183" t="n"/>
      <c r="FN170" s="176" t="n"/>
      <c r="FO170" s="176" t="n"/>
      <c r="FP170" s="176" t="n"/>
      <c r="FQ170" s="176" t="n"/>
      <c r="FR170" s="176" t="n"/>
      <c r="FS170" s="176" t="n"/>
      <c r="FT170" s="176" t="n"/>
      <c r="FU170" s="176" t="n"/>
      <c r="FV170" s="176" t="n"/>
      <c r="FW170" s="176" t="n"/>
      <c r="FX170" s="176" t="n"/>
      <c r="FY170" s="176" t="n"/>
      <c r="FZ170" s="176" t="n"/>
      <c r="GA170" s="176" t="n"/>
      <c r="GB170" s="176" t="n"/>
      <c r="GC170" s="176" t="n"/>
      <c r="GD170" s="176" t="n"/>
      <c r="GE170" s="176" t="n"/>
      <c r="GF170" s="176" t="n"/>
      <c r="GG170" s="176" t="n"/>
      <c r="GH170" s="176" t="n"/>
      <c r="GI170" s="176" t="n"/>
      <c r="GJ170" s="176" t="n"/>
      <c r="GK170" s="176" t="n"/>
      <c r="GL170" s="176" t="n"/>
      <c r="GM170" s="176" t="n"/>
      <c r="GN170" s="176" t="n"/>
      <c r="GO170" s="176" t="n"/>
      <c r="GP170" s="176" t="n"/>
      <c r="GQ170" s="176" t="n"/>
      <c r="GR170" s="176" t="n"/>
      <c r="GS170" s="176" t="n"/>
      <c r="GT170" s="176" t="n"/>
      <c r="GU170" s="176" t="n"/>
      <c r="GV170" s="176" t="n"/>
      <c r="GW170" s="176" t="n"/>
      <c r="GX170" s="176" t="n"/>
      <c r="GY170" s="176" t="n"/>
      <c r="GZ170" s="176" t="n"/>
      <c r="HA170" s="176" t="n"/>
      <c r="HB170" s="176" t="n"/>
      <c r="HC170" s="176" t="n"/>
      <c r="HD170" s="176" t="n"/>
      <c r="HE170" s="176" t="n"/>
      <c r="HF170" s="176" t="n"/>
      <c r="HG170" s="176" t="n"/>
      <c r="HH170" s="176" t="n"/>
      <c r="HI170" s="176" t="n"/>
      <c r="HJ170" s="176" t="n"/>
      <c r="HK170" s="176" t="n"/>
      <c r="HL170" s="176" t="n"/>
      <c r="HM170" s="176" t="n"/>
      <c r="HN170" s="176" t="n"/>
      <c r="HO170" s="176" t="n"/>
      <c r="HP170" s="193" t="n"/>
      <c r="HU170" s="194" t="n"/>
      <c r="HV170" s="176" t="n"/>
      <c r="HW170" s="176" t="n"/>
      <c r="HX170" s="193" t="n"/>
      <c r="IC170" s="194" t="n"/>
      <c r="ID170" s="176" t="n"/>
    </row>
    <row r="171" ht="18.75" customHeight="1">
      <c r="A171" s="176" t="n"/>
      <c r="B171" s="176" t="n"/>
      <c r="C171" s="176" t="n"/>
      <c r="D171" s="176" t="n"/>
      <c r="E171" s="176" t="n"/>
      <c r="F171" s="176" t="n"/>
      <c r="G171" s="176" t="n"/>
      <c r="H171" s="176" t="n"/>
      <c r="I171" s="176" t="n"/>
      <c r="J171" s="176" t="n"/>
      <c r="K171" s="176" t="n"/>
      <c r="L171" s="176" t="n"/>
      <c r="M171" s="176" t="n"/>
      <c r="N171" s="176" t="n"/>
      <c r="O171" s="176" t="n"/>
      <c r="P171" s="176" t="n"/>
      <c r="Q171" s="176" t="n"/>
      <c r="R171" s="176" t="n"/>
      <c r="S171" s="176" t="n"/>
      <c r="T171" s="181">
        <f>SWITCH('CONFIGURAÇÃO'!$T$159,"Origem","","Marcante","","Menor","","Arma","VOLUME","Escudo","FORÇA","Uniforme","FORÇA","Item comum","","Ferramenta amaldiçoada","VOLUME","")</f>
        <v/>
      </c>
      <c r="U171" s="183" t="n"/>
      <c r="V171" s="185" t="n"/>
      <c r="W171" s="182" t="n"/>
      <c r="X171" s="182" t="n"/>
      <c r="Y171" s="183" t="n"/>
      <c r="Z171" s="176" t="n"/>
      <c r="AA171" s="176" t="n"/>
      <c r="AB171" s="181">
        <f>SWITCH('CONFIGURAÇÃO'!$AB$159,"Origem","","Marcante","","Menor","","Arma","VOLUME","Escudo","FORÇA","Uniforme","FORÇA","Item comum","","Ferramenta amaldiçoada","VOLUME","")</f>
        <v/>
      </c>
      <c r="AC171" s="183" t="n"/>
      <c r="AD171" s="185" t="n"/>
      <c r="AE171" s="182" t="n"/>
      <c r="AF171" s="182" t="n"/>
      <c r="AG171" s="183" t="n"/>
      <c r="AH171" s="176" t="n"/>
      <c r="AI171" s="176" t="n"/>
      <c r="AJ171" s="176" t="n"/>
      <c r="AK171" s="176" t="n"/>
      <c r="AL171" s="176" t="n"/>
      <c r="AM171" s="176" t="n"/>
      <c r="AN171" s="176" t="n"/>
      <c r="AO171" s="176" t="n"/>
      <c r="AP171" s="176" t="n"/>
      <c r="AQ171" s="176" t="n"/>
      <c r="AR171" s="176" t="n"/>
      <c r="AS171" s="176" t="n"/>
      <c r="AT171" s="176" t="n"/>
      <c r="AU171" s="176" t="n"/>
      <c r="AV171" s="176" t="n"/>
      <c r="AW171" s="176" t="n"/>
      <c r="AX171" s="176" t="n"/>
      <c r="AY171" s="176" t="n"/>
      <c r="AZ171" s="176" t="n"/>
      <c r="BA171" s="176" t="n"/>
      <c r="BB171" s="176" t="n"/>
      <c r="BC171" s="176" t="n"/>
      <c r="BD171" s="176" t="n"/>
      <c r="BE171" s="176" t="n"/>
      <c r="BF171" s="176" t="n"/>
      <c r="BG171" s="176" t="n"/>
      <c r="BH171" s="176" t="n"/>
      <c r="BI171" s="176" t="n"/>
      <c r="BJ171" s="176" t="n"/>
      <c r="BK171" s="176" t="n"/>
      <c r="BL171" s="176" t="n"/>
      <c r="BM171" s="176" t="n"/>
      <c r="BN171" s="176" t="n"/>
      <c r="BO171" s="176" t="n"/>
      <c r="BP171" s="176" t="n"/>
      <c r="BQ171" s="176" t="n"/>
      <c r="BR171" s="176" t="n"/>
      <c r="BS171" s="176" t="n"/>
      <c r="BT171" s="176" t="n"/>
      <c r="BU171" s="176" t="n"/>
      <c r="BV171" s="176" t="n"/>
      <c r="BW171" s="176" t="n"/>
      <c r="BX171" s="176" t="n"/>
      <c r="BY171" s="176" t="n"/>
      <c r="BZ171" s="176" t="n"/>
      <c r="CA171" s="176" t="n"/>
      <c r="CB171" s="176" t="n"/>
      <c r="CC171" s="176" t="n"/>
      <c r="CD171" s="176" t="n"/>
      <c r="CE171" s="176" t="n"/>
      <c r="CF171" s="176" t="n"/>
      <c r="CG171" s="176" t="n"/>
      <c r="CH171" s="176" t="n"/>
      <c r="CI171" s="176" t="n"/>
      <c r="CJ171" s="176" t="n"/>
      <c r="CK171" s="176" t="n"/>
      <c r="CL171" s="176" t="n"/>
      <c r="CM171" s="176" t="n"/>
      <c r="CN171" s="176" t="n"/>
      <c r="CO171" s="176" t="n"/>
      <c r="CP171" s="176" t="n"/>
      <c r="CQ171" s="176" t="n"/>
      <c r="CR171" s="176" t="n"/>
      <c r="CS171" s="176" t="n"/>
      <c r="CT171" s="176" t="n"/>
      <c r="CU171" s="176" t="n"/>
      <c r="CV171" s="176" t="n"/>
      <c r="CW171" s="176" t="n"/>
      <c r="CX171" s="176" t="n"/>
      <c r="CY171" s="176" t="n"/>
      <c r="CZ171" s="176" t="n"/>
      <c r="DA171" s="185" t="n"/>
      <c r="DB171" s="182" t="n"/>
      <c r="DC171" s="182" t="n"/>
      <c r="DD171" s="182" t="n"/>
      <c r="DE171" s="182" t="n"/>
      <c r="DF171" s="183" t="n"/>
      <c r="DG171" s="176" t="n"/>
      <c r="DH171" s="176" t="n"/>
      <c r="DI171" s="185" t="n"/>
      <c r="DJ171" s="182" t="n"/>
      <c r="DK171" s="182" t="n"/>
      <c r="DL171" s="182" t="n"/>
      <c r="DM171" s="182" t="n"/>
      <c r="DN171" s="183" t="n"/>
      <c r="DO171" s="176" t="n"/>
      <c r="DP171" s="176" t="n"/>
      <c r="DQ171" s="176" t="n"/>
      <c r="DR171" s="181" t="inlineStr">
        <is>
          <t>DEVOLUÇÃO</t>
        </is>
      </c>
      <c r="DS171" s="182" t="n"/>
      <c r="DT171" s="183" t="n"/>
      <c r="DU171" s="185" t="n"/>
      <c r="DV171" s="182" t="n"/>
      <c r="DW171" s="183" t="n"/>
      <c r="DX171" s="176" t="n"/>
      <c r="DY171" s="176" t="n"/>
      <c r="DZ171" s="181" t="inlineStr">
        <is>
          <t>DEVOLUÇÃO</t>
        </is>
      </c>
      <c r="EA171" s="182" t="n"/>
      <c r="EB171" s="183" t="n"/>
      <c r="EC171" s="185" t="n"/>
      <c r="ED171" s="182" t="n"/>
      <c r="EE171" s="183" t="n"/>
      <c r="EF171" s="176" t="n"/>
      <c r="EG171" s="176" t="n"/>
      <c r="EH171" s="176" t="n"/>
      <c r="EI171" s="176" t="n"/>
      <c r="EJ171" s="176" t="n"/>
      <c r="EK171" s="176" t="n"/>
      <c r="EL171" s="176" t="n"/>
      <c r="EM171" s="176" t="n"/>
      <c r="EN171" s="176" t="n"/>
      <c r="EO171" s="176" t="n"/>
      <c r="EP171" s="176" t="n"/>
      <c r="EQ171" s="176" t="n"/>
      <c r="ER171" s="176" t="n"/>
      <c r="ES171" s="176" t="n"/>
      <c r="ET171" s="176" t="n"/>
      <c r="EU171" s="176" t="n"/>
      <c r="EV171" s="176" t="n"/>
      <c r="EW171" s="176" t="n"/>
      <c r="EX171" s="176" t="n"/>
      <c r="EY171" s="176" t="n"/>
      <c r="EZ171" s="181" t="inlineStr">
        <is>
          <t>ALC · E · 7</t>
        </is>
      </c>
      <c r="FA171" s="182" t="n"/>
      <c r="FB171" s="183" t="n"/>
      <c r="FC171" s="185" t="n"/>
      <c r="FD171" s="182" t="n"/>
      <c r="FE171" s="183" t="n"/>
      <c r="FF171" s="176" t="n"/>
      <c r="FG171" s="176" t="n"/>
      <c r="FH171" s="181" t="inlineStr">
        <is>
          <t>ALC · E · 7</t>
        </is>
      </c>
      <c r="FI171" s="182" t="n"/>
      <c r="FJ171" s="183" t="n"/>
      <c r="FK171" s="185" t="n"/>
      <c r="FL171" s="182" t="n"/>
      <c r="FM171" s="183" t="n"/>
      <c r="FN171" s="176" t="n"/>
      <c r="FO171" s="176" t="n"/>
      <c r="FP171" s="176" t="n"/>
      <c r="FQ171" s="176" t="n"/>
      <c r="FR171" s="176" t="n"/>
      <c r="FS171" s="176" t="n"/>
      <c r="FT171" s="176" t="n"/>
      <c r="FU171" s="176" t="n"/>
      <c r="FV171" s="176" t="n"/>
      <c r="FW171" s="176" t="n"/>
      <c r="FX171" s="176" t="n"/>
      <c r="FY171" s="176" t="n"/>
      <c r="FZ171" s="176" t="n"/>
      <c r="GA171" s="176" t="n"/>
      <c r="GB171" s="176" t="n"/>
      <c r="GC171" s="176" t="n"/>
      <c r="GD171" s="176" t="n"/>
      <c r="GE171" s="176" t="n"/>
      <c r="GF171" s="176" t="n"/>
      <c r="GG171" s="176" t="n"/>
      <c r="GH171" s="176" t="n"/>
      <c r="GI171" s="176" t="n"/>
      <c r="GJ171" s="176" t="n"/>
      <c r="GK171" s="176" t="n"/>
      <c r="GL171" s="176" t="n"/>
      <c r="GM171" s="176" t="n"/>
      <c r="GN171" s="176" t="n"/>
      <c r="GO171" s="176" t="n"/>
      <c r="GP171" s="176" t="n"/>
      <c r="GQ171" s="176" t="n"/>
      <c r="GR171" s="176" t="n"/>
      <c r="GS171" s="176" t="n"/>
      <c r="GT171" s="176" t="n"/>
      <c r="GU171" s="176" t="n"/>
      <c r="GV171" s="176" t="n"/>
      <c r="GW171" s="176" t="n"/>
      <c r="GX171" s="176" t="n"/>
      <c r="GY171" s="176" t="n"/>
      <c r="GZ171" s="176" t="n"/>
      <c r="HA171" s="176" t="n"/>
      <c r="HB171" s="176" t="n"/>
      <c r="HC171" s="176" t="n"/>
      <c r="HD171" s="176" t="n"/>
      <c r="HE171" s="176" t="n"/>
      <c r="HF171" s="176" t="n"/>
      <c r="HG171" s="176" t="n"/>
      <c r="HH171" s="176" t="n"/>
      <c r="HI171" s="176" t="n"/>
      <c r="HJ171" s="176" t="n"/>
      <c r="HK171" s="176" t="n"/>
      <c r="HL171" s="176" t="n"/>
      <c r="HM171" s="176" t="n"/>
      <c r="HN171" s="176" t="n"/>
      <c r="HO171" s="176" t="n"/>
      <c r="HP171" s="193" t="n"/>
      <c r="HU171" s="194" t="n"/>
      <c r="HV171" s="176" t="n"/>
      <c r="HW171" s="176" t="n"/>
      <c r="HX171" s="193" t="n"/>
      <c r="IC171" s="194" t="n"/>
      <c r="ID171" s="176" t="n"/>
    </row>
    <row r="172" ht="18.75" customHeight="1">
      <c r="A172" s="176" t="n"/>
      <c r="B172" s="176" t="n"/>
      <c r="C172" s="176" t="n"/>
      <c r="D172" s="176" t="n"/>
      <c r="E172" s="176" t="n"/>
      <c r="F172" s="176" t="n"/>
      <c r="G172" s="176" t="n"/>
      <c r="H172" s="176" t="n"/>
      <c r="I172" s="176" t="n"/>
      <c r="J172" s="176" t="n"/>
      <c r="K172" s="176" t="n"/>
      <c r="L172" s="176" t="n"/>
      <c r="M172" s="176" t="n"/>
      <c r="N172" s="176" t="n"/>
      <c r="O172" s="176" t="n"/>
      <c r="P172" s="176" t="n"/>
      <c r="Q172" s="176" t="n"/>
      <c r="R172" s="176" t="n"/>
      <c r="S172" s="176" t="n"/>
      <c r="T172" s="181">
        <f>SWITCH('CONFIGURAÇÃO'!$T$159,"Origem","","Marcante","","Menor","","Arma","ALCANCE","Escudo","VOLUME","Uniforme","VOLUME","Item comum","","Ferramenta amaldiçoada","PREÇO","")</f>
        <v/>
      </c>
      <c r="U172" s="183" t="n"/>
      <c r="V172" s="185" t="n"/>
      <c r="W172" s="182" t="n"/>
      <c r="X172" s="182" t="n"/>
      <c r="Y172" s="183" t="n"/>
      <c r="Z172" s="176" t="n"/>
      <c r="AA172" s="176" t="n"/>
      <c r="AB172" s="181">
        <f>SWITCH('CONFIGURAÇÃO'!$AB$159,"Origem","","Marcante","","Menor","","Arma","ALCANCE","Escudo","VOLUME","Uniforme","VOLUME","Item comum","","Ferramenta amaldiçoada","PREÇO","")</f>
        <v/>
      </c>
      <c r="AC172" s="183" t="n"/>
      <c r="AD172" s="185" t="n"/>
      <c r="AE172" s="182" t="n"/>
      <c r="AF172" s="182" t="n"/>
      <c r="AG172" s="183" t="n"/>
      <c r="AH172" s="176" t="n"/>
      <c r="AI172" s="176" t="n"/>
      <c r="AJ172" s="176" t="n"/>
      <c r="AK172" s="176" t="n"/>
      <c r="AL172" s="176" t="n"/>
      <c r="AM172" s="176" t="n"/>
      <c r="AN172" s="176" t="n"/>
      <c r="AO172" s="176" t="n"/>
      <c r="AP172" s="176" t="n"/>
      <c r="AQ172" s="176" t="n"/>
      <c r="AR172" s="176" t="n"/>
      <c r="AS172" s="176" t="n"/>
      <c r="AT172" s="176" t="n"/>
      <c r="AU172" s="176" t="n"/>
      <c r="AV172" s="176" t="n"/>
      <c r="AW172" s="176" t="n"/>
      <c r="AX172" s="176" t="n"/>
      <c r="AY172" s="176" t="n"/>
      <c r="AZ172" s="176" t="n"/>
      <c r="BA172" s="176" t="n"/>
      <c r="BB172" s="176" t="n"/>
      <c r="BC172" s="176" t="n"/>
      <c r="BD172" s="176" t="n"/>
      <c r="BE172" s="176" t="n"/>
      <c r="BF172" s="176" t="n"/>
      <c r="BG172" s="176" t="n"/>
      <c r="BH172" s="176" t="n"/>
      <c r="BI172" s="176" t="n"/>
      <c r="BJ172" s="176" t="n"/>
      <c r="BK172" s="176" t="n"/>
      <c r="BL172" s="176" t="n"/>
      <c r="BM172" s="176" t="n"/>
      <c r="BN172" s="176" t="n"/>
      <c r="BO172" s="176" t="n"/>
      <c r="BP172" s="176" t="n"/>
      <c r="BQ172" s="176" t="n"/>
      <c r="BR172" s="176" t="n"/>
      <c r="BS172" s="176" t="n"/>
      <c r="BT172" s="176" t="n"/>
      <c r="BU172" s="176" t="n"/>
      <c r="BV172" s="176" t="n"/>
      <c r="BW172" s="176" t="n"/>
      <c r="BX172" s="176" t="n"/>
      <c r="BY172" s="176" t="n"/>
      <c r="BZ172" s="176" t="n"/>
      <c r="CA172" s="176" t="n"/>
      <c r="CB172" s="176" t="n"/>
      <c r="CC172" s="176" t="n"/>
      <c r="CD172" s="176" t="n"/>
      <c r="CE172" s="176" t="n"/>
      <c r="CF172" s="176" t="n"/>
      <c r="CG172" s="176" t="n"/>
      <c r="CH172" s="176" t="n"/>
      <c r="CI172" s="176" t="n"/>
      <c r="CJ172" s="176" t="n"/>
      <c r="CK172" s="176" t="n"/>
      <c r="CL172" s="176" t="n"/>
      <c r="CM172" s="176" t="n"/>
      <c r="CN172" s="176" t="n"/>
      <c r="CO172" s="176" t="n"/>
      <c r="CP172" s="176" t="n"/>
      <c r="CQ172" s="176" t="n"/>
      <c r="CR172" s="176" t="n"/>
      <c r="CS172" s="176" t="n"/>
      <c r="CT172" s="176" t="n"/>
      <c r="CU172" s="176" t="n"/>
      <c r="CV172" s="176" t="n"/>
      <c r="CW172" s="176" t="n"/>
      <c r="CX172" s="176" t="n"/>
      <c r="CY172" s="176" t="n"/>
      <c r="CZ172" s="176" t="n"/>
      <c r="DA172" s="181" t="inlineStr">
        <is>
          <t>BASE DO LIVRO</t>
        </is>
      </c>
      <c r="DB172" s="182" t="n"/>
      <c r="DC172" s="183" t="n"/>
      <c r="DD172" s="185" t="inlineStr">
        <is>
          <t>Nenhuma</t>
        </is>
      </c>
      <c r="DE172" s="182" t="n"/>
      <c r="DF172" s="183" t="n"/>
      <c r="DG172" s="176" t="n"/>
      <c r="DH172" s="176" t="n"/>
      <c r="DI172" s="181" t="inlineStr">
        <is>
          <t>BASE DO LIVRO</t>
        </is>
      </c>
      <c r="DJ172" s="182" t="n"/>
      <c r="DK172" s="183" t="n"/>
      <c r="DL172" s="185" t="inlineStr">
        <is>
          <t>Nenhuma</t>
        </is>
      </c>
      <c r="DM172" s="182" t="n"/>
      <c r="DN172" s="183" t="n"/>
      <c r="DO172" s="176" t="n"/>
      <c r="DP172" s="176" t="n"/>
      <c r="DQ172" s="176" t="n"/>
      <c r="DR172" s="181" t="inlineStr">
        <is>
          <t>FREQUÊNCIA</t>
        </is>
      </c>
      <c r="DS172" s="182" t="n"/>
      <c r="DT172" s="183" t="n"/>
      <c r="DU172" s="185" t="n"/>
      <c r="DV172" s="182" t="n"/>
      <c r="DW172" s="183" t="n"/>
      <c r="DX172" s="176" t="n"/>
      <c r="DY172" s="176" t="n"/>
      <c r="DZ172" s="181" t="inlineStr">
        <is>
          <t>FREQUÊNCIA</t>
        </is>
      </c>
      <c r="EA172" s="182" t="n"/>
      <c r="EB172" s="183" t="n"/>
      <c r="EC172" s="185" t="n"/>
      <c r="ED172" s="182" t="n"/>
      <c r="EE172" s="183" t="n"/>
      <c r="EF172" s="176" t="n"/>
      <c r="EG172" s="176" t="n"/>
      <c r="EH172" s="176" t="n"/>
      <c r="EI172" s="176" t="n"/>
      <c r="EJ172" s="176" t="n"/>
      <c r="EK172" s="176" t="n"/>
      <c r="EL172" s="176" t="n"/>
      <c r="EM172" s="176" t="n"/>
      <c r="EN172" s="176" t="n"/>
      <c r="EO172" s="176" t="n"/>
      <c r="EP172" s="176" t="n"/>
      <c r="EQ172" s="176" t="n"/>
      <c r="ER172" s="176" t="n"/>
      <c r="ES172" s="176" t="n"/>
      <c r="ET172" s="176" t="n"/>
      <c r="EU172" s="176" t="n"/>
      <c r="EV172" s="176" t="n"/>
      <c r="EW172" s="176" t="n"/>
      <c r="EX172" s="176" t="n"/>
      <c r="EY172" s="176" t="n"/>
      <c r="EZ172" s="181" t="inlineStr">
        <is>
          <t>ÁREA · P · 0</t>
        </is>
      </c>
      <c r="FA172" s="182" t="n"/>
      <c r="FB172" s="183" t="n"/>
      <c r="FC172" s="185" t="n"/>
      <c r="FD172" s="182" t="n"/>
      <c r="FE172" s="183" t="n"/>
      <c r="FF172" s="176" t="n"/>
      <c r="FG172" s="176" t="n"/>
      <c r="FH172" s="181" t="inlineStr">
        <is>
          <t>ÁREA · P · 0</t>
        </is>
      </c>
      <c r="FI172" s="182" t="n"/>
      <c r="FJ172" s="183" t="n"/>
      <c r="FK172" s="185" t="n"/>
      <c r="FL172" s="182" t="n"/>
      <c r="FM172" s="183" t="n"/>
      <c r="FN172" s="176" t="n"/>
      <c r="FO172" s="176" t="n"/>
      <c r="FP172" s="176" t="n"/>
      <c r="FQ172" s="176" t="n"/>
      <c r="FR172" s="176" t="n"/>
      <c r="FS172" s="176" t="n"/>
      <c r="FT172" s="176" t="n"/>
      <c r="FU172" s="176" t="n"/>
      <c r="FV172" s="176" t="n"/>
      <c r="FW172" s="176" t="n"/>
      <c r="FX172" s="176" t="n"/>
      <c r="FY172" s="176" t="n"/>
      <c r="FZ172" s="176" t="n"/>
      <c r="GA172" s="176" t="n"/>
      <c r="GB172" s="176" t="n"/>
      <c r="GC172" s="176" t="n"/>
      <c r="GD172" s="176" t="n"/>
      <c r="GE172" s="176" t="n"/>
      <c r="GF172" s="176" t="n"/>
      <c r="GG172" s="176" t="n"/>
      <c r="GH172" s="176" t="n"/>
      <c r="GI172" s="176" t="n"/>
      <c r="GJ172" s="176" t="n"/>
      <c r="GK172" s="176" t="n"/>
      <c r="GL172" s="176" t="n"/>
      <c r="GM172" s="176" t="n"/>
      <c r="GN172" s="176" t="n"/>
      <c r="GO172" s="176" t="n"/>
      <c r="GP172" s="176" t="n"/>
      <c r="GQ172" s="176" t="n"/>
      <c r="GR172" s="176" t="n"/>
      <c r="GS172" s="176" t="n"/>
      <c r="GT172" s="176" t="n"/>
      <c r="GU172" s="176" t="n"/>
      <c r="GV172" s="176" t="n"/>
      <c r="GW172" s="176" t="n"/>
      <c r="GX172" s="176" t="n"/>
      <c r="GY172" s="176" t="n"/>
      <c r="GZ172" s="176" t="n"/>
      <c r="HA172" s="176" t="n"/>
      <c r="HB172" s="176" t="n"/>
      <c r="HC172" s="176" t="n"/>
      <c r="HD172" s="176" t="n"/>
      <c r="HE172" s="176" t="n"/>
      <c r="HF172" s="176" t="n"/>
      <c r="HG172" s="176" t="n"/>
      <c r="HH172" s="176" t="n"/>
      <c r="HI172" s="176" t="n"/>
      <c r="HJ172" s="176" t="n"/>
      <c r="HK172" s="176" t="n"/>
      <c r="HL172" s="176" t="n"/>
      <c r="HM172" s="176" t="n"/>
      <c r="HN172" s="176" t="n"/>
      <c r="HO172" s="176" t="n"/>
      <c r="HP172" s="193" t="n"/>
      <c r="HU172" s="194" t="n"/>
      <c r="HV172" s="176" t="n"/>
      <c r="HW172" s="176" t="n"/>
      <c r="HX172" s="193" t="n"/>
      <c r="IC172" s="194" t="n"/>
      <c r="ID172" s="176" t="n"/>
    </row>
    <row r="173" ht="18.75" customHeight="1">
      <c r="A173" s="176" t="n"/>
      <c r="B173" s="176" t="n"/>
      <c r="C173" s="176" t="n"/>
      <c r="D173" s="176" t="n"/>
      <c r="E173" s="176" t="n"/>
      <c r="F173" s="176" t="n"/>
      <c r="G173" s="176" t="n"/>
      <c r="H173" s="176" t="n"/>
      <c r="I173" s="176" t="n"/>
      <c r="J173" s="176" t="n"/>
      <c r="K173" s="176" t="n"/>
      <c r="L173" s="176" t="n"/>
      <c r="M173" s="176" t="n"/>
      <c r="N173" s="176" t="n"/>
      <c r="O173" s="176" t="n"/>
      <c r="P173" s="176" t="n"/>
      <c r="Q173" s="176" t="n"/>
      <c r="R173" s="176" t="n"/>
      <c r="S173" s="176" t="n"/>
      <c r="T173" s="181">
        <f>SWITCH('CONFIGURAÇÃO'!$T$159,"Origem","","Marcante","","Menor","","Arma","RECARGA","Escudo","PREÇO","Uniforme","PREÇO","Item comum","","Ferramenta amaldiçoada","","")</f>
        <v/>
      </c>
      <c r="U173" s="183" t="n"/>
      <c r="V173" s="185" t="n"/>
      <c r="W173" s="182" t="n"/>
      <c r="X173" s="182" t="n"/>
      <c r="Y173" s="183" t="n"/>
      <c r="Z173" s="176" t="n"/>
      <c r="AA173" s="176" t="n"/>
      <c r="AB173" s="181">
        <f>SWITCH('CONFIGURAÇÃO'!$AB$159,"Origem","","Marcante","","Menor","","Arma","RECARGA","Escudo","PREÇO","Uniforme","PREÇO","Item comum","","Ferramenta amaldiçoada","","")</f>
        <v/>
      </c>
      <c r="AC173" s="183" t="n"/>
      <c r="AD173" s="185" t="n"/>
      <c r="AE173" s="182" t="n"/>
      <c r="AF173" s="182" t="n"/>
      <c r="AG173" s="183" t="n"/>
      <c r="AH173" s="176" t="n"/>
      <c r="AI173" s="176" t="n"/>
      <c r="AJ173" s="176" t="n"/>
      <c r="AK173" s="176" t="n"/>
      <c r="AL173" s="176" t="n"/>
      <c r="AM173" s="176" t="n"/>
      <c r="AN173" s="176" t="n"/>
      <c r="AO173" s="176" t="n"/>
      <c r="AP173" s="176" t="n"/>
      <c r="AQ173" s="176" t="n"/>
      <c r="AR173" s="176" t="n"/>
      <c r="AS173" s="176" t="n"/>
      <c r="AT173" s="176" t="n"/>
      <c r="AU173" s="176" t="n"/>
      <c r="AV173" s="176" t="n"/>
      <c r="AW173" s="176" t="n"/>
      <c r="AX173" s="176" t="n"/>
      <c r="AY173" s="176" t="n"/>
      <c r="AZ173" s="176" t="n"/>
      <c r="BA173" s="176" t="n"/>
      <c r="BB173" s="176" t="n"/>
      <c r="BC173" s="176" t="n"/>
      <c r="BD173" s="176" t="n"/>
      <c r="BE173" s="176" t="n"/>
      <c r="BF173" s="176" t="n"/>
      <c r="BG173" s="176" t="n"/>
      <c r="BH173" s="176" t="n"/>
      <c r="BI173" s="176" t="n"/>
      <c r="BJ173" s="176" t="n"/>
      <c r="BK173" s="176" t="n"/>
      <c r="BL173" s="176" t="n"/>
      <c r="BM173" s="176" t="n"/>
      <c r="BN173" s="176" t="n"/>
      <c r="BO173" s="176" t="n"/>
      <c r="BP173" s="176" t="n"/>
      <c r="BQ173" s="176" t="n"/>
      <c r="BR173" s="176" t="n"/>
      <c r="BS173" s="176" t="n"/>
      <c r="BT173" s="176" t="n"/>
      <c r="BU173" s="176" t="n"/>
      <c r="BV173" s="176" t="n"/>
      <c r="BW173" s="176" t="n"/>
      <c r="BX173" s="176" t="n"/>
      <c r="BY173" s="176" t="n"/>
      <c r="BZ173" s="176" t="n"/>
      <c r="CA173" s="176" t="n"/>
      <c r="CB173" s="176" t="n"/>
      <c r="CC173" s="176" t="n"/>
      <c r="CD173" s="176" t="n"/>
      <c r="CE173" s="176" t="n"/>
      <c r="CF173" s="176" t="n"/>
      <c r="CG173" s="176" t="n"/>
      <c r="CH173" s="176" t="n"/>
      <c r="CI173" s="176" t="n"/>
      <c r="CJ173" s="176" t="n"/>
      <c r="CK173" s="176" t="n"/>
      <c r="CL173" s="176" t="n"/>
      <c r="CM173" s="176" t="n"/>
      <c r="CN173" s="176" t="n"/>
      <c r="CO173" s="176" t="n"/>
      <c r="CP173" s="176" t="n"/>
      <c r="CQ173" s="176" t="n"/>
      <c r="CR173" s="176" t="n"/>
      <c r="CS173" s="176" t="n"/>
      <c r="CT173" s="176" t="n"/>
      <c r="CU173" s="176" t="n"/>
      <c r="CV173" s="176" t="n"/>
      <c r="CW173" s="176" t="n"/>
      <c r="CX173" s="176" t="n"/>
      <c r="CY173" s="176" t="n"/>
      <c r="CZ173" s="176" t="n"/>
      <c r="DA173" s="181" t="inlineStr">
        <is>
          <t>FAMÍLIA</t>
        </is>
      </c>
      <c r="DB173" s="182" t="n"/>
      <c r="DC173" s="183" t="n"/>
      <c r="DD173" s="185" t="n"/>
      <c r="DE173" s="182" t="n"/>
      <c r="DF173" s="183" t="n"/>
      <c r="DG173" s="176" t="n"/>
      <c r="DH173" s="176" t="n"/>
      <c r="DI173" s="181" t="inlineStr">
        <is>
          <t>FAMÍLIA</t>
        </is>
      </c>
      <c r="DJ173" s="182" t="n"/>
      <c r="DK173" s="183" t="n"/>
      <c r="DL173" s="185" t="n"/>
      <c r="DM173" s="182" t="n"/>
      <c r="DN173" s="183" t="n"/>
      <c r="DO173" s="176" t="n"/>
      <c r="DP173" s="176" t="n"/>
      <c r="DQ173" s="176" t="n"/>
      <c r="DR173" s="176" t="n"/>
      <c r="DS173" s="176" t="n"/>
      <c r="DT173" s="176" t="n"/>
      <c r="DU173" s="176" t="n"/>
      <c r="DV173" s="176" t="n"/>
      <c r="DW173" s="176" t="n"/>
      <c r="DX173" s="176" t="n"/>
      <c r="DY173" s="176" t="n"/>
      <c r="DZ173" s="176" t="n"/>
      <c r="EA173" s="176" t="n"/>
      <c r="EB173" s="176" t="n"/>
      <c r="EC173" s="176" t="n"/>
      <c r="ED173" s="176" t="n"/>
      <c r="EE173" s="176" t="n"/>
      <c r="EF173" s="176" t="n"/>
      <c r="EG173" s="176" t="n"/>
      <c r="EH173" s="176" t="n"/>
      <c r="EI173" s="176" t="n"/>
      <c r="EJ173" s="176" t="n"/>
      <c r="EK173" s="176" t="n"/>
      <c r="EL173" s="176" t="n"/>
      <c r="EM173" s="176" t="n"/>
      <c r="EN173" s="176" t="n"/>
      <c r="EO173" s="176" t="n"/>
      <c r="EP173" s="176" t="n"/>
      <c r="EQ173" s="176" t="n"/>
      <c r="ER173" s="176" t="n"/>
      <c r="ES173" s="176" t="n"/>
      <c r="ET173" s="176" t="n"/>
      <c r="EU173" s="176" t="n"/>
      <c r="EV173" s="176" t="n"/>
      <c r="EW173" s="176" t="n"/>
      <c r="EX173" s="176" t="n"/>
      <c r="EY173" s="176" t="n"/>
      <c r="EZ173" s="181" t="inlineStr">
        <is>
          <t>ÁREA · P · 1 a 5</t>
        </is>
      </c>
      <c r="FA173" s="182" t="n"/>
      <c r="FB173" s="183" t="n"/>
      <c r="FC173" s="185" t="n"/>
      <c r="FD173" s="182" t="n"/>
      <c r="FE173" s="183" t="n"/>
      <c r="FF173" s="176" t="n"/>
      <c r="FG173" s="176" t="n"/>
      <c r="FH173" s="181" t="inlineStr">
        <is>
          <t>ÁREA · P · 1 a 5</t>
        </is>
      </c>
      <c r="FI173" s="182" t="n"/>
      <c r="FJ173" s="183" t="n"/>
      <c r="FK173" s="185" t="n"/>
      <c r="FL173" s="182" t="n"/>
      <c r="FM173" s="183" t="n"/>
      <c r="FN173" s="176" t="n"/>
      <c r="FO173" s="176" t="n"/>
      <c r="FP173" s="176" t="n"/>
      <c r="FQ173" s="176" t="n"/>
      <c r="FR173" s="176" t="n"/>
      <c r="FS173" s="176" t="n"/>
      <c r="FT173" s="176" t="n"/>
      <c r="FU173" s="176" t="n"/>
      <c r="FV173" s="176" t="n"/>
      <c r="FW173" s="176" t="n"/>
      <c r="FX173" s="176" t="n"/>
      <c r="FY173" s="176" t="n"/>
      <c r="FZ173" s="176" t="n"/>
      <c r="GA173" s="176" t="n"/>
      <c r="GB173" s="176" t="n"/>
      <c r="GC173" s="176" t="n"/>
      <c r="GD173" s="176" t="n"/>
      <c r="GE173" s="176" t="n"/>
      <c r="GF173" s="176" t="n"/>
      <c r="GG173" s="176" t="n"/>
      <c r="GH173" s="176" t="n"/>
      <c r="GI173" s="176" t="n"/>
      <c r="GJ173" s="176" t="n"/>
      <c r="GK173" s="176" t="n"/>
      <c r="GL173" s="176" t="n"/>
      <c r="GM173" s="176" t="n"/>
      <c r="GN173" s="176" t="n"/>
      <c r="GO173" s="176" t="n"/>
      <c r="GP173" s="176" t="n"/>
      <c r="GQ173" s="176" t="n"/>
      <c r="GR173" s="176" t="n"/>
      <c r="GS173" s="176" t="n"/>
      <c r="GT173" s="176" t="n"/>
      <c r="GU173" s="176" t="n"/>
      <c r="GV173" s="176" t="n"/>
      <c r="GW173" s="176" t="n"/>
      <c r="GX173" s="176" t="n"/>
      <c r="GY173" s="176" t="n"/>
      <c r="GZ173" s="176" t="n"/>
      <c r="HA173" s="176" t="n"/>
      <c r="HB173" s="176" t="n"/>
      <c r="HC173" s="176" t="n"/>
      <c r="HD173" s="176" t="n"/>
      <c r="HE173" s="176" t="n"/>
      <c r="HF173" s="176" t="n"/>
      <c r="HG173" s="176" t="n"/>
      <c r="HH173" s="176" t="n"/>
      <c r="HI173" s="176" t="n"/>
      <c r="HJ173" s="176" t="n"/>
      <c r="HK173" s="176" t="n"/>
      <c r="HL173" s="176" t="n"/>
      <c r="HM173" s="176" t="n"/>
      <c r="HN173" s="176" t="n"/>
      <c r="HO173" s="176" t="n"/>
      <c r="HP173" s="193" t="n"/>
      <c r="HU173" s="194" t="n"/>
      <c r="HV173" s="176" t="n"/>
      <c r="HW173" s="176" t="n"/>
      <c r="HX173" s="193" t="n"/>
      <c r="IC173" s="194" t="n"/>
      <c r="ID173" s="176" t="n"/>
    </row>
    <row r="174" ht="18.75" customHeight="1">
      <c r="A174" s="176" t="n"/>
      <c r="B174" s="176" t="n"/>
      <c r="C174" s="176" t="n"/>
      <c r="D174" s="176" t="n"/>
      <c r="E174" s="176" t="n"/>
      <c r="F174" s="176" t="n"/>
      <c r="G174" s="176" t="n"/>
      <c r="H174" s="176" t="n"/>
      <c r="I174" s="176" t="n"/>
      <c r="J174" s="176" t="n"/>
      <c r="K174" s="176" t="n"/>
      <c r="L174" s="176" t="n"/>
      <c r="M174" s="176" t="n"/>
      <c r="N174" s="176" t="n"/>
      <c r="O174" s="176" t="n"/>
      <c r="P174" s="176" t="n"/>
      <c r="Q174" s="176" t="n"/>
      <c r="R174" s="176" t="n"/>
      <c r="S174" s="176" t="n"/>
      <c r="T174" s="181">
        <f>SWITCH('CONFIGURAÇÃO'!$T$159,"Origem","","Marcante","","Menor","","Arma","PREÇO","Escudo","","Uniforme","","Item comum","","Ferramenta amaldiçoada","","")</f>
        <v/>
      </c>
      <c r="U174" s="183" t="n"/>
      <c r="V174" s="185" t="n"/>
      <c r="W174" s="182" t="n"/>
      <c r="X174" s="182" t="n"/>
      <c r="Y174" s="183" t="n"/>
      <c r="Z174" s="176" t="n"/>
      <c r="AA174" s="176" t="n"/>
      <c r="AB174" s="181">
        <f>SWITCH('CONFIGURAÇÃO'!$AB$159,"Origem","","Marcante","","Menor","","Arma","PREÇO","Escudo","","Uniforme","","Item comum","","Ferramenta amaldiçoada","","")</f>
        <v/>
      </c>
      <c r="AC174" s="183" t="n"/>
      <c r="AD174" s="185" t="n"/>
      <c r="AE174" s="182" t="n"/>
      <c r="AF174" s="182" t="n"/>
      <c r="AG174" s="183" t="n"/>
      <c r="AH174" s="176" t="n"/>
      <c r="AI174" s="176" t="n"/>
      <c r="AJ174" s="176" t="n"/>
      <c r="AK174" s="176" t="n"/>
      <c r="AL174" s="176" t="n"/>
      <c r="AM174" s="176" t="n"/>
      <c r="AN174" s="176" t="n"/>
      <c r="AO174" s="176" t="n"/>
      <c r="AP174" s="176" t="n"/>
      <c r="AQ174" s="176" t="n"/>
      <c r="AR174" s="176" t="n"/>
      <c r="AS174" s="176" t="n"/>
      <c r="AT174" s="176" t="n"/>
      <c r="AU174" s="176" t="n"/>
      <c r="AV174" s="176" t="n"/>
      <c r="AW174" s="176" t="n"/>
      <c r="AX174" s="176" t="n"/>
      <c r="AY174" s="176" t="n"/>
      <c r="AZ174" s="176" t="n"/>
      <c r="BA174" s="176" t="n"/>
      <c r="BB174" s="176" t="n"/>
      <c r="BC174" s="176" t="n"/>
      <c r="BD174" s="176" t="n"/>
      <c r="BE174" s="176" t="n"/>
      <c r="BF174" s="176" t="n"/>
      <c r="BG174" s="176" t="n"/>
      <c r="BH174" s="176" t="n"/>
      <c r="BI174" s="176" t="n"/>
      <c r="BJ174" s="176" t="n"/>
      <c r="BK174" s="176" t="n"/>
      <c r="BL174" s="176" t="n"/>
      <c r="BM174" s="176" t="n"/>
      <c r="BN174" s="176" t="n"/>
      <c r="BO174" s="176" t="n"/>
      <c r="BP174" s="176" t="n"/>
      <c r="BQ174" s="176" t="n"/>
      <c r="BR174" s="176" t="n"/>
      <c r="BS174" s="176" t="n"/>
      <c r="BT174" s="176" t="n"/>
      <c r="BU174" s="176" t="n"/>
      <c r="BV174" s="176" t="n"/>
      <c r="BW174" s="176" t="n"/>
      <c r="BX174" s="176" t="n"/>
      <c r="BY174" s="176" t="n"/>
      <c r="BZ174" s="176" t="n"/>
      <c r="CA174" s="176" t="n"/>
      <c r="CB174" s="176" t="n"/>
      <c r="CC174" s="176" t="n"/>
      <c r="CD174" s="176" t="n"/>
      <c r="CE174" s="176" t="n"/>
      <c r="CF174" s="176" t="n"/>
      <c r="CG174" s="176" t="n"/>
      <c r="CH174" s="176" t="n"/>
      <c r="CI174" s="176" t="n"/>
      <c r="CJ174" s="176" t="n"/>
      <c r="CK174" s="176" t="n"/>
      <c r="CL174" s="176" t="n"/>
      <c r="CM174" s="176" t="n"/>
      <c r="CN174" s="176" t="n"/>
      <c r="CO174" s="176" t="n"/>
      <c r="CP174" s="176" t="n"/>
      <c r="CQ174" s="176" t="n"/>
      <c r="CR174" s="176" t="n"/>
      <c r="CS174" s="176" t="n"/>
      <c r="CT174" s="176" t="n"/>
      <c r="CU174" s="176" t="n"/>
      <c r="CV174" s="176" t="n"/>
      <c r="CW174" s="176" t="n"/>
      <c r="CX174" s="176" t="n"/>
      <c r="CY174" s="176" t="n"/>
      <c r="CZ174" s="176" t="n"/>
      <c r="DA174" s="181" t="inlineStr">
        <is>
          <t>PESO</t>
        </is>
      </c>
      <c r="DB174" s="182" t="n"/>
      <c r="DC174" s="183" t="n"/>
      <c r="DD174" s="185" t="n"/>
      <c r="DE174" s="182" t="n"/>
      <c r="DF174" s="183" t="n"/>
      <c r="DG174" s="176" t="n"/>
      <c r="DH174" s="176" t="n"/>
      <c r="DI174" s="181" t="inlineStr">
        <is>
          <t>PESO</t>
        </is>
      </c>
      <c r="DJ174" s="182" t="n"/>
      <c r="DK174" s="183" t="n"/>
      <c r="DL174" s="185" t="n"/>
      <c r="DM174" s="182" t="n"/>
      <c r="DN174" s="183" t="n"/>
      <c r="DO174" s="176" t="n"/>
      <c r="DP174" s="176" t="n"/>
      <c r="DQ174" s="176" t="n"/>
      <c r="DR174" s="181" t="inlineStr">
        <is>
          <t>EFEITO E REQUISITOS</t>
        </is>
      </c>
      <c r="DS174" s="182" t="n"/>
      <c r="DT174" s="182" t="n"/>
      <c r="DU174" s="182" t="n"/>
      <c r="DV174" s="182" t="n"/>
      <c r="DW174" s="183" t="n"/>
      <c r="DX174" s="176" t="n"/>
      <c r="DY174" s="176" t="n"/>
      <c r="DZ174" s="181" t="inlineStr">
        <is>
          <t>EFEITO E REQUISITOS</t>
        </is>
      </c>
      <c r="EA174" s="182" t="n"/>
      <c r="EB174" s="182" t="n"/>
      <c r="EC174" s="182" t="n"/>
      <c r="ED174" s="182" t="n"/>
      <c r="EE174" s="183" t="n"/>
      <c r="EF174" s="176" t="n"/>
      <c r="EG174" s="176" t="n"/>
      <c r="EH174" s="176" t="n"/>
      <c r="EI174" s="176" t="n"/>
      <c r="EJ174" s="176" t="n"/>
      <c r="EK174" s="176" t="n"/>
      <c r="EL174" s="176" t="n"/>
      <c r="EM174" s="176" t="n"/>
      <c r="EN174" s="176" t="n"/>
      <c r="EO174" s="176" t="n"/>
      <c r="EP174" s="176" t="n"/>
      <c r="EQ174" s="176" t="n"/>
      <c r="ER174" s="176" t="n"/>
      <c r="ES174" s="176" t="n"/>
      <c r="ET174" s="176" t="n"/>
      <c r="EU174" s="176" t="n"/>
      <c r="EV174" s="176" t="n"/>
      <c r="EW174" s="176" t="n"/>
      <c r="EX174" s="176" t="n"/>
      <c r="EY174" s="176" t="n"/>
      <c r="EZ174" s="181" t="inlineStr">
        <is>
          <t>ÁREA · P · 6 e 7</t>
        </is>
      </c>
      <c r="FA174" s="182" t="n"/>
      <c r="FB174" s="183" t="n"/>
      <c r="FC174" s="185" t="n"/>
      <c r="FD174" s="182" t="n"/>
      <c r="FE174" s="183" t="n"/>
      <c r="FF174" s="176" t="n"/>
      <c r="FG174" s="176" t="n"/>
      <c r="FH174" s="181" t="inlineStr">
        <is>
          <t>ÁREA · P · 6 e 7</t>
        </is>
      </c>
      <c r="FI174" s="182" t="n"/>
      <c r="FJ174" s="183" t="n"/>
      <c r="FK174" s="185" t="n"/>
      <c r="FL174" s="182" t="n"/>
      <c r="FM174" s="183" t="n"/>
      <c r="FN174" s="176" t="n"/>
      <c r="FO174" s="176" t="n"/>
      <c r="FP174" s="176" t="n"/>
      <c r="FQ174" s="176" t="n"/>
      <c r="FR174" s="176" t="n"/>
      <c r="FS174" s="176" t="n"/>
      <c r="FT174" s="176" t="n"/>
      <c r="FU174" s="176" t="n"/>
      <c r="FV174" s="176" t="n"/>
      <c r="FW174" s="176" t="n"/>
      <c r="FX174" s="176" t="n"/>
      <c r="FY174" s="176" t="n"/>
      <c r="FZ174" s="176" t="n"/>
      <c r="GA174" s="176" t="n"/>
      <c r="GB174" s="176" t="n"/>
      <c r="GC174" s="176" t="n"/>
      <c r="GD174" s="176" t="n"/>
      <c r="GE174" s="176" t="n"/>
      <c r="GF174" s="176" t="n"/>
      <c r="GG174" s="176" t="n"/>
      <c r="GH174" s="176" t="n"/>
      <c r="GI174" s="176" t="n"/>
      <c r="GJ174" s="176" t="n"/>
      <c r="GK174" s="176" t="n"/>
      <c r="GL174" s="176" t="n"/>
      <c r="GM174" s="176" t="n"/>
      <c r="GN174" s="176" t="n"/>
      <c r="GO174" s="176" t="n"/>
      <c r="GP174" s="176" t="n"/>
      <c r="GQ174" s="176" t="n"/>
      <c r="GR174" s="176" t="n"/>
      <c r="GS174" s="176" t="n"/>
      <c r="GT174" s="176" t="n"/>
      <c r="GU174" s="176" t="n"/>
      <c r="GV174" s="176" t="n"/>
      <c r="GW174" s="176" t="n"/>
      <c r="GX174" s="176" t="n"/>
      <c r="GY174" s="176" t="n"/>
      <c r="GZ174" s="176" t="n"/>
      <c r="HA174" s="176" t="n"/>
      <c r="HB174" s="176" t="n"/>
      <c r="HC174" s="176" t="n"/>
      <c r="HD174" s="176" t="n"/>
      <c r="HE174" s="176" t="n"/>
      <c r="HF174" s="176" t="n"/>
      <c r="HG174" s="176" t="n"/>
      <c r="HH174" s="176" t="n"/>
      <c r="HI174" s="176" t="n"/>
      <c r="HJ174" s="176" t="n"/>
      <c r="HK174" s="176" t="n"/>
      <c r="HL174" s="176" t="n"/>
      <c r="HM174" s="176" t="n"/>
      <c r="HN174" s="176" t="n"/>
      <c r="HO174" s="176" t="n"/>
      <c r="HP174" s="193" t="n"/>
      <c r="HU174" s="194" t="n"/>
      <c r="HV174" s="176" t="n"/>
      <c r="HW174" s="176" t="n"/>
      <c r="HX174" s="193" t="n"/>
      <c r="IC174" s="194" t="n"/>
      <c r="ID174" s="176" t="n"/>
    </row>
    <row r="175" ht="18.75" customHeight="1">
      <c r="A175" s="176" t="n"/>
      <c r="B175" s="176" t="n"/>
      <c r="C175" s="176" t="n"/>
      <c r="D175" s="176" t="n"/>
      <c r="E175" s="176" t="n"/>
      <c r="F175" s="176" t="n"/>
      <c r="G175" s="176" t="n"/>
      <c r="H175" s="176" t="n"/>
      <c r="I175" s="176" t="n"/>
      <c r="J175" s="176" t="n"/>
      <c r="K175" s="176" t="n"/>
      <c r="L175" s="176" t="n"/>
      <c r="M175" s="176" t="n"/>
      <c r="N175" s="176" t="n"/>
      <c r="O175" s="176" t="n"/>
      <c r="P175" s="176" t="n"/>
      <c r="Q175" s="176" t="n"/>
      <c r="R175" s="176" t="n"/>
      <c r="S175" s="176" t="n"/>
      <c r="T175" s="181" t="inlineStr">
        <is>
          <t>EFEITO · DESCRIÇÃO</t>
        </is>
      </c>
      <c r="U175" s="182" t="n"/>
      <c r="V175" s="182" t="n"/>
      <c r="W175" s="182" t="n"/>
      <c r="X175" s="182" t="n"/>
      <c r="Y175" s="183" t="n"/>
      <c r="Z175" s="176" t="n"/>
      <c r="AA175" s="176" t="n"/>
      <c r="AB175" s="181" t="inlineStr">
        <is>
          <t>EFEITO · DESCRIÇÃO</t>
        </is>
      </c>
      <c r="AC175" s="182" t="n"/>
      <c r="AD175" s="182" t="n"/>
      <c r="AE175" s="182" t="n"/>
      <c r="AF175" s="182" t="n"/>
      <c r="AG175" s="183" t="n"/>
      <c r="AH175" s="176" t="n"/>
      <c r="AI175" s="176" t="n"/>
      <c r="AJ175" s="176" t="n"/>
      <c r="AK175" s="176" t="n"/>
      <c r="AL175" s="176" t="n"/>
      <c r="AM175" s="176" t="n"/>
      <c r="AN175" s="176" t="n"/>
      <c r="AO175" s="176" t="n"/>
      <c r="AP175" s="176" t="n"/>
      <c r="AQ175" s="176" t="n"/>
      <c r="AR175" s="176" t="n"/>
      <c r="AS175" s="176" t="n"/>
      <c r="AT175" s="176" t="n"/>
      <c r="AU175" s="176" t="n"/>
      <c r="AV175" s="176" t="n"/>
      <c r="AW175" s="176" t="n"/>
      <c r="AX175" s="176" t="n"/>
      <c r="AY175" s="176" t="n"/>
      <c r="AZ175" s="176" t="n"/>
      <c r="BA175" s="176" t="n"/>
      <c r="BB175" s="176" t="n"/>
      <c r="BC175" s="176" t="n"/>
      <c r="BD175" s="176" t="n"/>
      <c r="BE175" s="176" t="n"/>
      <c r="BF175" s="176" t="n"/>
      <c r="BG175" s="176" t="n"/>
      <c r="BH175" s="176" t="n"/>
      <c r="BI175" s="176" t="n"/>
      <c r="BJ175" s="176" t="n"/>
      <c r="BK175" s="176" t="n"/>
      <c r="BL175" s="176" t="n"/>
      <c r="BM175" s="176" t="n"/>
      <c r="BN175" s="176" t="n"/>
      <c r="BO175" s="176" t="n"/>
      <c r="BP175" s="176" t="n"/>
      <c r="BQ175" s="176" t="n"/>
      <c r="BR175" s="176" t="n"/>
      <c r="BS175" s="176" t="n"/>
      <c r="BT175" s="176" t="n"/>
      <c r="BU175" s="176" t="n"/>
      <c r="BV175" s="176" t="n"/>
      <c r="BW175" s="176" t="n"/>
      <c r="BX175" s="176" t="n"/>
      <c r="BY175" s="176" t="n"/>
      <c r="BZ175" s="176" t="n"/>
      <c r="CA175" s="176" t="n"/>
      <c r="CB175" s="176" t="n"/>
      <c r="CC175" s="176" t="n"/>
      <c r="CD175" s="176" t="n"/>
      <c r="CE175" s="176" t="n"/>
      <c r="CF175" s="176" t="n"/>
      <c r="CG175" s="176" t="n"/>
      <c r="CH175" s="176" t="n"/>
      <c r="CI175" s="176" t="n"/>
      <c r="CJ175" s="176" t="n"/>
      <c r="CK175" s="176" t="n"/>
      <c r="CL175" s="176" t="n"/>
      <c r="CM175" s="176" t="n"/>
      <c r="CN175" s="176" t="n"/>
      <c r="CO175" s="176" t="n"/>
      <c r="CP175" s="176" t="n"/>
      <c r="CQ175" s="176" t="n"/>
      <c r="CR175" s="176" t="n"/>
      <c r="CS175" s="176" t="n"/>
      <c r="CT175" s="176" t="n"/>
      <c r="CU175" s="176" t="n"/>
      <c r="CV175" s="176" t="n"/>
      <c r="CW175" s="176" t="n"/>
      <c r="CX175" s="176" t="n"/>
      <c r="CY175" s="176" t="n"/>
      <c r="CZ175" s="176" t="n"/>
      <c r="DA175" s="181" t="inlineStr">
        <is>
          <t>EXIGE TR</t>
        </is>
      </c>
      <c r="DB175" s="182" t="n"/>
      <c r="DC175" s="183" t="n"/>
      <c r="DD175" s="185" t="n"/>
      <c r="DE175" s="182" t="n"/>
      <c r="DF175" s="183" t="n"/>
      <c r="DG175" s="176" t="n"/>
      <c r="DH175" s="176" t="n"/>
      <c r="DI175" s="181" t="inlineStr">
        <is>
          <t>EXIGE TR</t>
        </is>
      </c>
      <c r="DJ175" s="182" t="n"/>
      <c r="DK175" s="183" t="n"/>
      <c r="DL175" s="185" t="n"/>
      <c r="DM175" s="182" t="n"/>
      <c r="DN175" s="183" t="n"/>
      <c r="DO175" s="176" t="n"/>
      <c r="DP175" s="176" t="n"/>
      <c r="DQ175" s="176" t="n"/>
      <c r="DR175" s="192" t="n"/>
      <c r="DS175" s="187" t="n"/>
      <c r="DT175" s="187" t="n"/>
      <c r="DU175" s="187" t="n"/>
      <c r="DV175" s="187" t="n"/>
      <c r="DW175" s="188" t="n"/>
      <c r="DX175" s="176" t="n"/>
      <c r="DY175" s="176" t="n"/>
      <c r="DZ175" s="192" t="n"/>
      <c r="EA175" s="187" t="n"/>
      <c r="EB175" s="187" t="n"/>
      <c r="EC175" s="187" t="n"/>
      <c r="ED175" s="187" t="n"/>
      <c r="EE175" s="188" t="n"/>
      <c r="EF175" s="176" t="n"/>
      <c r="EG175" s="176" t="n"/>
      <c r="EH175" s="176" t="n"/>
      <c r="EI175" s="176" t="n"/>
      <c r="EJ175" s="176" t="n"/>
      <c r="EK175" s="176" t="n"/>
      <c r="EL175" s="176" t="n"/>
      <c r="EM175" s="176" t="n"/>
      <c r="EN175" s="176" t="n"/>
      <c r="EO175" s="176" t="n"/>
      <c r="EP175" s="176" t="n"/>
      <c r="EQ175" s="176" t="n"/>
      <c r="ER175" s="176" t="n"/>
      <c r="ES175" s="176" t="n"/>
      <c r="ET175" s="176" t="n"/>
      <c r="EU175" s="176" t="n"/>
      <c r="EV175" s="176" t="n"/>
      <c r="EW175" s="176" t="n"/>
      <c r="EX175" s="176" t="n"/>
      <c r="EY175" s="176" t="n"/>
      <c r="EZ175" s="181" t="inlineStr">
        <is>
          <t>ÁREA · E · 0</t>
        </is>
      </c>
      <c r="FA175" s="182" t="n"/>
      <c r="FB175" s="183" t="n"/>
      <c r="FC175" s="185" t="n"/>
      <c r="FD175" s="182" t="n"/>
      <c r="FE175" s="183" t="n"/>
      <c r="FF175" s="176" t="n"/>
      <c r="FG175" s="176" t="n"/>
      <c r="FH175" s="181" t="inlineStr">
        <is>
          <t>ÁREA · E · 0</t>
        </is>
      </c>
      <c r="FI175" s="182" t="n"/>
      <c r="FJ175" s="183" t="n"/>
      <c r="FK175" s="185" t="n"/>
      <c r="FL175" s="182" t="n"/>
      <c r="FM175" s="183" t="n"/>
      <c r="FN175" s="176" t="n"/>
      <c r="FO175" s="176" t="n"/>
      <c r="FP175" s="176" t="n"/>
      <c r="FQ175" s="176" t="n"/>
      <c r="FR175" s="176" t="n"/>
      <c r="FS175" s="176" t="n"/>
      <c r="FT175" s="176" t="n"/>
      <c r="FU175" s="176" t="n"/>
      <c r="FV175" s="176" t="n"/>
      <c r="FW175" s="176" t="n"/>
      <c r="FX175" s="176" t="n"/>
      <c r="FY175" s="176" t="n"/>
      <c r="FZ175" s="176" t="n"/>
      <c r="GA175" s="176" t="n"/>
      <c r="GB175" s="176" t="n"/>
      <c r="GC175" s="176" t="n"/>
      <c r="GD175" s="176" t="n"/>
      <c r="GE175" s="176" t="n"/>
      <c r="GF175" s="176" t="n"/>
      <c r="GG175" s="176" t="n"/>
      <c r="GH175" s="176" t="n"/>
      <c r="GI175" s="176" t="n"/>
      <c r="GJ175" s="176" t="n"/>
      <c r="GK175" s="176" t="n"/>
      <c r="GL175" s="176" t="n"/>
      <c r="GM175" s="176" t="n"/>
      <c r="GN175" s="176" t="n"/>
      <c r="GO175" s="176" t="n"/>
      <c r="GP175" s="176" t="n"/>
      <c r="GQ175" s="176" t="n"/>
      <c r="GR175" s="176" t="n"/>
      <c r="GS175" s="176" t="n"/>
      <c r="GT175" s="176" t="n"/>
      <c r="GU175" s="176" t="n"/>
      <c r="GV175" s="176" t="n"/>
      <c r="GW175" s="176" t="n"/>
      <c r="GX175" s="176" t="n"/>
      <c r="GY175" s="176" t="n"/>
      <c r="GZ175" s="176" t="n"/>
      <c r="HA175" s="176" t="n"/>
      <c r="HB175" s="176" t="n"/>
      <c r="HC175" s="176" t="n"/>
      <c r="HD175" s="176" t="n"/>
      <c r="HE175" s="176" t="n"/>
      <c r="HF175" s="176" t="n"/>
      <c r="HG175" s="176" t="n"/>
      <c r="HH175" s="176" t="n"/>
      <c r="HI175" s="176" t="n"/>
      <c r="HJ175" s="176" t="n"/>
      <c r="HK175" s="176" t="n"/>
      <c r="HL175" s="176" t="n"/>
      <c r="HM175" s="176" t="n"/>
      <c r="HN175" s="176" t="n"/>
      <c r="HO175" s="176" t="n"/>
      <c r="HP175" s="189" t="n"/>
      <c r="HQ175" s="190" t="n"/>
      <c r="HR175" s="190" t="n"/>
      <c r="HS175" s="190" t="n"/>
      <c r="HT175" s="190" t="n"/>
      <c r="HU175" s="191" t="n"/>
      <c r="HV175" s="176" t="n"/>
      <c r="HW175" s="176" t="n"/>
      <c r="HX175" s="189" t="n"/>
      <c r="HY175" s="190" t="n"/>
      <c r="HZ175" s="190" t="n"/>
      <c r="IA175" s="190" t="n"/>
      <c r="IB175" s="190" t="n"/>
      <c r="IC175" s="191" t="n"/>
      <c r="ID175" s="176" t="n"/>
    </row>
    <row r="176" ht="18.75" customHeight="1">
      <c r="A176" s="176" t="n"/>
      <c r="B176" s="176" t="n"/>
      <c r="C176" s="176" t="n"/>
      <c r="D176" s="176" t="n"/>
      <c r="E176" s="176" t="n"/>
      <c r="F176" s="176" t="n"/>
      <c r="G176" s="176" t="n"/>
      <c r="H176" s="176" t="n"/>
      <c r="I176" s="176" t="n"/>
      <c r="J176" s="176" t="n"/>
      <c r="K176" s="176" t="n"/>
      <c r="L176" s="176" t="n"/>
      <c r="M176" s="176" t="n"/>
      <c r="N176" s="176" t="n"/>
      <c r="O176" s="176" t="n"/>
      <c r="P176" s="176" t="n"/>
      <c r="Q176" s="176" t="n"/>
      <c r="R176" s="176" t="n"/>
      <c r="S176" s="176" t="n"/>
      <c r="T176" s="192" t="n"/>
      <c r="U176" s="187" t="n"/>
      <c r="V176" s="187" t="n"/>
      <c r="W176" s="187" t="n"/>
      <c r="X176" s="187" t="n"/>
      <c r="Y176" s="188" t="n"/>
      <c r="Z176" s="176" t="n"/>
      <c r="AA176" s="176" t="n"/>
      <c r="AB176" s="192" t="n"/>
      <c r="AC176" s="187" t="n"/>
      <c r="AD176" s="187" t="n"/>
      <c r="AE176" s="187" t="n"/>
      <c r="AF176" s="187" t="n"/>
      <c r="AG176" s="188" t="n"/>
      <c r="AH176" s="176" t="n"/>
      <c r="AI176" s="176" t="n"/>
      <c r="AJ176" s="176" t="n"/>
      <c r="AK176" s="176" t="n"/>
      <c r="AL176" s="176" t="n"/>
      <c r="AM176" s="176" t="n"/>
      <c r="AN176" s="176" t="n"/>
      <c r="AO176" s="176" t="n"/>
      <c r="AP176" s="176" t="n"/>
      <c r="AQ176" s="176" t="n"/>
      <c r="AR176" s="176" t="n"/>
      <c r="AS176" s="176" t="n"/>
      <c r="AT176" s="176" t="n"/>
      <c r="AU176" s="176" t="n"/>
      <c r="AV176" s="176" t="n"/>
      <c r="AW176" s="176" t="n"/>
      <c r="AX176" s="176" t="n"/>
      <c r="AY176" s="176" t="n"/>
      <c r="AZ176" s="176" t="n"/>
      <c r="BA176" s="176" t="n"/>
      <c r="BB176" s="176" t="n"/>
      <c r="BC176" s="176" t="n"/>
      <c r="BD176" s="176" t="n"/>
      <c r="BE176" s="176" t="n"/>
      <c r="BF176" s="176" t="n"/>
      <c r="BG176" s="176" t="n"/>
      <c r="BH176" s="176" t="n"/>
      <c r="BI176" s="176" t="n"/>
      <c r="BJ176" s="176" t="n"/>
      <c r="BK176" s="176" t="n"/>
      <c r="BL176" s="176" t="n"/>
      <c r="BM176" s="176" t="n"/>
      <c r="BN176" s="176" t="n"/>
      <c r="BO176" s="176" t="n"/>
      <c r="BP176" s="176" t="n"/>
      <c r="BQ176" s="176" t="n"/>
      <c r="BR176" s="176" t="n"/>
      <c r="BS176" s="176" t="n"/>
      <c r="BT176" s="176" t="n"/>
      <c r="BU176" s="176" t="n"/>
      <c r="BV176" s="176" t="n"/>
      <c r="BW176" s="176" t="n"/>
      <c r="BX176" s="176" t="n"/>
      <c r="BY176" s="176" t="n"/>
      <c r="BZ176" s="176" t="n"/>
      <c r="CA176" s="176" t="n"/>
      <c r="CB176" s="176" t="n"/>
      <c r="CC176" s="176" t="n"/>
      <c r="CD176" s="176" t="n"/>
      <c r="CE176" s="176" t="n"/>
      <c r="CF176" s="176" t="n"/>
      <c r="CG176" s="176" t="n"/>
      <c r="CH176" s="176" t="n"/>
      <c r="CI176" s="176" t="n"/>
      <c r="CJ176" s="176" t="n"/>
      <c r="CK176" s="176" t="n"/>
      <c r="CL176" s="176" t="n"/>
      <c r="CM176" s="176" t="n"/>
      <c r="CN176" s="176" t="n"/>
      <c r="CO176" s="176" t="n"/>
      <c r="CP176" s="176" t="n"/>
      <c r="CQ176" s="176" t="n"/>
      <c r="CR176" s="176" t="n"/>
      <c r="CS176" s="176" t="n"/>
      <c r="CT176" s="176" t="n"/>
      <c r="CU176" s="176" t="n"/>
      <c r="CV176" s="176" t="n"/>
      <c r="CW176" s="176" t="n"/>
      <c r="CX176" s="176" t="n"/>
      <c r="CY176" s="176" t="n"/>
      <c r="CZ176" s="176" t="n"/>
      <c r="DA176" s="176" t="n"/>
      <c r="DB176" s="176" t="n"/>
      <c r="DC176" s="176" t="n"/>
      <c r="DD176" s="176" t="n"/>
      <c r="DE176" s="176" t="n"/>
      <c r="DF176" s="176" t="n"/>
      <c r="DG176" s="176" t="n"/>
      <c r="DH176" s="176" t="n"/>
      <c r="DI176" s="176" t="n"/>
      <c r="DJ176" s="176" t="n"/>
      <c r="DK176" s="176" t="n"/>
      <c r="DL176" s="176" t="n"/>
      <c r="DM176" s="176" t="n"/>
      <c r="DN176" s="176" t="n"/>
      <c r="DO176" s="176" t="n"/>
      <c r="DP176" s="176" t="n"/>
      <c r="DQ176" s="176" t="n"/>
      <c r="DR176" s="193" t="n"/>
      <c r="DW176" s="194" t="n"/>
      <c r="DX176" s="176" t="n"/>
      <c r="DY176" s="176" t="n"/>
      <c r="DZ176" s="193" t="n"/>
      <c r="EE176" s="194" t="n"/>
      <c r="EF176" s="176" t="n"/>
      <c r="EG176" s="176" t="n"/>
      <c r="EH176" s="176" t="n"/>
      <c r="EI176" s="176" t="n"/>
      <c r="EJ176" s="176" t="n"/>
      <c r="EK176" s="176" t="n"/>
      <c r="EL176" s="176" t="n"/>
      <c r="EM176" s="176" t="n"/>
      <c r="EN176" s="176" t="n"/>
      <c r="EO176" s="176" t="n"/>
      <c r="EP176" s="176" t="n"/>
      <c r="EQ176" s="176" t="n"/>
      <c r="ER176" s="176" t="n"/>
      <c r="ES176" s="176" t="n"/>
      <c r="ET176" s="176" t="n"/>
      <c r="EU176" s="176" t="n"/>
      <c r="EV176" s="176" t="n"/>
      <c r="EW176" s="176" t="n"/>
      <c r="EX176" s="176" t="n"/>
      <c r="EY176" s="176" t="n"/>
      <c r="EZ176" s="181" t="inlineStr">
        <is>
          <t>ÁREA · E · 1 a 5</t>
        </is>
      </c>
      <c r="FA176" s="182" t="n"/>
      <c r="FB176" s="183" t="n"/>
      <c r="FC176" s="185" t="n"/>
      <c r="FD176" s="182" t="n"/>
      <c r="FE176" s="183" t="n"/>
      <c r="FF176" s="176" t="n"/>
      <c r="FG176" s="176" t="n"/>
      <c r="FH176" s="181" t="inlineStr">
        <is>
          <t>ÁREA · E · 1 a 5</t>
        </is>
      </c>
      <c r="FI176" s="182" t="n"/>
      <c r="FJ176" s="183" t="n"/>
      <c r="FK176" s="185" t="n"/>
      <c r="FL176" s="182" t="n"/>
      <c r="FM176" s="183" t="n"/>
      <c r="FN176" s="176" t="n"/>
      <c r="FO176" s="176" t="n"/>
      <c r="FP176" s="176" t="n"/>
      <c r="FQ176" s="176" t="n"/>
      <c r="FR176" s="176" t="n"/>
      <c r="FS176" s="176" t="n"/>
      <c r="FT176" s="176" t="n"/>
      <c r="FU176" s="176" t="n"/>
      <c r="FV176" s="176" t="n"/>
      <c r="FW176" s="176" t="n"/>
      <c r="FX176" s="176" t="n"/>
      <c r="FY176" s="176" t="n"/>
      <c r="FZ176" s="176" t="n"/>
      <c r="GA176" s="176" t="n"/>
      <c r="GB176" s="176" t="n"/>
      <c r="GC176" s="176" t="n"/>
      <c r="GD176" s="176" t="n"/>
      <c r="GE176" s="176" t="n"/>
      <c r="GF176" s="176" t="n"/>
      <c r="GG176" s="176" t="n"/>
      <c r="GH176" s="176" t="n"/>
      <c r="GI176" s="176" t="n"/>
      <c r="GJ176" s="176" t="n"/>
      <c r="GK176" s="176" t="n"/>
      <c r="GL176" s="176" t="n"/>
      <c r="GM176" s="176" t="n"/>
      <c r="GN176" s="176" t="n"/>
      <c r="GO176" s="176" t="n"/>
      <c r="GP176" s="176" t="n"/>
      <c r="GQ176" s="176" t="n"/>
      <c r="GR176" s="176" t="n"/>
      <c r="GS176" s="176" t="n"/>
      <c r="GT176" s="176" t="n"/>
      <c r="GU176" s="176" t="n"/>
      <c r="GV176" s="176" t="n"/>
      <c r="GW176" s="176" t="n"/>
      <c r="GX176" s="176" t="n"/>
      <c r="GY176" s="176" t="n"/>
      <c r="GZ176" s="176" t="n"/>
      <c r="HA176" s="176" t="n"/>
      <c r="HB176" s="176" t="n"/>
      <c r="HC176" s="176" t="n"/>
      <c r="HD176" s="176" t="n"/>
      <c r="HE176" s="176" t="n"/>
      <c r="HF176" s="176" t="n"/>
      <c r="HG176" s="176" t="n"/>
      <c r="HH176" s="176" t="n"/>
      <c r="HI176" s="176" t="n"/>
      <c r="HJ176" s="176" t="n"/>
      <c r="HK176" s="176" t="n"/>
      <c r="HL176" s="176" t="n"/>
      <c r="HM176" s="176" t="n"/>
      <c r="HN176" s="176" t="n"/>
      <c r="HO176" s="176" t="n"/>
      <c r="HP176" s="176" t="n"/>
      <c r="HQ176" s="176" t="n"/>
      <c r="HR176" s="176" t="n"/>
      <c r="HS176" s="176" t="n"/>
      <c r="HT176" s="176" t="n"/>
      <c r="HU176" s="176" t="n"/>
      <c r="HV176" s="176" t="n"/>
      <c r="HW176" s="176" t="n"/>
      <c r="HX176" s="176" t="n"/>
      <c r="HY176" s="176" t="n"/>
      <c r="HZ176" s="176" t="n"/>
      <c r="IA176" s="176" t="n"/>
      <c r="IB176" s="176" t="n"/>
      <c r="IC176" s="176" t="n"/>
      <c r="ID176" s="176" t="n"/>
    </row>
    <row r="177" ht="18.75" customHeight="1">
      <c r="A177" s="176" t="n"/>
      <c r="B177" s="176" t="n"/>
      <c r="C177" s="176" t="n"/>
      <c r="D177" s="176" t="n"/>
      <c r="E177" s="176" t="n"/>
      <c r="F177" s="176" t="n"/>
      <c r="G177" s="176" t="n"/>
      <c r="H177" s="176" t="n"/>
      <c r="I177" s="176" t="n"/>
      <c r="J177" s="176" t="n"/>
      <c r="K177" s="176" t="n"/>
      <c r="L177" s="176" t="n"/>
      <c r="M177" s="176" t="n"/>
      <c r="N177" s="176" t="n"/>
      <c r="O177" s="176" t="n"/>
      <c r="P177" s="176" t="n"/>
      <c r="Q177" s="176" t="n"/>
      <c r="R177" s="176" t="n"/>
      <c r="S177" s="176" t="n"/>
      <c r="T177" s="193" t="n"/>
      <c r="Y177" s="194" t="n"/>
      <c r="Z177" s="176" t="n"/>
      <c r="AA177" s="176" t="n"/>
      <c r="AB177" s="193" t="n"/>
      <c r="AG177" s="194" t="n"/>
      <c r="AH177" s="176" t="n"/>
      <c r="AI177" s="176" t="n"/>
      <c r="AJ177" s="176" t="n"/>
      <c r="AK177" s="176" t="n"/>
      <c r="AL177" s="176" t="n"/>
      <c r="AM177" s="176" t="n"/>
      <c r="AN177" s="176" t="n"/>
      <c r="AO177" s="176" t="n"/>
      <c r="AP177" s="176" t="n"/>
      <c r="AQ177" s="176" t="n"/>
      <c r="AR177" s="176" t="n"/>
      <c r="AS177" s="176" t="n"/>
      <c r="AT177" s="176" t="n"/>
      <c r="AU177" s="176" t="n"/>
      <c r="AV177" s="176" t="n"/>
      <c r="AW177" s="176" t="n"/>
      <c r="AX177" s="176" t="n"/>
      <c r="AY177" s="176" t="n"/>
      <c r="AZ177" s="176" t="n"/>
      <c r="BA177" s="176" t="n"/>
      <c r="BB177" s="176" t="n"/>
      <c r="BC177" s="176" t="n"/>
      <c r="BD177" s="176" t="n"/>
      <c r="BE177" s="176" t="n"/>
      <c r="BF177" s="176" t="n"/>
      <c r="BG177" s="176" t="n"/>
      <c r="BH177" s="176" t="n"/>
      <c r="BI177" s="176" t="n"/>
      <c r="BJ177" s="176" t="n"/>
      <c r="BK177" s="176" t="n"/>
      <c r="BL177" s="176" t="n"/>
      <c r="BM177" s="176" t="n"/>
      <c r="BN177" s="176" t="n"/>
      <c r="BO177" s="176" t="n"/>
      <c r="BP177" s="176" t="n"/>
      <c r="BQ177" s="176" t="n"/>
      <c r="BR177" s="176" t="n"/>
      <c r="BS177" s="176" t="n"/>
      <c r="BT177" s="176" t="n"/>
      <c r="BU177" s="176" t="n"/>
      <c r="BV177" s="176" t="n"/>
      <c r="BW177" s="176" t="n"/>
      <c r="BX177" s="176" t="n"/>
      <c r="BY177" s="176" t="n"/>
      <c r="BZ177" s="176" t="n"/>
      <c r="CA177" s="176" t="n"/>
      <c r="CB177" s="176" t="n"/>
      <c r="CC177" s="176" t="n"/>
      <c r="CD177" s="176" t="n"/>
      <c r="CE177" s="176" t="n"/>
      <c r="CF177" s="176" t="n"/>
      <c r="CG177" s="176" t="n"/>
      <c r="CH177" s="176" t="n"/>
      <c r="CI177" s="176" t="n"/>
      <c r="CJ177" s="176" t="n"/>
      <c r="CK177" s="176" t="n"/>
      <c r="CL177" s="176" t="n"/>
      <c r="CM177" s="176" t="n"/>
      <c r="CN177" s="176" t="n"/>
      <c r="CO177" s="176" t="n"/>
      <c r="CP177" s="176" t="n"/>
      <c r="CQ177" s="176" t="n"/>
      <c r="CR177" s="176" t="n"/>
      <c r="CS177" s="176" t="n"/>
      <c r="CT177" s="176" t="n"/>
      <c r="CU177" s="176" t="n"/>
      <c r="CV177" s="176" t="n"/>
      <c r="CW177" s="176" t="n"/>
      <c r="CX177" s="176" t="n"/>
      <c r="CY177" s="176" t="n"/>
      <c r="CZ177" s="176" t="n"/>
      <c r="DA177" s="181" t="inlineStr">
        <is>
          <t>REQUISITOS E REPETIÇÃO</t>
        </is>
      </c>
      <c r="DB177" s="182" t="n"/>
      <c r="DC177" s="182" t="n"/>
      <c r="DD177" s="182" t="n"/>
      <c r="DE177" s="182" t="n"/>
      <c r="DF177" s="183" t="n"/>
      <c r="DG177" s="176" t="n"/>
      <c r="DH177" s="176" t="n"/>
      <c r="DI177" s="181" t="inlineStr">
        <is>
          <t>REQUISITOS E REPETIÇÃO</t>
        </is>
      </c>
      <c r="DJ177" s="182" t="n"/>
      <c r="DK177" s="182" t="n"/>
      <c r="DL177" s="182" t="n"/>
      <c r="DM177" s="182" t="n"/>
      <c r="DN177" s="183" t="n"/>
      <c r="DO177" s="176" t="n"/>
      <c r="DP177" s="176" t="n"/>
      <c r="DQ177" s="176" t="n"/>
      <c r="DR177" s="193" t="n"/>
      <c r="DW177" s="194" t="n"/>
      <c r="DX177" s="176" t="n"/>
      <c r="DY177" s="176" t="n"/>
      <c r="DZ177" s="193" t="n"/>
      <c r="EE177" s="194" t="n"/>
      <c r="EF177" s="176" t="n"/>
      <c r="EG177" s="176" t="n"/>
      <c r="EH177" s="176" t="n"/>
      <c r="EI177" s="176" t="n"/>
      <c r="EJ177" s="176" t="n"/>
      <c r="EK177" s="176" t="n"/>
      <c r="EL177" s="176" t="n"/>
      <c r="EM177" s="176" t="n"/>
      <c r="EN177" s="176" t="n"/>
      <c r="EO177" s="176" t="n"/>
      <c r="EP177" s="176" t="n"/>
      <c r="EQ177" s="176" t="n"/>
      <c r="ER177" s="176" t="n"/>
      <c r="ES177" s="176" t="n"/>
      <c r="ET177" s="176" t="n"/>
      <c r="EU177" s="176" t="n"/>
      <c r="EV177" s="176" t="n"/>
      <c r="EW177" s="176" t="n"/>
      <c r="EX177" s="176" t="n"/>
      <c r="EY177" s="176" t="n"/>
      <c r="EZ177" s="181" t="inlineStr">
        <is>
          <t>ÁREA · E · 6</t>
        </is>
      </c>
      <c r="FA177" s="182" t="n"/>
      <c r="FB177" s="183" t="n"/>
      <c r="FC177" s="185" t="n"/>
      <c r="FD177" s="182" t="n"/>
      <c r="FE177" s="183" t="n"/>
      <c r="FF177" s="176" t="n"/>
      <c r="FG177" s="176" t="n"/>
      <c r="FH177" s="181" t="inlineStr">
        <is>
          <t>ÁREA · E · 6</t>
        </is>
      </c>
      <c r="FI177" s="182" t="n"/>
      <c r="FJ177" s="183" t="n"/>
      <c r="FK177" s="185" t="n"/>
      <c r="FL177" s="182" t="n"/>
      <c r="FM177" s="183" t="n"/>
      <c r="FN177" s="176" t="n"/>
      <c r="FO177" s="176" t="n"/>
      <c r="FP177" s="176" t="n"/>
      <c r="FQ177" s="176" t="n"/>
      <c r="FR177" s="176" t="n"/>
      <c r="FS177" s="176" t="n"/>
      <c r="FT177" s="176" t="n"/>
      <c r="FU177" s="176" t="n"/>
      <c r="FV177" s="176" t="n"/>
      <c r="FW177" s="176" t="n"/>
      <c r="FX177" s="176" t="n"/>
      <c r="FY177" s="176" t="n"/>
      <c r="FZ177" s="176" t="n"/>
      <c r="GA177" s="176" t="n"/>
      <c r="GB177" s="176" t="n"/>
      <c r="GC177" s="176" t="n"/>
      <c r="GD177" s="176" t="n"/>
      <c r="GE177" s="176" t="n"/>
      <c r="GF177" s="176" t="n"/>
      <c r="GG177" s="176" t="n"/>
      <c r="GH177" s="176" t="n"/>
      <c r="GI177" s="176" t="n"/>
      <c r="GJ177" s="176" t="n"/>
      <c r="GK177" s="176" t="n"/>
      <c r="GL177" s="176" t="n"/>
      <c r="GM177" s="176" t="n"/>
      <c r="GN177" s="176" t="n"/>
      <c r="GO177" s="176" t="n"/>
      <c r="GP177" s="176" t="n"/>
      <c r="GQ177" s="176" t="n"/>
      <c r="GR177" s="176" t="n"/>
      <c r="GS177" s="176" t="n"/>
      <c r="GT177" s="176" t="n"/>
      <c r="GU177" s="176" t="n"/>
      <c r="GV177" s="176" t="n"/>
      <c r="GW177" s="176" t="n"/>
      <c r="GX177" s="176" t="n"/>
      <c r="GY177" s="176" t="n"/>
      <c r="GZ177" s="176" t="n"/>
      <c r="HA177" s="176" t="n"/>
      <c r="HB177" s="176" t="n"/>
      <c r="HC177" s="176" t="n"/>
      <c r="HD177" s="176" t="n"/>
      <c r="HE177" s="176" t="n"/>
      <c r="HF177" s="176" t="n"/>
      <c r="HG177" s="176" t="n"/>
      <c r="HH177" s="176" t="n"/>
      <c r="HI177" s="176" t="n"/>
      <c r="HJ177" s="176" t="n"/>
      <c r="HK177" s="176" t="n"/>
      <c r="HL177" s="176" t="n"/>
      <c r="HM177" s="176" t="n"/>
      <c r="HN177" s="176" t="n"/>
      <c r="HO177" s="176" t="n"/>
      <c r="HP177" s="180">
        <f>IF('DADOS_ENTIDADES'!$AG$12="","","⚠ "&amp;'DADOS_ENTIDADES'!$AG$12)</f>
        <v/>
      </c>
      <c r="HV177" s="176" t="n"/>
      <c r="HW177" s="176" t="n"/>
      <c r="HX177" s="180">
        <f>IF('DADOS_ENTIDADES'!$AG$13="","","⚠ "&amp;'DADOS_ENTIDADES'!$AG$13)</f>
        <v/>
      </c>
      <c r="ID177" s="176" t="n"/>
    </row>
    <row r="178" ht="18.75" customHeight="1">
      <c r="A178" s="176" t="n"/>
      <c r="B178" s="176" t="n"/>
      <c r="C178" s="176" t="n"/>
      <c r="D178" s="176" t="n"/>
      <c r="E178" s="176" t="n"/>
      <c r="F178" s="176" t="n"/>
      <c r="G178" s="176" t="n"/>
      <c r="H178" s="176" t="n"/>
      <c r="I178" s="176" t="n"/>
      <c r="J178" s="176" t="n"/>
      <c r="K178" s="176" t="n"/>
      <c r="L178" s="176" t="n"/>
      <c r="M178" s="176" t="n"/>
      <c r="N178" s="176" t="n"/>
      <c r="O178" s="176" t="n"/>
      <c r="P178" s="176" t="n"/>
      <c r="Q178" s="176" t="n"/>
      <c r="R178" s="176" t="n"/>
      <c r="S178" s="176" t="n"/>
      <c r="T178" s="193" t="n"/>
      <c r="Y178" s="194" t="n"/>
      <c r="Z178" s="176" t="n"/>
      <c r="AA178" s="176" t="n"/>
      <c r="AB178" s="193" t="n"/>
      <c r="AG178" s="194" t="n"/>
      <c r="AH178" s="176" t="n"/>
      <c r="AI178" s="176" t="n"/>
      <c r="AJ178" s="176" t="n"/>
      <c r="AK178" s="176" t="n"/>
      <c r="AL178" s="176" t="n"/>
      <c r="AM178" s="176" t="n"/>
      <c r="AN178" s="176" t="n"/>
      <c r="AO178" s="176" t="n"/>
      <c r="AP178" s="176" t="n"/>
      <c r="AQ178" s="176" t="n"/>
      <c r="AR178" s="176" t="n"/>
      <c r="AS178" s="176" t="n"/>
      <c r="AT178" s="176" t="n"/>
      <c r="AU178" s="176" t="n"/>
      <c r="AV178" s="176" t="n"/>
      <c r="AW178" s="176" t="n"/>
      <c r="AX178" s="176" t="n"/>
      <c r="AY178" s="176" t="n"/>
      <c r="AZ178" s="176" t="n"/>
      <c r="BA178" s="176" t="n"/>
      <c r="BB178" s="176" t="n"/>
      <c r="BC178" s="176" t="n"/>
      <c r="BD178" s="176" t="n"/>
      <c r="BE178" s="176" t="n"/>
      <c r="BF178" s="176" t="n"/>
      <c r="BG178" s="176" t="n"/>
      <c r="BH178" s="176" t="n"/>
      <c r="BI178" s="176" t="n"/>
      <c r="BJ178" s="176" t="n"/>
      <c r="BK178" s="176" t="n"/>
      <c r="BL178" s="176" t="n"/>
      <c r="BM178" s="176" t="n"/>
      <c r="BN178" s="176" t="n"/>
      <c r="BO178" s="176" t="n"/>
      <c r="BP178" s="176" t="n"/>
      <c r="BQ178" s="176" t="n"/>
      <c r="BR178" s="176" t="n"/>
      <c r="BS178" s="176" t="n"/>
      <c r="BT178" s="176" t="n"/>
      <c r="BU178" s="176" t="n"/>
      <c r="BV178" s="176" t="n"/>
      <c r="BW178" s="176" t="n"/>
      <c r="BX178" s="176" t="n"/>
      <c r="BY178" s="176" t="n"/>
      <c r="BZ178" s="176" t="n"/>
      <c r="CA178" s="176" t="n"/>
      <c r="CB178" s="176" t="n"/>
      <c r="CC178" s="176" t="n"/>
      <c r="CD178" s="176" t="n"/>
      <c r="CE178" s="176" t="n"/>
      <c r="CF178" s="176" t="n"/>
      <c r="CG178" s="176" t="n"/>
      <c r="CH178" s="176" t="n"/>
      <c r="CI178" s="176" t="n"/>
      <c r="CJ178" s="176" t="n"/>
      <c r="CK178" s="176" t="n"/>
      <c r="CL178" s="176" t="n"/>
      <c r="CM178" s="176" t="n"/>
      <c r="CN178" s="176" t="n"/>
      <c r="CO178" s="176" t="n"/>
      <c r="CP178" s="176" t="n"/>
      <c r="CQ178" s="176" t="n"/>
      <c r="CR178" s="176" t="n"/>
      <c r="CS178" s="176" t="n"/>
      <c r="CT178" s="176" t="n"/>
      <c r="CU178" s="176" t="n"/>
      <c r="CV178" s="176" t="n"/>
      <c r="CW178" s="176" t="n"/>
      <c r="CX178" s="176" t="n"/>
      <c r="CY178" s="176" t="n"/>
      <c r="CZ178" s="176" t="n"/>
      <c r="DA178" s="192" t="n"/>
      <c r="DB178" s="187" t="n"/>
      <c r="DC178" s="187" t="n"/>
      <c r="DD178" s="187" t="n"/>
      <c r="DE178" s="187" t="n"/>
      <c r="DF178" s="188" t="n"/>
      <c r="DG178" s="176" t="n"/>
      <c r="DH178" s="176" t="n"/>
      <c r="DI178" s="192" t="n"/>
      <c r="DJ178" s="187" t="n"/>
      <c r="DK178" s="187" t="n"/>
      <c r="DL178" s="187" t="n"/>
      <c r="DM178" s="187" t="n"/>
      <c r="DN178" s="188" t="n"/>
      <c r="DO178" s="176" t="n"/>
      <c r="DP178" s="176" t="n"/>
      <c r="DQ178" s="176" t="n"/>
      <c r="DR178" s="193" t="n"/>
      <c r="DW178" s="194" t="n"/>
      <c r="DX178" s="176" t="n"/>
      <c r="DY178" s="176" t="n"/>
      <c r="DZ178" s="193" t="n"/>
      <c r="EE178" s="194" t="n"/>
      <c r="EF178" s="176" t="n"/>
      <c r="EG178" s="176" t="n"/>
      <c r="EH178" s="176" t="n"/>
      <c r="EI178" s="176" t="n"/>
      <c r="EJ178" s="176" t="n"/>
      <c r="EK178" s="176" t="n"/>
      <c r="EL178" s="176" t="n"/>
      <c r="EM178" s="176" t="n"/>
      <c r="EN178" s="176" t="n"/>
      <c r="EO178" s="176" t="n"/>
      <c r="EP178" s="176" t="n"/>
      <c r="EQ178" s="176" t="n"/>
      <c r="ER178" s="176" t="n"/>
      <c r="ES178" s="176" t="n"/>
      <c r="ET178" s="176" t="n"/>
      <c r="EU178" s="176" t="n"/>
      <c r="EV178" s="176" t="n"/>
      <c r="EW178" s="176" t="n"/>
      <c r="EX178" s="176" t="n"/>
      <c r="EY178" s="176" t="n"/>
      <c r="EZ178" s="181" t="inlineStr">
        <is>
          <t>ÁREA · E · 7</t>
        </is>
      </c>
      <c r="FA178" s="182" t="n"/>
      <c r="FB178" s="183" t="n"/>
      <c r="FC178" s="185" t="n"/>
      <c r="FD178" s="182" t="n"/>
      <c r="FE178" s="183" t="n"/>
      <c r="FF178" s="176" t="n"/>
      <c r="FG178" s="176" t="n"/>
      <c r="FH178" s="181" t="inlineStr">
        <is>
          <t>ÁREA · E · 7</t>
        </is>
      </c>
      <c r="FI178" s="182" t="n"/>
      <c r="FJ178" s="183" t="n"/>
      <c r="FK178" s="185" t="n"/>
      <c r="FL178" s="182" t="n"/>
      <c r="FM178" s="183" t="n"/>
      <c r="FN178" s="176" t="n"/>
      <c r="FO178" s="176" t="n"/>
      <c r="FP178" s="176" t="n"/>
      <c r="FQ178" s="176" t="n"/>
      <c r="FR178" s="176" t="n"/>
      <c r="FS178" s="176" t="n"/>
      <c r="FT178" s="176" t="n"/>
      <c r="FU178" s="176" t="n"/>
      <c r="FV178" s="176" t="n"/>
      <c r="FW178" s="176" t="n"/>
      <c r="FX178" s="176" t="n"/>
      <c r="FY178" s="176" t="n"/>
      <c r="FZ178" s="176" t="n"/>
      <c r="GA178" s="176" t="n"/>
      <c r="GB178" s="176" t="n"/>
      <c r="GC178" s="176" t="n"/>
      <c r="GD178" s="176" t="n"/>
      <c r="GE178" s="176" t="n"/>
      <c r="GF178" s="176" t="n"/>
      <c r="GG178" s="176" t="n"/>
      <c r="GH178" s="176" t="n"/>
      <c r="GI178" s="176" t="n"/>
      <c r="GJ178" s="176" t="n"/>
      <c r="GK178" s="176" t="n"/>
      <c r="GL178" s="176" t="n"/>
      <c r="GM178" s="176" t="n"/>
      <c r="GN178" s="176" t="n"/>
      <c r="GO178" s="176" t="n"/>
      <c r="GP178" s="176" t="n"/>
      <c r="GQ178" s="176" t="n"/>
      <c r="GR178" s="176" t="n"/>
      <c r="GS178" s="176" t="n"/>
      <c r="GT178" s="176" t="n"/>
      <c r="GU178" s="176" t="n"/>
      <c r="GV178" s="176" t="n"/>
      <c r="GW178" s="176" t="n"/>
      <c r="GX178" s="176" t="n"/>
      <c r="GY178" s="176" t="n"/>
      <c r="GZ178" s="176" t="n"/>
      <c r="HA178" s="176" t="n"/>
      <c r="HB178" s="176" t="n"/>
      <c r="HC178" s="176" t="n"/>
      <c r="HD178" s="176" t="n"/>
      <c r="HE178" s="176" t="n"/>
      <c r="HF178" s="176" t="n"/>
      <c r="HG178" s="176" t="n"/>
      <c r="HH178" s="176" t="n"/>
      <c r="HI178" s="176" t="n"/>
      <c r="HJ178" s="176" t="n"/>
      <c r="HK178" s="176" t="n"/>
      <c r="HL178" s="176" t="n"/>
      <c r="HM178" s="176" t="n"/>
      <c r="HN178" s="176" t="n"/>
      <c r="HO178" s="176" t="n"/>
      <c r="HV178" s="176" t="n"/>
      <c r="HW178" s="176" t="n"/>
      <c r="ID178" s="176" t="n"/>
    </row>
    <row r="179" ht="18.75" customHeight="1">
      <c r="A179" s="176" t="n"/>
      <c r="B179" s="176" t="n"/>
      <c r="C179" s="176" t="n"/>
      <c r="D179" s="176" t="n"/>
      <c r="E179" s="176" t="n"/>
      <c r="F179" s="176" t="n"/>
      <c r="G179" s="176" t="n"/>
      <c r="H179" s="176" t="n"/>
      <c r="I179" s="176" t="n"/>
      <c r="J179" s="176" t="n"/>
      <c r="K179" s="176" t="n"/>
      <c r="L179" s="176" t="n"/>
      <c r="M179" s="176" t="n"/>
      <c r="N179" s="176" t="n"/>
      <c r="O179" s="176" t="n"/>
      <c r="P179" s="176" t="n"/>
      <c r="Q179" s="176" t="n"/>
      <c r="R179" s="176" t="n"/>
      <c r="S179" s="176" t="n"/>
      <c r="T179" s="193" t="n"/>
      <c r="Y179" s="194" t="n"/>
      <c r="Z179" s="176" t="n"/>
      <c r="AA179" s="176" t="n"/>
      <c r="AB179" s="193" t="n"/>
      <c r="AG179" s="194" t="n"/>
      <c r="AH179" s="176" t="n"/>
      <c r="AI179" s="176" t="n"/>
      <c r="AJ179" s="176" t="n"/>
      <c r="AK179" s="176" t="n"/>
      <c r="AL179" s="176" t="n"/>
      <c r="AM179" s="176" t="n"/>
      <c r="AN179" s="176" t="n"/>
      <c r="AO179" s="176" t="n"/>
      <c r="AP179" s="176" t="n"/>
      <c r="AQ179" s="176" t="n"/>
      <c r="AR179" s="176" t="n"/>
      <c r="AS179" s="176" t="n"/>
      <c r="AT179" s="176" t="n"/>
      <c r="AU179" s="176" t="n"/>
      <c r="AV179" s="176" t="n"/>
      <c r="AW179" s="176" t="n"/>
      <c r="AX179" s="176" t="n"/>
      <c r="AY179" s="176" t="n"/>
      <c r="AZ179" s="176" t="n"/>
      <c r="BA179" s="176" t="n"/>
      <c r="BB179" s="176" t="n"/>
      <c r="BC179" s="176" t="n"/>
      <c r="BD179" s="176" t="n"/>
      <c r="BE179" s="176" t="n"/>
      <c r="BF179" s="176" t="n"/>
      <c r="BG179" s="176" t="n"/>
      <c r="BH179" s="176" t="n"/>
      <c r="BI179" s="176" t="n"/>
      <c r="BJ179" s="176" t="n"/>
      <c r="BK179" s="176" t="n"/>
      <c r="BL179" s="176" t="n"/>
      <c r="BM179" s="176" t="n"/>
      <c r="BN179" s="176" t="n"/>
      <c r="BO179" s="176" t="n"/>
      <c r="BP179" s="176" t="n"/>
      <c r="BQ179" s="176" t="n"/>
      <c r="BR179" s="176" t="n"/>
      <c r="BS179" s="176" t="n"/>
      <c r="BT179" s="176" t="n"/>
      <c r="BU179" s="176" t="n"/>
      <c r="BV179" s="176" t="n"/>
      <c r="BW179" s="176" t="n"/>
      <c r="BX179" s="176" t="n"/>
      <c r="BY179" s="176" t="n"/>
      <c r="BZ179" s="176" t="n"/>
      <c r="CA179" s="176" t="n"/>
      <c r="CB179" s="176" t="n"/>
      <c r="CC179" s="176" t="n"/>
      <c r="CD179" s="176" t="n"/>
      <c r="CE179" s="176" t="n"/>
      <c r="CF179" s="176" t="n"/>
      <c r="CG179" s="176" t="n"/>
      <c r="CH179" s="176" t="n"/>
      <c r="CI179" s="176" t="n"/>
      <c r="CJ179" s="176" t="n"/>
      <c r="CK179" s="176" t="n"/>
      <c r="CL179" s="176" t="n"/>
      <c r="CM179" s="176" t="n"/>
      <c r="CN179" s="176" t="n"/>
      <c r="CO179" s="176" t="n"/>
      <c r="CP179" s="176" t="n"/>
      <c r="CQ179" s="176" t="n"/>
      <c r="CR179" s="176" t="n"/>
      <c r="CS179" s="176" t="n"/>
      <c r="CT179" s="176" t="n"/>
      <c r="CU179" s="176" t="n"/>
      <c r="CV179" s="176" t="n"/>
      <c r="CW179" s="176" t="n"/>
      <c r="CX179" s="176" t="n"/>
      <c r="CY179" s="176" t="n"/>
      <c r="CZ179" s="176" t="n"/>
      <c r="DA179" s="193" t="n"/>
      <c r="DF179" s="194" t="n"/>
      <c r="DG179" s="176" t="n"/>
      <c r="DH179" s="176" t="n"/>
      <c r="DI179" s="193" t="n"/>
      <c r="DN179" s="194" t="n"/>
      <c r="DO179" s="176" t="n"/>
      <c r="DP179" s="176" t="n"/>
      <c r="DQ179" s="176" t="n"/>
      <c r="DR179" s="193" t="n"/>
      <c r="DW179" s="194" t="n"/>
      <c r="DX179" s="176" t="n"/>
      <c r="DY179" s="176" t="n"/>
      <c r="DZ179" s="193" t="n"/>
      <c r="EE179" s="194" t="n"/>
      <c r="EF179" s="176" t="n"/>
      <c r="EG179" s="176" t="n"/>
      <c r="EH179" s="176" t="n"/>
      <c r="EI179" s="176" t="n"/>
      <c r="EJ179" s="176" t="n"/>
      <c r="EK179" s="176" t="n"/>
      <c r="EL179" s="176" t="n"/>
      <c r="EM179" s="176" t="n"/>
      <c r="EN179" s="176" t="n"/>
      <c r="EO179" s="176" t="n"/>
      <c r="EP179" s="176" t="n"/>
      <c r="EQ179" s="176" t="n"/>
      <c r="ER179" s="176" t="n"/>
      <c r="ES179" s="176" t="n"/>
      <c r="ET179" s="176" t="n"/>
      <c r="EU179" s="176" t="n"/>
      <c r="EV179" s="176" t="n"/>
      <c r="EW179" s="176" t="n"/>
      <c r="EX179" s="176" t="n"/>
      <c r="EY179" s="176" t="n"/>
      <c r="EZ179" s="176" t="n"/>
      <c r="FA179" s="176" t="n"/>
      <c r="FB179" s="176" t="n"/>
      <c r="FC179" s="176" t="n"/>
      <c r="FD179" s="176" t="n"/>
      <c r="FE179" s="176" t="n"/>
      <c r="FF179" s="176" t="n"/>
      <c r="FG179" s="176" t="n"/>
      <c r="FH179" s="176" t="n"/>
      <c r="FI179" s="176" t="n"/>
      <c r="FJ179" s="176" t="n"/>
      <c r="FK179" s="176" t="n"/>
      <c r="FL179" s="176" t="n"/>
      <c r="FM179" s="176" t="n"/>
      <c r="FN179" s="176" t="n"/>
      <c r="FO179" s="176" t="n"/>
      <c r="FP179" s="176" t="n"/>
      <c r="FQ179" s="176" t="n"/>
      <c r="FR179" s="176" t="n"/>
      <c r="FS179" s="176" t="n"/>
      <c r="FT179" s="176" t="n"/>
      <c r="FU179" s="176" t="n"/>
      <c r="FV179" s="176" t="n"/>
      <c r="FW179" s="176" t="n"/>
      <c r="FX179" s="176" t="n"/>
      <c r="FY179" s="176" t="n"/>
      <c r="FZ179" s="176" t="n"/>
      <c r="GA179" s="176" t="n"/>
      <c r="GB179" s="176" t="n"/>
      <c r="GC179" s="176" t="n"/>
      <c r="GD179" s="176" t="n"/>
      <c r="GE179" s="176" t="n"/>
      <c r="GF179" s="176" t="n"/>
      <c r="GG179" s="176" t="n"/>
      <c r="GH179" s="176" t="n"/>
      <c r="GI179" s="176" t="n"/>
      <c r="GJ179" s="176" t="n"/>
      <c r="GK179" s="176" t="n"/>
      <c r="GL179" s="176" t="n"/>
      <c r="GM179" s="176" t="n"/>
      <c r="GN179" s="176" t="n"/>
      <c r="GO179" s="176" t="n"/>
      <c r="GP179" s="176" t="n"/>
      <c r="GQ179" s="176" t="n"/>
      <c r="GR179" s="176" t="n"/>
      <c r="GS179" s="176" t="n"/>
      <c r="GT179" s="176" t="n"/>
      <c r="GU179" s="176" t="n"/>
      <c r="GV179" s="176" t="n"/>
      <c r="GW179" s="176" t="n"/>
      <c r="GX179" s="176" t="n"/>
      <c r="GY179" s="176" t="n"/>
      <c r="GZ179" s="176" t="n"/>
      <c r="HA179" s="176" t="n"/>
      <c r="HB179" s="176" t="n"/>
      <c r="HC179" s="176" t="n"/>
      <c r="HD179" s="176" t="n"/>
      <c r="HE179" s="176" t="n"/>
      <c r="HF179" s="176" t="n"/>
      <c r="HG179" s="176" t="n"/>
      <c r="HH179" s="176" t="n"/>
      <c r="HI179" s="176" t="n"/>
      <c r="HJ179" s="176" t="n"/>
      <c r="HK179" s="176" t="n"/>
      <c r="HL179" s="176" t="n"/>
      <c r="HM179" s="176" t="n"/>
      <c r="HN179" s="176" t="n"/>
      <c r="HO179" s="176" t="n"/>
      <c r="HP179" s="179" t="inlineStr">
        <is>
          <t>TALENTO · ENTIDADE · 13</t>
        </is>
      </c>
      <c r="HV179" s="176" t="n"/>
      <c r="HW179" s="176" t="n"/>
      <c r="HX179" s="179" t="inlineStr">
        <is>
          <t>TALENTO · ENTIDADE · 14</t>
        </is>
      </c>
      <c r="ID179" s="176" t="n"/>
    </row>
    <row r="180" ht="18.75" customHeight="1">
      <c r="A180" s="176" t="n"/>
      <c r="B180" s="176" t="n"/>
      <c r="C180" s="176" t="n"/>
      <c r="D180" s="176" t="n"/>
      <c r="E180" s="176" t="n"/>
      <c r="F180" s="176" t="n"/>
      <c r="G180" s="176" t="n"/>
      <c r="H180" s="176" t="n"/>
      <c r="I180" s="176" t="n"/>
      <c r="J180" s="176" t="n"/>
      <c r="K180" s="176" t="n"/>
      <c r="L180" s="176" t="n"/>
      <c r="M180" s="176" t="n"/>
      <c r="N180" s="176" t="n"/>
      <c r="O180" s="176" t="n"/>
      <c r="P180" s="176" t="n"/>
      <c r="Q180" s="176" t="n"/>
      <c r="R180" s="176" t="n"/>
      <c r="S180" s="176" t="n"/>
      <c r="T180" s="189" t="n"/>
      <c r="U180" s="190" t="n"/>
      <c r="V180" s="190" t="n"/>
      <c r="W180" s="190" t="n"/>
      <c r="X180" s="190" t="n"/>
      <c r="Y180" s="191" t="n"/>
      <c r="Z180" s="176" t="n"/>
      <c r="AA180" s="176" t="n"/>
      <c r="AB180" s="189" t="n"/>
      <c r="AC180" s="190" t="n"/>
      <c r="AD180" s="190" t="n"/>
      <c r="AE180" s="190" t="n"/>
      <c r="AF180" s="190" t="n"/>
      <c r="AG180" s="191" t="n"/>
      <c r="AH180" s="176" t="n"/>
      <c r="AI180" s="176" t="n"/>
      <c r="AJ180" s="176" t="n"/>
      <c r="AK180" s="176" t="n"/>
      <c r="AL180" s="176" t="n"/>
      <c r="AM180" s="176" t="n"/>
      <c r="AN180" s="176" t="n"/>
      <c r="AO180" s="176" t="n"/>
      <c r="AP180" s="176" t="n"/>
      <c r="AQ180" s="176" t="n"/>
      <c r="AR180" s="176" t="n"/>
      <c r="AS180" s="176" t="n"/>
      <c r="AT180" s="176" t="n"/>
      <c r="AU180" s="176" t="n"/>
      <c r="AV180" s="176" t="n"/>
      <c r="AW180" s="176" t="n"/>
      <c r="AX180" s="176" t="n"/>
      <c r="AY180" s="176" t="n"/>
      <c r="AZ180" s="176" t="n"/>
      <c r="BA180" s="176" t="n"/>
      <c r="BB180" s="176" t="n"/>
      <c r="BC180" s="176" t="n"/>
      <c r="BD180" s="176" t="n"/>
      <c r="BE180" s="176" t="n"/>
      <c r="BF180" s="176" t="n"/>
      <c r="BG180" s="176" t="n"/>
      <c r="BH180" s="176" t="n"/>
      <c r="BI180" s="176" t="n"/>
      <c r="BJ180" s="176" t="n"/>
      <c r="BK180" s="176" t="n"/>
      <c r="BL180" s="176" t="n"/>
      <c r="BM180" s="176" t="n"/>
      <c r="BN180" s="176" t="n"/>
      <c r="BO180" s="176" t="n"/>
      <c r="BP180" s="176" t="n"/>
      <c r="BQ180" s="176" t="n"/>
      <c r="BR180" s="176" t="n"/>
      <c r="BS180" s="176" t="n"/>
      <c r="BT180" s="176" t="n"/>
      <c r="BU180" s="176" t="n"/>
      <c r="BV180" s="176" t="n"/>
      <c r="BW180" s="176" t="n"/>
      <c r="BX180" s="176" t="n"/>
      <c r="BY180" s="176" t="n"/>
      <c r="BZ180" s="176" t="n"/>
      <c r="CA180" s="176" t="n"/>
      <c r="CB180" s="176" t="n"/>
      <c r="CC180" s="176" t="n"/>
      <c r="CD180" s="176" t="n"/>
      <c r="CE180" s="176" t="n"/>
      <c r="CF180" s="176" t="n"/>
      <c r="CG180" s="176" t="n"/>
      <c r="CH180" s="176" t="n"/>
      <c r="CI180" s="176" t="n"/>
      <c r="CJ180" s="176" t="n"/>
      <c r="CK180" s="176" t="n"/>
      <c r="CL180" s="176" t="n"/>
      <c r="CM180" s="176" t="n"/>
      <c r="CN180" s="176" t="n"/>
      <c r="CO180" s="176" t="n"/>
      <c r="CP180" s="176" t="n"/>
      <c r="CQ180" s="176" t="n"/>
      <c r="CR180" s="176" t="n"/>
      <c r="CS180" s="176" t="n"/>
      <c r="CT180" s="176" t="n"/>
      <c r="CU180" s="176" t="n"/>
      <c r="CV180" s="176" t="n"/>
      <c r="CW180" s="176" t="n"/>
      <c r="CX180" s="176" t="n"/>
      <c r="CY180" s="176" t="n"/>
      <c r="CZ180" s="176" t="n"/>
      <c r="DA180" s="193" t="n"/>
      <c r="DF180" s="194" t="n"/>
      <c r="DG180" s="176" t="n"/>
      <c r="DH180" s="176" t="n"/>
      <c r="DI180" s="193" t="n"/>
      <c r="DN180" s="194" t="n"/>
      <c r="DO180" s="176" t="n"/>
      <c r="DP180" s="176" t="n"/>
      <c r="DQ180" s="176" t="n"/>
      <c r="DR180" s="193" t="n"/>
      <c r="DW180" s="194" t="n"/>
      <c r="DX180" s="176" t="n"/>
      <c r="DY180" s="176" t="n"/>
      <c r="DZ180" s="193" t="n"/>
      <c r="EE180" s="194" t="n"/>
      <c r="EF180" s="176" t="n"/>
      <c r="EG180" s="176" t="n"/>
      <c r="EH180" s="176" t="n"/>
      <c r="EI180" s="176" t="n"/>
      <c r="EJ180" s="176" t="n"/>
      <c r="EK180" s="176" t="n"/>
      <c r="EL180" s="176" t="n"/>
      <c r="EM180" s="176" t="n"/>
      <c r="EN180" s="176" t="n"/>
      <c r="EO180" s="176" t="n"/>
      <c r="EP180" s="176" t="n"/>
      <c r="EQ180" s="176" t="n"/>
      <c r="ER180" s="176" t="n"/>
      <c r="ES180" s="176" t="n"/>
      <c r="ET180" s="176" t="n"/>
      <c r="EU180" s="176" t="n"/>
      <c r="EV180" s="176" t="n"/>
      <c r="EW180" s="176" t="n"/>
      <c r="EX180" s="176" t="n"/>
      <c r="EY180" s="176" t="n"/>
      <c r="EZ180" s="181" t="inlineStr">
        <is>
          <t>REQUISITOS</t>
        </is>
      </c>
      <c r="FA180" s="182" t="n"/>
      <c r="FB180" s="182" t="n"/>
      <c r="FC180" s="182" t="n"/>
      <c r="FD180" s="182" t="n"/>
      <c r="FE180" s="183" t="n"/>
      <c r="FF180" s="176" t="n"/>
      <c r="FG180" s="176" t="n"/>
      <c r="FH180" s="181" t="inlineStr">
        <is>
          <t>REQUISITOS</t>
        </is>
      </c>
      <c r="FI180" s="182" t="n"/>
      <c r="FJ180" s="182" t="n"/>
      <c r="FK180" s="182" t="n"/>
      <c r="FL180" s="182" t="n"/>
      <c r="FM180" s="183" t="n"/>
      <c r="FN180" s="176" t="n"/>
      <c r="FO180" s="176" t="n"/>
      <c r="FP180" s="176" t="n"/>
      <c r="FQ180" s="176" t="n"/>
      <c r="FR180" s="176" t="n"/>
      <c r="FS180" s="176" t="n"/>
      <c r="FT180" s="176" t="n"/>
      <c r="FU180" s="176" t="n"/>
      <c r="FV180" s="176" t="n"/>
      <c r="FW180" s="176" t="n"/>
      <c r="FX180" s="176" t="n"/>
      <c r="FY180" s="176" t="n"/>
      <c r="FZ180" s="176" t="n"/>
      <c r="GA180" s="176" t="n"/>
      <c r="GB180" s="176" t="n"/>
      <c r="GC180" s="176" t="n"/>
      <c r="GD180" s="176" t="n"/>
      <c r="GE180" s="176" t="n"/>
      <c r="GF180" s="176" t="n"/>
      <c r="GG180" s="176" t="n"/>
      <c r="GH180" s="176" t="n"/>
      <c r="GI180" s="176" t="n"/>
      <c r="GJ180" s="176" t="n"/>
      <c r="GK180" s="176" t="n"/>
      <c r="GL180" s="176" t="n"/>
      <c r="GM180" s="176" t="n"/>
      <c r="GN180" s="176" t="n"/>
      <c r="GO180" s="176" t="n"/>
      <c r="GP180" s="176" t="n"/>
      <c r="GQ180" s="176" t="n"/>
      <c r="GR180" s="176" t="n"/>
      <c r="GS180" s="176" t="n"/>
      <c r="GT180" s="176" t="n"/>
      <c r="GU180" s="176" t="n"/>
      <c r="GV180" s="176" t="n"/>
      <c r="GW180" s="176" t="n"/>
      <c r="GX180" s="176" t="n"/>
      <c r="GY180" s="176" t="n"/>
      <c r="GZ180" s="176" t="n"/>
      <c r="HA180" s="176" t="n"/>
      <c r="HB180" s="176" t="n"/>
      <c r="HC180" s="176" t="n"/>
      <c r="HD180" s="176" t="n"/>
      <c r="HE180" s="176" t="n"/>
      <c r="HF180" s="176" t="n"/>
      <c r="HG180" s="176" t="n"/>
      <c r="HH180" s="176" t="n"/>
      <c r="HI180" s="176" t="n"/>
      <c r="HJ180" s="176" t="n"/>
      <c r="HK180" s="176" t="n"/>
      <c r="HL180" s="176" t="n"/>
      <c r="HM180" s="176" t="n"/>
      <c r="HN180" s="176" t="n"/>
      <c r="HO180" s="176" t="n"/>
      <c r="HP180" s="181" t="inlineStr">
        <is>
          <t>NOME</t>
        </is>
      </c>
      <c r="HQ180" s="182" t="n"/>
      <c r="HR180" s="182" t="n"/>
      <c r="HS180" s="183" t="n"/>
      <c r="HT180" s="181" t="inlineStr">
        <is>
          <t>MESTRE VIU</t>
        </is>
      </c>
      <c r="HU180" s="183" t="n"/>
      <c r="HV180" s="176" t="n"/>
      <c r="HW180" s="176" t="n"/>
      <c r="HX180" s="181" t="inlineStr">
        <is>
          <t>NOME</t>
        </is>
      </c>
      <c r="HY180" s="182" t="n"/>
      <c r="HZ180" s="182" t="n"/>
      <c r="IA180" s="183" t="n"/>
      <c r="IB180" s="181" t="inlineStr">
        <is>
          <t>MESTRE VIU</t>
        </is>
      </c>
      <c r="IC180" s="183" t="n"/>
      <c r="ID180" s="176" t="n"/>
    </row>
    <row r="181" ht="18.75" customHeight="1">
      <c r="A181" s="176" t="n"/>
      <c r="B181" s="176" t="n"/>
      <c r="C181" s="176" t="n"/>
      <c r="D181" s="176" t="n"/>
      <c r="E181" s="176" t="n"/>
      <c r="F181" s="176" t="n"/>
      <c r="G181" s="176" t="n"/>
      <c r="H181" s="176" t="n"/>
      <c r="I181" s="176" t="n"/>
      <c r="J181" s="176" t="n"/>
      <c r="K181" s="176" t="n"/>
      <c r="L181" s="176" t="n"/>
      <c r="M181" s="176" t="n"/>
      <c r="N181" s="176" t="n"/>
      <c r="O181" s="176" t="n"/>
      <c r="P181" s="176" t="n"/>
      <c r="Q181" s="176" t="n"/>
      <c r="R181" s="176" t="n"/>
      <c r="S181" s="176" t="n"/>
      <c r="T181" s="180">
        <f>IF('DADOS_CUSTOM'!$S$12="","Revise os valores ao trocar o tipo.","⚠ "&amp;'DADOS_CUSTOM'!$S$12)</f>
        <v/>
      </c>
      <c r="Z181" s="176" t="n"/>
      <c r="AA181" s="176" t="n"/>
      <c r="AB181" s="180">
        <f>IF('DADOS_CUSTOM'!$S$13="","Revise os valores ao trocar o tipo.","⚠ "&amp;'DADOS_CUSTOM'!$S$13)</f>
        <v/>
      </c>
      <c r="AH181" s="176" t="n"/>
      <c r="AI181" s="176" t="n"/>
      <c r="AJ181" s="176" t="n"/>
      <c r="AK181" s="176" t="n"/>
      <c r="AL181" s="176" t="n"/>
      <c r="AM181" s="176" t="n"/>
      <c r="AN181" s="176" t="n"/>
      <c r="AO181" s="176" t="n"/>
      <c r="AP181" s="176" t="n"/>
      <c r="AQ181" s="176" t="n"/>
      <c r="AR181" s="176" t="n"/>
      <c r="AS181" s="176" t="n"/>
      <c r="AT181" s="176" t="n"/>
      <c r="AU181" s="176" t="n"/>
      <c r="AV181" s="176" t="n"/>
      <c r="AW181" s="176" t="n"/>
      <c r="AX181" s="176" t="n"/>
      <c r="AY181" s="176" t="n"/>
      <c r="AZ181" s="176" t="n"/>
      <c r="BA181" s="176" t="n"/>
      <c r="BB181" s="176" t="n"/>
      <c r="BC181" s="176" t="n"/>
      <c r="BD181" s="176" t="n"/>
      <c r="BE181" s="176" t="n"/>
      <c r="BF181" s="176" t="n"/>
      <c r="BG181" s="176" t="n"/>
      <c r="BH181" s="176" t="n"/>
      <c r="BI181" s="176" t="n"/>
      <c r="BJ181" s="176" t="n"/>
      <c r="BK181" s="176" t="n"/>
      <c r="BL181" s="176" t="n"/>
      <c r="BM181" s="176" t="n"/>
      <c r="BN181" s="176" t="n"/>
      <c r="BO181" s="176" t="n"/>
      <c r="BP181" s="176" t="n"/>
      <c r="BQ181" s="176" t="n"/>
      <c r="BR181" s="176" t="n"/>
      <c r="BS181" s="176" t="n"/>
      <c r="BT181" s="176" t="n"/>
      <c r="BU181" s="176" t="n"/>
      <c r="BV181" s="176" t="n"/>
      <c r="BW181" s="176" t="n"/>
      <c r="BX181" s="176" t="n"/>
      <c r="BY181" s="176" t="n"/>
      <c r="BZ181" s="176" t="n"/>
      <c r="CA181" s="176" t="n"/>
      <c r="CB181" s="176" t="n"/>
      <c r="CC181" s="176" t="n"/>
      <c r="CD181" s="176" t="n"/>
      <c r="CE181" s="176" t="n"/>
      <c r="CF181" s="176" t="n"/>
      <c r="CG181" s="176" t="n"/>
      <c r="CH181" s="176" t="n"/>
      <c r="CI181" s="176" t="n"/>
      <c r="CJ181" s="176" t="n"/>
      <c r="CK181" s="176" t="n"/>
      <c r="CL181" s="176" t="n"/>
      <c r="CM181" s="176" t="n"/>
      <c r="CN181" s="176" t="n"/>
      <c r="CO181" s="176" t="n"/>
      <c r="CP181" s="176" t="n"/>
      <c r="CQ181" s="176" t="n"/>
      <c r="CR181" s="176" t="n"/>
      <c r="CS181" s="176" t="n"/>
      <c r="CT181" s="176" t="n"/>
      <c r="CU181" s="176" t="n"/>
      <c r="CV181" s="176" t="n"/>
      <c r="CW181" s="176" t="n"/>
      <c r="CX181" s="176" t="n"/>
      <c r="CY181" s="176" t="n"/>
      <c r="CZ181" s="176" t="n"/>
      <c r="DA181" s="189" t="n"/>
      <c r="DB181" s="190" t="n"/>
      <c r="DC181" s="190" t="n"/>
      <c r="DD181" s="190" t="n"/>
      <c r="DE181" s="190" t="n"/>
      <c r="DF181" s="191" t="n"/>
      <c r="DG181" s="176" t="n"/>
      <c r="DH181" s="176" t="n"/>
      <c r="DI181" s="189" t="n"/>
      <c r="DJ181" s="190" t="n"/>
      <c r="DK181" s="190" t="n"/>
      <c r="DL181" s="190" t="n"/>
      <c r="DM181" s="190" t="n"/>
      <c r="DN181" s="191" t="n"/>
      <c r="DO181" s="176" t="n"/>
      <c r="DP181" s="176" t="n"/>
      <c r="DQ181" s="176" t="n"/>
      <c r="DR181" s="189" t="n"/>
      <c r="DS181" s="190" t="n"/>
      <c r="DT181" s="190" t="n"/>
      <c r="DU181" s="190" t="n"/>
      <c r="DV181" s="190" t="n"/>
      <c r="DW181" s="191" t="n"/>
      <c r="DX181" s="176" t="n"/>
      <c r="DY181" s="176" t="n"/>
      <c r="DZ181" s="189" t="n"/>
      <c r="EA181" s="190" t="n"/>
      <c r="EB181" s="190" t="n"/>
      <c r="EC181" s="190" t="n"/>
      <c r="ED181" s="190" t="n"/>
      <c r="EE181" s="191" t="n"/>
      <c r="EF181" s="176" t="n"/>
      <c r="EG181" s="176" t="n"/>
      <c r="EH181" s="176" t="n"/>
      <c r="EI181" s="176" t="n"/>
      <c r="EJ181" s="176" t="n"/>
      <c r="EK181" s="176" t="n"/>
      <c r="EL181" s="176" t="n"/>
      <c r="EM181" s="176" t="n"/>
      <c r="EN181" s="176" t="n"/>
      <c r="EO181" s="176" t="n"/>
      <c r="EP181" s="176" t="n"/>
      <c r="EQ181" s="176" t="n"/>
      <c r="ER181" s="176" t="n"/>
      <c r="ES181" s="176" t="n"/>
      <c r="ET181" s="176" t="n"/>
      <c r="EU181" s="176" t="n"/>
      <c r="EV181" s="176" t="n"/>
      <c r="EW181" s="176" t="n"/>
      <c r="EX181" s="176" t="n"/>
      <c r="EY181" s="176" t="n"/>
      <c r="EZ181" s="192" t="n"/>
      <c r="FA181" s="187" t="n"/>
      <c r="FB181" s="187" t="n"/>
      <c r="FC181" s="187" t="n"/>
      <c r="FD181" s="187" t="n"/>
      <c r="FE181" s="188" t="n"/>
      <c r="FF181" s="176" t="n"/>
      <c r="FG181" s="176" t="n"/>
      <c r="FH181" s="192" t="n"/>
      <c r="FI181" s="187" t="n"/>
      <c r="FJ181" s="187" t="n"/>
      <c r="FK181" s="187" t="n"/>
      <c r="FL181" s="187" t="n"/>
      <c r="FM181" s="188" t="n"/>
      <c r="FN181" s="176" t="n"/>
      <c r="FO181" s="176" t="n"/>
      <c r="FP181" s="176" t="n"/>
      <c r="FQ181" s="176" t="n"/>
      <c r="FR181" s="176" t="n"/>
      <c r="FS181" s="176" t="n"/>
      <c r="FT181" s="176" t="n"/>
      <c r="FU181" s="176" t="n"/>
      <c r="FV181" s="176" t="n"/>
      <c r="FW181" s="176" t="n"/>
      <c r="FX181" s="176" t="n"/>
      <c r="FY181" s="176" t="n"/>
      <c r="FZ181" s="176" t="n"/>
      <c r="GA181" s="176" t="n"/>
      <c r="GB181" s="176" t="n"/>
      <c r="GC181" s="176" t="n"/>
      <c r="GD181" s="176" t="n"/>
      <c r="GE181" s="176" t="n"/>
      <c r="GF181" s="176" t="n"/>
      <c r="GG181" s="176" t="n"/>
      <c r="GH181" s="176" t="n"/>
      <c r="GI181" s="176" t="n"/>
      <c r="GJ181" s="176" t="n"/>
      <c r="GK181" s="176" t="n"/>
      <c r="GL181" s="176" t="n"/>
      <c r="GM181" s="176" t="n"/>
      <c r="GN181" s="176" t="n"/>
      <c r="GO181" s="176" t="n"/>
      <c r="GP181" s="176" t="n"/>
      <c r="GQ181" s="176" t="n"/>
      <c r="GR181" s="176" t="n"/>
      <c r="GS181" s="176" t="n"/>
      <c r="GT181" s="176" t="n"/>
      <c r="GU181" s="176" t="n"/>
      <c r="GV181" s="176" t="n"/>
      <c r="GW181" s="176" t="n"/>
      <c r="GX181" s="176" t="n"/>
      <c r="GY181" s="176" t="n"/>
      <c r="GZ181" s="176" t="n"/>
      <c r="HA181" s="176" t="n"/>
      <c r="HB181" s="176" t="n"/>
      <c r="HC181" s="176" t="n"/>
      <c r="HD181" s="176" t="n"/>
      <c r="HE181" s="176" t="n"/>
      <c r="HF181" s="176" t="n"/>
      <c r="HG181" s="176" t="n"/>
      <c r="HH181" s="176" t="n"/>
      <c r="HI181" s="176" t="n"/>
      <c r="HJ181" s="176" t="n"/>
      <c r="HK181" s="176" t="n"/>
      <c r="HL181" s="176" t="n"/>
      <c r="HM181" s="176" t="n"/>
      <c r="HN181" s="176" t="n"/>
      <c r="HO181" s="176" t="n"/>
      <c r="HP181" s="185" t="n"/>
      <c r="HQ181" s="182" t="n"/>
      <c r="HR181" s="182" t="n"/>
      <c r="HS181" s="183" t="n"/>
      <c r="HT181" s="184" t="b">
        <v>0</v>
      </c>
      <c r="HU181" s="183" t="n"/>
      <c r="HV181" s="176" t="n"/>
      <c r="HW181" s="176" t="n"/>
      <c r="HX181" s="185" t="n"/>
      <c r="HY181" s="182" t="n"/>
      <c r="HZ181" s="182" t="n"/>
      <c r="IA181" s="183" t="n"/>
      <c r="IB181" s="184" t="b">
        <v>0</v>
      </c>
      <c r="IC181" s="183" t="n"/>
      <c r="ID181" s="176" t="n"/>
    </row>
    <row r="182" ht="18.75" customHeight="1">
      <c r="A182" s="176" t="n"/>
      <c r="B182" s="176" t="n"/>
      <c r="C182" s="176" t="n"/>
      <c r="D182" s="176" t="n"/>
      <c r="E182" s="176" t="n"/>
      <c r="F182" s="176" t="n"/>
      <c r="G182" s="176" t="n"/>
      <c r="H182" s="176" t="n"/>
      <c r="I182" s="176" t="n"/>
      <c r="J182" s="176" t="n"/>
      <c r="K182" s="176" t="n"/>
      <c r="L182" s="176" t="n"/>
      <c r="M182" s="176" t="n"/>
      <c r="N182" s="176" t="n"/>
      <c r="O182" s="176" t="n"/>
      <c r="P182" s="176" t="n"/>
      <c r="Q182" s="176" t="n"/>
      <c r="R182" s="176" t="n"/>
      <c r="S182" s="176" t="n"/>
      <c r="Z182" s="176" t="n"/>
      <c r="AA182" s="176" t="n"/>
      <c r="AH182" s="176" t="n"/>
      <c r="AI182" s="176" t="n"/>
      <c r="AJ182" s="176" t="n"/>
      <c r="AK182" s="176" t="n"/>
      <c r="AL182" s="176" t="n"/>
      <c r="AM182" s="176" t="n"/>
      <c r="AN182" s="176" t="n"/>
      <c r="AO182" s="176" t="n"/>
      <c r="AP182" s="176" t="n"/>
      <c r="AQ182" s="176" t="n"/>
      <c r="AR182" s="176" t="n"/>
      <c r="AS182" s="176" t="n"/>
      <c r="AT182" s="176" t="n"/>
      <c r="AU182" s="176" t="n"/>
      <c r="AV182" s="176" t="n"/>
      <c r="AW182" s="176" t="n"/>
      <c r="AX182" s="176" t="n"/>
      <c r="AY182" s="176" t="n"/>
      <c r="AZ182" s="176" t="n"/>
      <c r="BA182" s="176" t="n"/>
      <c r="BB182" s="176" t="n"/>
      <c r="BC182" s="176" t="n"/>
      <c r="BD182" s="176" t="n"/>
      <c r="BE182" s="176" t="n"/>
      <c r="BF182" s="176" t="n"/>
      <c r="BG182" s="176" t="n"/>
      <c r="BH182" s="176" t="n"/>
      <c r="BI182" s="176" t="n"/>
      <c r="BJ182" s="176" t="n"/>
      <c r="BK182" s="176" t="n"/>
      <c r="BL182" s="176" t="n"/>
      <c r="BM182" s="176" t="n"/>
      <c r="BN182" s="176" t="n"/>
      <c r="BO182" s="176" t="n"/>
      <c r="BP182" s="176" t="n"/>
      <c r="BQ182" s="176" t="n"/>
      <c r="BR182" s="176" t="n"/>
      <c r="BS182" s="176" t="n"/>
      <c r="BT182" s="176" t="n"/>
      <c r="BU182" s="176" t="n"/>
      <c r="BV182" s="176" t="n"/>
      <c r="BW182" s="176" t="n"/>
      <c r="BX182" s="176" t="n"/>
      <c r="BY182" s="176" t="n"/>
      <c r="BZ182" s="176" t="n"/>
      <c r="CA182" s="176" t="n"/>
      <c r="CB182" s="176" t="n"/>
      <c r="CC182" s="176" t="n"/>
      <c r="CD182" s="176" t="n"/>
      <c r="CE182" s="176" t="n"/>
      <c r="CF182" s="176" t="n"/>
      <c r="CG182" s="176" t="n"/>
      <c r="CH182" s="176" t="n"/>
      <c r="CI182" s="176" t="n"/>
      <c r="CJ182" s="176" t="n"/>
      <c r="CK182" s="176" t="n"/>
      <c r="CL182" s="176" t="n"/>
      <c r="CM182" s="176" t="n"/>
      <c r="CN182" s="176" t="n"/>
      <c r="CO182" s="176" t="n"/>
      <c r="CP182" s="176" t="n"/>
      <c r="CQ182" s="176" t="n"/>
      <c r="CR182" s="176" t="n"/>
      <c r="CS182" s="176" t="n"/>
      <c r="CT182" s="176" t="n"/>
      <c r="CU182" s="176" t="n"/>
      <c r="CV182" s="176" t="n"/>
      <c r="CW182" s="176" t="n"/>
      <c r="CX182" s="176" t="n"/>
      <c r="CY182" s="176" t="n"/>
      <c r="CZ182" s="176" t="n"/>
      <c r="DA182" s="176" t="n"/>
      <c r="DB182" s="176" t="n"/>
      <c r="DC182" s="176" t="n"/>
      <c r="DD182" s="176" t="n"/>
      <c r="DE182" s="176" t="n"/>
      <c r="DF182" s="176" t="n"/>
      <c r="DG182" s="176" t="n"/>
      <c r="DH182" s="176" t="n"/>
      <c r="DI182" s="176" t="n"/>
      <c r="DJ182" s="176" t="n"/>
      <c r="DK182" s="176" t="n"/>
      <c r="DL182" s="176" t="n"/>
      <c r="DM182" s="176" t="n"/>
      <c r="DN182" s="176" t="n"/>
      <c r="DO182" s="176" t="n"/>
      <c r="DP182" s="176" t="n"/>
      <c r="DQ182" s="176" t="n"/>
      <c r="DR182" s="176" t="n"/>
      <c r="DS182" s="176" t="n"/>
      <c r="DT182" s="176" t="n"/>
      <c r="DU182" s="176" t="n"/>
      <c r="DV182" s="176" t="n"/>
      <c r="DW182" s="176" t="n"/>
      <c r="DX182" s="176" t="n"/>
      <c r="DY182" s="176" t="n"/>
      <c r="DZ182" s="176" t="n"/>
      <c r="EA182" s="176" t="n"/>
      <c r="EB182" s="176" t="n"/>
      <c r="EC182" s="176" t="n"/>
      <c r="ED182" s="176" t="n"/>
      <c r="EE182" s="176" t="n"/>
      <c r="EF182" s="176" t="n"/>
      <c r="EG182" s="176" t="n"/>
      <c r="EH182" s="176" t="n"/>
      <c r="EI182" s="176" t="n"/>
      <c r="EJ182" s="176" t="n"/>
      <c r="EK182" s="176" t="n"/>
      <c r="EL182" s="176" t="n"/>
      <c r="EM182" s="176" t="n"/>
      <c r="EN182" s="176" t="n"/>
      <c r="EO182" s="176" t="n"/>
      <c r="EP182" s="176" t="n"/>
      <c r="EQ182" s="176" t="n"/>
      <c r="ER182" s="176" t="n"/>
      <c r="ES182" s="176" t="n"/>
      <c r="ET182" s="176" t="n"/>
      <c r="EU182" s="176" t="n"/>
      <c r="EV182" s="176" t="n"/>
      <c r="EW182" s="176" t="n"/>
      <c r="EX182" s="176" t="n"/>
      <c r="EY182" s="176" t="n"/>
      <c r="EZ182" s="193" t="n"/>
      <c r="FE182" s="194" t="n"/>
      <c r="FF182" s="176" t="n"/>
      <c r="FG182" s="176" t="n"/>
      <c r="FH182" s="193" t="n"/>
      <c r="FM182" s="194" t="n"/>
      <c r="FN182" s="176" t="n"/>
      <c r="FO182" s="176" t="n"/>
      <c r="FP182" s="176" t="n"/>
      <c r="FQ182" s="176" t="n"/>
      <c r="FR182" s="176" t="n"/>
      <c r="FS182" s="176" t="n"/>
      <c r="FT182" s="176" t="n"/>
      <c r="FU182" s="176" t="n"/>
      <c r="FV182" s="176" t="n"/>
      <c r="FW182" s="176" t="n"/>
      <c r="FX182" s="176" t="n"/>
      <c r="FY182" s="176" t="n"/>
      <c r="FZ182" s="176" t="n"/>
      <c r="GA182" s="176" t="n"/>
      <c r="GB182" s="176" t="n"/>
      <c r="GC182" s="176" t="n"/>
      <c r="GD182" s="176" t="n"/>
      <c r="GE182" s="176" t="n"/>
      <c r="GF182" s="176" t="n"/>
      <c r="GG182" s="176" t="n"/>
      <c r="GH182" s="176" t="n"/>
      <c r="GI182" s="176" t="n"/>
      <c r="GJ182" s="176" t="n"/>
      <c r="GK182" s="176" t="n"/>
      <c r="GL182" s="176" t="n"/>
      <c r="GM182" s="176" t="n"/>
      <c r="GN182" s="176" t="n"/>
      <c r="GO182" s="176" t="n"/>
      <c r="GP182" s="176" t="n"/>
      <c r="GQ182" s="176" t="n"/>
      <c r="GR182" s="176" t="n"/>
      <c r="GS182" s="176" t="n"/>
      <c r="GT182" s="176" t="n"/>
      <c r="GU182" s="176" t="n"/>
      <c r="GV182" s="176" t="n"/>
      <c r="GW182" s="176" t="n"/>
      <c r="GX182" s="176" t="n"/>
      <c r="GY182" s="176" t="n"/>
      <c r="GZ182" s="176" t="n"/>
      <c r="HA182" s="176" t="n"/>
      <c r="HB182" s="176" t="n"/>
      <c r="HC182" s="176" t="n"/>
      <c r="HD182" s="176" t="n"/>
      <c r="HE182" s="176" t="n"/>
      <c r="HF182" s="176" t="n"/>
      <c r="HG182" s="176" t="n"/>
      <c r="HH182" s="176" t="n"/>
      <c r="HI182" s="176" t="n"/>
      <c r="HJ182" s="176" t="n"/>
      <c r="HK182" s="176" t="n"/>
      <c r="HL182" s="176" t="n"/>
      <c r="HM182" s="176" t="n"/>
      <c r="HN182" s="176" t="n"/>
      <c r="HO182" s="176" t="n"/>
      <c r="HP182" s="176" t="n"/>
      <c r="HQ182" s="176" t="n"/>
      <c r="HR182" s="176" t="n"/>
      <c r="HS182" s="176" t="n"/>
      <c r="HT182" s="176" t="n"/>
      <c r="HU182" s="176" t="n"/>
      <c r="HV182" s="176" t="n"/>
      <c r="HW182" s="176" t="n"/>
      <c r="HX182" s="176" t="n"/>
      <c r="HY182" s="176" t="n"/>
      <c r="HZ182" s="176" t="n"/>
      <c r="IA182" s="176" t="n"/>
      <c r="IB182" s="176" t="n"/>
      <c r="IC182" s="176" t="n"/>
      <c r="ID182" s="176" t="n"/>
    </row>
    <row r="183" ht="18.75" customHeight="1">
      <c r="A183" s="176" t="n"/>
      <c r="B183" s="176" t="n"/>
      <c r="C183" s="176" t="n"/>
      <c r="D183" s="176" t="n"/>
      <c r="E183" s="176" t="n"/>
      <c r="F183" s="176" t="n"/>
      <c r="G183" s="176" t="n"/>
      <c r="H183" s="176" t="n"/>
      <c r="I183" s="176" t="n"/>
      <c r="J183" s="176" t="n"/>
      <c r="K183" s="176" t="n"/>
      <c r="L183" s="176" t="n"/>
      <c r="M183" s="176" t="n"/>
      <c r="N183" s="176" t="n"/>
      <c r="O183" s="176" t="n"/>
      <c r="P183" s="176" t="n"/>
      <c r="Q183" s="176" t="n"/>
      <c r="R183" s="176" t="n"/>
      <c r="S183" s="176" t="n"/>
      <c r="T183" s="176" t="n"/>
      <c r="U183" s="176" t="n"/>
      <c r="V183" s="176" t="n"/>
      <c r="W183" s="176" t="n"/>
      <c r="X183" s="176" t="n"/>
      <c r="Y183" s="176" t="n"/>
      <c r="Z183" s="176" t="n"/>
      <c r="AA183" s="176" t="n"/>
      <c r="AB183" s="176" t="n"/>
      <c r="AC183" s="176" t="n"/>
      <c r="AD183" s="176" t="n"/>
      <c r="AE183" s="176" t="n"/>
      <c r="AF183" s="176" t="n"/>
      <c r="AG183" s="176" t="n"/>
      <c r="AH183" s="176" t="n"/>
      <c r="AI183" s="176" t="n"/>
      <c r="AJ183" s="176" t="n"/>
      <c r="AK183" s="176" t="n"/>
      <c r="AL183" s="176" t="n"/>
      <c r="AM183" s="176" t="n"/>
      <c r="AN183" s="176" t="n"/>
      <c r="AO183" s="176" t="n"/>
      <c r="AP183" s="176" t="n"/>
      <c r="AQ183" s="176" t="n"/>
      <c r="AR183" s="176" t="n"/>
      <c r="AS183" s="176" t="n"/>
      <c r="AT183" s="176" t="n"/>
      <c r="AU183" s="176" t="n"/>
      <c r="AV183" s="176" t="n"/>
      <c r="AW183" s="176" t="n"/>
      <c r="AX183" s="176" t="n"/>
      <c r="AY183" s="176" t="n"/>
      <c r="AZ183" s="176" t="n"/>
      <c r="BA183" s="176" t="n"/>
      <c r="BB183" s="176" t="n"/>
      <c r="BC183" s="176" t="n"/>
      <c r="BD183" s="176" t="n"/>
      <c r="BE183" s="176" t="n"/>
      <c r="BF183" s="176" t="n"/>
      <c r="BG183" s="176" t="n"/>
      <c r="BH183" s="176" t="n"/>
      <c r="BI183" s="176" t="n"/>
      <c r="BJ183" s="176" t="n"/>
      <c r="BK183" s="176" t="n"/>
      <c r="BL183" s="176" t="n"/>
      <c r="BM183" s="176" t="n"/>
      <c r="BN183" s="176" t="n"/>
      <c r="BO183" s="176" t="n"/>
      <c r="BP183" s="176" t="n"/>
      <c r="BQ183" s="176" t="n"/>
      <c r="BR183" s="176" t="n"/>
      <c r="BS183" s="176" t="n"/>
      <c r="BT183" s="176" t="n"/>
      <c r="BU183" s="176" t="n"/>
      <c r="BV183" s="176" t="n"/>
      <c r="BW183" s="176" t="n"/>
      <c r="BX183" s="176" t="n"/>
      <c r="BY183" s="176" t="n"/>
      <c r="BZ183" s="176" t="n"/>
      <c r="CA183" s="176" t="n"/>
      <c r="CB183" s="176" t="n"/>
      <c r="CC183" s="176" t="n"/>
      <c r="CD183" s="176" t="n"/>
      <c r="CE183" s="176" t="n"/>
      <c r="CF183" s="176" t="n"/>
      <c r="CG183" s="176" t="n"/>
      <c r="CH183" s="176" t="n"/>
      <c r="CI183" s="176" t="n"/>
      <c r="CJ183" s="176" t="n"/>
      <c r="CK183" s="176" t="n"/>
      <c r="CL183" s="176" t="n"/>
      <c r="CM183" s="176" t="n"/>
      <c r="CN183" s="176" t="n"/>
      <c r="CO183" s="176" t="n"/>
      <c r="CP183" s="176" t="n"/>
      <c r="CQ183" s="176" t="n"/>
      <c r="CR183" s="176" t="n"/>
      <c r="CS183" s="176" t="n"/>
      <c r="CT183" s="176" t="n"/>
      <c r="CU183" s="176" t="n"/>
      <c r="CV183" s="176" t="n"/>
      <c r="CW183" s="176" t="n"/>
      <c r="CX183" s="176" t="n"/>
      <c r="CY183" s="176" t="n"/>
      <c r="CZ183" s="176" t="n"/>
      <c r="DA183" s="181" t="inlineStr">
        <is>
          <t>EFEITO</t>
        </is>
      </c>
      <c r="DB183" s="182" t="n"/>
      <c r="DC183" s="182" t="n"/>
      <c r="DD183" s="182" t="n"/>
      <c r="DE183" s="182" t="n"/>
      <c r="DF183" s="183" t="n"/>
      <c r="DG183" s="176" t="n"/>
      <c r="DH183" s="176" t="n"/>
      <c r="DI183" s="181" t="inlineStr">
        <is>
          <t>EFEITO</t>
        </is>
      </c>
      <c r="DJ183" s="182" t="n"/>
      <c r="DK183" s="182" t="n"/>
      <c r="DL183" s="182" t="n"/>
      <c r="DM183" s="182" t="n"/>
      <c r="DN183" s="183" t="n"/>
      <c r="DO183" s="176" t="n"/>
      <c r="DP183" s="176" t="n"/>
      <c r="DQ183" s="176" t="n"/>
      <c r="DR183" s="180">
        <f>IF('DADOS_RESTRICOES'!$K$16="","","⚠ "&amp;'DADOS_RESTRICOES'!$K$16)</f>
        <v/>
      </c>
      <c r="DX183" s="176" t="n"/>
      <c r="DY183" s="176" t="n"/>
      <c r="DZ183" s="180">
        <f>IF('DADOS_RESTRICOES'!$K$17="","","⚠ "&amp;'DADOS_RESTRICOES'!$K$17)</f>
        <v/>
      </c>
      <c r="EF183" s="176" t="n"/>
      <c r="EG183" s="176" t="n"/>
      <c r="EH183" s="176" t="n"/>
      <c r="EI183" s="176" t="n"/>
      <c r="EJ183" s="176" t="n"/>
      <c r="EK183" s="176" t="n"/>
      <c r="EL183" s="176" t="n"/>
      <c r="EM183" s="176" t="n"/>
      <c r="EN183" s="176" t="n"/>
      <c r="EO183" s="176" t="n"/>
      <c r="EP183" s="176" t="n"/>
      <c r="EQ183" s="176" t="n"/>
      <c r="ER183" s="176" t="n"/>
      <c r="ES183" s="176" t="n"/>
      <c r="ET183" s="176" t="n"/>
      <c r="EU183" s="176" t="n"/>
      <c r="EV183" s="176" t="n"/>
      <c r="EW183" s="176" t="n"/>
      <c r="EX183" s="176" t="n"/>
      <c r="EY183" s="176" t="n"/>
      <c r="EZ183" s="193" t="n"/>
      <c r="FE183" s="194" t="n"/>
      <c r="FF183" s="176" t="n"/>
      <c r="FG183" s="176" t="n"/>
      <c r="FH183" s="193" t="n"/>
      <c r="FM183" s="194" t="n"/>
      <c r="FN183" s="176" t="n"/>
      <c r="FO183" s="176" t="n"/>
      <c r="FP183" s="176" t="n"/>
      <c r="FQ183" s="176" t="n"/>
      <c r="FR183" s="176" t="n"/>
      <c r="FS183" s="176" t="n"/>
      <c r="FT183" s="176" t="n"/>
      <c r="FU183" s="176" t="n"/>
      <c r="FV183" s="176" t="n"/>
      <c r="FW183" s="176" t="n"/>
      <c r="FX183" s="176" t="n"/>
      <c r="FY183" s="176" t="n"/>
      <c r="FZ183" s="176" t="n"/>
      <c r="GA183" s="176" t="n"/>
      <c r="GB183" s="176" t="n"/>
      <c r="GC183" s="176" t="n"/>
      <c r="GD183" s="176" t="n"/>
      <c r="GE183" s="176" t="n"/>
      <c r="GF183" s="176" t="n"/>
      <c r="GG183" s="176" t="n"/>
      <c r="GH183" s="176" t="n"/>
      <c r="GI183" s="176" t="n"/>
      <c r="GJ183" s="176" t="n"/>
      <c r="GK183" s="176" t="n"/>
      <c r="GL183" s="176" t="n"/>
      <c r="GM183" s="176" t="n"/>
      <c r="GN183" s="176" t="n"/>
      <c r="GO183" s="176" t="n"/>
      <c r="GP183" s="176" t="n"/>
      <c r="GQ183" s="176" t="n"/>
      <c r="GR183" s="176" t="n"/>
      <c r="GS183" s="176" t="n"/>
      <c r="GT183" s="176" t="n"/>
      <c r="GU183" s="176" t="n"/>
      <c r="GV183" s="176" t="n"/>
      <c r="GW183" s="176" t="n"/>
      <c r="GX183" s="176" t="n"/>
      <c r="GY183" s="176" t="n"/>
      <c r="GZ183" s="176" t="n"/>
      <c r="HA183" s="176" t="n"/>
      <c r="HB183" s="176" t="n"/>
      <c r="HC183" s="176" t="n"/>
      <c r="HD183" s="176" t="n"/>
      <c r="HE183" s="176" t="n"/>
      <c r="HF183" s="176" t="n"/>
      <c r="HG183" s="176" t="n"/>
      <c r="HH183" s="176" t="n"/>
      <c r="HI183" s="176" t="n"/>
      <c r="HJ183" s="176" t="n"/>
      <c r="HK183" s="176" t="n"/>
      <c r="HL183" s="176" t="n"/>
      <c r="HM183" s="176" t="n"/>
      <c r="HN183" s="176" t="n"/>
      <c r="HO183" s="176" t="n"/>
      <c r="HP183" s="181" t="inlineStr">
        <is>
          <t>BASE DO LIVRO</t>
        </is>
      </c>
      <c r="HQ183" s="182" t="n"/>
      <c r="HR183" s="183" t="n"/>
      <c r="HS183" s="185" t="inlineStr">
        <is>
          <t>Nenhuma</t>
        </is>
      </c>
      <c r="HT183" s="182" t="n"/>
      <c r="HU183" s="183" t="n"/>
      <c r="HV183" s="176" t="n"/>
      <c r="HW183" s="176" t="n"/>
      <c r="HX183" s="181" t="inlineStr">
        <is>
          <t>BASE DO LIVRO</t>
        </is>
      </c>
      <c r="HY183" s="182" t="n"/>
      <c r="HZ183" s="183" t="n"/>
      <c r="IA183" s="185" t="inlineStr">
        <is>
          <t>Nenhuma</t>
        </is>
      </c>
      <c r="IB183" s="182" t="n"/>
      <c r="IC183" s="183" t="n"/>
      <c r="ID183" s="176" t="n"/>
    </row>
    <row r="184" ht="18.75" customHeight="1">
      <c r="A184" s="176" t="n"/>
      <c r="B184" s="176" t="n"/>
      <c r="C184" s="176" t="n"/>
      <c r="D184" s="176" t="n"/>
      <c r="E184" s="176" t="n"/>
      <c r="F184" s="176" t="n"/>
      <c r="G184" s="176" t="n"/>
      <c r="H184" s="176" t="n"/>
      <c r="I184" s="176" t="n"/>
      <c r="J184" s="176" t="n"/>
      <c r="K184" s="176" t="n"/>
      <c r="L184" s="176" t="n"/>
      <c r="M184" s="176" t="n"/>
      <c r="N184" s="176" t="n"/>
      <c r="O184" s="176" t="n"/>
      <c r="P184" s="176" t="n"/>
      <c r="Q184" s="176" t="n"/>
      <c r="R184" s="176" t="n"/>
      <c r="S184" s="176" t="n"/>
      <c r="T184" s="176" t="n"/>
      <c r="U184" s="176" t="n"/>
      <c r="V184" s="176" t="n"/>
      <c r="W184" s="176" t="n"/>
      <c r="X184" s="176" t="n"/>
      <c r="Y184" s="176" t="n"/>
      <c r="Z184" s="176" t="n"/>
      <c r="AA184" s="176" t="n"/>
      <c r="AB184" s="176" t="n"/>
      <c r="AC184" s="176" t="n"/>
      <c r="AD184" s="176" t="n"/>
      <c r="AE184" s="176" t="n"/>
      <c r="AF184" s="176" t="n"/>
      <c r="AG184" s="176" t="n"/>
      <c r="AH184" s="176" t="n"/>
      <c r="AI184" s="176" t="n"/>
      <c r="AJ184" s="176" t="n"/>
      <c r="AK184" s="176" t="n"/>
      <c r="AL184" s="176" t="n"/>
      <c r="AM184" s="176" t="n"/>
      <c r="AN184" s="176" t="n"/>
      <c r="AO184" s="176" t="n"/>
      <c r="AP184" s="176" t="n"/>
      <c r="AQ184" s="176" t="n"/>
      <c r="AR184" s="176" t="n"/>
      <c r="AS184" s="176" t="n"/>
      <c r="AT184" s="176" t="n"/>
      <c r="AU184" s="176" t="n"/>
      <c r="AV184" s="176" t="n"/>
      <c r="AW184" s="176" t="n"/>
      <c r="AX184" s="176" t="n"/>
      <c r="AY184" s="176" t="n"/>
      <c r="AZ184" s="176" t="n"/>
      <c r="BA184" s="176" t="n"/>
      <c r="BB184" s="176" t="n"/>
      <c r="BC184" s="176" t="n"/>
      <c r="BD184" s="176" t="n"/>
      <c r="BE184" s="176" t="n"/>
      <c r="BF184" s="176" t="n"/>
      <c r="BG184" s="176" t="n"/>
      <c r="BH184" s="176" t="n"/>
      <c r="BI184" s="176" t="n"/>
      <c r="BJ184" s="176" t="n"/>
      <c r="BK184" s="176" t="n"/>
      <c r="BL184" s="176" t="n"/>
      <c r="BM184" s="176" t="n"/>
      <c r="BN184" s="176" t="n"/>
      <c r="BO184" s="176" t="n"/>
      <c r="BP184" s="176" t="n"/>
      <c r="BQ184" s="176" t="n"/>
      <c r="BR184" s="176" t="n"/>
      <c r="BS184" s="176" t="n"/>
      <c r="BT184" s="176" t="n"/>
      <c r="BU184" s="176" t="n"/>
      <c r="BV184" s="176" t="n"/>
      <c r="BW184" s="176" t="n"/>
      <c r="BX184" s="176" t="n"/>
      <c r="BY184" s="176" t="n"/>
      <c r="BZ184" s="176" t="n"/>
      <c r="CA184" s="176" t="n"/>
      <c r="CB184" s="176" t="n"/>
      <c r="CC184" s="176" t="n"/>
      <c r="CD184" s="176" t="n"/>
      <c r="CE184" s="176" t="n"/>
      <c r="CF184" s="176" t="n"/>
      <c r="CG184" s="176" t="n"/>
      <c r="CH184" s="176" t="n"/>
      <c r="CI184" s="176" t="n"/>
      <c r="CJ184" s="176" t="n"/>
      <c r="CK184" s="176" t="n"/>
      <c r="CL184" s="176" t="n"/>
      <c r="CM184" s="176" t="n"/>
      <c r="CN184" s="176" t="n"/>
      <c r="CO184" s="176" t="n"/>
      <c r="CP184" s="176" t="n"/>
      <c r="CQ184" s="176" t="n"/>
      <c r="CR184" s="176" t="n"/>
      <c r="CS184" s="176" t="n"/>
      <c r="CT184" s="176" t="n"/>
      <c r="CU184" s="176" t="n"/>
      <c r="CV184" s="176" t="n"/>
      <c r="CW184" s="176" t="n"/>
      <c r="CX184" s="176" t="n"/>
      <c r="CY184" s="176" t="n"/>
      <c r="CZ184" s="176" t="n"/>
      <c r="DA184" s="192" t="n"/>
      <c r="DB184" s="187" t="n"/>
      <c r="DC184" s="187" t="n"/>
      <c r="DD184" s="187" t="n"/>
      <c r="DE184" s="187" t="n"/>
      <c r="DF184" s="188" t="n"/>
      <c r="DG184" s="176" t="n"/>
      <c r="DH184" s="176" t="n"/>
      <c r="DI184" s="192" t="n"/>
      <c r="DJ184" s="187" t="n"/>
      <c r="DK184" s="187" t="n"/>
      <c r="DL184" s="187" t="n"/>
      <c r="DM184" s="187" t="n"/>
      <c r="DN184" s="188" t="n"/>
      <c r="DO184" s="176" t="n"/>
      <c r="DP184" s="176" t="n"/>
      <c r="DQ184" s="176" t="n"/>
      <c r="DX184" s="176" t="n"/>
      <c r="DY184" s="176" t="n"/>
      <c r="EF184" s="176" t="n"/>
      <c r="EG184" s="176" t="n"/>
      <c r="EH184" s="176" t="n"/>
      <c r="EI184" s="176" t="n"/>
      <c r="EJ184" s="176" t="n"/>
      <c r="EK184" s="176" t="n"/>
      <c r="EL184" s="176" t="n"/>
      <c r="EM184" s="176" t="n"/>
      <c r="EN184" s="176" t="n"/>
      <c r="EO184" s="176" t="n"/>
      <c r="EP184" s="176" t="n"/>
      <c r="EQ184" s="176" t="n"/>
      <c r="ER184" s="176" t="n"/>
      <c r="ES184" s="176" t="n"/>
      <c r="ET184" s="176" t="n"/>
      <c r="EU184" s="176" t="n"/>
      <c r="EV184" s="176" t="n"/>
      <c r="EW184" s="176" t="n"/>
      <c r="EX184" s="176" t="n"/>
      <c r="EY184" s="176" t="n"/>
      <c r="EZ184" s="189" t="n"/>
      <c r="FA184" s="190" t="n"/>
      <c r="FB184" s="190" t="n"/>
      <c r="FC184" s="190" t="n"/>
      <c r="FD184" s="190" t="n"/>
      <c r="FE184" s="191" t="n"/>
      <c r="FF184" s="176" t="n"/>
      <c r="FG184" s="176" t="n"/>
      <c r="FH184" s="189" t="n"/>
      <c r="FI184" s="190" t="n"/>
      <c r="FJ184" s="190" t="n"/>
      <c r="FK184" s="190" t="n"/>
      <c r="FL184" s="190" t="n"/>
      <c r="FM184" s="191" t="n"/>
      <c r="FN184" s="176" t="n"/>
      <c r="FO184" s="176" t="n"/>
      <c r="FP184" s="176" t="n"/>
      <c r="FQ184" s="176" t="n"/>
      <c r="FR184" s="176" t="n"/>
      <c r="FS184" s="176" t="n"/>
      <c r="FT184" s="176" t="n"/>
      <c r="FU184" s="176" t="n"/>
      <c r="FV184" s="176" t="n"/>
      <c r="FW184" s="176" t="n"/>
      <c r="FX184" s="176" t="n"/>
      <c r="FY184" s="176" t="n"/>
      <c r="FZ184" s="176" t="n"/>
      <c r="GA184" s="176" t="n"/>
      <c r="GB184" s="176" t="n"/>
      <c r="GC184" s="176" t="n"/>
      <c r="GD184" s="176" t="n"/>
      <c r="GE184" s="176" t="n"/>
      <c r="GF184" s="176" t="n"/>
      <c r="GG184" s="176" t="n"/>
      <c r="GH184" s="176" t="n"/>
      <c r="GI184" s="176" t="n"/>
      <c r="GJ184" s="176" t="n"/>
      <c r="GK184" s="176" t="n"/>
      <c r="GL184" s="176" t="n"/>
      <c r="GM184" s="176" t="n"/>
      <c r="GN184" s="176" t="n"/>
      <c r="GO184" s="176" t="n"/>
      <c r="GP184" s="176" t="n"/>
      <c r="GQ184" s="176" t="n"/>
      <c r="GR184" s="176" t="n"/>
      <c r="GS184" s="176" t="n"/>
      <c r="GT184" s="176" t="n"/>
      <c r="GU184" s="176" t="n"/>
      <c r="GV184" s="176" t="n"/>
      <c r="GW184" s="176" t="n"/>
      <c r="GX184" s="176" t="n"/>
      <c r="GY184" s="176" t="n"/>
      <c r="GZ184" s="176" t="n"/>
      <c r="HA184" s="176" t="n"/>
      <c r="HB184" s="176" t="n"/>
      <c r="HC184" s="176" t="n"/>
      <c r="HD184" s="176" t="n"/>
      <c r="HE184" s="176" t="n"/>
      <c r="HF184" s="176" t="n"/>
      <c r="HG184" s="176" t="n"/>
      <c r="HH184" s="176" t="n"/>
      <c r="HI184" s="176" t="n"/>
      <c r="HJ184" s="176" t="n"/>
      <c r="HK184" s="176" t="n"/>
      <c r="HL184" s="176" t="n"/>
      <c r="HM184" s="176" t="n"/>
      <c r="HN184" s="176" t="n"/>
      <c r="HO184" s="176" t="n"/>
      <c r="HP184" s="181" t="inlineStr">
        <is>
          <t>CATEGORIA DE EFEITO</t>
        </is>
      </c>
      <c r="HQ184" s="182" t="n"/>
      <c r="HR184" s="183" t="n"/>
      <c r="HS184" s="185" t="n"/>
      <c r="HT184" s="182" t="n"/>
      <c r="HU184" s="183" t="n"/>
      <c r="HV184" s="176" t="n"/>
      <c r="HW184" s="176" t="n"/>
      <c r="HX184" s="181" t="inlineStr">
        <is>
          <t>CATEGORIA DE EFEITO</t>
        </is>
      </c>
      <c r="HY184" s="182" t="n"/>
      <c r="HZ184" s="183" t="n"/>
      <c r="IA184" s="185" t="n"/>
      <c r="IB184" s="182" t="n"/>
      <c r="IC184" s="183" t="n"/>
      <c r="ID184" s="176" t="n"/>
    </row>
    <row r="185" ht="18.75" customHeight="1">
      <c r="A185" s="176" t="n"/>
      <c r="B185" s="176" t="n"/>
      <c r="C185" s="176" t="n"/>
      <c r="D185" s="176" t="n"/>
      <c r="E185" s="176" t="n"/>
      <c r="F185" s="176" t="n"/>
      <c r="G185" s="176" t="n"/>
      <c r="H185" s="176" t="n"/>
      <c r="I185" s="176" t="n"/>
      <c r="J185" s="176" t="n"/>
      <c r="K185" s="176" t="n"/>
      <c r="L185" s="176" t="n"/>
      <c r="M185" s="176" t="n"/>
      <c r="N185" s="176" t="n"/>
      <c r="O185" s="176" t="n"/>
      <c r="P185" s="176" t="n"/>
      <c r="Q185" s="176" t="n"/>
      <c r="R185" s="176" t="n"/>
      <c r="S185" s="176" t="n"/>
      <c r="T185" s="176" t="n"/>
      <c r="U185" s="176" t="n"/>
      <c r="V185" s="176" t="n"/>
      <c r="W185" s="176" t="n"/>
      <c r="X185" s="176" t="n"/>
      <c r="Y185" s="176" t="n"/>
      <c r="Z185" s="176" t="n"/>
      <c r="AA185" s="176" t="n"/>
      <c r="AB185" s="176" t="n"/>
      <c r="AC185" s="176" t="n"/>
      <c r="AD185" s="176" t="n"/>
      <c r="AE185" s="176" t="n"/>
      <c r="AF185" s="176" t="n"/>
      <c r="AG185" s="176" t="n"/>
      <c r="AH185" s="176" t="n"/>
      <c r="AI185" s="176" t="n"/>
      <c r="AJ185" s="176" t="n"/>
      <c r="AK185" s="176" t="n"/>
      <c r="AL185" s="176" t="n"/>
      <c r="AM185" s="176" t="n"/>
      <c r="AN185" s="176" t="n"/>
      <c r="AO185" s="176" t="n"/>
      <c r="AP185" s="176" t="n"/>
      <c r="AQ185" s="176" t="n"/>
      <c r="AR185" s="176" t="n"/>
      <c r="AS185" s="176" t="n"/>
      <c r="AT185" s="176" t="n"/>
      <c r="AU185" s="176" t="n"/>
      <c r="AV185" s="176" t="n"/>
      <c r="AW185" s="176" t="n"/>
      <c r="AX185" s="176" t="n"/>
      <c r="AY185" s="176" t="n"/>
      <c r="AZ185" s="176" t="n"/>
      <c r="BA185" s="176" t="n"/>
      <c r="BB185" s="176" t="n"/>
      <c r="BC185" s="176" t="n"/>
      <c r="BD185" s="176" t="n"/>
      <c r="BE185" s="176" t="n"/>
      <c r="BF185" s="176" t="n"/>
      <c r="BG185" s="176" t="n"/>
      <c r="BH185" s="176" t="n"/>
      <c r="BI185" s="176" t="n"/>
      <c r="BJ185" s="176" t="n"/>
      <c r="BK185" s="176" t="n"/>
      <c r="BL185" s="176" t="n"/>
      <c r="BM185" s="176" t="n"/>
      <c r="BN185" s="176" t="n"/>
      <c r="BO185" s="176" t="n"/>
      <c r="BP185" s="176" t="n"/>
      <c r="BQ185" s="176" t="n"/>
      <c r="BR185" s="176" t="n"/>
      <c r="BS185" s="176" t="n"/>
      <c r="BT185" s="176" t="n"/>
      <c r="BU185" s="176" t="n"/>
      <c r="BV185" s="176" t="n"/>
      <c r="BW185" s="176" t="n"/>
      <c r="BX185" s="176" t="n"/>
      <c r="BY185" s="176" t="n"/>
      <c r="BZ185" s="176" t="n"/>
      <c r="CA185" s="176" t="n"/>
      <c r="CB185" s="176" t="n"/>
      <c r="CC185" s="176" t="n"/>
      <c r="CD185" s="176" t="n"/>
      <c r="CE185" s="176" t="n"/>
      <c r="CF185" s="176" t="n"/>
      <c r="CG185" s="176" t="n"/>
      <c r="CH185" s="176" t="n"/>
      <c r="CI185" s="176" t="n"/>
      <c r="CJ185" s="176" t="n"/>
      <c r="CK185" s="176" t="n"/>
      <c r="CL185" s="176" t="n"/>
      <c r="CM185" s="176" t="n"/>
      <c r="CN185" s="176" t="n"/>
      <c r="CO185" s="176" t="n"/>
      <c r="CP185" s="176" t="n"/>
      <c r="CQ185" s="176" t="n"/>
      <c r="CR185" s="176" t="n"/>
      <c r="CS185" s="176" t="n"/>
      <c r="CT185" s="176" t="n"/>
      <c r="CU185" s="176" t="n"/>
      <c r="CV185" s="176" t="n"/>
      <c r="CW185" s="176" t="n"/>
      <c r="CX185" s="176" t="n"/>
      <c r="CY185" s="176" t="n"/>
      <c r="CZ185" s="176" t="n"/>
      <c r="DA185" s="193" t="n"/>
      <c r="DF185" s="194" t="n"/>
      <c r="DG185" s="176" t="n"/>
      <c r="DH185" s="176" t="n"/>
      <c r="DI185" s="193" t="n"/>
      <c r="DN185" s="194" t="n"/>
      <c r="DO185" s="176" t="n"/>
      <c r="DP185" s="176" t="n"/>
      <c r="DQ185" s="176" t="n"/>
      <c r="DR185" s="176" t="n"/>
      <c r="DS185" s="176" t="n"/>
      <c r="DT185" s="176" t="n"/>
      <c r="DU185" s="176" t="n"/>
      <c r="DV185" s="176" t="n"/>
      <c r="DW185" s="176" t="n"/>
      <c r="DX185" s="176" t="n"/>
      <c r="DY185" s="176" t="n"/>
      <c r="DZ185" s="176" t="n"/>
      <c r="EA185" s="176" t="n"/>
      <c r="EB185" s="176" t="n"/>
      <c r="EC185" s="176" t="n"/>
      <c r="ED185" s="176" t="n"/>
      <c r="EE185" s="176" t="n"/>
      <c r="EF185" s="176" t="n"/>
      <c r="EG185" s="176" t="n"/>
      <c r="EH185" s="176" t="n"/>
      <c r="EI185" s="176" t="n"/>
      <c r="EJ185" s="176" t="n"/>
      <c r="EK185" s="176" t="n"/>
      <c r="EL185" s="176" t="n"/>
      <c r="EM185" s="176" t="n"/>
      <c r="EN185" s="176" t="n"/>
      <c r="EO185" s="176" t="n"/>
      <c r="EP185" s="176" t="n"/>
      <c r="EQ185" s="176" t="n"/>
      <c r="ER185" s="176" t="n"/>
      <c r="ES185" s="176" t="n"/>
      <c r="ET185" s="176" t="n"/>
      <c r="EU185" s="176" t="n"/>
      <c r="EV185" s="176" t="n"/>
      <c r="EW185" s="176" t="n"/>
      <c r="EX185" s="176" t="n"/>
      <c r="EY185" s="176" t="n"/>
      <c r="EZ185" s="176" t="n"/>
      <c r="FA185" s="176" t="n"/>
      <c r="FB185" s="176" t="n"/>
      <c r="FC185" s="176" t="n"/>
      <c r="FD185" s="176" t="n"/>
      <c r="FE185" s="176" t="n"/>
      <c r="FF185" s="176" t="n"/>
      <c r="FG185" s="176" t="n"/>
      <c r="FH185" s="176" t="n"/>
      <c r="FI185" s="176" t="n"/>
      <c r="FJ185" s="176" t="n"/>
      <c r="FK185" s="176" t="n"/>
      <c r="FL185" s="176" t="n"/>
      <c r="FM185" s="176" t="n"/>
      <c r="FN185" s="176" t="n"/>
      <c r="FO185" s="176" t="n"/>
      <c r="FP185" s="176" t="n"/>
      <c r="FQ185" s="176" t="n"/>
      <c r="FR185" s="176" t="n"/>
      <c r="FS185" s="176" t="n"/>
      <c r="FT185" s="176" t="n"/>
      <c r="FU185" s="176" t="n"/>
      <c r="FV185" s="176" t="n"/>
      <c r="FW185" s="176" t="n"/>
      <c r="FX185" s="176" t="n"/>
      <c r="FY185" s="176" t="n"/>
      <c r="FZ185" s="176" t="n"/>
      <c r="GA185" s="176" t="n"/>
      <c r="GB185" s="176" t="n"/>
      <c r="GC185" s="176" t="n"/>
      <c r="GD185" s="176" t="n"/>
      <c r="GE185" s="176" t="n"/>
      <c r="GF185" s="176" t="n"/>
      <c r="GG185" s="176" t="n"/>
      <c r="GH185" s="176" t="n"/>
      <c r="GI185" s="176" t="n"/>
      <c r="GJ185" s="176" t="n"/>
      <c r="GK185" s="176" t="n"/>
      <c r="GL185" s="176" t="n"/>
      <c r="GM185" s="176" t="n"/>
      <c r="GN185" s="176" t="n"/>
      <c r="GO185" s="176" t="n"/>
      <c r="GP185" s="176" t="n"/>
      <c r="GQ185" s="176" t="n"/>
      <c r="GR185" s="176" t="n"/>
      <c r="GS185" s="176" t="n"/>
      <c r="GT185" s="176" t="n"/>
      <c r="GU185" s="176" t="n"/>
      <c r="GV185" s="176" t="n"/>
      <c r="GW185" s="176" t="n"/>
      <c r="GX185" s="176" t="n"/>
      <c r="GY185" s="176" t="n"/>
      <c r="GZ185" s="176" t="n"/>
      <c r="HA185" s="176" t="n"/>
      <c r="HB185" s="176" t="n"/>
      <c r="HC185" s="176" t="n"/>
      <c r="HD185" s="176" t="n"/>
      <c r="HE185" s="176" t="n"/>
      <c r="HF185" s="176" t="n"/>
      <c r="HG185" s="176" t="n"/>
      <c r="HH185" s="176" t="n"/>
      <c r="HI185" s="176" t="n"/>
      <c r="HJ185" s="176" t="n"/>
      <c r="HK185" s="176" t="n"/>
      <c r="HL185" s="176" t="n"/>
      <c r="HM185" s="176" t="n"/>
      <c r="HN185" s="176" t="n"/>
      <c r="HO185" s="176" t="n"/>
      <c r="HP185" s="176" t="n"/>
      <c r="HQ185" s="176" t="n"/>
      <c r="HR185" s="176" t="n"/>
      <c r="HS185" s="176" t="n"/>
      <c r="HT185" s="176" t="n"/>
      <c r="HU185" s="176" t="n"/>
      <c r="HV185" s="176" t="n"/>
      <c r="HW185" s="176" t="n"/>
      <c r="HX185" s="176" t="n"/>
      <c r="HY185" s="176" t="n"/>
      <c r="HZ185" s="176" t="n"/>
      <c r="IA185" s="176" t="n"/>
      <c r="IB185" s="176" t="n"/>
      <c r="IC185" s="176" t="n"/>
      <c r="ID185" s="176" t="n"/>
    </row>
    <row r="186" ht="18.75" customHeight="1">
      <c r="A186" s="176" t="n"/>
      <c r="B186" s="176" t="n"/>
      <c r="C186" s="176" t="n"/>
      <c r="D186" s="176" t="n"/>
      <c r="E186" s="176" t="n"/>
      <c r="F186" s="176" t="n"/>
      <c r="G186" s="176" t="n"/>
      <c r="H186" s="176" t="n"/>
      <c r="I186" s="176" t="n"/>
      <c r="J186" s="176" t="n"/>
      <c r="K186" s="176" t="n"/>
      <c r="L186" s="176" t="n"/>
      <c r="M186" s="176" t="n"/>
      <c r="N186" s="176" t="n"/>
      <c r="O186" s="176" t="n"/>
      <c r="P186" s="176" t="n"/>
      <c r="Q186" s="176" t="n"/>
      <c r="R186" s="176" t="n"/>
      <c r="S186" s="176" t="n"/>
      <c r="T186" s="179" t="inlineStr">
        <is>
          <t>CARTÃO 13 · CUSTOM</t>
        </is>
      </c>
      <c r="Z186" s="176" t="n"/>
      <c r="AA186" s="176" t="n"/>
      <c r="AB186" s="179" t="inlineStr">
        <is>
          <t>CARTÃO 14 · CUSTOM</t>
        </is>
      </c>
      <c r="AH186" s="176" t="n"/>
      <c r="AI186" s="176" t="n"/>
      <c r="AJ186" s="176" t="n"/>
      <c r="AK186" s="176" t="n"/>
      <c r="AL186" s="176" t="n"/>
      <c r="AM186" s="176" t="n"/>
      <c r="AN186" s="176" t="n"/>
      <c r="AO186" s="176" t="n"/>
      <c r="AP186" s="176" t="n"/>
      <c r="AQ186" s="176" t="n"/>
      <c r="AR186" s="176" t="n"/>
      <c r="AS186" s="176" t="n"/>
      <c r="AT186" s="176" t="n"/>
      <c r="AU186" s="176" t="n"/>
      <c r="AV186" s="176" t="n"/>
      <c r="AW186" s="176" t="n"/>
      <c r="AX186" s="176" t="n"/>
      <c r="AY186" s="176" t="n"/>
      <c r="AZ186" s="176" t="n"/>
      <c r="BA186" s="176" t="n"/>
      <c r="BB186" s="176" t="n"/>
      <c r="BC186" s="176" t="n"/>
      <c r="BD186" s="176" t="n"/>
      <c r="BE186" s="176" t="n"/>
      <c r="BF186" s="176" t="n"/>
      <c r="BG186" s="176" t="n"/>
      <c r="BH186" s="176" t="n"/>
      <c r="BI186" s="176" t="n"/>
      <c r="BJ186" s="176" t="n"/>
      <c r="BK186" s="176" t="n"/>
      <c r="BL186" s="176" t="n"/>
      <c r="BM186" s="176" t="n"/>
      <c r="BN186" s="176" t="n"/>
      <c r="BO186" s="176" t="n"/>
      <c r="BP186" s="176" t="n"/>
      <c r="BQ186" s="176" t="n"/>
      <c r="BR186" s="176" t="n"/>
      <c r="BS186" s="176" t="n"/>
      <c r="BT186" s="176" t="n"/>
      <c r="BU186" s="176" t="n"/>
      <c r="BV186" s="176" t="n"/>
      <c r="BW186" s="176" t="n"/>
      <c r="BX186" s="176" t="n"/>
      <c r="BY186" s="176" t="n"/>
      <c r="BZ186" s="176" t="n"/>
      <c r="CA186" s="176" t="n"/>
      <c r="CB186" s="176" t="n"/>
      <c r="CC186" s="176" t="n"/>
      <c r="CD186" s="176" t="n"/>
      <c r="CE186" s="176" t="n"/>
      <c r="CF186" s="176" t="n"/>
      <c r="CG186" s="176" t="n"/>
      <c r="CH186" s="176" t="n"/>
      <c r="CI186" s="176" t="n"/>
      <c r="CJ186" s="176" t="n"/>
      <c r="CK186" s="176" t="n"/>
      <c r="CL186" s="176" t="n"/>
      <c r="CM186" s="176" t="n"/>
      <c r="CN186" s="176" t="n"/>
      <c r="CO186" s="176" t="n"/>
      <c r="CP186" s="176" t="n"/>
      <c r="CQ186" s="176" t="n"/>
      <c r="CR186" s="176" t="n"/>
      <c r="CS186" s="176" t="n"/>
      <c r="CT186" s="176" t="n"/>
      <c r="CU186" s="176" t="n"/>
      <c r="CV186" s="176" t="n"/>
      <c r="CW186" s="176" t="n"/>
      <c r="CX186" s="176" t="n"/>
      <c r="CY186" s="176" t="n"/>
      <c r="CZ186" s="176" t="n"/>
      <c r="DA186" s="193" t="n"/>
      <c r="DF186" s="194" t="n"/>
      <c r="DG186" s="176" t="n"/>
      <c r="DH186" s="176" t="n"/>
      <c r="DI186" s="193" t="n"/>
      <c r="DN186" s="194" t="n"/>
      <c r="DO186" s="176" t="n"/>
      <c r="DP186" s="176" t="n"/>
      <c r="DQ186" s="176" t="n"/>
      <c r="DR186" s="176" t="n"/>
      <c r="DS186" s="176" t="n"/>
      <c r="DT186" s="176" t="n"/>
      <c r="DU186" s="176" t="n"/>
      <c r="DV186" s="176" t="n"/>
      <c r="DW186" s="176" t="n"/>
      <c r="DX186" s="176" t="n"/>
      <c r="DY186" s="176" t="n"/>
      <c r="DZ186" s="176" t="n"/>
      <c r="EA186" s="176" t="n"/>
      <c r="EB186" s="176" t="n"/>
      <c r="EC186" s="176" t="n"/>
      <c r="ED186" s="176" t="n"/>
      <c r="EE186" s="176" t="n"/>
      <c r="EF186" s="176" t="n"/>
      <c r="EG186" s="176" t="n"/>
      <c r="EH186" s="176" t="n"/>
      <c r="EI186" s="176" t="n"/>
      <c r="EJ186" s="176" t="n"/>
      <c r="EK186" s="176" t="n"/>
      <c r="EL186" s="176" t="n"/>
      <c r="EM186" s="176" t="n"/>
      <c r="EN186" s="176" t="n"/>
      <c r="EO186" s="176" t="n"/>
      <c r="EP186" s="176" t="n"/>
      <c r="EQ186" s="176" t="n"/>
      <c r="ER186" s="176" t="n"/>
      <c r="ES186" s="176" t="n"/>
      <c r="ET186" s="176" t="n"/>
      <c r="EU186" s="176" t="n"/>
      <c r="EV186" s="176" t="n"/>
      <c r="EW186" s="176" t="n"/>
      <c r="EX186" s="176" t="n"/>
      <c r="EY186" s="176" t="n"/>
      <c r="EZ186" s="181" t="inlineStr">
        <is>
          <t>EFEITO</t>
        </is>
      </c>
      <c r="FA186" s="182" t="n"/>
      <c r="FB186" s="182" t="n"/>
      <c r="FC186" s="182" t="n"/>
      <c r="FD186" s="182" t="n"/>
      <c r="FE186" s="183" t="n"/>
      <c r="FF186" s="176" t="n"/>
      <c r="FG186" s="176" t="n"/>
      <c r="FH186" s="181" t="inlineStr">
        <is>
          <t>EFEITO</t>
        </is>
      </c>
      <c r="FI186" s="182" t="n"/>
      <c r="FJ186" s="182" t="n"/>
      <c r="FK186" s="182" t="n"/>
      <c r="FL186" s="182" t="n"/>
      <c r="FM186" s="183" t="n"/>
      <c r="FN186" s="176" t="n"/>
      <c r="FO186" s="176" t="n"/>
      <c r="FP186" s="176" t="n"/>
      <c r="FQ186" s="176" t="n"/>
      <c r="FR186" s="176" t="n"/>
      <c r="FS186" s="176" t="n"/>
      <c r="FT186" s="176" t="n"/>
      <c r="FU186" s="176" t="n"/>
      <c r="FV186" s="176" t="n"/>
      <c r="FW186" s="176" t="n"/>
      <c r="FX186" s="176" t="n"/>
      <c r="FY186" s="176" t="n"/>
      <c r="FZ186" s="176" t="n"/>
      <c r="GA186" s="176" t="n"/>
      <c r="GB186" s="176" t="n"/>
      <c r="GC186" s="176" t="n"/>
      <c r="GD186" s="176" t="n"/>
      <c r="GE186" s="176" t="n"/>
      <c r="GF186" s="176" t="n"/>
      <c r="GG186" s="176" t="n"/>
      <c r="GH186" s="176" t="n"/>
      <c r="GI186" s="176" t="n"/>
      <c r="GJ186" s="176" t="n"/>
      <c r="GK186" s="176" t="n"/>
      <c r="GL186" s="176" t="n"/>
      <c r="GM186" s="176" t="n"/>
      <c r="GN186" s="176" t="n"/>
      <c r="GO186" s="176" t="n"/>
      <c r="GP186" s="176" t="n"/>
      <c r="GQ186" s="176" t="n"/>
      <c r="GR186" s="176" t="n"/>
      <c r="GS186" s="176" t="n"/>
      <c r="GT186" s="176" t="n"/>
      <c r="GU186" s="176" t="n"/>
      <c r="GV186" s="176" t="n"/>
      <c r="GW186" s="176" t="n"/>
      <c r="GX186" s="176" t="n"/>
      <c r="GY186" s="176" t="n"/>
      <c r="GZ186" s="176" t="n"/>
      <c r="HA186" s="176" t="n"/>
      <c r="HB186" s="176" t="n"/>
      <c r="HC186" s="176" t="n"/>
      <c r="HD186" s="176" t="n"/>
      <c r="HE186" s="176" t="n"/>
      <c r="HF186" s="176" t="n"/>
      <c r="HG186" s="176" t="n"/>
      <c r="HH186" s="176" t="n"/>
      <c r="HI186" s="176" t="n"/>
      <c r="HJ186" s="176" t="n"/>
      <c r="HK186" s="176" t="n"/>
      <c r="HL186" s="176" t="n"/>
      <c r="HM186" s="176" t="n"/>
      <c r="HN186" s="176" t="n"/>
      <c r="HO186" s="176" t="n"/>
      <c r="HP186" s="176" t="n"/>
      <c r="HQ186" s="176" t="n"/>
      <c r="HR186" s="176" t="n"/>
      <c r="HS186" s="176" t="n"/>
      <c r="HT186" s="176" t="n"/>
      <c r="HU186" s="176" t="n"/>
      <c r="HV186" s="176" t="n"/>
      <c r="HW186" s="176" t="n"/>
      <c r="HX186" s="176" t="n"/>
      <c r="HY186" s="176" t="n"/>
      <c r="HZ186" s="176" t="n"/>
      <c r="IA186" s="176" t="n"/>
      <c r="IB186" s="176" t="n"/>
      <c r="IC186" s="176" t="n"/>
      <c r="ID186" s="176" t="n"/>
    </row>
    <row r="187" ht="18.75" customHeight="1">
      <c r="A187" s="176" t="n"/>
      <c r="B187" s="176" t="n"/>
      <c r="C187" s="176" t="n"/>
      <c r="D187" s="176" t="n"/>
      <c r="E187" s="176" t="n"/>
      <c r="F187" s="176" t="n"/>
      <c r="G187" s="176" t="n"/>
      <c r="H187" s="176" t="n"/>
      <c r="I187" s="176" t="n"/>
      <c r="J187" s="176" t="n"/>
      <c r="K187" s="176" t="n"/>
      <c r="L187" s="176" t="n"/>
      <c r="M187" s="176" t="n"/>
      <c r="N187" s="176" t="n"/>
      <c r="O187" s="176" t="n"/>
      <c r="P187" s="176" t="n"/>
      <c r="Q187" s="176" t="n"/>
      <c r="R187" s="176" t="n"/>
      <c r="S187" s="176" t="n"/>
      <c r="T187" s="181" t="inlineStr">
        <is>
          <t>TIPO</t>
        </is>
      </c>
      <c r="U187" s="182" t="n"/>
      <c r="V187" s="182" t="n"/>
      <c r="W187" s="183" t="n"/>
      <c r="X187" s="181" t="inlineStr">
        <is>
          <t>MESTRE VIU</t>
        </is>
      </c>
      <c r="Y187" s="183" t="n"/>
      <c r="Z187" s="176" t="n"/>
      <c r="AA187" s="176" t="n"/>
      <c r="AB187" s="181" t="inlineStr">
        <is>
          <t>TIPO</t>
        </is>
      </c>
      <c r="AC187" s="182" t="n"/>
      <c r="AD187" s="182" t="n"/>
      <c r="AE187" s="183" t="n"/>
      <c r="AF187" s="181" t="inlineStr">
        <is>
          <t>MESTRE VIU</t>
        </is>
      </c>
      <c r="AG187" s="183" t="n"/>
      <c r="AH187" s="176" t="n"/>
      <c r="AI187" s="176" t="n"/>
      <c r="AJ187" s="176" t="n"/>
      <c r="AK187" s="176" t="n"/>
      <c r="AL187" s="176" t="n"/>
      <c r="AM187" s="176" t="n"/>
      <c r="AN187" s="176" t="n"/>
      <c r="AO187" s="176" t="n"/>
      <c r="AP187" s="176" t="n"/>
      <c r="AQ187" s="176" t="n"/>
      <c r="AR187" s="176" t="n"/>
      <c r="AS187" s="176" t="n"/>
      <c r="AT187" s="176" t="n"/>
      <c r="AU187" s="176" t="n"/>
      <c r="AV187" s="176" t="n"/>
      <c r="AW187" s="176" t="n"/>
      <c r="AX187" s="176" t="n"/>
      <c r="AY187" s="176" t="n"/>
      <c r="AZ187" s="176" t="n"/>
      <c r="BA187" s="176" t="n"/>
      <c r="BB187" s="176" t="n"/>
      <c r="BC187" s="176" t="n"/>
      <c r="BD187" s="176" t="n"/>
      <c r="BE187" s="176" t="n"/>
      <c r="BF187" s="176" t="n"/>
      <c r="BG187" s="176" t="n"/>
      <c r="BH187" s="176" t="n"/>
      <c r="BI187" s="176" t="n"/>
      <c r="BJ187" s="176" t="n"/>
      <c r="BK187" s="176" t="n"/>
      <c r="BL187" s="176" t="n"/>
      <c r="BM187" s="176" t="n"/>
      <c r="BN187" s="176" t="n"/>
      <c r="BO187" s="176" t="n"/>
      <c r="BP187" s="176" t="n"/>
      <c r="BQ187" s="176" t="n"/>
      <c r="BR187" s="176" t="n"/>
      <c r="BS187" s="176" t="n"/>
      <c r="BT187" s="176" t="n"/>
      <c r="BU187" s="176" t="n"/>
      <c r="BV187" s="176" t="n"/>
      <c r="BW187" s="176" t="n"/>
      <c r="BX187" s="176" t="n"/>
      <c r="BY187" s="176" t="n"/>
      <c r="BZ187" s="176" t="n"/>
      <c r="CA187" s="176" t="n"/>
      <c r="CB187" s="176" t="n"/>
      <c r="CC187" s="176" t="n"/>
      <c r="CD187" s="176" t="n"/>
      <c r="CE187" s="176" t="n"/>
      <c r="CF187" s="176" t="n"/>
      <c r="CG187" s="176" t="n"/>
      <c r="CH187" s="176" t="n"/>
      <c r="CI187" s="176" t="n"/>
      <c r="CJ187" s="176" t="n"/>
      <c r="CK187" s="176" t="n"/>
      <c r="CL187" s="176" t="n"/>
      <c r="CM187" s="176" t="n"/>
      <c r="CN187" s="176" t="n"/>
      <c r="CO187" s="176" t="n"/>
      <c r="CP187" s="176" t="n"/>
      <c r="CQ187" s="176" t="n"/>
      <c r="CR187" s="176" t="n"/>
      <c r="CS187" s="176" t="n"/>
      <c r="CT187" s="176" t="n"/>
      <c r="CU187" s="176" t="n"/>
      <c r="CV187" s="176" t="n"/>
      <c r="CW187" s="176" t="n"/>
      <c r="CX187" s="176" t="n"/>
      <c r="CY187" s="176" t="n"/>
      <c r="CZ187" s="176" t="n"/>
      <c r="DA187" s="193" t="n"/>
      <c r="DF187" s="194" t="n"/>
      <c r="DG187" s="176" t="n"/>
      <c r="DH187" s="176" t="n"/>
      <c r="DI187" s="193" t="n"/>
      <c r="DN187" s="194" t="n"/>
      <c r="DO187" s="176" t="n"/>
      <c r="DP187" s="176" t="n"/>
      <c r="DQ187" s="176" t="n"/>
      <c r="DR187" s="179" t="inlineStr">
        <is>
          <t>RESTRIÇÃO · 17</t>
        </is>
      </c>
      <c r="DX187" s="176" t="n"/>
      <c r="DY187" s="176" t="n"/>
      <c r="DZ187" s="179" t="inlineStr">
        <is>
          <t>RESTRIÇÃO · 18</t>
        </is>
      </c>
      <c r="EF187" s="176" t="n"/>
      <c r="EG187" s="176" t="n"/>
      <c r="EH187" s="176" t="n"/>
      <c r="EI187" s="176" t="n"/>
      <c r="EJ187" s="176" t="n"/>
      <c r="EK187" s="176" t="n"/>
      <c r="EL187" s="176" t="n"/>
      <c r="EM187" s="176" t="n"/>
      <c r="EN187" s="176" t="n"/>
      <c r="EO187" s="176" t="n"/>
      <c r="EP187" s="176" t="n"/>
      <c r="EQ187" s="176" t="n"/>
      <c r="ER187" s="176" t="n"/>
      <c r="ES187" s="176" t="n"/>
      <c r="ET187" s="176" t="n"/>
      <c r="EU187" s="176" t="n"/>
      <c r="EV187" s="176" t="n"/>
      <c r="EW187" s="176" t="n"/>
      <c r="EX187" s="176" t="n"/>
      <c r="EY187" s="176" t="n"/>
      <c r="EZ187" s="192" t="n"/>
      <c r="FA187" s="187" t="n"/>
      <c r="FB187" s="187" t="n"/>
      <c r="FC187" s="187" t="n"/>
      <c r="FD187" s="187" t="n"/>
      <c r="FE187" s="188" t="n"/>
      <c r="FF187" s="176" t="n"/>
      <c r="FG187" s="176" t="n"/>
      <c r="FH187" s="192" t="n"/>
      <c r="FI187" s="187" t="n"/>
      <c r="FJ187" s="187" t="n"/>
      <c r="FK187" s="187" t="n"/>
      <c r="FL187" s="187" t="n"/>
      <c r="FM187" s="188" t="n"/>
      <c r="FN187" s="176" t="n"/>
      <c r="FO187" s="176" t="n"/>
      <c r="FP187" s="176" t="n"/>
      <c r="FQ187" s="176" t="n"/>
      <c r="FR187" s="176" t="n"/>
      <c r="FS187" s="176" t="n"/>
      <c r="FT187" s="176" t="n"/>
      <c r="FU187" s="176" t="n"/>
      <c r="FV187" s="176" t="n"/>
      <c r="FW187" s="176" t="n"/>
      <c r="FX187" s="176" t="n"/>
      <c r="FY187" s="176" t="n"/>
      <c r="FZ187" s="176" t="n"/>
      <c r="GA187" s="176" t="n"/>
      <c r="GB187" s="176" t="n"/>
      <c r="GC187" s="176" t="n"/>
      <c r="GD187" s="176" t="n"/>
      <c r="GE187" s="176" t="n"/>
      <c r="GF187" s="176" t="n"/>
      <c r="GG187" s="176" t="n"/>
      <c r="GH187" s="176" t="n"/>
      <c r="GI187" s="176" t="n"/>
      <c r="GJ187" s="176" t="n"/>
      <c r="GK187" s="176" t="n"/>
      <c r="GL187" s="176" t="n"/>
      <c r="GM187" s="176" t="n"/>
      <c r="GN187" s="176" t="n"/>
      <c r="GO187" s="176" t="n"/>
      <c r="GP187" s="176" t="n"/>
      <c r="GQ187" s="176" t="n"/>
      <c r="GR187" s="176" t="n"/>
      <c r="GS187" s="176" t="n"/>
      <c r="GT187" s="176" t="n"/>
      <c r="GU187" s="176" t="n"/>
      <c r="GV187" s="176" t="n"/>
      <c r="GW187" s="176" t="n"/>
      <c r="GX187" s="176" t="n"/>
      <c r="GY187" s="176" t="n"/>
      <c r="GZ187" s="176" t="n"/>
      <c r="HA187" s="176" t="n"/>
      <c r="HB187" s="176" t="n"/>
      <c r="HC187" s="176" t="n"/>
      <c r="HD187" s="176" t="n"/>
      <c r="HE187" s="176" t="n"/>
      <c r="HF187" s="176" t="n"/>
      <c r="HG187" s="176" t="n"/>
      <c r="HH187" s="176" t="n"/>
      <c r="HI187" s="176" t="n"/>
      <c r="HJ187" s="176" t="n"/>
      <c r="HK187" s="176" t="n"/>
      <c r="HL187" s="176" t="n"/>
      <c r="HM187" s="176" t="n"/>
      <c r="HN187" s="176" t="n"/>
      <c r="HO187" s="176" t="n"/>
      <c r="HP187" s="176" t="n"/>
      <c r="HQ187" s="176" t="n"/>
      <c r="HR187" s="176" t="n"/>
      <c r="HS187" s="176" t="n"/>
      <c r="HT187" s="176" t="n"/>
      <c r="HU187" s="176" t="n"/>
      <c r="HV187" s="176" t="n"/>
      <c r="HW187" s="176" t="n"/>
      <c r="HX187" s="176" t="n"/>
      <c r="HY187" s="176" t="n"/>
      <c r="HZ187" s="176" t="n"/>
      <c r="IA187" s="176" t="n"/>
      <c r="IB187" s="176" t="n"/>
      <c r="IC187" s="176" t="n"/>
      <c r="ID187" s="176" t="n"/>
    </row>
    <row r="188" ht="18.75" customHeight="1">
      <c r="A188" s="176" t="n"/>
      <c r="B188" s="176" t="n"/>
      <c r="C188" s="176" t="n"/>
      <c r="D188" s="176" t="n"/>
      <c r="E188" s="176" t="n"/>
      <c r="F188" s="176" t="n"/>
      <c r="G188" s="176" t="n"/>
      <c r="H188" s="176" t="n"/>
      <c r="I188" s="176" t="n"/>
      <c r="J188" s="176" t="n"/>
      <c r="K188" s="176" t="n"/>
      <c r="L188" s="176" t="n"/>
      <c r="M188" s="176" t="n"/>
      <c r="N188" s="176" t="n"/>
      <c r="O188" s="176" t="n"/>
      <c r="P188" s="176" t="n"/>
      <c r="Q188" s="176" t="n"/>
      <c r="R188" s="176" t="n"/>
      <c r="S188" s="176" t="n"/>
      <c r="T188" s="185" t="n"/>
      <c r="U188" s="182" t="n"/>
      <c r="V188" s="182" t="n"/>
      <c r="W188" s="183" t="n"/>
      <c r="X188" s="184" t="b">
        <v>0</v>
      </c>
      <c r="Y188" s="183" t="n"/>
      <c r="Z188" s="176" t="n"/>
      <c r="AA188" s="176" t="n"/>
      <c r="AB188" s="185" t="n"/>
      <c r="AC188" s="182" t="n"/>
      <c r="AD188" s="182" t="n"/>
      <c r="AE188" s="183" t="n"/>
      <c r="AF188" s="184" t="b">
        <v>0</v>
      </c>
      <c r="AG188" s="183" t="n"/>
      <c r="AH188" s="176" t="n"/>
      <c r="AI188" s="176" t="n"/>
      <c r="AJ188" s="176" t="n"/>
      <c r="AK188" s="176" t="n"/>
      <c r="AL188" s="176" t="n"/>
      <c r="AM188" s="176" t="n"/>
      <c r="AN188" s="176" t="n"/>
      <c r="AO188" s="176" t="n"/>
      <c r="AP188" s="176" t="n"/>
      <c r="AQ188" s="176" t="n"/>
      <c r="AR188" s="176" t="n"/>
      <c r="AS188" s="176" t="n"/>
      <c r="AT188" s="176" t="n"/>
      <c r="AU188" s="176" t="n"/>
      <c r="AV188" s="176" t="n"/>
      <c r="AW188" s="176" t="n"/>
      <c r="AX188" s="176" t="n"/>
      <c r="AY188" s="176" t="n"/>
      <c r="AZ188" s="176" t="n"/>
      <c r="BA188" s="176" t="n"/>
      <c r="BB188" s="176" t="n"/>
      <c r="BC188" s="176" t="n"/>
      <c r="BD188" s="176" t="n"/>
      <c r="BE188" s="176" t="n"/>
      <c r="BF188" s="176" t="n"/>
      <c r="BG188" s="176" t="n"/>
      <c r="BH188" s="176" t="n"/>
      <c r="BI188" s="176" t="n"/>
      <c r="BJ188" s="176" t="n"/>
      <c r="BK188" s="176" t="n"/>
      <c r="BL188" s="176" t="n"/>
      <c r="BM188" s="176" t="n"/>
      <c r="BN188" s="176" t="n"/>
      <c r="BO188" s="176" t="n"/>
      <c r="BP188" s="176" t="n"/>
      <c r="BQ188" s="176" t="n"/>
      <c r="BR188" s="176" t="n"/>
      <c r="BS188" s="176" t="n"/>
      <c r="BT188" s="176" t="n"/>
      <c r="BU188" s="176" t="n"/>
      <c r="BV188" s="176" t="n"/>
      <c r="BW188" s="176" t="n"/>
      <c r="BX188" s="176" t="n"/>
      <c r="BY188" s="176" t="n"/>
      <c r="BZ188" s="176" t="n"/>
      <c r="CA188" s="176" t="n"/>
      <c r="CB188" s="176" t="n"/>
      <c r="CC188" s="176" t="n"/>
      <c r="CD188" s="176" t="n"/>
      <c r="CE188" s="176" t="n"/>
      <c r="CF188" s="176" t="n"/>
      <c r="CG188" s="176" t="n"/>
      <c r="CH188" s="176" t="n"/>
      <c r="CI188" s="176" t="n"/>
      <c r="CJ188" s="176" t="n"/>
      <c r="CK188" s="176" t="n"/>
      <c r="CL188" s="176" t="n"/>
      <c r="CM188" s="176" t="n"/>
      <c r="CN188" s="176" t="n"/>
      <c r="CO188" s="176" t="n"/>
      <c r="CP188" s="176" t="n"/>
      <c r="CQ188" s="176" t="n"/>
      <c r="CR188" s="176" t="n"/>
      <c r="CS188" s="176" t="n"/>
      <c r="CT188" s="176" t="n"/>
      <c r="CU188" s="176" t="n"/>
      <c r="CV188" s="176" t="n"/>
      <c r="CW188" s="176" t="n"/>
      <c r="CX188" s="176" t="n"/>
      <c r="CY188" s="176" t="n"/>
      <c r="CZ188" s="176" t="n"/>
      <c r="DA188" s="189" t="n"/>
      <c r="DB188" s="190" t="n"/>
      <c r="DC188" s="190" t="n"/>
      <c r="DD188" s="190" t="n"/>
      <c r="DE188" s="190" t="n"/>
      <c r="DF188" s="191" t="n"/>
      <c r="DG188" s="176" t="n"/>
      <c r="DH188" s="176" t="n"/>
      <c r="DI188" s="189" t="n"/>
      <c r="DJ188" s="190" t="n"/>
      <c r="DK188" s="190" t="n"/>
      <c r="DL188" s="190" t="n"/>
      <c r="DM188" s="190" t="n"/>
      <c r="DN188" s="191" t="n"/>
      <c r="DO188" s="176" t="n"/>
      <c r="DP188" s="176" t="n"/>
      <c r="DQ188" s="176" t="n"/>
      <c r="DR188" s="181" t="inlineStr">
        <is>
          <t>TIPO</t>
        </is>
      </c>
      <c r="DS188" s="182" t="n"/>
      <c r="DT188" s="182" t="n"/>
      <c r="DU188" s="183" t="n"/>
      <c r="DV188" s="181" t="inlineStr">
        <is>
          <t>MESTRE VIU</t>
        </is>
      </c>
      <c r="DW188" s="183" t="n"/>
      <c r="DX188" s="176" t="n"/>
      <c r="DY188" s="176" t="n"/>
      <c r="DZ188" s="181" t="inlineStr">
        <is>
          <t>TIPO</t>
        </is>
      </c>
      <c r="EA188" s="182" t="n"/>
      <c r="EB188" s="182" t="n"/>
      <c r="EC188" s="183" t="n"/>
      <c r="ED188" s="181" t="inlineStr">
        <is>
          <t>MESTRE VIU</t>
        </is>
      </c>
      <c r="EE188" s="183" t="n"/>
      <c r="EF188" s="176" t="n"/>
      <c r="EG188" s="176" t="n"/>
      <c r="EH188" s="176" t="n"/>
      <c r="EI188" s="176" t="n"/>
      <c r="EJ188" s="176" t="n"/>
      <c r="EK188" s="176" t="n"/>
      <c r="EL188" s="176" t="n"/>
      <c r="EM188" s="176" t="n"/>
      <c r="EN188" s="176" t="n"/>
      <c r="EO188" s="176" t="n"/>
      <c r="EP188" s="176" t="n"/>
      <c r="EQ188" s="176" t="n"/>
      <c r="ER188" s="176" t="n"/>
      <c r="ES188" s="176" t="n"/>
      <c r="ET188" s="176" t="n"/>
      <c r="EU188" s="176" t="n"/>
      <c r="EV188" s="176" t="n"/>
      <c r="EW188" s="176" t="n"/>
      <c r="EX188" s="176" t="n"/>
      <c r="EY188" s="176" t="n"/>
      <c r="EZ188" s="193" t="n"/>
      <c r="FE188" s="194" t="n"/>
      <c r="FF188" s="176" t="n"/>
      <c r="FG188" s="176" t="n"/>
      <c r="FH188" s="193" t="n"/>
      <c r="FM188" s="194" t="n"/>
      <c r="FN188" s="176" t="n"/>
      <c r="FO188" s="176" t="n"/>
      <c r="FP188" s="176" t="n"/>
      <c r="FQ188" s="176" t="n"/>
      <c r="FR188" s="176" t="n"/>
      <c r="FS188" s="176" t="n"/>
      <c r="FT188" s="176" t="n"/>
      <c r="FU188" s="176" t="n"/>
      <c r="FV188" s="176" t="n"/>
      <c r="FW188" s="176" t="n"/>
      <c r="FX188" s="176" t="n"/>
      <c r="FY188" s="176" t="n"/>
      <c r="FZ188" s="176" t="n"/>
      <c r="GA188" s="176" t="n"/>
      <c r="GB188" s="176" t="n"/>
      <c r="GC188" s="176" t="n"/>
      <c r="GD188" s="176" t="n"/>
      <c r="GE188" s="176" t="n"/>
      <c r="GF188" s="176" t="n"/>
      <c r="GG188" s="176" t="n"/>
      <c r="GH188" s="176" t="n"/>
      <c r="GI188" s="176" t="n"/>
      <c r="GJ188" s="176" t="n"/>
      <c r="GK188" s="176" t="n"/>
      <c r="GL188" s="176" t="n"/>
      <c r="GM188" s="176" t="n"/>
      <c r="GN188" s="176" t="n"/>
      <c r="GO188" s="176" t="n"/>
      <c r="GP188" s="176" t="n"/>
      <c r="GQ188" s="176" t="n"/>
      <c r="GR188" s="176" t="n"/>
      <c r="GS188" s="176" t="n"/>
      <c r="GT188" s="176" t="n"/>
      <c r="GU188" s="176" t="n"/>
      <c r="GV188" s="176" t="n"/>
      <c r="GW188" s="176" t="n"/>
      <c r="GX188" s="176" t="n"/>
      <c r="GY188" s="176" t="n"/>
      <c r="GZ188" s="176" t="n"/>
      <c r="HA188" s="176" t="n"/>
      <c r="HB188" s="176" t="n"/>
      <c r="HC188" s="176" t="n"/>
      <c r="HD188" s="176" t="n"/>
      <c r="HE188" s="176" t="n"/>
      <c r="HF188" s="176" t="n"/>
      <c r="HG188" s="176" t="n"/>
      <c r="HH188" s="176" t="n"/>
      <c r="HI188" s="176" t="n"/>
      <c r="HJ188" s="176" t="n"/>
      <c r="HK188" s="176" t="n"/>
      <c r="HL188" s="176" t="n"/>
      <c r="HM188" s="176" t="n"/>
      <c r="HN188" s="176" t="n"/>
      <c r="HO188" s="176" t="n"/>
      <c r="HP188" s="176" t="n"/>
      <c r="HQ188" s="176" t="n"/>
      <c r="HR188" s="176" t="n"/>
      <c r="HS188" s="176" t="n"/>
      <c r="HT188" s="176" t="n"/>
      <c r="HU188" s="176" t="n"/>
      <c r="HV188" s="176" t="n"/>
      <c r="HW188" s="176" t="n"/>
      <c r="HX188" s="176" t="n"/>
      <c r="HY188" s="176" t="n"/>
      <c r="HZ188" s="176" t="n"/>
      <c r="IA188" s="176" t="n"/>
      <c r="IB188" s="176" t="n"/>
      <c r="IC188" s="176" t="n"/>
      <c r="ID188" s="176" t="n"/>
    </row>
    <row r="189" ht="18.75" customHeight="1">
      <c r="A189" s="176" t="n"/>
      <c r="B189" s="176" t="n"/>
      <c r="C189" s="176" t="n"/>
      <c r="D189" s="176" t="n"/>
      <c r="E189" s="176" t="n"/>
      <c r="F189" s="176" t="n"/>
      <c r="G189" s="176" t="n"/>
      <c r="H189" s="176" t="n"/>
      <c r="I189" s="176" t="n"/>
      <c r="J189" s="176" t="n"/>
      <c r="K189" s="176" t="n"/>
      <c r="L189" s="176" t="n"/>
      <c r="M189" s="176" t="n"/>
      <c r="N189" s="176" t="n"/>
      <c r="O189" s="176" t="n"/>
      <c r="P189" s="176" t="n"/>
      <c r="Q189" s="176" t="n"/>
      <c r="R189" s="176" t="n"/>
      <c r="S189" s="176" t="n"/>
      <c r="T189" s="181" t="inlineStr">
        <is>
          <t>NOME</t>
        </is>
      </c>
      <c r="U189" s="182" t="n"/>
      <c r="V189" s="182" t="n"/>
      <c r="W189" s="182" t="n"/>
      <c r="X189" s="182" t="n"/>
      <c r="Y189" s="183" t="n"/>
      <c r="Z189" s="176" t="n"/>
      <c r="AA189" s="176" t="n"/>
      <c r="AB189" s="181" t="inlineStr">
        <is>
          <t>NOME</t>
        </is>
      </c>
      <c r="AC189" s="182" t="n"/>
      <c r="AD189" s="182" t="n"/>
      <c r="AE189" s="182" t="n"/>
      <c r="AF189" s="182" t="n"/>
      <c r="AG189" s="183" t="n"/>
      <c r="AH189" s="176" t="n"/>
      <c r="AI189" s="176" t="n"/>
      <c r="AJ189" s="176" t="n"/>
      <c r="AK189" s="176" t="n"/>
      <c r="AL189" s="176" t="n"/>
      <c r="AM189" s="176" t="n"/>
      <c r="AN189" s="176" t="n"/>
      <c r="AO189" s="176" t="n"/>
      <c r="AP189" s="176" t="n"/>
      <c r="AQ189" s="176" t="n"/>
      <c r="AR189" s="176" t="n"/>
      <c r="AS189" s="176" t="n"/>
      <c r="AT189" s="176" t="n"/>
      <c r="AU189" s="176" t="n"/>
      <c r="AV189" s="176" t="n"/>
      <c r="AW189" s="176" t="n"/>
      <c r="AX189" s="176" t="n"/>
      <c r="AY189" s="176" t="n"/>
      <c r="AZ189" s="176" t="n"/>
      <c r="BA189" s="176" t="n"/>
      <c r="BB189" s="176" t="n"/>
      <c r="BC189" s="176" t="n"/>
      <c r="BD189" s="176" t="n"/>
      <c r="BE189" s="176" t="n"/>
      <c r="BF189" s="176" t="n"/>
      <c r="BG189" s="176" t="n"/>
      <c r="BH189" s="176" t="n"/>
      <c r="BI189" s="176" t="n"/>
      <c r="BJ189" s="176" t="n"/>
      <c r="BK189" s="176" t="n"/>
      <c r="BL189" s="176" t="n"/>
      <c r="BM189" s="176" t="n"/>
      <c r="BN189" s="176" t="n"/>
      <c r="BO189" s="176" t="n"/>
      <c r="BP189" s="176" t="n"/>
      <c r="BQ189" s="176" t="n"/>
      <c r="BR189" s="176" t="n"/>
      <c r="BS189" s="176" t="n"/>
      <c r="BT189" s="176" t="n"/>
      <c r="BU189" s="176" t="n"/>
      <c r="BV189" s="176" t="n"/>
      <c r="BW189" s="176" t="n"/>
      <c r="BX189" s="176" t="n"/>
      <c r="BY189" s="176" t="n"/>
      <c r="BZ189" s="176" t="n"/>
      <c r="CA189" s="176" t="n"/>
      <c r="CB189" s="176" t="n"/>
      <c r="CC189" s="176" t="n"/>
      <c r="CD189" s="176" t="n"/>
      <c r="CE189" s="176" t="n"/>
      <c r="CF189" s="176" t="n"/>
      <c r="CG189" s="176" t="n"/>
      <c r="CH189" s="176" t="n"/>
      <c r="CI189" s="176" t="n"/>
      <c r="CJ189" s="176" t="n"/>
      <c r="CK189" s="176" t="n"/>
      <c r="CL189" s="176" t="n"/>
      <c r="CM189" s="176" t="n"/>
      <c r="CN189" s="176" t="n"/>
      <c r="CO189" s="176" t="n"/>
      <c r="CP189" s="176" t="n"/>
      <c r="CQ189" s="176" t="n"/>
      <c r="CR189" s="176" t="n"/>
      <c r="CS189" s="176" t="n"/>
      <c r="CT189" s="176" t="n"/>
      <c r="CU189" s="176" t="n"/>
      <c r="CV189" s="176" t="n"/>
      <c r="CW189" s="176" t="n"/>
      <c r="CX189" s="176" t="n"/>
      <c r="CY189" s="176" t="n"/>
      <c r="CZ189" s="176" t="n"/>
      <c r="DA189" s="176" t="n"/>
      <c r="DB189" s="176" t="n"/>
      <c r="DC189" s="176" t="n"/>
      <c r="DD189" s="176" t="n"/>
      <c r="DE189" s="176" t="n"/>
      <c r="DF189" s="176" t="n"/>
      <c r="DG189" s="176" t="n"/>
      <c r="DH189" s="176" t="n"/>
      <c r="DI189" s="176" t="n"/>
      <c r="DJ189" s="176" t="n"/>
      <c r="DK189" s="176" t="n"/>
      <c r="DL189" s="176" t="n"/>
      <c r="DM189" s="176" t="n"/>
      <c r="DN189" s="176" t="n"/>
      <c r="DO189" s="176" t="n"/>
      <c r="DP189" s="176" t="n"/>
      <c r="DQ189" s="176" t="n"/>
      <c r="DR189" s="185" t="inlineStr">
        <is>
          <t>Restrição</t>
        </is>
      </c>
      <c r="DS189" s="182" t="n"/>
      <c r="DT189" s="182" t="n"/>
      <c r="DU189" s="183" t="n"/>
      <c r="DV189" s="184" t="b">
        <v>0</v>
      </c>
      <c r="DW189" s="183" t="n"/>
      <c r="DX189" s="176" t="n"/>
      <c r="DY189" s="176" t="n"/>
      <c r="DZ189" s="185" t="inlineStr">
        <is>
          <t>Restrição</t>
        </is>
      </c>
      <c r="EA189" s="182" t="n"/>
      <c r="EB189" s="182" t="n"/>
      <c r="EC189" s="183" t="n"/>
      <c r="ED189" s="184" t="b">
        <v>0</v>
      </c>
      <c r="EE189" s="183" t="n"/>
      <c r="EF189" s="176" t="n"/>
      <c r="EG189" s="176" t="n"/>
      <c r="EH189" s="176" t="n"/>
      <c r="EI189" s="176" t="n"/>
      <c r="EJ189" s="176" t="n"/>
      <c r="EK189" s="176" t="n"/>
      <c r="EL189" s="176" t="n"/>
      <c r="EM189" s="176" t="n"/>
      <c r="EN189" s="176" t="n"/>
      <c r="EO189" s="176" t="n"/>
      <c r="EP189" s="176" t="n"/>
      <c r="EQ189" s="176" t="n"/>
      <c r="ER189" s="176" t="n"/>
      <c r="ES189" s="176" t="n"/>
      <c r="ET189" s="176" t="n"/>
      <c r="EU189" s="176" t="n"/>
      <c r="EV189" s="176" t="n"/>
      <c r="EW189" s="176" t="n"/>
      <c r="EX189" s="176" t="n"/>
      <c r="EY189" s="176" t="n"/>
      <c r="EZ189" s="193" t="n"/>
      <c r="FE189" s="194" t="n"/>
      <c r="FF189" s="176" t="n"/>
      <c r="FG189" s="176" t="n"/>
      <c r="FH189" s="193" t="n"/>
      <c r="FM189" s="194" t="n"/>
      <c r="FN189" s="176" t="n"/>
      <c r="FO189" s="176" t="n"/>
      <c r="FP189" s="176" t="n"/>
      <c r="FQ189" s="176" t="n"/>
      <c r="FR189" s="176" t="n"/>
      <c r="FS189" s="176" t="n"/>
      <c r="FT189" s="176" t="n"/>
      <c r="FU189" s="176" t="n"/>
      <c r="FV189" s="176" t="n"/>
      <c r="FW189" s="176" t="n"/>
      <c r="FX189" s="176" t="n"/>
      <c r="FY189" s="176" t="n"/>
      <c r="FZ189" s="176" t="n"/>
      <c r="GA189" s="176" t="n"/>
      <c r="GB189" s="176" t="n"/>
      <c r="GC189" s="176" t="n"/>
      <c r="GD189" s="176" t="n"/>
      <c r="GE189" s="176" t="n"/>
      <c r="GF189" s="176" t="n"/>
      <c r="GG189" s="176" t="n"/>
      <c r="GH189" s="176" t="n"/>
      <c r="GI189" s="176" t="n"/>
      <c r="GJ189" s="176" t="n"/>
      <c r="GK189" s="176" t="n"/>
      <c r="GL189" s="176" t="n"/>
      <c r="GM189" s="176" t="n"/>
      <c r="GN189" s="176" t="n"/>
      <c r="GO189" s="176" t="n"/>
      <c r="GP189" s="176" t="n"/>
      <c r="GQ189" s="176" t="n"/>
      <c r="GR189" s="176" t="n"/>
      <c r="GS189" s="176" t="n"/>
      <c r="GT189" s="176" t="n"/>
      <c r="GU189" s="176" t="n"/>
      <c r="GV189" s="176" t="n"/>
      <c r="GW189" s="176" t="n"/>
      <c r="GX189" s="176" t="n"/>
      <c r="GY189" s="176" t="n"/>
      <c r="GZ189" s="176" t="n"/>
      <c r="HA189" s="176" t="n"/>
      <c r="HB189" s="176" t="n"/>
      <c r="HC189" s="176" t="n"/>
      <c r="HD189" s="176" t="n"/>
      <c r="HE189" s="176" t="n"/>
      <c r="HF189" s="176" t="n"/>
      <c r="HG189" s="176" t="n"/>
      <c r="HH189" s="176" t="n"/>
      <c r="HI189" s="176" t="n"/>
      <c r="HJ189" s="176" t="n"/>
      <c r="HK189" s="176" t="n"/>
      <c r="HL189" s="176" t="n"/>
      <c r="HM189" s="176" t="n"/>
      <c r="HN189" s="176" t="n"/>
      <c r="HO189" s="176" t="n"/>
      <c r="HP189" s="176" t="n"/>
      <c r="HQ189" s="176" t="n"/>
      <c r="HR189" s="176" t="n"/>
      <c r="HS189" s="176" t="n"/>
      <c r="HT189" s="176" t="n"/>
      <c r="HU189" s="176" t="n"/>
      <c r="HV189" s="176" t="n"/>
      <c r="HW189" s="176" t="n"/>
      <c r="HX189" s="176" t="n"/>
      <c r="HY189" s="176" t="n"/>
      <c r="HZ189" s="176" t="n"/>
      <c r="IA189" s="176" t="n"/>
      <c r="IB189" s="176" t="n"/>
      <c r="IC189" s="176" t="n"/>
      <c r="ID189" s="176" t="n"/>
    </row>
    <row r="190" ht="18.75" customHeight="1">
      <c r="A190" s="176" t="n"/>
      <c r="B190" s="176" t="n"/>
      <c r="C190" s="176" t="n"/>
      <c r="D190" s="176" t="n"/>
      <c r="E190" s="176" t="n"/>
      <c r="F190" s="176" t="n"/>
      <c r="G190" s="176" t="n"/>
      <c r="H190" s="176" t="n"/>
      <c r="I190" s="176" t="n"/>
      <c r="J190" s="176" t="n"/>
      <c r="K190" s="176" t="n"/>
      <c r="L190" s="176" t="n"/>
      <c r="M190" s="176" t="n"/>
      <c r="N190" s="176" t="n"/>
      <c r="O190" s="176" t="n"/>
      <c r="P190" s="176" t="n"/>
      <c r="Q190" s="176" t="n"/>
      <c r="R190" s="176" t="n"/>
      <c r="S190" s="176" t="n"/>
      <c r="T190" s="185" t="n"/>
      <c r="U190" s="182" t="n"/>
      <c r="V190" s="182" t="n"/>
      <c r="W190" s="182" t="n"/>
      <c r="X190" s="182" t="n"/>
      <c r="Y190" s="183" t="n"/>
      <c r="Z190" s="176" t="n"/>
      <c r="AA190" s="176" t="n"/>
      <c r="AB190" s="185" t="n"/>
      <c r="AC190" s="182" t="n"/>
      <c r="AD190" s="182" t="n"/>
      <c r="AE190" s="182" t="n"/>
      <c r="AF190" s="182" t="n"/>
      <c r="AG190" s="183" t="n"/>
      <c r="AH190" s="176" t="n"/>
      <c r="AI190" s="176" t="n"/>
      <c r="AJ190" s="176" t="n"/>
      <c r="AK190" s="176" t="n"/>
      <c r="AL190" s="176" t="n"/>
      <c r="AM190" s="176" t="n"/>
      <c r="AN190" s="176" t="n"/>
      <c r="AO190" s="176" t="n"/>
      <c r="AP190" s="176" t="n"/>
      <c r="AQ190" s="176" t="n"/>
      <c r="AR190" s="176" t="n"/>
      <c r="AS190" s="176" t="n"/>
      <c r="AT190" s="176" t="n"/>
      <c r="AU190" s="176" t="n"/>
      <c r="AV190" s="176" t="n"/>
      <c r="AW190" s="176" t="n"/>
      <c r="AX190" s="176" t="n"/>
      <c r="AY190" s="176" t="n"/>
      <c r="AZ190" s="176" t="n"/>
      <c r="BA190" s="176" t="n"/>
      <c r="BB190" s="176" t="n"/>
      <c r="BC190" s="176" t="n"/>
      <c r="BD190" s="176" t="n"/>
      <c r="BE190" s="176" t="n"/>
      <c r="BF190" s="176" t="n"/>
      <c r="BG190" s="176" t="n"/>
      <c r="BH190" s="176" t="n"/>
      <c r="BI190" s="176" t="n"/>
      <c r="BJ190" s="176" t="n"/>
      <c r="BK190" s="176" t="n"/>
      <c r="BL190" s="176" t="n"/>
      <c r="BM190" s="176" t="n"/>
      <c r="BN190" s="176" t="n"/>
      <c r="BO190" s="176" t="n"/>
      <c r="BP190" s="176" t="n"/>
      <c r="BQ190" s="176" t="n"/>
      <c r="BR190" s="176" t="n"/>
      <c r="BS190" s="176" t="n"/>
      <c r="BT190" s="176" t="n"/>
      <c r="BU190" s="176" t="n"/>
      <c r="BV190" s="176" t="n"/>
      <c r="BW190" s="176" t="n"/>
      <c r="BX190" s="176" t="n"/>
      <c r="BY190" s="176" t="n"/>
      <c r="BZ190" s="176" t="n"/>
      <c r="CA190" s="176" t="n"/>
      <c r="CB190" s="176" t="n"/>
      <c r="CC190" s="176" t="n"/>
      <c r="CD190" s="176" t="n"/>
      <c r="CE190" s="176" t="n"/>
      <c r="CF190" s="176" t="n"/>
      <c r="CG190" s="176" t="n"/>
      <c r="CH190" s="176" t="n"/>
      <c r="CI190" s="176" t="n"/>
      <c r="CJ190" s="176" t="n"/>
      <c r="CK190" s="176" t="n"/>
      <c r="CL190" s="176" t="n"/>
      <c r="CM190" s="176" t="n"/>
      <c r="CN190" s="176" t="n"/>
      <c r="CO190" s="176" t="n"/>
      <c r="CP190" s="176" t="n"/>
      <c r="CQ190" s="176" t="n"/>
      <c r="CR190" s="176" t="n"/>
      <c r="CS190" s="176" t="n"/>
      <c r="CT190" s="176" t="n"/>
      <c r="CU190" s="176" t="n"/>
      <c r="CV190" s="176" t="n"/>
      <c r="CW190" s="176" t="n"/>
      <c r="CX190" s="176" t="n"/>
      <c r="CY190" s="176" t="n"/>
      <c r="CZ190" s="176" t="n"/>
      <c r="DA190" s="180">
        <f>IF('DADOS_MELHORIAS'!$M$14="","","⚠ "&amp;'DADOS_MELHORIAS'!$M$14)</f>
        <v/>
      </c>
      <c r="DG190" s="176" t="n"/>
      <c r="DH190" s="176" t="n"/>
      <c r="DI190" s="180">
        <f>IF('DADOS_MELHORIAS'!$M$15="","","⚠ "&amp;'DADOS_MELHORIAS'!$M$15)</f>
        <v/>
      </c>
      <c r="DO190" s="176" t="n"/>
      <c r="DP190" s="176" t="n"/>
      <c r="DQ190" s="176" t="n"/>
      <c r="DR190" s="181" t="inlineStr">
        <is>
          <t>NOME</t>
        </is>
      </c>
      <c r="DS190" s="182" t="n"/>
      <c r="DT190" s="182" t="n"/>
      <c r="DU190" s="182" t="n"/>
      <c r="DV190" s="182" t="n"/>
      <c r="DW190" s="183" t="n"/>
      <c r="DX190" s="176" t="n"/>
      <c r="DY190" s="176" t="n"/>
      <c r="DZ190" s="181" t="inlineStr">
        <is>
          <t>NOME</t>
        </is>
      </c>
      <c r="EA190" s="182" t="n"/>
      <c r="EB190" s="182" t="n"/>
      <c r="EC190" s="182" t="n"/>
      <c r="ED190" s="182" t="n"/>
      <c r="EE190" s="183" t="n"/>
      <c r="EF190" s="176" t="n"/>
      <c r="EG190" s="176" t="n"/>
      <c r="EH190" s="176" t="n"/>
      <c r="EI190" s="176" t="n"/>
      <c r="EJ190" s="176" t="n"/>
      <c r="EK190" s="176" t="n"/>
      <c r="EL190" s="176" t="n"/>
      <c r="EM190" s="176" t="n"/>
      <c r="EN190" s="176" t="n"/>
      <c r="EO190" s="176" t="n"/>
      <c r="EP190" s="176" t="n"/>
      <c r="EQ190" s="176" t="n"/>
      <c r="ER190" s="176" t="n"/>
      <c r="ES190" s="176" t="n"/>
      <c r="ET190" s="176" t="n"/>
      <c r="EU190" s="176" t="n"/>
      <c r="EV190" s="176" t="n"/>
      <c r="EW190" s="176" t="n"/>
      <c r="EX190" s="176" t="n"/>
      <c r="EY190" s="176" t="n"/>
      <c r="EZ190" s="189" t="n"/>
      <c r="FA190" s="190" t="n"/>
      <c r="FB190" s="190" t="n"/>
      <c r="FC190" s="190" t="n"/>
      <c r="FD190" s="190" t="n"/>
      <c r="FE190" s="191" t="n"/>
      <c r="FF190" s="176" t="n"/>
      <c r="FG190" s="176" t="n"/>
      <c r="FH190" s="189" t="n"/>
      <c r="FI190" s="190" t="n"/>
      <c r="FJ190" s="190" t="n"/>
      <c r="FK190" s="190" t="n"/>
      <c r="FL190" s="190" t="n"/>
      <c r="FM190" s="191" t="n"/>
      <c r="FN190" s="176" t="n"/>
      <c r="FO190" s="176" t="n"/>
      <c r="FP190" s="176" t="n"/>
      <c r="FQ190" s="176" t="n"/>
      <c r="FR190" s="176" t="n"/>
      <c r="FS190" s="176" t="n"/>
      <c r="FT190" s="176" t="n"/>
      <c r="FU190" s="176" t="n"/>
      <c r="FV190" s="176" t="n"/>
      <c r="FW190" s="176" t="n"/>
      <c r="FX190" s="176" t="n"/>
      <c r="FY190" s="176" t="n"/>
      <c r="FZ190" s="176" t="n"/>
      <c r="GA190" s="176" t="n"/>
      <c r="GB190" s="176" t="n"/>
      <c r="GC190" s="176" t="n"/>
      <c r="GD190" s="176" t="n"/>
      <c r="GE190" s="176" t="n"/>
      <c r="GF190" s="176" t="n"/>
      <c r="GG190" s="176" t="n"/>
      <c r="GH190" s="176" t="n"/>
      <c r="GI190" s="176" t="n"/>
      <c r="GJ190" s="176" t="n"/>
      <c r="GK190" s="176" t="n"/>
      <c r="GL190" s="176" t="n"/>
      <c r="GM190" s="176" t="n"/>
      <c r="GN190" s="176" t="n"/>
      <c r="GO190" s="176" t="n"/>
      <c r="GP190" s="176" t="n"/>
      <c r="GQ190" s="176" t="n"/>
      <c r="GR190" s="176" t="n"/>
      <c r="GS190" s="176" t="n"/>
      <c r="GT190" s="176" t="n"/>
      <c r="GU190" s="176" t="n"/>
      <c r="GV190" s="176" t="n"/>
      <c r="GW190" s="176" t="n"/>
      <c r="GX190" s="176" t="n"/>
      <c r="GY190" s="176" t="n"/>
      <c r="GZ190" s="176" t="n"/>
      <c r="HA190" s="176" t="n"/>
      <c r="HB190" s="176" t="n"/>
      <c r="HC190" s="176" t="n"/>
      <c r="HD190" s="176" t="n"/>
      <c r="HE190" s="176" t="n"/>
      <c r="HF190" s="176" t="n"/>
      <c r="HG190" s="176" t="n"/>
      <c r="HH190" s="176" t="n"/>
      <c r="HI190" s="176" t="n"/>
      <c r="HJ190" s="176" t="n"/>
      <c r="HK190" s="176" t="n"/>
      <c r="HL190" s="176" t="n"/>
      <c r="HM190" s="176" t="n"/>
      <c r="HN190" s="176" t="n"/>
      <c r="HO190" s="176" t="n"/>
      <c r="HP190" s="181" t="inlineStr">
        <is>
          <t>REQUISITOS</t>
        </is>
      </c>
      <c r="HQ190" s="182" t="n"/>
      <c r="HR190" s="182" t="n"/>
      <c r="HS190" s="182" t="n"/>
      <c r="HT190" s="182" t="n"/>
      <c r="HU190" s="183" t="n"/>
      <c r="HV190" s="176" t="n"/>
      <c r="HW190" s="176" t="n"/>
      <c r="HX190" s="181" t="inlineStr">
        <is>
          <t>REQUISITOS</t>
        </is>
      </c>
      <c r="HY190" s="182" t="n"/>
      <c r="HZ190" s="182" t="n"/>
      <c r="IA190" s="182" t="n"/>
      <c r="IB190" s="182" t="n"/>
      <c r="IC190" s="183" t="n"/>
      <c r="ID190" s="176" t="n"/>
    </row>
    <row r="191" ht="18.75" customHeight="1">
      <c r="A191" s="176" t="n"/>
      <c r="B191" s="176" t="n"/>
      <c r="C191" s="176" t="n"/>
      <c r="D191" s="176" t="n"/>
      <c r="E191" s="176" t="n"/>
      <c r="F191" s="176" t="n"/>
      <c r="G191" s="176" t="n"/>
      <c r="H191" s="176" t="n"/>
      <c r="I191" s="176" t="n"/>
      <c r="J191" s="176" t="n"/>
      <c r="K191" s="176" t="n"/>
      <c r="L191" s="176" t="n"/>
      <c r="M191" s="176" t="n"/>
      <c r="N191" s="176" t="n"/>
      <c r="O191" s="176" t="n"/>
      <c r="P191" s="176" t="n"/>
      <c r="Q191" s="176" t="n"/>
      <c r="R191" s="176" t="n"/>
      <c r="S191" s="176" t="n"/>
      <c r="T191" s="181">
        <f>SWITCH('CONFIGURAÇÃO'!$T$188,"Origem","PERÍCIA 1","Marcante","ORIGEM","Menor","ORIGEM","Arma","CATEGORIA","Escudo","","Uniforme","GRAU MÍNIMO","Item comum","","Ferramenta amaldiçoada","BASE","")</f>
        <v/>
      </c>
      <c r="U191" s="183" t="n"/>
      <c r="V191" s="185" t="n"/>
      <c r="W191" s="182" t="n"/>
      <c r="X191" s="182" t="n"/>
      <c r="Y191" s="183" t="n"/>
      <c r="Z191" s="176" t="n"/>
      <c r="AA191" s="176" t="n"/>
      <c r="AB191" s="181">
        <f>SWITCH('CONFIGURAÇÃO'!$AB$188,"Origem","PERÍCIA 1","Marcante","ORIGEM","Menor","ORIGEM","Arma","CATEGORIA","Escudo","","Uniforme","GRAU MÍNIMO","Item comum","","Ferramenta amaldiçoada","BASE","")</f>
        <v/>
      </c>
      <c r="AC191" s="183" t="n"/>
      <c r="AD191" s="185" t="n"/>
      <c r="AE191" s="182" t="n"/>
      <c r="AF191" s="182" t="n"/>
      <c r="AG191" s="183" t="n"/>
      <c r="AH191" s="176" t="n"/>
      <c r="AI191" s="176" t="n"/>
      <c r="AJ191" s="176" t="n"/>
      <c r="AK191" s="176" t="n"/>
      <c r="AL191" s="176" t="n"/>
      <c r="AM191" s="176" t="n"/>
      <c r="AN191" s="176" t="n"/>
      <c r="AO191" s="176" t="n"/>
      <c r="AP191" s="176" t="n"/>
      <c r="AQ191" s="176" t="n"/>
      <c r="AR191" s="176" t="n"/>
      <c r="AS191" s="176" t="n"/>
      <c r="AT191" s="176" t="n"/>
      <c r="AU191" s="176" t="n"/>
      <c r="AV191" s="176" t="n"/>
      <c r="AW191" s="176" t="n"/>
      <c r="AX191" s="176" t="n"/>
      <c r="AY191" s="176" t="n"/>
      <c r="AZ191" s="176" t="n"/>
      <c r="BA191" s="176" t="n"/>
      <c r="BB191" s="176" t="n"/>
      <c r="BC191" s="176" t="n"/>
      <c r="BD191" s="176" t="n"/>
      <c r="BE191" s="176" t="n"/>
      <c r="BF191" s="176" t="n"/>
      <c r="BG191" s="176" t="n"/>
      <c r="BH191" s="176" t="n"/>
      <c r="BI191" s="176" t="n"/>
      <c r="BJ191" s="176" t="n"/>
      <c r="BK191" s="176" t="n"/>
      <c r="BL191" s="176" t="n"/>
      <c r="BM191" s="176" t="n"/>
      <c r="BN191" s="176" t="n"/>
      <c r="BO191" s="176" t="n"/>
      <c r="BP191" s="176" t="n"/>
      <c r="BQ191" s="176" t="n"/>
      <c r="BR191" s="176" t="n"/>
      <c r="BS191" s="176" t="n"/>
      <c r="BT191" s="176" t="n"/>
      <c r="BU191" s="176" t="n"/>
      <c r="BV191" s="176" t="n"/>
      <c r="BW191" s="176" t="n"/>
      <c r="BX191" s="176" t="n"/>
      <c r="BY191" s="176" t="n"/>
      <c r="BZ191" s="176" t="n"/>
      <c r="CA191" s="176" t="n"/>
      <c r="CB191" s="176" t="n"/>
      <c r="CC191" s="176" t="n"/>
      <c r="CD191" s="176" t="n"/>
      <c r="CE191" s="176" t="n"/>
      <c r="CF191" s="176" t="n"/>
      <c r="CG191" s="176" t="n"/>
      <c r="CH191" s="176" t="n"/>
      <c r="CI191" s="176" t="n"/>
      <c r="CJ191" s="176" t="n"/>
      <c r="CK191" s="176" t="n"/>
      <c r="CL191" s="176" t="n"/>
      <c r="CM191" s="176" t="n"/>
      <c r="CN191" s="176" t="n"/>
      <c r="CO191" s="176" t="n"/>
      <c r="CP191" s="176" t="n"/>
      <c r="CQ191" s="176" t="n"/>
      <c r="CR191" s="176" t="n"/>
      <c r="CS191" s="176" t="n"/>
      <c r="CT191" s="176" t="n"/>
      <c r="CU191" s="176" t="n"/>
      <c r="CV191" s="176" t="n"/>
      <c r="CW191" s="176" t="n"/>
      <c r="CX191" s="176" t="n"/>
      <c r="CY191" s="176" t="n"/>
      <c r="CZ191" s="176" t="n"/>
      <c r="DG191" s="176" t="n"/>
      <c r="DH191" s="176" t="n"/>
      <c r="DO191" s="176" t="n"/>
      <c r="DP191" s="176" t="n"/>
      <c r="DQ191" s="176" t="n"/>
      <c r="DR191" s="185" t="n"/>
      <c r="DS191" s="182" t="n"/>
      <c r="DT191" s="182" t="n"/>
      <c r="DU191" s="182" t="n"/>
      <c r="DV191" s="182" t="n"/>
      <c r="DW191" s="183" t="n"/>
      <c r="DX191" s="176" t="n"/>
      <c r="DY191" s="176" t="n"/>
      <c r="DZ191" s="185" t="n"/>
      <c r="EA191" s="182" t="n"/>
      <c r="EB191" s="182" t="n"/>
      <c r="EC191" s="182" t="n"/>
      <c r="ED191" s="182" t="n"/>
      <c r="EE191" s="183" t="n"/>
      <c r="EF191" s="176" t="n"/>
      <c r="EG191" s="176" t="n"/>
      <c r="EH191" s="176" t="n"/>
      <c r="EI191" s="176" t="n"/>
      <c r="EJ191" s="176" t="n"/>
      <c r="EK191" s="176" t="n"/>
      <c r="EL191" s="176" t="n"/>
      <c r="EM191" s="176" t="n"/>
      <c r="EN191" s="176" t="n"/>
      <c r="EO191" s="176" t="n"/>
      <c r="EP191" s="176" t="n"/>
      <c r="EQ191" s="176" t="n"/>
      <c r="ER191" s="176" t="n"/>
      <c r="ES191" s="176" t="n"/>
      <c r="ET191" s="176" t="n"/>
      <c r="EU191" s="176" t="n"/>
      <c r="EV191" s="176" t="n"/>
      <c r="EW191" s="176" t="n"/>
      <c r="EX191" s="176" t="n"/>
      <c r="EY191" s="176" t="n"/>
      <c r="EZ191" s="176" t="n"/>
      <c r="FA191" s="176" t="n"/>
      <c r="FB191" s="176" t="n"/>
      <c r="FC191" s="176" t="n"/>
      <c r="FD191" s="176" t="n"/>
      <c r="FE191" s="176" t="n"/>
      <c r="FF191" s="176" t="n"/>
      <c r="FG191" s="176" t="n"/>
      <c r="FH191" s="176" t="n"/>
      <c r="FI191" s="176" t="n"/>
      <c r="FJ191" s="176" t="n"/>
      <c r="FK191" s="176" t="n"/>
      <c r="FL191" s="176" t="n"/>
      <c r="FM191" s="176" t="n"/>
      <c r="FN191" s="176" t="n"/>
      <c r="FO191" s="176" t="n"/>
      <c r="FP191" s="176" t="n"/>
      <c r="FQ191" s="176" t="n"/>
      <c r="FR191" s="176" t="n"/>
      <c r="FS191" s="176" t="n"/>
      <c r="FT191" s="176" t="n"/>
      <c r="FU191" s="176" t="n"/>
      <c r="FV191" s="176" t="n"/>
      <c r="FW191" s="176" t="n"/>
      <c r="FX191" s="176" t="n"/>
      <c r="FY191" s="176" t="n"/>
      <c r="FZ191" s="176" t="n"/>
      <c r="GA191" s="176" t="n"/>
      <c r="GB191" s="176" t="n"/>
      <c r="GC191" s="176" t="n"/>
      <c r="GD191" s="176" t="n"/>
      <c r="GE191" s="176" t="n"/>
      <c r="GF191" s="176" t="n"/>
      <c r="GG191" s="176" t="n"/>
      <c r="GH191" s="176" t="n"/>
      <c r="GI191" s="176" t="n"/>
      <c r="GJ191" s="176" t="n"/>
      <c r="GK191" s="176" t="n"/>
      <c r="GL191" s="176" t="n"/>
      <c r="GM191" s="176" t="n"/>
      <c r="GN191" s="176" t="n"/>
      <c r="GO191" s="176" t="n"/>
      <c r="GP191" s="176" t="n"/>
      <c r="GQ191" s="176" t="n"/>
      <c r="GR191" s="176" t="n"/>
      <c r="GS191" s="176" t="n"/>
      <c r="GT191" s="176" t="n"/>
      <c r="GU191" s="176" t="n"/>
      <c r="GV191" s="176" t="n"/>
      <c r="GW191" s="176" t="n"/>
      <c r="GX191" s="176" t="n"/>
      <c r="GY191" s="176" t="n"/>
      <c r="GZ191" s="176" t="n"/>
      <c r="HA191" s="176" t="n"/>
      <c r="HB191" s="176" t="n"/>
      <c r="HC191" s="176" t="n"/>
      <c r="HD191" s="176" t="n"/>
      <c r="HE191" s="176" t="n"/>
      <c r="HF191" s="176" t="n"/>
      <c r="HG191" s="176" t="n"/>
      <c r="HH191" s="176" t="n"/>
      <c r="HI191" s="176" t="n"/>
      <c r="HJ191" s="176" t="n"/>
      <c r="HK191" s="176" t="n"/>
      <c r="HL191" s="176" t="n"/>
      <c r="HM191" s="176" t="n"/>
      <c r="HN191" s="176" t="n"/>
      <c r="HO191" s="176" t="n"/>
      <c r="HP191" s="192" t="n"/>
      <c r="HQ191" s="187" t="n"/>
      <c r="HR191" s="187" t="n"/>
      <c r="HS191" s="187" t="n"/>
      <c r="HT191" s="187" t="n"/>
      <c r="HU191" s="188" t="n"/>
      <c r="HV191" s="176" t="n"/>
      <c r="HW191" s="176" t="n"/>
      <c r="HX191" s="192" t="n"/>
      <c r="HY191" s="187" t="n"/>
      <c r="HZ191" s="187" t="n"/>
      <c r="IA191" s="187" t="n"/>
      <c r="IB191" s="187" t="n"/>
      <c r="IC191" s="188" t="n"/>
      <c r="ID191" s="176" t="n"/>
    </row>
    <row r="192" ht="18.75" customHeight="1">
      <c r="A192" s="176" t="n"/>
      <c r="B192" s="176" t="n"/>
      <c r="C192" s="176" t="n"/>
      <c r="D192" s="176" t="n"/>
      <c r="E192" s="176" t="n"/>
      <c r="F192" s="176" t="n"/>
      <c r="G192" s="176" t="n"/>
      <c r="H192" s="176" t="n"/>
      <c r="I192" s="176" t="n"/>
      <c r="J192" s="176" t="n"/>
      <c r="K192" s="176" t="n"/>
      <c r="L192" s="176" t="n"/>
      <c r="M192" s="176" t="n"/>
      <c r="N192" s="176" t="n"/>
      <c r="O192" s="176" t="n"/>
      <c r="P192" s="176" t="n"/>
      <c r="Q192" s="176" t="n"/>
      <c r="R192" s="176" t="n"/>
      <c r="S192" s="176" t="n"/>
      <c r="T192" s="181">
        <f>SWITCH('CONFIGURAÇÃO'!$T$188,"Origem","PERÍCIA 2","Marcante","","Menor","EXIGE MARCANTE","Arma","MÃO","Escudo","","Uniforme","","Item comum","","Ferramenta amaldiçoada","GRAU","")</f>
        <v/>
      </c>
      <c r="U192" s="183" t="n"/>
      <c r="V192" s="185" t="n"/>
      <c r="W192" s="182" t="n"/>
      <c r="X192" s="182" t="n"/>
      <c r="Y192" s="183" t="n"/>
      <c r="Z192" s="176" t="n"/>
      <c r="AA192" s="176" t="n"/>
      <c r="AB192" s="181">
        <f>SWITCH('CONFIGURAÇÃO'!$AB$188,"Origem","PERÍCIA 2","Marcante","","Menor","EXIGE MARCANTE","Arma","MÃO","Escudo","","Uniforme","","Item comum","","Ferramenta amaldiçoada","GRAU","")</f>
        <v/>
      </c>
      <c r="AC192" s="183" t="n"/>
      <c r="AD192" s="185" t="n"/>
      <c r="AE192" s="182" t="n"/>
      <c r="AF192" s="182" t="n"/>
      <c r="AG192" s="183" t="n"/>
      <c r="AH192" s="176" t="n"/>
      <c r="AI192" s="176" t="n"/>
      <c r="AJ192" s="176" t="n"/>
      <c r="AK192" s="176" t="n"/>
      <c r="AL192" s="176" t="n"/>
      <c r="AM192" s="176" t="n"/>
      <c r="AN192" s="176" t="n"/>
      <c r="AO192" s="176" t="n"/>
      <c r="AP192" s="176" t="n"/>
      <c r="AQ192" s="176" t="n"/>
      <c r="AR192" s="176" t="n"/>
      <c r="AS192" s="176" t="n"/>
      <c r="AT192" s="176" t="n"/>
      <c r="AU192" s="176" t="n"/>
      <c r="AV192" s="176" t="n"/>
      <c r="AW192" s="176" t="n"/>
      <c r="AX192" s="176" t="n"/>
      <c r="AY192" s="176" t="n"/>
      <c r="AZ192" s="176" t="n"/>
      <c r="BA192" s="176" t="n"/>
      <c r="BB192" s="176" t="n"/>
      <c r="BC192" s="176" t="n"/>
      <c r="BD192" s="176" t="n"/>
      <c r="BE192" s="176" t="n"/>
      <c r="BF192" s="176" t="n"/>
      <c r="BG192" s="176" t="n"/>
      <c r="BH192" s="176" t="n"/>
      <c r="BI192" s="176" t="n"/>
      <c r="BJ192" s="176" t="n"/>
      <c r="BK192" s="176" t="n"/>
      <c r="BL192" s="176" t="n"/>
      <c r="BM192" s="176" t="n"/>
      <c r="BN192" s="176" t="n"/>
      <c r="BO192" s="176" t="n"/>
      <c r="BP192" s="176" t="n"/>
      <c r="BQ192" s="176" t="n"/>
      <c r="BR192" s="176" t="n"/>
      <c r="BS192" s="176" t="n"/>
      <c r="BT192" s="176" t="n"/>
      <c r="BU192" s="176" t="n"/>
      <c r="BV192" s="176" t="n"/>
      <c r="BW192" s="176" t="n"/>
      <c r="BX192" s="176" t="n"/>
      <c r="BY192" s="176" t="n"/>
      <c r="BZ192" s="176" t="n"/>
      <c r="CA192" s="176" t="n"/>
      <c r="CB192" s="176" t="n"/>
      <c r="CC192" s="176" t="n"/>
      <c r="CD192" s="176" t="n"/>
      <c r="CE192" s="176" t="n"/>
      <c r="CF192" s="176" t="n"/>
      <c r="CG192" s="176" t="n"/>
      <c r="CH192" s="176" t="n"/>
      <c r="CI192" s="176" t="n"/>
      <c r="CJ192" s="176" t="n"/>
      <c r="CK192" s="176" t="n"/>
      <c r="CL192" s="176" t="n"/>
      <c r="CM192" s="176" t="n"/>
      <c r="CN192" s="176" t="n"/>
      <c r="CO192" s="176" t="n"/>
      <c r="CP192" s="176" t="n"/>
      <c r="CQ192" s="176" t="n"/>
      <c r="CR192" s="176" t="n"/>
      <c r="CS192" s="176" t="n"/>
      <c r="CT192" s="176" t="n"/>
      <c r="CU192" s="176" t="n"/>
      <c r="CV192" s="176" t="n"/>
      <c r="CW192" s="176" t="n"/>
      <c r="CX192" s="176" t="n"/>
      <c r="CY192" s="176" t="n"/>
      <c r="CZ192" s="176" t="n"/>
      <c r="DA192" s="176" t="n"/>
      <c r="DB192" s="176" t="n"/>
      <c r="DC192" s="176" t="n"/>
      <c r="DD192" s="176" t="n"/>
      <c r="DE192" s="176" t="n"/>
      <c r="DF192" s="176" t="n"/>
      <c r="DG192" s="176" t="n"/>
      <c r="DH192" s="176" t="n"/>
      <c r="DI192" s="176" t="n"/>
      <c r="DJ192" s="176" t="n"/>
      <c r="DK192" s="176" t="n"/>
      <c r="DL192" s="176" t="n"/>
      <c r="DM192" s="176" t="n"/>
      <c r="DN192" s="176" t="n"/>
      <c r="DO192" s="176" t="n"/>
      <c r="DP192" s="176" t="n"/>
      <c r="DQ192" s="176" t="n"/>
      <c r="DR192" s="181" t="inlineStr">
        <is>
          <t>BASE DO LIVRO</t>
        </is>
      </c>
      <c r="DS192" s="182" t="n"/>
      <c r="DT192" s="183" t="n"/>
      <c r="DU192" s="185" t="inlineStr">
        <is>
          <t>Nenhuma</t>
        </is>
      </c>
      <c r="DV192" s="182" t="n"/>
      <c r="DW192" s="183" t="n"/>
      <c r="DX192" s="176" t="n"/>
      <c r="DY192" s="176" t="n"/>
      <c r="DZ192" s="181" t="inlineStr">
        <is>
          <t>BASE DO LIVRO</t>
        </is>
      </c>
      <c r="EA192" s="182" t="n"/>
      <c r="EB192" s="183" t="n"/>
      <c r="EC192" s="185" t="inlineStr">
        <is>
          <t>Nenhuma</t>
        </is>
      </c>
      <c r="ED192" s="182" t="n"/>
      <c r="EE192" s="183" t="n"/>
      <c r="EF192" s="176" t="n"/>
      <c r="EG192" s="176" t="n"/>
      <c r="EH192" s="176" t="n"/>
      <c r="EI192" s="176" t="n"/>
      <c r="EJ192" s="176" t="n"/>
      <c r="EK192" s="176" t="n"/>
      <c r="EL192" s="176" t="n"/>
      <c r="EM192" s="176" t="n"/>
      <c r="EN192" s="176" t="n"/>
      <c r="EO192" s="176" t="n"/>
      <c r="EP192" s="176" t="n"/>
      <c r="EQ192" s="176" t="n"/>
      <c r="ER192" s="176" t="n"/>
      <c r="ES192" s="176" t="n"/>
      <c r="ET192" s="176" t="n"/>
      <c r="EU192" s="176" t="n"/>
      <c r="EV192" s="176" t="n"/>
      <c r="EW192" s="176" t="n"/>
      <c r="EX192" s="176" t="n"/>
      <c r="EY192" s="176" t="n"/>
      <c r="EZ192" s="176" t="n"/>
      <c r="FA192" s="176" t="n"/>
      <c r="FB192" s="176" t="n"/>
      <c r="FC192" s="176" t="n"/>
      <c r="FD192" s="176" t="n"/>
      <c r="FE192" s="176" t="n"/>
      <c r="FF192" s="176" t="n"/>
      <c r="FG192" s="176" t="n"/>
      <c r="FH192" s="176" t="n"/>
      <c r="FI192" s="176" t="n"/>
      <c r="FJ192" s="176" t="n"/>
      <c r="FK192" s="176" t="n"/>
      <c r="FL192" s="176" t="n"/>
      <c r="FM192" s="176" t="n"/>
      <c r="FN192" s="176" t="n"/>
      <c r="FO192" s="176" t="n"/>
      <c r="FP192" s="176" t="n"/>
      <c r="FQ192" s="176" t="n"/>
      <c r="FR192" s="176" t="n"/>
      <c r="FS192" s="176" t="n"/>
      <c r="FT192" s="176" t="n"/>
      <c r="FU192" s="176" t="n"/>
      <c r="FV192" s="176" t="n"/>
      <c r="FW192" s="176" t="n"/>
      <c r="FX192" s="176" t="n"/>
      <c r="FY192" s="176" t="n"/>
      <c r="FZ192" s="176" t="n"/>
      <c r="GA192" s="176" t="n"/>
      <c r="GB192" s="176" t="n"/>
      <c r="GC192" s="176" t="n"/>
      <c r="GD192" s="176" t="n"/>
      <c r="GE192" s="176" t="n"/>
      <c r="GF192" s="176" t="n"/>
      <c r="GG192" s="176" t="n"/>
      <c r="GH192" s="176" t="n"/>
      <c r="GI192" s="176" t="n"/>
      <c r="GJ192" s="176" t="n"/>
      <c r="GK192" s="176" t="n"/>
      <c r="GL192" s="176" t="n"/>
      <c r="GM192" s="176" t="n"/>
      <c r="GN192" s="176" t="n"/>
      <c r="GO192" s="176" t="n"/>
      <c r="GP192" s="176" t="n"/>
      <c r="GQ192" s="176" t="n"/>
      <c r="GR192" s="176" t="n"/>
      <c r="GS192" s="176" t="n"/>
      <c r="GT192" s="176" t="n"/>
      <c r="GU192" s="176" t="n"/>
      <c r="GV192" s="176" t="n"/>
      <c r="GW192" s="176" t="n"/>
      <c r="GX192" s="176" t="n"/>
      <c r="GY192" s="176" t="n"/>
      <c r="GZ192" s="176" t="n"/>
      <c r="HA192" s="176" t="n"/>
      <c r="HB192" s="176" t="n"/>
      <c r="HC192" s="176" t="n"/>
      <c r="HD192" s="176" t="n"/>
      <c r="HE192" s="176" t="n"/>
      <c r="HF192" s="176" t="n"/>
      <c r="HG192" s="176" t="n"/>
      <c r="HH192" s="176" t="n"/>
      <c r="HI192" s="176" t="n"/>
      <c r="HJ192" s="176" t="n"/>
      <c r="HK192" s="176" t="n"/>
      <c r="HL192" s="176" t="n"/>
      <c r="HM192" s="176" t="n"/>
      <c r="HN192" s="176" t="n"/>
      <c r="HO192" s="176" t="n"/>
      <c r="HP192" s="193" t="n"/>
      <c r="HU192" s="194" t="n"/>
      <c r="HV192" s="176" t="n"/>
      <c r="HW192" s="176" t="n"/>
      <c r="HX192" s="193" t="n"/>
      <c r="IC192" s="194" t="n"/>
      <c r="ID192" s="176" t="n"/>
    </row>
    <row r="193" ht="18.75" customHeight="1">
      <c r="A193" s="176" t="n"/>
      <c r="B193" s="176" t="n"/>
      <c r="C193" s="176" t="n"/>
      <c r="D193" s="176" t="n"/>
      <c r="E193" s="176" t="n"/>
      <c r="F193" s="176" t="n"/>
      <c r="G193" s="176" t="n"/>
      <c r="H193" s="176" t="n"/>
      <c r="I193" s="176" t="n"/>
      <c r="J193" s="176" t="n"/>
      <c r="K193" s="176" t="n"/>
      <c r="L193" s="176" t="n"/>
      <c r="M193" s="176" t="n"/>
      <c r="N193" s="176" t="n"/>
      <c r="O193" s="176" t="n"/>
      <c r="P193" s="176" t="n"/>
      <c r="Q193" s="176" t="n"/>
      <c r="R193" s="176" t="n"/>
      <c r="S193" s="176" t="n"/>
      <c r="T193" s="181">
        <f>SWITCH('CONFIGURAÇÃO'!$T$188,"Origem","PERÍCIA 3","Marcante","","Menor","","Arma","TIPO DE DANO","Escudo","","Uniforme","","Item comum","","Ferramenta amaldiçoada","","")</f>
        <v/>
      </c>
      <c r="U193" s="183" t="n"/>
      <c r="V193" s="185" t="n"/>
      <c r="W193" s="182" t="n"/>
      <c r="X193" s="182" t="n"/>
      <c r="Y193" s="183" t="n"/>
      <c r="Z193" s="176" t="n"/>
      <c r="AA193" s="176" t="n"/>
      <c r="AB193" s="181">
        <f>SWITCH('CONFIGURAÇÃO'!$AB$188,"Origem","PERÍCIA 3","Marcante","","Menor","","Arma","TIPO DE DANO","Escudo","","Uniforme","","Item comum","","Ferramenta amaldiçoada","","")</f>
        <v/>
      </c>
      <c r="AC193" s="183" t="n"/>
      <c r="AD193" s="185" t="n"/>
      <c r="AE193" s="182" t="n"/>
      <c r="AF193" s="182" t="n"/>
      <c r="AG193" s="183" t="n"/>
      <c r="AH193" s="176" t="n"/>
      <c r="AI193" s="176" t="n"/>
      <c r="AJ193" s="176" t="n"/>
      <c r="AK193" s="176" t="n"/>
      <c r="AL193" s="176" t="n"/>
      <c r="AM193" s="176" t="n"/>
      <c r="AN193" s="176" t="n"/>
      <c r="AO193" s="176" t="n"/>
      <c r="AP193" s="176" t="n"/>
      <c r="AQ193" s="176" t="n"/>
      <c r="AR193" s="176" t="n"/>
      <c r="AS193" s="176" t="n"/>
      <c r="AT193" s="176" t="n"/>
      <c r="AU193" s="176" t="n"/>
      <c r="AV193" s="176" t="n"/>
      <c r="AW193" s="176" t="n"/>
      <c r="AX193" s="176" t="n"/>
      <c r="AY193" s="176" t="n"/>
      <c r="AZ193" s="176" t="n"/>
      <c r="BA193" s="176" t="n"/>
      <c r="BB193" s="176" t="n"/>
      <c r="BC193" s="176" t="n"/>
      <c r="BD193" s="176" t="n"/>
      <c r="BE193" s="176" t="n"/>
      <c r="BF193" s="176" t="n"/>
      <c r="BG193" s="176" t="n"/>
      <c r="BH193" s="176" t="n"/>
      <c r="BI193" s="176" t="n"/>
      <c r="BJ193" s="176" t="n"/>
      <c r="BK193" s="176" t="n"/>
      <c r="BL193" s="176" t="n"/>
      <c r="BM193" s="176" t="n"/>
      <c r="BN193" s="176" t="n"/>
      <c r="BO193" s="176" t="n"/>
      <c r="BP193" s="176" t="n"/>
      <c r="BQ193" s="176" t="n"/>
      <c r="BR193" s="176" t="n"/>
      <c r="BS193" s="176" t="n"/>
      <c r="BT193" s="176" t="n"/>
      <c r="BU193" s="176" t="n"/>
      <c r="BV193" s="176" t="n"/>
      <c r="BW193" s="176" t="n"/>
      <c r="BX193" s="176" t="n"/>
      <c r="BY193" s="176" t="n"/>
      <c r="BZ193" s="176" t="n"/>
      <c r="CA193" s="176" t="n"/>
      <c r="CB193" s="176" t="n"/>
      <c r="CC193" s="176" t="n"/>
      <c r="CD193" s="176" t="n"/>
      <c r="CE193" s="176" t="n"/>
      <c r="CF193" s="176" t="n"/>
      <c r="CG193" s="176" t="n"/>
      <c r="CH193" s="176" t="n"/>
      <c r="CI193" s="176" t="n"/>
      <c r="CJ193" s="176" t="n"/>
      <c r="CK193" s="176" t="n"/>
      <c r="CL193" s="176" t="n"/>
      <c r="CM193" s="176" t="n"/>
      <c r="CN193" s="176" t="n"/>
      <c r="CO193" s="176" t="n"/>
      <c r="CP193" s="176" t="n"/>
      <c r="CQ193" s="176" t="n"/>
      <c r="CR193" s="176" t="n"/>
      <c r="CS193" s="176" t="n"/>
      <c r="CT193" s="176" t="n"/>
      <c r="CU193" s="176" t="n"/>
      <c r="CV193" s="176" t="n"/>
      <c r="CW193" s="176" t="n"/>
      <c r="CX193" s="176" t="n"/>
      <c r="CY193" s="176" t="n"/>
      <c r="CZ193" s="176" t="n"/>
      <c r="DA193" s="179" t="inlineStr">
        <is>
          <t>MELHORIA · 15</t>
        </is>
      </c>
      <c r="DG193" s="176" t="n"/>
      <c r="DH193" s="176" t="n"/>
      <c r="DI193" s="179" t="inlineStr">
        <is>
          <t>MELHORIA · 16</t>
        </is>
      </c>
      <c r="DO193" s="176" t="n"/>
      <c r="DP193" s="176" t="n"/>
      <c r="DQ193" s="176" t="n"/>
      <c r="DR193" s="181" t="inlineStr">
        <is>
          <t>DEVOLUÇÃO</t>
        </is>
      </c>
      <c r="DS193" s="182" t="n"/>
      <c r="DT193" s="183" t="n"/>
      <c r="DU193" s="185" t="n"/>
      <c r="DV193" s="182" t="n"/>
      <c r="DW193" s="183" t="n"/>
      <c r="DX193" s="176" t="n"/>
      <c r="DY193" s="176" t="n"/>
      <c r="DZ193" s="181" t="inlineStr">
        <is>
          <t>DEVOLUÇÃO</t>
        </is>
      </c>
      <c r="EA193" s="182" t="n"/>
      <c r="EB193" s="183" t="n"/>
      <c r="EC193" s="185" t="n"/>
      <c r="ED193" s="182" t="n"/>
      <c r="EE193" s="183" t="n"/>
      <c r="EF193" s="176" t="n"/>
      <c r="EG193" s="176" t="n"/>
      <c r="EH193" s="176" t="n"/>
      <c r="EI193" s="176" t="n"/>
      <c r="EJ193" s="176" t="n"/>
      <c r="EK193" s="176" t="n"/>
      <c r="EL193" s="176" t="n"/>
      <c r="EM193" s="176" t="n"/>
      <c r="EN193" s="176" t="n"/>
      <c r="EO193" s="176" t="n"/>
      <c r="EP193" s="176" t="n"/>
      <c r="EQ193" s="176" t="n"/>
      <c r="ER193" s="176" t="n"/>
      <c r="ES193" s="176" t="n"/>
      <c r="ET193" s="176" t="n"/>
      <c r="EU193" s="176" t="n"/>
      <c r="EV193" s="176" t="n"/>
      <c r="EW193" s="176" t="n"/>
      <c r="EX193" s="176" t="n"/>
      <c r="EY193" s="176" t="n"/>
      <c r="EZ193" s="180">
        <f>IF('DADOS_FORMAS'!$AD8="","","⚠ "&amp;'DADOS_FORMAS'!$AD8)</f>
        <v/>
      </c>
      <c r="FF193" s="176" t="n"/>
      <c r="FG193" s="176" t="n"/>
      <c r="FH193" s="180">
        <f>IF('DADOS_FORMAS'!$AD9="","","⚠ "&amp;'DADOS_FORMAS'!$AD9)</f>
        <v/>
      </c>
      <c r="FN193" s="176" t="n"/>
      <c r="FO193" s="176" t="n"/>
      <c r="FP193" s="176" t="n"/>
      <c r="FQ193" s="176" t="n"/>
      <c r="FR193" s="176" t="n"/>
      <c r="FS193" s="176" t="n"/>
      <c r="FT193" s="176" t="n"/>
      <c r="FU193" s="176" t="n"/>
      <c r="FV193" s="176" t="n"/>
      <c r="FW193" s="176" t="n"/>
      <c r="FX193" s="176" t="n"/>
      <c r="FY193" s="176" t="n"/>
      <c r="FZ193" s="176" t="n"/>
      <c r="GA193" s="176" t="n"/>
      <c r="GB193" s="176" t="n"/>
      <c r="GC193" s="176" t="n"/>
      <c r="GD193" s="176" t="n"/>
      <c r="GE193" s="176" t="n"/>
      <c r="GF193" s="176" t="n"/>
      <c r="GG193" s="176" t="n"/>
      <c r="GH193" s="176" t="n"/>
      <c r="GI193" s="176" t="n"/>
      <c r="GJ193" s="176" t="n"/>
      <c r="GK193" s="176" t="n"/>
      <c r="GL193" s="176" t="n"/>
      <c r="GM193" s="176" t="n"/>
      <c r="GN193" s="176" t="n"/>
      <c r="GO193" s="176" t="n"/>
      <c r="GP193" s="176" t="n"/>
      <c r="GQ193" s="176" t="n"/>
      <c r="GR193" s="176" t="n"/>
      <c r="GS193" s="176" t="n"/>
      <c r="GT193" s="176" t="n"/>
      <c r="GU193" s="176" t="n"/>
      <c r="GV193" s="176" t="n"/>
      <c r="GW193" s="176" t="n"/>
      <c r="GX193" s="176" t="n"/>
      <c r="GY193" s="176" t="n"/>
      <c r="GZ193" s="176" t="n"/>
      <c r="HA193" s="176" t="n"/>
      <c r="HB193" s="176" t="n"/>
      <c r="HC193" s="176" t="n"/>
      <c r="HD193" s="176" t="n"/>
      <c r="HE193" s="176" t="n"/>
      <c r="HF193" s="176" t="n"/>
      <c r="HG193" s="176" t="n"/>
      <c r="HH193" s="176" t="n"/>
      <c r="HI193" s="176" t="n"/>
      <c r="HJ193" s="176" t="n"/>
      <c r="HK193" s="176" t="n"/>
      <c r="HL193" s="176" t="n"/>
      <c r="HM193" s="176" t="n"/>
      <c r="HN193" s="176" t="n"/>
      <c r="HO193" s="176" t="n"/>
      <c r="HP193" s="189" t="n"/>
      <c r="HQ193" s="190" t="n"/>
      <c r="HR193" s="190" t="n"/>
      <c r="HS193" s="190" t="n"/>
      <c r="HT193" s="190" t="n"/>
      <c r="HU193" s="191" t="n"/>
      <c r="HV193" s="176" t="n"/>
      <c r="HW193" s="176" t="n"/>
      <c r="HX193" s="189" t="n"/>
      <c r="HY193" s="190" t="n"/>
      <c r="HZ193" s="190" t="n"/>
      <c r="IA193" s="190" t="n"/>
      <c r="IB193" s="190" t="n"/>
      <c r="IC193" s="191" t="n"/>
      <c r="ID193" s="176" t="n"/>
    </row>
    <row r="194" ht="18.75" customHeight="1">
      <c r="A194" s="176" t="n"/>
      <c r="B194" s="176" t="n"/>
      <c r="C194" s="176" t="n"/>
      <c r="D194" s="176" t="n"/>
      <c r="E194" s="176" t="n"/>
      <c r="F194" s="176" t="n"/>
      <c r="G194" s="176" t="n"/>
      <c r="H194" s="176" t="n"/>
      <c r="I194" s="176" t="n"/>
      <c r="J194" s="176" t="n"/>
      <c r="K194" s="176" t="n"/>
      <c r="L194" s="176" t="n"/>
      <c r="M194" s="176" t="n"/>
      <c r="N194" s="176" t="n"/>
      <c r="O194" s="176" t="n"/>
      <c r="P194" s="176" t="n"/>
      <c r="Q194" s="176" t="n"/>
      <c r="R194" s="176" t="n"/>
      <c r="S194" s="176" t="n"/>
      <c r="T194" s="181">
        <f>SWITCH('CONFIGURAÇÃO'!$T$188,"Origem","PERÍCIA 4","Marcante","","Menor","","Arma","PROPRIEDADE 1","Escudo","","Uniforme","","Item comum","","Ferramenta amaldiçoada","","")</f>
        <v/>
      </c>
      <c r="U194" s="183" t="n"/>
      <c r="V194" s="185" t="n"/>
      <c r="W194" s="182" t="n"/>
      <c r="X194" s="182" t="n"/>
      <c r="Y194" s="183" t="n"/>
      <c r="Z194" s="176" t="n"/>
      <c r="AA194" s="176" t="n"/>
      <c r="AB194" s="181">
        <f>SWITCH('CONFIGURAÇÃO'!$AB$188,"Origem","PERÍCIA 4","Marcante","","Menor","","Arma","PROPRIEDADE 1","Escudo","","Uniforme","","Item comum","","Ferramenta amaldiçoada","","")</f>
        <v/>
      </c>
      <c r="AC194" s="183" t="n"/>
      <c r="AD194" s="185" t="n"/>
      <c r="AE194" s="182" t="n"/>
      <c r="AF194" s="182" t="n"/>
      <c r="AG194" s="183" t="n"/>
      <c r="AH194" s="176" t="n"/>
      <c r="AI194" s="176" t="n"/>
      <c r="AJ194" s="176" t="n"/>
      <c r="AK194" s="176" t="n"/>
      <c r="AL194" s="176" t="n"/>
      <c r="AM194" s="176" t="n"/>
      <c r="AN194" s="176" t="n"/>
      <c r="AO194" s="176" t="n"/>
      <c r="AP194" s="176" t="n"/>
      <c r="AQ194" s="176" t="n"/>
      <c r="AR194" s="176" t="n"/>
      <c r="AS194" s="176" t="n"/>
      <c r="AT194" s="176" t="n"/>
      <c r="AU194" s="176" t="n"/>
      <c r="AV194" s="176" t="n"/>
      <c r="AW194" s="176" t="n"/>
      <c r="AX194" s="176" t="n"/>
      <c r="AY194" s="176" t="n"/>
      <c r="AZ194" s="176" t="n"/>
      <c r="BA194" s="176" t="n"/>
      <c r="BB194" s="176" t="n"/>
      <c r="BC194" s="176" t="n"/>
      <c r="BD194" s="176" t="n"/>
      <c r="BE194" s="176" t="n"/>
      <c r="BF194" s="176" t="n"/>
      <c r="BG194" s="176" t="n"/>
      <c r="BH194" s="176" t="n"/>
      <c r="BI194" s="176" t="n"/>
      <c r="BJ194" s="176" t="n"/>
      <c r="BK194" s="176" t="n"/>
      <c r="BL194" s="176" t="n"/>
      <c r="BM194" s="176" t="n"/>
      <c r="BN194" s="176" t="n"/>
      <c r="BO194" s="176" t="n"/>
      <c r="BP194" s="176" t="n"/>
      <c r="BQ194" s="176" t="n"/>
      <c r="BR194" s="176" t="n"/>
      <c r="BS194" s="176" t="n"/>
      <c r="BT194" s="176" t="n"/>
      <c r="BU194" s="176" t="n"/>
      <c r="BV194" s="176" t="n"/>
      <c r="BW194" s="176" t="n"/>
      <c r="BX194" s="176" t="n"/>
      <c r="BY194" s="176" t="n"/>
      <c r="BZ194" s="176" t="n"/>
      <c r="CA194" s="176" t="n"/>
      <c r="CB194" s="176" t="n"/>
      <c r="CC194" s="176" t="n"/>
      <c r="CD194" s="176" t="n"/>
      <c r="CE194" s="176" t="n"/>
      <c r="CF194" s="176" t="n"/>
      <c r="CG194" s="176" t="n"/>
      <c r="CH194" s="176" t="n"/>
      <c r="CI194" s="176" t="n"/>
      <c r="CJ194" s="176" t="n"/>
      <c r="CK194" s="176" t="n"/>
      <c r="CL194" s="176" t="n"/>
      <c r="CM194" s="176" t="n"/>
      <c r="CN194" s="176" t="n"/>
      <c r="CO194" s="176" t="n"/>
      <c r="CP194" s="176" t="n"/>
      <c r="CQ194" s="176" t="n"/>
      <c r="CR194" s="176" t="n"/>
      <c r="CS194" s="176" t="n"/>
      <c r="CT194" s="176" t="n"/>
      <c r="CU194" s="176" t="n"/>
      <c r="CV194" s="176" t="n"/>
      <c r="CW194" s="176" t="n"/>
      <c r="CX194" s="176" t="n"/>
      <c r="CY194" s="176" t="n"/>
      <c r="CZ194" s="176" t="n"/>
      <c r="DA194" s="181" t="inlineStr">
        <is>
          <t>TIPO</t>
        </is>
      </c>
      <c r="DB194" s="182" t="n"/>
      <c r="DC194" s="182" t="n"/>
      <c r="DD194" s="183" t="n"/>
      <c r="DE194" s="181" t="inlineStr">
        <is>
          <t>MESTRE VIU</t>
        </is>
      </c>
      <c r="DF194" s="183" t="n"/>
      <c r="DG194" s="176" t="n"/>
      <c r="DH194" s="176" t="n"/>
      <c r="DI194" s="181" t="inlineStr">
        <is>
          <t>TIPO</t>
        </is>
      </c>
      <c r="DJ194" s="182" t="n"/>
      <c r="DK194" s="182" t="n"/>
      <c r="DL194" s="183" t="n"/>
      <c r="DM194" s="181" t="inlineStr">
        <is>
          <t>MESTRE VIU</t>
        </is>
      </c>
      <c r="DN194" s="183" t="n"/>
      <c r="DO194" s="176" t="n"/>
      <c r="DP194" s="176" t="n"/>
      <c r="DQ194" s="176" t="n"/>
      <c r="DR194" s="181" t="inlineStr">
        <is>
          <t>FREQUÊNCIA</t>
        </is>
      </c>
      <c r="DS194" s="182" t="n"/>
      <c r="DT194" s="183" t="n"/>
      <c r="DU194" s="185" t="n"/>
      <c r="DV194" s="182" t="n"/>
      <c r="DW194" s="183" t="n"/>
      <c r="DX194" s="176" t="n"/>
      <c r="DY194" s="176" t="n"/>
      <c r="DZ194" s="181" t="inlineStr">
        <is>
          <t>FREQUÊNCIA</t>
        </is>
      </c>
      <c r="EA194" s="182" t="n"/>
      <c r="EB194" s="183" t="n"/>
      <c r="EC194" s="185" t="n"/>
      <c r="ED194" s="182" t="n"/>
      <c r="EE194" s="183" t="n"/>
      <c r="EF194" s="176" t="n"/>
      <c r="EG194" s="176" t="n"/>
      <c r="EH194" s="176" t="n"/>
      <c r="EI194" s="176" t="n"/>
      <c r="EJ194" s="176" t="n"/>
      <c r="EK194" s="176" t="n"/>
      <c r="EL194" s="176" t="n"/>
      <c r="EM194" s="176" t="n"/>
      <c r="EN194" s="176" t="n"/>
      <c r="EO194" s="176" t="n"/>
      <c r="EP194" s="176" t="n"/>
      <c r="EQ194" s="176" t="n"/>
      <c r="ER194" s="176" t="n"/>
      <c r="ES194" s="176" t="n"/>
      <c r="ET194" s="176" t="n"/>
      <c r="EU194" s="176" t="n"/>
      <c r="EV194" s="176" t="n"/>
      <c r="EW194" s="176" t="n"/>
      <c r="EX194" s="176" t="n"/>
      <c r="EY194" s="176" t="n"/>
      <c r="FF194" s="176" t="n"/>
      <c r="FG194" s="176" t="n"/>
      <c r="FN194" s="176" t="n"/>
      <c r="FO194" s="176" t="n"/>
      <c r="FP194" s="176" t="n"/>
      <c r="FQ194" s="176" t="n"/>
      <c r="FR194" s="176" t="n"/>
      <c r="FS194" s="176" t="n"/>
      <c r="FT194" s="176" t="n"/>
      <c r="FU194" s="176" t="n"/>
      <c r="FV194" s="176" t="n"/>
      <c r="FW194" s="176" t="n"/>
      <c r="FX194" s="176" t="n"/>
      <c r="FY194" s="176" t="n"/>
      <c r="FZ194" s="176" t="n"/>
      <c r="GA194" s="176" t="n"/>
      <c r="GB194" s="176" t="n"/>
      <c r="GC194" s="176" t="n"/>
      <c r="GD194" s="176" t="n"/>
      <c r="GE194" s="176" t="n"/>
      <c r="GF194" s="176" t="n"/>
      <c r="GG194" s="176" t="n"/>
      <c r="GH194" s="176" t="n"/>
      <c r="GI194" s="176" t="n"/>
      <c r="GJ194" s="176" t="n"/>
      <c r="GK194" s="176" t="n"/>
      <c r="GL194" s="176" t="n"/>
      <c r="GM194" s="176" t="n"/>
      <c r="GN194" s="176" t="n"/>
      <c r="GO194" s="176" t="n"/>
      <c r="GP194" s="176" t="n"/>
      <c r="GQ194" s="176" t="n"/>
      <c r="GR194" s="176" t="n"/>
      <c r="GS194" s="176" t="n"/>
      <c r="GT194" s="176" t="n"/>
      <c r="GU194" s="176" t="n"/>
      <c r="GV194" s="176" t="n"/>
      <c r="GW194" s="176" t="n"/>
      <c r="GX194" s="176" t="n"/>
      <c r="GY194" s="176" t="n"/>
      <c r="GZ194" s="176" t="n"/>
      <c r="HA194" s="176" t="n"/>
      <c r="HB194" s="176" t="n"/>
      <c r="HC194" s="176" t="n"/>
      <c r="HD194" s="176" t="n"/>
      <c r="HE194" s="176" t="n"/>
      <c r="HF194" s="176" t="n"/>
      <c r="HG194" s="176" t="n"/>
      <c r="HH194" s="176" t="n"/>
      <c r="HI194" s="176" t="n"/>
      <c r="HJ194" s="176" t="n"/>
      <c r="HK194" s="176" t="n"/>
      <c r="HL194" s="176" t="n"/>
      <c r="HM194" s="176" t="n"/>
      <c r="HN194" s="176" t="n"/>
      <c r="HO194" s="176" t="n"/>
      <c r="HP194" s="176" t="n"/>
      <c r="HQ194" s="176" t="n"/>
      <c r="HR194" s="176" t="n"/>
      <c r="HS194" s="176" t="n"/>
      <c r="HT194" s="176" t="n"/>
      <c r="HU194" s="176" t="n"/>
      <c r="HV194" s="176" t="n"/>
      <c r="HW194" s="176" t="n"/>
      <c r="HX194" s="176" t="n"/>
      <c r="HY194" s="176" t="n"/>
      <c r="HZ194" s="176" t="n"/>
      <c r="IA194" s="176" t="n"/>
      <c r="IB194" s="176" t="n"/>
      <c r="IC194" s="176" t="n"/>
      <c r="ID194" s="176" t="n"/>
    </row>
    <row r="195" ht="18.75" customHeight="1">
      <c r="A195" s="176" t="n"/>
      <c r="B195" s="176" t="n"/>
      <c r="C195" s="176" t="n"/>
      <c r="D195" s="176" t="n"/>
      <c r="E195" s="176" t="n"/>
      <c r="F195" s="176" t="n"/>
      <c r="G195" s="176" t="n"/>
      <c r="H195" s="176" t="n"/>
      <c r="I195" s="176" t="n"/>
      <c r="J195" s="176" t="n"/>
      <c r="K195" s="176" t="n"/>
      <c r="L195" s="176" t="n"/>
      <c r="M195" s="176" t="n"/>
      <c r="N195" s="176" t="n"/>
      <c r="O195" s="176" t="n"/>
      <c r="P195" s="176" t="n"/>
      <c r="Q195" s="176" t="n"/>
      <c r="R195" s="176" t="n"/>
      <c r="S195" s="176" t="n"/>
      <c r="T195" s="181">
        <f>SWITCH('CONFIGURAÇÃO'!$T$188,"Origem","ROTA","Marcante","","Menor","","Arma","PROPRIEDADE 2","Escudo","","Uniforme","","Item comum","","Ferramenta amaldiçoada","","")</f>
        <v/>
      </c>
      <c r="U195" s="183" t="n"/>
      <c r="V195" s="185" t="n"/>
      <c r="W195" s="182" t="n"/>
      <c r="X195" s="182" t="n"/>
      <c r="Y195" s="183" t="n"/>
      <c r="Z195" s="176" t="n"/>
      <c r="AA195" s="176" t="n"/>
      <c r="AB195" s="181">
        <f>SWITCH('CONFIGURAÇÃO'!$AB$188,"Origem","ROTA","Marcante","","Menor","","Arma","PROPRIEDADE 2","Escudo","","Uniforme","","Item comum","","Ferramenta amaldiçoada","","")</f>
        <v/>
      </c>
      <c r="AC195" s="183" t="n"/>
      <c r="AD195" s="185" t="n"/>
      <c r="AE195" s="182" t="n"/>
      <c r="AF195" s="182" t="n"/>
      <c r="AG195" s="183" t="n"/>
      <c r="AH195" s="176" t="n"/>
      <c r="AI195" s="176" t="n"/>
      <c r="AJ195" s="176" t="n"/>
      <c r="AK195" s="176" t="n"/>
      <c r="AL195" s="176" t="n"/>
      <c r="AM195" s="176" t="n"/>
      <c r="AN195" s="176" t="n"/>
      <c r="AO195" s="176" t="n"/>
      <c r="AP195" s="176" t="n"/>
      <c r="AQ195" s="176" t="n"/>
      <c r="AR195" s="176" t="n"/>
      <c r="AS195" s="176" t="n"/>
      <c r="AT195" s="176" t="n"/>
      <c r="AU195" s="176" t="n"/>
      <c r="AV195" s="176" t="n"/>
      <c r="AW195" s="176" t="n"/>
      <c r="AX195" s="176" t="n"/>
      <c r="AY195" s="176" t="n"/>
      <c r="AZ195" s="176" t="n"/>
      <c r="BA195" s="176" t="n"/>
      <c r="BB195" s="176" t="n"/>
      <c r="BC195" s="176" t="n"/>
      <c r="BD195" s="176" t="n"/>
      <c r="BE195" s="176" t="n"/>
      <c r="BF195" s="176" t="n"/>
      <c r="BG195" s="176" t="n"/>
      <c r="BH195" s="176" t="n"/>
      <c r="BI195" s="176" t="n"/>
      <c r="BJ195" s="176" t="n"/>
      <c r="BK195" s="176" t="n"/>
      <c r="BL195" s="176" t="n"/>
      <c r="BM195" s="176" t="n"/>
      <c r="BN195" s="176" t="n"/>
      <c r="BO195" s="176" t="n"/>
      <c r="BP195" s="176" t="n"/>
      <c r="BQ195" s="176" t="n"/>
      <c r="BR195" s="176" t="n"/>
      <c r="BS195" s="176" t="n"/>
      <c r="BT195" s="176" t="n"/>
      <c r="BU195" s="176" t="n"/>
      <c r="BV195" s="176" t="n"/>
      <c r="BW195" s="176" t="n"/>
      <c r="BX195" s="176" t="n"/>
      <c r="BY195" s="176" t="n"/>
      <c r="BZ195" s="176" t="n"/>
      <c r="CA195" s="176" t="n"/>
      <c r="CB195" s="176" t="n"/>
      <c r="CC195" s="176" t="n"/>
      <c r="CD195" s="176" t="n"/>
      <c r="CE195" s="176" t="n"/>
      <c r="CF195" s="176" t="n"/>
      <c r="CG195" s="176" t="n"/>
      <c r="CH195" s="176" t="n"/>
      <c r="CI195" s="176" t="n"/>
      <c r="CJ195" s="176" t="n"/>
      <c r="CK195" s="176" t="n"/>
      <c r="CL195" s="176" t="n"/>
      <c r="CM195" s="176" t="n"/>
      <c r="CN195" s="176" t="n"/>
      <c r="CO195" s="176" t="n"/>
      <c r="CP195" s="176" t="n"/>
      <c r="CQ195" s="176" t="n"/>
      <c r="CR195" s="176" t="n"/>
      <c r="CS195" s="176" t="n"/>
      <c r="CT195" s="176" t="n"/>
      <c r="CU195" s="176" t="n"/>
      <c r="CV195" s="176" t="n"/>
      <c r="CW195" s="176" t="n"/>
      <c r="CX195" s="176" t="n"/>
      <c r="CY195" s="176" t="n"/>
      <c r="CZ195" s="176" t="n"/>
      <c r="DA195" s="185" t="inlineStr">
        <is>
          <t>Melhoria</t>
        </is>
      </c>
      <c r="DB195" s="182" t="n"/>
      <c r="DC195" s="182" t="n"/>
      <c r="DD195" s="183" t="n"/>
      <c r="DE195" s="184" t="b">
        <v>0</v>
      </c>
      <c r="DF195" s="183" t="n"/>
      <c r="DG195" s="176" t="n"/>
      <c r="DH195" s="176" t="n"/>
      <c r="DI195" s="185" t="inlineStr">
        <is>
          <t>Melhoria</t>
        </is>
      </c>
      <c r="DJ195" s="182" t="n"/>
      <c r="DK195" s="182" t="n"/>
      <c r="DL195" s="183" t="n"/>
      <c r="DM195" s="184" t="b">
        <v>0</v>
      </c>
      <c r="DN195" s="183" t="n"/>
      <c r="DO195" s="176" t="n"/>
      <c r="DP195" s="176" t="n"/>
      <c r="DQ195" s="176" t="n"/>
      <c r="DR195" s="176" t="n"/>
      <c r="DS195" s="176" t="n"/>
      <c r="DT195" s="176" t="n"/>
      <c r="DU195" s="176" t="n"/>
      <c r="DV195" s="176" t="n"/>
      <c r="DW195" s="176" t="n"/>
      <c r="DX195" s="176" t="n"/>
      <c r="DY195" s="176" t="n"/>
      <c r="DZ195" s="176" t="n"/>
      <c r="EA195" s="176" t="n"/>
      <c r="EB195" s="176" t="n"/>
      <c r="EC195" s="176" t="n"/>
      <c r="ED195" s="176" t="n"/>
      <c r="EE195" s="176" t="n"/>
      <c r="EF195" s="176" t="n"/>
      <c r="EG195" s="176" t="n"/>
      <c r="EH195" s="176" t="n"/>
      <c r="EI195" s="176" t="n"/>
      <c r="EJ195" s="176" t="n"/>
      <c r="EK195" s="176" t="n"/>
      <c r="EL195" s="176" t="n"/>
      <c r="EM195" s="176" t="n"/>
      <c r="EN195" s="176" t="n"/>
      <c r="EO195" s="176" t="n"/>
      <c r="EP195" s="176" t="n"/>
      <c r="EQ195" s="176" t="n"/>
      <c r="ER195" s="176" t="n"/>
      <c r="ES195" s="176" t="n"/>
      <c r="ET195" s="176" t="n"/>
      <c r="EU195" s="176" t="n"/>
      <c r="EV195" s="176" t="n"/>
      <c r="EW195" s="176" t="n"/>
      <c r="EX195" s="176" t="n"/>
      <c r="EY195" s="176" t="n"/>
      <c r="EZ195" s="176" t="n"/>
      <c r="FA195" s="176" t="n"/>
      <c r="FB195" s="176" t="n"/>
      <c r="FC195" s="176" t="n"/>
      <c r="FD195" s="176" t="n"/>
      <c r="FE195" s="176" t="n"/>
      <c r="FF195" s="176" t="n"/>
      <c r="FG195" s="176" t="n"/>
      <c r="FH195" s="176" t="n"/>
      <c r="FI195" s="176" t="n"/>
      <c r="FJ195" s="176" t="n"/>
      <c r="FK195" s="176" t="n"/>
      <c r="FL195" s="176" t="n"/>
      <c r="FM195" s="176" t="n"/>
      <c r="FN195" s="176" t="n"/>
      <c r="FO195" s="176" t="n"/>
      <c r="FP195" s="176" t="n"/>
      <c r="FQ195" s="176" t="n"/>
      <c r="FR195" s="176" t="n"/>
      <c r="FS195" s="176" t="n"/>
      <c r="FT195" s="176" t="n"/>
      <c r="FU195" s="176" t="n"/>
      <c r="FV195" s="176" t="n"/>
      <c r="FW195" s="176" t="n"/>
      <c r="FX195" s="176" t="n"/>
      <c r="FY195" s="176" t="n"/>
      <c r="FZ195" s="176" t="n"/>
      <c r="GA195" s="176" t="n"/>
      <c r="GB195" s="176" t="n"/>
      <c r="GC195" s="176" t="n"/>
      <c r="GD195" s="176" t="n"/>
      <c r="GE195" s="176" t="n"/>
      <c r="GF195" s="176" t="n"/>
      <c r="GG195" s="176" t="n"/>
      <c r="GH195" s="176" t="n"/>
      <c r="GI195" s="176" t="n"/>
      <c r="GJ195" s="176" t="n"/>
      <c r="GK195" s="176" t="n"/>
      <c r="GL195" s="176" t="n"/>
      <c r="GM195" s="176" t="n"/>
      <c r="GN195" s="176" t="n"/>
      <c r="GO195" s="176" t="n"/>
      <c r="GP195" s="176" t="n"/>
      <c r="GQ195" s="176" t="n"/>
      <c r="GR195" s="176" t="n"/>
      <c r="GS195" s="176" t="n"/>
      <c r="GT195" s="176" t="n"/>
      <c r="GU195" s="176" t="n"/>
      <c r="GV195" s="176" t="n"/>
      <c r="GW195" s="176" t="n"/>
      <c r="GX195" s="176" t="n"/>
      <c r="GY195" s="176" t="n"/>
      <c r="GZ195" s="176" t="n"/>
      <c r="HA195" s="176" t="n"/>
      <c r="HB195" s="176" t="n"/>
      <c r="HC195" s="176" t="n"/>
      <c r="HD195" s="176" t="n"/>
      <c r="HE195" s="176" t="n"/>
      <c r="HF195" s="176" t="n"/>
      <c r="HG195" s="176" t="n"/>
      <c r="HH195" s="176" t="n"/>
      <c r="HI195" s="176" t="n"/>
      <c r="HJ195" s="176" t="n"/>
      <c r="HK195" s="176" t="n"/>
      <c r="HL195" s="176" t="n"/>
      <c r="HM195" s="176" t="n"/>
      <c r="HN195" s="176" t="n"/>
      <c r="HO195" s="176" t="n"/>
      <c r="HP195" s="181" t="inlineStr">
        <is>
          <t>EFEITO</t>
        </is>
      </c>
      <c r="HQ195" s="182" t="n"/>
      <c r="HR195" s="182" t="n"/>
      <c r="HS195" s="182" t="n"/>
      <c r="HT195" s="182" t="n"/>
      <c r="HU195" s="183" t="n"/>
      <c r="HV195" s="176" t="n"/>
      <c r="HW195" s="176" t="n"/>
      <c r="HX195" s="181" t="inlineStr">
        <is>
          <t>EFEITO</t>
        </is>
      </c>
      <c r="HY195" s="182" t="n"/>
      <c r="HZ195" s="182" t="n"/>
      <c r="IA195" s="182" t="n"/>
      <c r="IB195" s="182" t="n"/>
      <c r="IC195" s="183" t="n"/>
      <c r="ID195" s="176" t="n"/>
    </row>
    <row r="196" ht="18.75" customHeight="1">
      <c r="A196" s="176" t="n"/>
      <c r="B196" s="176" t="n"/>
      <c r="C196" s="176" t="n"/>
      <c r="D196" s="176" t="n"/>
      <c r="E196" s="176" t="n"/>
      <c r="F196" s="176" t="n"/>
      <c r="G196" s="176" t="n"/>
      <c r="H196" s="176" t="n"/>
      <c r="I196" s="176" t="n"/>
      <c r="J196" s="176" t="n"/>
      <c r="K196" s="176" t="n"/>
      <c r="L196" s="176" t="n"/>
      <c r="M196" s="176" t="n"/>
      <c r="N196" s="176" t="n"/>
      <c r="O196" s="176" t="n"/>
      <c r="P196" s="176" t="n"/>
      <c r="Q196" s="176" t="n"/>
      <c r="R196" s="176" t="n"/>
      <c r="S196" s="176" t="n"/>
      <c r="T196" s="181">
        <f>SWITCH('CONFIGURAÇÃO'!$T$188,"Origem","BASE DO LIVRO","Marcante","","Menor","","Arma","PROPRIEDADE 3","Escudo","","Uniforme","","Item comum","","Ferramenta amaldiçoada","","")</f>
        <v/>
      </c>
      <c r="U196" s="183" t="n"/>
      <c r="V196" s="185" t="n"/>
      <c r="W196" s="182" t="n"/>
      <c r="X196" s="182" t="n"/>
      <c r="Y196" s="183" t="n"/>
      <c r="Z196" s="176" t="n"/>
      <c r="AA196" s="176" t="n"/>
      <c r="AB196" s="181">
        <f>SWITCH('CONFIGURAÇÃO'!$AB$188,"Origem","BASE DO LIVRO","Marcante","","Menor","","Arma","PROPRIEDADE 3","Escudo","","Uniforme","","Item comum","","Ferramenta amaldiçoada","","")</f>
        <v/>
      </c>
      <c r="AC196" s="183" t="n"/>
      <c r="AD196" s="185" t="n"/>
      <c r="AE196" s="182" t="n"/>
      <c r="AF196" s="182" t="n"/>
      <c r="AG196" s="183" t="n"/>
      <c r="AH196" s="176" t="n"/>
      <c r="AI196" s="176" t="n"/>
      <c r="AJ196" s="176" t="n"/>
      <c r="AK196" s="176" t="n"/>
      <c r="AL196" s="176" t="n"/>
      <c r="AM196" s="176" t="n"/>
      <c r="AN196" s="176" t="n"/>
      <c r="AO196" s="176" t="n"/>
      <c r="AP196" s="176" t="n"/>
      <c r="AQ196" s="176" t="n"/>
      <c r="AR196" s="176" t="n"/>
      <c r="AS196" s="176" t="n"/>
      <c r="AT196" s="176" t="n"/>
      <c r="AU196" s="176" t="n"/>
      <c r="AV196" s="176" t="n"/>
      <c r="AW196" s="176" t="n"/>
      <c r="AX196" s="176" t="n"/>
      <c r="AY196" s="176" t="n"/>
      <c r="AZ196" s="176" t="n"/>
      <c r="BA196" s="176" t="n"/>
      <c r="BB196" s="176" t="n"/>
      <c r="BC196" s="176" t="n"/>
      <c r="BD196" s="176" t="n"/>
      <c r="BE196" s="176" t="n"/>
      <c r="BF196" s="176" t="n"/>
      <c r="BG196" s="176" t="n"/>
      <c r="BH196" s="176" t="n"/>
      <c r="BI196" s="176" t="n"/>
      <c r="BJ196" s="176" t="n"/>
      <c r="BK196" s="176" t="n"/>
      <c r="BL196" s="176" t="n"/>
      <c r="BM196" s="176" t="n"/>
      <c r="BN196" s="176" t="n"/>
      <c r="BO196" s="176" t="n"/>
      <c r="BP196" s="176" t="n"/>
      <c r="BQ196" s="176" t="n"/>
      <c r="BR196" s="176" t="n"/>
      <c r="BS196" s="176" t="n"/>
      <c r="BT196" s="176" t="n"/>
      <c r="BU196" s="176" t="n"/>
      <c r="BV196" s="176" t="n"/>
      <c r="BW196" s="176" t="n"/>
      <c r="BX196" s="176" t="n"/>
      <c r="BY196" s="176" t="n"/>
      <c r="BZ196" s="176" t="n"/>
      <c r="CA196" s="176" t="n"/>
      <c r="CB196" s="176" t="n"/>
      <c r="CC196" s="176" t="n"/>
      <c r="CD196" s="176" t="n"/>
      <c r="CE196" s="176" t="n"/>
      <c r="CF196" s="176" t="n"/>
      <c r="CG196" s="176" t="n"/>
      <c r="CH196" s="176" t="n"/>
      <c r="CI196" s="176" t="n"/>
      <c r="CJ196" s="176" t="n"/>
      <c r="CK196" s="176" t="n"/>
      <c r="CL196" s="176" t="n"/>
      <c r="CM196" s="176" t="n"/>
      <c r="CN196" s="176" t="n"/>
      <c r="CO196" s="176" t="n"/>
      <c r="CP196" s="176" t="n"/>
      <c r="CQ196" s="176" t="n"/>
      <c r="CR196" s="176" t="n"/>
      <c r="CS196" s="176" t="n"/>
      <c r="CT196" s="176" t="n"/>
      <c r="CU196" s="176" t="n"/>
      <c r="CV196" s="176" t="n"/>
      <c r="CW196" s="176" t="n"/>
      <c r="CX196" s="176" t="n"/>
      <c r="CY196" s="176" t="n"/>
      <c r="CZ196" s="176" t="n"/>
      <c r="DA196" s="181" t="inlineStr">
        <is>
          <t>NOME</t>
        </is>
      </c>
      <c r="DB196" s="182" t="n"/>
      <c r="DC196" s="182" t="n"/>
      <c r="DD196" s="182" t="n"/>
      <c r="DE196" s="182" t="n"/>
      <c r="DF196" s="183" t="n"/>
      <c r="DG196" s="176" t="n"/>
      <c r="DH196" s="176" t="n"/>
      <c r="DI196" s="181" t="inlineStr">
        <is>
          <t>NOME</t>
        </is>
      </c>
      <c r="DJ196" s="182" t="n"/>
      <c r="DK196" s="182" t="n"/>
      <c r="DL196" s="182" t="n"/>
      <c r="DM196" s="182" t="n"/>
      <c r="DN196" s="183" t="n"/>
      <c r="DO196" s="176" t="n"/>
      <c r="DP196" s="176" t="n"/>
      <c r="DQ196" s="176" t="n"/>
      <c r="DR196" s="181" t="inlineStr">
        <is>
          <t>EFEITO E REQUISITOS</t>
        </is>
      </c>
      <c r="DS196" s="182" t="n"/>
      <c r="DT196" s="182" t="n"/>
      <c r="DU196" s="182" t="n"/>
      <c r="DV196" s="182" t="n"/>
      <c r="DW196" s="183" t="n"/>
      <c r="DX196" s="176" t="n"/>
      <c r="DY196" s="176" t="n"/>
      <c r="DZ196" s="181" t="inlineStr">
        <is>
          <t>EFEITO E REQUISITOS</t>
        </is>
      </c>
      <c r="EA196" s="182" t="n"/>
      <c r="EB196" s="182" t="n"/>
      <c r="EC196" s="182" t="n"/>
      <c r="ED196" s="182" t="n"/>
      <c r="EE196" s="183" t="n"/>
      <c r="EF196" s="176" t="n"/>
      <c r="EG196" s="176" t="n"/>
      <c r="EH196" s="176" t="n"/>
      <c r="EI196" s="176" t="n"/>
      <c r="EJ196" s="176" t="n"/>
      <c r="EK196" s="176" t="n"/>
      <c r="EL196" s="176" t="n"/>
      <c r="EM196" s="176" t="n"/>
      <c r="EN196" s="176" t="n"/>
      <c r="EO196" s="176" t="n"/>
      <c r="EP196" s="176" t="n"/>
      <c r="EQ196" s="176" t="n"/>
      <c r="ER196" s="176" t="n"/>
      <c r="ES196" s="176" t="n"/>
      <c r="ET196" s="176" t="n"/>
      <c r="EU196" s="176" t="n"/>
      <c r="EV196" s="176" t="n"/>
      <c r="EW196" s="176" t="n"/>
      <c r="EX196" s="176" t="n"/>
      <c r="EY196" s="176" t="n"/>
      <c r="EZ196" s="179" t="inlineStr">
        <is>
          <t>FORMAS · 9</t>
        </is>
      </c>
      <c r="FF196" s="176" t="n"/>
      <c r="FG196" s="176" t="n"/>
      <c r="FH196" s="179" t="inlineStr">
        <is>
          <t>FORMAS · 10</t>
        </is>
      </c>
      <c r="FN196" s="176" t="n"/>
      <c r="FO196" s="176" t="n"/>
      <c r="FP196" s="176" t="n"/>
      <c r="FQ196" s="176" t="n"/>
      <c r="FR196" s="176" t="n"/>
      <c r="FS196" s="176" t="n"/>
      <c r="FT196" s="176" t="n"/>
      <c r="FU196" s="176" t="n"/>
      <c r="FV196" s="176" t="n"/>
      <c r="FW196" s="176" t="n"/>
      <c r="FX196" s="176" t="n"/>
      <c r="FY196" s="176" t="n"/>
      <c r="FZ196" s="176" t="n"/>
      <c r="GA196" s="176" t="n"/>
      <c r="GB196" s="176" t="n"/>
      <c r="GC196" s="176" t="n"/>
      <c r="GD196" s="176" t="n"/>
      <c r="GE196" s="176" t="n"/>
      <c r="GF196" s="176" t="n"/>
      <c r="GG196" s="176" t="n"/>
      <c r="GH196" s="176" t="n"/>
      <c r="GI196" s="176" t="n"/>
      <c r="GJ196" s="176" t="n"/>
      <c r="GK196" s="176" t="n"/>
      <c r="GL196" s="176" t="n"/>
      <c r="GM196" s="176" t="n"/>
      <c r="GN196" s="176" t="n"/>
      <c r="GO196" s="176" t="n"/>
      <c r="GP196" s="176" t="n"/>
      <c r="GQ196" s="176" t="n"/>
      <c r="GR196" s="176" t="n"/>
      <c r="GS196" s="176" t="n"/>
      <c r="GT196" s="176" t="n"/>
      <c r="GU196" s="176" t="n"/>
      <c r="GV196" s="176" t="n"/>
      <c r="GW196" s="176" t="n"/>
      <c r="GX196" s="176" t="n"/>
      <c r="GY196" s="176" t="n"/>
      <c r="GZ196" s="176" t="n"/>
      <c r="HA196" s="176" t="n"/>
      <c r="HB196" s="176" t="n"/>
      <c r="HC196" s="176" t="n"/>
      <c r="HD196" s="176" t="n"/>
      <c r="HE196" s="176" t="n"/>
      <c r="HF196" s="176" t="n"/>
      <c r="HG196" s="176" t="n"/>
      <c r="HH196" s="176" t="n"/>
      <c r="HI196" s="176" t="n"/>
      <c r="HJ196" s="176" t="n"/>
      <c r="HK196" s="176" t="n"/>
      <c r="HL196" s="176" t="n"/>
      <c r="HM196" s="176" t="n"/>
      <c r="HN196" s="176" t="n"/>
      <c r="HO196" s="176" t="n"/>
      <c r="HP196" s="192" t="n"/>
      <c r="HQ196" s="187" t="n"/>
      <c r="HR196" s="187" t="n"/>
      <c r="HS196" s="187" t="n"/>
      <c r="HT196" s="187" t="n"/>
      <c r="HU196" s="188" t="n"/>
      <c r="HV196" s="176" t="n"/>
      <c r="HW196" s="176" t="n"/>
      <c r="HX196" s="192" t="n"/>
      <c r="HY196" s="187" t="n"/>
      <c r="HZ196" s="187" t="n"/>
      <c r="IA196" s="187" t="n"/>
      <c r="IB196" s="187" t="n"/>
      <c r="IC196" s="188" t="n"/>
      <c r="ID196" s="176" t="n"/>
    </row>
    <row r="197" ht="18.75" customHeight="1">
      <c r="A197" s="176" t="n"/>
      <c r="B197" s="176" t="n"/>
      <c r="C197" s="176" t="n"/>
      <c r="D197" s="176" t="n"/>
      <c r="E197" s="176" t="n"/>
      <c r="F197" s="176" t="n"/>
      <c r="G197" s="176" t="n"/>
      <c r="H197" s="176" t="n"/>
      <c r="I197" s="176" t="n"/>
      <c r="J197" s="176" t="n"/>
      <c r="K197" s="176" t="n"/>
      <c r="L197" s="176" t="n"/>
      <c r="M197" s="176" t="n"/>
      <c r="N197" s="176" t="n"/>
      <c r="O197" s="176" t="n"/>
      <c r="P197" s="176" t="n"/>
      <c r="Q197" s="176" t="n"/>
      <c r="R197" s="176" t="n"/>
      <c r="S197" s="176" t="n"/>
      <c r="T197" s="181">
        <f>SWITCH('CONFIGURAÇÃO'!$T$188,"Origem","OFÍCIO","Marcante","","Menor","","Arma","PROPRIEDADE 4","Escudo","","Uniforme","","Item comum","","Ferramenta amaldiçoada","","")</f>
        <v/>
      </c>
      <c r="U197" s="183" t="n"/>
      <c r="V197" s="185" t="n"/>
      <c r="W197" s="182" t="n"/>
      <c r="X197" s="182" t="n"/>
      <c r="Y197" s="183" t="n"/>
      <c r="Z197" s="176" t="n"/>
      <c r="AA197" s="176" t="n"/>
      <c r="AB197" s="181">
        <f>SWITCH('CONFIGURAÇÃO'!$AB$188,"Origem","OFÍCIO","Marcante","","Menor","","Arma","PROPRIEDADE 4","Escudo","","Uniforme","","Item comum","","Ferramenta amaldiçoada","","")</f>
        <v/>
      </c>
      <c r="AC197" s="183" t="n"/>
      <c r="AD197" s="185" t="n"/>
      <c r="AE197" s="182" t="n"/>
      <c r="AF197" s="182" t="n"/>
      <c r="AG197" s="183" t="n"/>
      <c r="AH197" s="176" t="n"/>
      <c r="AI197" s="176" t="n"/>
      <c r="AJ197" s="176" t="n"/>
      <c r="AK197" s="176" t="n"/>
      <c r="AL197" s="176" t="n"/>
      <c r="AM197" s="176" t="n"/>
      <c r="AN197" s="176" t="n"/>
      <c r="AO197" s="176" t="n"/>
      <c r="AP197" s="176" t="n"/>
      <c r="AQ197" s="176" t="n"/>
      <c r="AR197" s="176" t="n"/>
      <c r="AS197" s="176" t="n"/>
      <c r="AT197" s="176" t="n"/>
      <c r="AU197" s="176" t="n"/>
      <c r="AV197" s="176" t="n"/>
      <c r="AW197" s="176" t="n"/>
      <c r="AX197" s="176" t="n"/>
      <c r="AY197" s="176" t="n"/>
      <c r="AZ197" s="176" t="n"/>
      <c r="BA197" s="176" t="n"/>
      <c r="BB197" s="176" t="n"/>
      <c r="BC197" s="176" t="n"/>
      <c r="BD197" s="176" t="n"/>
      <c r="BE197" s="176" t="n"/>
      <c r="BF197" s="176" t="n"/>
      <c r="BG197" s="176" t="n"/>
      <c r="BH197" s="176" t="n"/>
      <c r="BI197" s="176" t="n"/>
      <c r="BJ197" s="176" t="n"/>
      <c r="BK197" s="176" t="n"/>
      <c r="BL197" s="176" t="n"/>
      <c r="BM197" s="176" t="n"/>
      <c r="BN197" s="176" t="n"/>
      <c r="BO197" s="176" t="n"/>
      <c r="BP197" s="176" t="n"/>
      <c r="BQ197" s="176" t="n"/>
      <c r="BR197" s="176" t="n"/>
      <c r="BS197" s="176" t="n"/>
      <c r="BT197" s="176" t="n"/>
      <c r="BU197" s="176" t="n"/>
      <c r="BV197" s="176" t="n"/>
      <c r="BW197" s="176" t="n"/>
      <c r="BX197" s="176" t="n"/>
      <c r="BY197" s="176" t="n"/>
      <c r="BZ197" s="176" t="n"/>
      <c r="CA197" s="176" t="n"/>
      <c r="CB197" s="176" t="n"/>
      <c r="CC197" s="176" t="n"/>
      <c r="CD197" s="176" t="n"/>
      <c r="CE197" s="176" t="n"/>
      <c r="CF197" s="176" t="n"/>
      <c r="CG197" s="176" t="n"/>
      <c r="CH197" s="176" t="n"/>
      <c r="CI197" s="176" t="n"/>
      <c r="CJ197" s="176" t="n"/>
      <c r="CK197" s="176" t="n"/>
      <c r="CL197" s="176" t="n"/>
      <c r="CM197" s="176" t="n"/>
      <c r="CN197" s="176" t="n"/>
      <c r="CO197" s="176" t="n"/>
      <c r="CP197" s="176" t="n"/>
      <c r="CQ197" s="176" t="n"/>
      <c r="CR197" s="176" t="n"/>
      <c r="CS197" s="176" t="n"/>
      <c r="CT197" s="176" t="n"/>
      <c r="CU197" s="176" t="n"/>
      <c r="CV197" s="176" t="n"/>
      <c r="CW197" s="176" t="n"/>
      <c r="CX197" s="176" t="n"/>
      <c r="CY197" s="176" t="n"/>
      <c r="CZ197" s="176" t="n"/>
      <c r="DA197" s="185" t="n"/>
      <c r="DB197" s="182" t="n"/>
      <c r="DC197" s="182" t="n"/>
      <c r="DD197" s="182" t="n"/>
      <c r="DE197" s="182" t="n"/>
      <c r="DF197" s="183" t="n"/>
      <c r="DG197" s="176" t="n"/>
      <c r="DH197" s="176" t="n"/>
      <c r="DI197" s="185" t="n"/>
      <c r="DJ197" s="182" t="n"/>
      <c r="DK197" s="182" t="n"/>
      <c r="DL197" s="182" t="n"/>
      <c r="DM197" s="182" t="n"/>
      <c r="DN197" s="183" t="n"/>
      <c r="DO197" s="176" t="n"/>
      <c r="DP197" s="176" t="n"/>
      <c r="DQ197" s="176" t="n"/>
      <c r="DR197" s="192" t="n"/>
      <c r="DS197" s="187" t="n"/>
      <c r="DT197" s="187" t="n"/>
      <c r="DU197" s="187" t="n"/>
      <c r="DV197" s="187" t="n"/>
      <c r="DW197" s="188" t="n"/>
      <c r="DX197" s="176" t="n"/>
      <c r="DY197" s="176" t="n"/>
      <c r="DZ197" s="192" t="n"/>
      <c r="EA197" s="187" t="n"/>
      <c r="EB197" s="187" t="n"/>
      <c r="EC197" s="187" t="n"/>
      <c r="ED197" s="187" t="n"/>
      <c r="EE197" s="188" t="n"/>
      <c r="EF197" s="176" t="n"/>
      <c r="EG197" s="176" t="n"/>
      <c r="EH197" s="176" t="n"/>
      <c r="EI197" s="176" t="n"/>
      <c r="EJ197" s="176" t="n"/>
      <c r="EK197" s="176" t="n"/>
      <c r="EL197" s="176" t="n"/>
      <c r="EM197" s="176" t="n"/>
      <c r="EN197" s="176" t="n"/>
      <c r="EO197" s="176" t="n"/>
      <c r="EP197" s="176" t="n"/>
      <c r="EQ197" s="176" t="n"/>
      <c r="ER197" s="176" t="n"/>
      <c r="ES197" s="176" t="n"/>
      <c r="ET197" s="176" t="n"/>
      <c r="EU197" s="176" t="n"/>
      <c r="EV197" s="176" t="n"/>
      <c r="EW197" s="176" t="n"/>
      <c r="EX197" s="176" t="n"/>
      <c r="EY197" s="176" t="n"/>
      <c r="EZ197" s="181" t="inlineStr">
        <is>
          <t>TIPO</t>
        </is>
      </c>
      <c r="FA197" s="182" t="n"/>
      <c r="FB197" s="182" t="n"/>
      <c r="FC197" s="183" t="n"/>
      <c r="FD197" s="181" t="inlineStr">
        <is>
          <t>MESTRE VIU</t>
        </is>
      </c>
      <c r="FE197" s="183" t="n"/>
      <c r="FF197" s="176" t="n"/>
      <c r="FG197" s="176" t="n"/>
      <c r="FH197" s="181" t="inlineStr">
        <is>
          <t>TIPO</t>
        </is>
      </c>
      <c r="FI197" s="182" t="n"/>
      <c r="FJ197" s="182" t="n"/>
      <c r="FK197" s="183" t="n"/>
      <c r="FL197" s="181" t="inlineStr">
        <is>
          <t>MESTRE VIU</t>
        </is>
      </c>
      <c r="FM197" s="183" t="n"/>
      <c r="FN197" s="176" t="n"/>
      <c r="FO197" s="176" t="n"/>
      <c r="FP197" s="176" t="n"/>
      <c r="FQ197" s="176" t="n"/>
      <c r="FR197" s="176" t="n"/>
      <c r="FS197" s="176" t="n"/>
      <c r="FT197" s="176" t="n"/>
      <c r="FU197" s="176" t="n"/>
      <c r="FV197" s="176" t="n"/>
      <c r="FW197" s="176" t="n"/>
      <c r="FX197" s="176" t="n"/>
      <c r="FY197" s="176" t="n"/>
      <c r="FZ197" s="176" t="n"/>
      <c r="GA197" s="176" t="n"/>
      <c r="GB197" s="176" t="n"/>
      <c r="GC197" s="176" t="n"/>
      <c r="GD197" s="176" t="n"/>
      <c r="GE197" s="176" t="n"/>
      <c r="GF197" s="176" t="n"/>
      <c r="GG197" s="176" t="n"/>
      <c r="GH197" s="176" t="n"/>
      <c r="GI197" s="176" t="n"/>
      <c r="GJ197" s="176" t="n"/>
      <c r="GK197" s="176" t="n"/>
      <c r="GL197" s="176" t="n"/>
      <c r="GM197" s="176" t="n"/>
      <c r="GN197" s="176" t="n"/>
      <c r="GO197" s="176" t="n"/>
      <c r="GP197" s="176" t="n"/>
      <c r="GQ197" s="176" t="n"/>
      <c r="GR197" s="176" t="n"/>
      <c r="GS197" s="176" t="n"/>
      <c r="GT197" s="176" t="n"/>
      <c r="GU197" s="176" t="n"/>
      <c r="GV197" s="176" t="n"/>
      <c r="GW197" s="176" t="n"/>
      <c r="GX197" s="176" t="n"/>
      <c r="GY197" s="176" t="n"/>
      <c r="GZ197" s="176" t="n"/>
      <c r="HA197" s="176" t="n"/>
      <c r="HB197" s="176" t="n"/>
      <c r="HC197" s="176" t="n"/>
      <c r="HD197" s="176" t="n"/>
      <c r="HE197" s="176" t="n"/>
      <c r="HF197" s="176" t="n"/>
      <c r="HG197" s="176" t="n"/>
      <c r="HH197" s="176" t="n"/>
      <c r="HI197" s="176" t="n"/>
      <c r="HJ197" s="176" t="n"/>
      <c r="HK197" s="176" t="n"/>
      <c r="HL197" s="176" t="n"/>
      <c r="HM197" s="176" t="n"/>
      <c r="HN197" s="176" t="n"/>
      <c r="HO197" s="176" t="n"/>
      <c r="HP197" s="193" t="n"/>
      <c r="HU197" s="194" t="n"/>
      <c r="HV197" s="176" t="n"/>
      <c r="HW197" s="176" t="n"/>
      <c r="HX197" s="193" t="n"/>
      <c r="IC197" s="194" t="n"/>
      <c r="ID197" s="176" t="n"/>
    </row>
    <row r="198" ht="18.75" customHeight="1">
      <c r="A198" s="176" t="n"/>
      <c r="B198" s="176" t="n"/>
      <c r="C198" s="176" t="n"/>
      <c r="D198" s="176" t="n"/>
      <c r="E198" s="176" t="n"/>
      <c r="F198" s="176" t="n"/>
      <c r="G198" s="176" t="n"/>
      <c r="H198" s="176" t="n"/>
      <c r="I198" s="176" t="n"/>
      <c r="J198" s="176" t="n"/>
      <c r="K198" s="176" t="n"/>
      <c r="L198" s="176" t="n"/>
      <c r="M198" s="176" t="n"/>
      <c r="N198" s="176" t="n"/>
      <c r="O198" s="176" t="n"/>
      <c r="P198" s="176" t="n"/>
      <c r="Q198" s="176" t="n"/>
      <c r="R198" s="176" t="n"/>
      <c r="S198" s="176" t="n"/>
      <c r="T198" s="181">
        <f>SWITCH('CONFIGURAÇÃO'!$T$188,"Origem","TALENTO CE 4","Marcante","FREQUÊNCIA","Menor","FREQUÊNCIA","Arma","DADO","Escudo","PROTEÇÃO","Uniforme","PROTEÇÃO","Item comum","VOLUME","Ferramenta amaldiçoada","ESTIGMA","")</f>
        <v/>
      </c>
      <c r="U198" s="183" t="n"/>
      <c r="V198" s="185" t="n"/>
      <c r="W198" s="182" t="n"/>
      <c r="X198" s="182" t="n"/>
      <c r="Y198" s="183" t="n"/>
      <c r="Z198" s="176" t="n"/>
      <c r="AA198" s="176" t="n"/>
      <c r="AB198" s="181">
        <f>SWITCH('CONFIGURAÇÃO'!$AB$188,"Origem","TALENTO CE 4","Marcante","FREQUÊNCIA","Menor","FREQUÊNCIA","Arma","DADO","Escudo","PROTEÇÃO","Uniforme","PROTEÇÃO","Item comum","VOLUME","Ferramenta amaldiçoada","ESTIGMA","")</f>
        <v/>
      </c>
      <c r="AC198" s="183" t="n"/>
      <c r="AD198" s="185" t="n"/>
      <c r="AE198" s="182" t="n"/>
      <c r="AF198" s="182" t="n"/>
      <c r="AG198" s="183" t="n"/>
      <c r="AH198" s="176" t="n"/>
      <c r="AI198" s="176" t="n"/>
      <c r="AJ198" s="176" t="n"/>
      <c r="AK198" s="176" t="n"/>
      <c r="AL198" s="176" t="n"/>
      <c r="AM198" s="176" t="n"/>
      <c r="AN198" s="176" t="n"/>
      <c r="AO198" s="176" t="n"/>
      <c r="AP198" s="176" t="n"/>
      <c r="AQ198" s="176" t="n"/>
      <c r="AR198" s="176" t="n"/>
      <c r="AS198" s="176" t="n"/>
      <c r="AT198" s="176" t="n"/>
      <c r="AU198" s="176" t="n"/>
      <c r="AV198" s="176" t="n"/>
      <c r="AW198" s="176" t="n"/>
      <c r="AX198" s="176" t="n"/>
      <c r="AY198" s="176" t="n"/>
      <c r="AZ198" s="176" t="n"/>
      <c r="BA198" s="176" t="n"/>
      <c r="BB198" s="176" t="n"/>
      <c r="BC198" s="176" t="n"/>
      <c r="BD198" s="176" t="n"/>
      <c r="BE198" s="176" t="n"/>
      <c r="BF198" s="176" t="n"/>
      <c r="BG198" s="176" t="n"/>
      <c r="BH198" s="176" t="n"/>
      <c r="BI198" s="176" t="n"/>
      <c r="BJ198" s="176" t="n"/>
      <c r="BK198" s="176" t="n"/>
      <c r="BL198" s="176" t="n"/>
      <c r="BM198" s="176" t="n"/>
      <c r="BN198" s="176" t="n"/>
      <c r="BO198" s="176" t="n"/>
      <c r="BP198" s="176" t="n"/>
      <c r="BQ198" s="176" t="n"/>
      <c r="BR198" s="176" t="n"/>
      <c r="BS198" s="176" t="n"/>
      <c r="BT198" s="176" t="n"/>
      <c r="BU198" s="176" t="n"/>
      <c r="BV198" s="176" t="n"/>
      <c r="BW198" s="176" t="n"/>
      <c r="BX198" s="176" t="n"/>
      <c r="BY198" s="176" t="n"/>
      <c r="BZ198" s="176" t="n"/>
      <c r="CA198" s="176" t="n"/>
      <c r="CB198" s="176" t="n"/>
      <c r="CC198" s="176" t="n"/>
      <c r="CD198" s="176" t="n"/>
      <c r="CE198" s="176" t="n"/>
      <c r="CF198" s="176" t="n"/>
      <c r="CG198" s="176" t="n"/>
      <c r="CH198" s="176" t="n"/>
      <c r="CI198" s="176" t="n"/>
      <c r="CJ198" s="176" t="n"/>
      <c r="CK198" s="176" t="n"/>
      <c r="CL198" s="176" t="n"/>
      <c r="CM198" s="176" t="n"/>
      <c r="CN198" s="176" t="n"/>
      <c r="CO198" s="176" t="n"/>
      <c r="CP198" s="176" t="n"/>
      <c r="CQ198" s="176" t="n"/>
      <c r="CR198" s="176" t="n"/>
      <c r="CS198" s="176" t="n"/>
      <c r="CT198" s="176" t="n"/>
      <c r="CU198" s="176" t="n"/>
      <c r="CV198" s="176" t="n"/>
      <c r="CW198" s="176" t="n"/>
      <c r="CX198" s="176" t="n"/>
      <c r="CY198" s="176" t="n"/>
      <c r="CZ198" s="176" t="n"/>
      <c r="DA198" s="181" t="inlineStr">
        <is>
          <t>BASE DO LIVRO</t>
        </is>
      </c>
      <c r="DB198" s="182" t="n"/>
      <c r="DC198" s="183" t="n"/>
      <c r="DD198" s="185" t="inlineStr">
        <is>
          <t>Nenhuma</t>
        </is>
      </c>
      <c r="DE198" s="182" t="n"/>
      <c r="DF198" s="183" t="n"/>
      <c r="DG198" s="176" t="n"/>
      <c r="DH198" s="176" t="n"/>
      <c r="DI198" s="181" t="inlineStr">
        <is>
          <t>BASE DO LIVRO</t>
        </is>
      </c>
      <c r="DJ198" s="182" t="n"/>
      <c r="DK198" s="183" t="n"/>
      <c r="DL198" s="185" t="inlineStr">
        <is>
          <t>Nenhuma</t>
        </is>
      </c>
      <c r="DM198" s="182" t="n"/>
      <c r="DN198" s="183" t="n"/>
      <c r="DO198" s="176" t="n"/>
      <c r="DP198" s="176" t="n"/>
      <c r="DQ198" s="176" t="n"/>
      <c r="DR198" s="193" t="n"/>
      <c r="DW198" s="194" t="n"/>
      <c r="DX198" s="176" t="n"/>
      <c r="DY198" s="176" t="n"/>
      <c r="DZ198" s="193" t="n"/>
      <c r="EE198" s="194" t="n"/>
      <c r="EF198" s="176" t="n"/>
      <c r="EG198" s="176" t="n"/>
      <c r="EH198" s="176" t="n"/>
      <c r="EI198" s="176" t="n"/>
      <c r="EJ198" s="176" t="n"/>
      <c r="EK198" s="176" t="n"/>
      <c r="EL198" s="176" t="n"/>
      <c r="EM198" s="176" t="n"/>
      <c r="EN198" s="176" t="n"/>
      <c r="EO198" s="176" t="n"/>
      <c r="EP198" s="176" t="n"/>
      <c r="EQ198" s="176" t="n"/>
      <c r="ER198" s="176" t="n"/>
      <c r="ES198" s="176" t="n"/>
      <c r="ET198" s="176" t="n"/>
      <c r="EU198" s="176" t="n"/>
      <c r="EV198" s="176" t="n"/>
      <c r="EW198" s="176" t="n"/>
      <c r="EX198" s="176" t="n"/>
      <c r="EY198" s="176" t="n"/>
      <c r="EZ198" s="185" t="inlineStr">
        <is>
          <t>Forma</t>
        </is>
      </c>
      <c r="FA198" s="182" t="n"/>
      <c r="FB198" s="182" t="n"/>
      <c r="FC198" s="183" t="n"/>
      <c r="FD198" s="184" t="b">
        <v>0</v>
      </c>
      <c r="FE198" s="183" t="n"/>
      <c r="FF198" s="176" t="n"/>
      <c r="FG198" s="176" t="n"/>
      <c r="FH198" s="185" t="inlineStr">
        <is>
          <t>Forma</t>
        </is>
      </c>
      <c r="FI198" s="182" t="n"/>
      <c r="FJ198" s="182" t="n"/>
      <c r="FK198" s="183" t="n"/>
      <c r="FL198" s="184" t="b">
        <v>0</v>
      </c>
      <c r="FM198" s="183" t="n"/>
      <c r="FN198" s="176" t="n"/>
      <c r="FO198" s="176" t="n"/>
      <c r="FP198" s="176" t="n"/>
      <c r="FQ198" s="176" t="n"/>
      <c r="FR198" s="176" t="n"/>
      <c r="FS198" s="176" t="n"/>
      <c r="FT198" s="176" t="n"/>
      <c r="FU198" s="176" t="n"/>
      <c r="FV198" s="176" t="n"/>
      <c r="FW198" s="176" t="n"/>
      <c r="FX198" s="176" t="n"/>
      <c r="FY198" s="176" t="n"/>
      <c r="FZ198" s="176" t="n"/>
      <c r="GA198" s="176" t="n"/>
      <c r="GB198" s="176" t="n"/>
      <c r="GC198" s="176" t="n"/>
      <c r="GD198" s="176" t="n"/>
      <c r="GE198" s="176" t="n"/>
      <c r="GF198" s="176" t="n"/>
      <c r="GG198" s="176" t="n"/>
      <c r="GH198" s="176" t="n"/>
      <c r="GI198" s="176" t="n"/>
      <c r="GJ198" s="176" t="n"/>
      <c r="GK198" s="176" t="n"/>
      <c r="GL198" s="176" t="n"/>
      <c r="GM198" s="176" t="n"/>
      <c r="GN198" s="176" t="n"/>
      <c r="GO198" s="176" t="n"/>
      <c r="GP198" s="176" t="n"/>
      <c r="GQ198" s="176" t="n"/>
      <c r="GR198" s="176" t="n"/>
      <c r="GS198" s="176" t="n"/>
      <c r="GT198" s="176" t="n"/>
      <c r="GU198" s="176" t="n"/>
      <c r="GV198" s="176" t="n"/>
      <c r="GW198" s="176" t="n"/>
      <c r="GX198" s="176" t="n"/>
      <c r="GY198" s="176" t="n"/>
      <c r="GZ198" s="176" t="n"/>
      <c r="HA198" s="176" t="n"/>
      <c r="HB198" s="176" t="n"/>
      <c r="HC198" s="176" t="n"/>
      <c r="HD198" s="176" t="n"/>
      <c r="HE198" s="176" t="n"/>
      <c r="HF198" s="176" t="n"/>
      <c r="HG198" s="176" t="n"/>
      <c r="HH198" s="176" t="n"/>
      <c r="HI198" s="176" t="n"/>
      <c r="HJ198" s="176" t="n"/>
      <c r="HK198" s="176" t="n"/>
      <c r="HL198" s="176" t="n"/>
      <c r="HM198" s="176" t="n"/>
      <c r="HN198" s="176" t="n"/>
      <c r="HO198" s="176" t="n"/>
      <c r="HP198" s="193" t="n"/>
      <c r="HU198" s="194" t="n"/>
      <c r="HV198" s="176" t="n"/>
      <c r="HW198" s="176" t="n"/>
      <c r="HX198" s="193" t="n"/>
      <c r="IC198" s="194" t="n"/>
      <c r="ID198" s="176" t="n"/>
    </row>
    <row r="199" ht="18.75" customHeight="1">
      <c r="A199" s="176" t="n"/>
      <c r="B199" s="176" t="n"/>
      <c r="C199" s="176" t="n"/>
      <c r="D199" s="176" t="n"/>
      <c r="E199" s="176" t="n"/>
      <c r="F199" s="176" t="n"/>
      <c r="G199" s="176" t="n"/>
      <c r="H199" s="176" t="n"/>
      <c r="I199" s="176" t="n"/>
      <c r="J199" s="176" t="n"/>
      <c r="K199" s="176" t="n"/>
      <c r="L199" s="176" t="n"/>
      <c r="M199" s="176" t="n"/>
      <c r="N199" s="176" t="n"/>
      <c r="O199" s="176" t="n"/>
      <c r="P199" s="176" t="n"/>
      <c r="Q199" s="176" t="n"/>
      <c r="R199" s="176" t="n"/>
      <c r="S199" s="176" t="n"/>
      <c r="T199" s="181">
        <f>SWITCH('CONFIGURAÇÃO'!$T$188,"Origem","","Marcante","","Menor","","Arma","FORÇA","Escudo","TETO DE DESTREZA","Uniforme","TETO DE DESTREZA","Item comum","PREÇO","Ferramenta amaldiçoada","DESGASTE","")</f>
        <v/>
      </c>
      <c r="U199" s="183" t="n"/>
      <c r="V199" s="185" t="n"/>
      <c r="W199" s="182" t="n"/>
      <c r="X199" s="182" t="n"/>
      <c r="Y199" s="183" t="n"/>
      <c r="Z199" s="176" t="n"/>
      <c r="AA199" s="176" t="n"/>
      <c r="AB199" s="181">
        <f>SWITCH('CONFIGURAÇÃO'!$AB$188,"Origem","","Marcante","","Menor","","Arma","FORÇA","Escudo","TETO DE DESTREZA","Uniforme","TETO DE DESTREZA","Item comum","PREÇO","Ferramenta amaldiçoada","DESGASTE","")</f>
        <v/>
      </c>
      <c r="AC199" s="183" t="n"/>
      <c r="AD199" s="185" t="n"/>
      <c r="AE199" s="182" t="n"/>
      <c r="AF199" s="182" t="n"/>
      <c r="AG199" s="183" t="n"/>
      <c r="AH199" s="176" t="n"/>
      <c r="AI199" s="176" t="n"/>
      <c r="AJ199" s="176" t="n"/>
      <c r="AK199" s="176" t="n"/>
      <c r="AL199" s="176" t="n"/>
      <c r="AM199" s="176" t="n"/>
      <c r="AN199" s="176" t="n"/>
      <c r="AO199" s="176" t="n"/>
      <c r="AP199" s="176" t="n"/>
      <c r="AQ199" s="176" t="n"/>
      <c r="AR199" s="176" t="n"/>
      <c r="AS199" s="176" t="n"/>
      <c r="AT199" s="176" t="n"/>
      <c r="AU199" s="176" t="n"/>
      <c r="AV199" s="176" t="n"/>
      <c r="AW199" s="176" t="n"/>
      <c r="AX199" s="176" t="n"/>
      <c r="AY199" s="176" t="n"/>
      <c r="AZ199" s="176" t="n"/>
      <c r="BA199" s="176" t="n"/>
      <c r="BB199" s="176" t="n"/>
      <c r="BC199" s="176" t="n"/>
      <c r="BD199" s="176" t="n"/>
      <c r="BE199" s="176" t="n"/>
      <c r="BF199" s="176" t="n"/>
      <c r="BG199" s="176" t="n"/>
      <c r="BH199" s="176" t="n"/>
      <c r="BI199" s="176" t="n"/>
      <c r="BJ199" s="176" t="n"/>
      <c r="BK199" s="176" t="n"/>
      <c r="BL199" s="176" t="n"/>
      <c r="BM199" s="176" t="n"/>
      <c r="BN199" s="176" t="n"/>
      <c r="BO199" s="176" t="n"/>
      <c r="BP199" s="176" t="n"/>
      <c r="BQ199" s="176" t="n"/>
      <c r="BR199" s="176" t="n"/>
      <c r="BS199" s="176" t="n"/>
      <c r="BT199" s="176" t="n"/>
      <c r="BU199" s="176" t="n"/>
      <c r="BV199" s="176" t="n"/>
      <c r="BW199" s="176" t="n"/>
      <c r="BX199" s="176" t="n"/>
      <c r="BY199" s="176" t="n"/>
      <c r="BZ199" s="176" t="n"/>
      <c r="CA199" s="176" t="n"/>
      <c r="CB199" s="176" t="n"/>
      <c r="CC199" s="176" t="n"/>
      <c r="CD199" s="176" t="n"/>
      <c r="CE199" s="176" t="n"/>
      <c r="CF199" s="176" t="n"/>
      <c r="CG199" s="176" t="n"/>
      <c r="CH199" s="176" t="n"/>
      <c r="CI199" s="176" t="n"/>
      <c r="CJ199" s="176" t="n"/>
      <c r="CK199" s="176" t="n"/>
      <c r="CL199" s="176" t="n"/>
      <c r="CM199" s="176" t="n"/>
      <c r="CN199" s="176" t="n"/>
      <c r="CO199" s="176" t="n"/>
      <c r="CP199" s="176" t="n"/>
      <c r="CQ199" s="176" t="n"/>
      <c r="CR199" s="176" t="n"/>
      <c r="CS199" s="176" t="n"/>
      <c r="CT199" s="176" t="n"/>
      <c r="CU199" s="176" t="n"/>
      <c r="CV199" s="176" t="n"/>
      <c r="CW199" s="176" t="n"/>
      <c r="CX199" s="176" t="n"/>
      <c r="CY199" s="176" t="n"/>
      <c r="CZ199" s="176" t="n"/>
      <c r="DA199" s="181" t="inlineStr">
        <is>
          <t>FAMÍLIA</t>
        </is>
      </c>
      <c r="DB199" s="182" t="n"/>
      <c r="DC199" s="183" t="n"/>
      <c r="DD199" s="185" t="n"/>
      <c r="DE199" s="182" t="n"/>
      <c r="DF199" s="183" t="n"/>
      <c r="DG199" s="176" t="n"/>
      <c r="DH199" s="176" t="n"/>
      <c r="DI199" s="181" t="inlineStr">
        <is>
          <t>FAMÍLIA</t>
        </is>
      </c>
      <c r="DJ199" s="182" t="n"/>
      <c r="DK199" s="183" t="n"/>
      <c r="DL199" s="185" t="n"/>
      <c r="DM199" s="182" t="n"/>
      <c r="DN199" s="183" t="n"/>
      <c r="DO199" s="176" t="n"/>
      <c r="DP199" s="176" t="n"/>
      <c r="DQ199" s="176" t="n"/>
      <c r="DR199" s="193" t="n"/>
      <c r="DW199" s="194" t="n"/>
      <c r="DX199" s="176" t="n"/>
      <c r="DY199" s="176" t="n"/>
      <c r="DZ199" s="193" t="n"/>
      <c r="EE199" s="194" t="n"/>
      <c r="EF199" s="176" t="n"/>
      <c r="EG199" s="176" t="n"/>
      <c r="EH199" s="176" t="n"/>
      <c r="EI199" s="176" t="n"/>
      <c r="EJ199" s="176" t="n"/>
      <c r="EK199" s="176" t="n"/>
      <c r="EL199" s="176" t="n"/>
      <c r="EM199" s="176" t="n"/>
      <c r="EN199" s="176" t="n"/>
      <c r="EO199" s="176" t="n"/>
      <c r="EP199" s="176" t="n"/>
      <c r="EQ199" s="176" t="n"/>
      <c r="ER199" s="176" t="n"/>
      <c r="ES199" s="176" t="n"/>
      <c r="ET199" s="176" t="n"/>
      <c r="EU199" s="176" t="n"/>
      <c r="EV199" s="176" t="n"/>
      <c r="EW199" s="176" t="n"/>
      <c r="EX199" s="176" t="n"/>
      <c r="EY199" s="176" t="n"/>
      <c r="EZ199" s="181" t="inlineStr">
        <is>
          <t>NOME</t>
        </is>
      </c>
      <c r="FA199" s="182" t="n"/>
      <c r="FB199" s="182" t="n"/>
      <c r="FC199" s="182" t="n"/>
      <c r="FD199" s="182" t="n"/>
      <c r="FE199" s="183" t="n"/>
      <c r="FF199" s="176" t="n"/>
      <c r="FG199" s="176" t="n"/>
      <c r="FH199" s="181" t="inlineStr">
        <is>
          <t>NOME</t>
        </is>
      </c>
      <c r="FI199" s="182" t="n"/>
      <c r="FJ199" s="182" t="n"/>
      <c r="FK199" s="182" t="n"/>
      <c r="FL199" s="182" t="n"/>
      <c r="FM199" s="183" t="n"/>
      <c r="FN199" s="176" t="n"/>
      <c r="FO199" s="176" t="n"/>
      <c r="FP199" s="176" t="n"/>
      <c r="FQ199" s="176" t="n"/>
      <c r="FR199" s="176" t="n"/>
      <c r="FS199" s="176" t="n"/>
      <c r="FT199" s="176" t="n"/>
      <c r="FU199" s="176" t="n"/>
      <c r="FV199" s="176" t="n"/>
      <c r="FW199" s="176" t="n"/>
      <c r="FX199" s="176" t="n"/>
      <c r="FY199" s="176" t="n"/>
      <c r="FZ199" s="176" t="n"/>
      <c r="GA199" s="176" t="n"/>
      <c r="GB199" s="176" t="n"/>
      <c r="GC199" s="176" t="n"/>
      <c r="GD199" s="176" t="n"/>
      <c r="GE199" s="176" t="n"/>
      <c r="GF199" s="176" t="n"/>
      <c r="GG199" s="176" t="n"/>
      <c r="GH199" s="176" t="n"/>
      <c r="GI199" s="176" t="n"/>
      <c r="GJ199" s="176" t="n"/>
      <c r="GK199" s="176" t="n"/>
      <c r="GL199" s="176" t="n"/>
      <c r="GM199" s="176" t="n"/>
      <c r="GN199" s="176" t="n"/>
      <c r="GO199" s="176" t="n"/>
      <c r="GP199" s="176" t="n"/>
      <c r="GQ199" s="176" t="n"/>
      <c r="GR199" s="176" t="n"/>
      <c r="GS199" s="176" t="n"/>
      <c r="GT199" s="176" t="n"/>
      <c r="GU199" s="176" t="n"/>
      <c r="GV199" s="176" t="n"/>
      <c r="GW199" s="176" t="n"/>
      <c r="GX199" s="176" t="n"/>
      <c r="GY199" s="176" t="n"/>
      <c r="GZ199" s="176" t="n"/>
      <c r="HA199" s="176" t="n"/>
      <c r="HB199" s="176" t="n"/>
      <c r="HC199" s="176" t="n"/>
      <c r="HD199" s="176" t="n"/>
      <c r="HE199" s="176" t="n"/>
      <c r="HF199" s="176" t="n"/>
      <c r="HG199" s="176" t="n"/>
      <c r="HH199" s="176" t="n"/>
      <c r="HI199" s="176" t="n"/>
      <c r="HJ199" s="176" t="n"/>
      <c r="HK199" s="176" t="n"/>
      <c r="HL199" s="176" t="n"/>
      <c r="HM199" s="176" t="n"/>
      <c r="HN199" s="176" t="n"/>
      <c r="HO199" s="176" t="n"/>
      <c r="HP199" s="193" t="n"/>
      <c r="HU199" s="194" t="n"/>
      <c r="HV199" s="176" t="n"/>
      <c r="HW199" s="176" t="n"/>
      <c r="HX199" s="193" t="n"/>
      <c r="IC199" s="194" t="n"/>
      <c r="ID199" s="176" t="n"/>
    </row>
    <row r="200" ht="18.75" customHeight="1">
      <c r="A200" s="176" t="n"/>
      <c r="B200" s="176" t="n"/>
      <c r="C200" s="176" t="n"/>
      <c r="D200" s="176" t="n"/>
      <c r="E200" s="176" t="n"/>
      <c r="F200" s="176" t="n"/>
      <c r="G200" s="176" t="n"/>
      <c r="H200" s="176" t="n"/>
      <c r="I200" s="176" t="n"/>
      <c r="J200" s="176" t="n"/>
      <c r="K200" s="176" t="n"/>
      <c r="L200" s="176" t="n"/>
      <c r="M200" s="176" t="n"/>
      <c r="N200" s="176" t="n"/>
      <c r="O200" s="176" t="n"/>
      <c r="P200" s="176" t="n"/>
      <c r="Q200" s="176" t="n"/>
      <c r="R200" s="176" t="n"/>
      <c r="S200" s="176" t="n"/>
      <c r="T200" s="181">
        <f>SWITCH('CONFIGURAÇÃO'!$T$188,"Origem","","Marcante","","Menor","","Arma","VOLUME","Escudo","FORÇA","Uniforme","FORÇA","Item comum","","Ferramenta amaldiçoada","VOLUME","")</f>
        <v/>
      </c>
      <c r="U200" s="183" t="n"/>
      <c r="V200" s="185" t="n"/>
      <c r="W200" s="182" t="n"/>
      <c r="X200" s="182" t="n"/>
      <c r="Y200" s="183" t="n"/>
      <c r="Z200" s="176" t="n"/>
      <c r="AA200" s="176" t="n"/>
      <c r="AB200" s="181">
        <f>SWITCH('CONFIGURAÇÃO'!$AB$188,"Origem","","Marcante","","Menor","","Arma","VOLUME","Escudo","FORÇA","Uniforme","FORÇA","Item comum","","Ferramenta amaldiçoada","VOLUME","")</f>
        <v/>
      </c>
      <c r="AC200" s="183" t="n"/>
      <c r="AD200" s="185" t="n"/>
      <c r="AE200" s="182" t="n"/>
      <c r="AF200" s="182" t="n"/>
      <c r="AG200" s="183" t="n"/>
      <c r="AH200" s="176" t="n"/>
      <c r="AI200" s="176" t="n"/>
      <c r="AJ200" s="176" t="n"/>
      <c r="AK200" s="176" t="n"/>
      <c r="AL200" s="176" t="n"/>
      <c r="AM200" s="176" t="n"/>
      <c r="AN200" s="176" t="n"/>
      <c r="AO200" s="176" t="n"/>
      <c r="AP200" s="176" t="n"/>
      <c r="AQ200" s="176" t="n"/>
      <c r="AR200" s="176" t="n"/>
      <c r="AS200" s="176" t="n"/>
      <c r="AT200" s="176" t="n"/>
      <c r="AU200" s="176" t="n"/>
      <c r="AV200" s="176" t="n"/>
      <c r="AW200" s="176" t="n"/>
      <c r="AX200" s="176" t="n"/>
      <c r="AY200" s="176" t="n"/>
      <c r="AZ200" s="176" t="n"/>
      <c r="BA200" s="176" t="n"/>
      <c r="BB200" s="176" t="n"/>
      <c r="BC200" s="176" t="n"/>
      <c r="BD200" s="176" t="n"/>
      <c r="BE200" s="176" t="n"/>
      <c r="BF200" s="176" t="n"/>
      <c r="BG200" s="176" t="n"/>
      <c r="BH200" s="176" t="n"/>
      <c r="BI200" s="176" t="n"/>
      <c r="BJ200" s="176" t="n"/>
      <c r="BK200" s="176" t="n"/>
      <c r="BL200" s="176" t="n"/>
      <c r="BM200" s="176" t="n"/>
      <c r="BN200" s="176" t="n"/>
      <c r="BO200" s="176" t="n"/>
      <c r="BP200" s="176" t="n"/>
      <c r="BQ200" s="176" t="n"/>
      <c r="BR200" s="176" t="n"/>
      <c r="BS200" s="176" t="n"/>
      <c r="BT200" s="176" t="n"/>
      <c r="BU200" s="176" t="n"/>
      <c r="BV200" s="176" t="n"/>
      <c r="BW200" s="176" t="n"/>
      <c r="BX200" s="176" t="n"/>
      <c r="BY200" s="176" t="n"/>
      <c r="BZ200" s="176" t="n"/>
      <c r="CA200" s="176" t="n"/>
      <c r="CB200" s="176" t="n"/>
      <c r="CC200" s="176" t="n"/>
      <c r="CD200" s="176" t="n"/>
      <c r="CE200" s="176" t="n"/>
      <c r="CF200" s="176" t="n"/>
      <c r="CG200" s="176" t="n"/>
      <c r="CH200" s="176" t="n"/>
      <c r="CI200" s="176" t="n"/>
      <c r="CJ200" s="176" t="n"/>
      <c r="CK200" s="176" t="n"/>
      <c r="CL200" s="176" t="n"/>
      <c r="CM200" s="176" t="n"/>
      <c r="CN200" s="176" t="n"/>
      <c r="CO200" s="176" t="n"/>
      <c r="CP200" s="176" t="n"/>
      <c r="CQ200" s="176" t="n"/>
      <c r="CR200" s="176" t="n"/>
      <c r="CS200" s="176" t="n"/>
      <c r="CT200" s="176" t="n"/>
      <c r="CU200" s="176" t="n"/>
      <c r="CV200" s="176" t="n"/>
      <c r="CW200" s="176" t="n"/>
      <c r="CX200" s="176" t="n"/>
      <c r="CY200" s="176" t="n"/>
      <c r="CZ200" s="176" t="n"/>
      <c r="DA200" s="181" t="inlineStr">
        <is>
          <t>PESO</t>
        </is>
      </c>
      <c r="DB200" s="182" t="n"/>
      <c r="DC200" s="183" t="n"/>
      <c r="DD200" s="185" t="n"/>
      <c r="DE200" s="182" t="n"/>
      <c r="DF200" s="183" t="n"/>
      <c r="DG200" s="176" t="n"/>
      <c r="DH200" s="176" t="n"/>
      <c r="DI200" s="181" t="inlineStr">
        <is>
          <t>PESO</t>
        </is>
      </c>
      <c r="DJ200" s="182" t="n"/>
      <c r="DK200" s="183" t="n"/>
      <c r="DL200" s="185" t="n"/>
      <c r="DM200" s="182" t="n"/>
      <c r="DN200" s="183" t="n"/>
      <c r="DO200" s="176" t="n"/>
      <c r="DP200" s="176" t="n"/>
      <c r="DQ200" s="176" t="n"/>
      <c r="DR200" s="193" t="n"/>
      <c r="DW200" s="194" t="n"/>
      <c r="DX200" s="176" t="n"/>
      <c r="DY200" s="176" t="n"/>
      <c r="DZ200" s="193" t="n"/>
      <c r="EE200" s="194" t="n"/>
      <c r="EF200" s="176" t="n"/>
      <c r="EG200" s="176" t="n"/>
      <c r="EH200" s="176" t="n"/>
      <c r="EI200" s="176" t="n"/>
      <c r="EJ200" s="176" t="n"/>
      <c r="EK200" s="176" t="n"/>
      <c r="EL200" s="176" t="n"/>
      <c r="EM200" s="176" t="n"/>
      <c r="EN200" s="176" t="n"/>
      <c r="EO200" s="176" t="n"/>
      <c r="EP200" s="176" t="n"/>
      <c r="EQ200" s="176" t="n"/>
      <c r="ER200" s="176" t="n"/>
      <c r="ES200" s="176" t="n"/>
      <c r="ET200" s="176" t="n"/>
      <c r="EU200" s="176" t="n"/>
      <c r="EV200" s="176" t="n"/>
      <c r="EW200" s="176" t="n"/>
      <c r="EX200" s="176" t="n"/>
      <c r="EY200" s="176" t="n"/>
      <c r="EZ200" s="185" t="n"/>
      <c r="FA200" s="182" t="n"/>
      <c r="FB200" s="182" t="n"/>
      <c r="FC200" s="182" t="n"/>
      <c r="FD200" s="182" t="n"/>
      <c r="FE200" s="183" t="n"/>
      <c r="FF200" s="176" t="n"/>
      <c r="FG200" s="176" t="n"/>
      <c r="FH200" s="185" t="n"/>
      <c r="FI200" s="182" t="n"/>
      <c r="FJ200" s="182" t="n"/>
      <c r="FK200" s="182" t="n"/>
      <c r="FL200" s="182" t="n"/>
      <c r="FM200" s="183" t="n"/>
      <c r="FN200" s="176" t="n"/>
      <c r="FO200" s="176" t="n"/>
      <c r="FP200" s="176" t="n"/>
      <c r="FQ200" s="176" t="n"/>
      <c r="FR200" s="176" t="n"/>
      <c r="FS200" s="176" t="n"/>
      <c r="FT200" s="176" t="n"/>
      <c r="FU200" s="176" t="n"/>
      <c r="FV200" s="176" t="n"/>
      <c r="FW200" s="176" t="n"/>
      <c r="FX200" s="176" t="n"/>
      <c r="FY200" s="176" t="n"/>
      <c r="FZ200" s="176" t="n"/>
      <c r="GA200" s="176" t="n"/>
      <c r="GB200" s="176" t="n"/>
      <c r="GC200" s="176" t="n"/>
      <c r="GD200" s="176" t="n"/>
      <c r="GE200" s="176" t="n"/>
      <c r="GF200" s="176" t="n"/>
      <c r="GG200" s="176" t="n"/>
      <c r="GH200" s="176" t="n"/>
      <c r="GI200" s="176" t="n"/>
      <c r="GJ200" s="176" t="n"/>
      <c r="GK200" s="176" t="n"/>
      <c r="GL200" s="176" t="n"/>
      <c r="GM200" s="176" t="n"/>
      <c r="GN200" s="176" t="n"/>
      <c r="GO200" s="176" t="n"/>
      <c r="GP200" s="176" t="n"/>
      <c r="GQ200" s="176" t="n"/>
      <c r="GR200" s="176" t="n"/>
      <c r="GS200" s="176" t="n"/>
      <c r="GT200" s="176" t="n"/>
      <c r="GU200" s="176" t="n"/>
      <c r="GV200" s="176" t="n"/>
      <c r="GW200" s="176" t="n"/>
      <c r="GX200" s="176" t="n"/>
      <c r="GY200" s="176" t="n"/>
      <c r="GZ200" s="176" t="n"/>
      <c r="HA200" s="176" t="n"/>
      <c r="HB200" s="176" t="n"/>
      <c r="HC200" s="176" t="n"/>
      <c r="HD200" s="176" t="n"/>
      <c r="HE200" s="176" t="n"/>
      <c r="HF200" s="176" t="n"/>
      <c r="HG200" s="176" t="n"/>
      <c r="HH200" s="176" t="n"/>
      <c r="HI200" s="176" t="n"/>
      <c r="HJ200" s="176" t="n"/>
      <c r="HK200" s="176" t="n"/>
      <c r="HL200" s="176" t="n"/>
      <c r="HM200" s="176" t="n"/>
      <c r="HN200" s="176" t="n"/>
      <c r="HO200" s="176" t="n"/>
      <c r="HP200" s="193" t="n"/>
      <c r="HU200" s="194" t="n"/>
      <c r="HV200" s="176" t="n"/>
      <c r="HW200" s="176" t="n"/>
      <c r="HX200" s="193" t="n"/>
      <c r="IC200" s="194" t="n"/>
      <c r="ID200" s="176" t="n"/>
    </row>
    <row r="201" ht="18.75" customHeight="1">
      <c r="A201" s="176" t="n"/>
      <c r="B201" s="176" t="n"/>
      <c r="C201" s="176" t="n"/>
      <c r="D201" s="176" t="n"/>
      <c r="E201" s="176" t="n"/>
      <c r="F201" s="176" t="n"/>
      <c r="G201" s="176" t="n"/>
      <c r="H201" s="176" t="n"/>
      <c r="I201" s="176" t="n"/>
      <c r="J201" s="176" t="n"/>
      <c r="K201" s="176" t="n"/>
      <c r="L201" s="176" t="n"/>
      <c r="M201" s="176" t="n"/>
      <c r="N201" s="176" t="n"/>
      <c r="O201" s="176" t="n"/>
      <c r="P201" s="176" t="n"/>
      <c r="Q201" s="176" t="n"/>
      <c r="R201" s="176" t="n"/>
      <c r="S201" s="176" t="n"/>
      <c r="T201" s="181">
        <f>SWITCH('CONFIGURAÇÃO'!$T$188,"Origem","","Marcante","","Menor","","Arma","ALCANCE","Escudo","VOLUME","Uniforme","VOLUME","Item comum","","Ferramenta amaldiçoada","PREÇO","")</f>
        <v/>
      </c>
      <c r="U201" s="183" t="n"/>
      <c r="V201" s="185" t="n"/>
      <c r="W201" s="182" t="n"/>
      <c r="X201" s="182" t="n"/>
      <c r="Y201" s="183" t="n"/>
      <c r="Z201" s="176" t="n"/>
      <c r="AA201" s="176" t="n"/>
      <c r="AB201" s="181">
        <f>SWITCH('CONFIGURAÇÃO'!$AB$188,"Origem","","Marcante","","Menor","","Arma","ALCANCE","Escudo","VOLUME","Uniforme","VOLUME","Item comum","","Ferramenta amaldiçoada","PREÇO","")</f>
        <v/>
      </c>
      <c r="AC201" s="183" t="n"/>
      <c r="AD201" s="185" t="n"/>
      <c r="AE201" s="182" t="n"/>
      <c r="AF201" s="182" t="n"/>
      <c r="AG201" s="183" t="n"/>
      <c r="AH201" s="176" t="n"/>
      <c r="AI201" s="176" t="n"/>
      <c r="AJ201" s="176" t="n"/>
      <c r="AK201" s="176" t="n"/>
      <c r="AL201" s="176" t="n"/>
      <c r="AM201" s="176" t="n"/>
      <c r="AN201" s="176" t="n"/>
      <c r="AO201" s="176" t="n"/>
      <c r="AP201" s="176" t="n"/>
      <c r="AQ201" s="176" t="n"/>
      <c r="AR201" s="176" t="n"/>
      <c r="AS201" s="176" t="n"/>
      <c r="AT201" s="176" t="n"/>
      <c r="AU201" s="176" t="n"/>
      <c r="AV201" s="176" t="n"/>
      <c r="AW201" s="176" t="n"/>
      <c r="AX201" s="176" t="n"/>
      <c r="AY201" s="176" t="n"/>
      <c r="AZ201" s="176" t="n"/>
      <c r="BA201" s="176" t="n"/>
      <c r="BB201" s="176" t="n"/>
      <c r="BC201" s="176" t="n"/>
      <c r="BD201" s="176" t="n"/>
      <c r="BE201" s="176" t="n"/>
      <c r="BF201" s="176" t="n"/>
      <c r="BG201" s="176" t="n"/>
      <c r="BH201" s="176" t="n"/>
      <c r="BI201" s="176" t="n"/>
      <c r="BJ201" s="176" t="n"/>
      <c r="BK201" s="176" t="n"/>
      <c r="BL201" s="176" t="n"/>
      <c r="BM201" s="176" t="n"/>
      <c r="BN201" s="176" t="n"/>
      <c r="BO201" s="176" t="n"/>
      <c r="BP201" s="176" t="n"/>
      <c r="BQ201" s="176" t="n"/>
      <c r="BR201" s="176" t="n"/>
      <c r="BS201" s="176" t="n"/>
      <c r="BT201" s="176" t="n"/>
      <c r="BU201" s="176" t="n"/>
      <c r="BV201" s="176" t="n"/>
      <c r="BW201" s="176" t="n"/>
      <c r="BX201" s="176" t="n"/>
      <c r="BY201" s="176" t="n"/>
      <c r="BZ201" s="176" t="n"/>
      <c r="CA201" s="176" t="n"/>
      <c r="CB201" s="176" t="n"/>
      <c r="CC201" s="176" t="n"/>
      <c r="CD201" s="176" t="n"/>
      <c r="CE201" s="176" t="n"/>
      <c r="CF201" s="176" t="n"/>
      <c r="CG201" s="176" t="n"/>
      <c r="CH201" s="176" t="n"/>
      <c r="CI201" s="176" t="n"/>
      <c r="CJ201" s="176" t="n"/>
      <c r="CK201" s="176" t="n"/>
      <c r="CL201" s="176" t="n"/>
      <c r="CM201" s="176" t="n"/>
      <c r="CN201" s="176" t="n"/>
      <c r="CO201" s="176" t="n"/>
      <c r="CP201" s="176" t="n"/>
      <c r="CQ201" s="176" t="n"/>
      <c r="CR201" s="176" t="n"/>
      <c r="CS201" s="176" t="n"/>
      <c r="CT201" s="176" t="n"/>
      <c r="CU201" s="176" t="n"/>
      <c r="CV201" s="176" t="n"/>
      <c r="CW201" s="176" t="n"/>
      <c r="CX201" s="176" t="n"/>
      <c r="CY201" s="176" t="n"/>
      <c r="CZ201" s="176" t="n"/>
      <c r="DA201" s="181" t="inlineStr">
        <is>
          <t>EXIGE TR</t>
        </is>
      </c>
      <c r="DB201" s="182" t="n"/>
      <c r="DC201" s="183" t="n"/>
      <c r="DD201" s="185" t="n"/>
      <c r="DE201" s="182" t="n"/>
      <c r="DF201" s="183" t="n"/>
      <c r="DG201" s="176" t="n"/>
      <c r="DH201" s="176" t="n"/>
      <c r="DI201" s="181" t="inlineStr">
        <is>
          <t>EXIGE TR</t>
        </is>
      </c>
      <c r="DJ201" s="182" t="n"/>
      <c r="DK201" s="183" t="n"/>
      <c r="DL201" s="185" t="n"/>
      <c r="DM201" s="182" t="n"/>
      <c r="DN201" s="183" t="n"/>
      <c r="DO201" s="176" t="n"/>
      <c r="DP201" s="176" t="n"/>
      <c r="DQ201" s="176" t="n"/>
      <c r="DR201" s="193" t="n"/>
      <c r="DW201" s="194" t="n"/>
      <c r="DX201" s="176" t="n"/>
      <c r="DY201" s="176" t="n"/>
      <c r="DZ201" s="193" t="n"/>
      <c r="EE201" s="194" t="n"/>
      <c r="EF201" s="176" t="n"/>
      <c r="EG201" s="176" t="n"/>
      <c r="EH201" s="176" t="n"/>
      <c r="EI201" s="176" t="n"/>
      <c r="EJ201" s="176" t="n"/>
      <c r="EK201" s="176" t="n"/>
      <c r="EL201" s="176" t="n"/>
      <c r="EM201" s="176" t="n"/>
      <c r="EN201" s="176" t="n"/>
      <c r="EO201" s="176" t="n"/>
      <c r="EP201" s="176" t="n"/>
      <c r="EQ201" s="176" t="n"/>
      <c r="ER201" s="176" t="n"/>
      <c r="ES201" s="176" t="n"/>
      <c r="ET201" s="176" t="n"/>
      <c r="EU201" s="176" t="n"/>
      <c r="EV201" s="176" t="n"/>
      <c r="EW201" s="176" t="n"/>
      <c r="EX201" s="176" t="n"/>
      <c r="EY201" s="176" t="n"/>
      <c r="EZ201" s="181" t="inlineStr">
        <is>
          <t>BASE DO LIVRO</t>
        </is>
      </c>
      <c r="FA201" s="182" t="n"/>
      <c r="FB201" s="183" t="n"/>
      <c r="FC201" s="185" t="n"/>
      <c r="FD201" s="182" t="n"/>
      <c r="FE201" s="183" t="n"/>
      <c r="FF201" s="176" t="n"/>
      <c r="FG201" s="176" t="n"/>
      <c r="FH201" s="181" t="inlineStr">
        <is>
          <t>BASE DO LIVRO</t>
        </is>
      </c>
      <c r="FI201" s="182" t="n"/>
      <c r="FJ201" s="183" t="n"/>
      <c r="FK201" s="185" t="n"/>
      <c r="FL201" s="182" t="n"/>
      <c r="FM201" s="183" t="n"/>
      <c r="FN201" s="176" t="n"/>
      <c r="FO201" s="176" t="n"/>
      <c r="FP201" s="176" t="n"/>
      <c r="FQ201" s="176" t="n"/>
      <c r="FR201" s="176" t="n"/>
      <c r="FS201" s="176" t="n"/>
      <c r="FT201" s="176" t="n"/>
      <c r="FU201" s="176" t="n"/>
      <c r="FV201" s="176" t="n"/>
      <c r="FW201" s="176" t="n"/>
      <c r="FX201" s="176" t="n"/>
      <c r="FY201" s="176" t="n"/>
      <c r="FZ201" s="176" t="n"/>
      <c r="GA201" s="176" t="n"/>
      <c r="GB201" s="176" t="n"/>
      <c r="GC201" s="176" t="n"/>
      <c r="GD201" s="176" t="n"/>
      <c r="GE201" s="176" t="n"/>
      <c r="GF201" s="176" t="n"/>
      <c r="GG201" s="176" t="n"/>
      <c r="GH201" s="176" t="n"/>
      <c r="GI201" s="176" t="n"/>
      <c r="GJ201" s="176" t="n"/>
      <c r="GK201" s="176" t="n"/>
      <c r="GL201" s="176" t="n"/>
      <c r="GM201" s="176" t="n"/>
      <c r="GN201" s="176" t="n"/>
      <c r="GO201" s="176" t="n"/>
      <c r="GP201" s="176" t="n"/>
      <c r="GQ201" s="176" t="n"/>
      <c r="GR201" s="176" t="n"/>
      <c r="GS201" s="176" t="n"/>
      <c r="GT201" s="176" t="n"/>
      <c r="GU201" s="176" t="n"/>
      <c r="GV201" s="176" t="n"/>
      <c r="GW201" s="176" t="n"/>
      <c r="GX201" s="176" t="n"/>
      <c r="GY201" s="176" t="n"/>
      <c r="GZ201" s="176" t="n"/>
      <c r="HA201" s="176" t="n"/>
      <c r="HB201" s="176" t="n"/>
      <c r="HC201" s="176" t="n"/>
      <c r="HD201" s="176" t="n"/>
      <c r="HE201" s="176" t="n"/>
      <c r="HF201" s="176" t="n"/>
      <c r="HG201" s="176" t="n"/>
      <c r="HH201" s="176" t="n"/>
      <c r="HI201" s="176" t="n"/>
      <c r="HJ201" s="176" t="n"/>
      <c r="HK201" s="176" t="n"/>
      <c r="HL201" s="176" t="n"/>
      <c r="HM201" s="176" t="n"/>
      <c r="HN201" s="176" t="n"/>
      <c r="HO201" s="176" t="n"/>
      <c r="HP201" s="193" t="n"/>
      <c r="HU201" s="194" t="n"/>
      <c r="HV201" s="176" t="n"/>
      <c r="HW201" s="176" t="n"/>
      <c r="HX201" s="193" t="n"/>
      <c r="IC201" s="194" t="n"/>
      <c r="ID201" s="176" t="n"/>
    </row>
    <row r="202" ht="18.75" customHeight="1">
      <c r="A202" s="176" t="n"/>
      <c r="B202" s="176" t="n"/>
      <c r="C202" s="176" t="n"/>
      <c r="D202" s="176" t="n"/>
      <c r="E202" s="176" t="n"/>
      <c r="F202" s="176" t="n"/>
      <c r="G202" s="176" t="n"/>
      <c r="H202" s="176" t="n"/>
      <c r="I202" s="176" t="n"/>
      <c r="J202" s="176" t="n"/>
      <c r="K202" s="176" t="n"/>
      <c r="L202" s="176" t="n"/>
      <c r="M202" s="176" t="n"/>
      <c r="N202" s="176" t="n"/>
      <c r="O202" s="176" t="n"/>
      <c r="P202" s="176" t="n"/>
      <c r="Q202" s="176" t="n"/>
      <c r="R202" s="176" t="n"/>
      <c r="S202" s="176" t="n"/>
      <c r="T202" s="181">
        <f>SWITCH('CONFIGURAÇÃO'!$T$188,"Origem","","Marcante","","Menor","","Arma","RECARGA","Escudo","PREÇO","Uniforme","PREÇO","Item comum","","Ferramenta amaldiçoada","","")</f>
        <v/>
      </c>
      <c r="U202" s="183" t="n"/>
      <c r="V202" s="185" t="n"/>
      <c r="W202" s="182" t="n"/>
      <c r="X202" s="182" t="n"/>
      <c r="Y202" s="183" t="n"/>
      <c r="Z202" s="176" t="n"/>
      <c r="AA202" s="176" t="n"/>
      <c r="AB202" s="181">
        <f>SWITCH('CONFIGURAÇÃO'!$AB$188,"Origem","","Marcante","","Menor","","Arma","RECARGA","Escudo","PREÇO","Uniforme","PREÇO","Item comum","","Ferramenta amaldiçoada","","")</f>
        <v/>
      </c>
      <c r="AC202" s="183" t="n"/>
      <c r="AD202" s="185" t="n"/>
      <c r="AE202" s="182" t="n"/>
      <c r="AF202" s="182" t="n"/>
      <c r="AG202" s="183" t="n"/>
      <c r="AH202" s="176" t="n"/>
      <c r="AI202" s="176" t="n"/>
      <c r="AJ202" s="176" t="n"/>
      <c r="AK202" s="176" t="n"/>
      <c r="AL202" s="176" t="n"/>
      <c r="AM202" s="176" t="n"/>
      <c r="AN202" s="176" t="n"/>
      <c r="AO202" s="176" t="n"/>
      <c r="AP202" s="176" t="n"/>
      <c r="AQ202" s="176" t="n"/>
      <c r="AR202" s="176" t="n"/>
      <c r="AS202" s="176" t="n"/>
      <c r="AT202" s="176" t="n"/>
      <c r="AU202" s="176" t="n"/>
      <c r="AV202" s="176" t="n"/>
      <c r="AW202" s="176" t="n"/>
      <c r="AX202" s="176" t="n"/>
      <c r="AY202" s="176" t="n"/>
      <c r="AZ202" s="176" t="n"/>
      <c r="BA202" s="176" t="n"/>
      <c r="BB202" s="176" t="n"/>
      <c r="BC202" s="176" t="n"/>
      <c r="BD202" s="176" t="n"/>
      <c r="BE202" s="176" t="n"/>
      <c r="BF202" s="176" t="n"/>
      <c r="BG202" s="176" t="n"/>
      <c r="BH202" s="176" t="n"/>
      <c r="BI202" s="176" t="n"/>
      <c r="BJ202" s="176" t="n"/>
      <c r="BK202" s="176" t="n"/>
      <c r="BL202" s="176" t="n"/>
      <c r="BM202" s="176" t="n"/>
      <c r="BN202" s="176" t="n"/>
      <c r="BO202" s="176" t="n"/>
      <c r="BP202" s="176" t="n"/>
      <c r="BQ202" s="176" t="n"/>
      <c r="BR202" s="176" t="n"/>
      <c r="BS202" s="176" t="n"/>
      <c r="BT202" s="176" t="n"/>
      <c r="BU202" s="176" t="n"/>
      <c r="BV202" s="176" t="n"/>
      <c r="BW202" s="176" t="n"/>
      <c r="BX202" s="176" t="n"/>
      <c r="BY202" s="176" t="n"/>
      <c r="BZ202" s="176" t="n"/>
      <c r="CA202" s="176" t="n"/>
      <c r="CB202" s="176" t="n"/>
      <c r="CC202" s="176" t="n"/>
      <c r="CD202" s="176" t="n"/>
      <c r="CE202" s="176" t="n"/>
      <c r="CF202" s="176" t="n"/>
      <c r="CG202" s="176" t="n"/>
      <c r="CH202" s="176" t="n"/>
      <c r="CI202" s="176" t="n"/>
      <c r="CJ202" s="176" t="n"/>
      <c r="CK202" s="176" t="n"/>
      <c r="CL202" s="176" t="n"/>
      <c r="CM202" s="176" t="n"/>
      <c r="CN202" s="176" t="n"/>
      <c r="CO202" s="176" t="n"/>
      <c r="CP202" s="176" t="n"/>
      <c r="CQ202" s="176" t="n"/>
      <c r="CR202" s="176" t="n"/>
      <c r="CS202" s="176" t="n"/>
      <c r="CT202" s="176" t="n"/>
      <c r="CU202" s="176" t="n"/>
      <c r="CV202" s="176" t="n"/>
      <c r="CW202" s="176" t="n"/>
      <c r="CX202" s="176" t="n"/>
      <c r="CY202" s="176" t="n"/>
      <c r="CZ202" s="176" t="n"/>
      <c r="DA202" s="176" t="n"/>
      <c r="DB202" s="176" t="n"/>
      <c r="DC202" s="176" t="n"/>
      <c r="DD202" s="176" t="n"/>
      <c r="DE202" s="176" t="n"/>
      <c r="DF202" s="176" t="n"/>
      <c r="DG202" s="176" t="n"/>
      <c r="DH202" s="176" t="n"/>
      <c r="DI202" s="176" t="n"/>
      <c r="DJ202" s="176" t="n"/>
      <c r="DK202" s="176" t="n"/>
      <c r="DL202" s="176" t="n"/>
      <c r="DM202" s="176" t="n"/>
      <c r="DN202" s="176" t="n"/>
      <c r="DO202" s="176" t="n"/>
      <c r="DP202" s="176" t="n"/>
      <c r="DQ202" s="176" t="n"/>
      <c r="DR202" s="193" t="n"/>
      <c r="DW202" s="194" t="n"/>
      <c r="DX202" s="176" t="n"/>
      <c r="DY202" s="176" t="n"/>
      <c r="DZ202" s="193" t="n"/>
      <c r="EE202" s="194" t="n"/>
      <c r="EF202" s="176" t="n"/>
      <c r="EG202" s="176" t="n"/>
      <c r="EH202" s="176" t="n"/>
      <c r="EI202" s="176" t="n"/>
      <c r="EJ202" s="176" t="n"/>
      <c r="EK202" s="176" t="n"/>
      <c r="EL202" s="176" t="n"/>
      <c r="EM202" s="176" t="n"/>
      <c r="EN202" s="176" t="n"/>
      <c r="EO202" s="176" t="n"/>
      <c r="EP202" s="176" t="n"/>
      <c r="EQ202" s="176" t="n"/>
      <c r="ER202" s="176" t="n"/>
      <c r="ES202" s="176" t="n"/>
      <c r="ET202" s="176" t="n"/>
      <c r="EU202" s="176" t="n"/>
      <c r="EV202" s="176" t="n"/>
      <c r="EW202" s="176" t="n"/>
      <c r="EX202" s="176" t="n"/>
      <c r="EY202" s="176" t="n"/>
      <c r="EZ202" s="181" t="inlineStr">
        <is>
          <t>FAMÍLIA</t>
        </is>
      </c>
      <c r="FA202" s="182" t="n"/>
      <c r="FB202" s="183" t="n"/>
      <c r="FC202" s="185" t="n"/>
      <c r="FD202" s="182" t="n"/>
      <c r="FE202" s="183" t="n"/>
      <c r="FF202" s="176" t="n"/>
      <c r="FG202" s="176" t="n"/>
      <c r="FH202" s="181" t="inlineStr">
        <is>
          <t>FAMÍLIA</t>
        </is>
      </c>
      <c r="FI202" s="182" t="n"/>
      <c r="FJ202" s="183" t="n"/>
      <c r="FK202" s="185" t="n"/>
      <c r="FL202" s="182" t="n"/>
      <c r="FM202" s="183" t="n"/>
      <c r="FN202" s="176" t="n"/>
      <c r="FO202" s="176" t="n"/>
      <c r="FP202" s="176" t="n"/>
      <c r="FQ202" s="176" t="n"/>
      <c r="FR202" s="176" t="n"/>
      <c r="FS202" s="176" t="n"/>
      <c r="FT202" s="176" t="n"/>
      <c r="FU202" s="176" t="n"/>
      <c r="FV202" s="176" t="n"/>
      <c r="FW202" s="176" t="n"/>
      <c r="FX202" s="176" t="n"/>
      <c r="FY202" s="176" t="n"/>
      <c r="FZ202" s="176" t="n"/>
      <c r="GA202" s="176" t="n"/>
      <c r="GB202" s="176" t="n"/>
      <c r="GC202" s="176" t="n"/>
      <c r="GD202" s="176" t="n"/>
      <c r="GE202" s="176" t="n"/>
      <c r="GF202" s="176" t="n"/>
      <c r="GG202" s="176" t="n"/>
      <c r="GH202" s="176" t="n"/>
      <c r="GI202" s="176" t="n"/>
      <c r="GJ202" s="176" t="n"/>
      <c r="GK202" s="176" t="n"/>
      <c r="GL202" s="176" t="n"/>
      <c r="GM202" s="176" t="n"/>
      <c r="GN202" s="176" t="n"/>
      <c r="GO202" s="176" t="n"/>
      <c r="GP202" s="176" t="n"/>
      <c r="GQ202" s="176" t="n"/>
      <c r="GR202" s="176" t="n"/>
      <c r="GS202" s="176" t="n"/>
      <c r="GT202" s="176" t="n"/>
      <c r="GU202" s="176" t="n"/>
      <c r="GV202" s="176" t="n"/>
      <c r="GW202" s="176" t="n"/>
      <c r="GX202" s="176" t="n"/>
      <c r="GY202" s="176" t="n"/>
      <c r="GZ202" s="176" t="n"/>
      <c r="HA202" s="176" t="n"/>
      <c r="HB202" s="176" t="n"/>
      <c r="HC202" s="176" t="n"/>
      <c r="HD202" s="176" t="n"/>
      <c r="HE202" s="176" t="n"/>
      <c r="HF202" s="176" t="n"/>
      <c r="HG202" s="176" t="n"/>
      <c r="HH202" s="176" t="n"/>
      <c r="HI202" s="176" t="n"/>
      <c r="HJ202" s="176" t="n"/>
      <c r="HK202" s="176" t="n"/>
      <c r="HL202" s="176" t="n"/>
      <c r="HM202" s="176" t="n"/>
      <c r="HN202" s="176" t="n"/>
      <c r="HO202" s="176" t="n"/>
      <c r="HP202" s="193" t="n"/>
      <c r="HU202" s="194" t="n"/>
      <c r="HV202" s="176" t="n"/>
      <c r="HW202" s="176" t="n"/>
      <c r="HX202" s="193" t="n"/>
      <c r="IC202" s="194" t="n"/>
      <c r="ID202" s="176" t="n"/>
    </row>
    <row r="203" ht="18.75" customHeight="1">
      <c r="A203" s="176" t="n"/>
      <c r="B203" s="176" t="n"/>
      <c r="C203" s="176" t="n"/>
      <c r="D203" s="176" t="n"/>
      <c r="E203" s="176" t="n"/>
      <c r="F203" s="176" t="n"/>
      <c r="G203" s="176" t="n"/>
      <c r="H203" s="176" t="n"/>
      <c r="I203" s="176" t="n"/>
      <c r="J203" s="176" t="n"/>
      <c r="K203" s="176" t="n"/>
      <c r="L203" s="176" t="n"/>
      <c r="M203" s="176" t="n"/>
      <c r="N203" s="176" t="n"/>
      <c r="O203" s="176" t="n"/>
      <c r="P203" s="176" t="n"/>
      <c r="Q203" s="176" t="n"/>
      <c r="R203" s="176" t="n"/>
      <c r="S203" s="176" t="n"/>
      <c r="T203" s="181">
        <f>SWITCH('CONFIGURAÇÃO'!$T$188,"Origem","","Marcante","","Menor","","Arma","PREÇO","Escudo","","Uniforme","","Item comum","","Ferramenta amaldiçoada","","")</f>
        <v/>
      </c>
      <c r="U203" s="183" t="n"/>
      <c r="V203" s="185" t="n"/>
      <c r="W203" s="182" t="n"/>
      <c r="X203" s="182" t="n"/>
      <c r="Y203" s="183" t="n"/>
      <c r="Z203" s="176" t="n"/>
      <c r="AA203" s="176" t="n"/>
      <c r="AB203" s="181">
        <f>SWITCH('CONFIGURAÇÃO'!$AB$188,"Origem","","Marcante","","Menor","","Arma","PREÇO","Escudo","","Uniforme","","Item comum","","Ferramenta amaldiçoada","","")</f>
        <v/>
      </c>
      <c r="AC203" s="183" t="n"/>
      <c r="AD203" s="185" t="n"/>
      <c r="AE203" s="182" t="n"/>
      <c r="AF203" s="182" t="n"/>
      <c r="AG203" s="183" t="n"/>
      <c r="AH203" s="176" t="n"/>
      <c r="AI203" s="176" t="n"/>
      <c r="AJ203" s="176" t="n"/>
      <c r="AK203" s="176" t="n"/>
      <c r="AL203" s="176" t="n"/>
      <c r="AM203" s="176" t="n"/>
      <c r="AN203" s="176" t="n"/>
      <c r="AO203" s="176" t="n"/>
      <c r="AP203" s="176" t="n"/>
      <c r="AQ203" s="176" t="n"/>
      <c r="AR203" s="176" t="n"/>
      <c r="AS203" s="176" t="n"/>
      <c r="AT203" s="176" t="n"/>
      <c r="AU203" s="176" t="n"/>
      <c r="AV203" s="176" t="n"/>
      <c r="AW203" s="176" t="n"/>
      <c r="AX203" s="176" t="n"/>
      <c r="AY203" s="176" t="n"/>
      <c r="AZ203" s="176" t="n"/>
      <c r="BA203" s="176" t="n"/>
      <c r="BB203" s="176" t="n"/>
      <c r="BC203" s="176" t="n"/>
      <c r="BD203" s="176" t="n"/>
      <c r="BE203" s="176" t="n"/>
      <c r="BF203" s="176" t="n"/>
      <c r="BG203" s="176" t="n"/>
      <c r="BH203" s="176" t="n"/>
      <c r="BI203" s="176" t="n"/>
      <c r="BJ203" s="176" t="n"/>
      <c r="BK203" s="176" t="n"/>
      <c r="BL203" s="176" t="n"/>
      <c r="BM203" s="176" t="n"/>
      <c r="BN203" s="176" t="n"/>
      <c r="BO203" s="176" t="n"/>
      <c r="BP203" s="176" t="n"/>
      <c r="BQ203" s="176" t="n"/>
      <c r="BR203" s="176" t="n"/>
      <c r="BS203" s="176" t="n"/>
      <c r="BT203" s="176" t="n"/>
      <c r="BU203" s="176" t="n"/>
      <c r="BV203" s="176" t="n"/>
      <c r="BW203" s="176" t="n"/>
      <c r="BX203" s="176" t="n"/>
      <c r="BY203" s="176" t="n"/>
      <c r="BZ203" s="176" t="n"/>
      <c r="CA203" s="176" t="n"/>
      <c r="CB203" s="176" t="n"/>
      <c r="CC203" s="176" t="n"/>
      <c r="CD203" s="176" t="n"/>
      <c r="CE203" s="176" t="n"/>
      <c r="CF203" s="176" t="n"/>
      <c r="CG203" s="176" t="n"/>
      <c r="CH203" s="176" t="n"/>
      <c r="CI203" s="176" t="n"/>
      <c r="CJ203" s="176" t="n"/>
      <c r="CK203" s="176" t="n"/>
      <c r="CL203" s="176" t="n"/>
      <c r="CM203" s="176" t="n"/>
      <c r="CN203" s="176" t="n"/>
      <c r="CO203" s="176" t="n"/>
      <c r="CP203" s="176" t="n"/>
      <c r="CQ203" s="176" t="n"/>
      <c r="CR203" s="176" t="n"/>
      <c r="CS203" s="176" t="n"/>
      <c r="CT203" s="176" t="n"/>
      <c r="CU203" s="176" t="n"/>
      <c r="CV203" s="176" t="n"/>
      <c r="CW203" s="176" t="n"/>
      <c r="CX203" s="176" t="n"/>
      <c r="CY203" s="176" t="n"/>
      <c r="CZ203" s="176" t="n"/>
      <c r="DA203" s="181" t="inlineStr">
        <is>
          <t>REQUISITOS E REPETIÇÃO</t>
        </is>
      </c>
      <c r="DB203" s="182" t="n"/>
      <c r="DC203" s="182" t="n"/>
      <c r="DD203" s="182" t="n"/>
      <c r="DE203" s="182" t="n"/>
      <c r="DF203" s="183" t="n"/>
      <c r="DG203" s="176" t="n"/>
      <c r="DH203" s="176" t="n"/>
      <c r="DI203" s="181" t="inlineStr">
        <is>
          <t>REQUISITOS E REPETIÇÃO</t>
        </is>
      </c>
      <c r="DJ203" s="182" t="n"/>
      <c r="DK203" s="182" t="n"/>
      <c r="DL203" s="182" t="n"/>
      <c r="DM203" s="182" t="n"/>
      <c r="DN203" s="183" t="n"/>
      <c r="DO203" s="176" t="n"/>
      <c r="DP203" s="176" t="n"/>
      <c r="DQ203" s="176" t="n"/>
      <c r="DR203" s="189" t="n"/>
      <c r="DS203" s="190" t="n"/>
      <c r="DT203" s="190" t="n"/>
      <c r="DU203" s="190" t="n"/>
      <c r="DV203" s="190" t="n"/>
      <c r="DW203" s="191" t="n"/>
      <c r="DX203" s="176" t="n"/>
      <c r="DY203" s="176" t="n"/>
      <c r="DZ203" s="189" t="n"/>
      <c r="EA203" s="190" t="n"/>
      <c r="EB203" s="190" t="n"/>
      <c r="EC203" s="190" t="n"/>
      <c r="ED203" s="190" t="n"/>
      <c r="EE203" s="191" t="n"/>
      <c r="EF203" s="176" t="n"/>
      <c r="EG203" s="176" t="n"/>
      <c r="EH203" s="176" t="n"/>
      <c r="EI203" s="176" t="n"/>
      <c r="EJ203" s="176" t="n"/>
      <c r="EK203" s="176" t="n"/>
      <c r="EL203" s="176" t="n"/>
      <c r="EM203" s="176" t="n"/>
      <c r="EN203" s="176" t="n"/>
      <c r="EO203" s="176" t="n"/>
      <c r="EP203" s="176" t="n"/>
      <c r="EQ203" s="176" t="n"/>
      <c r="ER203" s="176" t="n"/>
      <c r="ES203" s="176" t="n"/>
      <c r="ET203" s="176" t="n"/>
      <c r="EU203" s="176" t="n"/>
      <c r="EV203" s="176" t="n"/>
      <c r="EW203" s="176" t="n"/>
      <c r="EX203" s="176" t="n"/>
      <c r="EY203" s="176" t="n"/>
      <c r="EZ203" s="181" t="inlineStr">
        <is>
          <t>PESO</t>
        </is>
      </c>
      <c r="FA203" s="182" t="n"/>
      <c r="FB203" s="183" t="n"/>
      <c r="FC203" s="185" t="n"/>
      <c r="FD203" s="182" t="n"/>
      <c r="FE203" s="183" t="n"/>
      <c r="FF203" s="176" t="n"/>
      <c r="FG203" s="176" t="n"/>
      <c r="FH203" s="181" t="inlineStr">
        <is>
          <t>PESO</t>
        </is>
      </c>
      <c r="FI203" s="182" t="n"/>
      <c r="FJ203" s="183" t="n"/>
      <c r="FK203" s="185" t="n"/>
      <c r="FL203" s="182" t="n"/>
      <c r="FM203" s="183" t="n"/>
      <c r="FN203" s="176" t="n"/>
      <c r="FO203" s="176" t="n"/>
      <c r="FP203" s="176" t="n"/>
      <c r="FQ203" s="176" t="n"/>
      <c r="FR203" s="176" t="n"/>
      <c r="FS203" s="176" t="n"/>
      <c r="FT203" s="176" t="n"/>
      <c r="FU203" s="176" t="n"/>
      <c r="FV203" s="176" t="n"/>
      <c r="FW203" s="176" t="n"/>
      <c r="FX203" s="176" t="n"/>
      <c r="FY203" s="176" t="n"/>
      <c r="FZ203" s="176" t="n"/>
      <c r="GA203" s="176" t="n"/>
      <c r="GB203" s="176" t="n"/>
      <c r="GC203" s="176" t="n"/>
      <c r="GD203" s="176" t="n"/>
      <c r="GE203" s="176" t="n"/>
      <c r="GF203" s="176" t="n"/>
      <c r="GG203" s="176" t="n"/>
      <c r="GH203" s="176" t="n"/>
      <c r="GI203" s="176" t="n"/>
      <c r="GJ203" s="176" t="n"/>
      <c r="GK203" s="176" t="n"/>
      <c r="GL203" s="176" t="n"/>
      <c r="GM203" s="176" t="n"/>
      <c r="GN203" s="176" t="n"/>
      <c r="GO203" s="176" t="n"/>
      <c r="GP203" s="176" t="n"/>
      <c r="GQ203" s="176" t="n"/>
      <c r="GR203" s="176" t="n"/>
      <c r="GS203" s="176" t="n"/>
      <c r="GT203" s="176" t="n"/>
      <c r="GU203" s="176" t="n"/>
      <c r="GV203" s="176" t="n"/>
      <c r="GW203" s="176" t="n"/>
      <c r="GX203" s="176" t="n"/>
      <c r="GY203" s="176" t="n"/>
      <c r="GZ203" s="176" t="n"/>
      <c r="HA203" s="176" t="n"/>
      <c r="HB203" s="176" t="n"/>
      <c r="HC203" s="176" t="n"/>
      <c r="HD203" s="176" t="n"/>
      <c r="HE203" s="176" t="n"/>
      <c r="HF203" s="176" t="n"/>
      <c r="HG203" s="176" t="n"/>
      <c r="HH203" s="176" t="n"/>
      <c r="HI203" s="176" t="n"/>
      <c r="HJ203" s="176" t="n"/>
      <c r="HK203" s="176" t="n"/>
      <c r="HL203" s="176" t="n"/>
      <c r="HM203" s="176" t="n"/>
      <c r="HN203" s="176" t="n"/>
      <c r="HO203" s="176" t="n"/>
      <c r="HP203" s="189" t="n"/>
      <c r="HQ203" s="190" t="n"/>
      <c r="HR203" s="190" t="n"/>
      <c r="HS203" s="190" t="n"/>
      <c r="HT203" s="190" t="n"/>
      <c r="HU203" s="191" t="n"/>
      <c r="HV203" s="176" t="n"/>
      <c r="HW203" s="176" t="n"/>
      <c r="HX203" s="189" t="n"/>
      <c r="HY203" s="190" t="n"/>
      <c r="HZ203" s="190" t="n"/>
      <c r="IA203" s="190" t="n"/>
      <c r="IB203" s="190" t="n"/>
      <c r="IC203" s="191" t="n"/>
      <c r="ID203" s="176" t="n"/>
    </row>
    <row r="204" ht="18.75" customHeight="1">
      <c r="A204" s="176" t="n"/>
      <c r="B204" s="176" t="n"/>
      <c r="C204" s="176" t="n"/>
      <c r="D204" s="176" t="n"/>
      <c r="E204" s="176" t="n"/>
      <c r="F204" s="176" t="n"/>
      <c r="G204" s="176" t="n"/>
      <c r="H204" s="176" t="n"/>
      <c r="I204" s="176" t="n"/>
      <c r="J204" s="176" t="n"/>
      <c r="K204" s="176" t="n"/>
      <c r="L204" s="176" t="n"/>
      <c r="M204" s="176" t="n"/>
      <c r="N204" s="176" t="n"/>
      <c r="O204" s="176" t="n"/>
      <c r="P204" s="176" t="n"/>
      <c r="Q204" s="176" t="n"/>
      <c r="R204" s="176" t="n"/>
      <c r="S204" s="176" t="n"/>
      <c r="T204" s="181" t="inlineStr">
        <is>
          <t>EFEITO · DESCRIÇÃO</t>
        </is>
      </c>
      <c r="U204" s="182" t="n"/>
      <c r="V204" s="182" t="n"/>
      <c r="W204" s="182" t="n"/>
      <c r="X204" s="182" t="n"/>
      <c r="Y204" s="183" t="n"/>
      <c r="Z204" s="176" t="n"/>
      <c r="AA204" s="176" t="n"/>
      <c r="AB204" s="181" t="inlineStr">
        <is>
          <t>EFEITO · DESCRIÇÃO</t>
        </is>
      </c>
      <c r="AC204" s="182" t="n"/>
      <c r="AD204" s="182" t="n"/>
      <c r="AE204" s="182" t="n"/>
      <c r="AF204" s="182" t="n"/>
      <c r="AG204" s="183" t="n"/>
      <c r="AH204" s="176" t="n"/>
      <c r="AI204" s="176" t="n"/>
      <c r="AJ204" s="176" t="n"/>
      <c r="AK204" s="176" t="n"/>
      <c r="AL204" s="176" t="n"/>
      <c r="AM204" s="176" t="n"/>
      <c r="AN204" s="176" t="n"/>
      <c r="AO204" s="176" t="n"/>
      <c r="AP204" s="176" t="n"/>
      <c r="AQ204" s="176" t="n"/>
      <c r="AR204" s="176" t="n"/>
      <c r="AS204" s="176" t="n"/>
      <c r="AT204" s="176" t="n"/>
      <c r="AU204" s="176" t="n"/>
      <c r="AV204" s="176" t="n"/>
      <c r="AW204" s="176" t="n"/>
      <c r="AX204" s="176" t="n"/>
      <c r="AY204" s="176" t="n"/>
      <c r="AZ204" s="176" t="n"/>
      <c r="BA204" s="176" t="n"/>
      <c r="BB204" s="176" t="n"/>
      <c r="BC204" s="176" t="n"/>
      <c r="BD204" s="176" t="n"/>
      <c r="BE204" s="176" t="n"/>
      <c r="BF204" s="176" t="n"/>
      <c r="BG204" s="176" t="n"/>
      <c r="BH204" s="176" t="n"/>
      <c r="BI204" s="176" t="n"/>
      <c r="BJ204" s="176" t="n"/>
      <c r="BK204" s="176" t="n"/>
      <c r="BL204" s="176" t="n"/>
      <c r="BM204" s="176" t="n"/>
      <c r="BN204" s="176" t="n"/>
      <c r="BO204" s="176" t="n"/>
      <c r="BP204" s="176" t="n"/>
      <c r="BQ204" s="176" t="n"/>
      <c r="BR204" s="176" t="n"/>
      <c r="BS204" s="176" t="n"/>
      <c r="BT204" s="176" t="n"/>
      <c r="BU204" s="176" t="n"/>
      <c r="BV204" s="176" t="n"/>
      <c r="BW204" s="176" t="n"/>
      <c r="BX204" s="176" t="n"/>
      <c r="BY204" s="176" t="n"/>
      <c r="BZ204" s="176" t="n"/>
      <c r="CA204" s="176" t="n"/>
      <c r="CB204" s="176" t="n"/>
      <c r="CC204" s="176" t="n"/>
      <c r="CD204" s="176" t="n"/>
      <c r="CE204" s="176" t="n"/>
      <c r="CF204" s="176" t="n"/>
      <c r="CG204" s="176" t="n"/>
      <c r="CH204" s="176" t="n"/>
      <c r="CI204" s="176" t="n"/>
      <c r="CJ204" s="176" t="n"/>
      <c r="CK204" s="176" t="n"/>
      <c r="CL204" s="176" t="n"/>
      <c r="CM204" s="176" t="n"/>
      <c r="CN204" s="176" t="n"/>
      <c r="CO204" s="176" t="n"/>
      <c r="CP204" s="176" t="n"/>
      <c r="CQ204" s="176" t="n"/>
      <c r="CR204" s="176" t="n"/>
      <c r="CS204" s="176" t="n"/>
      <c r="CT204" s="176" t="n"/>
      <c r="CU204" s="176" t="n"/>
      <c r="CV204" s="176" t="n"/>
      <c r="CW204" s="176" t="n"/>
      <c r="CX204" s="176" t="n"/>
      <c r="CY204" s="176" t="n"/>
      <c r="CZ204" s="176" t="n"/>
      <c r="DA204" s="192" t="n"/>
      <c r="DB204" s="187" t="n"/>
      <c r="DC204" s="187" t="n"/>
      <c r="DD204" s="187" t="n"/>
      <c r="DE204" s="187" t="n"/>
      <c r="DF204" s="188" t="n"/>
      <c r="DG204" s="176" t="n"/>
      <c r="DH204" s="176" t="n"/>
      <c r="DI204" s="192" t="n"/>
      <c r="DJ204" s="187" t="n"/>
      <c r="DK204" s="187" t="n"/>
      <c r="DL204" s="187" t="n"/>
      <c r="DM204" s="187" t="n"/>
      <c r="DN204" s="188" t="n"/>
      <c r="DO204" s="176" t="n"/>
      <c r="DP204" s="176" t="n"/>
      <c r="DQ204" s="176" t="n"/>
      <c r="DR204" s="176" t="n"/>
      <c r="DS204" s="176" t="n"/>
      <c r="DT204" s="176" t="n"/>
      <c r="DU204" s="176" t="n"/>
      <c r="DV204" s="176" t="n"/>
      <c r="DW204" s="176" t="n"/>
      <c r="DX204" s="176" t="n"/>
      <c r="DY204" s="176" t="n"/>
      <c r="DZ204" s="176" t="n"/>
      <c r="EA204" s="176" t="n"/>
      <c r="EB204" s="176" t="n"/>
      <c r="EC204" s="176" t="n"/>
      <c r="ED204" s="176" t="n"/>
      <c r="EE204" s="176" t="n"/>
      <c r="EF204" s="176" t="n"/>
      <c r="EG204" s="176" t="n"/>
      <c r="EH204" s="176" t="n"/>
      <c r="EI204" s="176" t="n"/>
      <c r="EJ204" s="176" t="n"/>
      <c r="EK204" s="176" t="n"/>
      <c r="EL204" s="176" t="n"/>
      <c r="EM204" s="176" t="n"/>
      <c r="EN204" s="176" t="n"/>
      <c r="EO204" s="176" t="n"/>
      <c r="EP204" s="176" t="n"/>
      <c r="EQ204" s="176" t="n"/>
      <c r="ER204" s="176" t="n"/>
      <c r="ES204" s="176" t="n"/>
      <c r="ET204" s="176" t="n"/>
      <c r="EU204" s="176" t="n"/>
      <c r="EV204" s="176" t="n"/>
      <c r="EW204" s="176" t="n"/>
      <c r="EX204" s="176" t="n"/>
      <c r="EY204" s="176" t="n"/>
      <c r="EZ204" s="181" t="inlineStr">
        <is>
          <t>RESOLUÇÃO</t>
        </is>
      </c>
      <c r="FA204" s="182" t="n"/>
      <c r="FB204" s="183" t="n"/>
      <c r="FC204" s="185" t="n"/>
      <c r="FD204" s="182" t="n"/>
      <c r="FE204" s="183" t="n"/>
      <c r="FF204" s="176" t="n"/>
      <c r="FG204" s="176" t="n"/>
      <c r="FH204" s="181" t="inlineStr">
        <is>
          <t>RESOLUÇÃO</t>
        </is>
      </c>
      <c r="FI204" s="182" t="n"/>
      <c r="FJ204" s="183" t="n"/>
      <c r="FK204" s="185" t="n"/>
      <c r="FL204" s="182" t="n"/>
      <c r="FM204" s="183" t="n"/>
      <c r="FN204" s="176" t="n"/>
      <c r="FO204" s="176" t="n"/>
      <c r="FP204" s="176" t="n"/>
      <c r="FQ204" s="176" t="n"/>
      <c r="FR204" s="176" t="n"/>
      <c r="FS204" s="176" t="n"/>
      <c r="FT204" s="176" t="n"/>
      <c r="FU204" s="176" t="n"/>
      <c r="FV204" s="176" t="n"/>
      <c r="FW204" s="176" t="n"/>
      <c r="FX204" s="176" t="n"/>
      <c r="FY204" s="176" t="n"/>
      <c r="FZ204" s="176" t="n"/>
      <c r="GA204" s="176" t="n"/>
      <c r="GB204" s="176" t="n"/>
      <c r="GC204" s="176" t="n"/>
      <c r="GD204" s="176" t="n"/>
      <c r="GE204" s="176" t="n"/>
      <c r="GF204" s="176" t="n"/>
      <c r="GG204" s="176" t="n"/>
      <c r="GH204" s="176" t="n"/>
      <c r="GI204" s="176" t="n"/>
      <c r="GJ204" s="176" t="n"/>
      <c r="GK204" s="176" t="n"/>
      <c r="GL204" s="176" t="n"/>
      <c r="GM204" s="176" t="n"/>
      <c r="GN204" s="176" t="n"/>
      <c r="GO204" s="176" t="n"/>
      <c r="GP204" s="176" t="n"/>
      <c r="GQ204" s="176" t="n"/>
      <c r="GR204" s="176" t="n"/>
      <c r="GS204" s="176" t="n"/>
      <c r="GT204" s="176" t="n"/>
      <c r="GU204" s="176" t="n"/>
      <c r="GV204" s="176" t="n"/>
      <c r="GW204" s="176" t="n"/>
      <c r="GX204" s="176" t="n"/>
      <c r="GY204" s="176" t="n"/>
      <c r="GZ204" s="176" t="n"/>
      <c r="HA204" s="176" t="n"/>
      <c r="HB204" s="176" t="n"/>
      <c r="HC204" s="176" t="n"/>
      <c r="HD204" s="176" t="n"/>
      <c r="HE204" s="176" t="n"/>
      <c r="HF204" s="176" t="n"/>
      <c r="HG204" s="176" t="n"/>
      <c r="HH204" s="176" t="n"/>
      <c r="HI204" s="176" t="n"/>
      <c r="HJ204" s="176" t="n"/>
      <c r="HK204" s="176" t="n"/>
      <c r="HL204" s="176" t="n"/>
      <c r="HM204" s="176" t="n"/>
      <c r="HN204" s="176" t="n"/>
      <c r="HO204" s="176" t="n"/>
      <c r="HP204" s="176" t="n"/>
      <c r="HQ204" s="176" t="n"/>
      <c r="HR204" s="176" t="n"/>
      <c r="HS204" s="176" t="n"/>
      <c r="HT204" s="176" t="n"/>
      <c r="HU204" s="176" t="n"/>
      <c r="HV204" s="176" t="n"/>
      <c r="HW204" s="176" t="n"/>
      <c r="HX204" s="176" t="n"/>
      <c r="HY204" s="176" t="n"/>
      <c r="HZ204" s="176" t="n"/>
      <c r="IA204" s="176" t="n"/>
      <c r="IB204" s="176" t="n"/>
      <c r="IC204" s="176" t="n"/>
      <c r="ID204" s="176" t="n"/>
    </row>
    <row r="205" ht="18.75" customHeight="1">
      <c r="A205" s="176" t="n"/>
      <c r="B205" s="176" t="n"/>
      <c r="C205" s="176" t="n"/>
      <c r="D205" s="176" t="n"/>
      <c r="E205" s="176" t="n"/>
      <c r="F205" s="176" t="n"/>
      <c r="G205" s="176" t="n"/>
      <c r="H205" s="176" t="n"/>
      <c r="I205" s="176" t="n"/>
      <c r="J205" s="176" t="n"/>
      <c r="K205" s="176" t="n"/>
      <c r="L205" s="176" t="n"/>
      <c r="M205" s="176" t="n"/>
      <c r="N205" s="176" t="n"/>
      <c r="O205" s="176" t="n"/>
      <c r="P205" s="176" t="n"/>
      <c r="Q205" s="176" t="n"/>
      <c r="R205" s="176" t="n"/>
      <c r="S205" s="176" t="n"/>
      <c r="T205" s="192" t="n"/>
      <c r="U205" s="187" t="n"/>
      <c r="V205" s="187" t="n"/>
      <c r="W205" s="187" t="n"/>
      <c r="X205" s="187" t="n"/>
      <c r="Y205" s="188" t="n"/>
      <c r="Z205" s="176" t="n"/>
      <c r="AA205" s="176" t="n"/>
      <c r="AB205" s="192" t="n"/>
      <c r="AC205" s="187" t="n"/>
      <c r="AD205" s="187" t="n"/>
      <c r="AE205" s="187" t="n"/>
      <c r="AF205" s="187" t="n"/>
      <c r="AG205" s="188" t="n"/>
      <c r="AH205" s="176" t="n"/>
      <c r="AI205" s="176" t="n"/>
      <c r="AJ205" s="176" t="n"/>
      <c r="AK205" s="176" t="n"/>
      <c r="AL205" s="176" t="n"/>
      <c r="AM205" s="176" t="n"/>
      <c r="AN205" s="176" t="n"/>
      <c r="AO205" s="176" t="n"/>
      <c r="AP205" s="176" t="n"/>
      <c r="AQ205" s="176" t="n"/>
      <c r="AR205" s="176" t="n"/>
      <c r="AS205" s="176" t="n"/>
      <c r="AT205" s="176" t="n"/>
      <c r="AU205" s="176" t="n"/>
      <c r="AV205" s="176" t="n"/>
      <c r="AW205" s="176" t="n"/>
      <c r="AX205" s="176" t="n"/>
      <c r="AY205" s="176" t="n"/>
      <c r="AZ205" s="176" t="n"/>
      <c r="BA205" s="176" t="n"/>
      <c r="BB205" s="176" t="n"/>
      <c r="BC205" s="176" t="n"/>
      <c r="BD205" s="176" t="n"/>
      <c r="BE205" s="176" t="n"/>
      <c r="BF205" s="176" t="n"/>
      <c r="BG205" s="176" t="n"/>
      <c r="BH205" s="176" t="n"/>
      <c r="BI205" s="176" t="n"/>
      <c r="BJ205" s="176" t="n"/>
      <c r="BK205" s="176" t="n"/>
      <c r="BL205" s="176" t="n"/>
      <c r="BM205" s="176" t="n"/>
      <c r="BN205" s="176" t="n"/>
      <c r="BO205" s="176" t="n"/>
      <c r="BP205" s="176" t="n"/>
      <c r="BQ205" s="176" t="n"/>
      <c r="BR205" s="176" t="n"/>
      <c r="BS205" s="176" t="n"/>
      <c r="BT205" s="176" t="n"/>
      <c r="BU205" s="176" t="n"/>
      <c r="BV205" s="176" t="n"/>
      <c r="BW205" s="176" t="n"/>
      <c r="BX205" s="176" t="n"/>
      <c r="BY205" s="176" t="n"/>
      <c r="BZ205" s="176" t="n"/>
      <c r="CA205" s="176" t="n"/>
      <c r="CB205" s="176" t="n"/>
      <c r="CC205" s="176" t="n"/>
      <c r="CD205" s="176" t="n"/>
      <c r="CE205" s="176" t="n"/>
      <c r="CF205" s="176" t="n"/>
      <c r="CG205" s="176" t="n"/>
      <c r="CH205" s="176" t="n"/>
      <c r="CI205" s="176" t="n"/>
      <c r="CJ205" s="176" t="n"/>
      <c r="CK205" s="176" t="n"/>
      <c r="CL205" s="176" t="n"/>
      <c r="CM205" s="176" t="n"/>
      <c r="CN205" s="176" t="n"/>
      <c r="CO205" s="176" t="n"/>
      <c r="CP205" s="176" t="n"/>
      <c r="CQ205" s="176" t="n"/>
      <c r="CR205" s="176" t="n"/>
      <c r="CS205" s="176" t="n"/>
      <c r="CT205" s="176" t="n"/>
      <c r="CU205" s="176" t="n"/>
      <c r="CV205" s="176" t="n"/>
      <c r="CW205" s="176" t="n"/>
      <c r="CX205" s="176" t="n"/>
      <c r="CY205" s="176" t="n"/>
      <c r="CZ205" s="176" t="n"/>
      <c r="DA205" s="193" t="n"/>
      <c r="DF205" s="194" t="n"/>
      <c r="DG205" s="176" t="n"/>
      <c r="DH205" s="176" t="n"/>
      <c r="DI205" s="193" t="n"/>
      <c r="DN205" s="194" t="n"/>
      <c r="DO205" s="176" t="n"/>
      <c r="DP205" s="176" t="n"/>
      <c r="DQ205" s="176" t="n"/>
      <c r="DR205" s="180">
        <f>IF('DADOS_RESTRICOES'!$K$18="","","⚠ "&amp;'DADOS_RESTRICOES'!$K$18)</f>
        <v/>
      </c>
      <c r="DX205" s="176" t="n"/>
      <c r="DY205" s="176" t="n"/>
      <c r="DZ205" s="180">
        <f>IF('DADOS_RESTRICOES'!$K$19="","","⚠ "&amp;'DADOS_RESTRICOES'!$K$19)</f>
        <v/>
      </c>
      <c r="EF205" s="176" t="n"/>
      <c r="EG205" s="176" t="n"/>
      <c r="EH205" s="176" t="n"/>
      <c r="EI205" s="176" t="n"/>
      <c r="EJ205" s="176" t="n"/>
      <c r="EK205" s="176" t="n"/>
      <c r="EL205" s="176" t="n"/>
      <c r="EM205" s="176" t="n"/>
      <c r="EN205" s="176" t="n"/>
      <c r="EO205" s="176" t="n"/>
      <c r="EP205" s="176" t="n"/>
      <c r="EQ205" s="176" t="n"/>
      <c r="ER205" s="176" t="n"/>
      <c r="ES205" s="176" t="n"/>
      <c r="ET205" s="176" t="n"/>
      <c r="EU205" s="176" t="n"/>
      <c r="EV205" s="176" t="n"/>
      <c r="EW205" s="176" t="n"/>
      <c r="EX205" s="176" t="n"/>
      <c r="EY205" s="176" t="n"/>
      <c r="EZ205" s="181" t="inlineStr">
        <is>
          <t>RESULTADO</t>
        </is>
      </c>
      <c r="FA205" s="182" t="n"/>
      <c r="FB205" s="183" t="n"/>
      <c r="FC205" s="185" t="n"/>
      <c r="FD205" s="182" t="n"/>
      <c r="FE205" s="183" t="n"/>
      <c r="FF205" s="176" t="n"/>
      <c r="FG205" s="176" t="n"/>
      <c r="FH205" s="181" t="inlineStr">
        <is>
          <t>RESULTADO</t>
        </is>
      </c>
      <c r="FI205" s="182" t="n"/>
      <c r="FJ205" s="183" t="n"/>
      <c r="FK205" s="185" t="n"/>
      <c r="FL205" s="182" t="n"/>
      <c r="FM205" s="183" t="n"/>
      <c r="FN205" s="176" t="n"/>
      <c r="FO205" s="176" t="n"/>
      <c r="FP205" s="176" t="n"/>
      <c r="FQ205" s="176" t="n"/>
      <c r="FR205" s="176" t="n"/>
      <c r="FS205" s="176" t="n"/>
      <c r="FT205" s="176" t="n"/>
      <c r="FU205" s="176" t="n"/>
      <c r="FV205" s="176" t="n"/>
      <c r="FW205" s="176" t="n"/>
      <c r="FX205" s="176" t="n"/>
      <c r="FY205" s="176" t="n"/>
      <c r="FZ205" s="176" t="n"/>
      <c r="GA205" s="176" t="n"/>
      <c r="GB205" s="176" t="n"/>
      <c r="GC205" s="176" t="n"/>
      <c r="GD205" s="176" t="n"/>
      <c r="GE205" s="176" t="n"/>
      <c r="GF205" s="176" t="n"/>
      <c r="GG205" s="176" t="n"/>
      <c r="GH205" s="176" t="n"/>
      <c r="GI205" s="176" t="n"/>
      <c r="GJ205" s="176" t="n"/>
      <c r="GK205" s="176" t="n"/>
      <c r="GL205" s="176" t="n"/>
      <c r="GM205" s="176" t="n"/>
      <c r="GN205" s="176" t="n"/>
      <c r="GO205" s="176" t="n"/>
      <c r="GP205" s="176" t="n"/>
      <c r="GQ205" s="176" t="n"/>
      <c r="GR205" s="176" t="n"/>
      <c r="GS205" s="176" t="n"/>
      <c r="GT205" s="176" t="n"/>
      <c r="GU205" s="176" t="n"/>
      <c r="GV205" s="176" t="n"/>
      <c r="GW205" s="176" t="n"/>
      <c r="GX205" s="176" t="n"/>
      <c r="GY205" s="176" t="n"/>
      <c r="GZ205" s="176" t="n"/>
      <c r="HA205" s="176" t="n"/>
      <c r="HB205" s="176" t="n"/>
      <c r="HC205" s="176" t="n"/>
      <c r="HD205" s="176" t="n"/>
      <c r="HE205" s="176" t="n"/>
      <c r="HF205" s="176" t="n"/>
      <c r="HG205" s="176" t="n"/>
      <c r="HH205" s="176" t="n"/>
      <c r="HI205" s="176" t="n"/>
      <c r="HJ205" s="176" t="n"/>
      <c r="HK205" s="176" t="n"/>
      <c r="HL205" s="176" t="n"/>
      <c r="HM205" s="176" t="n"/>
      <c r="HN205" s="176" t="n"/>
      <c r="HO205" s="176" t="n"/>
      <c r="HP205" s="180">
        <f>IF('DADOS_ENTIDADES'!$AG$14="","","⚠ "&amp;'DADOS_ENTIDADES'!$AG$14)</f>
        <v/>
      </c>
      <c r="HV205" s="176" t="n"/>
      <c r="HW205" s="176" t="n"/>
      <c r="HX205" s="180">
        <f>IF('DADOS_ENTIDADES'!$AG$15="","","⚠ "&amp;'DADOS_ENTIDADES'!$AG$15)</f>
        <v/>
      </c>
      <c r="ID205" s="176" t="n"/>
    </row>
    <row r="206" ht="18.75" customHeight="1">
      <c r="A206" s="176" t="n"/>
      <c r="B206" s="176" t="n"/>
      <c r="C206" s="176" t="n"/>
      <c r="D206" s="176" t="n"/>
      <c r="E206" s="176" t="n"/>
      <c r="F206" s="176" t="n"/>
      <c r="G206" s="176" t="n"/>
      <c r="H206" s="176" t="n"/>
      <c r="I206" s="176" t="n"/>
      <c r="J206" s="176" t="n"/>
      <c r="K206" s="176" t="n"/>
      <c r="L206" s="176" t="n"/>
      <c r="M206" s="176" t="n"/>
      <c r="N206" s="176" t="n"/>
      <c r="O206" s="176" t="n"/>
      <c r="P206" s="176" t="n"/>
      <c r="Q206" s="176" t="n"/>
      <c r="R206" s="176" t="n"/>
      <c r="S206" s="176" t="n"/>
      <c r="T206" s="193" t="n"/>
      <c r="Y206" s="194" t="n"/>
      <c r="Z206" s="176" t="n"/>
      <c r="AA206" s="176" t="n"/>
      <c r="AB206" s="193" t="n"/>
      <c r="AG206" s="194" t="n"/>
      <c r="AH206" s="176" t="n"/>
      <c r="AI206" s="176" t="n"/>
      <c r="AJ206" s="176" t="n"/>
      <c r="AK206" s="176" t="n"/>
      <c r="AL206" s="176" t="n"/>
      <c r="AM206" s="176" t="n"/>
      <c r="AN206" s="176" t="n"/>
      <c r="AO206" s="176" t="n"/>
      <c r="AP206" s="176" t="n"/>
      <c r="AQ206" s="176" t="n"/>
      <c r="AR206" s="176" t="n"/>
      <c r="AS206" s="176" t="n"/>
      <c r="AT206" s="176" t="n"/>
      <c r="AU206" s="176" t="n"/>
      <c r="AV206" s="176" t="n"/>
      <c r="AW206" s="176" t="n"/>
      <c r="AX206" s="176" t="n"/>
      <c r="AY206" s="176" t="n"/>
      <c r="AZ206" s="176" t="n"/>
      <c r="BA206" s="176" t="n"/>
      <c r="BB206" s="176" t="n"/>
      <c r="BC206" s="176" t="n"/>
      <c r="BD206" s="176" t="n"/>
      <c r="BE206" s="176" t="n"/>
      <c r="BF206" s="176" t="n"/>
      <c r="BG206" s="176" t="n"/>
      <c r="BH206" s="176" t="n"/>
      <c r="BI206" s="176" t="n"/>
      <c r="BJ206" s="176" t="n"/>
      <c r="BK206" s="176" t="n"/>
      <c r="BL206" s="176" t="n"/>
      <c r="BM206" s="176" t="n"/>
      <c r="BN206" s="176" t="n"/>
      <c r="BO206" s="176" t="n"/>
      <c r="BP206" s="176" t="n"/>
      <c r="BQ206" s="176" t="n"/>
      <c r="BR206" s="176" t="n"/>
      <c r="BS206" s="176" t="n"/>
      <c r="BT206" s="176" t="n"/>
      <c r="BU206" s="176" t="n"/>
      <c r="BV206" s="176" t="n"/>
      <c r="BW206" s="176" t="n"/>
      <c r="BX206" s="176" t="n"/>
      <c r="BY206" s="176" t="n"/>
      <c r="BZ206" s="176" t="n"/>
      <c r="CA206" s="176" t="n"/>
      <c r="CB206" s="176" t="n"/>
      <c r="CC206" s="176" t="n"/>
      <c r="CD206" s="176" t="n"/>
      <c r="CE206" s="176" t="n"/>
      <c r="CF206" s="176" t="n"/>
      <c r="CG206" s="176" t="n"/>
      <c r="CH206" s="176" t="n"/>
      <c r="CI206" s="176" t="n"/>
      <c r="CJ206" s="176" t="n"/>
      <c r="CK206" s="176" t="n"/>
      <c r="CL206" s="176" t="n"/>
      <c r="CM206" s="176" t="n"/>
      <c r="CN206" s="176" t="n"/>
      <c r="CO206" s="176" t="n"/>
      <c r="CP206" s="176" t="n"/>
      <c r="CQ206" s="176" t="n"/>
      <c r="CR206" s="176" t="n"/>
      <c r="CS206" s="176" t="n"/>
      <c r="CT206" s="176" t="n"/>
      <c r="CU206" s="176" t="n"/>
      <c r="CV206" s="176" t="n"/>
      <c r="CW206" s="176" t="n"/>
      <c r="CX206" s="176" t="n"/>
      <c r="CY206" s="176" t="n"/>
      <c r="CZ206" s="176" t="n"/>
      <c r="DA206" s="193" t="n"/>
      <c r="DF206" s="194" t="n"/>
      <c r="DG206" s="176" t="n"/>
      <c r="DH206" s="176" t="n"/>
      <c r="DI206" s="193" t="n"/>
      <c r="DN206" s="194" t="n"/>
      <c r="DO206" s="176" t="n"/>
      <c r="DP206" s="176" t="n"/>
      <c r="DQ206" s="176" t="n"/>
      <c r="DX206" s="176" t="n"/>
      <c r="DY206" s="176" t="n"/>
      <c r="EF206" s="176" t="n"/>
      <c r="EG206" s="176" t="n"/>
      <c r="EH206" s="176" t="n"/>
      <c r="EI206" s="176" t="n"/>
      <c r="EJ206" s="176" t="n"/>
      <c r="EK206" s="176" t="n"/>
      <c r="EL206" s="176" t="n"/>
      <c r="EM206" s="176" t="n"/>
      <c r="EN206" s="176" t="n"/>
      <c r="EO206" s="176" t="n"/>
      <c r="EP206" s="176" t="n"/>
      <c r="EQ206" s="176" t="n"/>
      <c r="ER206" s="176" t="n"/>
      <c r="ES206" s="176" t="n"/>
      <c r="ET206" s="176" t="n"/>
      <c r="EU206" s="176" t="n"/>
      <c r="EV206" s="176" t="n"/>
      <c r="EW206" s="176" t="n"/>
      <c r="EX206" s="176" t="n"/>
      <c r="EY206" s="176" t="n"/>
      <c r="EZ206" s="181" t="inlineStr">
        <is>
          <t>EXIGE TR</t>
        </is>
      </c>
      <c r="FA206" s="182" t="n"/>
      <c r="FB206" s="183" t="n"/>
      <c r="FC206" s="185" t="n"/>
      <c r="FD206" s="182" t="n"/>
      <c r="FE206" s="183" t="n"/>
      <c r="FF206" s="176" t="n"/>
      <c r="FG206" s="176" t="n"/>
      <c r="FH206" s="181" t="inlineStr">
        <is>
          <t>EXIGE TR</t>
        </is>
      </c>
      <c r="FI206" s="182" t="n"/>
      <c r="FJ206" s="183" t="n"/>
      <c r="FK206" s="185" t="n"/>
      <c r="FL206" s="182" t="n"/>
      <c r="FM206" s="183" t="n"/>
      <c r="FN206" s="176" t="n"/>
      <c r="FO206" s="176" t="n"/>
      <c r="FP206" s="176" t="n"/>
      <c r="FQ206" s="176" t="n"/>
      <c r="FR206" s="176" t="n"/>
      <c r="FS206" s="176" t="n"/>
      <c r="FT206" s="176" t="n"/>
      <c r="FU206" s="176" t="n"/>
      <c r="FV206" s="176" t="n"/>
      <c r="FW206" s="176" t="n"/>
      <c r="FX206" s="176" t="n"/>
      <c r="FY206" s="176" t="n"/>
      <c r="FZ206" s="176" t="n"/>
      <c r="GA206" s="176" t="n"/>
      <c r="GB206" s="176" t="n"/>
      <c r="GC206" s="176" t="n"/>
      <c r="GD206" s="176" t="n"/>
      <c r="GE206" s="176" t="n"/>
      <c r="GF206" s="176" t="n"/>
      <c r="GG206" s="176" t="n"/>
      <c r="GH206" s="176" t="n"/>
      <c r="GI206" s="176" t="n"/>
      <c r="GJ206" s="176" t="n"/>
      <c r="GK206" s="176" t="n"/>
      <c r="GL206" s="176" t="n"/>
      <c r="GM206" s="176" t="n"/>
      <c r="GN206" s="176" t="n"/>
      <c r="GO206" s="176" t="n"/>
      <c r="GP206" s="176" t="n"/>
      <c r="GQ206" s="176" t="n"/>
      <c r="GR206" s="176" t="n"/>
      <c r="GS206" s="176" t="n"/>
      <c r="GT206" s="176" t="n"/>
      <c r="GU206" s="176" t="n"/>
      <c r="GV206" s="176" t="n"/>
      <c r="GW206" s="176" t="n"/>
      <c r="GX206" s="176" t="n"/>
      <c r="GY206" s="176" t="n"/>
      <c r="GZ206" s="176" t="n"/>
      <c r="HA206" s="176" t="n"/>
      <c r="HB206" s="176" t="n"/>
      <c r="HC206" s="176" t="n"/>
      <c r="HD206" s="176" t="n"/>
      <c r="HE206" s="176" t="n"/>
      <c r="HF206" s="176" t="n"/>
      <c r="HG206" s="176" t="n"/>
      <c r="HH206" s="176" t="n"/>
      <c r="HI206" s="176" t="n"/>
      <c r="HJ206" s="176" t="n"/>
      <c r="HK206" s="176" t="n"/>
      <c r="HL206" s="176" t="n"/>
      <c r="HM206" s="176" t="n"/>
      <c r="HN206" s="176" t="n"/>
      <c r="HO206" s="176" t="n"/>
      <c r="HV206" s="176" t="n"/>
      <c r="HW206" s="176" t="n"/>
      <c r="ID206" s="176" t="n"/>
    </row>
    <row r="207" ht="18.75" customHeight="1">
      <c r="A207" s="176" t="n"/>
      <c r="B207" s="176" t="n"/>
      <c r="C207" s="176" t="n"/>
      <c r="D207" s="176" t="n"/>
      <c r="E207" s="176" t="n"/>
      <c r="F207" s="176" t="n"/>
      <c r="G207" s="176" t="n"/>
      <c r="H207" s="176" t="n"/>
      <c r="I207" s="176" t="n"/>
      <c r="J207" s="176" t="n"/>
      <c r="K207" s="176" t="n"/>
      <c r="L207" s="176" t="n"/>
      <c r="M207" s="176" t="n"/>
      <c r="N207" s="176" t="n"/>
      <c r="O207" s="176" t="n"/>
      <c r="P207" s="176" t="n"/>
      <c r="Q207" s="176" t="n"/>
      <c r="R207" s="176" t="n"/>
      <c r="S207" s="176" t="n"/>
      <c r="T207" s="193" t="n"/>
      <c r="Y207" s="194" t="n"/>
      <c r="Z207" s="176" t="n"/>
      <c r="AA207" s="176" t="n"/>
      <c r="AB207" s="193" t="n"/>
      <c r="AG207" s="194" t="n"/>
      <c r="AH207" s="176" t="n"/>
      <c r="AI207" s="176" t="n"/>
      <c r="AJ207" s="176" t="n"/>
      <c r="AK207" s="176" t="n"/>
      <c r="AL207" s="176" t="n"/>
      <c r="AM207" s="176" t="n"/>
      <c r="AN207" s="176" t="n"/>
      <c r="AO207" s="176" t="n"/>
      <c r="AP207" s="176" t="n"/>
      <c r="AQ207" s="176" t="n"/>
      <c r="AR207" s="176" t="n"/>
      <c r="AS207" s="176" t="n"/>
      <c r="AT207" s="176" t="n"/>
      <c r="AU207" s="176" t="n"/>
      <c r="AV207" s="176" t="n"/>
      <c r="AW207" s="176" t="n"/>
      <c r="AX207" s="176" t="n"/>
      <c r="AY207" s="176" t="n"/>
      <c r="AZ207" s="176" t="n"/>
      <c r="BA207" s="176" t="n"/>
      <c r="BB207" s="176" t="n"/>
      <c r="BC207" s="176" t="n"/>
      <c r="BD207" s="176" t="n"/>
      <c r="BE207" s="176" t="n"/>
      <c r="BF207" s="176" t="n"/>
      <c r="BG207" s="176" t="n"/>
      <c r="BH207" s="176" t="n"/>
      <c r="BI207" s="176" t="n"/>
      <c r="BJ207" s="176" t="n"/>
      <c r="BK207" s="176" t="n"/>
      <c r="BL207" s="176" t="n"/>
      <c r="BM207" s="176" t="n"/>
      <c r="BN207" s="176" t="n"/>
      <c r="BO207" s="176" t="n"/>
      <c r="BP207" s="176" t="n"/>
      <c r="BQ207" s="176" t="n"/>
      <c r="BR207" s="176" t="n"/>
      <c r="BS207" s="176" t="n"/>
      <c r="BT207" s="176" t="n"/>
      <c r="BU207" s="176" t="n"/>
      <c r="BV207" s="176" t="n"/>
      <c r="BW207" s="176" t="n"/>
      <c r="BX207" s="176" t="n"/>
      <c r="BY207" s="176" t="n"/>
      <c r="BZ207" s="176" t="n"/>
      <c r="CA207" s="176" t="n"/>
      <c r="CB207" s="176" t="n"/>
      <c r="CC207" s="176" t="n"/>
      <c r="CD207" s="176" t="n"/>
      <c r="CE207" s="176" t="n"/>
      <c r="CF207" s="176" t="n"/>
      <c r="CG207" s="176" t="n"/>
      <c r="CH207" s="176" t="n"/>
      <c r="CI207" s="176" t="n"/>
      <c r="CJ207" s="176" t="n"/>
      <c r="CK207" s="176" t="n"/>
      <c r="CL207" s="176" t="n"/>
      <c r="CM207" s="176" t="n"/>
      <c r="CN207" s="176" t="n"/>
      <c r="CO207" s="176" t="n"/>
      <c r="CP207" s="176" t="n"/>
      <c r="CQ207" s="176" t="n"/>
      <c r="CR207" s="176" t="n"/>
      <c r="CS207" s="176" t="n"/>
      <c r="CT207" s="176" t="n"/>
      <c r="CU207" s="176" t="n"/>
      <c r="CV207" s="176" t="n"/>
      <c r="CW207" s="176" t="n"/>
      <c r="CX207" s="176" t="n"/>
      <c r="CY207" s="176" t="n"/>
      <c r="CZ207" s="176" t="n"/>
      <c r="DA207" s="189" t="n"/>
      <c r="DB207" s="190" t="n"/>
      <c r="DC207" s="190" t="n"/>
      <c r="DD207" s="190" t="n"/>
      <c r="DE207" s="190" t="n"/>
      <c r="DF207" s="191" t="n"/>
      <c r="DG207" s="176" t="n"/>
      <c r="DH207" s="176" t="n"/>
      <c r="DI207" s="189" t="n"/>
      <c r="DJ207" s="190" t="n"/>
      <c r="DK207" s="190" t="n"/>
      <c r="DL207" s="190" t="n"/>
      <c r="DM207" s="190" t="n"/>
      <c r="DN207" s="191" t="n"/>
      <c r="DO207" s="176" t="n"/>
      <c r="DP207" s="176" t="n"/>
      <c r="DQ207" s="176" t="n"/>
      <c r="DR207" s="176" t="n"/>
      <c r="DS207" s="176" t="n"/>
      <c r="DT207" s="176" t="n"/>
      <c r="DU207" s="176" t="n"/>
      <c r="DV207" s="176" t="n"/>
      <c r="DW207" s="176" t="n"/>
      <c r="DX207" s="176" t="n"/>
      <c r="DY207" s="176" t="n"/>
      <c r="DZ207" s="176" t="n"/>
      <c r="EA207" s="176" t="n"/>
      <c r="EB207" s="176" t="n"/>
      <c r="EC207" s="176" t="n"/>
      <c r="ED207" s="176" t="n"/>
      <c r="EE207" s="176" t="n"/>
      <c r="EF207" s="176" t="n"/>
      <c r="EG207" s="176" t="n"/>
      <c r="EH207" s="176" t="n"/>
      <c r="EI207" s="176" t="n"/>
      <c r="EJ207" s="176" t="n"/>
      <c r="EK207" s="176" t="n"/>
      <c r="EL207" s="176" t="n"/>
      <c r="EM207" s="176" t="n"/>
      <c r="EN207" s="176" t="n"/>
      <c r="EO207" s="176" t="n"/>
      <c r="EP207" s="176" t="n"/>
      <c r="EQ207" s="176" t="n"/>
      <c r="ER207" s="176" t="n"/>
      <c r="ES207" s="176" t="n"/>
      <c r="ET207" s="176" t="n"/>
      <c r="EU207" s="176" t="n"/>
      <c r="EV207" s="176" t="n"/>
      <c r="EW207" s="176" t="n"/>
      <c r="EX207" s="176" t="n"/>
      <c r="EY207" s="176" t="n"/>
      <c r="EZ207" s="181" t="inlineStr">
        <is>
          <t>CLASSE 0</t>
        </is>
      </c>
      <c r="FA207" s="182" t="n"/>
      <c r="FB207" s="183" t="n"/>
      <c r="FC207" s="185" t="n"/>
      <c r="FD207" s="182" t="n"/>
      <c r="FE207" s="183" t="n"/>
      <c r="FF207" s="176" t="n"/>
      <c r="FG207" s="176" t="n"/>
      <c r="FH207" s="181" t="inlineStr">
        <is>
          <t>CLASSE 0</t>
        </is>
      </c>
      <c r="FI207" s="182" t="n"/>
      <c r="FJ207" s="183" t="n"/>
      <c r="FK207" s="185" t="n"/>
      <c r="FL207" s="182" t="n"/>
      <c r="FM207" s="183" t="n"/>
      <c r="FN207" s="176" t="n"/>
      <c r="FO207" s="176" t="n"/>
      <c r="FP207" s="176" t="n"/>
      <c r="FQ207" s="176" t="n"/>
      <c r="FR207" s="176" t="n"/>
      <c r="FS207" s="176" t="n"/>
      <c r="FT207" s="176" t="n"/>
      <c r="FU207" s="176" t="n"/>
      <c r="FV207" s="176" t="n"/>
      <c r="FW207" s="176" t="n"/>
      <c r="FX207" s="176" t="n"/>
      <c r="FY207" s="176" t="n"/>
      <c r="FZ207" s="176" t="n"/>
      <c r="GA207" s="176" t="n"/>
      <c r="GB207" s="176" t="n"/>
      <c r="GC207" s="176" t="n"/>
      <c r="GD207" s="176" t="n"/>
      <c r="GE207" s="176" t="n"/>
      <c r="GF207" s="176" t="n"/>
      <c r="GG207" s="176" t="n"/>
      <c r="GH207" s="176" t="n"/>
      <c r="GI207" s="176" t="n"/>
      <c r="GJ207" s="176" t="n"/>
      <c r="GK207" s="176" t="n"/>
      <c r="GL207" s="176" t="n"/>
      <c r="GM207" s="176" t="n"/>
      <c r="GN207" s="176" t="n"/>
      <c r="GO207" s="176" t="n"/>
      <c r="GP207" s="176" t="n"/>
      <c r="GQ207" s="176" t="n"/>
      <c r="GR207" s="176" t="n"/>
      <c r="GS207" s="176" t="n"/>
      <c r="GT207" s="176" t="n"/>
      <c r="GU207" s="176" t="n"/>
      <c r="GV207" s="176" t="n"/>
      <c r="GW207" s="176" t="n"/>
      <c r="GX207" s="176" t="n"/>
      <c r="GY207" s="176" t="n"/>
      <c r="GZ207" s="176" t="n"/>
      <c r="HA207" s="176" t="n"/>
      <c r="HB207" s="176" t="n"/>
      <c r="HC207" s="176" t="n"/>
      <c r="HD207" s="176" t="n"/>
      <c r="HE207" s="176" t="n"/>
      <c r="HF207" s="176" t="n"/>
      <c r="HG207" s="176" t="n"/>
      <c r="HH207" s="176" t="n"/>
      <c r="HI207" s="176" t="n"/>
      <c r="HJ207" s="176" t="n"/>
      <c r="HK207" s="176" t="n"/>
      <c r="HL207" s="176" t="n"/>
      <c r="HM207" s="176" t="n"/>
      <c r="HN207" s="176" t="n"/>
      <c r="HO207" s="176" t="n"/>
      <c r="HP207" s="179" t="inlineStr">
        <is>
          <t>TALENTO · ENTIDADE · 15</t>
        </is>
      </c>
      <c r="HV207" s="176" t="n"/>
      <c r="HW207" s="176" t="n"/>
      <c r="HX207" s="179" t="inlineStr">
        <is>
          <t>TALENTO · ENTIDADE · 16</t>
        </is>
      </c>
      <c r="ID207" s="176" t="n"/>
    </row>
    <row r="208" ht="18.75" customHeight="1">
      <c r="A208" s="176" t="n"/>
      <c r="B208" s="176" t="n"/>
      <c r="C208" s="176" t="n"/>
      <c r="D208" s="176" t="n"/>
      <c r="E208" s="176" t="n"/>
      <c r="F208" s="176" t="n"/>
      <c r="G208" s="176" t="n"/>
      <c r="H208" s="176" t="n"/>
      <c r="I208" s="176" t="n"/>
      <c r="J208" s="176" t="n"/>
      <c r="K208" s="176" t="n"/>
      <c r="L208" s="176" t="n"/>
      <c r="M208" s="176" t="n"/>
      <c r="N208" s="176" t="n"/>
      <c r="O208" s="176" t="n"/>
      <c r="P208" s="176" t="n"/>
      <c r="Q208" s="176" t="n"/>
      <c r="R208" s="176" t="n"/>
      <c r="S208" s="176" t="n"/>
      <c r="T208" s="193" t="n"/>
      <c r="Y208" s="194" t="n"/>
      <c r="Z208" s="176" t="n"/>
      <c r="AA208" s="176" t="n"/>
      <c r="AB208" s="193" t="n"/>
      <c r="AG208" s="194" t="n"/>
      <c r="AH208" s="176" t="n"/>
      <c r="AI208" s="176" t="n"/>
      <c r="AJ208" s="176" t="n"/>
      <c r="AK208" s="176" t="n"/>
      <c r="AL208" s="176" t="n"/>
      <c r="AM208" s="176" t="n"/>
      <c r="AN208" s="176" t="n"/>
      <c r="AO208" s="176" t="n"/>
      <c r="AP208" s="176" t="n"/>
      <c r="AQ208" s="176" t="n"/>
      <c r="AR208" s="176" t="n"/>
      <c r="AS208" s="176" t="n"/>
      <c r="AT208" s="176" t="n"/>
      <c r="AU208" s="176" t="n"/>
      <c r="AV208" s="176" t="n"/>
      <c r="AW208" s="176" t="n"/>
      <c r="AX208" s="176" t="n"/>
      <c r="AY208" s="176" t="n"/>
      <c r="AZ208" s="176" t="n"/>
      <c r="BA208" s="176" t="n"/>
      <c r="BB208" s="176" t="n"/>
      <c r="BC208" s="176" t="n"/>
      <c r="BD208" s="176" t="n"/>
      <c r="BE208" s="176" t="n"/>
      <c r="BF208" s="176" t="n"/>
      <c r="BG208" s="176" t="n"/>
      <c r="BH208" s="176" t="n"/>
      <c r="BI208" s="176" t="n"/>
      <c r="BJ208" s="176" t="n"/>
      <c r="BK208" s="176" t="n"/>
      <c r="BL208" s="176" t="n"/>
      <c r="BM208" s="176" t="n"/>
      <c r="BN208" s="176" t="n"/>
      <c r="BO208" s="176" t="n"/>
      <c r="BP208" s="176" t="n"/>
      <c r="BQ208" s="176" t="n"/>
      <c r="BR208" s="176" t="n"/>
      <c r="BS208" s="176" t="n"/>
      <c r="BT208" s="176" t="n"/>
      <c r="BU208" s="176" t="n"/>
      <c r="BV208" s="176" t="n"/>
      <c r="BW208" s="176" t="n"/>
      <c r="BX208" s="176" t="n"/>
      <c r="BY208" s="176" t="n"/>
      <c r="BZ208" s="176" t="n"/>
      <c r="CA208" s="176" t="n"/>
      <c r="CB208" s="176" t="n"/>
      <c r="CC208" s="176" t="n"/>
      <c r="CD208" s="176" t="n"/>
      <c r="CE208" s="176" t="n"/>
      <c r="CF208" s="176" t="n"/>
      <c r="CG208" s="176" t="n"/>
      <c r="CH208" s="176" t="n"/>
      <c r="CI208" s="176" t="n"/>
      <c r="CJ208" s="176" t="n"/>
      <c r="CK208" s="176" t="n"/>
      <c r="CL208" s="176" t="n"/>
      <c r="CM208" s="176" t="n"/>
      <c r="CN208" s="176" t="n"/>
      <c r="CO208" s="176" t="n"/>
      <c r="CP208" s="176" t="n"/>
      <c r="CQ208" s="176" t="n"/>
      <c r="CR208" s="176" t="n"/>
      <c r="CS208" s="176" t="n"/>
      <c r="CT208" s="176" t="n"/>
      <c r="CU208" s="176" t="n"/>
      <c r="CV208" s="176" t="n"/>
      <c r="CW208" s="176" t="n"/>
      <c r="CX208" s="176" t="n"/>
      <c r="CY208" s="176" t="n"/>
      <c r="CZ208" s="176" t="n"/>
      <c r="DA208" s="176" t="n"/>
      <c r="DB208" s="176" t="n"/>
      <c r="DC208" s="176" t="n"/>
      <c r="DD208" s="176" t="n"/>
      <c r="DE208" s="176" t="n"/>
      <c r="DF208" s="176" t="n"/>
      <c r="DG208" s="176" t="n"/>
      <c r="DH208" s="176" t="n"/>
      <c r="DI208" s="176" t="n"/>
      <c r="DJ208" s="176" t="n"/>
      <c r="DK208" s="176" t="n"/>
      <c r="DL208" s="176" t="n"/>
      <c r="DM208" s="176" t="n"/>
      <c r="DN208" s="176" t="n"/>
      <c r="DO208" s="176" t="n"/>
      <c r="DP208" s="176" t="n"/>
      <c r="DQ208" s="176" t="n"/>
      <c r="DR208" s="176" t="n"/>
      <c r="DS208" s="176" t="n"/>
      <c r="DT208" s="176" t="n"/>
      <c r="DU208" s="176" t="n"/>
      <c r="DV208" s="176" t="n"/>
      <c r="DW208" s="176" t="n"/>
      <c r="DX208" s="176" t="n"/>
      <c r="DY208" s="176" t="n"/>
      <c r="DZ208" s="176" t="n"/>
      <c r="EA208" s="176" t="n"/>
      <c r="EB208" s="176" t="n"/>
      <c r="EC208" s="176" t="n"/>
      <c r="ED208" s="176" t="n"/>
      <c r="EE208" s="176" t="n"/>
      <c r="EF208" s="176" t="n"/>
      <c r="EG208" s="176" t="n"/>
      <c r="EH208" s="176" t="n"/>
      <c r="EI208" s="176" t="n"/>
      <c r="EJ208" s="176" t="n"/>
      <c r="EK208" s="176" t="n"/>
      <c r="EL208" s="176" t="n"/>
      <c r="EM208" s="176" t="n"/>
      <c r="EN208" s="176" t="n"/>
      <c r="EO208" s="176" t="n"/>
      <c r="EP208" s="176" t="n"/>
      <c r="EQ208" s="176" t="n"/>
      <c r="ER208" s="176" t="n"/>
      <c r="ES208" s="176" t="n"/>
      <c r="ET208" s="176" t="n"/>
      <c r="EU208" s="176" t="n"/>
      <c r="EV208" s="176" t="n"/>
      <c r="EW208" s="176" t="n"/>
      <c r="EX208" s="176" t="n"/>
      <c r="EY208" s="176" t="n"/>
      <c r="EZ208" s="181" t="inlineStr">
        <is>
          <t>RESTRIÇÃO EMBUTIDA</t>
        </is>
      </c>
      <c r="FA208" s="182" t="n"/>
      <c r="FB208" s="183" t="n"/>
      <c r="FC208" s="185" t="n"/>
      <c r="FD208" s="182" t="n"/>
      <c r="FE208" s="183" t="n"/>
      <c r="FF208" s="176" t="n"/>
      <c r="FG208" s="176" t="n"/>
      <c r="FH208" s="181" t="inlineStr">
        <is>
          <t>RESTRIÇÃO EMBUTIDA</t>
        </is>
      </c>
      <c r="FI208" s="182" t="n"/>
      <c r="FJ208" s="183" t="n"/>
      <c r="FK208" s="185" t="n"/>
      <c r="FL208" s="182" t="n"/>
      <c r="FM208" s="183" t="n"/>
      <c r="FN208" s="176" t="n"/>
      <c r="FO208" s="176" t="n"/>
      <c r="FP208" s="176" t="n"/>
      <c r="FQ208" s="176" t="n"/>
      <c r="FR208" s="176" t="n"/>
      <c r="FS208" s="176" t="n"/>
      <c r="FT208" s="176" t="n"/>
      <c r="FU208" s="176" t="n"/>
      <c r="FV208" s="176" t="n"/>
      <c r="FW208" s="176" t="n"/>
      <c r="FX208" s="176" t="n"/>
      <c r="FY208" s="176" t="n"/>
      <c r="FZ208" s="176" t="n"/>
      <c r="GA208" s="176" t="n"/>
      <c r="GB208" s="176" t="n"/>
      <c r="GC208" s="176" t="n"/>
      <c r="GD208" s="176" t="n"/>
      <c r="GE208" s="176" t="n"/>
      <c r="GF208" s="176" t="n"/>
      <c r="GG208" s="176" t="n"/>
      <c r="GH208" s="176" t="n"/>
      <c r="GI208" s="176" t="n"/>
      <c r="GJ208" s="176" t="n"/>
      <c r="GK208" s="176" t="n"/>
      <c r="GL208" s="176" t="n"/>
      <c r="GM208" s="176" t="n"/>
      <c r="GN208" s="176" t="n"/>
      <c r="GO208" s="176" t="n"/>
      <c r="GP208" s="176" t="n"/>
      <c r="GQ208" s="176" t="n"/>
      <c r="GR208" s="176" t="n"/>
      <c r="GS208" s="176" t="n"/>
      <c r="GT208" s="176" t="n"/>
      <c r="GU208" s="176" t="n"/>
      <c r="GV208" s="176" t="n"/>
      <c r="GW208" s="176" t="n"/>
      <c r="GX208" s="176" t="n"/>
      <c r="GY208" s="176" t="n"/>
      <c r="GZ208" s="176" t="n"/>
      <c r="HA208" s="176" t="n"/>
      <c r="HB208" s="176" t="n"/>
      <c r="HC208" s="176" t="n"/>
      <c r="HD208" s="176" t="n"/>
      <c r="HE208" s="176" t="n"/>
      <c r="HF208" s="176" t="n"/>
      <c r="HG208" s="176" t="n"/>
      <c r="HH208" s="176" t="n"/>
      <c r="HI208" s="176" t="n"/>
      <c r="HJ208" s="176" t="n"/>
      <c r="HK208" s="176" t="n"/>
      <c r="HL208" s="176" t="n"/>
      <c r="HM208" s="176" t="n"/>
      <c r="HN208" s="176" t="n"/>
      <c r="HO208" s="176" t="n"/>
      <c r="HP208" s="181" t="inlineStr">
        <is>
          <t>NOME</t>
        </is>
      </c>
      <c r="HQ208" s="182" t="n"/>
      <c r="HR208" s="182" t="n"/>
      <c r="HS208" s="183" t="n"/>
      <c r="HT208" s="181" t="inlineStr">
        <is>
          <t>MESTRE VIU</t>
        </is>
      </c>
      <c r="HU208" s="183" t="n"/>
      <c r="HV208" s="176" t="n"/>
      <c r="HW208" s="176" t="n"/>
      <c r="HX208" s="181" t="inlineStr">
        <is>
          <t>NOME</t>
        </is>
      </c>
      <c r="HY208" s="182" t="n"/>
      <c r="HZ208" s="182" t="n"/>
      <c r="IA208" s="183" t="n"/>
      <c r="IB208" s="181" t="inlineStr">
        <is>
          <t>MESTRE VIU</t>
        </is>
      </c>
      <c r="IC208" s="183" t="n"/>
      <c r="ID208" s="176" t="n"/>
    </row>
    <row r="209" ht="18.75" customHeight="1">
      <c r="A209" s="176" t="n"/>
      <c r="B209" s="176" t="n"/>
      <c r="C209" s="176" t="n"/>
      <c r="D209" s="176" t="n"/>
      <c r="E209" s="176" t="n"/>
      <c r="F209" s="176" t="n"/>
      <c r="G209" s="176" t="n"/>
      <c r="H209" s="176" t="n"/>
      <c r="I209" s="176" t="n"/>
      <c r="J209" s="176" t="n"/>
      <c r="K209" s="176" t="n"/>
      <c r="L209" s="176" t="n"/>
      <c r="M209" s="176" t="n"/>
      <c r="N209" s="176" t="n"/>
      <c r="O209" s="176" t="n"/>
      <c r="P209" s="176" t="n"/>
      <c r="Q209" s="176" t="n"/>
      <c r="R209" s="176" t="n"/>
      <c r="S209" s="176" t="n"/>
      <c r="T209" s="189" t="n"/>
      <c r="U209" s="190" t="n"/>
      <c r="V209" s="190" t="n"/>
      <c r="W209" s="190" t="n"/>
      <c r="X209" s="190" t="n"/>
      <c r="Y209" s="191" t="n"/>
      <c r="Z209" s="176" t="n"/>
      <c r="AA209" s="176" t="n"/>
      <c r="AB209" s="189" t="n"/>
      <c r="AC209" s="190" t="n"/>
      <c r="AD209" s="190" t="n"/>
      <c r="AE209" s="190" t="n"/>
      <c r="AF209" s="190" t="n"/>
      <c r="AG209" s="191" t="n"/>
      <c r="AH209" s="176" t="n"/>
      <c r="AI209" s="176" t="n"/>
      <c r="AJ209" s="176" t="n"/>
      <c r="AK209" s="176" t="n"/>
      <c r="AL209" s="176" t="n"/>
      <c r="AM209" s="176" t="n"/>
      <c r="AN209" s="176" t="n"/>
      <c r="AO209" s="176" t="n"/>
      <c r="AP209" s="176" t="n"/>
      <c r="AQ209" s="176" t="n"/>
      <c r="AR209" s="176" t="n"/>
      <c r="AS209" s="176" t="n"/>
      <c r="AT209" s="176" t="n"/>
      <c r="AU209" s="176" t="n"/>
      <c r="AV209" s="176" t="n"/>
      <c r="AW209" s="176" t="n"/>
      <c r="AX209" s="176" t="n"/>
      <c r="AY209" s="176" t="n"/>
      <c r="AZ209" s="176" t="n"/>
      <c r="BA209" s="176" t="n"/>
      <c r="BB209" s="176" t="n"/>
      <c r="BC209" s="176" t="n"/>
      <c r="BD209" s="176" t="n"/>
      <c r="BE209" s="176" t="n"/>
      <c r="BF209" s="176" t="n"/>
      <c r="BG209" s="176" t="n"/>
      <c r="BH209" s="176" t="n"/>
      <c r="BI209" s="176" t="n"/>
      <c r="BJ209" s="176" t="n"/>
      <c r="BK209" s="176" t="n"/>
      <c r="BL209" s="176" t="n"/>
      <c r="BM209" s="176" t="n"/>
      <c r="BN209" s="176" t="n"/>
      <c r="BO209" s="176" t="n"/>
      <c r="BP209" s="176" t="n"/>
      <c r="BQ209" s="176" t="n"/>
      <c r="BR209" s="176" t="n"/>
      <c r="BS209" s="176" t="n"/>
      <c r="BT209" s="176" t="n"/>
      <c r="BU209" s="176" t="n"/>
      <c r="BV209" s="176" t="n"/>
      <c r="BW209" s="176" t="n"/>
      <c r="BX209" s="176" t="n"/>
      <c r="BY209" s="176" t="n"/>
      <c r="BZ209" s="176" t="n"/>
      <c r="CA209" s="176" t="n"/>
      <c r="CB209" s="176" t="n"/>
      <c r="CC209" s="176" t="n"/>
      <c r="CD209" s="176" t="n"/>
      <c r="CE209" s="176" t="n"/>
      <c r="CF209" s="176" t="n"/>
      <c r="CG209" s="176" t="n"/>
      <c r="CH209" s="176" t="n"/>
      <c r="CI209" s="176" t="n"/>
      <c r="CJ209" s="176" t="n"/>
      <c r="CK209" s="176" t="n"/>
      <c r="CL209" s="176" t="n"/>
      <c r="CM209" s="176" t="n"/>
      <c r="CN209" s="176" t="n"/>
      <c r="CO209" s="176" t="n"/>
      <c r="CP209" s="176" t="n"/>
      <c r="CQ209" s="176" t="n"/>
      <c r="CR209" s="176" t="n"/>
      <c r="CS209" s="176" t="n"/>
      <c r="CT209" s="176" t="n"/>
      <c r="CU209" s="176" t="n"/>
      <c r="CV209" s="176" t="n"/>
      <c r="CW209" s="176" t="n"/>
      <c r="CX209" s="176" t="n"/>
      <c r="CY209" s="176" t="n"/>
      <c r="CZ209" s="176" t="n"/>
      <c r="DA209" s="181" t="inlineStr">
        <is>
          <t>EFEITO</t>
        </is>
      </c>
      <c r="DB209" s="182" t="n"/>
      <c r="DC209" s="182" t="n"/>
      <c r="DD209" s="182" t="n"/>
      <c r="DE209" s="182" t="n"/>
      <c r="DF209" s="183" t="n"/>
      <c r="DG209" s="176" t="n"/>
      <c r="DH209" s="176" t="n"/>
      <c r="DI209" s="181" t="inlineStr">
        <is>
          <t>EFEITO</t>
        </is>
      </c>
      <c r="DJ209" s="182" t="n"/>
      <c r="DK209" s="182" t="n"/>
      <c r="DL209" s="182" t="n"/>
      <c r="DM209" s="182" t="n"/>
      <c r="DN209" s="183" t="n"/>
      <c r="DO209" s="176" t="n"/>
      <c r="DP209" s="176" t="n"/>
      <c r="DQ209" s="176" t="n"/>
      <c r="DR209" s="179" t="inlineStr">
        <is>
          <t>RESTRIÇÃO · 19</t>
        </is>
      </c>
      <c r="DX209" s="176" t="n"/>
      <c r="DY209" s="176" t="n"/>
      <c r="DZ209" s="179" t="inlineStr">
        <is>
          <t>RESTRIÇÃO · 20</t>
        </is>
      </c>
      <c r="EF209" s="176" t="n"/>
      <c r="EG209" s="176" t="n"/>
      <c r="EH209" s="176" t="n"/>
      <c r="EI209" s="176" t="n"/>
      <c r="EJ209" s="176" t="n"/>
      <c r="EK209" s="176" t="n"/>
      <c r="EL209" s="176" t="n"/>
      <c r="EM209" s="176" t="n"/>
      <c r="EN209" s="176" t="n"/>
      <c r="EO209" s="176" t="n"/>
      <c r="EP209" s="176" t="n"/>
      <c r="EQ209" s="176" t="n"/>
      <c r="ER209" s="176" t="n"/>
      <c r="ES209" s="176" t="n"/>
      <c r="ET209" s="176" t="n"/>
      <c r="EU209" s="176" t="n"/>
      <c r="EV209" s="176" t="n"/>
      <c r="EW209" s="176" t="n"/>
      <c r="EX209" s="176" t="n"/>
      <c r="EY209" s="176" t="n"/>
      <c r="EZ209" s="181" t="inlineStr">
        <is>
          <t>ESCADA DE ALCANCE</t>
        </is>
      </c>
      <c r="FA209" s="182" t="n"/>
      <c r="FB209" s="183" t="n"/>
      <c r="FC209" s="185" t="n"/>
      <c r="FD209" s="182" t="n"/>
      <c r="FE209" s="183" t="n"/>
      <c r="FF209" s="176" t="n"/>
      <c r="FG209" s="176" t="n"/>
      <c r="FH209" s="181" t="inlineStr">
        <is>
          <t>ESCADA DE ALCANCE</t>
        </is>
      </c>
      <c r="FI209" s="182" t="n"/>
      <c r="FJ209" s="183" t="n"/>
      <c r="FK209" s="185" t="n"/>
      <c r="FL209" s="182" t="n"/>
      <c r="FM209" s="183" t="n"/>
      <c r="FN209" s="176" t="n"/>
      <c r="FO209" s="176" t="n"/>
      <c r="FP209" s="176" t="n"/>
      <c r="FQ209" s="176" t="n"/>
      <c r="FR209" s="176" t="n"/>
      <c r="FS209" s="176" t="n"/>
      <c r="FT209" s="176" t="n"/>
      <c r="FU209" s="176" t="n"/>
      <c r="FV209" s="176" t="n"/>
      <c r="FW209" s="176" t="n"/>
      <c r="FX209" s="176" t="n"/>
      <c r="FY209" s="176" t="n"/>
      <c r="FZ209" s="176" t="n"/>
      <c r="GA209" s="176" t="n"/>
      <c r="GB209" s="176" t="n"/>
      <c r="GC209" s="176" t="n"/>
      <c r="GD209" s="176" t="n"/>
      <c r="GE209" s="176" t="n"/>
      <c r="GF209" s="176" t="n"/>
      <c r="GG209" s="176" t="n"/>
      <c r="GH209" s="176" t="n"/>
      <c r="GI209" s="176" t="n"/>
      <c r="GJ209" s="176" t="n"/>
      <c r="GK209" s="176" t="n"/>
      <c r="GL209" s="176" t="n"/>
      <c r="GM209" s="176" t="n"/>
      <c r="GN209" s="176" t="n"/>
      <c r="GO209" s="176" t="n"/>
      <c r="GP209" s="176" t="n"/>
      <c r="GQ209" s="176" t="n"/>
      <c r="GR209" s="176" t="n"/>
      <c r="GS209" s="176" t="n"/>
      <c r="GT209" s="176" t="n"/>
      <c r="GU209" s="176" t="n"/>
      <c r="GV209" s="176" t="n"/>
      <c r="GW209" s="176" t="n"/>
      <c r="GX209" s="176" t="n"/>
      <c r="GY209" s="176" t="n"/>
      <c r="GZ209" s="176" t="n"/>
      <c r="HA209" s="176" t="n"/>
      <c r="HB209" s="176" t="n"/>
      <c r="HC209" s="176" t="n"/>
      <c r="HD209" s="176" t="n"/>
      <c r="HE209" s="176" t="n"/>
      <c r="HF209" s="176" t="n"/>
      <c r="HG209" s="176" t="n"/>
      <c r="HH209" s="176" t="n"/>
      <c r="HI209" s="176" t="n"/>
      <c r="HJ209" s="176" t="n"/>
      <c r="HK209" s="176" t="n"/>
      <c r="HL209" s="176" t="n"/>
      <c r="HM209" s="176" t="n"/>
      <c r="HN209" s="176" t="n"/>
      <c r="HO209" s="176" t="n"/>
      <c r="HP209" s="185" t="n"/>
      <c r="HQ209" s="182" t="n"/>
      <c r="HR209" s="182" t="n"/>
      <c r="HS209" s="183" t="n"/>
      <c r="HT209" s="184" t="b">
        <v>0</v>
      </c>
      <c r="HU209" s="183" t="n"/>
      <c r="HV209" s="176" t="n"/>
      <c r="HW209" s="176" t="n"/>
      <c r="HX209" s="185" t="n"/>
      <c r="HY209" s="182" t="n"/>
      <c r="HZ209" s="182" t="n"/>
      <c r="IA209" s="183" t="n"/>
      <c r="IB209" s="184" t="b">
        <v>0</v>
      </c>
      <c r="IC209" s="183" t="n"/>
      <c r="ID209" s="176" t="n"/>
    </row>
    <row r="210" ht="18.75" customHeight="1">
      <c r="A210" s="176" t="n"/>
      <c r="B210" s="176" t="n"/>
      <c r="C210" s="176" t="n"/>
      <c r="D210" s="176" t="n"/>
      <c r="E210" s="176" t="n"/>
      <c r="F210" s="176" t="n"/>
      <c r="G210" s="176" t="n"/>
      <c r="H210" s="176" t="n"/>
      <c r="I210" s="176" t="n"/>
      <c r="J210" s="176" t="n"/>
      <c r="K210" s="176" t="n"/>
      <c r="L210" s="176" t="n"/>
      <c r="M210" s="176" t="n"/>
      <c r="N210" s="176" t="n"/>
      <c r="O210" s="176" t="n"/>
      <c r="P210" s="176" t="n"/>
      <c r="Q210" s="176" t="n"/>
      <c r="R210" s="176" t="n"/>
      <c r="S210" s="176" t="n"/>
      <c r="T210" s="180">
        <f>IF('DADOS_CUSTOM'!$S$14="","Revise os valores ao trocar o tipo.","⚠ "&amp;'DADOS_CUSTOM'!$S$14)</f>
        <v/>
      </c>
      <c r="Z210" s="176" t="n"/>
      <c r="AA210" s="176" t="n"/>
      <c r="AB210" s="180">
        <f>IF('DADOS_CUSTOM'!$S$15="","Revise os valores ao trocar o tipo.","⚠ "&amp;'DADOS_CUSTOM'!$S$15)</f>
        <v/>
      </c>
      <c r="AH210" s="176" t="n"/>
      <c r="AI210" s="176" t="n"/>
      <c r="AJ210" s="176" t="n"/>
      <c r="AK210" s="176" t="n"/>
      <c r="AL210" s="176" t="n"/>
      <c r="AM210" s="176" t="n"/>
      <c r="AN210" s="176" t="n"/>
      <c r="AO210" s="176" t="n"/>
      <c r="AP210" s="176" t="n"/>
      <c r="AQ210" s="176" t="n"/>
      <c r="AR210" s="176" t="n"/>
      <c r="AS210" s="176" t="n"/>
      <c r="AT210" s="176" t="n"/>
      <c r="AU210" s="176" t="n"/>
      <c r="AV210" s="176" t="n"/>
      <c r="AW210" s="176" t="n"/>
      <c r="AX210" s="176" t="n"/>
      <c r="AY210" s="176" t="n"/>
      <c r="AZ210" s="176" t="n"/>
      <c r="BA210" s="176" t="n"/>
      <c r="BB210" s="176" t="n"/>
      <c r="BC210" s="176" t="n"/>
      <c r="BD210" s="176" t="n"/>
      <c r="BE210" s="176" t="n"/>
      <c r="BF210" s="176" t="n"/>
      <c r="BG210" s="176" t="n"/>
      <c r="BH210" s="176" t="n"/>
      <c r="BI210" s="176" t="n"/>
      <c r="BJ210" s="176" t="n"/>
      <c r="BK210" s="176" t="n"/>
      <c r="BL210" s="176" t="n"/>
      <c r="BM210" s="176" t="n"/>
      <c r="BN210" s="176" t="n"/>
      <c r="BO210" s="176" t="n"/>
      <c r="BP210" s="176" t="n"/>
      <c r="BQ210" s="176" t="n"/>
      <c r="BR210" s="176" t="n"/>
      <c r="BS210" s="176" t="n"/>
      <c r="BT210" s="176" t="n"/>
      <c r="BU210" s="176" t="n"/>
      <c r="BV210" s="176" t="n"/>
      <c r="BW210" s="176" t="n"/>
      <c r="BX210" s="176" t="n"/>
      <c r="BY210" s="176" t="n"/>
      <c r="BZ210" s="176" t="n"/>
      <c r="CA210" s="176" t="n"/>
      <c r="CB210" s="176" t="n"/>
      <c r="CC210" s="176" t="n"/>
      <c r="CD210" s="176" t="n"/>
      <c r="CE210" s="176" t="n"/>
      <c r="CF210" s="176" t="n"/>
      <c r="CG210" s="176" t="n"/>
      <c r="CH210" s="176" t="n"/>
      <c r="CI210" s="176" t="n"/>
      <c r="CJ210" s="176" t="n"/>
      <c r="CK210" s="176" t="n"/>
      <c r="CL210" s="176" t="n"/>
      <c r="CM210" s="176" t="n"/>
      <c r="CN210" s="176" t="n"/>
      <c r="CO210" s="176" t="n"/>
      <c r="CP210" s="176" t="n"/>
      <c r="CQ210" s="176" t="n"/>
      <c r="CR210" s="176" t="n"/>
      <c r="CS210" s="176" t="n"/>
      <c r="CT210" s="176" t="n"/>
      <c r="CU210" s="176" t="n"/>
      <c r="CV210" s="176" t="n"/>
      <c r="CW210" s="176" t="n"/>
      <c r="CX210" s="176" t="n"/>
      <c r="CY210" s="176" t="n"/>
      <c r="CZ210" s="176" t="n"/>
      <c r="DA210" s="192" t="n"/>
      <c r="DB210" s="187" t="n"/>
      <c r="DC210" s="187" t="n"/>
      <c r="DD210" s="187" t="n"/>
      <c r="DE210" s="187" t="n"/>
      <c r="DF210" s="188" t="n"/>
      <c r="DG210" s="176" t="n"/>
      <c r="DH210" s="176" t="n"/>
      <c r="DI210" s="192" t="n"/>
      <c r="DJ210" s="187" t="n"/>
      <c r="DK210" s="187" t="n"/>
      <c r="DL210" s="187" t="n"/>
      <c r="DM210" s="187" t="n"/>
      <c r="DN210" s="188" t="n"/>
      <c r="DO210" s="176" t="n"/>
      <c r="DP210" s="176" t="n"/>
      <c r="DQ210" s="176" t="n"/>
      <c r="DR210" s="181" t="inlineStr">
        <is>
          <t>TIPO</t>
        </is>
      </c>
      <c r="DS210" s="182" t="n"/>
      <c r="DT210" s="182" t="n"/>
      <c r="DU210" s="183" t="n"/>
      <c r="DV210" s="181" t="inlineStr">
        <is>
          <t>MESTRE VIU</t>
        </is>
      </c>
      <c r="DW210" s="183" t="n"/>
      <c r="DX210" s="176" t="n"/>
      <c r="DY210" s="176" t="n"/>
      <c r="DZ210" s="181" t="inlineStr">
        <is>
          <t>TIPO</t>
        </is>
      </c>
      <c r="EA210" s="182" t="n"/>
      <c r="EB210" s="182" t="n"/>
      <c r="EC210" s="183" t="n"/>
      <c r="ED210" s="181" t="inlineStr">
        <is>
          <t>MESTRE VIU</t>
        </is>
      </c>
      <c r="EE210" s="183" t="n"/>
      <c r="EF210" s="176" t="n"/>
      <c r="EG210" s="176" t="n"/>
      <c r="EH210" s="176" t="n"/>
      <c r="EI210" s="176" t="n"/>
      <c r="EJ210" s="176" t="n"/>
      <c r="EK210" s="176" t="n"/>
      <c r="EL210" s="176" t="n"/>
      <c r="EM210" s="176" t="n"/>
      <c r="EN210" s="176" t="n"/>
      <c r="EO210" s="176" t="n"/>
      <c r="EP210" s="176" t="n"/>
      <c r="EQ210" s="176" t="n"/>
      <c r="ER210" s="176" t="n"/>
      <c r="ES210" s="176" t="n"/>
      <c r="ET210" s="176" t="n"/>
      <c r="EU210" s="176" t="n"/>
      <c r="EV210" s="176" t="n"/>
      <c r="EW210" s="176" t="n"/>
      <c r="EX210" s="176" t="n"/>
      <c r="EY210" s="176" t="n"/>
      <c r="EZ210" s="181" t="inlineStr">
        <is>
          <t>ESCADA DE ÁREA</t>
        </is>
      </c>
      <c r="FA210" s="182" t="n"/>
      <c r="FB210" s="183" t="n"/>
      <c r="FC210" s="185" t="n"/>
      <c r="FD210" s="182" t="n"/>
      <c r="FE210" s="183" t="n"/>
      <c r="FF210" s="176" t="n"/>
      <c r="FG210" s="176" t="n"/>
      <c r="FH210" s="181" t="inlineStr">
        <is>
          <t>ESCADA DE ÁREA</t>
        </is>
      </c>
      <c r="FI210" s="182" t="n"/>
      <c r="FJ210" s="183" t="n"/>
      <c r="FK210" s="185" t="n"/>
      <c r="FL210" s="182" t="n"/>
      <c r="FM210" s="183" t="n"/>
      <c r="FN210" s="176" t="n"/>
      <c r="FO210" s="176" t="n"/>
      <c r="FP210" s="176" t="n"/>
      <c r="FQ210" s="176" t="n"/>
      <c r="FR210" s="176" t="n"/>
      <c r="FS210" s="176" t="n"/>
      <c r="FT210" s="176" t="n"/>
      <c r="FU210" s="176" t="n"/>
      <c r="FV210" s="176" t="n"/>
      <c r="FW210" s="176" t="n"/>
      <c r="FX210" s="176" t="n"/>
      <c r="FY210" s="176" t="n"/>
      <c r="FZ210" s="176" t="n"/>
      <c r="GA210" s="176" t="n"/>
      <c r="GB210" s="176" t="n"/>
      <c r="GC210" s="176" t="n"/>
      <c r="GD210" s="176" t="n"/>
      <c r="GE210" s="176" t="n"/>
      <c r="GF210" s="176" t="n"/>
      <c r="GG210" s="176" t="n"/>
      <c r="GH210" s="176" t="n"/>
      <c r="GI210" s="176" t="n"/>
      <c r="GJ210" s="176" t="n"/>
      <c r="GK210" s="176" t="n"/>
      <c r="GL210" s="176" t="n"/>
      <c r="GM210" s="176" t="n"/>
      <c r="GN210" s="176" t="n"/>
      <c r="GO210" s="176" t="n"/>
      <c r="GP210" s="176" t="n"/>
      <c r="GQ210" s="176" t="n"/>
      <c r="GR210" s="176" t="n"/>
      <c r="GS210" s="176" t="n"/>
      <c r="GT210" s="176" t="n"/>
      <c r="GU210" s="176" t="n"/>
      <c r="GV210" s="176" t="n"/>
      <c r="GW210" s="176" t="n"/>
      <c r="GX210" s="176" t="n"/>
      <c r="GY210" s="176" t="n"/>
      <c r="GZ210" s="176" t="n"/>
      <c r="HA210" s="176" t="n"/>
      <c r="HB210" s="176" t="n"/>
      <c r="HC210" s="176" t="n"/>
      <c r="HD210" s="176" t="n"/>
      <c r="HE210" s="176" t="n"/>
      <c r="HF210" s="176" t="n"/>
      <c r="HG210" s="176" t="n"/>
      <c r="HH210" s="176" t="n"/>
      <c r="HI210" s="176" t="n"/>
      <c r="HJ210" s="176" t="n"/>
      <c r="HK210" s="176" t="n"/>
      <c r="HL210" s="176" t="n"/>
      <c r="HM210" s="176" t="n"/>
      <c r="HN210" s="176" t="n"/>
      <c r="HO210" s="176" t="n"/>
      <c r="HP210" s="176" t="n"/>
      <c r="HQ210" s="176" t="n"/>
      <c r="HR210" s="176" t="n"/>
      <c r="HS210" s="176" t="n"/>
      <c r="HT210" s="176" t="n"/>
      <c r="HU210" s="176" t="n"/>
      <c r="HV210" s="176" t="n"/>
      <c r="HW210" s="176" t="n"/>
      <c r="HX210" s="176" t="n"/>
      <c r="HY210" s="176" t="n"/>
      <c r="HZ210" s="176" t="n"/>
      <c r="IA210" s="176" t="n"/>
      <c r="IB210" s="176" t="n"/>
      <c r="IC210" s="176" t="n"/>
      <c r="ID210" s="176" t="n"/>
    </row>
    <row r="211" ht="18.75" customHeight="1">
      <c r="A211" s="176" t="n"/>
      <c r="B211" s="176" t="n"/>
      <c r="C211" s="176" t="n"/>
      <c r="D211" s="176" t="n"/>
      <c r="E211" s="176" t="n"/>
      <c r="F211" s="176" t="n"/>
      <c r="G211" s="176" t="n"/>
      <c r="H211" s="176" t="n"/>
      <c r="I211" s="176" t="n"/>
      <c r="J211" s="176" t="n"/>
      <c r="K211" s="176" t="n"/>
      <c r="L211" s="176" t="n"/>
      <c r="M211" s="176" t="n"/>
      <c r="N211" s="176" t="n"/>
      <c r="O211" s="176" t="n"/>
      <c r="P211" s="176" t="n"/>
      <c r="Q211" s="176" t="n"/>
      <c r="R211" s="176" t="n"/>
      <c r="S211" s="176" t="n"/>
      <c r="Z211" s="176" t="n"/>
      <c r="AA211" s="176" t="n"/>
      <c r="AH211" s="176" t="n"/>
      <c r="AI211" s="176" t="n"/>
      <c r="AJ211" s="176" t="n"/>
      <c r="AK211" s="176" t="n"/>
      <c r="AL211" s="176" t="n"/>
      <c r="AM211" s="176" t="n"/>
      <c r="AN211" s="176" t="n"/>
      <c r="AO211" s="176" t="n"/>
      <c r="AP211" s="176" t="n"/>
      <c r="AQ211" s="176" t="n"/>
      <c r="AR211" s="176" t="n"/>
      <c r="AS211" s="176" t="n"/>
      <c r="AT211" s="176" t="n"/>
      <c r="AU211" s="176" t="n"/>
      <c r="AV211" s="176" t="n"/>
      <c r="AW211" s="176" t="n"/>
      <c r="AX211" s="176" t="n"/>
      <c r="AY211" s="176" t="n"/>
      <c r="AZ211" s="176" t="n"/>
      <c r="BA211" s="176" t="n"/>
      <c r="BB211" s="176" t="n"/>
      <c r="BC211" s="176" t="n"/>
      <c r="BD211" s="176" t="n"/>
      <c r="BE211" s="176" t="n"/>
      <c r="BF211" s="176" t="n"/>
      <c r="BG211" s="176" t="n"/>
      <c r="BH211" s="176" t="n"/>
      <c r="BI211" s="176" t="n"/>
      <c r="BJ211" s="176" t="n"/>
      <c r="BK211" s="176" t="n"/>
      <c r="BL211" s="176" t="n"/>
      <c r="BM211" s="176" t="n"/>
      <c r="BN211" s="176" t="n"/>
      <c r="BO211" s="176" t="n"/>
      <c r="BP211" s="176" t="n"/>
      <c r="BQ211" s="176" t="n"/>
      <c r="BR211" s="176" t="n"/>
      <c r="BS211" s="176" t="n"/>
      <c r="BT211" s="176" t="n"/>
      <c r="BU211" s="176" t="n"/>
      <c r="BV211" s="176" t="n"/>
      <c r="BW211" s="176" t="n"/>
      <c r="BX211" s="176" t="n"/>
      <c r="BY211" s="176" t="n"/>
      <c r="BZ211" s="176" t="n"/>
      <c r="CA211" s="176" t="n"/>
      <c r="CB211" s="176" t="n"/>
      <c r="CC211" s="176" t="n"/>
      <c r="CD211" s="176" t="n"/>
      <c r="CE211" s="176" t="n"/>
      <c r="CF211" s="176" t="n"/>
      <c r="CG211" s="176" t="n"/>
      <c r="CH211" s="176" t="n"/>
      <c r="CI211" s="176" t="n"/>
      <c r="CJ211" s="176" t="n"/>
      <c r="CK211" s="176" t="n"/>
      <c r="CL211" s="176" t="n"/>
      <c r="CM211" s="176" t="n"/>
      <c r="CN211" s="176" t="n"/>
      <c r="CO211" s="176" t="n"/>
      <c r="CP211" s="176" t="n"/>
      <c r="CQ211" s="176" t="n"/>
      <c r="CR211" s="176" t="n"/>
      <c r="CS211" s="176" t="n"/>
      <c r="CT211" s="176" t="n"/>
      <c r="CU211" s="176" t="n"/>
      <c r="CV211" s="176" t="n"/>
      <c r="CW211" s="176" t="n"/>
      <c r="CX211" s="176" t="n"/>
      <c r="CY211" s="176" t="n"/>
      <c r="CZ211" s="176" t="n"/>
      <c r="DA211" s="193" t="n"/>
      <c r="DF211" s="194" t="n"/>
      <c r="DG211" s="176" t="n"/>
      <c r="DH211" s="176" t="n"/>
      <c r="DI211" s="193" t="n"/>
      <c r="DN211" s="194" t="n"/>
      <c r="DO211" s="176" t="n"/>
      <c r="DP211" s="176" t="n"/>
      <c r="DQ211" s="176" t="n"/>
      <c r="DR211" s="185" t="inlineStr">
        <is>
          <t>Restrição</t>
        </is>
      </c>
      <c r="DS211" s="182" t="n"/>
      <c r="DT211" s="182" t="n"/>
      <c r="DU211" s="183" t="n"/>
      <c r="DV211" s="184" t="b">
        <v>0</v>
      </c>
      <c r="DW211" s="183" t="n"/>
      <c r="DX211" s="176" t="n"/>
      <c r="DY211" s="176" t="n"/>
      <c r="DZ211" s="185" t="inlineStr">
        <is>
          <t>Restrição</t>
        </is>
      </c>
      <c r="EA211" s="182" t="n"/>
      <c r="EB211" s="182" t="n"/>
      <c r="EC211" s="183" t="n"/>
      <c r="ED211" s="184" t="b">
        <v>0</v>
      </c>
      <c r="EE211" s="183" t="n"/>
      <c r="EF211" s="176" t="n"/>
      <c r="EG211" s="176" t="n"/>
      <c r="EH211" s="176" t="n"/>
      <c r="EI211" s="176" t="n"/>
      <c r="EJ211" s="176" t="n"/>
      <c r="EK211" s="176" t="n"/>
      <c r="EL211" s="176" t="n"/>
      <c r="EM211" s="176" t="n"/>
      <c r="EN211" s="176" t="n"/>
      <c r="EO211" s="176" t="n"/>
      <c r="EP211" s="176" t="n"/>
      <c r="EQ211" s="176" t="n"/>
      <c r="ER211" s="176" t="n"/>
      <c r="ES211" s="176" t="n"/>
      <c r="ET211" s="176" t="n"/>
      <c r="EU211" s="176" t="n"/>
      <c r="EV211" s="176" t="n"/>
      <c r="EW211" s="176" t="n"/>
      <c r="EX211" s="176" t="n"/>
      <c r="EY211" s="176" t="n"/>
      <c r="EZ211" s="181" t="inlineStr">
        <is>
          <t>ALC · P · 0</t>
        </is>
      </c>
      <c r="FA211" s="182" t="n"/>
      <c r="FB211" s="183" t="n"/>
      <c r="FC211" s="185" t="n"/>
      <c r="FD211" s="182" t="n"/>
      <c r="FE211" s="183" t="n"/>
      <c r="FF211" s="176" t="n"/>
      <c r="FG211" s="176" t="n"/>
      <c r="FH211" s="181" t="inlineStr">
        <is>
          <t>ALC · P · 0</t>
        </is>
      </c>
      <c r="FI211" s="182" t="n"/>
      <c r="FJ211" s="183" t="n"/>
      <c r="FK211" s="185" t="n"/>
      <c r="FL211" s="182" t="n"/>
      <c r="FM211" s="183" t="n"/>
      <c r="FN211" s="176" t="n"/>
      <c r="FO211" s="176" t="n"/>
      <c r="FP211" s="176" t="n"/>
      <c r="FQ211" s="176" t="n"/>
      <c r="FR211" s="176" t="n"/>
      <c r="FS211" s="176" t="n"/>
      <c r="FT211" s="176" t="n"/>
      <c r="FU211" s="176" t="n"/>
      <c r="FV211" s="176" t="n"/>
      <c r="FW211" s="176" t="n"/>
      <c r="FX211" s="176" t="n"/>
      <c r="FY211" s="176" t="n"/>
      <c r="FZ211" s="176" t="n"/>
      <c r="GA211" s="176" t="n"/>
      <c r="GB211" s="176" t="n"/>
      <c r="GC211" s="176" t="n"/>
      <c r="GD211" s="176" t="n"/>
      <c r="GE211" s="176" t="n"/>
      <c r="GF211" s="176" t="n"/>
      <c r="GG211" s="176" t="n"/>
      <c r="GH211" s="176" t="n"/>
      <c r="GI211" s="176" t="n"/>
      <c r="GJ211" s="176" t="n"/>
      <c r="GK211" s="176" t="n"/>
      <c r="GL211" s="176" t="n"/>
      <c r="GM211" s="176" t="n"/>
      <c r="GN211" s="176" t="n"/>
      <c r="GO211" s="176" t="n"/>
      <c r="GP211" s="176" t="n"/>
      <c r="GQ211" s="176" t="n"/>
      <c r="GR211" s="176" t="n"/>
      <c r="GS211" s="176" t="n"/>
      <c r="GT211" s="176" t="n"/>
      <c r="GU211" s="176" t="n"/>
      <c r="GV211" s="176" t="n"/>
      <c r="GW211" s="176" t="n"/>
      <c r="GX211" s="176" t="n"/>
      <c r="GY211" s="176" t="n"/>
      <c r="GZ211" s="176" t="n"/>
      <c r="HA211" s="176" t="n"/>
      <c r="HB211" s="176" t="n"/>
      <c r="HC211" s="176" t="n"/>
      <c r="HD211" s="176" t="n"/>
      <c r="HE211" s="176" t="n"/>
      <c r="HF211" s="176" t="n"/>
      <c r="HG211" s="176" t="n"/>
      <c r="HH211" s="176" t="n"/>
      <c r="HI211" s="176" t="n"/>
      <c r="HJ211" s="176" t="n"/>
      <c r="HK211" s="176" t="n"/>
      <c r="HL211" s="176" t="n"/>
      <c r="HM211" s="176" t="n"/>
      <c r="HN211" s="176" t="n"/>
      <c r="HO211" s="176" t="n"/>
      <c r="HP211" s="181" t="inlineStr">
        <is>
          <t>BASE DO LIVRO</t>
        </is>
      </c>
      <c r="HQ211" s="182" t="n"/>
      <c r="HR211" s="183" t="n"/>
      <c r="HS211" s="185" t="inlineStr">
        <is>
          <t>Nenhuma</t>
        </is>
      </c>
      <c r="HT211" s="182" t="n"/>
      <c r="HU211" s="183" t="n"/>
      <c r="HV211" s="176" t="n"/>
      <c r="HW211" s="176" t="n"/>
      <c r="HX211" s="181" t="inlineStr">
        <is>
          <t>BASE DO LIVRO</t>
        </is>
      </c>
      <c r="HY211" s="182" t="n"/>
      <c r="HZ211" s="183" t="n"/>
      <c r="IA211" s="185" t="inlineStr">
        <is>
          <t>Nenhuma</t>
        </is>
      </c>
      <c r="IB211" s="182" t="n"/>
      <c r="IC211" s="183" t="n"/>
      <c r="ID211" s="176" t="n"/>
    </row>
    <row r="212" ht="18.75" customHeight="1">
      <c r="A212" s="176" t="n"/>
      <c r="B212" s="176" t="n"/>
      <c r="C212" s="176" t="n"/>
      <c r="D212" s="176" t="n"/>
      <c r="E212" s="176" t="n"/>
      <c r="F212" s="176" t="n"/>
      <c r="G212" s="176" t="n"/>
      <c r="H212" s="176" t="n"/>
      <c r="I212" s="176" t="n"/>
      <c r="J212" s="176" t="n"/>
      <c r="K212" s="176" t="n"/>
      <c r="L212" s="176" t="n"/>
      <c r="M212" s="176" t="n"/>
      <c r="N212" s="176" t="n"/>
      <c r="O212" s="176" t="n"/>
      <c r="P212" s="176" t="n"/>
      <c r="Q212" s="176" t="n"/>
      <c r="R212" s="176" t="n"/>
      <c r="S212" s="176" t="n"/>
      <c r="T212" s="176" t="n"/>
      <c r="U212" s="176" t="n"/>
      <c r="V212" s="176" t="n"/>
      <c r="W212" s="176" t="n"/>
      <c r="X212" s="176" t="n"/>
      <c r="Y212" s="176" t="n"/>
      <c r="Z212" s="176" t="n"/>
      <c r="AA212" s="176" t="n"/>
      <c r="AB212" s="176" t="n"/>
      <c r="AC212" s="176" t="n"/>
      <c r="AD212" s="176" t="n"/>
      <c r="AE212" s="176" t="n"/>
      <c r="AF212" s="176" t="n"/>
      <c r="AG212" s="176" t="n"/>
      <c r="AH212" s="176" t="n"/>
      <c r="AI212" s="176" t="n"/>
      <c r="AJ212" s="176" t="n"/>
      <c r="AK212" s="176" t="n"/>
      <c r="AL212" s="176" t="n"/>
      <c r="AM212" s="176" t="n"/>
      <c r="AN212" s="176" t="n"/>
      <c r="AO212" s="176" t="n"/>
      <c r="AP212" s="176" t="n"/>
      <c r="AQ212" s="176" t="n"/>
      <c r="AR212" s="176" t="n"/>
      <c r="AS212" s="176" t="n"/>
      <c r="AT212" s="176" t="n"/>
      <c r="AU212" s="176" t="n"/>
      <c r="AV212" s="176" t="n"/>
      <c r="AW212" s="176" t="n"/>
      <c r="AX212" s="176" t="n"/>
      <c r="AY212" s="176" t="n"/>
      <c r="AZ212" s="176" t="n"/>
      <c r="BA212" s="176" t="n"/>
      <c r="BB212" s="176" t="n"/>
      <c r="BC212" s="176" t="n"/>
      <c r="BD212" s="176" t="n"/>
      <c r="BE212" s="176" t="n"/>
      <c r="BF212" s="176" t="n"/>
      <c r="BG212" s="176" t="n"/>
      <c r="BH212" s="176" t="n"/>
      <c r="BI212" s="176" t="n"/>
      <c r="BJ212" s="176" t="n"/>
      <c r="BK212" s="176" t="n"/>
      <c r="BL212" s="176" t="n"/>
      <c r="BM212" s="176" t="n"/>
      <c r="BN212" s="176" t="n"/>
      <c r="BO212" s="176" t="n"/>
      <c r="BP212" s="176" t="n"/>
      <c r="BQ212" s="176" t="n"/>
      <c r="BR212" s="176" t="n"/>
      <c r="BS212" s="176" t="n"/>
      <c r="BT212" s="176" t="n"/>
      <c r="BU212" s="176" t="n"/>
      <c r="BV212" s="176" t="n"/>
      <c r="BW212" s="176" t="n"/>
      <c r="BX212" s="176" t="n"/>
      <c r="BY212" s="176" t="n"/>
      <c r="BZ212" s="176" t="n"/>
      <c r="CA212" s="176" t="n"/>
      <c r="CB212" s="176" t="n"/>
      <c r="CC212" s="176" t="n"/>
      <c r="CD212" s="176" t="n"/>
      <c r="CE212" s="176" t="n"/>
      <c r="CF212" s="176" t="n"/>
      <c r="CG212" s="176" t="n"/>
      <c r="CH212" s="176" t="n"/>
      <c r="CI212" s="176" t="n"/>
      <c r="CJ212" s="176" t="n"/>
      <c r="CK212" s="176" t="n"/>
      <c r="CL212" s="176" t="n"/>
      <c r="CM212" s="176" t="n"/>
      <c r="CN212" s="176" t="n"/>
      <c r="CO212" s="176" t="n"/>
      <c r="CP212" s="176" t="n"/>
      <c r="CQ212" s="176" t="n"/>
      <c r="CR212" s="176" t="n"/>
      <c r="CS212" s="176" t="n"/>
      <c r="CT212" s="176" t="n"/>
      <c r="CU212" s="176" t="n"/>
      <c r="CV212" s="176" t="n"/>
      <c r="CW212" s="176" t="n"/>
      <c r="CX212" s="176" t="n"/>
      <c r="CY212" s="176" t="n"/>
      <c r="CZ212" s="176" t="n"/>
      <c r="DA212" s="193" t="n"/>
      <c r="DF212" s="194" t="n"/>
      <c r="DG212" s="176" t="n"/>
      <c r="DH212" s="176" t="n"/>
      <c r="DI212" s="193" t="n"/>
      <c r="DN212" s="194" t="n"/>
      <c r="DO212" s="176" t="n"/>
      <c r="DP212" s="176" t="n"/>
      <c r="DQ212" s="176" t="n"/>
      <c r="DR212" s="181" t="inlineStr">
        <is>
          <t>NOME</t>
        </is>
      </c>
      <c r="DS212" s="182" t="n"/>
      <c r="DT212" s="182" t="n"/>
      <c r="DU212" s="182" t="n"/>
      <c r="DV212" s="182" t="n"/>
      <c r="DW212" s="183" t="n"/>
      <c r="DX212" s="176" t="n"/>
      <c r="DY212" s="176" t="n"/>
      <c r="DZ212" s="181" t="inlineStr">
        <is>
          <t>NOME</t>
        </is>
      </c>
      <c r="EA212" s="182" t="n"/>
      <c r="EB212" s="182" t="n"/>
      <c r="EC212" s="182" t="n"/>
      <c r="ED212" s="182" t="n"/>
      <c r="EE212" s="183" t="n"/>
      <c r="EF212" s="176" t="n"/>
      <c r="EG212" s="176" t="n"/>
      <c r="EH212" s="176" t="n"/>
      <c r="EI212" s="176" t="n"/>
      <c r="EJ212" s="176" t="n"/>
      <c r="EK212" s="176" t="n"/>
      <c r="EL212" s="176" t="n"/>
      <c r="EM212" s="176" t="n"/>
      <c r="EN212" s="176" t="n"/>
      <c r="EO212" s="176" t="n"/>
      <c r="EP212" s="176" t="n"/>
      <c r="EQ212" s="176" t="n"/>
      <c r="ER212" s="176" t="n"/>
      <c r="ES212" s="176" t="n"/>
      <c r="ET212" s="176" t="n"/>
      <c r="EU212" s="176" t="n"/>
      <c r="EV212" s="176" t="n"/>
      <c r="EW212" s="176" t="n"/>
      <c r="EX212" s="176" t="n"/>
      <c r="EY212" s="176" t="n"/>
      <c r="EZ212" s="181" t="inlineStr">
        <is>
          <t>ALC · P · 1 a 5</t>
        </is>
      </c>
      <c r="FA212" s="182" t="n"/>
      <c r="FB212" s="183" t="n"/>
      <c r="FC212" s="185" t="n"/>
      <c r="FD212" s="182" t="n"/>
      <c r="FE212" s="183" t="n"/>
      <c r="FF212" s="176" t="n"/>
      <c r="FG212" s="176" t="n"/>
      <c r="FH212" s="181" t="inlineStr">
        <is>
          <t>ALC · P · 1 a 5</t>
        </is>
      </c>
      <c r="FI212" s="182" t="n"/>
      <c r="FJ212" s="183" t="n"/>
      <c r="FK212" s="185" t="n"/>
      <c r="FL212" s="182" t="n"/>
      <c r="FM212" s="183" t="n"/>
      <c r="FN212" s="176" t="n"/>
      <c r="FO212" s="176" t="n"/>
      <c r="FP212" s="176" t="n"/>
      <c r="FQ212" s="176" t="n"/>
      <c r="FR212" s="176" t="n"/>
      <c r="FS212" s="176" t="n"/>
      <c r="FT212" s="176" t="n"/>
      <c r="FU212" s="176" t="n"/>
      <c r="FV212" s="176" t="n"/>
      <c r="FW212" s="176" t="n"/>
      <c r="FX212" s="176" t="n"/>
      <c r="FY212" s="176" t="n"/>
      <c r="FZ212" s="176" t="n"/>
      <c r="GA212" s="176" t="n"/>
      <c r="GB212" s="176" t="n"/>
      <c r="GC212" s="176" t="n"/>
      <c r="GD212" s="176" t="n"/>
      <c r="GE212" s="176" t="n"/>
      <c r="GF212" s="176" t="n"/>
      <c r="GG212" s="176" t="n"/>
      <c r="GH212" s="176" t="n"/>
      <c r="GI212" s="176" t="n"/>
      <c r="GJ212" s="176" t="n"/>
      <c r="GK212" s="176" t="n"/>
      <c r="GL212" s="176" t="n"/>
      <c r="GM212" s="176" t="n"/>
      <c r="GN212" s="176" t="n"/>
      <c r="GO212" s="176" t="n"/>
      <c r="GP212" s="176" t="n"/>
      <c r="GQ212" s="176" t="n"/>
      <c r="GR212" s="176" t="n"/>
      <c r="GS212" s="176" t="n"/>
      <c r="GT212" s="176" t="n"/>
      <c r="GU212" s="176" t="n"/>
      <c r="GV212" s="176" t="n"/>
      <c r="GW212" s="176" t="n"/>
      <c r="GX212" s="176" t="n"/>
      <c r="GY212" s="176" t="n"/>
      <c r="GZ212" s="176" t="n"/>
      <c r="HA212" s="176" t="n"/>
      <c r="HB212" s="176" t="n"/>
      <c r="HC212" s="176" t="n"/>
      <c r="HD212" s="176" t="n"/>
      <c r="HE212" s="176" t="n"/>
      <c r="HF212" s="176" t="n"/>
      <c r="HG212" s="176" t="n"/>
      <c r="HH212" s="176" t="n"/>
      <c r="HI212" s="176" t="n"/>
      <c r="HJ212" s="176" t="n"/>
      <c r="HK212" s="176" t="n"/>
      <c r="HL212" s="176" t="n"/>
      <c r="HM212" s="176" t="n"/>
      <c r="HN212" s="176" t="n"/>
      <c r="HO212" s="176" t="n"/>
      <c r="HP212" s="181" t="inlineStr">
        <is>
          <t>CATEGORIA DE EFEITO</t>
        </is>
      </c>
      <c r="HQ212" s="182" t="n"/>
      <c r="HR212" s="183" t="n"/>
      <c r="HS212" s="185" t="n"/>
      <c r="HT212" s="182" t="n"/>
      <c r="HU212" s="183" t="n"/>
      <c r="HV212" s="176" t="n"/>
      <c r="HW212" s="176" t="n"/>
      <c r="HX212" s="181" t="inlineStr">
        <is>
          <t>CATEGORIA DE EFEITO</t>
        </is>
      </c>
      <c r="HY212" s="182" t="n"/>
      <c r="HZ212" s="183" t="n"/>
      <c r="IA212" s="185" t="n"/>
      <c r="IB212" s="182" t="n"/>
      <c r="IC212" s="183" t="n"/>
      <c r="ID212" s="176" t="n"/>
    </row>
    <row r="213" ht="18.75" customHeight="1">
      <c r="A213" s="176" t="n"/>
      <c r="B213" s="176" t="n"/>
      <c r="C213" s="176" t="n"/>
      <c r="D213" s="176" t="n"/>
      <c r="E213" s="176" t="n"/>
      <c r="F213" s="176" t="n"/>
      <c r="G213" s="176" t="n"/>
      <c r="H213" s="176" t="n"/>
      <c r="I213" s="176" t="n"/>
      <c r="J213" s="176" t="n"/>
      <c r="K213" s="176" t="n"/>
      <c r="L213" s="176" t="n"/>
      <c r="M213" s="176" t="n"/>
      <c r="N213" s="176" t="n"/>
      <c r="O213" s="176" t="n"/>
      <c r="P213" s="176" t="n"/>
      <c r="Q213" s="176" t="n"/>
      <c r="R213" s="176" t="n"/>
      <c r="S213" s="176" t="n"/>
      <c r="T213" s="176" t="n"/>
      <c r="U213" s="176" t="n"/>
      <c r="V213" s="176" t="n"/>
      <c r="W213" s="176" t="n"/>
      <c r="X213" s="176" t="n"/>
      <c r="Y213" s="176" t="n"/>
      <c r="Z213" s="176" t="n"/>
      <c r="AA213" s="176" t="n"/>
      <c r="AB213" s="176" t="n"/>
      <c r="AC213" s="176" t="n"/>
      <c r="AD213" s="176" t="n"/>
      <c r="AE213" s="176" t="n"/>
      <c r="AF213" s="176" t="n"/>
      <c r="AG213" s="176" t="n"/>
      <c r="AH213" s="176" t="n"/>
      <c r="AI213" s="176" t="n"/>
      <c r="AJ213" s="176" t="n"/>
      <c r="AK213" s="176" t="n"/>
      <c r="AL213" s="176" t="n"/>
      <c r="AM213" s="176" t="n"/>
      <c r="AN213" s="176" t="n"/>
      <c r="AO213" s="176" t="n"/>
      <c r="AP213" s="176" t="n"/>
      <c r="AQ213" s="176" t="n"/>
      <c r="AR213" s="176" t="n"/>
      <c r="AS213" s="176" t="n"/>
      <c r="AT213" s="176" t="n"/>
      <c r="AU213" s="176" t="n"/>
      <c r="AV213" s="176" t="n"/>
      <c r="AW213" s="176" t="n"/>
      <c r="AX213" s="176" t="n"/>
      <c r="AY213" s="176" t="n"/>
      <c r="AZ213" s="176" t="n"/>
      <c r="BA213" s="176" t="n"/>
      <c r="BB213" s="176" t="n"/>
      <c r="BC213" s="176" t="n"/>
      <c r="BD213" s="176" t="n"/>
      <c r="BE213" s="176" t="n"/>
      <c r="BF213" s="176" t="n"/>
      <c r="BG213" s="176" t="n"/>
      <c r="BH213" s="176" t="n"/>
      <c r="BI213" s="176" t="n"/>
      <c r="BJ213" s="176" t="n"/>
      <c r="BK213" s="176" t="n"/>
      <c r="BL213" s="176" t="n"/>
      <c r="BM213" s="176" t="n"/>
      <c r="BN213" s="176" t="n"/>
      <c r="BO213" s="176" t="n"/>
      <c r="BP213" s="176" t="n"/>
      <c r="BQ213" s="176" t="n"/>
      <c r="BR213" s="176" t="n"/>
      <c r="BS213" s="176" t="n"/>
      <c r="BT213" s="176" t="n"/>
      <c r="BU213" s="176" t="n"/>
      <c r="BV213" s="176" t="n"/>
      <c r="BW213" s="176" t="n"/>
      <c r="BX213" s="176" t="n"/>
      <c r="BY213" s="176" t="n"/>
      <c r="BZ213" s="176" t="n"/>
      <c r="CA213" s="176" t="n"/>
      <c r="CB213" s="176" t="n"/>
      <c r="CC213" s="176" t="n"/>
      <c r="CD213" s="176" t="n"/>
      <c r="CE213" s="176" t="n"/>
      <c r="CF213" s="176" t="n"/>
      <c r="CG213" s="176" t="n"/>
      <c r="CH213" s="176" t="n"/>
      <c r="CI213" s="176" t="n"/>
      <c r="CJ213" s="176" t="n"/>
      <c r="CK213" s="176" t="n"/>
      <c r="CL213" s="176" t="n"/>
      <c r="CM213" s="176" t="n"/>
      <c r="CN213" s="176" t="n"/>
      <c r="CO213" s="176" t="n"/>
      <c r="CP213" s="176" t="n"/>
      <c r="CQ213" s="176" t="n"/>
      <c r="CR213" s="176" t="n"/>
      <c r="CS213" s="176" t="n"/>
      <c r="CT213" s="176" t="n"/>
      <c r="CU213" s="176" t="n"/>
      <c r="CV213" s="176" t="n"/>
      <c r="CW213" s="176" t="n"/>
      <c r="CX213" s="176" t="n"/>
      <c r="CY213" s="176" t="n"/>
      <c r="CZ213" s="176" t="n"/>
      <c r="DA213" s="193" t="n"/>
      <c r="DF213" s="194" t="n"/>
      <c r="DG213" s="176" t="n"/>
      <c r="DH213" s="176" t="n"/>
      <c r="DI213" s="193" t="n"/>
      <c r="DN213" s="194" t="n"/>
      <c r="DO213" s="176" t="n"/>
      <c r="DP213" s="176" t="n"/>
      <c r="DQ213" s="176" t="n"/>
      <c r="DR213" s="185" t="n"/>
      <c r="DS213" s="182" t="n"/>
      <c r="DT213" s="182" t="n"/>
      <c r="DU213" s="182" t="n"/>
      <c r="DV213" s="182" t="n"/>
      <c r="DW213" s="183" t="n"/>
      <c r="DX213" s="176" t="n"/>
      <c r="DY213" s="176" t="n"/>
      <c r="DZ213" s="185" t="n"/>
      <c r="EA213" s="182" t="n"/>
      <c r="EB213" s="182" t="n"/>
      <c r="EC213" s="182" t="n"/>
      <c r="ED213" s="182" t="n"/>
      <c r="EE213" s="183" t="n"/>
      <c r="EF213" s="176" t="n"/>
      <c r="EG213" s="176" t="n"/>
      <c r="EH213" s="176" t="n"/>
      <c r="EI213" s="176" t="n"/>
      <c r="EJ213" s="176" t="n"/>
      <c r="EK213" s="176" t="n"/>
      <c r="EL213" s="176" t="n"/>
      <c r="EM213" s="176" t="n"/>
      <c r="EN213" s="176" t="n"/>
      <c r="EO213" s="176" t="n"/>
      <c r="EP213" s="176" t="n"/>
      <c r="EQ213" s="176" t="n"/>
      <c r="ER213" s="176" t="n"/>
      <c r="ES213" s="176" t="n"/>
      <c r="ET213" s="176" t="n"/>
      <c r="EU213" s="176" t="n"/>
      <c r="EV213" s="176" t="n"/>
      <c r="EW213" s="176" t="n"/>
      <c r="EX213" s="176" t="n"/>
      <c r="EY213" s="176" t="n"/>
      <c r="EZ213" s="181" t="inlineStr">
        <is>
          <t>ALC · P · 6 e 7</t>
        </is>
      </c>
      <c r="FA213" s="182" t="n"/>
      <c r="FB213" s="183" t="n"/>
      <c r="FC213" s="185" t="n"/>
      <c r="FD213" s="182" t="n"/>
      <c r="FE213" s="183" t="n"/>
      <c r="FF213" s="176" t="n"/>
      <c r="FG213" s="176" t="n"/>
      <c r="FH213" s="181" t="inlineStr">
        <is>
          <t>ALC · P · 6 e 7</t>
        </is>
      </c>
      <c r="FI213" s="182" t="n"/>
      <c r="FJ213" s="183" t="n"/>
      <c r="FK213" s="185" t="n"/>
      <c r="FL213" s="182" t="n"/>
      <c r="FM213" s="183" t="n"/>
      <c r="FN213" s="176" t="n"/>
      <c r="FO213" s="176" t="n"/>
      <c r="FP213" s="176" t="n"/>
      <c r="FQ213" s="176" t="n"/>
      <c r="FR213" s="176" t="n"/>
      <c r="FS213" s="176" t="n"/>
      <c r="FT213" s="176" t="n"/>
      <c r="FU213" s="176" t="n"/>
      <c r="FV213" s="176" t="n"/>
      <c r="FW213" s="176" t="n"/>
      <c r="FX213" s="176" t="n"/>
      <c r="FY213" s="176" t="n"/>
      <c r="FZ213" s="176" t="n"/>
      <c r="GA213" s="176" t="n"/>
      <c r="GB213" s="176" t="n"/>
      <c r="GC213" s="176" t="n"/>
      <c r="GD213" s="176" t="n"/>
      <c r="GE213" s="176" t="n"/>
      <c r="GF213" s="176" t="n"/>
      <c r="GG213" s="176" t="n"/>
      <c r="GH213" s="176" t="n"/>
      <c r="GI213" s="176" t="n"/>
      <c r="GJ213" s="176" t="n"/>
      <c r="GK213" s="176" t="n"/>
      <c r="GL213" s="176" t="n"/>
      <c r="GM213" s="176" t="n"/>
      <c r="GN213" s="176" t="n"/>
      <c r="GO213" s="176" t="n"/>
      <c r="GP213" s="176" t="n"/>
      <c r="GQ213" s="176" t="n"/>
      <c r="GR213" s="176" t="n"/>
      <c r="GS213" s="176" t="n"/>
      <c r="GT213" s="176" t="n"/>
      <c r="GU213" s="176" t="n"/>
      <c r="GV213" s="176" t="n"/>
      <c r="GW213" s="176" t="n"/>
      <c r="GX213" s="176" t="n"/>
      <c r="GY213" s="176" t="n"/>
      <c r="GZ213" s="176" t="n"/>
      <c r="HA213" s="176" t="n"/>
      <c r="HB213" s="176" t="n"/>
      <c r="HC213" s="176" t="n"/>
      <c r="HD213" s="176" t="n"/>
      <c r="HE213" s="176" t="n"/>
      <c r="HF213" s="176" t="n"/>
      <c r="HG213" s="176" t="n"/>
      <c r="HH213" s="176" t="n"/>
      <c r="HI213" s="176" t="n"/>
      <c r="HJ213" s="176" t="n"/>
      <c r="HK213" s="176" t="n"/>
      <c r="HL213" s="176" t="n"/>
      <c r="HM213" s="176" t="n"/>
      <c r="HN213" s="176" t="n"/>
      <c r="HO213" s="176" t="n"/>
      <c r="HP213" s="176" t="n"/>
      <c r="HQ213" s="176" t="n"/>
      <c r="HR213" s="176" t="n"/>
      <c r="HS213" s="176" t="n"/>
      <c r="HT213" s="176" t="n"/>
      <c r="HU213" s="176" t="n"/>
      <c r="HV213" s="176" t="n"/>
      <c r="HW213" s="176" t="n"/>
      <c r="HX213" s="176" t="n"/>
      <c r="HY213" s="176" t="n"/>
      <c r="HZ213" s="176" t="n"/>
      <c r="IA213" s="176" t="n"/>
      <c r="IB213" s="176" t="n"/>
      <c r="IC213" s="176" t="n"/>
      <c r="ID213" s="176" t="n"/>
    </row>
    <row r="214" ht="18.75" customHeight="1">
      <c r="A214" s="176" t="n"/>
      <c r="B214" s="176" t="n"/>
      <c r="C214" s="176" t="n"/>
      <c r="D214" s="176" t="n"/>
      <c r="E214" s="176" t="n"/>
      <c r="F214" s="176" t="n"/>
      <c r="G214" s="176" t="n"/>
      <c r="H214" s="176" t="n"/>
      <c r="I214" s="176" t="n"/>
      <c r="J214" s="176" t="n"/>
      <c r="K214" s="176" t="n"/>
      <c r="L214" s="176" t="n"/>
      <c r="M214" s="176" t="n"/>
      <c r="N214" s="176" t="n"/>
      <c r="O214" s="176" t="n"/>
      <c r="P214" s="176" t="n"/>
      <c r="Q214" s="176" t="n"/>
      <c r="R214" s="176" t="n"/>
      <c r="S214" s="176" t="n"/>
      <c r="T214" s="176" t="n"/>
      <c r="U214" s="176" t="n"/>
      <c r="V214" s="176" t="n"/>
      <c r="W214" s="176" t="n"/>
      <c r="X214" s="176" t="n"/>
      <c r="Y214" s="176" t="n"/>
      <c r="Z214" s="176" t="n"/>
      <c r="AA214" s="176" t="n"/>
      <c r="AB214" s="176" t="n"/>
      <c r="AC214" s="176" t="n"/>
      <c r="AD214" s="176" t="n"/>
      <c r="AE214" s="176" t="n"/>
      <c r="AF214" s="176" t="n"/>
      <c r="AG214" s="176" t="n"/>
      <c r="AH214" s="176" t="n"/>
      <c r="AI214" s="176" t="n"/>
      <c r="AJ214" s="176" t="n"/>
      <c r="AK214" s="176" t="n"/>
      <c r="AL214" s="176" t="n"/>
      <c r="AM214" s="176" t="n"/>
      <c r="AN214" s="176" t="n"/>
      <c r="AO214" s="176" t="n"/>
      <c r="AP214" s="176" t="n"/>
      <c r="AQ214" s="176" t="n"/>
      <c r="AR214" s="176" t="n"/>
      <c r="AS214" s="176" t="n"/>
      <c r="AT214" s="176" t="n"/>
      <c r="AU214" s="176" t="n"/>
      <c r="AV214" s="176" t="n"/>
      <c r="AW214" s="176" t="n"/>
      <c r="AX214" s="176" t="n"/>
      <c r="AY214" s="176" t="n"/>
      <c r="AZ214" s="176" t="n"/>
      <c r="BA214" s="176" t="n"/>
      <c r="BB214" s="176" t="n"/>
      <c r="BC214" s="176" t="n"/>
      <c r="BD214" s="176" t="n"/>
      <c r="BE214" s="176" t="n"/>
      <c r="BF214" s="176" t="n"/>
      <c r="BG214" s="176" t="n"/>
      <c r="BH214" s="176" t="n"/>
      <c r="BI214" s="176" t="n"/>
      <c r="BJ214" s="176" t="n"/>
      <c r="BK214" s="176" t="n"/>
      <c r="BL214" s="176" t="n"/>
      <c r="BM214" s="176" t="n"/>
      <c r="BN214" s="176" t="n"/>
      <c r="BO214" s="176" t="n"/>
      <c r="BP214" s="176" t="n"/>
      <c r="BQ214" s="176" t="n"/>
      <c r="BR214" s="176" t="n"/>
      <c r="BS214" s="176" t="n"/>
      <c r="BT214" s="176" t="n"/>
      <c r="BU214" s="176" t="n"/>
      <c r="BV214" s="176" t="n"/>
      <c r="BW214" s="176" t="n"/>
      <c r="BX214" s="176" t="n"/>
      <c r="BY214" s="176" t="n"/>
      <c r="BZ214" s="176" t="n"/>
      <c r="CA214" s="176" t="n"/>
      <c r="CB214" s="176" t="n"/>
      <c r="CC214" s="176" t="n"/>
      <c r="CD214" s="176" t="n"/>
      <c r="CE214" s="176" t="n"/>
      <c r="CF214" s="176" t="n"/>
      <c r="CG214" s="176" t="n"/>
      <c r="CH214" s="176" t="n"/>
      <c r="CI214" s="176" t="n"/>
      <c r="CJ214" s="176" t="n"/>
      <c r="CK214" s="176" t="n"/>
      <c r="CL214" s="176" t="n"/>
      <c r="CM214" s="176" t="n"/>
      <c r="CN214" s="176" t="n"/>
      <c r="CO214" s="176" t="n"/>
      <c r="CP214" s="176" t="n"/>
      <c r="CQ214" s="176" t="n"/>
      <c r="CR214" s="176" t="n"/>
      <c r="CS214" s="176" t="n"/>
      <c r="CT214" s="176" t="n"/>
      <c r="CU214" s="176" t="n"/>
      <c r="CV214" s="176" t="n"/>
      <c r="CW214" s="176" t="n"/>
      <c r="CX214" s="176" t="n"/>
      <c r="CY214" s="176" t="n"/>
      <c r="CZ214" s="176" t="n"/>
      <c r="DA214" s="189" t="n"/>
      <c r="DB214" s="190" t="n"/>
      <c r="DC214" s="190" t="n"/>
      <c r="DD214" s="190" t="n"/>
      <c r="DE214" s="190" t="n"/>
      <c r="DF214" s="191" t="n"/>
      <c r="DG214" s="176" t="n"/>
      <c r="DH214" s="176" t="n"/>
      <c r="DI214" s="189" t="n"/>
      <c r="DJ214" s="190" t="n"/>
      <c r="DK214" s="190" t="n"/>
      <c r="DL214" s="190" t="n"/>
      <c r="DM214" s="190" t="n"/>
      <c r="DN214" s="191" t="n"/>
      <c r="DO214" s="176" t="n"/>
      <c r="DP214" s="176" t="n"/>
      <c r="DQ214" s="176" t="n"/>
      <c r="DR214" s="181" t="inlineStr">
        <is>
          <t>BASE DO LIVRO</t>
        </is>
      </c>
      <c r="DS214" s="182" t="n"/>
      <c r="DT214" s="183" t="n"/>
      <c r="DU214" s="185" t="inlineStr">
        <is>
          <t>Nenhuma</t>
        </is>
      </c>
      <c r="DV214" s="182" t="n"/>
      <c r="DW214" s="183" t="n"/>
      <c r="DX214" s="176" t="n"/>
      <c r="DY214" s="176" t="n"/>
      <c r="DZ214" s="181" t="inlineStr">
        <is>
          <t>BASE DO LIVRO</t>
        </is>
      </c>
      <c r="EA214" s="182" t="n"/>
      <c r="EB214" s="183" t="n"/>
      <c r="EC214" s="185" t="inlineStr">
        <is>
          <t>Nenhuma</t>
        </is>
      </c>
      <c r="ED214" s="182" t="n"/>
      <c r="EE214" s="183" t="n"/>
      <c r="EF214" s="176" t="n"/>
      <c r="EG214" s="176" t="n"/>
      <c r="EH214" s="176" t="n"/>
      <c r="EI214" s="176" t="n"/>
      <c r="EJ214" s="176" t="n"/>
      <c r="EK214" s="176" t="n"/>
      <c r="EL214" s="176" t="n"/>
      <c r="EM214" s="176" t="n"/>
      <c r="EN214" s="176" t="n"/>
      <c r="EO214" s="176" t="n"/>
      <c r="EP214" s="176" t="n"/>
      <c r="EQ214" s="176" t="n"/>
      <c r="ER214" s="176" t="n"/>
      <c r="ES214" s="176" t="n"/>
      <c r="ET214" s="176" t="n"/>
      <c r="EU214" s="176" t="n"/>
      <c r="EV214" s="176" t="n"/>
      <c r="EW214" s="176" t="n"/>
      <c r="EX214" s="176" t="n"/>
      <c r="EY214" s="176" t="n"/>
      <c r="EZ214" s="181" t="inlineStr">
        <is>
          <t>ALC · E · 0</t>
        </is>
      </c>
      <c r="FA214" s="182" t="n"/>
      <c r="FB214" s="183" t="n"/>
      <c r="FC214" s="185" t="n"/>
      <c r="FD214" s="182" t="n"/>
      <c r="FE214" s="183" t="n"/>
      <c r="FF214" s="176" t="n"/>
      <c r="FG214" s="176" t="n"/>
      <c r="FH214" s="181" t="inlineStr">
        <is>
          <t>ALC · E · 0</t>
        </is>
      </c>
      <c r="FI214" s="182" t="n"/>
      <c r="FJ214" s="183" t="n"/>
      <c r="FK214" s="185" t="n"/>
      <c r="FL214" s="182" t="n"/>
      <c r="FM214" s="183" t="n"/>
      <c r="FN214" s="176" t="n"/>
      <c r="FO214" s="176" t="n"/>
      <c r="FP214" s="176" t="n"/>
      <c r="FQ214" s="176" t="n"/>
      <c r="FR214" s="176" t="n"/>
      <c r="FS214" s="176" t="n"/>
      <c r="FT214" s="176" t="n"/>
      <c r="FU214" s="176" t="n"/>
      <c r="FV214" s="176" t="n"/>
      <c r="FW214" s="176" t="n"/>
      <c r="FX214" s="176" t="n"/>
      <c r="FY214" s="176" t="n"/>
      <c r="FZ214" s="176" t="n"/>
      <c r="GA214" s="176" t="n"/>
      <c r="GB214" s="176" t="n"/>
      <c r="GC214" s="176" t="n"/>
      <c r="GD214" s="176" t="n"/>
      <c r="GE214" s="176" t="n"/>
      <c r="GF214" s="176" t="n"/>
      <c r="GG214" s="176" t="n"/>
      <c r="GH214" s="176" t="n"/>
      <c r="GI214" s="176" t="n"/>
      <c r="GJ214" s="176" t="n"/>
      <c r="GK214" s="176" t="n"/>
      <c r="GL214" s="176" t="n"/>
      <c r="GM214" s="176" t="n"/>
      <c r="GN214" s="176" t="n"/>
      <c r="GO214" s="176" t="n"/>
      <c r="GP214" s="176" t="n"/>
      <c r="GQ214" s="176" t="n"/>
      <c r="GR214" s="176" t="n"/>
      <c r="GS214" s="176" t="n"/>
      <c r="GT214" s="176" t="n"/>
      <c r="GU214" s="176" t="n"/>
      <c r="GV214" s="176" t="n"/>
      <c r="GW214" s="176" t="n"/>
      <c r="GX214" s="176" t="n"/>
      <c r="GY214" s="176" t="n"/>
      <c r="GZ214" s="176" t="n"/>
      <c r="HA214" s="176" t="n"/>
      <c r="HB214" s="176" t="n"/>
      <c r="HC214" s="176" t="n"/>
      <c r="HD214" s="176" t="n"/>
      <c r="HE214" s="176" t="n"/>
      <c r="HF214" s="176" t="n"/>
      <c r="HG214" s="176" t="n"/>
      <c r="HH214" s="176" t="n"/>
      <c r="HI214" s="176" t="n"/>
      <c r="HJ214" s="176" t="n"/>
      <c r="HK214" s="176" t="n"/>
      <c r="HL214" s="176" t="n"/>
      <c r="HM214" s="176" t="n"/>
      <c r="HN214" s="176" t="n"/>
      <c r="HO214" s="176" t="n"/>
      <c r="HP214" s="176" t="n"/>
      <c r="HQ214" s="176" t="n"/>
      <c r="HR214" s="176" t="n"/>
      <c r="HS214" s="176" t="n"/>
      <c r="HT214" s="176" t="n"/>
      <c r="HU214" s="176" t="n"/>
      <c r="HV214" s="176" t="n"/>
      <c r="HW214" s="176" t="n"/>
      <c r="HX214" s="176" t="n"/>
      <c r="HY214" s="176" t="n"/>
      <c r="HZ214" s="176" t="n"/>
      <c r="IA214" s="176" t="n"/>
      <c r="IB214" s="176" t="n"/>
      <c r="IC214" s="176" t="n"/>
      <c r="ID214" s="176" t="n"/>
    </row>
    <row r="215" ht="18.75" customHeight="1">
      <c r="A215" s="176" t="n"/>
      <c r="B215" s="176" t="n"/>
      <c r="C215" s="176" t="n"/>
      <c r="D215" s="176" t="n"/>
      <c r="E215" s="176" t="n"/>
      <c r="F215" s="176" t="n"/>
      <c r="G215" s="176" t="n"/>
      <c r="H215" s="176" t="n"/>
      <c r="I215" s="176" t="n"/>
      <c r="J215" s="176" t="n"/>
      <c r="K215" s="176" t="n"/>
      <c r="L215" s="176" t="n"/>
      <c r="M215" s="176" t="n"/>
      <c r="N215" s="176" t="n"/>
      <c r="O215" s="176" t="n"/>
      <c r="P215" s="176" t="n"/>
      <c r="Q215" s="176" t="n"/>
      <c r="R215" s="176" t="n"/>
      <c r="S215" s="176" t="n"/>
      <c r="T215" s="179" t="inlineStr">
        <is>
          <t>CARTÃO 15 · CUSTOM</t>
        </is>
      </c>
      <c r="Z215" s="176" t="n"/>
      <c r="AA215" s="176" t="n"/>
      <c r="AB215" s="179" t="inlineStr">
        <is>
          <t>CARTÃO 16 · CUSTOM</t>
        </is>
      </c>
      <c r="AH215" s="176" t="n"/>
      <c r="AI215" s="176" t="n"/>
      <c r="AJ215" s="176" t="n"/>
      <c r="AK215" s="176" t="n"/>
      <c r="AL215" s="176" t="n"/>
      <c r="AM215" s="176" t="n"/>
      <c r="AN215" s="176" t="n"/>
      <c r="AO215" s="176" t="n"/>
      <c r="AP215" s="176" t="n"/>
      <c r="AQ215" s="176" t="n"/>
      <c r="AR215" s="176" t="n"/>
      <c r="AS215" s="176" t="n"/>
      <c r="AT215" s="176" t="n"/>
      <c r="AU215" s="176" t="n"/>
      <c r="AV215" s="176" t="n"/>
      <c r="AW215" s="176" t="n"/>
      <c r="AX215" s="176" t="n"/>
      <c r="AY215" s="176" t="n"/>
      <c r="AZ215" s="176" t="n"/>
      <c r="BA215" s="176" t="n"/>
      <c r="BB215" s="176" t="n"/>
      <c r="BC215" s="176" t="n"/>
      <c r="BD215" s="176" t="n"/>
      <c r="BE215" s="176" t="n"/>
      <c r="BF215" s="176" t="n"/>
      <c r="BG215" s="176" t="n"/>
      <c r="BH215" s="176" t="n"/>
      <c r="BI215" s="176" t="n"/>
      <c r="BJ215" s="176" t="n"/>
      <c r="BK215" s="176" t="n"/>
      <c r="BL215" s="176" t="n"/>
      <c r="BM215" s="176" t="n"/>
      <c r="BN215" s="176" t="n"/>
      <c r="BO215" s="176" t="n"/>
      <c r="BP215" s="176" t="n"/>
      <c r="BQ215" s="176" t="n"/>
      <c r="BR215" s="176" t="n"/>
      <c r="BS215" s="176" t="n"/>
      <c r="BT215" s="176" t="n"/>
      <c r="BU215" s="176" t="n"/>
      <c r="BV215" s="176" t="n"/>
      <c r="BW215" s="176" t="n"/>
      <c r="BX215" s="176" t="n"/>
      <c r="BY215" s="176" t="n"/>
      <c r="BZ215" s="176" t="n"/>
      <c r="CA215" s="176" t="n"/>
      <c r="CB215" s="176" t="n"/>
      <c r="CC215" s="176" t="n"/>
      <c r="CD215" s="176" t="n"/>
      <c r="CE215" s="176" t="n"/>
      <c r="CF215" s="176" t="n"/>
      <c r="CG215" s="176" t="n"/>
      <c r="CH215" s="176" t="n"/>
      <c r="CI215" s="176" t="n"/>
      <c r="CJ215" s="176" t="n"/>
      <c r="CK215" s="176" t="n"/>
      <c r="CL215" s="176" t="n"/>
      <c r="CM215" s="176" t="n"/>
      <c r="CN215" s="176" t="n"/>
      <c r="CO215" s="176" t="n"/>
      <c r="CP215" s="176" t="n"/>
      <c r="CQ215" s="176" t="n"/>
      <c r="CR215" s="176" t="n"/>
      <c r="CS215" s="176" t="n"/>
      <c r="CT215" s="176" t="n"/>
      <c r="CU215" s="176" t="n"/>
      <c r="CV215" s="176" t="n"/>
      <c r="CW215" s="176" t="n"/>
      <c r="CX215" s="176" t="n"/>
      <c r="CY215" s="176" t="n"/>
      <c r="CZ215" s="176" t="n"/>
      <c r="DA215" s="176" t="n"/>
      <c r="DB215" s="176" t="n"/>
      <c r="DC215" s="176" t="n"/>
      <c r="DD215" s="176" t="n"/>
      <c r="DE215" s="176" t="n"/>
      <c r="DF215" s="176" t="n"/>
      <c r="DG215" s="176" t="n"/>
      <c r="DH215" s="176" t="n"/>
      <c r="DI215" s="176" t="n"/>
      <c r="DJ215" s="176" t="n"/>
      <c r="DK215" s="176" t="n"/>
      <c r="DL215" s="176" t="n"/>
      <c r="DM215" s="176" t="n"/>
      <c r="DN215" s="176" t="n"/>
      <c r="DO215" s="176" t="n"/>
      <c r="DP215" s="176" t="n"/>
      <c r="DQ215" s="176" t="n"/>
      <c r="DR215" s="181" t="inlineStr">
        <is>
          <t>DEVOLUÇÃO</t>
        </is>
      </c>
      <c r="DS215" s="182" t="n"/>
      <c r="DT215" s="183" t="n"/>
      <c r="DU215" s="185" t="n"/>
      <c r="DV215" s="182" t="n"/>
      <c r="DW215" s="183" t="n"/>
      <c r="DX215" s="176" t="n"/>
      <c r="DY215" s="176" t="n"/>
      <c r="DZ215" s="181" t="inlineStr">
        <is>
          <t>DEVOLUÇÃO</t>
        </is>
      </c>
      <c r="EA215" s="182" t="n"/>
      <c r="EB215" s="183" t="n"/>
      <c r="EC215" s="185" t="n"/>
      <c r="ED215" s="182" t="n"/>
      <c r="EE215" s="183" t="n"/>
      <c r="EF215" s="176" t="n"/>
      <c r="EG215" s="176" t="n"/>
      <c r="EH215" s="176" t="n"/>
      <c r="EI215" s="176" t="n"/>
      <c r="EJ215" s="176" t="n"/>
      <c r="EK215" s="176" t="n"/>
      <c r="EL215" s="176" t="n"/>
      <c r="EM215" s="176" t="n"/>
      <c r="EN215" s="176" t="n"/>
      <c r="EO215" s="176" t="n"/>
      <c r="EP215" s="176" t="n"/>
      <c r="EQ215" s="176" t="n"/>
      <c r="ER215" s="176" t="n"/>
      <c r="ES215" s="176" t="n"/>
      <c r="ET215" s="176" t="n"/>
      <c r="EU215" s="176" t="n"/>
      <c r="EV215" s="176" t="n"/>
      <c r="EW215" s="176" t="n"/>
      <c r="EX215" s="176" t="n"/>
      <c r="EY215" s="176" t="n"/>
      <c r="EZ215" s="181" t="inlineStr">
        <is>
          <t>ALC · E · 1 a 5</t>
        </is>
      </c>
      <c r="FA215" s="182" t="n"/>
      <c r="FB215" s="183" t="n"/>
      <c r="FC215" s="185" t="n"/>
      <c r="FD215" s="182" t="n"/>
      <c r="FE215" s="183" t="n"/>
      <c r="FF215" s="176" t="n"/>
      <c r="FG215" s="176" t="n"/>
      <c r="FH215" s="181" t="inlineStr">
        <is>
          <t>ALC · E · 1 a 5</t>
        </is>
      </c>
      <c r="FI215" s="182" t="n"/>
      <c r="FJ215" s="183" t="n"/>
      <c r="FK215" s="185" t="n"/>
      <c r="FL215" s="182" t="n"/>
      <c r="FM215" s="183" t="n"/>
      <c r="FN215" s="176" t="n"/>
      <c r="FO215" s="176" t="n"/>
      <c r="FP215" s="176" t="n"/>
      <c r="FQ215" s="176" t="n"/>
      <c r="FR215" s="176" t="n"/>
      <c r="FS215" s="176" t="n"/>
      <c r="FT215" s="176" t="n"/>
      <c r="FU215" s="176" t="n"/>
      <c r="FV215" s="176" t="n"/>
      <c r="FW215" s="176" t="n"/>
      <c r="FX215" s="176" t="n"/>
      <c r="FY215" s="176" t="n"/>
      <c r="FZ215" s="176" t="n"/>
      <c r="GA215" s="176" t="n"/>
      <c r="GB215" s="176" t="n"/>
      <c r="GC215" s="176" t="n"/>
      <c r="GD215" s="176" t="n"/>
      <c r="GE215" s="176" t="n"/>
      <c r="GF215" s="176" t="n"/>
      <c r="GG215" s="176" t="n"/>
      <c r="GH215" s="176" t="n"/>
      <c r="GI215" s="176" t="n"/>
      <c r="GJ215" s="176" t="n"/>
      <c r="GK215" s="176" t="n"/>
      <c r="GL215" s="176" t="n"/>
      <c r="GM215" s="176" t="n"/>
      <c r="GN215" s="176" t="n"/>
      <c r="GO215" s="176" t="n"/>
      <c r="GP215" s="176" t="n"/>
      <c r="GQ215" s="176" t="n"/>
      <c r="GR215" s="176" t="n"/>
      <c r="GS215" s="176" t="n"/>
      <c r="GT215" s="176" t="n"/>
      <c r="GU215" s="176" t="n"/>
      <c r="GV215" s="176" t="n"/>
      <c r="GW215" s="176" t="n"/>
      <c r="GX215" s="176" t="n"/>
      <c r="GY215" s="176" t="n"/>
      <c r="GZ215" s="176" t="n"/>
      <c r="HA215" s="176" t="n"/>
      <c r="HB215" s="176" t="n"/>
      <c r="HC215" s="176" t="n"/>
      <c r="HD215" s="176" t="n"/>
      <c r="HE215" s="176" t="n"/>
      <c r="HF215" s="176" t="n"/>
      <c r="HG215" s="176" t="n"/>
      <c r="HH215" s="176" t="n"/>
      <c r="HI215" s="176" t="n"/>
      <c r="HJ215" s="176" t="n"/>
      <c r="HK215" s="176" t="n"/>
      <c r="HL215" s="176" t="n"/>
      <c r="HM215" s="176" t="n"/>
      <c r="HN215" s="176" t="n"/>
      <c r="HO215" s="176" t="n"/>
      <c r="HP215" s="176" t="n"/>
      <c r="HQ215" s="176" t="n"/>
      <c r="HR215" s="176" t="n"/>
      <c r="HS215" s="176" t="n"/>
      <c r="HT215" s="176" t="n"/>
      <c r="HU215" s="176" t="n"/>
      <c r="HV215" s="176" t="n"/>
      <c r="HW215" s="176" t="n"/>
      <c r="HX215" s="176" t="n"/>
      <c r="HY215" s="176" t="n"/>
      <c r="HZ215" s="176" t="n"/>
      <c r="IA215" s="176" t="n"/>
      <c r="IB215" s="176" t="n"/>
      <c r="IC215" s="176" t="n"/>
      <c r="ID215" s="176" t="n"/>
    </row>
    <row r="216" ht="18.75" customHeight="1">
      <c r="A216" s="176" t="n"/>
      <c r="B216" s="176" t="n"/>
      <c r="C216" s="176" t="n"/>
      <c r="D216" s="176" t="n"/>
      <c r="E216" s="176" t="n"/>
      <c r="F216" s="176" t="n"/>
      <c r="G216" s="176" t="n"/>
      <c r="H216" s="176" t="n"/>
      <c r="I216" s="176" t="n"/>
      <c r="J216" s="176" t="n"/>
      <c r="K216" s="176" t="n"/>
      <c r="L216" s="176" t="n"/>
      <c r="M216" s="176" t="n"/>
      <c r="N216" s="176" t="n"/>
      <c r="O216" s="176" t="n"/>
      <c r="P216" s="176" t="n"/>
      <c r="Q216" s="176" t="n"/>
      <c r="R216" s="176" t="n"/>
      <c r="S216" s="176" t="n"/>
      <c r="T216" s="181" t="inlineStr">
        <is>
          <t>TIPO</t>
        </is>
      </c>
      <c r="U216" s="182" t="n"/>
      <c r="V216" s="182" t="n"/>
      <c r="W216" s="183" t="n"/>
      <c r="X216" s="181" t="inlineStr">
        <is>
          <t>MESTRE VIU</t>
        </is>
      </c>
      <c r="Y216" s="183" t="n"/>
      <c r="Z216" s="176" t="n"/>
      <c r="AA216" s="176" t="n"/>
      <c r="AB216" s="181" t="inlineStr">
        <is>
          <t>TIPO</t>
        </is>
      </c>
      <c r="AC216" s="182" t="n"/>
      <c r="AD216" s="182" t="n"/>
      <c r="AE216" s="183" t="n"/>
      <c r="AF216" s="181" t="inlineStr">
        <is>
          <t>MESTRE VIU</t>
        </is>
      </c>
      <c r="AG216" s="183" t="n"/>
      <c r="AH216" s="176" t="n"/>
      <c r="AI216" s="176" t="n"/>
      <c r="AJ216" s="176" t="n"/>
      <c r="AK216" s="176" t="n"/>
      <c r="AL216" s="176" t="n"/>
      <c r="AM216" s="176" t="n"/>
      <c r="AN216" s="176" t="n"/>
      <c r="AO216" s="176" t="n"/>
      <c r="AP216" s="176" t="n"/>
      <c r="AQ216" s="176" t="n"/>
      <c r="AR216" s="176" t="n"/>
      <c r="AS216" s="176" t="n"/>
      <c r="AT216" s="176" t="n"/>
      <c r="AU216" s="176" t="n"/>
      <c r="AV216" s="176" t="n"/>
      <c r="AW216" s="176" t="n"/>
      <c r="AX216" s="176" t="n"/>
      <c r="AY216" s="176" t="n"/>
      <c r="AZ216" s="176" t="n"/>
      <c r="BA216" s="176" t="n"/>
      <c r="BB216" s="176" t="n"/>
      <c r="BC216" s="176" t="n"/>
      <c r="BD216" s="176" t="n"/>
      <c r="BE216" s="176" t="n"/>
      <c r="BF216" s="176" t="n"/>
      <c r="BG216" s="176" t="n"/>
      <c r="BH216" s="176" t="n"/>
      <c r="BI216" s="176" t="n"/>
      <c r="BJ216" s="176" t="n"/>
      <c r="BK216" s="176" t="n"/>
      <c r="BL216" s="176" t="n"/>
      <c r="BM216" s="176" t="n"/>
      <c r="BN216" s="176" t="n"/>
      <c r="BO216" s="176" t="n"/>
      <c r="BP216" s="176" t="n"/>
      <c r="BQ216" s="176" t="n"/>
      <c r="BR216" s="176" t="n"/>
      <c r="BS216" s="176" t="n"/>
      <c r="BT216" s="176" t="n"/>
      <c r="BU216" s="176" t="n"/>
      <c r="BV216" s="176" t="n"/>
      <c r="BW216" s="176" t="n"/>
      <c r="BX216" s="176" t="n"/>
      <c r="BY216" s="176" t="n"/>
      <c r="BZ216" s="176" t="n"/>
      <c r="CA216" s="176" t="n"/>
      <c r="CB216" s="176" t="n"/>
      <c r="CC216" s="176" t="n"/>
      <c r="CD216" s="176" t="n"/>
      <c r="CE216" s="176" t="n"/>
      <c r="CF216" s="176" t="n"/>
      <c r="CG216" s="176" t="n"/>
      <c r="CH216" s="176" t="n"/>
      <c r="CI216" s="176" t="n"/>
      <c r="CJ216" s="176" t="n"/>
      <c r="CK216" s="176" t="n"/>
      <c r="CL216" s="176" t="n"/>
      <c r="CM216" s="176" t="n"/>
      <c r="CN216" s="176" t="n"/>
      <c r="CO216" s="176" t="n"/>
      <c r="CP216" s="176" t="n"/>
      <c r="CQ216" s="176" t="n"/>
      <c r="CR216" s="176" t="n"/>
      <c r="CS216" s="176" t="n"/>
      <c r="CT216" s="176" t="n"/>
      <c r="CU216" s="176" t="n"/>
      <c r="CV216" s="176" t="n"/>
      <c r="CW216" s="176" t="n"/>
      <c r="CX216" s="176" t="n"/>
      <c r="CY216" s="176" t="n"/>
      <c r="CZ216" s="176" t="n"/>
      <c r="DA216" s="180">
        <f>IF('DADOS_MELHORIAS'!$M$16="","","⚠ "&amp;'DADOS_MELHORIAS'!$M$16)</f>
        <v/>
      </c>
      <c r="DG216" s="176" t="n"/>
      <c r="DH216" s="176" t="n"/>
      <c r="DI216" s="180">
        <f>IF('DADOS_MELHORIAS'!$M$17="","","⚠ "&amp;'DADOS_MELHORIAS'!$M$17)</f>
        <v/>
      </c>
      <c r="DO216" s="176" t="n"/>
      <c r="DP216" s="176" t="n"/>
      <c r="DQ216" s="176" t="n"/>
      <c r="DR216" s="181" t="inlineStr">
        <is>
          <t>FREQUÊNCIA</t>
        </is>
      </c>
      <c r="DS216" s="182" t="n"/>
      <c r="DT216" s="183" t="n"/>
      <c r="DU216" s="185" t="n"/>
      <c r="DV216" s="182" t="n"/>
      <c r="DW216" s="183" t="n"/>
      <c r="DX216" s="176" t="n"/>
      <c r="DY216" s="176" t="n"/>
      <c r="DZ216" s="181" t="inlineStr">
        <is>
          <t>FREQUÊNCIA</t>
        </is>
      </c>
      <c r="EA216" s="182" t="n"/>
      <c r="EB216" s="183" t="n"/>
      <c r="EC216" s="185" t="n"/>
      <c r="ED216" s="182" t="n"/>
      <c r="EE216" s="183" t="n"/>
      <c r="EF216" s="176" t="n"/>
      <c r="EG216" s="176" t="n"/>
      <c r="EH216" s="176" t="n"/>
      <c r="EI216" s="176" t="n"/>
      <c r="EJ216" s="176" t="n"/>
      <c r="EK216" s="176" t="n"/>
      <c r="EL216" s="176" t="n"/>
      <c r="EM216" s="176" t="n"/>
      <c r="EN216" s="176" t="n"/>
      <c r="EO216" s="176" t="n"/>
      <c r="EP216" s="176" t="n"/>
      <c r="EQ216" s="176" t="n"/>
      <c r="ER216" s="176" t="n"/>
      <c r="ES216" s="176" t="n"/>
      <c r="ET216" s="176" t="n"/>
      <c r="EU216" s="176" t="n"/>
      <c r="EV216" s="176" t="n"/>
      <c r="EW216" s="176" t="n"/>
      <c r="EX216" s="176" t="n"/>
      <c r="EY216" s="176" t="n"/>
      <c r="EZ216" s="181" t="inlineStr">
        <is>
          <t>ALC · E · 6</t>
        </is>
      </c>
      <c r="FA216" s="182" t="n"/>
      <c r="FB216" s="183" t="n"/>
      <c r="FC216" s="185" t="n"/>
      <c r="FD216" s="182" t="n"/>
      <c r="FE216" s="183" t="n"/>
      <c r="FF216" s="176" t="n"/>
      <c r="FG216" s="176" t="n"/>
      <c r="FH216" s="181" t="inlineStr">
        <is>
          <t>ALC · E · 6</t>
        </is>
      </c>
      <c r="FI216" s="182" t="n"/>
      <c r="FJ216" s="183" t="n"/>
      <c r="FK216" s="185" t="n"/>
      <c r="FL216" s="182" t="n"/>
      <c r="FM216" s="183" t="n"/>
      <c r="FN216" s="176" t="n"/>
      <c r="FO216" s="176" t="n"/>
      <c r="FP216" s="176" t="n"/>
      <c r="FQ216" s="176" t="n"/>
      <c r="FR216" s="176" t="n"/>
      <c r="FS216" s="176" t="n"/>
      <c r="FT216" s="176" t="n"/>
      <c r="FU216" s="176" t="n"/>
      <c r="FV216" s="176" t="n"/>
      <c r="FW216" s="176" t="n"/>
      <c r="FX216" s="176" t="n"/>
      <c r="FY216" s="176" t="n"/>
      <c r="FZ216" s="176" t="n"/>
      <c r="GA216" s="176" t="n"/>
      <c r="GB216" s="176" t="n"/>
      <c r="GC216" s="176" t="n"/>
      <c r="GD216" s="176" t="n"/>
      <c r="GE216" s="176" t="n"/>
      <c r="GF216" s="176" t="n"/>
      <c r="GG216" s="176" t="n"/>
      <c r="GH216" s="176" t="n"/>
      <c r="GI216" s="176" t="n"/>
      <c r="GJ216" s="176" t="n"/>
      <c r="GK216" s="176" t="n"/>
      <c r="GL216" s="176" t="n"/>
      <c r="GM216" s="176" t="n"/>
      <c r="GN216" s="176" t="n"/>
      <c r="GO216" s="176" t="n"/>
      <c r="GP216" s="176" t="n"/>
      <c r="GQ216" s="176" t="n"/>
      <c r="GR216" s="176" t="n"/>
      <c r="GS216" s="176" t="n"/>
      <c r="GT216" s="176" t="n"/>
      <c r="GU216" s="176" t="n"/>
      <c r="GV216" s="176" t="n"/>
      <c r="GW216" s="176" t="n"/>
      <c r="GX216" s="176" t="n"/>
      <c r="GY216" s="176" t="n"/>
      <c r="GZ216" s="176" t="n"/>
      <c r="HA216" s="176" t="n"/>
      <c r="HB216" s="176" t="n"/>
      <c r="HC216" s="176" t="n"/>
      <c r="HD216" s="176" t="n"/>
      <c r="HE216" s="176" t="n"/>
      <c r="HF216" s="176" t="n"/>
      <c r="HG216" s="176" t="n"/>
      <c r="HH216" s="176" t="n"/>
      <c r="HI216" s="176" t="n"/>
      <c r="HJ216" s="176" t="n"/>
      <c r="HK216" s="176" t="n"/>
      <c r="HL216" s="176" t="n"/>
      <c r="HM216" s="176" t="n"/>
      <c r="HN216" s="176" t="n"/>
      <c r="HO216" s="176" t="n"/>
      <c r="HP216" s="176" t="n"/>
      <c r="HQ216" s="176" t="n"/>
      <c r="HR216" s="176" t="n"/>
      <c r="HS216" s="176" t="n"/>
      <c r="HT216" s="176" t="n"/>
      <c r="HU216" s="176" t="n"/>
      <c r="HV216" s="176" t="n"/>
      <c r="HW216" s="176" t="n"/>
      <c r="HX216" s="176" t="n"/>
      <c r="HY216" s="176" t="n"/>
      <c r="HZ216" s="176" t="n"/>
      <c r="IA216" s="176" t="n"/>
      <c r="IB216" s="176" t="n"/>
      <c r="IC216" s="176" t="n"/>
      <c r="ID216" s="176" t="n"/>
    </row>
    <row r="217" ht="18.75" customHeight="1">
      <c r="A217" s="176" t="n"/>
      <c r="B217" s="176" t="n"/>
      <c r="C217" s="176" t="n"/>
      <c r="D217" s="176" t="n"/>
      <c r="E217" s="176" t="n"/>
      <c r="F217" s="176" t="n"/>
      <c r="G217" s="176" t="n"/>
      <c r="H217" s="176" t="n"/>
      <c r="I217" s="176" t="n"/>
      <c r="J217" s="176" t="n"/>
      <c r="K217" s="176" t="n"/>
      <c r="L217" s="176" t="n"/>
      <c r="M217" s="176" t="n"/>
      <c r="N217" s="176" t="n"/>
      <c r="O217" s="176" t="n"/>
      <c r="P217" s="176" t="n"/>
      <c r="Q217" s="176" t="n"/>
      <c r="R217" s="176" t="n"/>
      <c r="S217" s="176" t="n"/>
      <c r="T217" s="185" t="n"/>
      <c r="U217" s="182" t="n"/>
      <c r="V217" s="182" t="n"/>
      <c r="W217" s="183" t="n"/>
      <c r="X217" s="184" t="b">
        <v>0</v>
      </c>
      <c r="Y217" s="183" t="n"/>
      <c r="Z217" s="176" t="n"/>
      <c r="AA217" s="176" t="n"/>
      <c r="AB217" s="185" t="n"/>
      <c r="AC217" s="182" t="n"/>
      <c r="AD217" s="182" t="n"/>
      <c r="AE217" s="183" t="n"/>
      <c r="AF217" s="184" t="b">
        <v>0</v>
      </c>
      <c r="AG217" s="183" t="n"/>
      <c r="AH217" s="176" t="n"/>
      <c r="AI217" s="176" t="n"/>
      <c r="AJ217" s="176" t="n"/>
      <c r="AK217" s="176" t="n"/>
      <c r="AL217" s="176" t="n"/>
      <c r="AM217" s="176" t="n"/>
      <c r="AN217" s="176" t="n"/>
      <c r="AO217" s="176" t="n"/>
      <c r="AP217" s="176" t="n"/>
      <c r="AQ217" s="176" t="n"/>
      <c r="AR217" s="176" t="n"/>
      <c r="AS217" s="176" t="n"/>
      <c r="AT217" s="176" t="n"/>
      <c r="AU217" s="176" t="n"/>
      <c r="AV217" s="176" t="n"/>
      <c r="AW217" s="176" t="n"/>
      <c r="AX217" s="176" t="n"/>
      <c r="AY217" s="176" t="n"/>
      <c r="AZ217" s="176" t="n"/>
      <c r="BA217" s="176" t="n"/>
      <c r="BB217" s="176" t="n"/>
      <c r="BC217" s="176" t="n"/>
      <c r="BD217" s="176" t="n"/>
      <c r="BE217" s="176" t="n"/>
      <c r="BF217" s="176" t="n"/>
      <c r="BG217" s="176" t="n"/>
      <c r="BH217" s="176" t="n"/>
      <c r="BI217" s="176" t="n"/>
      <c r="BJ217" s="176" t="n"/>
      <c r="BK217" s="176" t="n"/>
      <c r="BL217" s="176" t="n"/>
      <c r="BM217" s="176" t="n"/>
      <c r="BN217" s="176" t="n"/>
      <c r="BO217" s="176" t="n"/>
      <c r="BP217" s="176" t="n"/>
      <c r="BQ217" s="176" t="n"/>
      <c r="BR217" s="176" t="n"/>
      <c r="BS217" s="176" t="n"/>
      <c r="BT217" s="176" t="n"/>
      <c r="BU217" s="176" t="n"/>
      <c r="BV217" s="176" t="n"/>
      <c r="BW217" s="176" t="n"/>
      <c r="BX217" s="176" t="n"/>
      <c r="BY217" s="176" t="n"/>
      <c r="BZ217" s="176" t="n"/>
      <c r="CA217" s="176" t="n"/>
      <c r="CB217" s="176" t="n"/>
      <c r="CC217" s="176" t="n"/>
      <c r="CD217" s="176" t="n"/>
      <c r="CE217" s="176" t="n"/>
      <c r="CF217" s="176" t="n"/>
      <c r="CG217" s="176" t="n"/>
      <c r="CH217" s="176" t="n"/>
      <c r="CI217" s="176" t="n"/>
      <c r="CJ217" s="176" t="n"/>
      <c r="CK217" s="176" t="n"/>
      <c r="CL217" s="176" t="n"/>
      <c r="CM217" s="176" t="n"/>
      <c r="CN217" s="176" t="n"/>
      <c r="CO217" s="176" t="n"/>
      <c r="CP217" s="176" t="n"/>
      <c r="CQ217" s="176" t="n"/>
      <c r="CR217" s="176" t="n"/>
      <c r="CS217" s="176" t="n"/>
      <c r="CT217" s="176" t="n"/>
      <c r="CU217" s="176" t="n"/>
      <c r="CV217" s="176" t="n"/>
      <c r="CW217" s="176" t="n"/>
      <c r="CX217" s="176" t="n"/>
      <c r="CY217" s="176" t="n"/>
      <c r="CZ217" s="176" t="n"/>
      <c r="DG217" s="176" t="n"/>
      <c r="DH217" s="176" t="n"/>
      <c r="DO217" s="176" t="n"/>
      <c r="DP217" s="176" t="n"/>
      <c r="DQ217" s="176" t="n"/>
      <c r="DR217" s="176" t="n"/>
      <c r="DS217" s="176" t="n"/>
      <c r="DT217" s="176" t="n"/>
      <c r="DU217" s="176" t="n"/>
      <c r="DV217" s="176" t="n"/>
      <c r="DW217" s="176" t="n"/>
      <c r="DX217" s="176" t="n"/>
      <c r="DY217" s="176" t="n"/>
      <c r="DZ217" s="176" t="n"/>
      <c r="EA217" s="176" t="n"/>
      <c r="EB217" s="176" t="n"/>
      <c r="EC217" s="176" t="n"/>
      <c r="ED217" s="176" t="n"/>
      <c r="EE217" s="176" t="n"/>
      <c r="EF217" s="176" t="n"/>
      <c r="EG217" s="176" t="n"/>
      <c r="EH217" s="176" t="n"/>
      <c r="EI217" s="176" t="n"/>
      <c r="EJ217" s="176" t="n"/>
      <c r="EK217" s="176" t="n"/>
      <c r="EL217" s="176" t="n"/>
      <c r="EM217" s="176" t="n"/>
      <c r="EN217" s="176" t="n"/>
      <c r="EO217" s="176" t="n"/>
      <c r="EP217" s="176" t="n"/>
      <c r="EQ217" s="176" t="n"/>
      <c r="ER217" s="176" t="n"/>
      <c r="ES217" s="176" t="n"/>
      <c r="ET217" s="176" t="n"/>
      <c r="EU217" s="176" t="n"/>
      <c r="EV217" s="176" t="n"/>
      <c r="EW217" s="176" t="n"/>
      <c r="EX217" s="176" t="n"/>
      <c r="EY217" s="176" t="n"/>
      <c r="EZ217" s="181" t="inlineStr">
        <is>
          <t>ALC · E · 7</t>
        </is>
      </c>
      <c r="FA217" s="182" t="n"/>
      <c r="FB217" s="183" t="n"/>
      <c r="FC217" s="185" t="n"/>
      <c r="FD217" s="182" t="n"/>
      <c r="FE217" s="183" t="n"/>
      <c r="FF217" s="176" t="n"/>
      <c r="FG217" s="176" t="n"/>
      <c r="FH217" s="181" t="inlineStr">
        <is>
          <t>ALC · E · 7</t>
        </is>
      </c>
      <c r="FI217" s="182" t="n"/>
      <c r="FJ217" s="183" t="n"/>
      <c r="FK217" s="185" t="n"/>
      <c r="FL217" s="182" t="n"/>
      <c r="FM217" s="183" t="n"/>
      <c r="FN217" s="176" t="n"/>
      <c r="FO217" s="176" t="n"/>
      <c r="FP217" s="176" t="n"/>
      <c r="FQ217" s="176" t="n"/>
      <c r="FR217" s="176" t="n"/>
      <c r="FS217" s="176" t="n"/>
      <c r="FT217" s="176" t="n"/>
      <c r="FU217" s="176" t="n"/>
      <c r="FV217" s="176" t="n"/>
      <c r="FW217" s="176" t="n"/>
      <c r="FX217" s="176" t="n"/>
      <c r="FY217" s="176" t="n"/>
      <c r="FZ217" s="176" t="n"/>
      <c r="GA217" s="176" t="n"/>
      <c r="GB217" s="176" t="n"/>
      <c r="GC217" s="176" t="n"/>
      <c r="GD217" s="176" t="n"/>
      <c r="GE217" s="176" t="n"/>
      <c r="GF217" s="176" t="n"/>
      <c r="GG217" s="176" t="n"/>
      <c r="GH217" s="176" t="n"/>
      <c r="GI217" s="176" t="n"/>
      <c r="GJ217" s="176" t="n"/>
      <c r="GK217" s="176" t="n"/>
      <c r="GL217" s="176" t="n"/>
      <c r="GM217" s="176" t="n"/>
      <c r="GN217" s="176" t="n"/>
      <c r="GO217" s="176" t="n"/>
      <c r="GP217" s="176" t="n"/>
      <c r="GQ217" s="176" t="n"/>
      <c r="GR217" s="176" t="n"/>
      <c r="GS217" s="176" t="n"/>
      <c r="GT217" s="176" t="n"/>
      <c r="GU217" s="176" t="n"/>
      <c r="GV217" s="176" t="n"/>
      <c r="GW217" s="176" t="n"/>
      <c r="GX217" s="176" t="n"/>
      <c r="GY217" s="176" t="n"/>
      <c r="GZ217" s="176" t="n"/>
      <c r="HA217" s="176" t="n"/>
      <c r="HB217" s="176" t="n"/>
      <c r="HC217" s="176" t="n"/>
      <c r="HD217" s="176" t="n"/>
      <c r="HE217" s="176" t="n"/>
      <c r="HF217" s="176" t="n"/>
      <c r="HG217" s="176" t="n"/>
      <c r="HH217" s="176" t="n"/>
      <c r="HI217" s="176" t="n"/>
      <c r="HJ217" s="176" t="n"/>
      <c r="HK217" s="176" t="n"/>
      <c r="HL217" s="176" t="n"/>
      <c r="HM217" s="176" t="n"/>
      <c r="HN217" s="176" t="n"/>
      <c r="HO217" s="176" t="n"/>
      <c r="HP217" s="176" t="n"/>
      <c r="HQ217" s="176" t="n"/>
      <c r="HR217" s="176" t="n"/>
      <c r="HS217" s="176" t="n"/>
      <c r="HT217" s="176" t="n"/>
      <c r="HU217" s="176" t="n"/>
      <c r="HV217" s="176" t="n"/>
      <c r="HW217" s="176" t="n"/>
      <c r="HX217" s="176" t="n"/>
      <c r="HY217" s="176" t="n"/>
      <c r="HZ217" s="176" t="n"/>
      <c r="IA217" s="176" t="n"/>
      <c r="IB217" s="176" t="n"/>
      <c r="IC217" s="176" t="n"/>
      <c r="ID217" s="176" t="n"/>
    </row>
    <row r="218" ht="18.75" customHeight="1">
      <c r="A218" s="176" t="n"/>
      <c r="B218" s="176" t="n"/>
      <c r="C218" s="176" t="n"/>
      <c r="D218" s="176" t="n"/>
      <c r="E218" s="176" t="n"/>
      <c r="F218" s="176" t="n"/>
      <c r="G218" s="176" t="n"/>
      <c r="H218" s="176" t="n"/>
      <c r="I218" s="176" t="n"/>
      <c r="J218" s="176" t="n"/>
      <c r="K218" s="176" t="n"/>
      <c r="L218" s="176" t="n"/>
      <c r="M218" s="176" t="n"/>
      <c r="N218" s="176" t="n"/>
      <c r="O218" s="176" t="n"/>
      <c r="P218" s="176" t="n"/>
      <c r="Q218" s="176" t="n"/>
      <c r="R218" s="176" t="n"/>
      <c r="S218" s="176" t="n"/>
      <c r="T218" s="181" t="inlineStr">
        <is>
          <t>NOME</t>
        </is>
      </c>
      <c r="U218" s="182" t="n"/>
      <c r="V218" s="182" t="n"/>
      <c r="W218" s="182" t="n"/>
      <c r="X218" s="182" t="n"/>
      <c r="Y218" s="183" t="n"/>
      <c r="Z218" s="176" t="n"/>
      <c r="AA218" s="176" t="n"/>
      <c r="AB218" s="181" t="inlineStr">
        <is>
          <t>NOME</t>
        </is>
      </c>
      <c r="AC218" s="182" t="n"/>
      <c r="AD218" s="182" t="n"/>
      <c r="AE218" s="182" t="n"/>
      <c r="AF218" s="182" t="n"/>
      <c r="AG218" s="183" t="n"/>
      <c r="AH218" s="176" t="n"/>
      <c r="AI218" s="176" t="n"/>
      <c r="AJ218" s="176" t="n"/>
      <c r="AK218" s="176" t="n"/>
      <c r="AL218" s="176" t="n"/>
      <c r="AM218" s="176" t="n"/>
      <c r="AN218" s="176" t="n"/>
      <c r="AO218" s="176" t="n"/>
      <c r="AP218" s="176" t="n"/>
      <c r="AQ218" s="176" t="n"/>
      <c r="AR218" s="176" t="n"/>
      <c r="AS218" s="176" t="n"/>
      <c r="AT218" s="176" t="n"/>
      <c r="AU218" s="176" t="n"/>
      <c r="AV218" s="176" t="n"/>
      <c r="AW218" s="176" t="n"/>
      <c r="AX218" s="176" t="n"/>
      <c r="AY218" s="176" t="n"/>
      <c r="AZ218" s="176" t="n"/>
      <c r="BA218" s="176" t="n"/>
      <c r="BB218" s="176" t="n"/>
      <c r="BC218" s="176" t="n"/>
      <c r="BD218" s="176" t="n"/>
      <c r="BE218" s="176" t="n"/>
      <c r="BF218" s="176" t="n"/>
      <c r="BG218" s="176" t="n"/>
      <c r="BH218" s="176" t="n"/>
      <c r="BI218" s="176" t="n"/>
      <c r="BJ218" s="176" t="n"/>
      <c r="BK218" s="176" t="n"/>
      <c r="BL218" s="176" t="n"/>
      <c r="BM218" s="176" t="n"/>
      <c r="BN218" s="176" t="n"/>
      <c r="BO218" s="176" t="n"/>
      <c r="BP218" s="176" t="n"/>
      <c r="BQ218" s="176" t="n"/>
      <c r="BR218" s="176" t="n"/>
      <c r="BS218" s="176" t="n"/>
      <c r="BT218" s="176" t="n"/>
      <c r="BU218" s="176" t="n"/>
      <c r="BV218" s="176" t="n"/>
      <c r="BW218" s="176" t="n"/>
      <c r="BX218" s="176" t="n"/>
      <c r="BY218" s="176" t="n"/>
      <c r="BZ218" s="176" t="n"/>
      <c r="CA218" s="176" t="n"/>
      <c r="CB218" s="176" t="n"/>
      <c r="CC218" s="176" t="n"/>
      <c r="CD218" s="176" t="n"/>
      <c r="CE218" s="176" t="n"/>
      <c r="CF218" s="176" t="n"/>
      <c r="CG218" s="176" t="n"/>
      <c r="CH218" s="176" t="n"/>
      <c r="CI218" s="176" t="n"/>
      <c r="CJ218" s="176" t="n"/>
      <c r="CK218" s="176" t="n"/>
      <c r="CL218" s="176" t="n"/>
      <c r="CM218" s="176" t="n"/>
      <c r="CN218" s="176" t="n"/>
      <c r="CO218" s="176" t="n"/>
      <c r="CP218" s="176" t="n"/>
      <c r="CQ218" s="176" t="n"/>
      <c r="CR218" s="176" t="n"/>
      <c r="CS218" s="176" t="n"/>
      <c r="CT218" s="176" t="n"/>
      <c r="CU218" s="176" t="n"/>
      <c r="CV218" s="176" t="n"/>
      <c r="CW218" s="176" t="n"/>
      <c r="CX218" s="176" t="n"/>
      <c r="CY218" s="176" t="n"/>
      <c r="CZ218" s="176" t="n"/>
      <c r="DA218" s="176" t="n"/>
      <c r="DB218" s="176" t="n"/>
      <c r="DC218" s="176" t="n"/>
      <c r="DD218" s="176" t="n"/>
      <c r="DE218" s="176" t="n"/>
      <c r="DF218" s="176" t="n"/>
      <c r="DG218" s="176" t="n"/>
      <c r="DH218" s="176" t="n"/>
      <c r="DI218" s="176" t="n"/>
      <c r="DJ218" s="176" t="n"/>
      <c r="DK218" s="176" t="n"/>
      <c r="DL218" s="176" t="n"/>
      <c r="DM218" s="176" t="n"/>
      <c r="DN218" s="176" t="n"/>
      <c r="DO218" s="176" t="n"/>
      <c r="DP218" s="176" t="n"/>
      <c r="DQ218" s="176" t="n"/>
      <c r="DR218" s="181" t="inlineStr">
        <is>
          <t>EFEITO E REQUISITOS</t>
        </is>
      </c>
      <c r="DS218" s="182" t="n"/>
      <c r="DT218" s="182" t="n"/>
      <c r="DU218" s="182" t="n"/>
      <c r="DV218" s="182" t="n"/>
      <c r="DW218" s="183" t="n"/>
      <c r="DX218" s="176" t="n"/>
      <c r="DY218" s="176" t="n"/>
      <c r="DZ218" s="181" t="inlineStr">
        <is>
          <t>EFEITO E REQUISITOS</t>
        </is>
      </c>
      <c r="EA218" s="182" t="n"/>
      <c r="EB218" s="182" t="n"/>
      <c r="EC218" s="182" t="n"/>
      <c r="ED218" s="182" t="n"/>
      <c r="EE218" s="183" t="n"/>
      <c r="EF218" s="176" t="n"/>
      <c r="EG218" s="176" t="n"/>
      <c r="EH218" s="176" t="n"/>
      <c r="EI218" s="176" t="n"/>
      <c r="EJ218" s="176" t="n"/>
      <c r="EK218" s="176" t="n"/>
      <c r="EL218" s="176" t="n"/>
      <c r="EM218" s="176" t="n"/>
      <c r="EN218" s="176" t="n"/>
      <c r="EO218" s="176" t="n"/>
      <c r="EP218" s="176" t="n"/>
      <c r="EQ218" s="176" t="n"/>
      <c r="ER218" s="176" t="n"/>
      <c r="ES218" s="176" t="n"/>
      <c r="ET218" s="176" t="n"/>
      <c r="EU218" s="176" t="n"/>
      <c r="EV218" s="176" t="n"/>
      <c r="EW218" s="176" t="n"/>
      <c r="EX218" s="176" t="n"/>
      <c r="EY218" s="176" t="n"/>
      <c r="EZ218" s="181" t="inlineStr">
        <is>
          <t>ÁREA · P · 0</t>
        </is>
      </c>
      <c r="FA218" s="182" t="n"/>
      <c r="FB218" s="183" t="n"/>
      <c r="FC218" s="185" t="n"/>
      <c r="FD218" s="182" t="n"/>
      <c r="FE218" s="183" t="n"/>
      <c r="FF218" s="176" t="n"/>
      <c r="FG218" s="176" t="n"/>
      <c r="FH218" s="181" t="inlineStr">
        <is>
          <t>ÁREA · P · 0</t>
        </is>
      </c>
      <c r="FI218" s="182" t="n"/>
      <c r="FJ218" s="183" t="n"/>
      <c r="FK218" s="185" t="n"/>
      <c r="FL218" s="182" t="n"/>
      <c r="FM218" s="183" t="n"/>
      <c r="FN218" s="176" t="n"/>
      <c r="FO218" s="176" t="n"/>
      <c r="FP218" s="176" t="n"/>
      <c r="FQ218" s="176" t="n"/>
      <c r="FR218" s="176" t="n"/>
      <c r="FS218" s="176" t="n"/>
      <c r="FT218" s="176" t="n"/>
      <c r="FU218" s="176" t="n"/>
      <c r="FV218" s="176" t="n"/>
      <c r="FW218" s="176" t="n"/>
      <c r="FX218" s="176" t="n"/>
      <c r="FY218" s="176" t="n"/>
      <c r="FZ218" s="176" t="n"/>
      <c r="GA218" s="176" t="n"/>
      <c r="GB218" s="176" t="n"/>
      <c r="GC218" s="176" t="n"/>
      <c r="GD218" s="176" t="n"/>
      <c r="GE218" s="176" t="n"/>
      <c r="GF218" s="176" t="n"/>
      <c r="GG218" s="176" t="n"/>
      <c r="GH218" s="176" t="n"/>
      <c r="GI218" s="176" t="n"/>
      <c r="GJ218" s="176" t="n"/>
      <c r="GK218" s="176" t="n"/>
      <c r="GL218" s="176" t="n"/>
      <c r="GM218" s="176" t="n"/>
      <c r="GN218" s="176" t="n"/>
      <c r="GO218" s="176" t="n"/>
      <c r="GP218" s="176" t="n"/>
      <c r="GQ218" s="176" t="n"/>
      <c r="GR218" s="176" t="n"/>
      <c r="GS218" s="176" t="n"/>
      <c r="GT218" s="176" t="n"/>
      <c r="GU218" s="176" t="n"/>
      <c r="GV218" s="176" t="n"/>
      <c r="GW218" s="176" t="n"/>
      <c r="GX218" s="176" t="n"/>
      <c r="GY218" s="176" t="n"/>
      <c r="GZ218" s="176" t="n"/>
      <c r="HA218" s="176" t="n"/>
      <c r="HB218" s="176" t="n"/>
      <c r="HC218" s="176" t="n"/>
      <c r="HD218" s="176" t="n"/>
      <c r="HE218" s="176" t="n"/>
      <c r="HF218" s="176" t="n"/>
      <c r="HG218" s="176" t="n"/>
      <c r="HH218" s="176" t="n"/>
      <c r="HI218" s="176" t="n"/>
      <c r="HJ218" s="176" t="n"/>
      <c r="HK218" s="176" t="n"/>
      <c r="HL218" s="176" t="n"/>
      <c r="HM218" s="176" t="n"/>
      <c r="HN218" s="176" t="n"/>
      <c r="HO218" s="176" t="n"/>
      <c r="HP218" s="181" t="inlineStr">
        <is>
          <t>REQUISITOS</t>
        </is>
      </c>
      <c r="HQ218" s="182" t="n"/>
      <c r="HR218" s="182" t="n"/>
      <c r="HS218" s="182" t="n"/>
      <c r="HT218" s="182" t="n"/>
      <c r="HU218" s="183" t="n"/>
      <c r="HV218" s="176" t="n"/>
      <c r="HW218" s="176" t="n"/>
      <c r="HX218" s="181" t="inlineStr">
        <is>
          <t>REQUISITOS</t>
        </is>
      </c>
      <c r="HY218" s="182" t="n"/>
      <c r="HZ218" s="182" t="n"/>
      <c r="IA218" s="182" t="n"/>
      <c r="IB218" s="182" t="n"/>
      <c r="IC218" s="183" t="n"/>
      <c r="ID218" s="176" t="n"/>
    </row>
    <row r="219" ht="18.75" customHeight="1">
      <c r="A219" s="176" t="n"/>
      <c r="B219" s="176" t="n"/>
      <c r="C219" s="176" t="n"/>
      <c r="D219" s="176" t="n"/>
      <c r="E219" s="176" t="n"/>
      <c r="F219" s="176" t="n"/>
      <c r="G219" s="176" t="n"/>
      <c r="H219" s="176" t="n"/>
      <c r="I219" s="176" t="n"/>
      <c r="J219" s="176" t="n"/>
      <c r="K219" s="176" t="n"/>
      <c r="L219" s="176" t="n"/>
      <c r="M219" s="176" t="n"/>
      <c r="N219" s="176" t="n"/>
      <c r="O219" s="176" t="n"/>
      <c r="P219" s="176" t="n"/>
      <c r="Q219" s="176" t="n"/>
      <c r="R219" s="176" t="n"/>
      <c r="S219" s="176" t="n"/>
      <c r="T219" s="185" t="n"/>
      <c r="U219" s="182" t="n"/>
      <c r="V219" s="182" t="n"/>
      <c r="W219" s="182" t="n"/>
      <c r="X219" s="182" t="n"/>
      <c r="Y219" s="183" t="n"/>
      <c r="Z219" s="176" t="n"/>
      <c r="AA219" s="176" t="n"/>
      <c r="AB219" s="185" t="n"/>
      <c r="AC219" s="182" t="n"/>
      <c r="AD219" s="182" t="n"/>
      <c r="AE219" s="182" t="n"/>
      <c r="AF219" s="182" t="n"/>
      <c r="AG219" s="183" t="n"/>
      <c r="AH219" s="176" t="n"/>
      <c r="AI219" s="176" t="n"/>
      <c r="AJ219" s="176" t="n"/>
      <c r="AK219" s="176" t="n"/>
      <c r="AL219" s="176" t="n"/>
      <c r="AM219" s="176" t="n"/>
      <c r="AN219" s="176" t="n"/>
      <c r="AO219" s="176" t="n"/>
      <c r="AP219" s="176" t="n"/>
      <c r="AQ219" s="176" t="n"/>
      <c r="AR219" s="176" t="n"/>
      <c r="AS219" s="176" t="n"/>
      <c r="AT219" s="176" t="n"/>
      <c r="AU219" s="176" t="n"/>
      <c r="AV219" s="176" t="n"/>
      <c r="AW219" s="176" t="n"/>
      <c r="AX219" s="176" t="n"/>
      <c r="AY219" s="176" t="n"/>
      <c r="AZ219" s="176" t="n"/>
      <c r="BA219" s="176" t="n"/>
      <c r="BB219" s="176" t="n"/>
      <c r="BC219" s="176" t="n"/>
      <c r="BD219" s="176" t="n"/>
      <c r="BE219" s="176" t="n"/>
      <c r="BF219" s="176" t="n"/>
      <c r="BG219" s="176" t="n"/>
      <c r="BH219" s="176" t="n"/>
      <c r="BI219" s="176" t="n"/>
      <c r="BJ219" s="176" t="n"/>
      <c r="BK219" s="176" t="n"/>
      <c r="BL219" s="176" t="n"/>
      <c r="BM219" s="176" t="n"/>
      <c r="BN219" s="176" t="n"/>
      <c r="BO219" s="176" t="n"/>
      <c r="BP219" s="176" t="n"/>
      <c r="BQ219" s="176" t="n"/>
      <c r="BR219" s="176" t="n"/>
      <c r="BS219" s="176" t="n"/>
      <c r="BT219" s="176" t="n"/>
      <c r="BU219" s="176" t="n"/>
      <c r="BV219" s="176" t="n"/>
      <c r="BW219" s="176" t="n"/>
      <c r="BX219" s="176" t="n"/>
      <c r="BY219" s="176" t="n"/>
      <c r="BZ219" s="176" t="n"/>
      <c r="CA219" s="176" t="n"/>
      <c r="CB219" s="176" t="n"/>
      <c r="CC219" s="176" t="n"/>
      <c r="CD219" s="176" t="n"/>
      <c r="CE219" s="176" t="n"/>
      <c r="CF219" s="176" t="n"/>
      <c r="CG219" s="176" t="n"/>
      <c r="CH219" s="176" t="n"/>
      <c r="CI219" s="176" t="n"/>
      <c r="CJ219" s="176" t="n"/>
      <c r="CK219" s="176" t="n"/>
      <c r="CL219" s="176" t="n"/>
      <c r="CM219" s="176" t="n"/>
      <c r="CN219" s="176" t="n"/>
      <c r="CO219" s="176" t="n"/>
      <c r="CP219" s="176" t="n"/>
      <c r="CQ219" s="176" t="n"/>
      <c r="CR219" s="176" t="n"/>
      <c r="CS219" s="176" t="n"/>
      <c r="CT219" s="176" t="n"/>
      <c r="CU219" s="176" t="n"/>
      <c r="CV219" s="176" t="n"/>
      <c r="CW219" s="176" t="n"/>
      <c r="CX219" s="176" t="n"/>
      <c r="CY219" s="176" t="n"/>
      <c r="CZ219" s="176" t="n"/>
      <c r="DA219" s="179" t="inlineStr">
        <is>
          <t>MELHORIA · 17</t>
        </is>
      </c>
      <c r="DG219" s="176" t="n"/>
      <c r="DH219" s="176" t="n"/>
      <c r="DI219" s="179" t="inlineStr">
        <is>
          <t>MELHORIA · 18</t>
        </is>
      </c>
      <c r="DO219" s="176" t="n"/>
      <c r="DP219" s="176" t="n"/>
      <c r="DQ219" s="176" t="n"/>
      <c r="DR219" s="192" t="n"/>
      <c r="DS219" s="187" t="n"/>
      <c r="DT219" s="187" t="n"/>
      <c r="DU219" s="187" t="n"/>
      <c r="DV219" s="187" t="n"/>
      <c r="DW219" s="188" t="n"/>
      <c r="DX219" s="176" t="n"/>
      <c r="DY219" s="176" t="n"/>
      <c r="DZ219" s="192" t="n"/>
      <c r="EA219" s="187" t="n"/>
      <c r="EB219" s="187" t="n"/>
      <c r="EC219" s="187" t="n"/>
      <c r="ED219" s="187" t="n"/>
      <c r="EE219" s="188" t="n"/>
      <c r="EF219" s="176" t="n"/>
      <c r="EG219" s="176" t="n"/>
      <c r="EH219" s="176" t="n"/>
      <c r="EI219" s="176" t="n"/>
      <c r="EJ219" s="176" t="n"/>
      <c r="EK219" s="176" t="n"/>
      <c r="EL219" s="176" t="n"/>
      <c r="EM219" s="176" t="n"/>
      <c r="EN219" s="176" t="n"/>
      <c r="EO219" s="176" t="n"/>
      <c r="EP219" s="176" t="n"/>
      <c r="EQ219" s="176" t="n"/>
      <c r="ER219" s="176" t="n"/>
      <c r="ES219" s="176" t="n"/>
      <c r="ET219" s="176" t="n"/>
      <c r="EU219" s="176" t="n"/>
      <c r="EV219" s="176" t="n"/>
      <c r="EW219" s="176" t="n"/>
      <c r="EX219" s="176" t="n"/>
      <c r="EY219" s="176" t="n"/>
      <c r="EZ219" s="181" t="inlineStr">
        <is>
          <t>ÁREA · P · 1 a 5</t>
        </is>
      </c>
      <c r="FA219" s="182" t="n"/>
      <c r="FB219" s="183" t="n"/>
      <c r="FC219" s="185" t="n"/>
      <c r="FD219" s="182" t="n"/>
      <c r="FE219" s="183" t="n"/>
      <c r="FF219" s="176" t="n"/>
      <c r="FG219" s="176" t="n"/>
      <c r="FH219" s="181" t="inlineStr">
        <is>
          <t>ÁREA · P · 1 a 5</t>
        </is>
      </c>
      <c r="FI219" s="182" t="n"/>
      <c r="FJ219" s="183" t="n"/>
      <c r="FK219" s="185" t="n"/>
      <c r="FL219" s="182" t="n"/>
      <c r="FM219" s="183" t="n"/>
      <c r="FN219" s="176" t="n"/>
      <c r="FO219" s="176" t="n"/>
      <c r="FP219" s="176" t="n"/>
      <c r="FQ219" s="176" t="n"/>
      <c r="FR219" s="176" t="n"/>
      <c r="FS219" s="176" t="n"/>
      <c r="FT219" s="176" t="n"/>
      <c r="FU219" s="176" t="n"/>
      <c r="FV219" s="176" t="n"/>
      <c r="FW219" s="176" t="n"/>
      <c r="FX219" s="176" t="n"/>
      <c r="FY219" s="176" t="n"/>
      <c r="FZ219" s="176" t="n"/>
      <c r="GA219" s="176" t="n"/>
      <c r="GB219" s="176" t="n"/>
      <c r="GC219" s="176" t="n"/>
      <c r="GD219" s="176" t="n"/>
      <c r="GE219" s="176" t="n"/>
      <c r="GF219" s="176" t="n"/>
      <c r="GG219" s="176" t="n"/>
      <c r="GH219" s="176" t="n"/>
      <c r="GI219" s="176" t="n"/>
      <c r="GJ219" s="176" t="n"/>
      <c r="GK219" s="176" t="n"/>
      <c r="GL219" s="176" t="n"/>
      <c r="GM219" s="176" t="n"/>
      <c r="GN219" s="176" t="n"/>
      <c r="GO219" s="176" t="n"/>
      <c r="GP219" s="176" t="n"/>
      <c r="GQ219" s="176" t="n"/>
      <c r="GR219" s="176" t="n"/>
      <c r="GS219" s="176" t="n"/>
      <c r="GT219" s="176" t="n"/>
      <c r="GU219" s="176" t="n"/>
      <c r="GV219" s="176" t="n"/>
      <c r="GW219" s="176" t="n"/>
      <c r="GX219" s="176" t="n"/>
      <c r="GY219" s="176" t="n"/>
      <c r="GZ219" s="176" t="n"/>
      <c r="HA219" s="176" t="n"/>
      <c r="HB219" s="176" t="n"/>
      <c r="HC219" s="176" t="n"/>
      <c r="HD219" s="176" t="n"/>
      <c r="HE219" s="176" t="n"/>
      <c r="HF219" s="176" t="n"/>
      <c r="HG219" s="176" t="n"/>
      <c r="HH219" s="176" t="n"/>
      <c r="HI219" s="176" t="n"/>
      <c r="HJ219" s="176" t="n"/>
      <c r="HK219" s="176" t="n"/>
      <c r="HL219" s="176" t="n"/>
      <c r="HM219" s="176" t="n"/>
      <c r="HN219" s="176" t="n"/>
      <c r="HO219" s="176" t="n"/>
      <c r="HP219" s="192" t="n"/>
      <c r="HQ219" s="187" t="n"/>
      <c r="HR219" s="187" t="n"/>
      <c r="HS219" s="187" t="n"/>
      <c r="HT219" s="187" t="n"/>
      <c r="HU219" s="188" t="n"/>
      <c r="HV219" s="176" t="n"/>
      <c r="HW219" s="176" t="n"/>
      <c r="HX219" s="192" t="n"/>
      <c r="HY219" s="187" t="n"/>
      <c r="HZ219" s="187" t="n"/>
      <c r="IA219" s="187" t="n"/>
      <c r="IB219" s="187" t="n"/>
      <c r="IC219" s="188" t="n"/>
      <c r="ID219" s="176" t="n"/>
    </row>
    <row r="220" ht="18.75" customHeight="1">
      <c r="A220" s="176" t="n"/>
      <c r="B220" s="176" t="n"/>
      <c r="C220" s="176" t="n"/>
      <c r="D220" s="176" t="n"/>
      <c r="E220" s="176" t="n"/>
      <c r="F220" s="176" t="n"/>
      <c r="G220" s="176" t="n"/>
      <c r="H220" s="176" t="n"/>
      <c r="I220" s="176" t="n"/>
      <c r="J220" s="176" t="n"/>
      <c r="K220" s="176" t="n"/>
      <c r="L220" s="176" t="n"/>
      <c r="M220" s="176" t="n"/>
      <c r="N220" s="176" t="n"/>
      <c r="O220" s="176" t="n"/>
      <c r="P220" s="176" t="n"/>
      <c r="Q220" s="176" t="n"/>
      <c r="R220" s="176" t="n"/>
      <c r="S220" s="176" t="n"/>
      <c r="T220" s="181">
        <f>SWITCH('CONFIGURAÇÃO'!$T$217,"Origem","PERÍCIA 1","Marcante","ORIGEM","Menor","ORIGEM","Arma","CATEGORIA","Escudo","","Uniforme","GRAU MÍNIMO","Item comum","","Ferramenta amaldiçoada","BASE","")</f>
        <v/>
      </c>
      <c r="U220" s="183" t="n"/>
      <c r="V220" s="185" t="n"/>
      <c r="W220" s="182" t="n"/>
      <c r="X220" s="182" t="n"/>
      <c r="Y220" s="183" t="n"/>
      <c r="Z220" s="176" t="n"/>
      <c r="AA220" s="176" t="n"/>
      <c r="AB220" s="181">
        <f>SWITCH('CONFIGURAÇÃO'!$AB$217,"Origem","PERÍCIA 1","Marcante","ORIGEM","Menor","ORIGEM","Arma","CATEGORIA","Escudo","","Uniforme","GRAU MÍNIMO","Item comum","","Ferramenta amaldiçoada","BASE","")</f>
        <v/>
      </c>
      <c r="AC220" s="183" t="n"/>
      <c r="AD220" s="185" t="n"/>
      <c r="AE220" s="182" t="n"/>
      <c r="AF220" s="182" t="n"/>
      <c r="AG220" s="183" t="n"/>
      <c r="AH220" s="176" t="n"/>
      <c r="AI220" s="176" t="n"/>
      <c r="AJ220" s="176" t="n"/>
      <c r="AK220" s="176" t="n"/>
      <c r="AL220" s="176" t="n"/>
      <c r="AM220" s="176" t="n"/>
      <c r="AN220" s="176" t="n"/>
      <c r="AO220" s="176" t="n"/>
      <c r="AP220" s="176" t="n"/>
      <c r="AQ220" s="176" t="n"/>
      <c r="AR220" s="176" t="n"/>
      <c r="AS220" s="176" t="n"/>
      <c r="AT220" s="176" t="n"/>
      <c r="AU220" s="176" t="n"/>
      <c r="AV220" s="176" t="n"/>
      <c r="AW220" s="176" t="n"/>
      <c r="AX220" s="176" t="n"/>
      <c r="AY220" s="176" t="n"/>
      <c r="AZ220" s="176" t="n"/>
      <c r="BA220" s="176" t="n"/>
      <c r="BB220" s="176" t="n"/>
      <c r="BC220" s="176" t="n"/>
      <c r="BD220" s="176" t="n"/>
      <c r="BE220" s="176" t="n"/>
      <c r="BF220" s="176" t="n"/>
      <c r="BG220" s="176" t="n"/>
      <c r="BH220" s="176" t="n"/>
      <c r="BI220" s="176" t="n"/>
      <c r="BJ220" s="176" t="n"/>
      <c r="BK220" s="176" t="n"/>
      <c r="BL220" s="176" t="n"/>
      <c r="BM220" s="176" t="n"/>
      <c r="BN220" s="176" t="n"/>
      <c r="BO220" s="176" t="n"/>
      <c r="BP220" s="176" t="n"/>
      <c r="BQ220" s="176" t="n"/>
      <c r="BR220" s="176" t="n"/>
      <c r="BS220" s="176" t="n"/>
      <c r="BT220" s="176" t="n"/>
      <c r="BU220" s="176" t="n"/>
      <c r="BV220" s="176" t="n"/>
      <c r="BW220" s="176" t="n"/>
      <c r="BX220" s="176" t="n"/>
      <c r="BY220" s="176" t="n"/>
      <c r="BZ220" s="176" t="n"/>
      <c r="CA220" s="176" t="n"/>
      <c r="CB220" s="176" t="n"/>
      <c r="CC220" s="176" t="n"/>
      <c r="CD220" s="176" t="n"/>
      <c r="CE220" s="176" t="n"/>
      <c r="CF220" s="176" t="n"/>
      <c r="CG220" s="176" t="n"/>
      <c r="CH220" s="176" t="n"/>
      <c r="CI220" s="176" t="n"/>
      <c r="CJ220" s="176" t="n"/>
      <c r="CK220" s="176" t="n"/>
      <c r="CL220" s="176" t="n"/>
      <c r="CM220" s="176" t="n"/>
      <c r="CN220" s="176" t="n"/>
      <c r="CO220" s="176" t="n"/>
      <c r="CP220" s="176" t="n"/>
      <c r="CQ220" s="176" t="n"/>
      <c r="CR220" s="176" t="n"/>
      <c r="CS220" s="176" t="n"/>
      <c r="CT220" s="176" t="n"/>
      <c r="CU220" s="176" t="n"/>
      <c r="CV220" s="176" t="n"/>
      <c r="CW220" s="176" t="n"/>
      <c r="CX220" s="176" t="n"/>
      <c r="CY220" s="176" t="n"/>
      <c r="CZ220" s="176" t="n"/>
      <c r="DA220" s="181" t="inlineStr">
        <is>
          <t>TIPO</t>
        </is>
      </c>
      <c r="DB220" s="182" t="n"/>
      <c r="DC220" s="182" t="n"/>
      <c r="DD220" s="183" t="n"/>
      <c r="DE220" s="181" t="inlineStr">
        <is>
          <t>MESTRE VIU</t>
        </is>
      </c>
      <c r="DF220" s="183" t="n"/>
      <c r="DG220" s="176" t="n"/>
      <c r="DH220" s="176" t="n"/>
      <c r="DI220" s="181" t="inlineStr">
        <is>
          <t>TIPO</t>
        </is>
      </c>
      <c r="DJ220" s="182" t="n"/>
      <c r="DK220" s="182" t="n"/>
      <c r="DL220" s="183" t="n"/>
      <c r="DM220" s="181" t="inlineStr">
        <is>
          <t>MESTRE VIU</t>
        </is>
      </c>
      <c r="DN220" s="183" t="n"/>
      <c r="DO220" s="176" t="n"/>
      <c r="DP220" s="176" t="n"/>
      <c r="DQ220" s="176" t="n"/>
      <c r="DR220" s="193" t="n"/>
      <c r="DW220" s="194" t="n"/>
      <c r="DX220" s="176" t="n"/>
      <c r="DY220" s="176" t="n"/>
      <c r="DZ220" s="193" t="n"/>
      <c r="EE220" s="194" t="n"/>
      <c r="EF220" s="176" t="n"/>
      <c r="EG220" s="176" t="n"/>
      <c r="EH220" s="176" t="n"/>
      <c r="EI220" s="176" t="n"/>
      <c r="EJ220" s="176" t="n"/>
      <c r="EK220" s="176" t="n"/>
      <c r="EL220" s="176" t="n"/>
      <c r="EM220" s="176" t="n"/>
      <c r="EN220" s="176" t="n"/>
      <c r="EO220" s="176" t="n"/>
      <c r="EP220" s="176" t="n"/>
      <c r="EQ220" s="176" t="n"/>
      <c r="ER220" s="176" t="n"/>
      <c r="ES220" s="176" t="n"/>
      <c r="ET220" s="176" t="n"/>
      <c r="EU220" s="176" t="n"/>
      <c r="EV220" s="176" t="n"/>
      <c r="EW220" s="176" t="n"/>
      <c r="EX220" s="176" t="n"/>
      <c r="EY220" s="176" t="n"/>
      <c r="EZ220" s="181" t="inlineStr">
        <is>
          <t>ÁREA · P · 6 e 7</t>
        </is>
      </c>
      <c r="FA220" s="182" t="n"/>
      <c r="FB220" s="183" t="n"/>
      <c r="FC220" s="185" t="n"/>
      <c r="FD220" s="182" t="n"/>
      <c r="FE220" s="183" t="n"/>
      <c r="FF220" s="176" t="n"/>
      <c r="FG220" s="176" t="n"/>
      <c r="FH220" s="181" t="inlineStr">
        <is>
          <t>ÁREA · P · 6 e 7</t>
        </is>
      </c>
      <c r="FI220" s="182" t="n"/>
      <c r="FJ220" s="183" t="n"/>
      <c r="FK220" s="185" t="n"/>
      <c r="FL220" s="182" t="n"/>
      <c r="FM220" s="183" t="n"/>
      <c r="FN220" s="176" t="n"/>
      <c r="FO220" s="176" t="n"/>
      <c r="FP220" s="176" t="n"/>
      <c r="FQ220" s="176" t="n"/>
      <c r="FR220" s="176" t="n"/>
      <c r="FS220" s="176" t="n"/>
      <c r="FT220" s="176" t="n"/>
      <c r="FU220" s="176" t="n"/>
      <c r="FV220" s="176" t="n"/>
      <c r="FW220" s="176" t="n"/>
      <c r="FX220" s="176" t="n"/>
      <c r="FY220" s="176" t="n"/>
      <c r="FZ220" s="176" t="n"/>
      <c r="GA220" s="176" t="n"/>
      <c r="GB220" s="176" t="n"/>
      <c r="GC220" s="176" t="n"/>
      <c r="GD220" s="176" t="n"/>
      <c r="GE220" s="176" t="n"/>
      <c r="GF220" s="176" t="n"/>
      <c r="GG220" s="176" t="n"/>
      <c r="GH220" s="176" t="n"/>
      <c r="GI220" s="176" t="n"/>
      <c r="GJ220" s="176" t="n"/>
      <c r="GK220" s="176" t="n"/>
      <c r="GL220" s="176" t="n"/>
      <c r="GM220" s="176" t="n"/>
      <c r="GN220" s="176" t="n"/>
      <c r="GO220" s="176" t="n"/>
      <c r="GP220" s="176" t="n"/>
      <c r="GQ220" s="176" t="n"/>
      <c r="GR220" s="176" t="n"/>
      <c r="GS220" s="176" t="n"/>
      <c r="GT220" s="176" t="n"/>
      <c r="GU220" s="176" t="n"/>
      <c r="GV220" s="176" t="n"/>
      <c r="GW220" s="176" t="n"/>
      <c r="GX220" s="176" t="n"/>
      <c r="GY220" s="176" t="n"/>
      <c r="GZ220" s="176" t="n"/>
      <c r="HA220" s="176" t="n"/>
      <c r="HB220" s="176" t="n"/>
      <c r="HC220" s="176" t="n"/>
      <c r="HD220" s="176" t="n"/>
      <c r="HE220" s="176" t="n"/>
      <c r="HF220" s="176" t="n"/>
      <c r="HG220" s="176" t="n"/>
      <c r="HH220" s="176" t="n"/>
      <c r="HI220" s="176" t="n"/>
      <c r="HJ220" s="176" t="n"/>
      <c r="HK220" s="176" t="n"/>
      <c r="HL220" s="176" t="n"/>
      <c r="HM220" s="176" t="n"/>
      <c r="HN220" s="176" t="n"/>
      <c r="HO220" s="176" t="n"/>
      <c r="HP220" s="193" t="n"/>
      <c r="HU220" s="194" t="n"/>
      <c r="HV220" s="176" t="n"/>
      <c r="HW220" s="176" t="n"/>
      <c r="HX220" s="193" t="n"/>
      <c r="IC220" s="194" t="n"/>
      <c r="ID220" s="176" t="n"/>
    </row>
    <row r="221" ht="18.75" customHeight="1">
      <c r="A221" s="176" t="n"/>
      <c r="B221" s="176" t="n"/>
      <c r="C221" s="176" t="n"/>
      <c r="D221" s="176" t="n"/>
      <c r="E221" s="176" t="n"/>
      <c r="F221" s="176" t="n"/>
      <c r="G221" s="176" t="n"/>
      <c r="H221" s="176" t="n"/>
      <c r="I221" s="176" t="n"/>
      <c r="J221" s="176" t="n"/>
      <c r="K221" s="176" t="n"/>
      <c r="L221" s="176" t="n"/>
      <c r="M221" s="176" t="n"/>
      <c r="N221" s="176" t="n"/>
      <c r="O221" s="176" t="n"/>
      <c r="P221" s="176" t="n"/>
      <c r="Q221" s="176" t="n"/>
      <c r="R221" s="176" t="n"/>
      <c r="S221" s="176" t="n"/>
      <c r="T221" s="181">
        <f>SWITCH('CONFIGURAÇÃO'!$T$217,"Origem","PERÍCIA 2","Marcante","","Menor","EXIGE MARCANTE","Arma","MÃO","Escudo","","Uniforme","","Item comum","","Ferramenta amaldiçoada","GRAU","")</f>
        <v/>
      </c>
      <c r="U221" s="183" t="n"/>
      <c r="V221" s="185" t="n"/>
      <c r="W221" s="182" t="n"/>
      <c r="X221" s="182" t="n"/>
      <c r="Y221" s="183" t="n"/>
      <c r="Z221" s="176" t="n"/>
      <c r="AA221" s="176" t="n"/>
      <c r="AB221" s="181">
        <f>SWITCH('CONFIGURAÇÃO'!$AB$217,"Origem","PERÍCIA 2","Marcante","","Menor","EXIGE MARCANTE","Arma","MÃO","Escudo","","Uniforme","","Item comum","","Ferramenta amaldiçoada","GRAU","")</f>
        <v/>
      </c>
      <c r="AC221" s="183" t="n"/>
      <c r="AD221" s="185" t="n"/>
      <c r="AE221" s="182" t="n"/>
      <c r="AF221" s="182" t="n"/>
      <c r="AG221" s="183" t="n"/>
      <c r="AH221" s="176" t="n"/>
      <c r="AI221" s="176" t="n"/>
      <c r="AJ221" s="176" t="n"/>
      <c r="AK221" s="176" t="n"/>
      <c r="AL221" s="176" t="n"/>
      <c r="AM221" s="176" t="n"/>
      <c r="AN221" s="176" t="n"/>
      <c r="AO221" s="176" t="n"/>
      <c r="AP221" s="176" t="n"/>
      <c r="AQ221" s="176" t="n"/>
      <c r="AR221" s="176" t="n"/>
      <c r="AS221" s="176" t="n"/>
      <c r="AT221" s="176" t="n"/>
      <c r="AU221" s="176" t="n"/>
      <c r="AV221" s="176" t="n"/>
      <c r="AW221" s="176" t="n"/>
      <c r="AX221" s="176" t="n"/>
      <c r="AY221" s="176" t="n"/>
      <c r="AZ221" s="176" t="n"/>
      <c r="BA221" s="176" t="n"/>
      <c r="BB221" s="176" t="n"/>
      <c r="BC221" s="176" t="n"/>
      <c r="BD221" s="176" t="n"/>
      <c r="BE221" s="176" t="n"/>
      <c r="BF221" s="176" t="n"/>
      <c r="BG221" s="176" t="n"/>
      <c r="BH221" s="176" t="n"/>
      <c r="BI221" s="176" t="n"/>
      <c r="BJ221" s="176" t="n"/>
      <c r="BK221" s="176" t="n"/>
      <c r="BL221" s="176" t="n"/>
      <c r="BM221" s="176" t="n"/>
      <c r="BN221" s="176" t="n"/>
      <c r="BO221" s="176" t="n"/>
      <c r="BP221" s="176" t="n"/>
      <c r="BQ221" s="176" t="n"/>
      <c r="BR221" s="176" t="n"/>
      <c r="BS221" s="176" t="n"/>
      <c r="BT221" s="176" t="n"/>
      <c r="BU221" s="176" t="n"/>
      <c r="BV221" s="176" t="n"/>
      <c r="BW221" s="176" t="n"/>
      <c r="BX221" s="176" t="n"/>
      <c r="BY221" s="176" t="n"/>
      <c r="BZ221" s="176" t="n"/>
      <c r="CA221" s="176" t="n"/>
      <c r="CB221" s="176" t="n"/>
      <c r="CC221" s="176" t="n"/>
      <c r="CD221" s="176" t="n"/>
      <c r="CE221" s="176" t="n"/>
      <c r="CF221" s="176" t="n"/>
      <c r="CG221" s="176" t="n"/>
      <c r="CH221" s="176" t="n"/>
      <c r="CI221" s="176" t="n"/>
      <c r="CJ221" s="176" t="n"/>
      <c r="CK221" s="176" t="n"/>
      <c r="CL221" s="176" t="n"/>
      <c r="CM221" s="176" t="n"/>
      <c r="CN221" s="176" t="n"/>
      <c r="CO221" s="176" t="n"/>
      <c r="CP221" s="176" t="n"/>
      <c r="CQ221" s="176" t="n"/>
      <c r="CR221" s="176" t="n"/>
      <c r="CS221" s="176" t="n"/>
      <c r="CT221" s="176" t="n"/>
      <c r="CU221" s="176" t="n"/>
      <c r="CV221" s="176" t="n"/>
      <c r="CW221" s="176" t="n"/>
      <c r="CX221" s="176" t="n"/>
      <c r="CY221" s="176" t="n"/>
      <c r="CZ221" s="176" t="n"/>
      <c r="DA221" s="185" t="inlineStr">
        <is>
          <t>Melhoria</t>
        </is>
      </c>
      <c r="DB221" s="182" t="n"/>
      <c r="DC221" s="182" t="n"/>
      <c r="DD221" s="183" t="n"/>
      <c r="DE221" s="184" t="b">
        <v>0</v>
      </c>
      <c r="DF221" s="183" t="n"/>
      <c r="DG221" s="176" t="n"/>
      <c r="DH221" s="176" t="n"/>
      <c r="DI221" s="185" t="inlineStr">
        <is>
          <t>Melhoria</t>
        </is>
      </c>
      <c r="DJ221" s="182" t="n"/>
      <c r="DK221" s="182" t="n"/>
      <c r="DL221" s="183" t="n"/>
      <c r="DM221" s="184" t="b">
        <v>0</v>
      </c>
      <c r="DN221" s="183" t="n"/>
      <c r="DO221" s="176" t="n"/>
      <c r="DP221" s="176" t="n"/>
      <c r="DQ221" s="176" t="n"/>
      <c r="DR221" s="193" t="n"/>
      <c r="DW221" s="194" t="n"/>
      <c r="DX221" s="176" t="n"/>
      <c r="DY221" s="176" t="n"/>
      <c r="DZ221" s="193" t="n"/>
      <c r="EE221" s="194" t="n"/>
      <c r="EF221" s="176" t="n"/>
      <c r="EG221" s="176" t="n"/>
      <c r="EH221" s="176" t="n"/>
      <c r="EI221" s="176" t="n"/>
      <c r="EJ221" s="176" t="n"/>
      <c r="EK221" s="176" t="n"/>
      <c r="EL221" s="176" t="n"/>
      <c r="EM221" s="176" t="n"/>
      <c r="EN221" s="176" t="n"/>
      <c r="EO221" s="176" t="n"/>
      <c r="EP221" s="176" t="n"/>
      <c r="EQ221" s="176" t="n"/>
      <c r="ER221" s="176" t="n"/>
      <c r="ES221" s="176" t="n"/>
      <c r="ET221" s="176" t="n"/>
      <c r="EU221" s="176" t="n"/>
      <c r="EV221" s="176" t="n"/>
      <c r="EW221" s="176" t="n"/>
      <c r="EX221" s="176" t="n"/>
      <c r="EY221" s="176" t="n"/>
      <c r="EZ221" s="181" t="inlineStr">
        <is>
          <t>ÁREA · E · 0</t>
        </is>
      </c>
      <c r="FA221" s="182" t="n"/>
      <c r="FB221" s="183" t="n"/>
      <c r="FC221" s="185" t="n"/>
      <c r="FD221" s="182" t="n"/>
      <c r="FE221" s="183" t="n"/>
      <c r="FF221" s="176" t="n"/>
      <c r="FG221" s="176" t="n"/>
      <c r="FH221" s="181" t="inlineStr">
        <is>
          <t>ÁREA · E · 0</t>
        </is>
      </c>
      <c r="FI221" s="182" t="n"/>
      <c r="FJ221" s="183" t="n"/>
      <c r="FK221" s="185" t="n"/>
      <c r="FL221" s="182" t="n"/>
      <c r="FM221" s="183" t="n"/>
      <c r="FN221" s="176" t="n"/>
      <c r="FO221" s="176" t="n"/>
      <c r="FP221" s="176" t="n"/>
      <c r="FQ221" s="176" t="n"/>
      <c r="FR221" s="176" t="n"/>
      <c r="FS221" s="176" t="n"/>
      <c r="FT221" s="176" t="n"/>
      <c r="FU221" s="176" t="n"/>
      <c r="FV221" s="176" t="n"/>
      <c r="FW221" s="176" t="n"/>
      <c r="FX221" s="176" t="n"/>
      <c r="FY221" s="176" t="n"/>
      <c r="FZ221" s="176" t="n"/>
      <c r="GA221" s="176" t="n"/>
      <c r="GB221" s="176" t="n"/>
      <c r="GC221" s="176" t="n"/>
      <c r="GD221" s="176" t="n"/>
      <c r="GE221" s="176" t="n"/>
      <c r="GF221" s="176" t="n"/>
      <c r="GG221" s="176" t="n"/>
      <c r="GH221" s="176" t="n"/>
      <c r="GI221" s="176" t="n"/>
      <c r="GJ221" s="176" t="n"/>
      <c r="GK221" s="176" t="n"/>
      <c r="GL221" s="176" t="n"/>
      <c r="GM221" s="176" t="n"/>
      <c r="GN221" s="176" t="n"/>
      <c r="GO221" s="176" t="n"/>
      <c r="GP221" s="176" t="n"/>
      <c r="GQ221" s="176" t="n"/>
      <c r="GR221" s="176" t="n"/>
      <c r="GS221" s="176" t="n"/>
      <c r="GT221" s="176" t="n"/>
      <c r="GU221" s="176" t="n"/>
      <c r="GV221" s="176" t="n"/>
      <c r="GW221" s="176" t="n"/>
      <c r="GX221" s="176" t="n"/>
      <c r="GY221" s="176" t="n"/>
      <c r="GZ221" s="176" t="n"/>
      <c r="HA221" s="176" t="n"/>
      <c r="HB221" s="176" t="n"/>
      <c r="HC221" s="176" t="n"/>
      <c r="HD221" s="176" t="n"/>
      <c r="HE221" s="176" t="n"/>
      <c r="HF221" s="176" t="n"/>
      <c r="HG221" s="176" t="n"/>
      <c r="HH221" s="176" t="n"/>
      <c r="HI221" s="176" t="n"/>
      <c r="HJ221" s="176" t="n"/>
      <c r="HK221" s="176" t="n"/>
      <c r="HL221" s="176" t="n"/>
      <c r="HM221" s="176" t="n"/>
      <c r="HN221" s="176" t="n"/>
      <c r="HO221" s="176" t="n"/>
      <c r="HP221" s="189" t="n"/>
      <c r="HQ221" s="190" t="n"/>
      <c r="HR221" s="190" t="n"/>
      <c r="HS221" s="190" t="n"/>
      <c r="HT221" s="190" t="n"/>
      <c r="HU221" s="191" t="n"/>
      <c r="HV221" s="176" t="n"/>
      <c r="HW221" s="176" t="n"/>
      <c r="HX221" s="189" t="n"/>
      <c r="HY221" s="190" t="n"/>
      <c r="HZ221" s="190" t="n"/>
      <c r="IA221" s="190" t="n"/>
      <c r="IB221" s="190" t="n"/>
      <c r="IC221" s="191" t="n"/>
      <c r="ID221" s="176" t="n"/>
    </row>
    <row r="222" ht="18.75" customHeight="1">
      <c r="A222" s="176" t="n"/>
      <c r="B222" s="176" t="n"/>
      <c r="C222" s="176" t="n"/>
      <c r="D222" s="176" t="n"/>
      <c r="E222" s="176" t="n"/>
      <c r="F222" s="176" t="n"/>
      <c r="G222" s="176" t="n"/>
      <c r="H222" s="176" t="n"/>
      <c r="I222" s="176" t="n"/>
      <c r="J222" s="176" t="n"/>
      <c r="K222" s="176" t="n"/>
      <c r="L222" s="176" t="n"/>
      <c r="M222" s="176" t="n"/>
      <c r="N222" s="176" t="n"/>
      <c r="O222" s="176" t="n"/>
      <c r="P222" s="176" t="n"/>
      <c r="Q222" s="176" t="n"/>
      <c r="R222" s="176" t="n"/>
      <c r="S222" s="176" t="n"/>
      <c r="T222" s="181">
        <f>SWITCH('CONFIGURAÇÃO'!$T$217,"Origem","PERÍCIA 3","Marcante","","Menor","","Arma","TIPO DE DANO","Escudo","","Uniforme","","Item comum","","Ferramenta amaldiçoada","","")</f>
        <v/>
      </c>
      <c r="U222" s="183" t="n"/>
      <c r="V222" s="185" t="n"/>
      <c r="W222" s="182" t="n"/>
      <c r="X222" s="182" t="n"/>
      <c r="Y222" s="183" t="n"/>
      <c r="Z222" s="176" t="n"/>
      <c r="AA222" s="176" t="n"/>
      <c r="AB222" s="181">
        <f>SWITCH('CONFIGURAÇÃO'!$AB$217,"Origem","PERÍCIA 3","Marcante","","Menor","","Arma","TIPO DE DANO","Escudo","","Uniforme","","Item comum","","Ferramenta amaldiçoada","","")</f>
        <v/>
      </c>
      <c r="AC222" s="183" t="n"/>
      <c r="AD222" s="185" t="n"/>
      <c r="AE222" s="182" t="n"/>
      <c r="AF222" s="182" t="n"/>
      <c r="AG222" s="183" t="n"/>
      <c r="AH222" s="176" t="n"/>
      <c r="AI222" s="176" t="n"/>
      <c r="AJ222" s="176" t="n"/>
      <c r="AK222" s="176" t="n"/>
      <c r="AL222" s="176" t="n"/>
      <c r="AM222" s="176" t="n"/>
      <c r="AN222" s="176" t="n"/>
      <c r="AO222" s="176" t="n"/>
      <c r="AP222" s="176" t="n"/>
      <c r="AQ222" s="176" t="n"/>
      <c r="AR222" s="176" t="n"/>
      <c r="AS222" s="176" t="n"/>
      <c r="AT222" s="176" t="n"/>
      <c r="AU222" s="176" t="n"/>
      <c r="AV222" s="176" t="n"/>
      <c r="AW222" s="176" t="n"/>
      <c r="AX222" s="176" t="n"/>
      <c r="AY222" s="176" t="n"/>
      <c r="AZ222" s="176" t="n"/>
      <c r="BA222" s="176" t="n"/>
      <c r="BB222" s="176" t="n"/>
      <c r="BC222" s="176" t="n"/>
      <c r="BD222" s="176" t="n"/>
      <c r="BE222" s="176" t="n"/>
      <c r="BF222" s="176" t="n"/>
      <c r="BG222" s="176" t="n"/>
      <c r="BH222" s="176" t="n"/>
      <c r="BI222" s="176" t="n"/>
      <c r="BJ222" s="176" t="n"/>
      <c r="BK222" s="176" t="n"/>
      <c r="BL222" s="176" t="n"/>
      <c r="BM222" s="176" t="n"/>
      <c r="BN222" s="176" t="n"/>
      <c r="BO222" s="176" t="n"/>
      <c r="BP222" s="176" t="n"/>
      <c r="BQ222" s="176" t="n"/>
      <c r="BR222" s="176" t="n"/>
      <c r="BS222" s="176" t="n"/>
      <c r="BT222" s="176" t="n"/>
      <c r="BU222" s="176" t="n"/>
      <c r="BV222" s="176" t="n"/>
      <c r="BW222" s="176" t="n"/>
      <c r="BX222" s="176" t="n"/>
      <c r="BY222" s="176" t="n"/>
      <c r="BZ222" s="176" t="n"/>
      <c r="CA222" s="176" t="n"/>
      <c r="CB222" s="176" t="n"/>
      <c r="CC222" s="176" t="n"/>
      <c r="CD222" s="176" t="n"/>
      <c r="CE222" s="176" t="n"/>
      <c r="CF222" s="176" t="n"/>
      <c r="CG222" s="176" t="n"/>
      <c r="CH222" s="176" t="n"/>
      <c r="CI222" s="176" t="n"/>
      <c r="CJ222" s="176" t="n"/>
      <c r="CK222" s="176" t="n"/>
      <c r="CL222" s="176" t="n"/>
      <c r="CM222" s="176" t="n"/>
      <c r="CN222" s="176" t="n"/>
      <c r="CO222" s="176" t="n"/>
      <c r="CP222" s="176" t="n"/>
      <c r="CQ222" s="176" t="n"/>
      <c r="CR222" s="176" t="n"/>
      <c r="CS222" s="176" t="n"/>
      <c r="CT222" s="176" t="n"/>
      <c r="CU222" s="176" t="n"/>
      <c r="CV222" s="176" t="n"/>
      <c r="CW222" s="176" t="n"/>
      <c r="CX222" s="176" t="n"/>
      <c r="CY222" s="176" t="n"/>
      <c r="CZ222" s="176" t="n"/>
      <c r="DA222" s="181" t="inlineStr">
        <is>
          <t>NOME</t>
        </is>
      </c>
      <c r="DB222" s="182" t="n"/>
      <c r="DC222" s="182" t="n"/>
      <c r="DD222" s="182" t="n"/>
      <c r="DE222" s="182" t="n"/>
      <c r="DF222" s="183" t="n"/>
      <c r="DG222" s="176" t="n"/>
      <c r="DH222" s="176" t="n"/>
      <c r="DI222" s="181" t="inlineStr">
        <is>
          <t>NOME</t>
        </is>
      </c>
      <c r="DJ222" s="182" t="n"/>
      <c r="DK222" s="182" t="n"/>
      <c r="DL222" s="182" t="n"/>
      <c r="DM222" s="182" t="n"/>
      <c r="DN222" s="183" t="n"/>
      <c r="DO222" s="176" t="n"/>
      <c r="DP222" s="176" t="n"/>
      <c r="DQ222" s="176" t="n"/>
      <c r="DR222" s="193" t="n"/>
      <c r="DW222" s="194" t="n"/>
      <c r="DX222" s="176" t="n"/>
      <c r="DY222" s="176" t="n"/>
      <c r="DZ222" s="193" t="n"/>
      <c r="EE222" s="194" t="n"/>
      <c r="EF222" s="176" t="n"/>
      <c r="EG222" s="176" t="n"/>
      <c r="EH222" s="176" t="n"/>
      <c r="EI222" s="176" t="n"/>
      <c r="EJ222" s="176" t="n"/>
      <c r="EK222" s="176" t="n"/>
      <c r="EL222" s="176" t="n"/>
      <c r="EM222" s="176" t="n"/>
      <c r="EN222" s="176" t="n"/>
      <c r="EO222" s="176" t="n"/>
      <c r="EP222" s="176" t="n"/>
      <c r="EQ222" s="176" t="n"/>
      <c r="ER222" s="176" t="n"/>
      <c r="ES222" s="176" t="n"/>
      <c r="ET222" s="176" t="n"/>
      <c r="EU222" s="176" t="n"/>
      <c r="EV222" s="176" t="n"/>
      <c r="EW222" s="176" t="n"/>
      <c r="EX222" s="176" t="n"/>
      <c r="EY222" s="176" t="n"/>
      <c r="EZ222" s="181" t="inlineStr">
        <is>
          <t>ÁREA · E · 1 a 5</t>
        </is>
      </c>
      <c r="FA222" s="182" t="n"/>
      <c r="FB222" s="183" t="n"/>
      <c r="FC222" s="185" t="n"/>
      <c r="FD222" s="182" t="n"/>
      <c r="FE222" s="183" t="n"/>
      <c r="FF222" s="176" t="n"/>
      <c r="FG222" s="176" t="n"/>
      <c r="FH222" s="181" t="inlineStr">
        <is>
          <t>ÁREA · E · 1 a 5</t>
        </is>
      </c>
      <c r="FI222" s="182" t="n"/>
      <c r="FJ222" s="183" t="n"/>
      <c r="FK222" s="185" t="n"/>
      <c r="FL222" s="182" t="n"/>
      <c r="FM222" s="183" t="n"/>
      <c r="FN222" s="176" t="n"/>
      <c r="FO222" s="176" t="n"/>
      <c r="FP222" s="176" t="n"/>
      <c r="FQ222" s="176" t="n"/>
      <c r="FR222" s="176" t="n"/>
      <c r="FS222" s="176" t="n"/>
      <c r="FT222" s="176" t="n"/>
      <c r="FU222" s="176" t="n"/>
      <c r="FV222" s="176" t="n"/>
      <c r="FW222" s="176" t="n"/>
      <c r="FX222" s="176" t="n"/>
      <c r="FY222" s="176" t="n"/>
      <c r="FZ222" s="176" t="n"/>
      <c r="GA222" s="176" t="n"/>
      <c r="GB222" s="176" t="n"/>
      <c r="GC222" s="176" t="n"/>
      <c r="GD222" s="176" t="n"/>
      <c r="GE222" s="176" t="n"/>
      <c r="GF222" s="176" t="n"/>
      <c r="GG222" s="176" t="n"/>
      <c r="GH222" s="176" t="n"/>
      <c r="GI222" s="176" t="n"/>
      <c r="GJ222" s="176" t="n"/>
      <c r="GK222" s="176" t="n"/>
      <c r="GL222" s="176" t="n"/>
      <c r="GM222" s="176" t="n"/>
      <c r="GN222" s="176" t="n"/>
      <c r="GO222" s="176" t="n"/>
      <c r="GP222" s="176" t="n"/>
      <c r="GQ222" s="176" t="n"/>
      <c r="GR222" s="176" t="n"/>
      <c r="GS222" s="176" t="n"/>
      <c r="GT222" s="176" t="n"/>
      <c r="GU222" s="176" t="n"/>
      <c r="GV222" s="176" t="n"/>
      <c r="GW222" s="176" t="n"/>
      <c r="GX222" s="176" t="n"/>
      <c r="GY222" s="176" t="n"/>
      <c r="GZ222" s="176" t="n"/>
      <c r="HA222" s="176" t="n"/>
      <c r="HB222" s="176" t="n"/>
      <c r="HC222" s="176" t="n"/>
      <c r="HD222" s="176" t="n"/>
      <c r="HE222" s="176" t="n"/>
      <c r="HF222" s="176" t="n"/>
      <c r="HG222" s="176" t="n"/>
      <c r="HH222" s="176" t="n"/>
      <c r="HI222" s="176" t="n"/>
      <c r="HJ222" s="176" t="n"/>
      <c r="HK222" s="176" t="n"/>
      <c r="HL222" s="176" t="n"/>
      <c r="HM222" s="176" t="n"/>
      <c r="HN222" s="176" t="n"/>
      <c r="HO222" s="176" t="n"/>
      <c r="HP222" s="176" t="n"/>
      <c r="HQ222" s="176" t="n"/>
      <c r="HR222" s="176" t="n"/>
      <c r="HS222" s="176" t="n"/>
      <c r="HT222" s="176" t="n"/>
      <c r="HU222" s="176" t="n"/>
      <c r="HV222" s="176" t="n"/>
      <c r="HW222" s="176" t="n"/>
      <c r="HX222" s="176" t="n"/>
      <c r="HY222" s="176" t="n"/>
      <c r="HZ222" s="176" t="n"/>
      <c r="IA222" s="176" t="n"/>
      <c r="IB222" s="176" t="n"/>
      <c r="IC222" s="176" t="n"/>
      <c r="ID222" s="176" t="n"/>
    </row>
    <row r="223" ht="18.75" customHeight="1">
      <c r="A223" s="176" t="n"/>
      <c r="B223" s="176" t="n"/>
      <c r="C223" s="176" t="n"/>
      <c r="D223" s="176" t="n"/>
      <c r="E223" s="176" t="n"/>
      <c r="F223" s="176" t="n"/>
      <c r="G223" s="176" t="n"/>
      <c r="H223" s="176" t="n"/>
      <c r="I223" s="176" t="n"/>
      <c r="J223" s="176" t="n"/>
      <c r="K223" s="176" t="n"/>
      <c r="L223" s="176" t="n"/>
      <c r="M223" s="176" t="n"/>
      <c r="N223" s="176" t="n"/>
      <c r="O223" s="176" t="n"/>
      <c r="P223" s="176" t="n"/>
      <c r="Q223" s="176" t="n"/>
      <c r="R223" s="176" t="n"/>
      <c r="S223" s="176" t="n"/>
      <c r="T223" s="181">
        <f>SWITCH('CONFIGURAÇÃO'!$T$217,"Origem","PERÍCIA 4","Marcante","","Menor","","Arma","PROPRIEDADE 1","Escudo","","Uniforme","","Item comum","","Ferramenta amaldiçoada","","")</f>
        <v/>
      </c>
      <c r="U223" s="183" t="n"/>
      <c r="V223" s="185" t="n"/>
      <c r="W223" s="182" t="n"/>
      <c r="X223" s="182" t="n"/>
      <c r="Y223" s="183" t="n"/>
      <c r="Z223" s="176" t="n"/>
      <c r="AA223" s="176" t="n"/>
      <c r="AB223" s="181">
        <f>SWITCH('CONFIGURAÇÃO'!$AB$217,"Origem","PERÍCIA 4","Marcante","","Menor","","Arma","PROPRIEDADE 1","Escudo","","Uniforme","","Item comum","","Ferramenta amaldiçoada","","")</f>
        <v/>
      </c>
      <c r="AC223" s="183" t="n"/>
      <c r="AD223" s="185" t="n"/>
      <c r="AE223" s="182" t="n"/>
      <c r="AF223" s="182" t="n"/>
      <c r="AG223" s="183" t="n"/>
      <c r="AH223" s="176" t="n"/>
      <c r="AI223" s="176" t="n"/>
      <c r="AJ223" s="176" t="n"/>
      <c r="AK223" s="176" t="n"/>
      <c r="AL223" s="176" t="n"/>
      <c r="AM223" s="176" t="n"/>
      <c r="AN223" s="176" t="n"/>
      <c r="AO223" s="176" t="n"/>
      <c r="AP223" s="176" t="n"/>
      <c r="AQ223" s="176" t="n"/>
      <c r="AR223" s="176" t="n"/>
      <c r="AS223" s="176" t="n"/>
      <c r="AT223" s="176" t="n"/>
      <c r="AU223" s="176" t="n"/>
      <c r="AV223" s="176" t="n"/>
      <c r="AW223" s="176" t="n"/>
      <c r="AX223" s="176" t="n"/>
      <c r="AY223" s="176" t="n"/>
      <c r="AZ223" s="176" t="n"/>
      <c r="BA223" s="176" t="n"/>
      <c r="BB223" s="176" t="n"/>
      <c r="BC223" s="176" t="n"/>
      <c r="BD223" s="176" t="n"/>
      <c r="BE223" s="176" t="n"/>
      <c r="BF223" s="176" t="n"/>
      <c r="BG223" s="176" t="n"/>
      <c r="BH223" s="176" t="n"/>
      <c r="BI223" s="176" t="n"/>
      <c r="BJ223" s="176" t="n"/>
      <c r="BK223" s="176" t="n"/>
      <c r="BL223" s="176" t="n"/>
      <c r="BM223" s="176" t="n"/>
      <c r="BN223" s="176" t="n"/>
      <c r="BO223" s="176" t="n"/>
      <c r="BP223" s="176" t="n"/>
      <c r="BQ223" s="176" t="n"/>
      <c r="BR223" s="176" t="n"/>
      <c r="BS223" s="176" t="n"/>
      <c r="BT223" s="176" t="n"/>
      <c r="BU223" s="176" t="n"/>
      <c r="BV223" s="176" t="n"/>
      <c r="BW223" s="176" t="n"/>
      <c r="BX223" s="176" t="n"/>
      <c r="BY223" s="176" t="n"/>
      <c r="BZ223" s="176" t="n"/>
      <c r="CA223" s="176" t="n"/>
      <c r="CB223" s="176" t="n"/>
      <c r="CC223" s="176" t="n"/>
      <c r="CD223" s="176" t="n"/>
      <c r="CE223" s="176" t="n"/>
      <c r="CF223" s="176" t="n"/>
      <c r="CG223" s="176" t="n"/>
      <c r="CH223" s="176" t="n"/>
      <c r="CI223" s="176" t="n"/>
      <c r="CJ223" s="176" t="n"/>
      <c r="CK223" s="176" t="n"/>
      <c r="CL223" s="176" t="n"/>
      <c r="CM223" s="176" t="n"/>
      <c r="CN223" s="176" t="n"/>
      <c r="CO223" s="176" t="n"/>
      <c r="CP223" s="176" t="n"/>
      <c r="CQ223" s="176" t="n"/>
      <c r="CR223" s="176" t="n"/>
      <c r="CS223" s="176" t="n"/>
      <c r="CT223" s="176" t="n"/>
      <c r="CU223" s="176" t="n"/>
      <c r="CV223" s="176" t="n"/>
      <c r="CW223" s="176" t="n"/>
      <c r="CX223" s="176" t="n"/>
      <c r="CY223" s="176" t="n"/>
      <c r="CZ223" s="176" t="n"/>
      <c r="DA223" s="185" t="n"/>
      <c r="DB223" s="182" t="n"/>
      <c r="DC223" s="182" t="n"/>
      <c r="DD223" s="182" t="n"/>
      <c r="DE223" s="182" t="n"/>
      <c r="DF223" s="183" t="n"/>
      <c r="DG223" s="176" t="n"/>
      <c r="DH223" s="176" t="n"/>
      <c r="DI223" s="185" t="n"/>
      <c r="DJ223" s="182" t="n"/>
      <c r="DK223" s="182" t="n"/>
      <c r="DL223" s="182" t="n"/>
      <c r="DM223" s="182" t="n"/>
      <c r="DN223" s="183" t="n"/>
      <c r="DO223" s="176" t="n"/>
      <c r="DP223" s="176" t="n"/>
      <c r="DQ223" s="176" t="n"/>
      <c r="DR223" s="193" t="n"/>
      <c r="DW223" s="194" t="n"/>
      <c r="DX223" s="176" t="n"/>
      <c r="DY223" s="176" t="n"/>
      <c r="DZ223" s="193" t="n"/>
      <c r="EE223" s="194" t="n"/>
      <c r="EF223" s="176" t="n"/>
      <c r="EG223" s="176" t="n"/>
      <c r="EH223" s="176" t="n"/>
      <c r="EI223" s="176" t="n"/>
      <c r="EJ223" s="176" t="n"/>
      <c r="EK223" s="176" t="n"/>
      <c r="EL223" s="176" t="n"/>
      <c r="EM223" s="176" t="n"/>
      <c r="EN223" s="176" t="n"/>
      <c r="EO223" s="176" t="n"/>
      <c r="EP223" s="176" t="n"/>
      <c r="EQ223" s="176" t="n"/>
      <c r="ER223" s="176" t="n"/>
      <c r="ES223" s="176" t="n"/>
      <c r="ET223" s="176" t="n"/>
      <c r="EU223" s="176" t="n"/>
      <c r="EV223" s="176" t="n"/>
      <c r="EW223" s="176" t="n"/>
      <c r="EX223" s="176" t="n"/>
      <c r="EY223" s="176" t="n"/>
      <c r="EZ223" s="181" t="inlineStr">
        <is>
          <t>ÁREA · E · 6</t>
        </is>
      </c>
      <c r="FA223" s="182" t="n"/>
      <c r="FB223" s="183" t="n"/>
      <c r="FC223" s="185" t="n"/>
      <c r="FD223" s="182" t="n"/>
      <c r="FE223" s="183" t="n"/>
      <c r="FF223" s="176" t="n"/>
      <c r="FG223" s="176" t="n"/>
      <c r="FH223" s="181" t="inlineStr">
        <is>
          <t>ÁREA · E · 6</t>
        </is>
      </c>
      <c r="FI223" s="182" t="n"/>
      <c r="FJ223" s="183" t="n"/>
      <c r="FK223" s="185" t="n"/>
      <c r="FL223" s="182" t="n"/>
      <c r="FM223" s="183" t="n"/>
      <c r="FN223" s="176" t="n"/>
      <c r="FO223" s="176" t="n"/>
      <c r="FP223" s="176" t="n"/>
      <c r="FQ223" s="176" t="n"/>
      <c r="FR223" s="176" t="n"/>
      <c r="FS223" s="176" t="n"/>
      <c r="FT223" s="176" t="n"/>
      <c r="FU223" s="176" t="n"/>
      <c r="FV223" s="176" t="n"/>
      <c r="FW223" s="176" t="n"/>
      <c r="FX223" s="176" t="n"/>
      <c r="FY223" s="176" t="n"/>
      <c r="FZ223" s="176" t="n"/>
      <c r="GA223" s="176" t="n"/>
      <c r="GB223" s="176" t="n"/>
      <c r="GC223" s="176" t="n"/>
      <c r="GD223" s="176" t="n"/>
      <c r="GE223" s="176" t="n"/>
      <c r="GF223" s="176" t="n"/>
      <c r="GG223" s="176" t="n"/>
      <c r="GH223" s="176" t="n"/>
      <c r="GI223" s="176" t="n"/>
      <c r="GJ223" s="176" t="n"/>
      <c r="GK223" s="176" t="n"/>
      <c r="GL223" s="176" t="n"/>
      <c r="GM223" s="176" t="n"/>
      <c r="GN223" s="176" t="n"/>
      <c r="GO223" s="176" t="n"/>
      <c r="GP223" s="176" t="n"/>
      <c r="GQ223" s="176" t="n"/>
      <c r="GR223" s="176" t="n"/>
      <c r="GS223" s="176" t="n"/>
      <c r="GT223" s="176" t="n"/>
      <c r="GU223" s="176" t="n"/>
      <c r="GV223" s="176" t="n"/>
      <c r="GW223" s="176" t="n"/>
      <c r="GX223" s="176" t="n"/>
      <c r="GY223" s="176" t="n"/>
      <c r="GZ223" s="176" t="n"/>
      <c r="HA223" s="176" t="n"/>
      <c r="HB223" s="176" t="n"/>
      <c r="HC223" s="176" t="n"/>
      <c r="HD223" s="176" t="n"/>
      <c r="HE223" s="176" t="n"/>
      <c r="HF223" s="176" t="n"/>
      <c r="HG223" s="176" t="n"/>
      <c r="HH223" s="176" t="n"/>
      <c r="HI223" s="176" t="n"/>
      <c r="HJ223" s="176" t="n"/>
      <c r="HK223" s="176" t="n"/>
      <c r="HL223" s="176" t="n"/>
      <c r="HM223" s="176" t="n"/>
      <c r="HN223" s="176" t="n"/>
      <c r="HO223" s="176" t="n"/>
      <c r="HP223" s="181" t="inlineStr">
        <is>
          <t>EFEITO</t>
        </is>
      </c>
      <c r="HQ223" s="182" t="n"/>
      <c r="HR223" s="182" t="n"/>
      <c r="HS223" s="182" t="n"/>
      <c r="HT223" s="182" t="n"/>
      <c r="HU223" s="183" t="n"/>
      <c r="HV223" s="176" t="n"/>
      <c r="HW223" s="176" t="n"/>
      <c r="HX223" s="181" t="inlineStr">
        <is>
          <t>EFEITO</t>
        </is>
      </c>
      <c r="HY223" s="182" t="n"/>
      <c r="HZ223" s="182" t="n"/>
      <c r="IA223" s="182" t="n"/>
      <c r="IB223" s="182" t="n"/>
      <c r="IC223" s="183" t="n"/>
      <c r="ID223" s="176" t="n"/>
    </row>
    <row r="224" ht="18.75" customHeight="1">
      <c r="A224" s="176" t="n"/>
      <c r="B224" s="176" t="n"/>
      <c r="C224" s="176" t="n"/>
      <c r="D224" s="176" t="n"/>
      <c r="E224" s="176" t="n"/>
      <c r="F224" s="176" t="n"/>
      <c r="G224" s="176" t="n"/>
      <c r="H224" s="176" t="n"/>
      <c r="I224" s="176" t="n"/>
      <c r="J224" s="176" t="n"/>
      <c r="K224" s="176" t="n"/>
      <c r="L224" s="176" t="n"/>
      <c r="M224" s="176" t="n"/>
      <c r="N224" s="176" t="n"/>
      <c r="O224" s="176" t="n"/>
      <c r="P224" s="176" t="n"/>
      <c r="Q224" s="176" t="n"/>
      <c r="R224" s="176" t="n"/>
      <c r="S224" s="176" t="n"/>
      <c r="T224" s="181">
        <f>SWITCH('CONFIGURAÇÃO'!$T$217,"Origem","ROTA","Marcante","","Menor","","Arma","PROPRIEDADE 2","Escudo","","Uniforme","","Item comum","","Ferramenta amaldiçoada","","")</f>
        <v/>
      </c>
      <c r="U224" s="183" t="n"/>
      <c r="V224" s="185" t="n"/>
      <c r="W224" s="182" t="n"/>
      <c r="X224" s="182" t="n"/>
      <c r="Y224" s="183" t="n"/>
      <c r="Z224" s="176" t="n"/>
      <c r="AA224" s="176" t="n"/>
      <c r="AB224" s="181">
        <f>SWITCH('CONFIGURAÇÃO'!$AB$217,"Origem","ROTA","Marcante","","Menor","","Arma","PROPRIEDADE 2","Escudo","","Uniforme","","Item comum","","Ferramenta amaldiçoada","","")</f>
        <v/>
      </c>
      <c r="AC224" s="183" t="n"/>
      <c r="AD224" s="185" t="n"/>
      <c r="AE224" s="182" t="n"/>
      <c r="AF224" s="182" t="n"/>
      <c r="AG224" s="183" t="n"/>
      <c r="AH224" s="176" t="n"/>
      <c r="AI224" s="176" t="n"/>
      <c r="AJ224" s="176" t="n"/>
      <c r="AK224" s="176" t="n"/>
      <c r="AL224" s="176" t="n"/>
      <c r="AM224" s="176" t="n"/>
      <c r="AN224" s="176" t="n"/>
      <c r="AO224" s="176" t="n"/>
      <c r="AP224" s="176" t="n"/>
      <c r="AQ224" s="176" t="n"/>
      <c r="AR224" s="176" t="n"/>
      <c r="AS224" s="176" t="n"/>
      <c r="AT224" s="176" t="n"/>
      <c r="AU224" s="176" t="n"/>
      <c r="AV224" s="176" t="n"/>
      <c r="AW224" s="176" t="n"/>
      <c r="AX224" s="176" t="n"/>
      <c r="AY224" s="176" t="n"/>
      <c r="AZ224" s="176" t="n"/>
      <c r="BA224" s="176" t="n"/>
      <c r="BB224" s="176" t="n"/>
      <c r="BC224" s="176" t="n"/>
      <c r="BD224" s="176" t="n"/>
      <c r="BE224" s="176" t="n"/>
      <c r="BF224" s="176" t="n"/>
      <c r="BG224" s="176" t="n"/>
      <c r="BH224" s="176" t="n"/>
      <c r="BI224" s="176" t="n"/>
      <c r="BJ224" s="176" t="n"/>
      <c r="BK224" s="176" t="n"/>
      <c r="BL224" s="176" t="n"/>
      <c r="BM224" s="176" t="n"/>
      <c r="BN224" s="176" t="n"/>
      <c r="BO224" s="176" t="n"/>
      <c r="BP224" s="176" t="n"/>
      <c r="BQ224" s="176" t="n"/>
      <c r="BR224" s="176" t="n"/>
      <c r="BS224" s="176" t="n"/>
      <c r="BT224" s="176" t="n"/>
      <c r="BU224" s="176" t="n"/>
      <c r="BV224" s="176" t="n"/>
      <c r="BW224" s="176" t="n"/>
      <c r="BX224" s="176" t="n"/>
      <c r="BY224" s="176" t="n"/>
      <c r="BZ224" s="176" t="n"/>
      <c r="CA224" s="176" t="n"/>
      <c r="CB224" s="176" t="n"/>
      <c r="CC224" s="176" t="n"/>
      <c r="CD224" s="176" t="n"/>
      <c r="CE224" s="176" t="n"/>
      <c r="CF224" s="176" t="n"/>
      <c r="CG224" s="176" t="n"/>
      <c r="CH224" s="176" t="n"/>
      <c r="CI224" s="176" t="n"/>
      <c r="CJ224" s="176" t="n"/>
      <c r="CK224" s="176" t="n"/>
      <c r="CL224" s="176" t="n"/>
      <c r="CM224" s="176" t="n"/>
      <c r="CN224" s="176" t="n"/>
      <c r="CO224" s="176" t="n"/>
      <c r="CP224" s="176" t="n"/>
      <c r="CQ224" s="176" t="n"/>
      <c r="CR224" s="176" t="n"/>
      <c r="CS224" s="176" t="n"/>
      <c r="CT224" s="176" t="n"/>
      <c r="CU224" s="176" t="n"/>
      <c r="CV224" s="176" t="n"/>
      <c r="CW224" s="176" t="n"/>
      <c r="CX224" s="176" t="n"/>
      <c r="CY224" s="176" t="n"/>
      <c r="CZ224" s="176" t="n"/>
      <c r="DA224" s="181" t="inlineStr">
        <is>
          <t>BASE DO LIVRO</t>
        </is>
      </c>
      <c r="DB224" s="182" t="n"/>
      <c r="DC224" s="183" t="n"/>
      <c r="DD224" s="185" t="inlineStr">
        <is>
          <t>Nenhuma</t>
        </is>
      </c>
      <c r="DE224" s="182" t="n"/>
      <c r="DF224" s="183" t="n"/>
      <c r="DG224" s="176" t="n"/>
      <c r="DH224" s="176" t="n"/>
      <c r="DI224" s="181" t="inlineStr">
        <is>
          <t>BASE DO LIVRO</t>
        </is>
      </c>
      <c r="DJ224" s="182" t="n"/>
      <c r="DK224" s="183" t="n"/>
      <c r="DL224" s="185" t="inlineStr">
        <is>
          <t>Nenhuma</t>
        </is>
      </c>
      <c r="DM224" s="182" t="n"/>
      <c r="DN224" s="183" t="n"/>
      <c r="DO224" s="176" t="n"/>
      <c r="DP224" s="176" t="n"/>
      <c r="DQ224" s="176" t="n"/>
      <c r="DR224" s="193" t="n"/>
      <c r="DW224" s="194" t="n"/>
      <c r="DX224" s="176" t="n"/>
      <c r="DY224" s="176" t="n"/>
      <c r="DZ224" s="193" t="n"/>
      <c r="EE224" s="194" t="n"/>
      <c r="EF224" s="176" t="n"/>
      <c r="EG224" s="176" t="n"/>
      <c r="EH224" s="176" t="n"/>
      <c r="EI224" s="176" t="n"/>
      <c r="EJ224" s="176" t="n"/>
      <c r="EK224" s="176" t="n"/>
      <c r="EL224" s="176" t="n"/>
      <c r="EM224" s="176" t="n"/>
      <c r="EN224" s="176" t="n"/>
      <c r="EO224" s="176" t="n"/>
      <c r="EP224" s="176" t="n"/>
      <c r="EQ224" s="176" t="n"/>
      <c r="ER224" s="176" t="n"/>
      <c r="ES224" s="176" t="n"/>
      <c r="ET224" s="176" t="n"/>
      <c r="EU224" s="176" t="n"/>
      <c r="EV224" s="176" t="n"/>
      <c r="EW224" s="176" t="n"/>
      <c r="EX224" s="176" t="n"/>
      <c r="EY224" s="176" t="n"/>
      <c r="EZ224" s="181" t="inlineStr">
        <is>
          <t>ÁREA · E · 7</t>
        </is>
      </c>
      <c r="FA224" s="182" t="n"/>
      <c r="FB224" s="183" t="n"/>
      <c r="FC224" s="185" t="n"/>
      <c r="FD224" s="182" t="n"/>
      <c r="FE224" s="183" t="n"/>
      <c r="FF224" s="176" t="n"/>
      <c r="FG224" s="176" t="n"/>
      <c r="FH224" s="181" t="inlineStr">
        <is>
          <t>ÁREA · E · 7</t>
        </is>
      </c>
      <c r="FI224" s="182" t="n"/>
      <c r="FJ224" s="183" t="n"/>
      <c r="FK224" s="185" t="n"/>
      <c r="FL224" s="182" t="n"/>
      <c r="FM224" s="183" t="n"/>
      <c r="FN224" s="176" t="n"/>
      <c r="FO224" s="176" t="n"/>
      <c r="FP224" s="176" t="n"/>
      <c r="FQ224" s="176" t="n"/>
      <c r="FR224" s="176" t="n"/>
      <c r="FS224" s="176" t="n"/>
      <c r="FT224" s="176" t="n"/>
      <c r="FU224" s="176" t="n"/>
      <c r="FV224" s="176" t="n"/>
      <c r="FW224" s="176" t="n"/>
      <c r="FX224" s="176" t="n"/>
      <c r="FY224" s="176" t="n"/>
      <c r="FZ224" s="176" t="n"/>
      <c r="GA224" s="176" t="n"/>
      <c r="GB224" s="176" t="n"/>
      <c r="GC224" s="176" t="n"/>
      <c r="GD224" s="176" t="n"/>
      <c r="GE224" s="176" t="n"/>
      <c r="GF224" s="176" t="n"/>
      <c r="GG224" s="176" t="n"/>
      <c r="GH224" s="176" t="n"/>
      <c r="GI224" s="176" t="n"/>
      <c r="GJ224" s="176" t="n"/>
      <c r="GK224" s="176" t="n"/>
      <c r="GL224" s="176" t="n"/>
      <c r="GM224" s="176" t="n"/>
      <c r="GN224" s="176" t="n"/>
      <c r="GO224" s="176" t="n"/>
      <c r="GP224" s="176" t="n"/>
      <c r="GQ224" s="176" t="n"/>
      <c r="GR224" s="176" t="n"/>
      <c r="GS224" s="176" t="n"/>
      <c r="GT224" s="176" t="n"/>
      <c r="GU224" s="176" t="n"/>
      <c r="GV224" s="176" t="n"/>
      <c r="GW224" s="176" t="n"/>
      <c r="GX224" s="176" t="n"/>
      <c r="GY224" s="176" t="n"/>
      <c r="GZ224" s="176" t="n"/>
      <c r="HA224" s="176" t="n"/>
      <c r="HB224" s="176" t="n"/>
      <c r="HC224" s="176" t="n"/>
      <c r="HD224" s="176" t="n"/>
      <c r="HE224" s="176" t="n"/>
      <c r="HF224" s="176" t="n"/>
      <c r="HG224" s="176" t="n"/>
      <c r="HH224" s="176" t="n"/>
      <c r="HI224" s="176" t="n"/>
      <c r="HJ224" s="176" t="n"/>
      <c r="HK224" s="176" t="n"/>
      <c r="HL224" s="176" t="n"/>
      <c r="HM224" s="176" t="n"/>
      <c r="HN224" s="176" t="n"/>
      <c r="HO224" s="176" t="n"/>
      <c r="HP224" s="192" t="n"/>
      <c r="HQ224" s="187" t="n"/>
      <c r="HR224" s="187" t="n"/>
      <c r="HS224" s="187" t="n"/>
      <c r="HT224" s="187" t="n"/>
      <c r="HU224" s="188" t="n"/>
      <c r="HV224" s="176" t="n"/>
      <c r="HW224" s="176" t="n"/>
      <c r="HX224" s="192" t="n"/>
      <c r="HY224" s="187" t="n"/>
      <c r="HZ224" s="187" t="n"/>
      <c r="IA224" s="187" t="n"/>
      <c r="IB224" s="187" t="n"/>
      <c r="IC224" s="188" t="n"/>
      <c r="ID224" s="176" t="n"/>
    </row>
    <row r="225" ht="18.75" customHeight="1">
      <c r="A225" s="176" t="n"/>
      <c r="B225" s="176" t="n"/>
      <c r="C225" s="176" t="n"/>
      <c r="D225" s="176" t="n"/>
      <c r="E225" s="176" t="n"/>
      <c r="F225" s="176" t="n"/>
      <c r="G225" s="176" t="n"/>
      <c r="H225" s="176" t="n"/>
      <c r="I225" s="176" t="n"/>
      <c r="J225" s="176" t="n"/>
      <c r="K225" s="176" t="n"/>
      <c r="L225" s="176" t="n"/>
      <c r="M225" s="176" t="n"/>
      <c r="N225" s="176" t="n"/>
      <c r="O225" s="176" t="n"/>
      <c r="P225" s="176" t="n"/>
      <c r="Q225" s="176" t="n"/>
      <c r="R225" s="176" t="n"/>
      <c r="S225" s="176" t="n"/>
      <c r="T225" s="181">
        <f>SWITCH('CONFIGURAÇÃO'!$T$217,"Origem","BASE DO LIVRO","Marcante","","Menor","","Arma","PROPRIEDADE 3","Escudo","","Uniforme","","Item comum","","Ferramenta amaldiçoada","","")</f>
        <v/>
      </c>
      <c r="U225" s="183" t="n"/>
      <c r="V225" s="185" t="n"/>
      <c r="W225" s="182" t="n"/>
      <c r="X225" s="182" t="n"/>
      <c r="Y225" s="183" t="n"/>
      <c r="Z225" s="176" t="n"/>
      <c r="AA225" s="176" t="n"/>
      <c r="AB225" s="181">
        <f>SWITCH('CONFIGURAÇÃO'!$AB$217,"Origem","BASE DO LIVRO","Marcante","","Menor","","Arma","PROPRIEDADE 3","Escudo","","Uniforme","","Item comum","","Ferramenta amaldiçoada","","")</f>
        <v/>
      </c>
      <c r="AC225" s="183" t="n"/>
      <c r="AD225" s="185" t="n"/>
      <c r="AE225" s="182" t="n"/>
      <c r="AF225" s="182" t="n"/>
      <c r="AG225" s="183" t="n"/>
      <c r="AH225" s="176" t="n"/>
      <c r="AI225" s="176" t="n"/>
      <c r="AJ225" s="176" t="n"/>
      <c r="AK225" s="176" t="n"/>
      <c r="AL225" s="176" t="n"/>
      <c r="AM225" s="176" t="n"/>
      <c r="AN225" s="176" t="n"/>
      <c r="AO225" s="176" t="n"/>
      <c r="AP225" s="176" t="n"/>
      <c r="AQ225" s="176" t="n"/>
      <c r="AR225" s="176" t="n"/>
      <c r="AS225" s="176" t="n"/>
      <c r="AT225" s="176" t="n"/>
      <c r="AU225" s="176" t="n"/>
      <c r="AV225" s="176" t="n"/>
      <c r="AW225" s="176" t="n"/>
      <c r="AX225" s="176" t="n"/>
      <c r="AY225" s="176" t="n"/>
      <c r="AZ225" s="176" t="n"/>
      <c r="BA225" s="176" t="n"/>
      <c r="BB225" s="176" t="n"/>
      <c r="BC225" s="176" t="n"/>
      <c r="BD225" s="176" t="n"/>
      <c r="BE225" s="176" t="n"/>
      <c r="BF225" s="176" t="n"/>
      <c r="BG225" s="176" t="n"/>
      <c r="BH225" s="176" t="n"/>
      <c r="BI225" s="176" t="n"/>
      <c r="BJ225" s="176" t="n"/>
      <c r="BK225" s="176" t="n"/>
      <c r="BL225" s="176" t="n"/>
      <c r="BM225" s="176" t="n"/>
      <c r="BN225" s="176" t="n"/>
      <c r="BO225" s="176" t="n"/>
      <c r="BP225" s="176" t="n"/>
      <c r="BQ225" s="176" t="n"/>
      <c r="BR225" s="176" t="n"/>
      <c r="BS225" s="176" t="n"/>
      <c r="BT225" s="176" t="n"/>
      <c r="BU225" s="176" t="n"/>
      <c r="BV225" s="176" t="n"/>
      <c r="BW225" s="176" t="n"/>
      <c r="BX225" s="176" t="n"/>
      <c r="BY225" s="176" t="n"/>
      <c r="BZ225" s="176" t="n"/>
      <c r="CA225" s="176" t="n"/>
      <c r="CB225" s="176" t="n"/>
      <c r="CC225" s="176" t="n"/>
      <c r="CD225" s="176" t="n"/>
      <c r="CE225" s="176" t="n"/>
      <c r="CF225" s="176" t="n"/>
      <c r="CG225" s="176" t="n"/>
      <c r="CH225" s="176" t="n"/>
      <c r="CI225" s="176" t="n"/>
      <c r="CJ225" s="176" t="n"/>
      <c r="CK225" s="176" t="n"/>
      <c r="CL225" s="176" t="n"/>
      <c r="CM225" s="176" t="n"/>
      <c r="CN225" s="176" t="n"/>
      <c r="CO225" s="176" t="n"/>
      <c r="CP225" s="176" t="n"/>
      <c r="CQ225" s="176" t="n"/>
      <c r="CR225" s="176" t="n"/>
      <c r="CS225" s="176" t="n"/>
      <c r="CT225" s="176" t="n"/>
      <c r="CU225" s="176" t="n"/>
      <c r="CV225" s="176" t="n"/>
      <c r="CW225" s="176" t="n"/>
      <c r="CX225" s="176" t="n"/>
      <c r="CY225" s="176" t="n"/>
      <c r="CZ225" s="176" t="n"/>
      <c r="DA225" s="181" t="inlineStr">
        <is>
          <t>FAMÍLIA</t>
        </is>
      </c>
      <c r="DB225" s="182" t="n"/>
      <c r="DC225" s="183" t="n"/>
      <c r="DD225" s="185" t="n"/>
      <c r="DE225" s="182" t="n"/>
      <c r="DF225" s="183" t="n"/>
      <c r="DG225" s="176" t="n"/>
      <c r="DH225" s="176" t="n"/>
      <c r="DI225" s="181" t="inlineStr">
        <is>
          <t>FAMÍLIA</t>
        </is>
      </c>
      <c r="DJ225" s="182" t="n"/>
      <c r="DK225" s="183" t="n"/>
      <c r="DL225" s="185" t="n"/>
      <c r="DM225" s="182" t="n"/>
      <c r="DN225" s="183" t="n"/>
      <c r="DO225" s="176" t="n"/>
      <c r="DP225" s="176" t="n"/>
      <c r="DQ225" s="176" t="n"/>
      <c r="DR225" s="189" t="n"/>
      <c r="DS225" s="190" t="n"/>
      <c r="DT225" s="190" t="n"/>
      <c r="DU225" s="190" t="n"/>
      <c r="DV225" s="190" t="n"/>
      <c r="DW225" s="191" t="n"/>
      <c r="DX225" s="176" t="n"/>
      <c r="DY225" s="176" t="n"/>
      <c r="DZ225" s="189" t="n"/>
      <c r="EA225" s="190" t="n"/>
      <c r="EB225" s="190" t="n"/>
      <c r="EC225" s="190" t="n"/>
      <c r="ED225" s="190" t="n"/>
      <c r="EE225" s="191" t="n"/>
      <c r="EF225" s="176" t="n"/>
      <c r="EG225" s="176" t="n"/>
      <c r="EH225" s="176" t="n"/>
      <c r="EI225" s="176" t="n"/>
      <c r="EJ225" s="176" t="n"/>
      <c r="EK225" s="176" t="n"/>
      <c r="EL225" s="176" t="n"/>
      <c r="EM225" s="176" t="n"/>
      <c r="EN225" s="176" t="n"/>
      <c r="EO225" s="176" t="n"/>
      <c r="EP225" s="176" t="n"/>
      <c r="EQ225" s="176" t="n"/>
      <c r="ER225" s="176" t="n"/>
      <c r="ES225" s="176" t="n"/>
      <c r="ET225" s="176" t="n"/>
      <c r="EU225" s="176" t="n"/>
      <c r="EV225" s="176" t="n"/>
      <c r="EW225" s="176" t="n"/>
      <c r="EX225" s="176" t="n"/>
      <c r="EY225" s="176" t="n"/>
      <c r="EZ225" s="176" t="n"/>
      <c r="FA225" s="176" t="n"/>
      <c r="FB225" s="176" t="n"/>
      <c r="FC225" s="176" t="n"/>
      <c r="FD225" s="176" t="n"/>
      <c r="FE225" s="176" t="n"/>
      <c r="FF225" s="176" t="n"/>
      <c r="FG225" s="176" t="n"/>
      <c r="FH225" s="176" t="n"/>
      <c r="FI225" s="176" t="n"/>
      <c r="FJ225" s="176" t="n"/>
      <c r="FK225" s="176" t="n"/>
      <c r="FL225" s="176" t="n"/>
      <c r="FM225" s="176" t="n"/>
      <c r="FN225" s="176" t="n"/>
      <c r="FO225" s="176" t="n"/>
      <c r="FP225" s="176" t="n"/>
      <c r="FQ225" s="176" t="n"/>
      <c r="FR225" s="176" t="n"/>
      <c r="FS225" s="176" t="n"/>
      <c r="FT225" s="176" t="n"/>
      <c r="FU225" s="176" t="n"/>
      <c r="FV225" s="176" t="n"/>
      <c r="FW225" s="176" t="n"/>
      <c r="FX225" s="176" t="n"/>
      <c r="FY225" s="176" t="n"/>
      <c r="FZ225" s="176" t="n"/>
      <c r="GA225" s="176" t="n"/>
      <c r="GB225" s="176" t="n"/>
      <c r="GC225" s="176" t="n"/>
      <c r="GD225" s="176" t="n"/>
      <c r="GE225" s="176" t="n"/>
      <c r="GF225" s="176" t="n"/>
      <c r="GG225" s="176" t="n"/>
      <c r="GH225" s="176" t="n"/>
      <c r="GI225" s="176" t="n"/>
      <c r="GJ225" s="176" t="n"/>
      <c r="GK225" s="176" t="n"/>
      <c r="GL225" s="176" t="n"/>
      <c r="GM225" s="176" t="n"/>
      <c r="GN225" s="176" t="n"/>
      <c r="GO225" s="176" t="n"/>
      <c r="GP225" s="176" t="n"/>
      <c r="GQ225" s="176" t="n"/>
      <c r="GR225" s="176" t="n"/>
      <c r="GS225" s="176" t="n"/>
      <c r="GT225" s="176" t="n"/>
      <c r="GU225" s="176" t="n"/>
      <c r="GV225" s="176" t="n"/>
      <c r="GW225" s="176" t="n"/>
      <c r="GX225" s="176" t="n"/>
      <c r="GY225" s="176" t="n"/>
      <c r="GZ225" s="176" t="n"/>
      <c r="HA225" s="176" t="n"/>
      <c r="HB225" s="176" t="n"/>
      <c r="HC225" s="176" t="n"/>
      <c r="HD225" s="176" t="n"/>
      <c r="HE225" s="176" t="n"/>
      <c r="HF225" s="176" t="n"/>
      <c r="HG225" s="176" t="n"/>
      <c r="HH225" s="176" t="n"/>
      <c r="HI225" s="176" t="n"/>
      <c r="HJ225" s="176" t="n"/>
      <c r="HK225" s="176" t="n"/>
      <c r="HL225" s="176" t="n"/>
      <c r="HM225" s="176" t="n"/>
      <c r="HN225" s="176" t="n"/>
      <c r="HO225" s="176" t="n"/>
      <c r="HP225" s="193" t="n"/>
      <c r="HU225" s="194" t="n"/>
      <c r="HV225" s="176" t="n"/>
      <c r="HW225" s="176" t="n"/>
      <c r="HX225" s="193" t="n"/>
      <c r="IC225" s="194" t="n"/>
      <c r="ID225" s="176" t="n"/>
    </row>
    <row r="226" ht="18.75" customHeight="1">
      <c r="A226" s="176" t="n"/>
      <c r="B226" s="176" t="n"/>
      <c r="C226" s="176" t="n"/>
      <c r="D226" s="176" t="n"/>
      <c r="E226" s="176" t="n"/>
      <c r="F226" s="176" t="n"/>
      <c r="G226" s="176" t="n"/>
      <c r="H226" s="176" t="n"/>
      <c r="I226" s="176" t="n"/>
      <c r="J226" s="176" t="n"/>
      <c r="K226" s="176" t="n"/>
      <c r="L226" s="176" t="n"/>
      <c r="M226" s="176" t="n"/>
      <c r="N226" s="176" t="n"/>
      <c r="O226" s="176" t="n"/>
      <c r="P226" s="176" t="n"/>
      <c r="Q226" s="176" t="n"/>
      <c r="R226" s="176" t="n"/>
      <c r="S226" s="176" t="n"/>
      <c r="T226" s="181">
        <f>SWITCH('CONFIGURAÇÃO'!$T$217,"Origem","OFÍCIO","Marcante","","Menor","","Arma","PROPRIEDADE 4","Escudo","","Uniforme","","Item comum","","Ferramenta amaldiçoada","","")</f>
        <v/>
      </c>
      <c r="U226" s="183" t="n"/>
      <c r="V226" s="185" t="n"/>
      <c r="W226" s="182" t="n"/>
      <c r="X226" s="182" t="n"/>
      <c r="Y226" s="183" t="n"/>
      <c r="Z226" s="176" t="n"/>
      <c r="AA226" s="176" t="n"/>
      <c r="AB226" s="181">
        <f>SWITCH('CONFIGURAÇÃO'!$AB$217,"Origem","OFÍCIO","Marcante","","Menor","","Arma","PROPRIEDADE 4","Escudo","","Uniforme","","Item comum","","Ferramenta amaldiçoada","","")</f>
        <v/>
      </c>
      <c r="AC226" s="183" t="n"/>
      <c r="AD226" s="185" t="n"/>
      <c r="AE226" s="182" t="n"/>
      <c r="AF226" s="182" t="n"/>
      <c r="AG226" s="183" t="n"/>
      <c r="AH226" s="176" t="n"/>
      <c r="AI226" s="176" t="n"/>
      <c r="AJ226" s="176" t="n"/>
      <c r="AK226" s="176" t="n"/>
      <c r="AL226" s="176" t="n"/>
      <c r="AM226" s="176" t="n"/>
      <c r="AN226" s="176" t="n"/>
      <c r="AO226" s="176" t="n"/>
      <c r="AP226" s="176" t="n"/>
      <c r="AQ226" s="176" t="n"/>
      <c r="AR226" s="176" t="n"/>
      <c r="AS226" s="176" t="n"/>
      <c r="AT226" s="176" t="n"/>
      <c r="AU226" s="176" t="n"/>
      <c r="AV226" s="176" t="n"/>
      <c r="AW226" s="176" t="n"/>
      <c r="AX226" s="176" t="n"/>
      <c r="AY226" s="176" t="n"/>
      <c r="AZ226" s="176" t="n"/>
      <c r="BA226" s="176" t="n"/>
      <c r="BB226" s="176" t="n"/>
      <c r="BC226" s="176" t="n"/>
      <c r="BD226" s="176" t="n"/>
      <c r="BE226" s="176" t="n"/>
      <c r="BF226" s="176" t="n"/>
      <c r="BG226" s="176" t="n"/>
      <c r="BH226" s="176" t="n"/>
      <c r="BI226" s="176" t="n"/>
      <c r="BJ226" s="176" t="n"/>
      <c r="BK226" s="176" t="n"/>
      <c r="BL226" s="176" t="n"/>
      <c r="BM226" s="176" t="n"/>
      <c r="BN226" s="176" t="n"/>
      <c r="BO226" s="176" t="n"/>
      <c r="BP226" s="176" t="n"/>
      <c r="BQ226" s="176" t="n"/>
      <c r="BR226" s="176" t="n"/>
      <c r="BS226" s="176" t="n"/>
      <c r="BT226" s="176" t="n"/>
      <c r="BU226" s="176" t="n"/>
      <c r="BV226" s="176" t="n"/>
      <c r="BW226" s="176" t="n"/>
      <c r="BX226" s="176" t="n"/>
      <c r="BY226" s="176" t="n"/>
      <c r="BZ226" s="176" t="n"/>
      <c r="CA226" s="176" t="n"/>
      <c r="CB226" s="176" t="n"/>
      <c r="CC226" s="176" t="n"/>
      <c r="CD226" s="176" t="n"/>
      <c r="CE226" s="176" t="n"/>
      <c r="CF226" s="176" t="n"/>
      <c r="CG226" s="176" t="n"/>
      <c r="CH226" s="176" t="n"/>
      <c r="CI226" s="176" t="n"/>
      <c r="CJ226" s="176" t="n"/>
      <c r="CK226" s="176" t="n"/>
      <c r="CL226" s="176" t="n"/>
      <c r="CM226" s="176" t="n"/>
      <c r="CN226" s="176" t="n"/>
      <c r="CO226" s="176" t="n"/>
      <c r="CP226" s="176" t="n"/>
      <c r="CQ226" s="176" t="n"/>
      <c r="CR226" s="176" t="n"/>
      <c r="CS226" s="176" t="n"/>
      <c r="CT226" s="176" t="n"/>
      <c r="CU226" s="176" t="n"/>
      <c r="CV226" s="176" t="n"/>
      <c r="CW226" s="176" t="n"/>
      <c r="CX226" s="176" t="n"/>
      <c r="CY226" s="176" t="n"/>
      <c r="CZ226" s="176" t="n"/>
      <c r="DA226" s="181" t="inlineStr">
        <is>
          <t>PESO</t>
        </is>
      </c>
      <c r="DB226" s="182" t="n"/>
      <c r="DC226" s="183" t="n"/>
      <c r="DD226" s="185" t="n"/>
      <c r="DE226" s="182" t="n"/>
      <c r="DF226" s="183" t="n"/>
      <c r="DG226" s="176" t="n"/>
      <c r="DH226" s="176" t="n"/>
      <c r="DI226" s="181" t="inlineStr">
        <is>
          <t>PESO</t>
        </is>
      </c>
      <c r="DJ226" s="182" t="n"/>
      <c r="DK226" s="183" t="n"/>
      <c r="DL226" s="185" t="n"/>
      <c r="DM226" s="182" t="n"/>
      <c r="DN226" s="183" t="n"/>
      <c r="DO226" s="176" t="n"/>
      <c r="DP226" s="176" t="n"/>
      <c r="DQ226" s="176" t="n"/>
      <c r="DR226" s="176" t="n"/>
      <c r="DS226" s="176" t="n"/>
      <c r="DT226" s="176" t="n"/>
      <c r="DU226" s="176" t="n"/>
      <c r="DV226" s="176" t="n"/>
      <c r="DW226" s="176" t="n"/>
      <c r="DX226" s="176" t="n"/>
      <c r="DY226" s="176" t="n"/>
      <c r="DZ226" s="176" t="n"/>
      <c r="EA226" s="176" t="n"/>
      <c r="EB226" s="176" t="n"/>
      <c r="EC226" s="176" t="n"/>
      <c r="ED226" s="176" t="n"/>
      <c r="EE226" s="176" t="n"/>
      <c r="EF226" s="176" t="n"/>
      <c r="EG226" s="176" t="n"/>
      <c r="EH226" s="176" t="n"/>
      <c r="EI226" s="176" t="n"/>
      <c r="EJ226" s="176" t="n"/>
      <c r="EK226" s="176" t="n"/>
      <c r="EL226" s="176" t="n"/>
      <c r="EM226" s="176" t="n"/>
      <c r="EN226" s="176" t="n"/>
      <c r="EO226" s="176" t="n"/>
      <c r="EP226" s="176" t="n"/>
      <c r="EQ226" s="176" t="n"/>
      <c r="ER226" s="176" t="n"/>
      <c r="ES226" s="176" t="n"/>
      <c r="ET226" s="176" t="n"/>
      <c r="EU226" s="176" t="n"/>
      <c r="EV226" s="176" t="n"/>
      <c r="EW226" s="176" t="n"/>
      <c r="EX226" s="176" t="n"/>
      <c r="EY226" s="176" t="n"/>
      <c r="EZ226" s="181" t="inlineStr">
        <is>
          <t>REQUISITOS</t>
        </is>
      </c>
      <c r="FA226" s="182" t="n"/>
      <c r="FB226" s="182" t="n"/>
      <c r="FC226" s="182" t="n"/>
      <c r="FD226" s="182" t="n"/>
      <c r="FE226" s="183" t="n"/>
      <c r="FF226" s="176" t="n"/>
      <c r="FG226" s="176" t="n"/>
      <c r="FH226" s="181" t="inlineStr">
        <is>
          <t>REQUISITOS</t>
        </is>
      </c>
      <c r="FI226" s="182" t="n"/>
      <c r="FJ226" s="182" t="n"/>
      <c r="FK226" s="182" t="n"/>
      <c r="FL226" s="182" t="n"/>
      <c r="FM226" s="183" t="n"/>
      <c r="FN226" s="176" t="n"/>
      <c r="FO226" s="176" t="n"/>
      <c r="FP226" s="176" t="n"/>
      <c r="FQ226" s="176" t="n"/>
      <c r="FR226" s="176" t="n"/>
      <c r="FS226" s="176" t="n"/>
      <c r="FT226" s="176" t="n"/>
      <c r="FU226" s="176" t="n"/>
      <c r="FV226" s="176" t="n"/>
      <c r="FW226" s="176" t="n"/>
      <c r="FX226" s="176" t="n"/>
      <c r="FY226" s="176" t="n"/>
      <c r="FZ226" s="176" t="n"/>
      <c r="GA226" s="176" t="n"/>
      <c r="GB226" s="176" t="n"/>
      <c r="GC226" s="176" t="n"/>
      <c r="GD226" s="176" t="n"/>
      <c r="GE226" s="176" t="n"/>
      <c r="GF226" s="176" t="n"/>
      <c r="GG226" s="176" t="n"/>
      <c r="GH226" s="176" t="n"/>
      <c r="GI226" s="176" t="n"/>
      <c r="GJ226" s="176" t="n"/>
      <c r="GK226" s="176" t="n"/>
      <c r="GL226" s="176" t="n"/>
      <c r="GM226" s="176" t="n"/>
      <c r="GN226" s="176" t="n"/>
      <c r="GO226" s="176" t="n"/>
      <c r="GP226" s="176" t="n"/>
      <c r="GQ226" s="176" t="n"/>
      <c r="GR226" s="176" t="n"/>
      <c r="GS226" s="176" t="n"/>
      <c r="GT226" s="176" t="n"/>
      <c r="GU226" s="176" t="n"/>
      <c r="GV226" s="176" t="n"/>
      <c r="GW226" s="176" t="n"/>
      <c r="GX226" s="176" t="n"/>
      <c r="GY226" s="176" t="n"/>
      <c r="GZ226" s="176" t="n"/>
      <c r="HA226" s="176" t="n"/>
      <c r="HB226" s="176" t="n"/>
      <c r="HC226" s="176" t="n"/>
      <c r="HD226" s="176" t="n"/>
      <c r="HE226" s="176" t="n"/>
      <c r="HF226" s="176" t="n"/>
      <c r="HG226" s="176" t="n"/>
      <c r="HH226" s="176" t="n"/>
      <c r="HI226" s="176" t="n"/>
      <c r="HJ226" s="176" t="n"/>
      <c r="HK226" s="176" t="n"/>
      <c r="HL226" s="176" t="n"/>
      <c r="HM226" s="176" t="n"/>
      <c r="HN226" s="176" t="n"/>
      <c r="HO226" s="176" t="n"/>
      <c r="HP226" s="193" t="n"/>
      <c r="HU226" s="194" t="n"/>
      <c r="HV226" s="176" t="n"/>
      <c r="HW226" s="176" t="n"/>
      <c r="HX226" s="193" t="n"/>
      <c r="IC226" s="194" t="n"/>
      <c r="ID226" s="176" t="n"/>
    </row>
    <row r="227" ht="18.75" customHeight="1">
      <c r="A227" s="176" t="n"/>
      <c r="B227" s="176" t="n"/>
      <c r="C227" s="176" t="n"/>
      <c r="D227" s="176" t="n"/>
      <c r="E227" s="176" t="n"/>
      <c r="F227" s="176" t="n"/>
      <c r="G227" s="176" t="n"/>
      <c r="H227" s="176" t="n"/>
      <c r="I227" s="176" t="n"/>
      <c r="J227" s="176" t="n"/>
      <c r="K227" s="176" t="n"/>
      <c r="L227" s="176" t="n"/>
      <c r="M227" s="176" t="n"/>
      <c r="N227" s="176" t="n"/>
      <c r="O227" s="176" t="n"/>
      <c r="P227" s="176" t="n"/>
      <c r="Q227" s="176" t="n"/>
      <c r="R227" s="176" t="n"/>
      <c r="S227" s="176" t="n"/>
      <c r="T227" s="181">
        <f>SWITCH('CONFIGURAÇÃO'!$T$217,"Origem","TALENTO CE 4","Marcante","FREQUÊNCIA","Menor","FREQUÊNCIA","Arma","DADO","Escudo","PROTEÇÃO","Uniforme","PROTEÇÃO","Item comum","VOLUME","Ferramenta amaldiçoada","ESTIGMA","")</f>
        <v/>
      </c>
      <c r="U227" s="183" t="n"/>
      <c r="V227" s="185" t="n"/>
      <c r="W227" s="182" t="n"/>
      <c r="X227" s="182" t="n"/>
      <c r="Y227" s="183" t="n"/>
      <c r="Z227" s="176" t="n"/>
      <c r="AA227" s="176" t="n"/>
      <c r="AB227" s="181">
        <f>SWITCH('CONFIGURAÇÃO'!$AB$217,"Origem","TALENTO CE 4","Marcante","FREQUÊNCIA","Menor","FREQUÊNCIA","Arma","DADO","Escudo","PROTEÇÃO","Uniforme","PROTEÇÃO","Item comum","VOLUME","Ferramenta amaldiçoada","ESTIGMA","")</f>
        <v/>
      </c>
      <c r="AC227" s="183" t="n"/>
      <c r="AD227" s="185" t="n"/>
      <c r="AE227" s="182" t="n"/>
      <c r="AF227" s="182" t="n"/>
      <c r="AG227" s="183" t="n"/>
      <c r="AH227" s="176" t="n"/>
      <c r="AI227" s="176" t="n"/>
      <c r="AJ227" s="176" t="n"/>
      <c r="AK227" s="176" t="n"/>
      <c r="AL227" s="176" t="n"/>
      <c r="AM227" s="176" t="n"/>
      <c r="AN227" s="176" t="n"/>
      <c r="AO227" s="176" t="n"/>
      <c r="AP227" s="176" t="n"/>
      <c r="AQ227" s="176" t="n"/>
      <c r="AR227" s="176" t="n"/>
      <c r="AS227" s="176" t="n"/>
      <c r="AT227" s="176" t="n"/>
      <c r="AU227" s="176" t="n"/>
      <c r="AV227" s="176" t="n"/>
      <c r="AW227" s="176" t="n"/>
      <c r="AX227" s="176" t="n"/>
      <c r="AY227" s="176" t="n"/>
      <c r="AZ227" s="176" t="n"/>
      <c r="BA227" s="176" t="n"/>
      <c r="BB227" s="176" t="n"/>
      <c r="BC227" s="176" t="n"/>
      <c r="BD227" s="176" t="n"/>
      <c r="BE227" s="176" t="n"/>
      <c r="BF227" s="176" t="n"/>
      <c r="BG227" s="176" t="n"/>
      <c r="BH227" s="176" t="n"/>
      <c r="BI227" s="176" t="n"/>
      <c r="BJ227" s="176" t="n"/>
      <c r="BK227" s="176" t="n"/>
      <c r="BL227" s="176" t="n"/>
      <c r="BM227" s="176" t="n"/>
      <c r="BN227" s="176" t="n"/>
      <c r="BO227" s="176" t="n"/>
      <c r="BP227" s="176" t="n"/>
      <c r="BQ227" s="176" t="n"/>
      <c r="BR227" s="176" t="n"/>
      <c r="BS227" s="176" t="n"/>
      <c r="BT227" s="176" t="n"/>
      <c r="BU227" s="176" t="n"/>
      <c r="BV227" s="176" t="n"/>
      <c r="BW227" s="176" t="n"/>
      <c r="BX227" s="176" t="n"/>
      <c r="BY227" s="176" t="n"/>
      <c r="BZ227" s="176" t="n"/>
      <c r="CA227" s="176" t="n"/>
      <c r="CB227" s="176" t="n"/>
      <c r="CC227" s="176" t="n"/>
      <c r="CD227" s="176" t="n"/>
      <c r="CE227" s="176" t="n"/>
      <c r="CF227" s="176" t="n"/>
      <c r="CG227" s="176" t="n"/>
      <c r="CH227" s="176" t="n"/>
      <c r="CI227" s="176" t="n"/>
      <c r="CJ227" s="176" t="n"/>
      <c r="CK227" s="176" t="n"/>
      <c r="CL227" s="176" t="n"/>
      <c r="CM227" s="176" t="n"/>
      <c r="CN227" s="176" t="n"/>
      <c r="CO227" s="176" t="n"/>
      <c r="CP227" s="176" t="n"/>
      <c r="CQ227" s="176" t="n"/>
      <c r="CR227" s="176" t="n"/>
      <c r="CS227" s="176" t="n"/>
      <c r="CT227" s="176" t="n"/>
      <c r="CU227" s="176" t="n"/>
      <c r="CV227" s="176" t="n"/>
      <c r="CW227" s="176" t="n"/>
      <c r="CX227" s="176" t="n"/>
      <c r="CY227" s="176" t="n"/>
      <c r="CZ227" s="176" t="n"/>
      <c r="DA227" s="181" t="inlineStr">
        <is>
          <t>EXIGE TR</t>
        </is>
      </c>
      <c r="DB227" s="182" t="n"/>
      <c r="DC227" s="183" t="n"/>
      <c r="DD227" s="185" t="n"/>
      <c r="DE227" s="182" t="n"/>
      <c r="DF227" s="183" t="n"/>
      <c r="DG227" s="176" t="n"/>
      <c r="DH227" s="176" t="n"/>
      <c r="DI227" s="181" t="inlineStr">
        <is>
          <t>EXIGE TR</t>
        </is>
      </c>
      <c r="DJ227" s="182" t="n"/>
      <c r="DK227" s="183" t="n"/>
      <c r="DL227" s="185" t="n"/>
      <c r="DM227" s="182" t="n"/>
      <c r="DN227" s="183" t="n"/>
      <c r="DO227" s="176" t="n"/>
      <c r="DP227" s="176" t="n"/>
      <c r="DQ227" s="176" t="n"/>
      <c r="DR227" s="180">
        <f>IF('DADOS_RESTRICOES'!$K$20="","","⚠ "&amp;'DADOS_RESTRICOES'!$K$20)</f>
        <v/>
      </c>
      <c r="DX227" s="176" t="n"/>
      <c r="DY227" s="176" t="n"/>
      <c r="DZ227" s="180">
        <f>IF('DADOS_RESTRICOES'!$K$21="","","⚠ "&amp;'DADOS_RESTRICOES'!$K$21)</f>
        <v/>
      </c>
      <c r="EF227" s="176" t="n"/>
      <c r="EG227" s="176" t="n"/>
      <c r="EH227" s="176" t="n"/>
      <c r="EI227" s="176" t="n"/>
      <c r="EJ227" s="176" t="n"/>
      <c r="EK227" s="176" t="n"/>
      <c r="EL227" s="176" t="n"/>
      <c r="EM227" s="176" t="n"/>
      <c r="EN227" s="176" t="n"/>
      <c r="EO227" s="176" t="n"/>
      <c r="EP227" s="176" t="n"/>
      <c r="EQ227" s="176" t="n"/>
      <c r="ER227" s="176" t="n"/>
      <c r="ES227" s="176" t="n"/>
      <c r="ET227" s="176" t="n"/>
      <c r="EU227" s="176" t="n"/>
      <c r="EV227" s="176" t="n"/>
      <c r="EW227" s="176" t="n"/>
      <c r="EX227" s="176" t="n"/>
      <c r="EY227" s="176" t="n"/>
      <c r="EZ227" s="192" t="n"/>
      <c r="FA227" s="187" t="n"/>
      <c r="FB227" s="187" t="n"/>
      <c r="FC227" s="187" t="n"/>
      <c r="FD227" s="187" t="n"/>
      <c r="FE227" s="188" t="n"/>
      <c r="FF227" s="176" t="n"/>
      <c r="FG227" s="176" t="n"/>
      <c r="FH227" s="192" t="n"/>
      <c r="FI227" s="187" t="n"/>
      <c r="FJ227" s="187" t="n"/>
      <c r="FK227" s="187" t="n"/>
      <c r="FL227" s="187" t="n"/>
      <c r="FM227" s="188" t="n"/>
      <c r="FN227" s="176" t="n"/>
      <c r="FO227" s="176" t="n"/>
      <c r="FP227" s="176" t="n"/>
      <c r="FQ227" s="176" t="n"/>
      <c r="FR227" s="176" t="n"/>
      <c r="FS227" s="176" t="n"/>
      <c r="FT227" s="176" t="n"/>
      <c r="FU227" s="176" t="n"/>
      <c r="FV227" s="176" t="n"/>
      <c r="FW227" s="176" t="n"/>
      <c r="FX227" s="176" t="n"/>
      <c r="FY227" s="176" t="n"/>
      <c r="FZ227" s="176" t="n"/>
      <c r="GA227" s="176" t="n"/>
      <c r="GB227" s="176" t="n"/>
      <c r="GC227" s="176" t="n"/>
      <c r="GD227" s="176" t="n"/>
      <c r="GE227" s="176" t="n"/>
      <c r="GF227" s="176" t="n"/>
      <c r="GG227" s="176" t="n"/>
      <c r="GH227" s="176" t="n"/>
      <c r="GI227" s="176" t="n"/>
      <c r="GJ227" s="176" t="n"/>
      <c r="GK227" s="176" t="n"/>
      <c r="GL227" s="176" t="n"/>
      <c r="GM227" s="176" t="n"/>
      <c r="GN227" s="176" t="n"/>
      <c r="GO227" s="176" t="n"/>
      <c r="GP227" s="176" t="n"/>
      <c r="GQ227" s="176" t="n"/>
      <c r="GR227" s="176" t="n"/>
      <c r="GS227" s="176" t="n"/>
      <c r="GT227" s="176" t="n"/>
      <c r="GU227" s="176" t="n"/>
      <c r="GV227" s="176" t="n"/>
      <c r="GW227" s="176" t="n"/>
      <c r="GX227" s="176" t="n"/>
      <c r="GY227" s="176" t="n"/>
      <c r="GZ227" s="176" t="n"/>
      <c r="HA227" s="176" t="n"/>
      <c r="HB227" s="176" t="n"/>
      <c r="HC227" s="176" t="n"/>
      <c r="HD227" s="176" t="n"/>
      <c r="HE227" s="176" t="n"/>
      <c r="HF227" s="176" t="n"/>
      <c r="HG227" s="176" t="n"/>
      <c r="HH227" s="176" t="n"/>
      <c r="HI227" s="176" t="n"/>
      <c r="HJ227" s="176" t="n"/>
      <c r="HK227" s="176" t="n"/>
      <c r="HL227" s="176" t="n"/>
      <c r="HM227" s="176" t="n"/>
      <c r="HN227" s="176" t="n"/>
      <c r="HO227" s="176" t="n"/>
      <c r="HP227" s="193" t="n"/>
      <c r="HU227" s="194" t="n"/>
      <c r="HV227" s="176" t="n"/>
      <c r="HW227" s="176" t="n"/>
      <c r="HX227" s="193" t="n"/>
      <c r="IC227" s="194" t="n"/>
      <c r="ID227" s="176" t="n"/>
    </row>
    <row r="228" ht="18.75" customHeight="1">
      <c r="A228" s="176" t="n"/>
      <c r="B228" s="176" t="n"/>
      <c r="C228" s="176" t="n"/>
      <c r="D228" s="176" t="n"/>
      <c r="E228" s="176" t="n"/>
      <c r="F228" s="176" t="n"/>
      <c r="G228" s="176" t="n"/>
      <c r="H228" s="176" t="n"/>
      <c r="I228" s="176" t="n"/>
      <c r="J228" s="176" t="n"/>
      <c r="K228" s="176" t="n"/>
      <c r="L228" s="176" t="n"/>
      <c r="M228" s="176" t="n"/>
      <c r="N228" s="176" t="n"/>
      <c r="O228" s="176" t="n"/>
      <c r="P228" s="176" t="n"/>
      <c r="Q228" s="176" t="n"/>
      <c r="R228" s="176" t="n"/>
      <c r="S228" s="176" t="n"/>
      <c r="T228" s="181">
        <f>SWITCH('CONFIGURAÇÃO'!$T$217,"Origem","","Marcante","","Menor","","Arma","FORÇA","Escudo","TETO DE DESTREZA","Uniforme","TETO DE DESTREZA","Item comum","PREÇO","Ferramenta amaldiçoada","DESGASTE","")</f>
        <v/>
      </c>
      <c r="U228" s="183" t="n"/>
      <c r="V228" s="185" t="n"/>
      <c r="W228" s="182" t="n"/>
      <c r="X228" s="182" t="n"/>
      <c r="Y228" s="183" t="n"/>
      <c r="Z228" s="176" t="n"/>
      <c r="AA228" s="176" t="n"/>
      <c r="AB228" s="181">
        <f>SWITCH('CONFIGURAÇÃO'!$AB$217,"Origem","","Marcante","","Menor","","Arma","FORÇA","Escudo","TETO DE DESTREZA","Uniforme","TETO DE DESTREZA","Item comum","PREÇO","Ferramenta amaldiçoada","DESGASTE","")</f>
        <v/>
      </c>
      <c r="AC228" s="183" t="n"/>
      <c r="AD228" s="185" t="n"/>
      <c r="AE228" s="182" t="n"/>
      <c r="AF228" s="182" t="n"/>
      <c r="AG228" s="183" t="n"/>
      <c r="AH228" s="176" t="n"/>
      <c r="AI228" s="176" t="n"/>
      <c r="AJ228" s="176" t="n"/>
      <c r="AK228" s="176" t="n"/>
      <c r="AL228" s="176" t="n"/>
      <c r="AM228" s="176" t="n"/>
      <c r="AN228" s="176" t="n"/>
      <c r="AO228" s="176" t="n"/>
      <c r="AP228" s="176" t="n"/>
      <c r="AQ228" s="176" t="n"/>
      <c r="AR228" s="176" t="n"/>
      <c r="AS228" s="176" t="n"/>
      <c r="AT228" s="176" t="n"/>
      <c r="AU228" s="176" t="n"/>
      <c r="AV228" s="176" t="n"/>
      <c r="AW228" s="176" t="n"/>
      <c r="AX228" s="176" t="n"/>
      <c r="AY228" s="176" t="n"/>
      <c r="AZ228" s="176" t="n"/>
      <c r="BA228" s="176" t="n"/>
      <c r="BB228" s="176" t="n"/>
      <c r="BC228" s="176" t="n"/>
      <c r="BD228" s="176" t="n"/>
      <c r="BE228" s="176" t="n"/>
      <c r="BF228" s="176" t="n"/>
      <c r="BG228" s="176" t="n"/>
      <c r="BH228" s="176" t="n"/>
      <c r="BI228" s="176" t="n"/>
      <c r="BJ228" s="176" t="n"/>
      <c r="BK228" s="176" t="n"/>
      <c r="BL228" s="176" t="n"/>
      <c r="BM228" s="176" t="n"/>
      <c r="BN228" s="176" t="n"/>
      <c r="BO228" s="176" t="n"/>
      <c r="BP228" s="176" t="n"/>
      <c r="BQ228" s="176" t="n"/>
      <c r="BR228" s="176" t="n"/>
      <c r="BS228" s="176" t="n"/>
      <c r="BT228" s="176" t="n"/>
      <c r="BU228" s="176" t="n"/>
      <c r="BV228" s="176" t="n"/>
      <c r="BW228" s="176" t="n"/>
      <c r="BX228" s="176" t="n"/>
      <c r="BY228" s="176" t="n"/>
      <c r="BZ228" s="176" t="n"/>
      <c r="CA228" s="176" t="n"/>
      <c r="CB228" s="176" t="n"/>
      <c r="CC228" s="176" t="n"/>
      <c r="CD228" s="176" t="n"/>
      <c r="CE228" s="176" t="n"/>
      <c r="CF228" s="176" t="n"/>
      <c r="CG228" s="176" t="n"/>
      <c r="CH228" s="176" t="n"/>
      <c r="CI228" s="176" t="n"/>
      <c r="CJ228" s="176" t="n"/>
      <c r="CK228" s="176" t="n"/>
      <c r="CL228" s="176" t="n"/>
      <c r="CM228" s="176" t="n"/>
      <c r="CN228" s="176" t="n"/>
      <c r="CO228" s="176" t="n"/>
      <c r="CP228" s="176" t="n"/>
      <c r="CQ228" s="176" t="n"/>
      <c r="CR228" s="176" t="n"/>
      <c r="CS228" s="176" t="n"/>
      <c r="CT228" s="176" t="n"/>
      <c r="CU228" s="176" t="n"/>
      <c r="CV228" s="176" t="n"/>
      <c r="CW228" s="176" t="n"/>
      <c r="CX228" s="176" t="n"/>
      <c r="CY228" s="176" t="n"/>
      <c r="CZ228" s="176" t="n"/>
      <c r="DA228" s="176" t="n"/>
      <c r="DB228" s="176" t="n"/>
      <c r="DC228" s="176" t="n"/>
      <c r="DD228" s="176" t="n"/>
      <c r="DE228" s="176" t="n"/>
      <c r="DF228" s="176" t="n"/>
      <c r="DG228" s="176" t="n"/>
      <c r="DH228" s="176" t="n"/>
      <c r="DI228" s="176" t="n"/>
      <c r="DJ228" s="176" t="n"/>
      <c r="DK228" s="176" t="n"/>
      <c r="DL228" s="176" t="n"/>
      <c r="DM228" s="176" t="n"/>
      <c r="DN228" s="176" t="n"/>
      <c r="DO228" s="176" t="n"/>
      <c r="DP228" s="176" t="n"/>
      <c r="DQ228" s="176" t="n"/>
      <c r="DX228" s="176" t="n"/>
      <c r="DY228" s="176" t="n"/>
      <c r="EF228" s="176" t="n"/>
      <c r="EG228" s="176" t="n"/>
      <c r="EH228" s="176" t="n"/>
      <c r="EI228" s="176" t="n"/>
      <c r="EJ228" s="176" t="n"/>
      <c r="EK228" s="176" t="n"/>
      <c r="EL228" s="176" t="n"/>
      <c r="EM228" s="176" t="n"/>
      <c r="EN228" s="176" t="n"/>
      <c r="EO228" s="176" t="n"/>
      <c r="EP228" s="176" t="n"/>
      <c r="EQ228" s="176" t="n"/>
      <c r="ER228" s="176" t="n"/>
      <c r="ES228" s="176" t="n"/>
      <c r="ET228" s="176" t="n"/>
      <c r="EU228" s="176" t="n"/>
      <c r="EV228" s="176" t="n"/>
      <c r="EW228" s="176" t="n"/>
      <c r="EX228" s="176" t="n"/>
      <c r="EY228" s="176" t="n"/>
      <c r="EZ228" s="193" t="n"/>
      <c r="FE228" s="194" t="n"/>
      <c r="FF228" s="176" t="n"/>
      <c r="FG228" s="176" t="n"/>
      <c r="FH228" s="193" t="n"/>
      <c r="FM228" s="194" t="n"/>
      <c r="FN228" s="176" t="n"/>
      <c r="FO228" s="176" t="n"/>
      <c r="FP228" s="176" t="n"/>
      <c r="FQ228" s="176" t="n"/>
      <c r="FR228" s="176" t="n"/>
      <c r="FS228" s="176" t="n"/>
      <c r="FT228" s="176" t="n"/>
      <c r="FU228" s="176" t="n"/>
      <c r="FV228" s="176" t="n"/>
      <c r="FW228" s="176" t="n"/>
      <c r="FX228" s="176" t="n"/>
      <c r="FY228" s="176" t="n"/>
      <c r="FZ228" s="176" t="n"/>
      <c r="GA228" s="176" t="n"/>
      <c r="GB228" s="176" t="n"/>
      <c r="GC228" s="176" t="n"/>
      <c r="GD228" s="176" t="n"/>
      <c r="GE228" s="176" t="n"/>
      <c r="GF228" s="176" t="n"/>
      <c r="GG228" s="176" t="n"/>
      <c r="GH228" s="176" t="n"/>
      <c r="GI228" s="176" t="n"/>
      <c r="GJ228" s="176" t="n"/>
      <c r="GK228" s="176" t="n"/>
      <c r="GL228" s="176" t="n"/>
      <c r="GM228" s="176" t="n"/>
      <c r="GN228" s="176" t="n"/>
      <c r="GO228" s="176" t="n"/>
      <c r="GP228" s="176" t="n"/>
      <c r="GQ228" s="176" t="n"/>
      <c r="GR228" s="176" t="n"/>
      <c r="GS228" s="176" t="n"/>
      <c r="GT228" s="176" t="n"/>
      <c r="GU228" s="176" t="n"/>
      <c r="GV228" s="176" t="n"/>
      <c r="GW228" s="176" t="n"/>
      <c r="GX228" s="176" t="n"/>
      <c r="GY228" s="176" t="n"/>
      <c r="GZ228" s="176" t="n"/>
      <c r="HA228" s="176" t="n"/>
      <c r="HB228" s="176" t="n"/>
      <c r="HC228" s="176" t="n"/>
      <c r="HD228" s="176" t="n"/>
      <c r="HE228" s="176" t="n"/>
      <c r="HF228" s="176" t="n"/>
      <c r="HG228" s="176" t="n"/>
      <c r="HH228" s="176" t="n"/>
      <c r="HI228" s="176" t="n"/>
      <c r="HJ228" s="176" t="n"/>
      <c r="HK228" s="176" t="n"/>
      <c r="HL228" s="176" t="n"/>
      <c r="HM228" s="176" t="n"/>
      <c r="HN228" s="176" t="n"/>
      <c r="HO228" s="176" t="n"/>
      <c r="HP228" s="193" t="n"/>
      <c r="HU228" s="194" t="n"/>
      <c r="HV228" s="176" t="n"/>
      <c r="HW228" s="176" t="n"/>
      <c r="HX228" s="193" t="n"/>
      <c r="IC228" s="194" t="n"/>
      <c r="ID228" s="176" t="n"/>
    </row>
    <row r="229" ht="18.75" customHeight="1">
      <c r="A229" s="176" t="n"/>
      <c r="B229" s="176" t="n"/>
      <c r="C229" s="176" t="n"/>
      <c r="D229" s="176" t="n"/>
      <c r="E229" s="176" t="n"/>
      <c r="F229" s="176" t="n"/>
      <c r="G229" s="176" t="n"/>
      <c r="H229" s="176" t="n"/>
      <c r="I229" s="176" t="n"/>
      <c r="J229" s="176" t="n"/>
      <c r="K229" s="176" t="n"/>
      <c r="L229" s="176" t="n"/>
      <c r="M229" s="176" t="n"/>
      <c r="N229" s="176" t="n"/>
      <c r="O229" s="176" t="n"/>
      <c r="P229" s="176" t="n"/>
      <c r="Q229" s="176" t="n"/>
      <c r="R229" s="176" t="n"/>
      <c r="S229" s="176" t="n"/>
      <c r="T229" s="181">
        <f>SWITCH('CONFIGURAÇÃO'!$T$217,"Origem","","Marcante","","Menor","","Arma","VOLUME","Escudo","FORÇA","Uniforme","FORÇA","Item comum","","Ferramenta amaldiçoada","VOLUME","")</f>
        <v/>
      </c>
      <c r="U229" s="183" t="n"/>
      <c r="V229" s="185" t="n"/>
      <c r="W229" s="182" t="n"/>
      <c r="X229" s="182" t="n"/>
      <c r="Y229" s="183" t="n"/>
      <c r="Z229" s="176" t="n"/>
      <c r="AA229" s="176" t="n"/>
      <c r="AB229" s="181">
        <f>SWITCH('CONFIGURAÇÃO'!$AB$217,"Origem","","Marcante","","Menor","","Arma","VOLUME","Escudo","FORÇA","Uniforme","FORÇA","Item comum","","Ferramenta amaldiçoada","VOLUME","")</f>
        <v/>
      </c>
      <c r="AC229" s="183" t="n"/>
      <c r="AD229" s="185" t="n"/>
      <c r="AE229" s="182" t="n"/>
      <c r="AF229" s="182" t="n"/>
      <c r="AG229" s="183" t="n"/>
      <c r="AH229" s="176" t="n"/>
      <c r="AI229" s="176" t="n"/>
      <c r="AJ229" s="176" t="n"/>
      <c r="AK229" s="176" t="n"/>
      <c r="AL229" s="176" t="n"/>
      <c r="AM229" s="176" t="n"/>
      <c r="AN229" s="176" t="n"/>
      <c r="AO229" s="176" t="n"/>
      <c r="AP229" s="176" t="n"/>
      <c r="AQ229" s="176" t="n"/>
      <c r="AR229" s="176" t="n"/>
      <c r="AS229" s="176" t="n"/>
      <c r="AT229" s="176" t="n"/>
      <c r="AU229" s="176" t="n"/>
      <c r="AV229" s="176" t="n"/>
      <c r="AW229" s="176" t="n"/>
      <c r="AX229" s="176" t="n"/>
      <c r="AY229" s="176" t="n"/>
      <c r="AZ229" s="176" t="n"/>
      <c r="BA229" s="176" t="n"/>
      <c r="BB229" s="176" t="n"/>
      <c r="BC229" s="176" t="n"/>
      <c r="BD229" s="176" t="n"/>
      <c r="BE229" s="176" t="n"/>
      <c r="BF229" s="176" t="n"/>
      <c r="BG229" s="176" t="n"/>
      <c r="BH229" s="176" t="n"/>
      <c r="BI229" s="176" t="n"/>
      <c r="BJ229" s="176" t="n"/>
      <c r="BK229" s="176" t="n"/>
      <c r="BL229" s="176" t="n"/>
      <c r="BM229" s="176" t="n"/>
      <c r="BN229" s="176" t="n"/>
      <c r="BO229" s="176" t="n"/>
      <c r="BP229" s="176" t="n"/>
      <c r="BQ229" s="176" t="n"/>
      <c r="BR229" s="176" t="n"/>
      <c r="BS229" s="176" t="n"/>
      <c r="BT229" s="176" t="n"/>
      <c r="BU229" s="176" t="n"/>
      <c r="BV229" s="176" t="n"/>
      <c r="BW229" s="176" t="n"/>
      <c r="BX229" s="176" t="n"/>
      <c r="BY229" s="176" t="n"/>
      <c r="BZ229" s="176" t="n"/>
      <c r="CA229" s="176" t="n"/>
      <c r="CB229" s="176" t="n"/>
      <c r="CC229" s="176" t="n"/>
      <c r="CD229" s="176" t="n"/>
      <c r="CE229" s="176" t="n"/>
      <c r="CF229" s="176" t="n"/>
      <c r="CG229" s="176" t="n"/>
      <c r="CH229" s="176" t="n"/>
      <c r="CI229" s="176" t="n"/>
      <c r="CJ229" s="176" t="n"/>
      <c r="CK229" s="176" t="n"/>
      <c r="CL229" s="176" t="n"/>
      <c r="CM229" s="176" t="n"/>
      <c r="CN229" s="176" t="n"/>
      <c r="CO229" s="176" t="n"/>
      <c r="CP229" s="176" t="n"/>
      <c r="CQ229" s="176" t="n"/>
      <c r="CR229" s="176" t="n"/>
      <c r="CS229" s="176" t="n"/>
      <c r="CT229" s="176" t="n"/>
      <c r="CU229" s="176" t="n"/>
      <c r="CV229" s="176" t="n"/>
      <c r="CW229" s="176" t="n"/>
      <c r="CX229" s="176" t="n"/>
      <c r="CY229" s="176" t="n"/>
      <c r="CZ229" s="176" t="n"/>
      <c r="DA229" s="181" t="inlineStr">
        <is>
          <t>REQUISITOS E REPETIÇÃO</t>
        </is>
      </c>
      <c r="DB229" s="182" t="n"/>
      <c r="DC229" s="182" t="n"/>
      <c r="DD229" s="182" t="n"/>
      <c r="DE229" s="182" t="n"/>
      <c r="DF229" s="183" t="n"/>
      <c r="DG229" s="176" t="n"/>
      <c r="DH229" s="176" t="n"/>
      <c r="DI229" s="181" t="inlineStr">
        <is>
          <t>REQUISITOS E REPETIÇÃO</t>
        </is>
      </c>
      <c r="DJ229" s="182" t="n"/>
      <c r="DK229" s="182" t="n"/>
      <c r="DL229" s="182" t="n"/>
      <c r="DM229" s="182" t="n"/>
      <c r="DN229" s="183" t="n"/>
      <c r="DO229" s="176" t="n"/>
      <c r="DP229" s="176" t="n"/>
      <c r="DQ229" s="176" t="n"/>
      <c r="DR229" s="176" t="n"/>
      <c r="DS229" s="176" t="n"/>
      <c r="DT229" s="176" t="n"/>
      <c r="DU229" s="176" t="n"/>
      <c r="DV229" s="176" t="n"/>
      <c r="DW229" s="176" t="n"/>
      <c r="DX229" s="176" t="n"/>
      <c r="DY229" s="176" t="n"/>
      <c r="DZ229" s="176" t="n"/>
      <c r="EA229" s="176" t="n"/>
      <c r="EB229" s="176" t="n"/>
      <c r="EC229" s="176" t="n"/>
      <c r="ED229" s="176" t="n"/>
      <c r="EE229" s="176" t="n"/>
      <c r="EF229" s="176" t="n"/>
      <c r="EG229" s="176" t="n"/>
      <c r="EH229" s="176" t="n"/>
      <c r="EI229" s="176" t="n"/>
      <c r="EJ229" s="176" t="n"/>
      <c r="EK229" s="176" t="n"/>
      <c r="EL229" s="176" t="n"/>
      <c r="EM229" s="176" t="n"/>
      <c r="EN229" s="176" t="n"/>
      <c r="EO229" s="176" t="n"/>
      <c r="EP229" s="176" t="n"/>
      <c r="EQ229" s="176" t="n"/>
      <c r="ER229" s="176" t="n"/>
      <c r="ES229" s="176" t="n"/>
      <c r="ET229" s="176" t="n"/>
      <c r="EU229" s="176" t="n"/>
      <c r="EV229" s="176" t="n"/>
      <c r="EW229" s="176" t="n"/>
      <c r="EX229" s="176" t="n"/>
      <c r="EY229" s="176" t="n"/>
      <c r="EZ229" s="193" t="n"/>
      <c r="FE229" s="194" t="n"/>
      <c r="FF229" s="176" t="n"/>
      <c r="FG229" s="176" t="n"/>
      <c r="FH229" s="193" t="n"/>
      <c r="FM229" s="194" t="n"/>
      <c r="FN229" s="176" t="n"/>
      <c r="FO229" s="176" t="n"/>
      <c r="FP229" s="176" t="n"/>
      <c r="FQ229" s="176" t="n"/>
      <c r="FR229" s="176" t="n"/>
      <c r="FS229" s="176" t="n"/>
      <c r="FT229" s="176" t="n"/>
      <c r="FU229" s="176" t="n"/>
      <c r="FV229" s="176" t="n"/>
      <c r="FW229" s="176" t="n"/>
      <c r="FX229" s="176" t="n"/>
      <c r="FY229" s="176" t="n"/>
      <c r="FZ229" s="176" t="n"/>
      <c r="GA229" s="176" t="n"/>
      <c r="GB229" s="176" t="n"/>
      <c r="GC229" s="176" t="n"/>
      <c r="GD229" s="176" t="n"/>
      <c r="GE229" s="176" t="n"/>
      <c r="GF229" s="176" t="n"/>
      <c r="GG229" s="176" t="n"/>
      <c r="GH229" s="176" t="n"/>
      <c r="GI229" s="176" t="n"/>
      <c r="GJ229" s="176" t="n"/>
      <c r="GK229" s="176" t="n"/>
      <c r="GL229" s="176" t="n"/>
      <c r="GM229" s="176" t="n"/>
      <c r="GN229" s="176" t="n"/>
      <c r="GO229" s="176" t="n"/>
      <c r="GP229" s="176" t="n"/>
      <c r="GQ229" s="176" t="n"/>
      <c r="GR229" s="176" t="n"/>
      <c r="GS229" s="176" t="n"/>
      <c r="GT229" s="176" t="n"/>
      <c r="GU229" s="176" t="n"/>
      <c r="GV229" s="176" t="n"/>
      <c r="GW229" s="176" t="n"/>
      <c r="GX229" s="176" t="n"/>
      <c r="GY229" s="176" t="n"/>
      <c r="GZ229" s="176" t="n"/>
      <c r="HA229" s="176" t="n"/>
      <c r="HB229" s="176" t="n"/>
      <c r="HC229" s="176" t="n"/>
      <c r="HD229" s="176" t="n"/>
      <c r="HE229" s="176" t="n"/>
      <c r="HF229" s="176" t="n"/>
      <c r="HG229" s="176" t="n"/>
      <c r="HH229" s="176" t="n"/>
      <c r="HI229" s="176" t="n"/>
      <c r="HJ229" s="176" t="n"/>
      <c r="HK229" s="176" t="n"/>
      <c r="HL229" s="176" t="n"/>
      <c r="HM229" s="176" t="n"/>
      <c r="HN229" s="176" t="n"/>
      <c r="HO229" s="176" t="n"/>
      <c r="HP229" s="193" t="n"/>
      <c r="HU229" s="194" t="n"/>
      <c r="HV229" s="176" t="n"/>
      <c r="HW229" s="176" t="n"/>
      <c r="HX229" s="193" t="n"/>
      <c r="IC229" s="194" t="n"/>
      <c r="ID229" s="176" t="n"/>
    </row>
    <row r="230" ht="18.75" customHeight="1">
      <c r="A230" s="176" t="n"/>
      <c r="B230" s="176" t="n"/>
      <c r="C230" s="176" t="n"/>
      <c r="D230" s="176" t="n"/>
      <c r="E230" s="176" t="n"/>
      <c r="F230" s="176" t="n"/>
      <c r="G230" s="176" t="n"/>
      <c r="H230" s="176" t="n"/>
      <c r="I230" s="176" t="n"/>
      <c r="J230" s="176" t="n"/>
      <c r="K230" s="176" t="n"/>
      <c r="L230" s="176" t="n"/>
      <c r="M230" s="176" t="n"/>
      <c r="N230" s="176" t="n"/>
      <c r="O230" s="176" t="n"/>
      <c r="P230" s="176" t="n"/>
      <c r="Q230" s="176" t="n"/>
      <c r="R230" s="176" t="n"/>
      <c r="S230" s="176" t="n"/>
      <c r="T230" s="181">
        <f>SWITCH('CONFIGURAÇÃO'!$T$217,"Origem","","Marcante","","Menor","","Arma","ALCANCE","Escudo","VOLUME","Uniforme","VOLUME","Item comum","","Ferramenta amaldiçoada","PREÇO","")</f>
        <v/>
      </c>
      <c r="U230" s="183" t="n"/>
      <c r="V230" s="185" t="n"/>
      <c r="W230" s="182" t="n"/>
      <c r="X230" s="182" t="n"/>
      <c r="Y230" s="183" t="n"/>
      <c r="Z230" s="176" t="n"/>
      <c r="AA230" s="176" t="n"/>
      <c r="AB230" s="181">
        <f>SWITCH('CONFIGURAÇÃO'!$AB$217,"Origem","","Marcante","","Menor","","Arma","ALCANCE","Escudo","VOLUME","Uniforme","VOLUME","Item comum","","Ferramenta amaldiçoada","PREÇO","")</f>
        <v/>
      </c>
      <c r="AC230" s="183" t="n"/>
      <c r="AD230" s="185" t="n"/>
      <c r="AE230" s="182" t="n"/>
      <c r="AF230" s="182" t="n"/>
      <c r="AG230" s="183" t="n"/>
      <c r="AH230" s="176" t="n"/>
      <c r="AI230" s="176" t="n"/>
      <c r="AJ230" s="176" t="n"/>
      <c r="AK230" s="176" t="n"/>
      <c r="AL230" s="176" t="n"/>
      <c r="AM230" s="176" t="n"/>
      <c r="AN230" s="176" t="n"/>
      <c r="AO230" s="176" t="n"/>
      <c r="AP230" s="176" t="n"/>
      <c r="AQ230" s="176" t="n"/>
      <c r="AR230" s="176" t="n"/>
      <c r="AS230" s="176" t="n"/>
      <c r="AT230" s="176" t="n"/>
      <c r="AU230" s="176" t="n"/>
      <c r="AV230" s="176" t="n"/>
      <c r="AW230" s="176" t="n"/>
      <c r="AX230" s="176" t="n"/>
      <c r="AY230" s="176" t="n"/>
      <c r="AZ230" s="176" t="n"/>
      <c r="BA230" s="176" t="n"/>
      <c r="BB230" s="176" t="n"/>
      <c r="BC230" s="176" t="n"/>
      <c r="BD230" s="176" t="n"/>
      <c r="BE230" s="176" t="n"/>
      <c r="BF230" s="176" t="n"/>
      <c r="BG230" s="176" t="n"/>
      <c r="BH230" s="176" t="n"/>
      <c r="BI230" s="176" t="n"/>
      <c r="BJ230" s="176" t="n"/>
      <c r="BK230" s="176" t="n"/>
      <c r="BL230" s="176" t="n"/>
      <c r="BM230" s="176" t="n"/>
      <c r="BN230" s="176" t="n"/>
      <c r="BO230" s="176" t="n"/>
      <c r="BP230" s="176" t="n"/>
      <c r="BQ230" s="176" t="n"/>
      <c r="BR230" s="176" t="n"/>
      <c r="BS230" s="176" t="n"/>
      <c r="BT230" s="176" t="n"/>
      <c r="BU230" s="176" t="n"/>
      <c r="BV230" s="176" t="n"/>
      <c r="BW230" s="176" t="n"/>
      <c r="BX230" s="176" t="n"/>
      <c r="BY230" s="176" t="n"/>
      <c r="BZ230" s="176" t="n"/>
      <c r="CA230" s="176" t="n"/>
      <c r="CB230" s="176" t="n"/>
      <c r="CC230" s="176" t="n"/>
      <c r="CD230" s="176" t="n"/>
      <c r="CE230" s="176" t="n"/>
      <c r="CF230" s="176" t="n"/>
      <c r="CG230" s="176" t="n"/>
      <c r="CH230" s="176" t="n"/>
      <c r="CI230" s="176" t="n"/>
      <c r="CJ230" s="176" t="n"/>
      <c r="CK230" s="176" t="n"/>
      <c r="CL230" s="176" t="n"/>
      <c r="CM230" s="176" t="n"/>
      <c r="CN230" s="176" t="n"/>
      <c r="CO230" s="176" t="n"/>
      <c r="CP230" s="176" t="n"/>
      <c r="CQ230" s="176" t="n"/>
      <c r="CR230" s="176" t="n"/>
      <c r="CS230" s="176" t="n"/>
      <c r="CT230" s="176" t="n"/>
      <c r="CU230" s="176" t="n"/>
      <c r="CV230" s="176" t="n"/>
      <c r="CW230" s="176" t="n"/>
      <c r="CX230" s="176" t="n"/>
      <c r="CY230" s="176" t="n"/>
      <c r="CZ230" s="176" t="n"/>
      <c r="DA230" s="192" t="n"/>
      <c r="DB230" s="187" t="n"/>
      <c r="DC230" s="187" t="n"/>
      <c r="DD230" s="187" t="n"/>
      <c r="DE230" s="187" t="n"/>
      <c r="DF230" s="188" t="n"/>
      <c r="DG230" s="176" t="n"/>
      <c r="DH230" s="176" t="n"/>
      <c r="DI230" s="192" t="n"/>
      <c r="DJ230" s="187" t="n"/>
      <c r="DK230" s="187" t="n"/>
      <c r="DL230" s="187" t="n"/>
      <c r="DM230" s="187" t="n"/>
      <c r="DN230" s="188" t="n"/>
      <c r="DO230" s="176" t="n"/>
      <c r="DP230" s="176" t="n"/>
      <c r="DQ230" s="176" t="n"/>
      <c r="DR230" s="176" t="n"/>
      <c r="DS230" s="176" t="n"/>
      <c r="DT230" s="176" t="n"/>
      <c r="DU230" s="176" t="n"/>
      <c r="DV230" s="176" t="n"/>
      <c r="DW230" s="176" t="n"/>
      <c r="DX230" s="176" t="n"/>
      <c r="DY230" s="176" t="n"/>
      <c r="DZ230" s="176" t="n"/>
      <c r="EA230" s="176" t="n"/>
      <c r="EB230" s="176" t="n"/>
      <c r="EC230" s="176" t="n"/>
      <c r="ED230" s="176" t="n"/>
      <c r="EE230" s="176" t="n"/>
      <c r="EF230" s="176" t="n"/>
      <c r="EG230" s="176" t="n"/>
      <c r="EH230" s="176" t="n"/>
      <c r="EI230" s="176" t="n"/>
      <c r="EJ230" s="176" t="n"/>
      <c r="EK230" s="176" t="n"/>
      <c r="EL230" s="176" t="n"/>
      <c r="EM230" s="176" t="n"/>
      <c r="EN230" s="176" t="n"/>
      <c r="EO230" s="176" t="n"/>
      <c r="EP230" s="176" t="n"/>
      <c r="EQ230" s="176" t="n"/>
      <c r="ER230" s="176" t="n"/>
      <c r="ES230" s="176" t="n"/>
      <c r="ET230" s="176" t="n"/>
      <c r="EU230" s="176" t="n"/>
      <c r="EV230" s="176" t="n"/>
      <c r="EW230" s="176" t="n"/>
      <c r="EX230" s="176" t="n"/>
      <c r="EY230" s="176" t="n"/>
      <c r="EZ230" s="189" t="n"/>
      <c r="FA230" s="190" t="n"/>
      <c r="FB230" s="190" t="n"/>
      <c r="FC230" s="190" t="n"/>
      <c r="FD230" s="190" t="n"/>
      <c r="FE230" s="191" t="n"/>
      <c r="FF230" s="176" t="n"/>
      <c r="FG230" s="176" t="n"/>
      <c r="FH230" s="189" t="n"/>
      <c r="FI230" s="190" t="n"/>
      <c r="FJ230" s="190" t="n"/>
      <c r="FK230" s="190" t="n"/>
      <c r="FL230" s="190" t="n"/>
      <c r="FM230" s="191" t="n"/>
      <c r="FN230" s="176" t="n"/>
      <c r="FO230" s="176" t="n"/>
      <c r="FP230" s="176" t="n"/>
      <c r="FQ230" s="176" t="n"/>
      <c r="FR230" s="176" t="n"/>
      <c r="FS230" s="176" t="n"/>
      <c r="FT230" s="176" t="n"/>
      <c r="FU230" s="176" t="n"/>
      <c r="FV230" s="176" t="n"/>
      <c r="FW230" s="176" t="n"/>
      <c r="FX230" s="176" t="n"/>
      <c r="FY230" s="176" t="n"/>
      <c r="FZ230" s="176" t="n"/>
      <c r="GA230" s="176" t="n"/>
      <c r="GB230" s="176" t="n"/>
      <c r="GC230" s="176" t="n"/>
      <c r="GD230" s="176" t="n"/>
      <c r="GE230" s="176" t="n"/>
      <c r="GF230" s="176" t="n"/>
      <c r="GG230" s="176" t="n"/>
      <c r="GH230" s="176" t="n"/>
      <c r="GI230" s="176" t="n"/>
      <c r="GJ230" s="176" t="n"/>
      <c r="GK230" s="176" t="n"/>
      <c r="GL230" s="176" t="n"/>
      <c r="GM230" s="176" t="n"/>
      <c r="GN230" s="176" t="n"/>
      <c r="GO230" s="176" t="n"/>
      <c r="GP230" s="176" t="n"/>
      <c r="GQ230" s="176" t="n"/>
      <c r="GR230" s="176" t="n"/>
      <c r="GS230" s="176" t="n"/>
      <c r="GT230" s="176" t="n"/>
      <c r="GU230" s="176" t="n"/>
      <c r="GV230" s="176" t="n"/>
      <c r="GW230" s="176" t="n"/>
      <c r="GX230" s="176" t="n"/>
      <c r="GY230" s="176" t="n"/>
      <c r="GZ230" s="176" t="n"/>
      <c r="HA230" s="176" t="n"/>
      <c r="HB230" s="176" t="n"/>
      <c r="HC230" s="176" t="n"/>
      <c r="HD230" s="176" t="n"/>
      <c r="HE230" s="176" t="n"/>
      <c r="HF230" s="176" t="n"/>
      <c r="HG230" s="176" t="n"/>
      <c r="HH230" s="176" t="n"/>
      <c r="HI230" s="176" t="n"/>
      <c r="HJ230" s="176" t="n"/>
      <c r="HK230" s="176" t="n"/>
      <c r="HL230" s="176" t="n"/>
      <c r="HM230" s="176" t="n"/>
      <c r="HN230" s="176" t="n"/>
      <c r="HO230" s="176" t="n"/>
      <c r="HP230" s="193" t="n"/>
      <c r="HU230" s="194" t="n"/>
      <c r="HV230" s="176" t="n"/>
      <c r="HW230" s="176" t="n"/>
      <c r="HX230" s="193" t="n"/>
      <c r="IC230" s="194" t="n"/>
      <c r="ID230" s="176" t="n"/>
    </row>
    <row r="231" ht="18.75" customHeight="1">
      <c r="A231" s="176" t="n"/>
      <c r="B231" s="176" t="n"/>
      <c r="C231" s="176" t="n"/>
      <c r="D231" s="176" t="n"/>
      <c r="E231" s="176" t="n"/>
      <c r="F231" s="176" t="n"/>
      <c r="G231" s="176" t="n"/>
      <c r="H231" s="176" t="n"/>
      <c r="I231" s="176" t="n"/>
      <c r="J231" s="176" t="n"/>
      <c r="K231" s="176" t="n"/>
      <c r="L231" s="176" t="n"/>
      <c r="M231" s="176" t="n"/>
      <c r="N231" s="176" t="n"/>
      <c r="O231" s="176" t="n"/>
      <c r="P231" s="176" t="n"/>
      <c r="Q231" s="176" t="n"/>
      <c r="R231" s="176" t="n"/>
      <c r="S231" s="176" t="n"/>
      <c r="T231" s="181">
        <f>SWITCH('CONFIGURAÇÃO'!$T$217,"Origem","","Marcante","","Menor","","Arma","RECARGA","Escudo","PREÇO","Uniforme","PREÇO","Item comum","","Ferramenta amaldiçoada","","")</f>
        <v/>
      </c>
      <c r="U231" s="183" t="n"/>
      <c r="V231" s="185" t="n"/>
      <c r="W231" s="182" t="n"/>
      <c r="X231" s="182" t="n"/>
      <c r="Y231" s="183" t="n"/>
      <c r="Z231" s="176" t="n"/>
      <c r="AA231" s="176" t="n"/>
      <c r="AB231" s="181">
        <f>SWITCH('CONFIGURAÇÃO'!$AB$217,"Origem","","Marcante","","Menor","","Arma","RECARGA","Escudo","PREÇO","Uniforme","PREÇO","Item comum","","Ferramenta amaldiçoada","","")</f>
        <v/>
      </c>
      <c r="AC231" s="183" t="n"/>
      <c r="AD231" s="185" t="n"/>
      <c r="AE231" s="182" t="n"/>
      <c r="AF231" s="182" t="n"/>
      <c r="AG231" s="183" t="n"/>
      <c r="AH231" s="176" t="n"/>
      <c r="AI231" s="176" t="n"/>
      <c r="AJ231" s="176" t="n"/>
      <c r="AK231" s="176" t="n"/>
      <c r="AL231" s="176" t="n"/>
      <c r="AM231" s="176" t="n"/>
      <c r="AN231" s="176" t="n"/>
      <c r="AO231" s="176" t="n"/>
      <c r="AP231" s="176" t="n"/>
      <c r="AQ231" s="176" t="n"/>
      <c r="AR231" s="176" t="n"/>
      <c r="AS231" s="176" t="n"/>
      <c r="AT231" s="176" t="n"/>
      <c r="AU231" s="176" t="n"/>
      <c r="AV231" s="176" t="n"/>
      <c r="AW231" s="176" t="n"/>
      <c r="AX231" s="176" t="n"/>
      <c r="AY231" s="176" t="n"/>
      <c r="AZ231" s="176" t="n"/>
      <c r="BA231" s="176" t="n"/>
      <c r="BB231" s="176" t="n"/>
      <c r="BC231" s="176" t="n"/>
      <c r="BD231" s="176" t="n"/>
      <c r="BE231" s="176" t="n"/>
      <c r="BF231" s="176" t="n"/>
      <c r="BG231" s="176" t="n"/>
      <c r="BH231" s="176" t="n"/>
      <c r="BI231" s="176" t="n"/>
      <c r="BJ231" s="176" t="n"/>
      <c r="BK231" s="176" t="n"/>
      <c r="BL231" s="176" t="n"/>
      <c r="BM231" s="176" t="n"/>
      <c r="BN231" s="176" t="n"/>
      <c r="BO231" s="176" t="n"/>
      <c r="BP231" s="176" t="n"/>
      <c r="BQ231" s="176" t="n"/>
      <c r="BR231" s="176" t="n"/>
      <c r="BS231" s="176" t="n"/>
      <c r="BT231" s="176" t="n"/>
      <c r="BU231" s="176" t="n"/>
      <c r="BV231" s="176" t="n"/>
      <c r="BW231" s="176" t="n"/>
      <c r="BX231" s="176" t="n"/>
      <c r="BY231" s="176" t="n"/>
      <c r="BZ231" s="176" t="n"/>
      <c r="CA231" s="176" t="n"/>
      <c r="CB231" s="176" t="n"/>
      <c r="CC231" s="176" t="n"/>
      <c r="CD231" s="176" t="n"/>
      <c r="CE231" s="176" t="n"/>
      <c r="CF231" s="176" t="n"/>
      <c r="CG231" s="176" t="n"/>
      <c r="CH231" s="176" t="n"/>
      <c r="CI231" s="176" t="n"/>
      <c r="CJ231" s="176" t="n"/>
      <c r="CK231" s="176" t="n"/>
      <c r="CL231" s="176" t="n"/>
      <c r="CM231" s="176" t="n"/>
      <c r="CN231" s="176" t="n"/>
      <c r="CO231" s="176" t="n"/>
      <c r="CP231" s="176" t="n"/>
      <c r="CQ231" s="176" t="n"/>
      <c r="CR231" s="176" t="n"/>
      <c r="CS231" s="176" t="n"/>
      <c r="CT231" s="176" t="n"/>
      <c r="CU231" s="176" t="n"/>
      <c r="CV231" s="176" t="n"/>
      <c r="CW231" s="176" t="n"/>
      <c r="CX231" s="176" t="n"/>
      <c r="CY231" s="176" t="n"/>
      <c r="CZ231" s="176" t="n"/>
      <c r="DA231" s="193" t="n"/>
      <c r="DF231" s="194" t="n"/>
      <c r="DG231" s="176" t="n"/>
      <c r="DH231" s="176" t="n"/>
      <c r="DI231" s="193" t="n"/>
      <c r="DN231" s="194" t="n"/>
      <c r="DO231" s="176" t="n"/>
      <c r="DP231" s="176" t="n"/>
      <c r="DQ231" s="176" t="n"/>
      <c r="DR231" s="179" t="inlineStr">
        <is>
          <t>RESTRIÇÃO · 21</t>
        </is>
      </c>
      <c r="DX231" s="176" t="n"/>
      <c r="DY231" s="176" t="n"/>
      <c r="DZ231" s="179" t="inlineStr">
        <is>
          <t>RESTRIÇÃO · 22</t>
        </is>
      </c>
      <c r="EF231" s="176" t="n"/>
      <c r="EG231" s="176" t="n"/>
      <c r="EH231" s="176" t="n"/>
      <c r="EI231" s="176" t="n"/>
      <c r="EJ231" s="176" t="n"/>
      <c r="EK231" s="176" t="n"/>
      <c r="EL231" s="176" t="n"/>
      <c r="EM231" s="176" t="n"/>
      <c r="EN231" s="176" t="n"/>
      <c r="EO231" s="176" t="n"/>
      <c r="EP231" s="176" t="n"/>
      <c r="EQ231" s="176" t="n"/>
      <c r="ER231" s="176" t="n"/>
      <c r="ES231" s="176" t="n"/>
      <c r="ET231" s="176" t="n"/>
      <c r="EU231" s="176" t="n"/>
      <c r="EV231" s="176" t="n"/>
      <c r="EW231" s="176" t="n"/>
      <c r="EX231" s="176" t="n"/>
      <c r="EY231" s="176" t="n"/>
      <c r="EZ231" s="176" t="n"/>
      <c r="FA231" s="176" t="n"/>
      <c r="FB231" s="176" t="n"/>
      <c r="FC231" s="176" t="n"/>
      <c r="FD231" s="176" t="n"/>
      <c r="FE231" s="176" t="n"/>
      <c r="FF231" s="176" t="n"/>
      <c r="FG231" s="176" t="n"/>
      <c r="FH231" s="176" t="n"/>
      <c r="FI231" s="176" t="n"/>
      <c r="FJ231" s="176" t="n"/>
      <c r="FK231" s="176" t="n"/>
      <c r="FL231" s="176" t="n"/>
      <c r="FM231" s="176" t="n"/>
      <c r="FN231" s="176" t="n"/>
      <c r="FO231" s="176" t="n"/>
      <c r="FP231" s="176" t="n"/>
      <c r="FQ231" s="176" t="n"/>
      <c r="FR231" s="176" t="n"/>
      <c r="FS231" s="176" t="n"/>
      <c r="FT231" s="176" t="n"/>
      <c r="FU231" s="176" t="n"/>
      <c r="FV231" s="176" t="n"/>
      <c r="FW231" s="176" t="n"/>
      <c r="FX231" s="176" t="n"/>
      <c r="FY231" s="176" t="n"/>
      <c r="FZ231" s="176" t="n"/>
      <c r="GA231" s="176" t="n"/>
      <c r="GB231" s="176" t="n"/>
      <c r="GC231" s="176" t="n"/>
      <c r="GD231" s="176" t="n"/>
      <c r="GE231" s="176" t="n"/>
      <c r="GF231" s="176" t="n"/>
      <c r="GG231" s="176" t="n"/>
      <c r="GH231" s="176" t="n"/>
      <c r="GI231" s="176" t="n"/>
      <c r="GJ231" s="176" t="n"/>
      <c r="GK231" s="176" t="n"/>
      <c r="GL231" s="176" t="n"/>
      <c r="GM231" s="176" t="n"/>
      <c r="GN231" s="176" t="n"/>
      <c r="GO231" s="176" t="n"/>
      <c r="GP231" s="176" t="n"/>
      <c r="GQ231" s="176" t="n"/>
      <c r="GR231" s="176" t="n"/>
      <c r="GS231" s="176" t="n"/>
      <c r="GT231" s="176" t="n"/>
      <c r="GU231" s="176" t="n"/>
      <c r="GV231" s="176" t="n"/>
      <c r="GW231" s="176" t="n"/>
      <c r="GX231" s="176" t="n"/>
      <c r="GY231" s="176" t="n"/>
      <c r="GZ231" s="176" t="n"/>
      <c r="HA231" s="176" t="n"/>
      <c r="HB231" s="176" t="n"/>
      <c r="HC231" s="176" t="n"/>
      <c r="HD231" s="176" t="n"/>
      <c r="HE231" s="176" t="n"/>
      <c r="HF231" s="176" t="n"/>
      <c r="HG231" s="176" t="n"/>
      <c r="HH231" s="176" t="n"/>
      <c r="HI231" s="176" t="n"/>
      <c r="HJ231" s="176" t="n"/>
      <c r="HK231" s="176" t="n"/>
      <c r="HL231" s="176" t="n"/>
      <c r="HM231" s="176" t="n"/>
      <c r="HN231" s="176" t="n"/>
      <c r="HO231" s="176" t="n"/>
      <c r="HP231" s="189" t="n"/>
      <c r="HQ231" s="190" t="n"/>
      <c r="HR231" s="190" t="n"/>
      <c r="HS231" s="190" t="n"/>
      <c r="HT231" s="190" t="n"/>
      <c r="HU231" s="191" t="n"/>
      <c r="HV231" s="176" t="n"/>
      <c r="HW231" s="176" t="n"/>
      <c r="HX231" s="189" t="n"/>
      <c r="HY231" s="190" t="n"/>
      <c r="HZ231" s="190" t="n"/>
      <c r="IA231" s="190" t="n"/>
      <c r="IB231" s="190" t="n"/>
      <c r="IC231" s="191" t="n"/>
      <c r="ID231" s="176" t="n"/>
    </row>
    <row r="232" ht="18.75" customHeight="1">
      <c r="A232" s="176" t="n"/>
      <c r="B232" s="176" t="n"/>
      <c r="C232" s="176" t="n"/>
      <c r="D232" s="176" t="n"/>
      <c r="E232" s="176" t="n"/>
      <c r="F232" s="176" t="n"/>
      <c r="G232" s="176" t="n"/>
      <c r="H232" s="176" t="n"/>
      <c r="I232" s="176" t="n"/>
      <c r="J232" s="176" t="n"/>
      <c r="K232" s="176" t="n"/>
      <c r="L232" s="176" t="n"/>
      <c r="M232" s="176" t="n"/>
      <c r="N232" s="176" t="n"/>
      <c r="O232" s="176" t="n"/>
      <c r="P232" s="176" t="n"/>
      <c r="Q232" s="176" t="n"/>
      <c r="R232" s="176" t="n"/>
      <c r="S232" s="176" t="n"/>
      <c r="T232" s="181">
        <f>SWITCH('CONFIGURAÇÃO'!$T$217,"Origem","","Marcante","","Menor","","Arma","PREÇO","Escudo","","Uniforme","","Item comum","","Ferramenta amaldiçoada","","")</f>
        <v/>
      </c>
      <c r="U232" s="183" t="n"/>
      <c r="V232" s="185" t="n"/>
      <c r="W232" s="182" t="n"/>
      <c r="X232" s="182" t="n"/>
      <c r="Y232" s="183" t="n"/>
      <c r="Z232" s="176" t="n"/>
      <c r="AA232" s="176" t="n"/>
      <c r="AB232" s="181">
        <f>SWITCH('CONFIGURAÇÃO'!$AB$217,"Origem","","Marcante","","Menor","","Arma","PREÇO","Escudo","","Uniforme","","Item comum","","Ferramenta amaldiçoada","","")</f>
        <v/>
      </c>
      <c r="AC232" s="183" t="n"/>
      <c r="AD232" s="185" t="n"/>
      <c r="AE232" s="182" t="n"/>
      <c r="AF232" s="182" t="n"/>
      <c r="AG232" s="183" t="n"/>
      <c r="AH232" s="176" t="n"/>
      <c r="AI232" s="176" t="n"/>
      <c r="AJ232" s="176" t="n"/>
      <c r="AK232" s="176" t="n"/>
      <c r="AL232" s="176" t="n"/>
      <c r="AM232" s="176" t="n"/>
      <c r="AN232" s="176" t="n"/>
      <c r="AO232" s="176" t="n"/>
      <c r="AP232" s="176" t="n"/>
      <c r="AQ232" s="176" t="n"/>
      <c r="AR232" s="176" t="n"/>
      <c r="AS232" s="176" t="n"/>
      <c r="AT232" s="176" t="n"/>
      <c r="AU232" s="176" t="n"/>
      <c r="AV232" s="176" t="n"/>
      <c r="AW232" s="176" t="n"/>
      <c r="AX232" s="176" t="n"/>
      <c r="AY232" s="176" t="n"/>
      <c r="AZ232" s="176" t="n"/>
      <c r="BA232" s="176" t="n"/>
      <c r="BB232" s="176" t="n"/>
      <c r="BC232" s="176" t="n"/>
      <c r="BD232" s="176" t="n"/>
      <c r="BE232" s="176" t="n"/>
      <c r="BF232" s="176" t="n"/>
      <c r="BG232" s="176" t="n"/>
      <c r="BH232" s="176" t="n"/>
      <c r="BI232" s="176" t="n"/>
      <c r="BJ232" s="176" t="n"/>
      <c r="BK232" s="176" t="n"/>
      <c r="BL232" s="176" t="n"/>
      <c r="BM232" s="176" t="n"/>
      <c r="BN232" s="176" t="n"/>
      <c r="BO232" s="176" t="n"/>
      <c r="BP232" s="176" t="n"/>
      <c r="BQ232" s="176" t="n"/>
      <c r="BR232" s="176" t="n"/>
      <c r="BS232" s="176" t="n"/>
      <c r="BT232" s="176" t="n"/>
      <c r="BU232" s="176" t="n"/>
      <c r="BV232" s="176" t="n"/>
      <c r="BW232" s="176" t="n"/>
      <c r="BX232" s="176" t="n"/>
      <c r="BY232" s="176" t="n"/>
      <c r="BZ232" s="176" t="n"/>
      <c r="CA232" s="176" t="n"/>
      <c r="CB232" s="176" t="n"/>
      <c r="CC232" s="176" t="n"/>
      <c r="CD232" s="176" t="n"/>
      <c r="CE232" s="176" t="n"/>
      <c r="CF232" s="176" t="n"/>
      <c r="CG232" s="176" t="n"/>
      <c r="CH232" s="176" t="n"/>
      <c r="CI232" s="176" t="n"/>
      <c r="CJ232" s="176" t="n"/>
      <c r="CK232" s="176" t="n"/>
      <c r="CL232" s="176" t="n"/>
      <c r="CM232" s="176" t="n"/>
      <c r="CN232" s="176" t="n"/>
      <c r="CO232" s="176" t="n"/>
      <c r="CP232" s="176" t="n"/>
      <c r="CQ232" s="176" t="n"/>
      <c r="CR232" s="176" t="n"/>
      <c r="CS232" s="176" t="n"/>
      <c r="CT232" s="176" t="n"/>
      <c r="CU232" s="176" t="n"/>
      <c r="CV232" s="176" t="n"/>
      <c r="CW232" s="176" t="n"/>
      <c r="CX232" s="176" t="n"/>
      <c r="CY232" s="176" t="n"/>
      <c r="CZ232" s="176" t="n"/>
      <c r="DA232" s="193" t="n"/>
      <c r="DF232" s="194" t="n"/>
      <c r="DG232" s="176" t="n"/>
      <c r="DH232" s="176" t="n"/>
      <c r="DI232" s="193" t="n"/>
      <c r="DN232" s="194" t="n"/>
      <c r="DO232" s="176" t="n"/>
      <c r="DP232" s="176" t="n"/>
      <c r="DQ232" s="176" t="n"/>
      <c r="DR232" s="181" t="inlineStr">
        <is>
          <t>TIPO</t>
        </is>
      </c>
      <c r="DS232" s="182" t="n"/>
      <c r="DT232" s="182" t="n"/>
      <c r="DU232" s="183" t="n"/>
      <c r="DV232" s="181" t="inlineStr">
        <is>
          <t>MESTRE VIU</t>
        </is>
      </c>
      <c r="DW232" s="183" t="n"/>
      <c r="DX232" s="176" t="n"/>
      <c r="DY232" s="176" t="n"/>
      <c r="DZ232" s="181" t="inlineStr">
        <is>
          <t>TIPO</t>
        </is>
      </c>
      <c r="EA232" s="182" t="n"/>
      <c r="EB232" s="182" t="n"/>
      <c r="EC232" s="183" t="n"/>
      <c r="ED232" s="181" t="inlineStr">
        <is>
          <t>MESTRE VIU</t>
        </is>
      </c>
      <c r="EE232" s="183" t="n"/>
      <c r="EF232" s="176" t="n"/>
      <c r="EG232" s="176" t="n"/>
      <c r="EH232" s="176" t="n"/>
      <c r="EI232" s="176" t="n"/>
      <c r="EJ232" s="176" t="n"/>
      <c r="EK232" s="176" t="n"/>
      <c r="EL232" s="176" t="n"/>
      <c r="EM232" s="176" t="n"/>
      <c r="EN232" s="176" t="n"/>
      <c r="EO232" s="176" t="n"/>
      <c r="EP232" s="176" t="n"/>
      <c r="EQ232" s="176" t="n"/>
      <c r="ER232" s="176" t="n"/>
      <c r="ES232" s="176" t="n"/>
      <c r="ET232" s="176" t="n"/>
      <c r="EU232" s="176" t="n"/>
      <c r="EV232" s="176" t="n"/>
      <c r="EW232" s="176" t="n"/>
      <c r="EX232" s="176" t="n"/>
      <c r="EY232" s="176" t="n"/>
      <c r="EZ232" s="181" t="inlineStr">
        <is>
          <t>EFEITO</t>
        </is>
      </c>
      <c r="FA232" s="182" t="n"/>
      <c r="FB232" s="182" t="n"/>
      <c r="FC232" s="182" t="n"/>
      <c r="FD232" s="182" t="n"/>
      <c r="FE232" s="183" t="n"/>
      <c r="FF232" s="176" t="n"/>
      <c r="FG232" s="176" t="n"/>
      <c r="FH232" s="181" t="inlineStr">
        <is>
          <t>EFEITO</t>
        </is>
      </c>
      <c r="FI232" s="182" t="n"/>
      <c r="FJ232" s="182" t="n"/>
      <c r="FK232" s="182" t="n"/>
      <c r="FL232" s="182" t="n"/>
      <c r="FM232" s="183" t="n"/>
      <c r="FN232" s="176" t="n"/>
      <c r="FO232" s="176" t="n"/>
      <c r="FP232" s="176" t="n"/>
      <c r="FQ232" s="176" t="n"/>
      <c r="FR232" s="176" t="n"/>
      <c r="FS232" s="176" t="n"/>
      <c r="FT232" s="176" t="n"/>
      <c r="FU232" s="176" t="n"/>
      <c r="FV232" s="176" t="n"/>
      <c r="FW232" s="176" t="n"/>
      <c r="FX232" s="176" t="n"/>
      <c r="FY232" s="176" t="n"/>
      <c r="FZ232" s="176" t="n"/>
      <c r="GA232" s="176" t="n"/>
      <c r="GB232" s="176" t="n"/>
      <c r="GC232" s="176" t="n"/>
      <c r="GD232" s="176" t="n"/>
      <c r="GE232" s="176" t="n"/>
      <c r="GF232" s="176" t="n"/>
      <c r="GG232" s="176" t="n"/>
      <c r="GH232" s="176" t="n"/>
      <c r="GI232" s="176" t="n"/>
      <c r="GJ232" s="176" t="n"/>
      <c r="GK232" s="176" t="n"/>
      <c r="GL232" s="176" t="n"/>
      <c r="GM232" s="176" t="n"/>
      <c r="GN232" s="176" t="n"/>
      <c r="GO232" s="176" t="n"/>
      <c r="GP232" s="176" t="n"/>
      <c r="GQ232" s="176" t="n"/>
      <c r="GR232" s="176" t="n"/>
      <c r="GS232" s="176" t="n"/>
      <c r="GT232" s="176" t="n"/>
      <c r="GU232" s="176" t="n"/>
      <c r="GV232" s="176" t="n"/>
      <c r="GW232" s="176" t="n"/>
      <c r="GX232" s="176" t="n"/>
      <c r="GY232" s="176" t="n"/>
      <c r="GZ232" s="176" t="n"/>
      <c r="HA232" s="176" t="n"/>
      <c r="HB232" s="176" t="n"/>
      <c r="HC232" s="176" t="n"/>
      <c r="HD232" s="176" t="n"/>
      <c r="HE232" s="176" t="n"/>
      <c r="HF232" s="176" t="n"/>
      <c r="HG232" s="176" t="n"/>
      <c r="HH232" s="176" t="n"/>
      <c r="HI232" s="176" t="n"/>
      <c r="HJ232" s="176" t="n"/>
      <c r="HK232" s="176" t="n"/>
      <c r="HL232" s="176" t="n"/>
      <c r="HM232" s="176" t="n"/>
      <c r="HN232" s="176" t="n"/>
      <c r="HO232" s="176" t="n"/>
      <c r="HP232" s="176" t="n"/>
      <c r="HQ232" s="176" t="n"/>
      <c r="HR232" s="176" t="n"/>
      <c r="HS232" s="176" t="n"/>
      <c r="HT232" s="176" t="n"/>
      <c r="HU232" s="176" t="n"/>
      <c r="HV232" s="176" t="n"/>
      <c r="HW232" s="176" t="n"/>
      <c r="HX232" s="176" t="n"/>
      <c r="HY232" s="176" t="n"/>
      <c r="HZ232" s="176" t="n"/>
      <c r="IA232" s="176" t="n"/>
      <c r="IB232" s="176" t="n"/>
      <c r="IC232" s="176" t="n"/>
      <c r="ID232" s="176" t="n"/>
    </row>
    <row r="233" ht="18.75" customHeight="1">
      <c r="A233" s="176" t="n"/>
      <c r="B233" s="176" t="n"/>
      <c r="C233" s="176" t="n"/>
      <c r="D233" s="176" t="n"/>
      <c r="E233" s="176" t="n"/>
      <c r="F233" s="176" t="n"/>
      <c r="G233" s="176" t="n"/>
      <c r="H233" s="176" t="n"/>
      <c r="I233" s="176" t="n"/>
      <c r="J233" s="176" t="n"/>
      <c r="K233" s="176" t="n"/>
      <c r="L233" s="176" t="n"/>
      <c r="M233" s="176" t="n"/>
      <c r="N233" s="176" t="n"/>
      <c r="O233" s="176" t="n"/>
      <c r="P233" s="176" t="n"/>
      <c r="Q233" s="176" t="n"/>
      <c r="R233" s="176" t="n"/>
      <c r="S233" s="176" t="n"/>
      <c r="T233" s="181" t="inlineStr">
        <is>
          <t>EFEITO · DESCRIÇÃO</t>
        </is>
      </c>
      <c r="U233" s="182" t="n"/>
      <c r="V233" s="182" t="n"/>
      <c r="W233" s="182" t="n"/>
      <c r="X233" s="182" t="n"/>
      <c r="Y233" s="183" t="n"/>
      <c r="Z233" s="176" t="n"/>
      <c r="AA233" s="176" t="n"/>
      <c r="AB233" s="181" t="inlineStr">
        <is>
          <t>EFEITO · DESCRIÇÃO</t>
        </is>
      </c>
      <c r="AC233" s="182" t="n"/>
      <c r="AD233" s="182" t="n"/>
      <c r="AE233" s="182" t="n"/>
      <c r="AF233" s="182" t="n"/>
      <c r="AG233" s="183" t="n"/>
      <c r="AH233" s="176" t="n"/>
      <c r="AI233" s="176" t="n"/>
      <c r="AJ233" s="176" t="n"/>
      <c r="AK233" s="176" t="n"/>
      <c r="AL233" s="176" t="n"/>
      <c r="AM233" s="176" t="n"/>
      <c r="AN233" s="176" t="n"/>
      <c r="AO233" s="176" t="n"/>
      <c r="AP233" s="176" t="n"/>
      <c r="AQ233" s="176" t="n"/>
      <c r="AR233" s="176" t="n"/>
      <c r="AS233" s="176" t="n"/>
      <c r="AT233" s="176" t="n"/>
      <c r="AU233" s="176" t="n"/>
      <c r="AV233" s="176" t="n"/>
      <c r="AW233" s="176" t="n"/>
      <c r="AX233" s="176" t="n"/>
      <c r="AY233" s="176" t="n"/>
      <c r="AZ233" s="176" t="n"/>
      <c r="BA233" s="176" t="n"/>
      <c r="BB233" s="176" t="n"/>
      <c r="BC233" s="176" t="n"/>
      <c r="BD233" s="176" t="n"/>
      <c r="BE233" s="176" t="n"/>
      <c r="BF233" s="176" t="n"/>
      <c r="BG233" s="176" t="n"/>
      <c r="BH233" s="176" t="n"/>
      <c r="BI233" s="176" t="n"/>
      <c r="BJ233" s="176" t="n"/>
      <c r="BK233" s="176" t="n"/>
      <c r="BL233" s="176" t="n"/>
      <c r="BM233" s="176" t="n"/>
      <c r="BN233" s="176" t="n"/>
      <c r="BO233" s="176" t="n"/>
      <c r="BP233" s="176" t="n"/>
      <c r="BQ233" s="176" t="n"/>
      <c r="BR233" s="176" t="n"/>
      <c r="BS233" s="176" t="n"/>
      <c r="BT233" s="176" t="n"/>
      <c r="BU233" s="176" t="n"/>
      <c r="BV233" s="176" t="n"/>
      <c r="BW233" s="176" t="n"/>
      <c r="BX233" s="176" t="n"/>
      <c r="BY233" s="176" t="n"/>
      <c r="BZ233" s="176" t="n"/>
      <c r="CA233" s="176" t="n"/>
      <c r="CB233" s="176" t="n"/>
      <c r="CC233" s="176" t="n"/>
      <c r="CD233" s="176" t="n"/>
      <c r="CE233" s="176" t="n"/>
      <c r="CF233" s="176" t="n"/>
      <c r="CG233" s="176" t="n"/>
      <c r="CH233" s="176" t="n"/>
      <c r="CI233" s="176" t="n"/>
      <c r="CJ233" s="176" t="n"/>
      <c r="CK233" s="176" t="n"/>
      <c r="CL233" s="176" t="n"/>
      <c r="CM233" s="176" t="n"/>
      <c r="CN233" s="176" t="n"/>
      <c r="CO233" s="176" t="n"/>
      <c r="CP233" s="176" t="n"/>
      <c r="CQ233" s="176" t="n"/>
      <c r="CR233" s="176" t="n"/>
      <c r="CS233" s="176" t="n"/>
      <c r="CT233" s="176" t="n"/>
      <c r="CU233" s="176" t="n"/>
      <c r="CV233" s="176" t="n"/>
      <c r="CW233" s="176" t="n"/>
      <c r="CX233" s="176" t="n"/>
      <c r="CY233" s="176" t="n"/>
      <c r="CZ233" s="176" t="n"/>
      <c r="DA233" s="189" t="n"/>
      <c r="DB233" s="190" t="n"/>
      <c r="DC233" s="190" t="n"/>
      <c r="DD233" s="190" t="n"/>
      <c r="DE233" s="190" t="n"/>
      <c r="DF233" s="191" t="n"/>
      <c r="DG233" s="176" t="n"/>
      <c r="DH233" s="176" t="n"/>
      <c r="DI233" s="189" t="n"/>
      <c r="DJ233" s="190" t="n"/>
      <c r="DK233" s="190" t="n"/>
      <c r="DL233" s="190" t="n"/>
      <c r="DM233" s="190" t="n"/>
      <c r="DN233" s="191" t="n"/>
      <c r="DO233" s="176" t="n"/>
      <c r="DP233" s="176" t="n"/>
      <c r="DQ233" s="176" t="n"/>
      <c r="DR233" s="185" t="inlineStr">
        <is>
          <t>Restrição</t>
        </is>
      </c>
      <c r="DS233" s="182" t="n"/>
      <c r="DT233" s="182" t="n"/>
      <c r="DU233" s="183" t="n"/>
      <c r="DV233" s="184" t="b">
        <v>0</v>
      </c>
      <c r="DW233" s="183" t="n"/>
      <c r="DX233" s="176" t="n"/>
      <c r="DY233" s="176" t="n"/>
      <c r="DZ233" s="185" t="inlineStr">
        <is>
          <t>Restrição</t>
        </is>
      </c>
      <c r="EA233" s="182" t="n"/>
      <c r="EB233" s="182" t="n"/>
      <c r="EC233" s="183" t="n"/>
      <c r="ED233" s="184" t="b">
        <v>0</v>
      </c>
      <c r="EE233" s="183" t="n"/>
      <c r="EF233" s="176" t="n"/>
      <c r="EG233" s="176" t="n"/>
      <c r="EH233" s="176" t="n"/>
      <c r="EI233" s="176" t="n"/>
      <c r="EJ233" s="176" t="n"/>
      <c r="EK233" s="176" t="n"/>
      <c r="EL233" s="176" t="n"/>
      <c r="EM233" s="176" t="n"/>
      <c r="EN233" s="176" t="n"/>
      <c r="EO233" s="176" t="n"/>
      <c r="EP233" s="176" t="n"/>
      <c r="EQ233" s="176" t="n"/>
      <c r="ER233" s="176" t="n"/>
      <c r="ES233" s="176" t="n"/>
      <c r="ET233" s="176" t="n"/>
      <c r="EU233" s="176" t="n"/>
      <c r="EV233" s="176" t="n"/>
      <c r="EW233" s="176" t="n"/>
      <c r="EX233" s="176" t="n"/>
      <c r="EY233" s="176" t="n"/>
      <c r="EZ233" s="192" t="n"/>
      <c r="FA233" s="187" t="n"/>
      <c r="FB233" s="187" t="n"/>
      <c r="FC233" s="187" t="n"/>
      <c r="FD233" s="187" t="n"/>
      <c r="FE233" s="188" t="n"/>
      <c r="FF233" s="176" t="n"/>
      <c r="FG233" s="176" t="n"/>
      <c r="FH233" s="192" t="n"/>
      <c r="FI233" s="187" t="n"/>
      <c r="FJ233" s="187" t="n"/>
      <c r="FK233" s="187" t="n"/>
      <c r="FL233" s="187" t="n"/>
      <c r="FM233" s="188" t="n"/>
      <c r="FN233" s="176" t="n"/>
      <c r="FO233" s="176" t="n"/>
      <c r="FP233" s="176" t="n"/>
      <c r="FQ233" s="176" t="n"/>
      <c r="FR233" s="176" t="n"/>
      <c r="FS233" s="176" t="n"/>
      <c r="FT233" s="176" t="n"/>
      <c r="FU233" s="176" t="n"/>
      <c r="FV233" s="176" t="n"/>
      <c r="FW233" s="176" t="n"/>
      <c r="FX233" s="176" t="n"/>
      <c r="FY233" s="176" t="n"/>
      <c r="FZ233" s="176" t="n"/>
      <c r="GA233" s="176" t="n"/>
      <c r="GB233" s="176" t="n"/>
      <c r="GC233" s="176" t="n"/>
      <c r="GD233" s="176" t="n"/>
      <c r="GE233" s="176" t="n"/>
      <c r="GF233" s="176" t="n"/>
      <c r="GG233" s="176" t="n"/>
      <c r="GH233" s="176" t="n"/>
      <c r="GI233" s="176" t="n"/>
      <c r="GJ233" s="176" t="n"/>
      <c r="GK233" s="176" t="n"/>
      <c r="GL233" s="176" t="n"/>
      <c r="GM233" s="176" t="n"/>
      <c r="GN233" s="176" t="n"/>
      <c r="GO233" s="176" t="n"/>
      <c r="GP233" s="176" t="n"/>
      <c r="GQ233" s="176" t="n"/>
      <c r="GR233" s="176" t="n"/>
      <c r="GS233" s="176" t="n"/>
      <c r="GT233" s="176" t="n"/>
      <c r="GU233" s="176" t="n"/>
      <c r="GV233" s="176" t="n"/>
      <c r="GW233" s="176" t="n"/>
      <c r="GX233" s="176" t="n"/>
      <c r="GY233" s="176" t="n"/>
      <c r="GZ233" s="176" t="n"/>
      <c r="HA233" s="176" t="n"/>
      <c r="HB233" s="176" t="n"/>
      <c r="HC233" s="176" t="n"/>
      <c r="HD233" s="176" t="n"/>
      <c r="HE233" s="176" t="n"/>
      <c r="HF233" s="176" t="n"/>
      <c r="HG233" s="176" t="n"/>
      <c r="HH233" s="176" t="n"/>
      <c r="HI233" s="176" t="n"/>
      <c r="HJ233" s="176" t="n"/>
      <c r="HK233" s="176" t="n"/>
      <c r="HL233" s="176" t="n"/>
      <c r="HM233" s="176" t="n"/>
      <c r="HN233" s="176" t="n"/>
      <c r="HO233" s="176" t="n"/>
      <c r="HP233" s="180">
        <f>IF('DADOS_ENTIDADES'!$AG$16="","","⚠ "&amp;'DADOS_ENTIDADES'!$AG$16)</f>
        <v/>
      </c>
      <c r="HV233" s="176" t="n"/>
      <c r="HW233" s="176" t="n"/>
      <c r="HX233" s="180">
        <f>IF('DADOS_ENTIDADES'!$AG$17="","","⚠ "&amp;'DADOS_ENTIDADES'!$AG$17)</f>
        <v/>
      </c>
      <c r="ID233" s="176" t="n"/>
    </row>
    <row r="234" ht="18.75" customHeight="1">
      <c r="A234" s="176" t="n"/>
      <c r="B234" s="176" t="n"/>
      <c r="C234" s="176" t="n"/>
      <c r="D234" s="176" t="n"/>
      <c r="E234" s="176" t="n"/>
      <c r="F234" s="176" t="n"/>
      <c r="G234" s="176" t="n"/>
      <c r="H234" s="176" t="n"/>
      <c r="I234" s="176" t="n"/>
      <c r="J234" s="176" t="n"/>
      <c r="K234" s="176" t="n"/>
      <c r="L234" s="176" t="n"/>
      <c r="M234" s="176" t="n"/>
      <c r="N234" s="176" t="n"/>
      <c r="O234" s="176" t="n"/>
      <c r="P234" s="176" t="n"/>
      <c r="Q234" s="176" t="n"/>
      <c r="R234" s="176" t="n"/>
      <c r="S234" s="176" t="n"/>
      <c r="T234" s="192" t="n"/>
      <c r="U234" s="187" t="n"/>
      <c r="V234" s="187" t="n"/>
      <c r="W234" s="187" t="n"/>
      <c r="X234" s="187" t="n"/>
      <c r="Y234" s="188" t="n"/>
      <c r="Z234" s="176" t="n"/>
      <c r="AA234" s="176" t="n"/>
      <c r="AB234" s="192" t="n"/>
      <c r="AC234" s="187" t="n"/>
      <c r="AD234" s="187" t="n"/>
      <c r="AE234" s="187" t="n"/>
      <c r="AF234" s="187" t="n"/>
      <c r="AG234" s="188" t="n"/>
      <c r="AH234" s="176" t="n"/>
      <c r="AI234" s="176" t="n"/>
      <c r="AJ234" s="176" t="n"/>
      <c r="AK234" s="176" t="n"/>
      <c r="AL234" s="176" t="n"/>
      <c r="AM234" s="176" t="n"/>
      <c r="AN234" s="176" t="n"/>
      <c r="AO234" s="176" t="n"/>
      <c r="AP234" s="176" t="n"/>
      <c r="AQ234" s="176" t="n"/>
      <c r="AR234" s="176" t="n"/>
      <c r="AS234" s="176" t="n"/>
      <c r="AT234" s="176" t="n"/>
      <c r="AU234" s="176" t="n"/>
      <c r="AV234" s="176" t="n"/>
      <c r="AW234" s="176" t="n"/>
      <c r="AX234" s="176" t="n"/>
      <c r="AY234" s="176" t="n"/>
      <c r="AZ234" s="176" t="n"/>
      <c r="BA234" s="176" t="n"/>
      <c r="BB234" s="176" t="n"/>
      <c r="BC234" s="176" t="n"/>
      <c r="BD234" s="176" t="n"/>
      <c r="BE234" s="176" t="n"/>
      <c r="BF234" s="176" t="n"/>
      <c r="BG234" s="176" t="n"/>
      <c r="BH234" s="176" t="n"/>
      <c r="BI234" s="176" t="n"/>
      <c r="BJ234" s="176" t="n"/>
      <c r="BK234" s="176" t="n"/>
      <c r="BL234" s="176" t="n"/>
      <c r="BM234" s="176" t="n"/>
      <c r="BN234" s="176" t="n"/>
      <c r="BO234" s="176" t="n"/>
      <c r="BP234" s="176" t="n"/>
      <c r="BQ234" s="176" t="n"/>
      <c r="BR234" s="176" t="n"/>
      <c r="BS234" s="176" t="n"/>
      <c r="BT234" s="176" t="n"/>
      <c r="BU234" s="176" t="n"/>
      <c r="BV234" s="176" t="n"/>
      <c r="BW234" s="176" t="n"/>
      <c r="BX234" s="176" t="n"/>
      <c r="BY234" s="176" t="n"/>
      <c r="BZ234" s="176" t="n"/>
      <c r="CA234" s="176" t="n"/>
      <c r="CB234" s="176" t="n"/>
      <c r="CC234" s="176" t="n"/>
      <c r="CD234" s="176" t="n"/>
      <c r="CE234" s="176" t="n"/>
      <c r="CF234" s="176" t="n"/>
      <c r="CG234" s="176" t="n"/>
      <c r="CH234" s="176" t="n"/>
      <c r="CI234" s="176" t="n"/>
      <c r="CJ234" s="176" t="n"/>
      <c r="CK234" s="176" t="n"/>
      <c r="CL234" s="176" t="n"/>
      <c r="CM234" s="176" t="n"/>
      <c r="CN234" s="176" t="n"/>
      <c r="CO234" s="176" t="n"/>
      <c r="CP234" s="176" t="n"/>
      <c r="CQ234" s="176" t="n"/>
      <c r="CR234" s="176" t="n"/>
      <c r="CS234" s="176" t="n"/>
      <c r="CT234" s="176" t="n"/>
      <c r="CU234" s="176" t="n"/>
      <c r="CV234" s="176" t="n"/>
      <c r="CW234" s="176" t="n"/>
      <c r="CX234" s="176" t="n"/>
      <c r="CY234" s="176" t="n"/>
      <c r="CZ234" s="176" t="n"/>
      <c r="DA234" s="176" t="n"/>
      <c r="DB234" s="176" t="n"/>
      <c r="DC234" s="176" t="n"/>
      <c r="DD234" s="176" t="n"/>
      <c r="DE234" s="176" t="n"/>
      <c r="DF234" s="176" t="n"/>
      <c r="DG234" s="176" t="n"/>
      <c r="DH234" s="176" t="n"/>
      <c r="DI234" s="176" t="n"/>
      <c r="DJ234" s="176" t="n"/>
      <c r="DK234" s="176" t="n"/>
      <c r="DL234" s="176" t="n"/>
      <c r="DM234" s="176" t="n"/>
      <c r="DN234" s="176" t="n"/>
      <c r="DO234" s="176" t="n"/>
      <c r="DP234" s="176" t="n"/>
      <c r="DQ234" s="176" t="n"/>
      <c r="DR234" s="181" t="inlineStr">
        <is>
          <t>NOME</t>
        </is>
      </c>
      <c r="DS234" s="182" t="n"/>
      <c r="DT234" s="182" t="n"/>
      <c r="DU234" s="182" t="n"/>
      <c r="DV234" s="182" t="n"/>
      <c r="DW234" s="183" t="n"/>
      <c r="DX234" s="176" t="n"/>
      <c r="DY234" s="176" t="n"/>
      <c r="DZ234" s="181" t="inlineStr">
        <is>
          <t>NOME</t>
        </is>
      </c>
      <c r="EA234" s="182" t="n"/>
      <c r="EB234" s="182" t="n"/>
      <c r="EC234" s="182" t="n"/>
      <c r="ED234" s="182" t="n"/>
      <c r="EE234" s="183" t="n"/>
      <c r="EF234" s="176" t="n"/>
      <c r="EG234" s="176" t="n"/>
      <c r="EH234" s="176" t="n"/>
      <c r="EI234" s="176" t="n"/>
      <c r="EJ234" s="176" t="n"/>
      <c r="EK234" s="176" t="n"/>
      <c r="EL234" s="176" t="n"/>
      <c r="EM234" s="176" t="n"/>
      <c r="EN234" s="176" t="n"/>
      <c r="EO234" s="176" t="n"/>
      <c r="EP234" s="176" t="n"/>
      <c r="EQ234" s="176" t="n"/>
      <c r="ER234" s="176" t="n"/>
      <c r="ES234" s="176" t="n"/>
      <c r="ET234" s="176" t="n"/>
      <c r="EU234" s="176" t="n"/>
      <c r="EV234" s="176" t="n"/>
      <c r="EW234" s="176" t="n"/>
      <c r="EX234" s="176" t="n"/>
      <c r="EY234" s="176" t="n"/>
      <c r="EZ234" s="193" t="n"/>
      <c r="FE234" s="194" t="n"/>
      <c r="FF234" s="176" t="n"/>
      <c r="FG234" s="176" t="n"/>
      <c r="FH234" s="193" t="n"/>
      <c r="FM234" s="194" t="n"/>
      <c r="FN234" s="176" t="n"/>
      <c r="FO234" s="176" t="n"/>
      <c r="FP234" s="176" t="n"/>
      <c r="FQ234" s="176" t="n"/>
      <c r="FR234" s="176" t="n"/>
      <c r="FS234" s="176" t="n"/>
      <c r="FT234" s="176" t="n"/>
      <c r="FU234" s="176" t="n"/>
      <c r="FV234" s="176" t="n"/>
      <c r="FW234" s="176" t="n"/>
      <c r="FX234" s="176" t="n"/>
      <c r="FY234" s="176" t="n"/>
      <c r="FZ234" s="176" t="n"/>
      <c r="GA234" s="176" t="n"/>
      <c r="GB234" s="176" t="n"/>
      <c r="GC234" s="176" t="n"/>
      <c r="GD234" s="176" t="n"/>
      <c r="GE234" s="176" t="n"/>
      <c r="GF234" s="176" t="n"/>
      <c r="GG234" s="176" t="n"/>
      <c r="GH234" s="176" t="n"/>
      <c r="GI234" s="176" t="n"/>
      <c r="GJ234" s="176" t="n"/>
      <c r="GK234" s="176" t="n"/>
      <c r="GL234" s="176" t="n"/>
      <c r="GM234" s="176" t="n"/>
      <c r="GN234" s="176" t="n"/>
      <c r="GO234" s="176" t="n"/>
      <c r="GP234" s="176" t="n"/>
      <c r="GQ234" s="176" t="n"/>
      <c r="GR234" s="176" t="n"/>
      <c r="GS234" s="176" t="n"/>
      <c r="GT234" s="176" t="n"/>
      <c r="GU234" s="176" t="n"/>
      <c r="GV234" s="176" t="n"/>
      <c r="GW234" s="176" t="n"/>
      <c r="GX234" s="176" t="n"/>
      <c r="GY234" s="176" t="n"/>
      <c r="GZ234" s="176" t="n"/>
      <c r="HA234" s="176" t="n"/>
      <c r="HB234" s="176" t="n"/>
      <c r="HC234" s="176" t="n"/>
      <c r="HD234" s="176" t="n"/>
      <c r="HE234" s="176" t="n"/>
      <c r="HF234" s="176" t="n"/>
      <c r="HG234" s="176" t="n"/>
      <c r="HH234" s="176" t="n"/>
      <c r="HI234" s="176" t="n"/>
      <c r="HJ234" s="176" t="n"/>
      <c r="HK234" s="176" t="n"/>
      <c r="HL234" s="176" t="n"/>
      <c r="HM234" s="176" t="n"/>
      <c r="HN234" s="176" t="n"/>
      <c r="HO234" s="176" t="n"/>
      <c r="HV234" s="176" t="n"/>
      <c r="HW234" s="176" t="n"/>
      <c r="ID234" s="176" t="n"/>
    </row>
    <row r="235" ht="18.75" customHeight="1">
      <c r="A235" s="176" t="n"/>
      <c r="B235" s="176" t="n"/>
      <c r="C235" s="176" t="n"/>
      <c r="D235" s="176" t="n"/>
      <c r="E235" s="176" t="n"/>
      <c r="F235" s="176" t="n"/>
      <c r="G235" s="176" t="n"/>
      <c r="H235" s="176" t="n"/>
      <c r="I235" s="176" t="n"/>
      <c r="J235" s="176" t="n"/>
      <c r="K235" s="176" t="n"/>
      <c r="L235" s="176" t="n"/>
      <c r="M235" s="176" t="n"/>
      <c r="N235" s="176" t="n"/>
      <c r="O235" s="176" t="n"/>
      <c r="P235" s="176" t="n"/>
      <c r="Q235" s="176" t="n"/>
      <c r="R235" s="176" t="n"/>
      <c r="S235" s="176" t="n"/>
      <c r="T235" s="193" t="n"/>
      <c r="Y235" s="194" t="n"/>
      <c r="Z235" s="176" t="n"/>
      <c r="AA235" s="176" t="n"/>
      <c r="AB235" s="193" t="n"/>
      <c r="AG235" s="194" t="n"/>
      <c r="AH235" s="176" t="n"/>
      <c r="AI235" s="176" t="n"/>
      <c r="AJ235" s="176" t="n"/>
      <c r="AK235" s="176" t="n"/>
      <c r="AL235" s="176" t="n"/>
      <c r="AM235" s="176" t="n"/>
      <c r="AN235" s="176" t="n"/>
      <c r="AO235" s="176" t="n"/>
      <c r="AP235" s="176" t="n"/>
      <c r="AQ235" s="176" t="n"/>
      <c r="AR235" s="176" t="n"/>
      <c r="AS235" s="176" t="n"/>
      <c r="AT235" s="176" t="n"/>
      <c r="AU235" s="176" t="n"/>
      <c r="AV235" s="176" t="n"/>
      <c r="AW235" s="176" t="n"/>
      <c r="AX235" s="176" t="n"/>
      <c r="AY235" s="176" t="n"/>
      <c r="AZ235" s="176" t="n"/>
      <c r="BA235" s="176" t="n"/>
      <c r="BB235" s="176" t="n"/>
      <c r="BC235" s="176" t="n"/>
      <c r="BD235" s="176" t="n"/>
      <c r="BE235" s="176" t="n"/>
      <c r="BF235" s="176" t="n"/>
      <c r="BG235" s="176" t="n"/>
      <c r="BH235" s="176" t="n"/>
      <c r="BI235" s="176" t="n"/>
      <c r="BJ235" s="176" t="n"/>
      <c r="BK235" s="176" t="n"/>
      <c r="BL235" s="176" t="n"/>
      <c r="BM235" s="176" t="n"/>
      <c r="BN235" s="176" t="n"/>
      <c r="BO235" s="176" t="n"/>
      <c r="BP235" s="176" t="n"/>
      <c r="BQ235" s="176" t="n"/>
      <c r="BR235" s="176" t="n"/>
      <c r="BS235" s="176" t="n"/>
      <c r="BT235" s="176" t="n"/>
      <c r="BU235" s="176" t="n"/>
      <c r="BV235" s="176" t="n"/>
      <c r="BW235" s="176" t="n"/>
      <c r="BX235" s="176" t="n"/>
      <c r="BY235" s="176" t="n"/>
      <c r="BZ235" s="176" t="n"/>
      <c r="CA235" s="176" t="n"/>
      <c r="CB235" s="176" t="n"/>
      <c r="CC235" s="176" t="n"/>
      <c r="CD235" s="176" t="n"/>
      <c r="CE235" s="176" t="n"/>
      <c r="CF235" s="176" t="n"/>
      <c r="CG235" s="176" t="n"/>
      <c r="CH235" s="176" t="n"/>
      <c r="CI235" s="176" t="n"/>
      <c r="CJ235" s="176" t="n"/>
      <c r="CK235" s="176" t="n"/>
      <c r="CL235" s="176" t="n"/>
      <c r="CM235" s="176" t="n"/>
      <c r="CN235" s="176" t="n"/>
      <c r="CO235" s="176" t="n"/>
      <c r="CP235" s="176" t="n"/>
      <c r="CQ235" s="176" t="n"/>
      <c r="CR235" s="176" t="n"/>
      <c r="CS235" s="176" t="n"/>
      <c r="CT235" s="176" t="n"/>
      <c r="CU235" s="176" t="n"/>
      <c r="CV235" s="176" t="n"/>
      <c r="CW235" s="176" t="n"/>
      <c r="CX235" s="176" t="n"/>
      <c r="CY235" s="176" t="n"/>
      <c r="CZ235" s="176" t="n"/>
      <c r="DA235" s="181" t="inlineStr">
        <is>
          <t>EFEITO</t>
        </is>
      </c>
      <c r="DB235" s="182" t="n"/>
      <c r="DC235" s="182" t="n"/>
      <c r="DD235" s="182" t="n"/>
      <c r="DE235" s="182" t="n"/>
      <c r="DF235" s="183" t="n"/>
      <c r="DG235" s="176" t="n"/>
      <c r="DH235" s="176" t="n"/>
      <c r="DI235" s="181" t="inlineStr">
        <is>
          <t>EFEITO</t>
        </is>
      </c>
      <c r="DJ235" s="182" t="n"/>
      <c r="DK235" s="182" t="n"/>
      <c r="DL235" s="182" t="n"/>
      <c r="DM235" s="182" t="n"/>
      <c r="DN235" s="183" t="n"/>
      <c r="DO235" s="176" t="n"/>
      <c r="DP235" s="176" t="n"/>
      <c r="DQ235" s="176" t="n"/>
      <c r="DR235" s="185" t="n"/>
      <c r="DS235" s="182" t="n"/>
      <c r="DT235" s="182" t="n"/>
      <c r="DU235" s="182" t="n"/>
      <c r="DV235" s="182" t="n"/>
      <c r="DW235" s="183" t="n"/>
      <c r="DX235" s="176" t="n"/>
      <c r="DY235" s="176" t="n"/>
      <c r="DZ235" s="185" t="n"/>
      <c r="EA235" s="182" t="n"/>
      <c r="EB235" s="182" t="n"/>
      <c r="EC235" s="182" t="n"/>
      <c r="ED235" s="182" t="n"/>
      <c r="EE235" s="183" t="n"/>
      <c r="EF235" s="176" t="n"/>
      <c r="EG235" s="176" t="n"/>
      <c r="EH235" s="176" t="n"/>
      <c r="EI235" s="176" t="n"/>
      <c r="EJ235" s="176" t="n"/>
      <c r="EK235" s="176" t="n"/>
      <c r="EL235" s="176" t="n"/>
      <c r="EM235" s="176" t="n"/>
      <c r="EN235" s="176" t="n"/>
      <c r="EO235" s="176" t="n"/>
      <c r="EP235" s="176" t="n"/>
      <c r="EQ235" s="176" t="n"/>
      <c r="ER235" s="176" t="n"/>
      <c r="ES235" s="176" t="n"/>
      <c r="ET235" s="176" t="n"/>
      <c r="EU235" s="176" t="n"/>
      <c r="EV235" s="176" t="n"/>
      <c r="EW235" s="176" t="n"/>
      <c r="EX235" s="176" t="n"/>
      <c r="EY235" s="176" t="n"/>
      <c r="EZ235" s="193" t="n"/>
      <c r="FE235" s="194" t="n"/>
      <c r="FF235" s="176" t="n"/>
      <c r="FG235" s="176" t="n"/>
      <c r="FH235" s="193" t="n"/>
      <c r="FM235" s="194" t="n"/>
      <c r="FN235" s="176" t="n"/>
      <c r="FO235" s="176" t="n"/>
      <c r="FP235" s="176" t="n"/>
      <c r="FQ235" s="176" t="n"/>
      <c r="FR235" s="176" t="n"/>
      <c r="FS235" s="176" t="n"/>
      <c r="FT235" s="176" t="n"/>
      <c r="FU235" s="176" t="n"/>
      <c r="FV235" s="176" t="n"/>
      <c r="FW235" s="176" t="n"/>
      <c r="FX235" s="176" t="n"/>
      <c r="FY235" s="176" t="n"/>
      <c r="FZ235" s="176" t="n"/>
      <c r="GA235" s="176" t="n"/>
      <c r="GB235" s="176" t="n"/>
      <c r="GC235" s="176" t="n"/>
      <c r="GD235" s="176" t="n"/>
      <c r="GE235" s="176" t="n"/>
      <c r="GF235" s="176" t="n"/>
      <c r="GG235" s="176" t="n"/>
      <c r="GH235" s="176" t="n"/>
      <c r="GI235" s="176" t="n"/>
      <c r="GJ235" s="176" t="n"/>
      <c r="GK235" s="176" t="n"/>
      <c r="GL235" s="176" t="n"/>
      <c r="GM235" s="176" t="n"/>
      <c r="GN235" s="176" t="n"/>
      <c r="GO235" s="176" t="n"/>
      <c r="GP235" s="176" t="n"/>
      <c r="GQ235" s="176" t="n"/>
      <c r="GR235" s="176" t="n"/>
      <c r="GS235" s="176" t="n"/>
      <c r="GT235" s="176" t="n"/>
      <c r="GU235" s="176" t="n"/>
      <c r="GV235" s="176" t="n"/>
      <c r="GW235" s="176" t="n"/>
      <c r="GX235" s="176" t="n"/>
      <c r="GY235" s="176" t="n"/>
      <c r="GZ235" s="176" t="n"/>
      <c r="HA235" s="176" t="n"/>
      <c r="HB235" s="176" t="n"/>
      <c r="HC235" s="176" t="n"/>
      <c r="HD235" s="176" t="n"/>
      <c r="HE235" s="176" t="n"/>
      <c r="HF235" s="176" t="n"/>
      <c r="HG235" s="176" t="n"/>
      <c r="HH235" s="176" t="n"/>
      <c r="HI235" s="176" t="n"/>
      <c r="HJ235" s="176" t="n"/>
      <c r="HK235" s="176" t="n"/>
      <c r="HL235" s="176" t="n"/>
      <c r="HM235" s="176" t="n"/>
      <c r="HN235" s="176" t="n"/>
      <c r="HO235" s="176" t="n"/>
      <c r="HP235" s="179" t="inlineStr">
        <is>
          <t>TALENTO · ENTIDADE · 17</t>
        </is>
      </c>
      <c r="HV235" s="176" t="n"/>
      <c r="HW235" s="176" t="n"/>
      <c r="HX235" s="179" t="inlineStr">
        <is>
          <t>TALENTO · ENTIDADE · 18</t>
        </is>
      </c>
      <c r="ID235" s="176" t="n"/>
    </row>
    <row r="236" ht="18.75" customHeight="1">
      <c r="A236" s="176" t="n"/>
      <c r="B236" s="176" t="n"/>
      <c r="C236" s="176" t="n"/>
      <c r="D236" s="176" t="n"/>
      <c r="E236" s="176" t="n"/>
      <c r="F236" s="176" t="n"/>
      <c r="G236" s="176" t="n"/>
      <c r="H236" s="176" t="n"/>
      <c r="I236" s="176" t="n"/>
      <c r="J236" s="176" t="n"/>
      <c r="K236" s="176" t="n"/>
      <c r="L236" s="176" t="n"/>
      <c r="M236" s="176" t="n"/>
      <c r="N236" s="176" t="n"/>
      <c r="O236" s="176" t="n"/>
      <c r="P236" s="176" t="n"/>
      <c r="Q236" s="176" t="n"/>
      <c r="R236" s="176" t="n"/>
      <c r="S236" s="176" t="n"/>
      <c r="T236" s="193" t="n"/>
      <c r="Y236" s="194" t="n"/>
      <c r="Z236" s="176" t="n"/>
      <c r="AA236" s="176" t="n"/>
      <c r="AB236" s="193" t="n"/>
      <c r="AG236" s="194" t="n"/>
      <c r="AH236" s="176" t="n"/>
      <c r="AI236" s="176" t="n"/>
      <c r="AJ236" s="176" t="n"/>
      <c r="AK236" s="176" t="n"/>
      <c r="AL236" s="176" t="n"/>
      <c r="AM236" s="176" t="n"/>
      <c r="AN236" s="176" t="n"/>
      <c r="AO236" s="176" t="n"/>
      <c r="AP236" s="176" t="n"/>
      <c r="AQ236" s="176" t="n"/>
      <c r="AR236" s="176" t="n"/>
      <c r="AS236" s="176" t="n"/>
      <c r="AT236" s="176" t="n"/>
      <c r="AU236" s="176" t="n"/>
      <c r="AV236" s="176" t="n"/>
      <c r="AW236" s="176" t="n"/>
      <c r="AX236" s="176" t="n"/>
      <c r="AY236" s="176" t="n"/>
      <c r="AZ236" s="176" t="n"/>
      <c r="BA236" s="176" t="n"/>
      <c r="BB236" s="176" t="n"/>
      <c r="BC236" s="176" t="n"/>
      <c r="BD236" s="176" t="n"/>
      <c r="BE236" s="176" t="n"/>
      <c r="BF236" s="176" t="n"/>
      <c r="BG236" s="176" t="n"/>
      <c r="BH236" s="176" t="n"/>
      <c r="BI236" s="176" t="n"/>
      <c r="BJ236" s="176" t="n"/>
      <c r="BK236" s="176" t="n"/>
      <c r="BL236" s="176" t="n"/>
      <c r="BM236" s="176" t="n"/>
      <c r="BN236" s="176" t="n"/>
      <c r="BO236" s="176" t="n"/>
      <c r="BP236" s="176" t="n"/>
      <c r="BQ236" s="176" t="n"/>
      <c r="BR236" s="176" t="n"/>
      <c r="BS236" s="176" t="n"/>
      <c r="BT236" s="176" t="n"/>
      <c r="BU236" s="176" t="n"/>
      <c r="BV236" s="176" t="n"/>
      <c r="BW236" s="176" t="n"/>
      <c r="BX236" s="176" t="n"/>
      <c r="BY236" s="176" t="n"/>
      <c r="BZ236" s="176" t="n"/>
      <c r="CA236" s="176" t="n"/>
      <c r="CB236" s="176" t="n"/>
      <c r="CC236" s="176" t="n"/>
      <c r="CD236" s="176" t="n"/>
      <c r="CE236" s="176" t="n"/>
      <c r="CF236" s="176" t="n"/>
      <c r="CG236" s="176" t="n"/>
      <c r="CH236" s="176" t="n"/>
      <c r="CI236" s="176" t="n"/>
      <c r="CJ236" s="176" t="n"/>
      <c r="CK236" s="176" t="n"/>
      <c r="CL236" s="176" t="n"/>
      <c r="CM236" s="176" t="n"/>
      <c r="CN236" s="176" t="n"/>
      <c r="CO236" s="176" t="n"/>
      <c r="CP236" s="176" t="n"/>
      <c r="CQ236" s="176" t="n"/>
      <c r="CR236" s="176" t="n"/>
      <c r="CS236" s="176" t="n"/>
      <c r="CT236" s="176" t="n"/>
      <c r="CU236" s="176" t="n"/>
      <c r="CV236" s="176" t="n"/>
      <c r="CW236" s="176" t="n"/>
      <c r="CX236" s="176" t="n"/>
      <c r="CY236" s="176" t="n"/>
      <c r="CZ236" s="176" t="n"/>
      <c r="DA236" s="192" t="n"/>
      <c r="DB236" s="187" t="n"/>
      <c r="DC236" s="187" t="n"/>
      <c r="DD236" s="187" t="n"/>
      <c r="DE236" s="187" t="n"/>
      <c r="DF236" s="188" t="n"/>
      <c r="DG236" s="176" t="n"/>
      <c r="DH236" s="176" t="n"/>
      <c r="DI236" s="192" t="n"/>
      <c r="DJ236" s="187" t="n"/>
      <c r="DK236" s="187" t="n"/>
      <c r="DL236" s="187" t="n"/>
      <c r="DM236" s="187" t="n"/>
      <c r="DN236" s="188" t="n"/>
      <c r="DO236" s="176" t="n"/>
      <c r="DP236" s="176" t="n"/>
      <c r="DQ236" s="176" t="n"/>
      <c r="DR236" s="181" t="inlineStr">
        <is>
          <t>BASE DO LIVRO</t>
        </is>
      </c>
      <c r="DS236" s="182" t="n"/>
      <c r="DT236" s="183" t="n"/>
      <c r="DU236" s="185" t="inlineStr">
        <is>
          <t>Nenhuma</t>
        </is>
      </c>
      <c r="DV236" s="182" t="n"/>
      <c r="DW236" s="183" t="n"/>
      <c r="DX236" s="176" t="n"/>
      <c r="DY236" s="176" t="n"/>
      <c r="DZ236" s="181" t="inlineStr">
        <is>
          <t>BASE DO LIVRO</t>
        </is>
      </c>
      <c r="EA236" s="182" t="n"/>
      <c r="EB236" s="183" t="n"/>
      <c r="EC236" s="185" t="inlineStr">
        <is>
          <t>Nenhuma</t>
        </is>
      </c>
      <c r="ED236" s="182" t="n"/>
      <c r="EE236" s="183" t="n"/>
      <c r="EF236" s="176" t="n"/>
      <c r="EG236" s="176" t="n"/>
      <c r="EH236" s="176" t="n"/>
      <c r="EI236" s="176" t="n"/>
      <c r="EJ236" s="176" t="n"/>
      <c r="EK236" s="176" t="n"/>
      <c r="EL236" s="176" t="n"/>
      <c r="EM236" s="176" t="n"/>
      <c r="EN236" s="176" t="n"/>
      <c r="EO236" s="176" t="n"/>
      <c r="EP236" s="176" t="n"/>
      <c r="EQ236" s="176" t="n"/>
      <c r="ER236" s="176" t="n"/>
      <c r="ES236" s="176" t="n"/>
      <c r="ET236" s="176" t="n"/>
      <c r="EU236" s="176" t="n"/>
      <c r="EV236" s="176" t="n"/>
      <c r="EW236" s="176" t="n"/>
      <c r="EX236" s="176" t="n"/>
      <c r="EY236" s="176" t="n"/>
      <c r="EZ236" s="189" t="n"/>
      <c r="FA236" s="190" t="n"/>
      <c r="FB236" s="190" t="n"/>
      <c r="FC236" s="190" t="n"/>
      <c r="FD236" s="190" t="n"/>
      <c r="FE236" s="191" t="n"/>
      <c r="FF236" s="176" t="n"/>
      <c r="FG236" s="176" t="n"/>
      <c r="FH236" s="189" t="n"/>
      <c r="FI236" s="190" t="n"/>
      <c r="FJ236" s="190" t="n"/>
      <c r="FK236" s="190" t="n"/>
      <c r="FL236" s="190" t="n"/>
      <c r="FM236" s="191" t="n"/>
      <c r="FN236" s="176" t="n"/>
      <c r="FO236" s="176" t="n"/>
      <c r="FP236" s="176" t="n"/>
      <c r="FQ236" s="176" t="n"/>
      <c r="FR236" s="176" t="n"/>
      <c r="FS236" s="176" t="n"/>
      <c r="FT236" s="176" t="n"/>
      <c r="FU236" s="176" t="n"/>
      <c r="FV236" s="176" t="n"/>
      <c r="FW236" s="176" t="n"/>
      <c r="FX236" s="176" t="n"/>
      <c r="FY236" s="176" t="n"/>
      <c r="FZ236" s="176" t="n"/>
      <c r="GA236" s="176" t="n"/>
      <c r="GB236" s="176" t="n"/>
      <c r="GC236" s="176" t="n"/>
      <c r="GD236" s="176" t="n"/>
      <c r="GE236" s="176" t="n"/>
      <c r="GF236" s="176" t="n"/>
      <c r="GG236" s="176" t="n"/>
      <c r="GH236" s="176" t="n"/>
      <c r="GI236" s="176" t="n"/>
      <c r="GJ236" s="176" t="n"/>
      <c r="GK236" s="176" t="n"/>
      <c r="GL236" s="176" t="n"/>
      <c r="GM236" s="176" t="n"/>
      <c r="GN236" s="176" t="n"/>
      <c r="GO236" s="176" t="n"/>
      <c r="GP236" s="176" t="n"/>
      <c r="GQ236" s="176" t="n"/>
      <c r="GR236" s="176" t="n"/>
      <c r="GS236" s="176" t="n"/>
      <c r="GT236" s="176" t="n"/>
      <c r="GU236" s="176" t="n"/>
      <c r="GV236" s="176" t="n"/>
      <c r="GW236" s="176" t="n"/>
      <c r="GX236" s="176" t="n"/>
      <c r="GY236" s="176" t="n"/>
      <c r="GZ236" s="176" t="n"/>
      <c r="HA236" s="176" t="n"/>
      <c r="HB236" s="176" t="n"/>
      <c r="HC236" s="176" t="n"/>
      <c r="HD236" s="176" t="n"/>
      <c r="HE236" s="176" t="n"/>
      <c r="HF236" s="176" t="n"/>
      <c r="HG236" s="176" t="n"/>
      <c r="HH236" s="176" t="n"/>
      <c r="HI236" s="176" t="n"/>
      <c r="HJ236" s="176" t="n"/>
      <c r="HK236" s="176" t="n"/>
      <c r="HL236" s="176" t="n"/>
      <c r="HM236" s="176" t="n"/>
      <c r="HN236" s="176" t="n"/>
      <c r="HO236" s="176" t="n"/>
      <c r="HP236" s="181" t="inlineStr">
        <is>
          <t>NOME</t>
        </is>
      </c>
      <c r="HQ236" s="182" t="n"/>
      <c r="HR236" s="182" t="n"/>
      <c r="HS236" s="183" t="n"/>
      <c r="HT236" s="181" t="inlineStr">
        <is>
          <t>MESTRE VIU</t>
        </is>
      </c>
      <c r="HU236" s="183" t="n"/>
      <c r="HV236" s="176" t="n"/>
      <c r="HW236" s="176" t="n"/>
      <c r="HX236" s="181" t="inlineStr">
        <is>
          <t>NOME</t>
        </is>
      </c>
      <c r="HY236" s="182" t="n"/>
      <c r="HZ236" s="182" t="n"/>
      <c r="IA236" s="183" t="n"/>
      <c r="IB236" s="181" t="inlineStr">
        <is>
          <t>MESTRE VIU</t>
        </is>
      </c>
      <c r="IC236" s="183" t="n"/>
      <c r="ID236" s="176" t="n"/>
    </row>
    <row r="237" ht="18.75" customHeight="1">
      <c r="A237" s="176" t="n"/>
      <c r="B237" s="176" t="n"/>
      <c r="C237" s="176" t="n"/>
      <c r="D237" s="176" t="n"/>
      <c r="E237" s="176" t="n"/>
      <c r="F237" s="176" t="n"/>
      <c r="G237" s="176" t="n"/>
      <c r="H237" s="176" t="n"/>
      <c r="I237" s="176" t="n"/>
      <c r="J237" s="176" t="n"/>
      <c r="K237" s="176" t="n"/>
      <c r="L237" s="176" t="n"/>
      <c r="M237" s="176" t="n"/>
      <c r="N237" s="176" t="n"/>
      <c r="O237" s="176" t="n"/>
      <c r="P237" s="176" t="n"/>
      <c r="Q237" s="176" t="n"/>
      <c r="R237" s="176" t="n"/>
      <c r="S237" s="176" t="n"/>
      <c r="T237" s="193" t="n"/>
      <c r="Y237" s="194" t="n"/>
      <c r="Z237" s="176" t="n"/>
      <c r="AA237" s="176" t="n"/>
      <c r="AB237" s="193" t="n"/>
      <c r="AG237" s="194" t="n"/>
      <c r="AH237" s="176" t="n"/>
      <c r="AI237" s="176" t="n"/>
      <c r="AJ237" s="176" t="n"/>
      <c r="AK237" s="176" t="n"/>
      <c r="AL237" s="176" t="n"/>
      <c r="AM237" s="176" t="n"/>
      <c r="AN237" s="176" t="n"/>
      <c r="AO237" s="176" t="n"/>
      <c r="AP237" s="176" t="n"/>
      <c r="AQ237" s="176" t="n"/>
      <c r="AR237" s="176" t="n"/>
      <c r="AS237" s="176" t="n"/>
      <c r="AT237" s="176" t="n"/>
      <c r="AU237" s="176" t="n"/>
      <c r="AV237" s="176" t="n"/>
      <c r="AW237" s="176" t="n"/>
      <c r="AX237" s="176" t="n"/>
      <c r="AY237" s="176" t="n"/>
      <c r="AZ237" s="176" t="n"/>
      <c r="BA237" s="176" t="n"/>
      <c r="BB237" s="176" t="n"/>
      <c r="BC237" s="176" t="n"/>
      <c r="BD237" s="176" t="n"/>
      <c r="BE237" s="176" t="n"/>
      <c r="BF237" s="176" t="n"/>
      <c r="BG237" s="176" t="n"/>
      <c r="BH237" s="176" t="n"/>
      <c r="BI237" s="176" t="n"/>
      <c r="BJ237" s="176" t="n"/>
      <c r="BK237" s="176" t="n"/>
      <c r="BL237" s="176" t="n"/>
      <c r="BM237" s="176" t="n"/>
      <c r="BN237" s="176" t="n"/>
      <c r="BO237" s="176" t="n"/>
      <c r="BP237" s="176" t="n"/>
      <c r="BQ237" s="176" t="n"/>
      <c r="BR237" s="176" t="n"/>
      <c r="BS237" s="176" t="n"/>
      <c r="BT237" s="176" t="n"/>
      <c r="BU237" s="176" t="n"/>
      <c r="BV237" s="176" t="n"/>
      <c r="BW237" s="176" t="n"/>
      <c r="BX237" s="176" t="n"/>
      <c r="BY237" s="176" t="n"/>
      <c r="BZ237" s="176" t="n"/>
      <c r="CA237" s="176" t="n"/>
      <c r="CB237" s="176" t="n"/>
      <c r="CC237" s="176" t="n"/>
      <c r="CD237" s="176" t="n"/>
      <c r="CE237" s="176" t="n"/>
      <c r="CF237" s="176" t="n"/>
      <c r="CG237" s="176" t="n"/>
      <c r="CH237" s="176" t="n"/>
      <c r="CI237" s="176" t="n"/>
      <c r="CJ237" s="176" t="n"/>
      <c r="CK237" s="176" t="n"/>
      <c r="CL237" s="176" t="n"/>
      <c r="CM237" s="176" t="n"/>
      <c r="CN237" s="176" t="n"/>
      <c r="CO237" s="176" t="n"/>
      <c r="CP237" s="176" t="n"/>
      <c r="CQ237" s="176" t="n"/>
      <c r="CR237" s="176" t="n"/>
      <c r="CS237" s="176" t="n"/>
      <c r="CT237" s="176" t="n"/>
      <c r="CU237" s="176" t="n"/>
      <c r="CV237" s="176" t="n"/>
      <c r="CW237" s="176" t="n"/>
      <c r="CX237" s="176" t="n"/>
      <c r="CY237" s="176" t="n"/>
      <c r="CZ237" s="176" t="n"/>
      <c r="DA237" s="193" t="n"/>
      <c r="DF237" s="194" t="n"/>
      <c r="DG237" s="176" t="n"/>
      <c r="DH237" s="176" t="n"/>
      <c r="DI237" s="193" t="n"/>
      <c r="DN237" s="194" t="n"/>
      <c r="DO237" s="176" t="n"/>
      <c r="DP237" s="176" t="n"/>
      <c r="DQ237" s="176" t="n"/>
      <c r="DR237" s="181" t="inlineStr">
        <is>
          <t>DEVOLUÇÃO</t>
        </is>
      </c>
      <c r="DS237" s="182" t="n"/>
      <c r="DT237" s="183" t="n"/>
      <c r="DU237" s="185" t="n"/>
      <c r="DV237" s="182" t="n"/>
      <c r="DW237" s="183" t="n"/>
      <c r="DX237" s="176" t="n"/>
      <c r="DY237" s="176" t="n"/>
      <c r="DZ237" s="181" t="inlineStr">
        <is>
          <t>DEVOLUÇÃO</t>
        </is>
      </c>
      <c r="EA237" s="182" t="n"/>
      <c r="EB237" s="183" t="n"/>
      <c r="EC237" s="185" t="n"/>
      <c r="ED237" s="182" t="n"/>
      <c r="EE237" s="183" t="n"/>
      <c r="EF237" s="176" t="n"/>
      <c r="EG237" s="176" t="n"/>
      <c r="EH237" s="176" t="n"/>
      <c r="EI237" s="176" t="n"/>
      <c r="EJ237" s="176" t="n"/>
      <c r="EK237" s="176" t="n"/>
      <c r="EL237" s="176" t="n"/>
      <c r="EM237" s="176" t="n"/>
      <c r="EN237" s="176" t="n"/>
      <c r="EO237" s="176" t="n"/>
      <c r="EP237" s="176" t="n"/>
      <c r="EQ237" s="176" t="n"/>
      <c r="ER237" s="176" t="n"/>
      <c r="ES237" s="176" t="n"/>
      <c r="ET237" s="176" t="n"/>
      <c r="EU237" s="176" t="n"/>
      <c r="EV237" s="176" t="n"/>
      <c r="EW237" s="176" t="n"/>
      <c r="EX237" s="176" t="n"/>
      <c r="EY237" s="176" t="n"/>
      <c r="EZ237" s="176" t="n"/>
      <c r="FA237" s="176" t="n"/>
      <c r="FB237" s="176" t="n"/>
      <c r="FC237" s="176" t="n"/>
      <c r="FD237" s="176" t="n"/>
      <c r="FE237" s="176" t="n"/>
      <c r="FF237" s="176" t="n"/>
      <c r="FG237" s="176" t="n"/>
      <c r="FH237" s="176" t="n"/>
      <c r="FI237" s="176" t="n"/>
      <c r="FJ237" s="176" t="n"/>
      <c r="FK237" s="176" t="n"/>
      <c r="FL237" s="176" t="n"/>
      <c r="FM237" s="176" t="n"/>
      <c r="FN237" s="176" t="n"/>
      <c r="FO237" s="176" t="n"/>
      <c r="FP237" s="176" t="n"/>
      <c r="FQ237" s="176" t="n"/>
      <c r="FR237" s="176" t="n"/>
      <c r="FS237" s="176" t="n"/>
      <c r="FT237" s="176" t="n"/>
      <c r="FU237" s="176" t="n"/>
      <c r="FV237" s="176" t="n"/>
      <c r="FW237" s="176" t="n"/>
      <c r="FX237" s="176" t="n"/>
      <c r="FY237" s="176" t="n"/>
      <c r="FZ237" s="176" t="n"/>
      <c r="GA237" s="176" t="n"/>
      <c r="GB237" s="176" t="n"/>
      <c r="GC237" s="176" t="n"/>
      <c r="GD237" s="176" t="n"/>
      <c r="GE237" s="176" t="n"/>
      <c r="GF237" s="176" t="n"/>
      <c r="GG237" s="176" t="n"/>
      <c r="GH237" s="176" t="n"/>
      <c r="GI237" s="176" t="n"/>
      <c r="GJ237" s="176" t="n"/>
      <c r="GK237" s="176" t="n"/>
      <c r="GL237" s="176" t="n"/>
      <c r="GM237" s="176" t="n"/>
      <c r="GN237" s="176" t="n"/>
      <c r="GO237" s="176" t="n"/>
      <c r="GP237" s="176" t="n"/>
      <c r="GQ237" s="176" t="n"/>
      <c r="GR237" s="176" t="n"/>
      <c r="GS237" s="176" t="n"/>
      <c r="GT237" s="176" t="n"/>
      <c r="GU237" s="176" t="n"/>
      <c r="GV237" s="176" t="n"/>
      <c r="GW237" s="176" t="n"/>
      <c r="GX237" s="176" t="n"/>
      <c r="GY237" s="176" t="n"/>
      <c r="GZ237" s="176" t="n"/>
      <c r="HA237" s="176" t="n"/>
      <c r="HB237" s="176" t="n"/>
      <c r="HC237" s="176" t="n"/>
      <c r="HD237" s="176" t="n"/>
      <c r="HE237" s="176" t="n"/>
      <c r="HF237" s="176" t="n"/>
      <c r="HG237" s="176" t="n"/>
      <c r="HH237" s="176" t="n"/>
      <c r="HI237" s="176" t="n"/>
      <c r="HJ237" s="176" t="n"/>
      <c r="HK237" s="176" t="n"/>
      <c r="HL237" s="176" t="n"/>
      <c r="HM237" s="176" t="n"/>
      <c r="HN237" s="176" t="n"/>
      <c r="HO237" s="176" t="n"/>
      <c r="HP237" s="185" t="n"/>
      <c r="HQ237" s="182" t="n"/>
      <c r="HR237" s="182" t="n"/>
      <c r="HS237" s="183" t="n"/>
      <c r="HT237" s="184" t="b">
        <v>0</v>
      </c>
      <c r="HU237" s="183" t="n"/>
      <c r="HV237" s="176" t="n"/>
      <c r="HW237" s="176" t="n"/>
      <c r="HX237" s="185" t="n"/>
      <c r="HY237" s="182" t="n"/>
      <c r="HZ237" s="182" t="n"/>
      <c r="IA237" s="183" t="n"/>
      <c r="IB237" s="184" t="b">
        <v>0</v>
      </c>
      <c r="IC237" s="183" t="n"/>
      <c r="ID237" s="176" t="n"/>
    </row>
    <row r="238" ht="18.75" customHeight="1">
      <c r="A238" s="176" t="n"/>
      <c r="B238" s="176" t="n"/>
      <c r="C238" s="176" t="n"/>
      <c r="D238" s="176" t="n"/>
      <c r="E238" s="176" t="n"/>
      <c r="F238" s="176" t="n"/>
      <c r="G238" s="176" t="n"/>
      <c r="H238" s="176" t="n"/>
      <c r="I238" s="176" t="n"/>
      <c r="J238" s="176" t="n"/>
      <c r="K238" s="176" t="n"/>
      <c r="L238" s="176" t="n"/>
      <c r="M238" s="176" t="n"/>
      <c r="N238" s="176" t="n"/>
      <c r="O238" s="176" t="n"/>
      <c r="P238" s="176" t="n"/>
      <c r="Q238" s="176" t="n"/>
      <c r="R238" s="176" t="n"/>
      <c r="S238" s="176" t="n"/>
      <c r="T238" s="189" t="n"/>
      <c r="U238" s="190" t="n"/>
      <c r="V238" s="190" t="n"/>
      <c r="W238" s="190" t="n"/>
      <c r="X238" s="190" t="n"/>
      <c r="Y238" s="191" t="n"/>
      <c r="Z238" s="176" t="n"/>
      <c r="AA238" s="176" t="n"/>
      <c r="AB238" s="189" t="n"/>
      <c r="AC238" s="190" t="n"/>
      <c r="AD238" s="190" t="n"/>
      <c r="AE238" s="190" t="n"/>
      <c r="AF238" s="190" t="n"/>
      <c r="AG238" s="191" t="n"/>
      <c r="AH238" s="176" t="n"/>
      <c r="AI238" s="176" t="n"/>
      <c r="AJ238" s="176" t="n"/>
      <c r="AK238" s="176" t="n"/>
      <c r="AL238" s="176" t="n"/>
      <c r="AM238" s="176" t="n"/>
      <c r="AN238" s="176" t="n"/>
      <c r="AO238" s="176" t="n"/>
      <c r="AP238" s="176" t="n"/>
      <c r="AQ238" s="176" t="n"/>
      <c r="AR238" s="176" t="n"/>
      <c r="AS238" s="176" t="n"/>
      <c r="AT238" s="176" t="n"/>
      <c r="AU238" s="176" t="n"/>
      <c r="AV238" s="176" t="n"/>
      <c r="AW238" s="176" t="n"/>
      <c r="AX238" s="176" t="n"/>
      <c r="AY238" s="176" t="n"/>
      <c r="AZ238" s="176" t="n"/>
      <c r="BA238" s="176" t="n"/>
      <c r="BB238" s="176" t="n"/>
      <c r="BC238" s="176" t="n"/>
      <c r="BD238" s="176" t="n"/>
      <c r="BE238" s="176" t="n"/>
      <c r="BF238" s="176" t="n"/>
      <c r="BG238" s="176" t="n"/>
      <c r="BH238" s="176" t="n"/>
      <c r="BI238" s="176" t="n"/>
      <c r="BJ238" s="176" t="n"/>
      <c r="BK238" s="176" t="n"/>
      <c r="BL238" s="176" t="n"/>
      <c r="BM238" s="176" t="n"/>
      <c r="BN238" s="176" t="n"/>
      <c r="BO238" s="176" t="n"/>
      <c r="BP238" s="176" t="n"/>
      <c r="BQ238" s="176" t="n"/>
      <c r="BR238" s="176" t="n"/>
      <c r="BS238" s="176" t="n"/>
      <c r="BT238" s="176" t="n"/>
      <c r="BU238" s="176" t="n"/>
      <c r="BV238" s="176" t="n"/>
      <c r="BW238" s="176" t="n"/>
      <c r="BX238" s="176" t="n"/>
      <c r="BY238" s="176" t="n"/>
      <c r="BZ238" s="176" t="n"/>
      <c r="CA238" s="176" t="n"/>
      <c r="CB238" s="176" t="n"/>
      <c r="CC238" s="176" t="n"/>
      <c r="CD238" s="176" t="n"/>
      <c r="CE238" s="176" t="n"/>
      <c r="CF238" s="176" t="n"/>
      <c r="CG238" s="176" t="n"/>
      <c r="CH238" s="176" t="n"/>
      <c r="CI238" s="176" t="n"/>
      <c r="CJ238" s="176" t="n"/>
      <c r="CK238" s="176" t="n"/>
      <c r="CL238" s="176" t="n"/>
      <c r="CM238" s="176" t="n"/>
      <c r="CN238" s="176" t="n"/>
      <c r="CO238" s="176" t="n"/>
      <c r="CP238" s="176" t="n"/>
      <c r="CQ238" s="176" t="n"/>
      <c r="CR238" s="176" t="n"/>
      <c r="CS238" s="176" t="n"/>
      <c r="CT238" s="176" t="n"/>
      <c r="CU238" s="176" t="n"/>
      <c r="CV238" s="176" t="n"/>
      <c r="CW238" s="176" t="n"/>
      <c r="CX238" s="176" t="n"/>
      <c r="CY238" s="176" t="n"/>
      <c r="CZ238" s="176" t="n"/>
      <c r="DA238" s="193" t="n"/>
      <c r="DF238" s="194" t="n"/>
      <c r="DG238" s="176" t="n"/>
      <c r="DH238" s="176" t="n"/>
      <c r="DI238" s="193" t="n"/>
      <c r="DN238" s="194" t="n"/>
      <c r="DO238" s="176" t="n"/>
      <c r="DP238" s="176" t="n"/>
      <c r="DQ238" s="176" t="n"/>
      <c r="DR238" s="181" t="inlineStr">
        <is>
          <t>FREQUÊNCIA</t>
        </is>
      </c>
      <c r="DS238" s="182" t="n"/>
      <c r="DT238" s="183" t="n"/>
      <c r="DU238" s="185" t="n"/>
      <c r="DV238" s="182" t="n"/>
      <c r="DW238" s="183" t="n"/>
      <c r="DX238" s="176" t="n"/>
      <c r="DY238" s="176" t="n"/>
      <c r="DZ238" s="181" t="inlineStr">
        <is>
          <t>FREQUÊNCIA</t>
        </is>
      </c>
      <c r="EA238" s="182" t="n"/>
      <c r="EB238" s="183" t="n"/>
      <c r="EC238" s="185" t="n"/>
      <c r="ED238" s="182" t="n"/>
      <c r="EE238" s="183" t="n"/>
      <c r="EF238" s="176" t="n"/>
      <c r="EG238" s="176" t="n"/>
      <c r="EH238" s="176" t="n"/>
      <c r="EI238" s="176" t="n"/>
      <c r="EJ238" s="176" t="n"/>
      <c r="EK238" s="176" t="n"/>
      <c r="EL238" s="176" t="n"/>
      <c r="EM238" s="176" t="n"/>
      <c r="EN238" s="176" t="n"/>
      <c r="EO238" s="176" t="n"/>
      <c r="EP238" s="176" t="n"/>
      <c r="EQ238" s="176" t="n"/>
      <c r="ER238" s="176" t="n"/>
      <c r="ES238" s="176" t="n"/>
      <c r="ET238" s="176" t="n"/>
      <c r="EU238" s="176" t="n"/>
      <c r="EV238" s="176" t="n"/>
      <c r="EW238" s="176" t="n"/>
      <c r="EX238" s="176" t="n"/>
      <c r="EY238" s="176" t="n"/>
      <c r="EZ238" s="176" t="n"/>
      <c r="FA238" s="176" t="n"/>
      <c r="FB238" s="176" t="n"/>
      <c r="FC238" s="176" t="n"/>
      <c r="FD238" s="176" t="n"/>
      <c r="FE238" s="176" t="n"/>
      <c r="FF238" s="176" t="n"/>
      <c r="FG238" s="176" t="n"/>
      <c r="FH238" s="176" t="n"/>
      <c r="FI238" s="176" t="n"/>
      <c r="FJ238" s="176" t="n"/>
      <c r="FK238" s="176" t="n"/>
      <c r="FL238" s="176" t="n"/>
      <c r="FM238" s="176" t="n"/>
      <c r="FN238" s="176" t="n"/>
      <c r="FO238" s="176" t="n"/>
      <c r="FP238" s="176" t="n"/>
      <c r="FQ238" s="176" t="n"/>
      <c r="FR238" s="176" t="n"/>
      <c r="FS238" s="176" t="n"/>
      <c r="FT238" s="176" t="n"/>
      <c r="FU238" s="176" t="n"/>
      <c r="FV238" s="176" t="n"/>
      <c r="FW238" s="176" t="n"/>
      <c r="FX238" s="176" t="n"/>
      <c r="FY238" s="176" t="n"/>
      <c r="FZ238" s="176" t="n"/>
      <c r="GA238" s="176" t="n"/>
      <c r="GB238" s="176" t="n"/>
      <c r="GC238" s="176" t="n"/>
      <c r="GD238" s="176" t="n"/>
      <c r="GE238" s="176" t="n"/>
      <c r="GF238" s="176" t="n"/>
      <c r="GG238" s="176" t="n"/>
      <c r="GH238" s="176" t="n"/>
      <c r="GI238" s="176" t="n"/>
      <c r="GJ238" s="176" t="n"/>
      <c r="GK238" s="176" t="n"/>
      <c r="GL238" s="176" t="n"/>
      <c r="GM238" s="176" t="n"/>
      <c r="GN238" s="176" t="n"/>
      <c r="GO238" s="176" t="n"/>
      <c r="GP238" s="176" t="n"/>
      <c r="GQ238" s="176" t="n"/>
      <c r="GR238" s="176" t="n"/>
      <c r="GS238" s="176" t="n"/>
      <c r="GT238" s="176" t="n"/>
      <c r="GU238" s="176" t="n"/>
      <c r="GV238" s="176" t="n"/>
      <c r="GW238" s="176" t="n"/>
      <c r="GX238" s="176" t="n"/>
      <c r="GY238" s="176" t="n"/>
      <c r="GZ238" s="176" t="n"/>
      <c r="HA238" s="176" t="n"/>
      <c r="HB238" s="176" t="n"/>
      <c r="HC238" s="176" t="n"/>
      <c r="HD238" s="176" t="n"/>
      <c r="HE238" s="176" t="n"/>
      <c r="HF238" s="176" t="n"/>
      <c r="HG238" s="176" t="n"/>
      <c r="HH238" s="176" t="n"/>
      <c r="HI238" s="176" t="n"/>
      <c r="HJ238" s="176" t="n"/>
      <c r="HK238" s="176" t="n"/>
      <c r="HL238" s="176" t="n"/>
      <c r="HM238" s="176" t="n"/>
      <c r="HN238" s="176" t="n"/>
      <c r="HO238" s="176" t="n"/>
      <c r="HP238" s="176" t="n"/>
      <c r="HQ238" s="176" t="n"/>
      <c r="HR238" s="176" t="n"/>
      <c r="HS238" s="176" t="n"/>
      <c r="HT238" s="176" t="n"/>
      <c r="HU238" s="176" t="n"/>
      <c r="HV238" s="176" t="n"/>
      <c r="HW238" s="176" t="n"/>
      <c r="HX238" s="176" t="n"/>
      <c r="HY238" s="176" t="n"/>
      <c r="HZ238" s="176" t="n"/>
      <c r="IA238" s="176" t="n"/>
      <c r="IB238" s="176" t="n"/>
      <c r="IC238" s="176" t="n"/>
      <c r="ID238" s="176" t="n"/>
    </row>
    <row r="239" ht="18.75" customHeight="1">
      <c r="A239" s="176" t="n"/>
      <c r="B239" s="176" t="n"/>
      <c r="C239" s="176" t="n"/>
      <c r="D239" s="176" t="n"/>
      <c r="E239" s="176" t="n"/>
      <c r="F239" s="176" t="n"/>
      <c r="G239" s="176" t="n"/>
      <c r="H239" s="176" t="n"/>
      <c r="I239" s="176" t="n"/>
      <c r="J239" s="176" t="n"/>
      <c r="K239" s="176" t="n"/>
      <c r="L239" s="176" t="n"/>
      <c r="M239" s="176" t="n"/>
      <c r="N239" s="176" t="n"/>
      <c r="O239" s="176" t="n"/>
      <c r="P239" s="176" t="n"/>
      <c r="Q239" s="176" t="n"/>
      <c r="R239" s="176" t="n"/>
      <c r="S239" s="176" t="n"/>
      <c r="T239" s="180">
        <f>IF('DADOS_CUSTOM'!$S$16="","Revise os valores ao trocar o tipo.","⚠ "&amp;'DADOS_CUSTOM'!$S$16)</f>
        <v/>
      </c>
      <c r="Z239" s="176" t="n"/>
      <c r="AA239" s="176" t="n"/>
      <c r="AB239" s="180">
        <f>IF('DADOS_CUSTOM'!$S$17="","Revise os valores ao trocar o tipo.","⚠ "&amp;'DADOS_CUSTOM'!$S$17)</f>
        <v/>
      </c>
      <c r="AH239" s="176" t="n"/>
      <c r="AI239" s="176" t="n"/>
      <c r="AJ239" s="176" t="n"/>
      <c r="AK239" s="176" t="n"/>
      <c r="AL239" s="176" t="n"/>
      <c r="AM239" s="176" t="n"/>
      <c r="AN239" s="176" t="n"/>
      <c r="AO239" s="176" t="n"/>
      <c r="AP239" s="176" t="n"/>
      <c r="AQ239" s="176" t="n"/>
      <c r="AR239" s="176" t="n"/>
      <c r="AS239" s="176" t="n"/>
      <c r="AT239" s="176" t="n"/>
      <c r="AU239" s="176" t="n"/>
      <c r="AV239" s="176" t="n"/>
      <c r="AW239" s="176" t="n"/>
      <c r="AX239" s="176" t="n"/>
      <c r="AY239" s="176" t="n"/>
      <c r="AZ239" s="176" t="n"/>
      <c r="BA239" s="176" t="n"/>
      <c r="BB239" s="176" t="n"/>
      <c r="BC239" s="176" t="n"/>
      <c r="BD239" s="176" t="n"/>
      <c r="BE239" s="176" t="n"/>
      <c r="BF239" s="176" t="n"/>
      <c r="BG239" s="176" t="n"/>
      <c r="BH239" s="176" t="n"/>
      <c r="BI239" s="176" t="n"/>
      <c r="BJ239" s="176" t="n"/>
      <c r="BK239" s="176" t="n"/>
      <c r="BL239" s="176" t="n"/>
      <c r="BM239" s="176" t="n"/>
      <c r="BN239" s="176" t="n"/>
      <c r="BO239" s="176" t="n"/>
      <c r="BP239" s="176" t="n"/>
      <c r="BQ239" s="176" t="n"/>
      <c r="BR239" s="176" t="n"/>
      <c r="BS239" s="176" t="n"/>
      <c r="BT239" s="176" t="n"/>
      <c r="BU239" s="176" t="n"/>
      <c r="BV239" s="176" t="n"/>
      <c r="BW239" s="176" t="n"/>
      <c r="BX239" s="176" t="n"/>
      <c r="BY239" s="176" t="n"/>
      <c r="BZ239" s="176" t="n"/>
      <c r="CA239" s="176" t="n"/>
      <c r="CB239" s="176" t="n"/>
      <c r="CC239" s="176" t="n"/>
      <c r="CD239" s="176" t="n"/>
      <c r="CE239" s="176" t="n"/>
      <c r="CF239" s="176" t="n"/>
      <c r="CG239" s="176" t="n"/>
      <c r="CH239" s="176" t="n"/>
      <c r="CI239" s="176" t="n"/>
      <c r="CJ239" s="176" t="n"/>
      <c r="CK239" s="176" t="n"/>
      <c r="CL239" s="176" t="n"/>
      <c r="CM239" s="176" t="n"/>
      <c r="CN239" s="176" t="n"/>
      <c r="CO239" s="176" t="n"/>
      <c r="CP239" s="176" t="n"/>
      <c r="CQ239" s="176" t="n"/>
      <c r="CR239" s="176" t="n"/>
      <c r="CS239" s="176" t="n"/>
      <c r="CT239" s="176" t="n"/>
      <c r="CU239" s="176" t="n"/>
      <c r="CV239" s="176" t="n"/>
      <c r="CW239" s="176" t="n"/>
      <c r="CX239" s="176" t="n"/>
      <c r="CY239" s="176" t="n"/>
      <c r="CZ239" s="176" t="n"/>
      <c r="DA239" s="193" t="n"/>
      <c r="DF239" s="194" t="n"/>
      <c r="DG239" s="176" t="n"/>
      <c r="DH239" s="176" t="n"/>
      <c r="DI239" s="193" t="n"/>
      <c r="DN239" s="194" t="n"/>
      <c r="DO239" s="176" t="n"/>
      <c r="DP239" s="176" t="n"/>
      <c r="DQ239" s="176" t="n"/>
      <c r="DR239" s="176" t="n"/>
      <c r="DS239" s="176" t="n"/>
      <c r="DT239" s="176" t="n"/>
      <c r="DU239" s="176" t="n"/>
      <c r="DV239" s="176" t="n"/>
      <c r="DW239" s="176" t="n"/>
      <c r="DX239" s="176" t="n"/>
      <c r="DY239" s="176" t="n"/>
      <c r="DZ239" s="176" t="n"/>
      <c r="EA239" s="176" t="n"/>
      <c r="EB239" s="176" t="n"/>
      <c r="EC239" s="176" t="n"/>
      <c r="ED239" s="176" t="n"/>
      <c r="EE239" s="176" t="n"/>
      <c r="EF239" s="176" t="n"/>
      <c r="EG239" s="176" t="n"/>
      <c r="EH239" s="176" t="n"/>
      <c r="EI239" s="176" t="n"/>
      <c r="EJ239" s="176" t="n"/>
      <c r="EK239" s="176" t="n"/>
      <c r="EL239" s="176" t="n"/>
      <c r="EM239" s="176" t="n"/>
      <c r="EN239" s="176" t="n"/>
      <c r="EO239" s="176" t="n"/>
      <c r="EP239" s="176" t="n"/>
      <c r="EQ239" s="176" t="n"/>
      <c r="ER239" s="176" t="n"/>
      <c r="ES239" s="176" t="n"/>
      <c r="ET239" s="176" t="n"/>
      <c r="EU239" s="176" t="n"/>
      <c r="EV239" s="176" t="n"/>
      <c r="EW239" s="176" t="n"/>
      <c r="EX239" s="176" t="n"/>
      <c r="EY239" s="176" t="n"/>
      <c r="EZ239" s="180">
        <f>IF('DADOS_FORMAS'!$AD10="","","⚠ "&amp;'DADOS_FORMAS'!$AD10)</f>
        <v/>
      </c>
      <c r="FF239" s="176" t="n"/>
      <c r="FG239" s="176" t="n"/>
      <c r="FH239" s="180">
        <f>IF('DADOS_FORMAS'!$AD11="","","⚠ "&amp;'DADOS_FORMAS'!$AD11)</f>
        <v/>
      </c>
      <c r="FN239" s="176" t="n"/>
      <c r="FO239" s="176" t="n"/>
      <c r="FP239" s="176" t="n"/>
      <c r="FQ239" s="176" t="n"/>
      <c r="FR239" s="176" t="n"/>
      <c r="FS239" s="176" t="n"/>
      <c r="FT239" s="176" t="n"/>
      <c r="FU239" s="176" t="n"/>
      <c r="FV239" s="176" t="n"/>
      <c r="FW239" s="176" t="n"/>
      <c r="FX239" s="176" t="n"/>
      <c r="FY239" s="176" t="n"/>
      <c r="FZ239" s="176" t="n"/>
      <c r="GA239" s="176" t="n"/>
      <c r="GB239" s="176" t="n"/>
      <c r="GC239" s="176" t="n"/>
      <c r="GD239" s="176" t="n"/>
      <c r="GE239" s="176" t="n"/>
      <c r="GF239" s="176" t="n"/>
      <c r="GG239" s="176" t="n"/>
      <c r="GH239" s="176" t="n"/>
      <c r="GI239" s="176" t="n"/>
      <c r="GJ239" s="176" t="n"/>
      <c r="GK239" s="176" t="n"/>
      <c r="GL239" s="176" t="n"/>
      <c r="GM239" s="176" t="n"/>
      <c r="GN239" s="176" t="n"/>
      <c r="GO239" s="176" t="n"/>
      <c r="GP239" s="176" t="n"/>
      <c r="GQ239" s="176" t="n"/>
      <c r="GR239" s="176" t="n"/>
      <c r="GS239" s="176" t="n"/>
      <c r="GT239" s="176" t="n"/>
      <c r="GU239" s="176" t="n"/>
      <c r="GV239" s="176" t="n"/>
      <c r="GW239" s="176" t="n"/>
      <c r="GX239" s="176" t="n"/>
      <c r="GY239" s="176" t="n"/>
      <c r="GZ239" s="176" t="n"/>
      <c r="HA239" s="176" t="n"/>
      <c r="HB239" s="176" t="n"/>
      <c r="HC239" s="176" t="n"/>
      <c r="HD239" s="176" t="n"/>
      <c r="HE239" s="176" t="n"/>
      <c r="HF239" s="176" t="n"/>
      <c r="HG239" s="176" t="n"/>
      <c r="HH239" s="176" t="n"/>
      <c r="HI239" s="176" t="n"/>
      <c r="HJ239" s="176" t="n"/>
      <c r="HK239" s="176" t="n"/>
      <c r="HL239" s="176" t="n"/>
      <c r="HM239" s="176" t="n"/>
      <c r="HN239" s="176" t="n"/>
      <c r="HO239" s="176" t="n"/>
      <c r="HP239" s="181" t="inlineStr">
        <is>
          <t>BASE DO LIVRO</t>
        </is>
      </c>
      <c r="HQ239" s="182" t="n"/>
      <c r="HR239" s="183" t="n"/>
      <c r="HS239" s="185" t="inlineStr">
        <is>
          <t>Nenhuma</t>
        </is>
      </c>
      <c r="HT239" s="182" t="n"/>
      <c r="HU239" s="183" t="n"/>
      <c r="HV239" s="176" t="n"/>
      <c r="HW239" s="176" t="n"/>
      <c r="HX239" s="181" t="inlineStr">
        <is>
          <t>BASE DO LIVRO</t>
        </is>
      </c>
      <c r="HY239" s="182" t="n"/>
      <c r="HZ239" s="183" t="n"/>
      <c r="IA239" s="185" t="inlineStr">
        <is>
          <t>Nenhuma</t>
        </is>
      </c>
      <c r="IB239" s="182" t="n"/>
      <c r="IC239" s="183" t="n"/>
      <c r="ID239" s="176" t="n"/>
    </row>
    <row r="240" ht="18.75" customHeight="1">
      <c r="A240" s="176" t="n"/>
      <c r="B240" s="176" t="n"/>
      <c r="C240" s="176" t="n"/>
      <c r="D240" s="176" t="n"/>
      <c r="E240" s="176" t="n"/>
      <c r="F240" s="176" t="n"/>
      <c r="G240" s="176" t="n"/>
      <c r="H240" s="176" t="n"/>
      <c r="I240" s="176" t="n"/>
      <c r="J240" s="176" t="n"/>
      <c r="K240" s="176" t="n"/>
      <c r="L240" s="176" t="n"/>
      <c r="M240" s="176" t="n"/>
      <c r="N240" s="176" t="n"/>
      <c r="O240" s="176" t="n"/>
      <c r="P240" s="176" t="n"/>
      <c r="Q240" s="176" t="n"/>
      <c r="R240" s="176" t="n"/>
      <c r="S240" s="176" t="n"/>
      <c r="Z240" s="176" t="n"/>
      <c r="AA240" s="176" t="n"/>
      <c r="AH240" s="176" t="n"/>
      <c r="AI240" s="176" t="n"/>
      <c r="AJ240" s="176" t="n"/>
      <c r="AK240" s="176" t="n"/>
      <c r="AL240" s="176" t="n"/>
      <c r="AM240" s="176" t="n"/>
      <c r="AN240" s="176" t="n"/>
      <c r="AO240" s="176" t="n"/>
      <c r="AP240" s="176" t="n"/>
      <c r="AQ240" s="176" t="n"/>
      <c r="AR240" s="176" t="n"/>
      <c r="AS240" s="176" t="n"/>
      <c r="AT240" s="176" t="n"/>
      <c r="AU240" s="176" t="n"/>
      <c r="AV240" s="176" t="n"/>
      <c r="AW240" s="176" t="n"/>
      <c r="AX240" s="176" t="n"/>
      <c r="AY240" s="176" t="n"/>
      <c r="AZ240" s="176" t="n"/>
      <c r="BA240" s="176" t="n"/>
      <c r="BB240" s="176" t="n"/>
      <c r="BC240" s="176" t="n"/>
      <c r="BD240" s="176" t="n"/>
      <c r="BE240" s="176" t="n"/>
      <c r="BF240" s="176" t="n"/>
      <c r="BG240" s="176" t="n"/>
      <c r="BH240" s="176" t="n"/>
      <c r="BI240" s="176" t="n"/>
      <c r="BJ240" s="176" t="n"/>
      <c r="BK240" s="176" t="n"/>
      <c r="BL240" s="176" t="n"/>
      <c r="BM240" s="176" t="n"/>
      <c r="BN240" s="176" t="n"/>
      <c r="BO240" s="176" t="n"/>
      <c r="BP240" s="176" t="n"/>
      <c r="BQ240" s="176" t="n"/>
      <c r="BR240" s="176" t="n"/>
      <c r="BS240" s="176" t="n"/>
      <c r="BT240" s="176" t="n"/>
      <c r="BU240" s="176" t="n"/>
      <c r="BV240" s="176" t="n"/>
      <c r="BW240" s="176" t="n"/>
      <c r="BX240" s="176" t="n"/>
      <c r="BY240" s="176" t="n"/>
      <c r="BZ240" s="176" t="n"/>
      <c r="CA240" s="176" t="n"/>
      <c r="CB240" s="176" t="n"/>
      <c r="CC240" s="176" t="n"/>
      <c r="CD240" s="176" t="n"/>
      <c r="CE240" s="176" t="n"/>
      <c r="CF240" s="176" t="n"/>
      <c r="CG240" s="176" t="n"/>
      <c r="CH240" s="176" t="n"/>
      <c r="CI240" s="176" t="n"/>
      <c r="CJ240" s="176" t="n"/>
      <c r="CK240" s="176" t="n"/>
      <c r="CL240" s="176" t="n"/>
      <c r="CM240" s="176" t="n"/>
      <c r="CN240" s="176" t="n"/>
      <c r="CO240" s="176" t="n"/>
      <c r="CP240" s="176" t="n"/>
      <c r="CQ240" s="176" t="n"/>
      <c r="CR240" s="176" t="n"/>
      <c r="CS240" s="176" t="n"/>
      <c r="CT240" s="176" t="n"/>
      <c r="CU240" s="176" t="n"/>
      <c r="CV240" s="176" t="n"/>
      <c r="CW240" s="176" t="n"/>
      <c r="CX240" s="176" t="n"/>
      <c r="CY240" s="176" t="n"/>
      <c r="CZ240" s="176" t="n"/>
      <c r="DA240" s="189" t="n"/>
      <c r="DB240" s="190" t="n"/>
      <c r="DC240" s="190" t="n"/>
      <c r="DD240" s="190" t="n"/>
      <c r="DE240" s="190" t="n"/>
      <c r="DF240" s="191" t="n"/>
      <c r="DG240" s="176" t="n"/>
      <c r="DH240" s="176" t="n"/>
      <c r="DI240" s="189" t="n"/>
      <c r="DJ240" s="190" t="n"/>
      <c r="DK240" s="190" t="n"/>
      <c r="DL240" s="190" t="n"/>
      <c r="DM240" s="190" t="n"/>
      <c r="DN240" s="191" t="n"/>
      <c r="DO240" s="176" t="n"/>
      <c r="DP240" s="176" t="n"/>
      <c r="DQ240" s="176" t="n"/>
      <c r="DR240" s="181" t="inlineStr">
        <is>
          <t>EFEITO E REQUISITOS</t>
        </is>
      </c>
      <c r="DS240" s="182" t="n"/>
      <c r="DT240" s="182" t="n"/>
      <c r="DU240" s="182" t="n"/>
      <c r="DV240" s="182" t="n"/>
      <c r="DW240" s="183" t="n"/>
      <c r="DX240" s="176" t="n"/>
      <c r="DY240" s="176" t="n"/>
      <c r="DZ240" s="181" t="inlineStr">
        <is>
          <t>EFEITO E REQUISITOS</t>
        </is>
      </c>
      <c r="EA240" s="182" t="n"/>
      <c r="EB240" s="182" t="n"/>
      <c r="EC240" s="182" t="n"/>
      <c r="ED240" s="182" t="n"/>
      <c r="EE240" s="183" t="n"/>
      <c r="EF240" s="176" t="n"/>
      <c r="EG240" s="176" t="n"/>
      <c r="EH240" s="176" t="n"/>
      <c r="EI240" s="176" t="n"/>
      <c r="EJ240" s="176" t="n"/>
      <c r="EK240" s="176" t="n"/>
      <c r="EL240" s="176" t="n"/>
      <c r="EM240" s="176" t="n"/>
      <c r="EN240" s="176" t="n"/>
      <c r="EO240" s="176" t="n"/>
      <c r="EP240" s="176" t="n"/>
      <c r="EQ240" s="176" t="n"/>
      <c r="ER240" s="176" t="n"/>
      <c r="ES240" s="176" t="n"/>
      <c r="ET240" s="176" t="n"/>
      <c r="EU240" s="176" t="n"/>
      <c r="EV240" s="176" t="n"/>
      <c r="EW240" s="176" t="n"/>
      <c r="EX240" s="176" t="n"/>
      <c r="EY240" s="176" t="n"/>
      <c r="FF240" s="176" t="n"/>
      <c r="FG240" s="176" t="n"/>
      <c r="FN240" s="176" t="n"/>
      <c r="FO240" s="176" t="n"/>
      <c r="FP240" s="176" t="n"/>
      <c r="FQ240" s="176" t="n"/>
      <c r="FR240" s="176" t="n"/>
      <c r="FS240" s="176" t="n"/>
      <c r="FT240" s="176" t="n"/>
      <c r="FU240" s="176" t="n"/>
      <c r="FV240" s="176" t="n"/>
      <c r="FW240" s="176" t="n"/>
      <c r="FX240" s="176" t="n"/>
      <c r="FY240" s="176" t="n"/>
      <c r="FZ240" s="176" t="n"/>
      <c r="GA240" s="176" t="n"/>
      <c r="GB240" s="176" t="n"/>
      <c r="GC240" s="176" t="n"/>
      <c r="GD240" s="176" t="n"/>
      <c r="GE240" s="176" t="n"/>
      <c r="GF240" s="176" t="n"/>
      <c r="GG240" s="176" t="n"/>
      <c r="GH240" s="176" t="n"/>
      <c r="GI240" s="176" t="n"/>
      <c r="GJ240" s="176" t="n"/>
      <c r="GK240" s="176" t="n"/>
      <c r="GL240" s="176" t="n"/>
      <c r="GM240" s="176" t="n"/>
      <c r="GN240" s="176" t="n"/>
      <c r="GO240" s="176" t="n"/>
      <c r="GP240" s="176" t="n"/>
      <c r="GQ240" s="176" t="n"/>
      <c r="GR240" s="176" t="n"/>
      <c r="GS240" s="176" t="n"/>
      <c r="GT240" s="176" t="n"/>
      <c r="GU240" s="176" t="n"/>
      <c r="GV240" s="176" t="n"/>
      <c r="GW240" s="176" t="n"/>
      <c r="GX240" s="176" t="n"/>
      <c r="GY240" s="176" t="n"/>
      <c r="GZ240" s="176" t="n"/>
      <c r="HA240" s="176" t="n"/>
      <c r="HB240" s="176" t="n"/>
      <c r="HC240" s="176" t="n"/>
      <c r="HD240" s="176" t="n"/>
      <c r="HE240" s="176" t="n"/>
      <c r="HF240" s="176" t="n"/>
      <c r="HG240" s="176" t="n"/>
      <c r="HH240" s="176" t="n"/>
      <c r="HI240" s="176" t="n"/>
      <c r="HJ240" s="176" t="n"/>
      <c r="HK240" s="176" t="n"/>
      <c r="HL240" s="176" t="n"/>
      <c r="HM240" s="176" t="n"/>
      <c r="HN240" s="176" t="n"/>
      <c r="HO240" s="176" t="n"/>
      <c r="HP240" s="181" t="inlineStr">
        <is>
          <t>CATEGORIA DE EFEITO</t>
        </is>
      </c>
      <c r="HQ240" s="182" t="n"/>
      <c r="HR240" s="183" t="n"/>
      <c r="HS240" s="185" t="n"/>
      <c r="HT240" s="182" t="n"/>
      <c r="HU240" s="183" t="n"/>
      <c r="HV240" s="176" t="n"/>
      <c r="HW240" s="176" t="n"/>
      <c r="HX240" s="181" t="inlineStr">
        <is>
          <t>CATEGORIA DE EFEITO</t>
        </is>
      </c>
      <c r="HY240" s="182" t="n"/>
      <c r="HZ240" s="183" t="n"/>
      <c r="IA240" s="185" t="n"/>
      <c r="IB240" s="182" t="n"/>
      <c r="IC240" s="183" t="n"/>
      <c r="ID240" s="176" t="n"/>
    </row>
    <row r="241" ht="18.75" customHeight="1">
      <c r="A241" s="176" t="n"/>
      <c r="B241" s="176" t="n"/>
      <c r="C241" s="176" t="n"/>
      <c r="D241" s="176" t="n"/>
      <c r="E241" s="176" t="n"/>
      <c r="F241" s="176" t="n"/>
      <c r="G241" s="176" t="n"/>
      <c r="H241" s="176" t="n"/>
      <c r="I241" s="176" t="n"/>
      <c r="J241" s="176" t="n"/>
      <c r="K241" s="176" t="n"/>
      <c r="L241" s="176" t="n"/>
      <c r="M241" s="176" t="n"/>
      <c r="N241" s="176" t="n"/>
      <c r="O241" s="176" t="n"/>
      <c r="P241" s="176" t="n"/>
      <c r="Q241" s="176" t="n"/>
      <c r="R241" s="176" t="n"/>
      <c r="S241" s="176" t="n"/>
      <c r="T241" s="176" t="n"/>
      <c r="U241" s="176" t="n"/>
      <c r="V241" s="176" t="n"/>
      <c r="W241" s="176" t="n"/>
      <c r="X241" s="176" t="n"/>
      <c r="Y241" s="176" t="n"/>
      <c r="Z241" s="176" t="n"/>
      <c r="AA241" s="176" t="n"/>
      <c r="AB241" s="176" t="n"/>
      <c r="AC241" s="176" t="n"/>
      <c r="AD241" s="176" t="n"/>
      <c r="AE241" s="176" t="n"/>
      <c r="AF241" s="176" t="n"/>
      <c r="AG241" s="176" t="n"/>
      <c r="AH241" s="176" t="n"/>
      <c r="AI241" s="176" t="n"/>
      <c r="AJ241" s="176" t="n"/>
      <c r="AK241" s="176" t="n"/>
      <c r="AL241" s="176" t="n"/>
      <c r="AM241" s="176" t="n"/>
      <c r="AN241" s="176" t="n"/>
      <c r="AO241" s="176" t="n"/>
      <c r="AP241" s="176" t="n"/>
      <c r="AQ241" s="176" t="n"/>
      <c r="AR241" s="176" t="n"/>
      <c r="AS241" s="176" t="n"/>
      <c r="AT241" s="176" t="n"/>
      <c r="AU241" s="176" t="n"/>
      <c r="AV241" s="176" t="n"/>
      <c r="AW241" s="176" t="n"/>
      <c r="AX241" s="176" t="n"/>
      <c r="AY241" s="176" t="n"/>
      <c r="AZ241" s="176" t="n"/>
      <c r="BA241" s="176" t="n"/>
      <c r="BB241" s="176" t="n"/>
      <c r="BC241" s="176" t="n"/>
      <c r="BD241" s="176" t="n"/>
      <c r="BE241" s="176" t="n"/>
      <c r="BF241" s="176" t="n"/>
      <c r="BG241" s="176" t="n"/>
      <c r="BH241" s="176" t="n"/>
      <c r="BI241" s="176" t="n"/>
      <c r="BJ241" s="176" t="n"/>
      <c r="BK241" s="176" t="n"/>
      <c r="BL241" s="176" t="n"/>
      <c r="BM241" s="176" t="n"/>
      <c r="BN241" s="176" t="n"/>
      <c r="BO241" s="176" t="n"/>
      <c r="BP241" s="176" t="n"/>
      <c r="BQ241" s="176" t="n"/>
      <c r="BR241" s="176" t="n"/>
      <c r="BS241" s="176" t="n"/>
      <c r="BT241" s="176" t="n"/>
      <c r="BU241" s="176" t="n"/>
      <c r="BV241" s="176" t="n"/>
      <c r="BW241" s="176" t="n"/>
      <c r="BX241" s="176" t="n"/>
      <c r="BY241" s="176" t="n"/>
      <c r="BZ241" s="176" t="n"/>
      <c r="CA241" s="176" t="n"/>
      <c r="CB241" s="176" t="n"/>
      <c r="CC241" s="176" t="n"/>
      <c r="CD241" s="176" t="n"/>
      <c r="CE241" s="176" t="n"/>
      <c r="CF241" s="176" t="n"/>
      <c r="CG241" s="176" t="n"/>
      <c r="CH241" s="176" t="n"/>
      <c r="CI241" s="176" t="n"/>
      <c r="CJ241" s="176" t="n"/>
      <c r="CK241" s="176" t="n"/>
      <c r="CL241" s="176" t="n"/>
      <c r="CM241" s="176" t="n"/>
      <c r="CN241" s="176" t="n"/>
      <c r="CO241" s="176" t="n"/>
      <c r="CP241" s="176" t="n"/>
      <c r="CQ241" s="176" t="n"/>
      <c r="CR241" s="176" t="n"/>
      <c r="CS241" s="176" t="n"/>
      <c r="CT241" s="176" t="n"/>
      <c r="CU241" s="176" t="n"/>
      <c r="CV241" s="176" t="n"/>
      <c r="CW241" s="176" t="n"/>
      <c r="CX241" s="176" t="n"/>
      <c r="CY241" s="176" t="n"/>
      <c r="CZ241" s="176" t="n"/>
      <c r="DA241" s="176" t="n"/>
      <c r="DB241" s="176" t="n"/>
      <c r="DC241" s="176" t="n"/>
      <c r="DD241" s="176" t="n"/>
      <c r="DE241" s="176" t="n"/>
      <c r="DF241" s="176" t="n"/>
      <c r="DG241" s="176" t="n"/>
      <c r="DH241" s="176" t="n"/>
      <c r="DI241" s="176" t="n"/>
      <c r="DJ241" s="176" t="n"/>
      <c r="DK241" s="176" t="n"/>
      <c r="DL241" s="176" t="n"/>
      <c r="DM241" s="176" t="n"/>
      <c r="DN241" s="176" t="n"/>
      <c r="DO241" s="176" t="n"/>
      <c r="DP241" s="176" t="n"/>
      <c r="DQ241" s="176" t="n"/>
      <c r="DR241" s="192" t="n"/>
      <c r="DS241" s="187" t="n"/>
      <c r="DT241" s="187" t="n"/>
      <c r="DU241" s="187" t="n"/>
      <c r="DV241" s="187" t="n"/>
      <c r="DW241" s="188" t="n"/>
      <c r="DX241" s="176" t="n"/>
      <c r="DY241" s="176" t="n"/>
      <c r="DZ241" s="192" t="n"/>
      <c r="EA241" s="187" t="n"/>
      <c r="EB241" s="187" t="n"/>
      <c r="EC241" s="187" t="n"/>
      <c r="ED241" s="187" t="n"/>
      <c r="EE241" s="188" t="n"/>
      <c r="EF241" s="176" t="n"/>
      <c r="EG241" s="176" t="n"/>
      <c r="EH241" s="176" t="n"/>
      <c r="EI241" s="176" t="n"/>
      <c r="EJ241" s="176" t="n"/>
      <c r="EK241" s="176" t="n"/>
      <c r="EL241" s="176" t="n"/>
      <c r="EM241" s="176" t="n"/>
      <c r="EN241" s="176" t="n"/>
      <c r="EO241" s="176" t="n"/>
      <c r="EP241" s="176" t="n"/>
      <c r="EQ241" s="176" t="n"/>
      <c r="ER241" s="176" t="n"/>
      <c r="ES241" s="176" t="n"/>
      <c r="ET241" s="176" t="n"/>
      <c r="EU241" s="176" t="n"/>
      <c r="EV241" s="176" t="n"/>
      <c r="EW241" s="176" t="n"/>
      <c r="EX241" s="176" t="n"/>
      <c r="EY241" s="176" t="n"/>
      <c r="EZ241" s="176" t="n"/>
      <c r="FA241" s="176" t="n"/>
      <c r="FB241" s="176" t="n"/>
      <c r="FC241" s="176" t="n"/>
      <c r="FD241" s="176" t="n"/>
      <c r="FE241" s="176" t="n"/>
      <c r="FF241" s="176" t="n"/>
      <c r="FG241" s="176" t="n"/>
      <c r="FH241" s="176" t="n"/>
      <c r="FI241" s="176" t="n"/>
      <c r="FJ241" s="176" t="n"/>
      <c r="FK241" s="176" t="n"/>
      <c r="FL241" s="176" t="n"/>
      <c r="FM241" s="176" t="n"/>
      <c r="FN241" s="176" t="n"/>
      <c r="FO241" s="176" t="n"/>
      <c r="FP241" s="176" t="n"/>
      <c r="FQ241" s="176" t="n"/>
      <c r="FR241" s="176" t="n"/>
      <c r="FS241" s="176" t="n"/>
      <c r="FT241" s="176" t="n"/>
      <c r="FU241" s="176" t="n"/>
      <c r="FV241" s="176" t="n"/>
      <c r="FW241" s="176" t="n"/>
      <c r="FX241" s="176" t="n"/>
      <c r="FY241" s="176" t="n"/>
      <c r="FZ241" s="176" t="n"/>
      <c r="GA241" s="176" t="n"/>
      <c r="GB241" s="176" t="n"/>
      <c r="GC241" s="176" t="n"/>
      <c r="GD241" s="176" t="n"/>
      <c r="GE241" s="176" t="n"/>
      <c r="GF241" s="176" t="n"/>
      <c r="GG241" s="176" t="n"/>
      <c r="GH241" s="176" t="n"/>
      <c r="GI241" s="176" t="n"/>
      <c r="GJ241" s="176" t="n"/>
      <c r="GK241" s="176" t="n"/>
      <c r="GL241" s="176" t="n"/>
      <c r="GM241" s="176" t="n"/>
      <c r="GN241" s="176" t="n"/>
      <c r="GO241" s="176" t="n"/>
      <c r="GP241" s="176" t="n"/>
      <c r="GQ241" s="176" t="n"/>
      <c r="GR241" s="176" t="n"/>
      <c r="GS241" s="176" t="n"/>
      <c r="GT241" s="176" t="n"/>
      <c r="GU241" s="176" t="n"/>
      <c r="GV241" s="176" t="n"/>
      <c r="GW241" s="176" t="n"/>
      <c r="GX241" s="176" t="n"/>
      <c r="GY241" s="176" t="n"/>
      <c r="GZ241" s="176" t="n"/>
      <c r="HA241" s="176" t="n"/>
      <c r="HB241" s="176" t="n"/>
      <c r="HC241" s="176" t="n"/>
      <c r="HD241" s="176" t="n"/>
      <c r="HE241" s="176" t="n"/>
      <c r="HF241" s="176" t="n"/>
      <c r="HG241" s="176" t="n"/>
      <c r="HH241" s="176" t="n"/>
      <c r="HI241" s="176" t="n"/>
      <c r="HJ241" s="176" t="n"/>
      <c r="HK241" s="176" t="n"/>
      <c r="HL241" s="176" t="n"/>
      <c r="HM241" s="176" t="n"/>
      <c r="HN241" s="176" t="n"/>
      <c r="HO241" s="176" t="n"/>
      <c r="HP241" s="176" t="n"/>
      <c r="HQ241" s="176" t="n"/>
      <c r="HR241" s="176" t="n"/>
      <c r="HS241" s="176" t="n"/>
      <c r="HT241" s="176" t="n"/>
      <c r="HU241" s="176" t="n"/>
      <c r="HV241" s="176" t="n"/>
      <c r="HW241" s="176" t="n"/>
      <c r="HX241" s="176" t="n"/>
      <c r="HY241" s="176" t="n"/>
      <c r="HZ241" s="176" t="n"/>
      <c r="IA241" s="176" t="n"/>
      <c r="IB241" s="176" t="n"/>
      <c r="IC241" s="176" t="n"/>
      <c r="ID241" s="176" t="n"/>
    </row>
    <row r="242" ht="18.75" customHeight="1">
      <c r="A242" s="176" t="n"/>
      <c r="B242" s="176" t="n"/>
      <c r="C242" s="176" t="n"/>
      <c r="D242" s="176" t="n"/>
      <c r="E242" s="176" t="n"/>
      <c r="F242" s="176" t="n"/>
      <c r="G242" s="176" t="n"/>
      <c r="H242" s="176" t="n"/>
      <c r="I242" s="176" t="n"/>
      <c r="J242" s="176" t="n"/>
      <c r="K242" s="176" t="n"/>
      <c r="L242" s="176" t="n"/>
      <c r="M242" s="176" t="n"/>
      <c r="N242" s="176" t="n"/>
      <c r="O242" s="176" t="n"/>
      <c r="P242" s="176" t="n"/>
      <c r="Q242" s="176" t="n"/>
      <c r="R242" s="176" t="n"/>
      <c r="S242" s="176" t="n"/>
      <c r="T242" s="176" t="n"/>
      <c r="U242" s="176" t="n"/>
      <c r="V242" s="176" t="n"/>
      <c r="W242" s="176" t="n"/>
      <c r="X242" s="176" t="n"/>
      <c r="Y242" s="176" t="n"/>
      <c r="Z242" s="176" t="n"/>
      <c r="AA242" s="176" t="n"/>
      <c r="AB242" s="176" t="n"/>
      <c r="AC242" s="176" t="n"/>
      <c r="AD242" s="176" t="n"/>
      <c r="AE242" s="176" t="n"/>
      <c r="AF242" s="176" t="n"/>
      <c r="AG242" s="176" t="n"/>
      <c r="AH242" s="176" t="n"/>
      <c r="AI242" s="176" t="n"/>
      <c r="AJ242" s="176" t="n"/>
      <c r="AK242" s="176" t="n"/>
      <c r="AL242" s="176" t="n"/>
      <c r="AM242" s="176" t="n"/>
      <c r="AN242" s="176" t="n"/>
      <c r="AO242" s="176" t="n"/>
      <c r="AP242" s="176" t="n"/>
      <c r="AQ242" s="176" t="n"/>
      <c r="AR242" s="176" t="n"/>
      <c r="AS242" s="176" t="n"/>
      <c r="AT242" s="176" t="n"/>
      <c r="AU242" s="176" t="n"/>
      <c r="AV242" s="176" t="n"/>
      <c r="AW242" s="176" t="n"/>
      <c r="AX242" s="176" t="n"/>
      <c r="AY242" s="176" t="n"/>
      <c r="AZ242" s="176" t="n"/>
      <c r="BA242" s="176" t="n"/>
      <c r="BB242" s="176" t="n"/>
      <c r="BC242" s="176" t="n"/>
      <c r="BD242" s="176" t="n"/>
      <c r="BE242" s="176" t="n"/>
      <c r="BF242" s="176" t="n"/>
      <c r="BG242" s="176" t="n"/>
      <c r="BH242" s="176" t="n"/>
      <c r="BI242" s="176" t="n"/>
      <c r="BJ242" s="176" t="n"/>
      <c r="BK242" s="176" t="n"/>
      <c r="BL242" s="176" t="n"/>
      <c r="BM242" s="176" t="n"/>
      <c r="BN242" s="176" t="n"/>
      <c r="BO242" s="176" t="n"/>
      <c r="BP242" s="176" t="n"/>
      <c r="BQ242" s="176" t="n"/>
      <c r="BR242" s="176" t="n"/>
      <c r="BS242" s="176" t="n"/>
      <c r="BT242" s="176" t="n"/>
      <c r="BU242" s="176" t="n"/>
      <c r="BV242" s="176" t="n"/>
      <c r="BW242" s="176" t="n"/>
      <c r="BX242" s="176" t="n"/>
      <c r="BY242" s="176" t="n"/>
      <c r="BZ242" s="176" t="n"/>
      <c r="CA242" s="176" t="n"/>
      <c r="CB242" s="176" t="n"/>
      <c r="CC242" s="176" t="n"/>
      <c r="CD242" s="176" t="n"/>
      <c r="CE242" s="176" t="n"/>
      <c r="CF242" s="176" t="n"/>
      <c r="CG242" s="176" t="n"/>
      <c r="CH242" s="176" t="n"/>
      <c r="CI242" s="176" t="n"/>
      <c r="CJ242" s="176" t="n"/>
      <c r="CK242" s="176" t="n"/>
      <c r="CL242" s="176" t="n"/>
      <c r="CM242" s="176" t="n"/>
      <c r="CN242" s="176" t="n"/>
      <c r="CO242" s="176" t="n"/>
      <c r="CP242" s="176" t="n"/>
      <c r="CQ242" s="176" t="n"/>
      <c r="CR242" s="176" t="n"/>
      <c r="CS242" s="176" t="n"/>
      <c r="CT242" s="176" t="n"/>
      <c r="CU242" s="176" t="n"/>
      <c r="CV242" s="176" t="n"/>
      <c r="CW242" s="176" t="n"/>
      <c r="CX242" s="176" t="n"/>
      <c r="CY242" s="176" t="n"/>
      <c r="CZ242" s="176" t="n"/>
      <c r="DA242" s="180">
        <f>IF('DADOS_MELHORIAS'!$M$18="","","⚠ "&amp;'DADOS_MELHORIAS'!$M$18)</f>
        <v/>
      </c>
      <c r="DG242" s="176" t="n"/>
      <c r="DH242" s="176" t="n"/>
      <c r="DI242" s="180">
        <f>IF('DADOS_MELHORIAS'!$M$19="","","⚠ "&amp;'DADOS_MELHORIAS'!$M$19)</f>
        <v/>
      </c>
      <c r="DO242" s="176" t="n"/>
      <c r="DP242" s="176" t="n"/>
      <c r="DQ242" s="176" t="n"/>
      <c r="DR242" s="193" t="n"/>
      <c r="DW242" s="194" t="n"/>
      <c r="DX242" s="176" t="n"/>
      <c r="DY242" s="176" t="n"/>
      <c r="DZ242" s="193" t="n"/>
      <c r="EE242" s="194" t="n"/>
      <c r="EF242" s="176" t="n"/>
      <c r="EG242" s="176" t="n"/>
      <c r="EH242" s="176" t="n"/>
      <c r="EI242" s="176" t="n"/>
      <c r="EJ242" s="176" t="n"/>
      <c r="EK242" s="176" t="n"/>
      <c r="EL242" s="176" t="n"/>
      <c r="EM242" s="176" t="n"/>
      <c r="EN242" s="176" t="n"/>
      <c r="EO242" s="176" t="n"/>
      <c r="EP242" s="176" t="n"/>
      <c r="EQ242" s="176" t="n"/>
      <c r="ER242" s="176" t="n"/>
      <c r="ES242" s="176" t="n"/>
      <c r="ET242" s="176" t="n"/>
      <c r="EU242" s="176" t="n"/>
      <c r="EV242" s="176" t="n"/>
      <c r="EW242" s="176" t="n"/>
      <c r="EX242" s="176" t="n"/>
      <c r="EY242" s="176" t="n"/>
      <c r="EZ242" s="176" t="n"/>
      <c r="FA242" s="176" t="n"/>
      <c r="FB242" s="176" t="n"/>
      <c r="FC242" s="176" t="n"/>
      <c r="FD242" s="176" t="n"/>
      <c r="FE242" s="176" t="n"/>
      <c r="FF242" s="176" t="n"/>
      <c r="FG242" s="176" t="n"/>
      <c r="FH242" s="176" t="n"/>
      <c r="FI242" s="176" t="n"/>
      <c r="FJ242" s="176" t="n"/>
      <c r="FK242" s="176" t="n"/>
      <c r="FL242" s="176" t="n"/>
      <c r="FM242" s="176" t="n"/>
      <c r="FN242" s="176" t="n"/>
      <c r="FO242" s="176" t="n"/>
      <c r="FP242" s="176" t="n"/>
      <c r="FQ242" s="176" t="n"/>
      <c r="FR242" s="176" t="n"/>
      <c r="FS242" s="176" t="n"/>
      <c r="FT242" s="176" t="n"/>
      <c r="FU242" s="176" t="n"/>
      <c r="FV242" s="176" t="n"/>
      <c r="FW242" s="176" t="n"/>
      <c r="FX242" s="176" t="n"/>
      <c r="FY242" s="176" t="n"/>
      <c r="FZ242" s="176" t="n"/>
      <c r="GA242" s="176" t="n"/>
      <c r="GB242" s="176" t="n"/>
      <c r="GC242" s="176" t="n"/>
      <c r="GD242" s="176" t="n"/>
      <c r="GE242" s="176" t="n"/>
      <c r="GF242" s="176" t="n"/>
      <c r="GG242" s="176" t="n"/>
      <c r="GH242" s="176" t="n"/>
      <c r="GI242" s="176" t="n"/>
      <c r="GJ242" s="176" t="n"/>
      <c r="GK242" s="176" t="n"/>
      <c r="GL242" s="176" t="n"/>
      <c r="GM242" s="176" t="n"/>
      <c r="GN242" s="176" t="n"/>
      <c r="GO242" s="176" t="n"/>
      <c r="GP242" s="176" t="n"/>
      <c r="GQ242" s="176" t="n"/>
      <c r="GR242" s="176" t="n"/>
      <c r="GS242" s="176" t="n"/>
      <c r="GT242" s="176" t="n"/>
      <c r="GU242" s="176" t="n"/>
      <c r="GV242" s="176" t="n"/>
      <c r="GW242" s="176" t="n"/>
      <c r="GX242" s="176" t="n"/>
      <c r="GY242" s="176" t="n"/>
      <c r="GZ242" s="176" t="n"/>
      <c r="HA242" s="176" t="n"/>
      <c r="HB242" s="176" t="n"/>
      <c r="HC242" s="176" t="n"/>
      <c r="HD242" s="176" t="n"/>
      <c r="HE242" s="176" t="n"/>
      <c r="HF242" s="176" t="n"/>
      <c r="HG242" s="176" t="n"/>
      <c r="HH242" s="176" t="n"/>
      <c r="HI242" s="176" t="n"/>
      <c r="HJ242" s="176" t="n"/>
      <c r="HK242" s="176" t="n"/>
      <c r="HL242" s="176" t="n"/>
      <c r="HM242" s="176" t="n"/>
      <c r="HN242" s="176" t="n"/>
      <c r="HO242" s="176" t="n"/>
      <c r="HP242" s="176" t="n"/>
      <c r="HQ242" s="176" t="n"/>
      <c r="HR242" s="176" t="n"/>
      <c r="HS242" s="176" t="n"/>
      <c r="HT242" s="176" t="n"/>
      <c r="HU242" s="176" t="n"/>
      <c r="HV242" s="176" t="n"/>
      <c r="HW242" s="176" t="n"/>
      <c r="HX242" s="176" t="n"/>
      <c r="HY242" s="176" t="n"/>
      <c r="HZ242" s="176" t="n"/>
      <c r="IA242" s="176" t="n"/>
      <c r="IB242" s="176" t="n"/>
      <c r="IC242" s="176" t="n"/>
      <c r="ID242" s="176" t="n"/>
    </row>
    <row r="243" ht="18.75" customHeight="1">
      <c r="A243" s="176" t="n"/>
      <c r="B243" s="176" t="n"/>
      <c r="C243" s="176" t="n"/>
      <c r="D243" s="176" t="n"/>
      <c r="E243" s="176" t="n"/>
      <c r="F243" s="176" t="n"/>
      <c r="G243" s="176" t="n"/>
      <c r="H243" s="176" t="n"/>
      <c r="I243" s="176" t="n"/>
      <c r="J243" s="176" t="n"/>
      <c r="K243" s="176" t="n"/>
      <c r="L243" s="176" t="n"/>
      <c r="M243" s="176" t="n"/>
      <c r="N243" s="176" t="n"/>
      <c r="O243" s="176" t="n"/>
      <c r="P243" s="176" t="n"/>
      <c r="Q243" s="176" t="n"/>
      <c r="R243" s="176" t="n"/>
      <c r="S243" s="176" t="n"/>
      <c r="T243" s="176" t="n"/>
      <c r="U243" s="176" t="n"/>
      <c r="V243" s="176" t="n"/>
      <c r="W243" s="176" t="n"/>
      <c r="X243" s="176" t="n"/>
      <c r="Y243" s="176" t="n"/>
      <c r="Z243" s="176" t="n"/>
      <c r="AA243" s="176" t="n"/>
      <c r="AB243" s="176" t="n"/>
      <c r="AC243" s="176" t="n"/>
      <c r="AD243" s="176" t="n"/>
      <c r="AE243" s="176" t="n"/>
      <c r="AF243" s="176" t="n"/>
      <c r="AG243" s="176" t="n"/>
      <c r="AH243" s="176" t="n"/>
      <c r="AI243" s="176" t="n"/>
      <c r="AJ243" s="176" t="n"/>
      <c r="AK243" s="176" t="n"/>
      <c r="AL243" s="176" t="n"/>
      <c r="AM243" s="176" t="n"/>
      <c r="AN243" s="176" t="n"/>
      <c r="AO243" s="176" t="n"/>
      <c r="AP243" s="176" t="n"/>
      <c r="AQ243" s="176" t="n"/>
      <c r="AR243" s="176" t="n"/>
      <c r="AS243" s="176" t="n"/>
      <c r="AT243" s="176" t="n"/>
      <c r="AU243" s="176" t="n"/>
      <c r="AV243" s="176" t="n"/>
      <c r="AW243" s="176" t="n"/>
      <c r="AX243" s="176" t="n"/>
      <c r="AY243" s="176" t="n"/>
      <c r="AZ243" s="176" t="n"/>
      <c r="BA243" s="176" t="n"/>
      <c r="BB243" s="176" t="n"/>
      <c r="BC243" s="176" t="n"/>
      <c r="BD243" s="176" t="n"/>
      <c r="BE243" s="176" t="n"/>
      <c r="BF243" s="176" t="n"/>
      <c r="BG243" s="176" t="n"/>
      <c r="BH243" s="176" t="n"/>
      <c r="BI243" s="176" t="n"/>
      <c r="BJ243" s="176" t="n"/>
      <c r="BK243" s="176" t="n"/>
      <c r="BL243" s="176" t="n"/>
      <c r="BM243" s="176" t="n"/>
      <c r="BN243" s="176" t="n"/>
      <c r="BO243" s="176" t="n"/>
      <c r="BP243" s="176" t="n"/>
      <c r="BQ243" s="176" t="n"/>
      <c r="BR243" s="176" t="n"/>
      <c r="BS243" s="176" t="n"/>
      <c r="BT243" s="176" t="n"/>
      <c r="BU243" s="176" t="n"/>
      <c r="BV243" s="176" t="n"/>
      <c r="BW243" s="176" t="n"/>
      <c r="BX243" s="176" t="n"/>
      <c r="BY243" s="176" t="n"/>
      <c r="BZ243" s="176" t="n"/>
      <c r="CA243" s="176" t="n"/>
      <c r="CB243" s="176" t="n"/>
      <c r="CC243" s="176" t="n"/>
      <c r="CD243" s="176" t="n"/>
      <c r="CE243" s="176" t="n"/>
      <c r="CF243" s="176" t="n"/>
      <c r="CG243" s="176" t="n"/>
      <c r="CH243" s="176" t="n"/>
      <c r="CI243" s="176" t="n"/>
      <c r="CJ243" s="176" t="n"/>
      <c r="CK243" s="176" t="n"/>
      <c r="CL243" s="176" t="n"/>
      <c r="CM243" s="176" t="n"/>
      <c r="CN243" s="176" t="n"/>
      <c r="CO243" s="176" t="n"/>
      <c r="CP243" s="176" t="n"/>
      <c r="CQ243" s="176" t="n"/>
      <c r="CR243" s="176" t="n"/>
      <c r="CS243" s="176" t="n"/>
      <c r="CT243" s="176" t="n"/>
      <c r="CU243" s="176" t="n"/>
      <c r="CV243" s="176" t="n"/>
      <c r="CW243" s="176" t="n"/>
      <c r="CX243" s="176" t="n"/>
      <c r="CY243" s="176" t="n"/>
      <c r="CZ243" s="176" t="n"/>
      <c r="DG243" s="176" t="n"/>
      <c r="DH243" s="176" t="n"/>
      <c r="DO243" s="176" t="n"/>
      <c r="DP243" s="176" t="n"/>
      <c r="DQ243" s="176" t="n"/>
      <c r="DR243" s="193" t="n"/>
      <c r="DW243" s="194" t="n"/>
      <c r="DX243" s="176" t="n"/>
      <c r="DY243" s="176" t="n"/>
      <c r="DZ243" s="193" t="n"/>
      <c r="EE243" s="194" t="n"/>
      <c r="EF243" s="176" t="n"/>
      <c r="EG243" s="176" t="n"/>
      <c r="EH243" s="176" t="n"/>
      <c r="EI243" s="176" t="n"/>
      <c r="EJ243" s="176" t="n"/>
      <c r="EK243" s="176" t="n"/>
      <c r="EL243" s="176" t="n"/>
      <c r="EM243" s="176" t="n"/>
      <c r="EN243" s="176" t="n"/>
      <c r="EO243" s="176" t="n"/>
      <c r="EP243" s="176" t="n"/>
      <c r="EQ243" s="176" t="n"/>
      <c r="ER243" s="176" t="n"/>
      <c r="ES243" s="176" t="n"/>
      <c r="ET243" s="176" t="n"/>
      <c r="EU243" s="176" t="n"/>
      <c r="EV243" s="176" t="n"/>
      <c r="EW243" s="176" t="n"/>
      <c r="EX243" s="176" t="n"/>
      <c r="EY243" s="176" t="n"/>
      <c r="EZ243" s="176" t="n"/>
      <c r="FA243" s="176" t="n"/>
      <c r="FB243" s="176" t="n"/>
      <c r="FC243" s="176" t="n"/>
      <c r="FD243" s="176" t="n"/>
      <c r="FE243" s="176" t="n"/>
      <c r="FF243" s="176" t="n"/>
      <c r="FG243" s="176" t="n"/>
      <c r="FH243" s="176" t="n"/>
      <c r="FI243" s="176" t="n"/>
      <c r="FJ243" s="176" t="n"/>
      <c r="FK243" s="176" t="n"/>
      <c r="FL243" s="176" t="n"/>
      <c r="FM243" s="176" t="n"/>
      <c r="FN243" s="176" t="n"/>
      <c r="FO243" s="176" t="n"/>
      <c r="FP243" s="176" t="n"/>
      <c r="FQ243" s="176" t="n"/>
      <c r="FR243" s="176" t="n"/>
      <c r="FS243" s="176" t="n"/>
      <c r="FT243" s="176" t="n"/>
      <c r="FU243" s="176" t="n"/>
      <c r="FV243" s="176" t="n"/>
      <c r="FW243" s="176" t="n"/>
      <c r="FX243" s="176" t="n"/>
      <c r="FY243" s="176" t="n"/>
      <c r="FZ243" s="176" t="n"/>
      <c r="GA243" s="176" t="n"/>
      <c r="GB243" s="176" t="n"/>
      <c r="GC243" s="176" t="n"/>
      <c r="GD243" s="176" t="n"/>
      <c r="GE243" s="176" t="n"/>
      <c r="GF243" s="176" t="n"/>
      <c r="GG243" s="176" t="n"/>
      <c r="GH243" s="176" t="n"/>
      <c r="GI243" s="176" t="n"/>
      <c r="GJ243" s="176" t="n"/>
      <c r="GK243" s="176" t="n"/>
      <c r="GL243" s="176" t="n"/>
      <c r="GM243" s="176" t="n"/>
      <c r="GN243" s="176" t="n"/>
      <c r="GO243" s="176" t="n"/>
      <c r="GP243" s="176" t="n"/>
      <c r="GQ243" s="176" t="n"/>
      <c r="GR243" s="176" t="n"/>
      <c r="GS243" s="176" t="n"/>
      <c r="GT243" s="176" t="n"/>
      <c r="GU243" s="176" t="n"/>
      <c r="GV243" s="176" t="n"/>
      <c r="GW243" s="176" t="n"/>
      <c r="GX243" s="176" t="n"/>
      <c r="GY243" s="176" t="n"/>
      <c r="GZ243" s="176" t="n"/>
      <c r="HA243" s="176" t="n"/>
      <c r="HB243" s="176" t="n"/>
      <c r="HC243" s="176" t="n"/>
      <c r="HD243" s="176" t="n"/>
      <c r="HE243" s="176" t="n"/>
      <c r="HF243" s="176" t="n"/>
      <c r="HG243" s="176" t="n"/>
      <c r="HH243" s="176" t="n"/>
      <c r="HI243" s="176" t="n"/>
      <c r="HJ243" s="176" t="n"/>
      <c r="HK243" s="176" t="n"/>
      <c r="HL243" s="176" t="n"/>
      <c r="HM243" s="176" t="n"/>
      <c r="HN243" s="176" t="n"/>
      <c r="HO243" s="176" t="n"/>
      <c r="HP243" s="176" t="n"/>
      <c r="HQ243" s="176" t="n"/>
      <c r="HR243" s="176" t="n"/>
      <c r="HS243" s="176" t="n"/>
      <c r="HT243" s="176" t="n"/>
      <c r="HU243" s="176" t="n"/>
      <c r="HV243" s="176" t="n"/>
      <c r="HW243" s="176" t="n"/>
      <c r="HX243" s="176" t="n"/>
      <c r="HY243" s="176" t="n"/>
      <c r="HZ243" s="176" t="n"/>
      <c r="IA243" s="176" t="n"/>
      <c r="IB243" s="176" t="n"/>
      <c r="IC243" s="176" t="n"/>
      <c r="ID243" s="176" t="n"/>
    </row>
    <row r="244" ht="18.75" customHeight="1">
      <c r="A244" s="176" t="n"/>
      <c r="B244" s="176" t="n"/>
      <c r="C244" s="176" t="n"/>
      <c r="D244" s="176" t="n"/>
      <c r="E244" s="176" t="n"/>
      <c r="F244" s="176" t="n"/>
      <c r="G244" s="176" t="n"/>
      <c r="H244" s="176" t="n"/>
      <c r="I244" s="176" t="n"/>
      <c r="J244" s="176" t="n"/>
      <c r="K244" s="176" t="n"/>
      <c r="L244" s="176" t="n"/>
      <c r="M244" s="176" t="n"/>
      <c r="N244" s="176" t="n"/>
      <c r="O244" s="176" t="n"/>
      <c r="P244" s="176" t="n"/>
      <c r="Q244" s="176" t="n"/>
      <c r="R244" s="176" t="n"/>
      <c r="S244" s="176" t="n"/>
      <c r="T244" s="179" t="inlineStr">
        <is>
          <t>CARTÃO 17 · CUSTOM</t>
        </is>
      </c>
      <c r="Z244" s="176" t="n"/>
      <c r="AA244" s="176" t="n"/>
      <c r="AB244" s="179" t="inlineStr">
        <is>
          <t>CARTÃO 18 · CUSTOM</t>
        </is>
      </c>
      <c r="AH244" s="176" t="n"/>
      <c r="AI244" s="176" t="n"/>
      <c r="AJ244" s="176" t="n"/>
      <c r="AK244" s="176" t="n"/>
      <c r="AL244" s="176" t="n"/>
      <c r="AM244" s="176" t="n"/>
      <c r="AN244" s="176" t="n"/>
      <c r="AO244" s="176" t="n"/>
      <c r="AP244" s="176" t="n"/>
      <c r="AQ244" s="176" t="n"/>
      <c r="AR244" s="176" t="n"/>
      <c r="AS244" s="176" t="n"/>
      <c r="AT244" s="176" t="n"/>
      <c r="AU244" s="176" t="n"/>
      <c r="AV244" s="176" t="n"/>
      <c r="AW244" s="176" t="n"/>
      <c r="AX244" s="176" t="n"/>
      <c r="AY244" s="176" t="n"/>
      <c r="AZ244" s="176" t="n"/>
      <c r="BA244" s="176" t="n"/>
      <c r="BB244" s="176" t="n"/>
      <c r="BC244" s="176" t="n"/>
      <c r="BD244" s="176" t="n"/>
      <c r="BE244" s="176" t="n"/>
      <c r="BF244" s="176" t="n"/>
      <c r="BG244" s="176" t="n"/>
      <c r="BH244" s="176" t="n"/>
      <c r="BI244" s="176" t="n"/>
      <c r="BJ244" s="176" t="n"/>
      <c r="BK244" s="176" t="n"/>
      <c r="BL244" s="176" t="n"/>
      <c r="BM244" s="176" t="n"/>
      <c r="BN244" s="176" t="n"/>
      <c r="BO244" s="176" t="n"/>
      <c r="BP244" s="176" t="n"/>
      <c r="BQ244" s="176" t="n"/>
      <c r="BR244" s="176" t="n"/>
      <c r="BS244" s="176" t="n"/>
      <c r="BT244" s="176" t="n"/>
      <c r="BU244" s="176" t="n"/>
      <c r="BV244" s="176" t="n"/>
      <c r="BW244" s="176" t="n"/>
      <c r="BX244" s="176" t="n"/>
      <c r="BY244" s="176" t="n"/>
      <c r="BZ244" s="176" t="n"/>
      <c r="CA244" s="176" t="n"/>
      <c r="CB244" s="176" t="n"/>
      <c r="CC244" s="176" t="n"/>
      <c r="CD244" s="176" t="n"/>
      <c r="CE244" s="176" t="n"/>
      <c r="CF244" s="176" t="n"/>
      <c r="CG244" s="176" t="n"/>
      <c r="CH244" s="176" t="n"/>
      <c r="CI244" s="176" t="n"/>
      <c r="CJ244" s="176" t="n"/>
      <c r="CK244" s="176" t="n"/>
      <c r="CL244" s="176" t="n"/>
      <c r="CM244" s="176" t="n"/>
      <c r="CN244" s="176" t="n"/>
      <c r="CO244" s="176" t="n"/>
      <c r="CP244" s="176" t="n"/>
      <c r="CQ244" s="176" t="n"/>
      <c r="CR244" s="176" t="n"/>
      <c r="CS244" s="176" t="n"/>
      <c r="CT244" s="176" t="n"/>
      <c r="CU244" s="176" t="n"/>
      <c r="CV244" s="176" t="n"/>
      <c r="CW244" s="176" t="n"/>
      <c r="CX244" s="176" t="n"/>
      <c r="CY244" s="176" t="n"/>
      <c r="CZ244" s="176" t="n"/>
      <c r="DA244" s="176" t="n"/>
      <c r="DB244" s="176" t="n"/>
      <c r="DC244" s="176" t="n"/>
      <c r="DD244" s="176" t="n"/>
      <c r="DE244" s="176" t="n"/>
      <c r="DF244" s="176" t="n"/>
      <c r="DG244" s="176" t="n"/>
      <c r="DH244" s="176" t="n"/>
      <c r="DI244" s="176" t="n"/>
      <c r="DJ244" s="176" t="n"/>
      <c r="DK244" s="176" t="n"/>
      <c r="DL244" s="176" t="n"/>
      <c r="DM244" s="176" t="n"/>
      <c r="DN244" s="176" t="n"/>
      <c r="DO244" s="176" t="n"/>
      <c r="DP244" s="176" t="n"/>
      <c r="DQ244" s="176" t="n"/>
      <c r="DR244" s="193" t="n"/>
      <c r="DW244" s="194" t="n"/>
      <c r="DX244" s="176" t="n"/>
      <c r="DY244" s="176" t="n"/>
      <c r="DZ244" s="193" t="n"/>
      <c r="EE244" s="194" t="n"/>
      <c r="EF244" s="176" t="n"/>
      <c r="EG244" s="176" t="n"/>
      <c r="EH244" s="176" t="n"/>
      <c r="EI244" s="176" t="n"/>
      <c r="EJ244" s="176" t="n"/>
      <c r="EK244" s="176" t="n"/>
      <c r="EL244" s="176" t="n"/>
      <c r="EM244" s="176" t="n"/>
      <c r="EN244" s="176" t="n"/>
      <c r="EO244" s="176" t="n"/>
      <c r="EP244" s="176" t="n"/>
      <c r="EQ244" s="176" t="n"/>
      <c r="ER244" s="176" t="n"/>
      <c r="ES244" s="176" t="n"/>
      <c r="ET244" s="176" t="n"/>
      <c r="EU244" s="176" t="n"/>
      <c r="EV244" s="176" t="n"/>
      <c r="EW244" s="176" t="n"/>
      <c r="EX244" s="176" t="n"/>
      <c r="EY244" s="176" t="n"/>
      <c r="EZ244" s="176" t="n"/>
      <c r="FA244" s="176" t="n"/>
      <c r="FB244" s="176" t="n"/>
      <c r="FC244" s="176" t="n"/>
      <c r="FD244" s="176" t="n"/>
      <c r="FE244" s="176" t="n"/>
      <c r="FF244" s="176" t="n"/>
      <c r="FG244" s="176" t="n"/>
      <c r="FH244" s="176" t="n"/>
      <c r="FI244" s="176" t="n"/>
      <c r="FJ244" s="176" t="n"/>
      <c r="FK244" s="176" t="n"/>
      <c r="FL244" s="176" t="n"/>
      <c r="FM244" s="176" t="n"/>
      <c r="FN244" s="176" t="n"/>
      <c r="FO244" s="176" t="n"/>
      <c r="FP244" s="176" t="n"/>
      <c r="FQ244" s="176" t="n"/>
      <c r="FR244" s="176" t="n"/>
      <c r="FS244" s="176" t="n"/>
      <c r="FT244" s="176" t="n"/>
      <c r="FU244" s="176" t="n"/>
      <c r="FV244" s="176" t="n"/>
      <c r="FW244" s="176" t="n"/>
      <c r="FX244" s="176" t="n"/>
      <c r="FY244" s="176" t="n"/>
      <c r="FZ244" s="176" t="n"/>
      <c r="GA244" s="176" t="n"/>
      <c r="GB244" s="176" t="n"/>
      <c r="GC244" s="176" t="n"/>
      <c r="GD244" s="176" t="n"/>
      <c r="GE244" s="176" t="n"/>
      <c r="GF244" s="176" t="n"/>
      <c r="GG244" s="176" t="n"/>
      <c r="GH244" s="176" t="n"/>
      <c r="GI244" s="176" t="n"/>
      <c r="GJ244" s="176" t="n"/>
      <c r="GK244" s="176" t="n"/>
      <c r="GL244" s="176" t="n"/>
      <c r="GM244" s="176" t="n"/>
      <c r="GN244" s="176" t="n"/>
      <c r="GO244" s="176" t="n"/>
      <c r="GP244" s="176" t="n"/>
      <c r="GQ244" s="176" t="n"/>
      <c r="GR244" s="176" t="n"/>
      <c r="GS244" s="176" t="n"/>
      <c r="GT244" s="176" t="n"/>
      <c r="GU244" s="176" t="n"/>
      <c r="GV244" s="176" t="n"/>
      <c r="GW244" s="176" t="n"/>
      <c r="GX244" s="176" t="n"/>
      <c r="GY244" s="176" t="n"/>
      <c r="GZ244" s="176" t="n"/>
      <c r="HA244" s="176" t="n"/>
      <c r="HB244" s="176" t="n"/>
      <c r="HC244" s="176" t="n"/>
      <c r="HD244" s="176" t="n"/>
      <c r="HE244" s="176" t="n"/>
      <c r="HF244" s="176" t="n"/>
      <c r="HG244" s="176" t="n"/>
      <c r="HH244" s="176" t="n"/>
      <c r="HI244" s="176" t="n"/>
      <c r="HJ244" s="176" t="n"/>
      <c r="HK244" s="176" t="n"/>
      <c r="HL244" s="176" t="n"/>
      <c r="HM244" s="176" t="n"/>
      <c r="HN244" s="176" t="n"/>
      <c r="HO244" s="176" t="n"/>
      <c r="HP244" s="176" t="n"/>
      <c r="HQ244" s="176" t="n"/>
      <c r="HR244" s="176" t="n"/>
      <c r="HS244" s="176" t="n"/>
      <c r="HT244" s="176" t="n"/>
      <c r="HU244" s="176" t="n"/>
      <c r="HV244" s="176" t="n"/>
      <c r="HW244" s="176" t="n"/>
      <c r="HX244" s="176" t="n"/>
      <c r="HY244" s="176" t="n"/>
      <c r="HZ244" s="176" t="n"/>
      <c r="IA244" s="176" t="n"/>
      <c r="IB244" s="176" t="n"/>
      <c r="IC244" s="176" t="n"/>
      <c r="ID244" s="176" t="n"/>
    </row>
    <row r="245" ht="18.75" customHeight="1">
      <c r="A245" s="176" t="n"/>
      <c r="B245" s="176" t="n"/>
      <c r="C245" s="176" t="n"/>
      <c r="D245" s="176" t="n"/>
      <c r="E245" s="176" t="n"/>
      <c r="F245" s="176" t="n"/>
      <c r="G245" s="176" t="n"/>
      <c r="H245" s="176" t="n"/>
      <c r="I245" s="176" t="n"/>
      <c r="J245" s="176" t="n"/>
      <c r="K245" s="176" t="n"/>
      <c r="L245" s="176" t="n"/>
      <c r="M245" s="176" t="n"/>
      <c r="N245" s="176" t="n"/>
      <c r="O245" s="176" t="n"/>
      <c r="P245" s="176" t="n"/>
      <c r="Q245" s="176" t="n"/>
      <c r="R245" s="176" t="n"/>
      <c r="S245" s="176" t="n"/>
      <c r="T245" s="181" t="inlineStr">
        <is>
          <t>TIPO</t>
        </is>
      </c>
      <c r="U245" s="182" t="n"/>
      <c r="V245" s="182" t="n"/>
      <c r="W245" s="183" t="n"/>
      <c r="X245" s="181" t="inlineStr">
        <is>
          <t>MESTRE VIU</t>
        </is>
      </c>
      <c r="Y245" s="183" t="n"/>
      <c r="Z245" s="176" t="n"/>
      <c r="AA245" s="176" t="n"/>
      <c r="AB245" s="181" t="inlineStr">
        <is>
          <t>TIPO</t>
        </is>
      </c>
      <c r="AC245" s="182" t="n"/>
      <c r="AD245" s="182" t="n"/>
      <c r="AE245" s="183" t="n"/>
      <c r="AF245" s="181" t="inlineStr">
        <is>
          <t>MESTRE VIU</t>
        </is>
      </c>
      <c r="AG245" s="183" t="n"/>
      <c r="AH245" s="176" t="n"/>
      <c r="AI245" s="176" t="n"/>
      <c r="AJ245" s="176" t="n"/>
      <c r="AK245" s="176" t="n"/>
      <c r="AL245" s="176" t="n"/>
      <c r="AM245" s="176" t="n"/>
      <c r="AN245" s="176" t="n"/>
      <c r="AO245" s="176" t="n"/>
      <c r="AP245" s="176" t="n"/>
      <c r="AQ245" s="176" t="n"/>
      <c r="AR245" s="176" t="n"/>
      <c r="AS245" s="176" t="n"/>
      <c r="AT245" s="176" t="n"/>
      <c r="AU245" s="176" t="n"/>
      <c r="AV245" s="176" t="n"/>
      <c r="AW245" s="176" t="n"/>
      <c r="AX245" s="176" t="n"/>
      <c r="AY245" s="176" t="n"/>
      <c r="AZ245" s="176" t="n"/>
      <c r="BA245" s="176" t="n"/>
      <c r="BB245" s="176" t="n"/>
      <c r="BC245" s="176" t="n"/>
      <c r="BD245" s="176" t="n"/>
      <c r="BE245" s="176" t="n"/>
      <c r="BF245" s="176" t="n"/>
      <c r="BG245" s="176" t="n"/>
      <c r="BH245" s="176" t="n"/>
      <c r="BI245" s="176" t="n"/>
      <c r="BJ245" s="176" t="n"/>
      <c r="BK245" s="176" t="n"/>
      <c r="BL245" s="176" t="n"/>
      <c r="BM245" s="176" t="n"/>
      <c r="BN245" s="176" t="n"/>
      <c r="BO245" s="176" t="n"/>
      <c r="BP245" s="176" t="n"/>
      <c r="BQ245" s="176" t="n"/>
      <c r="BR245" s="176" t="n"/>
      <c r="BS245" s="176" t="n"/>
      <c r="BT245" s="176" t="n"/>
      <c r="BU245" s="176" t="n"/>
      <c r="BV245" s="176" t="n"/>
      <c r="BW245" s="176" t="n"/>
      <c r="BX245" s="176" t="n"/>
      <c r="BY245" s="176" t="n"/>
      <c r="BZ245" s="176" t="n"/>
      <c r="CA245" s="176" t="n"/>
      <c r="CB245" s="176" t="n"/>
      <c r="CC245" s="176" t="n"/>
      <c r="CD245" s="176" t="n"/>
      <c r="CE245" s="176" t="n"/>
      <c r="CF245" s="176" t="n"/>
      <c r="CG245" s="176" t="n"/>
      <c r="CH245" s="176" t="n"/>
      <c r="CI245" s="176" t="n"/>
      <c r="CJ245" s="176" t="n"/>
      <c r="CK245" s="176" t="n"/>
      <c r="CL245" s="176" t="n"/>
      <c r="CM245" s="176" t="n"/>
      <c r="CN245" s="176" t="n"/>
      <c r="CO245" s="176" t="n"/>
      <c r="CP245" s="176" t="n"/>
      <c r="CQ245" s="176" t="n"/>
      <c r="CR245" s="176" t="n"/>
      <c r="CS245" s="176" t="n"/>
      <c r="CT245" s="176" t="n"/>
      <c r="CU245" s="176" t="n"/>
      <c r="CV245" s="176" t="n"/>
      <c r="CW245" s="176" t="n"/>
      <c r="CX245" s="176" t="n"/>
      <c r="CY245" s="176" t="n"/>
      <c r="CZ245" s="176" t="n"/>
      <c r="DA245" s="179" t="inlineStr">
        <is>
          <t>MELHORIA · 19</t>
        </is>
      </c>
      <c r="DG245" s="176" t="n"/>
      <c r="DH245" s="176" t="n"/>
      <c r="DI245" s="179" t="inlineStr">
        <is>
          <t>MELHORIA · 20</t>
        </is>
      </c>
      <c r="DO245" s="176" t="n"/>
      <c r="DP245" s="176" t="n"/>
      <c r="DQ245" s="176" t="n"/>
      <c r="DR245" s="193" t="n"/>
      <c r="DW245" s="194" t="n"/>
      <c r="DX245" s="176" t="n"/>
      <c r="DY245" s="176" t="n"/>
      <c r="DZ245" s="193" t="n"/>
      <c r="EE245" s="194" t="n"/>
      <c r="EF245" s="176" t="n"/>
      <c r="EG245" s="176" t="n"/>
      <c r="EH245" s="176" t="n"/>
      <c r="EI245" s="176" t="n"/>
      <c r="EJ245" s="176" t="n"/>
      <c r="EK245" s="176" t="n"/>
      <c r="EL245" s="176" t="n"/>
      <c r="EM245" s="176" t="n"/>
      <c r="EN245" s="176" t="n"/>
      <c r="EO245" s="176" t="n"/>
      <c r="EP245" s="176" t="n"/>
      <c r="EQ245" s="176" t="n"/>
      <c r="ER245" s="176" t="n"/>
      <c r="ES245" s="176" t="n"/>
      <c r="ET245" s="176" t="n"/>
      <c r="EU245" s="176" t="n"/>
      <c r="EV245" s="176" t="n"/>
      <c r="EW245" s="176" t="n"/>
      <c r="EX245" s="176" t="n"/>
      <c r="EY245" s="176" t="n"/>
      <c r="EZ245" s="176" t="n"/>
      <c r="FA245" s="176" t="n"/>
      <c r="FB245" s="176" t="n"/>
      <c r="FC245" s="176" t="n"/>
      <c r="FD245" s="176" t="n"/>
      <c r="FE245" s="176" t="n"/>
      <c r="FF245" s="176" t="n"/>
      <c r="FG245" s="176" t="n"/>
      <c r="FH245" s="176" t="n"/>
      <c r="FI245" s="176" t="n"/>
      <c r="FJ245" s="176" t="n"/>
      <c r="FK245" s="176" t="n"/>
      <c r="FL245" s="176" t="n"/>
      <c r="FM245" s="176" t="n"/>
      <c r="FN245" s="176" t="n"/>
      <c r="FO245" s="176" t="n"/>
      <c r="FP245" s="176" t="n"/>
      <c r="FQ245" s="176" t="n"/>
      <c r="FR245" s="176" t="n"/>
      <c r="FS245" s="176" t="n"/>
      <c r="FT245" s="176" t="n"/>
      <c r="FU245" s="176" t="n"/>
      <c r="FV245" s="176" t="n"/>
      <c r="FW245" s="176" t="n"/>
      <c r="FX245" s="176" t="n"/>
      <c r="FY245" s="176" t="n"/>
      <c r="FZ245" s="176" t="n"/>
      <c r="GA245" s="176" t="n"/>
      <c r="GB245" s="176" t="n"/>
      <c r="GC245" s="176" t="n"/>
      <c r="GD245" s="176" t="n"/>
      <c r="GE245" s="176" t="n"/>
      <c r="GF245" s="176" t="n"/>
      <c r="GG245" s="176" t="n"/>
      <c r="GH245" s="176" t="n"/>
      <c r="GI245" s="176" t="n"/>
      <c r="GJ245" s="176" t="n"/>
      <c r="GK245" s="176" t="n"/>
      <c r="GL245" s="176" t="n"/>
      <c r="GM245" s="176" t="n"/>
      <c r="GN245" s="176" t="n"/>
      <c r="GO245" s="176" t="n"/>
      <c r="GP245" s="176" t="n"/>
      <c r="GQ245" s="176" t="n"/>
      <c r="GR245" s="176" t="n"/>
      <c r="GS245" s="176" t="n"/>
      <c r="GT245" s="176" t="n"/>
      <c r="GU245" s="176" t="n"/>
      <c r="GV245" s="176" t="n"/>
      <c r="GW245" s="176" t="n"/>
      <c r="GX245" s="176" t="n"/>
      <c r="GY245" s="176" t="n"/>
      <c r="GZ245" s="176" t="n"/>
      <c r="HA245" s="176" t="n"/>
      <c r="HB245" s="176" t="n"/>
      <c r="HC245" s="176" t="n"/>
      <c r="HD245" s="176" t="n"/>
      <c r="HE245" s="176" t="n"/>
      <c r="HF245" s="176" t="n"/>
      <c r="HG245" s="176" t="n"/>
      <c r="HH245" s="176" t="n"/>
      <c r="HI245" s="176" t="n"/>
      <c r="HJ245" s="176" t="n"/>
      <c r="HK245" s="176" t="n"/>
      <c r="HL245" s="176" t="n"/>
      <c r="HM245" s="176" t="n"/>
      <c r="HN245" s="176" t="n"/>
      <c r="HO245" s="176" t="n"/>
      <c r="HP245" s="176" t="n"/>
      <c r="HQ245" s="176" t="n"/>
      <c r="HR245" s="176" t="n"/>
      <c r="HS245" s="176" t="n"/>
      <c r="HT245" s="176" t="n"/>
      <c r="HU245" s="176" t="n"/>
      <c r="HV245" s="176" t="n"/>
      <c r="HW245" s="176" t="n"/>
      <c r="HX245" s="176" t="n"/>
      <c r="HY245" s="176" t="n"/>
      <c r="HZ245" s="176" t="n"/>
      <c r="IA245" s="176" t="n"/>
      <c r="IB245" s="176" t="n"/>
      <c r="IC245" s="176" t="n"/>
      <c r="ID245" s="176" t="n"/>
    </row>
    <row r="246" ht="18.75" customHeight="1">
      <c r="A246" s="176" t="n"/>
      <c r="B246" s="176" t="n"/>
      <c r="C246" s="176" t="n"/>
      <c r="D246" s="176" t="n"/>
      <c r="E246" s="176" t="n"/>
      <c r="F246" s="176" t="n"/>
      <c r="G246" s="176" t="n"/>
      <c r="H246" s="176" t="n"/>
      <c r="I246" s="176" t="n"/>
      <c r="J246" s="176" t="n"/>
      <c r="K246" s="176" t="n"/>
      <c r="L246" s="176" t="n"/>
      <c r="M246" s="176" t="n"/>
      <c r="N246" s="176" t="n"/>
      <c r="O246" s="176" t="n"/>
      <c r="P246" s="176" t="n"/>
      <c r="Q246" s="176" t="n"/>
      <c r="R246" s="176" t="n"/>
      <c r="S246" s="176" t="n"/>
      <c r="T246" s="185" t="n"/>
      <c r="U246" s="182" t="n"/>
      <c r="V246" s="182" t="n"/>
      <c r="W246" s="183" t="n"/>
      <c r="X246" s="184" t="b">
        <v>0</v>
      </c>
      <c r="Y246" s="183" t="n"/>
      <c r="Z246" s="176" t="n"/>
      <c r="AA246" s="176" t="n"/>
      <c r="AB246" s="185" t="n"/>
      <c r="AC246" s="182" t="n"/>
      <c r="AD246" s="182" t="n"/>
      <c r="AE246" s="183" t="n"/>
      <c r="AF246" s="184" t="b">
        <v>0</v>
      </c>
      <c r="AG246" s="183" t="n"/>
      <c r="AH246" s="176" t="n"/>
      <c r="AI246" s="176" t="n"/>
      <c r="AJ246" s="176" t="n"/>
      <c r="AK246" s="176" t="n"/>
      <c r="AL246" s="176" t="n"/>
      <c r="AM246" s="176" t="n"/>
      <c r="AN246" s="176" t="n"/>
      <c r="AO246" s="176" t="n"/>
      <c r="AP246" s="176" t="n"/>
      <c r="AQ246" s="176" t="n"/>
      <c r="AR246" s="176" t="n"/>
      <c r="AS246" s="176" t="n"/>
      <c r="AT246" s="176" t="n"/>
      <c r="AU246" s="176" t="n"/>
      <c r="AV246" s="176" t="n"/>
      <c r="AW246" s="176" t="n"/>
      <c r="AX246" s="176" t="n"/>
      <c r="AY246" s="176" t="n"/>
      <c r="AZ246" s="176" t="n"/>
      <c r="BA246" s="176" t="n"/>
      <c r="BB246" s="176" t="n"/>
      <c r="BC246" s="176" t="n"/>
      <c r="BD246" s="176" t="n"/>
      <c r="BE246" s="176" t="n"/>
      <c r="BF246" s="176" t="n"/>
      <c r="BG246" s="176" t="n"/>
      <c r="BH246" s="176" t="n"/>
      <c r="BI246" s="176" t="n"/>
      <c r="BJ246" s="176" t="n"/>
      <c r="BK246" s="176" t="n"/>
      <c r="BL246" s="176" t="n"/>
      <c r="BM246" s="176" t="n"/>
      <c r="BN246" s="176" t="n"/>
      <c r="BO246" s="176" t="n"/>
      <c r="BP246" s="176" t="n"/>
      <c r="BQ246" s="176" t="n"/>
      <c r="BR246" s="176" t="n"/>
      <c r="BS246" s="176" t="n"/>
      <c r="BT246" s="176" t="n"/>
      <c r="BU246" s="176" t="n"/>
      <c r="BV246" s="176" t="n"/>
      <c r="BW246" s="176" t="n"/>
      <c r="BX246" s="176" t="n"/>
      <c r="BY246" s="176" t="n"/>
      <c r="BZ246" s="176" t="n"/>
      <c r="CA246" s="176" t="n"/>
      <c r="CB246" s="176" t="n"/>
      <c r="CC246" s="176" t="n"/>
      <c r="CD246" s="176" t="n"/>
      <c r="CE246" s="176" t="n"/>
      <c r="CF246" s="176" t="n"/>
      <c r="CG246" s="176" t="n"/>
      <c r="CH246" s="176" t="n"/>
      <c r="CI246" s="176" t="n"/>
      <c r="CJ246" s="176" t="n"/>
      <c r="CK246" s="176" t="n"/>
      <c r="CL246" s="176" t="n"/>
      <c r="CM246" s="176" t="n"/>
      <c r="CN246" s="176" t="n"/>
      <c r="CO246" s="176" t="n"/>
      <c r="CP246" s="176" t="n"/>
      <c r="CQ246" s="176" t="n"/>
      <c r="CR246" s="176" t="n"/>
      <c r="CS246" s="176" t="n"/>
      <c r="CT246" s="176" t="n"/>
      <c r="CU246" s="176" t="n"/>
      <c r="CV246" s="176" t="n"/>
      <c r="CW246" s="176" t="n"/>
      <c r="CX246" s="176" t="n"/>
      <c r="CY246" s="176" t="n"/>
      <c r="CZ246" s="176" t="n"/>
      <c r="DA246" s="181" t="inlineStr">
        <is>
          <t>TIPO</t>
        </is>
      </c>
      <c r="DB246" s="182" t="n"/>
      <c r="DC246" s="182" t="n"/>
      <c r="DD246" s="183" t="n"/>
      <c r="DE246" s="181" t="inlineStr">
        <is>
          <t>MESTRE VIU</t>
        </is>
      </c>
      <c r="DF246" s="183" t="n"/>
      <c r="DG246" s="176" t="n"/>
      <c r="DH246" s="176" t="n"/>
      <c r="DI246" s="181" t="inlineStr">
        <is>
          <t>TIPO</t>
        </is>
      </c>
      <c r="DJ246" s="182" t="n"/>
      <c r="DK246" s="182" t="n"/>
      <c r="DL246" s="183" t="n"/>
      <c r="DM246" s="181" t="inlineStr">
        <is>
          <t>MESTRE VIU</t>
        </is>
      </c>
      <c r="DN246" s="183" t="n"/>
      <c r="DO246" s="176" t="n"/>
      <c r="DP246" s="176" t="n"/>
      <c r="DQ246" s="176" t="n"/>
      <c r="DR246" s="193" t="n"/>
      <c r="DW246" s="194" t="n"/>
      <c r="DX246" s="176" t="n"/>
      <c r="DY246" s="176" t="n"/>
      <c r="DZ246" s="193" t="n"/>
      <c r="EE246" s="194" t="n"/>
      <c r="EF246" s="176" t="n"/>
      <c r="EG246" s="176" t="n"/>
      <c r="EH246" s="176" t="n"/>
      <c r="EI246" s="176" t="n"/>
      <c r="EJ246" s="176" t="n"/>
      <c r="EK246" s="176" t="n"/>
      <c r="EL246" s="176" t="n"/>
      <c r="EM246" s="176" t="n"/>
      <c r="EN246" s="176" t="n"/>
      <c r="EO246" s="176" t="n"/>
      <c r="EP246" s="176" t="n"/>
      <c r="EQ246" s="176" t="n"/>
      <c r="ER246" s="176" t="n"/>
      <c r="ES246" s="176" t="n"/>
      <c r="ET246" s="176" t="n"/>
      <c r="EU246" s="176" t="n"/>
      <c r="EV246" s="176" t="n"/>
      <c r="EW246" s="176" t="n"/>
      <c r="EX246" s="176" t="n"/>
      <c r="EY246" s="176" t="n"/>
      <c r="EZ246" s="176" t="n"/>
      <c r="FA246" s="176" t="n"/>
      <c r="FB246" s="176" t="n"/>
      <c r="FC246" s="176" t="n"/>
      <c r="FD246" s="176" t="n"/>
      <c r="FE246" s="176" t="n"/>
      <c r="FF246" s="176" t="n"/>
      <c r="FG246" s="176" t="n"/>
      <c r="FH246" s="176" t="n"/>
      <c r="FI246" s="176" t="n"/>
      <c r="FJ246" s="176" t="n"/>
      <c r="FK246" s="176" t="n"/>
      <c r="FL246" s="176" t="n"/>
      <c r="FM246" s="176" t="n"/>
      <c r="FN246" s="176" t="n"/>
      <c r="FO246" s="176" t="n"/>
      <c r="FP246" s="176" t="n"/>
      <c r="FQ246" s="176" t="n"/>
      <c r="FR246" s="176" t="n"/>
      <c r="FS246" s="176" t="n"/>
      <c r="FT246" s="176" t="n"/>
      <c r="FU246" s="176" t="n"/>
      <c r="FV246" s="176" t="n"/>
      <c r="FW246" s="176" t="n"/>
      <c r="FX246" s="176" t="n"/>
      <c r="FY246" s="176" t="n"/>
      <c r="FZ246" s="176" t="n"/>
      <c r="GA246" s="176" t="n"/>
      <c r="GB246" s="176" t="n"/>
      <c r="GC246" s="176" t="n"/>
      <c r="GD246" s="176" t="n"/>
      <c r="GE246" s="176" t="n"/>
      <c r="GF246" s="176" t="n"/>
      <c r="GG246" s="176" t="n"/>
      <c r="GH246" s="176" t="n"/>
      <c r="GI246" s="176" t="n"/>
      <c r="GJ246" s="176" t="n"/>
      <c r="GK246" s="176" t="n"/>
      <c r="GL246" s="176" t="n"/>
      <c r="GM246" s="176" t="n"/>
      <c r="GN246" s="176" t="n"/>
      <c r="GO246" s="176" t="n"/>
      <c r="GP246" s="176" t="n"/>
      <c r="GQ246" s="176" t="n"/>
      <c r="GR246" s="176" t="n"/>
      <c r="GS246" s="176" t="n"/>
      <c r="GT246" s="176" t="n"/>
      <c r="GU246" s="176" t="n"/>
      <c r="GV246" s="176" t="n"/>
      <c r="GW246" s="176" t="n"/>
      <c r="GX246" s="176" t="n"/>
      <c r="GY246" s="176" t="n"/>
      <c r="GZ246" s="176" t="n"/>
      <c r="HA246" s="176" t="n"/>
      <c r="HB246" s="176" t="n"/>
      <c r="HC246" s="176" t="n"/>
      <c r="HD246" s="176" t="n"/>
      <c r="HE246" s="176" t="n"/>
      <c r="HF246" s="176" t="n"/>
      <c r="HG246" s="176" t="n"/>
      <c r="HH246" s="176" t="n"/>
      <c r="HI246" s="176" t="n"/>
      <c r="HJ246" s="176" t="n"/>
      <c r="HK246" s="176" t="n"/>
      <c r="HL246" s="176" t="n"/>
      <c r="HM246" s="176" t="n"/>
      <c r="HN246" s="176" t="n"/>
      <c r="HO246" s="176" t="n"/>
      <c r="HP246" s="181" t="inlineStr">
        <is>
          <t>REQUISITOS</t>
        </is>
      </c>
      <c r="HQ246" s="182" t="n"/>
      <c r="HR246" s="182" t="n"/>
      <c r="HS246" s="182" t="n"/>
      <c r="HT246" s="182" t="n"/>
      <c r="HU246" s="183" t="n"/>
      <c r="HV246" s="176" t="n"/>
      <c r="HW246" s="176" t="n"/>
      <c r="HX246" s="181" t="inlineStr">
        <is>
          <t>REQUISITOS</t>
        </is>
      </c>
      <c r="HY246" s="182" t="n"/>
      <c r="HZ246" s="182" t="n"/>
      <c r="IA246" s="182" t="n"/>
      <c r="IB246" s="182" t="n"/>
      <c r="IC246" s="183" t="n"/>
      <c r="ID246" s="176" t="n"/>
    </row>
    <row r="247" ht="18.75" customHeight="1">
      <c r="A247" s="176" t="n"/>
      <c r="B247" s="176" t="n"/>
      <c r="C247" s="176" t="n"/>
      <c r="D247" s="176" t="n"/>
      <c r="E247" s="176" t="n"/>
      <c r="F247" s="176" t="n"/>
      <c r="G247" s="176" t="n"/>
      <c r="H247" s="176" t="n"/>
      <c r="I247" s="176" t="n"/>
      <c r="J247" s="176" t="n"/>
      <c r="K247" s="176" t="n"/>
      <c r="L247" s="176" t="n"/>
      <c r="M247" s="176" t="n"/>
      <c r="N247" s="176" t="n"/>
      <c r="O247" s="176" t="n"/>
      <c r="P247" s="176" t="n"/>
      <c r="Q247" s="176" t="n"/>
      <c r="R247" s="176" t="n"/>
      <c r="S247" s="176" t="n"/>
      <c r="T247" s="181" t="inlineStr">
        <is>
          <t>NOME</t>
        </is>
      </c>
      <c r="U247" s="182" t="n"/>
      <c r="V247" s="182" t="n"/>
      <c r="W247" s="182" t="n"/>
      <c r="X247" s="182" t="n"/>
      <c r="Y247" s="183" t="n"/>
      <c r="Z247" s="176" t="n"/>
      <c r="AA247" s="176" t="n"/>
      <c r="AB247" s="181" t="inlineStr">
        <is>
          <t>NOME</t>
        </is>
      </c>
      <c r="AC247" s="182" t="n"/>
      <c r="AD247" s="182" t="n"/>
      <c r="AE247" s="182" t="n"/>
      <c r="AF247" s="182" t="n"/>
      <c r="AG247" s="183" t="n"/>
      <c r="AH247" s="176" t="n"/>
      <c r="AI247" s="176" t="n"/>
      <c r="AJ247" s="176" t="n"/>
      <c r="AK247" s="176" t="n"/>
      <c r="AL247" s="176" t="n"/>
      <c r="AM247" s="176" t="n"/>
      <c r="AN247" s="176" t="n"/>
      <c r="AO247" s="176" t="n"/>
      <c r="AP247" s="176" t="n"/>
      <c r="AQ247" s="176" t="n"/>
      <c r="AR247" s="176" t="n"/>
      <c r="AS247" s="176" t="n"/>
      <c r="AT247" s="176" t="n"/>
      <c r="AU247" s="176" t="n"/>
      <c r="AV247" s="176" t="n"/>
      <c r="AW247" s="176" t="n"/>
      <c r="AX247" s="176" t="n"/>
      <c r="AY247" s="176" t="n"/>
      <c r="AZ247" s="176" t="n"/>
      <c r="BA247" s="176" t="n"/>
      <c r="BB247" s="176" t="n"/>
      <c r="BC247" s="176" t="n"/>
      <c r="BD247" s="176" t="n"/>
      <c r="BE247" s="176" t="n"/>
      <c r="BF247" s="176" t="n"/>
      <c r="BG247" s="176" t="n"/>
      <c r="BH247" s="176" t="n"/>
      <c r="BI247" s="176" t="n"/>
      <c r="BJ247" s="176" t="n"/>
      <c r="BK247" s="176" t="n"/>
      <c r="BL247" s="176" t="n"/>
      <c r="BM247" s="176" t="n"/>
      <c r="BN247" s="176" t="n"/>
      <c r="BO247" s="176" t="n"/>
      <c r="BP247" s="176" t="n"/>
      <c r="BQ247" s="176" t="n"/>
      <c r="BR247" s="176" t="n"/>
      <c r="BS247" s="176" t="n"/>
      <c r="BT247" s="176" t="n"/>
      <c r="BU247" s="176" t="n"/>
      <c r="BV247" s="176" t="n"/>
      <c r="BW247" s="176" t="n"/>
      <c r="BX247" s="176" t="n"/>
      <c r="BY247" s="176" t="n"/>
      <c r="BZ247" s="176" t="n"/>
      <c r="CA247" s="176" t="n"/>
      <c r="CB247" s="176" t="n"/>
      <c r="CC247" s="176" t="n"/>
      <c r="CD247" s="176" t="n"/>
      <c r="CE247" s="176" t="n"/>
      <c r="CF247" s="176" t="n"/>
      <c r="CG247" s="176" t="n"/>
      <c r="CH247" s="176" t="n"/>
      <c r="CI247" s="176" t="n"/>
      <c r="CJ247" s="176" t="n"/>
      <c r="CK247" s="176" t="n"/>
      <c r="CL247" s="176" t="n"/>
      <c r="CM247" s="176" t="n"/>
      <c r="CN247" s="176" t="n"/>
      <c r="CO247" s="176" t="n"/>
      <c r="CP247" s="176" t="n"/>
      <c r="CQ247" s="176" t="n"/>
      <c r="CR247" s="176" t="n"/>
      <c r="CS247" s="176" t="n"/>
      <c r="CT247" s="176" t="n"/>
      <c r="CU247" s="176" t="n"/>
      <c r="CV247" s="176" t="n"/>
      <c r="CW247" s="176" t="n"/>
      <c r="CX247" s="176" t="n"/>
      <c r="CY247" s="176" t="n"/>
      <c r="CZ247" s="176" t="n"/>
      <c r="DA247" s="185" t="inlineStr">
        <is>
          <t>Melhoria</t>
        </is>
      </c>
      <c r="DB247" s="182" t="n"/>
      <c r="DC247" s="182" t="n"/>
      <c r="DD247" s="183" t="n"/>
      <c r="DE247" s="184" t="b">
        <v>0</v>
      </c>
      <c r="DF247" s="183" t="n"/>
      <c r="DG247" s="176" t="n"/>
      <c r="DH247" s="176" t="n"/>
      <c r="DI247" s="185" t="inlineStr">
        <is>
          <t>Melhoria</t>
        </is>
      </c>
      <c r="DJ247" s="182" t="n"/>
      <c r="DK247" s="182" t="n"/>
      <c r="DL247" s="183" t="n"/>
      <c r="DM247" s="184" t="b">
        <v>0</v>
      </c>
      <c r="DN247" s="183" t="n"/>
      <c r="DO247" s="176" t="n"/>
      <c r="DP247" s="176" t="n"/>
      <c r="DQ247" s="176" t="n"/>
      <c r="DR247" s="189" t="n"/>
      <c r="DS247" s="190" t="n"/>
      <c r="DT247" s="190" t="n"/>
      <c r="DU247" s="190" t="n"/>
      <c r="DV247" s="190" t="n"/>
      <c r="DW247" s="191" t="n"/>
      <c r="DX247" s="176" t="n"/>
      <c r="DY247" s="176" t="n"/>
      <c r="DZ247" s="189" t="n"/>
      <c r="EA247" s="190" t="n"/>
      <c r="EB247" s="190" t="n"/>
      <c r="EC247" s="190" t="n"/>
      <c r="ED247" s="190" t="n"/>
      <c r="EE247" s="191" t="n"/>
      <c r="EF247" s="176" t="n"/>
      <c r="EG247" s="176" t="n"/>
      <c r="EH247" s="176" t="n"/>
      <c r="EI247" s="176" t="n"/>
      <c r="EJ247" s="176" t="n"/>
      <c r="EK247" s="176" t="n"/>
      <c r="EL247" s="176" t="n"/>
      <c r="EM247" s="176" t="n"/>
      <c r="EN247" s="176" t="n"/>
      <c r="EO247" s="176" t="n"/>
      <c r="EP247" s="176" t="n"/>
      <c r="EQ247" s="176" t="n"/>
      <c r="ER247" s="176" t="n"/>
      <c r="ES247" s="176" t="n"/>
      <c r="ET247" s="176" t="n"/>
      <c r="EU247" s="176" t="n"/>
      <c r="EV247" s="176" t="n"/>
      <c r="EW247" s="176" t="n"/>
      <c r="EX247" s="176" t="n"/>
      <c r="EY247" s="176" t="n"/>
      <c r="EZ247" s="176" t="n"/>
      <c r="FA247" s="176" t="n"/>
      <c r="FB247" s="176" t="n"/>
      <c r="FC247" s="176" t="n"/>
      <c r="FD247" s="176" t="n"/>
      <c r="FE247" s="176" t="n"/>
      <c r="FF247" s="176" t="n"/>
      <c r="FG247" s="176" t="n"/>
      <c r="FH247" s="176" t="n"/>
      <c r="FI247" s="176" t="n"/>
      <c r="FJ247" s="176" t="n"/>
      <c r="FK247" s="176" t="n"/>
      <c r="FL247" s="176" t="n"/>
      <c r="FM247" s="176" t="n"/>
      <c r="FN247" s="176" t="n"/>
      <c r="FO247" s="176" t="n"/>
      <c r="FP247" s="176" t="n"/>
      <c r="FQ247" s="176" t="n"/>
      <c r="FR247" s="176" t="n"/>
      <c r="FS247" s="176" t="n"/>
      <c r="FT247" s="176" t="n"/>
      <c r="FU247" s="176" t="n"/>
      <c r="FV247" s="176" t="n"/>
      <c r="FW247" s="176" t="n"/>
      <c r="FX247" s="176" t="n"/>
      <c r="FY247" s="176" t="n"/>
      <c r="FZ247" s="176" t="n"/>
      <c r="GA247" s="176" t="n"/>
      <c r="GB247" s="176" t="n"/>
      <c r="GC247" s="176" t="n"/>
      <c r="GD247" s="176" t="n"/>
      <c r="GE247" s="176" t="n"/>
      <c r="GF247" s="176" t="n"/>
      <c r="GG247" s="176" t="n"/>
      <c r="GH247" s="176" t="n"/>
      <c r="GI247" s="176" t="n"/>
      <c r="GJ247" s="176" t="n"/>
      <c r="GK247" s="176" t="n"/>
      <c r="GL247" s="176" t="n"/>
      <c r="GM247" s="176" t="n"/>
      <c r="GN247" s="176" t="n"/>
      <c r="GO247" s="176" t="n"/>
      <c r="GP247" s="176" t="n"/>
      <c r="GQ247" s="176" t="n"/>
      <c r="GR247" s="176" t="n"/>
      <c r="GS247" s="176" t="n"/>
      <c r="GT247" s="176" t="n"/>
      <c r="GU247" s="176" t="n"/>
      <c r="GV247" s="176" t="n"/>
      <c r="GW247" s="176" t="n"/>
      <c r="GX247" s="176" t="n"/>
      <c r="GY247" s="176" t="n"/>
      <c r="GZ247" s="176" t="n"/>
      <c r="HA247" s="176" t="n"/>
      <c r="HB247" s="176" t="n"/>
      <c r="HC247" s="176" t="n"/>
      <c r="HD247" s="176" t="n"/>
      <c r="HE247" s="176" t="n"/>
      <c r="HF247" s="176" t="n"/>
      <c r="HG247" s="176" t="n"/>
      <c r="HH247" s="176" t="n"/>
      <c r="HI247" s="176" t="n"/>
      <c r="HJ247" s="176" t="n"/>
      <c r="HK247" s="176" t="n"/>
      <c r="HL247" s="176" t="n"/>
      <c r="HM247" s="176" t="n"/>
      <c r="HN247" s="176" t="n"/>
      <c r="HO247" s="176" t="n"/>
      <c r="HP247" s="192" t="n"/>
      <c r="HQ247" s="187" t="n"/>
      <c r="HR247" s="187" t="n"/>
      <c r="HS247" s="187" t="n"/>
      <c r="HT247" s="187" t="n"/>
      <c r="HU247" s="188" t="n"/>
      <c r="HV247" s="176" t="n"/>
      <c r="HW247" s="176" t="n"/>
      <c r="HX247" s="192" t="n"/>
      <c r="HY247" s="187" t="n"/>
      <c r="HZ247" s="187" t="n"/>
      <c r="IA247" s="187" t="n"/>
      <c r="IB247" s="187" t="n"/>
      <c r="IC247" s="188" t="n"/>
      <c r="ID247" s="176" t="n"/>
    </row>
    <row r="248" ht="18.75" customHeight="1">
      <c r="A248" s="176" t="n"/>
      <c r="B248" s="176" t="n"/>
      <c r="C248" s="176" t="n"/>
      <c r="D248" s="176" t="n"/>
      <c r="E248" s="176" t="n"/>
      <c r="F248" s="176" t="n"/>
      <c r="G248" s="176" t="n"/>
      <c r="H248" s="176" t="n"/>
      <c r="I248" s="176" t="n"/>
      <c r="J248" s="176" t="n"/>
      <c r="K248" s="176" t="n"/>
      <c r="L248" s="176" t="n"/>
      <c r="M248" s="176" t="n"/>
      <c r="N248" s="176" t="n"/>
      <c r="O248" s="176" t="n"/>
      <c r="P248" s="176" t="n"/>
      <c r="Q248" s="176" t="n"/>
      <c r="R248" s="176" t="n"/>
      <c r="S248" s="176" t="n"/>
      <c r="T248" s="185" t="n"/>
      <c r="U248" s="182" t="n"/>
      <c r="V248" s="182" t="n"/>
      <c r="W248" s="182" t="n"/>
      <c r="X248" s="182" t="n"/>
      <c r="Y248" s="183" t="n"/>
      <c r="Z248" s="176" t="n"/>
      <c r="AA248" s="176" t="n"/>
      <c r="AB248" s="185" t="n"/>
      <c r="AC248" s="182" t="n"/>
      <c r="AD248" s="182" t="n"/>
      <c r="AE248" s="182" t="n"/>
      <c r="AF248" s="182" t="n"/>
      <c r="AG248" s="183" t="n"/>
      <c r="AH248" s="176" t="n"/>
      <c r="AI248" s="176" t="n"/>
      <c r="AJ248" s="176" t="n"/>
      <c r="AK248" s="176" t="n"/>
      <c r="AL248" s="176" t="n"/>
      <c r="AM248" s="176" t="n"/>
      <c r="AN248" s="176" t="n"/>
      <c r="AO248" s="176" t="n"/>
      <c r="AP248" s="176" t="n"/>
      <c r="AQ248" s="176" t="n"/>
      <c r="AR248" s="176" t="n"/>
      <c r="AS248" s="176" t="n"/>
      <c r="AT248" s="176" t="n"/>
      <c r="AU248" s="176" t="n"/>
      <c r="AV248" s="176" t="n"/>
      <c r="AW248" s="176" t="n"/>
      <c r="AX248" s="176" t="n"/>
      <c r="AY248" s="176" t="n"/>
      <c r="AZ248" s="176" t="n"/>
      <c r="BA248" s="176" t="n"/>
      <c r="BB248" s="176" t="n"/>
      <c r="BC248" s="176" t="n"/>
      <c r="BD248" s="176" t="n"/>
      <c r="BE248" s="176" t="n"/>
      <c r="BF248" s="176" t="n"/>
      <c r="BG248" s="176" t="n"/>
      <c r="BH248" s="176" t="n"/>
      <c r="BI248" s="176" t="n"/>
      <c r="BJ248" s="176" t="n"/>
      <c r="BK248" s="176" t="n"/>
      <c r="BL248" s="176" t="n"/>
      <c r="BM248" s="176" t="n"/>
      <c r="BN248" s="176" t="n"/>
      <c r="BO248" s="176" t="n"/>
      <c r="BP248" s="176" t="n"/>
      <c r="BQ248" s="176" t="n"/>
      <c r="BR248" s="176" t="n"/>
      <c r="BS248" s="176" t="n"/>
      <c r="BT248" s="176" t="n"/>
      <c r="BU248" s="176" t="n"/>
      <c r="BV248" s="176" t="n"/>
      <c r="BW248" s="176" t="n"/>
      <c r="BX248" s="176" t="n"/>
      <c r="BY248" s="176" t="n"/>
      <c r="BZ248" s="176" t="n"/>
      <c r="CA248" s="176" t="n"/>
      <c r="CB248" s="176" t="n"/>
      <c r="CC248" s="176" t="n"/>
      <c r="CD248" s="176" t="n"/>
      <c r="CE248" s="176" t="n"/>
      <c r="CF248" s="176" t="n"/>
      <c r="CG248" s="176" t="n"/>
      <c r="CH248" s="176" t="n"/>
      <c r="CI248" s="176" t="n"/>
      <c r="CJ248" s="176" t="n"/>
      <c r="CK248" s="176" t="n"/>
      <c r="CL248" s="176" t="n"/>
      <c r="CM248" s="176" t="n"/>
      <c r="CN248" s="176" t="n"/>
      <c r="CO248" s="176" t="n"/>
      <c r="CP248" s="176" t="n"/>
      <c r="CQ248" s="176" t="n"/>
      <c r="CR248" s="176" t="n"/>
      <c r="CS248" s="176" t="n"/>
      <c r="CT248" s="176" t="n"/>
      <c r="CU248" s="176" t="n"/>
      <c r="CV248" s="176" t="n"/>
      <c r="CW248" s="176" t="n"/>
      <c r="CX248" s="176" t="n"/>
      <c r="CY248" s="176" t="n"/>
      <c r="CZ248" s="176" t="n"/>
      <c r="DA248" s="181" t="inlineStr">
        <is>
          <t>NOME</t>
        </is>
      </c>
      <c r="DB248" s="182" t="n"/>
      <c r="DC248" s="182" t="n"/>
      <c r="DD248" s="182" t="n"/>
      <c r="DE248" s="182" t="n"/>
      <c r="DF248" s="183" t="n"/>
      <c r="DG248" s="176" t="n"/>
      <c r="DH248" s="176" t="n"/>
      <c r="DI248" s="181" t="inlineStr">
        <is>
          <t>NOME</t>
        </is>
      </c>
      <c r="DJ248" s="182" t="n"/>
      <c r="DK248" s="182" t="n"/>
      <c r="DL248" s="182" t="n"/>
      <c r="DM248" s="182" t="n"/>
      <c r="DN248" s="183" t="n"/>
      <c r="DO248" s="176" t="n"/>
      <c r="DP248" s="176" t="n"/>
      <c r="DQ248" s="176" t="n"/>
      <c r="DR248" s="176" t="n"/>
      <c r="DS248" s="176" t="n"/>
      <c r="DT248" s="176" t="n"/>
      <c r="DU248" s="176" t="n"/>
      <c r="DV248" s="176" t="n"/>
      <c r="DW248" s="176" t="n"/>
      <c r="DX248" s="176" t="n"/>
      <c r="DY248" s="176" t="n"/>
      <c r="DZ248" s="176" t="n"/>
      <c r="EA248" s="176" t="n"/>
      <c r="EB248" s="176" t="n"/>
      <c r="EC248" s="176" t="n"/>
      <c r="ED248" s="176" t="n"/>
      <c r="EE248" s="176" t="n"/>
      <c r="EF248" s="176" t="n"/>
      <c r="EG248" s="176" t="n"/>
      <c r="EH248" s="176" t="n"/>
      <c r="EI248" s="176" t="n"/>
      <c r="EJ248" s="176" t="n"/>
      <c r="EK248" s="176" t="n"/>
      <c r="EL248" s="176" t="n"/>
      <c r="EM248" s="176" t="n"/>
      <c r="EN248" s="176" t="n"/>
      <c r="EO248" s="176" t="n"/>
      <c r="EP248" s="176" t="n"/>
      <c r="EQ248" s="176" t="n"/>
      <c r="ER248" s="176" t="n"/>
      <c r="ES248" s="176" t="n"/>
      <c r="ET248" s="176" t="n"/>
      <c r="EU248" s="176" t="n"/>
      <c r="EV248" s="176" t="n"/>
      <c r="EW248" s="176" t="n"/>
      <c r="EX248" s="176" t="n"/>
      <c r="EY248" s="176" t="n"/>
      <c r="EZ248" s="176" t="n"/>
      <c r="FA248" s="176" t="n"/>
      <c r="FB248" s="176" t="n"/>
      <c r="FC248" s="176" t="n"/>
      <c r="FD248" s="176" t="n"/>
      <c r="FE248" s="176" t="n"/>
      <c r="FF248" s="176" t="n"/>
      <c r="FG248" s="176" t="n"/>
      <c r="FH248" s="176" t="n"/>
      <c r="FI248" s="176" t="n"/>
      <c r="FJ248" s="176" t="n"/>
      <c r="FK248" s="176" t="n"/>
      <c r="FL248" s="176" t="n"/>
      <c r="FM248" s="176" t="n"/>
      <c r="FN248" s="176" t="n"/>
      <c r="FO248" s="176" t="n"/>
      <c r="FP248" s="176" t="n"/>
      <c r="FQ248" s="176" t="n"/>
      <c r="FR248" s="176" t="n"/>
      <c r="FS248" s="176" t="n"/>
      <c r="FT248" s="176" t="n"/>
      <c r="FU248" s="176" t="n"/>
      <c r="FV248" s="176" t="n"/>
      <c r="FW248" s="176" t="n"/>
      <c r="FX248" s="176" t="n"/>
      <c r="FY248" s="176" t="n"/>
      <c r="FZ248" s="176" t="n"/>
      <c r="GA248" s="176" t="n"/>
      <c r="GB248" s="176" t="n"/>
      <c r="GC248" s="176" t="n"/>
      <c r="GD248" s="176" t="n"/>
      <c r="GE248" s="176" t="n"/>
      <c r="GF248" s="176" t="n"/>
      <c r="GG248" s="176" t="n"/>
      <c r="GH248" s="176" t="n"/>
      <c r="GI248" s="176" t="n"/>
      <c r="GJ248" s="176" t="n"/>
      <c r="GK248" s="176" t="n"/>
      <c r="GL248" s="176" t="n"/>
      <c r="GM248" s="176" t="n"/>
      <c r="GN248" s="176" t="n"/>
      <c r="GO248" s="176" t="n"/>
      <c r="GP248" s="176" t="n"/>
      <c r="GQ248" s="176" t="n"/>
      <c r="GR248" s="176" t="n"/>
      <c r="GS248" s="176" t="n"/>
      <c r="GT248" s="176" t="n"/>
      <c r="GU248" s="176" t="n"/>
      <c r="GV248" s="176" t="n"/>
      <c r="GW248" s="176" t="n"/>
      <c r="GX248" s="176" t="n"/>
      <c r="GY248" s="176" t="n"/>
      <c r="GZ248" s="176" t="n"/>
      <c r="HA248" s="176" t="n"/>
      <c r="HB248" s="176" t="n"/>
      <c r="HC248" s="176" t="n"/>
      <c r="HD248" s="176" t="n"/>
      <c r="HE248" s="176" t="n"/>
      <c r="HF248" s="176" t="n"/>
      <c r="HG248" s="176" t="n"/>
      <c r="HH248" s="176" t="n"/>
      <c r="HI248" s="176" t="n"/>
      <c r="HJ248" s="176" t="n"/>
      <c r="HK248" s="176" t="n"/>
      <c r="HL248" s="176" t="n"/>
      <c r="HM248" s="176" t="n"/>
      <c r="HN248" s="176" t="n"/>
      <c r="HO248" s="176" t="n"/>
      <c r="HP248" s="193" t="n"/>
      <c r="HU248" s="194" t="n"/>
      <c r="HV248" s="176" t="n"/>
      <c r="HW248" s="176" t="n"/>
      <c r="HX248" s="193" t="n"/>
      <c r="IC248" s="194" t="n"/>
      <c r="ID248" s="176" t="n"/>
    </row>
    <row r="249" ht="18.75" customHeight="1">
      <c r="A249" s="176" t="n"/>
      <c r="B249" s="176" t="n"/>
      <c r="C249" s="176" t="n"/>
      <c r="D249" s="176" t="n"/>
      <c r="E249" s="176" t="n"/>
      <c r="F249" s="176" t="n"/>
      <c r="G249" s="176" t="n"/>
      <c r="H249" s="176" t="n"/>
      <c r="I249" s="176" t="n"/>
      <c r="J249" s="176" t="n"/>
      <c r="K249" s="176" t="n"/>
      <c r="L249" s="176" t="n"/>
      <c r="M249" s="176" t="n"/>
      <c r="N249" s="176" t="n"/>
      <c r="O249" s="176" t="n"/>
      <c r="P249" s="176" t="n"/>
      <c r="Q249" s="176" t="n"/>
      <c r="R249" s="176" t="n"/>
      <c r="S249" s="176" t="n"/>
      <c r="T249" s="181">
        <f>SWITCH('CONFIGURAÇÃO'!$T$246,"Origem","PERÍCIA 1","Marcante","ORIGEM","Menor","ORIGEM","Arma","CATEGORIA","Escudo","","Uniforme","GRAU MÍNIMO","Item comum","","Ferramenta amaldiçoada","BASE","")</f>
        <v/>
      </c>
      <c r="U249" s="183" t="n"/>
      <c r="V249" s="185" t="n"/>
      <c r="W249" s="182" t="n"/>
      <c r="X249" s="182" t="n"/>
      <c r="Y249" s="183" t="n"/>
      <c r="Z249" s="176" t="n"/>
      <c r="AA249" s="176" t="n"/>
      <c r="AB249" s="181">
        <f>SWITCH('CONFIGURAÇÃO'!$AB$246,"Origem","PERÍCIA 1","Marcante","ORIGEM","Menor","ORIGEM","Arma","CATEGORIA","Escudo","","Uniforme","GRAU MÍNIMO","Item comum","","Ferramenta amaldiçoada","BASE","")</f>
        <v/>
      </c>
      <c r="AC249" s="183" t="n"/>
      <c r="AD249" s="185" t="n"/>
      <c r="AE249" s="182" t="n"/>
      <c r="AF249" s="182" t="n"/>
      <c r="AG249" s="183" t="n"/>
      <c r="AH249" s="176" t="n"/>
      <c r="AI249" s="176" t="n"/>
      <c r="AJ249" s="176" t="n"/>
      <c r="AK249" s="176" t="n"/>
      <c r="AL249" s="176" t="n"/>
      <c r="AM249" s="176" t="n"/>
      <c r="AN249" s="176" t="n"/>
      <c r="AO249" s="176" t="n"/>
      <c r="AP249" s="176" t="n"/>
      <c r="AQ249" s="176" t="n"/>
      <c r="AR249" s="176" t="n"/>
      <c r="AS249" s="176" t="n"/>
      <c r="AT249" s="176" t="n"/>
      <c r="AU249" s="176" t="n"/>
      <c r="AV249" s="176" t="n"/>
      <c r="AW249" s="176" t="n"/>
      <c r="AX249" s="176" t="n"/>
      <c r="AY249" s="176" t="n"/>
      <c r="AZ249" s="176" t="n"/>
      <c r="BA249" s="176" t="n"/>
      <c r="BB249" s="176" t="n"/>
      <c r="BC249" s="176" t="n"/>
      <c r="BD249" s="176" t="n"/>
      <c r="BE249" s="176" t="n"/>
      <c r="BF249" s="176" t="n"/>
      <c r="BG249" s="176" t="n"/>
      <c r="BH249" s="176" t="n"/>
      <c r="BI249" s="176" t="n"/>
      <c r="BJ249" s="176" t="n"/>
      <c r="BK249" s="176" t="n"/>
      <c r="BL249" s="176" t="n"/>
      <c r="BM249" s="176" t="n"/>
      <c r="BN249" s="176" t="n"/>
      <c r="BO249" s="176" t="n"/>
      <c r="BP249" s="176" t="n"/>
      <c r="BQ249" s="176" t="n"/>
      <c r="BR249" s="176" t="n"/>
      <c r="BS249" s="176" t="n"/>
      <c r="BT249" s="176" t="n"/>
      <c r="BU249" s="176" t="n"/>
      <c r="BV249" s="176" t="n"/>
      <c r="BW249" s="176" t="n"/>
      <c r="BX249" s="176" t="n"/>
      <c r="BY249" s="176" t="n"/>
      <c r="BZ249" s="176" t="n"/>
      <c r="CA249" s="176" t="n"/>
      <c r="CB249" s="176" t="n"/>
      <c r="CC249" s="176" t="n"/>
      <c r="CD249" s="176" t="n"/>
      <c r="CE249" s="176" t="n"/>
      <c r="CF249" s="176" t="n"/>
      <c r="CG249" s="176" t="n"/>
      <c r="CH249" s="176" t="n"/>
      <c r="CI249" s="176" t="n"/>
      <c r="CJ249" s="176" t="n"/>
      <c r="CK249" s="176" t="n"/>
      <c r="CL249" s="176" t="n"/>
      <c r="CM249" s="176" t="n"/>
      <c r="CN249" s="176" t="n"/>
      <c r="CO249" s="176" t="n"/>
      <c r="CP249" s="176" t="n"/>
      <c r="CQ249" s="176" t="n"/>
      <c r="CR249" s="176" t="n"/>
      <c r="CS249" s="176" t="n"/>
      <c r="CT249" s="176" t="n"/>
      <c r="CU249" s="176" t="n"/>
      <c r="CV249" s="176" t="n"/>
      <c r="CW249" s="176" t="n"/>
      <c r="CX249" s="176" t="n"/>
      <c r="CY249" s="176" t="n"/>
      <c r="CZ249" s="176" t="n"/>
      <c r="DA249" s="185" t="n"/>
      <c r="DB249" s="182" t="n"/>
      <c r="DC249" s="182" t="n"/>
      <c r="DD249" s="182" t="n"/>
      <c r="DE249" s="182" t="n"/>
      <c r="DF249" s="183" t="n"/>
      <c r="DG249" s="176" t="n"/>
      <c r="DH249" s="176" t="n"/>
      <c r="DI249" s="185" t="n"/>
      <c r="DJ249" s="182" t="n"/>
      <c r="DK249" s="182" t="n"/>
      <c r="DL249" s="182" t="n"/>
      <c r="DM249" s="182" t="n"/>
      <c r="DN249" s="183" t="n"/>
      <c r="DO249" s="176" t="n"/>
      <c r="DP249" s="176" t="n"/>
      <c r="DQ249" s="176" t="n"/>
      <c r="DR249" s="180">
        <f>IF('DADOS_RESTRICOES'!$K$22="","","⚠ "&amp;'DADOS_RESTRICOES'!$K$22)</f>
        <v/>
      </c>
      <c r="DX249" s="176" t="n"/>
      <c r="DY249" s="176" t="n"/>
      <c r="DZ249" s="180">
        <f>IF('DADOS_RESTRICOES'!$K$23="","","⚠ "&amp;'DADOS_RESTRICOES'!$K$23)</f>
        <v/>
      </c>
      <c r="EF249" s="176" t="n"/>
      <c r="EG249" s="176" t="n"/>
      <c r="EH249" s="176" t="n"/>
      <c r="EI249" s="176" t="n"/>
      <c r="EJ249" s="176" t="n"/>
      <c r="EK249" s="176" t="n"/>
      <c r="EL249" s="176" t="n"/>
      <c r="EM249" s="176" t="n"/>
      <c r="EN249" s="176" t="n"/>
      <c r="EO249" s="176" t="n"/>
      <c r="EP249" s="176" t="n"/>
      <c r="EQ249" s="176" t="n"/>
      <c r="ER249" s="176" t="n"/>
      <c r="ES249" s="176" t="n"/>
      <c r="ET249" s="176" t="n"/>
      <c r="EU249" s="176" t="n"/>
      <c r="EV249" s="176" t="n"/>
      <c r="EW249" s="176" t="n"/>
      <c r="EX249" s="176" t="n"/>
      <c r="EY249" s="176" t="n"/>
      <c r="EZ249" s="176" t="n"/>
      <c r="FA249" s="176" t="n"/>
      <c r="FB249" s="176" t="n"/>
      <c r="FC249" s="176" t="n"/>
      <c r="FD249" s="176" t="n"/>
      <c r="FE249" s="176" t="n"/>
      <c r="FF249" s="176" t="n"/>
      <c r="FG249" s="176" t="n"/>
      <c r="FH249" s="176" t="n"/>
      <c r="FI249" s="176" t="n"/>
      <c r="FJ249" s="176" t="n"/>
      <c r="FK249" s="176" t="n"/>
      <c r="FL249" s="176" t="n"/>
      <c r="FM249" s="176" t="n"/>
      <c r="FN249" s="176" t="n"/>
      <c r="FO249" s="176" t="n"/>
      <c r="FP249" s="176" t="n"/>
      <c r="FQ249" s="176" t="n"/>
      <c r="FR249" s="176" t="n"/>
      <c r="FS249" s="176" t="n"/>
      <c r="FT249" s="176" t="n"/>
      <c r="FU249" s="176" t="n"/>
      <c r="FV249" s="176" t="n"/>
      <c r="FW249" s="176" t="n"/>
      <c r="FX249" s="176" t="n"/>
      <c r="FY249" s="176" t="n"/>
      <c r="FZ249" s="176" t="n"/>
      <c r="GA249" s="176" t="n"/>
      <c r="GB249" s="176" t="n"/>
      <c r="GC249" s="176" t="n"/>
      <c r="GD249" s="176" t="n"/>
      <c r="GE249" s="176" t="n"/>
      <c r="GF249" s="176" t="n"/>
      <c r="GG249" s="176" t="n"/>
      <c r="GH249" s="176" t="n"/>
      <c r="GI249" s="176" t="n"/>
      <c r="GJ249" s="176" t="n"/>
      <c r="GK249" s="176" t="n"/>
      <c r="GL249" s="176" t="n"/>
      <c r="GM249" s="176" t="n"/>
      <c r="GN249" s="176" t="n"/>
      <c r="GO249" s="176" t="n"/>
      <c r="GP249" s="176" t="n"/>
      <c r="GQ249" s="176" t="n"/>
      <c r="GR249" s="176" t="n"/>
      <c r="GS249" s="176" t="n"/>
      <c r="GT249" s="176" t="n"/>
      <c r="GU249" s="176" t="n"/>
      <c r="GV249" s="176" t="n"/>
      <c r="GW249" s="176" t="n"/>
      <c r="GX249" s="176" t="n"/>
      <c r="GY249" s="176" t="n"/>
      <c r="GZ249" s="176" t="n"/>
      <c r="HA249" s="176" t="n"/>
      <c r="HB249" s="176" t="n"/>
      <c r="HC249" s="176" t="n"/>
      <c r="HD249" s="176" t="n"/>
      <c r="HE249" s="176" t="n"/>
      <c r="HF249" s="176" t="n"/>
      <c r="HG249" s="176" t="n"/>
      <c r="HH249" s="176" t="n"/>
      <c r="HI249" s="176" t="n"/>
      <c r="HJ249" s="176" t="n"/>
      <c r="HK249" s="176" t="n"/>
      <c r="HL249" s="176" t="n"/>
      <c r="HM249" s="176" t="n"/>
      <c r="HN249" s="176" t="n"/>
      <c r="HO249" s="176" t="n"/>
      <c r="HP249" s="189" t="n"/>
      <c r="HQ249" s="190" t="n"/>
      <c r="HR249" s="190" t="n"/>
      <c r="HS249" s="190" t="n"/>
      <c r="HT249" s="190" t="n"/>
      <c r="HU249" s="191" t="n"/>
      <c r="HV249" s="176" t="n"/>
      <c r="HW249" s="176" t="n"/>
      <c r="HX249" s="189" t="n"/>
      <c r="HY249" s="190" t="n"/>
      <c r="HZ249" s="190" t="n"/>
      <c r="IA249" s="190" t="n"/>
      <c r="IB249" s="190" t="n"/>
      <c r="IC249" s="191" t="n"/>
      <c r="ID249" s="176" t="n"/>
    </row>
    <row r="250" ht="18.75" customHeight="1">
      <c r="A250" s="176" t="n"/>
      <c r="B250" s="176" t="n"/>
      <c r="C250" s="176" t="n"/>
      <c r="D250" s="176" t="n"/>
      <c r="E250" s="176" t="n"/>
      <c r="F250" s="176" t="n"/>
      <c r="G250" s="176" t="n"/>
      <c r="H250" s="176" t="n"/>
      <c r="I250" s="176" t="n"/>
      <c r="J250" s="176" t="n"/>
      <c r="K250" s="176" t="n"/>
      <c r="L250" s="176" t="n"/>
      <c r="M250" s="176" t="n"/>
      <c r="N250" s="176" t="n"/>
      <c r="O250" s="176" t="n"/>
      <c r="P250" s="176" t="n"/>
      <c r="Q250" s="176" t="n"/>
      <c r="R250" s="176" t="n"/>
      <c r="S250" s="176" t="n"/>
      <c r="T250" s="181">
        <f>SWITCH('CONFIGURAÇÃO'!$T$246,"Origem","PERÍCIA 2","Marcante","","Menor","EXIGE MARCANTE","Arma","MÃO","Escudo","","Uniforme","","Item comum","","Ferramenta amaldiçoada","GRAU","")</f>
        <v/>
      </c>
      <c r="U250" s="183" t="n"/>
      <c r="V250" s="185" t="n"/>
      <c r="W250" s="182" t="n"/>
      <c r="X250" s="182" t="n"/>
      <c r="Y250" s="183" t="n"/>
      <c r="Z250" s="176" t="n"/>
      <c r="AA250" s="176" t="n"/>
      <c r="AB250" s="181">
        <f>SWITCH('CONFIGURAÇÃO'!$AB$246,"Origem","PERÍCIA 2","Marcante","","Menor","EXIGE MARCANTE","Arma","MÃO","Escudo","","Uniforme","","Item comum","","Ferramenta amaldiçoada","GRAU","")</f>
        <v/>
      </c>
      <c r="AC250" s="183" t="n"/>
      <c r="AD250" s="185" t="n"/>
      <c r="AE250" s="182" t="n"/>
      <c r="AF250" s="182" t="n"/>
      <c r="AG250" s="183" t="n"/>
      <c r="AH250" s="176" t="n"/>
      <c r="AI250" s="176" t="n"/>
      <c r="AJ250" s="176" t="n"/>
      <c r="AK250" s="176" t="n"/>
      <c r="AL250" s="176" t="n"/>
      <c r="AM250" s="176" t="n"/>
      <c r="AN250" s="176" t="n"/>
      <c r="AO250" s="176" t="n"/>
      <c r="AP250" s="176" t="n"/>
      <c r="AQ250" s="176" t="n"/>
      <c r="AR250" s="176" t="n"/>
      <c r="AS250" s="176" t="n"/>
      <c r="AT250" s="176" t="n"/>
      <c r="AU250" s="176" t="n"/>
      <c r="AV250" s="176" t="n"/>
      <c r="AW250" s="176" t="n"/>
      <c r="AX250" s="176" t="n"/>
      <c r="AY250" s="176" t="n"/>
      <c r="AZ250" s="176" t="n"/>
      <c r="BA250" s="176" t="n"/>
      <c r="BB250" s="176" t="n"/>
      <c r="BC250" s="176" t="n"/>
      <c r="BD250" s="176" t="n"/>
      <c r="BE250" s="176" t="n"/>
      <c r="BF250" s="176" t="n"/>
      <c r="BG250" s="176" t="n"/>
      <c r="BH250" s="176" t="n"/>
      <c r="BI250" s="176" t="n"/>
      <c r="BJ250" s="176" t="n"/>
      <c r="BK250" s="176" t="n"/>
      <c r="BL250" s="176" t="n"/>
      <c r="BM250" s="176" t="n"/>
      <c r="BN250" s="176" t="n"/>
      <c r="BO250" s="176" t="n"/>
      <c r="BP250" s="176" t="n"/>
      <c r="BQ250" s="176" t="n"/>
      <c r="BR250" s="176" t="n"/>
      <c r="BS250" s="176" t="n"/>
      <c r="BT250" s="176" t="n"/>
      <c r="BU250" s="176" t="n"/>
      <c r="BV250" s="176" t="n"/>
      <c r="BW250" s="176" t="n"/>
      <c r="BX250" s="176" t="n"/>
      <c r="BY250" s="176" t="n"/>
      <c r="BZ250" s="176" t="n"/>
      <c r="CA250" s="176" t="n"/>
      <c r="CB250" s="176" t="n"/>
      <c r="CC250" s="176" t="n"/>
      <c r="CD250" s="176" t="n"/>
      <c r="CE250" s="176" t="n"/>
      <c r="CF250" s="176" t="n"/>
      <c r="CG250" s="176" t="n"/>
      <c r="CH250" s="176" t="n"/>
      <c r="CI250" s="176" t="n"/>
      <c r="CJ250" s="176" t="n"/>
      <c r="CK250" s="176" t="n"/>
      <c r="CL250" s="176" t="n"/>
      <c r="CM250" s="176" t="n"/>
      <c r="CN250" s="176" t="n"/>
      <c r="CO250" s="176" t="n"/>
      <c r="CP250" s="176" t="n"/>
      <c r="CQ250" s="176" t="n"/>
      <c r="CR250" s="176" t="n"/>
      <c r="CS250" s="176" t="n"/>
      <c r="CT250" s="176" t="n"/>
      <c r="CU250" s="176" t="n"/>
      <c r="CV250" s="176" t="n"/>
      <c r="CW250" s="176" t="n"/>
      <c r="CX250" s="176" t="n"/>
      <c r="CY250" s="176" t="n"/>
      <c r="CZ250" s="176" t="n"/>
      <c r="DA250" s="181" t="inlineStr">
        <is>
          <t>BASE DO LIVRO</t>
        </is>
      </c>
      <c r="DB250" s="182" t="n"/>
      <c r="DC250" s="183" t="n"/>
      <c r="DD250" s="185" t="inlineStr">
        <is>
          <t>Nenhuma</t>
        </is>
      </c>
      <c r="DE250" s="182" t="n"/>
      <c r="DF250" s="183" t="n"/>
      <c r="DG250" s="176" t="n"/>
      <c r="DH250" s="176" t="n"/>
      <c r="DI250" s="181" t="inlineStr">
        <is>
          <t>BASE DO LIVRO</t>
        </is>
      </c>
      <c r="DJ250" s="182" t="n"/>
      <c r="DK250" s="183" t="n"/>
      <c r="DL250" s="185" t="inlineStr">
        <is>
          <t>Nenhuma</t>
        </is>
      </c>
      <c r="DM250" s="182" t="n"/>
      <c r="DN250" s="183" t="n"/>
      <c r="DO250" s="176" t="n"/>
      <c r="DP250" s="176" t="n"/>
      <c r="DQ250" s="176" t="n"/>
      <c r="DX250" s="176" t="n"/>
      <c r="DY250" s="176" t="n"/>
      <c r="EF250" s="176" t="n"/>
      <c r="EG250" s="176" t="n"/>
      <c r="EH250" s="176" t="n"/>
      <c r="EI250" s="176" t="n"/>
      <c r="EJ250" s="176" t="n"/>
      <c r="EK250" s="176" t="n"/>
      <c r="EL250" s="176" t="n"/>
      <c r="EM250" s="176" t="n"/>
      <c r="EN250" s="176" t="n"/>
      <c r="EO250" s="176" t="n"/>
      <c r="EP250" s="176" t="n"/>
      <c r="EQ250" s="176" t="n"/>
      <c r="ER250" s="176" t="n"/>
      <c r="ES250" s="176" t="n"/>
      <c r="ET250" s="176" t="n"/>
      <c r="EU250" s="176" t="n"/>
      <c r="EV250" s="176" t="n"/>
      <c r="EW250" s="176" t="n"/>
      <c r="EX250" s="176" t="n"/>
      <c r="EY250" s="176" t="n"/>
      <c r="EZ250" s="176" t="n"/>
      <c r="FA250" s="176" t="n"/>
      <c r="FB250" s="176" t="n"/>
      <c r="FC250" s="176" t="n"/>
      <c r="FD250" s="176" t="n"/>
      <c r="FE250" s="176" t="n"/>
      <c r="FF250" s="176" t="n"/>
      <c r="FG250" s="176" t="n"/>
      <c r="FH250" s="176" t="n"/>
      <c r="FI250" s="176" t="n"/>
      <c r="FJ250" s="176" t="n"/>
      <c r="FK250" s="176" t="n"/>
      <c r="FL250" s="176" t="n"/>
      <c r="FM250" s="176" t="n"/>
      <c r="FN250" s="176" t="n"/>
      <c r="FO250" s="176" t="n"/>
      <c r="FP250" s="176" t="n"/>
      <c r="FQ250" s="176" t="n"/>
      <c r="FR250" s="176" t="n"/>
      <c r="FS250" s="176" t="n"/>
      <c r="FT250" s="176" t="n"/>
      <c r="FU250" s="176" t="n"/>
      <c r="FV250" s="176" t="n"/>
      <c r="FW250" s="176" t="n"/>
      <c r="FX250" s="176" t="n"/>
      <c r="FY250" s="176" t="n"/>
      <c r="FZ250" s="176" t="n"/>
      <c r="GA250" s="176" t="n"/>
      <c r="GB250" s="176" t="n"/>
      <c r="GC250" s="176" t="n"/>
      <c r="GD250" s="176" t="n"/>
      <c r="GE250" s="176" t="n"/>
      <c r="GF250" s="176" t="n"/>
      <c r="GG250" s="176" t="n"/>
      <c r="GH250" s="176" t="n"/>
      <c r="GI250" s="176" t="n"/>
      <c r="GJ250" s="176" t="n"/>
      <c r="GK250" s="176" t="n"/>
      <c r="GL250" s="176" t="n"/>
      <c r="GM250" s="176" t="n"/>
      <c r="GN250" s="176" t="n"/>
      <c r="GO250" s="176" t="n"/>
      <c r="GP250" s="176" t="n"/>
      <c r="GQ250" s="176" t="n"/>
      <c r="GR250" s="176" t="n"/>
      <c r="GS250" s="176" t="n"/>
      <c r="GT250" s="176" t="n"/>
      <c r="GU250" s="176" t="n"/>
      <c r="GV250" s="176" t="n"/>
      <c r="GW250" s="176" t="n"/>
      <c r="GX250" s="176" t="n"/>
      <c r="GY250" s="176" t="n"/>
      <c r="GZ250" s="176" t="n"/>
      <c r="HA250" s="176" t="n"/>
      <c r="HB250" s="176" t="n"/>
      <c r="HC250" s="176" t="n"/>
      <c r="HD250" s="176" t="n"/>
      <c r="HE250" s="176" t="n"/>
      <c r="HF250" s="176" t="n"/>
      <c r="HG250" s="176" t="n"/>
      <c r="HH250" s="176" t="n"/>
      <c r="HI250" s="176" t="n"/>
      <c r="HJ250" s="176" t="n"/>
      <c r="HK250" s="176" t="n"/>
      <c r="HL250" s="176" t="n"/>
      <c r="HM250" s="176" t="n"/>
      <c r="HN250" s="176" t="n"/>
      <c r="HO250" s="176" t="n"/>
      <c r="HP250" s="176" t="n"/>
      <c r="HQ250" s="176" t="n"/>
      <c r="HR250" s="176" t="n"/>
      <c r="HS250" s="176" t="n"/>
      <c r="HT250" s="176" t="n"/>
      <c r="HU250" s="176" t="n"/>
      <c r="HV250" s="176" t="n"/>
      <c r="HW250" s="176" t="n"/>
      <c r="HX250" s="176" t="n"/>
      <c r="HY250" s="176" t="n"/>
      <c r="HZ250" s="176" t="n"/>
      <c r="IA250" s="176" t="n"/>
      <c r="IB250" s="176" t="n"/>
      <c r="IC250" s="176" t="n"/>
      <c r="ID250" s="176" t="n"/>
    </row>
    <row r="251" ht="18.75" customHeight="1">
      <c r="A251" s="176" t="n"/>
      <c r="B251" s="176" t="n"/>
      <c r="C251" s="176" t="n"/>
      <c r="D251" s="176" t="n"/>
      <c r="E251" s="176" t="n"/>
      <c r="F251" s="176" t="n"/>
      <c r="G251" s="176" t="n"/>
      <c r="H251" s="176" t="n"/>
      <c r="I251" s="176" t="n"/>
      <c r="J251" s="176" t="n"/>
      <c r="K251" s="176" t="n"/>
      <c r="L251" s="176" t="n"/>
      <c r="M251" s="176" t="n"/>
      <c r="N251" s="176" t="n"/>
      <c r="O251" s="176" t="n"/>
      <c r="P251" s="176" t="n"/>
      <c r="Q251" s="176" t="n"/>
      <c r="R251" s="176" t="n"/>
      <c r="S251" s="176" t="n"/>
      <c r="T251" s="181">
        <f>SWITCH('CONFIGURAÇÃO'!$T$246,"Origem","PERÍCIA 3","Marcante","","Menor","","Arma","TIPO DE DANO","Escudo","","Uniforme","","Item comum","","Ferramenta amaldiçoada","","")</f>
        <v/>
      </c>
      <c r="U251" s="183" t="n"/>
      <c r="V251" s="185" t="n"/>
      <c r="W251" s="182" t="n"/>
      <c r="X251" s="182" t="n"/>
      <c r="Y251" s="183" t="n"/>
      <c r="Z251" s="176" t="n"/>
      <c r="AA251" s="176" t="n"/>
      <c r="AB251" s="181">
        <f>SWITCH('CONFIGURAÇÃO'!$AB$246,"Origem","PERÍCIA 3","Marcante","","Menor","","Arma","TIPO DE DANO","Escudo","","Uniforme","","Item comum","","Ferramenta amaldiçoada","","")</f>
        <v/>
      </c>
      <c r="AC251" s="183" t="n"/>
      <c r="AD251" s="185" t="n"/>
      <c r="AE251" s="182" t="n"/>
      <c r="AF251" s="182" t="n"/>
      <c r="AG251" s="183" t="n"/>
      <c r="AH251" s="176" t="n"/>
      <c r="AI251" s="176" t="n"/>
      <c r="AJ251" s="176" t="n"/>
      <c r="AK251" s="176" t="n"/>
      <c r="AL251" s="176" t="n"/>
      <c r="AM251" s="176" t="n"/>
      <c r="AN251" s="176" t="n"/>
      <c r="AO251" s="176" t="n"/>
      <c r="AP251" s="176" t="n"/>
      <c r="AQ251" s="176" t="n"/>
      <c r="AR251" s="176" t="n"/>
      <c r="AS251" s="176" t="n"/>
      <c r="AT251" s="176" t="n"/>
      <c r="AU251" s="176" t="n"/>
      <c r="AV251" s="176" t="n"/>
      <c r="AW251" s="176" t="n"/>
      <c r="AX251" s="176" t="n"/>
      <c r="AY251" s="176" t="n"/>
      <c r="AZ251" s="176" t="n"/>
      <c r="BA251" s="176" t="n"/>
      <c r="BB251" s="176" t="n"/>
      <c r="BC251" s="176" t="n"/>
      <c r="BD251" s="176" t="n"/>
      <c r="BE251" s="176" t="n"/>
      <c r="BF251" s="176" t="n"/>
      <c r="BG251" s="176" t="n"/>
      <c r="BH251" s="176" t="n"/>
      <c r="BI251" s="176" t="n"/>
      <c r="BJ251" s="176" t="n"/>
      <c r="BK251" s="176" t="n"/>
      <c r="BL251" s="176" t="n"/>
      <c r="BM251" s="176" t="n"/>
      <c r="BN251" s="176" t="n"/>
      <c r="BO251" s="176" t="n"/>
      <c r="BP251" s="176" t="n"/>
      <c r="BQ251" s="176" t="n"/>
      <c r="BR251" s="176" t="n"/>
      <c r="BS251" s="176" t="n"/>
      <c r="BT251" s="176" t="n"/>
      <c r="BU251" s="176" t="n"/>
      <c r="BV251" s="176" t="n"/>
      <c r="BW251" s="176" t="n"/>
      <c r="BX251" s="176" t="n"/>
      <c r="BY251" s="176" t="n"/>
      <c r="BZ251" s="176" t="n"/>
      <c r="CA251" s="176" t="n"/>
      <c r="CB251" s="176" t="n"/>
      <c r="CC251" s="176" t="n"/>
      <c r="CD251" s="176" t="n"/>
      <c r="CE251" s="176" t="n"/>
      <c r="CF251" s="176" t="n"/>
      <c r="CG251" s="176" t="n"/>
      <c r="CH251" s="176" t="n"/>
      <c r="CI251" s="176" t="n"/>
      <c r="CJ251" s="176" t="n"/>
      <c r="CK251" s="176" t="n"/>
      <c r="CL251" s="176" t="n"/>
      <c r="CM251" s="176" t="n"/>
      <c r="CN251" s="176" t="n"/>
      <c r="CO251" s="176" t="n"/>
      <c r="CP251" s="176" t="n"/>
      <c r="CQ251" s="176" t="n"/>
      <c r="CR251" s="176" t="n"/>
      <c r="CS251" s="176" t="n"/>
      <c r="CT251" s="176" t="n"/>
      <c r="CU251" s="176" t="n"/>
      <c r="CV251" s="176" t="n"/>
      <c r="CW251" s="176" t="n"/>
      <c r="CX251" s="176" t="n"/>
      <c r="CY251" s="176" t="n"/>
      <c r="CZ251" s="176" t="n"/>
      <c r="DA251" s="181" t="inlineStr">
        <is>
          <t>FAMÍLIA</t>
        </is>
      </c>
      <c r="DB251" s="182" t="n"/>
      <c r="DC251" s="183" t="n"/>
      <c r="DD251" s="185" t="n"/>
      <c r="DE251" s="182" t="n"/>
      <c r="DF251" s="183" t="n"/>
      <c r="DG251" s="176" t="n"/>
      <c r="DH251" s="176" t="n"/>
      <c r="DI251" s="181" t="inlineStr">
        <is>
          <t>FAMÍLIA</t>
        </is>
      </c>
      <c r="DJ251" s="182" t="n"/>
      <c r="DK251" s="183" t="n"/>
      <c r="DL251" s="185" t="n"/>
      <c r="DM251" s="182" t="n"/>
      <c r="DN251" s="183" t="n"/>
      <c r="DO251" s="176" t="n"/>
      <c r="DP251" s="176" t="n"/>
      <c r="DQ251" s="176" t="n"/>
      <c r="DR251" s="176" t="n"/>
      <c r="DS251" s="176" t="n"/>
      <c r="DT251" s="176" t="n"/>
      <c r="DU251" s="176" t="n"/>
      <c r="DV251" s="176" t="n"/>
      <c r="DW251" s="176" t="n"/>
      <c r="DX251" s="176" t="n"/>
      <c r="DY251" s="176" t="n"/>
      <c r="DZ251" s="176" t="n"/>
      <c r="EA251" s="176" t="n"/>
      <c r="EB251" s="176" t="n"/>
      <c r="EC251" s="176" t="n"/>
      <c r="ED251" s="176" t="n"/>
      <c r="EE251" s="176" t="n"/>
      <c r="EF251" s="176" t="n"/>
      <c r="EG251" s="176" t="n"/>
      <c r="EH251" s="176" t="n"/>
      <c r="EI251" s="176" t="n"/>
      <c r="EJ251" s="176" t="n"/>
      <c r="EK251" s="176" t="n"/>
      <c r="EL251" s="176" t="n"/>
      <c r="EM251" s="176" t="n"/>
      <c r="EN251" s="176" t="n"/>
      <c r="EO251" s="176" t="n"/>
      <c r="EP251" s="176" t="n"/>
      <c r="EQ251" s="176" t="n"/>
      <c r="ER251" s="176" t="n"/>
      <c r="ES251" s="176" t="n"/>
      <c r="ET251" s="176" t="n"/>
      <c r="EU251" s="176" t="n"/>
      <c r="EV251" s="176" t="n"/>
      <c r="EW251" s="176" t="n"/>
      <c r="EX251" s="176" t="n"/>
      <c r="EY251" s="176" t="n"/>
      <c r="EZ251" s="176" t="n"/>
      <c r="FA251" s="176" t="n"/>
      <c r="FB251" s="176" t="n"/>
      <c r="FC251" s="176" t="n"/>
      <c r="FD251" s="176" t="n"/>
      <c r="FE251" s="176" t="n"/>
      <c r="FF251" s="176" t="n"/>
      <c r="FG251" s="176" t="n"/>
      <c r="FH251" s="176" t="n"/>
      <c r="FI251" s="176" t="n"/>
      <c r="FJ251" s="176" t="n"/>
      <c r="FK251" s="176" t="n"/>
      <c r="FL251" s="176" t="n"/>
      <c r="FM251" s="176" t="n"/>
      <c r="FN251" s="176" t="n"/>
      <c r="FO251" s="176" t="n"/>
      <c r="FP251" s="176" t="n"/>
      <c r="FQ251" s="176" t="n"/>
      <c r="FR251" s="176" t="n"/>
      <c r="FS251" s="176" t="n"/>
      <c r="FT251" s="176" t="n"/>
      <c r="FU251" s="176" t="n"/>
      <c r="FV251" s="176" t="n"/>
      <c r="FW251" s="176" t="n"/>
      <c r="FX251" s="176" t="n"/>
      <c r="FY251" s="176" t="n"/>
      <c r="FZ251" s="176" t="n"/>
      <c r="GA251" s="176" t="n"/>
      <c r="GB251" s="176" t="n"/>
      <c r="GC251" s="176" t="n"/>
      <c r="GD251" s="176" t="n"/>
      <c r="GE251" s="176" t="n"/>
      <c r="GF251" s="176" t="n"/>
      <c r="GG251" s="176" t="n"/>
      <c r="GH251" s="176" t="n"/>
      <c r="GI251" s="176" t="n"/>
      <c r="GJ251" s="176" t="n"/>
      <c r="GK251" s="176" t="n"/>
      <c r="GL251" s="176" t="n"/>
      <c r="GM251" s="176" t="n"/>
      <c r="GN251" s="176" t="n"/>
      <c r="GO251" s="176" t="n"/>
      <c r="GP251" s="176" t="n"/>
      <c r="GQ251" s="176" t="n"/>
      <c r="GR251" s="176" t="n"/>
      <c r="GS251" s="176" t="n"/>
      <c r="GT251" s="176" t="n"/>
      <c r="GU251" s="176" t="n"/>
      <c r="GV251" s="176" t="n"/>
      <c r="GW251" s="176" t="n"/>
      <c r="GX251" s="176" t="n"/>
      <c r="GY251" s="176" t="n"/>
      <c r="GZ251" s="176" t="n"/>
      <c r="HA251" s="176" t="n"/>
      <c r="HB251" s="176" t="n"/>
      <c r="HC251" s="176" t="n"/>
      <c r="HD251" s="176" t="n"/>
      <c r="HE251" s="176" t="n"/>
      <c r="HF251" s="176" t="n"/>
      <c r="HG251" s="176" t="n"/>
      <c r="HH251" s="176" t="n"/>
      <c r="HI251" s="176" t="n"/>
      <c r="HJ251" s="176" t="n"/>
      <c r="HK251" s="176" t="n"/>
      <c r="HL251" s="176" t="n"/>
      <c r="HM251" s="176" t="n"/>
      <c r="HN251" s="176" t="n"/>
      <c r="HO251" s="176" t="n"/>
      <c r="HP251" s="181" t="inlineStr">
        <is>
          <t>EFEITO</t>
        </is>
      </c>
      <c r="HQ251" s="182" t="n"/>
      <c r="HR251" s="182" t="n"/>
      <c r="HS251" s="182" t="n"/>
      <c r="HT251" s="182" t="n"/>
      <c r="HU251" s="183" t="n"/>
      <c r="HV251" s="176" t="n"/>
      <c r="HW251" s="176" t="n"/>
      <c r="HX251" s="181" t="inlineStr">
        <is>
          <t>EFEITO</t>
        </is>
      </c>
      <c r="HY251" s="182" t="n"/>
      <c r="HZ251" s="182" t="n"/>
      <c r="IA251" s="182" t="n"/>
      <c r="IB251" s="182" t="n"/>
      <c r="IC251" s="183" t="n"/>
      <c r="ID251" s="176" t="n"/>
    </row>
    <row r="252" ht="18.75" customHeight="1">
      <c r="A252" s="176" t="n"/>
      <c r="B252" s="176" t="n"/>
      <c r="C252" s="176" t="n"/>
      <c r="D252" s="176" t="n"/>
      <c r="E252" s="176" t="n"/>
      <c r="F252" s="176" t="n"/>
      <c r="G252" s="176" t="n"/>
      <c r="H252" s="176" t="n"/>
      <c r="I252" s="176" t="n"/>
      <c r="J252" s="176" t="n"/>
      <c r="K252" s="176" t="n"/>
      <c r="L252" s="176" t="n"/>
      <c r="M252" s="176" t="n"/>
      <c r="N252" s="176" t="n"/>
      <c r="O252" s="176" t="n"/>
      <c r="P252" s="176" t="n"/>
      <c r="Q252" s="176" t="n"/>
      <c r="R252" s="176" t="n"/>
      <c r="S252" s="176" t="n"/>
      <c r="T252" s="181">
        <f>SWITCH('CONFIGURAÇÃO'!$T$246,"Origem","PERÍCIA 4","Marcante","","Menor","","Arma","PROPRIEDADE 1","Escudo","","Uniforme","","Item comum","","Ferramenta amaldiçoada","","")</f>
        <v/>
      </c>
      <c r="U252" s="183" t="n"/>
      <c r="V252" s="185" t="n"/>
      <c r="W252" s="182" t="n"/>
      <c r="X252" s="182" t="n"/>
      <c r="Y252" s="183" t="n"/>
      <c r="Z252" s="176" t="n"/>
      <c r="AA252" s="176" t="n"/>
      <c r="AB252" s="181">
        <f>SWITCH('CONFIGURAÇÃO'!$AB$246,"Origem","PERÍCIA 4","Marcante","","Menor","","Arma","PROPRIEDADE 1","Escudo","","Uniforme","","Item comum","","Ferramenta amaldiçoada","","")</f>
        <v/>
      </c>
      <c r="AC252" s="183" t="n"/>
      <c r="AD252" s="185" t="n"/>
      <c r="AE252" s="182" t="n"/>
      <c r="AF252" s="182" t="n"/>
      <c r="AG252" s="183" t="n"/>
      <c r="AH252" s="176" t="n"/>
      <c r="AI252" s="176" t="n"/>
      <c r="AJ252" s="176" t="n"/>
      <c r="AK252" s="176" t="n"/>
      <c r="AL252" s="176" t="n"/>
      <c r="AM252" s="176" t="n"/>
      <c r="AN252" s="176" t="n"/>
      <c r="AO252" s="176" t="n"/>
      <c r="AP252" s="176" t="n"/>
      <c r="AQ252" s="176" t="n"/>
      <c r="AR252" s="176" t="n"/>
      <c r="AS252" s="176" t="n"/>
      <c r="AT252" s="176" t="n"/>
      <c r="AU252" s="176" t="n"/>
      <c r="AV252" s="176" t="n"/>
      <c r="AW252" s="176" t="n"/>
      <c r="AX252" s="176" t="n"/>
      <c r="AY252" s="176" t="n"/>
      <c r="AZ252" s="176" t="n"/>
      <c r="BA252" s="176" t="n"/>
      <c r="BB252" s="176" t="n"/>
      <c r="BC252" s="176" t="n"/>
      <c r="BD252" s="176" t="n"/>
      <c r="BE252" s="176" t="n"/>
      <c r="BF252" s="176" t="n"/>
      <c r="BG252" s="176" t="n"/>
      <c r="BH252" s="176" t="n"/>
      <c r="BI252" s="176" t="n"/>
      <c r="BJ252" s="176" t="n"/>
      <c r="BK252" s="176" t="n"/>
      <c r="BL252" s="176" t="n"/>
      <c r="BM252" s="176" t="n"/>
      <c r="BN252" s="176" t="n"/>
      <c r="BO252" s="176" t="n"/>
      <c r="BP252" s="176" t="n"/>
      <c r="BQ252" s="176" t="n"/>
      <c r="BR252" s="176" t="n"/>
      <c r="BS252" s="176" t="n"/>
      <c r="BT252" s="176" t="n"/>
      <c r="BU252" s="176" t="n"/>
      <c r="BV252" s="176" t="n"/>
      <c r="BW252" s="176" t="n"/>
      <c r="BX252" s="176" t="n"/>
      <c r="BY252" s="176" t="n"/>
      <c r="BZ252" s="176" t="n"/>
      <c r="CA252" s="176" t="n"/>
      <c r="CB252" s="176" t="n"/>
      <c r="CC252" s="176" t="n"/>
      <c r="CD252" s="176" t="n"/>
      <c r="CE252" s="176" t="n"/>
      <c r="CF252" s="176" t="n"/>
      <c r="CG252" s="176" t="n"/>
      <c r="CH252" s="176" t="n"/>
      <c r="CI252" s="176" t="n"/>
      <c r="CJ252" s="176" t="n"/>
      <c r="CK252" s="176" t="n"/>
      <c r="CL252" s="176" t="n"/>
      <c r="CM252" s="176" t="n"/>
      <c r="CN252" s="176" t="n"/>
      <c r="CO252" s="176" t="n"/>
      <c r="CP252" s="176" t="n"/>
      <c r="CQ252" s="176" t="n"/>
      <c r="CR252" s="176" t="n"/>
      <c r="CS252" s="176" t="n"/>
      <c r="CT252" s="176" t="n"/>
      <c r="CU252" s="176" t="n"/>
      <c r="CV252" s="176" t="n"/>
      <c r="CW252" s="176" t="n"/>
      <c r="CX252" s="176" t="n"/>
      <c r="CY252" s="176" t="n"/>
      <c r="CZ252" s="176" t="n"/>
      <c r="DA252" s="181" t="inlineStr">
        <is>
          <t>PESO</t>
        </is>
      </c>
      <c r="DB252" s="182" t="n"/>
      <c r="DC252" s="183" t="n"/>
      <c r="DD252" s="185" t="n"/>
      <c r="DE252" s="182" t="n"/>
      <c r="DF252" s="183" t="n"/>
      <c r="DG252" s="176" t="n"/>
      <c r="DH252" s="176" t="n"/>
      <c r="DI252" s="181" t="inlineStr">
        <is>
          <t>PESO</t>
        </is>
      </c>
      <c r="DJ252" s="182" t="n"/>
      <c r="DK252" s="183" t="n"/>
      <c r="DL252" s="185" t="n"/>
      <c r="DM252" s="182" t="n"/>
      <c r="DN252" s="183" t="n"/>
      <c r="DO252" s="176" t="n"/>
      <c r="DP252" s="176" t="n"/>
      <c r="DQ252" s="176" t="n"/>
      <c r="DR252" s="176" t="n"/>
      <c r="DS252" s="176" t="n"/>
      <c r="DT252" s="176" t="n"/>
      <c r="DU252" s="176" t="n"/>
      <c r="DV252" s="176" t="n"/>
      <c r="DW252" s="176" t="n"/>
      <c r="DX252" s="176" t="n"/>
      <c r="DY252" s="176" t="n"/>
      <c r="DZ252" s="176" t="n"/>
      <c r="EA252" s="176" t="n"/>
      <c r="EB252" s="176" t="n"/>
      <c r="EC252" s="176" t="n"/>
      <c r="ED252" s="176" t="n"/>
      <c r="EE252" s="176" t="n"/>
      <c r="EF252" s="176" t="n"/>
      <c r="EG252" s="176" t="n"/>
      <c r="EH252" s="176" t="n"/>
      <c r="EI252" s="176" t="n"/>
      <c r="EJ252" s="176" t="n"/>
      <c r="EK252" s="176" t="n"/>
      <c r="EL252" s="176" t="n"/>
      <c r="EM252" s="176" t="n"/>
      <c r="EN252" s="176" t="n"/>
      <c r="EO252" s="176" t="n"/>
      <c r="EP252" s="176" t="n"/>
      <c r="EQ252" s="176" t="n"/>
      <c r="ER252" s="176" t="n"/>
      <c r="ES252" s="176" t="n"/>
      <c r="ET252" s="176" t="n"/>
      <c r="EU252" s="176" t="n"/>
      <c r="EV252" s="176" t="n"/>
      <c r="EW252" s="176" t="n"/>
      <c r="EX252" s="176" t="n"/>
      <c r="EY252" s="176" t="n"/>
      <c r="EZ252" s="176" t="n"/>
      <c r="FA252" s="176" t="n"/>
      <c r="FB252" s="176" t="n"/>
      <c r="FC252" s="176" t="n"/>
      <c r="FD252" s="176" t="n"/>
      <c r="FE252" s="176" t="n"/>
      <c r="FF252" s="176" t="n"/>
      <c r="FG252" s="176" t="n"/>
      <c r="FH252" s="176" t="n"/>
      <c r="FI252" s="176" t="n"/>
      <c r="FJ252" s="176" t="n"/>
      <c r="FK252" s="176" t="n"/>
      <c r="FL252" s="176" t="n"/>
      <c r="FM252" s="176" t="n"/>
      <c r="FN252" s="176" t="n"/>
      <c r="FO252" s="176" t="n"/>
      <c r="FP252" s="176" t="n"/>
      <c r="FQ252" s="176" t="n"/>
      <c r="FR252" s="176" t="n"/>
      <c r="FS252" s="176" t="n"/>
      <c r="FT252" s="176" t="n"/>
      <c r="FU252" s="176" t="n"/>
      <c r="FV252" s="176" t="n"/>
      <c r="FW252" s="176" t="n"/>
      <c r="FX252" s="176" t="n"/>
      <c r="FY252" s="176" t="n"/>
      <c r="FZ252" s="176" t="n"/>
      <c r="GA252" s="176" t="n"/>
      <c r="GB252" s="176" t="n"/>
      <c r="GC252" s="176" t="n"/>
      <c r="GD252" s="176" t="n"/>
      <c r="GE252" s="176" t="n"/>
      <c r="GF252" s="176" t="n"/>
      <c r="GG252" s="176" t="n"/>
      <c r="GH252" s="176" t="n"/>
      <c r="GI252" s="176" t="n"/>
      <c r="GJ252" s="176" t="n"/>
      <c r="GK252" s="176" t="n"/>
      <c r="GL252" s="176" t="n"/>
      <c r="GM252" s="176" t="n"/>
      <c r="GN252" s="176" t="n"/>
      <c r="GO252" s="176" t="n"/>
      <c r="GP252" s="176" t="n"/>
      <c r="GQ252" s="176" t="n"/>
      <c r="GR252" s="176" t="n"/>
      <c r="GS252" s="176" t="n"/>
      <c r="GT252" s="176" t="n"/>
      <c r="GU252" s="176" t="n"/>
      <c r="GV252" s="176" t="n"/>
      <c r="GW252" s="176" t="n"/>
      <c r="GX252" s="176" t="n"/>
      <c r="GY252" s="176" t="n"/>
      <c r="GZ252" s="176" t="n"/>
      <c r="HA252" s="176" t="n"/>
      <c r="HB252" s="176" t="n"/>
      <c r="HC252" s="176" t="n"/>
      <c r="HD252" s="176" t="n"/>
      <c r="HE252" s="176" t="n"/>
      <c r="HF252" s="176" t="n"/>
      <c r="HG252" s="176" t="n"/>
      <c r="HH252" s="176" t="n"/>
      <c r="HI252" s="176" t="n"/>
      <c r="HJ252" s="176" t="n"/>
      <c r="HK252" s="176" t="n"/>
      <c r="HL252" s="176" t="n"/>
      <c r="HM252" s="176" t="n"/>
      <c r="HN252" s="176" t="n"/>
      <c r="HO252" s="176" t="n"/>
      <c r="HP252" s="192" t="n"/>
      <c r="HQ252" s="187" t="n"/>
      <c r="HR252" s="187" t="n"/>
      <c r="HS252" s="187" t="n"/>
      <c r="HT252" s="187" t="n"/>
      <c r="HU252" s="188" t="n"/>
      <c r="HV252" s="176" t="n"/>
      <c r="HW252" s="176" t="n"/>
      <c r="HX252" s="192" t="n"/>
      <c r="HY252" s="187" t="n"/>
      <c r="HZ252" s="187" t="n"/>
      <c r="IA252" s="187" t="n"/>
      <c r="IB252" s="187" t="n"/>
      <c r="IC252" s="188" t="n"/>
      <c r="ID252" s="176" t="n"/>
    </row>
    <row r="253" ht="18.75" customHeight="1">
      <c r="A253" s="176" t="n"/>
      <c r="B253" s="176" t="n"/>
      <c r="C253" s="176" t="n"/>
      <c r="D253" s="176" t="n"/>
      <c r="E253" s="176" t="n"/>
      <c r="F253" s="176" t="n"/>
      <c r="G253" s="176" t="n"/>
      <c r="H253" s="176" t="n"/>
      <c r="I253" s="176" t="n"/>
      <c r="J253" s="176" t="n"/>
      <c r="K253" s="176" t="n"/>
      <c r="L253" s="176" t="n"/>
      <c r="M253" s="176" t="n"/>
      <c r="N253" s="176" t="n"/>
      <c r="O253" s="176" t="n"/>
      <c r="P253" s="176" t="n"/>
      <c r="Q253" s="176" t="n"/>
      <c r="R253" s="176" t="n"/>
      <c r="S253" s="176" t="n"/>
      <c r="T253" s="181">
        <f>SWITCH('CONFIGURAÇÃO'!$T$246,"Origem","ROTA","Marcante","","Menor","","Arma","PROPRIEDADE 2","Escudo","","Uniforme","","Item comum","","Ferramenta amaldiçoada","","")</f>
        <v/>
      </c>
      <c r="U253" s="183" t="n"/>
      <c r="V253" s="185" t="n"/>
      <c r="W253" s="182" t="n"/>
      <c r="X253" s="182" t="n"/>
      <c r="Y253" s="183" t="n"/>
      <c r="Z253" s="176" t="n"/>
      <c r="AA253" s="176" t="n"/>
      <c r="AB253" s="181">
        <f>SWITCH('CONFIGURAÇÃO'!$AB$246,"Origem","ROTA","Marcante","","Menor","","Arma","PROPRIEDADE 2","Escudo","","Uniforme","","Item comum","","Ferramenta amaldiçoada","","")</f>
        <v/>
      </c>
      <c r="AC253" s="183" t="n"/>
      <c r="AD253" s="185" t="n"/>
      <c r="AE253" s="182" t="n"/>
      <c r="AF253" s="182" t="n"/>
      <c r="AG253" s="183" t="n"/>
      <c r="AH253" s="176" t="n"/>
      <c r="AI253" s="176" t="n"/>
      <c r="AJ253" s="176" t="n"/>
      <c r="AK253" s="176" t="n"/>
      <c r="AL253" s="176" t="n"/>
      <c r="AM253" s="176" t="n"/>
      <c r="AN253" s="176" t="n"/>
      <c r="AO253" s="176" t="n"/>
      <c r="AP253" s="176" t="n"/>
      <c r="AQ253" s="176" t="n"/>
      <c r="AR253" s="176" t="n"/>
      <c r="AS253" s="176" t="n"/>
      <c r="AT253" s="176" t="n"/>
      <c r="AU253" s="176" t="n"/>
      <c r="AV253" s="176" t="n"/>
      <c r="AW253" s="176" t="n"/>
      <c r="AX253" s="176" t="n"/>
      <c r="AY253" s="176" t="n"/>
      <c r="AZ253" s="176" t="n"/>
      <c r="BA253" s="176" t="n"/>
      <c r="BB253" s="176" t="n"/>
      <c r="BC253" s="176" t="n"/>
      <c r="BD253" s="176" t="n"/>
      <c r="BE253" s="176" t="n"/>
      <c r="BF253" s="176" t="n"/>
      <c r="BG253" s="176" t="n"/>
      <c r="BH253" s="176" t="n"/>
      <c r="BI253" s="176" t="n"/>
      <c r="BJ253" s="176" t="n"/>
      <c r="BK253" s="176" t="n"/>
      <c r="BL253" s="176" t="n"/>
      <c r="BM253" s="176" t="n"/>
      <c r="BN253" s="176" t="n"/>
      <c r="BO253" s="176" t="n"/>
      <c r="BP253" s="176" t="n"/>
      <c r="BQ253" s="176" t="n"/>
      <c r="BR253" s="176" t="n"/>
      <c r="BS253" s="176" t="n"/>
      <c r="BT253" s="176" t="n"/>
      <c r="BU253" s="176" t="n"/>
      <c r="BV253" s="176" t="n"/>
      <c r="BW253" s="176" t="n"/>
      <c r="BX253" s="176" t="n"/>
      <c r="BY253" s="176" t="n"/>
      <c r="BZ253" s="176" t="n"/>
      <c r="CA253" s="176" t="n"/>
      <c r="CB253" s="176" t="n"/>
      <c r="CC253" s="176" t="n"/>
      <c r="CD253" s="176" t="n"/>
      <c r="CE253" s="176" t="n"/>
      <c r="CF253" s="176" t="n"/>
      <c r="CG253" s="176" t="n"/>
      <c r="CH253" s="176" t="n"/>
      <c r="CI253" s="176" t="n"/>
      <c r="CJ253" s="176" t="n"/>
      <c r="CK253" s="176" t="n"/>
      <c r="CL253" s="176" t="n"/>
      <c r="CM253" s="176" t="n"/>
      <c r="CN253" s="176" t="n"/>
      <c r="CO253" s="176" t="n"/>
      <c r="CP253" s="176" t="n"/>
      <c r="CQ253" s="176" t="n"/>
      <c r="CR253" s="176" t="n"/>
      <c r="CS253" s="176" t="n"/>
      <c r="CT253" s="176" t="n"/>
      <c r="CU253" s="176" t="n"/>
      <c r="CV253" s="176" t="n"/>
      <c r="CW253" s="176" t="n"/>
      <c r="CX253" s="176" t="n"/>
      <c r="CY253" s="176" t="n"/>
      <c r="CZ253" s="176" t="n"/>
      <c r="DA253" s="181" t="inlineStr">
        <is>
          <t>EXIGE TR</t>
        </is>
      </c>
      <c r="DB253" s="182" t="n"/>
      <c r="DC253" s="183" t="n"/>
      <c r="DD253" s="185" t="n"/>
      <c r="DE253" s="182" t="n"/>
      <c r="DF253" s="183" t="n"/>
      <c r="DG253" s="176" t="n"/>
      <c r="DH253" s="176" t="n"/>
      <c r="DI253" s="181" t="inlineStr">
        <is>
          <t>EXIGE TR</t>
        </is>
      </c>
      <c r="DJ253" s="182" t="n"/>
      <c r="DK253" s="183" t="n"/>
      <c r="DL253" s="185" t="n"/>
      <c r="DM253" s="182" t="n"/>
      <c r="DN253" s="183" t="n"/>
      <c r="DO253" s="176" t="n"/>
      <c r="DP253" s="176" t="n"/>
      <c r="DQ253" s="176" t="n"/>
      <c r="DR253" s="179" t="inlineStr">
        <is>
          <t>RESTRIÇÃO · 23</t>
        </is>
      </c>
      <c r="DX253" s="176" t="n"/>
      <c r="DY253" s="176" t="n"/>
      <c r="DZ253" s="179" t="inlineStr">
        <is>
          <t>RESTRIÇÃO · 24</t>
        </is>
      </c>
      <c r="EF253" s="176" t="n"/>
      <c r="EG253" s="176" t="n"/>
      <c r="EH253" s="176" t="n"/>
      <c r="EI253" s="176" t="n"/>
      <c r="EJ253" s="176" t="n"/>
      <c r="EK253" s="176" t="n"/>
      <c r="EL253" s="176" t="n"/>
      <c r="EM253" s="176" t="n"/>
      <c r="EN253" s="176" t="n"/>
      <c r="EO253" s="176" t="n"/>
      <c r="EP253" s="176" t="n"/>
      <c r="EQ253" s="176" t="n"/>
      <c r="ER253" s="176" t="n"/>
      <c r="ES253" s="176" t="n"/>
      <c r="ET253" s="176" t="n"/>
      <c r="EU253" s="176" t="n"/>
      <c r="EV253" s="176" t="n"/>
      <c r="EW253" s="176" t="n"/>
      <c r="EX253" s="176" t="n"/>
      <c r="EY253" s="176" t="n"/>
      <c r="EZ253" s="176" t="n"/>
      <c r="FA253" s="176" t="n"/>
      <c r="FB253" s="176" t="n"/>
      <c r="FC253" s="176" t="n"/>
      <c r="FD253" s="176" t="n"/>
      <c r="FE253" s="176" t="n"/>
      <c r="FF253" s="176" t="n"/>
      <c r="FG253" s="176" t="n"/>
      <c r="FH253" s="176" t="n"/>
      <c r="FI253" s="176" t="n"/>
      <c r="FJ253" s="176" t="n"/>
      <c r="FK253" s="176" t="n"/>
      <c r="FL253" s="176" t="n"/>
      <c r="FM253" s="176" t="n"/>
      <c r="FN253" s="176" t="n"/>
      <c r="FO253" s="176" t="n"/>
      <c r="FP253" s="176" t="n"/>
      <c r="FQ253" s="176" t="n"/>
      <c r="FR253" s="176" t="n"/>
      <c r="FS253" s="176" t="n"/>
      <c r="FT253" s="176" t="n"/>
      <c r="FU253" s="176" t="n"/>
      <c r="FV253" s="176" t="n"/>
      <c r="FW253" s="176" t="n"/>
      <c r="FX253" s="176" t="n"/>
      <c r="FY253" s="176" t="n"/>
      <c r="FZ253" s="176" t="n"/>
      <c r="GA253" s="176" t="n"/>
      <c r="GB253" s="176" t="n"/>
      <c r="GC253" s="176" t="n"/>
      <c r="GD253" s="176" t="n"/>
      <c r="GE253" s="176" t="n"/>
      <c r="GF253" s="176" t="n"/>
      <c r="GG253" s="176" t="n"/>
      <c r="GH253" s="176" t="n"/>
      <c r="GI253" s="176" t="n"/>
      <c r="GJ253" s="176" t="n"/>
      <c r="GK253" s="176" t="n"/>
      <c r="GL253" s="176" t="n"/>
      <c r="GM253" s="176" t="n"/>
      <c r="GN253" s="176" t="n"/>
      <c r="GO253" s="176" t="n"/>
      <c r="GP253" s="176" t="n"/>
      <c r="GQ253" s="176" t="n"/>
      <c r="GR253" s="176" t="n"/>
      <c r="GS253" s="176" t="n"/>
      <c r="GT253" s="176" t="n"/>
      <c r="GU253" s="176" t="n"/>
      <c r="GV253" s="176" t="n"/>
      <c r="GW253" s="176" t="n"/>
      <c r="GX253" s="176" t="n"/>
      <c r="GY253" s="176" t="n"/>
      <c r="GZ253" s="176" t="n"/>
      <c r="HA253" s="176" t="n"/>
      <c r="HB253" s="176" t="n"/>
      <c r="HC253" s="176" t="n"/>
      <c r="HD253" s="176" t="n"/>
      <c r="HE253" s="176" t="n"/>
      <c r="HF253" s="176" t="n"/>
      <c r="HG253" s="176" t="n"/>
      <c r="HH253" s="176" t="n"/>
      <c r="HI253" s="176" t="n"/>
      <c r="HJ253" s="176" t="n"/>
      <c r="HK253" s="176" t="n"/>
      <c r="HL253" s="176" t="n"/>
      <c r="HM253" s="176" t="n"/>
      <c r="HN253" s="176" t="n"/>
      <c r="HO253" s="176" t="n"/>
      <c r="HP253" s="193" t="n"/>
      <c r="HU253" s="194" t="n"/>
      <c r="HV253" s="176" t="n"/>
      <c r="HW253" s="176" t="n"/>
      <c r="HX253" s="193" t="n"/>
      <c r="IC253" s="194" t="n"/>
      <c r="ID253" s="176" t="n"/>
    </row>
    <row r="254" ht="18.75" customHeight="1">
      <c r="A254" s="176" t="n"/>
      <c r="B254" s="176" t="n"/>
      <c r="C254" s="176" t="n"/>
      <c r="D254" s="176" t="n"/>
      <c r="E254" s="176" t="n"/>
      <c r="F254" s="176" t="n"/>
      <c r="G254" s="176" t="n"/>
      <c r="H254" s="176" t="n"/>
      <c r="I254" s="176" t="n"/>
      <c r="J254" s="176" t="n"/>
      <c r="K254" s="176" t="n"/>
      <c r="L254" s="176" t="n"/>
      <c r="M254" s="176" t="n"/>
      <c r="N254" s="176" t="n"/>
      <c r="O254" s="176" t="n"/>
      <c r="P254" s="176" t="n"/>
      <c r="Q254" s="176" t="n"/>
      <c r="R254" s="176" t="n"/>
      <c r="S254" s="176" t="n"/>
      <c r="T254" s="181">
        <f>SWITCH('CONFIGURAÇÃO'!$T$246,"Origem","BASE DO LIVRO","Marcante","","Menor","","Arma","PROPRIEDADE 3","Escudo","","Uniforme","","Item comum","","Ferramenta amaldiçoada","","")</f>
        <v/>
      </c>
      <c r="U254" s="183" t="n"/>
      <c r="V254" s="185" t="n"/>
      <c r="W254" s="182" t="n"/>
      <c r="X254" s="182" t="n"/>
      <c r="Y254" s="183" t="n"/>
      <c r="Z254" s="176" t="n"/>
      <c r="AA254" s="176" t="n"/>
      <c r="AB254" s="181">
        <f>SWITCH('CONFIGURAÇÃO'!$AB$246,"Origem","BASE DO LIVRO","Marcante","","Menor","","Arma","PROPRIEDADE 3","Escudo","","Uniforme","","Item comum","","Ferramenta amaldiçoada","","")</f>
        <v/>
      </c>
      <c r="AC254" s="183" t="n"/>
      <c r="AD254" s="185" t="n"/>
      <c r="AE254" s="182" t="n"/>
      <c r="AF254" s="182" t="n"/>
      <c r="AG254" s="183" t="n"/>
      <c r="AH254" s="176" t="n"/>
      <c r="AI254" s="176" t="n"/>
      <c r="AJ254" s="176" t="n"/>
      <c r="AK254" s="176" t="n"/>
      <c r="AL254" s="176" t="n"/>
      <c r="AM254" s="176" t="n"/>
      <c r="AN254" s="176" t="n"/>
      <c r="AO254" s="176" t="n"/>
      <c r="AP254" s="176" t="n"/>
      <c r="AQ254" s="176" t="n"/>
      <c r="AR254" s="176" t="n"/>
      <c r="AS254" s="176" t="n"/>
      <c r="AT254" s="176" t="n"/>
      <c r="AU254" s="176" t="n"/>
      <c r="AV254" s="176" t="n"/>
      <c r="AW254" s="176" t="n"/>
      <c r="AX254" s="176" t="n"/>
      <c r="AY254" s="176" t="n"/>
      <c r="AZ254" s="176" t="n"/>
      <c r="BA254" s="176" t="n"/>
      <c r="BB254" s="176" t="n"/>
      <c r="BC254" s="176" t="n"/>
      <c r="BD254" s="176" t="n"/>
      <c r="BE254" s="176" t="n"/>
      <c r="BF254" s="176" t="n"/>
      <c r="BG254" s="176" t="n"/>
      <c r="BH254" s="176" t="n"/>
      <c r="BI254" s="176" t="n"/>
      <c r="BJ254" s="176" t="n"/>
      <c r="BK254" s="176" t="n"/>
      <c r="BL254" s="176" t="n"/>
      <c r="BM254" s="176" t="n"/>
      <c r="BN254" s="176" t="n"/>
      <c r="BO254" s="176" t="n"/>
      <c r="BP254" s="176" t="n"/>
      <c r="BQ254" s="176" t="n"/>
      <c r="BR254" s="176" t="n"/>
      <c r="BS254" s="176" t="n"/>
      <c r="BT254" s="176" t="n"/>
      <c r="BU254" s="176" t="n"/>
      <c r="BV254" s="176" t="n"/>
      <c r="BW254" s="176" t="n"/>
      <c r="BX254" s="176" t="n"/>
      <c r="BY254" s="176" t="n"/>
      <c r="BZ254" s="176" t="n"/>
      <c r="CA254" s="176" t="n"/>
      <c r="CB254" s="176" t="n"/>
      <c r="CC254" s="176" t="n"/>
      <c r="CD254" s="176" t="n"/>
      <c r="CE254" s="176" t="n"/>
      <c r="CF254" s="176" t="n"/>
      <c r="CG254" s="176" t="n"/>
      <c r="CH254" s="176" t="n"/>
      <c r="CI254" s="176" t="n"/>
      <c r="CJ254" s="176" t="n"/>
      <c r="CK254" s="176" t="n"/>
      <c r="CL254" s="176" t="n"/>
      <c r="CM254" s="176" t="n"/>
      <c r="CN254" s="176" t="n"/>
      <c r="CO254" s="176" t="n"/>
      <c r="CP254" s="176" t="n"/>
      <c r="CQ254" s="176" t="n"/>
      <c r="CR254" s="176" t="n"/>
      <c r="CS254" s="176" t="n"/>
      <c r="CT254" s="176" t="n"/>
      <c r="CU254" s="176" t="n"/>
      <c r="CV254" s="176" t="n"/>
      <c r="CW254" s="176" t="n"/>
      <c r="CX254" s="176" t="n"/>
      <c r="CY254" s="176" t="n"/>
      <c r="CZ254" s="176" t="n"/>
      <c r="DA254" s="176" t="n"/>
      <c r="DB254" s="176" t="n"/>
      <c r="DC254" s="176" t="n"/>
      <c r="DD254" s="176" t="n"/>
      <c r="DE254" s="176" t="n"/>
      <c r="DF254" s="176" t="n"/>
      <c r="DG254" s="176" t="n"/>
      <c r="DH254" s="176" t="n"/>
      <c r="DI254" s="176" t="n"/>
      <c r="DJ254" s="176" t="n"/>
      <c r="DK254" s="176" t="n"/>
      <c r="DL254" s="176" t="n"/>
      <c r="DM254" s="176" t="n"/>
      <c r="DN254" s="176" t="n"/>
      <c r="DO254" s="176" t="n"/>
      <c r="DP254" s="176" t="n"/>
      <c r="DQ254" s="176" t="n"/>
      <c r="DR254" s="181" t="inlineStr">
        <is>
          <t>TIPO</t>
        </is>
      </c>
      <c r="DS254" s="182" t="n"/>
      <c r="DT254" s="182" t="n"/>
      <c r="DU254" s="183" t="n"/>
      <c r="DV254" s="181" t="inlineStr">
        <is>
          <t>MESTRE VIU</t>
        </is>
      </c>
      <c r="DW254" s="183" t="n"/>
      <c r="DX254" s="176" t="n"/>
      <c r="DY254" s="176" t="n"/>
      <c r="DZ254" s="181" t="inlineStr">
        <is>
          <t>TIPO</t>
        </is>
      </c>
      <c r="EA254" s="182" t="n"/>
      <c r="EB254" s="182" t="n"/>
      <c r="EC254" s="183" t="n"/>
      <c r="ED254" s="181" t="inlineStr">
        <is>
          <t>MESTRE VIU</t>
        </is>
      </c>
      <c r="EE254" s="183" t="n"/>
      <c r="EF254" s="176" t="n"/>
      <c r="EG254" s="176" t="n"/>
      <c r="EH254" s="176" t="n"/>
      <c r="EI254" s="176" t="n"/>
      <c r="EJ254" s="176" t="n"/>
      <c r="EK254" s="176" t="n"/>
      <c r="EL254" s="176" t="n"/>
      <c r="EM254" s="176" t="n"/>
      <c r="EN254" s="176" t="n"/>
      <c r="EO254" s="176" t="n"/>
      <c r="EP254" s="176" t="n"/>
      <c r="EQ254" s="176" t="n"/>
      <c r="ER254" s="176" t="n"/>
      <c r="ES254" s="176" t="n"/>
      <c r="ET254" s="176" t="n"/>
      <c r="EU254" s="176" t="n"/>
      <c r="EV254" s="176" t="n"/>
      <c r="EW254" s="176" t="n"/>
      <c r="EX254" s="176" t="n"/>
      <c r="EY254" s="176" t="n"/>
      <c r="EZ254" s="176" t="n"/>
      <c r="FA254" s="176" t="n"/>
      <c r="FB254" s="176" t="n"/>
      <c r="FC254" s="176" t="n"/>
      <c r="FD254" s="176" t="n"/>
      <c r="FE254" s="176" t="n"/>
      <c r="FF254" s="176" t="n"/>
      <c r="FG254" s="176" t="n"/>
      <c r="FH254" s="176" t="n"/>
      <c r="FI254" s="176" t="n"/>
      <c r="FJ254" s="176" t="n"/>
      <c r="FK254" s="176" t="n"/>
      <c r="FL254" s="176" t="n"/>
      <c r="FM254" s="176" t="n"/>
      <c r="FN254" s="176" t="n"/>
      <c r="FO254" s="176" t="n"/>
      <c r="FP254" s="176" t="n"/>
      <c r="FQ254" s="176" t="n"/>
      <c r="FR254" s="176" t="n"/>
      <c r="FS254" s="176" t="n"/>
      <c r="FT254" s="176" t="n"/>
      <c r="FU254" s="176" t="n"/>
      <c r="FV254" s="176" t="n"/>
      <c r="FW254" s="176" t="n"/>
      <c r="FX254" s="176" t="n"/>
      <c r="FY254" s="176" t="n"/>
      <c r="FZ254" s="176" t="n"/>
      <c r="GA254" s="176" t="n"/>
      <c r="GB254" s="176" t="n"/>
      <c r="GC254" s="176" t="n"/>
      <c r="GD254" s="176" t="n"/>
      <c r="GE254" s="176" t="n"/>
      <c r="GF254" s="176" t="n"/>
      <c r="GG254" s="176" t="n"/>
      <c r="GH254" s="176" t="n"/>
      <c r="GI254" s="176" t="n"/>
      <c r="GJ254" s="176" t="n"/>
      <c r="GK254" s="176" t="n"/>
      <c r="GL254" s="176" t="n"/>
      <c r="GM254" s="176" t="n"/>
      <c r="GN254" s="176" t="n"/>
      <c r="GO254" s="176" t="n"/>
      <c r="GP254" s="176" t="n"/>
      <c r="GQ254" s="176" t="n"/>
      <c r="GR254" s="176" t="n"/>
      <c r="GS254" s="176" t="n"/>
      <c r="GT254" s="176" t="n"/>
      <c r="GU254" s="176" t="n"/>
      <c r="GV254" s="176" t="n"/>
      <c r="GW254" s="176" t="n"/>
      <c r="GX254" s="176" t="n"/>
      <c r="GY254" s="176" t="n"/>
      <c r="GZ254" s="176" t="n"/>
      <c r="HA254" s="176" t="n"/>
      <c r="HB254" s="176" t="n"/>
      <c r="HC254" s="176" t="n"/>
      <c r="HD254" s="176" t="n"/>
      <c r="HE254" s="176" t="n"/>
      <c r="HF254" s="176" t="n"/>
      <c r="HG254" s="176" t="n"/>
      <c r="HH254" s="176" t="n"/>
      <c r="HI254" s="176" t="n"/>
      <c r="HJ254" s="176" t="n"/>
      <c r="HK254" s="176" t="n"/>
      <c r="HL254" s="176" t="n"/>
      <c r="HM254" s="176" t="n"/>
      <c r="HN254" s="176" t="n"/>
      <c r="HO254" s="176" t="n"/>
      <c r="HP254" s="193" t="n"/>
      <c r="HU254" s="194" t="n"/>
      <c r="HV254" s="176" t="n"/>
      <c r="HW254" s="176" t="n"/>
      <c r="HX254" s="193" t="n"/>
      <c r="IC254" s="194" t="n"/>
      <c r="ID254" s="176" t="n"/>
    </row>
    <row r="255" ht="18.75" customHeight="1">
      <c r="A255" s="176" t="n"/>
      <c r="B255" s="176" t="n"/>
      <c r="C255" s="176" t="n"/>
      <c r="D255" s="176" t="n"/>
      <c r="E255" s="176" t="n"/>
      <c r="F255" s="176" t="n"/>
      <c r="G255" s="176" t="n"/>
      <c r="H255" s="176" t="n"/>
      <c r="I255" s="176" t="n"/>
      <c r="J255" s="176" t="n"/>
      <c r="K255" s="176" t="n"/>
      <c r="L255" s="176" t="n"/>
      <c r="M255" s="176" t="n"/>
      <c r="N255" s="176" t="n"/>
      <c r="O255" s="176" t="n"/>
      <c r="P255" s="176" t="n"/>
      <c r="Q255" s="176" t="n"/>
      <c r="R255" s="176" t="n"/>
      <c r="S255" s="176" t="n"/>
      <c r="T255" s="181">
        <f>SWITCH('CONFIGURAÇÃO'!$T$246,"Origem","OFÍCIO","Marcante","","Menor","","Arma","PROPRIEDADE 4","Escudo","","Uniforme","","Item comum","","Ferramenta amaldiçoada","","")</f>
        <v/>
      </c>
      <c r="U255" s="183" t="n"/>
      <c r="V255" s="185" t="n"/>
      <c r="W255" s="182" t="n"/>
      <c r="X255" s="182" t="n"/>
      <c r="Y255" s="183" t="n"/>
      <c r="Z255" s="176" t="n"/>
      <c r="AA255" s="176" t="n"/>
      <c r="AB255" s="181">
        <f>SWITCH('CONFIGURAÇÃO'!$AB$246,"Origem","OFÍCIO","Marcante","","Menor","","Arma","PROPRIEDADE 4","Escudo","","Uniforme","","Item comum","","Ferramenta amaldiçoada","","")</f>
        <v/>
      </c>
      <c r="AC255" s="183" t="n"/>
      <c r="AD255" s="185" t="n"/>
      <c r="AE255" s="182" t="n"/>
      <c r="AF255" s="182" t="n"/>
      <c r="AG255" s="183" t="n"/>
      <c r="AH255" s="176" t="n"/>
      <c r="AI255" s="176" t="n"/>
      <c r="AJ255" s="176" t="n"/>
      <c r="AK255" s="176" t="n"/>
      <c r="AL255" s="176" t="n"/>
      <c r="AM255" s="176" t="n"/>
      <c r="AN255" s="176" t="n"/>
      <c r="AO255" s="176" t="n"/>
      <c r="AP255" s="176" t="n"/>
      <c r="AQ255" s="176" t="n"/>
      <c r="AR255" s="176" t="n"/>
      <c r="AS255" s="176" t="n"/>
      <c r="AT255" s="176" t="n"/>
      <c r="AU255" s="176" t="n"/>
      <c r="AV255" s="176" t="n"/>
      <c r="AW255" s="176" t="n"/>
      <c r="AX255" s="176" t="n"/>
      <c r="AY255" s="176" t="n"/>
      <c r="AZ255" s="176" t="n"/>
      <c r="BA255" s="176" t="n"/>
      <c r="BB255" s="176" t="n"/>
      <c r="BC255" s="176" t="n"/>
      <c r="BD255" s="176" t="n"/>
      <c r="BE255" s="176" t="n"/>
      <c r="BF255" s="176" t="n"/>
      <c r="BG255" s="176" t="n"/>
      <c r="BH255" s="176" t="n"/>
      <c r="BI255" s="176" t="n"/>
      <c r="BJ255" s="176" t="n"/>
      <c r="BK255" s="176" t="n"/>
      <c r="BL255" s="176" t="n"/>
      <c r="BM255" s="176" t="n"/>
      <c r="BN255" s="176" t="n"/>
      <c r="BO255" s="176" t="n"/>
      <c r="BP255" s="176" t="n"/>
      <c r="BQ255" s="176" t="n"/>
      <c r="BR255" s="176" t="n"/>
      <c r="BS255" s="176" t="n"/>
      <c r="BT255" s="176" t="n"/>
      <c r="BU255" s="176" t="n"/>
      <c r="BV255" s="176" t="n"/>
      <c r="BW255" s="176" t="n"/>
      <c r="BX255" s="176" t="n"/>
      <c r="BY255" s="176" t="n"/>
      <c r="BZ255" s="176" t="n"/>
      <c r="CA255" s="176" t="n"/>
      <c r="CB255" s="176" t="n"/>
      <c r="CC255" s="176" t="n"/>
      <c r="CD255" s="176" t="n"/>
      <c r="CE255" s="176" t="n"/>
      <c r="CF255" s="176" t="n"/>
      <c r="CG255" s="176" t="n"/>
      <c r="CH255" s="176" t="n"/>
      <c r="CI255" s="176" t="n"/>
      <c r="CJ255" s="176" t="n"/>
      <c r="CK255" s="176" t="n"/>
      <c r="CL255" s="176" t="n"/>
      <c r="CM255" s="176" t="n"/>
      <c r="CN255" s="176" t="n"/>
      <c r="CO255" s="176" t="n"/>
      <c r="CP255" s="176" t="n"/>
      <c r="CQ255" s="176" t="n"/>
      <c r="CR255" s="176" t="n"/>
      <c r="CS255" s="176" t="n"/>
      <c r="CT255" s="176" t="n"/>
      <c r="CU255" s="176" t="n"/>
      <c r="CV255" s="176" t="n"/>
      <c r="CW255" s="176" t="n"/>
      <c r="CX255" s="176" t="n"/>
      <c r="CY255" s="176" t="n"/>
      <c r="CZ255" s="176" t="n"/>
      <c r="DA255" s="181" t="inlineStr">
        <is>
          <t>REQUISITOS E REPETIÇÃO</t>
        </is>
      </c>
      <c r="DB255" s="182" t="n"/>
      <c r="DC255" s="182" t="n"/>
      <c r="DD255" s="182" t="n"/>
      <c r="DE255" s="182" t="n"/>
      <c r="DF255" s="183" t="n"/>
      <c r="DG255" s="176" t="n"/>
      <c r="DH255" s="176" t="n"/>
      <c r="DI255" s="181" t="inlineStr">
        <is>
          <t>REQUISITOS E REPETIÇÃO</t>
        </is>
      </c>
      <c r="DJ255" s="182" t="n"/>
      <c r="DK255" s="182" t="n"/>
      <c r="DL255" s="182" t="n"/>
      <c r="DM255" s="182" t="n"/>
      <c r="DN255" s="183" t="n"/>
      <c r="DO255" s="176" t="n"/>
      <c r="DP255" s="176" t="n"/>
      <c r="DQ255" s="176" t="n"/>
      <c r="DR255" s="185" t="inlineStr">
        <is>
          <t>Restrição</t>
        </is>
      </c>
      <c r="DS255" s="182" t="n"/>
      <c r="DT255" s="182" t="n"/>
      <c r="DU255" s="183" t="n"/>
      <c r="DV255" s="184" t="b">
        <v>0</v>
      </c>
      <c r="DW255" s="183" t="n"/>
      <c r="DX255" s="176" t="n"/>
      <c r="DY255" s="176" t="n"/>
      <c r="DZ255" s="185" t="inlineStr">
        <is>
          <t>Restrição</t>
        </is>
      </c>
      <c r="EA255" s="182" t="n"/>
      <c r="EB255" s="182" t="n"/>
      <c r="EC255" s="183" t="n"/>
      <c r="ED255" s="184" t="b">
        <v>0</v>
      </c>
      <c r="EE255" s="183" t="n"/>
      <c r="EF255" s="176" t="n"/>
      <c r="EG255" s="176" t="n"/>
      <c r="EH255" s="176" t="n"/>
      <c r="EI255" s="176" t="n"/>
      <c r="EJ255" s="176" t="n"/>
      <c r="EK255" s="176" t="n"/>
      <c r="EL255" s="176" t="n"/>
      <c r="EM255" s="176" t="n"/>
      <c r="EN255" s="176" t="n"/>
      <c r="EO255" s="176" t="n"/>
      <c r="EP255" s="176" t="n"/>
      <c r="EQ255" s="176" t="n"/>
      <c r="ER255" s="176" t="n"/>
      <c r="ES255" s="176" t="n"/>
      <c r="ET255" s="176" t="n"/>
      <c r="EU255" s="176" t="n"/>
      <c r="EV255" s="176" t="n"/>
      <c r="EW255" s="176" t="n"/>
      <c r="EX255" s="176" t="n"/>
      <c r="EY255" s="176" t="n"/>
      <c r="EZ255" s="176" t="n"/>
      <c r="FA255" s="176" t="n"/>
      <c r="FB255" s="176" t="n"/>
      <c r="FC255" s="176" t="n"/>
      <c r="FD255" s="176" t="n"/>
      <c r="FE255" s="176" t="n"/>
      <c r="FF255" s="176" t="n"/>
      <c r="FG255" s="176" t="n"/>
      <c r="FH255" s="176" t="n"/>
      <c r="FI255" s="176" t="n"/>
      <c r="FJ255" s="176" t="n"/>
      <c r="FK255" s="176" t="n"/>
      <c r="FL255" s="176" t="n"/>
      <c r="FM255" s="176" t="n"/>
      <c r="FN255" s="176" t="n"/>
      <c r="FO255" s="176" t="n"/>
      <c r="FP255" s="176" t="n"/>
      <c r="FQ255" s="176" t="n"/>
      <c r="FR255" s="176" t="n"/>
      <c r="FS255" s="176" t="n"/>
      <c r="FT255" s="176" t="n"/>
      <c r="FU255" s="176" t="n"/>
      <c r="FV255" s="176" t="n"/>
      <c r="FW255" s="176" t="n"/>
      <c r="FX255" s="176" t="n"/>
      <c r="FY255" s="176" t="n"/>
      <c r="FZ255" s="176" t="n"/>
      <c r="GA255" s="176" t="n"/>
      <c r="GB255" s="176" t="n"/>
      <c r="GC255" s="176" t="n"/>
      <c r="GD255" s="176" t="n"/>
      <c r="GE255" s="176" t="n"/>
      <c r="GF255" s="176" t="n"/>
      <c r="GG255" s="176" t="n"/>
      <c r="GH255" s="176" t="n"/>
      <c r="GI255" s="176" t="n"/>
      <c r="GJ255" s="176" t="n"/>
      <c r="GK255" s="176" t="n"/>
      <c r="GL255" s="176" t="n"/>
      <c r="GM255" s="176" t="n"/>
      <c r="GN255" s="176" t="n"/>
      <c r="GO255" s="176" t="n"/>
      <c r="GP255" s="176" t="n"/>
      <c r="GQ255" s="176" t="n"/>
      <c r="GR255" s="176" t="n"/>
      <c r="GS255" s="176" t="n"/>
      <c r="GT255" s="176" t="n"/>
      <c r="GU255" s="176" t="n"/>
      <c r="GV255" s="176" t="n"/>
      <c r="GW255" s="176" t="n"/>
      <c r="GX255" s="176" t="n"/>
      <c r="GY255" s="176" t="n"/>
      <c r="GZ255" s="176" t="n"/>
      <c r="HA255" s="176" t="n"/>
      <c r="HB255" s="176" t="n"/>
      <c r="HC255" s="176" t="n"/>
      <c r="HD255" s="176" t="n"/>
      <c r="HE255" s="176" t="n"/>
      <c r="HF255" s="176" t="n"/>
      <c r="HG255" s="176" t="n"/>
      <c r="HH255" s="176" t="n"/>
      <c r="HI255" s="176" t="n"/>
      <c r="HJ255" s="176" t="n"/>
      <c r="HK255" s="176" t="n"/>
      <c r="HL255" s="176" t="n"/>
      <c r="HM255" s="176" t="n"/>
      <c r="HN255" s="176" t="n"/>
      <c r="HO255" s="176" t="n"/>
      <c r="HP255" s="193" t="n"/>
      <c r="HU255" s="194" t="n"/>
      <c r="HV255" s="176" t="n"/>
      <c r="HW255" s="176" t="n"/>
      <c r="HX255" s="193" t="n"/>
      <c r="IC255" s="194" t="n"/>
      <c r="ID255" s="176" t="n"/>
    </row>
    <row r="256" ht="18.75" customHeight="1">
      <c r="A256" s="176" t="n"/>
      <c r="B256" s="176" t="n"/>
      <c r="C256" s="176" t="n"/>
      <c r="D256" s="176" t="n"/>
      <c r="E256" s="176" t="n"/>
      <c r="F256" s="176" t="n"/>
      <c r="G256" s="176" t="n"/>
      <c r="H256" s="176" t="n"/>
      <c r="I256" s="176" t="n"/>
      <c r="J256" s="176" t="n"/>
      <c r="K256" s="176" t="n"/>
      <c r="L256" s="176" t="n"/>
      <c r="M256" s="176" t="n"/>
      <c r="N256" s="176" t="n"/>
      <c r="O256" s="176" t="n"/>
      <c r="P256" s="176" t="n"/>
      <c r="Q256" s="176" t="n"/>
      <c r="R256" s="176" t="n"/>
      <c r="S256" s="176" t="n"/>
      <c r="T256" s="181">
        <f>SWITCH('CONFIGURAÇÃO'!$T$246,"Origem","TALENTO CE 4","Marcante","FREQUÊNCIA","Menor","FREQUÊNCIA","Arma","DADO","Escudo","PROTEÇÃO","Uniforme","PROTEÇÃO","Item comum","VOLUME","Ferramenta amaldiçoada","ESTIGMA","")</f>
        <v/>
      </c>
      <c r="U256" s="183" t="n"/>
      <c r="V256" s="185" t="n"/>
      <c r="W256" s="182" t="n"/>
      <c r="X256" s="182" t="n"/>
      <c r="Y256" s="183" t="n"/>
      <c r="Z256" s="176" t="n"/>
      <c r="AA256" s="176" t="n"/>
      <c r="AB256" s="181">
        <f>SWITCH('CONFIGURAÇÃO'!$AB$246,"Origem","TALENTO CE 4","Marcante","FREQUÊNCIA","Menor","FREQUÊNCIA","Arma","DADO","Escudo","PROTEÇÃO","Uniforme","PROTEÇÃO","Item comum","VOLUME","Ferramenta amaldiçoada","ESTIGMA","")</f>
        <v/>
      </c>
      <c r="AC256" s="183" t="n"/>
      <c r="AD256" s="185" t="n"/>
      <c r="AE256" s="182" t="n"/>
      <c r="AF256" s="182" t="n"/>
      <c r="AG256" s="183" t="n"/>
      <c r="AH256" s="176" t="n"/>
      <c r="AI256" s="176" t="n"/>
      <c r="AJ256" s="176" t="n"/>
      <c r="AK256" s="176" t="n"/>
      <c r="AL256" s="176" t="n"/>
      <c r="AM256" s="176" t="n"/>
      <c r="AN256" s="176" t="n"/>
      <c r="AO256" s="176" t="n"/>
      <c r="AP256" s="176" t="n"/>
      <c r="AQ256" s="176" t="n"/>
      <c r="AR256" s="176" t="n"/>
      <c r="AS256" s="176" t="n"/>
      <c r="AT256" s="176" t="n"/>
      <c r="AU256" s="176" t="n"/>
      <c r="AV256" s="176" t="n"/>
      <c r="AW256" s="176" t="n"/>
      <c r="AX256" s="176" t="n"/>
      <c r="AY256" s="176" t="n"/>
      <c r="AZ256" s="176" t="n"/>
      <c r="BA256" s="176" t="n"/>
      <c r="BB256" s="176" t="n"/>
      <c r="BC256" s="176" t="n"/>
      <c r="BD256" s="176" t="n"/>
      <c r="BE256" s="176" t="n"/>
      <c r="BF256" s="176" t="n"/>
      <c r="BG256" s="176" t="n"/>
      <c r="BH256" s="176" t="n"/>
      <c r="BI256" s="176" t="n"/>
      <c r="BJ256" s="176" t="n"/>
      <c r="BK256" s="176" t="n"/>
      <c r="BL256" s="176" t="n"/>
      <c r="BM256" s="176" t="n"/>
      <c r="BN256" s="176" t="n"/>
      <c r="BO256" s="176" t="n"/>
      <c r="BP256" s="176" t="n"/>
      <c r="BQ256" s="176" t="n"/>
      <c r="BR256" s="176" t="n"/>
      <c r="BS256" s="176" t="n"/>
      <c r="BT256" s="176" t="n"/>
      <c r="BU256" s="176" t="n"/>
      <c r="BV256" s="176" t="n"/>
      <c r="BW256" s="176" t="n"/>
      <c r="BX256" s="176" t="n"/>
      <c r="BY256" s="176" t="n"/>
      <c r="BZ256" s="176" t="n"/>
      <c r="CA256" s="176" t="n"/>
      <c r="CB256" s="176" t="n"/>
      <c r="CC256" s="176" t="n"/>
      <c r="CD256" s="176" t="n"/>
      <c r="CE256" s="176" t="n"/>
      <c r="CF256" s="176" t="n"/>
      <c r="CG256" s="176" t="n"/>
      <c r="CH256" s="176" t="n"/>
      <c r="CI256" s="176" t="n"/>
      <c r="CJ256" s="176" t="n"/>
      <c r="CK256" s="176" t="n"/>
      <c r="CL256" s="176" t="n"/>
      <c r="CM256" s="176" t="n"/>
      <c r="CN256" s="176" t="n"/>
      <c r="CO256" s="176" t="n"/>
      <c r="CP256" s="176" t="n"/>
      <c r="CQ256" s="176" t="n"/>
      <c r="CR256" s="176" t="n"/>
      <c r="CS256" s="176" t="n"/>
      <c r="CT256" s="176" t="n"/>
      <c r="CU256" s="176" t="n"/>
      <c r="CV256" s="176" t="n"/>
      <c r="CW256" s="176" t="n"/>
      <c r="CX256" s="176" t="n"/>
      <c r="CY256" s="176" t="n"/>
      <c r="CZ256" s="176" t="n"/>
      <c r="DA256" s="192" t="n"/>
      <c r="DB256" s="187" t="n"/>
      <c r="DC256" s="187" t="n"/>
      <c r="DD256" s="187" t="n"/>
      <c r="DE256" s="187" t="n"/>
      <c r="DF256" s="188" t="n"/>
      <c r="DG256" s="176" t="n"/>
      <c r="DH256" s="176" t="n"/>
      <c r="DI256" s="192" t="n"/>
      <c r="DJ256" s="187" t="n"/>
      <c r="DK256" s="187" t="n"/>
      <c r="DL256" s="187" t="n"/>
      <c r="DM256" s="187" t="n"/>
      <c r="DN256" s="188" t="n"/>
      <c r="DO256" s="176" t="n"/>
      <c r="DP256" s="176" t="n"/>
      <c r="DQ256" s="176" t="n"/>
      <c r="DR256" s="181" t="inlineStr">
        <is>
          <t>NOME</t>
        </is>
      </c>
      <c r="DS256" s="182" t="n"/>
      <c r="DT256" s="182" t="n"/>
      <c r="DU256" s="182" t="n"/>
      <c r="DV256" s="182" t="n"/>
      <c r="DW256" s="183" t="n"/>
      <c r="DX256" s="176" t="n"/>
      <c r="DY256" s="176" t="n"/>
      <c r="DZ256" s="181" t="inlineStr">
        <is>
          <t>NOME</t>
        </is>
      </c>
      <c r="EA256" s="182" t="n"/>
      <c r="EB256" s="182" t="n"/>
      <c r="EC256" s="182" t="n"/>
      <c r="ED256" s="182" t="n"/>
      <c r="EE256" s="183" t="n"/>
      <c r="EF256" s="176" t="n"/>
      <c r="EG256" s="176" t="n"/>
      <c r="EH256" s="176" t="n"/>
      <c r="EI256" s="176" t="n"/>
      <c r="EJ256" s="176" t="n"/>
      <c r="EK256" s="176" t="n"/>
      <c r="EL256" s="176" t="n"/>
      <c r="EM256" s="176" t="n"/>
      <c r="EN256" s="176" t="n"/>
      <c r="EO256" s="176" t="n"/>
      <c r="EP256" s="176" t="n"/>
      <c r="EQ256" s="176" t="n"/>
      <c r="ER256" s="176" t="n"/>
      <c r="ES256" s="176" t="n"/>
      <c r="ET256" s="176" t="n"/>
      <c r="EU256" s="176" t="n"/>
      <c r="EV256" s="176" t="n"/>
      <c r="EW256" s="176" t="n"/>
      <c r="EX256" s="176" t="n"/>
      <c r="EY256" s="176" t="n"/>
      <c r="EZ256" s="176" t="n"/>
      <c r="FA256" s="176" t="n"/>
      <c r="FB256" s="176" t="n"/>
      <c r="FC256" s="176" t="n"/>
      <c r="FD256" s="176" t="n"/>
      <c r="FE256" s="176" t="n"/>
      <c r="FF256" s="176" t="n"/>
      <c r="FG256" s="176" t="n"/>
      <c r="FH256" s="176" t="n"/>
      <c r="FI256" s="176" t="n"/>
      <c r="FJ256" s="176" t="n"/>
      <c r="FK256" s="176" t="n"/>
      <c r="FL256" s="176" t="n"/>
      <c r="FM256" s="176" t="n"/>
      <c r="FN256" s="176" t="n"/>
      <c r="FO256" s="176" t="n"/>
      <c r="FP256" s="176" t="n"/>
      <c r="FQ256" s="176" t="n"/>
      <c r="FR256" s="176" t="n"/>
      <c r="FS256" s="176" t="n"/>
      <c r="FT256" s="176" t="n"/>
      <c r="FU256" s="176" t="n"/>
      <c r="FV256" s="176" t="n"/>
      <c r="FW256" s="176" t="n"/>
      <c r="FX256" s="176" t="n"/>
      <c r="FY256" s="176" t="n"/>
      <c r="FZ256" s="176" t="n"/>
      <c r="GA256" s="176" t="n"/>
      <c r="GB256" s="176" t="n"/>
      <c r="GC256" s="176" t="n"/>
      <c r="GD256" s="176" t="n"/>
      <c r="GE256" s="176" t="n"/>
      <c r="GF256" s="176" t="n"/>
      <c r="GG256" s="176" t="n"/>
      <c r="GH256" s="176" t="n"/>
      <c r="GI256" s="176" t="n"/>
      <c r="GJ256" s="176" t="n"/>
      <c r="GK256" s="176" t="n"/>
      <c r="GL256" s="176" t="n"/>
      <c r="GM256" s="176" t="n"/>
      <c r="GN256" s="176" t="n"/>
      <c r="GO256" s="176" t="n"/>
      <c r="GP256" s="176" t="n"/>
      <c r="GQ256" s="176" t="n"/>
      <c r="GR256" s="176" t="n"/>
      <c r="GS256" s="176" t="n"/>
      <c r="GT256" s="176" t="n"/>
      <c r="GU256" s="176" t="n"/>
      <c r="GV256" s="176" t="n"/>
      <c r="GW256" s="176" t="n"/>
      <c r="GX256" s="176" t="n"/>
      <c r="GY256" s="176" t="n"/>
      <c r="GZ256" s="176" t="n"/>
      <c r="HA256" s="176" t="n"/>
      <c r="HB256" s="176" t="n"/>
      <c r="HC256" s="176" t="n"/>
      <c r="HD256" s="176" t="n"/>
      <c r="HE256" s="176" t="n"/>
      <c r="HF256" s="176" t="n"/>
      <c r="HG256" s="176" t="n"/>
      <c r="HH256" s="176" t="n"/>
      <c r="HI256" s="176" t="n"/>
      <c r="HJ256" s="176" t="n"/>
      <c r="HK256" s="176" t="n"/>
      <c r="HL256" s="176" t="n"/>
      <c r="HM256" s="176" t="n"/>
      <c r="HN256" s="176" t="n"/>
      <c r="HO256" s="176" t="n"/>
      <c r="HP256" s="193" t="n"/>
      <c r="HU256" s="194" t="n"/>
      <c r="HV256" s="176" t="n"/>
      <c r="HW256" s="176" t="n"/>
      <c r="HX256" s="193" t="n"/>
      <c r="IC256" s="194" t="n"/>
      <c r="ID256" s="176" t="n"/>
    </row>
    <row r="257" ht="18.75" customHeight="1">
      <c r="A257" s="176" t="n"/>
      <c r="B257" s="176" t="n"/>
      <c r="C257" s="176" t="n"/>
      <c r="D257" s="176" t="n"/>
      <c r="E257" s="176" t="n"/>
      <c r="F257" s="176" t="n"/>
      <c r="G257" s="176" t="n"/>
      <c r="H257" s="176" t="n"/>
      <c r="I257" s="176" t="n"/>
      <c r="J257" s="176" t="n"/>
      <c r="K257" s="176" t="n"/>
      <c r="L257" s="176" t="n"/>
      <c r="M257" s="176" t="n"/>
      <c r="N257" s="176" t="n"/>
      <c r="O257" s="176" t="n"/>
      <c r="P257" s="176" t="n"/>
      <c r="Q257" s="176" t="n"/>
      <c r="R257" s="176" t="n"/>
      <c r="S257" s="176" t="n"/>
      <c r="T257" s="181">
        <f>SWITCH('CONFIGURAÇÃO'!$T$246,"Origem","","Marcante","","Menor","","Arma","FORÇA","Escudo","TETO DE DESTREZA","Uniforme","TETO DE DESTREZA","Item comum","PREÇO","Ferramenta amaldiçoada","DESGASTE","")</f>
        <v/>
      </c>
      <c r="U257" s="183" t="n"/>
      <c r="V257" s="185" t="n"/>
      <c r="W257" s="182" t="n"/>
      <c r="X257" s="182" t="n"/>
      <c r="Y257" s="183" t="n"/>
      <c r="Z257" s="176" t="n"/>
      <c r="AA257" s="176" t="n"/>
      <c r="AB257" s="181">
        <f>SWITCH('CONFIGURAÇÃO'!$AB$246,"Origem","","Marcante","","Menor","","Arma","FORÇA","Escudo","TETO DE DESTREZA","Uniforme","TETO DE DESTREZA","Item comum","PREÇO","Ferramenta amaldiçoada","DESGASTE","")</f>
        <v/>
      </c>
      <c r="AC257" s="183" t="n"/>
      <c r="AD257" s="185" t="n"/>
      <c r="AE257" s="182" t="n"/>
      <c r="AF257" s="182" t="n"/>
      <c r="AG257" s="183" t="n"/>
      <c r="AH257" s="176" t="n"/>
      <c r="AI257" s="176" t="n"/>
      <c r="AJ257" s="176" t="n"/>
      <c r="AK257" s="176" t="n"/>
      <c r="AL257" s="176" t="n"/>
      <c r="AM257" s="176" t="n"/>
      <c r="AN257" s="176" t="n"/>
      <c r="AO257" s="176" t="n"/>
      <c r="AP257" s="176" t="n"/>
      <c r="AQ257" s="176" t="n"/>
      <c r="AR257" s="176" t="n"/>
      <c r="AS257" s="176" t="n"/>
      <c r="AT257" s="176" t="n"/>
      <c r="AU257" s="176" t="n"/>
      <c r="AV257" s="176" t="n"/>
      <c r="AW257" s="176" t="n"/>
      <c r="AX257" s="176" t="n"/>
      <c r="AY257" s="176" t="n"/>
      <c r="AZ257" s="176" t="n"/>
      <c r="BA257" s="176" t="n"/>
      <c r="BB257" s="176" t="n"/>
      <c r="BC257" s="176" t="n"/>
      <c r="BD257" s="176" t="n"/>
      <c r="BE257" s="176" t="n"/>
      <c r="BF257" s="176" t="n"/>
      <c r="BG257" s="176" t="n"/>
      <c r="BH257" s="176" t="n"/>
      <c r="BI257" s="176" t="n"/>
      <c r="BJ257" s="176" t="n"/>
      <c r="BK257" s="176" t="n"/>
      <c r="BL257" s="176" t="n"/>
      <c r="BM257" s="176" t="n"/>
      <c r="BN257" s="176" t="n"/>
      <c r="BO257" s="176" t="n"/>
      <c r="BP257" s="176" t="n"/>
      <c r="BQ257" s="176" t="n"/>
      <c r="BR257" s="176" t="n"/>
      <c r="BS257" s="176" t="n"/>
      <c r="BT257" s="176" t="n"/>
      <c r="BU257" s="176" t="n"/>
      <c r="BV257" s="176" t="n"/>
      <c r="BW257" s="176" t="n"/>
      <c r="BX257" s="176" t="n"/>
      <c r="BY257" s="176" t="n"/>
      <c r="BZ257" s="176" t="n"/>
      <c r="CA257" s="176" t="n"/>
      <c r="CB257" s="176" t="n"/>
      <c r="CC257" s="176" t="n"/>
      <c r="CD257" s="176" t="n"/>
      <c r="CE257" s="176" t="n"/>
      <c r="CF257" s="176" t="n"/>
      <c r="CG257" s="176" t="n"/>
      <c r="CH257" s="176" t="n"/>
      <c r="CI257" s="176" t="n"/>
      <c r="CJ257" s="176" t="n"/>
      <c r="CK257" s="176" t="n"/>
      <c r="CL257" s="176" t="n"/>
      <c r="CM257" s="176" t="n"/>
      <c r="CN257" s="176" t="n"/>
      <c r="CO257" s="176" t="n"/>
      <c r="CP257" s="176" t="n"/>
      <c r="CQ257" s="176" t="n"/>
      <c r="CR257" s="176" t="n"/>
      <c r="CS257" s="176" t="n"/>
      <c r="CT257" s="176" t="n"/>
      <c r="CU257" s="176" t="n"/>
      <c r="CV257" s="176" t="n"/>
      <c r="CW257" s="176" t="n"/>
      <c r="CX257" s="176" t="n"/>
      <c r="CY257" s="176" t="n"/>
      <c r="CZ257" s="176" t="n"/>
      <c r="DA257" s="193" t="n"/>
      <c r="DF257" s="194" t="n"/>
      <c r="DG257" s="176" t="n"/>
      <c r="DH257" s="176" t="n"/>
      <c r="DI257" s="193" t="n"/>
      <c r="DN257" s="194" t="n"/>
      <c r="DO257" s="176" t="n"/>
      <c r="DP257" s="176" t="n"/>
      <c r="DQ257" s="176" t="n"/>
      <c r="DR257" s="185" t="n"/>
      <c r="DS257" s="182" t="n"/>
      <c r="DT257" s="182" t="n"/>
      <c r="DU257" s="182" t="n"/>
      <c r="DV257" s="182" t="n"/>
      <c r="DW257" s="183" t="n"/>
      <c r="DX257" s="176" t="n"/>
      <c r="DY257" s="176" t="n"/>
      <c r="DZ257" s="185" t="n"/>
      <c r="EA257" s="182" t="n"/>
      <c r="EB257" s="182" t="n"/>
      <c r="EC257" s="182" t="n"/>
      <c r="ED257" s="182" t="n"/>
      <c r="EE257" s="183" t="n"/>
      <c r="EF257" s="176" t="n"/>
      <c r="EG257" s="176" t="n"/>
      <c r="EH257" s="176" t="n"/>
      <c r="EI257" s="176" t="n"/>
      <c r="EJ257" s="176" t="n"/>
      <c r="EK257" s="176" t="n"/>
      <c r="EL257" s="176" t="n"/>
      <c r="EM257" s="176" t="n"/>
      <c r="EN257" s="176" t="n"/>
      <c r="EO257" s="176" t="n"/>
      <c r="EP257" s="176" t="n"/>
      <c r="EQ257" s="176" t="n"/>
      <c r="ER257" s="176" t="n"/>
      <c r="ES257" s="176" t="n"/>
      <c r="ET257" s="176" t="n"/>
      <c r="EU257" s="176" t="n"/>
      <c r="EV257" s="176" t="n"/>
      <c r="EW257" s="176" t="n"/>
      <c r="EX257" s="176" t="n"/>
      <c r="EY257" s="176" t="n"/>
      <c r="EZ257" s="176" t="n"/>
      <c r="FA257" s="176" t="n"/>
      <c r="FB257" s="176" t="n"/>
      <c r="FC257" s="176" t="n"/>
      <c r="FD257" s="176" t="n"/>
      <c r="FE257" s="176" t="n"/>
      <c r="FF257" s="176" t="n"/>
      <c r="FG257" s="176" t="n"/>
      <c r="FH257" s="176" t="n"/>
      <c r="FI257" s="176" t="n"/>
      <c r="FJ257" s="176" t="n"/>
      <c r="FK257" s="176" t="n"/>
      <c r="FL257" s="176" t="n"/>
      <c r="FM257" s="176" t="n"/>
      <c r="FN257" s="176" t="n"/>
      <c r="FO257" s="176" t="n"/>
      <c r="FP257" s="176" t="n"/>
      <c r="FQ257" s="176" t="n"/>
      <c r="FR257" s="176" t="n"/>
      <c r="FS257" s="176" t="n"/>
      <c r="FT257" s="176" t="n"/>
      <c r="FU257" s="176" t="n"/>
      <c r="FV257" s="176" t="n"/>
      <c r="FW257" s="176" t="n"/>
      <c r="FX257" s="176" t="n"/>
      <c r="FY257" s="176" t="n"/>
      <c r="FZ257" s="176" t="n"/>
      <c r="GA257" s="176" t="n"/>
      <c r="GB257" s="176" t="n"/>
      <c r="GC257" s="176" t="n"/>
      <c r="GD257" s="176" t="n"/>
      <c r="GE257" s="176" t="n"/>
      <c r="GF257" s="176" t="n"/>
      <c r="GG257" s="176" t="n"/>
      <c r="GH257" s="176" t="n"/>
      <c r="GI257" s="176" t="n"/>
      <c r="GJ257" s="176" t="n"/>
      <c r="GK257" s="176" t="n"/>
      <c r="GL257" s="176" t="n"/>
      <c r="GM257" s="176" t="n"/>
      <c r="GN257" s="176" t="n"/>
      <c r="GO257" s="176" t="n"/>
      <c r="GP257" s="176" t="n"/>
      <c r="GQ257" s="176" t="n"/>
      <c r="GR257" s="176" t="n"/>
      <c r="GS257" s="176" t="n"/>
      <c r="GT257" s="176" t="n"/>
      <c r="GU257" s="176" t="n"/>
      <c r="GV257" s="176" t="n"/>
      <c r="GW257" s="176" t="n"/>
      <c r="GX257" s="176" t="n"/>
      <c r="GY257" s="176" t="n"/>
      <c r="GZ257" s="176" t="n"/>
      <c r="HA257" s="176" t="n"/>
      <c r="HB257" s="176" t="n"/>
      <c r="HC257" s="176" t="n"/>
      <c r="HD257" s="176" t="n"/>
      <c r="HE257" s="176" t="n"/>
      <c r="HF257" s="176" t="n"/>
      <c r="HG257" s="176" t="n"/>
      <c r="HH257" s="176" t="n"/>
      <c r="HI257" s="176" t="n"/>
      <c r="HJ257" s="176" t="n"/>
      <c r="HK257" s="176" t="n"/>
      <c r="HL257" s="176" t="n"/>
      <c r="HM257" s="176" t="n"/>
      <c r="HN257" s="176" t="n"/>
      <c r="HO257" s="176" t="n"/>
      <c r="HP257" s="193" t="n"/>
      <c r="HU257" s="194" t="n"/>
      <c r="HV257" s="176" t="n"/>
      <c r="HW257" s="176" t="n"/>
      <c r="HX257" s="193" t="n"/>
      <c r="IC257" s="194" t="n"/>
      <c r="ID257" s="176" t="n"/>
    </row>
    <row r="258" ht="18.75" customHeight="1">
      <c r="A258" s="176" t="n"/>
      <c r="B258" s="176" t="n"/>
      <c r="C258" s="176" t="n"/>
      <c r="D258" s="176" t="n"/>
      <c r="E258" s="176" t="n"/>
      <c r="F258" s="176" t="n"/>
      <c r="G258" s="176" t="n"/>
      <c r="H258" s="176" t="n"/>
      <c r="I258" s="176" t="n"/>
      <c r="J258" s="176" t="n"/>
      <c r="K258" s="176" t="n"/>
      <c r="L258" s="176" t="n"/>
      <c r="M258" s="176" t="n"/>
      <c r="N258" s="176" t="n"/>
      <c r="O258" s="176" t="n"/>
      <c r="P258" s="176" t="n"/>
      <c r="Q258" s="176" t="n"/>
      <c r="R258" s="176" t="n"/>
      <c r="S258" s="176" t="n"/>
      <c r="T258" s="181">
        <f>SWITCH('CONFIGURAÇÃO'!$T$246,"Origem","","Marcante","","Menor","","Arma","VOLUME","Escudo","FORÇA","Uniforme","FORÇA","Item comum","","Ferramenta amaldiçoada","VOLUME","")</f>
        <v/>
      </c>
      <c r="U258" s="183" t="n"/>
      <c r="V258" s="185" t="n"/>
      <c r="W258" s="182" t="n"/>
      <c r="X258" s="182" t="n"/>
      <c r="Y258" s="183" t="n"/>
      <c r="Z258" s="176" t="n"/>
      <c r="AA258" s="176" t="n"/>
      <c r="AB258" s="181">
        <f>SWITCH('CONFIGURAÇÃO'!$AB$246,"Origem","","Marcante","","Menor","","Arma","VOLUME","Escudo","FORÇA","Uniforme","FORÇA","Item comum","","Ferramenta amaldiçoada","VOLUME","")</f>
        <v/>
      </c>
      <c r="AC258" s="183" t="n"/>
      <c r="AD258" s="185" t="n"/>
      <c r="AE258" s="182" t="n"/>
      <c r="AF258" s="182" t="n"/>
      <c r="AG258" s="183" t="n"/>
      <c r="AH258" s="176" t="n"/>
      <c r="AI258" s="176" t="n"/>
      <c r="AJ258" s="176" t="n"/>
      <c r="AK258" s="176" t="n"/>
      <c r="AL258" s="176" t="n"/>
      <c r="AM258" s="176" t="n"/>
      <c r="AN258" s="176" t="n"/>
      <c r="AO258" s="176" t="n"/>
      <c r="AP258" s="176" t="n"/>
      <c r="AQ258" s="176" t="n"/>
      <c r="AR258" s="176" t="n"/>
      <c r="AS258" s="176" t="n"/>
      <c r="AT258" s="176" t="n"/>
      <c r="AU258" s="176" t="n"/>
      <c r="AV258" s="176" t="n"/>
      <c r="AW258" s="176" t="n"/>
      <c r="AX258" s="176" t="n"/>
      <c r="AY258" s="176" t="n"/>
      <c r="AZ258" s="176" t="n"/>
      <c r="BA258" s="176" t="n"/>
      <c r="BB258" s="176" t="n"/>
      <c r="BC258" s="176" t="n"/>
      <c r="BD258" s="176" t="n"/>
      <c r="BE258" s="176" t="n"/>
      <c r="BF258" s="176" t="n"/>
      <c r="BG258" s="176" t="n"/>
      <c r="BH258" s="176" t="n"/>
      <c r="BI258" s="176" t="n"/>
      <c r="BJ258" s="176" t="n"/>
      <c r="BK258" s="176" t="n"/>
      <c r="BL258" s="176" t="n"/>
      <c r="BM258" s="176" t="n"/>
      <c r="BN258" s="176" t="n"/>
      <c r="BO258" s="176" t="n"/>
      <c r="BP258" s="176" t="n"/>
      <c r="BQ258" s="176" t="n"/>
      <c r="BR258" s="176" t="n"/>
      <c r="BS258" s="176" t="n"/>
      <c r="BT258" s="176" t="n"/>
      <c r="BU258" s="176" t="n"/>
      <c r="BV258" s="176" t="n"/>
      <c r="BW258" s="176" t="n"/>
      <c r="BX258" s="176" t="n"/>
      <c r="BY258" s="176" t="n"/>
      <c r="BZ258" s="176" t="n"/>
      <c r="CA258" s="176" t="n"/>
      <c r="CB258" s="176" t="n"/>
      <c r="CC258" s="176" t="n"/>
      <c r="CD258" s="176" t="n"/>
      <c r="CE258" s="176" t="n"/>
      <c r="CF258" s="176" t="n"/>
      <c r="CG258" s="176" t="n"/>
      <c r="CH258" s="176" t="n"/>
      <c r="CI258" s="176" t="n"/>
      <c r="CJ258" s="176" t="n"/>
      <c r="CK258" s="176" t="n"/>
      <c r="CL258" s="176" t="n"/>
      <c r="CM258" s="176" t="n"/>
      <c r="CN258" s="176" t="n"/>
      <c r="CO258" s="176" t="n"/>
      <c r="CP258" s="176" t="n"/>
      <c r="CQ258" s="176" t="n"/>
      <c r="CR258" s="176" t="n"/>
      <c r="CS258" s="176" t="n"/>
      <c r="CT258" s="176" t="n"/>
      <c r="CU258" s="176" t="n"/>
      <c r="CV258" s="176" t="n"/>
      <c r="CW258" s="176" t="n"/>
      <c r="CX258" s="176" t="n"/>
      <c r="CY258" s="176" t="n"/>
      <c r="CZ258" s="176" t="n"/>
      <c r="DA258" s="193" t="n"/>
      <c r="DF258" s="194" t="n"/>
      <c r="DG258" s="176" t="n"/>
      <c r="DH258" s="176" t="n"/>
      <c r="DI258" s="193" t="n"/>
      <c r="DN258" s="194" t="n"/>
      <c r="DO258" s="176" t="n"/>
      <c r="DP258" s="176" t="n"/>
      <c r="DQ258" s="176" t="n"/>
      <c r="DR258" s="181" t="inlineStr">
        <is>
          <t>BASE DO LIVRO</t>
        </is>
      </c>
      <c r="DS258" s="182" t="n"/>
      <c r="DT258" s="183" t="n"/>
      <c r="DU258" s="185" t="inlineStr">
        <is>
          <t>Nenhuma</t>
        </is>
      </c>
      <c r="DV258" s="182" t="n"/>
      <c r="DW258" s="183" t="n"/>
      <c r="DX258" s="176" t="n"/>
      <c r="DY258" s="176" t="n"/>
      <c r="DZ258" s="181" t="inlineStr">
        <is>
          <t>BASE DO LIVRO</t>
        </is>
      </c>
      <c r="EA258" s="182" t="n"/>
      <c r="EB258" s="183" t="n"/>
      <c r="EC258" s="185" t="inlineStr">
        <is>
          <t>Nenhuma</t>
        </is>
      </c>
      <c r="ED258" s="182" t="n"/>
      <c r="EE258" s="183" t="n"/>
      <c r="EF258" s="176" t="n"/>
      <c r="EG258" s="176" t="n"/>
      <c r="EH258" s="176" t="n"/>
      <c r="EI258" s="176" t="n"/>
      <c r="EJ258" s="176" t="n"/>
      <c r="EK258" s="176" t="n"/>
      <c r="EL258" s="176" t="n"/>
      <c r="EM258" s="176" t="n"/>
      <c r="EN258" s="176" t="n"/>
      <c r="EO258" s="176" t="n"/>
      <c r="EP258" s="176" t="n"/>
      <c r="EQ258" s="176" t="n"/>
      <c r="ER258" s="176" t="n"/>
      <c r="ES258" s="176" t="n"/>
      <c r="ET258" s="176" t="n"/>
      <c r="EU258" s="176" t="n"/>
      <c r="EV258" s="176" t="n"/>
      <c r="EW258" s="176" t="n"/>
      <c r="EX258" s="176" t="n"/>
      <c r="EY258" s="176" t="n"/>
      <c r="EZ258" s="176" t="n"/>
      <c r="FA258" s="176" t="n"/>
      <c r="FB258" s="176" t="n"/>
      <c r="FC258" s="176" t="n"/>
      <c r="FD258" s="176" t="n"/>
      <c r="FE258" s="176" t="n"/>
      <c r="FF258" s="176" t="n"/>
      <c r="FG258" s="176" t="n"/>
      <c r="FH258" s="176" t="n"/>
      <c r="FI258" s="176" t="n"/>
      <c r="FJ258" s="176" t="n"/>
      <c r="FK258" s="176" t="n"/>
      <c r="FL258" s="176" t="n"/>
      <c r="FM258" s="176" t="n"/>
      <c r="FN258" s="176" t="n"/>
      <c r="FO258" s="176" t="n"/>
      <c r="FP258" s="176" t="n"/>
      <c r="FQ258" s="176" t="n"/>
      <c r="FR258" s="176" t="n"/>
      <c r="FS258" s="176" t="n"/>
      <c r="FT258" s="176" t="n"/>
      <c r="FU258" s="176" t="n"/>
      <c r="FV258" s="176" t="n"/>
      <c r="FW258" s="176" t="n"/>
      <c r="FX258" s="176" t="n"/>
      <c r="FY258" s="176" t="n"/>
      <c r="FZ258" s="176" t="n"/>
      <c r="GA258" s="176" t="n"/>
      <c r="GB258" s="176" t="n"/>
      <c r="GC258" s="176" t="n"/>
      <c r="GD258" s="176" t="n"/>
      <c r="GE258" s="176" t="n"/>
      <c r="GF258" s="176" t="n"/>
      <c r="GG258" s="176" t="n"/>
      <c r="GH258" s="176" t="n"/>
      <c r="GI258" s="176" t="n"/>
      <c r="GJ258" s="176" t="n"/>
      <c r="GK258" s="176" t="n"/>
      <c r="GL258" s="176" t="n"/>
      <c r="GM258" s="176" t="n"/>
      <c r="GN258" s="176" t="n"/>
      <c r="GO258" s="176" t="n"/>
      <c r="GP258" s="176" t="n"/>
      <c r="GQ258" s="176" t="n"/>
      <c r="GR258" s="176" t="n"/>
      <c r="GS258" s="176" t="n"/>
      <c r="GT258" s="176" t="n"/>
      <c r="GU258" s="176" t="n"/>
      <c r="GV258" s="176" t="n"/>
      <c r="GW258" s="176" t="n"/>
      <c r="GX258" s="176" t="n"/>
      <c r="GY258" s="176" t="n"/>
      <c r="GZ258" s="176" t="n"/>
      <c r="HA258" s="176" t="n"/>
      <c r="HB258" s="176" t="n"/>
      <c r="HC258" s="176" t="n"/>
      <c r="HD258" s="176" t="n"/>
      <c r="HE258" s="176" t="n"/>
      <c r="HF258" s="176" t="n"/>
      <c r="HG258" s="176" t="n"/>
      <c r="HH258" s="176" t="n"/>
      <c r="HI258" s="176" t="n"/>
      <c r="HJ258" s="176" t="n"/>
      <c r="HK258" s="176" t="n"/>
      <c r="HL258" s="176" t="n"/>
      <c r="HM258" s="176" t="n"/>
      <c r="HN258" s="176" t="n"/>
      <c r="HO258" s="176" t="n"/>
      <c r="HP258" s="193" t="n"/>
      <c r="HU258" s="194" t="n"/>
      <c r="HV258" s="176" t="n"/>
      <c r="HW258" s="176" t="n"/>
      <c r="HX258" s="193" t="n"/>
      <c r="IC258" s="194" t="n"/>
      <c r="ID258" s="176" t="n"/>
    </row>
    <row r="259" ht="18.75" customHeight="1">
      <c r="A259" s="176" t="n"/>
      <c r="B259" s="176" t="n"/>
      <c r="C259" s="176" t="n"/>
      <c r="D259" s="176" t="n"/>
      <c r="E259" s="176" t="n"/>
      <c r="F259" s="176" t="n"/>
      <c r="G259" s="176" t="n"/>
      <c r="H259" s="176" t="n"/>
      <c r="I259" s="176" t="n"/>
      <c r="J259" s="176" t="n"/>
      <c r="K259" s="176" t="n"/>
      <c r="L259" s="176" t="n"/>
      <c r="M259" s="176" t="n"/>
      <c r="N259" s="176" t="n"/>
      <c r="O259" s="176" t="n"/>
      <c r="P259" s="176" t="n"/>
      <c r="Q259" s="176" t="n"/>
      <c r="R259" s="176" t="n"/>
      <c r="S259" s="176" t="n"/>
      <c r="T259" s="181">
        <f>SWITCH('CONFIGURAÇÃO'!$T$246,"Origem","","Marcante","","Menor","","Arma","ALCANCE","Escudo","VOLUME","Uniforme","VOLUME","Item comum","","Ferramenta amaldiçoada","PREÇO","")</f>
        <v/>
      </c>
      <c r="U259" s="183" t="n"/>
      <c r="V259" s="185" t="n"/>
      <c r="W259" s="182" t="n"/>
      <c r="X259" s="182" t="n"/>
      <c r="Y259" s="183" t="n"/>
      <c r="Z259" s="176" t="n"/>
      <c r="AA259" s="176" t="n"/>
      <c r="AB259" s="181">
        <f>SWITCH('CONFIGURAÇÃO'!$AB$246,"Origem","","Marcante","","Menor","","Arma","ALCANCE","Escudo","VOLUME","Uniforme","VOLUME","Item comum","","Ferramenta amaldiçoada","PREÇO","")</f>
        <v/>
      </c>
      <c r="AC259" s="183" t="n"/>
      <c r="AD259" s="185" t="n"/>
      <c r="AE259" s="182" t="n"/>
      <c r="AF259" s="182" t="n"/>
      <c r="AG259" s="183" t="n"/>
      <c r="AH259" s="176" t="n"/>
      <c r="AI259" s="176" t="n"/>
      <c r="AJ259" s="176" t="n"/>
      <c r="AK259" s="176" t="n"/>
      <c r="AL259" s="176" t="n"/>
      <c r="AM259" s="176" t="n"/>
      <c r="AN259" s="176" t="n"/>
      <c r="AO259" s="176" t="n"/>
      <c r="AP259" s="176" t="n"/>
      <c r="AQ259" s="176" t="n"/>
      <c r="AR259" s="176" t="n"/>
      <c r="AS259" s="176" t="n"/>
      <c r="AT259" s="176" t="n"/>
      <c r="AU259" s="176" t="n"/>
      <c r="AV259" s="176" t="n"/>
      <c r="AW259" s="176" t="n"/>
      <c r="AX259" s="176" t="n"/>
      <c r="AY259" s="176" t="n"/>
      <c r="AZ259" s="176" t="n"/>
      <c r="BA259" s="176" t="n"/>
      <c r="BB259" s="176" t="n"/>
      <c r="BC259" s="176" t="n"/>
      <c r="BD259" s="176" t="n"/>
      <c r="BE259" s="176" t="n"/>
      <c r="BF259" s="176" t="n"/>
      <c r="BG259" s="176" t="n"/>
      <c r="BH259" s="176" t="n"/>
      <c r="BI259" s="176" t="n"/>
      <c r="BJ259" s="176" t="n"/>
      <c r="BK259" s="176" t="n"/>
      <c r="BL259" s="176" t="n"/>
      <c r="BM259" s="176" t="n"/>
      <c r="BN259" s="176" t="n"/>
      <c r="BO259" s="176" t="n"/>
      <c r="BP259" s="176" t="n"/>
      <c r="BQ259" s="176" t="n"/>
      <c r="BR259" s="176" t="n"/>
      <c r="BS259" s="176" t="n"/>
      <c r="BT259" s="176" t="n"/>
      <c r="BU259" s="176" t="n"/>
      <c r="BV259" s="176" t="n"/>
      <c r="BW259" s="176" t="n"/>
      <c r="BX259" s="176" t="n"/>
      <c r="BY259" s="176" t="n"/>
      <c r="BZ259" s="176" t="n"/>
      <c r="CA259" s="176" t="n"/>
      <c r="CB259" s="176" t="n"/>
      <c r="CC259" s="176" t="n"/>
      <c r="CD259" s="176" t="n"/>
      <c r="CE259" s="176" t="n"/>
      <c r="CF259" s="176" t="n"/>
      <c r="CG259" s="176" t="n"/>
      <c r="CH259" s="176" t="n"/>
      <c r="CI259" s="176" t="n"/>
      <c r="CJ259" s="176" t="n"/>
      <c r="CK259" s="176" t="n"/>
      <c r="CL259" s="176" t="n"/>
      <c r="CM259" s="176" t="n"/>
      <c r="CN259" s="176" t="n"/>
      <c r="CO259" s="176" t="n"/>
      <c r="CP259" s="176" t="n"/>
      <c r="CQ259" s="176" t="n"/>
      <c r="CR259" s="176" t="n"/>
      <c r="CS259" s="176" t="n"/>
      <c r="CT259" s="176" t="n"/>
      <c r="CU259" s="176" t="n"/>
      <c r="CV259" s="176" t="n"/>
      <c r="CW259" s="176" t="n"/>
      <c r="CX259" s="176" t="n"/>
      <c r="CY259" s="176" t="n"/>
      <c r="CZ259" s="176" t="n"/>
      <c r="DA259" s="189" t="n"/>
      <c r="DB259" s="190" t="n"/>
      <c r="DC259" s="190" t="n"/>
      <c r="DD259" s="190" t="n"/>
      <c r="DE259" s="190" t="n"/>
      <c r="DF259" s="191" t="n"/>
      <c r="DG259" s="176" t="n"/>
      <c r="DH259" s="176" t="n"/>
      <c r="DI259" s="189" t="n"/>
      <c r="DJ259" s="190" t="n"/>
      <c r="DK259" s="190" t="n"/>
      <c r="DL259" s="190" t="n"/>
      <c r="DM259" s="190" t="n"/>
      <c r="DN259" s="191" t="n"/>
      <c r="DO259" s="176" t="n"/>
      <c r="DP259" s="176" t="n"/>
      <c r="DQ259" s="176" t="n"/>
      <c r="DR259" s="181" t="inlineStr">
        <is>
          <t>DEVOLUÇÃO</t>
        </is>
      </c>
      <c r="DS259" s="182" t="n"/>
      <c r="DT259" s="183" t="n"/>
      <c r="DU259" s="185" t="n"/>
      <c r="DV259" s="182" t="n"/>
      <c r="DW259" s="183" t="n"/>
      <c r="DX259" s="176" t="n"/>
      <c r="DY259" s="176" t="n"/>
      <c r="DZ259" s="181" t="inlineStr">
        <is>
          <t>DEVOLUÇÃO</t>
        </is>
      </c>
      <c r="EA259" s="182" t="n"/>
      <c r="EB259" s="183" t="n"/>
      <c r="EC259" s="185" t="n"/>
      <c r="ED259" s="182" t="n"/>
      <c r="EE259" s="183" t="n"/>
      <c r="EF259" s="176" t="n"/>
      <c r="EG259" s="176" t="n"/>
      <c r="EH259" s="176" t="n"/>
      <c r="EI259" s="176" t="n"/>
      <c r="EJ259" s="176" t="n"/>
      <c r="EK259" s="176" t="n"/>
      <c r="EL259" s="176" t="n"/>
      <c r="EM259" s="176" t="n"/>
      <c r="EN259" s="176" t="n"/>
      <c r="EO259" s="176" t="n"/>
      <c r="EP259" s="176" t="n"/>
      <c r="EQ259" s="176" t="n"/>
      <c r="ER259" s="176" t="n"/>
      <c r="ES259" s="176" t="n"/>
      <c r="ET259" s="176" t="n"/>
      <c r="EU259" s="176" t="n"/>
      <c r="EV259" s="176" t="n"/>
      <c r="EW259" s="176" t="n"/>
      <c r="EX259" s="176" t="n"/>
      <c r="EY259" s="176" t="n"/>
      <c r="EZ259" s="176" t="n"/>
      <c r="FA259" s="176" t="n"/>
      <c r="FB259" s="176" t="n"/>
      <c r="FC259" s="176" t="n"/>
      <c r="FD259" s="176" t="n"/>
      <c r="FE259" s="176" t="n"/>
      <c r="FF259" s="176" t="n"/>
      <c r="FG259" s="176" t="n"/>
      <c r="FH259" s="176" t="n"/>
      <c r="FI259" s="176" t="n"/>
      <c r="FJ259" s="176" t="n"/>
      <c r="FK259" s="176" t="n"/>
      <c r="FL259" s="176" t="n"/>
      <c r="FM259" s="176" t="n"/>
      <c r="FN259" s="176" t="n"/>
      <c r="FO259" s="176" t="n"/>
      <c r="FP259" s="176" t="n"/>
      <c r="FQ259" s="176" t="n"/>
      <c r="FR259" s="176" t="n"/>
      <c r="FS259" s="176" t="n"/>
      <c r="FT259" s="176" t="n"/>
      <c r="FU259" s="176" t="n"/>
      <c r="FV259" s="176" t="n"/>
      <c r="FW259" s="176" t="n"/>
      <c r="FX259" s="176" t="n"/>
      <c r="FY259" s="176" t="n"/>
      <c r="FZ259" s="176" t="n"/>
      <c r="GA259" s="176" t="n"/>
      <c r="GB259" s="176" t="n"/>
      <c r="GC259" s="176" t="n"/>
      <c r="GD259" s="176" t="n"/>
      <c r="GE259" s="176" t="n"/>
      <c r="GF259" s="176" t="n"/>
      <c r="GG259" s="176" t="n"/>
      <c r="GH259" s="176" t="n"/>
      <c r="GI259" s="176" t="n"/>
      <c r="GJ259" s="176" t="n"/>
      <c r="GK259" s="176" t="n"/>
      <c r="GL259" s="176" t="n"/>
      <c r="GM259" s="176" t="n"/>
      <c r="GN259" s="176" t="n"/>
      <c r="GO259" s="176" t="n"/>
      <c r="GP259" s="176" t="n"/>
      <c r="GQ259" s="176" t="n"/>
      <c r="GR259" s="176" t="n"/>
      <c r="GS259" s="176" t="n"/>
      <c r="GT259" s="176" t="n"/>
      <c r="GU259" s="176" t="n"/>
      <c r="GV259" s="176" t="n"/>
      <c r="GW259" s="176" t="n"/>
      <c r="GX259" s="176" t="n"/>
      <c r="GY259" s="176" t="n"/>
      <c r="GZ259" s="176" t="n"/>
      <c r="HA259" s="176" t="n"/>
      <c r="HB259" s="176" t="n"/>
      <c r="HC259" s="176" t="n"/>
      <c r="HD259" s="176" t="n"/>
      <c r="HE259" s="176" t="n"/>
      <c r="HF259" s="176" t="n"/>
      <c r="HG259" s="176" t="n"/>
      <c r="HH259" s="176" t="n"/>
      <c r="HI259" s="176" t="n"/>
      <c r="HJ259" s="176" t="n"/>
      <c r="HK259" s="176" t="n"/>
      <c r="HL259" s="176" t="n"/>
      <c r="HM259" s="176" t="n"/>
      <c r="HN259" s="176" t="n"/>
      <c r="HO259" s="176" t="n"/>
      <c r="HP259" s="189" t="n"/>
      <c r="HQ259" s="190" t="n"/>
      <c r="HR259" s="190" t="n"/>
      <c r="HS259" s="190" t="n"/>
      <c r="HT259" s="190" t="n"/>
      <c r="HU259" s="191" t="n"/>
      <c r="HV259" s="176" t="n"/>
      <c r="HW259" s="176" t="n"/>
      <c r="HX259" s="189" t="n"/>
      <c r="HY259" s="190" t="n"/>
      <c r="HZ259" s="190" t="n"/>
      <c r="IA259" s="190" t="n"/>
      <c r="IB259" s="190" t="n"/>
      <c r="IC259" s="191" t="n"/>
      <c r="ID259" s="176" t="n"/>
    </row>
    <row r="260" ht="18.75" customHeight="1">
      <c r="A260" s="176" t="n"/>
      <c r="B260" s="176" t="n"/>
      <c r="C260" s="176" t="n"/>
      <c r="D260" s="176" t="n"/>
      <c r="E260" s="176" t="n"/>
      <c r="F260" s="176" t="n"/>
      <c r="G260" s="176" t="n"/>
      <c r="H260" s="176" t="n"/>
      <c r="I260" s="176" t="n"/>
      <c r="J260" s="176" t="n"/>
      <c r="K260" s="176" t="n"/>
      <c r="L260" s="176" t="n"/>
      <c r="M260" s="176" t="n"/>
      <c r="N260" s="176" t="n"/>
      <c r="O260" s="176" t="n"/>
      <c r="P260" s="176" t="n"/>
      <c r="Q260" s="176" t="n"/>
      <c r="R260" s="176" t="n"/>
      <c r="S260" s="176" t="n"/>
      <c r="T260" s="181">
        <f>SWITCH('CONFIGURAÇÃO'!$T$246,"Origem","","Marcante","","Menor","","Arma","RECARGA","Escudo","PREÇO","Uniforme","PREÇO","Item comum","","Ferramenta amaldiçoada","","")</f>
        <v/>
      </c>
      <c r="U260" s="183" t="n"/>
      <c r="V260" s="185" t="n"/>
      <c r="W260" s="182" t="n"/>
      <c r="X260" s="182" t="n"/>
      <c r="Y260" s="183" t="n"/>
      <c r="Z260" s="176" t="n"/>
      <c r="AA260" s="176" t="n"/>
      <c r="AB260" s="181">
        <f>SWITCH('CONFIGURAÇÃO'!$AB$246,"Origem","","Marcante","","Menor","","Arma","RECARGA","Escudo","PREÇO","Uniforme","PREÇO","Item comum","","Ferramenta amaldiçoada","","")</f>
        <v/>
      </c>
      <c r="AC260" s="183" t="n"/>
      <c r="AD260" s="185" t="n"/>
      <c r="AE260" s="182" t="n"/>
      <c r="AF260" s="182" t="n"/>
      <c r="AG260" s="183" t="n"/>
      <c r="AH260" s="176" t="n"/>
      <c r="AI260" s="176" t="n"/>
      <c r="AJ260" s="176" t="n"/>
      <c r="AK260" s="176" t="n"/>
      <c r="AL260" s="176" t="n"/>
      <c r="AM260" s="176" t="n"/>
      <c r="AN260" s="176" t="n"/>
      <c r="AO260" s="176" t="n"/>
      <c r="AP260" s="176" t="n"/>
      <c r="AQ260" s="176" t="n"/>
      <c r="AR260" s="176" t="n"/>
      <c r="AS260" s="176" t="n"/>
      <c r="AT260" s="176" t="n"/>
      <c r="AU260" s="176" t="n"/>
      <c r="AV260" s="176" t="n"/>
      <c r="AW260" s="176" t="n"/>
      <c r="AX260" s="176" t="n"/>
      <c r="AY260" s="176" t="n"/>
      <c r="AZ260" s="176" t="n"/>
      <c r="BA260" s="176" t="n"/>
      <c r="BB260" s="176" t="n"/>
      <c r="BC260" s="176" t="n"/>
      <c r="BD260" s="176" t="n"/>
      <c r="BE260" s="176" t="n"/>
      <c r="BF260" s="176" t="n"/>
      <c r="BG260" s="176" t="n"/>
      <c r="BH260" s="176" t="n"/>
      <c r="BI260" s="176" t="n"/>
      <c r="BJ260" s="176" t="n"/>
      <c r="BK260" s="176" t="n"/>
      <c r="BL260" s="176" t="n"/>
      <c r="BM260" s="176" t="n"/>
      <c r="BN260" s="176" t="n"/>
      <c r="BO260" s="176" t="n"/>
      <c r="BP260" s="176" t="n"/>
      <c r="BQ260" s="176" t="n"/>
      <c r="BR260" s="176" t="n"/>
      <c r="BS260" s="176" t="n"/>
      <c r="BT260" s="176" t="n"/>
      <c r="BU260" s="176" t="n"/>
      <c r="BV260" s="176" t="n"/>
      <c r="BW260" s="176" t="n"/>
      <c r="BX260" s="176" t="n"/>
      <c r="BY260" s="176" t="n"/>
      <c r="BZ260" s="176" t="n"/>
      <c r="CA260" s="176" t="n"/>
      <c r="CB260" s="176" t="n"/>
      <c r="CC260" s="176" t="n"/>
      <c r="CD260" s="176" t="n"/>
      <c r="CE260" s="176" t="n"/>
      <c r="CF260" s="176" t="n"/>
      <c r="CG260" s="176" t="n"/>
      <c r="CH260" s="176" t="n"/>
      <c r="CI260" s="176" t="n"/>
      <c r="CJ260" s="176" t="n"/>
      <c r="CK260" s="176" t="n"/>
      <c r="CL260" s="176" t="n"/>
      <c r="CM260" s="176" t="n"/>
      <c r="CN260" s="176" t="n"/>
      <c r="CO260" s="176" t="n"/>
      <c r="CP260" s="176" t="n"/>
      <c r="CQ260" s="176" t="n"/>
      <c r="CR260" s="176" t="n"/>
      <c r="CS260" s="176" t="n"/>
      <c r="CT260" s="176" t="n"/>
      <c r="CU260" s="176" t="n"/>
      <c r="CV260" s="176" t="n"/>
      <c r="CW260" s="176" t="n"/>
      <c r="CX260" s="176" t="n"/>
      <c r="CY260" s="176" t="n"/>
      <c r="CZ260" s="176" t="n"/>
      <c r="DA260" s="176" t="n"/>
      <c r="DB260" s="176" t="n"/>
      <c r="DC260" s="176" t="n"/>
      <c r="DD260" s="176" t="n"/>
      <c r="DE260" s="176" t="n"/>
      <c r="DF260" s="176" t="n"/>
      <c r="DG260" s="176" t="n"/>
      <c r="DH260" s="176" t="n"/>
      <c r="DI260" s="176" t="n"/>
      <c r="DJ260" s="176" t="n"/>
      <c r="DK260" s="176" t="n"/>
      <c r="DL260" s="176" t="n"/>
      <c r="DM260" s="176" t="n"/>
      <c r="DN260" s="176" t="n"/>
      <c r="DO260" s="176" t="n"/>
      <c r="DP260" s="176" t="n"/>
      <c r="DQ260" s="176" t="n"/>
      <c r="DR260" s="181" t="inlineStr">
        <is>
          <t>FREQUÊNCIA</t>
        </is>
      </c>
      <c r="DS260" s="182" t="n"/>
      <c r="DT260" s="183" t="n"/>
      <c r="DU260" s="185" t="n"/>
      <c r="DV260" s="182" t="n"/>
      <c r="DW260" s="183" t="n"/>
      <c r="DX260" s="176" t="n"/>
      <c r="DY260" s="176" t="n"/>
      <c r="DZ260" s="181" t="inlineStr">
        <is>
          <t>FREQUÊNCIA</t>
        </is>
      </c>
      <c r="EA260" s="182" t="n"/>
      <c r="EB260" s="183" t="n"/>
      <c r="EC260" s="185" t="n"/>
      <c r="ED260" s="182" t="n"/>
      <c r="EE260" s="183" t="n"/>
      <c r="EF260" s="176" t="n"/>
      <c r="EG260" s="176" t="n"/>
      <c r="EH260" s="176" t="n"/>
      <c r="EI260" s="176" t="n"/>
      <c r="EJ260" s="176" t="n"/>
      <c r="EK260" s="176" t="n"/>
      <c r="EL260" s="176" t="n"/>
      <c r="EM260" s="176" t="n"/>
      <c r="EN260" s="176" t="n"/>
      <c r="EO260" s="176" t="n"/>
      <c r="EP260" s="176" t="n"/>
      <c r="EQ260" s="176" t="n"/>
      <c r="ER260" s="176" t="n"/>
      <c r="ES260" s="176" t="n"/>
      <c r="ET260" s="176" t="n"/>
      <c r="EU260" s="176" t="n"/>
      <c r="EV260" s="176" t="n"/>
      <c r="EW260" s="176" t="n"/>
      <c r="EX260" s="176" t="n"/>
      <c r="EY260" s="176" t="n"/>
      <c r="EZ260" s="176" t="n"/>
      <c r="FA260" s="176" t="n"/>
      <c r="FB260" s="176" t="n"/>
      <c r="FC260" s="176" t="n"/>
      <c r="FD260" s="176" t="n"/>
      <c r="FE260" s="176" t="n"/>
      <c r="FF260" s="176" t="n"/>
      <c r="FG260" s="176" t="n"/>
      <c r="FH260" s="176" t="n"/>
      <c r="FI260" s="176" t="n"/>
      <c r="FJ260" s="176" t="n"/>
      <c r="FK260" s="176" t="n"/>
      <c r="FL260" s="176" t="n"/>
      <c r="FM260" s="176" t="n"/>
      <c r="FN260" s="176" t="n"/>
      <c r="FO260" s="176" t="n"/>
      <c r="FP260" s="176" t="n"/>
      <c r="FQ260" s="176" t="n"/>
      <c r="FR260" s="176" t="n"/>
      <c r="FS260" s="176" t="n"/>
      <c r="FT260" s="176" t="n"/>
      <c r="FU260" s="176" t="n"/>
      <c r="FV260" s="176" t="n"/>
      <c r="FW260" s="176" t="n"/>
      <c r="FX260" s="176" t="n"/>
      <c r="FY260" s="176" t="n"/>
      <c r="FZ260" s="176" t="n"/>
      <c r="GA260" s="176" t="n"/>
      <c r="GB260" s="176" t="n"/>
      <c r="GC260" s="176" t="n"/>
      <c r="GD260" s="176" t="n"/>
      <c r="GE260" s="176" t="n"/>
      <c r="GF260" s="176" t="n"/>
      <c r="GG260" s="176" t="n"/>
      <c r="GH260" s="176" t="n"/>
      <c r="GI260" s="176" t="n"/>
      <c r="GJ260" s="176" t="n"/>
      <c r="GK260" s="176" t="n"/>
      <c r="GL260" s="176" t="n"/>
      <c r="GM260" s="176" t="n"/>
      <c r="GN260" s="176" t="n"/>
      <c r="GO260" s="176" t="n"/>
      <c r="GP260" s="176" t="n"/>
      <c r="GQ260" s="176" t="n"/>
      <c r="GR260" s="176" t="n"/>
      <c r="GS260" s="176" t="n"/>
      <c r="GT260" s="176" t="n"/>
      <c r="GU260" s="176" t="n"/>
      <c r="GV260" s="176" t="n"/>
      <c r="GW260" s="176" t="n"/>
      <c r="GX260" s="176" t="n"/>
      <c r="GY260" s="176" t="n"/>
      <c r="GZ260" s="176" t="n"/>
      <c r="HA260" s="176" t="n"/>
      <c r="HB260" s="176" t="n"/>
      <c r="HC260" s="176" t="n"/>
      <c r="HD260" s="176" t="n"/>
      <c r="HE260" s="176" t="n"/>
      <c r="HF260" s="176" t="n"/>
      <c r="HG260" s="176" t="n"/>
      <c r="HH260" s="176" t="n"/>
      <c r="HI260" s="176" t="n"/>
      <c r="HJ260" s="176" t="n"/>
      <c r="HK260" s="176" t="n"/>
      <c r="HL260" s="176" t="n"/>
      <c r="HM260" s="176" t="n"/>
      <c r="HN260" s="176" t="n"/>
      <c r="HO260" s="176" t="n"/>
      <c r="HP260" s="176" t="n"/>
      <c r="HQ260" s="176" t="n"/>
      <c r="HR260" s="176" t="n"/>
      <c r="HS260" s="176" t="n"/>
      <c r="HT260" s="176" t="n"/>
      <c r="HU260" s="176" t="n"/>
      <c r="HV260" s="176" t="n"/>
      <c r="HW260" s="176" t="n"/>
      <c r="HX260" s="176" t="n"/>
      <c r="HY260" s="176" t="n"/>
      <c r="HZ260" s="176" t="n"/>
      <c r="IA260" s="176" t="n"/>
      <c r="IB260" s="176" t="n"/>
      <c r="IC260" s="176" t="n"/>
      <c r="ID260" s="176" t="n"/>
    </row>
    <row r="261" ht="18.75" customHeight="1">
      <c r="A261" s="176" t="n"/>
      <c r="B261" s="176" t="n"/>
      <c r="C261" s="176" t="n"/>
      <c r="D261" s="176" t="n"/>
      <c r="E261" s="176" t="n"/>
      <c r="F261" s="176" t="n"/>
      <c r="G261" s="176" t="n"/>
      <c r="H261" s="176" t="n"/>
      <c r="I261" s="176" t="n"/>
      <c r="J261" s="176" t="n"/>
      <c r="K261" s="176" t="n"/>
      <c r="L261" s="176" t="n"/>
      <c r="M261" s="176" t="n"/>
      <c r="N261" s="176" t="n"/>
      <c r="O261" s="176" t="n"/>
      <c r="P261" s="176" t="n"/>
      <c r="Q261" s="176" t="n"/>
      <c r="R261" s="176" t="n"/>
      <c r="S261" s="176" t="n"/>
      <c r="T261" s="181">
        <f>SWITCH('CONFIGURAÇÃO'!$T$246,"Origem","","Marcante","","Menor","","Arma","PREÇO","Escudo","","Uniforme","","Item comum","","Ferramenta amaldiçoada","","")</f>
        <v/>
      </c>
      <c r="U261" s="183" t="n"/>
      <c r="V261" s="185" t="n"/>
      <c r="W261" s="182" t="n"/>
      <c r="X261" s="182" t="n"/>
      <c r="Y261" s="183" t="n"/>
      <c r="Z261" s="176" t="n"/>
      <c r="AA261" s="176" t="n"/>
      <c r="AB261" s="181">
        <f>SWITCH('CONFIGURAÇÃO'!$AB$246,"Origem","","Marcante","","Menor","","Arma","PREÇO","Escudo","","Uniforme","","Item comum","","Ferramenta amaldiçoada","","")</f>
        <v/>
      </c>
      <c r="AC261" s="183" t="n"/>
      <c r="AD261" s="185" t="n"/>
      <c r="AE261" s="182" t="n"/>
      <c r="AF261" s="182" t="n"/>
      <c r="AG261" s="183" t="n"/>
      <c r="AH261" s="176" t="n"/>
      <c r="AI261" s="176" t="n"/>
      <c r="AJ261" s="176" t="n"/>
      <c r="AK261" s="176" t="n"/>
      <c r="AL261" s="176" t="n"/>
      <c r="AM261" s="176" t="n"/>
      <c r="AN261" s="176" t="n"/>
      <c r="AO261" s="176" t="n"/>
      <c r="AP261" s="176" t="n"/>
      <c r="AQ261" s="176" t="n"/>
      <c r="AR261" s="176" t="n"/>
      <c r="AS261" s="176" t="n"/>
      <c r="AT261" s="176" t="n"/>
      <c r="AU261" s="176" t="n"/>
      <c r="AV261" s="176" t="n"/>
      <c r="AW261" s="176" t="n"/>
      <c r="AX261" s="176" t="n"/>
      <c r="AY261" s="176" t="n"/>
      <c r="AZ261" s="176" t="n"/>
      <c r="BA261" s="176" t="n"/>
      <c r="BB261" s="176" t="n"/>
      <c r="BC261" s="176" t="n"/>
      <c r="BD261" s="176" t="n"/>
      <c r="BE261" s="176" t="n"/>
      <c r="BF261" s="176" t="n"/>
      <c r="BG261" s="176" t="n"/>
      <c r="BH261" s="176" t="n"/>
      <c r="BI261" s="176" t="n"/>
      <c r="BJ261" s="176" t="n"/>
      <c r="BK261" s="176" t="n"/>
      <c r="BL261" s="176" t="n"/>
      <c r="BM261" s="176" t="n"/>
      <c r="BN261" s="176" t="n"/>
      <c r="BO261" s="176" t="n"/>
      <c r="BP261" s="176" t="n"/>
      <c r="BQ261" s="176" t="n"/>
      <c r="BR261" s="176" t="n"/>
      <c r="BS261" s="176" t="n"/>
      <c r="BT261" s="176" t="n"/>
      <c r="BU261" s="176" t="n"/>
      <c r="BV261" s="176" t="n"/>
      <c r="BW261" s="176" t="n"/>
      <c r="BX261" s="176" t="n"/>
      <c r="BY261" s="176" t="n"/>
      <c r="BZ261" s="176" t="n"/>
      <c r="CA261" s="176" t="n"/>
      <c r="CB261" s="176" t="n"/>
      <c r="CC261" s="176" t="n"/>
      <c r="CD261" s="176" t="n"/>
      <c r="CE261" s="176" t="n"/>
      <c r="CF261" s="176" t="n"/>
      <c r="CG261" s="176" t="n"/>
      <c r="CH261" s="176" t="n"/>
      <c r="CI261" s="176" t="n"/>
      <c r="CJ261" s="176" t="n"/>
      <c r="CK261" s="176" t="n"/>
      <c r="CL261" s="176" t="n"/>
      <c r="CM261" s="176" t="n"/>
      <c r="CN261" s="176" t="n"/>
      <c r="CO261" s="176" t="n"/>
      <c r="CP261" s="176" t="n"/>
      <c r="CQ261" s="176" t="n"/>
      <c r="CR261" s="176" t="n"/>
      <c r="CS261" s="176" t="n"/>
      <c r="CT261" s="176" t="n"/>
      <c r="CU261" s="176" t="n"/>
      <c r="CV261" s="176" t="n"/>
      <c r="CW261" s="176" t="n"/>
      <c r="CX261" s="176" t="n"/>
      <c r="CY261" s="176" t="n"/>
      <c r="CZ261" s="176" t="n"/>
      <c r="DA261" s="181" t="inlineStr">
        <is>
          <t>EFEITO</t>
        </is>
      </c>
      <c r="DB261" s="182" t="n"/>
      <c r="DC261" s="182" t="n"/>
      <c r="DD261" s="182" t="n"/>
      <c r="DE261" s="182" t="n"/>
      <c r="DF261" s="183" t="n"/>
      <c r="DG261" s="176" t="n"/>
      <c r="DH261" s="176" t="n"/>
      <c r="DI261" s="181" t="inlineStr">
        <is>
          <t>EFEITO</t>
        </is>
      </c>
      <c r="DJ261" s="182" t="n"/>
      <c r="DK261" s="182" t="n"/>
      <c r="DL261" s="182" t="n"/>
      <c r="DM261" s="182" t="n"/>
      <c r="DN261" s="183" t="n"/>
      <c r="DO261" s="176" t="n"/>
      <c r="DP261" s="176" t="n"/>
      <c r="DQ261" s="176" t="n"/>
      <c r="DR261" s="176" t="n"/>
      <c r="DS261" s="176" t="n"/>
      <c r="DT261" s="176" t="n"/>
      <c r="DU261" s="176" t="n"/>
      <c r="DV261" s="176" t="n"/>
      <c r="DW261" s="176" t="n"/>
      <c r="DX261" s="176" t="n"/>
      <c r="DY261" s="176" t="n"/>
      <c r="DZ261" s="176" t="n"/>
      <c r="EA261" s="176" t="n"/>
      <c r="EB261" s="176" t="n"/>
      <c r="EC261" s="176" t="n"/>
      <c r="ED261" s="176" t="n"/>
      <c r="EE261" s="176" t="n"/>
      <c r="EF261" s="176" t="n"/>
      <c r="EG261" s="176" t="n"/>
      <c r="EH261" s="176" t="n"/>
      <c r="EI261" s="176" t="n"/>
      <c r="EJ261" s="176" t="n"/>
      <c r="EK261" s="176" t="n"/>
      <c r="EL261" s="176" t="n"/>
      <c r="EM261" s="176" t="n"/>
      <c r="EN261" s="176" t="n"/>
      <c r="EO261" s="176" t="n"/>
      <c r="EP261" s="176" t="n"/>
      <c r="EQ261" s="176" t="n"/>
      <c r="ER261" s="176" t="n"/>
      <c r="ES261" s="176" t="n"/>
      <c r="ET261" s="176" t="n"/>
      <c r="EU261" s="176" t="n"/>
      <c r="EV261" s="176" t="n"/>
      <c r="EW261" s="176" t="n"/>
      <c r="EX261" s="176" t="n"/>
      <c r="EY261" s="176" t="n"/>
      <c r="EZ261" s="176" t="n"/>
      <c r="FA261" s="176" t="n"/>
      <c r="FB261" s="176" t="n"/>
      <c r="FC261" s="176" t="n"/>
      <c r="FD261" s="176" t="n"/>
      <c r="FE261" s="176" t="n"/>
      <c r="FF261" s="176" t="n"/>
      <c r="FG261" s="176" t="n"/>
      <c r="FH261" s="176" t="n"/>
      <c r="FI261" s="176" t="n"/>
      <c r="FJ261" s="176" t="n"/>
      <c r="FK261" s="176" t="n"/>
      <c r="FL261" s="176" t="n"/>
      <c r="FM261" s="176" t="n"/>
      <c r="FN261" s="176" t="n"/>
      <c r="FO261" s="176" t="n"/>
      <c r="FP261" s="176" t="n"/>
      <c r="FQ261" s="176" t="n"/>
      <c r="FR261" s="176" t="n"/>
      <c r="FS261" s="176" t="n"/>
      <c r="FT261" s="176" t="n"/>
      <c r="FU261" s="176" t="n"/>
      <c r="FV261" s="176" t="n"/>
      <c r="FW261" s="176" t="n"/>
      <c r="FX261" s="176" t="n"/>
      <c r="FY261" s="176" t="n"/>
      <c r="FZ261" s="176" t="n"/>
      <c r="GA261" s="176" t="n"/>
      <c r="GB261" s="176" t="n"/>
      <c r="GC261" s="176" t="n"/>
      <c r="GD261" s="176" t="n"/>
      <c r="GE261" s="176" t="n"/>
      <c r="GF261" s="176" t="n"/>
      <c r="GG261" s="176" t="n"/>
      <c r="GH261" s="176" t="n"/>
      <c r="GI261" s="176" t="n"/>
      <c r="GJ261" s="176" t="n"/>
      <c r="GK261" s="176" t="n"/>
      <c r="GL261" s="176" t="n"/>
      <c r="GM261" s="176" t="n"/>
      <c r="GN261" s="176" t="n"/>
      <c r="GO261" s="176" t="n"/>
      <c r="GP261" s="176" t="n"/>
      <c r="GQ261" s="176" t="n"/>
      <c r="GR261" s="176" t="n"/>
      <c r="GS261" s="176" t="n"/>
      <c r="GT261" s="176" t="n"/>
      <c r="GU261" s="176" t="n"/>
      <c r="GV261" s="176" t="n"/>
      <c r="GW261" s="176" t="n"/>
      <c r="GX261" s="176" t="n"/>
      <c r="GY261" s="176" t="n"/>
      <c r="GZ261" s="176" t="n"/>
      <c r="HA261" s="176" t="n"/>
      <c r="HB261" s="176" t="n"/>
      <c r="HC261" s="176" t="n"/>
      <c r="HD261" s="176" t="n"/>
      <c r="HE261" s="176" t="n"/>
      <c r="HF261" s="176" t="n"/>
      <c r="HG261" s="176" t="n"/>
      <c r="HH261" s="176" t="n"/>
      <c r="HI261" s="176" t="n"/>
      <c r="HJ261" s="176" t="n"/>
      <c r="HK261" s="176" t="n"/>
      <c r="HL261" s="176" t="n"/>
      <c r="HM261" s="176" t="n"/>
      <c r="HN261" s="176" t="n"/>
      <c r="HO261" s="176" t="n"/>
      <c r="HP261" s="180">
        <f>IF('DADOS_ENTIDADES'!$AG$18="","","⚠ "&amp;'DADOS_ENTIDADES'!$AG$18)</f>
        <v/>
      </c>
      <c r="HV261" s="176" t="n"/>
      <c r="HW261" s="176" t="n"/>
      <c r="HX261" s="180">
        <f>IF('DADOS_ENTIDADES'!$AG$19="","","⚠ "&amp;'DADOS_ENTIDADES'!$AG$19)</f>
        <v/>
      </c>
      <c r="ID261" s="176" t="n"/>
    </row>
    <row r="262" ht="18.75" customHeight="1">
      <c r="A262" s="176" t="n"/>
      <c r="B262" s="176" t="n"/>
      <c r="C262" s="176" t="n"/>
      <c r="D262" s="176" t="n"/>
      <c r="E262" s="176" t="n"/>
      <c r="F262" s="176" t="n"/>
      <c r="G262" s="176" t="n"/>
      <c r="H262" s="176" t="n"/>
      <c r="I262" s="176" t="n"/>
      <c r="J262" s="176" t="n"/>
      <c r="K262" s="176" t="n"/>
      <c r="L262" s="176" t="n"/>
      <c r="M262" s="176" t="n"/>
      <c r="N262" s="176" t="n"/>
      <c r="O262" s="176" t="n"/>
      <c r="P262" s="176" t="n"/>
      <c r="Q262" s="176" t="n"/>
      <c r="R262" s="176" t="n"/>
      <c r="S262" s="176" t="n"/>
      <c r="T262" s="181" t="inlineStr">
        <is>
          <t>EFEITO · DESCRIÇÃO</t>
        </is>
      </c>
      <c r="U262" s="182" t="n"/>
      <c r="V262" s="182" t="n"/>
      <c r="W262" s="182" t="n"/>
      <c r="X262" s="182" t="n"/>
      <c r="Y262" s="183" t="n"/>
      <c r="Z262" s="176" t="n"/>
      <c r="AA262" s="176" t="n"/>
      <c r="AB262" s="181" t="inlineStr">
        <is>
          <t>EFEITO · DESCRIÇÃO</t>
        </is>
      </c>
      <c r="AC262" s="182" t="n"/>
      <c r="AD262" s="182" t="n"/>
      <c r="AE262" s="182" t="n"/>
      <c r="AF262" s="182" t="n"/>
      <c r="AG262" s="183" t="n"/>
      <c r="AH262" s="176" t="n"/>
      <c r="AI262" s="176" t="n"/>
      <c r="AJ262" s="176" t="n"/>
      <c r="AK262" s="176" t="n"/>
      <c r="AL262" s="176" t="n"/>
      <c r="AM262" s="176" t="n"/>
      <c r="AN262" s="176" t="n"/>
      <c r="AO262" s="176" t="n"/>
      <c r="AP262" s="176" t="n"/>
      <c r="AQ262" s="176" t="n"/>
      <c r="AR262" s="176" t="n"/>
      <c r="AS262" s="176" t="n"/>
      <c r="AT262" s="176" t="n"/>
      <c r="AU262" s="176" t="n"/>
      <c r="AV262" s="176" t="n"/>
      <c r="AW262" s="176" t="n"/>
      <c r="AX262" s="176" t="n"/>
      <c r="AY262" s="176" t="n"/>
      <c r="AZ262" s="176" t="n"/>
      <c r="BA262" s="176" t="n"/>
      <c r="BB262" s="176" t="n"/>
      <c r="BC262" s="176" t="n"/>
      <c r="BD262" s="176" t="n"/>
      <c r="BE262" s="176" t="n"/>
      <c r="BF262" s="176" t="n"/>
      <c r="BG262" s="176" t="n"/>
      <c r="BH262" s="176" t="n"/>
      <c r="BI262" s="176" t="n"/>
      <c r="BJ262" s="176" t="n"/>
      <c r="BK262" s="176" t="n"/>
      <c r="BL262" s="176" t="n"/>
      <c r="BM262" s="176" t="n"/>
      <c r="BN262" s="176" t="n"/>
      <c r="BO262" s="176" t="n"/>
      <c r="BP262" s="176" t="n"/>
      <c r="BQ262" s="176" t="n"/>
      <c r="BR262" s="176" t="n"/>
      <c r="BS262" s="176" t="n"/>
      <c r="BT262" s="176" t="n"/>
      <c r="BU262" s="176" t="n"/>
      <c r="BV262" s="176" t="n"/>
      <c r="BW262" s="176" t="n"/>
      <c r="BX262" s="176" t="n"/>
      <c r="BY262" s="176" t="n"/>
      <c r="BZ262" s="176" t="n"/>
      <c r="CA262" s="176" t="n"/>
      <c r="CB262" s="176" t="n"/>
      <c r="CC262" s="176" t="n"/>
      <c r="CD262" s="176" t="n"/>
      <c r="CE262" s="176" t="n"/>
      <c r="CF262" s="176" t="n"/>
      <c r="CG262" s="176" t="n"/>
      <c r="CH262" s="176" t="n"/>
      <c r="CI262" s="176" t="n"/>
      <c r="CJ262" s="176" t="n"/>
      <c r="CK262" s="176" t="n"/>
      <c r="CL262" s="176" t="n"/>
      <c r="CM262" s="176" t="n"/>
      <c r="CN262" s="176" t="n"/>
      <c r="CO262" s="176" t="n"/>
      <c r="CP262" s="176" t="n"/>
      <c r="CQ262" s="176" t="n"/>
      <c r="CR262" s="176" t="n"/>
      <c r="CS262" s="176" t="n"/>
      <c r="CT262" s="176" t="n"/>
      <c r="CU262" s="176" t="n"/>
      <c r="CV262" s="176" t="n"/>
      <c r="CW262" s="176" t="n"/>
      <c r="CX262" s="176" t="n"/>
      <c r="CY262" s="176" t="n"/>
      <c r="CZ262" s="176" t="n"/>
      <c r="DA262" s="192" t="n"/>
      <c r="DB262" s="187" t="n"/>
      <c r="DC262" s="187" t="n"/>
      <c r="DD262" s="187" t="n"/>
      <c r="DE262" s="187" t="n"/>
      <c r="DF262" s="188" t="n"/>
      <c r="DG262" s="176" t="n"/>
      <c r="DH262" s="176" t="n"/>
      <c r="DI262" s="192" t="n"/>
      <c r="DJ262" s="187" t="n"/>
      <c r="DK262" s="187" t="n"/>
      <c r="DL262" s="187" t="n"/>
      <c r="DM262" s="187" t="n"/>
      <c r="DN262" s="188" t="n"/>
      <c r="DO262" s="176" t="n"/>
      <c r="DP262" s="176" t="n"/>
      <c r="DQ262" s="176" t="n"/>
      <c r="DR262" s="181" t="inlineStr">
        <is>
          <t>EFEITO E REQUISITOS</t>
        </is>
      </c>
      <c r="DS262" s="182" t="n"/>
      <c r="DT262" s="182" t="n"/>
      <c r="DU262" s="182" t="n"/>
      <c r="DV262" s="182" t="n"/>
      <c r="DW262" s="183" t="n"/>
      <c r="DX262" s="176" t="n"/>
      <c r="DY262" s="176" t="n"/>
      <c r="DZ262" s="181" t="inlineStr">
        <is>
          <t>EFEITO E REQUISITOS</t>
        </is>
      </c>
      <c r="EA262" s="182" t="n"/>
      <c r="EB262" s="182" t="n"/>
      <c r="EC262" s="182" t="n"/>
      <c r="ED262" s="182" t="n"/>
      <c r="EE262" s="183" t="n"/>
      <c r="EF262" s="176" t="n"/>
      <c r="EG262" s="176" t="n"/>
      <c r="EH262" s="176" t="n"/>
      <c r="EI262" s="176" t="n"/>
      <c r="EJ262" s="176" t="n"/>
      <c r="EK262" s="176" t="n"/>
      <c r="EL262" s="176" t="n"/>
      <c r="EM262" s="176" t="n"/>
      <c r="EN262" s="176" t="n"/>
      <c r="EO262" s="176" t="n"/>
      <c r="EP262" s="176" t="n"/>
      <c r="EQ262" s="176" t="n"/>
      <c r="ER262" s="176" t="n"/>
      <c r="ES262" s="176" t="n"/>
      <c r="ET262" s="176" t="n"/>
      <c r="EU262" s="176" t="n"/>
      <c r="EV262" s="176" t="n"/>
      <c r="EW262" s="176" t="n"/>
      <c r="EX262" s="176" t="n"/>
      <c r="EY262" s="176" t="n"/>
      <c r="EZ262" s="176" t="n"/>
      <c r="FA262" s="176" t="n"/>
      <c r="FB262" s="176" t="n"/>
      <c r="FC262" s="176" t="n"/>
      <c r="FD262" s="176" t="n"/>
      <c r="FE262" s="176" t="n"/>
      <c r="FF262" s="176" t="n"/>
      <c r="FG262" s="176" t="n"/>
      <c r="FH262" s="176" t="n"/>
      <c r="FI262" s="176" t="n"/>
      <c r="FJ262" s="176" t="n"/>
      <c r="FK262" s="176" t="n"/>
      <c r="FL262" s="176" t="n"/>
      <c r="FM262" s="176" t="n"/>
      <c r="FN262" s="176" t="n"/>
      <c r="FO262" s="176" t="n"/>
      <c r="FP262" s="176" t="n"/>
      <c r="FQ262" s="176" t="n"/>
      <c r="FR262" s="176" t="n"/>
      <c r="FS262" s="176" t="n"/>
      <c r="FT262" s="176" t="n"/>
      <c r="FU262" s="176" t="n"/>
      <c r="FV262" s="176" t="n"/>
      <c r="FW262" s="176" t="n"/>
      <c r="FX262" s="176" t="n"/>
      <c r="FY262" s="176" t="n"/>
      <c r="FZ262" s="176" t="n"/>
      <c r="GA262" s="176" t="n"/>
      <c r="GB262" s="176" t="n"/>
      <c r="GC262" s="176" t="n"/>
      <c r="GD262" s="176" t="n"/>
      <c r="GE262" s="176" t="n"/>
      <c r="GF262" s="176" t="n"/>
      <c r="GG262" s="176" t="n"/>
      <c r="GH262" s="176" t="n"/>
      <c r="GI262" s="176" t="n"/>
      <c r="GJ262" s="176" t="n"/>
      <c r="GK262" s="176" t="n"/>
      <c r="GL262" s="176" t="n"/>
      <c r="GM262" s="176" t="n"/>
      <c r="GN262" s="176" t="n"/>
      <c r="GO262" s="176" t="n"/>
      <c r="GP262" s="176" t="n"/>
      <c r="GQ262" s="176" t="n"/>
      <c r="GR262" s="176" t="n"/>
      <c r="GS262" s="176" t="n"/>
      <c r="GT262" s="176" t="n"/>
      <c r="GU262" s="176" t="n"/>
      <c r="GV262" s="176" t="n"/>
      <c r="GW262" s="176" t="n"/>
      <c r="GX262" s="176" t="n"/>
      <c r="GY262" s="176" t="n"/>
      <c r="GZ262" s="176" t="n"/>
      <c r="HA262" s="176" t="n"/>
      <c r="HB262" s="176" t="n"/>
      <c r="HC262" s="176" t="n"/>
      <c r="HD262" s="176" t="n"/>
      <c r="HE262" s="176" t="n"/>
      <c r="HF262" s="176" t="n"/>
      <c r="HG262" s="176" t="n"/>
      <c r="HH262" s="176" t="n"/>
      <c r="HI262" s="176" t="n"/>
      <c r="HJ262" s="176" t="n"/>
      <c r="HK262" s="176" t="n"/>
      <c r="HL262" s="176" t="n"/>
      <c r="HM262" s="176" t="n"/>
      <c r="HN262" s="176" t="n"/>
      <c r="HO262" s="176" t="n"/>
      <c r="HV262" s="176" t="n"/>
      <c r="HW262" s="176" t="n"/>
      <c r="ID262" s="176" t="n"/>
    </row>
    <row r="263" ht="18.75" customHeight="1">
      <c r="A263" s="176" t="n"/>
      <c r="B263" s="176" t="n"/>
      <c r="C263" s="176" t="n"/>
      <c r="D263" s="176" t="n"/>
      <c r="E263" s="176" t="n"/>
      <c r="F263" s="176" t="n"/>
      <c r="G263" s="176" t="n"/>
      <c r="H263" s="176" t="n"/>
      <c r="I263" s="176" t="n"/>
      <c r="J263" s="176" t="n"/>
      <c r="K263" s="176" t="n"/>
      <c r="L263" s="176" t="n"/>
      <c r="M263" s="176" t="n"/>
      <c r="N263" s="176" t="n"/>
      <c r="O263" s="176" t="n"/>
      <c r="P263" s="176" t="n"/>
      <c r="Q263" s="176" t="n"/>
      <c r="R263" s="176" t="n"/>
      <c r="S263" s="176" t="n"/>
      <c r="T263" s="192" t="n"/>
      <c r="U263" s="187" t="n"/>
      <c r="V263" s="187" t="n"/>
      <c r="W263" s="187" t="n"/>
      <c r="X263" s="187" t="n"/>
      <c r="Y263" s="188" t="n"/>
      <c r="Z263" s="176" t="n"/>
      <c r="AA263" s="176" t="n"/>
      <c r="AB263" s="192" t="n"/>
      <c r="AC263" s="187" t="n"/>
      <c r="AD263" s="187" t="n"/>
      <c r="AE263" s="187" t="n"/>
      <c r="AF263" s="187" t="n"/>
      <c r="AG263" s="188" t="n"/>
      <c r="AH263" s="176" t="n"/>
      <c r="AI263" s="176" t="n"/>
      <c r="AJ263" s="176" t="n"/>
      <c r="AK263" s="176" t="n"/>
      <c r="AL263" s="176" t="n"/>
      <c r="AM263" s="176" t="n"/>
      <c r="AN263" s="176" t="n"/>
      <c r="AO263" s="176" t="n"/>
      <c r="AP263" s="176" t="n"/>
      <c r="AQ263" s="176" t="n"/>
      <c r="AR263" s="176" t="n"/>
      <c r="AS263" s="176" t="n"/>
      <c r="AT263" s="176" t="n"/>
      <c r="AU263" s="176" t="n"/>
      <c r="AV263" s="176" t="n"/>
      <c r="AW263" s="176" t="n"/>
      <c r="AX263" s="176" t="n"/>
      <c r="AY263" s="176" t="n"/>
      <c r="AZ263" s="176" t="n"/>
      <c r="BA263" s="176" t="n"/>
      <c r="BB263" s="176" t="n"/>
      <c r="BC263" s="176" t="n"/>
      <c r="BD263" s="176" t="n"/>
      <c r="BE263" s="176" t="n"/>
      <c r="BF263" s="176" t="n"/>
      <c r="BG263" s="176" t="n"/>
      <c r="BH263" s="176" t="n"/>
      <c r="BI263" s="176" t="n"/>
      <c r="BJ263" s="176" t="n"/>
      <c r="BK263" s="176" t="n"/>
      <c r="BL263" s="176" t="n"/>
      <c r="BM263" s="176" t="n"/>
      <c r="BN263" s="176" t="n"/>
      <c r="BO263" s="176" t="n"/>
      <c r="BP263" s="176" t="n"/>
      <c r="BQ263" s="176" t="n"/>
      <c r="BR263" s="176" t="n"/>
      <c r="BS263" s="176" t="n"/>
      <c r="BT263" s="176" t="n"/>
      <c r="BU263" s="176" t="n"/>
      <c r="BV263" s="176" t="n"/>
      <c r="BW263" s="176" t="n"/>
      <c r="BX263" s="176" t="n"/>
      <c r="BY263" s="176" t="n"/>
      <c r="BZ263" s="176" t="n"/>
      <c r="CA263" s="176" t="n"/>
      <c r="CB263" s="176" t="n"/>
      <c r="CC263" s="176" t="n"/>
      <c r="CD263" s="176" t="n"/>
      <c r="CE263" s="176" t="n"/>
      <c r="CF263" s="176" t="n"/>
      <c r="CG263" s="176" t="n"/>
      <c r="CH263" s="176" t="n"/>
      <c r="CI263" s="176" t="n"/>
      <c r="CJ263" s="176" t="n"/>
      <c r="CK263" s="176" t="n"/>
      <c r="CL263" s="176" t="n"/>
      <c r="CM263" s="176" t="n"/>
      <c r="CN263" s="176" t="n"/>
      <c r="CO263" s="176" t="n"/>
      <c r="CP263" s="176" t="n"/>
      <c r="CQ263" s="176" t="n"/>
      <c r="CR263" s="176" t="n"/>
      <c r="CS263" s="176" t="n"/>
      <c r="CT263" s="176" t="n"/>
      <c r="CU263" s="176" t="n"/>
      <c r="CV263" s="176" t="n"/>
      <c r="CW263" s="176" t="n"/>
      <c r="CX263" s="176" t="n"/>
      <c r="CY263" s="176" t="n"/>
      <c r="CZ263" s="176" t="n"/>
      <c r="DA263" s="193" t="n"/>
      <c r="DF263" s="194" t="n"/>
      <c r="DG263" s="176" t="n"/>
      <c r="DH263" s="176" t="n"/>
      <c r="DI263" s="193" t="n"/>
      <c r="DN263" s="194" t="n"/>
      <c r="DO263" s="176" t="n"/>
      <c r="DP263" s="176" t="n"/>
      <c r="DQ263" s="176" t="n"/>
      <c r="DR263" s="192" t="n"/>
      <c r="DS263" s="187" t="n"/>
      <c r="DT263" s="187" t="n"/>
      <c r="DU263" s="187" t="n"/>
      <c r="DV263" s="187" t="n"/>
      <c r="DW263" s="188" t="n"/>
      <c r="DX263" s="176" t="n"/>
      <c r="DY263" s="176" t="n"/>
      <c r="DZ263" s="192" t="n"/>
      <c r="EA263" s="187" t="n"/>
      <c r="EB263" s="187" t="n"/>
      <c r="EC263" s="187" t="n"/>
      <c r="ED263" s="187" t="n"/>
      <c r="EE263" s="188" t="n"/>
      <c r="EF263" s="176" t="n"/>
      <c r="EG263" s="176" t="n"/>
      <c r="EH263" s="176" t="n"/>
      <c r="EI263" s="176" t="n"/>
      <c r="EJ263" s="176" t="n"/>
      <c r="EK263" s="176" t="n"/>
      <c r="EL263" s="176" t="n"/>
      <c r="EM263" s="176" t="n"/>
      <c r="EN263" s="176" t="n"/>
      <c r="EO263" s="176" t="n"/>
      <c r="EP263" s="176" t="n"/>
      <c r="EQ263" s="176" t="n"/>
      <c r="ER263" s="176" t="n"/>
      <c r="ES263" s="176" t="n"/>
      <c r="ET263" s="176" t="n"/>
      <c r="EU263" s="176" t="n"/>
      <c r="EV263" s="176" t="n"/>
      <c r="EW263" s="176" t="n"/>
      <c r="EX263" s="176" t="n"/>
      <c r="EY263" s="176" t="n"/>
      <c r="EZ263" s="176" t="n"/>
      <c r="FA263" s="176" t="n"/>
      <c r="FB263" s="176" t="n"/>
      <c r="FC263" s="176" t="n"/>
      <c r="FD263" s="176" t="n"/>
      <c r="FE263" s="176" t="n"/>
      <c r="FF263" s="176" t="n"/>
      <c r="FG263" s="176" t="n"/>
      <c r="FH263" s="176" t="n"/>
      <c r="FI263" s="176" t="n"/>
      <c r="FJ263" s="176" t="n"/>
      <c r="FK263" s="176" t="n"/>
      <c r="FL263" s="176" t="n"/>
      <c r="FM263" s="176" t="n"/>
      <c r="FN263" s="176" t="n"/>
      <c r="FO263" s="176" t="n"/>
      <c r="FP263" s="176" t="n"/>
      <c r="FQ263" s="176" t="n"/>
      <c r="FR263" s="176" t="n"/>
      <c r="FS263" s="176" t="n"/>
      <c r="FT263" s="176" t="n"/>
      <c r="FU263" s="176" t="n"/>
      <c r="FV263" s="176" t="n"/>
      <c r="FW263" s="176" t="n"/>
      <c r="FX263" s="176" t="n"/>
      <c r="FY263" s="176" t="n"/>
      <c r="FZ263" s="176" t="n"/>
      <c r="GA263" s="176" t="n"/>
      <c r="GB263" s="176" t="n"/>
      <c r="GC263" s="176" t="n"/>
      <c r="GD263" s="176" t="n"/>
      <c r="GE263" s="176" t="n"/>
      <c r="GF263" s="176" t="n"/>
      <c r="GG263" s="176" t="n"/>
      <c r="GH263" s="176" t="n"/>
      <c r="GI263" s="176" t="n"/>
      <c r="GJ263" s="176" t="n"/>
      <c r="GK263" s="176" t="n"/>
      <c r="GL263" s="176" t="n"/>
      <c r="GM263" s="176" t="n"/>
      <c r="GN263" s="176" t="n"/>
      <c r="GO263" s="176" t="n"/>
      <c r="GP263" s="176" t="n"/>
      <c r="GQ263" s="176" t="n"/>
      <c r="GR263" s="176" t="n"/>
      <c r="GS263" s="176" t="n"/>
      <c r="GT263" s="176" t="n"/>
      <c r="GU263" s="176" t="n"/>
      <c r="GV263" s="176" t="n"/>
      <c r="GW263" s="176" t="n"/>
      <c r="GX263" s="176" t="n"/>
      <c r="GY263" s="176" t="n"/>
      <c r="GZ263" s="176" t="n"/>
      <c r="HA263" s="176" t="n"/>
      <c r="HB263" s="176" t="n"/>
      <c r="HC263" s="176" t="n"/>
      <c r="HD263" s="176" t="n"/>
      <c r="HE263" s="176" t="n"/>
      <c r="HF263" s="176" t="n"/>
      <c r="HG263" s="176" t="n"/>
      <c r="HH263" s="176" t="n"/>
      <c r="HI263" s="176" t="n"/>
      <c r="HJ263" s="176" t="n"/>
      <c r="HK263" s="176" t="n"/>
      <c r="HL263" s="176" t="n"/>
      <c r="HM263" s="176" t="n"/>
      <c r="HN263" s="176" t="n"/>
      <c r="HO263" s="176" t="n"/>
      <c r="HP263" s="179" t="inlineStr">
        <is>
          <t>TALENTO · ENTIDADE · 19</t>
        </is>
      </c>
      <c r="HV263" s="176" t="n"/>
      <c r="HW263" s="176" t="n"/>
      <c r="HX263" s="179" t="inlineStr">
        <is>
          <t>TALENTO · ENTIDADE · 20</t>
        </is>
      </c>
      <c r="ID263" s="176" t="n"/>
    </row>
    <row r="264" ht="18.75" customHeight="1">
      <c r="A264" s="176" t="n"/>
      <c r="B264" s="176" t="n"/>
      <c r="C264" s="176" t="n"/>
      <c r="D264" s="176" t="n"/>
      <c r="E264" s="176" t="n"/>
      <c r="F264" s="176" t="n"/>
      <c r="G264" s="176" t="n"/>
      <c r="H264" s="176" t="n"/>
      <c r="I264" s="176" t="n"/>
      <c r="J264" s="176" t="n"/>
      <c r="K264" s="176" t="n"/>
      <c r="L264" s="176" t="n"/>
      <c r="M264" s="176" t="n"/>
      <c r="N264" s="176" t="n"/>
      <c r="O264" s="176" t="n"/>
      <c r="P264" s="176" t="n"/>
      <c r="Q264" s="176" t="n"/>
      <c r="R264" s="176" t="n"/>
      <c r="S264" s="176" t="n"/>
      <c r="T264" s="193" t="n"/>
      <c r="Y264" s="194" t="n"/>
      <c r="Z264" s="176" t="n"/>
      <c r="AA264" s="176" t="n"/>
      <c r="AB264" s="193" t="n"/>
      <c r="AG264" s="194" t="n"/>
      <c r="AH264" s="176" t="n"/>
      <c r="AI264" s="176" t="n"/>
      <c r="AJ264" s="176" t="n"/>
      <c r="AK264" s="176" t="n"/>
      <c r="AL264" s="176" t="n"/>
      <c r="AM264" s="176" t="n"/>
      <c r="AN264" s="176" t="n"/>
      <c r="AO264" s="176" t="n"/>
      <c r="AP264" s="176" t="n"/>
      <c r="AQ264" s="176" t="n"/>
      <c r="AR264" s="176" t="n"/>
      <c r="AS264" s="176" t="n"/>
      <c r="AT264" s="176" t="n"/>
      <c r="AU264" s="176" t="n"/>
      <c r="AV264" s="176" t="n"/>
      <c r="AW264" s="176" t="n"/>
      <c r="AX264" s="176" t="n"/>
      <c r="AY264" s="176" t="n"/>
      <c r="AZ264" s="176" t="n"/>
      <c r="BA264" s="176" t="n"/>
      <c r="BB264" s="176" t="n"/>
      <c r="BC264" s="176" t="n"/>
      <c r="BD264" s="176" t="n"/>
      <c r="BE264" s="176" t="n"/>
      <c r="BF264" s="176" t="n"/>
      <c r="BG264" s="176" t="n"/>
      <c r="BH264" s="176" t="n"/>
      <c r="BI264" s="176" t="n"/>
      <c r="BJ264" s="176" t="n"/>
      <c r="BK264" s="176" t="n"/>
      <c r="BL264" s="176" t="n"/>
      <c r="BM264" s="176" t="n"/>
      <c r="BN264" s="176" t="n"/>
      <c r="BO264" s="176" t="n"/>
      <c r="BP264" s="176" t="n"/>
      <c r="BQ264" s="176" t="n"/>
      <c r="BR264" s="176" t="n"/>
      <c r="BS264" s="176" t="n"/>
      <c r="BT264" s="176" t="n"/>
      <c r="BU264" s="176" t="n"/>
      <c r="BV264" s="176" t="n"/>
      <c r="BW264" s="176" t="n"/>
      <c r="BX264" s="176" t="n"/>
      <c r="BY264" s="176" t="n"/>
      <c r="BZ264" s="176" t="n"/>
      <c r="CA264" s="176" t="n"/>
      <c r="CB264" s="176" t="n"/>
      <c r="CC264" s="176" t="n"/>
      <c r="CD264" s="176" t="n"/>
      <c r="CE264" s="176" t="n"/>
      <c r="CF264" s="176" t="n"/>
      <c r="CG264" s="176" t="n"/>
      <c r="CH264" s="176" t="n"/>
      <c r="CI264" s="176" t="n"/>
      <c r="CJ264" s="176" t="n"/>
      <c r="CK264" s="176" t="n"/>
      <c r="CL264" s="176" t="n"/>
      <c r="CM264" s="176" t="n"/>
      <c r="CN264" s="176" t="n"/>
      <c r="CO264" s="176" t="n"/>
      <c r="CP264" s="176" t="n"/>
      <c r="CQ264" s="176" t="n"/>
      <c r="CR264" s="176" t="n"/>
      <c r="CS264" s="176" t="n"/>
      <c r="CT264" s="176" t="n"/>
      <c r="CU264" s="176" t="n"/>
      <c r="CV264" s="176" t="n"/>
      <c r="CW264" s="176" t="n"/>
      <c r="CX264" s="176" t="n"/>
      <c r="CY264" s="176" t="n"/>
      <c r="CZ264" s="176" t="n"/>
      <c r="DA264" s="193" t="n"/>
      <c r="DF264" s="194" t="n"/>
      <c r="DG264" s="176" t="n"/>
      <c r="DH264" s="176" t="n"/>
      <c r="DI264" s="193" t="n"/>
      <c r="DN264" s="194" t="n"/>
      <c r="DO264" s="176" t="n"/>
      <c r="DP264" s="176" t="n"/>
      <c r="DQ264" s="176" t="n"/>
      <c r="DR264" s="193" t="n"/>
      <c r="DW264" s="194" t="n"/>
      <c r="DX264" s="176" t="n"/>
      <c r="DY264" s="176" t="n"/>
      <c r="DZ264" s="193" t="n"/>
      <c r="EE264" s="194" t="n"/>
      <c r="EF264" s="176" t="n"/>
      <c r="EG264" s="176" t="n"/>
      <c r="EH264" s="176" t="n"/>
      <c r="EI264" s="176" t="n"/>
      <c r="EJ264" s="176" t="n"/>
      <c r="EK264" s="176" t="n"/>
      <c r="EL264" s="176" t="n"/>
      <c r="EM264" s="176" t="n"/>
      <c r="EN264" s="176" t="n"/>
      <c r="EO264" s="176" t="n"/>
      <c r="EP264" s="176" t="n"/>
      <c r="EQ264" s="176" t="n"/>
      <c r="ER264" s="176" t="n"/>
      <c r="ES264" s="176" t="n"/>
      <c r="ET264" s="176" t="n"/>
      <c r="EU264" s="176" t="n"/>
      <c r="EV264" s="176" t="n"/>
      <c r="EW264" s="176" t="n"/>
      <c r="EX264" s="176" t="n"/>
      <c r="EY264" s="176" t="n"/>
      <c r="EZ264" s="176" t="n"/>
      <c r="FA264" s="176" t="n"/>
      <c r="FB264" s="176" t="n"/>
      <c r="FC264" s="176" t="n"/>
      <c r="FD264" s="176" t="n"/>
      <c r="FE264" s="176" t="n"/>
      <c r="FF264" s="176" t="n"/>
      <c r="FG264" s="176" t="n"/>
      <c r="FH264" s="176" t="n"/>
      <c r="FI264" s="176" t="n"/>
      <c r="FJ264" s="176" t="n"/>
      <c r="FK264" s="176" t="n"/>
      <c r="FL264" s="176" t="n"/>
      <c r="FM264" s="176" t="n"/>
      <c r="FN264" s="176" t="n"/>
      <c r="FO264" s="176" t="n"/>
      <c r="FP264" s="176" t="n"/>
      <c r="FQ264" s="176" t="n"/>
      <c r="FR264" s="176" t="n"/>
      <c r="FS264" s="176" t="n"/>
      <c r="FT264" s="176" t="n"/>
      <c r="FU264" s="176" t="n"/>
      <c r="FV264" s="176" t="n"/>
      <c r="FW264" s="176" t="n"/>
      <c r="FX264" s="176" t="n"/>
      <c r="FY264" s="176" t="n"/>
      <c r="FZ264" s="176" t="n"/>
      <c r="GA264" s="176" t="n"/>
      <c r="GB264" s="176" t="n"/>
      <c r="GC264" s="176" t="n"/>
      <c r="GD264" s="176" t="n"/>
      <c r="GE264" s="176" t="n"/>
      <c r="GF264" s="176" t="n"/>
      <c r="GG264" s="176" t="n"/>
      <c r="GH264" s="176" t="n"/>
      <c r="GI264" s="176" t="n"/>
      <c r="GJ264" s="176" t="n"/>
      <c r="GK264" s="176" t="n"/>
      <c r="GL264" s="176" t="n"/>
      <c r="GM264" s="176" t="n"/>
      <c r="GN264" s="176" t="n"/>
      <c r="GO264" s="176" t="n"/>
      <c r="GP264" s="176" t="n"/>
      <c r="GQ264" s="176" t="n"/>
      <c r="GR264" s="176" t="n"/>
      <c r="GS264" s="176" t="n"/>
      <c r="GT264" s="176" t="n"/>
      <c r="GU264" s="176" t="n"/>
      <c r="GV264" s="176" t="n"/>
      <c r="GW264" s="176" t="n"/>
      <c r="GX264" s="176" t="n"/>
      <c r="GY264" s="176" t="n"/>
      <c r="GZ264" s="176" t="n"/>
      <c r="HA264" s="176" t="n"/>
      <c r="HB264" s="176" t="n"/>
      <c r="HC264" s="176" t="n"/>
      <c r="HD264" s="176" t="n"/>
      <c r="HE264" s="176" t="n"/>
      <c r="HF264" s="176" t="n"/>
      <c r="HG264" s="176" t="n"/>
      <c r="HH264" s="176" t="n"/>
      <c r="HI264" s="176" t="n"/>
      <c r="HJ264" s="176" t="n"/>
      <c r="HK264" s="176" t="n"/>
      <c r="HL264" s="176" t="n"/>
      <c r="HM264" s="176" t="n"/>
      <c r="HN264" s="176" t="n"/>
      <c r="HO264" s="176" t="n"/>
      <c r="HP264" s="181" t="inlineStr">
        <is>
          <t>NOME</t>
        </is>
      </c>
      <c r="HQ264" s="182" t="n"/>
      <c r="HR264" s="182" t="n"/>
      <c r="HS264" s="183" t="n"/>
      <c r="HT264" s="181" t="inlineStr">
        <is>
          <t>MESTRE VIU</t>
        </is>
      </c>
      <c r="HU264" s="183" t="n"/>
      <c r="HV264" s="176" t="n"/>
      <c r="HW264" s="176" t="n"/>
      <c r="HX264" s="181" t="inlineStr">
        <is>
          <t>NOME</t>
        </is>
      </c>
      <c r="HY264" s="182" t="n"/>
      <c r="HZ264" s="182" t="n"/>
      <c r="IA264" s="183" t="n"/>
      <c r="IB264" s="181" t="inlineStr">
        <is>
          <t>MESTRE VIU</t>
        </is>
      </c>
      <c r="IC264" s="183" t="n"/>
      <c r="ID264" s="176" t="n"/>
    </row>
    <row r="265" ht="18.75" customHeight="1">
      <c r="A265" s="176" t="n"/>
      <c r="B265" s="176" t="n"/>
      <c r="C265" s="176" t="n"/>
      <c r="D265" s="176" t="n"/>
      <c r="E265" s="176" t="n"/>
      <c r="F265" s="176" t="n"/>
      <c r="G265" s="176" t="n"/>
      <c r="H265" s="176" t="n"/>
      <c r="I265" s="176" t="n"/>
      <c r="J265" s="176" t="n"/>
      <c r="K265" s="176" t="n"/>
      <c r="L265" s="176" t="n"/>
      <c r="M265" s="176" t="n"/>
      <c r="N265" s="176" t="n"/>
      <c r="O265" s="176" t="n"/>
      <c r="P265" s="176" t="n"/>
      <c r="Q265" s="176" t="n"/>
      <c r="R265" s="176" t="n"/>
      <c r="S265" s="176" t="n"/>
      <c r="T265" s="193" t="n"/>
      <c r="Y265" s="194" t="n"/>
      <c r="Z265" s="176" t="n"/>
      <c r="AA265" s="176" t="n"/>
      <c r="AB265" s="193" t="n"/>
      <c r="AG265" s="194" t="n"/>
      <c r="AH265" s="176" t="n"/>
      <c r="AI265" s="176" t="n"/>
      <c r="AJ265" s="176" t="n"/>
      <c r="AK265" s="176" t="n"/>
      <c r="AL265" s="176" t="n"/>
      <c r="AM265" s="176" t="n"/>
      <c r="AN265" s="176" t="n"/>
      <c r="AO265" s="176" t="n"/>
      <c r="AP265" s="176" t="n"/>
      <c r="AQ265" s="176" t="n"/>
      <c r="AR265" s="176" t="n"/>
      <c r="AS265" s="176" t="n"/>
      <c r="AT265" s="176" t="n"/>
      <c r="AU265" s="176" t="n"/>
      <c r="AV265" s="176" t="n"/>
      <c r="AW265" s="176" t="n"/>
      <c r="AX265" s="176" t="n"/>
      <c r="AY265" s="176" t="n"/>
      <c r="AZ265" s="176" t="n"/>
      <c r="BA265" s="176" t="n"/>
      <c r="BB265" s="176" t="n"/>
      <c r="BC265" s="176" t="n"/>
      <c r="BD265" s="176" t="n"/>
      <c r="BE265" s="176" t="n"/>
      <c r="BF265" s="176" t="n"/>
      <c r="BG265" s="176" t="n"/>
      <c r="BH265" s="176" t="n"/>
      <c r="BI265" s="176" t="n"/>
      <c r="BJ265" s="176" t="n"/>
      <c r="BK265" s="176" t="n"/>
      <c r="BL265" s="176" t="n"/>
      <c r="BM265" s="176" t="n"/>
      <c r="BN265" s="176" t="n"/>
      <c r="BO265" s="176" t="n"/>
      <c r="BP265" s="176" t="n"/>
      <c r="BQ265" s="176" t="n"/>
      <c r="BR265" s="176" t="n"/>
      <c r="BS265" s="176" t="n"/>
      <c r="BT265" s="176" t="n"/>
      <c r="BU265" s="176" t="n"/>
      <c r="BV265" s="176" t="n"/>
      <c r="BW265" s="176" t="n"/>
      <c r="BX265" s="176" t="n"/>
      <c r="BY265" s="176" t="n"/>
      <c r="BZ265" s="176" t="n"/>
      <c r="CA265" s="176" t="n"/>
      <c r="CB265" s="176" t="n"/>
      <c r="CC265" s="176" t="n"/>
      <c r="CD265" s="176" t="n"/>
      <c r="CE265" s="176" t="n"/>
      <c r="CF265" s="176" t="n"/>
      <c r="CG265" s="176" t="n"/>
      <c r="CH265" s="176" t="n"/>
      <c r="CI265" s="176" t="n"/>
      <c r="CJ265" s="176" t="n"/>
      <c r="CK265" s="176" t="n"/>
      <c r="CL265" s="176" t="n"/>
      <c r="CM265" s="176" t="n"/>
      <c r="CN265" s="176" t="n"/>
      <c r="CO265" s="176" t="n"/>
      <c r="CP265" s="176" t="n"/>
      <c r="CQ265" s="176" t="n"/>
      <c r="CR265" s="176" t="n"/>
      <c r="CS265" s="176" t="n"/>
      <c r="CT265" s="176" t="n"/>
      <c r="CU265" s="176" t="n"/>
      <c r="CV265" s="176" t="n"/>
      <c r="CW265" s="176" t="n"/>
      <c r="CX265" s="176" t="n"/>
      <c r="CY265" s="176" t="n"/>
      <c r="CZ265" s="176" t="n"/>
      <c r="DA265" s="193" t="n"/>
      <c r="DF265" s="194" t="n"/>
      <c r="DG265" s="176" t="n"/>
      <c r="DH265" s="176" t="n"/>
      <c r="DI265" s="193" t="n"/>
      <c r="DN265" s="194" t="n"/>
      <c r="DO265" s="176" t="n"/>
      <c r="DP265" s="176" t="n"/>
      <c r="DQ265" s="176" t="n"/>
      <c r="DR265" s="193" t="n"/>
      <c r="DW265" s="194" t="n"/>
      <c r="DX265" s="176" t="n"/>
      <c r="DY265" s="176" t="n"/>
      <c r="DZ265" s="193" t="n"/>
      <c r="EE265" s="194" t="n"/>
      <c r="EF265" s="176" t="n"/>
      <c r="EG265" s="176" t="n"/>
      <c r="EH265" s="176" t="n"/>
      <c r="EI265" s="176" t="n"/>
      <c r="EJ265" s="176" t="n"/>
      <c r="EK265" s="176" t="n"/>
      <c r="EL265" s="176" t="n"/>
      <c r="EM265" s="176" t="n"/>
      <c r="EN265" s="176" t="n"/>
      <c r="EO265" s="176" t="n"/>
      <c r="EP265" s="176" t="n"/>
      <c r="EQ265" s="176" t="n"/>
      <c r="ER265" s="176" t="n"/>
      <c r="ES265" s="176" t="n"/>
      <c r="ET265" s="176" t="n"/>
      <c r="EU265" s="176" t="n"/>
      <c r="EV265" s="176" t="n"/>
      <c r="EW265" s="176" t="n"/>
      <c r="EX265" s="176" t="n"/>
      <c r="EY265" s="176" t="n"/>
      <c r="EZ265" s="176" t="n"/>
      <c r="FA265" s="176" t="n"/>
      <c r="FB265" s="176" t="n"/>
      <c r="FC265" s="176" t="n"/>
      <c r="FD265" s="176" t="n"/>
      <c r="FE265" s="176" t="n"/>
      <c r="FF265" s="176" t="n"/>
      <c r="FG265" s="176" t="n"/>
      <c r="FH265" s="176" t="n"/>
      <c r="FI265" s="176" t="n"/>
      <c r="FJ265" s="176" t="n"/>
      <c r="FK265" s="176" t="n"/>
      <c r="FL265" s="176" t="n"/>
      <c r="FM265" s="176" t="n"/>
      <c r="FN265" s="176" t="n"/>
      <c r="FO265" s="176" t="n"/>
      <c r="FP265" s="176" t="n"/>
      <c r="FQ265" s="176" t="n"/>
      <c r="FR265" s="176" t="n"/>
      <c r="FS265" s="176" t="n"/>
      <c r="FT265" s="176" t="n"/>
      <c r="FU265" s="176" t="n"/>
      <c r="FV265" s="176" t="n"/>
      <c r="FW265" s="176" t="n"/>
      <c r="FX265" s="176" t="n"/>
      <c r="FY265" s="176" t="n"/>
      <c r="FZ265" s="176" t="n"/>
      <c r="GA265" s="176" t="n"/>
      <c r="GB265" s="176" t="n"/>
      <c r="GC265" s="176" t="n"/>
      <c r="GD265" s="176" t="n"/>
      <c r="GE265" s="176" t="n"/>
      <c r="GF265" s="176" t="n"/>
      <c r="GG265" s="176" t="n"/>
      <c r="GH265" s="176" t="n"/>
      <c r="GI265" s="176" t="n"/>
      <c r="GJ265" s="176" t="n"/>
      <c r="GK265" s="176" t="n"/>
      <c r="GL265" s="176" t="n"/>
      <c r="GM265" s="176" t="n"/>
      <c r="GN265" s="176" t="n"/>
      <c r="GO265" s="176" t="n"/>
      <c r="GP265" s="176" t="n"/>
      <c r="GQ265" s="176" t="n"/>
      <c r="GR265" s="176" t="n"/>
      <c r="GS265" s="176" t="n"/>
      <c r="GT265" s="176" t="n"/>
      <c r="GU265" s="176" t="n"/>
      <c r="GV265" s="176" t="n"/>
      <c r="GW265" s="176" t="n"/>
      <c r="GX265" s="176" t="n"/>
      <c r="GY265" s="176" t="n"/>
      <c r="GZ265" s="176" t="n"/>
      <c r="HA265" s="176" t="n"/>
      <c r="HB265" s="176" t="n"/>
      <c r="HC265" s="176" t="n"/>
      <c r="HD265" s="176" t="n"/>
      <c r="HE265" s="176" t="n"/>
      <c r="HF265" s="176" t="n"/>
      <c r="HG265" s="176" t="n"/>
      <c r="HH265" s="176" t="n"/>
      <c r="HI265" s="176" t="n"/>
      <c r="HJ265" s="176" t="n"/>
      <c r="HK265" s="176" t="n"/>
      <c r="HL265" s="176" t="n"/>
      <c r="HM265" s="176" t="n"/>
      <c r="HN265" s="176" t="n"/>
      <c r="HO265" s="176" t="n"/>
      <c r="HP265" s="185" t="n"/>
      <c r="HQ265" s="182" t="n"/>
      <c r="HR265" s="182" t="n"/>
      <c r="HS265" s="183" t="n"/>
      <c r="HT265" s="184" t="b">
        <v>0</v>
      </c>
      <c r="HU265" s="183" t="n"/>
      <c r="HV265" s="176" t="n"/>
      <c r="HW265" s="176" t="n"/>
      <c r="HX265" s="185" t="n"/>
      <c r="HY265" s="182" t="n"/>
      <c r="HZ265" s="182" t="n"/>
      <c r="IA265" s="183" t="n"/>
      <c r="IB265" s="184" t="b">
        <v>0</v>
      </c>
      <c r="IC265" s="183" t="n"/>
      <c r="ID265" s="176" t="n"/>
    </row>
    <row r="266" ht="18.75" customHeight="1">
      <c r="A266" s="176" t="n"/>
      <c r="B266" s="176" t="n"/>
      <c r="C266" s="176" t="n"/>
      <c r="D266" s="176" t="n"/>
      <c r="E266" s="176" t="n"/>
      <c r="F266" s="176" t="n"/>
      <c r="G266" s="176" t="n"/>
      <c r="H266" s="176" t="n"/>
      <c r="I266" s="176" t="n"/>
      <c r="J266" s="176" t="n"/>
      <c r="K266" s="176" t="n"/>
      <c r="L266" s="176" t="n"/>
      <c r="M266" s="176" t="n"/>
      <c r="N266" s="176" t="n"/>
      <c r="O266" s="176" t="n"/>
      <c r="P266" s="176" t="n"/>
      <c r="Q266" s="176" t="n"/>
      <c r="R266" s="176" t="n"/>
      <c r="S266" s="176" t="n"/>
      <c r="T266" s="193" t="n"/>
      <c r="Y266" s="194" t="n"/>
      <c r="Z266" s="176" t="n"/>
      <c r="AA266" s="176" t="n"/>
      <c r="AB266" s="193" t="n"/>
      <c r="AG266" s="194" t="n"/>
      <c r="AH266" s="176" t="n"/>
      <c r="AI266" s="176" t="n"/>
      <c r="AJ266" s="176" t="n"/>
      <c r="AK266" s="176" t="n"/>
      <c r="AL266" s="176" t="n"/>
      <c r="AM266" s="176" t="n"/>
      <c r="AN266" s="176" t="n"/>
      <c r="AO266" s="176" t="n"/>
      <c r="AP266" s="176" t="n"/>
      <c r="AQ266" s="176" t="n"/>
      <c r="AR266" s="176" t="n"/>
      <c r="AS266" s="176" t="n"/>
      <c r="AT266" s="176" t="n"/>
      <c r="AU266" s="176" t="n"/>
      <c r="AV266" s="176" t="n"/>
      <c r="AW266" s="176" t="n"/>
      <c r="AX266" s="176" t="n"/>
      <c r="AY266" s="176" t="n"/>
      <c r="AZ266" s="176" t="n"/>
      <c r="BA266" s="176" t="n"/>
      <c r="BB266" s="176" t="n"/>
      <c r="BC266" s="176" t="n"/>
      <c r="BD266" s="176" t="n"/>
      <c r="BE266" s="176" t="n"/>
      <c r="BF266" s="176" t="n"/>
      <c r="BG266" s="176" t="n"/>
      <c r="BH266" s="176" t="n"/>
      <c r="BI266" s="176" t="n"/>
      <c r="BJ266" s="176" t="n"/>
      <c r="BK266" s="176" t="n"/>
      <c r="BL266" s="176" t="n"/>
      <c r="BM266" s="176" t="n"/>
      <c r="BN266" s="176" t="n"/>
      <c r="BO266" s="176" t="n"/>
      <c r="BP266" s="176" t="n"/>
      <c r="BQ266" s="176" t="n"/>
      <c r="BR266" s="176" t="n"/>
      <c r="BS266" s="176" t="n"/>
      <c r="BT266" s="176" t="n"/>
      <c r="BU266" s="176" t="n"/>
      <c r="BV266" s="176" t="n"/>
      <c r="BW266" s="176" t="n"/>
      <c r="BX266" s="176" t="n"/>
      <c r="BY266" s="176" t="n"/>
      <c r="BZ266" s="176" t="n"/>
      <c r="CA266" s="176" t="n"/>
      <c r="CB266" s="176" t="n"/>
      <c r="CC266" s="176" t="n"/>
      <c r="CD266" s="176" t="n"/>
      <c r="CE266" s="176" t="n"/>
      <c r="CF266" s="176" t="n"/>
      <c r="CG266" s="176" t="n"/>
      <c r="CH266" s="176" t="n"/>
      <c r="CI266" s="176" t="n"/>
      <c r="CJ266" s="176" t="n"/>
      <c r="CK266" s="176" t="n"/>
      <c r="CL266" s="176" t="n"/>
      <c r="CM266" s="176" t="n"/>
      <c r="CN266" s="176" t="n"/>
      <c r="CO266" s="176" t="n"/>
      <c r="CP266" s="176" t="n"/>
      <c r="CQ266" s="176" t="n"/>
      <c r="CR266" s="176" t="n"/>
      <c r="CS266" s="176" t="n"/>
      <c r="CT266" s="176" t="n"/>
      <c r="CU266" s="176" t="n"/>
      <c r="CV266" s="176" t="n"/>
      <c r="CW266" s="176" t="n"/>
      <c r="CX266" s="176" t="n"/>
      <c r="CY266" s="176" t="n"/>
      <c r="CZ266" s="176" t="n"/>
      <c r="DA266" s="189" t="n"/>
      <c r="DB266" s="190" t="n"/>
      <c r="DC266" s="190" t="n"/>
      <c r="DD266" s="190" t="n"/>
      <c r="DE266" s="190" t="n"/>
      <c r="DF266" s="191" t="n"/>
      <c r="DG266" s="176" t="n"/>
      <c r="DH266" s="176" t="n"/>
      <c r="DI266" s="189" t="n"/>
      <c r="DJ266" s="190" t="n"/>
      <c r="DK266" s="190" t="n"/>
      <c r="DL266" s="190" t="n"/>
      <c r="DM266" s="190" t="n"/>
      <c r="DN266" s="191" t="n"/>
      <c r="DO266" s="176" t="n"/>
      <c r="DP266" s="176" t="n"/>
      <c r="DQ266" s="176" t="n"/>
      <c r="DR266" s="193" t="n"/>
      <c r="DW266" s="194" t="n"/>
      <c r="DX266" s="176" t="n"/>
      <c r="DY266" s="176" t="n"/>
      <c r="DZ266" s="193" t="n"/>
      <c r="EE266" s="194" t="n"/>
      <c r="EF266" s="176" t="n"/>
      <c r="EG266" s="176" t="n"/>
      <c r="EH266" s="176" t="n"/>
      <c r="EI266" s="176" t="n"/>
      <c r="EJ266" s="176" t="n"/>
      <c r="EK266" s="176" t="n"/>
      <c r="EL266" s="176" t="n"/>
      <c r="EM266" s="176" t="n"/>
      <c r="EN266" s="176" t="n"/>
      <c r="EO266" s="176" t="n"/>
      <c r="EP266" s="176" t="n"/>
      <c r="EQ266" s="176" t="n"/>
      <c r="ER266" s="176" t="n"/>
      <c r="ES266" s="176" t="n"/>
      <c r="ET266" s="176" t="n"/>
      <c r="EU266" s="176" t="n"/>
      <c r="EV266" s="176" t="n"/>
      <c r="EW266" s="176" t="n"/>
      <c r="EX266" s="176" t="n"/>
      <c r="EY266" s="176" t="n"/>
      <c r="EZ266" s="176" t="n"/>
      <c r="FA266" s="176" t="n"/>
      <c r="FB266" s="176" t="n"/>
      <c r="FC266" s="176" t="n"/>
      <c r="FD266" s="176" t="n"/>
      <c r="FE266" s="176" t="n"/>
      <c r="FF266" s="176" t="n"/>
      <c r="FG266" s="176" t="n"/>
      <c r="FH266" s="176" t="n"/>
      <c r="FI266" s="176" t="n"/>
      <c r="FJ266" s="176" t="n"/>
      <c r="FK266" s="176" t="n"/>
      <c r="FL266" s="176" t="n"/>
      <c r="FM266" s="176" t="n"/>
      <c r="FN266" s="176" t="n"/>
      <c r="FO266" s="176" t="n"/>
      <c r="FP266" s="176" t="n"/>
      <c r="FQ266" s="176" t="n"/>
      <c r="FR266" s="176" t="n"/>
      <c r="FS266" s="176" t="n"/>
      <c r="FT266" s="176" t="n"/>
      <c r="FU266" s="176" t="n"/>
      <c r="FV266" s="176" t="n"/>
      <c r="FW266" s="176" t="n"/>
      <c r="FX266" s="176" t="n"/>
      <c r="FY266" s="176" t="n"/>
      <c r="FZ266" s="176" t="n"/>
      <c r="GA266" s="176" t="n"/>
      <c r="GB266" s="176" t="n"/>
      <c r="GC266" s="176" t="n"/>
      <c r="GD266" s="176" t="n"/>
      <c r="GE266" s="176" t="n"/>
      <c r="GF266" s="176" t="n"/>
      <c r="GG266" s="176" t="n"/>
      <c r="GH266" s="176" t="n"/>
      <c r="GI266" s="176" t="n"/>
      <c r="GJ266" s="176" t="n"/>
      <c r="GK266" s="176" t="n"/>
      <c r="GL266" s="176" t="n"/>
      <c r="GM266" s="176" t="n"/>
      <c r="GN266" s="176" t="n"/>
      <c r="GO266" s="176" t="n"/>
      <c r="GP266" s="176" t="n"/>
      <c r="GQ266" s="176" t="n"/>
      <c r="GR266" s="176" t="n"/>
      <c r="GS266" s="176" t="n"/>
      <c r="GT266" s="176" t="n"/>
      <c r="GU266" s="176" t="n"/>
      <c r="GV266" s="176" t="n"/>
      <c r="GW266" s="176" t="n"/>
      <c r="GX266" s="176" t="n"/>
      <c r="GY266" s="176" t="n"/>
      <c r="GZ266" s="176" t="n"/>
      <c r="HA266" s="176" t="n"/>
      <c r="HB266" s="176" t="n"/>
      <c r="HC266" s="176" t="n"/>
      <c r="HD266" s="176" t="n"/>
      <c r="HE266" s="176" t="n"/>
      <c r="HF266" s="176" t="n"/>
      <c r="HG266" s="176" t="n"/>
      <c r="HH266" s="176" t="n"/>
      <c r="HI266" s="176" t="n"/>
      <c r="HJ266" s="176" t="n"/>
      <c r="HK266" s="176" t="n"/>
      <c r="HL266" s="176" t="n"/>
      <c r="HM266" s="176" t="n"/>
      <c r="HN266" s="176" t="n"/>
      <c r="HO266" s="176" t="n"/>
      <c r="HP266" s="176" t="n"/>
      <c r="HQ266" s="176" t="n"/>
      <c r="HR266" s="176" t="n"/>
      <c r="HS266" s="176" t="n"/>
      <c r="HT266" s="176" t="n"/>
      <c r="HU266" s="176" t="n"/>
      <c r="HV266" s="176" t="n"/>
      <c r="HW266" s="176" t="n"/>
      <c r="HX266" s="176" t="n"/>
      <c r="HY266" s="176" t="n"/>
      <c r="HZ266" s="176" t="n"/>
      <c r="IA266" s="176" t="n"/>
      <c r="IB266" s="176" t="n"/>
      <c r="IC266" s="176" t="n"/>
      <c r="ID266" s="176" t="n"/>
    </row>
    <row r="267" ht="18.75" customHeight="1">
      <c r="A267" s="176" t="n"/>
      <c r="B267" s="176" t="n"/>
      <c r="C267" s="176" t="n"/>
      <c r="D267" s="176" t="n"/>
      <c r="E267" s="176" t="n"/>
      <c r="F267" s="176" t="n"/>
      <c r="G267" s="176" t="n"/>
      <c r="H267" s="176" t="n"/>
      <c r="I267" s="176" t="n"/>
      <c r="J267" s="176" t="n"/>
      <c r="K267" s="176" t="n"/>
      <c r="L267" s="176" t="n"/>
      <c r="M267" s="176" t="n"/>
      <c r="N267" s="176" t="n"/>
      <c r="O267" s="176" t="n"/>
      <c r="P267" s="176" t="n"/>
      <c r="Q267" s="176" t="n"/>
      <c r="R267" s="176" t="n"/>
      <c r="S267" s="176" t="n"/>
      <c r="T267" s="189" t="n"/>
      <c r="U267" s="190" t="n"/>
      <c r="V267" s="190" t="n"/>
      <c r="W267" s="190" t="n"/>
      <c r="X267" s="190" t="n"/>
      <c r="Y267" s="191" t="n"/>
      <c r="Z267" s="176" t="n"/>
      <c r="AA267" s="176" t="n"/>
      <c r="AB267" s="189" t="n"/>
      <c r="AC267" s="190" t="n"/>
      <c r="AD267" s="190" t="n"/>
      <c r="AE267" s="190" t="n"/>
      <c r="AF267" s="190" t="n"/>
      <c r="AG267" s="191" t="n"/>
      <c r="AH267" s="176" t="n"/>
      <c r="AI267" s="176" t="n"/>
      <c r="AJ267" s="176" t="n"/>
      <c r="AK267" s="176" t="n"/>
      <c r="AL267" s="176" t="n"/>
      <c r="AM267" s="176" t="n"/>
      <c r="AN267" s="176" t="n"/>
      <c r="AO267" s="176" t="n"/>
      <c r="AP267" s="176" t="n"/>
      <c r="AQ267" s="176" t="n"/>
      <c r="AR267" s="176" t="n"/>
      <c r="AS267" s="176" t="n"/>
      <c r="AT267" s="176" t="n"/>
      <c r="AU267" s="176" t="n"/>
      <c r="AV267" s="176" t="n"/>
      <c r="AW267" s="176" t="n"/>
      <c r="AX267" s="176" t="n"/>
      <c r="AY267" s="176" t="n"/>
      <c r="AZ267" s="176" t="n"/>
      <c r="BA267" s="176" t="n"/>
      <c r="BB267" s="176" t="n"/>
      <c r="BC267" s="176" t="n"/>
      <c r="BD267" s="176" t="n"/>
      <c r="BE267" s="176" t="n"/>
      <c r="BF267" s="176" t="n"/>
      <c r="BG267" s="176" t="n"/>
      <c r="BH267" s="176" t="n"/>
      <c r="BI267" s="176" t="n"/>
      <c r="BJ267" s="176" t="n"/>
      <c r="BK267" s="176" t="n"/>
      <c r="BL267" s="176" t="n"/>
      <c r="BM267" s="176" t="n"/>
      <c r="BN267" s="176" t="n"/>
      <c r="BO267" s="176" t="n"/>
      <c r="BP267" s="176" t="n"/>
      <c r="BQ267" s="176" t="n"/>
      <c r="BR267" s="176" t="n"/>
      <c r="BS267" s="176" t="n"/>
      <c r="BT267" s="176" t="n"/>
      <c r="BU267" s="176" t="n"/>
      <c r="BV267" s="176" t="n"/>
      <c r="BW267" s="176" t="n"/>
      <c r="BX267" s="176" t="n"/>
      <c r="BY267" s="176" t="n"/>
      <c r="BZ267" s="176" t="n"/>
      <c r="CA267" s="176" t="n"/>
      <c r="CB267" s="176" t="n"/>
      <c r="CC267" s="176" t="n"/>
      <c r="CD267" s="176" t="n"/>
      <c r="CE267" s="176" t="n"/>
      <c r="CF267" s="176" t="n"/>
      <c r="CG267" s="176" t="n"/>
      <c r="CH267" s="176" t="n"/>
      <c r="CI267" s="176" t="n"/>
      <c r="CJ267" s="176" t="n"/>
      <c r="CK267" s="176" t="n"/>
      <c r="CL267" s="176" t="n"/>
      <c r="CM267" s="176" t="n"/>
      <c r="CN267" s="176" t="n"/>
      <c r="CO267" s="176" t="n"/>
      <c r="CP267" s="176" t="n"/>
      <c r="CQ267" s="176" t="n"/>
      <c r="CR267" s="176" t="n"/>
      <c r="CS267" s="176" t="n"/>
      <c r="CT267" s="176" t="n"/>
      <c r="CU267" s="176" t="n"/>
      <c r="CV267" s="176" t="n"/>
      <c r="CW267" s="176" t="n"/>
      <c r="CX267" s="176" t="n"/>
      <c r="CY267" s="176" t="n"/>
      <c r="CZ267" s="176" t="n"/>
      <c r="DA267" s="176" t="n"/>
      <c r="DB267" s="176" t="n"/>
      <c r="DC267" s="176" t="n"/>
      <c r="DD267" s="176" t="n"/>
      <c r="DE267" s="176" t="n"/>
      <c r="DF267" s="176" t="n"/>
      <c r="DG267" s="176" t="n"/>
      <c r="DH267" s="176" t="n"/>
      <c r="DI267" s="176" t="n"/>
      <c r="DJ267" s="176" t="n"/>
      <c r="DK267" s="176" t="n"/>
      <c r="DL267" s="176" t="n"/>
      <c r="DM267" s="176" t="n"/>
      <c r="DN267" s="176" t="n"/>
      <c r="DO267" s="176" t="n"/>
      <c r="DP267" s="176" t="n"/>
      <c r="DQ267" s="176" t="n"/>
      <c r="DR267" s="193" t="n"/>
      <c r="DW267" s="194" t="n"/>
      <c r="DX267" s="176" t="n"/>
      <c r="DY267" s="176" t="n"/>
      <c r="DZ267" s="193" t="n"/>
      <c r="EE267" s="194" t="n"/>
      <c r="EF267" s="176" t="n"/>
      <c r="EG267" s="176" t="n"/>
      <c r="EH267" s="176" t="n"/>
      <c r="EI267" s="176" t="n"/>
      <c r="EJ267" s="176" t="n"/>
      <c r="EK267" s="176" t="n"/>
      <c r="EL267" s="176" t="n"/>
      <c r="EM267" s="176" t="n"/>
      <c r="EN267" s="176" t="n"/>
      <c r="EO267" s="176" t="n"/>
      <c r="EP267" s="176" t="n"/>
      <c r="EQ267" s="176" t="n"/>
      <c r="ER267" s="176" t="n"/>
      <c r="ES267" s="176" t="n"/>
      <c r="ET267" s="176" t="n"/>
      <c r="EU267" s="176" t="n"/>
      <c r="EV267" s="176" t="n"/>
      <c r="EW267" s="176" t="n"/>
      <c r="EX267" s="176" t="n"/>
      <c r="EY267" s="176" t="n"/>
      <c r="EZ267" s="176" t="n"/>
      <c r="FA267" s="176" t="n"/>
      <c r="FB267" s="176" t="n"/>
      <c r="FC267" s="176" t="n"/>
      <c r="FD267" s="176" t="n"/>
      <c r="FE267" s="176" t="n"/>
      <c r="FF267" s="176" t="n"/>
      <c r="FG267" s="176" t="n"/>
      <c r="FH267" s="176" t="n"/>
      <c r="FI267" s="176" t="n"/>
      <c r="FJ267" s="176" t="n"/>
      <c r="FK267" s="176" t="n"/>
      <c r="FL267" s="176" t="n"/>
      <c r="FM267" s="176" t="n"/>
      <c r="FN267" s="176" t="n"/>
      <c r="FO267" s="176" t="n"/>
      <c r="FP267" s="176" t="n"/>
      <c r="FQ267" s="176" t="n"/>
      <c r="FR267" s="176" t="n"/>
      <c r="FS267" s="176" t="n"/>
      <c r="FT267" s="176" t="n"/>
      <c r="FU267" s="176" t="n"/>
      <c r="FV267" s="176" t="n"/>
      <c r="FW267" s="176" t="n"/>
      <c r="FX267" s="176" t="n"/>
      <c r="FY267" s="176" t="n"/>
      <c r="FZ267" s="176" t="n"/>
      <c r="GA267" s="176" t="n"/>
      <c r="GB267" s="176" t="n"/>
      <c r="GC267" s="176" t="n"/>
      <c r="GD267" s="176" t="n"/>
      <c r="GE267" s="176" t="n"/>
      <c r="GF267" s="176" t="n"/>
      <c r="GG267" s="176" t="n"/>
      <c r="GH267" s="176" t="n"/>
      <c r="GI267" s="176" t="n"/>
      <c r="GJ267" s="176" t="n"/>
      <c r="GK267" s="176" t="n"/>
      <c r="GL267" s="176" t="n"/>
      <c r="GM267" s="176" t="n"/>
      <c r="GN267" s="176" t="n"/>
      <c r="GO267" s="176" t="n"/>
      <c r="GP267" s="176" t="n"/>
      <c r="GQ267" s="176" t="n"/>
      <c r="GR267" s="176" t="n"/>
      <c r="GS267" s="176" t="n"/>
      <c r="GT267" s="176" t="n"/>
      <c r="GU267" s="176" t="n"/>
      <c r="GV267" s="176" t="n"/>
      <c r="GW267" s="176" t="n"/>
      <c r="GX267" s="176" t="n"/>
      <c r="GY267" s="176" t="n"/>
      <c r="GZ267" s="176" t="n"/>
      <c r="HA267" s="176" t="n"/>
      <c r="HB267" s="176" t="n"/>
      <c r="HC267" s="176" t="n"/>
      <c r="HD267" s="176" t="n"/>
      <c r="HE267" s="176" t="n"/>
      <c r="HF267" s="176" t="n"/>
      <c r="HG267" s="176" t="n"/>
      <c r="HH267" s="176" t="n"/>
      <c r="HI267" s="176" t="n"/>
      <c r="HJ267" s="176" t="n"/>
      <c r="HK267" s="176" t="n"/>
      <c r="HL267" s="176" t="n"/>
      <c r="HM267" s="176" t="n"/>
      <c r="HN267" s="176" t="n"/>
      <c r="HO267" s="176" t="n"/>
      <c r="HP267" s="181" t="inlineStr">
        <is>
          <t>BASE DO LIVRO</t>
        </is>
      </c>
      <c r="HQ267" s="182" t="n"/>
      <c r="HR267" s="183" t="n"/>
      <c r="HS267" s="185" t="inlineStr">
        <is>
          <t>Nenhuma</t>
        </is>
      </c>
      <c r="HT267" s="182" t="n"/>
      <c r="HU267" s="183" t="n"/>
      <c r="HV267" s="176" t="n"/>
      <c r="HW267" s="176" t="n"/>
      <c r="HX267" s="181" t="inlineStr">
        <is>
          <t>BASE DO LIVRO</t>
        </is>
      </c>
      <c r="HY267" s="182" t="n"/>
      <c r="HZ267" s="183" t="n"/>
      <c r="IA267" s="185" t="inlineStr">
        <is>
          <t>Nenhuma</t>
        </is>
      </c>
      <c r="IB267" s="182" t="n"/>
      <c r="IC267" s="183" t="n"/>
      <c r="ID267" s="176" t="n"/>
    </row>
    <row r="268" ht="18.75" customHeight="1">
      <c r="A268" s="176" t="n"/>
      <c r="B268" s="176" t="n"/>
      <c r="C268" s="176" t="n"/>
      <c r="D268" s="176" t="n"/>
      <c r="E268" s="176" t="n"/>
      <c r="F268" s="176" t="n"/>
      <c r="G268" s="176" t="n"/>
      <c r="H268" s="176" t="n"/>
      <c r="I268" s="176" t="n"/>
      <c r="J268" s="176" t="n"/>
      <c r="K268" s="176" t="n"/>
      <c r="L268" s="176" t="n"/>
      <c r="M268" s="176" t="n"/>
      <c r="N268" s="176" t="n"/>
      <c r="O268" s="176" t="n"/>
      <c r="P268" s="176" t="n"/>
      <c r="Q268" s="176" t="n"/>
      <c r="R268" s="176" t="n"/>
      <c r="S268" s="176" t="n"/>
      <c r="T268" s="180">
        <f>IF('DADOS_CUSTOM'!$S$18="","Revise os valores ao trocar o tipo.","⚠ "&amp;'DADOS_CUSTOM'!$S$18)</f>
        <v/>
      </c>
      <c r="Z268" s="176" t="n"/>
      <c r="AA268" s="176" t="n"/>
      <c r="AB268" s="180">
        <f>IF('DADOS_CUSTOM'!$S$19="","Revise os valores ao trocar o tipo.","⚠ "&amp;'DADOS_CUSTOM'!$S$19)</f>
        <v/>
      </c>
      <c r="AH268" s="176" t="n"/>
      <c r="AI268" s="176" t="n"/>
      <c r="AJ268" s="176" t="n"/>
      <c r="AK268" s="176" t="n"/>
      <c r="AL268" s="176" t="n"/>
      <c r="AM268" s="176" t="n"/>
      <c r="AN268" s="176" t="n"/>
      <c r="AO268" s="176" t="n"/>
      <c r="AP268" s="176" t="n"/>
      <c r="AQ268" s="176" t="n"/>
      <c r="AR268" s="176" t="n"/>
      <c r="AS268" s="176" t="n"/>
      <c r="AT268" s="176" t="n"/>
      <c r="AU268" s="176" t="n"/>
      <c r="AV268" s="176" t="n"/>
      <c r="AW268" s="176" t="n"/>
      <c r="AX268" s="176" t="n"/>
      <c r="AY268" s="176" t="n"/>
      <c r="AZ268" s="176" t="n"/>
      <c r="BA268" s="176" t="n"/>
      <c r="BB268" s="176" t="n"/>
      <c r="BC268" s="176" t="n"/>
      <c r="BD268" s="176" t="n"/>
      <c r="BE268" s="176" t="n"/>
      <c r="BF268" s="176" t="n"/>
      <c r="BG268" s="176" t="n"/>
      <c r="BH268" s="176" t="n"/>
      <c r="BI268" s="176" t="n"/>
      <c r="BJ268" s="176" t="n"/>
      <c r="BK268" s="176" t="n"/>
      <c r="BL268" s="176" t="n"/>
      <c r="BM268" s="176" t="n"/>
      <c r="BN268" s="176" t="n"/>
      <c r="BO268" s="176" t="n"/>
      <c r="BP268" s="176" t="n"/>
      <c r="BQ268" s="176" t="n"/>
      <c r="BR268" s="176" t="n"/>
      <c r="BS268" s="176" t="n"/>
      <c r="BT268" s="176" t="n"/>
      <c r="BU268" s="176" t="n"/>
      <c r="BV268" s="176" t="n"/>
      <c r="BW268" s="176" t="n"/>
      <c r="BX268" s="176" t="n"/>
      <c r="BY268" s="176" t="n"/>
      <c r="BZ268" s="176" t="n"/>
      <c r="CA268" s="176" t="n"/>
      <c r="CB268" s="176" t="n"/>
      <c r="CC268" s="176" t="n"/>
      <c r="CD268" s="176" t="n"/>
      <c r="CE268" s="176" t="n"/>
      <c r="CF268" s="176" t="n"/>
      <c r="CG268" s="176" t="n"/>
      <c r="CH268" s="176" t="n"/>
      <c r="CI268" s="176" t="n"/>
      <c r="CJ268" s="176" t="n"/>
      <c r="CK268" s="176" t="n"/>
      <c r="CL268" s="176" t="n"/>
      <c r="CM268" s="176" t="n"/>
      <c r="CN268" s="176" t="n"/>
      <c r="CO268" s="176" t="n"/>
      <c r="CP268" s="176" t="n"/>
      <c r="CQ268" s="176" t="n"/>
      <c r="CR268" s="176" t="n"/>
      <c r="CS268" s="176" t="n"/>
      <c r="CT268" s="176" t="n"/>
      <c r="CU268" s="176" t="n"/>
      <c r="CV268" s="176" t="n"/>
      <c r="CW268" s="176" t="n"/>
      <c r="CX268" s="176" t="n"/>
      <c r="CY268" s="176" t="n"/>
      <c r="CZ268" s="176" t="n"/>
      <c r="DA268" s="180">
        <f>IF('DADOS_MELHORIAS'!$M$20="","","⚠ "&amp;'DADOS_MELHORIAS'!$M$20)</f>
        <v/>
      </c>
      <c r="DG268" s="176" t="n"/>
      <c r="DH268" s="176" t="n"/>
      <c r="DI268" s="180">
        <f>IF('DADOS_MELHORIAS'!$M$21="","","⚠ "&amp;'DADOS_MELHORIAS'!$M$21)</f>
        <v/>
      </c>
      <c r="DO268" s="176" t="n"/>
      <c r="DP268" s="176" t="n"/>
      <c r="DQ268" s="176" t="n"/>
      <c r="DR268" s="193" t="n"/>
      <c r="DW268" s="194" t="n"/>
      <c r="DX268" s="176" t="n"/>
      <c r="DY268" s="176" t="n"/>
      <c r="DZ268" s="193" t="n"/>
      <c r="EE268" s="194" t="n"/>
      <c r="EF268" s="176" t="n"/>
      <c r="EG268" s="176" t="n"/>
      <c r="EH268" s="176" t="n"/>
      <c r="EI268" s="176" t="n"/>
      <c r="EJ268" s="176" t="n"/>
      <c r="EK268" s="176" t="n"/>
      <c r="EL268" s="176" t="n"/>
      <c r="EM268" s="176" t="n"/>
      <c r="EN268" s="176" t="n"/>
      <c r="EO268" s="176" t="n"/>
      <c r="EP268" s="176" t="n"/>
      <c r="EQ268" s="176" t="n"/>
      <c r="ER268" s="176" t="n"/>
      <c r="ES268" s="176" t="n"/>
      <c r="ET268" s="176" t="n"/>
      <c r="EU268" s="176" t="n"/>
      <c r="EV268" s="176" t="n"/>
      <c r="EW268" s="176" t="n"/>
      <c r="EX268" s="176" t="n"/>
      <c r="EY268" s="176" t="n"/>
      <c r="EZ268" s="176" t="n"/>
      <c r="FA268" s="176" t="n"/>
      <c r="FB268" s="176" t="n"/>
      <c r="FC268" s="176" t="n"/>
      <c r="FD268" s="176" t="n"/>
      <c r="FE268" s="176" t="n"/>
      <c r="FF268" s="176" t="n"/>
      <c r="FG268" s="176" t="n"/>
      <c r="FH268" s="176" t="n"/>
      <c r="FI268" s="176" t="n"/>
      <c r="FJ268" s="176" t="n"/>
      <c r="FK268" s="176" t="n"/>
      <c r="FL268" s="176" t="n"/>
      <c r="FM268" s="176" t="n"/>
      <c r="FN268" s="176" t="n"/>
      <c r="FO268" s="176" t="n"/>
      <c r="FP268" s="176" t="n"/>
      <c r="FQ268" s="176" t="n"/>
      <c r="FR268" s="176" t="n"/>
      <c r="FS268" s="176" t="n"/>
      <c r="FT268" s="176" t="n"/>
      <c r="FU268" s="176" t="n"/>
      <c r="FV268" s="176" t="n"/>
      <c r="FW268" s="176" t="n"/>
      <c r="FX268" s="176" t="n"/>
      <c r="FY268" s="176" t="n"/>
      <c r="FZ268" s="176" t="n"/>
      <c r="GA268" s="176" t="n"/>
      <c r="GB268" s="176" t="n"/>
      <c r="GC268" s="176" t="n"/>
      <c r="GD268" s="176" t="n"/>
      <c r="GE268" s="176" t="n"/>
      <c r="GF268" s="176" t="n"/>
      <c r="GG268" s="176" t="n"/>
      <c r="GH268" s="176" t="n"/>
      <c r="GI268" s="176" t="n"/>
      <c r="GJ268" s="176" t="n"/>
      <c r="GK268" s="176" t="n"/>
      <c r="GL268" s="176" t="n"/>
      <c r="GM268" s="176" t="n"/>
      <c r="GN268" s="176" t="n"/>
      <c r="GO268" s="176" t="n"/>
      <c r="GP268" s="176" t="n"/>
      <c r="GQ268" s="176" t="n"/>
      <c r="GR268" s="176" t="n"/>
      <c r="GS268" s="176" t="n"/>
      <c r="GT268" s="176" t="n"/>
      <c r="GU268" s="176" t="n"/>
      <c r="GV268" s="176" t="n"/>
      <c r="GW268" s="176" t="n"/>
      <c r="GX268" s="176" t="n"/>
      <c r="GY268" s="176" t="n"/>
      <c r="GZ268" s="176" t="n"/>
      <c r="HA268" s="176" t="n"/>
      <c r="HB268" s="176" t="n"/>
      <c r="HC268" s="176" t="n"/>
      <c r="HD268" s="176" t="n"/>
      <c r="HE268" s="176" t="n"/>
      <c r="HF268" s="176" t="n"/>
      <c r="HG268" s="176" t="n"/>
      <c r="HH268" s="176" t="n"/>
      <c r="HI268" s="176" t="n"/>
      <c r="HJ268" s="176" t="n"/>
      <c r="HK268" s="176" t="n"/>
      <c r="HL268" s="176" t="n"/>
      <c r="HM268" s="176" t="n"/>
      <c r="HN268" s="176" t="n"/>
      <c r="HO268" s="176" t="n"/>
      <c r="HP268" s="181" t="inlineStr">
        <is>
          <t>CATEGORIA DE EFEITO</t>
        </is>
      </c>
      <c r="HQ268" s="182" t="n"/>
      <c r="HR268" s="183" t="n"/>
      <c r="HS268" s="185" t="n"/>
      <c r="HT268" s="182" t="n"/>
      <c r="HU268" s="183" t="n"/>
      <c r="HV268" s="176" t="n"/>
      <c r="HW268" s="176" t="n"/>
      <c r="HX268" s="181" t="inlineStr">
        <is>
          <t>CATEGORIA DE EFEITO</t>
        </is>
      </c>
      <c r="HY268" s="182" t="n"/>
      <c r="HZ268" s="183" t="n"/>
      <c r="IA268" s="185" t="n"/>
      <c r="IB268" s="182" t="n"/>
      <c r="IC268" s="183" t="n"/>
      <c r="ID268" s="176" t="n"/>
    </row>
    <row r="269" ht="18.75" customHeight="1">
      <c r="A269" s="176" t="n"/>
      <c r="B269" s="176" t="n"/>
      <c r="C269" s="176" t="n"/>
      <c r="D269" s="176" t="n"/>
      <c r="E269" s="176" t="n"/>
      <c r="F269" s="176" t="n"/>
      <c r="G269" s="176" t="n"/>
      <c r="H269" s="176" t="n"/>
      <c r="I269" s="176" t="n"/>
      <c r="J269" s="176" t="n"/>
      <c r="K269" s="176" t="n"/>
      <c r="L269" s="176" t="n"/>
      <c r="M269" s="176" t="n"/>
      <c r="N269" s="176" t="n"/>
      <c r="O269" s="176" t="n"/>
      <c r="P269" s="176" t="n"/>
      <c r="Q269" s="176" t="n"/>
      <c r="R269" s="176" t="n"/>
      <c r="S269" s="176" t="n"/>
      <c r="Z269" s="176" t="n"/>
      <c r="AA269" s="176" t="n"/>
      <c r="AH269" s="176" t="n"/>
      <c r="AI269" s="176" t="n"/>
      <c r="AJ269" s="176" t="n"/>
      <c r="AK269" s="176" t="n"/>
      <c r="AL269" s="176" t="n"/>
      <c r="AM269" s="176" t="n"/>
      <c r="AN269" s="176" t="n"/>
      <c r="AO269" s="176" t="n"/>
      <c r="AP269" s="176" t="n"/>
      <c r="AQ269" s="176" t="n"/>
      <c r="AR269" s="176" t="n"/>
      <c r="AS269" s="176" t="n"/>
      <c r="AT269" s="176" t="n"/>
      <c r="AU269" s="176" t="n"/>
      <c r="AV269" s="176" t="n"/>
      <c r="AW269" s="176" t="n"/>
      <c r="AX269" s="176" t="n"/>
      <c r="AY269" s="176" t="n"/>
      <c r="AZ269" s="176" t="n"/>
      <c r="BA269" s="176" t="n"/>
      <c r="BB269" s="176" t="n"/>
      <c r="BC269" s="176" t="n"/>
      <c r="BD269" s="176" t="n"/>
      <c r="BE269" s="176" t="n"/>
      <c r="BF269" s="176" t="n"/>
      <c r="BG269" s="176" t="n"/>
      <c r="BH269" s="176" t="n"/>
      <c r="BI269" s="176" t="n"/>
      <c r="BJ269" s="176" t="n"/>
      <c r="BK269" s="176" t="n"/>
      <c r="BL269" s="176" t="n"/>
      <c r="BM269" s="176" t="n"/>
      <c r="BN269" s="176" t="n"/>
      <c r="BO269" s="176" t="n"/>
      <c r="BP269" s="176" t="n"/>
      <c r="BQ269" s="176" t="n"/>
      <c r="BR269" s="176" t="n"/>
      <c r="BS269" s="176" t="n"/>
      <c r="BT269" s="176" t="n"/>
      <c r="BU269" s="176" t="n"/>
      <c r="BV269" s="176" t="n"/>
      <c r="BW269" s="176" t="n"/>
      <c r="BX269" s="176" t="n"/>
      <c r="BY269" s="176" t="n"/>
      <c r="BZ269" s="176" t="n"/>
      <c r="CA269" s="176" t="n"/>
      <c r="CB269" s="176" t="n"/>
      <c r="CC269" s="176" t="n"/>
      <c r="CD269" s="176" t="n"/>
      <c r="CE269" s="176" t="n"/>
      <c r="CF269" s="176" t="n"/>
      <c r="CG269" s="176" t="n"/>
      <c r="CH269" s="176" t="n"/>
      <c r="CI269" s="176" t="n"/>
      <c r="CJ269" s="176" t="n"/>
      <c r="CK269" s="176" t="n"/>
      <c r="CL269" s="176" t="n"/>
      <c r="CM269" s="176" t="n"/>
      <c r="CN269" s="176" t="n"/>
      <c r="CO269" s="176" t="n"/>
      <c r="CP269" s="176" t="n"/>
      <c r="CQ269" s="176" t="n"/>
      <c r="CR269" s="176" t="n"/>
      <c r="CS269" s="176" t="n"/>
      <c r="CT269" s="176" t="n"/>
      <c r="CU269" s="176" t="n"/>
      <c r="CV269" s="176" t="n"/>
      <c r="CW269" s="176" t="n"/>
      <c r="CX269" s="176" t="n"/>
      <c r="CY269" s="176" t="n"/>
      <c r="CZ269" s="176" t="n"/>
      <c r="DG269" s="176" t="n"/>
      <c r="DH269" s="176" t="n"/>
      <c r="DO269" s="176" t="n"/>
      <c r="DP269" s="176" t="n"/>
      <c r="DQ269" s="176" t="n"/>
      <c r="DR269" s="189" t="n"/>
      <c r="DS269" s="190" t="n"/>
      <c r="DT269" s="190" t="n"/>
      <c r="DU269" s="190" t="n"/>
      <c r="DV269" s="190" t="n"/>
      <c r="DW269" s="191" t="n"/>
      <c r="DX269" s="176" t="n"/>
      <c r="DY269" s="176" t="n"/>
      <c r="DZ269" s="189" t="n"/>
      <c r="EA269" s="190" t="n"/>
      <c r="EB269" s="190" t="n"/>
      <c r="EC269" s="190" t="n"/>
      <c r="ED269" s="190" t="n"/>
      <c r="EE269" s="191" t="n"/>
      <c r="EF269" s="176" t="n"/>
      <c r="EG269" s="176" t="n"/>
      <c r="EH269" s="176" t="n"/>
      <c r="EI269" s="176" t="n"/>
      <c r="EJ269" s="176" t="n"/>
      <c r="EK269" s="176" t="n"/>
      <c r="EL269" s="176" t="n"/>
      <c r="EM269" s="176" t="n"/>
      <c r="EN269" s="176" t="n"/>
      <c r="EO269" s="176" t="n"/>
      <c r="EP269" s="176" t="n"/>
      <c r="EQ269" s="176" t="n"/>
      <c r="ER269" s="176" t="n"/>
      <c r="ES269" s="176" t="n"/>
      <c r="ET269" s="176" t="n"/>
      <c r="EU269" s="176" t="n"/>
      <c r="EV269" s="176" t="n"/>
      <c r="EW269" s="176" t="n"/>
      <c r="EX269" s="176" t="n"/>
      <c r="EY269" s="176" t="n"/>
      <c r="EZ269" s="176" t="n"/>
      <c r="FA269" s="176" t="n"/>
      <c r="FB269" s="176" t="n"/>
      <c r="FC269" s="176" t="n"/>
      <c r="FD269" s="176" t="n"/>
      <c r="FE269" s="176" t="n"/>
      <c r="FF269" s="176" t="n"/>
      <c r="FG269" s="176" t="n"/>
      <c r="FH269" s="176" t="n"/>
      <c r="FI269" s="176" t="n"/>
      <c r="FJ269" s="176" t="n"/>
      <c r="FK269" s="176" t="n"/>
      <c r="FL269" s="176" t="n"/>
      <c r="FM269" s="176" t="n"/>
      <c r="FN269" s="176" t="n"/>
      <c r="FO269" s="176" t="n"/>
      <c r="FP269" s="176" t="n"/>
      <c r="FQ269" s="176" t="n"/>
      <c r="FR269" s="176" t="n"/>
      <c r="FS269" s="176" t="n"/>
      <c r="FT269" s="176" t="n"/>
      <c r="FU269" s="176" t="n"/>
      <c r="FV269" s="176" t="n"/>
      <c r="FW269" s="176" t="n"/>
      <c r="FX269" s="176" t="n"/>
      <c r="FY269" s="176" t="n"/>
      <c r="FZ269" s="176" t="n"/>
      <c r="GA269" s="176" t="n"/>
      <c r="GB269" s="176" t="n"/>
      <c r="GC269" s="176" t="n"/>
      <c r="GD269" s="176" t="n"/>
      <c r="GE269" s="176" t="n"/>
      <c r="GF269" s="176" t="n"/>
      <c r="GG269" s="176" t="n"/>
      <c r="GH269" s="176" t="n"/>
      <c r="GI269" s="176" t="n"/>
      <c r="GJ269" s="176" t="n"/>
      <c r="GK269" s="176" t="n"/>
      <c r="GL269" s="176" t="n"/>
      <c r="GM269" s="176" t="n"/>
      <c r="GN269" s="176" t="n"/>
      <c r="GO269" s="176" t="n"/>
      <c r="GP269" s="176" t="n"/>
      <c r="GQ269" s="176" t="n"/>
      <c r="GR269" s="176" t="n"/>
      <c r="GS269" s="176" t="n"/>
      <c r="GT269" s="176" t="n"/>
      <c r="GU269" s="176" t="n"/>
      <c r="GV269" s="176" t="n"/>
      <c r="GW269" s="176" t="n"/>
      <c r="GX269" s="176" t="n"/>
      <c r="GY269" s="176" t="n"/>
      <c r="GZ269" s="176" t="n"/>
      <c r="HA269" s="176" t="n"/>
      <c r="HB269" s="176" t="n"/>
      <c r="HC269" s="176" t="n"/>
      <c r="HD269" s="176" t="n"/>
      <c r="HE269" s="176" t="n"/>
      <c r="HF269" s="176" t="n"/>
      <c r="HG269" s="176" t="n"/>
      <c r="HH269" s="176" t="n"/>
      <c r="HI269" s="176" t="n"/>
      <c r="HJ269" s="176" t="n"/>
      <c r="HK269" s="176" t="n"/>
      <c r="HL269" s="176" t="n"/>
      <c r="HM269" s="176" t="n"/>
      <c r="HN269" s="176" t="n"/>
      <c r="HO269" s="176" t="n"/>
      <c r="HP269" s="176" t="n"/>
      <c r="HQ269" s="176" t="n"/>
      <c r="HR269" s="176" t="n"/>
      <c r="HS269" s="176" t="n"/>
      <c r="HT269" s="176" t="n"/>
      <c r="HU269" s="176" t="n"/>
      <c r="HV269" s="176" t="n"/>
      <c r="HW269" s="176" t="n"/>
      <c r="HX269" s="176" t="n"/>
      <c r="HY269" s="176" t="n"/>
      <c r="HZ269" s="176" t="n"/>
      <c r="IA269" s="176" t="n"/>
      <c r="IB269" s="176" t="n"/>
      <c r="IC269" s="176" t="n"/>
      <c r="ID269" s="176" t="n"/>
    </row>
    <row r="270" ht="18.75" customHeight="1">
      <c r="A270" s="176" t="n"/>
      <c r="B270" s="176" t="n"/>
      <c r="C270" s="176" t="n"/>
      <c r="D270" s="176" t="n"/>
      <c r="E270" s="176" t="n"/>
      <c r="F270" s="176" t="n"/>
      <c r="G270" s="176" t="n"/>
      <c r="H270" s="176" t="n"/>
      <c r="I270" s="176" t="n"/>
      <c r="J270" s="176" t="n"/>
      <c r="K270" s="176" t="n"/>
      <c r="L270" s="176" t="n"/>
      <c r="M270" s="176" t="n"/>
      <c r="N270" s="176" t="n"/>
      <c r="O270" s="176" t="n"/>
      <c r="P270" s="176" t="n"/>
      <c r="Q270" s="176" t="n"/>
      <c r="R270" s="176" t="n"/>
      <c r="S270" s="176" t="n"/>
      <c r="T270" s="176" t="n"/>
      <c r="U270" s="176" t="n"/>
      <c r="V270" s="176" t="n"/>
      <c r="W270" s="176" t="n"/>
      <c r="X270" s="176" t="n"/>
      <c r="Y270" s="176" t="n"/>
      <c r="Z270" s="176" t="n"/>
      <c r="AA270" s="176" t="n"/>
      <c r="AB270" s="176" t="n"/>
      <c r="AC270" s="176" t="n"/>
      <c r="AD270" s="176" t="n"/>
      <c r="AE270" s="176" t="n"/>
      <c r="AF270" s="176" t="n"/>
      <c r="AG270" s="176" t="n"/>
      <c r="AH270" s="176" t="n"/>
      <c r="AI270" s="176" t="n"/>
      <c r="AJ270" s="176" t="n"/>
      <c r="AK270" s="176" t="n"/>
      <c r="AL270" s="176" t="n"/>
      <c r="AM270" s="176" t="n"/>
      <c r="AN270" s="176" t="n"/>
      <c r="AO270" s="176" t="n"/>
      <c r="AP270" s="176" t="n"/>
      <c r="AQ270" s="176" t="n"/>
      <c r="AR270" s="176" t="n"/>
      <c r="AS270" s="176" t="n"/>
      <c r="AT270" s="176" t="n"/>
      <c r="AU270" s="176" t="n"/>
      <c r="AV270" s="176" t="n"/>
      <c r="AW270" s="176" t="n"/>
      <c r="AX270" s="176" t="n"/>
      <c r="AY270" s="176" t="n"/>
      <c r="AZ270" s="176" t="n"/>
      <c r="BA270" s="176" t="n"/>
      <c r="BB270" s="176" t="n"/>
      <c r="BC270" s="176" t="n"/>
      <c r="BD270" s="176" t="n"/>
      <c r="BE270" s="176" t="n"/>
      <c r="BF270" s="176" t="n"/>
      <c r="BG270" s="176" t="n"/>
      <c r="BH270" s="176" t="n"/>
      <c r="BI270" s="176" t="n"/>
      <c r="BJ270" s="176" t="n"/>
      <c r="BK270" s="176" t="n"/>
      <c r="BL270" s="176" t="n"/>
      <c r="BM270" s="176" t="n"/>
      <c r="BN270" s="176" t="n"/>
      <c r="BO270" s="176" t="n"/>
      <c r="BP270" s="176" t="n"/>
      <c r="BQ270" s="176" t="n"/>
      <c r="BR270" s="176" t="n"/>
      <c r="BS270" s="176" t="n"/>
      <c r="BT270" s="176" t="n"/>
      <c r="BU270" s="176" t="n"/>
      <c r="BV270" s="176" t="n"/>
      <c r="BW270" s="176" t="n"/>
      <c r="BX270" s="176" t="n"/>
      <c r="BY270" s="176" t="n"/>
      <c r="BZ270" s="176" t="n"/>
      <c r="CA270" s="176" t="n"/>
      <c r="CB270" s="176" t="n"/>
      <c r="CC270" s="176" t="n"/>
      <c r="CD270" s="176" t="n"/>
      <c r="CE270" s="176" t="n"/>
      <c r="CF270" s="176" t="n"/>
      <c r="CG270" s="176" t="n"/>
      <c r="CH270" s="176" t="n"/>
      <c r="CI270" s="176" t="n"/>
      <c r="CJ270" s="176" t="n"/>
      <c r="CK270" s="176" t="n"/>
      <c r="CL270" s="176" t="n"/>
      <c r="CM270" s="176" t="n"/>
      <c r="CN270" s="176" t="n"/>
      <c r="CO270" s="176" t="n"/>
      <c r="CP270" s="176" t="n"/>
      <c r="CQ270" s="176" t="n"/>
      <c r="CR270" s="176" t="n"/>
      <c r="CS270" s="176" t="n"/>
      <c r="CT270" s="176" t="n"/>
      <c r="CU270" s="176" t="n"/>
      <c r="CV270" s="176" t="n"/>
      <c r="CW270" s="176" t="n"/>
      <c r="CX270" s="176" t="n"/>
      <c r="CY270" s="176" t="n"/>
      <c r="CZ270" s="176" t="n"/>
      <c r="DA270" s="176" t="n"/>
      <c r="DB270" s="176" t="n"/>
      <c r="DC270" s="176" t="n"/>
      <c r="DD270" s="176" t="n"/>
      <c r="DE270" s="176" t="n"/>
      <c r="DF270" s="176" t="n"/>
      <c r="DG270" s="176" t="n"/>
      <c r="DH270" s="176" t="n"/>
      <c r="DI270" s="176" t="n"/>
      <c r="DJ270" s="176" t="n"/>
      <c r="DK270" s="176" t="n"/>
      <c r="DL270" s="176" t="n"/>
      <c r="DM270" s="176" t="n"/>
      <c r="DN270" s="176" t="n"/>
      <c r="DO270" s="176" t="n"/>
      <c r="DP270" s="176" t="n"/>
      <c r="DQ270" s="176" t="n"/>
      <c r="DR270" s="176" t="n"/>
      <c r="DS270" s="176" t="n"/>
      <c r="DT270" s="176" t="n"/>
      <c r="DU270" s="176" t="n"/>
      <c r="DV270" s="176" t="n"/>
      <c r="DW270" s="176" t="n"/>
      <c r="DX270" s="176" t="n"/>
      <c r="DY270" s="176" t="n"/>
      <c r="DZ270" s="176" t="n"/>
      <c r="EA270" s="176" t="n"/>
      <c r="EB270" s="176" t="n"/>
      <c r="EC270" s="176" t="n"/>
      <c r="ED270" s="176" t="n"/>
      <c r="EE270" s="176" t="n"/>
      <c r="EF270" s="176" t="n"/>
      <c r="EG270" s="176" t="n"/>
      <c r="EH270" s="176" t="n"/>
      <c r="EI270" s="176" t="n"/>
      <c r="EJ270" s="176" t="n"/>
      <c r="EK270" s="176" t="n"/>
      <c r="EL270" s="176" t="n"/>
      <c r="EM270" s="176" t="n"/>
      <c r="EN270" s="176" t="n"/>
      <c r="EO270" s="176" t="n"/>
      <c r="EP270" s="176" t="n"/>
      <c r="EQ270" s="176" t="n"/>
      <c r="ER270" s="176" t="n"/>
      <c r="ES270" s="176" t="n"/>
      <c r="ET270" s="176" t="n"/>
      <c r="EU270" s="176" t="n"/>
      <c r="EV270" s="176" t="n"/>
      <c r="EW270" s="176" t="n"/>
      <c r="EX270" s="176" t="n"/>
      <c r="EY270" s="176" t="n"/>
      <c r="EZ270" s="176" t="n"/>
      <c r="FA270" s="176" t="n"/>
      <c r="FB270" s="176" t="n"/>
      <c r="FC270" s="176" t="n"/>
      <c r="FD270" s="176" t="n"/>
      <c r="FE270" s="176" t="n"/>
      <c r="FF270" s="176" t="n"/>
      <c r="FG270" s="176" t="n"/>
      <c r="FH270" s="176" t="n"/>
      <c r="FI270" s="176" t="n"/>
      <c r="FJ270" s="176" t="n"/>
      <c r="FK270" s="176" t="n"/>
      <c r="FL270" s="176" t="n"/>
      <c r="FM270" s="176" t="n"/>
      <c r="FN270" s="176" t="n"/>
      <c r="FO270" s="176" t="n"/>
      <c r="FP270" s="176" t="n"/>
      <c r="FQ270" s="176" t="n"/>
      <c r="FR270" s="176" t="n"/>
      <c r="FS270" s="176" t="n"/>
      <c r="FT270" s="176" t="n"/>
      <c r="FU270" s="176" t="n"/>
      <c r="FV270" s="176" t="n"/>
      <c r="FW270" s="176" t="n"/>
      <c r="FX270" s="176" t="n"/>
      <c r="FY270" s="176" t="n"/>
      <c r="FZ270" s="176" t="n"/>
      <c r="GA270" s="176" t="n"/>
      <c r="GB270" s="176" t="n"/>
      <c r="GC270" s="176" t="n"/>
      <c r="GD270" s="176" t="n"/>
      <c r="GE270" s="176" t="n"/>
      <c r="GF270" s="176" t="n"/>
      <c r="GG270" s="176" t="n"/>
      <c r="GH270" s="176" t="n"/>
      <c r="GI270" s="176" t="n"/>
      <c r="GJ270" s="176" t="n"/>
      <c r="GK270" s="176" t="n"/>
      <c r="GL270" s="176" t="n"/>
      <c r="GM270" s="176" t="n"/>
      <c r="GN270" s="176" t="n"/>
      <c r="GO270" s="176" t="n"/>
      <c r="GP270" s="176" t="n"/>
      <c r="GQ270" s="176" t="n"/>
      <c r="GR270" s="176" t="n"/>
      <c r="GS270" s="176" t="n"/>
      <c r="GT270" s="176" t="n"/>
      <c r="GU270" s="176" t="n"/>
      <c r="GV270" s="176" t="n"/>
      <c r="GW270" s="176" t="n"/>
      <c r="GX270" s="176" t="n"/>
      <c r="GY270" s="176" t="n"/>
      <c r="GZ270" s="176" t="n"/>
      <c r="HA270" s="176" t="n"/>
      <c r="HB270" s="176" t="n"/>
      <c r="HC270" s="176" t="n"/>
      <c r="HD270" s="176" t="n"/>
      <c r="HE270" s="176" t="n"/>
      <c r="HF270" s="176" t="n"/>
      <c r="HG270" s="176" t="n"/>
      <c r="HH270" s="176" t="n"/>
      <c r="HI270" s="176" t="n"/>
      <c r="HJ270" s="176" t="n"/>
      <c r="HK270" s="176" t="n"/>
      <c r="HL270" s="176" t="n"/>
      <c r="HM270" s="176" t="n"/>
      <c r="HN270" s="176" t="n"/>
      <c r="HO270" s="176" t="n"/>
      <c r="HP270" s="176" t="n"/>
      <c r="HQ270" s="176" t="n"/>
      <c r="HR270" s="176" t="n"/>
      <c r="HS270" s="176" t="n"/>
      <c r="HT270" s="176" t="n"/>
      <c r="HU270" s="176" t="n"/>
      <c r="HV270" s="176" t="n"/>
      <c r="HW270" s="176" t="n"/>
      <c r="HX270" s="176" t="n"/>
      <c r="HY270" s="176" t="n"/>
      <c r="HZ270" s="176" t="n"/>
      <c r="IA270" s="176" t="n"/>
      <c r="IB270" s="176" t="n"/>
      <c r="IC270" s="176" t="n"/>
      <c r="ID270" s="176" t="n"/>
    </row>
    <row r="271" ht="18.75" customHeight="1">
      <c r="A271" s="176" t="n"/>
      <c r="B271" s="176" t="n"/>
      <c r="C271" s="176" t="n"/>
      <c r="D271" s="176" t="n"/>
      <c r="E271" s="176" t="n"/>
      <c r="F271" s="176" t="n"/>
      <c r="G271" s="176" t="n"/>
      <c r="H271" s="176" t="n"/>
      <c r="I271" s="176" t="n"/>
      <c r="J271" s="176" t="n"/>
      <c r="K271" s="176" t="n"/>
      <c r="L271" s="176" t="n"/>
      <c r="M271" s="176" t="n"/>
      <c r="N271" s="176" t="n"/>
      <c r="O271" s="176" t="n"/>
      <c r="P271" s="176" t="n"/>
      <c r="Q271" s="176" t="n"/>
      <c r="R271" s="176" t="n"/>
      <c r="S271" s="176" t="n"/>
      <c r="T271" s="176" t="n"/>
      <c r="U271" s="176" t="n"/>
      <c r="V271" s="176" t="n"/>
      <c r="W271" s="176" t="n"/>
      <c r="X271" s="176" t="n"/>
      <c r="Y271" s="176" t="n"/>
      <c r="Z271" s="176" t="n"/>
      <c r="AA271" s="176" t="n"/>
      <c r="AB271" s="176" t="n"/>
      <c r="AC271" s="176" t="n"/>
      <c r="AD271" s="176" t="n"/>
      <c r="AE271" s="176" t="n"/>
      <c r="AF271" s="176" t="n"/>
      <c r="AG271" s="176" t="n"/>
      <c r="AH271" s="176" t="n"/>
      <c r="AI271" s="176" t="n"/>
      <c r="AJ271" s="176" t="n"/>
      <c r="AK271" s="176" t="n"/>
      <c r="AL271" s="176" t="n"/>
      <c r="AM271" s="176" t="n"/>
      <c r="AN271" s="176" t="n"/>
      <c r="AO271" s="176" t="n"/>
      <c r="AP271" s="176" t="n"/>
      <c r="AQ271" s="176" t="n"/>
      <c r="AR271" s="176" t="n"/>
      <c r="AS271" s="176" t="n"/>
      <c r="AT271" s="176" t="n"/>
      <c r="AU271" s="176" t="n"/>
      <c r="AV271" s="176" t="n"/>
      <c r="AW271" s="176" t="n"/>
      <c r="AX271" s="176" t="n"/>
      <c r="AY271" s="176" t="n"/>
      <c r="AZ271" s="176" t="n"/>
      <c r="BA271" s="176" t="n"/>
      <c r="BB271" s="176" t="n"/>
      <c r="BC271" s="176" t="n"/>
      <c r="BD271" s="176" t="n"/>
      <c r="BE271" s="176" t="n"/>
      <c r="BF271" s="176" t="n"/>
      <c r="BG271" s="176" t="n"/>
      <c r="BH271" s="176" t="n"/>
      <c r="BI271" s="176" t="n"/>
      <c r="BJ271" s="176" t="n"/>
      <c r="BK271" s="176" t="n"/>
      <c r="BL271" s="176" t="n"/>
      <c r="BM271" s="176" t="n"/>
      <c r="BN271" s="176" t="n"/>
      <c r="BO271" s="176" t="n"/>
      <c r="BP271" s="176" t="n"/>
      <c r="BQ271" s="176" t="n"/>
      <c r="BR271" s="176" t="n"/>
      <c r="BS271" s="176" t="n"/>
      <c r="BT271" s="176" t="n"/>
      <c r="BU271" s="176" t="n"/>
      <c r="BV271" s="176" t="n"/>
      <c r="BW271" s="176" t="n"/>
      <c r="BX271" s="176" t="n"/>
      <c r="BY271" s="176" t="n"/>
      <c r="BZ271" s="176" t="n"/>
      <c r="CA271" s="176" t="n"/>
      <c r="CB271" s="176" t="n"/>
      <c r="CC271" s="176" t="n"/>
      <c r="CD271" s="176" t="n"/>
      <c r="CE271" s="176" t="n"/>
      <c r="CF271" s="176" t="n"/>
      <c r="CG271" s="176" t="n"/>
      <c r="CH271" s="176" t="n"/>
      <c r="CI271" s="176" t="n"/>
      <c r="CJ271" s="176" t="n"/>
      <c r="CK271" s="176" t="n"/>
      <c r="CL271" s="176" t="n"/>
      <c r="CM271" s="176" t="n"/>
      <c r="CN271" s="176" t="n"/>
      <c r="CO271" s="176" t="n"/>
      <c r="CP271" s="176" t="n"/>
      <c r="CQ271" s="176" t="n"/>
      <c r="CR271" s="176" t="n"/>
      <c r="CS271" s="176" t="n"/>
      <c r="CT271" s="176" t="n"/>
      <c r="CU271" s="176" t="n"/>
      <c r="CV271" s="176" t="n"/>
      <c r="CW271" s="176" t="n"/>
      <c r="CX271" s="176" t="n"/>
      <c r="CY271" s="176" t="n"/>
      <c r="CZ271" s="176" t="n"/>
      <c r="DA271" s="179" t="inlineStr">
        <is>
          <t>MELHORIA · 21</t>
        </is>
      </c>
      <c r="DG271" s="176" t="n"/>
      <c r="DH271" s="176" t="n"/>
      <c r="DI271" s="179" t="inlineStr">
        <is>
          <t>MELHORIA · 22</t>
        </is>
      </c>
      <c r="DO271" s="176" t="n"/>
      <c r="DP271" s="176" t="n"/>
      <c r="DQ271" s="176" t="n"/>
      <c r="DR271" s="180">
        <f>IF('DADOS_RESTRICOES'!$K$24="","","⚠ "&amp;'DADOS_RESTRICOES'!$K$24)</f>
        <v/>
      </c>
      <c r="DX271" s="176" t="n"/>
      <c r="DY271" s="176" t="n"/>
      <c r="DZ271" s="180">
        <f>IF('DADOS_RESTRICOES'!$K$25="","","⚠ "&amp;'DADOS_RESTRICOES'!$K$25)</f>
        <v/>
      </c>
      <c r="EF271" s="176" t="n"/>
      <c r="EG271" s="176" t="n"/>
      <c r="EH271" s="176" t="n"/>
      <c r="EI271" s="176" t="n"/>
      <c r="EJ271" s="176" t="n"/>
      <c r="EK271" s="176" t="n"/>
      <c r="EL271" s="176" t="n"/>
      <c r="EM271" s="176" t="n"/>
      <c r="EN271" s="176" t="n"/>
      <c r="EO271" s="176" t="n"/>
      <c r="EP271" s="176" t="n"/>
      <c r="EQ271" s="176" t="n"/>
      <c r="ER271" s="176" t="n"/>
      <c r="ES271" s="176" t="n"/>
      <c r="ET271" s="176" t="n"/>
      <c r="EU271" s="176" t="n"/>
      <c r="EV271" s="176" t="n"/>
      <c r="EW271" s="176" t="n"/>
      <c r="EX271" s="176" t="n"/>
      <c r="EY271" s="176" t="n"/>
      <c r="EZ271" s="176" t="n"/>
      <c r="FA271" s="176" t="n"/>
      <c r="FB271" s="176" t="n"/>
      <c r="FC271" s="176" t="n"/>
      <c r="FD271" s="176" t="n"/>
      <c r="FE271" s="176" t="n"/>
      <c r="FF271" s="176" t="n"/>
      <c r="FG271" s="176" t="n"/>
      <c r="FH271" s="176" t="n"/>
      <c r="FI271" s="176" t="n"/>
      <c r="FJ271" s="176" t="n"/>
      <c r="FK271" s="176" t="n"/>
      <c r="FL271" s="176" t="n"/>
      <c r="FM271" s="176" t="n"/>
      <c r="FN271" s="176" t="n"/>
      <c r="FO271" s="176" t="n"/>
      <c r="FP271" s="176" t="n"/>
      <c r="FQ271" s="176" t="n"/>
      <c r="FR271" s="176" t="n"/>
      <c r="FS271" s="176" t="n"/>
      <c r="FT271" s="176" t="n"/>
      <c r="FU271" s="176" t="n"/>
      <c r="FV271" s="176" t="n"/>
      <c r="FW271" s="176" t="n"/>
      <c r="FX271" s="176" t="n"/>
      <c r="FY271" s="176" t="n"/>
      <c r="FZ271" s="176" t="n"/>
      <c r="GA271" s="176" t="n"/>
      <c r="GB271" s="176" t="n"/>
      <c r="GC271" s="176" t="n"/>
      <c r="GD271" s="176" t="n"/>
      <c r="GE271" s="176" t="n"/>
      <c r="GF271" s="176" t="n"/>
      <c r="GG271" s="176" t="n"/>
      <c r="GH271" s="176" t="n"/>
      <c r="GI271" s="176" t="n"/>
      <c r="GJ271" s="176" t="n"/>
      <c r="GK271" s="176" t="n"/>
      <c r="GL271" s="176" t="n"/>
      <c r="GM271" s="176" t="n"/>
      <c r="GN271" s="176" t="n"/>
      <c r="GO271" s="176" t="n"/>
      <c r="GP271" s="176" t="n"/>
      <c r="GQ271" s="176" t="n"/>
      <c r="GR271" s="176" t="n"/>
      <c r="GS271" s="176" t="n"/>
      <c r="GT271" s="176" t="n"/>
      <c r="GU271" s="176" t="n"/>
      <c r="GV271" s="176" t="n"/>
      <c r="GW271" s="176" t="n"/>
      <c r="GX271" s="176" t="n"/>
      <c r="GY271" s="176" t="n"/>
      <c r="GZ271" s="176" t="n"/>
      <c r="HA271" s="176" t="n"/>
      <c r="HB271" s="176" t="n"/>
      <c r="HC271" s="176" t="n"/>
      <c r="HD271" s="176" t="n"/>
      <c r="HE271" s="176" t="n"/>
      <c r="HF271" s="176" t="n"/>
      <c r="HG271" s="176" t="n"/>
      <c r="HH271" s="176" t="n"/>
      <c r="HI271" s="176" t="n"/>
      <c r="HJ271" s="176" t="n"/>
      <c r="HK271" s="176" t="n"/>
      <c r="HL271" s="176" t="n"/>
      <c r="HM271" s="176" t="n"/>
      <c r="HN271" s="176" t="n"/>
      <c r="HO271" s="176" t="n"/>
      <c r="HP271" s="176" t="n"/>
      <c r="HQ271" s="176" t="n"/>
      <c r="HR271" s="176" t="n"/>
      <c r="HS271" s="176" t="n"/>
      <c r="HT271" s="176" t="n"/>
      <c r="HU271" s="176" t="n"/>
      <c r="HV271" s="176" t="n"/>
      <c r="HW271" s="176" t="n"/>
      <c r="HX271" s="176" t="n"/>
      <c r="HY271" s="176" t="n"/>
      <c r="HZ271" s="176" t="n"/>
      <c r="IA271" s="176" t="n"/>
      <c r="IB271" s="176" t="n"/>
      <c r="IC271" s="176" t="n"/>
      <c r="ID271" s="176" t="n"/>
    </row>
    <row r="272" ht="18.75" customHeight="1">
      <c r="A272" s="176" t="n"/>
      <c r="B272" s="176" t="n"/>
      <c r="C272" s="176" t="n"/>
      <c r="D272" s="176" t="n"/>
      <c r="E272" s="176" t="n"/>
      <c r="F272" s="176" t="n"/>
      <c r="G272" s="176" t="n"/>
      <c r="H272" s="176" t="n"/>
      <c r="I272" s="176" t="n"/>
      <c r="J272" s="176" t="n"/>
      <c r="K272" s="176" t="n"/>
      <c r="L272" s="176" t="n"/>
      <c r="M272" s="176" t="n"/>
      <c r="N272" s="176" t="n"/>
      <c r="O272" s="176" t="n"/>
      <c r="P272" s="176" t="n"/>
      <c r="Q272" s="176" t="n"/>
      <c r="R272" s="176" t="n"/>
      <c r="S272" s="176" t="n"/>
      <c r="T272" s="176" t="n"/>
      <c r="U272" s="176" t="n"/>
      <c r="V272" s="176" t="n"/>
      <c r="W272" s="176" t="n"/>
      <c r="X272" s="176" t="n"/>
      <c r="Y272" s="176" t="n"/>
      <c r="Z272" s="176" t="n"/>
      <c r="AA272" s="176" t="n"/>
      <c r="AB272" s="176" t="n"/>
      <c r="AC272" s="176" t="n"/>
      <c r="AD272" s="176" t="n"/>
      <c r="AE272" s="176" t="n"/>
      <c r="AF272" s="176" t="n"/>
      <c r="AG272" s="176" t="n"/>
      <c r="AH272" s="176" t="n"/>
      <c r="AI272" s="176" t="n"/>
      <c r="AJ272" s="176" t="n"/>
      <c r="AK272" s="176" t="n"/>
      <c r="AL272" s="176" t="n"/>
      <c r="AM272" s="176" t="n"/>
      <c r="AN272" s="176" t="n"/>
      <c r="AO272" s="176" t="n"/>
      <c r="AP272" s="176" t="n"/>
      <c r="AQ272" s="176" t="n"/>
      <c r="AR272" s="176" t="n"/>
      <c r="AS272" s="176" t="n"/>
      <c r="AT272" s="176" t="n"/>
      <c r="AU272" s="176" t="n"/>
      <c r="AV272" s="176" t="n"/>
      <c r="AW272" s="176" t="n"/>
      <c r="AX272" s="176" t="n"/>
      <c r="AY272" s="176" t="n"/>
      <c r="AZ272" s="176" t="n"/>
      <c r="BA272" s="176" t="n"/>
      <c r="BB272" s="176" t="n"/>
      <c r="BC272" s="176" t="n"/>
      <c r="BD272" s="176" t="n"/>
      <c r="BE272" s="176" t="n"/>
      <c r="BF272" s="176" t="n"/>
      <c r="BG272" s="176" t="n"/>
      <c r="BH272" s="176" t="n"/>
      <c r="BI272" s="176" t="n"/>
      <c r="BJ272" s="176" t="n"/>
      <c r="BK272" s="176" t="n"/>
      <c r="BL272" s="176" t="n"/>
      <c r="BM272" s="176" t="n"/>
      <c r="BN272" s="176" t="n"/>
      <c r="BO272" s="176" t="n"/>
      <c r="BP272" s="176" t="n"/>
      <c r="BQ272" s="176" t="n"/>
      <c r="BR272" s="176" t="n"/>
      <c r="BS272" s="176" t="n"/>
      <c r="BT272" s="176" t="n"/>
      <c r="BU272" s="176" t="n"/>
      <c r="BV272" s="176" t="n"/>
      <c r="BW272" s="176" t="n"/>
      <c r="BX272" s="176" t="n"/>
      <c r="BY272" s="176" t="n"/>
      <c r="BZ272" s="176" t="n"/>
      <c r="CA272" s="176" t="n"/>
      <c r="CB272" s="176" t="n"/>
      <c r="CC272" s="176" t="n"/>
      <c r="CD272" s="176" t="n"/>
      <c r="CE272" s="176" t="n"/>
      <c r="CF272" s="176" t="n"/>
      <c r="CG272" s="176" t="n"/>
      <c r="CH272" s="176" t="n"/>
      <c r="CI272" s="176" t="n"/>
      <c r="CJ272" s="176" t="n"/>
      <c r="CK272" s="176" t="n"/>
      <c r="CL272" s="176" t="n"/>
      <c r="CM272" s="176" t="n"/>
      <c r="CN272" s="176" t="n"/>
      <c r="CO272" s="176" t="n"/>
      <c r="CP272" s="176" t="n"/>
      <c r="CQ272" s="176" t="n"/>
      <c r="CR272" s="176" t="n"/>
      <c r="CS272" s="176" t="n"/>
      <c r="CT272" s="176" t="n"/>
      <c r="CU272" s="176" t="n"/>
      <c r="CV272" s="176" t="n"/>
      <c r="CW272" s="176" t="n"/>
      <c r="CX272" s="176" t="n"/>
      <c r="CY272" s="176" t="n"/>
      <c r="CZ272" s="176" t="n"/>
      <c r="DA272" s="181" t="inlineStr">
        <is>
          <t>TIPO</t>
        </is>
      </c>
      <c r="DB272" s="182" t="n"/>
      <c r="DC272" s="182" t="n"/>
      <c r="DD272" s="183" t="n"/>
      <c r="DE272" s="181" t="inlineStr">
        <is>
          <t>MESTRE VIU</t>
        </is>
      </c>
      <c r="DF272" s="183" t="n"/>
      <c r="DG272" s="176" t="n"/>
      <c r="DH272" s="176" t="n"/>
      <c r="DI272" s="181" t="inlineStr">
        <is>
          <t>TIPO</t>
        </is>
      </c>
      <c r="DJ272" s="182" t="n"/>
      <c r="DK272" s="182" t="n"/>
      <c r="DL272" s="183" t="n"/>
      <c r="DM272" s="181" t="inlineStr">
        <is>
          <t>MESTRE VIU</t>
        </is>
      </c>
      <c r="DN272" s="183" t="n"/>
      <c r="DO272" s="176" t="n"/>
      <c r="DP272" s="176" t="n"/>
      <c r="DQ272" s="176" t="n"/>
      <c r="DX272" s="176" t="n"/>
      <c r="DY272" s="176" t="n"/>
      <c r="EF272" s="176" t="n"/>
      <c r="EG272" s="176" t="n"/>
      <c r="EH272" s="176" t="n"/>
      <c r="EI272" s="176" t="n"/>
      <c r="EJ272" s="176" t="n"/>
      <c r="EK272" s="176" t="n"/>
      <c r="EL272" s="176" t="n"/>
      <c r="EM272" s="176" t="n"/>
      <c r="EN272" s="176" t="n"/>
      <c r="EO272" s="176" t="n"/>
      <c r="EP272" s="176" t="n"/>
      <c r="EQ272" s="176" t="n"/>
      <c r="ER272" s="176" t="n"/>
      <c r="ES272" s="176" t="n"/>
      <c r="ET272" s="176" t="n"/>
      <c r="EU272" s="176" t="n"/>
      <c r="EV272" s="176" t="n"/>
      <c r="EW272" s="176" t="n"/>
      <c r="EX272" s="176" t="n"/>
      <c r="EY272" s="176" t="n"/>
      <c r="EZ272" s="176" t="n"/>
      <c r="FA272" s="176" t="n"/>
      <c r="FB272" s="176" t="n"/>
      <c r="FC272" s="176" t="n"/>
      <c r="FD272" s="176" t="n"/>
      <c r="FE272" s="176" t="n"/>
      <c r="FF272" s="176" t="n"/>
      <c r="FG272" s="176" t="n"/>
      <c r="FH272" s="176" t="n"/>
      <c r="FI272" s="176" t="n"/>
      <c r="FJ272" s="176" t="n"/>
      <c r="FK272" s="176" t="n"/>
      <c r="FL272" s="176" t="n"/>
      <c r="FM272" s="176" t="n"/>
      <c r="FN272" s="176" t="n"/>
      <c r="FO272" s="176" t="n"/>
      <c r="FP272" s="176" t="n"/>
      <c r="FQ272" s="176" t="n"/>
      <c r="FR272" s="176" t="n"/>
      <c r="FS272" s="176" t="n"/>
      <c r="FT272" s="176" t="n"/>
      <c r="FU272" s="176" t="n"/>
      <c r="FV272" s="176" t="n"/>
      <c r="FW272" s="176" t="n"/>
      <c r="FX272" s="176" t="n"/>
      <c r="FY272" s="176" t="n"/>
      <c r="FZ272" s="176" t="n"/>
      <c r="GA272" s="176" t="n"/>
      <c r="GB272" s="176" t="n"/>
      <c r="GC272" s="176" t="n"/>
      <c r="GD272" s="176" t="n"/>
      <c r="GE272" s="176" t="n"/>
      <c r="GF272" s="176" t="n"/>
      <c r="GG272" s="176" t="n"/>
      <c r="GH272" s="176" t="n"/>
      <c r="GI272" s="176" t="n"/>
      <c r="GJ272" s="176" t="n"/>
      <c r="GK272" s="176" t="n"/>
      <c r="GL272" s="176" t="n"/>
      <c r="GM272" s="176" t="n"/>
      <c r="GN272" s="176" t="n"/>
      <c r="GO272" s="176" t="n"/>
      <c r="GP272" s="176" t="n"/>
      <c r="GQ272" s="176" t="n"/>
      <c r="GR272" s="176" t="n"/>
      <c r="GS272" s="176" t="n"/>
      <c r="GT272" s="176" t="n"/>
      <c r="GU272" s="176" t="n"/>
      <c r="GV272" s="176" t="n"/>
      <c r="GW272" s="176" t="n"/>
      <c r="GX272" s="176" t="n"/>
      <c r="GY272" s="176" t="n"/>
      <c r="GZ272" s="176" t="n"/>
      <c r="HA272" s="176" t="n"/>
      <c r="HB272" s="176" t="n"/>
      <c r="HC272" s="176" t="n"/>
      <c r="HD272" s="176" t="n"/>
      <c r="HE272" s="176" t="n"/>
      <c r="HF272" s="176" t="n"/>
      <c r="HG272" s="176" t="n"/>
      <c r="HH272" s="176" t="n"/>
      <c r="HI272" s="176" t="n"/>
      <c r="HJ272" s="176" t="n"/>
      <c r="HK272" s="176" t="n"/>
      <c r="HL272" s="176" t="n"/>
      <c r="HM272" s="176" t="n"/>
      <c r="HN272" s="176" t="n"/>
      <c r="HO272" s="176" t="n"/>
      <c r="HP272" s="176" t="n"/>
      <c r="HQ272" s="176" t="n"/>
      <c r="HR272" s="176" t="n"/>
      <c r="HS272" s="176" t="n"/>
      <c r="HT272" s="176" t="n"/>
      <c r="HU272" s="176" t="n"/>
      <c r="HV272" s="176" t="n"/>
      <c r="HW272" s="176" t="n"/>
      <c r="HX272" s="176" t="n"/>
      <c r="HY272" s="176" t="n"/>
      <c r="HZ272" s="176" t="n"/>
      <c r="IA272" s="176" t="n"/>
      <c r="IB272" s="176" t="n"/>
      <c r="IC272" s="176" t="n"/>
      <c r="ID272" s="176" t="n"/>
    </row>
    <row r="273" ht="18.75" customHeight="1">
      <c r="A273" s="176" t="n"/>
      <c r="B273" s="176" t="n"/>
      <c r="C273" s="176" t="n"/>
      <c r="D273" s="176" t="n"/>
      <c r="E273" s="176" t="n"/>
      <c r="F273" s="176" t="n"/>
      <c r="G273" s="176" t="n"/>
      <c r="H273" s="176" t="n"/>
      <c r="I273" s="176" t="n"/>
      <c r="J273" s="176" t="n"/>
      <c r="K273" s="176" t="n"/>
      <c r="L273" s="176" t="n"/>
      <c r="M273" s="176" t="n"/>
      <c r="N273" s="176" t="n"/>
      <c r="O273" s="176" t="n"/>
      <c r="P273" s="176" t="n"/>
      <c r="Q273" s="176" t="n"/>
      <c r="R273" s="176" t="n"/>
      <c r="S273" s="176" t="n"/>
      <c r="T273" s="179" t="inlineStr">
        <is>
          <t>CARTÃO 19 · CUSTOM</t>
        </is>
      </c>
      <c r="Z273" s="176" t="n"/>
      <c r="AA273" s="176" t="n"/>
      <c r="AB273" s="179" t="inlineStr">
        <is>
          <t>CARTÃO 20 · CUSTOM</t>
        </is>
      </c>
      <c r="AH273" s="176" t="n"/>
      <c r="AI273" s="176" t="n"/>
      <c r="AJ273" s="176" t="n"/>
      <c r="AK273" s="176" t="n"/>
      <c r="AL273" s="176" t="n"/>
      <c r="AM273" s="176" t="n"/>
      <c r="AN273" s="176" t="n"/>
      <c r="AO273" s="176" t="n"/>
      <c r="AP273" s="176" t="n"/>
      <c r="AQ273" s="176" t="n"/>
      <c r="AR273" s="176" t="n"/>
      <c r="AS273" s="176" t="n"/>
      <c r="AT273" s="176" t="n"/>
      <c r="AU273" s="176" t="n"/>
      <c r="AV273" s="176" t="n"/>
      <c r="AW273" s="176" t="n"/>
      <c r="AX273" s="176" t="n"/>
      <c r="AY273" s="176" t="n"/>
      <c r="AZ273" s="176" t="n"/>
      <c r="BA273" s="176" t="n"/>
      <c r="BB273" s="176" t="n"/>
      <c r="BC273" s="176" t="n"/>
      <c r="BD273" s="176" t="n"/>
      <c r="BE273" s="176" t="n"/>
      <c r="BF273" s="176" t="n"/>
      <c r="BG273" s="176" t="n"/>
      <c r="BH273" s="176" t="n"/>
      <c r="BI273" s="176" t="n"/>
      <c r="BJ273" s="176" t="n"/>
      <c r="BK273" s="176" t="n"/>
      <c r="BL273" s="176" t="n"/>
      <c r="BM273" s="176" t="n"/>
      <c r="BN273" s="176" t="n"/>
      <c r="BO273" s="176" t="n"/>
      <c r="BP273" s="176" t="n"/>
      <c r="BQ273" s="176" t="n"/>
      <c r="BR273" s="176" t="n"/>
      <c r="BS273" s="176" t="n"/>
      <c r="BT273" s="176" t="n"/>
      <c r="BU273" s="176" t="n"/>
      <c r="BV273" s="176" t="n"/>
      <c r="BW273" s="176" t="n"/>
      <c r="BX273" s="176" t="n"/>
      <c r="BY273" s="176" t="n"/>
      <c r="BZ273" s="176" t="n"/>
      <c r="CA273" s="176" t="n"/>
      <c r="CB273" s="176" t="n"/>
      <c r="CC273" s="176" t="n"/>
      <c r="CD273" s="176" t="n"/>
      <c r="CE273" s="176" t="n"/>
      <c r="CF273" s="176" t="n"/>
      <c r="CG273" s="176" t="n"/>
      <c r="CH273" s="176" t="n"/>
      <c r="CI273" s="176" t="n"/>
      <c r="CJ273" s="176" t="n"/>
      <c r="CK273" s="176" t="n"/>
      <c r="CL273" s="176" t="n"/>
      <c r="CM273" s="176" t="n"/>
      <c r="CN273" s="176" t="n"/>
      <c r="CO273" s="176" t="n"/>
      <c r="CP273" s="176" t="n"/>
      <c r="CQ273" s="176" t="n"/>
      <c r="CR273" s="176" t="n"/>
      <c r="CS273" s="176" t="n"/>
      <c r="CT273" s="176" t="n"/>
      <c r="CU273" s="176" t="n"/>
      <c r="CV273" s="176" t="n"/>
      <c r="CW273" s="176" t="n"/>
      <c r="CX273" s="176" t="n"/>
      <c r="CY273" s="176" t="n"/>
      <c r="CZ273" s="176" t="n"/>
      <c r="DA273" s="185" t="inlineStr">
        <is>
          <t>Melhoria</t>
        </is>
      </c>
      <c r="DB273" s="182" t="n"/>
      <c r="DC273" s="182" t="n"/>
      <c r="DD273" s="183" t="n"/>
      <c r="DE273" s="184" t="b">
        <v>0</v>
      </c>
      <c r="DF273" s="183" t="n"/>
      <c r="DG273" s="176" t="n"/>
      <c r="DH273" s="176" t="n"/>
      <c r="DI273" s="185" t="inlineStr">
        <is>
          <t>Melhoria</t>
        </is>
      </c>
      <c r="DJ273" s="182" t="n"/>
      <c r="DK273" s="182" t="n"/>
      <c r="DL273" s="183" t="n"/>
      <c r="DM273" s="184" t="b">
        <v>0</v>
      </c>
      <c r="DN273" s="183" t="n"/>
      <c r="DO273" s="176" t="n"/>
      <c r="DP273" s="176" t="n"/>
      <c r="DQ273" s="176" t="n"/>
      <c r="DR273" s="176" t="n"/>
      <c r="DS273" s="176" t="n"/>
      <c r="DT273" s="176" t="n"/>
      <c r="DU273" s="176" t="n"/>
      <c r="DV273" s="176" t="n"/>
      <c r="DW273" s="176" t="n"/>
      <c r="DX273" s="176" t="n"/>
      <c r="DY273" s="176" t="n"/>
      <c r="DZ273" s="176" t="n"/>
      <c r="EA273" s="176" t="n"/>
      <c r="EB273" s="176" t="n"/>
      <c r="EC273" s="176" t="n"/>
      <c r="ED273" s="176" t="n"/>
      <c r="EE273" s="176" t="n"/>
      <c r="EF273" s="176" t="n"/>
      <c r="EG273" s="176" t="n"/>
      <c r="EH273" s="176" t="n"/>
      <c r="EI273" s="176" t="n"/>
      <c r="EJ273" s="176" t="n"/>
      <c r="EK273" s="176" t="n"/>
      <c r="EL273" s="176" t="n"/>
      <c r="EM273" s="176" t="n"/>
      <c r="EN273" s="176" t="n"/>
      <c r="EO273" s="176" t="n"/>
      <c r="EP273" s="176" t="n"/>
      <c r="EQ273" s="176" t="n"/>
      <c r="ER273" s="176" t="n"/>
      <c r="ES273" s="176" t="n"/>
      <c r="ET273" s="176" t="n"/>
      <c r="EU273" s="176" t="n"/>
      <c r="EV273" s="176" t="n"/>
      <c r="EW273" s="176" t="n"/>
      <c r="EX273" s="176" t="n"/>
      <c r="EY273" s="176" t="n"/>
      <c r="EZ273" s="176" t="n"/>
      <c r="FA273" s="176" t="n"/>
      <c r="FB273" s="176" t="n"/>
      <c r="FC273" s="176" t="n"/>
      <c r="FD273" s="176" t="n"/>
      <c r="FE273" s="176" t="n"/>
      <c r="FF273" s="176" t="n"/>
      <c r="FG273" s="176" t="n"/>
      <c r="FH273" s="176" t="n"/>
      <c r="FI273" s="176" t="n"/>
      <c r="FJ273" s="176" t="n"/>
      <c r="FK273" s="176" t="n"/>
      <c r="FL273" s="176" t="n"/>
      <c r="FM273" s="176" t="n"/>
      <c r="FN273" s="176" t="n"/>
      <c r="FO273" s="176" t="n"/>
      <c r="FP273" s="176" t="n"/>
      <c r="FQ273" s="176" t="n"/>
      <c r="FR273" s="176" t="n"/>
      <c r="FS273" s="176" t="n"/>
      <c r="FT273" s="176" t="n"/>
      <c r="FU273" s="176" t="n"/>
      <c r="FV273" s="176" t="n"/>
      <c r="FW273" s="176" t="n"/>
      <c r="FX273" s="176" t="n"/>
      <c r="FY273" s="176" t="n"/>
      <c r="FZ273" s="176" t="n"/>
      <c r="GA273" s="176" t="n"/>
      <c r="GB273" s="176" t="n"/>
      <c r="GC273" s="176" t="n"/>
      <c r="GD273" s="176" t="n"/>
      <c r="GE273" s="176" t="n"/>
      <c r="GF273" s="176" t="n"/>
      <c r="GG273" s="176" t="n"/>
      <c r="GH273" s="176" t="n"/>
      <c r="GI273" s="176" t="n"/>
      <c r="GJ273" s="176" t="n"/>
      <c r="GK273" s="176" t="n"/>
      <c r="GL273" s="176" t="n"/>
      <c r="GM273" s="176" t="n"/>
      <c r="GN273" s="176" t="n"/>
      <c r="GO273" s="176" t="n"/>
      <c r="GP273" s="176" t="n"/>
      <c r="GQ273" s="176" t="n"/>
      <c r="GR273" s="176" t="n"/>
      <c r="GS273" s="176" t="n"/>
      <c r="GT273" s="176" t="n"/>
      <c r="GU273" s="176" t="n"/>
      <c r="GV273" s="176" t="n"/>
      <c r="GW273" s="176" t="n"/>
      <c r="GX273" s="176" t="n"/>
      <c r="GY273" s="176" t="n"/>
      <c r="GZ273" s="176" t="n"/>
      <c r="HA273" s="176" t="n"/>
      <c r="HB273" s="176" t="n"/>
      <c r="HC273" s="176" t="n"/>
      <c r="HD273" s="176" t="n"/>
      <c r="HE273" s="176" t="n"/>
      <c r="HF273" s="176" t="n"/>
      <c r="HG273" s="176" t="n"/>
      <c r="HH273" s="176" t="n"/>
      <c r="HI273" s="176" t="n"/>
      <c r="HJ273" s="176" t="n"/>
      <c r="HK273" s="176" t="n"/>
      <c r="HL273" s="176" t="n"/>
      <c r="HM273" s="176" t="n"/>
      <c r="HN273" s="176" t="n"/>
      <c r="HO273" s="176" t="n"/>
      <c r="HP273" s="176" t="n"/>
      <c r="HQ273" s="176" t="n"/>
      <c r="HR273" s="176" t="n"/>
      <c r="HS273" s="176" t="n"/>
      <c r="HT273" s="176" t="n"/>
      <c r="HU273" s="176" t="n"/>
      <c r="HV273" s="176" t="n"/>
      <c r="HW273" s="176" t="n"/>
      <c r="HX273" s="176" t="n"/>
      <c r="HY273" s="176" t="n"/>
      <c r="HZ273" s="176" t="n"/>
      <c r="IA273" s="176" t="n"/>
      <c r="IB273" s="176" t="n"/>
      <c r="IC273" s="176" t="n"/>
      <c r="ID273" s="176" t="n"/>
    </row>
    <row r="274" ht="18.75" customHeight="1">
      <c r="A274" s="176" t="n"/>
      <c r="B274" s="176" t="n"/>
      <c r="C274" s="176" t="n"/>
      <c r="D274" s="176" t="n"/>
      <c r="E274" s="176" t="n"/>
      <c r="F274" s="176" t="n"/>
      <c r="G274" s="176" t="n"/>
      <c r="H274" s="176" t="n"/>
      <c r="I274" s="176" t="n"/>
      <c r="J274" s="176" t="n"/>
      <c r="K274" s="176" t="n"/>
      <c r="L274" s="176" t="n"/>
      <c r="M274" s="176" t="n"/>
      <c r="N274" s="176" t="n"/>
      <c r="O274" s="176" t="n"/>
      <c r="P274" s="176" t="n"/>
      <c r="Q274" s="176" t="n"/>
      <c r="R274" s="176" t="n"/>
      <c r="S274" s="176" t="n"/>
      <c r="T274" s="181" t="inlineStr">
        <is>
          <t>TIPO</t>
        </is>
      </c>
      <c r="U274" s="182" t="n"/>
      <c r="V274" s="182" t="n"/>
      <c r="W274" s="183" t="n"/>
      <c r="X274" s="181" t="inlineStr">
        <is>
          <t>MESTRE VIU</t>
        </is>
      </c>
      <c r="Y274" s="183" t="n"/>
      <c r="Z274" s="176" t="n"/>
      <c r="AA274" s="176" t="n"/>
      <c r="AB274" s="181" t="inlineStr">
        <is>
          <t>TIPO</t>
        </is>
      </c>
      <c r="AC274" s="182" t="n"/>
      <c r="AD274" s="182" t="n"/>
      <c r="AE274" s="183" t="n"/>
      <c r="AF274" s="181" t="inlineStr">
        <is>
          <t>MESTRE VIU</t>
        </is>
      </c>
      <c r="AG274" s="183" t="n"/>
      <c r="AH274" s="176" t="n"/>
      <c r="AI274" s="176" t="n"/>
      <c r="AJ274" s="176" t="n"/>
      <c r="AK274" s="176" t="n"/>
      <c r="AL274" s="176" t="n"/>
      <c r="AM274" s="176" t="n"/>
      <c r="AN274" s="176" t="n"/>
      <c r="AO274" s="176" t="n"/>
      <c r="AP274" s="176" t="n"/>
      <c r="AQ274" s="176" t="n"/>
      <c r="AR274" s="176" t="n"/>
      <c r="AS274" s="176" t="n"/>
      <c r="AT274" s="176" t="n"/>
      <c r="AU274" s="176" t="n"/>
      <c r="AV274" s="176" t="n"/>
      <c r="AW274" s="176" t="n"/>
      <c r="AX274" s="176" t="n"/>
      <c r="AY274" s="176" t="n"/>
      <c r="AZ274" s="176" t="n"/>
      <c r="BA274" s="176" t="n"/>
      <c r="BB274" s="176" t="n"/>
      <c r="BC274" s="176" t="n"/>
      <c r="BD274" s="176" t="n"/>
      <c r="BE274" s="176" t="n"/>
      <c r="BF274" s="176" t="n"/>
      <c r="BG274" s="176" t="n"/>
      <c r="BH274" s="176" t="n"/>
      <c r="BI274" s="176" t="n"/>
      <c r="BJ274" s="176" t="n"/>
      <c r="BK274" s="176" t="n"/>
      <c r="BL274" s="176" t="n"/>
      <c r="BM274" s="176" t="n"/>
      <c r="BN274" s="176" t="n"/>
      <c r="BO274" s="176" t="n"/>
      <c r="BP274" s="176" t="n"/>
      <c r="BQ274" s="176" t="n"/>
      <c r="BR274" s="176" t="n"/>
      <c r="BS274" s="176" t="n"/>
      <c r="BT274" s="176" t="n"/>
      <c r="BU274" s="176" t="n"/>
      <c r="BV274" s="176" t="n"/>
      <c r="BW274" s="176" t="n"/>
      <c r="BX274" s="176" t="n"/>
      <c r="BY274" s="176" t="n"/>
      <c r="BZ274" s="176" t="n"/>
      <c r="CA274" s="176" t="n"/>
      <c r="CB274" s="176" t="n"/>
      <c r="CC274" s="176" t="n"/>
      <c r="CD274" s="176" t="n"/>
      <c r="CE274" s="176" t="n"/>
      <c r="CF274" s="176" t="n"/>
      <c r="CG274" s="176" t="n"/>
      <c r="CH274" s="176" t="n"/>
      <c r="CI274" s="176" t="n"/>
      <c r="CJ274" s="176" t="n"/>
      <c r="CK274" s="176" t="n"/>
      <c r="CL274" s="176" t="n"/>
      <c r="CM274" s="176" t="n"/>
      <c r="CN274" s="176" t="n"/>
      <c r="CO274" s="176" t="n"/>
      <c r="CP274" s="176" t="n"/>
      <c r="CQ274" s="176" t="n"/>
      <c r="CR274" s="176" t="n"/>
      <c r="CS274" s="176" t="n"/>
      <c r="CT274" s="176" t="n"/>
      <c r="CU274" s="176" t="n"/>
      <c r="CV274" s="176" t="n"/>
      <c r="CW274" s="176" t="n"/>
      <c r="CX274" s="176" t="n"/>
      <c r="CY274" s="176" t="n"/>
      <c r="CZ274" s="176" t="n"/>
      <c r="DA274" s="181" t="inlineStr">
        <is>
          <t>NOME</t>
        </is>
      </c>
      <c r="DB274" s="182" t="n"/>
      <c r="DC274" s="182" t="n"/>
      <c r="DD274" s="182" t="n"/>
      <c r="DE274" s="182" t="n"/>
      <c r="DF274" s="183" t="n"/>
      <c r="DG274" s="176" t="n"/>
      <c r="DH274" s="176" t="n"/>
      <c r="DI274" s="181" t="inlineStr">
        <is>
          <t>NOME</t>
        </is>
      </c>
      <c r="DJ274" s="182" t="n"/>
      <c r="DK274" s="182" t="n"/>
      <c r="DL274" s="182" t="n"/>
      <c r="DM274" s="182" t="n"/>
      <c r="DN274" s="183" t="n"/>
      <c r="DO274" s="176" t="n"/>
      <c r="DP274" s="176" t="n"/>
      <c r="DQ274" s="176" t="n"/>
      <c r="DR274" s="176" t="n"/>
      <c r="DS274" s="176" t="n"/>
      <c r="DT274" s="176" t="n"/>
      <c r="DU274" s="176" t="n"/>
      <c r="DV274" s="176" t="n"/>
      <c r="DW274" s="176" t="n"/>
      <c r="DX274" s="176" t="n"/>
      <c r="DY274" s="176" t="n"/>
      <c r="DZ274" s="176" t="n"/>
      <c r="EA274" s="176" t="n"/>
      <c r="EB274" s="176" t="n"/>
      <c r="EC274" s="176" t="n"/>
      <c r="ED274" s="176" t="n"/>
      <c r="EE274" s="176" t="n"/>
      <c r="EF274" s="176" t="n"/>
      <c r="EG274" s="176" t="n"/>
      <c r="EH274" s="176" t="n"/>
      <c r="EI274" s="176" t="n"/>
      <c r="EJ274" s="176" t="n"/>
      <c r="EK274" s="176" t="n"/>
      <c r="EL274" s="176" t="n"/>
      <c r="EM274" s="176" t="n"/>
      <c r="EN274" s="176" t="n"/>
      <c r="EO274" s="176" t="n"/>
      <c r="EP274" s="176" t="n"/>
      <c r="EQ274" s="176" t="n"/>
      <c r="ER274" s="176" t="n"/>
      <c r="ES274" s="176" t="n"/>
      <c r="ET274" s="176" t="n"/>
      <c r="EU274" s="176" t="n"/>
      <c r="EV274" s="176" t="n"/>
      <c r="EW274" s="176" t="n"/>
      <c r="EX274" s="176" t="n"/>
      <c r="EY274" s="176" t="n"/>
      <c r="EZ274" s="176" t="n"/>
      <c r="FA274" s="176" t="n"/>
      <c r="FB274" s="176" t="n"/>
      <c r="FC274" s="176" t="n"/>
      <c r="FD274" s="176" t="n"/>
      <c r="FE274" s="176" t="n"/>
      <c r="FF274" s="176" t="n"/>
      <c r="FG274" s="176" t="n"/>
      <c r="FH274" s="176" t="n"/>
      <c r="FI274" s="176" t="n"/>
      <c r="FJ274" s="176" t="n"/>
      <c r="FK274" s="176" t="n"/>
      <c r="FL274" s="176" t="n"/>
      <c r="FM274" s="176" t="n"/>
      <c r="FN274" s="176" t="n"/>
      <c r="FO274" s="176" t="n"/>
      <c r="FP274" s="176" t="n"/>
      <c r="FQ274" s="176" t="n"/>
      <c r="FR274" s="176" t="n"/>
      <c r="FS274" s="176" t="n"/>
      <c r="FT274" s="176" t="n"/>
      <c r="FU274" s="176" t="n"/>
      <c r="FV274" s="176" t="n"/>
      <c r="FW274" s="176" t="n"/>
      <c r="FX274" s="176" t="n"/>
      <c r="FY274" s="176" t="n"/>
      <c r="FZ274" s="176" t="n"/>
      <c r="GA274" s="176" t="n"/>
      <c r="GB274" s="176" t="n"/>
      <c r="GC274" s="176" t="n"/>
      <c r="GD274" s="176" t="n"/>
      <c r="GE274" s="176" t="n"/>
      <c r="GF274" s="176" t="n"/>
      <c r="GG274" s="176" t="n"/>
      <c r="GH274" s="176" t="n"/>
      <c r="GI274" s="176" t="n"/>
      <c r="GJ274" s="176" t="n"/>
      <c r="GK274" s="176" t="n"/>
      <c r="GL274" s="176" t="n"/>
      <c r="GM274" s="176" t="n"/>
      <c r="GN274" s="176" t="n"/>
      <c r="GO274" s="176" t="n"/>
      <c r="GP274" s="176" t="n"/>
      <c r="GQ274" s="176" t="n"/>
      <c r="GR274" s="176" t="n"/>
      <c r="GS274" s="176" t="n"/>
      <c r="GT274" s="176" t="n"/>
      <c r="GU274" s="176" t="n"/>
      <c r="GV274" s="176" t="n"/>
      <c r="GW274" s="176" t="n"/>
      <c r="GX274" s="176" t="n"/>
      <c r="GY274" s="176" t="n"/>
      <c r="GZ274" s="176" t="n"/>
      <c r="HA274" s="176" t="n"/>
      <c r="HB274" s="176" t="n"/>
      <c r="HC274" s="176" t="n"/>
      <c r="HD274" s="176" t="n"/>
      <c r="HE274" s="176" t="n"/>
      <c r="HF274" s="176" t="n"/>
      <c r="HG274" s="176" t="n"/>
      <c r="HH274" s="176" t="n"/>
      <c r="HI274" s="176" t="n"/>
      <c r="HJ274" s="176" t="n"/>
      <c r="HK274" s="176" t="n"/>
      <c r="HL274" s="176" t="n"/>
      <c r="HM274" s="176" t="n"/>
      <c r="HN274" s="176" t="n"/>
      <c r="HO274" s="176" t="n"/>
      <c r="HP274" s="181" t="inlineStr">
        <is>
          <t>REQUISITOS</t>
        </is>
      </c>
      <c r="HQ274" s="182" t="n"/>
      <c r="HR274" s="182" t="n"/>
      <c r="HS274" s="182" t="n"/>
      <c r="HT274" s="182" t="n"/>
      <c r="HU274" s="183" t="n"/>
      <c r="HV274" s="176" t="n"/>
      <c r="HW274" s="176" t="n"/>
      <c r="HX274" s="181" t="inlineStr">
        <is>
          <t>REQUISITOS</t>
        </is>
      </c>
      <c r="HY274" s="182" t="n"/>
      <c r="HZ274" s="182" t="n"/>
      <c r="IA274" s="182" t="n"/>
      <c r="IB274" s="182" t="n"/>
      <c r="IC274" s="183" t="n"/>
      <c r="ID274" s="176" t="n"/>
    </row>
    <row r="275" ht="18.75" customHeight="1">
      <c r="A275" s="176" t="n"/>
      <c r="B275" s="176" t="n"/>
      <c r="C275" s="176" t="n"/>
      <c r="D275" s="176" t="n"/>
      <c r="E275" s="176" t="n"/>
      <c r="F275" s="176" t="n"/>
      <c r="G275" s="176" t="n"/>
      <c r="H275" s="176" t="n"/>
      <c r="I275" s="176" t="n"/>
      <c r="J275" s="176" t="n"/>
      <c r="K275" s="176" t="n"/>
      <c r="L275" s="176" t="n"/>
      <c r="M275" s="176" t="n"/>
      <c r="N275" s="176" t="n"/>
      <c r="O275" s="176" t="n"/>
      <c r="P275" s="176" t="n"/>
      <c r="Q275" s="176" t="n"/>
      <c r="R275" s="176" t="n"/>
      <c r="S275" s="176" t="n"/>
      <c r="T275" s="185" t="n"/>
      <c r="U275" s="182" t="n"/>
      <c r="V275" s="182" t="n"/>
      <c r="W275" s="183" t="n"/>
      <c r="X275" s="184" t="b">
        <v>0</v>
      </c>
      <c r="Y275" s="183" t="n"/>
      <c r="Z275" s="176" t="n"/>
      <c r="AA275" s="176" t="n"/>
      <c r="AB275" s="185" t="n"/>
      <c r="AC275" s="182" t="n"/>
      <c r="AD275" s="182" t="n"/>
      <c r="AE275" s="183" t="n"/>
      <c r="AF275" s="184" t="b">
        <v>0</v>
      </c>
      <c r="AG275" s="183" t="n"/>
      <c r="AH275" s="176" t="n"/>
      <c r="AI275" s="176" t="n"/>
      <c r="AJ275" s="176" t="n"/>
      <c r="AK275" s="176" t="n"/>
      <c r="AL275" s="176" t="n"/>
      <c r="AM275" s="176" t="n"/>
      <c r="AN275" s="176" t="n"/>
      <c r="AO275" s="176" t="n"/>
      <c r="AP275" s="176" t="n"/>
      <c r="AQ275" s="176" t="n"/>
      <c r="AR275" s="176" t="n"/>
      <c r="AS275" s="176" t="n"/>
      <c r="AT275" s="176" t="n"/>
      <c r="AU275" s="176" t="n"/>
      <c r="AV275" s="176" t="n"/>
      <c r="AW275" s="176" t="n"/>
      <c r="AX275" s="176" t="n"/>
      <c r="AY275" s="176" t="n"/>
      <c r="AZ275" s="176" t="n"/>
      <c r="BA275" s="176" t="n"/>
      <c r="BB275" s="176" t="n"/>
      <c r="BC275" s="176" t="n"/>
      <c r="BD275" s="176" t="n"/>
      <c r="BE275" s="176" t="n"/>
      <c r="BF275" s="176" t="n"/>
      <c r="BG275" s="176" t="n"/>
      <c r="BH275" s="176" t="n"/>
      <c r="BI275" s="176" t="n"/>
      <c r="BJ275" s="176" t="n"/>
      <c r="BK275" s="176" t="n"/>
      <c r="BL275" s="176" t="n"/>
      <c r="BM275" s="176" t="n"/>
      <c r="BN275" s="176" t="n"/>
      <c r="BO275" s="176" t="n"/>
      <c r="BP275" s="176" t="n"/>
      <c r="BQ275" s="176" t="n"/>
      <c r="BR275" s="176" t="n"/>
      <c r="BS275" s="176" t="n"/>
      <c r="BT275" s="176" t="n"/>
      <c r="BU275" s="176" t="n"/>
      <c r="BV275" s="176" t="n"/>
      <c r="BW275" s="176" t="n"/>
      <c r="BX275" s="176" t="n"/>
      <c r="BY275" s="176" t="n"/>
      <c r="BZ275" s="176" t="n"/>
      <c r="CA275" s="176" t="n"/>
      <c r="CB275" s="176" t="n"/>
      <c r="CC275" s="176" t="n"/>
      <c r="CD275" s="176" t="n"/>
      <c r="CE275" s="176" t="n"/>
      <c r="CF275" s="176" t="n"/>
      <c r="CG275" s="176" t="n"/>
      <c r="CH275" s="176" t="n"/>
      <c r="CI275" s="176" t="n"/>
      <c r="CJ275" s="176" t="n"/>
      <c r="CK275" s="176" t="n"/>
      <c r="CL275" s="176" t="n"/>
      <c r="CM275" s="176" t="n"/>
      <c r="CN275" s="176" t="n"/>
      <c r="CO275" s="176" t="n"/>
      <c r="CP275" s="176" t="n"/>
      <c r="CQ275" s="176" t="n"/>
      <c r="CR275" s="176" t="n"/>
      <c r="CS275" s="176" t="n"/>
      <c r="CT275" s="176" t="n"/>
      <c r="CU275" s="176" t="n"/>
      <c r="CV275" s="176" t="n"/>
      <c r="CW275" s="176" t="n"/>
      <c r="CX275" s="176" t="n"/>
      <c r="CY275" s="176" t="n"/>
      <c r="CZ275" s="176" t="n"/>
      <c r="DA275" s="185" t="n"/>
      <c r="DB275" s="182" t="n"/>
      <c r="DC275" s="182" t="n"/>
      <c r="DD275" s="182" t="n"/>
      <c r="DE275" s="182" t="n"/>
      <c r="DF275" s="183" t="n"/>
      <c r="DG275" s="176" t="n"/>
      <c r="DH275" s="176" t="n"/>
      <c r="DI275" s="185" t="n"/>
      <c r="DJ275" s="182" t="n"/>
      <c r="DK275" s="182" t="n"/>
      <c r="DL275" s="182" t="n"/>
      <c r="DM275" s="182" t="n"/>
      <c r="DN275" s="183" t="n"/>
      <c r="DO275" s="176" t="n"/>
      <c r="DP275" s="176" t="n"/>
      <c r="DQ275" s="176" t="n"/>
      <c r="DR275" s="179" t="inlineStr">
        <is>
          <t>RESTRIÇÃO · 25</t>
        </is>
      </c>
      <c r="DX275" s="176" t="n"/>
      <c r="DY275" s="176" t="n"/>
      <c r="DZ275" s="179" t="inlineStr">
        <is>
          <t>RESTRIÇÃO · 26</t>
        </is>
      </c>
      <c r="EF275" s="176" t="n"/>
      <c r="EG275" s="176" t="n"/>
      <c r="EH275" s="176" t="n"/>
      <c r="EI275" s="176" t="n"/>
      <c r="EJ275" s="176" t="n"/>
      <c r="EK275" s="176" t="n"/>
      <c r="EL275" s="176" t="n"/>
      <c r="EM275" s="176" t="n"/>
      <c r="EN275" s="176" t="n"/>
      <c r="EO275" s="176" t="n"/>
      <c r="EP275" s="176" t="n"/>
      <c r="EQ275" s="176" t="n"/>
      <c r="ER275" s="176" t="n"/>
      <c r="ES275" s="176" t="n"/>
      <c r="ET275" s="176" t="n"/>
      <c r="EU275" s="176" t="n"/>
      <c r="EV275" s="176" t="n"/>
      <c r="EW275" s="176" t="n"/>
      <c r="EX275" s="176" t="n"/>
      <c r="EY275" s="176" t="n"/>
      <c r="EZ275" s="176" t="n"/>
      <c r="FA275" s="176" t="n"/>
      <c r="FB275" s="176" t="n"/>
      <c r="FC275" s="176" t="n"/>
      <c r="FD275" s="176" t="n"/>
      <c r="FE275" s="176" t="n"/>
      <c r="FF275" s="176" t="n"/>
      <c r="FG275" s="176" t="n"/>
      <c r="FH275" s="176" t="n"/>
      <c r="FI275" s="176" t="n"/>
      <c r="FJ275" s="176" t="n"/>
      <c r="FK275" s="176" t="n"/>
      <c r="FL275" s="176" t="n"/>
      <c r="FM275" s="176" t="n"/>
      <c r="FN275" s="176" t="n"/>
      <c r="FO275" s="176" t="n"/>
      <c r="FP275" s="176" t="n"/>
      <c r="FQ275" s="176" t="n"/>
      <c r="FR275" s="176" t="n"/>
      <c r="FS275" s="176" t="n"/>
      <c r="FT275" s="176" t="n"/>
      <c r="FU275" s="176" t="n"/>
      <c r="FV275" s="176" t="n"/>
      <c r="FW275" s="176" t="n"/>
      <c r="FX275" s="176" t="n"/>
      <c r="FY275" s="176" t="n"/>
      <c r="FZ275" s="176" t="n"/>
      <c r="GA275" s="176" t="n"/>
      <c r="GB275" s="176" t="n"/>
      <c r="GC275" s="176" t="n"/>
      <c r="GD275" s="176" t="n"/>
      <c r="GE275" s="176" t="n"/>
      <c r="GF275" s="176" t="n"/>
      <c r="GG275" s="176" t="n"/>
      <c r="GH275" s="176" t="n"/>
      <c r="GI275" s="176" t="n"/>
      <c r="GJ275" s="176" t="n"/>
      <c r="GK275" s="176" t="n"/>
      <c r="GL275" s="176" t="n"/>
      <c r="GM275" s="176" t="n"/>
      <c r="GN275" s="176" t="n"/>
      <c r="GO275" s="176" t="n"/>
      <c r="GP275" s="176" t="n"/>
      <c r="GQ275" s="176" t="n"/>
      <c r="GR275" s="176" t="n"/>
      <c r="GS275" s="176" t="n"/>
      <c r="GT275" s="176" t="n"/>
      <c r="GU275" s="176" t="n"/>
      <c r="GV275" s="176" t="n"/>
      <c r="GW275" s="176" t="n"/>
      <c r="GX275" s="176" t="n"/>
      <c r="GY275" s="176" t="n"/>
      <c r="GZ275" s="176" t="n"/>
      <c r="HA275" s="176" t="n"/>
      <c r="HB275" s="176" t="n"/>
      <c r="HC275" s="176" t="n"/>
      <c r="HD275" s="176" t="n"/>
      <c r="HE275" s="176" t="n"/>
      <c r="HF275" s="176" t="n"/>
      <c r="HG275" s="176" t="n"/>
      <c r="HH275" s="176" t="n"/>
      <c r="HI275" s="176" t="n"/>
      <c r="HJ275" s="176" t="n"/>
      <c r="HK275" s="176" t="n"/>
      <c r="HL275" s="176" t="n"/>
      <c r="HM275" s="176" t="n"/>
      <c r="HN275" s="176" t="n"/>
      <c r="HO275" s="176" t="n"/>
      <c r="HP275" s="192" t="n"/>
      <c r="HQ275" s="187" t="n"/>
      <c r="HR275" s="187" t="n"/>
      <c r="HS275" s="187" t="n"/>
      <c r="HT275" s="187" t="n"/>
      <c r="HU275" s="188" t="n"/>
      <c r="HV275" s="176" t="n"/>
      <c r="HW275" s="176" t="n"/>
      <c r="HX275" s="192" t="n"/>
      <c r="HY275" s="187" t="n"/>
      <c r="HZ275" s="187" t="n"/>
      <c r="IA275" s="187" t="n"/>
      <c r="IB275" s="187" t="n"/>
      <c r="IC275" s="188" t="n"/>
      <c r="ID275" s="176" t="n"/>
    </row>
    <row r="276" ht="18.75" customHeight="1">
      <c r="A276" s="176" t="n"/>
      <c r="B276" s="176" t="n"/>
      <c r="C276" s="176" t="n"/>
      <c r="D276" s="176" t="n"/>
      <c r="E276" s="176" t="n"/>
      <c r="F276" s="176" t="n"/>
      <c r="G276" s="176" t="n"/>
      <c r="H276" s="176" t="n"/>
      <c r="I276" s="176" t="n"/>
      <c r="J276" s="176" t="n"/>
      <c r="K276" s="176" t="n"/>
      <c r="L276" s="176" t="n"/>
      <c r="M276" s="176" t="n"/>
      <c r="N276" s="176" t="n"/>
      <c r="O276" s="176" t="n"/>
      <c r="P276" s="176" t="n"/>
      <c r="Q276" s="176" t="n"/>
      <c r="R276" s="176" t="n"/>
      <c r="S276" s="176" t="n"/>
      <c r="T276" s="181" t="inlineStr">
        <is>
          <t>NOME</t>
        </is>
      </c>
      <c r="U276" s="182" t="n"/>
      <c r="V276" s="182" t="n"/>
      <c r="W276" s="182" t="n"/>
      <c r="X276" s="182" t="n"/>
      <c r="Y276" s="183" t="n"/>
      <c r="Z276" s="176" t="n"/>
      <c r="AA276" s="176" t="n"/>
      <c r="AB276" s="181" t="inlineStr">
        <is>
          <t>NOME</t>
        </is>
      </c>
      <c r="AC276" s="182" t="n"/>
      <c r="AD276" s="182" t="n"/>
      <c r="AE276" s="182" t="n"/>
      <c r="AF276" s="182" t="n"/>
      <c r="AG276" s="183" t="n"/>
      <c r="AH276" s="176" t="n"/>
      <c r="AI276" s="176" t="n"/>
      <c r="AJ276" s="176" t="n"/>
      <c r="AK276" s="176" t="n"/>
      <c r="AL276" s="176" t="n"/>
      <c r="AM276" s="176" t="n"/>
      <c r="AN276" s="176" t="n"/>
      <c r="AO276" s="176" t="n"/>
      <c r="AP276" s="176" t="n"/>
      <c r="AQ276" s="176" t="n"/>
      <c r="AR276" s="176" t="n"/>
      <c r="AS276" s="176" t="n"/>
      <c r="AT276" s="176" t="n"/>
      <c r="AU276" s="176" t="n"/>
      <c r="AV276" s="176" t="n"/>
      <c r="AW276" s="176" t="n"/>
      <c r="AX276" s="176" t="n"/>
      <c r="AY276" s="176" t="n"/>
      <c r="AZ276" s="176" t="n"/>
      <c r="BA276" s="176" t="n"/>
      <c r="BB276" s="176" t="n"/>
      <c r="BC276" s="176" t="n"/>
      <c r="BD276" s="176" t="n"/>
      <c r="BE276" s="176" t="n"/>
      <c r="BF276" s="176" t="n"/>
      <c r="BG276" s="176" t="n"/>
      <c r="BH276" s="176" t="n"/>
      <c r="BI276" s="176" t="n"/>
      <c r="BJ276" s="176" t="n"/>
      <c r="BK276" s="176" t="n"/>
      <c r="BL276" s="176" t="n"/>
      <c r="BM276" s="176" t="n"/>
      <c r="BN276" s="176" t="n"/>
      <c r="BO276" s="176" t="n"/>
      <c r="BP276" s="176" t="n"/>
      <c r="BQ276" s="176" t="n"/>
      <c r="BR276" s="176" t="n"/>
      <c r="BS276" s="176" t="n"/>
      <c r="BT276" s="176" t="n"/>
      <c r="BU276" s="176" t="n"/>
      <c r="BV276" s="176" t="n"/>
      <c r="BW276" s="176" t="n"/>
      <c r="BX276" s="176" t="n"/>
      <c r="BY276" s="176" t="n"/>
      <c r="BZ276" s="176" t="n"/>
      <c r="CA276" s="176" t="n"/>
      <c r="CB276" s="176" t="n"/>
      <c r="CC276" s="176" t="n"/>
      <c r="CD276" s="176" t="n"/>
      <c r="CE276" s="176" t="n"/>
      <c r="CF276" s="176" t="n"/>
      <c r="CG276" s="176" t="n"/>
      <c r="CH276" s="176" t="n"/>
      <c r="CI276" s="176" t="n"/>
      <c r="CJ276" s="176" t="n"/>
      <c r="CK276" s="176" t="n"/>
      <c r="CL276" s="176" t="n"/>
      <c r="CM276" s="176" t="n"/>
      <c r="CN276" s="176" t="n"/>
      <c r="CO276" s="176" t="n"/>
      <c r="CP276" s="176" t="n"/>
      <c r="CQ276" s="176" t="n"/>
      <c r="CR276" s="176" t="n"/>
      <c r="CS276" s="176" t="n"/>
      <c r="CT276" s="176" t="n"/>
      <c r="CU276" s="176" t="n"/>
      <c r="CV276" s="176" t="n"/>
      <c r="CW276" s="176" t="n"/>
      <c r="CX276" s="176" t="n"/>
      <c r="CY276" s="176" t="n"/>
      <c r="CZ276" s="176" t="n"/>
      <c r="DA276" s="181" t="inlineStr">
        <is>
          <t>BASE DO LIVRO</t>
        </is>
      </c>
      <c r="DB276" s="182" t="n"/>
      <c r="DC276" s="183" t="n"/>
      <c r="DD276" s="185" t="inlineStr">
        <is>
          <t>Nenhuma</t>
        </is>
      </c>
      <c r="DE276" s="182" t="n"/>
      <c r="DF276" s="183" t="n"/>
      <c r="DG276" s="176" t="n"/>
      <c r="DH276" s="176" t="n"/>
      <c r="DI276" s="181" t="inlineStr">
        <is>
          <t>BASE DO LIVRO</t>
        </is>
      </c>
      <c r="DJ276" s="182" t="n"/>
      <c r="DK276" s="183" t="n"/>
      <c r="DL276" s="185" t="inlineStr">
        <is>
          <t>Nenhuma</t>
        </is>
      </c>
      <c r="DM276" s="182" t="n"/>
      <c r="DN276" s="183" t="n"/>
      <c r="DO276" s="176" t="n"/>
      <c r="DP276" s="176" t="n"/>
      <c r="DQ276" s="176" t="n"/>
      <c r="DR276" s="181" t="inlineStr">
        <is>
          <t>TIPO</t>
        </is>
      </c>
      <c r="DS276" s="182" t="n"/>
      <c r="DT276" s="182" t="n"/>
      <c r="DU276" s="183" t="n"/>
      <c r="DV276" s="181" t="inlineStr">
        <is>
          <t>MESTRE VIU</t>
        </is>
      </c>
      <c r="DW276" s="183" t="n"/>
      <c r="DX276" s="176" t="n"/>
      <c r="DY276" s="176" t="n"/>
      <c r="DZ276" s="181" t="inlineStr">
        <is>
          <t>TIPO</t>
        </is>
      </c>
      <c r="EA276" s="182" t="n"/>
      <c r="EB276" s="182" t="n"/>
      <c r="EC276" s="183" t="n"/>
      <c r="ED276" s="181" t="inlineStr">
        <is>
          <t>MESTRE VIU</t>
        </is>
      </c>
      <c r="EE276" s="183" t="n"/>
      <c r="EF276" s="176" t="n"/>
      <c r="EG276" s="176" t="n"/>
      <c r="EH276" s="176" t="n"/>
      <c r="EI276" s="176" t="n"/>
      <c r="EJ276" s="176" t="n"/>
      <c r="EK276" s="176" t="n"/>
      <c r="EL276" s="176" t="n"/>
      <c r="EM276" s="176" t="n"/>
      <c r="EN276" s="176" t="n"/>
      <c r="EO276" s="176" t="n"/>
      <c r="EP276" s="176" t="n"/>
      <c r="EQ276" s="176" t="n"/>
      <c r="ER276" s="176" t="n"/>
      <c r="ES276" s="176" t="n"/>
      <c r="ET276" s="176" t="n"/>
      <c r="EU276" s="176" t="n"/>
      <c r="EV276" s="176" t="n"/>
      <c r="EW276" s="176" t="n"/>
      <c r="EX276" s="176" t="n"/>
      <c r="EY276" s="176" t="n"/>
      <c r="EZ276" s="176" t="n"/>
      <c r="FA276" s="176" t="n"/>
      <c r="FB276" s="176" t="n"/>
      <c r="FC276" s="176" t="n"/>
      <c r="FD276" s="176" t="n"/>
      <c r="FE276" s="176" t="n"/>
      <c r="FF276" s="176" t="n"/>
      <c r="FG276" s="176" t="n"/>
      <c r="FH276" s="176" t="n"/>
      <c r="FI276" s="176" t="n"/>
      <c r="FJ276" s="176" t="n"/>
      <c r="FK276" s="176" t="n"/>
      <c r="FL276" s="176" t="n"/>
      <c r="FM276" s="176" t="n"/>
      <c r="FN276" s="176" t="n"/>
      <c r="FO276" s="176" t="n"/>
      <c r="FP276" s="176" t="n"/>
      <c r="FQ276" s="176" t="n"/>
      <c r="FR276" s="176" t="n"/>
      <c r="FS276" s="176" t="n"/>
      <c r="FT276" s="176" t="n"/>
      <c r="FU276" s="176" t="n"/>
      <c r="FV276" s="176" t="n"/>
      <c r="FW276" s="176" t="n"/>
      <c r="FX276" s="176" t="n"/>
      <c r="FY276" s="176" t="n"/>
      <c r="FZ276" s="176" t="n"/>
      <c r="GA276" s="176" t="n"/>
      <c r="GB276" s="176" t="n"/>
      <c r="GC276" s="176" t="n"/>
      <c r="GD276" s="176" t="n"/>
      <c r="GE276" s="176" t="n"/>
      <c r="GF276" s="176" t="n"/>
      <c r="GG276" s="176" t="n"/>
      <c r="GH276" s="176" t="n"/>
      <c r="GI276" s="176" t="n"/>
      <c r="GJ276" s="176" t="n"/>
      <c r="GK276" s="176" t="n"/>
      <c r="GL276" s="176" t="n"/>
      <c r="GM276" s="176" t="n"/>
      <c r="GN276" s="176" t="n"/>
      <c r="GO276" s="176" t="n"/>
      <c r="GP276" s="176" t="n"/>
      <c r="GQ276" s="176" t="n"/>
      <c r="GR276" s="176" t="n"/>
      <c r="GS276" s="176" t="n"/>
      <c r="GT276" s="176" t="n"/>
      <c r="GU276" s="176" t="n"/>
      <c r="GV276" s="176" t="n"/>
      <c r="GW276" s="176" t="n"/>
      <c r="GX276" s="176" t="n"/>
      <c r="GY276" s="176" t="n"/>
      <c r="GZ276" s="176" t="n"/>
      <c r="HA276" s="176" t="n"/>
      <c r="HB276" s="176" t="n"/>
      <c r="HC276" s="176" t="n"/>
      <c r="HD276" s="176" t="n"/>
      <c r="HE276" s="176" t="n"/>
      <c r="HF276" s="176" t="n"/>
      <c r="HG276" s="176" t="n"/>
      <c r="HH276" s="176" t="n"/>
      <c r="HI276" s="176" t="n"/>
      <c r="HJ276" s="176" t="n"/>
      <c r="HK276" s="176" t="n"/>
      <c r="HL276" s="176" t="n"/>
      <c r="HM276" s="176" t="n"/>
      <c r="HN276" s="176" t="n"/>
      <c r="HO276" s="176" t="n"/>
      <c r="HP276" s="193" t="n"/>
      <c r="HU276" s="194" t="n"/>
      <c r="HV276" s="176" t="n"/>
      <c r="HW276" s="176" t="n"/>
      <c r="HX276" s="193" t="n"/>
      <c r="IC276" s="194" t="n"/>
      <c r="ID276" s="176" t="n"/>
    </row>
    <row r="277" ht="18.75" customHeight="1">
      <c r="A277" s="176" t="n"/>
      <c r="B277" s="176" t="n"/>
      <c r="C277" s="176" t="n"/>
      <c r="D277" s="176" t="n"/>
      <c r="E277" s="176" t="n"/>
      <c r="F277" s="176" t="n"/>
      <c r="G277" s="176" t="n"/>
      <c r="H277" s="176" t="n"/>
      <c r="I277" s="176" t="n"/>
      <c r="J277" s="176" t="n"/>
      <c r="K277" s="176" t="n"/>
      <c r="L277" s="176" t="n"/>
      <c r="M277" s="176" t="n"/>
      <c r="N277" s="176" t="n"/>
      <c r="O277" s="176" t="n"/>
      <c r="P277" s="176" t="n"/>
      <c r="Q277" s="176" t="n"/>
      <c r="R277" s="176" t="n"/>
      <c r="S277" s="176" t="n"/>
      <c r="T277" s="185" t="n"/>
      <c r="U277" s="182" t="n"/>
      <c r="V277" s="182" t="n"/>
      <c r="W277" s="182" t="n"/>
      <c r="X277" s="182" t="n"/>
      <c r="Y277" s="183" t="n"/>
      <c r="Z277" s="176" t="n"/>
      <c r="AA277" s="176" t="n"/>
      <c r="AB277" s="185" t="n"/>
      <c r="AC277" s="182" t="n"/>
      <c r="AD277" s="182" t="n"/>
      <c r="AE277" s="182" t="n"/>
      <c r="AF277" s="182" t="n"/>
      <c r="AG277" s="183" t="n"/>
      <c r="AH277" s="176" t="n"/>
      <c r="AI277" s="176" t="n"/>
      <c r="AJ277" s="176" t="n"/>
      <c r="AK277" s="176" t="n"/>
      <c r="AL277" s="176" t="n"/>
      <c r="AM277" s="176" t="n"/>
      <c r="AN277" s="176" t="n"/>
      <c r="AO277" s="176" t="n"/>
      <c r="AP277" s="176" t="n"/>
      <c r="AQ277" s="176" t="n"/>
      <c r="AR277" s="176" t="n"/>
      <c r="AS277" s="176" t="n"/>
      <c r="AT277" s="176" t="n"/>
      <c r="AU277" s="176" t="n"/>
      <c r="AV277" s="176" t="n"/>
      <c r="AW277" s="176" t="n"/>
      <c r="AX277" s="176" t="n"/>
      <c r="AY277" s="176" t="n"/>
      <c r="AZ277" s="176" t="n"/>
      <c r="BA277" s="176" t="n"/>
      <c r="BB277" s="176" t="n"/>
      <c r="BC277" s="176" t="n"/>
      <c r="BD277" s="176" t="n"/>
      <c r="BE277" s="176" t="n"/>
      <c r="BF277" s="176" t="n"/>
      <c r="BG277" s="176" t="n"/>
      <c r="BH277" s="176" t="n"/>
      <c r="BI277" s="176" t="n"/>
      <c r="BJ277" s="176" t="n"/>
      <c r="BK277" s="176" t="n"/>
      <c r="BL277" s="176" t="n"/>
      <c r="BM277" s="176" t="n"/>
      <c r="BN277" s="176" t="n"/>
      <c r="BO277" s="176" t="n"/>
      <c r="BP277" s="176" t="n"/>
      <c r="BQ277" s="176" t="n"/>
      <c r="BR277" s="176" t="n"/>
      <c r="BS277" s="176" t="n"/>
      <c r="BT277" s="176" t="n"/>
      <c r="BU277" s="176" t="n"/>
      <c r="BV277" s="176" t="n"/>
      <c r="BW277" s="176" t="n"/>
      <c r="BX277" s="176" t="n"/>
      <c r="BY277" s="176" t="n"/>
      <c r="BZ277" s="176" t="n"/>
      <c r="CA277" s="176" t="n"/>
      <c r="CB277" s="176" t="n"/>
      <c r="CC277" s="176" t="n"/>
      <c r="CD277" s="176" t="n"/>
      <c r="CE277" s="176" t="n"/>
      <c r="CF277" s="176" t="n"/>
      <c r="CG277" s="176" t="n"/>
      <c r="CH277" s="176" t="n"/>
      <c r="CI277" s="176" t="n"/>
      <c r="CJ277" s="176" t="n"/>
      <c r="CK277" s="176" t="n"/>
      <c r="CL277" s="176" t="n"/>
      <c r="CM277" s="176" t="n"/>
      <c r="CN277" s="176" t="n"/>
      <c r="CO277" s="176" t="n"/>
      <c r="CP277" s="176" t="n"/>
      <c r="CQ277" s="176" t="n"/>
      <c r="CR277" s="176" t="n"/>
      <c r="CS277" s="176" t="n"/>
      <c r="CT277" s="176" t="n"/>
      <c r="CU277" s="176" t="n"/>
      <c r="CV277" s="176" t="n"/>
      <c r="CW277" s="176" t="n"/>
      <c r="CX277" s="176" t="n"/>
      <c r="CY277" s="176" t="n"/>
      <c r="CZ277" s="176" t="n"/>
      <c r="DA277" s="181" t="inlineStr">
        <is>
          <t>FAMÍLIA</t>
        </is>
      </c>
      <c r="DB277" s="182" t="n"/>
      <c r="DC277" s="183" t="n"/>
      <c r="DD277" s="185" t="n"/>
      <c r="DE277" s="182" t="n"/>
      <c r="DF277" s="183" t="n"/>
      <c r="DG277" s="176" t="n"/>
      <c r="DH277" s="176" t="n"/>
      <c r="DI277" s="181" t="inlineStr">
        <is>
          <t>FAMÍLIA</t>
        </is>
      </c>
      <c r="DJ277" s="182" t="n"/>
      <c r="DK277" s="183" t="n"/>
      <c r="DL277" s="185" t="n"/>
      <c r="DM277" s="182" t="n"/>
      <c r="DN277" s="183" t="n"/>
      <c r="DO277" s="176" t="n"/>
      <c r="DP277" s="176" t="n"/>
      <c r="DQ277" s="176" t="n"/>
      <c r="DR277" s="185" t="inlineStr">
        <is>
          <t>Restrição</t>
        </is>
      </c>
      <c r="DS277" s="182" t="n"/>
      <c r="DT277" s="182" t="n"/>
      <c r="DU277" s="183" t="n"/>
      <c r="DV277" s="184" t="b">
        <v>0</v>
      </c>
      <c r="DW277" s="183" t="n"/>
      <c r="DX277" s="176" t="n"/>
      <c r="DY277" s="176" t="n"/>
      <c r="DZ277" s="185" t="inlineStr">
        <is>
          <t>Restrição</t>
        </is>
      </c>
      <c r="EA277" s="182" t="n"/>
      <c r="EB277" s="182" t="n"/>
      <c r="EC277" s="183" t="n"/>
      <c r="ED277" s="184" t="b">
        <v>0</v>
      </c>
      <c r="EE277" s="183" t="n"/>
      <c r="EF277" s="176" t="n"/>
      <c r="EG277" s="176" t="n"/>
      <c r="EH277" s="176" t="n"/>
      <c r="EI277" s="176" t="n"/>
      <c r="EJ277" s="176" t="n"/>
      <c r="EK277" s="176" t="n"/>
      <c r="EL277" s="176" t="n"/>
      <c r="EM277" s="176" t="n"/>
      <c r="EN277" s="176" t="n"/>
      <c r="EO277" s="176" t="n"/>
      <c r="EP277" s="176" t="n"/>
      <c r="EQ277" s="176" t="n"/>
      <c r="ER277" s="176" t="n"/>
      <c r="ES277" s="176" t="n"/>
      <c r="ET277" s="176" t="n"/>
      <c r="EU277" s="176" t="n"/>
      <c r="EV277" s="176" t="n"/>
      <c r="EW277" s="176" t="n"/>
      <c r="EX277" s="176" t="n"/>
      <c r="EY277" s="176" t="n"/>
      <c r="EZ277" s="176" t="n"/>
      <c r="FA277" s="176" t="n"/>
      <c r="FB277" s="176" t="n"/>
      <c r="FC277" s="176" t="n"/>
      <c r="FD277" s="176" t="n"/>
      <c r="FE277" s="176" t="n"/>
      <c r="FF277" s="176" t="n"/>
      <c r="FG277" s="176" t="n"/>
      <c r="FH277" s="176" t="n"/>
      <c r="FI277" s="176" t="n"/>
      <c r="FJ277" s="176" t="n"/>
      <c r="FK277" s="176" t="n"/>
      <c r="FL277" s="176" t="n"/>
      <c r="FM277" s="176" t="n"/>
      <c r="FN277" s="176" t="n"/>
      <c r="FO277" s="176" t="n"/>
      <c r="FP277" s="176" t="n"/>
      <c r="FQ277" s="176" t="n"/>
      <c r="FR277" s="176" t="n"/>
      <c r="FS277" s="176" t="n"/>
      <c r="FT277" s="176" t="n"/>
      <c r="FU277" s="176" t="n"/>
      <c r="FV277" s="176" t="n"/>
      <c r="FW277" s="176" t="n"/>
      <c r="FX277" s="176" t="n"/>
      <c r="FY277" s="176" t="n"/>
      <c r="FZ277" s="176" t="n"/>
      <c r="GA277" s="176" t="n"/>
      <c r="GB277" s="176" t="n"/>
      <c r="GC277" s="176" t="n"/>
      <c r="GD277" s="176" t="n"/>
      <c r="GE277" s="176" t="n"/>
      <c r="GF277" s="176" t="n"/>
      <c r="GG277" s="176" t="n"/>
      <c r="GH277" s="176" t="n"/>
      <c r="GI277" s="176" t="n"/>
      <c r="GJ277" s="176" t="n"/>
      <c r="GK277" s="176" t="n"/>
      <c r="GL277" s="176" t="n"/>
      <c r="GM277" s="176" t="n"/>
      <c r="GN277" s="176" t="n"/>
      <c r="GO277" s="176" t="n"/>
      <c r="GP277" s="176" t="n"/>
      <c r="GQ277" s="176" t="n"/>
      <c r="GR277" s="176" t="n"/>
      <c r="GS277" s="176" t="n"/>
      <c r="GT277" s="176" t="n"/>
      <c r="GU277" s="176" t="n"/>
      <c r="GV277" s="176" t="n"/>
      <c r="GW277" s="176" t="n"/>
      <c r="GX277" s="176" t="n"/>
      <c r="GY277" s="176" t="n"/>
      <c r="GZ277" s="176" t="n"/>
      <c r="HA277" s="176" t="n"/>
      <c r="HB277" s="176" t="n"/>
      <c r="HC277" s="176" t="n"/>
      <c r="HD277" s="176" t="n"/>
      <c r="HE277" s="176" t="n"/>
      <c r="HF277" s="176" t="n"/>
      <c r="HG277" s="176" t="n"/>
      <c r="HH277" s="176" t="n"/>
      <c r="HI277" s="176" t="n"/>
      <c r="HJ277" s="176" t="n"/>
      <c r="HK277" s="176" t="n"/>
      <c r="HL277" s="176" t="n"/>
      <c r="HM277" s="176" t="n"/>
      <c r="HN277" s="176" t="n"/>
      <c r="HO277" s="176" t="n"/>
      <c r="HP277" s="189" t="n"/>
      <c r="HQ277" s="190" t="n"/>
      <c r="HR277" s="190" t="n"/>
      <c r="HS277" s="190" t="n"/>
      <c r="HT277" s="190" t="n"/>
      <c r="HU277" s="191" t="n"/>
      <c r="HV277" s="176" t="n"/>
      <c r="HW277" s="176" t="n"/>
      <c r="HX277" s="189" t="n"/>
      <c r="HY277" s="190" t="n"/>
      <c r="HZ277" s="190" t="n"/>
      <c r="IA277" s="190" t="n"/>
      <c r="IB277" s="190" t="n"/>
      <c r="IC277" s="191" t="n"/>
      <c r="ID277" s="176" t="n"/>
    </row>
    <row r="278" ht="18.75" customHeight="1">
      <c r="A278" s="176" t="n"/>
      <c r="B278" s="176" t="n"/>
      <c r="C278" s="176" t="n"/>
      <c r="D278" s="176" t="n"/>
      <c r="E278" s="176" t="n"/>
      <c r="F278" s="176" t="n"/>
      <c r="G278" s="176" t="n"/>
      <c r="H278" s="176" t="n"/>
      <c r="I278" s="176" t="n"/>
      <c r="J278" s="176" t="n"/>
      <c r="K278" s="176" t="n"/>
      <c r="L278" s="176" t="n"/>
      <c r="M278" s="176" t="n"/>
      <c r="N278" s="176" t="n"/>
      <c r="O278" s="176" t="n"/>
      <c r="P278" s="176" t="n"/>
      <c r="Q278" s="176" t="n"/>
      <c r="R278" s="176" t="n"/>
      <c r="S278" s="176" t="n"/>
      <c r="T278" s="181">
        <f>SWITCH('CONFIGURAÇÃO'!$T$275,"Origem","PERÍCIA 1","Marcante","ORIGEM","Menor","ORIGEM","Arma","CATEGORIA","Escudo","","Uniforme","GRAU MÍNIMO","Item comum","","Ferramenta amaldiçoada","BASE","")</f>
        <v/>
      </c>
      <c r="U278" s="183" t="n"/>
      <c r="V278" s="185" t="n"/>
      <c r="W278" s="182" t="n"/>
      <c r="X278" s="182" t="n"/>
      <c r="Y278" s="183" t="n"/>
      <c r="Z278" s="176" t="n"/>
      <c r="AA278" s="176" t="n"/>
      <c r="AB278" s="181">
        <f>SWITCH('CONFIGURAÇÃO'!$AB$275,"Origem","PERÍCIA 1","Marcante","ORIGEM","Menor","ORIGEM","Arma","CATEGORIA","Escudo","","Uniforme","GRAU MÍNIMO","Item comum","","Ferramenta amaldiçoada","BASE","")</f>
        <v/>
      </c>
      <c r="AC278" s="183" t="n"/>
      <c r="AD278" s="185" t="n"/>
      <c r="AE278" s="182" t="n"/>
      <c r="AF278" s="182" t="n"/>
      <c r="AG278" s="183" t="n"/>
      <c r="AH278" s="176" t="n"/>
      <c r="AI278" s="176" t="n"/>
      <c r="AJ278" s="176" t="n"/>
      <c r="AK278" s="176" t="n"/>
      <c r="AL278" s="176" t="n"/>
      <c r="AM278" s="176" t="n"/>
      <c r="AN278" s="176" t="n"/>
      <c r="AO278" s="176" t="n"/>
      <c r="AP278" s="176" t="n"/>
      <c r="AQ278" s="176" t="n"/>
      <c r="AR278" s="176" t="n"/>
      <c r="AS278" s="176" t="n"/>
      <c r="AT278" s="176" t="n"/>
      <c r="AU278" s="176" t="n"/>
      <c r="AV278" s="176" t="n"/>
      <c r="AW278" s="176" t="n"/>
      <c r="AX278" s="176" t="n"/>
      <c r="AY278" s="176" t="n"/>
      <c r="AZ278" s="176" t="n"/>
      <c r="BA278" s="176" t="n"/>
      <c r="BB278" s="176" t="n"/>
      <c r="BC278" s="176" t="n"/>
      <c r="BD278" s="176" t="n"/>
      <c r="BE278" s="176" t="n"/>
      <c r="BF278" s="176" t="n"/>
      <c r="BG278" s="176" t="n"/>
      <c r="BH278" s="176" t="n"/>
      <c r="BI278" s="176" t="n"/>
      <c r="BJ278" s="176" t="n"/>
      <c r="BK278" s="176" t="n"/>
      <c r="BL278" s="176" t="n"/>
      <c r="BM278" s="176" t="n"/>
      <c r="BN278" s="176" t="n"/>
      <c r="BO278" s="176" t="n"/>
      <c r="BP278" s="176" t="n"/>
      <c r="BQ278" s="176" t="n"/>
      <c r="BR278" s="176" t="n"/>
      <c r="BS278" s="176" t="n"/>
      <c r="BT278" s="176" t="n"/>
      <c r="BU278" s="176" t="n"/>
      <c r="BV278" s="176" t="n"/>
      <c r="BW278" s="176" t="n"/>
      <c r="BX278" s="176" t="n"/>
      <c r="BY278" s="176" t="n"/>
      <c r="BZ278" s="176" t="n"/>
      <c r="CA278" s="176" t="n"/>
      <c r="CB278" s="176" t="n"/>
      <c r="CC278" s="176" t="n"/>
      <c r="CD278" s="176" t="n"/>
      <c r="CE278" s="176" t="n"/>
      <c r="CF278" s="176" t="n"/>
      <c r="CG278" s="176" t="n"/>
      <c r="CH278" s="176" t="n"/>
      <c r="CI278" s="176" t="n"/>
      <c r="CJ278" s="176" t="n"/>
      <c r="CK278" s="176" t="n"/>
      <c r="CL278" s="176" t="n"/>
      <c r="CM278" s="176" t="n"/>
      <c r="CN278" s="176" t="n"/>
      <c r="CO278" s="176" t="n"/>
      <c r="CP278" s="176" t="n"/>
      <c r="CQ278" s="176" t="n"/>
      <c r="CR278" s="176" t="n"/>
      <c r="CS278" s="176" t="n"/>
      <c r="CT278" s="176" t="n"/>
      <c r="CU278" s="176" t="n"/>
      <c r="CV278" s="176" t="n"/>
      <c r="CW278" s="176" t="n"/>
      <c r="CX278" s="176" t="n"/>
      <c r="CY278" s="176" t="n"/>
      <c r="CZ278" s="176" t="n"/>
      <c r="DA278" s="181" t="inlineStr">
        <is>
          <t>PESO</t>
        </is>
      </c>
      <c r="DB278" s="182" t="n"/>
      <c r="DC278" s="183" t="n"/>
      <c r="DD278" s="185" t="n"/>
      <c r="DE278" s="182" t="n"/>
      <c r="DF278" s="183" t="n"/>
      <c r="DG278" s="176" t="n"/>
      <c r="DH278" s="176" t="n"/>
      <c r="DI278" s="181" t="inlineStr">
        <is>
          <t>PESO</t>
        </is>
      </c>
      <c r="DJ278" s="182" t="n"/>
      <c r="DK278" s="183" t="n"/>
      <c r="DL278" s="185" t="n"/>
      <c r="DM278" s="182" t="n"/>
      <c r="DN278" s="183" t="n"/>
      <c r="DO278" s="176" t="n"/>
      <c r="DP278" s="176" t="n"/>
      <c r="DQ278" s="176" t="n"/>
      <c r="DR278" s="181" t="inlineStr">
        <is>
          <t>NOME</t>
        </is>
      </c>
      <c r="DS278" s="182" t="n"/>
      <c r="DT278" s="182" t="n"/>
      <c r="DU278" s="182" t="n"/>
      <c r="DV278" s="182" t="n"/>
      <c r="DW278" s="183" t="n"/>
      <c r="DX278" s="176" t="n"/>
      <c r="DY278" s="176" t="n"/>
      <c r="DZ278" s="181" t="inlineStr">
        <is>
          <t>NOME</t>
        </is>
      </c>
      <c r="EA278" s="182" t="n"/>
      <c r="EB278" s="182" t="n"/>
      <c r="EC278" s="182" t="n"/>
      <c r="ED278" s="182" t="n"/>
      <c r="EE278" s="183" t="n"/>
      <c r="EF278" s="176" t="n"/>
      <c r="EG278" s="176" t="n"/>
      <c r="EH278" s="176" t="n"/>
      <c r="EI278" s="176" t="n"/>
      <c r="EJ278" s="176" t="n"/>
      <c r="EK278" s="176" t="n"/>
      <c r="EL278" s="176" t="n"/>
      <c r="EM278" s="176" t="n"/>
      <c r="EN278" s="176" t="n"/>
      <c r="EO278" s="176" t="n"/>
      <c r="EP278" s="176" t="n"/>
      <c r="EQ278" s="176" t="n"/>
      <c r="ER278" s="176" t="n"/>
      <c r="ES278" s="176" t="n"/>
      <c r="ET278" s="176" t="n"/>
      <c r="EU278" s="176" t="n"/>
      <c r="EV278" s="176" t="n"/>
      <c r="EW278" s="176" t="n"/>
      <c r="EX278" s="176" t="n"/>
      <c r="EY278" s="176" t="n"/>
      <c r="EZ278" s="176" t="n"/>
      <c r="FA278" s="176" t="n"/>
      <c r="FB278" s="176" t="n"/>
      <c r="FC278" s="176" t="n"/>
      <c r="FD278" s="176" t="n"/>
      <c r="FE278" s="176" t="n"/>
      <c r="FF278" s="176" t="n"/>
      <c r="FG278" s="176" t="n"/>
      <c r="FH278" s="176" t="n"/>
      <c r="FI278" s="176" t="n"/>
      <c r="FJ278" s="176" t="n"/>
      <c r="FK278" s="176" t="n"/>
      <c r="FL278" s="176" t="n"/>
      <c r="FM278" s="176" t="n"/>
      <c r="FN278" s="176" t="n"/>
      <c r="FO278" s="176" t="n"/>
      <c r="FP278" s="176" t="n"/>
      <c r="FQ278" s="176" t="n"/>
      <c r="FR278" s="176" t="n"/>
      <c r="FS278" s="176" t="n"/>
      <c r="FT278" s="176" t="n"/>
      <c r="FU278" s="176" t="n"/>
      <c r="FV278" s="176" t="n"/>
      <c r="FW278" s="176" t="n"/>
      <c r="FX278" s="176" t="n"/>
      <c r="FY278" s="176" t="n"/>
      <c r="FZ278" s="176" t="n"/>
      <c r="GA278" s="176" t="n"/>
      <c r="GB278" s="176" t="n"/>
      <c r="GC278" s="176" t="n"/>
      <c r="GD278" s="176" t="n"/>
      <c r="GE278" s="176" t="n"/>
      <c r="GF278" s="176" t="n"/>
      <c r="GG278" s="176" t="n"/>
      <c r="GH278" s="176" t="n"/>
      <c r="GI278" s="176" t="n"/>
      <c r="GJ278" s="176" t="n"/>
      <c r="GK278" s="176" t="n"/>
      <c r="GL278" s="176" t="n"/>
      <c r="GM278" s="176" t="n"/>
      <c r="GN278" s="176" t="n"/>
      <c r="GO278" s="176" t="n"/>
      <c r="GP278" s="176" t="n"/>
      <c r="GQ278" s="176" t="n"/>
      <c r="GR278" s="176" t="n"/>
      <c r="GS278" s="176" t="n"/>
      <c r="GT278" s="176" t="n"/>
      <c r="GU278" s="176" t="n"/>
      <c r="GV278" s="176" t="n"/>
      <c r="GW278" s="176" t="n"/>
      <c r="GX278" s="176" t="n"/>
      <c r="GY278" s="176" t="n"/>
      <c r="GZ278" s="176" t="n"/>
      <c r="HA278" s="176" t="n"/>
      <c r="HB278" s="176" t="n"/>
      <c r="HC278" s="176" t="n"/>
      <c r="HD278" s="176" t="n"/>
      <c r="HE278" s="176" t="n"/>
      <c r="HF278" s="176" t="n"/>
      <c r="HG278" s="176" t="n"/>
      <c r="HH278" s="176" t="n"/>
      <c r="HI278" s="176" t="n"/>
      <c r="HJ278" s="176" t="n"/>
      <c r="HK278" s="176" t="n"/>
      <c r="HL278" s="176" t="n"/>
      <c r="HM278" s="176" t="n"/>
      <c r="HN278" s="176" t="n"/>
      <c r="HO278" s="176" t="n"/>
      <c r="HP278" s="176" t="n"/>
      <c r="HQ278" s="176" t="n"/>
      <c r="HR278" s="176" t="n"/>
      <c r="HS278" s="176" t="n"/>
      <c r="HT278" s="176" t="n"/>
      <c r="HU278" s="176" t="n"/>
      <c r="HV278" s="176" t="n"/>
      <c r="HW278" s="176" t="n"/>
      <c r="HX278" s="176" t="n"/>
      <c r="HY278" s="176" t="n"/>
      <c r="HZ278" s="176" t="n"/>
      <c r="IA278" s="176" t="n"/>
      <c r="IB278" s="176" t="n"/>
      <c r="IC278" s="176" t="n"/>
      <c r="ID278" s="176" t="n"/>
    </row>
    <row r="279" ht="18.75" customHeight="1">
      <c r="A279" s="176" t="n"/>
      <c r="B279" s="176" t="n"/>
      <c r="C279" s="176" t="n"/>
      <c r="D279" s="176" t="n"/>
      <c r="E279" s="176" t="n"/>
      <c r="F279" s="176" t="n"/>
      <c r="G279" s="176" t="n"/>
      <c r="H279" s="176" t="n"/>
      <c r="I279" s="176" t="n"/>
      <c r="J279" s="176" t="n"/>
      <c r="K279" s="176" t="n"/>
      <c r="L279" s="176" t="n"/>
      <c r="M279" s="176" t="n"/>
      <c r="N279" s="176" t="n"/>
      <c r="O279" s="176" t="n"/>
      <c r="P279" s="176" t="n"/>
      <c r="Q279" s="176" t="n"/>
      <c r="R279" s="176" t="n"/>
      <c r="S279" s="176" t="n"/>
      <c r="T279" s="181">
        <f>SWITCH('CONFIGURAÇÃO'!$T$275,"Origem","PERÍCIA 2","Marcante","","Menor","EXIGE MARCANTE","Arma","MÃO","Escudo","","Uniforme","","Item comum","","Ferramenta amaldiçoada","GRAU","")</f>
        <v/>
      </c>
      <c r="U279" s="183" t="n"/>
      <c r="V279" s="185" t="n"/>
      <c r="W279" s="182" t="n"/>
      <c r="X279" s="182" t="n"/>
      <c r="Y279" s="183" t="n"/>
      <c r="Z279" s="176" t="n"/>
      <c r="AA279" s="176" t="n"/>
      <c r="AB279" s="181">
        <f>SWITCH('CONFIGURAÇÃO'!$AB$275,"Origem","PERÍCIA 2","Marcante","","Menor","EXIGE MARCANTE","Arma","MÃO","Escudo","","Uniforme","","Item comum","","Ferramenta amaldiçoada","GRAU","")</f>
        <v/>
      </c>
      <c r="AC279" s="183" t="n"/>
      <c r="AD279" s="185" t="n"/>
      <c r="AE279" s="182" t="n"/>
      <c r="AF279" s="182" t="n"/>
      <c r="AG279" s="183" t="n"/>
      <c r="AH279" s="176" t="n"/>
      <c r="AI279" s="176" t="n"/>
      <c r="AJ279" s="176" t="n"/>
      <c r="AK279" s="176" t="n"/>
      <c r="AL279" s="176" t="n"/>
      <c r="AM279" s="176" t="n"/>
      <c r="AN279" s="176" t="n"/>
      <c r="AO279" s="176" t="n"/>
      <c r="AP279" s="176" t="n"/>
      <c r="AQ279" s="176" t="n"/>
      <c r="AR279" s="176" t="n"/>
      <c r="AS279" s="176" t="n"/>
      <c r="AT279" s="176" t="n"/>
      <c r="AU279" s="176" t="n"/>
      <c r="AV279" s="176" t="n"/>
      <c r="AW279" s="176" t="n"/>
      <c r="AX279" s="176" t="n"/>
      <c r="AY279" s="176" t="n"/>
      <c r="AZ279" s="176" t="n"/>
      <c r="BA279" s="176" t="n"/>
      <c r="BB279" s="176" t="n"/>
      <c r="BC279" s="176" t="n"/>
      <c r="BD279" s="176" t="n"/>
      <c r="BE279" s="176" t="n"/>
      <c r="BF279" s="176" t="n"/>
      <c r="BG279" s="176" t="n"/>
      <c r="BH279" s="176" t="n"/>
      <c r="BI279" s="176" t="n"/>
      <c r="BJ279" s="176" t="n"/>
      <c r="BK279" s="176" t="n"/>
      <c r="BL279" s="176" t="n"/>
      <c r="BM279" s="176" t="n"/>
      <c r="BN279" s="176" t="n"/>
      <c r="BO279" s="176" t="n"/>
      <c r="BP279" s="176" t="n"/>
      <c r="BQ279" s="176" t="n"/>
      <c r="BR279" s="176" t="n"/>
      <c r="BS279" s="176" t="n"/>
      <c r="BT279" s="176" t="n"/>
      <c r="BU279" s="176" t="n"/>
      <c r="BV279" s="176" t="n"/>
      <c r="BW279" s="176" t="n"/>
      <c r="BX279" s="176" t="n"/>
      <c r="BY279" s="176" t="n"/>
      <c r="BZ279" s="176" t="n"/>
      <c r="CA279" s="176" t="n"/>
      <c r="CB279" s="176" t="n"/>
      <c r="CC279" s="176" t="n"/>
      <c r="CD279" s="176" t="n"/>
      <c r="CE279" s="176" t="n"/>
      <c r="CF279" s="176" t="n"/>
      <c r="CG279" s="176" t="n"/>
      <c r="CH279" s="176" t="n"/>
      <c r="CI279" s="176" t="n"/>
      <c r="CJ279" s="176" t="n"/>
      <c r="CK279" s="176" t="n"/>
      <c r="CL279" s="176" t="n"/>
      <c r="CM279" s="176" t="n"/>
      <c r="CN279" s="176" t="n"/>
      <c r="CO279" s="176" t="n"/>
      <c r="CP279" s="176" t="n"/>
      <c r="CQ279" s="176" t="n"/>
      <c r="CR279" s="176" t="n"/>
      <c r="CS279" s="176" t="n"/>
      <c r="CT279" s="176" t="n"/>
      <c r="CU279" s="176" t="n"/>
      <c r="CV279" s="176" t="n"/>
      <c r="CW279" s="176" t="n"/>
      <c r="CX279" s="176" t="n"/>
      <c r="CY279" s="176" t="n"/>
      <c r="CZ279" s="176" t="n"/>
      <c r="DA279" s="181" t="inlineStr">
        <is>
          <t>EXIGE TR</t>
        </is>
      </c>
      <c r="DB279" s="182" t="n"/>
      <c r="DC279" s="183" t="n"/>
      <c r="DD279" s="185" t="n"/>
      <c r="DE279" s="182" t="n"/>
      <c r="DF279" s="183" t="n"/>
      <c r="DG279" s="176" t="n"/>
      <c r="DH279" s="176" t="n"/>
      <c r="DI279" s="181" t="inlineStr">
        <is>
          <t>EXIGE TR</t>
        </is>
      </c>
      <c r="DJ279" s="182" t="n"/>
      <c r="DK279" s="183" t="n"/>
      <c r="DL279" s="185" t="n"/>
      <c r="DM279" s="182" t="n"/>
      <c r="DN279" s="183" t="n"/>
      <c r="DO279" s="176" t="n"/>
      <c r="DP279" s="176" t="n"/>
      <c r="DQ279" s="176" t="n"/>
      <c r="DR279" s="185" t="n"/>
      <c r="DS279" s="182" t="n"/>
      <c r="DT279" s="182" t="n"/>
      <c r="DU279" s="182" t="n"/>
      <c r="DV279" s="182" t="n"/>
      <c r="DW279" s="183" t="n"/>
      <c r="DX279" s="176" t="n"/>
      <c r="DY279" s="176" t="n"/>
      <c r="DZ279" s="185" t="n"/>
      <c r="EA279" s="182" t="n"/>
      <c r="EB279" s="182" t="n"/>
      <c r="EC279" s="182" t="n"/>
      <c r="ED279" s="182" t="n"/>
      <c r="EE279" s="183" t="n"/>
      <c r="EF279" s="176" t="n"/>
      <c r="EG279" s="176" t="n"/>
      <c r="EH279" s="176" t="n"/>
      <c r="EI279" s="176" t="n"/>
      <c r="EJ279" s="176" t="n"/>
      <c r="EK279" s="176" t="n"/>
      <c r="EL279" s="176" t="n"/>
      <c r="EM279" s="176" t="n"/>
      <c r="EN279" s="176" t="n"/>
      <c r="EO279" s="176" t="n"/>
      <c r="EP279" s="176" t="n"/>
      <c r="EQ279" s="176" t="n"/>
      <c r="ER279" s="176" t="n"/>
      <c r="ES279" s="176" t="n"/>
      <c r="ET279" s="176" t="n"/>
      <c r="EU279" s="176" t="n"/>
      <c r="EV279" s="176" t="n"/>
      <c r="EW279" s="176" t="n"/>
      <c r="EX279" s="176" t="n"/>
      <c r="EY279" s="176" t="n"/>
      <c r="EZ279" s="176" t="n"/>
      <c r="FA279" s="176" t="n"/>
      <c r="FB279" s="176" t="n"/>
      <c r="FC279" s="176" t="n"/>
      <c r="FD279" s="176" t="n"/>
      <c r="FE279" s="176" t="n"/>
      <c r="FF279" s="176" t="n"/>
      <c r="FG279" s="176" t="n"/>
      <c r="FH279" s="176" t="n"/>
      <c r="FI279" s="176" t="n"/>
      <c r="FJ279" s="176" t="n"/>
      <c r="FK279" s="176" t="n"/>
      <c r="FL279" s="176" t="n"/>
      <c r="FM279" s="176" t="n"/>
      <c r="FN279" s="176" t="n"/>
      <c r="FO279" s="176" t="n"/>
      <c r="FP279" s="176" t="n"/>
      <c r="FQ279" s="176" t="n"/>
      <c r="FR279" s="176" t="n"/>
      <c r="FS279" s="176" t="n"/>
      <c r="FT279" s="176" t="n"/>
      <c r="FU279" s="176" t="n"/>
      <c r="FV279" s="176" t="n"/>
      <c r="FW279" s="176" t="n"/>
      <c r="FX279" s="176" t="n"/>
      <c r="FY279" s="176" t="n"/>
      <c r="FZ279" s="176" t="n"/>
      <c r="GA279" s="176" t="n"/>
      <c r="GB279" s="176" t="n"/>
      <c r="GC279" s="176" t="n"/>
      <c r="GD279" s="176" t="n"/>
      <c r="GE279" s="176" t="n"/>
      <c r="GF279" s="176" t="n"/>
      <c r="GG279" s="176" t="n"/>
      <c r="GH279" s="176" t="n"/>
      <c r="GI279" s="176" t="n"/>
      <c r="GJ279" s="176" t="n"/>
      <c r="GK279" s="176" t="n"/>
      <c r="GL279" s="176" t="n"/>
      <c r="GM279" s="176" t="n"/>
      <c r="GN279" s="176" t="n"/>
      <c r="GO279" s="176" t="n"/>
      <c r="GP279" s="176" t="n"/>
      <c r="GQ279" s="176" t="n"/>
      <c r="GR279" s="176" t="n"/>
      <c r="GS279" s="176" t="n"/>
      <c r="GT279" s="176" t="n"/>
      <c r="GU279" s="176" t="n"/>
      <c r="GV279" s="176" t="n"/>
      <c r="GW279" s="176" t="n"/>
      <c r="GX279" s="176" t="n"/>
      <c r="GY279" s="176" t="n"/>
      <c r="GZ279" s="176" t="n"/>
      <c r="HA279" s="176" t="n"/>
      <c r="HB279" s="176" t="n"/>
      <c r="HC279" s="176" t="n"/>
      <c r="HD279" s="176" t="n"/>
      <c r="HE279" s="176" t="n"/>
      <c r="HF279" s="176" t="n"/>
      <c r="HG279" s="176" t="n"/>
      <c r="HH279" s="176" t="n"/>
      <c r="HI279" s="176" t="n"/>
      <c r="HJ279" s="176" t="n"/>
      <c r="HK279" s="176" t="n"/>
      <c r="HL279" s="176" t="n"/>
      <c r="HM279" s="176" t="n"/>
      <c r="HN279" s="176" t="n"/>
      <c r="HO279" s="176" t="n"/>
      <c r="HP279" s="181" t="inlineStr">
        <is>
          <t>EFEITO</t>
        </is>
      </c>
      <c r="HQ279" s="182" t="n"/>
      <c r="HR279" s="182" t="n"/>
      <c r="HS279" s="182" t="n"/>
      <c r="HT279" s="182" t="n"/>
      <c r="HU279" s="183" t="n"/>
      <c r="HV279" s="176" t="n"/>
      <c r="HW279" s="176" t="n"/>
      <c r="HX279" s="181" t="inlineStr">
        <is>
          <t>EFEITO</t>
        </is>
      </c>
      <c r="HY279" s="182" t="n"/>
      <c r="HZ279" s="182" t="n"/>
      <c r="IA279" s="182" t="n"/>
      <c r="IB279" s="182" t="n"/>
      <c r="IC279" s="183" t="n"/>
      <c r="ID279" s="176" t="n"/>
    </row>
    <row r="280" ht="18.75" customHeight="1">
      <c r="A280" s="176" t="n"/>
      <c r="B280" s="176" t="n"/>
      <c r="C280" s="176" t="n"/>
      <c r="D280" s="176" t="n"/>
      <c r="E280" s="176" t="n"/>
      <c r="F280" s="176" t="n"/>
      <c r="G280" s="176" t="n"/>
      <c r="H280" s="176" t="n"/>
      <c r="I280" s="176" t="n"/>
      <c r="J280" s="176" t="n"/>
      <c r="K280" s="176" t="n"/>
      <c r="L280" s="176" t="n"/>
      <c r="M280" s="176" t="n"/>
      <c r="N280" s="176" t="n"/>
      <c r="O280" s="176" t="n"/>
      <c r="P280" s="176" t="n"/>
      <c r="Q280" s="176" t="n"/>
      <c r="R280" s="176" t="n"/>
      <c r="S280" s="176" t="n"/>
      <c r="T280" s="181">
        <f>SWITCH('CONFIGURAÇÃO'!$T$275,"Origem","PERÍCIA 3","Marcante","","Menor","","Arma","TIPO DE DANO","Escudo","","Uniforme","","Item comum","","Ferramenta amaldiçoada","","")</f>
        <v/>
      </c>
      <c r="U280" s="183" t="n"/>
      <c r="V280" s="185" t="n"/>
      <c r="W280" s="182" t="n"/>
      <c r="X280" s="182" t="n"/>
      <c r="Y280" s="183" t="n"/>
      <c r="Z280" s="176" t="n"/>
      <c r="AA280" s="176" t="n"/>
      <c r="AB280" s="181">
        <f>SWITCH('CONFIGURAÇÃO'!$AB$275,"Origem","PERÍCIA 3","Marcante","","Menor","","Arma","TIPO DE DANO","Escudo","","Uniforme","","Item comum","","Ferramenta amaldiçoada","","")</f>
        <v/>
      </c>
      <c r="AC280" s="183" t="n"/>
      <c r="AD280" s="185" t="n"/>
      <c r="AE280" s="182" t="n"/>
      <c r="AF280" s="182" t="n"/>
      <c r="AG280" s="183" t="n"/>
      <c r="AH280" s="176" t="n"/>
      <c r="AI280" s="176" t="n"/>
      <c r="AJ280" s="176" t="n"/>
      <c r="AK280" s="176" t="n"/>
      <c r="AL280" s="176" t="n"/>
      <c r="AM280" s="176" t="n"/>
      <c r="AN280" s="176" t="n"/>
      <c r="AO280" s="176" t="n"/>
      <c r="AP280" s="176" t="n"/>
      <c r="AQ280" s="176" t="n"/>
      <c r="AR280" s="176" t="n"/>
      <c r="AS280" s="176" t="n"/>
      <c r="AT280" s="176" t="n"/>
      <c r="AU280" s="176" t="n"/>
      <c r="AV280" s="176" t="n"/>
      <c r="AW280" s="176" t="n"/>
      <c r="AX280" s="176" t="n"/>
      <c r="AY280" s="176" t="n"/>
      <c r="AZ280" s="176" t="n"/>
      <c r="BA280" s="176" t="n"/>
      <c r="BB280" s="176" t="n"/>
      <c r="BC280" s="176" t="n"/>
      <c r="BD280" s="176" t="n"/>
      <c r="BE280" s="176" t="n"/>
      <c r="BF280" s="176" t="n"/>
      <c r="BG280" s="176" t="n"/>
      <c r="BH280" s="176" t="n"/>
      <c r="BI280" s="176" t="n"/>
      <c r="BJ280" s="176" t="n"/>
      <c r="BK280" s="176" t="n"/>
      <c r="BL280" s="176" t="n"/>
      <c r="BM280" s="176" t="n"/>
      <c r="BN280" s="176" t="n"/>
      <c r="BO280" s="176" t="n"/>
      <c r="BP280" s="176" t="n"/>
      <c r="BQ280" s="176" t="n"/>
      <c r="BR280" s="176" t="n"/>
      <c r="BS280" s="176" t="n"/>
      <c r="BT280" s="176" t="n"/>
      <c r="BU280" s="176" t="n"/>
      <c r="BV280" s="176" t="n"/>
      <c r="BW280" s="176" t="n"/>
      <c r="BX280" s="176" t="n"/>
      <c r="BY280" s="176" t="n"/>
      <c r="BZ280" s="176" t="n"/>
      <c r="CA280" s="176" t="n"/>
      <c r="CB280" s="176" t="n"/>
      <c r="CC280" s="176" t="n"/>
      <c r="CD280" s="176" t="n"/>
      <c r="CE280" s="176" t="n"/>
      <c r="CF280" s="176" t="n"/>
      <c r="CG280" s="176" t="n"/>
      <c r="CH280" s="176" t="n"/>
      <c r="CI280" s="176" t="n"/>
      <c r="CJ280" s="176" t="n"/>
      <c r="CK280" s="176" t="n"/>
      <c r="CL280" s="176" t="n"/>
      <c r="CM280" s="176" t="n"/>
      <c r="CN280" s="176" t="n"/>
      <c r="CO280" s="176" t="n"/>
      <c r="CP280" s="176" t="n"/>
      <c r="CQ280" s="176" t="n"/>
      <c r="CR280" s="176" t="n"/>
      <c r="CS280" s="176" t="n"/>
      <c r="CT280" s="176" t="n"/>
      <c r="CU280" s="176" t="n"/>
      <c r="CV280" s="176" t="n"/>
      <c r="CW280" s="176" t="n"/>
      <c r="CX280" s="176" t="n"/>
      <c r="CY280" s="176" t="n"/>
      <c r="CZ280" s="176" t="n"/>
      <c r="DA280" s="176" t="n"/>
      <c r="DB280" s="176" t="n"/>
      <c r="DC280" s="176" t="n"/>
      <c r="DD280" s="176" t="n"/>
      <c r="DE280" s="176" t="n"/>
      <c r="DF280" s="176" t="n"/>
      <c r="DG280" s="176" t="n"/>
      <c r="DH280" s="176" t="n"/>
      <c r="DI280" s="176" t="n"/>
      <c r="DJ280" s="176" t="n"/>
      <c r="DK280" s="176" t="n"/>
      <c r="DL280" s="176" t="n"/>
      <c r="DM280" s="176" t="n"/>
      <c r="DN280" s="176" t="n"/>
      <c r="DO280" s="176" t="n"/>
      <c r="DP280" s="176" t="n"/>
      <c r="DQ280" s="176" t="n"/>
      <c r="DR280" s="181" t="inlineStr">
        <is>
          <t>BASE DO LIVRO</t>
        </is>
      </c>
      <c r="DS280" s="182" t="n"/>
      <c r="DT280" s="183" t="n"/>
      <c r="DU280" s="185" t="inlineStr">
        <is>
          <t>Nenhuma</t>
        </is>
      </c>
      <c r="DV280" s="182" t="n"/>
      <c r="DW280" s="183" t="n"/>
      <c r="DX280" s="176" t="n"/>
      <c r="DY280" s="176" t="n"/>
      <c r="DZ280" s="181" t="inlineStr">
        <is>
          <t>BASE DO LIVRO</t>
        </is>
      </c>
      <c r="EA280" s="182" t="n"/>
      <c r="EB280" s="183" t="n"/>
      <c r="EC280" s="185" t="inlineStr">
        <is>
          <t>Nenhuma</t>
        </is>
      </c>
      <c r="ED280" s="182" t="n"/>
      <c r="EE280" s="183" t="n"/>
      <c r="EF280" s="176" t="n"/>
      <c r="EG280" s="176" t="n"/>
      <c r="EH280" s="176" t="n"/>
      <c r="EI280" s="176" t="n"/>
      <c r="EJ280" s="176" t="n"/>
      <c r="EK280" s="176" t="n"/>
      <c r="EL280" s="176" t="n"/>
      <c r="EM280" s="176" t="n"/>
      <c r="EN280" s="176" t="n"/>
      <c r="EO280" s="176" t="n"/>
      <c r="EP280" s="176" t="n"/>
      <c r="EQ280" s="176" t="n"/>
      <c r="ER280" s="176" t="n"/>
      <c r="ES280" s="176" t="n"/>
      <c r="ET280" s="176" t="n"/>
      <c r="EU280" s="176" t="n"/>
      <c r="EV280" s="176" t="n"/>
      <c r="EW280" s="176" t="n"/>
      <c r="EX280" s="176" t="n"/>
      <c r="EY280" s="176" t="n"/>
      <c r="EZ280" s="176" t="n"/>
      <c r="FA280" s="176" t="n"/>
      <c r="FB280" s="176" t="n"/>
      <c r="FC280" s="176" t="n"/>
      <c r="FD280" s="176" t="n"/>
      <c r="FE280" s="176" t="n"/>
      <c r="FF280" s="176" t="n"/>
      <c r="FG280" s="176" t="n"/>
      <c r="FH280" s="176" t="n"/>
      <c r="FI280" s="176" t="n"/>
      <c r="FJ280" s="176" t="n"/>
      <c r="FK280" s="176" t="n"/>
      <c r="FL280" s="176" t="n"/>
      <c r="FM280" s="176" t="n"/>
      <c r="FN280" s="176" t="n"/>
      <c r="FO280" s="176" t="n"/>
      <c r="FP280" s="176" t="n"/>
      <c r="FQ280" s="176" t="n"/>
      <c r="FR280" s="176" t="n"/>
      <c r="FS280" s="176" t="n"/>
      <c r="FT280" s="176" t="n"/>
      <c r="FU280" s="176" t="n"/>
      <c r="FV280" s="176" t="n"/>
      <c r="FW280" s="176" t="n"/>
      <c r="FX280" s="176" t="n"/>
      <c r="FY280" s="176" t="n"/>
      <c r="FZ280" s="176" t="n"/>
      <c r="GA280" s="176" t="n"/>
      <c r="GB280" s="176" t="n"/>
      <c r="GC280" s="176" t="n"/>
      <c r="GD280" s="176" t="n"/>
      <c r="GE280" s="176" t="n"/>
      <c r="GF280" s="176" t="n"/>
      <c r="GG280" s="176" t="n"/>
      <c r="GH280" s="176" t="n"/>
      <c r="GI280" s="176" t="n"/>
      <c r="GJ280" s="176" t="n"/>
      <c r="GK280" s="176" t="n"/>
      <c r="GL280" s="176" t="n"/>
      <c r="GM280" s="176" t="n"/>
      <c r="GN280" s="176" t="n"/>
      <c r="GO280" s="176" t="n"/>
      <c r="GP280" s="176" t="n"/>
      <c r="GQ280" s="176" t="n"/>
      <c r="GR280" s="176" t="n"/>
      <c r="GS280" s="176" t="n"/>
      <c r="GT280" s="176" t="n"/>
      <c r="GU280" s="176" t="n"/>
      <c r="GV280" s="176" t="n"/>
      <c r="GW280" s="176" t="n"/>
      <c r="GX280" s="176" t="n"/>
      <c r="GY280" s="176" t="n"/>
      <c r="GZ280" s="176" t="n"/>
      <c r="HA280" s="176" t="n"/>
      <c r="HB280" s="176" t="n"/>
      <c r="HC280" s="176" t="n"/>
      <c r="HD280" s="176" t="n"/>
      <c r="HE280" s="176" t="n"/>
      <c r="HF280" s="176" t="n"/>
      <c r="HG280" s="176" t="n"/>
      <c r="HH280" s="176" t="n"/>
      <c r="HI280" s="176" t="n"/>
      <c r="HJ280" s="176" t="n"/>
      <c r="HK280" s="176" t="n"/>
      <c r="HL280" s="176" t="n"/>
      <c r="HM280" s="176" t="n"/>
      <c r="HN280" s="176" t="n"/>
      <c r="HO280" s="176" t="n"/>
      <c r="HP280" s="192" t="n"/>
      <c r="HQ280" s="187" t="n"/>
      <c r="HR280" s="187" t="n"/>
      <c r="HS280" s="187" t="n"/>
      <c r="HT280" s="187" t="n"/>
      <c r="HU280" s="188" t="n"/>
      <c r="HV280" s="176" t="n"/>
      <c r="HW280" s="176" t="n"/>
      <c r="HX280" s="192" t="n"/>
      <c r="HY280" s="187" t="n"/>
      <c r="HZ280" s="187" t="n"/>
      <c r="IA280" s="187" t="n"/>
      <c r="IB280" s="187" t="n"/>
      <c r="IC280" s="188" t="n"/>
      <c r="ID280" s="176" t="n"/>
    </row>
    <row r="281" ht="18.75" customHeight="1">
      <c r="A281" s="176" t="n"/>
      <c r="B281" s="176" t="n"/>
      <c r="C281" s="176" t="n"/>
      <c r="D281" s="176" t="n"/>
      <c r="E281" s="176" t="n"/>
      <c r="F281" s="176" t="n"/>
      <c r="G281" s="176" t="n"/>
      <c r="H281" s="176" t="n"/>
      <c r="I281" s="176" t="n"/>
      <c r="J281" s="176" t="n"/>
      <c r="K281" s="176" t="n"/>
      <c r="L281" s="176" t="n"/>
      <c r="M281" s="176" t="n"/>
      <c r="N281" s="176" t="n"/>
      <c r="O281" s="176" t="n"/>
      <c r="P281" s="176" t="n"/>
      <c r="Q281" s="176" t="n"/>
      <c r="R281" s="176" t="n"/>
      <c r="S281" s="176" t="n"/>
      <c r="T281" s="181">
        <f>SWITCH('CONFIGURAÇÃO'!$T$275,"Origem","PERÍCIA 4","Marcante","","Menor","","Arma","PROPRIEDADE 1","Escudo","","Uniforme","","Item comum","","Ferramenta amaldiçoada","","")</f>
        <v/>
      </c>
      <c r="U281" s="183" t="n"/>
      <c r="V281" s="185" t="n"/>
      <c r="W281" s="182" t="n"/>
      <c r="X281" s="182" t="n"/>
      <c r="Y281" s="183" t="n"/>
      <c r="Z281" s="176" t="n"/>
      <c r="AA281" s="176" t="n"/>
      <c r="AB281" s="181">
        <f>SWITCH('CONFIGURAÇÃO'!$AB$275,"Origem","PERÍCIA 4","Marcante","","Menor","","Arma","PROPRIEDADE 1","Escudo","","Uniforme","","Item comum","","Ferramenta amaldiçoada","","")</f>
        <v/>
      </c>
      <c r="AC281" s="183" t="n"/>
      <c r="AD281" s="185" t="n"/>
      <c r="AE281" s="182" t="n"/>
      <c r="AF281" s="182" t="n"/>
      <c r="AG281" s="183" t="n"/>
      <c r="AH281" s="176" t="n"/>
      <c r="AI281" s="176" t="n"/>
      <c r="AJ281" s="176" t="n"/>
      <c r="AK281" s="176" t="n"/>
      <c r="AL281" s="176" t="n"/>
      <c r="AM281" s="176" t="n"/>
      <c r="AN281" s="176" t="n"/>
      <c r="AO281" s="176" t="n"/>
      <c r="AP281" s="176" t="n"/>
      <c r="AQ281" s="176" t="n"/>
      <c r="AR281" s="176" t="n"/>
      <c r="AS281" s="176" t="n"/>
      <c r="AT281" s="176" t="n"/>
      <c r="AU281" s="176" t="n"/>
      <c r="AV281" s="176" t="n"/>
      <c r="AW281" s="176" t="n"/>
      <c r="AX281" s="176" t="n"/>
      <c r="AY281" s="176" t="n"/>
      <c r="AZ281" s="176" t="n"/>
      <c r="BA281" s="176" t="n"/>
      <c r="BB281" s="176" t="n"/>
      <c r="BC281" s="176" t="n"/>
      <c r="BD281" s="176" t="n"/>
      <c r="BE281" s="176" t="n"/>
      <c r="BF281" s="176" t="n"/>
      <c r="BG281" s="176" t="n"/>
      <c r="BH281" s="176" t="n"/>
      <c r="BI281" s="176" t="n"/>
      <c r="BJ281" s="176" t="n"/>
      <c r="BK281" s="176" t="n"/>
      <c r="BL281" s="176" t="n"/>
      <c r="BM281" s="176" t="n"/>
      <c r="BN281" s="176" t="n"/>
      <c r="BO281" s="176" t="n"/>
      <c r="BP281" s="176" t="n"/>
      <c r="BQ281" s="176" t="n"/>
      <c r="BR281" s="176" t="n"/>
      <c r="BS281" s="176" t="n"/>
      <c r="BT281" s="176" t="n"/>
      <c r="BU281" s="176" t="n"/>
      <c r="BV281" s="176" t="n"/>
      <c r="BW281" s="176" t="n"/>
      <c r="BX281" s="176" t="n"/>
      <c r="BY281" s="176" t="n"/>
      <c r="BZ281" s="176" t="n"/>
      <c r="CA281" s="176" t="n"/>
      <c r="CB281" s="176" t="n"/>
      <c r="CC281" s="176" t="n"/>
      <c r="CD281" s="176" t="n"/>
      <c r="CE281" s="176" t="n"/>
      <c r="CF281" s="176" t="n"/>
      <c r="CG281" s="176" t="n"/>
      <c r="CH281" s="176" t="n"/>
      <c r="CI281" s="176" t="n"/>
      <c r="CJ281" s="176" t="n"/>
      <c r="CK281" s="176" t="n"/>
      <c r="CL281" s="176" t="n"/>
      <c r="CM281" s="176" t="n"/>
      <c r="CN281" s="176" t="n"/>
      <c r="CO281" s="176" t="n"/>
      <c r="CP281" s="176" t="n"/>
      <c r="CQ281" s="176" t="n"/>
      <c r="CR281" s="176" t="n"/>
      <c r="CS281" s="176" t="n"/>
      <c r="CT281" s="176" t="n"/>
      <c r="CU281" s="176" t="n"/>
      <c r="CV281" s="176" t="n"/>
      <c r="CW281" s="176" t="n"/>
      <c r="CX281" s="176" t="n"/>
      <c r="CY281" s="176" t="n"/>
      <c r="CZ281" s="176" t="n"/>
      <c r="DA281" s="181" t="inlineStr">
        <is>
          <t>REQUISITOS E REPETIÇÃO</t>
        </is>
      </c>
      <c r="DB281" s="182" t="n"/>
      <c r="DC281" s="182" t="n"/>
      <c r="DD281" s="182" t="n"/>
      <c r="DE281" s="182" t="n"/>
      <c r="DF281" s="183" t="n"/>
      <c r="DG281" s="176" t="n"/>
      <c r="DH281" s="176" t="n"/>
      <c r="DI281" s="181" t="inlineStr">
        <is>
          <t>REQUISITOS E REPETIÇÃO</t>
        </is>
      </c>
      <c r="DJ281" s="182" t="n"/>
      <c r="DK281" s="182" t="n"/>
      <c r="DL281" s="182" t="n"/>
      <c r="DM281" s="182" t="n"/>
      <c r="DN281" s="183" t="n"/>
      <c r="DO281" s="176" t="n"/>
      <c r="DP281" s="176" t="n"/>
      <c r="DQ281" s="176" t="n"/>
      <c r="DR281" s="181" t="inlineStr">
        <is>
          <t>DEVOLUÇÃO</t>
        </is>
      </c>
      <c r="DS281" s="182" t="n"/>
      <c r="DT281" s="183" t="n"/>
      <c r="DU281" s="185" t="n"/>
      <c r="DV281" s="182" t="n"/>
      <c r="DW281" s="183" t="n"/>
      <c r="DX281" s="176" t="n"/>
      <c r="DY281" s="176" t="n"/>
      <c r="DZ281" s="181" t="inlineStr">
        <is>
          <t>DEVOLUÇÃO</t>
        </is>
      </c>
      <c r="EA281" s="182" t="n"/>
      <c r="EB281" s="183" t="n"/>
      <c r="EC281" s="185" t="n"/>
      <c r="ED281" s="182" t="n"/>
      <c r="EE281" s="183" t="n"/>
      <c r="EF281" s="176" t="n"/>
      <c r="EG281" s="176" t="n"/>
      <c r="EH281" s="176" t="n"/>
      <c r="EI281" s="176" t="n"/>
      <c r="EJ281" s="176" t="n"/>
      <c r="EK281" s="176" t="n"/>
      <c r="EL281" s="176" t="n"/>
      <c r="EM281" s="176" t="n"/>
      <c r="EN281" s="176" t="n"/>
      <c r="EO281" s="176" t="n"/>
      <c r="EP281" s="176" t="n"/>
      <c r="EQ281" s="176" t="n"/>
      <c r="ER281" s="176" t="n"/>
      <c r="ES281" s="176" t="n"/>
      <c r="ET281" s="176" t="n"/>
      <c r="EU281" s="176" t="n"/>
      <c r="EV281" s="176" t="n"/>
      <c r="EW281" s="176" t="n"/>
      <c r="EX281" s="176" t="n"/>
      <c r="EY281" s="176" t="n"/>
      <c r="EZ281" s="176" t="n"/>
      <c r="FA281" s="176" t="n"/>
      <c r="FB281" s="176" t="n"/>
      <c r="FC281" s="176" t="n"/>
      <c r="FD281" s="176" t="n"/>
      <c r="FE281" s="176" t="n"/>
      <c r="FF281" s="176" t="n"/>
      <c r="FG281" s="176" t="n"/>
      <c r="FH281" s="176" t="n"/>
      <c r="FI281" s="176" t="n"/>
      <c r="FJ281" s="176" t="n"/>
      <c r="FK281" s="176" t="n"/>
      <c r="FL281" s="176" t="n"/>
      <c r="FM281" s="176" t="n"/>
      <c r="FN281" s="176" t="n"/>
      <c r="FO281" s="176" t="n"/>
      <c r="FP281" s="176" t="n"/>
      <c r="FQ281" s="176" t="n"/>
      <c r="FR281" s="176" t="n"/>
      <c r="FS281" s="176" t="n"/>
      <c r="FT281" s="176" t="n"/>
      <c r="FU281" s="176" t="n"/>
      <c r="FV281" s="176" t="n"/>
      <c r="FW281" s="176" t="n"/>
      <c r="FX281" s="176" t="n"/>
      <c r="FY281" s="176" t="n"/>
      <c r="FZ281" s="176" t="n"/>
      <c r="GA281" s="176" t="n"/>
      <c r="GB281" s="176" t="n"/>
      <c r="GC281" s="176" t="n"/>
      <c r="GD281" s="176" t="n"/>
      <c r="GE281" s="176" t="n"/>
      <c r="GF281" s="176" t="n"/>
      <c r="GG281" s="176" t="n"/>
      <c r="GH281" s="176" t="n"/>
      <c r="GI281" s="176" t="n"/>
      <c r="GJ281" s="176" t="n"/>
      <c r="GK281" s="176" t="n"/>
      <c r="GL281" s="176" t="n"/>
      <c r="GM281" s="176" t="n"/>
      <c r="GN281" s="176" t="n"/>
      <c r="GO281" s="176" t="n"/>
      <c r="GP281" s="176" t="n"/>
      <c r="GQ281" s="176" t="n"/>
      <c r="GR281" s="176" t="n"/>
      <c r="GS281" s="176" t="n"/>
      <c r="GT281" s="176" t="n"/>
      <c r="GU281" s="176" t="n"/>
      <c r="GV281" s="176" t="n"/>
      <c r="GW281" s="176" t="n"/>
      <c r="GX281" s="176" t="n"/>
      <c r="GY281" s="176" t="n"/>
      <c r="GZ281" s="176" t="n"/>
      <c r="HA281" s="176" t="n"/>
      <c r="HB281" s="176" t="n"/>
      <c r="HC281" s="176" t="n"/>
      <c r="HD281" s="176" t="n"/>
      <c r="HE281" s="176" t="n"/>
      <c r="HF281" s="176" t="n"/>
      <c r="HG281" s="176" t="n"/>
      <c r="HH281" s="176" t="n"/>
      <c r="HI281" s="176" t="n"/>
      <c r="HJ281" s="176" t="n"/>
      <c r="HK281" s="176" t="n"/>
      <c r="HL281" s="176" t="n"/>
      <c r="HM281" s="176" t="n"/>
      <c r="HN281" s="176" t="n"/>
      <c r="HO281" s="176" t="n"/>
      <c r="HP281" s="193" t="n"/>
      <c r="HU281" s="194" t="n"/>
      <c r="HV281" s="176" t="n"/>
      <c r="HW281" s="176" t="n"/>
      <c r="HX281" s="193" t="n"/>
      <c r="IC281" s="194" t="n"/>
      <c r="ID281" s="176" t="n"/>
    </row>
    <row r="282" ht="18.75" customHeight="1">
      <c r="A282" s="176" t="n"/>
      <c r="B282" s="176" t="n"/>
      <c r="C282" s="176" t="n"/>
      <c r="D282" s="176" t="n"/>
      <c r="E282" s="176" t="n"/>
      <c r="F282" s="176" t="n"/>
      <c r="G282" s="176" t="n"/>
      <c r="H282" s="176" t="n"/>
      <c r="I282" s="176" t="n"/>
      <c r="J282" s="176" t="n"/>
      <c r="K282" s="176" t="n"/>
      <c r="L282" s="176" t="n"/>
      <c r="M282" s="176" t="n"/>
      <c r="N282" s="176" t="n"/>
      <c r="O282" s="176" t="n"/>
      <c r="P282" s="176" t="n"/>
      <c r="Q282" s="176" t="n"/>
      <c r="R282" s="176" t="n"/>
      <c r="S282" s="176" t="n"/>
      <c r="T282" s="181">
        <f>SWITCH('CONFIGURAÇÃO'!$T$275,"Origem","ROTA","Marcante","","Menor","","Arma","PROPRIEDADE 2","Escudo","","Uniforme","","Item comum","","Ferramenta amaldiçoada","","")</f>
        <v/>
      </c>
      <c r="U282" s="183" t="n"/>
      <c r="V282" s="185" t="n"/>
      <c r="W282" s="182" t="n"/>
      <c r="X282" s="182" t="n"/>
      <c r="Y282" s="183" t="n"/>
      <c r="Z282" s="176" t="n"/>
      <c r="AA282" s="176" t="n"/>
      <c r="AB282" s="181">
        <f>SWITCH('CONFIGURAÇÃO'!$AB$275,"Origem","ROTA","Marcante","","Menor","","Arma","PROPRIEDADE 2","Escudo","","Uniforme","","Item comum","","Ferramenta amaldiçoada","","")</f>
        <v/>
      </c>
      <c r="AC282" s="183" t="n"/>
      <c r="AD282" s="185" t="n"/>
      <c r="AE282" s="182" t="n"/>
      <c r="AF282" s="182" t="n"/>
      <c r="AG282" s="183" t="n"/>
      <c r="AH282" s="176" t="n"/>
      <c r="AI282" s="176" t="n"/>
      <c r="AJ282" s="176" t="n"/>
      <c r="AK282" s="176" t="n"/>
      <c r="AL282" s="176" t="n"/>
      <c r="AM282" s="176" t="n"/>
      <c r="AN282" s="176" t="n"/>
      <c r="AO282" s="176" t="n"/>
      <c r="AP282" s="176" t="n"/>
      <c r="AQ282" s="176" t="n"/>
      <c r="AR282" s="176" t="n"/>
      <c r="AS282" s="176" t="n"/>
      <c r="AT282" s="176" t="n"/>
      <c r="AU282" s="176" t="n"/>
      <c r="AV282" s="176" t="n"/>
      <c r="AW282" s="176" t="n"/>
      <c r="AX282" s="176" t="n"/>
      <c r="AY282" s="176" t="n"/>
      <c r="AZ282" s="176" t="n"/>
      <c r="BA282" s="176" t="n"/>
      <c r="BB282" s="176" t="n"/>
      <c r="BC282" s="176" t="n"/>
      <c r="BD282" s="176" t="n"/>
      <c r="BE282" s="176" t="n"/>
      <c r="BF282" s="176" t="n"/>
      <c r="BG282" s="176" t="n"/>
      <c r="BH282" s="176" t="n"/>
      <c r="BI282" s="176" t="n"/>
      <c r="BJ282" s="176" t="n"/>
      <c r="BK282" s="176" t="n"/>
      <c r="BL282" s="176" t="n"/>
      <c r="BM282" s="176" t="n"/>
      <c r="BN282" s="176" t="n"/>
      <c r="BO282" s="176" t="n"/>
      <c r="BP282" s="176" t="n"/>
      <c r="BQ282" s="176" t="n"/>
      <c r="BR282" s="176" t="n"/>
      <c r="BS282" s="176" t="n"/>
      <c r="BT282" s="176" t="n"/>
      <c r="BU282" s="176" t="n"/>
      <c r="BV282" s="176" t="n"/>
      <c r="BW282" s="176" t="n"/>
      <c r="BX282" s="176" t="n"/>
      <c r="BY282" s="176" t="n"/>
      <c r="BZ282" s="176" t="n"/>
      <c r="CA282" s="176" t="n"/>
      <c r="CB282" s="176" t="n"/>
      <c r="CC282" s="176" t="n"/>
      <c r="CD282" s="176" t="n"/>
      <c r="CE282" s="176" t="n"/>
      <c r="CF282" s="176" t="n"/>
      <c r="CG282" s="176" t="n"/>
      <c r="CH282" s="176" t="n"/>
      <c r="CI282" s="176" t="n"/>
      <c r="CJ282" s="176" t="n"/>
      <c r="CK282" s="176" t="n"/>
      <c r="CL282" s="176" t="n"/>
      <c r="CM282" s="176" t="n"/>
      <c r="CN282" s="176" t="n"/>
      <c r="CO282" s="176" t="n"/>
      <c r="CP282" s="176" t="n"/>
      <c r="CQ282" s="176" t="n"/>
      <c r="CR282" s="176" t="n"/>
      <c r="CS282" s="176" t="n"/>
      <c r="CT282" s="176" t="n"/>
      <c r="CU282" s="176" t="n"/>
      <c r="CV282" s="176" t="n"/>
      <c r="CW282" s="176" t="n"/>
      <c r="CX282" s="176" t="n"/>
      <c r="CY282" s="176" t="n"/>
      <c r="CZ282" s="176" t="n"/>
      <c r="DA282" s="192" t="n"/>
      <c r="DB282" s="187" t="n"/>
      <c r="DC282" s="187" t="n"/>
      <c r="DD282" s="187" t="n"/>
      <c r="DE282" s="187" t="n"/>
      <c r="DF282" s="188" t="n"/>
      <c r="DG282" s="176" t="n"/>
      <c r="DH282" s="176" t="n"/>
      <c r="DI282" s="192" t="n"/>
      <c r="DJ282" s="187" t="n"/>
      <c r="DK282" s="187" t="n"/>
      <c r="DL282" s="187" t="n"/>
      <c r="DM282" s="187" t="n"/>
      <c r="DN282" s="188" t="n"/>
      <c r="DO282" s="176" t="n"/>
      <c r="DP282" s="176" t="n"/>
      <c r="DQ282" s="176" t="n"/>
      <c r="DR282" s="181" t="inlineStr">
        <is>
          <t>FREQUÊNCIA</t>
        </is>
      </c>
      <c r="DS282" s="182" t="n"/>
      <c r="DT282" s="183" t="n"/>
      <c r="DU282" s="185" t="n"/>
      <c r="DV282" s="182" t="n"/>
      <c r="DW282" s="183" t="n"/>
      <c r="DX282" s="176" t="n"/>
      <c r="DY282" s="176" t="n"/>
      <c r="DZ282" s="181" t="inlineStr">
        <is>
          <t>FREQUÊNCIA</t>
        </is>
      </c>
      <c r="EA282" s="182" t="n"/>
      <c r="EB282" s="183" t="n"/>
      <c r="EC282" s="185" t="n"/>
      <c r="ED282" s="182" t="n"/>
      <c r="EE282" s="183" t="n"/>
      <c r="EF282" s="176" t="n"/>
      <c r="EG282" s="176" t="n"/>
      <c r="EH282" s="176" t="n"/>
      <c r="EI282" s="176" t="n"/>
      <c r="EJ282" s="176" t="n"/>
      <c r="EK282" s="176" t="n"/>
      <c r="EL282" s="176" t="n"/>
      <c r="EM282" s="176" t="n"/>
      <c r="EN282" s="176" t="n"/>
      <c r="EO282" s="176" t="n"/>
      <c r="EP282" s="176" t="n"/>
      <c r="EQ282" s="176" t="n"/>
      <c r="ER282" s="176" t="n"/>
      <c r="ES282" s="176" t="n"/>
      <c r="ET282" s="176" t="n"/>
      <c r="EU282" s="176" t="n"/>
      <c r="EV282" s="176" t="n"/>
      <c r="EW282" s="176" t="n"/>
      <c r="EX282" s="176" t="n"/>
      <c r="EY282" s="176" t="n"/>
      <c r="EZ282" s="176" t="n"/>
      <c r="FA282" s="176" t="n"/>
      <c r="FB282" s="176" t="n"/>
      <c r="FC282" s="176" t="n"/>
      <c r="FD282" s="176" t="n"/>
      <c r="FE282" s="176" t="n"/>
      <c r="FF282" s="176" t="n"/>
      <c r="FG282" s="176" t="n"/>
      <c r="FH282" s="176" t="n"/>
      <c r="FI282" s="176" t="n"/>
      <c r="FJ282" s="176" t="n"/>
      <c r="FK282" s="176" t="n"/>
      <c r="FL282" s="176" t="n"/>
      <c r="FM282" s="176" t="n"/>
      <c r="FN282" s="176" t="n"/>
      <c r="FO282" s="176" t="n"/>
      <c r="FP282" s="176" t="n"/>
      <c r="FQ282" s="176" t="n"/>
      <c r="FR282" s="176" t="n"/>
      <c r="FS282" s="176" t="n"/>
      <c r="FT282" s="176" t="n"/>
      <c r="FU282" s="176" t="n"/>
      <c r="FV282" s="176" t="n"/>
      <c r="FW282" s="176" t="n"/>
      <c r="FX282" s="176" t="n"/>
      <c r="FY282" s="176" t="n"/>
      <c r="FZ282" s="176" t="n"/>
      <c r="GA282" s="176" t="n"/>
      <c r="GB282" s="176" t="n"/>
      <c r="GC282" s="176" t="n"/>
      <c r="GD282" s="176" t="n"/>
      <c r="GE282" s="176" t="n"/>
      <c r="GF282" s="176" t="n"/>
      <c r="GG282" s="176" t="n"/>
      <c r="GH282" s="176" t="n"/>
      <c r="GI282" s="176" t="n"/>
      <c r="GJ282" s="176" t="n"/>
      <c r="GK282" s="176" t="n"/>
      <c r="GL282" s="176" t="n"/>
      <c r="GM282" s="176" t="n"/>
      <c r="GN282" s="176" t="n"/>
      <c r="GO282" s="176" t="n"/>
      <c r="GP282" s="176" t="n"/>
      <c r="GQ282" s="176" t="n"/>
      <c r="GR282" s="176" t="n"/>
      <c r="GS282" s="176" t="n"/>
      <c r="GT282" s="176" t="n"/>
      <c r="GU282" s="176" t="n"/>
      <c r="GV282" s="176" t="n"/>
      <c r="GW282" s="176" t="n"/>
      <c r="GX282" s="176" t="n"/>
      <c r="GY282" s="176" t="n"/>
      <c r="GZ282" s="176" t="n"/>
      <c r="HA282" s="176" t="n"/>
      <c r="HB282" s="176" t="n"/>
      <c r="HC282" s="176" t="n"/>
      <c r="HD282" s="176" t="n"/>
      <c r="HE282" s="176" t="n"/>
      <c r="HF282" s="176" t="n"/>
      <c r="HG282" s="176" t="n"/>
      <c r="HH282" s="176" t="n"/>
      <c r="HI282" s="176" t="n"/>
      <c r="HJ282" s="176" t="n"/>
      <c r="HK282" s="176" t="n"/>
      <c r="HL282" s="176" t="n"/>
      <c r="HM282" s="176" t="n"/>
      <c r="HN282" s="176" t="n"/>
      <c r="HO282" s="176" t="n"/>
      <c r="HP282" s="193" t="n"/>
      <c r="HU282" s="194" t="n"/>
      <c r="HV282" s="176" t="n"/>
      <c r="HW282" s="176" t="n"/>
      <c r="HX282" s="193" t="n"/>
      <c r="IC282" s="194" t="n"/>
      <c r="ID282" s="176" t="n"/>
    </row>
    <row r="283" ht="18.75" customHeight="1">
      <c r="A283" s="176" t="n"/>
      <c r="B283" s="176" t="n"/>
      <c r="C283" s="176" t="n"/>
      <c r="D283" s="176" t="n"/>
      <c r="E283" s="176" t="n"/>
      <c r="F283" s="176" t="n"/>
      <c r="G283" s="176" t="n"/>
      <c r="H283" s="176" t="n"/>
      <c r="I283" s="176" t="n"/>
      <c r="J283" s="176" t="n"/>
      <c r="K283" s="176" t="n"/>
      <c r="L283" s="176" t="n"/>
      <c r="M283" s="176" t="n"/>
      <c r="N283" s="176" t="n"/>
      <c r="O283" s="176" t="n"/>
      <c r="P283" s="176" t="n"/>
      <c r="Q283" s="176" t="n"/>
      <c r="R283" s="176" t="n"/>
      <c r="S283" s="176" t="n"/>
      <c r="T283" s="181">
        <f>SWITCH('CONFIGURAÇÃO'!$T$275,"Origem","BASE DO LIVRO","Marcante","","Menor","","Arma","PROPRIEDADE 3","Escudo","","Uniforme","","Item comum","","Ferramenta amaldiçoada","","")</f>
        <v/>
      </c>
      <c r="U283" s="183" t="n"/>
      <c r="V283" s="185" t="n"/>
      <c r="W283" s="182" t="n"/>
      <c r="X283" s="182" t="n"/>
      <c r="Y283" s="183" t="n"/>
      <c r="Z283" s="176" t="n"/>
      <c r="AA283" s="176" t="n"/>
      <c r="AB283" s="181">
        <f>SWITCH('CONFIGURAÇÃO'!$AB$275,"Origem","BASE DO LIVRO","Marcante","","Menor","","Arma","PROPRIEDADE 3","Escudo","","Uniforme","","Item comum","","Ferramenta amaldiçoada","","")</f>
        <v/>
      </c>
      <c r="AC283" s="183" t="n"/>
      <c r="AD283" s="185" t="n"/>
      <c r="AE283" s="182" t="n"/>
      <c r="AF283" s="182" t="n"/>
      <c r="AG283" s="183" t="n"/>
      <c r="AH283" s="176" t="n"/>
      <c r="AI283" s="176" t="n"/>
      <c r="AJ283" s="176" t="n"/>
      <c r="AK283" s="176" t="n"/>
      <c r="AL283" s="176" t="n"/>
      <c r="AM283" s="176" t="n"/>
      <c r="AN283" s="176" t="n"/>
      <c r="AO283" s="176" t="n"/>
      <c r="AP283" s="176" t="n"/>
      <c r="AQ283" s="176" t="n"/>
      <c r="AR283" s="176" t="n"/>
      <c r="AS283" s="176" t="n"/>
      <c r="AT283" s="176" t="n"/>
      <c r="AU283" s="176" t="n"/>
      <c r="AV283" s="176" t="n"/>
      <c r="AW283" s="176" t="n"/>
      <c r="AX283" s="176" t="n"/>
      <c r="AY283" s="176" t="n"/>
      <c r="AZ283" s="176" t="n"/>
      <c r="BA283" s="176" t="n"/>
      <c r="BB283" s="176" t="n"/>
      <c r="BC283" s="176" t="n"/>
      <c r="BD283" s="176" t="n"/>
      <c r="BE283" s="176" t="n"/>
      <c r="BF283" s="176" t="n"/>
      <c r="BG283" s="176" t="n"/>
      <c r="BH283" s="176" t="n"/>
      <c r="BI283" s="176" t="n"/>
      <c r="BJ283" s="176" t="n"/>
      <c r="BK283" s="176" t="n"/>
      <c r="BL283" s="176" t="n"/>
      <c r="BM283" s="176" t="n"/>
      <c r="BN283" s="176" t="n"/>
      <c r="BO283" s="176" t="n"/>
      <c r="BP283" s="176" t="n"/>
      <c r="BQ283" s="176" t="n"/>
      <c r="BR283" s="176" t="n"/>
      <c r="BS283" s="176" t="n"/>
      <c r="BT283" s="176" t="n"/>
      <c r="BU283" s="176" t="n"/>
      <c r="BV283" s="176" t="n"/>
      <c r="BW283" s="176" t="n"/>
      <c r="BX283" s="176" t="n"/>
      <c r="BY283" s="176" t="n"/>
      <c r="BZ283" s="176" t="n"/>
      <c r="CA283" s="176" t="n"/>
      <c r="CB283" s="176" t="n"/>
      <c r="CC283" s="176" t="n"/>
      <c r="CD283" s="176" t="n"/>
      <c r="CE283" s="176" t="n"/>
      <c r="CF283" s="176" t="n"/>
      <c r="CG283" s="176" t="n"/>
      <c r="CH283" s="176" t="n"/>
      <c r="CI283" s="176" t="n"/>
      <c r="CJ283" s="176" t="n"/>
      <c r="CK283" s="176" t="n"/>
      <c r="CL283" s="176" t="n"/>
      <c r="CM283" s="176" t="n"/>
      <c r="CN283" s="176" t="n"/>
      <c r="CO283" s="176" t="n"/>
      <c r="CP283" s="176" t="n"/>
      <c r="CQ283" s="176" t="n"/>
      <c r="CR283" s="176" t="n"/>
      <c r="CS283" s="176" t="n"/>
      <c r="CT283" s="176" t="n"/>
      <c r="CU283" s="176" t="n"/>
      <c r="CV283" s="176" t="n"/>
      <c r="CW283" s="176" t="n"/>
      <c r="CX283" s="176" t="n"/>
      <c r="CY283" s="176" t="n"/>
      <c r="CZ283" s="176" t="n"/>
      <c r="DA283" s="193" t="n"/>
      <c r="DF283" s="194" t="n"/>
      <c r="DG283" s="176" t="n"/>
      <c r="DH283" s="176" t="n"/>
      <c r="DI283" s="193" t="n"/>
      <c r="DN283" s="194" t="n"/>
      <c r="DO283" s="176" t="n"/>
      <c r="DP283" s="176" t="n"/>
      <c r="DQ283" s="176" t="n"/>
      <c r="DR283" s="176" t="n"/>
      <c r="DS283" s="176" t="n"/>
      <c r="DT283" s="176" t="n"/>
      <c r="DU283" s="176" t="n"/>
      <c r="DV283" s="176" t="n"/>
      <c r="DW283" s="176" t="n"/>
      <c r="DX283" s="176" t="n"/>
      <c r="DY283" s="176" t="n"/>
      <c r="DZ283" s="176" t="n"/>
      <c r="EA283" s="176" t="n"/>
      <c r="EB283" s="176" t="n"/>
      <c r="EC283" s="176" t="n"/>
      <c r="ED283" s="176" t="n"/>
      <c r="EE283" s="176" t="n"/>
      <c r="EF283" s="176" t="n"/>
      <c r="EG283" s="176" t="n"/>
      <c r="EH283" s="176" t="n"/>
      <c r="EI283" s="176" t="n"/>
      <c r="EJ283" s="176" t="n"/>
      <c r="EK283" s="176" t="n"/>
      <c r="EL283" s="176" t="n"/>
      <c r="EM283" s="176" t="n"/>
      <c r="EN283" s="176" t="n"/>
      <c r="EO283" s="176" t="n"/>
      <c r="EP283" s="176" t="n"/>
      <c r="EQ283" s="176" t="n"/>
      <c r="ER283" s="176" t="n"/>
      <c r="ES283" s="176" t="n"/>
      <c r="ET283" s="176" t="n"/>
      <c r="EU283" s="176" t="n"/>
      <c r="EV283" s="176" t="n"/>
      <c r="EW283" s="176" t="n"/>
      <c r="EX283" s="176" t="n"/>
      <c r="EY283" s="176" t="n"/>
      <c r="EZ283" s="176" t="n"/>
      <c r="FA283" s="176" t="n"/>
      <c r="FB283" s="176" t="n"/>
      <c r="FC283" s="176" t="n"/>
      <c r="FD283" s="176" t="n"/>
      <c r="FE283" s="176" t="n"/>
      <c r="FF283" s="176" t="n"/>
      <c r="FG283" s="176" t="n"/>
      <c r="FH283" s="176" t="n"/>
      <c r="FI283" s="176" t="n"/>
      <c r="FJ283" s="176" t="n"/>
      <c r="FK283" s="176" t="n"/>
      <c r="FL283" s="176" t="n"/>
      <c r="FM283" s="176" t="n"/>
      <c r="FN283" s="176" t="n"/>
      <c r="FO283" s="176" t="n"/>
      <c r="FP283" s="176" t="n"/>
      <c r="FQ283" s="176" t="n"/>
      <c r="FR283" s="176" t="n"/>
      <c r="FS283" s="176" t="n"/>
      <c r="FT283" s="176" t="n"/>
      <c r="FU283" s="176" t="n"/>
      <c r="FV283" s="176" t="n"/>
      <c r="FW283" s="176" t="n"/>
      <c r="FX283" s="176" t="n"/>
      <c r="FY283" s="176" t="n"/>
      <c r="FZ283" s="176" t="n"/>
      <c r="GA283" s="176" t="n"/>
      <c r="GB283" s="176" t="n"/>
      <c r="GC283" s="176" t="n"/>
      <c r="GD283" s="176" t="n"/>
      <c r="GE283" s="176" t="n"/>
      <c r="GF283" s="176" t="n"/>
      <c r="GG283" s="176" t="n"/>
      <c r="GH283" s="176" t="n"/>
      <c r="GI283" s="176" t="n"/>
      <c r="GJ283" s="176" t="n"/>
      <c r="GK283" s="176" t="n"/>
      <c r="GL283" s="176" t="n"/>
      <c r="GM283" s="176" t="n"/>
      <c r="GN283" s="176" t="n"/>
      <c r="GO283" s="176" t="n"/>
      <c r="GP283" s="176" t="n"/>
      <c r="GQ283" s="176" t="n"/>
      <c r="GR283" s="176" t="n"/>
      <c r="GS283" s="176" t="n"/>
      <c r="GT283" s="176" t="n"/>
      <c r="GU283" s="176" t="n"/>
      <c r="GV283" s="176" t="n"/>
      <c r="GW283" s="176" t="n"/>
      <c r="GX283" s="176" t="n"/>
      <c r="GY283" s="176" t="n"/>
      <c r="GZ283" s="176" t="n"/>
      <c r="HA283" s="176" t="n"/>
      <c r="HB283" s="176" t="n"/>
      <c r="HC283" s="176" t="n"/>
      <c r="HD283" s="176" t="n"/>
      <c r="HE283" s="176" t="n"/>
      <c r="HF283" s="176" t="n"/>
      <c r="HG283" s="176" t="n"/>
      <c r="HH283" s="176" t="n"/>
      <c r="HI283" s="176" t="n"/>
      <c r="HJ283" s="176" t="n"/>
      <c r="HK283" s="176" t="n"/>
      <c r="HL283" s="176" t="n"/>
      <c r="HM283" s="176" t="n"/>
      <c r="HN283" s="176" t="n"/>
      <c r="HO283" s="176" t="n"/>
      <c r="HP283" s="193" t="n"/>
      <c r="HU283" s="194" t="n"/>
      <c r="HV283" s="176" t="n"/>
      <c r="HW283" s="176" t="n"/>
      <c r="HX283" s="193" t="n"/>
      <c r="IC283" s="194" t="n"/>
      <c r="ID283" s="176" t="n"/>
    </row>
    <row r="284" ht="18.75" customHeight="1">
      <c r="A284" s="176" t="n"/>
      <c r="B284" s="176" t="n"/>
      <c r="C284" s="176" t="n"/>
      <c r="D284" s="176" t="n"/>
      <c r="E284" s="176" t="n"/>
      <c r="F284" s="176" t="n"/>
      <c r="G284" s="176" t="n"/>
      <c r="H284" s="176" t="n"/>
      <c r="I284" s="176" t="n"/>
      <c r="J284" s="176" t="n"/>
      <c r="K284" s="176" t="n"/>
      <c r="L284" s="176" t="n"/>
      <c r="M284" s="176" t="n"/>
      <c r="N284" s="176" t="n"/>
      <c r="O284" s="176" t="n"/>
      <c r="P284" s="176" t="n"/>
      <c r="Q284" s="176" t="n"/>
      <c r="R284" s="176" t="n"/>
      <c r="S284" s="176" t="n"/>
      <c r="T284" s="181">
        <f>SWITCH('CONFIGURAÇÃO'!$T$275,"Origem","OFÍCIO","Marcante","","Menor","","Arma","PROPRIEDADE 4","Escudo","","Uniforme","","Item comum","","Ferramenta amaldiçoada","","")</f>
        <v/>
      </c>
      <c r="U284" s="183" t="n"/>
      <c r="V284" s="185" t="n"/>
      <c r="W284" s="182" t="n"/>
      <c r="X284" s="182" t="n"/>
      <c r="Y284" s="183" t="n"/>
      <c r="Z284" s="176" t="n"/>
      <c r="AA284" s="176" t="n"/>
      <c r="AB284" s="181">
        <f>SWITCH('CONFIGURAÇÃO'!$AB$275,"Origem","OFÍCIO","Marcante","","Menor","","Arma","PROPRIEDADE 4","Escudo","","Uniforme","","Item comum","","Ferramenta amaldiçoada","","")</f>
        <v/>
      </c>
      <c r="AC284" s="183" t="n"/>
      <c r="AD284" s="185" t="n"/>
      <c r="AE284" s="182" t="n"/>
      <c r="AF284" s="182" t="n"/>
      <c r="AG284" s="183" t="n"/>
      <c r="AH284" s="176" t="n"/>
      <c r="AI284" s="176" t="n"/>
      <c r="AJ284" s="176" t="n"/>
      <c r="AK284" s="176" t="n"/>
      <c r="AL284" s="176" t="n"/>
      <c r="AM284" s="176" t="n"/>
      <c r="AN284" s="176" t="n"/>
      <c r="AO284" s="176" t="n"/>
      <c r="AP284" s="176" t="n"/>
      <c r="AQ284" s="176" t="n"/>
      <c r="AR284" s="176" t="n"/>
      <c r="AS284" s="176" t="n"/>
      <c r="AT284" s="176" t="n"/>
      <c r="AU284" s="176" t="n"/>
      <c r="AV284" s="176" t="n"/>
      <c r="AW284" s="176" t="n"/>
      <c r="AX284" s="176" t="n"/>
      <c r="AY284" s="176" t="n"/>
      <c r="AZ284" s="176" t="n"/>
      <c r="BA284" s="176" t="n"/>
      <c r="BB284" s="176" t="n"/>
      <c r="BC284" s="176" t="n"/>
      <c r="BD284" s="176" t="n"/>
      <c r="BE284" s="176" t="n"/>
      <c r="BF284" s="176" t="n"/>
      <c r="BG284" s="176" t="n"/>
      <c r="BH284" s="176" t="n"/>
      <c r="BI284" s="176" t="n"/>
      <c r="BJ284" s="176" t="n"/>
      <c r="BK284" s="176" t="n"/>
      <c r="BL284" s="176" t="n"/>
      <c r="BM284" s="176" t="n"/>
      <c r="BN284" s="176" t="n"/>
      <c r="BO284" s="176" t="n"/>
      <c r="BP284" s="176" t="n"/>
      <c r="BQ284" s="176" t="n"/>
      <c r="BR284" s="176" t="n"/>
      <c r="BS284" s="176" t="n"/>
      <c r="BT284" s="176" t="n"/>
      <c r="BU284" s="176" t="n"/>
      <c r="BV284" s="176" t="n"/>
      <c r="BW284" s="176" t="n"/>
      <c r="BX284" s="176" t="n"/>
      <c r="BY284" s="176" t="n"/>
      <c r="BZ284" s="176" t="n"/>
      <c r="CA284" s="176" t="n"/>
      <c r="CB284" s="176" t="n"/>
      <c r="CC284" s="176" t="n"/>
      <c r="CD284" s="176" t="n"/>
      <c r="CE284" s="176" t="n"/>
      <c r="CF284" s="176" t="n"/>
      <c r="CG284" s="176" t="n"/>
      <c r="CH284" s="176" t="n"/>
      <c r="CI284" s="176" t="n"/>
      <c r="CJ284" s="176" t="n"/>
      <c r="CK284" s="176" t="n"/>
      <c r="CL284" s="176" t="n"/>
      <c r="CM284" s="176" t="n"/>
      <c r="CN284" s="176" t="n"/>
      <c r="CO284" s="176" t="n"/>
      <c r="CP284" s="176" t="n"/>
      <c r="CQ284" s="176" t="n"/>
      <c r="CR284" s="176" t="n"/>
      <c r="CS284" s="176" t="n"/>
      <c r="CT284" s="176" t="n"/>
      <c r="CU284" s="176" t="n"/>
      <c r="CV284" s="176" t="n"/>
      <c r="CW284" s="176" t="n"/>
      <c r="CX284" s="176" t="n"/>
      <c r="CY284" s="176" t="n"/>
      <c r="CZ284" s="176" t="n"/>
      <c r="DA284" s="193" t="n"/>
      <c r="DF284" s="194" t="n"/>
      <c r="DG284" s="176" t="n"/>
      <c r="DH284" s="176" t="n"/>
      <c r="DI284" s="193" t="n"/>
      <c r="DN284" s="194" t="n"/>
      <c r="DO284" s="176" t="n"/>
      <c r="DP284" s="176" t="n"/>
      <c r="DQ284" s="176" t="n"/>
      <c r="DR284" s="181" t="inlineStr">
        <is>
          <t>EFEITO E REQUISITOS</t>
        </is>
      </c>
      <c r="DS284" s="182" t="n"/>
      <c r="DT284" s="182" t="n"/>
      <c r="DU284" s="182" t="n"/>
      <c r="DV284" s="182" t="n"/>
      <c r="DW284" s="183" t="n"/>
      <c r="DX284" s="176" t="n"/>
      <c r="DY284" s="176" t="n"/>
      <c r="DZ284" s="181" t="inlineStr">
        <is>
          <t>EFEITO E REQUISITOS</t>
        </is>
      </c>
      <c r="EA284" s="182" t="n"/>
      <c r="EB284" s="182" t="n"/>
      <c r="EC284" s="182" t="n"/>
      <c r="ED284" s="182" t="n"/>
      <c r="EE284" s="183" t="n"/>
      <c r="EF284" s="176" t="n"/>
      <c r="EG284" s="176" t="n"/>
      <c r="EH284" s="176" t="n"/>
      <c r="EI284" s="176" t="n"/>
      <c r="EJ284" s="176" t="n"/>
      <c r="EK284" s="176" t="n"/>
      <c r="EL284" s="176" t="n"/>
      <c r="EM284" s="176" t="n"/>
      <c r="EN284" s="176" t="n"/>
      <c r="EO284" s="176" t="n"/>
      <c r="EP284" s="176" t="n"/>
      <c r="EQ284" s="176" t="n"/>
      <c r="ER284" s="176" t="n"/>
      <c r="ES284" s="176" t="n"/>
      <c r="ET284" s="176" t="n"/>
      <c r="EU284" s="176" t="n"/>
      <c r="EV284" s="176" t="n"/>
      <c r="EW284" s="176" t="n"/>
      <c r="EX284" s="176" t="n"/>
      <c r="EY284" s="176" t="n"/>
      <c r="EZ284" s="176" t="n"/>
      <c r="FA284" s="176" t="n"/>
      <c r="FB284" s="176" t="n"/>
      <c r="FC284" s="176" t="n"/>
      <c r="FD284" s="176" t="n"/>
      <c r="FE284" s="176" t="n"/>
      <c r="FF284" s="176" t="n"/>
      <c r="FG284" s="176" t="n"/>
      <c r="FH284" s="176" t="n"/>
      <c r="FI284" s="176" t="n"/>
      <c r="FJ284" s="176" t="n"/>
      <c r="FK284" s="176" t="n"/>
      <c r="FL284" s="176" t="n"/>
      <c r="FM284" s="176" t="n"/>
      <c r="FN284" s="176" t="n"/>
      <c r="FO284" s="176" t="n"/>
      <c r="FP284" s="176" t="n"/>
      <c r="FQ284" s="176" t="n"/>
      <c r="FR284" s="176" t="n"/>
      <c r="FS284" s="176" t="n"/>
      <c r="FT284" s="176" t="n"/>
      <c r="FU284" s="176" t="n"/>
      <c r="FV284" s="176" t="n"/>
      <c r="FW284" s="176" t="n"/>
      <c r="FX284" s="176" t="n"/>
      <c r="FY284" s="176" t="n"/>
      <c r="FZ284" s="176" t="n"/>
      <c r="GA284" s="176" t="n"/>
      <c r="GB284" s="176" t="n"/>
      <c r="GC284" s="176" t="n"/>
      <c r="GD284" s="176" t="n"/>
      <c r="GE284" s="176" t="n"/>
      <c r="GF284" s="176" t="n"/>
      <c r="GG284" s="176" t="n"/>
      <c r="GH284" s="176" t="n"/>
      <c r="GI284" s="176" t="n"/>
      <c r="GJ284" s="176" t="n"/>
      <c r="GK284" s="176" t="n"/>
      <c r="GL284" s="176" t="n"/>
      <c r="GM284" s="176" t="n"/>
      <c r="GN284" s="176" t="n"/>
      <c r="GO284" s="176" t="n"/>
      <c r="GP284" s="176" t="n"/>
      <c r="GQ284" s="176" t="n"/>
      <c r="GR284" s="176" t="n"/>
      <c r="GS284" s="176" t="n"/>
      <c r="GT284" s="176" t="n"/>
      <c r="GU284" s="176" t="n"/>
      <c r="GV284" s="176" t="n"/>
      <c r="GW284" s="176" t="n"/>
      <c r="GX284" s="176" t="n"/>
      <c r="GY284" s="176" t="n"/>
      <c r="GZ284" s="176" t="n"/>
      <c r="HA284" s="176" t="n"/>
      <c r="HB284" s="176" t="n"/>
      <c r="HC284" s="176" t="n"/>
      <c r="HD284" s="176" t="n"/>
      <c r="HE284" s="176" t="n"/>
      <c r="HF284" s="176" t="n"/>
      <c r="HG284" s="176" t="n"/>
      <c r="HH284" s="176" t="n"/>
      <c r="HI284" s="176" t="n"/>
      <c r="HJ284" s="176" t="n"/>
      <c r="HK284" s="176" t="n"/>
      <c r="HL284" s="176" t="n"/>
      <c r="HM284" s="176" t="n"/>
      <c r="HN284" s="176" t="n"/>
      <c r="HO284" s="176" t="n"/>
      <c r="HP284" s="193" t="n"/>
      <c r="HU284" s="194" t="n"/>
      <c r="HV284" s="176" t="n"/>
      <c r="HW284" s="176" t="n"/>
      <c r="HX284" s="193" t="n"/>
      <c r="IC284" s="194" t="n"/>
      <c r="ID284" s="176" t="n"/>
    </row>
    <row r="285" ht="18.75" customHeight="1">
      <c r="A285" s="176" t="n"/>
      <c r="B285" s="176" t="n"/>
      <c r="C285" s="176" t="n"/>
      <c r="D285" s="176" t="n"/>
      <c r="E285" s="176" t="n"/>
      <c r="F285" s="176" t="n"/>
      <c r="G285" s="176" t="n"/>
      <c r="H285" s="176" t="n"/>
      <c r="I285" s="176" t="n"/>
      <c r="J285" s="176" t="n"/>
      <c r="K285" s="176" t="n"/>
      <c r="L285" s="176" t="n"/>
      <c r="M285" s="176" t="n"/>
      <c r="N285" s="176" t="n"/>
      <c r="O285" s="176" t="n"/>
      <c r="P285" s="176" t="n"/>
      <c r="Q285" s="176" t="n"/>
      <c r="R285" s="176" t="n"/>
      <c r="S285" s="176" t="n"/>
      <c r="T285" s="181">
        <f>SWITCH('CONFIGURAÇÃO'!$T$275,"Origem","TALENTO CE 4","Marcante","FREQUÊNCIA","Menor","FREQUÊNCIA","Arma","DADO","Escudo","PROTEÇÃO","Uniforme","PROTEÇÃO","Item comum","VOLUME","Ferramenta amaldiçoada","ESTIGMA","")</f>
        <v/>
      </c>
      <c r="U285" s="183" t="n"/>
      <c r="V285" s="185" t="n"/>
      <c r="W285" s="182" t="n"/>
      <c r="X285" s="182" t="n"/>
      <c r="Y285" s="183" t="n"/>
      <c r="Z285" s="176" t="n"/>
      <c r="AA285" s="176" t="n"/>
      <c r="AB285" s="181">
        <f>SWITCH('CONFIGURAÇÃO'!$AB$275,"Origem","TALENTO CE 4","Marcante","FREQUÊNCIA","Menor","FREQUÊNCIA","Arma","DADO","Escudo","PROTEÇÃO","Uniforme","PROTEÇÃO","Item comum","VOLUME","Ferramenta amaldiçoada","ESTIGMA","")</f>
        <v/>
      </c>
      <c r="AC285" s="183" t="n"/>
      <c r="AD285" s="185" t="n"/>
      <c r="AE285" s="182" t="n"/>
      <c r="AF285" s="182" t="n"/>
      <c r="AG285" s="183" t="n"/>
      <c r="AH285" s="176" t="n"/>
      <c r="AI285" s="176" t="n"/>
      <c r="AJ285" s="176" t="n"/>
      <c r="AK285" s="176" t="n"/>
      <c r="AL285" s="176" t="n"/>
      <c r="AM285" s="176" t="n"/>
      <c r="AN285" s="176" t="n"/>
      <c r="AO285" s="176" t="n"/>
      <c r="AP285" s="176" t="n"/>
      <c r="AQ285" s="176" t="n"/>
      <c r="AR285" s="176" t="n"/>
      <c r="AS285" s="176" t="n"/>
      <c r="AT285" s="176" t="n"/>
      <c r="AU285" s="176" t="n"/>
      <c r="AV285" s="176" t="n"/>
      <c r="AW285" s="176" t="n"/>
      <c r="AX285" s="176" t="n"/>
      <c r="AY285" s="176" t="n"/>
      <c r="AZ285" s="176" t="n"/>
      <c r="BA285" s="176" t="n"/>
      <c r="BB285" s="176" t="n"/>
      <c r="BC285" s="176" t="n"/>
      <c r="BD285" s="176" t="n"/>
      <c r="BE285" s="176" t="n"/>
      <c r="BF285" s="176" t="n"/>
      <c r="BG285" s="176" t="n"/>
      <c r="BH285" s="176" t="n"/>
      <c r="BI285" s="176" t="n"/>
      <c r="BJ285" s="176" t="n"/>
      <c r="BK285" s="176" t="n"/>
      <c r="BL285" s="176" t="n"/>
      <c r="BM285" s="176" t="n"/>
      <c r="BN285" s="176" t="n"/>
      <c r="BO285" s="176" t="n"/>
      <c r="BP285" s="176" t="n"/>
      <c r="BQ285" s="176" t="n"/>
      <c r="BR285" s="176" t="n"/>
      <c r="BS285" s="176" t="n"/>
      <c r="BT285" s="176" t="n"/>
      <c r="BU285" s="176" t="n"/>
      <c r="BV285" s="176" t="n"/>
      <c r="BW285" s="176" t="n"/>
      <c r="BX285" s="176" t="n"/>
      <c r="BY285" s="176" t="n"/>
      <c r="BZ285" s="176" t="n"/>
      <c r="CA285" s="176" t="n"/>
      <c r="CB285" s="176" t="n"/>
      <c r="CC285" s="176" t="n"/>
      <c r="CD285" s="176" t="n"/>
      <c r="CE285" s="176" t="n"/>
      <c r="CF285" s="176" t="n"/>
      <c r="CG285" s="176" t="n"/>
      <c r="CH285" s="176" t="n"/>
      <c r="CI285" s="176" t="n"/>
      <c r="CJ285" s="176" t="n"/>
      <c r="CK285" s="176" t="n"/>
      <c r="CL285" s="176" t="n"/>
      <c r="CM285" s="176" t="n"/>
      <c r="CN285" s="176" t="n"/>
      <c r="CO285" s="176" t="n"/>
      <c r="CP285" s="176" t="n"/>
      <c r="CQ285" s="176" t="n"/>
      <c r="CR285" s="176" t="n"/>
      <c r="CS285" s="176" t="n"/>
      <c r="CT285" s="176" t="n"/>
      <c r="CU285" s="176" t="n"/>
      <c r="CV285" s="176" t="n"/>
      <c r="CW285" s="176" t="n"/>
      <c r="CX285" s="176" t="n"/>
      <c r="CY285" s="176" t="n"/>
      <c r="CZ285" s="176" t="n"/>
      <c r="DA285" s="189" t="n"/>
      <c r="DB285" s="190" t="n"/>
      <c r="DC285" s="190" t="n"/>
      <c r="DD285" s="190" t="n"/>
      <c r="DE285" s="190" t="n"/>
      <c r="DF285" s="191" t="n"/>
      <c r="DG285" s="176" t="n"/>
      <c r="DH285" s="176" t="n"/>
      <c r="DI285" s="189" t="n"/>
      <c r="DJ285" s="190" t="n"/>
      <c r="DK285" s="190" t="n"/>
      <c r="DL285" s="190" t="n"/>
      <c r="DM285" s="190" t="n"/>
      <c r="DN285" s="191" t="n"/>
      <c r="DO285" s="176" t="n"/>
      <c r="DP285" s="176" t="n"/>
      <c r="DQ285" s="176" t="n"/>
      <c r="DR285" s="192" t="n"/>
      <c r="DS285" s="187" t="n"/>
      <c r="DT285" s="187" t="n"/>
      <c r="DU285" s="187" t="n"/>
      <c r="DV285" s="187" t="n"/>
      <c r="DW285" s="188" t="n"/>
      <c r="DX285" s="176" t="n"/>
      <c r="DY285" s="176" t="n"/>
      <c r="DZ285" s="192" t="n"/>
      <c r="EA285" s="187" t="n"/>
      <c r="EB285" s="187" t="n"/>
      <c r="EC285" s="187" t="n"/>
      <c r="ED285" s="187" t="n"/>
      <c r="EE285" s="188" t="n"/>
      <c r="EF285" s="176" t="n"/>
      <c r="EG285" s="176" t="n"/>
      <c r="EH285" s="176" t="n"/>
      <c r="EI285" s="176" t="n"/>
      <c r="EJ285" s="176" t="n"/>
      <c r="EK285" s="176" t="n"/>
      <c r="EL285" s="176" t="n"/>
      <c r="EM285" s="176" t="n"/>
      <c r="EN285" s="176" t="n"/>
      <c r="EO285" s="176" t="n"/>
      <c r="EP285" s="176" t="n"/>
      <c r="EQ285" s="176" t="n"/>
      <c r="ER285" s="176" t="n"/>
      <c r="ES285" s="176" t="n"/>
      <c r="ET285" s="176" t="n"/>
      <c r="EU285" s="176" t="n"/>
      <c r="EV285" s="176" t="n"/>
      <c r="EW285" s="176" t="n"/>
      <c r="EX285" s="176" t="n"/>
      <c r="EY285" s="176" t="n"/>
      <c r="EZ285" s="176" t="n"/>
      <c r="FA285" s="176" t="n"/>
      <c r="FB285" s="176" t="n"/>
      <c r="FC285" s="176" t="n"/>
      <c r="FD285" s="176" t="n"/>
      <c r="FE285" s="176" t="n"/>
      <c r="FF285" s="176" t="n"/>
      <c r="FG285" s="176" t="n"/>
      <c r="FH285" s="176" t="n"/>
      <c r="FI285" s="176" t="n"/>
      <c r="FJ285" s="176" t="n"/>
      <c r="FK285" s="176" t="n"/>
      <c r="FL285" s="176" t="n"/>
      <c r="FM285" s="176" t="n"/>
      <c r="FN285" s="176" t="n"/>
      <c r="FO285" s="176" t="n"/>
      <c r="FP285" s="176" t="n"/>
      <c r="FQ285" s="176" t="n"/>
      <c r="FR285" s="176" t="n"/>
      <c r="FS285" s="176" t="n"/>
      <c r="FT285" s="176" t="n"/>
      <c r="FU285" s="176" t="n"/>
      <c r="FV285" s="176" t="n"/>
      <c r="FW285" s="176" t="n"/>
      <c r="FX285" s="176" t="n"/>
      <c r="FY285" s="176" t="n"/>
      <c r="FZ285" s="176" t="n"/>
      <c r="GA285" s="176" t="n"/>
      <c r="GB285" s="176" t="n"/>
      <c r="GC285" s="176" t="n"/>
      <c r="GD285" s="176" t="n"/>
      <c r="GE285" s="176" t="n"/>
      <c r="GF285" s="176" t="n"/>
      <c r="GG285" s="176" t="n"/>
      <c r="GH285" s="176" t="n"/>
      <c r="GI285" s="176" t="n"/>
      <c r="GJ285" s="176" t="n"/>
      <c r="GK285" s="176" t="n"/>
      <c r="GL285" s="176" t="n"/>
      <c r="GM285" s="176" t="n"/>
      <c r="GN285" s="176" t="n"/>
      <c r="GO285" s="176" t="n"/>
      <c r="GP285" s="176" t="n"/>
      <c r="GQ285" s="176" t="n"/>
      <c r="GR285" s="176" t="n"/>
      <c r="GS285" s="176" t="n"/>
      <c r="GT285" s="176" t="n"/>
      <c r="GU285" s="176" t="n"/>
      <c r="GV285" s="176" t="n"/>
      <c r="GW285" s="176" t="n"/>
      <c r="GX285" s="176" t="n"/>
      <c r="GY285" s="176" t="n"/>
      <c r="GZ285" s="176" t="n"/>
      <c r="HA285" s="176" t="n"/>
      <c r="HB285" s="176" t="n"/>
      <c r="HC285" s="176" t="n"/>
      <c r="HD285" s="176" t="n"/>
      <c r="HE285" s="176" t="n"/>
      <c r="HF285" s="176" t="n"/>
      <c r="HG285" s="176" t="n"/>
      <c r="HH285" s="176" t="n"/>
      <c r="HI285" s="176" t="n"/>
      <c r="HJ285" s="176" t="n"/>
      <c r="HK285" s="176" t="n"/>
      <c r="HL285" s="176" t="n"/>
      <c r="HM285" s="176" t="n"/>
      <c r="HN285" s="176" t="n"/>
      <c r="HO285" s="176" t="n"/>
      <c r="HP285" s="193" t="n"/>
      <c r="HU285" s="194" t="n"/>
      <c r="HV285" s="176" t="n"/>
      <c r="HW285" s="176" t="n"/>
      <c r="HX285" s="193" t="n"/>
      <c r="IC285" s="194" t="n"/>
      <c r="ID285" s="176" t="n"/>
    </row>
    <row r="286" ht="18.75" customHeight="1">
      <c r="A286" s="176" t="n"/>
      <c r="B286" s="176" t="n"/>
      <c r="C286" s="176" t="n"/>
      <c r="D286" s="176" t="n"/>
      <c r="E286" s="176" t="n"/>
      <c r="F286" s="176" t="n"/>
      <c r="G286" s="176" t="n"/>
      <c r="H286" s="176" t="n"/>
      <c r="I286" s="176" t="n"/>
      <c r="J286" s="176" t="n"/>
      <c r="K286" s="176" t="n"/>
      <c r="L286" s="176" t="n"/>
      <c r="M286" s="176" t="n"/>
      <c r="N286" s="176" t="n"/>
      <c r="O286" s="176" t="n"/>
      <c r="P286" s="176" t="n"/>
      <c r="Q286" s="176" t="n"/>
      <c r="R286" s="176" t="n"/>
      <c r="S286" s="176" t="n"/>
      <c r="T286" s="181">
        <f>SWITCH('CONFIGURAÇÃO'!$T$275,"Origem","","Marcante","","Menor","","Arma","FORÇA","Escudo","TETO DE DESTREZA","Uniforme","TETO DE DESTREZA","Item comum","PREÇO","Ferramenta amaldiçoada","DESGASTE","")</f>
        <v/>
      </c>
      <c r="U286" s="183" t="n"/>
      <c r="V286" s="185" t="n"/>
      <c r="W286" s="182" t="n"/>
      <c r="X286" s="182" t="n"/>
      <c r="Y286" s="183" t="n"/>
      <c r="Z286" s="176" t="n"/>
      <c r="AA286" s="176" t="n"/>
      <c r="AB286" s="181">
        <f>SWITCH('CONFIGURAÇÃO'!$AB$275,"Origem","","Marcante","","Menor","","Arma","FORÇA","Escudo","TETO DE DESTREZA","Uniforme","TETO DE DESTREZA","Item comum","PREÇO","Ferramenta amaldiçoada","DESGASTE","")</f>
        <v/>
      </c>
      <c r="AC286" s="183" t="n"/>
      <c r="AD286" s="185" t="n"/>
      <c r="AE286" s="182" t="n"/>
      <c r="AF286" s="182" t="n"/>
      <c r="AG286" s="183" t="n"/>
      <c r="AH286" s="176" t="n"/>
      <c r="AI286" s="176" t="n"/>
      <c r="AJ286" s="176" t="n"/>
      <c r="AK286" s="176" t="n"/>
      <c r="AL286" s="176" t="n"/>
      <c r="AM286" s="176" t="n"/>
      <c r="AN286" s="176" t="n"/>
      <c r="AO286" s="176" t="n"/>
      <c r="AP286" s="176" t="n"/>
      <c r="AQ286" s="176" t="n"/>
      <c r="AR286" s="176" t="n"/>
      <c r="AS286" s="176" t="n"/>
      <c r="AT286" s="176" t="n"/>
      <c r="AU286" s="176" t="n"/>
      <c r="AV286" s="176" t="n"/>
      <c r="AW286" s="176" t="n"/>
      <c r="AX286" s="176" t="n"/>
      <c r="AY286" s="176" t="n"/>
      <c r="AZ286" s="176" t="n"/>
      <c r="BA286" s="176" t="n"/>
      <c r="BB286" s="176" t="n"/>
      <c r="BC286" s="176" t="n"/>
      <c r="BD286" s="176" t="n"/>
      <c r="BE286" s="176" t="n"/>
      <c r="BF286" s="176" t="n"/>
      <c r="BG286" s="176" t="n"/>
      <c r="BH286" s="176" t="n"/>
      <c r="BI286" s="176" t="n"/>
      <c r="BJ286" s="176" t="n"/>
      <c r="BK286" s="176" t="n"/>
      <c r="BL286" s="176" t="n"/>
      <c r="BM286" s="176" t="n"/>
      <c r="BN286" s="176" t="n"/>
      <c r="BO286" s="176" t="n"/>
      <c r="BP286" s="176" t="n"/>
      <c r="BQ286" s="176" t="n"/>
      <c r="BR286" s="176" t="n"/>
      <c r="BS286" s="176" t="n"/>
      <c r="BT286" s="176" t="n"/>
      <c r="BU286" s="176" t="n"/>
      <c r="BV286" s="176" t="n"/>
      <c r="BW286" s="176" t="n"/>
      <c r="BX286" s="176" t="n"/>
      <c r="BY286" s="176" t="n"/>
      <c r="BZ286" s="176" t="n"/>
      <c r="CA286" s="176" t="n"/>
      <c r="CB286" s="176" t="n"/>
      <c r="CC286" s="176" t="n"/>
      <c r="CD286" s="176" t="n"/>
      <c r="CE286" s="176" t="n"/>
      <c r="CF286" s="176" t="n"/>
      <c r="CG286" s="176" t="n"/>
      <c r="CH286" s="176" t="n"/>
      <c r="CI286" s="176" t="n"/>
      <c r="CJ286" s="176" t="n"/>
      <c r="CK286" s="176" t="n"/>
      <c r="CL286" s="176" t="n"/>
      <c r="CM286" s="176" t="n"/>
      <c r="CN286" s="176" t="n"/>
      <c r="CO286" s="176" t="n"/>
      <c r="CP286" s="176" t="n"/>
      <c r="CQ286" s="176" t="n"/>
      <c r="CR286" s="176" t="n"/>
      <c r="CS286" s="176" t="n"/>
      <c r="CT286" s="176" t="n"/>
      <c r="CU286" s="176" t="n"/>
      <c r="CV286" s="176" t="n"/>
      <c r="CW286" s="176" t="n"/>
      <c r="CX286" s="176" t="n"/>
      <c r="CY286" s="176" t="n"/>
      <c r="CZ286" s="176" t="n"/>
      <c r="DA286" s="176" t="n"/>
      <c r="DB286" s="176" t="n"/>
      <c r="DC286" s="176" t="n"/>
      <c r="DD286" s="176" t="n"/>
      <c r="DE286" s="176" t="n"/>
      <c r="DF286" s="176" t="n"/>
      <c r="DG286" s="176" t="n"/>
      <c r="DH286" s="176" t="n"/>
      <c r="DI286" s="176" t="n"/>
      <c r="DJ286" s="176" t="n"/>
      <c r="DK286" s="176" t="n"/>
      <c r="DL286" s="176" t="n"/>
      <c r="DM286" s="176" t="n"/>
      <c r="DN286" s="176" t="n"/>
      <c r="DO286" s="176" t="n"/>
      <c r="DP286" s="176" t="n"/>
      <c r="DQ286" s="176" t="n"/>
      <c r="DR286" s="193" t="n"/>
      <c r="DW286" s="194" t="n"/>
      <c r="DX286" s="176" t="n"/>
      <c r="DY286" s="176" t="n"/>
      <c r="DZ286" s="193" t="n"/>
      <c r="EE286" s="194" t="n"/>
      <c r="EF286" s="176" t="n"/>
      <c r="EG286" s="176" t="n"/>
      <c r="EH286" s="176" t="n"/>
      <c r="EI286" s="176" t="n"/>
      <c r="EJ286" s="176" t="n"/>
      <c r="EK286" s="176" t="n"/>
      <c r="EL286" s="176" t="n"/>
      <c r="EM286" s="176" t="n"/>
      <c r="EN286" s="176" t="n"/>
      <c r="EO286" s="176" t="n"/>
      <c r="EP286" s="176" t="n"/>
      <c r="EQ286" s="176" t="n"/>
      <c r="ER286" s="176" t="n"/>
      <c r="ES286" s="176" t="n"/>
      <c r="ET286" s="176" t="n"/>
      <c r="EU286" s="176" t="n"/>
      <c r="EV286" s="176" t="n"/>
      <c r="EW286" s="176" t="n"/>
      <c r="EX286" s="176" t="n"/>
      <c r="EY286" s="176" t="n"/>
      <c r="EZ286" s="176" t="n"/>
      <c r="FA286" s="176" t="n"/>
      <c r="FB286" s="176" t="n"/>
      <c r="FC286" s="176" t="n"/>
      <c r="FD286" s="176" t="n"/>
      <c r="FE286" s="176" t="n"/>
      <c r="FF286" s="176" t="n"/>
      <c r="FG286" s="176" t="n"/>
      <c r="FH286" s="176" t="n"/>
      <c r="FI286" s="176" t="n"/>
      <c r="FJ286" s="176" t="n"/>
      <c r="FK286" s="176" t="n"/>
      <c r="FL286" s="176" t="n"/>
      <c r="FM286" s="176" t="n"/>
      <c r="FN286" s="176" t="n"/>
      <c r="FO286" s="176" t="n"/>
      <c r="FP286" s="176" t="n"/>
      <c r="FQ286" s="176" t="n"/>
      <c r="FR286" s="176" t="n"/>
      <c r="FS286" s="176" t="n"/>
      <c r="FT286" s="176" t="n"/>
      <c r="FU286" s="176" t="n"/>
      <c r="FV286" s="176" t="n"/>
      <c r="FW286" s="176" t="n"/>
      <c r="FX286" s="176" t="n"/>
      <c r="FY286" s="176" t="n"/>
      <c r="FZ286" s="176" t="n"/>
      <c r="GA286" s="176" t="n"/>
      <c r="GB286" s="176" t="n"/>
      <c r="GC286" s="176" t="n"/>
      <c r="GD286" s="176" t="n"/>
      <c r="GE286" s="176" t="n"/>
      <c r="GF286" s="176" t="n"/>
      <c r="GG286" s="176" t="n"/>
      <c r="GH286" s="176" t="n"/>
      <c r="GI286" s="176" t="n"/>
      <c r="GJ286" s="176" t="n"/>
      <c r="GK286" s="176" t="n"/>
      <c r="GL286" s="176" t="n"/>
      <c r="GM286" s="176" t="n"/>
      <c r="GN286" s="176" t="n"/>
      <c r="GO286" s="176" t="n"/>
      <c r="GP286" s="176" t="n"/>
      <c r="GQ286" s="176" t="n"/>
      <c r="GR286" s="176" t="n"/>
      <c r="GS286" s="176" t="n"/>
      <c r="GT286" s="176" t="n"/>
      <c r="GU286" s="176" t="n"/>
      <c r="GV286" s="176" t="n"/>
      <c r="GW286" s="176" t="n"/>
      <c r="GX286" s="176" t="n"/>
      <c r="GY286" s="176" t="n"/>
      <c r="GZ286" s="176" t="n"/>
      <c r="HA286" s="176" t="n"/>
      <c r="HB286" s="176" t="n"/>
      <c r="HC286" s="176" t="n"/>
      <c r="HD286" s="176" t="n"/>
      <c r="HE286" s="176" t="n"/>
      <c r="HF286" s="176" t="n"/>
      <c r="HG286" s="176" t="n"/>
      <c r="HH286" s="176" t="n"/>
      <c r="HI286" s="176" t="n"/>
      <c r="HJ286" s="176" t="n"/>
      <c r="HK286" s="176" t="n"/>
      <c r="HL286" s="176" t="n"/>
      <c r="HM286" s="176" t="n"/>
      <c r="HN286" s="176" t="n"/>
      <c r="HO286" s="176" t="n"/>
      <c r="HP286" s="193" t="n"/>
      <c r="HU286" s="194" t="n"/>
      <c r="HV286" s="176" t="n"/>
      <c r="HW286" s="176" t="n"/>
      <c r="HX286" s="193" t="n"/>
      <c r="IC286" s="194" t="n"/>
      <c r="ID286" s="176" t="n"/>
    </row>
    <row r="287" ht="18.75" customHeight="1">
      <c r="A287" s="176" t="n"/>
      <c r="B287" s="176" t="n"/>
      <c r="C287" s="176" t="n"/>
      <c r="D287" s="176" t="n"/>
      <c r="E287" s="176" t="n"/>
      <c r="F287" s="176" t="n"/>
      <c r="G287" s="176" t="n"/>
      <c r="H287" s="176" t="n"/>
      <c r="I287" s="176" t="n"/>
      <c r="J287" s="176" t="n"/>
      <c r="K287" s="176" t="n"/>
      <c r="L287" s="176" t="n"/>
      <c r="M287" s="176" t="n"/>
      <c r="N287" s="176" t="n"/>
      <c r="O287" s="176" t="n"/>
      <c r="P287" s="176" t="n"/>
      <c r="Q287" s="176" t="n"/>
      <c r="R287" s="176" t="n"/>
      <c r="S287" s="176" t="n"/>
      <c r="T287" s="181">
        <f>SWITCH('CONFIGURAÇÃO'!$T$275,"Origem","","Marcante","","Menor","","Arma","VOLUME","Escudo","FORÇA","Uniforme","FORÇA","Item comum","","Ferramenta amaldiçoada","VOLUME","")</f>
        <v/>
      </c>
      <c r="U287" s="183" t="n"/>
      <c r="V287" s="185" t="n"/>
      <c r="W287" s="182" t="n"/>
      <c r="X287" s="182" t="n"/>
      <c r="Y287" s="183" t="n"/>
      <c r="Z287" s="176" t="n"/>
      <c r="AA287" s="176" t="n"/>
      <c r="AB287" s="181">
        <f>SWITCH('CONFIGURAÇÃO'!$AB$275,"Origem","","Marcante","","Menor","","Arma","VOLUME","Escudo","FORÇA","Uniforme","FORÇA","Item comum","","Ferramenta amaldiçoada","VOLUME","")</f>
        <v/>
      </c>
      <c r="AC287" s="183" t="n"/>
      <c r="AD287" s="185" t="n"/>
      <c r="AE287" s="182" t="n"/>
      <c r="AF287" s="182" t="n"/>
      <c r="AG287" s="183" t="n"/>
      <c r="AH287" s="176" t="n"/>
      <c r="AI287" s="176" t="n"/>
      <c r="AJ287" s="176" t="n"/>
      <c r="AK287" s="176" t="n"/>
      <c r="AL287" s="176" t="n"/>
      <c r="AM287" s="176" t="n"/>
      <c r="AN287" s="176" t="n"/>
      <c r="AO287" s="176" t="n"/>
      <c r="AP287" s="176" t="n"/>
      <c r="AQ287" s="176" t="n"/>
      <c r="AR287" s="176" t="n"/>
      <c r="AS287" s="176" t="n"/>
      <c r="AT287" s="176" t="n"/>
      <c r="AU287" s="176" t="n"/>
      <c r="AV287" s="176" t="n"/>
      <c r="AW287" s="176" t="n"/>
      <c r="AX287" s="176" t="n"/>
      <c r="AY287" s="176" t="n"/>
      <c r="AZ287" s="176" t="n"/>
      <c r="BA287" s="176" t="n"/>
      <c r="BB287" s="176" t="n"/>
      <c r="BC287" s="176" t="n"/>
      <c r="BD287" s="176" t="n"/>
      <c r="BE287" s="176" t="n"/>
      <c r="BF287" s="176" t="n"/>
      <c r="BG287" s="176" t="n"/>
      <c r="BH287" s="176" t="n"/>
      <c r="BI287" s="176" t="n"/>
      <c r="BJ287" s="176" t="n"/>
      <c r="BK287" s="176" t="n"/>
      <c r="BL287" s="176" t="n"/>
      <c r="BM287" s="176" t="n"/>
      <c r="BN287" s="176" t="n"/>
      <c r="BO287" s="176" t="n"/>
      <c r="BP287" s="176" t="n"/>
      <c r="BQ287" s="176" t="n"/>
      <c r="BR287" s="176" t="n"/>
      <c r="BS287" s="176" t="n"/>
      <c r="BT287" s="176" t="n"/>
      <c r="BU287" s="176" t="n"/>
      <c r="BV287" s="176" t="n"/>
      <c r="BW287" s="176" t="n"/>
      <c r="BX287" s="176" t="n"/>
      <c r="BY287" s="176" t="n"/>
      <c r="BZ287" s="176" t="n"/>
      <c r="CA287" s="176" t="n"/>
      <c r="CB287" s="176" t="n"/>
      <c r="CC287" s="176" t="n"/>
      <c r="CD287" s="176" t="n"/>
      <c r="CE287" s="176" t="n"/>
      <c r="CF287" s="176" t="n"/>
      <c r="CG287" s="176" t="n"/>
      <c r="CH287" s="176" t="n"/>
      <c r="CI287" s="176" t="n"/>
      <c r="CJ287" s="176" t="n"/>
      <c r="CK287" s="176" t="n"/>
      <c r="CL287" s="176" t="n"/>
      <c r="CM287" s="176" t="n"/>
      <c r="CN287" s="176" t="n"/>
      <c r="CO287" s="176" t="n"/>
      <c r="CP287" s="176" t="n"/>
      <c r="CQ287" s="176" t="n"/>
      <c r="CR287" s="176" t="n"/>
      <c r="CS287" s="176" t="n"/>
      <c r="CT287" s="176" t="n"/>
      <c r="CU287" s="176" t="n"/>
      <c r="CV287" s="176" t="n"/>
      <c r="CW287" s="176" t="n"/>
      <c r="CX287" s="176" t="n"/>
      <c r="CY287" s="176" t="n"/>
      <c r="CZ287" s="176" t="n"/>
      <c r="DA287" s="181" t="inlineStr">
        <is>
          <t>EFEITO</t>
        </is>
      </c>
      <c r="DB287" s="182" t="n"/>
      <c r="DC287" s="182" t="n"/>
      <c r="DD287" s="182" t="n"/>
      <c r="DE287" s="182" t="n"/>
      <c r="DF287" s="183" t="n"/>
      <c r="DG287" s="176" t="n"/>
      <c r="DH287" s="176" t="n"/>
      <c r="DI287" s="181" t="inlineStr">
        <is>
          <t>EFEITO</t>
        </is>
      </c>
      <c r="DJ287" s="182" t="n"/>
      <c r="DK287" s="182" t="n"/>
      <c r="DL287" s="182" t="n"/>
      <c r="DM287" s="182" t="n"/>
      <c r="DN287" s="183" t="n"/>
      <c r="DO287" s="176" t="n"/>
      <c r="DP287" s="176" t="n"/>
      <c r="DQ287" s="176" t="n"/>
      <c r="DR287" s="193" t="n"/>
      <c r="DW287" s="194" t="n"/>
      <c r="DX287" s="176" t="n"/>
      <c r="DY287" s="176" t="n"/>
      <c r="DZ287" s="193" t="n"/>
      <c r="EE287" s="194" t="n"/>
      <c r="EF287" s="176" t="n"/>
      <c r="EG287" s="176" t="n"/>
      <c r="EH287" s="176" t="n"/>
      <c r="EI287" s="176" t="n"/>
      <c r="EJ287" s="176" t="n"/>
      <c r="EK287" s="176" t="n"/>
      <c r="EL287" s="176" t="n"/>
      <c r="EM287" s="176" t="n"/>
      <c r="EN287" s="176" t="n"/>
      <c r="EO287" s="176" t="n"/>
      <c r="EP287" s="176" t="n"/>
      <c r="EQ287" s="176" t="n"/>
      <c r="ER287" s="176" t="n"/>
      <c r="ES287" s="176" t="n"/>
      <c r="ET287" s="176" t="n"/>
      <c r="EU287" s="176" t="n"/>
      <c r="EV287" s="176" t="n"/>
      <c r="EW287" s="176" t="n"/>
      <c r="EX287" s="176" t="n"/>
      <c r="EY287" s="176" t="n"/>
      <c r="EZ287" s="176" t="n"/>
      <c r="FA287" s="176" t="n"/>
      <c r="FB287" s="176" t="n"/>
      <c r="FC287" s="176" t="n"/>
      <c r="FD287" s="176" t="n"/>
      <c r="FE287" s="176" t="n"/>
      <c r="FF287" s="176" t="n"/>
      <c r="FG287" s="176" t="n"/>
      <c r="FH287" s="176" t="n"/>
      <c r="FI287" s="176" t="n"/>
      <c r="FJ287" s="176" t="n"/>
      <c r="FK287" s="176" t="n"/>
      <c r="FL287" s="176" t="n"/>
      <c r="FM287" s="176" t="n"/>
      <c r="FN287" s="176" t="n"/>
      <c r="FO287" s="176" t="n"/>
      <c r="FP287" s="176" t="n"/>
      <c r="FQ287" s="176" t="n"/>
      <c r="FR287" s="176" t="n"/>
      <c r="FS287" s="176" t="n"/>
      <c r="FT287" s="176" t="n"/>
      <c r="FU287" s="176" t="n"/>
      <c r="FV287" s="176" t="n"/>
      <c r="FW287" s="176" t="n"/>
      <c r="FX287" s="176" t="n"/>
      <c r="FY287" s="176" t="n"/>
      <c r="FZ287" s="176" t="n"/>
      <c r="GA287" s="176" t="n"/>
      <c r="GB287" s="176" t="n"/>
      <c r="GC287" s="176" t="n"/>
      <c r="GD287" s="176" t="n"/>
      <c r="GE287" s="176" t="n"/>
      <c r="GF287" s="176" t="n"/>
      <c r="GG287" s="176" t="n"/>
      <c r="GH287" s="176" t="n"/>
      <c r="GI287" s="176" t="n"/>
      <c r="GJ287" s="176" t="n"/>
      <c r="GK287" s="176" t="n"/>
      <c r="GL287" s="176" t="n"/>
      <c r="GM287" s="176" t="n"/>
      <c r="GN287" s="176" t="n"/>
      <c r="GO287" s="176" t="n"/>
      <c r="GP287" s="176" t="n"/>
      <c r="GQ287" s="176" t="n"/>
      <c r="GR287" s="176" t="n"/>
      <c r="GS287" s="176" t="n"/>
      <c r="GT287" s="176" t="n"/>
      <c r="GU287" s="176" t="n"/>
      <c r="GV287" s="176" t="n"/>
      <c r="GW287" s="176" t="n"/>
      <c r="GX287" s="176" t="n"/>
      <c r="GY287" s="176" t="n"/>
      <c r="GZ287" s="176" t="n"/>
      <c r="HA287" s="176" t="n"/>
      <c r="HB287" s="176" t="n"/>
      <c r="HC287" s="176" t="n"/>
      <c r="HD287" s="176" t="n"/>
      <c r="HE287" s="176" t="n"/>
      <c r="HF287" s="176" t="n"/>
      <c r="HG287" s="176" t="n"/>
      <c r="HH287" s="176" t="n"/>
      <c r="HI287" s="176" t="n"/>
      <c r="HJ287" s="176" t="n"/>
      <c r="HK287" s="176" t="n"/>
      <c r="HL287" s="176" t="n"/>
      <c r="HM287" s="176" t="n"/>
      <c r="HN287" s="176" t="n"/>
      <c r="HO287" s="176" t="n"/>
      <c r="HP287" s="189" t="n"/>
      <c r="HQ287" s="190" t="n"/>
      <c r="HR287" s="190" t="n"/>
      <c r="HS287" s="190" t="n"/>
      <c r="HT287" s="190" t="n"/>
      <c r="HU287" s="191" t="n"/>
      <c r="HV287" s="176" t="n"/>
      <c r="HW287" s="176" t="n"/>
      <c r="HX287" s="189" t="n"/>
      <c r="HY287" s="190" t="n"/>
      <c r="HZ287" s="190" t="n"/>
      <c r="IA287" s="190" t="n"/>
      <c r="IB287" s="190" t="n"/>
      <c r="IC287" s="191" t="n"/>
      <c r="ID287" s="176" t="n"/>
    </row>
    <row r="288" ht="18.75" customHeight="1">
      <c r="A288" s="176" t="n"/>
      <c r="B288" s="176" t="n"/>
      <c r="C288" s="176" t="n"/>
      <c r="D288" s="176" t="n"/>
      <c r="E288" s="176" t="n"/>
      <c r="F288" s="176" t="n"/>
      <c r="G288" s="176" t="n"/>
      <c r="H288" s="176" t="n"/>
      <c r="I288" s="176" t="n"/>
      <c r="J288" s="176" t="n"/>
      <c r="K288" s="176" t="n"/>
      <c r="L288" s="176" t="n"/>
      <c r="M288" s="176" t="n"/>
      <c r="N288" s="176" t="n"/>
      <c r="O288" s="176" t="n"/>
      <c r="P288" s="176" t="n"/>
      <c r="Q288" s="176" t="n"/>
      <c r="R288" s="176" t="n"/>
      <c r="S288" s="176" t="n"/>
      <c r="T288" s="181">
        <f>SWITCH('CONFIGURAÇÃO'!$T$275,"Origem","","Marcante","","Menor","","Arma","ALCANCE","Escudo","VOLUME","Uniforme","VOLUME","Item comum","","Ferramenta amaldiçoada","PREÇO","")</f>
        <v/>
      </c>
      <c r="U288" s="183" t="n"/>
      <c r="V288" s="185" t="n"/>
      <c r="W288" s="182" t="n"/>
      <c r="X288" s="182" t="n"/>
      <c r="Y288" s="183" t="n"/>
      <c r="Z288" s="176" t="n"/>
      <c r="AA288" s="176" t="n"/>
      <c r="AB288" s="181">
        <f>SWITCH('CONFIGURAÇÃO'!$AB$275,"Origem","","Marcante","","Menor","","Arma","ALCANCE","Escudo","VOLUME","Uniforme","VOLUME","Item comum","","Ferramenta amaldiçoada","PREÇO","")</f>
        <v/>
      </c>
      <c r="AC288" s="183" t="n"/>
      <c r="AD288" s="185" t="n"/>
      <c r="AE288" s="182" t="n"/>
      <c r="AF288" s="182" t="n"/>
      <c r="AG288" s="183" t="n"/>
      <c r="AH288" s="176" t="n"/>
      <c r="AI288" s="176" t="n"/>
      <c r="AJ288" s="176" t="n"/>
      <c r="AK288" s="176" t="n"/>
      <c r="AL288" s="176" t="n"/>
      <c r="AM288" s="176" t="n"/>
      <c r="AN288" s="176" t="n"/>
      <c r="AO288" s="176" t="n"/>
      <c r="AP288" s="176" t="n"/>
      <c r="AQ288" s="176" t="n"/>
      <c r="AR288" s="176" t="n"/>
      <c r="AS288" s="176" t="n"/>
      <c r="AT288" s="176" t="n"/>
      <c r="AU288" s="176" t="n"/>
      <c r="AV288" s="176" t="n"/>
      <c r="AW288" s="176" t="n"/>
      <c r="AX288" s="176" t="n"/>
      <c r="AY288" s="176" t="n"/>
      <c r="AZ288" s="176" t="n"/>
      <c r="BA288" s="176" t="n"/>
      <c r="BB288" s="176" t="n"/>
      <c r="BC288" s="176" t="n"/>
      <c r="BD288" s="176" t="n"/>
      <c r="BE288" s="176" t="n"/>
      <c r="BF288" s="176" t="n"/>
      <c r="BG288" s="176" t="n"/>
      <c r="BH288" s="176" t="n"/>
      <c r="BI288" s="176" t="n"/>
      <c r="BJ288" s="176" t="n"/>
      <c r="BK288" s="176" t="n"/>
      <c r="BL288" s="176" t="n"/>
      <c r="BM288" s="176" t="n"/>
      <c r="BN288" s="176" t="n"/>
      <c r="BO288" s="176" t="n"/>
      <c r="BP288" s="176" t="n"/>
      <c r="BQ288" s="176" t="n"/>
      <c r="BR288" s="176" t="n"/>
      <c r="BS288" s="176" t="n"/>
      <c r="BT288" s="176" t="n"/>
      <c r="BU288" s="176" t="n"/>
      <c r="BV288" s="176" t="n"/>
      <c r="BW288" s="176" t="n"/>
      <c r="BX288" s="176" t="n"/>
      <c r="BY288" s="176" t="n"/>
      <c r="BZ288" s="176" t="n"/>
      <c r="CA288" s="176" t="n"/>
      <c r="CB288" s="176" t="n"/>
      <c r="CC288" s="176" t="n"/>
      <c r="CD288" s="176" t="n"/>
      <c r="CE288" s="176" t="n"/>
      <c r="CF288" s="176" t="n"/>
      <c r="CG288" s="176" t="n"/>
      <c r="CH288" s="176" t="n"/>
      <c r="CI288" s="176" t="n"/>
      <c r="CJ288" s="176" t="n"/>
      <c r="CK288" s="176" t="n"/>
      <c r="CL288" s="176" t="n"/>
      <c r="CM288" s="176" t="n"/>
      <c r="CN288" s="176" t="n"/>
      <c r="CO288" s="176" t="n"/>
      <c r="CP288" s="176" t="n"/>
      <c r="CQ288" s="176" t="n"/>
      <c r="CR288" s="176" t="n"/>
      <c r="CS288" s="176" t="n"/>
      <c r="CT288" s="176" t="n"/>
      <c r="CU288" s="176" t="n"/>
      <c r="CV288" s="176" t="n"/>
      <c r="CW288" s="176" t="n"/>
      <c r="CX288" s="176" t="n"/>
      <c r="CY288" s="176" t="n"/>
      <c r="CZ288" s="176" t="n"/>
      <c r="DA288" s="192" t="n"/>
      <c r="DB288" s="187" t="n"/>
      <c r="DC288" s="187" t="n"/>
      <c r="DD288" s="187" t="n"/>
      <c r="DE288" s="187" t="n"/>
      <c r="DF288" s="188" t="n"/>
      <c r="DG288" s="176" t="n"/>
      <c r="DH288" s="176" t="n"/>
      <c r="DI288" s="192" t="n"/>
      <c r="DJ288" s="187" t="n"/>
      <c r="DK288" s="187" t="n"/>
      <c r="DL288" s="187" t="n"/>
      <c r="DM288" s="187" t="n"/>
      <c r="DN288" s="188" t="n"/>
      <c r="DO288" s="176" t="n"/>
      <c r="DP288" s="176" t="n"/>
      <c r="DQ288" s="176" t="n"/>
      <c r="DR288" s="193" t="n"/>
      <c r="DW288" s="194" t="n"/>
      <c r="DX288" s="176" t="n"/>
      <c r="DY288" s="176" t="n"/>
      <c r="DZ288" s="193" t="n"/>
      <c r="EE288" s="194" t="n"/>
      <c r="EF288" s="176" t="n"/>
      <c r="EG288" s="176" t="n"/>
      <c r="EH288" s="176" t="n"/>
      <c r="EI288" s="176" t="n"/>
      <c r="EJ288" s="176" t="n"/>
      <c r="EK288" s="176" t="n"/>
      <c r="EL288" s="176" t="n"/>
      <c r="EM288" s="176" t="n"/>
      <c r="EN288" s="176" t="n"/>
      <c r="EO288" s="176" t="n"/>
      <c r="EP288" s="176" t="n"/>
      <c r="EQ288" s="176" t="n"/>
      <c r="ER288" s="176" t="n"/>
      <c r="ES288" s="176" t="n"/>
      <c r="ET288" s="176" t="n"/>
      <c r="EU288" s="176" t="n"/>
      <c r="EV288" s="176" t="n"/>
      <c r="EW288" s="176" t="n"/>
      <c r="EX288" s="176" t="n"/>
      <c r="EY288" s="176" t="n"/>
      <c r="EZ288" s="176" t="n"/>
      <c r="FA288" s="176" t="n"/>
      <c r="FB288" s="176" t="n"/>
      <c r="FC288" s="176" t="n"/>
      <c r="FD288" s="176" t="n"/>
      <c r="FE288" s="176" t="n"/>
      <c r="FF288" s="176" t="n"/>
      <c r="FG288" s="176" t="n"/>
      <c r="FH288" s="176" t="n"/>
      <c r="FI288" s="176" t="n"/>
      <c r="FJ288" s="176" t="n"/>
      <c r="FK288" s="176" t="n"/>
      <c r="FL288" s="176" t="n"/>
      <c r="FM288" s="176" t="n"/>
      <c r="FN288" s="176" t="n"/>
      <c r="FO288" s="176" t="n"/>
      <c r="FP288" s="176" t="n"/>
      <c r="FQ288" s="176" t="n"/>
      <c r="FR288" s="176" t="n"/>
      <c r="FS288" s="176" t="n"/>
      <c r="FT288" s="176" t="n"/>
      <c r="FU288" s="176" t="n"/>
      <c r="FV288" s="176" t="n"/>
      <c r="FW288" s="176" t="n"/>
      <c r="FX288" s="176" t="n"/>
      <c r="FY288" s="176" t="n"/>
      <c r="FZ288" s="176" t="n"/>
      <c r="GA288" s="176" t="n"/>
      <c r="GB288" s="176" t="n"/>
      <c r="GC288" s="176" t="n"/>
      <c r="GD288" s="176" t="n"/>
      <c r="GE288" s="176" t="n"/>
      <c r="GF288" s="176" t="n"/>
      <c r="GG288" s="176" t="n"/>
      <c r="GH288" s="176" t="n"/>
      <c r="GI288" s="176" t="n"/>
      <c r="GJ288" s="176" t="n"/>
      <c r="GK288" s="176" t="n"/>
      <c r="GL288" s="176" t="n"/>
      <c r="GM288" s="176" t="n"/>
      <c r="GN288" s="176" t="n"/>
      <c r="GO288" s="176" t="n"/>
      <c r="GP288" s="176" t="n"/>
      <c r="GQ288" s="176" t="n"/>
      <c r="GR288" s="176" t="n"/>
      <c r="GS288" s="176" t="n"/>
      <c r="GT288" s="176" t="n"/>
      <c r="GU288" s="176" t="n"/>
      <c r="GV288" s="176" t="n"/>
      <c r="GW288" s="176" t="n"/>
      <c r="GX288" s="176" t="n"/>
      <c r="GY288" s="176" t="n"/>
      <c r="GZ288" s="176" t="n"/>
      <c r="HA288" s="176" t="n"/>
      <c r="HB288" s="176" t="n"/>
      <c r="HC288" s="176" t="n"/>
      <c r="HD288" s="176" t="n"/>
      <c r="HE288" s="176" t="n"/>
      <c r="HF288" s="176" t="n"/>
      <c r="HG288" s="176" t="n"/>
      <c r="HH288" s="176" t="n"/>
      <c r="HI288" s="176" t="n"/>
      <c r="HJ288" s="176" t="n"/>
      <c r="HK288" s="176" t="n"/>
      <c r="HL288" s="176" t="n"/>
      <c r="HM288" s="176" t="n"/>
      <c r="HN288" s="176" t="n"/>
      <c r="HO288" s="176" t="n"/>
      <c r="HP288" s="176" t="n"/>
      <c r="HQ288" s="176" t="n"/>
      <c r="HR288" s="176" t="n"/>
      <c r="HS288" s="176" t="n"/>
      <c r="HT288" s="176" t="n"/>
      <c r="HU288" s="176" t="n"/>
      <c r="HV288" s="176" t="n"/>
      <c r="HW288" s="176" t="n"/>
      <c r="HX288" s="176" t="n"/>
      <c r="HY288" s="176" t="n"/>
      <c r="HZ288" s="176" t="n"/>
      <c r="IA288" s="176" t="n"/>
      <c r="IB288" s="176" t="n"/>
      <c r="IC288" s="176" t="n"/>
      <c r="ID288" s="176" t="n"/>
    </row>
    <row r="289" ht="18.75" customHeight="1">
      <c r="A289" s="176" t="n"/>
      <c r="B289" s="176" t="n"/>
      <c r="C289" s="176" t="n"/>
      <c r="D289" s="176" t="n"/>
      <c r="E289" s="176" t="n"/>
      <c r="F289" s="176" t="n"/>
      <c r="G289" s="176" t="n"/>
      <c r="H289" s="176" t="n"/>
      <c r="I289" s="176" t="n"/>
      <c r="J289" s="176" t="n"/>
      <c r="K289" s="176" t="n"/>
      <c r="L289" s="176" t="n"/>
      <c r="M289" s="176" t="n"/>
      <c r="N289" s="176" t="n"/>
      <c r="O289" s="176" t="n"/>
      <c r="P289" s="176" t="n"/>
      <c r="Q289" s="176" t="n"/>
      <c r="R289" s="176" t="n"/>
      <c r="S289" s="176" t="n"/>
      <c r="T289" s="181">
        <f>SWITCH('CONFIGURAÇÃO'!$T$275,"Origem","","Marcante","","Menor","","Arma","RECARGA","Escudo","PREÇO","Uniforme","PREÇO","Item comum","","Ferramenta amaldiçoada","","")</f>
        <v/>
      </c>
      <c r="U289" s="183" t="n"/>
      <c r="V289" s="185" t="n"/>
      <c r="W289" s="182" t="n"/>
      <c r="X289" s="182" t="n"/>
      <c r="Y289" s="183" t="n"/>
      <c r="Z289" s="176" t="n"/>
      <c r="AA289" s="176" t="n"/>
      <c r="AB289" s="181">
        <f>SWITCH('CONFIGURAÇÃO'!$AB$275,"Origem","","Marcante","","Menor","","Arma","RECARGA","Escudo","PREÇO","Uniforme","PREÇO","Item comum","","Ferramenta amaldiçoada","","")</f>
        <v/>
      </c>
      <c r="AC289" s="183" t="n"/>
      <c r="AD289" s="185" t="n"/>
      <c r="AE289" s="182" t="n"/>
      <c r="AF289" s="182" t="n"/>
      <c r="AG289" s="183" t="n"/>
      <c r="AH289" s="176" t="n"/>
      <c r="AI289" s="176" t="n"/>
      <c r="AJ289" s="176" t="n"/>
      <c r="AK289" s="176" t="n"/>
      <c r="AL289" s="176" t="n"/>
      <c r="AM289" s="176" t="n"/>
      <c r="AN289" s="176" t="n"/>
      <c r="AO289" s="176" t="n"/>
      <c r="AP289" s="176" t="n"/>
      <c r="AQ289" s="176" t="n"/>
      <c r="AR289" s="176" t="n"/>
      <c r="AS289" s="176" t="n"/>
      <c r="AT289" s="176" t="n"/>
      <c r="AU289" s="176" t="n"/>
      <c r="AV289" s="176" t="n"/>
      <c r="AW289" s="176" t="n"/>
      <c r="AX289" s="176" t="n"/>
      <c r="AY289" s="176" t="n"/>
      <c r="AZ289" s="176" t="n"/>
      <c r="BA289" s="176" t="n"/>
      <c r="BB289" s="176" t="n"/>
      <c r="BC289" s="176" t="n"/>
      <c r="BD289" s="176" t="n"/>
      <c r="BE289" s="176" t="n"/>
      <c r="BF289" s="176" t="n"/>
      <c r="BG289" s="176" t="n"/>
      <c r="BH289" s="176" t="n"/>
      <c r="BI289" s="176" t="n"/>
      <c r="BJ289" s="176" t="n"/>
      <c r="BK289" s="176" t="n"/>
      <c r="BL289" s="176" t="n"/>
      <c r="BM289" s="176" t="n"/>
      <c r="BN289" s="176" t="n"/>
      <c r="BO289" s="176" t="n"/>
      <c r="BP289" s="176" t="n"/>
      <c r="BQ289" s="176" t="n"/>
      <c r="BR289" s="176" t="n"/>
      <c r="BS289" s="176" t="n"/>
      <c r="BT289" s="176" t="n"/>
      <c r="BU289" s="176" t="n"/>
      <c r="BV289" s="176" t="n"/>
      <c r="BW289" s="176" t="n"/>
      <c r="BX289" s="176" t="n"/>
      <c r="BY289" s="176" t="n"/>
      <c r="BZ289" s="176" t="n"/>
      <c r="CA289" s="176" t="n"/>
      <c r="CB289" s="176" t="n"/>
      <c r="CC289" s="176" t="n"/>
      <c r="CD289" s="176" t="n"/>
      <c r="CE289" s="176" t="n"/>
      <c r="CF289" s="176" t="n"/>
      <c r="CG289" s="176" t="n"/>
      <c r="CH289" s="176" t="n"/>
      <c r="CI289" s="176" t="n"/>
      <c r="CJ289" s="176" t="n"/>
      <c r="CK289" s="176" t="n"/>
      <c r="CL289" s="176" t="n"/>
      <c r="CM289" s="176" t="n"/>
      <c r="CN289" s="176" t="n"/>
      <c r="CO289" s="176" t="n"/>
      <c r="CP289" s="176" t="n"/>
      <c r="CQ289" s="176" t="n"/>
      <c r="CR289" s="176" t="n"/>
      <c r="CS289" s="176" t="n"/>
      <c r="CT289" s="176" t="n"/>
      <c r="CU289" s="176" t="n"/>
      <c r="CV289" s="176" t="n"/>
      <c r="CW289" s="176" t="n"/>
      <c r="CX289" s="176" t="n"/>
      <c r="CY289" s="176" t="n"/>
      <c r="CZ289" s="176" t="n"/>
      <c r="DA289" s="193" t="n"/>
      <c r="DF289" s="194" t="n"/>
      <c r="DG289" s="176" t="n"/>
      <c r="DH289" s="176" t="n"/>
      <c r="DI289" s="193" t="n"/>
      <c r="DN289" s="194" t="n"/>
      <c r="DO289" s="176" t="n"/>
      <c r="DP289" s="176" t="n"/>
      <c r="DQ289" s="176" t="n"/>
      <c r="DR289" s="193" t="n"/>
      <c r="DW289" s="194" t="n"/>
      <c r="DX289" s="176" t="n"/>
      <c r="DY289" s="176" t="n"/>
      <c r="DZ289" s="193" t="n"/>
      <c r="EE289" s="194" t="n"/>
      <c r="EF289" s="176" t="n"/>
      <c r="EG289" s="176" t="n"/>
      <c r="EH289" s="176" t="n"/>
      <c r="EI289" s="176" t="n"/>
      <c r="EJ289" s="176" t="n"/>
      <c r="EK289" s="176" t="n"/>
      <c r="EL289" s="176" t="n"/>
      <c r="EM289" s="176" t="n"/>
      <c r="EN289" s="176" t="n"/>
      <c r="EO289" s="176" t="n"/>
      <c r="EP289" s="176" t="n"/>
      <c r="EQ289" s="176" t="n"/>
      <c r="ER289" s="176" t="n"/>
      <c r="ES289" s="176" t="n"/>
      <c r="ET289" s="176" t="n"/>
      <c r="EU289" s="176" t="n"/>
      <c r="EV289" s="176" t="n"/>
      <c r="EW289" s="176" t="n"/>
      <c r="EX289" s="176" t="n"/>
      <c r="EY289" s="176" t="n"/>
      <c r="EZ289" s="176" t="n"/>
      <c r="FA289" s="176" t="n"/>
      <c r="FB289" s="176" t="n"/>
      <c r="FC289" s="176" t="n"/>
      <c r="FD289" s="176" t="n"/>
      <c r="FE289" s="176" t="n"/>
      <c r="FF289" s="176" t="n"/>
      <c r="FG289" s="176" t="n"/>
      <c r="FH289" s="176" t="n"/>
      <c r="FI289" s="176" t="n"/>
      <c r="FJ289" s="176" t="n"/>
      <c r="FK289" s="176" t="n"/>
      <c r="FL289" s="176" t="n"/>
      <c r="FM289" s="176" t="n"/>
      <c r="FN289" s="176" t="n"/>
      <c r="FO289" s="176" t="n"/>
      <c r="FP289" s="176" t="n"/>
      <c r="FQ289" s="176" t="n"/>
      <c r="FR289" s="176" t="n"/>
      <c r="FS289" s="176" t="n"/>
      <c r="FT289" s="176" t="n"/>
      <c r="FU289" s="176" t="n"/>
      <c r="FV289" s="176" t="n"/>
      <c r="FW289" s="176" t="n"/>
      <c r="FX289" s="176" t="n"/>
      <c r="FY289" s="176" t="n"/>
      <c r="FZ289" s="176" t="n"/>
      <c r="GA289" s="176" t="n"/>
      <c r="GB289" s="176" t="n"/>
      <c r="GC289" s="176" t="n"/>
      <c r="GD289" s="176" t="n"/>
      <c r="GE289" s="176" t="n"/>
      <c r="GF289" s="176" t="n"/>
      <c r="GG289" s="176" t="n"/>
      <c r="GH289" s="176" t="n"/>
      <c r="GI289" s="176" t="n"/>
      <c r="GJ289" s="176" t="n"/>
      <c r="GK289" s="176" t="n"/>
      <c r="GL289" s="176" t="n"/>
      <c r="GM289" s="176" t="n"/>
      <c r="GN289" s="176" t="n"/>
      <c r="GO289" s="176" t="n"/>
      <c r="GP289" s="176" t="n"/>
      <c r="GQ289" s="176" t="n"/>
      <c r="GR289" s="176" t="n"/>
      <c r="GS289" s="176" t="n"/>
      <c r="GT289" s="176" t="n"/>
      <c r="GU289" s="176" t="n"/>
      <c r="GV289" s="176" t="n"/>
      <c r="GW289" s="176" t="n"/>
      <c r="GX289" s="176" t="n"/>
      <c r="GY289" s="176" t="n"/>
      <c r="GZ289" s="176" t="n"/>
      <c r="HA289" s="176" t="n"/>
      <c r="HB289" s="176" t="n"/>
      <c r="HC289" s="176" t="n"/>
      <c r="HD289" s="176" t="n"/>
      <c r="HE289" s="176" t="n"/>
      <c r="HF289" s="176" t="n"/>
      <c r="HG289" s="176" t="n"/>
      <c r="HH289" s="176" t="n"/>
      <c r="HI289" s="176" t="n"/>
      <c r="HJ289" s="176" t="n"/>
      <c r="HK289" s="176" t="n"/>
      <c r="HL289" s="176" t="n"/>
      <c r="HM289" s="176" t="n"/>
      <c r="HN289" s="176" t="n"/>
      <c r="HO289" s="176" t="n"/>
      <c r="HP289" s="180">
        <f>IF('DADOS_ENTIDADES'!$AG$20="","","⚠ "&amp;'DADOS_ENTIDADES'!$AG$20)</f>
        <v/>
      </c>
      <c r="HV289" s="176" t="n"/>
      <c r="HW289" s="176" t="n"/>
      <c r="HX289" s="180">
        <f>IF('DADOS_ENTIDADES'!$AG$21="","","⚠ "&amp;'DADOS_ENTIDADES'!$AG$21)</f>
        <v/>
      </c>
      <c r="ID289" s="176" t="n"/>
    </row>
    <row r="290" ht="18.75" customHeight="1">
      <c r="A290" s="176" t="n"/>
      <c r="B290" s="176" t="n"/>
      <c r="C290" s="176" t="n"/>
      <c r="D290" s="176" t="n"/>
      <c r="E290" s="176" t="n"/>
      <c r="F290" s="176" t="n"/>
      <c r="G290" s="176" t="n"/>
      <c r="H290" s="176" t="n"/>
      <c r="I290" s="176" t="n"/>
      <c r="J290" s="176" t="n"/>
      <c r="K290" s="176" t="n"/>
      <c r="L290" s="176" t="n"/>
      <c r="M290" s="176" t="n"/>
      <c r="N290" s="176" t="n"/>
      <c r="O290" s="176" t="n"/>
      <c r="P290" s="176" t="n"/>
      <c r="Q290" s="176" t="n"/>
      <c r="R290" s="176" t="n"/>
      <c r="S290" s="176" t="n"/>
      <c r="T290" s="181">
        <f>SWITCH('CONFIGURAÇÃO'!$T$275,"Origem","","Marcante","","Menor","","Arma","PREÇO","Escudo","","Uniforme","","Item comum","","Ferramenta amaldiçoada","","")</f>
        <v/>
      </c>
      <c r="U290" s="183" t="n"/>
      <c r="V290" s="185" t="n"/>
      <c r="W290" s="182" t="n"/>
      <c r="X290" s="182" t="n"/>
      <c r="Y290" s="183" t="n"/>
      <c r="Z290" s="176" t="n"/>
      <c r="AA290" s="176" t="n"/>
      <c r="AB290" s="181">
        <f>SWITCH('CONFIGURAÇÃO'!$AB$275,"Origem","","Marcante","","Menor","","Arma","PREÇO","Escudo","","Uniforme","","Item comum","","Ferramenta amaldiçoada","","")</f>
        <v/>
      </c>
      <c r="AC290" s="183" t="n"/>
      <c r="AD290" s="185" t="n"/>
      <c r="AE290" s="182" t="n"/>
      <c r="AF290" s="182" t="n"/>
      <c r="AG290" s="183" t="n"/>
      <c r="AH290" s="176" t="n"/>
      <c r="AI290" s="176" t="n"/>
      <c r="AJ290" s="176" t="n"/>
      <c r="AK290" s="176" t="n"/>
      <c r="AL290" s="176" t="n"/>
      <c r="AM290" s="176" t="n"/>
      <c r="AN290" s="176" t="n"/>
      <c r="AO290" s="176" t="n"/>
      <c r="AP290" s="176" t="n"/>
      <c r="AQ290" s="176" t="n"/>
      <c r="AR290" s="176" t="n"/>
      <c r="AS290" s="176" t="n"/>
      <c r="AT290" s="176" t="n"/>
      <c r="AU290" s="176" t="n"/>
      <c r="AV290" s="176" t="n"/>
      <c r="AW290" s="176" t="n"/>
      <c r="AX290" s="176" t="n"/>
      <c r="AY290" s="176" t="n"/>
      <c r="AZ290" s="176" t="n"/>
      <c r="BA290" s="176" t="n"/>
      <c r="BB290" s="176" t="n"/>
      <c r="BC290" s="176" t="n"/>
      <c r="BD290" s="176" t="n"/>
      <c r="BE290" s="176" t="n"/>
      <c r="BF290" s="176" t="n"/>
      <c r="BG290" s="176" t="n"/>
      <c r="BH290" s="176" t="n"/>
      <c r="BI290" s="176" t="n"/>
      <c r="BJ290" s="176" t="n"/>
      <c r="BK290" s="176" t="n"/>
      <c r="BL290" s="176" t="n"/>
      <c r="BM290" s="176" t="n"/>
      <c r="BN290" s="176" t="n"/>
      <c r="BO290" s="176" t="n"/>
      <c r="BP290" s="176" t="n"/>
      <c r="BQ290" s="176" t="n"/>
      <c r="BR290" s="176" t="n"/>
      <c r="BS290" s="176" t="n"/>
      <c r="BT290" s="176" t="n"/>
      <c r="BU290" s="176" t="n"/>
      <c r="BV290" s="176" t="n"/>
      <c r="BW290" s="176" t="n"/>
      <c r="BX290" s="176" t="n"/>
      <c r="BY290" s="176" t="n"/>
      <c r="BZ290" s="176" t="n"/>
      <c r="CA290" s="176" t="n"/>
      <c r="CB290" s="176" t="n"/>
      <c r="CC290" s="176" t="n"/>
      <c r="CD290" s="176" t="n"/>
      <c r="CE290" s="176" t="n"/>
      <c r="CF290" s="176" t="n"/>
      <c r="CG290" s="176" t="n"/>
      <c r="CH290" s="176" t="n"/>
      <c r="CI290" s="176" t="n"/>
      <c r="CJ290" s="176" t="n"/>
      <c r="CK290" s="176" t="n"/>
      <c r="CL290" s="176" t="n"/>
      <c r="CM290" s="176" t="n"/>
      <c r="CN290" s="176" t="n"/>
      <c r="CO290" s="176" t="n"/>
      <c r="CP290" s="176" t="n"/>
      <c r="CQ290" s="176" t="n"/>
      <c r="CR290" s="176" t="n"/>
      <c r="CS290" s="176" t="n"/>
      <c r="CT290" s="176" t="n"/>
      <c r="CU290" s="176" t="n"/>
      <c r="CV290" s="176" t="n"/>
      <c r="CW290" s="176" t="n"/>
      <c r="CX290" s="176" t="n"/>
      <c r="CY290" s="176" t="n"/>
      <c r="CZ290" s="176" t="n"/>
      <c r="DA290" s="193" t="n"/>
      <c r="DF290" s="194" t="n"/>
      <c r="DG290" s="176" t="n"/>
      <c r="DH290" s="176" t="n"/>
      <c r="DI290" s="193" t="n"/>
      <c r="DN290" s="194" t="n"/>
      <c r="DO290" s="176" t="n"/>
      <c r="DP290" s="176" t="n"/>
      <c r="DQ290" s="176" t="n"/>
      <c r="DR290" s="193" t="n"/>
      <c r="DW290" s="194" t="n"/>
      <c r="DX290" s="176" t="n"/>
      <c r="DY290" s="176" t="n"/>
      <c r="DZ290" s="193" t="n"/>
      <c r="EE290" s="194" t="n"/>
      <c r="EF290" s="176" t="n"/>
      <c r="EG290" s="176" t="n"/>
      <c r="EH290" s="176" t="n"/>
      <c r="EI290" s="176" t="n"/>
      <c r="EJ290" s="176" t="n"/>
      <c r="EK290" s="176" t="n"/>
      <c r="EL290" s="176" t="n"/>
      <c r="EM290" s="176" t="n"/>
      <c r="EN290" s="176" t="n"/>
      <c r="EO290" s="176" t="n"/>
      <c r="EP290" s="176" t="n"/>
      <c r="EQ290" s="176" t="n"/>
      <c r="ER290" s="176" t="n"/>
      <c r="ES290" s="176" t="n"/>
      <c r="ET290" s="176" t="n"/>
      <c r="EU290" s="176" t="n"/>
      <c r="EV290" s="176" t="n"/>
      <c r="EW290" s="176" t="n"/>
      <c r="EX290" s="176" t="n"/>
      <c r="EY290" s="176" t="n"/>
      <c r="EZ290" s="176" t="n"/>
      <c r="FA290" s="176" t="n"/>
      <c r="FB290" s="176" t="n"/>
      <c r="FC290" s="176" t="n"/>
      <c r="FD290" s="176" t="n"/>
      <c r="FE290" s="176" t="n"/>
      <c r="FF290" s="176" t="n"/>
      <c r="FG290" s="176" t="n"/>
      <c r="FH290" s="176" t="n"/>
      <c r="FI290" s="176" t="n"/>
      <c r="FJ290" s="176" t="n"/>
      <c r="FK290" s="176" t="n"/>
      <c r="FL290" s="176" t="n"/>
      <c r="FM290" s="176" t="n"/>
      <c r="FN290" s="176" t="n"/>
      <c r="FO290" s="176" t="n"/>
      <c r="FP290" s="176" t="n"/>
      <c r="FQ290" s="176" t="n"/>
      <c r="FR290" s="176" t="n"/>
      <c r="FS290" s="176" t="n"/>
      <c r="FT290" s="176" t="n"/>
      <c r="FU290" s="176" t="n"/>
      <c r="FV290" s="176" t="n"/>
      <c r="FW290" s="176" t="n"/>
      <c r="FX290" s="176" t="n"/>
      <c r="FY290" s="176" t="n"/>
      <c r="FZ290" s="176" t="n"/>
      <c r="GA290" s="176" t="n"/>
      <c r="GB290" s="176" t="n"/>
      <c r="GC290" s="176" t="n"/>
      <c r="GD290" s="176" t="n"/>
      <c r="GE290" s="176" t="n"/>
      <c r="GF290" s="176" t="n"/>
      <c r="GG290" s="176" t="n"/>
      <c r="GH290" s="176" t="n"/>
      <c r="GI290" s="176" t="n"/>
      <c r="GJ290" s="176" t="n"/>
      <c r="GK290" s="176" t="n"/>
      <c r="GL290" s="176" t="n"/>
      <c r="GM290" s="176" t="n"/>
      <c r="GN290" s="176" t="n"/>
      <c r="GO290" s="176" t="n"/>
      <c r="GP290" s="176" t="n"/>
      <c r="GQ290" s="176" t="n"/>
      <c r="GR290" s="176" t="n"/>
      <c r="GS290" s="176" t="n"/>
      <c r="GT290" s="176" t="n"/>
      <c r="GU290" s="176" t="n"/>
      <c r="GV290" s="176" t="n"/>
      <c r="GW290" s="176" t="n"/>
      <c r="GX290" s="176" t="n"/>
      <c r="GY290" s="176" t="n"/>
      <c r="GZ290" s="176" t="n"/>
      <c r="HA290" s="176" t="n"/>
      <c r="HB290" s="176" t="n"/>
      <c r="HC290" s="176" t="n"/>
      <c r="HD290" s="176" t="n"/>
      <c r="HE290" s="176" t="n"/>
      <c r="HF290" s="176" t="n"/>
      <c r="HG290" s="176" t="n"/>
      <c r="HH290" s="176" t="n"/>
      <c r="HI290" s="176" t="n"/>
      <c r="HJ290" s="176" t="n"/>
      <c r="HK290" s="176" t="n"/>
      <c r="HL290" s="176" t="n"/>
      <c r="HM290" s="176" t="n"/>
      <c r="HN290" s="176" t="n"/>
      <c r="HO290" s="176" t="n"/>
      <c r="HV290" s="176" t="n"/>
      <c r="HW290" s="176" t="n"/>
      <c r="ID290" s="176" t="n"/>
    </row>
    <row r="291" ht="18.75" customHeight="1">
      <c r="A291" s="176" t="n"/>
      <c r="B291" s="176" t="n"/>
      <c r="C291" s="176" t="n"/>
      <c r="D291" s="176" t="n"/>
      <c r="E291" s="176" t="n"/>
      <c r="F291" s="176" t="n"/>
      <c r="G291" s="176" t="n"/>
      <c r="H291" s="176" t="n"/>
      <c r="I291" s="176" t="n"/>
      <c r="J291" s="176" t="n"/>
      <c r="K291" s="176" t="n"/>
      <c r="L291" s="176" t="n"/>
      <c r="M291" s="176" t="n"/>
      <c r="N291" s="176" t="n"/>
      <c r="O291" s="176" t="n"/>
      <c r="P291" s="176" t="n"/>
      <c r="Q291" s="176" t="n"/>
      <c r="R291" s="176" t="n"/>
      <c r="S291" s="176" t="n"/>
      <c r="T291" s="181" t="inlineStr">
        <is>
          <t>EFEITO · DESCRIÇÃO</t>
        </is>
      </c>
      <c r="U291" s="182" t="n"/>
      <c r="V291" s="182" t="n"/>
      <c r="W291" s="182" t="n"/>
      <c r="X291" s="182" t="n"/>
      <c r="Y291" s="183" t="n"/>
      <c r="Z291" s="176" t="n"/>
      <c r="AA291" s="176" t="n"/>
      <c r="AB291" s="181" t="inlineStr">
        <is>
          <t>EFEITO · DESCRIÇÃO</t>
        </is>
      </c>
      <c r="AC291" s="182" t="n"/>
      <c r="AD291" s="182" t="n"/>
      <c r="AE291" s="182" t="n"/>
      <c r="AF291" s="182" t="n"/>
      <c r="AG291" s="183" t="n"/>
      <c r="AH291" s="176" t="n"/>
      <c r="AI291" s="176" t="n"/>
      <c r="AJ291" s="176" t="n"/>
      <c r="AK291" s="176" t="n"/>
      <c r="AL291" s="176" t="n"/>
      <c r="AM291" s="176" t="n"/>
      <c r="AN291" s="176" t="n"/>
      <c r="AO291" s="176" t="n"/>
      <c r="AP291" s="176" t="n"/>
      <c r="AQ291" s="176" t="n"/>
      <c r="AR291" s="176" t="n"/>
      <c r="AS291" s="176" t="n"/>
      <c r="AT291" s="176" t="n"/>
      <c r="AU291" s="176" t="n"/>
      <c r="AV291" s="176" t="n"/>
      <c r="AW291" s="176" t="n"/>
      <c r="AX291" s="176" t="n"/>
      <c r="AY291" s="176" t="n"/>
      <c r="AZ291" s="176" t="n"/>
      <c r="BA291" s="176" t="n"/>
      <c r="BB291" s="176" t="n"/>
      <c r="BC291" s="176" t="n"/>
      <c r="BD291" s="176" t="n"/>
      <c r="BE291" s="176" t="n"/>
      <c r="BF291" s="176" t="n"/>
      <c r="BG291" s="176" t="n"/>
      <c r="BH291" s="176" t="n"/>
      <c r="BI291" s="176" t="n"/>
      <c r="BJ291" s="176" t="n"/>
      <c r="BK291" s="176" t="n"/>
      <c r="BL291" s="176" t="n"/>
      <c r="BM291" s="176" t="n"/>
      <c r="BN291" s="176" t="n"/>
      <c r="BO291" s="176" t="n"/>
      <c r="BP291" s="176" t="n"/>
      <c r="BQ291" s="176" t="n"/>
      <c r="BR291" s="176" t="n"/>
      <c r="BS291" s="176" t="n"/>
      <c r="BT291" s="176" t="n"/>
      <c r="BU291" s="176" t="n"/>
      <c r="BV291" s="176" t="n"/>
      <c r="BW291" s="176" t="n"/>
      <c r="BX291" s="176" t="n"/>
      <c r="BY291" s="176" t="n"/>
      <c r="BZ291" s="176" t="n"/>
      <c r="CA291" s="176" t="n"/>
      <c r="CB291" s="176" t="n"/>
      <c r="CC291" s="176" t="n"/>
      <c r="CD291" s="176" t="n"/>
      <c r="CE291" s="176" t="n"/>
      <c r="CF291" s="176" t="n"/>
      <c r="CG291" s="176" t="n"/>
      <c r="CH291" s="176" t="n"/>
      <c r="CI291" s="176" t="n"/>
      <c r="CJ291" s="176" t="n"/>
      <c r="CK291" s="176" t="n"/>
      <c r="CL291" s="176" t="n"/>
      <c r="CM291" s="176" t="n"/>
      <c r="CN291" s="176" t="n"/>
      <c r="CO291" s="176" t="n"/>
      <c r="CP291" s="176" t="n"/>
      <c r="CQ291" s="176" t="n"/>
      <c r="CR291" s="176" t="n"/>
      <c r="CS291" s="176" t="n"/>
      <c r="CT291" s="176" t="n"/>
      <c r="CU291" s="176" t="n"/>
      <c r="CV291" s="176" t="n"/>
      <c r="CW291" s="176" t="n"/>
      <c r="CX291" s="176" t="n"/>
      <c r="CY291" s="176" t="n"/>
      <c r="CZ291" s="176" t="n"/>
      <c r="DA291" s="193" t="n"/>
      <c r="DF291" s="194" t="n"/>
      <c r="DG291" s="176" t="n"/>
      <c r="DH291" s="176" t="n"/>
      <c r="DI291" s="193" t="n"/>
      <c r="DN291" s="194" t="n"/>
      <c r="DO291" s="176" t="n"/>
      <c r="DP291" s="176" t="n"/>
      <c r="DQ291" s="176" t="n"/>
      <c r="DR291" s="189" t="n"/>
      <c r="DS291" s="190" t="n"/>
      <c r="DT291" s="190" t="n"/>
      <c r="DU291" s="190" t="n"/>
      <c r="DV291" s="190" t="n"/>
      <c r="DW291" s="191" t="n"/>
      <c r="DX291" s="176" t="n"/>
      <c r="DY291" s="176" t="n"/>
      <c r="DZ291" s="189" t="n"/>
      <c r="EA291" s="190" t="n"/>
      <c r="EB291" s="190" t="n"/>
      <c r="EC291" s="190" t="n"/>
      <c r="ED291" s="190" t="n"/>
      <c r="EE291" s="191" t="n"/>
      <c r="EF291" s="176" t="n"/>
      <c r="EG291" s="176" t="n"/>
      <c r="EH291" s="176" t="n"/>
      <c r="EI291" s="176" t="n"/>
      <c r="EJ291" s="176" t="n"/>
      <c r="EK291" s="176" t="n"/>
      <c r="EL291" s="176" t="n"/>
      <c r="EM291" s="176" t="n"/>
      <c r="EN291" s="176" t="n"/>
      <c r="EO291" s="176" t="n"/>
      <c r="EP291" s="176" t="n"/>
      <c r="EQ291" s="176" t="n"/>
      <c r="ER291" s="176" t="n"/>
      <c r="ES291" s="176" t="n"/>
      <c r="ET291" s="176" t="n"/>
      <c r="EU291" s="176" t="n"/>
      <c r="EV291" s="176" t="n"/>
      <c r="EW291" s="176" t="n"/>
      <c r="EX291" s="176" t="n"/>
      <c r="EY291" s="176" t="n"/>
      <c r="EZ291" s="176" t="n"/>
      <c r="FA291" s="176" t="n"/>
      <c r="FB291" s="176" t="n"/>
      <c r="FC291" s="176" t="n"/>
      <c r="FD291" s="176" t="n"/>
      <c r="FE291" s="176" t="n"/>
      <c r="FF291" s="176" t="n"/>
      <c r="FG291" s="176" t="n"/>
      <c r="FH291" s="176" t="n"/>
      <c r="FI291" s="176" t="n"/>
      <c r="FJ291" s="176" t="n"/>
      <c r="FK291" s="176" t="n"/>
      <c r="FL291" s="176" t="n"/>
      <c r="FM291" s="176" t="n"/>
      <c r="FN291" s="176" t="n"/>
      <c r="FO291" s="176" t="n"/>
      <c r="FP291" s="176" t="n"/>
      <c r="FQ291" s="176" t="n"/>
      <c r="FR291" s="176" t="n"/>
      <c r="FS291" s="176" t="n"/>
      <c r="FT291" s="176" t="n"/>
      <c r="FU291" s="176" t="n"/>
      <c r="FV291" s="176" t="n"/>
      <c r="FW291" s="176" t="n"/>
      <c r="FX291" s="176" t="n"/>
      <c r="FY291" s="176" t="n"/>
      <c r="FZ291" s="176" t="n"/>
      <c r="GA291" s="176" t="n"/>
      <c r="GB291" s="176" t="n"/>
      <c r="GC291" s="176" t="n"/>
      <c r="GD291" s="176" t="n"/>
      <c r="GE291" s="176" t="n"/>
      <c r="GF291" s="176" t="n"/>
      <c r="GG291" s="176" t="n"/>
      <c r="GH291" s="176" t="n"/>
      <c r="GI291" s="176" t="n"/>
      <c r="GJ291" s="176" t="n"/>
      <c r="GK291" s="176" t="n"/>
      <c r="GL291" s="176" t="n"/>
      <c r="GM291" s="176" t="n"/>
      <c r="GN291" s="176" t="n"/>
      <c r="GO291" s="176" t="n"/>
      <c r="GP291" s="176" t="n"/>
      <c r="GQ291" s="176" t="n"/>
      <c r="GR291" s="176" t="n"/>
      <c r="GS291" s="176" t="n"/>
      <c r="GT291" s="176" t="n"/>
      <c r="GU291" s="176" t="n"/>
      <c r="GV291" s="176" t="n"/>
      <c r="GW291" s="176" t="n"/>
      <c r="GX291" s="176" t="n"/>
      <c r="GY291" s="176" t="n"/>
      <c r="GZ291" s="176" t="n"/>
      <c r="HA291" s="176" t="n"/>
      <c r="HB291" s="176" t="n"/>
      <c r="HC291" s="176" t="n"/>
      <c r="HD291" s="176" t="n"/>
      <c r="HE291" s="176" t="n"/>
      <c r="HF291" s="176" t="n"/>
      <c r="HG291" s="176" t="n"/>
      <c r="HH291" s="176" t="n"/>
      <c r="HI291" s="176" t="n"/>
      <c r="HJ291" s="176" t="n"/>
      <c r="HK291" s="176" t="n"/>
      <c r="HL291" s="176" t="n"/>
      <c r="HM291" s="176" t="n"/>
      <c r="HN291" s="176" t="n"/>
      <c r="HO291" s="176" t="n"/>
      <c r="HP291" s="176" t="n"/>
      <c r="HQ291" s="176" t="n"/>
      <c r="HR291" s="176" t="n"/>
      <c r="HS291" s="176" t="n"/>
      <c r="HT291" s="176" t="n"/>
      <c r="HU291" s="176" t="n"/>
      <c r="HV291" s="176" t="n"/>
      <c r="HW291" s="176" t="n"/>
      <c r="HX291" s="176" t="n"/>
      <c r="HY291" s="176" t="n"/>
      <c r="HZ291" s="176" t="n"/>
      <c r="IA291" s="176" t="n"/>
      <c r="IB291" s="176" t="n"/>
      <c r="IC291" s="176" t="n"/>
      <c r="ID291" s="176" t="n"/>
    </row>
    <row r="292" ht="18.75" customHeight="1">
      <c r="A292" s="176" t="n"/>
      <c r="B292" s="176" t="n"/>
      <c r="C292" s="176" t="n"/>
      <c r="D292" s="176" t="n"/>
      <c r="E292" s="176" t="n"/>
      <c r="F292" s="176" t="n"/>
      <c r="G292" s="176" t="n"/>
      <c r="H292" s="176" t="n"/>
      <c r="I292" s="176" t="n"/>
      <c r="J292" s="176" t="n"/>
      <c r="K292" s="176" t="n"/>
      <c r="L292" s="176" t="n"/>
      <c r="M292" s="176" t="n"/>
      <c r="N292" s="176" t="n"/>
      <c r="O292" s="176" t="n"/>
      <c r="P292" s="176" t="n"/>
      <c r="Q292" s="176" t="n"/>
      <c r="R292" s="176" t="n"/>
      <c r="S292" s="176" t="n"/>
      <c r="T292" s="192" t="n"/>
      <c r="U292" s="187" t="n"/>
      <c r="V292" s="187" t="n"/>
      <c r="W292" s="187" t="n"/>
      <c r="X292" s="187" t="n"/>
      <c r="Y292" s="188" t="n"/>
      <c r="Z292" s="176" t="n"/>
      <c r="AA292" s="176" t="n"/>
      <c r="AB292" s="192" t="n"/>
      <c r="AC292" s="187" t="n"/>
      <c r="AD292" s="187" t="n"/>
      <c r="AE292" s="187" t="n"/>
      <c r="AF292" s="187" t="n"/>
      <c r="AG292" s="188" t="n"/>
      <c r="AH292" s="176" t="n"/>
      <c r="AI292" s="176" t="n"/>
      <c r="AJ292" s="176" t="n"/>
      <c r="AK292" s="176" t="n"/>
      <c r="AL292" s="176" t="n"/>
      <c r="AM292" s="176" t="n"/>
      <c r="AN292" s="176" t="n"/>
      <c r="AO292" s="176" t="n"/>
      <c r="AP292" s="176" t="n"/>
      <c r="AQ292" s="176" t="n"/>
      <c r="AR292" s="176" t="n"/>
      <c r="AS292" s="176" t="n"/>
      <c r="AT292" s="176" t="n"/>
      <c r="AU292" s="176" t="n"/>
      <c r="AV292" s="176" t="n"/>
      <c r="AW292" s="176" t="n"/>
      <c r="AX292" s="176" t="n"/>
      <c r="AY292" s="176" t="n"/>
      <c r="AZ292" s="176" t="n"/>
      <c r="BA292" s="176" t="n"/>
      <c r="BB292" s="176" t="n"/>
      <c r="BC292" s="176" t="n"/>
      <c r="BD292" s="176" t="n"/>
      <c r="BE292" s="176" t="n"/>
      <c r="BF292" s="176" t="n"/>
      <c r="BG292" s="176" t="n"/>
      <c r="BH292" s="176" t="n"/>
      <c r="BI292" s="176" t="n"/>
      <c r="BJ292" s="176" t="n"/>
      <c r="BK292" s="176" t="n"/>
      <c r="BL292" s="176" t="n"/>
      <c r="BM292" s="176" t="n"/>
      <c r="BN292" s="176" t="n"/>
      <c r="BO292" s="176" t="n"/>
      <c r="BP292" s="176" t="n"/>
      <c r="BQ292" s="176" t="n"/>
      <c r="BR292" s="176" t="n"/>
      <c r="BS292" s="176" t="n"/>
      <c r="BT292" s="176" t="n"/>
      <c r="BU292" s="176" t="n"/>
      <c r="BV292" s="176" t="n"/>
      <c r="BW292" s="176" t="n"/>
      <c r="BX292" s="176" t="n"/>
      <c r="BY292" s="176" t="n"/>
      <c r="BZ292" s="176" t="n"/>
      <c r="CA292" s="176" t="n"/>
      <c r="CB292" s="176" t="n"/>
      <c r="CC292" s="176" t="n"/>
      <c r="CD292" s="176" t="n"/>
      <c r="CE292" s="176" t="n"/>
      <c r="CF292" s="176" t="n"/>
      <c r="CG292" s="176" t="n"/>
      <c r="CH292" s="176" t="n"/>
      <c r="CI292" s="176" t="n"/>
      <c r="CJ292" s="176" t="n"/>
      <c r="CK292" s="176" t="n"/>
      <c r="CL292" s="176" t="n"/>
      <c r="CM292" s="176" t="n"/>
      <c r="CN292" s="176" t="n"/>
      <c r="CO292" s="176" t="n"/>
      <c r="CP292" s="176" t="n"/>
      <c r="CQ292" s="176" t="n"/>
      <c r="CR292" s="176" t="n"/>
      <c r="CS292" s="176" t="n"/>
      <c r="CT292" s="176" t="n"/>
      <c r="CU292" s="176" t="n"/>
      <c r="CV292" s="176" t="n"/>
      <c r="CW292" s="176" t="n"/>
      <c r="CX292" s="176" t="n"/>
      <c r="CY292" s="176" t="n"/>
      <c r="CZ292" s="176" t="n"/>
      <c r="DA292" s="189" t="n"/>
      <c r="DB292" s="190" t="n"/>
      <c r="DC292" s="190" t="n"/>
      <c r="DD292" s="190" t="n"/>
      <c r="DE292" s="190" t="n"/>
      <c r="DF292" s="191" t="n"/>
      <c r="DG292" s="176" t="n"/>
      <c r="DH292" s="176" t="n"/>
      <c r="DI292" s="189" t="n"/>
      <c r="DJ292" s="190" t="n"/>
      <c r="DK292" s="190" t="n"/>
      <c r="DL292" s="190" t="n"/>
      <c r="DM292" s="190" t="n"/>
      <c r="DN292" s="191" t="n"/>
      <c r="DO292" s="176" t="n"/>
      <c r="DP292" s="176" t="n"/>
      <c r="DQ292" s="176" t="n"/>
      <c r="DR292" s="176" t="n"/>
      <c r="DS292" s="176" t="n"/>
      <c r="DT292" s="176" t="n"/>
      <c r="DU292" s="176" t="n"/>
      <c r="DV292" s="176" t="n"/>
      <c r="DW292" s="176" t="n"/>
      <c r="DX292" s="176" t="n"/>
      <c r="DY292" s="176" t="n"/>
      <c r="DZ292" s="176" t="n"/>
      <c r="EA292" s="176" t="n"/>
      <c r="EB292" s="176" t="n"/>
      <c r="EC292" s="176" t="n"/>
      <c r="ED292" s="176" t="n"/>
      <c r="EE292" s="176" t="n"/>
      <c r="EF292" s="176" t="n"/>
      <c r="EG292" s="176" t="n"/>
      <c r="EH292" s="176" t="n"/>
      <c r="EI292" s="176" t="n"/>
      <c r="EJ292" s="176" t="n"/>
      <c r="EK292" s="176" t="n"/>
      <c r="EL292" s="176" t="n"/>
      <c r="EM292" s="176" t="n"/>
      <c r="EN292" s="176" t="n"/>
      <c r="EO292" s="176" t="n"/>
      <c r="EP292" s="176" t="n"/>
      <c r="EQ292" s="176" t="n"/>
      <c r="ER292" s="176" t="n"/>
      <c r="ES292" s="176" t="n"/>
      <c r="ET292" s="176" t="n"/>
      <c r="EU292" s="176" t="n"/>
      <c r="EV292" s="176" t="n"/>
      <c r="EW292" s="176" t="n"/>
      <c r="EX292" s="176" t="n"/>
      <c r="EY292" s="176" t="n"/>
      <c r="EZ292" s="176" t="n"/>
      <c r="FA292" s="176" t="n"/>
      <c r="FB292" s="176" t="n"/>
      <c r="FC292" s="176" t="n"/>
      <c r="FD292" s="176" t="n"/>
      <c r="FE292" s="176" t="n"/>
      <c r="FF292" s="176" t="n"/>
      <c r="FG292" s="176" t="n"/>
      <c r="FH292" s="176" t="n"/>
      <c r="FI292" s="176" t="n"/>
      <c r="FJ292" s="176" t="n"/>
      <c r="FK292" s="176" t="n"/>
      <c r="FL292" s="176" t="n"/>
      <c r="FM292" s="176" t="n"/>
      <c r="FN292" s="176" t="n"/>
      <c r="FO292" s="176" t="n"/>
      <c r="FP292" s="176" t="n"/>
      <c r="FQ292" s="176" t="n"/>
      <c r="FR292" s="176" t="n"/>
      <c r="FS292" s="176" t="n"/>
      <c r="FT292" s="176" t="n"/>
      <c r="FU292" s="176" t="n"/>
      <c r="FV292" s="176" t="n"/>
      <c r="FW292" s="176" t="n"/>
      <c r="FX292" s="176" t="n"/>
      <c r="FY292" s="176" t="n"/>
      <c r="FZ292" s="176" t="n"/>
      <c r="GA292" s="176" t="n"/>
      <c r="GB292" s="176" t="n"/>
      <c r="GC292" s="176" t="n"/>
      <c r="GD292" s="176" t="n"/>
      <c r="GE292" s="176" t="n"/>
      <c r="GF292" s="176" t="n"/>
      <c r="GG292" s="176" t="n"/>
      <c r="GH292" s="176" t="n"/>
      <c r="GI292" s="176" t="n"/>
      <c r="GJ292" s="176" t="n"/>
      <c r="GK292" s="176" t="n"/>
      <c r="GL292" s="176" t="n"/>
      <c r="GM292" s="176" t="n"/>
      <c r="GN292" s="176" t="n"/>
      <c r="GO292" s="176" t="n"/>
      <c r="GP292" s="176" t="n"/>
      <c r="GQ292" s="176" t="n"/>
      <c r="GR292" s="176" t="n"/>
      <c r="GS292" s="176" t="n"/>
      <c r="GT292" s="176" t="n"/>
      <c r="GU292" s="176" t="n"/>
      <c r="GV292" s="176" t="n"/>
      <c r="GW292" s="176" t="n"/>
      <c r="GX292" s="176" t="n"/>
      <c r="GY292" s="176" t="n"/>
      <c r="GZ292" s="176" t="n"/>
      <c r="HA292" s="176" t="n"/>
      <c r="HB292" s="176" t="n"/>
      <c r="HC292" s="176" t="n"/>
      <c r="HD292" s="176" t="n"/>
      <c r="HE292" s="176" t="n"/>
      <c r="HF292" s="176" t="n"/>
      <c r="HG292" s="176" t="n"/>
      <c r="HH292" s="176" t="n"/>
      <c r="HI292" s="176" t="n"/>
      <c r="HJ292" s="176" t="n"/>
      <c r="HK292" s="176" t="n"/>
      <c r="HL292" s="176" t="n"/>
      <c r="HM292" s="176" t="n"/>
      <c r="HN292" s="176" t="n"/>
      <c r="HO292" s="176" t="n"/>
      <c r="HP292" s="176" t="n"/>
      <c r="HQ292" s="176" t="n"/>
      <c r="HR292" s="176" t="n"/>
      <c r="HS292" s="176" t="n"/>
      <c r="HT292" s="176" t="n"/>
      <c r="HU292" s="176" t="n"/>
      <c r="HV292" s="176" t="n"/>
      <c r="HW292" s="176" t="n"/>
      <c r="HX292" s="176" t="n"/>
      <c r="HY292" s="176" t="n"/>
      <c r="HZ292" s="176" t="n"/>
      <c r="IA292" s="176" t="n"/>
      <c r="IB292" s="176" t="n"/>
      <c r="IC292" s="176" t="n"/>
      <c r="ID292" s="176" t="n"/>
    </row>
    <row r="293" ht="18.75" customHeight="1">
      <c r="A293" s="176" t="n"/>
      <c r="B293" s="176" t="n"/>
      <c r="C293" s="176" t="n"/>
      <c r="D293" s="176" t="n"/>
      <c r="E293" s="176" t="n"/>
      <c r="F293" s="176" t="n"/>
      <c r="G293" s="176" t="n"/>
      <c r="H293" s="176" t="n"/>
      <c r="I293" s="176" t="n"/>
      <c r="J293" s="176" t="n"/>
      <c r="K293" s="176" t="n"/>
      <c r="L293" s="176" t="n"/>
      <c r="M293" s="176" t="n"/>
      <c r="N293" s="176" t="n"/>
      <c r="O293" s="176" t="n"/>
      <c r="P293" s="176" t="n"/>
      <c r="Q293" s="176" t="n"/>
      <c r="R293" s="176" t="n"/>
      <c r="S293" s="176" t="n"/>
      <c r="T293" s="193" t="n"/>
      <c r="Y293" s="194" t="n"/>
      <c r="Z293" s="176" t="n"/>
      <c r="AA293" s="176" t="n"/>
      <c r="AB293" s="193" t="n"/>
      <c r="AG293" s="194" t="n"/>
      <c r="AH293" s="176" t="n"/>
      <c r="AI293" s="176" t="n"/>
      <c r="AJ293" s="176" t="n"/>
      <c r="AK293" s="176" t="n"/>
      <c r="AL293" s="176" t="n"/>
      <c r="AM293" s="176" t="n"/>
      <c r="AN293" s="176" t="n"/>
      <c r="AO293" s="176" t="n"/>
      <c r="AP293" s="176" t="n"/>
      <c r="AQ293" s="176" t="n"/>
      <c r="AR293" s="176" t="n"/>
      <c r="AS293" s="176" t="n"/>
      <c r="AT293" s="176" t="n"/>
      <c r="AU293" s="176" t="n"/>
      <c r="AV293" s="176" t="n"/>
      <c r="AW293" s="176" t="n"/>
      <c r="AX293" s="176" t="n"/>
      <c r="AY293" s="176" t="n"/>
      <c r="AZ293" s="176" t="n"/>
      <c r="BA293" s="176" t="n"/>
      <c r="BB293" s="176" t="n"/>
      <c r="BC293" s="176" t="n"/>
      <c r="BD293" s="176" t="n"/>
      <c r="BE293" s="176" t="n"/>
      <c r="BF293" s="176" t="n"/>
      <c r="BG293" s="176" t="n"/>
      <c r="BH293" s="176" t="n"/>
      <c r="BI293" s="176" t="n"/>
      <c r="BJ293" s="176" t="n"/>
      <c r="BK293" s="176" t="n"/>
      <c r="BL293" s="176" t="n"/>
      <c r="BM293" s="176" t="n"/>
      <c r="BN293" s="176" t="n"/>
      <c r="BO293" s="176" t="n"/>
      <c r="BP293" s="176" t="n"/>
      <c r="BQ293" s="176" t="n"/>
      <c r="BR293" s="176" t="n"/>
      <c r="BS293" s="176" t="n"/>
      <c r="BT293" s="176" t="n"/>
      <c r="BU293" s="176" t="n"/>
      <c r="BV293" s="176" t="n"/>
      <c r="BW293" s="176" t="n"/>
      <c r="BX293" s="176" t="n"/>
      <c r="BY293" s="176" t="n"/>
      <c r="BZ293" s="176" t="n"/>
      <c r="CA293" s="176" t="n"/>
      <c r="CB293" s="176" t="n"/>
      <c r="CC293" s="176" t="n"/>
      <c r="CD293" s="176" t="n"/>
      <c r="CE293" s="176" t="n"/>
      <c r="CF293" s="176" t="n"/>
      <c r="CG293" s="176" t="n"/>
      <c r="CH293" s="176" t="n"/>
      <c r="CI293" s="176" t="n"/>
      <c r="CJ293" s="176" t="n"/>
      <c r="CK293" s="176" t="n"/>
      <c r="CL293" s="176" t="n"/>
      <c r="CM293" s="176" t="n"/>
      <c r="CN293" s="176" t="n"/>
      <c r="CO293" s="176" t="n"/>
      <c r="CP293" s="176" t="n"/>
      <c r="CQ293" s="176" t="n"/>
      <c r="CR293" s="176" t="n"/>
      <c r="CS293" s="176" t="n"/>
      <c r="CT293" s="176" t="n"/>
      <c r="CU293" s="176" t="n"/>
      <c r="CV293" s="176" t="n"/>
      <c r="CW293" s="176" t="n"/>
      <c r="CX293" s="176" t="n"/>
      <c r="CY293" s="176" t="n"/>
      <c r="CZ293" s="176" t="n"/>
      <c r="DA293" s="176" t="n"/>
      <c r="DB293" s="176" t="n"/>
      <c r="DC293" s="176" t="n"/>
      <c r="DD293" s="176" t="n"/>
      <c r="DE293" s="176" t="n"/>
      <c r="DF293" s="176" t="n"/>
      <c r="DG293" s="176" t="n"/>
      <c r="DH293" s="176" t="n"/>
      <c r="DI293" s="176" t="n"/>
      <c r="DJ293" s="176" t="n"/>
      <c r="DK293" s="176" t="n"/>
      <c r="DL293" s="176" t="n"/>
      <c r="DM293" s="176" t="n"/>
      <c r="DN293" s="176" t="n"/>
      <c r="DO293" s="176" t="n"/>
      <c r="DP293" s="176" t="n"/>
      <c r="DQ293" s="176" t="n"/>
      <c r="DR293" s="180">
        <f>IF('DADOS_RESTRICOES'!$K$26="","","⚠ "&amp;'DADOS_RESTRICOES'!$K$26)</f>
        <v/>
      </c>
      <c r="DX293" s="176" t="n"/>
      <c r="DY293" s="176" t="n"/>
      <c r="DZ293" s="180">
        <f>IF('DADOS_RESTRICOES'!$K$27="","","⚠ "&amp;'DADOS_RESTRICOES'!$K$27)</f>
        <v/>
      </c>
      <c r="EF293" s="176" t="n"/>
      <c r="EG293" s="176" t="n"/>
      <c r="EH293" s="176" t="n"/>
      <c r="EI293" s="176" t="n"/>
      <c r="EJ293" s="176" t="n"/>
      <c r="EK293" s="176" t="n"/>
      <c r="EL293" s="176" t="n"/>
      <c r="EM293" s="176" t="n"/>
      <c r="EN293" s="176" t="n"/>
      <c r="EO293" s="176" t="n"/>
      <c r="EP293" s="176" t="n"/>
      <c r="EQ293" s="176" t="n"/>
      <c r="ER293" s="176" t="n"/>
      <c r="ES293" s="176" t="n"/>
      <c r="ET293" s="176" t="n"/>
      <c r="EU293" s="176" t="n"/>
      <c r="EV293" s="176" t="n"/>
      <c r="EW293" s="176" t="n"/>
      <c r="EX293" s="176" t="n"/>
      <c r="EY293" s="176" t="n"/>
      <c r="EZ293" s="176" t="n"/>
      <c r="FA293" s="176" t="n"/>
      <c r="FB293" s="176" t="n"/>
      <c r="FC293" s="176" t="n"/>
      <c r="FD293" s="176" t="n"/>
      <c r="FE293" s="176" t="n"/>
      <c r="FF293" s="176" t="n"/>
      <c r="FG293" s="176" t="n"/>
      <c r="FH293" s="176" t="n"/>
      <c r="FI293" s="176" t="n"/>
      <c r="FJ293" s="176" t="n"/>
      <c r="FK293" s="176" t="n"/>
      <c r="FL293" s="176" t="n"/>
      <c r="FM293" s="176" t="n"/>
      <c r="FN293" s="176" t="n"/>
      <c r="FO293" s="176" t="n"/>
      <c r="FP293" s="176" t="n"/>
      <c r="FQ293" s="176" t="n"/>
      <c r="FR293" s="176" t="n"/>
      <c r="FS293" s="176" t="n"/>
      <c r="FT293" s="176" t="n"/>
      <c r="FU293" s="176" t="n"/>
      <c r="FV293" s="176" t="n"/>
      <c r="FW293" s="176" t="n"/>
      <c r="FX293" s="176" t="n"/>
      <c r="FY293" s="176" t="n"/>
      <c r="FZ293" s="176" t="n"/>
      <c r="GA293" s="176" t="n"/>
      <c r="GB293" s="176" t="n"/>
      <c r="GC293" s="176" t="n"/>
      <c r="GD293" s="176" t="n"/>
      <c r="GE293" s="176" t="n"/>
      <c r="GF293" s="176" t="n"/>
      <c r="GG293" s="176" t="n"/>
      <c r="GH293" s="176" t="n"/>
      <c r="GI293" s="176" t="n"/>
      <c r="GJ293" s="176" t="n"/>
      <c r="GK293" s="176" t="n"/>
      <c r="GL293" s="176" t="n"/>
      <c r="GM293" s="176" t="n"/>
      <c r="GN293" s="176" t="n"/>
      <c r="GO293" s="176" t="n"/>
      <c r="GP293" s="176" t="n"/>
      <c r="GQ293" s="176" t="n"/>
      <c r="GR293" s="176" t="n"/>
      <c r="GS293" s="176" t="n"/>
      <c r="GT293" s="176" t="n"/>
      <c r="GU293" s="176" t="n"/>
      <c r="GV293" s="176" t="n"/>
      <c r="GW293" s="176" t="n"/>
      <c r="GX293" s="176" t="n"/>
      <c r="GY293" s="176" t="n"/>
      <c r="GZ293" s="176" t="n"/>
      <c r="HA293" s="176" t="n"/>
      <c r="HB293" s="176" t="n"/>
      <c r="HC293" s="176" t="n"/>
      <c r="HD293" s="176" t="n"/>
      <c r="HE293" s="176" t="n"/>
      <c r="HF293" s="176" t="n"/>
      <c r="HG293" s="176" t="n"/>
      <c r="HH293" s="176" t="n"/>
      <c r="HI293" s="176" t="n"/>
      <c r="HJ293" s="176" t="n"/>
      <c r="HK293" s="176" t="n"/>
      <c r="HL293" s="176" t="n"/>
      <c r="HM293" s="176" t="n"/>
      <c r="HN293" s="176" t="n"/>
      <c r="HO293" s="176" t="n"/>
      <c r="HP293" s="176" t="n"/>
      <c r="HQ293" s="176" t="n"/>
      <c r="HR293" s="176" t="n"/>
      <c r="HS293" s="176" t="n"/>
      <c r="HT293" s="176" t="n"/>
      <c r="HU293" s="176" t="n"/>
      <c r="HV293" s="176" t="n"/>
      <c r="HW293" s="176" t="n"/>
      <c r="HX293" s="176" t="n"/>
      <c r="HY293" s="176" t="n"/>
      <c r="HZ293" s="176" t="n"/>
      <c r="IA293" s="176" t="n"/>
      <c r="IB293" s="176" t="n"/>
      <c r="IC293" s="176" t="n"/>
      <c r="ID293" s="176" t="n"/>
    </row>
    <row r="294" ht="18.75" customHeight="1">
      <c r="A294" s="176" t="n"/>
      <c r="B294" s="176" t="n"/>
      <c r="C294" s="176" t="n"/>
      <c r="D294" s="176" t="n"/>
      <c r="E294" s="176" t="n"/>
      <c r="F294" s="176" t="n"/>
      <c r="G294" s="176" t="n"/>
      <c r="H294" s="176" t="n"/>
      <c r="I294" s="176" t="n"/>
      <c r="J294" s="176" t="n"/>
      <c r="K294" s="176" t="n"/>
      <c r="L294" s="176" t="n"/>
      <c r="M294" s="176" t="n"/>
      <c r="N294" s="176" t="n"/>
      <c r="O294" s="176" t="n"/>
      <c r="P294" s="176" t="n"/>
      <c r="Q294" s="176" t="n"/>
      <c r="R294" s="176" t="n"/>
      <c r="S294" s="176" t="n"/>
      <c r="T294" s="193" t="n"/>
      <c r="Y294" s="194" t="n"/>
      <c r="Z294" s="176" t="n"/>
      <c r="AA294" s="176" t="n"/>
      <c r="AB294" s="193" t="n"/>
      <c r="AG294" s="194" t="n"/>
      <c r="AH294" s="176" t="n"/>
      <c r="AI294" s="176" t="n"/>
      <c r="AJ294" s="176" t="n"/>
      <c r="AK294" s="176" t="n"/>
      <c r="AL294" s="176" t="n"/>
      <c r="AM294" s="176" t="n"/>
      <c r="AN294" s="176" t="n"/>
      <c r="AO294" s="176" t="n"/>
      <c r="AP294" s="176" t="n"/>
      <c r="AQ294" s="176" t="n"/>
      <c r="AR294" s="176" t="n"/>
      <c r="AS294" s="176" t="n"/>
      <c r="AT294" s="176" t="n"/>
      <c r="AU294" s="176" t="n"/>
      <c r="AV294" s="176" t="n"/>
      <c r="AW294" s="176" t="n"/>
      <c r="AX294" s="176" t="n"/>
      <c r="AY294" s="176" t="n"/>
      <c r="AZ294" s="176" t="n"/>
      <c r="BA294" s="176" t="n"/>
      <c r="BB294" s="176" t="n"/>
      <c r="BC294" s="176" t="n"/>
      <c r="BD294" s="176" t="n"/>
      <c r="BE294" s="176" t="n"/>
      <c r="BF294" s="176" t="n"/>
      <c r="BG294" s="176" t="n"/>
      <c r="BH294" s="176" t="n"/>
      <c r="BI294" s="176" t="n"/>
      <c r="BJ294" s="176" t="n"/>
      <c r="BK294" s="176" t="n"/>
      <c r="BL294" s="176" t="n"/>
      <c r="BM294" s="176" t="n"/>
      <c r="BN294" s="176" t="n"/>
      <c r="BO294" s="176" t="n"/>
      <c r="BP294" s="176" t="n"/>
      <c r="BQ294" s="176" t="n"/>
      <c r="BR294" s="176" t="n"/>
      <c r="BS294" s="176" t="n"/>
      <c r="BT294" s="176" t="n"/>
      <c r="BU294" s="176" t="n"/>
      <c r="BV294" s="176" t="n"/>
      <c r="BW294" s="176" t="n"/>
      <c r="BX294" s="176" t="n"/>
      <c r="BY294" s="176" t="n"/>
      <c r="BZ294" s="176" t="n"/>
      <c r="CA294" s="176" t="n"/>
      <c r="CB294" s="176" t="n"/>
      <c r="CC294" s="176" t="n"/>
      <c r="CD294" s="176" t="n"/>
      <c r="CE294" s="176" t="n"/>
      <c r="CF294" s="176" t="n"/>
      <c r="CG294" s="176" t="n"/>
      <c r="CH294" s="176" t="n"/>
      <c r="CI294" s="176" t="n"/>
      <c r="CJ294" s="176" t="n"/>
      <c r="CK294" s="176" t="n"/>
      <c r="CL294" s="176" t="n"/>
      <c r="CM294" s="176" t="n"/>
      <c r="CN294" s="176" t="n"/>
      <c r="CO294" s="176" t="n"/>
      <c r="CP294" s="176" t="n"/>
      <c r="CQ294" s="176" t="n"/>
      <c r="CR294" s="176" t="n"/>
      <c r="CS294" s="176" t="n"/>
      <c r="CT294" s="176" t="n"/>
      <c r="CU294" s="176" t="n"/>
      <c r="CV294" s="176" t="n"/>
      <c r="CW294" s="176" t="n"/>
      <c r="CX294" s="176" t="n"/>
      <c r="CY294" s="176" t="n"/>
      <c r="CZ294" s="176" t="n"/>
      <c r="DA294" s="180">
        <f>IF('DADOS_MELHORIAS'!$M$22="","","⚠ "&amp;'DADOS_MELHORIAS'!$M$22)</f>
        <v/>
      </c>
      <c r="DG294" s="176" t="n"/>
      <c r="DH294" s="176" t="n"/>
      <c r="DI294" s="180">
        <f>IF('DADOS_MELHORIAS'!$M$23="","","⚠ "&amp;'DADOS_MELHORIAS'!$M$23)</f>
        <v/>
      </c>
      <c r="DO294" s="176" t="n"/>
      <c r="DP294" s="176" t="n"/>
      <c r="DQ294" s="176" t="n"/>
      <c r="DX294" s="176" t="n"/>
      <c r="DY294" s="176" t="n"/>
      <c r="EF294" s="176" t="n"/>
      <c r="EG294" s="176" t="n"/>
      <c r="EH294" s="176" t="n"/>
      <c r="EI294" s="176" t="n"/>
      <c r="EJ294" s="176" t="n"/>
      <c r="EK294" s="176" t="n"/>
      <c r="EL294" s="176" t="n"/>
      <c r="EM294" s="176" t="n"/>
      <c r="EN294" s="176" t="n"/>
      <c r="EO294" s="176" t="n"/>
      <c r="EP294" s="176" t="n"/>
      <c r="EQ294" s="176" t="n"/>
      <c r="ER294" s="176" t="n"/>
      <c r="ES294" s="176" t="n"/>
      <c r="ET294" s="176" t="n"/>
      <c r="EU294" s="176" t="n"/>
      <c r="EV294" s="176" t="n"/>
      <c r="EW294" s="176" t="n"/>
      <c r="EX294" s="176" t="n"/>
      <c r="EY294" s="176" t="n"/>
      <c r="EZ294" s="176" t="n"/>
      <c r="FA294" s="176" t="n"/>
      <c r="FB294" s="176" t="n"/>
      <c r="FC294" s="176" t="n"/>
      <c r="FD294" s="176" t="n"/>
      <c r="FE294" s="176" t="n"/>
      <c r="FF294" s="176" t="n"/>
      <c r="FG294" s="176" t="n"/>
      <c r="FH294" s="176" t="n"/>
      <c r="FI294" s="176" t="n"/>
      <c r="FJ294" s="176" t="n"/>
      <c r="FK294" s="176" t="n"/>
      <c r="FL294" s="176" t="n"/>
      <c r="FM294" s="176" t="n"/>
      <c r="FN294" s="176" t="n"/>
      <c r="FO294" s="176" t="n"/>
      <c r="FP294" s="176" t="n"/>
      <c r="FQ294" s="176" t="n"/>
      <c r="FR294" s="176" t="n"/>
      <c r="FS294" s="176" t="n"/>
      <c r="FT294" s="176" t="n"/>
      <c r="FU294" s="176" t="n"/>
      <c r="FV294" s="176" t="n"/>
      <c r="FW294" s="176" t="n"/>
      <c r="FX294" s="176" t="n"/>
      <c r="FY294" s="176" t="n"/>
      <c r="FZ294" s="176" t="n"/>
      <c r="GA294" s="176" t="n"/>
      <c r="GB294" s="176" t="n"/>
      <c r="GC294" s="176" t="n"/>
      <c r="GD294" s="176" t="n"/>
      <c r="GE294" s="176" t="n"/>
      <c r="GF294" s="176" t="n"/>
      <c r="GG294" s="176" t="n"/>
      <c r="GH294" s="176" t="n"/>
      <c r="GI294" s="176" t="n"/>
      <c r="GJ294" s="176" t="n"/>
      <c r="GK294" s="176" t="n"/>
      <c r="GL294" s="176" t="n"/>
      <c r="GM294" s="176" t="n"/>
      <c r="GN294" s="176" t="n"/>
      <c r="GO294" s="176" t="n"/>
      <c r="GP294" s="176" t="n"/>
      <c r="GQ294" s="176" t="n"/>
      <c r="GR294" s="176" t="n"/>
      <c r="GS294" s="176" t="n"/>
      <c r="GT294" s="176" t="n"/>
      <c r="GU294" s="176" t="n"/>
      <c r="GV294" s="176" t="n"/>
      <c r="GW294" s="176" t="n"/>
      <c r="GX294" s="176" t="n"/>
      <c r="GY294" s="176" t="n"/>
      <c r="GZ294" s="176" t="n"/>
      <c r="HA294" s="176" t="n"/>
      <c r="HB294" s="176" t="n"/>
      <c r="HC294" s="176" t="n"/>
      <c r="HD294" s="176" t="n"/>
      <c r="HE294" s="176" t="n"/>
      <c r="HF294" s="176" t="n"/>
      <c r="HG294" s="176" t="n"/>
      <c r="HH294" s="176" t="n"/>
      <c r="HI294" s="176" t="n"/>
      <c r="HJ294" s="176" t="n"/>
      <c r="HK294" s="176" t="n"/>
      <c r="HL294" s="176" t="n"/>
      <c r="HM294" s="176" t="n"/>
      <c r="HN294" s="176" t="n"/>
      <c r="HO294" s="176" t="n"/>
      <c r="HP294" s="176" t="n"/>
      <c r="HQ294" s="176" t="n"/>
      <c r="HR294" s="176" t="n"/>
      <c r="HS294" s="176" t="n"/>
      <c r="HT294" s="176" t="n"/>
      <c r="HU294" s="176" t="n"/>
      <c r="HV294" s="176" t="n"/>
      <c r="HW294" s="176" t="n"/>
      <c r="HX294" s="176" t="n"/>
      <c r="HY294" s="176" t="n"/>
      <c r="HZ294" s="176" t="n"/>
      <c r="IA294" s="176" t="n"/>
      <c r="IB294" s="176" t="n"/>
      <c r="IC294" s="176" t="n"/>
      <c r="ID294" s="176" t="n"/>
    </row>
    <row r="295" ht="18.75" customHeight="1">
      <c r="A295" s="176" t="n"/>
      <c r="B295" s="176" t="n"/>
      <c r="C295" s="176" t="n"/>
      <c r="D295" s="176" t="n"/>
      <c r="E295" s="176" t="n"/>
      <c r="F295" s="176" t="n"/>
      <c r="G295" s="176" t="n"/>
      <c r="H295" s="176" t="n"/>
      <c r="I295" s="176" t="n"/>
      <c r="J295" s="176" t="n"/>
      <c r="K295" s="176" t="n"/>
      <c r="L295" s="176" t="n"/>
      <c r="M295" s="176" t="n"/>
      <c r="N295" s="176" t="n"/>
      <c r="O295" s="176" t="n"/>
      <c r="P295" s="176" t="n"/>
      <c r="Q295" s="176" t="n"/>
      <c r="R295" s="176" t="n"/>
      <c r="S295" s="176" t="n"/>
      <c r="T295" s="193" t="n"/>
      <c r="Y295" s="194" t="n"/>
      <c r="Z295" s="176" t="n"/>
      <c r="AA295" s="176" t="n"/>
      <c r="AB295" s="193" t="n"/>
      <c r="AG295" s="194" t="n"/>
      <c r="AH295" s="176" t="n"/>
      <c r="AI295" s="176" t="n"/>
      <c r="AJ295" s="176" t="n"/>
      <c r="AK295" s="176" t="n"/>
      <c r="AL295" s="176" t="n"/>
      <c r="AM295" s="176" t="n"/>
      <c r="AN295" s="176" t="n"/>
      <c r="AO295" s="176" t="n"/>
      <c r="AP295" s="176" t="n"/>
      <c r="AQ295" s="176" t="n"/>
      <c r="AR295" s="176" t="n"/>
      <c r="AS295" s="176" t="n"/>
      <c r="AT295" s="176" t="n"/>
      <c r="AU295" s="176" t="n"/>
      <c r="AV295" s="176" t="n"/>
      <c r="AW295" s="176" t="n"/>
      <c r="AX295" s="176" t="n"/>
      <c r="AY295" s="176" t="n"/>
      <c r="AZ295" s="176" t="n"/>
      <c r="BA295" s="176" t="n"/>
      <c r="BB295" s="176" t="n"/>
      <c r="BC295" s="176" t="n"/>
      <c r="BD295" s="176" t="n"/>
      <c r="BE295" s="176" t="n"/>
      <c r="BF295" s="176" t="n"/>
      <c r="BG295" s="176" t="n"/>
      <c r="BH295" s="176" t="n"/>
      <c r="BI295" s="176" t="n"/>
      <c r="BJ295" s="176" t="n"/>
      <c r="BK295" s="176" t="n"/>
      <c r="BL295" s="176" t="n"/>
      <c r="BM295" s="176" t="n"/>
      <c r="BN295" s="176" t="n"/>
      <c r="BO295" s="176" t="n"/>
      <c r="BP295" s="176" t="n"/>
      <c r="BQ295" s="176" t="n"/>
      <c r="BR295" s="176" t="n"/>
      <c r="BS295" s="176" t="n"/>
      <c r="BT295" s="176" t="n"/>
      <c r="BU295" s="176" t="n"/>
      <c r="BV295" s="176" t="n"/>
      <c r="BW295" s="176" t="n"/>
      <c r="BX295" s="176" t="n"/>
      <c r="BY295" s="176" t="n"/>
      <c r="BZ295" s="176" t="n"/>
      <c r="CA295" s="176" t="n"/>
      <c r="CB295" s="176" t="n"/>
      <c r="CC295" s="176" t="n"/>
      <c r="CD295" s="176" t="n"/>
      <c r="CE295" s="176" t="n"/>
      <c r="CF295" s="176" t="n"/>
      <c r="CG295" s="176" t="n"/>
      <c r="CH295" s="176" t="n"/>
      <c r="CI295" s="176" t="n"/>
      <c r="CJ295" s="176" t="n"/>
      <c r="CK295" s="176" t="n"/>
      <c r="CL295" s="176" t="n"/>
      <c r="CM295" s="176" t="n"/>
      <c r="CN295" s="176" t="n"/>
      <c r="CO295" s="176" t="n"/>
      <c r="CP295" s="176" t="n"/>
      <c r="CQ295" s="176" t="n"/>
      <c r="CR295" s="176" t="n"/>
      <c r="CS295" s="176" t="n"/>
      <c r="CT295" s="176" t="n"/>
      <c r="CU295" s="176" t="n"/>
      <c r="CV295" s="176" t="n"/>
      <c r="CW295" s="176" t="n"/>
      <c r="CX295" s="176" t="n"/>
      <c r="CY295" s="176" t="n"/>
      <c r="CZ295" s="176" t="n"/>
      <c r="DG295" s="176" t="n"/>
      <c r="DH295" s="176" t="n"/>
      <c r="DO295" s="176" t="n"/>
      <c r="DP295" s="176" t="n"/>
      <c r="DQ295" s="176" t="n"/>
      <c r="DR295" s="176" t="n"/>
      <c r="DS295" s="176" t="n"/>
      <c r="DT295" s="176" t="n"/>
      <c r="DU295" s="176" t="n"/>
      <c r="DV295" s="176" t="n"/>
      <c r="DW295" s="176" t="n"/>
      <c r="DX295" s="176" t="n"/>
      <c r="DY295" s="176" t="n"/>
      <c r="DZ295" s="176" t="n"/>
      <c r="EA295" s="176" t="n"/>
      <c r="EB295" s="176" t="n"/>
      <c r="EC295" s="176" t="n"/>
      <c r="ED295" s="176" t="n"/>
      <c r="EE295" s="176" t="n"/>
      <c r="EF295" s="176" t="n"/>
      <c r="EG295" s="176" t="n"/>
      <c r="EH295" s="176" t="n"/>
      <c r="EI295" s="176" t="n"/>
      <c r="EJ295" s="176" t="n"/>
      <c r="EK295" s="176" t="n"/>
      <c r="EL295" s="176" t="n"/>
      <c r="EM295" s="176" t="n"/>
      <c r="EN295" s="176" t="n"/>
      <c r="EO295" s="176" t="n"/>
      <c r="EP295" s="176" t="n"/>
      <c r="EQ295" s="176" t="n"/>
      <c r="ER295" s="176" t="n"/>
      <c r="ES295" s="176" t="n"/>
      <c r="ET295" s="176" t="n"/>
      <c r="EU295" s="176" t="n"/>
      <c r="EV295" s="176" t="n"/>
      <c r="EW295" s="176" t="n"/>
      <c r="EX295" s="176" t="n"/>
      <c r="EY295" s="176" t="n"/>
      <c r="EZ295" s="176" t="n"/>
      <c r="FA295" s="176" t="n"/>
      <c r="FB295" s="176" t="n"/>
      <c r="FC295" s="176" t="n"/>
      <c r="FD295" s="176" t="n"/>
      <c r="FE295" s="176" t="n"/>
      <c r="FF295" s="176" t="n"/>
      <c r="FG295" s="176" t="n"/>
      <c r="FH295" s="176" t="n"/>
      <c r="FI295" s="176" t="n"/>
      <c r="FJ295" s="176" t="n"/>
      <c r="FK295" s="176" t="n"/>
      <c r="FL295" s="176" t="n"/>
      <c r="FM295" s="176" t="n"/>
      <c r="FN295" s="176" t="n"/>
      <c r="FO295" s="176" t="n"/>
      <c r="FP295" s="176" t="n"/>
      <c r="FQ295" s="176" t="n"/>
      <c r="FR295" s="176" t="n"/>
      <c r="FS295" s="176" t="n"/>
      <c r="FT295" s="176" t="n"/>
      <c r="FU295" s="176" t="n"/>
      <c r="FV295" s="176" t="n"/>
      <c r="FW295" s="176" t="n"/>
      <c r="FX295" s="176" t="n"/>
      <c r="FY295" s="176" t="n"/>
      <c r="FZ295" s="176" t="n"/>
      <c r="GA295" s="176" t="n"/>
      <c r="GB295" s="176" t="n"/>
      <c r="GC295" s="176" t="n"/>
      <c r="GD295" s="176" t="n"/>
      <c r="GE295" s="176" t="n"/>
      <c r="GF295" s="176" t="n"/>
      <c r="GG295" s="176" t="n"/>
      <c r="GH295" s="176" t="n"/>
      <c r="GI295" s="176" t="n"/>
      <c r="GJ295" s="176" t="n"/>
      <c r="GK295" s="176" t="n"/>
      <c r="GL295" s="176" t="n"/>
      <c r="GM295" s="176" t="n"/>
      <c r="GN295" s="176" t="n"/>
      <c r="GO295" s="176" t="n"/>
      <c r="GP295" s="176" t="n"/>
      <c r="GQ295" s="176" t="n"/>
      <c r="GR295" s="176" t="n"/>
      <c r="GS295" s="176" t="n"/>
      <c r="GT295" s="176" t="n"/>
      <c r="GU295" s="176" t="n"/>
      <c r="GV295" s="176" t="n"/>
      <c r="GW295" s="176" t="n"/>
      <c r="GX295" s="176" t="n"/>
      <c r="GY295" s="176" t="n"/>
      <c r="GZ295" s="176" t="n"/>
      <c r="HA295" s="176" t="n"/>
      <c r="HB295" s="176" t="n"/>
      <c r="HC295" s="176" t="n"/>
      <c r="HD295" s="176" t="n"/>
      <c r="HE295" s="176" t="n"/>
      <c r="HF295" s="176" t="n"/>
      <c r="HG295" s="176" t="n"/>
      <c r="HH295" s="176" t="n"/>
      <c r="HI295" s="176" t="n"/>
      <c r="HJ295" s="176" t="n"/>
      <c r="HK295" s="176" t="n"/>
      <c r="HL295" s="176" t="n"/>
      <c r="HM295" s="176" t="n"/>
      <c r="HN295" s="176" t="n"/>
      <c r="HO295" s="176" t="n"/>
      <c r="HP295" s="176" t="n"/>
      <c r="HQ295" s="176" t="n"/>
      <c r="HR295" s="176" t="n"/>
      <c r="HS295" s="176" t="n"/>
      <c r="HT295" s="176" t="n"/>
      <c r="HU295" s="176" t="n"/>
      <c r="HV295" s="176" t="n"/>
      <c r="HW295" s="176" t="n"/>
      <c r="HX295" s="176" t="n"/>
      <c r="HY295" s="176" t="n"/>
      <c r="HZ295" s="176" t="n"/>
      <c r="IA295" s="176" t="n"/>
      <c r="IB295" s="176" t="n"/>
      <c r="IC295" s="176" t="n"/>
      <c r="ID295" s="176" t="n"/>
    </row>
    <row r="296" ht="18.75" customHeight="1">
      <c r="A296" s="176" t="n"/>
      <c r="B296" s="176" t="n"/>
      <c r="C296" s="176" t="n"/>
      <c r="D296" s="176" t="n"/>
      <c r="E296" s="176" t="n"/>
      <c r="F296" s="176" t="n"/>
      <c r="G296" s="176" t="n"/>
      <c r="H296" s="176" t="n"/>
      <c r="I296" s="176" t="n"/>
      <c r="J296" s="176" t="n"/>
      <c r="K296" s="176" t="n"/>
      <c r="L296" s="176" t="n"/>
      <c r="M296" s="176" t="n"/>
      <c r="N296" s="176" t="n"/>
      <c r="O296" s="176" t="n"/>
      <c r="P296" s="176" t="n"/>
      <c r="Q296" s="176" t="n"/>
      <c r="R296" s="176" t="n"/>
      <c r="S296" s="176" t="n"/>
      <c r="T296" s="189" t="n"/>
      <c r="U296" s="190" t="n"/>
      <c r="V296" s="190" t="n"/>
      <c r="W296" s="190" t="n"/>
      <c r="X296" s="190" t="n"/>
      <c r="Y296" s="191" t="n"/>
      <c r="Z296" s="176" t="n"/>
      <c r="AA296" s="176" t="n"/>
      <c r="AB296" s="189" t="n"/>
      <c r="AC296" s="190" t="n"/>
      <c r="AD296" s="190" t="n"/>
      <c r="AE296" s="190" t="n"/>
      <c r="AF296" s="190" t="n"/>
      <c r="AG296" s="191" t="n"/>
      <c r="AH296" s="176" t="n"/>
      <c r="AI296" s="176" t="n"/>
      <c r="AJ296" s="176" t="n"/>
      <c r="AK296" s="176" t="n"/>
      <c r="AL296" s="176" t="n"/>
      <c r="AM296" s="176" t="n"/>
      <c r="AN296" s="176" t="n"/>
      <c r="AO296" s="176" t="n"/>
      <c r="AP296" s="176" t="n"/>
      <c r="AQ296" s="176" t="n"/>
      <c r="AR296" s="176" t="n"/>
      <c r="AS296" s="176" t="n"/>
      <c r="AT296" s="176" t="n"/>
      <c r="AU296" s="176" t="n"/>
      <c r="AV296" s="176" t="n"/>
      <c r="AW296" s="176" t="n"/>
      <c r="AX296" s="176" t="n"/>
      <c r="AY296" s="176" t="n"/>
      <c r="AZ296" s="176" t="n"/>
      <c r="BA296" s="176" t="n"/>
      <c r="BB296" s="176" t="n"/>
      <c r="BC296" s="176" t="n"/>
      <c r="BD296" s="176" t="n"/>
      <c r="BE296" s="176" t="n"/>
      <c r="BF296" s="176" t="n"/>
      <c r="BG296" s="176" t="n"/>
      <c r="BH296" s="176" t="n"/>
      <c r="BI296" s="176" t="n"/>
      <c r="BJ296" s="176" t="n"/>
      <c r="BK296" s="176" t="n"/>
      <c r="BL296" s="176" t="n"/>
      <c r="BM296" s="176" t="n"/>
      <c r="BN296" s="176" t="n"/>
      <c r="BO296" s="176" t="n"/>
      <c r="BP296" s="176" t="n"/>
      <c r="BQ296" s="176" t="n"/>
      <c r="BR296" s="176" t="n"/>
      <c r="BS296" s="176" t="n"/>
      <c r="BT296" s="176" t="n"/>
      <c r="BU296" s="176" t="n"/>
      <c r="BV296" s="176" t="n"/>
      <c r="BW296" s="176" t="n"/>
      <c r="BX296" s="176" t="n"/>
      <c r="BY296" s="176" t="n"/>
      <c r="BZ296" s="176" t="n"/>
      <c r="CA296" s="176" t="n"/>
      <c r="CB296" s="176" t="n"/>
      <c r="CC296" s="176" t="n"/>
      <c r="CD296" s="176" t="n"/>
      <c r="CE296" s="176" t="n"/>
      <c r="CF296" s="176" t="n"/>
      <c r="CG296" s="176" t="n"/>
      <c r="CH296" s="176" t="n"/>
      <c r="CI296" s="176" t="n"/>
      <c r="CJ296" s="176" t="n"/>
      <c r="CK296" s="176" t="n"/>
      <c r="CL296" s="176" t="n"/>
      <c r="CM296" s="176" t="n"/>
      <c r="CN296" s="176" t="n"/>
      <c r="CO296" s="176" t="n"/>
      <c r="CP296" s="176" t="n"/>
      <c r="CQ296" s="176" t="n"/>
      <c r="CR296" s="176" t="n"/>
      <c r="CS296" s="176" t="n"/>
      <c r="CT296" s="176" t="n"/>
      <c r="CU296" s="176" t="n"/>
      <c r="CV296" s="176" t="n"/>
      <c r="CW296" s="176" t="n"/>
      <c r="CX296" s="176" t="n"/>
      <c r="CY296" s="176" t="n"/>
      <c r="CZ296" s="176" t="n"/>
      <c r="DA296" s="176" t="n"/>
      <c r="DB296" s="176" t="n"/>
      <c r="DC296" s="176" t="n"/>
      <c r="DD296" s="176" t="n"/>
      <c r="DE296" s="176" t="n"/>
      <c r="DF296" s="176" t="n"/>
      <c r="DG296" s="176" t="n"/>
      <c r="DH296" s="176" t="n"/>
      <c r="DI296" s="176" t="n"/>
      <c r="DJ296" s="176" t="n"/>
      <c r="DK296" s="176" t="n"/>
      <c r="DL296" s="176" t="n"/>
      <c r="DM296" s="176" t="n"/>
      <c r="DN296" s="176" t="n"/>
      <c r="DO296" s="176" t="n"/>
      <c r="DP296" s="176" t="n"/>
      <c r="DQ296" s="176" t="n"/>
      <c r="DR296" s="176" t="n"/>
      <c r="DS296" s="176" t="n"/>
      <c r="DT296" s="176" t="n"/>
      <c r="DU296" s="176" t="n"/>
      <c r="DV296" s="176" t="n"/>
      <c r="DW296" s="176" t="n"/>
      <c r="DX296" s="176" t="n"/>
      <c r="DY296" s="176" t="n"/>
      <c r="DZ296" s="176" t="n"/>
      <c r="EA296" s="176" t="n"/>
      <c r="EB296" s="176" t="n"/>
      <c r="EC296" s="176" t="n"/>
      <c r="ED296" s="176" t="n"/>
      <c r="EE296" s="176" t="n"/>
      <c r="EF296" s="176" t="n"/>
      <c r="EG296" s="176" t="n"/>
      <c r="EH296" s="176" t="n"/>
      <c r="EI296" s="176" t="n"/>
      <c r="EJ296" s="176" t="n"/>
      <c r="EK296" s="176" t="n"/>
      <c r="EL296" s="176" t="n"/>
      <c r="EM296" s="176" t="n"/>
      <c r="EN296" s="176" t="n"/>
      <c r="EO296" s="176" t="n"/>
      <c r="EP296" s="176" t="n"/>
      <c r="EQ296" s="176" t="n"/>
      <c r="ER296" s="176" t="n"/>
      <c r="ES296" s="176" t="n"/>
      <c r="ET296" s="176" t="n"/>
      <c r="EU296" s="176" t="n"/>
      <c r="EV296" s="176" t="n"/>
      <c r="EW296" s="176" t="n"/>
      <c r="EX296" s="176" t="n"/>
      <c r="EY296" s="176" t="n"/>
      <c r="EZ296" s="176" t="n"/>
      <c r="FA296" s="176" t="n"/>
      <c r="FB296" s="176" t="n"/>
      <c r="FC296" s="176" t="n"/>
      <c r="FD296" s="176" t="n"/>
      <c r="FE296" s="176" t="n"/>
      <c r="FF296" s="176" t="n"/>
      <c r="FG296" s="176" t="n"/>
      <c r="FH296" s="176" t="n"/>
      <c r="FI296" s="176" t="n"/>
      <c r="FJ296" s="176" t="n"/>
      <c r="FK296" s="176" t="n"/>
      <c r="FL296" s="176" t="n"/>
      <c r="FM296" s="176" t="n"/>
      <c r="FN296" s="176" t="n"/>
      <c r="FO296" s="176" t="n"/>
      <c r="FP296" s="176" t="n"/>
      <c r="FQ296" s="176" t="n"/>
      <c r="FR296" s="176" t="n"/>
      <c r="FS296" s="176" t="n"/>
      <c r="FT296" s="176" t="n"/>
      <c r="FU296" s="176" t="n"/>
      <c r="FV296" s="176" t="n"/>
      <c r="FW296" s="176" t="n"/>
      <c r="FX296" s="176" t="n"/>
      <c r="FY296" s="176" t="n"/>
      <c r="FZ296" s="176" t="n"/>
      <c r="GA296" s="176" t="n"/>
      <c r="GB296" s="176" t="n"/>
      <c r="GC296" s="176" t="n"/>
      <c r="GD296" s="176" t="n"/>
      <c r="GE296" s="176" t="n"/>
      <c r="GF296" s="176" t="n"/>
      <c r="GG296" s="176" t="n"/>
      <c r="GH296" s="176" t="n"/>
      <c r="GI296" s="176" t="n"/>
      <c r="GJ296" s="176" t="n"/>
      <c r="GK296" s="176" t="n"/>
      <c r="GL296" s="176" t="n"/>
      <c r="GM296" s="176" t="n"/>
      <c r="GN296" s="176" t="n"/>
      <c r="GO296" s="176" t="n"/>
      <c r="GP296" s="176" t="n"/>
      <c r="GQ296" s="176" t="n"/>
      <c r="GR296" s="176" t="n"/>
      <c r="GS296" s="176" t="n"/>
      <c r="GT296" s="176" t="n"/>
      <c r="GU296" s="176" t="n"/>
      <c r="GV296" s="176" t="n"/>
      <c r="GW296" s="176" t="n"/>
      <c r="GX296" s="176" t="n"/>
      <c r="GY296" s="176" t="n"/>
      <c r="GZ296" s="176" t="n"/>
      <c r="HA296" s="176" t="n"/>
      <c r="HB296" s="176" t="n"/>
      <c r="HC296" s="176" t="n"/>
      <c r="HD296" s="176" t="n"/>
      <c r="HE296" s="176" t="n"/>
      <c r="HF296" s="176" t="n"/>
      <c r="HG296" s="176" t="n"/>
      <c r="HH296" s="176" t="n"/>
      <c r="HI296" s="176" t="n"/>
      <c r="HJ296" s="176" t="n"/>
      <c r="HK296" s="176" t="n"/>
      <c r="HL296" s="176" t="n"/>
      <c r="HM296" s="176" t="n"/>
      <c r="HN296" s="176" t="n"/>
      <c r="HO296" s="176" t="n"/>
      <c r="HP296" s="176" t="n"/>
      <c r="HQ296" s="176" t="n"/>
      <c r="HR296" s="176" t="n"/>
      <c r="HS296" s="176" t="n"/>
      <c r="HT296" s="176" t="n"/>
      <c r="HU296" s="176" t="n"/>
      <c r="HV296" s="176" t="n"/>
      <c r="HW296" s="176" t="n"/>
      <c r="HX296" s="176" t="n"/>
      <c r="HY296" s="176" t="n"/>
      <c r="HZ296" s="176" t="n"/>
      <c r="IA296" s="176" t="n"/>
      <c r="IB296" s="176" t="n"/>
      <c r="IC296" s="176" t="n"/>
      <c r="ID296" s="176" t="n"/>
    </row>
    <row r="297" ht="18.75" customHeight="1">
      <c r="A297" s="176" t="n"/>
      <c r="B297" s="176" t="n"/>
      <c r="C297" s="176" t="n"/>
      <c r="D297" s="176" t="n"/>
      <c r="E297" s="176" t="n"/>
      <c r="F297" s="176" t="n"/>
      <c r="G297" s="176" t="n"/>
      <c r="H297" s="176" t="n"/>
      <c r="I297" s="176" t="n"/>
      <c r="J297" s="176" t="n"/>
      <c r="K297" s="176" t="n"/>
      <c r="L297" s="176" t="n"/>
      <c r="M297" s="176" t="n"/>
      <c r="N297" s="176" t="n"/>
      <c r="O297" s="176" t="n"/>
      <c r="P297" s="176" t="n"/>
      <c r="Q297" s="176" t="n"/>
      <c r="R297" s="176" t="n"/>
      <c r="S297" s="176" t="n"/>
      <c r="T297" s="180">
        <f>IF('DADOS_CUSTOM'!$S$20="","Revise os valores ao trocar o tipo.","⚠ "&amp;'DADOS_CUSTOM'!$S$20)</f>
        <v/>
      </c>
      <c r="Z297" s="176" t="n"/>
      <c r="AA297" s="176" t="n"/>
      <c r="AB297" s="180">
        <f>IF('DADOS_CUSTOM'!$S$21="","Revise os valores ao trocar o tipo.","⚠ "&amp;'DADOS_CUSTOM'!$S$21)</f>
        <v/>
      </c>
      <c r="AH297" s="176" t="n"/>
      <c r="AI297" s="176" t="n"/>
      <c r="AJ297" s="176" t="n"/>
      <c r="AK297" s="176" t="n"/>
      <c r="AL297" s="176" t="n"/>
      <c r="AM297" s="176" t="n"/>
      <c r="AN297" s="176" t="n"/>
      <c r="AO297" s="176" t="n"/>
      <c r="AP297" s="176" t="n"/>
      <c r="AQ297" s="176" t="n"/>
      <c r="AR297" s="176" t="n"/>
      <c r="AS297" s="176" t="n"/>
      <c r="AT297" s="176" t="n"/>
      <c r="AU297" s="176" t="n"/>
      <c r="AV297" s="176" t="n"/>
      <c r="AW297" s="176" t="n"/>
      <c r="AX297" s="176" t="n"/>
      <c r="AY297" s="176" t="n"/>
      <c r="AZ297" s="176" t="n"/>
      <c r="BA297" s="176" t="n"/>
      <c r="BB297" s="176" t="n"/>
      <c r="BC297" s="176" t="n"/>
      <c r="BD297" s="176" t="n"/>
      <c r="BE297" s="176" t="n"/>
      <c r="BF297" s="176" t="n"/>
      <c r="BG297" s="176" t="n"/>
      <c r="BH297" s="176" t="n"/>
      <c r="BI297" s="176" t="n"/>
      <c r="BJ297" s="176" t="n"/>
      <c r="BK297" s="176" t="n"/>
      <c r="BL297" s="176" t="n"/>
      <c r="BM297" s="176" t="n"/>
      <c r="BN297" s="176" t="n"/>
      <c r="BO297" s="176" t="n"/>
      <c r="BP297" s="176" t="n"/>
      <c r="BQ297" s="176" t="n"/>
      <c r="BR297" s="176" t="n"/>
      <c r="BS297" s="176" t="n"/>
      <c r="BT297" s="176" t="n"/>
      <c r="BU297" s="176" t="n"/>
      <c r="BV297" s="176" t="n"/>
      <c r="BW297" s="176" t="n"/>
      <c r="BX297" s="176" t="n"/>
      <c r="BY297" s="176" t="n"/>
      <c r="BZ297" s="176" t="n"/>
      <c r="CA297" s="176" t="n"/>
      <c r="CB297" s="176" t="n"/>
      <c r="CC297" s="176" t="n"/>
      <c r="CD297" s="176" t="n"/>
      <c r="CE297" s="176" t="n"/>
      <c r="CF297" s="176" t="n"/>
      <c r="CG297" s="176" t="n"/>
      <c r="CH297" s="176" t="n"/>
      <c r="CI297" s="176" t="n"/>
      <c r="CJ297" s="176" t="n"/>
      <c r="CK297" s="176" t="n"/>
      <c r="CL297" s="176" t="n"/>
      <c r="CM297" s="176" t="n"/>
      <c r="CN297" s="176" t="n"/>
      <c r="CO297" s="176" t="n"/>
      <c r="CP297" s="176" t="n"/>
      <c r="CQ297" s="176" t="n"/>
      <c r="CR297" s="176" t="n"/>
      <c r="CS297" s="176" t="n"/>
      <c r="CT297" s="176" t="n"/>
      <c r="CU297" s="176" t="n"/>
      <c r="CV297" s="176" t="n"/>
      <c r="CW297" s="176" t="n"/>
      <c r="CX297" s="176" t="n"/>
      <c r="CY297" s="176" t="n"/>
      <c r="CZ297" s="176" t="n"/>
      <c r="DA297" s="179" t="inlineStr">
        <is>
          <t>MELHORIA · 23</t>
        </is>
      </c>
      <c r="DG297" s="176" t="n"/>
      <c r="DH297" s="176" t="n"/>
      <c r="DI297" s="179" t="inlineStr">
        <is>
          <t>MELHORIA · 24</t>
        </is>
      </c>
      <c r="DO297" s="176" t="n"/>
      <c r="DP297" s="176" t="n"/>
      <c r="DQ297" s="176" t="n"/>
      <c r="DR297" s="179" t="inlineStr">
        <is>
          <t>RESTRIÇÃO · 27</t>
        </is>
      </c>
      <c r="DX297" s="176" t="n"/>
      <c r="DY297" s="176" t="n"/>
      <c r="DZ297" s="179" t="inlineStr">
        <is>
          <t>RESTRIÇÃO · 28</t>
        </is>
      </c>
      <c r="EF297" s="176" t="n"/>
      <c r="EG297" s="176" t="n"/>
      <c r="EH297" s="176" t="n"/>
      <c r="EI297" s="176" t="n"/>
      <c r="EJ297" s="176" t="n"/>
      <c r="EK297" s="176" t="n"/>
      <c r="EL297" s="176" t="n"/>
      <c r="EM297" s="176" t="n"/>
      <c r="EN297" s="176" t="n"/>
      <c r="EO297" s="176" t="n"/>
      <c r="EP297" s="176" t="n"/>
      <c r="EQ297" s="176" t="n"/>
      <c r="ER297" s="176" t="n"/>
      <c r="ES297" s="176" t="n"/>
      <c r="ET297" s="176" t="n"/>
      <c r="EU297" s="176" t="n"/>
      <c r="EV297" s="176" t="n"/>
      <c r="EW297" s="176" t="n"/>
      <c r="EX297" s="176" t="n"/>
      <c r="EY297" s="176" t="n"/>
      <c r="EZ297" s="176" t="n"/>
      <c r="FA297" s="176" t="n"/>
      <c r="FB297" s="176" t="n"/>
      <c r="FC297" s="176" t="n"/>
      <c r="FD297" s="176" t="n"/>
      <c r="FE297" s="176" t="n"/>
      <c r="FF297" s="176" t="n"/>
      <c r="FG297" s="176" t="n"/>
      <c r="FH297" s="176" t="n"/>
      <c r="FI297" s="176" t="n"/>
      <c r="FJ297" s="176" t="n"/>
      <c r="FK297" s="176" t="n"/>
      <c r="FL297" s="176" t="n"/>
      <c r="FM297" s="176" t="n"/>
      <c r="FN297" s="176" t="n"/>
      <c r="FO297" s="176" t="n"/>
      <c r="FP297" s="176" t="n"/>
      <c r="FQ297" s="176" t="n"/>
      <c r="FR297" s="176" t="n"/>
      <c r="FS297" s="176" t="n"/>
      <c r="FT297" s="176" t="n"/>
      <c r="FU297" s="176" t="n"/>
      <c r="FV297" s="176" t="n"/>
      <c r="FW297" s="176" t="n"/>
      <c r="FX297" s="176" t="n"/>
      <c r="FY297" s="176" t="n"/>
      <c r="FZ297" s="176" t="n"/>
      <c r="GA297" s="176" t="n"/>
      <c r="GB297" s="176" t="n"/>
      <c r="GC297" s="176" t="n"/>
      <c r="GD297" s="176" t="n"/>
      <c r="GE297" s="176" t="n"/>
      <c r="GF297" s="176" t="n"/>
      <c r="GG297" s="176" t="n"/>
      <c r="GH297" s="176" t="n"/>
      <c r="GI297" s="176" t="n"/>
      <c r="GJ297" s="176" t="n"/>
      <c r="GK297" s="176" t="n"/>
      <c r="GL297" s="176" t="n"/>
      <c r="GM297" s="176" t="n"/>
      <c r="GN297" s="176" t="n"/>
      <c r="GO297" s="176" t="n"/>
      <c r="GP297" s="176" t="n"/>
      <c r="GQ297" s="176" t="n"/>
      <c r="GR297" s="176" t="n"/>
      <c r="GS297" s="176" t="n"/>
      <c r="GT297" s="176" t="n"/>
      <c r="GU297" s="176" t="n"/>
      <c r="GV297" s="176" t="n"/>
      <c r="GW297" s="176" t="n"/>
      <c r="GX297" s="176" t="n"/>
      <c r="GY297" s="176" t="n"/>
      <c r="GZ297" s="176" t="n"/>
      <c r="HA297" s="176" t="n"/>
      <c r="HB297" s="176" t="n"/>
      <c r="HC297" s="176" t="n"/>
      <c r="HD297" s="176" t="n"/>
      <c r="HE297" s="176" t="n"/>
      <c r="HF297" s="176" t="n"/>
      <c r="HG297" s="176" t="n"/>
      <c r="HH297" s="176" t="n"/>
      <c r="HI297" s="176" t="n"/>
      <c r="HJ297" s="176" t="n"/>
      <c r="HK297" s="176" t="n"/>
      <c r="HL297" s="176" t="n"/>
      <c r="HM297" s="176" t="n"/>
      <c r="HN297" s="176" t="n"/>
      <c r="HO297" s="176" t="n"/>
      <c r="HP297" s="176" t="n"/>
      <c r="HQ297" s="176" t="n"/>
      <c r="HR297" s="176" t="n"/>
      <c r="HS297" s="176" t="n"/>
      <c r="HT297" s="176" t="n"/>
      <c r="HU297" s="176" t="n"/>
      <c r="HV297" s="176" t="n"/>
      <c r="HW297" s="176" t="n"/>
      <c r="HX297" s="176" t="n"/>
      <c r="HY297" s="176" t="n"/>
      <c r="HZ297" s="176" t="n"/>
      <c r="IA297" s="176" t="n"/>
      <c r="IB297" s="176" t="n"/>
      <c r="IC297" s="176" t="n"/>
      <c r="ID297" s="176" t="n"/>
    </row>
    <row r="298" ht="18.75" customHeight="1">
      <c r="A298" s="176" t="n"/>
      <c r="B298" s="176" t="n"/>
      <c r="C298" s="176" t="n"/>
      <c r="D298" s="176" t="n"/>
      <c r="E298" s="176" t="n"/>
      <c r="F298" s="176" t="n"/>
      <c r="G298" s="176" t="n"/>
      <c r="H298" s="176" t="n"/>
      <c r="I298" s="176" t="n"/>
      <c r="J298" s="176" t="n"/>
      <c r="K298" s="176" t="n"/>
      <c r="L298" s="176" t="n"/>
      <c r="M298" s="176" t="n"/>
      <c r="N298" s="176" t="n"/>
      <c r="O298" s="176" t="n"/>
      <c r="P298" s="176" t="n"/>
      <c r="Q298" s="176" t="n"/>
      <c r="R298" s="176" t="n"/>
      <c r="S298" s="176" t="n"/>
      <c r="Z298" s="176" t="n"/>
      <c r="AA298" s="176" t="n"/>
      <c r="AH298" s="176" t="n"/>
      <c r="AI298" s="176" t="n"/>
      <c r="AJ298" s="176" t="n"/>
      <c r="AK298" s="176" t="n"/>
      <c r="AL298" s="176" t="n"/>
      <c r="AM298" s="176" t="n"/>
      <c r="AN298" s="176" t="n"/>
      <c r="AO298" s="176" t="n"/>
      <c r="AP298" s="176" t="n"/>
      <c r="AQ298" s="176" t="n"/>
      <c r="AR298" s="176" t="n"/>
      <c r="AS298" s="176" t="n"/>
      <c r="AT298" s="176" t="n"/>
      <c r="AU298" s="176" t="n"/>
      <c r="AV298" s="176" t="n"/>
      <c r="AW298" s="176" t="n"/>
      <c r="AX298" s="176" t="n"/>
      <c r="AY298" s="176" t="n"/>
      <c r="AZ298" s="176" t="n"/>
      <c r="BA298" s="176" t="n"/>
      <c r="BB298" s="176" t="n"/>
      <c r="BC298" s="176" t="n"/>
      <c r="BD298" s="176" t="n"/>
      <c r="BE298" s="176" t="n"/>
      <c r="BF298" s="176" t="n"/>
      <c r="BG298" s="176" t="n"/>
      <c r="BH298" s="176" t="n"/>
      <c r="BI298" s="176" t="n"/>
      <c r="BJ298" s="176" t="n"/>
      <c r="BK298" s="176" t="n"/>
      <c r="BL298" s="176" t="n"/>
      <c r="BM298" s="176" t="n"/>
      <c r="BN298" s="176" t="n"/>
      <c r="BO298" s="176" t="n"/>
      <c r="BP298" s="176" t="n"/>
      <c r="BQ298" s="176" t="n"/>
      <c r="BR298" s="176" t="n"/>
      <c r="BS298" s="176" t="n"/>
      <c r="BT298" s="176" t="n"/>
      <c r="BU298" s="176" t="n"/>
      <c r="BV298" s="176" t="n"/>
      <c r="BW298" s="176" t="n"/>
      <c r="BX298" s="176" t="n"/>
      <c r="BY298" s="176" t="n"/>
      <c r="BZ298" s="176" t="n"/>
      <c r="CA298" s="176" t="n"/>
      <c r="CB298" s="176" t="n"/>
      <c r="CC298" s="176" t="n"/>
      <c r="CD298" s="176" t="n"/>
      <c r="CE298" s="176" t="n"/>
      <c r="CF298" s="176" t="n"/>
      <c r="CG298" s="176" t="n"/>
      <c r="CH298" s="176" t="n"/>
      <c r="CI298" s="176" t="n"/>
      <c r="CJ298" s="176" t="n"/>
      <c r="CK298" s="176" t="n"/>
      <c r="CL298" s="176" t="n"/>
      <c r="CM298" s="176" t="n"/>
      <c r="CN298" s="176" t="n"/>
      <c r="CO298" s="176" t="n"/>
      <c r="CP298" s="176" t="n"/>
      <c r="CQ298" s="176" t="n"/>
      <c r="CR298" s="176" t="n"/>
      <c r="CS298" s="176" t="n"/>
      <c r="CT298" s="176" t="n"/>
      <c r="CU298" s="176" t="n"/>
      <c r="CV298" s="176" t="n"/>
      <c r="CW298" s="176" t="n"/>
      <c r="CX298" s="176" t="n"/>
      <c r="CY298" s="176" t="n"/>
      <c r="CZ298" s="176" t="n"/>
      <c r="DA298" s="181" t="inlineStr">
        <is>
          <t>TIPO</t>
        </is>
      </c>
      <c r="DB298" s="182" t="n"/>
      <c r="DC298" s="182" t="n"/>
      <c r="DD298" s="183" t="n"/>
      <c r="DE298" s="181" t="inlineStr">
        <is>
          <t>MESTRE VIU</t>
        </is>
      </c>
      <c r="DF298" s="183" t="n"/>
      <c r="DG298" s="176" t="n"/>
      <c r="DH298" s="176" t="n"/>
      <c r="DI298" s="181" t="inlineStr">
        <is>
          <t>TIPO</t>
        </is>
      </c>
      <c r="DJ298" s="182" t="n"/>
      <c r="DK298" s="182" t="n"/>
      <c r="DL298" s="183" t="n"/>
      <c r="DM298" s="181" t="inlineStr">
        <is>
          <t>MESTRE VIU</t>
        </is>
      </c>
      <c r="DN298" s="183" t="n"/>
      <c r="DO298" s="176" t="n"/>
      <c r="DP298" s="176" t="n"/>
      <c r="DQ298" s="176" t="n"/>
      <c r="DR298" s="181" t="inlineStr">
        <is>
          <t>TIPO</t>
        </is>
      </c>
      <c r="DS298" s="182" t="n"/>
      <c r="DT298" s="182" t="n"/>
      <c r="DU298" s="183" t="n"/>
      <c r="DV298" s="181" t="inlineStr">
        <is>
          <t>MESTRE VIU</t>
        </is>
      </c>
      <c r="DW298" s="183" t="n"/>
      <c r="DX298" s="176" t="n"/>
      <c r="DY298" s="176" t="n"/>
      <c r="DZ298" s="181" t="inlineStr">
        <is>
          <t>TIPO</t>
        </is>
      </c>
      <c r="EA298" s="182" t="n"/>
      <c r="EB298" s="182" t="n"/>
      <c r="EC298" s="183" t="n"/>
      <c r="ED298" s="181" t="inlineStr">
        <is>
          <t>MESTRE VIU</t>
        </is>
      </c>
      <c r="EE298" s="183" t="n"/>
      <c r="EF298" s="176" t="n"/>
      <c r="EG298" s="176" t="n"/>
      <c r="EH298" s="176" t="n"/>
      <c r="EI298" s="176" t="n"/>
      <c r="EJ298" s="176" t="n"/>
      <c r="EK298" s="176" t="n"/>
      <c r="EL298" s="176" t="n"/>
      <c r="EM298" s="176" t="n"/>
      <c r="EN298" s="176" t="n"/>
      <c r="EO298" s="176" t="n"/>
      <c r="EP298" s="176" t="n"/>
      <c r="EQ298" s="176" t="n"/>
      <c r="ER298" s="176" t="n"/>
      <c r="ES298" s="176" t="n"/>
      <c r="ET298" s="176" t="n"/>
      <c r="EU298" s="176" t="n"/>
      <c r="EV298" s="176" t="n"/>
      <c r="EW298" s="176" t="n"/>
      <c r="EX298" s="176" t="n"/>
      <c r="EY298" s="176" t="n"/>
      <c r="EZ298" s="176" t="n"/>
      <c r="FA298" s="176" t="n"/>
      <c r="FB298" s="176" t="n"/>
      <c r="FC298" s="176" t="n"/>
      <c r="FD298" s="176" t="n"/>
      <c r="FE298" s="176" t="n"/>
      <c r="FF298" s="176" t="n"/>
      <c r="FG298" s="176" t="n"/>
      <c r="FH298" s="176" t="n"/>
      <c r="FI298" s="176" t="n"/>
      <c r="FJ298" s="176" t="n"/>
      <c r="FK298" s="176" t="n"/>
      <c r="FL298" s="176" t="n"/>
      <c r="FM298" s="176" t="n"/>
      <c r="FN298" s="176" t="n"/>
      <c r="FO298" s="176" t="n"/>
      <c r="FP298" s="176" t="n"/>
      <c r="FQ298" s="176" t="n"/>
      <c r="FR298" s="176" t="n"/>
      <c r="FS298" s="176" t="n"/>
      <c r="FT298" s="176" t="n"/>
      <c r="FU298" s="176" t="n"/>
      <c r="FV298" s="176" t="n"/>
      <c r="FW298" s="176" t="n"/>
      <c r="FX298" s="176" t="n"/>
      <c r="FY298" s="176" t="n"/>
      <c r="FZ298" s="176" t="n"/>
      <c r="GA298" s="176" t="n"/>
      <c r="GB298" s="176" t="n"/>
      <c r="GC298" s="176" t="n"/>
      <c r="GD298" s="176" t="n"/>
      <c r="GE298" s="176" t="n"/>
      <c r="GF298" s="176" t="n"/>
      <c r="GG298" s="176" t="n"/>
      <c r="GH298" s="176" t="n"/>
      <c r="GI298" s="176" t="n"/>
      <c r="GJ298" s="176" t="n"/>
      <c r="GK298" s="176" t="n"/>
      <c r="GL298" s="176" t="n"/>
      <c r="GM298" s="176" t="n"/>
      <c r="GN298" s="176" t="n"/>
      <c r="GO298" s="176" t="n"/>
      <c r="GP298" s="176" t="n"/>
      <c r="GQ298" s="176" t="n"/>
      <c r="GR298" s="176" t="n"/>
      <c r="GS298" s="176" t="n"/>
      <c r="GT298" s="176" t="n"/>
      <c r="GU298" s="176" t="n"/>
      <c r="GV298" s="176" t="n"/>
      <c r="GW298" s="176" t="n"/>
      <c r="GX298" s="176" t="n"/>
      <c r="GY298" s="176" t="n"/>
      <c r="GZ298" s="176" t="n"/>
      <c r="HA298" s="176" t="n"/>
      <c r="HB298" s="176" t="n"/>
      <c r="HC298" s="176" t="n"/>
      <c r="HD298" s="176" t="n"/>
      <c r="HE298" s="176" t="n"/>
      <c r="HF298" s="176" t="n"/>
      <c r="HG298" s="176" t="n"/>
      <c r="HH298" s="176" t="n"/>
      <c r="HI298" s="176" t="n"/>
      <c r="HJ298" s="176" t="n"/>
      <c r="HK298" s="176" t="n"/>
      <c r="HL298" s="176" t="n"/>
      <c r="HM298" s="176" t="n"/>
      <c r="HN298" s="176" t="n"/>
      <c r="HO298" s="176" t="n"/>
      <c r="HP298" s="176" t="n"/>
      <c r="HQ298" s="176" t="n"/>
      <c r="HR298" s="176" t="n"/>
      <c r="HS298" s="176" t="n"/>
      <c r="HT298" s="176" t="n"/>
      <c r="HU298" s="176" t="n"/>
      <c r="HV298" s="176" t="n"/>
      <c r="HW298" s="176" t="n"/>
      <c r="HX298" s="176" t="n"/>
      <c r="HY298" s="176" t="n"/>
      <c r="HZ298" s="176" t="n"/>
      <c r="IA298" s="176" t="n"/>
      <c r="IB298" s="176" t="n"/>
      <c r="IC298" s="176" t="n"/>
      <c r="ID298" s="176" t="n"/>
    </row>
    <row r="299" ht="18.75" customHeight="1">
      <c r="A299" s="176" t="n"/>
      <c r="B299" s="176" t="n"/>
      <c r="C299" s="176" t="n"/>
      <c r="D299" s="176" t="n"/>
      <c r="E299" s="176" t="n"/>
      <c r="F299" s="176" t="n"/>
      <c r="G299" s="176" t="n"/>
      <c r="H299" s="176" t="n"/>
      <c r="I299" s="176" t="n"/>
      <c r="J299" s="176" t="n"/>
      <c r="K299" s="176" t="n"/>
      <c r="L299" s="176" t="n"/>
      <c r="M299" s="176" t="n"/>
      <c r="N299" s="176" t="n"/>
      <c r="O299" s="176" t="n"/>
      <c r="P299" s="176" t="n"/>
      <c r="Q299" s="176" t="n"/>
      <c r="R299" s="176" t="n"/>
      <c r="S299" s="176" t="n"/>
      <c r="T299" s="176" t="n"/>
      <c r="U299" s="176" t="n"/>
      <c r="V299" s="176" t="n"/>
      <c r="W299" s="176" t="n"/>
      <c r="X299" s="176" t="n"/>
      <c r="Y299" s="176" t="n"/>
      <c r="Z299" s="176" t="n"/>
      <c r="AA299" s="176" t="n"/>
      <c r="AB299" s="176" t="n"/>
      <c r="AC299" s="176" t="n"/>
      <c r="AD299" s="176" t="n"/>
      <c r="AE299" s="176" t="n"/>
      <c r="AF299" s="176" t="n"/>
      <c r="AG299" s="176" t="n"/>
      <c r="AH299" s="176" t="n"/>
      <c r="AI299" s="176" t="n"/>
      <c r="AJ299" s="176" t="n"/>
      <c r="AK299" s="176" t="n"/>
      <c r="AL299" s="176" t="n"/>
      <c r="AM299" s="176" t="n"/>
      <c r="AN299" s="176" t="n"/>
      <c r="AO299" s="176" t="n"/>
      <c r="AP299" s="176" t="n"/>
      <c r="AQ299" s="176" t="n"/>
      <c r="AR299" s="176" t="n"/>
      <c r="AS299" s="176" t="n"/>
      <c r="AT299" s="176" t="n"/>
      <c r="AU299" s="176" t="n"/>
      <c r="AV299" s="176" t="n"/>
      <c r="AW299" s="176" t="n"/>
      <c r="AX299" s="176" t="n"/>
      <c r="AY299" s="176" t="n"/>
      <c r="AZ299" s="176" t="n"/>
      <c r="BA299" s="176" t="n"/>
      <c r="BB299" s="176" t="n"/>
      <c r="BC299" s="176" t="n"/>
      <c r="BD299" s="176" t="n"/>
      <c r="BE299" s="176" t="n"/>
      <c r="BF299" s="176" t="n"/>
      <c r="BG299" s="176" t="n"/>
      <c r="BH299" s="176" t="n"/>
      <c r="BI299" s="176" t="n"/>
      <c r="BJ299" s="176" t="n"/>
      <c r="BK299" s="176" t="n"/>
      <c r="BL299" s="176" t="n"/>
      <c r="BM299" s="176" t="n"/>
      <c r="BN299" s="176" t="n"/>
      <c r="BO299" s="176" t="n"/>
      <c r="BP299" s="176" t="n"/>
      <c r="BQ299" s="176" t="n"/>
      <c r="BR299" s="176" t="n"/>
      <c r="BS299" s="176" t="n"/>
      <c r="BT299" s="176" t="n"/>
      <c r="BU299" s="176" t="n"/>
      <c r="BV299" s="176" t="n"/>
      <c r="BW299" s="176" t="n"/>
      <c r="BX299" s="176" t="n"/>
      <c r="BY299" s="176" t="n"/>
      <c r="BZ299" s="176" t="n"/>
      <c r="CA299" s="176" t="n"/>
      <c r="CB299" s="176" t="n"/>
      <c r="CC299" s="176" t="n"/>
      <c r="CD299" s="176" t="n"/>
      <c r="CE299" s="176" t="n"/>
      <c r="CF299" s="176" t="n"/>
      <c r="CG299" s="176" t="n"/>
      <c r="CH299" s="176" t="n"/>
      <c r="CI299" s="176" t="n"/>
      <c r="CJ299" s="176" t="n"/>
      <c r="CK299" s="176" t="n"/>
      <c r="CL299" s="176" t="n"/>
      <c r="CM299" s="176" t="n"/>
      <c r="CN299" s="176" t="n"/>
      <c r="CO299" s="176" t="n"/>
      <c r="CP299" s="176" t="n"/>
      <c r="CQ299" s="176" t="n"/>
      <c r="CR299" s="176" t="n"/>
      <c r="CS299" s="176" t="n"/>
      <c r="CT299" s="176" t="n"/>
      <c r="CU299" s="176" t="n"/>
      <c r="CV299" s="176" t="n"/>
      <c r="CW299" s="176" t="n"/>
      <c r="CX299" s="176" t="n"/>
      <c r="CY299" s="176" t="n"/>
      <c r="CZ299" s="176" t="n"/>
      <c r="DA299" s="185" t="inlineStr">
        <is>
          <t>Melhoria</t>
        </is>
      </c>
      <c r="DB299" s="182" t="n"/>
      <c r="DC299" s="182" t="n"/>
      <c r="DD299" s="183" t="n"/>
      <c r="DE299" s="184" t="b">
        <v>0</v>
      </c>
      <c r="DF299" s="183" t="n"/>
      <c r="DG299" s="176" t="n"/>
      <c r="DH299" s="176" t="n"/>
      <c r="DI299" s="185" t="inlineStr">
        <is>
          <t>Melhoria</t>
        </is>
      </c>
      <c r="DJ299" s="182" t="n"/>
      <c r="DK299" s="182" t="n"/>
      <c r="DL299" s="183" t="n"/>
      <c r="DM299" s="184" t="b">
        <v>0</v>
      </c>
      <c r="DN299" s="183" t="n"/>
      <c r="DO299" s="176" t="n"/>
      <c r="DP299" s="176" t="n"/>
      <c r="DQ299" s="176" t="n"/>
      <c r="DR299" s="185" t="inlineStr">
        <is>
          <t>Restrição</t>
        </is>
      </c>
      <c r="DS299" s="182" t="n"/>
      <c r="DT299" s="182" t="n"/>
      <c r="DU299" s="183" t="n"/>
      <c r="DV299" s="184" t="b">
        <v>0</v>
      </c>
      <c r="DW299" s="183" t="n"/>
      <c r="DX299" s="176" t="n"/>
      <c r="DY299" s="176" t="n"/>
      <c r="DZ299" s="185" t="inlineStr">
        <is>
          <t>Restrição</t>
        </is>
      </c>
      <c r="EA299" s="182" t="n"/>
      <c r="EB299" s="182" t="n"/>
      <c r="EC299" s="183" t="n"/>
      <c r="ED299" s="184" t="b">
        <v>0</v>
      </c>
      <c r="EE299" s="183" t="n"/>
      <c r="EF299" s="176" t="n"/>
      <c r="EG299" s="176" t="n"/>
      <c r="EH299" s="176" t="n"/>
      <c r="EI299" s="176" t="n"/>
      <c r="EJ299" s="176" t="n"/>
      <c r="EK299" s="176" t="n"/>
      <c r="EL299" s="176" t="n"/>
      <c r="EM299" s="176" t="n"/>
      <c r="EN299" s="176" t="n"/>
      <c r="EO299" s="176" t="n"/>
      <c r="EP299" s="176" t="n"/>
      <c r="EQ299" s="176" t="n"/>
      <c r="ER299" s="176" t="n"/>
      <c r="ES299" s="176" t="n"/>
      <c r="ET299" s="176" t="n"/>
      <c r="EU299" s="176" t="n"/>
      <c r="EV299" s="176" t="n"/>
      <c r="EW299" s="176" t="n"/>
      <c r="EX299" s="176" t="n"/>
      <c r="EY299" s="176" t="n"/>
      <c r="EZ299" s="176" t="n"/>
      <c r="FA299" s="176" t="n"/>
      <c r="FB299" s="176" t="n"/>
      <c r="FC299" s="176" t="n"/>
      <c r="FD299" s="176" t="n"/>
      <c r="FE299" s="176" t="n"/>
      <c r="FF299" s="176" t="n"/>
      <c r="FG299" s="176" t="n"/>
      <c r="FH299" s="176" t="n"/>
      <c r="FI299" s="176" t="n"/>
      <c r="FJ299" s="176" t="n"/>
      <c r="FK299" s="176" t="n"/>
      <c r="FL299" s="176" t="n"/>
      <c r="FM299" s="176" t="n"/>
      <c r="FN299" s="176" t="n"/>
      <c r="FO299" s="176" t="n"/>
      <c r="FP299" s="176" t="n"/>
      <c r="FQ299" s="176" t="n"/>
      <c r="FR299" s="176" t="n"/>
      <c r="FS299" s="176" t="n"/>
      <c r="FT299" s="176" t="n"/>
      <c r="FU299" s="176" t="n"/>
      <c r="FV299" s="176" t="n"/>
      <c r="FW299" s="176" t="n"/>
      <c r="FX299" s="176" t="n"/>
      <c r="FY299" s="176" t="n"/>
      <c r="FZ299" s="176" t="n"/>
      <c r="GA299" s="176" t="n"/>
      <c r="GB299" s="176" t="n"/>
      <c r="GC299" s="176" t="n"/>
      <c r="GD299" s="176" t="n"/>
      <c r="GE299" s="176" t="n"/>
      <c r="GF299" s="176" t="n"/>
      <c r="GG299" s="176" t="n"/>
      <c r="GH299" s="176" t="n"/>
      <c r="GI299" s="176" t="n"/>
      <c r="GJ299" s="176" t="n"/>
      <c r="GK299" s="176" t="n"/>
      <c r="GL299" s="176" t="n"/>
      <c r="GM299" s="176" t="n"/>
      <c r="GN299" s="176" t="n"/>
      <c r="GO299" s="176" t="n"/>
      <c r="GP299" s="176" t="n"/>
      <c r="GQ299" s="176" t="n"/>
      <c r="GR299" s="176" t="n"/>
      <c r="GS299" s="176" t="n"/>
      <c r="GT299" s="176" t="n"/>
      <c r="GU299" s="176" t="n"/>
      <c r="GV299" s="176" t="n"/>
      <c r="GW299" s="176" t="n"/>
      <c r="GX299" s="176" t="n"/>
      <c r="GY299" s="176" t="n"/>
      <c r="GZ299" s="176" t="n"/>
      <c r="HA299" s="176" t="n"/>
      <c r="HB299" s="176" t="n"/>
      <c r="HC299" s="176" t="n"/>
      <c r="HD299" s="176" t="n"/>
      <c r="HE299" s="176" t="n"/>
      <c r="HF299" s="176" t="n"/>
      <c r="HG299" s="176" t="n"/>
      <c r="HH299" s="176" t="n"/>
      <c r="HI299" s="176" t="n"/>
      <c r="HJ299" s="176" t="n"/>
      <c r="HK299" s="176" t="n"/>
      <c r="HL299" s="176" t="n"/>
      <c r="HM299" s="176" t="n"/>
      <c r="HN299" s="176" t="n"/>
      <c r="HO299" s="176" t="n"/>
      <c r="HP299" s="176" t="n"/>
      <c r="HQ299" s="176" t="n"/>
      <c r="HR299" s="176" t="n"/>
      <c r="HS299" s="176" t="n"/>
      <c r="HT299" s="176" t="n"/>
      <c r="HU299" s="176" t="n"/>
      <c r="HV299" s="176" t="n"/>
      <c r="HW299" s="176" t="n"/>
      <c r="HX299" s="176" t="n"/>
      <c r="HY299" s="176" t="n"/>
      <c r="HZ299" s="176" t="n"/>
      <c r="IA299" s="176" t="n"/>
      <c r="IB299" s="176" t="n"/>
      <c r="IC299" s="176" t="n"/>
      <c r="ID299" s="176" t="n"/>
    </row>
    <row r="300" ht="18.75" customHeight="1">
      <c r="A300" s="176" t="n"/>
      <c r="B300" s="176" t="n"/>
      <c r="C300" s="176" t="n"/>
      <c r="D300" s="176" t="n"/>
      <c r="E300" s="176" t="n"/>
      <c r="F300" s="176" t="n"/>
      <c r="G300" s="176" t="n"/>
      <c r="H300" s="176" t="n"/>
      <c r="I300" s="176" t="n"/>
      <c r="J300" s="176" t="n"/>
      <c r="K300" s="176" t="n"/>
      <c r="L300" s="176" t="n"/>
      <c r="M300" s="176" t="n"/>
      <c r="N300" s="176" t="n"/>
      <c r="O300" s="176" t="n"/>
      <c r="P300" s="176" t="n"/>
      <c r="Q300" s="176" t="n"/>
      <c r="R300" s="176" t="n"/>
      <c r="S300" s="176" t="n"/>
      <c r="T300" s="176" t="n"/>
      <c r="U300" s="176" t="n"/>
      <c r="V300" s="176" t="n"/>
      <c r="W300" s="176" t="n"/>
      <c r="X300" s="176" t="n"/>
      <c r="Y300" s="176" t="n"/>
      <c r="Z300" s="176" t="n"/>
      <c r="AA300" s="176" t="n"/>
      <c r="AB300" s="176" t="n"/>
      <c r="AC300" s="176" t="n"/>
      <c r="AD300" s="176" t="n"/>
      <c r="AE300" s="176" t="n"/>
      <c r="AF300" s="176" t="n"/>
      <c r="AG300" s="176" t="n"/>
      <c r="AH300" s="176" t="n"/>
      <c r="AI300" s="176" t="n"/>
      <c r="AJ300" s="176" t="n"/>
      <c r="AK300" s="176" t="n"/>
      <c r="AL300" s="176" t="n"/>
      <c r="AM300" s="176" t="n"/>
      <c r="AN300" s="176" t="n"/>
      <c r="AO300" s="176" t="n"/>
      <c r="AP300" s="176" t="n"/>
      <c r="AQ300" s="176" t="n"/>
      <c r="AR300" s="176" t="n"/>
      <c r="AS300" s="176" t="n"/>
      <c r="AT300" s="176" t="n"/>
      <c r="AU300" s="176" t="n"/>
      <c r="AV300" s="176" t="n"/>
      <c r="AW300" s="176" t="n"/>
      <c r="AX300" s="176" t="n"/>
      <c r="AY300" s="176" t="n"/>
      <c r="AZ300" s="176" t="n"/>
      <c r="BA300" s="176" t="n"/>
      <c r="BB300" s="176" t="n"/>
      <c r="BC300" s="176" t="n"/>
      <c r="BD300" s="176" t="n"/>
      <c r="BE300" s="176" t="n"/>
      <c r="BF300" s="176" t="n"/>
      <c r="BG300" s="176" t="n"/>
      <c r="BH300" s="176" t="n"/>
      <c r="BI300" s="176" t="n"/>
      <c r="BJ300" s="176" t="n"/>
      <c r="BK300" s="176" t="n"/>
      <c r="BL300" s="176" t="n"/>
      <c r="BM300" s="176" t="n"/>
      <c r="BN300" s="176" t="n"/>
      <c r="BO300" s="176" t="n"/>
      <c r="BP300" s="176" t="n"/>
      <c r="BQ300" s="176" t="n"/>
      <c r="BR300" s="176" t="n"/>
      <c r="BS300" s="176" t="n"/>
      <c r="BT300" s="176" t="n"/>
      <c r="BU300" s="176" t="n"/>
      <c r="BV300" s="176" t="n"/>
      <c r="BW300" s="176" t="n"/>
      <c r="BX300" s="176" t="n"/>
      <c r="BY300" s="176" t="n"/>
      <c r="BZ300" s="176" t="n"/>
      <c r="CA300" s="176" t="n"/>
      <c r="CB300" s="176" t="n"/>
      <c r="CC300" s="176" t="n"/>
      <c r="CD300" s="176" t="n"/>
      <c r="CE300" s="176" t="n"/>
      <c r="CF300" s="176" t="n"/>
      <c r="CG300" s="176" t="n"/>
      <c r="CH300" s="176" t="n"/>
      <c r="CI300" s="176" t="n"/>
      <c r="CJ300" s="176" t="n"/>
      <c r="CK300" s="176" t="n"/>
      <c r="CL300" s="176" t="n"/>
      <c r="CM300" s="176" t="n"/>
      <c r="CN300" s="176" t="n"/>
      <c r="CO300" s="176" t="n"/>
      <c r="CP300" s="176" t="n"/>
      <c r="CQ300" s="176" t="n"/>
      <c r="CR300" s="176" t="n"/>
      <c r="CS300" s="176" t="n"/>
      <c r="CT300" s="176" t="n"/>
      <c r="CU300" s="176" t="n"/>
      <c r="CV300" s="176" t="n"/>
      <c r="CW300" s="176" t="n"/>
      <c r="CX300" s="176" t="n"/>
      <c r="CY300" s="176" t="n"/>
      <c r="CZ300" s="176" t="n"/>
      <c r="DA300" s="181" t="inlineStr">
        <is>
          <t>NOME</t>
        </is>
      </c>
      <c r="DB300" s="182" t="n"/>
      <c r="DC300" s="182" t="n"/>
      <c r="DD300" s="182" t="n"/>
      <c r="DE300" s="182" t="n"/>
      <c r="DF300" s="183" t="n"/>
      <c r="DG300" s="176" t="n"/>
      <c r="DH300" s="176" t="n"/>
      <c r="DI300" s="181" t="inlineStr">
        <is>
          <t>NOME</t>
        </is>
      </c>
      <c r="DJ300" s="182" t="n"/>
      <c r="DK300" s="182" t="n"/>
      <c r="DL300" s="182" t="n"/>
      <c r="DM300" s="182" t="n"/>
      <c r="DN300" s="183" t="n"/>
      <c r="DO300" s="176" t="n"/>
      <c r="DP300" s="176" t="n"/>
      <c r="DQ300" s="176" t="n"/>
      <c r="DR300" s="181" t="inlineStr">
        <is>
          <t>NOME</t>
        </is>
      </c>
      <c r="DS300" s="182" t="n"/>
      <c r="DT300" s="182" t="n"/>
      <c r="DU300" s="182" t="n"/>
      <c r="DV300" s="182" t="n"/>
      <c r="DW300" s="183" t="n"/>
      <c r="DX300" s="176" t="n"/>
      <c r="DY300" s="176" t="n"/>
      <c r="DZ300" s="181" t="inlineStr">
        <is>
          <t>NOME</t>
        </is>
      </c>
      <c r="EA300" s="182" t="n"/>
      <c r="EB300" s="182" t="n"/>
      <c r="EC300" s="182" t="n"/>
      <c r="ED300" s="182" t="n"/>
      <c r="EE300" s="183" t="n"/>
      <c r="EF300" s="176" t="n"/>
      <c r="EG300" s="176" t="n"/>
      <c r="EH300" s="176" t="n"/>
      <c r="EI300" s="176" t="n"/>
      <c r="EJ300" s="176" t="n"/>
      <c r="EK300" s="176" t="n"/>
      <c r="EL300" s="176" t="n"/>
      <c r="EM300" s="176" t="n"/>
      <c r="EN300" s="176" t="n"/>
      <c r="EO300" s="176" t="n"/>
      <c r="EP300" s="176" t="n"/>
      <c r="EQ300" s="176" t="n"/>
      <c r="ER300" s="176" t="n"/>
      <c r="ES300" s="176" t="n"/>
      <c r="ET300" s="176" t="n"/>
      <c r="EU300" s="176" t="n"/>
      <c r="EV300" s="176" t="n"/>
      <c r="EW300" s="176" t="n"/>
      <c r="EX300" s="176" t="n"/>
      <c r="EY300" s="176" t="n"/>
      <c r="EZ300" s="176" t="n"/>
      <c r="FA300" s="176" t="n"/>
      <c r="FB300" s="176" t="n"/>
      <c r="FC300" s="176" t="n"/>
      <c r="FD300" s="176" t="n"/>
      <c r="FE300" s="176" t="n"/>
      <c r="FF300" s="176" t="n"/>
      <c r="FG300" s="176" t="n"/>
      <c r="FH300" s="176" t="n"/>
      <c r="FI300" s="176" t="n"/>
      <c r="FJ300" s="176" t="n"/>
      <c r="FK300" s="176" t="n"/>
      <c r="FL300" s="176" t="n"/>
      <c r="FM300" s="176" t="n"/>
      <c r="FN300" s="176" t="n"/>
      <c r="FO300" s="176" t="n"/>
      <c r="FP300" s="176" t="n"/>
      <c r="FQ300" s="176" t="n"/>
      <c r="FR300" s="176" t="n"/>
      <c r="FS300" s="176" t="n"/>
      <c r="FT300" s="176" t="n"/>
      <c r="FU300" s="176" t="n"/>
      <c r="FV300" s="176" t="n"/>
      <c r="FW300" s="176" t="n"/>
      <c r="FX300" s="176" t="n"/>
      <c r="FY300" s="176" t="n"/>
      <c r="FZ300" s="176" t="n"/>
      <c r="GA300" s="176" t="n"/>
      <c r="GB300" s="176" t="n"/>
      <c r="GC300" s="176" t="n"/>
      <c r="GD300" s="176" t="n"/>
      <c r="GE300" s="176" t="n"/>
      <c r="GF300" s="176" t="n"/>
      <c r="GG300" s="176" t="n"/>
      <c r="GH300" s="176" t="n"/>
      <c r="GI300" s="176" t="n"/>
      <c r="GJ300" s="176" t="n"/>
      <c r="GK300" s="176" t="n"/>
      <c r="GL300" s="176" t="n"/>
      <c r="GM300" s="176" t="n"/>
      <c r="GN300" s="176" t="n"/>
      <c r="GO300" s="176" t="n"/>
      <c r="GP300" s="176" t="n"/>
      <c r="GQ300" s="176" t="n"/>
      <c r="GR300" s="176" t="n"/>
      <c r="GS300" s="176" t="n"/>
      <c r="GT300" s="176" t="n"/>
      <c r="GU300" s="176" t="n"/>
      <c r="GV300" s="176" t="n"/>
      <c r="GW300" s="176" t="n"/>
      <c r="GX300" s="176" t="n"/>
      <c r="GY300" s="176" t="n"/>
      <c r="GZ300" s="176" t="n"/>
      <c r="HA300" s="176" t="n"/>
      <c r="HB300" s="176" t="n"/>
      <c r="HC300" s="176" t="n"/>
      <c r="HD300" s="176" t="n"/>
      <c r="HE300" s="176" t="n"/>
      <c r="HF300" s="176" t="n"/>
      <c r="HG300" s="176" t="n"/>
      <c r="HH300" s="176" t="n"/>
      <c r="HI300" s="176" t="n"/>
      <c r="HJ300" s="176" t="n"/>
      <c r="HK300" s="176" t="n"/>
      <c r="HL300" s="176" t="n"/>
      <c r="HM300" s="176" t="n"/>
      <c r="HN300" s="176" t="n"/>
      <c r="HO300" s="176" t="n"/>
      <c r="HP300" s="176" t="n"/>
      <c r="HQ300" s="176" t="n"/>
      <c r="HR300" s="176" t="n"/>
      <c r="HS300" s="176" t="n"/>
      <c r="HT300" s="176" t="n"/>
      <c r="HU300" s="176" t="n"/>
      <c r="HV300" s="176" t="n"/>
      <c r="HW300" s="176" t="n"/>
      <c r="HX300" s="176" t="n"/>
      <c r="HY300" s="176" t="n"/>
      <c r="HZ300" s="176" t="n"/>
      <c r="IA300" s="176" t="n"/>
      <c r="IB300" s="176" t="n"/>
      <c r="IC300" s="176" t="n"/>
      <c r="ID300" s="176" t="n"/>
    </row>
    <row r="301" ht="18.75" customHeight="1">
      <c r="A301" s="176" t="n"/>
      <c r="B301" s="176" t="n"/>
      <c r="C301" s="176" t="n"/>
      <c r="D301" s="176" t="n"/>
      <c r="E301" s="176" t="n"/>
      <c r="F301" s="176" t="n"/>
      <c r="G301" s="176" t="n"/>
      <c r="H301" s="176" t="n"/>
      <c r="I301" s="176" t="n"/>
      <c r="J301" s="176" t="n"/>
      <c r="K301" s="176" t="n"/>
      <c r="L301" s="176" t="n"/>
      <c r="M301" s="176" t="n"/>
      <c r="N301" s="176" t="n"/>
      <c r="O301" s="176" t="n"/>
      <c r="P301" s="176" t="n"/>
      <c r="Q301" s="176" t="n"/>
      <c r="R301" s="176" t="n"/>
      <c r="S301" s="176" t="n"/>
      <c r="T301" s="176" t="n"/>
      <c r="U301" s="176" t="n"/>
      <c r="V301" s="176" t="n"/>
      <c r="W301" s="176" t="n"/>
      <c r="X301" s="176" t="n"/>
      <c r="Y301" s="176" t="n"/>
      <c r="Z301" s="176" t="n"/>
      <c r="AA301" s="176" t="n"/>
      <c r="AB301" s="176" t="n"/>
      <c r="AC301" s="176" t="n"/>
      <c r="AD301" s="176" t="n"/>
      <c r="AE301" s="176" t="n"/>
      <c r="AF301" s="176" t="n"/>
      <c r="AG301" s="176" t="n"/>
      <c r="AH301" s="176" t="n"/>
      <c r="AI301" s="176" t="n"/>
      <c r="AJ301" s="176" t="n"/>
      <c r="AK301" s="176" t="n"/>
      <c r="AL301" s="176" t="n"/>
      <c r="AM301" s="176" t="n"/>
      <c r="AN301" s="176" t="n"/>
      <c r="AO301" s="176" t="n"/>
      <c r="AP301" s="176" t="n"/>
      <c r="AQ301" s="176" t="n"/>
      <c r="AR301" s="176" t="n"/>
      <c r="AS301" s="176" t="n"/>
      <c r="AT301" s="176" t="n"/>
      <c r="AU301" s="176" t="n"/>
      <c r="AV301" s="176" t="n"/>
      <c r="AW301" s="176" t="n"/>
      <c r="AX301" s="176" t="n"/>
      <c r="AY301" s="176" t="n"/>
      <c r="AZ301" s="176" t="n"/>
      <c r="BA301" s="176" t="n"/>
      <c r="BB301" s="176" t="n"/>
      <c r="BC301" s="176" t="n"/>
      <c r="BD301" s="176" t="n"/>
      <c r="BE301" s="176" t="n"/>
      <c r="BF301" s="176" t="n"/>
      <c r="BG301" s="176" t="n"/>
      <c r="BH301" s="176" t="n"/>
      <c r="BI301" s="176" t="n"/>
      <c r="BJ301" s="176" t="n"/>
      <c r="BK301" s="176" t="n"/>
      <c r="BL301" s="176" t="n"/>
      <c r="BM301" s="176" t="n"/>
      <c r="BN301" s="176" t="n"/>
      <c r="BO301" s="176" t="n"/>
      <c r="BP301" s="176" t="n"/>
      <c r="BQ301" s="176" t="n"/>
      <c r="BR301" s="176" t="n"/>
      <c r="BS301" s="176" t="n"/>
      <c r="BT301" s="176" t="n"/>
      <c r="BU301" s="176" t="n"/>
      <c r="BV301" s="176" t="n"/>
      <c r="BW301" s="176" t="n"/>
      <c r="BX301" s="176" t="n"/>
      <c r="BY301" s="176" t="n"/>
      <c r="BZ301" s="176" t="n"/>
      <c r="CA301" s="176" t="n"/>
      <c r="CB301" s="176" t="n"/>
      <c r="CC301" s="176" t="n"/>
      <c r="CD301" s="176" t="n"/>
      <c r="CE301" s="176" t="n"/>
      <c r="CF301" s="176" t="n"/>
      <c r="CG301" s="176" t="n"/>
      <c r="CH301" s="176" t="n"/>
      <c r="CI301" s="176" t="n"/>
      <c r="CJ301" s="176" t="n"/>
      <c r="CK301" s="176" t="n"/>
      <c r="CL301" s="176" t="n"/>
      <c r="CM301" s="176" t="n"/>
      <c r="CN301" s="176" t="n"/>
      <c r="CO301" s="176" t="n"/>
      <c r="CP301" s="176" t="n"/>
      <c r="CQ301" s="176" t="n"/>
      <c r="CR301" s="176" t="n"/>
      <c r="CS301" s="176" t="n"/>
      <c r="CT301" s="176" t="n"/>
      <c r="CU301" s="176" t="n"/>
      <c r="CV301" s="176" t="n"/>
      <c r="CW301" s="176" t="n"/>
      <c r="CX301" s="176" t="n"/>
      <c r="CY301" s="176" t="n"/>
      <c r="CZ301" s="176" t="n"/>
      <c r="DA301" s="185" t="n"/>
      <c r="DB301" s="182" t="n"/>
      <c r="DC301" s="182" t="n"/>
      <c r="DD301" s="182" t="n"/>
      <c r="DE301" s="182" t="n"/>
      <c r="DF301" s="183" t="n"/>
      <c r="DG301" s="176" t="n"/>
      <c r="DH301" s="176" t="n"/>
      <c r="DI301" s="185" t="n"/>
      <c r="DJ301" s="182" t="n"/>
      <c r="DK301" s="182" t="n"/>
      <c r="DL301" s="182" t="n"/>
      <c r="DM301" s="182" t="n"/>
      <c r="DN301" s="183" t="n"/>
      <c r="DO301" s="176" t="n"/>
      <c r="DP301" s="176" t="n"/>
      <c r="DQ301" s="176" t="n"/>
      <c r="DR301" s="185" t="n"/>
      <c r="DS301" s="182" t="n"/>
      <c r="DT301" s="182" t="n"/>
      <c r="DU301" s="182" t="n"/>
      <c r="DV301" s="182" t="n"/>
      <c r="DW301" s="183" t="n"/>
      <c r="DX301" s="176" t="n"/>
      <c r="DY301" s="176" t="n"/>
      <c r="DZ301" s="185" t="n"/>
      <c r="EA301" s="182" t="n"/>
      <c r="EB301" s="182" t="n"/>
      <c r="EC301" s="182" t="n"/>
      <c r="ED301" s="182" t="n"/>
      <c r="EE301" s="183" t="n"/>
      <c r="EF301" s="176" t="n"/>
      <c r="EG301" s="176" t="n"/>
      <c r="EH301" s="176" t="n"/>
      <c r="EI301" s="176" t="n"/>
      <c r="EJ301" s="176" t="n"/>
      <c r="EK301" s="176" t="n"/>
      <c r="EL301" s="176" t="n"/>
      <c r="EM301" s="176" t="n"/>
      <c r="EN301" s="176" t="n"/>
      <c r="EO301" s="176" t="n"/>
      <c r="EP301" s="176" t="n"/>
      <c r="EQ301" s="176" t="n"/>
      <c r="ER301" s="176" t="n"/>
      <c r="ES301" s="176" t="n"/>
      <c r="ET301" s="176" t="n"/>
      <c r="EU301" s="176" t="n"/>
      <c r="EV301" s="176" t="n"/>
      <c r="EW301" s="176" t="n"/>
      <c r="EX301" s="176" t="n"/>
      <c r="EY301" s="176" t="n"/>
      <c r="EZ301" s="176" t="n"/>
      <c r="FA301" s="176" t="n"/>
      <c r="FB301" s="176" t="n"/>
      <c r="FC301" s="176" t="n"/>
      <c r="FD301" s="176" t="n"/>
      <c r="FE301" s="176" t="n"/>
      <c r="FF301" s="176" t="n"/>
      <c r="FG301" s="176" t="n"/>
      <c r="FH301" s="176" t="n"/>
      <c r="FI301" s="176" t="n"/>
      <c r="FJ301" s="176" t="n"/>
      <c r="FK301" s="176" t="n"/>
      <c r="FL301" s="176" t="n"/>
      <c r="FM301" s="176" t="n"/>
      <c r="FN301" s="176" t="n"/>
      <c r="FO301" s="176" t="n"/>
      <c r="FP301" s="176" t="n"/>
      <c r="FQ301" s="176" t="n"/>
      <c r="FR301" s="176" t="n"/>
      <c r="FS301" s="176" t="n"/>
      <c r="FT301" s="176" t="n"/>
      <c r="FU301" s="176" t="n"/>
      <c r="FV301" s="176" t="n"/>
      <c r="FW301" s="176" t="n"/>
      <c r="FX301" s="176" t="n"/>
      <c r="FY301" s="176" t="n"/>
      <c r="FZ301" s="176" t="n"/>
      <c r="GA301" s="176" t="n"/>
      <c r="GB301" s="176" t="n"/>
      <c r="GC301" s="176" t="n"/>
      <c r="GD301" s="176" t="n"/>
      <c r="GE301" s="176" t="n"/>
      <c r="GF301" s="176" t="n"/>
      <c r="GG301" s="176" t="n"/>
      <c r="GH301" s="176" t="n"/>
      <c r="GI301" s="176" t="n"/>
      <c r="GJ301" s="176" t="n"/>
      <c r="GK301" s="176" t="n"/>
      <c r="GL301" s="176" t="n"/>
      <c r="GM301" s="176" t="n"/>
      <c r="GN301" s="176" t="n"/>
      <c r="GO301" s="176" t="n"/>
      <c r="GP301" s="176" t="n"/>
      <c r="GQ301" s="176" t="n"/>
      <c r="GR301" s="176" t="n"/>
      <c r="GS301" s="176" t="n"/>
      <c r="GT301" s="176" t="n"/>
      <c r="GU301" s="176" t="n"/>
      <c r="GV301" s="176" t="n"/>
      <c r="GW301" s="176" t="n"/>
      <c r="GX301" s="176" t="n"/>
      <c r="GY301" s="176" t="n"/>
      <c r="GZ301" s="176" t="n"/>
      <c r="HA301" s="176" t="n"/>
      <c r="HB301" s="176" t="n"/>
      <c r="HC301" s="176" t="n"/>
      <c r="HD301" s="176" t="n"/>
      <c r="HE301" s="176" t="n"/>
      <c r="HF301" s="176" t="n"/>
      <c r="HG301" s="176" t="n"/>
      <c r="HH301" s="176" t="n"/>
      <c r="HI301" s="176" t="n"/>
      <c r="HJ301" s="176" t="n"/>
      <c r="HK301" s="176" t="n"/>
      <c r="HL301" s="176" t="n"/>
      <c r="HM301" s="176" t="n"/>
      <c r="HN301" s="176" t="n"/>
      <c r="HO301" s="176" t="n"/>
      <c r="HP301" s="176" t="n"/>
      <c r="HQ301" s="176" t="n"/>
      <c r="HR301" s="176" t="n"/>
      <c r="HS301" s="176" t="n"/>
      <c r="HT301" s="176" t="n"/>
      <c r="HU301" s="176" t="n"/>
      <c r="HV301" s="176" t="n"/>
      <c r="HW301" s="176" t="n"/>
      <c r="HX301" s="176" t="n"/>
      <c r="HY301" s="176" t="n"/>
      <c r="HZ301" s="176" t="n"/>
      <c r="IA301" s="176" t="n"/>
      <c r="IB301" s="176" t="n"/>
      <c r="IC301" s="176" t="n"/>
      <c r="ID301" s="176" t="n"/>
    </row>
    <row r="302" ht="18.75" customHeight="1">
      <c r="A302" s="176" t="n"/>
      <c r="B302" s="176" t="n"/>
      <c r="C302" s="176" t="n"/>
      <c r="D302" s="176" t="n"/>
      <c r="E302" s="176" t="n"/>
      <c r="F302" s="176" t="n"/>
      <c r="G302" s="176" t="n"/>
      <c r="H302" s="176" t="n"/>
      <c r="I302" s="176" t="n"/>
      <c r="J302" s="176" t="n"/>
      <c r="K302" s="176" t="n"/>
      <c r="L302" s="176" t="n"/>
      <c r="M302" s="176" t="n"/>
      <c r="N302" s="176" t="n"/>
      <c r="O302" s="176" t="n"/>
      <c r="P302" s="176" t="n"/>
      <c r="Q302" s="176" t="n"/>
      <c r="R302" s="176" t="n"/>
      <c r="S302" s="176" t="n"/>
      <c r="T302" s="179" t="inlineStr">
        <is>
          <t>CARTÃO 21 · CUSTOM</t>
        </is>
      </c>
      <c r="Z302" s="176" t="n"/>
      <c r="AA302" s="176" t="n"/>
      <c r="AB302" s="179" t="inlineStr">
        <is>
          <t>CARTÃO 22 · CUSTOM</t>
        </is>
      </c>
      <c r="AH302" s="176" t="n"/>
      <c r="AI302" s="176" t="n"/>
      <c r="AJ302" s="176" t="n"/>
      <c r="AK302" s="176" t="n"/>
      <c r="AL302" s="176" t="n"/>
      <c r="AM302" s="176" t="n"/>
      <c r="AN302" s="176" t="n"/>
      <c r="AO302" s="176" t="n"/>
      <c r="AP302" s="176" t="n"/>
      <c r="AQ302" s="176" t="n"/>
      <c r="AR302" s="176" t="n"/>
      <c r="AS302" s="176" t="n"/>
      <c r="AT302" s="176" t="n"/>
      <c r="AU302" s="176" t="n"/>
      <c r="AV302" s="176" t="n"/>
      <c r="AW302" s="176" t="n"/>
      <c r="AX302" s="176" t="n"/>
      <c r="AY302" s="176" t="n"/>
      <c r="AZ302" s="176" t="n"/>
      <c r="BA302" s="176" t="n"/>
      <c r="BB302" s="176" t="n"/>
      <c r="BC302" s="176" t="n"/>
      <c r="BD302" s="176" t="n"/>
      <c r="BE302" s="176" t="n"/>
      <c r="BF302" s="176" t="n"/>
      <c r="BG302" s="176" t="n"/>
      <c r="BH302" s="176" t="n"/>
      <c r="BI302" s="176" t="n"/>
      <c r="BJ302" s="176" t="n"/>
      <c r="BK302" s="176" t="n"/>
      <c r="BL302" s="176" t="n"/>
      <c r="BM302" s="176" t="n"/>
      <c r="BN302" s="176" t="n"/>
      <c r="BO302" s="176" t="n"/>
      <c r="BP302" s="176" t="n"/>
      <c r="BQ302" s="176" t="n"/>
      <c r="BR302" s="176" t="n"/>
      <c r="BS302" s="176" t="n"/>
      <c r="BT302" s="176" t="n"/>
      <c r="BU302" s="176" t="n"/>
      <c r="BV302" s="176" t="n"/>
      <c r="BW302" s="176" t="n"/>
      <c r="BX302" s="176" t="n"/>
      <c r="BY302" s="176" t="n"/>
      <c r="BZ302" s="176" t="n"/>
      <c r="CA302" s="176" t="n"/>
      <c r="CB302" s="176" t="n"/>
      <c r="CC302" s="176" t="n"/>
      <c r="CD302" s="176" t="n"/>
      <c r="CE302" s="176" t="n"/>
      <c r="CF302" s="176" t="n"/>
      <c r="CG302" s="176" t="n"/>
      <c r="CH302" s="176" t="n"/>
      <c r="CI302" s="176" t="n"/>
      <c r="CJ302" s="176" t="n"/>
      <c r="CK302" s="176" t="n"/>
      <c r="CL302" s="176" t="n"/>
      <c r="CM302" s="176" t="n"/>
      <c r="CN302" s="176" t="n"/>
      <c r="CO302" s="176" t="n"/>
      <c r="CP302" s="176" t="n"/>
      <c r="CQ302" s="176" t="n"/>
      <c r="CR302" s="176" t="n"/>
      <c r="CS302" s="176" t="n"/>
      <c r="CT302" s="176" t="n"/>
      <c r="CU302" s="176" t="n"/>
      <c r="CV302" s="176" t="n"/>
      <c r="CW302" s="176" t="n"/>
      <c r="CX302" s="176" t="n"/>
      <c r="CY302" s="176" t="n"/>
      <c r="CZ302" s="176" t="n"/>
      <c r="DA302" s="181" t="inlineStr">
        <is>
          <t>BASE DO LIVRO</t>
        </is>
      </c>
      <c r="DB302" s="182" t="n"/>
      <c r="DC302" s="183" t="n"/>
      <c r="DD302" s="185" t="inlineStr">
        <is>
          <t>Nenhuma</t>
        </is>
      </c>
      <c r="DE302" s="182" t="n"/>
      <c r="DF302" s="183" t="n"/>
      <c r="DG302" s="176" t="n"/>
      <c r="DH302" s="176" t="n"/>
      <c r="DI302" s="181" t="inlineStr">
        <is>
          <t>BASE DO LIVRO</t>
        </is>
      </c>
      <c r="DJ302" s="182" t="n"/>
      <c r="DK302" s="183" t="n"/>
      <c r="DL302" s="185" t="inlineStr">
        <is>
          <t>Nenhuma</t>
        </is>
      </c>
      <c r="DM302" s="182" t="n"/>
      <c r="DN302" s="183" t="n"/>
      <c r="DO302" s="176" t="n"/>
      <c r="DP302" s="176" t="n"/>
      <c r="DQ302" s="176" t="n"/>
      <c r="DR302" s="181" t="inlineStr">
        <is>
          <t>BASE DO LIVRO</t>
        </is>
      </c>
      <c r="DS302" s="182" t="n"/>
      <c r="DT302" s="183" t="n"/>
      <c r="DU302" s="185" t="inlineStr">
        <is>
          <t>Nenhuma</t>
        </is>
      </c>
      <c r="DV302" s="182" t="n"/>
      <c r="DW302" s="183" t="n"/>
      <c r="DX302" s="176" t="n"/>
      <c r="DY302" s="176" t="n"/>
      <c r="DZ302" s="181" t="inlineStr">
        <is>
          <t>BASE DO LIVRO</t>
        </is>
      </c>
      <c r="EA302" s="182" t="n"/>
      <c r="EB302" s="183" t="n"/>
      <c r="EC302" s="185" t="inlineStr">
        <is>
          <t>Nenhuma</t>
        </is>
      </c>
      <c r="ED302" s="182" t="n"/>
      <c r="EE302" s="183" t="n"/>
      <c r="EF302" s="176" t="n"/>
      <c r="EG302" s="176" t="n"/>
      <c r="EH302" s="176" t="n"/>
      <c r="EI302" s="176" t="n"/>
      <c r="EJ302" s="176" t="n"/>
      <c r="EK302" s="176" t="n"/>
      <c r="EL302" s="176" t="n"/>
      <c r="EM302" s="176" t="n"/>
      <c r="EN302" s="176" t="n"/>
      <c r="EO302" s="176" t="n"/>
      <c r="EP302" s="176" t="n"/>
      <c r="EQ302" s="176" t="n"/>
      <c r="ER302" s="176" t="n"/>
      <c r="ES302" s="176" t="n"/>
      <c r="ET302" s="176" t="n"/>
      <c r="EU302" s="176" t="n"/>
      <c r="EV302" s="176" t="n"/>
      <c r="EW302" s="176" t="n"/>
      <c r="EX302" s="176" t="n"/>
      <c r="EY302" s="176" t="n"/>
      <c r="EZ302" s="176" t="n"/>
      <c r="FA302" s="176" t="n"/>
      <c r="FB302" s="176" t="n"/>
      <c r="FC302" s="176" t="n"/>
      <c r="FD302" s="176" t="n"/>
      <c r="FE302" s="176" t="n"/>
      <c r="FF302" s="176" t="n"/>
      <c r="FG302" s="176" t="n"/>
      <c r="FH302" s="176" t="n"/>
      <c r="FI302" s="176" t="n"/>
      <c r="FJ302" s="176" t="n"/>
      <c r="FK302" s="176" t="n"/>
      <c r="FL302" s="176" t="n"/>
      <c r="FM302" s="176" t="n"/>
      <c r="FN302" s="176" t="n"/>
      <c r="FO302" s="176" t="n"/>
      <c r="FP302" s="176" t="n"/>
      <c r="FQ302" s="176" t="n"/>
      <c r="FR302" s="176" t="n"/>
      <c r="FS302" s="176" t="n"/>
      <c r="FT302" s="176" t="n"/>
      <c r="FU302" s="176" t="n"/>
      <c r="FV302" s="176" t="n"/>
      <c r="FW302" s="176" t="n"/>
      <c r="FX302" s="176" t="n"/>
      <c r="FY302" s="176" t="n"/>
      <c r="FZ302" s="176" t="n"/>
      <c r="GA302" s="176" t="n"/>
      <c r="GB302" s="176" t="n"/>
      <c r="GC302" s="176" t="n"/>
      <c r="GD302" s="176" t="n"/>
      <c r="GE302" s="176" t="n"/>
      <c r="GF302" s="176" t="n"/>
      <c r="GG302" s="176" t="n"/>
      <c r="GH302" s="176" t="n"/>
      <c r="GI302" s="176" t="n"/>
      <c r="GJ302" s="176" t="n"/>
      <c r="GK302" s="176" t="n"/>
      <c r="GL302" s="176" t="n"/>
      <c r="GM302" s="176" t="n"/>
      <c r="GN302" s="176" t="n"/>
      <c r="GO302" s="176" t="n"/>
      <c r="GP302" s="176" t="n"/>
      <c r="GQ302" s="176" t="n"/>
      <c r="GR302" s="176" t="n"/>
      <c r="GS302" s="176" t="n"/>
      <c r="GT302" s="176" t="n"/>
      <c r="GU302" s="176" t="n"/>
      <c r="GV302" s="176" t="n"/>
      <c r="GW302" s="176" t="n"/>
      <c r="GX302" s="176" t="n"/>
      <c r="GY302" s="176" t="n"/>
      <c r="GZ302" s="176" t="n"/>
      <c r="HA302" s="176" t="n"/>
      <c r="HB302" s="176" t="n"/>
      <c r="HC302" s="176" t="n"/>
      <c r="HD302" s="176" t="n"/>
      <c r="HE302" s="176" t="n"/>
      <c r="HF302" s="176" t="n"/>
      <c r="HG302" s="176" t="n"/>
      <c r="HH302" s="176" t="n"/>
      <c r="HI302" s="176" t="n"/>
      <c r="HJ302" s="176" t="n"/>
      <c r="HK302" s="176" t="n"/>
      <c r="HL302" s="176" t="n"/>
      <c r="HM302" s="176" t="n"/>
      <c r="HN302" s="176" t="n"/>
      <c r="HO302" s="176" t="n"/>
      <c r="HP302" s="176" t="n"/>
      <c r="HQ302" s="176" t="n"/>
      <c r="HR302" s="176" t="n"/>
      <c r="HS302" s="176" t="n"/>
      <c r="HT302" s="176" t="n"/>
      <c r="HU302" s="176" t="n"/>
      <c r="HV302" s="176" t="n"/>
      <c r="HW302" s="176" t="n"/>
      <c r="HX302" s="176" t="n"/>
      <c r="HY302" s="176" t="n"/>
      <c r="HZ302" s="176" t="n"/>
      <c r="IA302" s="176" t="n"/>
      <c r="IB302" s="176" t="n"/>
      <c r="IC302" s="176" t="n"/>
      <c r="ID302" s="176" t="n"/>
    </row>
    <row r="303" ht="18.75" customHeight="1">
      <c r="A303" s="176" t="n"/>
      <c r="B303" s="176" t="n"/>
      <c r="C303" s="176" t="n"/>
      <c r="D303" s="176" t="n"/>
      <c r="E303" s="176" t="n"/>
      <c r="F303" s="176" t="n"/>
      <c r="G303" s="176" t="n"/>
      <c r="H303" s="176" t="n"/>
      <c r="I303" s="176" t="n"/>
      <c r="J303" s="176" t="n"/>
      <c r="K303" s="176" t="n"/>
      <c r="L303" s="176" t="n"/>
      <c r="M303" s="176" t="n"/>
      <c r="N303" s="176" t="n"/>
      <c r="O303" s="176" t="n"/>
      <c r="P303" s="176" t="n"/>
      <c r="Q303" s="176" t="n"/>
      <c r="R303" s="176" t="n"/>
      <c r="S303" s="176" t="n"/>
      <c r="T303" s="181" t="inlineStr">
        <is>
          <t>TIPO</t>
        </is>
      </c>
      <c r="U303" s="182" t="n"/>
      <c r="V303" s="182" t="n"/>
      <c r="W303" s="183" t="n"/>
      <c r="X303" s="181" t="inlineStr">
        <is>
          <t>MESTRE VIU</t>
        </is>
      </c>
      <c r="Y303" s="183" t="n"/>
      <c r="Z303" s="176" t="n"/>
      <c r="AA303" s="176" t="n"/>
      <c r="AB303" s="181" t="inlineStr">
        <is>
          <t>TIPO</t>
        </is>
      </c>
      <c r="AC303" s="182" t="n"/>
      <c r="AD303" s="182" t="n"/>
      <c r="AE303" s="183" t="n"/>
      <c r="AF303" s="181" t="inlineStr">
        <is>
          <t>MESTRE VIU</t>
        </is>
      </c>
      <c r="AG303" s="183" t="n"/>
      <c r="AH303" s="176" t="n"/>
      <c r="AI303" s="176" t="n"/>
      <c r="AJ303" s="176" t="n"/>
      <c r="AK303" s="176" t="n"/>
      <c r="AL303" s="176" t="n"/>
      <c r="AM303" s="176" t="n"/>
      <c r="AN303" s="176" t="n"/>
      <c r="AO303" s="176" t="n"/>
      <c r="AP303" s="176" t="n"/>
      <c r="AQ303" s="176" t="n"/>
      <c r="AR303" s="176" t="n"/>
      <c r="AS303" s="176" t="n"/>
      <c r="AT303" s="176" t="n"/>
      <c r="AU303" s="176" t="n"/>
      <c r="AV303" s="176" t="n"/>
      <c r="AW303" s="176" t="n"/>
      <c r="AX303" s="176" t="n"/>
      <c r="AY303" s="176" t="n"/>
      <c r="AZ303" s="176" t="n"/>
      <c r="BA303" s="176" t="n"/>
      <c r="BB303" s="176" t="n"/>
      <c r="BC303" s="176" t="n"/>
      <c r="BD303" s="176" t="n"/>
      <c r="BE303" s="176" t="n"/>
      <c r="BF303" s="176" t="n"/>
      <c r="BG303" s="176" t="n"/>
      <c r="BH303" s="176" t="n"/>
      <c r="BI303" s="176" t="n"/>
      <c r="BJ303" s="176" t="n"/>
      <c r="BK303" s="176" t="n"/>
      <c r="BL303" s="176" t="n"/>
      <c r="BM303" s="176" t="n"/>
      <c r="BN303" s="176" t="n"/>
      <c r="BO303" s="176" t="n"/>
      <c r="BP303" s="176" t="n"/>
      <c r="BQ303" s="176" t="n"/>
      <c r="BR303" s="176" t="n"/>
      <c r="BS303" s="176" t="n"/>
      <c r="BT303" s="176" t="n"/>
      <c r="BU303" s="176" t="n"/>
      <c r="BV303" s="176" t="n"/>
      <c r="BW303" s="176" t="n"/>
      <c r="BX303" s="176" t="n"/>
      <c r="BY303" s="176" t="n"/>
      <c r="BZ303" s="176" t="n"/>
      <c r="CA303" s="176" t="n"/>
      <c r="CB303" s="176" t="n"/>
      <c r="CC303" s="176" t="n"/>
      <c r="CD303" s="176" t="n"/>
      <c r="CE303" s="176" t="n"/>
      <c r="CF303" s="176" t="n"/>
      <c r="CG303" s="176" t="n"/>
      <c r="CH303" s="176" t="n"/>
      <c r="CI303" s="176" t="n"/>
      <c r="CJ303" s="176" t="n"/>
      <c r="CK303" s="176" t="n"/>
      <c r="CL303" s="176" t="n"/>
      <c r="CM303" s="176" t="n"/>
      <c r="CN303" s="176" t="n"/>
      <c r="CO303" s="176" t="n"/>
      <c r="CP303" s="176" t="n"/>
      <c r="CQ303" s="176" t="n"/>
      <c r="CR303" s="176" t="n"/>
      <c r="CS303" s="176" t="n"/>
      <c r="CT303" s="176" t="n"/>
      <c r="CU303" s="176" t="n"/>
      <c r="CV303" s="176" t="n"/>
      <c r="CW303" s="176" t="n"/>
      <c r="CX303" s="176" t="n"/>
      <c r="CY303" s="176" t="n"/>
      <c r="CZ303" s="176" t="n"/>
      <c r="DA303" s="181" t="inlineStr">
        <is>
          <t>FAMÍLIA</t>
        </is>
      </c>
      <c r="DB303" s="182" t="n"/>
      <c r="DC303" s="183" t="n"/>
      <c r="DD303" s="185" t="n"/>
      <c r="DE303" s="182" t="n"/>
      <c r="DF303" s="183" t="n"/>
      <c r="DG303" s="176" t="n"/>
      <c r="DH303" s="176" t="n"/>
      <c r="DI303" s="181" t="inlineStr">
        <is>
          <t>FAMÍLIA</t>
        </is>
      </c>
      <c r="DJ303" s="182" t="n"/>
      <c r="DK303" s="183" t="n"/>
      <c r="DL303" s="185" t="n"/>
      <c r="DM303" s="182" t="n"/>
      <c r="DN303" s="183" t="n"/>
      <c r="DO303" s="176" t="n"/>
      <c r="DP303" s="176" t="n"/>
      <c r="DQ303" s="176" t="n"/>
      <c r="DR303" s="181" t="inlineStr">
        <is>
          <t>DEVOLUÇÃO</t>
        </is>
      </c>
      <c r="DS303" s="182" t="n"/>
      <c r="DT303" s="183" t="n"/>
      <c r="DU303" s="185" t="n"/>
      <c r="DV303" s="182" t="n"/>
      <c r="DW303" s="183" t="n"/>
      <c r="DX303" s="176" t="n"/>
      <c r="DY303" s="176" t="n"/>
      <c r="DZ303" s="181" t="inlineStr">
        <is>
          <t>DEVOLUÇÃO</t>
        </is>
      </c>
      <c r="EA303" s="182" t="n"/>
      <c r="EB303" s="183" t="n"/>
      <c r="EC303" s="185" t="n"/>
      <c r="ED303" s="182" t="n"/>
      <c r="EE303" s="183" t="n"/>
      <c r="EF303" s="176" t="n"/>
      <c r="EG303" s="176" t="n"/>
      <c r="EH303" s="176" t="n"/>
      <c r="EI303" s="176" t="n"/>
      <c r="EJ303" s="176" t="n"/>
      <c r="EK303" s="176" t="n"/>
      <c r="EL303" s="176" t="n"/>
      <c r="EM303" s="176" t="n"/>
      <c r="EN303" s="176" t="n"/>
      <c r="EO303" s="176" t="n"/>
      <c r="EP303" s="176" t="n"/>
      <c r="EQ303" s="176" t="n"/>
      <c r="ER303" s="176" t="n"/>
      <c r="ES303" s="176" t="n"/>
      <c r="ET303" s="176" t="n"/>
      <c r="EU303" s="176" t="n"/>
      <c r="EV303" s="176" t="n"/>
      <c r="EW303" s="176" t="n"/>
      <c r="EX303" s="176" t="n"/>
      <c r="EY303" s="176" t="n"/>
      <c r="EZ303" s="176" t="n"/>
      <c r="FA303" s="176" t="n"/>
      <c r="FB303" s="176" t="n"/>
      <c r="FC303" s="176" t="n"/>
      <c r="FD303" s="176" t="n"/>
      <c r="FE303" s="176" t="n"/>
      <c r="FF303" s="176" t="n"/>
      <c r="FG303" s="176" t="n"/>
      <c r="FH303" s="176" t="n"/>
      <c r="FI303" s="176" t="n"/>
      <c r="FJ303" s="176" t="n"/>
      <c r="FK303" s="176" t="n"/>
      <c r="FL303" s="176" t="n"/>
      <c r="FM303" s="176" t="n"/>
      <c r="FN303" s="176" t="n"/>
      <c r="FO303" s="176" t="n"/>
      <c r="FP303" s="176" t="n"/>
      <c r="FQ303" s="176" t="n"/>
      <c r="FR303" s="176" t="n"/>
      <c r="FS303" s="176" t="n"/>
      <c r="FT303" s="176" t="n"/>
      <c r="FU303" s="176" t="n"/>
      <c r="FV303" s="176" t="n"/>
      <c r="FW303" s="176" t="n"/>
      <c r="FX303" s="176" t="n"/>
      <c r="FY303" s="176" t="n"/>
      <c r="FZ303" s="176" t="n"/>
      <c r="GA303" s="176" t="n"/>
      <c r="GB303" s="176" t="n"/>
      <c r="GC303" s="176" t="n"/>
      <c r="GD303" s="176" t="n"/>
      <c r="GE303" s="176" t="n"/>
      <c r="GF303" s="176" t="n"/>
      <c r="GG303" s="176" t="n"/>
      <c r="GH303" s="176" t="n"/>
      <c r="GI303" s="176" t="n"/>
      <c r="GJ303" s="176" t="n"/>
      <c r="GK303" s="176" t="n"/>
      <c r="GL303" s="176" t="n"/>
      <c r="GM303" s="176" t="n"/>
      <c r="GN303" s="176" t="n"/>
      <c r="GO303" s="176" t="n"/>
      <c r="GP303" s="176" t="n"/>
      <c r="GQ303" s="176" t="n"/>
      <c r="GR303" s="176" t="n"/>
      <c r="GS303" s="176" t="n"/>
      <c r="GT303" s="176" t="n"/>
      <c r="GU303" s="176" t="n"/>
      <c r="GV303" s="176" t="n"/>
      <c r="GW303" s="176" t="n"/>
      <c r="GX303" s="176" t="n"/>
      <c r="GY303" s="176" t="n"/>
      <c r="GZ303" s="176" t="n"/>
      <c r="HA303" s="176" t="n"/>
      <c r="HB303" s="176" t="n"/>
      <c r="HC303" s="176" t="n"/>
      <c r="HD303" s="176" t="n"/>
      <c r="HE303" s="176" t="n"/>
      <c r="HF303" s="176" t="n"/>
      <c r="HG303" s="176" t="n"/>
      <c r="HH303" s="176" t="n"/>
      <c r="HI303" s="176" t="n"/>
      <c r="HJ303" s="176" t="n"/>
      <c r="HK303" s="176" t="n"/>
      <c r="HL303" s="176" t="n"/>
      <c r="HM303" s="176" t="n"/>
      <c r="HN303" s="176" t="n"/>
      <c r="HO303" s="176" t="n"/>
      <c r="HP303" s="176" t="n"/>
      <c r="HQ303" s="176" t="n"/>
      <c r="HR303" s="176" t="n"/>
      <c r="HS303" s="176" t="n"/>
      <c r="HT303" s="176" t="n"/>
      <c r="HU303" s="176" t="n"/>
      <c r="HV303" s="176" t="n"/>
      <c r="HW303" s="176" t="n"/>
      <c r="HX303" s="176" t="n"/>
      <c r="HY303" s="176" t="n"/>
      <c r="HZ303" s="176" t="n"/>
      <c r="IA303" s="176" t="n"/>
      <c r="IB303" s="176" t="n"/>
      <c r="IC303" s="176" t="n"/>
      <c r="ID303" s="176" t="n"/>
    </row>
    <row r="304" ht="18.75" customHeight="1">
      <c r="A304" s="176" t="n"/>
      <c r="B304" s="176" t="n"/>
      <c r="C304" s="176" t="n"/>
      <c r="D304" s="176" t="n"/>
      <c r="E304" s="176" t="n"/>
      <c r="F304" s="176" t="n"/>
      <c r="G304" s="176" t="n"/>
      <c r="H304" s="176" t="n"/>
      <c r="I304" s="176" t="n"/>
      <c r="J304" s="176" t="n"/>
      <c r="K304" s="176" t="n"/>
      <c r="L304" s="176" t="n"/>
      <c r="M304" s="176" t="n"/>
      <c r="N304" s="176" t="n"/>
      <c r="O304" s="176" t="n"/>
      <c r="P304" s="176" t="n"/>
      <c r="Q304" s="176" t="n"/>
      <c r="R304" s="176" t="n"/>
      <c r="S304" s="176" t="n"/>
      <c r="T304" s="185" t="n"/>
      <c r="U304" s="182" t="n"/>
      <c r="V304" s="182" t="n"/>
      <c r="W304" s="183" t="n"/>
      <c r="X304" s="184" t="b">
        <v>0</v>
      </c>
      <c r="Y304" s="183" t="n"/>
      <c r="Z304" s="176" t="n"/>
      <c r="AA304" s="176" t="n"/>
      <c r="AB304" s="185" t="n"/>
      <c r="AC304" s="182" t="n"/>
      <c r="AD304" s="182" t="n"/>
      <c r="AE304" s="183" t="n"/>
      <c r="AF304" s="184" t="b">
        <v>0</v>
      </c>
      <c r="AG304" s="183" t="n"/>
      <c r="AH304" s="176" t="n"/>
      <c r="AI304" s="176" t="n"/>
      <c r="AJ304" s="176" t="n"/>
      <c r="AK304" s="176" t="n"/>
      <c r="AL304" s="176" t="n"/>
      <c r="AM304" s="176" t="n"/>
      <c r="AN304" s="176" t="n"/>
      <c r="AO304" s="176" t="n"/>
      <c r="AP304" s="176" t="n"/>
      <c r="AQ304" s="176" t="n"/>
      <c r="AR304" s="176" t="n"/>
      <c r="AS304" s="176" t="n"/>
      <c r="AT304" s="176" t="n"/>
      <c r="AU304" s="176" t="n"/>
      <c r="AV304" s="176" t="n"/>
      <c r="AW304" s="176" t="n"/>
      <c r="AX304" s="176" t="n"/>
      <c r="AY304" s="176" t="n"/>
      <c r="AZ304" s="176" t="n"/>
      <c r="BA304" s="176" t="n"/>
      <c r="BB304" s="176" t="n"/>
      <c r="BC304" s="176" t="n"/>
      <c r="BD304" s="176" t="n"/>
      <c r="BE304" s="176" t="n"/>
      <c r="BF304" s="176" t="n"/>
      <c r="BG304" s="176" t="n"/>
      <c r="BH304" s="176" t="n"/>
      <c r="BI304" s="176" t="n"/>
      <c r="BJ304" s="176" t="n"/>
      <c r="BK304" s="176" t="n"/>
      <c r="BL304" s="176" t="n"/>
      <c r="BM304" s="176" t="n"/>
      <c r="BN304" s="176" t="n"/>
      <c r="BO304" s="176" t="n"/>
      <c r="BP304" s="176" t="n"/>
      <c r="BQ304" s="176" t="n"/>
      <c r="BR304" s="176" t="n"/>
      <c r="BS304" s="176" t="n"/>
      <c r="BT304" s="176" t="n"/>
      <c r="BU304" s="176" t="n"/>
      <c r="BV304" s="176" t="n"/>
      <c r="BW304" s="176" t="n"/>
      <c r="BX304" s="176" t="n"/>
      <c r="BY304" s="176" t="n"/>
      <c r="BZ304" s="176" t="n"/>
      <c r="CA304" s="176" t="n"/>
      <c r="CB304" s="176" t="n"/>
      <c r="CC304" s="176" t="n"/>
      <c r="CD304" s="176" t="n"/>
      <c r="CE304" s="176" t="n"/>
      <c r="CF304" s="176" t="n"/>
      <c r="CG304" s="176" t="n"/>
      <c r="CH304" s="176" t="n"/>
      <c r="CI304" s="176" t="n"/>
      <c r="CJ304" s="176" t="n"/>
      <c r="CK304" s="176" t="n"/>
      <c r="CL304" s="176" t="n"/>
      <c r="CM304" s="176" t="n"/>
      <c r="CN304" s="176" t="n"/>
      <c r="CO304" s="176" t="n"/>
      <c r="CP304" s="176" t="n"/>
      <c r="CQ304" s="176" t="n"/>
      <c r="CR304" s="176" t="n"/>
      <c r="CS304" s="176" t="n"/>
      <c r="CT304" s="176" t="n"/>
      <c r="CU304" s="176" t="n"/>
      <c r="CV304" s="176" t="n"/>
      <c r="CW304" s="176" t="n"/>
      <c r="CX304" s="176" t="n"/>
      <c r="CY304" s="176" t="n"/>
      <c r="CZ304" s="176" t="n"/>
      <c r="DA304" s="181" t="inlineStr">
        <is>
          <t>PESO</t>
        </is>
      </c>
      <c r="DB304" s="182" t="n"/>
      <c r="DC304" s="183" t="n"/>
      <c r="DD304" s="185" t="n"/>
      <c r="DE304" s="182" t="n"/>
      <c r="DF304" s="183" t="n"/>
      <c r="DG304" s="176" t="n"/>
      <c r="DH304" s="176" t="n"/>
      <c r="DI304" s="181" t="inlineStr">
        <is>
          <t>PESO</t>
        </is>
      </c>
      <c r="DJ304" s="182" t="n"/>
      <c r="DK304" s="183" t="n"/>
      <c r="DL304" s="185" t="n"/>
      <c r="DM304" s="182" t="n"/>
      <c r="DN304" s="183" t="n"/>
      <c r="DO304" s="176" t="n"/>
      <c r="DP304" s="176" t="n"/>
      <c r="DQ304" s="176" t="n"/>
      <c r="DR304" s="181" t="inlineStr">
        <is>
          <t>FREQUÊNCIA</t>
        </is>
      </c>
      <c r="DS304" s="182" t="n"/>
      <c r="DT304" s="183" t="n"/>
      <c r="DU304" s="185" t="n"/>
      <c r="DV304" s="182" t="n"/>
      <c r="DW304" s="183" t="n"/>
      <c r="DX304" s="176" t="n"/>
      <c r="DY304" s="176" t="n"/>
      <c r="DZ304" s="181" t="inlineStr">
        <is>
          <t>FREQUÊNCIA</t>
        </is>
      </c>
      <c r="EA304" s="182" t="n"/>
      <c r="EB304" s="183" t="n"/>
      <c r="EC304" s="185" t="n"/>
      <c r="ED304" s="182" t="n"/>
      <c r="EE304" s="183" t="n"/>
      <c r="EF304" s="176" t="n"/>
      <c r="EG304" s="176" t="n"/>
      <c r="EH304" s="176" t="n"/>
      <c r="EI304" s="176" t="n"/>
      <c r="EJ304" s="176" t="n"/>
      <c r="EK304" s="176" t="n"/>
      <c r="EL304" s="176" t="n"/>
      <c r="EM304" s="176" t="n"/>
      <c r="EN304" s="176" t="n"/>
      <c r="EO304" s="176" t="n"/>
      <c r="EP304" s="176" t="n"/>
      <c r="EQ304" s="176" t="n"/>
      <c r="ER304" s="176" t="n"/>
      <c r="ES304" s="176" t="n"/>
      <c r="ET304" s="176" t="n"/>
      <c r="EU304" s="176" t="n"/>
      <c r="EV304" s="176" t="n"/>
      <c r="EW304" s="176" t="n"/>
      <c r="EX304" s="176" t="n"/>
      <c r="EY304" s="176" t="n"/>
      <c r="EZ304" s="176" t="n"/>
      <c r="FA304" s="176" t="n"/>
      <c r="FB304" s="176" t="n"/>
      <c r="FC304" s="176" t="n"/>
      <c r="FD304" s="176" t="n"/>
      <c r="FE304" s="176" t="n"/>
      <c r="FF304" s="176" t="n"/>
      <c r="FG304" s="176" t="n"/>
      <c r="FH304" s="176" t="n"/>
      <c r="FI304" s="176" t="n"/>
      <c r="FJ304" s="176" t="n"/>
      <c r="FK304" s="176" t="n"/>
      <c r="FL304" s="176" t="n"/>
      <c r="FM304" s="176" t="n"/>
      <c r="FN304" s="176" t="n"/>
      <c r="FO304" s="176" t="n"/>
      <c r="FP304" s="176" t="n"/>
      <c r="FQ304" s="176" t="n"/>
      <c r="FR304" s="176" t="n"/>
      <c r="FS304" s="176" t="n"/>
      <c r="FT304" s="176" t="n"/>
      <c r="FU304" s="176" t="n"/>
      <c r="FV304" s="176" t="n"/>
      <c r="FW304" s="176" t="n"/>
      <c r="FX304" s="176" t="n"/>
      <c r="FY304" s="176" t="n"/>
      <c r="FZ304" s="176" t="n"/>
      <c r="GA304" s="176" t="n"/>
      <c r="GB304" s="176" t="n"/>
      <c r="GC304" s="176" t="n"/>
      <c r="GD304" s="176" t="n"/>
      <c r="GE304" s="176" t="n"/>
      <c r="GF304" s="176" t="n"/>
      <c r="GG304" s="176" t="n"/>
      <c r="GH304" s="176" t="n"/>
      <c r="GI304" s="176" t="n"/>
      <c r="GJ304" s="176" t="n"/>
      <c r="GK304" s="176" t="n"/>
      <c r="GL304" s="176" t="n"/>
      <c r="GM304" s="176" t="n"/>
      <c r="GN304" s="176" t="n"/>
      <c r="GO304" s="176" t="n"/>
      <c r="GP304" s="176" t="n"/>
      <c r="GQ304" s="176" t="n"/>
      <c r="GR304" s="176" t="n"/>
      <c r="GS304" s="176" t="n"/>
      <c r="GT304" s="176" t="n"/>
      <c r="GU304" s="176" t="n"/>
      <c r="GV304" s="176" t="n"/>
      <c r="GW304" s="176" t="n"/>
      <c r="GX304" s="176" t="n"/>
      <c r="GY304" s="176" t="n"/>
      <c r="GZ304" s="176" t="n"/>
      <c r="HA304" s="176" t="n"/>
      <c r="HB304" s="176" t="n"/>
      <c r="HC304" s="176" t="n"/>
      <c r="HD304" s="176" t="n"/>
      <c r="HE304" s="176" t="n"/>
      <c r="HF304" s="176" t="n"/>
      <c r="HG304" s="176" t="n"/>
      <c r="HH304" s="176" t="n"/>
      <c r="HI304" s="176" t="n"/>
      <c r="HJ304" s="176" t="n"/>
      <c r="HK304" s="176" t="n"/>
      <c r="HL304" s="176" t="n"/>
      <c r="HM304" s="176" t="n"/>
      <c r="HN304" s="176" t="n"/>
      <c r="HO304" s="176" t="n"/>
      <c r="HP304" s="176" t="n"/>
      <c r="HQ304" s="176" t="n"/>
      <c r="HR304" s="176" t="n"/>
      <c r="HS304" s="176" t="n"/>
      <c r="HT304" s="176" t="n"/>
      <c r="HU304" s="176" t="n"/>
      <c r="HV304" s="176" t="n"/>
      <c r="HW304" s="176" t="n"/>
      <c r="HX304" s="176" t="n"/>
      <c r="HY304" s="176" t="n"/>
      <c r="HZ304" s="176" t="n"/>
      <c r="IA304" s="176" t="n"/>
      <c r="IB304" s="176" t="n"/>
      <c r="IC304" s="176" t="n"/>
      <c r="ID304" s="176" t="n"/>
    </row>
    <row r="305" ht="18.75" customHeight="1">
      <c r="A305" s="176" t="n"/>
      <c r="B305" s="176" t="n"/>
      <c r="C305" s="176" t="n"/>
      <c r="D305" s="176" t="n"/>
      <c r="E305" s="176" t="n"/>
      <c r="F305" s="176" t="n"/>
      <c r="G305" s="176" t="n"/>
      <c r="H305" s="176" t="n"/>
      <c r="I305" s="176" t="n"/>
      <c r="J305" s="176" t="n"/>
      <c r="K305" s="176" t="n"/>
      <c r="L305" s="176" t="n"/>
      <c r="M305" s="176" t="n"/>
      <c r="N305" s="176" t="n"/>
      <c r="O305" s="176" t="n"/>
      <c r="P305" s="176" t="n"/>
      <c r="Q305" s="176" t="n"/>
      <c r="R305" s="176" t="n"/>
      <c r="S305" s="176" t="n"/>
      <c r="T305" s="181" t="inlineStr">
        <is>
          <t>NOME</t>
        </is>
      </c>
      <c r="U305" s="182" t="n"/>
      <c r="V305" s="182" t="n"/>
      <c r="W305" s="182" t="n"/>
      <c r="X305" s="182" t="n"/>
      <c r="Y305" s="183" t="n"/>
      <c r="Z305" s="176" t="n"/>
      <c r="AA305" s="176" t="n"/>
      <c r="AB305" s="181" t="inlineStr">
        <is>
          <t>NOME</t>
        </is>
      </c>
      <c r="AC305" s="182" t="n"/>
      <c r="AD305" s="182" t="n"/>
      <c r="AE305" s="182" t="n"/>
      <c r="AF305" s="182" t="n"/>
      <c r="AG305" s="183" t="n"/>
      <c r="AH305" s="176" t="n"/>
      <c r="AI305" s="176" t="n"/>
      <c r="AJ305" s="176" t="n"/>
      <c r="AK305" s="176" t="n"/>
      <c r="AL305" s="176" t="n"/>
      <c r="AM305" s="176" t="n"/>
      <c r="AN305" s="176" t="n"/>
      <c r="AO305" s="176" t="n"/>
      <c r="AP305" s="176" t="n"/>
      <c r="AQ305" s="176" t="n"/>
      <c r="AR305" s="176" t="n"/>
      <c r="AS305" s="176" t="n"/>
      <c r="AT305" s="176" t="n"/>
      <c r="AU305" s="176" t="n"/>
      <c r="AV305" s="176" t="n"/>
      <c r="AW305" s="176" t="n"/>
      <c r="AX305" s="176" t="n"/>
      <c r="AY305" s="176" t="n"/>
      <c r="AZ305" s="176" t="n"/>
      <c r="BA305" s="176" t="n"/>
      <c r="BB305" s="176" t="n"/>
      <c r="BC305" s="176" t="n"/>
      <c r="BD305" s="176" t="n"/>
      <c r="BE305" s="176" t="n"/>
      <c r="BF305" s="176" t="n"/>
      <c r="BG305" s="176" t="n"/>
      <c r="BH305" s="176" t="n"/>
      <c r="BI305" s="176" t="n"/>
      <c r="BJ305" s="176" t="n"/>
      <c r="BK305" s="176" t="n"/>
      <c r="BL305" s="176" t="n"/>
      <c r="BM305" s="176" t="n"/>
      <c r="BN305" s="176" t="n"/>
      <c r="BO305" s="176" t="n"/>
      <c r="BP305" s="176" t="n"/>
      <c r="BQ305" s="176" t="n"/>
      <c r="BR305" s="176" t="n"/>
      <c r="BS305" s="176" t="n"/>
      <c r="BT305" s="176" t="n"/>
      <c r="BU305" s="176" t="n"/>
      <c r="BV305" s="176" t="n"/>
      <c r="BW305" s="176" t="n"/>
      <c r="BX305" s="176" t="n"/>
      <c r="BY305" s="176" t="n"/>
      <c r="BZ305" s="176" t="n"/>
      <c r="CA305" s="176" t="n"/>
      <c r="CB305" s="176" t="n"/>
      <c r="CC305" s="176" t="n"/>
      <c r="CD305" s="176" t="n"/>
      <c r="CE305" s="176" t="n"/>
      <c r="CF305" s="176" t="n"/>
      <c r="CG305" s="176" t="n"/>
      <c r="CH305" s="176" t="n"/>
      <c r="CI305" s="176" t="n"/>
      <c r="CJ305" s="176" t="n"/>
      <c r="CK305" s="176" t="n"/>
      <c r="CL305" s="176" t="n"/>
      <c r="CM305" s="176" t="n"/>
      <c r="CN305" s="176" t="n"/>
      <c r="CO305" s="176" t="n"/>
      <c r="CP305" s="176" t="n"/>
      <c r="CQ305" s="176" t="n"/>
      <c r="CR305" s="176" t="n"/>
      <c r="CS305" s="176" t="n"/>
      <c r="CT305" s="176" t="n"/>
      <c r="CU305" s="176" t="n"/>
      <c r="CV305" s="176" t="n"/>
      <c r="CW305" s="176" t="n"/>
      <c r="CX305" s="176" t="n"/>
      <c r="CY305" s="176" t="n"/>
      <c r="CZ305" s="176" t="n"/>
      <c r="DA305" s="181" t="inlineStr">
        <is>
          <t>EXIGE TR</t>
        </is>
      </c>
      <c r="DB305" s="182" t="n"/>
      <c r="DC305" s="183" t="n"/>
      <c r="DD305" s="185" t="n"/>
      <c r="DE305" s="182" t="n"/>
      <c r="DF305" s="183" t="n"/>
      <c r="DG305" s="176" t="n"/>
      <c r="DH305" s="176" t="n"/>
      <c r="DI305" s="181" t="inlineStr">
        <is>
          <t>EXIGE TR</t>
        </is>
      </c>
      <c r="DJ305" s="182" t="n"/>
      <c r="DK305" s="183" t="n"/>
      <c r="DL305" s="185" t="n"/>
      <c r="DM305" s="182" t="n"/>
      <c r="DN305" s="183" t="n"/>
      <c r="DO305" s="176" t="n"/>
      <c r="DP305" s="176" t="n"/>
      <c r="DQ305" s="176" t="n"/>
      <c r="DR305" s="176" t="n"/>
      <c r="DS305" s="176" t="n"/>
      <c r="DT305" s="176" t="n"/>
      <c r="DU305" s="176" t="n"/>
      <c r="DV305" s="176" t="n"/>
      <c r="DW305" s="176" t="n"/>
      <c r="DX305" s="176" t="n"/>
      <c r="DY305" s="176" t="n"/>
      <c r="DZ305" s="176" t="n"/>
      <c r="EA305" s="176" t="n"/>
      <c r="EB305" s="176" t="n"/>
      <c r="EC305" s="176" t="n"/>
      <c r="ED305" s="176" t="n"/>
      <c r="EE305" s="176" t="n"/>
      <c r="EF305" s="176" t="n"/>
      <c r="EG305" s="176" t="n"/>
      <c r="EH305" s="176" t="n"/>
      <c r="EI305" s="176" t="n"/>
      <c r="EJ305" s="176" t="n"/>
      <c r="EK305" s="176" t="n"/>
      <c r="EL305" s="176" t="n"/>
      <c r="EM305" s="176" t="n"/>
      <c r="EN305" s="176" t="n"/>
      <c r="EO305" s="176" t="n"/>
      <c r="EP305" s="176" t="n"/>
      <c r="EQ305" s="176" t="n"/>
      <c r="ER305" s="176" t="n"/>
      <c r="ES305" s="176" t="n"/>
      <c r="ET305" s="176" t="n"/>
      <c r="EU305" s="176" t="n"/>
      <c r="EV305" s="176" t="n"/>
      <c r="EW305" s="176" t="n"/>
      <c r="EX305" s="176" t="n"/>
      <c r="EY305" s="176" t="n"/>
      <c r="EZ305" s="176" t="n"/>
      <c r="FA305" s="176" t="n"/>
      <c r="FB305" s="176" t="n"/>
      <c r="FC305" s="176" t="n"/>
      <c r="FD305" s="176" t="n"/>
      <c r="FE305" s="176" t="n"/>
      <c r="FF305" s="176" t="n"/>
      <c r="FG305" s="176" t="n"/>
      <c r="FH305" s="176" t="n"/>
      <c r="FI305" s="176" t="n"/>
      <c r="FJ305" s="176" t="n"/>
      <c r="FK305" s="176" t="n"/>
      <c r="FL305" s="176" t="n"/>
      <c r="FM305" s="176" t="n"/>
      <c r="FN305" s="176" t="n"/>
      <c r="FO305" s="176" t="n"/>
      <c r="FP305" s="176" t="n"/>
      <c r="FQ305" s="176" t="n"/>
      <c r="FR305" s="176" t="n"/>
      <c r="FS305" s="176" t="n"/>
      <c r="FT305" s="176" t="n"/>
      <c r="FU305" s="176" t="n"/>
      <c r="FV305" s="176" t="n"/>
      <c r="FW305" s="176" t="n"/>
      <c r="FX305" s="176" t="n"/>
      <c r="FY305" s="176" t="n"/>
      <c r="FZ305" s="176" t="n"/>
      <c r="GA305" s="176" t="n"/>
      <c r="GB305" s="176" t="n"/>
      <c r="GC305" s="176" t="n"/>
      <c r="GD305" s="176" t="n"/>
      <c r="GE305" s="176" t="n"/>
      <c r="GF305" s="176" t="n"/>
      <c r="GG305" s="176" t="n"/>
      <c r="GH305" s="176" t="n"/>
      <c r="GI305" s="176" t="n"/>
      <c r="GJ305" s="176" t="n"/>
      <c r="GK305" s="176" t="n"/>
      <c r="GL305" s="176" t="n"/>
      <c r="GM305" s="176" t="n"/>
      <c r="GN305" s="176" t="n"/>
      <c r="GO305" s="176" t="n"/>
      <c r="GP305" s="176" t="n"/>
      <c r="GQ305" s="176" t="n"/>
      <c r="GR305" s="176" t="n"/>
      <c r="GS305" s="176" t="n"/>
      <c r="GT305" s="176" t="n"/>
      <c r="GU305" s="176" t="n"/>
      <c r="GV305" s="176" t="n"/>
      <c r="GW305" s="176" t="n"/>
      <c r="GX305" s="176" t="n"/>
      <c r="GY305" s="176" t="n"/>
      <c r="GZ305" s="176" t="n"/>
      <c r="HA305" s="176" t="n"/>
      <c r="HB305" s="176" t="n"/>
      <c r="HC305" s="176" t="n"/>
      <c r="HD305" s="176" t="n"/>
      <c r="HE305" s="176" t="n"/>
      <c r="HF305" s="176" t="n"/>
      <c r="HG305" s="176" t="n"/>
      <c r="HH305" s="176" t="n"/>
      <c r="HI305" s="176" t="n"/>
      <c r="HJ305" s="176" t="n"/>
      <c r="HK305" s="176" t="n"/>
      <c r="HL305" s="176" t="n"/>
      <c r="HM305" s="176" t="n"/>
      <c r="HN305" s="176" t="n"/>
      <c r="HO305" s="176" t="n"/>
      <c r="HP305" s="176" t="n"/>
      <c r="HQ305" s="176" t="n"/>
      <c r="HR305" s="176" t="n"/>
      <c r="HS305" s="176" t="n"/>
      <c r="HT305" s="176" t="n"/>
      <c r="HU305" s="176" t="n"/>
      <c r="HV305" s="176" t="n"/>
      <c r="HW305" s="176" t="n"/>
      <c r="HX305" s="176" t="n"/>
      <c r="HY305" s="176" t="n"/>
      <c r="HZ305" s="176" t="n"/>
      <c r="IA305" s="176" t="n"/>
      <c r="IB305" s="176" t="n"/>
      <c r="IC305" s="176" t="n"/>
      <c r="ID305" s="176" t="n"/>
    </row>
    <row r="306" ht="18.75" customHeight="1">
      <c r="A306" s="176" t="n"/>
      <c r="B306" s="176" t="n"/>
      <c r="C306" s="176" t="n"/>
      <c r="D306" s="176" t="n"/>
      <c r="E306" s="176" t="n"/>
      <c r="F306" s="176" t="n"/>
      <c r="G306" s="176" t="n"/>
      <c r="H306" s="176" t="n"/>
      <c r="I306" s="176" t="n"/>
      <c r="J306" s="176" t="n"/>
      <c r="K306" s="176" t="n"/>
      <c r="L306" s="176" t="n"/>
      <c r="M306" s="176" t="n"/>
      <c r="N306" s="176" t="n"/>
      <c r="O306" s="176" t="n"/>
      <c r="P306" s="176" t="n"/>
      <c r="Q306" s="176" t="n"/>
      <c r="R306" s="176" t="n"/>
      <c r="S306" s="176" t="n"/>
      <c r="T306" s="185" t="n"/>
      <c r="U306" s="182" t="n"/>
      <c r="V306" s="182" t="n"/>
      <c r="W306" s="182" t="n"/>
      <c r="X306" s="182" t="n"/>
      <c r="Y306" s="183" t="n"/>
      <c r="Z306" s="176" t="n"/>
      <c r="AA306" s="176" t="n"/>
      <c r="AB306" s="185" t="n"/>
      <c r="AC306" s="182" t="n"/>
      <c r="AD306" s="182" t="n"/>
      <c r="AE306" s="182" t="n"/>
      <c r="AF306" s="182" t="n"/>
      <c r="AG306" s="183" t="n"/>
      <c r="AH306" s="176" t="n"/>
      <c r="AI306" s="176" t="n"/>
      <c r="AJ306" s="176" t="n"/>
      <c r="AK306" s="176" t="n"/>
      <c r="AL306" s="176" t="n"/>
      <c r="AM306" s="176" t="n"/>
      <c r="AN306" s="176" t="n"/>
      <c r="AO306" s="176" t="n"/>
      <c r="AP306" s="176" t="n"/>
      <c r="AQ306" s="176" t="n"/>
      <c r="AR306" s="176" t="n"/>
      <c r="AS306" s="176" t="n"/>
      <c r="AT306" s="176" t="n"/>
      <c r="AU306" s="176" t="n"/>
      <c r="AV306" s="176" t="n"/>
      <c r="AW306" s="176" t="n"/>
      <c r="AX306" s="176" t="n"/>
      <c r="AY306" s="176" t="n"/>
      <c r="AZ306" s="176" t="n"/>
      <c r="BA306" s="176" t="n"/>
      <c r="BB306" s="176" t="n"/>
      <c r="BC306" s="176" t="n"/>
      <c r="BD306" s="176" t="n"/>
      <c r="BE306" s="176" t="n"/>
      <c r="BF306" s="176" t="n"/>
      <c r="BG306" s="176" t="n"/>
      <c r="BH306" s="176" t="n"/>
      <c r="BI306" s="176" t="n"/>
      <c r="BJ306" s="176" t="n"/>
      <c r="BK306" s="176" t="n"/>
      <c r="BL306" s="176" t="n"/>
      <c r="BM306" s="176" t="n"/>
      <c r="BN306" s="176" t="n"/>
      <c r="BO306" s="176" t="n"/>
      <c r="BP306" s="176" t="n"/>
      <c r="BQ306" s="176" t="n"/>
      <c r="BR306" s="176" t="n"/>
      <c r="BS306" s="176" t="n"/>
      <c r="BT306" s="176" t="n"/>
      <c r="BU306" s="176" t="n"/>
      <c r="BV306" s="176" t="n"/>
      <c r="BW306" s="176" t="n"/>
      <c r="BX306" s="176" t="n"/>
      <c r="BY306" s="176" t="n"/>
      <c r="BZ306" s="176" t="n"/>
      <c r="CA306" s="176" t="n"/>
      <c r="CB306" s="176" t="n"/>
      <c r="CC306" s="176" t="n"/>
      <c r="CD306" s="176" t="n"/>
      <c r="CE306" s="176" t="n"/>
      <c r="CF306" s="176" t="n"/>
      <c r="CG306" s="176" t="n"/>
      <c r="CH306" s="176" t="n"/>
      <c r="CI306" s="176" t="n"/>
      <c r="CJ306" s="176" t="n"/>
      <c r="CK306" s="176" t="n"/>
      <c r="CL306" s="176" t="n"/>
      <c r="CM306" s="176" t="n"/>
      <c r="CN306" s="176" t="n"/>
      <c r="CO306" s="176" t="n"/>
      <c r="CP306" s="176" t="n"/>
      <c r="CQ306" s="176" t="n"/>
      <c r="CR306" s="176" t="n"/>
      <c r="CS306" s="176" t="n"/>
      <c r="CT306" s="176" t="n"/>
      <c r="CU306" s="176" t="n"/>
      <c r="CV306" s="176" t="n"/>
      <c r="CW306" s="176" t="n"/>
      <c r="CX306" s="176" t="n"/>
      <c r="CY306" s="176" t="n"/>
      <c r="CZ306" s="176" t="n"/>
      <c r="DA306" s="176" t="n"/>
      <c r="DB306" s="176" t="n"/>
      <c r="DC306" s="176" t="n"/>
      <c r="DD306" s="176" t="n"/>
      <c r="DE306" s="176" t="n"/>
      <c r="DF306" s="176" t="n"/>
      <c r="DG306" s="176" t="n"/>
      <c r="DH306" s="176" t="n"/>
      <c r="DI306" s="176" t="n"/>
      <c r="DJ306" s="176" t="n"/>
      <c r="DK306" s="176" t="n"/>
      <c r="DL306" s="176" t="n"/>
      <c r="DM306" s="176" t="n"/>
      <c r="DN306" s="176" t="n"/>
      <c r="DO306" s="176" t="n"/>
      <c r="DP306" s="176" t="n"/>
      <c r="DQ306" s="176" t="n"/>
      <c r="DR306" s="181" t="inlineStr">
        <is>
          <t>EFEITO E REQUISITOS</t>
        </is>
      </c>
      <c r="DS306" s="182" t="n"/>
      <c r="DT306" s="182" t="n"/>
      <c r="DU306" s="182" t="n"/>
      <c r="DV306" s="182" t="n"/>
      <c r="DW306" s="183" t="n"/>
      <c r="DX306" s="176" t="n"/>
      <c r="DY306" s="176" t="n"/>
      <c r="DZ306" s="181" t="inlineStr">
        <is>
          <t>EFEITO E REQUISITOS</t>
        </is>
      </c>
      <c r="EA306" s="182" t="n"/>
      <c r="EB306" s="182" t="n"/>
      <c r="EC306" s="182" t="n"/>
      <c r="ED306" s="182" t="n"/>
      <c r="EE306" s="183" t="n"/>
      <c r="EF306" s="176" t="n"/>
      <c r="EG306" s="176" t="n"/>
      <c r="EH306" s="176" t="n"/>
      <c r="EI306" s="176" t="n"/>
      <c r="EJ306" s="176" t="n"/>
      <c r="EK306" s="176" t="n"/>
      <c r="EL306" s="176" t="n"/>
      <c r="EM306" s="176" t="n"/>
      <c r="EN306" s="176" t="n"/>
      <c r="EO306" s="176" t="n"/>
      <c r="EP306" s="176" t="n"/>
      <c r="EQ306" s="176" t="n"/>
      <c r="ER306" s="176" t="n"/>
      <c r="ES306" s="176" t="n"/>
      <c r="ET306" s="176" t="n"/>
      <c r="EU306" s="176" t="n"/>
      <c r="EV306" s="176" t="n"/>
      <c r="EW306" s="176" t="n"/>
      <c r="EX306" s="176" t="n"/>
      <c r="EY306" s="176" t="n"/>
      <c r="EZ306" s="176" t="n"/>
      <c r="FA306" s="176" t="n"/>
      <c r="FB306" s="176" t="n"/>
      <c r="FC306" s="176" t="n"/>
      <c r="FD306" s="176" t="n"/>
      <c r="FE306" s="176" t="n"/>
      <c r="FF306" s="176" t="n"/>
      <c r="FG306" s="176" t="n"/>
      <c r="FH306" s="176" t="n"/>
      <c r="FI306" s="176" t="n"/>
      <c r="FJ306" s="176" t="n"/>
      <c r="FK306" s="176" t="n"/>
      <c r="FL306" s="176" t="n"/>
      <c r="FM306" s="176" t="n"/>
      <c r="FN306" s="176" t="n"/>
      <c r="FO306" s="176" t="n"/>
      <c r="FP306" s="176" t="n"/>
      <c r="FQ306" s="176" t="n"/>
      <c r="FR306" s="176" t="n"/>
      <c r="FS306" s="176" t="n"/>
      <c r="FT306" s="176" t="n"/>
      <c r="FU306" s="176" t="n"/>
      <c r="FV306" s="176" t="n"/>
      <c r="FW306" s="176" t="n"/>
      <c r="FX306" s="176" t="n"/>
      <c r="FY306" s="176" t="n"/>
      <c r="FZ306" s="176" t="n"/>
      <c r="GA306" s="176" t="n"/>
      <c r="GB306" s="176" t="n"/>
      <c r="GC306" s="176" t="n"/>
      <c r="GD306" s="176" t="n"/>
      <c r="GE306" s="176" t="n"/>
      <c r="GF306" s="176" t="n"/>
      <c r="GG306" s="176" t="n"/>
      <c r="GH306" s="176" t="n"/>
      <c r="GI306" s="176" t="n"/>
      <c r="GJ306" s="176" t="n"/>
      <c r="GK306" s="176" t="n"/>
      <c r="GL306" s="176" t="n"/>
      <c r="GM306" s="176" t="n"/>
      <c r="GN306" s="176" t="n"/>
      <c r="GO306" s="176" t="n"/>
      <c r="GP306" s="176" t="n"/>
      <c r="GQ306" s="176" t="n"/>
      <c r="GR306" s="176" t="n"/>
      <c r="GS306" s="176" t="n"/>
      <c r="GT306" s="176" t="n"/>
      <c r="GU306" s="176" t="n"/>
      <c r="GV306" s="176" t="n"/>
      <c r="GW306" s="176" t="n"/>
      <c r="GX306" s="176" t="n"/>
      <c r="GY306" s="176" t="n"/>
      <c r="GZ306" s="176" t="n"/>
      <c r="HA306" s="176" t="n"/>
      <c r="HB306" s="176" t="n"/>
      <c r="HC306" s="176" t="n"/>
      <c r="HD306" s="176" t="n"/>
      <c r="HE306" s="176" t="n"/>
      <c r="HF306" s="176" t="n"/>
      <c r="HG306" s="176" t="n"/>
      <c r="HH306" s="176" t="n"/>
      <c r="HI306" s="176" t="n"/>
      <c r="HJ306" s="176" t="n"/>
      <c r="HK306" s="176" t="n"/>
      <c r="HL306" s="176" t="n"/>
      <c r="HM306" s="176" t="n"/>
      <c r="HN306" s="176" t="n"/>
      <c r="HO306" s="176" t="n"/>
      <c r="HP306" s="176" t="n"/>
      <c r="HQ306" s="176" t="n"/>
      <c r="HR306" s="176" t="n"/>
      <c r="HS306" s="176" t="n"/>
      <c r="HT306" s="176" t="n"/>
      <c r="HU306" s="176" t="n"/>
      <c r="HV306" s="176" t="n"/>
      <c r="HW306" s="176" t="n"/>
      <c r="HX306" s="176" t="n"/>
      <c r="HY306" s="176" t="n"/>
      <c r="HZ306" s="176" t="n"/>
      <c r="IA306" s="176" t="n"/>
      <c r="IB306" s="176" t="n"/>
      <c r="IC306" s="176" t="n"/>
      <c r="ID306" s="176" t="n"/>
    </row>
    <row r="307" ht="18.75" customHeight="1">
      <c r="A307" s="176" t="n"/>
      <c r="B307" s="176" t="n"/>
      <c r="C307" s="176" t="n"/>
      <c r="D307" s="176" t="n"/>
      <c r="E307" s="176" t="n"/>
      <c r="F307" s="176" t="n"/>
      <c r="G307" s="176" t="n"/>
      <c r="H307" s="176" t="n"/>
      <c r="I307" s="176" t="n"/>
      <c r="J307" s="176" t="n"/>
      <c r="K307" s="176" t="n"/>
      <c r="L307" s="176" t="n"/>
      <c r="M307" s="176" t="n"/>
      <c r="N307" s="176" t="n"/>
      <c r="O307" s="176" t="n"/>
      <c r="P307" s="176" t="n"/>
      <c r="Q307" s="176" t="n"/>
      <c r="R307" s="176" t="n"/>
      <c r="S307" s="176" t="n"/>
      <c r="T307" s="181">
        <f>SWITCH('CONFIGURAÇÃO'!$T$304,"Origem","PERÍCIA 1","Marcante","ORIGEM","Menor","ORIGEM","Arma","CATEGORIA","Escudo","","Uniforme","GRAU MÍNIMO","Item comum","","Ferramenta amaldiçoada","BASE","")</f>
        <v/>
      </c>
      <c r="U307" s="183" t="n"/>
      <c r="V307" s="185" t="n"/>
      <c r="W307" s="182" t="n"/>
      <c r="X307" s="182" t="n"/>
      <c r="Y307" s="183" t="n"/>
      <c r="Z307" s="176" t="n"/>
      <c r="AA307" s="176" t="n"/>
      <c r="AB307" s="181">
        <f>SWITCH('CONFIGURAÇÃO'!$AB$304,"Origem","PERÍCIA 1","Marcante","ORIGEM","Menor","ORIGEM","Arma","CATEGORIA","Escudo","","Uniforme","GRAU MÍNIMO","Item comum","","Ferramenta amaldiçoada","BASE","")</f>
        <v/>
      </c>
      <c r="AC307" s="183" t="n"/>
      <c r="AD307" s="185" t="n"/>
      <c r="AE307" s="182" t="n"/>
      <c r="AF307" s="182" t="n"/>
      <c r="AG307" s="183" t="n"/>
      <c r="AH307" s="176" t="n"/>
      <c r="AI307" s="176" t="n"/>
      <c r="AJ307" s="176" t="n"/>
      <c r="AK307" s="176" t="n"/>
      <c r="AL307" s="176" t="n"/>
      <c r="AM307" s="176" t="n"/>
      <c r="AN307" s="176" t="n"/>
      <c r="AO307" s="176" t="n"/>
      <c r="AP307" s="176" t="n"/>
      <c r="AQ307" s="176" t="n"/>
      <c r="AR307" s="176" t="n"/>
      <c r="AS307" s="176" t="n"/>
      <c r="AT307" s="176" t="n"/>
      <c r="AU307" s="176" t="n"/>
      <c r="AV307" s="176" t="n"/>
      <c r="AW307" s="176" t="n"/>
      <c r="AX307" s="176" t="n"/>
      <c r="AY307" s="176" t="n"/>
      <c r="AZ307" s="176" t="n"/>
      <c r="BA307" s="176" t="n"/>
      <c r="BB307" s="176" t="n"/>
      <c r="BC307" s="176" t="n"/>
      <c r="BD307" s="176" t="n"/>
      <c r="BE307" s="176" t="n"/>
      <c r="BF307" s="176" t="n"/>
      <c r="BG307" s="176" t="n"/>
      <c r="BH307" s="176" t="n"/>
      <c r="BI307" s="176" t="n"/>
      <c r="BJ307" s="176" t="n"/>
      <c r="BK307" s="176" t="n"/>
      <c r="BL307" s="176" t="n"/>
      <c r="BM307" s="176" t="n"/>
      <c r="BN307" s="176" t="n"/>
      <c r="BO307" s="176" t="n"/>
      <c r="BP307" s="176" t="n"/>
      <c r="BQ307" s="176" t="n"/>
      <c r="BR307" s="176" t="n"/>
      <c r="BS307" s="176" t="n"/>
      <c r="BT307" s="176" t="n"/>
      <c r="BU307" s="176" t="n"/>
      <c r="BV307" s="176" t="n"/>
      <c r="BW307" s="176" t="n"/>
      <c r="BX307" s="176" t="n"/>
      <c r="BY307" s="176" t="n"/>
      <c r="BZ307" s="176" t="n"/>
      <c r="CA307" s="176" t="n"/>
      <c r="CB307" s="176" t="n"/>
      <c r="CC307" s="176" t="n"/>
      <c r="CD307" s="176" t="n"/>
      <c r="CE307" s="176" t="n"/>
      <c r="CF307" s="176" t="n"/>
      <c r="CG307" s="176" t="n"/>
      <c r="CH307" s="176" t="n"/>
      <c r="CI307" s="176" t="n"/>
      <c r="CJ307" s="176" t="n"/>
      <c r="CK307" s="176" t="n"/>
      <c r="CL307" s="176" t="n"/>
      <c r="CM307" s="176" t="n"/>
      <c r="CN307" s="176" t="n"/>
      <c r="CO307" s="176" t="n"/>
      <c r="CP307" s="176" t="n"/>
      <c r="CQ307" s="176" t="n"/>
      <c r="CR307" s="176" t="n"/>
      <c r="CS307" s="176" t="n"/>
      <c r="CT307" s="176" t="n"/>
      <c r="CU307" s="176" t="n"/>
      <c r="CV307" s="176" t="n"/>
      <c r="CW307" s="176" t="n"/>
      <c r="CX307" s="176" t="n"/>
      <c r="CY307" s="176" t="n"/>
      <c r="CZ307" s="176" t="n"/>
      <c r="DA307" s="181" t="inlineStr">
        <is>
          <t>REQUISITOS E REPETIÇÃO</t>
        </is>
      </c>
      <c r="DB307" s="182" t="n"/>
      <c r="DC307" s="182" t="n"/>
      <c r="DD307" s="182" t="n"/>
      <c r="DE307" s="182" t="n"/>
      <c r="DF307" s="183" t="n"/>
      <c r="DG307" s="176" t="n"/>
      <c r="DH307" s="176" t="n"/>
      <c r="DI307" s="181" t="inlineStr">
        <is>
          <t>REQUISITOS E REPETIÇÃO</t>
        </is>
      </c>
      <c r="DJ307" s="182" t="n"/>
      <c r="DK307" s="182" t="n"/>
      <c r="DL307" s="182" t="n"/>
      <c r="DM307" s="182" t="n"/>
      <c r="DN307" s="183" t="n"/>
      <c r="DO307" s="176" t="n"/>
      <c r="DP307" s="176" t="n"/>
      <c r="DQ307" s="176" t="n"/>
      <c r="DR307" s="192" t="n"/>
      <c r="DS307" s="187" t="n"/>
      <c r="DT307" s="187" t="n"/>
      <c r="DU307" s="187" t="n"/>
      <c r="DV307" s="187" t="n"/>
      <c r="DW307" s="188" t="n"/>
      <c r="DX307" s="176" t="n"/>
      <c r="DY307" s="176" t="n"/>
      <c r="DZ307" s="192" t="n"/>
      <c r="EA307" s="187" t="n"/>
      <c r="EB307" s="187" t="n"/>
      <c r="EC307" s="187" t="n"/>
      <c r="ED307" s="187" t="n"/>
      <c r="EE307" s="188" t="n"/>
      <c r="EF307" s="176" t="n"/>
      <c r="EG307" s="176" t="n"/>
      <c r="EH307" s="176" t="n"/>
      <c r="EI307" s="176" t="n"/>
      <c r="EJ307" s="176" t="n"/>
      <c r="EK307" s="176" t="n"/>
      <c r="EL307" s="176" t="n"/>
      <c r="EM307" s="176" t="n"/>
      <c r="EN307" s="176" t="n"/>
      <c r="EO307" s="176" t="n"/>
      <c r="EP307" s="176" t="n"/>
      <c r="EQ307" s="176" t="n"/>
      <c r="ER307" s="176" t="n"/>
      <c r="ES307" s="176" t="n"/>
      <c r="ET307" s="176" t="n"/>
      <c r="EU307" s="176" t="n"/>
      <c r="EV307" s="176" t="n"/>
      <c r="EW307" s="176" t="n"/>
      <c r="EX307" s="176" t="n"/>
      <c r="EY307" s="176" t="n"/>
      <c r="EZ307" s="176" t="n"/>
      <c r="FA307" s="176" t="n"/>
      <c r="FB307" s="176" t="n"/>
      <c r="FC307" s="176" t="n"/>
      <c r="FD307" s="176" t="n"/>
      <c r="FE307" s="176" t="n"/>
      <c r="FF307" s="176" t="n"/>
      <c r="FG307" s="176" t="n"/>
      <c r="FH307" s="176" t="n"/>
      <c r="FI307" s="176" t="n"/>
      <c r="FJ307" s="176" t="n"/>
      <c r="FK307" s="176" t="n"/>
      <c r="FL307" s="176" t="n"/>
      <c r="FM307" s="176" t="n"/>
      <c r="FN307" s="176" t="n"/>
      <c r="FO307" s="176" t="n"/>
      <c r="FP307" s="176" t="n"/>
      <c r="FQ307" s="176" t="n"/>
      <c r="FR307" s="176" t="n"/>
      <c r="FS307" s="176" t="n"/>
      <c r="FT307" s="176" t="n"/>
      <c r="FU307" s="176" t="n"/>
      <c r="FV307" s="176" t="n"/>
      <c r="FW307" s="176" t="n"/>
      <c r="FX307" s="176" t="n"/>
      <c r="FY307" s="176" t="n"/>
      <c r="FZ307" s="176" t="n"/>
      <c r="GA307" s="176" t="n"/>
      <c r="GB307" s="176" t="n"/>
      <c r="GC307" s="176" t="n"/>
      <c r="GD307" s="176" t="n"/>
      <c r="GE307" s="176" t="n"/>
      <c r="GF307" s="176" t="n"/>
      <c r="GG307" s="176" t="n"/>
      <c r="GH307" s="176" t="n"/>
      <c r="GI307" s="176" t="n"/>
      <c r="GJ307" s="176" t="n"/>
      <c r="GK307" s="176" t="n"/>
      <c r="GL307" s="176" t="n"/>
      <c r="GM307" s="176" t="n"/>
      <c r="GN307" s="176" t="n"/>
      <c r="GO307" s="176" t="n"/>
      <c r="GP307" s="176" t="n"/>
      <c r="GQ307" s="176" t="n"/>
      <c r="GR307" s="176" t="n"/>
      <c r="GS307" s="176" t="n"/>
      <c r="GT307" s="176" t="n"/>
      <c r="GU307" s="176" t="n"/>
      <c r="GV307" s="176" t="n"/>
      <c r="GW307" s="176" t="n"/>
      <c r="GX307" s="176" t="n"/>
      <c r="GY307" s="176" t="n"/>
      <c r="GZ307" s="176" t="n"/>
      <c r="HA307" s="176" t="n"/>
      <c r="HB307" s="176" t="n"/>
      <c r="HC307" s="176" t="n"/>
      <c r="HD307" s="176" t="n"/>
      <c r="HE307" s="176" t="n"/>
      <c r="HF307" s="176" t="n"/>
      <c r="HG307" s="176" t="n"/>
      <c r="HH307" s="176" t="n"/>
      <c r="HI307" s="176" t="n"/>
      <c r="HJ307" s="176" t="n"/>
      <c r="HK307" s="176" t="n"/>
      <c r="HL307" s="176" t="n"/>
      <c r="HM307" s="176" t="n"/>
      <c r="HN307" s="176" t="n"/>
      <c r="HO307" s="176" t="n"/>
      <c r="HP307" s="176" t="n"/>
      <c r="HQ307" s="176" t="n"/>
      <c r="HR307" s="176" t="n"/>
      <c r="HS307" s="176" t="n"/>
      <c r="HT307" s="176" t="n"/>
      <c r="HU307" s="176" t="n"/>
      <c r="HV307" s="176" t="n"/>
      <c r="HW307" s="176" t="n"/>
      <c r="HX307" s="176" t="n"/>
      <c r="HY307" s="176" t="n"/>
      <c r="HZ307" s="176" t="n"/>
      <c r="IA307" s="176" t="n"/>
      <c r="IB307" s="176" t="n"/>
      <c r="IC307" s="176" t="n"/>
      <c r="ID307" s="176" t="n"/>
    </row>
    <row r="308" ht="18.75" customHeight="1">
      <c r="A308" s="176" t="n"/>
      <c r="B308" s="176" t="n"/>
      <c r="C308" s="176" t="n"/>
      <c r="D308" s="176" t="n"/>
      <c r="E308" s="176" t="n"/>
      <c r="F308" s="176" t="n"/>
      <c r="G308" s="176" t="n"/>
      <c r="H308" s="176" t="n"/>
      <c r="I308" s="176" t="n"/>
      <c r="J308" s="176" t="n"/>
      <c r="K308" s="176" t="n"/>
      <c r="L308" s="176" t="n"/>
      <c r="M308" s="176" t="n"/>
      <c r="N308" s="176" t="n"/>
      <c r="O308" s="176" t="n"/>
      <c r="P308" s="176" t="n"/>
      <c r="Q308" s="176" t="n"/>
      <c r="R308" s="176" t="n"/>
      <c r="S308" s="176" t="n"/>
      <c r="T308" s="181">
        <f>SWITCH('CONFIGURAÇÃO'!$T$304,"Origem","PERÍCIA 2","Marcante","","Menor","EXIGE MARCANTE","Arma","MÃO","Escudo","","Uniforme","","Item comum","","Ferramenta amaldiçoada","GRAU","")</f>
        <v/>
      </c>
      <c r="U308" s="183" t="n"/>
      <c r="V308" s="185" t="n"/>
      <c r="W308" s="182" t="n"/>
      <c r="X308" s="182" t="n"/>
      <c r="Y308" s="183" t="n"/>
      <c r="Z308" s="176" t="n"/>
      <c r="AA308" s="176" t="n"/>
      <c r="AB308" s="181">
        <f>SWITCH('CONFIGURAÇÃO'!$AB$304,"Origem","PERÍCIA 2","Marcante","","Menor","EXIGE MARCANTE","Arma","MÃO","Escudo","","Uniforme","","Item comum","","Ferramenta amaldiçoada","GRAU","")</f>
        <v/>
      </c>
      <c r="AC308" s="183" t="n"/>
      <c r="AD308" s="185" t="n"/>
      <c r="AE308" s="182" t="n"/>
      <c r="AF308" s="182" t="n"/>
      <c r="AG308" s="183" t="n"/>
      <c r="AH308" s="176" t="n"/>
      <c r="AI308" s="176" t="n"/>
      <c r="AJ308" s="176" t="n"/>
      <c r="AK308" s="176" t="n"/>
      <c r="AL308" s="176" t="n"/>
      <c r="AM308" s="176" t="n"/>
      <c r="AN308" s="176" t="n"/>
      <c r="AO308" s="176" t="n"/>
      <c r="AP308" s="176" t="n"/>
      <c r="AQ308" s="176" t="n"/>
      <c r="AR308" s="176" t="n"/>
      <c r="AS308" s="176" t="n"/>
      <c r="AT308" s="176" t="n"/>
      <c r="AU308" s="176" t="n"/>
      <c r="AV308" s="176" t="n"/>
      <c r="AW308" s="176" t="n"/>
      <c r="AX308" s="176" t="n"/>
      <c r="AY308" s="176" t="n"/>
      <c r="AZ308" s="176" t="n"/>
      <c r="BA308" s="176" t="n"/>
      <c r="BB308" s="176" t="n"/>
      <c r="BC308" s="176" t="n"/>
      <c r="BD308" s="176" t="n"/>
      <c r="BE308" s="176" t="n"/>
      <c r="BF308" s="176" t="n"/>
      <c r="BG308" s="176" t="n"/>
      <c r="BH308" s="176" t="n"/>
      <c r="BI308" s="176" t="n"/>
      <c r="BJ308" s="176" t="n"/>
      <c r="BK308" s="176" t="n"/>
      <c r="BL308" s="176" t="n"/>
      <c r="BM308" s="176" t="n"/>
      <c r="BN308" s="176" t="n"/>
      <c r="BO308" s="176" t="n"/>
      <c r="BP308" s="176" t="n"/>
      <c r="BQ308" s="176" t="n"/>
      <c r="BR308" s="176" t="n"/>
      <c r="BS308" s="176" t="n"/>
      <c r="BT308" s="176" t="n"/>
      <c r="BU308" s="176" t="n"/>
      <c r="BV308" s="176" t="n"/>
      <c r="BW308" s="176" t="n"/>
      <c r="BX308" s="176" t="n"/>
      <c r="BY308" s="176" t="n"/>
      <c r="BZ308" s="176" t="n"/>
      <c r="CA308" s="176" t="n"/>
      <c r="CB308" s="176" t="n"/>
      <c r="CC308" s="176" t="n"/>
      <c r="CD308" s="176" t="n"/>
      <c r="CE308" s="176" t="n"/>
      <c r="CF308" s="176" t="n"/>
      <c r="CG308" s="176" t="n"/>
      <c r="CH308" s="176" t="n"/>
      <c r="CI308" s="176" t="n"/>
      <c r="CJ308" s="176" t="n"/>
      <c r="CK308" s="176" t="n"/>
      <c r="CL308" s="176" t="n"/>
      <c r="CM308" s="176" t="n"/>
      <c r="CN308" s="176" t="n"/>
      <c r="CO308" s="176" t="n"/>
      <c r="CP308" s="176" t="n"/>
      <c r="CQ308" s="176" t="n"/>
      <c r="CR308" s="176" t="n"/>
      <c r="CS308" s="176" t="n"/>
      <c r="CT308" s="176" t="n"/>
      <c r="CU308" s="176" t="n"/>
      <c r="CV308" s="176" t="n"/>
      <c r="CW308" s="176" t="n"/>
      <c r="CX308" s="176" t="n"/>
      <c r="CY308" s="176" t="n"/>
      <c r="CZ308" s="176" t="n"/>
      <c r="DA308" s="192" t="n"/>
      <c r="DB308" s="187" t="n"/>
      <c r="DC308" s="187" t="n"/>
      <c r="DD308" s="187" t="n"/>
      <c r="DE308" s="187" t="n"/>
      <c r="DF308" s="188" t="n"/>
      <c r="DG308" s="176" t="n"/>
      <c r="DH308" s="176" t="n"/>
      <c r="DI308" s="192" t="n"/>
      <c r="DJ308" s="187" t="n"/>
      <c r="DK308" s="187" t="n"/>
      <c r="DL308" s="187" t="n"/>
      <c r="DM308" s="187" t="n"/>
      <c r="DN308" s="188" t="n"/>
      <c r="DO308" s="176" t="n"/>
      <c r="DP308" s="176" t="n"/>
      <c r="DQ308" s="176" t="n"/>
      <c r="DR308" s="193" t="n"/>
      <c r="DW308" s="194" t="n"/>
      <c r="DX308" s="176" t="n"/>
      <c r="DY308" s="176" t="n"/>
      <c r="DZ308" s="193" t="n"/>
      <c r="EE308" s="194" t="n"/>
      <c r="EF308" s="176" t="n"/>
      <c r="EG308" s="176" t="n"/>
      <c r="EH308" s="176" t="n"/>
      <c r="EI308" s="176" t="n"/>
      <c r="EJ308" s="176" t="n"/>
      <c r="EK308" s="176" t="n"/>
      <c r="EL308" s="176" t="n"/>
      <c r="EM308" s="176" t="n"/>
      <c r="EN308" s="176" t="n"/>
      <c r="EO308" s="176" t="n"/>
      <c r="EP308" s="176" t="n"/>
      <c r="EQ308" s="176" t="n"/>
      <c r="ER308" s="176" t="n"/>
      <c r="ES308" s="176" t="n"/>
      <c r="ET308" s="176" t="n"/>
      <c r="EU308" s="176" t="n"/>
      <c r="EV308" s="176" t="n"/>
      <c r="EW308" s="176" t="n"/>
      <c r="EX308" s="176" t="n"/>
      <c r="EY308" s="176" t="n"/>
      <c r="EZ308" s="176" t="n"/>
      <c r="FA308" s="176" t="n"/>
      <c r="FB308" s="176" t="n"/>
      <c r="FC308" s="176" t="n"/>
      <c r="FD308" s="176" t="n"/>
      <c r="FE308" s="176" t="n"/>
      <c r="FF308" s="176" t="n"/>
      <c r="FG308" s="176" t="n"/>
      <c r="FH308" s="176" t="n"/>
      <c r="FI308" s="176" t="n"/>
      <c r="FJ308" s="176" t="n"/>
      <c r="FK308" s="176" t="n"/>
      <c r="FL308" s="176" t="n"/>
      <c r="FM308" s="176" t="n"/>
      <c r="FN308" s="176" t="n"/>
      <c r="FO308" s="176" t="n"/>
      <c r="FP308" s="176" t="n"/>
      <c r="FQ308" s="176" t="n"/>
      <c r="FR308" s="176" t="n"/>
      <c r="FS308" s="176" t="n"/>
      <c r="FT308" s="176" t="n"/>
      <c r="FU308" s="176" t="n"/>
      <c r="FV308" s="176" t="n"/>
      <c r="FW308" s="176" t="n"/>
      <c r="FX308" s="176" t="n"/>
      <c r="FY308" s="176" t="n"/>
      <c r="FZ308" s="176" t="n"/>
      <c r="GA308" s="176" t="n"/>
      <c r="GB308" s="176" t="n"/>
      <c r="GC308" s="176" t="n"/>
      <c r="GD308" s="176" t="n"/>
      <c r="GE308" s="176" t="n"/>
      <c r="GF308" s="176" t="n"/>
      <c r="GG308" s="176" t="n"/>
      <c r="GH308" s="176" t="n"/>
      <c r="GI308" s="176" t="n"/>
      <c r="GJ308" s="176" t="n"/>
      <c r="GK308" s="176" t="n"/>
      <c r="GL308" s="176" t="n"/>
      <c r="GM308" s="176" t="n"/>
      <c r="GN308" s="176" t="n"/>
      <c r="GO308" s="176" t="n"/>
      <c r="GP308" s="176" t="n"/>
      <c r="GQ308" s="176" t="n"/>
      <c r="GR308" s="176" t="n"/>
      <c r="GS308" s="176" t="n"/>
      <c r="GT308" s="176" t="n"/>
      <c r="GU308" s="176" t="n"/>
      <c r="GV308" s="176" t="n"/>
      <c r="GW308" s="176" t="n"/>
      <c r="GX308" s="176" t="n"/>
      <c r="GY308" s="176" t="n"/>
      <c r="GZ308" s="176" t="n"/>
      <c r="HA308" s="176" t="n"/>
      <c r="HB308" s="176" t="n"/>
      <c r="HC308" s="176" t="n"/>
      <c r="HD308" s="176" t="n"/>
      <c r="HE308" s="176" t="n"/>
      <c r="HF308" s="176" t="n"/>
      <c r="HG308" s="176" t="n"/>
      <c r="HH308" s="176" t="n"/>
      <c r="HI308" s="176" t="n"/>
      <c r="HJ308" s="176" t="n"/>
      <c r="HK308" s="176" t="n"/>
      <c r="HL308" s="176" t="n"/>
      <c r="HM308" s="176" t="n"/>
      <c r="HN308" s="176" t="n"/>
      <c r="HO308" s="176" t="n"/>
      <c r="HP308" s="176" t="n"/>
      <c r="HQ308" s="176" t="n"/>
      <c r="HR308" s="176" t="n"/>
      <c r="HS308" s="176" t="n"/>
      <c r="HT308" s="176" t="n"/>
      <c r="HU308" s="176" t="n"/>
      <c r="HV308" s="176" t="n"/>
      <c r="HW308" s="176" t="n"/>
      <c r="HX308" s="176" t="n"/>
      <c r="HY308" s="176" t="n"/>
      <c r="HZ308" s="176" t="n"/>
      <c r="IA308" s="176" t="n"/>
      <c r="IB308" s="176" t="n"/>
      <c r="IC308" s="176" t="n"/>
      <c r="ID308" s="176" t="n"/>
    </row>
    <row r="309" ht="18.75" customHeight="1">
      <c r="A309" s="176" t="n"/>
      <c r="B309" s="176" t="n"/>
      <c r="C309" s="176" t="n"/>
      <c r="D309" s="176" t="n"/>
      <c r="E309" s="176" t="n"/>
      <c r="F309" s="176" t="n"/>
      <c r="G309" s="176" t="n"/>
      <c r="H309" s="176" t="n"/>
      <c r="I309" s="176" t="n"/>
      <c r="J309" s="176" t="n"/>
      <c r="K309" s="176" t="n"/>
      <c r="L309" s="176" t="n"/>
      <c r="M309" s="176" t="n"/>
      <c r="N309" s="176" t="n"/>
      <c r="O309" s="176" t="n"/>
      <c r="P309" s="176" t="n"/>
      <c r="Q309" s="176" t="n"/>
      <c r="R309" s="176" t="n"/>
      <c r="S309" s="176" t="n"/>
      <c r="T309" s="181">
        <f>SWITCH('CONFIGURAÇÃO'!$T$304,"Origem","PERÍCIA 3","Marcante","","Menor","","Arma","TIPO DE DANO","Escudo","","Uniforme","","Item comum","","Ferramenta amaldiçoada","","")</f>
        <v/>
      </c>
      <c r="U309" s="183" t="n"/>
      <c r="V309" s="185" t="n"/>
      <c r="W309" s="182" t="n"/>
      <c r="X309" s="182" t="n"/>
      <c r="Y309" s="183" t="n"/>
      <c r="Z309" s="176" t="n"/>
      <c r="AA309" s="176" t="n"/>
      <c r="AB309" s="181">
        <f>SWITCH('CONFIGURAÇÃO'!$AB$304,"Origem","PERÍCIA 3","Marcante","","Menor","","Arma","TIPO DE DANO","Escudo","","Uniforme","","Item comum","","Ferramenta amaldiçoada","","")</f>
        <v/>
      </c>
      <c r="AC309" s="183" t="n"/>
      <c r="AD309" s="185" t="n"/>
      <c r="AE309" s="182" t="n"/>
      <c r="AF309" s="182" t="n"/>
      <c r="AG309" s="183" t="n"/>
      <c r="AH309" s="176" t="n"/>
      <c r="AI309" s="176" t="n"/>
      <c r="AJ309" s="176" t="n"/>
      <c r="AK309" s="176" t="n"/>
      <c r="AL309" s="176" t="n"/>
      <c r="AM309" s="176" t="n"/>
      <c r="AN309" s="176" t="n"/>
      <c r="AO309" s="176" t="n"/>
      <c r="AP309" s="176" t="n"/>
      <c r="AQ309" s="176" t="n"/>
      <c r="AR309" s="176" t="n"/>
      <c r="AS309" s="176" t="n"/>
      <c r="AT309" s="176" t="n"/>
      <c r="AU309" s="176" t="n"/>
      <c r="AV309" s="176" t="n"/>
      <c r="AW309" s="176" t="n"/>
      <c r="AX309" s="176" t="n"/>
      <c r="AY309" s="176" t="n"/>
      <c r="AZ309" s="176" t="n"/>
      <c r="BA309" s="176" t="n"/>
      <c r="BB309" s="176" t="n"/>
      <c r="BC309" s="176" t="n"/>
      <c r="BD309" s="176" t="n"/>
      <c r="BE309" s="176" t="n"/>
      <c r="BF309" s="176" t="n"/>
      <c r="BG309" s="176" t="n"/>
      <c r="BH309" s="176" t="n"/>
      <c r="BI309" s="176" t="n"/>
      <c r="BJ309" s="176" t="n"/>
      <c r="BK309" s="176" t="n"/>
      <c r="BL309" s="176" t="n"/>
      <c r="BM309" s="176" t="n"/>
      <c r="BN309" s="176" t="n"/>
      <c r="BO309" s="176" t="n"/>
      <c r="BP309" s="176" t="n"/>
      <c r="BQ309" s="176" t="n"/>
      <c r="BR309" s="176" t="n"/>
      <c r="BS309" s="176" t="n"/>
      <c r="BT309" s="176" t="n"/>
      <c r="BU309" s="176" t="n"/>
      <c r="BV309" s="176" t="n"/>
      <c r="BW309" s="176" t="n"/>
      <c r="BX309" s="176" t="n"/>
      <c r="BY309" s="176" t="n"/>
      <c r="BZ309" s="176" t="n"/>
      <c r="CA309" s="176" t="n"/>
      <c r="CB309" s="176" t="n"/>
      <c r="CC309" s="176" t="n"/>
      <c r="CD309" s="176" t="n"/>
      <c r="CE309" s="176" t="n"/>
      <c r="CF309" s="176" t="n"/>
      <c r="CG309" s="176" t="n"/>
      <c r="CH309" s="176" t="n"/>
      <c r="CI309" s="176" t="n"/>
      <c r="CJ309" s="176" t="n"/>
      <c r="CK309" s="176" t="n"/>
      <c r="CL309" s="176" t="n"/>
      <c r="CM309" s="176" t="n"/>
      <c r="CN309" s="176" t="n"/>
      <c r="CO309" s="176" t="n"/>
      <c r="CP309" s="176" t="n"/>
      <c r="CQ309" s="176" t="n"/>
      <c r="CR309" s="176" t="n"/>
      <c r="CS309" s="176" t="n"/>
      <c r="CT309" s="176" t="n"/>
      <c r="CU309" s="176" t="n"/>
      <c r="CV309" s="176" t="n"/>
      <c r="CW309" s="176" t="n"/>
      <c r="CX309" s="176" t="n"/>
      <c r="CY309" s="176" t="n"/>
      <c r="CZ309" s="176" t="n"/>
      <c r="DA309" s="193" t="n"/>
      <c r="DF309" s="194" t="n"/>
      <c r="DG309" s="176" t="n"/>
      <c r="DH309" s="176" t="n"/>
      <c r="DI309" s="193" t="n"/>
      <c r="DN309" s="194" t="n"/>
      <c r="DO309" s="176" t="n"/>
      <c r="DP309" s="176" t="n"/>
      <c r="DQ309" s="176" t="n"/>
      <c r="DR309" s="193" t="n"/>
      <c r="DW309" s="194" t="n"/>
      <c r="DX309" s="176" t="n"/>
      <c r="DY309" s="176" t="n"/>
      <c r="DZ309" s="193" t="n"/>
      <c r="EE309" s="194" t="n"/>
      <c r="EF309" s="176" t="n"/>
      <c r="EG309" s="176" t="n"/>
      <c r="EH309" s="176" t="n"/>
      <c r="EI309" s="176" t="n"/>
      <c r="EJ309" s="176" t="n"/>
      <c r="EK309" s="176" t="n"/>
      <c r="EL309" s="176" t="n"/>
      <c r="EM309" s="176" t="n"/>
      <c r="EN309" s="176" t="n"/>
      <c r="EO309" s="176" t="n"/>
      <c r="EP309" s="176" t="n"/>
      <c r="EQ309" s="176" t="n"/>
      <c r="ER309" s="176" t="n"/>
      <c r="ES309" s="176" t="n"/>
      <c r="ET309" s="176" t="n"/>
      <c r="EU309" s="176" t="n"/>
      <c r="EV309" s="176" t="n"/>
      <c r="EW309" s="176" t="n"/>
      <c r="EX309" s="176" t="n"/>
      <c r="EY309" s="176" t="n"/>
      <c r="EZ309" s="176" t="n"/>
      <c r="FA309" s="176" t="n"/>
      <c r="FB309" s="176" t="n"/>
      <c r="FC309" s="176" t="n"/>
      <c r="FD309" s="176" t="n"/>
      <c r="FE309" s="176" t="n"/>
      <c r="FF309" s="176" t="n"/>
      <c r="FG309" s="176" t="n"/>
      <c r="FH309" s="176" t="n"/>
      <c r="FI309" s="176" t="n"/>
      <c r="FJ309" s="176" t="n"/>
      <c r="FK309" s="176" t="n"/>
      <c r="FL309" s="176" t="n"/>
      <c r="FM309" s="176" t="n"/>
      <c r="FN309" s="176" t="n"/>
      <c r="FO309" s="176" t="n"/>
      <c r="FP309" s="176" t="n"/>
      <c r="FQ309" s="176" t="n"/>
      <c r="FR309" s="176" t="n"/>
      <c r="FS309" s="176" t="n"/>
      <c r="FT309" s="176" t="n"/>
      <c r="FU309" s="176" t="n"/>
      <c r="FV309" s="176" t="n"/>
      <c r="FW309" s="176" t="n"/>
      <c r="FX309" s="176" t="n"/>
      <c r="FY309" s="176" t="n"/>
      <c r="FZ309" s="176" t="n"/>
      <c r="GA309" s="176" t="n"/>
      <c r="GB309" s="176" t="n"/>
      <c r="GC309" s="176" t="n"/>
      <c r="GD309" s="176" t="n"/>
      <c r="GE309" s="176" t="n"/>
      <c r="GF309" s="176" t="n"/>
      <c r="GG309" s="176" t="n"/>
      <c r="GH309" s="176" t="n"/>
      <c r="GI309" s="176" t="n"/>
      <c r="GJ309" s="176" t="n"/>
      <c r="GK309" s="176" t="n"/>
      <c r="GL309" s="176" t="n"/>
      <c r="GM309" s="176" t="n"/>
      <c r="GN309" s="176" t="n"/>
      <c r="GO309" s="176" t="n"/>
      <c r="GP309" s="176" t="n"/>
      <c r="GQ309" s="176" t="n"/>
      <c r="GR309" s="176" t="n"/>
      <c r="GS309" s="176" t="n"/>
      <c r="GT309" s="176" t="n"/>
      <c r="GU309" s="176" t="n"/>
      <c r="GV309" s="176" t="n"/>
      <c r="GW309" s="176" t="n"/>
      <c r="GX309" s="176" t="n"/>
      <c r="GY309" s="176" t="n"/>
      <c r="GZ309" s="176" t="n"/>
      <c r="HA309" s="176" t="n"/>
      <c r="HB309" s="176" t="n"/>
      <c r="HC309" s="176" t="n"/>
      <c r="HD309" s="176" t="n"/>
      <c r="HE309" s="176" t="n"/>
      <c r="HF309" s="176" t="n"/>
      <c r="HG309" s="176" t="n"/>
      <c r="HH309" s="176" t="n"/>
      <c r="HI309" s="176" t="n"/>
      <c r="HJ309" s="176" t="n"/>
      <c r="HK309" s="176" t="n"/>
      <c r="HL309" s="176" t="n"/>
      <c r="HM309" s="176" t="n"/>
      <c r="HN309" s="176" t="n"/>
      <c r="HO309" s="176" t="n"/>
      <c r="HP309" s="176" t="n"/>
      <c r="HQ309" s="176" t="n"/>
      <c r="HR309" s="176" t="n"/>
      <c r="HS309" s="176" t="n"/>
      <c r="HT309" s="176" t="n"/>
      <c r="HU309" s="176" t="n"/>
      <c r="HV309" s="176" t="n"/>
      <c r="HW309" s="176" t="n"/>
      <c r="HX309" s="176" t="n"/>
      <c r="HY309" s="176" t="n"/>
      <c r="HZ309" s="176" t="n"/>
      <c r="IA309" s="176" t="n"/>
      <c r="IB309" s="176" t="n"/>
      <c r="IC309" s="176" t="n"/>
      <c r="ID309" s="176" t="n"/>
    </row>
    <row r="310" ht="18.75" customHeight="1">
      <c r="A310" s="176" t="n"/>
      <c r="B310" s="176" t="n"/>
      <c r="C310" s="176" t="n"/>
      <c r="D310" s="176" t="n"/>
      <c r="E310" s="176" t="n"/>
      <c r="F310" s="176" t="n"/>
      <c r="G310" s="176" t="n"/>
      <c r="H310" s="176" t="n"/>
      <c r="I310" s="176" t="n"/>
      <c r="J310" s="176" t="n"/>
      <c r="K310" s="176" t="n"/>
      <c r="L310" s="176" t="n"/>
      <c r="M310" s="176" t="n"/>
      <c r="N310" s="176" t="n"/>
      <c r="O310" s="176" t="n"/>
      <c r="P310" s="176" t="n"/>
      <c r="Q310" s="176" t="n"/>
      <c r="R310" s="176" t="n"/>
      <c r="S310" s="176" t="n"/>
      <c r="T310" s="181">
        <f>SWITCH('CONFIGURAÇÃO'!$T$304,"Origem","PERÍCIA 4","Marcante","","Menor","","Arma","PROPRIEDADE 1","Escudo","","Uniforme","","Item comum","","Ferramenta amaldiçoada","","")</f>
        <v/>
      </c>
      <c r="U310" s="183" t="n"/>
      <c r="V310" s="185" t="n"/>
      <c r="W310" s="182" t="n"/>
      <c r="X310" s="182" t="n"/>
      <c r="Y310" s="183" t="n"/>
      <c r="Z310" s="176" t="n"/>
      <c r="AA310" s="176" t="n"/>
      <c r="AB310" s="181">
        <f>SWITCH('CONFIGURAÇÃO'!$AB$304,"Origem","PERÍCIA 4","Marcante","","Menor","","Arma","PROPRIEDADE 1","Escudo","","Uniforme","","Item comum","","Ferramenta amaldiçoada","","")</f>
        <v/>
      </c>
      <c r="AC310" s="183" t="n"/>
      <c r="AD310" s="185" t="n"/>
      <c r="AE310" s="182" t="n"/>
      <c r="AF310" s="182" t="n"/>
      <c r="AG310" s="183" t="n"/>
      <c r="AH310" s="176" t="n"/>
      <c r="AI310" s="176" t="n"/>
      <c r="AJ310" s="176" t="n"/>
      <c r="AK310" s="176" t="n"/>
      <c r="AL310" s="176" t="n"/>
      <c r="AM310" s="176" t="n"/>
      <c r="AN310" s="176" t="n"/>
      <c r="AO310" s="176" t="n"/>
      <c r="AP310" s="176" t="n"/>
      <c r="AQ310" s="176" t="n"/>
      <c r="AR310" s="176" t="n"/>
      <c r="AS310" s="176" t="n"/>
      <c r="AT310" s="176" t="n"/>
      <c r="AU310" s="176" t="n"/>
      <c r="AV310" s="176" t="n"/>
      <c r="AW310" s="176" t="n"/>
      <c r="AX310" s="176" t="n"/>
      <c r="AY310" s="176" t="n"/>
      <c r="AZ310" s="176" t="n"/>
      <c r="BA310" s="176" t="n"/>
      <c r="BB310" s="176" t="n"/>
      <c r="BC310" s="176" t="n"/>
      <c r="BD310" s="176" t="n"/>
      <c r="BE310" s="176" t="n"/>
      <c r="BF310" s="176" t="n"/>
      <c r="BG310" s="176" t="n"/>
      <c r="BH310" s="176" t="n"/>
      <c r="BI310" s="176" t="n"/>
      <c r="BJ310" s="176" t="n"/>
      <c r="BK310" s="176" t="n"/>
      <c r="BL310" s="176" t="n"/>
      <c r="BM310" s="176" t="n"/>
      <c r="BN310" s="176" t="n"/>
      <c r="BO310" s="176" t="n"/>
      <c r="BP310" s="176" t="n"/>
      <c r="BQ310" s="176" t="n"/>
      <c r="BR310" s="176" t="n"/>
      <c r="BS310" s="176" t="n"/>
      <c r="BT310" s="176" t="n"/>
      <c r="BU310" s="176" t="n"/>
      <c r="BV310" s="176" t="n"/>
      <c r="BW310" s="176" t="n"/>
      <c r="BX310" s="176" t="n"/>
      <c r="BY310" s="176" t="n"/>
      <c r="BZ310" s="176" t="n"/>
      <c r="CA310" s="176" t="n"/>
      <c r="CB310" s="176" t="n"/>
      <c r="CC310" s="176" t="n"/>
      <c r="CD310" s="176" t="n"/>
      <c r="CE310" s="176" t="n"/>
      <c r="CF310" s="176" t="n"/>
      <c r="CG310" s="176" t="n"/>
      <c r="CH310" s="176" t="n"/>
      <c r="CI310" s="176" t="n"/>
      <c r="CJ310" s="176" t="n"/>
      <c r="CK310" s="176" t="n"/>
      <c r="CL310" s="176" t="n"/>
      <c r="CM310" s="176" t="n"/>
      <c r="CN310" s="176" t="n"/>
      <c r="CO310" s="176" t="n"/>
      <c r="CP310" s="176" t="n"/>
      <c r="CQ310" s="176" t="n"/>
      <c r="CR310" s="176" t="n"/>
      <c r="CS310" s="176" t="n"/>
      <c r="CT310" s="176" t="n"/>
      <c r="CU310" s="176" t="n"/>
      <c r="CV310" s="176" t="n"/>
      <c r="CW310" s="176" t="n"/>
      <c r="CX310" s="176" t="n"/>
      <c r="CY310" s="176" t="n"/>
      <c r="CZ310" s="176" t="n"/>
      <c r="DA310" s="193" t="n"/>
      <c r="DF310" s="194" t="n"/>
      <c r="DG310" s="176" t="n"/>
      <c r="DH310" s="176" t="n"/>
      <c r="DI310" s="193" t="n"/>
      <c r="DN310" s="194" t="n"/>
      <c r="DO310" s="176" t="n"/>
      <c r="DP310" s="176" t="n"/>
      <c r="DQ310" s="176" t="n"/>
      <c r="DR310" s="193" t="n"/>
      <c r="DW310" s="194" t="n"/>
      <c r="DX310" s="176" t="n"/>
      <c r="DY310" s="176" t="n"/>
      <c r="DZ310" s="193" t="n"/>
      <c r="EE310" s="194" t="n"/>
      <c r="EF310" s="176" t="n"/>
      <c r="EG310" s="176" t="n"/>
      <c r="EH310" s="176" t="n"/>
      <c r="EI310" s="176" t="n"/>
      <c r="EJ310" s="176" t="n"/>
      <c r="EK310" s="176" t="n"/>
      <c r="EL310" s="176" t="n"/>
      <c r="EM310" s="176" t="n"/>
      <c r="EN310" s="176" t="n"/>
      <c r="EO310" s="176" t="n"/>
      <c r="EP310" s="176" t="n"/>
      <c r="EQ310" s="176" t="n"/>
      <c r="ER310" s="176" t="n"/>
      <c r="ES310" s="176" t="n"/>
      <c r="ET310" s="176" t="n"/>
      <c r="EU310" s="176" t="n"/>
      <c r="EV310" s="176" t="n"/>
      <c r="EW310" s="176" t="n"/>
      <c r="EX310" s="176" t="n"/>
      <c r="EY310" s="176" t="n"/>
      <c r="EZ310" s="176" t="n"/>
      <c r="FA310" s="176" t="n"/>
      <c r="FB310" s="176" t="n"/>
      <c r="FC310" s="176" t="n"/>
      <c r="FD310" s="176" t="n"/>
      <c r="FE310" s="176" t="n"/>
      <c r="FF310" s="176" t="n"/>
      <c r="FG310" s="176" t="n"/>
      <c r="FH310" s="176" t="n"/>
      <c r="FI310" s="176" t="n"/>
      <c r="FJ310" s="176" t="n"/>
      <c r="FK310" s="176" t="n"/>
      <c r="FL310" s="176" t="n"/>
      <c r="FM310" s="176" t="n"/>
      <c r="FN310" s="176" t="n"/>
      <c r="FO310" s="176" t="n"/>
      <c r="FP310" s="176" t="n"/>
      <c r="FQ310" s="176" t="n"/>
      <c r="FR310" s="176" t="n"/>
      <c r="FS310" s="176" t="n"/>
      <c r="FT310" s="176" t="n"/>
      <c r="FU310" s="176" t="n"/>
      <c r="FV310" s="176" t="n"/>
      <c r="FW310" s="176" t="n"/>
      <c r="FX310" s="176" t="n"/>
      <c r="FY310" s="176" t="n"/>
      <c r="FZ310" s="176" t="n"/>
      <c r="GA310" s="176" t="n"/>
      <c r="GB310" s="176" t="n"/>
      <c r="GC310" s="176" t="n"/>
      <c r="GD310" s="176" t="n"/>
      <c r="GE310" s="176" t="n"/>
      <c r="GF310" s="176" t="n"/>
      <c r="GG310" s="176" t="n"/>
      <c r="GH310" s="176" t="n"/>
      <c r="GI310" s="176" t="n"/>
      <c r="GJ310" s="176" t="n"/>
      <c r="GK310" s="176" t="n"/>
      <c r="GL310" s="176" t="n"/>
      <c r="GM310" s="176" t="n"/>
      <c r="GN310" s="176" t="n"/>
      <c r="GO310" s="176" t="n"/>
      <c r="GP310" s="176" t="n"/>
      <c r="GQ310" s="176" t="n"/>
      <c r="GR310" s="176" t="n"/>
      <c r="GS310" s="176" t="n"/>
      <c r="GT310" s="176" t="n"/>
      <c r="GU310" s="176" t="n"/>
      <c r="GV310" s="176" t="n"/>
      <c r="GW310" s="176" t="n"/>
      <c r="GX310" s="176" t="n"/>
      <c r="GY310" s="176" t="n"/>
      <c r="GZ310" s="176" t="n"/>
      <c r="HA310" s="176" t="n"/>
      <c r="HB310" s="176" t="n"/>
      <c r="HC310" s="176" t="n"/>
      <c r="HD310" s="176" t="n"/>
      <c r="HE310" s="176" t="n"/>
      <c r="HF310" s="176" t="n"/>
      <c r="HG310" s="176" t="n"/>
      <c r="HH310" s="176" t="n"/>
      <c r="HI310" s="176" t="n"/>
      <c r="HJ310" s="176" t="n"/>
      <c r="HK310" s="176" t="n"/>
      <c r="HL310" s="176" t="n"/>
      <c r="HM310" s="176" t="n"/>
      <c r="HN310" s="176" t="n"/>
      <c r="HO310" s="176" t="n"/>
      <c r="HP310" s="176" t="n"/>
      <c r="HQ310" s="176" t="n"/>
      <c r="HR310" s="176" t="n"/>
      <c r="HS310" s="176" t="n"/>
      <c r="HT310" s="176" t="n"/>
      <c r="HU310" s="176" t="n"/>
      <c r="HV310" s="176" t="n"/>
      <c r="HW310" s="176" t="n"/>
      <c r="HX310" s="176" t="n"/>
      <c r="HY310" s="176" t="n"/>
      <c r="HZ310" s="176" t="n"/>
      <c r="IA310" s="176" t="n"/>
      <c r="IB310" s="176" t="n"/>
      <c r="IC310" s="176" t="n"/>
      <c r="ID310" s="176" t="n"/>
    </row>
    <row r="311" ht="18.75" customHeight="1">
      <c r="A311" s="176" t="n"/>
      <c r="B311" s="176" t="n"/>
      <c r="C311" s="176" t="n"/>
      <c r="D311" s="176" t="n"/>
      <c r="E311" s="176" t="n"/>
      <c r="F311" s="176" t="n"/>
      <c r="G311" s="176" t="n"/>
      <c r="H311" s="176" t="n"/>
      <c r="I311" s="176" t="n"/>
      <c r="J311" s="176" t="n"/>
      <c r="K311" s="176" t="n"/>
      <c r="L311" s="176" t="n"/>
      <c r="M311" s="176" t="n"/>
      <c r="N311" s="176" t="n"/>
      <c r="O311" s="176" t="n"/>
      <c r="P311" s="176" t="n"/>
      <c r="Q311" s="176" t="n"/>
      <c r="R311" s="176" t="n"/>
      <c r="S311" s="176" t="n"/>
      <c r="T311" s="181">
        <f>SWITCH('CONFIGURAÇÃO'!$T$304,"Origem","ROTA","Marcante","","Menor","","Arma","PROPRIEDADE 2","Escudo","","Uniforme","","Item comum","","Ferramenta amaldiçoada","","")</f>
        <v/>
      </c>
      <c r="U311" s="183" t="n"/>
      <c r="V311" s="185" t="n"/>
      <c r="W311" s="182" t="n"/>
      <c r="X311" s="182" t="n"/>
      <c r="Y311" s="183" t="n"/>
      <c r="Z311" s="176" t="n"/>
      <c r="AA311" s="176" t="n"/>
      <c r="AB311" s="181">
        <f>SWITCH('CONFIGURAÇÃO'!$AB$304,"Origem","ROTA","Marcante","","Menor","","Arma","PROPRIEDADE 2","Escudo","","Uniforme","","Item comum","","Ferramenta amaldiçoada","","")</f>
        <v/>
      </c>
      <c r="AC311" s="183" t="n"/>
      <c r="AD311" s="185" t="n"/>
      <c r="AE311" s="182" t="n"/>
      <c r="AF311" s="182" t="n"/>
      <c r="AG311" s="183" t="n"/>
      <c r="AH311" s="176" t="n"/>
      <c r="AI311" s="176" t="n"/>
      <c r="AJ311" s="176" t="n"/>
      <c r="AK311" s="176" t="n"/>
      <c r="AL311" s="176" t="n"/>
      <c r="AM311" s="176" t="n"/>
      <c r="AN311" s="176" t="n"/>
      <c r="AO311" s="176" t="n"/>
      <c r="AP311" s="176" t="n"/>
      <c r="AQ311" s="176" t="n"/>
      <c r="AR311" s="176" t="n"/>
      <c r="AS311" s="176" t="n"/>
      <c r="AT311" s="176" t="n"/>
      <c r="AU311" s="176" t="n"/>
      <c r="AV311" s="176" t="n"/>
      <c r="AW311" s="176" t="n"/>
      <c r="AX311" s="176" t="n"/>
      <c r="AY311" s="176" t="n"/>
      <c r="AZ311" s="176" t="n"/>
      <c r="BA311" s="176" t="n"/>
      <c r="BB311" s="176" t="n"/>
      <c r="BC311" s="176" t="n"/>
      <c r="BD311" s="176" t="n"/>
      <c r="BE311" s="176" t="n"/>
      <c r="BF311" s="176" t="n"/>
      <c r="BG311" s="176" t="n"/>
      <c r="BH311" s="176" t="n"/>
      <c r="BI311" s="176" t="n"/>
      <c r="BJ311" s="176" t="n"/>
      <c r="BK311" s="176" t="n"/>
      <c r="BL311" s="176" t="n"/>
      <c r="BM311" s="176" t="n"/>
      <c r="BN311" s="176" t="n"/>
      <c r="BO311" s="176" t="n"/>
      <c r="BP311" s="176" t="n"/>
      <c r="BQ311" s="176" t="n"/>
      <c r="BR311" s="176" t="n"/>
      <c r="BS311" s="176" t="n"/>
      <c r="BT311" s="176" t="n"/>
      <c r="BU311" s="176" t="n"/>
      <c r="BV311" s="176" t="n"/>
      <c r="BW311" s="176" t="n"/>
      <c r="BX311" s="176" t="n"/>
      <c r="BY311" s="176" t="n"/>
      <c r="BZ311" s="176" t="n"/>
      <c r="CA311" s="176" t="n"/>
      <c r="CB311" s="176" t="n"/>
      <c r="CC311" s="176" t="n"/>
      <c r="CD311" s="176" t="n"/>
      <c r="CE311" s="176" t="n"/>
      <c r="CF311" s="176" t="n"/>
      <c r="CG311" s="176" t="n"/>
      <c r="CH311" s="176" t="n"/>
      <c r="CI311" s="176" t="n"/>
      <c r="CJ311" s="176" t="n"/>
      <c r="CK311" s="176" t="n"/>
      <c r="CL311" s="176" t="n"/>
      <c r="CM311" s="176" t="n"/>
      <c r="CN311" s="176" t="n"/>
      <c r="CO311" s="176" t="n"/>
      <c r="CP311" s="176" t="n"/>
      <c r="CQ311" s="176" t="n"/>
      <c r="CR311" s="176" t="n"/>
      <c r="CS311" s="176" t="n"/>
      <c r="CT311" s="176" t="n"/>
      <c r="CU311" s="176" t="n"/>
      <c r="CV311" s="176" t="n"/>
      <c r="CW311" s="176" t="n"/>
      <c r="CX311" s="176" t="n"/>
      <c r="CY311" s="176" t="n"/>
      <c r="CZ311" s="176" t="n"/>
      <c r="DA311" s="189" t="n"/>
      <c r="DB311" s="190" t="n"/>
      <c r="DC311" s="190" t="n"/>
      <c r="DD311" s="190" t="n"/>
      <c r="DE311" s="190" t="n"/>
      <c r="DF311" s="191" t="n"/>
      <c r="DG311" s="176" t="n"/>
      <c r="DH311" s="176" t="n"/>
      <c r="DI311" s="189" t="n"/>
      <c r="DJ311" s="190" t="n"/>
      <c r="DK311" s="190" t="n"/>
      <c r="DL311" s="190" t="n"/>
      <c r="DM311" s="190" t="n"/>
      <c r="DN311" s="191" t="n"/>
      <c r="DO311" s="176" t="n"/>
      <c r="DP311" s="176" t="n"/>
      <c r="DQ311" s="176" t="n"/>
      <c r="DR311" s="193" t="n"/>
      <c r="DW311" s="194" t="n"/>
      <c r="DX311" s="176" t="n"/>
      <c r="DY311" s="176" t="n"/>
      <c r="DZ311" s="193" t="n"/>
      <c r="EE311" s="194" t="n"/>
      <c r="EF311" s="176" t="n"/>
      <c r="EG311" s="176" t="n"/>
      <c r="EH311" s="176" t="n"/>
      <c r="EI311" s="176" t="n"/>
      <c r="EJ311" s="176" t="n"/>
      <c r="EK311" s="176" t="n"/>
      <c r="EL311" s="176" t="n"/>
      <c r="EM311" s="176" t="n"/>
      <c r="EN311" s="176" t="n"/>
      <c r="EO311" s="176" t="n"/>
      <c r="EP311" s="176" t="n"/>
      <c r="EQ311" s="176" t="n"/>
      <c r="ER311" s="176" t="n"/>
      <c r="ES311" s="176" t="n"/>
      <c r="ET311" s="176" t="n"/>
      <c r="EU311" s="176" t="n"/>
      <c r="EV311" s="176" t="n"/>
      <c r="EW311" s="176" t="n"/>
      <c r="EX311" s="176" t="n"/>
      <c r="EY311" s="176" t="n"/>
      <c r="EZ311" s="176" t="n"/>
      <c r="FA311" s="176" t="n"/>
      <c r="FB311" s="176" t="n"/>
      <c r="FC311" s="176" t="n"/>
      <c r="FD311" s="176" t="n"/>
      <c r="FE311" s="176" t="n"/>
      <c r="FF311" s="176" t="n"/>
      <c r="FG311" s="176" t="n"/>
      <c r="FH311" s="176" t="n"/>
      <c r="FI311" s="176" t="n"/>
      <c r="FJ311" s="176" t="n"/>
      <c r="FK311" s="176" t="n"/>
      <c r="FL311" s="176" t="n"/>
      <c r="FM311" s="176" t="n"/>
      <c r="FN311" s="176" t="n"/>
      <c r="FO311" s="176" t="n"/>
      <c r="FP311" s="176" t="n"/>
      <c r="FQ311" s="176" t="n"/>
      <c r="FR311" s="176" t="n"/>
      <c r="FS311" s="176" t="n"/>
      <c r="FT311" s="176" t="n"/>
      <c r="FU311" s="176" t="n"/>
      <c r="FV311" s="176" t="n"/>
      <c r="FW311" s="176" t="n"/>
      <c r="FX311" s="176" t="n"/>
      <c r="FY311" s="176" t="n"/>
      <c r="FZ311" s="176" t="n"/>
      <c r="GA311" s="176" t="n"/>
      <c r="GB311" s="176" t="n"/>
      <c r="GC311" s="176" t="n"/>
      <c r="GD311" s="176" t="n"/>
      <c r="GE311" s="176" t="n"/>
      <c r="GF311" s="176" t="n"/>
      <c r="GG311" s="176" t="n"/>
      <c r="GH311" s="176" t="n"/>
      <c r="GI311" s="176" t="n"/>
      <c r="GJ311" s="176" t="n"/>
      <c r="GK311" s="176" t="n"/>
      <c r="GL311" s="176" t="n"/>
      <c r="GM311" s="176" t="n"/>
      <c r="GN311" s="176" t="n"/>
      <c r="GO311" s="176" t="n"/>
      <c r="GP311" s="176" t="n"/>
      <c r="GQ311" s="176" t="n"/>
      <c r="GR311" s="176" t="n"/>
      <c r="GS311" s="176" t="n"/>
      <c r="GT311" s="176" t="n"/>
      <c r="GU311" s="176" t="n"/>
      <c r="GV311" s="176" t="n"/>
      <c r="GW311" s="176" t="n"/>
      <c r="GX311" s="176" t="n"/>
      <c r="GY311" s="176" t="n"/>
      <c r="GZ311" s="176" t="n"/>
      <c r="HA311" s="176" t="n"/>
      <c r="HB311" s="176" t="n"/>
      <c r="HC311" s="176" t="n"/>
      <c r="HD311" s="176" t="n"/>
      <c r="HE311" s="176" t="n"/>
      <c r="HF311" s="176" t="n"/>
      <c r="HG311" s="176" t="n"/>
      <c r="HH311" s="176" t="n"/>
      <c r="HI311" s="176" t="n"/>
      <c r="HJ311" s="176" t="n"/>
      <c r="HK311" s="176" t="n"/>
      <c r="HL311" s="176" t="n"/>
      <c r="HM311" s="176" t="n"/>
      <c r="HN311" s="176" t="n"/>
      <c r="HO311" s="176" t="n"/>
      <c r="HP311" s="176" t="n"/>
      <c r="HQ311" s="176" t="n"/>
      <c r="HR311" s="176" t="n"/>
      <c r="HS311" s="176" t="n"/>
      <c r="HT311" s="176" t="n"/>
      <c r="HU311" s="176" t="n"/>
      <c r="HV311" s="176" t="n"/>
      <c r="HW311" s="176" t="n"/>
      <c r="HX311" s="176" t="n"/>
      <c r="HY311" s="176" t="n"/>
      <c r="HZ311" s="176" t="n"/>
      <c r="IA311" s="176" t="n"/>
      <c r="IB311" s="176" t="n"/>
      <c r="IC311" s="176" t="n"/>
      <c r="ID311" s="176" t="n"/>
    </row>
    <row r="312" ht="18.75" customHeight="1">
      <c r="A312" s="176" t="n"/>
      <c r="B312" s="176" t="n"/>
      <c r="C312" s="176" t="n"/>
      <c r="D312" s="176" t="n"/>
      <c r="E312" s="176" t="n"/>
      <c r="F312" s="176" t="n"/>
      <c r="G312" s="176" t="n"/>
      <c r="H312" s="176" t="n"/>
      <c r="I312" s="176" t="n"/>
      <c r="J312" s="176" t="n"/>
      <c r="K312" s="176" t="n"/>
      <c r="L312" s="176" t="n"/>
      <c r="M312" s="176" t="n"/>
      <c r="N312" s="176" t="n"/>
      <c r="O312" s="176" t="n"/>
      <c r="P312" s="176" t="n"/>
      <c r="Q312" s="176" t="n"/>
      <c r="R312" s="176" t="n"/>
      <c r="S312" s="176" t="n"/>
      <c r="T312" s="181">
        <f>SWITCH('CONFIGURAÇÃO'!$T$304,"Origem","BASE DO LIVRO","Marcante","","Menor","","Arma","PROPRIEDADE 3","Escudo","","Uniforme","","Item comum","","Ferramenta amaldiçoada","","")</f>
        <v/>
      </c>
      <c r="U312" s="183" t="n"/>
      <c r="V312" s="185" t="n"/>
      <c r="W312" s="182" t="n"/>
      <c r="X312" s="182" t="n"/>
      <c r="Y312" s="183" t="n"/>
      <c r="Z312" s="176" t="n"/>
      <c r="AA312" s="176" t="n"/>
      <c r="AB312" s="181">
        <f>SWITCH('CONFIGURAÇÃO'!$AB$304,"Origem","BASE DO LIVRO","Marcante","","Menor","","Arma","PROPRIEDADE 3","Escudo","","Uniforme","","Item comum","","Ferramenta amaldiçoada","","")</f>
        <v/>
      </c>
      <c r="AC312" s="183" t="n"/>
      <c r="AD312" s="185" t="n"/>
      <c r="AE312" s="182" t="n"/>
      <c r="AF312" s="182" t="n"/>
      <c r="AG312" s="183" t="n"/>
      <c r="AH312" s="176" t="n"/>
      <c r="AI312" s="176" t="n"/>
      <c r="AJ312" s="176" t="n"/>
      <c r="AK312" s="176" t="n"/>
      <c r="AL312" s="176" t="n"/>
      <c r="AM312" s="176" t="n"/>
      <c r="AN312" s="176" t="n"/>
      <c r="AO312" s="176" t="n"/>
      <c r="AP312" s="176" t="n"/>
      <c r="AQ312" s="176" t="n"/>
      <c r="AR312" s="176" t="n"/>
      <c r="AS312" s="176" t="n"/>
      <c r="AT312" s="176" t="n"/>
      <c r="AU312" s="176" t="n"/>
      <c r="AV312" s="176" t="n"/>
      <c r="AW312" s="176" t="n"/>
      <c r="AX312" s="176" t="n"/>
      <c r="AY312" s="176" t="n"/>
      <c r="AZ312" s="176" t="n"/>
      <c r="BA312" s="176" t="n"/>
      <c r="BB312" s="176" t="n"/>
      <c r="BC312" s="176" t="n"/>
      <c r="BD312" s="176" t="n"/>
      <c r="BE312" s="176" t="n"/>
      <c r="BF312" s="176" t="n"/>
      <c r="BG312" s="176" t="n"/>
      <c r="BH312" s="176" t="n"/>
      <c r="BI312" s="176" t="n"/>
      <c r="BJ312" s="176" t="n"/>
      <c r="BK312" s="176" t="n"/>
      <c r="BL312" s="176" t="n"/>
      <c r="BM312" s="176" t="n"/>
      <c r="BN312" s="176" t="n"/>
      <c r="BO312" s="176" t="n"/>
      <c r="BP312" s="176" t="n"/>
      <c r="BQ312" s="176" t="n"/>
      <c r="BR312" s="176" t="n"/>
      <c r="BS312" s="176" t="n"/>
      <c r="BT312" s="176" t="n"/>
      <c r="BU312" s="176" t="n"/>
      <c r="BV312" s="176" t="n"/>
      <c r="BW312" s="176" t="n"/>
      <c r="BX312" s="176" t="n"/>
      <c r="BY312" s="176" t="n"/>
      <c r="BZ312" s="176" t="n"/>
      <c r="CA312" s="176" t="n"/>
      <c r="CB312" s="176" t="n"/>
      <c r="CC312" s="176" t="n"/>
      <c r="CD312" s="176" t="n"/>
      <c r="CE312" s="176" t="n"/>
      <c r="CF312" s="176" t="n"/>
      <c r="CG312" s="176" t="n"/>
      <c r="CH312" s="176" t="n"/>
      <c r="CI312" s="176" t="n"/>
      <c r="CJ312" s="176" t="n"/>
      <c r="CK312" s="176" t="n"/>
      <c r="CL312" s="176" t="n"/>
      <c r="CM312" s="176" t="n"/>
      <c r="CN312" s="176" t="n"/>
      <c r="CO312" s="176" t="n"/>
      <c r="CP312" s="176" t="n"/>
      <c r="CQ312" s="176" t="n"/>
      <c r="CR312" s="176" t="n"/>
      <c r="CS312" s="176" t="n"/>
      <c r="CT312" s="176" t="n"/>
      <c r="CU312" s="176" t="n"/>
      <c r="CV312" s="176" t="n"/>
      <c r="CW312" s="176" t="n"/>
      <c r="CX312" s="176" t="n"/>
      <c r="CY312" s="176" t="n"/>
      <c r="CZ312" s="176" t="n"/>
      <c r="DA312" s="176" t="n"/>
      <c r="DB312" s="176" t="n"/>
      <c r="DC312" s="176" t="n"/>
      <c r="DD312" s="176" t="n"/>
      <c r="DE312" s="176" t="n"/>
      <c r="DF312" s="176" t="n"/>
      <c r="DG312" s="176" t="n"/>
      <c r="DH312" s="176" t="n"/>
      <c r="DI312" s="176" t="n"/>
      <c r="DJ312" s="176" t="n"/>
      <c r="DK312" s="176" t="n"/>
      <c r="DL312" s="176" t="n"/>
      <c r="DM312" s="176" t="n"/>
      <c r="DN312" s="176" t="n"/>
      <c r="DO312" s="176" t="n"/>
      <c r="DP312" s="176" t="n"/>
      <c r="DQ312" s="176" t="n"/>
      <c r="DR312" s="193" t="n"/>
      <c r="DW312" s="194" t="n"/>
      <c r="DX312" s="176" t="n"/>
      <c r="DY312" s="176" t="n"/>
      <c r="DZ312" s="193" t="n"/>
      <c r="EE312" s="194" t="n"/>
      <c r="EF312" s="176" t="n"/>
      <c r="EG312" s="176" t="n"/>
      <c r="EH312" s="176" t="n"/>
      <c r="EI312" s="176" t="n"/>
      <c r="EJ312" s="176" t="n"/>
      <c r="EK312" s="176" t="n"/>
      <c r="EL312" s="176" t="n"/>
      <c r="EM312" s="176" t="n"/>
      <c r="EN312" s="176" t="n"/>
      <c r="EO312" s="176" t="n"/>
      <c r="EP312" s="176" t="n"/>
      <c r="EQ312" s="176" t="n"/>
      <c r="ER312" s="176" t="n"/>
      <c r="ES312" s="176" t="n"/>
      <c r="ET312" s="176" t="n"/>
      <c r="EU312" s="176" t="n"/>
      <c r="EV312" s="176" t="n"/>
      <c r="EW312" s="176" t="n"/>
      <c r="EX312" s="176" t="n"/>
      <c r="EY312" s="176" t="n"/>
      <c r="EZ312" s="176" t="n"/>
      <c r="FA312" s="176" t="n"/>
      <c r="FB312" s="176" t="n"/>
      <c r="FC312" s="176" t="n"/>
      <c r="FD312" s="176" t="n"/>
      <c r="FE312" s="176" t="n"/>
      <c r="FF312" s="176" t="n"/>
      <c r="FG312" s="176" t="n"/>
      <c r="FH312" s="176" t="n"/>
      <c r="FI312" s="176" t="n"/>
      <c r="FJ312" s="176" t="n"/>
      <c r="FK312" s="176" t="n"/>
      <c r="FL312" s="176" t="n"/>
      <c r="FM312" s="176" t="n"/>
      <c r="FN312" s="176" t="n"/>
      <c r="FO312" s="176" t="n"/>
      <c r="FP312" s="176" t="n"/>
      <c r="FQ312" s="176" t="n"/>
      <c r="FR312" s="176" t="n"/>
      <c r="FS312" s="176" t="n"/>
      <c r="FT312" s="176" t="n"/>
      <c r="FU312" s="176" t="n"/>
      <c r="FV312" s="176" t="n"/>
      <c r="FW312" s="176" t="n"/>
      <c r="FX312" s="176" t="n"/>
      <c r="FY312" s="176" t="n"/>
      <c r="FZ312" s="176" t="n"/>
      <c r="GA312" s="176" t="n"/>
      <c r="GB312" s="176" t="n"/>
      <c r="GC312" s="176" t="n"/>
      <c r="GD312" s="176" t="n"/>
      <c r="GE312" s="176" t="n"/>
      <c r="GF312" s="176" t="n"/>
      <c r="GG312" s="176" t="n"/>
      <c r="GH312" s="176" t="n"/>
      <c r="GI312" s="176" t="n"/>
      <c r="GJ312" s="176" t="n"/>
      <c r="GK312" s="176" t="n"/>
      <c r="GL312" s="176" t="n"/>
      <c r="GM312" s="176" t="n"/>
      <c r="GN312" s="176" t="n"/>
      <c r="GO312" s="176" t="n"/>
      <c r="GP312" s="176" t="n"/>
      <c r="GQ312" s="176" t="n"/>
      <c r="GR312" s="176" t="n"/>
      <c r="GS312" s="176" t="n"/>
      <c r="GT312" s="176" t="n"/>
      <c r="GU312" s="176" t="n"/>
      <c r="GV312" s="176" t="n"/>
      <c r="GW312" s="176" t="n"/>
      <c r="GX312" s="176" t="n"/>
      <c r="GY312" s="176" t="n"/>
      <c r="GZ312" s="176" t="n"/>
      <c r="HA312" s="176" t="n"/>
      <c r="HB312" s="176" t="n"/>
      <c r="HC312" s="176" t="n"/>
      <c r="HD312" s="176" t="n"/>
      <c r="HE312" s="176" t="n"/>
      <c r="HF312" s="176" t="n"/>
      <c r="HG312" s="176" t="n"/>
      <c r="HH312" s="176" t="n"/>
      <c r="HI312" s="176" t="n"/>
      <c r="HJ312" s="176" t="n"/>
      <c r="HK312" s="176" t="n"/>
      <c r="HL312" s="176" t="n"/>
      <c r="HM312" s="176" t="n"/>
      <c r="HN312" s="176" t="n"/>
      <c r="HO312" s="176" t="n"/>
      <c r="HP312" s="176" t="n"/>
      <c r="HQ312" s="176" t="n"/>
      <c r="HR312" s="176" t="n"/>
      <c r="HS312" s="176" t="n"/>
      <c r="HT312" s="176" t="n"/>
      <c r="HU312" s="176" t="n"/>
      <c r="HV312" s="176" t="n"/>
      <c r="HW312" s="176" t="n"/>
      <c r="HX312" s="176" t="n"/>
      <c r="HY312" s="176" t="n"/>
      <c r="HZ312" s="176" t="n"/>
      <c r="IA312" s="176" t="n"/>
      <c r="IB312" s="176" t="n"/>
      <c r="IC312" s="176" t="n"/>
      <c r="ID312" s="176" t="n"/>
    </row>
    <row r="313" ht="18.75" customHeight="1">
      <c r="A313" s="176" t="n"/>
      <c r="B313" s="176" t="n"/>
      <c r="C313" s="176" t="n"/>
      <c r="D313" s="176" t="n"/>
      <c r="E313" s="176" t="n"/>
      <c r="F313" s="176" t="n"/>
      <c r="G313" s="176" t="n"/>
      <c r="H313" s="176" t="n"/>
      <c r="I313" s="176" t="n"/>
      <c r="J313" s="176" t="n"/>
      <c r="K313" s="176" t="n"/>
      <c r="L313" s="176" t="n"/>
      <c r="M313" s="176" t="n"/>
      <c r="N313" s="176" t="n"/>
      <c r="O313" s="176" t="n"/>
      <c r="P313" s="176" t="n"/>
      <c r="Q313" s="176" t="n"/>
      <c r="R313" s="176" t="n"/>
      <c r="S313" s="176" t="n"/>
      <c r="T313" s="181">
        <f>SWITCH('CONFIGURAÇÃO'!$T$304,"Origem","OFÍCIO","Marcante","","Menor","","Arma","PROPRIEDADE 4","Escudo","","Uniforme","","Item comum","","Ferramenta amaldiçoada","","")</f>
        <v/>
      </c>
      <c r="U313" s="183" t="n"/>
      <c r="V313" s="185" t="n"/>
      <c r="W313" s="182" t="n"/>
      <c r="X313" s="182" t="n"/>
      <c r="Y313" s="183" t="n"/>
      <c r="Z313" s="176" t="n"/>
      <c r="AA313" s="176" t="n"/>
      <c r="AB313" s="181">
        <f>SWITCH('CONFIGURAÇÃO'!$AB$304,"Origem","OFÍCIO","Marcante","","Menor","","Arma","PROPRIEDADE 4","Escudo","","Uniforme","","Item comum","","Ferramenta amaldiçoada","","")</f>
        <v/>
      </c>
      <c r="AC313" s="183" t="n"/>
      <c r="AD313" s="185" t="n"/>
      <c r="AE313" s="182" t="n"/>
      <c r="AF313" s="182" t="n"/>
      <c r="AG313" s="183" t="n"/>
      <c r="AH313" s="176" t="n"/>
      <c r="AI313" s="176" t="n"/>
      <c r="AJ313" s="176" t="n"/>
      <c r="AK313" s="176" t="n"/>
      <c r="AL313" s="176" t="n"/>
      <c r="AM313" s="176" t="n"/>
      <c r="AN313" s="176" t="n"/>
      <c r="AO313" s="176" t="n"/>
      <c r="AP313" s="176" t="n"/>
      <c r="AQ313" s="176" t="n"/>
      <c r="AR313" s="176" t="n"/>
      <c r="AS313" s="176" t="n"/>
      <c r="AT313" s="176" t="n"/>
      <c r="AU313" s="176" t="n"/>
      <c r="AV313" s="176" t="n"/>
      <c r="AW313" s="176" t="n"/>
      <c r="AX313" s="176" t="n"/>
      <c r="AY313" s="176" t="n"/>
      <c r="AZ313" s="176" t="n"/>
      <c r="BA313" s="176" t="n"/>
      <c r="BB313" s="176" t="n"/>
      <c r="BC313" s="176" t="n"/>
      <c r="BD313" s="176" t="n"/>
      <c r="BE313" s="176" t="n"/>
      <c r="BF313" s="176" t="n"/>
      <c r="BG313" s="176" t="n"/>
      <c r="BH313" s="176" t="n"/>
      <c r="BI313" s="176" t="n"/>
      <c r="BJ313" s="176" t="n"/>
      <c r="BK313" s="176" t="n"/>
      <c r="BL313" s="176" t="n"/>
      <c r="BM313" s="176" t="n"/>
      <c r="BN313" s="176" t="n"/>
      <c r="BO313" s="176" t="n"/>
      <c r="BP313" s="176" t="n"/>
      <c r="BQ313" s="176" t="n"/>
      <c r="BR313" s="176" t="n"/>
      <c r="BS313" s="176" t="n"/>
      <c r="BT313" s="176" t="n"/>
      <c r="BU313" s="176" t="n"/>
      <c r="BV313" s="176" t="n"/>
      <c r="BW313" s="176" t="n"/>
      <c r="BX313" s="176" t="n"/>
      <c r="BY313" s="176" t="n"/>
      <c r="BZ313" s="176" t="n"/>
      <c r="CA313" s="176" t="n"/>
      <c r="CB313" s="176" t="n"/>
      <c r="CC313" s="176" t="n"/>
      <c r="CD313" s="176" t="n"/>
      <c r="CE313" s="176" t="n"/>
      <c r="CF313" s="176" t="n"/>
      <c r="CG313" s="176" t="n"/>
      <c r="CH313" s="176" t="n"/>
      <c r="CI313" s="176" t="n"/>
      <c r="CJ313" s="176" t="n"/>
      <c r="CK313" s="176" t="n"/>
      <c r="CL313" s="176" t="n"/>
      <c r="CM313" s="176" t="n"/>
      <c r="CN313" s="176" t="n"/>
      <c r="CO313" s="176" t="n"/>
      <c r="CP313" s="176" t="n"/>
      <c r="CQ313" s="176" t="n"/>
      <c r="CR313" s="176" t="n"/>
      <c r="CS313" s="176" t="n"/>
      <c r="CT313" s="176" t="n"/>
      <c r="CU313" s="176" t="n"/>
      <c r="CV313" s="176" t="n"/>
      <c r="CW313" s="176" t="n"/>
      <c r="CX313" s="176" t="n"/>
      <c r="CY313" s="176" t="n"/>
      <c r="CZ313" s="176" t="n"/>
      <c r="DA313" s="181" t="inlineStr">
        <is>
          <t>EFEITO</t>
        </is>
      </c>
      <c r="DB313" s="182" t="n"/>
      <c r="DC313" s="182" t="n"/>
      <c r="DD313" s="182" t="n"/>
      <c r="DE313" s="182" t="n"/>
      <c r="DF313" s="183" t="n"/>
      <c r="DG313" s="176" t="n"/>
      <c r="DH313" s="176" t="n"/>
      <c r="DI313" s="181" t="inlineStr">
        <is>
          <t>EFEITO</t>
        </is>
      </c>
      <c r="DJ313" s="182" t="n"/>
      <c r="DK313" s="182" t="n"/>
      <c r="DL313" s="182" t="n"/>
      <c r="DM313" s="182" t="n"/>
      <c r="DN313" s="183" t="n"/>
      <c r="DO313" s="176" t="n"/>
      <c r="DP313" s="176" t="n"/>
      <c r="DQ313" s="176" t="n"/>
      <c r="DR313" s="189" t="n"/>
      <c r="DS313" s="190" t="n"/>
      <c r="DT313" s="190" t="n"/>
      <c r="DU313" s="190" t="n"/>
      <c r="DV313" s="190" t="n"/>
      <c r="DW313" s="191" t="n"/>
      <c r="DX313" s="176" t="n"/>
      <c r="DY313" s="176" t="n"/>
      <c r="DZ313" s="189" t="n"/>
      <c r="EA313" s="190" t="n"/>
      <c r="EB313" s="190" t="n"/>
      <c r="EC313" s="190" t="n"/>
      <c r="ED313" s="190" t="n"/>
      <c r="EE313" s="191" t="n"/>
      <c r="EF313" s="176" t="n"/>
      <c r="EG313" s="176" t="n"/>
      <c r="EH313" s="176" t="n"/>
      <c r="EI313" s="176" t="n"/>
      <c r="EJ313" s="176" t="n"/>
      <c r="EK313" s="176" t="n"/>
      <c r="EL313" s="176" t="n"/>
      <c r="EM313" s="176" t="n"/>
      <c r="EN313" s="176" t="n"/>
      <c r="EO313" s="176" t="n"/>
      <c r="EP313" s="176" t="n"/>
      <c r="EQ313" s="176" t="n"/>
      <c r="ER313" s="176" t="n"/>
      <c r="ES313" s="176" t="n"/>
      <c r="ET313" s="176" t="n"/>
      <c r="EU313" s="176" t="n"/>
      <c r="EV313" s="176" t="n"/>
      <c r="EW313" s="176" t="n"/>
      <c r="EX313" s="176" t="n"/>
      <c r="EY313" s="176" t="n"/>
      <c r="EZ313" s="176" t="n"/>
      <c r="FA313" s="176" t="n"/>
      <c r="FB313" s="176" t="n"/>
      <c r="FC313" s="176" t="n"/>
      <c r="FD313" s="176" t="n"/>
      <c r="FE313" s="176" t="n"/>
      <c r="FF313" s="176" t="n"/>
      <c r="FG313" s="176" t="n"/>
      <c r="FH313" s="176" t="n"/>
      <c r="FI313" s="176" t="n"/>
      <c r="FJ313" s="176" t="n"/>
      <c r="FK313" s="176" t="n"/>
      <c r="FL313" s="176" t="n"/>
      <c r="FM313" s="176" t="n"/>
      <c r="FN313" s="176" t="n"/>
      <c r="FO313" s="176" t="n"/>
      <c r="FP313" s="176" t="n"/>
      <c r="FQ313" s="176" t="n"/>
      <c r="FR313" s="176" t="n"/>
      <c r="FS313" s="176" t="n"/>
      <c r="FT313" s="176" t="n"/>
      <c r="FU313" s="176" t="n"/>
      <c r="FV313" s="176" t="n"/>
      <c r="FW313" s="176" t="n"/>
      <c r="FX313" s="176" t="n"/>
      <c r="FY313" s="176" t="n"/>
      <c r="FZ313" s="176" t="n"/>
      <c r="GA313" s="176" t="n"/>
      <c r="GB313" s="176" t="n"/>
      <c r="GC313" s="176" t="n"/>
      <c r="GD313" s="176" t="n"/>
      <c r="GE313" s="176" t="n"/>
      <c r="GF313" s="176" t="n"/>
      <c r="GG313" s="176" t="n"/>
      <c r="GH313" s="176" t="n"/>
      <c r="GI313" s="176" t="n"/>
      <c r="GJ313" s="176" t="n"/>
      <c r="GK313" s="176" t="n"/>
      <c r="GL313" s="176" t="n"/>
      <c r="GM313" s="176" t="n"/>
      <c r="GN313" s="176" t="n"/>
      <c r="GO313" s="176" t="n"/>
      <c r="GP313" s="176" t="n"/>
      <c r="GQ313" s="176" t="n"/>
      <c r="GR313" s="176" t="n"/>
      <c r="GS313" s="176" t="n"/>
      <c r="GT313" s="176" t="n"/>
      <c r="GU313" s="176" t="n"/>
      <c r="GV313" s="176" t="n"/>
      <c r="GW313" s="176" t="n"/>
      <c r="GX313" s="176" t="n"/>
      <c r="GY313" s="176" t="n"/>
      <c r="GZ313" s="176" t="n"/>
      <c r="HA313" s="176" t="n"/>
      <c r="HB313" s="176" t="n"/>
      <c r="HC313" s="176" t="n"/>
      <c r="HD313" s="176" t="n"/>
      <c r="HE313" s="176" t="n"/>
      <c r="HF313" s="176" t="n"/>
      <c r="HG313" s="176" t="n"/>
      <c r="HH313" s="176" t="n"/>
      <c r="HI313" s="176" t="n"/>
      <c r="HJ313" s="176" t="n"/>
      <c r="HK313" s="176" t="n"/>
      <c r="HL313" s="176" t="n"/>
      <c r="HM313" s="176" t="n"/>
      <c r="HN313" s="176" t="n"/>
      <c r="HO313" s="176" t="n"/>
      <c r="HP313" s="176" t="n"/>
      <c r="HQ313" s="176" t="n"/>
      <c r="HR313" s="176" t="n"/>
      <c r="HS313" s="176" t="n"/>
      <c r="HT313" s="176" t="n"/>
      <c r="HU313" s="176" t="n"/>
      <c r="HV313" s="176" t="n"/>
      <c r="HW313" s="176" t="n"/>
      <c r="HX313" s="176" t="n"/>
      <c r="HY313" s="176" t="n"/>
      <c r="HZ313" s="176" t="n"/>
      <c r="IA313" s="176" t="n"/>
      <c r="IB313" s="176" t="n"/>
      <c r="IC313" s="176" t="n"/>
      <c r="ID313" s="176" t="n"/>
    </row>
    <row r="314" ht="18.75" customHeight="1">
      <c r="A314" s="176" t="n"/>
      <c r="B314" s="176" t="n"/>
      <c r="C314" s="176" t="n"/>
      <c r="D314" s="176" t="n"/>
      <c r="E314" s="176" t="n"/>
      <c r="F314" s="176" t="n"/>
      <c r="G314" s="176" t="n"/>
      <c r="H314" s="176" t="n"/>
      <c r="I314" s="176" t="n"/>
      <c r="J314" s="176" t="n"/>
      <c r="K314" s="176" t="n"/>
      <c r="L314" s="176" t="n"/>
      <c r="M314" s="176" t="n"/>
      <c r="N314" s="176" t="n"/>
      <c r="O314" s="176" t="n"/>
      <c r="P314" s="176" t="n"/>
      <c r="Q314" s="176" t="n"/>
      <c r="R314" s="176" t="n"/>
      <c r="S314" s="176" t="n"/>
      <c r="T314" s="181">
        <f>SWITCH('CONFIGURAÇÃO'!$T$304,"Origem","TALENTO CE 4","Marcante","FREQUÊNCIA","Menor","FREQUÊNCIA","Arma","DADO","Escudo","PROTEÇÃO","Uniforme","PROTEÇÃO","Item comum","VOLUME","Ferramenta amaldiçoada","ESTIGMA","")</f>
        <v/>
      </c>
      <c r="U314" s="183" t="n"/>
      <c r="V314" s="185" t="n"/>
      <c r="W314" s="182" t="n"/>
      <c r="X314" s="182" t="n"/>
      <c r="Y314" s="183" t="n"/>
      <c r="Z314" s="176" t="n"/>
      <c r="AA314" s="176" t="n"/>
      <c r="AB314" s="181">
        <f>SWITCH('CONFIGURAÇÃO'!$AB$304,"Origem","TALENTO CE 4","Marcante","FREQUÊNCIA","Menor","FREQUÊNCIA","Arma","DADO","Escudo","PROTEÇÃO","Uniforme","PROTEÇÃO","Item comum","VOLUME","Ferramenta amaldiçoada","ESTIGMA","")</f>
        <v/>
      </c>
      <c r="AC314" s="183" t="n"/>
      <c r="AD314" s="185" t="n"/>
      <c r="AE314" s="182" t="n"/>
      <c r="AF314" s="182" t="n"/>
      <c r="AG314" s="183" t="n"/>
      <c r="AH314" s="176" t="n"/>
      <c r="AI314" s="176" t="n"/>
      <c r="AJ314" s="176" t="n"/>
      <c r="AK314" s="176" t="n"/>
      <c r="AL314" s="176" t="n"/>
      <c r="AM314" s="176" t="n"/>
      <c r="AN314" s="176" t="n"/>
      <c r="AO314" s="176" t="n"/>
      <c r="AP314" s="176" t="n"/>
      <c r="AQ314" s="176" t="n"/>
      <c r="AR314" s="176" t="n"/>
      <c r="AS314" s="176" t="n"/>
      <c r="AT314" s="176" t="n"/>
      <c r="AU314" s="176" t="n"/>
      <c r="AV314" s="176" t="n"/>
      <c r="AW314" s="176" t="n"/>
      <c r="AX314" s="176" t="n"/>
      <c r="AY314" s="176" t="n"/>
      <c r="AZ314" s="176" t="n"/>
      <c r="BA314" s="176" t="n"/>
      <c r="BB314" s="176" t="n"/>
      <c r="BC314" s="176" t="n"/>
      <c r="BD314" s="176" t="n"/>
      <c r="BE314" s="176" t="n"/>
      <c r="BF314" s="176" t="n"/>
      <c r="BG314" s="176" t="n"/>
      <c r="BH314" s="176" t="n"/>
      <c r="BI314" s="176" t="n"/>
      <c r="BJ314" s="176" t="n"/>
      <c r="BK314" s="176" t="n"/>
      <c r="BL314" s="176" t="n"/>
      <c r="BM314" s="176" t="n"/>
      <c r="BN314" s="176" t="n"/>
      <c r="BO314" s="176" t="n"/>
      <c r="BP314" s="176" t="n"/>
      <c r="BQ314" s="176" t="n"/>
      <c r="BR314" s="176" t="n"/>
      <c r="BS314" s="176" t="n"/>
      <c r="BT314" s="176" t="n"/>
      <c r="BU314" s="176" t="n"/>
      <c r="BV314" s="176" t="n"/>
      <c r="BW314" s="176" t="n"/>
      <c r="BX314" s="176" t="n"/>
      <c r="BY314" s="176" t="n"/>
      <c r="BZ314" s="176" t="n"/>
      <c r="CA314" s="176" t="n"/>
      <c r="CB314" s="176" t="n"/>
      <c r="CC314" s="176" t="n"/>
      <c r="CD314" s="176" t="n"/>
      <c r="CE314" s="176" t="n"/>
      <c r="CF314" s="176" t="n"/>
      <c r="CG314" s="176" t="n"/>
      <c r="CH314" s="176" t="n"/>
      <c r="CI314" s="176" t="n"/>
      <c r="CJ314" s="176" t="n"/>
      <c r="CK314" s="176" t="n"/>
      <c r="CL314" s="176" t="n"/>
      <c r="CM314" s="176" t="n"/>
      <c r="CN314" s="176" t="n"/>
      <c r="CO314" s="176" t="n"/>
      <c r="CP314" s="176" t="n"/>
      <c r="CQ314" s="176" t="n"/>
      <c r="CR314" s="176" t="n"/>
      <c r="CS314" s="176" t="n"/>
      <c r="CT314" s="176" t="n"/>
      <c r="CU314" s="176" t="n"/>
      <c r="CV314" s="176" t="n"/>
      <c r="CW314" s="176" t="n"/>
      <c r="CX314" s="176" t="n"/>
      <c r="CY314" s="176" t="n"/>
      <c r="CZ314" s="176" t="n"/>
      <c r="DA314" s="192" t="n"/>
      <c r="DB314" s="187" t="n"/>
      <c r="DC314" s="187" t="n"/>
      <c r="DD314" s="187" t="n"/>
      <c r="DE314" s="187" t="n"/>
      <c r="DF314" s="188" t="n"/>
      <c r="DG314" s="176" t="n"/>
      <c r="DH314" s="176" t="n"/>
      <c r="DI314" s="192" t="n"/>
      <c r="DJ314" s="187" t="n"/>
      <c r="DK314" s="187" t="n"/>
      <c r="DL314" s="187" t="n"/>
      <c r="DM314" s="187" t="n"/>
      <c r="DN314" s="188" t="n"/>
      <c r="DO314" s="176" t="n"/>
      <c r="DP314" s="176" t="n"/>
      <c r="DQ314" s="176" t="n"/>
      <c r="DR314" s="176" t="n"/>
      <c r="DS314" s="176" t="n"/>
      <c r="DT314" s="176" t="n"/>
      <c r="DU314" s="176" t="n"/>
      <c r="DV314" s="176" t="n"/>
      <c r="DW314" s="176" t="n"/>
      <c r="DX314" s="176" t="n"/>
      <c r="DY314" s="176" t="n"/>
      <c r="DZ314" s="176" t="n"/>
      <c r="EA314" s="176" t="n"/>
      <c r="EB314" s="176" t="n"/>
      <c r="EC314" s="176" t="n"/>
      <c r="ED314" s="176" t="n"/>
      <c r="EE314" s="176" t="n"/>
      <c r="EF314" s="176" t="n"/>
      <c r="EG314" s="176" t="n"/>
      <c r="EH314" s="176" t="n"/>
      <c r="EI314" s="176" t="n"/>
      <c r="EJ314" s="176" t="n"/>
      <c r="EK314" s="176" t="n"/>
      <c r="EL314" s="176" t="n"/>
      <c r="EM314" s="176" t="n"/>
      <c r="EN314" s="176" t="n"/>
      <c r="EO314" s="176" t="n"/>
      <c r="EP314" s="176" t="n"/>
      <c r="EQ314" s="176" t="n"/>
      <c r="ER314" s="176" t="n"/>
      <c r="ES314" s="176" t="n"/>
      <c r="ET314" s="176" t="n"/>
      <c r="EU314" s="176" t="n"/>
      <c r="EV314" s="176" t="n"/>
      <c r="EW314" s="176" t="n"/>
      <c r="EX314" s="176" t="n"/>
      <c r="EY314" s="176" t="n"/>
      <c r="EZ314" s="176" t="n"/>
      <c r="FA314" s="176" t="n"/>
      <c r="FB314" s="176" t="n"/>
      <c r="FC314" s="176" t="n"/>
      <c r="FD314" s="176" t="n"/>
      <c r="FE314" s="176" t="n"/>
      <c r="FF314" s="176" t="n"/>
      <c r="FG314" s="176" t="n"/>
      <c r="FH314" s="176" t="n"/>
      <c r="FI314" s="176" t="n"/>
      <c r="FJ314" s="176" t="n"/>
      <c r="FK314" s="176" t="n"/>
      <c r="FL314" s="176" t="n"/>
      <c r="FM314" s="176" t="n"/>
      <c r="FN314" s="176" t="n"/>
      <c r="FO314" s="176" t="n"/>
      <c r="FP314" s="176" t="n"/>
      <c r="FQ314" s="176" t="n"/>
      <c r="FR314" s="176" t="n"/>
      <c r="FS314" s="176" t="n"/>
      <c r="FT314" s="176" t="n"/>
      <c r="FU314" s="176" t="n"/>
      <c r="FV314" s="176" t="n"/>
      <c r="FW314" s="176" t="n"/>
      <c r="FX314" s="176" t="n"/>
      <c r="FY314" s="176" t="n"/>
      <c r="FZ314" s="176" t="n"/>
      <c r="GA314" s="176" t="n"/>
      <c r="GB314" s="176" t="n"/>
      <c r="GC314" s="176" t="n"/>
      <c r="GD314" s="176" t="n"/>
      <c r="GE314" s="176" t="n"/>
      <c r="GF314" s="176" t="n"/>
      <c r="GG314" s="176" t="n"/>
      <c r="GH314" s="176" t="n"/>
      <c r="GI314" s="176" t="n"/>
      <c r="GJ314" s="176" t="n"/>
      <c r="GK314" s="176" t="n"/>
      <c r="GL314" s="176" t="n"/>
      <c r="GM314" s="176" t="n"/>
      <c r="GN314" s="176" t="n"/>
      <c r="GO314" s="176" t="n"/>
      <c r="GP314" s="176" t="n"/>
      <c r="GQ314" s="176" t="n"/>
      <c r="GR314" s="176" t="n"/>
      <c r="GS314" s="176" t="n"/>
      <c r="GT314" s="176" t="n"/>
      <c r="GU314" s="176" t="n"/>
      <c r="GV314" s="176" t="n"/>
      <c r="GW314" s="176" t="n"/>
      <c r="GX314" s="176" t="n"/>
      <c r="GY314" s="176" t="n"/>
      <c r="GZ314" s="176" t="n"/>
      <c r="HA314" s="176" t="n"/>
      <c r="HB314" s="176" t="n"/>
      <c r="HC314" s="176" t="n"/>
      <c r="HD314" s="176" t="n"/>
      <c r="HE314" s="176" t="n"/>
      <c r="HF314" s="176" t="n"/>
      <c r="HG314" s="176" t="n"/>
      <c r="HH314" s="176" t="n"/>
      <c r="HI314" s="176" t="n"/>
      <c r="HJ314" s="176" t="n"/>
      <c r="HK314" s="176" t="n"/>
      <c r="HL314" s="176" t="n"/>
      <c r="HM314" s="176" t="n"/>
      <c r="HN314" s="176" t="n"/>
      <c r="HO314" s="176" t="n"/>
      <c r="HP314" s="176" t="n"/>
      <c r="HQ314" s="176" t="n"/>
      <c r="HR314" s="176" t="n"/>
      <c r="HS314" s="176" t="n"/>
      <c r="HT314" s="176" t="n"/>
      <c r="HU314" s="176" t="n"/>
      <c r="HV314" s="176" t="n"/>
      <c r="HW314" s="176" t="n"/>
      <c r="HX314" s="176" t="n"/>
      <c r="HY314" s="176" t="n"/>
      <c r="HZ314" s="176" t="n"/>
      <c r="IA314" s="176" t="n"/>
      <c r="IB314" s="176" t="n"/>
      <c r="IC314" s="176" t="n"/>
      <c r="ID314" s="176" t="n"/>
    </row>
    <row r="315" ht="18.75" customHeight="1">
      <c r="A315" s="176" t="n"/>
      <c r="B315" s="176" t="n"/>
      <c r="C315" s="176" t="n"/>
      <c r="D315" s="176" t="n"/>
      <c r="E315" s="176" t="n"/>
      <c r="F315" s="176" t="n"/>
      <c r="G315" s="176" t="n"/>
      <c r="H315" s="176" t="n"/>
      <c r="I315" s="176" t="n"/>
      <c r="J315" s="176" t="n"/>
      <c r="K315" s="176" t="n"/>
      <c r="L315" s="176" t="n"/>
      <c r="M315" s="176" t="n"/>
      <c r="N315" s="176" t="n"/>
      <c r="O315" s="176" t="n"/>
      <c r="P315" s="176" t="n"/>
      <c r="Q315" s="176" t="n"/>
      <c r="R315" s="176" t="n"/>
      <c r="S315" s="176" t="n"/>
      <c r="T315" s="181">
        <f>SWITCH('CONFIGURAÇÃO'!$T$304,"Origem","","Marcante","","Menor","","Arma","FORÇA","Escudo","TETO DE DESTREZA","Uniforme","TETO DE DESTREZA","Item comum","PREÇO","Ferramenta amaldiçoada","DESGASTE","")</f>
        <v/>
      </c>
      <c r="U315" s="183" t="n"/>
      <c r="V315" s="185" t="n"/>
      <c r="W315" s="182" t="n"/>
      <c r="X315" s="182" t="n"/>
      <c r="Y315" s="183" t="n"/>
      <c r="Z315" s="176" t="n"/>
      <c r="AA315" s="176" t="n"/>
      <c r="AB315" s="181">
        <f>SWITCH('CONFIGURAÇÃO'!$AB$304,"Origem","","Marcante","","Menor","","Arma","FORÇA","Escudo","TETO DE DESTREZA","Uniforme","TETO DE DESTREZA","Item comum","PREÇO","Ferramenta amaldiçoada","DESGASTE","")</f>
        <v/>
      </c>
      <c r="AC315" s="183" t="n"/>
      <c r="AD315" s="185" t="n"/>
      <c r="AE315" s="182" t="n"/>
      <c r="AF315" s="182" t="n"/>
      <c r="AG315" s="183" t="n"/>
      <c r="AH315" s="176" t="n"/>
      <c r="AI315" s="176" t="n"/>
      <c r="AJ315" s="176" t="n"/>
      <c r="AK315" s="176" t="n"/>
      <c r="AL315" s="176" t="n"/>
      <c r="AM315" s="176" t="n"/>
      <c r="AN315" s="176" t="n"/>
      <c r="AO315" s="176" t="n"/>
      <c r="AP315" s="176" t="n"/>
      <c r="AQ315" s="176" t="n"/>
      <c r="AR315" s="176" t="n"/>
      <c r="AS315" s="176" t="n"/>
      <c r="AT315" s="176" t="n"/>
      <c r="AU315" s="176" t="n"/>
      <c r="AV315" s="176" t="n"/>
      <c r="AW315" s="176" t="n"/>
      <c r="AX315" s="176" t="n"/>
      <c r="AY315" s="176" t="n"/>
      <c r="AZ315" s="176" t="n"/>
      <c r="BA315" s="176" t="n"/>
      <c r="BB315" s="176" t="n"/>
      <c r="BC315" s="176" t="n"/>
      <c r="BD315" s="176" t="n"/>
      <c r="BE315" s="176" t="n"/>
      <c r="BF315" s="176" t="n"/>
      <c r="BG315" s="176" t="n"/>
      <c r="BH315" s="176" t="n"/>
      <c r="BI315" s="176" t="n"/>
      <c r="BJ315" s="176" t="n"/>
      <c r="BK315" s="176" t="n"/>
      <c r="BL315" s="176" t="n"/>
      <c r="BM315" s="176" t="n"/>
      <c r="BN315" s="176" t="n"/>
      <c r="BO315" s="176" t="n"/>
      <c r="BP315" s="176" t="n"/>
      <c r="BQ315" s="176" t="n"/>
      <c r="BR315" s="176" t="n"/>
      <c r="BS315" s="176" t="n"/>
      <c r="BT315" s="176" t="n"/>
      <c r="BU315" s="176" t="n"/>
      <c r="BV315" s="176" t="n"/>
      <c r="BW315" s="176" t="n"/>
      <c r="BX315" s="176" t="n"/>
      <c r="BY315" s="176" t="n"/>
      <c r="BZ315" s="176" t="n"/>
      <c r="CA315" s="176" t="n"/>
      <c r="CB315" s="176" t="n"/>
      <c r="CC315" s="176" t="n"/>
      <c r="CD315" s="176" t="n"/>
      <c r="CE315" s="176" t="n"/>
      <c r="CF315" s="176" t="n"/>
      <c r="CG315" s="176" t="n"/>
      <c r="CH315" s="176" t="n"/>
      <c r="CI315" s="176" t="n"/>
      <c r="CJ315" s="176" t="n"/>
      <c r="CK315" s="176" t="n"/>
      <c r="CL315" s="176" t="n"/>
      <c r="CM315" s="176" t="n"/>
      <c r="CN315" s="176" t="n"/>
      <c r="CO315" s="176" t="n"/>
      <c r="CP315" s="176" t="n"/>
      <c r="CQ315" s="176" t="n"/>
      <c r="CR315" s="176" t="n"/>
      <c r="CS315" s="176" t="n"/>
      <c r="CT315" s="176" t="n"/>
      <c r="CU315" s="176" t="n"/>
      <c r="CV315" s="176" t="n"/>
      <c r="CW315" s="176" t="n"/>
      <c r="CX315" s="176" t="n"/>
      <c r="CY315" s="176" t="n"/>
      <c r="CZ315" s="176" t="n"/>
      <c r="DA315" s="193" t="n"/>
      <c r="DF315" s="194" t="n"/>
      <c r="DG315" s="176" t="n"/>
      <c r="DH315" s="176" t="n"/>
      <c r="DI315" s="193" t="n"/>
      <c r="DN315" s="194" t="n"/>
      <c r="DO315" s="176" t="n"/>
      <c r="DP315" s="176" t="n"/>
      <c r="DQ315" s="176" t="n"/>
      <c r="DR315" s="180">
        <f>IF('DADOS_RESTRICOES'!$K$28="","","⚠ "&amp;'DADOS_RESTRICOES'!$K$28)</f>
        <v/>
      </c>
      <c r="DX315" s="176" t="n"/>
      <c r="DY315" s="176" t="n"/>
      <c r="DZ315" s="180">
        <f>IF('DADOS_RESTRICOES'!$K$29="","","⚠ "&amp;'DADOS_RESTRICOES'!$K$29)</f>
        <v/>
      </c>
      <c r="EF315" s="176" t="n"/>
      <c r="EG315" s="176" t="n"/>
      <c r="EH315" s="176" t="n"/>
      <c r="EI315" s="176" t="n"/>
      <c r="EJ315" s="176" t="n"/>
      <c r="EK315" s="176" t="n"/>
      <c r="EL315" s="176" t="n"/>
      <c r="EM315" s="176" t="n"/>
      <c r="EN315" s="176" t="n"/>
      <c r="EO315" s="176" t="n"/>
      <c r="EP315" s="176" t="n"/>
      <c r="EQ315" s="176" t="n"/>
      <c r="ER315" s="176" t="n"/>
      <c r="ES315" s="176" t="n"/>
      <c r="ET315" s="176" t="n"/>
      <c r="EU315" s="176" t="n"/>
      <c r="EV315" s="176" t="n"/>
      <c r="EW315" s="176" t="n"/>
      <c r="EX315" s="176" t="n"/>
      <c r="EY315" s="176" t="n"/>
      <c r="EZ315" s="176" t="n"/>
      <c r="FA315" s="176" t="n"/>
      <c r="FB315" s="176" t="n"/>
      <c r="FC315" s="176" t="n"/>
      <c r="FD315" s="176" t="n"/>
      <c r="FE315" s="176" t="n"/>
      <c r="FF315" s="176" t="n"/>
      <c r="FG315" s="176" t="n"/>
      <c r="FH315" s="176" t="n"/>
      <c r="FI315" s="176" t="n"/>
      <c r="FJ315" s="176" t="n"/>
      <c r="FK315" s="176" t="n"/>
      <c r="FL315" s="176" t="n"/>
      <c r="FM315" s="176" t="n"/>
      <c r="FN315" s="176" t="n"/>
      <c r="FO315" s="176" t="n"/>
      <c r="FP315" s="176" t="n"/>
      <c r="FQ315" s="176" t="n"/>
      <c r="FR315" s="176" t="n"/>
      <c r="FS315" s="176" t="n"/>
      <c r="FT315" s="176" t="n"/>
      <c r="FU315" s="176" t="n"/>
      <c r="FV315" s="176" t="n"/>
      <c r="FW315" s="176" t="n"/>
      <c r="FX315" s="176" t="n"/>
      <c r="FY315" s="176" t="n"/>
      <c r="FZ315" s="176" t="n"/>
      <c r="GA315" s="176" t="n"/>
      <c r="GB315" s="176" t="n"/>
      <c r="GC315" s="176" t="n"/>
      <c r="GD315" s="176" t="n"/>
      <c r="GE315" s="176" t="n"/>
      <c r="GF315" s="176" t="n"/>
      <c r="GG315" s="176" t="n"/>
      <c r="GH315" s="176" t="n"/>
      <c r="GI315" s="176" t="n"/>
      <c r="GJ315" s="176" t="n"/>
      <c r="GK315" s="176" t="n"/>
      <c r="GL315" s="176" t="n"/>
      <c r="GM315" s="176" t="n"/>
      <c r="GN315" s="176" t="n"/>
      <c r="GO315" s="176" t="n"/>
      <c r="GP315" s="176" t="n"/>
      <c r="GQ315" s="176" t="n"/>
      <c r="GR315" s="176" t="n"/>
      <c r="GS315" s="176" t="n"/>
      <c r="GT315" s="176" t="n"/>
      <c r="GU315" s="176" t="n"/>
      <c r="GV315" s="176" t="n"/>
      <c r="GW315" s="176" t="n"/>
      <c r="GX315" s="176" t="n"/>
      <c r="GY315" s="176" t="n"/>
      <c r="GZ315" s="176" t="n"/>
      <c r="HA315" s="176" t="n"/>
      <c r="HB315" s="176" t="n"/>
      <c r="HC315" s="176" t="n"/>
      <c r="HD315" s="176" t="n"/>
      <c r="HE315" s="176" t="n"/>
      <c r="HF315" s="176" t="n"/>
      <c r="HG315" s="176" t="n"/>
      <c r="HH315" s="176" t="n"/>
      <c r="HI315" s="176" t="n"/>
      <c r="HJ315" s="176" t="n"/>
      <c r="HK315" s="176" t="n"/>
      <c r="HL315" s="176" t="n"/>
      <c r="HM315" s="176" t="n"/>
      <c r="HN315" s="176" t="n"/>
      <c r="HO315" s="176" t="n"/>
      <c r="HP315" s="176" t="n"/>
      <c r="HQ315" s="176" t="n"/>
      <c r="HR315" s="176" t="n"/>
      <c r="HS315" s="176" t="n"/>
      <c r="HT315" s="176" t="n"/>
      <c r="HU315" s="176" t="n"/>
      <c r="HV315" s="176" t="n"/>
      <c r="HW315" s="176" t="n"/>
      <c r="HX315" s="176" t="n"/>
      <c r="HY315" s="176" t="n"/>
      <c r="HZ315" s="176" t="n"/>
      <c r="IA315" s="176" t="n"/>
      <c r="IB315" s="176" t="n"/>
      <c r="IC315" s="176" t="n"/>
      <c r="ID315" s="176" t="n"/>
    </row>
    <row r="316" ht="18.75" customHeight="1">
      <c r="A316" s="176" t="n"/>
      <c r="B316" s="176" t="n"/>
      <c r="C316" s="176" t="n"/>
      <c r="D316" s="176" t="n"/>
      <c r="E316" s="176" t="n"/>
      <c r="F316" s="176" t="n"/>
      <c r="G316" s="176" t="n"/>
      <c r="H316" s="176" t="n"/>
      <c r="I316" s="176" t="n"/>
      <c r="J316" s="176" t="n"/>
      <c r="K316" s="176" t="n"/>
      <c r="L316" s="176" t="n"/>
      <c r="M316" s="176" t="n"/>
      <c r="N316" s="176" t="n"/>
      <c r="O316" s="176" t="n"/>
      <c r="P316" s="176" t="n"/>
      <c r="Q316" s="176" t="n"/>
      <c r="R316" s="176" t="n"/>
      <c r="S316" s="176" t="n"/>
      <c r="T316" s="181">
        <f>SWITCH('CONFIGURAÇÃO'!$T$304,"Origem","","Marcante","","Menor","","Arma","VOLUME","Escudo","FORÇA","Uniforme","FORÇA","Item comum","","Ferramenta amaldiçoada","VOLUME","")</f>
        <v/>
      </c>
      <c r="U316" s="183" t="n"/>
      <c r="V316" s="185" t="n"/>
      <c r="W316" s="182" t="n"/>
      <c r="X316" s="182" t="n"/>
      <c r="Y316" s="183" t="n"/>
      <c r="Z316" s="176" t="n"/>
      <c r="AA316" s="176" t="n"/>
      <c r="AB316" s="181">
        <f>SWITCH('CONFIGURAÇÃO'!$AB$304,"Origem","","Marcante","","Menor","","Arma","VOLUME","Escudo","FORÇA","Uniforme","FORÇA","Item comum","","Ferramenta amaldiçoada","VOLUME","")</f>
        <v/>
      </c>
      <c r="AC316" s="183" t="n"/>
      <c r="AD316" s="185" t="n"/>
      <c r="AE316" s="182" t="n"/>
      <c r="AF316" s="182" t="n"/>
      <c r="AG316" s="183" t="n"/>
      <c r="AH316" s="176" t="n"/>
      <c r="AI316" s="176" t="n"/>
      <c r="AJ316" s="176" t="n"/>
      <c r="AK316" s="176" t="n"/>
      <c r="AL316" s="176" t="n"/>
      <c r="AM316" s="176" t="n"/>
      <c r="AN316" s="176" t="n"/>
      <c r="AO316" s="176" t="n"/>
      <c r="AP316" s="176" t="n"/>
      <c r="AQ316" s="176" t="n"/>
      <c r="AR316" s="176" t="n"/>
      <c r="AS316" s="176" t="n"/>
      <c r="AT316" s="176" t="n"/>
      <c r="AU316" s="176" t="n"/>
      <c r="AV316" s="176" t="n"/>
      <c r="AW316" s="176" t="n"/>
      <c r="AX316" s="176" t="n"/>
      <c r="AY316" s="176" t="n"/>
      <c r="AZ316" s="176" t="n"/>
      <c r="BA316" s="176" t="n"/>
      <c r="BB316" s="176" t="n"/>
      <c r="BC316" s="176" t="n"/>
      <c r="BD316" s="176" t="n"/>
      <c r="BE316" s="176" t="n"/>
      <c r="BF316" s="176" t="n"/>
      <c r="BG316" s="176" t="n"/>
      <c r="BH316" s="176" t="n"/>
      <c r="BI316" s="176" t="n"/>
      <c r="BJ316" s="176" t="n"/>
      <c r="BK316" s="176" t="n"/>
      <c r="BL316" s="176" t="n"/>
      <c r="BM316" s="176" t="n"/>
      <c r="BN316" s="176" t="n"/>
      <c r="BO316" s="176" t="n"/>
      <c r="BP316" s="176" t="n"/>
      <c r="BQ316" s="176" t="n"/>
      <c r="BR316" s="176" t="n"/>
      <c r="BS316" s="176" t="n"/>
      <c r="BT316" s="176" t="n"/>
      <c r="BU316" s="176" t="n"/>
      <c r="BV316" s="176" t="n"/>
      <c r="BW316" s="176" t="n"/>
      <c r="BX316" s="176" t="n"/>
      <c r="BY316" s="176" t="n"/>
      <c r="BZ316" s="176" t="n"/>
      <c r="CA316" s="176" t="n"/>
      <c r="CB316" s="176" t="n"/>
      <c r="CC316" s="176" t="n"/>
      <c r="CD316" s="176" t="n"/>
      <c r="CE316" s="176" t="n"/>
      <c r="CF316" s="176" t="n"/>
      <c r="CG316" s="176" t="n"/>
      <c r="CH316" s="176" t="n"/>
      <c r="CI316" s="176" t="n"/>
      <c r="CJ316" s="176" t="n"/>
      <c r="CK316" s="176" t="n"/>
      <c r="CL316" s="176" t="n"/>
      <c r="CM316" s="176" t="n"/>
      <c r="CN316" s="176" t="n"/>
      <c r="CO316" s="176" t="n"/>
      <c r="CP316" s="176" t="n"/>
      <c r="CQ316" s="176" t="n"/>
      <c r="CR316" s="176" t="n"/>
      <c r="CS316" s="176" t="n"/>
      <c r="CT316" s="176" t="n"/>
      <c r="CU316" s="176" t="n"/>
      <c r="CV316" s="176" t="n"/>
      <c r="CW316" s="176" t="n"/>
      <c r="CX316" s="176" t="n"/>
      <c r="CY316" s="176" t="n"/>
      <c r="CZ316" s="176" t="n"/>
      <c r="DA316" s="193" t="n"/>
      <c r="DF316" s="194" t="n"/>
      <c r="DG316" s="176" t="n"/>
      <c r="DH316" s="176" t="n"/>
      <c r="DI316" s="193" t="n"/>
      <c r="DN316" s="194" t="n"/>
      <c r="DO316" s="176" t="n"/>
      <c r="DP316" s="176" t="n"/>
      <c r="DQ316" s="176" t="n"/>
      <c r="DX316" s="176" t="n"/>
      <c r="DY316" s="176" t="n"/>
      <c r="EF316" s="176" t="n"/>
      <c r="EG316" s="176" t="n"/>
      <c r="EH316" s="176" t="n"/>
      <c r="EI316" s="176" t="n"/>
      <c r="EJ316" s="176" t="n"/>
      <c r="EK316" s="176" t="n"/>
      <c r="EL316" s="176" t="n"/>
      <c r="EM316" s="176" t="n"/>
      <c r="EN316" s="176" t="n"/>
      <c r="EO316" s="176" t="n"/>
      <c r="EP316" s="176" t="n"/>
      <c r="EQ316" s="176" t="n"/>
      <c r="ER316" s="176" t="n"/>
      <c r="ES316" s="176" t="n"/>
      <c r="ET316" s="176" t="n"/>
      <c r="EU316" s="176" t="n"/>
      <c r="EV316" s="176" t="n"/>
      <c r="EW316" s="176" t="n"/>
      <c r="EX316" s="176" t="n"/>
      <c r="EY316" s="176" t="n"/>
      <c r="EZ316" s="176" t="n"/>
      <c r="FA316" s="176" t="n"/>
      <c r="FB316" s="176" t="n"/>
      <c r="FC316" s="176" t="n"/>
      <c r="FD316" s="176" t="n"/>
      <c r="FE316" s="176" t="n"/>
      <c r="FF316" s="176" t="n"/>
      <c r="FG316" s="176" t="n"/>
      <c r="FH316" s="176" t="n"/>
      <c r="FI316" s="176" t="n"/>
      <c r="FJ316" s="176" t="n"/>
      <c r="FK316" s="176" t="n"/>
      <c r="FL316" s="176" t="n"/>
      <c r="FM316" s="176" t="n"/>
      <c r="FN316" s="176" t="n"/>
      <c r="FO316" s="176" t="n"/>
      <c r="FP316" s="176" t="n"/>
      <c r="FQ316" s="176" t="n"/>
      <c r="FR316" s="176" t="n"/>
      <c r="FS316" s="176" t="n"/>
      <c r="FT316" s="176" t="n"/>
      <c r="FU316" s="176" t="n"/>
      <c r="FV316" s="176" t="n"/>
      <c r="FW316" s="176" t="n"/>
      <c r="FX316" s="176" t="n"/>
      <c r="FY316" s="176" t="n"/>
      <c r="FZ316" s="176" t="n"/>
      <c r="GA316" s="176" t="n"/>
      <c r="GB316" s="176" t="n"/>
      <c r="GC316" s="176" t="n"/>
      <c r="GD316" s="176" t="n"/>
      <c r="GE316" s="176" t="n"/>
      <c r="GF316" s="176" t="n"/>
      <c r="GG316" s="176" t="n"/>
      <c r="GH316" s="176" t="n"/>
      <c r="GI316" s="176" t="n"/>
      <c r="GJ316" s="176" t="n"/>
      <c r="GK316" s="176" t="n"/>
      <c r="GL316" s="176" t="n"/>
      <c r="GM316" s="176" t="n"/>
      <c r="GN316" s="176" t="n"/>
      <c r="GO316" s="176" t="n"/>
      <c r="GP316" s="176" t="n"/>
      <c r="GQ316" s="176" t="n"/>
      <c r="GR316" s="176" t="n"/>
      <c r="GS316" s="176" t="n"/>
      <c r="GT316" s="176" t="n"/>
      <c r="GU316" s="176" t="n"/>
      <c r="GV316" s="176" t="n"/>
      <c r="GW316" s="176" t="n"/>
      <c r="GX316" s="176" t="n"/>
      <c r="GY316" s="176" t="n"/>
      <c r="GZ316" s="176" t="n"/>
      <c r="HA316" s="176" t="n"/>
      <c r="HB316" s="176" t="n"/>
      <c r="HC316" s="176" t="n"/>
      <c r="HD316" s="176" t="n"/>
      <c r="HE316" s="176" t="n"/>
      <c r="HF316" s="176" t="n"/>
      <c r="HG316" s="176" t="n"/>
      <c r="HH316" s="176" t="n"/>
      <c r="HI316" s="176" t="n"/>
      <c r="HJ316" s="176" t="n"/>
      <c r="HK316" s="176" t="n"/>
      <c r="HL316" s="176" t="n"/>
      <c r="HM316" s="176" t="n"/>
      <c r="HN316" s="176" t="n"/>
      <c r="HO316" s="176" t="n"/>
      <c r="HP316" s="176" t="n"/>
      <c r="HQ316" s="176" t="n"/>
      <c r="HR316" s="176" t="n"/>
      <c r="HS316" s="176" t="n"/>
      <c r="HT316" s="176" t="n"/>
      <c r="HU316" s="176" t="n"/>
      <c r="HV316" s="176" t="n"/>
      <c r="HW316" s="176" t="n"/>
      <c r="HX316" s="176" t="n"/>
      <c r="HY316" s="176" t="n"/>
      <c r="HZ316" s="176" t="n"/>
      <c r="IA316" s="176" t="n"/>
      <c r="IB316" s="176" t="n"/>
      <c r="IC316" s="176" t="n"/>
      <c r="ID316" s="176" t="n"/>
    </row>
    <row r="317" ht="18.75" customHeight="1">
      <c r="A317" s="176" t="n"/>
      <c r="B317" s="176" t="n"/>
      <c r="C317" s="176" t="n"/>
      <c r="D317" s="176" t="n"/>
      <c r="E317" s="176" t="n"/>
      <c r="F317" s="176" t="n"/>
      <c r="G317" s="176" t="n"/>
      <c r="H317" s="176" t="n"/>
      <c r="I317" s="176" t="n"/>
      <c r="J317" s="176" t="n"/>
      <c r="K317" s="176" t="n"/>
      <c r="L317" s="176" t="n"/>
      <c r="M317" s="176" t="n"/>
      <c r="N317" s="176" t="n"/>
      <c r="O317" s="176" t="n"/>
      <c r="P317" s="176" t="n"/>
      <c r="Q317" s="176" t="n"/>
      <c r="R317" s="176" t="n"/>
      <c r="S317" s="176" t="n"/>
      <c r="T317" s="181">
        <f>SWITCH('CONFIGURAÇÃO'!$T$304,"Origem","","Marcante","","Menor","","Arma","ALCANCE","Escudo","VOLUME","Uniforme","VOLUME","Item comum","","Ferramenta amaldiçoada","PREÇO","")</f>
        <v/>
      </c>
      <c r="U317" s="183" t="n"/>
      <c r="V317" s="185" t="n"/>
      <c r="W317" s="182" t="n"/>
      <c r="X317" s="182" t="n"/>
      <c r="Y317" s="183" t="n"/>
      <c r="Z317" s="176" t="n"/>
      <c r="AA317" s="176" t="n"/>
      <c r="AB317" s="181">
        <f>SWITCH('CONFIGURAÇÃO'!$AB$304,"Origem","","Marcante","","Menor","","Arma","ALCANCE","Escudo","VOLUME","Uniforme","VOLUME","Item comum","","Ferramenta amaldiçoada","PREÇO","")</f>
        <v/>
      </c>
      <c r="AC317" s="183" t="n"/>
      <c r="AD317" s="185" t="n"/>
      <c r="AE317" s="182" t="n"/>
      <c r="AF317" s="182" t="n"/>
      <c r="AG317" s="183" t="n"/>
      <c r="AH317" s="176" t="n"/>
      <c r="AI317" s="176" t="n"/>
      <c r="AJ317" s="176" t="n"/>
      <c r="AK317" s="176" t="n"/>
      <c r="AL317" s="176" t="n"/>
      <c r="AM317" s="176" t="n"/>
      <c r="AN317" s="176" t="n"/>
      <c r="AO317" s="176" t="n"/>
      <c r="AP317" s="176" t="n"/>
      <c r="AQ317" s="176" t="n"/>
      <c r="AR317" s="176" t="n"/>
      <c r="AS317" s="176" t="n"/>
      <c r="AT317" s="176" t="n"/>
      <c r="AU317" s="176" t="n"/>
      <c r="AV317" s="176" t="n"/>
      <c r="AW317" s="176" t="n"/>
      <c r="AX317" s="176" t="n"/>
      <c r="AY317" s="176" t="n"/>
      <c r="AZ317" s="176" t="n"/>
      <c r="BA317" s="176" t="n"/>
      <c r="BB317" s="176" t="n"/>
      <c r="BC317" s="176" t="n"/>
      <c r="BD317" s="176" t="n"/>
      <c r="BE317" s="176" t="n"/>
      <c r="BF317" s="176" t="n"/>
      <c r="BG317" s="176" t="n"/>
      <c r="BH317" s="176" t="n"/>
      <c r="BI317" s="176" t="n"/>
      <c r="BJ317" s="176" t="n"/>
      <c r="BK317" s="176" t="n"/>
      <c r="BL317" s="176" t="n"/>
      <c r="BM317" s="176" t="n"/>
      <c r="BN317" s="176" t="n"/>
      <c r="BO317" s="176" t="n"/>
      <c r="BP317" s="176" t="n"/>
      <c r="BQ317" s="176" t="n"/>
      <c r="BR317" s="176" t="n"/>
      <c r="BS317" s="176" t="n"/>
      <c r="BT317" s="176" t="n"/>
      <c r="BU317" s="176" t="n"/>
      <c r="BV317" s="176" t="n"/>
      <c r="BW317" s="176" t="n"/>
      <c r="BX317" s="176" t="n"/>
      <c r="BY317" s="176" t="n"/>
      <c r="BZ317" s="176" t="n"/>
      <c r="CA317" s="176" t="n"/>
      <c r="CB317" s="176" t="n"/>
      <c r="CC317" s="176" t="n"/>
      <c r="CD317" s="176" t="n"/>
      <c r="CE317" s="176" t="n"/>
      <c r="CF317" s="176" t="n"/>
      <c r="CG317" s="176" t="n"/>
      <c r="CH317" s="176" t="n"/>
      <c r="CI317" s="176" t="n"/>
      <c r="CJ317" s="176" t="n"/>
      <c r="CK317" s="176" t="n"/>
      <c r="CL317" s="176" t="n"/>
      <c r="CM317" s="176" t="n"/>
      <c r="CN317" s="176" t="n"/>
      <c r="CO317" s="176" t="n"/>
      <c r="CP317" s="176" t="n"/>
      <c r="CQ317" s="176" t="n"/>
      <c r="CR317" s="176" t="n"/>
      <c r="CS317" s="176" t="n"/>
      <c r="CT317" s="176" t="n"/>
      <c r="CU317" s="176" t="n"/>
      <c r="CV317" s="176" t="n"/>
      <c r="CW317" s="176" t="n"/>
      <c r="CX317" s="176" t="n"/>
      <c r="CY317" s="176" t="n"/>
      <c r="CZ317" s="176" t="n"/>
      <c r="DA317" s="193" t="n"/>
      <c r="DF317" s="194" t="n"/>
      <c r="DG317" s="176" t="n"/>
      <c r="DH317" s="176" t="n"/>
      <c r="DI317" s="193" t="n"/>
      <c r="DN317" s="194" t="n"/>
      <c r="DO317" s="176" t="n"/>
      <c r="DP317" s="176" t="n"/>
      <c r="DQ317" s="176" t="n"/>
      <c r="DR317" s="176" t="n"/>
      <c r="DS317" s="176" t="n"/>
      <c r="DT317" s="176" t="n"/>
      <c r="DU317" s="176" t="n"/>
      <c r="DV317" s="176" t="n"/>
      <c r="DW317" s="176" t="n"/>
      <c r="DX317" s="176" t="n"/>
      <c r="DY317" s="176" t="n"/>
      <c r="DZ317" s="176" t="n"/>
      <c r="EA317" s="176" t="n"/>
      <c r="EB317" s="176" t="n"/>
      <c r="EC317" s="176" t="n"/>
      <c r="ED317" s="176" t="n"/>
      <c r="EE317" s="176" t="n"/>
      <c r="EF317" s="176" t="n"/>
      <c r="EG317" s="176" t="n"/>
      <c r="EH317" s="176" t="n"/>
      <c r="EI317" s="176" t="n"/>
      <c r="EJ317" s="176" t="n"/>
      <c r="EK317" s="176" t="n"/>
      <c r="EL317" s="176" t="n"/>
      <c r="EM317" s="176" t="n"/>
      <c r="EN317" s="176" t="n"/>
      <c r="EO317" s="176" t="n"/>
      <c r="EP317" s="176" t="n"/>
      <c r="EQ317" s="176" t="n"/>
      <c r="ER317" s="176" t="n"/>
      <c r="ES317" s="176" t="n"/>
      <c r="ET317" s="176" t="n"/>
      <c r="EU317" s="176" t="n"/>
      <c r="EV317" s="176" t="n"/>
      <c r="EW317" s="176" t="n"/>
      <c r="EX317" s="176" t="n"/>
      <c r="EY317" s="176" t="n"/>
      <c r="EZ317" s="176" t="n"/>
      <c r="FA317" s="176" t="n"/>
      <c r="FB317" s="176" t="n"/>
      <c r="FC317" s="176" t="n"/>
      <c r="FD317" s="176" t="n"/>
      <c r="FE317" s="176" t="n"/>
      <c r="FF317" s="176" t="n"/>
      <c r="FG317" s="176" t="n"/>
      <c r="FH317" s="176" t="n"/>
      <c r="FI317" s="176" t="n"/>
      <c r="FJ317" s="176" t="n"/>
      <c r="FK317" s="176" t="n"/>
      <c r="FL317" s="176" t="n"/>
      <c r="FM317" s="176" t="n"/>
      <c r="FN317" s="176" t="n"/>
      <c r="FO317" s="176" t="n"/>
      <c r="FP317" s="176" t="n"/>
      <c r="FQ317" s="176" t="n"/>
      <c r="FR317" s="176" t="n"/>
      <c r="FS317" s="176" t="n"/>
      <c r="FT317" s="176" t="n"/>
      <c r="FU317" s="176" t="n"/>
      <c r="FV317" s="176" t="n"/>
      <c r="FW317" s="176" t="n"/>
      <c r="FX317" s="176" t="n"/>
      <c r="FY317" s="176" t="n"/>
      <c r="FZ317" s="176" t="n"/>
      <c r="GA317" s="176" t="n"/>
      <c r="GB317" s="176" t="n"/>
      <c r="GC317" s="176" t="n"/>
      <c r="GD317" s="176" t="n"/>
      <c r="GE317" s="176" t="n"/>
      <c r="GF317" s="176" t="n"/>
      <c r="GG317" s="176" t="n"/>
      <c r="GH317" s="176" t="n"/>
      <c r="GI317" s="176" t="n"/>
      <c r="GJ317" s="176" t="n"/>
      <c r="GK317" s="176" t="n"/>
      <c r="GL317" s="176" t="n"/>
      <c r="GM317" s="176" t="n"/>
      <c r="GN317" s="176" t="n"/>
      <c r="GO317" s="176" t="n"/>
      <c r="GP317" s="176" t="n"/>
      <c r="GQ317" s="176" t="n"/>
      <c r="GR317" s="176" t="n"/>
      <c r="GS317" s="176" t="n"/>
      <c r="GT317" s="176" t="n"/>
      <c r="GU317" s="176" t="n"/>
      <c r="GV317" s="176" t="n"/>
      <c r="GW317" s="176" t="n"/>
      <c r="GX317" s="176" t="n"/>
      <c r="GY317" s="176" t="n"/>
      <c r="GZ317" s="176" t="n"/>
      <c r="HA317" s="176" t="n"/>
      <c r="HB317" s="176" t="n"/>
      <c r="HC317" s="176" t="n"/>
      <c r="HD317" s="176" t="n"/>
      <c r="HE317" s="176" t="n"/>
      <c r="HF317" s="176" t="n"/>
      <c r="HG317" s="176" t="n"/>
      <c r="HH317" s="176" t="n"/>
      <c r="HI317" s="176" t="n"/>
      <c r="HJ317" s="176" t="n"/>
      <c r="HK317" s="176" t="n"/>
      <c r="HL317" s="176" t="n"/>
      <c r="HM317" s="176" t="n"/>
      <c r="HN317" s="176" t="n"/>
      <c r="HO317" s="176" t="n"/>
      <c r="HP317" s="176" t="n"/>
      <c r="HQ317" s="176" t="n"/>
      <c r="HR317" s="176" t="n"/>
      <c r="HS317" s="176" t="n"/>
      <c r="HT317" s="176" t="n"/>
      <c r="HU317" s="176" t="n"/>
      <c r="HV317" s="176" t="n"/>
      <c r="HW317" s="176" t="n"/>
      <c r="HX317" s="176" t="n"/>
      <c r="HY317" s="176" t="n"/>
      <c r="HZ317" s="176" t="n"/>
      <c r="IA317" s="176" t="n"/>
      <c r="IB317" s="176" t="n"/>
      <c r="IC317" s="176" t="n"/>
      <c r="ID317" s="176" t="n"/>
    </row>
    <row r="318" ht="18.75" customHeight="1">
      <c r="A318" s="176" t="n"/>
      <c r="B318" s="176" t="n"/>
      <c r="C318" s="176" t="n"/>
      <c r="D318" s="176" t="n"/>
      <c r="E318" s="176" t="n"/>
      <c r="F318" s="176" t="n"/>
      <c r="G318" s="176" t="n"/>
      <c r="H318" s="176" t="n"/>
      <c r="I318" s="176" t="n"/>
      <c r="J318" s="176" t="n"/>
      <c r="K318" s="176" t="n"/>
      <c r="L318" s="176" t="n"/>
      <c r="M318" s="176" t="n"/>
      <c r="N318" s="176" t="n"/>
      <c r="O318" s="176" t="n"/>
      <c r="P318" s="176" t="n"/>
      <c r="Q318" s="176" t="n"/>
      <c r="R318" s="176" t="n"/>
      <c r="S318" s="176" t="n"/>
      <c r="T318" s="181">
        <f>SWITCH('CONFIGURAÇÃO'!$T$304,"Origem","","Marcante","","Menor","","Arma","RECARGA","Escudo","PREÇO","Uniforme","PREÇO","Item comum","","Ferramenta amaldiçoada","","")</f>
        <v/>
      </c>
      <c r="U318" s="183" t="n"/>
      <c r="V318" s="185" t="n"/>
      <c r="W318" s="182" t="n"/>
      <c r="X318" s="182" t="n"/>
      <c r="Y318" s="183" t="n"/>
      <c r="Z318" s="176" t="n"/>
      <c r="AA318" s="176" t="n"/>
      <c r="AB318" s="181">
        <f>SWITCH('CONFIGURAÇÃO'!$AB$304,"Origem","","Marcante","","Menor","","Arma","RECARGA","Escudo","PREÇO","Uniforme","PREÇO","Item comum","","Ferramenta amaldiçoada","","")</f>
        <v/>
      </c>
      <c r="AC318" s="183" t="n"/>
      <c r="AD318" s="185" t="n"/>
      <c r="AE318" s="182" t="n"/>
      <c r="AF318" s="182" t="n"/>
      <c r="AG318" s="183" t="n"/>
      <c r="AH318" s="176" t="n"/>
      <c r="AI318" s="176" t="n"/>
      <c r="AJ318" s="176" t="n"/>
      <c r="AK318" s="176" t="n"/>
      <c r="AL318" s="176" t="n"/>
      <c r="AM318" s="176" t="n"/>
      <c r="AN318" s="176" t="n"/>
      <c r="AO318" s="176" t="n"/>
      <c r="AP318" s="176" t="n"/>
      <c r="AQ318" s="176" t="n"/>
      <c r="AR318" s="176" t="n"/>
      <c r="AS318" s="176" t="n"/>
      <c r="AT318" s="176" t="n"/>
      <c r="AU318" s="176" t="n"/>
      <c r="AV318" s="176" t="n"/>
      <c r="AW318" s="176" t="n"/>
      <c r="AX318" s="176" t="n"/>
      <c r="AY318" s="176" t="n"/>
      <c r="AZ318" s="176" t="n"/>
      <c r="BA318" s="176" t="n"/>
      <c r="BB318" s="176" t="n"/>
      <c r="BC318" s="176" t="n"/>
      <c r="BD318" s="176" t="n"/>
      <c r="BE318" s="176" t="n"/>
      <c r="BF318" s="176" t="n"/>
      <c r="BG318" s="176" t="n"/>
      <c r="BH318" s="176" t="n"/>
      <c r="BI318" s="176" t="n"/>
      <c r="BJ318" s="176" t="n"/>
      <c r="BK318" s="176" t="n"/>
      <c r="BL318" s="176" t="n"/>
      <c r="BM318" s="176" t="n"/>
      <c r="BN318" s="176" t="n"/>
      <c r="BO318" s="176" t="n"/>
      <c r="BP318" s="176" t="n"/>
      <c r="BQ318" s="176" t="n"/>
      <c r="BR318" s="176" t="n"/>
      <c r="BS318" s="176" t="n"/>
      <c r="BT318" s="176" t="n"/>
      <c r="BU318" s="176" t="n"/>
      <c r="BV318" s="176" t="n"/>
      <c r="BW318" s="176" t="n"/>
      <c r="BX318" s="176" t="n"/>
      <c r="BY318" s="176" t="n"/>
      <c r="BZ318" s="176" t="n"/>
      <c r="CA318" s="176" t="n"/>
      <c r="CB318" s="176" t="n"/>
      <c r="CC318" s="176" t="n"/>
      <c r="CD318" s="176" t="n"/>
      <c r="CE318" s="176" t="n"/>
      <c r="CF318" s="176" t="n"/>
      <c r="CG318" s="176" t="n"/>
      <c r="CH318" s="176" t="n"/>
      <c r="CI318" s="176" t="n"/>
      <c r="CJ318" s="176" t="n"/>
      <c r="CK318" s="176" t="n"/>
      <c r="CL318" s="176" t="n"/>
      <c r="CM318" s="176" t="n"/>
      <c r="CN318" s="176" t="n"/>
      <c r="CO318" s="176" t="n"/>
      <c r="CP318" s="176" t="n"/>
      <c r="CQ318" s="176" t="n"/>
      <c r="CR318" s="176" t="n"/>
      <c r="CS318" s="176" t="n"/>
      <c r="CT318" s="176" t="n"/>
      <c r="CU318" s="176" t="n"/>
      <c r="CV318" s="176" t="n"/>
      <c r="CW318" s="176" t="n"/>
      <c r="CX318" s="176" t="n"/>
      <c r="CY318" s="176" t="n"/>
      <c r="CZ318" s="176" t="n"/>
      <c r="DA318" s="189" t="n"/>
      <c r="DB318" s="190" t="n"/>
      <c r="DC318" s="190" t="n"/>
      <c r="DD318" s="190" t="n"/>
      <c r="DE318" s="190" t="n"/>
      <c r="DF318" s="191" t="n"/>
      <c r="DG318" s="176" t="n"/>
      <c r="DH318" s="176" t="n"/>
      <c r="DI318" s="189" t="n"/>
      <c r="DJ318" s="190" t="n"/>
      <c r="DK318" s="190" t="n"/>
      <c r="DL318" s="190" t="n"/>
      <c r="DM318" s="190" t="n"/>
      <c r="DN318" s="191" t="n"/>
      <c r="DO318" s="176" t="n"/>
      <c r="DP318" s="176" t="n"/>
      <c r="DQ318" s="176" t="n"/>
      <c r="DR318" s="176" t="n"/>
      <c r="DS318" s="176" t="n"/>
      <c r="DT318" s="176" t="n"/>
      <c r="DU318" s="176" t="n"/>
      <c r="DV318" s="176" t="n"/>
      <c r="DW318" s="176" t="n"/>
      <c r="DX318" s="176" t="n"/>
      <c r="DY318" s="176" t="n"/>
      <c r="DZ318" s="176" t="n"/>
      <c r="EA318" s="176" t="n"/>
      <c r="EB318" s="176" t="n"/>
      <c r="EC318" s="176" t="n"/>
      <c r="ED318" s="176" t="n"/>
      <c r="EE318" s="176" t="n"/>
      <c r="EF318" s="176" t="n"/>
      <c r="EG318" s="176" t="n"/>
      <c r="EH318" s="176" t="n"/>
      <c r="EI318" s="176" t="n"/>
      <c r="EJ318" s="176" t="n"/>
      <c r="EK318" s="176" t="n"/>
      <c r="EL318" s="176" t="n"/>
      <c r="EM318" s="176" t="n"/>
      <c r="EN318" s="176" t="n"/>
      <c r="EO318" s="176" t="n"/>
      <c r="EP318" s="176" t="n"/>
      <c r="EQ318" s="176" t="n"/>
      <c r="ER318" s="176" t="n"/>
      <c r="ES318" s="176" t="n"/>
      <c r="ET318" s="176" t="n"/>
      <c r="EU318" s="176" t="n"/>
      <c r="EV318" s="176" t="n"/>
      <c r="EW318" s="176" t="n"/>
      <c r="EX318" s="176" t="n"/>
      <c r="EY318" s="176" t="n"/>
      <c r="EZ318" s="176" t="n"/>
      <c r="FA318" s="176" t="n"/>
      <c r="FB318" s="176" t="n"/>
      <c r="FC318" s="176" t="n"/>
      <c r="FD318" s="176" t="n"/>
      <c r="FE318" s="176" t="n"/>
      <c r="FF318" s="176" t="n"/>
      <c r="FG318" s="176" t="n"/>
      <c r="FH318" s="176" t="n"/>
      <c r="FI318" s="176" t="n"/>
      <c r="FJ318" s="176" t="n"/>
      <c r="FK318" s="176" t="n"/>
      <c r="FL318" s="176" t="n"/>
      <c r="FM318" s="176" t="n"/>
      <c r="FN318" s="176" t="n"/>
      <c r="FO318" s="176" t="n"/>
      <c r="FP318" s="176" t="n"/>
      <c r="FQ318" s="176" t="n"/>
      <c r="FR318" s="176" t="n"/>
      <c r="FS318" s="176" t="n"/>
      <c r="FT318" s="176" t="n"/>
      <c r="FU318" s="176" t="n"/>
      <c r="FV318" s="176" t="n"/>
      <c r="FW318" s="176" t="n"/>
      <c r="FX318" s="176" t="n"/>
      <c r="FY318" s="176" t="n"/>
      <c r="FZ318" s="176" t="n"/>
      <c r="GA318" s="176" t="n"/>
      <c r="GB318" s="176" t="n"/>
      <c r="GC318" s="176" t="n"/>
      <c r="GD318" s="176" t="n"/>
      <c r="GE318" s="176" t="n"/>
      <c r="GF318" s="176" t="n"/>
      <c r="GG318" s="176" t="n"/>
      <c r="GH318" s="176" t="n"/>
      <c r="GI318" s="176" t="n"/>
      <c r="GJ318" s="176" t="n"/>
      <c r="GK318" s="176" t="n"/>
      <c r="GL318" s="176" t="n"/>
      <c r="GM318" s="176" t="n"/>
      <c r="GN318" s="176" t="n"/>
      <c r="GO318" s="176" t="n"/>
      <c r="GP318" s="176" t="n"/>
      <c r="GQ318" s="176" t="n"/>
      <c r="GR318" s="176" t="n"/>
      <c r="GS318" s="176" t="n"/>
      <c r="GT318" s="176" t="n"/>
      <c r="GU318" s="176" t="n"/>
      <c r="GV318" s="176" t="n"/>
      <c r="GW318" s="176" t="n"/>
      <c r="GX318" s="176" t="n"/>
      <c r="GY318" s="176" t="n"/>
      <c r="GZ318" s="176" t="n"/>
      <c r="HA318" s="176" t="n"/>
      <c r="HB318" s="176" t="n"/>
      <c r="HC318" s="176" t="n"/>
      <c r="HD318" s="176" t="n"/>
      <c r="HE318" s="176" t="n"/>
      <c r="HF318" s="176" t="n"/>
      <c r="HG318" s="176" t="n"/>
      <c r="HH318" s="176" t="n"/>
      <c r="HI318" s="176" t="n"/>
      <c r="HJ318" s="176" t="n"/>
      <c r="HK318" s="176" t="n"/>
      <c r="HL318" s="176" t="n"/>
      <c r="HM318" s="176" t="n"/>
      <c r="HN318" s="176" t="n"/>
      <c r="HO318" s="176" t="n"/>
      <c r="HP318" s="176" t="n"/>
      <c r="HQ318" s="176" t="n"/>
      <c r="HR318" s="176" t="n"/>
      <c r="HS318" s="176" t="n"/>
      <c r="HT318" s="176" t="n"/>
      <c r="HU318" s="176" t="n"/>
      <c r="HV318" s="176" t="n"/>
      <c r="HW318" s="176" t="n"/>
      <c r="HX318" s="176" t="n"/>
      <c r="HY318" s="176" t="n"/>
      <c r="HZ318" s="176" t="n"/>
      <c r="IA318" s="176" t="n"/>
      <c r="IB318" s="176" t="n"/>
      <c r="IC318" s="176" t="n"/>
      <c r="ID318" s="176" t="n"/>
    </row>
    <row r="319" ht="18.75" customHeight="1">
      <c r="A319" s="176" t="n"/>
      <c r="B319" s="176" t="n"/>
      <c r="C319" s="176" t="n"/>
      <c r="D319" s="176" t="n"/>
      <c r="E319" s="176" t="n"/>
      <c r="F319" s="176" t="n"/>
      <c r="G319" s="176" t="n"/>
      <c r="H319" s="176" t="n"/>
      <c r="I319" s="176" t="n"/>
      <c r="J319" s="176" t="n"/>
      <c r="K319" s="176" t="n"/>
      <c r="L319" s="176" t="n"/>
      <c r="M319" s="176" t="n"/>
      <c r="N319" s="176" t="n"/>
      <c r="O319" s="176" t="n"/>
      <c r="P319" s="176" t="n"/>
      <c r="Q319" s="176" t="n"/>
      <c r="R319" s="176" t="n"/>
      <c r="S319" s="176" t="n"/>
      <c r="T319" s="181">
        <f>SWITCH('CONFIGURAÇÃO'!$T$304,"Origem","","Marcante","","Menor","","Arma","PREÇO","Escudo","","Uniforme","","Item comum","","Ferramenta amaldiçoada","","")</f>
        <v/>
      </c>
      <c r="U319" s="183" t="n"/>
      <c r="V319" s="185" t="n"/>
      <c r="W319" s="182" t="n"/>
      <c r="X319" s="182" t="n"/>
      <c r="Y319" s="183" t="n"/>
      <c r="Z319" s="176" t="n"/>
      <c r="AA319" s="176" t="n"/>
      <c r="AB319" s="181">
        <f>SWITCH('CONFIGURAÇÃO'!$AB$304,"Origem","","Marcante","","Menor","","Arma","PREÇO","Escudo","","Uniforme","","Item comum","","Ferramenta amaldiçoada","","")</f>
        <v/>
      </c>
      <c r="AC319" s="183" t="n"/>
      <c r="AD319" s="185" t="n"/>
      <c r="AE319" s="182" t="n"/>
      <c r="AF319" s="182" t="n"/>
      <c r="AG319" s="183" t="n"/>
      <c r="AH319" s="176" t="n"/>
      <c r="AI319" s="176" t="n"/>
      <c r="AJ319" s="176" t="n"/>
      <c r="AK319" s="176" t="n"/>
      <c r="AL319" s="176" t="n"/>
      <c r="AM319" s="176" t="n"/>
      <c r="AN319" s="176" t="n"/>
      <c r="AO319" s="176" t="n"/>
      <c r="AP319" s="176" t="n"/>
      <c r="AQ319" s="176" t="n"/>
      <c r="AR319" s="176" t="n"/>
      <c r="AS319" s="176" t="n"/>
      <c r="AT319" s="176" t="n"/>
      <c r="AU319" s="176" t="n"/>
      <c r="AV319" s="176" t="n"/>
      <c r="AW319" s="176" t="n"/>
      <c r="AX319" s="176" t="n"/>
      <c r="AY319" s="176" t="n"/>
      <c r="AZ319" s="176" t="n"/>
      <c r="BA319" s="176" t="n"/>
      <c r="BB319" s="176" t="n"/>
      <c r="BC319" s="176" t="n"/>
      <c r="BD319" s="176" t="n"/>
      <c r="BE319" s="176" t="n"/>
      <c r="BF319" s="176" t="n"/>
      <c r="BG319" s="176" t="n"/>
      <c r="BH319" s="176" t="n"/>
      <c r="BI319" s="176" t="n"/>
      <c r="BJ319" s="176" t="n"/>
      <c r="BK319" s="176" t="n"/>
      <c r="BL319" s="176" t="n"/>
      <c r="BM319" s="176" t="n"/>
      <c r="BN319" s="176" t="n"/>
      <c r="BO319" s="176" t="n"/>
      <c r="BP319" s="176" t="n"/>
      <c r="BQ319" s="176" t="n"/>
      <c r="BR319" s="176" t="n"/>
      <c r="BS319" s="176" t="n"/>
      <c r="BT319" s="176" t="n"/>
      <c r="BU319" s="176" t="n"/>
      <c r="BV319" s="176" t="n"/>
      <c r="BW319" s="176" t="n"/>
      <c r="BX319" s="176" t="n"/>
      <c r="BY319" s="176" t="n"/>
      <c r="BZ319" s="176" t="n"/>
      <c r="CA319" s="176" t="n"/>
      <c r="CB319" s="176" t="n"/>
      <c r="CC319" s="176" t="n"/>
      <c r="CD319" s="176" t="n"/>
      <c r="CE319" s="176" t="n"/>
      <c r="CF319" s="176" t="n"/>
      <c r="CG319" s="176" t="n"/>
      <c r="CH319" s="176" t="n"/>
      <c r="CI319" s="176" t="n"/>
      <c r="CJ319" s="176" t="n"/>
      <c r="CK319" s="176" t="n"/>
      <c r="CL319" s="176" t="n"/>
      <c r="CM319" s="176" t="n"/>
      <c r="CN319" s="176" t="n"/>
      <c r="CO319" s="176" t="n"/>
      <c r="CP319" s="176" t="n"/>
      <c r="CQ319" s="176" t="n"/>
      <c r="CR319" s="176" t="n"/>
      <c r="CS319" s="176" t="n"/>
      <c r="CT319" s="176" t="n"/>
      <c r="CU319" s="176" t="n"/>
      <c r="CV319" s="176" t="n"/>
      <c r="CW319" s="176" t="n"/>
      <c r="CX319" s="176" t="n"/>
      <c r="CY319" s="176" t="n"/>
      <c r="CZ319" s="176" t="n"/>
      <c r="DA319" s="176" t="n"/>
      <c r="DB319" s="176" t="n"/>
      <c r="DC319" s="176" t="n"/>
      <c r="DD319" s="176" t="n"/>
      <c r="DE319" s="176" t="n"/>
      <c r="DF319" s="176" t="n"/>
      <c r="DG319" s="176" t="n"/>
      <c r="DH319" s="176" t="n"/>
      <c r="DI319" s="176" t="n"/>
      <c r="DJ319" s="176" t="n"/>
      <c r="DK319" s="176" t="n"/>
      <c r="DL319" s="176" t="n"/>
      <c r="DM319" s="176" t="n"/>
      <c r="DN319" s="176" t="n"/>
      <c r="DO319" s="176" t="n"/>
      <c r="DP319" s="176" t="n"/>
      <c r="DQ319" s="176" t="n"/>
      <c r="DR319" s="179" t="inlineStr">
        <is>
          <t>RESTRIÇÃO · 29</t>
        </is>
      </c>
      <c r="DX319" s="176" t="n"/>
      <c r="DY319" s="176" t="n"/>
      <c r="DZ319" s="179" t="inlineStr">
        <is>
          <t>RESTRIÇÃO · 30</t>
        </is>
      </c>
      <c r="EF319" s="176" t="n"/>
      <c r="EG319" s="176" t="n"/>
      <c r="EH319" s="176" t="n"/>
      <c r="EI319" s="176" t="n"/>
      <c r="EJ319" s="176" t="n"/>
      <c r="EK319" s="176" t="n"/>
      <c r="EL319" s="176" t="n"/>
      <c r="EM319" s="176" t="n"/>
      <c r="EN319" s="176" t="n"/>
      <c r="EO319" s="176" t="n"/>
      <c r="EP319" s="176" t="n"/>
      <c r="EQ319" s="176" t="n"/>
      <c r="ER319" s="176" t="n"/>
      <c r="ES319" s="176" t="n"/>
      <c r="ET319" s="176" t="n"/>
      <c r="EU319" s="176" t="n"/>
      <c r="EV319" s="176" t="n"/>
      <c r="EW319" s="176" t="n"/>
      <c r="EX319" s="176" t="n"/>
      <c r="EY319" s="176" t="n"/>
      <c r="EZ319" s="176" t="n"/>
      <c r="FA319" s="176" t="n"/>
      <c r="FB319" s="176" t="n"/>
      <c r="FC319" s="176" t="n"/>
      <c r="FD319" s="176" t="n"/>
      <c r="FE319" s="176" t="n"/>
      <c r="FF319" s="176" t="n"/>
      <c r="FG319" s="176" t="n"/>
      <c r="FH319" s="176" t="n"/>
      <c r="FI319" s="176" t="n"/>
      <c r="FJ319" s="176" t="n"/>
      <c r="FK319" s="176" t="n"/>
      <c r="FL319" s="176" t="n"/>
      <c r="FM319" s="176" t="n"/>
      <c r="FN319" s="176" t="n"/>
      <c r="FO319" s="176" t="n"/>
      <c r="FP319" s="176" t="n"/>
      <c r="FQ319" s="176" t="n"/>
      <c r="FR319" s="176" t="n"/>
      <c r="FS319" s="176" t="n"/>
      <c r="FT319" s="176" t="n"/>
      <c r="FU319" s="176" t="n"/>
      <c r="FV319" s="176" t="n"/>
      <c r="FW319" s="176" t="n"/>
      <c r="FX319" s="176" t="n"/>
      <c r="FY319" s="176" t="n"/>
      <c r="FZ319" s="176" t="n"/>
      <c r="GA319" s="176" t="n"/>
      <c r="GB319" s="176" t="n"/>
      <c r="GC319" s="176" t="n"/>
      <c r="GD319" s="176" t="n"/>
      <c r="GE319" s="176" t="n"/>
      <c r="GF319" s="176" t="n"/>
      <c r="GG319" s="176" t="n"/>
      <c r="GH319" s="176" t="n"/>
      <c r="GI319" s="176" t="n"/>
      <c r="GJ319" s="176" t="n"/>
      <c r="GK319" s="176" t="n"/>
      <c r="GL319" s="176" t="n"/>
      <c r="GM319" s="176" t="n"/>
      <c r="GN319" s="176" t="n"/>
      <c r="GO319" s="176" t="n"/>
      <c r="GP319" s="176" t="n"/>
      <c r="GQ319" s="176" t="n"/>
      <c r="GR319" s="176" t="n"/>
      <c r="GS319" s="176" t="n"/>
      <c r="GT319" s="176" t="n"/>
      <c r="GU319" s="176" t="n"/>
      <c r="GV319" s="176" t="n"/>
      <c r="GW319" s="176" t="n"/>
      <c r="GX319" s="176" t="n"/>
      <c r="GY319" s="176" t="n"/>
      <c r="GZ319" s="176" t="n"/>
      <c r="HA319" s="176" t="n"/>
      <c r="HB319" s="176" t="n"/>
      <c r="HC319" s="176" t="n"/>
      <c r="HD319" s="176" t="n"/>
      <c r="HE319" s="176" t="n"/>
      <c r="HF319" s="176" t="n"/>
      <c r="HG319" s="176" t="n"/>
      <c r="HH319" s="176" t="n"/>
      <c r="HI319" s="176" t="n"/>
      <c r="HJ319" s="176" t="n"/>
      <c r="HK319" s="176" t="n"/>
      <c r="HL319" s="176" t="n"/>
      <c r="HM319" s="176" t="n"/>
      <c r="HN319" s="176" t="n"/>
      <c r="HO319" s="176" t="n"/>
      <c r="HP319" s="176" t="n"/>
      <c r="HQ319" s="176" t="n"/>
      <c r="HR319" s="176" t="n"/>
      <c r="HS319" s="176" t="n"/>
      <c r="HT319" s="176" t="n"/>
      <c r="HU319" s="176" t="n"/>
      <c r="HV319" s="176" t="n"/>
      <c r="HW319" s="176" t="n"/>
      <c r="HX319" s="176" t="n"/>
      <c r="HY319" s="176" t="n"/>
      <c r="HZ319" s="176" t="n"/>
      <c r="IA319" s="176" t="n"/>
      <c r="IB319" s="176" t="n"/>
      <c r="IC319" s="176" t="n"/>
      <c r="ID319" s="176" t="n"/>
    </row>
    <row r="320" ht="18.75" customHeight="1">
      <c r="A320" s="176" t="n"/>
      <c r="B320" s="176" t="n"/>
      <c r="C320" s="176" t="n"/>
      <c r="D320" s="176" t="n"/>
      <c r="E320" s="176" t="n"/>
      <c r="F320" s="176" t="n"/>
      <c r="G320" s="176" t="n"/>
      <c r="H320" s="176" t="n"/>
      <c r="I320" s="176" t="n"/>
      <c r="J320" s="176" t="n"/>
      <c r="K320" s="176" t="n"/>
      <c r="L320" s="176" t="n"/>
      <c r="M320" s="176" t="n"/>
      <c r="N320" s="176" t="n"/>
      <c r="O320" s="176" t="n"/>
      <c r="P320" s="176" t="n"/>
      <c r="Q320" s="176" t="n"/>
      <c r="R320" s="176" t="n"/>
      <c r="S320" s="176" t="n"/>
      <c r="T320" s="181" t="inlineStr">
        <is>
          <t>EFEITO · DESCRIÇÃO</t>
        </is>
      </c>
      <c r="U320" s="182" t="n"/>
      <c r="V320" s="182" t="n"/>
      <c r="W320" s="182" t="n"/>
      <c r="X320" s="182" t="n"/>
      <c r="Y320" s="183" t="n"/>
      <c r="Z320" s="176" t="n"/>
      <c r="AA320" s="176" t="n"/>
      <c r="AB320" s="181" t="inlineStr">
        <is>
          <t>EFEITO · DESCRIÇÃO</t>
        </is>
      </c>
      <c r="AC320" s="182" t="n"/>
      <c r="AD320" s="182" t="n"/>
      <c r="AE320" s="182" t="n"/>
      <c r="AF320" s="182" t="n"/>
      <c r="AG320" s="183" t="n"/>
      <c r="AH320" s="176" t="n"/>
      <c r="AI320" s="176" t="n"/>
      <c r="AJ320" s="176" t="n"/>
      <c r="AK320" s="176" t="n"/>
      <c r="AL320" s="176" t="n"/>
      <c r="AM320" s="176" t="n"/>
      <c r="AN320" s="176" t="n"/>
      <c r="AO320" s="176" t="n"/>
      <c r="AP320" s="176" t="n"/>
      <c r="AQ320" s="176" t="n"/>
      <c r="AR320" s="176" t="n"/>
      <c r="AS320" s="176" t="n"/>
      <c r="AT320" s="176" t="n"/>
      <c r="AU320" s="176" t="n"/>
      <c r="AV320" s="176" t="n"/>
      <c r="AW320" s="176" t="n"/>
      <c r="AX320" s="176" t="n"/>
      <c r="AY320" s="176" t="n"/>
      <c r="AZ320" s="176" t="n"/>
      <c r="BA320" s="176" t="n"/>
      <c r="BB320" s="176" t="n"/>
      <c r="BC320" s="176" t="n"/>
      <c r="BD320" s="176" t="n"/>
      <c r="BE320" s="176" t="n"/>
      <c r="BF320" s="176" t="n"/>
      <c r="BG320" s="176" t="n"/>
      <c r="BH320" s="176" t="n"/>
      <c r="BI320" s="176" t="n"/>
      <c r="BJ320" s="176" t="n"/>
      <c r="BK320" s="176" t="n"/>
      <c r="BL320" s="176" t="n"/>
      <c r="BM320" s="176" t="n"/>
      <c r="BN320" s="176" t="n"/>
      <c r="BO320" s="176" t="n"/>
      <c r="BP320" s="176" t="n"/>
      <c r="BQ320" s="176" t="n"/>
      <c r="BR320" s="176" t="n"/>
      <c r="BS320" s="176" t="n"/>
      <c r="BT320" s="176" t="n"/>
      <c r="BU320" s="176" t="n"/>
      <c r="BV320" s="176" t="n"/>
      <c r="BW320" s="176" t="n"/>
      <c r="BX320" s="176" t="n"/>
      <c r="BY320" s="176" t="n"/>
      <c r="BZ320" s="176" t="n"/>
      <c r="CA320" s="176" t="n"/>
      <c r="CB320" s="176" t="n"/>
      <c r="CC320" s="176" t="n"/>
      <c r="CD320" s="176" t="n"/>
      <c r="CE320" s="176" t="n"/>
      <c r="CF320" s="176" t="n"/>
      <c r="CG320" s="176" t="n"/>
      <c r="CH320" s="176" t="n"/>
      <c r="CI320" s="176" t="n"/>
      <c r="CJ320" s="176" t="n"/>
      <c r="CK320" s="176" t="n"/>
      <c r="CL320" s="176" t="n"/>
      <c r="CM320" s="176" t="n"/>
      <c r="CN320" s="176" t="n"/>
      <c r="CO320" s="176" t="n"/>
      <c r="CP320" s="176" t="n"/>
      <c r="CQ320" s="176" t="n"/>
      <c r="CR320" s="176" t="n"/>
      <c r="CS320" s="176" t="n"/>
      <c r="CT320" s="176" t="n"/>
      <c r="CU320" s="176" t="n"/>
      <c r="CV320" s="176" t="n"/>
      <c r="CW320" s="176" t="n"/>
      <c r="CX320" s="176" t="n"/>
      <c r="CY320" s="176" t="n"/>
      <c r="CZ320" s="176" t="n"/>
      <c r="DA320" s="180">
        <f>IF('DADOS_MELHORIAS'!$M$24="","","⚠ "&amp;'DADOS_MELHORIAS'!$M$24)</f>
        <v/>
      </c>
      <c r="DG320" s="176" t="n"/>
      <c r="DH320" s="176" t="n"/>
      <c r="DI320" s="180">
        <f>IF('DADOS_MELHORIAS'!$M$25="","","⚠ "&amp;'DADOS_MELHORIAS'!$M$25)</f>
        <v/>
      </c>
      <c r="DO320" s="176" t="n"/>
      <c r="DP320" s="176" t="n"/>
      <c r="DQ320" s="176" t="n"/>
      <c r="DR320" s="181" t="inlineStr">
        <is>
          <t>TIPO</t>
        </is>
      </c>
      <c r="DS320" s="182" t="n"/>
      <c r="DT320" s="182" t="n"/>
      <c r="DU320" s="183" t="n"/>
      <c r="DV320" s="181" t="inlineStr">
        <is>
          <t>MESTRE VIU</t>
        </is>
      </c>
      <c r="DW320" s="183" t="n"/>
      <c r="DX320" s="176" t="n"/>
      <c r="DY320" s="176" t="n"/>
      <c r="DZ320" s="181" t="inlineStr">
        <is>
          <t>TIPO</t>
        </is>
      </c>
      <c r="EA320" s="182" t="n"/>
      <c r="EB320" s="182" t="n"/>
      <c r="EC320" s="183" t="n"/>
      <c r="ED320" s="181" t="inlineStr">
        <is>
          <t>MESTRE VIU</t>
        </is>
      </c>
      <c r="EE320" s="183" t="n"/>
      <c r="EF320" s="176" t="n"/>
      <c r="EG320" s="176" t="n"/>
      <c r="EH320" s="176" t="n"/>
      <c r="EI320" s="176" t="n"/>
      <c r="EJ320" s="176" t="n"/>
      <c r="EK320" s="176" t="n"/>
      <c r="EL320" s="176" t="n"/>
      <c r="EM320" s="176" t="n"/>
      <c r="EN320" s="176" t="n"/>
      <c r="EO320" s="176" t="n"/>
      <c r="EP320" s="176" t="n"/>
      <c r="EQ320" s="176" t="n"/>
      <c r="ER320" s="176" t="n"/>
      <c r="ES320" s="176" t="n"/>
      <c r="ET320" s="176" t="n"/>
      <c r="EU320" s="176" t="n"/>
      <c r="EV320" s="176" t="n"/>
      <c r="EW320" s="176" t="n"/>
      <c r="EX320" s="176" t="n"/>
      <c r="EY320" s="176" t="n"/>
      <c r="EZ320" s="176" t="n"/>
      <c r="FA320" s="176" t="n"/>
      <c r="FB320" s="176" t="n"/>
      <c r="FC320" s="176" t="n"/>
      <c r="FD320" s="176" t="n"/>
      <c r="FE320" s="176" t="n"/>
      <c r="FF320" s="176" t="n"/>
      <c r="FG320" s="176" t="n"/>
      <c r="FH320" s="176" t="n"/>
      <c r="FI320" s="176" t="n"/>
      <c r="FJ320" s="176" t="n"/>
      <c r="FK320" s="176" t="n"/>
      <c r="FL320" s="176" t="n"/>
      <c r="FM320" s="176" t="n"/>
      <c r="FN320" s="176" t="n"/>
      <c r="FO320" s="176" t="n"/>
      <c r="FP320" s="176" t="n"/>
      <c r="FQ320" s="176" t="n"/>
      <c r="FR320" s="176" t="n"/>
      <c r="FS320" s="176" t="n"/>
      <c r="FT320" s="176" t="n"/>
      <c r="FU320" s="176" t="n"/>
      <c r="FV320" s="176" t="n"/>
      <c r="FW320" s="176" t="n"/>
      <c r="FX320" s="176" t="n"/>
      <c r="FY320" s="176" t="n"/>
      <c r="FZ320" s="176" t="n"/>
      <c r="GA320" s="176" t="n"/>
      <c r="GB320" s="176" t="n"/>
      <c r="GC320" s="176" t="n"/>
      <c r="GD320" s="176" t="n"/>
      <c r="GE320" s="176" t="n"/>
      <c r="GF320" s="176" t="n"/>
      <c r="GG320" s="176" t="n"/>
      <c r="GH320" s="176" t="n"/>
      <c r="GI320" s="176" t="n"/>
      <c r="GJ320" s="176" t="n"/>
      <c r="GK320" s="176" t="n"/>
      <c r="GL320" s="176" t="n"/>
      <c r="GM320" s="176" t="n"/>
      <c r="GN320" s="176" t="n"/>
      <c r="GO320" s="176" t="n"/>
      <c r="GP320" s="176" t="n"/>
      <c r="GQ320" s="176" t="n"/>
      <c r="GR320" s="176" t="n"/>
      <c r="GS320" s="176" t="n"/>
      <c r="GT320" s="176" t="n"/>
      <c r="GU320" s="176" t="n"/>
      <c r="GV320" s="176" t="n"/>
      <c r="GW320" s="176" t="n"/>
      <c r="GX320" s="176" t="n"/>
      <c r="GY320" s="176" t="n"/>
      <c r="GZ320" s="176" t="n"/>
      <c r="HA320" s="176" t="n"/>
      <c r="HB320" s="176" t="n"/>
      <c r="HC320" s="176" t="n"/>
      <c r="HD320" s="176" t="n"/>
      <c r="HE320" s="176" t="n"/>
      <c r="HF320" s="176" t="n"/>
      <c r="HG320" s="176" t="n"/>
      <c r="HH320" s="176" t="n"/>
      <c r="HI320" s="176" t="n"/>
      <c r="HJ320" s="176" t="n"/>
      <c r="HK320" s="176" t="n"/>
      <c r="HL320" s="176" t="n"/>
      <c r="HM320" s="176" t="n"/>
      <c r="HN320" s="176" t="n"/>
      <c r="HO320" s="176" t="n"/>
      <c r="HP320" s="176" t="n"/>
      <c r="HQ320" s="176" t="n"/>
      <c r="HR320" s="176" t="n"/>
      <c r="HS320" s="176" t="n"/>
      <c r="HT320" s="176" t="n"/>
      <c r="HU320" s="176" t="n"/>
      <c r="HV320" s="176" t="n"/>
      <c r="HW320" s="176" t="n"/>
      <c r="HX320" s="176" t="n"/>
      <c r="HY320" s="176" t="n"/>
      <c r="HZ320" s="176" t="n"/>
      <c r="IA320" s="176" t="n"/>
      <c r="IB320" s="176" t="n"/>
      <c r="IC320" s="176" t="n"/>
      <c r="ID320" s="176" t="n"/>
    </row>
    <row r="321" ht="18.75" customHeight="1">
      <c r="A321" s="176" t="n"/>
      <c r="B321" s="176" t="n"/>
      <c r="C321" s="176" t="n"/>
      <c r="D321" s="176" t="n"/>
      <c r="E321" s="176" t="n"/>
      <c r="F321" s="176" t="n"/>
      <c r="G321" s="176" t="n"/>
      <c r="H321" s="176" t="n"/>
      <c r="I321" s="176" t="n"/>
      <c r="J321" s="176" t="n"/>
      <c r="K321" s="176" t="n"/>
      <c r="L321" s="176" t="n"/>
      <c r="M321" s="176" t="n"/>
      <c r="N321" s="176" t="n"/>
      <c r="O321" s="176" t="n"/>
      <c r="P321" s="176" t="n"/>
      <c r="Q321" s="176" t="n"/>
      <c r="R321" s="176" t="n"/>
      <c r="S321" s="176" t="n"/>
      <c r="T321" s="192" t="n"/>
      <c r="U321" s="187" t="n"/>
      <c r="V321" s="187" t="n"/>
      <c r="W321" s="187" t="n"/>
      <c r="X321" s="187" t="n"/>
      <c r="Y321" s="188" t="n"/>
      <c r="Z321" s="176" t="n"/>
      <c r="AA321" s="176" t="n"/>
      <c r="AB321" s="192" t="n"/>
      <c r="AC321" s="187" t="n"/>
      <c r="AD321" s="187" t="n"/>
      <c r="AE321" s="187" t="n"/>
      <c r="AF321" s="187" t="n"/>
      <c r="AG321" s="188" t="n"/>
      <c r="AH321" s="176" t="n"/>
      <c r="AI321" s="176" t="n"/>
      <c r="AJ321" s="176" t="n"/>
      <c r="AK321" s="176" t="n"/>
      <c r="AL321" s="176" t="n"/>
      <c r="AM321" s="176" t="n"/>
      <c r="AN321" s="176" t="n"/>
      <c r="AO321" s="176" t="n"/>
      <c r="AP321" s="176" t="n"/>
      <c r="AQ321" s="176" t="n"/>
      <c r="AR321" s="176" t="n"/>
      <c r="AS321" s="176" t="n"/>
      <c r="AT321" s="176" t="n"/>
      <c r="AU321" s="176" t="n"/>
      <c r="AV321" s="176" t="n"/>
      <c r="AW321" s="176" t="n"/>
      <c r="AX321" s="176" t="n"/>
      <c r="AY321" s="176" t="n"/>
      <c r="AZ321" s="176" t="n"/>
      <c r="BA321" s="176" t="n"/>
      <c r="BB321" s="176" t="n"/>
      <c r="BC321" s="176" t="n"/>
      <c r="BD321" s="176" t="n"/>
      <c r="BE321" s="176" t="n"/>
      <c r="BF321" s="176" t="n"/>
      <c r="BG321" s="176" t="n"/>
      <c r="BH321" s="176" t="n"/>
      <c r="BI321" s="176" t="n"/>
      <c r="BJ321" s="176" t="n"/>
      <c r="BK321" s="176" t="n"/>
      <c r="BL321" s="176" t="n"/>
      <c r="BM321" s="176" t="n"/>
      <c r="BN321" s="176" t="n"/>
      <c r="BO321" s="176" t="n"/>
      <c r="BP321" s="176" t="n"/>
      <c r="BQ321" s="176" t="n"/>
      <c r="BR321" s="176" t="n"/>
      <c r="BS321" s="176" t="n"/>
      <c r="BT321" s="176" t="n"/>
      <c r="BU321" s="176" t="n"/>
      <c r="BV321" s="176" t="n"/>
      <c r="BW321" s="176" t="n"/>
      <c r="BX321" s="176" t="n"/>
      <c r="BY321" s="176" t="n"/>
      <c r="BZ321" s="176" t="n"/>
      <c r="CA321" s="176" t="n"/>
      <c r="CB321" s="176" t="n"/>
      <c r="CC321" s="176" t="n"/>
      <c r="CD321" s="176" t="n"/>
      <c r="CE321" s="176" t="n"/>
      <c r="CF321" s="176" t="n"/>
      <c r="CG321" s="176" t="n"/>
      <c r="CH321" s="176" t="n"/>
      <c r="CI321" s="176" t="n"/>
      <c r="CJ321" s="176" t="n"/>
      <c r="CK321" s="176" t="n"/>
      <c r="CL321" s="176" t="n"/>
      <c r="CM321" s="176" t="n"/>
      <c r="CN321" s="176" t="n"/>
      <c r="CO321" s="176" t="n"/>
      <c r="CP321" s="176" t="n"/>
      <c r="CQ321" s="176" t="n"/>
      <c r="CR321" s="176" t="n"/>
      <c r="CS321" s="176" t="n"/>
      <c r="CT321" s="176" t="n"/>
      <c r="CU321" s="176" t="n"/>
      <c r="CV321" s="176" t="n"/>
      <c r="CW321" s="176" t="n"/>
      <c r="CX321" s="176" t="n"/>
      <c r="CY321" s="176" t="n"/>
      <c r="CZ321" s="176" t="n"/>
      <c r="DG321" s="176" t="n"/>
      <c r="DH321" s="176" t="n"/>
      <c r="DO321" s="176" t="n"/>
      <c r="DP321" s="176" t="n"/>
      <c r="DQ321" s="176" t="n"/>
      <c r="DR321" s="185" t="inlineStr">
        <is>
          <t>Restrição</t>
        </is>
      </c>
      <c r="DS321" s="182" t="n"/>
      <c r="DT321" s="182" t="n"/>
      <c r="DU321" s="183" t="n"/>
      <c r="DV321" s="184" t="b">
        <v>0</v>
      </c>
      <c r="DW321" s="183" t="n"/>
      <c r="DX321" s="176" t="n"/>
      <c r="DY321" s="176" t="n"/>
      <c r="DZ321" s="185" t="inlineStr">
        <is>
          <t>Restrição</t>
        </is>
      </c>
      <c r="EA321" s="182" t="n"/>
      <c r="EB321" s="182" t="n"/>
      <c r="EC321" s="183" t="n"/>
      <c r="ED321" s="184" t="b">
        <v>0</v>
      </c>
      <c r="EE321" s="183" t="n"/>
      <c r="EF321" s="176" t="n"/>
      <c r="EG321" s="176" t="n"/>
      <c r="EH321" s="176" t="n"/>
      <c r="EI321" s="176" t="n"/>
      <c r="EJ321" s="176" t="n"/>
      <c r="EK321" s="176" t="n"/>
      <c r="EL321" s="176" t="n"/>
      <c r="EM321" s="176" t="n"/>
      <c r="EN321" s="176" t="n"/>
      <c r="EO321" s="176" t="n"/>
      <c r="EP321" s="176" t="n"/>
      <c r="EQ321" s="176" t="n"/>
      <c r="ER321" s="176" t="n"/>
      <c r="ES321" s="176" t="n"/>
      <c r="ET321" s="176" t="n"/>
      <c r="EU321" s="176" t="n"/>
      <c r="EV321" s="176" t="n"/>
      <c r="EW321" s="176" t="n"/>
      <c r="EX321" s="176" t="n"/>
      <c r="EY321" s="176" t="n"/>
      <c r="EZ321" s="176" t="n"/>
      <c r="FA321" s="176" t="n"/>
      <c r="FB321" s="176" t="n"/>
      <c r="FC321" s="176" t="n"/>
      <c r="FD321" s="176" t="n"/>
      <c r="FE321" s="176" t="n"/>
      <c r="FF321" s="176" t="n"/>
      <c r="FG321" s="176" t="n"/>
      <c r="FH321" s="176" t="n"/>
      <c r="FI321" s="176" t="n"/>
      <c r="FJ321" s="176" t="n"/>
      <c r="FK321" s="176" t="n"/>
      <c r="FL321" s="176" t="n"/>
      <c r="FM321" s="176" t="n"/>
      <c r="FN321" s="176" t="n"/>
      <c r="FO321" s="176" t="n"/>
      <c r="FP321" s="176" t="n"/>
      <c r="FQ321" s="176" t="n"/>
      <c r="FR321" s="176" t="n"/>
      <c r="FS321" s="176" t="n"/>
      <c r="FT321" s="176" t="n"/>
      <c r="FU321" s="176" t="n"/>
      <c r="FV321" s="176" t="n"/>
      <c r="FW321" s="176" t="n"/>
      <c r="FX321" s="176" t="n"/>
      <c r="FY321" s="176" t="n"/>
      <c r="FZ321" s="176" t="n"/>
      <c r="GA321" s="176" t="n"/>
      <c r="GB321" s="176" t="n"/>
      <c r="GC321" s="176" t="n"/>
      <c r="GD321" s="176" t="n"/>
      <c r="GE321" s="176" t="n"/>
      <c r="GF321" s="176" t="n"/>
      <c r="GG321" s="176" t="n"/>
      <c r="GH321" s="176" t="n"/>
      <c r="GI321" s="176" t="n"/>
      <c r="GJ321" s="176" t="n"/>
      <c r="GK321" s="176" t="n"/>
      <c r="GL321" s="176" t="n"/>
      <c r="GM321" s="176" t="n"/>
      <c r="GN321" s="176" t="n"/>
      <c r="GO321" s="176" t="n"/>
      <c r="GP321" s="176" t="n"/>
      <c r="GQ321" s="176" t="n"/>
      <c r="GR321" s="176" t="n"/>
      <c r="GS321" s="176" t="n"/>
      <c r="GT321" s="176" t="n"/>
      <c r="GU321" s="176" t="n"/>
      <c r="GV321" s="176" t="n"/>
      <c r="GW321" s="176" t="n"/>
      <c r="GX321" s="176" t="n"/>
      <c r="GY321" s="176" t="n"/>
      <c r="GZ321" s="176" t="n"/>
      <c r="HA321" s="176" t="n"/>
      <c r="HB321" s="176" t="n"/>
      <c r="HC321" s="176" t="n"/>
      <c r="HD321" s="176" t="n"/>
      <c r="HE321" s="176" t="n"/>
      <c r="HF321" s="176" t="n"/>
      <c r="HG321" s="176" t="n"/>
      <c r="HH321" s="176" t="n"/>
      <c r="HI321" s="176" t="n"/>
      <c r="HJ321" s="176" t="n"/>
      <c r="HK321" s="176" t="n"/>
      <c r="HL321" s="176" t="n"/>
      <c r="HM321" s="176" t="n"/>
      <c r="HN321" s="176" t="n"/>
      <c r="HO321" s="176" t="n"/>
      <c r="HP321" s="176" t="n"/>
      <c r="HQ321" s="176" t="n"/>
      <c r="HR321" s="176" t="n"/>
      <c r="HS321" s="176" t="n"/>
      <c r="HT321" s="176" t="n"/>
      <c r="HU321" s="176" t="n"/>
      <c r="HV321" s="176" t="n"/>
      <c r="HW321" s="176" t="n"/>
      <c r="HX321" s="176" t="n"/>
      <c r="HY321" s="176" t="n"/>
      <c r="HZ321" s="176" t="n"/>
      <c r="IA321" s="176" t="n"/>
      <c r="IB321" s="176" t="n"/>
      <c r="IC321" s="176" t="n"/>
      <c r="ID321" s="176" t="n"/>
    </row>
    <row r="322" ht="18.75" customHeight="1">
      <c r="A322" s="176" t="n"/>
      <c r="B322" s="176" t="n"/>
      <c r="C322" s="176" t="n"/>
      <c r="D322" s="176" t="n"/>
      <c r="E322" s="176" t="n"/>
      <c r="F322" s="176" t="n"/>
      <c r="G322" s="176" t="n"/>
      <c r="H322" s="176" t="n"/>
      <c r="I322" s="176" t="n"/>
      <c r="J322" s="176" t="n"/>
      <c r="K322" s="176" t="n"/>
      <c r="L322" s="176" t="n"/>
      <c r="M322" s="176" t="n"/>
      <c r="N322" s="176" t="n"/>
      <c r="O322" s="176" t="n"/>
      <c r="P322" s="176" t="n"/>
      <c r="Q322" s="176" t="n"/>
      <c r="R322" s="176" t="n"/>
      <c r="S322" s="176" t="n"/>
      <c r="T322" s="193" t="n"/>
      <c r="Y322" s="194" t="n"/>
      <c r="Z322" s="176" t="n"/>
      <c r="AA322" s="176" t="n"/>
      <c r="AB322" s="193" t="n"/>
      <c r="AG322" s="194" t="n"/>
      <c r="AH322" s="176" t="n"/>
      <c r="AI322" s="176" t="n"/>
      <c r="AJ322" s="176" t="n"/>
      <c r="AK322" s="176" t="n"/>
      <c r="AL322" s="176" t="n"/>
      <c r="AM322" s="176" t="n"/>
      <c r="AN322" s="176" t="n"/>
      <c r="AO322" s="176" t="n"/>
      <c r="AP322" s="176" t="n"/>
      <c r="AQ322" s="176" t="n"/>
      <c r="AR322" s="176" t="n"/>
      <c r="AS322" s="176" t="n"/>
      <c r="AT322" s="176" t="n"/>
      <c r="AU322" s="176" t="n"/>
      <c r="AV322" s="176" t="n"/>
      <c r="AW322" s="176" t="n"/>
      <c r="AX322" s="176" t="n"/>
      <c r="AY322" s="176" t="n"/>
      <c r="AZ322" s="176" t="n"/>
      <c r="BA322" s="176" t="n"/>
      <c r="BB322" s="176" t="n"/>
      <c r="BC322" s="176" t="n"/>
      <c r="BD322" s="176" t="n"/>
      <c r="BE322" s="176" t="n"/>
      <c r="BF322" s="176" t="n"/>
      <c r="BG322" s="176" t="n"/>
      <c r="BH322" s="176" t="n"/>
      <c r="BI322" s="176" t="n"/>
      <c r="BJ322" s="176" t="n"/>
      <c r="BK322" s="176" t="n"/>
      <c r="BL322" s="176" t="n"/>
      <c r="BM322" s="176" t="n"/>
      <c r="BN322" s="176" t="n"/>
      <c r="BO322" s="176" t="n"/>
      <c r="BP322" s="176" t="n"/>
      <c r="BQ322" s="176" t="n"/>
      <c r="BR322" s="176" t="n"/>
      <c r="BS322" s="176" t="n"/>
      <c r="BT322" s="176" t="n"/>
      <c r="BU322" s="176" t="n"/>
      <c r="BV322" s="176" t="n"/>
      <c r="BW322" s="176" t="n"/>
      <c r="BX322" s="176" t="n"/>
      <c r="BY322" s="176" t="n"/>
      <c r="BZ322" s="176" t="n"/>
      <c r="CA322" s="176" t="n"/>
      <c r="CB322" s="176" t="n"/>
      <c r="CC322" s="176" t="n"/>
      <c r="CD322" s="176" t="n"/>
      <c r="CE322" s="176" t="n"/>
      <c r="CF322" s="176" t="n"/>
      <c r="CG322" s="176" t="n"/>
      <c r="CH322" s="176" t="n"/>
      <c r="CI322" s="176" t="n"/>
      <c r="CJ322" s="176" t="n"/>
      <c r="CK322" s="176" t="n"/>
      <c r="CL322" s="176" t="n"/>
      <c r="CM322" s="176" t="n"/>
      <c r="CN322" s="176" t="n"/>
      <c r="CO322" s="176" t="n"/>
      <c r="CP322" s="176" t="n"/>
      <c r="CQ322" s="176" t="n"/>
      <c r="CR322" s="176" t="n"/>
      <c r="CS322" s="176" t="n"/>
      <c r="CT322" s="176" t="n"/>
      <c r="CU322" s="176" t="n"/>
      <c r="CV322" s="176" t="n"/>
      <c r="CW322" s="176" t="n"/>
      <c r="CX322" s="176" t="n"/>
      <c r="CY322" s="176" t="n"/>
      <c r="CZ322" s="176" t="n"/>
      <c r="DA322" s="176" t="n"/>
      <c r="DB322" s="176" t="n"/>
      <c r="DC322" s="176" t="n"/>
      <c r="DD322" s="176" t="n"/>
      <c r="DE322" s="176" t="n"/>
      <c r="DF322" s="176" t="n"/>
      <c r="DG322" s="176" t="n"/>
      <c r="DH322" s="176" t="n"/>
      <c r="DI322" s="176" t="n"/>
      <c r="DJ322" s="176" t="n"/>
      <c r="DK322" s="176" t="n"/>
      <c r="DL322" s="176" t="n"/>
      <c r="DM322" s="176" t="n"/>
      <c r="DN322" s="176" t="n"/>
      <c r="DO322" s="176" t="n"/>
      <c r="DP322" s="176" t="n"/>
      <c r="DQ322" s="176" t="n"/>
      <c r="DR322" s="181" t="inlineStr">
        <is>
          <t>NOME</t>
        </is>
      </c>
      <c r="DS322" s="182" t="n"/>
      <c r="DT322" s="182" t="n"/>
      <c r="DU322" s="182" t="n"/>
      <c r="DV322" s="182" t="n"/>
      <c r="DW322" s="183" t="n"/>
      <c r="DX322" s="176" t="n"/>
      <c r="DY322" s="176" t="n"/>
      <c r="DZ322" s="181" t="inlineStr">
        <is>
          <t>NOME</t>
        </is>
      </c>
      <c r="EA322" s="182" t="n"/>
      <c r="EB322" s="182" t="n"/>
      <c r="EC322" s="182" t="n"/>
      <c r="ED322" s="182" t="n"/>
      <c r="EE322" s="183" t="n"/>
      <c r="EF322" s="176" t="n"/>
      <c r="EG322" s="176" t="n"/>
      <c r="EH322" s="176" t="n"/>
      <c r="EI322" s="176" t="n"/>
      <c r="EJ322" s="176" t="n"/>
      <c r="EK322" s="176" t="n"/>
      <c r="EL322" s="176" t="n"/>
      <c r="EM322" s="176" t="n"/>
      <c r="EN322" s="176" t="n"/>
      <c r="EO322" s="176" t="n"/>
      <c r="EP322" s="176" t="n"/>
      <c r="EQ322" s="176" t="n"/>
      <c r="ER322" s="176" t="n"/>
      <c r="ES322" s="176" t="n"/>
      <c r="ET322" s="176" t="n"/>
      <c r="EU322" s="176" t="n"/>
      <c r="EV322" s="176" t="n"/>
      <c r="EW322" s="176" t="n"/>
      <c r="EX322" s="176" t="n"/>
      <c r="EY322" s="176" t="n"/>
      <c r="EZ322" s="176" t="n"/>
      <c r="FA322" s="176" t="n"/>
      <c r="FB322" s="176" t="n"/>
      <c r="FC322" s="176" t="n"/>
      <c r="FD322" s="176" t="n"/>
      <c r="FE322" s="176" t="n"/>
      <c r="FF322" s="176" t="n"/>
      <c r="FG322" s="176" t="n"/>
      <c r="FH322" s="176" t="n"/>
      <c r="FI322" s="176" t="n"/>
      <c r="FJ322" s="176" t="n"/>
      <c r="FK322" s="176" t="n"/>
      <c r="FL322" s="176" t="n"/>
      <c r="FM322" s="176" t="n"/>
      <c r="FN322" s="176" t="n"/>
      <c r="FO322" s="176" t="n"/>
      <c r="FP322" s="176" t="n"/>
      <c r="FQ322" s="176" t="n"/>
      <c r="FR322" s="176" t="n"/>
      <c r="FS322" s="176" t="n"/>
      <c r="FT322" s="176" t="n"/>
      <c r="FU322" s="176" t="n"/>
      <c r="FV322" s="176" t="n"/>
      <c r="FW322" s="176" t="n"/>
      <c r="FX322" s="176" t="n"/>
      <c r="FY322" s="176" t="n"/>
      <c r="FZ322" s="176" t="n"/>
      <c r="GA322" s="176" t="n"/>
      <c r="GB322" s="176" t="n"/>
      <c r="GC322" s="176" t="n"/>
      <c r="GD322" s="176" t="n"/>
      <c r="GE322" s="176" t="n"/>
      <c r="GF322" s="176" t="n"/>
      <c r="GG322" s="176" t="n"/>
      <c r="GH322" s="176" t="n"/>
      <c r="GI322" s="176" t="n"/>
      <c r="GJ322" s="176" t="n"/>
      <c r="GK322" s="176" t="n"/>
      <c r="GL322" s="176" t="n"/>
      <c r="GM322" s="176" t="n"/>
      <c r="GN322" s="176" t="n"/>
      <c r="GO322" s="176" t="n"/>
      <c r="GP322" s="176" t="n"/>
      <c r="GQ322" s="176" t="n"/>
      <c r="GR322" s="176" t="n"/>
      <c r="GS322" s="176" t="n"/>
      <c r="GT322" s="176" t="n"/>
      <c r="GU322" s="176" t="n"/>
      <c r="GV322" s="176" t="n"/>
      <c r="GW322" s="176" t="n"/>
      <c r="GX322" s="176" t="n"/>
      <c r="GY322" s="176" t="n"/>
      <c r="GZ322" s="176" t="n"/>
      <c r="HA322" s="176" t="n"/>
      <c r="HB322" s="176" t="n"/>
      <c r="HC322" s="176" t="n"/>
      <c r="HD322" s="176" t="n"/>
      <c r="HE322" s="176" t="n"/>
      <c r="HF322" s="176" t="n"/>
      <c r="HG322" s="176" t="n"/>
      <c r="HH322" s="176" t="n"/>
      <c r="HI322" s="176" t="n"/>
      <c r="HJ322" s="176" t="n"/>
      <c r="HK322" s="176" t="n"/>
      <c r="HL322" s="176" t="n"/>
      <c r="HM322" s="176" t="n"/>
      <c r="HN322" s="176" t="n"/>
      <c r="HO322" s="176" t="n"/>
      <c r="HP322" s="176" t="n"/>
      <c r="HQ322" s="176" t="n"/>
      <c r="HR322" s="176" t="n"/>
      <c r="HS322" s="176" t="n"/>
      <c r="HT322" s="176" t="n"/>
      <c r="HU322" s="176" t="n"/>
      <c r="HV322" s="176" t="n"/>
      <c r="HW322" s="176" t="n"/>
      <c r="HX322" s="176" t="n"/>
      <c r="HY322" s="176" t="n"/>
      <c r="HZ322" s="176" t="n"/>
      <c r="IA322" s="176" t="n"/>
      <c r="IB322" s="176" t="n"/>
      <c r="IC322" s="176" t="n"/>
      <c r="ID322" s="176" t="n"/>
    </row>
    <row r="323" ht="18.75" customHeight="1">
      <c r="A323" s="176" t="n"/>
      <c r="B323" s="176" t="n"/>
      <c r="C323" s="176" t="n"/>
      <c r="D323" s="176" t="n"/>
      <c r="E323" s="176" t="n"/>
      <c r="F323" s="176" t="n"/>
      <c r="G323" s="176" t="n"/>
      <c r="H323" s="176" t="n"/>
      <c r="I323" s="176" t="n"/>
      <c r="J323" s="176" t="n"/>
      <c r="K323" s="176" t="n"/>
      <c r="L323" s="176" t="n"/>
      <c r="M323" s="176" t="n"/>
      <c r="N323" s="176" t="n"/>
      <c r="O323" s="176" t="n"/>
      <c r="P323" s="176" t="n"/>
      <c r="Q323" s="176" t="n"/>
      <c r="R323" s="176" t="n"/>
      <c r="S323" s="176" t="n"/>
      <c r="T323" s="193" t="n"/>
      <c r="Y323" s="194" t="n"/>
      <c r="Z323" s="176" t="n"/>
      <c r="AA323" s="176" t="n"/>
      <c r="AB323" s="193" t="n"/>
      <c r="AG323" s="194" t="n"/>
      <c r="AH323" s="176" t="n"/>
      <c r="AI323" s="176" t="n"/>
      <c r="AJ323" s="176" t="n"/>
      <c r="AK323" s="176" t="n"/>
      <c r="AL323" s="176" t="n"/>
      <c r="AM323" s="176" t="n"/>
      <c r="AN323" s="176" t="n"/>
      <c r="AO323" s="176" t="n"/>
      <c r="AP323" s="176" t="n"/>
      <c r="AQ323" s="176" t="n"/>
      <c r="AR323" s="176" t="n"/>
      <c r="AS323" s="176" t="n"/>
      <c r="AT323" s="176" t="n"/>
      <c r="AU323" s="176" t="n"/>
      <c r="AV323" s="176" t="n"/>
      <c r="AW323" s="176" t="n"/>
      <c r="AX323" s="176" t="n"/>
      <c r="AY323" s="176" t="n"/>
      <c r="AZ323" s="176" t="n"/>
      <c r="BA323" s="176" t="n"/>
      <c r="BB323" s="176" t="n"/>
      <c r="BC323" s="176" t="n"/>
      <c r="BD323" s="176" t="n"/>
      <c r="BE323" s="176" t="n"/>
      <c r="BF323" s="176" t="n"/>
      <c r="BG323" s="176" t="n"/>
      <c r="BH323" s="176" t="n"/>
      <c r="BI323" s="176" t="n"/>
      <c r="BJ323" s="176" t="n"/>
      <c r="BK323" s="176" t="n"/>
      <c r="BL323" s="176" t="n"/>
      <c r="BM323" s="176" t="n"/>
      <c r="BN323" s="176" t="n"/>
      <c r="BO323" s="176" t="n"/>
      <c r="BP323" s="176" t="n"/>
      <c r="BQ323" s="176" t="n"/>
      <c r="BR323" s="176" t="n"/>
      <c r="BS323" s="176" t="n"/>
      <c r="BT323" s="176" t="n"/>
      <c r="BU323" s="176" t="n"/>
      <c r="BV323" s="176" t="n"/>
      <c r="BW323" s="176" t="n"/>
      <c r="BX323" s="176" t="n"/>
      <c r="BY323" s="176" t="n"/>
      <c r="BZ323" s="176" t="n"/>
      <c r="CA323" s="176" t="n"/>
      <c r="CB323" s="176" t="n"/>
      <c r="CC323" s="176" t="n"/>
      <c r="CD323" s="176" t="n"/>
      <c r="CE323" s="176" t="n"/>
      <c r="CF323" s="176" t="n"/>
      <c r="CG323" s="176" t="n"/>
      <c r="CH323" s="176" t="n"/>
      <c r="CI323" s="176" t="n"/>
      <c r="CJ323" s="176" t="n"/>
      <c r="CK323" s="176" t="n"/>
      <c r="CL323" s="176" t="n"/>
      <c r="CM323" s="176" t="n"/>
      <c r="CN323" s="176" t="n"/>
      <c r="CO323" s="176" t="n"/>
      <c r="CP323" s="176" t="n"/>
      <c r="CQ323" s="176" t="n"/>
      <c r="CR323" s="176" t="n"/>
      <c r="CS323" s="176" t="n"/>
      <c r="CT323" s="176" t="n"/>
      <c r="CU323" s="176" t="n"/>
      <c r="CV323" s="176" t="n"/>
      <c r="CW323" s="176" t="n"/>
      <c r="CX323" s="176" t="n"/>
      <c r="CY323" s="176" t="n"/>
      <c r="CZ323" s="176" t="n"/>
      <c r="DA323" s="179" t="inlineStr">
        <is>
          <t>MELHORIA · 25</t>
        </is>
      </c>
      <c r="DG323" s="176" t="n"/>
      <c r="DH323" s="176" t="n"/>
      <c r="DI323" s="179" t="inlineStr">
        <is>
          <t>MELHORIA · 26</t>
        </is>
      </c>
      <c r="DO323" s="176" t="n"/>
      <c r="DP323" s="176" t="n"/>
      <c r="DQ323" s="176" t="n"/>
      <c r="DR323" s="185" t="n"/>
      <c r="DS323" s="182" t="n"/>
      <c r="DT323" s="182" t="n"/>
      <c r="DU323" s="182" t="n"/>
      <c r="DV323" s="182" t="n"/>
      <c r="DW323" s="183" t="n"/>
      <c r="DX323" s="176" t="n"/>
      <c r="DY323" s="176" t="n"/>
      <c r="DZ323" s="185" t="n"/>
      <c r="EA323" s="182" t="n"/>
      <c r="EB323" s="182" t="n"/>
      <c r="EC323" s="182" t="n"/>
      <c r="ED323" s="182" t="n"/>
      <c r="EE323" s="183" t="n"/>
      <c r="EF323" s="176" t="n"/>
      <c r="EG323" s="176" t="n"/>
      <c r="EH323" s="176" t="n"/>
      <c r="EI323" s="176" t="n"/>
      <c r="EJ323" s="176" t="n"/>
      <c r="EK323" s="176" t="n"/>
      <c r="EL323" s="176" t="n"/>
      <c r="EM323" s="176" t="n"/>
      <c r="EN323" s="176" t="n"/>
      <c r="EO323" s="176" t="n"/>
      <c r="EP323" s="176" t="n"/>
      <c r="EQ323" s="176" t="n"/>
      <c r="ER323" s="176" t="n"/>
      <c r="ES323" s="176" t="n"/>
      <c r="ET323" s="176" t="n"/>
      <c r="EU323" s="176" t="n"/>
      <c r="EV323" s="176" t="n"/>
      <c r="EW323" s="176" t="n"/>
      <c r="EX323" s="176" t="n"/>
      <c r="EY323" s="176" t="n"/>
      <c r="EZ323" s="176" t="n"/>
      <c r="FA323" s="176" t="n"/>
      <c r="FB323" s="176" t="n"/>
      <c r="FC323" s="176" t="n"/>
      <c r="FD323" s="176" t="n"/>
      <c r="FE323" s="176" t="n"/>
      <c r="FF323" s="176" t="n"/>
      <c r="FG323" s="176" t="n"/>
      <c r="FH323" s="176" t="n"/>
      <c r="FI323" s="176" t="n"/>
      <c r="FJ323" s="176" t="n"/>
      <c r="FK323" s="176" t="n"/>
      <c r="FL323" s="176" t="n"/>
      <c r="FM323" s="176" t="n"/>
      <c r="FN323" s="176" t="n"/>
      <c r="FO323" s="176" t="n"/>
      <c r="FP323" s="176" t="n"/>
      <c r="FQ323" s="176" t="n"/>
      <c r="FR323" s="176" t="n"/>
      <c r="FS323" s="176" t="n"/>
      <c r="FT323" s="176" t="n"/>
      <c r="FU323" s="176" t="n"/>
      <c r="FV323" s="176" t="n"/>
      <c r="FW323" s="176" t="n"/>
      <c r="FX323" s="176" t="n"/>
      <c r="FY323" s="176" t="n"/>
      <c r="FZ323" s="176" t="n"/>
      <c r="GA323" s="176" t="n"/>
      <c r="GB323" s="176" t="n"/>
      <c r="GC323" s="176" t="n"/>
      <c r="GD323" s="176" t="n"/>
      <c r="GE323" s="176" t="n"/>
      <c r="GF323" s="176" t="n"/>
      <c r="GG323" s="176" t="n"/>
      <c r="GH323" s="176" t="n"/>
      <c r="GI323" s="176" t="n"/>
      <c r="GJ323" s="176" t="n"/>
      <c r="GK323" s="176" t="n"/>
      <c r="GL323" s="176" t="n"/>
      <c r="GM323" s="176" t="n"/>
      <c r="GN323" s="176" t="n"/>
      <c r="GO323" s="176" t="n"/>
      <c r="GP323" s="176" t="n"/>
      <c r="GQ323" s="176" t="n"/>
      <c r="GR323" s="176" t="n"/>
      <c r="GS323" s="176" t="n"/>
      <c r="GT323" s="176" t="n"/>
      <c r="GU323" s="176" t="n"/>
      <c r="GV323" s="176" t="n"/>
      <c r="GW323" s="176" t="n"/>
      <c r="GX323" s="176" t="n"/>
      <c r="GY323" s="176" t="n"/>
      <c r="GZ323" s="176" t="n"/>
      <c r="HA323" s="176" t="n"/>
      <c r="HB323" s="176" t="n"/>
      <c r="HC323" s="176" t="n"/>
      <c r="HD323" s="176" t="n"/>
      <c r="HE323" s="176" t="n"/>
      <c r="HF323" s="176" t="n"/>
      <c r="HG323" s="176" t="n"/>
      <c r="HH323" s="176" t="n"/>
      <c r="HI323" s="176" t="n"/>
      <c r="HJ323" s="176" t="n"/>
      <c r="HK323" s="176" t="n"/>
      <c r="HL323" s="176" t="n"/>
      <c r="HM323" s="176" t="n"/>
      <c r="HN323" s="176" t="n"/>
      <c r="HO323" s="176" t="n"/>
      <c r="HP323" s="176" t="n"/>
      <c r="HQ323" s="176" t="n"/>
      <c r="HR323" s="176" t="n"/>
      <c r="HS323" s="176" t="n"/>
      <c r="HT323" s="176" t="n"/>
      <c r="HU323" s="176" t="n"/>
      <c r="HV323" s="176" t="n"/>
      <c r="HW323" s="176" t="n"/>
      <c r="HX323" s="176" t="n"/>
      <c r="HY323" s="176" t="n"/>
      <c r="HZ323" s="176" t="n"/>
      <c r="IA323" s="176" t="n"/>
      <c r="IB323" s="176" t="n"/>
      <c r="IC323" s="176" t="n"/>
      <c r="ID323" s="176" t="n"/>
    </row>
    <row r="324" ht="18.75" customHeight="1">
      <c r="A324" s="176" t="n"/>
      <c r="B324" s="176" t="n"/>
      <c r="C324" s="176" t="n"/>
      <c r="D324" s="176" t="n"/>
      <c r="E324" s="176" t="n"/>
      <c r="F324" s="176" t="n"/>
      <c r="G324" s="176" t="n"/>
      <c r="H324" s="176" t="n"/>
      <c r="I324" s="176" t="n"/>
      <c r="J324" s="176" t="n"/>
      <c r="K324" s="176" t="n"/>
      <c r="L324" s="176" t="n"/>
      <c r="M324" s="176" t="n"/>
      <c r="N324" s="176" t="n"/>
      <c r="O324" s="176" t="n"/>
      <c r="P324" s="176" t="n"/>
      <c r="Q324" s="176" t="n"/>
      <c r="R324" s="176" t="n"/>
      <c r="S324" s="176" t="n"/>
      <c r="T324" s="193" t="n"/>
      <c r="Y324" s="194" t="n"/>
      <c r="Z324" s="176" t="n"/>
      <c r="AA324" s="176" t="n"/>
      <c r="AB324" s="193" t="n"/>
      <c r="AG324" s="194" t="n"/>
      <c r="AH324" s="176" t="n"/>
      <c r="AI324" s="176" t="n"/>
      <c r="AJ324" s="176" t="n"/>
      <c r="AK324" s="176" t="n"/>
      <c r="AL324" s="176" t="n"/>
      <c r="AM324" s="176" t="n"/>
      <c r="AN324" s="176" t="n"/>
      <c r="AO324" s="176" t="n"/>
      <c r="AP324" s="176" t="n"/>
      <c r="AQ324" s="176" t="n"/>
      <c r="AR324" s="176" t="n"/>
      <c r="AS324" s="176" t="n"/>
      <c r="AT324" s="176" t="n"/>
      <c r="AU324" s="176" t="n"/>
      <c r="AV324" s="176" t="n"/>
      <c r="AW324" s="176" t="n"/>
      <c r="AX324" s="176" t="n"/>
      <c r="AY324" s="176" t="n"/>
      <c r="AZ324" s="176" t="n"/>
      <c r="BA324" s="176" t="n"/>
      <c r="BB324" s="176" t="n"/>
      <c r="BC324" s="176" t="n"/>
      <c r="BD324" s="176" t="n"/>
      <c r="BE324" s="176" t="n"/>
      <c r="BF324" s="176" t="n"/>
      <c r="BG324" s="176" t="n"/>
      <c r="BH324" s="176" t="n"/>
      <c r="BI324" s="176" t="n"/>
      <c r="BJ324" s="176" t="n"/>
      <c r="BK324" s="176" t="n"/>
      <c r="BL324" s="176" t="n"/>
      <c r="BM324" s="176" t="n"/>
      <c r="BN324" s="176" t="n"/>
      <c r="BO324" s="176" t="n"/>
      <c r="BP324" s="176" t="n"/>
      <c r="BQ324" s="176" t="n"/>
      <c r="BR324" s="176" t="n"/>
      <c r="BS324" s="176" t="n"/>
      <c r="BT324" s="176" t="n"/>
      <c r="BU324" s="176" t="n"/>
      <c r="BV324" s="176" t="n"/>
      <c r="BW324" s="176" t="n"/>
      <c r="BX324" s="176" t="n"/>
      <c r="BY324" s="176" t="n"/>
      <c r="BZ324" s="176" t="n"/>
      <c r="CA324" s="176" t="n"/>
      <c r="CB324" s="176" t="n"/>
      <c r="CC324" s="176" t="n"/>
      <c r="CD324" s="176" t="n"/>
      <c r="CE324" s="176" t="n"/>
      <c r="CF324" s="176" t="n"/>
      <c r="CG324" s="176" t="n"/>
      <c r="CH324" s="176" t="n"/>
      <c r="CI324" s="176" t="n"/>
      <c r="CJ324" s="176" t="n"/>
      <c r="CK324" s="176" t="n"/>
      <c r="CL324" s="176" t="n"/>
      <c r="CM324" s="176" t="n"/>
      <c r="CN324" s="176" t="n"/>
      <c r="CO324" s="176" t="n"/>
      <c r="CP324" s="176" t="n"/>
      <c r="CQ324" s="176" t="n"/>
      <c r="CR324" s="176" t="n"/>
      <c r="CS324" s="176" t="n"/>
      <c r="CT324" s="176" t="n"/>
      <c r="CU324" s="176" t="n"/>
      <c r="CV324" s="176" t="n"/>
      <c r="CW324" s="176" t="n"/>
      <c r="CX324" s="176" t="n"/>
      <c r="CY324" s="176" t="n"/>
      <c r="CZ324" s="176" t="n"/>
      <c r="DA324" s="181" t="inlineStr">
        <is>
          <t>TIPO</t>
        </is>
      </c>
      <c r="DB324" s="182" t="n"/>
      <c r="DC324" s="182" t="n"/>
      <c r="DD324" s="183" t="n"/>
      <c r="DE324" s="181" t="inlineStr">
        <is>
          <t>MESTRE VIU</t>
        </is>
      </c>
      <c r="DF324" s="183" t="n"/>
      <c r="DG324" s="176" t="n"/>
      <c r="DH324" s="176" t="n"/>
      <c r="DI324" s="181" t="inlineStr">
        <is>
          <t>TIPO</t>
        </is>
      </c>
      <c r="DJ324" s="182" t="n"/>
      <c r="DK324" s="182" t="n"/>
      <c r="DL324" s="183" t="n"/>
      <c r="DM324" s="181" t="inlineStr">
        <is>
          <t>MESTRE VIU</t>
        </is>
      </c>
      <c r="DN324" s="183" t="n"/>
      <c r="DO324" s="176" t="n"/>
      <c r="DP324" s="176" t="n"/>
      <c r="DQ324" s="176" t="n"/>
      <c r="DR324" s="181" t="inlineStr">
        <is>
          <t>BASE DO LIVRO</t>
        </is>
      </c>
      <c r="DS324" s="182" t="n"/>
      <c r="DT324" s="183" t="n"/>
      <c r="DU324" s="185" t="inlineStr">
        <is>
          <t>Nenhuma</t>
        </is>
      </c>
      <c r="DV324" s="182" t="n"/>
      <c r="DW324" s="183" t="n"/>
      <c r="DX324" s="176" t="n"/>
      <c r="DY324" s="176" t="n"/>
      <c r="DZ324" s="181" t="inlineStr">
        <is>
          <t>BASE DO LIVRO</t>
        </is>
      </c>
      <c r="EA324" s="182" t="n"/>
      <c r="EB324" s="183" t="n"/>
      <c r="EC324" s="185" t="inlineStr">
        <is>
          <t>Nenhuma</t>
        </is>
      </c>
      <c r="ED324" s="182" t="n"/>
      <c r="EE324" s="183" t="n"/>
      <c r="EF324" s="176" t="n"/>
      <c r="EG324" s="176" t="n"/>
      <c r="EH324" s="176" t="n"/>
      <c r="EI324" s="176" t="n"/>
      <c r="EJ324" s="176" t="n"/>
      <c r="EK324" s="176" t="n"/>
      <c r="EL324" s="176" t="n"/>
      <c r="EM324" s="176" t="n"/>
      <c r="EN324" s="176" t="n"/>
      <c r="EO324" s="176" t="n"/>
      <c r="EP324" s="176" t="n"/>
      <c r="EQ324" s="176" t="n"/>
      <c r="ER324" s="176" t="n"/>
      <c r="ES324" s="176" t="n"/>
      <c r="ET324" s="176" t="n"/>
      <c r="EU324" s="176" t="n"/>
      <c r="EV324" s="176" t="n"/>
      <c r="EW324" s="176" t="n"/>
      <c r="EX324" s="176" t="n"/>
      <c r="EY324" s="176" t="n"/>
      <c r="EZ324" s="176" t="n"/>
      <c r="FA324" s="176" t="n"/>
      <c r="FB324" s="176" t="n"/>
      <c r="FC324" s="176" t="n"/>
      <c r="FD324" s="176" t="n"/>
      <c r="FE324" s="176" t="n"/>
      <c r="FF324" s="176" t="n"/>
      <c r="FG324" s="176" t="n"/>
      <c r="FH324" s="176" t="n"/>
      <c r="FI324" s="176" t="n"/>
      <c r="FJ324" s="176" t="n"/>
      <c r="FK324" s="176" t="n"/>
      <c r="FL324" s="176" t="n"/>
      <c r="FM324" s="176" t="n"/>
      <c r="FN324" s="176" t="n"/>
      <c r="FO324" s="176" t="n"/>
      <c r="FP324" s="176" t="n"/>
      <c r="FQ324" s="176" t="n"/>
      <c r="FR324" s="176" t="n"/>
      <c r="FS324" s="176" t="n"/>
      <c r="FT324" s="176" t="n"/>
      <c r="FU324" s="176" t="n"/>
      <c r="FV324" s="176" t="n"/>
      <c r="FW324" s="176" t="n"/>
      <c r="FX324" s="176" t="n"/>
      <c r="FY324" s="176" t="n"/>
      <c r="FZ324" s="176" t="n"/>
      <c r="GA324" s="176" t="n"/>
      <c r="GB324" s="176" t="n"/>
      <c r="GC324" s="176" t="n"/>
      <c r="GD324" s="176" t="n"/>
      <c r="GE324" s="176" t="n"/>
      <c r="GF324" s="176" t="n"/>
      <c r="GG324" s="176" t="n"/>
      <c r="GH324" s="176" t="n"/>
      <c r="GI324" s="176" t="n"/>
      <c r="GJ324" s="176" t="n"/>
      <c r="GK324" s="176" t="n"/>
      <c r="GL324" s="176" t="n"/>
      <c r="GM324" s="176" t="n"/>
      <c r="GN324" s="176" t="n"/>
      <c r="GO324" s="176" t="n"/>
      <c r="GP324" s="176" t="n"/>
      <c r="GQ324" s="176" t="n"/>
      <c r="GR324" s="176" t="n"/>
      <c r="GS324" s="176" t="n"/>
      <c r="GT324" s="176" t="n"/>
      <c r="GU324" s="176" t="n"/>
      <c r="GV324" s="176" t="n"/>
      <c r="GW324" s="176" t="n"/>
      <c r="GX324" s="176" t="n"/>
      <c r="GY324" s="176" t="n"/>
      <c r="GZ324" s="176" t="n"/>
      <c r="HA324" s="176" t="n"/>
      <c r="HB324" s="176" t="n"/>
      <c r="HC324" s="176" t="n"/>
      <c r="HD324" s="176" t="n"/>
      <c r="HE324" s="176" t="n"/>
      <c r="HF324" s="176" t="n"/>
      <c r="HG324" s="176" t="n"/>
      <c r="HH324" s="176" t="n"/>
      <c r="HI324" s="176" t="n"/>
      <c r="HJ324" s="176" t="n"/>
      <c r="HK324" s="176" t="n"/>
      <c r="HL324" s="176" t="n"/>
      <c r="HM324" s="176" t="n"/>
      <c r="HN324" s="176" t="n"/>
      <c r="HO324" s="176" t="n"/>
      <c r="HP324" s="176" t="n"/>
      <c r="HQ324" s="176" t="n"/>
      <c r="HR324" s="176" t="n"/>
      <c r="HS324" s="176" t="n"/>
      <c r="HT324" s="176" t="n"/>
      <c r="HU324" s="176" t="n"/>
      <c r="HV324" s="176" t="n"/>
      <c r="HW324" s="176" t="n"/>
      <c r="HX324" s="176" t="n"/>
      <c r="HY324" s="176" t="n"/>
      <c r="HZ324" s="176" t="n"/>
      <c r="IA324" s="176" t="n"/>
      <c r="IB324" s="176" t="n"/>
      <c r="IC324" s="176" t="n"/>
      <c r="ID324" s="176" t="n"/>
    </row>
    <row r="325" ht="18.75" customHeight="1">
      <c r="A325" s="176" t="n"/>
      <c r="B325" s="176" t="n"/>
      <c r="C325" s="176" t="n"/>
      <c r="D325" s="176" t="n"/>
      <c r="E325" s="176" t="n"/>
      <c r="F325" s="176" t="n"/>
      <c r="G325" s="176" t="n"/>
      <c r="H325" s="176" t="n"/>
      <c r="I325" s="176" t="n"/>
      <c r="J325" s="176" t="n"/>
      <c r="K325" s="176" t="n"/>
      <c r="L325" s="176" t="n"/>
      <c r="M325" s="176" t="n"/>
      <c r="N325" s="176" t="n"/>
      <c r="O325" s="176" t="n"/>
      <c r="P325" s="176" t="n"/>
      <c r="Q325" s="176" t="n"/>
      <c r="R325" s="176" t="n"/>
      <c r="S325" s="176" t="n"/>
      <c r="T325" s="189" t="n"/>
      <c r="U325" s="190" t="n"/>
      <c r="V325" s="190" t="n"/>
      <c r="W325" s="190" t="n"/>
      <c r="X325" s="190" t="n"/>
      <c r="Y325" s="191" t="n"/>
      <c r="Z325" s="176" t="n"/>
      <c r="AA325" s="176" t="n"/>
      <c r="AB325" s="189" t="n"/>
      <c r="AC325" s="190" t="n"/>
      <c r="AD325" s="190" t="n"/>
      <c r="AE325" s="190" t="n"/>
      <c r="AF325" s="190" t="n"/>
      <c r="AG325" s="191" t="n"/>
      <c r="AH325" s="176" t="n"/>
      <c r="AI325" s="176" t="n"/>
      <c r="AJ325" s="176" t="n"/>
      <c r="AK325" s="176" t="n"/>
      <c r="AL325" s="176" t="n"/>
      <c r="AM325" s="176" t="n"/>
      <c r="AN325" s="176" t="n"/>
      <c r="AO325" s="176" t="n"/>
      <c r="AP325" s="176" t="n"/>
      <c r="AQ325" s="176" t="n"/>
      <c r="AR325" s="176" t="n"/>
      <c r="AS325" s="176" t="n"/>
      <c r="AT325" s="176" t="n"/>
      <c r="AU325" s="176" t="n"/>
      <c r="AV325" s="176" t="n"/>
      <c r="AW325" s="176" t="n"/>
      <c r="AX325" s="176" t="n"/>
      <c r="AY325" s="176" t="n"/>
      <c r="AZ325" s="176" t="n"/>
      <c r="BA325" s="176" t="n"/>
      <c r="BB325" s="176" t="n"/>
      <c r="BC325" s="176" t="n"/>
      <c r="BD325" s="176" t="n"/>
      <c r="BE325" s="176" t="n"/>
      <c r="BF325" s="176" t="n"/>
      <c r="BG325" s="176" t="n"/>
      <c r="BH325" s="176" t="n"/>
      <c r="BI325" s="176" t="n"/>
      <c r="BJ325" s="176" t="n"/>
      <c r="BK325" s="176" t="n"/>
      <c r="BL325" s="176" t="n"/>
      <c r="BM325" s="176" t="n"/>
      <c r="BN325" s="176" t="n"/>
      <c r="BO325" s="176" t="n"/>
      <c r="BP325" s="176" t="n"/>
      <c r="BQ325" s="176" t="n"/>
      <c r="BR325" s="176" t="n"/>
      <c r="BS325" s="176" t="n"/>
      <c r="BT325" s="176" t="n"/>
      <c r="BU325" s="176" t="n"/>
      <c r="BV325" s="176" t="n"/>
      <c r="BW325" s="176" t="n"/>
      <c r="BX325" s="176" t="n"/>
      <c r="BY325" s="176" t="n"/>
      <c r="BZ325" s="176" t="n"/>
      <c r="CA325" s="176" t="n"/>
      <c r="CB325" s="176" t="n"/>
      <c r="CC325" s="176" t="n"/>
      <c r="CD325" s="176" t="n"/>
      <c r="CE325" s="176" t="n"/>
      <c r="CF325" s="176" t="n"/>
      <c r="CG325" s="176" t="n"/>
      <c r="CH325" s="176" t="n"/>
      <c r="CI325" s="176" t="n"/>
      <c r="CJ325" s="176" t="n"/>
      <c r="CK325" s="176" t="n"/>
      <c r="CL325" s="176" t="n"/>
      <c r="CM325" s="176" t="n"/>
      <c r="CN325" s="176" t="n"/>
      <c r="CO325" s="176" t="n"/>
      <c r="CP325" s="176" t="n"/>
      <c r="CQ325" s="176" t="n"/>
      <c r="CR325" s="176" t="n"/>
      <c r="CS325" s="176" t="n"/>
      <c r="CT325" s="176" t="n"/>
      <c r="CU325" s="176" t="n"/>
      <c r="CV325" s="176" t="n"/>
      <c r="CW325" s="176" t="n"/>
      <c r="CX325" s="176" t="n"/>
      <c r="CY325" s="176" t="n"/>
      <c r="CZ325" s="176" t="n"/>
      <c r="DA325" s="185" t="inlineStr">
        <is>
          <t>Melhoria</t>
        </is>
      </c>
      <c r="DB325" s="182" t="n"/>
      <c r="DC325" s="182" t="n"/>
      <c r="DD325" s="183" t="n"/>
      <c r="DE325" s="184" t="b">
        <v>0</v>
      </c>
      <c r="DF325" s="183" t="n"/>
      <c r="DG325" s="176" t="n"/>
      <c r="DH325" s="176" t="n"/>
      <c r="DI325" s="185" t="inlineStr">
        <is>
          <t>Melhoria</t>
        </is>
      </c>
      <c r="DJ325" s="182" t="n"/>
      <c r="DK325" s="182" t="n"/>
      <c r="DL325" s="183" t="n"/>
      <c r="DM325" s="184" t="b">
        <v>0</v>
      </c>
      <c r="DN325" s="183" t="n"/>
      <c r="DO325" s="176" t="n"/>
      <c r="DP325" s="176" t="n"/>
      <c r="DQ325" s="176" t="n"/>
      <c r="DR325" s="181" t="inlineStr">
        <is>
          <t>DEVOLUÇÃO</t>
        </is>
      </c>
      <c r="DS325" s="182" t="n"/>
      <c r="DT325" s="183" t="n"/>
      <c r="DU325" s="185" t="n"/>
      <c r="DV325" s="182" t="n"/>
      <c r="DW325" s="183" t="n"/>
      <c r="DX325" s="176" t="n"/>
      <c r="DY325" s="176" t="n"/>
      <c r="DZ325" s="181" t="inlineStr">
        <is>
          <t>DEVOLUÇÃO</t>
        </is>
      </c>
      <c r="EA325" s="182" t="n"/>
      <c r="EB325" s="183" t="n"/>
      <c r="EC325" s="185" t="n"/>
      <c r="ED325" s="182" t="n"/>
      <c r="EE325" s="183" t="n"/>
      <c r="EF325" s="176" t="n"/>
      <c r="EG325" s="176" t="n"/>
      <c r="EH325" s="176" t="n"/>
      <c r="EI325" s="176" t="n"/>
      <c r="EJ325" s="176" t="n"/>
      <c r="EK325" s="176" t="n"/>
      <c r="EL325" s="176" t="n"/>
      <c r="EM325" s="176" t="n"/>
      <c r="EN325" s="176" t="n"/>
      <c r="EO325" s="176" t="n"/>
      <c r="EP325" s="176" t="n"/>
      <c r="EQ325" s="176" t="n"/>
      <c r="ER325" s="176" t="n"/>
      <c r="ES325" s="176" t="n"/>
      <c r="ET325" s="176" t="n"/>
      <c r="EU325" s="176" t="n"/>
      <c r="EV325" s="176" t="n"/>
      <c r="EW325" s="176" t="n"/>
      <c r="EX325" s="176" t="n"/>
      <c r="EY325" s="176" t="n"/>
      <c r="EZ325" s="176" t="n"/>
      <c r="FA325" s="176" t="n"/>
      <c r="FB325" s="176" t="n"/>
      <c r="FC325" s="176" t="n"/>
      <c r="FD325" s="176" t="n"/>
      <c r="FE325" s="176" t="n"/>
      <c r="FF325" s="176" t="n"/>
      <c r="FG325" s="176" t="n"/>
      <c r="FH325" s="176" t="n"/>
      <c r="FI325" s="176" t="n"/>
      <c r="FJ325" s="176" t="n"/>
      <c r="FK325" s="176" t="n"/>
      <c r="FL325" s="176" t="n"/>
      <c r="FM325" s="176" t="n"/>
      <c r="FN325" s="176" t="n"/>
      <c r="FO325" s="176" t="n"/>
      <c r="FP325" s="176" t="n"/>
      <c r="FQ325" s="176" t="n"/>
      <c r="FR325" s="176" t="n"/>
      <c r="FS325" s="176" t="n"/>
      <c r="FT325" s="176" t="n"/>
      <c r="FU325" s="176" t="n"/>
      <c r="FV325" s="176" t="n"/>
      <c r="FW325" s="176" t="n"/>
      <c r="FX325" s="176" t="n"/>
      <c r="FY325" s="176" t="n"/>
      <c r="FZ325" s="176" t="n"/>
      <c r="GA325" s="176" t="n"/>
      <c r="GB325" s="176" t="n"/>
      <c r="GC325" s="176" t="n"/>
      <c r="GD325" s="176" t="n"/>
      <c r="GE325" s="176" t="n"/>
      <c r="GF325" s="176" t="n"/>
      <c r="GG325" s="176" t="n"/>
      <c r="GH325" s="176" t="n"/>
      <c r="GI325" s="176" t="n"/>
      <c r="GJ325" s="176" t="n"/>
      <c r="GK325" s="176" t="n"/>
      <c r="GL325" s="176" t="n"/>
      <c r="GM325" s="176" t="n"/>
      <c r="GN325" s="176" t="n"/>
      <c r="GO325" s="176" t="n"/>
      <c r="GP325" s="176" t="n"/>
      <c r="GQ325" s="176" t="n"/>
      <c r="GR325" s="176" t="n"/>
      <c r="GS325" s="176" t="n"/>
      <c r="GT325" s="176" t="n"/>
      <c r="GU325" s="176" t="n"/>
      <c r="GV325" s="176" t="n"/>
      <c r="GW325" s="176" t="n"/>
      <c r="GX325" s="176" t="n"/>
      <c r="GY325" s="176" t="n"/>
      <c r="GZ325" s="176" t="n"/>
      <c r="HA325" s="176" t="n"/>
      <c r="HB325" s="176" t="n"/>
      <c r="HC325" s="176" t="n"/>
      <c r="HD325" s="176" t="n"/>
      <c r="HE325" s="176" t="n"/>
      <c r="HF325" s="176" t="n"/>
      <c r="HG325" s="176" t="n"/>
      <c r="HH325" s="176" t="n"/>
      <c r="HI325" s="176" t="n"/>
      <c r="HJ325" s="176" t="n"/>
      <c r="HK325" s="176" t="n"/>
      <c r="HL325" s="176" t="n"/>
      <c r="HM325" s="176" t="n"/>
      <c r="HN325" s="176" t="n"/>
      <c r="HO325" s="176" t="n"/>
      <c r="HP325" s="176" t="n"/>
      <c r="HQ325" s="176" t="n"/>
      <c r="HR325" s="176" t="n"/>
      <c r="HS325" s="176" t="n"/>
      <c r="HT325" s="176" t="n"/>
      <c r="HU325" s="176" t="n"/>
      <c r="HV325" s="176" t="n"/>
      <c r="HW325" s="176" t="n"/>
      <c r="HX325" s="176" t="n"/>
      <c r="HY325" s="176" t="n"/>
      <c r="HZ325" s="176" t="n"/>
      <c r="IA325" s="176" t="n"/>
      <c r="IB325" s="176" t="n"/>
      <c r="IC325" s="176" t="n"/>
      <c r="ID325" s="176" t="n"/>
    </row>
    <row r="326" ht="18.75" customHeight="1">
      <c r="A326" s="176" t="n"/>
      <c r="B326" s="176" t="n"/>
      <c r="C326" s="176" t="n"/>
      <c r="D326" s="176" t="n"/>
      <c r="E326" s="176" t="n"/>
      <c r="F326" s="176" t="n"/>
      <c r="G326" s="176" t="n"/>
      <c r="H326" s="176" t="n"/>
      <c r="I326" s="176" t="n"/>
      <c r="J326" s="176" t="n"/>
      <c r="K326" s="176" t="n"/>
      <c r="L326" s="176" t="n"/>
      <c r="M326" s="176" t="n"/>
      <c r="N326" s="176" t="n"/>
      <c r="O326" s="176" t="n"/>
      <c r="P326" s="176" t="n"/>
      <c r="Q326" s="176" t="n"/>
      <c r="R326" s="176" t="n"/>
      <c r="S326" s="176" t="n"/>
      <c r="T326" s="180">
        <f>IF('DADOS_CUSTOM'!$S$22="","Revise os valores ao trocar o tipo.","⚠ "&amp;'DADOS_CUSTOM'!$S$22)</f>
        <v/>
      </c>
      <c r="Z326" s="176" t="n"/>
      <c r="AA326" s="176" t="n"/>
      <c r="AB326" s="180">
        <f>IF('DADOS_CUSTOM'!$S$23="","Revise os valores ao trocar o tipo.","⚠ "&amp;'DADOS_CUSTOM'!$S$23)</f>
        <v/>
      </c>
      <c r="AH326" s="176" t="n"/>
      <c r="AI326" s="176" t="n"/>
      <c r="AJ326" s="176" t="n"/>
      <c r="AK326" s="176" t="n"/>
      <c r="AL326" s="176" t="n"/>
      <c r="AM326" s="176" t="n"/>
      <c r="AN326" s="176" t="n"/>
      <c r="AO326" s="176" t="n"/>
      <c r="AP326" s="176" t="n"/>
      <c r="AQ326" s="176" t="n"/>
      <c r="AR326" s="176" t="n"/>
      <c r="AS326" s="176" t="n"/>
      <c r="AT326" s="176" t="n"/>
      <c r="AU326" s="176" t="n"/>
      <c r="AV326" s="176" t="n"/>
      <c r="AW326" s="176" t="n"/>
      <c r="AX326" s="176" t="n"/>
      <c r="AY326" s="176" t="n"/>
      <c r="AZ326" s="176" t="n"/>
      <c r="BA326" s="176" t="n"/>
      <c r="BB326" s="176" t="n"/>
      <c r="BC326" s="176" t="n"/>
      <c r="BD326" s="176" t="n"/>
      <c r="BE326" s="176" t="n"/>
      <c r="BF326" s="176" t="n"/>
      <c r="BG326" s="176" t="n"/>
      <c r="BH326" s="176" t="n"/>
      <c r="BI326" s="176" t="n"/>
      <c r="BJ326" s="176" t="n"/>
      <c r="BK326" s="176" t="n"/>
      <c r="BL326" s="176" t="n"/>
      <c r="BM326" s="176" t="n"/>
      <c r="BN326" s="176" t="n"/>
      <c r="BO326" s="176" t="n"/>
      <c r="BP326" s="176" t="n"/>
      <c r="BQ326" s="176" t="n"/>
      <c r="BR326" s="176" t="n"/>
      <c r="BS326" s="176" t="n"/>
      <c r="BT326" s="176" t="n"/>
      <c r="BU326" s="176" t="n"/>
      <c r="BV326" s="176" t="n"/>
      <c r="BW326" s="176" t="n"/>
      <c r="BX326" s="176" t="n"/>
      <c r="BY326" s="176" t="n"/>
      <c r="BZ326" s="176" t="n"/>
      <c r="CA326" s="176" t="n"/>
      <c r="CB326" s="176" t="n"/>
      <c r="CC326" s="176" t="n"/>
      <c r="CD326" s="176" t="n"/>
      <c r="CE326" s="176" t="n"/>
      <c r="CF326" s="176" t="n"/>
      <c r="CG326" s="176" t="n"/>
      <c r="CH326" s="176" t="n"/>
      <c r="CI326" s="176" t="n"/>
      <c r="CJ326" s="176" t="n"/>
      <c r="CK326" s="176" t="n"/>
      <c r="CL326" s="176" t="n"/>
      <c r="CM326" s="176" t="n"/>
      <c r="CN326" s="176" t="n"/>
      <c r="CO326" s="176" t="n"/>
      <c r="CP326" s="176" t="n"/>
      <c r="CQ326" s="176" t="n"/>
      <c r="CR326" s="176" t="n"/>
      <c r="CS326" s="176" t="n"/>
      <c r="CT326" s="176" t="n"/>
      <c r="CU326" s="176" t="n"/>
      <c r="CV326" s="176" t="n"/>
      <c r="CW326" s="176" t="n"/>
      <c r="CX326" s="176" t="n"/>
      <c r="CY326" s="176" t="n"/>
      <c r="CZ326" s="176" t="n"/>
      <c r="DA326" s="181" t="inlineStr">
        <is>
          <t>NOME</t>
        </is>
      </c>
      <c r="DB326" s="182" t="n"/>
      <c r="DC326" s="182" t="n"/>
      <c r="DD326" s="182" t="n"/>
      <c r="DE326" s="182" t="n"/>
      <c r="DF326" s="183" t="n"/>
      <c r="DG326" s="176" t="n"/>
      <c r="DH326" s="176" t="n"/>
      <c r="DI326" s="181" t="inlineStr">
        <is>
          <t>NOME</t>
        </is>
      </c>
      <c r="DJ326" s="182" t="n"/>
      <c r="DK326" s="182" t="n"/>
      <c r="DL326" s="182" t="n"/>
      <c r="DM326" s="182" t="n"/>
      <c r="DN326" s="183" t="n"/>
      <c r="DO326" s="176" t="n"/>
      <c r="DP326" s="176" t="n"/>
      <c r="DQ326" s="176" t="n"/>
      <c r="DR326" s="181" t="inlineStr">
        <is>
          <t>FREQUÊNCIA</t>
        </is>
      </c>
      <c r="DS326" s="182" t="n"/>
      <c r="DT326" s="183" t="n"/>
      <c r="DU326" s="185" t="n"/>
      <c r="DV326" s="182" t="n"/>
      <c r="DW326" s="183" t="n"/>
      <c r="DX326" s="176" t="n"/>
      <c r="DY326" s="176" t="n"/>
      <c r="DZ326" s="181" t="inlineStr">
        <is>
          <t>FREQUÊNCIA</t>
        </is>
      </c>
      <c r="EA326" s="182" t="n"/>
      <c r="EB326" s="183" t="n"/>
      <c r="EC326" s="185" t="n"/>
      <c r="ED326" s="182" t="n"/>
      <c r="EE326" s="183" t="n"/>
      <c r="EF326" s="176" t="n"/>
      <c r="EG326" s="176" t="n"/>
      <c r="EH326" s="176" t="n"/>
      <c r="EI326" s="176" t="n"/>
      <c r="EJ326" s="176" t="n"/>
      <c r="EK326" s="176" t="n"/>
      <c r="EL326" s="176" t="n"/>
      <c r="EM326" s="176" t="n"/>
      <c r="EN326" s="176" t="n"/>
      <c r="EO326" s="176" t="n"/>
      <c r="EP326" s="176" t="n"/>
      <c r="EQ326" s="176" t="n"/>
      <c r="ER326" s="176" t="n"/>
      <c r="ES326" s="176" t="n"/>
      <c r="ET326" s="176" t="n"/>
      <c r="EU326" s="176" t="n"/>
      <c r="EV326" s="176" t="n"/>
      <c r="EW326" s="176" t="n"/>
      <c r="EX326" s="176" t="n"/>
      <c r="EY326" s="176" t="n"/>
      <c r="EZ326" s="176" t="n"/>
      <c r="FA326" s="176" t="n"/>
      <c r="FB326" s="176" t="n"/>
      <c r="FC326" s="176" t="n"/>
      <c r="FD326" s="176" t="n"/>
      <c r="FE326" s="176" t="n"/>
      <c r="FF326" s="176" t="n"/>
      <c r="FG326" s="176" t="n"/>
      <c r="FH326" s="176" t="n"/>
      <c r="FI326" s="176" t="n"/>
      <c r="FJ326" s="176" t="n"/>
      <c r="FK326" s="176" t="n"/>
      <c r="FL326" s="176" t="n"/>
      <c r="FM326" s="176" t="n"/>
      <c r="FN326" s="176" t="n"/>
      <c r="FO326" s="176" t="n"/>
      <c r="FP326" s="176" t="n"/>
      <c r="FQ326" s="176" t="n"/>
      <c r="FR326" s="176" t="n"/>
      <c r="FS326" s="176" t="n"/>
      <c r="FT326" s="176" t="n"/>
      <c r="FU326" s="176" t="n"/>
      <c r="FV326" s="176" t="n"/>
      <c r="FW326" s="176" t="n"/>
      <c r="FX326" s="176" t="n"/>
      <c r="FY326" s="176" t="n"/>
      <c r="FZ326" s="176" t="n"/>
      <c r="GA326" s="176" t="n"/>
      <c r="GB326" s="176" t="n"/>
      <c r="GC326" s="176" t="n"/>
      <c r="GD326" s="176" t="n"/>
      <c r="GE326" s="176" t="n"/>
      <c r="GF326" s="176" t="n"/>
      <c r="GG326" s="176" t="n"/>
      <c r="GH326" s="176" t="n"/>
      <c r="GI326" s="176" t="n"/>
      <c r="GJ326" s="176" t="n"/>
      <c r="GK326" s="176" t="n"/>
      <c r="GL326" s="176" t="n"/>
      <c r="GM326" s="176" t="n"/>
      <c r="GN326" s="176" t="n"/>
      <c r="GO326" s="176" t="n"/>
      <c r="GP326" s="176" t="n"/>
      <c r="GQ326" s="176" t="n"/>
      <c r="GR326" s="176" t="n"/>
      <c r="GS326" s="176" t="n"/>
      <c r="GT326" s="176" t="n"/>
      <c r="GU326" s="176" t="n"/>
      <c r="GV326" s="176" t="n"/>
      <c r="GW326" s="176" t="n"/>
      <c r="GX326" s="176" t="n"/>
      <c r="GY326" s="176" t="n"/>
      <c r="GZ326" s="176" t="n"/>
      <c r="HA326" s="176" t="n"/>
      <c r="HB326" s="176" t="n"/>
      <c r="HC326" s="176" t="n"/>
      <c r="HD326" s="176" t="n"/>
      <c r="HE326" s="176" t="n"/>
      <c r="HF326" s="176" t="n"/>
      <c r="HG326" s="176" t="n"/>
      <c r="HH326" s="176" t="n"/>
      <c r="HI326" s="176" t="n"/>
      <c r="HJ326" s="176" t="n"/>
      <c r="HK326" s="176" t="n"/>
      <c r="HL326" s="176" t="n"/>
      <c r="HM326" s="176" t="n"/>
      <c r="HN326" s="176" t="n"/>
      <c r="HO326" s="176" t="n"/>
      <c r="HP326" s="176" t="n"/>
      <c r="HQ326" s="176" t="n"/>
      <c r="HR326" s="176" t="n"/>
      <c r="HS326" s="176" t="n"/>
      <c r="HT326" s="176" t="n"/>
      <c r="HU326" s="176" t="n"/>
      <c r="HV326" s="176" t="n"/>
      <c r="HW326" s="176" t="n"/>
      <c r="HX326" s="176" t="n"/>
      <c r="HY326" s="176" t="n"/>
      <c r="HZ326" s="176" t="n"/>
      <c r="IA326" s="176" t="n"/>
      <c r="IB326" s="176" t="n"/>
      <c r="IC326" s="176" t="n"/>
      <c r="ID326" s="176" t="n"/>
    </row>
    <row r="327" ht="18.75" customHeight="1">
      <c r="A327" s="176" t="n"/>
      <c r="B327" s="176" t="n"/>
      <c r="C327" s="176" t="n"/>
      <c r="D327" s="176" t="n"/>
      <c r="E327" s="176" t="n"/>
      <c r="F327" s="176" t="n"/>
      <c r="G327" s="176" t="n"/>
      <c r="H327" s="176" t="n"/>
      <c r="I327" s="176" t="n"/>
      <c r="J327" s="176" t="n"/>
      <c r="K327" s="176" t="n"/>
      <c r="L327" s="176" t="n"/>
      <c r="M327" s="176" t="n"/>
      <c r="N327" s="176" t="n"/>
      <c r="O327" s="176" t="n"/>
      <c r="P327" s="176" t="n"/>
      <c r="Q327" s="176" t="n"/>
      <c r="R327" s="176" t="n"/>
      <c r="S327" s="176" t="n"/>
      <c r="Z327" s="176" t="n"/>
      <c r="AA327" s="176" t="n"/>
      <c r="AH327" s="176" t="n"/>
      <c r="AI327" s="176" t="n"/>
      <c r="AJ327" s="176" t="n"/>
      <c r="AK327" s="176" t="n"/>
      <c r="AL327" s="176" t="n"/>
      <c r="AM327" s="176" t="n"/>
      <c r="AN327" s="176" t="n"/>
      <c r="AO327" s="176" t="n"/>
      <c r="AP327" s="176" t="n"/>
      <c r="AQ327" s="176" t="n"/>
      <c r="AR327" s="176" t="n"/>
      <c r="AS327" s="176" t="n"/>
      <c r="AT327" s="176" t="n"/>
      <c r="AU327" s="176" t="n"/>
      <c r="AV327" s="176" t="n"/>
      <c r="AW327" s="176" t="n"/>
      <c r="AX327" s="176" t="n"/>
      <c r="AY327" s="176" t="n"/>
      <c r="AZ327" s="176" t="n"/>
      <c r="BA327" s="176" t="n"/>
      <c r="BB327" s="176" t="n"/>
      <c r="BC327" s="176" t="n"/>
      <c r="BD327" s="176" t="n"/>
      <c r="BE327" s="176" t="n"/>
      <c r="BF327" s="176" t="n"/>
      <c r="BG327" s="176" t="n"/>
      <c r="BH327" s="176" t="n"/>
      <c r="BI327" s="176" t="n"/>
      <c r="BJ327" s="176" t="n"/>
      <c r="BK327" s="176" t="n"/>
      <c r="BL327" s="176" t="n"/>
      <c r="BM327" s="176" t="n"/>
      <c r="BN327" s="176" t="n"/>
      <c r="BO327" s="176" t="n"/>
      <c r="BP327" s="176" t="n"/>
      <c r="BQ327" s="176" t="n"/>
      <c r="BR327" s="176" t="n"/>
      <c r="BS327" s="176" t="n"/>
      <c r="BT327" s="176" t="n"/>
      <c r="BU327" s="176" t="n"/>
      <c r="BV327" s="176" t="n"/>
      <c r="BW327" s="176" t="n"/>
      <c r="BX327" s="176" t="n"/>
      <c r="BY327" s="176" t="n"/>
      <c r="BZ327" s="176" t="n"/>
      <c r="CA327" s="176" t="n"/>
      <c r="CB327" s="176" t="n"/>
      <c r="CC327" s="176" t="n"/>
      <c r="CD327" s="176" t="n"/>
      <c r="CE327" s="176" t="n"/>
      <c r="CF327" s="176" t="n"/>
      <c r="CG327" s="176" t="n"/>
      <c r="CH327" s="176" t="n"/>
      <c r="CI327" s="176" t="n"/>
      <c r="CJ327" s="176" t="n"/>
      <c r="CK327" s="176" t="n"/>
      <c r="CL327" s="176" t="n"/>
      <c r="CM327" s="176" t="n"/>
      <c r="CN327" s="176" t="n"/>
      <c r="CO327" s="176" t="n"/>
      <c r="CP327" s="176" t="n"/>
      <c r="CQ327" s="176" t="n"/>
      <c r="CR327" s="176" t="n"/>
      <c r="CS327" s="176" t="n"/>
      <c r="CT327" s="176" t="n"/>
      <c r="CU327" s="176" t="n"/>
      <c r="CV327" s="176" t="n"/>
      <c r="CW327" s="176" t="n"/>
      <c r="CX327" s="176" t="n"/>
      <c r="CY327" s="176" t="n"/>
      <c r="CZ327" s="176" t="n"/>
      <c r="DA327" s="185" t="n"/>
      <c r="DB327" s="182" t="n"/>
      <c r="DC327" s="182" t="n"/>
      <c r="DD327" s="182" t="n"/>
      <c r="DE327" s="182" t="n"/>
      <c r="DF327" s="183" t="n"/>
      <c r="DG327" s="176" t="n"/>
      <c r="DH327" s="176" t="n"/>
      <c r="DI327" s="185" t="n"/>
      <c r="DJ327" s="182" t="n"/>
      <c r="DK327" s="182" t="n"/>
      <c r="DL327" s="182" t="n"/>
      <c r="DM327" s="182" t="n"/>
      <c r="DN327" s="183" t="n"/>
      <c r="DO327" s="176" t="n"/>
      <c r="DP327" s="176" t="n"/>
      <c r="DQ327" s="176" t="n"/>
      <c r="DR327" s="176" t="n"/>
      <c r="DS327" s="176" t="n"/>
      <c r="DT327" s="176" t="n"/>
      <c r="DU327" s="176" t="n"/>
      <c r="DV327" s="176" t="n"/>
      <c r="DW327" s="176" t="n"/>
      <c r="DX327" s="176" t="n"/>
      <c r="DY327" s="176" t="n"/>
      <c r="DZ327" s="176" t="n"/>
      <c r="EA327" s="176" t="n"/>
      <c r="EB327" s="176" t="n"/>
      <c r="EC327" s="176" t="n"/>
      <c r="ED327" s="176" t="n"/>
      <c r="EE327" s="176" t="n"/>
      <c r="EF327" s="176" t="n"/>
      <c r="EG327" s="176" t="n"/>
      <c r="EH327" s="176" t="n"/>
      <c r="EI327" s="176" t="n"/>
      <c r="EJ327" s="176" t="n"/>
      <c r="EK327" s="176" t="n"/>
      <c r="EL327" s="176" t="n"/>
      <c r="EM327" s="176" t="n"/>
      <c r="EN327" s="176" t="n"/>
      <c r="EO327" s="176" t="n"/>
      <c r="EP327" s="176" t="n"/>
      <c r="EQ327" s="176" t="n"/>
      <c r="ER327" s="176" t="n"/>
      <c r="ES327" s="176" t="n"/>
      <c r="ET327" s="176" t="n"/>
      <c r="EU327" s="176" t="n"/>
      <c r="EV327" s="176" t="n"/>
      <c r="EW327" s="176" t="n"/>
      <c r="EX327" s="176" t="n"/>
      <c r="EY327" s="176" t="n"/>
      <c r="EZ327" s="176" t="n"/>
      <c r="FA327" s="176" t="n"/>
      <c r="FB327" s="176" t="n"/>
      <c r="FC327" s="176" t="n"/>
      <c r="FD327" s="176" t="n"/>
      <c r="FE327" s="176" t="n"/>
      <c r="FF327" s="176" t="n"/>
      <c r="FG327" s="176" t="n"/>
      <c r="FH327" s="176" t="n"/>
      <c r="FI327" s="176" t="n"/>
      <c r="FJ327" s="176" t="n"/>
      <c r="FK327" s="176" t="n"/>
      <c r="FL327" s="176" t="n"/>
      <c r="FM327" s="176" t="n"/>
      <c r="FN327" s="176" t="n"/>
      <c r="FO327" s="176" t="n"/>
      <c r="FP327" s="176" t="n"/>
      <c r="FQ327" s="176" t="n"/>
      <c r="FR327" s="176" t="n"/>
      <c r="FS327" s="176" t="n"/>
      <c r="FT327" s="176" t="n"/>
      <c r="FU327" s="176" t="n"/>
      <c r="FV327" s="176" t="n"/>
      <c r="FW327" s="176" t="n"/>
      <c r="FX327" s="176" t="n"/>
      <c r="FY327" s="176" t="n"/>
      <c r="FZ327" s="176" t="n"/>
      <c r="GA327" s="176" t="n"/>
      <c r="GB327" s="176" t="n"/>
      <c r="GC327" s="176" t="n"/>
      <c r="GD327" s="176" t="n"/>
      <c r="GE327" s="176" t="n"/>
      <c r="GF327" s="176" t="n"/>
      <c r="GG327" s="176" t="n"/>
      <c r="GH327" s="176" t="n"/>
      <c r="GI327" s="176" t="n"/>
      <c r="GJ327" s="176" t="n"/>
      <c r="GK327" s="176" t="n"/>
      <c r="GL327" s="176" t="n"/>
      <c r="GM327" s="176" t="n"/>
      <c r="GN327" s="176" t="n"/>
      <c r="GO327" s="176" t="n"/>
      <c r="GP327" s="176" t="n"/>
      <c r="GQ327" s="176" t="n"/>
      <c r="GR327" s="176" t="n"/>
      <c r="GS327" s="176" t="n"/>
      <c r="GT327" s="176" t="n"/>
      <c r="GU327" s="176" t="n"/>
      <c r="GV327" s="176" t="n"/>
      <c r="GW327" s="176" t="n"/>
      <c r="GX327" s="176" t="n"/>
      <c r="GY327" s="176" t="n"/>
      <c r="GZ327" s="176" t="n"/>
      <c r="HA327" s="176" t="n"/>
      <c r="HB327" s="176" t="n"/>
      <c r="HC327" s="176" t="n"/>
      <c r="HD327" s="176" t="n"/>
      <c r="HE327" s="176" t="n"/>
      <c r="HF327" s="176" t="n"/>
      <c r="HG327" s="176" t="n"/>
      <c r="HH327" s="176" t="n"/>
      <c r="HI327" s="176" t="n"/>
      <c r="HJ327" s="176" t="n"/>
      <c r="HK327" s="176" t="n"/>
      <c r="HL327" s="176" t="n"/>
      <c r="HM327" s="176" t="n"/>
      <c r="HN327" s="176" t="n"/>
      <c r="HO327" s="176" t="n"/>
      <c r="HP327" s="176" t="n"/>
      <c r="HQ327" s="176" t="n"/>
      <c r="HR327" s="176" t="n"/>
      <c r="HS327" s="176" t="n"/>
      <c r="HT327" s="176" t="n"/>
      <c r="HU327" s="176" t="n"/>
      <c r="HV327" s="176" t="n"/>
      <c r="HW327" s="176" t="n"/>
      <c r="HX327" s="176" t="n"/>
      <c r="HY327" s="176" t="n"/>
      <c r="HZ327" s="176" t="n"/>
      <c r="IA327" s="176" t="n"/>
      <c r="IB327" s="176" t="n"/>
      <c r="IC327" s="176" t="n"/>
      <c r="ID327" s="176" t="n"/>
    </row>
    <row r="328" ht="18.75" customHeight="1">
      <c r="A328" s="176" t="n"/>
      <c r="B328" s="176" t="n"/>
      <c r="C328" s="176" t="n"/>
      <c r="D328" s="176" t="n"/>
      <c r="E328" s="176" t="n"/>
      <c r="F328" s="176" t="n"/>
      <c r="G328" s="176" t="n"/>
      <c r="H328" s="176" t="n"/>
      <c r="I328" s="176" t="n"/>
      <c r="J328" s="176" t="n"/>
      <c r="K328" s="176" t="n"/>
      <c r="L328" s="176" t="n"/>
      <c r="M328" s="176" t="n"/>
      <c r="N328" s="176" t="n"/>
      <c r="O328" s="176" t="n"/>
      <c r="P328" s="176" t="n"/>
      <c r="Q328" s="176" t="n"/>
      <c r="R328" s="176" t="n"/>
      <c r="S328" s="176" t="n"/>
      <c r="T328" s="176" t="n"/>
      <c r="U328" s="176" t="n"/>
      <c r="V328" s="176" t="n"/>
      <c r="W328" s="176" t="n"/>
      <c r="X328" s="176" t="n"/>
      <c r="Y328" s="176" t="n"/>
      <c r="Z328" s="176" t="n"/>
      <c r="AA328" s="176" t="n"/>
      <c r="AB328" s="176" t="n"/>
      <c r="AC328" s="176" t="n"/>
      <c r="AD328" s="176" t="n"/>
      <c r="AE328" s="176" t="n"/>
      <c r="AF328" s="176" t="n"/>
      <c r="AG328" s="176" t="n"/>
      <c r="AH328" s="176" t="n"/>
      <c r="AI328" s="176" t="n"/>
      <c r="AJ328" s="176" t="n"/>
      <c r="AK328" s="176" t="n"/>
      <c r="AL328" s="176" t="n"/>
      <c r="AM328" s="176" t="n"/>
      <c r="AN328" s="176" t="n"/>
      <c r="AO328" s="176" t="n"/>
      <c r="AP328" s="176" t="n"/>
      <c r="AQ328" s="176" t="n"/>
      <c r="AR328" s="176" t="n"/>
      <c r="AS328" s="176" t="n"/>
      <c r="AT328" s="176" t="n"/>
      <c r="AU328" s="176" t="n"/>
      <c r="AV328" s="176" t="n"/>
      <c r="AW328" s="176" t="n"/>
      <c r="AX328" s="176" t="n"/>
      <c r="AY328" s="176" t="n"/>
      <c r="AZ328" s="176" t="n"/>
      <c r="BA328" s="176" t="n"/>
      <c r="BB328" s="176" t="n"/>
      <c r="BC328" s="176" t="n"/>
      <c r="BD328" s="176" t="n"/>
      <c r="BE328" s="176" t="n"/>
      <c r="BF328" s="176" t="n"/>
      <c r="BG328" s="176" t="n"/>
      <c r="BH328" s="176" t="n"/>
      <c r="BI328" s="176" t="n"/>
      <c r="BJ328" s="176" t="n"/>
      <c r="BK328" s="176" t="n"/>
      <c r="BL328" s="176" t="n"/>
      <c r="BM328" s="176" t="n"/>
      <c r="BN328" s="176" t="n"/>
      <c r="BO328" s="176" t="n"/>
      <c r="BP328" s="176" t="n"/>
      <c r="BQ328" s="176" t="n"/>
      <c r="BR328" s="176" t="n"/>
      <c r="BS328" s="176" t="n"/>
      <c r="BT328" s="176" t="n"/>
      <c r="BU328" s="176" t="n"/>
      <c r="BV328" s="176" t="n"/>
      <c r="BW328" s="176" t="n"/>
      <c r="BX328" s="176" t="n"/>
      <c r="BY328" s="176" t="n"/>
      <c r="BZ328" s="176" t="n"/>
      <c r="CA328" s="176" t="n"/>
      <c r="CB328" s="176" t="n"/>
      <c r="CC328" s="176" t="n"/>
      <c r="CD328" s="176" t="n"/>
      <c r="CE328" s="176" t="n"/>
      <c r="CF328" s="176" t="n"/>
      <c r="CG328" s="176" t="n"/>
      <c r="CH328" s="176" t="n"/>
      <c r="CI328" s="176" t="n"/>
      <c r="CJ328" s="176" t="n"/>
      <c r="CK328" s="176" t="n"/>
      <c r="CL328" s="176" t="n"/>
      <c r="CM328" s="176" t="n"/>
      <c r="CN328" s="176" t="n"/>
      <c r="CO328" s="176" t="n"/>
      <c r="CP328" s="176" t="n"/>
      <c r="CQ328" s="176" t="n"/>
      <c r="CR328" s="176" t="n"/>
      <c r="CS328" s="176" t="n"/>
      <c r="CT328" s="176" t="n"/>
      <c r="CU328" s="176" t="n"/>
      <c r="CV328" s="176" t="n"/>
      <c r="CW328" s="176" t="n"/>
      <c r="CX328" s="176" t="n"/>
      <c r="CY328" s="176" t="n"/>
      <c r="CZ328" s="176" t="n"/>
      <c r="DA328" s="181" t="inlineStr">
        <is>
          <t>BASE DO LIVRO</t>
        </is>
      </c>
      <c r="DB328" s="182" t="n"/>
      <c r="DC328" s="183" t="n"/>
      <c r="DD328" s="185" t="inlineStr">
        <is>
          <t>Nenhuma</t>
        </is>
      </c>
      <c r="DE328" s="182" t="n"/>
      <c r="DF328" s="183" t="n"/>
      <c r="DG328" s="176" t="n"/>
      <c r="DH328" s="176" t="n"/>
      <c r="DI328" s="181" t="inlineStr">
        <is>
          <t>BASE DO LIVRO</t>
        </is>
      </c>
      <c r="DJ328" s="182" t="n"/>
      <c r="DK328" s="183" t="n"/>
      <c r="DL328" s="185" t="inlineStr">
        <is>
          <t>Nenhuma</t>
        </is>
      </c>
      <c r="DM328" s="182" t="n"/>
      <c r="DN328" s="183" t="n"/>
      <c r="DO328" s="176" t="n"/>
      <c r="DP328" s="176" t="n"/>
      <c r="DQ328" s="176" t="n"/>
      <c r="DR328" s="181" t="inlineStr">
        <is>
          <t>EFEITO E REQUISITOS</t>
        </is>
      </c>
      <c r="DS328" s="182" t="n"/>
      <c r="DT328" s="182" t="n"/>
      <c r="DU328" s="182" t="n"/>
      <c r="DV328" s="182" t="n"/>
      <c r="DW328" s="183" t="n"/>
      <c r="DX328" s="176" t="n"/>
      <c r="DY328" s="176" t="n"/>
      <c r="DZ328" s="181" t="inlineStr">
        <is>
          <t>EFEITO E REQUISITOS</t>
        </is>
      </c>
      <c r="EA328" s="182" t="n"/>
      <c r="EB328" s="182" t="n"/>
      <c r="EC328" s="182" t="n"/>
      <c r="ED328" s="182" t="n"/>
      <c r="EE328" s="183" t="n"/>
      <c r="EF328" s="176" t="n"/>
      <c r="EG328" s="176" t="n"/>
      <c r="EH328" s="176" t="n"/>
      <c r="EI328" s="176" t="n"/>
      <c r="EJ328" s="176" t="n"/>
      <c r="EK328" s="176" t="n"/>
      <c r="EL328" s="176" t="n"/>
      <c r="EM328" s="176" t="n"/>
      <c r="EN328" s="176" t="n"/>
      <c r="EO328" s="176" t="n"/>
      <c r="EP328" s="176" t="n"/>
      <c r="EQ328" s="176" t="n"/>
      <c r="ER328" s="176" t="n"/>
      <c r="ES328" s="176" t="n"/>
      <c r="ET328" s="176" t="n"/>
      <c r="EU328" s="176" t="n"/>
      <c r="EV328" s="176" t="n"/>
      <c r="EW328" s="176" t="n"/>
      <c r="EX328" s="176" t="n"/>
      <c r="EY328" s="176" t="n"/>
      <c r="EZ328" s="176" t="n"/>
      <c r="FA328" s="176" t="n"/>
      <c r="FB328" s="176" t="n"/>
      <c r="FC328" s="176" t="n"/>
      <c r="FD328" s="176" t="n"/>
      <c r="FE328" s="176" t="n"/>
      <c r="FF328" s="176" t="n"/>
      <c r="FG328" s="176" t="n"/>
      <c r="FH328" s="176" t="n"/>
      <c r="FI328" s="176" t="n"/>
      <c r="FJ328" s="176" t="n"/>
      <c r="FK328" s="176" t="n"/>
      <c r="FL328" s="176" t="n"/>
      <c r="FM328" s="176" t="n"/>
      <c r="FN328" s="176" t="n"/>
      <c r="FO328" s="176" t="n"/>
      <c r="FP328" s="176" t="n"/>
      <c r="FQ328" s="176" t="n"/>
      <c r="FR328" s="176" t="n"/>
      <c r="FS328" s="176" t="n"/>
      <c r="FT328" s="176" t="n"/>
      <c r="FU328" s="176" t="n"/>
      <c r="FV328" s="176" t="n"/>
      <c r="FW328" s="176" t="n"/>
      <c r="FX328" s="176" t="n"/>
      <c r="FY328" s="176" t="n"/>
      <c r="FZ328" s="176" t="n"/>
      <c r="GA328" s="176" t="n"/>
      <c r="GB328" s="176" t="n"/>
      <c r="GC328" s="176" t="n"/>
      <c r="GD328" s="176" t="n"/>
      <c r="GE328" s="176" t="n"/>
      <c r="GF328" s="176" t="n"/>
      <c r="GG328" s="176" t="n"/>
      <c r="GH328" s="176" t="n"/>
      <c r="GI328" s="176" t="n"/>
      <c r="GJ328" s="176" t="n"/>
      <c r="GK328" s="176" t="n"/>
      <c r="GL328" s="176" t="n"/>
      <c r="GM328" s="176" t="n"/>
      <c r="GN328" s="176" t="n"/>
      <c r="GO328" s="176" t="n"/>
      <c r="GP328" s="176" t="n"/>
      <c r="GQ328" s="176" t="n"/>
      <c r="GR328" s="176" t="n"/>
      <c r="GS328" s="176" t="n"/>
      <c r="GT328" s="176" t="n"/>
      <c r="GU328" s="176" t="n"/>
      <c r="GV328" s="176" t="n"/>
      <c r="GW328" s="176" t="n"/>
      <c r="GX328" s="176" t="n"/>
      <c r="GY328" s="176" t="n"/>
      <c r="GZ328" s="176" t="n"/>
      <c r="HA328" s="176" t="n"/>
      <c r="HB328" s="176" t="n"/>
      <c r="HC328" s="176" t="n"/>
      <c r="HD328" s="176" t="n"/>
      <c r="HE328" s="176" t="n"/>
      <c r="HF328" s="176" t="n"/>
      <c r="HG328" s="176" t="n"/>
      <c r="HH328" s="176" t="n"/>
      <c r="HI328" s="176" t="n"/>
      <c r="HJ328" s="176" t="n"/>
      <c r="HK328" s="176" t="n"/>
      <c r="HL328" s="176" t="n"/>
      <c r="HM328" s="176" t="n"/>
      <c r="HN328" s="176" t="n"/>
      <c r="HO328" s="176" t="n"/>
      <c r="HP328" s="176" t="n"/>
      <c r="HQ328" s="176" t="n"/>
      <c r="HR328" s="176" t="n"/>
      <c r="HS328" s="176" t="n"/>
      <c r="HT328" s="176" t="n"/>
      <c r="HU328" s="176" t="n"/>
      <c r="HV328" s="176" t="n"/>
      <c r="HW328" s="176" t="n"/>
      <c r="HX328" s="176" t="n"/>
      <c r="HY328" s="176" t="n"/>
      <c r="HZ328" s="176" t="n"/>
      <c r="IA328" s="176" t="n"/>
      <c r="IB328" s="176" t="n"/>
      <c r="IC328" s="176" t="n"/>
      <c r="ID328" s="176" t="n"/>
    </row>
    <row r="329" ht="18.75" customHeight="1">
      <c r="A329" s="176" t="n"/>
      <c r="B329" s="176" t="n"/>
      <c r="C329" s="176" t="n"/>
      <c r="D329" s="176" t="n"/>
      <c r="E329" s="176" t="n"/>
      <c r="F329" s="176" t="n"/>
      <c r="G329" s="176" t="n"/>
      <c r="H329" s="176" t="n"/>
      <c r="I329" s="176" t="n"/>
      <c r="J329" s="176" t="n"/>
      <c r="K329" s="176" t="n"/>
      <c r="L329" s="176" t="n"/>
      <c r="M329" s="176" t="n"/>
      <c r="N329" s="176" t="n"/>
      <c r="O329" s="176" t="n"/>
      <c r="P329" s="176" t="n"/>
      <c r="Q329" s="176" t="n"/>
      <c r="R329" s="176" t="n"/>
      <c r="S329" s="176" t="n"/>
      <c r="T329" s="176" t="n"/>
      <c r="U329" s="176" t="n"/>
      <c r="V329" s="176" t="n"/>
      <c r="W329" s="176" t="n"/>
      <c r="X329" s="176" t="n"/>
      <c r="Y329" s="176" t="n"/>
      <c r="Z329" s="176" t="n"/>
      <c r="AA329" s="176" t="n"/>
      <c r="AB329" s="176" t="n"/>
      <c r="AC329" s="176" t="n"/>
      <c r="AD329" s="176" t="n"/>
      <c r="AE329" s="176" t="n"/>
      <c r="AF329" s="176" t="n"/>
      <c r="AG329" s="176" t="n"/>
      <c r="AH329" s="176" t="n"/>
      <c r="AI329" s="176" t="n"/>
      <c r="AJ329" s="176" t="n"/>
      <c r="AK329" s="176" t="n"/>
      <c r="AL329" s="176" t="n"/>
      <c r="AM329" s="176" t="n"/>
      <c r="AN329" s="176" t="n"/>
      <c r="AO329" s="176" t="n"/>
      <c r="AP329" s="176" t="n"/>
      <c r="AQ329" s="176" t="n"/>
      <c r="AR329" s="176" t="n"/>
      <c r="AS329" s="176" t="n"/>
      <c r="AT329" s="176" t="n"/>
      <c r="AU329" s="176" t="n"/>
      <c r="AV329" s="176" t="n"/>
      <c r="AW329" s="176" t="n"/>
      <c r="AX329" s="176" t="n"/>
      <c r="AY329" s="176" t="n"/>
      <c r="AZ329" s="176" t="n"/>
      <c r="BA329" s="176" t="n"/>
      <c r="BB329" s="176" t="n"/>
      <c r="BC329" s="176" t="n"/>
      <c r="BD329" s="176" t="n"/>
      <c r="BE329" s="176" t="n"/>
      <c r="BF329" s="176" t="n"/>
      <c r="BG329" s="176" t="n"/>
      <c r="BH329" s="176" t="n"/>
      <c r="BI329" s="176" t="n"/>
      <c r="BJ329" s="176" t="n"/>
      <c r="BK329" s="176" t="n"/>
      <c r="BL329" s="176" t="n"/>
      <c r="BM329" s="176" t="n"/>
      <c r="BN329" s="176" t="n"/>
      <c r="BO329" s="176" t="n"/>
      <c r="BP329" s="176" t="n"/>
      <c r="BQ329" s="176" t="n"/>
      <c r="BR329" s="176" t="n"/>
      <c r="BS329" s="176" t="n"/>
      <c r="BT329" s="176" t="n"/>
      <c r="BU329" s="176" t="n"/>
      <c r="BV329" s="176" t="n"/>
      <c r="BW329" s="176" t="n"/>
      <c r="BX329" s="176" t="n"/>
      <c r="BY329" s="176" t="n"/>
      <c r="BZ329" s="176" t="n"/>
      <c r="CA329" s="176" t="n"/>
      <c r="CB329" s="176" t="n"/>
      <c r="CC329" s="176" t="n"/>
      <c r="CD329" s="176" t="n"/>
      <c r="CE329" s="176" t="n"/>
      <c r="CF329" s="176" t="n"/>
      <c r="CG329" s="176" t="n"/>
      <c r="CH329" s="176" t="n"/>
      <c r="CI329" s="176" t="n"/>
      <c r="CJ329" s="176" t="n"/>
      <c r="CK329" s="176" t="n"/>
      <c r="CL329" s="176" t="n"/>
      <c r="CM329" s="176" t="n"/>
      <c r="CN329" s="176" t="n"/>
      <c r="CO329" s="176" t="n"/>
      <c r="CP329" s="176" t="n"/>
      <c r="CQ329" s="176" t="n"/>
      <c r="CR329" s="176" t="n"/>
      <c r="CS329" s="176" t="n"/>
      <c r="CT329" s="176" t="n"/>
      <c r="CU329" s="176" t="n"/>
      <c r="CV329" s="176" t="n"/>
      <c r="CW329" s="176" t="n"/>
      <c r="CX329" s="176" t="n"/>
      <c r="CY329" s="176" t="n"/>
      <c r="CZ329" s="176" t="n"/>
      <c r="DA329" s="181" t="inlineStr">
        <is>
          <t>FAMÍLIA</t>
        </is>
      </c>
      <c r="DB329" s="182" t="n"/>
      <c r="DC329" s="183" t="n"/>
      <c r="DD329" s="185" t="n"/>
      <c r="DE329" s="182" t="n"/>
      <c r="DF329" s="183" t="n"/>
      <c r="DG329" s="176" t="n"/>
      <c r="DH329" s="176" t="n"/>
      <c r="DI329" s="181" t="inlineStr">
        <is>
          <t>FAMÍLIA</t>
        </is>
      </c>
      <c r="DJ329" s="182" t="n"/>
      <c r="DK329" s="183" t="n"/>
      <c r="DL329" s="185" t="n"/>
      <c r="DM329" s="182" t="n"/>
      <c r="DN329" s="183" t="n"/>
      <c r="DO329" s="176" t="n"/>
      <c r="DP329" s="176" t="n"/>
      <c r="DQ329" s="176" t="n"/>
      <c r="DR329" s="192" t="n"/>
      <c r="DS329" s="187" t="n"/>
      <c r="DT329" s="187" t="n"/>
      <c r="DU329" s="187" t="n"/>
      <c r="DV329" s="187" t="n"/>
      <c r="DW329" s="188" t="n"/>
      <c r="DX329" s="176" t="n"/>
      <c r="DY329" s="176" t="n"/>
      <c r="DZ329" s="192" t="n"/>
      <c r="EA329" s="187" t="n"/>
      <c r="EB329" s="187" t="n"/>
      <c r="EC329" s="187" t="n"/>
      <c r="ED329" s="187" t="n"/>
      <c r="EE329" s="188" t="n"/>
      <c r="EF329" s="176" t="n"/>
      <c r="EG329" s="176" t="n"/>
      <c r="EH329" s="176" t="n"/>
      <c r="EI329" s="176" t="n"/>
      <c r="EJ329" s="176" t="n"/>
      <c r="EK329" s="176" t="n"/>
      <c r="EL329" s="176" t="n"/>
      <c r="EM329" s="176" t="n"/>
      <c r="EN329" s="176" t="n"/>
      <c r="EO329" s="176" t="n"/>
      <c r="EP329" s="176" t="n"/>
      <c r="EQ329" s="176" t="n"/>
      <c r="ER329" s="176" t="n"/>
      <c r="ES329" s="176" t="n"/>
      <c r="ET329" s="176" t="n"/>
      <c r="EU329" s="176" t="n"/>
      <c r="EV329" s="176" t="n"/>
      <c r="EW329" s="176" t="n"/>
      <c r="EX329" s="176" t="n"/>
      <c r="EY329" s="176" t="n"/>
      <c r="EZ329" s="176" t="n"/>
      <c r="FA329" s="176" t="n"/>
      <c r="FB329" s="176" t="n"/>
      <c r="FC329" s="176" t="n"/>
      <c r="FD329" s="176" t="n"/>
      <c r="FE329" s="176" t="n"/>
      <c r="FF329" s="176" t="n"/>
      <c r="FG329" s="176" t="n"/>
      <c r="FH329" s="176" t="n"/>
      <c r="FI329" s="176" t="n"/>
      <c r="FJ329" s="176" t="n"/>
      <c r="FK329" s="176" t="n"/>
      <c r="FL329" s="176" t="n"/>
      <c r="FM329" s="176" t="n"/>
      <c r="FN329" s="176" t="n"/>
      <c r="FO329" s="176" t="n"/>
      <c r="FP329" s="176" t="n"/>
      <c r="FQ329" s="176" t="n"/>
      <c r="FR329" s="176" t="n"/>
      <c r="FS329" s="176" t="n"/>
      <c r="FT329" s="176" t="n"/>
      <c r="FU329" s="176" t="n"/>
      <c r="FV329" s="176" t="n"/>
      <c r="FW329" s="176" t="n"/>
      <c r="FX329" s="176" t="n"/>
      <c r="FY329" s="176" t="n"/>
      <c r="FZ329" s="176" t="n"/>
      <c r="GA329" s="176" t="n"/>
      <c r="GB329" s="176" t="n"/>
      <c r="GC329" s="176" t="n"/>
      <c r="GD329" s="176" t="n"/>
      <c r="GE329" s="176" t="n"/>
      <c r="GF329" s="176" t="n"/>
      <c r="GG329" s="176" t="n"/>
      <c r="GH329" s="176" t="n"/>
      <c r="GI329" s="176" t="n"/>
      <c r="GJ329" s="176" t="n"/>
      <c r="GK329" s="176" t="n"/>
      <c r="GL329" s="176" t="n"/>
      <c r="GM329" s="176" t="n"/>
      <c r="GN329" s="176" t="n"/>
      <c r="GO329" s="176" t="n"/>
      <c r="GP329" s="176" t="n"/>
      <c r="GQ329" s="176" t="n"/>
      <c r="GR329" s="176" t="n"/>
      <c r="GS329" s="176" t="n"/>
      <c r="GT329" s="176" t="n"/>
      <c r="GU329" s="176" t="n"/>
      <c r="GV329" s="176" t="n"/>
      <c r="GW329" s="176" t="n"/>
      <c r="GX329" s="176" t="n"/>
      <c r="GY329" s="176" t="n"/>
      <c r="GZ329" s="176" t="n"/>
      <c r="HA329" s="176" t="n"/>
      <c r="HB329" s="176" t="n"/>
      <c r="HC329" s="176" t="n"/>
      <c r="HD329" s="176" t="n"/>
      <c r="HE329" s="176" t="n"/>
      <c r="HF329" s="176" t="n"/>
      <c r="HG329" s="176" t="n"/>
      <c r="HH329" s="176" t="n"/>
      <c r="HI329" s="176" t="n"/>
      <c r="HJ329" s="176" t="n"/>
      <c r="HK329" s="176" t="n"/>
      <c r="HL329" s="176" t="n"/>
      <c r="HM329" s="176" t="n"/>
      <c r="HN329" s="176" t="n"/>
      <c r="HO329" s="176" t="n"/>
      <c r="HP329" s="176" t="n"/>
      <c r="HQ329" s="176" t="n"/>
      <c r="HR329" s="176" t="n"/>
      <c r="HS329" s="176" t="n"/>
      <c r="HT329" s="176" t="n"/>
      <c r="HU329" s="176" t="n"/>
      <c r="HV329" s="176" t="n"/>
      <c r="HW329" s="176" t="n"/>
      <c r="HX329" s="176" t="n"/>
      <c r="HY329" s="176" t="n"/>
      <c r="HZ329" s="176" t="n"/>
      <c r="IA329" s="176" t="n"/>
      <c r="IB329" s="176" t="n"/>
      <c r="IC329" s="176" t="n"/>
      <c r="ID329" s="176" t="n"/>
    </row>
    <row r="330" ht="18.75" customHeight="1">
      <c r="A330" s="176" t="n"/>
      <c r="B330" s="176" t="n"/>
      <c r="C330" s="176" t="n"/>
      <c r="D330" s="176" t="n"/>
      <c r="E330" s="176" t="n"/>
      <c r="F330" s="176" t="n"/>
      <c r="G330" s="176" t="n"/>
      <c r="H330" s="176" t="n"/>
      <c r="I330" s="176" t="n"/>
      <c r="J330" s="176" t="n"/>
      <c r="K330" s="176" t="n"/>
      <c r="L330" s="176" t="n"/>
      <c r="M330" s="176" t="n"/>
      <c r="N330" s="176" t="n"/>
      <c r="O330" s="176" t="n"/>
      <c r="P330" s="176" t="n"/>
      <c r="Q330" s="176" t="n"/>
      <c r="R330" s="176" t="n"/>
      <c r="S330" s="176" t="n"/>
      <c r="T330" s="176" t="n"/>
      <c r="U330" s="176" t="n"/>
      <c r="V330" s="176" t="n"/>
      <c r="W330" s="176" t="n"/>
      <c r="X330" s="176" t="n"/>
      <c r="Y330" s="176" t="n"/>
      <c r="Z330" s="176" t="n"/>
      <c r="AA330" s="176" t="n"/>
      <c r="AB330" s="176" t="n"/>
      <c r="AC330" s="176" t="n"/>
      <c r="AD330" s="176" t="n"/>
      <c r="AE330" s="176" t="n"/>
      <c r="AF330" s="176" t="n"/>
      <c r="AG330" s="176" t="n"/>
      <c r="AH330" s="176" t="n"/>
      <c r="AI330" s="176" t="n"/>
      <c r="AJ330" s="176" t="n"/>
      <c r="AK330" s="176" t="n"/>
      <c r="AL330" s="176" t="n"/>
      <c r="AM330" s="176" t="n"/>
      <c r="AN330" s="176" t="n"/>
      <c r="AO330" s="176" t="n"/>
      <c r="AP330" s="176" t="n"/>
      <c r="AQ330" s="176" t="n"/>
      <c r="AR330" s="176" t="n"/>
      <c r="AS330" s="176" t="n"/>
      <c r="AT330" s="176" t="n"/>
      <c r="AU330" s="176" t="n"/>
      <c r="AV330" s="176" t="n"/>
      <c r="AW330" s="176" t="n"/>
      <c r="AX330" s="176" t="n"/>
      <c r="AY330" s="176" t="n"/>
      <c r="AZ330" s="176" t="n"/>
      <c r="BA330" s="176" t="n"/>
      <c r="BB330" s="176" t="n"/>
      <c r="BC330" s="176" t="n"/>
      <c r="BD330" s="176" t="n"/>
      <c r="BE330" s="176" t="n"/>
      <c r="BF330" s="176" t="n"/>
      <c r="BG330" s="176" t="n"/>
      <c r="BH330" s="176" t="n"/>
      <c r="BI330" s="176" t="n"/>
      <c r="BJ330" s="176" t="n"/>
      <c r="BK330" s="176" t="n"/>
      <c r="BL330" s="176" t="n"/>
      <c r="BM330" s="176" t="n"/>
      <c r="BN330" s="176" t="n"/>
      <c r="BO330" s="176" t="n"/>
      <c r="BP330" s="176" t="n"/>
      <c r="BQ330" s="176" t="n"/>
      <c r="BR330" s="176" t="n"/>
      <c r="BS330" s="176" t="n"/>
      <c r="BT330" s="176" t="n"/>
      <c r="BU330" s="176" t="n"/>
      <c r="BV330" s="176" t="n"/>
      <c r="BW330" s="176" t="n"/>
      <c r="BX330" s="176" t="n"/>
      <c r="BY330" s="176" t="n"/>
      <c r="BZ330" s="176" t="n"/>
      <c r="CA330" s="176" t="n"/>
      <c r="CB330" s="176" t="n"/>
      <c r="CC330" s="176" t="n"/>
      <c r="CD330" s="176" t="n"/>
      <c r="CE330" s="176" t="n"/>
      <c r="CF330" s="176" t="n"/>
      <c r="CG330" s="176" t="n"/>
      <c r="CH330" s="176" t="n"/>
      <c r="CI330" s="176" t="n"/>
      <c r="CJ330" s="176" t="n"/>
      <c r="CK330" s="176" t="n"/>
      <c r="CL330" s="176" t="n"/>
      <c r="CM330" s="176" t="n"/>
      <c r="CN330" s="176" t="n"/>
      <c r="CO330" s="176" t="n"/>
      <c r="CP330" s="176" t="n"/>
      <c r="CQ330" s="176" t="n"/>
      <c r="CR330" s="176" t="n"/>
      <c r="CS330" s="176" t="n"/>
      <c r="CT330" s="176" t="n"/>
      <c r="CU330" s="176" t="n"/>
      <c r="CV330" s="176" t="n"/>
      <c r="CW330" s="176" t="n"/>
      <c r="CX330" s="176" t="n"/>
      <c r="CY330" s="176" t="n"/>
      <c r="CZ330" s="176" t="n"/>
      <c r="DA330" s="181" t="inlineStr">
        <is>
          <t>PESO</t>
        </is>
      </c>
      <c r="DB330" s="182" t="n"/>
      <c r="DC330" s="183" t="n"/>
      <c r="DD330" s="185" t="n"/>
      <c r="DE330" s="182" t="n"/>
      <c r="DF330" s="183" t="n"/>
      <c r="DG330" s="176" t="n"/>
      <c r="DH330" s="176" t="n"/>
      <c r="DI330" s="181" t="inlineStr">
        <is>
          <t>PESO</t>
        </is>
      </c>
      <c r="DJ330" s="182" t="n"/>
      <c r="DK330" s="183" t="n"/>
      <c r="DL330" s="185" t="n"/>
      <c r="DM330" s="182" t="n"/>
      <c r="DN330" s="183" t="n"/>
      <c r="DO330" s="176" t="n"/>
      <c r="DP330" s="176" t="n"/>
      <c r="DQ330" s="176" t="n"/>
      <c r="DR330" s="193" t="n"/>
      <c r="DW330" s="194" t="n"/>
      <c r="DX330" s="176" t="n"/>
      <c r="DY330" s="176" t="n"/>
      <c r="DZ330" s="193" t="n"/>
      <c r="EE330" s="194" t="n"/>
      <c r="EF330" s="176" t="n"/>
      <c r="EG330" s="176" t="n"/>
      <c r="EH330" s="176" t="n"/>
      <c r="EI330" s="176" t="n"/>
      <c r="EJ330" s="176" t="n"/>
      <c r="EK330" s="176" t="n"/>
      <c r="EL330" s="176" t="n"/>
      <c r="EM330" s="176" t="n"/>
      <c r="EN330" s="176" t="n"/>
      <c r="EO330" s="176" t="n"/>
      <c r="EP330" s="176" t="n"/>
      <c r="EQ330" s="176" t="n"/>
      <c r="ER330" s="176" t="n"/>
      <c r="ES330" s="176" t="n"/>
      <c r="ET330" s="176" t="n"/>
      <c r="EU330" s="176" t="n"/>
      <c r="EV330" s="176" t="n"/>
      <c r="EW330" s="176" t="n"/>
      <c r="EX330" s="176" t="n"/>
      <c r="EY330" s="176" t="n"/>
      <c r="EZ330" s="176" t="n"/>
      <c r="FA330" s="176" t="n"/>
      <c r="FB330" s="176" t="n"/>
      <c r="FC330" s="176" t="n"/>
      <c r="FD330" s="176" t="n"/>
      <c r="FE330" s="176" t="n"/>
      <c r="FF330" s="176" t="n"/>
      <c r="FG330" s="176" t="n"/>
      <c r="FH330" s="176" t="n"/>
      <c r="FI330" s="176" t="n"/>
      <c r="FJ330" s="176" t="n"/>
      <c r="FK330" s="176" t="n"/>
      <c r="FL330" s="176" t="n"/>
      <c r="FM330" s="176" t="n"/>
      <c r="FN330" s="176" t="n"/>
      <c r="FO330" s="176" t="n"/>
      <c r="FP330" s="176" t="n"/>
      <c r="FQ330" s="176" t="n"/>
      <c r="FR330" s="176" t="n"/>
      <c r="FS330" s="176" t="n"/>
      <c r="FT330" s="176" t="n"/>
      <c r="FU330" s="176" t="n"/>
      <c r="FV330" s="176" t="n"/>
      <c r="FW330" s="176" t="n"/>
      <c r="FX330" s="176" t="n"/>
      <c r="FY330" s="176" t="n"/>
      <c r="FZ330" s="176" t="n"/>
      <c r="GA330" s="176" t="n"/>
      <c r="GB330" s="176" t="n"/>
      <c r="GC330" s="176" t="n"/>
      <c r="GD330" s="176" t="n"/>
      <c r="GE330" s="176" t="n"/>
      <c r="GF330" s="176" t="n"/>
      <c r="GG330" s="176" t="n"/>
      <c r="GH330" s="176" t="n"/>
      <c r="GI330" s="176" t="n"/>
      <c r="GJ330" s="176" t="n"/>
      <c r="GK330" s="176" t="n"/>
      <c r="GL330" s="176" t="n"/>
      <c r="GM330" s="176" t="n"/>
      <c r="GN330" s="176" t="n"/>
      <c r="GO330" s="176" t="n"/>
      <c r="GP330" s="176" t="n"/>
      <c r="GQ330" s="176" t="n"/>
      <c r="GR330" s="176" t="n"/>
      <c r="GS330" s="176" t="n"/>
      <c r="GT330" s="176" t="n"/>
      <c r="GU330" s="176" t="n"/>
      <c r="GV330" s="176" t="n"/>
      <c r="GW330" s="176" t="n"/>
      <c r="GX330" s="176" t="n"/>
      <c r="GY330" s="176" t="n"/>
      <c r="GZ330" s="176" t="n"/>
      <c r="HA330" s="176" t="n"/>
      <c r="HB330" s="176" t="n"/>
      <c r="HC330" s="176" t="n"/>
      <c r="HD330" s="176" t="n"/>
      <c r="HE330" s="176" t="n"/>
      <c r="HF330" s="176" t="n"/>
      <c r="HG330" s="176" t="n"/>
      <c r="HH330" s="176" t="n"/>
      <c r="HI330" s="176" t="n"/>
      <c r="HJ330" s="176" t="n"/>
      <c r="HK330" s="176" t="n"/>
      <c r="HL330" s="176" t="n"/>
      <c r="HM330" s="176" t="n"/>
      <c r="HN330" s="176" t="n"/>
      <c r="HO330" s="176" t="n"/>
      <c r="HP330" s="176" t="n"/>
      <c r="HQ330" s="176" t="n"/>
      <c r="HR330" s="176" t="n"/>
      <c r="HS330" s="176" t="n"/>
      <c r="HT330" s="176" t="n"/>
      <c r="HU330" s="176" t="n"/>
      <c r="HV330" s="176" t="n"/>
      <c r="HW330" s="176" t="n"/>
      <c r="HX330" s="176" t="n"/>
      <c r="HY330" s="176" t="n"/>
      <c r="HZ330" s="176" t="n"/>
      <c r="IA330" s="176" t="n"/>
      <c r="IB330" s="176" t="n"/>
      <c r="IC330" s="176" t="n"/>
      <c r="ID330" s="176" t="n"/>
    </row>
    <row r="331" ht="18.75" customHeight="1">
      <c r="A331" s="176" t="n"/>
      <c r="B331" s="176" t="n"/>
      <c r="C331" s="176" t="n"/>
      <c r="D331" s="176" t="n"/>
      <c r="E331" s="176" t="n"/>
      <c r="F331" s="176" t="n"/>
      <c r="G331" s="176" t="n"/>
      <c r="H331" s="176" t="n"/>
      <c r="I331" s="176" t="n"/>
      <c r="J331" s="176" t="n"/>
      <c r="K331" s="176" t="n"/>
      <c r="L331" s="176" t="n"/>
      <c r="M331" s="176" t="n"/>
      <c r="N331" s="176" t="n"/>
      <c r="O331" s="176" t="n"/>
      <c r="P331" s="176" t="n"/>
      <c r="Q331" s="176" t="n"/>
      <c r="R331" s="176" t="n"/>
      <c r="S331" s="176" t="n"/>
      <c r="T331" s="179" t="inlineStr">
        <is>
          <t>CARTÃO 23 · CUSTOM</t>
        </is>
      </c>
      <c r="Z331" s="176" t="n"/>
      <c r="AA331" s="176" t="n"/>
      <c r="AB331" s="179" t="inlineStr">
        <is>
          <t>CARTÃO 24 · CUSTOM</t>
        </is>
      </c>
      <c r="AH331" s="176" t="n"/>
      <c r="AI331" s="176" t="n"/>
      <c r="AJ331" s="176" t="n"/>
      <c r="AK331" s="176" t="n"/>
      <c r="AL331" s="176" t="n"/>
      <c r="AM331" s="176" t="n"/>
      <c r="AN331" s="176" t="n"/>
      <c r="AO331" s="176" t="n"/>
      <c r="AP331" s="176" t="n"/>
      <c r="AQ331" s="176" t="n"/>
      <c r="AR331" s="176" t="n"/>
      <c r="AS331" s="176" t="n"/>
      <c r="AT331" s="176" t="n"/>
      <c r="AU331" s="176" t="n"/>
      <c r="AV331" s="176" t="n"/>
      <c r="AW331" s="176" t="n"/>
      <c r="AX331" s="176" t="n"/>
      <c r="AY331" s="176" t="n"/>
      <c r="AZ331" s="176" t="n"/>
      <c r="BA331" s="176" t="n"/>
      <c r="BB331" s="176" t="n"/>
      <c r="BC331" s="176" t="n"/>
      <c r="BD331" s="176" t="n"/>
      <c r="BE331" s="176" t="n"/>
      <c r="BF331" s="176" t="n"/>
      <c r="BG331" s="176" t="n"/>
      <c r="BH331" s="176" t="n"/>
      <c r="BI331" s="176" t="n"/>
      <c r="BJ331" s="176" t="n"/>
      <c r="BK331" s="176" t="n"/>
      <c r="BL331" s="176" t="n"/>
      <c r="BM331" s="176" t="n"/>
      <c r="BN331" s="176" t="n"/>
      <c r="BO331" s="176" t="n"/>
      <c r="BP331" s="176" t="n"/>
      <c r="BQ331" s="176" t="n"/>
      <c r="BR331" s="176" t="n"/>
      <c r="BS331" s="176" t="n"/>
      <c r="BT331" s="176" t="n"/>
      <c r="BU331" s="176" t="n"/>
      <c r="BV331" s="176" t="n"/>
      <c r="BW331" s="176" t="n"/>
      <c r="BX331" s="176" t="n"/>
      <c r="BY331" s="176" t="n"/>
      <c r="BZ331" s="176" t="n"/>
      <c r="CA331" s="176" t="n"/>
      <c r="CB331" s="176" t="n"/>
      <c r="CC331" s="176" t="n"/>
      <c r="CD331" s="176" t="n"/>
      <c r="CE331" s="176" t="n"/>
      <c r="CF331" s="176" t="n"/>
      <c r="CG331" s="176" t="n"/>
      <c r="CH331" s="176" t="n"/>
      <c r="CI331" s="176" t="n"/>
      <c r="CJ331" s="176" t="n"/>
      <c r="CK331" s="176" t="n"/>
      <c r="CL331" s="176" t="n"/>
      <c r="CM331" s="176" t="n"/>
      <c r="CN331" s="176" t="n"/>
      <c r="CO331" s="176" t="n"/>
      <c r="CP331" s="176" t="n"/>
      <c r="CQ331" s="176" t="n"/>
      <c r="CR331" s="176" t="n"/>
      <c r="CS331" s="176" t="n"/>
      <c r="CT331" s="176" t="n"/>
      <c r="CU331" s="176" t="n"/>
      <c r="CV331" s="176" t="n"/>
      <c r="CW331" s="176" t="n"/>
      <c r="CX331" s="176" t="n"/>
      <c r="CY331" s="176" t="n"/>
      <c r="CZ331" s="176" t="n"/>
      <c r="DA331" s="181" t="inlineStr">
        <is>
          <t>EXIGE TR</t>
        </is>
      </c>
      <c r="DB331" s="182" t="n"/>
      <c r="DC331" s="183" t="n"/>
      <c r="DD331" s="185" t="n"/>
      <c r="DE331" s="182" t="n"/>
      <c r="DF331" s="183" t="n"/>
      <c r="DG331" s="176" t="n"/>
      <c r="DH331" s="176" t="n"/>
      <c r="DI331" s="181" t="inlineStr">
        <is>
          <t>EXIGE TR</t>
        </is>
      </c>
      <c r="DJ331" s="182" t="n"/>
      <c r="DK331" s="183" t="n"/>
      <c r="DL331" s="185" t="n"/>
      <c r="DM331" s="182" t="n"/>
      <c r="DN331" s="183" t="n"/>
      <c r="DO331" s="176" t="n"/>
      <c r="DP331" s="176" t="n"/>
      <c r="DQ331" s="176" t="n"/>
      <c r="DR331" s="193" t="n"/>
      <c r="DW331" s="194" t="n"/>
      <c r="DX331" s="176" t="n"/>
      <c r="DY331" s="176" t="n"/>
      <c r="DZ331" s="193" t="n"/>
      <c r="EE331" s="194" t="n"/>
      <c r="EF331" s="176" t="n"/>
      <c r="EG331" s="176" t="n"/>
      <c r="EH331" s="176" t="n"/>
      <c r="EI331" s="176" t="n"/>
      <c r="EJ331" s="176" t="n"/>
      <c r="EK331" s="176" t="n"/>
      <c r="EL331" s="176" t="n"/>
      <c r="EM331" s="176" t="n"/>
      <c r="EN331" s="176" t="n"/>
      <c r="EO331" s="176" t="n"/>
      <c r="EP331" s="176" t="n"/>
      <c r="EQ331" s="176" t="n"/>
      <c r="ER331" s="176" t="n"/>
      <c r="ES331" s="176" t="n"/>
      <c r="ET331" s="176" t="n"/>
      <c r="EU331" s="176" t="n"/>
      <c r="EV331" s="176" t="n"/>
      <c r="EW331" s="176" t="n"/>
      <c r="EX331" s="176" t="n"/>
      <c r="EY331" s="176" t="n"/>
      <c r="EZ331" s="176" t="n"/>
      <c r="FA331" s="176" t="n"/>
      <c r="FB331" s="176" t="n"/>
      <c r="FC331" s="176" t="n"/>
      <c r="FD331" s="176" t="n"/>
      <c r="FE331" s="176" t="n"/>
      <c r="FF331" s="176" t="n"/>
      <c r="FG331" s="176" t="n"/>
      <c r="FH331" s="176" t="n"/>
      <c r="FI331" s="176" t="n"/>
      <c r="FJ331" s="176" t="n"/>
      <c r="FK331" s="176" t="n"/>
      <c r="FL331" s="176" t="n"/>
      <c r="FM331" s="176" t="n"/>
      <c r="FN331" s="176" t="n"/>
      <c r="FO331" s="176" t="n"/>
      <c r="FP331" s="176" t="n"/>
      <c r="FQ331" s="176" t="n"/>
      <c r="FR331" s="176" t="n"/>
      <c r="FS331" s="176" t="n"/>
      <c r="FT331" s="176" t="n"/>
      <c r="FU331" s="176" t="n"/>
      <c r="FV331" s="176" t="n"/>
      <c r="FW331" s="176" t="n"/>
      <c r="FX331" s="176" t="n"/>
      <c r="FY331" s="176" t="n"/>
      <c r="FZ331" s="176" t="n"/>
      <c r="GA331" s="176" t="n"/>
      <c r="GB331" s="176" t="n"/>
      <c r="GC331" s="176" t="n"/>
      <c r="GD331" s="176" t="n"/>
      <c r="GE331" s="176" t="n"/>
      <c r="GF331" s="176" t="n"/>
      <c r="GG331" s="176" t="n"/>
      <c r="GH331" s="176" t="n"/>
      <c r="GI331" s="176" t="n"/>
      <c r="GJ331" s="176" t="n"/>
      <c r="GK331" s="176" t="n"/>
      <c r="GL331" s="176" t="n"/>
      <c r="GM331" s="176" t="n"/>
      <c r="GN331" s="176" t="n"/>
      <c r="GO331" s="176" t="n"/>
      <c r="GP331" s="176" t="n"/>
      <c r="GQ331" s="176" t="n"/>
      <c r="GR331" s="176" t="n"/>
      <c r="GS331" s="176" t="n"/>
      <c r="GT331" s="176" t="n"/>
      <c r="GU331" s="176" t="n"/>
      <c r="GV331" s="176" t="n"/>
      <c r="GW331" s="176" t="n"/>
      <c r="GX331" s="176" t="n"/>
      <c r="GY331" s="176" t="n"/>
      <c r="GZ331" s="176" t="n"/>
      <c r="HA331" s="176" t="n"/>
      <c r="HB331" s="176" t="n"/>
      <c r="HC331" s="176" t="n"/>
      <c r="HD331" s="176" t="n"/>
      <c r="HE331" s="176" t="n"/>
      <c r="HF331" s="176" t="n"/>
      <c r="HG331" s="176" t="n"/>
      <c r="HH331" s="176" t="n"/>
      <c r="HI331" s="176" t="n"/>
      <c r="HJ331" s="176" t="n"/>
      <c r="HK331" s="176" t="n"/>
      <c r="HL331" s="176" t="n"/>
      <c r="HM331" s="176" t="n"/>
      <c r="HN331" s="176" t="n"/>
      <c r="HO331" s="176" t="n"/>
      <c r="HP331" s="176" t="n"/>
      <c r="HQ331" s="176" t="n"/>
      <c r="HR331" s="176" t="n"/>
      <c r="HS331" s="176" t="n"/>
      <c r="HT331" s="176" t="n"/>
      <c r="HU331" s="176" t="n"/>
      <c r="HV331" s="176" t="n"/>
      <c r="HW331" s="176" t="n"/>
      <c r="HX331" s="176" t="n"/>
      <c r="HY331" s="176" t="n"/>
      <c r="HZ331" s="176" t="n"/>
      <c r="IA331" s="176" t="n"/>
      <c r="IB331" s="176" t="n"/>
      <c r="IC331" s="176" t="n"/>
      <c r="ID331" s="176" t="n"/>
    </row>
    <row r="332" ht="18.75" customHeight="1">
      <c r="A332" s="176" t="n"/>
      <c r="B332" s="176" t="n"/>
      <c r="C332" s="176" t="n"/>
      <c r="D332" s="176" t="n"/>
      <c r="E332" s="176" t="n"/>
      <c r="F332" s="176" t="n"/>
      <c r="G332" s="176" t="n"/>
      <c r="H332" s="176" t="n"/>
      <c r="I332" s="176" t="n"/>
      <c r="J332" s="176" t="n"/>
      <c r="K332" s="176" t="n"/>
      <c r="L332" s="176" t="n"/>
      <c r="M332" s="176" t="n"/>
      <c r="N332" s="176" t="n"/>
      <c r="O332" s="176" t="n"/>
      <c r="P332" s="176" t="n"/>
      <c r="Q332" s="176" t="n"/>
      <c r="R332" s="176" t="n"/>
      <c r="S332" s="176" t="n"/>
      <c r="T332" s="181" t="inlineStr">
        <is>
          <t>TIPO</t>
        </is>
      </c>
      <c r="U332" s="182" t="n"/>
      <c r="V332" s="182" t="n"/>
      <c r="W332" s="183" t="n"/>
      <c r="X332" s="181" t="inlineStr">
        <is>
          <t>MESTRE VIU</t>
        </is>
      </c>
      <c r="Y332" s="183" t="n"/>
      <c r="Z332" s="176" t="n"/>
      <c r="AA332" s="176" t="n"/>
      <c r="AB332" s="181" t="inlineStr">
        <is>
          <t>TIPO</t>
        </is>
      </c>
      <c r="AC332" s="182" t="n"/>
      <c r="AD332" s="182" t="n"/>
      <c r="AE332" s="183" t="n"/>
      <c r="AF332" s="181" t="inlineStr">
        <is>
          <t>MESTRE VIU</t>
        </is>
      </c>
      <c r="AG332" s="183" t="n"/>
      <c r="AH332" s="176" t="n"/>
      <c r="AI332" s="176" t="n"/>
      <c r="AJ332" s="176" t="n"/>
      <c r="AK332" s="176" t="n"/>
      <c r="AL332" s="176" t="n"/>
      <c r="AM332" s="176" t="n"/>
      <c r="AN332" s="176" t="n"/>
      <c r="AO332" s="176" t="n"/>
      <c r="AP332" s="176" t="n"/>
      <c r="AQ332" s="176" t="n"/>
      <c r="AR332" s="176" t="n"/>
      <c r="AS332" s="176" t="n"/>
      <c r="AT332" s="176" t="n"/>
      <c r="AU332" s="176" t="n"/>
      <c r="AV332" s="176" t="n"/>
      <c r="AW332" s="176" t="n"/>
      <c r="AX332" s="176" t="n"/>
      <c r="AY332" s="176" t="n"/>
      <c r="AZ332" s="176" t="n"/>
      <c r="BA332" s="176" t="n"/>
      <c r="BB332" s="176" t="n"/>
      <c r="BC332" s="176" t="n"/>
      <c r="BD332" s="176" t="n"/>
      <c r="BE332" s="176" t="n"/>
      <c r="BF332" s="176" t="n"/>
      <c r="BG332" s="176" t="n"/>
      <c r="BH332" s="176" t="n"/>
      <c r="BI332" s="176" t="n"/>
      <c r="BJ332" s="176" t="n"/>
      <c r="BK332" s="176" t="n"/>
      <c r="BL332" s="176" t="n"/>
      <c r="BM332" s="176" t="n"/>
      <c r="BN332" s="176" t="n"/>
      <c r="BO332" s="176" t="n"/>
      <c r="BP332" s="176" t="n"/>
      <c r="BQ332" s="176" t="n"/>
      <c r="BR332" s="176" t="n"/>
      <c r="BS332" s="176" t="n"/>
      <c r="BT332" s="176" t="n"/>
      <c r="BU332" s="176" t="n"/>
      <c r="BV332" s="176" t="n"/>
      <c r="BW332" s="176" t="n"/>
      <c r="BX332" s="176" t="n"/>
      <c r="BY332" s="176" t="n"/>
      <c r="BZ332" s="176" t="n"/>
      <c r="CA332" s="176" t="n"/>
      <c r="CB332" s="176" t="n"/>
      <c r="CC332" s="176" t="n"/>
      <c r="CD332" s="176" t="n"/>
      <c r="CE332" s="176" t="n"/>
      <c r="CF332" s="176" t="n"/>
      <c r="CG332" s="176" t="n"/>
      <c r="CH332" s="176" t="n"/>
      <c r="CI332" s="176" t="n"/>
      <c r="CJ332" s="176" t="n"/>
      <c r="CK332" s="176" t="n"/>
      <c r="CL332" s="176" t="n"/>
      <c r="CM332" s="176" t="n"/>
      <c r="CN332" s="176" t="n"/>
      <c r="CO332" s="176" t="n"/>
      <c r="CP332" s="176" t="n"/>
      <c r="CQ332" s="176" t="n"/>
      <c r="CR332" s="176" t="n"/>
      <c r="CS332" s="176" t="n"/>
      <c r="CT332" s="176" t="n"/>
      <c r="CU332" s="176" t="n"/>
      <c r="CV332" s="176" t="n"/>
      <c r="CW332" s="176" t="n"/>
      <c r="CX332" s="176" t="n"/>
      <c r="CY332" s="176" t="n"/>
      <c r="CZ332" s="176" t="n"/>
      <c r="DA332" s="176" t="n"/>
      <c r="DB332" s="176" t="n"/>
      <c r="DC332" s="176" t="n"/>
      <c r="DD332" s="176" t="n"/>
      <c r="DE332" s="176" t="n"/>
      <c r="DF332" s="176" t="n"/>
      <c r="DG332" s="176" t="n"/>
      <c r="DH332" s="176" t="n"/>
      <c r="DI332" s="176" t="n"/>
      <c r="DJ332" s="176" t="n"/>
      <c r="DK332" s="176" t="n"/>
      <c r="DL332" s="176" t="n"/>
      <c r="DM332" s="176" t="n"/>
      <c r="DN332" s="176" t="n"/>
      <c r="DO332" s="176" t="n"/>
      <c r="DP332" s="176" t="n"/>
      <c r="DQ332" s="176" t="n"/>
      <c r="DR332" s="193" t="n"/>
      <c r="DW332" s="194" t="n"/>
      <c r="DX332" s="176" t="n"/>
      <c r="DY332" s="176" t="n"/>
      <c r="DZ332" s="193" t="n"/>
      <c r="EE332" s="194" t="n"/>
      <c r="EF332" s="176" t="n"/>
      <c r="EG332" s="176" t="n"/>
      <c r="EH332" s="176" t="n"/>
      <c r="EI332" s="176" t="n"/>
      <c r="EJ332" s="176" t="n"/>
      <c r="EK332" s="176" t="n"/>
      <c r="EL332" s="176" t="n"/>
      <c r="EM332" s="176" t="n"/>
      <c r="EN332" s="176" t="n"/>
      <c r="EO332" s="176" t="n"/>
      <c r="EP332" s="176" t="n"/>
      <c r="EQ332" s="176" t="n"/>
      <c r="ER332" s="176" t="n"/>
      <c r="ES332" s="176" t="n"/>
      <c r="ET332" s="176" t="n"/>
      <c r="EU332" s="176" t="n"/>
      <c r="EV332" s="176" t="n"/>
      <c r="EW332" s="176" t="n"/>
      <c r="EX332" s="176" t="n"/>
      <c r="EY332" s="176" t="n"/>
      <c r="EZ332" s="176" t="n"/>
      <c r="FA332" s="176" t="n"/>
      <c r="FB332" s="176" t="n"/>
      <c r="FC332" s="176" t="n"/>
      <c r="FD332" s="176" t="n"/>
      <c r="FE332" s="176" t="n"/>
      <c r="FF332" s="176" t="n"/>
      <c r="FG332" s="176" t="n"/>
      <c r="FH332" s="176" t="n"/>
      <c r="FI332" s="176" t="n"/>
      <c r="FJ332" s="176" t="n"/>
      <c r="FK332" s="176" t="n"/>
      <c r="FL332" s="176" t="n"/>
      <c r="FM332" s="176" t="n"/>
      <c r="FN332" s="176" t="n"/>
      <c r="FO332" s="176" t="n"/>
      <c r="FP332" s="176" t="n"/>
      <c r="FQ332" s="176" t="n"/>
      <c r="FR332" s="176" t="n"/>
      <c r="FS332" s="176" t="n"/>
      <c r="FT332" s="176" t="n"/>
      <c r="FU332" s="176" t="n"/>
      <c r="FV332" s="176" t="n"/>
      <c r="FW332" s="176" t="n"/>
      <c r="FX332" s="176" t="n"/>
      <c r="FY332" s="176" t="n"/>
      <c r="FZ332" s="176" t="n"/>
      <c r="GA332" s="176" t="n"/>
      <c r="GB332" s="176" t="n"/>
      <c r="GC332" s="176" t="n"/>
      <c r="GD332" s="176" t="n"/>
      <c r="GE332" s="176" t="n"/>
      <c r="GF332" s="176" t="n"/>
      <c r="GG332" s="176" t="n"/>
      <c r="GH332" s="176" t="n"/>
      <c r="GI332" s="176" t="n"/>
      <c r="GJ332" s="176" t="n"/>
      <c r="GK332" s="176" t="n"/>
      <c r="GL332" s="176" t="n"/>
      <c r="GM332" s="176" t="n"/>
      <c r="GN332" s="176" t="n"/>
      <c r="GO332" s="176" t="n"/>
      <c r="GP332" s="176" t="n"/>
      <c r="GQ332" s="176" t="n"/>
      <c r="GR332" s="176" t="n"/>
      <c r="GS332" s="176" t="n"/>
      <c r="GT332" s="176" t="n"/>
      <c r="GU332" s="176" t="n"/>
      <c r="GV332" s="176" t="n"/>
      <c r="GW332" s="176" t="n"/>
      <c r="GX332" s="176" t="n"/>
      <c r="GY332" s="176" t="n"/>
      <c r="GZ332" s="176" t="n"/>
      <c r="HA332" s="176" t="n"/>
      <c r="HB332" s="176" t="n"/>
      <c r="HC332" s="176" t="n"/>
      <c r="HD332" s="176" t="n"/>
      <c r="HE332" s="176" t="n"/>
      <c r="HF332" s="176" t="n"/>
      <c r="HG332" s="176" t="n"/>
      <c r="HH332" s="176" t="n"/>
      <c r="HI332" s="176" t="n"/>
      <c r="HJ332" s="176" t="n"/>
      <c r="HK332" s="176" t="n"/>
      <c r="HL332" s="176" t="n"/>
      <c r="HM332" s="176" t="n"/>
      <c r="HN332" s="176" t="n"/>
      <c r="HO332" s="176" t="n"/>
      <c r="HP332" s="176" t="n"/>
      <c r="HQ332" s="176" t="n"/>
      <c r="HR332" s="176" t="n"/>
      <c r="HS332" s="176" t="n"/>
      <c r="HT332" s="176" t="n"/>
      <c r="HU332" s="176" t="n"/>
      <c r="HV332" s="176" t="n"/>
      <c r="HW332" s="176" t="n"/>
      <c r="HX332" s="176" t="n"/>
      <c r="HY332" s="176" t="n"/>
      <c r="HZ332" s="176" t="n"/>
      <c r="IA332" s="176" t="n"/>
      <c r="IB332" s="176" t="n"/>
      <c r="IC332" s="176" t="n"/>
      <c r="ID332" s="176" t="n"/>
    </row>
    <row r="333" ht="18.75" customHeight="1">
      <c r="A333" s="176" t="n"/>
      <c r="B333" s="176" t="n"/>
      <c r="C333" s="176" t="n"/>
      <c r="D333" s="176" t="n"/>
      <c r="E333" s="176" t="n"/>
      <c r="F333" s="176" t="n"/>
      <c r="G333" s="176" t="n"/>
      <c r="H333" s="176" t="n"/>
      <c r="I333" s="176" t="n"/>
      <c r="J333" s="176" t="n"/>
      <c r="K333" s="176" t="n"/>
      <c r="L333" s="176" t="n"/>
      <c r="M333" s="176" t="n"/>
      <c r="N333" s="176" t="n"/>
      <c r="O333" s="176" t="n"/>
      <c r="P333" s="176" t="n"/>
      <c r="Q333" s="176" t="n"/>
      <c r="R333" s="176" t="n"/>
      <c r="S333" s="176" t="n"/>
      <c r="T333" s="185" t="n"/>
      <c r="U333" s="182" t="n"/>
      <c r="V333" s="182" t="n"/>
      <c r="W333" s="183" t="n"/>
      <c r="X333" s="184" t="b">
        <v>0</v>
      </c>
      <c r="Y333" s="183" t="n"/>
      <c r="Z333" s="176" t="n"/>
      <c r="AA333" s="176" t="n"/>
      <c r="AB333" s="185" t="n"/>
      <c r="AC333" s="182" t="n"/>
      <c r="AD333" s="182" t="n"/>
      <c r="AE333" s="183" t="n"/>
      <c r="AF333" s="184" t="b">
        <v>0</v>
      </c>
      <c r="AG333" s="183" t="n"/>
      <c r="AH333" s="176" t="n"/>
      <c r="AI333" s="176" t="n"/>
      <c r="AJ333" s="176" t="n"/>
      <c r="AK333" s="176" t="n"/>
      <c r="AL333" s="176" t="n"/>
      <c r="AM333" s="176" t="n"/>
      <c r="AN333" s="176" t="n"/>
      <c r="AO333" s="176" t="n"/>
      <c r="AP333" s="176" t="n"/>
      <c r="AQ333" s="176" t="n"/>
      <c r="AR333" s="176" t="n"/>
      <c r="AS333" s="176" t="n"/>
      <c r="AT333" s="176" t="n"/>
      <c r="AU333" s="176" t="n"/>
      <c r="AV333" s="176" t="n"/>
      <c r="AW333" s="176" t="n"/>
      <c r="AX333" s="176" t="n"/>
      <c r="AY333" s="176" t="n"/>
      <c r="AZ333" s="176" t="n"/>
      <c r="BA333" s="176" t="n"/>
      <c r="BB333" s="176" t="n"/>
      <c r="BC333" s="176" t="n"/>
      <c r="BD333" s="176" t="n"/>
      <c r="BE333" s="176" t="n"/>
      <c r="BF333" s="176" t="n"/>
      <c r="BG333" s="176" t="n"/>
      <c r="BH333" s="176" t="n"/>
      <c r="BI333" s="176" t="n"/>
      <c r="BJ333" s="176" t="n"/>
      <c r="BK333" s="176" t="n"/>
      <c r="BL333" s="176" t="n"/>
      <c r="BM333" s="176" t="n"/>
      <c r="BN333" s="176" t="n"/>
      <c r="BO333" s="176" t="n"/>
      <c r="BP333" s="176" t="n"/>
      <c r="BQ333" s="176" t="n"/>
      <c r="BR333" s="176" t="n"/>
      <c r="BS333" s="176" t="n"/>
      <c r="BT333" s="176" t="n"/>
      <c r="BU333" s="176" t="n"/>
      <c r="BV333" s="176" t="n"/>
      <c r="BW333" s="176" t="n"/>
      <c r="BX333" s="176" t="n"/>
      <c r="BY333" s="176" t="n"/>
      <c r="BZ333" s="176" t="n"/>
      <c r="CA333" s="176" t="n"/>
      <c r="CB333" s="176" t="n"/>
      <c r="CC333" s="176" t="n"/>
      <c r="CD333" s="176" t="n"/>
      <c r="CE333" s="176" t="n"/>
      <c r="CF333" s="176" t="n"/>
      <c r="CG333" s="176" t="n"/>
      <c r="CH333" s="176" t="n"/>
      <c r="CI333" s="176" t="n"/>
      <c r="CJ333" s="176" t="n"/>
      <c r="CK333" s="176" t="n"/>
      <c r="CL333" s="176" t="n"/>
      <c r="CM333" s="176" t="n"/>
      <c r="CN333" s="176" t="n"/>
      <c r="CO333" s="176" t="n"/>
      <c r="CP333" s="176" t="n"/>
      <c r="CQ333" s="176" t="n"/>
      <c r="CR333" s="176" t="n"/>
      <c r="CS333" s="176" t="n"/>
      <c r="CT333" s="176" t="n"/>
      <c r="CU333" s="176" t="n"/>
      <c r="CV333" s="176" t="n"/>
      <c r="CW333" s="176" t="n"/>
      <c r="CX333" s="176" t="n"/>
      <c r="CY333" s="176" t="n"/>
      <c r="CZ333" s="176" t="n"/>
      <c r="DA333" s="181" t="inlineStr">
        <is>
          <t>REQUISITOS E REPETIÇÃO</t>
        </is>
      </c>
      <c r="DB333" s="182" t="n"/>
      <c r="DC333" s="182" t="n"/>
      <c r="DD333" s="182" t="n"/>
      <c r="DE333" s="182" t="n"/>
      <c r="DF333" s="183" t="n"/>
      <c r="DG333" s="176" t="n"/>
      <c r="DH333" s="176" t="n"/>
      <c r="DI333" s="181" t="inlineStr">
        <is>
          <t>REQUISITOS E REPETIÇÃO</t>
        </is>
      </c>
      <c r="DJ333" s="182" t="n"/>
      <c r="DK333" s="182" t="n"/>
      <c r="DL333" s="182" t="n"/>
      <c r="DM333" s="182" t="n"/>
      <c r="DN333" s="183" t="n"/>
      <c r="DO333" s="176" t="n"/>
      <c r="DP333" s="176" t="n"/>
      <c r="DQ333" s="176" t="n"/>
      <c r="DR333" s="193" t="n"/>
      <c r="DW333" s="194" t="n"/>
      <c r="DX333" s="176" t="n"/>
      <c r="DY333" s="176" t="n"/>
      <c r="DZ333" s="193" t="n"/>
      <c r="EE333" s="194" t="n"/>
      <c r="EF333" s="176" t="n"/>
      <c r="EG333" s="176" t="n"/>
      <c r="EH333" s="176" t="n"/>
      <c r="EI333" s="176" t="n"/>
      <c r="EJ333" s="176" t="n"/>
      <c r="EK333" s="176" t="n"/>
      <c r="EL333" s="176" t="n"/>
      <c r="EM333" s="176" t="n"/>
      <c r="EN333" s="176" t="n"/>
      <c r="EO333" s="176" t="n"/>
      <c r="EP333" s="176" t="n"/>
      <c r="EQ333" s="176" t="n"/>
      <c r="ER333" s="176" t="n"/>
      <c r="ES333" s="176" t="n"/>
      <c r="ET333" s="176" t="n"/>
      <c r="EU333" s="176" t="n"/>
      <c r="EV333" s="176" t="n"/>
      <c r="EW333" s="176" t="n"/>
      <c r="EX333" s="176" t="n"/>
      <c r="EY333" s="176" t="n"/>
      <c r="EZ333" s="176" t="n"/>
      <c r="FA333" s="176" t="n"/>
      <c r="FB333" s="176" t="n"/>
      <c r="FC333" s="176" t="n"/>
      <c r="FD333" s="176" t="n"/>
      <c r="FE333" s="176" t="n"/>
      <c r="FF333" s="176" t="n"/>
      <c r="FG333" s="176" t="n"/>
      <c r="FH333" s="176" t="n"/>
      <c r="FI333" s="176" t="n"/>
      <c r="FJ333" s="176" t="n"/>
      <c r="FK333" s="176" t="n"/>
      <c r="FL333" s="176" t="n"/>
      <c r="FM333" s="176" t="n"/>
      <c r="FN333" s="176" t="n"/>
      <c r="FO333" s="176" t="n"/>
      <c r="FP333" s="176" t="n"/>
      <c r="FQ333" s="176" t="n"/>
      <c r="FR333" s="176" t="n"/>
      <c r="FS333" s="176" t="n"/>
      <c r="FT333" s="176" t="n"/>
      <c r="FU333" s="176" t="n"/>
      <c r="FV333" s="176" t="n"/>
      <c r="FW333" s="176" t="n"/>
      <c r="FX333" s="176" t="n"/>
      <c r="FY333" s="176" t="n"/>
      <c r="FZ333" s="176" t="n"/>
      <c r="GA333" s="176" t="n"/>
      <c r="GB333" s="176" t="n"/>
      <c r="GC333" s="176" t="n"/>
      <c r="GD333" s="176" t="n"/>
      <c r="GE333" s="176" t="n"/>
      <c r="GF333" s="176" t="n"/>
      <c r="GG333" s="176" t="n"/>
      <c r="GH333" s="176" t="n"/>
      <c r="GI333" s="176" t="n"/>
      <c r="GJ333" s="176" t="n"/>
      <c r="GK333" s="176" t="n"/>
      <c r="GL333" s="176" t="n"/>
      <c r="GM333" s="176" t="n"/>
      <c r="GN333" s="176" t="n"/>
      <c r="GO333" s="176" t="n"/>
      <c r="GP333" s="176" t="n"/>
      <c r="GQ333" s="176" t="n"/>
      <c r="GR333" s="176" t="n"/>
      <c r="GS333" s="176" t="n"/>
      <c r="GT333" s="176" t="n"/>
      <c r="GU333" s="176" t="n"/>
      <c r="GV333" s="176" t="n"/>
      <c r="GW333" s="176" t="n"/>
      <c r="GX333" s="176" t="n"/>
      <c r="GY333" s="176" t="n"/>
      <c r="GZ333" s="176" t="n"/>
      <c r="HA333" s="176" t="n"/>
      <c r="HB333" s="176" t="n"/>
      <c r="HC333" s="176" t="n"/>
      <c r="HD333" s="176" t="n"/>
      <c r="HE333" s="176" t="n"/>
      <c r="HF333" s="176" t="n"/>
      <c r="HG333" s="176" t="n"/>
      <c r="HH333" s="176" t="n"/>
      <c r="HI333" s="176" t="n"/>
      <c r="HJ333" s="176" t="n"/>
      <c r="HK333" s="176" t="n"/>
      <c r="HL333" s="176" t="n"/>
      <c r="HM333" s="176" t="n"/>
      <c r="HN333" s="176" t="n"/>
      <c r="HO333" s="176" t="n"/>
      <c r="HP333" s="176" t="n"/>
      <c r="HQ333" s="176" t="n"/>
      <c r="HR333" s="176" t="n"/>
      <c r="HS333" s="176" t="n"/>
      <c r="HT333" s="176" t="n"/>
      <c r="HU333" s="176" t="n"/>
      <c r="HV333" s="176" t="n"/>
      <c r="HW333" s="176" t="n"/>
      <c r="HX333" s="176" t="n"/>
      <c r="HY333" s="176" t="n"/>
      <c r="HZ333" s="176" t="n"/>
      <c r="IA333" s="176" t="n"/>
      <c r="IB333" s="176" t="n"/>
      <c r="IC333" s="176" t="n"/>
      <c r="ID333" s="176" t="n"/>
    </row>
    <row r="334" ht="18.75" customHeight="1">
      <c r="A334" s="176" t="n"/>
      <c r="B334" s="176" t="n"/>
      <c r="C334" s="176" t="n"/>
      <c r="D334" s="176" t="n"/>
      <c r="E334" s="176" t="n"/>
      <c r="F334" s="176" t="n"/>
      <c r="G334" s="176" t="n"/>
      <c r="H334" s="176" t="n"/>
      <c r="I334" s="176" t="n"/>
      <c r="J334" s="176" t="n"/>
      <c r="K334" s="176" t="n"/>
      <c r="L334" s="176" t="n"/>
      <c r="M334" s="176" t="n"/>
      <c r="N334" s="176" t="n"/>
      <c r="O334" s="176" t="n"/>
      <c r="P334" s="176" t="n"/>
      <c r="Q334" s="176" t="n"/>
      <c r="R334" s="176" t="n"/>
      <c r="S334" s="176" t="n"/>
      <c r="T334" s="181" t="inlineStr">
        <is>
          <t>NOME</t>
        </is>
      </c>
      <c r="U334" s="182" t="n"/>
      <c r="V334" s="182" t="n"/>
      <c r="W334" s="182" t="n"/>
      <c r="X334" s="182" t="n"/>
      <c r="Y334" s="183" t="n"/>
      <c r="Z334" s="176" t="n"/>
      <c r="AA334" s="176" t="n"/>
      <c r="AB334" s="181" t="inlineStr">
        <is>
          <t>NOME</t>
        </is>
      </c>
      <c r="AC334" s="182" t="n"/>
      <c r="AD334" s="182" t="n"/>
      <c r="AE334" s="182" t="n"/>
      <c r="AF334" s="182" t="n"/>
      <c r="AG334" s="183" t="n"/>
      <c r="AH334" s="176" t="n"/>
      <c r="AI334" s="176" t="n"/>
      <c r="AJ334" s="176" t="n"/>
      <c r="AK334" s="176" t="n"/>
      <c r="AL334" s="176" t="n"/>
      <c r="AM334" s="176" t="n"/>
      <c r="AN334" s="176" t="n"/>
      <c r="AO334" s="176" t="n"/>
      <c r="AP334" s="176" t="n"/>
      <c r="AQ334" s="176" t="n"/>
      <c r="AR334" s="176" t="n"/>
      <c r="AS334" s="176" t="n"/>
      <c r="AT334" s="176" t="n"/>
      <c r="AU334" s="176" t="n"/>
      <c r="AV334" s="176" t="n"/>
      <c r="AW334" s="176" t="n"/>
      <c r="AX334" s="176" t="n"/>
      <c r="AY334" s="176" t="n"/>
      <c r="AZ334" s="176" t="n"/>
      <c r="BA334" s="176" t="n"/>
      <c r="BB334" s="176" t="n"/>
      <c r="BC334" s="176" t="n"/>
      <c r="BD334" s="176" t="n"/>
      <c r="BE334" s="176" t="n"/>
      <c r="BF334" s="176" t="n"/>
      <c r="BG334" s="176" t="n"/>
      <c r="BH334" s="176" t="n"/>
      <c r="BI334" s="176" t="n"/>
      <c r="BJ334" s="176" t="n"/>
      <c r="BK334" s="176" t="n"/>
      <c r="BL334" s="176" t="n"/>
      <c r="BM334" s="176" t="n"/>
      <c r="BN334" s="176" t="n"/>
      <c r="BO334" s="176" t="n"/>
      <c r="BP334" s="176" t="n"/>
      <c r="BQ334" s="176" t="n"/>
      <c r="BR334" s="176" t="n"/>
      <c r="BS334" s="176" t="n"/>
      <c r="BT334" s="176" t="n"/>
      <c r="BU334" s="176" t="n"/>
      <c r="BV334" s="176" t="n"/>
      <c r="BW334" s="176" t="n"/>
      <c r="BX334" s="176" t="n"/>
      <c r="BY334" s="176" t="n"/>
      <c r="BZ334" s="176" t="n"/>
      <c r="CA334" s="176" t="n"/>
      <c r="CB334" s="176" t="n"/>
      <c r="CC334" s="176" t="n"/>
      <c r="CD334" s="176" t="n"/>
      <c r="CE334" s="176" t="n"/>
      <c r="CF334" s="176" t="n"/>
      <c r="CG334" s="176" t="n"/>
      <c r="CH334" s="176" t="n"/>
      <c r="CI334" s="176" t="n"/>
      <c r="CJ334" s="176" t="n"/>
      <c r="CK334" s="176" t="n"/>
      <c r="CL334" s="176" t="n"/>
      <c r="CM334" s="176" t="n"/>
      <c r="CN334" s="176" t="n"/>
      <c r="CO334" s="176" t="n"/>
      <c r="CP334" s="176" t="n"/>
      <c r="CQ334" s="176" t="n"/>
      <c r="CR334" s="176" t="n"/>
      <c r="CS334" s="176" t="n"/>
      <c r="CT334" s="176" t="n"/>
      <c r="CU334" s="176" t="n"/>
      <c r="CV334" s="176" t="n"/>
      <c r="CW334" s="176" t="n"/>
      <c r="CX334" s="176" t="n"/>
      <c r="CY334" s="176" t="n"/>
      <c r="CZ334" s="176" t="n"/>
      <c r="DA334" s="192" t="n"/>
      <c r="DB334" s="187" t="n"/>
      <c r="DC334" s="187" t="n"/>
      <c r="DD334" s="187" t="n"/>
      <c r="DE334" s="187" t="n"/>
      <c r="DF334" s="188" t="n"/>
      <c r="DG334" s="176" t="n"/>
      <c r="DH334" s="176" t="n"/>
      <c r="DI334" s="192" t="n"/>
      <c r="DJ334" s="187" t="n"/>
      <c r="DK334" s="187" t="n"/>
      <c r="DL334" s="187" t="n"/>
      <c r="DM334" s="187" t="n"/>
      <c r="DN334" s="188" t="n"/>
      <c r="DO334" s="176" t="n"/>
      <c r="DP334" s="176" t="n"/>
      <c r="DQ334" s="176" t="n"/>
      <c r="DR334" s="193" t="n"/>
      <c r="DW334" s="194" t="n"/>
      <c r="DX334" s="176" t="n"/>
      <c r="DY334" s="176" t="n"/>
      <c r="DZ334" s="193" t="n"/>
      <c r="EE334" s="194" t="n"/>
      <c r="EF334" s="176" t="n"/>
      <c r="EG334" s="176" t="n"/>
      <c r="EH334" s="176" t="n"/>
      <c r="EI334" s="176" t="n"/>
      <c r="EJ334" s="176" t="n"/>
      <c r="EK334" s="176" t="n"/>
      <c r="EL334" s="176" t="n"/>
      <c r="EM334" s="176" t="n"/>
      <c r="EN334" s="176" t="n"/>
      <c r="EO334" s="176" t="n"/>
      <c r="EP334" s="176" t="n"/>
      <c r="EQ334" s="176" t="n"/>
      <c r="ER334" s="176" t="n"/>
      <c r="ES334" s="176" t="n"/>
      <c r="ET334" s="176" t="n"/>
      <c r="EU334" s="176" t="n"/>
      <c r="EV334" s="176" t="n"/>
      <c r="EW334" s="176" t="n"/>
      <c r="EX334" s="176" t="n"/>
      <c r="EY334" s="176" t="n"/>
      <c r="EZ334" s="176" t="n"/>
      <c r="FA334" s="176" t="n"/>
      <c r="FB334" s="176" t="n"/>
      <c r="FC334" s="176" t="n"/>
      <c r="FD334" s="176" t="n"/>
      <c r="FE334" s="176" t="n"/>
      <c r="FF334" s="176" t="n"/>
      <c r="FG334" s="176" t="n"/>
      <c r="FH334" s="176" t="n"/>
      <c r="FI334" s="176" t="n"/>
      <c r="FJ334" s="176" t="n"/>
      <c r="FK334" s="176" t="n"/>
      <c r="FL334" s="176" t="n"/>
      <c r="FM334" s="176" t="n"/>
      <c r="FN334" s="176" t="n"/>
      <c r="FO334" s="176" t="n"/>
      <c r="FP334" s="176" t="n"/>
      <c r="FQ334" s="176" t="n"/>
      <c r="FR334" s="176" t="n"/>
      <c r="FS334" s="176" t="n"/>
      <c r="FT334" s="176" t="n"/>
      <c r="FU334" s="176" t="n"/>
      <c r="FV334" s="176" t="n"/>
      <c r="FW334" s="176" t="n"/>
      <c r="FX334" s="176" t="n"/>
      <c r="FY334" s="176" t="n"/>
      <c r="FZ334" s="176" t="n"/>
      <c r="GA334" s="176" t="n"/>
      <c r="GB334" s="176" t="n"/>
      <c r="GC334" s="176" t="n"/>
      <c r="GD334" s="176" t="n"/>
      <c r="GE334" s="176" t="n"/>
      <c r="GF334" s="176" t="n"/>
      <c r="GG334" s="176" t="n"/>
      <c r="GH334" s="176" t="n"/>
      <c r="GI334" s="176" t="n"/>
      <c r="GJ334" s="176" t="n"/>
      <c r="GK334" s="176" t="n"/>
      <c r="GL334" s="176" t="n"/>
      <c r="GM334" s="176" t="n"/>
      <c r="GN334" s="176" t="n"/>
      <c r="GO334" s="176" t="n"/>
      <c r="GP334" s="176" t="n"/>
      <c r="GQ334" s="176" t="n"/>
      <c r="GR334" s="176" t="n"/>
      <c r="GS334" s="176" t="n"/>
      <c r="GT334" s="176" t="n"/>
      <c r="GU334" s="176" t="n"/>
      <c r="GV334" s="176" t="n"/>
      <c r="GW334" s="176" t="n"/>
      <c r="GX334" s="176" t="n"/>
      <c r="GY334" s="176" t="n"/>
      <c r="GZ334" s="176" t="n"/>
      <c r="HA334" s="176" t="n"/>
      <c r="HB334" s="176" t="n"/>
      <c r="HC334" s="176" t="n"/>
      <c r="HD334" s="176" t="n"/>
      <c r="HE334" s="176" t="n"/>
      <c r="HF334" s="176" t="n"/>
      <c r="HG334" s="176" t="n"/>
      <c r="HH334" s="176" t="n"/>
      <c r="HI334" s="176" t="n"/>
      <c r="HJ334" s="176" t="n"/>
      <c r="HK334" s="176" t="n"/>
      <c r="HL334" s="176" t="n"/>
      <c r="HM334" s="176" t="n"/>
      <c r="HN334" s="176" t="n"/>
      <c r="HO334" s="176" t="n"/>
      <c r="HP334" s="176" t="n"/>
      <c r="HQ334" s="176" t="n"/>
      <c r="HR334" s="176" t="n"/>
      <c r="HS334" s="176" t="n"/>
      <c r="HT334" s="176" t="n"/>
      <c r="HU334" s="176" t="n"/>
      <c r="HV334" s="176" t="n"/>
      <c r="HW334" s="176" t="n"/>
      <c r="HX334" s="176" t="n"/>
      <c r="HY334" s="176" t="n"/>
      <c r="HZ334" s="176" t="n"/>
      <c r="IA334" s="176" t="n"/>
      <c r="IB334" s="176" t="n"/>
      <c r="IC334" s="176" t="n"/>
      <c r="ID334" s="176" t="n"/>
    </row>
    <row r="335" ht="18.75" customHeight="1">
      <c r="A335" s="176" t="n"/>
      <c r="B335" s="176" t="n"/>
      <c r="C335" s="176" t="n"/>
      <c r="D335" s="176" t="n"/>
      <c r="E335" s="176" t="n"/>
      <c r="F335" s="176" t="n"/>
      <c r="G335" s="176" t="n"/>
      <c r="H335" s="176" t="n"/>
      <c r="I335" s="176" t="n"/>
      <c r="J335" s="176" t="n"/>
      <c r="K335" s="176" t="n"/>
      <c r="L335" s="176" t="n"/>
      <c r="M335" s="176" t="n"/>
      <c r="N335" s="176" t="n"/>
      <c r="O335" s="176" t="n"/>
      <c r="P335" s="176" t="n"/>
      <c r="Q335" s="176" t="n"/>
      <c r="R335" s="176" t="n"/>
      <c r="S335" s="176" t="n"/>
      <c r="T335" s="185" t="n"/>
      <c r="U335" s="182" t="n"/>
      <c r="V335" s="182" t="n"/>
      <c r="W335" s="182" t="n"/>
      <c r="X335" s="182" t="n"/>
      <c r="Y335" s="183" t="n"/>
      <c r="Z335" s="176" t="n"/>
      <c r="AA335" s="176" t="n"/>
      <c r="AB335" s="185" t="n"/>
      <c r="AC335" s="182" t="n"/>
      <c r="AD335" s="182" t="n"/>
      <c r="AE335" s="182" t="n"/>
      <c r="AF335" s="182" t="n"/>
      <c r="AG335" s="183" t="n"/>
      <c r="AH335" s="176" t="n"/>
      <c r="AI335" s="176" t="n"/>
      <c r="AJ335" s="176" t="n"/>
      <c r="AK335" s="176" t="n"/>
      <c r="AL335" s="176" t="n"/>
      <c r="AM335" s="176" t="n"/>
      <c r="AN335" s="176" t="n"/>
      <c r="AO335" s="176" t="n"/>
      <c r="AP335" s="176" t="n"/>
      <c r="AQ335" s="176" t="n"/>
      <c r="AR335" s="176" t="n"/>
      <c r="AS335" s="176" t="n"/>
      <c r="AT335" s="176" t="n"/>
      <c r="AU335" s="176" t="n"/>
      <c r="AV335" s="176" t="n"/>
      <c r="AW335" s="176" t="n"/>
      <c r="AX335" s="176" t="n"/>
      <c r="AY335" s="176" t="n"/>
      <c r="AZ335" s="176" t="n"/>
      <c r="BA335" s="176" t="n"/>
      <c r="BB335" s="176" t="n"/>
      <c r="BC335" s="176" t="n"/>
      <c r="BD335" s="176" t="n"/>
      <c r="BE335" s="176" t="n"/>
      <c r="BF335" s="176" t="n"/>
      <c r="BG335" s="176" t="n"/>
      <c r="BH335" s="176" t="n"/>
      <c r="BI335" s="176" t="n"/>
      <c r="BJ335" s="176" t="n"/>
      <c r="BK335" s="176" t="n"/>
      <c r="BL335" s="176" t="n"/>
      <c r="BM335" s="176" t="n"/>
      <c r="BN335" s="176" t="n"/>
      <c r="BO335" s="176" t="n"/>
      <c r="BP335" s="176" t="n"/>
      <c r="BQ335" s="176" t="n"/>
      <c r="BR335" s="176" t="n"/>
      <c r="BS335" s="176" t="n"/>
      <c r="BT335" s="176" t="n"/>
      <c r="BU335" s="176" t="n"/>
      <c r="BV335" s="176" t="n"/>
      <c r="BW335" s="176" t="n"/>
      <c r="BX335" s="176" t="n"/>
      <c r="BY335" s="176" t="n"/>
      <c r="BZ335" s="176" t="n"/>
      <c r="CA335" s="176" t="n"/>
      <c r="CB335" s="176" t="n"/>
      <c r="CC335" s="176" t="n"/>
      <c r="CD335" s="176" t="n"/>
      <c r="CE335" s="176" t="n"/>
      <c r="CF335" s="176" t="n"/>
      <c r="CG335" s="176" t="n"/>
      <c r="CH335" s="176" t="n"/>
      <c r="CI335" s="176" t="n"/>
      <c r="CJ335" s="176" t="n"/>
      <c r="CK335" s="176" t="n"/>
      <c r="CL335" s="176" t="n"/>
      <c r="CM335" s="176" t="n"/>
      <c r="CN335" s="176" t="n"/>
      <c r="CO335" s="176" t="n"/>
      <c r="CP335" s="176" t="n"/>
      <c r="CQ335" s="176" t="n"/>
      <c r="CR335" s="176" t="n"/>
      <c r="CS335" s="176" t="n"/>
      <c r="CT335" s="176" t="n"/>
      <c r="CU335" s="176" t="n"/>
      <c r="CV335" s="176" t="n"/>
      <c r="CW335" s="176" t="n"/>
      <c r="CX335" s="176" t="n"/>
      <c r="CY335" s="176" t="n"/>
      <c r="CZ335" s="176" t="n"/>
      <c r="DA335" s="193" t="n"/>
      <c r="DF335" s="194" t="n"/>
      <c r="DG335" s="176" t="n"/>
      <c r="DH335" s="176" t="n"/>
      <c r="DI335" s="193" t="n"/>
      <c r="DN335" s="194" t="n"/>
      <c r="DO335" s="176" t="n"/>
      <c r="DP335" s="176" t="n"/>
      <c r="DQ335" s="176" t="n"/>
      <c r="DR335" s="189" t="n"/>
      <c r="DS335" s="190" t="n"/>
      <c r="DT335" s="190" t="n"/>
      <c r="DU335" s="190" t="n"/>
      <c r="DV335" s="190" t="n"/>
      <c r="DW335" s="191" t="n"/>
      <c r="DX335" s="176" t="n"/>
      <c r="DY335" s="176" t="n"/>
      <c r="DZ335" s="189" t="n"/>
      <c r="EA335" s="190" t="n"/>
      <c r="EB335" s="190" t="n"/>
      <c r="EC335" s="190" t="n"/>
      <c r="ED335" s="190" t="n"/>
      <c r="EE335" s="191" t="n"/>
      <c r="EF335" s="176" t="n"/>
      <c r="EG335" s="176" t="n"/>
      <c r="EH335" s="176" t="n"/>
      <c r="EI335" s="176" t="n"/>
      <c r="EJ335" s="176" t="n"/>
      <c r="EK335" s="176" t="n"/>
      <c r="EL335" s="176" t="n"/>
      <c r="EM335" s="176" t="n"/>
      <c r="EN335" s="176" t="n"/>
      <c r="EO335" s="176" t="n"/>
      <c r="EP335" s="176" t="n"/>
      <c r="EQ335" s="176" t="n"/>
      <c r="ER335" s="176" t="n"/>
      <c r="ES335" s="176" t="n"/>
      <c r="ET335" s="176" t="n"/>
      <c r="EU335" s="176" t="n"/>
      <c r="EV335" s="176" t="n"/>
      <c r="EW335" s="176" t="n"/>
      <c r="EX335" s="176" t="n"/>
      <c r="EY335" s="176" t="n"/>
      <c r="EZ335" s="176" t="n"/>
      <c r="FA335" s="176" t="n"/>
      <c r="FB335" s="176" t="n"/>
      <c r="FC335" s="176" t="n"/>
      <c r="FD335" s="176" t="n"/>
      <c r="FE335" s="176" t="n"/>
      <c r="FF335" s="176" t="n"/>
      <c r="FG335" s="176" t="n"/>
      <c r="FH335" s="176" t="n"/>
      <c r="FI335" s="176" t="n"/>
      <c r="FJ335" s="176" t="n"/>
      <c r="FK335" s="176" t="n"/>
      <c r="FL335" s="176" t="n"/>
      <c r="FM335" s="176" t="n"/>
      <c r="FN335" s="176" t="n"/>
      <c r="FO335" s="176" t="n"/>
      <c r="FP335" s="176" t="n"/>
      <c r="FQ335" s="176" t="n"/>
      <c r="FR335" s="176" t="n"/>
      <c r="FS335" s="176" t="n"/>
      <c r="FT335" s="176" t="n"/>
      <c r="FU335" s="176" t="n"/>
      <c r="FV335" s="176" t="n"/>
      <c r="FW335" s="176" t="n"/>
      <c r="FX335" s="176" t="n"/>
      <c r="FY335" s="176" t="n"/>
      <c r="FZ335" s="176" t="n"/>
      <c r="GA335" s="176" t="n"/>
      <c r="GB335" s="176" t="n"/>
      <c r="GC335" s="176" t="n"/>
      <c r="GD335" s="176" t="n"/>
      <c r="GE335" s="176" t="n"/>
      <c r="GF335" s="176" t="n"/>
      <c r="GG335" s="176" t="n"/>
      <c r="GH335" s="176" t="n"/>
      <c r="GI335" s="176" t="n"/>
      <c r="GJ335" s="176" t="n"/>
      <c r="GK335" s="176" t="n"/>
      <c r="GL335" s="176" t="n"/>
      <c r="GM335" s="176" t="n"/>
      <c r="GN335" s="176" t="n"/>
      <c r="GO335" s="176" t="n"/>
      <c r="GP335" s="176" t="n"/>
      <c r="GQ335" s="176" t="n"/>
      <c r="GR335" s="176" t="n"/>
      <c r="GS335" s="176" t="n"/>
      <c r="GT335" s="176" t="n"/>
      <c r="GU335" s="176" t="n"/>
      <c r="GV335" s="176" t="n"/>
      <c r="GW335" s="176" t="n"/>
      <c r="GX335" s="176" t="n"/>
      <c r="GY335" s="176" t="n"/>
      <c r="GZ335" s="176" t="n"/>
      <c r="HA335" s="176" t="n"/>
      <c r="HB335" s="176" t="n"/>
      <c r="HC335" s="176" t="n"/>
      <c r="HD335" s="176" t="n"/>
      <c r="HE335" s="176" t="n"/>
      <c r="HF335" s="176" t="n"/>
      <c r="HG335" s="176" t="n"/>
      <c r="HH335" s="176" t="n"/>
      <c r="HI335" s="176" t="n"/>
      <c r="HJ335" s="176" t="n"/>
      <c r="HK335" s="176" t="n"/>
      <c r="HL335" s="176" t="n"/>
      <c r="HM335" s="176" t="n"/>
      <c r="HN335" s="176" t="n"/>
      <c r="HO335" s="176" t="n"/>
      <c r="HP335" s="176" t="n"/>
      <c r="HQ335" s="176" t="n"/>
      <c r="HR335" s="176" t="n"/>
      <c r="HS335" s="176" t="n"/>
      <c r="HT335" s="176" t="n"/>
      <c r="HU335" s="176" t="n"/>
      <c r="HV335" s="176" t="n"/>
      <c r="HW335" s="176" t="n"/>
      <c r="HX335" s="176" t="n"/>
      <c r="HY335" s="176" t="n"/>
      <c r="HZ335" s="176" t="n"/>
      <c r="IA335" s="176" t="n"/>
      <c r="IB335" s="176" t="n"/>
      <c r="IC335" s="176" t="n"/>
      <c r="ID335" s="176" t="n"/>
    </row>
    <row r="336" ht="18.75" customHeight="1">
      <c r="A336" s="176" t="n"/>
      <c r="B336" s="176" t="n"/>
      <c r="C336" s="176" t="n"/>
      <c r="D336" s="176" t="n"/>
      <c r="E336" s="176" t="n"/>
      <c r="F336" s="176" t="n"/>
      <c r="G336" s="176" t="n"/>
      <c r="H336" s="176" t="n"/>
      <c r="I336" s="176" t="n"/>
      <c r="J336" s="176" t="n"/>
      <c r="K336" s="176" t="n"/>
      <c r="L336" s="176" t="n"/>
      <c r="M336" s="176" t="n"/>
      <c r="N336" s="176" t="n"/>
      <c r="O336" s="176" t="n"/>
      <c r="P336" s="176" t="n"/>
      <c r="Q336" s="176" t="n"/>
      <c r="R336" s="176" t="n"/>
      <c r="S336" s="176" t="n"/>
      <c r="T336" s="181">
        <f>SWITCH('CONFIGURAÇÃO'!$T$333,"Origem","PERÍCIA 1","Marcante","ORIGEM","Menor","ORIGEM","Arma","CATEGORIA","Escudo","","Uniforme","GRAU MÍNIMO","Item comum","","Ferramenta amaldiçoada","BASE","")</f>
        <v/>
      </c>
      <c r="U336" s="183" t="n"/>
      <c r="V336" s="185" t="n"/>
      <c r="W336" s="182" t="n"/>
      <c r="X336" s="182" t="n"/>
      <c r="Y336" s="183" t="n"/>
      <c r="Z336" s="176" t="n"/>
      <c r="AA336" s="176" t="n"/>
      <c r="AB336" s="181">
        <f>SWITCH('CONFIGURAÇÃO'!$AB$333,"Origem","PERÍCIA 1","Marcante","ORIGEM","Menor","ORIGEM","Arma","CATEGORIA","Escudo","","Uniforme","GRAU MÍNIMO","Item comum","","Ferramenta amaldiçoada","BASE","")</f>
        <v/>
      </c>
      <c r="AC336" s="183" t="n"/>
      <c r="AD336" s="185" t="n"/>
      <c r="AE336" s="182" t="n"/>
      <c r="AF336" s="182" t="n"/>
      <c r="AG336" s="183" t="n"/>
      <c r="AH336" s="176" t="n"/>
      <c r="AI336" s="176" t="n"/>
      <c r="AJ336" s="176" t="n"/>
      <c r="AK336" s="176" t="n"/>
      <c r="AL336" s="176" t="n"/>
      <c r="AM336" s="176" t="n"/>
      <c r="AN336" s="176" t="n"/>
      <c r="AO336" s="176" t="n"/>
      <c r="AP336" s="176" t="n"/>
      <c r="AQ336" s="176" t="n"/>
      <c r="AR336" s="176" t="n"/>
      <c r="AS336" s="176" t="n"/>
      <c r="AT336" s="176" t="n"/>
      <c r="AU336" s="176" t="n"/>
      <c r="AV336" s="176" t="n"/>
      <c r="AW336" s="176" t="n"/>
      <c r="AX336" s="176" t="n"/>
      <c r="AY336" s="176" t="n"/>
      <c r="AZ336" s="176" t="n"/>
      <c r="BA336" s="176" t="n"/>
      <c r="BB336" s="176" t="n"/>
      <c r="BC336" s="176" t="n"/>
      <c r="BD336" s="176" t="n"/>
      <c r="BE336" s="176" t="n"/>
      <c r="BF336" s="176" t="n"/>
      <c r="BG336" s="176" t="n"/>
      <c r="BH336" s="176" t="n"/>
      <c r="BI336" s="176" t="n"/>
      <c r="BJ336" s="176" t="n"/>
      <c r="BK336" s="176" t="n"/>
      <c r="BL336" s="176" t="n"/>
      <c r="BM336" s="176" t="n"/>
      <c r="BN336" s="176" t="n"/>
      <c r="BO336" s="176" t="n"/>
      <c r="BP336" s="176" t="n"/>
      <c r="BQ336" s="176" t="n"/>
      <c r="BR336" s="176" t="n"/>
      <c r="BS336" s="176" t="n"/>
      <c r="BT336" s="176" t="n"/>
      <c r="BU336" s="176" t="n"/>
      <c r="BV336" s="176" t="n"/>
      <c r="BW336" s="176" t="n"/>
      <c r="BX336" s="176" t="n"/>
      <c r="BY336" s="176" t="n"/>
      <c r="BZ336" s="176" t="n"/>
      <c r="CA336" s="176" t="n"/>
      <c r="CB336" s="176" t="n"/>
      <c r="CC336" s="176" t="n"/>
      <c r="CD336" s="176" t="n"/>
      <c r="CE336" s="176" t="n"/>
      <c r="CF336" s="176" t="n"/>
      <c r="CG336" s="176" t="n"/>
      <c r="CH336" s="176" t="n"/>
      <c r="CI336" s="176" t="n"/>
      <c r="CJ336" s="176" t="n"/>
      <c r="CK336" s="176" t="n"/>
      <c r="CL336" s="176" t="n"/>
      <c r="CM336" s="176" t="n"/>
      <c r="CN336" s="176" t="n"/>
      <c r="CO336" s="176" t="n"/>
      <c r="CP336" s="176" t="n"/>
      <c r="CQ336" s="176" t="n"/>
      <c r="CR336" s="176" t="n"/>
      <c r="CS336" s="176" t="n"/>
      <c r="CT336" s="176" t="n"/>
      <c r="CU336" s="176" t="n"/>
      <c r="CV336" s="176" t="n"/>
      <c r="CW336" s="176" t="n"/>
      <c r="CX336" s="176" t="n"/>
      <c r="CY336" s="176" t="n"/>
      <c r="CZ336" s="176" t="n"/>
      <c r="DA336" s="193" t="n"/>
      <c r="DF336" s="194" t="n"/>
      <c r="DG336" s="176" t="n"/>
      <c r="DH336" s="176" t="n"/>
      <c r="DI336" s="193" t="n"/>
      <c r="DN336" s="194" t="n"/>
      <c r="DO336" s="176" t="n"/>
      <c r="DP336" s="176" t="n"/>
      <c r="DQ336" s="176" t="n"/>
      <c r="DR336" s="176" t="n"/>
      <c r="DS336" s="176" t="n"/>
      <c r="DT336" s="176" t="n"/>
      <c r="DU336" s="176" t="n"/>
      <c r="DV336" s="176" t="n"/>
      <c r="DW336" s="176" t="n"/>
      <c r="DX336" s="176" t="n"/>
      <c r="DY336" s="176" t="n"/>
      <c r="DZ336" s="176" t="n"/>
      <c r="EA336" s="176" t="n"/>
      <c r="EB336" s="176" t="n"/>
      <c r="EC336" s="176" t="n"/>
      <c r="ED336" s="176" t="n"/>
      <c r="EE336" s="176" t="n"/>
      <c r="EF336" s="176" t="n"/>
      <c r="EG336" s="176" t="n"/>
      <c r="EH336" s="176" t="n"/>
      <c r="EI336" s="176" t="n"/>
      <c r="EJ336" s="176" t="n"/>
      <c r="EK336" s="176" t="n"/>
      <c r="EL336" s="176" t="n"/>
      <c r="EM336" s="176" t="n"/>
      <c r="EN336" s="176" t="n"/>
      <c r="EO336" s="176" t="n"/>
      <c r="EP336" s="176" t="n"/>
      <c r="EQ336" s="176" t="n"/>
      <c r="ER336" s="176" t="n"/>
      <c r="ES336" s="176" t="n"/>
      <c r="ET336" s="176" t="n"/>
      <c r="EU336" s="176" t="n"/>
      <c r="EV336" s="176" t="n"/>
      <c r="EW336" s="176" t="n"/>
      <c r="EX336" s="176" t="n"/>
      <c r="EY336" s="176" t="n"/>
      <c r="EZ336" s="176" t="n"/>
      <c r="FA336" s="176" t="n"/>
      <c r="FB336" s="176" t="n"/>
      <c r="FC336" s="176" t="n"/>
      <c r="FD336" s="176" t="n"/>
      <c r="FE336" s="176" t="n"/>
      <c r="FF336" s="176" t="n"/>
      <c r="FG336" s="176" t="n"/>
      <c r="FH336" s="176" t="n"/>
      <c r="FI336" s="176" t="n"/>
      <c r="FJ336" s="176" t="n"/>
      <c r="FK336" s="176" t="n"/>
      <c r="FL336" s="176" t="n"/>
      <c r="FM336" s="176" t="n"/>
      <c r="FN336" s="176" t="n"/>
      <c r="FO336" s="176" t="n"/>
      <c r="FP336" s="176" t="n"/>
      <c r="FQ336" s="176" t="n"/>
      <c r="FR336" s="176" t="n"/>
      <c r="FS336" s="176" t="n"/>
      <c r="FT336" s="176" t="n"/>
      <c r="FU336" s="176" t="n"/>
      <c r="FV336" s="176" t="n"/>
      <c r="FW336" s="176" t="n"/>
      <c r="FX336" s="176" t="n"/>
      <c r="FY336" s="176" t="n"/>
      <c r="FZ336" s="176" t="n"/>
      <c r="GA336" s="176" t="n"/>
      <c r="GB336" s="176" t="n"/>
      <c r="GC336" s="176" t="n"/>
      <c r="GD336" s="176" t="n"/>
      <c r="GE336" s="176" t="n"/>
      <c r="GF336" s="176" t="n"/>
      <c r="GG336" s="176" t="n"/>
      <c r="GH336" s="176" t="n"/>
      <c r="GI336" s="176" t="n"/>
      <c r="GJ336" s="176" t="n"/>
      <c r="GK336" s="176" t="n"/>
      <c r="GL336" s="176" t="n"/>
      <c r="GM336" s="176" t="n"/>
      <c r="GN336" s="176" t="n"/>
      <c r="GO336" s="176" t="n"/>
      <c r="GP336" s="176" t="n"/>
      <c r="GQ336" s="176" t="n"/>
      <c r="GR336" s="176" t="n"/>
      <c r="GS336" s="176" t="n"/>
      <c r="GT336" s="176" t="n"/>
      <c r="GU336" s="176" t="n"/>
      <c r="GV336" s="176" t="n"/>
      <c r="GW336" s="176" t="n"/>
      <c r="GX336" s="176" t="n"/>
      <c r="GY336" s="176" t="n"/>
      <c r="GZ336" s="176" t="n"/>
      <c r="HA336" s="176" t="n"/>
      <c r="HB336" s="176" t="n"/>
      <c r="HC336" s="176" t="n"/>
      <c r="HD336" s="176" t="n"/>
      <c r="HE336" s="176" t="n"/>
      <c r="HF336" s="176" t="n"/>
      <c r="HG336" s="176" t="n"/>
      <c r="HH336" s="176" t="n"/>
      <c r="HI336" s="176" t="n"/>
      <c r="HJ336" s="176" t="n"/>
      <c r="HK336" s="176" t="n"/>
      <c r="HL336" s="176" t="n"/>
      <c r="HM336" s="176" t="n"/>
      <c r="HN336" s="176" t="n"/>
      <c r="HO336" s="176" t="n"/>
      <c r="HP336" s="176" t="n"/>
      <c r="HQ336" s="176" t="n"/>
      <c r="HR336" s="176" t="n"/>
      <c r="HS336" s="176" t="n"/>
      <c r="HT336" s="176" t="n"/>
      <c r="HU336" s="176" t="n"/>
      <c r="HV336" s="176" t="n"/>
      <c r="HW336" s="176" t="n"/>
      <c r="HX336" s="176" t="n"/>
      <c r="HY336" s="176" t="n"/>
      <c r="HZ336" s="176" t="n"/>
      <c r="IA336" s="176" t="n"/>
      <c r="IB336" s="176" t="n"/>
      <c r="IC336" s="176" t="n"/>
      <c r="ID336" s="176" t="n"/>
    </row>
    <row r="337" ht="18.75" customHeight="1">
      <c r="A337" s="176" t="n"/>
      <c r="B337" s="176" t="n"/>
      <c r="C337" s="176" t="n"/>
      <c r="D337" s="176" t="n"/>
      <c r="E337" s="176" t="n"/>
      <c r="F337" s="176" t="n"/>
      <c r="G337" s="176" t="n"/>
      <c r="H337" s="176" t="n"/>
      <c r="I337" s="176" t="n"/>
      <c r="J337" s="176" t="n"/>
      <c r="K337" s="176" t="n"/>
      <c r="L337" s="176" t="n"/>
      <c r="M337" s="176" t="n"/>
      <c r="N337" s="176" t="n"/>
      <c r="O337" s="176" t="n"/>
      <c r="P337" s="176" t="n"/>
      <c r="Q337" s="176" t="n"/>
      <c r="R337" s="176" t="n"/>
      <c r="S337" s="176" t="n"/>
      <c r="T337" s="181">
        <f>SWITCH('CONFIGURAÇÃO'!$T$333,"Origem","PERÍCIA 2","Marcante","","Menor","EXIGE MARCANTE","Arma","MÃO","Escudo","","Uniforme","","Item comum","","Ferramenta amaldiçoada","GRAU","")</f>
        <v/>
      </c>
      <c r="U337" s="183" t="n"/>
      <c r="V337" s="185" t="n"/>
      <c r="W337" s="182" t="n"/>
      <c r="X337" s="182" t="n"/>
      <c r="Y337" s="183" t="n"/>
      <c r="Z337" s="176" t="n"/>
      <c r="AA337" s="176" t="n"/>
      <c r="AB337" s="181">
        <f>SWITCH('CONFIGURAÇÃO'!$AB$333,"Origem","PERÍCIA 2","Marcante","","Menor","EXIGE MARCANTE","Arma","MÃO","Escudo","","Uniforme","","Item comum","","Ferramenta amaldiçoada","GRAU","")</f>
        <v/>
      </c>
      <c r="AC337" s="183" t="n"/>
      <c r="AD337" s="185" t="n"/>
      <c r="AE337" s="182" t="n"/>
      <c r="AF337" s="182" t="n"/>
      <c r="AG337" s="183" t="n"/>
      <c r="AH337" s="176" t="n"/>
      <c r="AI337" s="176" t="n"/>
      <c r="AJ337" s="176" t="n"/>
      <c r="AK337" s="176" t="n"/>
      <c r="AL337" s="176" t="n"/>
      <c r="AM337" s="176" t="n"/>
      <c r="AN337" s="176" t="n"/>
      <c r="AO337" s="176" t="n"/>
      <c r="AP337" s="176" t="n"/>
      <c r="AQ337" s="176" t="n"/>
      <c r="AR337" s="176" t="n"/>
      <c r="AS337" s="176" t="n"/>
      <c r="AT337" s="176" t="n"/>
      <c r="AU337" s="176" t="n"/>
      <c r="AV337" s="176" t="n"/>
      <c r="AW337" s="176" t="n"/>
      <c r="AX337" s="176" t="n"/>
      <c r="AY337" s="176" t="n"/>
      <c r="AZ337" s="176" t="n"/>
      <c r="BA337" s="176" t="n"/>
      <c r="BB337" s="176" t="n"/>
      <c r="BC337" s="176" t="n"/>
      <c r="BD337" s="176" t="n"/>
      <c r="BE337" s="176" t="n"/>
      <c r="BF337" s="176" t="n"/>
      <c r="BG337" s="176" t="n"/>
      <c r="BH337" s="176" t="n"/>
      <c r="BI337" s="176" t="n"/>
      <c r="BJ337" s="176" t="n"/>
      <c r="BK337" s="176" t="n"/>
      <c r="BL337" s="176" t="n"/>
      <c r="BM337" s="176" t="n"/>
      <c r="BN337" s="176" t="n"/>
      <c r="BO337" s="176" t="n"/>
      <c r="BP337" s="176" t="n"/>
      <c r="BQ337" s="176" t="n"/>
      <c r="BR337" s="176" t="n"/>
      <c r="BS337" s="176" t="n"/>
      <c r="BT337" s="176" t="n"/>
      <c r="BU337" s="176" t="n"/>
      <c r="BV337" s="176" t="n"/>
      <c r="BW337" s="176" t="n"/>
      <c r="BX337" s="176" t="n"/>
      <c r="BY337" s="176" t="n"/>
      <c r="BZ337" s="176" t="n"/>
      <c r="CA337" s="176" t="n"/>
      <c r="CB337" s="176" t="n"/>
      <c r="CC337" s="176" t="n"/>
      <c r="CD337" s="176" t="n"/>
      <c r="CE337" s="176" t="n"/>
      <c r="CF337" s="176" t="n"/>
      <c r="CG337" s="176" t="n"/>
      <c r="CH337" s="176" t="n"/>
      <c r="CI337" s="176" t="n"/>
      <c r="CJ337" s="176" t="n"/>
      <c r="CK337" s="176" t="n"/>
      <c r="CL337" s="176" t="n"/>
      <c r="CM337" s="176" t="n"/>
      <c r="CN337" s="176" t="n"/>
      <c r="CO337" s="176" t="n"/>
      <c r="CP337" s="176" t="n"/>
      <c r="CQ337" s="176" t="n"/>
      <c r="CR337" s="176" t="n"/>
      <c r="CS337" s="176" t="n"/>
      <c r="CT337" s="176" t="n"/>
      <c r="CU337" s="176" t="n"/>
      <c r="CV337" s="176" t="n"/>
      <c r="CW337" s="176" t="n"/>
      <c r="CX337" s="176" t="n"/>
      <c r="CY337" s="176" t="n"/>
      <c r="CZ337" s="176" t="n"/>
      <c r="DA337" s="189" t="n"/>
      <c r="DB337" s="190" t="n"/>
      <c r="DC337" s="190" t="n"/>
      <c r="DD337" s="190" t="n"/>
      <c r="DE337" s="190" t="n"/>
      <c r="DF337" s="191" t="n"/>
      <c r="DG337" s="176" t="n"/>
      <c r="DH337" s="176" t="n"/>
      <c r="DI337" s="189" t="n"/>
      <c r="DJ337" s="190" t="n"/>
      <c r="DK337" s="190" t="n"/>
      <c r="DL337" s="190" t="n"/>
      <c r="DM337" s="190" t="n"/>
      <c r="DN337" s="191" t="n"/>
      <c r="DO337" s="176" t="n"/>
      <c r="DP337" s="176" t="n"/>
      <c r="DQ337" s="176" t="n"/>
      <c r="DR337" s="180">
        <f>IF('DADOS_RESTRICOES'!$K$30="","","⚠ "&amp;'DADOS_RESTRICOES'!$K$30)</f>
        <v/>
      </c>
      <c r="DX337" s="176" t="n"/>
      <c r="DY337" s="176" t="n"/>
      <c r="DZ337" s="180">
        <f>IF('DADOS_RESTRICOES'!$K$31="","","⚠ "&amp;'DADOS_RESTRICOES'!$K$31)</f>
        <v/>
      </c>
      <c r="EF337" s="176" t="n"/>
      <c r="EG337" s="176" t="n"/>
      <c r="EH337" s="176" t="n"/>
      <c r="EI337" s="176" t="n"/>
      <c r="EJ337" s="176" t="n"/>
      <c r="EK337" s="176" t="n"/>
      <c r="EL337" s="176" t="n"/>
      <c r="EM337" s="176" t="n"/>
      <c r="EN337" s="176" t="n"/>
      <c r="EO337" s="176" t="n"/>
      <c r="EP337" s="176" t="n"/>
      <c r="EQ337" s="176" t="n"/>
      <c r="ER337" s="176" t="n"/>
      <c r="ES337" s="176" t="n"/>
      <c r="ET337" s="176" t="n"/>
      <c r="EU337" s="176" t="n"/>
      <c r="EV337" s="176" t="n"/>
      <c r="EW337" s="176" t="n"/>
      <c r="EX337" s="176" t="n"/>
      <c r="EY337" s="176" t="n"/>
      <c r="EZ337" s="176" t="n"/>
      <c r="FA337" s="176" t="n"/>
      <c r="FB337" s="176" t="n"/>
      <c r="FC337" s="176" t="n"/>
      <c r="FD337" s="176" t="n"/>
      <c r="FE337" s="176" t="n"/>
      <c r="FF337" s="176" t="n"/>
      <c r="FG337" s="176" t="n"/>
      <c r="FH337" s="176" t="n"/>
      <c r="FI337" s="176" t="n"/>
      <c r="FJ337" s="176" t="n"/>
      <c r="FK337" s="176" t="n"/>
      <c r="FL337" s="176" t="n"/>
      <c r="FM337" s="176" t="n"/>
      <c r="FN337" s="176" t="n"/>
      <c r="FO337" s="176" t="n"/>
      <c r="FP337" s="176" t="n"/>
      <c r="FQ337" s="176" t="n"/>
      <c r="FR337" s="176" t="n"/>
      <c r="FS337" s="176" t="n"/>
      <c r="FT337" s="176" t="n"/>
      <c r="FU337" s="176" t="n"/>
      <c r="FV337" s="176" t="n"/>
      <c r="FW337" s="176" t="n"/>
      <c r="FX337" s="176" t="n"/>
      <c r="FY337" s="176" t="n"/>
      <c r="FZ337" s="176" t="n"/>
      <c r="GA337" s="176" t="n"/>
      <c r="GB337" s="176" t="n"/>
      <c r="GC337" s="176" t="n"/>
      <c r="GD337" s="176" t="n"/>
      <c r="GE337" s="176" t="n"/>
      <c r="GF337" s="176" t="n"/>
      <c r="GG337" s="176" t="n"/>
      <c r="GH337" s="176" t="n"/>
      <c r="GI337" s="176" t="n"/>
      <c r="GJ337" s="176" t="n"/>
      <c r="GK337" s="176" t="n"/>
      <c r="GL337" s="176" t="n"/>
      <c r="GM337" s="176" t="n"/>
      <c r="GN337" s="176" t="n"/>
      <c r="GO337" s="176" t="n"/>
      <c r="GP337" s="176" t="n"/>
      <c r="GQ337" s="176" t="n"/>
      <c r="GR337" s="176" t="n"/>
      <c r="GS337" s="176" t="n"/>
      <c r="GT337" s="176" t="n"/>
      <c r="GU337" s="176" t="n"/>
      <c r="GV337" s="176" t="n"/>
      <c r="GW337" s="176" t="n"/>
      <c r="GX337" s="176" t="n"/>
      <c r="GY337" s="176" t="n"/>
      <c r="GZ337" s="176" t="n"/>
      <c r="HA337" s="176" t="n"/>
      <c r="HB337" s="176" t="n"/>
      <c r="HC337" s="176" t="n"/>
      <c r="HD337" s="176" t="n"/>
      <c r="HE337" s="176" t="n"/>
      <c r="HF337" s="176" t="n"/>
      <c r="HG337" s="176" t="n"/>
      <c r="HH337" s="176" t="n"/>
      <c r="HI337" s="176" t="n"/>
      <c r="HJ337" s="176" t="n"/>
      <c r="HK337" s="176" t="n"/>
      <c r="HL337" s="176" t="n"/>
      <c r="HM337" s="176" t="n"/>
      <c r="HN337" s="176" t="n"/>
      <c r="HO337" s="176" t="n"/>
      <c r="HP337" s="176" t="n"/>
      <c r="HQ337" s="176" t="n"/>
      <c r="HR337" s="176" t="n"/>
      <c r="HS337" s="176" t="n"/>
      <c r="HT337" s="176" t="n"/>
      <c r="HU337" s="176" t="n"/>
      <c r="HV337" s="176" t="n"/>
      <c r="HW337" s="176" t="n"/>
      <c r="HX337" s="176" t="n"/>
      <c r="HY337" s="176" t="n"/>
      <c r="HZ337" s="176" t="n"/>
      <c r="IA337" s="176" t="n"/>
      <c r="IB337" s="176" t="n"/>
      <c r="IC337" s="176" t="n"/>
      <c r="ID337" s="176" t="n"/>
    </row>
    <row r="338" ht="18.75" customHeight="1">
      <c r="A338" s="176" t="n"/>
      <c r="B338" s="176" t="n"/>
      <c r="C338" s="176" t="n"/>
      <c r="D338" s="176" t="n"/>
      <c r="E338" s="176" t="n"/>
      <c r="F338" s="176" t="n"/>
      <c r="G338" s="176" t="n"/>
      <c r="H338" s="176" t="n"/>
      <c r="I338" s="176" t="n"/>
      <c r="J338" s="176" t="n"/>
      <c r="K338" s="176" t="n"/>
      <c r="L338" s="176" t="n"/>
      <c r="M338" s="176" t="n"/>
      <c r="N338" s="176" t="n"/>
      <c r="O338" s="176" t="n"/>
      <c r="P338" s="176" t="n"/>
      <c r="Q338" s="176" t="n"/>
      <c r="R338" s="176" t="n"/>
      <c r="S338" s="176" t="n"/>
      <c r="T338" s="181">
        <f>SWITCH('CONFIGURAÇÃO'!$T$333,"Origem","PERÍCIA 3","Marcante","","Menor","","Arma","TIPO DE DANO","Escudo","","Uniforme","","Item comum","","Ferramenta amaldiçoada","","")</f>
        <v/>
      </c>
      <c r="U338" s="183" t="n"/>
      <c r="V338" s="185" t="n"/>
      <c r="W338" s="182" t="n"/>
      <c r="X338" s="182" t="n"/>
      <c r="Y338" s="183" t="n"/>
      <c r="Z338" s="176" t="n"/>
      <c r="AA338" s="176" t="n"/>
      <c r="AB338" s="181">
        <f>SWITCH('CONFIGURAÇÃO'!$AB$333,"Origem","PERÍCIA 3","Marcante","","Menor","","Arma","TIPO DE DANO","Escudo","","Uniforme","","Item comum","","Ferramenta amaldiçoada","","")</f>
        <v/>
      </c>
      <c r="AC338" s="183" t="n"/>
      <c r="AD338" s="185" t="n"/>
      <c r="AE338" s="182" t="n"/>
      <c r="AF338" s="182" t="n"/>
      <c r="AG338" s="183" t="n"/>
      <c r="AH338" s="176" t="n"/>
      <c r="AI338" s="176" t="n"/>
      <c r="AJ338" s="176" t="n"/>
      <c r="AK338" s="176" t="n"/>
      <c r="AL338" s="176" t="n"/>
      <c r="AM338" s="176" t="n"/>
      <c r="AN338" s="176" t="n"/>
      <c r="AO338" s="176" t="n"/>
      <c r="AP338" s="176" t="n"/>
      <c r="AQ338" s="176" t="n"/>
      <c r="AR338" s="176" t="n"/>
      <c r="AS338" s="176" t="n"/>
      <c r="AT338" s="176" t="n"/>
      <c r="AU338" s="176" t="n"/>
      <c r="AV338" s="176" t="n"/>
      <c r="AW338" s="176" t="n"/>
      <c r="AX338" s="176" t="n"/>
      <c r="AY338" s="176" t="n"/>
      <c r="AZ338" s="176" t="n"/>
      <c r="BA338" s="176" t="n"/>
      <c r="BB338" s="176" t="n"/>
      <c r="BC338" s="176" t="n"/>
      <c r="BD338" s="176" t="n"/>
      <c r="BE338" s="176" t="n"/>
      <c r="BF338" s="176" t="n"/>
      <c r="BG338" s="176" t="n"/>
      <c r="BH338" s="176" t="n"/>
      <c r="BI338" s="176" t="n"/>
      <c r="BJ338" s="176" t="n"/>
      <c r="BK338" s="176" t="n"/>
      <c r="BL338" s="176" t="n"/>
      <c r="BM338" s="176" t="n"/>
      <c r="BN338" s="176" t="n"/>
      <c r="BO338" s="176" t="n"/>
      <c r="BP338" s="176" t="n"/>
      <c r="BQ338" s="176" t="n"/>
      <c r="BR338" s="176" t="n"/>
      <c r="BS338" s="176" t="n"/>
      <c r="BT338" s="176" t="n"/>
      <c r="BU338" s="176" t="n"/>
      <c r="BV338" s="176" t="n"/>
      <c r="BW338" s="176" t="n"/>
      <c r="BX338" s="176" t="n"/>
      <c r="BY338" s="176" t="n"/>
      <c r="BZ338" s="176" t="n"/>
      <c r="CA338" s="176" t="n"/>
      <c r="CB338" s="176" t="n"/>
      <c r="CC338" s="176" t="n"/>
      <c r="CD338" s="176" t="n"/>
      <c r="CE338" s="176" t="n"/>
      <c r="CF338" s="176" t="n"/>
      <c r="CG338" s="176" t="n"/>
      <c r="CH338" s="176" t="n"/>
      <c r="CI338" s="176" t="n"/>
      <c r="CJ338" s="176" t="n"/>
      <c r="CK338" s="176" t="n"/>
      <c r="CL338" s="176" t="n"/>
      <c r="CM338" s="176" t="n"/>
      <c r="CN338" s="176" t="n"/>
      <c r="CO338" s="176" t="n"/>
      <c r="CP338" s="176" t="n"/>
      <c r="CQ338" s="176" t="n"/>
      <c r="CR338" s="176" t="n"/>
      <c r="CS338" s="176" t="n"/>
      <c r="CT338" s="176" t="n"/>
      <c r="CU338" s="176" t="n"/>
      <c r="CV338" s="176" t="n"/>
      <c r="CW338" s="176" t="n"/>
      <c r="CX338" s="176" t="n"/>
      <c r="CY338" s="176" t="n"/>
      <c r="CZ338" s="176" t="n"/>
      <c r="DA338" s="176" t="n"/>
      <c r="DB338" s="176" t="n"/>
      <c r="DC338" s="176" t="n"/>
      <c r="DD338" s="176" t="n"/>
      <c r="DE338" s="176" t="n"/>
      <c r="DF338" s="176" t="n"/>
      <c r="DG338" s="176" t="n"/>
      <c r="DH338" s="176" t="n"/>
      <c r="DI338" s="176" t="n"/>
      <c r="DJ338" s="176" t="n"/>
      <c r="DK338" s="176" t="n"/>
      <c r="DL338" s="176" t="n"/>
      <c r="DM338" s="176" t="n"/>
      <c r="DN338" s="176" t="n"/>
      <c r="DO338" s="176" t="n"/>
      <c r="DP338" s="176" t="n"/>
      <c r="DQ338" s="176" t="n"/>
      <c r="DX338" s="176" t="n"/>
      <c r="DY338" s="176" t="n"/>
      <c r="EF338" s="176" t="n"/>
      <c r="EG338" s="176" t="n"/>
      <c r="EH338" s="176" t="n"/>
      <c r="EI338" s="176" t="n"/>
      <c r="EJ338" s="176" t="n"/>
      <c r="EK338" s="176" t="n"/>
      <c r="EL338" s="176" t="n"/>
      <c r="EM338" s="176" t="n"/>
      <c r="EN338" s="176" t="n"/>
      <c r="EO338" s="176" t="n"/>
      <c r="EP338" s="176" t="n"/>
      <c r="EQ338" s="176" t="n"/>
      <c r="ER338" s="176" t="n"/>
      <c r="ES338" s="176" t="n"/>
      <c r="ET338" s="176" t="n"/>
      <c r="EU338" s="176" t="n"/>
      <c r="EV338" s="176" t="n"/>
      <c r="EW338" s="176" t="n"/>
      <c r="EX338" s="176" t="n"/>
      <c r="EY338" s="176" t="n"/>
      <c r="EZ338" s="176" t="n"/>
      <c r="FA338" s="176" t="n"/>
      <c r="FB338" s="176" t="n"/>
      <c r="FC338" s="176" t="n"/>
      <c r="FD338" s="176" t="n"/>
      <c r="FE338" s="176" t="n"/>
      <c r="FF338" s="176" t="n"/>
      <c r="FG338" s="176" t="n"/>
      <c r="FH338" s="176" t="n"/>
      <c r="FI338" s="176" t="n"/>
      <c r="FJ338" s="176" t="n"/>
      <c r="FK338" s="176" t="n"/>
      <c r="FL338" s="176" t="n"/>
      <c r="FM338" s="176" t="n"/>
      <c r="FN338" s="176" t="n"/>
      <c r="FO338" s="176" t="n"/>
      <c r="FP338" s="176" t="n"/>
      <c r="FQ338" s="176" t="n"/>
      <c r="FR338" s="176" t="n"/>
      <c r="FS338" s="176" t="n"/>
      <c r="FT338" s="176" t="n"/>
      <c r="FU338" s="176" t="n"/>
      <c r="FV338" s="176" t="n"/>
      <c r="FW338" s="176" t="n"/>
      <c r="FX338" s="176" t="n"/>
      <c r="FY338" s="176" t="n"/>
      <c r="FZ338" s="176" t="n"/>
      <c r="GA338" s="176" t="n"/>
      <c r="GB338" s="176" t="n"/>
      <c r="GC338" s="176" t="n"/>
      <c r="GD338" s="176" t="n"/>
      <c r="GE338" s="176" t="n"/>
      <c r="GF338" s="176" t="n"/>
      <c r="GG338" s="176" t="n"/>
      <c r="GH338" s="176" t="n"/>
      <c r="GI338" s="176" t="n"/>
      <c r="GJ338" s="176" t="n"/>
      <c r="GK338" s="176" t="n"/>
      <c r="GL338" s="176" t="n"/>
      <c r="GM338" s="176" t="n"/>
      <c r="GN338" s="176" t="n"/>
      <c r="GO338" s="176" t="n"/>
      <c r="GP338" s="176" t="n"/>
      <c r="GQ338" s="176" t="n"/>
      <c r="GR338" s="176" t="n"/>
      <c r="GS338" s="176" t="n"/>
      <c r="GT338" s="176" t="n"/>
      <c r="GU338" s="176" t="n"/>
      <c r="GV338" s="176" t="n"/>
      <c r="GW338" s="176" t="n"/>
      <c r="GX338" s="176" t="n"/>
      <c r="GY338" s="176" t="n"/>
      <c r="GZ338" s="176" t="n"/>
      <c r="HA338" s="176" t="n"/>
      <c r="HB338" s="176" t="n"/>
      <c r="HC338" s="176" t="n"/>
      <c r="HD338" s="176" t="n"/>
      <c r="HE338" s="176" t="n"/>
      <c r="HF338" s="176" t="n"/>
      <c r="HG338" s="176" t="n"/>
      <c r="HH338" s="176" t="n"/>
      <c r="HI338" s="176" t="n"/>
      <c r="HJ338" s="176" t="n"/>
      <c r="HK338" s="176" t="n"/>
      <c r="HL338" s="176" t="n"/>
      <c r="HM338" s="176" t="n"/>
      <c r="HN338" s="176" t="n"/>
      <c r="HO338" s="176" t="n"/>
      <c r="HP338" s="176" t="n"/>
      <c r="HQ338" s="176" t="n"/>
      <c r="HR338" s="176" t="n"/>
      <c r="HS338" s="176" t="n"/>
      <c r="HT338" s="176" t="n"/>
      <c r="HU338" s="176" t="n"/>
      <c r="HV338" s="176" t="n"/>
      <c r="HW338" s="176" t="n"/>
      <c r="HX338" s="176" t="n"/>
      <c r="HY338" s="176" t="n"/>
      <c r="HZ338" s="176" t="n"/>
      <c r="IA338" s="176" t="n"/>
      <c r="IB338" s="176" t="n"/>
      <c r="IC338" s="176" t="n"/>
      <c r="ID338" s="176" t="n"/>
    </row>
    <row r="339" ht="18.75" customHeight="1">
      <c r="A339" s="176" t="n"/>
      <c r="B339" s="176" t="n"/>
      <c r="C339" s="176" t="n"/>
      <c r="D339" s="176" t="n"/>
      <c r="E339" s="176" t="n"/>
      <c r="F339" s="176" t="n"/>
      <c r="G339" s="176" t="n"/>
      <c r="H339" s="176" t="n"/>
      <c r="I339" s="176" t="n"/>
      <c r="J339" s="176" t="n"/>
      <c r="K339" s="176" t="n"/>
      <c r="L339" s="176" t="n"/>
      <c r="M339" s="176" t="n"/>
      <c r="N339" s="176" t="n"/>
      <c r="O339" s="176" t="n"/>
      <c r="P339" s="176" t="n"/>
      <c r="Q339" s="176" t="n"/>
      <c r="R339" s="176" t="n"/>
      <c r="S339" s="176" t="n"/>
      <c r="T339" s="181">
        <f>SWITCH('CONFIGURAÇÃO'!$T$333,"Origem","PERÍCIA 4","Marcante","","Menor","","Arma","PROPRIEDADE 1","Escudo","","Uniforme","","Item comum","","Ferramenta amaldiçoada","","")</f>
        <v/>
      </c>
      <c r="U339" s="183" t="n"/>
      <c r="V339" s="185" t="n"/>
      <c r="W339" s="182" t="n"/>
      <c r="X339" s="182" t="n"/>
      <c r="Y339" s="183" t="n"/>
      <c r="Z339" s="176" t="n"/>
      <c r="AA339" s="176" t="n"/>
      <c r="AB339" s="181">
        <f>SWITCH('CONFIGURAÇÃO'!$AB$333,"Origem","PERÍCIA 4","Marcante","","Menor","","Arma","PROPRIEDADE 1","Escudo","","Uniforme","","Item comum","","Ferramenta amaldiçoada","","")</f>
        <v/>
      </c>
      <c r="AC339" s="183" t="n"/>
      <c r="AD339" s="185" t="n"/>
      <c r="AE339" s="182" t="n"/>
      <c r="AF339" s="182" t="n"/>
      <c r="AG339" s="183" t="n"/>
      <c r="AH339" s="176" t="n"/>
      <c r="AI339" s="176" t="n"/>
      <c r="AJ339" s="176" t="n"/>
      <c r="AK339" s="176" t="n"/>
      <c r="AL339" s="176" t="n"/>
      <c r="AM339" s="176" t="n"/>
      <c r="AN339" s="176" t="n"/>
      <c r="AO339" s="176" t="n"/>
      <c r="AP339" s="176" t="n"/>
      <c r="AQ339" s="176" t="n"/>
      <c r="AR339" s="176" t="n"/>
      <c r="AS339" s="176" t="n"/>
      <c r="AT339" s="176" t="n"/>
      <c r="AU339" s="176" t="n"/>
      <c r="AV339" s="176" t="n"/>
      <c r="AW339" s="176" t="n"/>
      <c r="AX339" s="176" t="n"/>
      <c r="AY339" s="176" t="n"/>
      <c r="AZ339" s="176" t="n"/>
      <c r="BA339" s="176" t="n"/>
      <c r="BB339" s="176" t="n"/>
      <c r="BC339" s="176" t="n"/>
      <c r="BD339" s="176" t="n"/>
      <c r="BE339" s="176" t="n"/>
      <c r="BF339" s="176" t="n"/>
      <c r="BG339" s="176" t="n"/>
      <c r="BH339" s="176" t="n"/>
      <c r="BI339" s="176" t="n"/>
      <c r="BJ339" s="176" t="n"/>
      <c r="BK339" s="176" t="n"/>
      <c r="BL339" s="176" t="n"/>
      <c r="BM339" s="176" t="n"/>
      <c r="BN339" s="176" t="n"/>
      <c r="BO339" s="176" t="n"/>
      <c r="BP339" s="176" t="n"/>
      <c r="BQ339" s="176" t="n"/>
      <c r="BR339" s="176" t="n"/>
      <c r="BS339" s="176" t="n"/>
      <c r="BT339" s="176" t="n"/>
      <c r="BU339" s="176" t="n"/>
      <c r="BV339" s="176" t="n"/>
      <c r="BW339" s="176" t="n"/>
      <c r="BX339" s="176" t="n"/>
      <c r="BY339" s="176" t="n"/>
      <c r="BZ339" s="176" t="n"/>
      <c r="CA339" s="176" t="n"/>
      <c r="CB339" s="176" t="n"/>
      <c r="CC339" s="176" t="n"/>
      <c r="CD339" s="176" t="n"/>
      <c r="CE339" s="176" t="n"/>
      <c r="CF339" s="176" t="n"/>
      <c r="CG339" s="176" t="n"/>
      <c r="CH339" s="176" t="n"/>
      <c r="CI339" s="176" t="n"/>
      <c r="CJ339" s="176" t="n"/>
      <c r="CK339" s="176" t="n"/>
      <c r="CL339" s="176" t="n"/>
      <c r="CM339" s="176" t="n"/>
      <c r="CN339" s="176" t="n"/>
      <c r="CO339" s="176" t="n"/>
      <c r="CP339" s="176" t="n"/>
      <c r="CQ339" s="176" t="n"/>
      <c r="CR339" s="176" t="n"/>
      <c r="CS339" s="176" t="n"/>
      <c r="CT339" s="176" t="n"/>
      <c r="CU339" s="176" t="n"/>
      <c r="CV339" s="176" t="n"/>
      <c r="CW339" s="176" t="n"/>
      <c r="CX339" s="176" t="n"/>
      <c r="CY339" s="176" t="n"/>
      <c r="CZ339" s="176" t="n"/>
      <c r="DA339" s="181" t="inlineStr">
        <is>
          <t>EFEITO</t>
        </is>
      </c>
      <c r="DB339" s="182" t="n"/>
      <c r="DC339" s="182" t="n"/>
      <c r="DD339" s="182" t="n"/>
      <c r="DE339" s="182" t="n"/>
      <c r="DF339" s="183" t="n"/>
      <c r="DG339" s="176" t="n"/>
      <c r="DH339" s="176" t="n"/>
      <c r="DI339" s="181" t="inlineStr">
        <is>
          <t>EFEITO</t>
        </is>
      </c>
      <c r="DJ339" s="182" t="n"/>
      <c r="DK339" s="182" t="n"/>
      <c r="DL339" s="182" t="n"/>
      <c r="DM339" s="182" t="n"/>
      <c r="DN339" s="183" t="n"/>
      <c r="DO339" s="176" t="n"/>
      <c r="DP339" s="176" t="n"/>
      <c r="DQ339" s="176" t="n"/>
      <c r="DR339" s="176" t="n"/>
      <c r="DS339" s="176" t="n"/>
      <c r="DT339" s="176" t="n"/>
      <c r="DU339" s="176" t="n"/>
      <c r="DV339" s="176" t="n"/>
      <c r="DW339" s="176" t="n"/>
      <c r="DX339" s="176" t="n"/>
      <c r="DY339" s="176" t="n"/>
      <c r="DZ339" s="176" t="n"/>
      <c r="EA339" s="176" t="n"/>
      <c r="EB339" s="176" t="n"/>
      <c r="EC339" s="176" t="n"/>
      <c r="ED339" s="176" t="n"/>
      <c r="EE339" s="176" t="n"/>
      <c r="EF339" s="176" t="n"/>
      <c r="EG339" s="176" t="n"/>
      <c r="EH339" s="176" t="n"/>
      <c r="EI339" s="176" t="n"/>
      <c r="EJ339" s="176" t="n"/>
      <c r="EK339" s="176" t="n"/>
      <c r="EL339" s="176" t="n"/>
      <c r="EM339" s="176" t="n"/>
      <c r="EN339" s="176" t="n"/>
      <c r="EO339" s="176" t="n"/>
      <c r="EP339" s="176" t="n"/>
      <c r="EQ339" s="176" t="n"/>
      <c r="ER339" s="176" t="n"/>
      <c r="ES339" s="176" t="n"/>
      <c r="ET339" s="176" t="n"/>
      <c r="EU339" s="176" t="n"/>
      <c r="EV339" s="176" t="n"/>
      <c r="EW339" s="176" t="n"/>
      <c r="EX339" s="176" t="n"/>
      <c r="EY339" s="176" t="n"/>
      <c r="EZ339" s="176" t="n"/>
      <c r="FA339" s="176" t="n"/>
      <c r="FB339" s="176" t="n"/>
      <c r="FC339" s="176" t="n"/>
      <c r="FD339" s="176" t="n"/>
      <c r="FE339" s="176" t="n"/>
      <c r="FF339" s="176" t="n"/>
      <c r="FG339" s="176" t="n"/>
      <c r="FH339" s="176" t="n"/>
      <c r="FI339" s="176" t="n"/>
      <c r="FJ339" s="176" t="n"/>
      <c r="FK339" s="176" t="n"/>
      <c r="FL339" s="176" t="n"/>
      <c r="FM339" s="176" t="n"/>
      <c r="FN339" s="176" t="n"/>
      <c r="FO339" s="176" t="n"/>
      <c r="FP339" s="176" t="n"/>
      <c r="FQ339" s="176" t="n"/>
      <c r="FR339" s="176" t="n"/>
      <c r="FS339" s="176" t="n"/>
      <c r="FT339" s="176" t="n"/>
      <c r="FU339" s="176" t="n"/>
      <c r="FV339" s="176" t="n"/>
      <c r="FW339" s="176" t="n"/>
      <c r="FX339" s="176" t="n"/>
      <c r="FY339" s="176" t="n"/>
      <c r="FZ339" s="176" t="n"/>
      <c r="GA339" s="176" t="n"/>
      <c r="GB339" s="176" t="n"/>
      <c r="GC339" s="176" t="n"/>
      <c r="GD339" s="176" t="n"/>
      <c r="GE339" s="176" t="n"/>
      <c r="GF339" s="176" t="n"/>
      <c r="GG339" s="176" t="n"/>
      <c r="GH339" s="176" t="n"/>
      <c r="GI339" s="176" t="n"/>
      <c r="GJ339" s="176" t="n"/>
      <c r="GK339" s="176" t="n"/>
      <c r="GL339" s="176" t="n"/>
      <c r="GM339" s="176" t="n"/>
      <c r="GN339" s="176" t="n"/>
      <c r="GO339" s="176" t="n"/>
      <c r="GP339" s="176" t="n"/>
      <c r="GQ339" s="176" t="n"/>
      <c r="GR339" s="176" t="n"/>
      <c r="GS339" s="176" t="n"/>
      <c r="GT339" s="176" t="n"/>
      <c r="GU339" s="176" t="n"/>
      <c r="GV339" s="176" t="n"/>
      <c r="GW339" s="176" t="n"/>
      <c r="GX339" s="176" t="n"/>
      <c r="GY339" s="176" t="n"/>
      <c r="GZ339" s="176" t="n"/>
      <c r="HA339" s="176" t="n"/>
      <c r="HB339" s="176" t="n"/>
      <c r="HC339" s="176" t="n"/>
      <c r="HD339" s="176" t="n"/>
      <c r="HE339" s="176" t="n"/>
      <c r="HF339" s="176" t="n"/>
      <c r="HG339" s="176" t="n"/>
      <c r="HH339" s="176" t="n"/>
      <c r="HI339" s="176" t="n"/>
      <c r="HJ339" s="176" t="n"/>
      <c r="HK339" s="176" t="n"/>
      <c r="HL339" s="176" t="n"/>
      <c r="HM339" s="176" t="n"/>
      <c r="HN339" s="176" t="n"/>
      <c r="HO339" s="176" t="n"/>
      <c r="HP339" s="176" t="n"/>
      <c r="HQ339" s="176" t="n"/>
      <c r="HR339" s="176" t="n"/>
      <c r="HS339" s="176" t="n"/>
      <c r="HT339" s="176" t="n"/>
      <c r="HU339" s="176" t="n"/>
      <c r="HV339" s="176" t="n"/>
      <c r="HW339" s="176" t="n"/>
      <c r="HX339" s="176" t="n"/>
      <c r="HY339" s="176" t="n"/>
      <c r="HZ339" s="176" t="n"/>
      <c r="IA339" s="176" t="n"/>
      <c r="IB339" s="176" t="n"/>
      <c r="IC339" s="176" t="n"/>
      <c r="ID339" s="176" t="n"/>
    </row>
    <row r="340" ht="18.75" customHeight="1">
      <c r="A340" s="176" t="n"/>
      <c r="B340" s="176" t="n"/>
      <c r="C340" s="176" t="n"/>
      <c r="D340" s="176" t="n"/>
      <c r="E340" s="176" t="n"/>
      <c r="F340" s="176" t="n"/>
      <c r="G340" s="176" t="n"/>
      <c r="H340" s="176" t="n"/>
      <c r="I340" s="176" t="n"/>
      <c r="J340" s="176" t="n"/>
      <c r="K340" s="176" t="n"/>
      <c r="L340" s="176" t="n"/>
      <c r="M340" s="176" t="n"/>
      <c r="N340" s="176" t="n"/>
      <c r="O340" s="176" t="n"/>
      <c r="P340" s="176" t="n"/>
      <c r="Q340" s="176" t="n"/>
      <c r="R340" s="176" t="n"/>
      <c r="S340" s="176" t="n"/>
      <c r="T340" s="181">
        <f>SWITCH('CONFIGURAÇÃO'!$T$333,"Origem","ROTA","Marcante","","Menor","","Arma","PROPRIEDADE 2","Escudo","","Uniforme","","Item comum","","Ferramenta amaldiçoada","","")</f>
        <v/>
      </c>
      <c r="U340" s="183" t="n"/>
      <c r="V340" s="185" t="n"/>
      <c r="W340" s="182" t="n"/>
      <c r="X340" s="182" t="n"/>
      <c r="Y340" s="183" t="n"/>
      <c r="Z340" s="176" t="n"/>
      <c r="AA340" s="176" t="n"/>
      <c r="AB340" s="181">
        <f>SWITCH('CONFIGURAÇÃO'!$AB$333,"Origem","ROTA","Marcante","","Menor","","Arma","PROPRIEDADE 2","Escudo","","Uniforme","","Item comum","","Ferramenta amaldiçoada","","")</f>
        <v/>
      </c>
      <c r="AC340" s="183" t="n"/>
      <c r="AD340" s="185" t="n"/>
      <c r="AE340" s="182" t="n"/>
      <c r="AF340" s="182" t="n"/>
      <c r="AG340" s="183" t="n"/>
      <c r="AH340" s="176" t="n"/>
      <c r="AI340" s="176" t="n"/>
      <c r="AJ340" s="176" t="n"/>
      <c r="AK340" s="176" t="n"/>
      <c r="AL340" s="176" t="n"/>
      <c r="AM340" s="176" t="n"/>
      <c r="AN340" s="176" t="n"/>
      <c r="AO340" s="176" t="n"/>
      <c r="AP340" s="176" t="n"/>
      <c r="AQ340" s="176" t="n"/>
      <c r="AR340" s="176" t="n"/>
      <c r="AS340" s="176" t="n"/>
      <c r="AT340" s="176" t="n"/>
      <c r="AU340" s="176" t="n"/>
      <c r="AV340" s="176" t="n"/>
      <c r="AW340" s="176" t="n"/>
      <c r="AX340" s="176" t="n"/>
      <c r="AY340" s="176" t="n"/>
      <c r="AZ340" s="176" t="n"/>
      <c r="BA340" s="176" t="n"/>
      <c r="BB340" s="176" t="n"/>
      <c r="BC340" s="176" t="n"/>
      <c r="BD340" s="176" t="n"/>
      <c r="BE340" s="176" t="n"/>
      <c r="BF340" s="176" t="n"/>
      <c r="BG340" s="176" t="n"/>
      <c r="BH340" s="176" t="n"/>
      <c r="BI340" s="176" t="n"/>
      <c r="BJ340" s="176" t="n"/>
      <c r="BK340" s="176" t="n"/>
      <c r="BL340" s="176" t="n"/>
      <c r="BM340" s="176" t="n"/>
      <c r="BN340" s="176" t="n"/>
      <c r="BO340" s="176" t="n"/>
      <c r="BP340" s="176" t="n"/>
      <c r="BQ340" s="176" t="n"/>
      <c r="BR340" s="176" t="n"/>
      <c r="BS340" s="176" t="n"/>
      <c r="BT340" s="176" t="n"/>
      <c r="BU340" s="176" t="n"/>
      <c r="BV340" s="176" t="n"/>
      <c r="BW340" s="176" t="n"/>
      <c r="BX340" s="176" t="n"/>
      <c r="BY340" s="176" t="n"/>
      <c r="BZ340" s="176" t="n"/>
      <c r="CA340" s="176" t="n"/>
      <c r="CB340" s="176" t="n"/>
      <c r="CC340" s="176" t="n"/>
      <c r="CD340" s="176" t="n"/>
      <c r="CE340" s="176" t="n"/>
      <c r="CF340" s="176" t="n"/>
      <c r="CG340" s="176" t="n"/>
      <c r="CH340" s="176" t="n"/>
      <c r="CI340" s="176" t="n"/>
      <c r="CJ340" s="176" t="n"/>
      <c r="CK340" s="176" t="n"/>
      <c r="CL340" s="176" t="n"/>
      <c r="CM340" s="176" t="n"/>
      <c r="CN340" s="176" t="n"/>
      <c r="CO340" s="176" t="n"/>
      <c r="CP340" s="176" t="n"/>
      <c r="CQ340" s="176" t="n"/>
      <c r="CR340" s="176" t="n"/>
      <c r="CS340" s="176" t="n"/>
      <c r="CT340" s="176" t="n"/>
      <c r="CU340" s="176" t="n"/>
      <c r="CV340" s="176" t="n"/>
      <c r="CW340" s="176" t="n"/>
      <c r="CX340" s="176" t="n"/>
      <c r="CY340" s="176" t="n"/>
      <c r="CZ340" s="176" t="n"/>
      <c r="DA340" s="192" t="n"/>
      <c r="DB340" s="187" t="n"/>
      <c r="DC340" s="187" t="n"/>
      <c r="DD340" s="187" t="n"/>
      <c r="DE340" s="187" t="n"/>
      <c r="DF340" s="188" t="n"/>
      <c r="DG340" s="176" t="n"/>
      <c r="DH340" s="176" t="n"/>
      <c r="DI340" s="192" t="n"/>
      <c r="DJ340" s="187" t="n"/>
      <c r="DK340" s="187" t="n"/>
      <c r="DL340" s="187" t="n"/>
      <c r="DM340" s="187" t="n"/>
      <c r="DN340" s="188" t="n"/>
      <c r="DO340" s="176" t="n"/>
      <c r="DP340" s="176" t="n"/>
      <c r="DQ340" s="176" t="n"/>
      <c r="DR340" s="176" t="n"/>
      <c r="DS340" s="176" t="n"/>
      <c r="DT340" s="176" t="n"/>
      <c r="DU340" s="176" t="n"/>
      <c r="DV340" s="176" t="n"/>
      <c r="DW340" s="176" t="n"/>
      <c r="DX340" s="176" t="n"/>
      <c r="DY340" s="176" t="n"/>
      <c r="DZ340" s="176" t="n"/>
      <c r="EA340" s="176" t="n"/>
      <c r="EB340" s="176" t="n"/>
      <c r="EC340" s="176" t="n"/>
      <c r="ED340" s="176" t="n"/>
      <c r="EE340" s="176" t="n"/>
      <c r="EF340" s="176" t="n"/>
      <c r="EG340" s="176" t="n"/>
      <c r="EH340" s="176" t="n"/>
      <c r="EI340" s="176" t="n"/>
      <c r="EJ340" s="176" t="n"/>
      <c r="EK340" s="176" t="n"/>
      <c r="EL340" s="176" t="n"/>
      <c r="EM340" s="176" t="n"/>
      <c r="EN340" s="176" t="n"/>
      <c r="EO340" s="176" t="n"/>
      <c r="EP340" s="176" t="n"/>
      <c r="EQ340" s="176" t="n"/>
      <c r="ER340" s="176" t="n"/>
      <c r="ES340" s="176" t="n"/>
      <c r="ET340" s="176" t="n"/>
      <c r="EU340" s="176" t="n"/>
      <c r="EV340" s="176" t="n"/>
      <c r="EW340" s="176" t="n"/>
      <c r="EX340" s="176" t="n"/>
      <c r="EY340" s="176" t="n"/>
      <c r="EZ340" s="176" t="n"/>
      <c r="FA340" s="176" t="n"/>
      <c r="FB340" s="176" t="n"/>
      <c r="FC340" s="176" t="n"/>
      <c r="FD340" s="176" t="n"/>
      <c r="FE340" s="176" t="n"/>
      <c r="FF340" s="176" t="n"/>
      <c r="FG340" s="176" t="n"/>
      <c r="FH340" s="176" t="n"/>
      <c r="FI340" s="176" t="n"/>
      <c r="FJ340" s="176" t="n"/>
      <c r="FK340" s="176" t="n"/>
      <c r="FL340" s="176" t="n"/>
      <c r="FM340" s="176" t="n"/>
      <c r="FN340" s="176" t="n"/>
      <c r="FO340" s="176" t="n"/>
      <c r="FP340" s="176" t="n"/>
      <c r="FQ340" s="176" t="n"/>
      <c r="FR340" s="176" t="n"/>
      <c r="FS340" s="176" t="n"/>
      <c r="FT340" s="176" t="n"/>
      <c r="FU340" s="176" t="n"/>
      <c r="FV340" s="176" t="n"/>
      <c r="FW340" s="176" t="n"/>
      <c r="FX340" s="176" t="n"/>
      <c r="FY340" s="176" t="n"/>
      <c r="FZ340" s="176" t="n"/>
      <c r="GA340" s="176" t="n"/>
      <c r="GB340" s="176" t="n"/>
      <c r="GC340" s="176" t="n"/>
      <c r="GD340" s="176" t="n"/>
      <c r="GE340" s="176" t="n"/>
      <c r="GF340" s="176" t="n"/>
      <c r="GG340" s="176" t="n"/>
      <c r="GH340" s="176" t="n"/>
      <c r="GI340" s="176" t="n"/>
      <c r="GJ340" s="176" t="n"/>
      <c r="GK340" s="176" t="n"/>
      <c r="GL340" s="176" t="n"/>
      <c r="GM340" s="176" t="n"/>
      <c r="GN340" s="176" t="n"/>
      <c r="GO340" s="176" t="n"/>
      <c r="GP340" s="176" t="n"/>
      <c r="GQ340" s="176" t="n"/>
      <c r="GR340" s="176" t="n"/>
      <c r="GS340" s="176" t="n"/>
      <c r="GT340" s="176" t="n"/>
      <c r="GU340" s="176" t="n"/>
      <c r="GV340" s="176" t="n"/>
      <c r="GW340" s="176" t="n"/>
      <c r="GX340" s="176" t="n"/>
      <c r="GY340" s="176" t="n"/>
      <c r="GZ340" s="176" t="n"/>
      <c r="HA340" s="176" t="n"/>
      <c r="HB340" s="176" t="n"/>
      <c r="HC340" s="176" t="n"/>
      <c r="HD340" s="176" t="n"/>
      <c r="HE340" s="176" t="n"/>
      <c r="HF340" s="176" t="n"/>
      <c r="HG340" s="176" t="n"/>
      <c r="HH340" s="176" t="n"/>
      <c r="HI340" s="176" t="n"/>
      <c r="HJ340" s="176" t="n"/>
      <c r="HK340" s="176" t="n"/>
      <c r="HL340" s="176" t="n"/>
      <c r="HM340" s="176" t="n"/>
      <c r="HN340" s="176" t="n"/>
      <c r="HO340" s="176" t="n"/>
      <c r="HP340" s="176" t="n"/>
      <c r="HQ340" s="176" t="n"/>
      <c r="HR340" s="176" t="n"/>
      <c r="HS340" s="176" t="n"/>
      <c r="HT340" s="176" t="n"/>
      <c r="HU340" s="176" t="n"/>
      <c r="HV340" s="176" t="n"/>
      <c r="HW340" s="176" t="n"/>
      <c r="HX340" s="176" t="n"/>
      <c r="HY340" s="176" t="n"/>
      <c r="HZ340" s="176" t="n"/>
      <c r="IA340" s="176" t="n"/>
      <c r="IB340" s="176" t="n"/>
      <c r="IC340" s="176" t="n"/>
      <c r="ID340" s="176" t="n"/>
    </row>
    <row r="341" ht="18.75" customHeight="1">
      <c r="A341" s="176" t="n"/>
      <c r="B341" s="176" t="n"/>
      <c r="C341" s="176" t="n"/>
      <c r="D341" s="176" t="n"/>
      <c r="E341" s="176" t="n"/>
      <c r="F341" s="176" t="n"/>
      <c r="G341" s="176" t="n"/>
      <c r="H341" s="176" t="n"/>
      <c r="I341" s="176" t="n"/>
      <c r="J341" s="176" t="n"/>
      <c r="K341" s="176" t="n"/>
      <c r="L341" s="176" t="n"/>
      <c r="M341" s="176" t="n"/>
      <c r="N341" s="176" t="n"/>
      <c r="O341" s="176" t="n"/>
      <c r="P341" s="176" t="n"/>
      <c r="Q341" s="176" t="n"/>
      <c r="R341" s="176" t="n"/>
      <c r="S341" s="176" t="n"/>
      <c r="T341" s="181">
        <f>SWITCH('CONFIGURAÇÃO'!$T$333,"Origem","BASE DO LIVRO","Marcante","","Menor","","Arma","PROPRIEDADE 3","Escudo","","Uniforme","","Item comum","","Ferramenta amaldiçoada","","")</f>
        <v/>
      </c>
      <c r="U341" s="183" t="n"/>
      <c r="V341" s="185" t="n"/>
      <c r="W341" s="182" t="n"/>
      <c r="X341" s="182" t="n"/>
      <c r="Y341" s="183" t="n"/>
      <c r="Z341" s="176" t="n"/>
      <c r="AA341" s="176" t="n"/>
      <c r="AB341" s="181">
        <f>SWITCH('CONFIGURAÇÃO'!$AB$333,"Origem","BASE DO LIVRO","Marcante","","Menor","","Arma","PROPRIEDADE 3","Escudo","","Uniforme","","Item comum","","Ferramenta amaldiçoada","","")</f>
        <v/>
      </c>
      <c r="AC341" s="183" t="n"/>
      <c r="AD341" s="185" t="n"/>
      <c r="AE341" s="182" t="n"/>
      <c r="AF341" s="182" t="n"/>
      <c r="AG341" s="183" t="n"/>
      <c r="AH341" s="176" t="n"/>
      <c r="AI341" s="176" t="n"/>
      <c r="AJ341" s="176" t="n"/>
      <c r="AK341" s="176" t="n"/>
      <c r="AL341" s="176" t="n"/>
      <c r="AM341" s="176" t="n"/>
      <c r="AN341" s="176" t="n"/>
      <c r="AO341" s="176" t="n"/>
      <c r="AP341" s="176" t="n"/>
      <c r="AQ341" s="176" t="n"/>
      <c r="AR341" s="176" t="n"/>
      <c r="AS341" s="176" t="n"/>
      <c r="AT341" s="176" t="n"/>
      <c r="AU341" s="176" t="n"/>
      <c r="AV341" s="176" t="n"/>
      <c r="AW341" s="176" t="n"/>
      <c r="AX341" s="176" t="n"/>
      <c r="AY341" s="176" t="n"/>
      <c r="AZ341" s="176" t="n"/>
      <c r="BA341" s="176" t="n"/>
      <c r="BB341" s="176" t="n"/>
      <c r="BC341" s="176" t="n"/>
      <c r="BD341" s="176" t="n"/>
      <c r="BE341" s="176" t="n"/>
      <c r="BF341" s="176" t="n"/>
      <c r="BG341" s="176" t="n"/>
      <c r="BH341" s="176" t="n"/>
      <c r="BI341" s="176" t="n"/>
      <c r="BJ341" s="176" t="n"/>
      <c r="BK341" s="176" t="n"/>
      <c r="BL341" s="176" t="n"/>
      <c r="BM341" s="176" t="n"/>
      <c r="BN341" s="176" t="n"/>
      <c r="BO341" s="176" t="n"/>
      <c r="BP341" s="176" t="n"/>
      <c r="BQ341" s="176" t="n"/>
      <c r="BR341" s="176" t="n"/>
      <c r="BS341" s="176" t="n"/>
      <c r="BT341" s="176" t="n"/>
      <c r="BU341" s="176" t="n"/>
      <c r="BV341" s="176" t="n"/>
      <c r="BW341" s="176" t="n"/>
      <c r="BX341" s="176" t="n"/>
      <c r="BY341" s="176" t="n"/>
      <c r="BZ341" s="176" t="n"/>
      <c r="CA341" s="176" t="n"/>
      <c r="CB341" s="176" t="n"/>
      <c r="CC341" s="176" t="n"/>
      <c r="CD341" s="176" t="n"/>
      <c r="CE341" s="176" t="n"/>
      <c r="CF341" s="176" t="n"/>
      <c r="CG341" s="176" t="n"/>
      <c r="CH341" s="176" t="n"/>
      <c r="CI341" s="176" t="n"/>
      <c r="CJ341" s="176" t="n"/>
      <c r="CK341" s="176" t="n"/>
      <c r="CL341" s="176" t="n"/>
      <c r="CM341" s="176" t="n"/>
      <c r="CN341" s="176" t="n"/>
      <c r="CO341" s="176" t="n"/>
      <c r="CP341" s="176" t="n"/>
      <c r="CQ341" s="176" t="n"/>
      <c r="CR341" s="176" t="n"/>
      <c r="CS341" s="176" t="n"/>
      <c r="CT341" s="176" t="n"/>
      <c r="CU341" s="176" t="n"/>
      <c r="CV341" s="176" t="n"/>
      <c r="CW341" s="176" t="n"/>
      <c r="CX341" s="176" t="n"/>
      <c r="CY341" s="176" t="n"/>
      <c r="CZ341" s="176" t="n"/>
      <c r="DA341" s="193" t="n"/>
      <c r="DF341" s="194" t="n"/>
      <c r="DG341" s="176" t="n"/>
      <c r="DH341" s="176" t="n"/>
      <c r="DI341" s="193" t="n"/>
      <c r="DN341" s="194" t="n"/>
      <c r="DO341" s="176" t="n"/>
      <c r="DP341" s="176" t="n"/>
      <c r="DQ341" s="176" t="n"/>
      <c r="DR341" s="176" t="n"/>
      <c r="DS341" s="176" t="n"/>
      <c r="DT341" s="176" t="n"/>
      <c r="DU341" s="176" t="n"/>
      <c r="DV341" s="176" t="n"/>
      <c r="DW341" s="176" t="n"/>
      <c r="DX341" s="176" t="n"/>
      <c r="DY341" s="176" t="n"/>
      <c r="DZ341" s="176" t="n"/>
      <c r="EA341" s="176" t="n"/>
      <c r="EB341" s="176" t="n"/>
      <c r="EC341" s="176" t="n"/>
      <c r="ED341" s="176" t="n"/>
      <c r="EE341" s="176" t="n"/>
      <c r="EF341" s="176" t="n"/>
      <c r="EG341" s="176" t="n"/>
      <c r="EH341" s="176" t="n"/>
      <c r="EI341" s="176" t="n"/>
      <c r="EJ341" s="176" t="n"/>
      <c r="EK341" s="176" t="n"/>
      <c r="EL341" s="176" t="n"/>
      <c r="EM341" s="176" t="n"/>
      <c r="EN341" s="176" t="n"/>
      <c r="EO341" s="176" t="n"/>
      <c r="EP341" s="176" t="n"/>
      <c r="EQ341" s="176" t="n"/>
      <c r="ER341" s="176" t="n"/>
      <c r="ES341" s="176" t="n"/>
      <c r="ET341" s="176" t="n"/>
      <c r="EU341" s="176" t="n"/>
      <c r="EV341" s="176" t="n"/>
      <c r="EW341" s="176" t="n"/>
      <c r="EX341" s="176" t="n"/>
      <c r="EY341" s="176" t="n"/>
      <c r="EZ341" s="176" t="n"/>
      <c r="FA341" s="176" t="n"/>
      <c r="FB341" s="176" t="n"/>
      <c r="FC341" s="176" t="n"/>
      <c r="FD341" s="176" t="n"/>
      <c r="FE341" s="176" t="n"/>
      <c r="FF341" s="176" t="n"/>
      <c r="FG341" s="176" t="n"/>
      <c r="FH341" s="176" t="n"/>
      <c r="FI341" s="176" t="n"/>
      <c r="FJ341" s="176" t="n"/>
      <c r="FK341" s="176" t="n"/>
      <c r="FL341" s="176" t="n"/>
      <c r="FM341" s="176" t="n"/>
      <c r="FN341" s="176" t="n"/>
      <c r="FO341" s="176" t="n"/>
      <c r="FP341" s="176" t="n"/>
      <c r="FQ341" s="176" t="n"/>
      <c r="FR341" s="176" t="n"/>
      <c r="FS341" s="176" t="n"/>
      <c r="FT341" s="176" t="n"/>
      <c r="FU341" s="176" t="n"/>
      <c r="FV341" s="176" t="n"/>
      <c r="FW341" s="176" t="n"/>
      <c r="FX341" s="176" t="n"/>
      <c r="FY341" s="176" t="n"/>
      <c r="FZ341" s="176" t="n"/>
      <c r="GA341" s="176" t="n"/>
      <c r="GB341" s="176" t="n"/>
      <c r="GC341" s="176" t="n"/>
      <c r="GD341" s="176" t="n"/>
      <c r="GE341" s="176" t="n"/>
      <c r="GF341" s="176" t="n"/>
      <c r="GG341" s="176" t="n"/>
      <c r="GH341" s="176" t="n"/>
      <c r="GI341" s="176" t="n"/>
      <c r="GJ341" s="176" t="n"/>
      <c r="GK341" s="176" t="n"/>
      <c r="GL341" s="176" t="n"/>
      <c r="GM341" s="176" t="n"/>
      <c r="GN341" s="176" t="n"/>
      <c r="GO341" s="176" t="n"/>
      <c r="GP341" s="176" t="n"/>
      <c r="GQ341" s="176" t="n"/>
      <c r="GR341" s="176" t="n"/>
      <c r="GS341" s="176" t="n"/>
      <c r="GT341" s="176" t="n"/>
      <c r="GU341" s="176" t="n"/>
      <c r="GV341" s="176" t="n"/>
      <c r="GW341" s="176" t="n"/>
      <c r="GX341" s="176" t="n"/>
      <c r="GY341" s="176" t="n"/>
      <c r="GZ341" s="176" t="n"/>
      <c r="HA341" s="176" t="n"/>
      <c r="HB341" s="176" t="n"/>
      <c r="HC341" s="176" t="n"/>
      <c r="HD341" s="176" t="n"/>
      <c r="HE341" s="176" t="n"/>
      <c r="HF341" s="176" t="n"/>
      <c r="HG341" s="176" t="n"/>
      <c r="HH341" s="176" t="n"/>
      <c r="HI341" s="176" t="n"/>
      <c r="HJ341" s="176" t="n"/>
      <c r="HK341" s="176" t="n"/>
      <c r="HL341" s="176" t="n"/>
      <c r="HM341" s="176" t="n"/>
      <c r="HN341" s="176" t="n"/>
      <c r="HO341" s="176" t="n"/>
      <c r="HP341" s="176" t="n"/>
      <c r="HQ341" s="176" t="n"/>
      <c r="HR341" s="176" t="n"/>
      <c r="HS341" s="176" t="n"/>
      <c r="HT341" s="176" t="n"/>
      <c r="HU341" s="176" t="n"/>
      <c r="HV341" s="176" t="n"/>
      <c r="HW341" s="176" t="n"/>
      <c r="HX341" s="176" t="n"/>
      <c r="HY341" s="176" t="n"/>
      <c r="HZ341" s="176" t="n"/>
      <c r="IA341" s="176" t="n"/>
      <c r="IB341" s="176" t="n"/>
      <c r="IC341" s="176" t="n"/>
      <c r="ID341" s="176" t="n"/>
    </row>
    <row r="342" ht="18.75" customHeight="1">
      <c r="A342" s="176" t="n"/>
      <c r="B342" s="176" t="n"/>
      <c r="C342" s="176" t="n"/>
      <c r="D342" s="176" t="n"/>
      <c r="E342" s="176" t="n"/>
      <c r="F342" s="176" t="n"/>
      <c r="G342" s="176" t="n"/>
      <c r="H342" s="176" t="n"/>
      <c r="I342" s="176" t="n"/>
      <c r="J342" s="176" t="n"/>
      <c r="K342" s="176" t="n"/>
      <c r="L342" s="176" t="n"/>
      <c r="M342" s="176" t="n"/>
      <c r="N342" s="176" t="n"/>
      <c r="O342" s="176" t="n"/>
      <c r="P342" s="176" t="n"/>
      <c r="Q342" s="176" t="n"/>
      <c r="R342" s="176" t="n"/>
      <c r="S342" s="176" t="n"/>
      <c r="T342" s="181">
        <f>SWITCH('CONFIGURAÇÃO'!$T$333,"Origem","OFÍCIO","Marcante","","Menor","","Arma","PROPRIEDADE 4","Escudo","","Uniforme","","Item comum","","Ferramenta amaldiçoada","","")</f>
        <v/>
      </c>
      <c r="U342" s="183" t="n"/>
      <c r="V342" s="185" t="n"/>
      <c r="W342" s="182" t="n"/>
      <c r="X342" s="182" t="n"/>
      <c r="Y342" s="183" t="n"/>
      <c r="Z342" s="176" t="n"/>
      <c r="AA342" s="176" t="n"/>
      <c r="AB342" s="181">
        <f>SWITCH('CONFIGURAÇÃO'!$AB$333,"Origem","OFÍCIO","Marcante","","Menor","","Arma","PROPRIEDADE 4","Escudo","","Uniforme","","Item comum","","Ferramenta amaldiçoada","","")</f>
        <v/>
      </c>
      <c r="AC342" s="183" t="n"/>
      <c r="AD342" s="185" t="n"/>
      <c r="AE342" s="182" t="n"/>
      <c r="AF342" s="182" t="n"/>
      <c r="AG342" s="183" t="n"/>
      <c r="AH342" s="176" t="n"/>
      <c r="AI342" s="176" t="n"/>
      <c r="AJ342" s="176" t="n"/>
      <c r="AK342" s="176" t="n"/>
      <c r="AL342" s="176" t="n"/>
      <c r="AM342" s="176" t="n"/>
      <c r="AN342" s="176" t="n"/>
      <c r="AO342" s="176" t="n"/>
      <c r="AP342" s="176" t="n"/>
      <c r="AQ342" s="176" t="n"/>
      <c r="AR342" s="176" t="n"/>
      <c r="AS342" s="176" t="n"/>
      <c r="AT342" s="176" t="n"/>
      <c r="AU342" s="176" t="n"/>
      <c r="AV342" s="176" t="n"/>
      <c r="AW342" s="176" t="n"/>
      <c r="AX342" s="176" t="n"/>
      <c r="AY342" s="176" t="n"/>
      <c r="AZ342" s="176" t="n"/>
      <c r="BA342" s="176" t="n"/>
      <c r="BB342" s="176" t="n"/>
      <c r="BC342" s="176" t="n"/>
      <c r="BD342" s="176" t="n"/>
      <c r="BE342" s="176" t="n"/>
      <c r="BF342" s="176" t="n"/>
      <c r="BG342" s="176" t="n"/>
      <c r="BH342" s="176" t="n"/>
      <c r="BI342" s="176" t="n"/>
      <c r="BJ342" s="176" t="n"/>
      <c r="BK342" s="176" t="n"/>
      <c r="BL342" s="176" t="n"/>
      <c r="BM342" s="176" t="n"/>
      <c r="BN342" s="176" t="n"/>
      <c r="BO342" s="176" t="n"/>
      <c r="BP342" s="176" t="n"/>
      <c r="BQ342" s="176" t="n"/>
      <c r="BR342" s="176" t="n"/>
      <c r="BS342" s="176" t="n"/>
      <c r="BT342" s="176" t="n"/>
      <c r="BU342" s="176" t="n"/>
      <c r="BV342" s="176" t="n"/>
      <c r="BW342" s="176" t="n"/>
      <c r="BX342" s="176" t="n"/>
      <c r="BY342" s="176" t="n"/>
      <c r="BZ342" s="176" t="n"/>
      <c r="CA342" s="176" t="n"/>
      <c r="CB342" s="176" t="n"/>
      <c r="CC342" s="176" t="n"/>
      <c r="CD342" s="176" t="n"/>
      <c r="CE342" s="176" t="n"/>
      <c r="CF342" s="176" t="n"/>
      <c r="CG342" s="176" t="n"/>
      <c r="CH342" s="176" t="n"/>
      <c r="CI342" s="176" t="n"/>
      <c r="CJ342" s="176" t="n"/>
      <c r="CK342" s="176" t="n"/>
      <c r="CL342" s="176" t="n"/>
      <c r="CM342" s="176" t="n"/>
      <c r="CN342" s="176" t="n"/>
      <c r="CO342" s="176" t="n"/>
      <c r="CP342" s="176" t="n"/>
      <c r="CQ342" s="176" t="n"/>
      <c r="CR342" s="176" t="n"/>
      <c r="CS342" s="176" t="n"/>
      <c r="CT342" s="176" t="n"/>
      <c r="CU342" s="176" t="n"/>
      <c r="CV342" s="176" t="n"/>
      <c r="CW342" s="176" t="n"/>
      <c r="CX342" s="176" t="n"/>
      <c r="CY342" s="176" t="n"/>
      <c r="CZ342" s="176" t="n"/>
      <c r="DA342" s="193" t="n"/>
      <c r="DF342" s="194" t="n"/>
      <c r="DG342" s="176" t="n"/>
      <c r="DH342" s="176" t="n"/>
      <c r="DI342" s="193" t="n"/>
      <c r="DN342" s="194" t="n"/>
      <c r="DO342" s="176" t="n"/>
      <c r="DP342" s="176" t="n"/>
      <c r="DQ342" s="176" t="n"/>
      <c r="DR342" s="176" t="n"/>
      <c r="DS342" s="176" t="n"/>
      <c r="DT342" s="176" t="n"/>
      <c r="DU342" s="176" t="n"/>
      <c r="DV342" s="176" t="n"/>
      <c r="DW342" s="176" t="n"/>
      <c r="DX342" s="176" t="n"/>
      <c r="DY342" s="176" t="n"/>
      <c r="DZ342" s="176" t="n"/>
      <c r="EA342" s="176" t="n"/>
      <c r="EB342" s="176" t="n"/>
      <c r="EC342" s="176" t="n"/>
      <c r="ED342" s="176" t="n"/>
      <c r="EE342" s="176" t="n"/>
      <c r="EF342" s="176" t="n"/>
      <c r="EG342" s="176" t="n"/>
      <c r="EH342" s="176" t="n"/>
      <c r="EI342" s="176" t="n"/>
      <c r="EJ342" s="176" t="n"/>
      <c r="EK342" s="176" t="n"/>
      <c r="EL342" s="176" t="n"/>
      <c r="EM342" s="176" t="n"/>
      <c r="EN342" s="176" t="n"/>
      <c r="EO342" s="176" t="n"/>
      <c r="EP342" s="176" t="n"/>
      <c r="EQ342" s="176" t="n"/>
      <c r="ER342" s="176" t="n"/>
      <c r="ES342" s="176" t="n"/>
      <c r="ET342" s="176" t="n"/>
      <c r="EU342" s="176" t="n"/>
      <c r="EV342" s="176" t="n"/>
      <c r="EW342" s="176" t="n"/>
      <c r="EX342" s="176" t="n"/>
      <c r="EY342" s="176" t="n"/>
      <c r="EZ342" s="176" t="n"/>
      <c r="FA342" s="176" t="n"/>
      <c r="FB342" s="176" t="n"/>
      <c r="FC342" s="176" t="n"/>
      <c r="FD342" s="176" t="n"/>
      <c r="FE342" s="176" t="n"/>
      <c r="FF342" s="176" t="n"/>
      <c r="FG342" s="176" t="n"/>
      <c r="FH342" s="176" t="n"/>
      <c r="FI342" s="176" t="n"/>
      <c r="FJ342" s="176" t="n"/>
      <c r="FK342" s="176" t="n"/>
      <c r="FL342" s="176" t="n"/>
      <c r="FM342" s="176" t="n"/>
      <c r="FN342" s="176" t="n"/>
      <c r="FO342" s="176" t="n"/>
      <c r="FP342" s="176" t="n"/>
      <c r="FQ342" s="176" t="n"/>
      <c r="FR342" s="176" t="n"/>
      <c r="FS342" s="176" t="n"/>
      <c r="FT342" s="176" t="n"/>
      <c r="FU342" s="176" t="n"/>
      <c r="FV342" s="176" t="n"/>
      <c r="FW342" s="176" t="n"/>
      <c r="FX342" s="176" t="n"/>
      <c r="FY342" s="176" t="n"/>
      <c r="FZ342" s="176" t="n"/>
      <c r="GA342" s="176" t="n"/>
      <c r="GB342" s="176" t="n"/>
      <c r="GC342" s="176" t="n"/>
      <c r="GD342" s="176" t="n"/>
      <c r="GE342" s="176" t="n"/>
      <c r="GF342" s="176" t="n"/>
      <c r="GG342" s="176" t="n"/>
      <c r="GH342" s="176" t="n"/>
      <c r="GI342" s="176" t="n"/>
      <c r="GJ342" s="176" t="n"/>
      <c r="GK342" s="176" t="n"/>
      <c r="GL342" s="176" t="n"/>
      <c r="GM342" s="176" t="n"/>
      <c r="GN342" s="176" t="n"/>
      <c r="GO342" s="176" t="n"/>
      <c r="GP342" s="176" t="n"/>
      <c r="GQ342" s="176" t="n"/>
      <c r="GR342" s="176" t="n"/>
      <c r="GS342" s="176" t="n"/>
      <c r="GT342" s="176" t="n"/>
      <c r="GU342" s="176" t="n"/>
      <c r="GV342" s="176" t="n"/>
      <c r="GW342" s="176" t="n"/>
      <c r="GX342" s="176" t="n"/>
      <c r="GY342" s="176" t="n"/>
      <c r="GZ342" s="176" t="n"/>
      <c r="HA342" s="176" t="n"/>
      <c r="HB342" s="176" t="n"/>
      <c r="HC342" s="176" t="n"/>
      <c r="HD342" s="176" t="n"/>
      <c r="HE342" s="176" t="n"/>
      <c r="HF342" s="176" t="n"/>
      <c r="HG342" s="176" t="n"/>
      <c r="HH342" s="176" t="n"/>
      <c r="HI342" s="176" t="n"/>
      <c r="HJ342" s="176" t="n"/>
      <c r="HK342" s="176" t="n"/>
      <c r="HL342" s="176" t="n"/>
      <c r="HM342" s="176" t="n"/>
      <c r="HN342" s="176" t="n"/>
      <c r="HO342" s="176" t="n"/>
      <c r="HP342" s="176" t="n"/>
      <c r="HQ342" s="176" t="n"/>
      <c r="HR342" s="176" t="n"/>
      <c r="HS342" s="176" t="n"/>
      <c r="HT342" s="176" t="n"/>
      <c r="HU342" s="176" t="n"/>
      <c r="HV342" s="176" t="n"/>
      <c r="HW342" s="176" t="n"/>
      <c r="HX342" s="176" t="n"/>
      <c r="HY342" s="176" t="n"/>
      <c r="HZ342" s="176" t="n"/>
      <c r="IA342" s="176" t="n"/>
      <c r="IB342" s="176" t="n"/>
      <c r="IC342" s="176" t="n"/>
      <c r="ID342" s="176" t="n"/>
    </row>
    <row r="343" ht="18.75" customHeight="1">
      <c r="A343" s="176" t="n"/>
      <c r="B343" s="176" t="n"/>
      <c r="C343" s="176" t="n"/>
      <c r="D343" s="176" t="n"/>
      <c r="E343" s="176" t="n"/>
      <c r="F343" s="176" t="n"/>
      <c r="G343" s="176" t="n"/>
      <c r="H343" s="176" t="n"/>
      <c r="I343" s="176" t="n"/>
      <c r="J343" s="176" t="n"/>
      <c r="K343" s="176" t="n"/>
      <c r="L343" s="176" t="n"/>
      <c r="M343" s="176" t="n"/>
      <c r="N343" s="176" t="n"/>
      <c r="O343" s="176" t="n"/>
      <c r="P343" s="176" t="n"/>
      <c r="Q343" s="176" t="n"/>
      <c r="R343" s="176" t="n"/>
      <c r="S343" s="176" t="n"/>
      <c r="T343" s="181">
        <f>SWITCH('CONFIGURAÇÃO'!$T$333,"Origem","TALENTO CE 4","Marcante","FREQUÊNCIA","Menor","FREQUÊNCIA","Arma","DADO","Escudo","PROTEÇÃO","Uniforme","PROTEÇÃO","Item comum","VOLUME","Ferramenta amaldiçoada","ESTIGMA","")</f>
        <v/>
      </c>
      <c r="U343" s="183" t="n"/>
      <c r="V343" s="185" t="n"/>
      <c r="W343" s="182" t="n"/>
      <c r="X343" s="182" t="n"/>
      <c r="Y343" s="183" t="n"/>
      <c r="Z343" s="176" t="n"/>
      <c r="AA343" s="176" t="n"/>
      <c r="AB343" s="181">
        <f>SWITCH('CONFIGURAÇÃO'!$AB$333,"Origem","TALENTO CE 4","Marcante","FREQUÊNCIA","Menor","FREQUÊNCIA","Arma","DADO","Escudo","PROTEÇÃO","Uniforme","PROTEÇÃO","Item comum","VOLUME","Ferramenta amaldiçoada","ESTIGMA","")</f>
        <v/>
      </c>
      <c r="AC343" s="183" t="n"/>
      <c r="AD343" s="185" t="n"/>
      <c r="AE343" s="182" t="n"/>
      <c r="AF343" s="182" t="n"/>
      <c r="AG343" s="183" t="n"/>
      <c r="AH343" s="176" t="n"/>
      <c r="AI343" s="176" t="n"/>
      <c r="AJ343" s="176" t="n"/>
      <c r="AK343" s="176" t="n"/>
      <c r="AL343" s="176" t="n"/>
      <c r="AM343" s="176" t="n"/>
      <c r="AN343" s="176" t="n"/>
      <c r="AO343" s="176" t="n"/>
      <c r="AP343" s="176" t="n"/>
      <c r="AQ343" s="176" t="n"/>
      <c r="AR343" s="176" t="n"/>
      <c r="AS343" s="176" t="n"/>
      <c r="AT343" s="176" t="n"/>
      <c r="AU343" s="176" t="n"/>
      <c r="AV343" s="176" t="n"/>
      <c r="AW343" s="176" t="n"/>
      <c r="AX343" s="176" t="n"/>
      <c r="AY343" s="176" t="n"/>
      <c r="AZ343" s="176" t="n"/>
      <c r="BA343" s="176" t="n"/>
      <c r="BB343" s="176" t="n"/>
      <c r="BC343" s="176" t="n"/>
      <c r="BD343" s="176" t="n"/>
      <c r="BE343" s="176" t="n"/>
      <c r="BF343" s="176" t="n"/>
      <c r="BG343" s="176" t="n"/>
      <c r="BH343" s="176" t="n"/>
      <c r="BI343" s="176" t="n"/>
      <c r="BJ343" s="176" t="n"/>
      <c r="BK343" s="176" t="n"/>
      <c r="BL343" s="176" t="n"/>
      <c r="BM343" s="176" t="n"/>
      <c r="BN343" s="176" t="n"/>
      <c r="BO343" s="176" t="n"/>
      <c r="BP343" s="176" t="n"/>
      <c r="BQ343" s="176" t="n"/>
      <c r="BR343" s="176" t="n"/>
      <c r="BS343" s="176" t="n"/>
      <c r="BT343" s="176" t="n"/>
      <c r="BU343" s="176" t="n"/>
      <c r="BV343" s="176" t="n"/>
      <c r="BW343" s="176" t="n"/>
      <c r="BX343" s="176" t="n"/>
      <c r="BY343" s="176" t="n"/>
      <c r="BZ343" s="176" t="n"/>
      <c r="CA343" s="176" t="n"/>
      <c r="CB343" s="176" t="n"/>
      <c r="CC343" s="176" t="n"/>
      <c r="CD343" s="176" t="n"/>
      <c r="CE343" s="176" t="n"/>
      <c r="CF343" s="176" t="n"/>
      <c r="CG343" s="176" t="n"/>
      <c r="CH343" s="176" t="n"/>
      <c r="CI343" s="176" t="n"/>
      <c r="CJ343" s="176" t="n"/>
      <c r="CK343" s="176" t="n"/>
      <c r="CL343" s="176" t="n"/>
      <c r="CM343" s="176" t="n"/>
      <c r="CN343" s="176" t="n"/>
      <c r="CO343" s="176" t="n"/>
      <c r="CP343" s="176" t="n"/>
      <c r="CQ343" s="176" t="n"/>
      <c r="CR343" s="176" t="n"/>
      <c r="CS343" s="176" t="n"/>
      <c r="CT343" s="176" t="n"/>
      <c r="CU343" s="176" t="n"/>
      <c r="CV343" s="176" t="n"/>
      <c r="CW343" s="176" t="n"/>
      <c r="CX343" s="176" t="n"/>
      <c r="CY343" s="176" t="n"/>
      <c r="CZ343" s="176" t="n"/>
      <c r="DA343" s="193" t="n"/>
      <c r="DF343" s="194" t="n"/>
      <c r="DG343" s="176" t="n"/>
      <c r="DH343" s="176" t="n"/>
      <c r="DI343" s="193" t="n"/>
      <c r="DN343" s="194" t="n"/>
      <c r="DO343" s="176" t="n"/>
      <c r="DP343" s="176" t="n"/>
      <c r="DQ343" s="176" t="n"/>
      <c r="DR343" s="176" t="n"/>
      <c r="DS343" s="176" t="n"/>
      <c r="DT343" s="176" t="n"/>
      <c r="DU343" s="176" t="n"/>
      <c r="DV343" s="176" t="n"/>
      <c r="DW343" s="176" t="n"/>
      <c r="DX343" s="176" t="n"/>
      <c r="DY343" s="176" t="n"/>
      <c r="DZ343" s="176" t="n"/>
      <c r="EA343" s="176" t="n"/>
      <c r="EB343" s="176" t="n"/>
      <c r="EC343" s="176" t="n"/>
      <c r="ED343" s="176" t="n"/>
      <c r="EE343" s="176" t="n"/>
      <c r="EF343" s="176" t="n"/>
      <c r="EG343" s="176" t="n"/>
      <c r="EH343" s="176" t="n"/>
      <c r="EI343" s="176" t="n"/>
      <c r="EJ343" s="176" t="n"/>
      <c r="EK343" s="176" t="n"/>
      <c r="EL343" s="176" t="n"/>
      <c r="EM343" s="176" t="n"/>
      <c r="EN343" s="176" t="n"/>
      <c r="EO343" s="176" t="n"/>
      <c r="EP343" s="176" t="n"/>
      <c r="EQ343" s="176" t="n"/>
      <c r="ER343" s="176" t="n"/>
      <c r="ES343" s="176" t="n"/>
      <c r="ET343" s="176" t="n"/>
      <c r="EU343" s="176" t="n"/>
      <c r="EV343" s="176" t="n"/>
      <c r="EW343" s="176" t="n"/>
      <c r="EX343" s="176" t="n"/>
      <c r="EY343" s="176" t="n"/>
      <c r="EZ343" s="176" t="n"/>
      <c r="FA343" s="176" t="n"/>
      <c r="FB343" s="176" t="n"/>
      <c r="FC343" s="176" t="n"/>
      <c r="FD343" s="176" t="n"/>
      <c r="FE343" s="176" t="n"/>
      <c r="FF343" s="176" t="n"/>
      <c r="FG343" s="176" t="n"/>
      <c r="FH343" s="176" t="n"/>
      <c r="FI343" s="176" t="n"/>
      <c r="FJ343" s="176" t="n"/>
      <c r="FK343" s="176" t="n"/>
      <c r="FL343" s="176" t="n"/>
      <c r="FM343" s="176" t="n"/>
      <c r="FN343" s="176" t="n"/>
      <c r="FO343" s="176" t="n"/>
      <c r="FP343" s="176" t="n"/>
      <c r="FQ343" s="176" t="n"/>
      <c r="FR343" s="176" t="n"/>
      <c r="FS343" s="176" t="n"/>
      <c r="FT343" s="176" t="n"/>
      <c r="FU343" s="176" t="n"/>
      <c r="FV343" s="176" t="n"/>
      <c r="FW343" s="176" t="n"/>
      <c r="FX343" s="176" t="n"/>
      <c r="FY343" s="176" t="n"/>
      <c r="FZ343" s="176" t="n"/>
      <c r="GA343" s="176" t="n"/>
      <c r="GB343" s="176" t="n"/>
      <c r="GC343" s="176" t="n"/>
      <c r="GD343" s="176" t="n"/>
      <c r="GE343" s="176" t="n"/>
      <c r="GF343" s="176" t="n"/>
      <c r="GG343" s="176" t="n"/>
      <c r="GH343" s="176" t="n"/>
      <c r="GI343" s="176" t="n"/>
      <c r="GJ343" s="176" t="n"/>
      <c r="GK343" s="176" t="n"/>
      <c r="GL343" s="176" t="n"/>
      <c r="GM343" s="176" t="n"/>
      <c r="GN343" s="176" t="n"/>
      <c r="GO343" s="176" t="n"/>
      <c r="GP343" s="176" t="n"/>
      <c r="GQ343" s="176" t="n"/>
      <c r="GR343" s="176" t="n"/>
      <c r="GS343" s="176" t="n"/>
      <c r="GT343" s="176" t="n"/>
      <c r="GU343" s="176" t="n"/>
      <c r="GV343" s="176" t="n"/>
      <c r="GW343" s="176" t="n"/>
      <c r="GX343" s="176" t="n"/>
      <c r="GY343" s="176" t="n"/>
      <c r="GZ343" s="176" t="n"/>
      <c r="HA343" s="176" t="n"/>
      <c r="HB343" s="176" t="n"/>
      <c r="HC343" s="176" t="n"/>
      <c r="HD343" s="176" t="n"/>
      <c r="HE343" s="176" t="n"/>
      <c r="HF343" s="176" t="n"/>
      <c r="HG343" s="176" t="n"/>
      <c r="HH343" s="176" t="n"/>
      <c r="HI343" s="176" t="n"/>
      <c r="HJ343" s="176" t="n"/>
      <c r="HK343" s="176" t="n"/>
      <c r="HL343" s="176" t="n"/>
      <c r="HM343" s="176" t="n"/>
      <c r="HN343" s="176" t="n"/>
      <c r="HO343" s="176" t="n"/>
      <c r="HP343" s="176" t="n"/>
      <c r="HQ343" s="176" t="n"/>
      <c r="HR343" s="176" t="n"/>
      <c r="HS343" s="176" t="n"/>
      <c r="HT343" s="176" t="n"/>
      <c r="HU343" s="176" t="n"/>
      <c r="HV343" s="176" t="n"/>
      <c r="HW343" s="176" t="n"/>
      <c r="HX343" s="176" t="n"/>
      <c r="HY343" s="176" t="n"/>
      <c r="HZ343" s="176" t="n"/>
      <c r="IA343" s="176" t="n"/>
      <c r="IB343" s="176" t="n"/>
      <c r="IC343" s="176" t="n"/>
      <c r="ID343" s="176" t="n"/>
    </row>
    <row r="344" ht="18.75" customHeight="1">
      <c r="A344" s="176" t="n"/>
      <c r="B344" s="176" t="n"/>
      <c r="C344" s="176" t="n"/>
      <c r="D344" s="176" t="n"/>
      <c r="E344" s="176" t="n"/>
      <c r="F344" s="176" t="n"/>
      <c r="G344" s="176" t="n"/>
      <c r="H344" s="176" t="n"/>
      <c r="I344" s="176" t="n"/>
      <c r="J344" s="176" t="n"/>
      <c r="K344" s="176" t="n"/>
      <c r="L344" s="176" t="n"/>
      <c r="M344" s="176" t="n"/>
      <c r="N344" s="176" t="n"/>
      <c r="O344" s="176" t="n"/>
      <c r="P344" s="176" t="n"/>
      <c r="Q344" s="176" t="n"/>
      <c r="R344" s="176" t="n"/>
      <c r="S344" s="176" t="n"/>
      <c r="T344" s="181">
        <f>SWITCH('CONFIGURAÇÃO'!$T$333,"Origem","","Marcante","","Menor","","Arma","FORÇA","Escudo","TETO DE DESTREZA","Uniforme","TETO DE DESTREZA","Item comum","PREÇO","Ferramenta amaldiçoada","DESGASTE","")</f>
        <v/>
      </c>
      <c r="U344" s="183" t="n"/>
      <c r="V344" s="185" t="n"/>
      <c r="W344" s="182" t="n"/>
      <c r="X344" s="182" t="n"/>
      <c r="Y344" s="183" t="n"/>
      <c r="Z344" s="176" t="n"/>
      <c r="AA344" s="176" t="n"/>
      <c r="AB344" s="181">
        <f>SWITCH('CONFIGURAÇÃO'!$AB$333,"Origem","","Marcante","","Menor","","Arma","FORÇA","Escudo","TETO DE DESTREZA","Uniforme","TETO DE DESTREZA","Item comum","PREÇO","Ferramenta amaldiçoada","DESGASTE","")</f>
        <v/>
      </c>
      <c r="AC344" s="183" t="n"/>
      <c r="AD344" s="185" t="n"/>
      <c r="AE344" s="182" t="n"/>
      <c r="AF344" s="182" t="n"/>
      <c r="AG344" s="183" t="n"/>
      <c r="AH344" s="176" t="n"/>
      <c r="AI344" s="176" t="n"/>
      <c r="AJ344" s="176" t="n"/>
      <c r="AK344" s="176" t="n"/>
      <c r="AL344" s="176" t="n"/>
      <c r="AM344" s="176" t="n"/>
      <c r="AN344" s="176" t="n"/>
      <c r="AO344" s="176" t="n"/>
      <c r="AP344" s="176" t="n"/>
      <c r="AQ344" s="176" t="n"/>
      <c r="AR344" s="176" t="n"/>
      <c r="AS344" s="176" t="n"/>
      <c r="AT344" s="176" t="n"/>
      <c r="AU344" s="176" t="n"/>
      <c r="AV344" s="176" t="n"/>
      <c r="AW344" s="176" t="n"/>
      <c r="AX344" s="176" t="n"/>
      <c r="AY344" s="176" t="n"/>
      <c r="AZ344" s="176" t="n"/>
      <c r="BA344" s="176" t="n"/>
      <c r="BB344" s="176" t="n"/>
      <c r="BC344" s="176" t="n"/>
      <c r="BD344" s="176" t="n"/>
      <c r="BE344" s="176" t="n"/>
      <c r="BF344" s="176" t="n"/>
      <c r="BG344" s="176" t="n"/>
      <c r="BH344" s="176" t="n"/>
      <c r="BI344" s="176" t="n"/>
      <c r="BJ344" s="176" t="n"/>
      <c r="BK344" s="176" t="n"/>
      <c r="BL344" s="176" t="n"/>
      <c r="BM344" s="176" t="n"/>
      <c r="BN344" s="176" t="n"/>
      <c r="BO344" s="176" t="n"/>
      <c r="BP344" s="176" t="n"/>
      <c r="BQ344" s="176" t="n"/>
      <c r="BR344" s="176" t="n"/>
      <c r="BS344" s="176" t="n"/>
      <c r="BT344" s="176" t="n"/>
      <c r="BU344" s="176" t="n"/>
      <c r="BV344" s="176" t="n"/>
      <c r="BW344" s="176" t="n"/>
      <c r="BX344" s="176" t="n"/>
      <c r="BY344" s="176" t="n"/>
      <c r="BZ344" s="176" t="n"/>
      <c r="CA344" s="176" t="n"/>
      <c r="CB344" s="176" t="n"/>
      <c r="CC344" s="176" t="n"/>
      <c r="CD344" s="176" t="n"/>
      <c r="CE344" s="176" t="n"/>
      <c r="CF344" s="176" t="n"/>
      <c r="CG344" s="176" t="n"/>
      <c r="CH344" s="176" t="n"/>
      <c r="CI344" s="176" t="n"/>
      <c r="CJ344" s="176" t="n"/>
      <c r="CK344" s="176" t="n"/>
      <c r="CL344" s="176" t="n"/>
      <c r="CM344" s="176" t="n"/>
      <c r="CN344" s="176" t="n"/>
      <c r="CO344" s="176" t="n"/>
      <c r="CP344" s="176" t="n"/>
      <c r="CQ344" s="176" t="n"/>
      <c r="CR344" s="176" t="n"/>
      <c r="CS344" s="176" t="n"/>
      <c r="CT344" s="176" t="n"/>
      <c r="CU344" s="176" t="n"/>
      <c r="CV344" s="176" t="n"/>
      <c r="CW344" s="176" t="n"/>
      <c r="CX344" s="176" t="n"/>
      <c r="CY344" s="176" t="n"/>
      <c r="CZ344" s="176" t="n"/>
      <c r="DA344" s="189" t="n"/>
      <c r="DB344" s="190" t="n"/>
      <c r="DC344" s="190" t="n"/>
      <c r="DD344" s="190" t="n"/>
      <c r="DE344" s="190" t="n"/>
      <c r="DF344" s="191" t="n"/>
      <c r="DG344" s="176" t="n"/>
      <c r="DH344" s="176" t="n"/>
      <c r="DI344" s="189" t="n"/>
      <c r="DJ344" s="190" t="n"/>
      <c r="DK344" s="190" t="n"/>
      <c r="DL344" s="190" t="n"/>
      <c r="DM344" s="190" t="n"/>
      <c r="DN344" s="191" t="n"/>
      <c r="DO344" s="176" t="n"/>
      <c r="DP344" s="176" t="n"/>
      <c r="DQ344" s="176" t="n"/>
      <c r="DR344" s="176" t="n"/>
      <c r="DS344" s="176" t="n"/>
      <c r="DT344" s="176" t="n"/>
      <c r="DU344" s="176" t="n"/>
      <c r="DV344" s="176" t="n"/>
      <c r="DW344" s="176" t="n"/>
      <c r="DX344" s="176" t="n"/>
      <c r="DY344" s="176" t="n"/>
      <c r="DZ344" s="176" t="n"/>
      <c r="EA344" s="176" t="n"/>
      <c r="EB344" s="176" t="n"/>
      <c r="EC344" s="176" t="n"/>
      <c r="ED344" s="176" t="n"/>
      <c r="EE344" s="176" t="n"/>
      <c r="EF344" s="176" t="n"/>
      <c r="EG344" s="176" t="n"/>
      <c r="EH344" s="176" t="n"/>
      <c r="EI344" s="176" t="n"/>
      <c r="EJ344" s="176" t="n"/>
      <c r="EK344" s="176" t="n"/>
      <c r="EL344" s="176" t="n"/>
      <c r="EM344" s="176" t="n"/>
      <c r="EN344" s="176" t="n"/>
      <c r="EO344" s="176" t="n"/>
      <c r="EP344" s="176" t="n"/>
      <c r="EQ344" s="176" t="n"/>
      <c r="ER344" s="176" t="n"/>
      <c r="ES344" s="176" t="n"/>
      <c r="ET344" s="176" t="n"/>
      <c r="EU344" s="176" t="n"/>
      <c r="EV344" s="176" t="n"/>
      <c r="EW344" s="176" t="n"/>
      <c r="EX344" s="176" t="n"/>
      <c r="EY344" s="176" t="n"/>
      <c r="EZ344" s="176" t="n"/>
      <c r="FA344" s="176" t="n"/>
      <c r="FB344" s="176" t="n"/>
      <c r="FC344" s="176" t="n"/>
      <c r="FD344" s="176" t="n"/>
      <c r="FE344" s="176" t="n"/>
      <c r="FF344" s="176" t="n"/>
      <c r="FG344" s="176" t="n"/>
      <c r="FH344" s="176" t="n"/>
      <c r="FI344" s="176" t="n"/>
      <c r="FJ344" s="176" t="n"/>
      <c r="FK344" s="176" t="n"/>
      <c r="FL344" s="176" t="n"/>
      <c r="FM344" s="176" t="n"/>
      <c r="FN344" s="176" t="n"/>
      <c r="FO344" s="176" t="n"/>
      <c r="FP344" s="176" t="n"/>
      <c r="FQ344" s="176" t="n"/>
      <c r="FR344" s="176" t="n"/>
      <c r="FS344" s="176" t="n"/>
      <c r="FT344" s="176" t="n"/>
      <c r="FU344" s="176" t="n"/>
      <c r="FV344" s="176" t="n"/>
      <c r="FW344" s="176" t="n"/>
      <c r="FX344" s="176" t="n"/>
      <c r="FY344" s="176" t="n"/>
      <c r="FZ344" s="176" t="n"/>
      <c r="GA344" s="176" t="n"/>
      <c r="GB344" s="176" t="n"/>
      <c r="GC344" s="176" t="n"/>
      <c r="GD344" s="176" t="n"/>
      <c r="GE344" s="176" t="n"/>
      <c r="GF344" s="176" t="n"/>
      <c r="GG344" s="176" t="n"/>
      <c r="GH344" s="176" t="n"/>
      <c r="GI344" s="176" t="n"/>
      <c r="GJ344" s="176" t="n"/>
      <c r="GK344" s="176" t="n"/>
      <c r="GL344" s="176" t="n"/>
      <c r="GM344" s="176" t="n"/>
      <c r="GN344" s="176" t="n"/>
      <c r="GO344" s="176" t="n"/>
      <c r="GP344" s="176" t="n"/>
      <c r="GQ344" s="176" t="n"/>
      <c r="GR344" s="176" t="n"/>
      <c r="GS344" s="176" t="n"/>
      <c r="GT344" s="176" t="n"/>
      <c r="GU344" s="176" t="n"/>
      <c r="GV344" s="176" t="n"/>
      <c r="GW344" s="176" t="n"/>
      <c r="GX344" s="176" t="n"/>
      <c r="GY344" s="176" t="n"/>
      <c r="GZ344" s="176" t="n"/>
      <c r="HA344" s="176" t="n"/>
      <c r="HB344" s="176" t="n"/>
      <c r="HC344" s="176" t="n"/>
      <c r="HD344" s="176" t="n"/>
      <c r="HE344" s="176" t="n"/>
      <c r="HF344" s="176" t="n"/>
      <c r="HG344" s="176" t="n"/>
      <c r="HH344" s="176" t="n"/>
      <c r="HI344" s="176" t="n"/>
      <c r="HJ344" s="176" t="n"/>
      <c r="HK344" s="176" t="n"/>
      <c r="HL344" s="176" t="n"/>
      <c r="HM344" s="176" t="n"/>
      <c r="HN344" s="176" t="n"/>
      <c r="HO344" s="176" t="n"/>
      <c r="HP344" s="176" t="n"/>
      <c r="HQ344" s="176" t="n"/>
      <c r="HR344" s="176" t="n"/>
      <c r="HS344" s="176" t="n"/>
      <c r="HT344" s="176" t="n"/>
      <c r="HU344" s="176" t="n"/>
      <c r="HV344" s="176" t="n"/>
      <c r="HW344" s="176" t="n"/>
      <c r="HX344" s="176" t="n"/>
      <c r="HY344" s="176" t="n"/>
      <c r="HZ344" s="176" t="n"/>
      <c r="IA344" s="176" t="n"/>
      <c r="IB344" s="176" t="n"/>
      <c r="IC344" s="176" t="n"/>
      <c r="ID344" s="176" t="n"/>
    </row>
    <row r="345" ht="18.75" customHeight="1">
      <c r="A345" s="176" t="n"/>
      <c r="B345" s="176" t="n"/>
      <c r="C345" s="176" t="n"/>
      <c r="D345" s="176" t="n"/>
      <c r="E345" s="176" t="n"/>
      <c r="F345" s="176" t="n"/>
      <c r="G345" s="176" t="n"/>
      <c r="H345" s="176" t="n"/>
      <c r="I345" s="176" t="n"/>
      <c r="J345" s="176" t="n"/>
      <c r="K345" s="176" t="n"/>
      <c r="L345" s="176" t="n"/>
      <c r="M345" s="176" t="n"/>
      <c r="N345" s="176" t="n"/>
      <c r="O345" s="176" t="n"/>
      <c r="P345" s="176" t="n"/>
      <c r="Q345" s="176" t="n"/>
      <c r="R345" s="176" t="n"/>
      <c r="S345" s="176" t="n"/>
      <c r="T345" s="181">
        <f>SWITCH('CONFIGURAÇÃO'!$T$333,"Origem","","Marcante","","Menor","","Arma","VOLUME","Escudo","FORÇA","Uniforme","FORÇA","Item comum","","Ferramenta amaldiçoada","VOLUME","")</f>
        <v/>
      </c>
      <c r="U345" s="183" t="n"/>
      <c r="V345" s="185" t="n"/>
      <c r="W345" s="182" t="n"/>
      <c r="X345" s="182" t="n"/>
      <c r="Y345" s="183" t="n"/>
      <c r="Z345" s="176" t="n"/>
      <c r="AA345" s="176" t="n"/>
      <c r="AB345" s="181">
        <f>SWITCH('CONFIGURAÇÃO'!$AB$333,"Origem","","Marcante","","Menor","","Arma","VOLUME","Escudo","FORÇA","Uniforme","FORÇA","Item comum","","Ferramenta amaldiçoada","VOLUME","")</f>
        <v/>
      </c>
      <c r="AC345" s="183" t="n"/>
      <c r="AD345" s="185" t="n"/>
      <c r="AE345" s="182" t="n"/>
      <c r="AF345" s="182" t="n"/>
      <c r="AG345" s="183" t="n"/>
      <c r="AH345" s="176" t="n"/>
      <c r="AI345" s="176" t="n"/>
      <c r="AJ345" s="176" t="n"/>
      <c r="AK345" s="176" t="n"/>
      <c r="AL345" s="176" t="n"/>
      <c r="AM345" s="176" t="n"/>
      <c r="AN345" s="176" t="n"/>
      <c r="AO345" s="176" t="n"/>
      <c r="AP345" s="176" t="n"/>
      <c r="AQ345" s="176" t="n"/>
      <c r="AR345" s="176" t="n"/>
      <c r="AS345" s="176" t="n"/>
      <c r="AT345" s="176" t="n"/>
      <c r="AU345" s="176" t="n"/>
      <c r="AV345" s="176" t="n"/>
      <c r="AW345" s="176" t="n"/>
      <c r="AX345" s="176" t="n"/>
      <c r="AY345" s="176" t="n"/>
      <c r="AZ345" s="176" t="n"/>
      <c r="BA345" s="176" t="n"/>
      <c r="BB345" s="176" t="n"/>
      <c r="BC345" s="176" t="n"/>
      <c r="BD345" s="176" t="n"/>
      <c r="BE345" s="176" t="n"/>
      <c r="BF345" s="176" t="n"/>
      <c r="BG345" s="176" t="n"/>
      <c r="BH345" s="176" t="n"/>
      <c r="BI345" s="176" t="n"/>
      <c r="BJ345" s="176" t="n"/>
      <c r="BK345" s="176" t="n"/>
      <c r="BL345" s="176" t="n"/>
      <c r="BM345" s="176" t="n"/>
      <c r="BN345" s="176" t="n"/>
      <c r="BO345" s="176" t="n"/>
      <c r="BP345" s="176" t="n"/>
      <c r="BQ345" s="176" t="n"/>
      <c r="BR345" s="176" t="n"/>
      <c r="BS345" s="176" t="n"/>
      <c r="BT345" s="176" t="n"/>
      <c r="BU345" s="176" t="n"/>
      <c r="BV345" s="176" t="n"/>
      <c r="BW345" s="176" t="n"/>
      <c r="BX345" s="176" t="n"/>
      <c r="BY345" s="176" t="n"/>
      <c r="BZ345" s="176" t="n"/>
      <c r="CA345" s="176" t="n"/>
      <c r="CB345" s="176" t="n"/>
      <c r="CC345" s="176" t="n"/>
      <c r="CD345" s="176" t="n"/>
      <c r="CE345" s="176" t="n"/>
      <c r="CF345" s="176" t="n"/>
      <c r="CG345" s="176" t="n"/>
      <c r="CH345" s="176" t="n"/>
      <c r="CI345" s="176" t="n"/>
      <c r="CJ345" s="176" t="n"/>
      <c r="CK345" s="176" t="n"/>
      <c r="CL345" s="176" t="n"/>
      <c r="CM345" s="176" t="n"/>
      <c r="CN345" s="176" t="n"/>
      <c r="CO345" s="176" t="n"/>
      <c r="CP345" s="176" t="n"/>
      <c r="CQ345" s="176" t="n"/>
      <c r="CR345" s="176" t="n"/>
      <c r="CS345" s="176" t="n"/>
      <c r="CT345" s="176" t="n"/>
      <c r="CU345" s="176" t="n"/>
      <c r="CV345" s="176" t="n"/>
      <c r="CW345" s="176" t="n"/>
      <c r="CX345" s="176" t="n"/>
      <c r="CY345" s="176" t="n"/>
      <c r="CZ345" s="176" t="n"/>
      <c r="DA345" s="176" t="n"/>
      <c r="DB345" s="176" t="n"/>
      <c r="DC345" s="176" t="n"/>
      <c r="DD345" s="176" t="n"/>
      <c r="DE345" s="176" t="n"/>
      <c r="DF345" s="176" t="n"/>
      <c r="DG345" s="176" t="n"/>
      <c r="DH345" s="176" t="n"/>
      <c r="DI345" s="176" t="n"/>
      <c r="DJ345" s="176" t="n"/>
      <c r="DK345" s="176" t="n"/>
      <c r="DL345" s="176" t="n"/>
      <c r="DM345" s="176" t="n"/>
      <c r="DN345" s="176" t="n"/>
      <c r="DO345" s="176" t="n"/>
      <c r="DP345" s="176" t="n"/>
      <c r="DQ345" s="176" t="n"/>
      <c r="DR345" s="176" t="n"/>
      <c r="DS345" s="176" t="n"/>
      <c r="DT345" s="176" t="n"/>
      <c r="DU345" s="176" t="n"/>
      <c r="DV345" s="176" t="n"/>
      <c r="DW345" s="176" t="n"/>
      <c r="DX345" s="176" t="n"/>
      <c r="DY345" s="176" t="n"/>
      <c r="DZ345" s="176" t="n"/>
      <c r="EA345" s="176" t="n"/>
      <c r="EB345" s="176" t="n"/>
      <c r="EC345" s="176" t="n"/>
      <c r="ED345" s="176" t="n"/>
      <c r="EE345" s="176" t="n"/>
      <c r="EF345" s="176" t="n"/>
      <c r="EG345" s="176" t="n"/>
      <c r="EH345" s="176" t="n"/>
      <c r="EI345" s="176" t="n"/>
      <c r="EJ345" s="176" t="n"/>
      <c r="EK345" s="176" t="n"/>
      <c r="EL345" s="176" t="n"/>
      <c r="EM345" s="176" t="n"/>
      <c r="EN345" s="176" t="n"/>
      <c r="EO345" s="176" t="n"/>
      <c r="EP345" s="176" t="n"/>
      <c r="EQ345" s="176" t="n"/>
      <c r="ER345" s="176" t="n"/>
      <c r="ES345" s="176" t="n"/>
      <c r="ET345" s="176" t="n"/>
      <c r="EU345" s="176" t="n"/>
      <c r="EV345" s="176" t="n"/>
      <c r="EW345" s="176" t="n"/>
      <c r="EX345" s="176" t="n"/>
      <c r="EY345" s="176" t="n"/>
      <c r="EZ345" s="176" t="n"/>
      <c r="FA345" s="176" t="n"/>
      <c r="FB345" s="176" t="n"/>
      <c r="FC345" s="176" t="n"/>
      <c r="FD345" s="176" t="n"/>
      <c r="FE345" s="176" t="n"/>
      <c r="FF345" s="176" t="n"/>
      <c r="FG345" s="176" t="n"/>
      <c r="FH345" s="176" t="n"/>
      <c r="FI345" s="176" t="n"/>
      <c r="FJ345" s="176" t="n"/>
      <c r="FK345" s="176" t="n"/>
      <c r="FL345" s="176" t="n"/>
      <c r="FM345" s="176" t="n"/>
      <c r="FN345" s="176" t="n"/>
      <c r="FO345" s="176" t="n"/>
      <c r="FP345" s="176" t="n"/>
      <c r="FQ345" s="176" t="n"/>
      <c r="FR345" s="176" t="n"/>
      <c r="FS345" s="176" t="n"/>
      <c r="FT345" s="176" t="n"/>
      <c r="FU345" s="176" t="n"/>
      <c r="FV345" s="176" t="n"/>
      <c r="FW345" s="176" t="n"/>
      <c r="FX345" s="176" t="n"/>
      <c r="FY345" s="176" t="n"/>
      <c r="FZ345" s="176" t="n"/>
      <c r="GA345" s="176" t="n"/>
      <c r="GB345" s="176" t="n"/>
      <c r="GC345" s="176" t="n"/>
      <c r="GD345" s="176" t="n"/>
      <c r="GE345" s="176" t="n"/>
      <c r="GF345" s="176" t="n"/>
      <c r="GG345" s="176" t="n"/>
      <c r="GH345" s="176" t="n"/>
      <c r="GI345" s="176" t="n"/>
      <c r="GJ345" s="176" t="n"/>
      <c r="GK345" s="176" t="n"/>
      <c r="GL345" s="176" t="n"/>
      <c r="GM345" s="176" t="n"/>
      <c r="GN345" s="176" t="n"/>
      <c r="GO345" s="176" t="n"/>
      <c r="GP345" s="176" t="n"/>
      <c r="GQ345" s="176" t="n"/>
      <c r="GR345" s="176" t="n"/>
      <c r="GS345" s="176" t="n"/>
      <c r="GT345" s="176" t="n"/>
      <c r="GU345" s="176" t="n"/>
      <c r="GV345" s="176" t="n"/>
      <c r="GW345" s="176" t="n"/>
      <c r="GX345" s="176" t="n"/>
      <c r="GY345" s="176" t="n"/>
      <c r="GZ345" s="176" t="n"/>
      <c r="HA345" s="176" t="n"/>
      <c r="HB345" s="176" t="n"/>
      <c r="HC345" s="176" t="n"/>
      <c r="HD345" s="176" t="n"/>
      <c r="HE345" s="176" t="n"/>
      <c r="HF345" s="176" t="n"/>
      <c r="HG345" s="176" t="n"/>
      <c r="HH345" s="176" t="n"/>
      <c r="HI345" s="176" t="n"/>
      <c r="HJ345" s="176" t="n"/>
      <c r="HK345" s="176" t="n"/>
      <c r="HL345" s="176" t="n"/>
      <c r="HM345" s="176" t="n"/>
      <c r="HN345" s="176" t="n"/>
      <c r="HO345" s="176" t="n"/>
      <c r="HP345" s="176" t="n"/>
      <c r="HQ345" s="176" t="n"/>
      <c r="HR345" s="176" t="n"/>
      <c r="HS345" s="176" t="n"/>
      <c r="HT345" s="176" t="n"/>
      <c r="HU345" s="176" t="n"/>
      <c r="HV345" s="176" t="n"/>
      <c r="HW345" s="176" t="n"/>
      <c r="HX345" s="176" t="n"/>
      <c r="HY345" s="176" t="n"/>
      <c r="HZ345" s="176" t="n"/>
      <c r="IA345" s="176" t="n"/>
      <c r="IB345" s="176" t="n"/>
      <c r="IC345" s="176" t="n"/>
      <c r="ID345" s="176" t="n"/>
    </row>
    <row r="346" ht="18.75" customHeight="1">
      <c r="A346" s="176" t="n"/>
      <c r="B346" s="176" t="n"/>
      <c r="C346" s="176" t="n"/>
      <c r="D346" s="176" t="n"/>
      <c r="E346" s="176" t="n"/>
      <c r="F346" s="176" t="n"/>
      <c r="G346" s="176" t="n"/>
      <c r="H346" s="176" t="n"/>
      <c r="I346" s="176" t="n"/>
      <c r="J346" s="176" t="n"/>
      <c r="K346" s="176" t="n"/>
      <c r="L346" s="176" t="n"/>
      <c r="M346" s="176" t="n"/>
      <c r="N346" s="176" t="n"/>
      <c r="O346" s="176" t="n"/>
      <c r="P346" s="176" t="n"/>
      <c r="Q346" s="176" t="n"/>
      <c r="R346" s="176" t="n"/>
      <c r="S346" s="176" t="n"/>
      <c r="T346" s="181">
        <f>SWITCH('CONFIGURAÇÃO'!$T$333,"Origem","","Marcante","","Menor","","Arma","ALCANCE","Escudo","VOLUME","Uniforme","VOLUME","Item comum","","Ferramenta amaldiçoada","PREÇO","")</f>
        <v/>
      </c>
      <c r="U346" s="183" t="n"/>
      <c r="V346" s="185" t="n"/>
      <c r="W346" s="182" t="n"/>
      <c r="X346" s="182" t="n"/>
      <c r="Y346" s="183" t="n"/>
      <c r="Z346" s="176" t="n"/>
      <c r="AA346" s="176" t="n"/>
      <c r="AB346" s="181">
        <f>SWITCH('CONFIGURAÇÃO'!$AB$333,"Origem","","Marcante","","Menor","","Arma","ALCANCE","Escudo","VOLUME","Uniforme","VOLUME","Item comum","","Ferramenta amaldiçoada","PREÇO","")</f>
        <v/>
      </c>
      <c r="AC346" s="183" t="n"/>
      <c r="AD346" s="185" t="n"/>
      <c r="AE346" s="182" t="n"/>
      <c r="AF346" s="182" t="n"/>
      <c r="AG346" s="183" t="n"/>
      <c r="AH346" s="176" t="n"/>
      <c r="AI346" s="176" t="n"/>
      <c r="AJ346" s="176" t="n"/>
      <c r="AK346" s="176" t="n"/>
      <c r="AL346" s="176" t="n"/>
      <c r="AM346" s="176" t="n"/>
      <c r="AN346" s="176" t="n"/>
      <c r="AO346" s="176" t="n"/>
      <c r="AP346" s="176" t="n"/>
      <c r="AQ346" s="176" t="n"/>
      <c r="AR346" s="176" t="n"/>
      <c r="AS346" s="176" t="n"/>
      <c r="AT346" s="176" t="n"/>
      <c r="AU346" s="176" t="n"/>
      <c r="AV346" s="176" t="n"/>
      <c r="AW346" s="176" t="n"/>
      <c r="AX346" s="176" t="n"/>
      <c r="AY346" s="176" t="n"/>
      <c r="AZ346" s="176" t="n"/>
      <c r="BA346" s="176" t="n"/>
      <c r="BB346" s="176" t="n"/>
      <c r="BC346" s="176" t="n"/>
      <c r="BD346" s="176" t="n"/>
      <c r="BE346" s="176" t="n"/>
      <c r="BF346" s="176" t="n"/>
      <c r="BG346" s="176" t="n"/>
      <c r="BH346" s="176" t="n"/>
      <c r="BI346" s="176" t="n"/>
      <c r="BJ346" s="176" t="n"/>
      <c r="BK346" s="176" t="n"/>
      <c r="BL346" s="176" t="n"/>
      <c r="BM346" s="176" t="n"/>
      <c r="BN346" s="176" t="n"/>
      <c r="BO346" s="176" t="n"/>
      <c r="BP346" s="176" t="n"/>
      <c r="BQ346" s="176" t="n"/>
      <c r="BR346" s="176" t="n"/>
      <c r="BS346" s="176" t="n"/>
      <c r="BT346" s="176" t="n"/>
      <c r="BU346" s="176" t="n"/>
      <c r="BV346" s="176" t="n"/>
      <c r="BW346" s="176" t="n"/>
      <c r="BX346" s="176" t="n"/>
      <c r="BY346" s="176" t="n"/>
      <c r="BZ346" s="176" t="n"/>
      <c r="CA346" s="176" t="n"/>
      <c r="CB346" s="176" t="n"/>
      <c r="CC346" s="176" t="n"/>
      <c r="CD346" s="176" t="n"/>
      <c r="CE346" s="176" t="n"/>
      <c r="CF346" s="176" t="n"/>
      <c r="CG346" s="176" t="n"/>
      <c r="CH346" s="176" t="n"/>
      <c r="CI346" s="176" t="n"/>
      <c r="CJ346" s="176" t="n"/>
      <c r="CK346" s="176" t="n"/>
      <c r="CL346" s="176" t="n"/>
      <c r="CM346" s="176" t="n"/>
      <c r="CN346" s="176" t="n"/>
      <c r="CO346" s="176" t="n"/>
      <c r="CP346" s="176" t="n"/>
      <c r="CQ346" s="176" t="n"/>
      <c r="CR346" s="176" t="n"/>
      <c r="CS346" s="176" t="n"/>
      <c r="CT346" s="176" t="n"/>
      <c r="CU346" s="176" t="n"/>
      <c r="CV346" s="176" t="n"/>
      <c r="CW346" s="176" t="n"/>
      <c r="CX346" s="176" t="n"/>
      <c r="CY346" s="176" t="n"/>
      <c r="CZ346" s="176" t="n"/>
      <c r="DA346" s="180">
        <f>IF('DADOS_MELHORIAS'!$M$26="","","⚠ "&amp;'DADOS_MELHORIAS'!$M$26)</f>
        <v/>
      </c>
      <c r="DG346" s="176" t="n"/>
      <c r="DH346" s="176" t="n"/>
      <c r="DI346" s="180">
        <f>IF('DADOS_MELHORIAS'!$M$27="","","⚠ "&amp;'DADOS_MELHORIAS'!$M$27)</f>
        <v/>
      </c>
      <c r="DO346" s="176" t="n"/>
      <c r="DP346" s="176" t="n"/>
      <c r="DQ346" s="176" t="n"/>
      <c r="DR346" s="176" t="n"/>
      <c r="DS346" s="176" t="n"/>
      <c r="DT346" s="176" t="n"/>
      <c r="DU346" s="176" t="n"/>
      <c r="DV346" s="176" t="n"/>
      <c r="DW346" s="176" t="n"/>
      <c r="DX346" s="176" t="n"/>
      <c r="DY346" s="176" t="n"/>
      <c r="DZ346" s="176" t="n"/>
      <c r="EA346" s="176" t="n"/>
      <c r="EB346" s="176" t="n"/>
      <c r="EC346" s="176" t="n"/>
      <c r="ED346" s="176" t="n"/>
      <c r="EE346" s="176" t="n"/>
      <c r="EF346" s="176" t="n"/>
      <c r="EG346" s="176" t="n"/>
      <c r="EH346" s="176" t="n"/>
      <c r="EI346" s="176" t="n"/>
      <c r="EJ346" s="176" t="n"/>
      <c r="EK346" s="176" t="n"/>
      <c r="EL346" s="176" t="n"/>
      <c r="EM346" s="176" t="n"/>
      <c r="EN346" s="176" t="n"/>
      <c r="EO346" s="176" t="n"/>
      <c r="EP346" s="176" t="n"/>
      <c r="EQ346" s="176" t="n"/>
      <c r="ER346" s="176" t="n"/>
      <c r="ES346" s="176" t="n"/>
      <c r="ET346" s="176" t="n"/>
      <c r="EU346" s="176" t="n"/>
      <c r="EV346" s="176" t="n"/>
      <c r="EW346" s="176" t="n"/>
      <c r="EX346" s="176" t="n"/>
      <c r="EY346" s="176" t="n"/>
      <c r="EZ346" s="176" t="n"/>
      <c r="FA346" s="176" t="n"/>
      <c r="FB346" s="176" t="n"/>
      <c r="FC346" s="176" t="n"/>
      <c r="FD346" s="176" t="n"/>
      <c r="FE346" s="176" t="n"/>
      <c r="FF346" s="176" t="n"/>
      <c r="FG346" s="176" t="n"/>
      <c r="FH346" s="176" t="n"/>
      <c r="FI346" s="176" t="n"/>
      <c r="FJ346" s="176" t="n"/>
      <c r="FK346" s="176" t="n"/>
      <c r="FL346" s="176" t="n"/>
      <c r="FM346" s="176" t="n"/>
      <c r="FN346" s="176" t="n"/>
      <c r="FO346" s="176" t="n"/>
      <c r="FP346" s="176" t="n"/>
      <c r="FQ346" s="176" t="n"/>
      <c r="FR346" s="176" t="n"/>
      <c r="FS346" s="176" t="n"/>
      <c r="FT346" s="176" t="n"/>
      <c r="FU346" s="176" t="n"/>
      <c r="FV346" s="176" t="n"/>
      <c r="FW346" s="176" t="n"/>
      <c r="FX346" s="176" t="n"/>
      <c r="FY346" s="176" t="n"/>
      <c r="FZ346" s="176" t="n"/>
      <c r="GA346" s="176" t="n"/>
      <c r="GB346" s="176" t="n"/>
      <c r="GC346" s="176" t="n"/>
      <c r="GD346" s="176" t="n"/>
      <c r="GE346" s="176" t="n"/>
      <c r="GF346" s="176" t="n"/>
      <c r="GG346" s="176" t="n"/>
      <c r="GH346" s="176" t="n"/>
      <c r="GI346" s="176" t="n"/>
      <c r="GJ346" s="176" t="n"/>
      <c r="GK346" s="176" t="n"/>
      <c r="GL346" s="176" t="n"/>
      <c r="GM346" s="176" t="n"/>
      <c r="GN346" s="176" t="n"/>
      <c r="GO346" s="176" t="n"/>
      <c r="GP346" s="176" t="n"/>
      <c r="GQ346" s="176" t="n"/>
      <c r="GR346" s="176" t="n"/>
      <c r="GS346" s="176" t="n"/>
      <c r="GT346" s="176" t="n"/>
      <c r="GU346" s="176" t="n"/>
      <c r="GV346" s="176" t="n"/>
      <c r="GW346" s="176" t="n"/>
      <c r="GX346" s="176" t="n"/>
      <c r="GY346" s="176" t="n"/>
      <c r="GZ346" s="176" t="n"/>
      <c r="HA346" s="176" t="n"/>
      <c r="HB346" s="176" t="n"/>
      <c r="HC346" s="176" t="n"/>
      <c r="HD346" s="176" t="n"/>
      <c r="HE346" s="176" t="n"/>
      <c r="HF346" s="176" t="n"/>
      <c r="HG346" s="176" t="n"/>
      <c r="HH346" s="176" t="n"/>
      <c r="HI346" s="176" t="n"/>
      <c r="HJ346" s="176" t="n"/>
      <c r="HK346" s="176" t="n"/>
      <c r="HL346" s="176" t="n"/>
      <c r="HM346" s="176" t="n"/>
      <c r="HN346" s="176" t="n"/>
      <c r="HO346" s="176" t="n"/>
      <c r="HP346" s="176" t="n"/>
      <c r="HQ346" s="176" t="n"/>
      <c r="HR346" s="176" t="n"/>
      <c r="HS346" s="176" t="n"/>
      <c r="HT346" s="176" t="n"/>
      <c r="HU346" s="176" t="n"/>
      <c r="HV346" s="176" t="n"/>
      <c r="HW346" s="176" t="n"/>
      <c r="HX346" s="176" t="n"/>
      <c r="HY346" s="176" t="n"/>
      <c r="HZ346" s="176" t="n"/>
      <c r="IA346" s="176" t="n"/>
      <c r="IB346" s="176" t="n"/>
      <c r="IC346" s="176" t="n"/>
      <c r="ID346" s="176" t="n"/>
    </row>
    <row r="347" ht="18.75" customHeight="1">
      <c r="A347" s="176" t="n"/>
      <c r="B347" s="176" t="n"/>
      <c r="C347" s="176" t="n"/>
      <c r="D347" s="176" t="n"/>
      <c r="E347" s="176" t="n"/>
      <c r="F347" s="176" t="n"/>
      <c r="G347" s="176" t="n"/>
      <c r="H347" s="176" t="n"/>
      <c r="I347" s="176" t="n"/>
      <c r="J347" s="176" t="n"/>
      <c r="K347" s="176" t="n"/>
      <c r="L347" s="176" t="n"/>
      <c r="M347" s="176" t="n"/>
      <c r="N347" s="176" t="n"/>
      <c r="O347" s="176" t="n"/>
      <c r="P347" s="176" t="n"/>
      <c r="Q347" s="176" t="n"/>
      <c r="R347" s="176" t="n"/>
      <c r="S347" s="176" t="n"/>
      <c r="T347" s="181">
        <f>SWITCH('CONFIGURAÇÃO'!$T$333,"Origem","","Marcante","","Menor","","Arma","RECARGA","Escudo","PREÇO","Uniforme","PREÇO","Item comum","","Ferramenta amaldiçoada","","")</f>
        <v/>
      </c>
      <c r="U347" s="183" t="n"/>
      <c r="V347" s="185" t="n"/>
      <c r="W347" s="182" t="n"/>
      <c r="X347" s="182" t="n"/>
      <c r="Y347" s="183" t="n"/>
      <c r="Z347" s="176" t="n"/>
      <c r="AA347" s="176" t="n"/>
      <c r="AB347" s="181">
        <f>SWITCH('CONFIGURAÇÃO'!$AB$333,"Origem","","Marcante","","Menor","","Arma","RECARGA","Escudo","PREÇO","Uniforme","PREÇO","Item comum","","Ferramenta amaldiçoada","","")</f>
        <v/>
      </c>
      <c r="AC347" s="183" t="n"/>
      <c r="AD347" s="185" t="n"/>
      <c r="AE347" s="182" t="n"/>
      <c r="AF347" s="182" t="n"/>
      <c r="AG347" s="183" t="n"/>
      <c r="AH347" s="176" t="n"/>
      <c r="AI347" s="176" t="n"/>
      <c r="AJ347" s="176" t="n"/>
      <c r="AK347" s="176" t="n"/>
      <c r="AL347" s="176" t="n"/>
      <c r="AM347" s="176" t="n"/>
      <c r="AN347" s="176" t="n"/>
      <c r="AO347" s="176" t="n"/>
      <c r="AP347" s="176" t="n"/>
      <c r="AQ347" s="176" t="n"/>
      <c r="AR347" s="176" t="n"/>
      <c r="AS347" s="176" t="n"/>
      <c r="AT347" s="176" t="n"/>
      <c r="AU347" s="176" t="n"/>
      <c r="AV347" s="176" t="n"/>
      <c r="AW347" s="176" t="n"/>
      <c r="AX347" s="176" t="n"/>
      <c r="AY347" s="176" t="n"/>
      <c r="AZ347" s="176" t="n"/>
      <c r="BA347" s="176" t="n"/>
      <c r="BB347" s="176" t="n"/>
      <c r="BC347" s="176" t="n"/>
      <c r="BD347" s="176" t="n"/>
      <c r="BE347" s="176" t="n"/>
      <c r="BF347" s="176" t="n"/>
      <c r="BG347" s="176" t="n"/>
      <c r="BH347" s="176" t="n"/>
      <c r="BI347" s="176" t="n"/>
      <c r="BJ347" s="176" t="n"/>
      <c r="BK347" s="176" t="n"/>
      <c r="BL347" s="176" t="n"/>
      <c r="BM347" s="176" t="n"/>
      <c r="BN347" s="176" t="n"/>
      <c r="BO347" s="176" t="n"/>
      <c r="BP347" s="176" t="n"/>
      <c r="BQ347" s="176" t="n"/>
      <c r="BR347" s="176" t="n"/>
      <c r="BS347" s="176" t="n"/>
      <c r="BT347" s="176" t="n"/>
      <c r="BU347" s="176" t="n"/>
      <c r="BV347" s="176" t="n"/>
      <c r="BW347" s="176" t="n"/>
      <c r="BX347" s="176" t="n"/>
      <c r="BY347" s="176" t="n"/>
      <c r="BZ347" s="176" t="n"/>
      <c r="CA347" s="176" t="n"/>
      <c r="CB347" s="176" t="n"/>
      <c r="CC347" s="176" t="n"/>
      <c r="CD347" s="176" t="n"/>
      <c r="CE347" s="176" t="n"/>
      <c r="CF347" s="176" t="n"/>
      <c r="CG347" s="176" t="n"/>
      <c r="CH347" s="176" t="n"/>
      <c r="CI347" s="176" t="n"/>
      <c r="CJ347" s="176" t="n"/>
      <c r="CK347" s="176" t="n"/>
      <c r="CL347" s="176" t="n"/>
      <c r="CM347" s="176" t="n"/>
      <c r="CN347" s="176" t="n"/>
      <c r="CO347" s="176" t="n"/>
      <c r="CP347" s="176" t="n"/>
      <c r="CQ347" s="176" t="n"/>
      <c r="CR347" s="176" t="n"/>
      <c r="CS347" s="176" t="n"/>
      <c r="CT347" s="176" t="n"/>
      <c r="CU347" s="176" t="n"/>
      <c r="CV347" s="176" t="n"/>
      <c r="CW347" s="176" t="n"/>
      <c r="CX347" s="176" t="n"/>
      <c r="CY347" s="176" t="n"/>
      <c r="CZ347" s="176" t="n"/>
      <c r="DG347" s="176" t="n"/>
      <c r="DH347" s="176" t="n"/>
      <c r="DO347" s="176" t="n"/>
      <c r="DP347" s="176" t="n"/>
      <c r="DQ347" s="176" t="n"/>
      <c r="DR347" s="176" t="n"/>
      <c r="DS347" s="176" t="n"/>
      <c r="DT347" s="176" t="n"/>
      <c r="DU347" s="176" t="n"/>
      <c r="DV347" s="176" t="n"/>
      <c r="DW347" s="176" t="n"/>
      <c r="DX347" s="176" t="n"/>
      <c r="DY347" s="176" t="n"/>
      <c r="DZ347" s="176" t="n"/>
      <c r="EA347" s="176" t="n"/>
      <c r="EB347" s="176" t="n"/>
      <c r="EC347" s="176" t="n"/>
      <c r="ED347" s="176" t="n"/>
      <c r="EE347" s="176" t="n"/>
      <c r="EF347" s="176" t="n"/>
      <c r="EG347" s="176" t="n"/>
      <c r="EH347" s="176" t="n"/>
      <c r="EI347" s="176" t="n"/>
      <c r="EJ347" s="176" t="n"/>
      <c r="EK347" s="176" t="n"/>
      <c r="EL347" s="176" t="n"/>
      <c r="EM347" s="176" t="n"/>
      <c r="EN347" s="176" t="n"/>
      <c r="EO347" s="176" t="n"/>
      <c r="EP347" s="176" t="n"/>
      <c r="EQ347" s="176" t="n"/>
      <c r="ER347" s="176" t="n"/>
      <c r="ES347" s="176" t="n"/>
      <c r="ET347" s="176" t="n"/>
      <c r="EU347" s="176" t="n"/>
      <c r="EV347" s="176" t="n"/>
      <c r="EW347" s="176" t="n"/>
      <c r="EX347" s="176" t="n"/>
      <c r="EY347" s="176" t="n"/>
      <c r="EZ347" s="176" t="n"/>
      <c r="FA347" s="176" t="n"/>
      <c r="FB347" s="176" t="n"/>
      <c r="FC347" s="176" t="n"/>
      <c r="FD347" s="176" t="n"/>
      <c r="FE347" s="176" t="n"/>
      <c r="FF347" s="176" t="n"/>
      <c r="FG347" s="176" t="n"/>
      <c r="FH347" s="176" t="n"/>
      <c r="FI347" s="176" t="n"/>
      <c r="FJ347" s="176" t="n"/>
      <c r="FK347" s="176" t="n"/>
      <c r="FL347" s="176" t="n"/>
      <c r="FM347" s="176" t="n"/>
      <c r="FN347" s="176" t="n"/>
      <c r="FO347" s="176" t="n"/>
      <c r="FP347" s="176" t="n"/>
      <c r="FQ347" s="176" t="n"/>
      <c r="FR347" s="176" t="n"/>
      <c r="FS347" s="176" t="n"/>
      <c r="FT347" s="176" t="n"/>
      <c r="FU347" s="176" t="n"/>
      <c r="FV347" s="176" t="n"/>
      <c r="FW347" s="176" t="n"/>
      <c r="FX347" s="176" t="n"/>
      <c r="FY347" s="176" t="n"/>
      <c r="FZ347" s="176" t="n"/>
      <c r="GA347" s="176" t="n"/>
      <c r="GB347" s="176" t="n"/>
      <c r="GC347" s="176" t="n"/>
      <c r="GD347" s="176" t="n"/>
      <c r="GE347" s="176" t="n"/>
      <c r="GF347" s="176" t="n"/>
      <c r="GG347" s="176" t="n"/>
      <c r="GH347" s="176" t="n"/>
      <c r="GI347" s="176" t="n"/>
      <c r="GJ347" s="176" t="n"/>
      <c r="GK347" s="176" t="n"/>
      <c r="GL347" s="176" t="n"/>
      <c r="GM347" s="176" t="n"/>
      <c r="GN347" s="176" t="n"/>
      <c r="GO347" s="176" t="n"/>
      <c r="GP347" s="176" t="n"/>
      <c r="GQ347" s="176" t="n"/>
      <c r="GR347" s="176" t="n"/>
      <c r="GS347" s="176" t="n"/>
      <c r="GT347" s="176" t="n"/>
      <c r="GU347" s="176" t="n"/>
      <c r="GV347" s="176" t="n"/>
      <c r="GW347" s="176" t="n"/>
      <c r="GX347" s="176" t="n"/>
      <c r="GY347" s="176" t="n"/>
      <c r="GZ347" s="176" t="n"/>
      <c r="HA347" s="176" t="n"/>
      <c r="HB347" s="176" t="n"/>
      <c r="HC347" s="176" t="n"/>
      <c r="HD347" s="176" t="n"/>
      <c r="HE347" s="176" t="n"/>
      <c r="HF347" s="176" t="n"/>
      <c r="HG347" s="176" t="n"/>
      <c r="HH347" s="176" t="n"/>
      <c r="HI347" s="176" t="n"/>
      <c r="HJ347" s="176" t="n"/>
      <c r="HK347" s="176" t="n"/>
      <c r="HL347" s="176" t="n"/>
      <c r="HM347" s="176" t="n"/>
      <c r="HN347" s="176" t="n"/>
      <c r="HO347" s="176" t="n"/>
      <c r="HP347" s="176" t="n"/>
      <c r="HQ347" s="176" t="n"/>
      <c r="HR347" s="176" t="n"/>
      <c r="HS347" s="176" t="n"/>
      <c r="HT347" s="176" t="n"/>
      <c r="HU347" s="176" t="n"/>
      <c r="HV347" s="176" t="n"/>
      <c r="HW347" s="176" t="n"/>
      <c r="HX347" s="176" t="n"/>
      <c r="HY347" s="176" t="n"/>
      <c r="HZ347" s="176" t="n"/>
      <c r="IA347" s="176" t="n"/>
      <c r="IB347" s="176" t="n"/>
      <c r="IC347" s="176" t="n"/>
      <c r="ID347" s="176" t="n"/>
    </row>
    <row r="348" ht="18.75" customHeight="1">
      <c r="A348" s="176" t="n"/>
      <c r="B348" s="176" t="n"/>
      <c r="C348" s="176" t="n"/>
      <c r="D348" s="176" t="n"/>
      <c r="E348" s="176" t="n"/>
      <c r="F348" s="176" t="n"/>
      <c r="G348" s="176" t="n"/>
      <c r="H348" s="176" t="n"/>
      <c r="I348" s="176" t="n"/>
      <c r="J348" s="176" t="n"/>
      <c r="K348" s="176" t="n"/>
      <c r="L348" s="176" t="n"/>
      <c r="M348" s="176" t="n"/>
      <c r="N348" s="176" t="n"/>
      <c r="O348" s="176" t="n"/>
      <c r="P348" s="176" t="n"/>
      <c r="Q348" s="176" t="n"/>
      <c r="R348" s="176" t="n"/>
      <c r="S348" s="176" t="n"/>
      <c r="T348" s="181">
        <f>SWITCH('CONFIGURAÇÃO'!$T$333,"Origem","","Marcante","","Menor","","Arma","PREÇO","Escudo","","Uniforme","","Item comum","","Ferramenta amaldiçoada","","")</f>
        <v/>
      </c>
      <c r="U348" s="183" t="n"/>
      <c r="V348" s="185" t="n"/>
      <c r="W348" s="182" t="n"/>
      <c r="X348" s="182" t="n"/>
      <c r="Y348" s="183" t="n"/>
      <c r="Z348" s="176" t="n"/>
      <c r="AA348" s="176" t="n"/>
      <c r="AB348" s="181">
        <f>SWITCH('CONFIGURAÇÃO'!$AB$333,"Origem","","Marcante","","Menor","","Arma","PREÇO","Escudo","","Uniforme","","Item comum","","Ferramenta amaldiçoada","","")</f>
        <v/>
      </c>
      <c r="AC348" s="183" t="n"/>
      <c r="AD348" s="185" t="n"/>
      <c r="AE348" s="182" t="n"/>
      <c r="AF348" s="182" t="n"/>
      <c r="AG348" s="183" t="n"/>
      <c r="AH348" s="176" t="n"/>
      <c r="AI348" s="176" t="n"/>
      <c r="AJ348" s="176" t="n"/>
      <c r="AK348" s="176" t="n"/>
      <c r="AL348" s="176" t="n"/>
      <c r="AM348" s="176" t="n"/>
      <c r="AN348" s="176" t="n"/>
      <c r="AO348" s="176" t="n"/>
      <c r="AP348" s="176" t="n"/>
      <c r="AQ348" s="176" t="n"/>
      <c r="AR348" s="176" t="n"/>
      <c r="AS348" s="176" t="n"/>
      <c r="AT348" s="176" t="n"/>
      <c r="AU348" s="176" t="n"/>
      <c r="AV348" s="176" t="n"/>
      <c r="AW348" s="176" t="n"/>
      <c r="AX348" s="176" t="n"/>
      <c r="AY348" s="176" t="n"/>
      <c r="AZ348" s="176" t="n"/>
      <c r="BA348" s="176" t="n"/>
      <c r="BB348" s="176" t="n"/>
      <c r="BC348" s="176" t="n"/>
      <c r="BD348" s="176" t="n"/>
      <c r="BE348" s="176" t="n"/>
      <c r="BF348" s="176" t="n"/>
      <c r="BG348" s="176" t="n"/>
      <c r="BH348" s="176" t="n"/>
      <c r="BI348" s="176" t="n"/>
      <c r="BJ348" s="176" t="n"/>
      <c r="BK348" s="176" t="n"/>
      <c r="BL348" s="176" t="n"/>
      <c r="BM348" s="176" t="n"/>
      <c r="BN348" s="176" t="n"/>
      <c r="BO348" s="176" t="n"/>
      <c r="BP348" s="176" t="n"/>
      <c r="BQ348" s="176" t="n"/>
      <c r="BR348" s="176" t="n"/>
      <c r="BS348" s="176" t="n"/>
      <c r="BT348" s="176" t="n"/>
      <c r="BU348" s="176" t="n"/>
      <c r="BV348" s="176" t="n"/>
      <c r="BW348" s="176" t="n"/>
      <c r="BX348" s="176" t="n"/>
      <c r="BY348" s="176" t="n"/>
      <c r="BZ348" s="176" t="n"/>
      <c r="CA348" s="176" t="n"/>
      <c r="CB348" s="176" t="n"/>
      <c r="CC348" s="176" t="n"/>
      <c r="CD348" s="176" t="n"/>
      <c r="CE348" s="176" t="n"/>
      <c r="CF348" s="176" t="n"/>
      <c r="CG348" s="176" t="n"/>
      <c r="CH348" s="176" t="n"/>
      <c r="CI348" s="176" t="n"/>
      <c r="CJ348" s="176" t="n"/>
      <c r="CK348" s="176" t="n"/>
      <c r="CL348" s="176" t="n"/>
      <c r="CM348" s="176" t="n"/>
      <c r="CN348" s="176" t="n"/>
      <c r="CO348" s="176" t="n"/>
      <c r="CP348" s="176" t="n"/>
      <c r="CQ348" s="176" t="n"/>
      <c r="CR348" s="176" t="n"/>
      <c r="CS348" s="176" t="n"/>
      <c r="CT348" s="176" t="n"/>
      <c r="CU348" s="176" t="n"/>
      <c r="CV348" s="176" t="n"/>
      <c r="CW348" s="176" t="n"/>
      <c r="CX348" s="176" t="n"/>
      <c r="CY348" s="176" t="n"/>
      <c r="CZ348" s="176" t="n"/>
      <c r="DA348" s="176" t="n"/>
      <c r="DB348" s="176" t="n"/>
      <c r="DC348" s="176" t="n"/>
      <c r="DD348" s="176" t="n"/>
      <c r="DE348" s="176" t="n"/>
      <c r="DF348" s="176" t="n"/>
      <c r="DG348" s="176" t="n"/>
      <c r="DH348" s="176" t="n"/>
      <c r="DI348" s="176" t="n"/>
      <c r="DJ348" s="176" t="n"/>
      <c r="DK348" s="176" t="n"/>
      <c r="DL348" s="176" t="n"/>
      <c r="DM348" s="176" t="n"/>
      <c r="DN348" s="176" t="n"/>
      <c r="DO348" s="176" t="n"/>
      <c r="DP348" s="176" t="n"/>
      <c r="DQ348" s="176" t="n"/>
      <c r="DR348" s="176" t="n"/>
      <c r="DS348" s="176" t="n"/>
      <c r="DT348" s="176" t="n"/>
      <c r="DU348" s="176" t="n"/>
      <c r="DV348" s="176" t="n"/>
      <c r="DW348" s="176" t="n"/>
      <c r="DX348" s="176" t="n"/>
      <c r="DY348" s="176" t="n"/>
      <c r="DZ348" s="176" t="n"/>
      <c r="EA348" s="176" t="n"/>
      <c r="EB348" s="176" t="n"/>
      <c r="EC348" s="176" t="n"/>
      <c r="ED348" s="176" t="n"/>
      <c r="EE348" s="176" t="n"/>
      <c r="EF348" s="176" t="n"/>
      <c r="EG348" s="176" t="n"/>
      <c r="EH348" s="176" t="n"/>
      <c r="EI348" s="176" t="n"/>
      <c r="EJ348" s="176" t="n"/>
      <c r="EK348" s="176" t="n"/>
      <c r="EL348" s="176" t="n"/>
      <c r="EM348" s="176" t="n"/>
      <c r="EN348" s="176" t="n"/>
      <c r="EO348" s="176" t="n"/>
      <c r="EP348" s="176" t="n"/>
      <c r="EQ348" s="176" t="n"/>
      <c r="ER348" s="176" t="n"/>
      <c r="ES348" s="176" t="n"/>
      <c r="ET348" s="176" t="n"/>
      <c r="EU348" s="176" t="n"/>
      <c r="EV348" s="176" t="n"/>
      <c r="EW348" s="176" t="n"/>
      <c r="EX348" s="176" t="n"/>
      <c r="EY348" s="176" t="n"/>
      <c r="EZ348" s="176" t="n"/>
      <c r="FA348" s="176" t="n"/>
      <c r="FB348" s="176" t="n"/>
      <c r="FC348" s="176" t="n"/>
      <c r="FD348" s="176" t="n"/>
      <c r="FE348" s="176" t="n"/>
      <c r="FF348" s="176" t="n"/>
      <c r="FG348" s="176" t="n"/>
      <c r="FH348" s="176" t="n"/>
      <c r="FI348" s="176" t="n"/>
      <c r="FJ348" s="176" t="n"/>
      <c r="FK348" s="176" t="n"/>
      <c r="FL348" s="176" t="n"/>
      <c r="FM348" s="176" t="n"/>
      <c r="FN348" s="176" t="n"/>
      <c r="FO348" s="176" t="n"/>
      <c r="FP348" s="176" t="n"/>
      <c r="FQ348" s="176" t="n"/>
      <c r="FR348" s="176" t="n"/>
      <c r="FS348" s="176" t="n"/>
      <c r="FT348" s="176" t="n"/>
      <c r="FU348" s="176" t="n"/>
      <c r="FV348" s="176" t="n"/>
      <c r="FW348" s="176" t="n"/>
      <c r="FX348" s="176" t="n"/>
      <c r="FY348" s="176" t="n"/>
      <c r="FZ348" s="176" t="n"/>
      <c r="GA348" s="176" t="n"/>
      <c r="GB348" s="176" t="n"/>
      <c r="GC348" s="176" t="n"/>
      <c r="GD348" s="176" t="n"/>
      <c r="GE348" s="176" t="n"/>
      <c r="GF348" s="176" t="n"/>
      <c r="GG348" s="176" t="n"/>
      <c r="GH348" s="176" t="n"/>
      <c r="GI348" s="176" t="n"/>
      <c r="GJ348" s="176" t="n"/>
      <c r="GK348" s="176" t="n"/>
      <c r="GL348" s="176" t="n"/>
      <c r="GM348" s="176" t="n"/>
      <c r="GN348" s="176" t="n"/>
      <c r="GO348" s="176" t="n"/>
      <c r="GP348" s="176" t="n"/>
      <c r="GQ348" s="176" t="n"/>
      <c r="GR348" s="176" t="n"/>
      <c r="GS348" s="176" t="n"/>
      <c r="GT348" s="176" t="n"/>
      <c r="GU348" s="176" t="n"/>
      <c r="GV348" s="176" t="n"/>
      <c r="GW348" s="176" t="n"/>
      <c r="GX348" s="176" t="n"/>
      <c r="GY348" s="176" t="n"/>
      <c r="GZ348" s="176" t="n"/>
      <c r="HA348" s="176" t="n"/>
      <c r="HB348" s="176" t="n"/>
      <c r="HC348" s="176" t="n"/>
      <c r="HD348" s="176" t="n"/>
      <c r="HE348" s="176" t="n"/>
      <c r="HF348" s="176" t="n"/>
      <c r="HG348" s="176" t="n"/>
      <c r="HH348" s="176" t="n"/>
      <c r="HI348" s="176" t="n"/>
      <c r="HJ348" s="176" t="n"/>
      <c r="HK348" s="176" t="n"/>
      <c r="HL348" s="176" t="n"/>
      <c r="HM348" s="176" t="n"/>
      <c r="HN348" s="176" t="n"/>
      <c r="HO348" s="176" t="n"/>
      <c r="HP348" s="176" t="n"/>
      <c r="HQ348" s="176" t="n"/>
      <c r="HR348" s="176" t="n"/>
      <c r="HS348" s="176" t="n"/>
      <c r="HT348" s="176" t="n"/>
      <c r="HU348" s="176" t="n"/>
      <c r="HV348" s="176" t="n"/>
      <c r="HW348" s="176" t="n"/>
      <c r="HX348" s="176" t="n"/>
      <c r="HY348" s="176" t="n"/>
      <c r="HZ348" s="176" t="n"/>
      <c r="IA348" s="176" t="n"/>
      <c r="IB348" s="176" t="n"/>
      <c r="IC348" s="176" t="n"/>
      <c r="ID348" s="176" t="n"/>
    </row>
    <row r="349" ht="18.75" customHeight="1">
      <c r="A349" s="176" t="n"/>
      <c r="B349" s="176" t="n"/>
      <c r="C349" s="176" t="n"/>
      <c r="D349" s="176" t="n"/>
      <c r="E349" s="176" t="n"/>
      <c r="F349" s="176" t="n"/>
      <c r="G349" s="176" t="n"/>
      <c r="H349" s="176" t="n"/>
      <c r="I349" s="176" t="n"/>
      <c r="J349" s="176" t="n"/>
      <c r="K349" s="176" t="n"/>
      <c r="L349" s="176" t="n"/>
      <c r="M349" s="176" t="n"/>
      <c r="N349" s="176" t="n"/>
      <c r="O349" s="176" t="n"/>
      <c r="P349" s="176" t="n"/>
      <c r="Q349" s="176" t="n"/>
      <c r="R349" s="176" t="n"/>
      <c r="S349" s="176" t="n"/>
      <c r="T349" s="181" t="inlineStr">
        <is>
          <t>EFEITO · DESCRIÇÃO</t>
        </is>
      </c>
      <c r="U349" s="182" t="n"/>
      <c r="V349" s="182" t="n"/>
      <c r="W349" s="182" t="n"/>
      <c r="X349" s="182" t="n"/>
      <c r="Y349" s="183" t="n"/>
      <c r="Z349" s="176" t="n"/>
      <c r="AA349" s="176" t="n"/>
      <c r="AB349" s="181" t="inlineStr">
        <is>
          <t>EFEITO · DESCRIÇÃO</t>
        </is>
      </c>
      <c r="AC349" s="182" t="n"/>
      <c r="AD349" s="182" t="n"/>
      <c r="AE349" s="182" t="n"/>
      <c r="AF349" s="182" t="n"/>
      <c r="AG349" s="183" t="n"/>
      <c r="AH349" s="176" t="n"/>
      <c r="AI349" s="176" t="n"/>
      <c r="AJ349" s="176" t="n"/>
      <c r="AK349" s="176" t="n"/>
      <c r="AL349" s="176" t="n"/>
      <c r="AM349" s="176" t="n"/>
      <c r="AN349" s="176" t="n"/>
      <c r="AO349" s="176" t="n"/>
      <c r="AP349" s="176" t="n"/>
      <c r="AQ349" s="176" t="n"/>
      <c r="AR349" s="176" t="n"/>
      <c r="AS349" s="176" t="n"/>
      <c r="AT349" s="176" t="n"/>
      <c r="AU349" s="176" t="n"/>
      <c r="AV349" s="176" t="n"/>
      <c r="AW349" s="176" t="n"/>
      <c r="AX349" s="176" t="n"/>
      <c r="AY349" s="176" t="n"/>
      <c r="AZ349" s="176" t="n"/>
      <c r="BA349" s="176" t="n"/>
      <c r="BB349" s="176" t="n"/>
      <c r="BC349" s="176" t="n"/>
      <c r="BD349" s="176" t="n"/>
      <c r="BE349" s="176" t="n"/>
      <c r="BF349" s="176" t="n"/>
      <c r="BG349" s="176" t="n"/>
      <c r="BH349" s="176" t="n"/>
      <c r="BI349" s="176" t="n"/>
      <c r="BJ349" s="176" t="n"/>
      <c r="BK349" s="176" t="n"/>
      <c r="BL349" s="176" t="n"/>
      <c r="BM349" s="176" t="n"/>
      <c r="BN349" s="176" t="n"/>
      <c r="BO349" s="176" t="n"/>
      <c r="BP349" s="176" t="n"/>
      <c r="BQ349" s="176" t="n"/>
      <c r="BR349" s="176" t="n"/>
      <c r="BS349" s="176" t="n"/>
      <c r="BT349" s="176" t="n"/>
      <c r="BU349" s="176" t="n"/>
      <c r="BV349" s="176" t="n"/>
      <c r="BW349" s="176" t="n"/>
      <c r="BX349" s="176" t="n"/>
      <c r="BY349" s="176" t="n"/>
      <c r="BZ349" s="176" t="n"/>
      <c r="CA349" s="176" t="n"/>
      <c r="CB349" s="176" t="n"/>
      <c r="CC349" s="176" t="n"/>
      <c r="CD349" s="176" t="n"/>
      <c r="CE349" s="176" t="n"/>
      <c r="CF349" s="176" t="n"/>
      <c r="CG349" s="176" t="n"/>
      <c r="CH349" s="176" t="n"/>
      <c r="CI349" s="176" t="n"/>
      <c r="CJ349" s="176" t="n"/>
      <c r="CK349" s="176" t="n"/>
      <c r="CL349" s="176" t="n"/>
      <c r="CM349" s="176" t="n"/>
      <c r="CN349" s="176" t="n"/>
      <c r="CO349" s="176" t="n"/>
      <c r="CP349" s="176" t="n"/>
      <c r="CQ349" s="176" t="n"/>
      <c r="CR349" s="176" t="n"/>
      <c r="CS349" s="176" t="n"/>
      <c r="CT349" s="176" t="n"/>
      <c r="CU349" s="176" t="n"/>
      <c r="CV349" s="176" t="n"/>
      <c r="CW349" s="176" t="n"/>
      <c r="CX349" s="176" t="n"/>
      <c r="CY349" s="176" t="n"/>
      <c r="CZ349" s="176" t="n"/>
      <c r="DA349" s="179" t="inlineStr">
        <is>
          <t>MELHORIA · 27</t>
        </is>
      </c>
      <c r="DG349" s="176" t="n"/>
      <c r="DH349" s="176" t="n"/>
      <c r="DI349" s="179" t="inlineStr">
        <is>
          <t>MELHORIA · 28</t>
        </is>
      </c>
      <c r="DO349" s="176" t="n"/>
      <c r="DP349" s="176" t="n"/>
      <c r="DQ349" s="176" t="n"/>
      <c r="DR349" s="176" t="n"/>
      <c r="DS349" s="176" t="n"/>
      <c r="DT349" s="176" t="n"/>
      <c r="DU349" s="176" t="n"/>
      <c r="DV349" s="176" t="n"/>
      <c r="DW349" s="176" t="n"/>
      <c r="DX349" s="176" t="n"/>
      <c r="DY349" s="176" t="n"/>
      <c r="DZ349" s="176" t="n"/>
      <c r="EA349" s="176" t="n"/>
      <c r="EB349" s="176" t="n"/>
      <c r="EC349" s="176" t="n"/>
      <c r="ED349" s="176" t="n"/>
      <c r="EE349" s="176" t="n"/>
      <c r="EF349" s="176" t="n"/>
      <c r="EG349" s="176" t="n"/>
      <c r="EH349" s="176" t="n"/>
      <c r="EI349" s="176" t="n"/>
      <c r="EJ349" s="176" t="n"/>
      <c r="EK349" s="176" t="n"/>
      <c r="EL349" s="176" t="n"/>
      <c r="EM349" s="176" t="n"/>
      <c r="EN349" s="176" t="n"/>
      <c r="EO349" s="176" t="n"/>
      <c r="EP349" s="176" t="n"/>
      <c r="EQ349" s="176" t="n"/>
      <c r="ER349" s="176" t="n"/>
      <c r="ES349" s="176" t="n"/>
      <c r="ET349" s="176" t="n"/>
      <c r="EU349" s="176" t="n"/>
      <c r="EV349" s="176" t="n"/>
      <c r="EW349" s="176" t="n"/>
      <c r="EX349" s="176" t="n"/>
      <c r="EY349" s="176" t="n"/>
      <c r="EZ349" s="176" t="n"/>
      <c r="FA349" s="176" t="n"/>
      <c r="FB349" s="176" t="n"/>
      <c r="FC349" s="176" t="n"/>
      <c r="FD349" s="176" t="n"/>
      <c r="FE349" s="176" t="n"/>
      <c r="FF349" s="176" t="n"/>
      <c r="FG349" s="176" t="n"/>
      <c r="FH349" s="176" t="n"/>
      <c r="FI349" s="176" t="n"/>
      <c r="FJ349" s="176" t="n"/>
      <c r="FK349" s="176" t="n"/>
      <c r="FL349" s="176" t="n"/>
      <c r="FM349" s="176" t="n"/>
      <c r="FN349" s="176" t="n"/>
      <c r="FO349" s="176" t="n"/>
      <c r="FP349" s="176" t="n"/>
      <c r="FQ349" s="176" t="n"/>
      <c r="FR349" s="176" t="n"/>
      <c r="FS349" s="176" t="n"/>
      <c r="FT349" s="176" t="n"/>
      <c r="FU349" s="176" t="n"/>
      <c r="FV349" s="176" t="n"/>
      <c r="FW349" s="176" t="n"/>
      <c r="FX349" s="176" t="n"/>
      <c r="FY349" s="176" t="n"/>
      <c r="FZ349" s="176" t="n"/>
      <c r="GA349" s="176" t="n"/>
      <c r="GB349" s="176" t="n"/>
      <c r="GC349" s="176" t="n"/>
      <c r="GD349" s="176" t="n"/>
      <c r="GE349" s="176" t="n"/>
      <c r="GF349" s="176" t="n"/>
      <c r="GG349" s="176" t="n"/>
      <c r="GH349" s="176" t="n"/>
      <c r="GI349" s="176" t="n"/>
      <c r="GJ349" s="176" t="n"/>
      <c r="GK349" s="176" t="n"/>
      <c r="GL349" s="176" t="n"/>
      <c r="GM349" s="176" t="n"/>
      <c r="GN349" s="176" t="n"/>
      <c r="GO349" s="176" t="n"/>
      <c r="GP349" s="176" t="n"/>
      <c r="GQ349" s="176" t="n"/>
      <c r="GR349" s="176" t="n"/>
      <c r="GS349" s="176" t="n"/>
      <c r="GT349" s="176" t="n"/>
      <c r="GU349" s="176" t="n"/>
      <c r="GV349" s="176" t="n"/>
      <c r="GW349" s="176" t="n"/>
      <c r="GX349" s="176" t="n"/>
      <c r="GY349" s="176" t="n"/>
      <c r="GZ349" s="176" t="n"/>
      <c r="HA349" s="176" t="n"/>
      <c r="HB349" s="176" t="n"/>
      <c r="HC349" s="176" t="n"/>
      <c r="HD349" s="176" t="n"/>
      <c r="HE349" s="176" t="n"/>
      <c r="HF349" s="176" t="n"/>
      <c r="HG349" s="176" t="n"/>
      <c r="HH349" s="176" t="n"/>
      <c r="HI349" s="176" t="n"/>
      <c r="HJ349" s="176" t="n"/>
      <c r="HK349" s="176" t="n"/>
      <c r="HL349" s="176" t="n"/>
      <c r="HM349" s="176" t="n"/>
      <c r="HN349" s="176" t="n"/>
      <c r="HO349" s="176" t="n"/>
      <c r="HP349" s="176" t="n"/>
      <c r="HQ349" s="176" t="n"/>
      <c r="HR349" s="176" t="n"/>
      <c r="HS349" s="176" t="n"/>
      <c r="HT349" s="176" t="n"/>
      <c r="HU349" s="176" t="n"/>
      <c r="HV349" s="176" t="n"/>
      <c r="HW349" s="176" t="n"/>
      <c r="HX349" s="176" t="n"/>
      <c r="HY349" s="176" t="n"/>
      <c r="HZ349" s="176" t="n"/>
      <c r="IA349" s="176" t="n"/>
      <c r="IB349" s="176" t="n"/>
      <c r="IC349" s="176" t="n"/>
      <c r="ID349" s="176" t="n"/>
    </row>
    <row r="350" ht="18.75" customHeight="1">
      <c r="A350" s="176" t="n"/>
      <c r="B350" s="176" t="n"/>
      <c r="C350" s="176" t="n"/>
      <c r="D350" s="176" t="n"/>
      <c r="E350" s="176" t="n"/>
      <c r="F350" s="176" t="n"/>
      <c r="G350" s="176" t="n"/>
      <c r="H350" s="176" t="n"/>
      <c r="I350" s="176" t="n"/>
      <c r="J350" s="176" t="n"/>
      <c r="K350" s="176" t="n"/>
      <c r="L350" s="176" t="n"/>
      <c r="M350" s="176" t="n"/>
      <c r="N350" s="176" t="n"/>
      <c r="O350" s="176" t="n"/>
      <c r="P350" s="176" t="n"/>
      <c r="Q350" s="176" t="n"/>
      <c r="R350" s="176" t="n"/>
      <c r="S350" s="176" t="n"/>
      <c r="T350" s="192" t="n"/>
      <c r="U350" s="187" t="n"/>
      <c r="V350" s="187" t="n"/>
      <c r="W350" s="187" t="n"/>
      <c r="X350" s="187" t="n"/>
      <c r="Y350" s="188" t="n"/>
      <c r="Z350" s="176" t="n"/>
      <c r="AA350" s="176" t="n"/>
      <c r="AB350" s="192" t="n"/>
      <c r="AC350" s="187" t="n"/>
      <c r="AD350" s="187" t="n"/>
      <c r="AE350" s="187" t="n"/>
      <c r="AF350" s="187" t="n"/>
      <c r="AG350" s="188" t="n"/>
      <c r="AH350" s="176" t="n"/>
      <c r="AI350" s="176" t="n"/>
      <c r="AJ350" s="176" t="n"/>
      <c r="AK350" s="176" t="n"/>
      <c r="AL350" s="176" t="n"/>
      <c r="AM350" s="176" t="n"/>
      <c r="AN350" s="176" t="n"/>
      <c r="AO350" s="176" t="n"/>
      <c r="AP350" s="176" t="n"/>
      <c r="AQ350" s="176" t="n"/>
      <c r="AR350" s="176" t="n"/>
      <c r="AS350" s="176" t="n"/>
      <c r="AT350" s="176" t="n"/>
      <c r="AU350" s="176" t="n"/>
      <c r="AV350" s="176" t="n"/>
      <c r="AW350" s="176" t="n"/>
      <c r="AX350" s="176" t="n"/>
      <c r="AY350" s="176" t="n"/>
      <c r="AZ350" s="176" t="n"/>
      <c r="BA350" s="176" t="n"/>
      <c r="BB350" s="176" t="n"/>
      <c r="BC350" s="176" t="n"/>
      <c r="BD350" s="176" t="n"/>
      <c r="BE350" s="176" t="n"/>
      <c r="BF350" s="176" t="n"/>
      <c r="BG350" s="176" t="n"/>
      <c r="BH350" s="176" t="n"/>
      <c r="BI350" s="176" t="n"/>
      <c r="BJ350" s="176" t="n"/>
      <c r="BK350" s="176" t="n"/>
      <c r="BL350" s="176" t="n"/>
      <c r="BM350" s="176" t="n"/>
      <c r="BN350" s="176" t="n"/>
      <c r="BO350" s="176" t="n"/>
      <c r="BP350" s="176" t="n"/>
      <c r="BQ350" s="176" t="n"/>
      <c r="BR350" s="176" t="n"/>
      <c r="BS350" s="176" t="n"/>
      <c r="BT350" s="176" t="n"/>
      <c r="BU350" s="176" t="n"/>
      <c r="BV350" s="176" t="n"/>
      <c r="BW350" s="176" t="n"/>
      <c r="BX350" s="176" t="n"/>
      <c r="BY350" s="176" t="n"/>
      <c r="BZ350" s="176" t="n"/>
      <c r="CA350" s="176" t="n"/>
      <c r="CB350" s="176" t="n"/>
      <c r="CC350" s="176" t="n"/>
      <c r="CD350" s="176" t="n"/>
      <c r="CE350" s="176" t="n"/>
      <c r="CF350" s="176" t="n"/>
      <c r="CG350" s="176" t="n"/>
      <c r="CH350" s="176" t="n"/>
      <c r="CI350" s="176" t="n"/>
      <c r="CJ350" s="176" t="n"/>
      <c r="CK350" s="176" t="n"/>
      <c r="CL350" s="176" t="n"/>
      <c r="CM350" s="176" t="n"/>
      <c r="CN350" s="176" t="n"/>
      <c r="CO350" s="176" t="n"/>
      <c r="CP350" s="176" t="n"/>
      <c r="CQ350" s="176" t="n"/>
      <c r="CR350" s="176" t="n"/>
      <c r="CS350" s="176" t="n"/>
      <c r="CT350" s="176" t="n"/>
      <c r="CU350" s="176" t="n"/>
      <c r="CV350" s="176" t="n"/>
      <c r="CW350" s="176" t="n"/>
      <c r="CX350" s="176" t="n"/>
      <c r="CY350" s="176" t="n"/>
      <c r="CZ350" s="176" t="n"/>
      <c r="DA350" s="181" t="inlineStr">
        <is>
          <t>TIPO</t>
        </is>
      </c>
      <c r="DB350" s="182" t="n"/>
      <c r="DC350" s="182" t="n"/>
      <c r="DD350" s="183" t="n"/>
      <c r="DE350" s="181" t="inlineStr">
        <is>
          <t>MESTRE VIU</t>
        </is>
      </c>
      <c r="DF350" s="183" t="n"/>
      <c r="DG350" s="176" t="n"/>
      <c r="DH350" s="176" t="n"/>
      <c r="DI350" s="181" t="inlineStr">
        <is>
          <t>TIPO</t>
        </is>
      </c>
      <c r="DJ350" s="182" t="n"/>
      <c r="DK350" s="182" t="n"/>
      <c r="DL350" s="183" t="n"/>
      <c r="DM350" s="181" t="inlineStr">
        <is>
          <t>MESTRE VIU</t>
        </is>
      </c>
      <c r="DN350" s="183" t="n"/>
      <c r="DO350" s="176" t="n"/>
      <c r="DP350" s="176" t="n"/>
      <c r="DQ350" s="176" t="n"/>
      <c r="DR350" s="176" t="n"/>
      <c r="DS350" s="176" t="n"/>
      <c r="DT350" s="176" t="n"/>
      <c r="DU350" s="176" t="n"/>
      <c r="DV350" s="176" t="n"/>
      <c r="DW350" s="176" t="n"/>
      <c r="DX350" s="176" t="n"/>
      <c r="DY350" s="176" t="n"/>
      <c r="DZ350" s="176" t="n"/>
      <c r="EA350" s="176" t="n"/>
      <c r="EB350" s="176" t="n"/>
      <c r="EC350" s="176" t="n"/>
      <c r="ED350" s="176" t="n"/>
      <c r="EE350" s="176" t="n"/>
      <c r="EF350" s="176" t="n"/>
      <c r="EG350" s="176" t="n"/>
      <c r="EH350" s="176" t="n"/>
      <c r="EI350" s="176" t="n"/>
      <c r="EJ350" s="176" t="n"/>
      <c r="EK350" s="176" t="n"/>
      <c r="EL350" s="176" t="n"/>
      <c r="EM350" s="176" t="n"/>
      <c r="EN350" s="176" t="n"/>
      <c r="EO350" s="176" t="n"/>
      <c r="EP350" s="176" t="n"/>
      <c r="EQ350" s="176" t="n"/>
      <c r="ER350" s="176" t="n"/>
      <c r="ES350" s="176" t="n"/>
      <c r="ET350" s="176" t="n"/>
      <c r="EU350" s="176" t="n"/>
      <c r="EV350" s="176" t="n"/>
      <c r="EW350" s="176" t="n"/>
      <c r="EX350" s="176" t="n"/>
      <c r="EY350" s="176" t="n"/>
      <c r="EZ350" s="176" t="n"/>
      <c r="FA350" s="176" t="n"/>
      <c r="FB350" s="176" t="n"/>
      <c r="FC350" s="176" t="n"/>
      <c r="FD350" s="176" t="n"/>
      <c r="FE350" s="176" t="n"/>
      <c r="FF350" s="176" t="n"/>
      <c r="FG350" s="176" t="n"/>
      <c r="FH350" s="176" t="n"/>
      <c r="FI350" s="176" t="n"/>
      <c r="FJ350" s="176" t="n"/>
      <c r="FK350" s="176" t="n"/>
      <c r="FL350" s="176" t="n"/>
      <c r="FM350" s="176" t="n"/>
      <c r="FN350" s="176" t="n"/>
      <c r="FO350" s="176" t="n"/>
      <c r="FP350" s="176" t="n"/>
      <c r="FQ350" s="176" t="n"/>
      <c r="FR350" s="176" t="n"/>
      <c r="FS350" s="176" t="n"/>
      <c r="FT350" s="176" t="n"/>
      <c r="FU350" s="176" t="n"/>
      <c r="FV350" s="176" t="n"/>
      <c r="FW350" s="176" t="n"/>
      <c r="FX350" s="176" t="n"/>
      <c r="FY350" s="176" t="n"/>
      <c r="FZ350" s="176" t="n"/>
      <c r="GA350" s="176" t="n"/>
      <c r="GB350" s="176" t="n"/>
      <c r="GC350" s="176" t="n"/>
      <c r="GD350" s="176" t="n"/>
      <c r="GE350" s="176" t="n"/>
      <c r="GF350" s="176" t="n"/>
      <c r="GG350" s="176" t="n"/>
      <c r="GH350" s="176" t="n"/>
      <c r="GI350" s="176" t="n"/>
      <c r="GJ350" s="176" t="n"/>
      <c r="GK350" s="176" t="n"/>
      <c r="GL350" s="176" t="n"/>
      <c r="GM350" s="176" t="n"/>
      <c r="GN350" s="176" t="n"/>
      <c r="GO350" s="176" t="n"/>
      <c r="GP350" s="176" t="n"/>
      <c r="GQ350" s="176" t="n"/>
      <c r="GR350" s="176" t="n"/>
      <c r="GS350" s="176" t="n"/>
      <c r="GT350" s="176" t="n"/>
      <c r="GU350" s="176" t="n"/>
      <c r="GV350" s="176" t="n"/>
      <c r="GW350" s="176" t="n"/>
      <c r="GX350" s="176" t="n"/>
      <c r="GY350" s="176" t="n"/>
      <c r="GZ350" s="176" t="n"/>
      <c r="HA350" s="176" t="n"/>
      <c r="HB350" s="176" t="n"/>
      <c r="HC350" s="176" t="n"/>
      <c r="HD350" s="176" t="n"/>
      <c r="HE350" s="176" t="n"/>
      <c r="HF350" s="176" t="n"/>
      <c r="HG350" s="176" t="n"/>
      <c r="HH350" s="176" t="n"/>
      <c r="HI350" s="176" t="n"/>
      <c r="HJ350" s="176" t="n"/>
      <c r="HK350" s="176" t="n"/>
      <c r="HL350" s="176" t="n"/>
      <c r="HM350" s="176" t="n"/>
      <c r="HN350" s="176" t="n"/>
      <c r="HO350" s="176" t="n"/>
      <c r="HP350" s="176" t="n"/>
      <c r="HQ350" s="176" t="n"/>
      <c r="HR350" s="176" t="n"/>
      <c r="HS350" s="176" t="n"/>
      <c r="HT350" s="176" t="n"/>
      <c r="HU350" s="176" t="n"/>
      <c r="HV350" s="176" t="n"/>
      <c r="HW350" s="176" t="n"/>
      <c r="HX350" s="176" t="n"/>
      <c r="HY350" s="176" t="n"/>
      <c r="HZ350" s="176" t="n"/>
      <c r="IA350" s="176" t="n"/>
      <c r="IB350" s="176" t="n"/>
      <c r="IC350" s="176" t="n"/>
      <c r="ID350" s="176" t="n"/>
    </row>
    <row r="351" ht="18.75" customHeight="1">
      <c r="A351" s="176" t="n"/>
      <c r="B351" s="176" t="n"/>
      <c r="C351" s="176" t="n"/>
      <c r="D351" s="176" t="n"/>
      <c r="E351" s="176" t="n"/>
      <c r="F351" s="176" t="n"/>
      <c r="G351" s="176" t="n"/>
      <c r="H351" s="176" t="n"/>
      <c r="I351" s="176" t="n"/>
      <c r="J351" s="176" t="n"/>
      <c r="K351" s="176" t="n"/>
      <c r="L351" s="176" t="n"/>
      <c r="M351" s="176" t="n"/>
      <c r="N351" s="176" t="n"/>
      <c r="O351" s="176" t="n"/>
      <c r="P351" s="176" t="n"/>
      <c r="Q351" s="176" t="n"/>
      <c r="R351" s="176" t="n"/>
      <c r="S351" s="176" t="n"/>
      <c r="T351" s="193" t="n"/>
      <c r="Y351" s="194" t="n"/>
      <c r="Z351" s="176" t="n"/>
      <c r="AA351" s="176" t="n"/>
      <c r="AB351" s="193" t="n"/>
      <c r="AG351" s="194" t="n"/>
      <c r="AH351" s="176" t="n"/>
      <c r="AI351" s="176" t="n"/>
      <c r="AJ351" s="176" t="n"/>
      <c r="AK351" s="176" t="n"/>
      <c r="AL351" s="176" t="n"/>
      <c r="AM351" s="176" t="n"/>
      <c r="AN351" s="176" t="n"/>
      <c r="AO351" s="176" t="n"/>
      <c r="AP351" s="176" t="n"/>
      <c r="AQ351" s="176" t="n"/>
      <c r="AR351" s="176" t="n"/>
      <c r="AS351" s="176" t="n"/>
      <c r="AT351" s="176" t="n"/>
      <c r="AU351" s="176" t="n"/>
      <c r="AV351" s="176" t="n"/>
      <c r="AW351" s="176" t="n"/>
      <c r="AX351" s="176" t="n"/>
      <c r="AY351" s="176" t="n"/>
      <c r="AZ351" s="176" t="n"/>
      <c r="BA351" s="176" t="n"/>
      <c r="BB351" s="176" t="n"/>
      <c r="BC351" s="176" t="n"/>
      <c r="BD351" s="176" t="n"/>
      <c r="BE351" s="176" t="n"/>
      <c r="BF351" s="176" t="n"/>
      <c r="BG351" s="176" t="n"/>
      <c r="BH351" s="176" t="n"/>
      <c r="BI351" s="176" t="n"/>
      <c r="BJ351" s="176" t="n"/>
      <c r="BK351" s="176" t="n"/>
      <c r="BL351" s="176" t="n"/>
      <c r="BM351" s="176" t="n"/>
      <c r="BN351" s="176" t="n"/>
      <c r="BO351" s="176" t="n"/>
      <c r="BP351" s="176" t="n"/>
      <c r="BQ351" s="176" t="n"/>
      <c r="BR351" s="176" t="n"/>
      <c r="BS351" s="176" t="n"/>
      <c r="BT351" s="176" t="n"/>
      <c r="BU351" s="176" t="n"/>
      <c r="BV351" s="176" t="n"/>
      <c r="BW351" s="176" t="n"/>
      <c r="BX351" s="176" t="n"/>
      <c r="BY351" s="176" t="n"/>
      <c r="BZ351" s="176" t="n"/>
      <c r="CA351" s="176" t="n"/>
      <c r="CB351" s="176" t="n"/>
      <c r="CC351" s="176" t="n"/>
      <c r="CD351" s="176" t="n"/>
      <c r="CE351" s="176" t="n"/>
      <c r="CF351" s="176" t="n"/>
      <c r="CG351" s="176" t="n"/>
      <c r="CH351" s="176" t="n"/>
      <c r="CI351" s="176" t="n"/>
      <c r="CJ351" s="176" t="n"/>
      <c r="CK351" s="176" t="n"/>
      <c r="CL351" s="176" t="n"/>
      <c r="CM351" s="176" t="n"/>
      <c r="CN351" s="176" t="n"/>
      <c r="CO351" s="176" t="n"/>
      <c r="CP351" s="176" t="n"/>
      <c r="CQ351" s="176" t="n"/>
      <c r="CR351" s="176" t="n"/>
      <c r="CS351" s="176" t="n"/>
      <c r="CT351" s="176" t="n"/>
      <c r="CU351" s="176" t="n"/>
      <c r="CV351" s="176" t="n"/>
      <c r="CW351" s="176" t="n"/>
      <c r="CX351" s="176" t="n"/>
      <c r="CY351" s="176" t="n"/>
      <c r="CZ351" s="176" t="n"/>
      <c r="DA351" s="185" t="inlineStr">
        <is>
          <t>Melhoria</t>
        </is>
      </c>
      <c r="DB351" s="182" t="n"/>
      <c r="DC351" s="182" t="n"/>
      <c r="DD351" s="183" t="n"/>
      <c r="DE351" s="184" t="b">
        <v>0</v>
      </c>
      <c r="DF351" s="183" t="n"/>
      <c r="DG351" s="176" t="n"/>
      <c r="DH351" s="176" t="n"/>
      <c r="DI351" s="185" t="inlineStr">
        <is>
          <t>Melhoria</t>
        </is>
      </c>
      <c r="DJ351" s="182" t="n"/>
      <c r="DK351" s="182" t="n"/>
      <c r="DL351" s="183" t="n"/>
      <c r="DM351" s="184" t="b">
        <v>0</v>
      </c>
      <c r="DN351" s="183" t="n"/>
      <c r="DO351" s="176" t="n"/>
      <c r="DP351" s="176" t="n"/>
      <c r="DQ351" s="176" t="n"/>
      <c r="DR351" s="176" t="n"/>
      <c r="DS351" s="176" t="n"/>
      <c r="DT351" s="176" t="n"/>
      <c r="DU351" s="176" t="n"/>
      <c r="DV351" s="176" t="n"/>
      <c r="DW351" s="176" t="n"/>
      <c r="DX351" s="176" t="n"/>
      <c r="DY351" s="176" t="n"/>
      <c r="DZ351" s="176" t="n"/>
      <c r="EA351" s="176" t="n"/>
      <c r="EB351" s="176" t="n"/>
      <c r="EC351" s="176" t="n"/>
      <c r="ED351" s="176" t="n"/>
      <c r="EE351" s="176" t="n"/>
      <c r="EF351" s="176" t="n"/>
      <c r="EG351" s="176" t="n"/>
      <c r="EH351" s="176" t="n"/>
      <c r="EI351" s="176" t="n"/>
      <c r="EJ351" s="176" t="n"/>
      <c r="EK351" s="176" t="n"/>
      <c r="EL351" s="176" t="n"/>
      <c r="EM351" s="176" t="n"/>
      <c r="EN351" s="176" t="n"/>
      <c r="EO351" s="176" t="n"/>
      <c r="EP351" s="176" t="n"/>
      <c r="EQ351" s="176" t="n"/>
      <c r="ER351" s="176" t="n"/>
      <c r="ES351" s="176" t="n"/>
      <c r="ET351" s="176" t="n"/>
      <c r="EU351" s="176" t="n"/>
      <c r="EV351" s="176" t="n"/>
      <c r="EW351" s="176" t="n"/>
      <c r="EX351" s="176" t="n"/>
      <c r="EY351" s="176" t="n"/>
      <c r="EZ351" s="176" t="n"/>
      <c r="FA351" s="176" t="n"/>
      <c r="FB351" s="176" t="n"/>
      <c r="FC351" s="176" t="n"/>
      <c r="FD351" s="176" t="n"/>
      <c r="FE351" s="176" t="n"/>
      <c r="FF351" s="176" t="n"/>
      <c r="FG351" s="176" t="n"/>
      <c r="FH351" s="176" t="n"/>
      <c r="FI351" s="176" t="n"/>
      <c r="FJ351" s="176" t="n"/>
      <c r="FK351" s="176" t="n"/>
      <c r="FL351" s="176" t="n"/>
      <c r="FM351" s="176" t="n"/>
      <c r="FN351" s="176" t="n"/>
      <c r="FO351" s="176" t="n"/>
      <c r="FP351" s="176" t="n"/>
      <c r="FQ351" s="176" t="n"/>
      <c r="FR351" s="176" t="n"/>
      <c r="FS351" s="176" t="n"/>
      <c r="FT351" s="176" t="n"/>
      <c r="FU351" s="176" t="n"/>
      <c r="FV351" s="176" t="n"/>
      <c r="FW351" s="176" t="n"/>
      <c r="FX351" s="176" t="n"/>
      <c r="FY351" s="176" t="n"/>
      <c r="FZ351" s="176" t="n"/>
      <c r="GA351" s="176" t="n"/>
      <c r="GB351" s="176" t="n"/>
      <c r="GC351" s="176" t="n"/>
      <c r="GD351" s="176" t="n"/>
      <c r="GE351" s="176" t="n"/>
      <c r="GF351" s="176" t="n"/>
      <c r="GG351" s="176" t="n"/>
      <c r="GH351" s="176" t="n"/>
      <c r="GI351" s="176" t="n"/>
      <c r="GJ351" s="176" t="n"/>
      <c r="GK351" s="176" t="n"/>
      <c r="GL351" s="176" t="n"/>
      <c r="GM351" s="176" t="n"/>
      <c r="GN351" s="176" t="n"/>
      <c r="GO351" s="176" t="n"/>
      <c r="GP351" s="176" t="n"/>
      <c r="GQ351" s="176" t="n"/>
      <c r="GR351" s="176" t="n"/>
      <c r="GS351" s="176" t="n"/>
      <c r="GT351" s="176" t="n"/>
      <c r="GU351" s="176" t="n"/>
      <c r="GV351" s="176" t="n"/>
      <c r="GW351" s="176" t="n"/>
      <c r="GX351" s="176" t="n"/>
      <c r="GY351" s="176" t="n"/>
      <c r="GZ351" s="176" t="n"/>
      <c r="HA351" s="176" t="n"/>
      <c r="HB351" s="176" t="n"/>
      <c r="HC351" s="176" t="n"/>
      <c r="HD351" s="176" t="n"/>
      <c r="HE351" s="176" t="n"/>
      <c r="HF351" s="176" t="n"/>
      <c r="HG351" s="176" t="n"/>
      <c r="HH351" s="176" t="n"/>
      <c r="HI351" s="176" t="n"/>
      <c r="HJ351" s="176" t="n"/>
      <c r="HK351" s="176" t="n"/>
      <c r="HL351" s="176" t="n"/>
      <c r="HM351" s="176" t="n"/>
      <c r="HN351" s="176" t="n"/>
      <c r="HO351" s="176" t="n"/>
      <c r="HP351" s="176" t="n"/>
      <c r="HQ351" s="176" t="n"/>
      <c r="HR351" s="176" t="n"/>
      <c r="HS351" s="176" t="n"/>
      <c r="HT351" s="176" t="n"/>
      <c r="HU351" s="176" t="n"/>
      <c r="HV351" s="176" t="n"/>
      <c r="HW351" s="176" t="n"/>
      <c r="HX351" s="176" t="n"/>
      <c r="HY351" s="176" t="n"/>
      <c r="HZ351" s="176" t="n"/>
      <c r="IA351" s="176" t="n"/>
      <c r="IB351" s="176" t="n"/>
      <c r="IC351" s="176" t="n"/>
      <c r="ID351" s="176" t="n"/>
    </row>
    <row r="352" ht="18.75" customHeight="1">
      <c r="A352" s="176" t="n"/>
      <c r="B352" s="176" t="n"/>
      <c r="C352" s="176" t="n"/>
      <c r="D352" s="176" t="n"/>
      <c r="E352" s="176" t="n"/>
      <c r="F352" s="176" t="n"/>
      <c r="G352" s="176" t="n"/>
      <c r="H352" s="176" t="n"/>
      <c r="I352" s="176" t="n"/>
      <c r="J352" s="176" t="n"/>
      <c r="K352" s="176" t="n"/>
      <c r="L352" s="176" t="n"/>
      <c r="M352" s="176" t="n"/>
      <c r="N352" s="176" t="n"/>
      <c r="O352" s="176" t="n"/>
      <c r="P352" s="176" t="n"/>
      <c r="Q352" s="176" t="n"/>
      <c r="R352" s="176" t="n"/>
      <c r="S352" s="176" t="n"/>
      <c r="T352" s="193" t="n"/>
      <c r="Y352" s="194" t="n"/>
      <c r="Z352" s="176" t="n"/>
      <c r="AA352" s="176" t="n"/>
      <c r="AB352" s="193" t="n"/>
      <c r="AG352" s="194" t="n"/>
      <c r="AH352" s="176" t="n"/>
      <c r="AI352" s="176" t="n"/>
      <c r="AJ352" s="176" t="n"/>
      <c r="AK352" s="176" t="n"/>
      <c r="AL352" s="176" t="n"/>
      <c r="AM352" s="176" t="n"/>
      <c r="AN352" s="176" t="n"/>
      <c r="AO352" s="176" t="n"/>
      <c r="AP352" s="176" t="n"/>
      <c r="AQ352" s="176" t="n"/>
      <c r="AR352" s="176" t="n"/>
      <c r="AS352" s="176" t="n"/>
      <c r="AT352" s="176" t="n"/>
      <c r="AU352" s="176" t="n"/>
      <c r="AV352" s="176" t="n"/>
      <c r="AW352" s="176" t="n"/>
      <c r="AX352" s="176" t="n"/>
      <c r="AY352" s="176" t="n"/>
      <c r="AZ352" s="176" t="n"/>
      <c r="BA352" s="176" t="n"/>
      <c r="BB352" s="176" t="n"/>
      <c r="BC352" s="176" t="n"/>
      <c r="BD352" s="176" t="n"/>
      <c r="BE352" s="176" t="n"/>
      <c r="BF352" s="176" t="n"/>
      <c r="BG352" s="176" t="n"/>
      <c r="BH352" s="176" t="n"/>
      <c r="BI352" s="176" t="n"/>
      <c r="BJ352" s="176" t="n"/>
      <c r="BK352" s="176" t="n"/>
      <c r="BL352" s="176" t="n"/>
      <c r="BM352" s="176" t="n"/>
      <c r="BN352" s="176" t="n"/>
      <c r="BO352" s="176" t="n"/>
      <c r="BP352" s="176" t="n"/>
      <c r="BQ352" s="176" t="n"/>
      <c r="BR352" s="176" t="n"/>
      <c r="BS352" s="176" t="n"/>
      <c r="BT352" s="176" t="n"/>
      <c r="BU352" s="176" t="n"/>
      <c r="BV352" s="176" t="n"/>
      <c r="BW352" s="176" t="n"/>
      <c r="BX352" s="176" t="n"/>
      <c r="BY352" s="176" t="n"/>
      <c r="BZ352" s="176" t="n"/>
      <c r="CA352" s="176" t="n"/>
      <c r="CB352" s="176" t="n"/>
      <c r="CC352" s="176" t="n"/>
      <c r="CD352" s="176" t="n"/>
      <c r="CE352" s="176" t="n"/>
      <c r="CF352" s="176" t="n"/>
      <c r="CG352" s="176" t="n"/>
      <c r="CH352" s="176" t="n"/>
      <c r="CI352" s="176" t="n"/>
      <c r="CJ352" s="176" t="n"/>
      <c r="CK352" s="176" t="n"/>
      <c r="CL352" s="176" t="n"/>
      <c r="CM352" s="176" t="n"/>
      <c r="CN352" s="176" t="n"/>
      <c r="CO352" s="176" t="n"/>
      <c r="CP352" s="176" t="n"/>
      <c r="CQ352" s="176" t="n"/>
      <c r="CR352" s="176" t="n"/>
      <c r="CS352" s="176" t="n"/>
      <c r="CT352" s="176" t="n"/>
      <c r="CU352" s="176" t="n"/>
      <c r="CV352" s="176" t="n"/>
      <c r="CW352" s="176" t="n"/>
      <c r="CX352" s="176" t="n"/>
      <c r="CY352" s="176" t="n"/>
      <c r="CZ352" s="176" t="n"/>
      <c r="DA352" s="181" t="inlineStr">
        <is>
          <t>NOME</t>
        </is>
      </c>
      <c r="DB352" s="182" t="n"/>
      <c r="DC352" s="182" t="n"/>
      <c r="DD352" s="182" t="n"/>
      <c r="DE352" s="182" t="n"/>
      <c r="DF352" s="183" t="n"/>
      <c r="DG352" s="176" t="n"/>
      <c r="DH352" s="176" t="n"/>
      <c r="DI352" s="181" t="inlineStr">
        <is>
          <t>NOME</t>
        </is>
      </c>
      <c r="DJ352" s="182" t="n"/>
      <c r="DK352" s="182" t="n"/>
      <c r="DL352" s="182" t="n"/>
      <c r="DM352" s="182" t="n"/>
      <c r="DN352" s="183" t="n"/>
      <c r="DO352" s="176" t="n"/>
      <c r="DP352" s="176" t="n"/>
      <c r="DQ352" s="176" t="n"/>
      <c r="DR352" s="176" t="n"/>
      <c r="DS352" s="176" t="n"/>
      <c r="DT352" s="176" t="n"/>
      <c r="DU352" s="176" t="n"/>
      <c r="DV352" s="176" t="n"/>
      <c r="DW352" s="176" t="n"/>
      <c r="DX352" s="176" t="n"/>
      <c r="DY352" s="176" t="n"/>
      <c r="DZ352" s="176" t="n"/>
      <c r="EA352" s="176" t="n"/>
      <c r="EB352" s="176" t="n"/>
      <c r="EC352" s="176" t="n"/>
      <c r="ED352" s="176" t="n"/>
      <c r="EE352" s="176" t="n"/>
      <c r="EF352" s="176" t="n"/>
      <c r="EG352" s="176" t="n"/>
      <c r="EH352" s="176" t="n"/>
      <c r="EI352" s="176" t="n"/>
      <c r="EJ352" s="176" t="n"/>
      <c r="EK352" s="176" t="n"/>
      <c r="EL352" s="176" t="n"/>
      <c r="EM352" s="176" t="n"/>
      <c r="EN352" s="176" t="n"/>
      <c r="EO352" s="176" t="n"/>
      <c r="EP352" s="176" t="n"/>
      <c r="EQ352" s="176" t="n"/>
      <c r="ER352" s="176" t="n"/>
      <c r="ES352" s="176" t="n"/>
      <c r="ET352" s="176" t="n"/>
      <c r="EU352" s="176" t="n"/>
      <c r="EV352" s="176" t="n"/>
      <c r="EW352" s="176" t="n"/>
      <c r="EX352" s="176" t="n"/>
      <c r="EY352" s="176" t="n"/>
      <c r="EZ352" s="176" t="n"/>
      <c r="FA352" s="176" t="n"/>
      <c r="FB352" s="176" t="n"/>
      <c r="FC352" s="176" t="n"/>
      <c r="FD352" s="176" t="n"/>
      <c r="FE352" s="176" t="n"/>
      <c r="FF352" s="176" t="n"/>
      <c r="FG352" s="176" t="n"/>
      <c r="FH352" s="176" t="n"/>
      <c r="FI352" s="176" t="n"/>
      <c r="FJ352" s="176" t="n"/>
      <c r="FK352" s="176" t="n"/>
      <c r="FL352" s="176" t="n"/>
      <c r="FM352" s="176" t="n"/>
      <c r="FN352" s="176" t="n"/>
      <c r="FO352" s="176" t="n"/>
      <c r="FP352" s="176" t="n"/>
      <c r="FQ352" s="176" t="n"/>
      <c r="FR352" s="176" t="n"/>
      <c r="FS352" s="176" t="n"/>
      <c r="FT352" s="176" t="n"/>
      <c r="FU352" s="176" t="n"/>
      <c r="FV352" s="176" t="n"/>
      <c r="FW352" s="176" t="n"/>
      <c r="FX352" s="176" t="n"/>
      <c r="FY352" s="176" t="n"/>
      <c r="FZ352" s="176" t="n"/>
      <c r="GA352" s="176" t="n"/>
      <c r="GB352" s="176" t="n"/>
      <c r="GC352" s="176" t="n"/>
      <c r="GD352" s="176" t="n"/>
      <c r="GE352" s="176" t="n"/>
      <c r="GF352" s="176" t="n"/>
      <c r="GG352" s="176" t="n"/>
      <c r="GH352" s="176" t="n"/>
      <c r="GI352" s="176" t="n"/>
      <c r="GJ352" s="176" t="n"/>
      <c r="GK352" s="176" t="n"/>
      <c r="GL352" s="176" t="n"/>
      <c r="GM352" s="176" t="n"/>
      <c r="GN352" s="176" t="n"/>
      <c r="GO352" s="176" t="n"/>
      <c r="GP352" s="176" t="n"/>
      <c r="GQ352" s="176" t="n"/>
      <c r="GR352" s="176" t="n"/>
      <c r="GS352" s="176" t="n"/>
      <c r="GT352" s="176" t="n"/>
      <c r="GU352" s="176" t="n"/>
      <c r="GV352" s="176" t="n"/>
      <c r="GW352" s="176" t="n"/>
      <c r="GX352" s="176" t="n"/>
      <c r="GY352" s="176" t="n"/>
      <c r="GZ352" s="176" t="n"/>
      <c r="HA352" s="176" t="n"/>
      <c r="HB352" s="176" t="n"/>
      <c r="HC352" s="176" t="n"/>
      <c r="HD352" s="176" t="n"/>
      <c r="HE352" s="176" t="n"/>
      <c r="HF352" s="176" t="n"/>
      <c r="HG352" s="176" t="n"/>
      <c r="HH352" s="176" t="n"/>
      <c r="HI352" s="176" t="n"/>
      <c r="HJ352" s="176" t="n"/>
      <c r="HK352" s="176" t="n"/>
      <c r="HL352" s="176" t="n"/>
      <c r="HM352" s="176" t="n"/>
      <c r="HN352" s="176" t="n"/>
      <c r="HO352" s="176" t="n"/>
      <c r="HP352" s="176" t="n"/>
      <c r="HQ352" s="176" t="n"/>
      <c r="HR352" s="176" t="n"/>
      <c r="HS352" s="176" t="n"/>
      <c r="HT352" s="176" t="n"/>
      <c r="HU352" s="176" t="n"/>
      <c r="HV352" s="176" t="n"/>
      <c r="HW352" s="176" t="n"/>
      <c r="HX352" s="176" t="n"/>
      <c r="HY352" s="176" t="n"/>
      <c r="HZ352" s="176" t="n"/>
      <c r="IA352" s="176" t="n"/>
      <c r="IB352" s="176" t="n"/>
      <c r="IC352" s="176" t="n"/>
      <c r="ID352" s="176" t="n"/>
    </row>
    <row r="353" ht="18.75" customHeight="1">
      <c r="A353" s="176" t="n"/>
      <c r="B353" s="176" t="n"/>
      <c r="C353" s="176" t="n"/>
      <c r="D353" s="176" t="n"/>
      <c r="E353" s="176" t="n"/>
      <c r="F353" s="176" t="n"/>
      <c r="G353" s="176" t="n"/>
      <c r="H353" s="176" t="n"/>
      <c r="I353" s="176" t="n"/>
      <c r="J353" s="176" t="n"/>
      <c r="K353" s="176" t="n"/>
      <c r="L353" s="176" t="n"/>
      <c r="M353" s="176" t="n"/>
      <c r="N353" s="176" t="n"/>
      <c r="O353" s="176" t="n"/>
      <c r="P353" s="176" t="n"/>
      <c r="Q353" s="176" t="n"/>
      <c r="R353" s="176" t="n"/>
      <c r="S353" s="176" t="n"/>
      <c r="T353" s="193" t="n"/>
      <c r="Y353" s="194" t="n"/>
      <c r="Z353" s="176" t="n"/>
      <c r="AA353" s="176" t="n"/>
      <c r="AB353" s="193" t="n"/>
      <c r="AG353" s="194" t="n"/>
      <c r="AH353" s="176" t="n"/>
      <c r="AI353" s="176" t="n"/>
      <c r="AJ353" s="176" t="n"/>
      <c r="AK353" s="176" t="n"/>
      <c r="AL353" s="176" t="n"/>
      <c r="AM353" s="176" t="n"/>
      <c r="AN353" s="176" t="n"/>
      <c r="AO353" s="176" t="n"/>
      <c r="AP353" s="176" t="n"/>
      <c r="AQ353" s="176" t="n"/>
      <c r="AR353" s="176" t="n"/>
      <c r="AS353" s="176" t="n"/>
      <c r="AT353" s="176" t="n"/>
      <c r="AU353" s="176" t="n"/>
      <c r="AV353" s="176" t="n"/>
      <c r="AW353" s="176" t="n"/>
      <c r="AX353" s="176" t="n"/>
      <c r="AY353" s="176" t="n"/>
      <c r="AZ353" s="176" t="n"/>
      <c r="BA353" s="176" t="n"/>
      <c r="BB353" s="176" t="n"/>
      <c r="BC353" s="176" t="n"/>
      <c r="BD353" s="176" t="n"/>
      <c r="BE353" s="176" t="n"/>
      <c r="BF353" s="176" t="n"/>
      <c r="BG353" s="176" t="n"/>
      <c r="BH353" s="176" t="n"/>
      <c r="BI353" s="176" t="n"/>
      <c r="BJ353" s="176" t="n"/>
      <c r="BK353" s="176" t="n"/>
      <c r="BL353" s="176" t="n"/>
      <c r="BM353" s="176" t="n"/>
      <c r="BN353" s="176" t="n"/>
      <c r="BO353" s="176" t="n"/>
      <c r="BP353" s="176" t="n"/>
      <c r="BQ353" s="176" t="n"/>
      <c r="BR353" s="176" t="n"/>
      <c r="BS353" s="176" t="n"/>
      <c r="BT353" s="176" t="n"/>
      <c r="BU353" s="176" t="n"/>
      <c r="BV353" s="176" t="n"/>
      <c r="BW353" s="176" t="n"/>
      <c r="BX353" s="176" t="n"/>
      <c r="BY353" s="176" t="n"/>
      <c r="BZ353" s="176" t="n"/>
      <c r="CA353" s="176" t="n"/>
      <c r="CB353" s="176" t="n"/>
      <c r="CC353" s="176" t="n"/>
      <c r="CD353" s="176" t="n"/>
      <c r="CE353" s="176" t="n"/>
      <c r="CF353" s="176" t="n"/>
      <c r="CG353" s="176" t="n"/>
      <c r="CH353" s="176" t="n"/>
      <c r="CI353" s="176" t="n"/>
      <c r="CJ353" s="176" t="n"/>
      <c r="CK353" s="176" t="n"/>
      <c r="CL353" s="176" t="n"/>
      <c r="CM353" s="176" t="n"/>
      <c r="CN353" s="176" t="n"/>
      <c r="CO353" s="176" t="n"/>
      <c r="CP353" s="176" t="n"/>
      <c r="CQ353" s="176" t="n"/>
      <c r="CR353" s="176" t="n"/>
      <c r="CS353" s="176" t="n"/>
      <c r="CT353" s="176" t="n"/>
      <c r="CU353" s="176" t="n"/>
      <c r="CV353" s="176" t="n"/>
      <c r="CW353" s="176" t="n"/>
      <c r="CX353" s="176" t="n"/>
      <c r="CY353" s="176" t="n"/>
      <c r="CZ353" s="176" t="n"/>
      <c r="DA353" s="185" t="n"/>
      <c r="DB353" s="182" t="n"/>
      <c r="DC353" s="182" t="n"/>
      <c r="DD353" s="182" t="n"/>
      <c r="DE353" s="182" t="n"/>
      <c r="DF353" s="183" t="n"/>
      <c r="DG353" s="176" t="n"/>
      <c r="DH353" s="176" t="n"/>
      <c r="DI353" s="185" t="n"/>
      <c r="DJ353" s="182" t="n"/>
      <c r="DK353" s="182" t="n"/>
      <c r="DL353" s="182" t="n"/>
      <c r="DM353" s="182" t="n"/>
      <c r="DN353" s="183" t="n"/>
      <c r="DO353" s="176" t="n"/>
      <c r="DP353" s="176" t="n"/>
      <c r="DQ353" s="176" t="n"/>
      <c r="DR353" s="176" t="n"/>
      <c r="DS353" s="176" t="n"/>
      <c r="DT353" s="176" t="n"/>
      <c r="DU353" s="176" t="n"/>
      <c r="DV353" s="176" t="n"/>
      <c r="DW353" s="176" t="n"/>
      <c r="DX353" s="176" t="n"/>
      <c r="DY353" s="176" t="n"/>
      <c r="DZ353" s="176" t="n"/>
      <c r="EA353" s="176" t="n"/>
      <c r="EB353" s="176" t="n"/>
      <c r="EC353" s="176" t="n"/>
      <c r="ED353" s="176" t="n"/>
      <c r="EE353" s="176" t="n"/>
      <c r="EF353" s="176" t="n"/>
      <c r="EG353" s="176" t="n"/>
      <c r="EH353" s="176" t="n"/>
      <c r="EI353" s="176" t="n"/>
      <c r="EJ353" s="176" t="n"/>
      <c r="EK353" s="176" t="n"/>
      <c r="EL353" s="176" t="n"/>
      <c r="EM353" s="176" t="n"/>
      <c r="EN353" s="176" t="n"/>
      <c r="EO353" s="176" t="n"/>
      <c r="EP353" s="176" t="n"/>
      <c r="EQ353" s="176" t="n"/>
      <c r="ER353" s="176" t="n"/>
      <c r="ES353" s="176" t="n"/>
      <c r="ET353" s="176" t="n"/>
      <c r="EU353" s="176" t="n"/>
      <c r="EV353" s="176" t="n"/>
      <c r="EW353" s="176" t="n"/>
      <c r="EX353" s="176" t="n"/>
      <c r="EY353" s="176" t="n"/>
      <c r="EZ353" s="176" t="n"/>
      <c r="FA353" s="176" t="n"/>
      <c r="FB353" s="176" t="n"/>
      <c r="FC353" s="176" t="n"/>
      <c r="FD353" s="176" t="n"/>
      <c r="FE353" s="176" t="n"/>
      <c r="FF353" s="176" t="n"/>
      <c r="FG353" s="176" t="n"/>
      <c r="FH353" s="176" t="n"/>
      <c r="FI353" s="176" t="n"/>
      <c r="FJ353" s="176" t="n"/>
      <c r="FK353" s="176" t="n"/>
      <c r="FL353" s="176" t="n"/>
      <c r="FM353" s="176" t="n"/>
      <c r="FN353" s="176" t="n"/>
      <c r="FO353" s="176" t="n"/>
      <c r="FP353" s="176" t="n"/>
      <c r="FQ353" s="176" t="n"/>
      <c r="FR353" s="176" t="n"/>
      <c r="FS353" s="176" t="n"/>
      <c r="FT353" s="176" t="n"/>
      <c r="FU353" s="176" t="n"/>
      <c r="FV353" s="176" t="n"/>
      <c r="FW353" s="176" t="n"/>
      <c r="FX353" s="176" t="n"/>
      <c r="FY353" s="176" t="n"/>
      <c r="FZ353" s="176" t="n"/>
      <c r="GA353" s="176" t="n"/>
      <c r="GB353" s="176" t="n"/>
      <c r="GC353" s="176" t="n"/>
      <c r="GD353" s="176" t="n"/>
      <c r="GE353" s="176" t="n"/>
      <c r="GF353" s="176" t="n"/>
      <c r="GG353" s="176" t="n"/>
      <c r="GH353" s="176" t="n"/>
      <c r="GI353" s="176" t="n"/>
      <c r="GJ353" s="176" t="n"/>
      <c r="GK353" s="176" t="n"/>
      <c r="GL353" s="176" t="n"/>
      <c r="GM353" s="176" t="n"/>
      <c r="GN353" s="176" t="n"/>
      <c r="GO353" s="176" t="n"/>
      <c r="GP353" s="176" t="n"/>
      <c r="GQ353" s="176" t="n"/>
      <c r="GR353" s="176" t="n"/>
      <c r="GS353" s="176" t="n"/>
      <c r="GT353" s="176" t="n"/>
      <c r="GU353" s="176" t="n"/>
      <c r="GV353" s="176" t="n"/>
      <c r="GW353" s="176" t="n"/>
      <c r="GX353" s="176" t="n"/>
      <c r="GY353" s="176" t="n"/>
      <c r="GZ353" s="176" t="n"/>
      <c r="HA353" s="176" t="n"/>
      <c r="HB353" s="176" t="n"/>
      <c r="HC353" s="176" t="n"/>
      <c r="HD353" s="176" t="n"/>
      <c r="HE353" s="176" t="n"/>
      <c r="HF353" s="176" t="n"/>
      <c r="HG353" s="176" t="n"/>
      <c r="HH353" s="176" t="n"/>
      <c r="HI353" s="176" t="n"/>
      <c r="HJ353" s="176" t="n"/>
      <c r="HK353" s="176" t="n"/>
      <c r="HL353" s="176" t="n"/>
      <c r="HM353" s="176" t="n"/>
      <c r="HN353" s="176" t="n"/>
      <c r="HO353" s="176" t="n"/>
      <c r="HP353" s="176" t="n"/>
      <c r="HQ353" s="176" t="n"/>
      <c r="HR353" s="176" t="n"/>
      <c r="HS353" s="176" t="n"/>
      <c r="HT353" s="176" t="n"/>
      <c r="HU353" s="176" t="n"/>
      <c r="HV353" s="176" t="n"/>
      <c r="HW353" s="176" t="n"/>
      <c r="HX353" s="176" t="n"/>
      <c r="HY353" s="176" t="n"/>
      <c r="HZ353" s="176" t="n"/>
      <c r="IA353" s="176" t="n"/>
      <c r="IB353" s="176" t="n"/>
      <c r="IC353" s="176" t="n"/>
      <c r="ID353" s="176" t="n"/>
    </row>
    <row r="354" ht="18.75" customHeight="1">
      <c r="A354" s="176" t="n"/>
      <c r="B354" s="176" t="n"/>
      <c r="C354" s="176" t="n"/>
      <c r="D354" s="176" t="n"/>
      <c r="E354" s="176" t="n"/>
      <c r="F354" s="176" t="n"/>
      <c r="G354" s="176" t="n"/>
      <c r="H354" s="176" t="n"/>
      <c r="I354" s="176" t="n"/>
      <c r="J354" s="176" t="n"/>
      <c r="K354" s="176" t="n"/>
      <c r="L354" s="176" t="n"/>
      <c r="M354" s="176" t="n"/>
      <c r="N354" s="176" t="n"/>
      <c r="O354" s="176" t="n"/>
      <c r="P354" s="176" t="n"/>
      <c r="Q354" s="176" t="n"/>
      <c r="R354" s="176" t="n"/>
      <c r="S354" s="176" t="n"/>
      <c r="T354" s="189" t="n"/>
      <c r="U354" s="190" t="n"/>
      <c r="V354" s="190" t="n"/>
      <c r="W354" s="190" t="n"/>
      <c r="X354" s="190" t="n"/>
      <c r="Y354" s="191" t="n"/>
      <c r="Z354" s="176" t="n"/>
      <c r="AA354" s="176" t="n"/>
      <c r="AB354" s="189" t="n"/>
      <c r="AC354" s="190" t="n"/>
      <c r="AD354" s="190" t="n"/>
      <c r="AE354" s="190" t="n"/>
      <c r="AF354" s="190" t="n"/>
      <c r="AG354" s="191" t="n"/>
      <c r="AH354" s="176" t="n"/>
      <c r="AI354" s="176" t="n"/>
      <c r="AJ354" s="176" t="n"/>
      <c r="AK354" s="176" t="n"/>
      <c r="AL354" s="176" t="n"/>
      <c r="AM354" s="176" t="n"/>
      <c r="AN354" s="176" t="n"/>
      <c r="AO354" s="176" t="n"/>
      <c r="AP354" s="176" t="n"/>
      <c r="AQ354" s="176" t="n"/>
      <c r="AR354" s="176" t="n"/>
      <c r="AS354" s="176" t="n"/>
      <c r="AT354" s="176" t="n"/>
      <c r="AU354" s="176" t="n"/>
      <c r="AV354" s="176" t="n"/>
      <c r="AW354" s="176" t="n"/>
      <c r="AX354" s="176" t="n"/>
      <c r="AY354" s="176" t="n"/>
      <c r="AZ354" s="176" t="n"/>
      <c r="BA354" s="176" t="n"/>
      <c r="BB354" s="176" t="n"/>
      <c r="BC354" s="176" t="n"/>
      <c r="BD354" s="176" t="n"/>
      <c r="BE354" s="176" t="n"/>
      <c r="BF354" s="176" t="n"/>
      <c r="BG354" s="176" t="n"/>
      <c r="BH354" s="176" t="n"/>
      <c r="BI354" s="176" t="n"/>
      <c r="BJ354" s="176" t="n"/>
      <c r="BK354" s="176" t="n"/>
      <c r="BL354" s="176" t="n"/>
      <c r="BM354" s="176" t="n"/>
      <c r="BN354" s="176" t="n"/>
      <c r="BO354" s="176" t="n"/>
      <c r="BP354" s="176" t="n"/>
      <c r="BQ354" s="176" t="n"/>
      <c r="BR354" s="176" t="n"/>
      <c r="BS354" s="176" t="n"/>
      <c r="BT354" s="176" t="n"/>
      <c r="BU354" s="176" t="n"/>
      <c r="BV354" s="176" t="n"/>
      <c r="BW354" s="176" t="n"/>
      <c r="BX354" s="176" t="n"/>
      <c r="BY354" s="176" t="n"/>
      <c r="BZ354" s="176" t="n"/>
      <c r="CA354" s="176" t="n"/>
      <c r="CB354" s="176" t="n"/>
      <c r="CC354" s="176" t="n"/>
      <c r="CD354" s="176" t="n"/>
      <c r="CE354" s="176" t="n"/>
      <c r="CF354" s="176" t="n"/>
      <c r="CG354" s="176" t="n"/>
      <c r="CH354" s="176" t="n"/>
      <c r="CI354" s="176" t="n"/>
      <c r="CJ354" s="176" t="n"/>
      <c r="CK354" s="176" t="n"/>
      <c r="CL354" s="176" t="n"/>
      <c r="CM354" s="176" t="n"/>
      <c r="CN354" s="176" t="n"/>
      <c r="CO354" s="176" t="n"/>
      <c r="CP354" s="176" t="n"/>
      <c r="CQ354" s="176" t="n"/>
      <c r="CR354" s="176" t="n"/>
      <c r="CS354" s="176" t="n"/>
      <c r="CT354" s="176" t="n"/>
      <c r="CU354" s="176" t="n"/>
      <c r="CV354" s="176" t="n"/>
      <c r="CW354" s="176" t="n"/>
      <c r="CX354" s="176" t="n"/>
      <c r="CY354" s="176" t="n"/>
      <c r="CZ354" s="176" t="n"/>
      <c r="DA354" s="181" t="inlineStr">
        <is>
          <t>BASE DO LIVRO</t>
        </is>
      </c>
      <c r="DB354" s="182" t="n"/>
      <c r="DC354" s="183" t="n"/>
      <c r="DD354" s="185" t="inlineStr">
        <is>
          <t>Nenhuma</t>
        </is>
      </c>
      <c r="DE354" s="182" t="n"/>
      <c r="DF354" s="183" t="n"/>
      <c r="DG354" s="176" t="n"/>
      <c r="DH354" s="176" t="n"/>
      <c r="DI354" s="181" t="inlineStr">
        <is>
          <t>BASE DO LIVRO</t>
        </is>
      </c>
      <c r="DJ354" s="182" t="n"/>
      <c r="DK354" s="183" t="n"/>
      <c r="DL354" s="185" t="inlineStr">
        <is>
          <t>Nenhuma</t>
        </is>
      </c>
      <c r="DM354" s="182" t="n"/>
      <c r="DN354" s="183" t="n"/>
      <c r="DO354" s="176" t="n"/>
      <c r="DP354" s="176" t="n"/>
      <c r="DQ354" s="176" t="n"/>
      <c r="DR354" s="176" t="n"/>
      <c r="DS354" s="176" t="n"/>
      <c r="DT354" s="176" t="n"/>
      <c r="DU354" s="176" t="n"/>
      <c r="DV354" s="176" t="n"/>
      <c r="DW354" s="176" t="n"/>
      <c r="DX354" s="176" t="n"/>
      <c r="DY354" s="176" t="n"/>
      <c r="DZ354" s="176" t="n"/>
      <c r="EA354" s="176" t="n"/>
      <c r="EB354" s="176" t="n"/>
      <c r="EC354" s="176" t="n"/>
      <c r="ED354" s="176" t="n"/>
      <c r="EE354" s="176" t="n"/>
      <c r="EF354" s="176" t="n"/>
      <c r="EG354" s="176" t="n"/>
      <c r="EH354" s="176" t="n"/>
      <c r="EI354" s="176" t="n"/>
      <c r="EJ354" s="176" t="n"/>
      <c r="EK354" s="176" t="n"/>
      <c r="EL354" s="176" t="n"/>
      <c r="EM354" s="176" t="n"/>
      <c r="EN354" s="176" t="n"/>
      <c r="EO354" s="176" t="n"/>
      <c r="EP354" s="176" t="n"/>
      <c r="EQ354" s="176" t="n"/>
      <c r="ER354" s="176" t="n"/>
      <c r="ES354" s="176" t="n"/>
      <c r="ET354" s="176" t="n"/>
      <c r="EU354" s="176" t="n"/>
      <c r="EV354" s="176" t="n"/>
      <c r="EW354" s="176" t="n"/>
      <c r="EX354" s="176" t="n"/>
      <c r="EY354" s="176" t="n"/>
      <c r="EZ354" s="176" t="n"/>
      <c r="FA354" s="176" t="n"/>
      <c r="FB354" s="176" t="n"/>
      <c r="FC354" s="176" t="n"/>
      <c r="FD354" s="176" t="n"/>
      <c r="FE354" s="176" t="n"/>
      <c r="FF354" s="176" t="n"/>
      <c r="FG354" s="176" t="n"/>
      <c r="FH354" s="176" t="n"/>
      <c r="FI354" s="176" t="n"/>
      <c r="FJ354" s="176" t="n"/>
      <c r="FK354" s="176" t="n"/>
      <c r="FL354" s="176" t="n"/>
      <c r="FM354" s="176" t="n"/>
      <c r="FN354" s="176" t="n"/>
      <c r="FO354" s="176" t="n"/>
      <c r="FP354" s="176" t="n"/>
      <c r="FQ354" s="176" t="n"/>
      <c r="FR354" s="176" t="n"/>
      <c r="FS354" s="176" t="n"/>
      <c r="FT354" s="176" t="n"/>
      <c r="FU354" s="176" t="n"/>
      <c r="FV354" s="176" t="n"/>
      <c r="FW354" s="176" t="n"/>
      <c r="FX354" s="176" t="n"/>
      <c r="FY354" s="176" t="n"/>
      <c r="FZ354" s="176" t="n"/>
      <c r="GA354" s="176" t="n"/>
      <c r="GB354" s="176" t="n"/>
      <c r="GC354" s="176" t="n"/>
      <c r="GD354" s="176" t="n"/>
      <c r="GE354" s="176" t="n"/>
      <c r="GF354" s="176" t="n"/>
      <c r="GG354" s="176" t="n"/>
      <c r="GH354" s="176" t="n"/>
      <c r="GI354" s="176" t="n"/>
      <c r="GJ354" s="176" t="n"/>
      <c r="GK354" s="176" t="n"/>
      <c r="GL354" s="176" t="n"/>
      <c r="GM354" s="176" t="n"/>
      <c r="GN354" s="176" t="n"/>
      <c r="GO354" s="176" t="n"/>
      <c r="GP354" s="176" t="n"/>
      <c r="GQ354" s="176" t="n"/>
      <c r="GR354" s="176" t="n"/>
      <c r="GS354" s="176" t="n"/>
      <c r="GT354" s="176" t="n"/>
      <c r="GU354" s="176" t="n"/>
      <c r="GV354" s="176" t="n"/>
      <c r="GW354" s="176" t="n"/>
      <c r="GX354" s="176" t="n"/>
      <c r="GY354" s="176" t="n"/>
      <c r="GZ354" s="176" t="n"/>
      <c r="HA354" s="176" t="n"/>
      <c r="HB354" s="176" t="n"/>
      <c r="HC354" s="176" t="n"/>
      <c r="HD354" s="176" t="n"/>
      <c r="HE354" s="176" t="n"/>
      <c r="HF354" s="176" t="n"/>
      <c r="HG354" s="176" t="n"/>
      <c r="HH354" s="176" t="n"/>
      <c r="HI354" s="176" t="n"/>
      <c r="HJ354" s="176" t="n"/>
      <c r="HK354" s="176" t="n"/>
      <c r="HL354" s="176" t="n"/>
      <c r="HM354" s="176" t="n"/>
      <c r="HN354" s="176" t="n"/>
      <c r="HO354" s="176" t="n"/>
      <c r="HP354" s="176" t="n"/>
      <c r="HQ354" s="176" t="n"/>
      <c r="HR354" s="176" t="n"/>
      <c r="HS354" s="176" t="n"/>
      <c r="HT354" s="176" t="n"/>
      <c r="HU354" s="176" t="n"/>
      <c r="HV354" s="176" t="n"/>
      <c r="HW354" s="176" t="n"/>
      <c r="HX354" s="176" t="n"/>
      <c r="HY354" s="176" t="n"/>
      <c r="HZ354" s="176" t="n"/>
      <c r="IA354" s="176" t="n"/>
      <c r="IB354" s="176" t="n"/>
      <c r="IC354" s="176" t="n"/>
      <c r="ID354" s="176" t="n"/>
    </row>
    <row r="355" ht="18.75" customHeight="1">
      <c r="A355" s="176" t="n"/>
      <c r="B355" s="176" t="n"/>
      <c r="C355" s="176" t="n"/>
      <c r="D355" s="176" t="n"/>
      <c r="E355" s="176" t="n"/>
      <c r="F355" s="176" t="n"/>
      <c r="G355" s="176" t="n"/>
      <c r="H355" s="176" t="n"/>
      <c r="I355" s="176" t="n"/>
      <c r="J355" s="176" t="n"/>
      <c r="K355" s="176" t="n"/>
      <c r="L355" s="176" t="n"/>
      <c r="M355" s="176" t="n"/>
      <c r="N355" s="176" t="n"/>
      <c r="O355" s="176" t="n"/>
      <c r="P355" s="176" t="n"/>
      <c r="Q355" s="176" t="n"/>
      <c r="R355" s="176" t="n"/>
      <c r="S355" s="176" t="n"/>
      <c r="T355" s="180">
        <f>IF('DADOS_CUSTOM'!$S$24="","Revise os valores ao trocar o tipo.","⚠ "&amp;'DADOS_CUSTOM'!$S$24)</f>
        <v/>
      </c>
      <c r="Z355" s="176" t="n"/>
      <c r="AA355" s="176" t="n"/>
      <c r="AB355" s="180">
        <f>IF('DADOS_CUSTOM'!$S$25="","Revise os valores ao trocar o tipo.","⚠ "&amp;'DADOS_CUSTOM'!$S$25)</f>
        <v/>
      </c>
      <c r="AH355" s="176" t="n"/>
      <c r="AI355" s="176" t="n"/>
      <c r="AJ355" s="176" t="n"/>
      <c r="AK355" s="176" t="n"/>
      <c r="AL355" s="176" t="n"/>
      <c r="AM355" s="176" t="n"/>
      <c r="AN355" s="176" t="n"/>
      <c r="AO355" s="176" t="n"/>
      <c r="AP355" s="176" t="n"/>
      <c r="AQ355" s="176" t="n"/>
      <c r="AR355" s="176" t="n"/>
      <c r="AS355" s="176" t="n"/>
      <c r="AT355" s="176" t="n"/>
      <c r="AU355" s="176" t="n"/>
      <c r="AV355" s="176" t="n"/>
      <c r="AW355" s="176" t="n"/>
      <c r="AX355" s="176" t="n"/>
      <c r="AY355" s="176" t="n"/>
      <c r="AZ355" s="176" t="n"/>
      <c r="BA355" s="176" t="n"/>
      <c r="BB355" s="176" t="n"/>
      <c r="BC355" s="176" t="n"/>
      <c r="BD355" s="176" t="n"/>
      <c r="BE355" s="176" t="n"/>
      <c r="BF355" s="176" t="n"/>
      <c r="BG355" s="176" t="n"/>
      <c r="BH355" s="176" t="n"/>
      <c r="BI355" s="176" t="n"/>
      <c r="BJ355" s="176" t="n"/>
      <c r="BK355" s="176" t="n"/>
      <c r="BL355" s="176" t="n"/>
      <c r="BM355" s="176" t="n"/>
      <c r="BN355" s="176" t="n"/>
      <c r="BO355" s="176" t="n"/>
      <c r="BP355" s="176" t="n"/>
      <c r="BQ355" s="176" t="n"/>
      <c r="BR355" s="176" t="n"/>
      <c r="BS355" s="176" t="n"/>
      <c r="BT355" s="176" t="n"/>
      <c r="BU355" s="176" t="n"/>
      <c r="BV355" s="176" t="n"/>
      <c r="BW355" s="176" t="n"/>
      <c r="BX355" s="176" t="n"/>
      <c r="BY355" s="176" t="n"/>
      <c r="BZ355" s="176" t="n"/>
      <c r="CA355" s="176" t="n"/>
      <c r="CB355" s="176" t="n"/>
      <c r="CC355" s="176" t="n"/>
      <c r="CD355" s="176" t="n"/>
      <c r="CE355" s="176" t="n"/>
      <c r="CF355" s="176" t="n"/>
      <c r="CG355" s="176" t="n"/>
      <c r="CH355" s="176" t="n"/>
      <c r="CI355" s="176" t="n"/>
      <c r="CJ355" s="176" t="n"/>
      <c r="CK355" s="176" t="n"/>
      <c r="CL355" s="176" t="n"/>
      <c r="CM355" s="176" t="n"/>
      <c r="CN355" s="176" t="n"/>
      <c r="CO355" s="176" t="n"/>
      <c r="CP355" s="176" t="n"/>
      <c r="CQ355" s="176" t="n"/>
      <c r="CR355" s="176" t="n"/>
      <c r="CS355" s="176" t="n"/>
      <c r="CT355" s="176" t="n"/>
      <c r="CU355" s="176" t="n"/>
      <c r="CV355" s="176" t="n"/>
      <c r="CW355" s="176" t="n"/>
      <c r="CX355" s="176" t="n"/>
      <c r="CY355" s="176" t="n"/>
      <c r="CZ355" s="176" t="n"/>
      <c r="DA355" s="181" t="inlineStr">
        <is>
          <t>FAMÍLIA</t>
        </is>
      </c>
      <c r="DB355" s="182" t="n"/>
      <c r="DC355" s="183" t="n"/>
      <c r="DD355" s="185" t="n"/>
      <c r="DE355" s="182" t="n"/>
      <c r="DF355" s="183" t="n"/>
      <c r="DG355" s="176" t="n"/>
      <c r="DH355" s="176" t="n"/>
      <c r="DI355" s="181" t="inlineStr">
        <is>
          <t>FAMÍLIA</t>
        </is>
      </c>
      <c r="DJ355" s="182" t="n"/>
      <c r="DK355" s="183" t="n"/>
      <c r="DL355" s="185" t="n"/>
      <c r="DM355" s="182" t="n"/>
      <c r="DN355" s="183" t="n"/>
      <c r="DO355" s="176" t="n"/>
      <c r="DP355" s="176" t="n"/>
      <c r="DQ355" s="176" t="n"/>
      <c r="DR355" s="176" t="n"/>
      <c r="DS355" s="176" t="n"/>
      <c r="DT355" s="176" t="n"/>
      <c r="DU355" s="176" t="n"/>
      <c r="DV355" s="176" t="n"/>
      <c r="DW355" s="176" t="n"/>
      <c r="DX355" s="176" t="n"/>
      <c r="DY355" s="176" t="n"/>
      <c r="DZ355" s="176" t="n"/>
      <c r="EA355" s="176" t="n"/>
      <c r="EB355" s="176" t="n"/>
      <c r="EC355" s="176" t="n"/>
      <c r="ED355" s="176" t="n"/>
      <c r="EE355" s="176" t="n"/>
      <c r="EF355" s="176" t="n"/>
      <c r="EG355" s="176" t="n"/>
      <c r="EH355" s="176" t="n"/>
      <c r="EI355" s="176" t="n"/>
      <c r="EJ355" s="176" t="n"/>
      <c r="EK355" s="176" t="n"/>
      <c r="EL355" s="176" t="n"/>
      <c r="EM355" s="176" t="n"/>
      <c r="EN355" s="176" t="n"/>
      <c r="EO355" s="176" t="n"/>
      <c r="EP355" s="176" t="n"/>
      <c r="EQ355" s="176" t="n"/>
      <c r="ER355" s="176" t="n"/>
      <c r="ES355" s="176" t="n"/>
      <c r="ET355" s="176" t="n"/>
      <c r="EU355" s="176" t="n"/>
      <c r="EV355" s="176" t="n"/>
      <c r="EW355" s="176" t="n"/>
      <c r="EX355" s="176" t="n"/>
      <c r="EY355" s="176" t="n"/>
      <c r="EZ355" s="176" t="n"/>
      <c r="FA355" s="176" t="n"/>
      <c r="FB355" s="176" t="n"/>
      <c r="FC355" s="176" t="n"/>
      <c r="FD355" s="176" t="n"/>
      <c r="FE355" s="176" t="n"/>
      <c r="FF355" s="176" t="n"/>
      <c r="FG355" s="176" t="n"/>
      <c r="FH355" s="176" t="n"/>
      <c r="FI355" s="176" t="n"/>
      <c r="FJ355" s="176" t="n"/>
      <c r="FK355" s="176" t="n"/>
      <c r="FL355" s="176" t="n"/>
      <c r="FM355" s="176" t="n"/>
      <c r="FN355" s="176" t="n"/>
      <c r="FO355" s="176" t="n"/>
      <c r="FP355" s="176" t="n"/>
      <c r="FQ355" s="176" t="n"/>
      <c r="FR355" s="176" t="n"/>
      <c r="FS355" s="176" t="n"/>
      <c r="FT355" s="176" t="n"/>
      <c r="FU355" s="176" t="n"/>
      <c r="FV355" s="176" t="n"/>
      <c r="FW355" s="176" t="n"/>
      <c r="FX355" s="176" t="n"/>
      <c r="FY355" s="176" t="n"/>
      <c r="FZ355" s="176" t="n"/>
      <c r="GA355" s="176" t="n"/>
      <c r="GB355" s="176" t="n"/>
      <c r="GC355" s="176" t="n"/>
      <c r="GD355" s="176" t="n"/>
      <c r="GE355" s="176" t="n"/>
      <c r="GF355" s="176" t="n"/>
      <c r="GG355" s="176" t="n"/>
      <c r="GH355" s="176" t="n"/>
      <c r="GI355" s="176" t="n"/>
      <c r="GJ355" s="176" t="n"/>
      <c r="GK355" s="176" t="n"/>
      <c r="GL355" s="176" t="n"/>
      <c r="GM355" s="176" t="n"/>
      <c r="GN355" s="176" t="n"/>
      <c r="GO355" s="176" t="n"/>
      <c r="GP355" s="176" t="n"/>
      <c r="GQ355" s="176" t="n"/>
      <c r="GR355" s="176" t="n"/>
      <c r="GS355" s="176" t="n"/>
      <c r="GT355" s="176" t="n"/>
      <c r="GU355" s="176" t="n"/>
      <c r="GV355" s="176" t="n"/>
      <c r="GW355" s="176" t="n"/>
      <c r="GX355" s="176" t="n"/>
      <c r="GY355" s="176" t="n"/>
      <c r="GZ355" s="176" t="n"/>
      <c r="HA355" s="176" t="n"/>
      <c r="HB355" s="176" t="n"/>
      <c r="HC355" s="176" t="n"/>
      <c r="HD355" s="176" t="n"/>
      <c r="HE355" s="176" t="n"/>
      <c r="HF355" s="176" t="n"/>
      <c r="HG355" s="176" t="n"/>
      <c r="HH355" s="176" t="n"/>
      <c r="HI355" s="176" t="n"/>
      <c r="HJ355" s="176" t="n"/>
      <c r="HK355" s="176" t="n"/>
      <c r="HL355" s="176" t="n"/>
      <c r="HM355" s="176" t="n"/>
      <c r="HN355" s="176" t="n"/>
      <c r="HO355" s="176" t="n"/>
      <c r="HP355" s="176" t="n"/>
      <c r="HQ355" s="176" t="n"/>
      <c r="HR355" s="176" t="n"/>
      <c r="HS355" s="176" t="n"/>
      <c r="HT355" s="176" t="n"/>
      <c r="HU355" s="176" t="n"/>
      <c r="HV355" s="176" t="n"/>
      <c r="HW355" s="176" t="n"/>
      <c r="HX355" s="176" t="n"/>
      <c r="HY355" s="176" t="n"/>
      <c r="HZ355" s="176" t="n"/>
      <c r="IA355" s="176" t="n"/>
      <c r="IB355" s="176" t="n"/>
      <c r="IC355" s="176" t="n"/>
      <c r="ID355" s="176" t="n"/>
    </row>
    <row r="356" ht="18.75" customHeight="1">
      <c r="A356" s="176" t="n"/>
      <c r="B356" s="176" t="n"/>
      <c r="C356" s="176" t="n"/>
      <c r="D356" s="176" t="n"/>
      <c r="E356" s="176" t="n"/>
      <c r="F356" s="176" t="n"/>
      <c r="G356" s="176" t="n"/>
      <c r="H356" s="176" t="n"/>
      <c r="I356" s="176" t="n"/>
      <c r="J356" s="176" t="n"/>
      <c r="K356" s="176" t="n"/>
      <c r="L356" s="176" t="n"/>
      <c r="M356" s="176" t="n"/>
      <c r="N356" s="176" t="n"/>
      <c r="O356" s="176" t="n"/>
      <c r="P356" s="176" t="n"/>
      <c r="Q356" s="176" t="n"/>
      <c r="R356" s="176" t="n"/>
      <c r="S356" s="176" t="n"/>
      <c r="Z356" s="176" t="n"/>
      <c r="AA356" s="176" t="n"/>
      <c r="AH356" s="176" t="n"/>
      <c r="AI356" s="176" t="n"/>
      <c r="AJ356" s="176" t="n"/>
      <c r="AK356" s="176" t="n"/>
      <c r="AL356" s="176" t="n"/>
      <c r="AM356" s="176" t="n"/>
      <c r="AN356" s="176" t="n"/>
      <c r="AO356" s="176" t="n"/>
      <c r="AP356" s="176" t="n"/>
      <c r="AQ356" s="176" t="n"/>
      <c r="AR356" s="176" t="n"/>
      <c r="AS356" s="176" t="n"/>
      <c r="AT356" s="176" t="n"/>
      <c r="AU356" s="176" t="n"/>
      <c r="AV356" s="176" t="n"/>
      <c r="AW356" s="176" t="n"/>
      <c r="AX356" s="176" t="n"/>
      <c r="AY356" s="176" t="n"/>
      <c r="AZ356" s="176" t="n"/>
      <c r="BA356" s="176" t="n"/>
      <c r="BB356" s="176" t="n"/>
      <c r="BC356" s="176" t="n"/>
      <c r="BD356" s="176" t="n"/>
      <c r="BE356" s="176" t="n"/>
      <c r="BF356" s="176" t="n"/>
      <c r="BG356" s="176" t="n"/>
      <c r="BH356" s="176" t="n"/>
      <c r="BI356" s="176" t="n"/>
      <c r="BJ356" s="176" t="n"/>
      <c r="BK356" s="176" t="n"/>
      <c r="BL356" s="176" t="n"/>
      <c r="BM356" s="176" t="n"/>
      <c r="BN356" s="176" t="n"/>
      <c r="BO356" s="176" t="n"/>
      <c r="BP356" s="176" t="n"/>
      <c r="BQ356" s="176" t="n"/>
      <c r="BR356" s="176" t="n"/>
      <c r="BS356" s="176" t="n"/>
      <c r="BT356" s="176" t="n"/>
      <c r="BU356" s="176" t="n"/>
      <c r="BV356" s="176" t="n"/>
      <c r="BW356" s="176" t="n"/>
      <c r="BX356" s="176" t="n"/>
      <c r="BY356" s="176" t="n"/>
      <c r="BZ356" s="176" t="n"/>
      <c r="CA356" s="176" t="n"/>
      <c r="CB356" s="176" t="n"/>
      <c r="CC356" s="176" t="n"/>
      <c r="CD356" s="176" t="n"/>
      <c r="CE356" s="176" t="n"/>
      <c r="CF356" s="176" t="n"/>
      <c r="CG356" s="176" t="n"/>
      <c r="CH356" s="176" t="n"/>
      <c r="CI356" s="176" t="n"/>
      <c r="CJ356" s="176" t="n"/>
      <c r="CK356" s="176" t="n"/>
      <c r="CL356" s="176" t="n"/>
      <c r="CM356" s="176" t="n"/>
      <c r="CN356" s="176" t="n"/>
      <c r="CO356" s="176" t="n"/>
      <c r="CP356" s="176" t="n"/>
      <c r="CQ356" s="176" t="n"/>
      <c r="CR356" s="176" t="n"/>
      <c r="CS356" s="176" t="n"/>
      <c r="CT356" s="176" t="n"/>
      <c r="CU356" s="176" t="n"/>
      <c r="CV356" s="176" t="n"/>
      <c r="CW356" s="176" t="n"/>
      <c r="CX356" s="176" t="n"/>
      <c r="CY356" s="176" t="n"/>
      <c r="CZ356" s="176" t="n"/>
      <c r="DA356" s="181" t="inlineStr">
        <is>
          <t>PESO</t>
        </is>
      </c>
      <c r="DB356" s="182" t="n"/>
      <c r="DC356" s="183" t="n"/>
      <c r="DD356" s="185" t="n"/>
      <c r="DE356" s="182" t="n"/>
      <c r="DF356" s="183" t="n"/>
      <c r="DG356" s="176" t="n"/>
      <c r="DH356" s="176" t="n"/>
      <c r="DI356" s="181" t="inlineStr">
        <is>
          <t>PESO</t>
        </is>
      </c>
      <c r="DJ356" s="182" t="n"/>
      <c r="DK356" s="183" t="n"/>
      <c r="DL356" s="185" t="n"/>
      <c r="DM356" s="182" t="n"/>
      <c r="DN356" s="183" t="n"/>
      <c r="DO356" s="176" t="n"/>
      <c r="DP356" s="176" t="n"/>
      <c r="DQ356" s="176" t="n"/>
      <c r="DR356" s="176" t="n"/>
      <c r="DS356" s="176" t="n"/>
      <c r="DT356" s="176" t="n"/>
      <c r="DU356" s="176" t="n"/>
      <c r="DV356" s="176" t="n"/>
      <c r="DW356" s="176" t="n"/>
      <c r="DX356" s="176" t="n"/>
      <c r="DY356" s="176" t="n"/>
      <c r="DZ356" s="176" t="n"/>
      <c r="EA356" s="176" t="n"/>
      <c r="EB356" s="176" t="n"/>
      <c r="EC356" s="176" t="n"/>
      <c r="ED356" s="176" t="n"/>
      <c r="EE356" s="176" t="n"/>
      <c r="EF356" s="176" t="n"/>
      <c r="EG356" s="176" t="n"/>
      <c r="EH356" s="176" t="n"/>
      <c r="EI356" s="176" t="n"/>
      <c r="EJ356" s="176" t="n"/>
      <c r="EK356" s="176" t="n"/>
      <c r="EL356" s="176" t="n"/>
      <c r="EM356" s="176" t="n"/>
      <c r="EN356" s="176" t="n"/>
      <c r="EO356" s="176" t="n"/>
      <c r="EP356" s="176" t="n"/>
      <c r="EQ356" s="176" t="n"/>
      <c r="ER356" s="176" t="n"/>
      <c r="ES356" s="176" t="n"/>
      <c r="ET356" s="176" t="n"/>
      <c r="EU356" s="176" t="n"/>
      <c r="EV356" s="176" t="n"/>
      <c r="EW356" s="176" t="n"/>
      <c r="EX356" s="176" t="n"/>
      <c r="EY356" s="176" t="n"/>
      <c r="EZ356" s="176" t="n"/>
      <c r="FA356" s="176" t="n"/>
      <c r="FB356" s="176" t="n"/>
      <c r="FC356" s="176" t="n"/>
      <c r="FD356" s="176" t="n"/>
      <c r="FE356" s="176" t="n"/>
      <c r="FF356" s="176" t="n"/>
      <c r="FG356" s="176" t="n"/>
      <c r="FH356" s="176" t="n"/>
      <c r="FI356" s="176" t="n"/>
      <c r="FJ356" s="176" t="n"/>
      <c r="FK356" s="176" t="n"/>
      <c r="FL356" s="176" t="n"/>
      <c r="FM356" s="176" t="n"/>
      <c r="FN356" s="176" t="n"/>
      <c r="FO356" s="176" t="n"/>
      <c r="FP356" s="176" t="n"/>
      <c r="FQ356" s="176" t="n"/>
      <c r="FR356" s="176" t="n"/>
      <c r="FS356" s="176" t="n"/>
      <c r="FT356" s="176" t="n"/>
      <c r="FU356" s="176" t="n"/>
      <c r="FV356" s="176" t="n"/>
      <c r="FW356" s="176" t="n"/>
      <c r="FX356" s="176" t="n"/>
      <c r="FY356" s="176" t="n"/>
      <c r="FZ356" s="176" t="n"/>
      <c r="GA356" s="176" t="n"/>
      <c r="GB356" s="176" t="n"/>
      <c r="GC356" s="176" t="n"/>
      <c r="GD356" s="176" t="n"/>
      <c r="GE356" s="176" t="n"/>
      <c r="GF356" s="176" t="n"/>
      <c r="GG356" s="176" t="n"/>
      <c r="GH356" s="176" t="n"/>
      <c r="GI356" s="176" t="n"/>
      <c r="GJ356" s="176" t="n"/>
      <c r="GK356" s="176" t="n"/>
      <c r="GL356" s="176" t="n"/>
      <c r="GM356" s="176" t="n"/>
      <c r="GN356" s="176" t="n"/>
      <c r="GO356" s="176" t="n"/>
      <c r="GP356" s="176" t="n"/>
      <c r="GQ356" s="176" t="n"/>
      <c r="GR356" s="176" t="n"/>
      <c r="GS356" s="176" t="n"/>
      <c r="GT356" s="176" t="n"/>
      <c r="GU356" s="176" t="n"/>
      <c r="GV356" s="176" t="n"/>
      <c r="GW356" s="176" t="n"/>
      <c r="GX356" s="176" t="n"/>
      <c r="GY356" s="176" t="n"/>
      <c r="GZ356" s="176" t="n"/>
      <c r="HA356" s="176" t="n"/>
      <c r="HB356" s="176" t="n"/>
      <c r="HC356" s="176" t="n"/>
      <c r="HD356" s="176" t="n"/>
      <c r="HE356" s="176" t="n"/>
      <c r="HF356" s="176" t="n"/>
      <c r="HG356" s="176" t="n"/>
      <c r="HH356" s="176" t="n"/>
      <c r="HI356" s="176" t="n"/>
      <c r="HJ356" s="176" t="n"/>
      <c r="HK356" s="176" t="n"/>
      <c r="HL356" s="176" t="n"/>
      <c r="HM356" s="176" t="n"/>
      <c r="HN356" s="176" t="n"/>
      <c r="HO356" s="176" t="n"/>
      <c r="HP356" s="176" t="n"/>
      <c r="HQ356" s="176" t="n"/>
      <c r="HR356" s="176" t="n"/>
      <c r="HS356" s="176" t="n"/>
      <c r="HT356" s="176" t="n"/>
      <c r="HU356" s="176" t="n"/>
      <c r="HV356" s="176" t="n"/>
      <c r="HW356" s="176" t="n"/>
      <c r="HX356" s="176" t="n"/>
      <c r="HY356" s="176" t="n"/>
      <c r="HZ356" s="176" t="n"/>
      <c r="IA356" s="176" t="n"/>
      <c r="IB356" s="176" t="n"/>
      <c r="IC356" s="176" t="n"/>
      <c r="ID356" s="176" t="n"/>
    </row>
    <row r="357" ht="18.75" customHeight="1">
      <c r="A357" s="176" t="n"/>
      <c r="B357" s="176" t="n"/>
      <c r="C357" s="176" t="n"/>
      <c r="D357" s="176" t="n"/>
      <c r="E357" s="176" t="n"/>
      <c r="F357" s="176" t="n"/>
      <c r="G357" s="176" t="n"/>
      <c r="H357" s="176" t="n"/>
      <c r="I357" s="176" t="n"/>
      <c r="J357" s="176" t="n"/>
      <c r="K357" s="176" t="n"/>
      <c r="L357" s="176" t="n"/>
      <c r="M357" s="176" t="n"/>
      <c r="N357" s="176" t="n"/>
      <c r="O357" s="176" t="n"/>
      <c r="P357" s="176" t="n"/>
      <c r="Q357" s="176" t="n"/>
      <c r="R357" s="176" t="n"/>
      <c r="S357" s="176" t="n"/>
      <c r="T357" s="176" t="n"/>
      <c r="U357" s="176" t="n"/>
      <c r="V357" s="176" t="n"/>
      <c r="W357" s="176" t="n"/>
      <c r="X357" s="176" t="n"/>
      <c r="Y357" s="176" t="n"/>
      <c r="Z357" s="176" t="n"/>
      <c r="AA357" s="176" t="n"/>
      <c r="AB357" s="176" t="n"/>
      <c r="AC357" s="176" t="n"/>
      <c r="AD357" s="176" t="n"/>
      <c r="AE357" s="176" t="n"/>
      <c r="AF357" s="176" t="n"/>
      <c r="AG357" s="176" t="n"/>
      <c r="AH357" s="176" t="n"/>
      <c r="AI357" s="176" t="n"/>
      <c r="AJ357" s="176" t="n"/>
      <c r="AK357" s="176" t="n"/>
      <c r="AL357" s="176" t="n"/>
      <c r="AM357" s="176" t="n"/>
      <c r="AN357" s="176" t="n"/>
      <c r="AO357" s="176" t="n"/>
      <c r="AP357" s="176" t="n"/>
      <c r="AQ357" s="176" t="n"/>
      <c r="AR357" s="176" t="n"/>
      <c r="AS357" s="176" t="n"/>
      <c r="AT357" s="176" t="n"/>
      <c r="AU357" s="176" t="n"/>
      <c r="AV357" s="176" t="n"/>
      <c r="AW357" s="176" t="n"/>
      <c r="AX357" s="176" t="n"/>
      <c r="AY357" s="176" t="n"/>
      <c r="AZ357" s="176" t="n"/>
      <c r="BA357" s="176" t="n"/>
      <c r="BB357" s="176" t="n"/>
      <c r="BC357" s="176" t="n"/>
      <c r="BD357" s="176" t="n"/>
      <c r="BE357" s="176" t="n"/>
      <c r="BF357" s="176" t="n"/>
      <c r="BG357" s="176" t="n"/>
      <c r="BH357" s="176" t="n"/>
      <c r="BI357" s="176" t="n"/>
      <c r="BJ357" s="176" t="n"/>
      <c r="BK357" s="176" t="n"/>
      <c r="BL357" s="176" t="n"/>
      <c r="BM357" s="176" t="n"/>
      <c r="BN357" s="176" t="n"/>
      <c r="BO357" s="176" t="n"/>
      <c r="BP357" s="176" t="n"/>
      <c r="BQ357" s="176" t="n"/>
      <c r="BR357" s="176" t="n"/>
      <c r="BS357" s="176" t="n"/>
      <c r="BT357" s="176" t="n"/>
      <c r="BU357" s="176" t="n"/>
      <c r="BV357" s="176" t="n"/>
      <c r="BW357" s="176" t="n"/>
      <c r="BX357" s="176" t="n"/>
      <c r="BY357" s="176" t="n"/>
      <c r="BZ357" s="176" t="n"/>
      <c r="CA357" s="176" t="n"/>
      <c r="CB357" s="176" t="n"/>
      <c r="CC357" s="176" t="n"/>
      <c r="CD357" s="176" t="n"/>
      <c r="CE357" s="176" t="n"/>
      <c r="CF357" s="176" t="n"/>
      <c r="CG357" s="176" t="n"/>
      <c r="CH357" s="176" t="n"/>
      <c r="CI357" s="176" t="n"/>
      <c r="CJ357" s="176" t="n"/>
      <c r="CK357" s="176" t="n"/>
      <c r="CL357" s="176" t="n"/>
      <c r="CM357" s="176" t="n"/>
      <c r="CN357" s="176" t="n"/>
      <c r="CO357" s="176" t="n"/>
      <c r="CP357" s="176" t="n"/>
      <c r="CQ357" s="176" t="n"/>
      <c r="CR357" s="176" t="n"/>
      <c r="CS357" s="176" t="n"/>
      <c r="CT357" s="176" t="n"/>
      <c r="CU357" s="176" t="n"/>
      <c r="CV357" s="176" t="n"/>
      <c r="CW357" s="176" t="n"/>
      <c r="CX357" s="176" t="n"/>
      <c r="CY357" s="176" t="n"/>
      <c r="CZ357" s="176" t="n"/>
      <c r="DA357" s="181" t="inlineStr">
        <is>
          <t>EXIGE TR</t>
        </is>
      </c>
      <c r="DB357" s="182" t="n"/>
      <c r="DC357" s="183" t="n"/>
      <c r="DD357" s="185" t="n"/>
      <c r="DE357" s="182" t="n"/>
      <c r="DF357" s="183" t="n"/>
      <c r="DG357" s="176" t="n"/>
      <c r="DH357" s="176" t="n"/>
      <c r="DI357" s="181" t="inlineStr">
        <is>
          <t>EXIGE TR</t>
        </is>
      </c>
      <c r="DJ357" s="182" t="n"/>
      <c r="DK357" s="183" t="n"/>
      <c r="DL357" s="185" t="n"/>
      <c r="DM357" s="182" t="n"/>
      <c r="DN357" s="183" t="n"/>
      <c r="DO357" s="176" t="n"/>
      <c r="DP357" s="176" t="n"/>
      <c r="DQ357" s="176" t="n"/>
      <c r="DR357" s="176" t="n"/>
      <c r="DS357" s="176" t="n"/>
      <c r="DT357" s="176" t="n"/>
      <c r="DU357" s="176" t="n"/>
      <c r="DV357" s="176" t="n"/>
      <c r="DW357" s="176" t="n"/>
      <c r="DX357" s="176" t="n"/>
      <c r="DY357" s="176" t="n"/>
      <c r="DZ357" s="176" t="n"/>
      <c r="EA357" s="176" t="n"/>
      <c r="EB357" s="176" t="n"/>
      <c r="EC357" s="176" t="n"/>
      <c r="ED357" s="176" t="n"/>
      <c r="EE357" s="176" t="n"/>
      <c r="EF357" s="176" t="n"/>
      <c r="EG357" s="176" t="n"/>
      <c r="EH357" s="176" t="n"/>
      <c r="EI357" s="176" t="n"/>
      <c r="EJ357" s="176" t="n"/>
      <c r="EK357" s="176" t="n"/>
      <c r="EL357" s="176" t="n"/>
      <c r="EM357" s="176" t="n"/>
      <c r="EN357" s="176" t="n"/>
      <c r="EO357" s="176" t="n"/>
      <c r="EP357" s="176" t="n"/>
      <c r="EQ357" s="176" t="n"/>
      <c r="ER357" s="176" t="n"/>
      <c r="ES357" s="176" t="n"/>
      <c r="ET357" s="176" t="n"/>
      <c r="EU357" s="176" t="n"/>
      <c r="EV357" s="176" t="n"/>
      <c r="EW357" s="176" t="n"/>
      <c r="EX357" s="176" t="n"/>
      <c r="EY357" s="176" t="n"/>
      <c r="EZ357" s="176" t="n"/>
      <c r="FA357" s="176" t="n"/>
      <c r="FB357" s="176" t="n"/>
      <c r="FC357" s="176" t="n"/>
      <c r="FD357" s="176" t="n"/>
      <c r="FE357" s="176" t="n"/>
      <c r="FF357" s="176" t="n"/>
      <c r="FG357" s="176" t="n"/>
      <c r="FH357" s="176" t="n"/>
      <c r="FI357" s="176" t="n"/>
      <c r="FJ357" s="176" t="n"/>
      <c r="FK357" s="176" t="n"/>
      <c r="FL357" s="176" t="n"/>
      <c r="FM357" s="176" t="n"/>
      <c r="FN357" s="176" t="n"/>
      <c r="FO357" s="176" t="n"/>
      <c r="FP357" s="176" t="n"/>
      <c r="FQ357" s="176" t="n"/>
      <c r="FR357" s="176" t="n"/>
      <c r="FS357" s="176" t="n"/>
      <c r="FT357" s="176" t="n"/>
      <c r="FU357" s="176" t="n"/>
      <c r="FV357" s="176" t="n"/>
      <c r="FW357" s="176" t="n"/>
      <c r="FX357" s="176" t="n"/>
      <c r="FY357" s="176" t="n"/>
      <c r="FZ357" s="176" t="n"/>
      <c r="GA357" s="176" t="n"/>
      <c r="GB357" s="176" t="n"/>
      <c r="GC357" s="176" t="n"/>
      <c r="GD357" s="176" t="n"/>
      <c r="GE357" s="176" t="n"/>
      <c r="GF357" s="176" t="n"/>
      <c r="GG357" s="176" t="n"/>
      <c r="GH357" s="176" t="n"/>
      <c r="GI357" s="176" t="n"/>
      <c r="GJ357" s="176" t="n"/>
      <c r="GK357" s="176" t="n"/>
      <c r="GL357" s="176" t="n"/>
      <c r="GM357" s="176" t="n"/>
      <c r="GN357" s="176" t="n"/>
      <c r="GO357" s="176" t="n"/>
      <c r="GP357" s="176" t="n"/>
      <c r="GQ357" s="176" t="n"/>
      <c r="GR357" s="176" t="n"/>
      <c r="GS357" s="176" t="n"/>
      <c r="GT357" s="176" t="n"/>
      <c r="GU357" s="176" t="n"/>
      <c r="GV357" s="176" t="n"/>
      <c r="GW357" s="176" t="n"/>
      <c r="GX357" s="176" t="n"/>
      <c r="GY357" s="176" t="n"/>
      <c r="GZ357" s="176" t="n"/>
      <c r="HA357" s="176" t="n"/>
      <c r="HB357" s="176" t="n"/>
      <c r="HC357" s="176" t="n"/>
      <c r="HD357" s="176" t="n"/>
      <c r="HE357" s="176" t="n"/>
      <c r="HF357" s="176" t="n"/>
      <c r="HG357" s="176" t="n"/>
      <c r="HH357" s="176" t="n"/>
      <c r="HI357" s="176" t="n"/>
      <c r="HJ357" s="176" t="n"/>
      <c r="HK357" s="176" t="n"/>
      <c r="HL357" s="176" t="n"/>
      <c r="HM357" s="176" t="n"/>
      <c r="HN357" s="176" t="n"/>
      <c r="HO357" s="176" t="n"/>
      <c r="HP357" s="176" t="n"/>
      <c r="HQ357" s="176" t="n"/>
      <c r="HR357" s="176" t="n"/>
      <c r="HS357" s="176" t="n"/>
      <c r="HT357" s="176" t="n"/>
      <c r="HU357" s="176" t="n"/>
      <c r="HV357" s="176" t="n"/>
      <c r="HW357" s="176" t="n"/>
      <c r="HX357" s="176" t="n"/>
      <c r="HY357" s="176" t="n"/>
      <c r="HZ357" s="176" t="n"/>
      <c r="IA357" s="176" t="n"/>
      <c r="IB357" s="176" t="n"/>
      <c r="IC357" s="176" t="n"/>
      <c r="ID357" s="176" t="n"/>
    </row>
    <row r="358" ht="18.75" customHeight="1">
      <c r="A358" s="176" t="n"/>
      <c r="B358" s="176" t="n"/>
      <c r="C358" s="176" t="n"/>
      <c r="D358" s="176" t="n"/>
      <c r="E358" s="176" t="n"/>
      <c r="F358" s="176" t="n"/>
      <c r="G358" s="176" t="n"/>
      <c r="H358" s="176" t="n"/>
      <c r="I358" s="176" t="n"/>
      <c r="J358" s="176" t="n"/>
      <c r="K358" s="176" t="n"/>
      <c r="L358" s="176" t="n"/>
      <c r="M358" s="176" t="n"/>
      <c r="N358" s="176" t="n"/>
      <c r="O358" s="176" t="n"/>
      <c r="P358" s="176" t="n"/>
      <c r="Q358" s="176" t="n"/>
      <c r="R358" s="176" t="n"/>
      <c r="S358" s="176" t="n"/>
      <c r="T358" s="176" t="n"/>
      <c r="U358" s="176" t="n"/>
      <c r="V358" s="176" t="n"/>
      <c r="W358" s="176" t="n"/>
      <c r="X358" s="176" t="n"/>
      <c r="Y358" s="176" t="n"/>
      <c r="Z358" s="176" t="n"/>
      <c r="AA358" s="176" t="n"/>
      <c r="AB358" s="176" t="n"/>
      <c r="AC358" s="176" t="n"/>
      <c r="AD358" s="176" t="n"/>
      <c r="AE358" s="176" t="n"/>
      <c r="AF358" s="176" t="n"/>
      <c r="AG358" s="176" t="n"/>
      <c r="AH358" s="176" t="n"/>
      <c r="AI358" s="176" t="n"/>
      <c r="AJ358" s="176" t="n"/>
      <c r="AK358" s="176" t="n"/>
      <c r="AL358" s="176" t="n"/>
      <c r="AM358" s="176" t="n"/>
      <c r="AN358" s="176" t="n"/>
      <c r="AO358" s="176" t="n"/>
      <c r="AP358" s="176" t="n"/>
      <c r="AQ358" s="176" t="n"/>
      <c r="AR358" s="176" t="n"/>
      <c r="AS358" s="176" t="n"/>
      <c r="AT358" s="176" t="n"/>
      <c r="AU358" s="176" t="n"/>
      <c r="AV358" s="176" t="n"/>
      <c r="AW358" s="176" t="n"/>
      <c r="AX358" s="176" t="n"/>
      <c r="AY358" s="176" t="n"/>
      <c r="AZ358" s="176" t="n"/>
      <c r="BA358" s="176" t="n"/>
      <c r="BB358" s="176" t="n"/>
      <c r="BC358" s="176" t="n"/>
      <c r="BD358" s="176" t="n"/>
      <c r="BE358" s="176" t="n"/>
      <c r="BF358" s="176" t="n"/>
      <c r="BG358" s="176" t="n"/>
      <c r="BH358" s="176" t="n"/>
      <c r="BI358" s="176" t="n"/>
      <c r="BJ358" s="176" t="n"/>
      <c r="BK358" s="176" t="n"/>
      <c r="BL358" s="176" t="n"/>
      <c r="BM358" s="176" t="n"/>
      <c r="BN358" s="176" t="n"/>
      <c r="BO358" s="176" t="n"/>
      <c r="BP358" s="176" t="n"/>
      <c r="BQ358" s="176" t="n"/>
      <c r="BR358" s="176" t="n"/>
      <c r="BS358" s="176" t="n"/>
      <c r="BT358" s="176" t="n"/>
      <c r="BU358" s="176" t="n"/>
      <c r="BV358" s="176" t="n"/>
      <c r="BW358" s="176" t="n"/>
      <c r="BX358" s="176" t="n"/>
      <c r="BY358" s="176" t="n"/>
      <c r="BZ358" s="176" t="n"/>
      <c r="CA358" s="176" t="n"/>
      <c r="CB358" s="176" t="n"/>
      <c r="CC358" s="176" t="n"/>
      <c r="CD358" s="176" t="n"/>
      <c r="CE358" s="176" t="n"/>
      <c r="CF358" s="176" t="n"/>
      <c r="CG358" s="176" t="n"/>
      <c r="CH358" s="176" t="n"/>
      <c r="CI358" s="176" t="n"/>
      <c r="CJ358" s="176" t="n"/>
      <c r="CK358" s="176" t="n"/>
      <c r="CL358" s="176" t="n"/>
      <c r="CM358" s="176" t="n"/>
      <c r="CN358" s="176" t="n"/>
      <c r="CO358" s="176" t="n"/>
      <c r="CP358" s="176" t="n"/>
      <c r="CQ358" s="176" t="n"/>
      <c r="CR358" s="176" t="n"/>
      <c r="CS358" s="176" t="n"/>
      <c r="CT358" s="176" t="n"/>
      <c r="CU358" s="176" t="n"/>
      <c r="CV358" s="176" t="n"/>
      <c r="CW358" s="176" t="n"/>
      <c r="CX358" s="176" t="n"/>
      <c r="CY358" s="176" t="n"/>
      <c r="CZ358" s="176" t="n"/>
      <c r="DA358" s="176" t="n"/>
      <c r="DB358" s="176" t="n"/>
      <c r="DC358" s="176" t="n"/>
      <c r="DD358" s="176" t="n"/>
      <c r="DE358" s="176" t="n"/>
      <c r="DF358" s="176" t="n"/>
      <c r="DG358" s="176" t="n"/>
      <c r="DH358" s="176" t="n"/>
      <c r="DI358" s="176" t="n"/>
      <c r="DJ358" s="176" t="n"/>
      <c r="DK358" s="176" t="n"/>
      <c r="DL358" s="176" t="n"/>
      <c r="DM358" s="176" t="n"/>
      <c r="DN358" s="176" t="n"/>
      <c r="DO358" s="176" t="n"/>
      <c r="DP358" s="176" t="n"/>
      <c r="DQ358" s="176" t="n"/>
      <c r="DR358" s="176" t="n"/>
      <c r="DS358" s="176" t="n"/>
      <c r="DT358" s="176" t="n"/>
      <c r="DU358" s="176" t="n"/>
      <c r="DV358" s="176" t="n"/>
      <c r="DW358" s="176" t="n"/>
      <c r="DX358" s="176" t="n"/>
      <c r="DY358" s="176" t="n"/>
      <c r="DZ358" s="176" t="n"/>
      <c r="EA358" s="176" t="n"/>
      <c r="EB358" s="176" t="n"/>
      <c r="EC358" s="176" t="n"/>
      <c r="ED358" s="176" t="n"/>
      <c r="EE358" s="176" t="n"/>
      <c r="EF358" s="176" t="n"/>
      <c r="EG358" s="176" t="n"/>
      <c r="EH358" s="176" t="n"/>
      <c r="EI358" s="176" t="n"/>
      <c r="EJ358" s="176" t="n"/>
      <c r="EK358" s="176" t="n"/>
      <c r="EL358" s="176" t="n"/>
      <c r="EM358" s="176" t="n"/>
      <c r="EN358" s="176" t="n"/>
      <c r="EO358" s="176" t="n"/>
      <c r="EP358" s="176" t="n"/>
      <c r="EQ358" s="176" t="n"/>
      <c r="ER358" s="176" t="n"/>
      <c r="ES358" s="176" t="n"/>
      <c r="ET358" s="176" t="n"/>
      <c r="EU358" s="176" t="n"/>
      <c r="EV358" s="176" t="n"/>
      <c r="EW358" s="176" t="n"/>
      <c r="EX358" s="176" t="n"/>
      <c r="EY358" s="176" t="n"/>
      <c r="EZ358" s="176" t="n"/>
      <c r="FA358" s="176" t="n"/>
      <c r="FB358" s="176" t="n"/>
      <c r="FC358" s="176" t="n"/>
      <c r="FD358" s="176" t="n"/>
      <c r="FE358" s="176" t="n"/>
      <c r="FF358" s="176" t="n"/>
      <c r="FG358" s="176" t="n"/>
      <c r="FH358" s="176" t="n"/>
      <c r="FI358" s="176" t="n"/>
      <c r="FJ358" s="176" t="n"/>
      <c r="FK358" s="176" t="n"/>
      <c r="FL358" s="176" t="n"/>
      <c r="FM358" s="176" t="n"/>
      <c r="FN358" s="176" t="n"/>
      <c r="FO358" s="176" t="n"/>
      <c r="FP358" s="176" t="n"/>
      <c r="FQ358" s="176" t="n"/>
      <c r="FR358" s="176" t="n"/>
      <c r="FS358" s="176" t="n"/>
      <c r="FT358" s="176" t="n"/>
      <c r="FU358" s="176" t="n"/>
      <c r="FV358" s="176" t="n"/>
      <c r="FW358" s="176" t="n"/>
      <c r="FX358" s="176" t="n"/>
      <c r="FY358" s="176" t="n"/>
      <c r="FZ358" s="176" t="n"/>
      <c r="GA358" s="176" t="n"/>
      <c r="GB358" s="176" t="n"/>
      <c r="GC358" s="176" t="n"/>
      <c r="GD358" s="176" t="n"/>
      <c r="GE358" s="176" t="n"/>
      <c r="GF358" s="176" t="n"/>
      <c r="GG358" s="176" t="n"/>
      <c r="GH358" s="176" t="n"/>
      <c r="GI358" s="176" t="n"/>
      <c r="GJ358" s="176" t="n"/>
      <c r="GK358" s="176" t="n"/>
      <c r="GL358" s="176" t="n"/>
      <c r="GM358" s="176" t="n"/>
      <c r="GN358" s="176" t="n"/>
      <c r="GO358" s="176" t="n"/>
      <c r="GP358" s="176" t="n"/>
      <c r="GQ358" s="176" t="n"/>
      <c r="GR358" s="176" t="n"/>
      <c r="GS358" s="176" t="n"/>
      <c r="GT358" s="176" t="n"/>
      <c r="GU358" s="176" t="n"/>
      <c r="GV358" s="176" t="n"/>
      <c r="GW358" s="176" t="n"/>
      <c r="GX358" s="176" t="n"/>
      <c r="GY358" s="176" t="n"/>
      <c r="GZ358" s="176" t="n"/>
      <c r="HA358" s="176" t="n"/>
      <c r="HB358" s="176" t="n"/>
      <c r="HC358" s="176" t="n"/>
      <c r="HD358" s="176" t="n"/>
      <c r="HE358" s="176" t="n"/>
      <c r="HF358" s="176" t="n"/>
      <c r="HG358" s="176" t="n"/>
      <c r="HH358" s="176" t="n"/>
      <c r="HI358" s="176" t="n"/>
      <c r="HJ358" s="176" t="n"/>
      <c r="HK358" s="176" t="n"/>
      <c r="HL358" s="176" t="n"/>
      <c r="HM358" s="176" t="n"/>
      <c r="HN358" s="176" t="n"/>
      <c r="HO358" s="176" t="n"/>
      <c r="HP358" s="176" t="n"/>
      <c r="HQ358" s="176" t="n"/>
      <c r="HR358" s="176" t="n"/>
      <c r="HS358" s="176" t="n"/>
      <c r="HT358" s="176" t="n"/>
      <c r="HU358" s="176" t="n"/>
      <c r="HV358" s="176" t="n"/>
      <c r="HW358" s="176" t="n"/>
      <c r="HX358" s="176" t="n"/>
      <c r="HY358" s="176" t="n"/>
      <c r="HZ358" s="176" t="n"/>
      <c r="IA358" s="176" t="n"/>
      <c r="IB358" s="176" t="n"/>
      <c r="IC358" s="176" t="n"/>
      <c r="ID358" s="176" t="n"/>
    </row>
    <row r="359" ht="18.75" customHeight="1">
      <c r="A359" s="176" t="n"/>
      <c r="B359" s="176" t="n"/>
      <c r="C359" s="176" t="n"/>
      <c r="D359" s="176" t="n"/>
      <c r="E359" s="176" t="n"/>
      <c r="F359" s="176" t="n"/>
      <c r="G359" s="176" t="n"/>
      <c r="H359" s="176" t="n"/>
      <c r="I359" s="176" t="n"/>
      <c r="J359" s="176" t="n"/>
      <c r="K359" s="176" t="n"/>
      <c r="L359" s="176" t="n"/>
      <c r="M359" s="176" t="n"/>
      <c r="N359" s="176" t="n"/>
      <c r="O359" s="176" t="n"/>
      <c r="P359" s="176" t="n"/>
      <c r="Q359" s="176" t="n"/>
      <c r="R359" s="176" t="n"/>
      <c r="S359" s="176" t="n"/>
      <c r="T359" s="176" t="n"/>
      <c r="U359" s="176" t="n"/>
      <c r="V359" s="176" t="n"/>
      <c r="W359" s="176" t="n"/>
      <c r="X359" s="176" t="n"/>
      <c r="Y359" s="176" t="n"/>
      <c r="Z359" s="176" t="n"/>
      <c r="AA359" s="176" t="n"/>
      <c r="AB359" s="176" t="n"/>
      <c r="AC359" s="176" t="n"/>
      <c r="AD359" s="176" t="n"/>
      <c r="AE359" s="176" t="n"/>
      <c r="AF359" s="176" t="n"/>
      <c r="AG359" s="176" t="n"/>
      <c r="AH359" s="176" t="n"/>
      <c r="AI359" s="176" t="n"/>
      <c r="AJ359" s="176" t="n"/>
      <c r="AK359" s="176" t="n"/>
      <c r="AL359" s="176" t="n"/>
      <c r="AM359" s="176" t="n"/>
      <c r="AN359" s="176" t="n"/>
      <c r="AO359" s="176" t="n"/>
      <c r="AP359" s="176" t="n"/>
      <c r="AQ359" s="176" t="n"/>
      <c r="AR359" s="176" t="n"/>
      <c r="AS359" s="176" t="n"/>
      <c r="AT359" s="176" t="n"/>
      <c r="AU359" s="176" t="n"/>
      <c r="AV359" s="176" t="n"/>
      <c r="AW359" s="176" t="n"/>
      <c r="AX359" s="176" t="n"/>
      <c r="AY359" s="176" t="n"/>
      <c r="AZ359" s="176" t="n"/>
      <c r="BA359" s="176" t="n"/>
      <c r="BB359" s="176" t="n"/>
      <c r="BC359" s="176" t="n"/>
      <c r="BD359" s="176" t="n"/>
      <c r="BE359" s="176" t="n"/>
      <c r="BF359" s="176" t="n"/>
      <c r="BG359" s="176" t="n"/>
      <c r="BH359" s="176" t="n"/>
      <c r="BI359" s="176" t="n"/>
      <c r="BJ359" s="176" t="n"/>
      <c r="BK359" s="176" t="n"/>
      <c r="BL359" s="176" t="n"/>
      <c r="BM359" s="176" t="n"/>
      <c r="BN359" s="176" t="n"/>
      <c r="BO359" s="176" t="n"/>
      <c r="BP359" s="176" t="n"/>
      <c r="BQ359" s="176" t="n"/>
      <c r="BR359" s="176" t="n"/>
      <c r="BS359" s="176" t="n"/>
      <c r="BT359" s="176" t="n"/>
      <c r="BU359" s="176" t="n"/>
      <c r="BV359" s="176" t="n"/>
      <c r="BW359" s="176" t="n"/>
      <c r="BX359" s="176" t="n"/>
      <c r="BY359" s="176" t="n"/>
      <c r="BZ359" s="176" t="n"/>
      <c r="CA359" s="176" t="n"/>
      <c r="CB359" s="176" t="n"/>
      <c r="CC359" s="176" t="n"/>
      <c r="CD359" s="176" t="n"/>
      <c r="CE359" s="176" t="n"/>
      <c r="CF359" s="176" t="n"/>
      <c r="CG359" s="176" t="n"/>
      <c r="CH359" s="176" t="n"/>
      <c r="CI359" s="176" t="n"/>
      <c r="CJ359" s="176" t="n"/>
      <c r="CK359" s="176" t="n"/>
      <c r="CL359" s="176" t="n"/>
      <c r="CM359" s="176" t="n"/>
      <c r="CN359" s="176" t="n"/>
      <c r="CO359" s="176" t="n"/>
      <c r="CP359" s="176" t="n"/>
      <c r="CQ359" s="176" t="n"/>
      <c r="CR359" s="176" t="n"/>
      <c r="CS359" s="176" t="n"/>
      <c r="CT359" s="176" t="n"/>
      <c r="CU359" s="176" t="n"/>
      <c r="CV359" s="176" t="n"/>
      <c r="CW359" s="176" t="n"/>
      <c r="CX359" s="176" t="n"/>
      <c r="CY359" s="176" t="n"/>
      <c r="CZ359" s="176" t="n"/>
      <c r="DA359" s="181" t="inlineStr">
        <is>
          <t>REQUISITOS E REPETIÇÃO</t>
        </is>
      </c>
      <c r="DB359" s="182" t="n"/>
      <c r="DC359" s="182" t="n"/>
      <c r="DD359" s="182" t="n"/>
      <c r="DE359" s="182" t="n"/>
      <c r="DF359" s="183" t="n"/>
      <c r="DG359" s="176" t="n"/>
      <c r="DH359" s="176" t="n"/>
      <c r="DI359" s="181" t="inlineStr">
        <is>
          <t>REQUISITOS E REPETIÇÃO</t>
        </is>
      </c>
      <c r="DJ359" s="182" t="n"/>
      <c r="DK359" s="182" t="n"/>
      <c r="DL359" s="182" t="n"/>
      <c r="DM359" s="182" t="n"/>
      <c r="DN359" s="183" t="n"/>
      <c r="DO359" s="176" t="n"/>
      <c r="DP359" s="176" t="n"/>
      <c r="DQ359" s="176" t="n"/>
      <c r="DR359" s="176" t="n"/>
      <c r="DS359" s="176" t="n"/>
      <c r="DT359" s="176" t="n"/>
      <c r="DU359" s="176" t="n"/>
      <c r="DV359" s="176" t="n"/>
      <c r="DW359" s="176" t="n"/>
      <c r="DX359" s="176" t="n"/>
      <c r="DY359" s="176" t="n"/>
      <c r="DZ359" s="176" t="n"/>
      <c r="EA359" s="176" t="n"/>
      <c r="EB359" s="176" t="n"/>
      <c r="EC359" s="176" t="n"/>
      <c r="ED359" s="176" t="n"/>
      <c r="EE359" s="176" t="n"/>
      <c r="EF359" s="176" t="n"/>
      <c r="EG359" s="176" t="n"/>
      <c r="EH359" s="176" t="n"/>
      <c r="EI359" s="176" t="n"/>
      <c r="EJ359" s="176" t="n"/>
      <c r="EK359" s="176" t="n"/>
      <c r="EL359" s="176" t="n"/>
      <c r="EM359" s="176" t="n"/>
      <c r="EN359" s="176" t="n"/>
      <c r="EO359" s="176" t="n"/>
      <c r="EP359" s="176" t="n"/>
      <c r="EQ359" s="176" t="n"/>
      <c r="ER359" s="176" t="n"/>
      <c r="ES359" s="176" t="n"/>
      <c r="ET359" s="176" t="n"/>
      <c r="EU359" s="176" t="n"/>
      <c r="EV359" s="176" t="n"/>
      <c r="EW359" s="176" t="n"/>
      <c r="EX359" s="176" t="n"/>
      <c r="EY359" s="176" t="n"/>
      <c r="EZ359" s="176" t="n"/>
      <c r="FA359" s="176" t="n"/>
      <c r="FB359" s="176" t="n"/>
      <c r="FC359" s="176" t="n"/>
      <c r="FD359" s="176" t="n"/>
      <c r="FE359" s="176" t="n"/>
      <c r="FF359" s="176" t="n"/>
      <c r="FG359" s="176" t="n"/>
      <c r="FH359" s="176" t="n"/>
      <c r="FI359" s="176" t="n"/>
      <c r="FJ359" s="176" t="n"/>
      <c r="FK359" s="176" t="n"/>
      <c r="FL359" s="176" t="n"/>
      <c r="FM359" s="176" t="n"/>
      <c r="FN359" s="176" t="n"/>
      <c r="FO359" s="176" t="n"/>
      <c r="FP359" s="176" t="n"/>
      <c r="FQ359" s="176" t="n"/>
      <c r="FR359" s="176" t="n"/>
      <c r="FS359" s="176" t="n"/>
      <c r="FT359" s="176" t="n"/>
      <c r="FU359" s="176" t="n"/>
      <c r="FV359" s="176" t="n"/>
      <c r="FW359" s="176" t="n"/>
      <c r="FX359" s="176" t="n"/>
      <c r="FY359" s="176" t="n"/>
      <c r="FZ359" s="176" t="n"/>
      <c r="GA359" s="176" t="n"/>
      <c r="GB359" s="176" t="n"/>
      <c r="GC359" s="176" t="n"/>
      <c r="GD359" s="176" t="n"/>
      <c r="GE359" s="176" t="n"/>
      <c r="GF359" s="176" t="n"/>
      <c r="GG359" s="176" t="n"/>
      <c r="GH359" s="176" t="n"/>
      <c r="GI359" s="176" t="n"/>
      <c r="GJ359" s="176" t="n"/>
      <c r="GK359" s="176" t="n"/>
      <c r="GL359" s="176" t="n"/>
      <c r="GM359" s="176" t="n"/>
      <c r="GN359" s="176" t="n"/>
      <c r="GO359" s="176" t="n"/>
      <c r="GP359" s="176" t="n"/>
      <c r="GQ359" s="176" t="n"/>
      <c r="GR359" s="176" t="n"/>
      <c r="GS359" s="176" t="n"/>
      <c r="GT359" s="176" t="n"/>
      <c r="GU359" s="176" t="n"/>
      <c r="GV359" s="176" t="n"/>
      <c r="GW359" s="176" t="n"/>
      <c r="GX359" s="176" t="n"/>
      <c r="GY359" s="176" t="n"/>
      <c r="GZ359" s="176" t="n"/>
      <c r="HA359" s="176" t="n"/>
      <c r="HB359" s="176" t="n"/>
      <c r="HC359" s="176" t="n"/>
      <c r="HD359" s="176" t="n"/>
      <c r="HE359" s="176" t="n"/>
      <c r="HF359" s="176" t="n"/>
      <c r="HG359" s="176" t="n"/>
      <c r="HH359" s="176" t="n"/>
      <c r="HI359" s="176" t="n"/>
      <c r="HJ359" s="176" t="n"/>
      <c r="HK359" s="176" t="n"/>
      <c r="HL359" s="176" t="n"/>
      <c r="HM359" s="176" t="n"/>
      <c r="HN359" s="176" t="n"/>
      <c r="HO359" s="176" t="n"/>
      <c r="HP359" s="176" t="n"/>
      <c r="HQ359" s="176" t="n"/>
      <c r="HR359" s="176" t="n"/>
      <c r="HS359" s="176" t="n"/>
      <c r="HT359" s="176" t="n"/>
      <c r="HU359" s="176" t="n"/>
      <c r="HV359" s="176" t="n"/>
      <c r="HW359" s="176" t="n"/>
      <c r="HX359" s="176" t="n"/>
      <c r="HY359" s="176" t="n"/>
      <c r="HZ359" s="176" t="n"/>
      <c r="IA359" s="176" t="n"/>
      <c r="IB359" s="176" t="n"/>
      <c r="IC359" s="176" t="n"/>
      <c r="ID359" s="176" t="n"/>
    </row>
    <row r="360" ht="18.75" customHeight="1">
      <c r="A360" s="176" t="n"/>
      <c r="B360" s="176" t="n"/>
      <c r="C360" s="176" t="n"/>
      <c r="D360" s="176" t="n"/>
      <c r="E360" s="176" t="n"/>
      <c r="F360" s="176" t="n"/>
      <c r="G360" s="176" t="n"/>
      <c r="H360" s="176" t="n"/>
      <c r="I360" s="176" t="n"/>
      <c r="J360" s="176" t="n"/>
      <c r="K360" s="176" t="n"/>
      <c r="L360" s="176" t="n"/>
      <c r="M360" s="176" t="n"/>
      <c r="N360" s="176" t="n"/>
      <c r="O360" s="176" t="n"/>
      <c r="P360" s="176" t="n"/>
      <c r="Q360" s="176" t="n"/>
      <c r="R360" s="176" t="n"/>
      <c r="S360" s="176" t="n"/>
      <c r="T360" s="179" t="inlineStr">
        <is>
          <t>CARTÃO 25 · CUSTOM</t>
        </is>
      </c>
      <c r="Z360" s="176" t="n"/>
      <c r="AA360" s="176" t="n"/>
      <c r="AB360" s="176" t="n"/>
      <c r="AC360" s="176" t="n"/>
      <c r="AD360" s="176" t="n"/>
      <c r="AE360" s="176" t="n"/>
      <c r="AF360" s="176" t="n"/>
      <c r="AG360" s="176" t="n"/>
      <c r="AH360" s="176" t="n"/>
      <c r="AI360" s="176" t="n"/>
      <c r="AJ360" s="176" t="n"/>
      <c r="AK360" s="176" t="n"/>
      <c r="AL360" s="176" t="n"/>
      <c r="AM360" s="176" t="n"/>
      <c r="AN360" s="176" t="n"/>
      <c r="AO360" s="176" t="n"/>
      <c r="AP360" s="176" t="n"/>
      <c r="AQ360" s="176" t="n"/>
      <c r="AR360" s="176" t="n"/>
      <c r="AS360" s="176" t="n"/>
      <c r="AT360" s="176" t="n"/>
      <c r="AU360" s="176" t="n"/>
      <c r="AV360" s="176" t="n"/>
      <c r="AW360" s="176" t="n"/>
      <c r="AX360" s="176" t="n"/>
      <c r="AY360" s="176" t="n"/>
      <c r="AZ360" s="176" t="n"/>
      <c r="BA360" s="176" t="n"/>
      <c r="BB360" s="176" t="n"/>
      <c r="BC360" s="176" t="n"/>
      <c r="BD360" s="176" t="n"/>
      <c r="BE360" s="176" t="n"/>
      <c r="BF360" s="176" t="n"/>
      <c r="BG360" s="176" t="n"/>
      <c r="BH360" s="176" t="n"/>
      <c r="BI360" s="176" t="n"/>
      <c r="BJ360" s="176" t="n"/>
      <c r="BK360" s="176" t="n"/>
      <c r="BL360" s="176" t="n"/>
      <c r="BM360" s="176" t="n"/>
      <c r="BN360" s="176" t="n"/>
      <c r="BO360" s="176" t="n"/>
      <c r="BP360" s="176" t="n"/>
      <c r="BQ360" s="176" t="n"/>
      <c r="BR360" s="176" t="n"/>
      <c r="BS360" s="176" t="n"/>
      <c r="BT360" s="176" t="n"/>
      <c r="BU360" s="176" t="n"/>
      <c r="BV360" s="176" t="n"/>
      <c r="BW360" s="176" t="n"/>
      <c r="BX360" s="176" t="n"/>
      <c r="BY360" s="176" t="n"/>
      <c r="BZ360" s="176" t="n"/>
      <c r="CA360" s="176" t="n"/>
      <c r="CB360" s="176" t="n"/>
      <c r="CC360" s="176" t="n"/>
      <c r="CD360" s="176" t="n"/>
      <c r="CE360" s="176" t="n"/>
      <c r="CF360" s="176" t="n"/>
      <c r="CG360" s="176" t="n"/>
      <c r="CH360" s="176" t="n"/>
      <c r="CI360" s="176" t="n"/>
      <c r="CJ360" s="176" t="n"/>
      <c r="CK360" s="176" t="n"/>
      <c r="CL360" s="176" t="n"/>
      <c r="CM360" s="176" t="n"/>
      <c r="CN360" s="176" t="n"/>
      <c r="CO360" s="176" t="n"/>
      <c r="CP360" s="176" t="n"/>
      <c r="CQ360" s="176" t="n"/>
      <c r="CR360" s="176" t="n"/>
      <c r="CS360" s="176" t="n"/>
      <c r="CT360" s="176" t="n"/>
      <c r="CU360" s="176" t="n"/>
      <c r="CV360" s="176" t="n"/>
      <c r="CW360" s="176" t="n"/>
      <c r="CX360" s="176" t="n"/>
      <c r="CY360" s="176" t="n"/>
      <c r="CZ360" s="176" t="n"/>
      <c r="DA360" s="192" t="n"/>
      <c r="DB360" s="187" t="n"/>
      <c r="DC360" s="187" t="n"/>
      <c r="DD360" s="187" t="n"/>
      <c r="DE360" s="187" t="n"/>
      <c r="DF360" s="188" t="n"/>
      <c r="DG360" s="176" t="n"/>
      <c r="DH360" s="176" t="n"/>
      <c r="DI360" s="192" t="n"/>
      <c r="DJ360" s="187" t="n"/>
      <c r="DK360" s="187" t="n"/>
      <c r="DL360" s="187" t="n"/>
      <c r="DM360" s="187" t="n"/>
      <c r="DN360" s="188" t="n"/>
      <c r="DO360" s="176" t="n"/>
      <c r="DP360" s="176" t="n"/>
      <c r="DQ360" s="176" t="n"/>
      <c r="DR360" s="176" t="n"/>
      <c r="DS360" s="176" t="n"/>
      <c r="DT360" s="176" t="n"/>
      <c r="DU360" s="176" t="n"/>
      <c r="DV360" s="176" t="n"/>
      <c r="DW360" s="176" t="n"/>
      <c r="DX360" s="176" t="n"/>
      <c r="DY360" s="176" t="n"/>
      <c r="DZ360" s="176" t="n"/>
      <c r="EA360" s="176" t="n"/>
      <c r="EB360" s="176" t="n"/>
      <c r="EC360" s="176" t="n"/>
      <c r="ED360" s="176" t="n"/>
      <c r="EE360" s="176" t="n"/>
      <c r="EF360" s="176" t="n"/>
      <c r="EG360" s="176" t="n"/>
      <c r="EH360" s="176" t="n"/>
      <c r="EI360" s="176" t="n"/>
      <c r="EJ360" s="176" t="n"/>
      <c r="EK360" s="176" t="n"/>
      <c r="EL360" s="176" t="n"/>
      <c r="EM360" s="176" t="n"/>
      <c r="EN360" s="176" t="n"/>
      <c r="EO360" s="176" t="n"/>
      <c r="EP360" s="176" t="n"/>
      <c r="EQ360" s="176" t="n"/>
      <c r="ER360" s="176" t="n"/>
      <c r="ES360" s="176" t="n"/>
      <c r="ET360" s="176" t="n"/>
      <c r="EU360" s="176" t="n"/>
      <c r="EV360" s="176" t="n"/>
      <c r="EW360" s="176" t="n"/>
      <c r="EX360" s="176" t="n"/>
      <c r="EY360" s="176" t="n"/>
      <c r="EZ360" s="176" t="n"/>
      <c r="FA360" s="176" t="n"/>
      <c r="FB360" s="176" t="n"/>
      <c r="FC360" s="176" t="n"/>
      <c r="FD360" s="176" t="n"/>
      <c r="FE360" s="176" t="n"/>
      <c r="FF360" s="176" t="n"/>
      <c r="FG360" s="176" t="n"/>
      <c r="FH360" s="176" t="n"/>
      <c r="FI360" s="176" t="n"/>
      <c r="FJ360" s="176" t="n"/>
      <c r="FK360" s="176" t="n"/>
      <c r="FL360" s="176" t="n"/>
      <c r="FM360" s="176" t="n"/>
      <c r="FN360" s="176" t="n"/>
      <c r="FO360" s="176" t="n"/>
      <c r="FP360" s="176" t="n"/>
      <c r="FQ360" s="176" t="n"/>
      <c r="FR360" s="176" t="n"/>
      <c r="FS360" s="176" t="n"/>
      <c r="FT360" s="176" t="n"/>
      <c r="FU360" s="176" t="n"/>
      <c r="FV360" s="176" t="n"/>
      <c r="FW360" s="176" t="n"/>
      <c r="FX360" s="176" t="n"/>
      <c r="FY360" s="176" t="n"/>
      <c r="FZ360" s="176" t="n"/>
      <c r="GA360" s="176" t="n"/>
      <c r="GB360" s="176" t="n"/>
      <c r="GC360" s="176" t="n"/>
      <c r="GD360" s="176" t="n"/>
      <c r="GE360" s="176" t="n"/>
      <c r="GF360" s="176" t="n"/>
      <c r="GG360" s="176" t="n"/>
      <c r="GH360" s="176" t="n"/>
      <c r="GI360" s="176" t="n"/>
      <c r="GJ360" s="176" t="n"/>
      <c r="GK360" s="176" t="n"/>
      <c r="GL360" s="176" t="n"/>
      <c r="GM360" s="176" t="n"/>
      <c r="GN360" s="176" t="n"/>
      <c r="GO360" s="176" t="n"/>
      <c r="GP360" s="176" t="n"/>
      <c r="GQ360" s="176" t="n"/>
      <c r="GR360" s="176" t="n"/>
      <c r="GS360" s="176" t="n"/>
      <c r="GT360" s="176" t="n"/>
      <c r="GU360" s="176" t="n"/>
      <c r="GV360" s="176" t="n"/>
      <c r="GW360" s="176" t="n"/>
      <c r="GX360" s="176" t="n"/>
      <c r="GY360" s="176" t="n"/>
      <c r="GZ360" s="176" t="n"/>
      <c r="HA360" s="176" t="n"/>
      <c r="HB360" s="176" t="n"/>
      <c r="HC360" s="176" t="n"/>
      <c r="HD360" s="176" t="n"/>
      <c r="HE360" s="176" t="n"/>
      <c r="HF360" s="176" t="n"/>
      <c r="HG360" s="176" t="n"/>
      <c r="HH360" s="176" t="n"/>
      <c r="HI360" s="176" t="n"/>
      <c r="HJ360" s="176" t="n"/>
      <c r="HK360" s="176" t="n"/>
      <c r="HL360" s="176" t="n"/>
      <c r="HM360" s="176" t="n"/>
      <c r="HN360" s="176" t="n"/>
      <c r="HO360" s="176" t="n"/>
      <c r="HP360" s="176" t="n"/>
      <c r="HQ360" s="176" t="n"/>
      <c r="HR360" s="176" t="n"/>
      <c r="HS360" s="176" t="n"/>
      <c r="HT360" s="176" t="n"/>
      <c r="HU360" s="176" t="n"/>
      <c r="HV360" s="176" t="n"/>
      <c r="HW360" s="176" t="n"/>
      <c r="HX360" s="176" t="n"/>
      <c r="HY360" s="176" t="n"/>
      <c r="HZ360" s="176" t="n"/>
      <c r="IA360" s="176" t="n"/>
      <c r="IB360" s="176" t="n"/>
      <c r="IC360" s="176" t="n"/>
      <c r="ID360" s="176" t="n"/>
    </row>
    <row r="361" ht="18.75" customHeight="1">
      <c r="A361" s="176" t="n"/>
      <c r="B361" s="176" t="n"/>
      <c r="C361" s="176" t="n"/>
      <c r="D361" s="176" t="n"/>
      <c r="E361" s="176" t="n"/>
      <c r="F361" s="176" t="n"/>
      <c r="G361" s="176" t="n"/>
      <c r="H361" s="176" t="n"/>
      <c r="I361" s="176" t="n"/>
      <c r="J361" s="176" t="n"/>
      <c r="K361" s="176" t="n"/>
      <c r="L361" s="176" t="n"/>
      <c r="M361" s="176" t="n"/>
      <c r="N361" s="176" t="n"/>
      <c r="O361" s="176" t="n"/>
      <c r="P361" s="176" t="n"/>
      <c r="Q361" s="176" t="n"/>
      <c r="R361" s="176" t="n"/>
      <c r="S361" s="176" t="n"/>
      <c r="T361" s="181" t="inlineStr">
        <is>
          <t>TIPO</t>
        </is>
      </c>
      <c r="U361" s="182" t="n"/>
      <c r="V361" s="182" t="n"/>
      <c r="W361" s="183" t="n"/>
      <c r="X361" s="181" t="inlineStr">
        <is>
          <t>MESTRE VIU</t>
        </is>
      </c>
      <c r="Y361" s="183" t="n"/>
      <c r="Z361" s="176" t="n"/>
      <c r="AA361" s="176" t="n"/>
      <c r="AB361" s="176" t="n"/>
      <c r="AC361" s="176" t="n"/>
      <c r="AD361" s="176" t="n"/>
      <c r="AE361" s="176" t="n"/>
      <c r="AF361" s="176" t="n"/>
      <c r="AG361" s="176" t="n"/>
      <c r="AH361" s="176" t="n"/>
      <c r="AI361" s="176" t="n"/>
      <c r="AJ361" s="176" t="n"/>
      <c r="AK361" s="176" t="n"/>
      <c r="AL361" s="176" t="n"/>
      <c r="AM361" s="176" t="n"/>
      <c r="AN361" s="176" t="n"/>
      <c r="AO361" s="176" t="n"/>
      <c r="AP361" s="176" t="n"/>
      <c r="AQ361" s="176" t="n"/>
      <c r="AR361" s="176" t="n"/>
      <c r="AS361" s="176" t="n"/>
      <c r="AT361" s="176" t="n"/>
      <c r="AU361" s="176" t="n"/>
      <c r="AV361" s="176" t="n"/>
      <c r="AW361" s="176" t="n"/>
      <c r="AX361" s="176" t="n"/>
      <c r="AY361" s="176" t="n"/>
      <c r="AZ361" s="176" t="n"/>
      <c r="BA361" s="176" t="n"/>
      <c r="BB361" s="176" t="n"/>
      <c r="BC361" s="176" t="n"/>
      <c r="BD361" s="176" t="n"/>
      <c r="BE361" s="176" t="n"/>
      <c r="BF361" s="176" t="n"/>
      <c r="BG361" s="176" t="n"/>
      <c r="BH361" s="176" t="n"/>
      <c r="BI361" s="176" t="n"/>
      <c r="BJ361" s="176" t="n"/>
      <c r="BK361" s="176" t="n"/>
      <c r="BL361" s="176" t="n"/>
      <c r="BM361" s="176" t="n"/>
      <c r="BN361" s="176" t="n"/>
      <c r="BO361" s="176" t="n"/>
      <c r="BP361" s="176" t="n"/>
      <c r="BQ361" s="176" t="n"/>
      <c r="BR361" s="176" t="n"/>
      <c r="BS361" s="176" t="n"/>
      <c r="BT361" s="176" t="n"/>
      <c r="BU361" s="176" t="n"/>
      <c r="BV361" s="176" t="n"/>
      <c r="BW361" s="176" t="n"/>
      <c r="BX361" s="176" t="n"/>
      <c r="BY361" s="176" t="n"/>
      <c r="BZ361" s="176" t="n"/>
      <c r="CA361" s="176" t="n"/>
      <c r="CB361" s="176" t="n"/>
      <c r="CC361" s="176" t="n"/>
      <c r="CD361" s="176" t="n"/>
      <c r="CE361" s="176" t="n"/>
      <c r="CF361" s="176" t="n"/>
      <c r="CG361" s="176" t="n"/>
      <c r="CH361" s="176" t="n"/>
      <c r="CI361" s="176" t="n"/>
      <c r="CJ361" s="176" t="n"/>
      <c r="CK361" s="176" t="n"/>
      <c r="CL361" s="176" t="n"/>
      <c r="CM361" s="176" t="n"/>
      <c r="CN361" s="176" t="n"/>
      <c r="CO361" s="176" t="n"/>
      <c r="CP361" s="176" t="n"/>
      <c r="CQ361" s="176" t="n"/>
      <c r="CR361" s="176" t="n"/>
      <c r="CS361" s="176" t="n"/>
      <c r="CT361" s="176" t="n"/>
      <c r="CU361" s="176" t="n"/>
      <c r="CV361" s="176" t="n"/>
      <c r="CW361" s="176" t="n"/>
      <c r="CX361" s="176" t="n"/>
      <c r="CY361" s="176" t="n"/>
      <c r="CZ361" s="176" t="n"/>
      <c r="DA361" s="193" t="n"/>
      <c r="DF361" s="194" t="n"/>
      <c r="DG361" s="176" t="n"/>
      <c r="DH361" s="176" t="n"/>
      <c r="DI361" s="193" t="n"/>
      <c r="DN361" s="194" t="n"/>
      <c r="DO361" s="176" t="n"/>
      <c r="DP361" s="176" t="n"/>
      <c r="DQ361" s="176" t="n"/>
      <c r="DR361" s="176" t="n"/>
      <c r="DS361" s="176" t="n"/>
      <c r="DT361" s="176" t="n"/>
      <c r="DU361" s="176" t="n"/>
      <c r="DV361" s="176" t="n"/>
      <c r="DW361" s="176" t="n"/>
      <c r="DX361" s="176" t="n"/>
      <c r="DY361" s="176" t="n"/>
      <c r="DZ361" s="176" t="n"/>
      <c r="EA361" s="176" t="n"/>
      <c r="EB361" s="176" t="n"/>
      <c r="EC361" s="176" t="n"/>
      <c r="ED361" s="176" t="n"/>
      <c r="EE361" s="176" t="n"/>
      <c r="EF361" s="176" t="n"/>
      <c r="EG361" s="176" t="n"/>
      <c r="EH361" s="176" t="n"/>
      <c r="EI361" s="176" t="n"/>
      <c r="EJ361" s="176" t="n"/>
      <c r="EK361" s="176" t="n"/>
      <c r="EL361" s="176" t="n"/>
      <c r="EM361" s="176" t="n"/>
      <c r="EN361" s="176" t="n"/>
      <c r="EO361" s="176" t="n"/>
      <c r="EP361" s="176" t="n"/>
      <c r="EQ361" s="176" t="n"/>
      <c r="ER361" s="176" t="n"/>
      <c r="ES361" s="176" t="n"/>
      <c r="ET361" s="176" t="n"/>
      <c r="EU361" s="176" t="n"/>
      <c r="EV361" s="176" t="n"/>
      <c r="EW361" s="176" t="n"/>
      <c r="EX361" s="176" t="n"/>
      <c r="EY361" s="176" t="n"/>
      <c r="EZ361" s="176" t="n"/>
      <c r="FA361" s="176" t="n"/>
      <c r="FB361" s="176" t="n"/>
      <c r="FC361" s="176" t="n"/>
      <c r="FD361" s="176" t="n"/>
      <c r="FE361" s="176" t="n"/>
      <c r="FF361" s="176" t="n"/>
      <c r="FG361" s="176" t="n"/>
      <c r="FH361" s="176" t="n"/>
      <c r="FI361" s="176" t="n"/>
      <c r="FJ361" s="176" t="n"/>
      <c r="FK361" s="176" t="n"/>
      <c r="FL361" s="176" t="n"/>
      <c r="FM361" s="176" t="n"/>
      <c r="FN361" s="176" t="n"/>
      <c r="FO361" s="176" t="n"/>
      <c r="FP361" s="176" t="n"/>
      <c r="FQ361" s="176" t="n"/>
      <c r="FR361" s="176" t="n"/>
      <c r="FS361" s="176" t="n"/>
      <c r="FT361" s="176" t="n"/>
      <c r="FU361" s="176" t="n"/>
      <c r="FV361" s="176" t="n"/>
      <c r="FW361" s="176" t="n"/>
      <c r="FX361" s="176" t="n"/>
      <c r="FY361" s="176" t="n"/>
      <c r="FZ361" s="176" t="n"/>
      <c r="GA361" s="176" t="n"/>
      <c r="GB361" s="176" t="n"/>
      <c r="GC361" s="176" t="n"/>
      <c r="GD361" s="176" t="n"/>
      <c r="GE361" s="176" t="n"/>
      <c r="GF361" s="176" t="n"/>
      <c r="GG361" s="176" t="n"/>
      <c r="GH361" s="176" t="n"/>
      <c r="GI361" s="176" t="n"/>
      <c r="GJ361" s="176" t="n"/>
      <c r="GK361" s="176" t="n"/>
      <c r="GL361" s="176" t="n"/>
      <c r="GM361" s="176" t="n"/>
      <c r="GN361" s="176" t="n"/>
      <c r="GO361" s="176" t="n"/>
      <c r="GP361" s="176" t="n"/>
      <c r="GQ361" s="176" t="n"/>
      <c r="GR361" s="176" t="n"/>
      <c r="GS361" s="176" t="n"/>
      <c r="GT361" s="176" t="n"/>
      <c r="GU361" s="176" t="n"/>
      <c r="GV361" s="176" t="n"/>
      <c r="GW361" s="176" t="n"/>
      <c r="GX361" s="176" t="n"/>
      <c r="GY361" s="176" t="n"/>
      <c r="GZ361" s="176" t="n"/>
      <c r="HA361" s="176" t="n"/>
      <c r="HB361" s="176" t="n"/>
      <c r="HC361" s="176" t="n"/>
      <c r="HD361" s="176" t="n"/>
      <c r="HE361" s="176" t="n"/>
      <c r="HF361" s="176" t="n"/>
      <c r="HG361" s="176" t="n"/>
      <c r="HH361" s="176" t="n"/>
      <c r="HI361" s="176" t="n"/>
      <c r="HJ361" s="176" t="n"/>
      <c r="HK361" s="176" t="n"/>
      <c r="HL361" s="176" t="n"/>
      <c r="HM361" s="176" t="n"/>
      <c r="HN361" s="176" t="n"/>
      <c r="HO361" s="176" t="n"/>
      <c r="HP361" s="176" t="n"/>
      <c r="HQ361" s="176" t="n"/>
      <c r="HR361" s="176" t="n"/>
      <c r="HS361" s="176" t="n"/>
      <c r="HT361" s="176" t="n"/>
      <c r="HU361" s="176" t="n"/>
      <c r="HV361" s="176" t="n"/>
      <c r="HW361" s="176" t="n"/>
      <c r="HX361" s="176" t="n"/>
      <c r="HY361" s="176" t="n"/>
      <c r="HZ361" s="176" t="n"/>
      <c r="IA361" s="176" t="n"/>
      <c r="IB361" s="176" t="n"/>
      <c r="IC361" s="176" t="n"/>
      <c r="ID361" s="176" t="n"/>
    </row>
    <row r="362" ht="18.75" customHeight="1">
      <c r="A362" s="176" t="n"/>
      <c r="B362" s="176" t="n"/>
      <c r="C362" s="176" t="n"/>
      <c r="D362" s="176" t="n"/>
      <c r="E362" s="176" t="n"/>
      <c r="F362" s="176" t="n"/>
      <c r="G362" s="176" t="n"/>
      <c r="H362" s="176" t="n"/>
      <c r="I362" s="176" t="n"/>
      <c r="J362" s="176" t="n"/>
      <c r="K362" s="176" t="n"/>
      <c r="L362" s="176" t="n"/>
      <c r="M362" s="176" t="n"/>
      <c r="N362" s="176" t="n"/>
      <c r="O362" s="176" t="n"/>
      <c r="P362" s="176" t="n"/>
      <c r="Q362" s="176" t="n"/>
      <c r="R362" s="176" t="n"/>
      <c r="S362" s="176" t="n"/>
      <c r="T362" s="185" t="n"/>
      <c r="U362" s="182" t="n"/>
      <c r="V362" s="182" t="n"/>
      <c r="W362" s="183" t="n"/>
      <c r="X362" s="184" t="b">
        <v>0</v>
      </c>
      <c r="Y362" s="183" t="n"/>
      <c r="Z362" s="176" t="n"/>
      <c r="AA362" s="176" t="n"/>
      <c r="AB362" s="176" t="n"/>
      <c r="AC362" s="176" t="n"/>
      <c r="AD362" s="176" t="n"/>
      <c r="AE362" s="176" t="n"/>
      <c r="AF362" s="176" t="n"/>
      <c r="AG362" s="176" t="n"/>
      <c r="AH362" s="176" t="n"/>
      <c r="AI362" s="176" t="n"/>
      <c r="AJ362" s="176" t="n"/>
      <c r="AK362" s="176" t="n"/>
      <c r="AL362" s="176" t="n"/>
      <c r="AM362" s="176" t="n"/>
      <c r="AN362" s="176" t="n"/>
      <c r="AO362" s="176" t="n"/>
      <c r="AP362" s="176" t="n"/>
      <c r="AQ362" s="176" t="n"/>
      <c r="AR362" s="176" t="n"/>
      <c r="AS362" s="176" t="n"/>
      <c r="AT362" s="176" t="n"/>
      <c r="AU362" s="176" t="n"/>
      <c r="AV362" s="176" t="n"/>
      <c r="AW362" s="176" t="n"/>
      <c r="AX362" s="176" t="n"/>
      <c r="AY362" s="176" t="n"/>
      <c r="AZ362" s="176" t="n"/>
      <c r="BA362" s="176" t="n"/>
      <c r="BB362" s="176" t="n"/>
      <c r="BC362" s="176" t="n"/>
      <c r="BD362" s="176" t="n"/>
      <c r="BE362" s="176" t="n"/>
      <c r="BF362" s="176" t="n"/>
      <c r="BG362" s="176" t="n"/>
      <c r="BH362" s="176" t="n"/>
      <c r="BI362" s="176" t="n"/>
      <c r="BJ362" s="176" t="n"/>
      <c r="BK362" s="176" t="n"/>
      <c r="BL362" s="176" t="n"/>
      <c r="BM362" s="176" t="n"/>
      <c r="BN362" s="176" t="n"/>
      <c r="BO362" s="176" t="n"/>
      <c r="BP362" s="176" t="n"/>
      <c r="BQ362" s="176" t="n"/>
      <c r="BR362" s="176" t="n"/>
      <c r="BS362" s="176" t="n"/>
      <c r="BT362" s="176" t="n"/>
      <c r="BU362" s="176" t="n"/>
      <c r="BV362" s="176" t="n"/>
      <c r="BW362" s="176" t="n"/>
      <c r="BX362" s="176" t="n"/>
      <c r="BY362" s="176" t="n"/>
      <c r="BZ362" s="176" t="n"/>
      <c r="CA362" s="176" t="n"/>
      <c r="CB362" s="176" t="n"/>
      <c r="CC362" s="176" t="n"/>
      <c r="CD362" s="176" t="n"/>
      <c r="CE362" s="176" t="n"/>
      <c r="CF362" s="176" t="n"/>
      <c r="CG362" s="176" t="n"/>
      <c r="CH362" s="176" t="n"/>
      <c r="CI362" s="176" t="n"/>
      <c r="CJ362" s="176" t="n"/>
      <c r="CK362" s="176" t="n"/>
      <c r="CL362" s="176" t="n"/>
      <c r="CM362" s="176" t="n"/>
      <c r="CN362" s="176" t="n"/>
      <c r="CO362" s="176" t="n"/>
      <c r="CP362" s="176" t="n"/>
      <c r="CQ362" s="176" t="n"/>
      <c r="CR362" s="176" t="n"/>
      <c r="CS362" s="176" t="n"/>
      <c r="CT362" s="176" t="n"/>
      <c r="CU362" s="176" t="n"/>
      <c r="CV362" s="176" t="n"/>
      <c r="CW362" s="176" t="n"/>
      <c r="CX362" s="176" t="n"/>
      <c r="CY362" s="176" t="n"/>
      <c r="CZ362" s="176" t="n"/>
      <c r="DA362" s="193" t="n"/>
      <c r="DF362" s="194" t="n"/>
      <c r="DG362" s="176" t="n"/>
      <c r="DH362" s="176" t="n"/>
      <c r="DI362" s="193" t="n"/>
      <c r="DN362" s="194" t="n"/>
      <c r="DO362" s="176" t="n"/>
      <c r="DP362" s="176" t="n"/>
      <c r="DQ362" s="176" t="n"/>
      <c r="DR362" s="176" t="n"/>
      <c r="DS362" s="176" t="n"/>
      <c r="DT362" s="176" t="n"/>
      <c r="DU362" s="176" t="n"/>
      <c r="DV362" s="176" t="n"/>
      <c r="DW362" s="176" t="n"/>
      <c r="DX362" s="176" t="n"/>
      <c r="DY362" s="176" t="n"/>
      <c r="DZ362" s="176" t="n"/>
      <c r="EA362" s="176" t="n"/>
      <c r="EB362" s="176" t="n"/>
      <c r="EC362" s="176" t="n"/>
      <c r="ED362" s="176" t="n"/>
      <c r="EE362" s="176" t="n"/>
      <c r="EF362" s="176" t="n"/>
      <c r="EG362" s="176" t="n"/>
      <c r="EH362" s="176" t="n"/>
      <c r="EI362" s="176" t="n"/>
      <c r="EJ362" s="176" t="n"/>
      <c r="EK362" s="176" t="n"/>
      <c r="EL362" s="176" t="n"/>
      <c r="EM362" s="176" t="n"/>
      <c r="EN362" s="176" t="n"/>
      <c r="EO362" s="176" t="n"/>
      <c r="EP362" s="176" t="n"/>
      <c r="EQ362" s="176" t="n"/>
      <c r="ER362" s="176" t="n"/>
      <c r="ES362" s="176" t="n"/>
      <c r="ET362" s="176" t="n"/>
      <c r="EU362" s="176" t="n"/>
      <c r="EV362" s="176" t="n"/>
      <c r="EW362" s="176" t="n"/>
      <c r="EX362" s="176" t="n"/>
      <c r="EY362" s="176" t="n"/>
      <c r="EZ362" s="176" t="n"/>
      <c r="FA362" s="176" t="n"/>
      <c r="FB362" s="176" t="n"/>
      <c r="FC362" s="176" t="n"/>
      <c r="FD362" s="176" t="n"/>
      <c r="FE362" s="176" t="n"/>
      <c r="FF362" s="176" t="n"/>
      <c r="FG362" s="176" t="n"/>
      <c r="FH362" s="176" t="n"/>
      <c r="FI362" s="176" t="n"/>
      <c r="FJ362" s="176" t="n"/>
      <c r="FK362" s="176" t="n"/>
      <c r="FL362" s="176" t="n"/>
      <c r="FM362" s="176" t="n"/>
      <c r="FN362" s="176" t="n"/>
      <c r="FO362" s="176" t="n"/>
      <c r="FP362" s="176" t="n"/>
      <c r="FQ362" s="176" t="n"/>
      <c r="FR362" s="176" t="n"/>
      <c r="FS362" s="176" t="n"/>
      <c r="FT362" s="176" t="n"/>
      <c r="FU362" s="176" t="n"/>
      <c r="FV362" s="176" t="n"/>
      <c r="FW362" s="176" t="n"/>
      <c r="FX362" s="176" t="n"/>
      <c r="FY362" s="176" t="n"/>
      <c r="FZ362" s="176" t="n"/>
      <c r="GA362" s="176" t="n"/>
      <c r="GB362" s="176" t="n"/>
      <c r="GC362" s="176" t="n"/>
      <c r="GD362" s="176" t="n"/>
      <c r="GE362" s="176" t="n"/>
      <c r="GF362" s="176" t="n"/>
      <c r="GG362" s="176" t="n"/>
      <c r="GH362" s="176" t="n"/>
      <c r="GI362" s="176" t="n"/>
      <c r="GJ362" s="176" t="n"/>
      <c r="GK362" s="176" t="n"/>
      <c r="GL362" s="176" t="n"/>
      <c r="GM362" s="176" t="n"/>
      <c r="GN362" s="176" t="n"/>
      <c r="GO362" s="176" t="n"/>
      <c r="GP362" s="176" t="n"/>
      <c r="GQ362" s="176" t="n"/>
      <c r="GR362" s="176" t="n"/>
      <c r="GS362" s="176" t="n"/>
      <c r="GT362" s="176" t="n"/>
      <c r="GU362" s="176" t="n"/>
      <c r="GV362" s="176" t="n"/>
      <c r="GW362" s="176" t="n"/>
      <c r="GX362" s="176" t="n"/>
      <c r="GY362" s="176" t="n"/>
      <c r="GZ362" s="176" t="n"/>
      <c r="HA362" s="176" t="n"/>
      <c r="HB362" s="176" t="n"/>
      <c r="HC362" s="176" t="n"/>
      <c r="HD362" s="176" t="n"/>
      <c r="HE362" s="176" t="n"/>
      <c r="HF362" s="176" t="n"/>
      <c r="HG362" s="176" t="n"/>
      <c r="HH362" s="176" t="n"/>
      <c r="HI362" s="176" t="n"/>
      <c r="HJ362" s="176" t="n"/>
      <c r="HK362" s="176" t="n"/>
      <c r="HL362" s="176" t="n"/>
      <c r="HM362" s="176" t="n"/>
      <c r="HN362" s="176" t="n"/>
      <c r="HO362" s="176" t="n"/>
      <c r="HP362" s="176" t="n"/>
      <c r="HQ362" s="176" t="n"/>
      <c r="HR362" s="176" t="n"/>
      <c r="HS362" s="176" t="n"/>
      <c r="HT362" s="176" t="n"/>
      <c r="HU362" s="176" t="n"/>
      <c r="HV362" s="176" t="n"/>
      <c r="HW362" s="176" t="n"/>
      <c r="HX362" s="176" t="n"/>
      <c r="HY362" s="176" t="n"/>
      <c r="HZ362" s="176" t="n"/>
      <c r="IA362" s="176" t="n"/>
      <c r="IB362" s="176" t="n"/>
      <c r="IC362" s="176" t="n"/>
      <c r="ID362" s="176" t="n"/>
    </row>
    <row r="363" ht="18.75" customHeight="1">
      <c r="A363" s="176" t="n"/>
      <c r="B363" s="176" t="n"/>
      <c r="C363" s="176" t="n"/>
      <c r="D363" s="176" t="n"/>
      <c r="E363" s="176" t="n"/>
      <c r="F363" s="176" t="n"/>
      <c r="G363" s="176" t="n"/>
      <c r="H363" s="176" t="n"/>
      <c r="I363" s="176" t="n"/>
      <c r="J363" s="176" t="n"/>
      <c r="K363" s="176" t="n"/>
      <c r="L363" s="176" t="n"/>
      <c r="M363" s="176" t="n"/>
      <c r="N363" s="176" t="n"/>
      <c r="O363" s="176" t="n"/>
      <c r="P363" s="176" t="n"/>
      <c r="Q363" s="176" t="n"/>
      <c r="R363" s="176" t="n"/>
      <c r="S363" s="176" t="n"/>
      <c r="T363" s="181" t="inlineStr">
        <is>
          <t>NOME</t>
        </is>
      </c>
      <c r="U363" s="182" t="n"/>
      <c r="V363" s="182" t="n"/>
      <c r="W363" s="182" t="n"/>
      <c r="X363" s="182" t="n"/>
      <c r="Y363" s="183" t="n"/>
      <c r="Z363" s="176" t="n"/>
      <c r="AA363" s="176" t="n"/>
      <c r="AB363" s="176" t="n"/>
      <c r="AC363" s="176" t="n"/>
      <c r="AD363" s="176" t="n"/>
      <c r="AE363" s="176" t="n"/>
      <c r="AF363" s="176" t="n"/>
      <c r="AG363" s="176" t="n"/>
      <c r="AH363" s="176" t="n"/>
      <c r="AI363" s="176" t="n"/>
      <c r="AJ363" s="176" t="n"/>
      <c r="AK363" s="176" t="n"/>
      <c r="AL363" s="176" t="n"/>
      <c r="AM363" s="176" t="n"/>
      <c r="AN363" s="176" t="n"/>
      <c r="AO363" s="176" t="n"/>
      <c r="AP363" s="176" t="n"/>
      <c r="AQ363" s="176" t="n"/>
      <c r="AR363" s="176" t="n"/>
      <c r="AS363" s="176" t="n"/>
      <c r="AT363" s="176" t="n"/>
      <c r="AU363" s="176" t="n"/>
      <c r="AV363" s="176" t="n"/>
      <c r="AW363" s="176" t="n"/>
      <c r="AX363" s="176" t="n"/>
      <c r="AY363" s="176" t="n"/>
      <c r="AZ363" s="176" t="n"/>
      <c r="BA363" s="176" t="n"/>
      <c r="BB363" s="176" t="n"/>
      <c r="BC363" s="176" t="n"/>
      <c r="BD363" s="176" t="n"/>
      <c r="BE363" s="176" t="n"/>
      <c r="BF363" s="176" t="n"/>
      <c r="BG363" s="176" t="n"/>
      <c r="BH363" s="176" t="n"/>
      <c r="BI363" s="176" t="n"/>
      <c r="BJ363" s="176" t="n"/>
      <c r="BK363" s="176" t="n"/>
      <c r="BL363" s="176" t="n"/>
      <c r="BM363" s="176" t="n"/>
      <c r="BN363" s="176" t="n"/>
      <c r="BO363" s="176" t="n"/>
      <c r="BP363" s="176" t="n"/>
      <c r="BQ363" s="176" t="n"/>
      <c r="BR363" s="176" t="n"/>
      <c r="BS363" s="176" t="n"/>
      <c r="BT363" s="176" t="n"/>
      <c r="BU363" s="176" t="n"/>
      <c r="BV363" s="176" t="n"/>
      <c r="BW363" s="176" t="n"/>
      <c r="BX363" s="176" t="n"/>
      <c r="BY363" s="176" t="n"/>
      <c r="BZ363" s="176" t="n"/>
      <c r="CA363" s="176" t="n"/>
      <c r="CB363" s="176" t="n"/>
      <c r="CC363" s="176" t="n"/>
      <c r="CD363" s="176" t="n"/>
      <c r="CE363" s="176" t="n"/>
      <c r="CF363" s="176" t="n"/>
      <c r="CG363" s="176" t="n"/>
      <c r="CH363" s="176" t="n"/>
      <c r="CI363" s="176" t="n"/>
      <c r="CJ363" s="176" t="n"/>
      <c r="CK363" s="176" t="n"/>
      <c r="CL363" s="176" t="n"/>
      <c r="CM363" s="176" t="n"/>
      <c r="CN363" s="176" t="n"/>
      <c r="CO363" s="176" t="n"/>
      <c r="CP363" s="176" t="n"/>
      <c r="CQ363" s="176" t="n"/>
      <c r="CR363" s="176" t="n"/>
      <c r="CS363" s="176" t="n"/>
      <c r="CT363" s="176" t="n"/>
      <c r="CU363" s="176" t="n"/>
      <c r="CV363" s="176" t="n"/>
      <c r="CW363" s="176" t="n"/>
      <c r="CX363" s="176" t="n"/>
      <c r="CY363" s="176" t="n"/>
      <c r="CZ363" s="176" t="n"/>
      <c r="DA363" s="189" t="n"/>
      <c r="DB363" s="190" t="n"/>
      <c r="DC363" s="190" t="n"/>
      <c r="DD363" s="190" t="n"/>
      <c r="DE363" s="190" t="n"/>
      <c r="DF363" s="191" t="n"/>
      <c r="DG363" s="176" t="n"/>
      <c r="DH363" s="176" t="n"/>
      <c r="DI363" s="189" t="n"/>
      <c r="DJ363" s="190" t="n"/>
      <c r="DK363" s="190" t="n"/>
      <c r="DL363" s="190" t="n"/>
      <c r="DM363" s="190" t="n"/>
      <c r="DN363" s="191" t="n"/>
      <c r="DO363" s="176" t="n"/>
      <c r="DP363" s="176" t="n"/>
      <c r="DQ363" s="176" t="n"/>
      <c r="DR363" s="176" t="n"/>
      <c r="DS363" s="176" t="n"/>
      <c r="DT363" s="176" t="n"/>
      <c r="DU363" s="176" t="n"/>
      <c r="DV363" s="176" t="n"/>
      <c r="DW363" s="176" t="n"/>
      <c r="DX363" s="176" t="n"/>
      <c r="DY363" s="176" t="n"/>
      <c r="DZ363" s="176" t="n"/>
      <c r="EA363" s="176" t="n"/>
      <c r="EB363" s="176" t="n"/>
      <c r="EC363" s="176" t="n"/>
      <c r="ED363" s="176" t="n"/>
      <c r="EE363" s="176" t="n"/>
      <c r="EF363" s="176" t="n"/>
      <c r="EG363" s="176" t="n"/>
      <c r="EH363" s="176" t="n"/>
      <c r="EI363" s="176" t="n"/>
      <c r="EJ363" s="176" t="n"/>
      <c r="EK363" s="176" t="n"/>
      <c r="EL363" s="176" t="n"/>
      <c r="EM363" s="176" t="n"/>
      <c r="EN363" s="176" t="n"/>
      <c r="EO363" s="176" t="n"/>
      <c r="EP363" s="176" t="n"/>
      <c r="EQ363" s="176" t="n"/>
      <c r="ER363" s="176" t="n"/>
      <c r="ES363" s="176" t="n"/>
      <c r="ET363" s="176" t="n"/>
      <c r="EU363" s="176" t="n"/>
      <c r="EV363" s="176" t="n"/>
      <c r="EW363" s="176" t="n"/>
      <c r="EX363" s="176" t="n"/>
      <c r="EY363" s="176" t="n"/>
      <c r="EZ363" s="176" t="n"/>
      <c r="FA363" s="176" t="n"/>
      <c r="FB363" s="176" t="n"/>
      <c r="FC363" s="176" t="n"/>
      <c r="FD363" s="176" t="n"/>
      <c r="FE363" s="176" t="n"/>
      <c r="FF363" s="176" t="n"/>
      <c r="FG363" s="176" t="n"/>
      <c r="FH363" s="176" t="n"/>
      <c r="FI363" s="176" t="n"/>
      <c r="FJ363" s="176" t="n"/>
      <c r="FK363" s="176" t="n"/>
      <c r="FL363" s="176" t="n"/>
      <c r="FM363" s="176" t="n"/>
      <c r="FN363" s="176" t="n"/>
      <c r="FO363" s="176" t="n"/>
      <c r="FP363" s="176" t="n"/>
      <c r="FQ363" s="176" t="n"/>
      <c r="FR363" s="176" t="n"/>
      <c r="FS363" s="176" t="n"/>
      <c r="FT363" s="176" t="n"/>
      <c r="FU363" s="176" t="n"/>
      <c r="FV363" s="176" t="n"/>
      <c r="FW363" s="176" t="n"/>
      <c r="FX363" s="176" t="n"/>
      <c r="FY363" s="176" t="n"/>
      <c r="FZ363" s="176" t="n"/>
      <c r="GA363" s="176" t="n"/>
      <c r="GB363" s="176" t="n"/>
      <c r="GC363" s="176" t="n"/>
      <c r="GD363" s="176" t="n"/>
      <c r="GE363" s="176" t="n"/>
      <c r="GF363" s="176" t="n"/>
      <c r="GG363" s="176" t="n"/>
      <c r="GH363" s="176" t="n"/>
      <c r="GI363" s="176" t="n"/>
      <c r="GJ363" s="176" t="n"/>
      <c r="GK363" s="176" t="n"/>
      <c r="GL363" s="176" t="n"/>
      <c r="GM363" s="176" t="n"/>
      <c r="GN363" s="176" t="n"/>
      <c r="GO363" s="176" t="n"/>
      <c r="GP363" s="176" t="n"/>
      <c r="GQ363" s="176" t="n"/>
      <c r="GR363" s="176" t="n"/>
      <c r="GS363" s="176" t="n"/>
      <c r="GT363" s="176" t="n"/>
      <c r="GU363" s="176" t="n"/>
      <c r="GV363" s="176" t="n"/>
      <c r="GW363" s="176" t="n"/>
      <c r="GX363" s="176" t="n"/>
      <c r="GY363" s="176" t="n"/>
      <c r="GZ363" s="176" t="n"/>
      <c r="HA363" s="176" t="n"/>
      <c r="HB363" s="176" t="n"/>
      <c r="HC363" s="176" t="n"/>
      <c r="HD363" s="176" t="n"/>
      <c r="HE363" s="176" t="n"/>
      <c r="HF363" s="176" t="n"/>
      <c r="HG363" s="176" t="n"/>
      <c r="HH363" s="176" t="n"/>
      <c r="HI363" s="176" t="n"/>
      <c r="HJ363" s="176" t="n"/>
      <c r="HK363" s="176" t="n"/>
      <c r="HL363" s="176" t="n"/>
      <c r="HM363" s="176" t="n"/>
      <c r="HN363" s="176" t="n"/>
      <c r="HO363" s="176" t="n"/>
      <c r="HP363" s="176" t="n"/>
      <c r="HQ363" s="176" t="n"/>
      <c r="HR363" s="176" t="n"/>
      <c r="HS363" s="176" t="n"/>
      <c r="HT363" s="176" t="n"/>
      <c r="HU363" s="176" t="n"/>
      <c r="HV363" s="176" t="n"/>
      <c r="HW363" s="176" t="n"/>
      <c r="HX363" s="176" t="n"/>
      <c r="HY363" s="176" t="n"/>
      <c r="HZ363" s="176" t="n"/>
      <c r="IA363" s="176" t="n"/>
      <c r="IB363" s="176" t="n"/>
      <c r="IC363" s="176" t="n"/>
      <c r="ID363" s="176" t="n"/>
    </row>
    <row r="364" ht="18.75" customHeight="1">
      <c r="A364" s="176" t="n"/>
      <c r="B364" s="176" t="n"/>
      <c r="C364" s="176" t="n"/>
      <c r="D364" s="176" t="n"/>
      <c r="E364" s="176" t="n"/>
      <c r="F364" s="176" t="n"/>
      <c r="G364" s="176" t="n"/>
      <c r="H364" s="176" t="n"/>
      <c r="I364" s="176" t="n"/>
      <c r="J364" s="176" t="n"/>
      <c r="K364" s="176" t="n"/>
      <c r="L364" s="176" t="n"/>
      <c r="M364" s="176" t="n"/>
      <c r="N364" s="176" t="n"/>
      <c r="O364" s="176" t="n"/>
      <c r="P364" s="176" t="n"/>
      <c r="Q364" s="176" t="n"/>
      <c r="R364" s="176" t="n"/>
      <c r="S364" s="176" t="n"/>
      <c r="T364" s="185" t="n"/>
      <c r="U364" s="182" t="n"/>
      <c r="V364" s="182" t="n"/>
      <c r="W364" s="182" t="n"/>
      <c r="X364" s="182" t="n"/>
      <c r="Y364" s="183" t="n"/>
      <c r="Z364" s="176" t="n"/>
      <c r="AA364" s="176" t="n"/>
      <c r="AB364" s="176" t="n"/>
      <c r="AC364" s="176" t="n"/>
      <c r="AD364" s="176" t="n"/>
      <c r="AE364" s="176" t="n"/>
      <c r="AF364" s="176" t="n"/>
      <c r="AG364" s="176" t="n"/>
      <c r="AH364" s="176" t="n"/>
      <c r="AI364" s="176" t="n"/>
      <c r="AJ364" s="176" t="n"/>
      <c r="AK364" s="176" t="n"/>
      <c r="AL364" s="176" t="n"/>
      <c r="AM364" s="176" t="n"/>
      <c r="AN364" s="176" t="n"/>
      <c r="AO364" s="176" t="n"/>
      <c r="AP364" s="176" t="n"/>
      <c r="AQ364" s="176" t="n"/>
      <c r="AR364" s="176" t="n"/>
      <c r="AS364" s="176" t="n"/>
      <c r="AT364" s="176" t="n"/>
      <c r="AU364" s="176" t="n"/>
      <c r="AV364" s="176" t="n"/>
      <c r="AW364" s="176" t="n"/>
      <c r="AX364" s="176" t="n"/>
      <c r="AY364" s="176" t="n"/>
      <c r="AZ364" s="176" t="n"/>
      <c r="BA364" s="176" t="n"/>
      <c r="BB364" s="176" t="n"/>
      <c r="BC364" s="176" t="n"/>
      <c r="BD364" s="176" t="n"/>
      <c r="BE364" s="176" t="n"/>
      <c r="BF364" s="176" t="n"/>
      <c r="BG364" s="176" t="n"/>
      <c r="BH364" s="176" t="n"/>
      <c r="BI364" s="176" t="n"/>
      <c r="BJ364" s="176" t="n"/>
      <c r="BK364" s="176" t="n"/>
      <c r="BL364" s="176" t="n"/>
      <c r="BM364" s="176" t="n"/>
      <c r="BN364" s="176" t="n"/>
      <c r="BO364" s="176" t="n"/>
      <c r="BP364" s="176" t="n"/>
      <c r="BQ364" s="176" t="n"/>
      <c r="BR364" s="176" t="n"/>
      <c r="BS364" s="176" t="n"/>
      <c r="BT364" s="176" t="n"/>
      <c r="BU364" s="176" t="n"/>
      <c r="BV364" s="176" t="n"/>
      <c r="BW364" s="176" t="n"/>
      <c r="BX364" s="176" t="n"/>
      <c r="BY364" s="176" t="n"/>
      <c r="BZ364" s="176" t="n"/>
      <c r="CA364" s="176" t="n"/>
      <c r="CB364" s="176" t="n"/>
      <c r="CC364" s="176" t="n"/>
      <c r="CD364" s="176" t="n"/>
      <c r="CE364" s="176" t="n"/>
      <c r="CF364" s="176" t="n"/>
      <c r="CG364" s="176" t="n"/>
      <c r="CH364" s="176" t="n"/>
      <c r="CI364" s="176" t="n"/>
      <c r="CJ364" s="176" t="n"/>
      <c r="CK364" s="176" t="n"/>
      <c r="CL364" s="176" t="n"/>
      <c r="CM364" s="176" t="n"/>
      <c r="CN364" s="176" t="n"/>
      <c r="CO364" s="176" t="n"/>
      <c r="CP364" s="176" t="n"/>
      <c r="CQ364" s="176" t="n"/>
      <c r="CR364" s="176" t="n"/>
      <c r="CS364" s="176" t="n"/>
      <c r="CT364" s="176" t="n"/>
      <c r="CU364" s="176" t="n"/>
      <c r="CV364" s="176" t="n"/>
      <c r="CW364" s="176" t="n"/>
      <c r="CX364" s="176" t="n"/>
      <c r="CY364" s="176" t="n"/>
      <c r="CZ364" s="176" t="n"/>
      <c r="DA364" s="176" t="n"/>
      <c r="DB364" s="176" t="n"/>
      <c r="DC364" s="176" t="n"/>
      <c r="DD364" s="176" t="n"/>
      <c r="DE364" s="176" t="n"/>
      <c r="DF364" s="176" t="n"/>
      <c r="DG364" s="176" t="n"/>
      <c r="DH364" s="176" t="n"/>
      <c r="DI364" s="176" t="n"/>
      <c r="DJ364" s="176" t="n"/>
      <c r="DK364" s="176" t="n"/>
      <c r="DL364" s="176" t="n"/>
      <c r="DM364" s="176" t="n"/>
      <c r="DN364" s="176" t="n"/>
      <c r="DO364" s="176" t="n"/>
      <c r="DP364" s="176" t="n"/>
      <c r="DQ364" s="176" t="n"/>
      <c r="DR364" s="176" t="n"/>
      <c r="DS364" s="176" t="n"/>
      <c r="DT364" s="176" t="n"/>
      <c r="DU364" s="176" t="n"/>
      <c r="DV364" s="176" t="n"/>
      <c r="DW364" s="176" t="n"/>
      <c r="DX364" s="176" t="n"/>
      <c r="DY364" s="176" t="n"/>
      <c r="DZ364" s="176" t="n"/>
      <c r="EA364" s="176" t="n"/>
      <c r="EB364" s="176" t="n"/>
      <c r="EC364" s="176" t="n"/>
      <c r="ED364" s="176" t="n"/>
      <c r="EE364" s="176" t="n"/>
      <c r="EF364" s="176" t="n"/>
      <c r="EG364" s="176" t="n"/>
      <c r="EH364" s="176" t="n"/>
      <c r="EI364" s="176" t="n"/>
      <c r="EJ364" s="176" t="n"/>
      <c r="EK364" s="176" t="n"/>
      <c r="EL364" s="176" t="n"/>
      <c r="EM364" s="176" t="n"/>
      <c r="EN364" s="176" t="n"/>
      <c r="EO364" s="176" t="n"/>
      <c r="EP364" s="176" t="n"/>
      <c r="EQ364" s="176" t="n"/>
      <c r="ER364" s="176" t="n"/>
      <c r="ES364" s="176" t="n"/>
      <c r="ET364" s="176" t="n"/>
      <c r="EU364" s="176" t="n"/>
      <c r="EV364" s="176" t="n"/>
      <c r="EW364" s="176" t="n"/>
      <c r="EX364" s="176" t="n"/>
      <c r="EY364" s="176" t="n"/>
      <c r="EZ364" s="176" t="n"/>
      <c r="FA364" s="176" t="n"/>
      <c r="FB364" s="176" t="n"/>
      <c r="FC364" s="176" t="n"/>
      <c r="FD364" s="176" t="n"/>
      <c r="FE364" s="176" t="n"/>
      <c r="FF364" s="176" t="n"/>
      <c r="FG364" s="176" t="n"/>
      <c r="FH364" s="176" t="n"/>
      <c r="FI364" s="176" t="n"/>
      <c r="FJ364" s="176" t="n"/>
      <c r="FK364" s="176" t="n"/>
      <c r="FL364" s="176" t="n"/>
      <c r="FM364" s="176" t="n"/>
      <c r="FN364" s="176" t="n"/>
      <c r="FO364" s="176" t="n"/>
      <c r="FP364" s="176" t="n"/>
      <c r="FQ364" s="176" t="n"/>
      <c r="FR364" s="176" t="n"/>
      <c r="FS364" s="176" t="n"/>
      <c r="FT364" s="176" t="n"/>
      <c r="FU364" s="176" t="n"/>
      <c r="FV364" s="176" t="n"/>
      <c r="FW364" s="176" t="n"/>
      <c r="FX364" s="176" t="n"/>
      <c r="FY364" s="176" t="n"/>
      <c r="FZ364" s="176" t="n"/>
      <c r="GA364" s="176" t="n"/>
      <c r="GB364" s="176" t="n"/>
      <c r="GC364" s="176" t="n"/>
      <c r="GD364" s="176" t="n"/>
      <c r="GE364" s="176" t="n"/>
      <c r="GF364" s="176" t="n"/>
      <c r="GG364" s="176" t="n"/>
      <c r="GH364" s="176" t="n"/>
      <c r="GI364" s="176" t="n"/>
      <c r="GJ364" s="176" t="n"/>
      <c r="GK364" s="176" t="n"/>
      <c r="GL364" s="176" t="n"/>
      <c r="GM364" s="176" t="n"/>
      <c r="GN364" s="176" t="n"/>
      <c r="GO364" s="176" t="n"/>
      <c r="GP364" s="176" t="n"/>
      <c r="GQ364" s="176" t="n"/>
      <c r="GR364" s="176" t="n"/>
      <c r="GS364" s="176" t="n"/>
      <c r="GT364" s="176" t="n"/>
      <c r="GU364" s="176" t="n"/>
      <c r="GV364" s="176" t="n"/>
      <c r="GW364" s="176" t="n"/>
      <c r="GX364" s="176" t="n"/>
      <c r="GY364" s="176" t="n"/>
      <c r="GZ364" s="176" t="n"/>
      <c r="HA364" s="176" t="n"/>
      <c r="HB364" s="176" t="n"/>
      <c r="HC364" s="176" t="n"/>
      <c r="HD364" s="176" t="n"/>
      <c r="HE364" s="176" t="n"/>
      <c r="HF364" s="176" t="n"/>
      <c r="HG364" s="176" t="n"/>
      <c r="HH364" s="176" t="n"/>
      <c r="HI364" s="176" t="n"/>
      <c r="HJ364" s="176" t="n"/>
      <c r="HK364" s="176" t="n"/>
      <c r="HL364" s="176" t="n"/>
      <c r="HM364" s="176" t="n"/>
      <c r="HN364" s="176" t="n"/>
      <c r="HO364" s="176" t="n"/>
      <c r="HP364" s="176" t="n"/>
      <c r="HQ364" s="176" t="n"/>
      <c r="HR364" s="176" t="n"/>
      <c r="HS364" s="176" t="n"/>
      <c r="HT364" s="176" t="n"/>
      <c r="HU364" s="176" t="n"/>
      <c r="HV364" s="176" t="n"/>
      <c r="HW364" s="176" t="n"/>
      <c r="HX364" s="176" t="n"/>
      <c r="HY364" s="176" t="n"/>
      <c r="HZ364" s="176" t="n"/>
      <c r="IA364" s="176" t="n"/>
      <c r="IB364" s="176" t="n"/>
      <c r="IC364" s="176" t="n"/>
      <c r="ID364" s="176" t="n"/>
    </row>
    <row r="365" ht="18.75" customHeight="1">
      <c r="A365" s="176" t="n"/>
      <c r="B365" s="176" t="n"/>
      <c r="C365" s="176" t="n"/>
      <c r="D365" s="176" t="n"/>
      <c r="E365" s="176" t="n"/>
      <c r="F365" s="176" t="n"/>
      <c r="G365" s="176" t="n"/>
      <c r="H365" s="176" t="n"/>
      <c r="I365" s="176" t="n"/>
      <c r="J365" s="176" t="n"/>
      <c r="K365" s="176" t="n"/>
      <c r="L365" s="176" t="n"/>
      <c r="M365" s="176" t="n"/>
      <c r="N365" s="176" t="n"/>
      <c r="O365" s="176" t="n"/>
      <c r="P365" s="176" t="n"/>
      <c r="Q365" s="176" t="n"/>
      <c r="R365" s="176" t="n"/>
      <c r="S365" s="176" t="n"/>
      <c r="T365" s="181">
        <f>SWITCH('CONFIGURAÇÃO'!$T$362,"Origem","PERÍCIA 1","Marcante","ORIGEM","Menor","ORIGEM","Arma","CATEGORIA","Escudo","","Uniforme","GRAU MÍNIMO","Item comum","","Ferramenta amaldiçoada","BASE","")</f>
        <v/>
      </c>
      <c r="U365" s="183" t="n"/>
      <c r="V365" s="185" t="n"/>
      <c r="W365" s="182" t="n"/>
      <c r="X365" s="182" t="n"/>
      <c r="Y365" s="183" t="n"/>
      <c r="Z365" s="176" t="n"/>
      <c r="AA365" s="176" t="n"/>
      <c r="AB365" s="176" t="n"/>
      <c r="AC365" s="176" t="n"/>
      <c r="AD365" s="176" t="n"/>
      <c r="AE365" s="176" t="n"/>
      <c r="AF365" s="176" t="n"/>
      <c r="AG365" s="176" t="n"/>
      <c r="AH365" s="176" t="n"/>
      <c r="AI365" s="176" t="n"/>
      <c r="AJ365" s="176" t="n"/>
      <c r="AK365" s="176" t="n"/>
      <c r="AL365" s="176" t="n"/>
      <c r="AM365" s="176" t="n"/>
      <c r="AN365" s="176" t="n"/>
      <c r="AO365" s="176" t="n"/>
      <c r="AP365" s="176" t="n"/>
      <c r="AQ365" s="176" t="n"/>
      <c r="AR365" s="176" t="n"/>
      <c r="AS365" s="176" t="n"/>
      <c r="AT365" s="176" t="n"/>
      <c r="AU365" s="176" t="n"/>
      <c r="AV365" s="176" t="n"/>
      <c r="AW365" s="176" t="n"/>
      <c r="AX365" s="176" t="n"/>
      <c r="AY365" s="176" t="n"/>
      <c r="AZ365" s="176" t="n"/>
      <c r="BA365" s="176" t="n"/>
      <c r="BB365" s="176" t="n"/>
      <c r="BC365" s="176" t="n"/>
      <c r="BD365" s="176" t="n"/>
      <c r="BE365" s="176" t="n"/>
      <c r="BF365" s="176" t="n"/>
      <c r="BG365" s="176" t="n"/>
      <c r="BH365" s="176" t="n"/>
      <c r="BI365" s="176" t="n"/>
      <c r="BJ365" s="176" t="n"/>
      <c r="BK365" s="176" t="n"/>
      <c r="BL365" s="176" t="n"/>
      <c r="BM365" s="176" t="n"/>
      <c r="BN365" s="176" t="n"/>
      <c r="BO365" s="176" t="n"/>
      <c r="BP365" s="176" t="n"/>
      <c r="BQ365" s="176" t="n"/>
      <c r="BR365" s="176" t="n"/>
      <c r="BS365" s="176" t="n"/>
      <c r="BT365" s="176" t="n"/>
      <c r="BU365" s="176" t="n"/>
      <c r="BV365" s="176" t="n"/>
      <c r="BW365" s="176" t="n"/>
      <c r="BX365" s="176" t="n"/>
      <c r="BY365" s="176" t="n"/>
      <c r="BZ365" s="176" t="n"/>
      <c r="CA365" s="176" t="n"/>
      <c r="CB365" s="176" t="n"/>
      <c r="CC365" s="176" t="n"/>
      <c r="CD365" s="176" t="n"/>
      <c r="CE365" s="176" t="n"/>
      <c r="CF365" s="176" t="n"/>
      <c r="CG365" s="176" t="n"/>
      <c r="CH365" s="176" t="n"/>
      <c r="CI365" s="176" t="n"/>
      <c r="CJ365" s="176" t="n"/>
      <c r="CK365" s="176" t="n"/>
      <c r="CL365" s="176" t="n"/>
      <c r="CM365" s="176" t="n"/>
      <c r="CN365" s="176" t="n"/>
      <c r="CO365" s="176" t="n"/>
      <c r="CP365" s="176" t="n"/>
      <c r="CQ365" s="176" t="n"/>
      <c r="CR365" s="176" t="n"/>
      <c r="CS365" s="176" t="n"/>
      <c r="CT365" s="176" t="n"/>
      <c r="CU365" s="176" t="n"/>
      <c r="CV365" s="176" t="n"/>
      <c r="CW365" s="176" t="n"/>
      <c r="CX365" s="176" t="n"/>
      <c r="CY365" s="176" t="n"/>
      <c r="CZ365" s="176" t="n"/>
      <c r="DA365" s="181" t="inlineStr">
        <is>
          <t>EFEITO</t>
        </is>
      </c>
      <c r="DB365" s="182" t="n"/>
      <c r="DC365" s="182" t="n"/>
      <c r="DD365" s="182" t="n"/>
      <c r="DE365" s="182" t="n"/>
      <c r="DF365" s="183" t="n"/>
      <c r="DG365" s="176" t="n"/>
      <c r="DH365" s="176" t="n"/>
      <c r="DI365" s="181" t="inlineStr">
        <is>
          <t>EFEITO</t>
        </is>
      </c>
      <c r="DJ365" s="182" t="n"/>
      <c r="DK365" s="182" t="n"/>
      <c r="DL365" s="182" t="n"/>
      <c r="DM365" s="182" t="n"/>
      <c r="DN365" s="183" t="n"/>
      <c r="DO365" s="176" t="n"/>
      <c r="DP365" s="176" t="n"/>
      <c r="DQ365" s="176" t="n"/>
      <c r="DR365" s="176" t="n"/>
      <c r="DS365" s="176" t="n"/>
      <c r="DT365" s="176" t="n"/>
      <c r="DU365" s="176" t="n"/>
      <c r="DV365" s="176" t="n"/>
      <c r="DW365" s="176" t="n"/>
      <c r="DX365" s="176" t="n"/>
      <c r="DY365" s="176" t="n"/>
      <c r="DZ365" s="176" t="n"/>
      <c r="EA365" s="176" t="n"/>
      <c r="EB365" s="176" t="n"/>
      <c r="EC365" s="176" t="n"/>
      <c r="ED365" s="176" t="n"/>
      <c r="EE365" s="176" t="n"/>
      <c r="EF365" s="176" t="n"/>
      <c r="EG365" s="176" t="n"/>
      <c r="EH365" s="176" t="n"/>
      <c r="EI365" s="176" t="n"/>
      <c r="EJ365" s="176" t="n"/>
      <c r="EK365" s="176" t="n"/>
      <c r="EL365" s="176" t="n"/>
      <c r="EM365" s="176" t="n"/>
      <c r="EN365" s="176" t="n"/>
      <c r="EO365" s="176" t="n"/>
      <c r="EP365" s="176" t="n"/>
      <c r="EQ365" s="176" t="n"/>
      <c r="ER365" s="176" t="n"/>
      <c r="ES365" s="176" t="n"/>
      <c r="ET365" s="176" t="n"/>
      <c r="EU365" s="176" t="n"/>
      <c r="EV365" s="176" t="n"/>
      <c r="EW365" s="176" t="n"/>
      <c r="EX365" s="176" t="n"/>
      <c r="EY365" s="176" t="n"/>
      <c r="EZ365" s="176" t="n"/>
      <c r="FA365" s="176" t="n"/>
      <c r="FB365" s="176" t="n"/>
      <c r="FC365" s="176" t="n"/>
      <c r="FD365" s="176" t="n"/>
      <c r="FE365" s="176" t="n"/>
      <c r="FF365" s="176" t="n"/>
      <c r="FG365" s="176" t="n"/>
      <c r="FH365" s="176" t="n"/>
      <c r="FI365" s="176" t="n"/>
      <c r="FJ365" s="176" t="n"/>
      <c r="FK365" s="176" t="n"/>
      <c r="FL365" s="176" t="n"/>
      <c r="FM365" s="176" t="n"/>
      <c r="FN365" s="176" t="n"/>
      <c r="FO365" s="176" t="n"/>
      <c r="FP365" s="176" t="n"/>
      <c r="FQ365" s="176" t="n"/>
      <c r="FR365" s="176" t="n"/>
      <c r="FS365" s="176" t="n"/>
      <c r="FT365" s="176" t="n"/>
      <c r="FU365" s="176" t="n"/>
      <c r="FV365" s="176" t="n"/>
      <c r="FW365" s="176" t="n"/>
      <c r="FX365" s="176" t="n"/>
      <c r="FY365" s="176" t="n"/>
      <c r="FZ365" s="176" t="n"/>
      <c r="GA365" s="176" t="n"/>
      <c r="GB365" s="176" t="n"/>
      <c r="GC365" s="176" t="n"/>
      <c r="GD365" s="176" t="n"/>
      <c r="GE365" s="176" t="n"/>
      <c r="GF365" s="176" t="n"/>
      <c r="GG365" s="176" t="n"/>
      <c r="GH365" s="176" t="n"/>
      <c r="GI365" s="176" t="n"/>
      <c r="GJ365" s="176" t="n"/>
      <c r="GK365" s="176" t="n"/>
      <c r="GL365" s="176" t="n"/>
      <c r="GM365" s="176" t="n"/>
      <c r="GN365" s="176" t="n"/>
      <c r="GO365" s="176" t="n"/>
      <c r="GP365" s="176" t="n"/>
      <c r="GQ365" s="176" t="n"/>
      <c r="GR365" s="176" t="n"/>
      <c r="GS365" s="176" t="n"/>
      <c r="GT365" s="176" t="n"/>
      <c r="GU365" s="176" t="n"/>
      <c r="GV365" s="176" t="n"/>
      <c r="GW365" s="176" t="n"/>
      <c r="GX365" s="176" t="n"/>
      <c r="GY365" s="176" t="n"/>
      <c r="GZ365" s="176" t="n"/>
      <c r="HA365" s="176" t="n"/>
      <c r="HB365" s="176" t="n"/>
      <c r="HC365" s="176" t="n"/>
      <c r="HD365" s="176" t="n"/>
      <c r="HE365" s="176" t="n"/>
      <c r="HF365" s="176" t="n"/>
      <c r="HG365" s="176" t="n"/>
      <c r="HH365" s="176" t="n"/>
      <c r="HI365" s="176" t="n"/>
      <c r="HJ365" s="176" t="n"/>
      <c r="HK365" s="176" t="n"/>
      <c r="HL365" s="176" t="n"/>
      <c r="HM365" s="176" t="n"/>
      <c r="HN365" s="176" t="n"/>
      <c r="HO365" s="176" t="n"/>
      <c r="HP365" s="176" t="n"/>
      <c r="HQ365" s="176" t="n"/>
      <c r="HR365" s="176" t="n"/>
      <c r="HS365" s="176" t="n"/>
      <c r="HT365" s="176" t="n"/>
      <c r="HU365" s="176" t="n"/>
      <c r="HV365" s="176" t="n"/>
      <c r="HW365" s="176" t="n"/>
      <c r="HX365" s="176" t="n"/>
      <c r="HY365" s="176" t="n"/>
      <c r="HZ365" s="176" t="n"/>
      <c r="IA365" s="176" t="n"/>
      <c r="IB365" s="176" t="n"/>
      <c r="IC365" s="176" t="n"/>
      <c r="ID365" s="176" t="n"/>
    </row>
    <row r="366" ht="18.75" customHeight="1">
      <c r="A366" s="176" t="n"/>
      <c r="B366" s="176" t="n"/>
      <c r="C366" s="176" t="n"/>
      <c r="D366" s="176" t="n"/>
      <c r="E366" s="176" t="n"/>
      <c r="F366" s="176" t="n"/>
      <c r="G366" s="176" t="n"/>
      <c r="H366" s="176" t="n"/>
      <c r="I366" s="176" t="n"/>
      <c r="J366" s="176" t="n"/>
      <c r="K366" s="176" t="n"/>
      <c r="L366" s="176" t="n"/>
      <c r="M366" s="176" t="n"/>
      <c r="N366" s="176" t="n"/>
      <c r="O366" s="176" t="n"/>
      <c r="P366" s="176" t="n"/>
      <c r="Q366" s="176" t="n"/>
      <c r="R366" s="176" t="n"/>
      <c r="S366" s="176" t="n"/>
      <c r="T366" s="181">
        <f>SWITCH('CONFIGURAÇÃO'!$T$362,"Origem","PERÍCIA 2","Marcante","","Menor","EXIGE MARCANTE","Arma","MÃO","Escudo","","Uniforme","","Item comum","","Ferramenta amaldiçoada","GRAU","")</f>
        <v/>
      </c>
      <c r="U366" s="183" t="n"/>
      <c r="V366" s="185" t="n"/>
      <c r="W366" s="182" t="n"/>
      <c r="X366" s="182" t="n"/>
      <c r="Y366" s="183" t="n"/>
      <c r="Z366" s="176" t="n"/>
      <c r="AA366" s="176" t="n"/>
      <c r="AB366" s="176" t="n"/>
      <c r="AC366" s="176" t="n"/>
      <c r="AD366" s="176" t="n"/>
      <c r="AE366" s="176" t="n"/>
      <c r="AF366" s="176" t="n"/>
      <c r="AG366" s="176" t="n"/>
      <c r="AH366" s="176" t="n"/>
      <c r="AI366" s="176" t="n"/>
      <c r="AJ366" s="176" t="n"/>
      <c r="AK366" s="176" t="n"/>
      <c r="AL366" s="176" t="n"/>
      <c r="AM366" s="176" t="n"/>
      <c r="AN366" s="176" t="n"/>
      <c r="AO366" s="176" t="n"/>
      <c r="AP366" s="176" t="n"/>
      <c r="AQ366" s="176" t="n"/>
      <c r="AR366" s="176" t="n"/>
      <c r="AS366" s="176" t="n"/>
      <c r="AT366" s="176" t="n"/>
      <c r="AU366" s="176" t="n"/>
      <c r="AV366" s="176" t="n"/>
      <c r="AW366" s="176" t="n"/>
      <c r="AX366" s="176" t="n"/>
      <c r="AY366" s="176" t="n"/>
      <c r="AZ366" s="176" t="n"/>
      <c r="BA366" s="176" t="n"/>
      <c r="BB366" s="176" t="n"/>
      <c r="BC366" s="176" t="n"/>
      <c r="BD366" s="176" t="n"/>
      <c r="BE366" s="176" t="n"/>
      <c r="BF366" s="176" t="n"/>
      <c r="BG366" s="176" t="n"/>
      <c r="BH366" s="176" t="n"/>
      <c r="BI366" s="176" t="n"/>
      <c r="BJ366" s="176" t="n"/>
      <c r="BK366" s="176" t="n"/>
      <c r="BL366" s="176" t="n"/>
      <c r="BM366" s="176" t="n"/>
      <c r="BN366" s="176" t="n"/>
      <c r="BO366" s="176" t="n"/>
      <c r="BP366" s="176" t="n"/>
      <c r="BQ366" s="176" t="n"/>
      <c r="BR366" s="176" t="n"/>
      <c r="BS366" s="176" t="n"/>
      <c r="BT366" s="176" t="n"/>
      <c r="BU366" s="176" t="n"/>
      <c r="BV366" s="176" t="n"/>
      <c r="BW366" s="176" t="n"/>
      <c r="BX366" s="176" t="n"/>
      <c r="BY366" s="176" t="n"/>
      <c r="BZ366" s="176" t="n"/>
      <c r="CA366" s="176" t="n"/>
      <c r="CB366" s="176" t="n"/>
      <c r="CC366" s="176" t="n"/>
      <c r="CD366" s="176" t="n"/>
      <c r="CE366" s="176" t="n"/>
      <c r="CF366" s="176" t="n"/>
      <c r="CG366" s="176" t="n"/>
      <c r="CH366" s="176" t="n"/>
      <c r="CI366" s="176" t="n"/>
      <c r="CJ366" s="176" t="n"/>
      <c r="CK366" s="176" t="n"/>
      <c r="CL366" s="176" t="n"/>
      <c r="CM366" s="176" t="n"/>
      <c r="CN366" s="176" t="n"/>
      <c r="CO366" s="176" t="n"/>
      <c r="CP366" s="176" t="n"/>
      <c r="CQ366" s="176" t="n"/>
      <c r="CR366" s="176" t="n"/>
      <c r="CS366" s="176" t="n"/>
      <c r="CT366" s="176" t="n"/>
      <c r="CU366" s="176" t="n"/>
      <c r="CV366" s="176" t="n"/>
      <c r="CW366" s="176" t="n"/>
      <c r="CX366" s="176" t="n"/>
      <c r="CY366" s="176" t="n"/>
      <c r="CZ366" s="176" t="n"/>
      <c r="DA366" s="192" t="n"/>
      <c r="DB366" s="187" t="n"/>
      <c r="DC366" s="187" t="n"/>
      <c r="DD366" s="187" t="n"/>
      <c r="DE366" s="187" t="n"/>
      <c r="DF366" s="188" t="n"/>
      <c r="DG366" s="176" t="n"/>
      <c r="DH366" s="176" t="n"/>
      <c r="DI366" s="192" t="n"/>
      <c r="DJ366" s="187" t="n"/>
      <c r="DK366" s="187" t="n"/>
      <c r="DL366" s="187" t="n"/>
      <c r="DM366" s="187" t="n"/>
      <c r="DN366" s="188" t="n"/>
      <c r="DO366" s="176" t="n"/>
      <c r="DP366" s="176" t="n"/>
      <c r="DQ366" s="176" t="n"/>
      <c r="DR366" s="176" t="n"/>
      <c r="DS366" s="176" t="n"/>
      <c r="DT366" s="176" t="n"/>
      <c r="DU366" s="176" t="n"/>
      <c r="DV366" s="176" t="n"/>
      <c r="DW366" s="176" t="n"/>
      <c r="DX366" s="176" t="n"/>
      <c r="DY366" s="176" t="n"/>
      <c r="DZ366" s="176" t="n"/>
      <c r="EA366" s="176" t="n"/>
      <c r="EB366" s="176" t="n"/>
      <c r="EC366" s="176" t="n"/>
      <c r="ED366" s="176" t="n"/>
      <c r="EE366" s="176" t="n"/>
      <c r="EF366" s="176" t="n"/>
      <c r="EG366" s="176" t="n"/>
      <c r="EH366" s="176" t="n"/>
      <c r="EI366" s="176" t="n"/>
      <c r="EJ366" s="176" t="n"/>
      <c r="EK366" s="176" t="n"/>
      <c r="EL366" s="176" t="n"/>
      <c r="EM366" s="176" t="n"/>
      <c r="EN366" s="176" t="n"/>
      <c r="EO366" s="176" t="n"/>
      <c r="EP366" s="176" t="n"/>
      <c r="EQ366" s="176" t="n"/>
      <c r="ER366" s="176" t="n"/>
      <c r="ES366" s="176" t="n"/>
      <c r="ET366" s="176" t="n"/>
      <c r="EU366" s="176" t="n"/>
      <c r="EV366" s="176" t="n"/>
      <c r="EW366" s="176" t="n"/>
      <c r="EX366" s="176" t="n"/>
      <c r="EY366" s="176" t="n"/>
      <c r="EZ366" s="176" t="n"/>
      <c r="FA366" s="176" t="n"/>
      <c r="FB366" s="176" t="n"/>
      <c r="FC366" s="176" t="n"/>
      <c r="FD366" s="176" t="n"/>
      <c r="FE366" s="176" t="n"/>
      <c r="FF366" s="176" t="n"/>
      <c r="FG366" s="176" t="n"/>
      <c r="FH366" s="176" t="n"/>
      <c r="FI366" s="176" t="n"/>
      <c r="FJ366" s="176" t="n"/>
      <c r="FK366" s="176" t="n"/>
      <c r="FL366" s="176" t="n"/>
      <c r="FM366" s="176" t="n"/>
      <c r="FN366" s="176" t="n"/>
      <c r="FO366" s="176" t="n"/>
      <c r="FP366" s="176" t="n"/>
      <c r="FQ366" s="176" t="n"/>
      <c r="FR366" s="176" t="n"/>
      <c r="FS366" s="176" t="n"/>
      <c r="FT366" s="176" t="n"/>
      <c r="FU366" s="176" t="n"/>
      <c r="FV366" s="176" t="n"/>
      <c r="FW366" s="176" t="n"/>
      <c r="FX366" s="176" t="n"/>
      <c r="FY366" s="176" t="n"/>
      <c r="FZ366" s="176" t="n"/>
      <c r="GA366" s="176" t="n"/>
      <c r="GB366" s="176" t="n"/>
      <c r="GC366" s="176" t="n"/>
      <c r="GD366" s="176" t="n"/>
      <c r="GE366" s="176" t="n"/>
      <c r="GF366" s="176" t="n"/>
      <c r="GG366" s="176" t="n"/>
      <c r="GH366" s="176" t="n"/>
      <c r="GI366" s="176" t="n"/>
      <c r="GJ366" s="176" t="n"/>
      <c r="GK366" s="176" t="n"/>
      <c r="GL366" s="176" t="n"/>
      <c r="GM366" s="176" t="n"/>
      <c r="GN366" s="176" t="n"/>
      <c r="GO366" s="176" t="n"/>
      <c r="GP366" s="176" t="n"/>
      <c r="GQ366" s="176" t="n"/>
      <c r="GR366" s="176" t="n"/>
      <c r="GS366" s="176" t="n"/>
      <c r="GT366" s="176" t="n"/>
      <c r="GU366" s="176" t="n"/>
      <c r="GV366" s="176" t="n"/>
      <c r="GW366" s="176" t="n"/>
      <c r="GX366" s="176" t="n"/>
      <c r="GY366" s="176" t="n"/>
      <c r="GZ366" s="176" t="n"/>
      <c r="HA366" s="176" t="n"/>
      <c r="HB366" s="176" t="n"/>
      <c r="HC366" s="176" t="n"/>
      <c r="HD366" s="176" t="n"/>
      <c r="HE366" s="176" t="n"/>
      <c r="HF366" s="176" t="n"/>
      <c r="HG366" s="176" t="n"/>
      <c r="HH366" s="176" t="n"/>
      <c r="HI366" s="176" t="n"/>
      <c r="HJ366" s="176" t="n"/>
      <c r="HK366" s="176" t="n"/>
      <c r="HL366" s="176" t="n"/>
      <c r="HM366" s="176" t="n"/>
      <c r="HN366" s="176" t="n"/>
      <c r="HO366" s="176" t="n"/>
      <c r="HP366" s="176" t="n"/>
      <c r="HQ366" s="176" t="n"/>
      <c r="HR366" s="176" t="n"/>
      <c r="HS366" s="176" t="n"/>
      <c r="HT366" s="176" t="n"/>
      <c r="HU366" s="176" t="n"/>
      <c r="HV366" s="176" t="n"/>
      <c r="HW366" s="176" t="n"/>
      <c r="HX366" s="176" t="n"/>
      <c r="HY366" s="176" t="n"/>
      <c r="HZ366" s="176" t="n"/>
      <c r="IA366" s="176" t="n"/>
      <c r="IB366" s="176" t="n"/>
      <c r="IC366" s="176" t="n"/>
      <c r="ID366" s="176" t="n"/>
    </row>
    <row r="367" ht="18.75" customHeight="1">
      <c r="A367" s="176" t="n"/>
      <c r="B367" s="176" t="n"/>
      <c r="C367" s="176" t="n"/>
      <c r="D367" s="176" t="n"/>
      <c r="E367" s="176" t="n"/>
      <c r="F367" s="176" t="n"/>
      <c r="G367" s="176" t="n"/>
      <c r="H367" s="176" t="n"/>
      <c r="I367" s="176" t="n"/>
      <c r="J367" s="176" t="n"/>
      <c r="K367" s="176" t="n"/>
      <c r="L367" s="176" t="n"/>
      <c r="M367" s="176" t="n"/>
      <c r="N367" s="176" t="n"/>
      <c r="O367" s="176" t="n"/>
      <c r="P367" s="176" t="n"/>
      <c r="Q367" s="176" t="n"/>
      <c r="R367" s="176" t="n"/>
      <c r="S367" s="176" t="n"/>
      <c r="T367" s="181">
        <f>SWITCH('CONFIGURAÇÃO'!$T$362,"Origem","PERÍCIA 3","Marcante","","Menor","","Arma","TIPO DE DANO","Escudo","","Uniforme","","Item comum","","Ferramenta amaldiçoada","","")</f>
        <v/>
      </c>
      <c r="U367" s="183" t="n"/>
      <c r="V367" s="185" t="n"/>
      <c r="W367" s="182" t="n"/>
      <c r="X367" s="182" t="n"/>
      <c r="Y367" s="183" t="n"/>
      <c r="Z367" s="176" t="n"/>
      <c r="AA367" s="176" t="n"/>
      <c r="AB367" s="176" t="n"/>
      <c r="AC367" s="176" t="n"/>
      <c r="AD367" s="176" t="n"/>
      <c r="AE367" s="176" t="n"/>
      <c r="AF367" s="176" t="n"/>
      <c r="AG367" s="176" t="n"/>
      <c r="AH367" s="176" t="n"/>
      <c r="AI367" s="176" t="n"/>
      <c r="AJ367" s="176" t="n"/>
      <c r="AK367" s="176" t="n"/>
      <c r="AL367" s="176" t="n"/>
      <c r="AM367" s="176" t="n"/>
      <c r="AN367" s="176" t="n"/>
      <c r="AO367" s="176" t="n"/>
      <c r="AP367" s="176" t="n"/>
      <c r="AQ367" s="176" t="n"/>
      <c r="AR367" s="176" t="n"/>
      <c r="AS367" s="176" t="n"/>
      <c r="AT367" s="176" t="n"/>
      <c r="AU367" s="176" t="n"/>
      <c r="AV367" s="176" t="n"/>
      <c r="AW367" s="176" t="n"/>
      <c r="AX367" s="176" t="n"/>
      <c r="AY367" s="176" t="n"/>
      <c r="AZ367" s="176" t="n"/>
      <c r="BA367" s="176" t="n"/>
      <c r="BB367" s="176" t="n"/>
      <c r="BC367" s="176" t="n"/>
      <c r="BD367" s="176" t="n"/>
      <c r="BE367" s="176" t="n"/>
      <c r="BF367" s="176" t="n"/>
      <c r="BG367" s="176" t="n"/>
      <c r="BH367" s="176" t="n"/>
      <c r="BI367" s="176" t="n"/>
      <c r="BJ367" s="176" t="n"/>
      <c r="BK367" s="176" t="n"/>
      <c r="BL367" s="176" t="n"/>
      <c r="BM367" s="176" t="n"/>
      <c r="BN367" s="176" t="n"/>
      <c r="BO367" s="176" t="n"/>
      <c r="BP367" s="176" t="n"/>
      <c r="BQ367" s="176" t="n"/>
      <c r="BR367" s="176" t="n"/>
      <c r="BS367" s="176" t="n"/>
      <c r="BT367" s="176" t="n"/>
      <c r="BU367" s="176" t="n"/>
      <c r="BV367" s="176" t="n"/>
      <c r="BW367" s="176" t="n"/>
      <c r="BX367" s="176" t="n"/>
      <c r="BY367" s="176" t="n"/>
      <c r="BZ367" s="176" t="n"/>
      <c r="CA367" s="176" t="n"/>
      <c r="CB367" s="176" t="n"/>
      <c r="CC367" s="176" t="n"/>
      <c r="CD367" s="176" t="n"/>
      <c r="CE367" s="176" t="n"/>
      <c r="CF367" s="176" t="n"/>
      <c r="CG367" s="176" t="n"/>
      <c r="CH367" s="176" t="n"/>
      <c r="CI367" s="176" t="n"/>
      <c r="CJ367" s="176" t="n"/>
      <c r="CK367" s="176" t="n"/>
      <c r="CL367" s="176" t="n"/>
      <c r="CM367" s="176" t="n"/>
      <c r="CN367" s="176" t="n"/>
      <c r="CO367" s="176" t="n"/>
      <c r="CP367" s="176" t="n"/>
      <c r="CQ367" s="176" t="n"/>
      <c r="CR367" s="176" t="n"/>
      <c r="CS367" s="176" t="n"/>
      <c r="CT367" s="176" t="n"/>
      <c r="CU367" s="176" t="n"/>
      <c r="CV367" s="176" t="n"/>
      <c r="CW367" s="176" t="n"/>
      <c r="CX367" s="176" t="n"/>
      <c r="CY367" s="176" t="n"/>
      <c r="CZ367" s="176" t="n"/>
      <c r="DA367" s="193" t="n"/>
      <c r="DF367" s="194" t="n"/>
      <c r="DG367" s="176" t="n"/>
      <c r="DH367" s="176" t="n"/>
      <c r="DI367" s="193" t="n"/>
      <c r="DN367" s="194" t="n"/>
      <c r="DO367" s="176" t="n"/>
      <c r="DP367" s="176" t="n"/>
      <c r="DQ367" s="176" t="n"/>
      <c r="DR367" s="176" t="n"/>
      <c r="DS367" s="176" t="n"/>
      <c r="DT367" s="176" t="n"/>
      <c r="DU367" s="176" t="n"/>
      <c r="DV367" s="176" t="n"/>
      <c r="DW367" s="176" t="n"/>
      <c r="DX367" s="176" t="n"/>
      <c r="DY367" s="176" t="n"/>
      <c r="DZ367" s="176" t="n"/>
      <c r="EA367" s="176" t="n"/>
      <c r="EB367" s="176" t="n"/>
      <c r="EC367" s="176" t="n"/>
      <c r="ED367" s="176" t="n"/>
      <c r="EE367" s="176" t="n"/>
      <c r="EF367" s="176" t="n"/>
      <c r="EG367" s="176" t="n"/>
      <c r="EH367" s="176" t="n"/>
      <c r="EI367" s="176" t="n"/>
      <c r="EJ367" s="176" t="n"/>
      <c r="EK367" s="176" t="n"/>
      <c r="EL367" s="176" t="n"/>
      <c r="EM367" s="176" t="n"/>
      <c r="EN367" s="176" t="n"/>
      <c r="EO367" s="176" t="n"/>
      <c r="EP367" s="176" t="n"/>
      <c r="EQ367" s="176" t="n"/>
      <c r="ER367" s="176" t="n"/>
      <c r="ES367" s="176" t="n"/>
      <c r="ET367" s="176" t="n"/>
      <c r="EU367" s="176" t="n"/>
      <c r="EV367" s="176" t="n"/>
      <c r="EW367" s="176" t="n"/>
      <c r="EX367" s="176" t="n"/>
      <c r="EY367" s="176" t="n"/>
      <c r="EZ367" s="176" t="n"/>
      <c r="FA367" s="176" t="n"/>
      <c r="FB367" s="176" t="n"/>
      <c r="FC367" s="176" t="n"/>
      <c r="FD367" s="176" t="n"/>
      <c r="FE367" s="176" t="n"/>
      <c r="FF367" s="176" t="n"/>
      <c r="FG367" s="176" t="n"/>
      <c r="FH367" s="176" t="n"/>
      <c r="FI367" s="176" t="n"/>
      <c r="FJ367" s="176" t="n"/>
      <c r="FK367" s="176" t="n"/>
      <c r="FL367" s="176" t="n"/>
      <c r="FM367" s="176" t="n"/>
      <c r="FN367" s="176" t="n"/>
      <c r="FO367" s="176" t="n"/>
      <c r="FP367" s="176" t="n"/>
      <c r="FQ367" s="176" t="n"/>
      <c r="FR367" s="176" t="n"/>
      <c r="FS367" s="176" t="n"/>
      <c r="FT367" s="176" t="n"/>
      <c r="FU367" s="176" t="n"/>
      <c r="FV367" s="176" t="n"/>
      <c r="FW367" s="176" t="n"/>
      <c r="FX367" s="176" t="n"/>
      <c r="FY367" s="176" t="n"/>
      <c r="FZ367" s="176" t="n"/>
      <c r="GA367" s="176" t="n"/>
      <c r="GB367" s="176" t="n"/>
      <c r="GC367" s="176" t="n"/>
      <c r="GD367" s="176" t="n"/>
      <c r="GE367" s="176" t="n"/>
      <c r="GF367" s="176" t="n"/>
      <c r="GG367" s="176" t="n"/>
      <c r="GH367" s="176" t="n"/>
      <c r="GI367" s="176" t="n"/>
      <c r="GJ367" s="176" t="n"/>
      <c r="GK367" s="176" t="n"/>
      <c r="GL367" s="176" t="n"/>
      <c r="GM367" s="176" t="n"/>
      <c r="GN367" s="176" t="n"/>
      <c r="GO367" s="176" t="n"/>
      <c r="GP367" s="176" t="n"/>
      <c r="GQ367" s="176" t="n"/>
      <c r="GR367" s="176" t="n"/>
      <c r="GS367" s="176" t="n"/>
      <c r="GT367" s="176" t="n"/>
      <c r="GU367" s="176" t="n"/>
      <c r="GV367" s="176" t="n"/>
      <c r="GW367" s="176" t="n"/>
      <c r="GX367" s="176" t="n"/>
      <c r="GY367" s="176" t="n"/>
      <c r="GZ367" s="176" t="n"/>
      <c r="HA367" s="176" t="n"/>
      <c r="HB367" s="176" t="n"/>
      <c r="HC367" s="176" t="n"/>
      <c r="HD367" s="176" t="n"/>
      <c r="HE367" s="176" t="n"/>
      <c r="HF367" s="176" t="n"/>
      <c r="HG367" s="176" t="n"/>
      <c r="HH367" s="176" t="n"/>
      <c r="HI367" s="176" t="n"/>
      <c r="HJ367" s="176" t="n"/>
      <c r="HK367" s="176" t="n"/>
      <c r="HL367" s="176" t="n"/>
      <c r="HM367" s="176" t="n"/>
      <c r="HN367" s="176" t="n"/>
      <c r="HO367" s="176" t="n"/>
      <c r="HP367" s="176" t="n"/>
      <c r="HQ367" s="176" t="n"/>
      <c r="HR367" s="176" t="n"/>
      <c r="HS367" s="176" t="n"/>
      <c r="HT367" s="176" t="n"/>
      <c r="HU367" s="176" t="n"/>
      <c r="HV367" s="176" t="n"/>
      <c r="HW367" s="176" t="n"/>
      <c r="HX367" s="176" t="n"/>
      <c r="HY367" s="176" t="n"/>
      <c r="HZ367" s="176" t="n"/>
      <c r="IA367" s="176" t="n"/>
      <c r="IB367" s="176" t="n"/>
      <c r="IC367" s="176" t="n"/>
      <c r="ID367" s="176" t="n"/>
    </row>
    <row r="368" ht="18.75" customHeight="1">
      <c r="A368" s="176" t="n"/>
      <c r="B368" s="176" t="n"/>
      <c r="C368" s="176" t="n"/>
      <c r="D368" s="176" t="n"/>
      <c r="E368" s="176" t="n"/>
      <c r="F368" s="176" t="n"/>
      <c r="G368" s="176" t="n"/>
      <c r="H368" s="176" t="n"/>
      <c r="I368" s="176" t="n"/>
      <c r="J368" s="176" t="n"/>
      <c r="K368" s="176" t="n"/>
      <c r="L368" s="176" t="n"/>
      <c r="M368" s="176" t="n"/>
      <c r="N368" s="176" t="n"/>
      <c r="O368" s="176" t="n"/>
      <c r="P368" s="176" t="n"/>
      <c r="Q368" s="176" t="n"/>
      <c r="R368" s="176" t="n"/>
      <c r="S368" s="176" t="n"/>
      <c r="T368" s="181">
        <f>SWITCH('CONFIGURAÇÃO'!$T$362,"Origem","PERÍCIA 4","Marcante","","Menor","","Arma","PROPRIEDADE 1","Escudo","","Uniforme","","Item comum","","Ferramenta amaldiçoada","","")</f>
        <v/>
      </c>
      <c r="U368" s="183" t="n"/>
      <c r="V368" s="185" t="n"/>
      <c r="W368" s="182" t="n"/>
      <c r="X368" s="182" t="n"/>
      <c r="Y368" s="183" t="n"/>
      <c r="Z368" s="176" t="n"/>
      <c r="AA368" s="176" t="n"/>
      <c r="AB368" s="176" t="n"/>
      <c r="AC368" s="176" t="n"/>
      <c r="AD368" s="176" t="n"/>
      <c r="AE368" s="176" t="n"/>
      <c r="AF368" s="176" t="n"/>
      <c r="AG368" s="176" t="n"/>
      <c r="AH368" s="176" t="n"/>
      <c r="AI368" s="176" t="n"/>
      <c r="AJ368" s="176" t="n"/>
      <c r="AK368" s="176" t="n"/>
      <c r="AL368" s="176" t="n"/>
      <c r="AM368" s="176" t="n"/>
      <c r="AN368" s="176" t="n"/>
      <c r="AO368" s="176" t="n"/>
      <c r="AP368" s="176" t="n"/>
      <c r="AQ368" s="176" t="n"/>
      <c r="AR368" s="176" t="n"/>
      <c r="AS368" s="176" t="n"/>
      <c r="AT368" s="176" t="n"/>
      <c r="AU368" s="176" t="n"/>
      <c r="AV368" s="176" t="n"/>
      <c r="AW368" s="176" t="n"/>
      <c r="AX368" s="176" t="n"/>
      <c r="AY368" s="176" t="n"/>
      <c r="AZ368" s="176" t="n"/>
      <c r="BA368" s="176" t="n"/>
      <c r="BB368" s="176" t="n"/>
      <c r="BC368" s="176" t="n"/>
      <c r="BD368" s="176" t="n"/>
      <c r="BE368" s="176" t="n"/>
      <c r="BF368" s="176" t="n"/>
      <c r="BG368" s="176" t="n"/>
      <c r="BH368" s="176" t="n"/>
      <c r="BI368" s="176" t="n"/>
      <c r="BJ368" s="176" t="n"/>
      <c r="BK368" s="176" t="n"/>
      <c r="BL368" s="176" t="n"/>
      <c r="BM368" s="176" t="n"/>
      <c r="BN368" s="176" t="n"/>
      <c r="BO368" s="176" t="n"/>
      <c r="BP368" s="176" t="n"/>
      <c r="BQ368" s="176" t="n"/>
      <c r="BR368" s="176" t="n"/>
      <c r="BS368" s="176" t="n"/>
      <c r="BT368" s="176" t="n"/>
      <c r="BU368" s="176" t="n"/>
      <c r="BV368" s="176" t="n"/>
      <c r="BW368" s="176" t="n"/>
      <c r="BX368" s="176" t="n"/>
      <c r="BY368" s="176" t="n"/>
      <c r="BZ368" s="176" t="n"/>
      <c r="CA368" s="176" t="n"/>
      <c r="CB368" s="176" t="n"/>
      <c r="CC368" s="176" t="n"/>
      <c r="CD368" s="176" t="n"/>
      <c r="CE368" s="176" t="n"/>
      <c r="CF368" s="176" t="n"/>
      <c r="CG368" s="176" t="n"/>
      <c r="CH368" s="176" t="n"/>
      <c r="CI368" s="176" t="n"/>
      <c r="CJ368" s="176" t="n"/>
      <c r="CK368" s="176" t="n"/>
      <c r="CL368" s="176" t="n"/>
      <c r="CM368" s="176" t="n"/>
      <c r="CN368" s="176" t="n"/>
      <c r="CO368" s="176" t="n"/>
      <c r="CP368" s="176" t="n"/>
      <c r="CQ368" s="176" t="n"/>
      <c r="CR368" s="176" t="n"/>
      <c r="CS368" s="176" t="n"/>
      <c r="CT368" s="176" t="n"/>
      <c r="CU368" s="176" t="n"/>
      <c r="CV368" s="176" t="n"/>
      <c r="CW368" s="176" t="n"/>
      <c r="CX368" s="176" t="n"/>
      <c r="CY368" s="176" t="n"/>
      <c r="CZ368" s="176" t="n"/>
      <c r="DA368" s="193" t="n"/>
      <c r="DF368" s="194" t="n"/>
      <c r="DG368" s="176" t="n"/>
      <c r="DH368" s="176" t="n"/>
      <c r="DI368" s="193" t="n"/>
      <c r="DN368" s="194" t="n"/>
      <c r="DO368" s="176" t="n"/>
      <c r="DP368" s="176" t="n"/>
      <c r="DQ368" s="176" t="n"/>
      <c r="DR368" s="176" t="n"/>
      <c r="DS368" s="176" t="n"/>
      <c r="DT368" s="176" t="n"/>
      <c r="DU368" s="176" t="n"/>
      <c r="DV368" s="176" t="n"/>
      <c r="DW368" s="176" t="n"/>
      <c r="DX368" s="176" t="n"/>
      <c r="DY368" s="176" t="n"/>
      <c r="DZ368" s="176" t="n"/>
      <c r="EA368" s="176" t="n"/>
      <c r="EB368" s="176" t="n"/>
      <c r="EC368" s="176" t="n"/>
      <c r="ED368" s="176" t="n"/>
      <c r="EE368" s="176" t="n"/>
      <c r="EF368" s="176" t="n"/>
      <c r="EG368" s="176" t="n"/>
      <c r="EH368" s="176" t="n"/>
      <c r="EI368" s="176" t="n"/>
      <c r="EJ368" s="176" t="n"/>
      <c r="EK368" s="176" t="n"/>
      <c r="EL368" s="176" t="n"/>
      <c r="EM368" s="176" t="n"/>
      <c r="EN368" s="176" t="n"/>
      <c r="EO368" s="176" t="n"/>
      <c r="EP368" s="176" t="n"/>
      <c r="EQ368" s="176" t="n"/>
      <c r="ER368" s="176" t="n"/>
      <c r="ES368" s="176" t="n"/>
      <c r="ET368" s="176" t="n"/>
      <c r="EU368" s="176" t="n"/>
      <c r="EV368" s="176" t="n"/>
      <c r="EW368" s="176" t="n"/>
      <c r="EX368" s="176" t="n"/>
      <c r="EY368" s="176" t="n"/>
      <c r="EZ368" s="176" t="n"/>
      <c r="FA368" s="176" t="n"/>
      <c r="FB368" s="176" t="n"/>
      <c r="FC368" s="176" t="n"/>
      <c r="FD368" s="176" t="n"/>
      <c r="FE368" s="176" t="n"/>
      <c r="FF368" s="176" t="n"/>
      <c r="FG368" s="176" t="n"/>
      <c r="FH368" s="176" t="n"/>
      <c r="FI368" s="176" t="n"/>
      <c r="FJ368" s="176" t="n"/>
      <c r="FK368" s="176" t="n"/>
      <c r="FL368" s="176" t="n"/>
      <c r="FM368" s="176" t="n"/>
      <c r="FN368" s="176" t="n"/>
      <c r="FO368" s="176" t="n"/>
      <c r="FP368" s="176" t="n"/>
      <c r="FQ368" s="176" t="n"/>
      <c r="FR368" s="176" t="n"/>
      <c r="FS368" s="176" t="n"/>
      <c r="FT368" s="176" t="n"/>
      <c r="FU368" s="176" t="n"/>
      <c r="FV368" s="176" t="n"/>
      <c r="FW368" s="176" t="n"/>
      <c r="FX368" s="176" t="n"/>
      <c r="FY368" s="176" t="n"/>
      <c r="FZ368" s="176" t="n"/>
      <c r="GA368" s="176" t="n"/>
      <c r="GB368" s="176" t="n"/>
      <c r="GC368" s="176" t="n"/>
      <c r="GD368" s="176" t="n"/>
      <c r="GE368" s="176" t="n"/>
      <c r="GF368" s="176" t="n"/>
      <c r="GG368" s="176" t="n"/>
      <c r="GH368" s="176" t="n"/>
      <c r="GI368" s="176" t="n"/>
      <c r="GJ368" s="176" t="n"/>
      <c r="GK368" s="176" t="n"/>
      <c r="GL368" s="176" t="n"/>
      <c r="GM368" s="176" t="n"/>
      <c r="GN368" s="176" t="n"/>
      <c r="GO368" s="176" t="n"/>
      <c r="GP368" s="176" t="n"/>
      <c r="GQ368" s="176" t="n"/>
      <c r="GR368" s="176" t="n"/>
      <c r="GS368" s="176" t="n"/>
      <c r="GT368" s="176" t="n"/>
      <c r="GU368" s="176" t="n"/>
      <c r="GV368" s="176" t="n"/>
      <c r="GW368" s="176" t="n"/>
      <c r="GX368" s="176" t="n"/>
      <c r="GY368" s="176" t="n"/>
      <c r="GZ368" s="176" t="n"/>
      <c r="HA368" s="176" t="n"/>
      <c r="HB368" s="176" t="n"/>
      <c r="HC368" s="176" t="n"/>
      <c r="HD368" s="176" t="n"/>
      <c r="HE368" s="176" t="n"/>
      <c r="HF368" s="176" t="n"/>
      <c r="HG368" s="176" t="n"/>
      <c r="HH368" s="176" t="n"/>
      <c r="HI368" s="176" t="n"/>
      <c r="HJ368" s="176" t="n"/>
      <c r="HK368" s="176" t="n"/>
      <c r="HL368" s="176" t="n"/>
      <c r="HM368" s="176" t="n"/>
      <c r="HN368" s="176" t="n"/>
      <c r="HO368" s="176" t="n"/>
      <c r="HP368" s="176" t="n"/>
      <c r="HQ368" s="176" t="n"/>
      <c r="HR368" s="176" t="n"/>
      <c r="HS368" s="176" t="n"/>
      <c r="HT368" s="176" t="n"/>
      <c r="HU368" s="176" t="n"/>
      <c r="HV368" s="176" t="n"/>
      <c r="HW368" s="176" t="n"/>
      <c r="HX368" s="176" t="n"/>
      <c r="HY368" s="176" t="n"/>
      <c r="HZ368" s="176" t="n"/>
      <c r="IA368" s="176" t="n"/>
      <c r="IB368" s="176" t="n"/>
      <c r="IC368" s="176" t="n"/>
      <c r="ID368" s="176" t="n"/>
    </row>
    <row r="369" ht="18.75" customHeight="1">
      <c r="A369" s="176" t="n"/>
      <c r="B369" s="176" t="n"/>
      <c r="C369" s="176" t="n"/>
      <c r="D369" s="176" t="n"/>
      <c r="E369" s="176" t="n"/>
      <c r="F369" s="176" t="n"/>
      <c r="G369" s="176" t="n"/>
      <c r="H369" s="176" t="n"/>
      <c r="I369" s="176" t="n"/>
      <c r="J369" s="176" t="n"/>
      <c r="K369" s="176" t="n"/>
      <c r="L369" s="176" t="n"/>
      <c r="M369" s="176" t="n"/>
      <c r="N369" s="176" t="n"/>
      <c r="O369" s="176" t="n"/>
      <c r="P369" s="176" t="n"/>
      <c r="Q369" s="176" t="n"/>
      <c r="R369" s="176" t="n"/>
      <c r="S369" s="176" t="n"/>
      <c r="T369" s="181">
        <f>SWITCH('CONFIGURAÇÃO'!$T$362,"Origem","ROTA","Marcante","","Menor","","Arma","PROPRIEDADE 2","Escudo","","Uniforme","","Item comum","","Ferramenta amaldiçoada","","")</f>
        <v/>
      </c>
      <c r="U369" s="183" t="n"/>
      <c r="V369" s="185" t="n"/>
      <c r="W369" s="182" t="n"/>
      <c r="X369" s="182" t="n"/>
      <c r="Y369" s="183" t="n"/>
      <c r="Z369" s="176" t="n"/>
      <c r="AA369" s="176" t="n"/>
      <c r="AB369" s="176" t="n"/>
      <c r="AC369" s="176" t="n"/>
      <c r="AD369" s="176" t="n"/>
      <c r="AE369" s="176" t="n"/>
      <c r="AF369" s="176" t="n"/>
      <c r="AG369" s="176" t="n"/>
      <c r="AH369" s="176" t="n"/>
      <c r="AI369" s="176" t="n"/>
      <c r="AJ369" s="176" t="n"/>
      <c r="AK369" s="176" t="n"/>
      <c r="AL369" s="176" t="n"/>
      <c r="AM369" s="176" t="n"/>
      <c r="AN369" s="176" t="n"/>
      <c r="AO369" s="176" t="n"/>
      <c r="AP369" s="176" t="n"/>
      <c r="AQ369" s="176" t="n"/>
      <c r="AR369" s="176" t="n"/>
      <c r="AS369" s="176" t="n"/>
      <c r="AT369" s="176" t="n"/>
      <c r="AU369" s="176" t="n"/>
      <c r="AV369" s="176" t="n"/>
      <c r="AW369" s="176" t="n"/>
      <c r="AX369" s="176" t="n"/>
      <c r="AY369" s="176" t="n"/>
      <c r="AZ369" s="176" t="n"/>
      <c r="BA369" s="176" t="n"/>
      <c r="BB369" s="176" t="n"/>
      <c r="BC369" s="176" t="n"/>
      <c r="BD369" s="176" t="n"/>
      <c r="BE369" s="176" t="n"/>
      <c r="BF369" s="176" t="n"/>
      <c r="BG369" s="176" t="n"/>
      <c r="BH369" s="176" t="n"/>
      <c r="BI369" s="176" t="n"/>
      <c r="BJ369" s="176" t="n"/>
      <c r="BK369" s="176" t="n"/>
      <c r="BL369" s="176" t="n"/>
      <c r="BM369" s="176" t="n"/>
      <c r="BN369" s="176" t="n"/>
      <c r="BO369" s="176" t="n"/>
      <c r="BP369" s="176" t="n"/>
      <c r="BQ369" s="176" t="n"/>
      <c r="BR369" s="176" t="n"/>
      <c r="BS369" s="176" t="n"/>
      <c r="BT369" s="176" t="n"/>
      <c r="BU369" s="176" t="n"/>
      <c r="BV369" s="176" t="n"/>
      <c r="BW369" s="176" t="n"/>
      <c r="BX369" s="176" t="n"/>
      <c r="BY369" s="176" t="n"/>
      <c r="BZ369" s="176" t="n"/>
      <c r="CA369" s="176" t="n"/>
      <c r="CB369" s="176" t="n"/>
      <c r="CC369" s="176" t="n"/>
      <c r="CD369" s="176" t="n"/>
      <c r="CE369" s="176" t="n"/>
      <c r="CF369" s="176" t="n"/>
      <c r="CG369" s="176" t="n"/>
      <c r="CH369" s="176" t="n"/>
      <c r="CI369" s="176" t="n"/>
      <c r="CJ369" s="176" t="n"/>
      <c r="CK369" s="176" t="n"/>
      <c r="CL369" s="176" t="n"/>
      <c r="CM369" s="176" t="n"/>
      <c r="CN369" s="176" t="n"/>
      <c r="CO369" s="176" t="n"/>
      <c r="CP369" s="176" t="n"/>
      <c r="CQ369" s="176" t="n"/>
      <c r="CR369" s="176" t="n"/>
      <c r="CS369" s="176" t="n"/>
      <c r="CT369" s="176" t="n"/>
      <c r="CU369" s="176" t="n"/>
      <c r="CV369" s="176" t="n"/>
      <c r="CW369" s="176" t="n"/>
      <c r="CX369" s="176" t="n"/>
      <c r="CY369" s="176" t="n"/>
      <c r="CZ369" s="176" t="n"/>
      <c r="DA369" s="193" t="n"/>
      <c r="DF369" s="194" t="n"/>
      <c r="DG369" s="176" t="n"/>
      <c r="DH369" s="176" t="n"/>
      <c r="DI369" s="193" t="n"/>
      <c r="DN369" s="194" t="n"/>
      <c r="DO369" s="176" t="n"/>
      <c r="DP369" s="176" t="n"/>
      <c r="DQ369" s="176" t="n"/>
      <c r="DR369" s="176" t="n"/>
      <c r="DS369" s="176" t="n"/>
      <c r="DT369" s="176" t="n"/>
      <c r="DU369" s="176" t="n"/>
      <c r="DV369" s="176" t="n"/>
      <c r="DW369" s="176" t="n"/>
      <c r="DX369" s="176" t="n"/>
      <c r="DY369" s="176" t="n"/>
      <c r="DZ369" s="176" t="n"/>
      <c r="EA369" s="176" t="n"/>
      <c r="EB369" s="176" t="n"/>
      <c r="EC369" s="176" t="n"/>
      <c r="ED369" s="176" t="n"/>
      <c r="EE369" s="176" t="n"/>
      <c r="EF369" s="176" t="n"/>
      <c r="EG369" s="176" t="n"/>
      <c r="EH369" s="176" t="n"/>
      <c r="EI369" s="176" t="n"/>
      <c r="EJ369" s="176" t="n"/>
      <c r="EK369" s="176" t="n"/>
      <c r="EL369" s="176" t="n"/>
      <c r="EM369" s="176" t="n"/>
      <c r="EN369" s="176" t="n"/>
      <c r="EO369" s="176" t="n"/>
      <c r="EP369" s="176" t="n"/>
      <c r="EQ369" s="176" t="n"/>
      <c r="ER369" s="176" t="n"/>
      <c r="ES369" s="176" t="n"/>
      <c r="ET369" s="176" t="n"/>
      <c r="EU369" s="176" t="n"/>
      <c r="EV369" s="176" t="n"/>
      <c r="EW369" s="176" t="n"/>
      <c r="EX369" s="176" t="n"/>
      <c r="EY369" s="176" t="n"/>
      <c r="EZ369" s="176" t="n"/>
      <c r="FA369" s="176" t="n"/>
      <c r="FB369" s="176" t="n"/>
      <c r="FC369" s="176" t="n"/>
      <c r="FD369" s="176" t="n"/>
      <c r="FE369" s="176" t="n"/>
      <c r="FF369" s="176" t="n"/>
      <c r="FG369" s="176" t="n"/>
      <c r="FH369" s="176" t="n"/>
      <c r="FI369" s="176" t="n"/>
      <c r="FJ369" s="176" t="n"/>
      <c r="FK369" s="176" t="n"/>
      <c r="FL369" s="176" t="n"/>
      <c r="FM369" s="176" t="n"/>
      <c r="FN369" s="176" t="n"/>
      <c r="FO369" s="176" t="n"/>
      <c r="FP369" s="176" t="n"/>
      <c r="FQ369" s="176" t="n"/>
      <c r="FR369" s="176" t="n"/>
      <c r="FS369" s="176" t="n"/>
      <c r="FT369" s="176" t="n"/>
      <c r="FU369" s="176" t="n"/>
      <c r="FV369" s="176" t="n"/>
      <c r="FW369" s="176" t="n"/>
      <c r="FX369" s="176" t="n"/>
      <c r="FY369" s="176" t="n"/>
      <c r="FZ369" s="176" t="n"/>
      <c r="GA369" s="176" t="n"/>
      <c r="GB369" s="176" t="n"/>
      <c r="GC369" s="176" t="n"/>
      <c r="GD369" s="176" t="n"/>
      <c r="GE369" s="176" t="n"/>
      <c r="GF369" s="176" t="n"/>
      <c r="GG369" s="176" t="n"/>
      <c r="GH369" s="176" t="n"/>
      <c r="GI369" s="176" t="n"/>
      <c r="GJ369" s="176" t="n"/>
      <c r="GK369" s="176" t="n"/>
      <c r="GL369" s="176" t="n"/>
      <c r="GM369" s="176" t="n"/>
      <c r="GN369" s="176" t="n"/>
      <c r="GO369" s="176" t="n"/>
      <c r="GP369" s="176" t="n"/>
      <c r="GQ369" s="176" t="n"/>
      <c r="GR369" s="176" t="n"/>
      <c r="GS369" s="176" t="n"/>
      <c r="GT369" s="176" t="n"/>
      <c r="GU369" s="176" t="n"/>
      <c r="GV369" s="176" t="n"/>
      <c r="GW369" s="176" t="n"/>
      <c r="GX369" s="176" t="n"/>
      <c r="GY369" s="176" t="n"/>
      <c r="GZ369" s="176" t="n"/>
      <c r="HA369" s="176" t="n"/>
      <c r="HB369" s="176" t="n"/>
      <c r="HC369" s="176" t="n"/>
      <c r="HD369" s="176" t="n"/>
      <c r="HE369" s="176" t="n"/>
      <c r="HF369" s="176" t="n"/>
      <c r="HG369" s="176" t="n"/>
      <c r="HH369" s="176" t="n"/>
      <c r="HI369" s="176" t="n"/>
      <c r="HJ369" s="176" t="n"/>
      <c r="HK369" s="176" t="n"/>
      <c r="HL369" s="176" t="n"/>
      <c r="HM369" s="176" t="n"/>
      <c r="HN369" s="176" t="n"/>
      <c r="HO369" s="176" t="n"/>
      <c r="HP369" s="176" t="n"/>
      <c r="HQ369" s="176" t="n"/>
      <c r="HR369" s="176" t="n"/>
      <c r="HS369" s="176" t="n"/>
      <c r="HT369" s="176" t="n"/>
      <c r="HU369" s="176" t="n"/>
      <c r="HV369" s="176" t="n"/>
      <c r="HW369" s="176" t="n"/>
      <c r="HX369" s="176" t="n"/>
      <c r="HY369" s="176" t="n"/>
      <c r="HZ369" s="176" t="n"/>
      <c r="IA369" s="176" t="n"/>
      <c r="IB369" s="176" t="n"/>
      <c r="IC369" s="176" t="n"/>
      <c r="ID369" s="176" t="n"/>
    </row>
    <row r="370" ht="18.75" customHeight="1">
      <c r="A370" s="176" t="n"/>
      <c r="B370" s="176" t="n"/>
      <c r="C370" s="176" t="n"/>
      <c r="D370" s="176" t="n"/>
      <c r="E370" s="176" t="n"/>
      <c r="F370" s="176" t="n"/>
      <c r="G370" s="176" t="n"/>
      <c r="H370" s="176" t="n"/>
      <c r="I370" s="176" t="n"/>
      <c r="J370" s="176" t="n"/>
      <c r="K370" s="176" t="n"/>
      <c r="L370" s="176" t="n"/>
      <c r="M370" s="176" t="n"/>
      <c r="N370" s="176" t="n"/>
      <c r="O370" s="176" t="n"/>
      <c r="P370" s="176" t="n"/>
      <c r="Q370" s="176" t="n"/>
      <c r="R370" s="176" t="n"/>
      <c r="S370" s="176" t="n"/>
      <c r="T370" s="181">
        <f>SWITCH('CONFIGURAÇÃO'!$T$362,"Origem","BASE DO LIVRO","Marcante","","Menor","","Arma","PROPRIEDADE 3","Escudo","","Uniforme","","Item comum","","Ferramenta amaldiçoada","","")</f>
        <v/>
      </c>
      <c r="U370" s="183" t="n"/>
      <c r="V370" s="185" t="n"/>
      <c r="W370" s="182" t="n"/>
      <c r="X370" s="182" t="n"/>
      <c r="Y370" s="183" t="n"/>
      <c r="Z370" s="176" t="n"/>
      <c r="AA370" s="176" t="n"/>
      <c r="AB370" s="176" t="n"/>
      <c r="AC370" s="176" t="n"/>
      <c r="AD370" s="176" t="n"/>
      <c r="AE370" s="176" t="n"/>
      <c r="AF370" s="176" t="n"/>
      <c r="AG370" s="176" t="n"/>
      <c r="AH370" s="176" t="n"/>
      <c r="AI370" s="176" t="n"/>
      <c r="AJ370" s="176" t="n"/>
      <c r="AK370" s="176" t="n"/>
      <c r="AL370" s="176" t="n"/>
      <c r="AM370" s="176" t="n"/>
      <c r="AN370" s="176" t="n"/>
      <c r="AO370" s="176" t="n"/>
      <c r="AP370" s="176" t="n"/>
      <c r="AQ370" s="176" t="n"/>
      <c r="AR370" s="176" t="n"/>
      <c r="AS370" s="176" t="n"/>
      <c r="AT370" s="176" t="n"/>
      <c r="AU370" s="176" t="n"/>
      <c r="AV370" s="176" t="n"/>
      <c r="AW370" s="176" t="n"/>
      <c r="AX370" s="176" t="n"/>
      <c r="AY370" s="176" t="n"/>
      <c r="AZ370" s="176" t="n"/>
      <c r="BA370" s="176" t="n"/>
      <c r="BB370" s="176" t="n"/>
      <c r="BC370" s="176" t="n"/>
      <c r="BD370" s="176" t="n"/>
      <c r="BE370" s="176" t="n"/>
      <c r="BF370" s="176" t="n"/>
      <c r="BG370" s="176" t="n"/>
      <c r="BH370" s="176" t="n"/>
      <c r="BI370" s="176" t="n"/>
      <c r="BJ370" s="176" t="n"/>
      <c r="BK370" s="176" t="n"/>
      <c r="BL370" s="176" t="n"/>
      <c r="BM370" s="176" t="n"/>
      <c r="BN370" s="176" t="n"/>
      <c r="BO370" s="176" t="n"/>
      <c r="BP370" s="176" t="n"/>
      <c r="BQ370" s="176" t="n"/>
      <c r="BR370" s="176" t="n"/>
      <c r="BS370" s="176" t="n"/>
      <c r="BT370" s="176" t="n"/>
      <c r="BU370" s="176" t="n"/>
      <c r="BV370" s="176" t="n"/>
      <c r="BW370" s="176" t="n"/>
      <c r="BX370" s="176" t="n"/>
      <c r="BY370" s="176" t="n"/>
      <c r="BZ370" s="176" t="n"/>
      <c r="CA370" s="176" t="n"/>
      <c r="CB370" s="176" t="n"/>
      <c r="CC370" s="176" t="n"/>
      <c r="CD370" s="176" t="n"/>
      <c r="CE370" s="176" t="n"/>
      <c r="CF370" s="176" t="n"/>
      <c r="CG370" s="176" t="n"/>
      <c r="CH370" s="176" t="n"/>
      <c r="CI370" s="176" t="n"/>
      <c r="CJ370" s="176" t="n"/>
      <c r="CK370" s="176" t="n"/>
      <c r="CL370" s="176" t="n"/>
      <c r="CM370" s="176" t="n"/>
      <c r="CN370" s="176" t="n"/>
      <c r="CO370" s="176" t="n"/>
      <c r="CP370" s="176" t="n"/>
      <c r="CQ370" s="176" t="n"/>
      <c r="CR370" s="176" t="n"/>
      <c r="CS370" s="176" t="n"/>
      <c r="CT370" s="176" t="n"/>
      <c r="CU370" s="176" t="n"/>
      <c r="CV370" s="176" t="n"/>
      <c r="CW370" s="176" t="n"/>
      <c r="CX370" s="176" t="n"/>
      <c r="CY370" s="176" t="n"/>
      <c r="CZ370" s="176" t="n"/>
      <c r="DA370" s="189" t="n"/>
      <c r="DB370" s="190" t="n"/>
      <c r="DC370" s="190" t="n"/>
      <c r="DD370" s="190" t="n"/>
      <c r="DE370" s="190" t="n"/>
      <c r="DF370" s="191" t="n"/>
      <c r="DG370" s="176" t="n"/>
      <c r="DH370" s="176" t="n"/>
      <c r="DI370" s="189" t="n"/>
      <c r="DJ370" s="190" t="n"/>
      <c r="DK370" s="190" t="n"/>
      <c r="DL370" s="190" t="n"/>
      <c r="DM370" s="190" t="n"/>
      <c r="DN370" s="191" t="n"/>
      <c r="DO370" s="176" t="n"/>
      <c r="DP370" s="176" t="n"/>
      <c r="DQ370" s="176" t="n"/>
      <c r="DR370" s="176" t="n"/>
      <c r="DS370" s="176" t="n"/>
      <c r="DT370" s="176" t="n"/>
      <c r="DU370" s="176" t="n"/>
      <c r="DV370" s="176" t="n"/>
      <c r="DW370" s="176" t="n"/>
      <c r="DX370" s="176" t="n"/>
      <c r="DY370" s="176" t="n"/>
      <c r="DZ370" s="176" t="n"/>
      <c r="EA370" s="176" t="n"/>
      <c r="EB370" s="176" t="n"/>
      <c r="EC370" s="176" t="n"/>
      <c r="ED370" s="176" t="n"/>
      <c r="EE370" s="176" t="n"/>
      <c r="EF370" s="176" t="n"/>
      <c r="EG370" s="176" t="n"/>
      <c r="EH370" s="176" t="n"/>
      <c r="EI370" s="176" t="n"/>
      <c r="EJ370" s="176" t="n"/>
      <c r="EK370" s="176" t="n"/>
      <c r="EL370" s="176" t="n"/>
      <c r="EM370" s="176" t="n"/>
      <c r="EN370" s="176" t="n"/>
      <c r="EO370" s="176" t="n"/>
      <c r="EP370" s="176" t="n"/>
      <c r="EQ370" s="176" t="n"/>
      <c r="ER370" s="176" t="n"/>
      <c r="ES370" s="176" t="n"/>
      <c r="ET370" s="176" t="n"/>
      <c r="EU370" s="176" t="n"/>
      <c r="EV370" s="176" t="n"/>
      <c r="EW370" s="176" t="n"/>
      <c r="EX370" s="176" t="n"/>
      <c r="EY370" s="176" t="n"/>
      <c r="EZ370" s="176" t="n"/>
      <c r="FA370" s="176" t="n"/>
      <c r="FB370" s="176" t="n"/>
      <c r="FC370" s="176" t="n"/>
      <c r="FD370" s="176" t="n"/>
      <c r="FE370" s="176" t="n"/>
      <c r="FF370" s="176" t="n"/>
      <c r="FG370" s="176" t="n"/>
      <c r="FH370" s="176" t="n"/>
      <c r="FI370" s="176" t="n"/>
      <c r="FJ370" s="176" t="n"/>
      <c r="FK370" s="176" t="n"/>
      <c r="FL370" s="176" t="n"/>
      <c r="FM370" s="176" t="n"/>
      <c r="FN370" s="176" t="n"/>
      <c r="FO370" s="176" t="n"/>
      <c r="FP370" s="176" t="n"/>
      <c r="FQ370" s="176" t="n"/>
      <c r="FR370" s="176" t="n"/>
      <c r="FS370" s="176" t="n"/>
      <c r="FT370" s="176" t="n"/>
      <c r="FU370" s="176" t="n"/>
      <c r="FV370" s="176" t="n"/>
      <c r="FW370" s="176" t="n"/>
      <c r="FX370" s="176" t="n"/>
      <c r="FY370" s="176" t="n"/>
      <c r="FZ370" s="176" t="n"/>
      <c r="GA370" s="176" t="n"/>
      <c r="GB370" s="176" t="n"/>
      <c r="GC370" s="176" t="n"/>
      <c r="GD370" s="176" t="n"/>
      <c r="GE370" s="176" t="n"/>
      <c r="GF370" s="176" t="n"/>
      <c r="GG370" s="176" t="n"/>
      <c r="GH370" s="176" t="n"/>
      <c r="GI370" s="176" t="n"/>
      <c r="GJ370" s="176" t="n"/>
      <c r="GK370" s="176" t="n"/>
      <c r="GL370" s="176" t="n"/>
      <c r="GM370" s="176" t="n"/>
      <c r="GN370" s="176" t="n"/>
      <c r="GO370" s="176" t="n"/>
      <c r="GP370" s="176" t="n"/>
      <c r="GQ370" s="176" t="n"/>
      <c r="GR370" s="176" t="n"/>
      <c r="GS370" s="176" t="n"/>
      <c r="GT370" s="176" t="n"/>
      <c r="GU370" s="176" t="n"/>
      <c r="GV370" s="176" t="n"/>
      <c r="GW370" s="176" t="n"/>
      <c r="GX370" s="176" t="n"/>
      <c r="GY370" s="176" t="n"/>
      <c r="GZ370" s="176" t="n"/>
      <c r="HA370" s="176" t="n"/>
      <c r="HB370" s="176" t="n"/>
      <c r="HC370" s="176" t="n"/>
      <c r="HD370" s="176" t="n"/>
      <c r="HE370" s="176" t="n"/>
      <c r="HF370" s="176" t="n"/>
      <c r="HG370" s="176" t="n"/>
      <c r="HH370" s="176" t="n"/>
      <c r="HI370" s="176" t="n"/>
      <c r="HJ370" s="176" t="n"/>
      <c r="HK370" s="176" t="n"/>
      <c r="HL370" s="176" t="n"/>
      <c r="HM370" s="176" t="n"/>
      <c r="HN370" s="176" t="n"/>
      <c r="HO370" s="176" t="n"/>
      <c r="HP370" s="176" t="n"/>
      <c r="HQ370" s="176" t="n"/>
      <c r="HR370" s="176" t="n"/>
      <c r="HS370" s="176" t="n"/>
      <c r="HT370" s="176" t="n"/>
      <c r="HU370" s="176" t="n"/>
      <c r="HV370" s="176" t="n"/>
      <c r="HW370" s="176" t="n"/>
      <c r="HX370" s="176" t="n"/>
      <c r="HY370" s="176" t="n"/>
      <c r="HZ370" s="176" t="n"/>
      <c r="IA370" s="176" t="n"/>
      <c r="IB370" s="176" t="n"/>
      <c r="IC370" s="176" t="n"/>
      <c r="ID370" s="176" t="n"/>
    </row>
    <row r="371" ht="18.75" customHeight="1">
      <c r="A371" s="176" t="n"/>
      <c r="B371" s="176" t="n"/>
      <c r="C371" s="176" t="n"/>
      <c r="D371" s="176" t="n"/>
      <c r="E371" s="176" t="n"/>
      <c r="F371" s="176" t="n"/>
      <c r="G371" s="176" t="n"/>
      <c r="H371" s="176" t="n"/>
      <c r="I371" s="176" t="n"/>
      <c r="J371" s="176" t="n"/>
      <c r="K371" s="176" t="n"/>
      <c r="L371" s="176" t="n"/>
      <c r="M371" s="176" t="n"/>
      <c r="N371" s="176" t="n"/>
      <c r="O371" s="176" t="n"/>
      <c r="P371" s="176" t="n"/>
      <c r="Q371" s="176" t="n"/>
      <c r="R371" s="176" t="n"/>
      <c r="S371" s="176" t="n"/>
      <c r="T371" s="181">
        <f>SWITCH('CONFIGURAÇÃO'!$T$362,"Origem","OFÍCIO","Marcante","","Menor","","Arma","PROPRIEDADE 4","Escudo","","Uniforme","","Item comum","","Ferramenta amaldiçoada","","")</f>
        <v/>
      </c>
      <c r="U371" s="183" t="n"/>
      <c r="V371" s="185" t="n"/>
      <c r="W371" s="182" t="n"/>
      <c r="X371" s="182" t="n"/>
      <c r="Y371" s="183" t="n"/>
      <c r="Z371" s="176" t="n"/>
      <c r="AA371" s="176" t="n"/>
      <c r="AB371" s="176" t="n"/>
      <c r="AC371" s="176" t="n"/>
      <c r="AD371" s="176" t="n"/>
      <c r="AE371" s="176" t="n"/>
      <c r="AF371" s="176" t="n"/>
      <c r="AG371" s="176" t="n"/>
      <c r="AH371" s="176" t="n"/>
      <c r="AI371" s="176" t="n"/>
      <c r="AJ371" s="176" t="n"/>
      <c r="AK371" s="176" t="n"/>
      <c r="AL371" s="176" t="n"/>
      <c r="AM371" s="176" t="n"/>
      <c r="AN371" s="176" t="n"/>
      <c r="AO371" s="176" t="n"/>
      <c r="AP371" s="176" t="n"/>
      <c r="AQ371" s="176" t="n"/>
      <c r="AR371" s="176" t="n"/>
      <c r="AS371" s="176" t="n"/>
      <c r="AT371" s="176" t="n"/>
      <c r="AU371" s="176" t="n"/>
      <c r="AV371" s="176" t="n"/>
      <c r="AW371" s="176" t="n"/>
      <c r="AX371" s="176" t="n"/>
      <c r="AY371" s="176" t="n"/>
      <c r="AZ371" s="176" t="n"/>
      <c r="BA371" s="176" t="n"/>
      <c r="BB371" s="176" t="n"/>
      <c r="BC371" s="176" t="n"/>
      <c r="BD371" s="176" t="n"/>
      <c r="BE371" s="176" t="n"/>
      <c r="BF371" s="176" t="n"/>
      <c r="BG371" s="176" t="n"/>
      <c r="BH371" s="176" t="n"/>
      <c r="BI371" s="176" t="n"/>
      <c r="BJ371" s="176" t="n"/>
      <c r="BK371" s="176" t="n"/>
      <c r="BL371" s="176" t="n"/>
      <c r="BM371" s="176" t="n"/>
      <c r="BN371" s="176" t="n"/>
      <c r="BO371" s="176" t="n"/>
      <c r="BP371" s="176" t="n"/>
      <c r="BQ371" s="176" t="n"/>
      <c r="BR371" s="176" t="n"/>
      <c r="BS371" s="176" t="n"/>
      <c r="BT371" s="176" t="n"/>
      <c r="BU371" s="176" t="n"/>
      <c r="BV371" s="176" t="n"/>
      <c r="BW371" s="176" t="n"/>
      <c r="BX371" s="176" t="n"/>
      <c r="BY371" s="176" t="n"/>
      <c r="BZ371" s="176" t="n"/>
      <c r="CA371" s="176" t="n"/>
      <c r="CB371" s="176" t="n"/>
      <c r="CC371" s="176" t="n"/>
      <c r="CD371" s="176" t="n"/>
      <c r="CE371" s="176" t="n"/>
      <c r="CF371" s="176" t="n"/>
      <c r="CG371" s="176" t="n"/>
      <c r="CH371" s="176" t="n"/>
      <c r="CI371" s="176" t="n"/>
      <c r="CJ371" s="176" t="n"/>
      <c r="CK371" s="176" t="n"/>
      <c r="CL371" s="176" t="n"/>
      <c r="CM371" s="176" t="n"/>
      <c r="CN371" s="176" t="n"/>
      <c r="CO371" s="176" t="n"/>
      <c r="CP371" s="176" t="n"/>
      <c r="CQ371" s="176" t="n"/>
      <c r="CR371" s="176" t="n"/>
      <c r="CS371" s="176" t="n"/>
      <c r="CT371" s="176" t="n"/>
      <c r="CU371" s="176" t="n"/>
      <c r="CV371" s="176" t="n"/>
      <c r="CW371" s="176" t="n"/>
      <c r="CX371" s="176" t="n"/>
      <c r="CY371" s="176" t="n"/>
      <c r="CZ371" s="176" t="n"/>
      <c r="DA371" s="176" t="n"/>
      <c r="DB371" s="176" t="n"/>
      <c r="DC371" s="176" t="n"/>
      <c r="DD371" s="176" t="n"/>
      <c r="DE371" s="176" t="n"/>
      <c r="DF371" s="176" t="n"/>
      <c r="DG371" s="176" t="n"/>
      <c r="DH371" s="176" t="n"/>
      <c r="DI371" s="176" t="n"/>
      <c r="DJ371" s="176" t="n"/>
      <c r="DK371" s="176" t="n"/>
      <c r="DL371" s="176" t="n"/>
      <c r="DM371" s="176" t="n"/>
      <c r="DN371" s="176" t="n"/>
      <c r="DO371" s="176" t="n"/>
      <c r="DP371" s="176" t="n"/>
      <c r="DQ371" s="176" t="n"/>
      <c r="DR371" s="176" t="n"/>
      <c r="DS371" s="176" t="n"/>
      <c r="DT371" s="176" t="n"/>
      <c r="DU371" s="176" t="n"/>
      <c r="DV371" s="176" t="n"/>
      <c r="DW371" s="176" t="n"/>
      <c r="DX371" s="176" t="n"/>
      <c r="DY371" s="176" t="n"/>
      <c r="DZ371" s="176" t="n"/>
      <c r="EA371" s="176" t="n"/>
      <c r="EB371" s="176" t="n"/>
      <c r="EC371" s="176" t="n"/>
      <c r="ED371" s="176" t="n"/>
      <c r="EE371" s="176" t="n"/>
      <c r="EF371" s="176" t="n"/>
      <c r="EG371" s="176" t="n"/>
      <c r="EH371" s="176" t="n"/>
      <c r="EI371" s="176" t="n"/>
      <c r="EJ371" s="176" t="n"/>
      <c r="EK371" s="176" t="n"/>
      <c r="EL371" s="176" t="n"/>
      <c r="EM371" s="176" t="n"/>
      <c r="EN371" s="176" t="n"/>
      <c r="EO371" s="176" t="n"/>
      <c r="EP371" s="176" t="n"/>
      <c r="EQ371" s="176" t="n"/>
      <c r="ER371" s="176" t="n"/>
      <c r="ES371" s="176" t="n"/>
      <c r="ET371" s="176" t="n"/>
      <c r="EU371" s="176" t="n"/>
      <c r="EV371" s="176" t="n"/>
      <c r="EW371" s="176" t="n"/>
      <c r="EX371" s="176" t="n"/>
      <c r="EY371" s="176" t="n"/>
      <c r="EZ371" s="176" t="n"/>
      <c r="FA371" s="176" t="n"/>
      <c r="FB371" s="176" t="n"/>
      <c r="FC371" s="176" t="n"/>
      <c r="FD371" s="176" t="n"/>
      <c r="FE371" s="176" t="n"/>
      <c r="FF371" s="176" t="n"/>
      <c r="FG371" s="176" t="n"/>
      <c r="FH371" s="176" t="n"/>
      <c r="FI371" s="176" t="n"/>
      <c r="FJ371" s="176" t="n"/>
      <c r="FK371" s="176" t="n"/>
      <c r="FL371" s="176" t="n"/>
      <c r="FM371" s="176" t="n"/>
      <c r="FN371" s="176" t="n"/>
      <c r="FO371" s="176" t="n"/>
      <c r="FP371" s="176" t="n"/>
      <c r="FQ371" s="176" t="n"/>
      <c r="FR371" s="176" t="n"/>
      <c r="FS371" s="176" t="n"/>
      <c r="FT371" s="176" t="n"/>
      <c r="FU371" s="176" t="n"/>
      <c r="FV371" s="176" t="n"/>
      <c r="FW371" s="176" t="n"/>
      <c r="FX371" s="176" t="n"/>
      <c r="FY371" s="176" t="n"/>
      <c r="FZ371" s="176" t="n"/>
      <c r="GA371" s="176" t="n"/>
      <c r="GB371" s="176" t="n"/>
      <c r="GC371" s="176" t="n"/>
      <c r="GD371" s="176" t="n"/>
      <c r="GE371" s="176" t="n"/>
      <c r="GF371" s="176" t="n"/>
      <c r="GG371" s="176" t="n"/>
      <c r="GH371" s="176" t="n"/>
      <c r="GI371" s="176" t="n"/>
      <c r="GJ371" s="176" t="n"/>
      <c r="GK371" s="176" t="n"/>
      <c r="GL371" s="176" t="n"/>
      <c r="GM371" s="176" t="n"/>
      <c r="GN371" s="176" t="n"/>
      <c r="GO371" s="176" t="n"/>
      <c r="GP371" s="176" t="n"/>
      <c r="GQ371" s="176" t="n"/>
      <c r="GR371" s="176" t="n"/>
      <c r="GS371" s="176" t="n"/>
      <c r="GT371" s="176" t="n"/>
      <c r="GU371" s="176" t="n"/>
      <c r="GV371" s="176" t="n"/>
      <c r="GW371" s="176" t="n"/>
      <c r="GX371" s="176" t="n"/>
      <c r="GY371" s="176" t="n"/>
      <c r="GZ371" s="176" t="n"/>
      <c r="HA371" s="176" t="n"/>
      <c r="HB371" s="176" t="n"/>
      <c r="HC371" s="176" t="n"/>
      <c r="HD371" s="176" t="n"/>
      <c r="HE371" s="176" t="n"/>
      <c r="HF371" s="176" t="n"/>
      <c r="HG371" s="176" t="n"/>
      <c r="HH371" s="176" t="n"/>
      <c r="HI371" s="176" t="n"/>
      <c r="HJ371" s="176" t="n"/>
      <c r="HK371" s="176" t="n"/>
      <c r="HL371" s="176" t="n"/>
      <c r="HM371" s="176" t="n"/>
      <c r="HN371" s="176" t="n"/>
      <c r="HO371" s="176" t="n"/>
      <c r="HP371" s="176" t="n"/>
      <c r="HQ371" s="176" t="n"/>
      <c r="HR371" s="176" t="n"/>
      <c r="HS371" s="176" t="n"/>
      <c r="HT371" s="176" t="n"/>
      <c r="HU371" s="176" t="n"/>
      <c r="HV371" s="176" t="n"/>
      <c r="HW371" s="176" t="n"/>
      <c r="HX371" s="176" t="n"/>
      <c r="HY371" s="176" t="n"/>
      <c r="HZ371" s="176" t="n"/>
      <c r="IA371" s="176" t="n"/>
      <c r="IB371" s="176" t="n"/>
      <c r="IC371" s="176" t="n"/>
      <c r="ID371" s="176" t="n"/>
    </row>
    <row r="372" ht="18.75" customHeight="1">
      <c r="A372" s="176" t="n"/>
      <c r="B372" s="176" t="n"/>
      <c r="C372" s="176" t="n"/>
      <c r="D372" s="176" t="n"/>
      <c r="E372" s="176" t="n"/>
      <c r="F372" s="176" t="n"/>
      <c r="G372" s="176" t="n"/>
      <c r="H372" s="176" t="n"/>
      <c r="I372" s="176" t="n"/>
      <c r="J372" s="176" t="n"/>
      <c r="K372" s="176" t="n"/>
      <c r="L372" s="176" t="n"/>
      <c r="M372" s="176" t="n"/>
      <c r="N372" s="176" t="n"/>
      <c r="O372" s="176" t="n"/>
      <c r="P372" s="176" t="n"/>
      <c r="Q372" s="176" t="n"/>
      <c r="R372" s="176" t="n"/>
      <c r="S372" s="176" t="n"/>
      <c r="T372" s="181">
        <f>SWITCH('CONFIGURAÇÃO'!$T$362,"Origem","TALENTO CE 4","Marcante","FREQUÊNCIA","Menor","FREQUÊNCIA","Arma","DADO","Escudo","PROTEÇÃO","Uniforme","PROTEÇÃO","Item comum","VOLUME","Ferramenta amaldiçoada","ESTIGMA","")</f>
        <v/>
      </c>
      <c r="U372" s="183" t="n"/>
      <c r="V372" s="185" t="n"/>
      <c r="W372" s="182" t="n"/>
      <c r="X372" s="182" t="n"/>
      <c r="Y372" s="183" t="n"/>
      <c r="Z372" s="176" t="n"/>
      <c r="AA372" s="176" t="n"/>
      <c r="AB372" s="176" t="n"/>
      <c r="AC372" s="176" t="n"/>
      <c r="AD372" s="176" t="n"/>
      <c r="AE372" s="176" t="n"/>
      <c r="AF372" s="176" t="n"/>
      <c r="AG372" s="176" t="n"/>
      <c r="AH372" s="176" t="n"/>
      <c r="AI372" s="176" t="n"/>
      <c r="AJ372" s="176" t="n"/>
      <c r="AK372" s="176" t="n"/>
      <c r="AL372" s="176" t="n"/>
      <c r="AM372" s="176" t="n"/>
      <c r="AN372" s="176" t="n"/>
      <c r="AO372" s="176" t="n"/>
      <c r="AP372" s="176" t="n"/>
      <c r="AQ372" s="176" t="n"/>
      <c r="AR372" s="176" t="n"/>
      <c r="AS372" s="176" t="n"/>
      <c r="AT372" s="176" t="n"/>
      <c r="AU372" s="176" t="n"/>
      <c r="AV372" s="176" t="n"/>
      <c r="AW372" s="176" t="n"/>
      <c r="AX372" s="176" t="n"/>
      <c r="AY372" s="176" t="n"/>
      <c r="AZ372" s="176" t="n"/>
      <c r="BA372" s="176" t="n"/>
      <c r="BB372" s="176" t="n"/>
      <c r="BC372" s="176" t="n"/>
      <c r="BD372" s="176" t="n"/>
      <c r="BE372" s="176" t="n"/>
      <c r="BF372" s="176" t="n"/>
      <c r="BG372" s="176" t="n"/>
      <c r="BH372" s="176" t="n"/>
      <c r="BI372" s="176" t="n"/>
      <c r="BJ372" s="176" t="n"/>
      <c r="BK372" s="176" t="n"/>
      <c r="BL372" s="176" t="n"/>
      <c r="BM372" s="176" t="n"/>
      <c r="BN372" s="176" t="n"/>
      <c r="BO372" s="176" t="n"/>
      <c r="BP372" s="176" t="n"/>
      <c r="BQ372" s="176" t="n"/>
      <c r="BR372" s="176" t="n"/>
      <c r="BS372" s="176" t="n"/>
      <c r="BT372" s="176" t="n"/>
      <c r="BU372" s="176" t="n"/>
      <c r="BV372" s="176" t="n"/>
      <c r="BW372" s="176" t="n"/>
      <c r="BX372" s="176" t="n"/>
      <c r="BY372" s="176" t="n"/>
      <c r="BZ372" s="176" t="n"/>
      <c r="CA372" s="176" t="n"/>
      <c r="CB372" s="176" t="n"/>
      <c r="CC372" s="176" t="n"/>
      <c r="CD372" s="176" t="n"/>
      <c r="CE372" s="176" t="n"/>
      <c r="CF372" s="176" t="n"/>
      <c r="CG372" s="176" t="n"/>
      <c r="CH372" s="176" t="n"/>
      <c r="CI372" s="176" t="n"/>
      <c r="CJ372" s="176" t="n"/>
      <c r="CK372" s="176" t="n"/>
      <c r="CL372" s="176" t="n"/>
      <c r="CM372" s="176" t="n"/>
      <c r="CN372" s="176" t="n"/>
      <c r="CO372" s="176" t="n"/>
      <c r="CP372" s="176" t="n"/>
      <c r="CQ372" s="176" t="n"/>
      <c r="CR372" s="176" t="n"/>
      <c r="CS372" s="176" t="n"/>
      <c r="CT372" s="176" t="n"/>
      <c r="CU372" s="176" t="n"/>
      <c r="CV372" s="176" t="n"/>
      <c r="CW372" s="176" t="n"/>
      <c r="CX372" s="176" t="n"/>
      <c r="CY372" s="176" t="n"/>
      <c r="CZ372" s="176" t="n"/>
      <c r="DA372" s="180">
        <f>IF('DADOS_MELHORIAS'!$M$28="","","⚠ "&amp;'DADOS_MELHORIAS'!$M$28)</f>
        <v/>
      </c>
      <c r="DG372" s="176" t="n"/>
      <c r="DH372" s="176" t="n"/>
      <c r="DI372" s="180">
        <f>IF('DADOS_MELHORIAS'!$M$29="","","⚠ "&amp;'DADOS_MELHORIAS'!$M$29)</f>
        <v/>
      </c>
      <c r="DO372" s="176" t="n"/>
      <c r="DP372" s="176" t="n"/>
      <c r="DQ372" s="176" t="n"/>
      <c r="DR372" s="176" t="n"/>
      <c r="DS372" s="176" t="n"/>
      <c r="DT372" s="176" t="n"/>
      <c r="DU372" s="176" t="n"/>
      <c r="DV372" s="176" t="n"/>
      <c r="DW372" s="176" t="n"/>
      <c r="DX372" s="176" t="n"/>
      <c r="DY372" s="176" t="n"/>
      <c r="DZ372" s="176" t="n"/>
      <c r="EA372" s="176" t="n"/>
      <c r="EB372" s="176" t="n"/>
      <c r="EC372" s="176" t="n"/>
      <c r="ED372" s="176" t="n"/>
      <c r="EE372" s="176" t="n"/>
      <c r="EF372" s="176" t="n"/>
      <c r="EG372" s="176" t="n"/>
      <c r="EH372" s="176" t="n"/>
      <c r="EI372" s="176" t="n"/>
      <c r="EJ372" s="176" t="n"/>
      <c r="EK372" s="176" t="n"/>
      <c r="EL372" s="176" t="n"/>
      <c r="EM372" s="176" t="n"/>
      <c r="EN372" s="176" t="n"/>
      <c r="EO372" s="176" t="n"/>
      <c r="EP372" s="176" t="n"/>
      <c r="EQ372" s="176" t="n"/>
      <c r="ER372" s="176" t="n"/>
      <c r="ES372" s="176" t="n"/>
      <c r="ET372" s="176" t="n"/>
      <c r="EU372" s="176" t="n"/>
      <c r="EV372" s="176" t="n"/>
      <c r="EW372" s="176" t="n"/>
      <c r="EX372" s="176" t="n"/>
      <c r="EY372" s="176" t="n"/>
      <c r="EZ372" s="176" t="n"/>
      <c r="FA372" s="176" t="n"/>
      <c r="FB372" s="176" t="n"/>
      <c r="FC372" s="176" t="n"/>
      <c r="FD372" s="176" t="n"/>
      <c r="FE372" s="176" t="n"/>
      <c r="FF372" s="176" t="n"/>
      <c r="FG372" s="176" t="n"/>
      <c r="FH372" s="176" t="n"/>
      <c r="FI372" s="176" t="n"/>
      <c r="FJ372" s="176" t="n"/>
      <c r="FK372" s="176" t="n"/>
      <c r="FL372" s="176" t="n"/>
      <c r="FM372" s="176" t="n"/>
      <c r="FN372" s="176" t="n"/>
      <c r="FO372" s="176" t="n"/>
      <c r="FP372" s="176" t="n"/>
      <c r="FQ372" s="176" t="n"/>
      <c r="FR372" s="176" t="n"/>
      <c r="FS372" s="176" t="n"/>
      <c r="FT372" s="176" t="n"/>
      <c r="FU372" s="176" t="n"/>
      <c r="FV372" s="176" t="n"/>
      <c r="FW372" s="176" t="n"/>
      <c r="FX372" s="176" t="n"/>
      <c r="FY372" s="176" t="n"/>
      <c r="FZ372" s="176" t="n"/>
      <c r="GA372" s="176" t="n"/>
      <c r="GB372" s="176" t="n"/>
      <c r="GC372" s="176" t="n"/>
      <c r="GD372" s="176" t="n"/>
      <c r="GE372" s="176" t="n"/>
      <c r="GF372" s="176" t="n"/>
      <c r="GG372" s="176" t="n"/>
      <c r="GH372" s="176" t="n"/>
      <c r="GI372" s="176" t="n"/>
      <c r="GJ372" s="176" t="n"/>
      <c r="GK372" s="176" t="n"/>
      <c r="GL372" s="176" t="n"/>
      <c r="GM372" s="176" t="n"/>
      <c r="GN372" s="176" t="n"/>
      <c r="GO372" s="176" t="n"/>
      <c r="GP372" s="176" t="n"/>
      <c r="GQ372" s="176" t="n"/>
      <c r="GR372" s="176" t="n"/>
      <c r="GS372" s="176" t="n"/>
      <c r="GT372" s="176" t="n"/>
      <c r="GU372" s="176" t="n"/>
      <c r="GV372" s="176" t="n"/>
      <c r="GW372" s="176" t="n"/>
      <c r="GX372" s="176" t="n"/>
      <c r="GY372" s="176" t="n"/>
      <c r="GZ372" s="176" t="n"/>
      <c r="HA372" s="176" t="n"/>
      <c r="HB372" s="176" t="n"/>
      <c r="HC372" s="176" t="n"/>
      <c r="HD372" s="176" t="n"/>
      <c r="HE372" s="176" t="n"/>
      <c r="HF372" s="176" t="n"/>
      <c r="HG372" s="176" t="n"/>
      <c r="HH372" s="176" t="n"/>
      <c r="HI372" s="176" t="n"/>
      <c r="HJ372" s="176" t="n"/>
      <c r="HK372" s="176" t="n"/>
      <c r="HL372" s="176" t="n"/>
      <c r="HM372" s="176" t="n"/>
      <c r="HN372" s="176" t="n"/>
      <c r="HO372" s="176" t="n"/>
      <c r="HP372" s="176" t="n"/>
      <c r="HQ372" s="176" t="n"/>
      <c r="HR372" s="176" t="n"/>
      <c r="HS372" s="176" t="n"/>
      <c r="HT372" s="176" t="n"/>
      <c r="HU372" s="176" t="n"/>
      <c r="HV372" s="176" t="n"/>
      <c r="HW372" s="176" t="n"/>
      <c r="HX372" s="176" t="n"/>
      <c r="HY372" s="176" t="n"/>
      <c r="HZ372" s="176" t="n"/>
      <c r="IA372" s="176" t="n"/>
      <c r="IB372" s="176" t="n"/>
      <c r="IC372" s="176" t="n"/>
      <c r="ID372" s="176" t="n"/>
    </row>
    <row r="373" ht="18.75" customHeight="1">
      <c r="A373" s="176" t="n"/>
      <c r="B373" s="176" t="n"/>
      <c r="C373" s="176" t="n"/>
      <c r="D373" s="176" t="n"/>
      <c r="E373" s="176" t="n"/>
      <c r="F373" s="176" t="n"/>
      <c r="G373" s="176" t="n"/>
      <c r="H373" s="176" t="n"/>
      <c r="I373" s="176" t="n"/>
      <c r="J373" s="176" t="n"/>
      <c r="K373" s="176" t="n"/>
      <c r="L373" s="176" t="n"/>
      <c r="M373" s="176" t="n"/>
      <c r="N373" s="176" t="n"/>
      <c r="O373" s="176" t="n"/>
      <c r="P373" s="176" t="n"/>
      <c r="Q373" s="176" t="n"/>
      <c r="R373" s="176" t="n"/>
      <c r="S373" s="176" t="n"/>
      <c r="T373" s="181">
        <f>SWITCH('CONFIGURAÇÃO'!$T$362,"Origem","","Marcante","","Menor","","Arma","FORÇA","Escudo","TETO DE DESTREZA","Uniforme","TETO DE DESTREZA","Item comum","PREÇO","Ferramenta amaldiçoada","DESGASTE","")</f>
        <v/>
      </c>
      <c r="U373" s="183" t="n"/>
      <c r="V373" s="185" t="n"/>
      <c r="W373" s="182" t="n"/>
      <c r="X373" s="182" t="n"/>
      <c r="Y373" s="183" t="n"/>
      <c r="Z373" s="176" t="n"/>
      <c r="AA373" s="176" t="n"/>
      <c r="AB373" s="176" t="n"/>
      <c r="AC373" s="176" t="n"/>
      <c r="AD373" s="176" t="n"/>
      <c r="AE373" s="176" t="n"/>
      <c r="AF373" s="176" t="n"/>
      <c r="AG373" s="176" t="n"/>
      <c r="AH373" s="176" t="n"/>
      <c r="AI373" s="176" t="n"/>
      <c r="AJ373" s="176" t="n"/>
      <c r="AK373" s="176" t="n"/>
      <c r="AL373" s="176" t="n"/>
      <c r="AM373" s="176" t="n"/>
      <c r="AN373" s="176" t="n"/>
      <c r="AO373" s="176" t="n"/>
      <c r="AP373" s="176" t="n"/>
      <c r="AQ373" s="176" t="n"/>
      <c r="AR373" s="176" t="n"/>
      <c r="AS373" s="176" t="n"/>
      <c r="AT373" s="176" t="n"/>
      <c r="AU373" s="176" t="n"/>
      <c r="AV373" s="176" t="n"/>
      <c r="AW373" s="176" t="n"/>
      <c r="AX373" s="176" t="n"/>
      <c r="AY373" s="176" t="n"/>
      <c r="AZ373" s="176" t="n"/>
      <c r="BA373" s="176" t="n"/>
      <c r="BB373" s="176" t="n"/>
      <c r="BC373" s="176" t="n"/>
      <c r="BD373" s="176" t="n"/>
      <c r="BE373" s="176" t="n"/>
      <c r="BF373" s="176" t="n"/>
      <c r="BG373" s="176" t="n"/>
      <c r="BH373" s="176" t="n"/>
      <c r="BI373" s="176" t="n"/>
      <c r="BJ373" s="176" t="n"/>
      <c r="BK373" s="176" t="n"/>
      <c r="BL373" s="176" t="n"/>
      <c r="BM373" s="176" t="n"/>
      <c r="BN373" s="176" t="n"/>
      <c r="BO373" s="176" t="n"/>
      <c r="BP373" s="176" t="n"/>
      <c r="BQ373" s="176" t="n"/>
      <c r="BR373" s="176" t="n"/>
      <c r="BS373" s="176" t="n"/>
      <c r="BT373" s="176" t="n"/>
      <c r="BU373" s="176" t="n"/>
      <c r="BV373" s="176" t="n"/>
      <c r="BW373" s="176" t="n"/>
      <c r="BX373" s="176" t="n"/>
      <c r="BY373" s="176" t="n"/>
      <c r="BZ373" s="176" t="n"/>
      <c r="CA373" s="176" t="n"/>
      <c r="CB373" s="176" t="n"/>
      <c r="CC373" s="176" t="n"/>
      <c r="CD373" s="176" t="n"/>
      <c r="CE373" s="176" t="n"/>
      <c r="CF373" s="176" t="n"/>
      <c r="CG373" s="176" t="n"/>
      <c r="CH373" s="176" t="n"/>
      <c r="CI373" s="176" t="n"/>
      <c r="CJ373" s="176" t="n"/>
      <c r="CK373" s="176" t="n"/>
      <c r="CL373" s="176" t="n"/>
      <c r="CM373" s="176" t="n"/>
      <c r="CN373" s="176" t="n"/>
      <c r="CO373" s="176" t="n"/>
      <c r="CP373" s="176" t="n"/>
      <c r="CQ373" s="176" t="n"/>
      <c r="CR373" s="176" t="n"/>
      <c r="CS373" s="176" t="n"/>
      <c r="CT373" s="176" t="n"/>
      <c r="CU373" s="176" t="n"/>
      <c r="CV373" s="176" t="n"/>
      <c r="CW373" s="176" t="n"/>
      <c r="CX373" s="176" t="n"/>
      <c r="CY373" s="176" t="n"/>
      <c r="CZ373" s="176" t="n"/>
      <c r="DG373" s="176" t="n"/>
      <c r="DH373" s="176" t="n"/>
      <c r="DO373" s="176" t="n"/>
      <c r="DP373" s="176" t="n"/>
      <c r="DQ373" s="176" t="n"/>
      <c r="DR373" s="176" t="n"/>
      <c r="DS373" s="176" t="n"/>
      <c r="DT373" s="176" t="n"/>
      <c r="DU373" s="176" t="n"/>
      <c r="DV373" s="176" t="n"/>
      <c r="DW373" s="176" t="n"/>
      <c r="DX373" s="176" t="n"/>
      <c r="DY373" s="176" t="n"/>
      <c r="DZ373" s="176" t="n"/>
      <c r="EA373" s="176" t="n"/>
      <c r="EB373" s="176" t="n"/>
      <c r="EC373" s="176" t="n"/>
      <c r="ED373" s="176" t="n"/>
      <c r="EE373" s="176" t="n"/>
      <c r="EF373" s="176" t="n"/>
      <c r="EG373" s="176" t="n"/>
      <c r="EH373" s="176" t="n"/>
      <c r="EI373" s="176" t="n"/>
      <c r="EJ373" s="176" t="n"/>
      <c r="EK373" s="176" t="n"/>
      <c r="EL373" s="176" t="n"/>
      <c r="EM373" s="176" t="n"/>
      <c r="EN373" s="176" t="n"/>
      <c r="EO373" s="176" t="n"/>
      <c r="EP373" s="176" t="n"/>
      <c r="EQ373" s="176" t="n"/>
      <c r="ER373" s="176" t="n"/>
      <c r="ES373" s="176" t="n"/>
      <c r="ET373" s="176" t="n"/>
      <c r="EU373" s="176" t="n"/>
      <c r="EV373" s="176" t="n"/>
      <c r="EW373" s="176" t="n"/>
      <c r="EX373" s="176" t="n"/>
      <c r="EY373" s="176" t="n"/>
      <c r="EZ373" s="176" t="n"/>
      <c r="FA373" s="176" t="n"/>
      <c r="FB373" s="176" t="n"/>
      <c r="FC373" s="176" t="n"/>
      <c r="FD373" s="176" t="n"/>
      <c r="FE373" s="176" t="n"/>
      <c r="FF373" s="176" t="n"/>
      <c r="FG373" s="176" t="n"/>
      <c r="FH373" s="176" t="n"/>
      <c r="FI373" s="176" t="n"/>
      <c r="FJ373" s="176" t="n"/>
      <c r="FK373" s="176" t="n"/>
      <c r="FL373" s="176" t="n"/>
      <c r="FM373" s="176" t="n"/>
      <c r="FN373" s="176" t="n"/>
      <c r="FO373" s="176" t="n"/>
      <c r="FP373" s="176" t="n"/>
      <c r="FQ373" s="176" t="n"/>
      <c r="FR373" s="176" t="n"/>
      <c r="FS373" s="176" t="n"/>
      <c r="FT373" s="176" t="n"/>
      <c r="FU373" s="176" t="n"/>
      <c r="FV373" s="176" t="n"/>
      <c r="FW373" s="176" t="n"/>
      <c r="FX373" s="176" t="n"/>
      <c r="FY373" s="176" t="n"/>
      <c r="FZ373" s="176" t="n"/>
      <c r="GA373" s="176" t="n"/>
      <c r="GB373" s="176" t="n"/>
      <c r="GC373" s="176" t="n"/>
      <c r="GD373" s="176" t="n"/>
      <c r="GE373" s="176" t="n"/>
      <c r="GF373" s="176" t="n"/>
      <c r="GG373" s="176" t="n"/>
      <c r="GH373" s="176" t="n"/>
      <c r="GI373" s="176" t="n"/>
      <c r="GJ373" s="176" t="n"/>
      <c r="GK373" s="176" t="n"/>
      <c r="GL373" s="176" t="n"/>
      <c r="GM373" s="176" t="n"/>
      <c r="GN373" s="176" t="n"/>
      <c r="GO373" s="176" t="n"/>
      <c r="GP373" s="176" t="n"/>
      <c r="GQ373" s="176" t="n"/>
      <c r="GR373" s="176" t="n"/>
      <c r="GS373" s="176" t="n"/>
      <c r="GT373" s="176" t="n"/>
      <c r="GU373" s="176" t="n"/>
      <c r="GV373" s="176" t="n"/>
      <c r="GW373" s="176" t="n"/>
      <c r="GX373" s="176" t="n"/>
      <c r="GY373" s="176" t="n"/>
      <c r="GZ373" s="176" t="n"/>
      <c r="HA373" s="176" t="n"/>
      <c r="HB373" s="176" t="n"/>
      <c r="HC373" s="176" t="n"/>
      <c r="HD373" s="176" t="n"/>
      <c r="HE373" s="176" t="n"/>
      <c r="HF373" s="176" t="n"/>
      <c r="HG373" s="176" t="n"/>
      <c r="HH373" s="176" t="n"/>
      <c r="HI373" s="176" t="n"/>
      <c r="HJ373" s="176" t="n"/>
      <c r="HK373" s="176" t="n"/>
      <c r="HL373" s="176" t="n"/>
      <c r="HM373" s="176" t="n"/>
      <c r="HN373" s="176" t="n"/>
      <c r="HO373" s="176" t="n"/>
      <c r="HP373" s="176" t="n"/>
      <c r="HQ373" s="176" t="n"/>
      <c r="HR373" s="176" t="n"/>
      <c r="HS373" s="176" t="n"/>
      <c r="HT373" s="176" t="n"/>
      <c r="HU373" s="176" t="n"/>
      <c r="HV373" s="176" t="n"/>
      <c r="HW373" s="176" t="n"/>
      <c r="HX373" s="176" t="n"/>
      <c r="HY373" s="176" t="n"/>
      <c r="HZ373" s="176" t="n"/>
      <c r="IA373" s="176" t="n"/>
      <c r="IB373" s="176" t="n"/>
      <c r="IC373" s="176" t="n"/>
      <c r="ID373" s="176" t="n"/>
    </row>
    <row r="374" ht="18.75" customHeight="1">
      <c r="A374" s="176" t="n"/>
      <c r="B374" s="176" t="n"/>
      <c r="C374" s="176" t="n"/>
      <c r="D374" s="176" t="n"/>
      <c r="E374" s="176" t="n"/>
      <c r="F374" s="176" t="n"/>
      <c r="G374" s="176" t="n"/>
      <c r="H374" s="176" t="n"/>
      <c r="I374" s="176" t="n"/>
      <c r="J374" s="176" t="n"/>
      <c r="K374" s="176" t="n"/>
      <c r="L374" s="176" t="n"/>
      <c r="M374" s="176" t="n"/>
      <c r="N374" s="176" t="n"/>
      <c r="O374" s="176" t="n"/>
      <c r="P374" s="176" t="n"/>
      <c r="Q374" s="176" t="n"/>
      <c r="R374" s="176" t="n"/>
      <c r="S374" s="176" t="n"/>
      <c r="T374" s="181">
        <f>SWITCH('CONFIGURAÇÃO'!$T$362,"Origem","","Marcante","","Menor","","Arma","VOLUME","Escudo","FORÇA","Uniforme","FORÇA","Item comum","","Ferramenta amaldiçoada","VOLUME","")</f>
        <v/>
      </c>
      <c r="U374" s="183" t="n"/>
      <c r="V374" s="185" t="n"/>
      <c r="W374" s="182" t="n"/>
      <c r="X374" s="182" t="n"/>
      <c r="Y374" s="183" t="n"/>
      <c r="Z374" s="176" t="n"/>
      <c r="AA374" s="176" t="n"/>
      <c r="AB374" s="176" t="n"/>
      <c r="AC374" s="176" t="n"/>
      <c r="AD374" s="176" t="n"/>
      <c r="AE374" s="176" t="n"/>
      <c r="AF374" s="176" t="n"/>
      <c r="AG374" s="176" t="n"/>
      <c r="AH374" s="176" t="n"/>
      <c r="AI374" s="176" t="n"/>
      <c r="AJ374" s="176" t="n"/>
      <c r="AK374" s="176" t="n"/>
      <c r="AL374" s="176" t="n"/>
      <c r="AM374" s="176" t="n"/>
      <c r="AN374" s="176" t="n"/>
      <c r="AO374" s="176" t="n"/>
      <c r="AP374" s="176" t="n"/>
      <c r="AQ374" s="176" t="n"/>
      <c r="AR374" s="176" t="n"/>
      <c r="AS374" s="176" t="n"/>
      <c r="AT374" s="176" t="n"/>
      <c r="AU374" s="176" t="n"/>
      <c r="AV374" s="176" t="n"/>
      <c r="AW374" s="176" t="n"/>
      <c r="AX374" s="176" t="n"/>
      <c r="AY374" s="176" t="n"/>
      <c r="AZ374" s="176" t="n"/>
      <c r="BA374" s="176" t="n"/>
      <c r="BB374" s="176" t="n"/>
      <c r="BC374" s="176" t="n"/>
      <c r="BD374" s="176" t="n"/>
      <c r="BE374" s="176" t="n"/>
      <c r="BF374" s="176" t="n"/>
      <c r="BG374" s="176" t="n"/>
      <c r="BH374" s="176" t="n"/>
      <c r="BI374" s="176" t="n"/>
      <c r="BJ374" s="176" t="n"/>
      <c r="BK374" s="176" t="n"/>
      <c r="BL374" s="176" t="n"/>
      <c r="BM374" s="176" t="n"/>
      <c r="BN374" s="176" t="n"/>
      <c r="BO374" s="176" t="n"/>
      <c r="BP374" s="176" t="n"/>
      <c r="BQ374" s="176" t="n"/>
      <c r="BR374" s="176" t="n"/>
      <c r="BS374" s="176" t="n"/>
      <c r="BT374" s="176" t="n"/>
      <c r="BU374" s="176" t="n"/>
      <c r="BV374" s="176" t="n"/>
      <c r="BW374" s="176" t="n"/>
      <c r="BX374" s="176" t="n"/>
      <c r="BY374" s="176" t="n"/>
      <c r="BZ374" s="176" t="n"/>
      <c r="CA374" s="176" t="n"/>
      <c r="CB374" s="176" t="n"/>
      <c r="CC374" s="176" t="n"/>
      <c r="CD374" s="176" t="n"/>
      <c r="CE374" s="176" t="n"/>
      <c r="CF374" s="176" t="n"/>
      <c r="CG374" s="176" t="n"/>
      <c r="CH374" s="176" t="n"/>
      <c r="CI374" s="176" t="n"/>
      <c r="CJ374" s="176" t="n"/>
      <c r="CK374" s="176" t="n"/>
      <c r="CL374" s="176" t="n"/>
      <c r="CM374" s="176" t="n"/>
      <c r="CN374" s="176" t="n"/>
      <c r="CO374" s="176" t="n"/>
      <c r="CP374" s="176" t="n"/>
      <c r="CQ374" s="176" t="n"/>
      <c r="CR374" s="176" t="n"/>
      <c r="CS374" s="176" t="n"/>
      <c r="CT374" s="176" t="n"/>
      <c r="CU374" s="176" t="n"/>
      <c r="CV374" s="176" t="n"/>
      <c r="CW374" s="176" t="n"/>
      <c r="CX374" s="176" t="n"/>
      <c r="CY374" s="176" t="n"/>
      <c r="CZ374" s="176" t="n"/>
      <c r="DA374" s="176" t="n"/>
      <c r="DB374" s="176" t="n"/>
      <c r="DC374" s="176" t="n"/>
      <c r="DD374" s="176" t="n"/>
      <c r="DE374" s="176" t="n"/>
      <c r="DF374" s="176" t="n"/>
      <c r="DG374" s="176" t="n"/>
      <c r="DH374" s="176" t="n"/>
      <c r="DI374" s="176" t="n"/>
      <c r="DJ374" s="176" t="n"/>
      <c r="DK374" s="176" t="n"/>
      <c r="DL374" s="176" t="n"/>
      <c r="DM374" s="176" t="n"/>
      <c r="DN374" s="176" t="n"/>
      <c r="DO374" s="176" t="n"/>
      <c r="DP374" s="176" t="n"/>
      <c r="DQ374" s="176" t="n"/>
      <c r="DR374" s="176" t="n"/>
      <c r="DS374" s="176" t="n"/>
      <c r="DT374" s="176" t="n"/>
      <c r="DU374" s="176" t="n"/>
      <c r="DV374" s="176" t="n"/>
      <c r="DW374" s="176" t="n"/>
      <c r="DX374" s="176" t="n"/>
      <c r="DY374" s="176" t="n"/>
      <c r="DZ374" s="176" t="n"/>
      <c r="EA374" s="176" t="n"/>
      <c r="EB374" s="176" t="n"/>
      <c r="EC374" s="176" t="n"/>
      <c r="ED374" s="176" t="n"/>
      <c r="EE374" s="176" t="n"/>
      <c r="EF374" s="176" t="n"/>
      <c r="EG374" s="176" t="n"/>
      <c r="EH374" s="176" t="n"/>
      <c r="EI374" s="176" t="n"/>
      <c r="EJ374" s="176" t="n"/>
      <c r="EK374" s="176" t="n"/>
      <c r="EL374" s="176" t="n"/>
      <c r="EM374" s="176" t="n"/>
      <c r="EN374" s="176" t="n"/>
      <c r="EO374" s="176" t="n"/>
      <c r="EP374" s="176" t="n"/>
      <c r="EQ374" s="176" t="n"/>
      <c r="ER374" s="176" t="n"/>
      <c r="ES374" s="176" t="n"/>
      <c r="ET374" s="176" t="n"/>
      <c r="EU374" s="176" t="n"/>
      <c r="EV374" s="176" t="n"/>
      <c r="EW374" s="176" t="n"/>
      <c r="EX374" s="176" t="n"/>
      <c r="EY374" s="176" t="n"/>
      <c r="EZ374" s="176" t="n"/>
      <c r="FA374" s="176" t="n"/>
      <c r="FB374" s="176" t="n"/>
      <c r="FC374" s="176" t="n"/>
      <c r="FD374" s="176" t="n"/>
      <c r="FE374" s="176" t="n"/>
      <c r="FF374" s="176" t="n"/>
      <c r="FG374" s="176" t="n"/>
      <c r="FH374" s="176" t="n"/>
      <c r="FI374" s="176" t="n"/>
      <c r="FJ374" s="176" t="n"/>
      <c r="FK374" s="176" t="n"/>
      <c r="FL374" s="176" t="n"/>
      <c r="FM374" s="176" t="n"/>
      <c r="FN374" s="176" t="n"/>
      <c r="FO374" s="176" t="n"/>
      <c r="FP374" s="176" t="n"/>
      <c r="FQ374" s="176" t="n"/>
      <c r="FR374" s="176" t="n"/>
      <c r="FS374" s="176" t="n"/>
      <c r="FT374" s="176" t="n"/>
      <c r="FU374" s="176" t="n"/>
      <c r="FV374" s="176" t="n"/>
      <c r="FW374" s="176" t="n"/>
      <c r="FX374" s="176" t="n"/>
      <c r="FY374" s="176" t="n"/>
      <c r="FZ374" s="176" t="n"/>
      <c r="GA374" s="176" t="n"/>
      <c r="GB374" s="176" t="n"/>
      <c r="GC374" s="176" t="n"/>
      <c r="GD374" s="176" t="n"/>
      <c r="GE374" s="176" t="n"/>
      <c r="GF374" s="176" t="n"/>
      <c r="GG374" s="176" t="n"/>
      <c r="GH374" s="176" t="n"/>
      <c r="GI374" s="176" t="n"/>
      <c r="GJ374" s="176" t="n"/>
      <c r="GK374" s="176" t="n"/>
      <c r="GL374" s="176" t="n"/>
      <c r="GM374" s="176" t="n"/>
      <c r="GN374" s="176" t="n"/>
      <c r="GO374" s="176" t="n"/>
      <c r="GP374" s="176" t="n"/>
      <c r="GQ374" s="176" t="n"/>
      <c r="GR374" s="176" t="n"/>
      <c r="GS374" s="176" t="n"/>
      <c r="GT374" s="176" t="n"/>
      <c r="GU374" s="176" t="n"/>
      <c r="GV374" s="176" t="n"/>
      <c r="GW374" s="176" t="n"/>
      <c r="GX374" s="176" t="n"/>
      <c r="GY374" s="176" t="n"/>
      <c r="GZ374" s="176" t="n"/>
      <c r="HA374" s="176" t="n"/>
      <c r="HB374" s="176" t="n"/>
      <c r="HC374" s="176" t="n"/>
      <c r="HD374" s="176" t="n"/>
      <c r="HE374" s="176" t="n"/>
      <c r="HF374" s="176" t="n"/>
      <c r="HG374" s="176" t="n"/>
      <c r="HH374" s="176" t="n"/>
      <c r="HI374" s="176" t="n"/>
      <c r="HJ374" s="176" t="n"/>
      <c r="HK374" s="176" t="n"/>
      <c r="HL374" s="176" t="n"/>
      <c r="HM374" s="176" t="n"/>
      <c r="HN374" s="176" t="n"/>
      <c r="HO374" s="176" t="n"/>
      <c r="HP374" s="176" t="n"/>
      <c r="HQ374" s="176" t="n"/>
      <c r="HR374" s="176" t="n"/>
      <c r="HS374" s="176" t="n"/>
      <c r="HT374" s="176" t="n"/>
      <c r="HU374" s="176" t="n"/>
      <c r="HV374" s="176" t="n"/>
      <c r="HW374" s="176" t="n"/>
      <c r="HX374" s="176" t="n"/>
      <c r="HY374" s="176" t="n"/>
      <c r="HZ374" s="176" t="n"/>
      <c r="IA374" s="176" t="n"/>
      <c r="IB374" s="176" t="n"/>
      <c r="IC374" s="176" t="n"/>
      <c r="ID374" s="176" t="n"/>
    </row>
    <row r="375" ht="18.75" customHeight="1">
      <c r="A375" s="176" t="n"/>
      <c r="B375" s="176" t="n"/>
      <c r="C375" s="176" t="n"/>
      <c r="D375" s="176" t="n"/>
      <c r="E375" s="176" t="n"/>
      <c r="F375" s="176" t="n"/>
      <c r="G375" s="176" t="n"/>
      <c r="H375" s="176" t="n"/>
      <c r="I375" s="176" t="n"/>
      <c r="J375" s="176" t="n"/>
      <c r="K375" s="176" t="n"/>
      <c r="L375" s="176" t="n"/>
      <c r="M375" s="176" t="n"/>
      <c r="N375" s="176" t="n"/>
      <c r="O375" s="176" t="n"/>
      <c r="P375" s="176" t="n"/>
      <c r="Q375" s="176" t="n"/>
      <c r="R375" s="176" t="n"/>
      <c r="S375" s="176" t="n"/>
      <c r="T375" s="181">
        <f>SWITCH('CONFIGURAÇÃO'!$T$362,"Origem","","Marcante","","Menor","","Arma","ALCANCE","Escudo","VOLUME","Uniforme","VOLUME","Item comum","","Ferramenta amaldiçoada","PREÇO","")</f>
        <v/>
      </c>
      <c r="U375" s="183" t="n"/>
      <c r="V375" s="185" t="n"/>
      <c r="W375" s="182" t="n"/>
      <c r="X375" s="182" t="n"/>
      <c r="Y375" s="183" t="n"/>
      <c r="Z375" s="176" t="n"/>
      <c r="AA375" s="176" t="n"/>
      <c r="AB375" s="176" t="n"/>
      <c r="AC375" s="176" t="n"/>
      <c r="AD375" s="176" t="n"/>
      <c r="AE375" s="176" t="n"/>
      <c r="AF375" s="176" t="n"/>
      <c r="AG375" s="176" t="n"/>
      <c r="AH375" s="176" t="n"/>
      <c r="AI375" s="176" t="n"/>
      <c r="AJ375" s="176" t="n"/>
      <c r="AK375" s="176" t="n"/>
      <c r="AL375" s="176" t="n"/>
      <c r="AM375" s="176" t="n"/>
      <c r="AN375" s="176" t="n"/>
      <c r="AO375" s="176" t="n"/>
      <c r="AP375" s="176" t="n"/>
      <c r="AQ375" s="176" t="n"/>
      <c r="AR375" s="176" t="n"/>
      <c r="AS375" s="176" t="n"/>
      <c r="AT375" s="176" t="n"/>
      <c r="AU375" s="176" t="n"/>
      <c r="AV375" s="176" t="n"/>
      <c r="AW375" s="176" t="n"/>
      <c r="AX375" s="176" t="n"/>
      <c r="AY375" s="176" t="n"/>
      <c r="AZ375" s="176" t="n"/>
      <c r="BA375" s="176" t="n"/>
      <c r="BB375" s="176" t="n"/>
      <c r="BC375" s="176" t="n"/>
      <c r="BD375" s="176" t="n"/>
      <c r="BE375" s="176" t="n"/>
      <c r="BF375" s="176" t="n"/>
      <c r="BG375" s="176" t="n"/>
      <c r="BH375" s="176" t="n"/>
      <c r="BI375" s="176" t="n"/>
      <c r="BJ375" s="176" t="n"/>
      <c r="BK375" s="176" t="n"/>
      <c r="BL375" s="176" t="n"/>
      <c r="BM375" s="176" t="n"/>
      <c r="BN375" s="176" t="n"/>
      <c r="BO375" s="176" t="n"/>
      <c r="BP375" s="176" t="n"/>
      <c r="BQ375" s="176" t="n"/>
      <c r="BR375" s="176" t="n"/>
      <c r="BS375" s="176" t="n"/>
      <c r="BT375" s="176" t="n"/>
      <c r="BU375" s="176" t="n"/>
      <c r="BV375" s="176" t="n"/>
      <c r="BW375" s="176" t="n"/>
      <c r="BX375" s="176" t="n"/>
      <c r="BY375" s="176" t="n"/>
      <c r="BZ375" s="176" t="n"/>
      <c r="CA375" s="176" t="n"/>
      <c r="CB375" s="176" t="n"/>
      <c r="CC375" s="176" t="n"/>
      <c r="CD375" s="176" t="n"/>
      <c r="CE375" s="176" t="n"/>
      <c r="CF375" s="176" t="n"/>
      <c r="CG375" s="176" t="n"/>
      <c r="CH375" s="176" t="n"/>
      <c r="CI375" s="176" t="n"/>
      <c r="CJ375" s="176" t="n"/>
      <c r="CK375" s="176" t="n"/>
      <c r="CL375" s="176" t="n"/>
      <c r="CM375" s="176" t="n"/>
      <c r="CN375" s="176" t="n"/>
      <c r="CO375" s="176" t="n"/>
      <c r="CP375" s="176" t="n"/>
      <c r="CQ375" s="176" t="n"/>
      <c r="CR375" s="176" t="n"/>
      <c r="CS375" s="176" t="n"/>
      <c r="CT375" s="176" t="n"/>
      <c r="CU375" s="176" t="n"/>
      <c r="CV375" s="176" t="n"/>
      <c r="CW375" s="176" t="n"/>
      <c r="CX375" s="176" t="n"/>
      <c r="CY375" s="176" t="n"/>
      <c r="CZ375" s="176" t="n"/>
      <c r="DA375" s="179" t="inlineStr">
        <is>
          <t>MELHORIA · 29</t>
        </is>
      </c>
      <c r="DG375" s="176" t="n"/>
      <c r="DH375" s="176" t="n"/>
      <c r="DI375" s="179" t="inlineStr">
        <is>
          <t>MELHORIA · 30</t>
        </is>
      </c>
      <c r="DO375" s="176" t="n"/>
      <c r="DP375" s="176" t="n"/>
      <c r="DQ375" s="176" t="n"/>
      <c r="DR375" s="176" t="n"/>
      <c r="DS375" s="176" t="n"/>
      <c r="DT375" s="176" t="n"/>
      <c r="DU375" s="176" t="n"/>
      <c r="DV375" s="176" t="n"/>
      <c r="DW375" s="176" t="n"/>
      <c r="DX375" s="176" t="n"/>
      <c r="DY375" s="176" t="n"/>
      <c r="DZ375" s="176" t="n"/>
      <c r="EA375" s="176" t="n"/>
      <c r="EB375" s="176" t="n"/>
      <c r="EC375" s="176" t="n"/>
      <c r="ED375" s="176" t="n"/>
      <c r="EE375" s="176" t="n"/>
      <c r="EF375" s="176" t="n"/>
      <c r="EG375" s="176" t="n"/>
      <c r="EH375" s="176" t="n"/>
      <c r="EI375" s="176" t="n"/>
      <c r="EJ375" s="176" t="n"/>
      <c r="EK375" s="176" t="n"/>
      <c r="EL375" s="176" t="n"/>
      <c r="EM375" s="176" t="n"/>
      <c r="EN375" s="176" t="n"/>
      <c r="EO375" s="176" t="n"/>
      <c r="EP375" s="176" t="n"/>
      <c r="EQ375" s="176" t="n"/>
      <c r="ER375" s="176" t="n"/>
      <c r="ES375" s="176" t="n"/>
      <c r="ET375" s="176" t="n"/>
      <c r="EU375" s="176" t="n"/>
      <c r="EV375" s="176" t="n"/>
      <c r="EW375" s="176" t="n"/>
      <c r="EX375" s="176" t="n"/>
      <c r="EY375" s="176" t="n"/>
      <c r="EZ375" s="176" t="n"/>
      <c r="FA375" s="176" t="n"/>
      <c r="FB375" s="176" t="n"/>
      <c r="FC375" s="176" t="n"/>
      <c r="FD375" s="176" t="n"/>
      <c r="FE375" s="176" t="n"/>
      <c r="FF375" s="176" t="n"/>
      <c r="FG375" s="176" t="n"/>
      <c r="FH375" s="176" t="n"/>
      <c r="FI375" s="176" t="n"/>
      <c r="FJ375" s="176" t="n"/>
      <c r="FK375" s="176" t="n"/>
      <c r="FL375" s="176" t="n"/>
      <c r="FM375" s="176" t="n"/>
      <c r="FN375" s="176" t="n"/>
      <c r="FO375" s="176" t="n"/>
      <c r="FP375" s="176" t="n"/>
      <c r="FQ375" s="176" t="n"/>
      <c r="FR375" s="176" t="n"/>
      <c r="FS375" s="176" t="n"/>
      <c r="FT375" s="176" t="n"/>
      <c r="FU375" s="176" t="n"/>
      <c r="FV375" s="176" t="n"/>
      <c r="FW375" s="176" t="n"/>
      <c r="FX375" s="176" t="n"/>
      <c r="FY375" s="176" t="n"/>
      <c r="FZ375" s="176" t="n"/>
      <c r="GA375" s="176" t="n"/>
      <c r="GB375" s="176" t="n"/>
      <c r="GC375" s="176" t="n"/>
      <c r="GD375" s="176" t="n"/>
      <c r="GE375" s="176" t="n"/>
      <c r="GF375" s="176" t="n"/>
      <c r="GG375" s="176" t="n"/>
      <c r="GH375" s="176" t="n"/>
      <c r="GI375" s="176" t="n"/>
      <c r="GJ375" s="176" t="n"/>
      <c r="GK375" s="176" t="n"/>
      <c r="GL375" s="176" t="n"/>
      <c r="GM375" s="176" t="n"/>
      <c r="GN375" s="176" t="n"/>
      <c r="GO375" s="176" t="n"/>
      <c r="GP375" s="176" t="n"/>
      <c r="GQ375" s="176" t="n"/>
      <c r="GR375" s="176" t="n"/>
      <c r="GS375" s="176" t="n"/>
      <c r="GT375" s="176" t="n"/>
      <c r="GU375" s="176" t="n"/>
      <c r="GV375" s="176" t="n"/>
      <c r="GW375" s="176" t="n"/>
      <c r="GX375" s="176" t="n"/>
      <c r="GY375" s="176" t="n"/>
      <c r="GZ375" s="176" t="n"/>
      <c r="HA375" s="176" t="n"/>
      <c r="HB375" s="176" t="n"/>
      <c r="HC375" s="176" t="n"/>
      <c r="HD375" s="176" t="n"/>
      <c r="HE375" s="176" t="n"/>
      <c r="HF375" s="176" t="n"/>
      <c r="HG375" s="176" t="n"/>
      <c r="HH375" s="176" t="n"/>
      <c r="HI375" s="176" t="n"/>
      <c r="HJ375" s="176" t="n"/>
      <c r="HK375" s="176" t="n"/>
      <c r="HL375" s="176" t="n"/>
      <c r="HM375" s="176" t="n"/>
      <c r="HN375" s="176" t="n"/>
      <c r="HO375" s="176" t="n"/>
      <c r="HP375" s="176" t="n"/>
      <c r="HQ375" s="176" t="n"/>
      <c r="HR375" s="176" t="n"/>
      <c r="HS375" s="176" t="n"/>
      <c r="HT375" s="176" t="n"/>
      <c r="HU375" s="176" t="n"/>
      <c r="HV375" s="176" t="n"/>
      <c r="HW375" s="176" t="n"/>
      <c r="HX375" s="176" t="n"/>
      <c r="HY375" s="176" t="n"/>
      <c r="HZ375" s="176" t="n"/>
      <c r="IA375" s="176" t="n"/>
      <c r="IB375" s="176" t="n"/>
      <c r="IC375" s="176" t="n"/>
      <c r="ID375" s="176" t="n"/>
    </row>
    <row r="376" ht="18.75" customHeight="1">
      <c r="A376" s="176" t="n"/>
      <c r="B376" s="176" t="n"/>
      <c r="C376" s="176" t="n"/>
      <c r="D376" s="176" t="n"/>
      <c r="E376" s="176" t="n"/>
      <c r="F376" s="176" t="n"/>
      <c r="G376" s="176" t="n"/>
      <c r="H376" s="176" t="n"/>
      <c r="I376" s="176" t="n"/>
      <c r="J376" s="176" t="n"/>
      <c r="K376" s="176" t="n"/>
      <c r="L376" s="176" t="n"/>
      <c r="M376" s="176" t="n"/>
      <c r="N376" s="176" t="n"/>
      <c r="O376" s="176" t="n"/>
      <c r="P376" s="176" t="n"/>
      <c r="Q376" s="176" t="n"/>
      <c r="R376" s="176" t="n"/>
      <c r="S376" s="176" t="n"/>
      <c r="T376" s="181">
        <f>SWITCH('CONFIGURAÇÃO'!$T$362,"Origem","","Marcante","","Menor","","Arma","RECARGA","Escudo","PREÇO","Uniforme","PREÇO","Item comum","","Ferramenta amaldiçoada","","")</f>
        <v/>
      </c>
      <c r="U376" s="183" t="n"/>
      <c r="V376" s="185" t="n"/>
      <c r="W376" s="182" t="n"/>
      <c r="X376" s="182" t="n"/>
      <c r="Y376" s="183" t="n"/>
      <c r="Z376" s="176" t="n"/>
      <c r="AA376" s="176" t="n"/>
      <c r="AB376" s="176" t="n"/>
      <c r="AC376" s="176" t="n"/>
      <c r="AD376" s="176" t="n"/>
      <c r="AE376" s="176" t="n"/>
      <c r="AF376" s="176" t="n"/>
      <c r="AG376" s="176" t="n"/>
      <c r="AH376" s="176" t="n"/>
      <c r="AI376" s="176" t="n"/>
      <c r="AJ376" s="176" t="n"/>
      <c r="AK376" s="176" t="n"/>
      <c r="AL376" s="176" t="n"/>
      <c r="AM376" s="176" t="n"/>
      <c r="AN376" s="176" t="n"/>
      <c r="AO376" s="176" t="n"/>
      <c r="AP376" s="176" t="n"/>
      <c r="AQ376" s="176" t="n"/>
      <c r="AR376" s="176" t="n"/>
      <c r="AS376" s="176" t="n"/>
      <c r="AT376" s="176" t="n"/>
      <c r="AU376" s="176" t="n"/>
      <c r="AV376" s="176" t="n"/>
      <c r="AW376" s="176" t="n"/>
      <c r="AX376" s="176" t="n"/>
      <c r="AY376" s="176" t="n"/>
      <c r="AZ376" s="176" t="n"/>
      <c r="BA376" s="176" t="n"/>
      <c r="BB376" s="176" t="n"/>
      <c r="BC376" s="176" t="n"/>
      <c r="BD376" s="176" t="n"/>
      <c r="BE376" s="176" t="n"/>
      <c r="BF376" s="176" t="n"/>
      <c r="BG376" s="176" t="n"/>
      <c r="BH376" s="176" t="n"/>
      <c r="BI376" s="176" t="n"/>
      <c r="BJ376" s="176" t="n"/>
      <c r="BK376" s="176" t="n"/>
      <c r="BL376" s="176" t="n"/>
      <c r="BM376" s="176" t="n"/>
      <c r="BN376" s="176" t="n"/>
      <c r="BO376" s="176" t="n"/>
      <c r="BP376" s="176" t="n"/>
      <c r="BQ376" s="176" t="n"/>
      <c r="BR376" s="176" t="n"/>
      <c r="BS376" s="176" t="n"/>
      <c r="BT376" s="176" t="n"/>
      <c r="BU376" s="176" t="n"/>
      <c r="BV376" s="176" t="n"/>
      <c r="BW376" s="176" t="n"/>
      <c r="BX376" s="176" t="n"/>
      <c r="BY376" s="176" t="n"/>
      <c r="BZ376" s="176" t="n"/>
      <c r="CA376" s="176" t="n"/>
      <c r="CB376" s="176" t="n"/>
      <c r="CC376" s="176" t="n"/>
      <c r="CD376" s="176" t="n"/>
      <c r="CE376" s="176" t="n"/>
      <c r="CF376" s="176" t="n"/>
      <c r="CG376" s="176" t="n"/>
      <c r="CH376" s="176" t="n"/>
      <c r="CI376" s="176" t="n"/>
      <c r="CJ376" s="176" t="n"/>
      <c r="CK376" s="176" t="n"/>
      <c r="CL376" s="176" t="n"/>
      <c r="CM376" s="176" t="n"/>
      <c r="CN376" s="176" t="n"/>
      <c r="CO376" s="176" t="n"/>
      <c r="CP376" s="176" t="n"/>
      <c r="CQ376" s="176" t="n"/>
      <c r="CR376" s="176" t="n"/>
      <c r="CS376" s="176" t="n"/>
      <c r="CT376" s="176" t="n"/>
      <c r="CU376" s="176" t="n"/>
      <c r="CV376" s="176" t="n"/>
      <c r="CW376" s="176" t="n"/>
      <c r="CX376" s="176" t="n"/>
      <c r="CY376" s="176" t="n"/>
      <c r="CZ376" s="176" t="n"/>
      <c r="DA376" s="181" t="inlineStr">
        <is>
          <t>TIPO</t>
        </is>
      </c>
      <c r="DB376" s="182" t="n"/>
      <c r="DC376" s="182" t="n"/>
      <c r="DD376" s="183" t="n"/>
      <c r="DE376" s="181" t="inlineStr">
        <is>
          <t>MESTRE VIU</t>
        </is>
      </c>
      <c r="DF376" s="183" t="n"/>
      <c r="DG376" s="176" t="n"/>
      <c r="DH376" s="176" t="n"/>
      <c r="DI376" s="181" t="inlineStr">
        <is>
          <t>TIPO</t>
        </is>
      </c>
      <c r="DJ376" s="182" t="n"/>
      <c r="DK376" s="182" t="n"/>
      <c r="DL376" s="183" t="n"/>
      <c r="DM376" s="181" t="inlineStr">
        <is>
          <t>MESTRE VIU</t>
        </is>
      </c>
      <c r="DN376" s="183" t="n"/>
      <c r="DO376" s="176" t="n"/>
      <c r="DP376" s="176" t="n"/>
      <c r="DQ376" s="176" t="n"/>
      <c r="DR376" s="176" t="n"/>
      <c r="DS376" s="176" t="n"/>
      <c r="DT376" s="176" t="n"/>
      <c r="DU376" s="176" t="n"/>
      <c r="DV376" s="176" t="n"/>
      <c r="DW376" s="176" t="n"/>
      <c r="DX376" s="176" t="n"/>
      <c r="DY376" s="176" t="n"/>
      <c r="DZ376" s="176" t="n"/>
      <c r="EA376" s="176" t="n"/>
      <c r="EB376" s="176" t="n"/>
      <c r="EC376" s="176" t="n"/>
      <c r="ED376" s="176" t="n"/>
      <c r="EE376" s="176" t="n"/>
      <c r="EF376" s="176" t="n"/>
      <c r="EG376" s="176" t="n"/>
      <c r="EH376" s="176" t="n"/>
      <c r="EI376" s="176" t="n"/>
      <c r="EJ376" s="176" t="n"/>
      <c r="EK376" s="176" t="n"/>
      <c r="EL376" s="176" t="n"/>
      <c r="EM376" s="176" t="n"/>
      <c r="EN376" s="176" t="n"/>
      <c r="EO376" s="176" t="n"/>
      <c r="EP376" s="176" t="n"/>
      <c r="EQ376" s="176" t="n"/>
      <c r="ER376" s="176" t="n"/>
      <c r="ES376" s="176" t="n"/>
      <c r="ET376" s="176" t="n"/>
      <c r="EU376" s="176" t="n"/>
      <c r="EV376" s="176" t="n"/>
      <c r="EW376" s="176" t="n"/>
      <c r="EX376" s="176" t="n"/>
      <c r="EY376" s="176" t="n"/>
      <c r="EZ376" s="176" t="n"/>
      <c r="FA376" s="176" t="n"/>
      <c r="FB376" s="176" t="n"/>
      <c r="FC376" s="176" t="n"/>
      <c r="FD376" s="176" t="n"/>
      <c r="FE376" s="176" t="n"/>
      <c r="FF376" s="176" t="n"/>
      <c r="FG376" s="176" t="n"/>
      <c r="FH376" s="176" t="n"/>
      <c r="FI376" s="176" t="n"/>
      <c r="FJ376" s="176" t="n"/>
      <c r="FK376" s="176" t="n"/>
      <c r="FL376" s="176" t="n"/>
      <c r="FM376" s="176" t="n"/>
      <c r="FN376" s="176" t="n"/>
      <c r="FO376" s="176" t="n"/>
      <c r="FP376" s="176" t="n"/>
      <c r="FQ376" s="176" t="n"/>
      <c r="FR376" s="176" t="n"/>
      <c r="FS376" s="176" t="n"/>
      <c r="FT376" s="176" t="n"/>
      <c r="FU376" s="176" t="n"/>
      <c r="FV376" s="176" t="n"/>
      <c r="FW376" s="176" t="n"/>
      <c r="FX376" s="176" t="n"/>
      <c r="FY376" s="176" t="n"/>
      <c r="FZ376" s="176" t="n"/>
      <c r="GA376" s="176" t="n"/>
      <c r="GB376" s="176" t="n"/>
      <c r="GC376" s="176" t="n"/>
      <c r="GD376" s="176" t="n"/>
      <c r="GE376" s="176" t="n"/>
      <c r="GF376" s="176" t="n"/>
      <c r="GG376" s="176" t="n"/>
      <c r="GH376" s="176" t="n"/>
      <c r="GI376" s="176" t="n"/>
      <c r="GJ376" s="176" t="n"/>
      <c r="GK376" s="176" t="n"/>
      <c r="GL376" s="176" t="n"/>
      <c r="GM376" s="176" t="n"/>
      <c r="GN376" s="176" t="n"/>
      <c r="GO376" s="176" t="n"/>
      <c r="GP376" s="176" t="n"/>
      <c r="GQ376" s="176" t="n"/>
      <c r="GR376" s="176" t="n"/>
      <c r="GS376" s="176" t="n"/>
      <c r="GT376" s="176" t="n"/>
      <c r="GU376" s="176" t="n"/>
      <c r="GV376" s="176" t="n"/>
      <c r="GW376" s="176" t="n"/>
      <c r="GX376" s="176" t="n"/>
      <c r="GY376" s="176" t="n"/>
      <c r="GZ376" s="176" t="n"/>
      <c r="HA376" s="176" t="n"/>
      <c r="HB376" s="176" t="n"/>
      <c r="HC376" s="176" t="n"/>
      <c r="HD376" s="176" t="n"/>
      <c r="HE376" s="176" t="n"/>
      <c r="HF376" s="176" t="n"/>
      <c r="HG376" s="176" t="n"/>
      <c r="HH376" s="176" t="n"/>
      <c r="HI376" s="176" t="n"/>
      <c r="HJ376" s="176" t="n"/>
      <c r="HK376" s="176" t="n"/>
      <c r="HL376" s="176" t="n"/>
      <c r="HM376" s="176" t="n"/>
      <c r="HN376" s="176" t="n"/>
      <c r="HO376" s="176" t="n"/>
      <c r="HP376" s="176" t="n"/>
      <c r="HQ376" s="176" t="n"/>
      <c r="HR376" s="176" t="n"/>
      <c r="HS376" s="176" t="n"/>
      <c r="HT376" s="176" t="n"/>
      <c r="HU376" s="176" t="n"/>
      <c r="HV376" s="176" t="n"/>
      <c r="HW376" s="176" t="n"/>
      <c r="HX376" s="176" t="n"/>
      <c r="HY376" s="176" t="n"/>
      <c r="HZ376" s="176" t="n"/>
      <c r="IA376" s="176" t="n"/>
      <c r="IB376" s="176" t="n"/>
      <c r="IC376" s="176" t="n"/>
      <c r="ID376" s="176" t="n"/>
    </row>
    <row r="377" ht="18.75" customHeight="1">
      <c r="A377" s="176" t="n"/>
      <c r="B377" s="176" t="n"/>
      <c r="C377" s="176" t="n"/>
      <c r="D377" s="176" t="n"/>
      <c r="E377" s="176" t="n"/>
      <c r="F377" s="176" t="n"/>
      <c r="G377" s="176" t="n"/>
      <c r="H377" s="176" t="n"/>
      <c r="I377" s="176" t="n"/>
      <c r="J377" s="176" t="n"/>
      <c r="K377" s="176" t="n"/>
      <c r="L377" s="176" t="n"/>
      <c r="M377" s="176" t="n"/>
      <c r="N377" s="176" t="n"/>
      <c r="O377" s="176" t="n"/>
      <c r="P377" s="176" t="n"/>
      <c r="Q377" s="176" t="n"/>
      <c r="R377" s="176" t="n"/>
      <c r="S377" s="176" t="n"/>
      <c r="T377" s="181">
        <f>SWITCH('CONFIGURAÇÃO'!$T$362,"Origem","","Marcante","","Menor","","Arma","PREÇO","Escudo","","Uniforme","","Item comum","","Ferramenta amaldiçoada","","")</f>
        <v/>
      </c>
      <c r="U377" s="183" t="n"/>
      <c r="V377" s="185" t="n"/>
      <c r="W377" s="182" t="n"/>
      <c r="X377" s="182" t="n"/>
      <c r="Y377" s="183" t="n"/>
      <c r="Z377" s="176" t="n"/>
      <c r="AA377" s="176" t="n"/>
      <c r="AB377" s="176" t="n"/>
      <c r="AC377" s="176" t="n"/>
      <c r="AD377" s="176" t="n"/>
      <c r="AE377" s="176" t="n"/>
      <c r="AF377" s="176" t="n"/>
      <c r="AG377" s="176" t="n"/>
      <c r="AH377" s="176" t="n"/>
      <c r="AI377" s="176" t="n"/>
      <c r="AJ377" s="176" t="n"/>
      <c r="AK377" s="176" t="n"/>
      <c r="AL377" s="176" t="n"/>
      <c r="AM377" s="176" t="n"/>
      <c r="AN377" s="176" t="n"/>
      <c r="AO377" s="176" t="n"/>
      <c r="AP377" s="176" t="n"/>
      <c r="AQ377" s="176" t="n"/>
      <c r="AR377" s="176" t="n"/>
      <c r="AS377" s="176" t="n"/>
      <c r="AT377" s="176" t="n"/>
      <c r="AU377" s="176" t="n"/>
      <c r="AV377" s="176" t="n"/>
      <c r="AW377" s="176" t="n"/>
      <c r="AX377" s="176" t="n"/>
      <c r="AY377" s="176" t="n"/>
      <c r="AZ377" s="176" t="n"/>
      <c r="BA377" s="176" t="n"/>
      <c r="BB377" s="176" t="n"/>
      <c r="BC377" s="176" t="n"/>
      <c r="BD377" s="176" t="n"/>
      <c r="BE377" s="176" t="n"/>
      <c r="BF377" s="176" t="n"/>
      <c r="BG377" s="176" t="n"/>
      <c r="BH377" s="176" t="n"/>
      <c r="BI377" s="176" t="n"/>
      <c r="BJ377" s="176" t="n"/>
      <c r="BK377" s="176" t="n"/>
      <c r="BL377" s="176" t="n"/>
      <c r="BM377" s="176" t="n"/>
      <c r="BN377" s="176" t="n"/>
      <c r="BO377" s="176" t="n"/>
      <c r="BP377" s="176" t="n"/>
      <c r="BQ377" s="176" t="n"/>
      <c r="BR377" s="176" t="n"/>
      <c r="BS377" s="176" t="n"/>
      <c r="BT377" s="176" t="n"/>
      <c r="BU377" s="176" t="n"/>
      <c r="BV377" s="176" t="n"/>
      <c r="BW377" s="176" t="n"/>
      <c r="BX377" s="176" t="n"/>
      <c r="BY377" s="176" t="n"/>
      <c r="BZ377" s="176" t="n"/>
      <c r="CA377" s="176" t="n"/>
      <c r="CB377" s="176" t="n"/>
      <c r="CC377" s="176" t="n"/>
      <c r="CD377" s="176" t="n"/>
      <c r="CE377" s="176" t="n"/>
      <c r="CF377" s="176" t="n"/>
      <c r="CG377" s="176" t="n"/>
      <c r="CH377" s="176" t="n"/>
      <c r="CI377" s="176" t="n"/>
      <c r="CJ377" s="176" t="n"/>
      <c r="CK377" s="176" t="n"/>
      <c r="CL377" s="176" t="n"/>
      <c r="CM377" s="176" t="n"/>
      <c r="CN377" s="176" t="n"/>
      <c r="CO377" s="176" t="n"/>
      <c r="CP377" s="176" t="n"/>
      <c r="CQ377" s="176" t="n"/>
      <c r="CR377" s="176" t="n"/>
      <c r="CS377" s="176" t="n"/>
      <c r="CT377" s="176" t="n"/>
      <c r="CU377" s="176" t="n"/>
      <c r="CV377" s="176" t="n"/>
      <c r="CW377" s="176" t="n"/>
      <c r="CX377" s="176" t="n"/>
      <c r="CY377" s="176" t="n"/>
      <c r="CZ377" s="176" t="n"/>
      <c r="DA377" s="185" t="inlineStr">
        <is>
          <t>Melhoria</t>
        </is>
      </c>
      <c r="DB377" s="182" t="n"/>
      <c r="DC377" s="182" t="n"/>
      <c r="DD377" s="183" t="n"/>
      <c r="DE377" s="184" t="b">
        <v>0</v>
      </c>
      <c r="DF377" s="183" t="n"/>
      <c r="DG377" s="176" t="n"/>
      <c r="DH377" s="176" t="n"/>
      <c r="DI377" s="185" t="inlineStr">
        <is>
          <t>Melhoria</t>
        </is>
      </c>
      <c r="DJ377" s="182" t="n"/>
      <c r="DK377" s="182" t="n"/>
      <c r="DL377" s="183" t="n"/>
      <c r="DM377" s="184" t="b">
        <v>0</v>
      </c>
      <c r="DN377" s="183" t="n"/>
      <c r="DO377" s="176" t="n"/>
      <c r="DP377" s="176" t="n"/>
      <c r="DQ377" s="176" t="n"/>
      <c r="DR377" s="176" t="n"/>
      <c r="DS377" s="176" t="n"/>
      <c r="DT377" s="176" t="n"/>
      <c r="DU377" s="176" t="n"/>
      <c r="DV377" s="176" t="n"/>
      <c r="DW377" s="176" t="n"/>
      <c r="DX377" s="176" t="n"/>
      <c r="DY377" s="176" t="n"/>
      <c r="DZ377" s="176" t="n"/>
      <c r="EA377" s="176" t="n"/>
      <c r="EB377" s="176" t="n"/>
      <c r="EC377" s="176" t="n"/>
      <c r="ED377" s="176" t="n"/>
      <c r="EE377" s="176" t="n"/>
      <c r="EF377" s="176" t="n"/>
      <c r="EG377" s="176" t="n"/>
      <c r="EH377" s="176" t="n"/>
      <c r="EI377" s="176" t="n"/>
      <c r="EJ377" s="176" t="n"/>
      <c r="EK377" s="176" t="n"/>
      <c r="EL377" s="176" t="n"/>
      <c r="EM377" s="176" t="n"/>
      <c r="EN377" s="176" t="n"/>
      <c r="EO377" s="176" t="n"/>
      <c r="EP377" s="176" t="n"/>
      <c r="EQ377" s="176" t="n"/>
      <c r="ER377" s="176" t="n"/>
      <c r="ES377" s="176" t="n"/>
      <c r="ET377" s="176" t="n"/>
      <c r="EU377" s="176" t="n"/>
      <c r="EV377" s="176" t="n"/>
      <c r="EW377" s="176" t="n"/>
      <c r="EX377" s="176" t="n"/>
      <c r="EY377" s="176" t="n"/>
      <c r="EZ377" s="176" t="n"/>
      <c r="FA377" s="176" t="n"/>
      <c r="FB377" s="176" t="n"/>
      <c r="FC377" s="176" t="n"/>
      <c r="FD377" s="176" t="n"/>
      <c r="FE377" s="176" t="n"/>
      <c r="FF377" s="176" t="n"/>
      <c r="FG377" s="176" t="n"/>
      <c r="FH377" s="176" t="n"/>
      <c r="FI377" s="176" t="n"/>
      <c r="FJ377" s="176" t="n"/>
      <c r="FK377" s="176" t="n"/>
      <c r="FL377" s="176" t="n"/>
      <c r="FM377" s="176" t="n"/>
      <c r="FN377" s="176" t="n"/>
      <c r="FO377" s="176" t="n"/>
      <c r="FP377" s="176" t="n"/>
      <c r="FQ377" s="176" t="n"/>
      <c r="FR377" s="176" t="n"/>
      <c r="FS377" s="176" t="n"/>
      <c r="FT377" s="176" t="n"/>
      <c r="FU377" s="176" t="n"/>
      <c r="FV377" s="176" t="n"/>
      <c r="FW377" s="176" t="n"/>
      <c r="FX377" s="176" t="n"/>
      <c r="FY377" s="176" t="n"/>
      <c r="FZ377" s="176" t="n"/>
      <c r="GA377" s="176" t="n"/>
      <c r="GB377" s="176" t="n"/>
      <c r="GC377" s="176" t="n"/>
      <c r="GD377" s="176" t="n"/>
      <c r="GE377" s="176" t="n"/>
      <c r="GF377" s="176" t="n"/>
      <c r="GG377" s="176" t="n"/>
      <c r="GH377" s="176" t="n"/>
      <c r="GI377" s="176" t="n"/>
      <c r="GJ377" s="176" t="n"/>
      <c r="GK377" s="176" t="n"/>
      <c r="GL377" s="176" t="n"/>
      <c r="GM377" s="176" t="n"/>
      <c r="GN377" s="176" t="n"/>
      <c r="GO377" s="176" t="n"/>
      <c r="GP377" s="176" t="n"/>
      <c r="GQ377" s="176" t="n"/>
      <c r="GR377" s="176" t="n"/>
      <c r="GS377" s="176" t="n"/>
      <c r="GT377" s="176" t="n"/>
      <c r="GU377" s="176" t="n"/>
      <c r="GV377" s="176" t="n"/>
      <c r="GW377" s="176" t="n"/>
      <c r="GX377" s="176" t="n"/>
      <c r="GY377" s="176" t="n"/>
      <c r="GZ377" s="176" t="n"/>
      <c r="HA377" s="176" t="n"/>
      <c r="HB377" s="176" t="n"/>
      <c r="HC377" s="176" t="n"/>
      <c r="HD377" s="176" t="n"/>
      <c r="HE377" s="176" t="n"/>
      <c r="HF377" s="176" t="n"/>
      <c r="HG377" s="176" t="n"/>
      <c r="HH377" s="176" t="n"/>
      <c r="HI377" s="176" t="n"/>
      <c r="HJ377" s="176" t="n"/>
      <c r="HK377" s="176" t="n"/>
      <c r="HL377" s="176" t="n"/>
      <c r="HM377" s="176" t="n"/>
      <c r="HN377" s="176" t="n"/>
      <c r="HO377" s="176" t="n"/>
      <c r="HP377" s="176" t="n"/>
      <c r="HQ377" s="176" t="n"/>
      <c r="HR377" s="176" t="n"/>
      <c r="HS377" s="176" t="n"/>
      <c r="HT377" s="176" t="n"/>
      <c r="HU377" s="176" t="n"/>
      <c r="HV377" s="176" t="n"/>
      <c r="HW377" s="176" t="n"/>
      <c r="HX377" s="176" t="n"/>
      <c r="HY377" s="176" t="n"/>
      <c r="HZ377" s="176" t="n"/>
      <c r="IA377" s="176" t="n"/>
      <c r="IB377" s="176" t="n"/>
      <c r="IC377" s="176" t="n"/>
      <c r="ID377" s="176" t="n"/>
    </row>
    <row r="378" ht="18.75" customHeight="1">
      <c r="A378" s="176" t="n"/>
      <c r="B378" s="176" t="n"/>
      <c r="C378" s="176" t="n"/>
      <c r="D378" s="176" t="n"/>
      <c r="E378" s="176" t="n"/>
      <c r="F378" s="176" t="n"/>
      <c r="G378" s="176" t="n"/>
      <c r="H378" s="176" t="n"/>
      <c r="I378" s="176" t="n"/>
      <c r="J378" s="176" t="n"/>
      <c r="K378" s="176" t="n"/>
      <c r="L378" s="176" t="n"/>
      <c r="M378" s="176" t="n"/>
      <c r="N378" s="176" t="n"/>
      <c r="O378" s="176" t="n"/>
      <c r="P378" s="176" t="n"/>
      <c r="Q378" s="176" t="n"/>
      <c r="R378" s="176" t="n"/>
      <c r="S378" s="176" t="n"/>
      <c r="T378" s="181" t="inlineStr">
        <is>
          <t>EFEITO · DESCRIÇÃO</t>
        </is>
      </c>
      <c r="U378" s="182" t="n"/>
      <c r="V378" s="182" t="n"/>
      <c r="W378" s="182" t="n"/>
      <c r="X378" s="182" t="n"/>
      <c r="Y378" s="183" t="n"/>
      <c r="Z378" s="176" t="n"/>
      <c r="AA378" s="176" t="n"/>
      <c r="AB378" s="176" t="n"/>
      <c r="AC378" s="176" t="n"/>
      <c r="AD378" s="176" t="n"/>
      <c r="AE378" s="176" t="n"/>
      <c r="AF378" s="176" t="n"/>
      <c r="AG378" s="176" t="n"/>
      <c r="AH378" s="176" t="n"/>
      <c r="AI378" s="176" t="n"/>
      <c r="AJ378" s="176" t="n"/>
      <c r="AK378" s="176" t="n"/>
      <c r="AL378" s="176" t="n"/>
      <c r="AM378" s="176" t="n"/>
      <c r="AN378" s="176" t="n"/>
      <c r="AO378" s="176" t="n"/>
      <c r="AP378" s="176" t="n"/>
      <c r="AQ378" s="176" t="n"/>
      <c r="AR378" s="176" t="n"/>
      <c r="AS378" s="176" t="n"/>
      <c r="AT378" s="176" t="n"/>
      <c r="AU378" s="176" t="n"/>
      <c r="AV378" s="176" t="n"/>
      <c r="AW378" s="176" t="n"/>
      <c r="AX378" s="176" t="n"/>
      <c r="AY378" s="176" t="n"/>
      <c r="AZ378" s="176" t="n"/>
      <c r="BA378" s="176" t="n"/>
      <c r="BB378" s="176" t="n"/>
      <c r="BC378" s="176" t="n"/>
      <c r="BD378" s="176" t="n"/>
      <c r="BE378" s="176" t="n"/>
      <c r="BF378" s="176" t="n"/>
      <c r="BG378" s="176" t="n"/>
      <c r="BH378" s="176" t="n"/>
      <c r="BI378" s="176" t="n"/>
      <c r="BJ378" s="176" t="n"/>
      <c r="BK378" s="176" t="n"/>
      <c r="BL378" s="176" t="n"/>
      <c r="BM378" s="176" t="n"/>
      <c r="BN378" s="176" t="n"/>
      <c r="BO378" s="176" t="n"/>
      <c r="BP378" s="176" t="n"/>
      <c r="BQ378" s="176" t="n"/>
      <c r="BR378" s="176" t="n"/>
      <c r="BS378" s="176" t="n"/>
      <c r="BT378" s="176" t="n"/>
      <c r="BU378" s="176" t="n"/>
      <c r="BV378" s="176" t="n"/>
      <c r="BW378" s="176" t="n"/>
      <c r="BX378" s="176" t="n"/>
      <c r="BY378" s="176" t="n"/>
      <c r="BZ378" s="176" t="n"/>
      <c r="CA378" s="176" t="n"/>
      <c r="CB378" s="176" t="n"/>
      <c r="CC378" s="176" t="n"/>
      <c r="CD378" s="176" t="n"/>
      <c r="CE378" s="176" t="n"/>
      <c r="CF378" s="176" t="n"/>
      <c r="CG378" s="176" t="n"/>
      <c r="CH378" s="176" t="n"/>
      <c r="CI378" s="176" t="n"/>
      <c r="CJ378" s="176" t="n"/>
      <c r="CK378" s="176" t="n"/>
      <c r="CL378" s="176" t="n"/>
      <c r="CM378" s="176" t="n"/>
      <c r="CN378" s="176" t="n"/>
      <c r="CO378" s="176" t="n"/>
      <c r="CP378" s="176" t="n"/>
      <c r="CQ378" s="176" t="n"/>
      <c r="CR378" s="176" t="n"/>
      <c r="CS378" s="176" t="n"/>
      <c r="CT378" s="176" t="n"/>
      <c r="CU378" s="176" t="n"/>
      <c r="CV378" s="176" t="n"/>
      <c r="CW378" s="176" t="n"/>
      <c r="CX378" s="176" t="n"/>
      <c r="CY378" s="176" t="n"/>
      <c r="CZ378" s="176" t="n"/>
      <c r="DA378" s="181" t="inlineStr">
        <is>
          <t>NOME</t>
        </is>
      </c>
      <c r="DB378" s="182" t="n"/>
      <c r="DC378" s="182" t="n"/>
      <c r="DD378" s="182" t="n"/>
      <c r="DE378" s="182" t="n"/>
      <c r="DF378" s="183" t="n"/>
      <c r="DG378" s="176" t="n"/>
      <c r="DH378" s="176" t="n"/>
      <c r="DI378" s="181" t="inlineStr">
        <is>
          <t>NOME</t>
        </is>
      </c>
      <c r="DJ378" s="182" t="n"/>
      <c r="DK378" s="182" t="n"/>
      <c r="DL378" s="182" t="n"/>
      <c r="DM378" s="182" t="n"/>
      <c r="DN378" s="183" t="n"/>
      <c r="DO378" s="176" t="n"/>
      <c r="DP378" s="176" t="n"/>
      <c r="DQ378" s="176" t="n"/>
      <c r="DR378" s="176" t="n"/>
      <c r="DS378" s="176" t="n"/>
      <c r="DT378" s="176" t="n"/>
      <c r="DU378" s="176" t="n"/>
      <c r="DV378" s="176" t="n"/>
      <c r="DW378" s="176" t="n"/>
      <c r="DX378" s="176" t="n"/>
      <c r="DY378" s="176" t="n"/>
      <c r="DZ378" s="176" t="n"/>
      <c r="EA378" s="176" t="n"/>
      <c r="EB378" s="176" t="n"/>
      <c r="EC378" s="176" t="n"/>
      <c r="ED378" s="176" t="n"/>
      <c r="EE378" s="176" t="n"/>
      <c r="EF378" s="176" t="n"/>
      <c r="EG378" s="176" t="n"/>
      <c r="EH378" s="176" t="n"/>
      <c r="EI378" s="176" t="n"/>
      <c r="EJ378" s="176" t="n"/>
      <c r="EK378" s="176" t="n"/>
      <c r="EL378" s="176" t="n"/>
      <c r="EM378" s="176" t="n"/>
      <c r="EN378" s="176" t="n"/>
      <c r="EO378" s="176" t="n"/>
      <c r="EP378" s="176" t="n"/>
      <c r="EQ378" s="176" t="n"/>
      <c r="ER378" s="176" t="n"/>
      <c r="ES378" s="176" t="n"/>
      <c r="ET378" s="176" t="n"/>
      <c r="EU378" s="176" t="n"/>
      <c r="EV378" s="176" t="n"/>
      <c r="EW378" s="176" t="n"/>
      <c r="EX378" s="176" t="n"/>
      <c r="EY378" s="176" t="n"/>
      <c r="EZ378" s="176" t="n"/>
      <c r="FA378" s="176" t="n"/>
      <c r="FB378" s="176" t="n"/>
      <c r="FC378" s="176" t="n"/>
      <c r="FD378" s="176" t="n"/>
      <c r="FE378" s="176" t="n"/>
      <c r="FF378" s="176" t="n"/>
      <c r="FG378" s="176" t="n"/>
      <c r="FH378" s="176" t="n"/>
      <c r="FI378" s="176" t="n"/>
      <c r="FJ378" s="176" t="n"/>
      <c r="FK378" s="176" t="n"/>
      <c r="FL378" s="176" t="n"/>
      <c r="FM378" s="176" t="n"/>
      <c r="FN378" s="176" t="n"/>
      <c r="FO378" s="176" t="n"/>
      <c r="FP378" s="176" t="n"/>
      <c r="FQ378" s="176" t="n"/>
      <c r="FR378" s="176" t="n"/>
      <c r="FS378" s="176" t="n"/>
      <c r="FT378" s="176" t="n"/>
      <c r="FU378" s="176" t="n"/>
      <c r="FV378" s="176" t="n"/>
      <c r="FW378" s="176" t="n"/>
      <c r="FX378" s="176" t="n"/>
      <c r="FY378" s="176" t="n"/>
      <c r="FZ378" s="176" t="n"/>
      <c r="GA378" s="176" t="n"/>
      <c r="GB378" s="176" t="n"/>
      <c r="GC378" s="176" t="n"/>
      <c r="GD378" s="176" t="n"/>
      <c r="GE378" s="176" t="n"/>
      <c r="GF378" s="176" t="n"/>
      <c r="GG378" s="176" t="n"/>
      <c r="GH378" s="176" t="n"/>
      <c r="GI378" s="176" t="n"/>
      <c r="GJ378" s="176" t="n"/>
      <c r="GK378" s="176" t="n"/>
      <c r="GL378" s="176" t="n"/>
      <c r="GM378" s="176" t="n"/>
      <c r="GN378" s="176" t="n"/>
      <c r="GO378" s="176" t="n"/>
      <c r="GP378" s="176" t="n"/>
      <c r="GQ378" s="176" t="n"/>
      <c r="GR378" s="176" t="n"/>
      <c r="GS378" s="176" t="n"/>
      <c r="GT378" s="176" t="n"/>
      <c r="GU378" s="176" t="n"/>
      <c r="GV378" s="176" t="n"/>
      <c r="GW378" s="176" t="n"/>
      <c r="GX378" s="176" t="n"/>
      <c r="GY378" s="176" t="n"/>
      <c r="GZ378" s="176" t="n"/>
      <c r="HA378" s="176" t="n"/>
      <c r="HB378" s="176" t="n"/>
      <c r="HC378" s="176" t="n"/>
      <c r="HD378" s="176" t="n"/>
      <c r="HE378" s="176" t="n"/>
      <c r="HF378" s="176" t="n"/>
      <c r="HG378" s="176" t="n"/>
      <c r="HH378" s="176" t="n"/>
      <c r="HI378" s="176" t="n"/>
      <c r="HJ378" s="176" t="n"/>
      <c r="HK378" s="176" t="n"/>
      <c r="HL378" s="176" t="n"/>
      <c r="HM378" s="176" t="n"/>
      <c r="HN378" s="176" t="n"/>
      <c r="HO378" s="176" t="n"/>
      <c r="HP378" s="176" t="n"/>
      <c r="HQ378" s="176" t="n"/>
      <c r="HR378" s="176" t="n"/>
      <c r="HS378" s="176" t="n"/>
      <c r="HT378" s="176" t="n"/>
      <c r="HU378" s="176" t="n"/>
      <c r="HV378" s="176" t="n"/>
      <c r="HW378" s="176" t="n"/>
      <c r="HX378" s="176" t="n"/>
      <c r="HY378" s="176" t="n"/>
      <c r="HZ378" s="176" t="n"/>
      <c r="IA378" s="176" t="n"/>
      <c r="IB378" s="176" t="n"/>
      <c r="IC378" s="176" t="n"/>
      <c r="ID378" s="176" t="n"/>
    </row>
    <row r="379" ht="18.75" customHeight="1">
      <c r="A379" s="176" t="n"/>
      <c r="B379" s="176" t="n"/>
      <c r="C379" s="176" t="n"/>
      <c r="D379" s="176" t="n"/>
      <c r="E379" s="176" t="n"/>
      <c r="F379" s="176" t="n"/>
      <c r="G379" s="176" t="n"/>
      <c r="H379" s="176" t="n"/>
      <c r="I379" s="176" t="n"/>
      <c r="J379" s="176" t="n"/>
      <c r="K379" s="176" t="n"/>
      <c r="L379" s="176" t="n"/>
      <c r="M379" s="176" t="n"/>
      <c r="N379" s="176" t="n"/>
      <c r="O379" s="176" t="n"/>
      <c r="P379" s="176" t="n"/>
      <c r="Q379" s="176" t="n"/>
      <c r="R379" s="176" t="n"/>
      <c r="S379" s="176" t="n"/>
      <c r="T379" s="192" t="n"/>
      <c r="U379" s="187" t="n"/>
      <c r="V379" s="187" t="n"/>
      <c r="W379" s="187" t="n"/>
      <c r="X379" s="187" t="n"/>
      <c r="Y379" s="188" t="n"/>
      <c r="Z379" s="176" t="n"/>
      <c r="AA379" s="176" t="n"/>
      <c r="AB379" s="176" t="n"/>
      <c r="AC379" s="176" t="n"/>
      <c r="AD379" s="176" t="n"/>
      <c r="AE379" s="176" t="n"/>
      <c r="AF379" s="176" t="n"/>
      <c r="AG379" s="176" t="n"/>
      <c r="AH379" s="176" t="n"/>
      <c r="AI379" s="176" t="n"/>
      <c r="AJ379" s="176" t="n"/>
      <c r="AK379" s="176" t="n"/>
      <c r="AL379" s="176" t="n"/>
      <c r="AM379" s="176" t="n"/>
      <c r="AN379" s="176" t="n"/>
      <c r="AO379" s="176" t="n"/>
      <c r="AP379" s="176" t="n"/>
      <c r="AQ379" s="176" t="n"/>
      <c r="AR379" s="176" t="n"/>
      <c r="AS379" s="176" t="n"/>
      <c r="AT379" s="176" t="n"/>
      <c r="AU379" s="176" t="n"/>
      <c r="AV379" s="176" t="n"/>
      <c r="AW379" s="176" t="n"/>
      <c r="AX379" s="176" t="n"/>
      <c r="AY379" s="176" t="n"/>
      <c r="AZ379" s="176" t="n"/>
      <c r="BA379" s="176" t="n"/>
      <c r="BB379" s="176" t="n"/>
      <c r="BC379" s="176" t="n"/>
      <c r="BD379" s="176" t="n"/>
      <c r="BE379" s="176" t="n"/>
      <c r="BF379" s="176" t="n"/>
      <c r="BG379" s="176" t="n"/>
      <c r="BH379" s="176" t="n"/>
      <c r="BI379" s="176" t="n"/>
      <c r="BJ379" s="176" t="n"/>
      <c r="BK379" s="176" t="n"/>
      <c r="BL379" s="176" t="n"/>
      <c r="BM379" s="176" t="n"/>
      <c r="BN379" s="176" t="n"/>
      <c r="BO379" s="176" t="n"/>
      <c r="BP379" s="176" t="n"/>
      <c r="BQ379" s="176" t="n"/>
      <c r="BR379" s="176" t="n"/>
      <c r="BS379" s="176" t="n"/>
      <c r="BT379" s="176" t="n"/>
      <c r="BU379" s="176" t="n"/>
      <c r="BV379" s="176" t="n"/>
      <c r="BW379" s="176" t="n"/>
      <c r="BX379" s="176" t="n"/>
      <c r="BY379" s="176" t="n"/>
      <c r="BZ379" s="176" t="n"/>
      <c r="CA379" s="176" t="n"/>
      <c r="CB379" s="176" t="n"/>
      <c r="CC379" s="176" t="n"/>
      <c r="CD379" s="176" t="n"/>
      <c r="CE379" s="176" t="n"/>
      <c r="CF379" s="176" t="n"/>
      <c r="CG379" s="176" t="n"/>
      <c r="CH379" s="176" t="n"/>
      <c r="CI379" s="176" t="n"/>
      <c r="CJ379" s="176" t="n"/>
      <c r="CK379" s="176" t="n"/>
      <c r="CL379" s="176" t="n"/>
      <c r="CM379" s="176" t="n"/>
      <c r="CN379" s="176" t="n"/>
      <c r="CO379" s="176" t="n"/>
      <c r="CP379" s="176" t="n"/>
      <c r="CQ379" s="176" t="n"/>
      <c r="CR379" s="176" t="n"/>
      <c r="CS379" s="176" t="n"/>
      <c r="CT379" s="176" t="n"/>
      <c r="CU379" s="176" t="n"/>
      <c r="CV379" s="176" t="n"/>
      <c r="CW379" s="176" t="n"/>
      <c r="CX379" s="176" t="n"/>
      <c r="CY379" s="176" t="n"/>
      <c r="CZ379" s="176" t="n"/>
      <c r="DA379" s="185" t="n"/>
      <c r="DB379" s="182" t="n"/>
      <c r="DC379" s="182" t="n"/>
      <c r="DD379" s="182" t="n"/>
      <c r="DE379" s="182" t="n"/>
      <c r="DF379" s="183" t="n"/>
      <c r="DG379" s="176" t="n"/>
      <c r="DH379" s="176" t="n"/>
      <c r="DI379" s="185" t="n"/>
      <c r="DJ379" s="182" t="n"/>
      <c r="DK379" s="182" t="n"/>
      <c r="DL379" s="182" t="n"/>
      <c r="DM379" s="182" t="n"/>
      <c r="DN379" s="183" t="n"/>
      <c r="DO379" s="176" t="n"/>
      <c r="DP379" s="176" t="n"/>
      <c r="DQ379" s="176" t="n"/>
      <c r="DR379" s="176" t="n"/>
      <c r="DS379" s="176" t="n"/>
      <c r="DT379" s="176" t="n"/>
      <c r="DU379" s="176" t="n"/>
      <c r="DV379" s="176" t="n"/>
      <c r="DW379" s="176" t="n"/>
      <c r="DX379" s="176" t="n"/>
      <c r="DY379" s="176" t="n"/>
      <c r="DZ379" s="176" t="n"/>
      <c r="EA379" s="176" t="n"/>
      <c r="EB379" s="176" t="n"/>
      <c r="EC379" s="176" t="n"/>
      <c r="ED379" s="176" t="n"/>
      <c r="EE379" s="176" t="n"/>
      <c r="EF379" s="176" t="n"/>
      <c r="EG379" s="176" t="n"/>
      <c r="EH379" s="176" t="n"/>
      <c r="EI379" s="176" t="n"/>
      <c r="EJ379" s="176" t="n"/>
      <c r="EK379" s="176" t="n"/>
      <c r="EL379" s="176" t="n"/>
      <c r="EM379" s="176" t="n"/>
      <c r="EN379" s="176" t="n"/>
      <c r="EO379" s="176" t="n"/>
      <c r="EP379" s="176" t="n"/>
      <c r="EQ379" s="176" t="n"/>
      <c r="ER379" s="176" t="n"/>
      <c r="ES379" s="176" t="n"/>
      <c r="ET379" s="176" t="n"/>
      <c r="EU379" s="176" t="n"/>
      <c r="EV379" s="176" t="n"/>
      <c r="EW379" s="176" t="n"/>
      <c r="EX379" s="176" t="n"/>
      <c r="EY379" s="176" t="n"/>
      <c r="EZ379" s="176" t="n"/>
      <c r="FA379" s="176" t="n"/>
      <c r="FB379" s="176" t="n"/>
      <c r="FC379" s="176" t="n"/>
      <c r="FD379" s="176" t="n"/>
      <c r="FE379" s="176" t="n"/>
      <c r="FF379" s="176" t="n"/>
      <c r="FG379" s="176" t="n"/>
      <c r="FH379" s="176" t="n"/>
      <c r="FI379" s="176" t="n"/>
      <c r="FJ379" s="176" t="n"/>
      <c r="FK379" s="176" t="n"/>
      <c r="FL379" s="176" t="n"/>
      <c r="FM379" s="176" t="n"/>
      <c r="FN379" s="176" t="n"/>
      <c r="FO379" s="176" t="n"/>
      <c r="FP379" s="176" t="n"/>
      <c r="FQ379" s="176" t="n"/>
      <c r="FR379" s="176" t="n"/>
      <c r="FS379" s="176" t="n"/>
      <c r="FT379" s="176" t="n"/>
      <c r="FU379" s="176" t="n"/>
      <c r="FV379" s="176" t="n"/>
      <c r="FW379" s="176" t="n"/>
      <c r="FX379" s="176" t="n"/>
      <c r="FY379" s="176" t="n"/>
      <c r="FZ379" s="176" t="n"/>
      <c r="GA379" s="176" t="n"/>
      <c r="GB379" s="176" t="n"/>
      <c r="GC379" s="176" t="n"/>
      <c r="GD379" s="176" t="n"/>
      <c r="GE379" s="176" t="n"/>
      <c r="GF379" s="176" t="n"/>
      <c r="GG379" s="176" t="n"/>
      <c r="GH379" s="176" t="n"/>
      <c r="GI379" s="176" t="n"/>
      <c r="GJ379" s="176" t="n"/>
      <c r="GK379" s="176" t="n"/>
      <c r="GL379" s="176" t="n"/>
      <c r="GM379" s="176" t="n"/>
      <c r="GN379" s="176" t="n"/>
      <c r="GO379" s="176" t="n"/>
      <c r="GP379" s="176" t="n"/>
      <c r="GQ379" s="176" t="n"/>
      <c r="GR379" s="176" t="n"/>
      <c r="GS379" s="176" t="n"/>
      <c r="GT379" s="176" t="n"/>
      <c r="GU379" s="176" t="n"/>
      <c r="GV379" s="176" t="n"/>
      <c r="GW379" s="176" t="n"/>
      <c r="GX379" s="176" t="n"/>
      <c r="GY379" s="176" t="n"/>
      <c r="GZ379" s="176" t="n"/>
      <c r="HA379" s="176" t="n"/>
      <c r="HB379" s="176" t="n"/>
      <c r="HC379" s="176" t="n"/>
      <c r="HD379" s="176" t="n"/>
      <c r="HE379" s="176" t="n"/>
      <c r="HF379" s="176" t="n"/>
      <c r="HG379" s="176" t="n"/>
      <c r="HH379" s="176" t="n"/>
      <c r="HI379" s="176" t="n"/>
      <c r="HJ379" s="176" t="n"/>
      <c r="HK379" s="176" t="n"/>
      <c r="HL379" s="176" t="n"/>
      <c r="HM379" s="176" t="n"/>
      <c r="HN379" s="176" t="n"/>
      <c r="HO379" s="176" t="n"/>
      <c r="HP379" s="176" t="n"/>
      <c r="HQ379" s="176" t="n"/>
      <c r="HR379" s="176" t="n"/>
      <c r="HS379" s="176" t="n"/>
      <c r="HT379" s="176" t="n"/>
      <c r="HU379" s="176" t="n"/>
      <c r="HV379" s="176" t="n"/>
      <c r="HW379" s="176" t="n"/>
      <c r="HX379" s="176" t="n"/>
      <c r="HY379" s="176" t="n"/>
      <c r="HZ379" s="176" t="n"/>
      <c r="IA379" s="176" t="n"/>
      <c r="IB379" s="176" t="n"/>
      <c r="IC379" s="176" t="n"/>
      <c r="ID379" s="176" t="n"/>
    </row>
    <row r="380" ht="18.75" customHeight="1">
      <c r="A380" s="176" t="n"/>
      <c r="B380" s="176" t="n"/>
      <c r="C380" s="176" t="n"/>
      <c r="D380" s="176" t="n"/>
      <c r="E380" s="176" t="n"/>
      <c r="F380" s="176" t="n"/>
      <c r="G380" s="176" t="n"/>
      <c r="H380" s="176" t="n"/>
      <c r="I380" s="176" t="n"/>
      <c r="J380" s="176" t="n"/>
      <c r="K380" s="176" t="n"/>
      <c r="L380" s="176" t="n"/>
      <c r="M380" s="176" t="n"/>
      <c r="N380" s="176" t="n"/>
      <c r="O380" s="176" t="n"/>
      <c r="P380" s="176" t="n"/>
      <c r="Q380" s="176" t="n"/>
      <c r="R380" s="176" t="n"/>
      <c r="S380" s="176" t="n"/>
      <c r="T380" s="193" t="n"/>
      <c r="Y380" s="194" t="n"/>
      <c r="Z380" s="176" t="n"/>
      <c r="AA380" s="176" t="n"/>
      <c r="AB380" s="176" t="n"/>
      <c r="AC380" s="176" t="n"/>
      <c r="AD380" s="176" t="n"/>
      <c r="AE380" s="176" t="n"/>
      <c r="AF380" s="176" t="n"/>
      <c r="AG380" s="176" t="n"/>
      <c r="AH380" s="176" t="n"/>
      <c r="AI380" s="176" t="n"/>
      <c r="AJ380" s="176" t="n"/>
      <c r="AK380" s="176" t="n"/>
      <c r="AL380" s="176" t="n"/>
      <c r="AM380" s="176" t="n"/>
      <c r="AN380" s="176" t="n"/>
      <c r="AO380" s="176" t="n"/>
      <c r="AP380" s="176" t="n"/>
      <c r="AQ380" s="176" t="n"/>
      <c r="AR380" s="176" t="n"/>
      <c r="AS380" s="176" t="n"/>
      <c r="AT380" s="176" t="n"/>
      <c r="AU380" s="176" t="n"/>
      <c r="AV380" s="176" t="n"/>
      <c r="AW380" s="176" t="n"/>
      <c r="AX380" s="176" t="n"/>
      <c r="AY380" s="176" t="n"/>
      <c r="AZ380" s="176" t="n"/>
      <c r="BA380" s="176" t="n"/>
      <c r="BB380" s="176" t="n"/>
      <c r="BC380" s="176" t="n"/>
      <c r="BD380" s="176" t="n"/>
      <c r="BE380" s="176" t="n"/>
      <c r="BF380" s="176" t="n"/>
      <c r="BG380" s="176" t="n"/>
      <c r="BH380" s="176" t="n"/>
      <c r="BI380" s="176" t="n"/>
      <c r="BJ380" s="176" t="n"/>
      <c r="BK380" s="176" t="n"/>
      <c r="BL380" s="176" t="n"/>
      <c r="BM380" s="176" t="n"/>
      <c r="BN380" s="176" t="n"/>
      <c r="BO380" s="176" t="n"/>
      <c r="BP380" s="176" t="n"/>
      <c r="BQ380" s="176" t="n"/>
      <c r="BR380" s="176" t="n"/>
      <c r="BS380" s="176" t="n"/>
      <c r="BT380" s="176" t="n"/>
      <c r="BU380" s="176" t="n"/>
      <c r="BV380" s="176" t="n"/>
      <c r="BW380" s="176" t="n"/>
      <c r="BX380" s="176" t="n"/>
      <c r="BY380" s="176" t="n"/>
      <c r="BZ380" s="176" t="n"/>
      <c r="CA380" s="176" t="n"/>
      <c r="CB380" s="176" t="n"/>
      <c r="CC380" s="176" t="n"/>
      <c r="CD380" s="176" t="n"/>
      <c r="CE380" s="176" t="n"/>
      <c r="CF380" s="176" t="n"/>
      <c r="CG380" s="176" t="n"/>
      <c r="CH380" s="176" t="n"/>
      <c r="CI380" s="176" t="n"/>
      <c r="CJ380" s="176" t="n"/>
      <c r="CK380" s="176" t="n"/>
      <c r="CL380" s="176" t="n"/>
      <c r="CM380" s="176" t="n"/>
      <c r="CN380" s="176" t="n"/>
      <c r="CO380" s="176" t="n"/>
      <c r="CP380" s="176" t="n"/>
      <c r="CQ380" s="176" t="n"/>
      <c r="CR380" s="176" t="n"/>
      <c r="CS380" s="176" t="n"/>
      <c r="CT380" s="176" t="n"/>
      <c r="CU380" s="176" t="n"/>
      <c r="CV380" s="176" t="n"/>
      <c r="CW380" s="176" t="n"/>
      <c r="CX380" s="176" t="n"/>
      <c r="CY380" s="176" t="n"/>
      <c r="CZ380" s="176" t="n"/>
      <c r="DA380" s="181" t="inlineStr">
        <is>
          <t>BASE DO LIVRO</t>
        </is>
      </c>
      <c r="DB380" s="182" t="n"/>
      <c r="DC380" s="183" t="n"/>
      <c r="DD380" s="185" t="inlineStr">
        <is>
          <t>Nenhuma</t>
        </is>
      </c>
      <c r="DE380" s="182" t="n"/>
      <c r="DF380" s="183" t="n"/>
      <c r="DG380" s="176" t="n"/>
      <c r="DH380" s="176" t="n"/>
      <c r="DI380" s="181" t="inlineStr">
        <is>
          <t>BASE DO LIVRO</t>
        </is>
      </c>
      <c r="DJ380" s="182" t="n"/>
      <c r="DK380" s="183" t="n"/>
      <c r="DL380" s="185" t="inlineStr">
        <is>
          <t>Nenhuma</t>
        </is>
      </c>
      <c r="DM380" s="182" t="n"/>
      <c r="DN380" s="183" t="n"/>
      <c r="DO380" s="176" t="n"/>
      <c r="DP380" s="176" t="n"/>
      <c r="DQ380" s="176" t="n"/>
      <c r="DR380" s="176" t="n"/>
      <c r="DS380" s="176" t="n"/>
      <c r="DT380" s="176" t="n"/>
      <c r="DU380" s="176" t="n"/>
      <c r="DV380" s="176" t="n"/>
      <c r="DW380" s="176" t="n"/>
      <c r="DX380" s="176" t="n"/>
      <c r="DY380" s="176" t="n"/>
      <c r="DZ380" s="176" t="n"/>
      <c r="EA380" s="176" t="n"/>
      <c r="EB380" s="176" t="n"/>
      <c r="EC380" s="176" t="n"/>
      <c r="ED380" s="176" t="n"/>
      <c r="EE380" s="176" t="n"/>
      <c r="EF380" s="176" t="n"/>
      <c r="EG380" s="176" t="n"/>
      <c r="EH380" s="176" t="n"/>
      <c r="EI380" s="176" t="n"/>
      <c r="EJ380" s="176" t="n"/>
      <c r="EK380" s="176" t="n"/>
      <c r="EL380" s="176" t="n"/>
      <c r="EM380" s="176" t="n"/>
      <c r="EN380" s="176" t="n"/>
      <c r="EO380" s="176" t="n"/>
      <c r="EP380" s="176" t="n"/>
      <c r="EQ380" s="176" t="n"/>
      <c r="ER380" s="176" t="n"/>
      <c r="ES380" s="176" t="n"/>
      <c r="ET380" s="176" t="n"/>
      <c r="EU380" s="176" t="n"/>
      <c r="EV380" s="176" t="n"/>
      <c r="EW380" s="176" t="n"/>
      <c r="EX380" s="176" t="n"/>
      <c r="EY380" s="176" t="n"/>
      <c r="EZ380" s="176" t="n"/>
      <c r="FA380" s="176" t="n"/>
      <c r="FB380" s="176" t="n"/>
      <c r="FC380" s="176" t="n"/>
      <c r="FD380" s="176" t="n"/>
      <c r="FE380" s="176" t="n"/>
      <c r="FF380" s="176" t="n"/>
      <c r="FG380" s="176" t="n"/>
      <c r="FH380" s="176" t="n"/>
      <c r="FI380" s="176" t="n"/>
      <c r="FJ380" s="176" t="n"/>
      <c r="FK380" s="176" t="n"/>
      <c r="FL380" s="176" t="n"/>
      <c r="FM380" s="176" t="n"/>
      <c r="FN380" s="176" t="n"/>
      <c r="FO380" s="176" t="n"/>
      <c r="FP380" s="176" t="n"/>
      <c r="FQ380" s="176" t="n"/>
      <c r="FR380" s="176" t="n"/>
      <c r="FS380" s="176" t="n"/>
      <c r="FT380" s="176" t="n"/>
      <c r="FU380" s="176" t="n"/>
      <c r="FV380" s="176" t="n"/>
      <c r="FW380" s="176" t="n"/>
      <c r="FX380" s="176" t="n"/>
      <c r="FY380" s="176" t="n"/>
      <c r="FZ380" s="176" t="n"/>
      <c r="GA380" s="176" t="n"/>
      <c r="GB380" s="176" t="n"/>
      <c r="GC380" s="176" t="n"/>
      <c r="GD380" s="176" t="n"/>
      <c r="GE380" s="176" t="n"/>
      <c r="GF380" s="176" t="n"/>
      <c r="GG380" s="176" t="n"/>
      <c r="GH380" s="176" t="n"/>
      <c r="GI380" s="176" t="n"/>
      <c r="GJ380" s="176" t="n"/>
      <c r="GK380" s="176" t="n"/>
      <c r="GL380" s="176" t="n"/>
      <c r="GM380" s="176" t="n"/>
      <c r="GN380" s="176" t="n"/>
      <c r="GO380" s="176" t="n"/>
      <c r="GP380" s="176" t="n"/>
      <c r="GQ380" s="176" t="n"/>
      <c r="GR380" s="176" t="n"/>
      <c r="GS380" s="176" t="n"/>
      <c r="GT380" s="176" t="n"/>
      <c r="GU380" s="176" t="n"/>
      <c r="GV380" s="176" t="n"/>
      <c r="GW380" s="176" t="n"/>
      <c r="GX380" s="176" t="n"/>
      <c r="GY380" s="176" t="n"/>
      <c r="GZ380" s="176" t="n"/>
      <c r="HA380" s="176" t="n"/>
      <c r="HB380" s="176" t="n"/>
      <c r="HC380" s="176" t="n"/>
      <c r="HD380" s="176" t="n"/>
      <c r="HE380" s="176" t="n"/>
      <c r="HF380" s="176" t="n"/>
      <c r="HG380" s="176" t="n"/>
      <c r="HH380" s="176" t="n"/>
      <c r="HI380" s="176" t="n"/>
      <c r="HJ380" s="176" t="n"/>
      <c r="HK380" s="176" t="n"/>
      <c r="HL380" s="176" t="n"/>
      <c r="HM380" s="176" t="n"/>
      <c r="HN380" s="176" t="n"/>
      <c r="HO380" s="176" t="n"/>
      <c r="HP380" s="176" t="n"/>
      <c r="HQ380" s="176" t="n"/>
      <c r="HR380" s="176" t="n"/>
      <c r="HS380" s="176" t="n"/>
      <c r="HT380" s="176" t="n"/>
      <c r="HU380" s="176" t="n"/>
      <c r="HV380" s="176" t="n"/>
      <c r="HW380" s="176" t="n"/>
      <c r="HX380" s="176" t="n"/>
      <c r="HY380" s="176" t="n"/>
      <c r="HZ380" s="176" t="n"/>
      <c r="IA380" s="176" t="n"/>
      <c r="IB380" s="176" t="n"/>
      <c r="IC380" s="176" t="n"/>
      <c r="ID380" s="176" t="n"/>
    </row>
    <row r="381" ht="18.75" customHeight="1">
      <c r="A381" s="176" t="n"/>
      <c r="B381" s="176" t="n"/>
      <c r="C381" s="176" t="n"/>
      <c r="D381" s="176" t="n"/>
      <c r="E381" s="176" t="n"/>
      <c r="F381" s="176" t="n"/>
      <c r="G381" s="176" t="n"/>
      <c r="H381" s="176" t="n"/>
      <c r="I381" s="176" t="n"/>
      <c r="J381" s="176" t="n"/>
      <c r="K381" s="176" t="n"/>
      <c r="L381" s="176" t="n"/>
      <c r="M381" s="176" t="n"/>
      <c r="N381" s="176" t="n"/>
      <c r="O381" s="176" t="n"/>
      <c r="P381" s="176" t="n"/>
      <c r="Q381" s="176" t="n"/>
      <c r="R381" s="176" t="n"/>
      <c r="S381" s="176" t="n"/>
      <c r="T381" s="193" t="n"/>
      <c r="Y381" s="194" t="n"/>
      <c r="Z381" s="176" t="n"/>
      <c r="AA381" s="176" t="n"/>
      <c r="AB381" s="176" t="n"/>
      <c r="AC381" s="176" t="n"/>
      <c r="AD381" s="176" t="n"/>
      <c r="AE381" s="176" t="n"/>
      <c r="AF381" s="176" t="n"/>
      <c r="AG381" s="176" t="n"/>
      <c r="AH381" s="176" t="n"/>
      <c r="AI381" s="176" t="n"/>
      <c r="AJ381" s="176" t="n"/>
      <c r="AK381" s="176" t="n"/>
      <c r="AL381" s="176" t="n"/>
      <c r="AM381" s="176" t="n"/>
      <c r="AN381" s="176" t="n"/>
      <c r="AO381" s="176" t="n"/>
      <c r="AP381" s="176" t="n"/>
      <c r="AQ381" s="176" t="n"/>
      <c r="AR381" s="176" t="n"/>
      <c r="AS381" s="176" t="n"/>
      <c r="AT381" s="176" t="n"/>
      <c r="AU381" s="176" t="n"/>
      <c r="AV381" s="176" t="n"/>
      <c r="AW381" s="176" t="n"/>
      <c r="AX381" s="176" t="n"/>
      <c r="AY381" s="176" t="n"/>
      <c r="AZ381" s="176" t="n"/>
      <c r="BA381" s="176" t="n"/>
      <c r="BB381" s="176" t="n"/>
      <c r="BC381" s="176" t="n"/>
      <c r="BD381" s="176" t="n"/>
      <c r="BE381" s="176" t="n"/>
      <c r="BF381" s="176" t="n"/>
      <c r="BG381" s="176" t="n"/>
      <c r="BH381" s="176" t="n"/>
      <c r="BI381" s="176" t="n"/>
      <c r="BJ381" s="176" t="n"/>
      <c r="BK381" s="176" t="n"/>
      <c r="BL381" s="176" t="n"/>
      <c r="BM381" s="176" t="n"/>
      <c r="BN381" s="176" t="n"/>
      <c r="BO381" s="176" t="n"/>
      <c r="BP381" s="176" t="n"/>
      <c r="BQ381" s="176" t="n"/>
      <c r="BR381" s="176" t="n"/>
      <c r="BS381" s="176" t="n"/>
      <c r="BT381" s="176" t="n"/>
      <c r="BU381" s="176" t="n"/>
      <c r="BV381" s="176" t="n"/>
      <c r="BW381" s="176" t="n"/>
      <c r="BX381" s="176" t="n"/>
      <c r="BY381" s="176" t="n"/>
      <c r="BZ381" s="176" t="n"/>
      <c r="CA381" s="176" t="n"/>
      <c r="CB381" s="176" t="n"/>
      <c r="CC381" s="176" t="n"/>
      <c r="CD381" s="176" t="n"/>
      <c r="CE381" s="176" t="n"/>
      <c r="CF381" s="176" t="n"/>
      <c r="CG381" s="176" t="n"/>
      <c r="CH381" s="176" t="n"/>
      <c r="CI381" s="176" t="n"/>
      <c r="CJ381" s="176" t="n"/>
      <c r="CK381" s="176" t="n"/>
      <c r="CL381" s="176" t="n"/>
      <c r="CM381" s="176" t="n"/>
      <c r="CN381" s="176" t="n"/>
      <c r="CO381" s="176" t="n"/>
      <c r="CP381" s="176" t="n"/>
      <c r="CQ381" s="176" t="n"/>
      <c r="CR381" s="176" t="n"/>
      <c r="CS381" s="176" t="n"/>
      <c r="CT381" s="176" t="n"/>
      <c r="CU381" s="176" t="n"/>
      <c r="CV381" s="176" t="n"/>
      <c r="CW381" s="176" t="n"/>
      <c r="CX381" s="176" t="n"/>
      <c r="CY381" s="176" t="n"/>
      <c r="CZ381" s="176" t="n"/>
      <c r="DA381" s="181" t="inlineStr">
        <is>
          <t>FAMÍLIA</t>
        </is>
      </c>
      <c r="DB381" s="182" t="n"/>
      <c r="DC381" s="183" t="n"/>
      <c r="DD381" s="185" t="n"/>
      <c r="DE381" s="182" t="n"/>
      <c r="DF381" s="183" t="n"/>
      <c r="DG381" s="176" t="n"/>
      <c r="DH381" s="176" t="n"/>
      <c r="DI381" s="181" t="inlineStr">
        <is>
          <t>FAMÍLIA</t>
        </is>
      </c>
      <c r="DJ381" s="182" t="n"/>
      <c r="DK381" s="183" t="n"/>
      <c r="DL381" s="185" t="n"/>
      <c r="DM381" s="182" t="n"/>
      <c r="DN381" s="183" t="n"/>
      <c r="DO381" s="176" t="n"/>
      <c r="DP381" s="176" t="n"/>
      <c r="DQ381" s="176" t="n"/>
      <c r="DR381" s="176" t="n"/>
      <c r="DS381" s="176" t="n"/>
      <c r="DT381" s="176" t="n"/>
      <c r="DU381" s="176" t="n"/>
      <c r="DV381" s="176" t="n"/>
      <c r="DW381" s="176" t="n"/>
      <c r="DX381" s="176" t="n"/>
      <c r="DY381" s="176" t="n"/>
      <c r="DZ381" s="176" t="n"/>
      <c r="EA381" s="176" t="n"/>
      <c r="EB381" s="176" t="n"/>
      <c r="EC381" s="176" t="n"/>
      <c r="ED381" s="176" t="n"/>
      <c r="EE381" s="176" t="n"/>
      <c r="EF381" s="176" t="n"/>
      <c r="EG381" s="176" t="n"/>
      <c r="EH381" s="176" t="n"/>
      <c r="EI381" s="176" t="n"/>
      <c r="EJ381" s="176" t="n"/>
      <c r="EK381" s="176" t="n"/>
      <c r="EL381" s="176" t="n"/>
      <c r="EM381" s="176" t="n"/>
      <c r="EN381" s="176" t="n"/>
      <c r="EO381" s="176" t="n"/>
      <c r="EP381" s="176" t="n"/>
      <c r="EQ381" s="176" t="n"/>
      <c r="ER381" s="176" t="n"/>
      <c r="ES381" s="176" t="n"/>
      <c r="ET381" s="176" t="n"/>
      <c r="EU381" s="176" t="n"/>
      <c r="EV381" s="176" t="n"/>
      <c r="EW381" s="176" t="n"/>
      <c r="EX381" s="176" t="n"/>
      <c r="EY381" s="176" t="n"/>
      <c r="EZ381" s="176" t="n"/>
      <c r="FA381" s="176" t="n"/>
      <c r="FB381" s="176" t="n"/>
      <c r="FC381" s="176" t="n"/>
      <c r="FD381" s="176" t="n"/>
      <c r="FE381" s="176" t="n"/>
      <c r="FF381" s="176" t="n"/>
      <c r="FG381" s="176" t="n"/>
      <c r="FH381" s="176" t="n"/>
      <c r="FI381" s="176" t="n"/>
      <c r="FJ381" s="176" t="n"/>
      <c r="FK381" s="176" t="n"/>
      <c r="FL381" s="176" t="n"/>
      <c r="FM381" s="176" t="n"/>
      <c r="FN381" s="176" t="n"/>
      <c r="FO381" s="176" t="n"/>
      <c r="FP381" s="176" t="n"/>
      <c r="FQ381" s="176" t="n"/>
      <c r="FR381" s="176" t="n"/>
      <c r="FS381" s="176" t="n"/>
      <c r="FT381" s="176" t="n"/>
      <c r="FU381" s="176" t="n"/>
      <c r="FV381" s="176" t="n"/>
      <c r="FW381" s="176" t="n"/>
      <c r="FX381" s="176" t="n"/>
      <c r="FY381" s="176" t="n"/>
      <c r="FZ381" s="176" t="n"/>
      <c r="GA381" s="176" t="n"/>
      <c r="GB381" s="176" t="n"/>
      <c r="GC381" s="176" t="n"/>
      <c r="GD381" s="176" t="n"/>
      <c r="GE381" s="176" t="n"/>
      <c r="GF381" s="176" t="n"/>
      <c r="GG381" s="176" t="n"/>
      <c r="GH381" s="176" t="n"/>
      <c r="GI381" s="176" t="n"/>
      <c r="GJ381" s="176" t="n"/>
      <c r="GK381" s="176" t="n"/>
      <c r="GL381" s="176" t="n"/>
      <c r="GM381" s="176" t="n"/>
      <c r="GN381" s="176" t="n"/>
      <c r="GO381" s="176" t="n"/>
      <c r="GP381" s="176" t="n"/>
      <c r="GQ381" s="176" t="n"/>
      <c r="GR381" s="176" t="n"/>
      <c r="GS381" s="176" t="n"/>
      <c r="GT381" s="176" t="n"/>
      <c r="GU381" s="176" t="n"/>
      <c r="GV381" s="176" t="n"/>
      <c r="GW381" s="176" t="n"/>
      <c r="GX381" s="176" t="n"/>
      <c r="GY381" s="176" t="n"/>
      <c r="GZ381" s="176" t="n"/>
      <c r="HA381" s="176" t="n"/>
      <c r="HB381" s="176" t="n"/>
      <c r="HC381" s="176" t="n"/>
      <c r="HD381" s="176" t="n"/>
      <c r="HE381" s="176" t="n"/>
      <c r="HF381" s="176" t="n"/>
      <c r="HG381" s="176" t="n"/>
      <c r="HH381" s="176" t="n"/>
      <c r="HI381" s="176" t="n"/>
      <c r="HJ381" s="176" t="n"/>
      <c r="HK381" s="176" t="n"/>
      <c r="HL381" s="176" t="n"/>
      <c r="HM381" s="176" t="n"/>
      <c r="HN381" s="176" t="n"/>
      <c r="HO381" s="176" t="n"/>
      <c r="HP381" s="176" t="n"/>
      <c r="HQ381" s="176" t="n"/>
      <c r="HR381" s="176" t="n"/>
      <c r="HS381" s="176" t="n"/>
      <c r="HT381" s="176" t="n"/>
      <c r="HU381" s="176" t="n"/>
      <c r="HV381" s="176" t="n"/>
      <c r="HW381" s="176" t="n"/>
      <c r="HX381" s="176" t="n"/>
      <c r="HY381" s="176" t="n"/>
      <c r="HZ381" s="176" t="n"/>
      <c r="IA381" s="176" t="n"/>
      <c r="IB381" s="176" t="n"/>
      <c r="IC381" s="176" t="n"/>
      <c r="ID381" s="176" t="n"/>
    </row>
    <row r="382" ht="18.75" customHeight="1">
      <c r="A382" s="176" t="n"/>
      <c r="B382" s="176" t="n"/>
      <c r="C382" s="176" t="n"/>
      <c r="D382" s="176" t="n"/>
      <c r="E382" s="176" t="n"/>
      <c r="F382" s="176" t="n"/>
      <c r="G382" s="176" t="n"/>
      <c r="H382" s="176" t="n"/>
      <c r="I382" s="176" t="n"/>
      <c r="J382" s="176" t="n"/>
      <c r="K382" s="176" t="n"/>
      <c r="L382" s="176" t="n"/>
      <c r="M382" s="176" t="n"/>
      <c r="N382" s="176" t="n"/>
      <c r="O382" s="176" t="n"/>
      <c r="P382" s="176" t="n"/>
      <c r="Q382" s="176" t="n"/>
      <c r="R382" s="176" t="n"/>
      <c r="S382" s="176" t="n"/>
      <c r="T382" s="193" t="n"/>
      <c r="Y382" s="194" t="n"/>
      <c r="Z382" s="176" t="n"/>
      <c r="AA382" s="176" t="n"/>
      <c r="AB382" s="176" t="n"/>
      <c r="AC382" s="176" t="n"/>
      <c r="AD382" s="176" t="n"/>
      <c r="AE382" s="176" t="n"/>
      <c r="AF382" s="176" t="n"/>
      <c r="AG382" s="176" t="n"/>
      <c r="AH382" s="176" t="n"/>
      <c r="AI382" s="176" t="n"/>
      <c r="AJ382" s="176" t="n"/>
      <c r="AK382" s="176" t="n"/>
      <c r="AL382" s="176" t="n"/>
      <c r="AM382" s="176" t="n"/>
      <c r="AN382" s="176" t="n"/>
      <c r="AO382" s="176" t="n"/>
      <c r="AP382" s="176" t="n"/>
      <c r="AQ382" s="176" t="n"/>
      <c r="AR382" s="176" t="n"/>
      <c r="AS382" s="176" t="n"/>
      <c r="AT382" s="176" t="n"/>
      <c r="AU382" s="176" t="n"/>
      <c r="AV382" s="176" t="n"/>
      <c r="AW382" s="176" t="n"/>
      <c r="AX382" s="176" t="n"/>
      <c r="AY382" s="176" t="n"/>
      <c r="AZ382" s="176" t="n"/>
      <c r="BA382" s="176" t="n"/>
      <c r="BB382" s="176" t="n"/>
      <c r="BC382" s="176" t="n"/>
      <c r="BD382" s="176" t="n"/>
      <c r="BE382" s="176" t="n"/>
      <c r="BF382" s="176" t="n"/>
      <c r="BG382" s="176" t="n"/>
      <c r="BH382" s="176" t="n"/>
      <c r="BI382" s="176" t="n"/>
      <c r="BJ382" s="176" t="n"/>
      <c r="BK382" s="176" t="n"/>
      <c r="BL382" s="176" t="n"/>
      <c r="BM382" s="176" t="n"/>
      <c r="BN382" s="176" t="n"/>
      <c r="BO382" s="176" t="n"/>
      <c r="BP382" s="176" t="n"/>
      <c r="BQ382" s="176" t="n"/>
      <c r="BR382" s="176" t="n"/>
      <c r="BS382" s="176" t="n"/>
      <c r="BT382" s="176" t="n"/>
      <c r="BU382" s="176" t="n"/>
      <c r="BV382" s="176" t="n"/>
      <c r="BW382" s="176" t="n"/>
      <c r="BX382" s="176" t="n"/>
      <c r="BY382" s="176" t="n"/>
      <c r="BZ382" s="176" t="n"/>
      <c r="CA382" s="176" t="n"/>
      <c r="CB382" s="176" t="n"/>
      <c r="CC382" s="176" t="n"/>
      <c r="CD382" s="176" t="n"/>
      <c r="CE382" s="176" t="n"/>
      <c r="CF382" s="176" t="n"/>
      <c r="CG382" s="176" t="n"/>
      <c r="CH382" s="176" t="n"/>
      <c r="CI382" s="176" t="n"/>
      <c r="CJ382" s="176" t="n"/>
      <c r="CK382" s="176" t="n"/>
      <c r="CL382" s="176" t="n"/>
      <c r="CM382" s="176" t="n"/>
      <c r="CN382" s="176" t="n"/>
      <c r="CO382" s="176" t="n"/>
      <c r="CP382" s="176" t="n"/>
      <c r="CQ382" s="176" t="n"/>
      <c r="CR382" s="176" t="n"/>
      <c r="CS382" s="176" t="n"/>
      <c r="CT382" s="176" t="n"/>
      <c r="CU382" s="176" t="n"/>
      <c r="CV382" s="176" t="n"/>
      <c r="CW382" s="176" t="n"/>
      <c r="CX382" s="176" t="n"/>
      <c r="CY382" s="176" t="n"/>
      <c r="CZ382" s="176" t="n"/>
      <c r="DA382" s="181" t="inlineStr">
        <is>
          <t>PESO</t>
        </is>
      </c>
      <c r="DB382" s="182" t="n"/>
      <c r="DC382" s="183" t="n"/>
      <c r="DD382" s="185" t="n"/>
      <c r="DE382" s="182" t="n"/>
      <c r="DF382" s="183" t="n"/>
      <c r="DG382" s="176" t="n"/>
      <c r="DH382" s="176" t="n"/>
      <c r="DI382" s="181" t="inlineStr">
        <is>
          <t>PESO</t>
        </is>
      </c>
      <c r="DJ382" s="182" t="n"/>
      <c r="DK382" s="183" t="n"/>
      <c r="DL382" s="185" t="n"/>
      <c r="DM382" s="182" t="n"/>
      <c r="DN382" s="183" t="n"/>
      <c r="DO382" s="176" t="n"/>
      <c r="DP382" s="176" t="n"/>
      <c r="DQ382" s="176" t="n"/>
      <c r="DR382" s="176" t="n"/>
      <c r="DS382" s="176" t="n"/>
      <c r="DT382" s="176" t="n"/>
      <c r="DU382" s="176" t="n"/>
      <c r="DV382" s="176" t="n"/>
      <c r="DW382" s="176" t="n"/>
      <c r="DX382" s="176" t="n"/>
      <c r="DY382" s="176" t="n"/>
      <c r="DZ382" s="176" t="n"/>
      <c r="EA382" s="176" t="n"/>
      <c r="EB382" s="176" t="n"/>
      <c r="EC382" s="176" t="n"/>
      <c r="ED382" s="176" t="n"/>
      <c r="EE382" s="176" t="n"/>
      <c r="EF382" s="176" t="n"/>
      <c r="EG382" s="176" t="n"/>
      <c r="EH382" s="176" t="n"/>
      <c r="EI382" s="176" t="n"/>
      <c r="EJ382" s="176" t="n"/>
      <c r="EK382" s="176" t="n"/>
      <c r="EL382" s="176" t="n"/>
      <c r="EM382" s="176" t="n"/>
      <c r="EN382" s="176" t="n"/>
      <c r="EO382" s="176" t="n"/>
      <c r="EP382" s="176" t="n"/>
      <c r="EQ382" s="176" t="n"/>
      <c r="ER382" s="176" t="n"/>
      <c r="ES382" s="176" t="n"/>
      <c r="ET382" s="176" t="n"/>
      <c r="EU382" s="176" t="n"/>
      <c r="EV382" s="176" t="n"/>
      <c r="EW382" s="176" t="n"/>
      <c r="EX382" s="176" t="n"/>
      <c r="EY382" s="176" t="n"/>
      <c r="EZ382" s="176" t="n"/>
      <c r="FA382" s="176" t="n"/>
      <c r="FB382" s="176" t="n"/>
      <c r="FC382" s="176" t="n"/>
      <c r="FD382" s="176" t="n"/>
      <c r="FE382" s="176" t="n"/>
      <c r="FF382" s="176" t="n"/>
      <c r="FG382" s="176" t="n"/>
      <c r="FH382" s="176" t="n"/>
      <c r="FI382" s="176" t="n"/>
      <c r="FJ382" s="176" t="n"/>
      <c r="FK382" s="176" t="n"/>
      <c r="FL382" s="176" t="n"/>
      <c r="FM382" s="176" t="n"/>
      <c r="FN382" s="176" t="n"/>
      <c r="FO382" s="176" t="n"/>
      <c r="FP382" s="176" t="n"/>
      <c r="FQ382" s="176" t="n"/>
      <c r="FR382" s="176" t="n"/>
      <c r="FS382" s="176" t="n"/>
      <c r="FT382" s="176" t="n"/>
      <c r="FU382" s="176" t="n"/>
      <c r="FV382" s="176" t="n"/>
      <c r="FW382" s="176" t="n"/>
      <c r="FX382" s="176" t="n"/>
      <c r="FY382" s="176" t="n"/>
      <c r="FZ382" s="176" t="n"/>
      <c r="GA382" s="176" t="n"/>
      <c r="GB382" s="176" t="n"/>
      <c r="GC382" s="176" t="n"/>
      <c r="GD382" s="176" t="n"/>
      <c r="GE382" s="176" t="n"/>
      <c r="GF382" s="176" t="n"/>
      <c r="GG382" s="176" t="n"/>
      <c r="GH382" s="176" t="n"/>
      <c r="GI382" s="176" t="n"/>
      <c r="GJ382" s="176" t="n"/>
      <c r="GK382" s="176" t="n"/>
      <c r="GL382" s="176" t="n"/>
      <c r="GM382" s="176" t="n"/>
      <c r="GN382" s="176" t="n"/>
      <c r="GO382" s="176" t="n"/>
      <c r="GP382" s="176" t="n"/>
      <c r="GQ382" s="176" t="n"/>
      <c r="GR382" s="176" t="n"/>
      <c r="GS382" s="176" t="n"/>
      <c r="GT382" s="176" t="n"/>
      <c r="GU382" s="176" t="n"/>
      <c r="GV382" s="176" t="n"/>
      <c r="GW382" s="176" t="n"/>
      <c r="GX382" s="176" t="n"/>
      <c r="GY382" s="176" t="n"/>
      <c r="GZ382" s="176" t="n"/>
      <c r="HA382" s="176" t="n"/>
      <c r="HB382" s="176" t="n"/>
      <c r="HC382" s="176" t="n"/>
      <c r="HD382" s="176" t="n"/>
      <c r="HE382" s="176" t="n"/>
      <c r="HF382" s="176" t="n"/>
      <c r="HG382" s="176" t="n"/>
      <c r="HH382" s="176" t="n"/>
      <c r="HI382" s="176" t="n"/>
      <c r="HJ382" s="176" t="n"/>
      <c r="HK382" s="176" t="n"/>
      <c r="HL382" s="176" t="n"/>
      <c r="HM382" s="176" t="n"/>
      <c r="HN382" s="176" t="n"/>
      <c r="HO382" s="176" t="n"/>
      <c r="HP382" s="176" t="n"/>
      <c r="HQ382" s="176" t="n"/>
      <c r="HR382" s="176" t="n"/>
      <c r="HS382" s="176" t="n"/>
      <c r="HT382" s="176" t="n"/>
      <c r="HU382" s="176" t="n"/>
      <c r="HV382" s="176" t="n"/>
      <c r="HW382" s="176" t="n"/>
      <c r="HX382" s="176" t="n"/>
      <c r="HY382" s="176" t="n"/>
      <c r="HZ382" s="176" t="n"/>
      <c r="IA382" s="176" t="n"/>
      <c r="IB382" s="176" t="n"/>
      <c r="IC382" s="176" t="n"/>
      <c r="ID382" s="176" t="n"/>
    </row>
    <row r="383" ht="18.75" customHeight="1">
      <c r="A383" s="176" t="n"/>
      <c r="B383" s="176" t="n"/>
      <c r="C383" s="176" t="n"/>
      <c r="D383" s="176" t="n"/>
      <c r="E383" s="176" t="n"/>
      <c r="F383" s="176" t="n"/>
      <c r="G383" s="176" t="n"/>
      <c r="H383" s="176" t="n"/>
      <c r="I383" s="176" t="n"/>
      <c r="J383" s="176" t="n"/>
      <c r="K383" s="176" t="n"/>
      <c r="L383" s="176" t="n"/>
      <c r="M383" s="176" t="n"/>
      <c r="N383" s="176" t="n"/>
      <c r="O383" s="176" t="n"/>
      <c r="P383" s="176" t="n"/>
      <c r="Q383" s="176" t="n"/>
      <c r="R383" s="176" t="n"/>
      <c r="S383" s="176" t="n"/>
      <c r="T383" s="189" t="n"/>
      <c r="U383" s="190" t="n"/>
      <c r="V383" s="190" t="n"/>
      <c r="W383" s="190" t="n"/>
      <c r="X383" s="190" t="n"/>
      <c r="Y383" s="191" t="n"/>
      <c r="Z383" s="176" t="n"/>
      <c r="AA383" s="176" t="n"/>
      <c r="AB383" s="176" t="n"/>
      <c r="AC383" s="176" t="n"/>
      <c r="AD383" s="176" t="n"/>
      <c r="AE383" s="176" t="n"/>
      <c r="AF383" s="176" t="n"/>
      <c r="AG383" s="176" t="n"/>
      <c r="AH383" s="176" t="n"/>
      <c r="AI383" s="176" t="n"/>
      <c r="AJ383" s="176" t="n"/>
      <c r="AK383" s="176" t="n"/>
      <c r="AL383" s="176" t="n"/>
      <c r="AM383" s="176" t="n"/>
      <c r="AN383" s="176" t="n"/>
      <c r="AO383" s="176" t="n"/>
      <c r="AP383" s="176" t="n"/>
      <c r="AQ383" s="176" t="n"/>
      <c r="AR383" s="176" t="n"/>
      <c r="AS383" s="176" t="n"/>
      <c r="AT383" s="176" t="n"/>
      <c r="AU383" s="176" t="n"/>
      <c r="AV383" s="176" t="n"/>
      <c r="AW383" s="176" t="n"/>
      <c r="AX383" s="176" t="n"/>
      <c r="AY383" s="176" t="n"/>
      <c r="AZ383" s="176" t="n"/>
      <c r="BA383" s="176" t="n"/>
      <c r="BB383" s="176" t="n"/>
      <c r="BC383" s="176" t="n"/>
      <c r="BD383" s="176" t="n"/>
      <c r="BE383" s="176" t="n"/>
      <c r="BF383" s="176" t="n"/>
      <c r="BG383" s="176" t="n"/>
      <c r="BH383" s="176" t="n"/>
      <c r="BI383" s="176" t="n"/>
      <c r="BJ383" s="176" t="n"/>
      <c r="BK383" s="176" t="n"/>
      <c r="BL383" s="176" t="n"/>
      <c r="BM383" s="176" t="n"/>
      <c r="BN383" s="176" t="n"/>
      <c r="BO383" s="176" t="n"/>
      <c r="BP383" s="176" t="n"/>
      <c r="BQ383" s="176" t="n"/>
      <c r="BR383" s="176" t="n"/>
      <c r="BS383" s="176" t="n"/>
      <c r="BT383" s="176" t="n"/>
      <c r="BU383" s="176" t="n"/>
      <c r="BV383" s="176" t="n"/>
      <c r="BW383" s="176" t="n"/>
      <c r="BX383" s="176" t="n"/>
      <c r="BY383" s="176" t="n"/>
      <c r="BZ383" s="176" t="n"/>
      <c r="CA383" s="176" t="n"/>
      <c r="CB383" s="176" t="n"/>
      <c r="CC383" s="176" t="n"/>
      <c r="CD383" s="176" t="n"/>
      <c r="CE383" s="176" t="n"/>
      <c r="CF383" s="176" t="n"/>
      <c r="CG383" s="176" t="n"/>
      <c r="CH383" s="176" t="n"/>
      <c r="CI383" s="176" t="n"/>
      <c r="CJ383" s="176" t="n"/>
      <c r="CK383" s="176" t="n"/>
      <c r="CL383" s="176" t="n"/>
      <c r="CM383" s="176" t="n"/>
      <c r="CN383" s="176" t="n"/>
      <c r="CO383" s="176" t="n"/>
      <c r="CP383" s="176" t="n"/>
      <c r="CQ383" s="176" t="n"/>
      <c r="CR383" s="176" t="n"/>
      <c r="CS383" s="176" t="n"/>
      <c r="CT383" s="176" t="n"/>
      <c r="CU383" s="176" t="n"/>
      <c r="CV383" s="176" t="n"/>
      <c r="CW383" s="176" t="n"/>
      <c r="CX383" s="176" t="n"/>
      <c r="CY383" s="176" t="n"/>
      <c r="CZ383" s="176" t="n"/>
      <c r="DA383" s="181" t="inlineStr">
        <is>
          <t>EXIGE TR</t>
        </is>
      </c>
      <c r="DB383" s="182" t="n"/>
      <c r="DC383" s="183" t="n"/>
      <c r="DD383" s="185" t="n"/>
      <c r="DE383" s="182" t="n"/>
      <c r="DF383" s="183" t="n"/>
      <c r="DG383" s="176" t="n"/>
      <c r="DH383" s="176" t="n"/>
      <c r="DI383" s="181" t="inlineStr">
        <is>
          <t>EXIGE TR</t>
        </is>
      </c>
      <c r="DJ383" s="182" t="n"/>
      <c r="DK383" s="183" t="n"/>
      <c r="DL383" s="185" t="n"/>
      <c r="DM383" s="182" t="n"/>
      <c r="DN383" s="183" t="n"/>
      <c r="DO383" s="176" t="n"/>
      <c r="DP383" s="176" t="n"/>
      <c r="DQ383" s="176" t="n"/>
      <c r="DR383" s="176" t="n"/>
      <c r="DS383" s="176" t="n"/>
      <c r="DT383" s="176" t="n"/>
      <c r="DU383" s="176" t="n"/>
      <c r="DV383" s="176" t="n"/>
      <c r="DW383" s="176" t="n"/>
      <c r="DX383" s="176" t="n"/>
      <c r="DY383" s="176" t="n"/>
      <c r="DZ383" s="176" t="n"/>
      <c r="EA383" s="176" t="n"/>
      <c r="EB383" s="176" t="n"/>
      <c r="EC383" s="176" t="n"/>
      <c r="ED383" s="176" t="n"/>
      <c r="EE383" s="176" t="n"/>
      <c r="EF383" s="176" t="n"/>
      <c r="EG383" s="176" t="n"/>
      <c r="EH383" s="176" t="n"/>
      <c r="EI383" s="176" t="n"/>
      <c r="EJ383" s="176" t="n"/>
      <c r="EK383" s="176" t="n"/>
      <c r="EL383" s="176" t="n"/>
      <c r="EM383" s="176" t="n"/>
      <c r="EN383" s="176" t="n"/>
      <c r="EO383" s="176" t="n"/>
      <c r="EP383" s="176" t="n"/>
      <c r="EQ383" s="176" t="n"/>
      <c r="ER383" s="176" t="n"/>
      <c r="ES383" s="176" t="n"/>
      <c r="ET383" s="176" t="n"/>
      <c r="EU383" s="176" t="n"/>
      <c r="EV383" s="176" t="n"/>
      <c r="EW383" s="176" t="n"/>
      <c r="EX383" s="176" t="n"/>
      <c r="EY383" s="176" t="n"/>
      <c r="EZ383" s="176" t="n"/>
      <c r="FA383" s="176" t="n"/>
      <c r="FB383" s="176" t="n"/>
      <c r="FC383" s="176" t="n"/>
      <c r="FD383" s="176" t="n"/>
      <c r="FE383" s="176" t="n"/>
      <c r="FF383" s="176" t="n"/>
      <c r="FG383" s="176" t="n"/>
      <c r="FH383" s="176" t="n"/>
      <c r="FI383" s="176" t="n"/>
      <c r="FJ383" s="176" t="n"/>
      <c r="FK383" s="176" t="n"/>
      <c r="FL383" s="176" t="n"/>
      <c r="FM383" s="176" t="n"/>
      <c r="FN383" s="176" t="n"/>
      <c r="FO383" s="176" t="n"/>
      <c r="FP383" s="176" t="n"/>
      <c r="FQ383" s="176" t="n"/>
      <c r="FR383" s="176" t="n"/>
      <c r="FS383" s="176" t="n"/>
      <c r="FT383" s="176" t="n"/>
      <c r="FU383" s="176" t="n"/>
      <c r="FV383" s="176" t="n"/>
      <c r="FW383" s="176" t="n"/>
      <c r="FX383" s="176" t="n"/>
      <c r="FY383" s="176" t="n"/>
      <c r="FZ383" s="176" t="n"/>
      <c r="GA383" s="176" t="n"/>
      <c r="GB383" s="176" t="n"/>
      <c r="GC383" s="176" t="n"/>
      <c r="GD383" s="176" t="n"/>
      <c r="GE383" s="176" t="n"/>
      <c r="GF383" s="176" t="n"/>
      <c r="GG383" s="176" t="n"/>
      <c r="GH383" s="176" t="n"/>
      <c r="GI383" s="176" t="n"/>
      <c r="GJ383" s="176" t="n"/>
      <c r="GK383" s="176" t="n"/>
      <c r="GL383" s="176" t="n"/>
      <c r="GM383" s="176" t="n"/>
      <c r="GN383" s="176" t="n"/>
      <c r="GO383" s="176" t="n"/>
      <c r="GP383" s="176" t="n"/>
      <c r="GQ383" s="176" t="n"/>
      <c r="GR383" s="176" t="n"/>
      <c r="GS383" s="176" t="n"/>
      <c r="GT383" s="176" t="n"/>
      <c r="GU383" s="176" t="n"/>
      <c r="GV383" s="176" t="n"/>
      <c r="GW383" s="176" t="n"/>
      <c r="GX383" s="176" t="n"/>
      <c r="GY383" s="176" t="n"/>
      <c r="GZ383" s="176" t="n"/>
      <c r="HA383" s="176" t="n"/>
      <c r="HB383" s="176" t="n"/>
      <c r="HC383" s="176" t="n"/>
      <c r="HD383" s="176" t="n"/>
      <c r="HE383" s="176" t="n"/>
      <c r="HF383" s="176" t="n"/>
      <c r="HG383" s="176" t="n"/>
      <c r="HH383" s="176" t="n"/>
      <c r="HI383" s="176" t="n"/>
      <c r="HJ383" s="176" t="n"/>
      <c r="HK383" s="176" t="n"/>
      <c r="HL383" s="176" t="n"/>
      <c r="HM383" s="176" t="n"/>
      <c r="HN383" s="176" t="n"/>
      <c r="HO383" s="176" t="n"/>
      <c r="HP383" s="176" t="n"/>
      <c r="HQ383" s="176" t="n"/>
      <c r="HR383" s="176" t="n"/>
      <c r="HS383" s="176" t="n"/>
      <c r="HT383" s="176" t="n"/>
      <c r="HU383" s="176" t="n"/>
      <c r="HV383" s="176" t="n"/>
      <c r="HW383" s="176" t="n"/>
      <c r="HX383" s="176" t="n"/>
      <c r="HY383" s="176" t="n"/>
      <c r="HZ383" s="176" t="n"/>
      <c r="IA383" s="176" t="n"/>
      <c r="IB383" s="176" t="n"/>
      <c r="IC383" s="176" t="n"/>
      <c r="ID383" s="176" t="n"/>
    </row>
    <row r="384" ht="18.75" customHeight="1">
      <c r="A384" s="176" t="n"/>
      <c r="B384" s="176" t="n"/>
      <c r="C384" s="176" t="n"/>
      <c r="D384" s="176" t="n"/>
      <c r="E384" s="176" t="n"/>
      <c r="F384" s="176" t="n"/>
      <c r="G384" s="176" t="n"/>
      <c r="H384" s="176" t="n"/>
      <c r="I384" s="176" t="n"/>
      <c r="J384" s="176" t="n"/>
      <c r="K384" s="176" t="n"/>
      <c r="L384" s="176" t="n"/>
      <c r="M384" s="176" t="n"/>
      <c r="N384" s="176" t="n"/>
      <c r="O384" s="176" t="n"/>
      <c r="P384" s="176" t="n"/>
      <c r="Q384" s="176" t="n"/>
      <c r="R384" s="176" t="n"/>
      <c r="S384" s="176" t="n"/>
      <c r="T384" s="180">
        <f>IF('DADOS_CUSTOM'!$S$26="","Revise os valores ao trocar o tipo.","⚠ "&amp;'DADOS_CUSTOM'!$S$26)</f>
        <v/>
      </c>
      <c r="Z384" s="176" t="n"/>
      <c r="AA384" s="176" t="n"/>
      <c r="AB384" s="176" t="n"/>
      <c r="AC384" s="176" t="n"/>
      <c r="AD384" s="176" t="n"/>
      <c r="AE384" s="176" t="n"/>
      <c r="AF384" s="176" t="n"/>
      <c r="AG384" s="176" t="n"/>
      <c r="AH384" s="176" t="n"/>
      <c r="AI384" s="176" t="n"/>
      <c r="AJ384" s="176" t="n"/>
      <c r="AK384" s="176" t="n"/>
      <c r="AL384" s="176" t="n"/>
      <c r="AM384" s="176" t="n"/>
      <c r="AN384" s="176" t="n"/>
      <c r="AO384" s="176" t="n"/>
      <c r="AP384" s="176" t="n"/>
      <c r="AQ384" s="176" t="n"/>
      <c r="AR384" s="176" t="n"/>
      <c r="AS384" s="176" t="n"/>
      <c r="AT384" s="176" t="n"/>
      <c r="AU384" s="176" t="n"/>
      <c r="AV384" s="176" t="n"/>
      <c r="AW384" s="176" t="n"/>
      <c r="AX384" s="176" t="n"/>
      <c r="AY384" s="176" t="n"/>
      <c r="AZ384" s="176" t="n"/>
      <c r="BA384" s="176" t="n"/>
      <c r="BB384" s="176" t="n"/>
      <c r="BC384" s="176" t="n"/>
      <c r="BD384" s="176" t="n"/>
      <c r="BE384" s="176" t="n"/>
      <c r="BF384" s="176" t="n"/>
      <c r="BG384" s="176" t="n"/>
      <c r="BH384" s="176" t="n"/>
      <c r="BI384" s="176" t="n"/>
      <c r="BJ384" s="176" t="n"/>
      <c r="BK384" s="176" t="n"/>
      <c r="BL384" s="176" t="n"/>
      <c r="BM384" s="176" t="n"/>
      <c r="BN384" s="176" t="n"/>
      <c r="BO384" s="176" t="n"/>
      <c r="BP384" s="176" t="n"/>
      <c r="BQ384" s="176" t="n"/>
      <c r="BR384" s="176" t="n"/>
      <c r="BS384" s="176" t="n"/>
      <c r="BT384" s="176" t="n"/>
      <c r="BU384" s="176" t="n"/>
      <c r="BV384" s="176" t="n"/>
      <c r="BW384" s="176" t="n"/>
      <c r="BX384" s="176" t="n"/>
      <c r="BY384" s="176" t="n"/>
      <c r="BZ384" s="176" t="n"/>
      <c r="CA384" s="176" t="n"/>
      <c r="CB384" s="176" t="n"/>
      <c r="CC384" s="176" t="n"/>
      <c r="CD384" s="176" t="n"/>
      <c r="CE384" s="176" t="n"/>
      <c r="CF384" s="176" t="n"/>
      <c r="CG384" s="176" t="n"/>
      <c r="CH384" s="176" t="n"/>
      <c r="CI384" s="176" t="n"/>
      <c r="CJ384" s="176" t="n"/>
      <c r="CK384" s="176" t="n"/>
      <c r="CL384" s="176" t="n"/>
      <c r="CM384" s="176" t="n"/>
      <c r="CN384" s="176" t="n"/>
      <c r="CO384" s="176" t="n"/>
      <c r="CP384" s="176" t="n"/>
      <c r="CQ384" s="176" t="n"/>
      <c r="CR384" s="176" t="n"/>
      <c r="CS384" s="176" t="n"/>
      <c r="CT384" s="176" t="n"/>
      <c r="CU384" s="176" t="n"/>
      <c r="CV384" s="176" t="n"/>
      <c r="CW384" s="176" t="n"/>
      <c r="CX384" s="176" t="n"/>
      <c r="CY384" s="176" t="n"/>
      <c r="CZ384" s="176" t="n"/>
      <c r="DA384" s="176" t="n"/>
      <c r="DB384" s="176" t="n"/>
      <c r="DC384" s="176" t="n"/>
      <c r="DD384" s="176" t="n"/>
      <c r="DE384" s="176" t="n"/>
      <c r="DF384" s="176" t="n"/>
      <c r="DG384" s="176" t="n"/>
      <c r="DH384" s="176" t="n"/>
      <c r="DI384" s="176" t="n"/>
      <c r="DJ384" s="176" t="n"/>
      <c r="DK384" s="176" t="n"/>
      <c r="DL384" s="176" t="n"/>
      <c r="DM384" s="176" t="n"/>
      <c r="DN384" s="176" t="n"/>
      <c r="DO384" s="176" t="n"/>
      <c r="DP384" s="176" t="n"/>
      <c r="DQ384" s="176" t="n"/>
      <c r="DR384" s="176" t="n"/>
      <c r="DS384" s="176" t="n"/>
      <c r="DT384" s="176" t="n"/>
      <c r="DU384" s="176" t="n"/>
      <c r="DV384" s="176" t="n"/>
      <c r="DW384" s="176" t="n"/>
      <c r="DX384" s="176" t="n"/>
      <c r="DY384" s="176" t="n"/>
      <c r="DZ384" s="176" t="n"/>
      <c r="EA384" s="176" t="n"/>
      <c r="EB384" s="176" t="n"/>
      <c r="EC384" s="176" t="n"/>
      <c r="ED384" s="176" t="n"/>
      <c r="EE384" s="176" t="n"/>
      <c r="EF384" s="176" t="n"/>
      <c r="EG384" s="176" t="n"/>
      <c r="EH384" s="176" t="n"/>
      <c r="EI384" s="176" t="n"/>
      <c r="EJ384" s="176" t="n"/>
      <c r="EK384" s="176" t="n"/>
      <c r="EL384" s="176" t="n"/>
      <c r="EM384" s="176" t="n"/>
      <c r="EN384" s="176" t="n"/>
      <c r="EO384" s="176" t="n"/>
      <c r="EP384" s="176" t="n"/>
      <c r="EQ384" s="176" t="n"/>
      <c r="ER384" s="176" t="n"/>
      <c r="ES384" s="176" t="n"/>
      <c r="ET384" s="176" t="n"/>
      <c r="EU384" s="176" t="n"/>
      <c r="EV384" s="176" t="n"/>
      <c r="EW384" s="176" t="n"/>
      <c r="EX384" s="176" t="n"/>
      <c r="EY384" s="176" t="n"/>
      <c r="EZ384" s="176" t="n"/>
      <c r="FA384" s="176" t="n"/>
      <c r="FB384" s="176" t="n"/>
      <c r="FC384" s="176" t="n"/>
      <c r="FD384" s="176" t="n"/>
      <c r="FE384" s="176" t="n"/>
      <c r="FF384" s="176" t="n"/>
      <c r="FG384" s="176" t="n"/>
      <c r="FH384" s="176" t="n"/>
      <c r="FI384" s="176" t="n"/>
      <c r="FJ384" s="176" t="n"/>
      <c r="FK384" s="176" t="n"/>
      <c r="FL384" s="176" t="n"/>
      <c r="FM384" s="176" t="n"/>
      <c r="FN384" s="176" t="n"/>
      <c r="FO384" s="176" t="n"/>
      <c r="FP384" s="176" t="n"/>
      <c r="FQ384" s="176" t="n"/>
      <c r="FR384" s="176" t="n"/>
      <c r="FS384" s="176" t="n"/>
      <c r="FT384" s="176" t="n"/>
      <c r="FU384" s="176" t="n"/>
      <c r="FV384" s="176" t="n"/>
      <c r="FW384" s="176" t="n"/>
      <c r="FX384" s="176" t="n"/>
      <c r="FY384" s="176" t="n"/>
      <c r="FZ384" s="176" t="n"/>
      <c r="GA384" s="176" t="n"/>
      <c r="GB384" s="176" t="n"/>
      <c r="GC384" s="176" t="n"/>
      <c r="GD384" s="176" t="n"/>
      <c r="GE384" s="176" t="n"/>
      <c r="GF384" s="176" t="n"/>
      <c r="GG384" s="176" t="n"/>
      <c r="GH384" s="176" t="n"/>
      <c r="GI384" s="176" t="n"/>
      <c r="GJ384" s="176" t="n"/>
      <c r="GK384" s="176" t="n"/>
      <c r="GL384" s="176" t="n"/>
      <c r="GM384" s="176" t="n"/>
      <c r="GN384" s="176" t="n"/>
      <c r="GO384" s="176" t="n"/>
      <c r="GP384" s="176" t="n"/>
      <c r="GQ384" s="176" t="n"/>
      <c r="GR384" s="176" t="n"/>
      <c r="GS384" s="176" t="n"/>
      <c r="GT384" s="176" t="n"/>
      <c r="GU384" s="176" t="n"/>
      <c r="GV384" s="176" t="n"/>
      <c r="GW384" s="176" t="n"/>
      <c r="GX384" s="176" t="n"/>
      <c r="GY384" s="176" t="n"/>
      <c r="GZ384" s="176" t="n"/>
      <c r="HA384" s="176" t="n"/>
      <c r="HB384" s="176" t="n"/>
      <c r="HC384" s="176" t="n"/>
      <c r="HD384" s="176" t="n"/>
      <c r="HE384" s="176" t="n"/>
      <c r="HF384" s="176" t="n"/>
      <c r="HG384" s="176" t="n"/>
      <c r="HH384" s="176" t="n"/>
      <c r="HI384" s="176" t="n"/>
      <c r="HJ384" s="176" t="n"/>
      <c r="HK384" s="176" t="n"/>
      <c r="HL384" s="176" t="n"/>
      <c r="HM384" s="176" t="n"/>
      <c r="HN384" s="176" t="n"/>
      <c r="HO384" s="176" t="n"/>
      <c r="HP384" s="176" t="n"/>
      <c r="HQ384" s="176" t="n"/>
      <c r="HR384" s="176" t="n"/>
      <c r="HS384" s="176" t="n"/>
      <c r="HT384" s="176" t="n"/>
      <c r="HU384" s="176" t="n"/>
      <c r="HV384" s="176" t="n"/>
      <c r="HW384" s="176" t="n"/>
      <c r="HX384" s="176" t="n"/>
      <c r="HY384" s="176" t="n"/>
      <c r="HZ384" s="176" t="n"/>
      <c r="IA384" s="176" t="n"/>
      <c r="IB384" s="176" t="n"/>
      <c r="IC384" s="176" t="n"/>
      <c r="ID384" s="176" t="n"/>
    </row>
    <row r="385" ht="18.75" customHeight="1">
      <c r="A385" s="176" t="n"/>
      <c r="B385" s="176" t="n"/>
      <c r="C385" s="176" t="n"/>
      <c r="D385" s="176" t="n"/>
      <c r="E385" s="176" t="n"/>
      <c r="F385" s="176" t="n"/>
      <c r="G385" s="176" t="n"/>
      <c r="H385" s="176" t="n"/>
      <c r="I385" s="176" t="n"/>
      <c r="J385" s="176" t="n"/>
      <c r="K385" s="176" t="n"/>
      <c r="L385" s="176" t="n"/>
      <c r="M385" s="176" t="n"/>
      <c r="N385" s="176" t="n"/>
      <c r="O385" s="176" t="n"/>
      <c r="P385" s="176" t="n"/>
      <c r="Q385" s="176" t="n"/>
      <c r="R385" s="176" t="n"/>
      <c r="S385" s="176" t="n"/>
      <c r="Z385" s="176" t="n"/>
      <c r="AA385" s="176" t="n"/>
      <c r="AB385" s="176" t="n"/>
      <c r="AC385" s="176" t="n"/>
      <c r="AD385" s="176" t="n"/>
      <c r="AE385" s="176" t="n"/>
      <c r="AF385" s="176" t="n"/>
      <c r="AG385" s="176" t="n"/>
      <c r="AH385" s="176" t="n"/>
      <c r="AI385" s="176" t="n"/>
      <c r="AJ385" s="176" t="n"/>
      <c r="AK385" s="176" t="n"/>
      <c r="AL385" s="176" t="n"/>
      <c r="AM385" s="176" t="n"/>
      <c r="AN385" s="176" t="n"/>
      <c r="AO385" s="176" t="n"/>
      <c r="AP385" s="176" t="n"/>
      <c r="AQ385" s="176" t="n"/>
      <c r="AR385" s="176" t="n"/>
      <c r="AS385" s="176" t="n"/>
      <c r="AT385" s="176" t="n"/>
      <c r="AU385" s="176" t="n"/>
      <c r="AV385" s="176" t="n"/>
      <c r="AW385" s="176" t="n"/>
      <c r="AX385" s="176" t="n"/>
      <c r="AY385" s="176" t="n"/>
      <c r="AZ385" s="176" t="n"/>
      <c r="BA385" s="176" t="n"/>
      <c r="BB385" s="176" t="n"/>
      <c r="BC385" s="176" t="n"/>
      <c r="BD385" s="176" t="n"/>
      <c r="BE385" s="176" t="n"/>
      <c r="BF385" s="176" t="n"/>
      <c r="BG385" s="176" t="n"/>
      <c r="BH385" s="176" t="n"/>
      <c r="BI385" s="176" t="n"/>
      <c r="BJ385" s="176" t="n"/>
      <c r="BK385" s="176" t="n"/>
      <c r="BL385" s="176" t="n"/>
      <c r="BM385" s="176" t="n"/>
      <c r="BN385" s="176" t="n"/>
      <c r="BO385" s="176" t="n"/>
      <c r="BP385" s="176" t="n"/>
      <c r="BQ385" s="176" t="n"/>
      <c r="BR385" s="176" t="n"/>
      <c r="BS385" s="176" t="n"/>
      <c r="BT385" s="176" t="n"/>
      <c r="BU385" s="176" t="n"/>
      <c r="BV385" s="176" t="n"/>
      <c r="BW385" s="176" t="n"/>
      <c r="BX385" s="176" t="n"/>
      <c r="BY385" s="176" t="n"/>
      <c r="BZ385" s="176" t="n"/>
      <c r="CA385" s="176" t="n"/>
      <c r="CB385" s="176" t="n"/>
      <c r="CC385" s="176" t="n"/>
      <c r="CD385" s="176" t="n"/>
      <c r="CE385" s="176" t="n"/>
      <c r="CF385" s="176" t="n"/>
      <c r="CG385" s="176" t="n"/>
      <c r="CH385" s="176" t="n"/>
      <c r="CI385" s="176" t="n"/>
      <c r="CJ385" s="176" t="n"/>
      <c r="CK385" s="176" t="n"/>
      <c r="CL385" s="176" t="n"/>
      <c r="CM385" s="176" t="n"/>
      <c r="CN385" s="176" t="n"/>
      <c r="CO385" s="176" t="n"/>
      <c r="CP385" s="176" t="n"/>
      <c r="CQ385" s="176" t="n"/>
      <c r="CR385" s="176" t="n"/>
      <c r="CS385" s="176" t="n"/>
      <c r="CT385" s="176" t="n"/>
      <c r="CU385" s="176" t="n"/>
      <c r="CV385" s="176" t="n"/>
      <c r="CW385" s="176" t="n"/>
      <c r="CX385" s="176" t="n"/>
      <c r="CY385" s="176" t="n"/>
      <c r="CZ385" s="176" t="n"/>
      <c r="DA385" s="181" t="inlineStr">
        <is>
          <t>REQUISITOS E REPETIÇÃO</t>
        </is>
      </c>
      <c r="DB385" s="182" t="n"/>
      <c r="DC385" s="182" t="n"/>
      <c r="DD385" s="182" t="n"/>
      <c r="DE385" s="182" t="n"/>
      <c r="DF385" s="183" t="n"/>
      <c r="DG385" s="176" t="n"/>
      <c r="DH385" s="176" t="n"/>
      <c r="DI385" s="181" t="inlineStr">
        <is>
          <t>REQUISITOS E REPETIÇÃO</t>
        </is>
      </c>
      <c r="DJ385" s="182" t="n"/>
      <c r="DK385" s="182" t="n"/>
      <c r="DL385" s="182" t="n"/>
      <c r="DM385" s="182" t="n"/>
      <c r="DN385" s="183" t="n"/>
      <c r="DO385" s="176" t="n"/>
      <c r="DP385" s="176" t="n"/>
      <c r="DQ385" s="176" t="n"/>
      <c r="DR385" s="176" t="n"/>
      <c r="DS385" s="176" t="n"/>
      <c r="DT385" s="176" t="n"/>
      <c r="DU385" s="176" t="n"/>
      <c r="DV385" s="176" t="n"/>
      <c r="DW385" s="176" t="n"/>
      <c r="DX385" s="176" t="n"/>
      <c r="DY385" s="176" t="n"/>
      <c r="DZ385" s="176" t="n"/>
      <c r="EA385" s="176" t="n"/>
      <c r="EB385" s="176" t="n"/>
      <c r="EC385" s="176" t="n"/>
      <c r="ED385" s="176" t="n"/>
      <c r="EE385" s="176" t="n"/>
      <c r="EF385" s="176" t="n"/>
      <c r="EG385" s="176" t="n"/>
      <c r="EH385" s="176" t="n"/>
      <c r="EI385" s="176" t="n"/>
      <c r="EJ385" s="176" t="n"/>
      <c r="EK385" s="176" t="n"/>
      <c r="EL385" s="176" t="n"/>
      <c r="EM385" s="176" t="n"/>
      <c r="EN385" s="176" t="n"/>
      <c r="EO385" s="176" t="n"/>
      <c r="EP385" s="176" t="n"/>
      <c r="EQ385" s="176" t="n"/>
      <c r="ER385" s="176" t="n"/>
      <c r="ES385" s="176" t="n"/>
      <c r="ET385" s="176" t="n"/>
      <c r="EU385" s="176" t="n"/>
      <c r="EV385" s="176" t="n"/>
      <c r="EW385" s="176" t="n"/>
      <c r="EX385" s="176" t="n"/>
      <c r="EY385" s="176" t="n"/>
      <c r="EZ385" s="176" t="n"/>
      <c r="FA385" s="176" t="n"/>
      <c r="FB385" s="176" t="n"/>
      <c r="FC385" s="176" t="n"/>
      <c r="FD385" s="176" t="n"/>
      <c r="FE385" s="176" t="n"/>
      <c r="FF385" s="176" t="n"/>
      <c r="FG385" s="176" t="n"/>
      <c r="FH385" s="176" t="n"/>
      <c r="FI385" s="176" t="n"/>
      <c r="FJ385" s="176" t="n"/>
      <c r="FK385" s="176" t="n"/>
      <c r="FL385" s="176" t="n"/>
      <c r="FM385" s="176" t="n"/>
      <c r="FN385" s="176" t="n"/>
      <c r="FO385" s="176" t="n"/>
      <c r="FP385" s="176" t="n"/>
      <c r="FQ385" s="176" t="n"/>
      <c r="FR385" s="176" t="n"/>
      <c r="FS385" s="176" t="n"/>
      <c r="FT385" s="176" t="n"/>
      <c r="FU385" s="176" t="n"/>
      <c r="FV385" s="176" t="n"/>
      <c r="FW385" s="176" t="n"/>
      <c r="FX385" s="176" t="n"/>
      <c r="FY385" s="176" t="n"/>
      <c r="FZ385" s="176" t="n"/>
      <c r="GA385" s="176" t="n"/>
      <c r="GB385" s="176" t="n"/>
      <c r="GC385" s="176" t="n"/>
      <c r="GD385" s="176" t="n"/>
      <c r="GE385" s="176" t="n"/>
      <c r="GF385" s="176" t="n"/>
      <c r="GG385" s="176" t="n"/>
      <c r="GH385" s="176" t="n"/>
      <c r="GI385" s="176" t="n"/>
      <c r="GJ385" s="176" t="n"/>
      <c r="GK385" s="176" t="n"/>
      <c r="GL385" s="176" t="n"/>
      <c r="GM385" s="176" t="n"/>
      <c r="GN385" s="176" t="n"/>
      <c r="GO385" s="176" t="n"/>
      <c r="GP385" s="176" t="n"/>
      <c r="GQ385" s="176" t="n"/>
      <c r="GR385" s="176" t="n"/>
      <c r="GS385" s="176" t="n"/>
      <c r="GT385" s="176" t="n"/>
      <c r="GU385" s="176" t="n"/>
      <c r="GV385" s="176" t="n"/>
      <c r="GW385" s="176" t="n"/>
      <c r="GX385" s="176" t="n"/>
      <c r="GY385" s="176" t="n"/>
      <c r="GZ385" s="176" t="n"/>
      <c r="HA385" s="176" t="n"/>
      <c r="HB385" s="176" t="n"/>
      <c r="HC385" s="176" t="n"/>
      <c r="HD385" s="176" t="n"/>
      <c r="HE385" s="176" t="n"/>
      <c r="HF385" s="176" t="n"/>
      <c r="HG385" s="176" t="n"/>
      <c r="HH385" s="176" t="n"/>
      <c r="HI385" s="176" t="n"/>
      <c r="HJ385" s="176" t="n"/>
      <c r="HK385" s="176" t="n"/>
      <c r="HL385" s="176" t="n"/>
      <c r="HM385" s="176" t="n"/>
      <c r="HN385" s="176" t="n"/>
      <c r="HO385" s="176" t="n"/>
      <c r="HP385" s="176" t="n"/>
      <c r="HQ385" s="176" t="n"/>
      <c r="HR385" s="176" t="n"/>
      <c r="HS385" s="176" t="n"/>
      <c r="HT385" s="176" t="n"/>
      <c r="HU385" s="176" t="n"/>
      <c r="HV385" s="176" t="n"/>
      <c r="HW385" s="176" t="n"/>
      <c r="HX385" s="176" t="n"/>
      <c r="HY385" s="176" t="n"/>
      <c r="HZ385" s="176" t="n"/>
      <c r="IA385" s="176" t="n"/>
      <c r="IB385" s="176" t="n"/>
      <c r="IC385" s="176" t="n"/>
      <c r="ID385" s="176" t="n"/>
    </row>
    <row r="386" ht="18.75" customHeight="1">
      <c r="A386" s="176" t="n"/>
      <c r="B386" s="176" t="n"/>
      <c r="C386" s="176" t="n"/>
      <c r="D386" s="176" t="n"/>
      <c r="E386" s="176" t="n"/>
      <c r="F386" s="176" t="n"/>
      <c r="G386" s="176" t="n"/>
      <c r="H386" s="176" t="n"/>
      <c r="I386" s="176" t="n"/>
      <c r="J386" s="176" t="n"/>
      <c r="K386" s="176" t="n"/>
      <c r="L386" s="176" t="n"/>
      <c r="M386" s="176" t="n"/>
      <c r="N386" s="176" t="n"/>
      <c r="O386" s="176" t="n"/>
      <c r="P386" s="176" t="n"/>
      <c r="Q386" s="176" t="n"/>
      <c r="R386" s="176" t="n"/>
      <c r="S386" s="176" t="n"/>
      <c r="T386" s="176" t="n"/>
      <c r="U386" s="176" t="n"/>
      <c r="V386" s="176" t="n"/>
      <c r="W386" s="176" t="n"/>
      <c r="X386" s="176" t="n"/>
      <c r="Y386" s="176" t="n"/>
      <c r="Z386" s="176" t="n"/>
      <c r="AA386" s="176" t="n"/>
      <c r="AB386" s="176" t="n"/>
      <c r="AC386" s="176" t="n"/>
      <c r="AD386" s="176" t="n"/>
      <c r="AE386" s="176" t="n"/>
      <c r="AF386" s="176" t="n"/>
      <c r="AG386" s="176" t="n"/>
      <c r="AH386" s="176" t="n"/>
      <c r="AI386" s="176" t="n"/>
      <c r="AJ386" s="176" t="n"/>
      <c r="AK386" s="176" t="n"/>
      <c r="AL386" s="176" t="n"/>
      <c r="AM386" s="176" t="n"/>
      <c r="AN386" s="176" t="n"/>
      <c r="AO386" s="176" t="n"/>
      <c r="AP386" s="176" t="n"/>
      <c r="AQ386" s="176" t="n"/>
      <c r="AR386" s="176" t="n"/>
      <c r="AS386" s="176" t="n"/>
      <c r="AT386" s="176" t="n"/>
      <c r="AU386" s="176" t="n"/>
      <c r="AV386" s="176" t="n"/>
      <c r="AW386" s="176" t="n"/>
      <c r="AX386" s="176" t="n"/>
      <c r="AY386" s="176" t="n"/>
      <c r="AZ386" s="176" t="n"/>
      <c r="BA386" s="176" t="n"/>
      <c r="BB386" s="176" t="n"/>
      <c r="BC386" s="176" t="n"/>
      <c r="BD386" s="176" t="n"/>
      <c r="BE386" s="176" t="n"/>
      <c r="BF386" s="176" t="n"/>
      <c r="BG386" s="176" t="n"/>
      <c r="BH386" s="176" t="n"/>
      <c r="BI386" s="176" t="n"/>
      <c r="BJ386" s="176" t="n"/>
      <c r="BK386" s="176" t="n"/>
      <c r="BL386" s="176" t="n"/>
      <c r="BM386" s="176" t="n"/>
      <c r="BN386" s="176" t="n"/>
      <c r="BO386" s="176" t="n"/>
      <c r="BP386" s="176" t="n"/>
      <c r="BQ386" s="176" t="n"/>
      <c r="BR386" s="176" t="n"/>
      <c r="BS386" s="176" t="n"/>
      <c r="BT386" s="176" t="n"/>
      <c r="BU386" s="176" t="n"/>
      <c r="BV386" s="176" t="n"/>
      <c r="BW386" s="176" t="n"/>
      <c r="BX386" s="176" t="n"/>
      <c r="BY386" s="176" t="n"/>
      <c r="BZ386" s="176" t="n"/>
      <c r="CA386" s="176" t="n"/>
      <c r="CB386" s="176" t="n"/>
      <c r="CC386" s="176" t="n"/>
      <c r="CD386" s="176" t="n"/>
      <c r="CE386" s="176" t="n"/>
      <c r="CF386" s="176" t="n"/>
      <c r="CG386" s="176" t="n"/>
      <c r="CH386" s="176" t="n"/>
      <c r="CI386" s="176" t="n"/>
      <c r="CJ386" s="176" t="n"/>
      <c r="CK386" s="176" t="n"/>
      <c r="CL386" s="176" t="n"/>
      <c r="CM386" s="176" t="n"/>
      <c r="CN386" s="176" t="n"/>
      <c r="CO386" s="176" t="n"/>
      <c r="CP386" s="176" t="n"/>
      <c r="CQ386" s="176" t="n"/>
      <c r="CR386" s="176" t="n"/>
      <c r="CS386" s="176" t="n"/>
      <c r="CT386" s="176" t="n"/>
      <c r="CU386" s="176" t="n"/>
      <c r="CV386" s="176" t="n"/>
      <c r="CW386" s="176" t="n"/>
      <c r="CX386" s="176" t="n"/>
      <c r="CY386" s="176" t="n"/>
      <c r="CZ386" s="176" t="n"/>
      <c r="DA386" s="192" t="n"/>
      <c r="DB386" s="187" t="n"/>
      <c r="DC386" s="187" t="n"/>
      <c r="DD386" s="187" t="n"/>
      <c r="DE386" s="187" t="n"/>
      <c r="DF386" s="188" t="n"/>
      <c r="DG386" s="176" t="n"/>
      <c r="DH386" s="176" t="n"/>
      <c r="DI386" s="192" t="n"/>
      <c r="DJ386" s="187" t="n"/>
      <c r="DK386" s="187" t="n"/>
      <c r="DL386" s="187" t="n"/>
      <c r="DM386" s="187" t="n"/>
      <c r="DN386" s="188" t="n"/>
      <c r="DO386" s="176" t="n"/>
      <c r="DP386" s="176" t="n"/>
      <c r="DQ386" s="176" t="n"/>
      <c r="DR386" s="176" t="n"/>
      <c r="DS386" s="176" t="n"/>
      <c r="DT386" s="176" t="n"/>
      <c r="DU386" s="176" t="n"/>
      <c r="DV386" s="176" t="n"/>
      <c r="DW386" s="176" t="n"/>
      <c r="DX386" s="176" t="n"/>
      <c r="DY386" s="176" t="n"/>
      <c r="DZ386" s="176" t="n"/>
      <c r="EA386" s="176" t="n"/>
      <c r="EB386" s="176" t="n"/>
      <c r="EC386" s="176" t="n"/>
      <c r="ED386" s="176" t="n"/>
      <c r="EE386" s="176" t="n"/>
      <c r="EF386" s="176" t="n"/>
      <c r="EG386" s="176" t="n"/>
      <c r="EH386" s="176" t="n"/>
      <c r="EI386" s="176" t="n"/>
      <c r="EJ386" s="176" t="n"/>
      <c r="EK386" s="176" t="n"/>
      <c r="EL386" s="176" t="n"/>
      <c r="EM386" s="176" t="n"/>
      <c r="EN386" s="176" t="n"/>
      <c r="EO386" s="176" t="n"/>
      <c r="EP386" s="176" t="n"/>
      <c r="EQ386" s="176" t="n"/>
      <c r="ER386" s="176" t="n"/>
      <c r="ES386" s="176" t="n"/>
      <c r="ET386" s="176" t="n"/>
      <c r="EU386" s="176" t="n"/>
      <c r="EV386" s="176" t="n"/>
      <c r="EW386" s="176" t="n"/>
      <c r="EX386" s="176" t="n"/>
      <c r="EY386" s="176" t="n"/>
      <c r="EZ386" s="176" t="n"/>
      <c r="FA386" s="176" t="n"/>
      <c r="FB386" s="176" t="n"/>
      <c r="FC386" s="176" t="n"/>
      <c r="FD386" s="176" t="n"/>
      <c r="FE386" s="176" t="n"/>
      <c r="FF386" s="176" t="n"/>
      <c r="FG386" s="176" t="n"/>
      <c r="FH386" s="176" t="n"/>
      <c r="FI386" s="176" t="n"/>
      <c r="FJ386" s="176" t="n"/>
      <c r="FK386" s="176" t="n"/>
      <c r="FL386" s="176" t="n"/>
      <c r="FM386" s="176" t="n"/>
      <c r="FN386" s="176" t="n"/>
      <c r="FO386" s="176" t="n"/>
      <c r="FP386" s="176" t="n"/>
      <c r="FQ386" s="176" t="n"/>
      <c r="FR386" s="176" t="n"/>
      <c r="FS386" s="176" t="n"/>
      <c r="FT386" s="176" t="n"/>
      <c r="FU386" s="176" t="n"/>
      <c r="FV386" s="176" t="n"/>
      <c r="FW386" s="176" t="n"/>
      <c r="FX386" s="176" t="n"/>
      <c r="FY386" s="176" t="n"/>
      <c r="FZ386" s="176" t="n"/>
      <c r="GA386" s="176" t="n"/>
      <c r="GB386" s="176" t="n"/>
      <c r="GC386" s="176" t="n"/>
      <c r="GD386" s="176" t="n"/>
      <c r="GE386" s="176" t="n"/>
      <c r="GF386" s="176" t="n"/>
      <c r="GG386" s="176" t="n"/>
      <c r="GH386" s="176" t="n"/>
      <c r="GI386" s="176" t="n"/>
      <c r="GJ386" s="176" t="n"/>
      <c r="GK386" s="176" t="n"/>
      <c r="GL386" s="176" t="n"/>
      <c r="GM386" s="176" t="n"/>
      <c r="GN386" s="176" t="n"/>
      <c r="GO386" s="176" t="n"/>
      <c r="GP386" s="176" t="n"/>
      <c r="GQ386" s="176" t="n"/>
      <c r="GR386" s="176" t="n"/>
      <c r="GS386" s="176" t="n"/>
      <c r="GT386" s="176" t="n"/>
      <c r="GU386" s="176" t="n"/>
      <c r="GV386" s="176" t="n"/>
      <c r="GW386" s="176" t="n"/>
      <c r="GX386" s="176" t="n"/>
      <c r="GY386" s="176" t="n"/>
      <c r="GZ386" s="176" t="n"/>
      <c r="HA386" s="176" t="n"/>
      <c r="HB386" s="176" t="n"/>
      <c r="HC386" s="176" t="n"/>
      <c r="HD386" s="176" t="n"/>
      <c r="HE386" s="176" t="n"/>
      <c r="HF386" s="176" t="n"/>
      <c r="HG386" s="176" t="n"/>
      <c r="HH386" s="176" t="n"/>
      <c r="HI386" s="176" t="n"/>
      <c r="HJ386" s="176" t="n"/>
      <c r="HK386" s="176" t="n"/>
      <c r="HL386" s="176" t="n"/>
      <c r="HM386" s="176" t="n"/>
      <c r="HN386" s="176" t="n"/>
      <c r="HO386" s="176" t="n"/>
      <c r="HP386" s="176" t="n"/>
      <c r="HQ386" s="176" t="n"/>
      <c r="HR386" s="176" t="n"/>
      <c r="HS386" s="176" t="n"/>
      <c r="HT386" s="176" t="n"/>
      <c r="HU386" s="176" t="n"/>
      <c r="HV386" s="176" t="n"/>
      <c r="HW386" s="176" t="n"/>
      <c r="HX386" s="176" t="n"/>
      <c r="HY386" s="176" t="n"/>
      <c r="HZ386" s="176" t="n"/>
      <c r="IA386" s="176" t="n"/>
      <c r="IB386" s="176" t="n"/>
      <c r="IC386" s="176" t="n"/>
      <c r="ID386" s="176" t="n"/>
    </row>
    <row r="387" ht="18.75" customHeight="1">
      <c r="A387" s="176" t="n"/>
      <c r="B387" s="176" t="n"/>
      <c r="C387" s="176" t="n"/>
      <c r="D387" s="176" t="n"/>
      <c r="E387" s="176" t="n"/>
      <c r="F387" s="176" t="n"/>
      <c r="G387" s="176" t="n"/>
      <c r="H387" s="176" t="n"/>
      <c r="I387" s="176" t="n"/>
      <c r="J387" s="176" t="n"/>
      <c r="K387" s="176" t="n"/>
      <c r="L387" s="176" t="n"/>
      <c r="M387" s="176" t="n"/>
      <c r="N387" s="176" t="n"/>
      <c r="O387" s="176" t="n"/>
      <c r="P387" s="176" t="n"/>
      <c r="Q387" s="176" t="n"/>
      <c r="R387" s="176" t="n"/>
      <c r="S387" s="176" t="n"/>
      <c r="T387" s="176" t="n"/>
      <c r="U387" s="176" t="n"/>
      <c r="V387" s="176" t="n"/>
      <c r="W387" s="176" t="n"/>
      <c r="X387" s="176" t="n"/>
      <c r="Y387" s="176" t="n"/>
      <c r="Z387" s="176" t="n"/>
      <c r="AA387" s="176" t="n"/>
      <c r="AB387" s="176" t="n"/>
      <c r="AC387" s="176" t="n"/>
      <c r="AD387" s="176" t="n"/>
      <c r="AE387" s="176" t="n"/>
      <c r="AF387" s="176" t="n"/>
      <c r="AG387" s="176" t="n"/>
      <c r="AH387" s="176" t="n"/>
      <c r="AI387" s="176" t="n"/>
      <c r="AJ387" s="176" t="n"/>
      <c r="AK387" s="176" t="n"/>
      <c r="AL387" s="176" t="n"/>
      <c r="AM387" s="176" t="n"/>
      <c r="AN387" s="176" t="n"/>
      <c r="AO387" s="176" t="n"/>
      <c r="AP387" s="176" t="n"/>
      <c r="AQ387" s="176" t="n"/>
      <c r="AR387" s="176" t="n"/>
      <c r="AS387" s="176" t="n"/>
      <c r="AT387" s="176" t="n"/>
      <c r="AU387" s="176" t="n"/>
      <c r="AV387" s="176" t="n"/>
      <c r="AW387" s="176" t="n"/>
      <c r="AX387" s="176" t="n"/>
      <c r="AY387" s="176" t="n"/>
      <c r="AZ387" s="176" t="n"/>
      <c r="BA387" s="176" t="n"/>
      <c r="BB387" s="176" t="n"/>
      <c r="BC387" s="176" t="n"/>
      <c r="BD387" s="176" t="n"/>
      <c r="BE387" s="176" t="n"/>
      <c r="BF387" s="176" t="n"/>
      <c r="BG387" s="176" t="n"/>
      <c r="BH387" s="176" t="n"/>
      <c r="BI387" s="176" t="n"/>
      <c r="BJ387" s="176" t="n"/>
      <c r="BK387" s="176" t="n"/>
      <c r="BL387" s="176" t="n"/>
      <c r="BM387" s="176" t="n"/>
      <c r="BN387" s="176" t="n"/>
      <c r="BO387" s="176" t="n"/>
      <c r="BP387" s="176" t="n"/>
      <c r="BQ387" s="176" t="n"/>
      <c r="BR387" s="176" t="n"/>
      <c r="BS387" s="176" t="n"/>
      <c r="BT387" s="176" t="n"/>
      <c r="BU387" s="176" t="n"/>
      <c r="BV387" s="176" t="n"/>
      <c r="BW387" s="176" t="n"/>
      <c r="BX387" s="176" t="n"/>
      <c r="BY387" s="176" t="n"/>
      <c r="BZ387" s="176" t="n"/>
      <c r="CA387" s="176" t="n"/>
      <c r="CB387" s="176" t="n"/>
      <c r="CC387" s="176" t="n"/>
      <c r="CD387" s="176" t="n"/>
      <c r="CE387" s="176" t="n"/>
      <c r="CF387" s="176" t="n"/>
      <c r="CG387" s="176" t="n"/>
      <c r="CH387" s="176" t="n"/>
      <c r="CI387" s="176" t="n"/>
      <c r="CJ387" s="176" t="n"/>
      <c r="CK387" s="176" t="n"/>
      <c r="CL387" s="176" t="n"/>
      <c r="CM387" s="176" t="n"/>
      <c r="CN387" s="176" t="n"/>
      <c r="CO387" s="176" t="n"/>
      <c r="CP387" s="176" t="n"/>
      <c r="CQ387" s="176" t="n"/>
      <c r="CR387" s="176" t="n"/>
      <c r="CS387" s="176" t="n"/>
      <c r="CT387" s="176" t="n"/>
      <c r="CU387" s="176" t="n"/>
      <c r="CV387" s="176" t="n"/>
      <c r="CW387" s="176" t="n"/>
      <c r="CX387" s="176" t="n"/>
      <c r="CY387" s="176" t="n"/>
      <c r="CZ387" s="176" t="n"/>
      <c r="DA387" s="193" t="n"/>
      <c r="DF387" s="194" t="n"/>
      <c r="DG387" s="176" t="n"/>
      <c r="DH387" s="176" t="n"/>
      <c r="DI387" s="193" t="n"/>
      <c r="DN387" s="194" t="n"/>
      <c r="DO387" s="176" t="n"/>
      <c r="DP387" s="176" t="n"/>
      <c r="DQ387" s="176" t="n"/>
      <c r="DR387" s="176" t="n"/>
      <c r="DS387" s="176" t="n"/>
      <c r="DT387" s="176" t="n"/>
      <c r="DU387" s="176" t="n"/>
      <c r="DV387" s="176" t="n"/>
      <c r="DW387" s="176" t="n"/>
      <c r="DX387" s="176" t="n"/>
      <c r="DY387" s="176" t="n"/>
      <c r="DZ387" s="176" t="n"/>
      <c r="EA387" s="176" t="n"/>
      <c r="EB387" s="176" t="n"/>
      <c r="EC387" s="176" t="n"/>
      <c r="ED387" s="176" t="n"/>
      <c r="EE387" s="176" t="n"/>
      <c r="EF387" s="176" t="n"/>
      <c r="EG387" s="176" t="n"/>
      <c r="EH387" s="176" t="n"/>
      <c r="EI387" s="176" t="n"/>
      <c r="EJ387" s="176" t="n"/>
      <c r="EK387" s="176" t="n"/>
      <c r="EL387" s="176" t="n"/>
      <c r="EM387" s="176" t="n"/>
      <c r="EN387" s="176" t="n"/>
      <c r="EO387" s="176" t="n"/>
      <c r="EP387" s="176" t="n"/>
      <c r="EQ387" s="176" t="n"/>
      <c r="ER387" s="176" t="n"/>
      <c r="ES387" s="176" t="n"/>
      <c r="ET387" s="176" t="n"/>
      <c r="EU387" s="176" t="n"/>
      <c r="EV387" s="176" t="n"/>
      <c r="EW387" s="176" t="n"/>
      <c r="EX387" s="176" t="n"/>
      <c r="EY387" s="176" t="n"/>
      <c r="EZ387" s="176" t="n"/>
      <c r="FA387" s="176" t="n"/>
      <c r="FB387" s="176" t="n"/>
      <c r="FC387" s="176" t="n"/>
      <c r="FD387" s="176" t="n"/>
      <c r="FE387" s="176" t="n"/>
      <c r="FF387" s="176" t="n"/>
      <c r="FG387" s="176" t="n"/>
      <c r="FH387" s="176" t="n"/>
      <c r="FI387" s="176" t="n"/>
      <c r="FJ387" s="176" t="n"/>
      <c r="FK387" s="176" t="n"/>
      <c r="FL387" s="176" t="n"/>
      <c r="FM387" s="176" t="n"/>
      <c r="FN387" s="176" t="n"/>
      <c r="FO387" s="176" t="n"/>
      <c r="FP387" s="176" t="n"/>
      <c r="FQ387" s="176" t="n"/>
      <c r="FR387" s="176" t="n"/>
      <c r="FS387" s="176" t="n"/>
      <c r="FT387" s="176" t="n"/>
      <c r="FU387" s="176" t="n"/>
      <c r="FV387" s="176" t="n"/>
      <c r="FW387" s="176" t="n"/>
      <c r="FX387" s="176" t="n"/>
      <c r="FY387" s="176" t="n"/>
      <c r="FZ387" s="176" t="n"/>
      <c r="GA387" s="176" t="n"/>
      <c r="GB387" s="176" t="n"/>
      <c r="GC387" s="176" t="n"/>
      <c r="GD387" s="176" t="n"/>
      <c r="GE387" s="176" t="n"/>
      <c r="GF387" s="176" t="n"/>
      <c r="GG387" s="176" t="n"/>
      <c r="GH387" s="176" t="n"/>
      <c r="GI387" s="176" t="n"/>
      <c r="GJ387" s="176" t="n"/>
      <c r="GK387" s="176" t="n"/>
      <c r="GL387" s="176" t="n"/>
      <c r="GM387" s="176" t="n"/>
      <c r="GN387" s="176" t="n"/>
      <c r="GO387" s="176" t="n"/>
      <c r="GP387" s="176" t="n"/>
      <c r="GQ387" s="176" t="n"/>
      <c r="GR387" s="176" t="n"/>
      <c r="GS387" s="176" t="n"/>
      <c r="GT387" s="176" t="n"/>
      <c r="GU387" s="176" t="n"/>
      <c r="GV387" s="176" t="n"/>
      <c r="GW387" s="176" t="n"/>
      <c r="GX387" s="176" t="n"/>
      <c r="GY387" s="176" t="n"/>
      <c r="GZ387" s="176" t="n"/>
      <c r="HA387" s="176" t="n"/>
      <c r="HB387" s="176" t="n"/>
      <c r="HC387" s="176" t="n"/>
      <c r="HD387" s="176" t="n"/>
      <c r="HE387" s="176" t="n"/>
      <c r="HF387" s="176" t="n"/>
      <c r="HG387" s="176" t="n"/>
      <c r="HH387" s="176" t="n"/>
      <c r="HI387" s="176" t="n"/>
      <c r="HJ387" s="176" t="n"/>
      <c r="HK387" s="176" t="n"/>
      <c r="HL387" s="176" t="n"/>
      <c r="HM387" s="176" t="n"/>
      <c r="HN387" s="176" t="n"/>
      <c r="HO387" s="176" t="n"/>
      <c r="HP387" s="176" t="n"/>
      <c r="HQ387" s="176" t="n"/>
      <c r="HR387" s="176" t="n"/>
      <c r="HS387" s="176" t="n"/>
      <c r="HT387" s="176" t="n"/>
      <c r="HU387" s="176" t="n"/>
      <c r="HV387" s="176" t="n"/>
      <c r="HW387" s="176" t="n"/>
      <c r="HX387" s="176" t="n"/>
      <c r="HY387" s="176" t="n"/>
      <c r="HZ387" s="176" t="n"/>
      <c r="IA387" s="176" t="n"/>
      <c r="IB387" s="176" t="n"/>
      <c r="IC387" s="176" t="n"/>
      <c r="ID387" s="176" t="n"/>
    </row>
    <row r="388" ht="18.75" customHeight="1">
      <c r="A388" s="176" t="n"/>
      <c r="B388" s="176" t="n"/>
      <c r="C388" s="176" t="n"/>
      <c r="D388" s="176" t="n"/>
      <c r="E388" s="176" t="n"/>
      <c r="F388" s="176" t="n"/>
      <c r="G388" s="176" t="n"/>
      <c r="H388" s="176" t="n"/>
      <c r="I388" s="176" t="n"/>
      <c r="J388" s="176" t="n"/>
      <c r="K388" s="176" t="n"/>
      <c r="L388" s="176" t="n"/>
      <c r="M388" s="176" t="n"/>
      <c r="N388" s="176" t="n"/>
      <c r="O388" s="176" t="n"/>
      <c r="P388" s="176" t="n"/>
      <c r="Q388" s="176" t="n"/>
      <c r="R388" s="176" t="n"/>
      <c r="S388" s="176" t="n"/>
      <c r="T388" s="176" t="n"/>
      <c r="U388" s="176" t="n"/>
      <c r="V388" s="176" t="n"/>
      <c r="W388" s="176" t="n"/>
      <c r="X388" s="176" t="n"/>
      <c r="Y388" s="176" t="n"/>
      <c r="Z388" s="176" t="n"/>
      <c r="AA388" s="176" t="n"/>
      <c r="AB388" s="176" t="n"/>
      <c r="AC388" s="176" t="n"/>
      <c r="AD388" s="176" t="n"/>
      <c r="AE388" s="176" t="n"/>
      <c r="AF388" s="176" t="n"/>
      <c r="AG388" s="176" t="n"/>
      <c r="AH388" s="176" t="n"/>
      <c r="AI388" s="176" t="n"/>
      <c r="AJ388" s="176" t="n"/>
      <c r="AK388" s="176" t="n"/>
      <c r="AL388" s="176" t="n"/>
      <c r="AM388" s="176" t="n"/>
      <c r="AN388" s="176" t="n"/>
      <c r="AO388" s="176" t="n"/>
      <c r="AP388" s="176" t="n"/>
      <c r="AQ388" s="176" t="n"/>
      <c r="AR388" s="176" t="n"/>
      <c r="AS388" s="176" t="n"/>
      <c r="AT388" s="176" t="n"/>
      <c r="AU388" s="176" t="n"/>
      <c r="AV388" s="176" t="n"/>
      <c r="AW388" s="176" t="n"/>
      <c r="AX388" s="176" t="n"/>
      <c r="AY388" s="176" t="n"/>
      <c r="AZ388" s="176" t="n"/>
      <c r="BA388" s="176" t="n"/>
      <c r="BB388" s="176" t="n"/>
      <c r="BC388" s="176" t="n"/>
      <c r="BD388" s="176" t="n"/>
      <c r="BE388" s="176" t="n"/>
      <c r="BF388" s="176" t="n"/>
      <c r="BG388" s="176" t="n"/>
      <c r="BH388" s="176" t="n"/>
      <c r="BI388" s="176" t="n"/>
      <c r="BJ388" s="176" t="n"/>
      <c r="BK388" s="176" t="n"/>
      <c r="BL388" s="176" t="n"/>
      <c r="BM388" s="176" t="n"/>
      <c r="BN388" s="176" t="n"/>
      <c r="BO388" s="176" t="n"/>
      <c r="BP388" s="176" t="n"/>
      <c r="BQ388" s="176" t="n"/>
      <c r="BR388" s="176" t="n"/>
      <c r="BS388" s="176" t="n"/>
      <c r="BT388" s="176" t="n"/>
      <c r="BU388" s="176" t="n"/>
      <c r="BV388" s="176" t="n"/>
      <c r="BW388" s="176" t="n"/>
      <c r="BX388" s="176" t="n"/>
      <c r="BY388" s="176" t="n"/>
      <c r="BZ388" s="176" t="n"/>
      <c r="CA388" s="176" t="n"/>
      <c r="CB388" s="176" t="n"/>
      <c r="CC388" s="176" t="n"/>
      <c r="CD388" s="176" t="n"/>
      <c r="CE388" s="176" t="n"/>
      <c r="CF388" s="176" t="n"/>
      <c r="CG388" s="176" t="n"/>
      <c r="CH388" s="176" t="n"/>
      <c r="CI388" s="176" t="n"/>
      <c r="CJ388" s="176" t="n"/>
      <c r="CK388" s="176" t="n"/>
      <c r="CL388" s="176" t="n"/>
      <c r="CM388" s="176" t="n"/>
      <c r="CN388" s="176" t="n"/>
      <c r="CO388" s="176" t="n"/>
      <c r="CP388" s="176" t="n"/>
      <c r="CQ388" s="176" t="n"/>
      <c r="CR388" s="176" t="n"/>
      <c r="CS388" s="176" t="n"/>
      <c r="CT388" s="176" t="n"/>
      <c r="CU388" s="176" t="n"/>
      <c r="CV388" s="176" t="n"/>
      <c r="CW388" s="176" t="n"/>
      <c r="CX388" s="176" t="n"/>
      <c r="CY388" s="176" t="n"/>
      <c r="CZ388" s="176" t="n"/>
      <c r="DA388" s="193" t="n"/>
      <c r="DF388" s="194" t="n"/>
      <c r="DG388" s="176" t="n"/>
      <c r="DH388" s="176" t="n"/>
      <c r="DI388" s="193" t="n"/>
      <c r="DN388" s="194" t="n"/>
      <c r="DO388" s="176" t="n"/>
      <c r="DP388" s="176" t="n"/>
      <c r="DQ388" s="176" t="n"/>
      <c r="DR388" s="176" t="n"/>
      <c r="DS388" s="176" t="n"/>
      <c r="DT388" s="176" t="n"/>
      <c r="DU388" s="176" t="n"/>
      <c r="DV388" s="176" t="n"/>
      <c r="DW388" s="176" t="n"/>
      <c r="DX388" s="176" t="n"/>
      <c r="DY388" s="176" t="n"/>
      <c r="DZ388" s="176" t="n"/>
      <c r="EA388" s="176" t="n"/>
      <c r="EB388" s="176" t="n"/>
      <c r="EC388" s="176" t="n"/>
      <c r="ED388" s="176" t="n"/>
      <c r="EE388" s="176" t="n"/>
      <c r="EF388" s="176" t="n"/>
      <c r="EG388" s="176" t="n"/>
      <c r="EH388" s="176" t="n"/>
      <c r="EI388" s="176" t="n"/>
      <c r="EJ388" s="176" t="n"/>
      <c r="EK388" s="176" t="n"/>
      <c r="EL388" s="176" t="n"/>
      <c r="EM388" s="176" t="n"/>
      <c r="EN388" s="176" t="n"/>
      <c r="EO388" s="176" t="n"/>
      <c r="EP388" s="176" t="n"/>
      <c r="EQ388" s="176" t="n"/>
      <c r="ER388" s="176" t="n"/>
      <c r="ES388" s="176" t="n"/>
      <c r="ET388" s="176" t="n"/>
      <c r="EU388" s="176" t="n"/>
      <c r="EV388" s="176" t="n"/>
      <c r="EW388" s="176" t="n"/>
      <c r="EX388" s="176" t="n"/>
      <c r="EY388" s="176" t="n"/>
      <c r="EZ388" s="176" t="n"/>
      <c r="FA388" s="176" t="n"/>
      <c r="FB388" s="176" t="n"/>
      <c r="FC388" s="176" t="n"/>
      <c r="FD388" s="176" t="n"/>
      <c r="FE388" s="176" t="n"/>
      <c r="FF388" s="176" t="n"/>
      <c r="FG388" s="176" t="n"/>
      <c r="FH388" s="176" t="n"/>
      <c r="FI388" s="176" t="n"/>
      <c r="FJ388" s="176" t="n"/>
      <c r="FK388" s="176" t="n"/>
      <c r="FL388" s="176" t="n"/>
      <c r="FM388" s="176" t="n"/>
      <c r="FN388" s="176" t="n"/>
      <c r="FO388" s="176" t="n"/>
      <c r="FP388" s="176" t="n"/>
      <c r="FQ388" s="176" t="n"/>
      <c r="FR388" s="176" t="n"/>
      <c r="FS388" s="176" t="n"/>
      <c r="FT388" s="176" t="n"/>
      <c r="FU388" s="176" t="n"/>
      <c r="FV388" s="176" t="n"/>
      <c r="FW388" s="176" t="n"/>
      <c r="FX388" s="176" t="n"/>
      <c r="FY388" s="176" t="n"/>
      <c r="FZ388" s="176" t="n"/>
      <c r="GA388" s="176" t="n"/>
      <c r="GB388" s="176" t="n"/>
      <c r="GC388" s="176" t="n"/>
      <c r="GD388" s="176" t="n"/>
      <c r="GE388" s="176" t="n"/>
      <c r="GF388" s="176" t="n"/>
      <c r="GG388" s="176" t="n"/>
      <c r="GH388" s="176" t="n"/>
      <c r="GI388" s="176" t="n"/>
      <c r="GJ388" s="176" t="n"/>
      <c r="GK388" s="176" t="n"/>
      <c r="GL388" s="176" t="n"/>
      <c r="GM388" s="176" t="n"/>
      <c r="GN388" s="176" t="n"/>
      <c r="GO388" s="176" t="n"/>
      <c r="GP388" s="176" t="n"/>
      <c r="GQ388" s="176" t="n"/>
      <c r="GR388" s="176" t="n"/>
      <c r="GS388" s="176" t="n"/>
      <c r="GT388" s="176" t="n"/>
      <c r="GU388" s="176" t="n"/>
      <c r="GV388" s="176" t="n"/>
      <c r="GW388" s="176" t="n"/>
      <c r="GX388" s="176" t="n"/>
      <c r="GY388" s="176" t="n"/>
      <c r="GZ388" s="176" t="n"/>
      <c r="HA388" s="176" t="n"/>
      <c r="HB388" s="176" t="n"/>
      <c r="HC388" s="176" t="n"/>
      <c r="HD388" s="176" t="n"/>
      <c r="HE388" s="176" t="n"/>
      <c r="HF388" s="176" t="n"/>
      <c r="HG388" s="176" t="n"/>
      <c r="HH388" s="176" t="n"/>
      <c r="HI388" s="176" t="n"/>
      <c r="HJ388" s="176" t="n"/>
      <c r="HK388" s="176" t="n"/>
      <c r="HL388" s="176" t="n"/>
      <c r="HM388" s="176" t="n"/>
      <c r="HN388" s="176" t="n"/>
      <c r="HO388" s="176" t="n"/>
      <c r="HP388" s="176" t="n"/>
      <c r="HQ388" s="176" t="n"/>
      <c r="HR388" s="176" t="n"/>
      <c r="HS388" s="176" t="n"/>
      <c r="HT388" s="176" t="n"/>
      <c r="HU388" s="176" t="n"/>
      <c r="HV388" s="176" t="n"/>
      <c r="HW388" s="176" t="n"/>
      <c r="HX388" s="176" t="n"/>
      <c r="HY388" s="176" t="n"/>
      <c r="HZ388" s="176" t="n"/>
      <c r="IA388" s="176" t="n"/>
      <c r="IB388" s="176" t="n"/>
      <c r="IC388" s="176" t="n"/>
      <c r="ID388" s="176" t="n"/>
    </row>
    <row r="389" ht="18.75" customHeight="1">
      <c r="A389" s="176" t="n"/>
      <c r="B389" s="176" t="n"/>
      <c r="C389" s="176" t="n"/>
      <c r="D389" s="176" t="n"/>
      <c r="E389" s="176" t="n"/>
      <c r="F389" s="176" t="n"/>
      <c r="G389" s="176" t="n"/>
      <c r="H389" s="176" t="n"/>
      <c r="I389" s="176" t="n"/>
      <c r="J389" s="176" t="n"/>
      <c r="K389" s="176" t="n"/>
      <c r="L389" s="176" t="n"/>
      <c r="M389" s="176" t="n"/>
      <c r="N389" s="176" t="n"/>
      <c r="O389" s="176" t="n"/>
      <c r="P389" s="176" t="n"/>
      <c r="Q389" s="176" t="n"/>
      <c r="R389" s="176" t="n"/>
      <c r="S389" s="176" t="n"/>
      <c r="T389" s="176" t="n"/>
      <c r="U389" s="176" t="n"/>
      <c r="V389" s="176" t="n"/>
      <c r="W389" s="176" t="n"/>
      <c r="X389" s="176" t="n"/>
      <c r="Y389" s="176" t="n"/>
      <c r="Z389" s="176" t="n"/>
      <c r="AA389" s="176" t="n"/>
      <c r="AB389" s="176" t="n"/>
      <c r="AC389" s="176" t="n"/>
      <c r="AD389" s="176" t="n"/>
      <c r="AE389" s="176" t="n"/>
      <c r="AF389" s="176" t="n"/>
      <c r="AG389" s="176" t="n"/>
      <c r="AH389" s="176" t="n"/>
      <c r="AI389" s="176" t="n"/>
      <c r="AJ389" s="176" t="n"/>
      <c r="AK389" s="176" t="n"/>
      <c r="AL389" s="176" t="n"/>
      <c r="AM389" s="176" t="n"/>
      <c r="AN389" s="176" t="n"/>
      <c r="AO389" s="176" t="n"/>
      <c r="AP389" s="176" t="n"/>
      <c r="AQ389" s="176" t="n"/>
      <c r="AR389" s="176" t="n"/>
      <c r="AS389" s="176" t="n"/>
      <c r="AT389" s="176" t="n"/>
      <c r="AU389" s="176" t="n"/>
      <c r="AV389" s="176" t="n"/>
      <c r="AW389" s="176" t="n"/>
      <c r="AX389" s="176" t="n"/>
      <c r="AY389" s="176" t="n"/>
      <c r="AZ389" s="176" t="n"/>
      <c r="BA389" s="176" t="n"/>
      <c r="BB389" s="176" t="n"/>
      <c r="BC389" s="176" t="n"/>
      <c r="BD389" s="176" t="n"/>
      <c r="BE389" s="176" t="n"/>
      <c r="BF389" s="176" t="n"/>
      <c r="BG389" s="176" t="n"/>
      <c r="BH389" s="176" t="n"/>
      <c r="BI389" s="176" t="n"/>
      <c r="BJ389" s="176" t="n"/>
      <c r="BK389" s="176" t="n"/>
      <c r="BL389" s="176" t="n"/>
      <c r="BM389" s="176" t="n"/>
      <c r="BN389" s="176" t="n"/>
      <c r="BO389" s="176" t="n"/>
      <c r="BP389" s="176" t="n"/>
      <c r="BQ389" s="176" t="n"/>
      <c r="BR389" s="176" t="n"/>
      <c r="BS389" s="176" t="n"/>
      <c r="BT389" s="176" t="n"/>
      <c r="BU389" s="176" t="n"/>
      <c r="BV389" s="176" t="n"/>
      <c r="BW389" s="176" t="n"/>
      <c r="BX389" s="176" t="n"/>
      <c r="BY389" s="176" t="n"/>
      <c r="BZ389" s="176" t="n"/>
      <c r="CA389" s="176" t="n"/>
      <c r="CB389" s="176" t="n"/>
      <c r="CC389" s="176" t="n"/>
      <c r="CD389" s="176" t="n"/>
      <c r="CE389" s="176" t="n"/>
      <c r="CF389" s="176" t="n"/>
      <c r="CG389" s="176" t="n"/>
      <c r="CH389" s="176" t="n"/>
      <c r="CI389" s="176" t="n"/>
      <c r="CJ389" s="176" t="n"/>
      <c r="CK389" s="176" t="n"/>
      <c r="CL389" s="176" t="n"/>
      <c r="CM389" s="176" t="n"/>
      <c r="CN389" s="176" t="n"/>
      <c r="CO389" s="176" t="n"/>
      <c r="CP389" s="176" t="n"/>
      <c r="CQ389" s="176" t="n"/>
      <c r="CR389" s="176" t="n"/>
      <c r="CS389" s="176" t="n"/>
      <c r="CT389" s="176" t="n"/>
      <c r="CU389" s="176" t="n"/>
      <c r="CV389" s="176" t="n"/>
      <c r="CW389" s="176" t="n"/>
      <c r="CX389" s="176" t="n"/>
      <c r="CY389" s="176" t="n"/>
      <c r="CZ389" s="176" t="n"/>
      <c r="DA389" s="189" t="n"/>
      <c r="DB389" s="190" t="n"/>
      <c r="DC389" s="190" t="n"/>
      <c r="DD389" s="190" t="n"/>
      <c r="DE389" s="190" t="n"/>
      <c r="DF389" s="191" t="n"/>
      <c r="DG389" s="176" t="n"/>
      <c r="DH389" s="176" t="n"/>
      <c r="DI389" s="189" t="n"/>
      <c r="DJ389" s="190" t="n"/>
      <c r="DK389" s="190" t="n"/>
      <c r="DL389" s="190" t="n"/>
      <c r="DM389" s="190" t="n"/>
      <c r="DN389" s="191" t="n"/>
      <c r="DO389" s="176" t="n"/>
      <c r="DP389" s="176" t="n"/>
      <c r="DQ389" s="176" t="n"/>
      <c r="DR389" s="176" t="n"/>
      <c r="DS389" s="176" t="n"/>
      <c r="DT389" s="176" t="n"/>
      <c r="DU389" s="176" t="n"/>
      <c r="DV389" s="176" t="n"/>
      <c r="DW389" s="176" t="n"/>
      <c r="DX389" s="176" t="n"/>
      <c r="DY389" s="176" t="n"/>
      <c r="DZ389" s="176" t="n"/>
      <c r="EA389" s="176" t="n"/>
      <c r="EB389" s="176" t="n"/>
      <c r="EC389" s="176" t="n"/>
      <c r="ED389" s="176" t="n"/>
      <c r="EE389" s="176" t="n"/>
      <c r="EF389" s="176" t="n"/>
      <c r="EG389" s="176" t="n"/>
      <c r="EH389" s="176" t="n"/>
      <c r="EI389" s="176" t="n"/>
      <c r="EJ389" s="176" t="n"/>
      <c r="EK389" s="176" t="n"/>
      <c r="EL389" s="176" t="n"/>
      <c r="EM389" s="176" t="n"/>
      <c r="EN389" s="176" t="n"/>
      <c r="EO389" s="176" t="n"/>
      <c r="EP389" s="176" t="n"/>
      <c r="EQ389" s="176" t="n"/>
      <c r="ER389" s="176" t="n"/>
      <c r="ES389" s="176" t="n"/>
      <c r="ET389" s="176" t="n"/>
      <c r="EU389" s="176" t="n"/>
      <c r="EV389" s="176" t="n"/>
      <c r="EW389" s="176" t="n"/>
      <c r="EX389" s="176" t="n"/>
      <c r="EY389" s="176" t="n"/>
      <c r="EZ389" s="176" t="n"/>
      <c r="FA389" s="176" t="n"/>
      <c r="FB389" s="176" t="n"/>
      <c r="FC389" s="176" t="n"/>
      <c r="FD389" s="176" t="n"/>
      <c r="FE389" s="176" t="n"/>
      <c r="FF389" s="176" t="n"/>
      <c r="FG389" s="176" t="n"/>
      <c r="FH389" s="176" t="n"/>
      <c r="FI389" s="176" t="n"/>
      <c r="FJ389" s="176" t="n"/>
      <c r="FK389" s="176" t="n"/>
      <c r="FL389" s="176" t="n"/>
      <c r="FM389" s="176" t="n"/>
      <c r="FN389" s="176" t="n"/>
      <c r="FO389" s="176" t="n"/>
      <c r="FP389" s="176" t="n"/>
      <c r="FQ389" s="176" t="n"/>
      <c r="FR389" s="176" t="n"/>
      <c r="FS389" s="176" t="n"/>
      <c r="FT389" s="176" t="n"/>
      <c r="FU389" s="176" t="n"/>
      <c r="FV389" s="176" t="n"/>
      <c r="FW389" s="176" t="n"/>
      <c r="FX389" s="176" t="n"/>
      <c r="FY389" s="176" t="n"/>
      <c r="FZ389" s="176" t="n"/>
      <c r="GA389" s="176" t="n"/>
      <c r="GB389" s="176" t="n"/>
      <c r="GC389" s="176" t="n"/>
      <c r="GD389" s="176" t="n"/>
      <c r="GE389" s="176" t="n"/>
      <c r="GF389" s="176" t="n"/>
      <c r="GG389" s="176" t="n"/>
      <c r="GH389" s="176" t="n"/>
      <c r="GI389" s="176" t="n"/>
      <c r="GJ389" s="176" t="n"/>
      <c r="GK389" s="176" t="n"/>
      <c r="GL389" s="176" t="n"/>
      <c r="GM389" s="176" t="n"/>
      <c r="GN389" s="176" t="n"/>
      <c r="GO389" s="176" t="n"/>
      <c r="GP389" s="176" t="n"/>
      <c r="GQ389" s="176" t="n"/>
      <c r="GR389" s="176" t="n"/>
      <c r="GS389" s="176" t="n"/>
      <c r="GT389" s="176" t="n"/>
      <c r="GU389" s="176" t="n"/>
      <c r="GV389" s="176" t="n"/>
      <c r="GW389" s="176" t="n"/>
      <c r="GX389" s="176" t="n"/>
      <c r="GY389" s="176" t="n"/>
      <c r="GZ389" s="176" t="n"/>
      <c r="HA389" s="176" t="n"/>
      <c r="HB389" s="176" t="n"/>
      <c r="HC389" s="176" t="n"/>
      <c r="HD389" s="176" t="n"/>
      <c r="HE389" s="176" t="n"/>
      <c r="HF389" s="176" t="n"/>
      <c r="HG389" s="176" t="n"/>
      <c r="HH389" s="176" t="n"/>
      <c r="HI389" s="176" t="n"/>
      <c r="HJ389" s="176" t="n"/>
      <c r="HK389" s="176" t="n"/>
      <c r="HL389" s="176" t="n"/>
      <c r="HM389" s="176" t="n"/>
      <c r="HN389" s="176" t="n"/>
      <c r="HO389" s="176" t="n"/>
      <c r="HP389" s="176" t="n"/>
      <c r="HQ389" s="176" t="n"/>
      <c r="HR389" s="176" t="n"/>
      <c r="HS389" s="176" t="n"/>
      <c r="HT389" s="176" t="n"/>
      <c r="HU389" s="176" t="n"/>
      <c r="HV389" s="176" t="n"/>
      <c r="HW389" s="176" t="n"/>
      <c r="HX389" s="176" t="n"/>
      <c r="HY389" s="176" t="n"/>
      <c r="HZ389" s="176" t="n"/>
      <c r="IA389" s="176" t="n"/>
      <c r="IB389" s="176" t="n"/>
      <c r="IC389" s="176" t="n"/>
      <c r="ID389" s="176" t="n"/>
    </row>
    <row r="390" ht="18.75" customHeight="1">
      <c r="A390" s="176" t="n"/>
      <c r="B390" s="176" t="n"/>
      <c r="C390" s="176" t="n"/>
      <c r="D390" s="176" t="n"/>
      <c r="E390" s="176" t="n"/>
      <c r="F390" s="176" t="n"/>
      <c r="G390" s="176" t="n"/>
      <c r="H390" s="176" t="n"/>
      <c r="I390" s="176" t="n"/>
      <c r="J390" s="176" t="n"/>
      <c r="K390" s="176" t="n"/>
      <c r="L390" s="176" t="n"/>
      <c r="M390" s="176" t="n"/>
      <c r="N390" s="176" t="n"/>
      <c r="O390" s="176" t="n"/>
      <c r="P390" s="176" t="n"/>
      <c r="Q390" s="176" t="n"/>
      <c r="R390" s="176" t="n"/>
      <c r="S390" s="176" t="n"/>
      <c r="T390" s="176" t="n"/>
      <c r="U390" s="176" t="n"/>
      <c r="V390" s="176" t="n"/>
      <c r="W390" s="176" t="n"/>
      <c r="X390" s="176" t="n"/>
      <c r="Y390" s="176" t="n"/>
      <c r="Z390" s="176" t="n"/>
      <c r="AA390" s="176" t="n"/>
      <c r="AB390" s="176" t="n"/>
      <c r="AC390" s="176" t="n"/>
      <c r="AD390" s="176" t="n"/>
      <c r="AE390" s="176" t="n"/>
      <c r="AF390" s="176" t="n"/>
      <c r="AG390" s="176" t="n"/>
      <c r="AH390" s="176" t="n"/>
      <c r="AI390" s="176" t="n"/>
      <c r="AJ390" s="176" t="n"/>
      <c r="AK390" s="176" t="n"/>
      <c r="AL390" s="176" t="n"/>
      <c r="AM390" s="176" t="n"/>
      <c r="AN390" s="176" t="n"/>
      <c r="AO390" s="176" t="n"/>
      <c r="AP390" s="176" t="n"/>
      <c r="AQ390" s="176" t="n"/>
      <c r="AR390" s="176" t="n"/>
      <c r="AS390" s="176" t="n"/>
      <c r="AT390" s="176" t="n"/>
      <c r="AU390" s="176" t="n"/>
      <c r="AV390" s="176" t="n"/>
      <c r="AW390" s="176" t="n"/>
      <c r="AX390" s="176" t="n"/>
      <c r="AY390" s="176" t="n"/>
      <c r="AZ390" s="176" t="n"/>
      <c r="BA390" s="176" t="n"/>
      <c r="BB390" s="176" t="n"/>
      <c r="BC390" s="176" t="n"/>
      <c r="BD390" s="176" t="n"/>
      <c r="BE390" s="176" t="n"/>
      <c r="BF390" s="176" t="n"/>
      <c r="BG390" s="176" t="n"/>
      <c r="BH390" s="176" t="n"/>
      <c r="BI390" s="176" t="n"/>
      <c r="BJ390" s="176" t="n"/>
      <c r="BK390" s="176" t="n"/>
      <c r="BL390" s="176" t="n"/>
      <c r="BM390" s="176" t="n"/>
      <c r="BN390" s="176" t="n"/>
      <c r="BO390" s="176" t="n"/>
      <c r="BP390" s="176" t="n"/>
      <c r="BQ390" s="176" t="n"/>
      <c r="BR390" s="176" t="n"/>
      <c r="BS390" s="176" t="n"/>
      <c r="BT390" s="176" t="n"/>
      <c r="BU390" s="176" t="n"/>
      <c r="BV390" s="176" t="n"/>
      <c r="BW390" s="176" t="n"/>
      <c r="BX390" s="176" t="n"/>
      <c r="BY390" s="176" t="n"/>
      <c r="BZ390" s="176" t="n"/>
      <c r="CA390" s="176" t="n"/>
      <c r="CB390" s="176" t="n"/>
      <c r="CC390" s="176" t="n"/>
      <c r="CD390" s="176" t="n"/>
      <c r="CE390" s="176" t="n"/>
      <c r="CF390" s="176" t="n"/>
      <c r="CG390" s="176" t="n"/>
      <c r="CH390" s="176" t="n"/>
      <c r="CI390" s="176" t="n"/>
      <c r="CJ390" s="176" t="n"/>
      <c r="CK390" s="176" t="n"/>
      <c r="CL390" s="176" t="n"/>
      <c r="CM390" s="176" t="n"/>
      <c r="CN390" s="176" t="n"/>
      <c r="CO390" s="176" t="n"/>
      <c r="CP390" s="176" t="n"/>
      <c r="CQ390" s="176" t="n"/>
      <c r="CR390" s="176" t="n"/>
      <c r="CS390" s="176" t="n"/>
      <c r="CT390" s="176" t="n"/>
      <c r="CU390" s="176" t="n"/>
      <c r="CV390" s="176" t="n"/>
      <c r="CW390" s="176" t="n"/>
      <c r="CX390" s="176" t="n"/>
      <c r="CY390" s="176" t="n"/>
      <c r="CZ390" s="176" t="n"/>
      <c r="DA390" s="176" t="n"/>
      <c r="DB390" s="176" t="n"/>
      <c r="DC390" s="176" t="n"/>
      <c r="DD390" s="176" t="n"/>
      <c r="DE390" s="176" t="n"/>
      <c r="DF390" s="176" t="n"/>
      <c r="DG390" s="176" t="n"/>
      <c r="DH390" s="176" t="n"/>
      <c r="DI390" s="176" t="n"/>
      <c r="DJ390" s="176" t="n"/>
      <c r="DK390" s="176" t="n"/>
      <c r="DL390" s="176" t="n"/>
      <c r="DM390" s="176" t="n"/>
      <c r="DN390" s="176" t="n"/>
      <c r="DO390" s="176" t="n"/>
      <c r="DP390" s="176" t="n"/>
      <c r="DQ390" s="176" t="n"/>
      <c r="DR390" s="176" t="n"/>
      <c r="DS390" s="176" t="n"/>
      <c r="DT390" s="176" t="n"/>
      <c r="DU390" s="176" t="n"/>
      <c r="DV390" s="176" t="n"/>
      <c r="DW390" s="176" t="n"/>
      <c r="DX390" s="176" t="n"/>
      <c r="DY390" s="176" t="n"/>
      <c r="DZ390" s="176" t="n"/>
      <c r="EA390" s="176" t="n"/>
      <c r="EB390" s="176" t="n"/>
      <c r="EC390" s="176" t="n"/>
      <c r="ED390" s="176" t="n"/>
      <c r="EE390" s="176" t="n"/>
      <c r="EF390" s="176" t="n"/>
      <c r="EG390" s="176" t="n"/>
      <c r="EH390" s="176" t="n"/>
      <c r="EI390" s="176" t="n"/>
      <c r="EJ390" s="176" t="n"/>
      <c r="EK390" s="176" t="n"/>
      <c r="EL390" s="176" t="n"/>
      <c r="EM390" s="176" t="n"/>
      <c r="EN390" s="176" t="n"/>
      <c r="EO390" s="176" t="n"/>
      <c r="EP390" s="176" t="n"/>
      <c r="EQ390" s="176" t="n"/>
      <c r="ER390" s="176" t="n"/>
      <c r="ES390" s="176" t="n"/>
      <c r="ET390" s="176" t="n"/>
      <c r="EU390" s="176" t="n"/>
      <c r="EV390" s="176" t="n"/>
      <c r="EW390" s="176" t="n"/>
      <c r="EX390" s="176" t="n"/>
      <c r="EY390" s="176" t="n"/>
      <c r="EZ390" s="176" t="n"/>
      <c r="FA390" s="176" t="n"/>
      <c r="FB390" s="176" t="n"/>
      <c r="FC390" s="176" t="n"/>
      <c r="FD390" s="176" t="n"/>
      <c r="FE390" s="176" t="n"/>
      <c r="FF390" s="176" t="n"/>
      <c r="FG390" s="176" t="n"/>
      <c r="FH390" s="176" t="n"/>
      <c r="FI390" s="176" t="n"/>
      <c r="FJ390" s="176" t="n"/>
      <c r="FK390" s="176" t="n"/>
      <c r="FL390" s="176" t="n"/>
      <c r="FM390" s="176" t="n"/>
      <c r="FN390" s="176" t="n"/>
      <c r="FO390" s="176" t="n"/>
      <c r="FP390" s="176" t="n"/>
      <c r="FQ390" s="176" t="n"/>
      <c r="FR390" s="176" t="n"/>
      <c r="FS390" s="176" t="n"/>
      <c r="FT390" s="176" t="n"/>
      <c r="FU390" s="176" t="n"/>
      <c r="FV390" s="176" t="n"/>
      <c r="FW390" s="176" t="n"/>
      <c r="FX390" s="176" t="n"/>
      <c r="FY390" s="176" t="n"/>
      <c r="FZ390" s="176" t="n"/>
      <c r="GA390" s="176" t="n"/>
      <c r="GB390" s="176" t="n"/>
      <c r="GC390" s="176" t="n"/>
      <c r="GD390" s="176" t="n"/>
      <c r="GE390" s="176" t="n"/>
      <c r="GF390" s="176" t="n"/>
      <c r="GG390" s="176" t="n"/>
      <c r="GH390" s="176" t="n"/>
      <c r="GI390" s="176" t="n"/>
      <c r="GJ390" s="176" t="n"/>
      <c r="GK390" s="176" t="n"/>
      <c r="GL390" s="176" t="n"/>
      <c r="GM390" s="176" t="n"/>
      <c r="GN390" s="176" t="n"/>
      <c r="GO390" s="176" t="n"/>
      <c r="GP390" s="176" t="n"/>
      <c r="GQ390" s="176" t="n"/>
      <c r="GR390" s="176" t="n"/>
      <c r="GS390" s="176" t="n"/>
      <c r="GT390" s="176" t="n"/>
      <c r="GU390" s="176" t="n"/>
      <c r="GV390" s="176" t="n"/>
      <c r="GW390" s="176" t="n"/>
      <c r="GX390" s="176" t="n"/>
      <c r="GY390" s="176" t="n"/>
      <c r="GZ390" s="176" t="n"/>
      <c r="HA390" s="176" t="n"/>
      <c r="HB390" s="176" t="n"/>
      <c r="HC390" s="176" t="n"/>
      <c r="HD390" s="176" t="n"/>
      <c r="HE390" s="176" t="n"/>
      <c r="HF390" s="176" t="n"/>
      <c r="HG390" s="176" t="n"/>
      <c r="HH390" s="176" t="n"/>
      <c r="HI390" s="176" t="n"/>
      <c r="HJ390" s="176" t="n"/>
      <c r="HK390" s="176" t="n"/>
      <c r="HL390" s="176" t="n"/>
      <c r="HM390" s="176" t="n"/>
      <c r="HN390" s="176" t="n"/>
      <c r="HO390" s="176" t="n"/>
      <c r="HP390" s="176" t="n"/>
      <c r="HQ390" s="176" t="n"/>
      <c r="HR390" s="176" t="n"/>
      <c r="HS390" s="176" t="n"/>
      <c r="HT390" s="176" t="n"/>
      <c r="HU390" s="176" t="n"/>
      <c r="HV390" s="176" t="n"/>
      <c r="HW390" s="176" t="n"/>
      <c r="HX390" s="176" t="n"/>
      <c r="HY390" s="176" t="n"/>
      <c r="HZ390" s="176" t="n"/>
      <c r="IA390" s="176" t="n"/>
      <c r="IB390" s="176" t="n"/>
      <c r="IC390" s="176" t="n"/>
      <c r="ID390" s="176" t="n"/>
    </row>
    <row r="391" ht="18.75" customHeight="1">
      <c r="A391" s="176" t="n"/>
      <c r="B391" s="176" t="n"/>
      <c r="C391" s="176" t="n"/>
      <c r="D391" s="176" t="n"/>
      <c r="E391" s="176" t="n"/>
      <c r="F391" s="176" t="n"/>
      <c r="G391" s="176" t="n"/>
      <c r="H391" s="176" t="n"/>
      <c r="I391" s="176" t="n"/>
      <c r="J391" s="176" t="n"/>
      <c r="K391" s="176" t="n"/>
      <c r="L391" s="176" t="n"/>
      <c r="M391" s="176" t="n"/>
      <c r="N391" s="176" t="n"/>
      <c r="O391" s="176" t="n"/>
      <c r="P391" s="176" t="n"/>
      <c r="Q391" s="176" t="n"/>
      <c r="R391" s="176" t="n"/>
      <c r="S391" s="176" t="n"/>
      <c r="T391" s="176" t="n"/>
      <c r="U391" s="176" t="n"/>
      <c r="V391" s="176" t="n"/>
      <c r="W391" s="176" t="n"/>
      <c r="X391" s="176" t="n"/>
      <c r="Y391" s="176" t="n"/>
      <c r="Z391" s="176" t="n"/>
      <c r="AA391" s="176" t="n"/>
      <c r="AB391" s="176" t="n"/>
      <c r="AC391" s="176" t="n"/>
      <c r="AD391" s="176" t="n"/>
      <c r="AE391" s="176" t="n"/>
      <c r="AF391" s="176" t="n"/>
      <c r="AG391" s="176" t="n"/>
      <c r="AH391" s="176" t="n"/>
      <c r="AI391" s="176" t="n"/>
      <c r="AJ391" s="176" t="n"/>
      <c r="AK391" s="176" t="n"/>
      <c r="AL391" s="176" t="n"/>
      <c r="AM391" s="176" t="n"/>
      <c r="AN391" s="176" t="n"/>
      <c r="AO391" s="176" t="n"/>
      <c r="AP391" s="176" t="n"/>
      <c r="AQ391" s="176" t="n"/>
      <c r="AR391" s="176" t="n"/>
      <c r="AS391" s="176" t="n"/>
      <c r="AT391" s="176" t="n"/>
      <c r="AU391" s="176" t="n"/>
      <c r="AV391" s="176" t="n"/>
      <c r="AW391" s="176" t="n"/>
      <c r="AX391" s="176" t="n"/>
      <c r="AY391" s="176" t="n"/>
      <c r="AZ391" s="176" t="n"/>
      <c r="BA391" s="176" t="n"/>
      <c r="BB391" s="176" t="n"/>
      <c r="BC391" s="176" t="n"/>
      <c r="BD391" s="176" t="n"/>
      <c r="BE391" s="176" t="n"/>
      <c r="BF391" s="176" t="n"/>
      <c r="BG391" s="176" t="n"/>
      <c r="BH391" s="176" t="n"/>
      <c r="BI391" s="176" t="n"/>
      <c r="BJ391" s="176" t="n"/>
      <c r="BK391" s="176" t="n"/>
      <c r="BL391" s="176" t="n"/>
      <c r="BM391" s="176" t="n"/>
      <c r="BN391" s="176" t="n"/>
      <c r="BO391" s="176" t="n"/>
      <c r="BP391" s="176" t="n"/>
      <c r="BQ391" s="176" t="n"/>
      <c r="BR391" s="176" t="n"/>
      <c r="BS391" s="176" t="n"/>
      <c r="BT391" s="176" t="n"/>
      <c r="BU391" s="176" t="n"/>
      <c r="BV391" s="176" t="n"/>
      <c r="BW391" s="176" t="n"/>
      <c r="BX391" s="176" t="n"/>
      <c r="BY391" s="176" t="n"/>
      <c r="BZ391" s="176" t="n"/>
      <c r="CA391" s="176" t="n"/>
      <c r="CB391" s="176" t="n"/>
      <c r="CC391" s="176" t="n"/>
      <c r="CD391" s="176" t="n"/>
      <c r="CE391" s="176" t="n"/>
      <c r="CF391" s="176" t="n"/>
      <c r="CG391" s="176" t="n"/>
      <c r="CH391" s="176" t="n"/>
      <c r="CI391" s="176" t="n"/>
      <c r="CJ391" s="176" t="n"/>
      <c r="CK391" s="176" t="n"/>
      <c r="CL391" s="176" t="n"/>
      <c r="CM391" s="176" t="n"/>
      <c r="CN391" s="176" t="n"/>
      <c r="CO391" s="176" t="n"/>
      <c r="CP391" s="176" t="n"/>
      <c r="CQ391" s="176" t="n"/>
      <c r="CR391" s="176" t="n"/>
      <c r="CS391" s="176" t="n"/>
      <c r="CT391" s="176" t="n"/>
      <c r="CU391" s="176" t="n"/>
      <c r="CV391" s="176" t="n"/>
      <c r="CW391" s="176" t="n"/>
      <c r="CX391" s="176" t="n"/>
      <c r="CY391" s="176" t="n"/>
      <c r="CZ391" s="176" t="n"/>
      <c r="DA391" s="181" t="inlineStr">
        <is>
          <t>EFEITO</t>
        </is>
      </c>
      <c r="DB391" s="182" t="n"/>
      <c r="DC391" s="182" t="n"/>
      <c r="DD391" s="182" t="n"/>
      <c r="DE391" s="182" t="n"/>
      <c r="DF391" s="183" t="n"/>
      <c r="DG391" s="176" t="n"/>
      <c r="DH391" s="176" t="n"/>
      <c r="DI391" s="181" t="inlineStr">
        <is>
          <t>EFEITO</t>
        </is>
      </c>
      <c r="DJ391" s="182" t="n"/>
      <c r="DK391" s="182" t="n"/>
      <c r="DL391" s="182" t="n"/>
      <c r="DM391" s="182" t="n"/>
      <c r="DN391" s="183" t="n"/>
      <c r="DO391" s="176" t="n"/>
      <c r="DP391" s="176" t="n"/>
      <c r="DQ391" s="176" t="n"/>
      <c r="DR391" s="176" t="n"/>
      <c r="DS391" s="176" t="n"/>
      <c r="DT391" s="176" t="n"/>
      <c r="DU391" s="176" t="n"/>
      <c r="DV391" s="176" t="n"/>
      <c r="DW391" s="176" t="n"/>
      <c r="DX391" s="176" t="n"/>
      <c r="DY391" s="176" t="n"/>
      <c r="DZ391" s="176" t="n"/>
      <c r="EA391" s="176" t="n"/>
      <c r="EB391" s="176" t="n"/>
      <c r="EC391" s="176" t="n"/>
      <c r="ED391" s="176" t="n"/>
      <c r="EE391" s="176" t="n"/>
      <c r="EF391" s="176" t="n"/>
      <c r="EG391" s="176" t="n"/>
      <c r="EH391" s="176" t="n"/>
      <c r="EI391" s="176" t="n"/>
      <c r="EJ391" s="176" t="n"/>
      <c r="EK391" s="176" t="n"/>
      <c r="EL391" s="176" t="n"/>
      <c r="EM391" s="176" t="n"/>
      <c r="EN391" s="176" t="n"/>
      <c r="EO391" s="176" t="n"/>
      <c r="EP391" s="176" t="n"/>
      <c r="EQ391" s="176" t="n"/>
      <c r="ER391" s="176" t="n"/>
      <c r="ES391" s="176" t="n"/>
      <c r="ET391" s="176" t="n"/>
      <c r="EU391" s="176" t="n"/>
      <c r="EV391" s="176" t="n"/>
      <c r="EW391" s="176" t="n"/>
      <c r="EX391" s="176" t="n"/>
      <c r="EY391" s="176" t="n"/>
      <c r="EZ391" s="176" t="n"/>
      <c r="FA391" s="176" t="n"/>
      <c r="FB391" s="176" t="n"/>
      <c r="FC391" s="176" t="n"/>
      <c r="FD391" s="176" t="n"/>
      <c r="FE391" s="176" t="n"/>
      <c r="FF391" s="176" t="n"/>
      <c r="FG391" s="176" t="n"/>
      <c r="FH391" s="176" t="n"/>
      <c r="FI391" s="176" t="n"/>
      <c r="FJ391" s="176" t="n"/>
      <c r="FK391" s="176" t="n"/>
      <c r="FL391" s="176" t="n"/>
      <c r="FM391" s="176" t="n"/>
      <c r="FN391" s="176" t="n"/>
      <c r="FO391" s="176" t="n"/>
      <c r="FP391" s="176" t="n"/>
      <c r="FQ391" s="176" t="n"/>
      <c r="FR391" s="176" t="n"/>
      <c r="FS391" s="176" t="n"/>
      <c r="FT391" s="176" t="n"/>
      <c r="FU391" s="176" t="n"/>
      <c r="FV391" s="176" t="n"/>
      <c r="FW391" s="176" t="n"/>
      <c r="FX391" s="176" t="n"/>
      <c r="FY391" s="176" t="n"/>
      <c r="FZ391" s="176" t="n"/>
      <c r="GA391" s="176" t="n"/>
      <c r="GB391" s="176" t="n"/>
      <c r="GC391" s="176" t="n"/>
      <c r="GD391" s="176" t="n"/>
      <c r="GE391" s="176" t="n"/>
      <c r="GF391" s="176" t="n"/>
      <c r="GG391" s="176" t="n"/>
      <c r="GH391" s="176" t="n"/>
      <c r="GI391" s="176" t="n"/>
      <c r="GJ391" s="176" t="n"/>
      <c r="GK391" s="176" t="n"/>
      <c r="GL391" s="176" t="n"/>
      <c r="GM391" s="176" t="n"/>
      <c r="GN391" s="176" t="n"/>
      <c r="GO391" s="176" t="n"/>
      <c r="GP391" s="176" t="n"/>
      <c r="GQ391" s="176" t="n"/>
      <c r="GR391" s="176" t="n"/>
      <c r="GS391" s="176" t="n"/>
      <c r="GT391" s="176" t="n"/>
      <c r="GU391" s="176" t="n"/>
      <c r="GV391" s="176" t="n"/>
      <c r="GW391" s="176" t="n"/>
      <c r="GX391" s="176" t="n"/>
      <c r="GY391" s="176" t="n"/>
      <c r="GZ391" s="176" t="n"/>
      <c r="HA391" s="176" t="n"/>
      <c r="HB391" s="176" t="n"/>
      <c r="HC391" s="176" t="n"/>
      <c r="HD391" s="176" t="n"/>
      <c r="HE391" s="176" t="n"/>
      <c r="HF391" s="176" t="n"/>
      <c r="HG391" s="176" t="n"/>
      <c r="HH391" s="176" t="n"/>
      <c r="HI391" s="176" t="n"/>
      <c r="HJ391" s="176" t="n"/>
      <c r="HK391" s="176" t="n"/>
      <c r="HL391" s="176" t="n"/>
      <c r="HM391" s="176" t="n"/>
      <c r="HN391" s="176" t="n"/>
      <c r="HO391" s="176" t="n"/>
      <c r="HP391" s="176" t="n"/>
      <c r="HQ391" s="176" t="n"/>
      <c r="HR391" s="176" t="n"/>
      <c r="HS391" s="176" t="n"/>
      <c r="HT391" s="176" t="n"/>
      <c r="HU391" s="176" t="n"/>
      <c r="HV391" s="176" t="n"/>
      <c r="HW391" s="176" t="n"/>
      <c r="HX391" s="176" t="n"/>
      <c r="HY391" s="176" t="n"/>
      <c r="HZ391" s="176" t="n"/>
      <c r="IA391" s="176" t="n"/>
      <c r="IB391" s="176" t="n"/>
      <c r="IC391" s="176" t="n"/>
      <c r="ID391" s="176" t="n"/>
    </row>
    <row r="392" ht="18.75" customHeight="1">
      <c r="A392" s="176" t="n"/>
      <c r="B392" s="176" t="n"/>
      <c r="C392" s="176" t="n"/>
      <c r="D392" s="176" t="n"/>
      <c r="E392" s="176" t="n"/>
      <c r="F392" s="176" t="n"/>
      <c r="G392" s="176" t="n"/>
      <c r="H392" s="176" t="n"/>
      <c r="I392" s="176" t="n"/>
      <c r="J392" s="176" t="n"/>
      <c r="K392" s="176" t="n"/>
      <c r="L392" s="176" t="n"/>
      <c r="M392" s="176" t="n"/>
      <c r="N392" s="176" t="n"/>
      <c r="O392" s="176" t="n"/>
      <c r="P392" s="176" t="n"/>
      <c r="Q392" s="176" t="n"/>
      <c r="R392" s="176" t="n"/>
      <c r="S392" s="176" t="n"/>
      <c r="T392" s="176" t="n"/>
      <c r="U392" s="176" t="n"/>
      <c r="V392" s="176" t="n"/>
      <c r="W392" s="176" t="n"/>
      <c r="X392" s="176" t="n"/>
      <c r="Y392" s="176" t="n"/>
      <c r="Z392" s="176" t="n"/>
      <c r="AA392" s="176" t="n"/>
      <c r="AB392" s="176" t="n"/>
      <c r="AC392" s="176" t="n"/>
      <c r="AD392" s="176" t="n"/>
      <c r="AE392" s="176" t="n"/>
      <c r="AF392" s="176" t="n"/>
      <c r="AG392" s="176" t="n"/>
      <c r="AH392" s="176" t="n"/>
      <c r="AI392" s="176" t="n"/>
      <c r="AJ392" s="176" t="n"/>
      <c r="AK392" s="176" t="n"/>
      <c r="AL392" s="176" t="n"/>
      <c r="AM392" s="176" t="n"/>
      <c r="AN392" s="176" t="n"/>
      <c r="AO392" s="176" t="n"/>
      <c r="AP392" s="176" t="n"/>
      <c r="AQ392" s="176" t="n"/>
      <c r="AR392" s="176" t="n"/>
      <c r="AS392" s="176" t="n"/>
      <c r="AT392" s="176" t="n"/>
      <c r="AU392" s="176" t="n"/>
      <c r="AV392" s="176" t="n"/>
      <c r="AW392" s="176" t="n"/>
      <c r="AX392" s="176" t="n"/>
      <c r="AY392" s="176" t="n"/>
      <c r="AZ392" s="176" t="n"/>
      <c r="BA392" s="176" t="n"/>
      <c r="BB392" s="176" t="n"/>
      <c r="BC392" s="176" t="n"/>
      <c r="BD392" s="176" t="n"/>
      <c r="BE392" s="176" t="n"/>
      <c r="BF392" s="176" t="n"/>
      <c r="BG392" s="176" t="n"/>
      <c r="BH392" s="176" t="n"/>
      <c r="BI392" s="176" t="n"/>
      <c r="BJ392" s="176" t="n"/>
      <c r="BK392" s="176" t="n"/>
      <c r="BL392" s="176" t="n"/>
      <c r="BM392" s="176" t="n"/>
      <c r="BN392" s="176" t="n"/>
      <c r="BO392" s="176" t="n"/>
      <c r="BP392" s="176" t="n"/>
      <c r="BQ392" s="176" t="n"/>
      <c r="BR392" s="176" t="n"/>
      <c r="BS392" s="176" t="n"/>
      <c r="BT392" s="176" t="n"/>
      <c r="BU392" s="176" t="n"/>
      <c r="BV392" s="176" t="n"/>
      <c r="BW392" s="176" t="n"/>
      <c r="BX392" s="176" t="n"/>
      <c r="BY392" s="176" t="n"/>
      <c r="BZ392" s="176" t="n"/>
      <c r="CA392" s="176" t="n"/>
      <c r="CB392" s="176" t="n"/>
      <c r="CC392" s="176" t="n"/>
      <c r="CD392" s="176" t="n"/>
      <c r="CE392" s="176" t="n"/>
      <c r="CF392" s="176" t="n"/>
      <c r="CG392" s="176" t="n"/>
      <c r="CH392" s="176" t="n"/>
      <c r="CI392" s="176" t="n"/>
      <c r="CJ392" s="176" t="n"/>
      <c r="CK392" s="176" t="n"/>
      <c r="CL392" s="176" t="n"/>
      <c r="CM392" s="176" t="n"/>
      <c r="CN392" s="176" t="n"/>
      <c r="CO392" s="176" t="n"/>
      <c r="CP392" s="176" t="n"/>
      <c r="CQ392" s="176" t="n"/>
      <c r="CR392" s="176" t="n"/>
      <c r="CS392" s="176" t="n"/>
      <c r="CT392" s="176" t="n"/>
      <c r="CU392" s="176" t="n"/>
      <c r="CV392" s="176" t="n"/>
      <c r="CW392" s="176" t="n"/>
      <c r="CX392" s="176" t="n"/>
      <c r="CY392" s="176" t="n"/>
      <c r="CZ392" s="176" t="n"/>
      <c r="DA392" s="192" t="n"/>
      <c r="DB392" s="187" t="n"/>
      <c r="DC392" s="187" t="n"/>
      <c r="DD392" s="187" t="n"/>
      <c r="DE392" s="187" t="n"/>
      <c r="DF392" s="188" t="n"/>
      <c r="DG392" s="176" t="n"/>
      <c r="DH392" s="176" t="n"/>
      <c r="DI392" s="192" t="n"/>
      <c r="DJ392" s="187" t="n"/>
      <c r="DK392" s="187" t="n"/>
      <c r="DL392" s="187" t="n"/>
      <c r="DM392" s="187" t="n"/>
      <c r="DN392" s="188" t="n"/>
      <c r="DO392" s="176" t="n"/>
      <c r="DP392" s="176" t="n"/>
      <c r="DQ392" s="176" t="n"/>
      <c r="DR392" s="176" t="n"/>
      <c r="DS392" s="176" t="n"/>
      <c r="DT392" s="176" t="n"/>
      <c r="DU392" s="176" t="n"/>
      <c r="DV392" s="176" t="n"/>
      <c r="DW392" s="176" t="n"/>
      <c r="DX392" s="176" t="n"/>
      <c r="DY392" s="176" t="n"/>
      <c r="DZ392" s="176" t="n"/>
      <c r="EA392" s="176" t="n"/>
      <c r="EB392" s="176" t="n"/>
      <c r="EC392" s="176" t="n"/>
      <c r="ED392" s="176" t="n"/>
      <c r="EE392" s="176" t="n"/>
      <c r="EF392" s="176" t="n"/>
      <c r="EG392" s="176" t="n"/>
      <c r="EH392" s="176" t="n"/>
      <c r="EI392" s="176" t="n"/>
      <c r="EJ392" s="176" t="n"/>
      <c r="EK392" s="176" t="n"/>
      <c r="EL392" s="176" t="n"/>
      <c r="EM392" s="176" t="n"/>
      <c r="EN392" s="176" t="n"/>
      <c r="EO392" s="176" t="n"/>
      <c r="EP392" s="176" t="n"/>
      <c r="EQ392" s="176" t="n"/>
      <c r="ER392" s="176" t="n"/>
      <c r="ES392" s="176" t="n"/>
      <c r="ET392" s="176" t="n"/>
      <c r="EU392" s="176" t="n"/>
      <c r="EV392" s="176" t="n"/>
      <c r="EW392" s="176" t="n"/>
      <c r="EX392" s="176" t="n"/>
      <c r="EY392" s="176" t="n"/>
      <c r="EZ392" s="176" t="n"/>
      <c r="FA392" s="176" t="n"/>
      <c r="FB392" s="176" t="n"/>
      <c r="FC392" s="176" t="n"/>
      <c r="FD392" s="176" t="n"/>
      <c r="FE392" s="176" t="n"/>
      <c r="FF392" s="176" t="n"/>
      <c r="FG392" s="176" t="n"/>
      <c r="FH392" s="176" t="n"/>
      <c r="FI392" s="176" t="n"/>
      <c r="FJ392" s="176" t="n"/>
      <c r="FK392" s="176" t="n"/>
      <c r="FL392" s="176" t="n"/>
      <c r="FM392" s="176" t="n"/>
      <c r="FN392" s="176" t="n"/>
      <c r="FO392" s="176" t="n"/>
      <c r="FP392" s="176" t="n"/>
      <c r="FQ392" s="176" t="n"/>
      <c r="FR392" s="176" t="n"/>
      <c r="FS392" s="176" t="n"/>
      <c r="FT392" s="176" t="n"/>
      <c r="FU392" s="176" t="n"/>
      <c r="FV392" s="176" t="n"/>
      <c r="FW392" s="176" t="n"/>
      <c r="FX392" s="176" t="n"/>
      <c r="FY392" s="176" t="n"/>
      <c r="FZ392" s="176" t="n"/>
      <c r="GA392" s="176" t="n"/>
      <c r="GB392" s="176" t="n"/>
      <c r="GC392" s="176" t="n"/>
      <c r="GD392" s="176" t="n"/>
      <c r="GE392" s="176" t="n"/>
      <c r="GF392" s="176" t="n"/>
      <c r="GG392" s="176" t="n"/>
      <c r="GH392" s="176" t="n"/>
      <c r="GI392" s="176" t="n"/>
      <c r="GJ392" s="176" t="n"/>
      <c r="GK392" s="176" t="n"/>
      <c r="GL392" s="176" t="n"/>
      <c r="GM392" s="176" t="n"/>
      <c r="GN392" s="176" t="n"/>
      <c r="GO392" s="176" t="n"/>
      <c r="GP392" s="176" t="n"/>
      <c r="GQ392" s="176" t="n"/>
      <c r="GR392" s="176" t="n"/>
      <c r="GS392" s="176" t="n"/>
      <c r="GT392" s="176" t="n"/>
      <c r="GU392" s="176" t="n"/>
      <c r="GV392" s="176" t="n"/>
      <c r="GW392" s="176" t="n"/>
      <c r="GX392" s="176" t="n"/>
      <c r="GY392" s="176" t="n"/>
      <c r="GZ392" s="176" t="n"/>
      <c r="HA392" s="176" t="n"/>
      <c r="HB392" s="176" t="n"/>
      <c r="HC392" s="176" t="n"/>
      <c r="HD392" s="176" t="n"/>
      <c r="HE392" s="176" t="n"/>
      <c r="HF392" s="176" t="n"/>
      <c r="HG392" s="176" t="n"/>
      <c r="HH392" s="176" t="n"/>
      <c r="HI392" s="176" t="n"/>
      <c r="HJ392" s="176" t="n"/>
      <c r="HK392" s="176" t="n"/>
      <c r="HL392" s="176" t="n"/>
      <c r="HM392" s="176" t="n"/>
      <c r="HN392" s="176" t="n"/>
      <c r="HO392" s="176" t="n"/>
      <c r="HP392" s="176" t="n"/>
      <c r="HQ392" s="176" t="n"/>
      <c r="HR392" s="176" t="n"/>
      <c r="HS392" s="176" t="n"/>
      <c r="HT392" s="176" t="n"/>
      <c r="HU392" s="176" t="n"/>
      <c r="HV392" s="176" t="n"/>
      <c r="HW392" s="176" t="n"/>
      <c r="HX392" s="176" t="n"/>
      <c r="HY392" s="176" t="n"/>
      <c r="HZ392" s="176" t="n"/>
      <c r="IA392" s="176" t="n"/>
      <c r="IB392" s="176" t="n"/>
      <c r="IC392" s="176" t="n"/>
      <c r="ID392" s="176" t="n"/>
    </row>
    <row r="393" ht="18.75" customHeight="1">
      <c r="A393" s="176" t="n"/>
      <c r="B393" s="176" t="n"/>
      <c r="C393" s="176" t="n"/>
      <c r="D393" s="176" t="n"/>
      <c r="E393" s="176" t="n"/>
      <c r="F393" s="176" t="n"/>
      <c r="G393" s="176" t="n"/>
      <c r="H393" s="176" t="n"/>
      <c r="I393" s="176" t="n"/>
      <c r="J393" s="176" t="n"/>
      <c r="K393" s="176" t="n"/>
      <c r="L393" s="176" t="n"/>
      <c r="M393" s="176" t="n"/>
      <c r="N393" s="176" t="n"/>
      <c r="O393" s="176" t="n"/>
      <c r="P393" s="176" t="n"/>
      <c r="Q393" s="176" t="n"/>
      <c r="R393" s="176" t="n"/>
      <c r="S393" s="176" t="n"/>
      <c r="T393" s="176" t="n"/>
      <c r="U393" s="176" t="n"/>
      <c r="V393" s="176" t="n"/>
      <c r="W393" s="176" t="n"/>
      <c r="X393" s="176" t="n"/>
      <c r="Y393" s="176" t="n"/>
      <c r="Z393" s="176" t="n"/>
      <c r="AA393" s="176" t="n"/>
      <c r="AB393" s="176" t="n"/>
      <c r="AC393" s="176" t="n"/>
      <c r="AD393" s="176" t="n"/>
      <c r="AE393" s="176" t="n"/>
      <c r="AF393" s="176" t="n"/>
      <c r="AG393" s="176" t="n"/>
      <c r="AH393" s="176" t="n"/>
      <c r="AI393" s="176" t="n"/>
      <c r="AJ393" s="176" t="n"/>
      <c r="AK393" s="176" t="n"/>
      <c r="AL393" s="176" t="n"/>
      <c r="AM393" s="176" t="n"/>
      <c r="AN393" s="176" t="n"/>
      <c r="AO393" s="176" t="n"/>
      <c r="AP393" s="176" t="n"/>
      <c r="AQ393" s="176" t="n"/>
      <c r="AR393" s="176" t="n"/>
      <c r="AS393" s="176" t="n"/>
      <c r="AT393" s="176" t="n"/>
      <c r="AU393" s="176" t="n"/>
      <c r="AV393" s="176" t="n"/>
      <c r="AW393" s="176" t="n"/>
      <c r="AX393" s="176" t="n"/>
      <c r="AY393" s="176" t="n"/>
      <c r="AZ393" s="176" t="n"/>
      <c r="BA393" s="176" t="n"/>
      <c r="BB393" s="176" t="n"/>
      <c r="BC393" s="176" t="n"/>
      <c r="BD393" s="176" t="n"/>
      <c r="BE393" s="176" t="n"/>
      <c r="BF393" s="176" t="n"/>
      <c r="BG393" s="176" t="n"/>
      <c r="BH393" s="176" t="n"/>
      <c r="BI393" s="176" t="n"/>
      <c r="BJ393" s="176" t="n"/>
      <c r="BK393" s="176" t="n"/>
      <c r="BL393" s="176" t="n"/>
      <c r="BM393" s="176" t="n"/>
      <c r="BN393" s="176" t="n"/>
      <c r="BO393" s="176" t="n"/>
      <c r="BP393" s="176" t="n"/>
      <c r="BQ393" s="176" t="n"/>
      <c r="BR393" s="176" t="n"/>
      <c r="BS393" s="176" t="n"/>
      <c r="BT393" s="176" t="n"/>
      <c r="BU393" s="176" t="n"/>
      <c r="BV393" s="176" t="n"/>
      <c r="BW393" s="176" t="n"/>
      <c r="BX393" s="176" t="n"/>
      <c r="BY393" s="176" t="n"/>
      <c r="BZ393" s="176" t="n"/>
      <c r="CA393" s="176" t="n"/>
      <c r="CB393" s="176" t="n"/>
      <c r="CC393" s="176" t="n"/>
      <c r="CD393" s="176" t="n"/>
      <c r="CE393" s="176" t="n"/>
      <c r="CF393" s="176" t="n"/>
      <c r="CG393" s="176" t="n"/>
      <c r="CH393" s="176" t="n"/>
      <c r="CI393" s="176" t="n"/>
      <c r="CJ393" s="176" t="n"/>
      <c r="CK393" s="176" t="n"/>
      <c r="CL393" s="176" t="n"/>
      <c r="CM393" s="176" t="n"/>
      <c r="CN393" s="176" t="n"/>
      <c r="CO393" s="176" t="n"/>
      <c r="CP393" s="176" t="n"/>
      <c r="CQ393" s="176" t="n"/>
      <c r="CR393" s="176" t="n"/>
      <c r="CS393" s="176" t="n"/>
      <c r="CT393" s="176" t="n"/>
      <c r="CU393" s="176" t="n"/>
      <c r="CV393" s="176" t="n"/>
      <c r="CW393" s="176" t="n"/>
      <c r="CX393" s="176" t="n"/>
      <c r="CY393" s="176" t="n"/>
      <c r="CZ393" s="176" t="n"/>
      <c r="DA393" s="193" t="n"/>
      <c r="DF393" s="194" t="n"/>
      <c r="DG393" s="176" t="n"/>
      <c r="DH393" s="176" t="n"/>
      <c r="DI393" s="193" t="n"/>
      <c r="DN393" s="194" t="n"/>
      <c r="DO393" s="176" t="n"/>
      <c r="DP393" s="176" t="n"/>
      <c r="DQ393" s="176" t="n"/>
      <c r="DR393" s="176" t="n"/>
      <c r="DS393" s="176" t="n"/>
      <c r="DT393" s="176" t="n"/>
      <c r="DU393" s="176" t="n"/>
      <c r="DV393" s="176" t="n"/>
      <c r="DW393" s="176" t="n"/>
      <c r="DX393" s="176" t="n"/>
      <c r="DY393" s="176" t="n"/>
      <c r="DZ393" s="176" t="n"/>
      <c r="EA393" s="176" t="n"/>
      <c r="EB393" s="176" t="n"/>
      <c r="EC393" s="176" t="n"/>
      <c r="ED393" s="176" t="n"/>
      <c r="EE393" s="176" t="n"/>
      <c r="EF393" s="176" t="n"/>
      <c r="EG393" s="176" t="n"/>
      <c r="EH393" s="176" t="n"/>
      <c r="EI393" s="176" t="n"/>
      <c r="EJ393" s="176" t="n"/>
      <c r="EK393" s="176" t="n"/>
      <c r="EL393" s="176" t="n"/>
      <c r="EM393" s="176" t="n"/>
      <c r="EN393" s="176" t="n"/>
      <c r="EO393" s="176" t="n"/>
      <c r="EP393" s="176" t="n"/>
      <c r="EQ393" s="176" t="n"/>
      <c r="ER393" s="176" t="n"/>
      <c r="ES393" s="176" t="n"/>
      <c r="ET393" s="176" t="n"/>
      <c r="EU393" s="176" t="n"/>
      <c r="EV393" s="176" t="n"/>
      <c r="EW393" s="176" t="n"/>
      <c r="EX393" s="176" t="n"/>
      <c r="EY393" s="176" t="n"/>
      <c r="EZ393" s="176" t="n"/>
      <c r="FA393" s="176" t="n"/>
      <c r="FB393" s="176" t="n"/>
      <c r="FC393" s="176" t="n"/>
      <c r="FD393" s="176" t="n"/>
      <c r="FE393" s="176" t="n"/>
      <c r="FF393" s="176" t="n"/>
      <c r="FG393" s="176" t="n"/>
      <c r="FH393" s="176" t="n"/>
      <c r="FI393" s="176" t="n"/>
      <c r="FJ393" s="176" t="n"/>
      <c r="FK393" s="176" t="n"/>
      <c r="FL393" s="176" t="n"/>
      <c r="FM393" s="176" t="n"/>
      <c r="FN393" s="176" t="n"/>
      <c r="FO393" s="176" t="n"/>
      <c r="FP393" s="176" t="n"/>
      <c r="FQ393" s="176" t="n"/>
      <c r="FR393" s="176" t="n"/>
      <c r="FS393" s="176" t="n"/>
      <c r="FT393" s="176" t="n"/>
      <c r="FU393" s="176" t="n"/>
      <c r="FV393" s="176" t="n"/>
      <c r="FW393" s="176" t="n"/>
      <c r="FX393" s="176" t="n"/>
      <c r="FY393" s="176" t="n"/>
      <c r="FZ393" s="176" t="n"/>
      <c r="GA393" s="176" t="n"/>
      <c r="GB393" s="176" t="n"/>
      <c r="GC393" s="176" t="n"/>
      <c r="GD393" s="176" t="n"/>
      <c r="GE393" s="176" t="n"/>
      <c r="GF393" s="176" t="n"/>
      <c r="GG393" s="176" t="n"/>
      <c r="GH393" s="176" t="n"/>
      <c r="GI393" s="176" t="n"/>
      <c r="GJ393" s="176" t="n"/>
      <c r="GK393" s="176" t="n"/>
      <c r="GL393" s="176" t="n"/>
      <c r="GM393" s="176" t="n"/>
      <c r="GN393" s="176" t="n"/>
      <c r="GO393" s="176" t="n"/>
      <c r="GP393" s="176" t="n"/>
      <c r="GQ393" s="176" t="n"/>
      <c r="GR393" s="176" t="n"/>
      <c r="GS393" s="176" t="n"/>
      <c r="GT393" s="176" t="n"/>
      <c r="GU393" s="176" t="n"/>
      <c r="GV393" s="176" t="n"/>
      <c r="GW393" s="176" t="n"/>
      <c r="GX393" s="176" t="n"/>
      <c r="GY393" s="176" t="n"/>
      <c r="GZ393" s="176" t="n"/>
      <c r="HA393" s="176" t="n"/>
      <c r="HB393" s="176" t="n"/>
      <c r="HC393" s="176" t="n"/>
      <c r="HD393" s="176" t="n"/>
      <c r="HE393" s="176" t="n"/>
      <c r="HF393" s="176" t="n"/>
      <c r="HG393" s="176" t="n"/>
      <c r="HH393" s="176" t="n"/>
      <c r="HI393" s="176" t="n"/>
      <c r="HJ393" s="176" t="n"/>
      <c r="HK393" s="176" t="n"/>
      <c r="HL393" s="176" t="n"/>
      <c r="HM393" s="176" t="n"/>
      <c r="HN393" s="176" t="n"/>
      <c r="HO393" s="176" t="n"/>
      <c r="HP393" s="176" t="n"/>
      <c r="HQ393" s="176" t="n"/>
      <c r="HR393" s="176" t="n"/>
      <c r="HS393" s="176" t="n"/>
      <c r="HT393" s="176" t="n"/>
      <c r="HU393" s="176" t="n"/>
      <c r="HV393" s="176" t="n"/>
      <c r="HW393" s="176" t="n"/>
      <c r="HX393" s="176" t="n"/>
      <c r="HY393" s="176" t="n"/>
      <c r="HZ393" s="176" t="n"/>
      <c r="IA393" s="176" t="n"/>
      <c r="IB393" s="176" t="n"/>
      <c r="IC393" s="176" t="n"/>
      <c r="ID393" s="176" t="n"/>
    </row>
    <row r="394" ht="18.75" customHeight="1">
      <c r="A394" s="176" t="n"/>
      <c r="B394" s="176" t="n"/>
      <c r="C394" s="176" t="n"/>
      <c r="D394" s="176" t="n"/>
      <c r="E394" s="176" t="n"/>
      <c r="F394" s="176" t="n"/>
      <c r="G394" s="176" t="n"/>
      <c r="H394" s="176" t="n"/>
      <c r="I394" s="176" t="n"/>
      <c r="J394" s="176" t="n"/>
      <c r="K394" s="176" t="n"/>
      <c r="L394" s="176" t="n"/>
      <c r="M394" s="176" t="n"/>
      <c r="N394" s="176" t="n"/>
      <c r="O394" s="176" t="n"/>
      <c r="P394" s="176" t="n"/>
      <c r="Q394" s="176" t="n"/>
      <c r="R394" s="176" t="n"/>
      <c r="S394" s="176" t="n"/>
      <c r="T394" s="176" t="n"/>
      <c r="U394" s="176" t="n"/>
      <c r="V394" s="176" t="n"/>
      <c r="W394" s="176" t="n"/>
      <c r="X394" s="176" t="n"/>
      <c r="Y394" s="176" t="n"/>
      <c r="Z394" s="176" t="n"/>
      <c r="AA394" s="176" t="n"/>
      <c r="AB394" s="176" t="n"/>
      <c r="AC394" s="176" t="n"/>
      <c r="AD394" s="176" t="n"/>
      <c r="AE394" s="176" t="n"/>
      <c r="AF394" s="176" t="n"/>
      <c r="AG394" s="176" t="n"/>
      <c r="AH394" s="176" t="n"/>
      <c r="AI394" s="176" t="n"/>
      <c r="AJ394" s="176" t="n"/>
      <c r="AK394" s="176" t="n"/>
      <c r="AL394" s="176" t="n"/>
      <c r="AM394" s="176" t="n"/>
      <c r="AN394" s="176" t="n"/>
      <c r="AO394" s="176" t="n"/>
      <c r="AP394" s="176" t="n"/>
      <c r="AQ394" s="176" t="n"/>
      <c r="AR394" s="176" t="n"/>
      <c r="AS394" s="176" t="n"/>
      <c r="AT394" s="176" t="n"/>
      <c r="AU394" s="176" t="n"/>
      <c r="AV394" s="176" t="n"/>
      <c r="AW394" s="176" t="n"/>
      <c r="AX394" s="176" t="n"/>
      <c r="AY394" s="176" t="n"/>
      <c r="AZ394" s="176" t="n"/>
      <c r="BA394" s="176" t="n"/>
      <c r="BB394" s="176" t="n"/>
      <c r="BC394" s="176" t="n"/>
      <c r="BD394" s="176" t="n"/>
      <c r="BE394" s="176" t="n"/>
      <c r="BF394" s="176" t="n"/>
      <c r="BG394" s="176" t="n"/>
      <c r="BH394" s="176" t="n"/>
      <c r="BI394" s="176" t="n"/>
      <c r="BJ394" s="176" t="n"/>
      <c r="BK394" s="176" t="n"/>
      <c r="BL394" s="176" t="n"/>
      <c r="BM394" s="176" t="n"/>
      <c r="BN394" s="176" t="n"/>
      <c r="BO394" s="176" t="n"/>
      <c r="BP394" s="176" t="n"/>
      <c r="BQ394" s="176" t="n"/>
      <c r="BR394" s="176" t="n"/>
      <c r="BS394" s="176" t="n"/>
      <c r="BT394" s="176" t="n"/>
      <c r="BU394" s="176" t="n"/>
      <c r="BV394" s="176" t="n"/>
      <c r="BW394" s="176" t="n"/>
      <c r="BX394" s="176" t="n"/>
      <c r="BY394" s="176" t="n"/>
      <c r="BZ394" s="176" t="n"/>
      <c r="CA394" s="176" t="n"/>
      <c r="CB394" s="176" t="n"/>
      <c r="CC394" s="176" t="n"/>
      <c r="CD394" s="176" t="n"/>
      <c r="CE394" s="176" t="n"/>
      <c r="CF394" s="176" t="n"/>
      <c r="CG394" s="176" t="n"/>
      <c r="CH394" s="176" t="n"/>
      <c r="CI394" s="176" t="n"/>
      <c r="CJ394" s="176" t="n"/>
      <c r="CK394" s="176" t="n"/>
      <c r="CL394" s="176" t="n"/>
      <c r="CM394" s="176" t="n"/>
      <c r="CN394" s="176" t="n"/>
      <c r="CO394" s="176" t="n"/>
      <c r="CP394" s="176" t="n"/>
      <c r="CQ394" s="176" t="n"/>
      <c r="CR394" s="176" t="n"/>
      <c r="CS394" s="176" t="n"/>
      <c r="CT394" s="176" t="n"/>
      <c r="CU394" s="176" t="n"/>
      <c r="CV394" s="176" t="n"/>
      <c r="CW394" s="176" t="n"/>
      <c r="CX394" s="176" t="n"/>
      <c r="CY394" s="176" t="n"/>
      <c r="CZ394" s="176" t="n"/>
      <c r="DA394" s="193" t="n"/>
      <c r="DF394" s="194" t="n"/>
      <c r="DG394" s="176" t="n"/>
      <c r="DH394" s="176" t="n"/>
      <c r="DI394" s="193" t="n"/>
      <c r="DN394" s="194" t="n"/>
      <c r="DO394" s="176" t="n"/>
      <c r="DP394" s="176" t="n"/>
      <c r="DQ394" s="176" t="n"/>
      <c r="DR394" s="176" t="n"/>
      <c r="DS394" s="176" t="n"/>
      <c r="DT394" s="176" t="n"/>
      <c r="DU394" s="176" t="n"/>
      <c r="DV394" s="176" t="n"/>
      <c r="DW394" s="176" t="n"/>
      <c r="DX394" s="176" t="n"/>
      <c r="DY394" s="176" t="n"/>
      <c r="DZ394" s="176" t="n"/>
      <c r="EA394" s="176" t="n"/>
      <c r="EB394" s="176" t="n"/>
      <c r="EC394" s="176" t="n"/>
      <c r="ED394" s="176" t="n"/>
      <c r="EE394" s="176" t="n"/>
      <c r="EF394" s="176" t="n"/>
      <c r="EG394" s="176" t="n"/>
      <c r="EH394" s="176" t="n"/>
      <c r="EI394" s="176" t="n"/>
      <c r="EJ394" s="176" t="n"/>
      <c r="EK394" s="176" t="n"/>
      <c r="EL394" s="176" t="n"/>
      <c r="EM394" s="176" t="n"/>
      <c r="EN394" s="176" t="n"/>
      <c r="EO394" s="176" t="n"/>
      <c r="EP394" s="176" t="n"/>
      <c r="EQ394" s="176" t="n"/>
      <c r="ER394" s="176" t="n"/>
      <c r="ES394" s="176" t="n"/>
      <c r="ET394" s="176" t="n"/>
      <c r="EU394" s="176" t="n"/>
      <c r="EV394" s="176" t="n"/>
      <c r="EW394" s="176" t="n"/>
      <c r="EX394" s="176" t="n"/>
      <c r="EY394" s="176" t="n"/>
      <c r="EZ394" s="176" t="n"/>
      <c r="FA394" s="176" t="n"/>
      <c r="FB394" s="176" t="n"/>
      <c r="FC394" s="176" t="n"/>
      <c r="FD394" s="176" t="n"/>
      <c r="FE394" s="176" t="n"/>
      <c r="FF394" s="176" t="n"/>
      <c r="FG394" s="176" t="n"/>
      <c r="FH394" s="176" t="n"/>
      <c r="FI394" s="176" t="n"/>
      <c r="FJ394" s="176" t="n"/>
      <c r="FK394" s="176" t="n"/>
      <c r="FL394" s="176" t="n"/>
      <c r="FM394" s="176" t="n"/>
      <c r="FN394" s="176" t="n"/>
      <c r="FO394" s="176" t="n"/>
      <c r="FP394" s="176" t="n"/>
      <c r="FQ394" s="176" t="n"/>
      <c r="FR394" s="176" t="n"/>
      <c r="FS394" s="176" t="n"/>
      <c r="FT394" s="176" t="n"/>
      <c r="FU394" s="176" t="n"/>
      <c r="FV394" s="176" t="n"/>
      <c r="FW394" s="176" t="n"/>
      <c r="FX394" s="176" t="n"/>
      <c r="FY394" s="176" t="n"/>
      <c r="FZ394" s="176" t="n"/>
      <c r="GA394" s="176" t="n"/>
      <c r="GB394" s="176" t="n"/>
      <c r="GC394" s="176" t="n"/>
      <c r="GD394" s="176" t="n"/>
      <c r="GE394" s="176" t="n"/>
      <c r="GF394" s="176" t="n"/>
      <c r="GG394" s="176" t="n"/>
      <c r="GH394" s="176" t="n"/>
      <c r="GI394" s="176" t="n"/>
      <c r="GJ394" s="176" t="n"/>
      <c r="GK394" s="176" t="n"/>
      <c r="GL394" s="176" t="n"/>
      <c r="GM394" s="176" t="n"/>
      <c r="GN394" s="176" t="n"/>
      <c r="GO394" s="176" t="n"/>
      <c r="GP394" s="176" t="n"/>
      <c r="GQ394" s="176" t="n"/>
      <c r="GR394" s="176" t="n"/>
      <c r="GS394" s="176" t="n"/>
      <c r="GT394" s="176" t="n"/>
      <c r="GU394" s="176" t="n"/>
      <c r="GV394" s="176" t="n"/>
      <c r="GW394" s="176" t="n"/>
      <c r="GX394" s="176" t="n"/>
      <c r="GY394" s="176" t="n"/>
      <c r="GZ394" s="176" t="n"/>
      <c r="HA394" s="176" t="n"/>
      <c r="HB394" s="176" t="n"/>
      <c r="HC394" s="176" t="n"/>
      <c r="HD394" s="176" t="n"/>
      <c r="HE394" s="176" t="n"/>
      <c r="HF394" s="176" t="n"/>
      <c r="HG394" s="176" t="n"/>
      <c r="HH394" s="176" t="n"/>
      <c r="HI394" s="176" t="n"/>
      <c r="HJ394" s="176" t="n"/>
      <c r="HK394" s="176" t="n"/>
      <c r="HL394" s="176" t="n"/>
      <c r="HM394" s="176" t="n"/>
      <c r="HN394" s="176" t="n"/>
      <c r="HO394" s="176" t="n"/>
      <c r="HP394" s="176" t="n"/>
      <c r="HQ394" s="176" t="n"/>
      <c r="HR394" s="176" t="n"/>
      <c r="HS394" s="176" t="n"/>
      <c r="HT394" s="176" t="n"/>
      <c r="HU394" s="176" t="n"/>
      <c r="HV394" s="176" t="n"/>
      <c r="HW394" s="176" t="n"/>
      <c r="HX394" s="176" t="n"/>
      <c r="HY394" s="176" t="n"/>
      <c r="HZ394" s="176" t="n"/>
      <c r="IA394" s="176" t="n"/>
      <c r="IB394" s="176" t="n"/>
      <c r="IC394" s="176" t="n"/>
      <c r="ID394" s="176" t="n"/>
    </row>
    <row r="395" ht="18.75" customHeight="1">
      <c r="A395" s="176" t="n"/>
      <c r="B395" s="176" t="n"/>
      <c r="C395" s="176" t="n"/>
      <c r="D395" s="176" t="n"/>
      <c r="E395" s="176" t="n"/>
      <c r="F395" s="176" t="n"/>
      <c r="G395" s="176" t="n"/>
      <c r="H395" s="176" t="n"/>
      <c r="I395" s="176" t="n"/>
      <c r="J395" s="176" t="n"/>
      <c r="K395" s="176" t="n"/>
      <c r="L395" s="176" t="n"/>
      <c r="M395" s="176" t="n"/>
      <c r="N395" s="176" t="n"/>
      <c r="O395" s="176" t="n"/>
      <c r="P395" s="176" t="n"/>
      <c r="Q395" s="176" t="n"/>
      <c r="R395" s="176" t="n"/>
      <c r="S395" s="176" t="n"/>
      <c r="T395" s="176" t="n"/>
      <c r="U395" s="176" t="n"/>
      <c r="V395" s="176" t="n"/>
      <c r="W395" s="176" t="n"/>
      <c r="X395" s="176" t="n"/>
      <c r="Y395" s="176" t="n"/>
      <c r="Z395" s="176" t="n"/>
      <c r="AA395" s="176" t="n"/>
      <c r="AB395" s="176" t="n"/>
      <c r="AC395" s="176" t="n"/>
      <c r="AD395" s="176" t="n"/>
      <c r="AE395" s="176" t="n"/>
      <c r="AF395" s="176" t="n"/>
      <c r="AG395" s="176" t="n"/>
      <c r="AH395" s="176" t="n"/>
      <c r="AI395" s="176" t="n"/>
      <c r="AJ395" s="176" t="n"/>
      <c r="AK395" s="176" t="n"/>
      <c r="AL395" s="176" t="n"/>
      <c r="AM395" s="176" t="n"/>
      <c r="AN395" s="176" t="n"/>
      <c r="AO395" s="176" t="n"/>
      <c r="AP395" s="176" t="n"/>
      <c r="AQ395" s="176" t="n"/>
      <c r="AR395" s="176" t="n"/>
      <c r="AS395" s="176" t="n"/>
      <c r="AT395" s="176" t="n"/>
      <c r="AU395" s="176" t="n"/>
      <c r="AV395" s="176" t="n"/>
      <c r="AW395" s="176" t="n"/>
      <c r="AX395" s="176" t="n"/>
      <c r="AY395" s="176" t="n"/>
      <c r="AZ395" s="176" t="n"/>
      <c r="BA395" s="176" t="n"/>
      <c r="BB395" s="176" t="n"/>
      <c r="BC395" s="176" t="n"/>
      <c r="BD395" s="176" t="n"/>
      <c r="BE395" s="176" t="n"/>
      <c r="BF395" s="176" t="n"/>
      <c r="BG395" s="176" t="n"/>
      <c r="BH395" s="176" t="n"/>
      <c r="BI395" s="176" t="n"/>
      <c r="BJ395" s="176" t="n"/>
      <c r="BK395" s="176" t="n"/>
      <c r="BL395" s="176" t="n"/>
      <c r="BM395" s="176" t="n"/>
      <c r="BN395" s="176" t="n"/>
      <c r="BO395" s="176" t="n"/>
      <c r="BP395" s="176" t="n"/>
      <c r="BQ395" s="176" t="n"/>
      <c r="BR395" s="176" t="n"/>
      <c r="BS395" s="176" t="n"/>
      <c r="BT395" s="176" t="n"/>
      <c r="BU395" s="176" t="n"/>
      <c r="BV395" s="176" t="n"/>
      <c r="BW395" s="176" t="n"/>
      <c r="BX395" s="176" t="n"/>
      <c r="BY395" s="176" t="n"/>
      <c r="BZ395" s="176" t="n"/>
      <c r="CA395" s="176" t="n"/>
      <c r="CB395" s="176" t="n"/>
      <c r="CC395" s="176" t="n"/>
      <c r="CD395" s="176" t="n"/>
      <c r="CE395" s="176" t="n"/>
      <c r="CF395" s="176" t="n"/>
      <c r="CG395" s="176" t="n"/>
      <c r="CH395" s="176" t="n"/>
      <c r="CI395" s="176" t="n"/>
      <c r="CJ395" s="176" t="n"/>
      <c r="CK395" s="176" t="n"/>
      <c r="CL395" s="176" t="n"/>
      <c r="CM395" s="176" t="n"/>
      <c r="CN395" s="176" t="n"/>
      <c r="CO395" s="176" t="n"/>
      <c r="CP395" s="176" t="n"/>
      <c r="CQ395" s="176" t="n"/>
      <c r="CR395" s="176" t="n"/>
      <c r="CS395" s="176" t="n"/>
      <c r="CT395" s="176" t="n"/>
      <c r="CU395" s="176" t="n"/>
      <c r="CV395" s="176" t="n"/>
      <c r="CW395" s="176" t="n"/>
      <c r="CX395" s="176" t="n"/>
      <c r="CY395" s="176" t="n"/>
      <c r="CZ395" s="176" t="n"/>
      <c r="DA395" s="193" t="n"/>
      <c r="DF395" s="194" t="n"/>
      <c r="DG395" s="176" t="n"/>
      <c r="DH395" s="176" t="n"/>
      <c r="DI395" s="193" t="n"/>
      <c r="DN395" s="194" t="n"/>
      <c r="DO395" s="176" t="n"/>
      <c r="DP395" s="176" t="n"/>
      <c r="DQ395" s="176" t="n"/>
      <c r="DR395" s="176" t="n"/>
      <c r="DS395" s="176" t="n"/>
      <c r="DT395" s="176" t="n"/>
      <c r="DU395" s="176" t="n"/>
      <c r="DV395" s="176" t="n"/>
      <c r="DW395" s="176" t="n"/>
      <c r="DX395" s="176" t="n"/>
      <c r="DY395" s="176" t="n"/>
      <c r="DZ395" s="176" t="n"/>
      <c r="EA395" s="176" t="n"/>
      <c r="EB395" s="176" t="n"/>
      <c r="EC395" s="176" t="n"/>
      <c r="ED395" s="176" t="n"/>
      <c r="EE395" s="176" t="n"/>
      <c r="EF395" s="176" t="n"/>
      <c r="EG395" s="176" t="n"/>
      <c r="EH395" s="176" t="n"/>
      <c r="EI395" s="176" t="n"/>
      <c r="EJ395" s="176" t="n"/>
      <c r="EK395" s="176" t="n"/>
      <c r="EL395" s="176" t="n"/>
      <c r="EM395" s="176" t="n"/>
      <c r="EN395" s="176" t="n"/>
      <c r="EO395" s="176" t="n"/>
      <c r="EP395" s="176" t="n"/>
      <c r="EQ395" s="176" t="n"/>
      <c r="ER395" s="176" t="n"/>
      <c r="ES395" s="176" t="n"/>
      <c r="ET395" s="176" t="n"/>
      <c r="EU395" s="176" t="n"/>
      <c r="EV395" s="176" t="n"/>
      <c r="EW395" s="176" t="n"/>
      <c r="EX395" s="176" t="n"/>
      <c r="EY395" s="176" t="n"/>
      <c r="EZ395" s="176" t="n"/>
      <c r="FA395" s="176" t="n"/>
      <c r="FB395" s="176" t="n"/>
      <c r="FC395" s="176" t="n"/>
      <c r="FD395" s="176" t="n"/>
      <c r="FE395" s="176" t="n"/>
      <c r="FF395" s="176" t="n"/>
      <c r="FG395" s="176" t="n"/>
      <c r="FH395" s="176" t="n"/>
      <c r="FI395" s="176" t="n"/>
      <c r="FJ395" s="176" t="n"/>
      <c r="FK395" s="176" t="n"/>
      <c r="FL395" s="176" t="n"/>
      <c r="FM395" s="176" t="n"/>
      <c r="FN395" s="176" t="n"/>
      <c r="FO395" s="176" t="n"/>
      <c r="FP395" s="176" t="n"/>
      <c r="FQ395" s="176" t="n"/>
      <c r="FR395" s="176" t="n"/>
      <c r="FS395" s="176" t="n"/>
      <c r="FT395" s="176" t="n"/>
      <c r="FU395" s="176" t="n"/>
      <c r="FV395" s="176" t="n"/>
      <c r="FW395" s="176" t="n"/>
      <c r="FX395" s="176" t="n"/>
      <c r="FY395" s="176" t="n"/>
      <c r="FZ395" s="176" t="n"/>
      <c r="GA395" s="176" t="n"/>
      <c r="GB395" s="176" t="n"/>
      <c r="GC395" s="176" t="n"/>
      <c r="GD395" s="176" t="n"/>
      <c r="GE395" s="176" t="n"/>
      <c r="GF395" s="176" t="n"/>
      <c r="GG395" s="176" t="n"/>
      <c r="GH395" s="176" t="n"/>
      <c r="GI395" s="176" t="n"/>
      <c r="GJ395" s="176" t="n"/>
      <c r="GK395" s="176" t="n"/>
      <c r="GL395" s="176" t="n"/>
      <c r="GM395" s="176" t="n"/>
      <c r="GN395" s="176" t="n"/>
      <c r="GO395" s="176" t="n"/>
      <c r="GP395" s="176" t="n"/>
      <c r="GQ395" s="176" t="n"/>
      <c r="GR395" s="176" t="n"/>
      <c r="GS395" s="176" t="n"/>
      <c r="GT395" s="176" t="n"/>
      <c r="GU395" s="176" t="n"/>
      <c r="GV395" s="176" t="n"/>
      <c r="GW395" s="176" t="n"/>
      <c r="GX395" s="176" t="n"/>
      <c r="GY395" s="176" t="n"/>
      <c r="GZ395" s="176" t="n"/>
      <c r="HA395" s="176" t="n"/>
      <c r="HB395" s="176" t="n"/>
      <c r="HC395" s="176" t="n"/>
      <c r="HD395" s="176" t="n"/>
      <c r="HE395" s="176" t="n"/>
      <c r="HF395" s="176" t="n"/>
      <c r="HG395" s="176" t="n"/>
      <c r="HH395" s="176" t="n"/>
      <c r="HI395" s="176" t="n"/>
      <c r="HJ395" s="176" t="n"/>
      <c r="HK395" s="176" t="n"/>
      <c r="HL395" s="176" t="n"/>
      <c r="HM395" s="176" t="n"/>
      <c r="HN395" s="176" t="n"/>
      <c r="HO395" s="176" t="n"/>
      <c r="HP395" s="176" t="n"/>
      <c r="HQ395" s="176" t="n"/>
      <c r="HR395" s="176" t="n"/>
      <c r="HS395" s="176" t="n"/>
      <c r="HT395" s="176" t="n"/>
      <c r="HU395" s="176" t="n"/>
      <c r="HV395" s="176" t="n"/>
      <c r="HW395" s="176" t="n"/>
      <c r="HX395" s="176" t="n"/>
      <c r="HY395" s="176" t="n"/>
      <c r="HZ395" s="176" t="n"/>
      <c r="IA395" s="176" t="n"/>
      <c r="IB395" s="176" t="n"/>
      <c r="IC395" s="176" t="n"/>
      <c r="ID395" s="176" t="n"/>
    </row>
    <row r="396" ht="18.75" customHeight="1">
      <c r="A396" s="176" t="n"/>
      <c r="B396" s="176" t="n"/>
      <c r="C396" s="176" t="n"/>
      <c r="D396" s="176" t="n"/>
      <c r="E396" s="176" t="n"/>
      <c r="F396" s="176" t="n"/>
      <c r="G396" s="176" t="n"/>
      <c r="H396" s="176" t="n"/>
      <c r="I396" s="176" t="n"/>
      <c r="J396" s="176" t="n"/>
      <c r="K396" s="176" t="n"/>
      <c r="L396" s="176" t="n"/>
      <c r="M396" s="176" t="n"/>
      <c r="N396" s="176" t="n"/>
      <c r="O396" s="176" t="n"/>
      <c r="P396" s="176" t="n"/>
      <c r="Q396" s="176" t="n"/>
      <c r="R396" s="176" t="n"/>
      <c r="S396" s="176" t="n"/>
      <c r="T396" s="176" t="n"/>
      <c r="U396" s="176" t="n"/>
      <c r="V396" s="176" t="n"/>
      <c r="W396" s="176" t="n"/>
      <c r="X396" s="176" t="n"/>
      <c r="Y396" s="176" t="n"/>
      <c r="Z396" s="176" t="n"/>
      <c r="AA396" s="176" t="n"/>
      <c r="AB396" s="176" t="n"/>
      <c r="AC396" s="176" t="n"/>
      <c r="AD396" s="176" t="n"/>
      <c r="AE396" s="176" t="n"/>
      <c r="AF396" s="176" t="n"/>
      <c r="AG396" s="176" t="n"/>
      <c r="AH396" s="176" t="n"/>
      <c r="AI396" s="176" t="n"/>
      <c r="AJ396" s="176" t="n"/>
      <c r="AK396" s="176" t="n"/>
      <c r="AL396" s="176" t="n"/>
      <c r="AM396" s="176" t="n"/>
      <c r="AN396" s="176" t="n"/>
      <c r="AO396" s="176" t="n"/>
      <c r="AP396" s="176" t="n"/>
      <c r="AQ396" s="176" t="n"/>
      <c r="AR396" s="176" t="n"/>
      <c r="AS396" s="176" t="n"/>
      <c r="AT396" s="176" t="n"/>
      <c r="AU396" s="176" t="n"/>
      <c r="AV396" s="176" t="n"/>
      <c r="AW396" s="176" t="n"/>
      <c r="AX396" s="176" t="n"/>
      <c r="AY396" s="176" t="n"/>
      <c r="AZ396" s="176" t="n"/>
      <c r="BA396" s="176" t="n"/>
      <c r="BB396" s="176" t="n"/>
      <c r="BC396" s="176" t="n"/>
      <c r="BD396" s="176" t="n"/>
      <c r="BE396" s="176" t="n"/>
      <c r="BF396" s="176" t="n"/>
      <c r="BG396" s="176" t="n"/>
      <c r="BH396" s="176" t="n"/>
      <c r="BI396" s="176" t="n"/>
      <c r="BJ396" s="176" t="n"/>
      <c r="BK396" s="176" t="n"/>
      <c r="BL396" s="176" t="n"/>
      <c r="BM396" s="176" t="n"/>
      <c r="BN396" s="176" t="n"/>
      <c r="BO396" s="176" t="n"/>
      <c r="BP396" s="176" t="n"/>
      <c r="BQ396" s="176" t="n"/>
      <c r="BR396" s="176" t="n"/>
      <c r="BS396" s="176" t="n"/>
      <c r="BT396" s="176" t="n"/>
      <c r="BU396" s="176" t="n"/>
      <c r="BV396" s="176" t="n"/>
      <c r="BW396" s="176" t="n"/>
      <c r="BX396" s="176" t="n"/>
      <c r="BY396" s="176" t="n"/>
      <c r="BZ396" s="176" t="n"/>
      <c r="CA396" s="176" t="n"/>
      <c r="CB396" s="176" t="n"/>
      <c r="CC396" s="176" t="n"/>
      <c r="CD396" s="176" t="n"/>
      <c r="CE396" s="176" t="n"/>
      <c r="CF396" s="176" t="n"/>
      <c r="CG396" s="176" t="n"/>
      <c r="CH396" s="176" t="n"/>
      <c r="CI396" s="176" t="n"/>
      <c r="CJ396" s="176" t="n"/>
      <c r="CK396" s="176" t="n"/>
      <c r="CL396" s="176" t="n"/>
      <c r="CM396" s="176" t="n"/>
      <c r="CN396" s="176" t="n"/>
      <c r="CO396" s="176" t="n"/>
      <c r="CP396" s="176" t="n"/>
      <c r="CQ396" s="176" t="n"/>
      <c r="CR396" s="176" t="n"/>
      <c r="CS396" s="176" t="n"/>
      <c r="CT396" s="176" t="n"/>
      <c r="CU396" s="176" t="n"/>
      <c r="CV396" s="176" t="n"/>
      <c r="CW396" s="176" t="n"/>
      <c r="CX396" s="176" t="n"/>
      <c r="CY396" s="176" t="n"/>
      <c r="CZ396" s="176" t="n"/>
      <c r="DA396" s="189" t="n"/>
      <c r="DB396" s="190" t="n"/>
      <c r="DC396" s="190" t="n"/>
      <c r="DD396" s="190" t="n"/>
      <c r="DE396" s="190" t="n"/>
      <c r="DF396" s="191" t="n"/>
      <c r="DG396" s="176" t="n"/>
      <c r="DH396" s="176" t="n"/>
      <c r="DI396" s="189" t="n"/>
      <c r="DJ396" s="190" t="n"/>
      <c r="DK396" s="190" t="n"/>
      <c r="DL396" s="190" t="n"/>
      <c r="DM396" s="190" t="n"/>
      <c r="DN396" s="191" t="n"/>
      <c r="DO396" s="176" t="n"/>
      <c r="DP396" s="176" t="n"/>
      <c r="DQ396" s="176" t="n"/>
      <c r="DR396" s="176" t="n"/>
      <c r="DS396" s="176" t="n"/>
      <c r="DT396" s="176" t="n"/>
      <c r="DU396" s="176" t="n"/>
      <c r="DV396" s="176" t="n"/>
      <c r="DW396" s="176" t="n"/>
      <c r="DX396" s="176" t="n"/>
      <c r="DY396" s="176" t="n"/>
      <c r="DZ396" s="176" t="n"/>
      <c r="EA396" s="176" t="n"/>
      <c r="EB396" s="176" t="n"/>
      <c r="EC396" s="176" t="n"/>
      <c r="ED396" s="176" t="n"/>
      <c r="EE396" s="176" t="n"/>
      <c r="EF396" s="176" t="n"/>
      <c r="EG396" s="176" t="n"/>
      <c r="EH396" s="176" t="n"/>
      <c r="EI396" s="176" t="n"/>
      <c r="EJ396" s="176" t="n"/>
      <c r="EK396" s="176" t="n"/>
      <c r="EL396" s="176" t="n"/>
      <c r="EM396" s="176" t="n"/>
      <c r="EN396" s="176" t="n"/>
      <c r="EO396" s="176" t="n"/>
      <c r="EP396" s="176" t="n"/>
      <c r="EQ396" s="176" t="n"/>
      <c r="ER396" s="176" t="n"/>
      <c r="ES396" s="176" t="n"/>
      <c r="ET396" s="176" t="n"/>
      <c r="EU396" s="176" t="n"/>
      <c r="EV396" s="176" t="n"/>
      <c r="EW396" s="176" t="n"/>
      <c r="EX396" s="176" t="n"/>
      <c r="EY396" s="176" t="n"/>
      <c r="EZ396" s="176" t="n"/>
      <c r="FA396" s="176" t="n"/>
      <c r="FB396" s="176" t="n"/>
      <c r="FC396" s="176" t="n"/>
      <c r="FD396" s="176" t="n"/>
      <c r="FE396" s="176" t="n"/>
      <c r="FF396" s="176" t="n"/>
      <c r="FG396" s="176" t="n"/>
      <c r="FH396" s="176" t="n"/>
      <c r="FI396" s="176" t="n"/>
      <c r="FJ396" s="176" t="n"/>
      <c r="FK396" s="176" t="n"/>
      <c r="FL396" s="176" t="n"/>
      <c r="FM396" s="176" t="n"/>
      <c r="FN396" s="176" t="n"/>
      <c r="FO396" s="176" t="n"/>
      <c r="FP396" s="176" t="n"/>
      <c r="FQ396" s="176" t="n"/>
      <c r="FR396" s="176" t="n"/>
      <c r="FS396" s="176" t="n"/>
      <c r="FT396" s="176" t="n"/>
      <c r="FU396" s="176" t="n"/>
      <c r="FV396" s="176" t="n"/>
      <c r="FW396" s="176" t="n"/>
      <c r="FX396" s="176" t="n"/>
      <c r="FY396" s="176" t="n"/>
      <c r="FZ396" s="176" t="n"/>
      <c r="GA396" s="176" t="n"/>
      <c r="GB396" s="176" t="n"/>
      <c r="GC396" s="176" t="n"/>
      <c r="GD396" s="176" t="n"/>
      <c r="GE396" s="176" t="n"/>
      <c r="GF396" s="176" t="n"/>
      <c r="GG396" s="176" t="n"/>
      <c r="GH396" s="176" t="n"/>
      <c r="GI396" s="176" t="n"/>
      <c r="GJ396" s="176" t="n"/>
      <c r="GK396" s="176" t="n"/>
      <c r="GL396" s="176" t="n"/>
      <c r="GM396" s="176" t="n"/>
      <c r="GN396" s="176" t="n"/>
      <c r="GO396" s="176" t="n"/>
      <c r="GP396" s="176" t="n"/>
      <c r="GQ396" s="176" t="n"/>
      <c r="GR396" s="176" t="n"/>
      <c r="GS396" s="176" t="n"/>
      <c r="GT396" s="176" t="n"/>
      <c r="GU396" s="176" t="n"/>
      <c r="GV396" s="176" t="n"/>
      <c r="GW396" s="176" t="n"/>
      <c r="GX396" s="176" t="n"/>
      <c r="GY396" s="176" t="n"/>
      <c r="GZ396" s="176" t="n"/>
      <c r="HA396" s="176" t="n"/>
      <c r="HB396" s="176" t="n"/>
      <c r="HC396" s="176" t="n"/>
      <c r="HD396" s="176" t="n"/>
      <c r="HE396" s="176" t="n"/>
      <c r="HF396" s="176" t="n"/>
      <c r="HG396" s="176" t="n"/>
      <c r="HH396" s="176" t="n"/>
      <c r="HI396" s="176" t="n"/>
      <c r="HJ396" s="176" t="n"/>
      <c r="HK396" s="176" t="n"/>
      <c r="HL396" s="176" t="n"/>
      <c r="HM396" s="176" t="n"/>
      <c r="HN396" s="176" t="n"/>
      <c r="HO396" s="176" t="n"/>
      <c r="HP396" s="176" t="n"/>
      <c r="HQ396" s="176" t="n"/>
      <c r="HR396" s="176" t="n"/>
      <c r="HS396" s="176" t="n"/>
      <c r="HT396" s="176" t="n"/>
      <c r="HU396" s="176" t="n"/>
      <c r="HV396" s="176" t="n"/>
      <c r="HW396" s="176" t="n"/>
      <c r="HX396" s="176" t="n"/>
      <c r="HY396" s="176" t="n"/>
      <c r="HZ396" s="176" t="n"/>
      <c r="IA396" s="176" t="n"/>
      <c r="IB396" s="176" t="n"/>
      <c r="IC396" s="176" t="n"/>
      <c r="ID396" s="176" t="n"/>
    </row>
    <row r="397" ht="18.75" customHeight="1">
      <c r="A397" s="176" t="n"/>
      <c r="B397" s="176" t="n"/>
      <c r="C397" s="176" t="n"/>
      <c r="D397" s="176" t="n"/>
      <c r="E397" s="176" t="n"/>
      <c r="F397" s="176" t="n"/>
      <c r="G397" s="176" t="n"/>
      <c r="H397" s="176" t="n"/>
      <c r="I397" s="176" t="n"/>
      <c r="J397" s="176" t="n"/>
      <c r="K397" s="176" t="n"/>
      <c r="L397" s="176" t="n"/>
      <c r="M397" s="176" t="n"/>
      <c r="N397" s="176" t="n"/>
      <c r="O397" s="176" t="n"/>
      <c r="P397" s="176" t="n"/>
      <c r="Q397" s="176" t="n"/>
      <c r="R397" s="176" t="n"/>
      <c r="S397" s="176" t="n"/>
      <c r="T397" s="176" t="n"/>
      <c r="U397" s="176" t="n"/>
      <c r="V397" s="176" t="n"/>
      <c r="W397" s="176" t="n"/>
      <c r="X397" s="176" t="n"/>
      <c r="Y397" s="176" t="n"/>
      <c r="Z397" s="176" t="n"/>
      <c r="AA397" s="176" t="n"/>
      <c r="AB397" s="176" t="n"/>
      <c r="AC397" s="176" t="n"/>
      <c r="AD397" s="176" t="n"/>
      <c r="AE397" s="176" t="n"/>
      <c r="AF397" s="176" t="n"/>
      <c r="AG397" s="176" t="n"/>
      <c r="AH397" s="176" t="n"/>
      <c r="AI397" s="176" t="n"/>
      <c r="AJ397" s="176" t="n"/>
      <c r="AK397" s="176" t="n"/>
      <c r="AL397" s="176" t="n"/>
      <c r="AM397" s="176" t="n"/>
      <c r="AN397" s="176" t="n"/>
      <c r="AO397" s="176" t="n"/>
      <c r="AP397" s="176" t="n"/>
      <c r="AQ397" s="176" t="n"/>
      <c r="AR397" s="176" t="n"/>
      <c r="AS397" s="176" t="n"/>
      <c r="AT397" s="176" t="n"/>
      <c r="AU397" s="176" t="n"/>
      <c r="AV397" s="176" t="n"/>
      <c r="AW397" s="176" t="n"/>
      <c r="AX397" s="176" t="n"/>
      <c r="AY397" s="176" t="n"/>
      <c r="AZ397" s="176" t="n"/>
      <c r="BA397" s="176" t="n"/>
      <c r="BB397" s="176" t="n"/>
      <c r="BC397" s="176" t="n"/>
      <c r="BD397" s="176" t="n"/>
      <c r="BE397" s="176" t="n"/>
      <c r="BF397" s="176" t="n"/>
      <c r="BG397" s="176" t="n"/>
      <c r="BH397" s="176" t="n"/>
      <c r="BI397" s="176" t="n"/>
      <c r="BJ397" s="176" t="n"/>
      <c r="BK397" s="176" t="n"/>
      <c r="BL397" s="176" t="n"/>
      <c r="BM397" s="176" t="n"/>
      <c r="BN397" s="176" t="n"/>
      <c r="BO397" s="176" t="n"/>
      <c r="BP397" s="176" t="n"/>
      <c r="BQ397" s="176" t="n"/>
      <c r="BR397" s="176" t="n"/>
      <c r="BS397" s="176" t="n"/>
      <c r="BT397" s="176" t="n"/>
      <c r="BU397" s="176" t="n"/>
      <c r="BV397" s="176" t="n"/>
      <c r="BW397" s="176" t="n"/>
      <c r="BX397" s="176" t="n"/>
      <c r="BY397" s="176" t="n"/>
      <c r="BZ397" s="176" t="n"/>
      <c r="CA397" s="176" t="n"/>
      <c r="CB397" s="176" t="n"/>
      <c r="CC397" s="176" t="n"/>
      <c r="CD397" s="176" t="n"/>
      <c r="CE397" s="176" t="n"/>
      <c r="CF397" s="176" t="n"/>
      <c r="CG397" s="176" t="n"/>
      <c r="CH397" s="176" t="n"/>
      <c r="CI397" s="176" t="n"/>
      <c r="CJ397" s="176" t="n"/>
      <c r="CK397" s="176" t="n"/>
      <c r="CL397" s="176" t="n"/>
      <c r="CM397" s="176" t="n"/>
      <c r="CN397" s="176" t="n"/>
      <c r="CO397" s="176" t="n"/>
      <c r="CP397" s="176" t="n"/>
      <c r="CQ397" s="176" t="n"/>
      <c r="CR397" s="176" t="n"/>
      <c r="CS397" s="176" t="n"/>
      <c r="CT397" s="176" t="n"/>
      <c r="CU397" s="176" t="n"/>
      <c r="CV397" s="176" t="n"/>
      <c r="CW397" s="176" t="n"/>
      <c r="CX397" s="176" t="n"/>
      <c r="CY397" s="176" t="n"/>
      <c r="CZ397" s="176" t="n"/>
      <c r="DA397" s="176" t="n"/>
      <c r="DB397" s="176" t="n"/>
      <c r="DC397" s="176" t="n"/>
      <c r="DD397" s="176" t="n"/>
      <c r="DE397" s="176" t="n"/>
      <c r="DF397" s="176" t="n"/>
      <c r="DG397" s="176" t="n"/>
      <c r="DH397" s="176" t="n"/>
      <c r="DI397" s="176" t="n"/>
      <c r="DJ397" s="176" t="n"/>
      <c r="DK397" s="176" t="n"/>
      <c r="DL397" s="176" t="n"/>
      <c r="DM397" s="176" t="n"/>
      <c r="DN397" s="176" t="n"/>
      <c r="DO397" s="176" t="n"/>
      <c r="DP397" s="176" t="n"/>
      <c r="DQ397" s="176" t="n"/>
      <c r="DR397" s="176" t="n"/>
      <c r="DS397" s="176" t="n"/>
      <c r="DT397" s="176" t="n"/>
      <c r="DU397" s="176" t="n"/>
      <c r="DV397" s="176" t="n"/>
      <c r="DW397" s="176" t="n"/>
      <c r="DX397" s="176" t="n"/>
      <c r="DY397" s="176" t="n"/>
      <c r="DZ397" s="176" t="n"/>
      <c r="EA397" s="176" t="n"/>
      <c r="EB397" s="176" t="n"/>
      <c r="EC397" s="176" t="n"/>
      <c r="ED397" s="176" t="n"/>
      <c r="EE397" s="176" t="n"/>
      <c r="EF397" s="176" t="n"/>
      <c r="EG397" s="176" t="n"/>
      <c r="EH397" s="176" t="n"/>
      <c r="EI397" s="176" t="n"/>
      <c r="EJ397" s="176" t="n"/>
      <c r="EK397" s="176" t="n"/>
      <c r="EL397" s="176" t="n"/>
      <c r="EM397" s="176" t="n"/>
      <c r="EN397" s="176" t="n"/>
      <c r="EO397" s="176" t="n"/>
      <c r="EP397" s="176" t="n"/>
      <c r="EQ397" s="176" t="n"/>
      <c r="ER397" s="176" t="n"/>
      <c r="ES397" s="176" t="n"/>
      <c r="ET397" s="176" t="n"/>
      <c r="EU397" s="176" t="n"/>
      <c r="EV397" s="176" t="n"/>
      <c r="EW397" s="176" t="n"/>
      <c r="EX397" s="176" t="n"/>
      <c r="EY397" s="176" t="n"/>
      <c r="EZ397" s="176" t="n"/>
      <c r="FA397" s="176" t="n"/>
      <c r="FB397" s="176" t="n"/>
      <c r="FC397" s="176" t="n"/>
      <c r="FD397" s="176" t="n"/>
      <c r="FE397" s="176" t="n"/>
      <c r="FF397" s="176" t="n"/>
      <c r="FG397" s="176" t="n"/>
      <c r="FH397" s="176" t="n"/>
      <c r="FI397" s="176" t="n"/>
      <c r="FJ397" s="176" t="n"/>
      <c r="FK397" s="176" t="n"/>
      <c r="FL397" s="176" t="n"/>
      <c r="FM397" s="176" t="n"/>
      <c r="FN397" s="176" t="n"/>
      <c r="FO397" s="176" t="n"/>
      <c r="FP397" s="176" t="n"/>
      <c r="FQ397" s="176" t="n"/>
      <c r="FR397" s="176" t="n"/>
      <c r="FS397" s="176" t="n"/>
      <c r="FT397" s="176" t="n"/>
      <c r="FU397" s="176" t="n"/>
      <c r="FV397" s="176" t="n"/>
      <c r="FW397" s="176" t="n"/>
      <c r="FX397" s="176" t="n"/>
      <c r="FY397" s="176" t="n"/>
      <c r="FZ397" s="176" t="n"/>
      <c r="GA397" s="176" t="n"/>
      <c r="GB397" s="176" t="n"/>
      <c r="GC397" s="176" t="n"/>
      <c r="GD397" s="176" t="n"/>
      <c r="GE397" s="176" t="n"/>
      <c r="GF397" s="176" t="n"/>
      <c r="GG397" s="176" t="n"/>
      <c r="GH397" s="176" t="n"/>
      <c r="GI397" s="176" t="n"/>
      <c r="GJ397" s="176" t="n"/>
      <c r="GK397" s="176" t="n"/>
      <c r="GL397" s="176" t="n"/>
      <c r="GM397" s="176" t="n"/>
      <c r="GN397" s="176" t="n"/>
      <c r="GO397" s="176" t="n"/>
      <c r="GP397" s="176" t="n"/>
      <c r="GQ397" s="176" t="n"/>
      <c r="GR397" s="176" t="n"/>
      <c r="GS397" s="176" t="n"/>
      <c r="GT397" s="176" t="n"/>
      <c r="GU397" s="176" t="n"/>
      <c r="GV397" s="176" t="n"/>
      <c r="GW397" s="176" t="n"/>
      <c r="GX397" s="176" t="n"/>
      <c r="GY397" s="176" t="n"/>
      <c r="GZ397" s="176" t="n"/>
      <c r="HA397" s="176" t="n"/>
      <c r="HB397" s="176" t="n"/>
      <c r="HC397" s="176" t="n"/>
      <c r="HD397" s="176" t="n"/>
      <c r="HE397" s="176" t="n"/>
      <c r="HF397" s="176" t="n"/>
      <c r="HG397" s="176" t="n"/>
      <c r="HH397" s="176" t="n"/>
      <c r="HI397" s="176" t="n"/>
      <c r="HJ397" s="176" t="n"/>
      <c r="HK397" s="176" t="n"/>
      <c r="HL397" s="176" t="n"/>
      <c r="HM397" s="176" t="n"/>
      <c r="HN397" s="176" t="n"/>
      <c r="HO397" s="176" t="n"/>
      <c r="HP397" s="176" t="n"/>
      <c r="HQ397" s="176" t="n"/>
      <c r="HR397" s="176" t="n"/>
      <c r="HS397" s="176" t="n"/>
      <c r="HT397" s="176" t="n"/>
      <c r="HU397" s="176" t="n"/>
      <c r="HV397" s="176" t="n"/>
      <c r="HW397" s="176" t="n"/>
      <c r="HX397" s="176" t="n"/>
      <c r="HY397" s="176" t="n"/>
      <c r="HZ397" s="176" t="n"/>
      <c r="IA397" s="176" t="n"/>
      <c r="IB397" s="176" t="n"/>
      <c r="IC397" s="176" t="n"/>
      <c r="ID397" s="176" t="n"/>
    </row>
    <row r="398" ht="18.75" customHeight="1">
      <c r="A398" s="176" t="n"/>
      <c r="B398" s="176" t="n"/>
      <c r="C398" s="176" t="n"/>
      <c r="D398" s="176" t="n"/>
      <c r="E398" s="176" t="n"/>
      <c r="F398" s="176" t="n"/>
      <c r="G398" s="176" t="n"/>
      <c r="H398" s="176" t="n"/>
      <c r="I398" s="176" t="n"/>
      <c r="J398" s="176" t="n"/>
      <c r="K398" s="176" t="n"/>
      <c r="L398" s="176" t="n"/>
      <c r="M398" s="176" t="n"/>
      <c r="N398" s="176" t="n"/>
      <c r="O398" s="176" t="n"/>
      <c r="P398" s="176" t="n"/>
      <c r="Q398" s="176" t="n"/>
      <c r="R398" s="176" t="n"/>
      <c r="S398" s="176" t="n"/>
      <c r="T398" s="176" t="n"/>
      <c r="U398" s="176" t="n"/>
      <c r="V398" s="176" t="n"/>
      <c r="W398" s="176" t="n"/>
      <c r="X398" s="176" t="n"/>
      <c r="Y398" s="176" t="n"/>
      <c r="Z398" s="176" t="n"/>
      <c r="AA398" s="176" t="n"/>
      <c r="AB398" s="176" t="n"/>
      <c r="AC398" s="176" t="n"/>
      <c r="AD398" s="176" t="n"/>
      <c r="AE398" s="176" t="n"/>
      <c r="AF398" s="176" t="n"/>
      <c r="AG398" s="176" t="n"/>
      <c r="AH398" s="176" t="n"/>
      <c r="AI398" s="176" t="n"/>
      <c r="AJ398" s="176" t="n"/>
      <c r="AK398" s="176" t="n"/>
      <c r="AL398" s="176" t="n"/>
      <c r="AM398" s="176" t="n"/>
      <c r="AN398" s="176" t="n"/>
      <c r="AO398" s="176" t="n"/>
      <c r="AP398" s="176" t="n"/>
      <c r="AQ398" s="176" t="n"/>
      <c r="AR398" s="176" t="n"/>
      <c r="AS398" s="176" t="n"/>
      <c r="AT398" s="176" t="n"/>
      <c r="AU398" s="176" t="n"/>
      <c r="AV398" s="176" t="n"/>
      <c r="AW398" s="176" t="n"/>
      <c r="AX398" s="176" t="n"/>
      <c r="AY398" s="176" t="n"/>
      <c r="AZ398" s="176" t="n"/>
      <c r="BA398" s="176" t="n"/>
      <c r="BB398" s="176" t="n"/>
      <c r="BC398" s="176" t="n"/>
      <c r="BD398" s="176" t="n"/>
      <c r="BE398" s="176" t="n"/>
      <c r="BF398" s="176" t="n"/>
      <c r="BG398" s="176" t="n"/>
      <c r="BH398" s="176" t="n"/>
      <c r="BI398" s="176" t="n"/>
      <c r="BJ398" s="176" t="n"/>
      <c r="BK398" s="176" t="n"/>
      <c r="BL398" s="176" t="n"/>
      <c r="BM398" s="176" t="n"/>
      <c r="BN398" s="176" t="n"/>
      <c r="BO398" s="176" t="n"/>
      <c r="BP398" s="176" t="n"/>
      <c r="BQ398" s="176" t="n"/>
      <c r="BR398" s="176" t="n"/>
      <c r="BS398" s="176" t="n"/>
      <c r="BT398" s="176" t="n"/>
      <c r="BU398" s="176" t="n"/>
      <c r="BV398" s="176" t="n"/>
      <c r="BW398" s="176" t="n"/>
      <c r="BX398" s="176" t="n"/>
      <c r="BY398" s="176" t="n"/>
      <c r="BZ398" s="176" t="n"/>
      <c r="CA398" s="176" t="n"/>
      <c r="CB398" s="176" t="n"/>
      <c r="CC398" s="176" t="n"/>
      <c r="CD398" s="176" t="n"/>
      <c r="CE398" s="176" t="n"/>
      <c r="CF398" s="176" t="n"/>
      <c r="CG398" s="176" t="n"/>
      <c r="CH398" s="176" t="n"/>
      <c r="CI398" s="176" t="n"/>
      <c r="CJ398" s="176" t="n"/>
      <c r="CK398" s="176" t="n"/>
      <c r="CL398" s="176" t="n"/>
      <c r="CM398" s="176" t="n"/>
      <c r="CN398" s="176" t="n"/>
      <c r="CO398" s="176" t="n"/>
      <c r="CP398" s="176" t="n"/>
      <c r="CQ398" s="176" t="n"/>
      <c r="CR398" s="176" t="n"/>
      <c r="CS398" s="176" t="n"/>
      <c r="CT398" s="176" t="n"/>
      <c r="CU398" s="176" t="n"/>
      <c r="CV398" s="176" t="n"/>
      <c r="CW398" s="176" t="n"/>
      <c r="CX398" s="176" t="n"/>
      <c r="CY398" s="176" t="n"/>
      <c r="CZ398" s="176" t="n"/>
      <c r="DA398" s="180">
        <f>IF('DADOS_MELHORIAS'!$M$30="","","⚠ "&amp;'DADOS_MELHORIAS'!$M$30)</f>
        <v/>
      </c>
      <c r="DG398" s="176" t="n"/>
      <c r="DH398" s="176" t="n"/>
      <c r="DI398" s="180">
        <f>IF('DADOS_MELHORIAS'!$M$31="","","⚠ "&amp;'DADOS_MELHORIAS'!$M$31)</f>
        <v/>
      </c>
      <c r="DO398" s="176" t="n"/>
      <c r="DP398" s="176" t="n"/>
      <c r="DQ398" s="176" t="n"/>
      <c r="DR398" s="176" t="n"/>
      <c r="DS398" s="176" t="n"/>
      <c r="DT398" s="176" t="n"/>
      <c r="DU398" s="176" t="n"/>
      <c r="DV398" s="176" t="n"/>
      <c r="DW398" s="176" t="n"/>
      <c r="DX398" s="176" t="n"/>
      <c r="DY398" s="176" t="n"/>
      <c r="DZ398" s="176" t="n"/>
      <c r="EA398" s="176" t="n"/>
      <c r="EB398" s="176" t="n"/>
      <c r="EC398" s="176" t="n"/>
      <c r="ED398" s="176" t="n"/>
      <c r="EE398" s="176" t="n"/>
      <c r="EF398" s="176" t="n"/>
      <c r="EG398" s="176" t="n"/>
      <c r="EH398" s="176" t="n"/>
      <c r="EI398" s="176" t="n"/>
      <c r="EJ398" s="176" t="n"/>
      <c r="EK398" s="176" t="n"/>
      <c r="EL398" s="176" t="n"/>
      <c r="EM398" s="176" t="n"/>
      <c r="EN398" s="176" t="n"/>
      <c r="EO398" s="176" t="n"/>
      <c r="EP398" s="176" t="n"/>
      <c r="EQ398" s="176" t="n"/>
      <c r="ER398" s="176" t="n"/>
      <c r="ES398" s="176" t="n"/>
      <c r="ET398" s="176" t="n"/>
      <c r="EU398" s="176" t="n"/>
      <c r="EV398" s="176" t="n"/>
      <c r="EW398" s="176" t="n"/>
      <c r="EX398" s="176" t="n"/>
      <c r="EY398" s="176" t="n"/>
      <c r="EZ398" s="176" t="n"/>
      <c r="FA398" s="176" t="n"/>
      <c r="FB398" s="176" t="n"/>
      <c r="FC398" s="176" t="n"/>
      <c r="FD398" s="176" t="n"/>
      <c r="FE398" s="176" t="n"/>
      <c r="FF398" s="176" t="n"/>
      <c r="FG398" s="176" t="n"/>
      <c r="FH398" s="176" t="n"/>
      <c r="FI398" s="176" t="n"/>
      <c r="FJ398" s="176" t="n"/>
      <c r="FK398" s="176" t="n"/>
      <c r="FL398" s="176" t="n"/>
      <c r="FM398" s="176" t="n"/>
      <c r="FN398" s="176" t="n"/>
      <c r="FO398" s="176" t="n"/>
      <c r="FP398" s="176" t="n"/>
      <c r="FQ398" s="176" t="n"/>
      <c r="FR398" s="176" t="n"/>
      <c r="FS398" s="176" t="n"/>
      <c r="FT398" s="176" t="n"/>
      <c r="FU398" s="176" t="n"/>
      <c r="FV398" s="176" t="n"/>
      <c r="FW398" s="176" t="n"/>
      <c r="FX398" s="176" t="n"/>
      <c r="FY398" s="176" t="n"/>
      <c r="FZ398" s="176" t="n"/>
      <c r="GA398" s="176" t="n"/>
      <c r="GB398" s="176" t="n"/>
      <c r="GC398" s="176" t="n"/>
      <c r="GD398" s="176" t="n"/>
      <c r="GE398" s="176" t="n"/>
      <c r="GF398" s="176" t="n"/>
      <c r="GG398" s="176" t="n"/>
      <c r="GH398" s="176" t="n"/>
      <c r="GI398" s="176" t="n"/>
      <c r="GJ398" s="176" t="n"/>
      <c r="GK398" s="176" t="n"/>
      <c r="GL398" s="176" t="n"/>
      <c r="GM398" s="176" t="n"/>
      <c r="GN398" s="176" t="n"/>
      <c r="GO398" s="176" t="n"/>
      <c r="GP398" s="176" t="n"/>
      <c r="GQ398" s="176" t="n"/>
      <c r="GR398" s="176" t="n"/>
      <c r="GS398" s="176" t="n"/>
      <c r="GT398" s="176" t="n"/>
      <c r="GU398" s="176" t="n"/>
      <c r="GV398" s="176" t="n"/>
      <c r="GW398" s="176" t="n"/>
      <c r="GX398" s="176" t="n"/>
      <c r="GY398" s="176" t="n"/>
      <c r="GZ398" s="176" t="n"/>
      <c r="HA398" s="176" t="n"/>
      <c r="HB398" s="176" t="n"/>
      <c r="HC398" s="176" t="n"/>
      <c r="HD398" s="176" t="n"/>
      <c r="HE398" s="176" t="n"/>
      <c r="HF398" s="176" t="n"/>
      <c r="HG398" s="176" t="n"/>
      <c r="HH398" s="176" t="n"/>
      <c r="HI398" s="176" t="n"/>
      <c r="HJ398" s="176" t="n"/>
      <c r="HK398" s="176" t="n"/>
      <c r="HL398" s="176" t="n"/>
      <c r="HM398" s="176" t="n"/>
      <c r="HN398" s="176" t="n"/>
      <c r="HO398" s="176" t="n"/>
      <c r="HP398" s="176" t="n"/>
      <c r="HQ398" s="176" t="n"/>
      <c r="HR398" s="176" t="n"/>
      <c r="HS398" s="176" t="n"/>
      <c r="HT398" s="176" t="n"/>
      <c r="HU398" s="176" t="n"/>
      <c r="HV398" s="176" t="n"/>
      <c r="HW398" s="176" t="n"/>
      <c r="HX398" s="176" t="n"/>
      <c r="HY398" s="176" t="n"/>
      <c r="HZ398" s="176" t="n"/>
      <c r="IA398" s="176" t="n"/>
      <c r="IB398" s="176" t="n"/>
      <c r="IC398" s="176" t="n"/>
      <c r="ID398" s="176" t="n"/>
    </row>
    <row r="399" ht="18.75" customHeight="1">
      <c r="A399" s="176" t="n"/>
      <c r="B399" s="176" t="n"/>
      <c r="C399" s="176" t="n"/>
      <c r="D399" s="176" t="n"/>
      <c r="E399" s="176" t="n"/>
      <c r="F399" s="176" t="n"/>
      <c r="G399" s="176" t="n"/>
      <c r="H399" s="176" t="n"/>
      <c r="I399" s="176" t="n"/>
      <c r="J399" s="176" t="n"/>
      <c r="K399" s="176" t="n"/>
      <c r="L399" s="176" t="n"/>
      <c r="M399" s="176" t="n"/>
      <c r="N399" s="176" t="n"/>
      <c r="O399" s="176" t="n"/>
      <c r="P399" s="176" t="n"/>
      <c r="Q399" s="176" t="n"/>
      <c r="R399" s="176" t="n"/>
      <c r="S399" s="176" t="n"/>
      <c r="T399" s="176" t="n"/>
      <c r="U399" s="176" t="n"/>
      <c r="V399" s="176" t="n"/>
      <c r="W399" s="176" t="n"/>
      <c r="X399" s="176" t="n"/>
      <c r="Y399" s="176" t="n"/>
      <c r="Z399" s="176" t="n"/>
      <c r="AA399" s="176" t="n"/>
      <c r="AB399" s="176" t="n"/>
      <c r="AC399" s="176" t="n"/>
      <c r="AD399" s="176" t="n"/>
      <c r="AE399" s="176" t="n"/>
      <c r="AF399" s="176" t="n"/>
      <c r="AG399" s="176" t="n"/>
      <c r="AH399" s="176" t="n"/>
      <c r="AI399" s="176" t="n"/>
      <c r="AJ399" s="176" t="n"/>
      <c r="AK399" s="176" t="n"/>
      <c r="AL399" s="176" t="n"/>
      <c r="AM399" s="176" t="n"/>
      <c r="AN399" s="176" t="n"/>
      <c r="AO399" s="176" t="n"/>
      <c r="AP399" s="176" t="n"/>
      <c r="AQ399" s="176" t="n"/>
      <c r="AR399" s="176" t="n"/>
      <c r="AS399" s="176" t="n"/>
      <c r="AT399" s="176" t="n"/>
      <c r="AU399" s="176" t="n"/>
      <c r="AV399" s="176" t="n"/>
      <c r="AW399" s="176" t="n"/>
      <c r="AX399" s="176" t="n"/>
      <c r="AY399" s="176" t="n"/>
      <c r="AZ399" s="176" t="n"/>
      <c r="BA399" s="176" t="n"/>
      <c r="BB399" s="176" t="n"/>
      <c r="BC399" s="176" t="n"/>
      <c r="BD399" s="176" t="n"/>
      <c r="BE399" s="176" t="n"/>
      <c r="BF399" s="176" t="n"/>
      <c r="BG399" s="176" t="n"/>
      <c r="BH399" s="176" t="n"/>
      <c r="BI399" s="176" t="n"/>
      <c r="BJ399" s="176" t="n"/>
      <c r="BK399" s="176" t="n"/>
      <c r="BL399" s="176" t="n"/>
      <c r="BM399" s="176" t="n"/>
      <c r="BN399" s="176" t="n"/>
      <c r="BO399" s="176" t="n"/>
      <c r="BP399" s="176" t="n"/>
      <c r="BQ399" s="176" t="n"/>
      <c r="BR399" s="176" t="n"/>
      <c r="BS399" s="176" t="n"/>
      <c r="BT399" s="176" t="n"/>
      <c r="BU399" s="176" t="n"/>
      <c r="BV399" s="176" t="n"/>
      <c r="BW399" s="176" t="n"/>
      <c r="BX399" s="176" t="n"/>
      <c r="BY399" s="176" t="n"/>
      <c r="BZ399" s="176" t="n"/>
      <c r="CA399" s="176" t="n"/>
      <c r="CB399" s="176" t="n"/>
      <c r="CC399" s="176" t="n"/>
      <c r="CD399" s="176" t="n"/>
      <c r="CE399" s="176" t="n"/>
      <c r="CF399" s="176" t="n"/>
      <c r="CG399" s="176" t="n"/>
      <c r="CH399" s="176" t="n"/>
      <c r="CI399" s="176" t="n"/>
      <c r="CJ399" s="176" t="n"/>
      <c r="CK399" s="176" t="n"/>
      <c r="CL399" s="176" t="n"/>
      <c r="CM399" s="176" t="n"/>
      <c r="CN399" s="176" t="n"/>
      <c r="CO399" s="176" t="n"/>
      <c r="CP399" s="176" t="n"/>
      <c r="CQ399" s="176" t="n"/>
      <c r="CR399" s="176" t="n"/>
      <c r="CS399" s="176" t="n"/>
      <c r="CT399" s="176" t="n"/>
      <c r="CU399" s="176" t="n"/>
      <c r="CV399" s="176" t="n"/>
      <c r="CW399" s="176" t="n"/>
      <c r="CX399" s="176" t="n"/>
      <c r="CY399" s="176" t="n"/>
      <c r="CZ399" s="176" t="n"/>
      <c r="DG399" s="176" t="n"/>
      <c r="DH399" s="176" t="n"/>
      <c r="DO399" s="176" t="n"/>
      <c r="DP399" s="176" t="n"/>
      <c r="DQ399" s="176" t="n"/>
      <c r="DR399" s="176" t="n"/>
      <c r="DS399" s="176" t="n"/>
      <c r="DT399" s="176" t="n"/>
      <c r="DU399" s="176" t="n"/>
      <c r="DV399" s="176" t="n"/>
      <c r="DW399" s="176" t="n"/>
      <c r="DX399" s="176" t="n"/>
      <c r="DY399" s="176" t="n"/>
      <c r="DZ399" s="176" t="n"/>
      <c r="EA399" s="176" t="n"/>
      <c r="EB399" s="176" t="n"/>
      <c r="EC399" s="176" t="n"/>
      <c r="ED399" s="176" t="n"/>
      <c r="EE399" s="176" t="n"/>
      <c r="EF399" s="176" t="n"/>
      <c r="EG399" s="176" t="n"/>
      <c r="EH399" s="176" t="n"/>
      <c r="EI399" s="176" t="n"/>
      <c r="EJ399" s="176" t="n"/>
      <c r="EK399" s="176" t="n"/>
      <c r="EL399" s="176" t="n"/>
      <c r="EM399" s="176" t="n"/>
      <c r="EN399" s="176" t="n"/>
      <c r="EO399" s="176" t="n"/>
      <c r="EP399" s="176" t="n"/>
      <c r="EQ399" s="176" t="n"/>
      <c r="ER399" s="176" t="n"/>
      <c r="ES399" s="176" t="n"/>
      <c r="ET399" s="176" t="n"/>
      <c r="EU399" s="176" t="n"/>
      <c r="EV399" s="176" t="n"/>
      <c r="EW399" s="176" t="n"/>
      <c r="EX399" s="176" t="n"/>
      <c r="EY399" s="176" t="n"/>
      <c r="EZ399" s="176" t="n"/>
      <c r="FA399" s="176" t="n"/>
      <c r="FB399" s="176" t="n"/>
      <c r="FC399" s="176" t="n"/>
      <c r="FD399" s="176" t="n"/>
      <c r="FE399" s="176" t="n"/>
      <c r="FF399" s="176" t="n"/>
      <c r="FG399" s="176" t="n"/>
      <c r="FH399" s="176" t="n"/>
      <c r="FI399" s="176" t="n"/>
      <c r="FJ399" s="176" t="n"/>
      <c r="FK399" s="176" t="n"/>
      <c r="FL399" s="176" t="n"/>
      <c r="FM399" s="176" t="n"/>
      <c r="FN399" s="176" t="n"/>
      <c r="FO399" s="176" t="n"/>
      <c r="FP399" s="176" t="n"/>
      <c r="FQ399" s="176" t="n"/>
      <c r="FR399" s="176" t="n"/>
      <c r="FS399" s="176" t="n"/>
      <c r="FT399" s="176" t="n"/>
      <c r="FU399" s="176" t="n"/>
      <c r="FV399" s="176" t="n"/>
      <c r="FW399" s="176" t="n"/>
      <c r="FX399" s="176" t="n"/>
      <c r="FY399" s="176" t="n"/>
      <c r="FZ399" s="176" t="n"/>
      <c r="GA399" s="176" t="n"/>
      <c r="GB399" s="176" t="n"/>
      <c r="GC399" s="176" t="n"/>
      <c r="GD399" s="176" t="n"/>
      <c r="GE399" s="176" t="n"/>
      <c r="GF399" s="176" t="n"/>
      <c r="GG399" s="176" t="n"/>
      <c r="GH399" s="176" t="n"/>
      <c r="GI399" s="176" t="n"/>
      <c r="GJ399" s="176" t="n"/>
      <c r="GK399" s="176" t="n"/>
      <c r="GL399" s="176" t="n"/>
      <c r="GM399" s="176" t="n"/>
      <c r="GN399" s="176" t="n"/>
      <c r="GO399" s="176" t="n"/>
      <c r="GP399" s="176" t="n"/>
      <c r="GQ399" s="176" t="n"/>
      <c r="GR399" s="176" t="n"/>
      <c r="GS399" s="176" t="n"/>
      <c r="GT399" s="176" t="n"/>
      <c r="GU399" s="176" t="n"/>
      <c r="GV399" s="176" t="n"/>
      <c r="GW399" s="176" t="n"/>
      <c r="GX399" s="176" t="n"/>
      <c r="GY399" s="176" t="n"/>
      <c r="GZ399" s="176" t="n"/>
      <c r="HA399" s="176" t="n"/>
      <c r="HB399" s="176" t="n"/>
      <c r="HC399" s="176" t="n"/>
      <c r="HD399" s="176" t="n"/>
      <c r="HE399" s="176" t="n"/>
      <c r="HF399" s="176" t="n"/>
      <c r="HG399" s="176" t="n"/>
      <c r="HH399" s="176" t="n"/>
      <c r="HI399" s="176" t="n"/>
      <c r="HJ399" s="176" t="n"/>
      <c r="HK399" s="176" t="n"/>
      <c r="HL399" s="176" t="n"/>
      <c r="HM399" s="176" t="n"/>
      <c r="HN399" s="176" t="n"/>
      <c r="HO399" s="176" t="n"/>
      <c r="HP399" s="176" t="n"/>
      <c r="HQ399" s="176" t="n"/>
      <c r="HR399" s="176" t="n"/>
      <c r="HS399" s="176" t="n"/>
      <c r="HT399" s="176" t="n"/>
      <c r="HU399" s="176" t="n"/>
      <c r="HV399" s="176" t="n"/>
      <c r="HW399" s="176" t="n"/>
      <c r="HX399" s="176" t="n"/>
      <c r="HY399" s="176" t="n"/>
      <c r="HZ399" s="176" t="n"/>
      <c r="IA399" s="176" t="n"/>
      <c r="IB399" s="176" t="n"/>
      <c r="IC399" s="176" t="n"/>
      <c r="ID399" s="176" t="n"/>
    </row>
    <row r="400">
      <c r="A400" s="176" t="n"/>
      <c r="B400" s="176" t="n"/>
      <c r="C400" s="176" t="n"/>
      <c r="D400" s="176" t="n"/>
      <c r="E400" s="176" t="n"/>
      <c r="F400" s="176" t="n"/>
      <c r="G400" s="176" t="n"/>
      <c r="H400" s="176" t="n"/>
      <c r="I400" s="176" t="n"/>
      <c r="J400" s="176" t="n"/>
      <c r="K400" s="176" t="n"/>
      <c r="L400" s="176" t="n"/>
      <c r="M400" s="176" t="n"/>
      <c r="N400" s="176" t="n"/>
      <c r="O400" s="176" t="n"/>
      <c r="P400" s="176" t="n"/>
      <c r="Q400" s="176" t="n"/>
      <c r="R400" s="176" t="n"/>
      <c r="S400" s="176" t="n"/>
      <c r="T400" s="176" t="n"/>
      <c r="U400" s="176" t="n"/>
      <c r="V400" s="176" t="n"/>
      <c r="W400" s="176" t="n"/>
      <c r="X400" s="176" t="n"/>
      <c r="Y400" s="176" t="n"/>
      <c r="Z400" s="176" t="n"/>
      <c r="AA400" s="176" t="n"/>
      <c r="AB400" s="176" t="n"/>
      <c r="AC400" s="176" t="n"/>
      <c r="AD400" s="176" t="n"/>
      <c r="AE400" s="176" t="n"/>
      <c r="AF400" s="176" t="n"/>
      <c r="AG400" s="176" t="n"/>
      <c r="AH400" s="176" t="n"/>
      <c r="AI400" s="176" t="n"/>
      <c r="AJ400" s="176" t="n"/>
      <c r="AK400" s="176" t="n"/>
      <c r="AL400" s="176" t="n"/>
      <c r="AM400" s="176" t="n"/>
      <c r="AN400" s="176" t="n"/>
      <c r="AO400" s="176" t="n"/>
      <c r="AP400" s="176" t="n"/>
      <c r="AQ400" s="176" t="n"/>
      <c r="AR400" s="176" t="n"/>
      <c r="AS400" s="176" t="n"/>
      <c r="AT400" s="176" t="n"/>
      <c r="AU400" s="176" t="n"/>
      <c r="AV400" s="176" t="n"/>
      <c r="AW400" s="176" t="n"/>
      <c r="AX400" s="176" t="n"/>
      <c r="AY400" s="176" t="n"/>
      <c r="AZ400" s="176" t="n"/>
      <c r="BA400" s="176" t="n"/>
      <c r="BB400" s="176" t="n"/>
      <c r="BC400" s="176" t="n"/>
      <c r="BD400" s="176" t="n"/>
      <c r="BE400" s="176" t="n"/>
      <c r="BF400" s="176" t="n"/>
      <c r="BG400" s="176" t="n"/>
      <c r="BH400" s="176" t="n"/>
      <c r="BI400" s="176" t="n"/>
      <c r="BJ400" s="176" t="n"/>
      <c r="BK400" s="176" t="n"/>
      <c r="BL400" s="176" t="n"/>
      <c r="BM400" s="176" t="n"/>
      <c r="BN400" s="176" t="n"/>
      <c r="BO400" s="176" t="n"/>
      <c r="BP400" s="176" t="n"/>
      <c r="BQ400" s="176" t="n"/>
      <c r="BR400" s="176" t="n"/>
      <c r="BS400" s="176" t="n"/>
      <c r="BT400" s="176" t="n"/>
      <c r="BU400" s="176" t="n"/>
      <c r="BV400" s="176" t="n"/>
      <c r="BW400" s="176" t="n"/>
      <c r="BX400" s="176" t="n"/>
      <c r="BY400" s="176" t="n"/>
      <c r="BZ400" s="176" t="n"/>
      <c r="CA400" s="176" t="n"/>
      <c r="CB400" s="176" t="n"/>
      <c r="CC400" s="176" t="n"/>
      <c r="CD400" s="176" t="n"/>
      <c r="CE400" s="176" t="n"/>
      <c r="CF400" s="176" t="n"/>
      <c r="CG400" s="176" t="n"/>
      <c r="CH400" s="176" t="n"/>
      <c r="CI400" s="176" t="n"/>
      <c r="CJ400" s="176" t="n"/>
      <c r="CK400" s="176" t="n"/>
      <c r="CL400" s="176" t="n"/>
      <c r="CM400" s="176" t="n"/>
      <c r="CN400" s="176" t="n"/>
      <c r="CO400" s="176" t="n"/>
      <c r="CP400" s="176" t="n"/>
      <c r="CQ400" s="176" t="n"/>
      <c r="CR400" s="176" t="n"/>
      <c r="CS400" s="176" t="n"/>
      <c r="CT400" s="176" t="n"/>
      <c r="CU400" s="176" t="n"/>
      <c r="CV400" s="176" t="n"/>
      <c r="CW400" s="176" t="n"/>
      <c r="CX400" s="176" t="n"/>
      <c r="CY400" s="176" t="n"/>
      <c r="CZ400" s="176" t="n"/>
      <c r="DA400" s="176" t="n"/>
      <c r="DB400" s="176" t="n"/>
      <c r="DC400" s="176" t="n"/>
      <c r="DD400" s="176" t="n"/>
      <c r="DE400" s="176" t="n"/>
      <c r="DF400" s="176" t="n"/>
      <c r="DG400" s="176" t="n"/>
      <c r="DH400" s="176" t="n"/>
      <c r="DI400" s="176" t="n"/>
      <c r="DJ400" s="176" t="n"/>
      <c r="DK400" s="176" t="n"/>
      <c r="DL400" s="176" t="n"/>
      <c r="DM400" s="176" t="n"/>
      <c r="DN400" s="176" t="n"/>
      <c r="DO400" s="176" t="n"/>
      <c r="DP400" s="176" t="n"/>
      <c r="DQ400" s="176" t="n"/>
      <c r="DR400" s="176" t="n"/>
      <c r="DS400" s="176" t="n"/>
      <c r="DT400" s="176" t="n"/>
      <c r="DU400" s="176" t="n"/>
      <c r="DV400" s="176" t="n"/>
      <c r="DW400" s="176" t="n"/>
      <c r="DX400" s="176" t="n"/>
      <c r="DY400" s="176" t="n"/>
      <c r="DZ400" s="176" t="n"/>
      <c r="EA400" s="176" t="n"/>
      <c r="EB400" s="176" t="n"/>
      <c r="EC400" s="176" t="n"/>
      <c r="ED400" s="176" t="n"/>
      <c r="EE400" s="176" t="n"/>
      <c r="EF400" s="176" t="n"/>
      <c r="EG400" s="176" t="n"/>
      <c r="EH400" s="176" t="n"/>
      <c r="EI400" s="176" t="n"/>
      <c r="EJ400" s="176" t="n"/>
      <c r="EK400" s="176" t="n"/>
      <c r="EL400" s="176" t="n"/>
      <c r="EM400" s="176" t="n"/>
      <c r="EN400" s="176" t="n"/>
      <c r="EO400" s="176" t="n"/>
      <c r="EP400" s="176" t="n"/>
      <c r="EQ400" s="176" t="n"/>
      <c r="ER400" s="176" t="n"/>
      <c r="ES400" s="176" t="n"/>
      <c r="ET400" s="176" t="n"/>
      <c r="EU400" s="176" t="n"/>
      <c r="EV400" s="176" t="n"/>
      <c r="EW400" s="176" t="n"/>
      <c r="EX400" s="176" t="n"/>
      <c r="EY400" s="176" t="n"/>
      <c r="EZ400" s="176" t="n"/>
      <c r="FA400" s="176" t="n"/>
      <c r="FB400" s="176" t="n"/>
      <c r="FC400" s="176" t="n"/>
      <c r="FD400" s="176" t="n"/>
      <c r="FE400" s="176" t="n"/>
      <c r="FF400" s="176" t="n"/>
      <c r="FG400" s="176" t="n"/>
      <c r="FH400" s="176" t="n"/>
      <c r="FI400" s="176" t="n"/>
      <c r="FJ400" s="176" t="n"/>
      <c r="FK400" s="176" t="n"/>
      <c r="FL400" s="176" t="n"/>
      <c r="FM400" s="176" t="n"/>
      <c r="FN400" s="176" t="n"/>
      <c r="FO400" s="176" t="n"/>
      <c r="FP400" s="176" t="n"/>
      <c r="FQ400" s="176" t="n"/>
      <c r="FR400" s="176" t="n"/>
      <c r="FS400" s="176" t="n"/>
      <c r="FT400" s="176" t="n"/>
      <c r="FU400" s="176" t="n"/>
      <c r="FV400" s="176" t="n"/>
      <c r="FW400" s="176" t="n"/>
      <c r="FX400" s="176" t="n"/>
      <c r="FY400" s="176" t="n"/>
      <c r="FZ400" s="176" t="n"/>
      <c r="GA400" s="176" t="n"/>
      <c r="GB400" s="176" t="n"/>
      <c r="GC400" s="176" t="n"/>
      <c r="GD400" s="176" t="n"/>
      <c r="GE400" s="176" t="n"/>
      <c r="GF400" s="176" t="n"/>
      <c r="GG400" s="176" t="n"/>
      <c r="GH400" s="176" t="n"/>
      <c r="GI400" s="176" t="n"/>
      <c r="GJ400" s="176" t="n"/>
      <c r="GK400" s="176" t="n"/>
      <c r="GL400" s="176" t="n"/>
      <c r="GM400" s="176" t="n"/>
      <c r="GN400" s="176" t="n"/>
      <c r="GO400" s="176" t="n"/>
      <c r="GP400" s="176" t="n"/>
      <c r="GQ400" s="176" t="n"/>
      <c r="GR400" s="176" t="n"/>
      <c r="GS400" s="176" t="n"/>
      <c r="GT400" s="176" t="n"/>
      <c r="GU400" s="176" t="n"/>
      <c r="GV400" s="176" t="n"/>
      <c r="GW400" s="176" t="n"/>
      <c r="GX400" s="176" t="n"/>
      <c r="GY400" s="176" t="n"/>
      <c r="GZ400" s="176" t="n"/>
      <c r="HA400" s="176" t="n"/>
      <c r="HB400" s="176" t="n"/>
      <c r="HC400" s="176" t="n"/>
      <c r="HD400" s="176" t="n"/>
      <c r="HE400" s="176" t="n"/>
      <c r="HF400" s="176" t="n"/>
      <c r="HG400" s="176" t="n"/>
      <c r="HH400" s="176" t="n"/>
      <c r="HI400" s="176" t="n"/>
      <c r="HJ400" s="176" t="n"/>
      <c r="HK400" s="176" t="n"/>
      <c r="HL400" s="176" t="n"/>
      <c r="HM400" s="176" t="n"/>
      <c r="HN400" s="176" t="n"/>
      <c r="HO400" s="176" t="n"/>
      <c r="HP400" s="176" t="n"/>
      <c r="HQ400" s="176" t="n"/>
      <c r="HR400" s="176" t="n"/>
      <c r="HS400" s="176" t="n"/>
      <c r="HT400" s="176" t="n"/>
      <c r="HU400" s="176" t="n"/>
      <c r="HV400" s="176" t="n"/>
      <c r="HW400" s="176" t="n"/>
      <c r="HX400" s="176" t="n"/>
      <c r="HY400" s="176" t="n"/>
      <c r="HZ400" s="176" t="n"/>
      <c r="IA400" s="176" t="n"/>
      <c r="IB400" s="176" t="n"/>
      <c r="IC400" s="176" t="n"/>
      <c r="ID400" s="176" t="n"/>
    </row>
  </sheetData>
  <mergeCells count="4165">
    <mergeCell ref="GK68:GM68"/>
    <mergeCell ref="FC221:FE221"/>
    <mergeCell ref="DZ43:EE49"/>
    <mergeCell ref="DR231:DW231"/>
    <mergeCell ref="FC73:FE73"/>
    <mergeCell ref="EZ61:FE61"/>
    <mergeCell ref="FK35:FM35"/>
    <mergeCell ref="EZ64:FB64"/>
    <mergeCell ref="AB251:AC251"/>
    <mergeCell ref="DR102:DW102"/>
    <mergeCell ref="AD171:AG171"/>
    <mergeCell ref="T196:U196"/>
    <mergeCell ref="T318:U318"/>
    <mergeCell ref="DI12:DL12"/>
    <mergeCell ref="DL17:DN17"/>
    <mergeCell ref="AB280:AC280"/>
    <mergeCell ref="V116:Y116"/>
    <mergeCell ref="EI107:EN107"/>
    <mergeCell ref="T210:Y211"/>
    <mergeCell ref="AB193:AC193"/>
    <mergeCell ref="HK125:HL125"/>
    <mergeCell ref="V82:Y82"/>
    <mergeCell ref="T198:U198"/>
    <mergeCell ref="DL19:DN19"/>
    <mergeCell ref="T347:U347"/>
    <mergeCell ref="GH59:GM60"/>
    <mergeCell ref="AB282:AC282"/>
    <mergeCell ref="CA12:CF12"/>
    <mergeCell ref="GH114:GK114"/>
    <mergeCell ref="T191:U191"/>
    <mergeCell ref="T42:W42"/>
    <mergeCell ref="T51:U51"/>
    <mergeCell ref="V111:Y111"/>
    <mergeCell ref="DI320:DN321"/>
    <mergeCell ref="FH130:FJ130"/>
    <mergeCell ref="EZ204:FB204"/>
    <mergeCell ref="AO10:AP10"/>
    <mergeCell ref="DR249:DW250"/>
    <mergeCell ref="DR326:DT326"/>
    <mergeCell ref="DA227:DC227"/>
    <mergeCell ref="HX72:HZ72"/>
    <mergeCell ref="FQ72:FS72"/>
    <mergeCell ref="DZ171:EB171"/>
    <mergeCell ref="FK71:FM71"/>
    <mergeCell ref="HG75:HI75"/>
    <mergeCell ref="FK202:FM202"/>
    <mergeCell ref="V142:Y142"/>
    <mergeCell ref="EZ75:FB75"/>
    <mergeCell ref="EC324:EE324"/>
    <mergeCell ref="FH48:FM48"/>
    <mergeCell ref="FH55:FM56"/>
    <mergeCell ref="T45:Y45"/>
    <mergeCell ref="DR238:DT238"/>
    <mergeCell ref="V108:Y108"/>
    <mergeCell ref="FK73:FM73"/>
    <mergeCell ref="DI65:DL65"/>
    <mergeCell ref="FT125:FV125"/>
    <mergeCell ref="AS11:AV11"/>
    <mergeCell ref="T338:U338"/>
    <mergeCell ref="DI223:DN223"/>
    <mergeCell ref="AB218:AG218"/>
    <mergeCell ref="CD42:CF42"/>
    <mergeCell ref="AB59:AG59"/>
    <mergeCell ref="V162:Y162"/>
    <mergeCell ref="DI346:DN347"/>
    <mergeCell ref="AB190:AG190"/>
    <mergeCell ref="FT127:FV127"/>
    <mergeCell ref="CA40:CF40"/>
    <mergeCell ref="ED145:EE145"/>
    <mergeCell ref="T367:U367"/>
    <mergeCell ref="V164:Y164"/>
    <mergeCell ref="HP155:HR155"/>
    <mergeCell ref="AB219:AG219"/>
    <mergeCell ref="BJ24:BM24"/>
    <mergeCell ref="BS2:CF3"/>
    <mergeCell ref="DZ99:EE99"/>
    <mergeCell ref="T252:U252"/>
    <mergeCell ref="DZ257:EE257"/>
    <mergeCell ref="T128:Y128"/>
    <mergeCell ref="DA314:DF318"/>
    <mergeCell ref="CA28:CC28"/>
    <mergeCell ref="FC173:FE173"/>
    <mergeCell ref="DI89:DN89"/>
    <mergeCell ref="DV56:DW56"/>
    <mergeCell ref="V195:Y195"/>
    <mergeCell ref="V309:Y309"/>
    <mergeCell ref="DR174:DW174"/>
    <mergeCell ref="DR258:DT258"/>
    <mergeCell ref="DR168:DW168"/>
    <mergeCell ref="HG79:HL81"/>
    <mergeCell ref="IA267:IC267"/>
    <mergeCell ref="FH61:FM61"/>
    <mergeCell ref="FC174:FE174"/>
    <mergeCell ref="EZ129:FB129"/>
    <mergeCell ref="FC130:FE130"/>
    <mergeCell ref="C110:D110"/>
    <mergeCell ref="FH64:FJ64"/>
    <mergeCell ref="DM64:DN64"/>
    <mergeCell ref="FC168:FE168"/>
    <mergeCell ref="EM96:EN96"/>
    <mergeCell ref="FT21:FV21"/>
    <mergeCell ref="DA301:DF301"/>
    <mergeCell ref="EZ131:FB131"/>
    <mergeCell ref="AB196:AC196"/>
    <mergeCell ref="GS117:GU117"/>
    <mergeCell ref="T146:Y146"/>
    <mergeCell ref="DL383:DN383"/>
    <mergeCell ref="AB210:AG211"/>
    <mergeCell ref="AB348:AC348"/>
    <mergeCell ref="T277:Y277"/>
    <mergeCell ref="EQ107:EV107"/>
    <mergeCell ref="HG124:HJ124"/>
    <mergeCell ref="HP135:HU137"/>
    <mergeCell ref="AK10:AN10"/>
    <mergeCell ref="FH94:FM94"/>
    <mergeCell ref="CA56:CC56"/>
    <mergeCell ref="GS119:GU119"/>
    <mergeCell ref="T6:Y7"/>
    <mergeCell ref="O23:Q24"/>
    <mergeCell ref="AD22:AG22"/>
    <mergeCell ref="AB239:AG240"/>
    <mergeCell ref="T306:Y306"/>
    <mergeCell ref="T134:U134"/>
    <mergeCell ref="DR175:DW181"/>
    <mergeCell ref="EZ33:FB33"/>
    <mergeCell ref="EZ155:FB155"/>
    <mergeCell ref="EC282:EE282"/>
    <mergeCell ref="FQ42:FV42"/>
    <mergeCell ref="CJ51:CO51"/>
    <mergeCell ref="AD134:AG134"/>
    <mergeCell ref="C128:D128"/>
    <mergeCell ref="HG107:HL109"/>
    <mergeCell ref="FK31:FM31"/>
    <mergeCell ref="DI227:DK227"/>
    <mergeCell ref="AD47:AG47"/>
    <mergeCell ref="DA328:DC328"/>
    <mergeCell ref="C100:D100"/>
    <mergeCell ref="DD329:DF329"/>
    <mergeCell ref="EZ157:FB157"/>
    <mergeCell ref="C94:D94"/>
    <mergeCell ref="AD167:AG167"/>
    <mergeCell ref="DI105:DN105"/>
    <mergeCell ref="X245:Y245"/>
    <mergeCell ref="FC158:FE158"/>
    <mergeCell ref="HB44:HD44"/>
    <mergeCell ref="HP65:HU66"/>
    <mergeCell ref="CJ13:CM13"/>
    <mergeCell ref="CJ11:CO11"/>
    <mergeCell ref="DA172:DC172"/>
    <mergeCell ref="DR187:DW187"/>
    <mergeCell ref="EZ28:FB28"/>
    <mergeCell ref="T350:Y354"/>
    <mergeCell ref="DD331:DF331"/>
    <mergeCell ref="C129:D129"/>
    <mergeCell ref="AD169:AG169"/>
    <mergeCell ref="V203:Y203"/>
    <mergeCell ref="GB125:GD125"/>
    <mergeCell ref="DE273:DF273"/>
    <mergeCell ref="FH16:FM16"/>
    <mergeCell ref="EZ30:FB30"/>
    <mergeCell ref="DA262:DF266"/>
    <mergeCell ref="AB278:AC278"/>
    <mergeCell ref="AB253:AC253"/>
    <mergeCell ref="AB129:AE129"/>
    <mergeCell ref="T379:Y383"/>
    <mergeCell ref="DI340:DN344"/>
    <mergeCell ref="BS57:BX57"/>
    <mergeCell ref="GB127:GD127"/>
    <mergeCell ref="DR56:DU56"/>
    <mergeCell ref="HX183:HZ183"/>
    <mergeCell ref="AN34:AP34"/>
    <mergeCell ref="DD355:DF355"/>
    <mergeCell ref="AD164:AG164"/>
    <mergeCell ref="FK171:FM171"/>
    <mergeCell ref="GS18:GU18"/>
    <mergeCell ref="AF100:AG100"/>
    <mergeCell ref="HB72:HD72"/>
    <mergeCell ref="HX155:HZ155"/>
    <mergeCell ref="DA235:DF235"/>
    <mergeCell ref="EZ175:FB175"/>
    <mergeCell ref="HP252:HU259"/>
    <mergeCell ref="HS268:HU268"/>
    <mergeCell ref="EQ124:ET124"/>
    <mergeCell ref="FY29:GD29"/>
    <mergeCell ref="FU14:FV14"/>
    <mergeCell ref="DA60:DF61"/>
    <mergeCell ref="GH52:GM52"/>
    <mergeCell ref="AN36:AP36"/>
    <mergeCell ref="DD382:DF382"/>
    <mergeCell ref="DD357:DF357"/>
    <mergeCell ref="FK173:FM173"/>
    <mergeCell ref="V138:Y138"/>
    <mergeCell ref="GY37:HD38"/>
    <mergeCell ref="AD195:AG195"/>
    <mergeCell ref="FU13:FV13"/>
    <mergeCell ref="DR324:DT324"/>
    <mergeCell ref="EI69:EL69"/>
    <mergeCell ref="FQ96:FV96"/>
    <mergeCell ref="EZ81:FB81"/>
    <mergeCell ref="V104:Y104"/>
    <mergeCell ref="HX179:IC179"/>
    <mergeCell ref="T158:W158"/>
    <mergeCell ref="DZ168:EE168"/>
    <mergeCell ref="FD60:FE60"/>
    <mergeCell ref="FQ24:FV27"/>
    <mergeCell ref="HP97:HS97"/>
    <mergeCell ref="DL43:DN43"/>
    <mergeCell ref="V133:Y133"/>
    <mergeCell ref="FK168:FM168"/>
    <mergeCell ref="FQ63:FV64"/>
    <mergeCell ref="CJ65:CO65"/>
    <mergeCell ref="HG15:HI15"/>
    <mergeCell ref="HX211:HZ211"/>
    <mergeCell ref="FY20:GA20"/>
    <mergeCell ref="DA86:DF87"/>
    <mergeCell ref="C55:D55"/>
    <mergeCell ref="V135:Y135"/>
    <mergeCell ref="T373:U373"/>
    <mergeCell ref="GP65:GU65"/>
    <mergeCell ref="T365:U365"/>
    <mergeCell ref="T216:W216"/>
    <mergeCell ref="FY13:GB13"/>
    <mergeCell ref="AV15:AX15"/>
    <mergeCell ref="AS10:AV10"/>
    <mergeCell ref="DI175:DK175"/>
    <mergeCell ref="DZ51:EE52"/>
    <mergeCell ref="DD70:DF70"/>
    <mergeCell ref="FH25:FJ25"/>
    <mergeCell ref="CA29:CF29"/>
    <mergeCell ref="BJ14:BL14"/>
    <mergeCell ref="EI97:EL97"/>
    <mergeCell ref="DA248:DF248"/>
    <mergeCell ref="EZ104:FE104"/>
    <mergeCell ref="C52:D52"/>
    <mergeCell ref="DZ188:EC188"/>
    <mergeCell ref="FY42:GD42"/>
    <mergeCell ref="GB75:GD75"/>
    <mergeCell ref="GH9:GU9"/>
    <mergeCell ref="AB17:AC17"/>
    <mergeCell ref="ED167:EE167"/>
    <mergeCell ref="HG37:HL38"/>
    <mergeCell ref="DE221:DF221"/>
    <mergeCell ref="EM68:EN68"/>
    <mergeCell ref="CA54:CF54"/>
    <mergeCell ref="DR253:DW253"/>
    <mergeCell ref="C81:D81"/>
    <mergeCell ref="DI328:DK328"/>
    <mergeCell ref="DU83:DW83"/>
    <mergeCell ref="AB19:AC19"/>
    <mergeCell ref="GH121:GM121"/>
    <mergeCell ref="HX65:IC66"/>
    <mergeCell ref="AB317:AC317"/>
    <mergeCell ref="BW38:BX38"/>
    <mergeCell ref="HJ44:HL44"/>
    <mergeCell ref="FH88:FM88"/>
    <mergeCell ref="CU44:CW44"/>
    <mergeCell ref="AB319:AC319"/>
    <mergeCell ref="DA274:DF274"/>
    <mergeCell ref="HG84:HL91"/>
    <mergeCell ref="DI261:DN261"/>
    <mergeCell ref="FH201:FJ201"/>
    <mergeCell ref="DD123:DF123"/>
    <mergeCell ref="GH116:GM116"/>
    <mergeCell ref="CA57:CF57"/>
    <mergeCell ref="HK68:HL68"/>
    <mergeCell ref="AD259:AG259"/>
    <mergeCell ref="T302:Y302"/>
    <mergeCell ref="DE247:DF247"/>
    <mergeCell ref="DZ56:EC56"/>
    <mergeCell ref="DR279:DW279"/>
    <mergeCell ref="EQ68:ET68"/>
    <mergeCell ref="FY70:GD70"/>
    <mergeCell ref="CE24:CF24"/>
    <mergeCell ref="EZ186:FE186"/>
    <mergeCell ref="EZ193:FE194"/>
    <mergeCell ref="FQ137:FV137"/>
    <mergeCell ref="DL382:DN382"/>
    <mergeCell ref="DR315:DW316"/>
    <mergeCell ref="EC62:EE62"/>
    <mergeCell ref="FY124:GD124"/>
    <mergeCell ref="AT53:AX53"/>
    <mergeCell ref="DZ237:EB237"/>
    <mergeCell ref="BJ16:BO18"/>
    <mergeCell ref="HT236:HU236"/>
    <mergeCell ref="T104:U104"/>
    <mergeCell ref="AD290:AG290"/>
    <mergeCell ref="EZ24:FB24"/>
    <mergeCell ref="HG140:HL147"/>
    <mergeCell ref="DV254:DW254"/>
    <mergeCell ref="DR304:DT304"/>
    <mergeCell ref="C119:D119"/>
    <mergeCell ref="EZ113:FB113"/>
    <mergeCell ref="V199:Y199"/>
    <mergeCell ref="FL60:FM60"/>
    <mergeCell ref="FY24:GD27"/>
    <mergeCell ref="EZ26:FB26"/>
    <mergeCell ref="CA30:CF32"/>
    <mergeCell ref="FQ125:FS125"/>
    <mergeCell ref="HX97:IA97"/>
    <mergeCell ref="DI247:DL247"/>
    <mergeCell ref="DR276:DU276"/>
    <mergeCell ref="AB249:AC249"/>
    <mergeCell ref="T105:U105"/>
    <mergeCell ref="T376:U376"/>
    <mergeCell ref="HX289:IC290"/>
    <mergeCell ref="GH21:GM21"/>
    <mergeCell ref="BB43:BG43"/>
    <mergeCell ref="T316:U316"/>
    <mergeCell ref="AS57:AX58"/>
    <mergeCell ref="AF71:AG71"/>
    <mergeCell ref="T107:U107"/>
    <mergeCell ref="EZ171:FB171"/>
    <mergeCell ref="FH187:FM190"/>
    <mergeCell ref="FC210:FE210"/>
    <mergeCell ref="GH18:GJ18"/>
    <mergeCell ref="CE52:CF52"/>
    <mergeCell ref="AB216:AE216"/>
    <mergeCell ref="FH127:FJ127"/>
    <mergeCell ref="AN32:AP32"/>
    <mergeCell ref="V346:Y346"/>
    <mergeCell ref="GH17:GJ17"/>
    <mergeCell ref="DA15:DF15"/>
    <mergeCell ref="BB4:BO7"/>
    <mergeCell ref="EI40:EL40"/>
    <mergeCell ref="EC82:EE82"/>
    <mergeCell ref="T12:Y12"/>
    <mergeCell ref="AB245:AE245"/>
    <mergeCell ref="BS11:BV11"/>
    <mergeCell ref="GH77:GM77"/>
    <mergeCell ref="DU60:DW60"/>
    <mergeCell ref="V375:Y375"/>
    <mergeCell ref="FC211:FE211"/>
    <mergeCell ref="EZ166:FB166"/>
    <mergeCell ref="AD193:AG193"/>
    <mergeCell ref="C109:D109"/>
    <mergeCell ref="FH128:FJ128"/>
    <mergeCell ref="FY137:GD137"/>
    <mergeCell ref="EZ202:FB202"/>
    <mergeCell ref="FY144:GD145"/>
    <mergeCell ref="HP67:HU67"/>
    <mergeCell ref="V347:Y347"/>
    <mergeCell ref="AN27:AP27"/>
    <mergeCell ref="HP68:HS68"/>
    <mergeCell ref="T41:Y41"/>
    <mergeCell ref="V341:Y341"/>
    <mergeCell ref="DA40:DF40"/>
    <mergeCell ref="DI273:DL273"/>
    <mergeCell ref="DI300:DN300"/>
    <mergeCell ref="AB84:AC84"/>
    <mergeCell ref="DE168:DF168"/>
    <mergeCell ref="EZ168:FB168"/>
    <mergeCell ref="C2:I3"/>
    <mergeCell ref="CJ16:CL16"/>
    <mergeCell ref="FQ111:FV114"/>
    <mergeCell ref="DL121:DN121"/>
    <mergeCell ref="AB86:AC86"/>
    <mergeCell ref="BS20:BX21"/>
    <mergeCell ref="T336:U336"/>
    <mergeCell ref="DA41:DF41"/>
    <mergeCell ref="CJ26:CM26"/>
    <mergeCell ref="DA375:DF375"/>
    <mergeCell ref="AK48:AP48"/>
    <mergeCell ref="IB152:IC152"/>
    <mergeCell ref="DL123:DN123"/>
    <mergeCell ref="DD68:DF68"/>
    <mergeCell ref="HP208:HS208"/>
    <mergeCell ref="EC128:EE128"/>
    <mergeCell ref="CR43:CW43"/>
    <mergeCell ref="FH186:FM186"/>
    <mergeCell ref="C77:D77"/>
    <mergeCell ref="FH193:FM194"/>
    <mergeCell ref="FC224:FE224"/>
    <mergeCell ref="AB313:AC313"/>
    <mergeCell ref="CR51:CW51"/>
    <mergeCell ref="DI144:DN144"/>
    <mergeCell ref="AB104:AC104"/>
    <mergeCell ref="FH24:FJ24"/>
    <mergeCell ref="AB320:AG320"/>
    <mergeCell ref="ED254:EE254"/>
    <mergeCell ref="CJ44:CL44"/>
    <mergeCell ref="FY69:GD69"/>
    <mergeCell ref="T118:Y122"/>
    <mergeCell ref="BS48:BX49"/>
    <mergeCell ref="AB315:AC315"/>
    <mergeCell ref="BW11:BX11"/>
    <mergeCell ref="T171:U171"/>
    <mergeCell ref="AB106:AC106"/>
    <mergeCell ref="BS25:BV25"/>
    <mergeCell ref="DV321:DW321"/>
    <mergeCell ref="GP44:GR44"/>
    <mergeCell ref="GY73:HA73"/>
    <mergeCell ref="HP263:HU263"/>
    <mergeCell ref="DD94:DF94"/>
    <mergeCell ref="GH87:GM87"/>
    <mergeCell ref="DI17:DK17"/>
    <mergeCell ref="FK208:FM208"/>
    <mergeCell ref="DA22:DF25"/>
    <mergeCell ref="FH196:FM196"/>
    <mergeCell ref="GH117:GJ117"/>
    <mergeCell ref="T173:U173"/>
    <mergeCell ref="DR101:DU101"/>
    <mergeCell ref="AB316:AC316"/>
    <mergeCell ref="C59:D59"/>
    <mergeCell ref="DU105:DW105"/>
    <mergeCell ref="DA355:DC355"/>
    <mergeCell ref="FK210:FM210"/>
    <mergeCell ref="EZ205:FB205"/>
    <mergeCell ref="AB159:AE159"/>
    <mergeCell ref="FC66:FE66"/>
    <mergeCell ref="CJ72:CL72"/>
    <mergeCell ref="GH119:GJ119"/>
    <mergeCell ref="FL152:FM152"/>
    <mergeCell ref="GT13:GU13"/>
    <mergeCell ref="AL62:AP62"/>
    <mergeCell ref="BN10:BO10"/>
    <mergeCell ref="AD225:AG225"/>
    <mergeCell ref="AD261:AG261"/>
    <mergeCell ref="DZ18:EB18"/>
    <mergeCell ref="DD122:DF122"/>
    <mergeCell ref="CA11:CD11"/>
    <mergeCell ref="FT71:FV71"/>
    <mergeCell ref="CR56:CW56"/>
    <mergeCell ref="DR306:DW306"/>
    <mergeCell ref="IA71:IC71"/>
    <mergeCell ref="EC60:EE60"/>
    <mergeCell ref="FY97:GD97"/>
    <mergeCell ref="V170:Y170"/>
    <mergeCell ref="HP2:IC3"/>
    <mergeCell ref="AD227:AG227"/>
    <mergeCell ref="GY123:HD123"/>
    <mergeCell ref="AB28:AC28"/>
    <mergeCell ref="DR278:DW278"/>
    <mergeCell ref="HS16:HU16"/>
    <mergeCell ref="C97:H97"/>
    <mergeCell ref="V284:Y284"/>
    <mergeCell ref="DZ324:EB324"/>
    <mergeCell ref="AB41:AG41"/>
    <mergeCell ref="HB127:HD127"/>
    <mergeCell ref="CR58:CT58"/>
    <mergeCell ref="DI67:DN67"/>
    <mergeCell ref="HX67:IC67"/>
    <mergeCell ref="DA141:DF141"/>
    <mergeCell ref="DA225:DC225"/>
    <mergeCell ref="DR302:DT302"/>
    <mergeCell ref="EZ111:FB111"/>
    <mergeCell ref="V172:Y172"/>
    <mergeCell ref="DL71:DN71"/>
    <mergeCell ref="DM168:DN168"/>
    <mergeCell ref="FH197:FK197"/>
    <mergeCell ref="GP28:GU31"/>
    <mergeCell ref="GP102:GU102"/>
    <mergeCell ref="HC69:HD69"/>
    <mergeCell ref="DM13:DN13"/>
    <mergeCell ref="CR46:CW49"/>
    <mergeCell ref="FK79:FM79"/>
    <mergeCell ref="K26:N27"/>
    <mergeCell ref="HP22:HU22"/>
    <mergeCell ref="AB29:AC29"/>
    <mergeCell ref="DZ81:EE81"/>
    <mergeCell ref="T130:W130"/>
    <mergeCell ref="AB187:AE187"/>
    <mergeCell ref="FH220:FJ220"/>
    <mergeCell ref="FY51:GD54"/>
    <mergeCell ref="FK81:FM81"/>
    <mergeCell ref="AS48:AX48"/>
    <mergeCell ref="DA279:DC279"/>
    <mergeCell ref="GH103:GM106"/>
    <mergeCell ref="DA376:DD376"/>
    <mergeCell ref="X217:Y217"/>
    <mergeCell ref="FH222:FJ222"/>
    <mergeCell ref="AF274:AG274"/>
    <mergeCell ref="HX236:IA236"/>
    <mergeCell ref="C118:D118"/>
    <mergeCell ref="DZ254:EC254"/>
    <mergeCell ref="HX208:IA208"/>
    <mergeCell ref="FY75:GA75"/>
    <mergeCell ref="AB56:AC56"/>
    <mergeCell ref="V312:Y312"/>
    <mergeCell ref="HP153:HS153"/>
    <mergeCell ref="DR319:DW319"/>
    <mergeCell ref="DI216:DN217"/>
    <mergeCell ref="GY149:HD150"/>
    <mergeCell ref="V314:Y314"/>
    <mergeCell ref="FK63:FM63"/>
    <mergeCell ref="GY55:HD55"/>
    <mergeCell ref="FH154:FM154"/>
    <mergeCell ref="FU121:FV121"/>
    <mergeCell ref="AB118:AG122"/>
    <mergeCell ref="BS10:BV10"/>
    <mergeCell ref="T5:Y5"/>
    <mergeCell ref="EC104:EE104"/>
    <mergeCell ref="GP115:GU115"/>
    <mergeCell ref="DI297:DN297"/>
    <mergeCell ref="DL94:DN94"/>
    <mergeCell ref="HS72:HU72"/>
    <mergeCell ref="EZ12:FE12"/>
    <mergeCell ref="DU171:DW171"/>
    <mergeCell ref="FC18:FE18"/>
    <mergeCell ref="T116:U116"/>
    <mergeCell ref="DR166:DU166"/>
    <mergeCell ref="CE67:CF67"/>
    <mergeCell ref="GP117:GR117"/>
    <mergeCell ref="AK12:AP12"/>
    <mergeCell ref="DI383:DK383"/>
    <mergeCell ref="HB75:HD75"/>
    <mergeCell ref="AK15:AM15"/>
    <mergeCell ref="AN16:AP16"/>
    <mergeCell ref="DL148:DN148"/>
    <mergeCell ref="HG39:HL39"/>
    <mergeCell ref="C9:H9"/>
    <mergeCell ref="V25:Y25"/>
    <mergeCell ref="AT56:AX56"/>
    <mergeCell ref="BB26:BG26"/>
    <mergeCell ref="EZ219:FB219"/>
    <mergeCell ref="FC220:FE220"/>
    <mergeCell ref="AB75:AC75"/>
    <mergeCell ref="DZ306:EE306"/>
    <mergeCell ref="T89:Y93"/>
    <mergeCell ref="DI11:DN11"/>
    <mergeCell ref="AD170:AG170"/>
    <mergeCell ref="FC222:FE222"/>
    <mergeCell ref="GY41:HB41"/>
    <mergeCell ref="T167:U167"/>
    <mergeCell ref="T142:U142"/>
    <mergeCell ref="HX15:HZ15"/>
    <mergeCell ref="T16:Y16"/>
    <mergeCell ref="IA16:IC16"/>
    <mergeCell ref="DI141:DN141"/>
    <mergeCell ref="DZ302:EB302"/>
    <mergeCell ref="DL174:DN174"/>
    <mergeCell ref="HC12:HD12"/>
    <mergeCell ref="AD343:AG343"/>
    <mergeCell ref="T169:U169"/>
    <mergeCell ref="T144:U144"/>
    <mergeCell ref="BV28:BX28"/>
    <mergeCell ref="T360:Y360"/>
    <mergeCell ref="CN12:CO12"/>
    <mergeCell ref="CV69:CW69"/>
    <mergeCell ref="DI305:DK305"/>
    <mergeCell ref="DL18:DN18"/>
    <mergeCell ref="AK45:AP46"/>
    <mergeCell ref="DR37:DW37"/>
    <mergeCell ref="GH112:GM112"/>
    <mergeCell ref="EZ201:FB201"/>
    <mergeCell ref="DZ322:EE322"/>
    <mergeCell ref="HG50:HL50"/>
    <mergeCell ref="FH163:FJ163"/>
    <mergeCell ref="V84:Y84"/>
    <mergeCell ref="DR61:DT61"/>
    <mergeCell ref="AD46:AG46"/>
    <mergeCell ref="AD338:AG338"/>
    <mergeCell ref="DI37:DN37"/>
    <mergeCell ref="DA380:DC380"/>
    <mergeCell ref="DR73:DW74"/>
    <mergeCell ref="AK28:AM28"/>
    <mergeCell ref="BB37:BG37"/>
    <mergeCell ref="EZ203:FB203"/>
    <mergeCell ref="AD257:AG257"/>
    <mergeCell ref="FC64:FE64"/>
    <mergeCell ref="FH165:FJ165"/>
    <mergeCell ref="EZ209:FB209"/>
    <mergeCell ref="FK26:FM26"/>
    <mergeCell ref="GP43:GR43"/>
    <mergeCell ref="HX37:IC38"/>
    <mergeCell ref="AD346:AG346"/>
    <mergeCell ref="EQ39:EV39"/>
    <mergeCell ref="AD340:AG340"/>
    <mergeCell ref="AK30:AM30"/>
    <mergeCell ref="DR62:DT62"/>
    <mergeCell ref="EX2:EX9"/>
    <mergeCell ref="T195:U195"/>
    <mergeCell ref="V255:Y255"/>
    <mergeCell ref="T44:Y44"/>
    <mergeCell ref="FK21:FM21"/>
    <mergeCell ref="DE325:DF325"/>
    <mergeCell ref="HP106:HU106"/>
    <mergeCell ref="HP100:HR100"/>
    <mergeCell ref="HP233:HU234"/>
    <mergeCell ref="T378:Y378"/>
    <mergeCell ref="DZ321:EC321"/>
    <mergeCell ref="DZ319:EE319"/>
    <mergeCell ref="FH226:FM226"/>
    <mergeCell ref="HC40:HD40"/>
    <mergeCell ref="T197:U197"/>
    <mergeCell ref="BV56:BX56"/>
    <mergeCell ref="CN40:CO40"/>
    <mergeCell ref="T73:Y73"/>
    <mergeCell ref="DI149:DK149"/>
    <mergeCell ref="DI40:DN40"/>
    <mergeCell ref="AB331:AG331"/>
    <mergeCell ref="FQ95:FT95"/>
    <mergeCell ref="DE350:DF350"/>
    <mergeCell ref="GC121:GD121"/>
    <mergeCell ref="HG78:HL78"/>
    <mergeCell ref="FK77:FM77"/>
    <mergeCell ref="FU68:FV68"/>
    <mergeCell ref="AF304:AG304"/>
    <mergeCell ref="DI365:DN365"/>
    <mergeCell ref="EM12:EN12"/>
    <mergeCell ref="BF66:BG66"/>
    <mergeCell ref="GH92:GJ92"/>
    <mergeCell ref="FH218:FJ218"/>
    <mergeCell ref="HJ75:HL75"/>
    <mergeCell ref="CR42:CW42"/>
    <mergeCell ref="DE351:DF351"/>
    <mergeCell ref="EZ74:FB74"/>
    <mergeCell ref="GT14:GU14"/>
    <mergeCell ref="DA9:DN9"/>
    <mergeCell ref="T333:W333"/>
    <mergeCell ref="AS15:AU15"/>
    <mergeCell ref="HT264:HU264"/>
    <mergeCell ref="HT40:HU40"/>
    <mergeCell ref="HP246:HU246"/>
    <mergeCell ref="AB52:AC52"/>
    <mergeCell ref="X14:Y14"/>
    <mergeCell ref="DA95:DC95"/>
    <mergeCell ref="FK72:FM72"/>
    <mergeCell ref="V308:Y308"/>
    <mergeCell ref="GP64:GS64"/>
    <mergeCell ref="GH94:GJ94"/>
    <mergeCell ref="GH127:GM127"/>
    <mergeCell ref="EZ76:FB76"/>
    <mergeCell ref="AD25:AG25"/>
    <mergeCell ref="CR71:CW71"/>
    <mergeCell ref="BJ26:BO26"/>
    <mergeCell ref="FH219:FJ219"/>
    <mergeCell ref="DZ34:EC34"/>
    <mergeCell ref="FY100:GA100"/>
    <mergeCell ref="V310:Y310"/>
    <mergeCell ref="FD105:FE105"/>
    <mergeCell ref="HG69:HJ69"/>
    <mergeCell ref="EZ4:FM7"/>
    <mergeCell ref="AK13:AP13"/>
    <mergeCell ref="AF303:AG303"/>
    <mergeCell ref="GW2:GW9"/>
    <mergeCell ref="IA240:IC240"/>
    <mergeCell ref="ED320:EE320"/>
    <mergeCell ref="DA125:DF125"/>
    <mergeCell ref="CH2:CH9"/>
    <mergeCell ref="FY102:GA102"/>
    <mergeCell ref="AB167:AC167"/>
    <mergeCell ref="HS155:HU155"/>
    <mergeCell ref="DD251:DF251"/>
    <mergeCell ref="V339:Y339"/>
    <mergeCell ref="T117:Y117"/>
    <mergeCell ref="AF332:AG332"/>
    <mergeCell ref="AB55:AC55"/>
    <mergeCell ref="FC162:FE162"/>
    <mergeCell ref="DZ263:EE269"/>
    <mergeCell ref="DA121:DC121"/>
    <mergeCell ref="DR130:DW130"/>
    <mergeCell ref="AB169:AC169"/>
    <mergeCell ref="CV12:CW12"/>
    <mergeCell ref="FC128:FE128"/>
    <mergeCell ref="AD112:AG112"/>
    <mergeCell ref="GP112:GU112"/>
    <mergeCell ref="DA148:DC148"/>
    <mergeCell ref="DA123:DC123"/>
    <mergeCell ref="DR139:DW140"/>
    <mergeCell ref="GH113:GK113"/>
    <mergeCell ref="DI381:DK381"/>
    <mergeCell ref="V21:Y21"/>
    <mergeCell ref="DZ61:EB61"/>
    <mergeCell ref="DE91:DF91"/>
    <mergeCell ref="AD114:AG114"/>
    <mergeCell ref="DM324:DN324"/>
    <mergeCell ref="EI23:EN23"/>
    <mergeCell ref="C127:D127"/>
    <mergeCell ref="FQ15:FV15"/>
    <mergeCell ref="DR128:DT128"/>
    <mergeCell ref="V23:Y23"/>
    <mergeCell ref="V365:Y365"/>
    <mergeCell ref="DI158:DN162"/>
    <mergeCell ref="AD107:AG107"/>
    <mergeCell ref="HB15:HD15"/>
    <mergeCell ref="HP168:HU175"/>
    <mergeCell ref="HS211:HU211"/>
    <mergeCell ref="EC126:EE126"/>
    <mergeCell ref="T138:U138"/>
    <mergeCell ref="FY121:GB121"/>
    <mergeCell ref="AB195:AC195"/>
    <mergeCell ref="HP16:HR16"/>
    <mergeCell ref="HX106:IC106"/>
    <mergeCell ref="T152:Y153"/>
    <mergeCell ref="HX100:HZ100"/>
    <mergeCell ref="FK116:FM116"/>
    <mergeCell ref="GY4:HL7"/>
    <mergeCell ref="V24:Y24"/>
    <mergeCell ref="T140:U140"/>
    <mergeCell ref="DA174:DC174"/>
    <mergeCell ref="DD175:DF175"/>
    <mergeCell ref="CV40:CW40"/>
    <mergeCell ref="HS212:HU212"/>
    <mergeCell ref="EI51:EN51"/>
    <mergeCell ref="DE117:DF117"/>
    <mergeCell ref="EZ151:FC151"/>
    <mergeCell ref="FH79:FJ79"/>
    <mergeCell ref="FK118:FM118"/>
    <mergeCell ref="DM350:DN350"/>
    <mergeCell ref="FC33:FE33"/>
    <mergeCell ref="T297:Y298"/>
    <mergeCell ref="V49:Y49"/>
    <mergeCell ref="CJ4:CW7"/>
    <mergeCell ref="EZ18:FB18"/>
    <mergeCell ref="GB129:GD129"/>
    <mergeCell ref="AK24:AM24"/>
    <mergeCell ref="FQ43:FV43"/>
    <mergeCell ref="EZ17:FB17"/>
    <mergeCell ref="AD342:AG342"/>
    <mergeCell ref="AB131:AG131"/>
    <mergeCell ref="GY51:HD53"/>
    <mergeCell ref="AD336:AG336"/>
    <mergeCell ref="BB41:BG41"/>
    <mergeCell ref="AK26:AM26"/>
    <mergeCell ref="EI67:EN67"/>
    <mergeCell ref="V50:Y50"/>
    <mergeCell ref="HG19:HI19"/>
    <mergeCell ref="DD17:DF17"/>
    <mergeCell ref="EZ19:FB19"/>
    <mergeCell ref="V80:Y80"/>
    <mergeCell ref="T280:U280"/>
    <mergeCell ref="DR60:DT60"/>
    <mergeCell ref="HG12:HJ12"/>
    <mergeCell ref="CD14:CF14"/>
    <mergeCell ref="AD337:AG337"/>
    <mergeCell ref="DI120:DK120"/>
    <mergeCell ref="AS13:AX13"/>
    <mergeCell ref="DA349:DF349"/>
    <mergeCell ref="T282:U282"/>
    <mergeCell ref="FH147:FM148"/>
    <mergeCell ref="IA183:IC183"/>
    <mergeCell ref="DL279:DN279"/>
    <mergeCell ref="DA132:DF136"/>
    <mergeCell ref="FC203:FE203"/>
    <mergeCell ref="DZ329:EE335"/>
    <mergeCell ref="DA195:DD195"/>
    <mergeCell ref="FC86:FE86"/>
    <mergeCell ref="EC170:EE170"/>
    <mergeCell ref="AK49:AP49"/>
    <mergeCell ref="T160:Y160"/>
    <mergeCell ref="DZ130:EE130"/>
    <mergeCell ref="CJ28:CO28"/>
    <mergeCell ref="DA38:DD38"/>
    <mergeCell ref="EC172:EE172"/>
    <mergeCell ref="DZ127:EB127"/>
    <mergeCell ref="EI95:EN95"/>
    <mergeCell ref="DI148:DK148"/>
    <mergeCell ref="FY132:GD135"/>
    <mergeCell ref="DZ139:EE140"/>
    <mergeCell ref="DI177:DN177"/>
    <mergeCell ref="EZ72:FB72"/>
    <mergeCell ref="AB137:AC137"/>
    <mergeCell ref="FQ56:FV56"/>
    <mergeCell ref="AD57:AG57"/>
    <mergeCell ref="AK11:AN11"/>
    <mergeCell ref="DI325:DL325"/>
    <mergeCell ref="DL330:DN330"/>
    <mergeCell ref="DZ39:EB39"/>
    <mergeCell ref="EQ23:EV23"/>
    <mergeCell ref="DR79:DU79"/>
    <mergeCell ref="GP34:GU35"/>
    <mergeCell ref="HX177:IC178"/>
    <mergeCell ref="AB302:AG302"/>
    <mergeCell ref="HG40:HJ40"/>
    <mergeCell ref="DZ128:EB128"/>
    <mergeCell ref="T59:Y59"/>
    <mergeCell ref="AB139:AC139"/>
    <mergeCell ref="DA346:DF347"/>
    <mergeCell ref="HS127:HU127"/>
    <mergeCell ref="CR40:CU40"/>
    <mergeCell ref="HX219:IC221"/>
    <mergeCell ref="IA211:IC211"/>
    <mergeCell ref="CA27:CF27"/>
    <mergeCell ref="DA178:DF181"/>
    <mergeCell ref="HT69:HU69"/>
    <mergeCell ref="HP240:HR240"/>
    <mergeCell ref="AB138:AC138"/>
    <mergeCell ref="DI350:DL350"/>
    <mergeCell ref="DI44:DK44"/>
    <mergeCell ref="T88:Y88"/>
    <mergeCell ref="FH31:FJ31"/>
    <mergeCell ref="AB152:AG153"/>
    <mergeCell ref="AB290:AC290"/>
    <mergeCell ref="T219:Y219"/>
    <mergeCell ref="DA245:DF245"/>
    <mergeCell ref="BS69:BX69"/>
    <mergeCell ref="BS76:BX77"/>
    <mergeCell ref="DA329:DC329"/>
    <mergeCell ref="DI174:DK174"/>
    <mergeCell ref="EQ12:ET12"/>
    <mergeCell ref="DR257:DW257"/>
    <mergeCell ref="FK25:FM25"/>
    <mergeCell ref="GY101:HA101"/>
    <mergeCell ref="AD83:AG83"/>
    <mergeCell ref="DI351:DL351"/>
    <mergeCell ref="DI45:DK45"/>
    <mergeCell ref="DZ315:EE316"/>
    <mergeCell ref="BB2:BO3"/>
    <mergeCell ref="CD28:CF28"/>
    <mergeCell ref="DZ212:EE212"/>
    <mergeCell ref="AB14:AE14"/>
    <mergeCell ref="EC216:EE216"/>
    <mergeCell ref="EQ129:EV133"/>
    <mergeCell ref="T2:AG2"/>
    <mergeCell ref="HX184:HZ184"/>
    <mergeCell ref="FH17:FJ17"/>
    <mergeCell ref="DE64:DF64"/>
    <mergeCell ref="BJ43:BO43"/>
    <mergeCell ref="AB74:AG74"/>
    <mergeCell ref="AD78:AG78"/>
    <mergeCell ref="HG51:HL53"/>
    <mergeCell ref="EQ67:EV67"/>
    <mergeCell ref="T292:Y296"/>
    <mergeCell ref="FQ110:FV110"/>
    <mergeCell ref="DR126:DT126"/>
    <mergeCell ref="HP167:HU167"/>
    <mergeCell ref="GY127:HA127"/>
    <mergeCell ref="C67:D67"/>
    <mergeCell ref="BJ39:BM39"/>
    <mergeCell ref="FK201:FM201"/>
    <mergeCell ref="AF13:AG13"/>
    <mergeCell ref="DD304:DF304"/>
    <mergeCell ref="C69:D69"/>
    <mergeCell ref="FK114:FM114"/>
    <mergeCell ref="AF43:AG43"/>
    <mergeCell ref="AD136:AG136"/>
    <mergeCell ref="T239:Y240"/>
    <mergeCell ref="DZ196:EE196"/>
    <mergeCell ref="EZ117:FB117"/>
    <mergeCell ref="V134:Y134"/>
    <mergeCell ref="FQ39:FV39"/>
    <mergeCell ref="EC237:EE237"/>
    <mergeCell ref="EZ119:FB119"/>
    <mergeCell ref="DZ192:EB192"/>
    <mergeCell ref="DA2:DN3"/>
    <mergeCell ref="AD307:AG307"/>
    <mergeCell ref="DR43:DW49"/>
    <mergeCell ref="DM377:DN377"/>
    <mergeCell ref="T101:W101"/>
    <mergeCell ref="V163:Y163"/>
    <mergeCell ref="DI372:DN373"/>
    <mergeCell ref="ED57:EE57"/>
    <mergeCell ref="EQ95:EV95"/>
    <mergeCell ref="DR145:DU145"/>
    <mergeCell ref="HP195:HU195"/>
    <mergeCell ref="V76:Y76"/>
    <mergeCell ref="T251:U251"/>
    <mergeCell ref="DZ194:EB194"/>
    <mergeCell ref="V165:Y165"/>
    <mergeCell ref="V48:Y48"/>
    <mergeCell ref="HX123:IC123"/>
    <mergeCell ref="DI271:DN271"/>
    <mergeCell ref="C145:E145"/>
    <mergeCell ref="DA340:DF344"/>
    <mergeCell ref="FK125:FM125"/>
    <mergeCell ref="HT12:HU12"/>
    <mergeCell ref="DI115:DN115"/>
    <mergeCell ref="V77:Y77"/>
    <mergeCell ref="IB96:IC96"/>
    <mergeCell ref="DD19:DF19"/>
    <mergeCell ref="GK18:GM18"/>
    <mergeCell ref="HG134:HL134"/>
    <mergeCell ref="EZ134:FE134"/>
    <mergeCell ref="C82:D82"/>
    <mergeCell ref="BS12:BX12"/>
    <mergeCell ref="FK127:FM127"/>
    <mergeCell ref="AF72:AG72"/>
    <mergeCell ref="EQ120:EV121"/>
    <mergeCell ref="X129:Y129"/>
    <mergeCell ref="EZ130:FB130"/>
    <mergeCell ref="DM90:DN90"/>
    <mergeCell ref="FK39:FM39"/>
    <mergeCell ref="HG28:HL35"/>
    <mergeCell ref="T234:Y238"/>
    <mergeCell ref="AB230:AC230"/>
    <mergeCell ref="DR171:DT171"/>
    <mergeCell ref="FK128:FM128"/>
    <mergeCell ref="FC202:FE202"/>
    <mergeCell ref="AD144:AG144"/>
    <mergeCell ref="DU324:DW324"/>
    <mergeCell ref="EZ132:FB132"/>
    <mergeCell ref="CM58:CO58"/>
    <mergeCell ref="EI136:EN147"/>
    <mergeCell ref="GB19:GD19"/>
    <mergeCell ref="BJ70:BL70"/>
    <mergeCell ref="AB259:AC259"/>
    <mergeCell ref="DA65:DD65"/>
    <mergeCell ref="DI255:DN255"/>
    <mergeCell ref="GH64:GK64"/>
    <mergeCell ref="FK159:FM159"/>
    <mergeCell ref="AK34:AM34"/>
    <mergeCell ref="DI100:DN103"/>
    <mergeCell ref="HG125:HJ125"/>
    <mergeCell ref="HX195:IC195"/>
    <mergeCell ref="HP211:HR211"/>
    <mergeCell ref="CM16:CO16"/>
    <mergeCell ref="DZ126:EB126"/>
    <mergeCell ref="HX167:IC167"/>
    <mergeCell ref="FH27:FJ27"/>
    <mergeCell ref="GH65:GM65"/>
    <mergeCell ref="AB261:AC261"/>
    <mergeCell ref="GP27:GU27"/>
    <mergeCell ref="DR11:DW11"/>
    <mergeCell ref="BS65:BX65"/>
    <mergeCell ref="FH116:FJ116"/>
    <mergeCell ref="C158:E158"/>
    <mergeCell ref="DM116:DN116"/>
    <mergeCell ref="DR193:DT193"/>
    <mergeCell ref="AD79:AG79"/>
    <mergeCell ref="DI253:DK253"/>
    <mergeCell ref="FH109:FJ109"/>
    <mergeCell ref="DR99:DW99"/>
    <mergeCell ref="CJ45:CO45"/>
    <mergeCell ref="HG135:HL137"/>
    <mergeCell ref="BS28:BU28"/>
    <mergeCell ref="EQ101:EV105"/>
    <mergeCell ref="DA198:DC198"/>
    <mergeCell ref="FT75:FV75"/>
    <mergeCell ref="T17:U17"/>
    <mergeCell ref="EC303:EE303"/>
    <mergeCell ref="V115:Y115"/>
    <mergeCell ref="AB250:AC250"/>
    <mergeCell ref="EZ212:FB212"/>
    <mergeCell ref="ED123:EE123"/>
    <mergeCell ref="AB297:AG298"/>
    <mergeCell ref="GH91:GM91"/>
    <mergeCell ref="FH42:FM42"/>
    <mergeCell ref="T19:U19"/>
    <mergeCell ref="HX223:IC223"/>
    <mergeCell ref="T46:U46"/>
    <mergeCell ref="T317:U317"/>
    <mergeCell ref="BB71:BG71"/>
    <mergeCell ref="EZ214:FB214"/>
    <mergeCell ref="AD163:AG163"/>
    <mergeCell ref="HS267:HU267"/>
    <mergeCell ref="AB279:AC279"/>
    <mergeCell ref="T263:Y267"/>
    <mergeCell ref="GS42:GU42"/>
    <mergeCell ref="CA9:CF9"/>
    <mergeCell ref="CM44:CO44"/>
    <mergeCell ref="HB71:HD71"/>
    <mergeCell ref="DZ145:EC145"/>
    <mergeCell ref="GY79:HD81"/>
    <mergeCell ref="AD76:AG76"/>
    <mergeCell ref="T48:U48"/>
    <mergeCell ref="T319:U319"/>
    <mergeCell ref="DZ337:EE338"/>
    <mergeCell ref="T346:U346"/>
    <mergeCell ref="GS44:GU44"/>
    <mergeCell ref="AB281:AC281"/>
    <mergeCell ref="EI2:EV3"/>
    <mergeCell ref="T20:U20"/>
    <mergeCell ref="IB40:IC40"/>
    <mergeCell ref="FK207:FM207"/>
    <mergeCell ref="DA224:DC224"/>
    <mergeCell ref="FH40:FJ40"/>
    <mergeCell ref="GK117:GM117"/>
    <mergeCell ref="HC68:HD68"/>
    <mergeCell ref="DA382:DC382"/>
    <mergeCell ref="T348:U348"/>
    <mergeCell ref="DD383:DF383"/>
    <mergeCell ref="DA229:DF229"/>
    <mergeCell ref="AD221:AG221"/>
    <mergeCell ref="DD302:DF302"/>
    <mergeCell ref="FK78:FM78"/>
    <mergeCell ref="FD59:FE59"/>
    <mergeCell ref="EZ82:FB82"/>
    <mergeCell ref="EQ108:EV119"/>
    <mergeCell ref="GK119:GM119"/>
    <mergeCell ref="EC16:EE16"/>
    <mergeCell ref="DZ80:EE80"/>
    <mergeCell ref="BJ57:BO57"/>
    <mergeCell ref="IB41:IC41"/>
    <mergeCell ref="FK80:FM80"/>
    <mergeCell ref="FY50:GD50"/>
    <mergeCell ref="FQ124:FV124"/>
    <mergeCell ref="DR237:DT237"/>
    <mergeCell ref="DI64:DL64"/>
    <mergeCell ref="GY107:HD109"/>
    <mergeCell ref="V290:Y290"/>
    <mergeCell ref="CA37:CF37"/>
    <mergeCell ref="AD252:AG252"/>
    <mergeCell ref="DA287:DF287"/>
    <mergeCell ref="FL14:FM14"/>
    <mergeCell ref="AB234:AG238"/>
    <mergeCell ref="FY46:GA46"/>
    <mergeCell ref="DV210:DW210"/>
    <mergeCell ref="DA112:DF113"/>
    <mergeCell ref="IB180:IC180"/>
    <mergeCell ref="FL13:FM13"/>
    <mergeCell ref="T248:Y248"/>
    <mergeCell ref="CU58:CW58"/>
    <mergeCell ref="EZ110:FB110"/>
    <mergeCell ref="ED144:EE144"/>
    <mergeCell ref="T249:U249"/>
    <mergeCell ref="FH72:FJ72"/>
    <mergeCell ref="BF38:BG38"/>
    <mergeCell ref="DR153:DW159"/>
    <mergeCell ref="DV122:DW122"/>
    <mergeCell ref="A2:A9"/>
    <mergeCell ref="DA68:DC68"/>
    <mergeCell ref="DV211:DW211"/>
    <mergeCell ref="DZ87:EE93"/>
    <mergeCell ref="X71:Y71"/>
    <mergeCell ref="DZ256:EE256"/>
    <mergeCell ref="T129:W129"/>
    <mergeCell ref="C78:D78"/>
    <mergeCell ref="FK220:FM220"/>
    <mergeCell ref="V316:Y316"/>
    <mergeCell ref="EZ140:FE140"/>
    <mergeCell ref="HX240:HZ240"/>
    <mergeCell ref="FQ84:FV87"/>
    <mergeCell ref="FQ78:FV81"/>
    <mergeCell ref="GK43:GM43"/>
    <mergeCell ref="DR323:DW323"/>
    <mergeCell ref="FC171:FE171"/>
    <mergeCell ref="FC165:FE165"/>
    <mergeCell ref="AD113:AG113"/>
    <mergeCell ref="C107:D107"/>
    <mergeCell ref="FK222:FM222"/>
    <mergeCell ref="EI124:EL124"/>
    <mergeCell ref="AB343:AC343"/>
    <mergeCell ref="T205:Y209"/>
    <mergeCell ref="C79:D79"/>
    <mergeCell ref="AB65:AG66"/>
    <mergeCell ref="FK124:FM124"/>
    <mergeCell ref="C73:D73"/>
    <mergeCell ref="DI198:DK198"/>
    <mergeCell ref="FQ23:FV23"/>
    <mergeCell ref="EZ128:FB128"/>
    <mergeCell ref="AD115:AG115"/>
    <mergeCell ref="AB42:AE42"/>
    <mergeCell ref="DI385:DN385"/>
    <mergeCell ref="AB47:AC47"/>
    <mergeCell ref="HX93:IC94"/>
    <mergeCell ref="AB345:AC345"/>
    <mergeCell ref="DA273:DD273"/>
    <mergeCell ref="HP152:HS152"/>
    <mergeCell ref="FK126:FM126"/>
    <mergeCell ref="FQ19:FS19"/>
    <mergeCell ref="DA300:DF300"/>
    <mergeCell ref="BN53:BO53"/>
    <mergeCell ref="AB46:AC46"/>
    <mergeCell ref="BJ71:BO71"/>
    <mergeCell ref="T60:Y64"/>
    <mergeCell ref="AB257:AC257"/>
    <mergeCell ref="AB48:AC48"/>
    <mergeCell ref="AB346:AC346"/>
    <mergeCell ref="BN38:BO38"/>
    <mergeCell ref="GS118:GU118"/>
    <mergeCell ref="V29:Y29"/>
    <mergeCell ref="FU122:FV122"/>
    <mergeCell ref="EQ135:EV135"/>
    <mergeCell ref="CE25:CF25"/>
    <mergeCell ref="FQ14:FT14"/>
    <mergeCell ref="DI224:DK224"/>
    <mergeCell ref="DR36:DW36"/>
    <mergeCell ref="DZ152:EE152"/>
    <mergeCell ref="FQ13:FT13"/>
    <mergeCell ref="AN15:AP15"/>
    <mergeCell ref="DA299:DD299"/>
    <mergeCell ref="FL59:FM59"/>
    <mergeCell ref="HT181:HU181"/>
    <mergeCell ref="DR51:DW52"/>
    <mergeCell ref="EZ25:FB25"/>
    <mergeCell ref="FH140:FM140"/>
    <mergeCell ref="DI313:DN313"/>
    <mergeCell ref="AD168:AG168"/>
    <mergeCell ref="EZ156:FB156"/>
    <mergeCell ref="DR303:DT303"/>
    <mergeCell ref="CJ43:CO43"/>
    <mergeCell ref="BS23:BX23"/>
    <mergeCell ref="FT20:FV20"/>
    <mergeCell ref="EZ60:FC60"/>
    <mergeCell ref="C147:H149"/>
    <mergeCell ref="DA353:DF353"/>
    <mergeCell ref="C92:D92"/>
    <mergeCell ref="T320:Y320"/>
    <mergeCell ref="BS54:BX54"/>
    <mergeCell ref="FY39:GD39"/>
    <mergeCell ref="FQ40:FT40"/>
    <mergeCell ref="DI112:DN113"/>
    <mergeCell ref="IA15:IC15"/>
    <mergeCell ref="T342:U342"/>
    <mergeCell ref="DA106:DF110"/>
    <mergeCell ref="DZ260:EB260"/>
    <mergeCell ref="BN66:BO66"/>
    <mergeCell ref="FH167:FJ167"/>
    <mergeCell ref="FT74:FV74"/>
    <mergeCell ref="GH44:GJ44"/>
    <mergeCell ref="T349:Y349"/>
    <mergeCell ref="V114:Y114"/>
    <mergeCell ref="CJ59:CO59"/>
    <mergeCell ref="DZ153:EE159"/>
    <mergeCell ref="GC68:GD68"/>
    <mergeCell ref="DR64:DW64"/>
    <mergeCell ref="ED122:EE122"/>
    <mergeCell ref="T344:U344"/>
    <mergeCell ref="EZ196:FE196"/>
    <mergeCell ref="DZ117:EE118"/>
    <mergeCell ref="FK170:FM170"/>
    <mergeCell ref="FH169:FJ169"/>
    <mergeCell ref="FH125:FJ125"/>
    <mergeCell ref="DA282:DF285"/>
    <mergeCell ref="GY84:HD91"/>
    <mergeCell ref="IB125:IC125"/>
    <mergeCell ref="AD344:AG344"/>
    <mergeCell ref="DZ65:EE71"/>
    <mergeCell ref="FK163:FM163"/>
    <mergeCell ref="DU61:DW61"/>
    <mergeCell ref="V259:Y259"/>
    <mergeCell ref="BS53:BV53"/>
    <mergeCell ref="DZ167:EC167"/>
    <mergeCell ref="DZ165:EE165"/>
    <mergeCell ref="EI68:EL68"/>
    <mergeCell ref="DD380:DF380"/>
    <mergeCell ref="AN28:AP28"/>
    <mergeCell ref="DZ323:EE323"/>
    <mergeCell ref="EZ80:FB80"/>
    <mergeCell ref="DR210:DU210"/>
    <mergeCell ref="FK165:FM165"/>
    <mergeCell ref="GS43:GU43"/>
    <mergeCell ref="FY18:GA18"/>
    <mergeCell ref="FH120:FJ120"/>
    <mergeCell ref="V261:Y261"/>
    <mergeCell ref="BW24:BX24"/>
    <mergeCell ref="DE194:DF194"/>
    <mergeCell ref="DI326:DN326"/>
    <mergeCell ref="BS38:BV38"/>
    <mergeCell ref="CJ56:CO56"/>
    <mergeCell ref="AB205:AG209"/>
    <mergeCell ref="AB335:AG335"/>
    <mergeCell ref="FY23:GD23"/>
    <mergeCell ref="DI34:DN35"/>
    <mergeCell ref="AN30:AP30"/>
    <mergeCell ref="BF39:BG39"/>
    <mergeCell ref="CU30:CW30"/>
    <mergeCell ref="DR17:DT17"/>
    <mergeCell ref="BB16:BG18"/>
    <mergeCell ref="FY17:GA17"/>
    <mergeCell ref="FQ97:FV97"/>
    <mergeCell ref="T370:U370"/>
    <mergeCell ref="FY47:GA47"/>
    <mergeCell ref="GP62:GU62"/>
    <mergeCell ref="AB112:AC112"/>
    <mergeCell ref="HS100:HU100"/>
    <mergeCell ref="AB288:AC288"/>
    <mergeCell ref="CJ58:CL58"/>
    <mergeCell ref="DA67:DF67"/>
    <mergeCell ref="FY19:GA19"/>
    <mergeCell ref="GH28:GM31"/>
    <mergeCell ref="V256:Y256"/>
    <mergeCell ref="FK223:FM223"/>
    <mergeCell ref="T57:U57"/>
    <mergeCell ref="HG67:HL67"/>
    <mergeCell ref="BS30:BX32"/>
    <mergeCell ref="CJ46:CO49"/>
    <mergeCell ref="FC79:FE79"/>
    <mergeCell ref="HG68:HJ68"/>
    <mergeCell ref="DA247:DD247"/>
    <mergeCell ref="DP2:DP9"/>
    <mergeCell ref="T29:U29"/>
    <mergeCell ref="AV14:AX14"/>
    <mergeCell ref="X158:Y158"/>
    <mergeCell ref="FK216:FM216"/>
    <mergeCell ref="FY48:GA48"/>
    <mergeCell ref="EZ220:FB220"/>
    <mergeCell ref="FC81:FE81"/>
    <mergeCell ref="CA24:CD24"/>
    <mergeCell ref="GY22:HD22"/>
    <mergeCell ref="T58:U58"/>
    <mergeCell ref="HX235:IC235"/>
    <mergeCell ref="FK218:FM218"/>
    <mergeCell ref="BJ20:BO21"/>
    <mergeCell ref="T54:U54"/>
    <mergeCell ref="CA65:CF65"/>
    <mergeCell ref="FC74:FE74"/>
    <mergeCell ref="HP236:HS236"/>
    <mergeCell ref="BS66:BV66"/>
    <mergeCell ref="ED166:EE166"/>
    <mergeCell ref="CA53:CD53"/>
    <mergeCell ref="IB181:IC181"/>
    <mergeCell ref="DR254:DU254"/>
    <mergeCell ref="AD111:AG111"/>
    <mergeCell ref="BB62:BG63"/>
    <mergeCell ref="HB19:HD19"/>
    <mergeCell ref="C80:D80"/>
    <mergeCell ref="T83:U83"/>
    <mergeCell ref="DL175:DN175"/>
    <mergeCell ref="DZ210:EC210"/>
    <mergeCell ref="DV233:DW233"/>
    <mergeCell ref="FH60:FK60"/>
    <mergeCell ref="K14:N15"/>
    <mergeCell ref="GB100:GD100"/>
    <mergeCell ref="HP237:HS237"/>
    <mergeCell ref="BJ38:BM38"/>
    <mergeCell ref="T85:U85"/>
    <mergeCell ref="FY68:GB68"/>
    <mergeCell ref="HG95:HL95"/>
    <mergeCell ref="DD120:DF120"/>
    <mergeCell ref="GP42:GR42"/>
    <mergeCell ref="DA48:DF51"/>
    <mergeCell ref="DD278:DF278"/>
    <mergeCell ref="HX251:IC251"/>
    <mergeCell ref="EZ154:FE154"/>
    <mergeCell ref="CA42:CC42"/>
    <mergeCell ref="GB102:GD102"/>
    <mergeCell ref="FY40:GB40"/>
    <mergeCell ref="DZ211:EC211"/>
    <mergeCell ref="T84:U84"/>
    <mergeCell ref="DI308:DN311"/>
    <mergeCell ref="AB342:AC342"/>
    <mergeCell ref="FH81:FJ81"/>
    <mergeCell ref="AB71:AE71"/>
    <mergeCell ref="GH115:GM115"/>
    <mergeCell ref="AB349:AG349"/>
    <mergeCell ref="AD258:AG258"/>
    <mergeCell ref="CA52:CD52"/>
    <mergeCell ref="CR59:CW59"/>
    <mergeCell ref="DD121:DF121"/>
    <mergeCell ref="BJ48:BO49"/>
    <mergeCell ref="AB344:AC344"/>
    <mergeCell ref="FH112:FJ112"/>
    <mergeCell ref="BN11:BO11"/>
    <mergeCell ref="DZ131:EE137"/>
    <mergeCell ref="O11:Q12"/>
    <mergeCell ref="V27:Y27"/>
    <mergeCell ref="AF158:AG158"/>
    <mergeCell ref="AD251:AG251"/>
    <mergeCell ref="DA383:DC383"/>
    <mergeCell ref="GH27:GM27"/>
    <mergeCell ref="HT152:HU152"/>
    <mergeCell ref="AD287:AG287"/>
    <mergeCell ref="DD148:DF148"/>
    <mergeCell ref="FH78:FJ78"/>
    <mergeCell ref="HP134:HU134"/>
    <mergeCell ref="EC61:EE61"/>
    <mergeCell ref="FY123:GD123"/>
    <mergeCell ref="V196:Y196"/>
    <mergeCell ref="DZ236:EB236"/>
    <mergeCell ref="AD253:AG253"/>
    <mergeCell ref="DU39:DW39"/>
    <mergeCell ref="T225:U225"/>
    <mergeCell ref="AD289:AG289"/>
    <mergeCell ref="C88:D88"/>
    <mergeCell ref="C126:D126"/>
    <mergeCell ref="FH80:FJ80"/>
    <mergeCell ref="IA99:IC99"/>
    <mergeCell ref="DU128:DW128"/>
    <mergeCell ref="DA167:DF167"/>
    <mergeCell ref="V22:Y22"/>
    <mergeCell ref="DA168:DD168"/>
    <mergeCell ref="V198:Y198"/>
    <mergeCell ref="T291:Y291"/>
    <mergeCell ref="DM194:DN194"/>
    <mergeCell ref="HX279:IC279"/>
    <mergeCell ref="AD282:AG282"/>
    <mergeCell ref="T227:U227"/>
    <mergeCell ref="IA128:IC128"/>
    <mergeCell ref="C117:D117"/>
    <mergeCell ref="AS54:AX55"/>
    <mergeCell ref="T3:AG4"/>
    <mergeCell ref="IA100:IC100"/>
    <mergeCell ref="HG121:HL122"/>
    <mergeCell ref="DD16:DF16"/>
    <mergeCell ref="EZ141:FE144"/>
    <mergeCell ref="EZ135:FE138"/>
    <mergeCell ref="AD313:AG313"/>
    <mergeCell ref="DI281:DN281"/>
    <mergeCell ref="DD174:DF174"/>
    <mergeCell ref="CR74:CW77"/>
    <mergeCell ref="FY122:GB122"/>
    <mergeCell ref="HP184:HR184"/>
    <mergeCell ref="C115:D115"/>
    <mergeCell ref="EU96:EV96"/>
    <mergeCell ref="AB248:AG248"/>
    <mergeCell ref="T281:U281"/>
    <mergeCell ref="AT50:AX50"/>
    <mergeCell ref="DI277:DK277"/>
    <mergeCell ref="FC32:FE32"/>
    <mergeCell ref="HX181:IA181"/>
    <mergeCell ref="EZ163:FB163"/>
    <mergeCell ref="FC24:FE24"/>
    <mergeCell ref="DM220:DN220"/>
    <mergeCell ref="CJ25:CO25"/>
    <mergeCell ref="AN24:AP24"/>
    <mergeCell ref="HX135:IC137"/>
    <mergeCell ref="V338:Y338"/>
    <mergeCell ref="DA37:DF37"/>
    <mergeCell ref="ED232:EE232"/>
    <mergeCell ref="HJ17:HL17"/>
    <mergeCell ref="HG22:HL22"/>
    <mergeCell ref="EZ165:FB165"/>
    <mergeCell ref="HP37:HU38"/>
    <mergeCell ref="AB306:AG306"/>
    <mergeCell ref="CR14:CW14"/>
    <mergeCell ref="FD152:FE152"/>
    <mergeCell ref="AN26:AP26"/>
    <mergeCell ref="BF10:BG10"/>
    <mergeCell ref="V340:Y340"/>
    <mergeCell ref="DA39:DD39"/>
    <mergeCell ref="GL13:GM13"/>
    <mergeCell ref="HJ19:HL19"/>
    <mergeCell ref="HX27:IC27"/>
    <mergeCell ref="HP56:HU63"/>
    <mergeCell ref="FH180:FM180"/>
    <mergeCell ref="AB83:AC83"/>
    <mergeCell ref="DI54:DN58"/>
    <mergeCell ref="DR219:DW225"/>
    <mergeCell ref="ED233:EE233"/>
    <mergeCell ref="HP190:HU190"/>
    <mergeCell ref="V252:Y252"/>
    <mergeCell ref="AB110:AC110"/>
    <mergeCell ref="AB85:AC85"/>
    <mergeCell ref="AF245:AG245"/>
    <mergeCell ref="DL120:DN120"/>
    <mergeCell ref="FH176:FJ176"/>
    <mergeCell ref="DI27:DN27"/>
    <mergeCell ref="DL331:DN331"/>
    <mergeCell ref="GH102:GM102"/>
    <mergeCell ref="FC77:FE77"/>
    <mergeCell ref="FH178:FJ178"/>
    <mergeCell ref="DE13:DF13"/>
    <mergeCell ref="EZ34:FB34"/>
    <mergeCell ref="V372:Y372"/>
    <mergeCell ref="GB17:GD17"/>
    <mergeCell ref="AK40:AP40"/>
    <mergeCell ref="HP268:HR268"/>
    <mergeCell ref="EC127:EE127"/>
    <mergeCell ref="DZ218:EE218"/>
    <mergeCell ref="C76:D76"/>
    <mergeCell ref="AK36:AM36"/>
    <mergeCell ref="HJ72:HL72"/>
    <mergeCell ref="FC72:FE72"/>
    <mergeCell ref="DI352:DN352"/>
    <mergeCell ref="AB136:AC136"/>
    <mergeCell ref="FH173:FJ173"/>
    <mergeCell ref="AD196:AG196"/>
    <mergeCell ref="DU194:DW194"/>
    <mergeCell ref="X274:Y274"/>
    <mergeCell ref="EZ222:FB222"/>
    <mergeCell ref="GY103:HA103"/>
    <mergeCell ref="BS56:BU56"/>
    <mergeCell ref="DI53:DN53"/>
    <mergeCell ref="DL42:DN42"/>
    <mergeCell ref="T81:U81"/>
    <mergeCell ref="T56:U56"/>
    <mergeCell ref="DZ303:EB303"/>
    <mergeCell ref="DI168:DL168"/>
    <mergeCell ref="AD198:AG198"/>
    <mergeCell ref="AB314:AC314"/>
    <mergeCell ref="CN55:CO55"/>
    <mergeCell ref="DV13:DW13"/>
    <mergeCell ref="FK29:FM29"/>
    <mergeCell ref="FK205:FM205"/>
    <mergeCell ref="T170:U170"/>
    <mergeCell ref="HX43:HZ43"/>
    <mergeCell ref="IA44:IC44"/>
    <mergeCell ref="DI353:DN353"/>
    <mergeCell ref="DZ58:EE58"/>
    <mergeCell ref="DV320:DW320"/>
    <mergeCell ref="DL44:DN44"/>
    <mergeCell ref="DA216:DF217"/>
    <mergeCell ref="GH88:GK88"/>
    <mergeCell ref="AB307:AC307"/>
    <mergeCell ref="AK25:AM25"/>
    <mergeCell ref="C63:H63"/>
    <mergeCell ref="X332:Y332"/>
    <mergeCell ref="FC63:FE63"/>
    <mergeCell ref="DR263:DW269"/>
    <mergeCell ref="FL151:FM151"/>
    <mergeCell ref="EU41:EV41"/>
    <mergeCell ref="AB161:AG161"/>
    <mergeCell ref="AD224:AG224"/>
    <mergeCell ref="CR25:CW25"/>
    <mergeCell ref="AB25:AC25"/>
    <mergeCell ref="T70:Y70"/>
    <mergeCell ref="DZ233:EC233"/>
    <mergeCell ref="GY39:HD39"/>
    <mergeCell ref="BE70:BG70"/>
    <mergeCell ref="DZ16:EB16"/>
    <mergeCell ref="AD278:AG278"/>
    <mergeCell ref="GY124:HB124"/>
    <mergeCell ref="T223:U223"/>
    <mergeCell ref="HX56:IC63"/>
    <mergeCell ref="AL56:AP56"/>
    <mergeCell ref="T99:Y99"/>
    <mergeCell ref="DI66:DN66"/>
    <mergeCell ref="DU126:DW126"/>
    <mergeCell ref="HP128:HR128"/>
    <mergeCell ref="FQ121:FT121"/>
    <mergeCell ref="DI197:DN197"/>
    <mergeCell ref="K23:N24"/>
    <mergeCell ref="DR144:DU144"/>
    <mergeCell ref="FC116:FE116"/>
    <mergeCell ref="CN68:CO68"/>
    <mergeCell ref="FH217:FJ217"/>
    <mergeCell ref="GT38:GU38"/>
    <mergeCell ref="AF188:AG188"/>
    <mergeCell ref="CV27:CW27"/>
    <mergeCell ref="GP88:GS88"/>
    <mergeCell ref="HG106:HL106"/>
    <mergeCell ref="AD311:AG311"/>
    <mergeCell ref="FC118:FE118"/>
    <mergeCell ref="V167:Y167"/>
    <mergeCell ref="GH14:GK14"/>
    <mergeCell ref="GP53:GU56"/>
    <mergeCell ref="DR147:DW147"/>
    <mergeCell ref="CN69:CO69"/>
    <mergeCell ref="FC117:FE117"/>
    <mergeCell ref="FC111:FE111"/>
    <mergeCell ref="C53:D53"/>
    <mergeCell ref="V169:Y169"/>
    <mergeCell ref="EQ17:EV21"/>
    <mergeCell ref="HX247:IC249"/>
    <mergeCell ref="ED12:EE12"/>
    <mergeCell ref="DI119:DN119"/>
    <mergeCell ref="DA193:DF193"/>
    <mergeCell ref="AB79:AC79"/>
    <mergeCell ref="AB54:AC54"/>
    <mergeCell ref="DR320:DU320"/>
    <mergeCell ref="GY19:HA19"/>
    <mergeCell ref="HG103:HI103"/>
    <mergeCell ref="DA276:DC276"/>
    <mergeCell ref="AB262:AG262"/>
    <mergeCell ref="EI39:EN39"/>
    <mergeCell ref="DV255:DW255"/>
    <mergeCell ref="FH101:FM102"/>
    <mergeCell ref="FH118:FJ118"/>
    <mergeCell ref="AB81:AC81"/>
    <mergeCell ref="FH153:FM153"/>
    <mergeCell ref="V337:Y337"/>
    <mergeCell ref="CV55:CW55"/>
    <mergeCell ref="DA275:DF275"/>
    <mergeCell ref="T304:W304"/>
    <mergeCell ref="DA278:DC278"/>
    <mergeCell ref="AD24:AG24"/>
    <mergeCell ref="DR321:DU321"/>
    <mergeCell ref="DR329:DW335"/>
    <mergeCell ref="O20:Q21"/>
    <mergeCell ref="DU170:DW170"/>
    <mergeCell ref="DA149:DC149"/>
    <mergeCell ref="AD288:AG288"/>
    <mergeCell ref="T331:Y331"/>
    <mergeCell ref="DZ301:EE301"/>
    <mergeCell ref="AT59:AX59"/>
    <mergeCell ref="DI288:DN292"/>
    <mergeCell ref="DL147:DN147"/>
    <mergeCell ref="DR40:DT40"/>
    <mergeCell ref="EQ45:EV49"/>
    <mergeCell ref="HX275:IC277"/>
    <mergeCell ref="EC150:EE150"/>
    <mergeCell ref="EZ32:FB32"/>
    <mergeCell ref="AD19:AG19"/>
    <mergeCell ref="DZ197:EE203"/>
    <mergeCell ref="AB217:AE217"/>
    <mergeCell ref="T186:Y186"/>
    <mergeCell ref="FQ16:FV16"/>
    <mergeCell ref="FH152:FK152"/>
    <mergeCell ref="FQ132:FV135"/>
    <mergeCell ref="C125:D125"/>
    <mergeCell ref="GP13:GS13"/>
    <mergeCell ref="EZ218:FB218"/>
    <mergeCell ref="HP83:HU83"/>
    <mergeCell ref="EQ148:EV149"/>
    <mergeCell ref="AD27:AG27"/>
    <mergeCell ref="GL39:GM39"/>
    <mergeCell ref="AB221:AC221"/>
    <mergeCell ref="GH34:GM35"/>
    <mergeCell ref="AD319:AG319"/>
    <mergeCell ref="BS34:BX35"/>
    <mergeCell ref="HS239:HU239"/>
    <mergeCell ref="DR4:EE7"/>
    <mergeCell ref="BM70:BO70"/>
    <mergeCell ref="FT48:FV48"/>
    <mergeCell ref="DR35:DU35"/>
    <mergeCell ref="EZ62:FE62"/>
    <mergeCell ref="DL302:DN302"/>
    <mergeCell ref="GY40:HB40"/>
    <mergeCell ref="DA175:DC175"/>
    <mergeCell ref="CJ40:CM40"/>
    <mergeCell ref="FK30:FM30"/>
    <mergeCell ref="HX11:IC11"/>
    <mergeCell ref="BB51:BG51"/>
    <mergeCell ref="AB99:AG99"/>
    <mergeCell ref="BS29:BX29"/>
    <mergeCell ref="HX128:HZ128"/>
    <mergeCell ref="BB14:BD14"/>
    <mergeCell ref="DA350:DD350"/>
    <mergeCell ref="DL173:DN173"/>
    <mergeCell ref="DM376:DN376"/>
    <mergeCell ref="GY69:HB69"/>
    <mergeCell ref="DZ144:EC144"/>
    <mergeCell ref="X303:Y303"/>
    <mergeCell ref="CV68:CW68"/>
    <mergeCell ref="FQ68:FT68"/>
    <mergeCell ref="HS240:HU240"/>
    <mergeCell ref="DI13:DL13"/>
    <mergeCell ref="T47:U47"/>
    <mergeCell ref="GY23:HD25"/>
    <mergeCell ref="CJ41:CM41"/>
    <mergeCell ref="T181:Y182"/>
    <mergeCell ref="FH135:FM138"/>
    <mergeCell ref="DA351:DD351"/>
    <mergeCell ref="DA45:DC45"/>
    <mergeCell ref="FC219:FE219"/>
    <mergeCell ref="FY138:GD141"/>
    <mergeCell ref="AB157:AG157"/>
    <mergeCell ref="CA13:CF13"/>
    <mergeCell ref="DR212:DW212"/>
    <mergeCell ref="DD198:DF198"/>
    <mergeCell ref="DZ147:EE147"/>
    <mergeCell ref="GY112:HD119"/>
    <mergeCell ref="T14:W14"/>
    <mergeCell ref="T192:U192"/>
    <mergeCell ref="FC212:FE212"/>
    <mergeCell ref="V112:Y112"/>
    <mergeCell ref="AB274:AE274"/>
    <mergeCell ref="V106:Y106"/>
    <mergeCell ref="CA15:CF15"/>
    <mergeCell ref="AB186:AG186"/>
    <mergeCell ref="ED298:EE298"/>
    <mergeCell ref="AD222:AG222"/>
    <mergeCell ref="EI24:EN35"/>
    <mergeCell ref="V78:Y78"/>
    <mergeCell ref="T194:U194"/>
    <mergeCell ref="V105:Y105"/>
    <mergeCell ref="HG47:HI47"/>
    <mergeCell ref="CR55:CU55"/>
    <mergeCell ref="DI146:DK146"/>
    <mergeCell ref="DI193:DN193"/>
    <mergeCell ref="V289:Y289"/>
    <mergeCell ref="DZ320:EC320"/>
    <mergeCell ref="IA184:IC184"/>
    <mergeCell ref="DA158:DF162"/>
    <mergeCell ref="FK38:FM38"/>
    <mergeCell ref="T103:Y103"/>
    <mergeCell ref="V107:Y107"/>
    <mergeCell ref="FK74:FM74"/>
    <mergeCell ref="ED299:EE299"/>
    <mergeCell ref="GP96:GU96"/>
    <mergeCell ref="ED255:EE255"/>
    <mergeCell ref="AB332:AE332"/>
    <mergeCell ref="DZ42:EE42"/>
    <mergeCell ref="DD224:DF224"/>
    <mergeCell ref="FK67:FM67"/>
    <mergeCell ref="CR12:CU12"/>
    <mergeCell ref="FH215:FJ215"/>
    <mergeCell ref="AI2:AI9"/>
    <mergeCell ref="DU236:DW236"/>
    <mergeCell ref="AS9:AX9"/>
    <mergeCell ref="DA131:DF131"/>
    <mergeCell ref="EZ71:FB71"/>
    <mergeCell ref="DR240:DW240"/>
    <mergeCell ref="DZ38:EB38"/>
    <mergeCell ref="GY140:HD147"/>
    <mergeCell ref="FC82:FE82"/>
    <mergeCell ref="FK69:FM69"/>
    <mergeCell ref="HG73:HI73"/>
    <mergeCell ref="EZ73:FB73"/>
    <mergeCell ref="HP9:IC9"/>
    <mergeCell ref="BJ23:BO23"/>
    <mergeCell ref="FH216:FJ216"/>
    <mergeCell ref="DZ40:EB40"/>
    <mergeCell ref="BM56:BO56"/>
    <mergeCell ref="DU237:DW237"/>
    <mergeCell ref="DA184:DF188"/>
    <mergeCell ref="EI52:EN63"/>
    <mergeCell ref="EI123:EN123"/>
    <mergeCell ref="K11:N12"/>
    <mergeCell ref="DV57:DW57"/>
    <mergeCell ref="DA372:DF373"/>
    <mergeCell ref="T176:Y180"/>
    <mergeCell ref="GL63:GM63"/>
    <mergeCell ref="EQ64:EV65"/>
    <mergeCell ref="FQ51:FV54"/>
    <mergeCell ref="HX83:IC83"/>
    <mergeCell ref="DA204:DF207"/>
    <mergeCell ref="AB202:AC202"/>
    <mergeCell ref="FQ90:FV91"/>
    <mergeCell ref="T131:Y131"/>
    <mergeCell ref="HP151:HU151"/>
    <mergeCell ref="CE39:CF39"/>
    <mergeCell ref="CA34:CF35"/>
    <mergeCell ref="AB174:AC174"/>
    <mergeCell ref="CR68:CU68"/>
    <mergeCell ref="DR169:DW169"/>
    <mergeCell ref="DA271:DF271"/>
    <mergeCell ref="IA239:IC239"/>
    <mergeCell ref="FH62:FM62"/>
    <mergeCell ref="DI200:DK200"/>
    <mergeCell ref="AB166:AC166"/>
    <mergeCell ref="DZ209:EE209"/>
    <mergeCell ref="FC169:FE169"/>
    <mergeCell ref="DZ103:EE103"/>
    <mergeCell ref="HX71:HZ71"/>
    <mergeCell ref="AD109:AG109"/>
    <mergeCell ref="DI71:DK71"/>
    <mergeCell ref="X246:Y246"/>
    <mergeCell ref="DA120:DC120"/>
    <mergeCell ref="CR69:CU69"/>
    <mergeCell ref="FC127:FE127"/>
    <mergeCell ref="AB191:AC191"/>
    <mergeCell ref="DA144:DF144"/>
    <mergeCell ref="X72:Y72"/>
    <mergeCell ref="DA230:DF233"/>
    <mergeCell ref="FC164:FE164"/>
    <mergeCell ref="FQ12:FV12"/>
    <mergeCell ref="DA28:DF32"/>
    <mergeCell ref="AD104:AG104"/>
    <mergeCell ref="BJ69:BO69"/>
    <mergeCell ref="FT17:FV17"/>
    <mergeCell ref="DA297:DF297"/>
    <mergeCell ref="HG112:HL119"/>
    <mergeCell ref="DZ84:EB84"/>
    <mergeCell ref="DI226:DK226"/>
    <mergeCell ref="AB192:AC192"/>
    <mergeCell ref="AD315:AG315"/>
    <mergeCell ref="DR127:DT127"/>
    <mergeCell ref="T260:U260"/>
    <mergeCell ref="AS41:AX43"/>
    <mergeCell ref="AB222:AC222"/>
    <mergeCell ref="FK113:FM113"/>
    <mergeCell ref="T273:Y273"/>
    <mergeCell ref="FT19:FV19"/>
    <mergeCell ref="DA177:DF177"/>
    <mergeCell ref="T137:U137"/>
    <mergeCell ref="T259:U259"/>
    <mergeCell ref="AB194:AC194"/>
    <mergeCell ref="DI268:DN269"/>
    <mergeCell ref="DD330:DF330"/>
    <mergeCell ref="HP177:HU178"/>
    <mergeCell ref="AB70:AG70"/>
    <mergeCell ref="DR39:DT39"/>
    <mergeCell ref="HX261:IC262"/>
    <mergeCell ref="DL381:DN381"/>
    <mergeCell ref="HX99:HZ99"/>
    <mergeCell ref="DA170:DF170"/>
    <mergeCell ref="FH70:FJ70"/>
    <mergeCell ref="FH43:FM46"/>
    <mergeCell ref="DZ108:EE108"/>
    <mergeCell ref="DA173:DC173"/>
    <mergeCell ref="T261:U261"/>
    <mergeCell ref="DI221:DL221"/>
    <mergeCell ref="AB223:AC223"/>
    <mergeCell ref="BS27:BX27"/>
    <mergeCell ref="DE116:DF116"/>
    <mergeCell ref="C124:D124"/>
    <mergeCell ref="EZ31:FB31"/>
    <mergeCell ref="DZ104:EB104"/>
    <mergeCell ref="T290:U290"/>
    <mergeCell ref="C90:D90"/>
    <mergeCell ref="FH71:FJ71"/>
    <mergeCell ref="AB128:AG128"/>
    <mergeCell ref="EI12:EL12"/>
    <mergeCell ref="DR57:DU57"/>
    <mergeCell ref="AK23:AM23"/>
    <mergeCell ref="FC25:FE25"/>
    <mergeCell ref="DZ106:EB106"/>
    <mergeCell ref="HG16:HI16"/>
    <mergeCell ref="AD28:AG28"/>
    <mergeCell ref="HP40:HS40"/>
    <mergeCell ref="AB116:AC116"/>
    <mergeCell ref="EQ52:EV63"/>
    <mergeCell ref="DI184:DN188"/>
    <mergeCell ref="BB28:BD28"/>
    <mergeCell ref="EQ123:EV123"/>
    <mergeCell ref="HP223:HU223"/>
    <mergeCell ref="EZ200:FE200"/>
    <mergeCell ref="GK42:GM42"/>
    <mergeCell ref="T279:U279"/>
    <mergeCell ref="AK18:AM18"/>
    <mergeCell ref="ED78:EE78"/>
    <mergeCell ref="DZ284:EE284"/>
    <mergeCell ref="EI129:EN133"/>
    <mergeCell ref="DA14:DF14"/>
    <mergeCell ref="GH46:GM46"/>
    <mergeCell ref="V374:Y374"/>
    <mergeCell ref="HX151:IC151"/>
    <mergeCell ref="FK167:FM167"/>
    <mergeCell ref="DI157:DN157"/>
    <mergeCell ref="AS12:AX12"/>
    <mergeCell ref="DD45:DF45"/>
    <mergeCell ref="BS55:BX55"/>
    <mergeCell ref="GK44:GM44"/>
    <mergeCell ref="DZ21:EE27"/>
    <mergeCell ref="T159:W159"/>
    <mergeCell ref="C108:D108"/>
    <mergeCell ref="DZ169:EE169"/>
    <mergeCell ref="DZ280:EB280"/>
    <mergeCell ref="DZ293:EE294"/>
    <mergeCell ref="FC85:FE85"/>
    <mergeCell ref="IB124:IC124"/>
    <mergeCell ref="C162:H164"/>
    <mergeCell ref="T72:W72"/>
    <mergeCell ref="EZ67:FB67"/>
    <mergeCell ref="FK169:FM169"/>
    <mergeCell ref="FC201:FE201"/>
    <mergeCell ref="X13:Y13"/>
    <mergeCell ref="FC78:FE78"/>
    <mergeCell ref="FK40:FM40"/>
    <mergeCell ref="FC114:FE114"/>
    <mergeCell ref="DM272:DN272"/>
    <mergeCell ref="EZ69:FB69"/>
    <mergeCell ref="AD56:AG56"/>
    <mergeCell ref="ED13:EE13"/>
    <mergeCell ref="FC80:FE80"/>
    <mergeCell ref="DI230:DN233"/>
    <mergeCell ref="DR196:DW196"/>
    <mergeCell ref="BB56:BD56"/>
    <mergeCell ref="FY12:GD12"/>
    <mergeCell ref="GB45:GD45"/>
    <mergeCell ref="BJ12:BO12"/>
    <mergeCell ref="DA91:DD91"/>
    <mergeCell ref="FD198:FE198"/>
    <mergeCell ref="HK41:HL41"/>
    <mergeCell ref="C51:D51"/>
    <mergeCell ref="DR192:DT192"/>
    <mergeCell ref="V87:Y87"/>
    <mergeCell ref="DI327:DN327"/>
    <mergeCell ref="GB47:GD47"/>
    <mergeCell ref="HK13:HL13"/>
    <mergeCell ref="FD13:FE13"/>
    <mergeCell ref="AB287:AC287"/>
    <mergeCell ref="GH66:GM66"/>
    <mergeCell ref="CA26:CF26"/>
    <mergeCell ref="FH58:FM58"/>
    <mergeCell ref="DM142:DN142"/>
    <mergeCell ref="DR194:DT194"/>
    <mergeCell ref="FH21:FJ21"/>
    <mergeCell ref="AB289:AC289"/>
    <mergeCell ref="BS68:BX68"/>
    <mergeCell ref="DI42:DK42"/>
    <mergeCell ref="DD277:DF277"/>
    <mergeCell ref="EZ94:FE94"/>
    <mergeCell ref="DI173:DK173"/>
    <mergeCell ref="FH29:FJ29"/>
    <mergeCell ref="FH23:FJ23"/>
    <mergeCell ref="DA117:DD117"/>
    <mergeCell ref="DA115:DF115"/>
    <mergeCell ref="HT96:HU96"/>
    <mergeCell ref="BM42:BO42"/>
    <mergeCell ref="CJ79:CO79"/>
    <mergeCell ref="FQ2:GD3"/>
    <mergeCell ref="CJ73:CO73"/>
    <mergeCell ref="CU72:CW72"/>
    <mergeCell ref="V113:Y113"/>
    <mergeCell ref="BJ40:BO40"/>
    <mergeCell ref="AD75:AG75"/>
    <mergeCell ref="DR109:DW115"/>
    <mergeCell ref="T343:U343"/>
    <mergeCell ref="DZ57:EC57"/>
    <mergeCell ref="GP63:GS63"/>
    <mergeCell ref="DU282:DW282"/>
    <mergeCell ref="FK109:FM109"/>
    <mergeCell ref="GL89:GM89"/>
    <mergeCell ref="T345:U345"/>
    <mergeCell ref="V55:Y55"/>
    <mergeCell ref="BJ28:BL28"/>
    <mergeCell ref="V144:Y144"/>
    <mergeCell ref="GH47:GM50"/>
    <mergeCell ref="FK111:FM111"/>
    <mergeCell ref="T257:U257"/>
    <mergeCell ref="DR275:DW275"/>
    <mergeCell ref="BB70:BD70"/>
    <mergeCell ref="DA255:DF255"/>
    <mergeCell ref="HX96:IA96"/>
    <mergeCell ref="DA100:DF103"/>
    <mergeCell ref="DI97:DK97"/>
    <mergeCell ref="DR146:DW146"/>
    <mergeCell ref="BW25:BX25"/>
    <mergeCell ref="HP41:HS41"/>
    <mergeCell ref="FK112:FM112"/>
    <mergeCell ref="DA251:DC251"/>
    <mergeCell ref="AB72:AE72"/>
    <mergeCell ref="FH67:FJ67"/>
    <mergeCell ref="C122:D122"/>
    <mergeCell ref="V202:Y202"/>
    <mergeCell ref="HX79:IC81"/>
    <mergeCell ref="T371:U371"/>
    <mergeCell ref="CJ60:CO63"/>
    <mergeCell ref="IB69:IC69"/>
    <mergeCell ref="DA253:DC253"/>
    <mergeCell ref="EZ109:FB109"/>
    <mergeCell ref="FH69:FJ69"/>
    <mergeCell ref="EC236:EE236"/>
    <mergeCell ref="GH16:GM16"/>
    <mergeCell ref="DA138:DF139"/>
    <mergeCell ref="EZ22:FB22"/>
    <mergeCell ref="EZ13:FC13"/>
    <mergeCell ref="GY135:HD137"/>
    <mergeCell ref="BJ56:BL56"/>
    <mergeCell ref="DU303:DW303"/>
    <mergeCell ref="AB201:AC201"/>
    <mergeCell ref="V197:Y197"/>
    <mergeCell ref="DL96:DN96"/>
    <mergeCell ref="FQ120:FV120"/>
    <mergeCell ref="FL198:FM198"/>
    <mergeCell ref="C142:E142"/>
    <mergeCell ref="DV123:DW123"/>
    <mergeCell ref="AB244:AG244"/>
    <mergeCell ref="EZ42:FE42"/>
    <mergeCell ref="AB203:AC203"/>
    <mergeCell ref="BS51:BX51"/>
    <mergeCell ref="EZ167:FB167"/>
    <mergeCell ref="BS9:BX9"/>
    <mergeCell ref="DI116:DL116"/>
    <mergeCell ref="DA304:DC304"/>
    <mergeCell ref="EZ38:FB38"/>
    <mergeCell ref="AB232:AC232"/>
    <mergeCell ref="GY65:HD66"/>
    <mergeCell ref="DZ125:EE125"/>
    <mergeCell ref="FQ20:FS20"/>
    <mergeCell ref="DA339:DF339"/>
    <mergeCell ref="IB97:IC97"/>
    <mergeCell ref="EZ40:FB40"/>
    <mergeCell ref="DA272:DD272"/>
    <mergeCell ref="C105:D105"/>
    <mergeCell ref="EZ162:FB162"/>
    <mergeCell ref="FH124:FJ124"/>
    <mergeCell ref="FC163:FE163"/>
    <mergeCell ref="DI117:DL117"/>
    <mergeCell ref="T113:U113"/>
    <mergeCell ref="DZ123:EC123"/>
    <mergeCell ref="V373:Y373"/>
    <mergeCell ref="FQ105:FV108"/>
    <mergeCell ref="EI108:EN119"/>
    <mergeCell ref="EZ164:FB164"/>
    <mergeCell ref="AB229:AC229"/>
    <mergeCell ref="DI256:DN259"/>
    <mergeCell ref="DU16:DW16"/>
    <mergeCell ref="BB57:BG57"/>
    <mergeCell ref="FH126:FJ126"/>
    <mergeCell ref="FQ45:FS45"/>
    <mergeCell ref="FY129:GA129"/>
    <mergeCell ref="CM30:CO30"/>
    <mergeCell ref="FQ50:FV50"/>
    <mergeCell ref="EZ35:FB35"/>
    <mergeCell ref="DA21:DF21"/>
    <mergeCell ref="GB18:GD18"/>
    <mergeCell ref="GH62:GM62"/>
    <mergeCell ref="DU18:DW18"/>
    <mergeCell ref="AB258:AC258"/>
    <mergeCell ref="FQ47:FS47"/>
    <mergeCell ref="AB132:AG132"/>
    <mergeCell ref="GY13:HB13"/>
    <mergeCell ref="HP209:HS209"/>
    <mergeCell ref="AK4:AX7"/>
    <mergeCell ref="DV167:DW167"/>
    <mergeCell ref="FD14:FE14"/>
    <mergeCell ref="FQ46:FS46"/>
    <mergeCell ref="DA365:DF365"/>
    <mergeCell ref="T27:U27"/>
    <mergeCell ref="AB285:AC285"/>
    <mergeCell ref="AB260:AC260"/>
    <mergeCell ref="FK176:FM176"/>
    <mergeCell ref="DI250:DK250"/>
    <mergeCell ref="GY67:HD67"/>
    <mergeCell ref="HT180:HU180"/>
    <mergeCell ref="CJ42:CO42"/>
    <mergeCell ref="CR29:CW29"/>
    <mergeCell ref="AB13:AE13"/>
    <mergeCell ref="FH19:FJ19"/>
    <mergeCell ref="DA325:DD325"/>
    <mergeCell ref="DA19:DC19"/>
    <mergeCell ref="EZ59:FC59"/>
    <mergeCell ref="FK178:FM178"/>
    <mergeCell ref="FQ48:FS48"/>
    <mergeCell ref="HX156:HZ156"/>
    <mergeCell ref="AD200:AG200"/>
    <mergeCell ref="C43:H43"/>
    <mergeCell ref="GY97:HB97"/>
    <mergeCell ref="HN2:HN9"/>
    <mergeCell ref="HX41:IA41"/>
    <mergeCell ref="HX23:IC25"/>
    <mergeCell ref="CR31:CW31"/>
    <mergeCell ref="T326:Y327"/>
    <mergeCell ref="DZ149:EB149"/>
    <mergeCell ref="AD202:AG202"/>
    <mergeCell ref="EZ211:FB211"/>
    <mergeCell ref="FH198:FK198"/>
    <mergeCell ref="DR216:DT216"/>
    <mergeCell ref="FH14:FK14"/>
    <mergeCell ref="GP16:GU16"/>
    <mergeCell ref="HB103:HD103"/>
    <mergeCell ref="AB311:AC311"/>
    <mergeCell ref="DM143:DN143"/>
    <mergeCell ref="AB160:AG160"/>
    <mergeCell ref="EZ177:FB177"/>
    <mergeCell ref="AD231:AG231"/>
    <mergeCell ref="DI138:DN139"/>
    <mergeCell ref="EC214:EE214"/>
    <mergeCell ref="FH13:FK13"/>
    <mergeCell ref="FH22:FJ22"/>
    <mergeCell ref="HX180:IA180"/>
    <mergeCell ref="T65:Y66"/>
    <mergeCell ref="DV189:DW189"/>
    <mergeCell ref="DA288:DF292"/>
    <mergeCell ref="DL354:DN354"/>
    <mergeCell ref="V140:Y140"/>
    <mergeCell ref="AD197:AG197"/>
    <mergeCell ref="DZ29:EE30"/>
    <mergeCell ref="DA385:DF385"/>
    <mergeCell ref="DV188:DW188"/>
    <mergeCell ref="EZ208:FB208"/>
    <mergeCell ref="IA43:IC43"/>
    <mergeCell ref="T222:U222"/>
    <mergeCell ref="DA308:DF311"/>
    <mergeCell ref="CR57:CW57"/>
    <mergeCell ref="DR211:DU211"/>
    <mergeCell ref="FQ67:FT67"/>
    <mergeCell ref="FQ9:GD9"/>
    <mergeCell ref="FT129:FV129"/>
    <mergeCell ref="FH200:FM200"/>
    <mergeCell ref="C91:D91"/>
    <mergeCell ref="FK206:FM206"/>
    <mergeCell ref="BB67:BE67"/>
    <mergeCell ref="C62:H62"/>
    <mergeCell ref="HP127:HR127"/>
    <mergeCell ref="DA381:DC381"/>
    <mergeCell ref="CR23:CW23"/>
    <mergeCell ref="C98:H98"/>
    <mergeCell ref="IA72:IC72"/>
    <mergeCell ref="DZ235:EE235"/>
    <mergeCell ref="C57:D57"/>
    <mergeCell ref="FH38:FJ38"/>
    <mergeCell ref="DE324:DF324"/>
    <mergeCell ref="AB334:AG334"/>
    <mergeCell ref="EZ112:FB112"/>
    <mergeCell ref="BF11:BG11"/>
    <mergeCell ref="GS69:GU69"/>
    <mergeCell ref="DM169:DN169"/>
    <mergeCell ref="HG65:HL66"/>
    <mergeCell ref="FQ57:FV60"/>
    <mergeCell ref="V287:Y287"/>
    <mergeCell ref="FY93:GD93"/>
    <mergeCell ref="C86:D86"/>
    <mergeCell ref="AB24:AC24"/>
    <mergeCell ref="AW11:AX11"/>
    <mergeCell ref="DR236:DT236"/>
    <mergeCell ref="V280:Y280"/>
    <mergeCell ref="C58:D58"/>
    <mergeCell ref="GP89:GS89"/>
    <mergeCell ref="DA334:DF337"/>
    <mergeCell ref="FY45:GA45"/>
    <mergeCell ref="DZ216:EB216"/>
    <mergeCell ref="AB26:AC26"/>
    <mergeCell ref="BJ53:BM53"/>
    <mergeCell ref="HP279:HU279"/>
    <mergeCell ref="BB44:BG46"/>
    <mergeCell ref="V282:Y282"/>
    <mergeCell ref="HX237:IA237"/>
    <mergeCell ref="AF275:AG275"/>
    <mergeCell ref="HS128:HU128"/>
    <mergeCell ref="DR20:DW20"/>
    <mergeCell ref="GH109:GM110"/>
    <mergeCell ref="DZ77:EE77"/>
    <mergeCell ref="FY74:GA74"/>
    <mergeCell ref="C75:D75"/>
    <mergeCell ref="BN24:BO24"/>
    <mergeCell ref="FK217:FM217"/>
    <mergeCell ref="AB233:AG233"/>
    <mergeCell ref="DA94:DC94"/>
    <mergeCell ref="V313:Y313"/>
    <mergeCell ref="DA281:DF281"/>
    <mergeCell ref="AS51:AX52"/>
    <mergeCell ref="DR284:DW284"/>
    <mergeCell ref="AB27:AC27"/>
    <mergeCell ref="FH208:FJ208"/>
    <mergeCell ref="CA25:CD25"/>
    <mergeCell ref="FH181:FM184"/>
    <mergeCell ref="CR70:CW70"/>
    <mergeCell ref="HS15:HU15"/>
    <mergeCell ref="HP274:HU274"/>
    <mergeCell ref="BJ72:BO74"/>
    <mergeCell ref="HJ100:HL100"/>
    <mergeCell ref="DR105:DT105"/>
    <mergeCell ref="GT39:GU39"/>
    <mergeCell ref="DA277:DC277"/>
    <mergeCell ref="DR15:DW15"/>
    <mergeCell ref="FH59:FK59"/>
    <mergeCell ref="C70:D70"/>
    <mergeCell ref="DR117:DW118"/>
    <mergeCell ref="FY104:GD104"/>
    <mergeCell ref="EZ125:FB125"/>
    <mergeCell ref="C106:D106"/>
    <mergeCell ref="BJ30:BO32"/>
    <mergeCell ref="FH209:FJ209"/>
    <mergeCell ref="V344:Y344"/>
    <mergeCell ref="FD106:FE106"/>
    <mergeCell ref="FY30:GD33"/>
    <mergeCell ref="DR282:DT282"/>
    <mergeCell ref="FH122:FJ122"/>
    <mergeCell ref="FY57:GD60"/>
    <mergeCell ref="FY131:GD131"/>
    <mergeCell ref="AD139:AG139"/>
    <mergeCell ref="HJ131:HL131"/>
    <mergeCell ref="T111:U111"/>
    <mergeCell ref="HS156:HU156"/>
    <mergeCell ref="AB355:AG356"/>
    <mergeCell ref="AB254:AC254"/>
    <mergeCell ref="FQ18:FS18"/>
    <mergeCell ref="EZ120:FB120"/>
    <mergeCell ref="HJ103:HL103"/>
    <mergeCell ref="C101:D101"/>
    <mergeCell ref="BN52:BO52"/>
    <mergeCell ref="DD276:DF276"/>
    <mergeCell ref="AB268:AG269"/>
    <mergeCell ref="T335:Y335"/>
    <mergeCell ref="BJ66:BM66"/>
    <mergeCell ref="ED189:EE189"/>
    <mergeCell ref="AB256:AC256"/>
    <mergeCell ref="FH108:FM108"/>
    <mergeCell ref="CA70:CC70"/>
    <mergeCell ref="T112:U112"/>
    <mergeCell ref="DZ122:EC122"/>
    <mergeCell ref="GY28:HD35"/>
    <mergeCell ref="GP109:GU110"/>
    <mergeCell ref="BB11:BE11"/>
    <mergeCell ref="HJ128:HL128"/>
    <mergeCell ref="DU38:DW38"/>
    <mergeCell ref="HX127:HZ127"/>
    <mergeCell ref="DD149:DF149"/>
    <mergeCell ref="T114:U114"/>
    <mergeCell ref="AD165:AG165"/>
    <mergeCell ref="HB73:HD73"/>
    <mergeCell ref="BJ76:BO77"/>
    <mergeCell ref="GY68:HB68"/>
    <mergeCell ref="AD279:AG279"/>
    <mergeCell ref="AN14:AP14"/>
    <mergeCell ref="DA298:DD298"/>
    <mergeCell ref="FH105:FK105"/>
    <mergeCell ref="DU40:DW40"/>
    <mergeCell ref="FC216:FE216"/>
    <mergeCell ref="C7:H7"/>
    <mergeCell ref="IB264:IC264"/>
    <mergeCell ref="EZ207:FB207"/>
    <mergeCell ref="CN13:CO13"/>
    <mergeCell ref="BS24:BV24"/>
    <mergeCell ref="T139:U139"/>
    <mergeCell ref="AB103:AG103"/>
    <mergeCell ref="GP12:GU12"/>
    <mergeCell ref="FC218:FE218"/>
    <mergeCell ref="AD166:AG166"/>
    <mergeCell ref="BB20:BG21"/>
    <mergeCell ref="FH134:FM134"/>
    <mergeCell ref="EZ173:FB173"/>
    <mergeCell ref="DA379:DF379"/>
    <mergeCell ref="DA53:DF53"/>
    <mergeCell ref="DR214:DT214"/>
    <mergeCell ref="DA47:DF47"/>
    <mergeCell ref="DI131:DN131"/>
    <mergeCell ref="DZ219:EE225"/>
    <mergeCell ref="GP41:GU41"/>
    <mergeCell ref="DI307:DN307"/>
    <mergeCell ref="DD200:DF200"/>
    <mergeCell ref="V225:Y225"/>
    <mergeCell ref="HS71:HU71"/>
    <mergeCell ref="FH95:FM98"/>
    <mergeCell ref="BE14:BG14"/>
    <mergeCell ref="DR33:DW33"/>
    <mergeCell ref="FH89:FM92"/>
    <mergeCell ref="DD71:DF71"/>
    <mergeCell ref="DZ20:EE20"/>
    <mergeCell ref="T307:U307"/>
    <mergeCell ref="HT13:HU13"/>
    <mergeCell ref="DI303:DK303"/>
    <mergeCell ref="CA43:CF43"/>
    <mergeCell ref="FH159:FJ159"/>
    <mergeCell ref="GH42:GJ42"/>
    <mergeCell ref="FK20:FM20"/>
    <mergeCell ref="GY95:HD95"/>
    <mergeCell ref="EU124:EV124"/>
    <mergeCell ref="HP72:HR72"/>
    <mergeCell ref="V250:Y250"/>
    <mergeCell ref="BS42:BU42"/>
    <mergeCell ref="DM246:DN246"/>
    <mergeCell ref="EZ232:FE232"/>
    <mergeCell ref="AN25:AP25"/>
    <mergeCell ref="EC17:EE17"/>
    <mergeCell ref="T187:W187"/>
    <mergeCell ref="FH161:FJ161"/>
    <mergeCell ref="DR183:DW184"/>
    <mergeCell ref="FK22:FM22"/>
    <mergeCell ref="HX196:IC203"/>
    <mergeCell ref="BS52:BV52"/>
    <mergeCell ref="T74:Y74"/>
    <mergeCell ref="DZ15:EE15"/>
    <mergeCell ref="DZ166:EC166"/>
    <mergeCell ref="AF101:AG101"/>
    <mergeCell ref="BB48:BG49"/>
    <mergeCell ref="DU84:DW84"/>
    <mergeCell ref="DR131:DW137"/>
    <mergeCell ref="HJ45:HL45"/>
    <mergeCell ref="V251:Y251"/>
    <mergeCell ref="AB109:AC109"/>
    <mergeCell ref="DR233:DU233"/>
    <mergeCell ref="FL106:FM106"/>
    <mergeCell ref="HX149:IC150"/>
    <mergeCell ref="AB123:AG124"/>
    <mergeCell ref="GP59:GU60"/>
    <mergeCell ref="AB175:AG175"/>
    <mergeCell ref="T193:U193"/>
    <mergeCell ref="V253:Y253"/>
    <mergeCell ref="T369:U369"/>
    <mergeCell ref="DR16:DT16"/>
    <mergeCell ref="HJ47:HL47"/>
    <mergeCell ref="DL146:DN146"/>
    <mergeCell ref="AF246:AG246"/>
    <mergeCell ref="HX55:IC55"/>
    <mergeCell ref="HS99:HU99"/>
    <mergeCell ref="DA66:DF66"/>
    <mergeCell ref="GP22:GU25"/>
    <mergeCell ref="HT41:HU41"/>
    <mergeCell ref="FK213:FM213"/>
    <mergeCell ref="DI16:DK16"/>
    <mergeCell ref="GY44:HA44"/>
    <mergeCell ref="DI147:DK147"/>
    <mergeCell ref="EZ217:FB217"/>
    <mergeCell ref="DI21:DN21"/>
    <mergeCell ref="AK54:AP55"/>
    <mergeCell ref="T244:Y244"/>
    <mergeCell ref="FK215:FM215"/>
    <mergeCell ref="DI324:DL324"/>
    <mergeCell ref="DI18:DK18"/>
    <mergeCell ref="HJ71:HL71"/>
    <mergeCell ref="BJ11:BM11"/>
    <mergeCell ref="EM97:EN97"/>
    <mergeCell ref="FC71:FE71"/>
    <mergeCell ref="EI92:EN93"/>
    <mergeCell ref="GY75:HA75"/>
    <mergeCell ref="FQ122:FT122"/>
    <mergeCell ref="EC38:EE38"/>
    <mergeCell ref="AB45:AG45"/>
    <mergeCell ref="GY2:HL3"/>
    <mergeCell ref="AD108:AG108"/>
    <mergeCell ref="HB16:HD16"/>
    <mergeCell ref="HJ73:HL73"/>
    <mergeCell ref="CR67:CW67"/>
    <mergeCell ref="CN54:CO54"/>
    <mergeCell ref="DA92:DF92"/>
    <mergeCell ref="T94:Y95"/>
    <mergeCell ref="DI19:DK19"/>
    <mergeCell ref="DI79:DN79"/>
    <mergeCell ref="EC40:EE40"/>
    <mergeCell ref="DZ215:EB215"/>
    <mergeCell ref="HP247:HU249"/>
    <mergeCell ref="DE220:DF220"/>
    <mergeCell ref="FH207:FJ207"/>
    <mergeCell ref="CV13:CW13"/>
    <mergeCell ref="T82:U82"/>
    <mergeCell ref="AB164:AC164"/>
    <mergeCell ref="GY131:HA131"/>
    <mergeCell ref="DV232:DW232"/>
    <mergeCell ref="FY98:GA98"/>
    <mergeCell ref="DI379:DN379"/>
    <mergeCell ref="DZ59:EE59"/>
    <mergeCell ref="DA242:DF243"/>
    <mergeCell ref="HP121:HU122"/>
    <mergeCell ref="GC41:GD41"/>
    <mergeCell ref="GL64:GM64"/>
    <mergeCell ref="EZ101:FE102"/>
    <mergeCell ref="DA74:DF77"/>
    <mergeCell ref="HP27:HU27"/>
    <mergeCell ref="DR2:EE3"/>
    <mergeCell ref="DI314:DN318"/>
    <mergeCell ref="DZ86:EE86"/>
    <mergeCell ref="EQ96:ET96"/>
    <mergeCell ref="FK86:FM86"/>
    <mergeCell ref="AS60:AX61"/>
    <mergeCell ref="FH75:FJ75"/>
    <mergeCell ref="T110:U110"/>
    <mergeCell ref="HP15:HR15"/>
    <mergeCell ref="DI220:DL220"/>
    <mergeCell ref="AD250:AG250"/>
    <mergeCell ref="AD110:AG110"/>
    <mergeCell ref="C133:H134"/>
    <mergeCell ref="C123:D123"/>
    <mergeCell ref="FH106:FK106"/>
    <mergeCell ref="HP275:HU277"/>
    <mergeCell ref="EI11:EN11"/>
    <mergeCell ref="V19:Y19"/>
    <mergeCell ref="DR197:DW203"/>
    <mergeCell ref="V317:Y317"/>
    <mergeCell ref="X361:Y361"/>
    <mergeCell ref="ED211:EE211"/>
    <mergeCell ref="EZ152:FC152"/>
    <mergeCell ref="C135:H136"/>
    <mergeCell ref="T224:U224"/>
    <mergeCell ref="EI148:EN149"/>
    <mergeCell ref="DI92:DN92"/>
    <mergeCell ref="DU127:DW127"/>
    <mergeCell ref="EI135:EN135"/>
    <mergeCell ref="DD172:DF172"/>
    <mergeCell ref="FC28:FE28"/>
    <mergeCell ref="V319:Y319"/>
    <mergeCell ref="AD281:AG281"/>
    <mergeCell ref="DI360:DN363"/>
    <mergeCell ref="T136:U136"/>
    <mergeCell ref="HP11:HU11"/>
    <mergeCell ref="IA127:IC127"/>
    <mergeCell ref="BN67:BO67"/>
    <mergeCell ref="DD173:DF173"/>
    <mergeCell ref="FC29:FE29"/>
    <mergeCell ref="FH155:FJ155"/>
    <mergeCell ref="GH128:GM131"/>
    <mergeCell ref="HP43:HR43"/>
    <mergeCell ref="HX267:HZ267"/>
    <mergeCell ref="FQ29:FV29"/>
    <mergeCell ref="DA13:DD13"/>
    <mergeCell ref="DR58:DW58"/>
    <mergeCell ref="DD44:DF44"/>
    <mergeCell ref="AK20:AM20"/>
    <mergeCell ref="AN21:AP21"/>
    <mergeCell ref="DI91:DL91"/>
    <mergeCell ref="C113:D113"/>
    <mergeCell ref="FC31:FE31"/>
    <mergeCell ref="FH157:FJ157"/>
    <mergeCell ref="V47:Y47"/>
    <mergeCell ref="EU97:EV97"/>
    <mergeCell ref="V345:Y345"/>
    <mergeCell ref="EQ92:EV93"/>
    <mergeCell ref="GP118:GR118"/>
    <mergeCell ref="FQ138:FV141"/>
    <mergeCell ref="AK22:AM22"/>
    <mergeCell ref="AN23:AP23"/>
    <mergeCell ref="C144:E144"/>
    <mergeCell ref="EC106:EE106"/>
    <mergeCell ref="HJ16:HL16"/>
    <mergeCell ref="DZ281:EB281"/>
    <mergeCell ref="T274:W274"/>
    <mergeCell ref="HG129:HI129"/>
    <mergeCell ref="CV54:CW54"/>
    <mergeCell ref="DI302:DK302"/>
    <mergeCell ref="FY14:GB14"/>
    <mergeCell ref="AB94:AG95"/>
    <mergeCell ref="DV298:DW298"/>
    <mergeCell ref="T161:Y161"/>
    <mergeCell ref="BE28:BG28"/>
    <mergeCell ref="V249:Y249"/>
    <mergeCell ref="AB82:AC82"/>
    <mergeCell ref="T278:U278"/>
    <mergeCell ref="CJ55:CM55"/>
    <mergeCell ref="DR13:DU13"/>
    <mergeCell ref="HG131:HI131"/>
    <mergeCell ref="DR241:DW247"/>
    <mergeCell ref="DZ282:EB282"/>
    <mergeCell ref="HP183:HR183"/>
    <mergeCell ref="HS184:HU184"/>
    <mergeCell ref="BS16:BX18"/>
    <mergeCell ref="DI242:DN243"/>
    <mergeCell ref="DV299:DW299"/>
    <mergeCell ref="X100:Y100"/>
    <mergeCell ref="DL277:DN277"/>
    <mergeCell ref="DI74:DN77"/>
    <mergeCell ref="DR42:DW42"/>
    <mergeCell ref="EC280:EE280"/>
    <mergeCell ref="FC67:FE67"/>
    <mergeCell ref="GY71:HA71"/>
    <mergeCell ref="AK9:AP9"/>
    <mergeCell ref="GL38:GM38"/>
    <mergeCell ref="AB16:AG16"/>
    <mergeCell ref="HT208:HU208"/>
    <mergeCell ref="T361:W361"/>
    <mergeCell ref="DA64:DD64"/>
    <mergeCell ref="EQ51:EV51"/>
    <mergeCell ref="DR38:DT38"/>
    <mergeCell ref="GT89:GU89"/>
    <mergeCell ref="AB181:AG182"/>
    <mergeCell ref="AK33:AM33"/>
    <mergeCell ref="C44:H44"/>
    <mergeCell ref="FC69:FE69"/>
    <mergeCell ref="FH170:FJ170"/>
    <mergeCell ref="AB133:AC133"/>
    <mergeCell ref="EQ73:EV77"/>
    <mergeCell ref="GY100:HA100"/>
    <mergeCell ref="GY106:HD106"/>
    <mergeCell ref="AD53:AG53"/>
    <mergeCell ref="AD345:AG345"/>
    <mergeCell ref="HP205:HU206"/>
    <mergeCell ref="BE56:BG56"/>
    <mergeCell ref="AK35:AM35"/>
    <mergeCell ref="DA118:DF118"/>
    <mergeCell ref="DM273:DN273"/>
    <mergeCell ref="EQ11:EV11"/>
    <mergeCell ref="FH172:FJ172"/>
    <mergeCell ref="AB135:AC135"/>
    <mergeCell ref="EZ210:FB210"/>
    <mergeCell ref="HP111:HU111"/>
    <mergeCell ref="AD55:AG55"/>
    <mergeCell ref="DL328:DN328"/>
    <mergeCell ref="DA201:DC201"/>
    <mergeCell ref="AB224:AC224"/>
    <mergeCell ref="EI17:EN21"/>
    <mergeCell ref="BS62:BX63"/>
    <mergeCell ref="T202:U202"/>
    <mergeCell ref="BS44:BX46"/>
    <mergeCell ref="DL172:DN172"/>
    <mergeCell ref="AD48:AG48"/>
    <mergeCell ref="DL199:DN199"/>
    <mergeCell ref="FK28:FM28"/>
    <mergeCell ref="FC129:FE129"/>
    <mergeCell ref="DV12:DW12"/>
    <mergeCell ref="HP235:HU235"/>
    <mergeCell ref="DA119:DF119"/>
    <mergeCell ref="CJ68:CM68"/>
    <mergeCell ref="T79:U79"/>
    <mergeCell ref="IB12:IC12"/>
    <mergeCell ref="GC14:GD14"/>
    <mergeCell ref="DZ146:EE146"/>
    <mergeCell ref="DI47:DN47"/>
    <mergeCell ref="EZ86:FB86"/>
    <mergeCell ref="FQ70:FV70"/>
    <mergeCell ref="DR124:DW124"/>
    <mergeCell ref="AK63:AP64"/>
    <mergeCell ref="DL200:DN200"/>
    <mergeCell ref="FK23:FM23"/>
    <mergeCell ref="FC124:FE124"/>
    <mergeCell ref="CJ69:CM69"/>
    <mergeCell ref="DR213:DW213"/>
    <mergeCell ref="FH20:FJ20"/>
    <mergeCell ref="FY36:GD37"/>
    <mergeCell ref="DI43:DK43"/>
    <mergeCell ref="BJ29:BO29"/>
    <mergeCell ref="BS72:BX74"/>
    <mergeCell ref="IB13:IC13"/>
    <mergeCell ref="CA41:CF41"/>
    <mergeCell ref="V288:Y288"/>
    <mergeCell ref="DL225:DN225"/>
    <mergeCell ref="FC126:FE126"/>
    <mergeCell ref="HP139:HU139"/>
    <mergeCell ref="GF2:GF9"/>
    <mergeCell ref="HX84:IC91"/>
    <mergeCell ref="T220:U220"/>
    <mergeCell ref="BQ2:BQ9"/>
    <mergeCell ref="DZ232:EC232"/>
    <mergeCell ref="DI63:DN63"/>
    <mergeCell ref="DL227:DN227"/>
    <mergeCell ref="GP92:GR92"/>
    <mergeCell ref="FC113:FE113"/>
    <mergeCell ref="AB58:AC58"/>
    <mergeCell ref="DR299:DU299"/>
    <mergeCell ref="FL197:FM197"/>
    <mergeCell ref="BM28:BO28"/>
    <mergeCell ref="DA261:DF261"/>
    <mergeCell ref="DA268:DF269"/>
    <mergeCell ref="T221:U221"/>
    <mergeCell ref="DR82:DT82"/>
    <mergeCell ref="DD250:DF250"/>
    <mergeCell ref="EC238:EE238"/>
    <mergeCell ref="HP261:HU262"/>
    <mergeCell ref="DL95:DN95"/>
    <mergeCell ref="CA16:CF18"/>
    <mergeCell ref="C50:D50"/>
    <mergeCell ref="DL97:DN97"/>
    <mergeCell ref="FK70:FM70"/>
    <mergeCell ref="HG99:HI99"/>
    <mergeCell ref="FC27:FE27"/>
    <mergeCell ref="DE376:DF376"/>
    <mergeCell ref="EI9:EV9"/>
    <mergeCell ref="DU149:DW149"/>
    <mergeCell ref="EZ15:FE15"/>
    <mergeCell ref="AL53:AP53"/>
    <mergeCell ref="FU94:FV94"/>
    <mergeCell ref="V377:Y377"/>
    <mergeCell ref="IB208:IC208"/>
    <mergeCell ref="C140:E140"/>
    <mergeCell ref="CE38:CF38"/>
    <mergeCell ref="V370:Y370"/>
    <mergeCell ref="EI80:EN91"/>
    <mergeCell ref="HG100:HI100"/>
    <mergeCell ref="GH4:GU7"/>
    <mergeCell ref="T157:Y157"/>
    <mergeCell ref="AB147:AG151"/>
    <mergeCell ref="BS13:BX13"/>
    <mergeCell ref="DA183:DF183"/>
    <mergeCell ref="HX205:IC206"/>
    <mergeCell ref="DI118:DN118"/>
    <mergeCell ref="AB78:AC78"/>
    <mergeCell ref="AB200:AC200"/>
    <mergeCell ref="HX111:IC111"/>
    <mergeCell ref="C141:E141"/>
    <mergeCell ref="DI201:DK201"/>
    <mergeCell ref="DV78:DW78"/>
    <mergeCell ref="GP78:GU81"/>
    <mergeCell ref="T145:U145"/>
    <mergeCell ref="CA62:CF63"/>
    <mergeCell ref="CA44:CF46"/>
    <mergeCell ref="O17:Q18"/>
    <mergeCell ref="C143:E143"/>
    <mergeCell ref="DA146:DC146"/>
    <mergeCell ref="FK129:FM129"/>
    <mergeCell ref="FH84:FJ84"/>
    <mergeCell ref="FK123:FM123"/>
    <mergeCell ref="DR21:DW27"/>
    <mergeCell ref="HP224:HU231"/>
    <mergeCell ref="AD145:AG145"/>
    <mergeCell ref="DR280:DT280"/>
    <mergeCell ref="EZ127:FB127"/>
    <mergeCell ref="FH233:FM236"/>
    <mergeCell ref="FC38:FE38"/>
    <mergeCell ref="DR165:DW165"/>
    <mergeCell ref="FH227:FM230"/>
    <mergeCell ref="AB231:AC231"/>
    <mergeCell ref="AB321:AG325"/>
    <mergeCell ref="T332:W332"/>
    <mergeCell ref="IB236:IC236"/>
    <mergeCell ref="DZ124:EE124"/>
    <mergeCell ref="GP19:GR19"/>
    <mergeCell ref="EZ39:FB39"/>
    <mergeCell ref="FC40:FE40"/>
    <mergeCell ref="V56:Y56"/>
    <mergeCell ref="EC149:EE149"/>
    <mergeCell ref="AD18:AG18"/>
    <mergeCell ref="FQ144:FV145"/>
    <mergeCell ref="CJ15:CO15"/>
    <mergeCell ref="AK31:AM31"/>
    <mergeCell ref="C159:E159"/>
    <mergeCell ref="GT114:GU114"/>
    <mergeCell ref="DZ298:EC298"/>
    <mergeCell ref="AD17:AG17"/>
    <mergeCell ref="FT45:FV45"/>
    <mergeCell ref="DZ249:EE250"/>
    <mergeCell ref="V85:Y85"/>
    <mergeCell ref="DI287:DN287"/>
    <mergeCell ref="DI294:DN295"/>
    <mergeCell ref="AB220:AC220"/>
    <mergeCell ref="ED277:EE277"/>
    <mergeCell ref="HX139:IC139"/>
    <mergeCell ref="DA196:DF196"/>
    <mergeCell ref="FT47:FV47"/>
    <mergeCell ref="DA327:DF327"/>
    <mergeCell ref="DI41:DN41"/>
    <mergeCell ref="DA199:DC199"/>
    <mergeCell ref="T287:U287"/>
    <mergeCell ref="AK32:AM32"/>
    <mergeCell ref="EC304:EE304"/>
    <mergeCell ref="AF42:AG42"/>
    <mergeCell ref="DZ299:EC299"/>
    <mergeCell ref="AB100:AE100"/>
    <mergeCell ref="DE142:DF142"/>
    <mergeCell ref="T289:U289"/>
    <mergeCell ref="EM13:EN13"/>
    <mergeCell ref="FQ66:FV66"/>
    <mergeCell ref="C156:E156"/>
    <mergeCell ref="FK19:FM19"/>
    <mergeCell ref="GP38:GS38"/>
    <mergeCell ref="V232:Y232"/>
    <mergeCell ref="DA200:DC200"/>
    <mergeCell ref="DR209:DW209"/>
    <mergeCell ref="DU215:DW215"/>
    <mergeCell ref="AD77:AG77"/>
    <mergeCell ref="FC209:FE209"/>
    <mergeCell ref="FH15:FM15"/>
    <mergeCell ref="EI100:EN100"/>
    <mergeCell ref="FC122:FE122"/>
    <mergeCell ref="FT73:FV73"/>
    <mergeCell ref="DV34:DW34"/>
    <mergeCell ref="FT100:FV100"/>
    <mergeCell ref="V75:Y75"/>
    <mergeCell ref="T313:U313"/>
    <mergeCell ref="DU216:DW216"/>
    <mergeCell ref="V227:Y227"/>
    <mergeCell ref="CA48:CF49"/>
    <mergeCell ref="FQ69:FV69"/>
    <mergeCell ref="EQ80:EV91"/>
    <mergeCell ref="FT102:FV102"/>
    <mergeCell ref="T315:U315"/>
    <mergeCell ref="BB69:BG69"/>
    <mergeCell ref="BB76:BG77"/>
    <mergeCell ref="AK16:AM16"/>
    <mergeCell ref="CA20:CF21"/>
    <mergeCell ref="ED321:EE321"/>
    <mergeCell ref="DI183:DN183"/>
    <mergeCell ref="DZ12:EC12"/>
    <mergeCell ref="DI219:DN219"/>
    <mergeCell ref="FK37:FM37"/>
    <mergeCell ref="AK41:AP43"/>
    <mergeCell ref="EM41:EN41"/>
    <mergeCell ref="T218:Y218"/>
    <mergeCell ref="EZ239:FE240"/>
    <mergeCell ref="AB145:AC145"/>
    <mergeCell ref="FH205:FJ205"/>
    <mergeCell ref="C46:D46"/>
    <mergeCell ref="FK66:FM66"/>
    <mergeCell ref="DD381:DF381"/>
    <mergeCell ref="HX44:HZ44"/>
    <mergeCell ref="EZ70:FB70"/>
    <mergeCell ref="EZ43:FE46"/>
    <mergeCell ref="DR108:DW108"/>
    <mergeCell ref="DA221:DD221"/>
    <mergeCell ref="FH213:FJ213"/>
    <mergeCell ref="C48:D48"/>
    <mergeCell ref="AB170:AC170"/>
    <mergeCell ref="FK68:FM68"/>
    <mergeCell ref="EZ63:FB63"/>
    <mergeCell ref="BJ55:BO55"/>
    <mergeCell ref="FQ75:FS75"/>
    <mergeCell ref="FH39:FJ39"/>
    <mergeCell ref="DM39:DN39"/>
    <mergeCell ref="DI245:DN245"/>
    <mergeCell ref="DR104:DT104"/>
    <mergeCell ref="AB172:AC172"/>
    <mergeCell ref="T28:U28"/>
    <mergeCell ref="DA366:DF370"/>
    <mergeCell ref="FK221:FM221"/>
    <mergeCell ref="ED34:EE34"/>
    <mergeCell ref="GB73:GD73"/>
    <mergeCell ref="AB171:AC171"/>
    <mergeCell ref="DR106:DT106"/>
    <mergeCell ref="FY77:GD77"/>
    <mergeCell ref="DI203:DN203"/>
    <mergeCell ref="AD85:AG85"/>
    <mergeCell ref="FC166:FE166"/>
    <mergeCell ref="AB173:AC173"/>
    <mergeCell ref="DI196:DN196"/>
    <mergeCell ref="FC132:FE132"/>
    <mergeCell ref="GB74:GD74"/>
    <mergeCell ref="C74:D74"/>
    <mergeCell ref="DI199:DK199"/>
    <mergeCell ref="GY125:HB125"/>
    <mergeCell ref="EZ123:FB123"/>
    <mergeCell ref="AD230:AG230"/>
    <mergeCell ref="DI376:DL376"/>
    <mergeCell ref="FC167:FE167"/>
    <mergeCell ref="CJ2:CW3"/>
    <mergeCell ref="FC161:FE161"/>
    <mergeCell ref="C103:D103"/>
    <mergeCell ref="FY66:GD66"/>
    <mergeCell ref="AD143:AG143"/>
    <mergeCell ref="FY94:GB94"/>
    <mergeCell ref="AD232:AG232"/>
    <mergeCell ref="HT124:HU124"/>
    <mergeCell ref="AD20:AG20"/>
    <mergeCell ref="DI229:DN229"/>
    <mergeCell ref="DA236:DF240"/>
    <mergeCell ref="EZ124:FB124"/>
    <mergeCell ref="HP207:HU207"/>
    <mergeCell ref="FH86:FJ86"/>
    <mergeCell ref="GB101:GD101"/>
    <mergeCell ref="AB347:AC347"/>
    <mergeCell ref="HG123:HL123"/>
    <mergeCell ref="BJ68:BO68"/>
    <mergeCell ref="AB341:AC341"/>
    <mergeCell ref="EQ100:EV100"/>
    <mergeCell ref="AD284:AG284"/>
    <mergeCell ref="FK122:FM122"/>
    <mergeCell ref="HK97:HL97"/>
    <mergeCell ref="EZ126:FB126"/>
    <mergeCell ref="DI225:DK225"/>
    <mergeCell ref="DZ234:EE234"/>
    <mergeCell ref="FQ129:FS129"/>
    <mergeCell ref="HK96:HL96"/>
    <mergeCell ref="DZ78:EC78"/>
    <mergeCell ref="FT18:FV18"/>
    <mergeCell ref="DR150:DT150"/>
    <mergeCell ref="T258:U258"/>
    <mergeCell ref="BB12:BG12"/>
    <mergeCell ref="V201:Y201"/>
    <mergeCell ref="DD18:DF18"/>
    <mergeCell ref="EC302:EE302"/>
    <mergeCell ref="BB10:BE10"/>
    <mergeCell ref="EC84:EE84"/>
    <mergeCell ref="C87:D87"/>
    <mergeCell ref="FK132:FM132"/>
    <mergeCell ref="DZ259:EB259"/>
    <mergeCell ref="HX124:IA124"/>
    <mergeCell ref="BS26:BX26"/>
    <mergeCell ref="DZ307:EE313"/>
    <mergeCell ref="FH239:FM240"/>
    <mergeCell ref="DZ271:EE272"/>
    <mergeCell ref="DL250:DN250"/>
    <mergeCell ref="CJ39:CO39"/>
    <mergeCell ref="C89:D89"/>
    <mergeCell ref="AD162:AG162"/>
    <mergeCell ref="C116:D116"/>
    <mergeCell ref="AB276:AG276"/>
    <mergeCell ref="CJ31:CO31"/>
    <mergeCell ref="HX107:IC109"/>
    <mergeCell ref="EZ23:FB23"/>
    <mergeCell ref="T309:U309"/>
    <mergeCell ref="DR170:DT170"/>
    <mergeCell ref="FC207:FE207"/>
    <mergeCell ref="AF333:AG333"/>
    <mergeCell ref="CM72:CO72"/>
    <mergeCell ref="HS44:HU44"/>
    <mergeCell ref="FT98:FV98"/>
    <mergeCell ref="DA11:DF11"/>
    <mergeCell ref="DR172:DT172"/>
    <mergeCell ref="BB65:BG65"/>
    <mergeCell ref="V231:Y231"/>
    <mergeCell ref="DI366:DN370"/>
    <mergeCell ref="EZ226:FE226"/>
    <mergeCell ref="DA222:DF222"/>
    <mergeCell ref="DI142:DL142"/>
    <mergeCell ref="DR29:DW30"/>
    <mergeCell ref="HX152:IA152"/>
    <mergeCell ref="FK166:FM166"/>
    <mergeCell ref="T189:Y189"/>
    <mergeCell ref="DA305:DC305"/>
    <mergeCell ref="FH121:FJ121"/>
    <mergeCell ref="FK160:FM160"/>
    <mergeCell ref="EQ13:ET13"/>
    <mergeCell ref="DE195:DF195"/>
    <mergeCell ref="DV144:DW144"/>
    <mergeCell ref="CJ57:CO57"/>
    <mergeCell ref="BS37:BX37"/>
    <mergeCell ref="FC75:FE75"/>
    <mergeCell ref="DL303:DN303"/>
    <mergeCell ref="DR322:DW322"/>
    <mergeCell ref="EQ136:EV147"/>
    <mergeCell ref="DA223:DF223"/>
    <mergeCell ref="GY50:HD50"/>
    <mergeCell ref="BV42:BX42"/>
    <mergeCell ref="GY93:HD94"/>
    <mergeCell ref="DR87:DW93"/>
    <mergeCell ref="DR235:DW235"/>
    <mergeCell ref="HP96:HS96"/>
    <mergeCell ref="T334:Y334"/>
    <mergeCell ref="DE38:DF38"/>
    <mergeCell ref="FK161:FM161"/>
    <mergeCell ref="CU16:CW16"/>
    <mergeCell ref="GL14:GM14"/>
    <mergeCell ref="T362:W362"/>
    <mergeCell ref="GH43:GJ43"/>
    <mergeCell ref="V257:Y257"/>
    <mergeCell ref="DI392:DN396"/>
    <mergeCell ref="AB255:AC255"/>
    <mergeCell ref="BJ9:BO9"/>
    <mergeCell ref="DZ190:EE190"/>
    <mergeCell ref="FQ93:FV93"/>
    <mergeCell ref="DU259:DW259"/>
    <mergeCell ref="AD54:AG54"/>
    <mergeCell ref="T363:Y363"/>
    <mergeCell ref="DI236:DN240"/>
    <mergeCell ref="T24:U24"/>
    <mergeCell ref="DZ193:EB193"/>
    <mergeCell ref="GB44:GD44"/>
    <mergeCell ref="GH96:GM96"/>
    <mergeCell ref="HP140:HU147"/>
    <mergeCell ref="AB284:AC284"/>
    <mergeCell ref="AD81:AG81"/>
    <mergeCell ref="AB291:AG291"/>
    <mergeCell ref="FK219:FM219"/>
    <mergeCell ref="T53:U53"/>
    <mergeCell ref="AB286:AC286"/>
    <mergeCell ref="CN27:CO27"/>
    <mergeCell ref="EQ41:ET41"/>
    <mergeCell ref="DD96:DF96"/>
    <mergeCell ref="DL16:DN16"/>
    <mergeCell ref="FH141:FM144"/>
    <mergeCell ref="FQ74:FS74"/>
    <mergeCell ref="T55:U55"/>
    <mergeCell ref="EU12:EV12"/>
    <mergeCell ref="AD226:AG226"/>
    <mergeCell ref="AD201:AG201"/>
    <mergeCell ref="X304:Y304"/>
    <mergeCell ref="EC326:EE326"/>
    <mergeCell ref="GB72:GD72"/>
    <mergeCell ref="FC157:FE157"/>
    <mergeCell ref="CJ70:CO70"/>
    <mergeCell ref="FK214:FM214"/>
    <mergeCell ref="BJ10:BM10"/>
    <mergeCell ref="BB72:BG74"/>
    <mergeCell ref="BF53:BG53"/>
    <mergeCell ref="GK118:GM118"/>
    <mergeCell ref="BJ37:BO37"/>
    <mergeCell ref="DA116:DD116"/>
    <mergeCell ref="AD228:AG228"/>
    <mergeCell ref="HX246:IC246"/>
    <mergeCell ref="CA14:CC14"/>
    <mergeCell ref="AF14:AG14"/>
    <mergeCell ref="ED276:EE276"/>
    <mergeCell ref="FQ104:FV104"/>
    <mergeCell ref="DU281:DW281"/>
    <mergeCell ref="EU13:EV13"/>
    <mergeCell ref="FH76:FJ76"/>
    <mergeCell ref="HB129:HD129"/>
    <mergeCell ref="AB312:AC312"/>
    <mergeCell ref="FQ101:FS101"/>
    <mergeCell ref="CJ71:CO71"/>
    <mergeCell ref="CY2:CY9"/>
    <mergeCell ref="EC215:EE215"/>
    <mergeCell ref="EZ122:FB122"/>
    <mergeCell ref="DZ170:EB170"/>
    <mergeCell ref="FQ100:FS100"/>
    <mergeCell ref="DL380:DN380"/>
    <mergeCell ref="GP84:GU85"/>
    <mergeCell ref="CR30:CT30"/>
    <mergeCell ref="AD223:AG223"/>
    <mergeCell ref="AB339:AC339"/>
    <mergeCell ref="ED35:EE35"/>
    <mergeCell ref="GP71:GU71"/>
    <mergeCell ref="HB131:HD131"/>
    <mergeCell ref="DR123:DU123"/>
    <mergeCell ref="EZ150:FE150"/>
    <mergeCell ref="T355:Y356"/>
    <mergeCell ref="FH77:FJ77"/>
    <mergeCell ref="GB98:GD98"/>
    <mergeCell ref="DZ172:EB172"/>
    <mergeCell ref="BJ65:BO65"/>
    <mergeCell ref="BB58:BG60"/>
    <mergeCell ref="FQ102:FS102"/>
    <mergeCell ref="GP37:GU37"/>
    <mergeCell ref="EU40:EV40"/>
    <mergeCell ref="AD254:AG254"/>
    <mergeCell ref="DI222:DN222"/>
    <mergeCell ref="DI249:DN249"/>
    <mergeCell ref="GP67:GR67"/>
    <mergeCell ref="DA323:DF323"/>
    <mergeCell ref="T384:Y385"/>
    <mergeCell ref="DI252:DK252"/>
    <mergeCell ref="AL59:AP59"/>
    <mergeCell ref="T132:Y132"/>
    <mergeCell ref="AB189:AG189"/>
    <mergeCell ref="DA169:DD169"/>
    <mergeCell ref="DM195:DN195"/>
    <mergeCell ref="GP69:GR69"/>
    <mergeCell ref="HX239:HZ239"/>
    <mergeCell ref="AD283:AG283"/>
    <mergeCell ref="T217:W217"/>
    <mergeCell ref="FH107:FM107"/>
    <mergeCell ref="IB68:IC68"/>
    <mergeCell ref="CD70:CF70"/>
    <mergeCell ref="HX274:IC274"/>
    <mergeCell ref="T285:U285"/>
    <mergeCell ref="DA378:DF378"/>
    <mergeCell ref="FH110:FJ110"/>
    <mergeCell ref="C85:D85"/>
    <mergeCell ref="DA250:DC250"/>
    <mergeCell ref="C112:D112"/>
    <mergeCell ref="V192:Y192"/>
    <mergeCell ref="FH66:FJ66"/>
    <mergeCell ref="AD249:AG249"/>
    <mergeCell ref="FC170:FE170"/>
    <mergeCell ref="HG93:HL94"/>
    <mergeCell ref="AD285:AG285"/>
    <mergeCell ref="C84:D84"/>
    <mergeCell ref="FC178:FE178"/>
    <mergeCell ref="HP156:HR156"/>
    <mergeCell ref="V200:Y200"/>
    <mergeCell ref="FC172:FE172"/>
    <mergeCell ref="C114:D114"/>
    <mergeCell ref="V194:Y194"/>
    <mergeCell ref="HX168:IC175"/>
    <mergeCell ref="FY71:GA71"/>
    <mergeCell ref="HP4:IC7"/>
    <mergeCell ref="HP23:HU25"/>
    <mergeCell ref="CV26:CW26"/>
    <mergeCell ref="HX140:IC147"/>
    <mergeCell ref="BN25:BO25"/>
    <mergeCell ref="FC176:FE176"/>
    <mergeCell ref="EZ14:FC14"/>
    <mergeCell ref="GH41:GM41"/>
    <mergeCell ref="AB117:AG117"/>
    <mergeCell ref="EM125:EN125"/>
    <mergeCell ref="DA307:DF307"/>
    <mergeCell ref="T311:U311"/>
    <mergeCell ref="DI93:DN93"/>
    <mergeCell ref="BS41:BX41"/>
    <mergeCell ref="AB53:AC53"/>
    <mergeCell ref="DI391:DN391"/>
    <mergeCell ref="DI398:DN399"/>
    <mergeCell ref="HP180:HS180"/>
    <mergeCell ref="CR15:CW15"/>
    <mergeCell ref="DR14:DW14"/>
    <mergeCell ref="FK164:FM164"/>
    <mergeCell ref="DA303:DC303"/>
    <mergeCell ref="BS43:BX43"/>
    <mergeCell ref="EZ37:FB37"/>
    <mergeCell ref="EZ159:FB159"/>
    <mergeCell ref="FC20:FE20"/>
    <mergeCell ref="HS43:HU43"/>
    <mergeCell ref="DD43:DF43"/>
    <mergeCell ref="AN20:AP20"/>
    <mergeCell ref="HT125:HU125"/>
    <mergeCell ref="T305:Y305"/>
    <mergeCell ref="FK157:FM157"/>
    <mergeCell ref="FY43:GD43"/>
    <mergeCell ref="HP163:HU165"/>
    <mergeCell ref="EZ161:FB161"/>
    <mergeCell ref="GY17:HA17"/>
    <mergeCell ref="C104:D104"/>
    <mergeCell ref="FC22:FE22"/>
    <mergeCell ref="FH123:FJ123"/>
    <mergeCell ref="BB54:BG54"/>
    <mergeCell ref="FY15:GD15"/>
    <mergeCell ref="AB80:AC80"/>
    <mergeCell ref="V342:Y342"/>
    <mergeCell ref="AN22:AP22"/>
    <mergeCell ref="GY47:HA47"/>
    <mergeCell ref="V336:Y336"/>
    <mergeCell ref="AD50:AG50"/>
    <mergeCell ref="X101:Y101"/>
    <mergeCell ref="HJ15:HL15"/>
    <mergeCell ref="DA333:DF333"/>
    <mergeCell ref="DZ275:EE275"/>
    <mergeCell ref="EC281:EE281"/>
    <mergeCell ref="BS4:CF7"/>
    <mergeCell ref="EI36:EN37"/>
    <mergeCell ref="FQ44:FS44"/>
    <mergeCell ref="GK92:GM92"/>
    <mergeCell ref="HJ129:HL129"/>
    <mergeCell ref="T36:Y37"/>
    <mergeCell ref="ED101:EE101"/>
    <mergeCell ref="FY128:GA128"/>
    <mergeCell ref="AD52:AG52"/>
    <mergeCell ref="DR189:DU189"/>
    <mergeCell ref="C99:D99"/>
    <mergeCell ref="ED100:EE100"/>
    <mergeCell ref="GY12:HB12"/>
    <mergeCell ref="DZ300:EE300"/>
    <mergeCell ref="GK94:GM94"/>
    <mergeCell ref="DR188:DU188"/>
    <mergeCell ref="CJ12:CM12"/>
    <mergeCell ref="GH22:GM25"/>
    <mergeCell ref="HS183:HU183"/>
    <mergeCell ref="T26:U26"/>
    <mergeCell ref="BB53:BE53"/>
    <mergeCell ref="DA16:DC16"/>
    <mergeCell ref="DA331:DC331"/>
    <mergeCell ref="FH174:FJ174"/>
    <mergeCell ref="FK175:FM175"/>
    <mergeCell ref="X275:Y275"/>
    <mergeCell ref="GY56:HD63"/>
    <mergeCell ref="DI323:DN323"/>
    <mergeCell ref="DR77:DW77"/>
    <mergeCell ref="FH18:FJ18"/>
    <mergeCell ref="DA324:DD324"/>
    <mergeCell ref="DA18:DC18"/>
    <mergeCell ref="DI38:DL38"/>
    <mergeCell ref="FK177:FM177"/>
    <mergeCell ref="FC217:FE217"/>
    <mergeCell ref="BB38:BE38"/>
    <mergeCell ref="AD199:AG199"/>
    <mergeCell ref="DI169:DL169"/>
    <mergeCell ref="GP14:GS14"/>
    <mergeCell ref="AB15:AG15"/>
    <mergeCell ref="AK51:AP52"/>
    <mergeCell ref="HB101:HD101"/>
    <mergeCell ref="HP264:HS264"/>
    <mergeCell ref="C72:D72"/>
    <mergeCell ref="AN33:AP33"/>
    <mergeCell ref="DA17:DC17"/>
    <mergeCell ref="DZ328:EE328"/>
    <mergeCell ref="EZ85:FB85"/>
    <mergeCell ref="DL45:DN45"/>
    <mergeCell ref="EZ181:FE184"/>
    <mergeCell ref="AB305:AG305"/>
    <mergeCell ref="AD192:AG192"/>
    <mergeCell ref="AB308:AC308"/>
    <mergeCell ref="HB100:HD100"/>
    <mergeCell ref="CJ67:CO67"/>
    <mergeCell ref="HG17:HI17"/>
    <mergeCell ref="AN35:AP35"/>
    <mergeCell ref="DI282:DN285"/>
    <mergeCell ref="DR215:DT215"/>
    <mergeCell ref="T77:U77"/>
    <mergeCell ref="EC325:EE325"/>
    <mergeCell ref="V137:Y137"/>
    <mergeCell ref="T375:U375"/>
    <mergeCell ref="K5:Q6"/>
    <mergeCell ref="AD194:AG194"/>
    <mergeCell ref="AB310:AC310"/>
    <mergeCell ref="BB30:BG32"/>
    <mergeCell ref="AF130:AG130"/>
    <mergeCell ref="DA42:DC42"/>
    <mergeCell ref="DD201:DF201"/>
    <mergeCell ref="T166:U166"/>
    <mergeCell ref="DI333:DN333"/>
    <mergeCell ref="FK17:FM17"/>
    <mergeCell ref="HP219:HU221"/>
    <mergeCell ref="CR27:CU27"/>
    <mergeCell ref="DI349:DN349"/>
    <mergeCell ref="FQ30:FV33"/>
    <mergeCell ref="FQ131:FV131"/>
    <mergeCell ref="AB309:AC309"/>
    <mergeCell ref="FQ98:FS98"/>
    <mergeCell ref="HP71:HR71"/>
    <mergeCell ref="DR59:DW59"/>
    <mergeCell ref="V139:Y139"/>
    <mergeCell ref="T377:U377"/>
    <mergeCell ref="AK21:AM21"/>
    <mergeCell ref="DA44:DC44"/>
    <mergeCell ref="FK203:FM203"/>
    <mergeCell ref="DI329:DK329"/>
    <mergeCell ref="T168:U168"/>
    <mergeCell ref="CA69:CF69"/>
    <mergeCell ref="FC84:FE84"/>
    <mergeCell ref="EU125:EV125"/>
    <mergeCell ref="AB304:AE304"/>
    <mergeCell ref="C54:D54"/>
    <mergeCell ref="DR95:DW96"/>
    <mergeCell ref="BB66:BE66"/>
    <mergeCell ref="C61:H61"/>
    <mergeCell ref="DI331:DK331"/>
    <mergeCell ref="C56:D56"/>
    <mergeCell ref="BS70:BU70"/>
    <mergeCell ref="IB153:IC153"/>
    <mergeCell ref="DI330:DK330"/>
    <mergeCell ref="DR84:DT84"/>
    <mergeCell ref="AB21:AC21"/>
    <mergeCell ref="HG45:HI45"/>
    <mergeCell ref="X42:Y42"/>
    <mergeCell ref="FY83:GD83"/>
    <mergeCell ref="K17:N18"/>
    <mergeCell ref="T102:Y102"/>
    <mergeCell ref="EZ106:FC106"/>
    <mergeCell ref="HX163:IC165"/>
    <mergeCell ref="CE10:CF10"/>
    <mergeCell ref="AB23:AC23"/>
    <mergeCell ref="HG72:HI72"/>
    <mergeCell ref="V279:Y279"/>
    <mergeCell ref="BJ42:BL42"/>
    <mergeCell ref="EZ105:FC105"/>
    <mergeCell ref="T246:W246"/>
    <mergeCell ref="AB292:AG296"/>
    <mergeCell ref="AB30:AG30"/>
    <mergeCell ref="FY110:GD110"/>
    <mergeCell ref="DI22:DN25"/>
    <mergeCell ref="EQ36:EV37"/>
    <mergeCell ref="GH97:GM100"/>
    <mergeCell ref="FY44:GA44"/>
    <mergeCell ref="GS92:GU92"/>
    <mergeCell ref="BJ52:BM52"/>
    <mergeCell ref="AB36:AG37"/>
    <mergeCell ref="DI357:DK357"/>
    <mergeCell ref="V281:Y281"/>
    <mergeCell ref="FC112:FE112"/>
    <mergeCell ref="HP123:HU123"/>
    <mergeCell ref="DZ189:EC189"/>
    <mergeCell ref="GP90:GU90"/>
    <mergeCell ref="AB326:AG327"/>
    <mergeCell ref="AB18:AC18"/>
    <mergeCell ref="GP93:GR93"/>
    <mergeCell ref="FY73:GA73"/>
    <mergeCell ref="GS94:GU94"/>
    <mergeCell ref="K20:N21"/>
    <mergeCell ref="X43:Y43"/>
    <mergeCell ref="GY134:HD134"/>
    <mergeCell ref="AB51:AC51"/>
    <mergeCell ref="DR143:DW143"/>
    <mergeCell ref="FH117:FJ117"/>
    <mergeCell ref="HP267:HR267"/>
    <mergeCell ref="HJ99:HL99"/>
    <mergeCell ref="EZ89:FE92"/>
    <mergeCell ref="AB163:AC163"/>
    <mergeCell ref="V366:Y366"/>
    <mergeCell ref="DI48:DN51"/>
    <mergeCell ref="FH83:FJ83"/>
    <mergeCell ref="FH119:FJ119"/>
    <mergeCell ref="EM124:EN124"/>
    <mergeCell ref="HX264:IA264"/>
    <mergeCell ref="GY43:HA43"/>
    <mergeCell ref="DE246:DF246"/>
    <mergeCell ref="V307:Y307"/>
    <mergeCell ref="HJ101:HL101"/>
    <mergeCell ref="T108:U108"/>
    <mergeCell ref="DE377:DF377"/>
    <mergeCell ref="AB165:AC165"/>
    <mergeCell ref="FH85:FJ85"/>
    <mergeCell ref="GY15:HA15"/>
    <mergeCell ref="DR281:DT281"/>
    <mergeCell ref="HP196:HU203"/>
    <mergeCell ref="HX280:IC287"/>
    <mergeCell ref="FY99:GA99"/>
    <mergeCell ref="T232:U232"/>
    <mergeCell ref="GC67:GD67"/>
    <mergeCell ref="FH114:FJ114"/>
    <mergeCell ref="AB77:AC77"/>
    <mergeCell ref="FY126:GA126"/>
    <mergeCell ref="T109:U109"/>
    <mergeCell ref="DL201:DN201"/>
    <mergeCell ref="FY101:GA101"/>
    <mergeCell ref="HP149:HU150"/>
    <mergeCell ref="DA54:DF58"/>
    <mergeCell ref="FC125:FE125"/>
    <mergeCell ref="T123:Y124"/>
    <mergeCell ref="T22:U22"/>
    <mergeCell ref="DA354:DC354"/>
    <mergeCell ref="T75:U75"/>
    <mergeCell ref="HP55:HU55"/>
    <mergeCell ref="DA151:DF151"/>
    <mergeCell ref="DD146:DF146"/>
    <mergeCell ref="HJ127:HL127"/>
    <mergeCell ref="CJ37:CO37"/>
    <mergeCell ref="DZ83:EB83"/>
    <mergeCell ref="GS17:GU17"/>
    <mergeCell ref="DZ297:EE297"/>
    <mergeCell ref="DI246:DL246"/>
    <mergeCell ref="DA356:DC356"/>
    <mergeCell ref="FC213:FE213"/>
    <mergeCell ref="DZ95:EE96"/>
    <mergeCell ref="V229:Y229"/>
    <mergeCell ref="DA147:DC147"/>
    <mergeCell ref="DE299:DF299"/>
    <mergeCell ref="AN29:AP29"/>
    <mergeCell ref="V343:Y343"/>
    <mergeCell ref="DE90:DF90"/>
    <mergeCell ref="FC39:FE39"/>
    <mergeCell ref="HG27:HL27"/>
    <mergeCell ref="AB101:AE101"/>
    <mergeCell ref="FC215:FE215"/>
    <mergeCell ref="EZ170:FB170"/>
    <mergeCell ref="EC148:EE148"/>
    <mergeCell ref="HX39:IC39"/>
    <mergeCell ref="FH132:FJ132"/>
    <mergeCell ref="V53:Y53"/>
    <mergeCell ref="AN31:AP31"/>
    <mergeCell ref="GC95:GD95"/>
    <mergeCell ref="AB102:AG102"/>
    <mergeCell ref="EZ58:FE58"/>
    <mergeCell ref="EZ172:FB172"/>
    <mergeCell ref="V46:Y46"/>
    <mergeCell ref="T162:U162"/>
    <mergeCell ref="IB265:IC265"/>
    <mergeCell ref="GP134:GU135"/>
    <mergeCell ref="AB246:AE246"/>
    <mergeCell ref="FU40:FV40"/>
    <mergeCell ref="DA79:DF79"/>
    <mergeCell ref="DI272:DL272"/>
    <mergeCell ref="V376:Y376"/>
    <mergeCell ref="GP40:GU40"/>
    <mergeCell ref="GP122:GU125"/>
    <mergeCell ref="GP97:GU100"/>
    <mergeCell ref="DZ11:EE11"/>
    <mergeCell ref="DD199:DF199"/>
    <mergeCell ref="T164:U164"/>
    <mergeCell ref="CJ30:CL30"/>
    <mergeCell ref="AF217:AG217"/>
    <mergeCell ref="AB275:AE275"/>
    <mergeCell ref="DA197:DF197"/>
    <mergeCell ref="DR285:DW291"/>
    <mergeCell ref="DA69:DC69"/>
    <mergeCell ref="HX212:HZ212"/>
    <mergeCell ref="FH158:FJ158"/>
    <mergeCell ref="FU41:FV41"/>
    <mergeCell ref="V79:Y79"/>
    <mergeCell ref="CJ18:CO21"/>
    <mergeCell ref="CR45:CW45"/>
    <mergeCell ref="DE12:DF12"/>
    <mergeCell ref="V371:Y371"/>
    <mergeCell ref="AF129:AG129"/>
    <mergeCell ref="EC18:EE18"/>
    <mergeCell ref="DR86:DW86"/>
    <mergeCell ref="DA377:DD377"/>
    <mergeCell ref="DZ143:EE143"/>
    <mergeCell ref="BW53:BX53"/>
    <mergeCell ref="EI96:EL96"/>
    <mergeCell ref="BS67:BV67"/>
    <mergeCell ref="CR53:CW53"/>
    <mergeCell ref="FH160:FJ160"/>
    <mergeCell ref="AK60:AP61"/>
    <mergeCell ref="DA43:DC43"/>
    <mergeCell ref="GP39:GS39"/>
    <mergeCell ref="CJ54:CM54"/>
    <mergeCell ref="DZ14:EE14"/>
    <mergeCell ref="DA99:DF99"/>
    <mergeCell ref="GP91:GU91"/>
    <mergeCell ref="DD225:DF225"/>
    <mergeCell ref="DA220:DD220"/>
    <mergeCell ref="HG43:HI43"/>
    <mergeCell ref="CR13:CU13"/>
    <mergeCell ref="V110:Y110"/>
    <mergeCell ref="AB263:AG267"/>
    <mergeCell ref="AB108:AC108"/>
    <mergeCell ref="HX224:IC231"/>
    <mergeCell ref="DR81:DW81"/>
    <mergeCell ref="DR232:DU232"/>
    <mergeCell ref="DA63:DF63"/>
    <mergeCell ref="AB143:AC143"/>
    <mergeCell ref="AD203:AG203"/>
    <mergeCell ref="DD227:DF227"/>
    <mergeCell ref="EC192:EE192"/>
    <mergeCell ref="FD197:FE197"/>
    <mergeCell ref="EZ187:FE190"/>
    <mergeCell ref="AB20:AC20"/>
    <mergeCell ref="FY41:GB41"/>
    <mergeCell ref="BS58:BX60"/>
    <mergeCell ref="AB318:AC318"/>
    <mergeCell ref="DD226:DF226"/>
    <mergeCell ref="FH211:FJ211"/>
    <mergeCell ref="EC194:EE194"/>
    <mergeCell ref="DM298:DN298"/>
    <mergeCell ref="DA360:DF363"/>
    <mergeCell ref="DI354:DK354"/>
    <mergeCell ref="DA90:DD90"/>
    <mergeCell ref="T245:W245"/>
    <mergeCell ref="FK65:FM65"/>
    <mergeCell ref="CR32:CW35"/>
    <mergeCell ref="DZ161:EE162"/>
    <mergeCell ref="CR37:CW37"/>
    <mergeCell ref="FC70:FE70"/>
    <mergeCell ref="AB134:AC134"/>
    <mergeCell ref="HK12:HL12"/>
    <mergeCell ref="DI356:DK356"/>
    <mergeCell ref="AD229:AG229"/>
    <mergeCell ref="BW66:BX66"/>
    <mergeCell ref="DM299:DN299"/>
    <mergeCell ref="DZ150:EB150"/>
    <mergeCell ref="HG56:HL63"/>
    <mergeCell ref="T201:U201"/>
    <mergeCell ref="DZ326:EB326"/>
    <mergeCell ref="GY128:HA128"/>
    <mergeCell ref="DU104:DW104"/>
    <mergeCell ref="FH214:FJ214"/>
    <mergeCell ref="GH118:GJ118"/>
    <mergeCell ref="T203:U203"/>
    <mergeCell ref="HT237:HU237"/>
    <mergeCell ref="DU106:DW106"/>
    <mergeCell ref="DA145:DF145"/>
    <mergeCell ref="BW67:BX67"/>
    <mergeCell ref="FK212:FM212"/>
    <mergeCell ref="EI45:EN49"/>
    <mergeCell ref="AB162:AC162"/>
    <mergeCell ref="AD260:AG260"/>
    <mergeCell ref="GY129:HA129"/>
    <mergeCell ref="GC40:GD40"/>
    <mergeCell ref="FK83:FM83"/>
    <mergeCell ref="AB43:AE43"/>
    <mergeCell ref="AD105:AG105"/>
    <mergeCell ref="DA80:DF84"/>
    <mergeCell ref="DI73:DN73"/>
    <mergeCell ref="GH78:GM81"/>
    <mergeCell ref="DR125:DW125"/>
    <mergeCell ref="CA58:CF60"/>
    <mergeCell ref="DL226:DN226"/>
    <mergeCell ref="AD316:AG316"/>
    <mergeCell ref="FC123:FE123"/>
    <mergeCell ref="FH224:FJ224"/>
    <mergeCell ref="K29:N30"/>
    <mergeCell ref="FK85:FM85"/>
    <mergeCell ref="BB15:BG15"/>
    <mergeCell ref="FY84:GD87"/>
    <mergeCell ref="DZ285:EE291"/>
    <mergeCell ref="FY78:GD81"/>
    <mergeCell ref="DI69:DK69"/>
    <mergeCell ref="T231:U231"/>
    <mergeCell ref="BJ44:BO46"/>
    <mergeCell ref="DR152:DW152"/>
    <mergeCell ref="HP13:HS13"/>
    <mergeCell ref="FK84:FM84"/>
    <mergeCell ref="CR18:CW21"/>
    <mergeCell ref="DM12:DN12"/>
    <mergeCell ref="DU280:DW280"/>
    <mergeCell ref="V174:Y174"/>
    <mergeCell ref="DA171:DF171"/>
    <mergeCell ref="DI377:DL377"/>
    <mergeCell ref="CE53:CF53"/>
    <mergeCell ref="DU193:DW193"/>
    <mergeCell ref="CA67:CD67"/>
    <mergeCell ref="DR148:DT148"/>
    <mergeCell ref="V18:Y18"/>
    <mergeCell ref="AB31:AG35"/>
    <mergeCell ref="DL253:DN253"/>
    <mergeCell ref="ED210:EE210"/>
    <mergeCell ref="C121:D121"/>
    <mergeCell ref="CR54:CU54"/>
    <mergeCell ref="DI99:DN99"/>
    <mergeCell ref="DZ205:EE206"/>
    <mergeCell ref="DR298:DU298"/>
    <mergeCell ref="GL114:GM114"/>
    <mergeCell ref="HT265:HU265"/>
    <mergeCell ref="V17:Y17"/>
    <mergeCell ref="T133:U133"/>
    <mergeCell ref="EI73:EN77"/>
    <mergeCell ref="DA294:DF295"/>
    <mergeCell ref="DV277:DW277"/>
    <mergeCell ref="DA126:DF129"/>
    <mergeCell ref="DI95:DK95"/>
    <mergeCell ref="GP127:GU127"/>
    <mergeCell ref="HP12:HS12"/>
    <mergeCell ref="T135:U135"/>
    <mergeCell ref="DD328:DF328"/>
    <mergeCell ref="DM38:DN38"/>
    <mergeCell ref="GC122:GD122"/>
    <mergeCell ref="FH68:FJ68"/>
    <mergeCell ref="AK17:AM17"/>
    <mergeCell ref="DI122:DK122"/>
    <mergeCell ref="EZ16:FE16"/>
    <mergeCell ref="EC259:EE259"/>
    <mergeCell ref="DI299:DL299"/>
    <mergeCell ref="DR65:DW71"/>
    <mergeCell ref="BV14:BX14"/>
    <mergeCell ref="AK19:AM19"/>
    <mergeCell ref="DR18:DT18"/>
    <mergeCell ref="DI90:DL90"/>
    <mergeCell ref="ED79:EE79"/>
    <mergeCell ref="FC21:FE21"/>
    <mergeCell ref="FH156:FJ156"/>
    <mergeCell ref="EZ147:FE148"/>
    <mergeCell ref="EZ221:FB221"/>
    <mergeCell ref="GY83:HD83"/>
    <mergeCell ref="DA313:DF313"/>
    <mergeCell ref="HP95:HU95"/>
    <mergeCell ref="GB20:GD20"/>
    <mergeCell ref="V369:Y369"/>
    <mergeCell ref="BB34:BG35"/>
    <mergeCell ref="C153:H154"/>
    <mergeCell ref="DE143:DF143"/>
    <mergeCell ref="DA4:DN7"/>
    <mergeCell ref="HG11:HL11"/>
    <mergeCell ref="FC23:FE23"/>
    <mergeCell ref="EZ223:FB223"/>
    <mergeCell ref="HP84:HU91"/>
    <mergeCell ref="CE66:CF66"/>
    <mergeCell ref="FQ36:FV37"/>
    <mergeCell ref="AD26:AG26"/>
    <mergeCell ref="AB226:AC226"/>
    <mergeCell ref="FQ17:FS17"/>
    <mergeCell ref="BB29:BG29"/>
    <mergeCell ref="HG128:HI128"/>
    <mergeCell ref="AK14:AM14"/>
    <mergeCell ref="BB23:BG23"/>
    <mergeCell ref="DL149:DN149"/>
    <mergeCell ref="AB114:AC114"/>
    <mergeCell ref="DZ304:EB304"/>
    <mergeCell ref="DU172:DW172"/>
    <mergeCell ref="GK67:GM67"/>
    <mergeCell ref="DR12:DU12"/>
    <mergeCell ref="DI386:DN389"/>
    <mergeCell ref="FK155:FM155"/>
    <mergeCell ref="HP179:HU179"/>
    <mergeCell ref="DI145:DN145"/>
    <mergeCell ref="DD252:DF252"/>
    <mergeCell ref="DD305:DF305"/>
    <mergeCell ref="DR191:DW191"/>
    <mergeCell ref="HX12:IA12"/>
    <mergeCell ref="T364:Y364"/>
    <mergeCell ref="GB46:GD46"/>
    <mergeCell ref="DZ36:EE36"/>
    <mergeCell ref="BJ13:BO13"/>
    <mergeCell ref="GK69:GM69"/>
    <mergeCell ref="DI80:DN84"/>
    <mergeCell ref="DI143:DL143"/>
    <mergeCell ref="AD173:AG173"/>
    <mergeCell ref="FK36:FM36"/>
    <mergeCell ref="FC110:FE110"/>
    <mergeCell ref="DI170:DN170"/>
    <mergeCell ref="EZ65:FB65"/>
    <mergeCell ref="GB48:GD48"/>
    <mergeCell ref="DR103:DW103"/>
    <mergeCell ref="BJ15:BO15"/>
    <mergeCell ref="FC76:FE76"/>
    <mergeCell ref="HX13:IA13"/>
    <mergeCell ref="FC68:FE68"/>
    <mergeCell ref="GY99:HA99"/>
    <mergeCell ref="DA326:DF326"/>
    <mergeCell ref="AD174:AG174"/>
    <mergeCell ref="T204:Y204"/>
    <mergeCell ref="DI171:DN171"/>
    <mergeCell ref="DE39:DF39"/>
    <mergeCell ref="DZ17:EB17"/>
    <mergeCell ref="EC193:EE193"/>
    <mergeCell ref="DA34:DF35"/>
    <mergeCell ref="DZ148:EB148"/>
    <mergeCell ref="V83:Y83"/>
    <mergeCell ref="T199:U199"/>
    <mergeCell ref="AB283:AC283"/>
    <mergeCell ref="T288:U288"/>
    <mergeCell ref="DI106:DN110"/>
    <mergeCell ref="FQ77:FV77"/>
    <mergeCell ref="DZ183:EE184"/>
    <mergeCell ref="AD256:AG256"/>
    <mergeCell ref="HX40:IA40"/>
    <mergeCell ref="DL198:DN198"/>
    <mergeCell ref="T147:Y151"/>
    <mergeCell ref="DI126:DN129"/>
    <mergeCell ref="GL88:GM88"/>
    <mergeCell ref="T200:U200"/>
    <mergeCell ref="CA51:CF51"/>
    <mergeCell ref="DR121:DW121"/>
    <mergeCell ref="EZ88:FE88"/>
    <mergeCell ref="DA226:DC226"/>
    <mergeCell ref="HP99:HR99"/>
    <mergeCell ref="V109:Y109"/>
    <mergeCell ref="EZ84:FB84"/>
    <mergeCell ref="C65:D65"/>
    <mergeCell ref="V145:Y145"/>
    <mergeCell ref="EZ78:FB78"/>
    <mergeCell ref="FQ94:FT94"/>
    <mergeCell ref="FT99:FV99"/>
    <mergeCell ref="EZ227:FE230"/>
    <mergeCell ref="HG83:HL83"/>
    <mergeCell ref="FH221:FJ221"/>
    <mergeCell ref="GP68:GR68"/>
    <mergeCell ref="CA38:CD38"/>
    <mergeCell ref="EI128:EN128"/>
    <mergeCell ref="FK76:FM76"/>
    <mergeCell ref="T321:Y325"/>
    <mergeCell ref="HP28:HU35"/>
    <mergeCell ref="HX95:IC95"/>
    <mergeCell ref="DL224:DN224"/>
    <mergeCell ref="BJ34:BO35"/>
    <mergeCell ref="FT128:FV128"/>
    <mergeCell ref="DI152:DN155"/>
    <mergeCell ref="T368:U368"/>
    <mergeCell ref="FH223:FJ223"/>
    <mergeCell ref="HC97:HD97"/>
    <mergeCell ref="DI209:DN209"/>
    <mergeCell ref="HP162:HU162"/>
    <mergeCell ref="EZ79:FB79"/>
    <mergeCell ref="EZ108:FE108"/>
    <mergeCell ref="HC96:HD96"/>
    <mergeCell ref="AS14:AU14"/>
    <mergeCell ref="AS49:AX49"/>
    <mergeCell ref="DR122:DU122"/>
    <mergeCell ref="AB57:AC57"/>
    <mergeCell ref="FH37:FJ37"/>
    <mergeCell ref="GS68:GU68"/>
    <mergeCell ref="HX51:IC53"/>
    <mergeCell ref="HP251:HU251"/>
    <mergeCell ref="GY121:HD122"/>
    <mergeCell ref="T71:W71"/>
    <mergeCell ref="GS67:GU67"/>
    <mergeCell ref="DZ102:EE102"/>
    <mergeCell ref="BJ54:BO54"/>
    <mergeCell ref="DL252:DN252"/>
    <mergeCell ref="DZ191:EE191"/>
    <mergeCell ref="DU304:DW304"/>
    <mergeCell ref="AL50:AP50"/>
    <mergeCell ref="T100:W100"/>
    <mergeCell ref="C49:D49"/>
    <mergeCell ref="DR259:DT259"/>
    <mergeCell ref="DR307:DW313"/>
    <mergeCell ref="FY90:GD91"/>
    <mergeCell ref="AD116:AG116"/>
    <mergeCell ref="HP289:HU290"/>
    <mergeCell ref="DR271:DW272"/>
    <mergeCell ref="FK110:FM110"/>
    <mergeCell ref="FH65:FJ65"/>
    <mergeCell ref="DM65:DN65"/>
    <mergeCell ref="DZ227:EE228"/>
    <mergeCell ref="FQ123:FV123"/>
    <mergeCell ref="AB198:AC198"/>
    <mergeCell ref="HB17:HD17"/>
    <mergeCell ref="FC19:FE19"/>
    <mergeCell ref="T276:Y276"/>
    <mergeCell ref="C139:E139"/>
    <mergeCell ref="GP114:GS114"/>
    <mergeCell ref="HX265:IA265"/>
    <mergeCell ref="V193:Y193"/>
    <mergeCell ref="C138:E138"/>
    <mergeCell ref="AB204:AG204"/>
    <mergeCell ref="AB227:AC227"/>
    <mergeCell ref="DZ277:EC277"/>
    <mergeCell ref="EZ95:FE98"/>
    <mergeCell ref="DZ109:EE115"/>
    <mergeCell ref="AB199:AC199"/>
    <mergeCell ref="BB27:BG27"/>
    <mergeCell ref="DZ278:EE278"/>
    <mergeCell ref="FK120:FM120"/>
    <mergeCell ref="AD142:AG142"/>
    <mergeCell ref="CJ17:CO17"/>
    <mergeCell ref="AB228:AC228"/>
    <mergeCell ref="DU17:DW17"/>
    <mergeCell ref="DA190:DF191"/>
    <mergeCell ref="GT88:GU88"/>
    <mergeCell ref="O26:Q27"/>
    <mergeCell ref="FK32:FM32"/>
    <mergeCell ref="DZ121:EE121"/>
    <mergeCell ref="DA302:DC302"/>
    <mergeCell ref="EZ36:FB36"/>
    <mergeCell ref="DR293:DW294"/>
    <mergeCell ref="FC37:FE37"/>
    <mergeCell ref="FK121:FM121"/>
    <mergeCell ref="HP181:HS181"/>
    <mergeCell ref="FK115:FM115"/>
    <mergeCell ref="HX134:IC134"/>
    <mergeCell ref="AD137:AG137"/>
    <mergeCell ref="HB45:HD45"/>
    <mergeCell ref="HP44:HR44"/>
    <mergeCell ref="EZ21:FB21"/>
    <mergeCell ref="DR34:DU34"/>
    <mergeCell ref="T175:Y175"/>
    <mergeCell ref="DI167:DN167"/>
    <mergeCell ref="DI251:DK251"/>
    <mergeCell ref="HB47:HD47"/>
    <mergeCell ref="DR190:DW190"/>
    <mergeCell ref="CJ14:CO14"/>
    <mergeCell ref="GY96:HB96"/>
    <mergeCell ref="GP128:GU131"/>
    <mergeCell ref="V54:Y54"/>
    <mergeCell ref="EQ128:EV128"/>
    <mergeCell ref="HX28:IC35"/>
    <mergeCell ref="FT44:FV44"/>
    <mergeCell ref="BB55:BG55"/>
    <mergeCell ref="EZ180:FE180"/>
    <mergeCell ref="GB128:GD128"/>
    <mergeCell ref="T284:U284"/>
    <mergeCell ref="HX190:IC190"/>
    <mergeCell ref="HK124:HL124"/>
    <mergeCell ref="FC205:FE205"/>
    <mergeCell ref="HX162:IC162"/>
    <mergeCell ref="T172:U172"/>
    <mergeCell ref="GS19:GU19"/>
    <mergeCell ref="AD341:AG341"/>
    <mergeCell ref="GK93:GM93"/>
    <mergeCell ref="T286:U286"/>
    <mergeCell ref="BB40:BG40"/>
    <mergeCell ref="EZ176:FB176"/>
    <mergeCell ref="HX125:IA125"/>
    <mergeCell ref="DZ174:EE174"/>
    <mergeCell ref="DA27:DF27"/>
    <mergeCell ref="T165:U165"/>
    <mergeCell ref="GP15:GU15"/>
    <mergeCell ref="FK174:FM174"/>
    <mergeCell ref="EZ178:FB178"/>
    <mergeCell ref="CN41:CO41"/>
    <mergeCell ref="FK18:FM18"/>
    <mergeCell ref="FC119:FE119"/>
    <mergeCell ref="V141:Y141"/>
    <mergeCell ref="FC208:FE208"/>
    <mergeCell ref="DR218:DW218"/>
    <mergeCell ref="V230:Y230"/>
    <mergeCell ref="AB146:AG146"/>
    <mergeCell ref="DA194:DD194"/>
    <mergeCell ref="V224:Y224"/>
    <mergeCell ref="DI39:DL39"/>
    <mergeCell ref="V143:Y143"/>
    <mergeCell ref="BB39:BE39"/>
    <mergeCell ref="DA352:DF352"/>
    <mergeCell ref="HX218:IC218"/>
    <mergeCell ref="T312:U312"/>
    <mergeCell ref="V136:Y136"/>
    <mergeCell ref="DD42:DF42"/>
    <mergeCell ref="DZ175:EE181"/>
    <mergeCell ref="DV35:DW35"/>
    <mergeCell ref="FH33:FJ33"/>
    <mergeCell ref="FT101:FV101"/>
    <mergeCell ref="T314:U314"/>
    <mergeCell ref="T366:U366"/>
    <mergeCell ref="T341:U341"/>
    <mergeCell ref="BB68:BG68"/>
    <mergeCell ref="T215:Y215"/>
    <mergeCell ref="BS71:BX71"/>
    <mergeCell ref="GH71:GM71"/>
    <mergeCell ref="HP79:HU81"/>
    <mergeCell ref="EZ77:FB77"/>
    <mergeCell ref="DR234:DW234"/>
    <mergeCell ref="FH35:FJ35"/>
    <mergeCell ref="DL329:DN329"/>
    <mergeCell ref="EM40:EN40"/>
    <mergeCell ref="GH67:GJ67"/>
    <mergeCell ref="X188:Y188"/>
    <mergeCell ref="DA249:DF249"/>
    <mergeCell ref="DR78:DU78"/>
    <mergeCell ref="EZ2:FM3"/>
    <mergeCell ref="DZ231:EE231"/>
    <mergeCell ref="CR17:CW17"/>
    <mergeCell ref="DZ187:EE187"/>
    <mergeCell ref="CR11:CW11"/>
    <mergeCell ref="DI172:DK172"/>
    <mergeCell ref="DA252:DC252"/>
    <mergeCell ref="AS40:AX40"/>
    <mergeCell ref="FH28:FJ28"/>
    <mergeCell ref="FH34:FJ34"/>
    <mergeCell ref="C45:D45"/>
    <mergeCell ref="GH69:GJ69"/>
    <mergeCell ref="AD87:AG87"/>
    <mergeCell ref="EM69:EN69"/>
    <mergeCell ref="V283:Y283"/>
    <mergeCell ref="EZ107:FE107"/>
    <mergeCell ref="HT68:HU68"/>
    <mergeCell ref="HP239:HR239"/>
    <mergeCell ref="BV70:BX70"/>
    <mergeCell ref="FH36:FJ36"/>
    <mergeCell ref="DU302:DW302"/>
    <mergeCell ref="FH30:FJ30"/>
    <mergeCell ref="HP124:HS124"/>
    <mergeCell ref="C47:D47"/>
    <mergeCell ref="DI262:DN266"/>
    <mergeCell ref="T247:Y247"/>
    <mergeCell ref="T25:U25"/>
    <mergeCell ref="V285:Y285"/>
    <mergeCell ref="HT97:HU97"/>
    <mergeCell ref="DR256:DW256"/>
    <mergeCell ref="HG97:HJ97"/>
    <mergeCell ref="AB22:AC22"/>
    <mergeCell ref="AD82:AG82"/>
    <mergeCell ref="DL355:DN355"/>
    <mergeCell ref="V278:Y278"/>
    <mergeCell ref="IA268:IC268"/>
    <mergeCell ref="HX252:IC259"/>
    <mergeCell ref="HG96:HJ96"/>
    <mergeCell ref="HP107:HU109"/>
    <mergeCell ref="DZ213:EE213"/>
    <mergeCell ref="DD279:DF279"/>
    <mergeCell ref="DI60:DN61"/>
    <mergeCell ref="DZ214:EB214"/>
    <mergeCell ref="GB71:GD71"/>
    <mergeCell ref="C71:D71"/>
    <mergeCell ref="DL357:DN357"/>
    <mergeCell ref="GH38:GK38"/>
    <mergeCell ref="AD138:AG138"/>
    <mergeCell ref="X216:Y216"/>
    <mergeCell ref="BF25:BG25"/>
    <mergeCell ref="EI120:EN121"/>
    <mergeCell ref="GC13:GD13"/>
    <mergeCell ref="FH204:FJ204"/>
    <mergeCell ref="AW10:AX10"/>
    <mergeCell ref="EQ69:ET69"/>
    <mergeCell ref="AB73:AG73"/>
    <mergeCell ref="GS93:GU93"/>
    <mergeCell ref="FY72:GA72"/>
    <mergeCell ref="AD140:AG140"/>
    <mergeCell ref="AB158:AE158"/>
    <mergeCell ref="DA142:DD142"/>
    <mergeCell ref="ED188:EE188"/>
    <mergeCell ref="FH206:FJ206"/>
    <mergeCell ref="FK117:FM117"/>
    <mergeCell ref="GH53:GM56"/>
    <mergeCell ref="C66:D66"/>
    <mergeCell ref="DZ238:EB238"/>
    <mergeCell ref="FY63:GD64"/>
    <mergeCell ref="AD133:AG133"/>
    <mergeCell ref="EZ121:FB121"/>
    <mergeCell ref="C102:D102"/>
    <mergeCell ref="EI13:EL13"/>
    <mergeCell ref="EZ115:FB115"/>
    <mergeCell ref="FC160:FE160"/>
    <mergeCell ref="DI378:DN378"/>
    <mergeCell ref="BJ67:BM67"/>
    <mergeCell ref="AB338:AC338"/>
    <mergeCell ref="DD303:DF303"/>
    <mergeCell ref="DZ82:EB82"/>
    <mergeCell ref="FK119:FM119"/>
    <mergeCell ref="FC159:FE159"/>
    <mergeCell ref="C68:D68"/>
    <mergeCell ref="AD141:AG141"/>
    <mergeCell ref="DI86:DN87"/>
    <mergeCell ref="FH74:FJ74"/>
    <mergeCell ref="AD135:AG135"/>
    <mergeCell ref="HB43:HD43"/>
    <mergeCell ref="DI194:DL194"/>
    <mergeCell ref="AB340:AC340"/>
    <mergeCell ref="AB247:AG247"/>
    <mergeCell ref="EZ116:FB116"/>
    <mergeCell ref="DA392:DF396"/>
    <mergeCell ref="GB99:GD99"/>
    <mergeCell ref="T255:U255"/>
    <mergeCell ref="DI276:DK276"/>
    <mergeCell ref="DL70:DN70"/>
    <mergeCell ref="DV101:DW101"/>
    <mergeCell ref="FQ128:FS128"/>
    <mergeCell ref="T262:Y262"/>
    <mergeCell ref="EQ97:ET97"/>
    <mergeCell ref="AD280:AG280"/>
    <mergeCell ref="AB252:AC252"/>
    <mergeCell ref="DI248:DN248"/>
    <mergeCell ref="DI275:DN275"/>
    <mergeCell ref="DV100:DW100"/>
    <mergeCell ref="EZ118:FB118"/>
    <mergeCell ref="FH104:FM104"/>
    <mergeCell ref="DR300:DW300"/>
    <mergeCell ref="GB126:GD126"/>
    <mergeCell ref="DI278:DK278"/>
    <mergeCell ref="GH19:GJ19"/>
    <mergeCell ref="ED56:EE56"/>
    <mergeCell ref="DZ262:EE262"/>
    <mergeCell ref="AB215:AG215"/>
    <mergeCell ref="CA71:CF71"/>
    <mergeCell ref="DM221:DN221"/>
    <mergeCell ref="EU68:EV68"/>
    <mergeCell ref="AD309:AG309"/>
    <mergeCell ref="T250:U250"/>
    <mergeCell ref="EZ174:FB174"/>
    <mergeCell ref="EI41:EL41"/>
    <mergeCell ref="EC83:EE83"/>
    <mergeCell ref="DZ258:EB258"/>
    <mergeCell ref="DD356:DF356"/>
    <mergeCell ref="DR301:DW301"/>
    <mergeCell ref="DD147:DF147"/>
    <mergeCell ref="FH129:FJ129"/>
    <mergeCell ref="FK130:FM130"/>
    <mergeCell ref="FC204:FE204"/>
    <mergeCell ref="DU150:DW150"/>
    <mergeCell ref="V226:Y226"/>
    <mergeCell ref="T15:Y15"/>
    <mergeCell ref="DR325:DT325"/>
    <mergeCell ref="V220:Y220"/>
    <mergeCell ref="DU326:DW326"/>
    <mergeCell ref="EU69:EV69"/>
    <mergeCell ref="FC214:FE214"/>
    <mergeCell ref="DI274:DN274"/>
    <mergeCell ref="GB21:GD21"/>
    <mergeCell ref="DI301:DN301"/>
    <mergeCell ref="DR337:DW338"/>
    <mergeCell ref="EZ169:FB169"/>
    <mergeCell ref="GH13:GK13"/>
    <mergeCell ref="T308:U308"/>
    <mergeCell ref="FH131:FJ131"/>
    <mergeCell ref="FC206:FE206"/>
    <mergeCell ref="DI304:DK304"/>
    <mergeCell ref="DL305:DN305"/>
    <mergeCell ref="V228:Y228"/>
    <mergeCell ref="V222:Y222"/>
    <mergeCell ref="BS14:BU14"/>
    <mergeCell ref="CJ23:CO23"/>
    <mergeCell ref="AB277:AG277"/>
    <mergeCell ref="BB25:BE25"/>
    <mergeCell ref="DM247:DN247"/>
    <mergeCell ref="DV276:DW276"/>
    <mergeCell ref="T310:U310"/>
    <mergeCell ref="V221:Y221"/>
    <mergeCell ref="X130:Y130"/>
    <mergeCell ref="T337:U337"/>
    <mergeCell ref="T188:W188"/>
    <mergeCell ref="CJ27:CM27"/>
    <mergeCell ref="EZ199:FE199"/>
    <mergeCell ref="FL105:FM105"/>
    <mergeCell ref="V223:Y223"/>
    <mergeCell ref="T339:U339"/>
    <mergeCell ref="X159:Y159"/>
    <mergeCell ref="AF216:AG216"/>
    <mergeCell ref="HG23:HL25"/>
    <mergeCell ref="CR41:CU41"/>
    <mergeCell ref="DD69:DF69"/>
    <mergeCell ref="GH37:GM37"/>
    <mergeCell ref="FK158:FM158"/>
    <mergeCell ref="FH113:FJ113"/>
    <mergeCell ref="V254:Y254"/>
    <mergeCell ref="FH32:FJ32"/>
    <mergeCell ref="FY16:GD16"/>
    <mergeCell ref="FH26:FJ26"/>
    <mergeCell ref="V368:Y368"/>
    <mergeCell ref="FK172:FM172"/>
    <mergeCell ref="DA330:DC330"/>
    <mergeCell ref="AB350:AG354"/>
    <mergeCell ref="T21:U21"/>
    <mergeCell ref="DA359:DF359"/>
    <mergeCell ref="FH115:FJ115"/>
    <mergeCell ref="GY78:HD78"/>
    <mergeCell ref="AB105:AC105"/>
    <mergeCell ref="EZ216:FB216"/>
    <mergeCell ref="GY45:HA45"/>
    <mergeCell ref="HP191:HU193"/>
    <mergeCell ref="FQ83:FV83"/>
    <mergeCell ref="GP21:GU21"/>
    <mergeCell ref="HJ43:HL43"/>
    <mergeCell ref="T23:U23"/>
    <mergeCell ref="DR100:DU100"/>
    <mergeCell ref="AB107:AC107"/>
    <mergeCell ref="DZ35:EC35"/>
    <mergeCell ref="EI64:EN65"/>
    <mergeCell ref="T30:Y30"/>
    <mergeCell ref="EZ9:FM9"/>
    <mergeCell ref="DD95:DF95"/>
    <mergeCell ref="AD80:AG80"/>
    <mergeCell ref="FK209:FM209"/>
    <mergeCell ref="BW39:BX39"/>
    <mergeCell ref="GP17:GR17"/>
    <mergeCell ref="FQ71:FS71"/>
    <mergeCell ref="CA23:CF23"/>
    <mergeCell ref="T52:U52"/>
    <mergeCell ref="T174:U174"/>
    <mergeCell ref="X187:Y187"/>
    <mergeCell ref="CR39:CW39"/>
    <mergeCell ref="DI235:DN235"/>
    <mergeCell ref="CN26:CO26"/>
    <mergeCell ref="DA357:DC357"/>
    <mergeCell ref="EQ40:ET40"/>
    <mergeCell ref="FH175:FJ175"/>
    <mergeCell ref="EZ213:FB213"/>
    <mergeCell ref="DD97:DF97"/>
    <mergeCell ref="GH90:GM90"/>
    <mergeCell ref="GP77:GU77"/>
    <mergeCell ref="T18:U18"/>
    <mergeCell ref="FK211:FM211"/>
    <mergeCell ref="GP52:GU52"/>
    <mergeCell ref="FH199:FM199"/>
    <mergeCell ref="EZ215:FB215"/>
    <mergeCell ref="FH202:FJ202"/>
    <mergeCell ref="DI195:DL195"/>
    <mergeCell ref="CD56:CF56"/>
    <mergeCell ref="HX68:IA68"/>
    <mergeCell ref="DA93:DF93"/>
    <mergeCell ref="DZ240:EE240"/>
    <mergeCell ref="EZ49:FE52"/>
    <mergeCell ref="DA391:DF391"/>
    <mergeCell ref="DA398:DF399"/>
    <mergeCell ref="FK82:FM82"/>
    <mergeCell ref="FC156:FE156"/>
    <mergeCell ref="FY96:GD96"/>
    <mergeCell ref="BM14:BO14"/>
    <mergeCell ref="T49:U49"/>
    <mergeCell ref="HP93:HU94"/>
    <mergeCell ref="EG2:EG9"/>
    <mergeCell ref="BF52:BG52"/>
    <mergeCell ref="R2:R9"/>
    <mergeCell ref="FC155:FE155"/>
    <mergeCell ref="DL356:DN356"/>
    <mergeCell ref="C64:D64"/>
    <mergeCell ref="AD106:AG106"/>
    <mergeCell ref="CR16:CT16"/>
    <mergeCell ref="T78:U78"/>
    <mergeCell ref="DZ325:EB325"/>
    <mergeCell ref="CR65:CW65"/>
    <mergeCell ref="AD220:AG220"/>
    <mergeCell ref="AB336:AC336"/>
    <mergeCell ref="FH232:FM232"/>
    <mergeCell ref="HB128:HD128"/>
    <mergeCell ref="C93:D93"/>
    <mergeCell ref="T50:U50"/>
    <mergeCell ref="DI375:DN375"/>
    <mergeCell ref="FY56:GD56"/>
    <mergeCell ref="HP280:HU287"/>
    <mergeCell ref="FQ99:FS99"/>
    <mergeCell ref="T80:U80"/>
    <mergeCell ref="DA70:DC70"/>
    <mergeCell ref="BJ25:BM25"/>
    <mergeCell ref="EZ114:FB114"/>
    <mergeCell ref="EI125:EL125"/>
    <mergeCell ref="EZ233:FE236"/>
    <mergeCell ref="DL68:DN68"/>
    <mergeCell ref="AB337:AC337"/>
    <mergeCell ref="GY9:HL9"/>
    <mergeCell ref="AB188:AE188"/>
    <mergeCell ref="DZ241:EE247"/>
    <mergeCell ref="V20:Y20"/>
    <mergeCell ref="V318:Y318"/>
    <mergeCell ref="CJ9:CW9"/>
    <mergeCell ref="DA71:DC71"/>
    <mergeCell ref="AF159:AG159"/>
    <mergeCell ref="FK224:FM224"/>
    <mergeCell ref="DR297:DW297"/>
    <mergeCell ref="DL69:DN69"/>
    <mergeCell ref="HG71:HI71"/>
    <mergeCell ref="FH73:FJ73"/>
    <mergeCell ref="DZ253:EE253"/>
    <mergeCell ref="DI28:DN32"/>
    <mergeCell ref="C111:D111"/>
    <mergeCell ref="V191:Y191"/>
    <mergeCell ref="GP121:GU121"/>
    <mergeCell ref="CE11:CF11"/>
    <mergeCell ref="V51:Y51"/>
    <mergeCell ref="CJ74:CO77"/>
    <mergeCell ref="AB49:AC49"/>
    <mergeCell ref="C83:D83"/>
    <mergeCell ref="FQ21:FS21"/>
    <mergeCell ref="DU148:DW148"/>
    <mergeCell ref="HX191:IC193"/>
    <mergeCell ref="V315:Y315"/>
    <mergeCell ref="DI204:DN207"/>
    <mergeCell ref="AB273:AG273"/>
    <mergeCell ref="DZ101:EC101"/>
    <mergeCell ref="DR328:DW328"/>
    <mergeCell ref="DR255:DU255"/>
    <mergeCell ref="EC105:EE105"/>
    <mergeCell ref="GP116:GU116"/>
    <mergeCell ref="AB50:AC50"/>
    <mergeCell ref="DZ100:EC100"/>
    <mergeCell ref="FC26:FE26"/>
    <mergeCell ref="GP119:GR119"/>
    <mergeCell ref="HG127:HI127"/>
    <mergeCell ref="DR55:DW55"/>
    <mergeCell ref="DA157:DF157"/>
    <mergeCell ref="DA164:DF165"/>
    <mergeCell ref="AN18:AP18"/>
    <mergeCell ref="DZ279:EE279"/>
    <mergeCell ref="BS40:BX40"/>
    <mergeCell ref="AF187:AG187"/>
    <mergeCell ref="FC17:FE17"/>
    <mergeCell ref="T275:W275"/>
    <mergeCell ref="AN17:AP17"/>
    <mergeCell ref="HX121:IC122"/>
    <mergeCell ref="GT64:GU64"/>
    <mergeCell ref="BB24:BE24"/>
    <mergeCell ref="EZ158:FB158"/>
    <mergeCell ref="AN19:AP19"/>
    <mergeCell ref="DE272:DF272"/>
    <mergeCell ref="FK156:FM156"/>
    <mergeCell ref="DM117:DN117"/>
    <mergeCell ref="AD172:AG172"/>
    <mergeCell ref="EZ160:FB160"/>
    <mergeCell ref="GY16:HA16"/>
    <mergeCell ref="V28:Y28"/>
    <mergeCell ref="FY125:GA125"/>
    <mergeCell ref="GH39:GK39"/>
    <mergeCell ref="FT126:FV126"/>
    <mergeCell ref="HT153:HU153"/>
    <mergeCell ref="FC223:FE223"/>
    <mergeCell ref="BS39:BV39"/>
    <mergeCell ref="DZ276:EC276"/>
    <mergeCell ref="HX22:IC22"/>
    <mergeCell ref="AB130:AE130"/>
    <mergeCell ref="FY127:GA127"/>
    <mergeCell ref="DI14:DN14"/>
    <mergeCell ref="GP46:GU46"/>
    <mergeCell ref="HC13:HD13"/>
    <mergeCell ref="BW10:BX10"/>
    <mergeCell ref="DI279:DK279"/>
    <mergeCell ref="GP103:GU106"/>
    <mergeCell ref="HT209:HU209"/>
    <mergeCell ref="GY72:HA72"/>
    <mergeCell ref="CA55:CF55"/>
    <mergeCell ref="BB42:BD42"/>
    <mergeCell ref="FH171:FJ171"/>
    <mergeCell ref="DU192:DW192"/>
    <mergeCell ref="GP18:GR18"/>
    <mergeCell ref="EQ125:ET125"/>
    <mergeCell ref="DV166:DW166"/>
    <mergeCell ref="BB52:BE52"/>
    <mergeCell ref="DI15:DN15"/>
    <mergeCell ref="EZ29:FB29"/>
    <mergeCell ref="AB12:AG12"/>
    <mergeCell ref="EC39:EE39"/>
    <mergeCell ref="AD348:AG348"/>
    <mergeCell ref="AK29:AM29"/>
    <mergeCell ref="HX153:IA153"/>
    <mergeCell ref="FC65:FE65"/>
    <mergeCell ref="CJ32:CO35"/>
    <mergeCell ref="EI79:EN79"/>
    <mergeCell ref="FH166:FJ166"/>
    <mergeCell ref="FK27:FM27"/>
    <mergeCell ref="BE42:BG42"/>
    <mergeCell ref="GH93:GJ93"/>
    <mergeCell ref="K7:Q9"/>
    <mergeCell ref="HG149:HL150"/>
    <mergeCell ref="AD347:AG347"/>
    <mergeCell ref="HG55:HL55"/>
    <mergeCell ref="FH168:FJ168"/>
    <mergeCell ref="T372:U372"/>
    <mergeCell ref="AD191:AG191"/>
    <mergeCell ref="CA10:CD10"/>
    <mergeCell ref="DA203:DF203"/>
    <mergeCell ref="AD51:AG51"/>
    <mergeCell ref="HB99:HD99"/>
    <mergeCell ref="T163:U163"/>
    <mergeCell ref="EZ83:FB83"/>
    <mergeCell ref="HC41:HD41"/>
    <mergeCell ref="FY21:GA21"/>
    <mergeCell ref="DA105:DF105"/>
    <mergeCell ref="FY111:GD114"/>
    <mergeCell ref="T76:U76"/>
    <mergeCell ref="V258:Y258"/>
    <mergeCell ref="T374:U374"/>
    <mergeCell ref="FH12:FM12"/>
    <mergeCell ref="CA39:CD39"/>
    <mergeCell ref="FK24:FM24"/>
    <mergeCell ref="GP66:GU66"/>
    <mergeCell ref="CR26:CU26"/>
    <mergeCell ref="T340:U340"/>
    <mergeCell ref="DZ255:EC255"/>
    <mergeCell ref="V260:Y260"/>
    <mergeCell ref="FC83:FE83"/>
    <mergeCell ref="CA68:CF68"/>
    <mergeCell ref="FU67:FV67"/>
    <mergeCell ref="DA73:DF73"/>
    <mergeCell ref="GH2:GU3"/>
    <mergeCell ref="DZ55:EE55"/>
    <mergeCell ref="DI164:DN165"/>
    <mergeCell ref="BF67:BG67"/>
    <mergeCell ref="AB303:AE303"/>
    <mergeCell ref="FQ126:FS126"/>
    <mergeCell ref="DA97:DC97"/>
    <mergeCell ref="EZ224:FB224"/>
    <mergeCell ref="DR262:DW262"/>
    <mergeCell ref="CR79:CW79"/>
    <mergeCell ref="GH84:GM85"/>
    <mergeCell ref="CR73:CW73"/>
    <mergeCell ref="DA96:DC96"/>
    <mergeCell ref="AB89:AG93"/>
    <mergeCell ref="CA76:CF77"/>
    <mergeCell ref="DR83:DT83"/>
    <mergeCell ref="AB142:AC142"/>
    <mergeCell ref="DA246:DD246"/>
    <mergeCell ref="HG44:HI44"/>
    <mergeCell ref="BJ27:BO27"/>
    <mergeCell ref="HP125:HS125"/>
    <mergeCell ref="CR44:CT44"/>
    <mergeCell ref="GH63:GK63"/>
    <mergeCell ref="V311:Y311"/>
    <mergeCell ref="V286:Y286"/>
    <mergeCell ref="FH212:FJ212"/>
    <mergeCell ref="T87:U87"/>
    <mergeCell ref="AB144:AC144"/>
    <mergeCell ref="DD253:DF253"/>
    <mergeCell ref="FC109:FE109"/>
    <mergeCell ref="GY27:HD27"/>
    <mergeCell ref="DR260:DT260"/>
    <mergeCell ref="DI190:DN191"/>
    <mergeCell ref="AS45:AX46"/>
    <mergeCell ref="HP39:HU39"/>
    <mergeCell ref="DI359:DN359"/>
    <mergeCell ref="GP87:GU87"/>
    <mergeCell ref="GP47:GU50"/>
    <mergeCell ref="HX263:IC263"/>
    <mergeCell ref="FU95:FV95"/>
    <mergeCell ref="AK2:AX3"/>
    <mergeCell ref="IB209:IC209"/>
    <mergeCell ref="DA386:DF389"/>
    <mergeCell ref="DZ73:EE74"/>
    <mergeCell ref="DI380:DK380"/>
    <mergeCell ref="DI355:DK355"/>
    <mergeCell ref="HX268:HZ268"/>
    <mergeCell ref="CR72:CT72"/>
    <mergeCell ref="FQ117:FV118"/>
    <mergeCell ref="GH122:GM125"/>
    <mergeCell ref="DI382:DK382"/>
    <mergeCell ref="DZ62:EB62"/>
    <mergeCell ref="AD255:AG255"/>
    <mergeCell ref="CR60:CW63"/>
    <mergeCell ref="X333:Y333"/>
    <mergeCell ref="DL122:DN122"/>
    <mergeCell ref="DM325:DN325"/>
    <mergeCell ref="EZ153:FE153"/>
    <mergeCell ref="BJ58:BO60"/>
    <mergeCell ref="DV79:DW79"/>
    <mergeCell ref="FH82:FJ82"/>
    <mergeCell ref="HK40:HL40"/>
    <mergeCell ref="EQ79:EV79"/>
    <mergeCell ref="EI16:EN16"/>
    <mergeCell ref="T115:U115"/>
    <mergeCell ref="IB237:IC237"/>
    <mergeCell ref="GY11:HD11"/>
    <mergeCell ref="T229:U229"/>
    <mergeCell ref="FH111:FJ111"/>
    <mergeCell ref="FY120:GD120"/>
    <mergeCell ref="HK69:HL69"/>
    <mergeCell ref="V26:Y26"/>
    <mergeCell ref="HP50:HU50"/>
    <mergeCell ref="O14:Q15"/>
    <mergeCell ref="DA210:DF214"/>
    <mergeCell ref="AD286:AG286"/>
    <mergeCell ref="T141:U141"/>
    <mergeCell ref="AB76:AC76"/>
    <mergeCell ref="CV41:CW41"/>
    <mergeCell ref="FC35:FE35"/>
    <mergeCell ref="V57:Y57"/>
    <mergeCell ref="T230:U230"/>
    <mergeCell ref="C130:H130"/>
    <mergeCell ref="DM351:DN351"/>
    <mergeCell ref="AD317:AG317"/>
    <mergeCell ref="T143:U143"/>
    <mergeCell ref="FC34:FE34"/>
    <mergeCell ref="DI70:DK70"/>
    <mergeCell ref="FT46:FV46"/>
    <mergeCell ref="FQ41:FT41"/>
    <mergeCell ref="V86:Y86"/>
    <mergeCell ref="DA12:DD12"/>
    <mergeCell ref="BB9:BG9"/>
    <mergeCell ref="FC36:FE36"/>
    <mergeCell ref="FH162:FJ162"/>
    <mergeCell ref="GL113:GM113"/>
    <mergeCell ref="V58:Y58"/>
    <mergeCell ref="FC30:FE30"/>
    <mergeCell ref="EI44:EN44"/>
    <mergeCell ref="V52:Y52"/>
    <mergeCell ref="EZ27:FB27"/>
    <mergeCell ref="AD318:AG318"/>
    <mergeCell ref="HC125:HD125"/>
    <mergeCell ref="DE298:DF298"/>
    <mergeCell ref="AD312:AG312"/>
    <mergeCell ref="DR149:DT149"/>
    <mergeCell ref="AK27:AM27"/>
    <mergeCell ref="FY105:GD108"/>
    <mergeCell ref="C120:D120"/>
    <mergeCell ref="DI96:DK96"/>
    <mergeCell ref="FH164:FJ164"/>
    <mergeCell ref="DI125:DN125"/>
    <mergeCell ref="DR161:DW162"/>
    <mergeCell ref="EZ20:FB20"/>
    <mergeCell ref="HP78:HU78"/>
    <mergeCell ref="V81:Y81"/>
    <mergeCell ref="DA256:DF259"/>
    <mergeCell ref="AD339:AG339"/>
    <mergeCell ref="AD314:AG314"/>
    <mergeCell ref="DU62:DW62"/>
    <mergeCell ref="C157:E157"/>
    <mergeCell ref="EZ206:FB206"/>
    <mergeCell ref="GC94:GD94"/>
    <mergeCell ref="HG13:HJ13"/>
    <mergeCell ref="HX209:IA209"/>
    <mergeCell ref="DU214:DW214"/>
    <mergeCell ref="DI121:DK121"/>
    <mergeCell ref="AB87:AC87"/>
    <mergeCell ref="T283:U283"/>
    <mergeCell ref="EI101:EN105"/>
    <mergeCell ref="DD354:DF354"/>
    <mergeCell ref="GH72:GM75"/>
    <mergeCell ref="EI72:EN72"/>
    <mergeCell ref="EI4:EV7"/>
    <mergeCell ref="DI123:DK123"/>
    <mergeCell ref="EC171:EE171"/>
    <mergeCell ref="FT72:FV72"/>
    <mergeCell ref="FD151:FE151"/>
    <mergeCell ref="AB60:AG64"/>
    <mergeCell ref="CJ29:CO29"/>
    <mergeCell ref="T13:W13"/>
    <mergeCell ref="DI339:DN339"/>
    <mergeCell ref="HP69:HS69"/>
    <mergeCell ref="T43:W43"/>
    <mergeCell ref="AK57:AP58"/>
    <mergeCell ref="DZ13:EC13"/>
    <mergeCell ref="DE169:DF169"/>
    <mergeCell ref="DU82:DW82"/>
    <mergeCell ref="BW52:BX52"/>
    <mergeCell ref="GY111:HD111"/>
    <mergeCell ref="AB113:AC113"/>
    <mergeCell ref="AD58:AG58"/>
    <mergeCell ref="DU238:DW238"/>
    <mergeCell ref="C5:H6"/>
    <mergeCell ref="HX207:IC207"/>
    <mergeCell ref="EZ198:FC198"/>
    <mergeCell ref="GH68:GJ68"/>
    <mergeCell ref="HG41:HJ41"/>
    <mergeCell ref="EQ16:EV16"/>
    <mergeCell ref="FH177:FJ177"/>
    <mergeCell ref="AB140:AC140"/>
    <mergeCell ref="AB115:AC115"/>
    <mergeCell ref="HP112:HU119"/>
    <mergeCell ref="IA212:IC212"/>
    <mergeCell ref="DR80:DW80"/>
    <mergeCell ref="HX50:IC50"/>
    <mergeCell ref="FK33:FM33"/>
    <mergeCell ref="DI210:DN214"/>
    <mergeCell ref="T31:Y35"/>
    <mergeCell ref="DR205:DW206"/>
    <mergeCell ref="FY67:GB67"/>
    <mergeCell ref="AB141:AC141"/>
    <mergeCell ref="DZ37:EE37"/>
    <mergeCell ref="FH210:FJ210"/>
    <mergeCell ref="AD84:AG84"/>
    <mergeCell ref="DU258:DW258"/>
    <mergeCell ref="EZ66:FB66"/>
    <mergeCell ref="T86:U86"/>
    <mergeCell ref="DZ64:EE64"/>
    <mergeCell ref="BJ41:BO41"/>
    <mergeCell ref="FK34:FM34"/>
    <mergeCell ref="FH203:FJ203"/>
    <mergeCell ref="GY139:HD139"/>
    <mergeCell ref="FO2:FO9"/>
    <mergeCell ref="FK64:FM64"/>
    <mergeCell ref="AD86:AG86"/>
    <mergeCell ref="BJ51:BO51"/>
    <mergeCell ref="AZ2:AZ9"/>
    <mergeCell ref="DU260:DW260"/>
    <mergeCell ref="EZ68:FB68"/>
    <mergeCell ref="DA122:DC122"/>
    <mergeCell ref="GT113:GU113"/>
    <mergeCell ref="DZ60:EB60"/>
    <mergeCell ref="EQ44:EV44"/>
    <mergeCell ref="AB168:AC168"/>
    <mergeCell ref="DE65:DF65"/>
    <mergeCell ref="DR227:DW228"/>
    <mergeCell ref="FC131:FE131"/>
    <mergeCell ref="AB44:AG44"/>
    <mergeCell ref="AO11:AP11"/>
    <mergeCell ref="DI334:DN337"/>
    <mergeCell ref="FQ73:FS73"/>
    <mergeCell ref="GH89:GK89"/>
    <mergeCell ref="HX233:IC234"/>
    <mergeCell ref="HP265:HS265"/>
    <mergeCell ref="DI132:DN136"/>
    <mergeCell ref="HX78:IC78"/>
    <mergeCell ref="AB197:AC197"/>
    <mergeCell ref="X362:Y362"/>
    <mergeCell ref="DR277:DU277"/>
    <mergeCell ref="FY95:GB95"/>
    <mergeCell ref="T106:U106"/>
    <mergeCell ref="CA72:CF74"/>
    <mergeCell ref="T226:U226"/>
    <mergeCell ref="CR28:CW28"/>
    <mergeCell ref="BF24:BG24"/>
    <mergeCell ref="FC120:FE120"/>
    <mergeCell ref="GP72:GU75"/>
    <mergeCell ref="T233:Y233"/>
    <mergeCell ref="DR9:EE9"/>
    <mergeCell ref="EQ72:EV72"/>
    <mergeCell ref="FK204:FM204"/>
    <mergeCell ref="FQ127:FS127"/>
    <mergeCell ref="T228:U228"/>
    <mergeCell ref="FK75:FM75"/>
    <mergeCell ref="V171:Y171"/>
    <mergeCell ref="AB333:AE333"/>
    <mergeCell ref="DI68:DK68"/>
    <mergeCell ref="DZ79:EC79"/>
    <mergeCell ref="FC121:FE121"/>
    <mergeCell ref="EQ24:EV35"/>
    <mergeCell ref="GP94:GR94"/>
    <mergeCell ref="AD308:AG308"/>
    <mergeCell ref="FC115:FE115"/>
    <mergeCell ref="BB13:BG13"/>
    <mergeCell ref="HX69:IA69"/>
    <mergeCell ref="T253:U253"/>
    <mergeCell ref="FQ4:GD7"/>
    <mergeCell ref="DA143:DD143"/>
    <mergeCell ref="V173:Y173"/>
    <mergeCell ref="DI178:DN181"/>
    <mergeCell ref="HG111:HL111"/>
    <mergeCell ref="V348:Y348"/>
    <mergeCell ref="AD310:AG310"/>
    <mergeCell ref="CA66:CD66"/>
    <mergeCell ref="GH12:GM12"/>
    <mergeCell ref="AB88:AG88"/>
    <mergeCell ref="V166:Y166"/>
    <mergeCell ref="IA156:IC156"/>
    <mergeCell ref="BJ62:BO63"/>
    <mergeCell ref="FH63:FJ63"/>
    <mergeCell ref="GK17:GM17"/>
    <mergeCell ref="T254:U254"/>
    <mergeCell ref="HX112:IC119"/>
    <mergeCell ref="DL276:DN276"/>
    <mergeCell ref="DL251:DN251"/>
    <mergeCell ref="HG101:HI101"/>
    <mergeCell ref="IA155:IC155"/>
    <mergeCell ref="V168:Y168"/>
    <mergeCell ref="T268:Y269"/>
    <mergeCell ref="BN39:BO39"/>
    <mergeCell ref="FC175:FE175"/>
    <mergeCell ref="HC124:HD124"/>
    <mergeCell ref="DI94:DK94"/>
    <mergeCell ref="GK19:GM19"/>
    <mergeCell ref="T256:U256"/>
    <mergeCell ref="DL278:DN278"/>
    <mergeCell ref="FC177:FE177"/>
    <mergeCell ref="EZ197:FC197"/>
    <mergeCell ref="GT63:GU63"/>
    <mergeCell ref="EZ48:FE48"/>
    <mergeCell ref="EZ55:FE56"/>
    <mergeCell ref="DZ105:EB105"/>
    <mergeCell ref="GH15:GM15"/>
    <mergeCell ref="GP113:GS113"/>
    <mergeCell ref="AD21:AG21"/>
    <mergeCell ref="BS15:BX15"/>
    <mergeCell ref="EC258:EE258"/>
    <mergeCell ref="DM91:DN91"/>
    <mergeCell ref="DI298:DL298"/>
    <mergeCell ref="AB176:AG180"/>
    <mergeCell ref="GH134:GM135"/>
    <mergeCell ref="HG139:HL139"/>
    <mergeCell ref="T303:W303"/>
    <mergeCell ref="AD29:AG29"/>
    <mergeCell ref="AD23:AG23"/>
    <mergeCell ref="DU325:DW325"/>
    <mergeCell ref="EC260:EE260"/>
    <mergeCell ref="T190:Y190"/>
    <mergeCell ref="FY117:GD118"/>
    <mergeCell ref="GH40:GM40"/>
    <mergeCell ref="DI151:DN151"/>
    <mergeCell ref="DV145:DW145"/>
    <mergeCell ref="AB111:AC111"/>
    <mergeCell ref="FK131:FM131"/>
    <mergeCell ref="V367:Y367"/>
    <mergeCell ref="DL304:DN304"/>
    <mergeCell ref="HP218:HU218"/>
    <mergeCell ref="HX16:HZ16"/>
    <mergeCell ref="AB225:AC225"/>
    <mergeCell ref="HP212:HR212"/>
    <mergeCell ref="C160:E160"/>
    <mergeCell ref="DR167:DU167"/>
    <mergeCell ref="DA320:DF321"/>
    <mergeCell ref="FH49:FM52"/>
    <mergeCell ref="FK162:FM162"/>
    <mergeCell ref="FH150:FM150"/>
    <mergeCell ref="DA89:DF89"/>
    <mergeCell ref="DA152:DF155"/>
    <mergeCell ref="FH151:FK151"/>
    <mergeCell ref="DZ33:EE33"/>
    <mergeCell ref="CJ53:CO53"/>
    <mergeCell ref="DA209:DF209"/>
    <mergeCell ref="DA219:DF219"/>
    <mergeCell ref="AD49:AG49"/>
    <mergeCell ref="HP51:HU53"/>
  </mergeCells>
  <conditionalFormatting sqref="C11:H40">
    <cfRule type="expression" priority="1" dxfId="2">
      <formula>AND($C11=TRUE,OR($D11="",$E11="",NOT(ISNUMBER($F11)),$G11="",$H11=""))</formula>
    </cfRule>
  </conditionalFormatting>
  <conditionalFormatting sqref="T17:Y29">
    <cfRule type="expression" priority="2" dxfId="3">
      <formula>$T17=""</formula>
    </cfRule>
  </conditionalFormatting>
  <conditionalFormatting sqref="AB17:AG29">
    <cfRule type="expression" priority="3" dxfId="3">
      <formula>$AB17=""</formula>
    </cfRule>
  </conditionalFormatting>
  <conditionalFormatting sqref="T46:Y58">
    <cfRule type="expression" priority="4" dxfId="3">
      <formula>$T46=""</formula>
    </cfRule>
  </conditionalFormatting>
  <conditionalFormatting sqref="AB46:AG58">
    <cfRule type="expression" priority="5" dxfId="3">
      <formula>$AB46=""</formula>
    </cfRule>
  </conditionalFormatting>
  <conditionalFormatting sqref="T75:Y87">
    <cfRule type="expression" priority="6" dxfId="3">
      <formula>$T75=""</formula>
    </cfRule>
  </conditionalFormatting>
  <conditionalFormatting sqref="AB75:AG87">
    <cfRule type="expression" priority="7" dxfId="3">
      <formula>$AB75=""</formula>
    </cfRule>
  </conditionalFormatting>
  <conditionalFormatting sqref="T104:Y116">
    <cfRule type="expression" priority="8" dxfId="3">
      <formula>$T104=""</formula>
    </cfRule>
  </conditionalFormatting>
  <conditionalFormatting sqref="AB104:AG116">
    <cfRule type="expression" priority="9" dxfId="3">
      <formula>$AB104=""</formula>
    </cfRule>
  </conditionalFormatting>
  <conditionalFormatting sqref="T133:Y145">
    <cfRule type="expression" priority="10" dxfId="3">
      <formula>$T133=""</formula>
    </cfRule>
  </conditionalFormatting>
  <conditionalFormatting sqref="AB133:AG145">
    <cfRule type="expression" priority="11" dxfId="3">
      <formula>$AB133=""</formula>
    </cfRule>
  </conditionalFormatting>
  <conditionalFormatting sqref="T162:Y174">
    <cfRule type="expression" priority="12" dxfId="3">
      <formula>$T162=""</formula>
    </cfRule>
  </conditionalFormatting>
  <conditionalFormatting sqref="AB162:AG174">
    <cfRule type="expression" priority="13" dxfId="3">
      <formula>$AB162=""</formula>
    </cfRule>
  </conditionalFormatting>
  <conditionalFormatting sqref="T191:Y203">
    <cfRule type="expression" priority="14" dxfId="3">
      <formula>$T191=""</formula>
    </cfRule>
  </conditionalFormatting>
  <conditionalFormatting sqref="AB191:AG203">
    <cfRule type="expression" priority="15" dxfId="3">
      <formula>$AB191=""</formula>
    </cfRule>
  </conditionalFormatting>
  <conditionalFormatting sqref="T220:Y232">
    <cfRule type="expression" priority="16" dxfId="3">
      <formula>$T220=""</formula>
    </cfRule>
  </conditionalFormatting>
  <conditionalFormatting sqref="AB220:AG232">
    <cfRule type="expression" priority="17" dxfId="3">
      <formula>$AB220=""</formula>
    </cfRule>
  </conditionalFormatting>
  <conditionalFormatting sqref="T249:Y261">
    <cfRule type="expression" priority="18" dxfId="3">
      <formula>$T249=""</formula>
    </cfRule>
  </conditionalFormatting>
  <conditionalFormatting sqref="AB249:AG261">
    <cfRule type="expression" priority="19" dxfId="3">
      <formula>$AB249=""</formula>
    </cfRule>
  </conditionalFormatting>
  <conditionalFormatting sqref="T278:Y290">
    <cfRule type="expression" priority="20" dxfId="3">
      <formula>$T278=""</formula>
    </cfRule>
  </conditionalFormatting>
  <conditionalFormatting sqref="AB278:AG290">
    <cfRule type="expression" priority="21" dxfId="3">
      <formula>$AB278=""</formula>
    </cfRule>
  </conditionalFormatting>
  <conditionalFormatting sqref="T307:Y319">
    <cfRule type="expression" priority="22" dxfId="3">
      <formula>$T307=""</formula>
    </cfRule>
  </conditionalFormatting>
  <conditionalFormatting sqref="AB307:AG319">
    <cfRule type="expression" priority="23" dxfId="3">
      <formula>$AB307=""</formula>
    </cfRule>
  </conditionalFormatting>
  <conditionalFormatting sqref="T336:Y348">
    <cfRule type="expression" priority="24" dxfId="3">
      <formula>$T336=""</formula>
    </cfRule>
  </conditionalFormatting>
  <conditionalFormatting sqref="AB336:AG348">
    <cfRule type="expression" priority="25" dxfId="3">
      <formula>$AB336=""</formula>
    </cfRule>
  </conditionalFormatting>
  <conditionalFormatting sqref="T365:Y377">
    <cfRule type="expression" priority="26" dxfId="3">
      <formula>$T365=""</formula>
    </cfRule>
  </conditionalFormatting>
  <dataValidations count="805">
    <dataValidation sqref="D11:D40" showDropDown="0" showInputMessage="0" showErrorMessage="0" allowBlank="1" type="list" errorStyle="stop">
      <formula1>DADOS_CONFIG!$A$2:$A$89</formula1>
    </dataValidation>
    <dataValidation sqref="E11:E40" showDropDown="0" showInputMessage="0" showErrorMessage="0" allowBlank="1" type="list" errorStyle="stop">
      <formula1>"somar,trocar por"</formula1>
    </dataValidation>
    <dataValidation sqref="G11:G40" showDropDown="0" showInputMessage="0" showErrorMessage="0" allowBlank="1" type="list" errorStyle="stop">
      <formula1>DADOS_CONFIG!$O$2:$O$7</formula1>
    </dataValidation>
    <dataValidation sqref="F59" showDropDown="0" showInputMessage="0" showErrorMessage="0" allowBlank="1" type="list" errorStyle="stop">
      <formula1>"Sim,Não"</formula1>
    </dataValidation>
    <dataValidation sqref="T14" showDropDown="0" showInputMessage="0" showErrorMessage="1" allowBlank="1" type="list" errorStyle="stop">
      <formula1>'DADOS_CUSTOM'!$BZ$2:$BZ$160</formula1>
    </dataValidation>
    <dataValidation sqref="V17" showDropDown="0" showInputMessage="0" showErrorMessage="1" allowBlank="1" type="list" errorStyle="stop">
      <formula1>'DADOS_CUSTOM'!$DF$2:$DF$160</formula1>
    </dataValidation>
    <dataValidation sqref="V18" showDropDown="0" showInputMessage="0" showErrorMessage="1" allowBlank="1" type="list" errorStyle="stop">
      <formula1>'DADOS_CUSTOM'!$DG$2:$DG$160</formula1>
    </dataValidation>
    <dataValidation sqref="V19" showDropDown="0" showInputMessage="0" showErrorMessage="1" allowBlank="1" type="list" errorStyle="stop">
      <formula1>'DADOS_CUSTOM'!$DH$2:$DH$160</formula1>
    </dataValidation>
    <dataValidation sqref="V20" showDropDown="0" showInputMessage="0" showErrorMessage="1" allowBlank="1" type="list" errorStyle="stop">
      <formula1>'DADOS_CUSTOM'!$DI$2:$DI$160</formula1>
    </dataValidation>
    <dataValidation sqref="V21" showDropDown="0" showInputMessage="0" showErrorMessage="1" allowBlank="1" type="list" errorStyle="stop">
      <formula1>'DADOS_CUSTOM'!$DJ$2:$DJ$160</formula1>
    </dataValidation>
    <dataValidation sqref="V22" showDropDown="0" showInputMessage="0" showErrorMessage="1" allowBlank="1" type="list" errorStyle="stop">
      <formula1>'DADOS_CUSTOM'!$DK$2:$DK$160</formula1>
    </dataValidation>
    <dataValidation sqref="V23" showDropDown="0" showInputMessage="0" showErrorMessage="1" allowBlank="1" type="list" errorStyle="stop">
      <formula1>'DADOS_CUSTOM'!$DL$2:$DL$160</formula1>
    </dataValidation>
    <dataValidation sqref="AB14" showDropDown="0" showInputMessage="0" showErrorMessage="1" allowBlank="1" type="list" errorStyle="stop">
      <formula1>'DADOS_CUSTOM'!$BZ$2:$BZ$160</formula1>
    </dataValidation>
    <dataValidation sqref="AD17" showDropDown="0" showInputMessage="0" showErrorMessage="1" allowBlank="1" type="list" errorStyle="stop">
      <formula1>'DADOS_CUSTOM'!$DM$2:$DM$160</formula1>
    </dataValidation>
    <dataValidation sqref="AD18" showDropDown="0" showInputMessage="0" showErrorMessage="1" allowBlank="1" type="list" errorStyle="stop">
      <formula1>'DADOS_CUSTOM'!$DN$2:$DN$160</formula1>
    </dataValidation>
    <dataValidation sqref="AD19" showDropDown="0" showInputMessage="0" showErrorMessage="1" allowBlank="1" type="list" errorStyle="stop">
      <formula1>'DADOS_CUSTOM'!$DO$2:$DO$160</formula1>
    </dataValidation>
    <dataValidation sqref="AD20" showDropDown="0" showInputMessage="0" showErrorMessage="1" allowBlank="1" type="list" errorStyle="stop">
      <formula1>'DADOS_CUSTOM'!$DP$2:$DP$160</formula1>
    </dataValidation>
    <dataValidation sqref="AD21" showDropDown="0" showInputMessage="0" showErrorMessage="1" allowBlank="1" type="list" errorStyle="stop">
      <formula1>'DADOS_CUSTOM'!$DQ$2:$DQ$160</formula1>
    </dataValidation>
    <dataValidation sqref="AD22" showDropDown="0" showInputMessage="0" showErrorMessage="1" allowBlank="1" type="list" errorStyle="stop">
      <formula1>'DADOS_CUSTOM'!$DR$2:$DR$160</formula1>
    </dataValidation>
    <dataValidation sqref="AD23" showDropDown="0" showInputMessage="0" showErrorMessage="1" allowBlank="1" type="list" errorStyle="stop">
      <formula1>'DADOS_CUSTOM'!$DS$2:$DS$160</formula1>
    </dataValidation>
    <dataValidation sqref="T43" showDropDown="0" showInputMessage="0" showErrorMessage="1" allowBlank="1" type="list" errorStyle="stop">
      <formula1>'DADOS_CUSTOM'!$BZ$2:$BZ$160</formula1>
    </dataValidation>
    <dataValidation sqref="V46" showDropDown="0" showInputMessage="0" showErrorMessage="1" allowBlank="1" type="list" errorStyle="stop">
      <formula1>'DADOS_CUSTOM'!$DT$2:$DT$160</formula1>
    </dataValidation>
    <dataValidation sqref="V47" showDropDown="0" showInputMessage="0" showErrorMessage="1" allowBlank="1" type="list" errorStyle="stop">
      <formula1>'DADOS_CUSTOM'!$DU$2:$DU$160</formula1>
    </dataValidation>
    <dataValidation sqref="V48" showDropDown="0" showInputMessage="0" showErrorMessage="1" allowBlank="1" type="list" errorStyle="stop">
      <formula1>'DADOS_CUSTOM'!$DV$2:$DV$160</formula1>
    </dataValidation>
    <dataValidation sqref="V49" showDropDown="0" showInputMessage="0" showErrorMessage="1" allowBlank="1" type="list" errorStyle="stop">
      <formula1>'DADOS_CUSTOM'!$DW$2:$DW$160</formula1>
    </dataValidation>
    <dataValidation sqref="V50" showDropDown="0" showInputMessage="0" showErrorMessage="1" allowBlank="1" type="list" errorStyle="stop">
      <formula1>'DADOS_CUSTOM'!$DX$2:$DX$160</formula1>
    </dataValidation>
    <dataValidation sqref="V51" showDropDown="0" showInputMessage="0" showErrorMessage="1" allowBlank="1" type="list" errorStyle="stop">
      <formula1>'DADOS_CUSTOM'!$DY$2:$DY$160</formula1>
    </dataValidation>
    <dataValidation sqref="V52" showDropDown="0" showInputMessage="0" showErrorMessage="1" allowBlank="1" type="list" errorStyle="stop">
      <formula1>'DADOS_CUSTOM'!$DZ$2:$DZ$160</formula1>
    </dataValidation>
    <dataValidation sqref="AB43" showDropDown="0" showInputMessage="0" showErrorMessage="1" allowBlank="1" type="list" errorStyle="stop">
      <formula1>'DADOS_CUSTOM'!$BZ$2:$BZ$160</formula1>
    </dataValidation>
    <dataValidation sqref="AD46" showDropDown="0" showInputMessage="0" showErrorMessage="1" allowBlank="1" type="list" errorStyle="stop">
      <formula1>'DADOS_CUSTOM'!$EA$2:$EA$160</formula1>
    </dataValidation>
    <dataValidation sqref="AD47" showDropDown="0" showInputMessage="0" showErrorMessage="1" allowBlank="1" type="list" errorStyle="stop">
      <formula1>'DADOS_CUSTOM'!$EB$2:$EB$160</formula1>
    </dataValidation>
    <dataValidation sqref="AD48" showDropDown="0" showInputMessage="0" showErrorMessage="1" allowBlank="1" type="list" errorStyle="stop">
      <formula1>'DADOS_CUSTOM'!$EC$2:$EC$160</formula1>
    </dataValidation>
    <dataValidation sqref="AD49" showDropDown="0" showInputMessage="0" showErrorMessage="1" allowBlank="1" type="list" errorStyle="stop">
      <formula1>'DADOS_CUSTOM'!$ED$2:$ED$160</formula1>
    </dataValidation>
    <dataValidation sqref="AD50" showDropDown="0" showInputMessage="0" showErrorMessage="1" allowBlank="1" type="list" errorStyle="stop">
      <formula1>'DADOS_CUSTOM'!$EE$2:$EE$160</formula1>
    </dataValidation>
    <dataValidation sqref="AD51" showDropDown="0" showInputMessage="0" showErrorMessage="1" allowBlank="1" type="list" errorStyle="stop">
      <formula1>'DADOS_CUSTOM'!$EF$2:$EF$160</formula1>
    </dataValidation>
    <dataValidation sqref="AD52" showDropDown="0" showInputMessage="0" showErrorMessage="1" allowBlank="1" type="list" errorStyle="stop">
      <formula1>'DADOS_CUSTOM'!$EG$2:$EG$160</formula1>
    </dataValidation>
    <dataValidation sqref="T72" showDropDown="0" showInputMessage="0" showErrorMessage="1" allowBlank="1" type="list" errorStyle="stop">
      <formula1>'DADOS_CUSTOM'!$BZ$2:$BZ$160</formula1>
    </dataValidation>
    <dataValidation sqref="V75" showDropDown="0" showInputMessage="0" showErrorMessage="1" allowBlank="1" type="list" errorStyle="stop">
      <formula1>'DADOS_CUSTOM'!$EH$2:$EH$160</formula1>
    </dataValidation>
    <dataValidation sqref="V76" showDropDown="0" showInputMessage="0" showErrorMessage="1" allowBlank="1" type="list" errorStyle="stop">
      <formula1>'DADOS_CUSTOM'!$EI$2:$EI$160</formula1>
    </dataValidation>
    <dataValidation sqref="V77" showDropDown="0" showInputMessage="0" showErrorMessage="1" allowBlank="1" type="list" errorStyle="stop">
      <formula1>'DADOS_CUSTOM'!$EJ$2:$EJ$160</formula1>
    </dataValidation>
    <dataValidation sqref="V78" showDropDown="0" showInputMessage="0" showErrorMessage="1" allowBlank="1" type="list" errorStyle="stop">
      <formula1>'DADOS_CUSTOM'!$EK$2:$EK$160</formula1>
    </dataValidation>
    <dataValidation sqref="V79" showDropDown="0" showInputMessage="0" showErrorMessage="1" allowBlank="1" type="list" errorStyle="stop">
      <formula1>'DADOS_CUSTOM'!$EL$2:$EL$160</formula1>
    </dataValidation>
    <dataValidation sqref="V80" showDropDown="0" showInputMessage="0" showErrorMessage="1" allowBlank="1" type="list" errorStyle="stop">
      <formula1>'DADOS_CUSTOM'!$EM$2:$EM$160</formula1>
    </dataValidation>
    <dataValidation sqref="V81" showDropDown="0" showInputMessage="0" showErrorMessage="1" allowBlank="1" type="list" errorStyle="stop">
      <formula1>'DADOS_CUSTOM'!$EN$2:$EN$160</formula1>
    </dataValidation>
    <dataValidation sqref="AB72" showDropDown="0" showInputMessage="0" showErrorMessage="1" allowBlank="1" type="list" errorStyle="stop">
      <formula1>'DADOS_CUSTOM'!$BZ$2:$BZ$160</formula1>
    </dataValidation>
    <dataValidation sqref="AD75" showDropDown="0" showInputMessage="0" showErrorMessage="1" allowBlank="1" type="list" errorStyle="stop">
      <formula1>'DADOS_CUSTOM'!$EO$2:$EO$160</formula1>
    </dataValidation>
    <dataValidation sqref="AD76" showDropDown="0" showInputMessage="0" showErrorMessage="1" allowBlank="1" type="list" errorStyle="stop">
      <formula1>'DADOS_CUSTOM'!$EP$2:$EP$160</formula1>
    </dataValidation>
    <dataValidation sqref="AD77" showDropDown="0" showInputMessage="0" showErrorMessage="1" allowBlank="1" type="list" errorStyle="stop">
      <formula1>'DADOS_CUSTOM'!$EQ$2:$EQ$160</formula1>
    </dataValidation>
    <dataValidation sqref="AD78" showDropDown="0" showInputMessage="0" showErrorMessage="1" allowBlank="1" type="list" errorStyle="stop">
      <formula1>'DADOS_CUSTOM'!$ER$2:$ER$160</formula1>
    </dataValidation>
    <dataValidation sqref="AD79" showDropDown="0" showInputMessage="0" showErrorMessage="1" allowBlank="1" type="list" errorStyle="stop">
      <formula1>'DADOS_CUSTOM'!$ES$2:$ES$160</formula1>
    </dataValidation>
    <dataValidation sqref="AD80" showDropDown="0" showInputMessage="0" showErrorMessage="1" allowBlank="1" type="list" errorStyle="stop">
      <formula1>'DADOS_CUSTOM'!$ET$2:$ET$160</formula1>
    </dataValidation>
    <dataValidation sqref="AD81" showDropDown="0" showInputMessage="0" showErrorMessage="1" allowBlank="1" type="list" errorStyle="stop">
      <formula1>'DADOS_CUSTOM'!$EU$2:$EU$160</formula1>
    </dataValidation>
    <dataValidation sqref="T101" showDropDown="0" showInputMessage="0" showErrorMessage="1" allowBlank="1" type="list" errorStyle="stop">
      <formula1>'DADOS_CUSTOM'!$BZ$2:$BZ$160</formula1>
    </dataValidation>
    <dataValidation sqref="V104" showDropDown="0" showInputMessage="0" showErrorMessage="1" allowBlank="1" type="list" errorStyle="stop">
      <formula1>'DADOS_CUSTOM'!$EV$2:$EV$160</formula1>
    </dataValidation>
    <dataValidation sqref="V105" showDropDown="0" showInputMessage="0" showErrorMessage="1" allowBlank="1" type="list" errorStyle="stop">
      <formula1>'DADOS_CUSTOM'!$EW$2:$EW$160</formula1>
    </dataValidation>
    <dataValidation sqref="V106" showDropDown="0" showInputMessage="0" showErrorMessage="1" allowBlank="1" type="list" errorStyle="stop">
      <formula1>'DADOS_CUSTOM'!$EX$2:$EX$160</formula1>
    </dataValidation>
    <dataValidation sqref="V107" showDropDown="0" showInputMessage="0" showErrorMessage="1" allowBlank="1" type="list" errorStyle="stop">
      <formula1>'DADOS_CUSTOM'!$EY$2:$EY$160</formula1>
    </dataValidation>
    <dataValidation sqref="V108" showDropDown="0" showInputMessage="0" showErrorMessage="1" allowBlank="1" type="list" errorStyle="stop">
      <formula1>'DADOS_CUSTOM'!$EZ$2:$EZ$160</formula1>
    </dataValidation>
    <dataValidation sqref="V109" showDropDown="0" showInputMessage="0" showErrorMessage="1" allowBlank="1" type="list" errorStyle="stop">
      <formula1>'DADOS_CUSTOM'!$FA$2:$FA$160</formula1>
    </dataValidation>
    <dataValidation sqref="V110" showDropDown="0" showInputMessage="0" showErrorMessage="1" allowBlank="1" type="list" errorStyle="stop">
      <formula1>'DADOS_CUSTOM'!$FB$2:$FB$160</formula1>
    </dataValidation>
    <dataValidation sqref="AB101" showDropDown="0" showInputMessage="0" showErrorMessage="1" allowBlank="1" type="list" errorStyle="stop">
      <formula1>'DADOS_CUSTOM'!$BZ$2:$BZ$160</formula1>
    </dataValidation>
    <dataValidation sqref="AD104" showDropDown="0" showInputMessage="0" showErrorMessage="1" allowBlank="1" type="list" errorStyle="stop">
      <formula1>'DADOS_CUSTOM'!$FC$2:$FC$160</formula1>
    </dataValidation>
    <dataValidation sqref="AD105" showDropDown="0" showInputMessage="0" showErrorMessage="1" allowBlank="1" type="list" errorStyle="stop">
      <formula1>'DADOS_CUSTOM'!$FD$2:$FD$160</formula1>
    </dataValidation>
    <dataValidation sqref="AD106" showDropDown="0" showInputMessage="0" showErrorMessage="1" allowBlank="1" type="list" errorStyle="stop">
      <formula1>'DADOS_CUSTOM'!$FE$2:$FE$160</formula1>
    </dataValidation>
    <dataValidation sqref="AD107" showDropDown="0" showInputMessage="0" showErrorMessage="1" allowBlank="1" type="list" errorStyle="stop">
      <formula1>'DADOS_CUSTOM'!$FF$2:$FF$160</formula1>
    </dataValidation>
    <dataValidation sqref="AD108" showDropDown="0" showInputMessage="0" showErrorMessage="1" allowBlank="1" type="list" errorStyle="stop">
      <formula1>'DADOS_CUSTOM'!$FG$2:$FG$160</formula1>
    </dataValidation>
    <dataValidation sqref="AD109" showDropDown="0" showInputMessage="0" showErrorMessage="1" allowBlank="1" type="list" errorStyle="stop">
      <formula1>'DADOS_CUSTOM'!$FH$2:$FH$160</formula1>
    </dataValidation>
    <dataValidation sqref="AD110" showDropDown="0" showInputMessage="0" showErrorMessage="1" allowBlank="1" type="list" errorStyle="stop">
      <formula1>'DADOS_CUSTOM'!$FI$2:$FI$160</formula1>
    </dataValidation>
    <dataValidation sqref="T130" showDropDown="0" showInputMessage="0" showErrorMessage="1" allowBlank="1" type="list" errorStyle="stop">
      <formula1>'DADOS_CUSTOM'!$BZ$2:$BZ$160</formula1>
    </dataValidation>
    <dataValidation sqref="V133" showDropDown="0" showInputMessage="0" showErrorMessage="1" allowBlank="1" type="list" errorStyle="stop">
      <formula1>'DADOS_CUSTOM'!$FJ$2:$FJ$160</formula1>
    </dataValidation>
    <dataValidation sqref="V134" showDropDown="0" showInputMessage="0" showErrorMessage="1" allowBlank="1" type="list" errorStyle="stop">
      <formula1>'DADOS_CUSTOM'!$FK$2:$FK$160</formula1>
    </dataValidation>
    <dataValidation sqref="V135" showDropDown="0" showInputMessage="0" showErrorMessage="1" allowBlank="1" type="list" errorStyle="stop">
      <formula1>'DADOS_CUSTOM'!$FL$2:$FL$160</formula1>
    </dataValidation>
    <dataValidation sqref="V136" showDropDown="0" showInputMessage="0" showErrorMessage="1" allowBlank="1" type="list" errorStyle="stop">
      <formula1>'DADOS_CUSTOM'!$FM$2:$FM$160</formula1>
    </dataValidation>
    <dataValidation sqref="V137" showDropDown="0" showInputMessage="0" showErrorMessage="1" allowBlank="1" type="list" errorStyle="stop">
      <formula1>'DADOS_CUSTOM'!$FN$2:$FN$160</formula1>
    </dataValidation>
    <dataValidation sqref="V138" showDropDown="0" showInputMessage="0" showErrorMessage="1" allowBlank="1" type="list" errorStyle="stop">
      <formula1>'DADOS_CUSTOM'!$FO$2:$FO$160</formula1>
    </dataValidation>
    <dataValidation sqref="V139" showDropDown="0" showInputMessage="0" showErrorMessage="1" allowBlank="1" type="list" errorStyle="stop">
      <formula1>'DADOS_CUSTOM'!$FP$2:$FP$160</formula1>
    </dataValidation>
    <dataValidation sqref="AB130" showDropDown="0" showInputMessage="0" showErrorMessage="1" allowBlank="1" type="list" errorStyle="stop">
      <formula1>'DADOS_CUSTOM'!$BZ$2:$BZ$160</formula1>
    </dataValidation>
    <dataValidation sqref="AD133" showDropDown="0" showInputMessage="0" showErrorMessage="1" allowBlank="1" type="list" errorStyle="stop">
      <formula1>'DADOS_CUSTOM'!$FQ$2:$FQ$160</formula1>
    </dataValidation>
    <dataValidation sqref="AD134" showDropDown="0" showInputMessage="0" showErrorMessage="1" allowBlank="1" type="list" errorStyle="stop">
      <formula1>'DADOS_CUSTOM'!$FR$2:$FR$160</formula1>
    </dataValidation>
    <dataValidation sqref="AD135" showDropDown="0" showInputMessage="0" showErrorMessage="1" allowBlank="1" type="list" errorStyle="stop">
      <formula1>'DADOS_CUSTOM'!$FS$2:$FS$160</formula1>
    </dataValidation>
    <dataValidation sqref="AD136" showDropDown="0" showInputMessage="0" showErrorMessage="1" allowBlank="1" type="list" errorStyle="stop">
      <formula1>'DADOS_CUSTOM'!$FT$2:$FT$160</formula1>
    </dataValidation>
    <dataValidation sqref="AD137" showDropDown="0" showInputMessage="0" showErrorMessage="1" allowBlank="1" type="list" errorStyle="stop">
      <formula1>'DADOS_CUSTOM'!$FU$2:$FU$160</formula1>
    </dataValidation>
    <dataValidation sqref="AD138" showDropDown="0" showInputMessage="0" showErrorMessage="1" allowBlank="1" type="list" errorStyle="stop">
      <formula1>'DADOS_CUSTOM'!$FV$2:$FV$160</formula1>
    </dataValidation>
    <dataValidation sqref="AD139" showDropDown="0" showInputMessage="0" showErrorMessage="1" allowBlank="1" type="list" errorStyle="stop">
      <formula1>'DADOS_CUSTOM'!$FW$2:$FW$160</formula1>
    </dataValidation>
    <dataValidation sqref="T159" showDropDown="0" showInputMessage="0" showErrorMessage="1" allowBlank="1" type="list" errorStyle="stop">
      <formula1>'DADOS_CUSTOM'!$BZ$2:$BZ$160</formula1>
    </dataValidation>
    <dataValidation sqref="V162" showDropDown="0" showInputMessage="0" showErrorMessage="1" allowBlank="1" type="list" errorStyle="stop">
      <formula1>'DADOS_CUSTOM'!$FX$2:$FX$160</formula1>
    </dataValidation>
    <dataValidation sqref="V163" showDropDown="0" showInputMessage="0" showErrorMessage="1" allowBlank="1" type="list" errorStyle="stop">
      <formula1>'DADOS_CUSTOM'!$FY$2:$FY$160</formula1>
    </dataValidation>
    <dataValidation sqref="V164" showDropDown="0" showInputMessage="0" showErrorMessage="1" allowBlank="1" type="list" errorStyle="stop">
      <formula1>'DADOS_CUSTOM'!$FZ$2:$FZ$160</formula1>
    </dataValidation>
    <dataValidation sqref="V165" showDropDown="0" showInputMessage="0" showErrorMessage="1" allowBlank="1" type="list" errorStyle="stop">
      <formula1>'DADOS_CUSTOM'!$GA$2:$GA$160</formula1>
    </dataValidation>
    <dataValidation sqref="V166" showDropDown="0" showInputMessage="0" showErrorMessage="1" allowBlank="1" type="list" errorStyle="stop">
      <formula1>'DADOS_CUSTOM'!$GB$2:$GB$160</formula1>
    </dataValidation>
    <dataValidation sqref="V167" showDropDown="0" showInputMessage="0" showErrorMessage="1" allowBlank="1" type="list" errorStyle="stop">
      <formula1>'DADOS_CUSTOM'!$GC$2:$GC$160</formula1>
    </dataValidation>
    <dataValidation sqref="V168" showDropDown="0" showInputMessage="0" showErrorMessage="1" allowBlank="1" type="list" errorStyle="stop">
      <formula1>'DADOS_CUSTOM'!$GD$2:$GD$160</formula1>
    </dataValidation>
    <dataValidation sqref="AB159" showDropDown="0" showInputMessage="0" showErrorMessage="1" allowBlank="1" type="list" errorStyle="stop">
      <formula1>'DADOS_CUSTOM'!$BZ$2:$BZ$160</formula1>
    </dataValidation>
    <dataValidation sqref="AD162" showDropDown="0" showInputMessage="0" showErrorMessage="1" allowBlank="1" type="list" errorStyle="stop">
      <formula1>'DADOS_CUSTOM'!$GE$2:$GE$160</formula1>
    </dataValidation>
    <dataValidation sqref="AD163" showDropDown="0" showInputMessage="0" showErrorMessage="1" allowBlank="1" type="list" errorStyle="stop">
      <formula1>'DADOS_CUSTOM'!$GF$2:$GF$160</formula1>
    </dataValidation>
    <dataValidation sqref="AD164" showDropDown="0" showInputMessage="0" showErrorMessage="1" allowBlank="1" type="list" errorStyle="stop">
      <formula1>'DADOS_CUSTOM'!$GG$2:$GG$160</formula1>
    </dataValidation>
    <dataValidation sqref="AD165" showDropDown="0" showInputMessage="0" showErrorMessage="1" allowBlank="1" type="list" errorStyle="stop">
      <formula1>'DADOS_CUSTOM'!$GH$2:$GH$160</formula1>
    </dataValidation>
    <dataValidation sqref="AD166" showDropDown="0" showInputMessage="0" showErrorMessage="1" allowBlank="1" type="list" errorStyle="stop">
      <formula1>'DADOS_CUSTOM'!$GI$2:$GI$160</formula1>
    </dataValidation>
    <dataValidation sqref="AD167" showDropDown="0" showInputMessage="0" showErrorMessage="1" allowBlank="1" type="list" errorStyle="stop">
      <formula1>'DADOS_CUSTOM'!$GJ$2:$GJ$160</formula1>
    </dataValidation>
    <dataValidation sqref="AD168" showDropDown="0" showInputMessage="0" showErrorMessage="1" allowBlank="1" type="list" errorStyle="stop">
      <formula1>'DADOS_CUSTOM'!$GK$2:$GK$160</formula1>
    </dataValidation>
    <dataValidation sqref="T188" showDropDown="0" showInputMessage="0" showErrorMessage="1" allowBlank="1" type="list" errorStyle="stop">
      <formula1>'DADOS_CUSTOM'!$BZ$2:$BZ$160</formula1>
    </dataValidation>
    <dataValidation sqref="V191" showDropDown="0" showInputMessage="0" showErrorMessage="1" allowBlank="1" type="list" errorStyle="stop">
      <formula1>'DADOS_CUSTOM'!$GL$2:$GL$160</formula1>
    </dataValidation>
    <dataValidation sqref="V192" showDropDown="0" showInputMessage="0" showErrorMessage="1" allowBlank="1" type="list" errorStyle="stop">
      <formula1>'DADOS_CUSTOM'!$GM$2:$GM$160</formula1>
    </dataValidation>
    <dataValidation sqref="V193" showDropDown="0" showInputMessage="0" showErrorMessage="1" allowBlank="1" type="list" errorStyle="stop">
      <formula1>'DADOS_CUSTOM'!$GN$2:$GN$160</formula1>
    </dataValidation>
    <dataValidation sqref="V194" showDropDown="0" showInputMessage="0" showErrorMessage="1" allowBlank="1" type="list" errorStyle="stop">
      <formula1>'DADOS_CUSTOM'!$GO$2:$GO$160</formula1>
    </dataValidation>
    <dataValidation sqref="V195" showDropDown="0" showInputMessage="0" showErrorMessage="1" allowBlank="1" type="list" errorStyle="stop">
      <formula1>'DADOS_CUSTOM'!$GP$2:$GP$160</formula1>
    </dataValidation>
    <dataValidation sqref="V196" showDropDown="0" showInputMessage="0" showErrorMessage="1" allowBlank="1" type="list" errorStyle="stop">
      <formula1>'DADOS_CUSTOM'!$GQ$2:$GQ$160</formula1>
    </dataValidation>
    <dataValidation sqref="V197" showDropDown="0" showInputMessage="0" showErrorMessage="1" allowBlank="1" type="list" errorStyle="stop">
      <formula1>'DADOS_CUSTOM'!$GR$2:$GR$160</formula1>
    </dataValidation>
    <dataValidation sqref="AB188" showDropDown="0" showInputMessage="0" showErrorMessage="1" allowBlank="1" type="list" errorStyle="stop">
      <formula1>'DADOS_CUSTOM'!$BZ$2:$BZ$160</formula1>
    </dataValidation>
    <dataValidation sqref="AD191" showDropDown="0" showInputMessage="0" showErrorMessage="1" allowBlank="1" type="list" errorStyle="stop">
      <formula1>'DADOS_CUSTOM'!$GS$2:$GS$160</formula1>
    </dataValidation>
    <dataValidation sqref="AD192" showDropDown="0" showInputMessage="0" showErrorMessage="1" allowBlank="1" type="list" errorStyle="stop">
      <formula1>'DADOS_CUSTOM'!$GT$2:$GT$160</formula1>
    </dataValidation>
    <dataValidation sqref="AD193" showDropDown="0" showInputMessage="0" showErrorMessage="1" allowBlank="1" type="list" errorStyle="stop">
      <formula1>'DADOS_CUSTOM'!$GU$2:$GU$160</formula1>
    </dataValidation>
    <dataValidation sqref="AD194" showDropDown="0" showInputMessage="0" showErrorMessage="1" allowBlank="1" type="list" errorStyle="stop">
      <formula1>'DADOS_CUSTOM'!$GV$2:$GV$160</formula1>
    </dataValidation>
    <dataValidation sqref="AD195" showDropDown="0" showInputMessage="0" showErrorMessage="1" allowBlank="1" type="list" errorStyle="stop">
      <formula1>'DADOS_CUSTOM'!$GW$2:$GW$160</formula1>
    </dataValidation>
    <dataValidation sqref="AD196" showDropDown="0" showInputMessage="0" showErrorMessage="1" allowBlank="1" type="list" errorStyle="stop">
      <formula1>'DADOS_CUSTOM'!$GX$2:$GX$160</formula1>
    </dataValidation>
    <dataValidation sqref="AD197" showDropDown="0" showInputMessage="0" showErrorMessage="1" allowBlank="1" type="list" errorStyle="stop">
      <formula1>'DADOS_CUSTOM'!$GY$2:$GY$160</formula1>
    </dataValidation>
    <dataValidation sqref="T217" showDropDown="0" showInputMessage="0" showErrorMessage="1" allowBlank="1" type="list" errorStyle="stop">
      <formula1>'DADOS_CUSTOM'!$BZ$2:$BZ$160</formula1>
    </dataValidation>
    <dataValidation sqref="V220" showDropDown="0" showInputMessage="0" showErrorMessage="1" allowBlank="1" type="list" errorStyle="stop">
      <formula1>'DADOS_CUSTOM'!$GZ$2:$GZ$160</formula1>
    </dataValidation>
    <dataValidation sqref="V221" showDropDown="0" showInputMessage="0" showErrorMessage="1" allowBlank="1" type="list" errorStyle="stop">
      <formula1>'DADOS_CUSTOM'!$HA$2:$HA$160</formula1>
    </dataValidation>
    <dataValidation sqref="V222" showDropDown="0" showInputMessage="0" showErrorMessage="1" allowBlank="1" type="list" errorStyle="stop">
      <formula1>'DADOS_CUSTOM'!$HB$2:$HB$160</formula1>
    </dataValidation>
    <dataValidation sqref="V223" showDropDown="0" showInputMessage="0" showErrorMessage="1" allowBlank="1" type="list" errorStyle="stop">
      <formula1>'DADOS_CUSTOM'!$HC$2:$HC$160</formula1>
    </dataValidation>
    <dataValidation sqref="V224" showDropDown="0" showInputMessage="0" showErrorMessage="1" allowBlank="1" type="list" errorStyle="stop">
      <formula1>'DADOS_CUSTOM'!$HD$2:$HD$160</formula1>
    </dataValidation>
    <dataValidation sqref="V225" showDropDown="0" showInputMessage="0" showErrorMessage="1" allowBlank="1" type="list" errorStyle="stop">
      <formula1>'DADOS_CUSTOM'!$HE$2:$HE$160</formula1>
    </dataValidation>
    <dataValidation sqref="V226" showDropDown="0" showInputMessage="0" showErrorMessage="1" allowBlank="1" type="list" errorStyle="stop">
      <formula1>'DADOS_CUSTOM'!$HF$2:$HF$160</formula1>
    </dataValidation>
    <dataValidation sqref="AB217" showDropDown="0" showInputMessage="0" showErrorMessage="1" allowBlank="1" type="list" errorStyle="stop">
      <formula1>'DADOS_CUSTOM'!$BZ$2:$BZ$160</formula1>
    </dataValidation>
    <dataValidation sqref="AD220" showDropDown="0" showInputMessage="0" showErrorMessage="1" allowBlank="1" type="list" errorStyle="stop">
      <formula1>'DADOS_CUSTOM'!$HG$2:$HG$160</formula1>
    </dataValidation>
    <dataValidation sqref="AD221" showDropDown="0" showInputMessage="0" showErrorMessage="1" allowBlank="1" type="list" errorStyle="stop">
      <formula1>'DADOS_CUSTOM'!$HH$2:$HH$160</formula1>
    </dataValidation>
    <dataValidation sqref="AD222" showDropDown="0" showInputMessage="0" showErrorMessage="1" allowBlank="1" type="list" errorStyle="stop">
      <formula1>'DADOS_CUSTOM'!$HI$2:$HI$160</formula1>
    </dataValidation>
    <dataValidation sqref="AD223" showDropDown="0" showInputMessage="0" showErrorMessage="1" allowBlank="1" type="list" errorStyle="stop">
      <formula1>'DADOS_CUSTOM'!$HJ$2:$HJ$160</formula1>
    </dataValidation>
    <dataValidation sqref="AD224" showDropDown="0" showInputMessage="0" showErrorMessage="1" allowBlank="1" type="list" errorStyle="stop">
      <formula1>'DADOS_CUSTOM'!$HK$2:$HK$160</formula1>
    </dataValidation>
    <dataValidation sqref="AD225" showDropDown="0" showInputMessage="0" showErrorMessage="1" allowBlank="1" type="list" errorStyle="stop">
      <formula1>'DADOS_CUSTOM'!$HL$2:$HL$160</formula1>
    </dataValidation>
    <dataValidation sqref="AD226" showDropDown="0" showInputMessage="0" showErrorMessage="1" allowBlank="1" type="list" errorStyle="stop">
      <formula1>'DADOS_CUSTOM'!$HM$2:$HM$160</formula1>
    </dataValidation>
    <dataValidation sqref="T246" showDropDown="0" showInputMessage="0" showErrorMessage="1" allowBlank="1" type="list" errorStyle="stop">
      <formula1>'DADOS_CUSTOM'!$BZ$2:$BZ$160</formula1>
    </dataValidation>
    <dataValidation sqref="V249" showDropDown="0" showInputMessage="0" showErrorMessage="1" allowBlank="1" type="list" errorStyle="stop">
      <formula1>'DADOS_CUSTOM'!$HN$2:$HN$160</formula1>
    </dataValidation>
    <dataValidation sqref="V250" showDropDown="0" showInputMessage="0" showErrorMessage="1" allowBlank="1" type="list" errorStyle="stop">
      <formula1>'DADOS_CUSTOM'!$HO$2:$HO$160</formula1>
    </dataValidation>
    <dataValidation sqref="V251" showDropDown="0" showInputMessage="0" showErrorMessage="1" allowBlank="1" type="list" errorStyle="stop">
      <formula1>'DADOS_CUSTOM'!$HP$2:$HP$160</formula1>
    </dataValidation>
    <dataValidation sqref="V252" showDropDown="0" showInputMessage="0" showErrorMessage="1" allowBlank="1" type="list" errorStyle="stop">
      <formula1>'DADOS_CUSTOM'!$HQ$2:$HQ$160</formula1>
    </dataValidation>
    <dataValidation sqref="V253" showDropDown="0" showInputMessage="0" showErrorMessage="1" allowBlank="1" type="list" errorStyle="stop">
      <formula1>'DADOS_CUSTOM'!$HR$2:$HR$160</formula1>
    </dataValidation>
    <dataValidation sqref="V254" showDropDown="0" showInputMessage="0" showErrorMessage="1" allowBlank="1" type="list" errorStyle="stop">
      <formula1>'DADOS_CUSTOM'!$HS$2:$HS$160</formula1>
    </dataValidation>
    <dataValidation sqref="V255" showDropDown="0" showInputMessage="0" showErrorMessage="1" allowBlank="1" type="list" errorStyle="stop">
      <formula1>'DADOS_CUSTOM'!$HT$2:$HT$160</formula1>
    </dataValidation>
    <dataValidation sqref="AB246" showDropDown="0" showInputMessage="0" showErrorMessage="1" allowBlank="1" type="list" errorStyle="stop">
      <formula1>'DADOS_CUSTOM'!$BZ$2:$BZ$160</formula1>
    </dataValidation>
    <dataValidation sqref="AD249" showDropDown="0" showInputMessage="0" showErrorMessage="1" allowBlank="1" type="list" errorStyle="stop">
      <formula1>'DADOS_CUSTOM'!$HU$2:$HU$160</formula1>
    </dataValidation>
    <dataValidation sqref="AD250" showDropDown="0" showInputMessage="0" showErrorMessage="1" allowBlank="1" type="list" errorStyle="stop">
      <formula1>'DADOS_CUSTOM'!$HV$2:$HV$160</formula1>
    </dataValidation>
    <dataValidation sqref="AD251" showDropDown="0" showInputMessage="0" showErrorMessage="1" allowBlank="1" type="list" errorStyle="stop">
      <formula1>'DADOS_CUSTOM'!$HW$2:$HW$160</formula1>
    </dataValidation>
    <dataValidation sqref="AD252" showDropDown="0" showInputMessage="0" showErrorMessage="1" allowBlank="1" type="list" errorStyle="stop">
      <formula1>'DADOS_CUSTOM'!$HX$2:$HX$160</formula1>
    </dataValidation>
    <dataValidation sqref="AD253" showDropDown="0" showInputMessage="0" showErrorMessage="1" allowBlank="1" type="list" errorStyle="stop">
      <formula1>'DADOS_CUSTOM'!$HY$2:$HY$160</formula1>
    </dataValidation>
    <dataValidation sqref="AD254" showDropDown="0" showInputMessage="0" showErrorMessage="1" allowBlank="1" type="list" errorStyle="stop">
      <formula1>'DADOS_CUSTOM'!$HZ$2:$HZ$160</formula1>
    </dataValidation>
    <dataValidation sqref="AD255" showDropDown="0" showInputMessage="0" showErrorMessage="1" allowBlank="1" type="list" errorStyle="stop">
      <formula1>'DADOS_CUSTOM'!$IA$2:$IA$160</formula1>
    </dataValidation>
    <dataValidation sqref="T275" showDropDown="0" showInputMessage="0" showErrorMessage="1" allowBlank="1" type="list" errorStyle="stop">
      <formula1>'DADOS_CUSTOM'!$BZ$2:$BZ$160</formula1>
    </dataValidation>
    <dataValidation sqref="V278" showDropDown="0" showInputMessage="0" showErrorMessage="1" allowBlank="1" type="list" errorStyle="stop">
      <formula1>'DADOS_CUSTOM'!$IB$2:$IB$160</formula1>
    </dataValidation>
    <dataValidation sqref="V279" showDropDown="0" showInputMessage="0" showErrorMessage="1" allowBlank="1" type="list" errorStyle="stop">
      <formula1>'DADOS_CUSTOM'!$IC$2:$IC$160</formula1>
    </dataValidation>
    <dataValidation sqref="V280" showDropDown="0" showInputMessage="0" showErrorMessage="1" allowBlank="1" type="list" errorStyle="stop">
      <formula1>'DADOS_CUSTOM'!$ID$2:$ID$160</formula1>
    </dataValidation>
    <dataValidation sqref="V281" showDropDown="0" showInputMessage="0" showErrorMessage="1" allowBlank="1" type="list" errorStyle="stop">
      <formula1>'DADOS_CUSTOM'!$IE$2:$IE$160</formula1>
    </dataValidation>
    <dataValidation sqref="V282" showDropDown="0" showInputMessage="0" showErrorMessage="1" allowBlank="1" type="list" errorStyle="stop">
      <formula1>'DADOS_CUSTOM'!$IF$2:$IF$160</formula1>
    </dataValidation>
    <dataValidation sqref="V283" showDropDown="0" showInputMessage="0" showErrorMessage="1" allowBlank="1" type="list" errorStyle="stop">
      <formula1>'DADOS_CUSTOM'!$IG$2:$IG$160</formula1>
    </dataValidation>
    <dataValidation sqref="V284" showDropDown="0" showInputMessage="0" showErrorMessage="1" allowBlank="1" type="list" errorStyle="stop">
      <formula1>'DADOS_CUSTOM'!$IH$2:$IH$160</formula1>
    </dataValidation>
    <dataValidation sqref="AB275" showDropDown="0" showInputMessage="0" showErrorMessage="1" allowBlank="1" type="list" errorStyle="stop">
      <formula1>'DADOS_CUSTOM'!$BZ$2:$BZ$160</formula1>
    </dataValidation>
    <dataValidation sqref="AD278" showDropDown="0" showInputMessage="0" showErrorMessage="1" allowBlank="1" type="list" errorStyle="stop">
      <formula1>'DADOS_CUSTOM'!$II$2:$II$160</formula1>
    </dataValidation>
    <dataValidation sqref="AD279" showDropDown="0" showInputMessage="0" showErrorMessage="1" allowBlank="1" type="list" errorStyle="stop">
      <formula1>'DADOS_CUSTOM'!$IJ$2:$IJ$160</formula1>
    </dataValidation>
    <dataValidation sqref="AD280" showDropDown="0" showInputMessage="0" showErrorMessage="1" allowBlank="1" type="list" errorStyle="stop">
      <formula1>'DADOS_CUSTOM'!$IK$2:$IK$160</formula1>
    </dataValidation>
    <dataValidation sqref="AD281" showDropDown="0" showInputMessage="0" showErrorMessage="1" allowBlank="1" type="list" errorStyle="stop">
      <formula1>'DADOS_CUSTOM'!$IL$2:$IL$160</formula1>
    </dataValidation>
    <dataValidation sqref="AD282" showDropDown="0" showInputMessage="0" showErrorMessage="1" allowBlank="1" type="list" errorStyle="stop">
      <formula1>'DADOS_CUSTOM'!$IM$2:$IM$160</formula1>
    </dataValidation>
    <dataValidation sqref="AD283" showDropDown="0" showInputMessage="0" showErrorMessage="1" allowBlank="1" type="list" errorStyle="stop">
      <formula1>'DADOS_CUSTOM'!$IN$2:$IN$160</formula1>
    </dataValidation>
    <dataValidation sqref="AD284" showDropDown="0" showInputMessage="0" showErrorMessage="1" allowBlank="1" type="list" errorStyle="stop">
      <formula1>'DADOS_CUSTOM'!$IO$2:$IO$160</formula1>
    </dataValidation>
    <dataValidation sqref="T304" showDropDown="0" showInputMessage="0" showErrorMessage="1" allowBlank="1" type="list" errorStyle="stop">
      <formula1>'DADOS_CUSTOM'!$BZ$2:$BZ$160</formula1>
    </dataValidation>
    <dataValidation sqref="V307" showDropDown="0" showInputMessage="0" showErrorMessage="1" allowBlank="1" type="list" errorStyle="stop">
      <formula1>'DADOS_CUSTOM'!$IP$2:$IP$160</formula1>
    </dataValidation>
    <dataValidation sqref="V308" showDropDown="0" showInputMessage="0" showErrorMessage="1" allowBlank="1" type="list" errorStyle="stop">
      <formula1>'DADOS_CUSTOM'!$IQ$2:$IQ$160</formula1>
    </dataValidation>
    <dataValidation sqref="V309" showDropDown="0" showInputMessage="0" showErrorMessage="1" allowBlank="1" type="list" errorStyle="stop">
      <formula1>'DADOS_CUSTOM'!$IR$2:$IR$160</formula1>
    </dataValidation>
    <dataValidation sqref="V310" showDropDown="0" showInputMessage="0" showErrorMessage="1" allowBlank="1" type="list" errorStyle="stop">
      <formula1>'DADOS_CUSTOM'!$IS$2:$IS$160</formula1>
    </dataValidation>
    <dataValidation sqref="V311" showDropDown="0" showInputMessage="0" showErrorMessage="1" allowBlank="1" type="list" errorStyle="stop">
      <formula1>'DADOS_CUSTOM'!$IT$2:$IT$160</formula1>
    </dataValidation>
    <dataValidation sqref="V312" showDropDown="0" showInputMessage="0" showErrorMessage="1" allowBlank="1" type="list" errorStyle="stop">
      <formula1>'DADOS_CUSTOM'!$IU$2:$IU$160</formula1>
    </dataValidation>
    <dataValidation sqref="V313" showDropDown="0" showInputMessage="0" showErrorMessage="1" allowBlank="1" type="list" errorStyle="stop">
      <formula1>'DADOS_CUSTOM'!$IV$2:$IV$160</formula1>
    </dataValidation>
    <dataValidation sqref="AB304" showDropDown="0" showInputMessage="0" showErrorMessage="1" allowBlank="1" type="list" errorStyle="stop">
      <formula1>'DADOS_CUSTOM'!$BZ$2:$BZ$160</formula1>
    </dataValidation>
    <dataValidation sqref="AD307" showDropDown="0" showInputMessage="0" showErrorMessage="1" allowBlank="1" type="list" errorStyle="stop">
      <formula1>'DADOS_CUSTOM'!$IW$2:$IW$160</formula1>
    </dataValidation>
    <dataValidation sqref="AD308" showDropDown="0" showInputMessage="0" showErrorMessage="1" allowBlank="1" type="list" errorStyle="stop">
      <formula1>'DADOS_CUSTOM'!$IX$2:$IX$160</formula1>
    </dataValidation>
    <dataValidation sqref="AD309" showDropDown="0" showInputMessage="0" showErrorMessage="1" allowBlank="1" type="list" errorStyle="stop">
      <formula1>'DADOS_CUSTOM'!$IY$2:$IY$160</formula1>
    </dataValidation>
    <dataValidation sqref="AD310" showDropDown="0" showInputMessage="0" showErrorMessage="1" allowBlank="1" type="list" errorStyle="stop">
      <formula1>'DADOS_CUSTOM'!$IZ$2:$IZ$160</formula1>
    </dataValidation>
    <dataValidation sqref="AD311" showDropDown="0" showInputMessage="0" showErrorMessage="1" allowBlank="1" type="list" errorStyle="stop">
      <formula1>'DADOS_CUSTOM'!$JA$2:$JA$160</formula1>
    </dataValidation>
    <dataValidation sqref="AD312" showDropDown="0" showInputMessage="0" showErrorMessage="1" allowBlank="1" type="list" errorStyle="stop">
      <formula1>'DADOS_CUSTOM'!$JB$2:$JB$160</formula1>
    </dataValidation>
    <dataValidation sqref="AD313" showDropDown="0" showInputMessage="0" showErrorMessage="1" allowBlank="1" type="list" errorStyle="stop">
      <formula1>'DADOS_CUSTOM'!$JC$2:$JC$160</formula1>
    </dataValidation>
    <dataValidation sqref="T333" showDropDown="0" showInputMessage="0" showErrorMessage="1" allowBlank="1" type="list" errorStyle="stop">
      <formula1>'DADOS_CUSTOM'!$BZ$2:$BZ$160</formula1>
    </dataValidation>
    <dataValidation sqref="V336" showDropDown="0" showInputMessage="0" showErrorMessage="1" allowBlank="1" type="list" errorStyle="stop">
      <formula1>'DADOS_CUSTOM'!$JD$2:$JD$160</formula1>
    </dataValidation>
    <dataValidation sqref="V337" showDropDown="0" showInputMessage="0" showErrorMessage="1" allowBlank="1" type="list" errorStyle="stop">
      <formula1>'DADOS_CUSTOM'!$JE$2:$JE$160</formula1>
    </dataValidation>
    <dataValidation sqref="V338" showDropDown="0" showInputMessage="0" showErrorMessage="1" allowBlank="1" type="list" errorStyle="stop">
      <formula1>'DADOS_CUSTOM'!$JF$2:$JF$160</formula1>
    </dataValidation>
    <dataValidation sqref="V339" showDropDown="0" showInputMessage="0" showErrorMessage="1" allowBlank="1" type="list" errorStyle="stop">
      <formula1>'DADOS_CUSTOM'!$JG$2:$JG$160</formula1>
    </dataValidation>
    <dataValidation sqref="V340" showDropDown="0" showInputMessage="0" showErrorMessage="1" allowBlank="1" type="list" errorStyle="stop">
      <formula1>'DADOS_CUSTOM'!$JH$2:$JH$160</formula1>
    </dataValidation>
    <dataValidation sqref="V341" showDropDown="0" showInputMessage="0" showErrorMessage="1" allowBlank="1" type="list" errorStyle="stop">
      <formula1>'DADOS_CUSTOM'!$JI$2:$JI$160</formula1>
    </dataValidation>
    <dataValidation sqref="V342" showDropDown="0" showInputMessage="0" showErrorMessage="1" allowBlank="1" type="list" errorStyle="stop">
      <formula1>'DADOS_CUSTOM'!$JJ$2:$JJ$160</formula1>
    </dataValidation>
    <dataValidation sqref="AB333" showDropDown="0" showInputMessage="0" showErrorMessage="1" allowBlank="1" type="list" errorStyle="stop">
      <formula1>'DADOS_CUSTOM'!$BZ$2:$BZ$160</formula1>
    </dataValidation>
    <dataValidation sqref="AD336" showDropDown="0" showInputMessage="0" showErrorMessage="1" allowBlank="1" type="list" errorStyle="stop">
      <formula1>'DADOS_CUSTOM'!$JK$2:$JK$160</formula1>
    </dataValidation>
    <dataValidation sqref="AD337" showDropDown="0" showInputMessage="0" showErrorMessage="1" allowBlank="1" type="list" errorStyle="stop">
      <formula1>'DADOS_CUSTOM'!$JL$2:$JL$160</formula1>
    </dataValidation>
    <dataValidation sqref="AD338" showDropDown="0" showInputMessage="0" showErrorMessage="1" allowBlank="1" type="list" errorStyle="stop">
      <formula1>'DADOS_CUSTOM'!$JM$2:$JM$160</formula1>
    </dataValidation>
    <dataValidation sqref="AD339" showDropDown="0" showInputMessage="0" showErrorMessage="1" allowBlank="1" type="list" errorStyle="stop">
      <formula1>'DADOS_CUSTOM'!$JN$2:$JN$160</formula1>
    </dataValidation>
    <dataValidation sqref="AD340" showDropDown="0" showInputMessage="0" showErrorMessage="1" allowBlank="1" type="list" errorStyle="stop">
      <formula1>'DADOS_CUSTOM'!$JO$2:$JO$160</formula1>
    </dataValidation>
    <dataValidation sqref="AD341" showDropDown="0" showInputMessage="0" showErrorMessage="1" allowBlank="1" type="list" errorStyle="stop">
      <formula1>'DADOS_CUSTOM'!$JP$2:$JP$160</formula1>
    </dataValidation>
    <dataValidation sqref="AD342" showDropDown="0" showInputMessage="0" showErrorMessage="1" allowBlank="1" type="list" errorStyle="stop">
      <formula1>'DADOS_CUSTOM'!$JQ$2:$JQ$160</formula1>
    </dataValidation>
    <dataValidation sqref="T362" showDropDown="0" showInputMessage="0" showErrorMessage="1" allowBlank="1" type="list" errorStyle="stop">
      <formula1>'DADOS_CUSTOM'!$BZ$2:$BZ$160</formula1>
    </dataValidation>
    <dataValidation sqref="V365" showDropDown="0" showInputMessage="0" showErrorMessage="1" allowBlank="1" type="list" errorStyle="stop">
      <formula1>'DADOS_CUSTOM'!$JR$2:$JR$160</formula1>
    </dataValidation>
    <dataValidation sqref="V366" showDropDown="0" showInputMessage="0" showErrorMessage="1" allowBlank="1" type="list" errorStyle="stop">
      <formula1>'DADOS_CUSTOM'!$JS$2:$JS$160</formula1>
    </dataValidation>
    <dataValidation sqref="V367" showDropDown="0" showInputMessage="0" showErrorMessage="1" allowBlank="1" type="list" errorStyle="stop">
      <formula1>'DADOS_CUSTOM'!$JT$2:$JT$160</formula1>
    </dataValidation>
    <dataValidation sqref="V368" showDropDown="0" showInputMessage="0" showErrorMessage="1" allowBlank="1" type="list" errorStyle="stop">
      <formula1>'DADOS_CUSTOM'!$JU$2:$JU$160</formula1>
    </dataValidation>
    <dataValidation sqref="V369" showDropDown="0" showInputMessage="0" showErrorMessage="1" allowBlank="1" type="list" errorStyle="stop">
      <formula1>'DADOS_CUSTOM'!$JV$2:$JV$160</formula1>
    </dataValidation>
    <dataValidation sqref="V370" showDropDown="0" showInputMessage="0" showErrorMessage="1" allowBlank="1" type="list" errorStyle="stop">
      <formula1>'DADOS_CUSTOM'!$JW$2:$JW$160</formula1>
    </dataValidation>
    <dataValidation sqref="V371" showDropDown="0" showInputMessage="0" showErrorMessage="1" allowBlank="1" type="list" errorStyle="stop">
      <formula1>'DADOS_CUSTOM'!$JX$2:$JX$160</formula1>
    </dataValidation>
    <dataValidation sqref="AN16" showDropDown="0" showInputMessage="0" showErrorMessage="1" allowBlank="1" type="list" errorStyle="stop">
      <formula1>'DADOS_PROGRESSAO'!$AO$2:$AO$7</formula1>
    </dataValidation>
    <dataValidation sqref="AN18" showDropDown="0" showInputMessage="0" showErrorMessage="1" allowBlank="1" type="list" errorStyle="stop">
      <formula1>'DADOS_PROGRESSAO'!$AN$2:$AN$6</formula1>
    </dataValidation>
    <dataValidation sqref="AN19" showDropDown="0" showInputMessage="0" showErrorMessage="1" allowBlank="1" type="list" errorStyle="stop">
      <formula1>'DADOS_PROGRESSAO'!$AN$2:$AN$6</formula1>
    </dataValidation>
    <dataValidation sqref="AN20" showDropDown="0" showInputMessage="0" showErrorMessage="1" allowBlank="1" type="list" errorStyle="stop">
      <formula1>'DADOS_PROGRESSAO'!$AG$2:$AG$34</formula1>
    </dataValidation>
    <dataValidation sqref="AN21" showDropDown="0" showInputMessage="0" showErrorMessage="1" allowBlank="1" type="list" errorStyle="stop">
      <formula1>'DADOS_PROGRESSAO'!$AG$2:$AG$34</formula1>
    </dataValidation>
    <dataValidation sqref="AN22" showDropDown="0" showInputMessage="0" showErrorMessage="1" allowBlank="1" type="list" errorStyle="stop">
      <formula1>'DADOS_PROGRESSAO'!$AP$2:$AP$3</formula1>
    </dataValidation>
    <dataValidation sqref="AN23" showDropDown="0" showInputMessage="0" showErrorMessage="1" allowBlank="1" type="list" errorStyle="stop">
      <formula1>'DADOS_PROGRESSAO'!$AQ$2:$AQ$3</formula1>
    </dataValidation>
    <dataValidation sqref="AN24" showDropDown="0" showInputMessage="0" showErrorMessage="1" allowBlank="1" type="list" errorStyle="stop">
      <formula1>'DADOS_PROGRESSAO'!$AR$2:$AR$14</formula1>
    </dataValidation>
    <dataValidation sqref="AN25" showDropDown="0" showInputMessage="0" showErrorMessage="1" allowBlank="1" type="list" errorStyle="stop">
      <formula1>'DADOS_PROGRESSAO'!$AR$2:$AR$14</formula1>
    </dataValidation>
    <dataValidation sqref="AN26" showDropDown="0" showInputMessage="0" showErrorMessage="1" allowBlank="1" type="list" errorStyle="stop">
      <formula1>'DADOS_PROGRESSAO'!$AR$2:$AR$14</formula1>
    </dataValidation>
    <dataValidation sqref="AN27" showDropDown="0" showInputMessage="0" showErrorMessage="1" allowBlank="1" type="list" errorStyle="stop">
      <formula1>'DADOS_PROGRESSAO'!$AR$2:$AR$14</formula1>
    </dataValidation>
    <dataValidation sqref="AN28" showDropDown="0" showInputMessage="0" showErrorMessage="1" allowBlank="1" type="list" errorStyle="stop">
      <formula1>'DADOS_PROGRESSAO'!$AR$2:$AR$14</formula1>
    </dataValidation>
    <dataValidation sqref="AN29" showDropDown="0" showInputMessage="0" showErrorMessage="1" allowBlank="1" type="list" errorStyle="stop">
      <formula1>'DADOS_PROGRESSAO'!$AR$2:$AR$14</formula1>
    </dataValidation>
    <dataValidation sqref="AN30" showDropDown="0" showInputMessage="0" showErrorMessage="1" allowBlank="1" type="list" errorStyle="stop">
      <formula1>'DADOS_PROGRESSAO'!$AR$2:$AR$14</formula1>
    </dataValidation>
    <dataValidation sqref="AN31" showDropDown="0" showInputMessage="0" showErrorMessage="1" allowBlank="1" type="list" errorStyle="stop">
      <formula1>'DADOS_PROGRESSAO'!$AR$2:$AR$14</formula1>
    </dataValidation>
    <dataValidation sqref="AN32" showDropDown="0" showInputMessage="0" showErrorMessage="1" allowBlank="1" type="list" errorStyle="stop">
      <formula1>'DADOS_PROGRESSAO'!$AR$2:$AR$14</formula1>
    </dataValidation>
    <dataValidation sqref="AN33" showDropDown="0" showInputMessage="0" showErrorMessage="1" allowBlank="1" type="list" errorStyle="stop">
      <formula1>'DADOS_PROGRESSAO'!$AR$2:$AR$14</formula1>
    </dataValidation>
    <dataValidation sqref="AN34" showDropDown="0" showInputMessage="0" showErrorMessage="1" allowBlank="1" type="list" errorStyle="stop">
      <formula1>'DADOS_PROGRESSAO'!$AR$2:$AR$14</formula1>
    </dataValidation>
    <dataValidation sqref="AN35" showDropDown="0" showInputMessage="0" showErrorMessage="1" allowBlank="1" type="list" errorStyle="stop">
      <formula1>'DADOS_PROGRESSAO'!$AR$2:$AR$14</formula1>
    </dataValidation>
    <dataValidation sqref="AN36" showDropDown="0" showInputMessage="0" showErrorMessage="1" allowBlank="1" type="list" errorStyle="stop">
      <formula1>'DADOS_PROGRESSAO'!$AR$2:$AR$14</formula1>
    </dataValidation>
    <dataValidation sqref="AV14" showDropDown="0" showInputMessage="0" showErrorMessage="1" allowBlank="1" type="list" errorStyle="stop">
      <formula1>'DADOS_PROGRESSAO'!$AS$2:$AS$8</formula1>
    </dataValidation>
    <dataValidation sqref="AV15" showDropDown="0" showInputMessage="0" showErrorMessage="1" allowBlank="1" type="list" errorStyle="stop">
      <formula1>'DADOS_PROGRESSAO'!$AU$2:$AU$22</formula1>
    </dataValidation>
    <dataValidation sqref="BB11" showDropDown="0" showInputMessage="0" showErrorMessage="1" allowBlank="1" type="list" errorStyle="stop">
      <formula1>'DADOS_PROGRESSAO'!$AM$2:$AM$2</formula1>
    </dataValidation>
    <dataValidation sqref="BE14" showDropDown="0" showInputMessage="0" showErrorMessage="1" allowBlank="1" type="list" errorStyle="stop">
      <formula1>'DADOS_PROGRESSAO'!$AN$2:$AN$6</formula1>
    </dataValidation>
    <dataValidation sqref="BJ11" showDropDown="0" showInputMessage="0" showErrorMessage="1" allowBlank="1" type="list" errorStyle="stop">
      <formula1>'DADOS_PROGRESSAO'!$AM$2:$AM$2</formula1>
    </dataValidation>
    <dataValidation sqref="BM14" showDropDown="0" showInputMessage="0" showErrorMessage="1" allowBlank="1" type="list" errorStyle="stop">
      <formula1>'DADOS_PROGRESSAO'!$AN$2:$AN$6</formula1>
    </dataValidation>
    <dataValidation sqref="BB25" showDropDown="0" showInputMessage="0" showErrorMessage="1" allowBlank="1" type="list" errorStyle="stop">
      <formula1>'DADOS_PROGRESSAO'!$AM$2:$AM$2</formula1>
    </dataValidation>
    <dataValidation sqref="BE28" showDropDown="0" showInputMessage="0" showErrorMessage="1" allowBlank="1" type="list" errorStyle="stop">
      <formula1>'DADOS_PROGRESSAO'!$AN$2:$AN$6</formula1>
    </dataValidation>
    <dataValidation sqref="BJ25" showDropDown="0" showInputMessage="0" showErrorMessage="1" allowBlank="1" type="list" errorStyle="stop">
      <formula1>'DADOS_PROGRESSAO'!$AM$2:$AM$2</formula1>
    </dataValidation>
    <dataValidation sqref="BM28" showDropDown="0" showInputMessage="0" showErrorMessage="1" allowBlank="1" type="list" errorStyle="stop">
      <formula1>'DADOS_PROGRESSAO'!$AN$2:$AN$6</formula1>
    </dataValidation>
    <dataValidation sqref="BB39" showDropDown="0" showInputMessage="0" showErrorMessage="1" allowBlank="1" type="list" errorStyle="stop">
      <formula1>'DADOS_PROGRESSAO'!$AM$2:$AM$2</formula1>
    </dataValidation>
    <dataValidation sqref="BE42" showDropDown="0" showInputMessage="0" showErrorMessage="1" allowBlank="1" type="list" errorStyle="stop">
      <formula1>'DADOS_PROGRESSAO'!$AN$2:$AN$6</formula1>
    </dataValidation>
    <dataValidation sqref="BJ39" showDropDown="0" showInputMessage="0" showErrorMessage="1" allowBlank="1" type="list" errorStyle="stop">
      <formula1>'DADOS_PROGRESSAO'!$AM$2:$AM$2</formula1>
    </dataValidation>
    <dataValidation sqref="BM42" showDropDown="0" showInputMessage="0" showErrorMessage="1" allowBlank="1" type="list" errorStyle="stop">
      <formula1>'DADOS_PROGRESSAO'!$AN$2:$AN$6</formula1>
    </dataValidation>
    <dataValidation sqref="BB53" showDropDown="0" showInputMessage="0" showErrorMessage="1" allowBlank="1" type="list" errorStyle="stop">
      <formula1>'DADOS_PROGRESSAO'!$AM$2:$AM$2</formula1>
    </dataValidation>
    <dataValidation sqref="BE56" showDropDown="0" showInputMessage="0" showErrorMessage="1" allowBlank="1" type="list" errorStyle="stop">
      <formula1>'DADOS_PROGRESSAO'!$AN$2:$AN$6</formula1>
    </dataValidation>
    <dataValidation sqref="BJ53" showDropDown="0" showInputMessage="0" showErrorMessage="1" allowBlank="1" type="list" errorStyle="stop">
      <formula1>'DADOS_PROGRESSAO'!$AM$2:$AM$2</formula1>
    </dataValidation>
    <dataValidation sqref="BM56" showDropDown="0" showInputMessage="0" showErrorMessage="1" allowBlank="1" type="list" errorStyle="stop">
      <formula1>'DADOS_PROGRESSAO'!$AN$2:$AN$6</formula1>
    </dataValidation>
    <dataValidation sqref="BB67" showDropDown="0" showInputMessage="0" showErrorMessage="1" allowBlank="1" type="list" errorStyle="stop">
      <formula1>'DADOS_PROGRESSAO'!$AM$2:$AM$2</formula1>
    </dataValidation>
    <dataValidation sqref="BE70" showDropDown="0" showInputMessage="0" showErrorMessage="1" allowBlank="1" type="list" errorStyle="stop">
      <formula1>'DADOS_PROGRESSAO'!$AN$2:$AN$6</formula1>
    </dataValidation>
    <dataValidation sqref="BJ67" showDropDown="0" showInputMessage="0" showErrorMessage="1" allowBlank="1" type="list" errorStyle="stop">
      <formula1>'DADOS_PROGRESSAO'!$AM$2:$AM$2</formula1>
    </dataValidation>
    <dataValidation sqref="BM70" showDropDown="0" showInputMessage="0" showErrorMessage="1" allowBlank="1" type="list" errorStyle="stop">
      <formula1>'DADOS_PROGRESSAO'!$AN$2:$AN$6</formula1>
    </dataValidation>
    <dataValidation sqref="BS11" showDropDown="0" showInputMessage="0" showErrorMessage="1" allowBlank="1" type="list" errorStyle="stop">
      <formula1>'DADOS_PROGRESSAO'!$AM$3:$AM$3</formula1>
    </dataValidation>
    <dataValidation sqref="BV14" showDropDown="0" showInputMessage="0" showErrorMessage="1" allowBlank="1" type="list" errorStyle="stop">
      <formula1>'DADOS_PROGRESSAO'!$AN$2:$AN$6</formula1>
    </dataValidation>
    <dataValidation sqref="CA11" showDropDown="0" showInputMessage="0" showErrorMessage="1" allowBlank="1" type="list" errorStyle="stop">
      <formula1>'DADOS_PROGRESSAO'!$AM$3:$AM$3</formula1>
    </dataValidation>
    <dataValidation sqref="CD14" showDropDown="0" showInputMessage="0" showErrorMessage="1" allowBlank="1" type="list" errorStyle="stop">
      <formula1>'DADOS_PROGRESSAO'!$AN$2:$AN$6</formula1>
    </dataValidation>
    <dataValidation sqref="BS25" showDropDown="0" showInputMessage="0" showErrorMessage="1" allowBlank="1" type="list" errorStyle="stop">
      <formula1>'DADOS_PROGRESSAO'!$AM$3:$AM$3</formula1>
    </dataValidation>
    <dataValidation sqref="BV28" showDropDown="0" showInputMessage="0" showErrorMessage="1" allowBlank="1" type="list" errorStyle="stop">
      <formula1>'DADOS_PROGRESSAO'!$AN$2:$AN$6</formula1>
    </dataValidation>
    <dataValidation sqref="CA25" showDropDown="0" showInputMessage="0" showErrorMessage="1" allowBlank="1" type="list" errorStyle="stop">
      <formula1>'DADOS_PROGRESSAO'!$AM$3:$AM$3</formula1>
    </dataValidation>
    <dataValidation sqref="CD28" showDropDown="0" showInputMessage="0" showErrorMessage="1" allowBlank="1" type="list" errorStyle="stop">
      <formula1>'DADOS_PROGRESSAO'!$AN$2:$AN$6</formula1>
    </dataValidation>
    <dataValidation sqref="BS39" showDropDown="0" showInputMessage="0" showErrorMessage="1" allowBlank="1" type="list" errorStyle="stop">
      <formula1>'DADOS_PROGRESSAO'!$AM$3:$AM$3</formula1>
    </dataValidation>
    <dataValidation sqref="BV42" showDropDown="0" showInputMessage="0" showErrorMessage="1" allowBlank="1" type="list" errorStyle="stop">
      <formula1>'DADOS_PROGRESSAO'!$AN$2:$AN$6</formula1>
    </dataValidation>
    <dataValidation sqref="CA39" showDropDown="0" showInputMessage="0" showErrorMessage="1" allowBlank="1" type="list" errorStyle="stop">
      <formula1>'DADOS_PROGRESSAO'!$AM$3:$AM$3</formula1>
    </dataValidation>
    <dataValidation sqref="CD42" showDropDown="0" showInputMessage="0" showErrorMessage="1" allowBlank="1" type="list" errorStyle="stop">
      <formula1>'DADOS_PROGRESSAO'!$AN$2:$AN$6</formula1>
    </dataValidation>
    <dataValidation sqref="BS53" showDropDown="0" showInputMessage="0" showErrorMessage="1" allowBlank="1" type="list" errorStyle="stop">
      <formula1>'DADOS_PROGRESSAO'!$AM$3:$AM$3</formula1>
    </dataValidation>
    <dataValidation sqref="BV56" showDropDown="0" showInputMessage="0" showErrorMessage="1" allowBlank="1" type="list" errorStyle="stop">
      <formula1>'DADOS_PROGRESSAO'!$AN$2:$AN$6</formula1>
    </dataValidation>
    <dataValidation sqref="CA53" showDropDown="0" showInputMessage="0" showErrorMessage="1" allowBlank="1" type="list" errorStyle="stop">
      <formula1>'DADOS_PROGRESSAO'!$AM$3:$AM$3</formula1>
    </dataValidation>
    <dataValidation sqref="CD56" showDropDown="0" showInputMessage="0" showErrorMessage="1" allowBlank="1" type="list" errorStyle="stop">
      <formula1>'DADOS_PROGRESSAO'!$AN$2:$AN$6</formula1>
    </dataValidation>
    <dataValidation sqref="BS67" showDropDown="0" showInputMessage="0" showErrorMessage="1" allowBlank="1" type="list" errorStyle="stop">
      <formula1>'DADOS_PROGRESSAO'!$AM$3:$AM$3</formula1>
    </dataValidation>
    <dataValidation sqref="BV70" showDropDown="0" showInputMessage="0" showErrorMessage="1" allowBlank="1" type="list" errorStyle="stop">
      <formula1>'DADOS_PROGRESSAO'!$AN$2:$AN$6</formula1>
    </dataValidation>
    <dataValidation sqref="CA67" showDropDown="0" showInputMessage="0" showErrorMessage="1" allowBlank="1" type="list" errorStyle="stop">
      <formula1>'DADOS_PROGRESSAO'!$AM$3:$AM$3</formula1>
    </dataValidation>
    <dataValidation sqref="CD70" showDropDown="0" showInputMessage="0" showErrorMessage="1" allowBlank="1" type="list" errorStyle="stop">
      <formula1>'DADOS_PROGRESSAO'!$AN$2:$AN$6</formula1>
    </dataValidation>
    <dataValidation sqref="G139" showDropDown="1" showInputMessage="0" showErrorMessage="0" allowBlank="1" type="custom" errorStyle="stop">
      <formula1>OR(ISBLANK(G139),IFERROR(AND(ISNUMBER(G139),G139&gt;=0,G139&lt;=9,INT(G139)=G139),FALSE))</formula1>
    </dataValidation>
    <dataValidation sqref="G140" showDropDown="1" showInputMessage="0" showErrorMessage="0" allowBlank="1" type="custom" errorStyle="stop">
      <formula1>OR(ISBLANK(G140),IFERROR(AND(ISNUMBER(G140),G140&gt;=0,G140&lt;=9,INT(G140)=G140),FALSE))</formula1>
    </dataValidation>
    <dataValidation sqref="G141" showDropDown="1" showInputMessage="0" showErrorMessage="0" allowBlank="1" type="custom" errorStyle="stop">
      <formula1>OR(ISBLANK(G141),IFERROR(AND(ISNUMBER(G141),G141&gt;=0,G141&lt;=9,INT(G141)=G141),FALSE))</formula1>
    </dataValidation>
    <dataValidation sqref="G142" showDropDown="1" showInputMessage="0" showErrorMessage="0" allowBlank="1" type="custom" errorStyle="stop">
      <formula1>OR(ISBLANK(G142),IFERROR(AND(ISNUMBER(G142),G142&gt;=0,G142&lt;=9,INT(G142)=G142),FALSE))</formula1>
    </dataValidation>
    <dataValidation sqref="G143" showDropDown="1" showInputMessage="0" showErrorMessage="0" allowBlank="1" type="custom" errorStyle="stop">
      <formula1>OR(ISBLANK(G143),IFERROR(AND(ISNUMBER(G143),G143&gt;=0,G143&lt;=9,INT(G143)=G143),FALSE))</formula1>
    </dataValidation>
    <dataValidation sqref="G144" showDropDown="1" showInputMessage="0" showErrorMessage="0" allowBlank="1" type="custom" errorStyle="stop">
      <formula1>OR(ISBLANK(G144),IFERROR(AND(ISNUMBER(G144),G144&gt;=0,G144&lt;=9,INT(G144)=G144),FALSE))</formula1>
    </dataValidation>
    <dataValidation sqref="G145" showDropDown="1" showInputMessage="0" showErrorMessage="0" allowBlank="1" type="custom" errorStyle="stop">
      <formula1>OR(ISBLANK(G145),IFERROR(AND(ISNUMBER(G145),G145&gt;=0,G145&lt;=9,INT(G145)=G145),FALSE))</formula1>
    </dataValidation>
    <dataValidation sqref="G157" showDropDown="1" showInputMessage="0" showErrorMessage="1" allowBlank="1" type="custom" errorStyle="stop">
      <formula1>OR(ISBLANK(G157),IFERROR(AND(ISNUMBER(G157),G157&gt;=0,INT(G157)=G157),FALSE))</formula1>
    </dataValidation>
    <dataValidation sqref="G158" showDropDown="1" showInputMessage="0" showErrorMessage="1" allowBlank="1" type="custom" errorStyle="stop">
      <formula1>OR(ISBLANK(G158),IFERROR(AND(ISNUMBER(G158),G158&gt;=0,INT(G158)=G158),FALSE))</formula1>
    </dataValidation>
    <dataValidation sqref="DD16" showDropDown="0" showInputMessage="0" showErrorMessage="1" allowBlank="1" type="list" errorStyle="stop">
      <formula1>'DADOS_MELHORIAS'!$BV$2:$BV$84</formula1>
    </dataValidation>
    <dataValidation sqref="DD17" showDropDown="0" showInputMessage="0" showErrorMessage="1" allowBlank="1" type="list" errorStyle="stop">
      <formula1>'DADOS_MELHORIAS'!$BM$2:$BM$21</formula1>
    </dataValidation>
    <dataValidation sqref="DD18" showDropDown="0" showInputMessage="0" showErrorMessage="1" allowBlank="1" type="list" errorStyle="stop">
      <formula1>'DADOS_MELHORIAS'!$BN$2:$BN$4</formula1>
    </dataValidation>
    <dataValidation sqref="DD19" showDropDown="0" showInputMessage="0" showErrorMessage="1" allowBlank="1" type="list" errorStyle="stop">
      <formula1>'DADOS_MELHORIAS'!$BO$2:$BO$3</formula1>
    </dataValidation>
    <dataValidation sqref="DL16" showDropDown="0" showInputMessage="0" showErrorMessage="1" allowBlank="1" type="list" errorStyle="stop">
      <formula1>'DADOS_MELHORIAS'!$BW$2:$BW$84</formula1>
    </dataValidation>
    <dataValidation sqref="DL17" showDropDown="0" showInputMessage="0" showErrorMessage="1" allowBlank="1" type="list" errorStyle="stop">
      <formula1>'DADOS_MELHORIAS'!$BM$2:$BM$21</formula1>
    </dataValidation>
    <dataValidation sqref="DL18" showDropDown="0" showInputMessage="0" showErrorMessage="1" allowBlank="1" type="list" errorStyle="stop">
      <formula1>'DADOS_MELHORIAS'!$BN$2:$BN$4</formula1>
    </dataValidation>
    <dataValidation sqref="DL19" showDropDown="0" showInputMessage="0" showErrorMessage="1" allowBlank="1" type="list" errorStyle="stop">
      <formula1>'DADOS_MELHORIAS'!$BO$2:$BO$3</formula1>
    </dataValidation>
    <dataValidation sqref="DD42" showDropDown="0" showInputMessage="0" showErrorMessage="1" allowBlank="1" type="list" errorStyle="stop">
      <formula1>'DADOS_MELHORIAS'!$BX$2:$BX$84</formula1>
    </dataValidation>
    <dataValidation sqref="DD43" showDropDown="0" showInputMessage="0" showErrorMessage="1" allowBlank="1" type="list" errorStyle="stop">
      <formula1>'DADOS_MELHORIAS'!$BM$2:$BM$21</formula1>
    </dataValidation>
    <dataValidation sqref="DD44" showDropDown="0" showInputMessage="0" showErrorMessage="1" allowBlank="1" type="list" errorStyle="stop">
      <formula1>'DADOS_MELHORIAS'!$BN$2:$BN$4</formula1>
    </dataValidation>
    <dataValidation sqref="DD45" showDropDown="0" showInputMessage="0" showErrorMessage="1" allowBlank="1" type="list" errorStyle="stop">
      <formula1>'DADOS_MELHORIAS'!$BO$2:$BO$3</formula1>
    </dataValidation>
    <dataValidation sqref="DL42" showDropDown="0" showInputMessage="0" showErrorMessage="1" allowBlank="1" type="list" errorStyle="stop">
      <formula1>'DADOS_MELHORIAS'!$BY$2:$BY$84</formula1>
    </dataValidation>
    <dataValidation sqref="DL43" showDropDown="0" showInputMessage="0" showErrorMessage="1" allowBlank="1" type="list" errorStyle="stop">
      <formula1>'DADOS_MELHORIAS'!$BM$2:$BM$21</formula1>
    </dataValidation>
    <dataValidation sqref="DL44" showDropDown="0" showInputMessage="0" showErrorMessage="1" allowBlank="1" type="list" errorStyle="stop">
      <formula1>'DADOS_MELHORIAS'!$BN$2:$BN$4</formula1>
    </dataValidation>
    <dataValidation sqref="DL45" showDropDown="0" showInputMessage="0" showErrorMessage="1" allowBlank="1" type="list" errorStyle="stop">
      <formula1>'DADOS_MELHORIAS'!$BO$2:$BO$3</formula1>
    </dataValidation>
    <dataValidation sqref="DD68" showDropDown="0" showInputMessage="0" showErrorMessage="1" allowBlank="1" type="list" errorStyle="stop">
      <formula1>'DADOS_MELHORIAS'!$BZ$2:$BZ$84</formula1>
    </dataValidation>
    <dataValidation sqref="DD69" showDropDown="0" showInputMessage="0" showErrorMessage="1" allowBlank="1" type="list" errorStyle="stop">
      <formula1>'DADOS_MELHORIAS'!$BM$2:$BM$21</formula1>
    </dataValidation>
    <dataValidation sqref="DD70" showDropDown="0" showInputMessage="0" showErrorMessage="1" allowBlank="1" type="list" errorStyle="stop">
      <formula1>'DADOS_MELHORIAS'!$BN$2:$BN$4</formula1>
    </dataValidation>
    <dataValidation sqref="DD71" showDropDown="0" showInputMessage="0" showErrorMessage="1" allowBlank="1" type="list" errorStyle="stop">
      <formula1>'DADOS_MELHORIAS'!$BO$2:$BO$3</formula1>
    </dataValidation>
    <dataValidation sqref="DL68" showDropDown="0" showInputMessage="0" showErrorMessage="1" allowBlank="1" type="list" errorStyle="stop">
      <formula1>'DADOS_MELHORIAS'!$CA$2:$CA$84</formula1>
    </dataValidation>
    <dataValidation sqref="DL69" showDropDown="0" showInputMessage="0" showErrorMessage="1" allowBlank="1" type="list" errorStyle="stop">
      <formula1>'DADOS_MELHORIAS'!$BM$2:$BM$21</formula1>
    </dataValidation>
    <dataValidation sqref="DL70" showDropDown="0" showInputMessage="0" showErrorMessage="1" allowBlank="1" type="list" errorStyle="stop">
      <formula1>'DADOS_MELHORIAS'!$BN$2:$BN$4</formula1>
    </dataValidation>
    <dataValidation sqref="DL71" showDropDown="0" showInputMessage="0" showErrorMessage="1" allowBlank="1" type="list" errorStyle="stop">
      <formula1>'DADOS_MELHORIAS'!$BO$2:$BO$3</formula1>
    </dataValidation>
    <dataValidation sqref="DD94" showDropDown="0" showInputMessage="0" showErrorMessage="1" allowBlank="1" type="list" errorStyle="stop">
      <formula1>'DADOS_MELHORIAS'!$CB$2:$CB$84</formula1>
    </dataValidation>
    <dataValidation sqref="DD95" showDropDown="0" showInputMessage="0" showErrorMessage="1" allowBlank="1" type="list" errorStyle="stop">
      <formula1>'DADOS_MELHORIAS'!$BM$2:$BM$21</formula1>
    </dataValidation>
    <dataValidation sqref="DD96" showDropDown="0" showInputMessage="0" showErrorMessage="1" allowBlank="1" type="list" errorStyle="stop">
      <formula1>'DADOS_MELHORIAS'!$BN$2:$BN$4</formula1>
    </dataValidation>
    <dataValidation sqref="DD97" showDropDown="0" showInputMessage="0" showErrorMessage="1" allowBlank="1" type="list" errorStyle="stop">
      <formula1>'DADOS_MELHORIAS'!$BO$2:$BO$3</formula1>
    </dataValidation>
    <dataValidation sqref="DL94" showDropDown="0" showInputMessage="0" showErrorMessage="1" allowBlank="1" type="list" errorStyle="stop">
      <formula1>'DADOS_MELHORIAS'!$CC$2:$CC$84</formula1>
    </dataValidation>
    <dataValidation sqref="DL95" showDropDown="0" showInputMessage="0" showErrorMessage="1" allowBlank="1" type="list" errorStyle="stop">
      <formula1>'DADOS_MELHORIAS'!$BM$2:$BM$21</formula1>
    </dataValidation>
    <dataValidation sqref="DL96" showDropDown="0" showInputMessage="0" showErrorMessage="1" allowBlank="1" type="list" errorStyle="stop">
      <formula1>'DADOS_MELHORIAS'!$BN$2:$BN$4</formula1>
    </dataValidation>
    <dataValidation sqref="DL97" showDropDown="0" showInputMessage="0" showErrorMessage="1" allowBlank="1" type="list" errorStyle="stop">
      <formula1>'DADOS_MELHORIAS'!$BO$2:$BO$3</formula1>
    </dataValidation>
    <dataValidation sqref="DD120" showDropDown="0" showInputMessage="0" showErrorMessage="1" allowBlank="1" type="list" errorStyle="stop">
      <formula1>'DADOS_MELHORIAS'!$CD$2:$CD$84</formula1>
    </dataValidation>
    <dataValidation sqref="DD121" showDropDown="0" showInputMessage="0" showErrorMessage="1" allowBlank="1" type="list" errorStyle="stop">
      <formula1>'DADOS_MELHORIAS'!$BM$2:$BM$21</formula1>
    </dataValidation>
    <dataValidation sqref="DD122" showDropDown="0" showInputMessage="0" showErrorMessage="1" allowBlank="1" type="list" errorStyle="stop">
      <formula1>'DADOS_MELHORIAS'!$BN$2:$BN$4</formula1>
    </dataValidation>
    <dataValidation sqref="DD123" showDropDown="0" showInputMessage="0" showErrorMessage="1" allowBlank="1" type="list" errorStyle="stop">
      <formula1>'DADOS_MELHORIAS'!$BO$2:$BO$3</formula1>
    </dataValidation>
    <dataValidation sqref="DL120" showDropDown="0" showInputMessage="0" showErrorMessage="1" allowBlank="1" type="list" errorStyle="stop">
      <formula1>'DADOS_MELHORIAS'!$CE$2:$CE$84</formula1>
    </dataValidation>
    <dataValidation sqref="DL121" showDropDown="0" showInputMessage="0" showErrorMessage="1" allowBlank="1" type="list" errorStyle="stop">
      <formula1>'DADOS_MELHORIAS'!$BM$2:$BM$21</formula1>
    </dataValidation>
    <dataValidation sqref="DL122" showDropDown="0" showInputMessage="0" showErrorMessage="1" allowBlank="1" type="list" errorStyle="stop">
      <formula1>'DADOS_MELHORIAS'!$BN$2:$BN$4</formula1>
    </dataValidation>
    <dataValidation sqref="DL123" showDropDown="0" showInputMessage="0" showErrorMessage="1" allowBlank="1" type="list" errorStyle="stop">
      <formula1>'DADOS_MELHORIAS'!$BO$2:$BO$3</formula1>
    </dataValidation>
    <dataValidation sqref="DD146" showDropDown="0" showInputMessage="0" showErrorMessage="1" allowBlank="1" type="list" errorStyle="stop">
      <formula1>'DADOS_MELHORIAS'!$CF$2:$CF$84</formula1>
    </dataValidation>
    <dataValidation sqref="DD147" showDropDown="0" showInputMessage="0" showErrorMessage="1" allowBlank="1" type="list" errorStyle="stop">
      <formula1>'DADOS_MELHORIAS'!$BM$2:$BM$21</formula1>
    </dataValidation>
    <dataValidation sqref="DD148" showDropDown="0" showInputMessage="0" showErrorMessage="1" allowBlank="1" type="list" errorStyle="stop">
      <formula1>'DADOS_MELHORIAS'!$BN$2:$BN$4</formula1>
    </dataValidation>
    <dataValidation sqref="DD149" showDropDown="0" showInputMessage="0" showErrorMessage="1" allowBlank="1" type="list" errorStyle="stop">
      <formula1>'DADOS_MELHORIAS'!$BO$2:$BO$3</formula1>
    </dataValidation>
    <dataValidation sqref="DL146" showDropDown="0" showInputMessage="0" showErrorMessage="1" allowBlank="1" type="list" errorStyle="stop">
      <formula1>'DADOS_MELHORIAS'!$CG$2:$CG$84</formula1>
    </dataValidation>
    <dataValidation sqref="DL147" showDropDown="0" showInputMessage="0" showErrorMessage="1" allowBlank="1" type="list" errorStyle="stop">
      <formula1>'DADOS_MELHORIAS'!$BM$2:$BM$21</formula1>
    </dataValidation>
    <dataValidation sqref="DL148" showDropDown="0" showInputMessage="0" showErrorMessage="1" allowBlank="1" type="list" errorStyle="stop">
      <formula1>'DADOS_MELHORIAS'!$BN$2:$BN$4</formula1>
    </dataValidation>
    <dataValidation sqref="DL149" showDropDown="0" showInputMessage="0" showErrorMessage="1" allowBlank="1" type="list" errorStyle="stop">
      <formula1>'DADOS_MELHORIAS'!$BO$2:$BO$3</formula1>
    </dataValidation>
    <dataValidation sqref="DD172" showDropDown="0" showInputMessage="0" showErrorMessage="1" allowBlank="1" type="list" errorStyle="stop">
      <formula1>'DADOS_MELHORIAS'!$CH$2:$CH$84</formula1>
    </dataValidation>
    <dataValidation sqref="DD173" showDropDown="0" showInputMessage="0" showErrorMessage="1" allowBlank="1" type="list" errorStyle="stop">
      <formula1>'DADOS_MELHORIAS'!$BM$2:$BM$21</formula1>
    </dataValidation>
    <dataValidation sqref="DD174" showDropDown="0" showInputMessage="0" showErrorMessage="1" allowBlank="1" type="list" errorStyle="stop">
      <formula1>'DADOS_MELHORIAS'!$BN$2:$BN$4</formula1>
    </dataValidation>
    <dataValidation sqref="DD175" showDropDown="0" showInputMessage="0" showErrorMessage="1" allowBlank="1" type="list" errorStyle="stop">
      <formula1>'DADOS_MELHORIAS'!$BO$2:$BO$3</formula1>
    </dataValidation>
    <dataValidation sqref="DL172" showDropDown="0" showInputMessage="0" showErrorMessage="1" allowBlank="1" type="list" errorStyle="stop">
      <formula1>'DADOS_MELHORIAS'!$CI$2:$CI$84</formula1>
    </dataValidation>
    <dataValidation sqref="DL173" showDropDown="0" showInputMessage="0" showErrorMessage="1" allowBlank="1" type="list" errorStyle="stop">
      <formula1>'DADOS_MELHORIAS'!$BM$2:$BM$21</formula1>
    </dataValidation>
    <dataValidation sqref="DL174" showDropDown="0" showInputMessage="0" showErrorMessage="1" allowBlank="1" type="list" errorStyle="stop">
      <formula1>'DADOS_MELHORIAS'!$BN$2:$BN$4</formula1>
    </dataValidation>
    <dataValidation sqref="DL175" showDropDown="0" showInputMessage="0" showErrorMessage="1" allowBlank="1" type="list" errorStyle="stop">
      <formula1>'DADOS_MELHORIAS'!$BO$2:$BO$3</formula1>
    </dataValidation>
    <dataValidation sqref="DD198" showDropDown="0" showInputMessage="0" showErrorMessage="1" allowBlank="1" type="list" errorStyle="stop">
      <formula1>'DADOS_MELHORIAS'!$CJ$2:$CJ$84</formula1>
    </dataValidation>
    <dataValidation sqref="DD199" showDropDown="0" showInputMessage="0" showErrorMessage="1" allowBlank="1" type="list" errorStyle="stop">
      <formula1>'DADOS_MELHORIAS'!$BM$2:$BM$21</formula1>
    </dataValidation>
    <dataValidation sqref="DD200" showDropDown="0" showInputMessage="0" showErrorMessage="1" allowBlank="1" type="list" errorStyle="stop">
      <formula1>'DADOS_MELHORIAS'!$BN$2:$BN$4</formula1>
    </dataValidation>
    <dataValidation sqref="DD201" showDropDown="0" showInputMessage="0" showErrorMessage="1" allowBlank="1" type="list" errorStyle="stop">
      <formula1>'DADOS_MELHORIAS'!$BO$2:$BO$3</formula1>
    </dataValidation>
    <dataValidation sqref="DL198" showDropDown="0" showInputMessage="0" showErrorMessage="1" allowBlank="1" type="list" errorStyle="stop">
      <formula1>'DADOS_MELHORIAS'!$CK$2:$CK$84</formula1>
    </dataValidation>
    <dataValidation sqref="DL199" showDropDown="0" showInputMessage="0" showErrorMessage="1" allowBlank="1" type="list" errorStyle="stop">
      <formula1>'DADOS_MELHORIAS'!$BM$2:$BM$21</formula1>
    </dataValidation>
    <dataValidation sqref="DL200" showDropDown="0" showInputMessage="0" showErrorMessage="1" allowBlank="1" type="list" errorStyle="stop">
      <formula1>'DADOS_MELHORIAS'!$BN$2:$BN$4</formula1>
    </dataValidation>
    <dataValidation sqref="DL201" showDropDown="0" showInputMessage="0" showErrorMessage="1" allowBlank="1" type="list" errorStyle="stop">
      <formula1>'DADOS_MELHORIAS'!$BO$2:$BO$3</formula1>
    </dataValidation>
    <dataValidation sqref="DD224" showDropDown="0" showInputMessage="0" showErrorMessage="1" allowBlank="1" type="list" errorStyle="stop">
      <formula1>'DADOS_MELHORIAS'!$CL$2:$CL$84</formula1>
    </dataValidation>
    <dataValidation sqref="DD225" showDropDown="0" showInputMessage="0" showErrorMessage="1" allowBlank="1" type="list" errorStyle="stop">
      <formula1>'DADOS_MELHORIAS'!$BM$2:$BM$21</formula1>
    </dataValidation>
    <dataValidation sqref="DD226" showDropDown="0" showInputMessage="0" showErrorMessage="1" allowBlank="1" type="list" errorStyle="stop">
      <formula1>'DADOS_MELHORIAS'!$BN$2:$BN$4</formula1>
    </dataValidation>
    <dataValidation sqref="DD227" showDropDown="0" showInputMessage="0" showErrorMessage="1" allowBlank="1" type="list" errorStyle="stop">
      <formula1>'DADOS_MELHORIAS'!$BO$2:$BO$3</formula1>
    </dataValidation>
    <dataValidation sqref="DL224" showDropDown="0" showInputMessage="0" showErrorMessage="1" allowBlank="1" type="list" errorStyle="stop">
      <formula1>'DADOS_MELHORIAS'!$CM$2:$CM$84</formula1>
    </dataValidation>
    <dataValidation sqref="DL225" showDropDown="0" showInputMessage="0" showErrorMessage="1" allowBlank="1" type="list" errorStyle="stop">
      <formula1>'DADOS_MELHORIAS'!$BM$2:$BM$21</formula1>
    </dataValidation>
    <dataValidation sqref="DL226" showDropDown="0" showInputMessage="0" showErrorMessage="1" allowBlank="1" type="list" errorStyle="stop">
      <formula1>'DADOS_MELHORIAS'!$BN$2:$BN$4</formula1>
    </dataValidation>
    <dataValidation sqref="DL227" showDropDown="0" showInputMessage="0" showErrorMessage="1" allowBlank="1" type="list" errorStyle="stop">
      <formula1>'DADOS_MELHORIAS'!$BO$2:$BO$3</formula1>
    </dataValidation>
    <dataValidation sqref="DD250" showDropDown="0" showInputMessage="0" showErrorMessage="1" allowBlank="1" type="list" errorStyle="stop">
      <formula1>'DADOS_MELHORIAS'!$CN$2:$CN$84</formula1>
    </dataValidation>
    <dataValidation sqref="DD251" showDropDown="0" showInputMessage="0" showErrorMessage="1" allowBlank="1" type="list" errorStyle="stop">
      <formula1>'DADOS_MELHORIAS'!$BM$2:$BM$21</formula1>
    </dataValidation>
    <dataValidation sqref="DD252" showDropDown="0" showInputMessage="0" showErrorMessage="1" allowBlank="1" type="list" errorStyle="stop">
      <formula1>'DADOS_MELHORIAS'!$BN$2:$BN$4</formula1>
    </dataValidation>
    <dataValidation sqref="DD253" showDropDown="0" showInputMessage="0" showErrorMessage="1" allowBlank="1" type="list" errorStyle="stop">
      <formula1>'DADOS_MELHORIAS'!$BO$2:$BO$3</formula1>
    </dataValidation>
    <dataValidation sqref="DL250" showDropDown="0" showInputMessage="0" showErrorMessage="1" allowBlank="1" type="list" errorStyle="stop">
      <formula1>'DADOS_MELHORIAS'!$CO$2:$CO$84</formula1>
    </dataValidation>
    <dataValidation sqref="DL251" showDropDown="0" showInputMessage="0" showErrorMessage="1" allowBlank="1" type="list" errorStyle="stop">
      <formula1>'DADOS_MELHORIAS'!$BM$2:$BM$21</formula1>
    </dataValidation>
    <dataValidation sqref="DL252" showDropDown="0" showInputMessage="0" showErrorMessage="1" allowBlank="1" type="list" errorStyle="stop">
      <formula1>'DADOS_MELHORIAS'!$BN$2:$BN$4</formula1>
    </dataValidation>
    <dataValidation sqref="DL253" showDropDown="0" showInputMessage="0" showErrorMessage="1" allowBlank="1" type="list" errorStyle="stop">
      <formula1>'DADOS_MELHORIAS'!$BO$2:$BO$3</formula1>
    </dataValidation>
    <dataValidation sqref="DD276" showDropDown="0" showInputMessage="0" showErrorMessage="1" allowBlank="1" type="list" errorStyle="stop">
      <formula1>'DADOS_MELHORIAS'!$CP$2:$CP$84</formula1>
    </dataValidation>
    <dataValidation sqref="DD277" showDropDown="0" showInputMessage="0" showErrorMessage="1" allowBlank="1" type="list" errorStyle="stop">
      <formula1>'DADOS_MELHORIAS'!$BM$2:$BM$21</formula1>
    </dataValidation>
    <dataValidation sqref="DD278" showDropDown="0" showInputMessage="0" showErrorMessage="1" allowBlank="1" type="list" errorStyle="stop">
      <formula1>'DADOS_MELHORIAS'!$BN$2:$BN$4</formula1>
    </dataValidation>
    <dataValidation sqref="DD279" showDropDown="0" showInputMessage="0" showErrorMessage="1" allowBlank="1" type="list" errorStyle="stop">
      <formula1>'DADOS_MELHORIAS'!$BO$2:$BO$3</formula1>
    </dataValidation>
    <dataValidation sqref="DL276" showDropDown="0" showInputMessage="0" showErrorMessage="1" allowBlank="1" type="list" errorStyle="stop">
      <formula1>'DADOS_MELHORIAS'!$CQ$2:$CQ$84</formula1>
    </dataValidation>
    <dataValidation sqref="DL277" showDropDown="0" showInputMessage="0" showErrorMessage="1" allowBlank="1" type="list" errorStyle="stop">
      <formula1>'DADOS_MELHORIAS'!$BM$2:$BM$21</formula1>
    </dataValidation>
    <dataValidation sqref="DL278" showDropDown="0" showInputMessage="0" showErrorMessage="1" allowBlank="1" type="list" errorStyle="stop">
      <formula1>'DADOS_MELHORIAS'!$BN$2:$BN$4</formula1>
    </dataValidation>
    <dataValidation sqref="DL279" showDropDown="0" showInputMessage="0" showErrorMessage="1" allowBlank="1" type="list" errorStyle="stop">
      <formula1>'DADOS_MELHORIAS'!$BO$2:$BO$3</formula1>
    </dataValidation>
    <dataValidation sqref="DD302" showDropDown="0" showInputMessage="0" showErrorMessage="1" allowBlank="1" type="list" errorStyle="stop">
      <formula1>'DADOS_MELHORIAS'!$CR$2:$CR$84</formula1>
    </dataValidation>
    <dataValidation sqref="DD303" showDropDown="0" showInputMessage="0" showErrorMessage="1" allowBlank="1" type="list" errorStyle="stop">
      <formula1>'DADOS_MELHORIAS'!$BM$2:$BM$21</formula1>
    </dataValidation>
    <dataValidation sqref="DD304" showDropDown="0" showInputMessage="0" showErrorMessage="1" allowBlank="1" type="list" errorStyle="stop">
      <formula1>'DADOS_MELHORIAS'!$BN$2:$BN$4</formula1>
    </dataValidation>
    <dataValidation sqref="DD305" showDropDown="0" showInputMessage="0" showErrorMessage="1" allowBlank="1" type="list" errorStyle="stop">
      <formula1>'DADOS_MELHORIAS'!$BO$2:$BO$3</formula1>
    </dataValidation>
    <dataValidation sqref="DL302" showDropDown="0" showInputMessage="0" showErrorMessage="1" allowBlank="1" type="list" errorStyle="stop">
      <formula1>'DADOS_MELHORIAS'!$CS$2:$CS$84</formula1>
    </dataValidation>
    <dataValidation sqref="DL303" showDropDown="0" showInputMessage="0" showErrorMessage="1" allowBlank="1" type="list" errorStyle="stop">
      <formula1>'DADOS_MELHORIAS'!$BM$2:$BM$21</formula1>
    </dataValidation>
    <dataValidation sqref="DL304" showDropDown="0" showInputMessage="0" showErrorMessage="1" allowBlank="1" type="list" errorStyle="stop">
      <formula1>'DADOS_MELHORIAS'!$BN$2:$BN$4</formula1>
    </dataValidation>
    <dataValidation sqref="DL305" showDropDown="0" showInputMessage="0" showErrorMessage="1" allowBlank="1" type="list" errorStyle="stop">
      <formula1>'DADOS_MELHORIAS'!$BO$2:$BO$3</formula1>
    </dataValidation>
    <dataValidation sqref="DD328" showDropDown="0" showInputMessage="0" showErrorMessage="1" allowBlank="1" type="list" errorStyle="stop">
      <formula1>'DADOS_MELHORIAS'!$CT$2:$CT$84</formula1>
    </dataValidation>
    <dataValidation sqref="DD329" showDropDown="0" showInputMessage="0" showErrorMessage="1" allowBlank="1" type="list" errorStyle="stop">
      <formula1>'DADOS_MELHORIAS'!$BM$2:$BM$21</formula1>
    </dataValidation>
    <dataValidation sqref="DD330" showDropDown="0" showInputMessage="0" showErrorMessage="1" allowBlank="1" type="list" errorStyle="stop">
      <formula1>'DADOS_MELHORIAS'!$BN$2:$BN$4</formula1>
    </dataValidation>
    <dataValidation sqref="DD331" showDropDown="0" showInputMessage="0" showErrorMessage="1" allowBlank="1" type="list" errorStyle="stop">
      <formula1>'DADOS_MELHORIAS'!$BO$2:$BO$3</formula1>
    </dataValidation>
    <dataValidation sqref="DL328" showDropDown="0" showInputMessage="0" showErrorMessage="1" allowBlank="1" type="list" errorStyle="stop">
      <formula1>'DADOS_MELHORIAS'!$CU$2:$CU$84</formula1>
    </dataValidation>
    <dataValidation sqref="DL329" showDropDown="0" showInputMessage="0" showErrorMessage="1" allowBlank="1" type="list" errorStyle="stop">
      <formula1>'DADOS_MELHORIAS'!$BM$2:$BM$21</formula1>
    </dataValidation>
    <dataValidation sqref="DL330" showDropDown="0" showInputMessage="0" showErrorMessage="1" allowBlank="1" type="list" errorStyle="stop">
      <formula1>'DADOS_MELHORIAS'!$BN$2:$BN$4</formula1>
    </dataValidation>
    <dataValidation sqref="DL331" showDropDown="0" showInputMessage="0" showErrorMessage="1" allowBlank="1" type="list" errorStyle="stop">
      <formula1>'DADOS_MELHORIAS'!$BO$2:$BO$3</formula1>
    </dataValidation>
    <dataValidation sqref="DD354" showDropDown="0" showInputMessage="0" showErrorMessage="1" allowBlank="1" type="list" errorStyle="stop">
      <formula1>'DADOS_MELHORIAS'!$CV$2:$CV$84</formula1>
    </dataValidation>
    <dataValidation sqref="DD355" showDropDown="0" showInputMessage="0" showErrorMessage="1" allowBlank="1" type="list" errorStyle="stop">
      <formula1>'DADOS_MELHORIAS'!$BM$2:$BM$21</formula1>
    </dataValidation>
    <dataValidation sqref="DD356" showDropDown="0" showInputMessage="0" showErrorMessage="1" allowBlank="1" type="list" errorStyle="stop">
      <formula1>'DADOS_MELHORIAS'!$BN$2:$BN$4</formula1>
    </dataValidation>
    <dataValidation sqref="DD357" showDropDown="0" showInputMessage="0" showErrorMessage="1" allowBlank="1" type="list" errorStyle="stop">
      <formula1>'DADOS_MELHORIAS'!$BO$2:$BO$3</formula1>
    </dataValidation>
    <dataValidation sqref="DL354" showDropDown="0" showInputMessage="0" showErrorMessage="1" allowBlank="1" type="list" errorStyle="stop">
      <formula1>'DADOS_MELHORIAS'!$CW$2:$CW$84</formula1>
    </dataValidation>
    <dataValidation sqref="DL355" showDropDown="0" showInputMessage="0" showErrorMessage="1" allowBlank="1" type="list" errorStyle="stop">
      <formula1>'DADOS_MELHORIAS'!$BM$2:$BM$21</formula1>
    </dataValidation>
    <dataValidation sqref="DL356" showDropDown="0" showInputMessage="0" showErrorMessage="1" allowBlank="1" type="list" errorStyle="stop">
      <formula1>'DADOS_MELHORIAS'!$BN$2:$BN$4</formula1>
    </dataValidation>
    <dataValidation sqref="DL357" showDropDown="0" showInputMessage="0" showErrorMessage="1" allowBlank="1" type="list" errorStyle="stop">
      <formula1>'DADOS_MELHORIAS'!$BO$2:$BO$3</formula1>
    </dataValidation>
    <dataValidation sqref="DD380" showDropDown="0" showInputMessage="0" showErrorMessage="1" allowBlank="1" type="list" errorStyle="stop">
      <formula1>'DADOS_MELHORIAS'!$CX$2:$CX$84</formula1>
    </dataValidation>
    <dataValidation sqref="DD381" showDropDown="0" showInputMessage="0" showErrorMessage="1" allowBlank="1" type="list" errorStyle="stop">
      <formula1>'DADOS_MELHORIAS'!$BM$2:$BM$21</formula1>
    </dataValidation>
    <dataValidation sqref="DD382" showDropDown="0" showInputMessage="0" showErrorMessage="1" allowBlank="1" type="list" errorStyle="stop">
      <formula1>'DADOS_MELHORIAS'!$BN$2:$BN$4</formula1>
    </dataValidation>
    <dataValidation sqref="DD383" showDropDown="0" showInputMessage="0" showErrorMessage="1" allowBlank="1" type="list" errorStyle="stop">
      <formula1>'DADOS_MELHORIAS'!$BO$2:$BO$3</formula1>
    </dataValidation>
    <dataValidation sqref="DL380" showDropDown="0" showInputMessage="0" showErrorMessage="1" allowBlank="1" type="list" errorStyle="stop">
      <formula1>'DADOS_MELHORIAS'!$CY$2:$CY$84</formula1>
    </dataValidation>
    <dataValidation sqref="DL381" showDropDown="0" showInputMessage="0" showErrorMessage="1" allowBlank="1" type="list" errorStyle="stop">
      <formula1>'DADOS_MELHORIAS'!$BM$2:$BM$21</formula1>
    </dataValidation>
    <dataValidation sqref="DL382" showDropDown="0" showInputMessage="0" showErrorMessage="1" allowBlank="1" type="list" errorStyle="stop">
      <formula1>'DADOS_MELHORIAS'!$BN$2:$BN$4</formula1>
    </dataValidation>
    <dataValidation sqref="DL383" showDropDown="0" showInputMessage="0" showErrorMessage="1" allowBlank="1" type="list" errorStyle="stop">
      <formula1>'DADOS_MELHORIAS'!$BO$2:$BO$3</formula1>
    </dataValidation>
    <dataValidation sqref="DU16" showDropDown="0" showInputMessage="0" showErrorMessage="1" allowBlank="1" type="list" errorStyle="stop">
      <formula1>'DADOS_RESTRICOES'!$V$2:$V$25</formula1>
    </dataValidation>
    <dataValidation sqref="DU17" showDropDown="0" showInputMessage="0" showErrorMessage="1" allowBlank="1" type="list" errorStyle="stop">
      <formula1>'DADOS_RESTRICOES'!$T$2:$T$3</formula1>
    </dataValidation>
    <dataValidation sqref="DU18" showDropDown="0" showInputMessage="0" showErrorMessage="1" allowBlank="1" type="list" errorStyle="stop">
      <formula1>'DADOS_RESTRICOES'!$U$2:$U$3</formula1>
    </dataValidation>
    <dataValidation sqref="EC16" showDropDown="0" showInputMessage="0" showErrorMessage="1" allowBlank="1" type="list" errorStyle="stop">
      <formula1>'DADOS_RESTRICOES'!$V$2:$V$25</formula1>
    </dataValidation>
    <dataValidation sqref="EC17" showDropDown="0" showInputMessage="0" showErrorMessage="1" allowBlank="1" type="list" errorStyle="stop">
      <formula1>'DADOS_RESTRICOES'!$T$2:$T$3</formula1>
    </dataValidation>
    <dataValidation sqref="EC18" showDropDown="0" showInputMessage="0" showErrorMessage="1" allowBlank="1" type="list" errorStyle="stop">
      <formula1>'DADOS_RESTRICOES'!$U$2:$U$3</formula1>
    </dataValidation>
    <dataValidation sqref="DU38" showDropDown="0" showInputMessage="0" showErrorMessage="1" allowBlank="1" type="list" errorStyle="stop">
      <formula1>'DADOS_RESTRICOES'!$V$2:$V$25</formula1>
    </dataValidation>
    <dataValidation sqref="DU39" showDropDown="0" showInputMessage="0" showErrorMessage="1" allowBlank="1" type="list" errorStyle="stop">
      <formula1>'DADOS_RESTRICOES'!$T$2:$T$3</formula1>
    </dataValidation>
    <dataValidation sqref="DU40" showDropDown="0" showInputMessage="0" showErrorMessage="1" allowBlank="1" type="list" errorStyle="stop">
      <formula1>'DADOS_RESTRICOES'!$U$2:$U$3</formula1>
    </dataValidation>
    <dataValidation sqref="EC38" showDropDown="0" showInputMessage="0" showErrorMessage="1" allowBlank="1" type="list" errorStyle="stop">
      <formula1>'DADOS_RESTRICOES'!$V$2:$V$25</formula1>
    </dataValidation>
    <dataValidation sqref="EC39" showDropDown="0" showInputMessage="0" showErrorMessage="1" allowBlank="1" type="list" errorStyle="stop">
      <formula1>'DADOS_RESTRICOES'!$T$2:$T$3</formula1>
    </dataValidation>
    <dataValidation sqref="EC40" showDropDown="0" showInputMessage="0" showErrorMessage="1" allowBlank="1" type="list" errorStyle="stop">
      <formula1>'DADOS_RESTRICOES'!$U$2:$U$3</formula1>
    </dataValidation>
    <dataValidation sqref="DU60" showDropDown="0" showInputMessage="0" showErrorMessage="1" allowBlank="1" type="list" errorStyle="stop">
      <formula1>'DADOS_RESTRICOES'!$V$2:$V$25</formula1>
    </dataValidation>
    <dataValidation sqref="DU61" showDropDown="0" showInputMessage="0" showErrorMessage="1" allowBlank="1" type="list" errorStyle="stop">
      <formula1>'DADOS_RESTRICOES'!$T$2:$T$3</formula1>
    </dataValidation>
    <dataValidation sqref="DU62" showDropDown="0" showInputMessage="0" showErrorMessage="1" allowBlank="1" type="list" errorStyle="stop">
      <formula1>'DADOS_RESTRICOES'!$U$2:$U$3</formula1>
    </dataValidation>
    <dataValidation sqref="EC60" showDropDown="0" showInputMessage="0" showErrorMessage="1" allowBlank="1" type="list" errorStyle="stop">
      <formula1>'DADOS_RESTRICOES'!$V$2:$V$25</formula1>
    </dataValidation>
    <dataValidation sqref="EC61" showDropDown="0" showInputMessage="0" showErrorMessage="1" allowBlank="1" type="list" errorStyle="stop">
      <formula1>'DADOS_RESTRICOES'!$T$2:$T$3</formula1>
    </dataValidation>
    <dataValidation sqref="EC62" showDropDown="0" showInputMessage="0" showErrorMessage="1" allowBlank="1" type="list" errorStyle="stop">
      <formula1>'DADOS_RESTRICOES'!$U$2:$U$3</formula1>
    </dataValidation>
    <dataValidation sqref="DU82" showDropDown="0" showInputMessage="0" showErrorMessage="1" allowBlank="1" type="list" errorStyle="stop">
      <formula1>'DADOS_RESTRICOES'!$V$2:$V$25</formula1>
    </dataValidation>
    <dataValidation sqref="DU83" showDropDown="0" showInputMessage="0" showErrorMessage="1" allowBlank="1" type="list" errorStyle="stop">
      <formula1>'DADOS_RESTRICOES'!$T$2:$T$3</formula1>
    </dataValidation>
    <dataValidation sqref="DU84" showDropDown="0" showInputMessage="0" showErrorMessage="1" allowBlank="1" type="list" errorStyle="stop">
      <formula1>'DADOS_RESTRICOES'!$U$2:$U$3</formula1>
    </dataValidation>
    <dataValidation sqref="EC82" showDropDown="0" showInputMessage="0" showErrorMessage="1" allowBlank="1" type="list" errorStyle="stop">
      <formula1>'DADOS_RESTRICOES'!$V$2:$V$25</formula1>
    </dataValidation>
    <dataValidation sqref="EC83" showDropDown="0" showInputMessage="0" showErrorMessage="1" allowBlank="1" type="list" errorStyle="stop">
      <formula1>'DADOS_RESTRICOES'!$T$2:$T$3</formula1>
    </dataValidation>
    <dataValidation sqref="EC84" showDropDown="0" showInputMessage="0" showErrorMessage="1" allowBlank="1" type="list" errorStyle="stop">
      <formula1>'DADOS_RESTRICOES'!$U$2:$U$3</formula1>
    </dataValidation>
    <dataValidation sqref="DU104" showDropDown="0" showInputMessage="0" showErrorMessage="1" allowBlank="1" type="list" errorStyle="stop">
      <formula1>'DADOS_RESTRICOES'!$V$2:$V$25</formula1>
    </dataValidation>
    <dataValidation sqref="DU105" showDropDown="0" showInputMessage="0" showErrorMessage="1" allowBlank="1" type="list" errorStyle="stop">
      <formula1>'DADOS_RESTRICOES'!$T$2:$T$3</formula1>
    </dataValidation>
    <dataValidation sqref="DU106" showDropDown="0" showInputMessage="0" showErrorMessage="1" allowBlank="1" type="list" errorStyle="stop">
      <formula1>'DADOS_RESTRICOES'!$U$2:$U$3</formula1>
    </dataValidation>
    <dataValidation sqref="EC104" showDropDown="0" showInputMessage="0" showErrorMessage="1" allowBlank="1" type="list" errorStyle="stop">
      <formula1>'DADOS_RESTRICOES'!$V$2:$V$25</formula1>
    </dataValidation>
    <dataValidation sqref="EC105" showDropDown="0" showInputMessage="0" showErrorMessage="1" allowBlank="1" type="list" errorStyle="stop">
      <formula1>'DADOS_RESTRICOES'!$T$2:$T$3</formula1>
    </dataValidation>
    <dataValidation sqref="EC106" showDropDown="0" showInputMessage="0" showErrorMessage="1" allowBlank="1" type="list" errorStyle="stop">
      <formula1>'DADOS_RESTRICOES'!$U$2:$U$3</formula1>
    </dataValidation>
    <dataValidation sqref="DU126" showDropDown="0" showInputMessage="0" showErrorMessage="1" allowBlank="1" type="list" errorStyle="stop">
      <formula1>'DADOS_RESTRICOES'!$V$2:$V$25</formula1>
    </dataValidation>
    <dataValidation sqref="DU127" showDropDown="0" showInputMessage="0" showErrorMessage="1" allowBlank="1" type="list" errorStyle="stop">
      <formula1>'DADOS_RESTRICOES'!$T$2:$T$3</formula1>
    </dataValidation>
    <dataValidation sqref="DU128" showDropDown="0" showInputMessage="0" showErrorMessage="1" allowBlank="1" type="list" errorStyle="stop">
      <formula1>'DADOS_RESTRICOES'!$U$2:$U$3</formula1>
    </dataValidation>
    <dataValidation sqref="EC126" showDropDown="0" showInputMessage="0" showErrorMessage="1" allowBlank="1" type="list" errorStyle="stop">
      <formula1>'DADOS_RESTRICOES'!$V$2:$V$25</formula1>
    </dataValidation>
    <dataValidation sqref="EC127" showDropDown="0" showInputMessage="0" showErrorMessage="1" allowBlank="1" type="list" errorStyle="stop">
      <formula1>'DADOS_RESTRICOES'!$T$2:$T$3</formula1>
    </dataValidation>
    <dataValidation sqref="EC128" showDropDown="0" showInputMessage="0" showErrorMessage="1" allowBlank="1" type="list" errorStyle="stop">
      <formula1>'DADOS_RESTRICOES'!$U$2:$U$3</formula1>
    </dataValidation>
    <dataValidation sqref="DU148" showDropDown="0" showInputMessage="0" showErrorMessage="1" allowBlank="1" type="list" errorStyle="stop">
      <formula1>'DADOS_RESTRICOES'!$V$2:$V$25</formula1>
    </dataValidation>
    <dataValidation sqref="DU149" showDropDown="0" showInputMessage="0" showErrorMessage="1" allowBlank="1" type="list" errorStyle="stop">
      <formula1>'DADOS_RESTRICOES'!$T$2:$T$3</formula1>
    </dataValidation>
    <dataValidation sqref="DU150" showDropDown="0" showInputMessage="0" showErrorMessage="1" allowBlank="1" type="list" errorStyle="stop">
      <formula1>'DADOS_RESTRICOES'!$U$2:$U$3</formula1>
    </dataValidation>
    <dataValidation sqref="EC148" showDropDown="0" showInputMessage="0" showErrorMessage="1" allowBlank="1" type="list" errorStyle="stop">
      <formula1>'DADOS_RESTRICOES'!$V$2:$V$25</formula1>
    </dataValidation>
    <dataValidation sqref="EC149" showDropDown="0" showInputMessage="0" showErrorMessage="1" allowBlank="1" type="list" errorStyle="stop">
      <formula1>'DADOS_RESTRICOES'!$T$2:$T$3</formula1>
    </dataValidation>
    <dataValidation sqref="EC150" showDropDown="0" showInputMessage="0" showErrorMessage="1" allowBlank="1" type="list" errorStyle="stop">
      <formula1>'DADOS_RESTRICOES'!$U$2:$U$3</formula1>
    </dataValidation>
    <dataValidation sqref="DU170" showDropDown="0" showInputMessage="0" showErrorMessage="1" allowBlank="1" type="list" errorStyle="stop">
      <formula1>'DADOS_RESTRICOES'!$V$2:$V$25</formula1>
    </dataValidation>
    <dataValidation sqref="DU171" showDropDown="0" showInputMessage="0" showErrorMessage="1" allowBlank="1" type="list" errorStyle="stop">
      <formula1>'DADOS_RESTRICOES'!$T$2:$T$3</formula1>
    </dataValidation>
    <dataValidation sqref="DU172" showDropDown="0" showInputMessage="0" showErrorMessage="1" allowBlank="1" type="list" errorStyle="stop">
      <formula1>'DADOS_RESTRICOES'!$U$2:$U$3</formula1>
    </dataValidation>
    <dataValidation sqref="EC170" showDropDown="0" showInputMessage="0" showErrorMessage="1" allowBlank="1" type="list" errorStyle="stop">
      <formula1>'DADOS_RESTRICOES'!$V$2:$V$25</formula1>
    </dataValidation>
    <dataValidation sqref="EC171" showDropDown="0" showInputMessage="0" showErrorMessage="1" allowBlank="1" type="list" errorStyle="stop">
      <formula1>'DADOS_RESTRICOES'!$T$2:$T$3</formula1>
    </dataValidation>
    <dataValidation sqref="EC172" showDropDown="0" showInputMessage="0" showErrorMessage="1" allowBlank="1" type="list" errorStyle="stop">
      <formula1>'DADOS_RESTRICOES'!$U$2:$U$3</formula1>
    </dataValidation>
    <dataValidation sqref="DU192" showDropDown="0" showInputMessage="0" showErrorMessage="1" allowBlank="1" type="list" errorStyle="stop">
      <formula1>'DADOS_RESTRICOES'!$V$2:$V$25</formula1>
    </dataValidation>
    <dataValidation sqref="DU193" showDropDown="0" showInputMessage="0" showErrorMessage="1" allowBlank="1" type="list" errorStyle="stop">
      <formula1>'DADOS_RESTRICOES'!$T$2:$T$3</formula1>
    </dataValidation>
    <dataValidation sqref="DU194" showDropDown="0" showInputMessage="0" showErrorMessage="1" allowBlank="1" type="list" errorStyle="stop">
      <formula1>'DADOS_RESTRICOES'!$U$2:$U$3</formula1>
    </dataValidation>
    <dataValidation sqref="EC192" showDropDown="0" showInputMessage="0" showErrorMessage="1" allowBlank="1" type="list" errorStyle="stop">
      <formula1>'DADOS_RESTRICOES'!$V$2:$V$25</formula1>
    </dataValidation>
    <dataValidation sqref="EC193" showDropDown="0" showInputMessage="0" showErrorMessage="1" allowBlank="1" type="list" errorStyle="stop">
      <formula1>'DADOS_RESTRICOES'!$T$2:$T$3</formula1>
    </dataValidation>
    <dataValidation sqref="EC194" showDropDown="0" showInputMessage="0" showErrorMessage="1" allowBlank="1" type="list" errorStyle="stop">
      <formula1>'DADOS_RESTRICOES'!$U$2:$U$3</formula1>
    </dataValidation>
    <dataValidation sqref="DU214" showDropDown="0" showInputMessage="0" showErrorMessage="1" allowBlank="1" type="list" errorStyle="stop">
      <formula1>'DADOS_RESTRICOES'!$V$2:$V$25</formula1>
    </dataValidation>
    <dataValidation sqref="DU215" showDropDown="0" showInputMessage="0" showErrorMessage="1" allowBlank="1" type="list" errorStyle="stop">
      <formula1>'DADOS_RESTRICOES'!$T$2:$T$3</formula1>
    </dataValidation>
    <dataValidation sqref="DU216" showDropDown="0" showInputMessage="0" showErrorMessage="1" allowBlank="1" type="list" errorStyle="stop">
      <formula1>'DADOS_RESTRICOES'!$U$2:$U$3</formula1>
    </dataValidation>
    <dataValidation sqref="EC214" showDropDown="0" showInputMessage="0" showErrorMessage="1" allowBlank="1" type="list" errorStyle="stop">
      <formula1>'DADOS_RESTRICOES'!$V$2:$V$25</formula1>
    </dataValidation>
    <dataValidation sqref="EC215" showDropDown="0" showInputMessage="0" showErrorMessage="1" allowBlank="1" type="list" errorStyle="stop">
      <formula1>'DADOS_RESTRICOES'!$T$2:$T$3</formula1>
    </dataValidation>
    <dataValidation sqref="EC216" showDropDown="0" showInputMessage="0" showErrorMessage="1" allowBlank="1" type="list" errorStyle="stop">
      <formula1>'DADOS_RESTRICOES'!$U$2:$U$3</formula1>
    </dataValidation>
    <dataValidation sqref="DU236" showDropDown="0" showInputMessage="0" showErrorMessage="1" allowBlank="1" type="list" errorStyle="stop">
      <formula1>'DADOS_RESTRICOES'!$V$2:$V$25</formula1>
    </dataValidation>
    <dataValidation sqref="DU237" showDropDown="0" showInputMessage="0" showErrorMessage="1" allowBlank="1" type="list" errorStyle="stop">
      <formula1>'DADOS_RESTRICOES'!$T$2:$T$3</formula1>
    </dataValidation>
    <dataValidation sqref="DU238" showDropDown="0" showInputMessage="0" showErrorMessage="1" allowBlank="1" type="list" errorStyle="stop">
      <formula1>'DADOS_RESTRICOES'!$U$2:$U$3</formula1>
    </dataValidation>
    <dataValidation sqref="EC236" showDropDown="0" showInputMessage="0" showErrorMessage="1" allowBlank="1" type="list" errorStyle="stop">
      <formula1>'DADOS_RESTRICOES'!$V$2:$V$25</formula1>
    </dataValidation>
    <dataValidation sqref="EC237" showDropDown="0" showInputMessage="0" showErrorMessage="1" allowBlank="1" type="list" errorStyle="stop">
      <formula1>'DADOS_RESTRICOES'!$T$2:$T$3</formula1>
    </dataValidation>
    <dataValidation sqref="EC238" showDropDown="0" showInputMessage="0" showErrorMessage="1" allowBlank="1" type="list" errorStyle="stop">
      <formula1>'DADOS_RESTRICOES'!$U$2:$U$3</formula1>
    </dataValidation>
    <dataValidation sqref="DU258" showDropDown="0" showInputMessage="0" showErrorMessage="1" allowBlank="1" type="list" errorStyle="stop">
      <formula1>'DADOS_RESTRICOES'!$V$2:$V$25</formula1>
    </dataValidation>
    <dataValidation sqref="DU259" showDropDown="0" showInputMessage="0" showErrorMessage="1" allowBlank="1" type="list" errorStyle="stop">
      <formula1>'DADOS_RESTRICOES'!$T$2:$T$3</formula1>
    </dataValidation>
    <dataValidation sqref="DU260" showDropDown="0" showInputMessage="0" showErrorMessage="1" allowBlank="1" type="list" errorStyle="stop">
      <formula1>'DADOS_RESTRICOES'!$U$2:$U$3</formula1>
    </dataValidation>
    <dataValidation sqref="EC258" showDropDown="0" showInputMessage="0" showErrorMessage="1" allowBlank="1" type="list" errorStyle="stop">
      <formula1>'DADOS_RESTRICOES'!$V$2:$V$25</formula1>
    </dataValidation>
    <dataValidation sqref="EC259" showDropDown="0" showInputMessage="0" showErrorMessage="1" allowBlank="1" type="list" errorStyle="stop">
      <formula1>'DADOS_RESTRICOES'!$T$2:$T$3</formula1>
    </dataValidation>
    <dataValidation sqref="EC260" showDropDown="0" showInputMessage="0" showErrorMessage="1" allowBlank="1" type="list" errorStyle="stop">
      <formula1>'DADOS_RESTRICOES'!$U$2:$U$3</formula1>
    </dataValidation>
    <dataValidation sqref="DU280" showDropDown="0" showInputMessage="0" showErrorMessage="1" allowBlank="1" type="list" errorStyle="stop">
      <formula1>'DADOS_RESTRICOES'!$V$2:$V$25</formula1>
    </dataValidation>
    <dataValidation sqref="DU281" showDropDown="0" showInputMessage="0" showErrorMessage="1" allowBlank="1" type="list" errorStyle="stop">
      <formula1>'DADOS_RESTRICOES'!$T$2:$T$3</formula1>
    </dataValidation>
    <dataValidation sqref="DU282" showDropDown="0" showInputMessage="0" showErrorMessage="1" allowBlank="1" type="list" errorStyle="stop">
      <formula1>'DADOS_RESTRICOES'!$U$2:$U$3</formula1>
    </dataValidation>
    <dataValidation sqref="EC280" showDropDown="0" showInputMessage="0" showErrorMessage="1" allowBlank="1" type="list" errorStyle="stop">
      <formula1>'DADOS_RESTRICOES'!$V$2:$V$25</formula1>
    </dataValidation>
    <dataValidation sqref="EC281" showDropDown="0" showInputMessage="0" showErrorMessage="1" allowBlank="1" type="list" errorStyle="stop">
      <formula1>'DADOS_RESTRICOES'!$T$2:$T$3</formula1>
    </dataValidation>
    <dataValidation sqref="EC282" showDropDown="0" showInputMessage="0" showErrorMessage="1" allowBlank="1" type="list" errorStyle="stop">
      <formula1>'DADOS_RESTRICOES'!$U$2:$U$3</formula1>
    </dataValidation>
    <dataValidation sqref="DU302" showDropDown="0" showInputMessage="0" showErrorMessage="1" allowBlank="1" type="list" errorStyle="stop">
      <formula1>'DADOS_RESTRICOES'!$V$2:$V$25</formula1>
    </dataValidation>
    <dataValidation sqref="DU303" showDropDown="0" showInputMessage="0" showErrorMessage="1" allowBlank="1" type="list" errorStyle="stop">
      <formula1>'DADOS_RESTRICOES'!$T$2:$T$3</formula1>
    </dataValidation>
    <dataValidation sqref="DU304" showDropDown="0" showInputMessage="0" showErrorMessage="1" allowBlank="1" type="list" errorStyle="stop">
      <formula1>'DADOS_RESTRICOES'!$U$2:$U$3</formula1>
    </dataValidation>
    <dataValidation sqref="EC302" showDropDown="0" showInputMessage="0" showErrorMessage="1" allowBlank="1" type="list" errorStyle="stop">
      <formula1>'DADOS_RESTRICOES'!$V$2:$V$25</formula1>
    </dataValidation>
    <dataValidation sqref="EC303" showDropDown="0" showInputMessage="0" showErrorMessage="1" allowBlank="1" type="list" errorStyle="stop">
      <formula1>'DADOS_RESTRICOES'!$T$2:$T$3</formula1>
    </dataValidation>
    <dataValidation sqref="EC304" showDropDown="0" showInputMessage="0" showErrorMessage="1" allowBlank="1" type="list" errorStyle="stop">
      <formula1>'DADOS_RESTRICOES'!$U$2:$U$3</formula1>
    </dataValidation>
    <dataValidation sqref="DU324" showDropDown="0" showInputMessage="0" showErrorMessage="1" allowBlank="1" type="list" errorStyle="stop">
      <formula1>'DADOS_RESTRICOES'!$V$2:$V$25</formula1>
    </dataValidation>
    <dataValidation sqref="DU325" showDropDown="0" showInputMessage="0" showErrorMessage="1" allowBlank="1" type="list" errorStyle="stop">
      <formula1>'DADOS_RESTRICOES'!$T$2:$T$3</formula1>
    </dataValidation>
    <dataValidation sqref="DU326" showDropDown="0" showInputMessage="0" showErrorMessage="1" allowBlank="1" type="list" errorStyle="stop">
      <formula1>'DADOS_RESTRICOES'!$U$2:$U$3</formula1>
    </dataValidation>
    <dataValidation sqref="EC324" showDropDown="0" showInputMessage="0" showErrorMessage="1" allowBlank="1" type="list" errorStyle="stop">
      <formula1>'DADOS_RESTRICOES'!$V$2:$V$25</formula1>
    </dataValidation>
    <dataValidation sqref="EC325" showDropDown="0" showInputMessage="0" showErrorMessage="1" allowBlank="1" type="list" errorStyle="stop">
      <formula1>'DADOS_RESTRICOES'!$T$2:$T$3</formula1>
    </dataValidation>
    <dataValidation sqref="EC326" showDropDown="0" showInputMessage="0" showErrorMessage="1" allowBlank="1" type="list" errorStyle="stop">
      <formula1>'DADOS_RESTRICOES'!$U$2:$U$3</formula1>
    </dataValidation>
    <dataValidation sqref="DA13" showDropDown="0" showInputMessage="0" showErrorMessage="1" allowBlank="1" type="list" errorStyle="stop">
      <formula1>'DADOS_MELHORIAS'!$BT$2:$BT$3</formula1>
    </dataValidation>
    <dataValidation sqref="DI13" showDropDown="0" showInputMessage="0" showErrorMessage="1" allowBlank="1" type="list" errorStyle="stop">
      <formula1>'DADOS_MELHORIAS'!$BT$2:$BT$3</formula1>
    </dataValidation>
    <dataValidation sqref="DA39" showDropDown="0" showInputMessage="0" showErrorMessage="1" allowBlank="1" type="list" errorStyle="stop">
      <formula1>'DADOS_MELHORIAS'!$BT$2:$BT$3</formula1>
    </dataValidation>
    <dataValidation sqref="DI39" showDropDown="0" showInputMessage="0" showErrorMessage="1" allowBlank="1" type="list" errorStyle="stop">
      <formula1>'DADOS_MELHORIAS'!$BT$2:$BT$3</formula1>
    </dataValidation>
    <dataValidation sqref="DA65" showDropDown="0" showInputMessage="0" showErrorMessage="1" allowBlank="1" type="list" errorStyle="stop">
      <formula1>'DADOS_MELHORIAS'!$BT$2:$BT$3</formula1>
    </dataValidation>
    <dataValidation sqref="DI65" showDropDown="0" showInputMessage="0" showErrorMessage="1" allowBlank="1" type="list" errorStyle="stop">
      <formula1>'DADOS_MELHORIAS'!$BT$2:$BT$3</formula1>
    </dataValidation>
    <dataValidation sqref="DA91" showDropDown="0" showInputMessage="0" showErrorMessage="1" allowBlank="1" type="list" errorStyle="stop">
      <formula1>'DADOS_MELHORIAS'!$BT$2:$BT$3</formula1>
    </dataValidation>
    <dataValidation sqref="DI91" showDropDown="0" showInputMessage="0" showErrorMessage="1" allowBlank="1" type="list" errorStyle="stop">
      <formula1>'DADOS_MELHORIAS'!$BT$2:$BT$3</formula1>
    </dataValidation>
    <dataValidation sqref="DA117" showDropDown="0" showInputMessage="0" showErrorMessage="1" allowBlank="1" type="list" errorStyle="stop">
      <formula1>'DADOS_MELHORIAS'!$BT$2:$BT$3</formula1>
    </dataValidation>
    <dataValidation sqref="DI117" showDropDown="0" showInputMessage="0" showErrorMessage="1" allowBlank="1" type="list" errorStyle="stop">
      <formula1>'DADOS_MELHORIAS'!$BT$2:$BT$3</formula1>
    </dataValidation>
    <dataValidation sqref="DA143" showDropDown="0" showInputMessage="0" showErrorMessage="1" allowBlank="1" type="list" errorStyle="stop">
      <formula1>'DADOS_MELHORIAS'!$BT$2:$BT$3</formula1>
    </dataValidation>
    <dataValidation sqref="DI143" showDropDown="0" showInputMessage="0" showErrorMessage="1" allowBlank="1" type="list" errorStyle="stop">
      <formula1>'DADOS_MELHORIAS'!$BT$2:$BT$3</formula1>
    </dataValidation>
    <dataValidation sqref="DA169" showDropDown="0" showInputMessage="0" showErrorMessage="1" allowBlank="1" type="list" errorStyle="stop">
      <formula1>'DADOS_MELHORIAS'!$BT$2:$BT$3</formula1>
    </dataValidation>
    <dataValidation sqref="DI169" showDropDown="0" showInputMessage="0" showErrorMessage="1" allowBlank="1" type="list" errorStyle="stop">
      <formula1>'DADOS_MELHORIAS'!$BT$2:$BT$3</formula1>
    </dataValidation>
    <dataValidation sqref="DA195" showDropDown="0" showInputMessage="0" showErrorMessage="1" allowBlank="1" type="list" errorStyle="stop">
      <formula1>'DADOS_MELHORIAS'!$BT$2:$BT$3</formula1>
    </dataValidation>
    <dataValidation sqref="DI195" showDropDown="0" showInputMessage="0" showErrorMessage="1" allowBlank="1" type="list" errorStyle="stop">
      <formula1>'DADOS_MELHORIAS'!$BT$2:$BT$3</formula1>
    </dataValidation>
    <dataValidation sqref="DA221" showDropDown="0" showInputMessage="0" showErrorMessage="1" allowBlank="1" type="list" errorStyle="stop">
      <formula1>'DADOS_MELHORIAS'!$BT$2:$BT$3</formula1>
    </dataValidation>
    <dataValidation sqref="DI221" showDropDown="0" showInputMessage="0" showErrorMessage="1" allowBlank="1" type="list" errorStyle="stop">
      <formula1>'DADOS_MELHORIAS'!$BT$2:$BT$3</formula1>
    </dataValidation>
    <dataValidation sqref="DA247" showDropDown="0" showInputMessage="0" showErrorMessage="1" allowBlank="1" type="list" errorStyle="stop">
      <formula1>'DADOS_MELHORIAS'!$BT$2:$BT$3</formula1>
    </dataValidation>
    <dataValidation sqref="DI247" showDropDown="0" showInputMessage="0" showErrorMessage="1" allowBlank="1" type="list" errorStyle="stop">
      <formula1>'DADOS_MELHORIAS'!$BT$2:$BT$3</formula1>
    </dataValidation>
    <dataValidation sqref="DA273" showDropDown="0" showInputMessage="0" showErrorMessage="1" allowBlank="1" type="list" errorStyle="stop">
      <formula1>'DADOS_MELHORIAS'!$BT$2:$BT$3</formula1>
    </dataValidation>
    <dataValidation sqref="DI273" showDropDown="0" showInputMessage="0" showErrorMessage="1" allowBlank="1" type="list" errorStyle="stop">
      <formula1>'DADOS_MELHORIAS'!$BT$2:$BT$3</formula1>
    </dataValidation>
    <dataValidation sqref="DA299" showDropDown="0" showInputMessage="0" showErrorMessage="1" allowBlank="1" type="list" errorStyle="stop">
      <formula1>'DADOS_MELHORIAS'!$BT$2:$BT$3</formula1>
    </dataValidation>
    <dataValidation sqref="DI299" showDropDown="0" showInputMessage="0" showErrorMessage="1" allowBlank="1" type="list" errorStyle="stop">
      <formula1>'DADOS_MELHORIAS'!$BT$2:$BT$3</formula1>
    </dataValidation>
    <dataValidation sqref="DA325" showDropDown="0" showInputMessage="0" showErrorMessage="1" allowBlank="1" type="list" errorStyle="stop">
      <formula1>'DADOS_MELHORIAS'!$BT$2:$BT$3</formula1>
    </dataValidation>
    <dataValidation sqref="DI325" showDropDown="0" showInputMessage="0" showErrorMessage="1" allowBlank="1" type="list" errorStyle="stop">
      <formula1>'DADOS_MELHORIAS'!$BT$2:$BT$3</formula1>
    </dataValidation>
    <dataValidation sqref="DA351" showDropDown="0" showInputMessage="0" showErrorMessage="1" allowBlank="1" type="list" errorStyle="stop">
      <formula1>'DADOS_MELHORIAS'!$BT$2:$BT$3</formula1>
    </dataValidation>
    <dataValidation sqref="DI351" showDropDown="0" showInputMessage="0" showErrorMessage="1" allowBlank="1" type="list" errorStyle="stop">
      <formula1>'DADOS_MELHORIAS'!$BT$2:$BT$3</formula1>
    </dataValidation>
    <dataValidation sqref="DA377" showDropDown="0" showInputMessage="0" showErrorMessage="1" allowBlank="1" type="list" errorStyle="stop">
      <formula1>'DADOS_MELHORIAS'!$BT$2:$BT$3</formula1>
    </dataValidation>
    <dataValidation sqref="DI377" showDropDown="0" showInputMessage="0" showErrorMessage="1" allowBlank="1" type="list" errorStyle="stop">
      <formula1>'DADOS_MELHORIAS'!$BT$2:$BT$3</formula1>
    </dataValidation>
    <dataValidation sqref="EZ14" showDropDown="0" showInputMessage="0" showErrorMessage="1" allowBlank="1" type="list" errorStyle="stop">
      <formula1>'DADOS_FORMAS'!$JQ$2:$JQ$2</formula1>
    </dataValidation>
    <dataValidation sqref="FC17" showDropDown="0" showInputMessage="0" showErrorMessage="1" allowBlank="1" type="list" errorStyle="stop">
      <formula1>'DADOS_FORMAS'!$JR$2:$JR$12</formula1>
    </dataValidation>
    <dataValidation sqref="FC19" showDropDown="0" showInputMessage="0" showErrorMessage="1" allowBlank="1" type="list" errorStyle="stop">
      <formula1>'DADOS_FORMAS'!$JS$2:$JS$5</formula1>
    </dataValidation>
    <dataValidation sqref="FC20" showDropDown="0" showInputMessage="0" showErrorMessage="1" allowBlank="1" type="list" errorStyle="stop">
      <formula1>'DADOS_FORMAS'!$JT$2:$JT$4</formula1>
    </dataValidation>
    <dataValidation sqref="FC21" showDropDown="0" showInputMessage="0" showErrorMessage="1" allowBlank="1" type="list" errorStyle="stop">
      <formula1>'DADOS_FORMAS'!$JU$2:$JU$5</formula1>
    </dataValidation>
    <dataValidation sqref="FC22" showDropDown="0" showInputMessage="0" showErrorMessage="1" allowBlank="1" type="list" errorStyle="stop">
      <formula1>'DADOS_FORMAS'!$JV$2:$JV$3</formula1>
    </dataValidation>
    <dataValidation sqref="FC23" showDropDown="0" showInputMessage="0" showErrorMessage="1" allowBlank="1" type="list" errorStyle="stop">
      <formula1>'DADOS_FORMAS'!$JW$2:$JW$3</formula1>
    </dataValidation>
    <dataValidation sqref="FC25" showDropDown="0" showInputMessage="0" showErrorMessage="1" allowBlank="1" type="list" errorStyle="stop">
      <formula1>'DADOS_FORMAS'!$JX$2:$JX$3</formula1>
    </dataValidation>
    <dataValidation sqref="FC26" showDropDown="0" showInputMessage="0" showErrorMessage="1" allowBlank="1" type="list" errorStyle="stop">
      <formula1>'DADOS_FORMAS'!$JY$2:$JY$4</formula1>
    </dataValidation>
    <dataValidation sqref="FH14" showDropDown="0" showInputMessage="0" showErrorMessage="1" allowBlank="1" type="list" errorStyle="stop">
      <formula1>'DADOS_FORMAS'!$JQ$2:$JQ$2</formula1>
    </dataValidation>
    <dataValidation sqref="FK17" showDropDown="0" showInputMessage="0" showErrorMessage="1" allowBlank="1" type="list" errorStyle="stop">
      <formula1>'DADOS_FORMAS'!$JR$2:$JR$12</formula1>
    </dataValidation>
    <dataValidation sqref="FK19" showDropDown="0" showInputMessage="0" showErrorMessage="1" allowBlank="1" type="list" errorStyle="stop">
      <formula1>'DADOS_FORMAS'!$JS$2:$JS$5</formula1>
    </dataValidation>
    <dataValidation sqref="FK20" showDropDown="0" showInputMessage="0" showErrorMessage="1" allowBlank="1" type="list" errorStyle="stop">
      <formula1>'DADOS_FORMAS'!$JT$2:$JT$4</formula1>
    </dataValidation>
    <dataValidation sqref="FK21" showDropDown="0" showInputMessage="0" showErrorMessage="1" allowBlank="1" type="list" errorStyle="stop">
      <formula1>'DADOS_FORMAS'!$JU$2:$JU$5</formula1>
    </dataValidation>
    <dataValidation sqref="FK22" showDropDown="0" showInputMessage="0" showErrorMessage="1" allowBlank="1" type="list" errorStyle="stop">
      <formula1>'DADOS_FORMAS'!$JV$2:$JV$3</formula1>
    </dataValidation>
    <dataValidation sqref="FK23" showDropDown="0" showInputMessage="0" showErrorMessage="1" allowBlank="1" type="list" errorStyle="stop">
      <formula1>'DADOS_FORMAS'!$JW$2:$JW$3</formula1>
    </dataValidation>
    <dataValidation sqref="FK25" showDropDown="0" showInputMessage="0" showErrorMessage="1" allowBlank="1" type="list" errorStyle="stop">
      <formula1>'DADOS_FORMAS'!$JX$2:$JX$3</formula1>
    </dataValidation>
    <dataValidation sqref="FK26" showDropDown="0" showInputMessage="0" showErrorMessage="1" allowBlank="1" type="list" errorStyle="stop">
      <formula1>'DADOS_FORMAS'!$JY$2:$JY$4</formula1>
    </dataValidation>
    <dataValidation sqref="EZ60" showDropDown="0" showInputMessage="0" showErrorMessage="1" allowBlank="1" type="list" errorStyle="stop">
      <formula1>'DADOS_FORMAS'!$JQ$2:$JQ$2</formula1>
    </dataValidation>
    <dataValidation sqref="FC63" showDropDown="0" showInputMessage="0" showErrorMessage="1" allowBlank="1" type="list" errorStyle="stop">
      <formula1>'DADOS_FORMAS'!$JR$2:$JR$12</formula1>
    </dataValidation>
    <dataValidation sqref="FC65" showDropDown="0" showInputMessage="0" showErrorMessage="1" allowBlank="1" type="list" errorStyle="stop">
      <formula1>'DADOS_FORMAS'!$JS$2:$JS$5</formula1>
    </dataValidation>
    <dataValidation sqref="FC66" showDropDown="0" showInputMessage="0" showErrorMessage="1" allowBlank="1" type="list" errorStyle="stop">
      <formula1>'DADOS_FORMAS'!$JT$2:$JT$4</formula1>
    </dataValidation>
    <dataValidation sqref="FC67" showDropDown="0" showInputMessage="0" showErrorMessage="1" allowBlank="1" type="list" errorStyle="stop">
      <formula1>'DADOS_FORMAS'!$JU$2:$JU$5</formula1>
    </dataValidation>
    <dataValidation sqref="FC68" showDropDown="0" showInputMessage="0" showErrorMessage="1" allowBlank="1" type="list" errorStyle="stop">
      <formula1>'DADOS_FORMAS'!$JV$2:$JV$3</formula1>
    </dataValidation>
    <dataValidation sqref="FC69" showDropDown="0" showInputMessage="0" showErrorMessage="1" allowBlank="1" type="list" errorStyle="stop">
      <formula1>'DADOS_FORMAS'!$JW$2:$JW$3</formula1>
    </dataValidation>
    <dataValidation sqref="FC71" showDropDown="0" showInputMessage="0" showErrorMessage="1" allowBlank="1" type="list" errorStyle="stop">
      <formula1>'DADOS_FORMAS'!$JX$2:$JX$3</formula1>
    </dataValidation>
    <dataValidation sqref="FC72" showDropDown="0" showInputMessage="0" showErrorMessage="1" allowBlank="1" type="list" errorStyle="stop">
      <formula1>'DADOS_FORMAS'!$JY$2:$JY$4</formula1>
    </dataValidation>
    <dataValidation sqref="FH60" showDropDown="0" showInputMessage="0" showErrorMessage="1" allowBlank="1" type="list" errorStyle="stop">
      <formula1>'DADOS_FORMAS'!$JQ$2:$JQ$2</formula1>
    </dataValidation>
    <dataValidation sqref="FK63" showDropDown="0" showInputMessage="0" showErrorMessage="1" allowBlank="1" type="list" errorStyle="stop">
      <formula1>'DADOS_FORMAS'!$JR$2:$JR$12</formula1>
    </dataValidation>
    <dataValidation sqref="FK65" showDropDown="0" showInputMessage="0" showErrorMessage="1" allowBlank="1" type="list" errorStyle="stop">
      <formula1>'DADOS_FORMAS'!$JS$2:$JS$5</formula1>
    </dataValidation>
    <dataValidation sqref="FK66" showDropDown="0" showInputMessage="0" showErrorMessage="1" allowBlank="1" type="list" errorStyle="stop">
      <formula1>'DADOS_FORMAS'!$JT$2:$JT$4</formula1>
    </dataValidation>
    <dataValidation sqref="FK67" showDropDown="0" showInputMessage="0" showErrorMessage="1" allowBlank="1" type="list" errorStyle="stop">
      <formula1>'DADOS_FORMAS'!$JU$2:$JU$5</formula1>
    </dataValidation>
    <dataValidation sqref="FK68" showDropDown="0" showInputMessage="0" showErrorMessage="1" allowBlank="1" type="list" errorStyle="stop">
      <formula1>'DADOS_FORMAS'!$JV$2:$JV$3</formula1>
    </dataValidation>
    <dataValidation sqref="FK69" showDropDown="0" showInputMessage="0" showErrorMessage="1" allowBlank="1" type="list" errorStyle="stop">
      <formula1>'DADOS_FORMAS'!$JW$2:$JW$3</formula1>
    </dataValidation>
    <dataValidation sqref="FK71" showDropDown="0" showInputMessage="0" showErrorMessage="1" allowBlank="1" type="list" errorStyle="stop">
      <formula1>'DADOS_FORMAS'!$JX$2:$JX$3</formula1>
    </dataValidation>
    <dataValidation sqref="FK72" showDropDown="0" showInputMessage="0" showErrorMessage="1" allowBlank="1" type="list" errorStyle="stop">
      <formula1>'DADOS_FORMAS'!$JY$2:$JY$4</formula1>
    </dataValidation>
    <dataValidation sqref="EZ106" showDropDown="0" showInputMessage="0" showErrorMessage="1" allowBlank="1" type="list" errorStyle="stop">
      <formula1>'DADOS_FORMAS'!$JQ$2:$JQ$2</formula1>
    </dataValidation>
    <dataValidation sqref="FC109" showDropDown="0" showInputMessage="0" showErrorMessage="1" allowBlank="1" type="list" errorStyle="stop">
      <formula1>'DADOS_FORMAS'!$JR$2:$JR$12</formula1>
    </dataValidation>
    <dataValidation sqref="FC111" showDropDown="0" showInputMessage="0" showErrorMessage="1" allowBlank="1" type="list" errorStyle="stop">
      <formula1>'DADOS_FORMAS'!$JS$2:$JS$5</formula1>
    </dataValidation>
    <dataValidation sqref="FC112" showDropDown="0" showInputMessage="0" showErrorMessage="1" allowBlank="1" type="list" errorStyle="stop">
      <formula1>'DADOS_FORMAS'!$JT$2:$JT$4</formula1>
    </dataValidation>
    <dataValidation sqref="FC113" showDropDown="0" showInputMessage="0" showErrorMessage="1" allowBlank="1" type="list" errorStyle="stop">
      <formula1>'DADOS_FORMAS'!$JU$2:$JU$5</formula1>
    </dataValidation>
    <dataValidation sqref="FC114" showDropDown="0" showInputMessage="0" showErrorMessage="1" allowBlank="1" type="list" errorStyle="stop">
      <formula1>'DADOS_FORMAS'!$JV$2:$JV$3</formula1>
    </dataValidation>
    <dataValidation sqref="FC115" showDropDown="0" showInputMessage="0" showErrorMessage="1" allowBlank="1" type="list" errorStyle="stop">
      <formula1>'DADOS_FORMAS'!$JW$2:$JW$3</formula1>
    </dataValidation>
    <dataValidation sqref="FC117" showDropDown="0" showInputMessage="0" showErrorMessage="1" allowBlank="1" type="list" errorStyle="stop">
      <formula1>'DADOS_FORMAS'!$JX$2:$JX$3</formula1>
    </dataValidation>
    <dataValidation sqref="FC118" showDropDown="0" showInputMessage="0" showErrorMessage="1" allowBlank="1" type="list" errorStyle="stop">
      <formula1>'DADOS_FORMAS'!$JY$2:$JY$4</formula1>
    </dataValidation>
    <dataValidation sqref="FH106" showDropDown="0" showInputMessage="0" showErrorMessage="1" allowBlank="1" type="list" errorStyle="stop">
      <formula1>'DADOS_FORMAS'!$JQ$2:$JQ$2</formula1>
    </dataValidation>
    <dataValidation sqref="FK109" showDropDown="0" showInputMessage="0" showErrorMessage="1" allowBlank="1" type="list" errorStyle="stop">
      <formula1>'DADOS_FORMAS'!$JR$2:$JR$12</formula1>
    </dataValidation>
    <dataValidation sqref="FK111" showDropDown="0" showInputMessage="0" showErrorMessage="1" allowBlank="1" type="list" errorStyle="stop">
      <formula1>'DADOS_FORMAS'!$JS$2:$JS$5</formula1>
    </dataValidation>
    <dataValidation sqref="FK112" showDropDown="0" showInputMessage="0" showErrorMessage="1" allowBlank="1" type="list" errorStyle="stop">
      <formula1>'DADOS_FORMAS'!$JT$2:$JT$4</formula1>
    </dataValidation>
    <dataValidation sqref="FK113" showDropDown="0" showInputMessage="0" showErrorMessage="1" allowBlank="1" type="list" errorStyle="stop">
      <formula1>'DADOS_FORMAS'!$JU$2:$JU$5</formula1>
    </dataValidation>
    <dataValidation sqref="FK114" showDropDown="0" showInputMessage="0" showErrorMessage="1" allowBlank="1" type="list" errorStyle="stop">
      <formula1>'DADOS_FORMAS'!$JV$2:$JV$3</formula1>
    </dataValidation>
    <dataValidation sqref="FK115" showDropDown="0" showInputMessage="0" showErrorMessage="1" allowBlank="1" type="list" errorStyle="stop">
      <formula1>'DADOS_FORMAS'!$JW$2:$JW$3</formula1>
    </dataValidation>
    <dataValidation sqref="FK117" showDropDown="0" showInputMessage="0" showErrorMessage="1" allowBlank="1" type="list" errorStyle="stop">
      <formula1>'DADOS_FORMAS'!$JX$2:$JX$3</formula1>
    </dataValidation>
    <dataValidation sqref="FK118" showDropDown="0" showInputMessage="0" showErrorMessage="1" allowBlank="1" type="list" errorStyle="stop">
      <formula1>'DADOS_FORMAS'!$JY$2:$JY$4</formula1>
    </dataValidation>
    <dataValidation sqref="EZ152" showDropDown="0" showInputMessage="0" showErrorMessage="1" allowBlank="1" type="list" errorStyle="stop">
      <formula1>'DADOS_FORMAS'!$JQ$2:$JQ$2</formula1>
    </dataValidation>
    <dataValidation sqref="FC155" showDropDown="0" showInputMessage="0" showErrorMessage="1" allowBlank="1" type="list" errorStyle="stop">
      <formula1>'DADOS_FORMAS'!$JR$2:$JR$12</formula1>
    </dataValidation>
    <dataValidation sqref="FC157" showDropDown="0" showInputMessage="0" showErrorMessage="1" allowBlank="1" type="list" errorStyle="stop">
      <formula1>'DADOS_FORMAS'!$JS$2:$JS$5</formula1>
    </dataValidation>
    <dataValidation sqref="FC158" showDropDown="0" showInputMessage="0" showErrorMessage="1" allowBlank="1" type="list" errorStyle="stop">
      <formula1>'DADOS_FORMAS'!$JT$2:$JT$4</formula1>
    </dataValidation>
    <dataValidation sqref="FC159" showDropDown="0" showInputMessage="0" showErrorMessage="1" allowBlank="1" type="list" errorStyle="stop">
      <formula1>'DADOS_FORMAS'!$JU$2:$JU$5</formula1>
    </dataValidation>
    <dataValidation sqref="FC160" showDropDown="0" showInputMessage="0" showErrorMessage="1" allowBlank="1" type="list" errorStyle="stop">
      <formula1>'DADOS_FORMAS'!$JV$2:$JV$3</formula1>
    </dataValidation>
    <dataValidation sqref="FC161" showDropDown="0" showInputMessage="0" showErrorMessage="1" allowBlank="1" type="list" errorStyle="stop">
      <formula1>'DADOS_FORMAS'!$JW$2:$JW$3</formula1>
    </dataValidation>
    <dataValidation sqref="FC163" showDropDown="0" showInputMessage="0" showErrorMessage="1" allowBlank="1" type="list" errorStyle="stop">
      <formula1>'DADOS_FORMAS'!$JX$2:$JX$3</formula1>
    </dataValidation>
    <dataValidation sqref="FC164" showDropDown="0" showInputMessage="0" showErrorMessage="1" allowBlank="1" type="list" errorStyle="stop">
      <formula1>'DADOS_FORMAS'!$JY$2:$JY$4</formula1>
    </dataValidation>
    <dataValidation sqref="FH152" showDropDown="0" showInputMessage="0" showErrorMessage="1" allowBlank="1" type="list" errorStyle="stop">
      <formula1>'DADOS_FORMAS'!$JQ$2:$JQ$2</formula1>
    </dataValidation>
    <dataValidation sqref="FK155" showDropDown="0" showInputMessage="0" showErrorMessage="1" allowBlank="1" type="list" errorStyle="stop">
      <formula1>'DADOS_FORMAS'!$JR$2:$JR$12</formula1>
    </dataValidation>
    <dataValidation sqref="FK157" showDropDown="0" showInputMessage="0" showErrorMessage="1" allowBlank="1" type="list" errorStyle="stop">
      <formula1>'DADOS_FORMAS'!$JS$2:$JS$5</formula1>
    </dataValidation>
    <dataValidation sqref="FK158" showDropDown="0" showInputMessage="0" showErrorMessage="1" allowBlank="1" type="list" errorStyle="stop">
      <formula1>'DADOS_FORMAS'!$JT$2:$JT$4</formula1>
    </dataValidation>
    <dataValidation sqref="FK159" showDropDown="0" showInputMessage="0" showErrorMessage="1" allowBlank="1" type="list" errorStyle="stop">
      <formula1>'DADOS_FORMAS'!$JU$2:$JU$5</formula1>
    </dataValidation>
    <dataValidation sqref="FK160" showDropDown="0" showInputMessage="0" showErrorMessage="1" allowBlank="1" type="list" errorStyle="stop">
      <formula1>'DADOS_FORMAS'!$JV$2:$JV$3</formula1>
    </dataValidation>
    <dataValidation sqref="FK161" showDropDown="0" showInputMessage="0" showErrorMessage="1" allowBlank="1" type="list" errorStyle="stop">
      <formula1>'DADOS_FORMAS'!$JW$2:$JW$3</formula1>
    </dataValidation>
    <dataValidation sqref="FK163" showDropDown="0" showInputMessage="0" showErrorMessage="1" allowBlank="1" type="list" errorStyle="stop">
      <formula1>'DADOS_FORMAS'!$JX$2:$JX$3</formula1>
    </dataValidation>
    <dataValidation sqref="FK164" showDropDown="0" showInputMessage="0" showErrorMessage="1" allowBlank="1" type="list" errorStyle="stop">
      <formula1>'DADOS_FORMAS'!$JY$2:$JY$4</formula1>
    </dataValidation>
    <dataValidation sqref="EZ198" showDropDown="0" showInputMessage="0" showErrorMessage="1" allowBlank="1" type="list" errorStyle="stop">
      <formula1>'DADOS_FORMAS'!$JQ$2:$JQ$2</formula1>
    </dataValidation>
    <dataValidation sqref="FC201" showDropDown="0" showInputMessage="0" showErrorMessage="1" allowBlank="1" type="list" errorStyle="stop">
      <formula1>'DADOS_FORMAS'!$JR$2:$JR$12</formula1>
    </dataValidation>
    <dataValidation sqref="FC203" showDropDown="0" showInputMessage="0" showErrorMessage="1" allowBlank="1" type="list" errorStyle="stop">
      <formula1>'DADOS_FORMAS'!$JS$2:$JS$5</formula1>
    </dataValidation>
    <dataValidation sqref="FC204" showDropDown="0" showInputMessage="0" showErrorMessage="1" allowBlank="1" type="list" errorStyle="stop">
      <formula1>'DADOS_FORMAS'!$JT$2:$JT$4</formula1>
    </dataValidation>
    <dataValidation sqref="FC205" showDropDown="0" showInputMessage="0" showErrorMessage="1" allowBlank="1" type="list" errorStyle="stop">
      <formula1>'DADOS_FORMAS'!$JU$2:$JU$5</formula1>
    </dataValidation>
    <dataValidation sqref="FC206" showDropDown="0" showInputMessage="0" showErrorMessage="1" allowBlank="1" type="list" errorStyle="stop">
      <formula1>'DADOS_FORMAS'!$JV$2:$JV$3</formula1>
    </dataValidation>
    <dataValidation sqref="FC207" showDropDown="0" showInputMessage="0" showErrorMessage="1" allowBlank="1" type="list" errorStyle="stop">
      <formula1>'DADOS_FORMAS'!$JW$2:$JW$3</formula1>
    </dataValidation>
    <dataValidation sqref="FC209" showDropDown="0" showInputMessage="0" showErrorMessage="1" allowBlank="1" type="list" errorStyle="stop">
      <formula1>'DADOS_FORMAS'!$JX$2:$JX$3</formula1>
    </dataValidation>
    <dataValidation sqref="FC210" showDropDown="0" showInputMessage="0" showErrorMessage="1" allowBlank="1" type="list" errorStyle="stop">
      <formula1>'DADOS_FORMAS'!$JY$2:$JY$4</formula1>
    </dataValidation>
    <dataValidation sqref="FH198" showDropDown="0" showInputMessage="0" showErrorMessage="1" allowBlank="1" type="list" errorStyle="stop">
      <formula1>'DADOS_FORMAS'!$JQ$2:$JQ$2</formula1>
    </dataValidation>
    <dataValidation sqref="FK201" showDropDown="0" showInputMessage="0" showErrorMessage="1" allowBlank="1" type="list" errorStyle="stop">
      <formula1>'DADOS_FORMAS'!$JR$2:$JR$12</formula1>
    </dataValidation>
    <dataValidation sqref="FK203" showDropDown="0" showInputMessage="0" showErrorMessage="1" allowBlank="1" type="list" errorStyle="stop">
      <formula1>'DADOS_FORMAS'!$JS$2:$JS$5</formula1>
    </dataValidation>
    <dataValidation sqref="FK204" showDropDown="0" showInputMessage="0" showErrorMessage="1" allowBlank="1" type="list" errorStyle="stop">
      <formula1>'DADOS_FORMAS'!$JT$2:$JT$4</formula1>
    </dataValidation>
    <dataValidation sqref="FK205" showDropDown="0" showInputMessage="0" showErrorMessage="1" allowBlank="1" type="list" errorStyle="stop">
      <formula1>'DADOS_FORMAS'!$JU$2:$JU$5</formula1>
    </dataValidation>
    <dataValidation sqref="FK206" showDropDown="0" showInputMessage="0" showErrorMessage="1" allowBlank="1" type="list" errorStyle="stop">
      <formula1>'DADOS_FORMAS'!$JV$2:$JV$3</formula1>
    </dataValidation>
    <dataValidation sqref="FK207" showDropDown="0" showInputMessage="0" showErrorMessage="1" allowBlank="1" type="list" errorStyle="stop">
      <formula1>'DADOS_FORMAS'!$JW$2:$JW$3</formula1>
    </dataValidation>
    <dataValidation sqref="FK209" showDropDown="0" showInputMessage="0" showErrorMessage="1" allowBlank="1" type="list" errorStyle="stop">
      <formula1>'DADOS_FORMAS'!$JX$2:$JX$3</formula1>
    </dataValidation>
    <dataValidation sqref="FK210" showDropDown="0" showInputMessage="0" showErrorMessage="1" allowBlank="1" type="list" errorStyle="stop">
      <formula1>'DADOS_FORMAS'!$JY$2:$JY$4</formula1>
    </dataValidation>
    <dataValidation sqref="FQ14" showDropDown="0" showInputMessage="0" showErrorMessage="1" allowBlank="1" type="list" errorStyle="stop">
      <formula1>'DADOS_APTIDOES'!$BP$2:$BP$3</formula1>
    </dataValidation>
    <dataValidation sqref="FT17" showDropDown="0" showInputMessage="0" showErrorMessage="1" allowBlank="1" type="list" errorStyle="stop">
      <formula1>'DADOS_APTIDOES'!$BQ$2:$BQ$36</formula1>
    </dataValidation>
    <dataValidation sqref="FT18" showDropDown="0" showInputMessage="0" showErrorMessage="1" allowBlank="1" type="list" errorStyle="stop">
      <formula1>'DADOS_APTIDOES'!$BR$2:$BR$5</formula1>
    </dataValidation>
    <dataValidation sqref="FT19" showDropDown="0" showInputMessage="0" showErrorMessage="1" allowBlank="1" type="list" errorStyle="stop">
      <formula1>'DADOS_APTIDOES'!$BS$2:$BS$31</formula1>
    </dataValidation>
    <dataValidation sqref="FT20" showDropDown="0" showInputMessage="0" showErrorMessage="1" allowBlank="1" type="list" errorStyle="stop">
      <formula1>'DADOS_APTIDOES'!$BT$2:$BT$11</formula1>
    </dataValidation>
    <dataValidation sqref="FT21" showDropDown="0" showInputMessage="0" showErrorMessage="1" allowBlank="1" type="list" errorStyle="stop">
      <formula1>'DADOS_APTIDOES'!$BU$2:$BU$3</formula1>
    </dataValidation>
    <dataValidation sqref="FY14" showDropDown="0" showInputMessage="0" showErrorMessage="1" allowBlank="1" type="list" errorStyle="stop">
      <formula1>'DADOS_APTIDOES'!$BP$2:$BP$3</formula1>
    </dataValidation>
    <dataValidation sqref="GB17" showDropDown="0" showInputMessage="0" showErrorMessage="1" allowBlank="1" type="list" errorStyle="stop">
      <formula1>'DADOS_APTIDOES'!$BQ$2:$BQ$36</formula1>
    </dataValidation>
    <dataValidation sqref="GB18" showDropDown="0" showInputMessage="0" showErrorMessage="1" allowBlank="1" type="list" errorStyle="stop">
      <formula1>'DADOS_APTIDOES'!$BR$2:$BR$5</formula1>
    </dataValidation>
    <dataValidation sqref="GB19" showDropDown="0" showInputMessage="0" showErrorMessage="1" allowBlank="1" type="list" errorStyle="stop">
      <formula1>'DADOS_APTIDOES'!$BS$2:$BS$31</formula1>
    </dataValidation>
    <dataValidation sqref="GB20" showDropDown="0" showInputMessage="0" showErrorMessage="1" allowBlank="1" type="list" errorStyle="stop">
      <formula1>'DADOS_APTIDOES'!$BT$2:$BT$11</formula1>
    </dataValidation>
    <dataValidation sqref="GB21" showDropDown="0" showInputMessage="0" showErrorMessage="1" allowBlank="1" type="list" errorStyle="stop">
      <formula1>'DADOS_APTIDOES'!$BU$2:$BU$3</formula1>
    </dataValidation>
    <dataValidation sqref="FQ41" showDropDown="0" showInputMessage="0" showErrorMessage="1" allowBlank="1" type="list" errorStyle="stop">
      <formula1>'DADOS_APTIDOES'!$BP$2:$BP$3</formula1>
    </dataValidation>
    <dataValidation sqref="FT44" showDropDown="0" showInputMessage="0" showErrorMessage="1" allowBlank="1" type="list" errorStyle="stop">
      <formula1>'DADOS_APTIDOES'!$BQ$2:$BQ$36</formula1>
    </dataValidation>
    <dataValidation sqref="FT45" showDropDown="0" showInputMessage="0" showErrorMessage="1" allowBlank="1" type="list" errorStyle="stop">
      <formula1>'DADOS_APTIDOES'!$BR$2:$BR$5</formula1>
    </dataValidation>
    <dataValidation sqref="FT46" showDropDown="0" showInputMessage="0" showErrorMessage="1" allowBlank="1" type="list" errorStyle="stop">
      <formula1>'DADOS_APTIDOES'!$BS$2:$BS$31</formula1>
    </dataValidation>
    <dataValidation sqref="FT47" showDropDown="0" showInputMessage="0" showErrorMessage="1" allowBlank="1" type="list" errorStyle="stop">
      <formula1>'DADOS_APTIDOES'!$BT$2:$BT$11</formula1>
    </dataValidation>
    <dataValidation sqref="FT48" showDropDown="0" showInputMessage="0" showErrorMessage="1" allowBlank="1" type="list" errorStyle="stop">
      <formula1>'DADOS_APTIDOES'!$BU$2:$BU$3</formula1>
    </dataValidation>
    <dataValidation sqref="FY41" showDropDown="0" showInputMessage="0" showErrorMessage="1" allowBlank="1" type="list" errorStyle="stop">
      <formula1>'DADOS_APTIDOES'!$BP$2:$BP$3</formula1>
    </dataValidation>
    <dataValidation sqref="GB44" showDropDown="0" showInputMessage="0" showErrorMessage="1" allowBlank="1" type="list" errorStyle="stop">
      <formula1>'DADOS_APTIDOES'!$BQ$2:$BQ$36</formula1>
    </dataValidation>
    <dataValidation sqref="GB45" showDropDown="0" showInputMessage="0" showErrorMessage="1" allowBlank="1" type="list" errorStyle="stop">
      <formula1>'DADOS_APTIDOES'!$BR$2:$BR$5</formula1>
    </dataValidation>
    <dataValidation sqref="GB46" showDropDown="0" showInputMessage="0" showErrorMessage="1" allowBlank="1" type="list" errorStyle="stop">
      <formula1>'DADOS_APTIDOES'!$BS$2:$BS$31</formula1>
    </dataValidation>
    <dataValidation sqref="GB47" showDropDown="0" showInputMessage="0" showErrorMessage="1" allowBlank="1" type="list" errorStyle="stop">
      <formula1>'DADOS_APTIDOES'!$BT$2:$BT$11</formula1>
    </dataValidation>
    <dataValidation sqref="GB48" showDropDown="0" showInputMessage="0" showErrorMessage="1" allowBlank="1" type="list" errorStyle="stop">
      <formula1>'DADOS_APTIDOES'!$BU$2:$BU$3</formula1>
    </dataValidation>
    <dataValidation sqref="FQ68" showDropDown="0" showInputMessage="0" showErrorMessage="1" allowBlank="1" type="list" errorStyle="stop">
      <formula1>'DADOS_APTIDOES'!$BP$2:$BP$3</formula1>
    </dataValidation>
    <dataValidation sqref="FT71" showDropDown="0" showInputMessage="0" showErrorMessage="1" allowBlank="1" type="list" errorStyle="stop">
      <formula1>'DADOS_APTIDOES'!$BQ$2:$BQ$36</formula1>
    </dataValidation>
    <dataValidation sqref="FT72" showDropDown="0" showInputMessage="0" showErrorMessage="1" allowBlank="1" type="list" errorStyle="stop">
      <formula1>'DADOS_APTIDOES'!$BR$2:$BR$5</formula1>
    </dataValidation>
    <dataValidation sqref="FT73" showDropDown="0" showInputMessage="0" showErrorMessage="1" allowBlank="1" type="list" errorStyle="stop">
      <formula1>'DADOS_APTIDOES'!$BS$2:$BS$31</formula1>
    </dataValidation>
    <dataValidation sqref="FT74" showDropDown="0" showInputMessage="0" showErrorMessage="1" allowBlank="1" type="list" errorStyle="stop">
      <formula1>'DADOS_APTIDOES'!$BT$2:$BT$11</formula1>
    </dataValidation>
    <dataValidation sqref="FT75" showDropDown="0" showInputMessage="0" showErrorMessage="1" allowBlank="1" type="list" errorStyle="stop">
      <formula1>'DADOS_APTIDOES'!$BU$2:$BU$3</formula1>
    </dataValidation>
    <dataValidation sqref="FY68" showDropDown="0" showInputMessage="0" showErrorMessage="1" allowBlank="1" type="list" errorStyle="stop">
      <formula1>'DADOS_APTIDOES'!$BP$2:$BP$3</formula1>
    </dataValidation>
    <dataValidation sqref="GB71" showDropDown="0" showInputMessage="0" showErrorMessage="1" allowBlank="1" type="list" errorStyle="stop">
      <formula1>'DADOS_APTIDOES'!$BQ$2:$BQ$36</formula1>
    </dataValidation>
    <dataValidation sqref="GB72" showDropDown="0" showInputMessage="0" showErrorMessage="1" allowBlank="1" type="list" errorStyle="stop">
      <formula1>'DADOS_APTIDOES'!$BR$2:$BR$5</formula1>
    </dataValidation>
    <dataValidation sqref="GB73" showDropDown="0" showInputMessage="0" showErrorMessage="1" allowBlank="1" type="list" errorStyle="stop">
      <formula1>'DADOS_APTIDOES'!$BS$2:$BS$31</formula1>
    </dataValidation>
    <dataValidation sqref="GB74" showDropDown="0" showInputMessage="0" showErrorMessage="1" allowBlank="1" type="list" errorStyle="stop">
      <formula1>'DADOS_APTIDOES'!$BT$2:$BT$11</formula1>
    </dataValidation>
    <dataValidation sqref="GB75" showDropDown="0" showInputMessage="0" showErrorMessage="1" allowBlank="1" type="list" errorStyle="stop">
      <formula1>'DADOS_APTIDOES'!$BU$2:$BU$3</formula1>
    </dataValidation>
    <dataValidation sqref="FQ95" showDropDown="0" showInputMessage="0" showErrorMessage="1" allowBlank="1" type="list" errorStyle="stop">
      <formula1>'DADOS_APTIDOES'!$BP$2:$BP$3</formula1>
    </dataValidation>
    <dataValidation sqref="FT98" showDropDown="0" showInputMessage="0" showErrorMessage="1" allowBlank="1" type="list" errorStyle="stop">
      <formula1>'DADOS_APTIDOES'!$BQ$2:$BQ$36</formula1>
    </dataValidation>
    <dataValidation sqref="FT99" showDropDown="0" showInputMessage="0" showErrorMessage="1" allowBlank="1" type="list" errorStyle="stop">
      <formula1>'DADOS_APTIDOES'!$BR$2:$BR$5</formula1>
    </dataValidation>
    <dataValidation sqref="FT100" showDropDown="0" showInputMessage="0" showErrorMessage="1" allowBlank="1" type="list" errorStyle="stop">
      <formula1>'DADOS_APTIDOES'!$BS$2:$BS$31</formula1>
    </dataValidation>
    <dataValidation sqref="FT101" showDropDown="0" showInputMessage="0" showErrorMessage="1" allowBlank="1" type="list" errorStyle="stop">
      <formula1>'DADOS_APTIDOES'!$BT$2:$BT$11</formula1>
    </dataValidation>
    <dataValidation sqref="FT102" showDropDown="0" showInputMessage="0" showErrorMessage="1" allowBlank="1" type="list" errorStyle="stop">
      <formula1>'DADOS_APTIDOES'!$BU$2:$BU$3</formula1>
    </dataValidation>
    <dataValidation sqref="FY95" showDropDown="0" showInputMessage="0" showErrorMessage="1" allowBlank="1" type="list" errorStyle="stop">
      <formula1>'DADOS_APTIDOES'!$BP$2:$BP$3</formula1>
    </dataValidation>
    <dataValidation sqref="GB98" showDropDown="0" showInputMessage="0" showErrorMessage="1" allowBlank="1" type="list" errorStyle="stop">
      <formula1>'DADOS_APTIDOES'!$BQ$2:$BQ$36</formula1>
    </dataValidation>
    <dataValidation sqref="GB99" showDropDown="0" showInputMessage="0" showErrorMessage="1" allowBlank="1" type="list" errorStyle="stop">
      <formula1>'DADOS_APTIDOES'!$BR$2:$BR$5</formula1>
    </dataValidation>
    <dataValidation sqref="GB100" showDropDown="0" showInputMessage="0" showErrorMessage="1" allowBlank="1" type="list" errorStyle="stop">
      <formula1>'DADOS_APTIDOES'!$BS$2:$BS$31</formula1>
    </dataValidation>
    <dataValidation sqref="GB101" showDropDown="0" showInputMessage="0" showErrorMessage="1" allowBlank="1" type="list" errorStyle="stop">
      <formula1>'DADOS_APTIDOES'!$BT$2:$BT$11</formula1>
    </dataValidation>
    <dataValidation sqref="GB102" showDropDown="0" showInputMessage="0" showErrorMessage="1" allowBlank="1" type="list" errorStyle="stop">
      <formula1>'DADOS_APTIDOES'!$BU$2:$BU$3</formula1>
    </dataValidation>
    <dataValidation sqref="FQ122" showDropDown="0" showInputMessage="0" showErrorMessage="1" allowBlank="1" type="list" errorStyle="stop">
      <formula1>'DADOS_APTIDOES'!$BP$2:$BP$3</formula1>
    </dataValidation>
    <dataValidation sqref="FT125" showDropDown="0" showInputMessage="0" showErrorMessage="1" allowBlank="1" type="list" errorStyle="stop">
      <formula1>'DADOS_APTIDOES'!$BQ$2:$BQ$36</formula1>
    </dataValidation>
    <dataValidation sqref="FT126" showDropDown="0" showInputMessage="0" showErrorMessage="1" allowBlank="1" type="list" errorStyle="stop">
      <formula1>'DADOS_APTIDOES'!$BR$2:$BR$5</formula1>
    </dataValidation>
    <dataValidation sqref="FT127" showDropDown="0" showInputMessage="0" showErrorMessage="1" allowBlank="1" type="list" errorStyle="stop">
      <formula1>'DADOS_APTIDOES'!$BS$2:$BS$31</formula1>
    </dataValidation>
    <dataValidation sqref="FT128" showDropDown="0" showInputMessage="0" showErrorMessage="1" allowBlank="1" type="list" errorStyle="stop">
      <formula1>'DADOS_APTIDOES'!$BT$2:$BT$11</formula1>
    </dataValidation>
    <dataValidation sqref="FT129" showDropDown="0" showInputMessage="0" showErrorMessage="1" allowBlank="1" type="list" errorStyle="stop">
      <formula1>'DADOS_APTIDOES'!$BU$2:$BU$3</formula1>
    </dataValidation>
    <dataValidation sqref="FY122" showDropDown="0" showInputMessage="0" showErrorMessage="1" allowBlank="1" type="list" errorStyle="stop">
      <formula1>'DADOS_APTIDOES'!$BP$2:$BP$3</formula1>
    </dataValidation>
    <dataValidation sqref="GB125" showDropDown="0" showInputMessage="0" showErrorMessage="1" allowBlank="1" type="list" errorStyle="stop">
      <formula1>'DADOS_APTIDOES'!$BQ$2:$BQ$36</formula1>
    </dataValidation>
    <dataValidation sqref="GB126" showDropDown="0" showInputMessage="0" showErrorMessage="1" allowBlank="1" type="list" errorStyle="stop">
      <formula1>'DADOS_APTIDOES'!$BR$2:$BR$5</formula1>
    </dataValidation>
    <dataValidation sqref="GB127" showDropDown="0" showInputMessage="0" showErrorMessage="1" allowBlank="1" type="list" errorStyle="stop">
      <formula1>'DADOS_APTIDOES'!$BS$2:$BS$31</formula1>
    </dataValidation>
    <dataValidation sqref="GB128" showDropDown="0" showInputMessage="0" showErrorMessage="1" allowBlank="1" type="list" errorStyle="stop">
      <formula1>'DADOS_APTIDOES'!$BT$2:$BT$11</formula1>
    </dataValidation>
    <dataValidation sqref="GB129" showDropDown="0" showInputMessage="0" showErrorMessage="1" allowBlank="1" type="list" errorStyle="stop">
      <formula1>'DADOS_APTIDOES'!$BU$2:$BU$3</formula1>
    </dataValidation>
    <dataValidation sqref="GH14" showDropDown="0" showInputMessage="0" showErrorMessage="1" allowBlank="1" type="list" errorStyle="stop">
      <formula1>'DADOS_TALENTOS'!$AX$2:$AX$2</formula1>
    </dataValidation>
    <dataValidation sqref="GK17" showDropDown="0" showInputMessage="0" showErrorMessage="1" allowBlank="1" type="list" errorStyle="stop">
      <formula1>'DADOS_TALENTOS'!$AY$2:$AY$25</formula1>
    </dataValidation>
    <dataValidation sqref="GK18" showDropDown="0" showInputMessage="0" showErrorMessage="1" allowBlank="1" type="list" errorStyle="stop">
      <formula1>'DADOS_TALENTOS'!$AZ$2:$AZ$4</formula1>
    </dataValidation>
    <dataValidation sqref="GK19" showDropDown="0" showInputMessage="0" showErrorMessage="1" allowBlank="1" type="list" errorStyle="stop">
      <formula1>'DADOS_TALENTOS'!$BA$2:$BA$4</formula1>
    </dataValidation>
    <dataValidation sqref="GP14" showDropDown="0" showInputMessage="0" showErrorMessage="1" allowBlank="1" type="list" errorStyle="stop">
      <formula1>'DADOS_TALENTOS'!$AX$2:$AX$2</formula1>
    </dataValidation>
    <dataValidation sqref="GS17" showDropDown="0" showInputMessage="0" showErrorMessage="1" allowBlank="1" type="list" errorStyle="stop">
      <formula1>'DADOS_TALENTOS'!$AY$2:$AY$25</formula1>
    </dataValidation>
    <dataValidation sqref="GS18" showDropDown="0" showInputMessage="0" showErrorMessage="1" allowBlank="1" type="list" errorStyle="stop">
      <formula1>'DADOS_TALENTOS'!$AZ$2:$AZ$4</formula1>
    </dataValidation>
    <dataValidation sqref="GS19" showDropDown="0" showInputMessage="0" showErrorMessage="1" allowBlank="1" type="list" errorStyle="stop">
      <formula1>'DADOS_TALENTOS'!$BA$2:$BA$4</formula1>
    </dataValidation>
    <dataValidation sqref="GH39" showDropDown="0" showInputMessage="0" showErrorMessage="1" allowBlank="1" type="list" errorStyle="stop">
      <formula1>'DADOS_TALENTOS'!$AX$2:$AX$2</formula1>
    </dataValidation>
    <dataValidation sqref="GK42" showDropDown="0" showInputMessage="0" showErrorMessage="1" allowBlank="1" type="list" errorStyle="stop">
      <formula1>'DADOS_TALENTOS'!$AY$2:$AY$25</formula1>
    </dataValidation>
    <dataValidation sqref="GK43" showDropDown="0" showInputMessage="0" showErrorMessage="1" allowBlank="1" type="list" errorStyle="stop">
      <formula1>'DADOS_TALENTOS'!$AZ$2:$AZ$4</formula1>
    </dataValidation>
    <dataValidation sqref="GK44" showDropDown="0" showInputMessage="0" showErrorMessage="1" allowBlank="1" type="list" errorStyle="stop">
      <formula1>'DADOS_TALENTOS'!$BA$2:$BA$4</formula1>
    </dataValidation>
    <dataValidation sqref="GP39" showDropDown="0" showInputMessage="0" showErrorMessage="1" allowBlank="1" type="list" errorStyle="stop">
      <formula1>'DADOS_TALENTOS'!$AX$2:$AX$2</formula1>
    </dataValidation>
    <dataValidation sqref="GS42" showDropDown="0" showInputMessage="0" showErrorMessage="1" allowBlank="1" type="list" errorStyle="stop">
      <formula1>'DADOS_TALENTOS'!$AY$2:$AY$25</formula1>
    </dataValidation>
    <dataValidation sqref="GS43" showDropDown="0" showInputMessage="0" showErrorMessage="1" allowBlank="1" type="list" errorStyle="stop">
      <formula1>'DADOS_TALENTOS'!$AZ$2:$AZ$4</formula1>
    </dataValidation>
    <dataValidation sqref="GS44" showDropDown="0" showInputMessage="0" showErrorMessage="1" allowBlank="1" type="list" errorStyle="stop">
      <formula1>'DADOS_TALENTOS'!$BA$2:$BA$4</formula1>
    </dataValidation>
    <dataValidation sqref="GH64" showDropDown="0" showInputMessage="0" showErrorMessage="1" allowBlank="1" type="list" errorStyle="stop">
      <formula1>'DADOS_TALENTOS'!$AX$2:$AX$2</formula1>
    </dataValidation>
    <dataValidation sqref="GK67" showDropDown="0" showInputMessage="0" showErrorMessage="1" allowBlank="1" type="list" errorStyle="stop">
      <formula1>'DADOS_TALENTOS'!$AY$2:$AY$25</formula1>
    </dataValidation>
    <dataValidation sqref="GK68" showDropDown="0" showInputMessage="0" showErrorMessage="1" allowBlank="1" type="list" errorStyle="stop">
      <formula1>'DADOS_TALENTOS'!$AZ$2:$AZ$4</formula1>
    </dataValidation>
    <dataValidation sqref="GK69" showDropDown="0" showInputMessage="0" showErrorMessage="1" allowBlank="1" type="list" errorStyle="stop">
      <formula1>'DADOS_TALENTOS'!$BA$2:$BA$4</formula1>
    </dataValidation>
    <dataValidation sqref="GP64" showDropDown="0" showInputMessage="0" showErrorMessage="1" allowBlank="1" type="list" errorStyle="stop">
      <formula1>'DADOS_TALENTOS'!$AX$2:$AX$2</formula1>
    </dataValidation>
    <dataValidation sqref="GS67" showDropDown="0" showInputMessage="0" showErrorMessage="1" allowBlank="1" type="list" errorStyle="stop">
      <formula1>'DADOS_TALENTOS'!$AY$2:$AY$25</formula1>
    </dataValidation>
    <dataValidation sqref="GS68" showDropDown="0" showInputMessage="0" showErrorMessage="1" allowBlank="1" type="list" errorStyle="stop">
      <formula1>'DADOS_TALENTOS'!$AZ$2:$AZ$4</formula1>
    </dataValidation>
    <dataValidation sqref="GS69" showDropDown="0" showInputMessage="0" showErrorMessage="1" allowBlank="1" type="list" errorStyle="stop">
      <formula1>'DADOS_TALENTOS'!$BA$2:$BA$4</formula1>
    </dataValidation>
    <dataValidation sqref="GH89" showDropDown="0" showInputMessage="0" showErrorMessage="1" allowBlank="1" type="list" errorStyle="stop">
      <formula1>'DADOS_TALENTOS'!$AX$2:$AX$2</formula1>
    </dataValidation>
    <dataValidation sqref="GK92" showDropDown="0" showInputMessage="0" showErrorMessage="1" allowBlank="1" type="list" errorStyle="stop">
      <formula1>'DADOS_TALENTOS'!$AY$2:$AY$25</formula1>
    </dataValidation>
    <dataValidation sqref="GK93" showDropDown="0" showInputMessage="0" showErrorMessage="1" allowBlank="1" type="list" errorStyle="stop">
      <formula1>'DADOS_TALENTOS'!$AZ$2:$AZ$4</formula1>
    </dataValidation>
    <dataValidation sqref="GK94" showDropDown="0" showInputMessage="0" showErrorMessage="1" allowBlank="1" type="list" errorStyle="stop">
      <formula1>'DADOS_TALENTOS'!$BA$2:$BA$4</formula1>
    </dataValidation>
    <dataValidation sqref="GP89" showDropDown="0" showInputMessage="0" showErrorMessage="1" allowBlank="1" type="list" errorStyle="stop">
      <formula1>'DADOS_TALENTOS'!$AX$2:$AX$2</formula1>
    </dataValidation>
    <dataValidation sqref="GS92" showDropDown="0" showInputMessage="0" showErrorMessage="1" allowBlank="1" type="list" errorStyle="stop">
      <formula1>'DADOS_TALENTOS'!$AY$2:$AY$25</formula1>
    </dataValidation>
    <dataValidation sqref="GS93" showDropDown="0" showInputMessage="0" showErrorMessage="1" allowBlank="1" type="list" errorStyle="stop">
      <formula1>'DADOS_TALENTOS'!$AZ$2:$AZ$4</formula1>
    </dataValidation>
    <dataValidation sqref="GS94" showDropDown="0" showInputMessage="0" showErrorMessage="1" allowBlank="1" type="list" errorStyle="stop">
      <formula1>'DADOS_TALENTOS'!$BA$2:$BA$4</formula1>
    </dataValidation>
    <dataValidation sqref="GH114" showDropDown="0" showInputMessage="0" showErrorMessage="1" allowBlank="1" type="list" errorStyle="stop">
      <formula1>'DADOS_TALENTOS'!$AX$2:$AX$2</formula1>
    </dataValidation>
    <dataValidation sqref="GK117" showDropDown="0" showInputMessage="0" showErrorMessage="1" allowBlank="1" type="list" errorStyle="stop">
      <formula1>'DADOS_TALENTOS'!$AY$2:$AY$25</formula1>
    </dataValidation>
    <dataValidation sqref="GK118" showDropDown="0" showInputMessage="0" showErrorMessage="1" allowBlank="1" type="list" errorStyle="stop">
      <formula1>'DADOS_TALENTOS'!$AZ$2:$AZ$4</formula1>
    </dataValidation>
    <dataValidation sqref="GK119" showDropDown="0" showInputMessage="0" showErrorMessage="1" allowBlank="1" type="list" errorStyle="stop">
      <formula1>'DADOS_TALENTOS'!$BA$2:$BA$4</formula1>
    </dataValidation>
    <dataValidation sqref="GP114" showDropDown="0" showInputMessage="0" showErrorMessage="1" allowBlank="1" type="list" errorStyle="stop">
      <formula1>'DADOS_TALENTOS'!$AX$2:$AX$2</formula1>
    </dataValidation>
    <dataValidation sqref="GS117" showDropDown="0" showInputMessage="0" showErrorMessage="1" allowBlank="1" type="list" errorStyle="stop">
      <formula1>'DADOS_TALENTOS'!$AY$2:$AY$25</formula1>
    </dataValidation>
    <dataValidation sqref="GS118" showDropDown="0" showInputMessage="0" showErrorMessage="1" allowBlank="1" type="list" errorStyle="stop">
      <formula1>'DADOS_TALENTOS'!$AZ$2:$AZ$4</formula1>
    </dataValidation>
    <dataValidation sqref="GS119" showDropDown="0" showInputMessage="0" showErrorMessage="1" allowBlank="1" type="list" errorStyle="stop">
      <formula1>'DADOS_TALENTOS'!$BA$2:$BA$4</formula1>
    </dataValidation>
    <dataValidation sqref="FC18" showDropDown="0" showInputMessage="0" showErrorMessage="1" allowBlank="1" type="list" errorStyle="stop">
      <formula1>'DADOS_FORMAS'!$JZ$2:$JZ$21</formula1>
    </dataValidation>
    <dataValidation sqref="FC24" showDropDown="0" showInputMessage="0" showErrorMessage="1" allowBlank="1" type="list" errorStyle="stop">
      <formula1>'DADOS_FORMAS'!$KA$2:$KA$55</formula1>
    </dataValidation>
    <dataValidation sqref="FK18" showDropDown="0" showInputMessage="0" showErrorMessage="1" allowBlank="1" type="list" errorStyle="stop">
      <formula1>'DADOS_FORMAS'!$JZ$2:$JZ$21</formula1>
    </dataValidation>
    <dataValidation sqref="FK24" showDropDown="0" showInputMessage="0" showErrorMessage="1" allowBlank="1" type="list" errorStyle="stop">
      <formula1>'DADOS_FORMAS'!$KA$2:$KA$55</formula1>
    </dataValidation>
    <dataValidation sqref="FC64" showDropDown="0" showInputMessage="0" showErrorMessage="1" allowBlank="1" type="list" errorStyle="stop">
      <formula1>'DADOS_FORMAS'!$JZ$2:$JZ$21</formula1>
    </dataValidation>
    <dataValidation sqref="FC70" showDropDown="0" showInputMessage="0" showErrorMessage="1" allowBlank="1" type="list" errorStyle="stop">
      <formula1>'DADOS_FORMAS'!$KA$2:$KA$55</formula1>
    </dataValidation>
    <dataValidation sqref="FK64" showDropDown="0" showInputMessage="0" showErrorMessage="1" allowBlank="1" type="list" errorStyle="stop">
      <formula1>'DADOS_FORMAS'!$JZ$2:$JZ$21</formula1>
    </dataValidation>
    <dataValidation sqref="FK70" showDropDown="0" showInputMessage="0" showErrorMessage="1" allowBlank="1" type="list" errorStyle="stop">
      <formula1>'DADOS_FORMAS'!$KA$2:$KA$55</formula1>
    </dataValidation>
    <dataValidation sqref="FC110" showDropDown="0" showInputMessage="0" showErrorMessage="1" allowBlank="1" type="list" errorStyle="stop">
      <formula1>'DADOS_FORMAS'!$JZ$2:$JZ$21</formula1>
    </dataValidation>
    <dataValidation sqref="FC116" showDropDown="0" showInputMessage="0" showErrorMessage="1" allowBlank="1" type="list" errorStyle="stop">
      <formula1>'DADOS_FORMAS'!$KA$2:$KA$55</formula1>
    </dataValidation>
    <dataValidation sqref="FK110" showDropDown="0" showInputMessage="0" showErrorMessage="1" allowBlank="1" type="list" errorStyle="stop">
      <formula1>'DADOS_FORMAS'!$JZ$2:$JZ$21</formula1>
    </dataValidation>
    <dataValidation sqref="FK116" showDropDown="0" showInputMessage="0" showErrorMessage="1" allowBlank="1" type="list" errorStyle="stop">
      <formula1>'DADOS_FORMAS'!$KA$2:$KA$55</formula1>
    </dataValidation>
    <dataValidation sqref="FC156" showDropDown="0" showInputMessage="0" showErrorMessage="1" allowBlank="1" type="list" errorStyle="stop">
      <formula1>'DADOS_FORMAS'!$JZ$2:$JZ$21</formula1>
    </dataValidation>
    <dataValidation sqref="FC162" showDropDown="0" showInputMessage="0" showErrorMessage="1" allowBlank="1" type="list" errorStyle="stop">
      <formula1>'DADOS_FORMAS'!$KA$2:$KA$55</formula1>
    </dataValidation>
    <dataValidation sqref="FK156" showDropDown="0" showInputMessage="0" showErrorMessage="1" allowBlank="1" type="list" errorStyle="stop">
      <formula1>'DADOS_FORMAS'!$JZ$2:$JZ$21</formula1>
    </dataValidation>
    <dataValidation sqref="FK162" showDropDown="0" showInputMessage="0" showErrorMessage="1" allowBlank="1" type="list" errorStyle="stop">
      <formula1>'DADOS_FORMAS'!$KA$2:$KA$55</formula1>
    </dataValidation>
    <dataValidation sqref="FC202" showDropDown="0" showInputMessage="0" showErrorMessage="1" allowBlank="1" type="list" errorStyle="stop">
      <formula1>'DADOS_FORMAS'!$JZ$2:$JZ$21</formula1>
    </dataValidation>
    <dataValidation sqref="FC208" showDropDown="0" showInputMessage="0" showErrorMessage="1" allowBlank="1" type="list" errorStyle="stop">
      <formula1>'DADOS_FORMAS'!$KA$2:$KA$55</formula1>
    </dataValidation>
    <dataValidation sqref="FK202" showDropDown="0" showInputMessage="0" showErrorMessage="1" allowBlank="1" type="list" errorStyle="stop">
      <formula1>'DADOS_FORMAS'!$JZ$2:$JZ$21</formula1>
    </dataValidation>
    <dataValidation sqref="FK208" showDropDown="0" showInputMessage="0" showErrorMessage="1" allowBlank="1" type="list" errorStyle="stop">
      <formula1>'DADOS_FORMAS'!$KA$2:$KA$55</formula1>
    </dataValidation>
    <dataValidation sqref="HB15" showDropDown="0" showInputMessage="0" showErrorMessage="1" allowBlank="1" type="list" errorStyle="stop">
      <formula1>'DADOS_ENTIDADES'!$U$2:$U$7</formula1>
    </dataValidation>
    <dataValidation sqref="HB16" showDropDown="0" showInputMessage="0" showErrorMessage="1" allowBlank="1" type="list" errorStyle="stop">
      <formula1>'DADOS_ENTIDADES'!$R$2:$R$3</formula1>
    </dataValidation>
    <dataValidation sqref="HB17" showDropDown="0" showInputMessage="0" showErrorMessage="1" allowBlank="1" type="list" errorStyle="stop">
      <formula1>'DADOS_ENTIDADES'!$S$2:$S$3</formula1>
    </dataValidation>
    <dataValidation sqref="HB19" showDropDown="0" showInputMessage="0" showErrorMessage="1" allowBlank="1" type="list" errorStyle="stop">
      <formula1>'DADOS_ENTIDADES'!$T$2:$T$3</formula1>
    </dataValidation>
    <dataValidation sqref="HJ15" showDropDown="0" showInputMessage="0" showErrorMessage="1" allowBlank="1" type="list" errorStyle="stop">
      <formula1>'DADOS_ENTIDADES'!$U$2:$U$7</formula1>
    </dataValidation>
    <dataValidation sqref="HJ16" showDropDown="0" showInputMessage="0" showErrorMessage="1" allowBlank="1" type="list" errorStyle="stop">
      <formula1>'DADOS_ENTIDADES'!$R$2:$R$3</formula1>
    </dataValidation>
    <dataValidation sqref="HJ17" showDropDown="0" showInputMessage="0" showErrorMessage="1" allowBlank="1" type="list" errorStyle="stop">
      <formula1>'DADOS_ENTIDADES'!$S$2:$S$3</formula1>
    </dataValidation>
    <dataValidation sqref="HJ19" showDropDown="0" showInputMessage="0" showErrorMessage="1" allowBlank="1" type="list" errorStyle="stop">
      <formula1>'DADOS_ENTIDADES'!$T$2:$T$3</formula1>
    </dataValidation>
    <dataValidation sqref="HB43" showDropDown="0" showInputMessage="0" showErrorMessage="1" allowBlank="1" type="list" errorStyle="stop">
      <formula1>'DADOS_ENTIDADES'!$U$2:$U$7</formula1>
    </dataValidation>
    <dataValidation sqref="HB44" showDropDown="0" showInputMessage="0" showErrorMessage="1" allowBlank="1" type="list" errorStyle="stop">
      <formula1>'DADOS_ENTIDADES'!$R$2:$R$3</formula1>
    </dataValidation>
    <dataValidation sqref="HB45" showDropDown="0" showInputMessage="0" showErrorMessage="1" allowBlank="1" type="list" errorStyle="stop">
      <formula1>'DADOS_ENTIDADES'!$S$2:$S$3</formula1>
    </dataValidation>
    <dataValidation sqref="HB47" showDropDown="0" showInputMessage="0" showErrorMessage="1" allowBlank="1" type="list" errorStyle="stop">
      <formula1>'DADOS_ENTIDADES'!$T$2:$T$3</formula1>
    </dataValidation>
    <dataValidation sqref="HJ43" showDropDown="0" showInputMessage="0" showErrorMessage="1" allowBlank="1" type="list" errorStyle="stop">
      <formula1>'DADOS_ENTIDADES'!$U$2:$U$7</formula1>
    </dataValidation>
    <dataValidation sqref="HJ44" showDropDown="0" showInputMessage="0" showErrorMessage="1" allowBlank="1" type="list" errorStyle="stop">
      <formula1>'DADOS_ENTIDADES'!$R$2:$R$3</formula1>
    </dataValidation>
    <dataValidation sqref="HJ45" showDropDown="0" showInputMessage="0" showErrorMessage="1" allowBlank="1" type="list" errorStyle="stop">
      <formula1>'DADOS_ENTIDADES'!$S$2:$S$3</formula1>
    </dataValidation>
    <dataValidation sqref="HJ47" showDropDown="0" showInputMessage="0" showErrorMessage="1" allowBlank="1" type="list" errorStyle="stop">
      <formula1>'DADOS_ENTIDADES'!$T$2:$T$3</formula1>
    </dataValidation>
    <dataValidation sqref="HB71" showDropDown="0" showInputMessage="0" showErrorMessage="1" allowBlank="1" type="list" errorStyle="stop">
      <formula1>'DADOS_ENTIDADES'!$U$2:$U$7</formula1>
    </dataValidation>
    <dataValidation sqref="HB72" showDropDown="0" showInputMessage="0" showErrorMessage="1" allowBlank="1" type="list" errorStyle="stop">
      <formula1>'DADOS_ENTIDADES'!$R$2:$R$3</formula1>
    </dataValidation>
    <dataValidation sqref="HB73" showDropDown="0" showInputMessage="0" showErrorMessage="1" allowBlank="1" type="list" errorStyle="stop">
      <formula1>'DADOS_ENTIDADES'!$S$2:$S$3</formula1>
    </dataValidation>
    <dataValidation sqref="HB75" showDropDown="0" showInputMessage="0" showErrorMessage="1" allowBlank="1" type="list" errorStyle="stop">
      <formula1>'DADOS_ENTIDADES'!$T$2:$T$3</formula1>
    </dataValidation>
    <dataValidation sqref="HJ71" showDropDown="0" showInputMessage="0" showErrorMessage="1" allowBlank="1" type="list" errorStyle="stop">
      <formula1>'DADOS_ENTIDADES'!$U$2:$U$7</formula1>
    </dataValidation>
    <dataValidation sqref="HJ72" showDropDown="0" showInputMessage="0" showErrorMessage="1" allowBlank="1" type="list" errorStyle="stop">
      <formula1>'DADOS_ENTIDADES'!$R$2:$R$3</formula1>
    </dataValidation>
    <dataValidation sqref="HJ73" showDropDown="0" showInputMessage="0" showErrorMessage="1" allowBlank="1" type="list" errorStyle="stop">
      <formula1>'DADOS_ENTIDADES'!$S$2:$S$3</formula1>
    </dataValidation>
    <dataValidation sqref="HJ75" showDropDown="0" showInputMessage="0" showErrorMessage="1" allowBlank="1" type="list" errorStyle="stop">
      <formula1>'DADOS_ENTIDADES'!$T$2:$T$3</formula1>
    </dataValidation>
    <dataValidation sqref="HB99" showDropDown="0" showInputMessage="0" showErrorMessage="1" allowBlank="1" type="list" errorStyle="stop">
      <formula1>'DADOS_ENTIDADES'!$U$2:$U$7</formula1>
    </dataValidation>
    <dataValidation sqref="HB100" showDropDown="0" showInputMessage="0" showErrorMessage="1" allowBlank="1" type="list" errorStyle="stop">
      <formula1>'DADOS_ENTIDADES'!$R$2:$R$3</formula1>
    </dataValidation>
    <dataValidation sqref="HB101" showDropDown="0" showInputMessage="0" showErrorMessage="1" allowBlank="1" type="list" errorStyle="stop">
      <formula1>'DADOS_ENTIDADES'!$S$2:$S$3</formula1>
    </dataValidation>
    <dataValidation sqref="HB103" showDropDown="0" showInputMessage="0" showErrorMessage="1" allowBlank="1" type="list" errorStyle="stop">
      <formula1>'DADOS_ENTIDADES'!$T$2:$T$3</formula1>
    </dataValidation>
    <dataValidation sqref="HJ99" showDropDown="0" showInputMessage="0" showErrorMessage="1" allowBlank="1" type="list" errorStyle="stop">
      <formula1>'DADOS_ENTIDADES'!$U$2:$U$7</formula1>
    </dataValidation>
    <dataValidation sqref="HJ100" showDropDown="0" showInputMessage="0" showErrorMessage="1" allowBlank="1" type="list" errorStyle="stop">
      <formula1>'DADOS_ENTIDADES'!$R$2:$R$3</formula1>
    </dataValidation>
    <dataValidation sqref="HJ101" showDropDown="0" showInputMessage="0" showErrorMessage="1" allowBlank="1" type="list" errorStyle="stop">
      <formula1>'DADOS_ENTIDADES'!$S$2:$S$3</formula1>
    </dataValidation>
    <dataValidation sqref="HJ103" showDropDown="0" showInputMessage="0" showErrorMessage="1" allowBlank="1" type="list" errorStyle="stop">
      <formula1>'DADOS_ENTIDADES'!$T$2:$T$3</formula1>
    </dataValidation>
    <dataValidation sqref="HB127" showDropDown="0" showInputMessage="0" showErrorMessage="1" allowBlank="1" type="list" errorStyle="stop">
      <formula1>'DADOS_ENTIDADES'!$U$2:$U$7</formula1>
    </dataValidation>
    <dataValidation sqref="HB128" showDropDown="0" showInputMessage="0" showErrorMessage="1" allowBlank="1" type="list" errorStyle="stop">
      <formula1>'DADOS_ENTIDADES'!$R$2:$R$3</formula1>
    </dataValidation>
    <dataValidation sqref="HB129" showDropDown="0" showInputMessage="0" showErrorMessage="1" allowBlank="1" type="list" errorStyle="stop">
      <formula1>'DADOS_ENTIDADES'!$S$2:$S$3</formula1>
    </dataValidation>
    <dataValidation sqref="HB131" showDropDown="0" showInputMessage="0" showErrorMessage="1" allowBlank="1" type="list" errorStyle="stop">
      <formula1>'DADOS_ENTIDADES'!$T$2:$T$3</formula1>
    </dataValidation>
    <dataValidation sqref="HJ127" showDropDown="0" showInputMessage="0" showErrorMessage="1" allowBlank="1" type="list" errorStyle="stop">
      <formula1>'DADOS_ENTIDADES'!$U$2:$U$7</formula1>
    </dataValidation>
    <dataValidation sqref="HJ128" showDropDown="0" showInputMessage="0" showErrorMessage="1" allowBlank="1" type="list" errorStyle="stop">
      <formula1>'DADOS_ENTIDADES'!$R$2:$R$3</formula1>
    </dataValidation>
    <dataValidation sqref="HJ129" showDropDown="0" showInputMessage="0" showErrorMessage="1" allowBlank="1" type="list" errorStyle="stop">
      <formula1>'DADOS_ENTIDADES'!$S$2:$S$3</formula1>
    </dataValidation>
    <dataValidation sqref="HJ131" showDropDown="0" showInputMessage="0" showErrorMessage="1" allowBlank="1" type="list" errorStyle="stop">
      <formula1>'DADOS_ENTIDADES'!$T$2:$T$3</formula1>
    </dataValidation>
    <dataValidation sqref="HS15" showDropDown="0" showInputMessage="0" showErrorMessage="1" allowBlank="1" type="list" errorStyle="stop">
      <formula1>'DADOS_ENTIDADES'!$W$2:$W$16</formula1>
    </dataValidation>
    <dataValidation sqref="HS16" showDropDown="0" showInputMessage="0" showErrorMessage="1" allowBlank="1" type="list" errorStyle="stop">
      <formula1>'DADOS_ENTIDADES'!$V$2:$V$4</formula1>
    </dataValidation>
    <dataValidation sqref="IA15" showDropDown="0" showInputMessage="0" showErrorMessage="1" allowBlank="1" type="list" errorStyle="stop">
      <formula1>'DADOS_ENTIDADES'!$W$2:$W$16</formula1>
    </dataValidation>
    <dataValidation sqref="IA16" showDropDown="0" showInputMessage="0" showErrorMessage="1" allowBlank="1" type="list" errorStyle="stop">
      <formula1>'DADOS_ENTIDADES'!$V$2:$V$4</formula1>
    </dataValidation>
    <dataValidation sqref="HS43" showDropDown="0" showInputMessage="0" showErrorMessage="1" allowBlank="1" type="list" errorStyle="stop">
      <formula1>'DADOS_ENTIDADES'!$W$2:$W$16</formula1>
    </dataValidation>
    <dataValidation sqref="HS44" showDropDown="0" showInputMessage="0" showErrorMessage="1" allowBlank="1" type="list" errorStyle="stop">
      <formula1>'DADOS_ENTIDADES'!$V$2:$V$4</formula1>
    </dataValidation>
    <dataValidation sqref="IA43" showDropDown="0" showInputMessage="0" showErrorMessage="1" allowBlank="1" type="list" errorStyle="stop">
      <formula1>'DADOS_ENTIDADES'!$W$2:$W$16</formula1>
    </dataValidation>
    <dataValidation sqref="IA44" showDropDown="0" showInputMessage="0" showErrorMessage="1" allowBlank="1" type="list" errorStyle="stop">
      <formula1>'DADOS_ENTIDADES'!$V$2:$V$4</formula1>
    </dataValidation>
    <dataValidation sqref="HS71" showDropDown="0" showInputMessage="0" showErrorMessage="1" allowBlank="1" type="list" errorStyle="stop">
      <formula1>'DADOS_ENTIDADES'!$W$2:$W$16</formula1>
    </dataValidation>
    <dataValidation sqref="HS72" showDropDown="0" showInputMessage="0" showErrorMessage="1" allowBlank="1" type="list" errorStyle="stop">
      <formula1>'DADOS_ENTIDADES'!$V$2:$V$4</formula1>
    </dataValidation>
    <dataValidation sqref="IA71" showDropDown="0" showInputMessage="0" showErrorMessage="1" allowBlank="1" type="list" errorStyle="stop">
      <formula1>'DADOS_ENTIDADES'!$W$2:$W$16</formula1>
    </dataValidation>
    <dataValidation sqref="IA72" showDropDown="0" showInputMessage="0" showErrorMessage="1" allowBlank="1" type="list" errorStyle="stop">
      <formula1>'DADOS_ENTIDADES'!$V$2:$V$4</formula1>
    </dataValidation>
    <dataValidation sqref="HS99" showDropDown="0" showInputMessage="0" showErrorMessage="1" allowBlank="1" type="list" errorStyle="stop">
      <formula1>'DADOS_ENTIDADES'!$W$2:$W$16</formula1>
    </dataValidation>
    <dataValidation sqref="HS100" showDropDown="0" showInputMessage="0" showErrorMessage="1" allowBlank="1" type="list" errorStyle="stop">
      <formula1>'DADOS_ENTIDADES'!$V$2:$V$4</formula1>
    </dataValidation>
    <dataValidation sqref="IA99" showDropDown="0" showInputMessage="0" showErrorMessage="1" allowBlank="1" type="list" errorStyle="stop">
      <formula1>'DADOS_ENTIDADES'!$W$2:$W$16</formula1>
    </dataValidation>
    <dataValidation sqref="IA100" showDropDown="0" showInputMessage="0" showErrorMessage="1" allowBlank="1" type="list" errorStyle="stop">
      <formula1>'DADOS_ENTIDADES'!$V$2:$V$4</formula1>
    </dataValidation>
    <dataValidation sqref="HS127" showDropDown="0" showInputMessage="0" showErrorMessage="1" allowBlank="1" type="list" errorStyle="stop">
      <formula1>'DADOS_ENTIDADES'!$W$2:$W$16</formula1>
    </dataValidation>
    <dataValidation sqref="HS128" showDropDown="0" showInputMessage="0" showErrorMessage="1" allowBlank="1" type="list" errorStyle="stop">
      <formula1>'DADOS_ENTIDADES'!$V$2:$V$4</formula1>
    </dataValidation>
    <dataValidation sqref="IA127" showDropDown="0" showInputMessage="0" showErrorMessage="1" allowBlank="1" type="list" errorStyle="stop">
      <formula1>'DADOS_ENTIDADES'!$W$2:$W$16</formula1>
    </dataValidation>
    <dataValidation sqref="IA128" showDropDown="0" showInputMessage="0" showErrorMessage="1" allowBlank="1" type="list" errorStyle="stop">
      <formula1>'DADOS_ENTIDADES'!$V$2:$V$4</formula1>
    </dataValidation>
    <dataValidation sqref="HS155" showDropDown="0" showInputMessage="0" showErrorMessage="1" allowBlank="1" type="list" errorStyle="stop">
      <formula1>'DADOS_ENTIDADES'!$W$2:$W$16</formula1>
    </dataValidation>
    <dataValidation sqref="HS156" showDropDown="0" showInputMessage="0" showErrorMessage="1" allowBlank="1" type="list" errorStyle="stop">
      <formula1>'DADOS_ENTIDADES'!$V$2:$V$4</formula1>
    </dataValidation>
    <dataValidation sqref="IA155" showDropDown="0" showInputMessage="0" showErrorMessage="1" allowBlank="1" type="list" errorStyle="stop">
      <formula1>'DADOS_ENTIDADES'!$W$2:$W$16</formula1>
    </dataValidation>
    <dataValidation sqref="IA156" showDropDown="0" showInputMessage="0" showErrorMessage="1" allowBlank="1" type="list" errorStyle="stop">
      <formula1>'DADOS_ENTIDADES'!$V$2:$V$4</formula1>
    </dataValidation>
    <dataValidation sqref="HS183" showDropDown="0" showInputMessage="0" showErrorMessage="1" allowBlank="1" type="list" errorStyle="stop">
      <formula1>'DADOS_ENTIDADES'!$W$2:$W$16</formula1>
    </dataValidation>
    <dataValidation sqref="HS184" showDropDown="0" showInputMessage="0" showErrorMessage="1" allowBlank="1" type="list" errorStyle="stop">
      <formula1>'DADOS_ENTIDADES'!$V$2:$V$4</formula1>
    </dataValidation>
    <dataValidation sqref="IA183" showDropDown="0" showInputMessage="0" showErrorMessage="1" allowBlank="1" type="list" errorStyle="stop">
      <formula1>'DADOS_ENTIDADES'!$W$2:$W$16</formula1>
    </dataValidation>
    <dataValidation sqref="IA184" showDropDown="0" showInputMessage="0" showErrorMessage="1" allowBlank="1" type="list" errorStyle="stop">
      <formula1>'DADOS_ENTIDADES'!$V$2:$V$4</formula1>
    </dataValidation>
    <dataValidation sqref="HS211" showDropDown="0" showInputMessage="0" showErrorMessage="1" allowBlank="1" type="list" errorStyle="stop">
      <formula1>'DADOS_ENTIDADES'!$W$2:$W$16</formula1>
    </dataValidation>
    <dataValidation sqref="HS212" showDropDown="0" showInputMessage="0" showErrorMessage="1" allowBlank="1" type="list" errorStyle="stop">
      <formula1>'DADOS_ENTIDADES'!$V$2:$V$4</formula1>
    </dataValidation>
    <dataValidation sqref="IA211" showDropDown="0" showInputMessage="0" showErrorMessage="1" allowBlank="1" type="list" errorStyle="stop">
      <formula1>'DADOS_ENTIDADES'!$W$2:$W$16</formula1>
    </dataValidation>
    <dataValidation sqref="IA212" showDropDown="0" showInputMessage="0" showErrorMessage="1" allowBlank="1" type="list" errorStyle="stop">
      <formula1>'DADOS_ENTIDADES'!$V$2:$V$4</formula1>
    </dataValidation>
    <dataValidation sqref="HS239" showDropDown="0" showInputMessage="0" showErrorMessage="1" allowBlank="1" type="list" errorStyle="stop">
      <formula1>'DADOS_ENTIDADES'!$W$2:$W$16</formula1>
    </dataValidation>
    <dataValidation sqref="HS240" showDropDown="0" showInputMessage="0" showErrorMessage="1" allowBlank="1" type="list" errorStyle="stop">
      <formula1>'DADOS_ENTIDADES'!$V$2:$V$4</formula1>
    </dataValidation>
    <dataValidation sqref="IA239" showDropDown="0" showInputMessage="0" showErrorMessage="1" allowBlank="1" type="list" errorStyle="stop">
      <formula1>'DADOS_ENTIDADES'!$W$2:$W$16</formula1>
    </dataValidation>
    <dataValidation sqref="IA240" showDropDown="0" showInputMessage="0" showErrorMessage="1" allowBlank="1" type="list" errorStyle="stop">
      <formula1>'DADOS_ENTIDADES'!$V$2:$V$4</formula1>
    </dataValidation>
    <dataValidation sqref="HS267" showDropDown="0" showInputMessage="0" showErrorMessage="1" allowBlank="1" type="list" errorStyle="stop">
      <formula1>'DADOS_ENTIDADES'!$W$2:$W$16</formula1>
    </dataValidation>
    <dataValidation sqref="HS268" showDropDown="0" showInputMessage="0" showErrorMessage="1" allowBlank="1" type="list" errorStyle="stop">
      <formula1>'DADOS_ENTIDADES'!$V$2:$V$4</formula1>
    </dataValidation>
    <dataValidation sqref="IA267" showDropDown="0" showInputMessage="0" showErrorMessage="1" allowBlank="1" type="list" errorStyle="stop">
      <formula1>'DADOS_ENTIDADES'!$W$2:$W$16</formula1>
    </dataValidation>
    <dataValidation sqref="IA268" showDropDown="0" showInputMessage="0" showErrorMessage="1" allowBlank="1" type="list" errorStyle="stop">
      <formula1>'DADOS_ENTIDADES'!$V$2:$V$4</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AI89"/>
  <sheetViews>
    <sheetView showGridLines="0" workbookViewId="0">
      <selection activeCell="A1" sqref="A1"/>
    </sheetView>
  </sheetViews>
  <sheetFormatPr baseColWidth="8" defaultRowHeight="18" customHeight="1"/>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s>
  <sheetData>
    <row r="1">
      <c r="A1" t="inlineStr">
        <is>
          <t>caixa</t>
        </is>
      </c>
      <c r="B1" t="inlineStr">
        <is>
          <t>soma</t>
        </is>
      </c>
      <c r="C1" t="inlineStr">
        <is>
          <t>trocas</t>
        </is>
      </c>
      <c r="D1" t="inlineStr">
        <is>
          <t>valor da troca</t>
        </is>
      </c>
      <c r="E1" t="inlineStr">
        <is>
          <t>problema</t>
        </is>
      </c>
      <c r="F1" t="inlineStr">
        <is>
          <t>conta anterior</t>
        </is>
      </c>
      <c r="G1" t="inlineStr">
        <is>
          <t>base numérica</t>
        </is>
      </c>
      <c r="H1" t="inlineStr">
        <is>
          <t>em uso</t>
        </is>
      </c>
      <c r="K1" t="inlineStr">
        <is>
          <t>efeito</t>
        </is>
      </c>
      <c r="L1" t="inlineStr">
        <is>
          <t>válido</t>
        </is>
      </c>
      <c r="M1" t="inlineStr">
        <is>
          <t>problema</t>
        </is>
      </c>
      <c r="O1" t="inlineStr">
        <is>
          <t>tipo de fonte</t>
        </is>
      </c>
      <c r="P1" t="inlineStr">
        <is>
          <t>avisos</t>
        </is>
      </c>
      <c r="R1" t="inlineStr">
        <is>
          <t>regra</t>
        </is>
      </c>
      <c r="S1" t="inlineStr">
        <is>
          <t>em uso</t>
        </is>
      </c>
      <c r="T1" t="inlineStr">
        <is>
          <t>problema</t>
        </is>
      </c>
      <c r="V1" t="inlineStr">
        <is>
          <t>nível</t>
        </is>
      </c>
      <c r="W1" t="inlineStr">
        <is>
          <t>custo</t>
        </is>
      </c>
      <c r="Z1" t="inlineStr">
        <is>
          <t>XP acumulado</t>
        </is>
      </c>
    </row>
    <row r="2">
      <c r="A2" t="inlineStr">
        <is>
          <t>Vida máxima</t>
        </is>
      </c>
      <c r="B2">
        <f>SUMIFS('CONFIGURAÇÃO'!$F$11:$F$40,'CONFIGURAÇÃO'!$C$11:$C$40,TRUE,'CONFIGURAÇÃO'!$D$11:$D$40,A2,'CONFIGURAÇÃO'!$E$11:$E$40,"somar")</f>
        <v/>
      </c>
      <c r="C2">
        <f>COUNTIFS('CONFIGURAÇÃO'!$C$11:$C$40,TRUE,'CONFIGURAÇÃO'!$D$11:$D$40,A2,'CONFIGURAÇÃO'!$E$11:$E$40,"trocar por")</f>
        <v/>
      </c>
      <c r="D2">
        <f>SUMIFS('CONFIGURAÇÃO'!$F$11:$F$40,'CONFIGURAÇÃO'!$C$11:$C$40,TRUE,'CONFIGURAÇÃO'!$D$11:$D$40,A2,'CONFIGURAÇÃO'!$E$11:$E$40,"trocar por")</f>
        <v/>
      </c>
      <c r="E2">
        <f>IF(COUNTIFS('CONFIGURAÇÃO'!$C$11:$C$40,"&lt;&gt;FALSE",'CONFIGURAÇÃO'!$D$11:$D$40,A2,$L$2:$L$31,0)&gt;0,"Entrada inválida",IF(C2&gt;1,"Conflito: mais de uma troca",""))</f>
        <v/>
      </c>
      <c r="F2">
        <f>IF(DADOS_CONFIG!$S$15="Não",IFERROR((IFERROR(IF('FICHA'!$D$11="","",(VLOOKUP('FICHA'!$D$11,'DADOS_PROGRESSAO'!$M$2:$T$8,3,FALSE)+'FICHA'!$T$19)+(VLOOKUP('FICHA'!$D$11,'DADOS_PROGRESSAO'!$M$2:$T$8,4,FALSE)+'FICHA'!$T$19)*('FICHA'!$AH$11-1)),""))+IFERROR(VALUE('FICHA'!$P$26&amp;""),0),""),IF(DADOS_CONFIG!$AF$32&lt;&gt;"",NA(),SUM(DADOS_CONFIG!$AF$2:$AF$31)+IFERROR(VALUE('FICHA'!$P$26&amp;""),0)))</f>
        <v/>
      </c>
      <c r="G2">
        <f>IF(DADOS_CONFIG!$S$15="Não",IFERROR((IFERROR(IF('FICHA'!$D$11="","",(VLOOKUP('FICHA'!$D$11,'DADOS_PROGRESSAO'!$M$2:$T$8,3,FALSE)+'FICHA'!$T$19)+(VLOOKUP('FICHA'!$D$11,'DADOS_PROGRESSAO'!$M$2:$T$8,4,FALSE)+'FICHA'!$T$19)*('FICHA'!$AH$11-1)),""))+IFERROR(VALUE('FICHA'!$P$26&amp;""),0),""),IF(DADOS_CONFIG!$AF$32&lt;&gt;"",NA(),SUM(DADOS_CONFIG!$AF$2:$AF$31)+IFERROR(VALUE('FICHA'!$P$26&amp;""),0)))</f>
        <v/>
      </c>
      <c r="H2">
        <f>'FICHA'!$J$26</f>
        <v/>
      </c>
      <c r="K2" t="n">
        <v>1</v>
      </c>
      <c r="L2">
        <f>IF(ISBLANK('CONFIGURAÇÃO'!$C$11),1,IF(NOT(ISLOGICAL('CONFIGURAÇÃO'!$C$11)),0,IF(NOT('CONFIGURAÇÃO'!$C$11),1,IF(AND(COUNTIFS($A$2:$A$89,'CONFIGURAÇÃO'!$D$11)=1,OR('CONFIGURAÇÃO'!$E$11="somar",'CONFIGURAÇÃO'!$E$11="trocar por"),ISNUMBER('CONFIGURAÇÃO'!$F$11),COUNTIFS($O$2:$O$7,'CONFIGURAÇÃO'!$G$11)=1,LEN(TRIM('CONFIGURAÇÃO'!$H$11&amp;""))&gt;0),1,0))))</f>
        <v/>
      </c>
      <c r="M2">
        <f>IF(L2=1,"","Efeito 1: confira ligado, caixa, como, valor e fonte")</f>
        <v/>
      </c>
      <c r="O2" t="inlineStr">
        <is>
          <t>Pacto</t>
        </is>
      </c>
      <c r="P2">
        <f>IF(COUNTIFS(L2:L31,0)&gt;0,"Efeito ligado inválido: confira os campos",IF(COUNTIFS(C2:C89,"&gt;1")&gt;0,"Conflito: desligue uma das trocas da mesma caixa",""))</f>
        <v/>
      </c>
      <c r="R2" t="inlineStr">
        <is>
          <t>nivel_inicial</t>
        </is>
      </c>
      <c r="S2">
        <f>'CONFIGURAÇÃO'!$G$46</f>
        <v/>
      </c>
      <c r="T2">
        <f>IF(ISERROR(S2),"Confira Nível inicial","")</f>
        <v/>
      </c>
      <c r="V2" t="n">
        <v>1</v>
      </c>
      <c r="W2">
        <f>'CONFIGURAÇÃO'!$G$65</f>
        <v/>
      </c>
      <c r="Z2">
        <f>IF(DADOS_CONFIG!$S$2=1,0,"—")</f>
        <v/>
      </c>
      <c r="AC2" t="n">
        <v>1</v>
      </c>
      <c r="AE2" t="inlineStr"/>
      <c r="AF2">
        <f>IF(OR(DADOS_CONFIG!$S$15="Não",1&gt;'FICHA'!$AH$11),0,IFERROR(VLOOKUP('FICHA'!$D$11,'DADOS_PROGRESSAO'!$M$2:$T$8,3,FALSE),"")+'FICHA'!$T$19)</f>
        <v/>
      </c>
      <c r="AH2" t="inlineStr">
        <is>
          <t>Bastião</t>
        </is>
      </c>
      <c r="AI2" t="n">
        <v>12</v>
      </c>
    </row>
    <row r="3">
      <c r="A3" t="inlineStr">
        <is>
          <t>PE máximo</t>
        </is>
      </c>
      <c r="B3">
        <f>SUMIFS('CONFIGURAÇÃO'!$F$11:$F$40,'CONFIGURAÇÃO'!$C$11:$C$40,TRUE,'CONFIGURAÇÃO'!$D$11:$D$40,A3,'CONFIGURAÇÃO'!$E$11:$E$40,"somar")</f>
        <v/>
      </c>
      <c r="C3">
        <f>COUNTIFS('CONFIGURAÇÃO'!$C$11:$C$40,TRUE,'CONFIGURAÇÃO'!$D$11:$D$40,A3,'CONFIGURAÇÃO'!$E$11:$E$40,"trocar por")</f>
        <v/>
      </c>
      <c r="D3">
        <f>SUMIFS('CONFIGURAÇÃO'!$F$11:$F$40,'CONFIGURAÇÃO'!$C$11:$C$40,TRUE,'CONFIGURAÇÃO'!$D$11:$D$40,A3,'CONFIGURAÇÃO'!$E$11:$E$40,"trocar por")</f>
        <v/>
      </c>
      <c r="E3">
        <f>IF(COUNTIFS('CONFIGURAÇÃO'!$C$11:$C$40,"&lt;&gt;FALSE",'CONFIGURAÇÃO'!$D$11:$D$40,A3,$L$2:$L$31,0)&gt;0,"Entrada inválida",IF(C3&gt;1,"Conflito: mais de uma troca",""))</f>
        <v/>
      </c>
      <c r="F3">
        <f>IFERROR((IFERROR(IF('FICHA'!$D$11="","",VLOOKUP('FICHA'!$D$11,'DADOS_PROGRESSAO'!$M$2:$T$8,5,FALSE)*'FICHA'!$AH$11),""))+IFERROR(VALUE('FICHA'!$P$30&amp;""),0),"")</f>
        <v/>
      </c>
      <c r="G3">
        <f>IFERROR((IFERROR(IF('FICHA'!$D$11="","",VLOOKUP('FICHA'!$D$11,'DADOS_PROGRESSAO'!$M$2:$T$8,5,FALSE)*'FICHA'!$AH$11),""))+IFERROR(VALUE('FICHA'!$P$30&amp;""),0),"")</f>
        <v/>
      </c>
      <c r="H3">
        <f>'FICHA'!$J$30</f>
        <v/>
      </c>
      <c r="K3" t="n">
        <v>2</v>
      </c>
      <c r="L3">
        <f>IF(ISBLANK('CONFIGURAÇÃO'!$C$12),1,IF(NOT(ISLOGICAL('CONFIGURAÇÃO'!$C$12)),0,IF(NOT('CONFIGURAÇÃO'!$C$12),1,IF(AND(COUNTIFS($A$2:$A$89,'CONFIGURAÇÃO'!$D$12)=1,OR('CONFIGURAÇÃO'!$E$12="somar",'CONFIGURAÇÃO'!$E$12="trocar por"),ISNUMBER('CONFIGURAÇÃO'!$F$12),COUNTIFS($O$2:$O$7,'CONFIGURAÇÃO'!$G$12)=1,LEN(TRIM('CONFIGURAÇÃO'!$H$12&amp;""))&gt;0),1,0))))</f>
        <v/>
      </c>
      <c r="M3">
        <f>IF(L3=1,"","Efeito 2: confira ligado, caixa, como, valor e fonte")</f>
        <v/>
      </c>
      <c r="O3" t="inlineStr">
        <is>
          <t>Origem</t>
        </is>
      </c>
      <c r="R3" t="inlineStr">
        <is>
          <t>atributos_pontos</t>
        </is>
      </c>
      <c r="S3">
        <f>'CONFIGURAÇÃO'!$G$47</f>
        <v/>
      </c>
      <c r="T3">
        <f>IF(ISERROR(S3),"Confira Pontos de atributo iniciais","")</f>
        <v/>
      </c>
      <c r="V3" t="n">
        <v>2</v>
      </c>
      <c r="W3">
        <f>'CONFIGURAÇÃO'!$G$66</f>
        <v/>
      </c>
      <c r="Z3">
        <f>IF(2&lt;DADOS_CONFIG!$S$2,"—",IF(2=DADOS_CONFIG!$S$2,0,IF(OR(Z2="Pendente",W2=""),"Pendente",Z2+W2)))</f>
        <v/>
      </c>
      <c r="AC3" t="n">
        <v>2</v>
      </c>
      <c r="AE3">
        <f>'CONFIGURAÇÃO'!$F$101</f>
        <v/>
      </c>
      <c r="AF3">
        <f>IF(OR(DADOS_CONFIG!$S$15="Não",2&gt;'FICHA'!$AH$11),0,IF(IFERROR(AND(ISNUMBER(AE3),AE3&gt;=1,AE3&lt;=$AI$10,INT(AE3)=AE3),FALSE),AE3+'FICHA'!$T$19,NA()))</f>
        <v/>
      </c>
      <c r="AH3" t="inlineStr">
        <is>
          <t>Vanguarda</t>
        </is>
      </c>
      <c r="AI3" t="n">
        <v>8</v>
      </c>
    </row>
    <row r="4">
      <c r="A4" t="inlineStr">
        <is>
          <t>Integridade máxima</t>
        </is>
      </c>
      <c r="B4">
        <f>SUMIFS('CONFIGURAÇÃO'!$F$11:$F$40,'CONFIGURAÇÃO'!$C$11:$C$40,TRUE,'CONFIGURAÇÃO'!$D$11:$D$40,A4,'CONFIGURAÇÃO'!$E$11:$E$40,"somar")</f>
        <v/>
      </c>
      <c r="C4">
        <f>COUNTIFS('CONFIGURAÇÃO'!$C$11:$C$40,TRUE,'CONFIGURAÇÃO'!$D$11:$D$40,A4,'CONFIGURAÇÃO'!$E$11:$E$40,"trocar por")</f>
        <v/>
      </c>
      <c r="D4">
        <f>SUMIFS('CONFIGURAÇÃO'!$F$11:$F$40,'CONFIGURAÇÃO'!$C$11:$C$40,TRUE,'CONFIGURAÇÃO'!$D$11:$D$40,A4,'CONFIGURAÇÃO'!$E$11:$E$40,"trocar por")</f>
        <v/>
      </c>
      <c r="E4">
        <f>IF(COUNTIFS('CONFIGURAÇÃO'!$C$11:$C$40,"&lt;&gt;FALSE",'CONFIGURAÇÃO'!$D$11:$D$40,A4,$L$2:$L$31,0)&gt;0,"Entrada inválida",IF(C4&gt;1,"Conflito: mais de uma troca",""))</f>
        <v/>
      </c>
      <c r="F4">
        <f>IFERROR((20+('FICHA'!AJ19+5)*('FICHA'!$AH$11-1))+IFERROR(VALUE('FICHA'!$P$34&amp;""),0),"")</f>
        <v/>
      </c>
      <c r="G4">
        <f>IFERROR((20+('FICHA'!AJ19+5)*('FICHA'!$AH$11-1))+IFERROR(VALUE('FICHA'!$P$34&amp;""),0),"")</f>
        <v/>
      </c>
      <c r="H4">
        <f>'FICHA'!$J$34</f>
        <v/>
      </c>
      <c r="K4" t="n">
        <v>3</v>
      </c>
      <c r="L4">
        <f>IF(ISBLANK('CONFIGURAÇÃO'!$C$13),1,IF(NOT(ISLOGICAL('CONFIGURAÇÃO'!$C$13)),0,IF(NOT('CONFIGURAÇÃO'!$C$13),1,IF(AND(COUNTIFS($A$2:$A$89,'CONFIGURAÇÃO'!$D$13)=1,OR('CONFIGURAÇÃO'!$E$13="somar",'CONFIGURAÇÃO'!$E$13="trocar por"),ISNUMBER('CONFIGURAÇÃO'!$F$13),COUNTIFS($O$2:$O$7,'CONFIGURAÇÃO'!$G$13)=1,LEN(TRIM('CONFIGURAÇÃO'!$H$13&amp;""))&gt;0),1,0))))</f>
        <v/>
      </c>
      <c r="M4">
        <f>IF(L4=1,"","Efeito 3: confira ligado, caixa, como, valor e fonte")</f>
        <v/>
      </c>
      <c r="O4" t="inlineStr">
        <is>
          <t>Origem custom</t>
        </is>
      </c>
      <c r="R4" t="inlineStr">
        <is>
          <t>atributos_teto_criacao</t>
        </is>
      </c>
      <c r="S4">
        <f>'CONFIGURAÇÃO'!$G$48</f>
        <v/>
      </c>
      <c r="T4">
        <f>IF(ISERROR(S4),"Confira Teto de atributo · criação","")</f>
        <v/>
      </c>
      <c r="V4" t="n">
        <v>3</v>
      </c>
      <c r="W4">
        <f>'CONFIGURAÇÃO'!$G$67</f>
        <v/>
      </c>
      <c r="Z4">
        <f>IF(3&lt;DADOS_CONFIG!$S$2,"—",IF(3=DADOS_CONFIG!$S$2,0,IF(OR(Z3="Pendente",W3=""),"Pendente",Z3+W3)))</f>
        <v/>
      </c>
      <c r="AC4" t="n">
        <v>3</v>
      </c>
      <c r="AE4">
        <f>'CONFIGURAÇÃO'!$F$102</f>
        <v/>
      </c>
      <c r="AF4">
        <f>IF(OR(DADOS_CONFIG!$S$15="Não",3&gt;'FICHA'!$AH$11),0,IF(IFERROR(AND(ISNUMBER(AE4),AE4&gt;=1,AE4&lt;=$AI$10,INT(AE4)=AE4),FALSE),AE4+'FICHA'!$T$19,NA()))</f>
        <v/>
      </c>
      <c r="AH4" t="inlineStr">
        <is>
          <t>Guia</t>
        </is>
      </c>
      <c r="AI4" t="n">
        <v>8</v>
      </c>
    </row>
    <row r="5">
      <c r="A5" t="inlineStr">
        <is>
          <t>Defesa</t>
        </is>
      </c>
      <c r="B5">
        <f>SUMIFS('CONFIGURAÇÃO'!$F$11:$F$40,'CONFIGURAÇÃO'!$C$11:$C$40,TRUE,'CONFIGURAÇÃO'!$D$11:$D$40,A5,'CONFIGURAÇÃO'!$E$11:$E$40,"somar")</f>
        <v/>
      </c>
      <c r="C5">
        <f>COUNTIFS('CONFIGURAÇÃO'!$C$11:$C$40,TRUE,'CONFIGURAÇÃO'!$D$11:$D$40,A5,'CONFIGURAÇÃO'!$E$11:$E$40,"trocar por")</f>
        <v/>
      </c>
      <c r="D5">
        <f>SUMIFS('CONFIGURAÇÃO'!$F$11:$F$40,'CONFIGURAÇÃO'!$C$11:$C$40,TRUE,'CONFIGURAÇÃO'!$D$11:$D$40,A5,'CONFIGURAÇÃO'!$E$11:$E$40,"trocar por")</f>
        <v/>
      </c>
      <c r="E5">
        <f>IF(COUNTIFS('CONFIGURAÇÃO'!$C$11:$C$40,"&lt;&gt;FALSE",'CONFIGURAÇÃO'!$D$11:$D$40,A5,$L$2:$L$31,0)&gt;0,"Entrada inválida",IF(C5&gt;1,"Conflito: mais de uma troca",""))</f>
        <v/>
      </c>
      <c r="F5">
        <f>IF(OR(COUNTIF('DADOS_CUSTOM'!$C$2:$C$26,'FICHA PESSOAL'!$AH$64)&gt;0,AND(DADOS!$CZ$19=1,COUNTIF('DADOS_CUSTOM'!$C$2:$C$26,'FICHA PESSOAL'!$S$64)&gt;0)),10+MIN('FICHA'!$L$19,MIN(IFERROR(VALUE(DADOS!$CZ$29&amp;""),9999),IF(DADOS!$CZ$19=1,IFERROR(VALUE(VLOOKUP('FICHA PESSOAL'!$S$64,'DADOS_CUSTOM'!$BM$2:$BU$125,4,FALSE)&amp;""),9999),9999)))+'FICHA'!$O$59+IFERROR(VALUE('FICHA'!$L$59&amp;""),0),10+IF('FICHA'!$Z$59="",'FICHA'!$L$19,MIN('FICHA'!$L$19,IFERROR(VALUE(VLOOKUP('FICHA'!$Z$59,DADOS!$AE$5:$AH$31,3,FALSE)&amp;""),'FICHA'!$L$19)))+'FICHA'!$O$59+IFERROR(VALUE('FICHA'!$L$59&amp;""),0))</f>
        <v/>
      </c>
      <c r="G5">
        <f>IF(OR(COUNTIF('DADOS_CUSTOM'!$C$2:$C$26,'FICHA PESSOAL'!$AH$64)&gt;0,AND(DADOS!$CZ$19=1,COUNTIF('DADOS_CUSTOM'!$C$2:$C$26,'FICHA PESSOAL'!$S$64)&gt;0)),10+MIN('FICHA'!$L$19,MIN(IFERROR(VALUE(DADOS!$CZ$29&amp;""),9999),IF(DADOS!$CZ$19=1,IFERROR(VALUE(VLOOKUP('FICHA PESSOAL'!$S$64,'DADOS_CUSTOM'!$BM$2:$BU$125,4,FALSE)&amp;""),9999),9999)))+'FICHA'!$O$59+IFERROR(VALUE('FICHA'!$L$59&amp;""),0),10+IF('FICHA'!$Z$59="",'FICHA'!$L$19,MIN('FICHA'!$L$19,IFERROR(VALUE(VLOOKUP('FICHA'!$Z$59,DADOS!$AE$5:$AH$31,3,FALSE)&amp;""),'FICHA'!$L$19)))+'FICHA'!$O$59+IFERROR(VALUE('FICHA'!$L$59&amp;""),0))</f>
        <v/>
      </c>
      <c r="H5">
        <f>'FICHA'!$D$59</f>
        <v/>
      </c>
      <c r="K5" t="n">
        <v>4</v>
      </c>
      <c r="L5">
        <f>IF(ISBLANK('CONFIGURAÇÃO'!$C$14),1,IF(NOT(ISLOGICAL('CONFIGURAÇÃO'!$C$14)),0,IF(NOT('CONFIGURAÇÃO'!$C$14),1,IF(AND(COUNTIFS($A$2:$A$89,'CONFIGURAÇÃO'!$D$14)=1,OR('CONFIGURAÇÃO'!$E$14="somar",'CONFIGURAÇÃO'!$E$14="trocar por"),ISNUMBER('CONFIGURAÇÃO'!$F$14),COUNTIFS($O$2:$O$7,'CONFIGURAÇÃO'!$G$14)=1,LEN(TRIM('CONFIGURAÇÃO'!$H$14&amp;""))&gt;0),1,0))))</f>
        <v/>
      </c>
      <c r="M5">
        <f>IF(L5=1,"","Efeito 4: confira ligado, caixa, como, valor e fonte")</f>
        <v/>
      </c>
      <c r="O5" t="inlineStr">
        <is>
          <t>Item</t>
        </is>
      </c>
      <c r="R5" t="inlineStr">
        <is>
          <t>atributos_teto</t>
        </is>
      </c>
      <c r="S5">
        <f>'CONFIGURAÇÃO'!$G$49</f>
        <v/>
      </c>
      <c r="T5">
        <f>IF(ISERROR(S5),"Confira Teto de atributo · progressão","")</f>
        <v/>
      </c>
      <c r="V5" t="n">
        <v>4</v>
      </c>
      <c r="W5">
        <f>'CONFIGURAÇÃO'!$G$68</f>
        <v/>
      </c>
      <c r="Z5">
        <f>IF(4&lt;DADOS_CONFIG!$S$2,"—",IF(4=DADOS_CONFIG!$S$2,0,IF(OR(Z4="Pendente",W4=""),"Pendente",Z4+W4)))</f>
        <v/>
      </c>
      <c r="AC5" t="n">
        <v>4</v>
      </c>
      <c r="AE5">
        <f>'CONFIGURAÇÃO'!$F$103</f>
        <v/>
      </c>
      <c r="AF5">
        <f>IF(OR(DADOS_CONFIG!$S$15="Não",4&gt;'FICHA'!$AH$11),0,IF(IFERROR(AND(ISNUMBER(AE5),AE5&gt;=1,AE5&lt;=$AI$10,INT(AE5)=AE5),FALSE),AE5+'FICHA'!$T$19,NA()))</f>
        <v/>
      </c>
      <c r="AH5" t="inlineStr">
        <is>
          <t>Emanador</t>
        </is>
      </c>
      <c r="AI5" t="n">
        <v>6</v>
      </c>
    </row>
    <row r="6">
      <c r="A6" t="inlineStr">
        <is>
          <t>Proteção</t>
        </is>
      </c>
      <c r="B6">
        <f>SUMIFS('CONFIGURAÇÃO'!$F$11:$F$40,'CONFIGURAÇÃO'!$C$11:$C$40,TRUE,'CONFIGURAÇÃO'!$D$11:$D$40,A6,'CONFIGURAÇÃO'!$E$11:$E$40,"somar")</f>
        <v/>
      </c>
      <c r="C6">
        <f>COUNTIFS('CONFIGURAÇÃO'!$C$11:$C$40,TRUE,'CONFIGURAÇÃO'!$D$11:$D$40,A6,'CONFIGURAÇÃO'!$E$11:$E$40,"trocar por")</f>
        <v/>
      </c>
      <c r="D6">
        <f>SUMIFS('CONFIGURAÇÃO'!$F$11:$F$40,'CONFIGURAÇÃO'!$C$11:$C$40,TRUE,'CONFIGURAÇÃO'!$D$11:$D$40,A6,'CONFIGURAÇÃO'!$E$11:$E$40,"trocar por")</f>
        <v/>
      </c>
      <c r="E6">
        <f>IF(COUNTIFS('CONFIGURAÇÃO'!$C$11:$C$40,"&lt;&gt;FALSE",'CONFIGURAÇÃO'!$D$11:$D$40,A6,$L$2:$L$31,0)&gt;0,"Entrada inválida",IF(C6&gt;1,"Conflito: mais de uma troca",""))</f>
        <v/>
      </c>
      <c r="F6">
        <f>IF(OR(COUNTIF('DADOS_CUSTOM'!$C$2:$C$26,'FICHA PESSOAL'!$AH$64)&gt;0,AND(DADOS!$CZ$19=1,COUNTIF('DADOS_CUSTOM'!$C$2:$C$26,'FICHA PESSOAL'!$S$64)&gt;0)),IF(DADOS!$CZ$27=1,DADOS!$CZ$28,FLOOR(MIN(10,'FICHA'!$O$73+MIN('FICHA'!$O$73-1,IFERROR(VALUE('FICHA'!$AO$56&amp;""),0)))/3,1)+1)+IF(DADOS!$CZ$19=1,IFERROR(VLOOKUP('FICHA PESSOAL'!$S$64,'DADOS_CUSTOM'!$BM$2:$BU$125,3,FALSE),0),0)+IFERROR(VALUE('FICHA'!$W$59&amp;""),0),IF('FICHA'!$Z$59="",FLOOR(MIN(10,'FICHA'!$O$73+MIN('FICHA'!$O$73-1,IFERROR(VALUE('FICHA'!$AO$56&amp;""),0)))/3,1)+1,IF(VLOOKUP('FICHA'!$Z$59,DADOS!$AE$5:$AH$31,4,FALSE)="sim",0,FLOOR(MIN(10,'FICHA'!$O$73+MIN('FICHA'!$O$73-1,IFERROR(VALUE('FICHA'!$AO$56&amp;""),0)))/3,1)+1)+VLOOKUP('FICHA'!$Z$59,DADOS!$AE$5:$AH$31,2,FALSE))+IFERROR(VALUE('FICHA'!$W$59&amp;""),0))</f>
        <v/>
      </c>
      <c r="G6">
        <f>IF(OR(COUNTIF('DADOS_CUSTOM'!$C$2:$C$26,'FICHA PESSOAL'!$AH$64)&gt;0,AND(DADOS!$CZ$19=1,COUNTIF('DADOS_CUSTOM'!$C$2:$C$26,'FICHA PESSOAL'!$S$64)&gt;0)),IF(DADOS!$CZ$27=1,DADOS!$CZ$28,FLOOR(MIN(10,'FICHA'!$O$73+MIN('FICHA'!$O$73-1,IFERROR(VALUE('FICHA'!$AO$56&amp;""),0)))/3,1)+1)+IF(DADOS!$CZ$19=1,IFERROR(VLOOKUP('FICHA PESSOAL'!$S$64,'DADOS_CUSTOM'!$BM$2:$BU$125,3,FALSE),0),0)+IFERROR(VALUE('FICHA'!$W$59&amp;""),0),IF('FICHA'!$Z$59="",FLOOR(MIN(10,'FICHA'!$O$73+MIN('FICHA'!$O$73-1,IFERROR(VALUE('FICHA'!$AO$56&amp;""),0)))/3,1)+1,IF(VLOOKUP('FICHA'!$Z$59,DADOS!$AE$5:$AH$31,4,FALSE)="sim",0,FLOOR(MIN(10,'FICHA'!$O$73+MIN('FICHA'!$O$73-1,IFERROR(VALUE('FICHA'!$AO$56&amp;""),0)))/3,1)+1)+VLOOKUP('FICHA'!$Z$59,DADOS!$AE$5:$AH$31,2,FALSE))+IFERROR(VALUE('FICHA'!$W$59&amp;""),0))</f>
        <v/>
      </c>
      <c r="H6">
        <f>'FICHA'!$O$59</f>
        <v/>
      </c>
      <c r="K6" t="n">
        <v>5</v>
      </c>
      <c r="L6">
        <f>IF(ISBLANK('CONFIGURAÇÃO'!$C$15),1,IF(NOT(ISLOGICAL('CONFIGURAÇÃO'!$C$15)),0,IF(NOT('CONFIGURAÇÃO'!$C$15),1,IF(AND(COUNTIFS($A$2:$A$89,'CONFIGURAÇÃO'!$D$15)=1,OR('CONFIGURAÇÃO'!$E$15="somar",'CONFIGURAÇÃO'!$E$15="trocar por"),ISNUMBER('CONFIGURAÇÃO'!$F$15),COUNTIFS($O$2:$O$7,'CONFIGURAÇÃO'!$G$15)=1,LEN(TRIM('CONFIGURAÇÃO'!$H$15&amp;""))&gt;0),1,0))))</f>
        <v/>
      </c>
      <c r="M6">
        <f>IF(L6=1,"","Efeito 5: confira ligado, caixa, como, valor e fonte")</f>
        <v/>
      </c>
      <c r="O6" t="inlineStr">
        <is>
          <t>Técnica</t>
        </is>
      </c>
      <c r="R6" t="inlineStr">
        <is>
          <t>pericias_com_oficio</t>
        </is>
      </c>
      <c r="S6">
        <f>'CONFIGURAÇÃO'!$G$50</f>
        <v/>
      </c>
      <c r="T6">
        <f>IF(ISERROR(S6),"Confira Perícias · com ofícios","")</f>
        <v/>
      </c>
      <c r="V6" t="n">
        <v>5</v>
      </c>
      <c r="W6">
        <f>'CONFIGURAÇÃO'!$G$69</f>
        <v/>
      </c>
      <c r="Z6">
        <f>IF(5&lt;DADOS_CONFIG!$S$2,"—",IF(5=DADOS_CONFIG!$S$2,0,IF(OR(Z5="Pendente",W5=""),"Pendente",Z5+W5)))</f>
        <v/>
      </c>
      <c r="AC6" t="n">
        <v>5</v>
      </c>
      <c r="AE6">
        <f>'CONFIGURAÇÃO'!$F$104</f>
        <v/>
      </c>
      <c r="AF6">
        <f>IF(OR(DADOS_CONFIG!$S$15="Não",5&gt;'FICHA'!$AH$11),0,IF(IFERROR(AND(ISNUMBER(AE6),AE6&gt;=1,AE6&lt;=$AI$10,INT(AE6)=AE6),FALSE),AE6+'FICHA'!$T$19,NA()))</f>
        <v/>
      </c>
      <c r="AH6" t="inlineStr">
        <is>
          <t>Evocador</t>
        </is>
      </c>
      <c r="AI6" t="n">
        <v>6</v>
      </c>
    </row>
    <row r="7">
      <c r="A7" t="inlineStr">
        <is>
          <t>Iniciativa</t>
        </is>
      </c>
      <c r="B7">
        <f>SUMIFS('CONFIGURAÇÃO'!$F$11:$F$40,'CONFIGURAÇÃO'!$C$11:$C$40,TRUE,'CONFIGURAÇÃO'!$D$11:$D$40,A7,'CONFIGURAÇÃO'!$E$11:$E$40,"somar")</f>
        <v/>
      </c>
      <c r="C7">
        <f>COUNTIFS('CONFIGURAÇÃO'!$C$11:$C$40,TRUE,'CONFIGURAÇÃO'!$D$11:$D$40,A7,'CONFIGURAÇÃO'!$E$11:$E$40,"trocar por")</f>
        <v/>
      </c>
      <c r="D7">
        <f>SUMIFS('CONFIGURAÇÃO'!$F$11:$F$40,'CONFIGURAÇÃO'!$C$11:$C$40,TRUE,'CONFIGURAÇÃO'!$D$11:$D$40,A7,'CONFIGURAÇÃO'!$E$11:$E$40,"trocar por")</f>
        <v/>
      </c>
      <c r="E7">
        <f>IF(COUNTIFS('CONFIGURAÇÃO'!$C$11:$C$40,"&lt;&gt;FALSE",'CONFIGURAÇÃO'!$D$11:$D$40,A7,$L$2:$L$31,0)&gt;0,"Entrada inválida",IF(C7&gt;1,"Conflito: mais de uma troca",""))</f>
        <v/>
      </c>
      <c r="F7">
        <f>"d20 + "&amp;('FICHA'!$L$19+IFERROR(VALUE('FICHA'!$AS$59&amp;""),0))</f>
        <v/>
      </c>
      <c r="G7">
        <f>('FICHA'!$L$19+IFERROR(VALUE('FICHA'!$AS$59&amp;""),0))</f>
        <v/>
      </c>
      <c r="H7">
        <f>'FICHA'!$AK$59</f>
        <v/>
      </c>
      <c r="K7" t="n">
        <v>6</v>
      </c>
      <c r="L7">
        <f>IF(ISBLANK('CONFIGURAÇÃO'!$C$16),1,IF(NOT(ISLOGICAL('CONFIGURAÇÃO'!$C$16)),0,IF(NOT('CONFIGURAÇÃO'!$C$16),1,IF(AND(COUNTIFS($A$2:$A$89,'CONFIGURAÇÃO'!$D$16)=1,OR('CONFIGURAÇÃO'!$E$16="somar",'CONFIGURAÇÃO'!$E$16="trocar por"),ISNUMBER('CONFIGURAÇÃO'!$F$16),COUNTIFS($O$2:$O$7,'CONFIGURAÇÃO'!$G$16)=1,LEN(TRIM('CONFIGURAÇÃO'!$H$16&amp;""))&gt;0),1,0))))</f>
        <v/>
      </c>
      <c r="M7">
        <f>IF(L7=1,"","Efeito 6: confira ligado, caixa, como, valor e fonte")</f>
        <v/>
      </c>
      <c r="O7" t="inlineStr">
        <is>
          <t>Decisão do mestre</t>
        </is>
      </c>
      <c r="R7" t="inlineStr">
        <is>
          <t>oficios_criacao</t>
        </is>
      </c>
      <c r="S7">
        <f>'CONFIGURAÇÃO'!$G$51</f>
        <v/>
      </c>
      <c r="T7">
        <f>IF(ISERROR(S7),"Confira Ofícios · criação","")</f>
        <v/>
      </c>
      <c r="V7" t="n">
        <v>6</v>
      </c>
      <c r="W7">
        <f>'CONFIGURAÇÃO'!$G$70</f>
        <v/>
      </c>
      <c r="Z7">
        <f>IF(6&lt;DADOS_CONFIG!$S$2,"—",IF(6=DADOS_CONFIG!$S$2,0,IF(OR(Z6="Pendente",W6=""),"Pendente",Z6+W6)))</f>
        <v/>
      </c>
      <c r="AC7" t="n">
        <v>6</v>
      </c>
      <c r="AE7">
        <f>'CONFIGURAÇÃO'!$F$105</f>
        <v/>
      </c>
      <c r="AF7">
        <f>IF(OR(DADOS_CONFIG!$S$15="Não",6&gt;'FICHA'!$AH$11),0,IF(IFERROR(AND(ISNUMBER(AE7),AE7&gt;=1,AE7&lt;=$AI$10,INT(AE7)=AE7),FALSE),AE7+'FICHA'!$T$19,NA()))</f>
        <v/>
      </c>
      <c r="AH7" t="inlineStr">
        <is>
          <t>Incursor</t>
        </is>
      </c>
      <c r="AI7" t="n">
        <v>6</v>
      </c>
    </row>
    <row r="8">
      <c r="A8" t="inlineStr">
        <is>
          <t>CD de feitiço</t>
        </is>
      </c>
      <c r="B8">
        <f>SUMIFS('CONFIGURAÇÃO'!$F$11:$F$40,'CONFIGURAÇÃO'!$C$11:$C$40,TRUE,'CONFIGURAÇÃO'!$D$11:$D$40,A8,'CONFIGURAÇÃO'!$E$11:$E$40,"somar")</f>
        <v/>
      </c>
      <c r="C8">
        <f>COUNTIFS('CONFIGURAÇÃO'!$C$11:$C$40,TRUE,'CONFIGURAÇÃO'!$D$11:$D$40,A8,'CONFIGURAÇÃO'!$E$11:$E$40,"trocar por")</f>
        <v/>
      </c>
      <c r="D8">
        <f>SUMIFS('CONFIGURAÇÃO'!$F$11:$F$40,'CONFIGURAÇÃO'!$C$11:$C$40,TRUE,'CONFIGURAÇÃO'!$D$11:$D$40,A8,'CONFIGURAÇÃO'!$E$11:$E$40,"trocar por")</f>
        <v/>
      </c>
      <c r="E8">
        <f>IF(COUNTIFS('CONFIGURAÇÃO'!$C$11:$C$40,"&lt;&gt;FALSE",'CONFIGURAÇÃO'!$D$11:$D$40,A8,$L$2:$L$31,0)&gt;0,"Entrada inválida",IF(C8&gt;1,"Conflito: mais de uma troca",""))</f>
        <v/>
      </c>
      <c r="F8">
        <f>8+'FICHA'!D67+IFS('FICHA'!Z67="FORÇA",'FICHA'!$D$19, 'FICHA'!Z67="DESTREZA",'FICHA'!$L$19, 'FICHA'!Z67="CONSTITUIÇÃO",'FICHA'!$T$19, 'FICHA'!Z67="INTELIGÊNCIA",'FICHA'!$AB$19, 'FICHA'!Z67="ESSÊNCIA",'FICHA'!$AJ$19)+IFERROR(VALUE('FICHA'!$L$63&amp;""),0)</f>
        <v/>
      </c>
      <c r="G8">
        <f>8+'FICHA'!D67+IFS('FICHA'!Z67="FORÇA",'FICHA'!$D$19, 'FICHA'!Z67="DESTREZA",'FICHA'!$L$19, 'FICHA'!Z67="CONSTITUIÇÃO",'FICHA'!$T$19, 'FICHA'!Z67="INTELIGÊNCIA",'FICHA'!$AB$19, 'FICHA'!Z67="ESSÊNCIA",'FICHA'!$AJ$19)+IFERROR(VALUE('FICHA'!$L$63&amp;""),0)</f>
        <v/>
      </c>
      <c r="H8">
        <f>'FICHA'!$D$63</f>
        <v/>
      </c>
      <c r="K8" t="n">
        <v>7</v>
      </c>
      <c r="L8">
        <f>IF(ISBLANK('CONFIGURAÇÃO'!$C$17),1,IF(NOT(ISLOGICAL('CONFIGURAÇÃO'!$C$17)),0,IF(NOT('CONFIGURAÇÃO'!$C$17),1,IF(AND(COUNTIFS($A$2:$A$89,'CONFIGURAÇÃO'!$D$17)=1,OR('CONFIGURAÇÃO'!$E$17="somar",'CONFIGURAÇÃO'!$E$17="trocar por"),ISNUMBER('CONFIGURAÇÃO'!$F$17),COUNTIFS($O$2:$O$7,'CONFIGURAÇÃO'!$G$17)=1,LEN(TRIM('CONFIGURAÇÃO'!$H$17&amp;""))&gt;0),1,0))))</f>
        <v/>
      </c>
      <c r="M8">
        <f>IF(L8=1,"","Efeito 7: confira ligado, caixa, como, valor e fonte")</f>
        <v/>
      </c>
      <c r="R8" t="inlineStr">
        <is>
          <t>pericias_sem_oficio</t>
        </is>
      </c>
      <c r="S8">
        <f>'CONFIGURAÇÃO'!$G$52</f>
        <v/>
      </c>
      <c r="T8">
        <f>IF(ISERROR(S8),"Confira Perícias · sem ofícios","")</f>
        <v/>
      </c>
      <c r="V8" t="n">
        <v>7</v>
      </c>
      <c r="W8">
        <f>'CONFIGURAÇÃO'!$G$71</f>
        <v/>
      </c>
      <c r="Z8">
        <f>IF(7&lt;DADOS_CONFIG!$S$2,"—",IF(7=DADOS_CONFIG!$S$2,0,IF(OR(Z7="Pendente",W7=""),"Pendente",Z7+W7)))</f>
        <v/>
      </c>
      <c r="AC8" t="n">
        <v>7</v>
      </c>
      <c r="AE8">
        <f>'CONFIGURAÇÃO'!$F$106</f>
        <v/>
      </c>
      <c r="AF8">
        <f>IF(OR(DADOS_CONFIG!$S$15="Não",7&gt;'FICHA'!$AH$11),0,IF(IFERROR(AND(ISNUMBER(AE8),AE8&gt;=1,AE8&lt;=$AI$10,INT(AE8)=AE8),FALSE),AE8+'FICHA'!$T$19,NA()))</f>
        <v/>
      </c>
    </row>
    <row r="9">
      <c r="A9" t="inlineStr">
        <is>
          <t>Conjuração</t>
        </is>
      </c>
      <c r="B9">
        <f>SUMIFS('CONFIGURAÇÃO'!$F$11:$F$40,'CONFIGURAÇÃO'!$C$11:$C$40,TRUE,'CONFIGURAÇÃO'!$D$11:$D$40,A9,'CONFIGURAÇÃO'!$E$11:$E$40,"somar")</f>
        <v/>
      </c>
      <c r="C9">
        <f>COUNTIFS('CONFIGURAÇÃO'!$C$11:$C$40,TRUE,'CONFIGURAÇÃO'!$D$11:$D$40,A9,'CONFIGURAÇÃO'!$E$11:$E$40,"trocar por")</f>
        <v/>
      </c>
      <c r="D9">
        <f>SUMIFS('CONFIGURAÇÃO'!$F$11:$F$40,'CONFIGURAÇÃO'!$C$11:$C$40,TRUE,'CONFIGURAÇÃO'!$D$11:$D$40,A9,'CONFIGURAÇÃO'!$E$11:$E$40,"trocar por")</f>
        <v/>
      </c>
      <c r="E9">
        <f>IF(COUNTIFS('CONFIGURAÇÃO'!$C$11:$C$40,"&lt;&gt;FALSE",'CONFIGURAÇÃO'!$D$11:$D$40,A9,$L$2:$L$31,0)&gt;0,"Entrada inválida",IF(C9&gt;1,"Conflito: mais de uma troca",""))</f>
        <v/>
      </c>
      <c r="F9">
        <f>"d20 + "&amp;('FICHA'!D67+IFS('FICHA'!Z67="FORÇA",'FICHA'!$D$19, 'FICHA'!Z67="DESTREZA",'FICHA'!$L$19, 'FICHA'!Z67="CONSTITUIÇÃO",'FICHA'!$T$19, 'FICHA'!Z67="INTELIGÊNCIA",'FICHA'!$AB$19, 'FICHA'!Z67="ESSÊNCIA",'FICHA'!$AJ$19)+IFERROR(VALUE('FICHA'!$W$63&amp;""),0))</f>
        <v/>
      </c>
      <c r="G9">
        <f>('FICHA'!D67+IFS('FICHA'!Z67="FORÇA",'FICHA'!$D$19, 'FICHA'!Z67="DESTREZA",'FICHA'!$L$19, 'FICHA'!Z67="CONSTITUIÇÃO",'FICHA'!$T$19, 'FICHA'!Z67="INTELIGÊNCIA",'FICHA'!$AB$19, 'FICHA'!Z67="ESSÊNCIA",'FICHA'!$AJ$19)+IFERROR(VALUE('FICHA'!$W$63&amp;""),0))</f>
        <v/>
      </c>
      <c r="H9">
        <f>'FICHA'!$O$63</f>
        <v/>
      </c>
      <c r="K9" t="n">
        <v>8</v>
      </c>
      <c r="L9">
        <f>IF(ISBLANK('CONFIGURAÇÃO'!$C$18),1,IF(NOT(ISLOGICAL('CONFIGURAÇÃO'!$C$18)),0,IF(NOT('CONFIGURAÇÃO'!$C$18),1,IF(AND(COUNTIFS($A$2:$A$89,'CONFIGURAÇÃO'!$D$18)=1,OR('CONFIGURAÇÃO'!$E$18="somar",'CONFIGURAÇÃO'!$E$18="trocar por"),ISNUMBER('CONFIGURAÇÃO'!$F$18),COUNTIFS($O$2:$O$7,'CONFIGURAÇÃO'!$G$18)=1,LEN(TRIM('CONFIGURAÇÃO'!$H$18&amp;""))&gt;0),1,0))))</f>
        <v/>
      </c>
      <c r="M9">
        <f>IF(L9=1,"","Efeito 8: confira ligado, caixa, como, valor e fonte")</f>
        <v/>
      </c>
      <c r="R9" t="inlineStr">
        <is>
          <t>deslocamento_base</t>
        </is>
      </c>
      <c r="S9">
        <f>'CONFIGURAÇÃO'!$G$53</f>
        <v/>
      </c>
      <c r="T9">
        <f>IF(ISERROR(S9),"Confira Deslocamento base","")</f>
        <v/>
      </c>
      <c r="V9" t="n">
        <v>8</v>
      </c>
      <c r="W9">
        <f>'CONFIGURAÇÃO'!$G$72</f>
        <v/>
      </c>
      <c r="Z9">
        <f>IF(8&lt;DADOS_CONFIG!$S$2,"—",IF(8=DADOS_CONFIG!$S$2,0,IF(OR(Z8="Pendente",W8=""),"Pendente",Z8+W8)))</f>
        <v/>
      </c>
      <c r="AC9" t="n">
        <v>8</v>
      </c>
      <c r="AE9">
        <f>'CONFIGURAÇÃO'!$F$107</f>
        <v/>
      </c>
      <c r="AF9">
        <f>IF(OR(DADOS_CONFIG!$S$15="Não",8&gt;'FICHA'!$AH$11),0,IF(IFERROR(AND(ISNUMBER(AE9),AE9&gt;=1,AE9&lt;=$AI$10,INT(AE9)=AE9),FALSE),AE9+'FICHA'!$T$19,NA()))</f>
        <v/>
      </c>
    </row>
    <row r="10">
      <c r="A10" t="inlineStr">
        <is>
          <t>Corpo a corpo</t>
        </is>
      </c>
      <c r="B10">
        <f>SUMIFS('CONFIGURAÇÃO'!$F$11:$F$40,'CONFIGURAÇÃO'!$C$11:$C$40,TRUE,'CONFIGURAÇÃO'!$D$11:$D$40,A10,'CONFIGURAÇÃO'!$E$11:$E$40,"somar")</f>
        <v/>
      </c>
      <c r="C10">
        <f>COUNTIFS('CONFIGURAÇÃO'!$C$11:$C$40,TRUE,'CONFIGURAÇÃO'!$D$11:$D$40,A10,'CONFIGURAÇÃO'!$E$11:$E$40,"trocar por")</f>
        <v/>
      </c>
      <c r="D10">
        <f>SUMIFS('CONFIGURAÇÃO'!$F$11:$F$40,'CONFIGURAÇÃO'!$C$11:$C$40,TRUE,'CONFIGURAÇÃO'!$D$11:$D$40,A10,'CONFIGURAÇÃO'!$E$11:$E$40,"trocar por")</f>
        <v/>
      </c>
      <c r="E10">
        <f>IF(COUNTIFS('CONFIGURAÇÃO'!$C$11:$C$40,"&lt;&gt;FALSE",'CONFIGURAÇÃO'!$D$11:$D$40,A10,$L$2:$L$31,0)&gt;0,"Entrada inválida",IF(C10&gt;1,"Conflito: mais de uma troca",""))</f>
        <v/>
      </c>
      <c r="F10">
        <f>"d20 + "&amp;('FICHA'!D67+IFS('FICHA'!AK67="FORÇA",'FICHA'!$D$19, 'FICHA'!AK67="DESTREZA",'FICHA'!$L$19, 'FICHA'!AK67="CONSTITUIÇÃO",'FICHA'!$T$19, 'FICHA'!AK67="INTELIGÊNCIA",'FICHA'!$AB$19, 'FICHA'!AK67="ESSÊNCIA",'FICHA'!$AJ$19)+IFERROR(VALUE('FICHA'!$AH$63&amp;""),0))</f>
        <v/>
      </c>
      <c r="G10">
        <f>('FICHA'!D67+IFS('FICHA'!AK67="FORÇA",'FICHA'!$D$19, 'FICHA'!AK67="DESTREZA",'FICHA'!$L$19, 'FICHA'!AK67="CONSTITUIÇÃO",'FICHA'!$T$19, 'FICHA'!AK67="INTELIGÊNCIA",'FICHA'!$AB$19, 'FICHA'!AK67="ESSÊNCIA",'FICHA'!$AJ$19)+IFERROR(VALUE('FICHA'!$AH$63&amp;""),0))</f>
        <v/>
      </c>
      <c r="H10">
        <f>'FICHA'!$Z$63</f>
        <v/>
      </c>
      <c r="K10" t="n">
        <v>9</v>
      </c>
      <c r="L10">
        <f>IF(ISBLANK('CONFIGURAÇÃO'!$C$19),1,IF(NOT(ISLOGICAL('CONFIGURAÇÃO'!$C$19)),0,IF(NOT('CONFIGURAÇÃO'!$C$19),1,IF(AND(COUNTIFS($A$2:$A$89,'CONFIGURAÇÃO'!$D$19)=1,OR('CONFIGURAÇÃO'!$E$19="somar",'CONFIGURAÇÃO'!$E$19="trocar por"),ISNUMBER('CONFIGURAÇÃO'!$F$19),COUNTIFS($O$2:$O$7,'CONFIGURAÇÃO'!$G$19)=1,LEN(TRIM('CONFIGURAÇÃO'!$H$19&amp;""))&gt;0),1,0))))</f>
        <v/>
      </c>
      <c r="M10">
        <f>IF(L10=1,"","Efeito 9: confira ligado, caixa, como, valor e fonte")</f>
        <v/>
      </c>
      <c r="R10" t="inlineStr">
        <is>
          <t>morrendo_aguentar</t>
        </is>
      </c>
      <c r="S10">
        <f>'CONFIGURAÇÃO'!$G$54</f>
        <v/>
      </c>
      <c r="T10">
        <f>IF(ISERROR(S10),"Confira Morrendo · Aguentar","")</f>
        <v/>
      </c>
      <c r="V10" t="n">
        <v>9</v>
      </c>
      <c r="W10">
        <f>'CONFIGURAÇÃO'!$G$73</f>
        <v/>
      </c>
      <c r="Z10">
        <f>IF(9&lt;DADOS_CONFIG!$S$2,"—",IF(9=DADOS_CONFIG!$S$2,0,IF(OR(Z9="Pendente",W9=""),"Pendente",Z9+W9)))</f>
        <v/>
      </c>
      <c r="AC10" t="n">
        <v>9</v>
      </c>
      <c r="AE10">
        <f>'CONFIGURAÇÃO'!$F$108</f>
        <v/>
      </c>
      <c r="AF10">
        <f>IF(OR(DADOS_CONFIG!$S$15="Não",9&gt;'FICHA'!$AH$11),0,IF(IFERROR(AND(ISNUMBER(AE10),AE10&gt;=1,AE10&lt;=$AI$10,INT(AE10)=AE10),FALSE),AE10+'FICHA'!$T$19,NA()))</f>
        <v/>
      </c>
      <c r="AI10">
        <f>'DADOS_PROGRESSAO'!$K$9</f>
        <v/>
      </c>
    </row>
    <row r="11">
      <c r="A11" t="inlineStr">
        <is>
          <t>À distância</t>
        </is>
      </c>
      <c r="B11">
        <f>SUMIFS('CONFIGURAÇÃO'!$F$11:$F$40,'CONFIGURAÇÃO'!$C$11:$C$40,TRUE,'CONFIGURAÇÃO'!$D$11:$D$40,A11,'CONFIGURAÇÃO'!$E$11:$E$40,"somar")</f>
        <v/>
      </c>
      <c r="C11">
        <f>COUNTIFS('CONFIGURAÇÃO'!$C$11:$C$40,TRUE,'CONFIGURAÇÃO'!$D$11:$D$40,A11,'CONFIGURAÇÃO'!$E$11:$E$40,"trocar por")</f>
        <v/>
      </c>
      <c r="D11">
        <f>SUMIFS('CONFIGURAÇÃO'!$F$11:$F$40,'CONFIGURAÇÃO'!$C$11:$C$40,TRUE,'CONFIGURAÇÃO'!$D$11:$D$40,A11,'CONFIGURAÇÃO'!$E$11:$E$40,"trocar por")</f>
        <v/>
      </c>
      <c r="E11">
        <f>IF(COUNTIFS('CONFIGURAÇÃO'!$C$11:$C$40,"&lt;&gt;FALSE",'CONFIGURAÇÃO'!$D$11:$D$40,A11,$L$2:$L$31,0)&gt;0,"Entrada inválida",IF(C11&gt;1,"Conflito: mais de uma troca",""))</f>
        <v/>
      </c>
      <c r="F11">
        <f>"d20 + "&amp;('FICHA'!D67+IFS('FICHA'!AE70="FORÇA",'FICHA'!$D$19, 'FICHA'!AE70="DESTREZA",'FICHA'!$L$19, 'FICHA'!AE70="CONSTITUIÇÃO",'FICHA'!$T$19, 'FICHA'!AE70="INTELIGÊNCIA",'FICHA'!$AB$19, 'FICHA'!AE70="ESSÊNCIA",'FICHA'!$AJ$19)+IFERROR(VALUE('FICHA'!$AS$63&amp;""),0))</f>
        <v/>
      </c>
      <c r="G11">
        <f>('FICHA'!D67+IFS('FICHA'!AE70="FORÇA",'FICHA'!$D$19, 'FICHA'!AE70="DESTREZA",'FICHA'!$L$19, 'FICHA'!AE70="CONSTITUIÇÃO",'FICHA'!$T$19, 'FICHA'!AE70="INTELIGÊNCIA",'FICHA'!$AB$19, 'FICHA'!AE70="ESSÊNCIA",'FICHA'!$AJ$19)+IFERROR(VALUE('FICHA'!$AS$63&amp;""),0))</f>
        <v/>
      </c>
      <c r="H11">
        <f>'FICHA'!$AK$63</f>
        <v/>
      </c>
      <c r="K11" t="n">
        <v>10</v>
      </c>
      <c r="L11">
        <f>IF(ISBLANK('CONFIGURAÇÃO'!$C$20),1,IF(NOT(ISLOGICAL('CONFIGURAÇÃO'!$C$20)),0,IF(NOT('CONFIGURAÇÃO'!$C$20),1,IF(AND(COUNTIFS($A$2:$A$89,'CONFIGURAÇÃO'!$D$20)=1,OR('CONFIGURAÇÃO'!$E$20="somar",'CONFIGURAÇÃO'!$E$20="trocar por"),ISNUMBER('CONFIGURAÇÃO'!$F$20),COUNTIFS($O$2:$O$7,'CONFIGURAÇÃO'!$G$20)=1,LEN(TRIM('CONFIGURAÇÃO'!$H$20&amp;""))&gt;0),1,0))))</f>
        <v/>
      </c>
      <c r="M11">
        <f>IF(L11=1,"","Efeito 10: confira ligado, caixa, como, valor e fonte")</f>
        <v/>
      </c>
      <c r="R11" t="inlineStr">
        <is>
          <t>morrendo_insistir_1</t>
        </is>
      </c>
      <c r="S11">
        <f>'CONFIGURAÇÃO'!$G$55</f>
        <v/>
      </c>
      <c r="T11">
        <f>IF(ISERROR(S11),"Confira Morrendo · Insistir · 1ª vez","")</f>
        <v/>
      </c>
      <c r="V11" t="n">
        <v>10</v>
      </c>
      <c r="W11">
        <f>'CONFIGURAÇÃO'!$G$74</f>
        <v/>
      </c>
      <c r="Z11">
        <f>IF(10&lt;DADOS_CONFIG!$S$2,"—",IF(10=DADOS_CONFIG!$S$2,0,IF(OR(Z10="Pendente",W10=""),"Pendente",Z10+W10)))</f>
        <v/>
      </c>
      <c r="AC11" t="n">
        <v>10</v>
      </c>
      <c r="AE11">
        <f>'CONFIGURAÇÃO'!$F$109</f>
        <v/>
      </c>
      <c r="AF11">
        <f>IF(OR(DADOS_CONFIG!$S$15="Não",10&gt;'FICHA'!$AH$11),0,IF(IFERROR(AND(ISNUMBER(AE11),AE11&gt;=1,AE11&lt;=$AI$10,INT(AE11)=AE11),FALSE),AE11+'FICHA'!$T$19,NA()))</f>
        <v/>
      </c>
    </row>
    <row r="12">
      <c r="A12" t="inlineStr">
        <is>
          <t>Deslocamento</t>
        </is>
      </c>
      <c r="B12">
        <f>SUMIFS('CONFIGURAÇÃO'!$F$11:$F$40,'CONFIGURAÇÃO'!$C$11:$C$40,TRUE,'CONFIGURAÇÃO'!$D$11:$D$40,A12,'CONFIGURAÇÃO'!$E$11:$E$40,"somar")</f>
        <v/>
      </c>
      <c r="C12">
        <f>COUNTIFS('CONFIGURAÇÃO'!$C$11:$C$40,TRUE,'CONFIGURAÇÃO'!$D$11:$D$40,A12,'CONFIGURAÇÃO'!$E$11:$E$40,"trocar por")</f>
        <v/>
      </c>
      <c r="D12">
        <f>SUMIFS('CONFIGURAÇÃO'!$F$11:$F$40,'CONFIGURAÇÃO'!$C$11:$C$40,TRUE,'CONFIGURAÇÃO'!$D$11:$D$40,A12,'CONFIGURAÇÃO'!$E$11:$E$40,"trocar por")</f>
        <v/>
      </c>
      <c r="E12">
        <f>IF(COUNTIFS('CONFIGURAÇÃO'!$C$11:$C$40,"&lt;&gt;FALSE",'CONFIGURAÇÃO'!$D$11:$D$40,A12,$L$2:$L$31,0)&gt;0,"Entrada inválida",IF(C12&gt;1,"Conflito: mais de uma troca",""))</f>
        <v/>
      </c>
      <c r="F12">
        <f>IF(DADOS!$CZ$46=1,0,MIN(IF(N('FICHA'!$O$48)&gt;=2,4.5,9999),(DADOS_CONFIG!$S$9+IFERROR(VALUE('FICHA'!$W$67&amp;""),0))/IF(DADOS!$CZ$45=1,2,1)))&amp;" m"</f>
        <v/>
      </c>
      <c r="G12">
        <f>IF(DADOS!$CZ$46=1,0,MIN(IF(N('FICHA'!$O$48)&gt;=2,4.5,9999),(DADOS_CONFIG!$S$9+IFERROR(VALUE('FICHA'!$W$67&amp;""),0))/IF(DADOS!$CZ$45=1,2,1)))</f>
        <v/>
      </c>
      <c r="H12">
        <f>'FICHA'!$O$67</f>
        <v/>
      </c>
      <c r="K12" t="n">
        <v>11</v>
      </c>
      <c r="L12">
        <f>IF(ISBLANK('CONFIGURAÇÃO'!$C$21),1,IF(NOT(ISLOGICAL('CONFIGURAÇÃO'!$C$21)),0,IF(NOT('CONFIGURAÇÃO'!$C$21),1,IF(AND(COUNTIFS($A$2:$A$89,'CONFIGURAÇÃO'!$D$21)=1,OR('CONFIGURAÇÃO'!$E$21="somar",'CONFIGURAÇÃO'!$E$21="trocar por"),ISNUMBER('CONFIGURAÇÃO'!$F$21),COUNTIFS($O$2:$O$7,'CONFIGURAÇÃO'!$G$21)=1,LEN(TRIM('CONFIGURAÇÃO'!$H$21&amp;""))&gt;0),1,0))))</f>
        <v/>
      </c>
      <c r="M12">
        <f>IF(L12=1,"","Efeito 11: confira ligado, caixa, como, valor e fonte")</f>
        <v/>
      </c>
      <c r="R12" t="inlineStr">
        <is>
          <t>morrendo_insistir_2</t>
        </is>
      </c>
      <c r="S12">
        <f>'CONFIGURAÇÃO'!$G$56</f>
        <v/>
      </c>
      <c r="T12">
        <f>IF(ISERROR(S12),"Confira Morrendo · Insistir · seguintes","")</f>
        <v/>
      </c>
      <c r="V12" t="n">
        <v>11</v>
      </c>
      <c r="W12">
        <f>'CONFIGURAÇÃO'!$G$75</f>
        <v/>
      </c>
      <c r="Z12">
        <f>IF(11&lt;DADOS_CONFIG!$S$2,"—",IF(11=DADOS_CONFIG!$S$2,0,IF(OR(Z11="Pendente",W11=""),"Pendente",Z11+W11)))</f>
        <v/>
      </c>
      <c r="AC12" t="n">
        <v>11</v>
      </c>
      <c r="AE12">
        <f>'CONFIGURAÇÃO'!$F$110</f>
        <v/>
      </c>
      <c r="AF12">
        <f>IF(OR(DADOS_CONFIG!$S$15="Não",11&gt;'FICHA'!$AH$11),0,IF(IFERROR(AND(ISNUMBER(AE12),AE12&gt;=1,AE12&lt;=$AI$10,INT(AE12)=AE12),FALSE),AE12+'FICHA'!$T$19,NA()))</f>
        <v/>
      </c>
    </row>
    <row r="13">
      <c r="A13" t="inlineStr">
        <is>
          <t>Limite de carga</t>
        </is>
      </c>
      <c r="B13">
        <f>SUMIFS('CONFIGURAÇÃO'!$F$11:$F$40,'CONFIGURAÇÃO'!$C$11:$C$40,TRUE,'CONFIGURAÇÃO'!$D$11:$D$40,A13,'CONFIGURAÇÃO'!$E$11:$E$40,"somar")</f>
        <v/>
      </c>
      <c r="C13">
        <f>COUNTIFS('CONFIGURAÇÃO'!$C$11:$C$40,TRUE,'CONFIGURAÇÃO'!$D$11:$D$40,A13,'CONFIGURAÇÃO'!$E$11:$E$40,"trocar por")</f>
        <v/>
      </c>
      <c r="D13">
        <f>SUMIFS('CONFIGURAÇÃO'!$F$11:$F$40,'CONFIGURAÇÃO'!$C$11:$C$40,TRUE,'CONFIGURAÇÃO'!$D$11:$D$40,A13,'CONFIGURAÇÃO'!$E$11:$E$40,"trocar por")</f>
        <v/>
      </c>
      <c r="E13">
        <f>IF(COUNTIFS('CONFIGURAÇÃO'!$C$11:$C$40,"&lt;&gt;FALSE",'CONFIGURAÇÃO'!$D$11:$D$40,A13,$L$2:$L$31,0)&gt;0,"Entrada inválida",IF(C13&gt;1,"Conflito: mais de uma troca",""))</f>
        <v/>
      </c>
      <c r="F13">
        <f>5+DADOS!$CZ$5+N('FICHA PESSOAL'!$L$86)</f>
        <v/>
      </c>
      <c r="G13">
        <f>5+DADOS!$CZ$5+N('FICHA PESSOAL'!$L$86)</f>
        <v/>
      </c>
      <c r="H13">
        <f>'DADOS'!$CZ$41</f>
        <v/>
      </c>
      <c r="K13" t="n">
        <v>12</v>
      </c>
      <c r="L13">
        <f>IF(ISBLANK('CONFIGURAÇÃO'!$C$22),1,IF(NOT(ISLOGICAL('CONFIGURAÇÃO'!$C$22)),0,IF(NOT('CONFIGURAÇÃO'!$C$22),1,IF(AND(COUNTIFS($A$2:$A$89,'CONFIGURAÇÃO'!$D$22)=1,OR('CONFIGURAÇÃO'!$E$22="somar",'CONFIGURAÇÃO'!$E$22="trocar por"),ISNUMBER('CONFIGURAÇÃO'!$F$22),COUNTIFS($O$2:$O$7,'CONFIGURAÇÃO'!$G$22)=1,LEN(TRIM('CONFIGURAÇÃO'!$H$22&amp;""))&gt;0),1,0))))</f>
        <v/>
      </c>
      <c r="M13">
        <f>IF(L13=1,"","Efeito 12: confira ligado, caixa, como, valor e fonte")</f>
        <v/>
      </c>
      <c r="R13" t="inlineStr">
        <is>
          <t>morrendo_teto</t>
        </is>
      </c>
      <c r="S13">
        <f>'CONFIGURAÇÃO'!$G$57</f>
        <v/>
      </c>
      <c r="T13">
        <f>IF(ISERROR(S13),"Confira Morrendo · teto de Insistir","")</f>
        <v/>
      </c>
      <c r="V13" t="n">
        <v>12</v>
      </c>
      <c r="W13">
        <f>'CONFIGURAÇÃO'!$G$76</f>
        <v/>
      </c>
      <c r="Z13">
        <f>IF(12&lt;DADOS_CONFIG!$S$2,"—",IF(12=DADOS_CONFIG!$S$2,0,IF(OR(Z12="Pendente",W12=""),"Pendente",Z12+W12)))</f>
        <v/>
      </c>
      <c r="AC13" t="n">
        <v>12</v>
      </c>
      <c r="AE13">
        <f>'CONFIGURAÇÃO'!$F$111</f>
        <v/>
      </c>
      <c r="AF13">
        <f>IF(OR(DADOS_CONFIG!$S$15="Não",12&gt;'FICHA'!$AH$11),0,IF(IFERROR(AND(ISNUMBER(AE13),AE13&gt;=1,AE13&lt;=$AI$10,INT(AE13)=AE13),FALSE),AE13+'FICHA'!$T$19,NA()))</f>
        <v/>
      </c>
    </row>
    <row r="14">
      <c r="A14" t="inlineStr">
        <is>
          <t>Perícia · Atletismo</t>
        </is>
      </c>
      <c r="B14">
        <f>SUMIFS('CONFIGURAÇÃO'!$F$11:$F$40,'CONFIGURAÇÃO'!$C$11:$C$40,TRUE,'CONFIGURAÇÃO'!$D$11:$D$40,A14,'CONFIGURAÇÃO'!$E$11:$E$40,"somar")</f>
        <v/>
      </c>
      <c r="C14">
        <f>COUNTIFS('CONFIGURAÇÃO'!$C$11:$C$40,TRUE,'CONFIGURAÇÃO'!$D$11:$D$40,A14,'CONFIGURAÇÃO'!$E$11:$E$40,"trocar por")</f>
        <v/>
      </c>
      <c r="D14">
        <f>SUMIFS('CONFIGURAÇÃO'!$F$11:$F$40,'CONFIGURAÇÃO'!$C$11:$C$40,TRUE,'CONFIGURAÇÃO'!$D$11:$D$40,A14,'CONFIGURAÇÃO'!$E$11:$E$40,"trocar por")</f>
        <v/>
      </c>
      <c r="E14">
        <f>IF(COUNTIFS('CONFIGURAÇÃO'!$C$11:$C$40,"&lt;&gt;FALSE",'CONFIGURAÇÃO'!$D$11:$D$40,A14,$L$2:$L$31,0)&gt;0,"Entrada inválida",IF(C14&gt;1,"Conflito: mais de uma troca",""))</f>
        <v/>
      </c>
      <c r="F14">
        <f>'FICHA'!$D$19 + IF('FICHA'!E80, 'FICHA'!$D$67 + INT('FICHA'!$D$67 / 2), IF('FICHA'!D80, 'FICHA'!$D$67, 0)) + 'FICHA'!R80</f>
        <v/>
      </c>
      <c r="G14">
        <f>'FICHA'!$D$19 + IF('FICHA'!E80, 'FICHA'!$D$67 + INT('FICHA'!$D$67 / 2), IF('FICHA'!D80, 'FICHA'!$D$67, 0)) + 'FICHA'!R80</f>
        <v/>
      </c>
      <c r="H14">
        <f>'FICHA'!$P$80</f>
        <v/>
      </c>
      <c r="K14" t="n">
        <v>13</v>
      </c>
      <c r="L14">
        <f>IF(ISBLANK('CONFIGURAÇÃO'!$C$23),1,IF(NOT(ISLOGICAL('CONFIGURAÇÃO'!$C$23)),0,IF(NOT('CONFIGURAÇÃO'!$C$23),1,IF(AND(COUNTIFS($A$2:$A$89,'CONFIGURAÇÃO'!$D$23)=1,OR('CONFIGURAÇÃO'!$E$23="somar",'CONFIGURAÇÃO'!$E$23="trocar por"),ISNUMBER('CONFIGURAÇÃO'!$F$23),COUNTIFS($O$2:$O$7,'CONFIGURAÇÃO'!$G$23)=1,LEN(TRIM('CONFIGURAÇÃO'!$H$23&amp;""))&gt;0),1,0))))</f>
        <v/>
      </c>
      <c r="M14">
        <f>IF(L14=1,"","Efeito 13: confira ligado, caixa, como, valor e fonte")</f>
        <v/>
      </c>
      <c r="R14" t="inlineStr">
        <is>
          <t>morrendo_prazo</t>
        </is>
      </c>
      <c r="S14">
        <f>'CONFIGURAÇÃO'!$G$58</f>
        <v/>
      </c>
      <c r="T14">
        <f>IF(ISERROR(S14),"Confira Morrendo · prazo","")</f>
        <v/>
      </c>
      <c r="V14" t="n">
        <v>13</v>
      </c>
      <c r="W14">
        <f>'CONFIGURAÇÃO'!$G$77</f>
        <v/>
      </c>
      <c r="Z14">
        <f>IF(13&lt;DADOS_CONFIG!$S$2,"—",IF(13=DADOS_CONFIG!$S$2,0,IF(OR(Z13="Pendente",W13=""),"Pendente",Z13+W13)))</f>
        <v/>
      </c>
      <c r="AC14" t="n">
        <v>13</v>
      </c>
      <c r="AE14">
        <f>'CONFIGURAÇÃO'!$F$112</f>
        <v/>
      </c>
      <c r="AF14">
        <f>IF(OR(DADOS_CONFIG!$S$15="Não",13&gt;'FICHA'!$AH$11),0,IF(IFERROR(AND(ISNUMBER(AE14),AE14&gt;=1,AE14&lt;=$AI$10,INT(AE14)=AE14),FALSE),AE14+'FICHA'!$T$19,NA()))</f>
        <v/>
      </c>
    </row>
    <row r="15">
      <c r="A15" t="inlineStr">
        <is>
          <t>Perícia · Acrobacia</t>
        </is>
      </c>
      <c r="B15">
        <f>SUMIFS('CONFIGURAÇÃO'!$F$11:$F$40,'CONFIGURAÇÃO'!$C$11:$C$40,TRUE,'CONFIGURAÇÃO'!$D$11:$D$40,A15,'CONFIGURAÇÃO'!$E$11:$E$40,"somar")</f>
        <v/>
      </c>
      <c r="C15">
        <f>COUNTIFS('CONFIGURAÇÃO'!$C$11:$C$40,TRUE,'CONFIGURAÇÃO'!$D$11:$D$40,A15,'CONFIGURAÇÃO'!$E$11:$E$40,"trocar por")</f>
        <v/>
      </c>
      <c r="D15">
        <f>SUMIFS('CONFIGURAÇÃO'!$F$11:$F$40,'CONFIGURAÇÃO'!$C$11:$C$40,TRUE,'CONFIGURAÇÃO'!$D$11:$D$40,A15,'CONFIGURAÇÃO'!$E$11:$E$40,"trocar por")</f>
        <v/>
      </c>
      <c r="E15">
        <f>IF(COUNTIFS('CONFIGURAÇÃO'!$C$11:$C$40,"&lt;&gt;FALSE",'CONFIGURAÇÃO'!$D$11:$D$40,A15,$L$2:$L$31,0)&gt;0,"Entrada inválida",IF(C15&gt;1,"Conflito: mais de uma troca",""))</f>
        <v/>
      </c>
      <c r="F15">
        <f>'FICHA'!$L$19 + IF('FICHA'!E81, 'FICHA'!$D$67 + INT('FICHA'!$D$67 / 2), IF('FICHA'!D81, 'FICHA'!$D$67, 0)) + 'FICHA'!R81</f>
        <v/>
      </c>
      <c r="G15">
        <f>'FICHA'!$L$19 + IF('FICHA'!E81, 'FICHA'!$D$67 + INT('FICHA'!$D$67 / 2), IF('FICHA'!D81, 'FICHA'!$D$67, 0)) + 'FICHA'!R81</f>
        <v/>
      </c>
      <c r="H15">
        <f>'FICHA'!$P$81</f>
        <v/>
      </c>
      <c r="K15" t="n">
        <v>14</v>
      </c>
      <c r="L15">
        <f>IF(ISBLANK('CONFIGURAÇÃO'!$C$24),1,IF(NOT(ISLOGICAL('CONFIGURAÇÃO'!$C$24)),0,IF(NOT('CONFIGURAÇÃO'!$C$24),1,IF(AND(COUNTIFS($A$2:$A$89,'CONFIGURAÇÃO'!$D$24)=1,OR('CONFIGURAÇÃO'!$E$24="somar",'CONFIGURAÇÃO'!$E$24="trocar por"),ISNUMBER('CONFIGURAÇÃO'!$F$24),COUNTIFS($O$2:$O$7,'CONFIGURAÇÃO'!$G$24)=1,LEN(TRIM('CONFIGURAÇÃO'!$H$24&amp;""))&gt;0),1,0))))</f>
        <v/>
      </c>
      <c r="M15">
        <f>IF(L15=1,"","Efeito 14: confira ligado, caixa, como, valor e fonte")</f>
        <v/>
      </c>
      <c r="R15" t="inlineStr">
        <is>
          <t>vida_rolada</t>
        </is>
      </c>
      <c r="S15">
        <f>'CONFIGURAÇÃO'!$G$59</f>
        <v/>
      </c>
      <c r="T15">
        <f>IF(ISERROR(S15),"Confira Vida rolada","")</f>
        <v/>
      </c>
      <c r="V15" t="n">
        <v>14</v>
      </c>
      <c r="W15">
        <f>'CONFIGURAÇÃO'!$G$78</f>
        <v/>
      </c>
      <c r="Z15">
        <f>IF(14&lt;DADOS_CONFIG!$S$2,"—",IF(14=DADOS_CONFIG!$S$2,0,IF(OR(Z14="Pendente",W14=""),"Pendente",Z14+W14)))</f>
        <v/>
      </c>
      <c r="AC15" t="n">
        <v>14</v>
      </c>
      <c r="AE15">
        <f>'CONFIGURAÇÃO'!$F$113</f>
        <v/>
      </c>
      <c r="AF15">
        <f>IF(OR(DADOS_CONFIG!$S$15="Não",14&gt;'FICHA'!$AH$11),0,IF(IFERROR(AND(ISNUMBER(AE15),AE15&gt;=1,AE15&lt;=$AI$10,INT(AE15)=AE15),FALSE),AE15+'FICHA'!$T$19,NA()))</f>
        <v/>
      </c>
    </row>
    <row r="16">
      <c r="A16" t="inlineStr">
        <is>
          <t>Perícia · Furtividade</t>
        </is>
      </c>
      <c r="B16">
        <f>SUMIFS('CONFIGURAÇÃO'!$F$11:$F$40,'CONFIGURAÇÃO'!$C$11:$C$40,TRUE,'CONFIGURAÇÃO'!$D$11:$D$40,A16,'CONFIGURAÇÃO'!$E$11:$E$40,"somar")</f>
        <v/>
      </c>
      <c r="C16">
        <f>COUNTIFS('CONFIGURAÇÃO'!$C$11:$C$40,TRUE,'CONFIGURAÇÃO'!$D$11:$D$40,A16,'CONFIGURAÇÃO'!$E$11:$E$40,"trocar por")</f>
        <v/>
      </c>
      <c r="D16">
        <f>SUMIFS('CONFIGURAÇÃO'!$F$11:$F$40,'CONFIGURAÇÃO'!$C$11:$C$40,TRUE,'CONFIGURAÇÃO'!$D$11:$D$40,A16,'CONFIGURAÇÃO'!$E$11:$E$40,"trocar por")</f>
        <v/>
      </c>
      <c r="E16">
        <f>IF(COUNTIFS('CONFIGURAÇÃO'!$C$11:$C$40,"&lt;&gt;FALSE",'CONFIGURAÇÃO'!$D$11:$D$40,A16,$L$2:$L$31,0)&gt;0,"Entrada inválida",IF(C16&gt;1,"Conflito: mais de uma troca",""))</f>
        <v/>
      </c>
      <c r="F16">
        <f>'FICHA'!$L$19 + IF('FICHA'!E82, 'FICHA'!$D$67 + INT('FICHA'!$D$67 / 2), IF('FICHA'!D82, 'FICHA'!$D$67, 0)) + 'FICHA'!R82</f>
        <v/>
      </c>
      <c r="G16">
        <f>'FICHA'!$L$19 + IF('FICHA'!E82, 'FICHA'!$D$67 + INT('FICHA'!$D$67 / 2), IF('FICHA'!D82, 'FICHA'!$D$67, 0)) + 'FICHA'!R82</f>
        <v/>
      </c>
      <c r="H16">
        <f>'FICHA'!$P$82</f>
        <v/>
      </c>
      <c r="K16" t="n">
        <v>15</v>
      </c>
      <c r="L16">
        <f>IF(ISBLANK('CONFIGURAÇÃO'!$C$25),1,IF(NOT(ISLOGICAL('CONFIGURAÇÃO'!$C$25)),0,IF(NOT('CONFIGURAÇÃO'!$C$25),1,IF(AND(COUNTIFS($A$2:$A$89,'CONFIGURAÇÃO'!$D$25)=1,OR('CONFIGURAÇÃO'!$E$25="somar",'CONFIGURAÇÃO'!$E$25="trocar por"),ISNUMBER('CONFIGURAÇÃO'!$F$25),COUNTIFS($O$2:$O$7,'CONFIGURAÇÃO'!$G$25)=1,LEN(TRIM('CONFIGURAÇÃO'!$H$25&amp;""))&gt;0),1,0))))</f>
        <v/>
      </c>
      <c r="M16">
        <f>IF(L16=1,"","Efeito 15: confira ligado, caixa, como, valor e fonte")</f>
        <v/>
      </c>
      <c r="V16" t="n">
        <v>15</v>
      </c>
      <c r="W16">
        <f>'CONFIGURAÇÃO'!$G$79</f>
        <v/>
      </c>
      <c r="Z16">
        <f>IF(15&lt;DADOS_CONFIG!$S$2,"—",IF(15=DADOS_CONFIG!$S$2,0,IF(OR(Z15="Pendente",W15=""),"Pendente",Z15+W15)))</f>
        <v/>
      </c>
      <c r="AC16" t="n">
        <v>15</v>
      </c>
      <c r="AE16">
        <f>'CONFIGURAÇÃO'!$F$114</f>
        <v/>
      </c>
      <c r="AF16">
        <f>IF(OR(DADOS_CONFIG!$S$15="Não",15&gt;'FICHA'!$AH$11),0,IF(IFERROR(AND(ISNUMBER(AE16),AE16&gt;=1,AE16&lt;=$AI$10,INT(AE16)=AE16),FALSE),AE16+'FICHA'!$T$19,NA()))</f>
        <v/>
      </c>
    </row>
    <row r="17">
      <c r="A17" t="inlineStr">
        <is>
          <t>Perícia · Pontaria</t>
        </is>
      </c>
      <c r="B17">
        <f>SUMIFS('CONFIGURAÇÃO'!$F$11:$F$40,'CONFIGURAÇÃO'!$C$11:$C$40,TRUE,'CONFIGURAÇÃO'!$D$11:$D$40,A17,'CONFIGURAÇÃO'!$E$11:$E$40,"somar")</f>
        <v/>
      </c>
      <c r="C17">
        <f>COUNTIFS('CONFIGURAÇÃO'!$C$11:$C$40,TRUE,'CONFIGURAÇÃO'!$D$11:$D$40,A17,'CONFIGURAÇÃO'!$E$11:$E$40,"trocar por")</f>
        <v/>
      </c>
      <c r="D17">
        <f>SUMIFS('CONFIGURAÇÃO'!$F$11:$F$40,'CONFIGURAÇÃO'!$C$11:$C$40,TRUE,'CONFIGURAÇÃO'!$D$11:$D$40,A17,'CONFIGURAÇÃO'!$E$11:$E$40,"trocar por")</f>
        <v/>
      </c>
      <c r="E17">
        <f>IF(COUNTIFS('CONFIGURAÇÃO'!$C$11:$C$40,"&lt;&gt;FALSE",'CONFIGURAÇÃO'!$D$11:$D$40,A17,$L$2:$L$31,0)&gt;0,"Entrada inválida",IF(C17&gt;1,"Conflito: mais de uma troca",""))</f>
        <v/>
      </c>
      <c r="F17">
        <f>'FICHA'!$L$19 + IF('FICHA'!E83, 'FICHA'!$D$67 + INT('FICHA'!$D$67 / 2), IF('FICHA'!D83, 'FICHA'!$D$67, 0)) + 'FICHA'!R83</f>
        <v/>
      </c>
      <c r="G17">
        <f>'FICHA'!$L$19 + IF('FICHA'!E83, 'FICHA'!$D$67 + INT('FICHA'!$D$67 / 2), IF('FICHA'!D83, 'FICHA'!$D$67, 0)) + 'FICHA'!R83</f>
        <v/>
      </c>
      <c r="H17">
        <f>'FICHA'!$P$83</f>
        <v/>
      </c>
      <c r="K17" t="n">
        <v>16</v>
      </c>
      <c r="L17">
        <f>IF(ISBLANK('CONFIGURAÇÃO'!$C$26),1,IF(NOT(ISLOGICAL('CONFIGURAÇÃO'!$C$26)),0,IF(NOT('CONFIGURAÇÃO'!$C$26),1,IF(AND(COUNTIFS($A$2:$A$89,'CONFIGURAÇÃO'!$D$26)=1,OR('CONFIGURAÇÃO'!$E$26="somar",'CONFIGURAÇÃO'!$E$26="trocar por"),ISNUMBER('CONFIGURAÇÃO'!$F$26),COUNTIFS($O$2:$O$7,'CONFIGURAÇÃO'!$G$26)=1,LEN(TRIM('CONFIGURAÇÃO'!$H$26&amp;""))&gt;0),1,0))))</f>
        <v/>
      </c>
      <c r="M17">
        <f>IF(L17=1,"","Efeito 16: confira ligado, caixa, como, valor e fonte")</f>
        <v/>
      </c>
      <c r="T17">
        <f>TEXTJOIN(" · ",TRUE,T2:T15,Z33)</f>
        <v/>
      </c>
      <c r="V17" t="n">
        <v>16</v>
      </c>
      <c r="W17">
        <f>'CONFIGURAÇÃO'!$G$80</f>
        <v/>
      </c>
      <c r="Z17">
        <f>IF(16&lt;DADOS_CONFIG!$S$2,"—",IF(16=DADOS_CONFIG!$S$2,0,IF(OR(Z16="Pendente",W16=""),"Pendente",Z16+W16)))</f>
        <v/>
      </c>
      <c r="AC17" t="n">
        <v>16</v>
      </c>
      <c r="AE17">
        <f>'CONFIGURAÇÃO'!$F$115</f>
        <v/>
      </c>
      <c r="AF17">
        <f>IF(OR(DADOS_CONFIG!$S$15="Não",16&gt;'FICHA'!$AH$11),0,IF(IFERROR(AND(ISNUMBER(AE17),AE17&gt;=1,AE17&lt;=$AI$10,INT(AE17)=AE17),FALSE),AE17+'FICHA'!$T$19,NA()))</f>
        <v/>
      </c>
    </row>
    <row r="18">
      <c r="A18" t="inlineStr">
        <is>
          <t>Perícia · Prestidigitação</t>
        </is>
      </c>
      <c r="B18">
        <f>SUMIFS('CONFIGURAÇÃO'!$F$11:$F$40,'CONFIGURAÇÃO'!$C$11:$C$40,TRUE,'CONFIGURAÇÃO'!$D$11:$D$40,A18,'CONFIGURAÇÃO'!$E$11:$E$40,"somar")</f>
        <v/>
      </c>
      <c r="C18">
        <f>COUNTIFS('CONFIGURAÇÃO'!$C$11:$C$40,TRUE,'CONFIGURAÇÃO'!$D$11:$D$40,A18,'CONFIGURAÇÃO'!$E$11:$E$40,"trocar por")</f>
        <v/>
      </c>
      <c r="D18">
        <f>SUMIFS('CONFIGURAÇÃO'!$F$11:$F$40,'CONFIGURAÇÃO'!$C$11:$C$40,TRUE,'CONFIGURAÇÃO'!$D$11:$D$40,A18,'CONFIGURAÇÃO'!$E$11:$E$40,"trocar por")</f>
        <v/>
      </c>
      <c r="E18">
        <f>IF(COUNTIFS('CONFIGURAÇÃO'!$C$11:$C$40,"&lt;&gt;FALSE",'CONFIGURAÇÃO'!$D$11:$D$40,A18,$L$2:$L$31,0)&gt;0,"Entrada inválida",IF(C18&gt;1,"Conflito: mais de uma troca",""))</f>
        <v/>
      </c>
      <c r="F18">
        <f>'FICHA'!$L$19 + IF('FICHA'!E84, 'FICHA'!$D$67 + INT('FICHA'!$D$67 / 2), IF('FICHA'!D84, 'FICHA'!$D$67, 0)) + 'FICHA'!R84</f>
        <v/>
      </c>
      <c r="G18">
        <f>'FICHA'!$L$19 + IF('FICHA'!E84, 'FICHA'!$D$67 + INT('FICHA'!$D$67 / 2), IF('FICHA'!D84, 'FICHA'!$D$67, 0)) + 'FICHA'!R84</f>
        <v/>
      </c>
      <c r="H18">
        <f>'FICHA'!$P$84</f>
        <v/>
      </c>
      <c r="K18" t="n">
        <v>17</v>
      </c>
      <c r="L18">
        <f>IF(ISBLANK('CONFIGURAÇÃO'!$C$27),1,IF(NOT(ISLOGICAL('CONFIGURAÇÃO'!$C$27)),0,IF(NOT('CONFIGURAÇÃO'!$C$27),1,IF(AND(COUNTIFS($A$2:$A$89,'CONFIGURAÇÃO'!$D$27)=1,OR('CONFIGURAÇÃO'!$E$27="somar",'CONFIGURAÇÃO'!$E$27="trocar por"),ISNUMBER('CONFIGURAÇÃO'!$F$27),COUNTIFS($O$2:$O$7,'CONFIGURAÇÃO'!$G$27)=1,LEN(TRIM('CONFIGURAÇÃO'!$H$27&amp;""))&gt;0),1,0))))</f>
        <v/>
      </c>
      <c r="M18">
        <f>IF(L18=1,"","Efeito 17: confira ligado, caixa, como, valor e fonte")</f>
        <v/>
      </c>
      <c r="V18" t="n">
        <v>17</v>
      </c>
      <c r="W18">
        <f>'CONFIGURAÇÃO'!$G$81</f>
        <v/>
      </c>
      <c r="Z18">
        <f>IF(17&lt;DADOS_CONFIG!$S$2,"—",IF(17=DADOS_CONFIG!$S$2,0,IF(OR(Z17="Pendente",W17=""),"Pendente",Z17+W17)))</f>
        <v/>
      </c>
      <c r="AC18" t="n">
        <v>17</v>
      </c>
      <c r="AE18">
        <f>'CONFIGURAÇÃO'!$F$116</f>
        <v/>
      </c>
      <c r="AF18">
        <f>IF(OR(DADOS_CONFIG!$S$15="Não",17&gt;'FICHA'!$AH$11),0,IF(IFERROR(AND(ISNUMBER(AE18),AE18&gt;=1,AE18&lt;=$AI$10,INT(AE18)=AE18),FALSE),AE18+'FICHA'!$T$19,NA()))</f>
        <v/>
      </c>
    </row>
    <row r="19">
      <c r="A19" t="inlineStr">
        <is>
          <t>Perícia · Investigação</t>
        </is>
      </c>
      <c r="B19">
        <f>SUMIFS('CONFIGURAÇÃO'!$F$11:$F$40,'CONFIGURAÇÃO'!$C$11:$C$40,TRUE,'CONFIGURAÇÃO'!$D$11:$D$40,A19,'CONFIGURAÇÃO'!$E$11:$E$40,"somar")</f>
        <v/>
      </c>
      <c r="C19">
        <f>COUNTIFS('CONFIGURAÇÃO'!$C$11:$C$40,TRUE,'CONFIGURAÇÃO'!$D$11:$D$40,A19,'CONFIGURAÇÃO'!$E$11:$E$40,"trocar por")</f>
        <v/>
      </c>
      <c r="D19">
        <f>SUMIFS('CONFIGURAÇÃO'!$F$11:$F$40,'CONFIGURAÇÃO'!$C$11:$C$40,TRUE,'CONFIGURAÇÃO'!$D$11:$D$40,A19,'CONFIGURAÇÃO'!$E$11:$E$40,"trocar por")</f>
        <v/>
      </c>
      <c r="E19">
        <f>IF(COUNTIFS('CONFIGURAÇÃO'!$C$11:$C$40,"&lt;&gt;FALSE",'CONFIGURAÇÃO'!$D$11:$D$40,A19,$L$2:$L$31,0)&gt;0,"Entrada inválida",IF(C19&gt;1,"Conflito: mais de uma troca",""))</f>
        <v/>
      </c>
      <c r="F19">
        <f>'FICHA'!$AB$19 + IF('FICHA'!E85, 'FICHA'!$D$67 + INT('FICHA'!$D$67 / 2), IF('FICHA'!D85, 'FICHA'!$D$67, 0)) + 'FICHA'!R85</f>
        <v/>
      </c>
      <c r="G19">
        <f>'FICHA'!$AB$19 + IF('FICHA'!E85, 'FICHA'!$D$67 + INT('FICHA'!$D$67 / 2), IF('FICHA'!D85, 'FICHA'!$D$67, 0)) + 'FICHA'!R85</f>
        <v/>
      </c>
      <c r="H19">
        <f>'FICHA'!$P$85</f>
        <v/>
      </c>
      <c r="K19" t="n">
        <v>18</v>
      </c>
      <c r="L19">
        <f>IF(ISBLANK('CONFIGURAÇÃO'!$C$28),1,IF(NOT(ISLOGICAL('CONFIGURAÇÃO'!$C$28)),0,IF(NOT('CONFIGURAÇÃO'!$C$28),1,IF(AND(COUNTIFS($A$2:$A$89,'CONFIGURAÇÃO'!$D$28)=1,OR('CONFIGURAÇÃO'!$E$28="somar",'CONFIGURAÇÃO'!$E$28="trocar por"),ISNUMBER('CONFIGURAÇÃO'!$F$28),COUNTIFS($O$2:$O$7,'CONFIGURAÇÃO'!$G$28)=1,LEN(TRIM('CONFIGURAÇÃO'!$H$28&amp;""))&gt;0),1,0))))</f>
        <v/>
      </c>
      <c r="M19">
        <f>IF(L19=1,"","Efeito 18: confira ligado, caixa, como, valor e fonte")</f>
        <v/>
      </c>
      <c r="V19" t="n">
        <v>18</v>
      </c>
      <c r="W19">
        <f>'CONFIGURAÇÃO'!$G$82</f>
        <v/>
      </c>
      <c r="Z19">
        <f>IF(18&lt;DADOS_CONFIG!$S$2,"—",IF(18=DADOS_CONFIG!$S$2,0,IF(OR(Z18="Pendente",W18=""),"Pendente",Z18+W18)))</f>
        <v/>
      </c>
      <c r="AC19" t="n">
        <v>18</v>
      </c>
      <c r="AE19">
        <f>'CONFIGURAÇÃO'!$F$117</f>
        <v/>
      </c>
      <c r="AF19">
        <f>IF(OR(DADOS_CONFIG!$S$15="Não",18&gt;'FICHA'!$AH$11),0,IF(IFERROR(AND(ISNUMBER(AE19),AE19&gt;=1,AE19&lt;=$AI$10,INT(AE19)=AE19),FALSE),AE19+'FICHA'!$T$19,NA()))</f>
        <v/>
      </c>
    </row>
    <row r="20">
      <c r="A20" t="inlineStr">
        <is>
          <t>Perícia · Intuição</t>
        </is>
      </c>
      <c r="B20">
        <f>SUMIFS('CONFIGURAÇÃO'!$F$11:$F$40,'CONFIGURAÇÃO'!$C$11:$C$40,TRUE,'CONFIGURAÇÃO'!$D$11:$D$40,A20,'CONFIGURAÇÃO'!$E$11:$E$40,"somar")</f>
        <v/>
      </c>
      <c r="C20">
        <f>COUNTIFS('CONFIGURAÇÃO'!$C$11:$C$40,TRUE,'CONFIGURAÇÃO'!$D$11:$D$40,A20,'CONFIGURAÇÃO'!$E$11:$E$40,"trocar por")</f>
        <v/>
      </c>
      <c r="D20">
        <f>SUMIFS('CONFIGURAÇÃO'!$F$11:$F$40,'CONFIGURAÇÃO'!$C$11:$C$40,TRUE,'CONFIGURAÇÃO'!$D$11:$D$40,A20,'CONFIGURAÇÃO'!$E$11:$E$40,"trocar por")</f>
        <v/>
      </c>
      <c r="E20">
        <f>IF(COUNTIFS('CONFIGURAÇÃO'!$C$11:$C$40,"&lt;&gt;FALSE",'CONFIGURAÇÃO'!$D$11:$D$40,A20,$L$2:$L$31,0)&gt;0,"Entrada inválida",IF(C20&gt;1,"Conflito: mais de uma troca",""))</f>
        <v/>
      </c>
      <c r="F20">
        <f>'FICHA'!$AB$19 + IF('FICHA'!E86, 'FICHA'!$D$67 + INT('FICHA'!$D$67 / 2), IF('FICHA'!D86, 'FICHA'!$D$67, 0)) + 'FICHA'!R86</f>
        <v/>
      </c>
      <c r="G20">
        <f>'FICHA'!$AB$19 + IF('FICHA'!E86, 'FICHA'!$D$67 + INT('FICHA'!$D$67 / 2), IF('FICHA'!D86, 'FICHA'!$D$67, 0)) + 'FICHA'!R86</f>
        <v/>
      </c>
      <c r="H20">
        <f>'FICHA'!$P$86</f>
        <v/>
      </c>
      <c r="K20" t="n">
        <v>19</v>
      </c>
      <c r="L20">
        <f>IF(ISBLANK('CONFIGURAÇÃO'!$C$29),1,IF(NOT(ISLOGICAL('CONFIGURAÇÃO'!$C$29)),0,IF(NOT('CONFIGURAÇÃO'!$C$29),1,IF(AND(COUNTIFS($A$2:$A$89,'CONFIGURAÇÃO'!$D$29)=1,OR('CONFIGURAÇÃO'!$E$29="somar",'CONFIGURAÇÃO'!$E$29="trocar por"),ISNUMBER('CONFIGURAÇÃO'!$F$29),COUNTIFS($O$2:$O$7,'CONFIGURAÇÃO'!$G$29)=1,LEN(TRIM('CONFIGURAÇÃO'!$H$29&amp;""))&gt;0),1,0))))</f>
        <v/>
      </c>
      <c r="M20">
        <f>IF(L20=1,"","Efeito 19: confira ligado, caixa, como, valor e fonte")</f>
        <v/>
      </c>
      <c r="V20" t="n">
        <v>19</v>
      </c>
      <c r="W20">
        <f>'CONFIGURAÇÃO'!$G$83</f>
        <v/>
      </c>
      <c r="Z20">
        <f>IF(19&lt;DADOS_CONFIG!$S$2,"—",IF(19=DADOS_CONFIG!$S$2,0,IF(OR(Z19="Pendente",W19=""),"Pendente",Z19+W19)))</f>
        <v/>
      </c>
      <c r="AC20" t="n">
        <v>19</v>
      </c>
      <c r="AE20">
        <f>'CONFIGURAÇÃO'!$F$118</f>
        <v/>
      </c>
      <c r="AF20">
        <f>IF(OR(DADOS_CONFIG!$S$15="Não",19&gt;'FICHA'!$AH$11),0,IF(IFERROR(AND(ISNUMBER(AE20),AE20&gt;=1,AE20&lt;=$AI$10,INT(AE20)=AE20),FALSE),AE20+'FICHA'!$T$19,NA()))</f>
        <v/>
      </c>
    </row>
    <row r="21">
      <c r="A21" t="inlineStr">
        <is>
          <t>Perícia · Ocultismo</t>
        </is>
      </c>
      <c r="B21">
        <f>SUMIFS('CONFIGURAÇÃO'!$F$11:$F$40,'CONFIGURAÇÃO'!$C$11:$C$40,TRUE,'CONFIGURAÇÃO'!$D$11:$D$40,A21,'CONFIGURAÇÃO'!$E$11:$E$40,"somar")</f>
        <v/>
      </c>
      <c r="C21">
        <f>COUNTIFS('CONFIGURAÇÃO'!$C$11:$C$40,TRUE,'CONFIGURAÇÃO'!$D$11:$D$40,A21,'CONFIGURAÇÃO'!$E$11:$E$40,"trocar por")</f>
        <v/>
      </c>
      <c r="D21">
        <f>SUMIFS('CONFIGURAÇÃO'!$F$11:$F$40,'CONFIGURAÇÃO'!$C$11:$C$40,TRUE,'CONFIGURAÇÃO'!$D$11:$D$40,A21,'CONFIGURAÇÃO'!$E$11:$E$40,"trocar por")</f>
        <v/>
      </c>
      <c r="E21">
        <f>IF(COUNTIFS('CONFIGURAÇÃO'!$C$11:$C$40,"&lt;&gt;FALSE",'CONFIGURAÇÃO'!$D$11:$D$40,A21,$L$2:$L$31,0)&gt;0,"Entrada inválida",IF(C21&gt;1,"Conflito: mais de uma troca",""))</f>
        <v/>
      </c>
      <c r="F21">
        <f>'FICHA'!$AB$19 + IF('FICHA'!E87, 'FICHA'!$D$67 + INT('FICHA'!$D$67 / 2), IF('FICHA'!D87, 'FICHA'!$D$67, 0)) + 'FICHA'!R87</f>
        <v/>
      </c>
      <c r="G21">
        <f>'FICHA'!$AB$19 + IF('FICHA'!E87, 'FICHA'!$D$67 + INT('FICHA'!$D$67 / 2), IF('FICHA'!D87, 'FICHA'!$D$67, 0)) + 'FICHA'!R87</f>
        <v/>
      </c>
      <c r="H21">
        <f>'FICHA'!$P$87</f>
        <v/>
      </c>
      <c r="K21" t="n">
        <v>20</v>
      </c>
      <c r="L21">
        <f>IF(ISBLANK('CONFIGURAÇÃO'!$C$30),1,IF(NOT(ISLOGICAL('CONFIGURAÇÃO'!$C$30)),0,IF(NOT('CONFIGURAÇÃO'!$C$30),1,IF(AND(COUNTIFS($A$2:$A$89,'CONFIGURAÇÃO'!$D$30)=1,OR('CONFIGURAÇÃO'!$E$30="somar",'CONFIGURAÇÃO'!$E$30="trocar por"),ISNUMBER('CONFIGURAÇÃO'!$F$30),COUNTIFS($O$2:$O$7,'CONFIGURAÇÃO'!$G$30)=1,LEN(TRIM('CONFIGURAÇÃO'!$H$30&amp;""))&gt;0),1,0))))</f>
        <v/>
      </c>
      <c r="M21">
        <f>IF(L21=1,"","Efeito 20: confira ligado, caixa, como, valor e fonte")</f>
        <v/>
      </c>
      <c r="V21" t="n">
        <v>20</v>
      </c>
      <c r="W21">
        <f>'CONFIGURAÇÃO'!$G$84</f>
        <v/>
      </c>
      <c r="Z21">
        <f>IF(20&lt;DADOS_CONFIG!$S$2,"—",IF(20=DADOS_CONFIG!$S$2,0,IF(OR(Z20="Pendente",W20=""),"Pendente",Z20+W20)))</f>
        <v/>
      </c>
      <c r="AC21" t="n">
        <v>20</v>
      </c>
      <c r="AE21">
        <f>'CONFIGURAÇÃO'!$F$119</f>
        <v/>
      </c>
      <c r="AF21">
        <f>IF(OR(DADOS_CONFIG!$S$15="Não",20&gt;'FICHA'!$AH$11),0,IF(IFERROR(AND(ISNUMBER(AE21),AE21&gt;=1,AE21&lt;=$AI$10,INT(AE21)=AE21),FALSE),AE21+'FICHA'!$T$19,NA()))</f>
        <v/>
      </c>
    </row>
    <row r="22">
      <c r="A22" t="inlineStr">
        <is>
          <t>Perícia · Religião</t>
        </is>
      </c>
      <c r="B22">
        <f>SUMIFS('CONFIGURAÇÃO'!$F$11:$F$40,'CONFIGURAÇÃO'!$C$11:$C$40,TRUE,'CONFIGURAÇÃO'!$D$11:$D$40,A22,'CONFIGURAÇÃO'!$E$11:$E$40,"somar")</f>
        <v/>
      </c>
      <c r="C22">
        <f>COUNTIFS('CONFIGURAÇÃO'!$C$11:$C$40,TRUE,'CONFIGURAÇÃO'!$D$11:$D$40,A22,'CONFIGURAÇÃO'!$E$11:$E$40,"trocar por")</f>
        <v/>
      </c>
      <c r="D22">
        <f>SUMIFS('CONFIGURAÇÃO'!$F$11:$F$40,'CONFIGURAÇÃO'!$C$11:$C$40,TRUE,'CONFIGURAÇÃO'!$D$11:$D$40,A22,'CONFIGURAÇÃO'!$E$11:$E$40,"trocar por")</f>
        <v/>
      </c>
      <c r="E22">
        <f>IF(COUNTIFS('CONFIGURAÇÃO'!$C$11:$C$40,"&lt;&gt;FALSE",'CONFIGURAÇÃO'!$D$11:$D$40,A22,$L$2:$L$31,0)&gt;0,"Entrada inválida",IF(C22&gt;1,"Conflito: mais de uma troca",""))</f>
        <v/>
      </c>
      <c r="F22">
        <f>'FICHA'!$AB$19 + IF('FICHA'!E88, 'FICHA'!$D$67 + INT('FICHA'!$D$67 / 2), IF('FICHA'!D88, 'FICHA'!$D$67, 0)) + 'FICHA'!R88</f>
        <v/>
      </c>
      <c r="G22">
        <f>'FICHA'!$AB$19 + IF('FICHA'!E88, 'FICHA'!$D$67 + INT('FICHA'!$D$67 / 2), IF('FICHA'!D88, 'FICHA'!$D$67, 0)) + 'FICHA'!R88</f>
        <v/>
      </c>
      <c r="H22">
        <f>'FICHA'!$P$88</f>
        <v/>
      </c>
      <c r="K22" t="n">
        <v>21</v>
      </c>
      <c r="L22">
        <f>IF(ISBLANK('CONFIGURAÇÃO'!$C$31),1,IF(NOT(ISLOGICAL('CONFIGURAÇÃO'!$C$31)),0,IF(NOT('CONFIGURAÇÃO'!$C$31),1,IF(AND(COUNTIFS($A$2:$A$89,'CONFIGURAÇÃO'!$D$31)=1,OR('CONFIGURAÇÃO'!$E$31="somar",'CONFIGURAÇÃO'!$E$31="trocar por"),ISNUMBER('CONFIGURAÇÃO'!$F$31),COUNTIFS($O$2:$O$7,'CONFIGURAÇÃO'!$G$31)=1,LEN(TRIM('CONFIGURAÇÃO'!$H$31&amp;""))&gt;0),1,0))))</f>
        <v/>
      </c>
      <c r="M22">
        <f>IF(L22=1,"","Efeito 21: confira ligado, caixa, como, valor e fonte")</f>
        <v/>
      </c>
      <c r="V22" t="n">
        <v>21</v>
      </c>
      <c r="W22">
        <f>'CONFIGURAÇÃO'!$G$85</f>
        <v/>
      </c>
      <c r="Z22">
        <f>IF(21&lt;DADOS_CONFIG!$S$2,"—",IF(21=DADOS_CONFIG!$S$2,0,IF(OR(Z21="Pendente",W21=""),"Pendente",Z21+W21)))</f>
        <v/>
      </c>
      <c r="AC22" t="n">
        <v>21</v>
      </c>
      <c r="AE22">
        <f>'CONFIGURAÇÃO'!$F$120</f>
        <v/>
      </c>
      <c r="AF22">
        <f>IF(OR(DADOS_CONFIG!$S$15="Não",21&gt;'FICHA'!$AH$11),0,IF(IFERROR(AND(ISNUMBER(AE22),AE22&gt;=1,AE22&lt;=$AI$10,INT(AE22)=AE22),FALSE),AE22+'FICHA'!$T$19,NA()))</f>
        <v/>
      </c>
    </row>
    <row r="23">
      <c r="A23" t="inlineStr">
        <is>
          <t>Perícia · História</t>
        </is>
      </c>
      <c r="B23">
        <f>SUMIFS('CONFIGURAÇÃO'!$F$11:$F$40,'CONFIGURAÇÃO'!$C$11:$C$40,TRUE,'CONFIGURAÇÃO'!$D$11:$D$40,A23,'CONFIGURAÇÃO'!$E$11:$E$40,"somar")</f>
        <v/>
      </c>
      <c r="C23">
        <f>COUNTIFS('CONFIGURAÇÃO'!$C$11:$C$40,TRUE,'CONFIGURAÇÃO'!$D$11:$D$40,A23,'CONFIGURAÇÃO'!$E$11:$E$40,"trocar por")</f>
        <v/>
      </c>
      <c r="D23">
        <f>SUMIFS('CONFIGURAÇÃO'!$F$11:$F$40,'CONFIGURAÇÃO'!$C$11:$C$40,TRUE,'CONFIGURAÇÃO'!$D$11:$D$40,A23,'CONFIGURAÇÃO'!$E$11:$E$40,"trocar por")</f>
        <v/>
      </c>
      <c r="E23">
        <f>IF(COUNTIFS('CONFIGURAÇÃO'!$C$11:$C$40,"&lt;&gt;FALSE",'CONFIGURAÇÃO'!$D$11:$D$40,A23,$L$2:$L$31,0)&gt;0,"Entrada inválida",IF(C23&gt;1,"Conflito: mais de uma troca",""))</f>
        <v/>
      </c>
      <c r="F23">
        <f>'FICHA'!$AB$19 + IF('FICHA'!E89, 'FICHA'!$D$67 + INT('FICHA'!$D$67 / 2), IF('FICHA'!D89, 'FICHA'!$D$67, 0)) + 'FICHA'!R89</f>
        <v/>
      </c>
      <c r="G23">
        <f>'FICHA'!$AB$19 + IF('FICHA'!E89, 'FICHA'!$D$67 + INT('FICHA'!$D$67 / 2), IF('FICHA'!D89, 'FICHA'!$D$67, 0)) + 'FICHA'!R89</f>
        <v/>
      </c>
      <c r="H23">
        <f>'FICHA'!$P$89</f>
        <v/>
      </c>
      <c r="K23" t="n">
        <v>22</v>
      </c>
      <c r="L23">
        <f>IF(ISBLANK('CONFIGURAÇÃO'!$C$32),1,IF(NOT(ISLOGICAL('CONFIGURAÇÃO'!$C$32)),0,IF(NOT('CONFIGURAÇÃO'!$C$32),1,IF(AND(COUNTIFS($A$2:$A$89,'CONFIGURAÇÃO'!$D$32)=1,OR('CONFIGURAÇÃO'!$E$32="somar",'CONFIGURAÇÃO'!$E$32="trocar por"),ISNUMBER('CONFIGURAÇÃO'!$F$32),COUNTIFS($O$2:$O$7,'CONFIGURAÇÃO'!$G$32)=1,LEN(TRIM('CONFIGURAÇÃO'!$H$32&amp;""))&gt;0),1,0))))</f>
        <v/>
      </c>
      <c r="M23">
        <f>IF(L23=1,"","Efeito 22: confira ligado, caixa, como, valor e fonte")</f>
        <v/>
      </c>
      <c r="V23" t="n">
        <v>22</v>
      </c>
      <c r="W23">
        <f>'CONFIGURAÇÃO'!$G$86</f>
        <v/>
      </c>
      <c r="Z23">
        <f>IF(22&lt;DADOS_CONFIG!$S$2,"—",IF(22=DADOS_CONFIG!$S$2,0,IF(OR(Z22="Pendente",W22=""),"Pendente",Z22+W22)))</f>
        <v/>
      </c>
      <c r="AC23" t="n">
        <v>22</v>
      </c>
      <c r="AE23">
        <f>'CONFIGURAÇÃO'!$F$121</f>
        <v/>
      </c>
      <c r="AF23">
        <f>IF(OR(DADOS_CONFIG!$S$15="Não",22&gt;'FICHA'!$AH$11),0,IF(IFERROR(AND(ISNUMBER(AE23),AE23&gt;=1,AE23&lt;=$AI$10,INT(AE23)=AE23),FALSE),AE23+'FICHA'!$T$19,NA()))</f>
        <v/>
      </c>
    </row>
    <row r="24">
      <c r="A24" t="inlineStr">
        <is>
          <t>Perícia · Hierarquia</t>
        </is>
      </c>
      <c r="B24">
        <f>SUMIFS('CONFIGURAÇÃO'!$F$11:$F$40,'CONFIGURAÇÃO'!$C$11:$C$40,TRUE,'CONFIGURAÇÃO'!$D$11:$D$40,A24,'CONFIGURAÇÃO'!$E$11:$E$40,"somar")</f>
        <v/>
      </c>
      <c r="C24">
        <f>COUNTIFS('CONFIGURAÇÃO'!$C$11:$C$40,TRUE,'CONFIGURAÇÃO'!$D$11:$D$40,A24,'CONFIGURAÇÃO'!$E$11:$E$40,"trocar por")</f>
        <v/>
      </c>
      <c r="D24">
        <f>SUMIFS('CONFIGURAÇÃO'!$F$11:$F$40,'CONFIGURAÇÃO'!$C$11:$C$40,TRUE,'CONFIGURAÇÃO'!$D$11:$D$40,A24,'CONFIGURAÇÃO'!$E$11:$E$40,"trocar por")</f>
        <v/>
      </c>
      <c r="E24">
        <f>IF(COUNTIFS('CONFIGURAÇÃO'!$C$11:$C$40,"&lt;&gt;FALSE",'CONFIGURAÇÃO'!$D$11:$D$40,A24,$L$2:$L$31,0)&gt;0,"Entrada inválida",IF(C24&gt;1,"Conflito: mais de uma troca",""))</f>
        <v/>
      </c>
      <c r="F24">
        <f>'FICHA'!$AB$19 + IF('FICHA'!E90, 'FICHA'!$D$67 + INT('FICHA'!$D$67 / 2), IF('FICHA'!D90, 'FICHA'!$D$67, 0)) + 'FICHA'!R90</f>
        <v/>
      </c>
      <c r="G24">
        <f>'FICHA'!$AB$19 + IF('FICHA'!E90, 'FICHA'!$D$67 + INT('FICHA'!$D$67 / 2), IF('FICHA'!D90, 'FICHA'!$D$67, 0)) + 'FICHA'!R90</f>
        <v/>
      </c>
      <c r="H24">
        <f>'FICHA'!$P$90</f>
        <v/>
      </c>
      <c r="K24" t="n">
        <v>23</v>
      </c>
      <c r="L24">
        <f>IF(ISBLANK('CONFIGURAÇÃO'!$C$33),1,IF(NOT(ISLOGICAL('CONFIGURAÇÃO'!$C$33)),0,IF(NOT('CONFIGURAÇÃO'!$C$33),1,IF(AND(COUNTIFS($A$2:$A$89,'CONFIGURAÇÃO'!$D$33)=1,OR('CONFIGURAÇÃO'!$E$33="somar",'CONFIGURAÇÃO'!$E$33="trocar por"),ISNUMBER('CONFIGURAÇÃO'!$F$33),COUNTIFS($O$2:$O$7,'CONFIGURAÇÃO'!$G$33)=1,LEN(TRIM('CONFIGURAÇÃO'!$H$33&amp;""))&gt;0),1,0))))</f>
        <v/>
      </c>
      <c r="M24">
        <f>IF(L24=1,"","Efeito 23: confira ligado, caixa, como, valor e fonte")</f>
        <v/>
      </c>
      <c r="V24" t="n">
        <v>23</v>
      </c>
      <c r="W24">
        <f>'CONFIGURAÇÃO'!$G$87</f>
        <v/>
      </c>
      <c r="Z24">
        <f>IF(23&lt;DADOS_CONFIG!$S$2,"—",IF(23=DADOS_CONFIG!$S$2,0,IF(OR(Z23="Pendente",W23=""),"Pendente",Z23+W23)))</f>
        <v/>
      </c>
      <c r="AC24" t="n">
        <v>23</v>
      </c>
      <c r="AE24">
        <f>'CONFIGURAÇÃO'!$F$122</f>
        <v/>
      </c>
      <c r="AF24">
        <f>IF(OR(DADOS_CONFIG!$S$15="Não",23&gt;'FICHA'!$AH$11),0,IF(IFERROR(AND(ISNUMBER(AE24),AE24&gt;=1,AE24&lt;=$AI$10,INT(AE24)=AE24),FALSE),AE24+'FICHA'!$T$19,NA()))</f>
        <v/>
      </c>
    </row>
    <row r="25">
      <c r="A25" t="inlineStr">
        <is>
          <t>Perícia · Medicina</t>
        </is>
      </c>
      <c r="B25">
        <f>SUMIFS('CONFIGURAÇÃO'!$F$11:$F$40,'CONFIGURAÇÃO'!$C$11:$C$40,TRUE,'CONFIGURAÇÃO'!$D$11:$D$40,A25,'CONFIGURAÇÃO'!$E$11:$E$40,"somar")</f>
        <v/>
      </c>
      <c r="C25">
        <f>COUNTIFS('CONFIGURAÇÃO'!$C$11:$C$40,TRUE,'CONFIGURAÇÃO'!$D$11:$D$40,A25,'CONFIGURAÇÃO'!$E$11:$E$40,"trocar por")</f>
        <v/>
      </c>
      <c r="D25">
        <f>SUMIFS('CONFIGURAÇÃO'!$F$11:$F$40,'CONFIGURAÇÃO'!$C$11:$C$40,TRUE,'CONFIGURAÇÃO'!$D$11:$D$40,A25,'CONFIGURAÇÃO'!$E$11:$E$40,"trocar por")</f>
        <v/>
      </c>
      <c r="E25">
        <f>IF(COUNTIFS('CONFIGURAÇÃO'!$C$11:$C$40,"&lt;&gt;FALSE",'CONFIGURAÇÃO'!$D$11:$D$40,A25,$L$2:$L$31,0)&gt;0,"Entrada inválida",IF(C25&gt;1,"Conflito: mais de uma troca",""))</f>
        <v/>
      </c>
      <c r="F25">
        <f>'FICHA'!$AB$19 + IF('FICHA'!U83, 'FICHA'!$D$67 + INT('FICHA'!$D$67 / 2), IF('FICHA'!T83, 'FICHA'!$D$67, 0)) + 'FICHA'!AH83</f>
        <v/>
      </c>
      <c r="G25">
        <f>'FICHA'!$AB$19 + IF('FICHA'!U83, 'FICHA'!$D$67 + INT('FICHA'!$D$67 / 2), IF('FICHA'!T83, 'FICHA'!$D$67, 0)) + 'FICHA'!AH83</f>
        <v/>
      </c>
      <c r="H25">
        <f>'FICHA'!$AF$83</f>
        <v/>
      </c>
      <c r="K25" t="n">
        <v>24</v>
      </c>
      <c r="L25">
        <f>IF(ISBLANK('CONFIGURAÇÃO'!$C$34),1,IF(NOT(ISLOGICAL('CONFIGURAÇÃO'!$C$34)),0,IF(NOT('CONFIGURAÇÃO'!$C$34),1,IF(AND(COUNTIFS($A$2:$A$89,'CONFIGURAÇÃO'!$D$34)=1,OR('CONFIGURAÇÃO'!$E$34="somar",'CONFIGURAÇÃO'!$E$34="trocar por"),ISNUMBER('CONFIGURAÇÃO'!$F$34),COUNTIFS($O$2:$O$7,'CONFIGURAÇÃO'!$G$34)=1,LEN(TRIM('CONFIGURAÇÃO'!$H$34&amp;""))&gt;0),1,0))))</f>
        <v/>
      </c>
      <c r="M25">
        <f>IF(L25=1,"","Efeito 24: confira ligado, caixa, como, valor e fonte")</f>
        <v/>
      </c>
      <c r="V25" t="n">
        <v>24</v>
      </c>
      <c r="W25">
        <f>'CONFIGURAÇÃO'!$G$88</f>
        <v/>
      </c>
      <c r="Z25">
        <f>IF(24&lt;DADOS_CONFIG!$S$2,"—",IF(24=DADOS_CONFIG!$S$2,0,IF(OR(Z24="Pendente",W24=""),"Pendente",Z24+W24)))</f>
        <v/>
      </c>
      <c r="AC25" t="n">
        <v>24</v>
      </c>
      <c r="AE25">
        <f>'CONFIGURAÇÃO'!$F$123</f>
        <v/>
      </c>
      <c r="AF25">
        <f>IF(OR(DADOS_CONFIG!$S$15="Não",24&gt;'FICHA'!$AH$11),0,IF(IFERROR(AND(ISNUMBER(AE25),AE25&gt;=1,AE25&lt;=$AI$10,INT(AE25)=AE25),FALSE),AE25+'FICHA'!$T$19,NA()))</f>
        <v/>
      </c>
    </row>
    <row r="26">
      <c r="A26" t="inlineStr">
        <is>
          <t>Perícia · Sobrevivência</t>
        </is>
      </c>
      <c r="B26">
        <f>SUMIFS('CONFIGURAÇÃO'!$F$11:$F$40,'CONFIGURAÇÃO'!$C$11:$C$40,TRUE,'CONFIGURAÇÃO'!$D$11:$D$40,A26,'CONFIGURAÇÃO'!$E$11:$E$40,"somar")</f>
        <v/>
      </c>
      <c r="C26">
        <f>COUNTIFS('CONFIGURAÇÃO'!$C$11:$C$40,TRUE,'CONFIGURAÇÃO'!$D$11:$D$40,A26,'CONFIGURAÇÃO'!$E$11:$E$40,"trocar por")</f>
        <v/>
      </c>
      <c r="D26">
        <f>SUMIFS('CONFIGURAÇÃO'!$F$11:$F$40,'CONFIGURAÇÃO'!$C$11:$C$40,TRUE,'CONFIGURAÇÃO'!$D$11:$D$40,A26,'CONFIGURAÇÃO'!$E$11:$E$40,"trocar por")</f>
        <v/>
      </c>
      <c r="E26">
        <f>IF(COUNTIFS('CONFIGURAÇÃO'!$C$11:$C$40,"&lt;&gt;FALSE",'CONFIGURAÇÃO'!$D$11:$D$40,A26,$L$2:$L$31,0)&gt;0,"Entrada inválida",IF(C26&gt;1,"Conflito: mais de uma troca",""))</f>
        <v/>
      </c>
      <c r="F26">
        <f>'FICHA'!$AB$19 + IF('FICHA'!U79, 'FICHA'!$D$67 + INT('FICHA'!$D$67 / 2), IF('FICHA'!T79, 'FICHA'!$D$67, 0)) + 'FICHA'!AH79</f>
        <v/>
      </c>
      <c r="G26">
        <f>'FICHA'!$AB$19 + IF('FICHA'!U79, 'FICHA'!$D$67 + INT('FICHA'!$D$67 / 2), IF('FICHA'!T79, 'FICHA'!$D$67, 0)) + 'FICHA'!AH79</f>
        <v/>
      </c>
      <c r="H26">
        <f>'FICHA'!$AF$79</f>
        <v/>
      </c>
      <c r="K26" t="n">
        <v>25</v>
      </c>
      <c r="L26">
        <f>IF(ISBLANK('CONFIGURAÇÃO'!$C$35),1,IF(NOT(ISLOGICAL('CONFIGURAÇÃO'!$C$35)),0,IF(NOT('CONFIGURAÇÃO'!$C$35),1,IF(AND(COUNTIFS($A$2:$A$89,'CONFIGURAÇÃO'!$D$35)=1,OR('CONFIGURAÇÃO'!$E$35="somar",'CONFIGURAÇÃO'!$E$35="trocar por"),ISNUMBER('CONFIGURAÇÃO'!$F$35),COUNTIFS($O$2:$O$7,'CONFIGURAÇÃO'!$G$35)=1,LEN(TRIM('CONFIGURAÇÃO'!$H$35&amp;""))&gt;0),1,0))))</f>
        <v/>
      </c>
      <c r="M26">
        <f>IF(L26=1,"","Efeito 25: confira ligado, caixa, como, valor e fonte")</f>
        <v/>
      </c>
      <c r="V26" t="n">
        <v>25</v>
      </c>
      <c r="W26">
        <f>'CONFIGURAÇÃO'!$G$89</f>
        <v/>
      </c>
      <c r="Z26">
        <f>IF(25&lt;DADOS_CONFIG!$S$2,"—",IF(25=DADOS_CONFIG!$S$2,0,IF(OR(Z25="Pendente",W25=""),"Pendente",Z25+W25)))</f>
        <v/>
      </c>
      <c r="AC26" t="n">
        <v>25</v>
      </c>
      <c r="AE26">
        <f>'CONFIGURAÇÃO'!$F$124</f>
        <v/>
      </c>
      <c r="AF26">
        <f>IF(OR(DADOS_CONFIG!$S$15="Não",25&gt;'FICHA'!$AH$11),0,IF(IFERROR(AND(ISNUMBER(AE26),AE26&gt;=1,AE26&lt;=$AI$10,INT(AE26)=AE26),FALSE),AE26+'FICHA'!$T$19,NA()))</f>
        <v/>
      </c>
    </row>
    <row r="27">
      <c r="A27" t="inlineStr">
        <is>
          <t>Perícia · Natureza</t>
        </is>
      </c>
      <c r="B27">
        <f>SUMIFS('CONFIGURAÇÃO'!$F$11:$F$40,'CONFIGURAÇÃO'!$C$11:$C$40,TRUE,'CONFIGURAÇÃO'!$D$11:$D$40,A27,'CONFIGURAÇÃO'!$E$11:$E$40,"somar")</f>
        <v/>
      </c>
      <c r="C27">
        <f>COUNTIFS('CONFIGURAÇÃO'!$C$11:$C$40,TRUE,'CONFIGURAÇÃO'!$D$11:$D$40,A27,'CONFIGURAÇÃO'!$E$11:$E$40,"trocar por")</f>
        <v/>
      </c>
      <c r="D27">
        <f>SUMIFS('CONFIGURAÇÃO'!$F$11:$F$40,'CONFIGURAÇÃO'!$C$11:$C$40,TRUE,'CONFIGURAÇÃO'!$D$11:$D$40,A27,'CONFIGURAÇÃO'!$E$11:$E$40,"trocar por")</f>
        <v/>
      </c>
      <c r="E27">
        <f>IF(COUNTIFS('CONFIGURAÇÃO'!$C$11:$C$40,"&lt;&gt;FALSE",'CONFIGURAÇÃO'!$D$11:$D$40,A27,$L$2:$L$31,0)&gt;0,"Entrada inválida",IF(C27&gt;1,"Conflito: mais de uma troca",""))</f>
        <v/>
      </c>
      <c r="F27">
        <f>'FICHA'!$AB$19 + IF('FICHA'!U80, 'FICHA'!$D$67 + INT('FICHA'!$D$67 / 2), IF('FICHA'!T80, 'FICHA'!$D$67, 0)) + 'FICHA'!AH80</f>
        <v/>
      </c>
      <c r="G27">
        <f>'FICHA'!$AB$19 + IF('FICHA'!U80, 'FICHA'!$D$67 + INT('FICHA'!$D$67 / 2), IF('FICHA'!T80, 'FICHA'!$D$67, 0)) + 'FICHA'!AH80</f>
        <v/>
      </c>
      <c r="H27">
        <f>'FICHA'!$AF$80</f>
        <v/>
      </c>
      <c r="K27" t="n">
        <v>26</v>
      </c>
      <c r="L27">
        <f>IF(ISBLANK('CONFIGURAÇÃO'!$C$36),1,IF(NOT(ISLOGICAL('CONFIGURAÇÃO'!$C$36)),0,IF(NOT('CONFIGURAÇÃO'!$C$36),1,IF(AND(COUNTIFS($A$2:$A$89,'CONFIGURAÇÃO'!$D$36)=1,OR('CONFIGURAÇÃO'!$E$36="somar",'CONFIGURAÇÃO'!$E$36="trocar por"),ISNUMBER('CONFIGURAÇÃO'!$F$36),COUNTIFS($O$2:$O$7,'CONFIGURAÇÃO'!$G$36)=1,LEN(TRIM('CONFIGURAÇÃO'!$H$36&amp;""))&gt;0),1,0))))</f>
        <v/>
      </c>
      <c r="M27">
        <f>IF(L27=1,"","Efeito 26: confira ligado, caixa, como, valor e fonte")</f>
        <v/>
      </c>
      <c r="V27" t="n">
        <v>26</v>
      </c>
      <c r="W27">
        <f>'CONFIGURAÇÃO'!$G$90</f>
        <v/>
      </c>
      <c r="Z27">
        <f>IF(26&lt;DADOS_CONFIG!$S$2,"—",IF(26=DADOS_CONFIG!$S$2,0,IF(OR(Z26="Pendente",W26=""),"Pendente",Z26+W26)))</f>
        <v/>
      </c>
      <c r="AC27" t="n">
        <v>26</v>
      </c>
      <c r="AE27">
        <f>'CONFIGURAÇÃO'!$F$125</f>
        <v/>
      </c>
      <c r="AF27">
        <f>IF(OR(DADOS_CONFIG!$S$15="Não",26&gt;'FICHA'!$AH$11),0,IF(IFERROR(AND(ISNUMBER(AE27),AE27&gt;=1,AE27&lt;=$AI$10,INT(AE27)=AE27),FALSE),AE27+'FICHA'!$T$19,NA()))</f>
        <v/>
      </c>
    </row>
    <row r="28">
      <c r="A28" t="inlineStr">
        <is>
          <t>Perícia · Lidar com Animais</t>
        </is>
      </c>
      <c r="B28">
        <f>SUMIFS('CONFIGURAÇÃO'!$F$11:$F$40,'CONFIGURAÇÃO'!$C$11:$C$40,TRUE,'CONFIGURAÇÃO'!$D$11:$D$40,A28,'CONFIGURAÇÃO'!$E$11:$E$40,"somar")</f>
        <v/>
      </c>
      <c r="C28">
        <f>COUNTIFS('CONFIGURAÇÃO'!$C$11:$C$40,TRUE,'CONFIGURAÇÃO'!$D$11:$D$40,A28,'CONFIGURAÇÃO'!$E$11:$E$40,"trocar por")</f>
        <v/>
      </c>
      <c r="D28">
        <f>SUMIFS('CONFIGURAÇÃO'!$F$11:$F$40,'CONFIGURAÇÃO'!$C$11:$C$40,TRUE,'CONFIGURAÇÃO'!$D$11:$D$40,A28,'CONFIGURAÇÃO'!$E$11:$E$40,"trocar por")</f>
        <v/>
      </c>
      <c r="E28">
        <f>IF(COUNTIFS('CONFIGURAÇÃO'!$C$11:$C$40,"&lt;&gt;FALSE",'CONFIGURAÇÃO'!$D$11:$D$40,A28,$L$2:$L$31,0)&gt;0,"Entrada inválida",IF(C28&gt;1,"Conflito: mais de uma troca",""))</f>
        <v/>
      </c>
      <c r="F28">
        <f>'FICHA'!$AB$19 + IF('FICHA'!U81, 'FICHA'!$D$67 + INT('FICHA'!$D$67 / 2), IF('FICHA'!T81, 'FICHA'!$D$67, 0)) + 'FICHA'!AH81</f>
        <v/>
      </c>
      <c r="G28">
        <f>'FICHA'!$AB$19 + IF('FICHA'!U81, 'FICHA'!$D$67 + INT('FICHA'!$D$67 / 2), IF('FICHA'!T81, 'FICHA'!$D$67, 0)) + 'FICHA'!AH81</f>
        <v/>
      </c>
      <c r="H28">
        <f>'FICHA'!$AF$81</f>
        <v/>
      </c>
      <c r="K28" t="n">
        <v>27</v>
      </c>
      <c r="L28">
        <f>IF(ISBLANK('CONFIGURAÇÃO'!$C$37),1,IF(NOT(ISLOGICAL('CONFIGURAÇÃO'!$C$37)),0,IF(NOT('CONFIGURAÇÃO'!$C$37),1,IF(AND(COUNTIFS($A$2:$A$89,'CONFIGURAÇÃO'!$D$37)=1,OR('CONFIGURAÇÃO'!$E$37="somar",'CONFIGURAÇÃO'!$E$37="trocar por"),ISNUMBER('CONFIGURAÇÃO'!$F$37),COUNTIFS($O$2:$O$7,'CONFIGURAÇÃO'!$G$37)=1,LEN(TRIM('CONFIGURAÇÃO'!$H$37&amp;""))&gt;0),1,0))))</f>
        <v/>
      </c>
      <c r="M28">
        <f>IF(L28=1,"","Efeito 27: confira ligado, caixa, como, valor e fonte")</f>
        <v/>
      </c>
      <c r="V28" t="n">
        <v>27</v>
      </c>
      <c r="W28">
        <f>'CONFIGURAÇÃO'!$G$91</f>
        <v/>
      </c>
      <c r="Z28">
        <f>IF(27&lt;DADOS_CONFIG!$S$2,"—",IF(27=DADOS_CONFIG!$S$2,0,IF(OR(Z27="Pendente",W27=""),"Pendente",Z27+W27)))</f>
        <v/>
      </c>
      <c r="AC28" t="n">
        <v>27</v>
      </c>
      <c r="AE28">
        <f>'CONFIGURAÇÃO'!$F$126</f>
        <v/>
      </c>
      <c r="AF28">
        <f>IF(OR(DADOS_CONFIG!$S$15="Não",27&gt;'FICHA'!$AH$11),0,IF(IFERROR(AND(ISNUMBER(AE28),AE28&gt;=1,AE28&lt;=$AI$10,INT(AE28)=AE28),FALSE),AE28+'FICHA'!$T$19,NA()))</f>
        <v/>
      </c>
    </row>
    <row r="29">
      <c r="A29" t="inlineStr">
        <is>
          <t>Perícia · Tecnologia</t>
        </is>
      </c>
      <c r="B29">
        <f>SUMIFS('CONFIGURAÇÃO'!$F$11:$F$40,'CONFIGURAÇÃO'!$C$11:$C$40,TRUE,'CONFIGURAÇÃO'!$D$11:$D$40,A29,'CONFIGURAÇÃO'!$E$11:$E$40,"somar")</f>
        <v/>
      </c>
      <c r="C29">
        <f>COUNTIFS('CONFIGURAÇÃO'!$C$11:$C$40,TRUE,'CONFIGURAÇÃO'!$D$11:$D$40,A29,'CONFIGURAÇÃO'!$E$11:$E$40,"trocar por")</f>
        <v/>
      </c>
      <c r="D29">
        <f>SUMIFS('CONFIGURAÇÃO'!$F$11:$F$40,'CONFIGURAÇÃO'!$C$11:$C$40,TRUE,'CONFIGURAÇÃO'!$D$11:$D$40,A29,'CONFIGURAÇÃO'!$E$11:$E$40,"trocar por")</f>
        <v/>
      </c>
      <c r="E29">
        <f>IF(COUNTIFS('CONFIGURAÇÃO'!$C$11:$C$40,"&lt;&gt;FALSE",'CONFIGURAÇÃO'!$D$11:$D$40,A29,$L$2:$L$31,0)&gt;0,"Entrada inválida",IF(C29&gt;1,"Conflito: mais de uma troca",""))</f>
        <v/>
      </c>
      <c r="F29">
        <f>'FICHA'!$AB$19 + IF('FICHA'!U82, 'FICHA'!$D$67 + INT('FICHA'!$D$67 / 2), IF('FICHA'!T82, 'FICHA'!$D$67, 0)) + 'FICHA'!AH82</f>
        <v/>
      </c>
      <c r="G29">
        <f>'FICHA'!$AB$19 + IF('FICHA'!U82, 'FICHA'!$D$67 + INT('FICHA'!$D$67 / 2), IF('FICHA'!T82, 'FICHA'!$D$67, 0)) + 'FICHA'!AH82</f>
        <v/>
      </c>
      <c r="H29">
        <f>'FICHA'!$AF$82</f>
        <v/>
      </c>
      <c r="K29" t="n">
        <v>28</v>
      </c>
      <c r="L29">
        <f>IF(ISBLANK('CONFIGURAÇÃO'!$C$38),1,IF(NOT(ISLOGICAL('CONFIGURAÇÃO'!$C$38)),0,IF(NOT('CONFIGURAÇÃO'!$C$38),1,IF(AND(COUNTIFS($A$2:$A$89,'CONFIGURAÇÃO'!$D$38)=1,OR('CONFIGURAÇÃO'!$E$38="somar",'CONFIGURAÇÃO'!$E$38="trocar por"),ISNUMBER('CONFIGURAÇÃO'!$F$38),COUNTIFS($O$2:$O$7,'CONFIGURAÇÃO'!$G$38)=1,LEN(TRIM('CONFIGURAÇÃO'!$H$38&amp;""))&gt;0),1,0))))</f>
        <v/>
      </c>
      <c r="M29">
        <f>IF(L29=1,"","Efeito 28: confira ligado, caixa, como, valor e fonte")</f>
        <v/>
      </c>
      <c r="V29" t="n">
        <v>28</v>
      </c>
      <c r="W29">
        <f>'CONFIGURAÇÃO'!$G$92</f>
        <v/>
      </c>
      <c r="Z29">
        <f>IF(28&lt;DADOS_CONFIG!$S$2,"—",IF(28=DADOS_CONFIG!$S$2,0,IF(OR(Z28="Pendente",W28=""),"Pendente",Z28+W28)))</f>
        <v/>
      </c>
      <c r="AC29" t="n">
        <v>28</v>
      </c>
      <c r="AE29">
        <f>'CONFIGURAÇÃO'!$F$127</f>
        <v/>
      </c>
      <c r="AF29">
        <f>IF(OR(DADOS_CONFIG!$S$15="Não",28&gt;'FICHA'!$AH$11),0,IF(IFERROR(AND(ISNUMBER(AE29),AE29&gt;=1,AE29&lt;=$AI$10,INT(AE29)=AE29),FALSE),AE29+'FICHA'!$T$19,NA()))</f>
        <v/>
      </c>
    </row>
    <row r="30">
      <c r="A30" t="inlineStr">
        <is>
          <t>Perícia · Sentir Energia</t>
        </is>
      </c>
      <c r="B30">
        <f>SUMIFS('CONFIGURAÇÃO'!$F$11:$F$40,'CONFIGURAÇÃO'!$C$11:$C$40,TRUE,'CONFIGURAÇÃO'!$D$11:$D$40,A30,'CONFIGURAÇÃO'!$E$11:$E$40,"somar")</f>
        <v/>
      </c>
      <c r="C30">
        <f>COUNTIFS('CONFIGURAÇÃO'!$C$11:$C$40,TRUE,'CONFIGURAÇÃO'!$D$11:$D$40,A30,'CONFIGURAÇÃO'!$E$11:$E$40,"trocar por")</f>
        <v/>
      </c>
      <c r="D30">
        <f>SUMIFS('CONFIGURAÇÃO'!$F$11:$F$40,'CONFIGURAÇÃO'!$C$11:$C$40,TRUE,'CONFIGURAÇÃO'!$D$11:$D$40,A30,'CONFIGURAÇÃO'!$E$11:$E$40,"trocar por")</f>
        <v/>
      </c>
      <c r="E30">
        <f>IF(COUNTIFS('CONFIGURAÇÃO'!$C$11:$C$40,"&lt;&gt;FALSE",'CONFIGURAÇÃO'!$D$11:$D$40,A30,$L$2:$L$31,0)&gt;0,"Entrada inválida",IF(C30&gt;1,"Conflito: mais de uma troca",""))</f>
        <v/>
      </c>
      <c r="F30">
        <f>'FICHA'!$AJ$19 + IF('FICHA'!U84, 'FICHA'!$D$67 + INT('FICHA'!$D$67 / 2), IF('FICHA'!T84, 'FICHA'!$D$67, 0)) + 'FICHA'!AH84</f>
        <v/>
      </c>
      <c r="G30">
        <f>'FICHA'!$AJ$19 + IF('FICHA'!U84, 'FICHA'!$D$67 + INT('FICHA'!$D$67 / 2), IF('FICHA'!T84, 'FICHA'!$D$67, 0)) + 'FICHA'!AH84</f>
        <v/>
      </c>
      <c r="H30">
        <f>'FICHA'!$AF$84</f>
        <v/>
      </c>
      <c r="K30" t="n">
        <v>29</v>
      </c>
      <c r="L30">
        <f>IF(ISBLANK('CONFIGURAÇÃO'!$C$39),1,IF(NOT(ISLOGICAL('CONFIGURAÇÃO'!$C$39)),0,IF(NOT('CONFIGURAÇÃO'!$C$39),1,IF(AND(COUNTIFS($A$2:$A$89,'CONFIGURAÇÃO'!$D$39)=1,OR('CONFIGURAÇÃO'!$E$39="somar",'CONFIGURAÇÃO'!$E$39="trocar por"),ISNUMBER('CONFIGURAÇÃO'!$F$39),COUNTIFS($O$2:$O$7,'CONFIGURAÇÃO'!$G$39)=1,LEN(TRIM('CONFIGURAÇÃO'!$H$39&amp;""))&gt;0),1,0))))</f>
        <v/>
      </c>
      <c r="M30">
        <f>IF(L30=1,"","Efeito 29: confira ligado, caixa, como, valor e fonte")</f>
        <v/>
      </c>
      <c r="V30" t="n">
        <v>29</v>
      </c>
      <c r="W30">
        <f>'CONFIGURAÇÃO'!$G$93</f>
        <v/>
      </c>
      <c r="Z30">
        <f>IF(29&lt;DADOS_CONFIG!$S$2,"—",IF(29=DADOS_CONFIG!$S$2,0,IF(OR(Z29="Pendente",W29=""),"Pendente",Z29+W29)))</f>
        <v/>
      </c>
      <c r="AC30" t="n">
        <v>29</v>
      </c>
      <c r="AE30">
        <f>'CONFIGURAÇÃO'!$F$128</f>
        <v/>
      </c>
      <c r="AF30">
        <f>IF(OR(DADOS_CONFIG!$S$15="Não",29&gt;'FICHA'!$AH$11),0,IF(IFERROR(AND(ISNUMBER(AE30),AE30&gt;=1,AE30&lt;=$AI$10,INT(AE30)=AE30),FALSE),AE30+'FICHA'!$T$19,NA()))</f>
        <v/>
      </c>
    </row>
    <row r="31">
      <c r="A31" t="inlineStr">
        <is>
          <t>Perícia · Percepção</t>
        </is>
      </c>
      <c r="B31">
        <f>SUMIFS('CONFIGURAÇÃO'!$F$11:$F$40,'CONFIGURAÇÃO'!$C$11:$C$40,TRUE,'CONFIGURAÇÃO'!$D$11:$D$40,A31,'CONFIGURAÇÃO'!$E$11:$E$40,"somar")</f>
        <v/>
      </c>
      <c r="C31">
        <f>COUNTIFS('CONFIGURAÇÃO'!$C$11:$C$40,TRUE,'CONFIGURAÇÃO'!$D$11:$D$40,A31,'CONFIGURAÇÃO'!$E$11:$E$40,"trocar por")</f>
        <v/>
      </c>
      <c r="D31">
        <f>SUMIFS('CONFIGURAÇÃO'!$F$11:$F$40,'CONFIGURAÇÃO'!$C$11:$C$40,TRUE,'CONFIGURAÇÃO'!$D$11:$D$40,A31,'CONFIGURAÇÃO'!$E$11:$E$40,"trocar por")</f>
        <v/>
      </c>
      <c r="E31">
        <f>IF(COUNTIFS('CONFIGURAÇÃO'!$C$11:$C$40,"&lt;&gt;FALSE",'CONFIGURAÇÃO'!$D$11:$D$40,A31,$L$2:$L$31,0)&gt;0,"Entrada inválida",IF(C31&gt;1,"Conflito: mais de uma troca",""))</f>
        <v/>
      </c>
      <c r="F31">
        <f>'FICHA'!$AJ$19 + IF('FICHA'!U85, 'FICHA'!$D$67 + INT('FICHA'!$D$67 / 2), IF('FICHA'!T85, 'FICHA'!$D$67, 0)) + 'FICHA'!AH85</f>
        <v/>
      </c>
      <c r="G31">
        <f>'FICHA'!$AJ$19 + IF('FICHA'!U85, 'FICHA'!$D$67 + INT('FICHA'!$D$67 / 2), IF('FICHA'!T85, 'FICHA'!$D$67, 0)) + 'FICHA'!AH85</f>
        <v/>
      </c>
      <c r="H31">
        <f>'FICHA'!$AF$85</f>
        <v/>
      </c>
      <c r="K31" t="n">
        <v>30</v>
      </c>
      <c r="L31">
        <f>IF(ISBLANK('CONFIGURAÇÃO'!$C$40),1,IF(NOT(ISLOGICAL('CONFIGURAÇÃO'!$C$40)),0,IF(NOT('CONFIGURAÇÃO'!$C$40),1,IF(AND(COUNTIFS($A$2:$A$89,'CONFIGURAÇÃO'!$D$40)=1,OR('CONFIGURAÇÃO'!$E$40="somar",'CONFIGURAÇÃO'!$E$40="trocar por"),ISNUMBER('CONFIGURAÇÃO'!$F$40),COUNTIFS($O$2:$O$7,'CONFIGURAÇÃO'!$G$40)=1,LEN(TRIM('CONFIGURAÇÃO'!$H$40&amp;""))&gt;0),1,0))))</f>
        <v/>
      </c>
      <c r="M31">
        <f>IF(L31=1,"","Efeito 30: confira ligado, caixa, como, valor e fonte")</f>
        <v/>
      </c>
      <c r="V31" t="n">
        <v>30</v>
      </c>
      <c r="W31">
        <f>'CONFIGURAÇÃO'!$G$94</f>
        <v/>
      </c>
      <c r="Z31">
        <f>IF(30&lt;DADOS_CONFIG!$S$2,"—",IF(30=DADOS_CONFIG!$S$2,0,IF(OR(Z30="Pendente",W30=""),"Pendente",Z30+W30)))</f>
        <v/>
      </c>
      <c r="AC31" t="n">
        <v>30</v>
      </c>
      <c r="AE31">
        <f>'CONFIGURAÇÃO'!$F$129</f>
        <v/>
      </c>
      <c r="AF31">
        <f>IF(OR(DADOS_CONFIG!$S$15="Não",30&gt;'FICHA'!$AH$11),0,IF(IFERROR(AND(ISNUMBER(AE31),AE31&gt;=1,AE31&lt;=$AI$10,INT(AE31)=AE31),FALSE),AE31+'FICHA'!$T$19,NA()))</f>
        <v/>
      </c>
    </row>
    <row r="32">
      <c r="A32" t="inlineStr">
        <is>
          <t>Perícia · Persuasão</t>
        </is>
      </c>
      <c r="B32">
        <f>SUMIFS('CONFIGURAÇÃO'!$F$11:$F$40,'CONFIGURAÇÃO'!$C$11:$C$40,TRUE,'CONFIGURAÇÃO'!$D$11:$D$40,A32,'CONFIGURAÇÃO'!$E$11:$E$40,"somar")</f>
        <v/>
      </c>
      <c r="C32">
        <f>COUNTIFS('CONFIGURAÇÃO'!$C$11:$C$40,TRUE,'CONFIGURAÇÃO'!$D$11:$D$40,A32,'CONFIGURAÇÃO'!$E$11:$E$40,"trocar por")</f>
        <v/>
      </c>
      <c r="D32">
        <f>SUMIFS('CONFIGURAÇÃO'!$F$11:$F$40,'CONFIGURAÇÃO'!$C$11:$C$40,TRUE,'CONFIGURAÇÃO'!$D$11:$D$40,A32,'CONFIGURAÇÃO'!$E$11:$E$40,"trocar por")</f>
        <v/>
      </c>
      <c r="E32">
        <f>IF(COUNTIFS('CONFIGURAÇÃO'!$C$11:$C$40,"&lt;&gt;FALSE",'CONFIGURAÇÃO'!$D$11:$D$40,A32,$L$2:$L$31,0)&gt;0,"Entrada inválida",IF(C32&gt;1,"Conflito: mais de uma troca",""))</f>
        <v/>
      </c>
      <c r="F32">
        <f>'FICHA'!$AJ$19 + IF('FICHA'!U86, 'FICHA'!$D$67 + INT('FICHA'!$D$67 / 2), IF('FICHA'!T86, 'FICHA'!$D$67, 0)) + 'FICHA'!AH86</f>
        <v/>
      </c>
      <c r="G32">
        <f>'FICHA'!$AJ$19 + IF('FICHA'!U86, 'FICHA'!$D$67 + INT('FICHA'!$D$67 / 2), IF('FICHA'!T86, 'FICHA'!$D$67, 0)) + 'FICHA'!AH86</f>
        <v/>
      </c>
      <c r="H32">
        <f>'FICHA'!$AF$86</f>
        <v/>
      </c>
      <c r="AF32">
        <f>IF(COUNTIF(AF2:AF31,"#N/A")&gt;0,"Confira as rolagens da vida",IF(ISERROR(SUM(AF2:AF31)),"Confira as rolagens da vida",""))</f>
        <v/>
      </c>
    </row>
    <row r="33">
      <c r="A33" t="inlineStr">
        <is>
          <t>Perícia · Enganação</t>
        </is>
      </c>
      <c r="B33">
        <f>SUMIFS('CONFIGURAÇÃO'!$F$11:$F$40,'CONFIGURAÇÃO'!$C$11:$C$40,TRUE,'CONFIGURAÇÃO'!$D$11:$D$40,A33,'CONFIGURAÇÃO'!$E$11:$E$40,"somar")</f>
        <v/>
      </c>
      <c r="C33">
        <f>COUNTIFS('CONFIGURAÇÃO'!$C$11:$C$40,TRUE,'CONFIGURAÇÃO'!$D$11:$D$40,A33,'CONFIGURAÇÃO'!$E$11:$E$40,"trocar por")</f>
        <v/>
      </c>
      <c r="D33">
        <f>SUMIFS('CONFIGURAÇÃO'!$F$11:$F$40,'CONFIGURAÇÃO'!$C$11:$C$40,TRUE,'CONFIGURAÇÃO'!$D$11:$D$40,A33,'CONFIGURAÇÃO'!$E$11:$E$40,"trocar por")</f>
        <v/>
      </c>
      <c r="E33">
        <f>IF(COUNTIFS('CONFIGURAÇÃO'!$C$11:$C$40,"&lt;&gt;FALSE",'CONFIGURAÇÃO'!$D$11:$D$40,A33,$L$2:$L$31,0)&gt;0,"Entrada inválida",IF(C33&gt;1,"Conflito: mais de uma troca",""))</f>
        <v/>
      </c>
      <c r="F33">
        <f>'FICHA'!$AJ$19 + IF('FICHA'!U87, 'FICHA'!$D$67 + INT('FICHA'!$D$67 / 2), IF('FICHA'!T87, 'FICHA'!$D$67, 0)) + 'FICHA'!AH87</f>
        <v/>
      </c>
      <c r="G33">
        <f>'FICHA'!$AJ$19 + IF('FICHA'!U87, 'FICHA'!$D$67 + INT('FICHA'!$D$67 / 2), IF('FICHA'!T87, 'FICHA'!$D$67, 0)) + 'FICHA'!AH87</f>
        <v/>
      </c>
      <c r="H33">
        <f>'FICHA'!$AF$87</f>
        <v/>
      </c>
      <c r="Z33">
        <f>IF(COUNTIF(Z2:Z31,"Pendente")&gt;0,"Informe o custo de XP do nível 1 para 2",IF(ISERROR(SUM(W2:W30)),"Confira os custos de XP",""))</f>
        <v/>
      </c>
    </row>
    <row r="34">
      <c r="A34" t="inlineStr">
        <is>
          <t>Perícia · Intimidação</t>
        </is>
      </c>
      <c r="B34">
        <f>SUMIFS('CONFIGURAÇÃO'!$F$11:$F$40,'CONFIGURAÇÃO'!$C$11:$C$40,TRUE,'CONFIGURAÇÃO'!$D$11:$D$40,A34,'CONFIGURAÇÃO'!$E$11:$E$40,"somar")</f>
        <v/>
      </c>
      <c r="C34">
        <f>COUNTIFS('CONFIGURAÇÃO'!$C$11:$C$40,TRUE,'CONFIGURAÇÃO'!$D$11:$D$40,A34,'CONFIGURAÇÃO'!$E$11:$E$40,"trocar por")</f>
        <v/>
      </c>
      <c r="D34">
        <f>SUMIFS('CONFIGURAÇÃO'!$F$11:$F$40,'CONFIGURAÇÃO'!$C$11:$C$40,TRUE,'CONFIGURAÇÃO'!$D$11:$D$40,A34,'CONFIGURAÇÃO'!$E$11:$E$40,"trocar por")</f>
        <v/>
      </c>
      <c r="E34">
        <f>IF(COUNTIFS('CONFIGURAÇÃO'!$C$11:$C$40,"&lt;&gt;FALSE",'CONFIGURAÇÃO'!$D$11:$D$40,A34,$L$2:$L$31,0)&gt;0,"Entrada inválida",IF(C34&gt;1,"Conflito: mais de uma troca",""))</f>
        <v/>
      </c>
      <c r="F34">
        <f>'FICHA'!$AJ$19 + IF('FICHA'!U88, 'FICHA'!$D$67 + INT('FICHA'!$D$67 / 2), IF('FICHA'!T88, 'FICHA'!$D$67, 0)) + 'FICHA'!AH88</f>
        <v/>
      </c>
      <c r="G34">
        <f>'FICHA'!$AJ$19 + IF('FICHA'!U88, 'FICHA'!$D$67 + INT('FICHA'!$D$67 / 2), IF('FICHA'!T88, 'FICHA'!$D$67, 0)) + 'FICHA'!AH88</f>
        <v/>
      </c>
      <c r="H34">
        <f>'FICHA'!$AF$88</f>
        <v/>
      </c>
    </row>
    <row r="35">
      <c r="A35" t="inlineStr">
        <is>
          <t>Perícia · Atuação</t>
        </is>
      </c>
      <c r="B35">
        <f>SUMIFS('CONFIGURAÇÃO'!$F$11:$F$40,'CONFIGURAÇÃO'!$C$11:$C$40,TRUE,'CONFIGURAÇÃO'!$D$11:$D$40,A35,'CONFIGURAÇÃO'!$E$11:$E$40,"somar")</f>
        <v/>
      </c>
      <c r="C35">
        <f>COUNTIFS('CONFIGURAÇÃO'!$C$11:$C$40,TRUE,'CONFIGURAÇÃO'!$D$11:$D$40,A35,'CONFIGURAÇÃO'!$E$11:$E$40,"trocar por")</f>
        <v/>
      </c>
      <c r="D35">
        <f>SUMIFS('CONFIGURAÇÃO'!$F$11:$F$40,'CONFIGURAÇÃO'!$C$11:$C$40,TRUE,'CONFIGURAÇÃO'!$D$11:$D$40,A35,'CONFIGURAÇÃO'!$E$11:$E$40,"trocar por")</f>
        <v/>
      </c>
      <c r="E35">
        <f>IF(COUNTIFS('CONFIGURAÇÃO'!$C$11:$C$40,"&lt;&gt;FALSE",'CONFIGURAÇÃO'!$D$11:$D$40,A35,$L$2:$L$31,0)&gt;0,"Entrada inválida",IF(C35&gt;1,"Conflito: mais de uma troca",""))</f>
        <v/>
      </c>
      <c r="F35">
        <f>'FICHA'!$AJ$19 + IF('FICHA'!U89, 'FICHA'!$D$67 + INT('FICHA'!$D$67 / 2), IF('FICHA'!T89, 'FICHA'!$D$67, 0)) + 'FICHA'!AH89</f>
        <v/>
      </c>
      <c r="G35">
        <f>'FICHA'!$AJ$19 + IF('FICHA'!U89, 'FICHA'!$D$67 + INT('FICHA'!$D$67 / 2), IF('FICHA'!T89, 'FICHA'!$D$67, 0)) + 'FICHA'!AH89</f>
        <v/>
      </c>
      <c r="H35">
        <f>'FICHA'!$AF$89</f>
        <v/>
      </c>
    </row>
    <row r="36">
      <c r="A36" t="inlineStr">
        <is>
          <t>Perícia · Provocar</t>
        </is>
      </c>
      <c r="B36">
        <f>SUMIFS('CONFIGURAÇÃO'!$F$11:$F$40,'CONFIGURAÇÃO'!$C$11:$C$40,TRUE,'CONFIGURAÇÃO'!$D$11:$D$40,A36,'CONFIGURAÇÃO'!$E$11:$E$40,"somar")</f>
        <v/>
      </c>
      <c r="C36">
        <f>COUNTIFS('CONFIGURAÇÃO'!$C$11:$C$40,TRUE,'CONFIGURAÇÃO'!$D$11:$D$40,A36,'CONFIGURAÇÃO'!$E$11:$E$40,"trocar por")</f>
        <v/>
      </c>
      <c r="D36">
        <f>SUMIFS('CONFIGURAÇÃO'!$F$11:$F$40,'CONFIGURAÇÃO'!$C$11:$C$40,TRUE,'CONFIGURAÇÃO'!$D$11:$D$40,A36,'CONFIGURAÇÃO'!$E$11:$E$40,"trocar por")</f>
        <v/>
      </c>
      <c r="E36">
        <f>IF(COUNTIFS('CONFIGURAÇÃO'!$C$11:$C$40,"&lt;&gt;FALSE",'CONFIGURAÇÃO'!$D$11:$D$40,A36,$L$2:$L$31,0)&gt;0,"Entrada inválida",IF(C36&gt;1,"Conflito: mais de uma troca",""))</f>
        <v/>
      </c>
      <c r="F36">
        <f>'FICHA'!$AJ$19 + IF('FICHA'!U90, 'FICHA'!$D$67 + INT('FICHA'!$D$67 / 2), IF('FICHA'!T90, 'FICHA'!$D$67, 0)) + 'FICHA'!AH90</f>
        <v/>
      </c>
      <c r="G36">
        <f>'FICHA'!$AJ$19 + IF('FICHA'!U90, 'FICHA'!$D$67 + INT('FICHA'!$D$67 / 2), IF('FICHA'!T90, 'FICHA'!$D$67, 0)) + 'FICHA'!AH90</f>
        <v/>
      </c>
      <c r="H36">
        <f>'FICHA'!$AF$90</f>
        <v/>
      </c>
    </row>
    <row r="37">
      <c r="A37" t="inlineStr">
        <is>
          <t>Ofício · Condução</t>
        </is>
      </c>
      <c r="B37">
        <f>SUMIFS('CONFIGURAÇÃO'!$F$11:$F$40,'CONFIGURAÇÃO'!$C$11:$C$40,TRUE,'CONFIGURAÇÃO'!$D$11:$D$40,A37,'CONFIGURAÇÃO'!$E$11:$E$40,"somar")</f>
        <v/>
      </c>
      <c r="C37">
        <f>COUNTIFS('CONFIGURAÇÃO'!$C$11:$C$40,TRUE,'CONFIGURAÇÃO'!$D$11:$D$40,A37,'CONFIGURAÇÃO'!$E$11:$E$40,"trocar por")</f>
        <v/>
      </c>
      <c r="D37">
        <f>SUMIFS('CONFIGURAÇÃO'!$F$11:$F$40,'CONFIGURAÇÃO'!$C$11:$C$40,TRUE,'CONFIGURAÇÃO'!$D$11:$D$40,A37,'CONFIGURAÇÃO'!$E$11:$E$40,"trocar por")</f>
        <v/>
      </c>
      <c r="E37">
        <f>IF(COUNTIFS('CONFIGURAÇÃO'!$C$11:$C$40,"&lt;&gt;FALSE",'CONFIGURAÇÃO'!$D$11:$D$40,A37,$L$2:$L$31,0)&gt;0,"Entrada inválida",IF(C37&gt;1,"Conflito: mais de uma troca",""))</f>
        <v/>
      </c>
      <c r="F37">
        <f>+IFS('FICHA'!K108="FORÇA",'FICHA'!$D$19, 'FICHA'!K108="DESTREZA",'FICHA'!$L$19, 'FICHA'!K108="CONSTITUIÇÃO",'FICHA'!$T$19, 'FICHA'!K108="INTELIGÊNCIA",'FICHA'!$AB$19, 'FICHA'!K108="ESSÊNCIA",'FICHA'!$AJ$19) + IF('FICHA'!E108, 'FICHA'!$D$67 + INT('FICHA'!$D$67 / 2), IF('FICHA'!D108, 'FICHA'!$D$67, 0)) + 'FICHA'!O108</f>
        <v/>
      </c>
      <c r="G37">
        <f>+IFS('FICHA'!K108="FORÇA",'FICHA'!$D$19, 'FICHA'!K108="DESTREZA",'FICHA'!$L$19, 'FICHA'!K108="CONSTITUIÇÃO",'FICHA'!$T$19, 'FICHA'!K108="INTELIGÊNCIA",'FICHA'!$AB$19, 'FICHA'!K108="ESSÊNCIA",'FICHA'!$AJ$19) + IF('FICHA'!E108, 'FICHA'!$D$67 + INT('FICHA'!$D$67 / 2), IF('FICHA'!D108, 'FICHA'!$D$67, 0)) + 'FICHA'!O108</f>
        <v/>
      </c>
      <c r="H37">
        <f>'FICHA'!$N$108</f>
        <v/>
      </c>
    </row>
    <row r="38">
      <c r="A38" t="inlineStr">
        <is>
          <t>Ofício · Arrombamento</t>
        </is>
      </c>
      <c r="B38">
        <f>SUMIFS('CONFIGURAÇÃO'!$F$11:$F$40,'CONFIGURAÇÃO'!$C$11:$C$40,TRUE,'CONFIGURAÇÃO'!$D$11:$D$40,A38,'CONFIGURAÇÃO'!$E$11:$E$40,"somar")</f>
        <v/>
      </c>
      <c r="C38">
        <f>COUNTIFS('CONFIGURAÇÃO'!$C$11:$C$40,TRUE,'CONFIGURAÇÃO'!$D$11:$D$40,A38,'CONFIGURAÇÃO'!$E$11:$E$40,"trocar por")</f>
        <v/>
      </c>
      <c r="D38">
        <f>SUMIFS('CONFIGURAÇÃO'!$F$11:$F$40,'CONFIGURAÇÃO'!$C$11:$C$40,TRUE,'CONFIGURAÇÃO'!$D$11:$D$40,A38,'CONFIGURAÇÃO'!$E$11:$E$40,"trocar por")</f>
        <v/>
      </c>
      <c r="E38">
        <f>IF(COUNTIFS('CONFIGURAÇÃO'!$C$11:$C$40,"&lt;&gt;FALSE",'CONFIGURAÇÃO'!$D$11:$D$40,A38,$L$2:$L$31,0)&gt;0,"Entrada inválida",IF(C38&gt;1,"Conflito: mais de uma troca",""))</f>
        <v/>
      </c>
      <c r="F38">
        <f>+IFS('FICHA'!K109="FORÇA",'FICHA'!$D$19, 'FICHA'!K109="DESTREZA",'FICHA'!$L$19, 'FICHA'!K109="CONSTITUIÇÃO",'FICHA'!$T$19, 'FICHA'!K109="INTELIGÊNCIA",'FICHA'!$AB$19, 'FICHA'!K109="ESSÊNCIA",'FICHA'!$AJ$19) + IF('FICHA'!E109, 'FICHA'!$D$67 + INT('FICHA'!$D$67 / 2), IF('FICHA'!D109, 'FICHA'!$D$67, 0)) + 'FICHA'!O109</f>
        <v/>
      </c>
      <c r="G38">
        <f>+IFS('FICHA'!K109="FORÇA",'FICHA'!$D$19, 'FICHA'!K109="DESTREZA",'FICHA'!$L$19, 'FICHA'!K109="CONSTITUIÇÃO",'FICHA'!$T$19, 'FICHA'!K109="INTELIGÊNCIA",'FICHA'!$AB$19, 'FICHA'!K109="ESSÊNCIA",'FICHA'!$AJ$19) + IF('FICHA'!E109, 'FICHA'!$D$67 + INT('FICHA'!$D$67 / 2), IF('FICHA'!D109, 'FICHA'!$D$67, 0)) + 'FICHA'!O109</f>
        <v/>
      </c>
      <c r="H38">
        <f>'FICHA'!$N$109</f>
        <v/>
      </c>
    </row>
    <row r="39">
      <c r="A39" t="inlineStr">
        <is>
          <t>Ofício · Herbalismo</t>
        </is>
      </c>
      <c r="B39">
        <f>SUMIFS('CONFIGURAÇÃO'!$F$11:$F$40,'CONFIGURAÇÃO'!$C$11:$C$40,TRUE,'CONFIGURAÇÃO'!$D$11:$D$40,A39,'CONFIGURAÇÃO'!$E$11:$E$40,"somar")</f>
        <v/>
      </c>
      <c r="C39">
        <f>COUNTIFS('CONFIGURAÇÃO'!$C$11:$C$40,TRUE,'CONFIGURAÇÃO'!$D$11:$D$40,A39,'CONFIGURAÇÃO'!$E$11:$E$40,"trocar por")</f>
        <v/>
      </c>
      <c r="D39">
        <f>SUMIFS('CONFIGURAÇÃO'!$F$11:$F$40,'CONFIGURAÇÃO'!$C$11:$C$40,TRUE,'CONFIGURAÇÃO'!$D$11:$D$40,A39,'CONFIGURAÇÃO'!$E$11:$E$40,"trocar por")</f>
        <v/>
      </c>
      <c r="E39">
        <f>IF(COUNTIFS('CONFIGURAÇÃO'!$C$11:$C$40,"&lt;&gt;FALSE",'CONFIGURAÇÃO'!$D$11:$D$40,A39,$L$2:$L$31,0)&gt;0,"Entrada inválida",IF(C39&gt;1,"Conflito: mais de uma troca",""))</f>
        <v/>
      </c>
      <c r="F39">
        <f>+IFS('FICHA'!K110="FORÇA",'FICHA'!$D$19, 'FICHA'!K110="DESTREZA",'FICHA'!$L$19, 'FICHA'!K110="CONSTITUIÇÃO",'FICHA'!$T$19, 'FICHA'!K110="INTELIGÊNCIA",'FICHA'!$AB$19, 'FICHA'!K110="ESSÊNCIA",'FICHA'!$AJ$19) + IF('FICHA'!E110, 'FICHA'!$D$67 + INT('FICHA'!$D$67 / 2), IF('FICHA'!D110, 'FICHA'!$D$67, 0)) + 'FICHA'!O110</f>
        <v/>
      </c>
      <c r="G39">
        <f>+IFS('FICHA'!K110="FORÇA",'FICHA'!$D$19, 'FICHA'!K110="DESTREZA",'FICHA'!$L$19, 'FICHA'!K110="CONSTITUIÇÃO",'FICHA'!$T$19, 'FICHA'!K110="INTELIGÊNCIA",'FICHA'!$AB$19, 'FICHA'!K110="ESSÊNCIA",'FICHA'!$AJ$19) + IF('FICHA'!E110, 'FICHA'!$D$67 + INT('FICHA'!$D$67 / 2), IF('FICHA'!D110, 'FICHA'!$D$67, 0)) + 'FICHA'!O110</f>
        <v/>
      </c>
      <c r="H39">
        <f>'FICHA'!$N$110</f>
        <v/>
      </c>
    </row>
    <row r="40">
      <c r="A40" t="inlineStr">
        <is>
          <t>Ofício · Forja</t>
        </is>
      </c>
      <c r="B40">
        <f>SUMIFS('CONFIGURAÇÃO'!$F$11:$F$40,'CONFIGURAÇÃO'!$C$11:$C$40,TRUE,'CONFIGURAÇÃO'!$D$11:$D$40,A40,'CONFIGURAÇÃO'!$E$11:$E$40,"somar")</f>
        <v/>
      </c>
      <c r="C40">
        <f>COUNTIFS('CONFIGURAÇÃO'!$C$11:$C$40,TRUE,'CONFIGURAÇÃO'!$D$11:$D$40,A40,'CONFIGURAÇÃO'!$E$11:$E$40,"trocar por")</f>
        <v/>
      </c>
      <c r="D40">
        <f>SUMIFS('CONFIGURAÇÃO'!$F$11:$F$40,'CONFIGURAÇÃO'!$C$11:$C$40,TRUE,'CONFIGURAÇÃO'!$D$11:$D$40,A40,'CONFIGURAÇÃO'!$E$11:$E$40,"trocar por")</f>
        <v/>
      </c>
      <c r="E40">
        <f>IF(COUNTIFS('CONFIGURAÇÃO'!$C$11:$C$40,"&lt;&gt;FALSE",'CONFIGURAÇÃO'!$D$11:$D$40,A40,$L$2:$L$31,0)&gt;0,"Entrada inválida",IF(C40&gt;1,"Conflito: mais de uma troca",""))</f>
        <v/>
      </c>
      <c r="F40">
        <f>+IFS('FICHA'!K111="FORÇA",'FICHA'!$D$19, 'FICHA'!K111="DESTREZA",'FICHA'!$L$19, 'FICHA'!K111="CONSTITUIÇÃO",'FICHA'!$T$19, 'FICHA'!K111="INTELIGÊNCIA",'FICHA'!$AB$19, 'FICHA'!K111="ESSÊNCIA",'FICHA'!$AJ$19) + IF('FICHA'!E111, 'FICHA'!$D$67 + INT('FICHA'!$D$67 / 2), IF('FICHA'!D111, 'FICHA'!$D$67, 0)) + 'FICHA'!O111</f>
        <v/>
      </c>
      <c r="G40">
        <f>+IFS('FICHA'!K111="FORÇA",'FICHA'!$D$19, 'FICHA'!K111="DESTREZA",'FICHA'!$L$19, 'FICHA'!K111="CONSTITUIÇÃO",'FICHA'!$T$19, 'FICHA'!K111="INTELIGÊNCIA",'FICHA'!$AB$19, 'FICHA'!K111="ESSÊNCIA",'FICHA'!$AJ$19) + IF('FICHA'!E111, 'FICHA'!$D$67 + INT('FICHA'!$D$67 / 2), IF('FICHA'!D111, 'FICHA'!$D$67, 0)) + 'FICHA'!O111</f>
        <v/>
      </c>
      <c r="H40">
        <f>'FICHA'!$N$111</f>
        <v/>
      </c>
    </row>
    <row r="41">
      <c r="A41" t="inlineStr">
        <is>
          <t>Ofício · Caligrafia</t>
        </is>
      </c>
      <c r="B41">
        <f>SUMIFS('CONFIGURAÇÃO'!$F$11:$F$40,'CONFIGURAÇÃO'!$C$11:$C$40,TRUE,'CONFIGURAÇÃO'!$D$11:$D$40,A41,'CONFIGURAÇÃO'!$E$11:$E$40,"somar")</f>
        <v/>
      </c>
      <c r="C41">
        <f>COUNTIFS('CONFIGURAÇÃO'!$C$11:$C$40,TRUE,'CONFIGURAÇÃO'!$D$11:$D$40,A41,'CONFIGURAÇÃO'!$E$11:$E$40,"trocar por")</f>
        <v/>
      </c>
      <c r="D41">
        <f>SUMIFS('CONFIGURAÇÃO'!$F$11:$F$40,'CONFIGURAÇÃO'!$C$11:$C$40,TRUE,'CONFIGURAÇÃO'!$D$11:$D$40,A41,'CONFIGURAÇÃO'!$E$11:$E$40,"trocar por")</f>
        <v/>
      </c>
      <c r="E41">
        <f>IF(COUNTIFS('CONFIGURAÇÃO'!$C$11:$C$40,"&lt;&gt;FALSE",'CONFIGURAÇÃO'!$D$11:$D$40,A41,$L$2:$L$31,0)&gt;0,"Entrada inválida",IF(C41&gt;1,"Conflito: mais de uma troca",""))</f>
        <v/>
      </c>
      <c r="F41">
        <f>+IFS('FICHA'!K112="FORÇA",'FICHA'!$D$19, 'FICHA'!K112="DESTREZA",'FICHA'!$L$19, 'FICHA'!K112="CONSTITUIÇÃO",'FICHA'!$T$19, 'FICHA'!K112="INTELIGÊNCIA",'FICHA'!$AB$19, 'FICHA'!K112="ESSÊNCIA",'FICHA'!$AJ$19) + IF('FICHA'!E112, 'FICHA'!$D$67 + INT('FICHA'!$D$67 / 2), IF('FICHA'!D112, 'FICHA'!$D$67, 0)) + 'FICHA'!O112</f>
        <v/>
      </c>
      <c r="G41">
        <f>+IFS('FICHA'!K112="FORÇA",'FICHA'!$D$19, 'FICHA'!K112="DESTREZA",'FICHA'!$L$19, 'FICHA'!K112="CONSTITUIÇÃO",'FICHA'!$T$19, 'FICHA'!K112="INTELIGÊNCIA",'FICHA'!$AB$19, 'FICHA'!K112="ESSÊNCIA",'FICHA'!$AJ$19) + IF('FICHA'!E112, 'FICHA'!$D$67 + INT('FICHA'!$D$67 / 2), IF('FICHA'!D112, 'FICHA'!$D$67, 0)) + 'FICHA'!O112</f>
        <v/>
      </c>
      <c r="H41">
        <f>'FICHA'!$N$112</f>
        <v/>
      </c>
    </row>
    <row r="42">
      <c r="A42" t="inlineStr">
        <is>
          <t>Ofício · Burocracia</t>
        </is>
      </c>
      <c r="B42">
        <f>SUMIFS('CONFIGURAÇÃO'!$F$11:$F$40,'CONFIGURAÇÃO'!$C$11:$C$40,TRUE,'CONFIGURAÇÃO'!$D$11:$D$40,A42,'CONFIGURAÇÃO'!$E$11:$E$40,"somar")</f>
        <v/>
      </c>
      <c r="C42">
        <f>COUNTIFS('CONFIGURAÇÃO'!$C$11:$C$40,TRUE,'CONFIGURAÇÃO'!$D$11:$D$40,A42,'CONFIGURAÇÃO'!$E$11:$E$40,"trocar por")</f>
        <v/>
      </c>
      <c r="D42">
        <f>SUMIFS('CONFIGURAÇÃO'!$F$11:$F$40,'CONFIGURAÇÃO'!$C$11:$C$40,TRUE,'CONFIGURAÇÃO'!$D$11:$D$40,A42,'CONFIGURAÇÃO'!$E$11:$E$40,"trocar por")</f>
        <v/>
      </c>
      <c r="E42">
        <f>IF(COUNTIFS('CONFIGURAÇÃO'!$C$11:$C$40,"&lt;&gt;FALSE",'CONFIGURAÇÃO'!$D$11:$D$40,A42,$L$2:$L$31,0)&gt;0,"Entrada inválida",IF(C42&gt;1,"Conflito: mais de uma troca",""))</f>
        <v/>
      </c>
      <c r="F42">
        <f>+IFS('FICHA'!K113="FORÇA",'FICHA'!$D$19, 'FICHA'!K113="DESTREZA",'FICHA'!$L$19, 'FICHA'!K113="CONSTITUIÇÃO",'FICHA'!$T$19, 'FICHA'!K113="INTELIGÊNCIA",'FICHA'!$AB$19, 'FICHA'!K113="ESSÊNCIA",'FICHA'!$AJ$19) + IF('FICHA'!E113, 'FICHA'!$D$67 + INT('FICHA'!$D$67 / 2), IF('FICHA'!D113, 'FICHA'!$D$67, 0)) + 'FICHA'!O113</f>
        <v/>
      </c>
      <c r="G42">
        <f>+IFS('FICHA'!K113="FORÇA",'FICHA'!$D$19, 'FICHA'!K113="DESTREZA",'FICHA'!$L$19, 'FICHA'!K113="CONSTITUIÇÃO",'FICHA'!$T$19, 'FICHA'!K113="INTELIGÊNCIA",'FICHA'!$AB$19, 'FICHA'!K113="ESSÊNCIA",'FICHA'!$AJ$19) + IF('FICHA'!E113, 'FICHA'!$D$67 + INT('FICHA'!$D$67 / 2), IF('FICHA'!D113, 'FICHA'!$D$67, 0)) + 'FICHA'!O113</f>
        <v/>
      </c>
      <c r="H42">
        <f>'FICHA'!$N$113</f>
        <v/>
      </c>
    </row>
    <row r="43">
      <c r="A43" t="inlineStr">
        <is>
          <t>Ofício · Entalhador</t>
        </is>
      </c>
      <c r="B43">
        <f>SUMIFS('CONFIGURAÇÃO'!$F$11:$F$40,'CONFIGURAÇÃO'!$C$11:$C$40,TRUE,'CONFIGURAÇÃO'!$D$11:$D$40,A43,'CONFIGURAÇÃO'!$E$11:$E$40,"somar")</f>
        <v/>
      </c>
      <c r="C43">
        <f>COUNTIFS('CONFIGURAÇÃO'!$C$11:$C$40,TRUE,'CONFIGURAÇÃO'!$D$11:$D$40,A43,'CONFIGURAÇÃO'!$E$11:$E$40,"trocar por")</f>
        <v/>
      </c>
      <c r="D43">
        <f>SUMIFS('CONFIGURAÇÃO'!$F$11:$F$40,'CONFIGURAÇÃO'!$C$11:$C$40,TRUE,'CONFIGURAÇÃO'!$D$11:$D$40,A43,'CONFIGURAÇÃO'!$E$11:$E$40,"trocar por")</f>
        <v/>
      </c>
      <c r="E43">
        <f>IF(COUNTIFS('CONFIGURAÇÃO'!$C$11:$C$40,"&lt;&gt;FALSE",'CONFIGURAÇÃO'!$D$11:$D$40,A43,$L$2:$L$31,0)&gt;0,"Entrada inválida",IF(C43&gt;1,"Conflito: mais de uma troca",""))</f>
        <v/>
      </c>
      <c r="F43">
        <f>+IFS('FICHA'!X108="FORÇA",'FICHA'!$D$19, 'FICHA'!X108="DESTREZA",'FICHA'!$L$19, 'FICHA'!X108="CONSTITUIÇÃO",'FICHA'!$T$19, 'FICHA'!X108="INTELIGÊNCIA",'FICHA'!$AB$19, 'FICHA'!X108="ESSÊNCIA",'FICHA'!$AJ$19) + IF('FICHA'!R108, 'FICHA'!$D$67 + INT('FICHA'!$D$67 / 2), IF('FICHA'!Q108, 'FICHA'!$D$67, 0)) + 'FICHA'!AB108</f>
        <v/>
      </c>
      <c r="G43">
        <f>+IFS('FICHA'!X108="FORÇA",'FICHA'!$D$19, 'FICHA'!X108="DESTREZA",'FICHA'!$L$19, 'FICHA'!X108="CONSTITUIÇÃO",'FICHA'!$T$19, 'FICHA'!X108="INTELIGÊNCIA",'FICHA'!$AB$19, 'FICHA'!X108="ESSÊNCIA",'FICHA'!$AJ$19) + IF('FICHA'!R108, 'FICHA'!$D$67 + INT('FICHA'!$D$67 / 2), IF('FICHA'!Q108, 'FICHA'!$D$67, 0)) + 'FICHA'!AB108</f>
        <v/>
      </c>
      <c r="H43">
        <f>'FICHA'!$AA$108</f>
        <v/>
      </c>
    </row>
    <row r="44">
      <c r="A44" t="inlineStr">
        <is>
          <t>Ofício · Alfaiate</t>
        </is>
      </c>
      <c r="B44">
        <f>SUMIFS('CONFIGURAÇÃO'!$F$11:$F$40,'CONFIGURAÇÃO'!$C$11:$C$40,TRUE,'CONFIGURAÇÃO'!$D$11:$D$40,A44,'CONFIGURAÇÃO'!$E$11:$E$40,"somar")</f>
        <v/>
      </c>
      <c r="C44">
        <f>COUNTIFS('CONFIGURAÇÃO'!$C$11:$C$40,TRUE,'CONFIGURAÇÃO'!$D$11:$D$40,A44,'CONFIGURAÇÃO'!$E$11:$E$40,"trocar por")</f>
        <v/>
      </c>
      <c r="D44">
        <f>SUMIFS('CONFIGURAÇÃO'!$F$11:$F$40,'CONFIGURAÇÃO'!$C$11:$C$40,TRUE,'CONFIGURAÇÃO'!$D$11:$D$40,A44,'CONFIGURAÇÃO'!$E$11:$E$40,"trocar por")</f>
        <v/>
      </c>
      <c r="E44">
        <f>IF(COUNTIFS('CONFIGURAÇÃO'!$C$11:$C$40,"&lt;&gt;FALSE",'CONFIGURAÇÃO'!$D$11:$D$40,A44,$L$2:$L$31,0)&gt;0,"Entrada inválida",IF(C44&gt;1,"Conflito: mais de uma troca",""))</f>
        <v/>
      </c>
      <c r="F44">
        <f>+IFS('FICHA'!X109="FORÇA",'FICHA'!$D$19, 'FICHA'!X109="DESTREZA",'FICHA'!$L$19, 'FICHA'!X109="CONSTITUIÇÃO",'FICHA'!$T$19, 'FICHA'!X109="INTELIGÊNCIA",'FICHA'!$AB$19, 'FICHA'!X109="ESSÊNCIA",'FICHA'!$AJ$19) + IF('FICHA'!R109, 'FICHA'!$D$67 + INT('FICHA'!$D$67 / 2), IF('FICHA'!Q109, 'FICHA'!$D$67, 0)) + 'FICHA'!AB109</f>
        <v/>
      </c>
      <c r="G44">
        <f>+IFS('FICHA'!X109="FORÇA",'FICHA'!$D$19, 'FICHA'!X109="DESTREZA",'FICHA'!$L$19, 'FICHA'!X109="CONSTITUIÇÃO",'FICHA'!$T$19, 'FICHA'!X109="INTELIGÊNCIA",'FICHA'!$AB$19, 'FICHA'!X109="ESSÊNCIA",'FICHA'!$AJ$19) + IF('FICHA'!R109, 'FICHA'!$D$67 + INT('FICHA'!$D$67 / 2), IF('FICHA'!Q109, 'FICHA'!$D$67, 0)) + 'FICHA'!AB109</f>
        <v/>
      </c>
      <c r="H44">
        <f>'FICHA'!$AA$109</f>
        <v/>
      </c>
    </row>
    <row r="45">
      <c r="A45" t="inlineStr">
        <is>
          <t>Ofício · Culinária</t>
        </is>
      </c>
      <c r="B45">
        <f>SUMIFS('CONFIGURAÇÃO'!$F$11:$F$40,'CONFIGURAÇÃO'!$C$11:$C$40,TRUE,'CONFIGURAÇÃO'!$D$11:$D$40,A45,'CONFIGURAÇÃO'!$E$11:$E$40,"somar")</f>
        <v/>
      </c>
      <c r="C45">
        <f>COUNTIFS('CONFIGURAÇÃO'!$C$11:$C$40,TRUE,'CONFIGURAÇÃO'!$D$11:$D$40,A45,'CONFIGURAÇÃO'!$E$11:$E$40,"trocar por")</f>
        <v/>
      </c>
      <c r="D45">
        <f>SUMIFS('CONFIGURAÇÃO'!$F$11:$F$40,'CONFIGURAÇÃO'!$C$11:$C$40,TRUE,'CONFIGURAÇÃO'!$D$11:$D$40,A45,'CONFIGURAÇÃO'!$E$11:$E$40,"trocar por")</f>
        <v/>
      </c>
      <c r="E45">
        <f>IF(COUNTIFS('CONFIGURAÇÃO'!$C$11:$C$40,"&lt;&gt;FALSE",'CONFIGURAÇÃO'!$D$11:$D$40,A45,$L$2:$L$31,0)&gt;0,"Entrada inválida",IF(C45&gt;1,"Conflito: mais de uma troca",""))</f>
        <v/>
      </c>
      <c r="F45">
        <f>+IFS('FICHA'!X110="FORÇA",'FICHA'!$D$19, 'FICHA'!X110="DESTREZA",'FICHA'!$L$19, 'FICHA'!X110="CONSTITUIÇÃO",'FICHA'!$T$19, 'FICHA'!X110="INTELIGÊNCIA",'FICHA'!$AB$19, 'FICHA'!X110="ESSÊNCIA",'FICHA'!$AJ$19) + IF('FICHA'!R110, 'FICHA'!$D$67 + INT('FICHA'!$D$67 / 2), IF('FICHA'!Q110, 'FICHA'!$D$67, 0)) + 'FICHA'!AB110</f>
        <v/>
      </c>
      <c r="G45">
        <f>+IFS('FICHA'!X110="FORÇA",'FICHA'!$D$19, 'FICHA'!X110="DESTREZA",'FICHA'!$L$19, 'FICHA'!X110="CONSTITUIÇÃO",'FICHA'!$T$19, 'FICHA'!X110="INTELIGÊNCIA",'FICHA'!$AB$19, 'FICHA'!X110="ESSÊNCIA",'FICHA'!$AJ$19) + IF('FICHA'!R110, 'FICHA'!$D$67 + INT('FICHA'!$D$67 / 2), IF('FICHA'!Q110, 'FICHA'!$D$67, 0)) + 'FICHA'!AB110</f>
        <v/>
      </c>
      <c r="H45">
        <f>'FICHA'!$AA$110</f>
        <v/>
      </c>
    </row>
    <row r="46">
      <c r="A46" t="inlineStr">
        <is>
          <t>Ofício · Instrumento</t>
        </is>
      </c>
      <c r="B46">
        <f>SUMIFS('CONFIGURAÇÃO'!$F$11:$F$40,'CONFIGURAÇÃO'!$C$11:$C$40,TRUE,'CONFIGURAÇÃO'!$D$11:$D$40,A46,'CONFIGURAÇÃO'!$E$11:$E$40,"somar")</f>
        <v/>
      </c>
      <c r="C46">
        <f>COUNTIFS('CONFIGURAÇÃO'!$C$11:$C$40,TRUE,'CONFIGURAÇÃO'!$D$11:$D$40,A46,'CONFIGURAÇÃO'!$E$11:$E$40,"trocar por")</f>
        <v/>
      </c>
      <c r="D46">
        <f>SUMIFS('CONFIGURAÇÃO'!$F$11:$F$40,'CONFIGURAÇÃO'!$C$11:$C$40,TRUE,'CONFIGURAÇÃO'!$D$11:$D$40,A46,'CONFIGURAÇÃO'!$E$11:$E$40,"trocar por")</f>
        <v/>
      </c>
      <c r="E46">
        <f>IF(COUNTIFS('CONFIGURAÇÃO'!$C$11:$C$40,"&lt;&gt;FALSE",'CONFIGURAÇÃO'!$D$11:$D$40,A46,$L$2:$L$31,0)&gt;0,"Entrada inválida",IF(C46&gt;1,"Conflito: mais de uma troca",""))</f>
        <v/>
      </c>
      <c r="F46">
        <f>+IFS('FICHA'!X112="FORÇA",'FICHA'!$D$19, 'FICHA'!X112="DESTREZA",'FICHA'!$L$19, 'FICHA'!X112="CONSTITUIÇÃO",'FICHA'!$T$19, 'FICHA'!X112="INTELIGÊNCIA",'FICHA'!$AB$19, 'FICHA'!X112="ESSÊNCIA",'FICHA'!$AJ$19) + IF('FICHA'!R112, 'FICHA'!$D$67 + INT('FICHA'!$D$67 / 2), IF('FICHA'!Q112, 'FICHA'!$D$67, 0)) + 'FICHA'!AB112</f>
        <v/>
      </c>
      <c r="G46">
        <f>+IFS('FICHA'!X112="FORÇA",'FICHA'!$D$19, 'FICHA'!X112="DESTREZA",'FICHA'!$L$19, 'FICHA'!X112="CONSTITUIÇÃO",'FICHA'!$T$19, 'FICHA'!X112="INTELIGÊNCIA",'FICHA'!$AB$19, 'FICHA'!X112="ESSÊNCIA",'FICHA'!$AJ$19) + IF('FICHA'!R112, 'FICHA'!$D$67 + INT('FICHA'!$D$67 / 2), IF('FICHA'!Q112, 'FICHA'!$D$67, 0)) + 'FICHA'!AB112</f>
        <v/>
      </c>
      <c r="H46">
        <f>'FICHA'!$AA$112</f>
        <v/>
      </c>
    </row>
    <row r="47">
      <c r="A47" t="inlineStr">
        <is>
          <t>Ofício · Jogatina</t>
        </is>
      </c>
      <c r="B47">
        <f>SUMIFS('CONFIGURAÇÃO'!$F$11:$F$40,'CONFIGURAÇÃO'!$C$11:$C$40,TRUE,'CONFIGURAÇÃO'!$D$11:$D$40,A47,'CONFIGURAÇÃO'!$E$11:$E$40,"somar")</f>
        <v/>
      </c>
      <c r="C47">
        <f>COUNTIFS('CONFIGURAÇÃO'!$C$11:$C$40,TRUE,'CONFIGURAÇÃO'!$D$11:$D$40,A47,'CONFIGURAÇÃO'!$E$11:$E$40,"trocar por")</f>
        <v/>
      </c>
      <c r="D47">
        <f>SUMIFS('CONFIGURAÇÃO'!$F$11:$F$40,'CONFIGURAÇÃO'!$C$11:$C$40,TRUE,'CONFIGURAÇÃO'!$D$11:$D$40,A47,'CONFIGURAÇÃO'!$E$11:$E$40,"trocar por")</f>
        <v/>
      </c>
      <c r="E47">
        <f>IF(COUNTIFS('CONFIGURAÇÃO'!$C$11:$C$40,"&lt;&gt;FALSE",'CONFIGURAÇÃO'!$D$11:$D$40,A47,$L$2:$L$31,0)&gt;0,"Entrada inválida",IF(C47&gt;1,"Conflito: mais de uma troca",""))</f>
        <v/>
      </c>
      <c r="F47">
        <f>+IFS('FICHA'!X111="FORÇA",'FICHA'!$D$19, 'FICHA'!X111="DESTREZA",'FICHA'!$L$19, 'FICHA'!X111="CONSTITUIÇÃO",'FICHA'!$T$19, 'FICHA'!X111="INTELIGÊNCIA",'FICHA'!$AB$19, 'FICHA'!X111="ESSÊNCIA",'FICHA'!$AJ$19) + IF('FICHA'!R111, 'FICHA'!$D$67 + INT('FICHA'!$D$67 / 2), IF('FICHA'!Q111, 'FICHA'!$D$67, 0)) + 'FICHA'!AB111</f>
        <v/>
      </c>
      <c r="G47">
        <f>+IFS('FICHA'!X111="FORÇA",'FICHA'!$D$19, 'FICHA'!X111="DESTREZA",'FICHA'!$L$19, 'FICHA'!X111="CONSTITUIÇÃO",'FICHA'!$T$19, 'FICHA'!X111="INTELIGÊNCIA",'FICHA'!$AB$19, 'FICHA'!X111="ESSÊNCIA",'FICHA'!$AJ$19) + IF('FICHA'!R111, 'FICHA'!$D$67 + INT('FICHA'!$D$67 / 2), IF('FICHA'!Q111, 'FICHA'!$D$67, 0)) + 'FICHA'!AB111</f>
        <v/>
      </c>
      <c r="H47">
        <f>'FICHA'!$AA$111</f>
        <v/>
      </c>
    </row>
    <row r="48">
      <c r="A48" t="inlineStr">
        <is>
          <t>TR · Físico</t>
        </is>
      </c>
      <c r="B48">
        <f>SUMIFS('CONFIGURAÇÃO'!$F$11:$F$40,'CONFIGURAÇÃO'!$C$11:$C$40,TRUE,'CONFIGURAÇÃO'!$D$11:$D$40,A48,'CONFIGURAÇÃO'!$E$11:$E$40,"somar")</f>
        <v/>
      </c>
      <c r="C48">
        <f>COUNTIFS('CONFIGURAÇÃO'!$C$11:$C$40,TRUE,'CONFIGURAÇÃO'!$D$11:$D$40,A48,'CONFIGURAÇÃO'!$E$11:$E$40,"trocar por")</f>
        <v/>
      </c>
      <c r="D48">
        <f>SUMIFS('CONFIGURAÇÃO'!$F$11:$F$40,'CONFIGURAÇÃO'!$C$11:$C$40,TRUE,'CONFIGURAÇÃO'!$D$11:$D$40,A48,'CONFIGURAÇÃO'!$E$11:$E$40,"trocar por")</f>
        <v/>
      </c>
      <c r="E48">
        <f>IF(COUNTIFS('CONFIGURAÇÃO'!$C$11:$C$40,"&lt;&gt;FALSE",'CONFIGURAÇÃO'!$D$11:$D$40,A48,$L$2:$L$31,0)&gt;0,"Entrada inválida",IF(C48&gt;1,"Conflito: mais de uma troca",""))</f>
        <v/>
      </c>
      <c r="F48">
        <f>+IFS('FICHA'!AK108="FORÇA",'FICHA'!$D$19, 'FICHA'!AK108="DESTREZA",'FICHA'!$L$19)+IF('FICHA'!$AF$108=TRUE,'FICHA'!$D$67,0)+'FICHA'!AJ108</f>
        <v/>
      </c>
      <c r="G48">
        <f>+IFS('FICHA'!AK108="FORÇA",'FICHA'!$D$19, 'FICHA'!AK108="DESTREZA",'FICHA'!$L$19)+IF('FICHA'!$AF$108=TRUE,'FICHA'!$D$67,0)+'FICHA'!AJ108</f>
        <v/>
      </c>
      <c r="H48">
        <f>'FICHA'!$AP$108</f>
        <v/>
      </c>
    </row>
    <row r="49">
      <c r="A49" t="inlineStr">
        <is>
          <t>TR · Vigor</t>
        </is>
      </c>
      <c r="B49">
        <f>SUMIFS('CONFIGURAÇÃO'!$F$11:$F$40,'CONFIGURAÇÃO'!$C$11:$C$40,TRUE,'CONFIGURAÇÃO'!$D$11:$D$40,A49,'CONFIGURAÇÃO'!$E$11:$E$40,"somar")</f>
        <v/>
      </c>
      <c r="C49">
        <f>COUNTIFS('CONFIGURAÇÃO'!$C$11:$C$40,TRUE,'CONFIGURAÇÃO'!$D$11:$D$40,A49,'CONFIGURAÇÃO'!$E$11:$E$40,"trocar por")</f>
        <v/>
      </c>
      <c r="D49">
        <f>SUMIFS('CONFIGURAÇÃO'!$F$11:$F$40,'CONFIGURAÇÃO'!$C$11:$C$40,TRUE,'CONFIGURAÇÃO'!$D$11:$D$40,A49,'CONFIGURAÇÃO'!$E$11:$E$40,"trocar por")</f>
        <v/>
      </c>
      <c r="E49">
        <f>IF(COUNTIFS('CONFIGURAÇÃO'!$C$11:$C$40,"&lt;&gt;FALSE",'CONFIGURAÇÃO'!$D$11:$D$40,A49,$L$2:$L$31,0)&gt;0,"Entrada inválida",IF(C49&gt;1,"Conflito: mais de uma troca",""))</f>
        <v/>
      </c>
      <c r="F49">
        <f>'FICHA'!$T$19+IF('FICHA'!$AF$109=TRUE,'FICHA'!$D$67,0)+'FICHA'!AJ109</f>
        <v/>
      </c>
      <c r="G49">
        <f>'FICHA'!$T$19+IF('FICHA'!$AF$109=TRUE,'FICHA'!$D$67,0)+'FICHA'!AJ109</f>
        <v/>
      </c>
      <c r="H49">
        <f>'FICHA'!$AP$109</f>
        <v/>
      </c>
    </row>
    <row r="50">
      <c r="A50" t="inlineStr">
        <is>
          <t>TR · Intelecto</t>
        </is>
      </c>
      <c r="B50">
        <f>SUMIFS('CONFIGURAÇÃO'!$F$11:$F$40,'CONFIGURAÇÃO'!$C$11:$C$40,TRUE,'CONFIGURAÇÃO'!$D$11:$D$40,A50,'CONFIGURAÇÃO'!$E$11:$E$40,"somar")</f>
        <v/>
      </c>
      <c r="C50">
        <f>COUNTIFS('CONFIGURAÇÃO'!$C$11:$C$40,TRUE,'CONFIGURAÇÃO'!$D$11:$D$40,A50,'CONFIGURAÇÃO'!$E$11:$E$40,"trocar por")</f>
        <v/>
      </c>
      <c r="D50">
        <f>SUMIFS('CONFIGURAÇÃO'!$F$11:$F$40,'CONFIGURAÇÃO'!$C$11:$C$40,TRUE,'CONFIGURAÇÃO'!$D$11:$D$40,A50,'CONFIGURAÇÃO'!$E$11:$E$40,"trocar por")</f>
        <v/>
      </c>
      <c r="E50">
        <f>IF(COUNTIFS('CONFIGURAÇÃO'!$C$11:$C$40,"&lt;&gt;FALSE",'CONFIGURAÇÃO'!$D$11:$D$40,A50,$L$2:$L$31,0)&gt;0,"Entrada inválida",IF(C50&gt;1,"Conflito: mais de uma troca",""))</f>
        <v/>
      </c>
      <c r="F50">
        <f>'FICHA'!$AB$19+IF('FICHA'!$AF$110=TRUE,'FICHA'!$D$67,0)+'FICHA'!AJ110</f>
        <v/>
      </c>
      <c r="G50">
        <f>'FICHA'!$AB$19+IF('FICHA'!$AF$110=TRUE,'FICHA'!$D$67,0)+'FICHA'!AJ110</f>
        <v/>
      </c>
      <c r="H50">
        <f>'FICHA'!$AP$110</f>
        <v/>
      </c>
    </row>
    <row r="51">
      <c r="A51" t="inlineStr">
        <is>
          <t>TR · Espírito</t>
        </is>
      </c>
      <c r="B51">
        <f>SUMIFS('CONFIGURAÇÃO'!$F$11:$F$40,'CONFIGURAÇÃO'!$C$11:$C$40,TRUE,'CONFIGURAÇÃO'!$D$11:$D$40,A51,'CONFIGURAÇÃO'!$E$11:$E$40,"somar")</f>
        <v/>
      </c>
      <c r="C51">
        <f>COUNTIFS('CONFIGURAÇÃO'!$C$11:$C$40,TRUE,'CONFIGURAÇÃO'!$D$11:$D$40,A51,'CONFIGURAÇÃO'!$E$11:$E$40,"trocar por")</f>
        <v/>
      </c>
      <c r="D51">
        <f>SUMIFS('CONFIGURAÇÃO'!$F$11:$F$40,'CONFIGURAÇÃO'!$C$11:$C$40,TRUE,'CONFIGURAÇÃO'!$D$11:$D$40,A51,'CONFIGURAÇÃO'!$E$11:$E$40,"trocar por")</f>
        <v/>
      </c>
      <c r="E51">
        <f>IF(COUNTIFS('CONFIGURAÇÃO'!$C$11:$C$40,"&lt;&gt;FALSE",'CONFIGURAÇÃO'!$D$11:$D$40,A51,$L$2:$L$31,0)&gt;0,"Entrada inválida",IF(C51&gt;1,"Conflito: mais de uma troca",""))</f>
        <v/>
      </c>
      <c r="F51">
        <f>'FICHA'!$AJ$19+IF('FICHA'!$AF$111=TRUE,'FICHA'!$D$67,0)+'FICHA'!AJ111</f>
        <v/>
      </c>
      <c r="G51">
        <f>'FICHA'!$AJ$19+IF('FICHA'!$AF$111=TRUE,'FICHA'!$D$67,0)+'FICHA'!AJ111</f>
        <v/>
      </c>
      <c r="H51">
        <f>'FICHA'!$AP$111</f>
        <v/>
      </c>
    </row>
    <row r="54">
      <c r="A54">
        <f>IF(AND('FICHA'!$F$439&lt;&gt;"",COUNTIF('DADOS_PROGRESSAO'!$AV$2:$AV$11,SUBSTITUTE(SUBSTITUTE(SUBSTITUTE('FICHA'!$F$439,"~","~~"),"*","~*"),"?","~?"))=1,(COUNTIF('FICHA'!$F$439:$F$450,SUBSTITUTE(SUBSTITUTE(SUBSTITUTE('FICHA'!$F$439,"~","~~"),"*","~*"),"?","~?"))+COUNTIF('FICHA'!$Z$439:$Z$449,SUBSTITUTE(SUBSTITUTE(SUBSTITUTE('FICHA'!$F$439,"~","~~"),"*","~*"),"?","~?")))=1),"Perícia · "&amp;'FICHA'!$F$439,"")</f>
        <v/>
      </c>
      <c r="B54">
        <f>SUMIFS('CONFIGURAÇÃO'!$F$11:$F$40,'CONFIGURAÇÃO'!$C$11:$C$40,TRUE,'CONFIGURAÇÃO'!$D$11:$D$40,A54,'CONFIGURAÇÃO'!$E$11:$E$40,"somar")</f>
        <v/>
      </c>
      <c r="C54">
        <f>COUNTIFS('CONFIGURAÇÃO'!$C$11:$C$40,TRUE,'CONFIGURAÇÃO'!$D$11:$D$40,A54,'CONFIGURAÇÃO'!$E$11:$E$40,"trocar por")</f>
        <v/>
      </c>
      <c r="D54">
        <f>SUMIFS('CONFIGURAÇÃO'!$F$11:$F$40,'CONFIGURAÇÃO'!$C$11:$C$40,TRUE,'CONFIGURAÇÃO'!$D$11:$D$40,A54,'CONFIGURAÇÃO'!$E$11:$E$40,"trocar por")</f>
        <v/>
      </c>
      <c r="E54">
        <f>IF(COUNTIFS('CONFIGURAÇÃO'!$C$11:$C$40,"&lt;&gt;FALSE",'CONFIGURAÇÃO'!$D$11:$D$40,A54,$L$2:$L$31,0)&gt;0,"Entrada inválida",IF(C54&gt;1,"Conflito: mais de uma troca",""))</f>
        <v/>
      </c>
      <c r="F54">
        <f>IF('FICHA'!F439="","",IF(AND('FICHA'!$F$439&lt;&gt;"",COUNTIF('DADOS_PROGRESSAO'!$AV$2:$AV$11,SUBSTITUTE(SUBSTITUTE(SUBSTITUTE('FICHA'!$F$439,"~","~~"),"*","~*"),"?","~?"))=1,(COUNTIF('FICHA'!$F$439:$F$450,SUBSTITUTE(SUBSTITUTE(SUBSTITUTE('FICHA'!$F$439,"~","~~"),"*","~*"),"?","~?"))+COUNTIF('FICHA'!$Z$439:$Z$449,SUBSTITUTE(SUBSTITUTE(SUBSTITUTE('FICHA'!$F$439,"~","~~"),"*","~*"),"?","~?")))=1),SWITCH('FICHA'!N439,"Força",'FICHA'!$D$19,"Destreza",'FICHA'!$L$19,"Constituição",'FICHA'!$T$19,"Inteligência",'FICHA'!$AB$19,"Essência",'FICHA'!$AJ$19,NA())+IF('FICHA'!E439,'FICHA'!$D$67+INT('FICHA'!$D$67/2),IF('FICHA'!D439,'FICHA'!$D$67,0))+IFERROR(VALUE('FICHA'!T439&amp;""),0),NA()))</f>
        <v/>
      </c>
      <c r="G54">
        <f>IF('FICHA'!F439="","",IF(AND('FICHA'!$F$439&lt;&gt;"",COUNTIF('DADOS_PROGRESSAO'!$AV$2:$AV$11,SUBSTITUTE(SUBSTITUTE(SUBSTITUTE('FICHA'!$F$439,"~","~~"),"*","~*"),"?","~?"))=1,(COUNTIF('FICHA'!$F$439:$F$450,SUBSTITUTE(SUBSTITUTE(SUBSTITUTE('FICHA'!$F$439,"~","~~"),"*","~*"),"?","~?"))+COUNTIF('FICHA'!$Z$439:$Z$449,SUBSTITUTE(SUBSTITUTE(SUBSTITUTE('FICHA'!$F$439,"~","~~"),"*","~*"),"?","~?")))=1),SWITCH('FICHA'!N439,"Força",'FICHA'!$D$19,"Destreza",'FICHA'!$L$19,"Constituição",'FICHA'!$T$19,"Inteligência",'FICHA'!$AB$19,"Essência",'FICHA'!$AJ$19,NA())+IF('FICHA'!E439,'FICHA'!$D$67+INT('FICHA'!$D$67/2),IF('FICHA'!D439,'FICHA'!$D$67,0))+IFERROR(VALUE('FICHA'!T439&amp;""),0),NA()))</f>
        <v/>
      </c>
      <c r="H54">
        <f>'FICHA'!$R$439</f>
        <v/>
      </c>
    </row>
    <row r="55">
      <c r="A55">
        <f>IF(AND('FICHA'!$F$440&lt;&gt;"",COUNTIF('DADOS_PROGRESSAO'!$AV$2:$AV$11,SUBSTITUTE(SUBSTITUTE(SUBSTITUTE('FICHA'!$F$440,"~","~~"),"*","~*"),"?","~?"))=1,(COUNTIF('FICHA'!$F$439:$F$450,SUBSTITUTE(SUBSTITUTE(SUBSTITUTE('FICHA'!$F$440,"~","~~"),"*","~*"),"?","~?"))+COUNTIF('FICHA'!$Z$439:$Z$449,SUBSTITUTE(SUBSTITUTE(SUBSTITUTE('FICHA'!$F$440,"~","~~"),"*","~*"),"?","~?")))=1),"Perícia · "&amp;'FICHA'!$F$440,"")</f>
        <v/>
      </c>
      <c r="B55">
        <f>SUMIFS('CONFIGURAÇÃO'!$F$11:$F$40,'CONFIGURAÇÃO'!$C$11:$C$40,TRUE,'CONFIGURAÇÃO'!$D$11:$D$40,A55,'CONFIGURAÇÃO'!$E$11:$E$40,"somar")</f>
        <v/>
      </c>
      <c r="C55">
        <f>COUNTIFS('CONFIGURAÇÃO'!$C$11:$C$40,TRUE,'CONFIGURAÇÃO'!$D$11:$D$40,A55,'CONFIGURAÇÃO'!$E$11:$E$40,"trocar por")</f>
        <v/>
      </c>
      <c r="D55">
        <f>SUMIFS('CONFIGURAÇÃO'!$F$11:$F$40,'CONFIGURAÇÃO'!$C$11:$C$40,TRUE,'CONFIGURAÇÃO'!$D$11:$D$40,A55,'CONFIGURAÇÃO'!$E$11:$E$40,"trocar por")</f>
        <v/>
      </c>
      <c r="E55">
        <f>IF(COUNTIFS('CONFIGURAÇÃO'!$C$11:$C$40,"&lt;&gt;FALSE",'CONFIGURAÇÃO'!$D$11:$D$40,A55,$L$2:$L$31,0)&gt;0,"Entrada inválida",IF(C55&gt;1,"Conflito: mais de uma troca",""))</f>
        <v/>
      </c>
      <c r="F55">
        <f>IF('FICHA'!F440="","",IF(AND('FICHA'!$F$440&lt;&gt;"",COUNTIF('DADOS_PROGRESSAO'!$AV$2:$AV$11,SUBSTITUTE(SUBSTITUTE(SUBSTITUTE('FICHA'!$F$440,"~","~~"),"*","~*"),"?","~?"))=1,(COUNTIF('FICHA'!$F$439:$F$450,SUBSTITUTE(SUBSTITUTE(SUBSTITUTE('FICHA'!$F$440,"~","~~"),"*","~*"),"?","~?"))+COUNTIF('FICHA'!$Z$439:$Z$449,SUBSTITUTE(SUBSTITUTE(SUBSTITUTE('FICHA'!$F$440,"~","~~"),"*","~*"),"?","~?")))=1),SWITCH('FICHA'!N440,"Força",'FICHA'!$D$19,"Destreza",'FICHA'!$L$19,"Constituição",'FICHA'!$T$19,"Inteligência",'FICHA'!$AB$19,"Essência",'FICHA'!$AJ$19,NA())+IF('FICHA'!E440,'FICHA'!$D$67+INT('FICHA'!$D$67/2),IF('FICHA'!D440,'FICHA'!$D$67,0))+IFERROR(VALUE('FICHA'!T440&amp;""),0),NA()))</f>
        <v/>
      </c>
      <c r="G55">
        <f>IF('FICHA'!F440="","",IF(AND('FICHA'!$F$440&lt;&gt;"",COUNTIF('DADOS_PROGRESSAO'!$AV$2:$AV$11,SUBSTITUTE(SUBSTITUTE(SUBSTITUTE('FICHA'!$F$440,"~","~~"),"*","~*"),"?","~?"))=1,(COUNTIF('FICHA'!$F$439:$F$450,SUBSTITUTE(SUBSTITUTE(SUBSTITUTE('FICHA'!$F$440,"~","~~"),"*","~*"),"?","~?"))+COUNTIF('FICHA'!$Z$439:$Z$449,SUBSTITUTE(SUBSTITUTE(SUBSTITUTE('FICHA'!$F$440,"~","~~"),"*","~*"),"?","~?")))=1),SWITCH('FICHA'!N440,"Força",'FICHA'!$D$19,"Destreza",'FICHA'!$L$19,"Constituição",'FICHA'!$T$19,"Inteligência",'FICHA'!$AB$19,"Essência",'FICHA'!$AJ$19,NA())+IF('FICHA'!E440,'FICHA'!$D$67+INT('FICHA'!$D$67/2),IF('FICHA'!D440,'FICHA'!$D$67,0))+IFERROR(VALUE('FICHA'!T440&amp;""),0),NA()))</f>
        <v/>
      </c>
      <c r="H55">
        <f>'FICHA'!$R$440</f>
        <v/>
      </c>
    </row>
    <row r="56">
      <c r="A56">
        <f>IF(AND('FICHA'!$F$441&lt;&gt;"",COUNTIF('DADOS_PROGRESSAO'!$AV$2:$AV$11,SUBSTITUTE(SUBSTITUTE(SUBSTITUTE('FICHA'!$F$441,"~","~~"),"*","~*"),"?","~?"))=1,(COUNTIF('FICHA'!$F$439:$F$450,SUBSTITUTE(SUBSTITUTE(SUBSTITUTE('FICHA'!$F$441,"~","~~"),"*","~*"),"?","~?"))+COUNTIF('FICHA'!$Z$439:$Z$449,SUBSTITUTE(SUBSTITUTE(SUBSTITUTE('FICHA'!$F$441,"~","~~"),"*","~*"),"?","~?")))=1),"Perícia · "&amp;'FICHA'!$F$441,"")</f>
        <v/>
      </c>
      <c r="B56">
        <f>SUMIFS('CONFIGURAÇÃO'!$F$11:$F$40,'CONFIGURAÇÃO'!$C$11:$C$40,TRUE,'CONFIGURAÇÃO'!$D$11:$D$40,A56,'CONFIGURAÇÃO'!$E$11:$E$40,"somar")</f>
        <v/>
      </c>
      <c r="C56">
        <f>COUNTIFS('CONFIGURAÇÃO'!$C$11:$C$40,TRUE,'CONFIGURAÇÃO'!$D$11:$D$40,A56,'CONFIGURAÇÃO'!$E$11:$E$40,"trocar por")</f>
        <v/>
      </c>
      <c r="D56">
        <f>SUMIFS('CONFIGURAÇÃO'!$F$11:$F$40,'CONFIGURAÇÃO'!$C$11:$C$40,TRUE,'CONFIGURAÇÃO'!$D$11:$D$40,A56,'CONFIGURAÇÃO'!$E$11:$E$40,"trocar por")</f>
        <v/>
      </c>
      <c r="E56">
        <f>IF(COUNTIFS('CONFIGURAÇÃO'!$C$11:$C$40,"&lt;&gt;FALSE",'CONFIGURAÇÃO'!$D$11:$D$40,A56,$L$2:$L$31,0)&gt;0,"Entrada inválida",IF(C56&gt;1,"Conflito: mais de uma troca",""))</f>
        <v/>
      </c>
      <c r="F56">
        <f>IF('FICHA'!F441="","",IF(AND('FICHA'!$F$441&lt;&gt;"",COUNTIF('DADOS_PROGRESSAO'!$AV$2:$AV$11,SUBSTITUTE(SUBSTITUTE(SUBSTITUTE('FICHA'!$F$441,"~","~~"),"*","~*"),"?","~?"))=1,(COUNTIF('FICHA'!$F$439:$F$450,SUBSTITUTE(SUBSTITUTE(SUBSTITUTE('FICHA'!$F$441,"~","~~"),"*","~*"),"?","~?"))+COUNTIF('FICHA'!$Z$439:$Z$449,SUBSTITUTE(SUBSTITUTE(SUBSTITUTE('FICHA'!$F$441,"~","~~"),"*","~*"),"?","~?")))=1),SWITCH('FICHA'!N441,"Força",'FICHA'!$D$19,"Destreza",'FICHA'!$L$19,"Constituição",'FICHA'!$T$19,"Inteligência",'FICHA'!$AB$19,"Essência",'FICHA'!$AJ$19,NA())+IF('FICHA'!E441,'FICHA'!$D$67+INT('FICHA'!$D$67/2),IF('FICHA'!D441,'FICHA'!$D$67,0))+IFERROR(VALUE('FICHA'!T441&amp;""),0),NA()))</f>
        <v/>
      </c>
      <c r="G56">
        <f>IF('FICHA'!F441="","",IF(AND('FICHA'!$F$441&lt;&gt;"",COUNTIF('DADOS_PROGRESSAO'!$AV$2:$AV$11,SUBSTITUTE(SUBSTITUTE(SUBSTITUTE('FICHA'!$F$441,"~","~~"),"*","~*"),"?","~?"))=1,(COUNTIF('FICHA'!$F$439:$F$450,SUBSTITUTE(SUBSTITUTE(SUBSTITUTE('FICHA'!$F$441,"~","~~"),"*","~*"),"?","~?"))+COUNTIF('FICHA'!$Z$439:$Z$449,SUBSTITUTE(SUBSTITUTE(SUBSTITUTE('FICHA'!$F$441,"~","~~"),"*","~*"),"?","~?")))=1),SWITCH('FICHA'!N441,"Força",'FICHA'!$D$19,"Destreza",'FICHA'!$L$19,"Constituição",'FICHA'!$T$19,"Inteligência",'FICHA'!$AB$19,"Essência",'FICHA'!$AJ$19,NA())+IF('FICHA'!E441,'FICHA'!$D$67+INT('FICHA'!$D$67/2),IF('FICHA'!D441,'FICHA'!$D$67,0))+IFERROR(VALUE('FICHA'!T441&amp;""),0),NA()))</f>
        <v/>
      </c>
      <c r="H56">
        <f>'FICHA'!$R$441</f>
        <v/>
      </c>
    </row>
    <row r="57">
      <c r="A57">
        <f>IF(AND('FICHA'!$F$442&lt;&gt;"",COUNTIF('DADOS_PROGRESSAO'!$AV$2:$AV$11,SUBSTITUTE(SUBSTITUTE(SUBSTITUTE('FICHA'!$F$442,"~","~~"),"*","~*"),"?","~?"))=1,(COUNTIF('FICHA'!$F$439:$F$450,SUBSTITUTE(SUBSTITUTE(SUBSTITUTE('FICHA'!$F$442,"~","~~"),"*","~*"),"?","~?"))+COUNTIF('FICHA'!$Z$439:$Z$449,SUBSTITUTE(SUBSTITUTE(SUBSTITUTE('FICHA'!$F$442,"~","~~"),"*","~*"),"?","~?")))=1),"Perícia · "&amp;'FICHA'!$F$442,"")</f>
        <v/>
      </c>
      <c r="B57">
        <f>SUMIFS('CONFIGURAÇÃO'!$F$11:$F$40,'CONFIGURAÇÃO'!$C$11:$C$40,TRUE,'CONFIGURAÇÃO'!$D$11:$D$40,A57,'CONFIGURAÇÃO'!$E$11:$E$40,"somar")</f>
        <v/>
      </c>
      <c r="C57">
        <f>COUNTIFS('CONFIGURAÇÃO'!$C$11:$C$40,TRUE,'CONFIGURAÇÃO'!$D$11:$D$40,A57,'CONFIGURAÇÃO'!$E$11:$E$40,"trocar por")</f>
        <v/>
      </c>
      <c r="D57">
        <f>SUMIFS('CONFIGURAÇÃO'!$F$11:$F$40,'CONFIGURAÇÃO'!$C$11:$C$40,TRUE,'CONFIGURAÇÃO'!$D$11:$D$40,A57,'CONFIGURAÇÃO'!$E$11:$E$40,"trocar por")</f>
        <v/>
      </c>
      <c r="E57">
        <f>IF(COUNTIFS('CONFIGURAÇÃO'!$C$11:$C$40,"&lt;&gt;FALSE",'CONFIGURAÇÃO'!$D$11:$D$40,A57,$L$2:$L$31,0)&gt;0,"Entrada inválida",IF(C57&gt;1,"Conflito: mais de uma troca",""))</f>
        <v/>
      </c>
      <c r="F57">
        <f>IF('FICHA'!F442="","",IF(AND('FICHA'!$F$442&lt;&gt;"",COUNTIF('DADOS_PROGRESSAO'!$AV$2:$AV$11,SUBSTITUTE(SUBSTITUTE(SUBSTITUTE('FICHA'!$F$442,"~","~~"),"*","~*"),"?","~?"))=1,(COUNTIF('FICHA'!$F$439:$F$450,SUBSTITUTE(SUBSTITUTE(SUBSTITUTE('FICHA'!$F$442,"~","~~"),"*","~*"),"?","~?"))+COUNTIF('FICHA'!$Z$439:$Z$449,SUBSTITUTE(SUBSTITUTE(SUBSTITUTE('FICHA'!$F$442,"~","~~"),"*","~*"),"?","~?")))=1),SWITCH('FICHA'!N442,"Força",'FICHA'!$D$19,"Destreza",'FICHA'!$L$19,"Constituição",'FICHA'!$T$19,"Inteligência",'FICHA'!$AB$19,"Essência",'FICHA'!$AJ$19,NA())+IF('FICHA'!E442,'FICHA'!$D$67+INT('FICHA'!$D$67/2),IF('FICHA'!D442,'FICHA'!$D$67,0))+IFERROR(VALUE('FICHA'!T442&amp;""),0),NA()))</f>
        <v/>
      </c>
      <c r="G57">
        <f>IF('FICHA'!F442="","",IF(AND('FICHA'!$F$442&lt;&gt;"",COUNTIF('DADOS_PROGRESSAO'!$AV$2:$AV$11,SUBSTITUTE(SUBSTITUTE(SUBSTITUTE('FICHA'!$F$442,"~","~~"),"*","~*"),"?","~?"))=1,(COUNTIF('FICHA'!$F$439:$F$450,SUBSTITUTE(SUBSTITUTE(SUBSTITUTE('FICHA'!$F$442,"~","~~"),"*","~*"),"?","~?"))+COUNTIF('FICHA'!$Z$439:$Z$449,SUBSTITUTE(SUBSTITUTE(SUBSTITUTE('FICHA'!$F$442,"~","~~"),"*","~*"),"?","~?")))=1),SWITCH('FICHA'!N442,"Força",'FICHA'!$D$19,"Destreza",'FICHA'!$L$19,"Constituição",'FICHA'!$T$19,"Inteligência",'FICHA'!$AB$19,"Essência",'FICHA'!$AJ$19,NA())+IF('FICHA'!E442,'FICHA'!$D$67+INT('FICHA'!$D$67/2),IF('FICHA'!D442,'FICHA'!$D$67,0))+IFERROR(VALUE('FICHA'!T442&amp;""),0),NA()))</f>
        <v/>
      </c>
      <c r="H57">
        <f>'FICHA'!$R$442</f>
        <v/>
      </c>
    </row>
    <row r="58">
      <c r="A58">
        <f>IF(AND('FICHA'!$F$443&lt;&gt;"",COUNTIF('DADOS_PROGRESSAO'!$AV$2:$AV$11,SUBSTITUTE(SUBSTITUTE(SUBSTITUTE('FICHA'!$F$443,"~","~~"),"*","~*"),"?","~?"))=1,(COUNTIF('FICHA'!$F$439:$F$450,SUBSTITUTE(SUBSTITUTE(SUBSTITUTE('FICHA'!$F$443,"~","~~"),"*","~*"),"?","~?"))+COUNTIF('FICHA'!$Z$439:$Z$449,SUBSTITUTE(SUBSTITUTE(SUBSTITUTE('FICHA'!$F$443,"~","~~"),"*","~*"),"?","~?")))=1),"Perícia · "&amp;'FICHA'!$F$443,"")</f>
        <v/>
      </c>
      <c r="B58">
        <f>SUMIFS('CONFIGURAÇÃO'!$F$11:$F$40,'CONFIGURAÇÃO'!$C$11:$C$40,TRUE,'CONFIGURAÇÃO'!$D$11:$D$40,A58,'CONFIGURAÇÃO'!$E$11:$E$40,"somar")</f>
        <v/>
      </c>
      <c r="C58">
        <f>COUNTIFS('CONFIGURAÇÃO'!$C$11:$C$40,TRUE,'CONFIGURAÇÃO'!$D$11:$D$40,A58,'CONFIGURAÇÃO'!$E$11:$E$40,"trocar por")</f>
        <v/>
      </c>
      <c r="D58">
        <f>SUMIFS('CONFIGURAÇÃO'!$F$11:$F$40,'CONFIGURAÇÃO'!$C$11:$C$40,TRUE,'CONFIGURAÇÃO'!$D$11:$D$40,A58,'CONFIGURAÇÃO'!$E$11:$E$40,"trocar por")</f>
        <v/>
      </c>
      <c r="E58">
        <f>IF(COUNTIFS('CONFIGURAÇÃO'!$C$11:$C$40,"&lt;&gt;FALSE",'CONFIGURAÇÃO'!$D$11:$D$40,A58,$L$2:$L$31,0)&gt;0,"Entrada inválida",IF(C58&gt;1,"Conflito: mais de uma troca",""))</f>
        <v/>
      </c>
      <c r="F58">
        <f>IF('FICHA'!F443="","",IF(AND('FICHA'!$F$443&lt;&gt;"",COUNTIF('DADOS_PROGRESSAO'!$AV$2:$AV$11,SUBSTITUTE(SUBSTITUTE(SUBSTITUTE('FICHA'!$F$443,"~","~~"),"*","~*"),"?","~?"))=1,(COUNTIF('FICHA'!$F$439:$F$450,SUBSTITUTE(SUBSTITUTE(SUBSTITUTE('FICHA'!$F$443,"~","~~"),"*","~*"),"?","~?"))+COUNTIF('FICHA'!$Z$439:$Z$449,SUBSTITUTE(SUBSTITUTE(SUBSTITUTE('FICHA'!$F$443,"~","~~"),"*","~*"),"?","~?")))=1),SWITCH('FICHA'!N443,"Força",'FICHA'!$D$19,"Destreza",'FICHA'!$L$19,"Constituição",'FICHA'!$T$19,"Inteligência",'FICHA'!$AB$19,"Essência",'FICHA'!$AJ$19,NA())+IF('FICHA'!E443,'FICHA'!$D$67+INT('FICHA'!$D$67/2),IF('FICHA'!D443,'FICHA'!$D$67,0))+IFERROR(VALUE('FICHA'!T443&amp;""),0),NA()))</f>
        <v/>
      </c>
      <c r="G58">
        <f>IF('FICHA'!F443="","",IF(AND('FICHA'!$F$443&lt;&gt;"",COUNTIF('DADOS_PROGRESSAO'!$AV$2:$AV$11,SUBSTITUTE(SUBSTITUTE(SUBSTITUTE('FICHA'!$F$443,"~","~~"),"*","~*"),"?","~?"))=1,(COUNTIF('FICHA'!$F$439:$F$450,SUBSTITUTE(SUBSTITUTE(SUBSTITUTE('FICHA'!$F$443,"~","~~"),"*","~*"),"?","~?"))+COUNTIF('FICHA'!$Z$439:$Z$449,SUBSTITUTE(SUBSTITUTE(SUBSTITUTE('FICHA'!$F$443,"~","~~"),"*","~*"),"?","~?")))=1),SWITCH('FICHA'!N443,"Força",'FICHA'!$D$19,"Destreza",'FICHA'!$L$19,"Constituição",'FICHA'!$T$19,"Inteligência",'FICHA'!$AB$19,"Essência",'FICHA'!$AJ$19,NA())+IF('FICHA'!E443,'FICHA'!$D$67+INT('FICHA'!$D$67/2),IF('FICHA'!D443,'FICHA'!$D$67,0))+IFERROR(VALUE('FICHA'!T443&amp;""),0),NA()))</f>
        <v/>
      </c>
      <c r="H58">
        <f>'FICHA'!$R$443</f>
        <v/>
      </c>
    </row>
    <row r="59">
      <c r="A59">
        <f>IF(AND('FICHA'!$F$444&lt;&gt;"",COUNTIF('DADOS_PROGRESSAO'!$AV$2:$AV$11,SUBSTITUTE(SUBSTITUTE(SUBSTITUTE('FICHA'!$F$444,"~","~~"),"*","~*"),"?","~?"))=1,(COUNTIF('FICHA'!$F$439:$F$450,SUBSTITUTE(SUBSTITUTE(SUBSTITUTE('FICHA'!$F$444,"~","~~"),"*","~*"),"?","~?"))+COUNTIF('FICHA'!$Z$439:$Z$449,SUBSTITUTE(SUBSTITUTE(SUBSTITUTE('FICHA'!$F$444,"~","~~"),"*","~*"),"?","~?")))=1),"Perícia · "&amp;'FICHA'!$F$444,"")</f>
        <v/>
      </c>
      <c r="B59">
        <f>SUMIFS('CONFIGURAÇÃO'!$F$11:$F$40,'CONFIGURAÇÃO'!$C$11:$C$40,TRUE,'CONFIGURAÇÃO'!$D$11:$D$40,A59,'CONFIGURAÇÃO'!$E$11:$E$40,"somar")</f>
        <v/>
      </c>
      <c r="C59">
        <f>COUNTIFS('CONFIGURAÇÃO'!$C$11:$C$40,TRUE,'CONFIGURAÇÃO'!$D$11:$D$40,A59,'CONFIGURAÇÃO'!$E$11:$E$40,"trocar por")</f>
        <v/>
      </c>
      <c r="D59">
        <f>SUMIFS('CONFIGURAÇÃO'!$F$11:$F$40,'CONFIGURAÇÃO'!$C$11:$C$40,TRUE,'CONFIGURAÇÃO'!$D$11:$D$40,A59,'CONFIGURAÇÃO'!$E$11:$E$40,"trocar por")</f>
        <v/>
      </c>
      <c r="E59">
        <f>IF(COUNTIFS('CONFIGURAÇÃO'!$C$11:$C$40,"&lt;&gt;FALSE",'CONFIGURAÇÃO'!$D$11:$D$40,A59,$L$2:$L$31,0)&gt;0,"Entrada inválida",IF(C59&gt;1,"Conflito: mais de uma troca",""))</f>
        <v/>
      </c>
      <c r="F59">
        <f>IF('FICHA'!F444="","",IF(AND('FICHA'!$F$444&lt;&gt;"",COUNTIF('DADOS_PROGRESSAO'!$AV$2:$AV$11,SUBSTITUTE(SUBSTITUTE(SUBSTITUTE('FICHA'!$F$444,"~","~~"),"*","~*"),"?","~?"))=1,(COUNTIF('FICHA'!$F$439:$F$450,SUBSTITUTE(SUBSTITUTE(SUBSTITUTE('FICHA'!$F$444,"~","~~"),"*","~*"),"?","~?"))+COUNTIF('FICHA'!$Z$439:$Z$449,SUBSTITUTE(SUBSTITUTE(SUBSTITUTE('FICHA'!$F$444,"~","~~"),"*","~*"),"?","~?")))=1),SWITCH('FICHA'!N444,"Força",'FICHA'!$D$19,"Destreza",'FICHA'!$L$19,"Constituição",'FICHA'!$T$19,"Inteligência",'FICHA'!$AB$19,"Essência",'FICHA'!$AJ$19,NA())+IF('FICHA'!E444,'FICHA'!$D$67+INT('FICHA'!$D$67/2),IF('FICHA'!D444,'FICHA'!$D$67,0))+IFERROR(VALUE('FICHA'!T444&amp;""),0),NA()))</f>
        <v/>
      </c>
      <c r="G59">
        <f>IF('FICHA'!F444="","",IF(AND('FICHA'!$F$444&lt;&gt;"",COUNTIF('DADOS_PROGRESSAO'!$AV$2:$AV$11,SUBSTITUTE(SUBSTITUTE(SUBSTITUTE('FICHA'!$F$444,"~","~~"),"*","~*"),"?","~?"))=1,(COUNTIF('FICHA'!$F$439:$F$450,SUBSTITUTE(SUBSTITUTE(SUBSTITUTE('FICHA'!$F$444,"~","~~"),"*","~*"),"?","~?"))+COUNTIF('FICHA'!$Z$439:$Z$449,SUBSTITUTE(SUBSTITUTE(SUBSTITUTE('FICHA'!$F$444,"~","~~"),"*","~*"),"?","~?")))=1),SWITCH('FICHA'!N444,"Força",'FICHA'!$D$19,"Destreza",'FICHA'!$L$19,"Constituição",'FICHA'!$T$19,"Inteligência",'FICHA'!$AB$19,"Essência",'FICHA'!$AJ$19,NA())+IF('FICHA'!E444,'FICHA'!$D$67+INT('FICHA'!$D$67/2),IF('FICHA'!D444,'FICHA'!$D$67,0))+IFERROR(VALUE('FICHA'!T444&amp;""),0),NA()))</f>
        <v/>
      </c>
      <c r="H59">
        <f>'FICHA'!$R$444</f>
        <v/>
      </c>
    </row>
    <row r="60">
      <c r="A60">
        <f>IF(AND('FICHA'!$F$445&lt;&gt;"",COUNTIF('DADOS_PROGRESSAO'!$AV$2:$AV$11,SUBSTITUTE(SUBSTITUTE(SUBSTITUTE('FICHA'!$F$445,"~","~~"),"*","~*"),"?","~?"))=1,(COUNTIF('FICHA'!$F$439:$F$450,SUBSTITUTE(SUBSTITUTE(SUBSTITUTE('FICHA'!$F$445,"~","~~"),"*","~*"),"?","~?"))+COUNTIF('FICHA'!$Z$439:$Z$449,SUBSTITUTE(SUBSTITUTE(SUBSTITUTE('FICHA'!$F$445,"~","~~"),"*","~*"),"?","~?")))=1),"Perícia · "&amp;'FICHA'!$F$445,"")</f>
        <v/>
      </c>
      <c r="B60">
        <f>SUMIFS('CONFIGURAÇÃO'!$F$11:$F$40,'CONFIGURAÇÃO'!$C$11:$C$40,TRUE,'CONFIGURAÇÃO'!$D$11:$D$40,A60,'CONFIGURAÇÃO'!$E$11:$E$40,"somar")</f>
        <v/>
      </c>
      <c r="C60">
        <f>COUNTIFS('CONFIGURAÇÃO'!$C$11:$C$40,TRUE,'CONFIGURAÇÃO'!$D$11:$D$40,A60,'CONFIGURAÇÃO'!$E$11:$E$40,"trocar por")</f>
        <v/>
      </c>
      <c r="D60">
        <f>SUMIFS('CONFIGURAÇÃO'!$F$11:$F$40,'CONFIGURAÇÃO'!$C$11:$C$40,TRUE,'CONFIGURAÇÃO'!$D$11:$D$40,A60,'CONFIGURAÇÃO'!$E$11:$E$40,"trocar por")</f>
        <v/>
      </c>
      <c r="E60">
        <f>IF(COUNTIFS('CONFIGURAÇÃO'!$C$11:$C$40,"&lt;&gt;FALSE",'CONFIGURAÇÃO'!$D$11:$D$40,A60,$L$2:$L$31,0)&gt;0,"Entrada inválida",IF(C60&gt;1,"Conflito: mais de uma troca",""))</f>
        <v/>
      </c>
      <c r="F60">
        <f>IF('FICHA'!F445="","",IF(AND('FICHA'!$F$445&lt;&gt;"",COUNTIF('DADOS_PROGRESSAO'!$AV$2:$AV$11,SUBSTITUTE(SUBSTITUTE(SUBSTITUTE('FICHA'!$F$445,"~","~~"),"*","~*"),"?","~?"))=1,(COUNTIF('FICHA'!$F$439:$F$450,SUBSTITUTE(SUBSTITUTE(SUBSTITUTE('FICHA'!$F$445,"~","~~"),"*","~*"),"?","~?"))+COUNTIF('FICHA'!$Z$439:$Z$449,SUBSTITUTE(SUBSTITUTE(SUBSTITUTE('FICHA'!$F$445,"~","~~"),"*","~*"),"?","~?")))=1),SWITCH('FICHA'!N445,"Força",'FICHA'!$D$19,"Destreza",'FICHA'!$L$19,"Constituição",'FICHA'!$T$19,"Inteligência",'FICHA'!$AB$19,"Essência",'FICHA'!$AJ$19,NA())+IF('FICHA'!E445,'FICHA'!$D$67+INT('FICHA'!$D$67/2),IF('FICHA'!D445,'FICHA'!$D$67,0))+IFERROR(VALUE('FICHA'!T445&amp;""),0),NA()))</f>
        <v/>
      </c>
      <c r="G60">
        <f>IF('FICHA'!F445="","",IF(AND('FICHA'!$F$445&lt;&gt;"",COUNTIF('DADOS_PROGRESSAO'!$AV$2:$AV$11,SUBSTITUTE(SUBSTITUTE(SUBSTITUTE('FICHA'!$F$445,"~","~~"),"*","~*"),"?","~?"))=1,(COUNTIF('FICHA'!$F$439:$F$450,SUBSTITUTE(SUBSTITUTE(SUBSTITUTE('FICHA'!$F$445,"~","~~"),"*","~*"),"?","~?"))+COUNTIF('FICHA'!$Z$439:$Z$449,SUBSTITUTE(SUBSTITUTE(SUBSTITUTE('FICHA'!$F$445,"~","~~"),"*","~*"),"?","~?")))=1),SWITCH('FICHA'!N445,"Força",'FICHA'!$D$19,"Destreza",'FICHA'!$L$19,"Constituição",'FICHA'!$T$19,"Inteligência",'FICHA'!$AB$19,"Essência",'FICHA'!$AJ$19,NA())+IF('FICHA'!E445,'FICHA'!$D$67+INT('FICHA'!$D$67/2),IF('FICHA'!D445,'FICHA'!$D$67,0))+IFERROR(VALUE('FICHA'!T445&amp;""),0),NA()))</f>
        <v/>
      </c>
      <c r="H60">
        <f>'FICHA'!$R$445</f>
        <v/>
      </c>
    </row>
    <row r="61">
      <c r="A61">
        <f>IF(AND('FICHA'!$F$446&lt;&gt;"",COUNTIF('DADOS_PROGRESSAO'!$AV$2:$AV$11,SUBSTITUTE(SUBSTITUTE(SUBSTITUTE('FICHA'!$F$446,"~","~~"),"*","~*"),"?","~?"))=1,(COUNTIF('FICHA'!$F$439:$F$450,SUBSTITUTE(SUBSTITUTE(SUBSTITUTE('FICHA'!$F$446,"~","~~"),"*","~*"),"?","~?"))+COUNTIF('FICHA'!$Z$439:$Z$449,SUBSTITUTE(SUBSTITUTE(SUBSTITUTE('FICHA'!$F$446,"~","~~"),"*","~*"),"?","~?")))=1),"Perícia · "&amp;'FICHA'!$F$446,"")</f>
        <v/>
      </c>
      <c r="B61">
        <f>SUMIFS('CONFIGURAÇÃO'!$F$11:$F$40,'CONFIGURAÇÃO'!$C$11:$C$40,TRUE,'CONFIGURAÇÃO'!$D$11:$D$40,A61,'CONFIGURAÇÃO'!$E$11:$E$40,"somar")</f>
        <v/>
      </c>
      <c r="C61">
        <f>COUNTIFS('CONFIGURAÇÃO'!$C$11:$C$40,TRUE,'CONFIGURAÇÃO'!$D$11:$D$40,A61,'CONFIGURAÇÃO'!$E$11:$E$40,"trocar por")</f>
        <v/>
      </c>
      <c r="D61">
        <f>SUMIFS('CONFIGURAÇÃO'!$F$11:$F$40,'CONFIGURAÇÃO'!$C$11:$C$40,TRUE,'CONFIGURAÇÃO'!$D$11:$D$40,A61,'CONFIGURAÇÃO'!$E$11:$E$40,"trocar por")</f>
        <v/>
      </c>
      <c r="E61">
        <f>IF(COUNTIFS('CONFIGURAÇÃO'!$C$11:$C$40,"&lt;&gt;FALSE",'CONFIGURAÇÃO'!$D$11:$D$40,A61,$L$2:$L$31,0)&gt;0,"Entrada inválida",IF(C61&gt;1,"Conflito: mais de uma troca",""))</f>
        <v/>
      </c>
      <c r="F61">
        <f>IF('FICHA'!F446="","",IF(AND('FICHA'!$F$446&lt;&gt;"",COUNTIF('DADOS_PROGRESSAO'!$AV$2:$AV$11,SUBSTITUTE(SUBSTITUTE(SUBSTITUTE('FICHA'!$F$446,"~","~~"),"*","~*"),"?","~?"))=1,(COUNTIF('FICHA'!$F$439:$F$450,SUBSTITUTE(SUBSTITUTE(SUBSTITUTE('FICHA'!$F$446,"~","~~"),"*","~*"),"?","~?"))+COUNTIF('FICHA'!$Z$439:$Z$449,SUBSTITUTE(SUBSTITUTE(SUBSTITUTE('FICHA'!$F$446,"~","~~"),"*","~*"),"?","~?")))=1),SWITCH('FICHA'!N446,"Força",'FICHA'!$D$19,"Destreza",'FICHA'!$L$19,"Constituição",'FICHA'!$T$19,"Inteligência",'FICHA'!$AB$19,"Essência",'FICHA'!$AJ$19,NA())+IF('FICHA'!E446,'FICHA'!$D$67+INT('FICHA'!$D$67/2),IF('FICHA'!D446,'FICHA'!$D$67,0))+IFERROR(VALUE('FICHA'!T446&amp;""),0),NA()))</f>
        <v/>
      </c>
      <c r="G61">
        <f>IF('FICHA'!F446="","",IF(AND('FICHA'!$F$446&lt;&gt;"",COUNTIF('DADOS_PROGRESSAO'!$AV$2:$AV$11,SUBSTITUTE(SUBSTITUTE(SUBSTITUTE('FICHA'!$F$446,"~","~~"),"*","~*"),"?","~?"))=1,(COUNTIF('FICHA'!$F$439:$F$450,SUBSTITUTE(SUBSTITUTE(SUBSTITUTE('FICHA'!$F$446,"~","~~"),"*","~*"),"?","~?"))+COUNTIF('FICHA'!$Z$439:$Z$449,SUBSTITUTE(SUBSTITUTE(SUBSTITUTE('FICHA'!$F$446,"~","~~"),"*","~*"),"?","~?")))=1),SWITCH('FICHA'!N446,"Força",'FICHA'!$D$19,"Destreza",'FICHA'!$L$19,"Constituição",'FICHA'!$T$19,"Inteligência",'FICHA'!$AB$19,"Essência",'FICHA'!$AJ$19,NA())+IF('FICHA'!E446,'FICHA'!$D$67+INT('FICHA'!$D$67/2),IF('FICHA'!D446,'FICHA'!$D$67,0))+IFERROR(VALUE('FICHA'!T446&amp;""),0),NA()))</f>
        <v/>
      </c>
      <c r="H61">
        <f>'FICHA'!$R$446</f>
        <v/>
      </c>
    </row>
    <row r="62">
      <c r="A62">
        <f>IF(AND('FICHA'!$F$447&lt;&gt;"",COUNTIF('DADOS_PROGRESSAO'!$AV$2:$AV$11,SUBSTITUTE(SUBSTITUTE(SUBSTITUTE('FICHA'!$F$447,"~","~~"),"*","~*"),"?","~?"))=1,(COUNTIF('FICHA'!$F$439:$F$450,SUBSTITUTE(SUBSTITUTE(SUBSTITUTE('FICHA'!$F$447,"~","~~"),"*","~*"),"?","~?"))+COUNTIF('FICHA'!$Z$439:$Z$449,SUBSTITUTE(SUBSTITUTE(SUBSTITUTE('FICHA'!$F$447,"~","~~"),"*","~*"),"?","~?")))=1),"Perícia · "&amp;'FICHA'!$F$447,"")</f>
        <v/>
      </c>
      <c r="B62">
        <f>SUMIFS('CONFIGURAÇÃO'!$F$11:$F$40,'CONFIGURAÇÃO'!$C$11:$C$40,TRUE,'CONFIGURAÇÃO'!$D$11:$D$40,A62,'CONFIGURAÇÃO'!$E$11:$E$40,"somar")</f>
        <v/>
      </c>
      <c r="C62">
        <f>COUNTIFS('CONFIGURAÇÃO'!$C$11:$C$40,TRUE,'CONFIGURAÇÃO'!$D$11:$D$40,A62,'CONFIGURAÇÃO'!$E$11:$E$40,"trocar por")</f>
        <v/>
      </c>
      <c r="D62">
        <f>SUMIFS('CONFIGURAÇÃO'!$F$11:$F$40,'CONFIGURAÇÃO'!$C$11:$C$40,TRUE,'CONFIGURAÇÃO'!$D$11:$D$40,A62,'CONFIGURAÇÃO'!$E$11:$E$40,"trocar por")</f>
        <v/>
      </c>
      <c r="E62">
        <f>IF(COUNTIFS('CONFIGURAÇÃO'!$C$11:$C$40,"&lt;&gt;FALSE",'CONFIGURAÇÃO'!$D$11:$D$40,A62,$L$2:$L$31,0)&gt;0,"Entrada inválida",IF(C62&gt;1,"Conflito: mais de uma troca",""))</f>
        <v/>
      </c>
      <c r="F62">
        <f>IF('FICHA'!F447="","",IF(AND('FICHA'!$F$447&lt;&gt;"",COUNTIF('DADOS_PROGRESSAO'!$AV$2:$AV$11,SUBSTITUTE(SUBSTITUTE(SUBSTITUTE('FICHA'!$F$447,"~","~~"),"*","~*"),"?","~?"))=1,(COUNTIF('FICHA'!$F$439:$F$450,SUBSTITUTE(SUBSTITUTE(SUBSTITUTE('FICHA'!$F$447,"~","~~"),"*","~*"),"?","~?"))+COUNTIF('FICHA'!$Z$439:$Z$449,SUBSTITUTE(SUBSTITUTE(SUBSTITUTE('FICHA'!$F$447,"~","~~"),"*","~*"),"?","~?")))=1),SWITCH('FICHA'!N447,"Força",'FICHA'!$D$19,"Destreza",'FICHA'!$L$19,"Constituição",'FICHA'!$T$19,"Inteligência",'FICHA'!$AB$19,"Essência",'FICHA'!$AJ$19,NA())+IF('FICHA'!E447,'FICHA'!$D$67+INT('FICHA'!$D$67/2),IF('FICHA'!D447,'FICHA'!$D$67,0))+IFERROR(VALUE('FICHA'!T447&amp;""),0),NA()))</f>
        <v/>
      </c>
      <c r="G62">
        <f>IF('FICHA'!F447="","",IF(AND('FICHA'!$F$447&lt;&gt;"",COUNTIF('DADOS_PROGRESSAO'!$AV$2:$AV$11,SUBSTITUTE(SUBSTITUTE(SUBSTITUTE('FICHA'!$F$447,"~","~~"),"*","~*"),"?","~?"))=1,(COUNTIF('FICHA'!$F$439:$F$450,SUBSTITUTE(SUBSTITUTE(SUBSTITUTE('FICHA'!$F$447,"~","~~"),"*","~*"),"?","~?"))+COUNTIF('FICHA'!$Z$439:$Z$449,SUBSTITUTE(SUBSTITUTE(SUBSTITUTE('FICHA'!$F$447,"~","~~"),"*","~*"),"?","~?")))=1),SWITCH('FICHA'!N447,"Força",'FICHA'!$D$19,"Destreza",'FICHA'!$L$19,"Constituição",'FICHA'!$T$19,"Inteligência",'FICHA'!$AB$19,"Essência",'FICHA'!$AJ$19,NA())+IF('FICHA'!E447,'FICHA'!$D$67+INT('FICHA'!$D$67/2),IF('FICHA'!D447,'FICHA'!$D$67,0))+IFERROR(VALUE('FICHA'!T447&amp;""),0),NA()))</f>
        <v/>
      </c>
      <c r="H62">
        <f>'FICHA'!$R$447</f>
        <v/>
      </c>
    </row>
    <row r="63">
      <c r="A63">
        <f>IF(AND('FICHA'!$F$448&lt;&gt;"",COUNTIF('DADOS_PROGRESSAO'!$AV$2:$AV$11,SUBSTITUTE(SUBSTITUTE(SUBSTITUTE('FICHA'!$F$448,"~","~~"),"*","~*"),"?","~?"))=1,(COUNTIF('FICHA'!$F$439:$F$450,SUBSTITUTE(SUBSTITUTE(SUBSTITUTE('FICHA'!$F$448,"~","~~"),"*","~*"),"?","~?"))+COUNTIF('FICHA'!$Z$439:$Z$449,SUBSTITUTE(SUBSTITUTE(SUBSTITUTE('FICHA'!$F$448,"~","~~"),"*","~*"),"?","~?")))=1),"Perícia · "&amp;'FICHA'!$F$448,"")</f>
        <v/>
      </c>
      <c r="B63">
        <f>SUMIFS('CONFIGURAÇÃO'!$F$11:$F$40,'CONFIGURAÇÃO'!$C$11:$C$40,TRUE,'CONFIGURAÇÃO'!$D$11:$D$40,A63,'CONFIGURAÇÃO'!$E$11:$E$40,"somar")</f>
        <v/>
      </c>
      <c r="C63">
        <f>COUNTIFS('CONFIGURAÇÃO'!$C$11:$C$40,TRUE,'CONFIGURAÇÃO'!$D$11:$D$40,A63,'CONFIGURAÇÃO'!$E$11:$E$40,"trocar por")</f>
        <v/>
      </c>
      <c r="D63">
        <f>SUMIFS('CONFIGURAÇÃO'!$F$11:$F$40,'CONFIGURAÇÃO'!$C$11:$C$40,TRUE,'CONFIGURAÇÃO'!$D$11:$D$40,A63,'CONFIGURAÇÃO'!$E$11:$E$40,"trocar por")</f>
        <v/>
      </c>
      <c r="E63">
        <f>IF(COUNTIFS('CONFIGURAÇÃO'!$C$11:$C$40,"&lt;&gt;FALSE",'CONFIGURAÇÃO'!$D$11:$D$40,A63,$L$2:$L$31,0)&gt;0,"Entrada inválida",IF(C63&gt;1,"Conflito: mais de uma troca",""))</f>
        <v/>
      </c>
      <c r="F63">
        <f>IF('FICHA'!F448="","",IF(AND('FICHA'!$F$448&lt;&gt;"",COUNTIF('DADOS_PROGRESSAO'!$AV$2:$AV$11,SUBSTITUTE(SUBSTITUTE(SUBSTITUTE('FICHA'!$F$448,"~","~~"),"*","~*"),"?","~?"))=1,(COUNTIF('FICHA'!$F$439:$F$450,SUBSTITUTE(SUBSTITUTE(SUBSTITUTE('FICHA'!$F$448,"~","~~"),"*","~*"),"?","~?"))+COUNTIF('FICHA'!$Z$439:$Z$449,SUBSTITUTE(SUBSTITUTE(SUBSTITUTE('FICHA'!$F$448,"~","~~"),"*","~*"),"?","~?")))=1),SWITCH('FICHA'!N448,"Força",'FICHA'!$D$19,"Destreza",'FICHA'!$L$19,"Constituição",'FICHA'!$T$19,"Inteligência",'FICHA'!$AB$19,"Essência",'FICHA'!$AJ$19,NA())+IF('FICHA'!E448,'FICHA'!$D$67+INT('FICHA'!$D$67/2),IF('FICHA'!D448,'FICHA'!$D$67,0))+IFERROR(VALUE('FICHA'!T448&amp;""),0),NA()))</f>
        <v/>
      </c>
      <c r="G63">
        <f>IF('FICHA'!F448="","",IF(AND('FICHA'!$F$448&lt;&gt;"",COUNTIF('DADOS_PROGRESSAO'!$AV$2:$AV$11,SUBSTITUTE(SUBSTITUTE(SUBSTITUTE('FICHA'!$F$448,"~","~~"),"*","~*"),"?","~?"))=1,(COUNTIF('FICHA'!$F$439:$F$450,SUBSTITUTE(SUBSTITUTE(SUBSTITUTE('FICHA'!$F$448,"~","~~"),"*","~*"),"?","~?"))+COUNTIF('FICHA'!$Z$439:$Z$449,SUBSTITUTE(SUBSTITUTE(SUBSTITUTE('FICHA'!$F$448,"~","~~"),"*","~*"),"?","~?")))=1),SWITCH('FICHA'!N448,"Força",'FICHA'!$D$19,"Destreza",'FICHA'!$L$19,"Constituição",'FICHA'!$T$19,"Inteligência",'FICHA'!$AB$19,"Essência",'FICHA'!$AJ$19,NA())+IF('FICHA'!E448,'FICHA'!$D$67+INT('FICHA'!$D$67/2),IF('FICHA'!D448,'FICHA'!$D$67,0))+IFERROR(VALUE('FICHA'!T448&amp;""),0),NA()))</f>
        <v/>
      </c>
      <c r="H63">
        <f>'FICHA'!$R$448</f>
        <v/>
      </c>
    </row>
    <row r="64">
      <c r="A64">
        <f>IF(AND('FICHA'!$F$449&lt;&gt;"",COUNTIF('DADOS_PROGRESSAO'!$AV$2:$AV$11,SUBSTITUTE(SUBSTITUTE(SUBSTITUTE('FICHA'!$F$449,"~","~~"),"*","~*"),"?","~?"))=1,(COUNTIF('FICHA'!$F$439:$F$450,SUBSTITUTE(SUBSTITUTE(SUBSTITUTE('FICHA'!$F$449,"~","~~"),"*","~*"),"?","~?"))+COUNTIF('FICHA'!$Z$439:$Z$449,SUBSTITUTE(SUBSTITUTE(SUBSTITUTE('FICHA'!$F$449,"~","~~"),"*","~*"),"?","~?")))=1),"Perícia · "&amp;'FICHA'!$F$449,"")</f>
        <v/>
      </c>
      <c r="B64">
        <f>SUMIFS('CONFIGURAÇÃO'!$F$11:$F$40,'CONFIGURAÇÃO'!$C$11:$C$40,TRUE,'CONFIGURAÇÃO'!$D$11:$D$40,A64,'CONFIGURAÇÃO'!$E$11:$E$40,"somar")</f>
        <v/>
      </c>
      <c r="C64">
        <f>COUNTIFS('CONFIGURAÇÃO'!$C$11:$C$40,TRUE,'CONFIGURAÇÃO'!$D$11:$D$40,A64,'CONFIGURAÇÃO'!$E$11:$E$40,"trocar por")</f>
        <v/>
      </c>
      <c r="D64">
        <f>SUMIFS('CONFIGURAÇÃO'!$F$11:$F$40,'CONFIGURAÇÃO'!$C$11:$C$40,TRUE,'CONFIGURAÇÃO'!$D$11:$D$40,A64,'CONFIGURAÇÃO'!$E$11:$E$40,"trocar por")</f>
        <v/>
      </c>
      <c r="E64">
        <f>IF(COUNTIFS('CONFIGURAÇÃO'!$C$11:$C$40,"&lt;&gt;FALSE",'CONFIGURAÇÃO'!$D$11:$D$40,A64,$L$2:$L$31,0)&gt;0,"Entrada inválida",IF(C64&gt;1,"Conflito: mais de uma troca",""))</f>
        <v/>
      </c>
      <c r="F64">
        <f>IF('FICHA'!F449="","",IF(AND('FICHA'!$F$449&lt;&gt;"",COUNTIF('DADOS_PROGRESSAO'!$AV$2:$AV$11,SUBSTITUTE(SUBSTITUTE(SUBSTITUTE('FICHA'!$F$449,"~","~~"),"*","~*"),"?","~?"))=1,(COUNTIF('FICHA'!$F$439:$F$450,SUBSTITUTE(SUBSTITUTE(SUBSTITUTE('FICHA'!$F$449,"~","~~"),"*","~*"),"?","~?"))+COUNTIF('FICHA'!$Z$439:$Z$449,SUBSTITUTE(SUBSTITUTE(SUBSTITUTE('FICHA'!$F$449,"~","~~"),"*","~*"),"?","~?")))=1),SWITCH('FICHA'!N449,"Força",'FICHA'!$D$19,"Destreza",'FICHA'!$L$19,"Constituição",'FICHA'!$T$19,"Inteligência",'FICHA'!$AB$19,"Essência",'FICHA'!$AJ$19,NA())+IF('FICHA'!E449,'FICHA'!$D$67+INT('FICHA'!$D$67/2),IF('FICHA'!D449,'FICHA'!$D$67,0))+IFERROR(VALUE('FICHA'!T449&amp;""),0),NA()))</f>
        <v/>
      </c>
      <c r="G64">
        <f>IF('FICHA'!F449="","",IF(AND('FICHA'!$F$449&lt;&gt;"",COUNTIF('DADOS_PROGRESSAO'!$AV$2:$AV$11,SUBSTITUTE(SUBSTITUTE(SUBSTITUTE('FICHA'!$F$449,"~","~~"),"*","~*"),"?","~?"))=1,(COUNTIF('FICHA'!$F$439:$F$450,SUBSTITUTE(SUBSTITUTE(SUBSTITUTE('FICHA'!$F$449,"~","~~"),"*","~*"),"?","~?"))+COUNTIF('FICHA'!$Z$439:$Z$449,SUBSTITUTE(SUBSTITUTE(SUBSTITUTE('FICHA'!$F$449,"~","~~"),"*","~*"),"?","~?")))=1),SWITCH('FICHA'!N449,"Força",'FICHA'!$D$19,"Destreza",'FICHA'!$L$19,"Constituição",'FICHA'!$T$19,"Inteligência",'FICHA'!$AB$19,"Essência",'FICHA'!$AJ$19,NA())+IF('FICHA'!E449,'FICHA'!$D$67+INT('FICHA'!$D$67/2),IF('FICHA'!D449,'FICHA'!$D$67,0))+IFERROR(VALUE('FICHA'!T449&amp;""),0),NA()))</f>
        <v/>
      </c>
      <c r="H64">
        <f>'FICHA'!$R$449</f>
        <v/>
      </c>
    </row>
    <row r="65">
      <c r="A65">
        <f>IF(AND('FICHA'!$F$450&lt;&gt;"",COUNTIF('DADOS_PROGRESSAO'!$AV$2:$AV$11,SUBSTITUTE(SUBSTITUTE(SUBSTITUTE('FICHA'!$F$450,"~","~~"),"*","~*"),"?","~?"))=1,(COUNTIF('FICHA'!$F$439:$F$450,SUBSTITUTE(SUBSTITUTE(SUBSTITUTE('FICHA'!$F$450,"~","~~"),"*","~*"),"?","~?"))+COUNTIF('FICHA'!$Z$439:$Z$449,SUBSTITUTE(SUBSTITUTE(SUBSTITUTE('FICHA'!$F$450,"~","~~"),"*","~*"),"?","~?")))=1),"Perícia · "&amp;'FICHA'!$F$450,"")</f>
        <v/>
      </c>
      <c r="B65">
        <f>SUMIFS('CONFIGURAÇÃO'!$F$11:$F$40,'CONFIGURAÇÃO'!$C$11:$C$40,TRUE,'CONFIGURAÇÃO'!$D$11:$D$40,A65,'CONFIGURAÇÃO'!$E$11:$E$40,"somar")</f>
        <v/>
      </c>
      <c r="C65">
        <f>COUNTIFS('CONFIGURAÇÃO'!$C$11:$C$40,TRUE,'CONFIGURAÇÃO'!$D$11:$D$40,A65,'CONFIGURAÇÃO'!$E$11:$E$40,"trocar por")</f>
        <v/>
      </c>
      <c r="D65">
        <f>SUMIFS('CONFIGURAÇÃO'!$F$11:$F$40,'CONFIGURAÇÃO'!$C$11:$C$40,TRUE,'CONFIGURAÇÃO'!$D$11:$D$40,A65,'CONFIGURAÇÃO'!$E$11:$E$40,"trocar por")</f>
        <v/>
      </c>
      <c r="E65">
        <f>IF(COUNTIFS('CONFIGURAÇÃO'!$C$11:$C$40,"&lt;&gt;FALSE",'CONFIGURAÇÃO'!$D$11:$D$40,A65,$L$2:$L$31,0)&gt;0,"Entrada inválida",IF(C65&gt;1,"Conflito: mais de uma troca",""))</f>
        <v/>
      </c>
      <c r="F65">
        <f>IF('FICHA'!F450="","",IF(AND('FICHA'!$F$450&lt;&gt;"",COUNTIF('DADOS_PROGRESSAO'!$AV$2:$AV$11,SUBSTITUTE(SUBSTITUTE(SUBSTITUTE('FICHA'!$F$450,"~","~~"),"*","~*"),"?","~?"))=1,(COUNTIF('FICHA'!$F$439:$F$450,SUBSTITUTE(SUBSTITUTE(SUBSTITUTE('FICHA'!$F$450,"~","~~"),"*","~*"),"?","~?"))+COUNTIF('FICHA'!$Z$439:$Z$449,SUBSTITUTE(SUBSTITUTE(SUBSTITUTE('FICHA'!$F$450,"~","~~"),"*","~*"),"?","~?")))=1),SWITCH('FICHA'!N450,"Força",'FICHA'!$D$19,"Destreza",'FICHA'!$L$19,"Constituição",'FICHA'!$T$19,"Inteligência",'FICHA'!$AB$19,"Essência",'FICHA'!$AJ$19,NA())+IF('FICHA'!E450,'FICHA'!$D$67+INT('FICHA'!$D$67/2),IF('FICHA'!D450,'FICHA'!$D$67,0))+IFERROR(VALUE('FICHA'!T450&amp;""),0),NA()))</f>
        <v/>
      </c>
      <c r="G65">
        <f>IF('FICHA'!F450="","",IF(AND('FICHA'!$F$450&lt;&gt;"",COUNTIF('DADOS_PROGRESSAO'!$AV$2:$AV$11,SUBSTITUTE(SUBSTITUTE(SUBSTITUTE('FICHA'!$F$450,"~","~~"),"*","~*"),"?","~?"))=1,(COUNTIF('FICHA'!$F$439:$F$450,SUBSTITUTE(SUBSTITUTE(SUBSTITUTE('FICHA'!$F$450,"~","~~"),"*","~*"),"?","~?"))+COUNTIF('FICHA'!$Z$439:$Z$449,SUBSTITUTE(SUBSTITUTE(SUBSTITUTE('FICHA'!$F$450,"~","~~"),"*","~*"),"?","~?")))=1),SWITCH('FICHA'!N450,"Força",'FICHA'!$D$19,"Destreza",'FICHA'!$L$19,"Constituição",'FICHA'!$T$19,"Inteligência",'FICHA'!$AB$19,"Essência",'FICHA'!$AJ$19,NA())+IF('FICHA'!E450,'FICHA'!$D$67+INT('FICHA'!$D$67/2),IF('FICHA'!D450,'FICHA'!$D$67,0))+IFERROR(VALUE('FICHA'!T450&amp;""),0),NA()))</f>
        <v/>
      </c>
      <c r="H65">
        <f>'FICHA'!$R$450</f>
        <v/>
      </c>
    </row>
    <row r="66">
      <c r="A66">
        <f>IF(AND('FICHA'!$Z$439&lt;&gt;"",COUNTIF('DADOS_PROGRESSAO'!$AV$2:$AV$11,SUBSTITUTE(SUBSTITUTE(SUBSTITUTE('FICHA'!$Z$439,"~","~~"),"*","~*"),"?","~?"))=1,(COUNTIF('FICHA'!$F$439:$F$450,SUBSTITUTE(SUBSTITUTE(SUBSTITUTE('FICHA'!$Z$439,"~","~~"),"*","~*"),"?","~?"))+COUNTIF('FICHA'!$Z$439:$Z$449,SUBSTITUTE(SUBSTITUTE(SUBSTITUTE('FICHA'!$Z$439,"~","~~"),"*","~*"),"?","~?")))=1),"Perícia · "&amp;'FICHA'!$Z$439,"")</f>
        <v/>
      </c>
      <c r="B66">
        <f>SUMIFS('CONFIGURAÇÃO'!$F$11:$F$40,'CONFIGURAÇÃO'!$C$11:$C$40,TRUE,'CONFIGURAÇÃO'!$D$11:$D$40,A66,'CONFIGURAÇÃO'!$E$11:$E$40,"somar")</f>
        <v/>
      </c>
      <c r="C66">
        <f>COUNTIFS('CONFIGURAÇÃO'!$C$11:$C$40,TRUE,'CONFIGURAÇÃO'!$D$11:$D$40,A66,'CONFIGURAÇÃO'!$E$11:$E$40,"trocar por")</f>
        <v/>
      </c>
      <c r="D66">
        <f>SUMIFS('CONFIGURAÇÃO'!$F$11:$F$40,'CONFIGURAÇÃO'!$C$11:$C$40,TRUE,'CONFIGURAÇÃO'!$D$11:$D$40,A66,'CONFIGURAÇÃO'!$E$11:$E$40,"trocar por")</f>
        <v/>
      </c>
      <c r="E66">
        <f>IF(COUNTIFS('CONFIGURAÇÃO'!$C$11:$C$40,"&lt;&gt;FALSE",'CONFIGURAÇÃO'!$D$11:$D$40,A66,$L$2:$L$31,0)&gt;0,"Entrada inválida",IF(C66&gt;1,"Conflito: mais de uma troca",""))</f>
        <v/>
      </c>
      <c r="F66">
        <f>IF('FICHA'!Z439="","",IF(AND('FICHA'!$Z$439&lt;&gt;"",COUNTIF('DADOS_PROGRESSAO'!$AV$2:$AV$11,SUBSTITUTE(SUBSTITUTE(SUBSTITUTE('FICHA'!$Z$439,"~","~~"),"*","~*"),"?","~?"))=1,(COUNTIF('FICHA'!$F$439:$F$450,SUBSTITUTE(SUBSTITUTE(SUBSTITUTE('FICHA'!$Z$439,"~","~~"),"*","~*"),"?","~?"))+COUNTIF('FICHA'!$Z$439:$Z$449,SUBSTITUTE(SUBSTITUTE(SUBSTITUTE('FICHA'!$Z$439,"~","~~"),"*","~*"),"?","~?")))=1),SWITCH('FICHA'!AH439,"Força",'FICHA'!$D$19,"Destreza",'FICHA'!$L$19,"Constituição",'FICHA'!$T$19,"Inteligência",'FICHA'!$AB$19,"Essência",'FICHA'!$AJ$19,NA())+IF('FICHA'!Y439,'FICHA'!$D$67+INT('FICHA'!$D$67/2),IF('FICHA'!X439,'FICHA'!$D$67,0))+IFERROR(VALUE('FICHA'!AN439&amp;""),0),NA()))</f>
        <v/>
      </c>
      <c r="G66">
        <f>IF('FICHA'!Z439="","",IF(AND('FICHA'!$Z$439&lt;&gt;"",COUNTIF('DADOS_PROGRESSAO'!$AV$2:$AV$11,SUBSTITUTE(SUBSTITUTE(SUBSTITUTE('FICHA'!$Z$439,"~","~~"),"*","~*"),"?","~?"))=1,(COUNTIF('FICHA'!$F$439:$F$450,SUBSTITUTE(SUBSTITUTE(SUBSTITUTE('FICHA'!$Z$439,"~","~~"),"*","~*"),"?","~?"))+COUNTIF('FICHA'!$Z$439:$Z$449,SUBSTITUTE(SUBSTITUTE(SUBSTITUTE('FICHA'!$Z$439,"~","~~"),"*","~*"),"?","~?")))=1),SWITCH('FICHA'!AH439,"Força",'FICHA'!$D$19,"Destreza",'FICHA'!$L$19,"Constituição",'FICHA'!$T$19,"Inteligência",'FICHA'!$AB$19,"Essência",'FICHA'!$AJ$19,NA())+IF('FICHA'!Y439,'FICHA'!$D$67+INT('FICHA'!$D$67/2),IF('FICHA'!X439,'FICHA'!$D$67,0))+IFERROR(VALUE('FICHA'!AN439&amp;""),0),NA()))</f>
        <v/>
      </c>
      <c r="H66">
        <f>'FICHA'!$AL$439</f>
        <v/>
      </c>
    </row>
    <row r="67">
      <c r="A67">
        <f>IF(AND('FICHA'!$Z$440&lt;&gt;"",COUNTIF('DADOS_PROGRESSAO'!$AV$2:$AV$11,SUBSTITUTE(SUBSTITUTE(SUBSTITUTE('FICHA'!$Z$440,"~","~~"),"*","~*"),"?","~?"))=1,(COUNTIF('FICHA'!$F$439:$F$450,SUBSTITUTE(SUBSTITUTE(SUBSTITUTE('FICHA'!$Z$440,"~","~~"),"*","~*"),"?","~?"))+COUNTIF('FICHA'!$Z$439:$Z$449,SUBSTITUTE(SUBSTITUTE(SUBSTITUTE('FICHA'!$Z$440,"~","~~"),"*","~*"),"?","~?")))=1),"Perícia · "&amp;'FICHA'!$Z$440,"")</f>
        <v/>
      </c>
      <c r="B67">
        <f>SUMIFS('CONFIGURAÇÃO'!$F$11:$F$40,'CONFIGURAÇÃO'!$C$11:$C$40,TRUE,'CONFIGURAÇÃO'!$D$11:$D$40,A67,'CONFIGURAÇÃO'!$E$11:$E$40,"somar")</f>
        <v/>
      </c>
      <c r="C67">
        <f>COUNTIFS('CONFIGURAÇÃO'!$C$11:$C$40,TRUE,'CONFIGURAÇÃO'!$D$11:$D$40,A67,'CONFIGURAÇÃO'!$E$11:$E$40,"trocar por")</f>
        <v/>
      </c>
      <c r="D67">
        <f>SUMIFS('CONFIGURAÇÃO'!$F$11:$F$40,'CONFIGURAÇÃO'!$C$11:$C$40,TRUE,'CONFIGURAÇÃO'!$D$11:$D$40,A67,'CONFIGURAÇÃO'!$E$11:$E$40,"trocar por")</f>
        <v/>
      </c>
      <c r="E67">
        <f>IF(COUNTIFS('CONFIGURAÇÃO'!$C$11:$C$40,"&lt;&gt;FALSE",'CONFIGURAÇÃO'!$D$11:$D$40,A67,$L$2:$L$31,0)&gt;0,"Entrada inválida",IF(C67&gt;1,"Conflito: mais de uma troca",""))</f>
        <v/>
      </c>
      <c r="F67">
        <f>IF('FICHA'!Z440="","",IF(AND('FICHA'!$Z$440&lt;&gt;"",COUNTIF('DADOS_PROGRESSAO'!$AV$2:$AV$11,SUBSTITUTE(SUBSTITUTE(SUBSTITUTE('FICHA'!$Z$440,"~","~~"),"*","~*"),"?","~?"))=1,(COUNTIF('FICHA'!$F$439:$F$450,SUBSTITUTE(SUBSTITUTE(SUBSTITUTE('FICHA'!$Z$440,"~","~~"),"*","~*"),"?","~?"))+COUNTIF('FICHA'!$Z$439:$Z$449,SUBSTITUTE(SUBSTITUTE(SUBSTITUTE('FICHA'!$Z$440,"~","~~"),"*","~*"),"?","~?")))=1),SWITCH('FICHA'!AH440,"Força",'FICHA'!$D$19,"Destreza",'FICHA'!$L$19,"Constituição",'FICHA'!$T$19,"Inteligência",'FICHA'!$AB$19,"Essência",'FICHA'!$AJ$19,NA())+IF('FICHA'!Y440,'FICHA'!$D$67+INT('FICHA'!$D$67/2),IF('FICHA'!X440,'FICHA'!$D$67,0))+IFERROR(VALUE('FICHA'!AN440&amp;""),0),NA()))</f>
        <v/>
      </c>
      <c r="G67">
        <f>IF('FICHA'!Z440="","",IF(AND('FICHA'!$Z$440&lt;&gt;"",COUNTIF('DADOS_PROGRESSAO'!$AV$2:$AV$11,SUBSTITUTE(SUBSTITUTE(SUBSTITUTE('FICHA'!$Z$440,"~","~~"),"*","~*"),"?","~?"))=1,(COUNTIF('FICHA'!$F$439:$F$450,SUBSTITUTE(SUBSTITUTE(SUBSTITUTE('FICHA'!$Z$440,"~","~~"),"*","~*"),"?","~?"))+COUNTIF('FICHA'!$Z$439:$Z$449,SUBSTITUTE(SUBSTITUTE(SUBSTITUTE('FICHA'!$Z$440,"~","~~"),"*","~*"),"?","~?")))=1),SWITCH('FICHA'!AH440,"Força",'FICHA'!$D$19,"Destreza",'FICHA'!$L$19,"Constituição",'FICHA'!$T$19,"Inteligência",'FICHA'!$AB$19,"Essência",'FICHA'!$AJ$19,NA())+IF('FICHA'!Y440,'FICHA'!$D$67+INT('FICHA'!$D$67/2),IF('FICHA'!X440,'FICHA'!$D$67,0))+IFERROR(VALUE('FICHA'!AN440&amp;""),0),NA()))</f>
        <v/>
      </c>
      <c r="H67">
        <f>'FICHA'!$AL$440</f>
        <v/>
      </c>
    </row>
    <row r="68">
      <c r="A68">
        <f>IF(AND('FICHA'!$Z$441&lt;&gt;"",COUNTIF('DADOS_PROGRESSAO'!$AV$2:$AV$11,SUBSTITUTE(SUBSTITUTE(SUBSTITUTE('FICHA'!$Z$441,"~","~~"),"*","~*"),"?","~?"))=1,(COUNTIF('FICHA'!$F$439:$F$450,SUBSTITUTE(SUBSTITUTE(SUBSTITUTE('FICHA'!$Z$441,"~","~~"),"*","~*"),"?","~?"))+COUNTIF('FICHA'!$Z$439:$Z$449,SUBSTITUTE(SUBSTITUTE(SUBSTITUTE('FICHA'!$Z$441,"~","~~"),"*","~*"),"?","~?")))=1),"Perícia · "&amp;'FICHA'!$Z$441,"")</f>
        <v/>
      </c>
      <c r="B68">
        <f>SUMIFS('CONFIGURAÇÃO'!$F$11:$F$40,'CONFIGURAÇÃO'!$C$11:$C$40,TRUE,'CONFIGURAÇÃO'!$D$11:$D$40,A68,'CONFIGURAÇÃO'!$E$11:$E$40,"somar")</f>
        <v/>
      </c>
      <c r="C68">
        <f>COUNTIFS('CONFIGURAÇÃO'!$C$11:$C$40,TRUE,'CONFIGURAÇÃO'!$D$11:$D$40,A68,'CONFIGURAÇÃO'!$E$11:$E$40,"trocar por")</f>
        <v/>
      </c>
      <c r="D68">
        <f>SUMIFS('CONFIGURAÇÃO'!$F$11:$F$40,'CONFIGURAÇÃO'!$C$11:$C$40,TRUE,'CONFIGURAÇÃO'!$D$11:$D$40,A68,'CONFIGURAÇÃO'!$E$11:$E$40,"trocar por")</f>
        <v/>
      </c>
      <c r="E68">
        <f>IF(COUNTIFS('CONFIGURAÇÃO'!$C$11:$C$40,"&lt;&gt;FALSE",'CONFIGURAÇÃO'!$D$11:$D$40,A68,$L$2:$L$31,0)&gt;0,"Entrada inválida",IF(C68&gt;1,"Conflito: mais de uma troca",""))</f>
        <v/>
      </c>
      <c r="F68">
        <f>IF('FICHA'!Z441="","",IF(AND('FICHA'!$Z$441&lt;&gt;"",COUNTIF('DADOS_PROGRESSAO'!$AV$2:$AV$11,SUBSTITUTE(SUBSTITUTE(SUBSTITUTE('FICHA'!$Z$441,"~","~~"),"*","~*"),"?","~?"))=1,(COUNTIF('FICHA'!$F$439:$F$450,SUBSTITUTE(SUBSTITUTE(SUBSTITUTE('FICHA'!$Z$441,"~","~~"),"*","~*"),"?","~?"))+COUNTIF('FICHA'!$Z$439:$Z$449,SUBSTITUTE(SUBSTITUTE(SUBSTITUTE('FICHA'!$Z$441,"~","~~"),"*","~*"),"?","~?")))=1),SWITCH('FICHA'!AH441,"Força",'FICHA'!$D$19,"Destreza",'FICHA'!$L$19,"Constituição",'FICHA'!$T$19,"Inteligência",'FICHA'!$AB$19,"Essência",'FICHA'!$AJ$19,NA())+IF('FICHA'!Y441,'FICHA'!$D$67+INT('FICHA'!$D$67/2),IF('FICHA'!X441,'FICHA'!$D$67,0))+IFERROR(VALUE('FICHA'!AN441&amp;""),0),NA()))</f>
        <v/>
      </c>
      <c r="G68">
        <f>IF('FICHA'!Z441="","",IF(AND('FICHA'!$Z$441&lt;&gt;"",COUNTIF('DADOS_PROGRESSAO'!$AV$2:$AV$11,SUBSTITUTE(SUBSTITUTE(SUBSTITUTE('FICHA'!$Z$441,"~","~~"),"*","~*"),"?","~?"))=1,(COUNTIF('FICHA'!$F$439:$F$450,SUBSTITUTE(SUBSTITUTE(SUBSTITUTE('FICHA'!$Z$441,"~","~~"),"*","~*"),"?","~?"))+COUNTIF('FICHA'!$Z$439:$Z$449,SUBSTITUTE(SUBSTITUTE(SUBSTITUTE('FICHA'!$Z$441,"~","~~"),"*","~*"),"?","~?")))=1),SWITCH('FICHA'!AH441,"Força",'FICHA'!$D$19,"Destreza",'FICHA'!$L$19,"Constituição",'FICHA'!$T$19,"Inteligência",'FICHA'!$AB$19,"Essência",'FICHA'!$AJ$19,NA())+IF('FICHA'!Y441,'FICHA'!$D$67+INT('FICHA'!$D$67/2),IF('FICHA'!X441,'FICHA'!$D$67,0))+IFERROR(VALUE('FICHA'!AN441&amp;""),0),NA()))</f>
        <v/>
      </c>
      <c r="H68">
        <f>'FICHA'!$AL$441</f>
        <v/>
      </c>
    </row>
    <row r="69">
      <c r="A69">
        <f>IF(AND('FICHA'!$Z$442&lt;&gt;"",COUNTIF('DADOS_PROGRESSAO'!$AV$2:$AV$11,SUBSTITUTE(SUBSTITUTE(SUBSTITUTE('FICHA'!$Z$442,"~","~~"),"*","~*"),"?","~?"))=1,(COUNTIF('FICHA'!$F$439:$F$450,SUBSTITUTE(SUBSTITUTE(SUBSTITUTE('FICHA'!$Z$442,"~","~~"),"*","~*"),"?","~?"))+COUNTIF('FICHA'!$Z$439:$Z$449,SUBSTITUTE(SUBSTITUTE(SUBSTITUTE('FICHA'!$Z$442,"~","~~"),"*","~*"),"?","~?")))=1),"Perícia · "&amp;'FICHA'!$Z$442,"")</f>
        <v/>
      </c>
      <c r="B69">
        <f>SUMIFS('CONFIGURAÇÃO'!$F$11:$F$40,'CONFIGURAÇÃO'!$C$11:$C$40,TRUE,'CONFIGURAÇÃO'!$D$11:$D$40,A69,'CONFIGURAÇÃO'!$E$11:$E$40,"somar")</f>
        <v/>
      </c>
      <c r="C69">
        <f>COUNTIFS('CONFIGURAÇÃO'!$C$11:$C$40,TRUE,'CONFIGURAÇÃO'!$D$11:$D$40,A69,'CONFIGURAÇÃO'!$E$11:$E$40,"trocar por")</f>
        <v/>
      </c>
      <c r="D69">
        <f>SUMIFS('CONFIGURAÇÃO'!$F$11:$F$40,'CONFIGURAÇÃO'!$C$11:$C$40,TRUE,'CONFIGURAÇÃO'!$D$11:$D$40,A69,'CONFIGURAÇÃO'!$E$11:$E$40,"trocar por")</f>
        <v/>
      </c>
      <c r="E69">
        <f>IF(COUNTIFS('CONFIGURAÇÃO'!$C$11:$C$40,"&lt;&gt;FALSE",'CONFIGURAÇÃO'!$D$11:$D$40,A69,$L$2:$L$31,0)&gt;0,"Entrada inválida",IF(C69&gt;1,"Conflito: mais de uma troca",""))</f>
        <v/>
      </c>
      <c r="F69">
        <f>IF('FICHA'!Z442="","",IF(AND('FICHA'!$Z$442&lt;&gt;"",COUNTIF('DADOS_PROGRESSAO'!$AV$2:$AV$11,SUBSTITUTE(SUBSTITUTE(SUBSTITUTE('FICHA'!$Z$442,"~","~~"),"*","~*"),"?","~?"))=1,(COUNTIF('FICHA'!$F$439:$F$450,SUBSTITUTE(SUBSTITUTE(SUBSTITUTE('FICHA'!$Z$442,"~","~~"),"*","~*"),"?","~?"))+COUNTIF('FICHA'!$Z$439:$Z$449,SUBSTITUTE(SUBSTITUTE(SUBSTITUTE('FICHA'!$Z$442,"~","~~"),"*","~*"),"?","~?")))=1),SWITCH('FICHA'!AH442,"Força",'FICHA'!$D$19,"Destreza",'FICHA'!$L$19,"Constituição",'FICHA'!$T$19,"Inteligência",'FICHA'!$AB$19,"Essência",'FICHA'!$AJ$19,NA())+IF('FICHA'!Y442,'FICHA'!$D$67+INT('FICHA'!$D$67/2),IF('FICHA'!X442,'FICHA'!$D$67,0))+IFERROR(VALUE('FICHA'!AN442&amp;""),0),NA()))</f>
        <v/>
      </c>
      <c r="G69">
        <f>IF('FICHA'!Z442="","",IF(AND('FICHA'!$Z$442&lt;&gt;"",COUNTIF('DADOS_PROGRESSAO'!$AV$2:$AV$11,SUBSTITUTE(SUBSTITUTE(SUBSTITUTE('FICHA'!$Z$442,"~","~~"),"*","~*"),"?","~?"))=1,(COUNTIF('FICHA'!$F$439:$F$450,SUBSTITUTE(SUBSTITUTE(SUBSTITUTE('FICHA'!$Z$442,"~","~~"),"*","~*"),"?","~?"))+COUNTIF('FICHA'!$Z$439:$Z$449,SUBSTITUTE(SUBSTITUTE(SUBSTITUTE('FICHA'!$Z$442,"~","~~"),"*","~*"),"?","~?")))=1),SWITCH('FICHA'!AH442,"Força",'FICHA'!$D$19,"Destreza",'FICHA'!$L$19,"Constituição",'FICHA'!$T$19,"Inteligência",'FICHA'!$AB$19,"Essência",'FICHA'!$AJ$19,NA())+IF('FICHA'!Y442,'FICHA'!$D$67+INT('FICHA'!$D$67/2),IF('FICHA'!X442,'FICHA'!$D$67,0))+IFERROR(VALUE('FICHA'!AN442&amp;""),0),NA()))</f>
        <v/>
      </c>
      <c r="H69">
        <f>'FICHA'!$AL$442</f>
        <v/>
      </c>
    </row>
    <row r="70">
      <c r="A70">
        <f>IF(AND('FICHA'!$Z$443&lt;&gt;"",COUNTIF('DADOS_PROGRESSAO'!$AV$2:$AV$11,SUBSTITUTE(SUBSTITUTE(SUBSTITUTE('FICHA'!$Z$443,"~","~~"),"*","~*"),"?","~?"))=1,(COUNTIF('FICHA'!$F$439:$F$450,SUBSTITUTE(SUBSTITUTE(SUBSTITUTE('FICHA'!$Z$443,"~","~~"),"*","~*"),"?","~?"))+COUNTIF('FICHA'!$Z$439:$Z$449,SUBSTITUTE(SUBSTITUTE(SUBSTITUTE('FICHA'!$Z$443,"~","~~"),"*","~*"),"?","~?")))=1),"Perícia · "&amp;'FICHA'!$Z$443,"")</f>
        <v/>
      </c>
      <c r="B70">
        <f>SUMIFS('CONFIGURAÇÃO'!$F$11:$F$40,'CONFIGURAÇÃO'!$C$11:$C$40,TRUE,'CONFIGURAÇÃO'!$D$11:$D$40,A70,'CONFIGURAÇÃO'!$E$11:$E$40,"somar")</f>
        <v/>
      </c>
      <c r="C70">
        <f>COUNTIFS('CONFIGURAÇÃO'!$C$11:$C$40,TRUE,'CONFIGURAÇÃO'!$D$11:$D$40,A70,'CONFIGURAÇÃO'!$E$11:$E$40,"trocar por")</f>
        <v/>
      </c>
      <c r="D70">
        <f>SUMIFS('CONFIGURAÇÃO'!$F$11:$F$40,'CONFIGURAÇÃO'!$C$11:$C$40,TRUE,'CONFIGURAÇÃO'!$D$11:$D$40,A70,'CONFIGURAÇÃO'!$E$11:$E$40,"trocar por")</f>
        <v/>
      </c>
      <c r="E70">
        <f>IF(COUNTIFS('CONFIGURAÇÃO'!$C$11:$C$40,"&lt;&gt;FALSE",'CONFIGURAÇÃO'!$D$11:$D$40,A70,$L$2:$L$31,0)&gt;0,"Entrada inválida",IF(C70&gt;1,"Conflito: mais de uma troca",""))</f>
        <v/>
      </c>
      <c r="F70">
        <f>IF('FICHA'!Z443="","",IF(AND('FICHA'!$Z$443&lt;&gt;"",COUNTIF('DADOS_PROGRESSAO'!$AV$2:$AV$11,SUBSTITUTE(SUBSTITUTE(SUBSTITUTE('FICHA'!$Z$443,"~","~~"),"*","~*"),"?","~?"))=1,(COUNTIF('FICHA'!$F$439:$F$450,SUBSTITUTE(SUBSTITUTE(SUBSTITUTE('FICHA'!$Z$443,"~","~~"),"*","~*"),"?","~?"))+COUNTIF('FICHA'!$Z$439:$Z$449,SUBSTITUTE(SUBSTITUTE(SUBSTITUTE('FICHA'!$Z$443,"~","~~"),"*","~*"),"?","~?")))=1),SWITCH('FICHA'!AH443,"Força",'FICHA'!$D$19,"Destreza",'FICHA'!$L$19,"Constituição",'FICHA'!$T$19,"Inteligência",'FICHA'!$AB$19,"Essência",'FICHA'!$AJ$19,NA())+IF('FICHA'!Y443,'FICHA'!$D$67+INT('FICHA'!$D$67/2),IF('FICHA'!X443,'FICHA'!$D$67,0))+IFERROR(VALUE('FICHA'!AN443&amp;""),0),NA()))</f>
        <v/>
      </c>
      <c r="G70">
        <f>IF('FICHA'!Z443="","",IF(AND('FICHA'!$Z$443&lt;&gt;"",COUNTIF('DADOS_PROGRESSAO'!$AV$2:$AV$11,SUBSTITUTE(SUBSTITUTE(SUBSTITUTE('FICHA'!$Z$443,"~","~~"),"*","~*"),"?","~?"))=1,(COUNTIF('FICHA'!$F$439:$F$450,SUBSTITUTE(SUBSTITUTE(SUBSTITUTE('FICHA'!$Z$443,"~","~~"),"*","~*"),"?","~?"))+COUNTIF('FICHA'!$Z$439:$Z$449,SUBSTITUTE(SUBSTITUTE(SUBSTITUTE('FICHA'!$Z$443,"~","~~"),"*","~*"),"?","~?")))=1),SWITCH('FICHA'!AH443,"Força",'FICHA'!$D$19,"Destreza",'FICHA'!$L$19,"Constituição",'FICHA'!$T$19,"Inteligência",'FICHA'!$AB$19,"Essência",'FICHA'!$AJ$19,NA())+IF('FICHA'!Y443,'FICHA'!$D$67+INT('FICHA'!$D$67/2),IF('FICHA'!X443,'FICHA'!$D$67,0))+IFERROR(VALUE('FICHA'!AN443&amp;""),0),NA()))</f>
        <v/>
      </c>
      <c r="H70">
        <f>'FICHA'!$AL$443</f>
        <v/>
      </c>
    </row>
    <row r="71">
      <c r="A71">
        <f>IF(AND('FICHA'!$Z$444&lt;&gt;"",COUNTIF('DADOS_PROGRESSAO'!$AV$2:$AV$11,SUBSTITUTE(SUBSTITUTE(SUBSTITUTE('FICHA'!$Z$444,"~","~~"),"*","~*"),"?","~?"))=1,(COUNTIF('FICHA'!$F$439:$F$450,SUBSTITUTE(SUBSTITUTE(SUBSTITUTE('FICHA'!$Z$444,"~","~~"),"*","~*"),"?","~?"))+COUNTIF('FICHA'!$Z$439:$Z$449,SUBSTITUTE(SUBSTITUTE(SUBSTITUTE('FICHA'!$Z$444,"~","~~"),"*","~*"),"?","~?")))=1),"Perícia · "&amp;'FICHA'!$Z$444,"")</f>
        <v/>
      </c>
      <c r="B71">
        <f>SUMIFS('CONFIGURAÇÃO'!$F$11:$F$40,'CONFIGURAÇÃO'!$C$11:$C$40,TRUE,'CONFIGURAÇÃO'!$D$11:$D$40,A71,'CONFIGURAÇÃO'!$E$11:$E$40,"somar")</f>
        <v/>
      </c>
      <c r="C71">
        <f>COUNTIFS('CONFIGURAÇÃO'!$C$11:$C$40,TRUE,'CONFIGURAÇÃO'!$D$11:$D$40,A71,'CONFIGURAÇÃO'!$E$11:$E$40,"trocar por")</f>
        <v/>
      </c>
      <c r="D71">
        <f>SUMIFS('CONFIGURAÇÃO'!$F$11:$F$40,'CONFIGURAÇÃO'!$C$11:$C$40,TRUE,'CONFIGURAÇÃO'!$D$11:$D$40,A71,'CONFIGURAÇÃO'!$E$11:$E$40,"trocar por")</f>
        <v/>
      </c>
      <c r="E71">
        <f>IF(COUNTIFS('CONFIGURAÇÃO'!$C$11:$C$40,"&lt;&gt;FALSE",'CONFIGURAÇÃO'!$D$11:$D$40,A71,$L$2:$L$31,0)&gt;0,"Entrada inválida",IF(C71&gt;1,"Conflito: mais de uma troca",""))</f>
        <v/>
      </c>
      <c r="F71">
        <f>IF('FICHA'!Z444="","",IF(AND('FICHA'!$Z$444&lt;&gt;"",COUNTIF('DADOS_PROGRESSAO'!$AV$2:$AV$11,SUBSTITUTE(SUBSTITUTE(SUBSTITUTE('FICHA'!$Z$444,"~","~~"),"*","~*"),"?","~?"))=1,(COUNTIF('FICHA'!$F$439:$F$450,SUBSTITUTE(SUBSTITUTE(SUBSTITUTE('FICHA'!$Z$444,"~","~~"),"*","~*"),"?","~?"))+COUNTIF('FICHA'!$Z$439:$Z$449,SUBSTITUTE(SUBSTITUTE(SUBSTITUTE('FICHA'!$Z$444,"~","~~"),"*","~*"),"?","~?")))=1),SWITCH('FICHA'!AH444,"Força",'FICHA'!$D$19,"Destreza",'FICHA'!$L$19,"Constituição",'FICHA'!$T$19,"Inteligência",'FICHA'!$AB$19,"Essência",'FICHA'!$AJ$19,NA())+IF('FICHA'!Y444,'FICHA'!$D$67+INT('FICHA'!$D$67/2),IF('FICHA'!X444,'FICHA'!$D$67,0))+IFERROR(VALUE('FICHA'!AN444&amp;""),0),NA()))</f>
        <v/>
      </c>
      <c r="G71">
        <f>IF('FICHA'!Z444="","",IF(AND('FICHA'!$Z$444&lt;&gt;"",COUNTIF('DADOS_PROGRESSAO'!$AV$2:$AV$11,SUBSTITUTE(SUBSTITUTE(SUBSTITUTE('FICHA'!$Z$444,"~","~~"),"*","~*"),"?","~?"))=1,(COUNTIF('FICHA'!$F$439:$F$450,SUBSTITUTE(SUBSTITUTE(SUBSTITUTE('FICHA'!$Z$444,"~","~~"),"*","~*"),"?","~?"))+COUNTIF('FICHA'!$Z$439:$Z$449,SUBSTITUTE(SUBSTITUTE(SUBSTITUTE('FICHA'!$Z$444,"~","~~"),"*","~*"),"?","~?")))=1),SWITCH('FICHA'!AH444,"Força",'FICHA'!$D$19,"Destreza",'FICHA'!$L$19,"Constituição",'FICHA'!$T$19,"Inteligência",'FICHA'!$AB$19,"Essência",'FICHA'!$AJ$19,NA())+IF('FICHA'!Y444,'FICHA'!$D$67+INT('FICHA'!$D$67/2),IF('FICHA'!X444,'FICHA'!$D$67,0))+IFERROR(VALUE('FICHA'!AN444&amp;""),0),NA()))</f>
        <v/>
      </c>
      <c r="H71">
        <f>'FICHA'!$AL$444</f>
        <v/>
      </c>
    </row>
    <row r="72">
      <c r="A72">
        <f>IF(AND('FICHA'!$Z$445&lt;&gt;"",COUNTIF('DADOS_PROGRESSAO'!$AV$2:$AV$11,SUBSTITUTE(SUBSTITUTE(SUBSTITUTE('FICHA'!$Z$445,"~","~~"),"*","~*"),"?","~?"))=1,(COUNTIF('FICHA'!$F$439:$F$450,SUBSTITUTE(SUBSTITUTE(SUBSTITUTE('FICHA'!$Z$445,"~","~~"),"*","~*"),"?","~?"))+COUNTIF('FICHA'!$Z$439:$Z$449,SUBSTITUTE(SUBSTITUTE(SUBSTITUTE('FICHA'!$Z$445,"~","~~"),"*","~*"),"?","~?")))=1),"Perícia · "&amp;'FICHA'!$Z$445,"")</f>
        <v/>
      </c>
      <c r="B72">
        <f>SUMIFS('CONFIGURAÇÃO'!$F$11:$F$40,'CONFIGURAÇÃO'!$C$11:$C$40,TRUE,'CONFIGURAÇÃO'!$D$11:$D$40,A72,'CONFIGURAÇÃO'!$E$11:$E$40,"somar")</f>
        <v/>
      </c>
      <c r="C72">
        <f>COUNTIFS('CONFIGURAÇÃO'!$C$11:$C$40,TRUE,'CONFIGURAÇÃO'!$D$11:$D$40,A72,'CONFIGURAÇÃO'!$E$11:$E$40,"trocar por")</f>
        <v/>
      </c>
      <c r="D72">
        <f>SUMIFS('CONFIGURAÇÃO'!$F$11:$F$40,'CONFIGURAÇÃO'!$C$11:$C$40,TRUE,'CONFIGURAÇÃO'!$D$11:$D$40,A72,'CONFIGURAÇÃO'!$E$11:$E$40,"trocar por")</f>
        <v/>
      </c>
      <c r="E72">
        <f>IF(COUNTIFS('CONFIGURAÇÃO'!$C$11:$C$40,"&lt;&gt;FALSE",'CONFIGURAÇÃO'!$D$11:$D$40,A72,$L$2:$L$31,0)&gt;0,"Entrada inválida",IF(C72&gt;1,"Conflito: mais de uma troca",""))</f>
        <v/>
      </c>
      <c r="F72">
        <f>IF('FICHA'!Z445="","",IF(AND('FICHA'!$Z$445&lt;&gt;"",COUNTIF('DADOS_PROGRESSAO'!$AV$2:$AV$11,SUBSTITUTE(SUBSTITUTE(SUBSTITUTE('FICHA'!$Z$445,"~","~~"),"*","~*"),"?","~?"))=1,(COUNTIF('FICHA'!$F$439:$F$450,SUBSTITUTE(SUBSTITUTE(SUBSTITUTE('FICHA'!$Z$445,"~","~~"),"*","~*"),"?","~?"))+COUNTIF('FICHA'!$Z$439:$Z$449,SUBSTITUTE(SUBSTITUTE(SUBSTITUTE('FICHA'!$Z$445,"~","~~"),"*","~*"),"?","~?")))=1),SWITCH('FICHA'!AH445,"Força",'FICHA'!$D$19,"Destreza",'FICHA'!$L$19,"Constituição",'FICHA'!$T$19,"Inteligência",'FICHA'!$AB$19,"Essência",'FICHA'!$AJ$19,NA())+IF('FICHA'!Y445,'FICHA'!$D$67+INT('FICHA'!$D$67/2),IF('FICHA'!X445,'FICHA'!$D$67,0))+IFERROR(VALUE('FICHA'!AN445&amp;""),0),NA()))</f>
        <v/>
      </c>
      <c r="G72">
        <f>IF('FICHA'!Z445="","",IF(AND('FICHA'!$Z$445&lt;&gt;"",COUNTIF('DADOS_PROGRESSAO'!$AV$2:$AV$11,SUBSTITUTE(SUBSTITUTE(SUBSTITUTE('FICHA'!$Z$445,"~","~~"),"*","~*"),"?","~?"))=1,(COUNTIF('FICHA'!$F$439:$F$450,SUBSTITUTE(SUBSTITUTE(SUBSTITUTE('FICHA'!$Z$445,"~","~~"),"*","~*"),"?","~?"))+COUNTIF('FICHA'!$Z$439:$Z$449,SUBSTITUTE(SUBSTITUTE(SUBSTITUTE('FICHA'!$Z$445,"~","~~"),"*","~*"),"?","~?")))=1),SWITCH('FICHA'!AH445,"Força",'FICHA'!$D$19,"Destreza",'FICHA'!$L$19,"Constituição",'FICHA'!$T$19,"Inteligência",'FICHA'!$AB$19,"Essência",'FICHA'!$AJ$19,NA())+IF('FICHA'!Y445,'FICHA'!$D$67+INT('FICHA'!$D$67/2),IF('FICHA'!X445,'FICHA'!$D$67,0))+IFERROR(VALUE('FICHA'!AN445&amp;""),0),NA()))</f>
        <v/>
      </c>
      <c r="H72">
        <f>'FICHA'!$AL$445</f>
        <v/>
      </c>
    </row>
    <row r="73">
      <c r="A73">
        <f>IF(AND('FICHA'!$Z$446&lt;&gt;"",COUNTIF('DADOS_PROGRESSAO'!$AV$2:$AV$11,SUBSTITUTE(SUBSTITUTE(SUBSTITUTE('FICHA'!$Z$446,"~","~~"),"*","~*"),"?","~?"))=1,(COUNTIF('FICHA'!$F$439:$F$450,SUBSTITUTE(SUBSTITUTE(SUBSTITUTE('FICHA'!$Z$446,"~","~~"),"*","~*"),"?","~?"))+COUNTIF('FICHA'!$Z$439:$Z$449,SUBSTITUTE(SUBSTITUTE(SUBSTITUTE('FICHA'!$Z$446,"~","~~"),"*","~*"),"?","~?")))=1),"Perícia · "&amp;'FICHA'!$Z$446,"")</f>
        <v/>
      </c>
      <c r="B73">
        <f>SUMIFS('CONFIGURAÇÃO'!$F$11:$F$40,'CONFIGURAÇÃO'!$C$11:$C$40,TRUE,'CONFIGURAÇÃO'!$D$11:$D$40,A73,'CONFIGURAÇÃO'!$E$11:$E$40,"somar")</f>
        <v/>
      </c>
      <c r="C73">
        <f>COUNTIFS('CONFIGURAÇÃO'!$C$11:$C$40,TRUE,'CONFIGURAÇÃO'!$D$11:$D$40,A73,'CONFIGURAÇÃO'!$E$11:$E$40,"trocar por")</f>
        <v/>
      </c>
      <c r="D73">
        <f>SUMIFS('CONFIGURAÇÃO'!$F$11:$F$40,'CONFIGURAÇÃO'!$C$11:$C$40,TRUE,'CONFIGURAÇÃO'!$D$11:$D$40,A73,'CONFIGURAÇÃO'!$E$11:$E$40,"trocar por")</f>
        <v/>
      </c>
      <c r="E73">
        <f>IF(COUNTIFS('CONFIGURAÇÃO'!$C$11:$C$40,"&lt;&gt;FALSE",'CONFIGURAÇÃO'!$D$11:$D$40,A73,$L$2:$L$31,0)&gt;0,"Entrada inválida",IF(C73&gt;1,"Conflito: mais de uma troca",""))</f>
        <v/>
      </c>
      <c r="F73">
        <f>IF('FICHA'!Z446="","",IF(AND('FICHA'!$Z$446&lt;&gt;"",COUNTIF('DADOS_PROGRESSAO'!$AV$2:$AV$11,SUBSTITUTE(SUBSTITUTE(SUBSTITUTE('FICHA'!$Z$446,"~","~~"),"*","~*"),"?","~?"))=1,(COUNTIF('FICHA'!$F$439:$F$450,SUBSTITUTE(SUBSTITUTE(SUBSTITUTE('FICHA'!$Z$446,"~","~~"),"*","~*"),"?","~?"))+COUNTIF('FICHA'!$Z$439:$Z$449,SUBSTITUTE(SUBSTITUTE(SUBSTITUTE('FICHA'!$Z$446,"~","~~"),"*","~*"),"?","~?")))=1),SWITCH('FICHA'!AH446,"Força",'FICHA'!$D$19,"Destreza",'FICHA'!$L$19,"Constituição",'FICHA'!$T$19,"Inteligência",'FICHA'!$AB$19,"Essência",'FICHA'!$AJ$19,NA())+IF('FICHA'!Y446,'FICHA'!$D$67+INT('FICHA'!$D$67/2),IF('FICHA'!X446,'FICHA'!$D$67,0))+IFERROR(VALUE('FICHA'!AN446&amp;""),0),NA()))</f>
        <v/>
      </c>
      <c r="G73">
        <f>IF('FICHA'!Z446="","",IF(AND('FICHA'!$Z$446&lt;&gt;"",COUNTIF('DADOS_PROGRESSAO'!$AV$2:$AV$11,SUBSTITUTE(SUBSTITUTE(SUBSTITUTE('FICHA'!$Z$446,"~","~~"),"*","~*"),"?","~?"))=1,(COUNTIF('FICHA'!$F$439:$F$450,SUBSTITUTE(SUBSTITUTE(SUBSTITUTE('FICHA'!$Z$446,"~","~~"),"*","~*"),"?","~?"))+COUNTIF('FICHA'!$Z$439:$Z$449,SUBSTITUTE(SUBSTITUTE(SUBSTITUTE('FICHA'!$Z$446,"~","~~"),"*","~*"),"?","~?")))=1),SWITCH('FICHA'!AH446,"Força",'FICHA'!$D$19,"Destreza",'FICHA'!$L$19,"Constituição",'FICHA'!$T$19,"Inteligência",'FICHA'!$AB$19,"Essência",'FICHA'!$AJ$19,NA())+IF('FICHA'!Y446,'FICHA'!$D$67+INT('FICHA'!$D$67/2),IF('FICHA'!X446,'FICHA'!$D$67,0))+IFERROR(VALUE('FICHA'!AN446&amp;""),0),NA()))</f>
        <v/>
      </c>
      <c r="H73">
        <f>'FICHA'!$AL$446</f>
        <v/>
      </c>
    </row>
    <row r="74">
      <c r="A74">
        <f>IF(AND('FICHA'!$Z$447&lt;&gt;"",COUNTIF('DADOS_PROGRESSAO'!$AV$2:$AV$11,SUBSTITUTE(SUBSTITUTE(SUBSTITUTE('FICHA'!$Z$447,"~","~~"),"*","~*"),"?","~?"))=1,(COUNTIF('FICHA'!$F$439:$F$450,SUBSTITUTE(SUBSTITUTE(SUBSTITUTE('FICHA'!$Z$447,"~","~~"),"*","~*"),"?","~?"))+COUNTIF('FICHA'!$Z$439:$Z$449,SUBSTITUTE(SUBSTITUTE(SUBSTITUTE('FICHA'!$Z$447,"~","~~"),"*","~*"),"?","~?")))=1),"Perícia · "&amp;'FICHA'!$Z$447,"")</f>
        <v/>
      </c>
      <c r="B74">
        <f>SUMIFS('CONFIGURAÇÃO'!$F$11:$F$40,'CONFIGURAÇÃO'!$C$11:$C$40,TRUE,'CONFIGURAÇÃO'!$D$11:$D$40,A74,'CONFIGURAÇÃO'!$E$11:$E$40,"somar")</f>
        <v/>
      </c>
      <c r="C74">
        <f>COUNTIFS('CONFIGURAÇÃO'!$C$11:$C$40,TRUE,'CONFIGURAÇÃO'!$D$11:$D$40,A74,'CONFIGURAÇÃO'!$E$11:$E$40,"trocar por")</f>
        <v/>
      </c>
      <c r="D74">
        <f>SUMIFS('CONFIGURAÇÃO'!$F$11:$F$40,'CONFIGURAÇÃO'!$C$11:$C$40,TRUE,'CONFIGURAÇÃO'!$D$11:$D$40,A74,'CONFIGURAÇÃO'!$E$11:$E$40,"trocar por")</f>
        <v/>
      </c>
      <c r="E74">
        <f>IF(COUNTIFS('CONFIGURAÇÃO'!$C$11:$C$40,"&lt;&gt;FALSE",'CONFIGURAÇÃO'!$D$11:$D$40,A74,$L$2:$L$31,0)&gt;0,"Entrada inválida",IF(C74&gt;1,"Conflito: mais de uma troca",""))</f>
        <v/>
      </c>
      <c r="F74">
        <f>IF('FICHA'!Z447="","",IF(AND('FICHA'!$Z$447&lt;&gt;"",COUNTIF('DADOS_PROGRESSAO'!$AV$2:$AV$11,SUBSTITUTE(SUBSTITUTE(SUBSTITUTE('FICHA'!$Z$447,"~","~~"),"*","~*"),"?","~?"))=1,(COUNTIF('FICHA'!$F$439:$F$450,SUBSTITUTE(SUBSTITUTE(SUBSTITUTE('FICHA'!$Z$447,"~","~~"),"*","~*"),"?","~?"))+COUNTIF('FICHA'!$Z$439:$Z$449,SUBSTITUTE(SUBSTITUTE(SUBSTITUTE('FICHA'!$Z$447,"~","~~"),"*","~*"),"?","~?")))=1),SWITCH('FICHA'!AH447,"Força",'FICHA'!$D$19,"Destreza",'FICHA'!$L$19,"Constituição",'FICHA'!$T$19,"Inteligência",'FICHA'!$AB$19,"Essência",'FICHA'!$AJ$19,NA())+IF('FICHA'!Y447,'FICHA'!$D$67+INT('FICHA'!$D$67/2),IF('FICHA'!X447,'FICHA'!$D$67,0))+IFERROR(VALUE('FICHA'!AN447&amp;""),0),NA()))</f>
        <v/>
      </c>
      <c r="G74">
        <f>IF('FICHA'!Z447="","",IF(AND('FICHA'!$Z$447&lt;&gt;"",COUNTIF('DADOS_PROGRESSAO'!$AV$2:$AV$11,SUBSTITUTE(SUBSTITUTE(SUBSTITUTE('FICHA'!$Z$447,"~","~~"),"*","~*"),"?","~?"))=1,(COUNTIF('FICHA'!$F$439:$F$450,SUBSTITUTE(SUBSTITUTE(SUBSTITUTE('FICHA'!$Z$447,"~","~~"),"*","~*"),"?","~?"))+COUNTIF('FICHA'!$Z$439:$Z$449,SUBSTITUTE(SUBSTITUTE(SUBSTITUTE('FICHA'!$Z$447,"~","~~"),"*","~*"),"?","~?")))=1),SWITCH('FICHA'!AH447,"Força",'FICHA'!$D$19,"Destreza",'FICHA'!$L$19,"Constituição",'FICHA'!$T$19,"Inteligência",'FICHA'!$AB$19,"Essência",'FICHA'!$AJ$19,NA())+IF('FICHA'!Y447,'FICHA'!$D$67+INT('FICHA'!$D$67/2),IF('FICHA'!X447,'FICHA'!$D$67,0))+IFERROR(VALUE('FICHA'!AN447&amp;""),0),NA()))</f>
        <v/>
      </c>
      <c r="H74">
        <f>'FICHA'!$AL$447</f>
        <v/>
      </c>
    </row>
    <row r="75">
      <c r="A75">
        <f>IF(AND('FICHA'!$Z$448&lt;&gt;"",COUNTIF('DADOS_PROGRESSAO'!$AV$2:$AV$11,SUBSTITUTE(SUBSTITUTE(SUBSTITUTE('FICHA'!$Z$448,"~","~~"),"*","~*"),"?","~?"))=1,(COUNTIF('FICHA'!$F$439:$F$450,SUBSTITUTE(SUBSTITUTE(SUBSTITUTE('FICHA'!$Z$448,"~","~~"),"*","~*"),"?","~?"))+COUNTIF('FICHA'!$Z$439:$Z$449,SUBSTITUTE(SUBSTITUTE(SUBSTITUTE('FICHA'!$Z$448,"~","~~"),"*","~*"),"?","~?")))=1),"Perícia · "&amp;'FICHA'!$Z$448,"")</f>
        <v/>
      </c>
      <c r="B75">
        <f>SUMIFS('CONFIGURAÇÃO'!$F$11:$F$40,'CONFIGURAÇÃO'!$C$11:$C$40,TRUE,'CONFIGURAÇÃO'!$D$11:$D$40,A75,'CONFIGURAÇÃO'!$E$11:$E$40,"somar")</f>
        <v/>
      </c>
      <c r="C75">
        <f>COUNTIFS('CONFIGURAÇÃO'!$C$11:$C$40,TRUE,'CONFIGURAÇÃO'!$D$11:$D$40,A75,'CONFIGURAÇÃO'!$E$11:$E$40,"trocar por")</f>
        <v/>
      </c>
      <c r="D75">
        <f>SUMIFS('CONFIGURAÇÃO'!$F$11:$F$40,'CONFIGURAÇÃO'!$C$11:$C$40,TRUE,'CONFIGURAÇÃO'!$D$11:$D$40,A75,'CONFIGURAÇÃO'!$E$11:$E$40,"trocar por")</f>
        <v/>
      </c>
      <c r="E75">
        <f>IF(COUNTIFS('CONFIGURAÇÃO'!$C$11:$C$40,"&lt;&gt;FALSE",'CONFIGURAÇÃO'!$D$11:$D$40,A75,$L$2:$L$31,0)&gt;0,"Entrada inválida",IF(C75&gt;1,"Conflito: mais de uma troca",""))</f>
        <v/>
      </c>
      <c r="F75">
        <f>IF('FICHA'!Z448="","",IF(AND('FICHA'!$Z$448&lt;&gt;"",COUNTIF('DADOS_PROGRESSAO'!$AV$2:$AV$11,SUBSTITUTE(SUBSTITUTE(SUBSTITUTE('FICHA'!$Z$448,"~","~~"),"*","~*"),"?","~?"))=1,(COUNTIF('FICHA'!$F$439:$F$450,SUBSTITUTE(SUBSTITUTE(SUBSTITUTE('FICHA'!$Z$448,"~","~~"),"*","~*"),"?","~?"))+COUNTIF('FICHA'!$Z$439:$Z$449,SUBSTITUTE(SUBSTITUTE(SUBSTITUTE('FICHA'!$Z$448,"~","~~"),"*","~*"),"?","~?")))=1),SWITCH('FICHA'!AH448,"Força",'FICHA'!$D$19,"Destreza",'FICHA'!$L$19,"Constituição",'FICHA'!$T$19,"Inteligência",'FICHA'!$AB$19,"Essência",'FICHA'!$AJ$19,NA())+IF('FICHA'!Y448,'FICHA'!$D$67+INT('FICHA'!$D$67/2),IF('FICHA'!X448,'FICHA'!$D$67,0))+IFERROR(VALUE('FICHA'!AN448&amp;""),0),NA()))</f>
        <v/>
      </c>
      <c r="G75">
        <f>IF('FICHA'!Z448="","",IF(AND('FICHA'!$Z$448&lt;&gt;"",COUNTIF('DADOS_PROGRESSAO'!$AV$2:$AV$11,SUBSTITUTE(SUBSTITUTE(SUBSTITUTE('FICHA'!$Z$448,"~","~~"),"*","~*"),"?","~?"))=1,(COUNTIF('FICHA'!$F$439:$F$450,SUBSTITUTE(SUBSTITUTE(SUBSTITUTE('FICHA'!$Z$448,"~","~~"),"*","~*"),"?","~?"))+COUNTIF('FICHA'!$Z$439:$Z$449,SUBSTITUTE(SUBSTITUTE(SUBSTITUTE('FICHA'!$Z$448,"~","~~"),"*","~*"),"?","~?")))=1),SWITCH('FICHA'!AH448,"Força",'FICHA'!$D$19,"Destreza",'FICHA'!$L$19,"Constituição",'FICHA'!$T$19,"Inteligência",'FICHA'!$AB$19,"Essência",'FICHA'!$AJ$19,NA())+IF('FICHA'!Y448,'FICHA'!$D$67+INT('FICHA'!$D$67/2),IF('FICHA'!X448,'FICHA'!$D$67,0))+IFERROR(VALUE('FICHA'!AN448&amp;""),0),NA()))</f>
        <v/>
      </c>
      <c r="H75">
        <f>'FICHA'!$AL$448</f>
        <v/>
      </c>
    </row>
    <row r="76">
      <c r="A76">
        <f>IF(AND('FICHA'!$Z$449&lt;&gt;"",COUNTIF('DADOS_PROGRESSAO'!$AV$2:$AV$11,SUBSTITUTE(SUBSTITUTE(SUBSTITUTE('FICHA'!$Z$449,"~","~~"),"*","~*"),"?","~?"))=1,(COUNTIF('FICHA'!$F$439:$F$450,SUBSTITUTE(SUBSTITUTE(SUBSTITUTE('FICHA'!$Z$449,"~","~~"),"*","~*"),"?","~?"))+COUNTIF('FICHA'!$Z$439:$Z$449,SUBSTITUTE(SUBSTITUTE(SUBSTITUTE('FICHA'!$Z$449,"~","~~"),"*","~*"),"?","~?")))=1),"Perícia · "&amp;'FICHA'!$Z$449,"")</f>
        <v/>
      </c>
      <c r="B76">
        <f>SUMIFS('CONFIGURAÇÃO'!$F$11:$F$40,'CONFIGURAÇÃO'!$C$11:$C$40,TRUE,'CONFIGURAÇÃO'!$D$11:$D$40,A76,'CONFIGURAÇÃO'!$E$11:$E$40,"somar")</f>
        <v/>
      </c>
      <c r="C76">
        <f>COUNTIFS('CONFIGURAÇÃO'!$C$11:$C$40,TRUE,'CONFIGURAÇÃO'!$D$11:$D$40,A76,'CONFIGURAÇÃO'!$E$11:$E$40,"trocar por")</f>
        <v/>
      </c>
      <c r="D76">
        <f>SUMIFS('CONFIGURAÇÃO'!$F$11:$F$40,'CONFIGURAÇÃO'!$C$11:$C$40,TRUE,'CONFIGURAÇÃO'!$D$11:$D$40,A76,'CONFIGURAÇÃO'!$E$11:$E$40,"trocar por")</f>
        <v/>
      </c>
      <c r="E76">
        <f>IF(COUNTIFS('CONFIGURAÇÃO'!$C$11:$C$40,"&lt;&gt;FALSE",'CONFIGURAÇÃO'!$D$11:$D$40,A76,$L$2:$L$31,0)&gt;0,"Entrada inválida",IF(C76&gt;1,"Conflito: mais de uma troca",""))</f>
        <v/>
      </c>
      <c r="F76">
        <f>IF('FICHA'!Z449="","",IF(AND('FICHA'!$Z$449&lt;&gt;"",COUNTIF('DADOS_PROGRESSAO'!$AV$2:$AV$11,SUBSTITUTE(SUBSTITUTE(SUBSTITUTE('FICHA'!$Z$449,"~","~~"),"*","~*"),"?","~?"))=1,(COUNTIF('FICHA'!$F$439:$F$450,SUBSTITUTE(SUBSTITUTE(SUBSTITUTE('FICHA'!$Z$449,"~","~~"),"*","~*"),"?","~?"))+COUNTIF('FICHA'!$Z$439:$Z$449,SUBSTITUTE(SUBSTITUTE(SUBSTITUTE('FICHA'!$Z$449,"~","~~"),"*","~*"),"?","~?")))=1),SWITCH('FICHA'!AH449,"Força",'FICHA'!$D$19,"Destreza",'FICHA'!$L$19,"Constituição",'FICHA'!$T$19,"Inteligência",'FICHA'!$AB$19,"Essência",'FICHA'!$AJ$19,NA())+IF('FICHA'!Y449,'FICHA'!$D$67+INT('FICHA'!$D$67/2),IF('FICHA'!X449,'FICHA'!$D$67,0))+IFERROR(VALUE('FICHA'!AN449&amp;""),0),NA()))</f>
        <v/>
      </c>
      <c r="G76">
        <f>IF('FICHA'!Z449="","",IF(AND('FICHA'!$Z$449&lt;&gt;"",COUNTIF('DADOS_PROGRESSAO'!$AV$2:$AV$11,SUBSTITUTE(SUBSTITUTE(SUBSTITUTE('FICHA'!$Z$449,"~","~~"),"*","~*"),"?","~?"))=1,(COUNTIF('FICHA'!$F$439:$F$450,SUBSTITUTE(SUBSTITUTE(SUBSTITUTE('FICHA'!$Z$449,"~","~~"),"*","~*"),"?","~?"))+COUNTIF('FICHA'!$Z$439:$Z$449,SUBSTITUTE(SUBSTITUTE(SUBSTITUTE('FICHA'!$Z$449,"~","~~"),"*","~*"),"?","~?")))=1),SWITCH('FICHA'!AH449,"Força",'FICHA'!$D$19,"Destreza",'FICHA'!$L$19,"Constituição",'FICHA'!$T$19,"Inteligência",'FICHA'!$AB$19,"Essência",'FICHA'!$AJ$19,NA())+IF('FICHA'!Y449,'FICHA'!$D$67+INT('FICHA'!$D$67/2),IF('FICHA'!X449,'FICHA'!$D$67,0))+IFERROR(VALUE('FICHA'!AN449&amp;""),0),NA()))</f>
        <v/>
      </c>
      <c r="H76">
        <f>'FICHA'!$AL$449</f>
        <v/>
      </c>
    </row>
    <row r="77">
      <c r="A77">
        <f>IF(AND('FICHA'!$F$455&lt;&gt;"",COUNTIF('DADOS_PROGRESSAO'!$AW$2:$AW$11,SUBSTITUTE(SUBSTITUTE(SUBSTITUTE('FICHA'!$F$455,"~","~~"),"*","~*"),"?","~?"))=1,(COUNTIF('FICHA'!$F$455:$F$460,SUBSTITUTE(SUBSTITUTE(SUBSTITUTE('FICHA'!$F$455,"~","~~"),"*","~*"),"?","~?"))+COUNTIF('FICHA'!$Z$455:$Z$459,SUBSTITUTE(SUBSTITUTE(SUBSTITUTE('FICHA'!$F$455,"~","~~"),"*","~*"),"?","~?")))=1),"Ofício · "&amp;'FICHA'!$F$455,"")</f>
        <v/>
      </c>
      <c r="B77">
        <f>SUMIFS('CONFIGURAÇÃO'!$F$11:$F$40,'CONFIGURAÇÃO'!$C$11:$C$40,TRUE,'CONFIGURAÇÃO'!$D$11:$D$40,A77,'CONFIGURAÇÃO'!$E$11:$E$40,"somar")</f>
        <v/>
      </c>
      <c r="C77">
        <f>COUNTIFS('CONFIGURAÇÃO'!$C$11:$C$40,TRUE,'CONFIGURAÇÃO'!$D$11:$D$40,A77,'CONFIGURAÇÃO'!$E$11:$E$40,"trocar por")</f>
        <v/>
      </c>
      <c r="D77">
        <f>SUMIFS('CONFIGURAÇÃO'!$F$11:$F$40,'CONFIGURAÇÃO'!$C$11:$C$40,TRUE,'CONFIGURAÇÃO'!$D$11:$D$40,A77,'CONFIGURAÇÃO'!$E$11:$E$40,"trocar por")</f>
        <v/>
      </c>
      <c r="E77">
        <f>IF(COUNTIFS('CONFIGURAÇÃO'!$C$11:$C$40,"&lt;&gt;FALSE",'CONFIGURAÇÃO'!$D$11:$D$40,A77,$L$2:$L$31,0)&gt;0,"Entrada inválida",IF(C77&gt;1,"Conflito: mais de uma troca",""))</f>
        <v/>
      </c>
      <c r="F77">
        <f>IF('FICHA'!F455="","",IF(AND('FICHA'!$F$455&lt;&gt;"",COUNTIF('DADOS_PROGRESSAO'!$AW$2:$AW$11,SUBSTITUTE(SUBSTITUTE(SUBSTITUTE('FICHA'!$F$455,"~","~~"),"*","~*"),"?","~?"))=1,(COUNTIF('FICHA'!$F$455:$F$460,SUBSTITUTE(SUBSTITUTE(SUBSTITUTE('FICHA'!$F$455,"~","~~"),"*","~*"),"?","~?"))+COUNTIF('FICHA'!$Z$455:$Z$459,SUBSTITUTE(SUBSTITUTE(SUBSTITUTE('FICHA'!$F$455,"~","~~"),"*","~*"),"?","~?")))=1),SWITCH('FICHA'!N455,"Força",'FICHA'!$D$19,"Destreza",'FICHA'!$L$19,"Constituição",'FICHA'!$T$19,"Inteligência",'FICHA'!$AB$19,"Essência",'FICHA'!$AJ$19,NA())+IF('FICHA'!E455,'FICHA'!$D$67+INT('FICHA'!$D$67/2),IF('FICHA'!D455,'FICHA'!$D$67,0))+IFERROR(VALUE('FICHA'!T455&amp;""),0),NA()))</f>
        <v/>
      </c>
      <c r="G77">
        <f>IF('FICHA'!F455="","",IF(AND('FICHA'!$F$455&lt;&gt;"",COUNTIF('DADOS_PROGRESSAO'!$AW$2:$AW$11,SUBSTITUTE(SUBSTITUTE(SUBSTITUTE('FICHA'!$F$455,"~","~~"),"*","~*"),"?","~?"))=1,(COUNTIF('FICHA'!$F$455:$F$460,SUBSTITUTE(SUBSTITUTE(SUBSTITUTE('FICHA'!$F$455,"~","~~"),"*","~*"),"?","~?"))+COUNTIF('FICHA'!$Z$455:$Z$459,SUBSTITUTE(SUBSTITUTE(SUBSTITUTE('FICHA'!$F$455,"~","~~"),"*","~*"),"?","~?")))=1),SWITCH('FICHA'!N455,"Força",'FICHA'!$D$19,"Destreza",'FICHA'!$L$19,"Constituição",'FICHA'!$T$19,"Inteligência",'FICHA'!$AB$19,"Essência",'FICHA'!$AJ$19,NA())+IF('FICHA'!E455,'FICHA'!$D$67+INT('FICHA'!$D$67/2),IF('FICHA'!D455,'FICHA'!$D$67,0))+IFERROR(VALUE('FICHA'!T455&amp;""),0),NA()))</f>
        <v/>
      </c>
      <c r="H77">
        <f>'FICHA'!$R$455</f>
        <v/>
      </c>
    </row>
    <row r="78">
      <c r="A78">
        <f>IF(AND('FICHA'!$F$456&lt;&gt;"",COUNTIF('DADOS_PROGRESSAO'!$AW$2:$AW$11,SUBSTITUTE(SUBSTITUTE(SUBSTITUTE('FICHA'!$F$456,"~","~~"),"*","~*"),"?","~?"))=1,(COUNTIF('FICHA'!$F$455:$F$460,SUBSTITUTE(SUBSTITUTE(SUBSTITUTE('FICHA'!$F$456,"~","~~"),"*","~*"),"?","~?"))+COUNTIF('FICHA'!$Z$455:$Z$459,SUBSTITUTE(SUBSTITUTE(SUBSTITUTE('FICHA'!$F$456,"~","~~"),"*","~*"),"?","~?")))=1),"Ofício · "&amp;'FICHA'!$F$456,"")</f>
        <v/>
      </c>
      <c r="B78">
        <f>SUMIFS('CONFIGURAÇÃO'!$F$11:$F$40,'CONFIGURAÇÃO'!$C$11:$C$40,TRUE,'CONFIGURAÇÃO'!$D$11:$D$40,A78,'CONFIGURAÇÃO'!$E$11:$E$40,"somar")</f>
        <v/>
      </c>
      <c r="C78">
        <f>COUNTIFS('CONFIGURAÇÃO'!$C$11:$C$40,TRUE,'CONFIGURAÇÃO'!$D$11:$D$40,A78,'CONFIGURAÇÃO'!$E$11:$E$40,"trocar por")</f>
        <v/>
      </c>
      <c r="D78">
        <f>SUMIFS('CONFIGURAÇÃO'!$F$11:$F$40,'CONFIGURAÇÃO'!$C$11:$C$40,TRUE,'CONFIGURAÇÃO'!$D$11:$D$40,A78,'CONFIGURAÇÃO'!$E$11:$E$40,"trocar por")</f>
        <v/>
      </c>
      <c r="E78">
        <f>IF(COUNTIFS('CONFIGURAÇÃO'!$C$11:$C$40,"&lt;&gt;FALSE",'CONFIGURAÇÃO'!$D$11:$D$40,A78,$L$2:$L$31,0)&gt;0,"Entrada inválida",IF(C78&gt;1,"Conflito: mais de uma troca",""))</f>
        <v/>
      </c>
      <c r="F78">
        <f>IF('FICHA'!F456="","",IF(AND('FICHA'!$F$456&lt;&gt;"",COUNTIF('DADOS_PROGRESSAO'!$AW$2:$AW$11,SUBSTITUTE(SUBSTITUTE(SUBSTITUTE('FICHA'!$F$456,"~","~~"),"*","~*"),"?","~?"))=1,(COUNTIF('FICHA'!$F$455:$F$460,SUBSTITUTE(SUBSTITUTE(SUBSTITUTE('FICHA'!$F$456,"~","~~"),"*","~*"),"?","~?"))+COUNTIF('FICHA'!$Z$455:$Z$459,SUBSTITUTE(SUBSTITUTE(SUBSTITUTE('FICHA'!$F$456,"~","~~"),"*","~*"),"?","~?")))=1),SWITCH('FICHA'!N456,"Força",'FICHA'!$D$19,"Destreza",'FICHA'!$L$19,"Constituição",'FICHA'!$T$19,"Inteligência",'FICHA'!$AB$19,"Essência",'FICHA'!$AJ$19,NA())+IF('FICHA'!E456,'FICHA'!$D$67+INT('FICHA'!$D$67/2),IF('FICHA'!D456,'FICHA'!$D$67,0))+IFERROR(VALUE('FICHA'!T456&amp;""),0),NA()))</f>
        <v/>
      </c>
      <c r="G78">
        <f>IF('FICHA'!F456="","",IF(AND('FICHA'!$F$456&lt;&gt;"",COUNTIF('DADOS_PROGRESSAO'!$AW$2:$AW$11,SUBSTITUTE(SUBSTITUTE(SUBSTITUTE('FICHA'!$F$456,"~","~~"),"*","~*"),"?","~?"))=1,(COUNTIF('FICHA'!$F$455:$F$460,SUBSTITUTE(SUBSTITUTE(SUBSTITUTE('FICHA'!$F$456,"~","~~"),"*","~*"),"?","~?"))+COUNTIF('FICHA'!$Z$455:$Z$459,SUBSTITUTE(SUBSTITUTE(SUBSTITUTE('FICHA'!$F$456,"~","~~"),"*","~*"),"?","~?")))=1),SWITCH('FICHA'!N456,"Força",'FICHA'!$D$19,"Destreza",'FICHA'!$L$19,"Constituição",'FICHA'!$T$19,"Inteligência",'FICHA'!$AB$19,"Essência",'FICHA'!$AJ$19,NA())+IF('FICHA'!E456,'FICHA'!$D$67+INT('FICHA'!$D$67/2),IF('FICHA'!D456,'FICHA'!$D$67,0))+IFERROR(VALUE('FICHA'!T456&amp;""),0),NA()))</f>
        <v/>
      </c>
      <c r="H78">
        <f>'FICHA'!$R$456</f>
        <v/>
      </c>
    </row>
    <row r="79">
      <c r="A79">
        <f>IF(AND('FICHA'!$F$457&lt;&gt;"",COUNTIF('DADOS_PROGRESSAO'!$AW$2:$AW$11,SUBSTITUTE(SUBSTITUTE(SUBSTITUTE('FICHA'!$F$457,"~","~~"),"*","~*"),"?","~?"))=1,(COUNTIF('FICHA'!$F$455:$F$460,SUBSTITUTE(SUBSTITUTE(SUBSTITUTE('FICHA'!$F$457,"~","~~"),"*","~*"),"?","~?"))+COUNTIF('FICHA'!$Z$455:$Z$459,SUBSTITUTE(SUBSTITUTE(SUBSTITUTE('FICHA'!$F$457,"~","~~"),"*","~*"),"?","~?")))=1),"Ofício · "&amp;'FICHA'!$F$457,"")</f>
        <v/>
      </c>
      <c r="B79">
        <f>SUMIFS('CONFIGURAÇÃO'!$F$11:$F$40,'CONFIGURAÇÃO'!$C$11:$C$40,TRUE,'CONFIGURAÇÃO'!$D$11:$D$40,A79,'CONFIGURAÇÃO'!$E$11:$E$40,"somar")</f>
        <v/>
      </c>
      <c r="C79">
        <f>COUNTIFS('CONFIGURAÇÃO'!$C$11:$C$40,TRUE,'CONFIGURAÇÃO'!$D$11:$D$40,A79,'CONFIGURAÇÃO'!$E$11:$E$40,"trocar por")</f>
        <v/>
      </c>
      <c r="D79">
        <f>SUMIFS('CONFIGURAÇÃO'!$F$11:$F$40,'CONFIGURAÇÃO'!$C$11:$C$40,TRUE,'CONFIGURAÇÃO'!$D$11:$D$40,A79,'CONFIGURAÇÃO'!$E$11:$E$40,"trocar por")</f>
        <v/>
      </c>
      <c r="E79">
        <f>IF(COUNTIFS('CONFIGURAÇÃO'!$C$11:$C$40,"&lt;&gt;FALSE",'CONFIGURAÇÃO'!$D$11:$D$40,A79,$L$2:$L$31,0)&gt;0,"Entrada inválida",IF(C79&gt;1,"Conflito: mais de uma troca",""))</f>
        <v/>
      </c>
      <c r="F79">
        <f>IF('FICHA'!F457="","",IF(AND('FICHA'!$F$457&lt;&gt;"",COUNTIF('DADOS_PROGRESSAO'!$AW$2:$AW$11,SUBSTITUTE(SUBSTITUTE(SUBSTITUTE('FICHA'!$F$457,"~","~~"),"*","~*"),"?","~?"))=1,(COUNTIF('FICHA'!$F$455:$F$460,SUBSTITUTE(SUBSTITUTE(SUBSTITUTE('FICHA'!$F$457,"~","~~"),"*","~*"),"?","~?"))+COUNTIF('FICHA'!$Z$455:$Z$459,SUBSTITUTE(SUBSTITUTE(SUBSTITUTE('FICHA'!$F$457,"~","~~"),"*","~*"),"?","~?")))=1),SWITCH('FICHA'!N457,"Força",'FICHA'!$D$19,"Destreza",'FICHA'!$L$19,"Constituição",'FICHA'!$T$19,"Inteligência",'FICHA'!$AB$19,"Essência",'FICHA'!$AJ$19,NA())+IF('FICHA'!E457,'FICHA'!$D$67+INT('FICHA'!$D$67/2),IF('FICHA'!D457,'FICHA'!$D$67,0))+IFERROR(VALUE('FICHA'!T457&amp;""),0),NA()))</f>
        <v/>
      </c>
      <c r="G79">
        <f>IF('FICHA'!F457="","",IF(AND('FICHA'!$F$457&lt;&gt;"",COUNTIF('DADOS_PROGRESSAO'!$AW$2:$AW$11,SUBSTITUTE(SUBSTITUTE(SUBSTITUTE('FICHA'!$F$457,"~","~~"),"*","~*"),"?","~?"))=1,(COUNTIF('FICHA'!$F$455:$F$460,SUBSTITUTE(SUBSTITUTE(SUBSTITUTE('FICHA'!$F$457,"~","~~"),"*","~*"),"?","~?"))+COUNTIF('FICHA'!$Z$455:$Z$459,SUBSTITUTE(SUBSTITUTE(SUBSTITUTE('FICHA'!$F$457,"~","~~"),"*","~*"),"?","~?")))=1),SWITCH('FICHA'!N457,"Força",'FICHA'!$D$19,"Destreza",'FICHA'!$L$19,"Constituição",'FICHA'!$T$19,"Inteligência",'FICHA'!$AB$19,"Essência",'FICHA'!$AJ$19,NA())+IF('FICHA'!E457,'FICHA'!$D$67+INT('FICHA'!$D$67/2),IF('FICHA'!D457,'FICHA'!$D$67,0))+IFERROR(VALUE('FICHA'!T457&amp;""),0),NA()))</f>
        <v/>
      </c>
      <c r="H79">
        <f>'FICHA'!$R$457</f>
        <v/>
      </c>
    </row>
    <row r="80">
      <c r="A80">
        <f>IF(AND('FICHA'!$F$458&lt;&gt;"",COUNTIF('DADOS_PROGRESSAO'!$AW$2:$AW$11,SUBSTITUTE(SUBSTITUTE(SUBSTITUTE('FICHA'!$F$458,"~","~~"),"*","~*"),"?","~?"))=1,(COUNTIF('FICHA'!$F$455:$F$460,SUBSTITUTE(SUBSTITUTE(SUBSTITUTE('FICHA'!$F$458,"~","~~"),"*","~*"),"?","~?"))+COUNTIF('FICHA'!$Z$455:$Z$459,SUBSTITUTE(SUBSTITUTE(SUBSTITUTE('FICHA'!$F$458,"~","~~"),"*","~*"),"?","~?")))=1),"Ofício · "&amp;'FICHA'!$F$458,"")</f>
        <v/>
      </c>
      <c r="B80">
        <f>SUMIFS('CONFIGURAÇÃO'!$F$11:$F$40,'CONFIGURAÇÃO'!$C$11:$C$40,TRUE,'CONFIGURAÇÃO'!$D$11:$D$40,A80,'CONFIGURAÇÃO'!$E$11:$E$40,"somar")</f>
        <v/>
      </c>
      <c r="C80">
        <f>COUNTIFS('CONFIGURAÇÃO'!$C$11:$C$40,TRUE,'CONFIGURAÇÃO'!$D$11:$D$40,A80,'CONFIGURAÇÃO'!$E$11:$E$40,"trocar por")</f>
        <v/>
      </c>
      <c r="D80">
        <f>SUMIFS('CONFIGURAÇÃO'!$F$11:$F$40,'CONFIGURAÇÃO'!$C$11:$C$40,TRUE,'CONFIGURAÇÃO'!$D$11:$D$40,A80,'CONFIGURAÇÃO'!$E$11:$E$40,"trocar por")</f>
        <v/>
      </c>
      <c r="E80">
        <f>IF(COUNTIFS('CONFIGURAÇÃO'!$C$11:$C$40,"&lt;&gt;FALSE",'CONFIGURAÇÃO'!$D$11:$D$40,A80,$L$2:$L$31,0)&gt;0,"Entrada inválida",IF(C80&gt;1,"Conflito: mais de uma troca",""))</f>
        <v/>
      </c>
      <c r="F80">
        <f>IF('FICHA'!F458="","",IF(AND('FICHA'!$F$458&lt;&gt;"",COUNTIF('DADOS_PROGRESSAO'!$AW$2:$AW$11,SUBSTITUTE(SUBSTITUTE(SUBSTITUTE('FICHA'!$F$458,"~","~~"),"*","~*"),"?","~?"))=1,(COUNTIF('FICHA'!$F$455:$F$460,SUBSTITUTE(SUBSTITUTE(SUBSTITUTE('FICHA'!$F$458,"~","~~"),"*","~*"),"?","~?"))+COUNTIF('FICHA'!$Z$455:$Z$459,SUBSTITUTE(SUBSTITUTE(SUBSTITUTE('FICHA'!$F$458,"~","~~"),"*","~*"),"?","~?")))=1),SWITCH('FICHA'!N458,"Força",'FICHA'!$D$19,"Destreza",'FICHA'!$L$19,"Constituição",'FICHA'!$T$19,"Inteligência",'FICHA'!$AB$19,"Essência",'FICHA'!$AJ$19,NA())+IF('FICHA'!E458,'FICHA'!$D$67+INT('FICHA'!$D$67/2),IF('FICHA'!D458,'FICHA'!$D$67,0))+IFERROR(VALUE('FICHA'!T458&amp;""),0),NA()))</f>
        <v/>
      </c>
      <c r="G80">
        <f>IF('FICHA'!F458="","",IF(AND('FICHA'!$F$458&lt;&gt;"",COUNTIF('DADOS_PROGRESSAO'!$AW$2:$AW$11,SUBSTITUTE(SUBSTITUTE(SUBSTITUTE('FICHA'!$F$458,"~","~~"),"*","~*"),"?","~?"))=1,(COUNTIF('FICHA'!$F$455:$F$460,SUBSTITUTE(SUBSTITUTE(SUBSTITUTE('FICHA'!$F$458,"~","~~"),"*","~*"),"?","~?"))+COUNTIF('FICHA'!$Z$455:$Z$459,SUBSTITUTE(SUBSTITUTE(SUBSTITUTE('FICHA'!$F$458,"~","~~"),"*","~*"),"?","~?")))=1),SWITCH('FICHA'!N458,"Força",'FICHA'!$D$19,"Destreza",'FICHA'!$L$19,"Constituição",'FICHA'!$T$19,"Inteligência",'FICHA'!$AB$19,"Essência",'FICHA'!$AJ$19,NA())+IF('FICHA'!E458,'FICHA'!$D$67+INT('FICHA'!$D$67/2),IF('FICHA'!D458,'FICHA'!$D$67,0))+IFERROR(VALUE('FICHA'!T458&amp;""),0),NA()))</f>
        <v/>
      </c>
      <c r="H80">
        <f>'FICHA'!$R$458</f>
        <v/>
      </c>
    </row>
    <row r="81">
      <c r="A81">
        <f>IF(AND('FICHA'!$F$459&lt;&gt;"",COUNTIF('DADOS_PROGRESSAO'!$AW$2:$AW$11,SUBSTITUTE(SUBSTITUTE(SUBSTITUTE('FICHA'!$F$459,"~","~~"),"*","~*"),"?","~?"))=1,(COUNTIF('FICHA'!$F$455:$F$460,SUBSTITUTE(SUBSTITUTE(SUBSTITUTE('FICHA'!$F$459,"~","~~"),"*","~*"),"?","~?"))+COUNTIF('FICHA'!$Z$455:$Z$459,SUBSTITUTE(SUBSTITUTE(SUBSTITUTE('FICHA'!$F$459,"~","~~"),"*","~*"),"?","~?")))=1),"Ofício · "&amp;'FICHA'!$F$459,"")</f>
        <v/>
      </c>
      <c r="B81">
        <f>SUMIFS('CONFIGURAÇÃO'!$F$11:$F$40,'CONFIGURAÇÃO'!$C$11:$C$40,TRUE,'CONFIGURAÇÃO'!$D$11:$D$40,A81,'CONFIGURAÇÃO'!$E$11:$E$40,"somar")</f>
        <v/>
      </c>
      <c r="C81">
        <f>COUNTIFS('CONFIGURAÇÃO'!$C$11:$C$40,TRUE,'CONFIGURAÇÃO'!$D$11:$D$40,A81,'CONFIGURAÇÃO'!$E$11:$E$40,"trocar por")</f>
        <v/>
      </c>
      <c r="D81">
        <f>SUMIFS('CONFIGURAÇÃO'!$F$11:$F$40,'CONFIGURAÇÃO'!$C$11:$C$40,TRUE,'CONFIGURAÇÃO'!$D$11:$D$40,A81,'CONFIGURAÇÃO'!$E$11:$E$40,"trocar por")</f>
        <v/>
      </c>
      <c r="E81">
        <f>IF(COUNTIFS('CONFIGURAÇÃO'!$C$11:$C$40,"&lt;&gt;FALSE",'CONFIGURAÇÃO'!$D$11:$D$40,A81,$L$2:$L$31,0)&gt;0,"Entrada inválida",IF(C81&gt;1,"Conflito: mais de uma troca",""))</f>
        <v/>
      </c>
      <c r="F81">
        <f>IF('FICHA'!F459="","",IF(AND('FICHA'!$F$459&lt;&gt;"",COUNTIF('DADOS_PROGRESSAO'!$AW$2:$AW$11,SUBSTITUTE(SUBSTITUTE(SUBSTITUTE('FICHA'!$F$459,"~","~~"),"*","~*"),"?","~?"))=1,(COUNTIF('FICHA'!$F$455:$F$460,SUBSTITUTE(SUBSTITUTE(SUBSTITUTE('FICHA'!$F$459,"~","~~"),"*","~*"),"?","~?"))+COUNTIF('FICHA'!$Z$455:$Z$459,SUBSTITUTE(SUBSTITUTE(SUBSTITUTE('FICHA'!$F$459,"~","~~"),"*","~*"),"?","~?")))=1),SWITCH('FICHA'!N459,"Força",'FICHA'!$D$19,"Destreza",'FICHA'!$L$19,"Constituição",'FICHA'!$T$19,"Inteligência",'FICHA'!$AB$19,"Essência",'FICHA'!$AJ$19,NA())+IF('FICHA'!E459,'FICHA'!$D$67+INT('FICHA'!$D$67/2),IF('FICHA'!D459,'FICHA'!$D$67,0))+IFERROR(VALUE('FICHA'!T459&amp;""),0),NA()))</f>
        <v/>
      </c>
      <c r="G81">
        <f>IF('FICHA'!F459="","",IF(AND('FICHA'!$F$459&lt;&gt;"",COUNTIF('DADOS_PROGRESSAO'!$AW$2:$AW$11,SUBSTITUTE(SUBSTITUTE(SUBSTITUTE('FICHA'!$F$459,"~","~~"),"*","~*"),"?","~?"))=1,(COUNTIF('FICHA'!$F$455:$F$460,SUBSTITUTE(SUBSTITUTE(SUBSTITUTE('FICHA'!$F$459,"~","~~"),"*","~*"),"?","~?"))+COUNTIF('FICHA'!$Z$455:$Z$459,SUBSTITUTE(SUBSTITUTE(SUBSTITUTE('FICHA'!$F$459,"~","~~"),"*","~*"),"?","~?")))=1),SWITCH('FICHA'!N459,"Força",'FICHA'!$D$19,"Destreza",'FICHA'!$L$19,"Constituição",'FICHA'!$T$19,"Inteligência",'FICHA'!$AB$19,"Essência",'FICHA'!$AJ$19,NA())+IF('FICHA'!E459,'FICHA'!$D$67+INT('FICHA'!$D$67/2),IF('FICHA'!D459,'FICHA'!$D$67,0))+IFERROR(VALUE('FICHA'!T459&amp;""),0),NA()))</f>
        <v/>
      </c>
      <c r="H81">
        <f>'FICHA'!$R$459</f>
        <v/>
      </c>
    </row>
    <row r="82">
      <c r="A82">
        <f>IF(AND('FICHA'!$F$460&lt;&gt;"",COUNTIF('DADOS_PROGRESSAO'!$AW$2:$AW$11,SUBSTITUTE(SUBSTITUTE(SUBSTITUTE('FICHA'!$F$460,"~","~~"),"*","~*"),"?","~?"))=1,(COUNTIF('FICHA'!$F$455:$F$460,SUBSTITUTE(SUBSTITUTE(SUBSTITUTE('FICHA'!$F$460,"~","~~"),"*","~*"),"?","~?"))+COUNTIF('FICHA'!$Z$455:$Z$459,SUBSTITUTE(SUBSTITUTE(SUBSTITUTE('FICHA'!$F$460,"~","~~"),"*","~*"),"?","~?")))=1),"Ofício · "&amp;'FICHA'!$F$460,"")</f>
        <v/>
      </c>
      <c r="B82">
        <f>SUMIFS('CONFIGURAÇÃO'!$F$11:$F$40,'CONFIGURAÇÃO'!$C$11:$C$40,TRUE,'CONFIGURAÇÃO'!$D$11:$D$40,A82,'CONFIGURAÇÃO'!$E$11:$E$40,"somar")</f>
        <v/>
      </c>
      <c r="C82">
        <f>COUNTIFS('CONFIGURAÇÃO'!$C$11:$C$40,TRUE,'CONFIGURAÇÃO'!$D$11:$D$40,A82,'CONFIGURAÇÃO'!$E$11:$E$40,"trocar por")</f>
        <v/>
      </c>
      <c r="D82">
        <f>SUMIFS('CONFIGURAÇÃO'!$F$11:$F$40,'CONFIGURAÇÃO'!$C$11:$C$40,TRUE,'CONFIGURAÇÃO'!$D$11:$D$40,A82,'CONFIGURAÇÃO'!$E$11:$E$40,"trocar por")</f>
        <v/>
      </c>
      <c r="E82">
        <f>IF(COUNTIFS('CONFIGURAÇÃO'!$C$11:$C$40,"&lt;&gt;FALSE",'CONFIGURAÇÃO'!$D$11:$D$40,A82,$L$2:$L$31,0)&gt;0,"Entrada inválida",IF(C82&gt;1,"Conflito: mais de uma troca",""))</f>
        <v/>
      </c>
      <c r="F82">
        <f>IF('FICHA'!F460="","",IF(AND('FICHA'!$F$460&lt;&gt;"",COUNTIF('DADOS_PROGRESSAO'!$AW$2:$AW$11,SUBSTITUTE(SUBSTITUTE(SUBSTITUTE('FICHA'!$F$460,"~","~~"),"*","~*"),"?","~?"))=1,(COUNTIF('FICHA'!$F$455:$F$460,SUBSTITUTE(SUBSTITUTE(SUBSTITUTE('FICHA'!$F$460,"~","~~"),"*","~*"),"?","~?"))+COUNTIF('FICHA'!$Z$455:$Z$459,SUBSTITUTE(SUBSTITUTE(SUBSTITUTE('FICHA'!$F$460,"~","~~"),"*","~*"),"?","~?")))=1),SWITCH('FICHA'!N460,"Força",'FICHA'!$D$19,"Destreza",'FICHA'!$L$19,"Constituição",'FICHA'!$T$19,"Inteligência",'FICHA'!$AB$19,"Essência",'FICHA'!$AJ$19,NA())+IF('FICHA'!E460,'FICHA'!$D$67+INT('FICHA'!$D$67/2),IF('FICHA'!D460,'FICHA'!$D$67,0))+IFERROR(VALUE('FICHA'!T460&amp;""),0),NA()))</f>
        <v/>
      </c>
      <c r="G82">
        <f>IF('FICHA'!F460="","",IF(AND('FICHA'!$F$460&lt;&gt;"",COUNTIF('DADOS_PROGRESSAO'!$AW$2:$AW$11,SUBSTITUTE(SUBSTITUTE(SUBSTITUTE('FICHA'!$F$460,"~","~~"),"*","~*"),"?","~?"))=1,(COUNTIF('FICHA'!$F$455:$F$460,SUBSTITUTE(SUBSTITUTE(SUBSTITUTE('FICHA'!$F$460,"~","~~"),"*","~*"),"?","~?"))+COUNTIF('FICHA'!$Z$455:$Z$459,SUBSTITUTE(SUBSTITUTE(SUBSTITUTE('FICHA'!$F$460,"~","~~"),"*","~*"),"?","~?")))=1),SWITCH('FICHA'!N460,"Força",'FICHA'!$D$19,"Destreza",'FICHA'!$L$19,"Constituição",'FICHA'!$T$19,"Inteligência",'FICHA'!$AB$19,"Essência",'FICHA'!$AJ$19,NA())+IF('FICHA'!E460,'FICHA'!$D$67+INT('FICHA'!$D$67/2),IF('FICHA'!D460,'FICHA'!$D$67,0))+IFERROR(VALUE('FICHA'!T460&amp;""),0),NA()))</f>
        <v/>
      </c>
      <c r="H82">
        <f>'FICHA'!$R$460</f>
        <v/>
      </c>
    </row>
    <row r="83">
      <c r="A83">
        <f>IF(AND('FICHA'!$Z$455&lt;&gt;"",COUNTIF('DADOS_PROGRESSAO'!$AW$2:$AW$11,SUBSTITUTE(SUBSTITUTE(SUBSTITUTE('FICHA'!$Z$455,"~","~~"),"*","~*"),"?","~?"))=1,(COUNTIF('FICHA'!$F$455:$F$460,SUBSTITUTE(SUBSTITUTE(SUBSTITUTE('FICHA'!$Z$455,"~","~~"),"*","~*"),"?","~?"))+COUNTIF('FICHA'!$Z$455:$Z$459,SUBSTITUTE(SUBSTITUTE(SUBSTITUTE('FICHA'!$Z$455,"~","~~"),"*","~*"),"?","~?")))=1),"Ofício · "&amp;'FICHA'!$Z$455,"")</f>
        <v/>
      </c>
      <c r="B83">
        <f>SUMIFS('CONFIGURAÇÃO'!$F$11:$F$40,'CONFIGURAÇÃO'!$C$11:$C$40,TRUE,'CONFIGURAÇÃO'!$D$11:$D$40,A83,'CONFIGURAÇÃO'!$E$11:$E$40,"somar")</f>
        <v/>
      </c>
      <c r="C83">
        <f>COUNTIFS('CONFIGURAÇÃO'!$C$11:$C$40,TRUE,'CONFIGURAÇÃO'!$D$11:$D$40,A83,'CONFIGURAÇÃO'!$E$11:$E$40,"trocar por")</f>
        <v/>
      </c>
      <c r="D83">
        <f>SUMIFS('CONFIGURAÇÃO'!$F$11:$F$40,'CONFIGURAÇÃO'!$C$11:$C$40,TRUE,'CONFIGURAÇÃO'!$D$11:$D$40,A83,'CONFIGURAÇÃO'!$E$11:$E$40,"trocar por")</f>
        <v/>
      </c>
      <c r="E83">
        <f>IF(COUNTIFS('CONFIGURAÇÃO'!$C$11:$C$40,"&lt;&gt;FALSE",'CONFIGURAÇÃO'!$D$11:$D$40,A83,$L$2:$L$31,0)&gt;0,"Entrada inválida",IF(C83&gt;1,"Conflito: mais de uma troca",""))</f>
        <v/>
      </c>
      <c r="F83">
        <f>IF('FICHA'!Z455="","",IF(AND('FICHA'!$Z$455&lt;&gt;"",COUNTIF('DADOS_PROGRESSAO'!$AW$2:$AW$11,SUBSTITUTE(SUBSTITUTE(SUBSTITUTE('FICHA'!$Z$455,"~","~~"),"*","~*"),"?","~?"))=1,(COUNTIF('FICHA'!$F$455:$F$460,SUBSTITUTE(SUBSTITUTE(SUBSTITUTE('FICHA'!$Z$455,"~","~~"),"*","~*"),"?","~?"))+COUNTIF('FICHA'!$Z$455:$Z$459,SUBSTITUTE(SUBSTITUTE(SUBSTITUTE('FICHA'!$Z$455,"~","~~"),"*","~*"),"?","~?")))=1),SWITCH('FICHA'!AH455,"Força",'FICHA'!$D$19,"Destreza",'FICHA'!$L$19,"Constituição",'FICHA'!$T$19,"Inteligência",'FICHA'!$AB$19,"Essência",'FICHA'!$AJ$19,NA())+IF('FICHA'!Y455,'FICHA'!$D$67+INT('FICHA'!$D$67/2),IF('FICHA'!X455,'FICHA'!$D$67,0))+IFERROR(VALUE('FICHA'!AN455&amp;""),0),NA()))</f>
        <v/>
      </c>
      <c r="G83">
        <f>IF('FICHA'!Z455="","",IF(AND('FICHA'!$Z$455&lt;&gt;"",COUNTIF('DADOS_PROGRESSAO'!$AW$2:$AW$11,SUBSTITUTE(SUBSTITUTE(SUBSTITUTE('FICHA'!$Z$455,"~","~~"),"*","~*"),"?","~?"))=1,(COUNTIF('FICHA'!$F$455:$F$460,SUBSTITUTE(SUBSTITUTE(SUBSTITUTE('FICHA'!$Z$455,"~","~~"),"*","~*"),"?","~?"))+COUNTIF('FICHA'!$Z$455:$Z$459,SUBSTITUTE(SUBSTITUTE(SUBSTITUTE('FICHA'!$Z$455,"~","~~"),"*","~*"),"?","~?")))=1),SWITCH('FICHA'!AH455,"Força",'FICHA'!$D$19,"Destreza",'FICHA'!$L$19,"Constituição",'FICHA'!$T$19,"Inteligência",'FICHA'!$AB$19,"Essência",'FICHA'!$AJ$19,NA())+IF('FICHA'!Y455,'FICHA'!$D$67+INT('FICHA'!$D$67/2),IF('FICHA'!X455,'FICHA'!$D$67,0))+IFERROR(VALUE('FICHA'!AN455&amp;""),0),NA()))</f>
        <v/>
      </c>
      <c r="H83">
        <f>'FICHA'!$AL$455</f>
        <v/>
      </c>
    </row>
    <row r="84">
      <c r="A84">
        <f>IF(AND('FICHA'!$Z$456&lt;&gt;"",COUNTIF('DADOS_PROGRESSAO'!$AW$2:$AW$11,SUBSTITUTE(SUBSTITUTE(SUBSTITUTE('FICHA'!$Z$456,"~","~~"),"*","~*"),"?","~?"))=1,(COUNTIF('FICHA'!$F$455:$F$460,SUBSTITUTE(SUBSTITUTE(SUBSTITUTE('FICHA'!$Z$456,"~","~~"),"*","~*"),"?","~?"))+COUNTIF('FICHA'!$Z$455:$Z$459,SUBSTITUTE(SUBSTITUTE(SUBSTITUTE('FICHA'!$Z$456,"~","~~"),"*","~*"),"?","~?")))=1),"Ofício · "&amp;'FICHA'!$Z$456,"")</f>
        <v/>
      </c>
      <c r="B84">
        <f>SUMIFS('CONFIGURAÇÃO'!$F$11:$F$40,'CONFIGURAÇÃO'!$C$11:$C$40,TRUE,'CONFIGURAÇÃO'!$D$11:$D$40,A84,'CONFIGURAÇÃO'!$E$11:$E$40,"somar")</f>
        <v/>
      </c>
      <c r="C84">
        <f>COUNTIFS('CONFIGURAÇÃO'!$C$11:$C$40,TRUE,'CONFIGURAÇÃO'!$D$11:$D$40,A84,'CONFIGURAÇÃO'!$E$11:$E$40,"trocar por")</f>
        <v/>
      </c>
      <c r="D84">
        <f>SUMIFS('CONFIGURAÇÃO'!$F$11:$F$40,'CONFIGURAÇÃO'!$C$11:$C$40,TRUE,'CONFIGURAÇÃO'!$D$11:$D$40,A84,'CONFIGURAÇÃO'!$E$11:$E$40,"trocar por")</f>
        <v/>
      </c>
      <c r="E84">
        <f>IF(COUNTIFS('CONFIGURAÇÃO'!$C$11:$C$40,"&lt;&gt;FALSE",'CONFIGURAÇÃO'!$D$11:$D$40,A84,$L$2:$L$31,0)&gt;0,"Entrada inválida",IF(C84&gt;1,"Conflito: mais de uma troca",""))</f>
        <v/>
      </c>
      <c r="F84">
        <f>IF('FICHA'!Z456="","",IF(AND('FICHA'!$Z$456&lt;&gt;"",COUNTIF('DADOS_PROGRESSAO'!$AW$2:$AW$11,SUBSTITUTE(SUBSTITUTE(SUBSTITUTE('FICHA'!$Z$456,"~","~~"),"*","~*"),"?","~?"))=1,(COUNTIF('FICHA'!$F$455:$F$460,SUBSTITUTE(SUBSTITUTE(SUBSTITUTE('FICHA'!$Z$456,"~","~~"),"*","~*"),"?","~?"))+COUNTIF('FICHA'!$Z$455:$Z$459,SUBSTITUTE(SUBSTITUTE(SUBSTITUTE('FICHA'!$Z$456,"~","~~"),"*","~*"),"?","~?")))=1),SWITCH('FICHA'!AH456,"Força",'FICHA'!$D$19,"Destreza",'FICHA'!$L$19,"Constituição",'FICHA'!$T$19,"Inteligência",'FICHA'!$AB$19,"Essência",'FICHA'!$AJ$19,NA())+IF('FICHA'!Y456,'FICHA'!$D$67+INT('FICHA'!$D$67/2),IF('FICHA'!X456,'FICHA'!$D$67,0))+IFERROR(VALUE('FICHA'!AN456&amp;""),0),NA()))</f>
        <v/>
      </c>
      <c r="G84">
        <f>IF('FICHA'!Z456="","",IF(AND('FICHA'!$Z$456&lt;&gt;"",COUNTIF('DADOS_PROGRESSAO'!$AW$2:$AW$11,SUBSTITUTE(SUBSTITUTE(SUBSTITUTE('FICHA'!$Z$456,"~","~~"),"*","~*"),"?","~?"))=1,(COUNTIF('FICHA'!$F$455:$F$460,SUBSTITUTE(SUBSTITUTE(SUBSTITUTE('FICHA'!$Z$456,"~","~~"),"*","~*"),"?","~?"))+COUNTIF('FICHA'!$Z$455:$Z$459,SUBSTITUTE(SUBSTITUTE(SUBSTITUTE('FICHA'!$Z$456,"~","~~"),"*","~*"),"?","~?")))=1),SWITCH('FICHA'!AH456,"Força",'FICHA'!$D$19,"Destreza",'FICHA'!$L$19,"Constituição",'FICHA'!$T$19,"Inteligência",'FICHA'!$AB$19,"Essência",'FICHA'!$AJ$19,NA())+IF('FICHA'!Y456,'FICHA'!$D$67+INT('FICHA'!$D$67/2),IF('FICHA'!X456,'FICHA'!$D$67,0))+IFERROR(VALUE('FICHA'!AN456&amp;""),0),NA()))</f>
        <v/>
      </c>
      <c r="H84">
        <f>'FICHA'!$AL$456</f>
        <v/>
      </c>
    </row>
    <row r="85">
      <c r="A85">
        <f>IF(AND('FICHA'!$Z$457&lt;&gt;"",COUNTIF('DADOS_PROGRESSAO'!$AW$2:$AW$11,SUBSTITUTE(SUBSTITUTE(SUBSTITUTE('FICHA'!$Z$457,"~","~~"),"*","~*"),"?","~?"))=1,(COUNTIF('FICHA'!$F$455:$F$460,SUBSTITUTE(SUBSTITUTE(SUBSTITUTE('FICHA'!$Z$457,"~","~~"),"*","~*"),"?","~?"))+COUNTIF('FICHA'!$Z$455:$Z$459,SUBSTITUTE(SUBSTITUTE(SUBSTITUTE('FICHA'!$Z$457,"~","~~"),"*","~*"),"?","~?")))=1),"Ofício · "&amp;'FICHA'!$Z$457,"")</f>
        <v/>
      </c>
      <c r="B85">
        <f>SUMIFS('CONFIGURAÇÃO'!$F$11:$F$40,'CONFIGURAÇÃO'!$C$11:$C$40,TRUE,'CONFIGURAÇÃO'!$D$11:$D$40,A85,'CONFIGURAÇÃO'!$E$11:$E$40,"somar")</f>
        <v/>
      </c>
      <c r="C85">
        <f>COUNTIFS('CONFIGURAÇÃO'!$C$11:$C$40,TRUE,'CONFIGURAÇÃO'!$D$11:$D$40,A85,'CONFIGURAÇÃO'!$E$11:$E$40,"trocar por")</f>
        <v/>
      </c>
      <c r="D85">
        <f>SUMIFS('CONFIGURAÇÃO'!$F$11:$F$40,'CONFIGURAÇÃO'!$C$11:$C$40,TRUE,'CONFIGURAÇÃO'!$D$11:$D$40,A85,'CONFIGURAÇÃO'!$E$11:$E$40,"trocar por")</f>
        <v/>
      </c>
      <c r="E85">
        <f>IF(COUNTIFS('CONFIGURAÇÃO'!$C$11:$C$40,"&lt;&gt;FALSE",'CONFIGURAÇÃO'!$D$11:$D$40,A85,$L$2:$L$31,0)&gt;0,"Entrada inválida",IF(C85&gt;1,"Conflito: mais de uma troca",""))</f>
        <v/>
      </c>
      <c r="F85">
        <f>IF('FICHA'!Z457="","",IF(AND('FICHA'!$Z$457&lt;&gt;"",COUNTIF('DADOS_PROGRESSAO'!$AW$2:$AW$11,SUBSTITUTE(SUBSTITUTE(SUBSTITUTE('FICHA'!$Z$457,"~","~~"),"*","~*"),"?","~?"))=1,(COUNTIF('FICHA'!$F$455:$F$460,SUBSTITUTE(SUBSTITUTE(SUBSTITUTE('FICHA'!$Z$457,"~","~~"),"*","~*"),"?","~?"))+COUNTIF('FICHA'!$Z$455:$Z$459,SUBSTITUTE(SUBSTITUTE(SUBSTITUTE('FICHA'!$Z$457,"~","~~"),"*","~*"),"?","~?")))=1),SWITCH('FICHA'!AH457,"Força",'FICHA'!$D$19,"Destreza",'FICHA'!$L$19,"Constituição",'FICHA'!$T$19,"Inteligência",'FICHA'!$AB$19,"Essência",'FICHA'!$AJ$19,NA())+IF('FICHA'!Y457,'FICHA'!$D$67+INT('FICHA'!$D$67/2),IF('FICHA'!X457,'FICHA'!$D$67,0))+IFERROR(VALUE('FICHA'!AN457&amp;""),0),NA()))</f>
        <v/>
      </c>
      <c r="G85">
        <f>IF('FICHA'!Z457="","",IF(AND('FICHA'!$Z$457&lt;&gt;"",COUNTIF('DADOS_PROGRESSAO'!$AW$2:$AW$11,SUBSTITUTE(SUBSTITUTE(SUBSTITUTE('FICHA'!$Z$457,"~","~~"),"*","~*"),"?","~?"))=1,(COUNTIF('FICHA'!$F$455:$F$460,SUBSTITUTE(SUBSTITUTE(SUBSTITUTE('FICHA'!$Z$457,"~","~~"),"*","~*"),"?","~?"))+COUNTIF('FICHA'!$Z$455:$Z$459,SUBSTITUTE(SUBSTITUTE(SUBSTITUTE('FICHA'!$Z$457,"~","~~"),"*","~*"),"?","~?")))=1),SWITCH('FICHA'!AH457,"Força",'FICHA'!$D$19,"Destreza",'FICHA'!$L$19,"Constituição",'FICHA'!$T$19,"Inteligência",'FICHA'!$AB$19,"Essência",'FICHA'!$AJ$19,NA())+IF('FICHA'!Y457,'FICHA'!$D$67+INT('FICHA'!$D$67/2),IF('FICHA'!X457,'FICHA'!$D$67,0))+IFERROR(VALUE('FICHA'!AN457&amp;""),0),NA()))</f>
        <v/>
      </c>
      <c r="H85">
        <f>'FICHA'!$AL$457</f>
        <v/>
      </c>
    </row>
    <row r="86">
      <c r="A86">
        <f>IF(AND('FICHA'!$Z$458&lt;&gt;"",COUNTIF('DADOS_PROGRESSAO'!$AW$2:$AW$11,SUBSTITUTE(SUBSTITUTE(SUBSTITUTE('FICHA'!$Z$458,"~","~~"),"*","~*"),"?","~?"))=1,(COUNTIF('FICHA'!$F$455:$F$460,SUBSTITUTE(SUBSTITUTE(SUBSTITUTE('FICHA'!$Z$458,"~","~~"),"*","~*"),"?","~?"))+COUNTIF('FICHA'!$Z$455:$Z$459,SUBSTITUTE(SUBSTITUTE(SUBSTITUTE('FICHA'!$Z$458,"~","~~"),"*","~*"),"?","~?")))=1),"Ofício · "&amp;'FICHA'!$Z$458,"")</f>
        <v/>
      </c>
      <c r="B86">
        <f>SUMIFS('CONFIGURAÇÃO'!$F$11:$F$40,'CONFIGURAÇÃO'!$C$11:$C$40,TRUE,'CONFIGURAÇÃO'!$D$11:$D$40,A86,'CONFIGURAÇÃO'!$E$11:$E$40,"somar")</f>
        <v/>
      </c>
      <c r="C86">
        <f>COUNTIFS('CONFIGURAÇÃO'!$C$11:$C$40,TRUE,'CONFIGURAÇÃO'!$D$11:$D$40,A86,'CONFIGURAÇÃO'!$E$11:$E$40,"trocar por")</f>
        <v/>
      </c>
      <c r="D86">
        <f>SUMIFS('CONFIGURAÇÃO'!$F$11:$F$40,'CONFIGURAÇÃO'!$C$11:$C$40,TRUE,'CONFIGURAÇÃO'!$D$11:$D$40,A86,'CONFIGURAÇÃO'!$E$11:$E$40,"trocar por")</f>
        <v/>
      </c>
      <c r="E86">
        <f>IF(COUNTIFS('CONFIGURAÇÃO'!$C$11:$C$40,"&lt;&gt;FALSE",'CONFIGURAÇÃO'!$D$11:$D$40,A86,$L$2:$L$31,0)&gt;0,"Entrada inválida",IF(C86&gt;1,"Conflito: mais de uma troca",""))</f>
        <v/>
      </c>
      <c r="F86">
        <f>IF('FICHA'!Z458="","",IF(AND('FICHA'!$Z$458&lt;&gt;"",COUNTIF('DADOS_PROGRESSAO'!$AW$2:$AW$11,SUBSTITUTE(SUBSTITUTE(SUBSTITUTE('FICHA'!$Z$458,"~","~~"),"*","~*"),"?","~?"))=1,(COUNTIF('FICHA'!$F$455:$F$460,SUBSTITUTE(SUBSTITUTE(SUBSTITUTE('FICHA'!$Z$458,"~","~~"),"*","~*"),"?","~?"))+COUNTIF('FICHA'!$Z$455:$Z$459,SUBSTITUTE(SUBSTITUTE(SUBSTITUTE('FICHA'!$Z$458,"~","~~"),"*","~*"),"?","~?")))=1),SWITCH('FICHA'!AH458,"Força",'FICHA'!$D$19,"Destreza",'FICHA'!$L$19,"Constituição",'FICHA'!$T$19,"Inteligência",'FICHA'!$AB$19,"Essência",'FICHA'!$AJ$19,NA())+IF('FICHA'!Y458,'FICHA'!$D$67+INT('FICHA'!$D$67/2),IF('FICHA'!X458,'FICHA'!$D$67,0))+IFERROR(VALUE('FICHA'!AN458&amp;""),0),NA()))</f>
        <v/>
      </c>
      <c r="G86">
        <f>IF('FICHA'!Z458="","",IF(AND('FICHA'!$Z$458&lt;&gt;"",COUNTIF('DADOS_PROGRESSAO'!$AW$2:$AW$11,SUBSTITUTE(SUBSTITUTE(SUBSTITUTE('FICHA'!$Z$458,"~","~~"),"*","~*"),"?","~?"))=1,(COUNTIF('FICHA'!$F$455:$F$460,SUBSTITUTE(SUBSTITUTE(SUBSTITUTE('FICHA'!$Z$458,"~","~~"),"*","~*"),"?","~?"))+COUNTIF('FICHA'!$Z$455:$Z$459,SUBSTITUTE(SUBSTITUTE(SUBSTITUTE('FICHA'!$Z$458,"~","~~"),"*","~*"),"?","~?")))=1),SWITCH('FICHA'!AH458,"Força",'FICHA'!$D$19,"Destreza",'FICHA'!$L$19,"Constituição",'FICHA'!$T$19,"Inteligência",'FICHA'!$AB$19,"Essência",'FICHA'!$AJ$19,NA())+IF('FICHA'!Y458,'FICHA'!$D$67+INT('FICHA'!$D$67/2),IF('FICHA'!X458,'FICHA'!$D$67,0))+IFERROR(VALUE('FICHA'!AN458&amp;""),0),NA()))</f>
        <v/>
      </c>
      <c r="H86">
        <f>'FICHA'!$AL$458</f>
        <v/>
      </c>
    </row>
    <row r="87">
      <c r="A87">
        <f>IF(AND('FICHA'!$Z$459&lt;&gt;"",COUNTIF('DADOS_PROGRESSAO'!$AW$2:$AW$11,SUBSTITUTE(SUBSTITUTE(SUBSTITUTE('FICHA'!$Z$459,"~","~~"),"*","~*"),"?","~?"))=1,(COUNTIF('FICHA'!$F$455:$F$460,SUBSTITUTE(SUBSTITUTE(SUBSTITUTE('FICHA'!$Z$459,"~","~~"),"*","~*"),"?","~?"))+COUNTIF('FICHA'!$Z$455:$Z$459,SUBSTITUTE(SUBSTITUTE(SUBSTITUTE('FICHA'!$Z$459,"~","~~"),"*","~*"),"?","~?")))=1),"Ofício · "&amp;'FICHA'!$Z$459,"")</f>
        <v/>
      </c>
      <c r="B87">
        <f>SUMIFS('CONFIGURAÇÃO'!$F$11:$F$40,'CONFIGURAÇÃO'!$C$11:$C$40,TRUE,'CONFIGURAÇÃO'!$D$11:$D$40,A87,'CONFIGURAÇÃO'!$E$11:$E$40,"somar")</f>
        <v/>
      </c>
      <c r="C87">
        <f>COUNTIFS('CONFIGURAÇÃO'!$C$11:$C$40,TRUE,'CONFIGURAÇÃO'!$D$11:$D$40,A87,'CONFIGURAÇÃO'!$E$11:$E$40,"trocar por")</f>
        <v/>
      </c>
      <c r="D87">
        <f>SUMIFS('CONFIGURAÇÃO'!$F$11:$F$40,'CONFIGURAÇÃO'!$C$11:$C$40,TRUE,'CONFIGURAÇÃO'!$D$11:$D$40,A87,'CONFIGURAÇÃO'!$E$11:$E$40,"trocar por")</f>
        <v/>
      </c>
      <c r="E87">
        <f>IF(COUNTIFS('CONFIGURAÇÃO'!$C$11:$C$40,"&lt;&gt;FALSE",'CONFIGURAÇÃO'!$D$11:$D$40,A87,$L$2:$L$31,0)&gt;0,"Entrada inválida",IF(C87&gt;1,"Conflito: mais de uma troca",""))</f>
        <v/>
      </c>
      <c r="F87">
        <f>IF('FICHA'!Z459="","",IF(AND('FICHA'!$Z$459&lt;&gt;"",COUNTIF('DADOS_PROGRESSAO'!$AW$2:$AW$11,SUBSTITUTE(SUBSTITUTE(SUBSTITUTE('FICHA'!$Z$459,"~","~~"),"*","~*"),"?","~?"))=1,(COUNTIF('FICHA'!$F$455:$F$460,SUBSTITUTE(SUBSTITUTE(SUBSTITUTE('FICHA'!$Z$459,"~","~~"),"*","~*"),"?","~?"))+COUNTIF('FICHA'!$Z$455:$Z$459,SUBSTITUTE(SUBSTITUTE(SUBSTITUTE('FICHA'!$Z$459,"~","~~"),"*","~*"),"?","~?")))=1),SWITCH('FICHA'!AH459,"Força",'FICHA'!$D$19,"Destreza",'FICHA'!$L$19,"Constituição",'FICHA'!$T$19,"Inteligência",'FICHA'!$AB$19,"Essência",'FICHA'!$AJ$19,NA())+IF('FICHA'!Y459,'FICHA'!$D$67+INT('FICHA'!$D$67/2),IF('FICHA'!X459,'FICHA'!$D$67,0))+IFERROR(VALUE('FICHA'!AN459&amp;""),0),NA()))</f>
        <v/>
      </c>
      <c r="G87">
        <f>IF('FICHA'!Z459="","",IF(AND('FICHA'!$Z$459&lt;&gt;"",COUNTIF('DADOS_PROGRESSAO'!$AW$2:$AW$11,SUBSTITUTE(SUBSTITUTE(SUBSTITUTE('FICHA'!$Z$459,"~","~~"),"*","~*"),"?","~?"))=1,(COUNTIF('FICHA'!$F$455:$F$460,SUBSTITUTE(SUBSTITUTE(SUBSTITUTE('FICHA'!$Z$459,"~","~~"),"*","~*"),"?","~?"))+COUNTIF('FICHA'!$Z$455:$Z$459,SUBSTITUTE(SUBSTITUTE(SUBSTITUTE('FICHA'!$Z$459,"~","~~"),"*","~*"),"?","~?")))=1),SWITCH('FICHA'!AH459,"Força",'FICHA'!$D$19,"Destreza",'FICHA'!$L$19,"Constituição",'FICHA'!$T$19,"Inteligência",'FICHA'!$AB$19,"Essência",'FICHA'!$AJ$19,NA())+IF('FICHA'!Y459,'FICHA'!$D$67+INT('FICHA'!$D$67/2),IF('FICHA'!X459,'FICHA'!$D$67,0))+IFERROR(VALUE('FICHA'!AN459&amp;""),0),NA()))</f>
        <v/>
      </c>
      <c r="H87">
        <f>'FICHA'!$AL$459</f>
        <v/>
      </c>
    </row>
    <row r="88">
      <c r="A88" t="inlineStr">
        <is>
          <t>Invocações · teto de ativas</t>
        </is>
      </c>
      <c r="B88">
        <f>SUMIFS('CONFIGURAÇÃO'!$F$11:$F$40,'CONFIGURAÇÃO'!$C$11:$C$40,TRUE,'CONFIGURAÇÃO'!$D$11:$D$40,A88,'CONFIGURAÇÃO'!$E$11:$E$40,"somar")</f>
        <v/>
      </c>
      <c r="C88">
        <f>COUNTIFS('CONFIGURAÇÃO'!$C$11:$C$40,TRUE,'CONFIGURAÇÃO'!$D$11:$D$40,A88,'CONFIGURAÇÃO'!$E$11:$E$40,"trocar por")</f>
        <v/>
      </c>
      <c r="D88">
        <f>SUMIFS('CONFIGURAÇÃO'!$F$11:$F$40,'CONFIGURAÇÃO'!$C$11:$C$40,TRUE,'CONFIGURAÇÃO'!$D$11:$D$40,A88,'CONFIGURAÇÃO'!$E$11:$E$40,"trocar por")</f>
        <v/>
      </c>
      <c r="E88">
        <f>IF(COUNTIFS('CONFIGURAÇÃO'!$C$11:$C$40,"&lt;&gt;FALSE",'CONFIGURAÇÃO'!$D$11:$D$40,A88,$L$2:$L$31,0)&gt;0,"Entrada inválida",IF(C88&gt;1,"Conflito: mais de uma troca",""))</f>
        <v/>
      </c>
      <c r="F88">
        <f>IF('DADOS_PROGRESSAO'!$K$4="Múltiplas Invocações",4,2)</f>
        <v/>
      </c>
      <c r="G88">
        <f>IF('DADOS_PROGRESSAO'!$K$4="Múltiplas Invocações",4,2)</f>
        <v/>
      </c>
      <c r="H88">
        <f>'DADOS_INVOC'!$DB$8</f>
        <v/>
      </c>
    </row>
    <row r="89">
      <c r="A89" t="inlineStr">
        <is>
          <t>Invocações · famílias da trilha</t>
        </is>
      </c>
      <c r="B89">
        <f>SUMIFS('CONFIGURAÇÃO'!$F$11:$F$40,'CONFIGURAÇÃO'!$C$11:$C$40,TRUE,'CONFIGURAÇÃO'!$D$11:$D$40,A89,'CONFIGURAÇÃO'!$E$11:$E$40,"somar")</f>
        <v/>
      </c>
      <c r="C89">
        <f>COUNTIFS('CONFIGURAÇÃO'!$C$11:$C$40,TRUE,'CONFIGURAÇÃO'!$D$11:$D$40,A89,'CONFIGURAÇÃO'!$E$11:$E$40,"trocar por")</f>
        <v/>
      </c>
      <c r="D89">
        <f>SUMIFS('CONFIGURAÇÃO'!$F$11:$F$40,'CONFIGURAÇÃO'!$C$11:$C$40,TRUE,'CONFIGURAÇÃO'!$D$11:$D$40,A89,'CONFIGURAÇÃO'!$E$11:$E$40,"trocar por")</f>
        <v/>
      </c>
      <c r="E89">
        <f>IF(COUNTIFS('CONFIGURAÇÃO'!$C$11:$C$40,"&lt;&gt;FALSE",'CONFIGURAÇÃO'!$D$11:$D$40,A89,$L$2:$L$31,0)&gt;0,"Entrada inválida",IF(C89&gt;1,"Conflito: mais de uma troca",""))</f>
        <v/>
      </c>
      <c r="F89">
        <f>IF('DADOS_PROGRESSAO'!$K$4="Invocação Principal",5,IF(OR('DADOS_PROGRESSAO'!$K$4="Parceria",'DADOS_PROGRESSAO'!$K$4="Múltiplas Invocações"),4,3))</f>
        <v/>
      </c>
      <c r="G89">
        <f>IF('DADOS_PROGRESSAO'!$K$4="Invocação Principal",5,IF(OR('DADOS_PROGRESSAO'!$K$4="Parceria",'DADOS_PROGRESSAO'!$K$4="Múltiplas Invocações"),4,3))</f>
        <v/>
      </c>
      <c r="H89">
        <f>'DADOS_INVOC'!$DB$11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C61"/>
  <sheetViews>
    <sheetView showGridLines="0" workbookViewId="0">
      <selection activeCell="A1" sqref="A1"/>
    </sheetView>
  </sheetViews>
  <sheetFormatPr baseColWidth="8" defaultRowHeight="15.75" customHeight="1"/>
  <sheetData>
    <row r="1">
      <c r="A1" t="inlineStr">
        <is>
          <t>registro</t>
        </is>
      </c>
      <c r="B1" t="inlineStr">
        <is>
          <t>tipo</t>
        </is>
      </c>
      <c r="C1" t="inlineStr">
        <is>
          <t>nome</t>
        </is>
      </c>
      <c r="D1" t="inlineStr">
        <is>
          <t>atributo</t>
        </is>
      </c>
      <c r="E1" t="inlineStr">
        <is>
          <t>mestre viu</t>
        </is>
      </c>
      <c r="F1" t="inlineStr">
        <is>
          <t>descrição</t>
        </is>
      </c>
      <c r="G1" t="inlineStr">
        <is>
          <t>problema</t>
        </is>
      </c>
      <c r="M1" t="inlineStr">
        <is>
          <t>Caminho</t>
        </is>
      </c>
      <c r="N1" t="inlineStr">
        <is>
          <t>atributos naturais</t>
        </is>
      </c>
      <c r="O1" t="inlineStr">
        <is>
          <t>vida inicial</t>
        </is>
      </c>
      <c r="P1" t="inlineStr">
        <is>
          <t>vida por nível</t>
        </is>
      </c>
      <c r="Q1" t="inlineStr">
        <is>
          <t>PE por nível</t>
        </is>
      </c>
      <c r="R1" t="inlineStr">
        <is>
          <t>perícia fixa 1</t>
        </is>
      </c>
      <c r="S1" t="inlineStr">
        <is>
          <t>perícia fixa 2</t>
        </is>
      </c>
      <c r="T1" t="inlineStr">
        <is>
          <t>dado de vida</t>
        </is>
      </c>
      <c r="U1" t="inlineStr">
        <is>
          <t>troca perícias por arma</t>
        </is>
      </c>
      <c r="V1" t="inlineStr">
        <is>
          <t>treino de arma</t>
        </is>
      </c>
      <c r="AM1" t="inlineStr">
        <is>
          <t>opções 39</t>
        </is>
      </c>
      <c r="AN1" t="inlineStr">
        <is>
          <t>opções 40</t>
        </is>
      </c>
      <c r="AO1" t="inlineStr">
        <is>
          <t>opções 41</t>
        </is>
      </c>
      <c r="AP1" t="inlineStr">
        <is>
          <t>opções 42</t>
        </is>
      </c>
      <c r="AQ1" t="inlineStr">
        <is>
          <t>opções 43</t>
        </is>
      </c>
      <c r="AR1" t="inlineStr">
        <is>
          <t>opções 44</t>
        </is>
      </c>
      <c r="AU1" t="inlineStr">
        <is>
          <t>opções 47</t>
        </is>
      </c>
      <c r="AY1" t="inlineStr">
        <is>
          <t>opções 51</t>
        </is>
      </c>
      <c r="AZ1" t="inlineStr">
        <is>
          <t>opções 52</t>
        </is>
      </c>
      <c r="BA1" t="inlineStr">
        <is>
          <t>opções 53</t>
        </is>
      </c>
      <c r="BB1" t="inlineStr">
        <is>
          <t>opções 54</t>
        </is>
      </c>
      <c r="CB1" t="inlineStr">
        <is>
          <t>último nome automático · grupo 7</t>
        </is>
      </c>
      <c r="CC1" t="inlineStr">
        <is>
          <t>último texto automático · grupo 7</t>
        </is>
      </c>
    </row>
    <row r="2">
      <c r="A2" t="n">
        <v>1</v>
      </c>
      <c r="B2">
        <f>IF(ISBLANK('CONFIGURAÇÃO'!$BB$11),"",'CONFIGURAÇÃO'!$BB$11)</f>
        <v/>
      </c>
      <c r="C2">
        <f>IF(ISBLANK('CONFIGURAÇÃO'!$BB$13),"",'CONFIGURAÇÃO'!$BB$13)</f>
        <v/>
      </c>
      <c r="D2">
        <f>IF(ISBLANK('CONFIGURAÇÃO'!$BE$14),"",'CONFIGURAÇÃO'!$BE$14)</f>
        <v/>
      </c>
      <c r="E2">
        <f>IF(ISBLANK('CONFIGURAÇÃO'!$BF$11),"",'CONFIGURAÇÃO'!$BF$11)</f>
        <v/>
      </c>
      <c r="F2">
        <f>IF(ISBLANK('CONFIGURAÇÃO'!$BB$16),"",'CONFIGURAÇÃO'!$BB$16)</f>
        <v/>
      </c>
      <c r="G2">
        <f>IF(AND(C2="",D2="",F2="",E2=FALSE,OR(B2="",B2="Perícia")),"",TEXTJOIN(" · ",TRUE,IF(B2&lt;&gt;"Perícia","Tipo incompatível com o cadastro",""),IF(OR(C2="",TRIM(C2)&lt;&gt;C2),"Preencha NOME sem espaços nas pontas",""),IF(AND(C2&lt;&gt;"",OR(COUNTIF('DADOS_PROGRESSAO'!$C$2:$C$21,SUBSTITUTE(SUBSTITUTE(SUBSTITUTE(C2,"~","~~"),"*","~*"),"?","~?"))&gt;1,COUNTIF($AY$2:$AY$24,SUBSTITUTE(SUBSTITUTE(SUBSTITUTE(C2,"~","~~"),"*","~*"),"?","~?"))&gt;0,COUNTIF($AZ$2:$AZ$12,SUBSTITUTE(SUBSTITUTE(SUBSTITUTE(C2,"~","~~"),"*","~*"),"?","~?"))&gt;0)),"Nome repetido no livro ou custom",""),IF(COUNTIF($AN$2:$AN$6,D2)=0,"Escolha um atributo válido",""),IF(ISLOGICAL(E2),"","MESTRE VIU deve ser caixa de seleção")))</f>
        <v/>
      </c>
      <c r="K2">
        <f>IF('CONFIGURAÇÃO'!$AK$13="","",TEXTJOIN(" · ",TRUE,IF(OR(TRIM('CONFIGURAÇÃO'!$AK$13)&lt;&gt;'CONFIGURAÇÃO'!$AK$13,COUNTIF($BA$2:$BA$7,'CONFIGURAÇÃO'!$AK$13)&gt;0),"Nome de Caminho inválido ou repetido",""),IF(ISLOGICAL('CONFIGURAÇÃO'!$AO$11),"","MESTRE VIU deve ser caixa de seleção"),IF(IFERROR(AND(ISNUMBER('CONFIGURAÇÃO'!$AN$14),'CONFIGURAÇÃO'!$AN$14&gt;=0,MOD('CONFIGURAÇÃO'!$AN$14,1)=0),FALSE),"","VIDA INICIAL: use inteiro não negativo"),IF(IFERROR(AND(ISNUMBER('CONFIGURAÇÃO'!$AN$15),'CONFIGURAÇÃO'!$AN$15&gt;=0,MOD('CONFIGURAÇÃO'!$AN$15,1)=0),FALSE),"","VIDA POR NÍVEL: use inteiro não negativo"),IF(IFERROR(AND(ISNUMBER('CONFIGURAÇÃO'!$AN$17),'CONFIGURAÇÃO'!$AN$17&gt;=0,MOD('CONFIGURAÇÃO'!$AN$17,1)=0),FALSE),"","PE POR NÍVEL: use inteiro não negativo"),IF(COUNTIF($AO$2:$AO$7,'CONFIGURAÇÃO'!$AN$16)=0,"Opção inválida: DADO DE VIDA",""),IF(COUNTIF($AN$2:$AN$6,'CONFIGURAÇÃO'!$AN$18)=0,"Opção inválida: ATRIBUTO NATURAL 1",""),IF(AND('CONFIGURAÇÃO'!$AN$19&lt;&gt;"",COUNTIF($AN$2:$AN$6,'CONFIGURAÇÃO'!$AN$19)=0),"Opção inválida: ATRIBUTO NATURAL 2",""),IF(COUNTIF($AP$2:$AP$3,'CONFIGURAÇÃO'!$AN$22)=0,"Opção inválida: TROCA PERÍCIAS POR ARMA",""),IF(COUNTIF($AQ$2:$AQ$3,'CONFIGURAÇÃO'!$AN$23)=0,"Opção inválida: TREINO DE ARMA",""),IF(COUNTIF('DADOS_PROGRESSAO'!$AG$2:$AG$34,'CONFIGURAÇÃO'!$AN$20)=0,"Escolha PERÍCIA FIXA 1",""),IF(COUNTIF('DADOS_PROGRESSAO'!$AG$2:$AG$34,'CONFIGURAÇÃO'!$AN$21)=0,"Escolha PERÍCIA FIXA 2",""),IF(AND('CONFIGURAÇÃO'!$AN$18&lt;&gt;"",'CONFIGURAÇÃO'!$AN$18='CONFIGURAÇÃO'!$AN$19),"ATRIBUTO NATURAL 1 e 2 devem ser distintos",""),IF(AND('CONFIGURAÇÃO'!$AN$20&lt;&gt;"",'CONFIGURAÇÃO'!$AN$20='CONFIGURAÇÃO'!$AN$21),"PERÍCIA FIXA 1 e 2 devem ser distintos",""),IF(AND('CONFIGURAÇÃO'!$AN$23="Categorias selecionadas",'CONFIGURAÇÃO'!$AN$24&lt;&gt;"",OR(COUNTIF($AR$2:$AR$14,'CONFIGURAÇÃO'!$AN$24)=0,COUNTIF('CONFIGURAÇÃO'!$AN$24:$AN$36,'CONFIGURAÇÃO'!$AN$24)&gt;1)),"Categoria de arma inválida ou repetida",""),IF(AND('CONFIGURAÇÃO'!$AN$23="Categorias selecionadas",'CONFIGURAÇÃO'!$AN$25&lt;&gt;"",OR(COUNTIF($AR$2:$AR$14,'CONFIGURAÇÃO'!$AN$25)=0,COUNTIF('CONFIGURAÇÃO'!$AN$24:$AN$36,'CONFIGURAÇÃO'!$AN$25)&gt;1)),"Categoria de arma inválida ou repetida",""),IF(AND('CONFIGURAÇÃO'!$AN$23="Categorias selecionadas",'CONFIGURAÇÃO'!$AN$26&lt;&gt;"",OR(COUNTIF($AR$2:$AR$14,'CONFIGURAÇÃO'!$AN$26)=0,COUNTIF('CONFIGURAÇÃO'!$AN$24:$AN$36,'CONFIGURAÇÃO'!$AN$26)&gt;1)),"Categoria de arma inválida ou repetida",""),IF(AND('CONFIGURAÇÃO'!$AN$23="Categorias selecionadas",'CONFIGURAÇÃO'!$AN$27&lt;&gt;"",OR(COUNTIF($AR$2:$AR$14,'CONFIGURAÇÃO'!$AN$27)=0,COUNTIF('CONFIGURAÇÃO'!$AN$24:$AN$36,'CONFIGURAÇÃO'!$AN$27)&gt;1)),"Categoria de arma inválida ou repetida",""),IF(AND('CONFIGURAÇÃO'!$AN$23="Categorias selecionadas",'CONFIGURAÇÃO'!$AN$28&lt;&gt;"",OR(COUNTIF($AR$2:$AR$14,'CONFIGURAÇÃO'!$AN$28)=0,COUNTIF('CONFIGURAÇÃO'!$AN$24:$AN$36,'CONFIGURAÇÃO'!$AN$28)&gt;1)),"Categoria de arma inválida ou repetida",""),IF(AND('CONFIGURAÇÃO'!$AN$23="Categorias selecionadas",'CONFIGURAÇÃO'!$AN$29&lt;&gt;"",OR(COUNTIF($AR$2:$AR$14,'CONFIGURAÇÃO'!$AN$29)=0,COUNTIF('CONFIGURAÇÃO'!$AN$24:$AN$36,'CONFIGURAÇÃO'!$AN$29)&gt;1)),"Categoria de arma inválida ou repetida",""),IF(AND('CONFIGURAÇÃO'!$AN$23="Categorias selecionadas",'CONFIGURAÇÃO'!$AN$30&lt;&gt;"",OR(COUNTIF($AR$2:$AR$14,'CONFIGURAÇÃO'!$AN$30)=0,COUNTIF('CONFIGURAÇÃO'!$AN$24:$AN$36,'CONFIGURAÇÃO'!$AN$30)&gt;1)),"Categoria de arma inválida ou repetida",""),IF(AND('CONFIGURAÇÃO'!$AN$23="Categorias selecionadas",'CONFIGURAÇÃO'!$AN$31&lt;&gt;"",OR(COUNTIF($AR$2:$AR$14,'CONFIGURAÇÃO'!$AN$31)=0,COUNTIF('CONFIGURAÇÃO'!$AN$24:$AN$36,'CONFIGURAÇÃO'!$AN$31)&gt;1)),"Categoria de arma inválida ou repetida",""),IF(AND('CONFIGURAÇÃO'!$AN$23="Categorias selecionadas",'CONFIGURAÇÃO'!$AN$32&lt;&gt;"",OR(COUNTIF($AR$2:$AR$14,'CONFIGURAÇÃO'!$AN$32)=0,COUNTIF('CONFIGURAÇÃO'!$AN$24:$AN$36,'CONFIGURAÇÃO'!$AN$32)&gt;1)),"Categoria de arma inválida ou repetida",""),IF(AND('CONFIGURAÇÃO'!$AN$23="Categorias selecionadas",'CONFIGURAÇÃO'!$AN$33&lt;&gt;"",OR(COUNTIF($AR$2:$AR$14,'CONFIGURAÇÃO'!$AN$33)=0,COUNTIF('CONFIGURAÇÃO'!$AN$24:$AN$36,'CONFIGURAÇÃO'!$AN$33)&gt;1)),"Categoria de arma inválida ou repetida",""),IF(AND('CONFIGURAÇÃO'!$AN$23="Categorias selecionadas",'CONFIGURAÇÃO'!$AN$34&lt;&gt;"",OR(COUNTIF($AR$2:$AR$14,'CONFIGURAÇÃO'!$AN$34)=0,COUNTIF('CONFIGURAÇÃO'!$AN$24:$AN$36,'CONFIGURAÇÃO'!$AN$34)&gt;1)),"Categoria de arma inválida ou repetida",""),IF(AND('CONFIGURAÇÃO'!$AN$23="Categorias selecionadas",'CONFIGURAÇÃO'!$AN$35&lt;&gt;"",OR(COUNTIF($AR$2:$AR$14,'CONFIGURAÇÃO'!$AN$35)=0,COUNTIF('CONFIGURAÇÃO'!$AN$24:$AN$36,'CONFIGURAÇÃO'!$AN$35)&gt;1)),"Categoria de arma inválida ou repetida",""),IF(AND('CONFIGURAÇÃO'!$AN$23="Categorias selecionadas",'CONFIGURAÇÃO'!$AN$36&lt;&gt;"",OR(COUNTIF($AR$2:$AR$14,'CONFIGURAÇÃO'!$AN$36)=0,COUNTIF('CONFIGURAÇÃO'!$AN$24:$AN$36,'CONFIGURAÇÃO'!$AN$36)&gt;1)),"Categoria de arma inválida ou repetida","")))</f>
        <v/>
      </c>
      <c r="M2" t="inlineStr">
        <is>
          <t>Bastião</t>
        </is>
      </c>
      <c r="N2" t="inlineStr">
        <is>
          <t>Força · Constituição</t>
        </is>
      </c>
      <c r="O2" t="n">
        <v>12</v>
      </c>
      <c r="P2" t="n">
        <v>7</v>
      </c>
      <c r="Q2" t="n">
        <v>4</v>
      </c>
      <c r="R2" t="inlineStr">
        <is>
          <t>Atletismo</t>
        </is>
      </c>
      <c r="S2" t="inlineStr">
        <is>
          <t>Provocar</t>
        </is>
      </c>
      <c r="T2" t="n">
        <v>12</v>
      </c>
      <c r="U2" t="inlineStr">
        <is>
          <t>Não</t>
        </is>
      </c>
      <c r="V2" t="inlineStr">
        <is>
          <t>Todas</t>
        </is>
      </c>
      <c r="AA2" t="inlineStr">
        <is>
          <t>Muro</t>
        </is>
      </c>
      <c r="AB2" t="inlineStr">
        <is>
          <t>Bastião</t>
        </is>
      </c>
      <c r="AC2" t="inlineStr">
        <is>
          <t>Muro</t>
        </is>
      </c>
      <c r="AG2" t="inlineStr">
        <is>
          <t>Atletismo</t>
        </is>
      </c>
      <c r="AH2" t="inlineStr">
        <is>
          <t>Força</t>
        </is>
      </c>
      <c r="AJ2" t="inlineStr">
        <is>
          <t>Condução</t>
        </is>
      </c>
      <c r="AK2" t="inlineStr"/>
      <c r="AM2" t="inlineStr">
        <is>
          <t>Perícia</t>
        </is>
      </c>
      <c r="AN2" t="inlineStr">
        <is>
          <t>Força</t>
        </is>
      </c>
      <c r="AO2" t="inlineStr">
        <is>
          <t>d4</t>
        </is>
      </c>
      <c r="AP2" t="inlineStr">
        <is>
          <t>Sim</t>
        </is>
      </c>
      <c r="AQ2" t="inlineStr">
        <is>
          <t>Todas</t>
        </is>
      </c>
      <c r="AR2" t="inlineStr">
        <is>
          <t>Arma de Fogo</t>
        </is>
      </c>
      <c r="AS2">
        <f>$M2</f>
        <v/>
      </c>
      <c r="AT2" t="inlineStr">
        <is>
          <t>Escolha sua Trilha</t>
        </is>
      </c>
      <c r="AU2" t="inlineStr">
        <is>
          <t>Nenhuma</t>
        </is>
      </c>
      <c r="AV2">
        <f>AG25</f>
        <v/>
      </c>
      <c r="AW2">
        <f>AJ13</f>
        <v/>
      </c>
      <c r="AY2" t="inlineStr">
        <is>
          <t>Atletismo</t>
        </is>
      </c>
      <c r="AZ2" t="inlineStr">
        <is>
          <t>Condução</t>
        </is>
      </c>
      <c r="BA2" t="inlineStr">
        <is>
          <t>Bastião</t>
        </is>
      </c>
      <c r="BB2" t="inlineStr">
        <is>
          <t>Muro</t>
        </is>
      </c>
      <c r="BD2">
        <f>ADDRESS(ROW('FICHA'!$F$439),COLUMN('FICHA'!$F$439),4)</f>
        <v/>
      </c>
      <c r="BE2" t="inlineStr">
        <is>
          <t>Caminho</t>
        </is>
      </c>
      <c r="BF2" t="n">
        <v>1</v>
      </c>
      <c r="BG2">
        <f>""</f>
        <v/>
      </c>
      <c r="BH2">
        <f>""</f>
        <v/>
      </c>
      <c r="BK2">
        <f>IF(AND('FICHA'!$F$439&lt;&gt;"",COUNTIF('DADOS_PROGRESSAO'!$AV$2:$AV$11,SUBSTITUTE(SUBSTITUTE(SUBSTITUTE('FICHA'!$F$439,"~","~~"),"*","~*"),"?","~?"))=1,(COUNTIF('FICHA'!$F$439:$F$450,SUBSTITUTE(SUBSTITUTE(SUBSTITUTE('FICHA'!$F$439,"~","~~"),"*","~*"),"?","~?"))+COUNTIF('FICHA'!$Z$439:$Z$449,SUBSTITUTE(SUBSTITUTE(SUBSTITUTE('FICHA'!$F$439,"~","~~"),"*","~*"),"?","~?")))=1),N('FICHA'!$D$439),0)</f>
        <v/>
      </c>
      <c r="BL2">
        <f>IF(AND('FICHA'!$F$439&lt;&gt;"",COUNTIF('DADOS_PROGRESSAO'!$AV$2:$AV$11,SUBSTITUTE(SUBSTITUTE(SUBSTITUTE('FICHA'!$F$439,"~","~~"),"*","~*"),"?","~?"))=1,(COUNTIF('FICHA'!$F$439:$F$450,SUBSTITUTE(SUBSTITUTE(SUBSTITUTE('FICHA'!$F$439,"~","~~"),"*","~*"),"?","~?"))+COUNTIF('FICHA'!$Z$439:$Z$449,SUBSTITUTE(SUBSTITUTE(SUBSTITUTE('FICHA'!$F$439,"~","~~"),"*","~*"),"?","~?")))=1),N('FICHA'!$E$439),0)</f>
        <v/>
      </c>
    </row>
    <row r="3">
      <c r="A3" t="n">
        <v>2</v>
      </c>
      <c r="B3">
        <f>IF(ISBLANK('CONFIGURAÇÃO'!$BJ$11),"",'CONFIGURAÇÃO'!$BJ$11)</f>
        <v/>
      </c>
      <c r="C3">
        <f>IF(ISBLANK('CONFIGURAÇÃO'!$BJ$13),"",'CONFIGURAÇÃO'!$BJ$13)</f>
        <v/>
      </c>
      <c r="D3">
        <f>IF(ISBLANK('CONFIGURAÇÃO'!$BM$14),"",'CONFIGURAÇÃO'!$BM$14)</f>
        <v/>
      </c>
      <c r="E3">
        <f>IF(ISBLANK('CONFIGURAÇÃO'!$BN$11),"",'CONFIGURAÇÃO'!$BN$11)</f>
        <v/>
      </c>
      <c r="F3">
        <f>IF(ISBLANK('CONFIGURAÇÃO'!$BJ$16),"",'CONFIGURAÇÃO'!$BJ$16)</f>
        <v/>
      </c>
      <c r="G3">
        <f>IF(AND(C3="",D3="",F3="",E3=FALSE,OR(B3="",B3="Perícia")),"",TEXTJOIN(" · ",TRUE,IF(B3&lt;&gt;"Perícia","Tipo incompatível com o cadastro",""),IF(OR(C3="",TRIM(C3)&lt;&gt;C3),"Preencha NOME sem espaços nas pontas",""),IF(AND(C3&lt;&gt;"",OR(COUNTIF('DADOS_PROGRESSAO'!$C$2:$C$21,SUBSTITUTE(SUBSTITUTE(SUBSTITUTE(C3,"~","~~"),"*","~*"),"?","~?"))&gt;1,COUNTIF($AY$2:$AY$24,SUBSTITUTE(SUBSTITUTE(SUBSTITUTE(C3,"~","~~"),"*","~*"),"?","~?"))&gt;0,COUNTIF($AZ$2:$AZ$12,SUBSTITUTE(SUBSTITUTE(SUBSTITUTE(C3,"~","~~"),"*","~*"),"?","~?"))&gt;0)),"Nome repetido no livro ou custom",""),IF(COUNTIF($AN$2:$AN$6,D3)=0,"Escolha um atributo válido",""),IF(ISLOGICAL(E3),"","MESTRE VIU deve ser caixa de seleção")))</f>
        <v/>
      </c>
      <c r="K3">
        <f>IF('CONFIGURAÇÃO'!$AS$13="","",TEXTJOIN(" · ",TRUE,IF(OR(TRIM('CONFIGURAÇÃO'!$AS$13)&lt;&gt;'CONFIGURAÇÃO'!$AS$13,COUNTIF($BB$2:$BB$21,'CONFIGURAÇÃO'!$AS$13)&gt;0),"Nome de Trilha inválido ou repetido",""),IF(COUNTIF($AS$2:$AS$8,'CONFIGURAÇÃO'!$AV$14)=0,"Escolha um Caminho válido",""),IF(ISLOGICAL('CONFIGURAÇÃO'!$AW$11),"","MESTRE VIU deve ser caixa de seleção"),IF(COUNTIF($AU$2:$AU$22,'CONFIGURAÇÃO'!$AV$15)=0,"Escolha BASE DO LIVRO ou Nenhuma","")))</f>
        <v/>
      </c>
      <c r="M3" t="inlineStr">
        <is>
          <t>Vanguarda</t>
        </is>
      </c>
      <c r="N3" t="inlineStr">
        <is>
          <t>Destreza · Força</t>
        </is>
      </c>
      <c r="O3" t="n">
        <v>8</v>
      </c>
      <c r="P3" t="n">
        <v>5</v>
      </c>
      <c r="Q3" t="n">
        <v>5</v>
      </c>
      <c r="R3" t="inlineStr">
        <is>
          <t>Acrobacia</t>
        </is>
      </c>
      <c r="S3" t="inlineStr">
        <is>
          <t>Percepção</t>
        </is>
      </c>
      <c r="T3" t="n">
        <v>8</v>
      </c>
      <c r="U3" t="inlineStr">
        <is>
          <t>Não</t>
        </is>
      </c>
      <c r="V3" t="inlineStr">
        <is>
          <t>Todas</t>
        </is>
      </c>
      <c r="AA3" t="inlineStr">
        <is>
          <t>Punho</t>
        </is>
      </c>
      <c r="AB3" t="inlineStr">
        <is>
          <t>Bastião</t>
        </is>
      </c>
      <c r="AC3" t="inlineStr">
        <is>
          <t>Punho</t>
        </is>
      </c>
      <c r="AG3" t="inlineStr">
        <is>
          <t>Acrobacia</t>
        </is>
      </c>
      <c r="AH3" t="inlineStr">
        <is>
          <t>Destreza</t>
        </is>
      </c>
      <c r="AJ3" t="inlineStr">
        <is>
          <t>Arrombamento</t>
        </is>
      </c>
      <c r="AK3" t="inlineStr"/>
      <c r="AM3" t="inlineStr">
        <is>
          <t>Ofício</t>
        </is>
      </c>
      <c r="AN3" t="inlineStr">
        <is>
          <t>Destreza</t>
        </is>
      </c>
      <c r="AO3" t="inlineStr">
        <is>
          <t>d6</t>
        </is>
      </c>
      <c r="AP3" t="inlineStr">
        <is>
          <t>Não</t>
        </is>
      </c>
      <c r="AQ3" t="inlineStr">
        <is>
          <t>Categorias selecionadas</t>
        </is>
      </c>
      <c r="AR3" t="inlineStr">
        <is>
          <t>Armas Longas</t>
        </is>
      </c>
      <c r="AS3">
        <f>$M3</f>
        <v/>
      </c>
      <c r="AT3">
        <f>IFERROR(FILTER($AA$2:$AA$22,$AB$2:$AB$22='FICHA'!$D$11),"")</f>
        <v/>
      </c>
      <c r="AU3" t="inlineStr">
        <is>
          <t>Muro</t>
        </is>
      </c>
      <c r="AV3">
        <f>AG26</f>
        <v/>
      </c>
      <c r="AW3">
        <f>AJ14</f>
        <v/>
      </c>
      <c r="AY3" t="inlineStr">
        <is>
          <t>Acrobacia</t>
        </is>
      </c>
      <c r="AZ3" t="inlineStr">
        <is>
          <t>Arrombamento</t>
        </is>
      </c>
      <c r="BA3" t="inlineStr">
        <is>
          <t>Vanguarda</t>
        </is>
      </c>
      <c r="BB3" t="inlineStr">
        <is>
          <t>Punho</t>
        </is>
      </c>
      <c r="BD3">
        <f>ADDRESS(ROW('FICHA'!$F$440),COLUMN('FICHA'!$F$440),4)</f>
        <v/>
      </c>
      <c r="BE3" t="inlineStr">
        <is>
          <t>Caminho</t>
        </is>
      </c>
      <c r="BF3" t="n">
        <v>2</v>
      </c>
      <c r="BG3">
        <f>IF(AND($K$7=1,'CONFIGURAÇÃO'!$AL$50&lt;&gt;""),'CONFIGURAÇÃO'!$AL$50,"")</f>
        <v/>
      </c>
      <c r="BH3">
        <f>IF(OR(BG3="",'CONFIGURAÇÃO'!$AK$51=""),"",'CONFIGURAÇÃO'!$AK$51)</f>
        <v/>
      </c>
      <c r="BK3">
        <f>IF(AND('FICHA'!$F$440&lt;&gt;"",COUNTIF('DADOS_PROGRESSAO'!$AV$2:$AV$11,SUBSTITUTE(SUBSTITUTE(SUBSTITUTE('FICHA'!$F$440,"~","~~"),"*","~*"),"?","~?"))=1,(COUNTIF('FICHA'!$F$439:$F$450,SUBSTITUTE(SUBSTITUTE(SUBSTITUTE('FICHA'!$F$440,"~","~~"),"*","~*"),"?","~?"))+COUNTIF('FICHA'!$Z$439:$Z$449,SUBSTITUTE(SUBSTITUTE(SUBSTITUTE('FICHA'!$F$440,"~","~~"),"*","~*"),"?","~?")))=1),N('FICHA'!$D$440),0)</f>
        <v/>
      </c>
      <c r="BL3">
        <f>IF(AND('FICHA'!$F$440&lt;&gt;"",COUNTIF('DADOS_PROGRESSAO'!$AV$2:$AV$11,SUBSTITUTE(SUBSTITUTE(SUBSTITUTE('FICHA'!$F$440,"~","~~"),"*","~*"),"?","~?"))=1,(COUNTIF('FICHA'!$F$439:$F$450,SUBSTITUTE(SUBSTITUTE(SUBSTITUTE('FICHA'!$F$440,"~","~~"),"*","~*"),"?","~?"))+COUNTIF('FICHA'!$Z$439:$Z$449,SUBSTITUTE(SUBSTITUTE(SUBSTITUTE('FICHA'!$F$440,"~","~~"),"*","~*"),"?","~?")))=1),N('FICHA'!$E$440),0)</f>
        <v/>
      </c>
    </row>
    <row r="4">
      <c r="A4" t="n">
        <v>3</v>
      </c>
      <c r="B4">
        <f>IF(ISBLANK('CONFIGURAÇÃO'!$BB$25),"",'CONFIGURAÇÃO'!$BB$25)</f>
        <v/>
      </c>
      <c r="C4">
        <f>IF(ISBLANK('CONFIGURAÇÃO'!$BB$27),"",'CONFIGURAÇÃO'!$BB$27)</f>
        <v/>
      </c>
      <c r="D4">
        <f>IF(ISBLANK('CONFIGURAÇÃO'!$BE$28),"",'CONFIGURAÇÃO'!$BE$28)</f>
        <v/>
      </c>
      <c r="E4">
        <f>IF(ISBLANK('CONFIGURAÇÃO'!$BF$25),"",'CONFIGURAÇÃO'!$BF$25)</f>
        <v/>
      </c>
      <c r="F4">
        <f>IF(ISBLANK('CONFIGURAÇÃO'!$BB$30),"",'CONFIGURAÇÃO'!$BB$30)</f>
        <v/>
      </c>
      <c r="G4">
        <f>IF(AND(C4="",D4="",F4="",E4=FALSE,OR(B4="",B4="Perícia")),"",TEXTJOIN(" · ",TRUE,IF(B4&lt;&gt;"Perícia","Tipo incompatível com o cadastro",""),IF(OR(C4="",TRIM(C4)&lt;&gt;C4),"Preencha NOME sem espaços nas pontas",""),IF(AND(C4&lt;&gt;"",OR(COUNTIF('DADOS_PROGRESSAO'!$C$2:$C$21,SUBSTITUTE(SUBSTITUTE(SUBSTITUTE(C4,"~","~~"),"*","~*"),"?","~?"))&gt;1,COUNTIF($AY$2:$AY$24,SUBSTITUTE(SUBSTITUTE(SUBSTITUTE(C4,"~","~~"),"*","~*"),"?","~?"))&gt;0,COUNTIF($AZ$2:$AZ$12,SUBSTITUTE(SUBSTITUTE(SUBSTITUTE(C4,"~","~~"),"*","~*"),"?","~?"))&gt;0)),"Nome repetido no livro ou custom",""),IF(COUNTIF($AN$2:$AN$6,D4)=0,"Escolha um atributo válido",""),IF(ISLOGICAL(E4),"","MESTRE VIU deve ser caixa de seleção")))</f>
        <v/>
      </c>
      <c r="K4">
        <f>IFERROR(IF(VLOOKUP('FICHA'!$N$11,$AA$2:$AC$22,3,FALSE)="Nenhuma","",VLOOKUP('FICHA'!$N$11,$AA$2:$AC$22,3,FALSE)),"")</f>
        <v/>
      </c>
      <c r="M4" t="inlineStr">
        <is>
          <t>Guia</t>
        </is>
      </c>
      <c r="N4" t="inlineStr">
        <is>
          <t>Essência</t>
        </is>
      </c>
      <c r="O4" t="n">
        <v>8</v>
      </c>
      <c r="P4" t="n">
        <v>5</v>
      </c>
      <c r="Q4" t="n">
        <v>5</v>
      </c>
      <c r="R4" t="inlineStr">
        <is>
          <t>Persuasão</t>
        </is>
      </c>
      <c r="S4" t="inlineStr">
        <is>
          <t>Medicina</t>
        </is>
      </c>
      <c r="T4" t="n">
        <v>8</v>
      </c>
      <c r="U4" t="inlineStr">
        <is>
          <t>Sim</t>
        </is>
      </c>
      <c r="V4" t="inlineStr">
        <is>
          <t>Categorias selecionadas</t>
        </is>
      </c>
      <c r="AA4" t="inlineStr">
        <is>
          <t>Combatente Amaldiçoado</t>
        </is>
      </c>
      <c r="AB4" t="inlineStr">
        <is>
          <t>Bastião</t>
        </is>
      </c>
      <c r="AC4" t="inlineStr">
        <is>
          <t>Combatente Amaldiçoado</t>
        </is>
      </c>
      <c r="AG4" t="inlineStr">
        <is>
          <t>Furtividade</t>
        </is>
      </c>
      <c r="AH4" t="inlineStr">
        <is>
          <t>Destreza</t>
        </is>
      </c>
      <c r="AJ4" t="inlineStr">
        <is>
          <t>Herbalismo</t>
        </is>
      </c>
      <c r="AK4" t="inlineStr"/>
      <c r="AN4" t="inlineStr">
        <is>
          <t>Constituição</t>
        </is>
      </c>
      <c r="AO4" t="inlineStr">
        <is>
          <t>d8</t>
        </is>
      </c>
      <c r="AR4" t="inlineStr">
        <is>
          <t>Arremesso</t>
        </is>
      </c>
      <c r="AS4">
        <f>$M4</f>
        <v/>
      </c>
      <c r="AU4" t="inlineStr">
        <is>
          <t>Punho</t>
        </is>
      </c>
      <c r="AV4">
        <f>AG27</f>
        <v/>
      </c>
      <c r="AW4">
        <f>AJ15</f>
        <v/>
      </c>
      <c r="AY4" t="inlineStr">
        <is>
          <t>Furtividade</t>
        </is>
      </c>
      <c r="AZ4" t="inlineStr">
        <is>
          <t>Herbalismo</t>
        </is>
      </c>
      <c r="BA4" t="inlineStr">
        <is>
          <t>Guia</t>
        </is>
      </c>
      <c r="BB4" t="inlineStr">
        <is>
          <t>Combatente Amaldiçoado</t>
        </is>
      </c>
      <c r="BD4">
        <f>ADDRESS(ROW('FICHA'!$F$441),COLUMN('FICHA'!$F$441),4)</f>
        <v/>
      </c>
      <c r="BE4" t="inlineStr">
        <is>
          <t>Caminho</t>
        </is>
      </c>
      <c r="BF4" t="n">
        <v>3</v>
      </c>
      <c r="BG4">
        <f>""</f>
        <v/>
      </c>
      <c r="BH4">
        <f>""</f>
        <v/>
      </c>
      <c r="BK4">
        <f>IF(AND('FICHA'!$F$441&lt;&gt;"",COUNTIF('DADOS_PROGRESSAO'!$AV$2:$AV$11,SUBSTITUTE(SUBSTITUTE(SUBSTITUTE('FICHA'!$F$441,"~","~~"),"*","~*"),"?","~?"))=1,(COUNTIF('FICHA'!$F$439:$F$450,SUBSTITUTE(SUBSTITUTE(SUBSTITUTE('FICHA'!$F$441,"~","~~"),"*","~*"),"?","~?"))+COUNTIF('FICHA'!$Z$439:$Z$449,SUBSTITUTE(SUBSTITUTE(SUBSTITUTE('FICHA'!$F$441,"~","~~"),"*","~*"),"?","~?")))=1),N('FICHA'!$D$441),0)</f>
        <v/>
      </c>
      <c r="BL4">
        <f>IF(AND('FICHA'!$F$441&lt;&gt;"",COUNTIF('DADOS_PROGRESSAO'!$AV$2:$AV$11,SUBSTITUTE(SUBSTITUTE(SUBSTITUTE('FICHA'!$F$441,"~","~~"),"*","~*"),"?","~?"))=1,(COUNTIF('FICHA'!$F$439:$F$450,SUBSTITUTE(SUBSTITUTE(SUBSTITUTE('FICHA'!$F$441,"~","~~"),"*","~*"),"?","~?"))+COUNTIF('FICHA'!$Z$439:$Z$449,SUBSTITUTE(SUBSTITUTE(SUBSTITUTE('FICHA'!$F$441,"~","~~"),"*","~*"),"?","~?")))=1),N('FICHA'!$E$441),0)</f>
        <v/>
      </c>
    </row>
    <row r="5">
      <c r="A5" t="n">
        <v>4</v>
      </c>
      <c r="B5">
        <f>IF(ISBLANK('CONFIGURAÇÃO'!$BJ$25),"",'CONFIGURAÇÃO'!$BJ$25)</f>
        <v/>
      </c>
      <c r="C5">
        <f>IF(ISBLANK('CONFIGURAÇÃO'!$BJ$27),"",'CONFIGURAÇÃO'!$BJ$27)</f>
        <v/>
      </c>
      <c r="D5">
        <f>IF(ISBLANK('CONFIGURAÇÃO'!$BM$28),"",'CONFIGURAÇÃO'!$BM$28)</f>
        <v/>
      </c>
      <c r="E5">
        <f>IF(ISBLANK('CONFIGURAÇÃO'!$BN$25),"",'CONFIGURAÇÃO'!$BN$25)</f>
        <v/>
      </c>
      <c r="F5">
        <f>IF(ISBLANK('CONFIGURAÇÃO'!$BJ$30),"",'CONFIGURAÇÃO'!$BJ$30)</f>
        <v/>
      </c>
      <c r="G5">
        <f>IF(AND(C5="",D5="",F5="",E5=FALSE,OR(B5="",B5="Perícia")),"",TEXTJOIN(" · ",TRUE,IF(B5&lt;&gt;"Perícia","Tipo incompatível com o cadastro",""),IF(OR(C5="",TRIM(C5)&lt;&gt;C5),"Preencha NOME sem espaços nas pontas",""),IF(AND(C5&lt;&gt;"",OR(COUNTIF('DADOS_PROGRESSAO'!$C$2:$C$21,SUBSTITUTE(SUBSTITUTE(SUBSTITUTE(C5,"~","~~"),"*","~*"),"?","~?"))&gt;1,COUNTIF($AY$2:$AY$24,SUBSTITUTE(SUBSTITUTE(SUBSTITUTE(C5,"~","~~"),"*","~*"),"?","~?"))&gt;0,COUNTIF($AZ$2:$AZ$12,SUBSTITUTE(SUBSTITUTE(SUBSTITUTE(C5,"~","~~"),"*","~*"),"?","~?"))&gt;0)),"Nome repetido no livro ou custom",""),IF(COUNTIF($AN$2:$AN$6,D5)=0,"Escolha um atributo válido",""),IF(ISLOGICAL(E5),"","MESTRE VIU deve ser caixa de seleção")))</f>
        <v/>
      </c>
      <c r="K5">
        <f>IFERROR(VLOOKUP('FICHA'!$D$11,$M$2:$V$8,9,FALSE),"Não")</f>
        <v/>
      </c>
      <c r="M5" t="inlineStr">
        <is>
          <t>Emanador</t>
        </is>
      </c>
      <c r="N5" t="inlineStr">
        <is>
          <t>Inteligência · Essência</t>
        </is>
      </c>
      <c r="O5" t="n">
        <v>6</v>
      </c>
      <c r="P5" t="n">
        <v>4</v>
      </c>
      <c r="Q5" t="n">
        <v>6</v>
      </c>
      <c r="R5" t="inlineStr">
        <is>
          <t>Ocultismo</t>
        </is>
      </c>
      <c r="S5" t="inlineStr">
        <is>
          <t>Investigação</t>
        </is>
      </c>
      <c r="T5" t="n">
        <v>6</v>
      </c>
      <c r="U5" t="inlineStr">
        <is>
          <t>Sim</t>
        </is>
      </c>
      <c r="V5" t="inlineStr">
        <is>
          <t>Categorias selecionadas</t>
        </is>
      </c>
      <c r="AA5" t="inlineStr">
        <is>
          <t>Estocada</t>
        </is>
      </c>
      <c r="AB5" t="inlineStr">
        <is>
          <t>Vanguarda</t>
        </is>
      </c>
      <c r="AC5" t="inlineStr">
        <is>
          <t>Estocada</t>
        </is>
      </c>
      <c r="AG5" t="inlineStr">
        <is>
          <t>Pontaria</t>
        </is>
      </c>
      <c r="AH5" t="inlineStr">
        <is>
          <t>Destreza</t>
        </is>
      </c>
      <c r="AJ5" t="inlineStr">
        <is>
          <t>Forja</t>
        </is>
      </c>
      <c r="AK5" t="inlineStr"/>
      <c r="AN5" t="inlineStr">
        <is>
          <t>Inteligência</t>
        </is>
      </c>
      <c r="AO5" t="inlineStr">
        <is>
          <t>d10</t>
        </is>
      </c>
      <c r="AR5" t="inlineStr">
        <is>
          <t>Balestra</t>
        </is>
      </c>
      <c r="AS5">
        <f>$M5</f>
        <v/>
      </c>
      <c r="AU5" t="inlineStr">
        <is>
          <t>Combatente Amaldiçoado</t>
        </is>
      </c>
      <c r="AV5">
        <f>AG28</f>
        <v/>
      </c>
      <c r="AW5">
        <f>AJ16</f>
        <v/>
      </c>
      <c r="AY5" t="inlineStr">
        <is>
          <t>Pontaria</t>
        </is>
      </c>
      <c r="AZ5" t="inlineStr">
        <is>
          <t>Forja</t>
        </is>
      </c>
      <c r="BA5" t="inlineStr">
        <is>
          <t>Emanador</t>
        </is>
      </c>
      <c r="BB5" t="inlineStr">
        <is>
          <t>Estocada</t>
        </is>
      </c>
      <c r="BD5">
        <f>ADDRESS(ROW('FICHA'!$F$442),COLUMN('FICHA'!$F$442),4)</f>
        <v/>
      </c>
      <c r="BE5" t="inlineStr">
        <is>
          <t>Caminho</t>
        </is>
      </c>
      <c r="BF5" t="n">
        <v>4</v>
      </c>
      <c r="BG5">
        <f>""</f>
        <v/>
      </c>
      <c r="BH5">
        <f>""</f>
        <v/>
      </c>
      <c r="BK5">
        <f>IF(AND('FICHA'!$F$442&lt;&gt;"",COUNTIF('DADOS_PROGRESSAO'!$AV$2:$AV$11,SUBSTITUTE(SUBSTITUTE(SUBSTITUTE('FICHA'!$F$442,"~","~~"),"*","~*"),"?","~?"))=1,(COUNTIF('FICHA'!$F$439:$F$450,SUBSTITUTE(SUBSTITUTE(SUBSTITUTE('FICHA'!$F$442,"~","~~"),"*","~*"),"?","~?"))+COUNTIF('FICHA'!$Z$439:$Z$449,SUBSTITUTE(SUBSTITUTE(SUBSTITUTE('FICHA'!$F$442,"~","~~"),"*","~*"),"?","~?")))=1),N('FICHA'!$D$442),0)</f>
        <v/>
      </c>
      <c r="BL5">
        <f>IF(AND('FICHA'!$F$442&lt;&gt;"",COUNTIF('DADOS_PROGRESSAO'!$AV$2:$AV$11,SUBSTITUTE(SUBSTITUTE(SUBSTITUTE('FICHA'!$F$442,"~","~~"),"*","~*"),"?","~?"))=1,(COUNTIF('FICHA'!$F$439:$F$450,SUBSTITUTE(SUBSTITUTE(SUBSTITUTE('FICHA'!$F$442,"~","~~"),"*","~*"),"?","~?"))+COUNTIF('FICHA'!$Z$439:$Z$449,SUBSTITUTE(SUBSTITUTE(SUBSTITUTE('FICHA'!$F$442,"~","~~"),"*","~*"),"?","~?")))=1),N('FICHA'!$E$442),0)</f>
        <v/>
      </c>
    </row>
    <row r="6">
      <c r="A6" t="n">
        <v>5</v>
      </c>
      <c r="B6">
        <f>IF(ISBLANK('CONFIGURAÇÃO'!$BB$39),"",'CONFIGURAÇÃO'!$BB$39)</f>
        <v/>
      </c>
      <c r="C6">
        <f>IF(ISBLANK('CONFIGURAÇÃO'!$BB$41),"",'CONFIGURAÇÃO'!$BB$41)</f>
        <v/>
      </c>
      <c r="D6">
        <f>IF(ISBLANK('CONFIGURAÇÃO'!$BE$42),"",'CONFIGURAÇÃO'!$BE$42)</f>
        <v/>
      </c>
      <c r="E6">
        <f>IF(ISBLANK('CONFIGURAÇÃO'!$BF$39),"",'CONFIGURAÇÃO'!$BF$39)</f>
        <v/>
      </c>
      <c r="F6">
        <f>IF(ISBLANK('CONFIGURAÇÃO'!$BB$44),"",'CONFIGURAÇÃO'!$BB$44)</f>
        <v/>
      </c>
      <c r="G6">
        <f>IF(AND(C6="",D6="",F6="",E6=FALSE,OR(B6="",B6="Perícia")),"",TEXTJOIN(" · ",TRUE,IF(B6&lt;&gt;"Perícia","Tipo incompatível com o cadastro",""),IF(OR(C6="",TRIM(C6)&lt;&gt;C6),"Preencha NOME sem espaços nas pontas",""),IF(AND(C6&lt;&gt;"",OR(COUNTIF('DADOS_PROGRESSAO'!$C$2:$C$21,SUBSTITUTE(SUBSTITUTE(SUBSTITUTE(C6,"~","~~"),"*","~*"),"?","~?"))&gt;1,COUNTIF($AY$2:$AY$24,SUBSTITUTE(SUBSTITUTE(SUBSTITUTE(C6,"~","~~"),"*","~*"),"?","~?"))&gt;0,COUNTIF($AZ$2:$AZ$12,SUBSTITUTE(SUBSTITUTE(SUBSTITUTE(C6,"~","~~"),"*","~*"),"?","~?"))&gt;0)),"Nome repetido no livro ou custom",""),IF(COUNTIF($AN$2:$AN$6,D6)=0,"Escolha um atributo válido",""),IF(ISLOGICAL(E6),"","MESTRE VIU deve ser caixa de seleção")))</f>
        <v/>
      </c>
      <c r="K6">
        <f>IFERROR(VLOOKUP('FICHA'!$D$11,$M$2:$V$8,10,FALSE),"")</f>
        <v/>
      </c>
      <c r="M6" t="inlineStr">
        <is>
          <t>Evocador</t>
        </is>
      </c>
      <c r="N6" t="inlineStr">
        <is>
          <t>Inteligência · Essência</t>
        </is>
      </c>
      <c r="O6" t="n">
        <v>6</v>
      </c>
      <c r="P6" t="n">
        <v>4</v>
      </c>
      <c r="Q6" t="n">
        <v>6</v>
      </c>
      <c r="R6" t="inlineStr">
        <is>
          <t>Religião</t>
        </is>
      </c>
      <c r="S6" t="inlineStr">
        <is>
          <t>Lidar com Animais</t>
        </is>
      </c>
      <c r="T6" t="n">
        <v>6</v>
      </c>
      <c r="U6" t="inlineStr">
        <is>
          <t>Sim</t>
        </is>
      </c>
      <c r="V6" t="inlineStr">
        <is>
          <t>Categorias selecionadas</t>
        </is>
      </c>
      <c r="AA6" t="inlineStr">
        <is>
          <t>Batedor · Yumi</t>
        </is>
      </c>
      <c r="AB6" t="inlineStr">
        <is>
          <t>Vanguarda</t>
        </is>
      </c>
      <c r="AC6" t="inlineStr">
        <is>
          <t>Batedor · Yumi</t>
        </is>
      </c>
      <c r="AG6" t="inlineStr">
        <is>
          <t>Prestidigitação</t>
        </is>
      </c>
      <c r="AH6" t="inlineStr">
        <is>
          <t>Destreza</t>
        </is>
      </c>
      <c r="AJ6" t="inlineStr">
        <is>
          <t>Caligrafia</t>
        </is>
      </c>
      <c r="AK6" t="inlineStr"/>
      <c r="AN6" t="inlineStr">
        <is>
          <t>Essência</t>
        </is>
      </c>
      <c r="AO6" t="inlineStr">
        <is>
          <t>d12</t>
        </is>
      </c>
      <c r="AR6" t="inlineStr">
        <is>
          <t>Ceifa</t>
        </is>
      </c>
      <c r="AS6">
        <f>$M6</f>
        <v/>
      </c>
      <c r="AU6" t="inlineStr">
        <is>
          <t>Estocada</t>
        </is>
      </c>
      <c r="AV6">
        <f>AG29</f>
        <v/>
      </c>
      <c r="AW6">
        <f>AJ17</f>
        <v/>
      </c>
      <c r="AY6" t="inlineStr">
        <is>
          <t>Prestidigitação</t>
        </is>
      </c>
      <c r="AZ6" t="inlineStr">
        <is>
          <t>Caligrafia</t>
        </is>
      </c>
      <c r="BA6" t="inlineStr">
        <is>
          <t>Evocador</t>
        </is>
      </c>
      <c r="BB6" t="inlineStr">
        <is>
          <t>Batedor · Yumi</t>
        </is>
      </c>
      <c r="BD6">
        <f>ADDRESS(ROW('FICHA'!$F$443),COLUMN('FICHA'!$F$443),4)</f>
        <v/>
      </c>
      <c r="BE6" t="inlineStr">
        <is>
          <t>Caminho</t>
        </is>
      </c>
      <c r="BF6" t="n">
        <v>5</v>
      </c>
      <c r="BG6">
        <f>""</f>
        <v/>
      </c>
      <c r="BH6">
        <f>""</f>
        <v/>
      </c>
      <c r="BK6">
        <f>IF(AND('FICHA'!$F$443&lt;&gt;"",COUNTIF('DADOS_PROGRESSAO'!$AV$2:$AV$11,SUBSTITUTE(SUBSTITUTE(SUBSTITUTE('FICHA'!$F$443,"~","~~"),"*","~*"),"?","~?"))=1,(COUNTIF('FICHA'!$F$439:$F$450,SUBSTITUTE(SUBSTITUTE(SUBSTITUTE('FICHA'!$F$443,"~","~~"),"*","~*"),"?","~?"))+COUNTIF('FICHA'!$Z$439:$Z$449,SUBSTITUTE(SUBSTITUTE(SUBSTITUTE('FICHA'!$F$443,"~","~~"),"*","~*"),"?","~?")))=1),N('FICHA'!$D$443),0)</f>
        <v/>
      </c>
      <c r="BL6">
        <f>IF(AND('FICHA'!$F$443&lt;&gt;"",COUNTIF('DADOS_PROGRESSAO'!$AV$2:$AV$11,SUBSTITUTE(SUBSTITUTE(SUBSTITUTE('FICHA'!$F$443,"~","~~"),"*","~*"),"?","~?"))=1,(COUNTIF('FICHA'!$F$439:$F$450,SUBSTITUTE(SUBSTITUTE(SUBSTITUTE('FICHA'!$F$443,"~","~~"),"*","~*"),"?","~?"))+COUNTIF('FICHA'!$Z$439:$Z$449,SUBSTITUTE(SUBSTITUTE(SUBSTITUTE('FICHA'!$F$443,"~","~~"),"*","~*"),"?","~?")))=1),N('FICHA'!$E$443),0)</f>
        <v/>
      </c>
    </row>
    <row r="7">
      <c r="A7" t="n">
        <v>6</v>
      </c>
      <c r="B7">
        <f>IF(ISBLANK('CONFIGURAÇÃO'!$BJ$39),"",'CONFIGURAÇÃO'!$BJ$39)</f>
        <v/>
      </c>
      <c r="C7">
        <f>IF(ISBLANK('CONFIGURAÇÃO'!$BJ$41),"",'CONFIGURAÇÃO'!$BJ$41)</f>
        <v/>
      </c>
      <c r="D7">
        <f>IF(ISBLANK('CONFIGURAÇÃO'!$BM$42),"",'CONFIGURAÇÃO'!$BM$42)</f>
        <v/>
      </c>
      <c r="E7">
        <f>IF(ISBLANK('CONFIGURAÇÃO'!$BN$39),"",'CONFIGURAÇÃO'!$BN$39)</f>
        <v/>
      </c>
      <c r="F7">
        <f>IF(ISBLANK('CONFIGURAÇÃO'!$BJ$44),"",'CONFIGURAÇÃO'!$BJ$44)</f>
        <v/>
      </c>
      <c r="G7">
        <f>IF(AND(C7="",D7="",F7="",E7=FALSE,OR(B7="",B7="Perícia")),"",TEXTJOIN(" · ",TRUE,IF(B7&lt;&gt;"Perícia","Tipo incompatível com o cadastro",""),IF(OR(C7="",TRIM(C7)&lt;&gt;C7),"Preencha NOME sem espaços nas pontas",""),IF(AND(C7&lt;&gt;"",OR(COUNTIF('DADOS_PROGRESSAO'!$C$2:$C$21,SUBSTITUTE(SUBSTITUTE(SUBSTITUTE(C7,"~","~~"),"*","~*"),"?","~?"))&gt;1,COUNTIF($AY$2:$AY$24,SUBSTITUTE(SUBSTITUTE(SUBSTITUTE(C7,"~","~~"),"*","~*"),"?","~?"))&gt;0,COUNTIF($AZ$2:$AZ$12,SUBSTITUTE(SUBSTITUTE(SUBSTITUTE(C7,"~","~~"),"*","~*"),"?","~?"))&gt;0)),"Nome repetido no livro ou custom",""),IF(COUNTIF($AN$2:$AN$6,D7)=0,"Escolha um atributo válido",""),IF(ISLOGICAL(E7),"","MESTRE VIU deve ser caixa de seleção")))</f>
        <v/>
      </c>
      <c r="K7">
        <f>IF(AND('FICHA'!$D$11=$M$8,$M$8&lt;&gt;""),1,0)</f>
        <v/>
      </c>
      <c r="M7" t="inlineStr">
        <is>
          <t>Incursor</t>
        </is>
      </c>
      <c r="N7" t="inlineStr">
        <is>
          <t>Destreza · Força</t>
        </is>
      </c>
      <c r="O7" t="n">
        <v>6</v>
      </c>
      <c r="P7" t="n">
        <v>4</v>
      </c>
      <c r="Q7" t="n">
        <v>6</v>
      </c>
      <c r="R7" t="inlineStr">
        <is>
          <t>Acrobacia</t>
        </is>
      </c>
      <c r="S7" t="inlineStr">
        <is>
          <t>Intuição</t>
        </is>
      </c>
      <c r="T7" t="n">
        <v>6</v>
      </c>
      <c r="U7" t="inlineStr">
        <is>
          <t>Não</t>
        </is>
      </c>
      <c r="V7" t="inlineStr">
        <is>
          <t>Todas</t>
        </is>
      </c>
      <c r="AA7" t="inlineStr">
        <is>
          <t>Batedor · Besta</t>
        </is>
      </c>
      <c r="AB7" t="inlineStr">
        <is>
          <t>Vanguarda</t>
        </is>
      </c>
      <c r="AC7" t="inlineStr">
        <is>
          <t>Batedor · Besta</t>
        </is>
      </c>
      <c r="AG7" t="inlineStr">
        <is>
          <t>Investigação</t>
        </is>
      </c>
      <c r="AH7" t="inlineStr">
        <is>
          <t>Inteligência</t>
        </is>
      </c>
      <c r="AJ7" t="inlineStr">
        <is>
          <t>Burocracia</t>
        </is>
      </c>
      <c r="AK7" t="inlineStr"/>
      <c r="AO7" t="inlineStr">
        <is>
          <t>d20</t>
        </is>
      </c>
      <c r="AR7" t="inlineStr">
        <is>
          <t>Flexível</t>
        </is>
      </c>
      <c r="AS7">
        <f>$M7</f>
        <v/>
      </c>
      <c r="AU7" t="inlineStr">
        <is>
          <t>Batedor · Yumi</t>
        </is>
      </c>
      <c r="AV7">
        <f>AG30</f>
        <v/>
      </c>
      <c r="AW7">
        <f>AJ18</f>
        <v/>
      </c>
      <c r="AY7" t="inlineStr">
        <is>
          <t>Investigação</t>
        </is>
      </c>
      <c r="AZ7" t="inlineStr">
        <is>
          <t>Burocracia</t>
        </is>
      </c>
      <c r="BA7" t="inlineStr">
        <is>
          <t>Incursor</t>
        </is>
      </c>
      <c r="BB7" t="inlineStr">
        <is>
          <t>Batedor · Besta</t>
        </is>
      </c>
      <c r="BD7">
        <f>ADDRESS(ROW('FICHA'!$F$444),COLUMN('FICHA'!$F$444),4)</f>
        <v/>
      </c>
      <c r="BE7" t="inlineStr">
        <is>
          <t>Caminho</t>
        </is>
      </c>
      <c r="BF7" t="n">
        <v>6</v>
      </c>
      <c r="BG7">
        <f>""</f>
        <v/>
      </c>
      <c r="BH7">
        <f>""</f>
        <v/>
      </c>
      <c r="BK7">
        <f>IF(AND('FICHA'!$F$444&lt;&gt;"",COUNTIF('DADOS_PROGRESSAO'!$AV$2:$AV$11,SUBSTITUTE(SUBSTITUTE(SUBSTITUTE('FICHA'!$F$444,"~","~~"),"*","~*"),"?","~?"))=1,(COUNTIF('FICHA'!$F$439:$F$450,SUBSTITUTE(SUBSTITUTE(SUBSTITUTE('FICHA'!$F$444,"~","~~"),"*","~*"),"?","~?"))+COUNTIF('FICHA'!$Z$439:$Z$449,SUBSTITUTE(SUBSTITUTE(SUBSTITUTE('FICHA'!$F$444,"~","~~"),"*","~*"),"?","~?")))=1),N('FICHA'!$D$444),0)</f>
        <v/>
      </c>
      <c r="BL7">
        <f>IF(AND('FICHA'!$F$444&lt;&gt;"",COUNTIF('DADOS_PROGRESSAO'!$AV$2:$AV$11,SUBSTITUTE(SUBSTITUTE(SUBSTITUTE('FICHA'!$F$444,"~","~~"),"*","~*"),"?","~?"))=1,(COUNTIF('FICHA'!$F$439:$F$450,SUBSTITUTE(SUBSTITUTE(SUBSTITUTE('FICHA'!$F$444,"~","~~"),"*","~*"),"?","~?"))+COUNTIF('FICHA'!$Z$439:$Z$449,SUBSTITUTE(SUBSTITUTE(SUBSTITUTE('FICHA'!$F$444,"~","~~"),"*","~*"),"?","~?")))=1),N('FICHA'!$E$444),0)</f>
        <v/>
      </c>
    </row>
    <row r="8">
      <c r="A8" t="n">
        <v>7</v>
      </c>
      <c r="B8">
        <f>IF(ISBLANK('CONFIGURAÇÃO'!$BB$53),"",'CONFIGURAÇÃO'!$BB$53)</f>
        <v/>
      </c>
      <c r="C8">
        <f>IF(ISBLANK('CONFIGURAÇÃO'!$BB$55),"",'CONFIGURAÇÃO'!$BB$55)</f>
        <v/>
      </c>
      <c r="D8">
        <f>IF(ISBLANK('CONFIGURAÇÃO'!$BE$56),"",'CONFIGURAÇÃO'!$BE$56)</f>
        <v/>
      </c>
      <c r="E8">
        <f>IF(ISBLANK('CONFIGURAÇÃO'!$BF$53),"",'CONFIGURAÇÃO'!$BF$53)</f>
        <v/>
      </c>
      <c r="F8">
        <f>IF(ISBLANK('CONFIGURAÇÃO'!$BB$58),"",'CONFIGURAÇÃO'!$BB$58)</f>
        <v/>
      </c>
      <c r="G8">
        <f>IF(AND(C8="",D8="",F8="",E8=FALSE,OR(B8="",B8="Perícia")),"",TEXTJOIN(" · ",TRUE,IF(B8&lt;&gt;"Perícia","Tipo incompatível com o cadastro",""),IF(OR(C8="",TRIM(C8)&lt;&gt;C8),"Preencha NOME sem espaços nas pontas",""),IF(AND(C8&lt;&gt;"",OR(COUNTIF('DADOS_PROGRESSAO'!$C$2:$C$21,SUBSTITUTE(SUBSTITUTE(SUBSTITUTE(C8,"~","~~"),"*","~*"),"?","~?"))&gt;1,COUNTIF($AY$2:$AY$24,SUBSTITUTE(SUBSTITUTE(SUBSTITUTE(C8,"~","~~"),"*","~*"),"?","~?"))&gt;0,COUNTIF($AZ$2:$AZ$12,SUBSTITUTE(SUBSTITUTE(SUBSTITUTE(C8,"~","~~"),"*","~*"),"?","~?"))&gt;0)),"Nome repetido no livro ou custom",""),IF(COUNTIF($AN$2:$AN$6,D8)=0,"Escolha um atributo válido",""),IF(ISLOGICAL(E8),"","MESTRE VIU deve ser caixa de seleção")))</f>
        <v/>
      </c>
      <c r="K8">
        <f>IF(AND('FICHA'!$N$11=$AA$22,$AA$22&lt;&gt;""),1,0)</f>
        <v/>
      </c>
      <c r="M8">
        <f>IF(AND('CONFIGURAÇÃO'!$AK$13&lt;&gt;"",$K$2=""),'CONFIGURAÇÃO'!$AK$13,"")</f>
        <v/>
      </c>
      <c r="N8">
        <f>IF(AND('CONFIGURAÇÃO'!$AK$13&lt;&gt;"",$K$2=""),TEXTJOIN(" · ",TRUE,'CONFIGURAÇÃO'!$AN$18,'CONFIGURAÇÃO'!$AN$19),"")</f>
        <v/>
      </c>
      <c r="O8">
        <f>IF(AND('CONFIGURAÇÃO'!$AK$13&lt;&gt;"",$K$2=""),'CONFIGURAÇÃO'!$AN$14,"")</f>
        <v/>
      </c>
      <c r="P8">
        <f>IF(AND('CONFIGURAÇÃO'!$AK$13&lt;&gt;"",$K$2=""),'CONFIGURAÇÃO'!$AN$15,"")</f>
        <v/>
      </c>
      <c r="Q8">
        <f>IF(AND('CONFIGURAÇÃO'!$AK$13&lt;&gt;"",$K$2=""),'CONFIGURAÇÃO'!$AN$17,"")</f>
        <v/>
      </c>
      <c r="R8">
        <f>IF(AND('CONFIGURAÇÃO'!$AK$13&lt;&gt;"",$K$2=""),'CONFIGURAÇÃO'!$AN$20,"")</f>
        <v/>
      </c>
      <c r="S8">
        <f>IF(AND('CONFIGURAÇÃO'!$AK$13&lt;&gt;"",$K$2=""),'CONFIGURAÇÃO'!$AN$21,"")</f>
        <v/>
      </c>
      <c r="T8">
        <f>IF(AND('CONFIGURAÇÃO'!$AK$13&lt;&gt;"",$K$2=""),VALUE(SUBSTITUTE('CONFIGURAÇÃO'!$AN$16,"d","")),"")</f>
        <v/>
      </c>
      <c r="U8">
        <f>IF(AND('CONFIGURAÇÃO'!$AK$13&lt;&gt;"",$K$2=""),'CONFIGURAÇÃO'!$AN$22,"")</f>
        <v/>
      </c>
      <c r="V8">
        <f>IF(AND('CONFIGURAÇÃO'!$AK$13&lt;&gt;"",$K$2=""),'CONFIGURAÇÃO'!$AN$23,"")</f>
        <v/>
      </c>
      <c r="AA8" t="inlineStr">
        <is>
          <t>Batedor · Arma de Fogo</t>
        </is>
      </c>
      <c r="AB8" t="inlineStr">
        <is>
          <t>Vanguarda</t>
        </is>
      </c>
      <c r="AC8" t="inlineStr">
        <is>
          <t>Batedor · Arma de Fogo</t>
        </is>
      </c>
      <c r="AG8" t="inlineStr">
        <is>
          <t>Intuição</t>
        </is>
      </c>
      <c r="AH8" t="inlineStr">
        <is>
          <t>Inteligência</t>
        </is>
      </c>
      <c r="AJ8" t="inlineStr">
        <is>
          <t>Entalhador</t>
        </is>
      </c>
      <c r="AK8" t="inlineStr"/>
      <c r="AR8" t="inlineStr">
        <is>
          <t>Lâmina Curta</t>
        </is>
      </c>
      <c r="AS8">
        <f>$M8</f>
        <v/>
      </c>
      <c r="AU8" t="inlineStr">
        <is>
          <t>Batedor · Besta</t>
        </is>
      </c>
      <c r="AV8">
        <f>AG31</f>
        <v/>
      </c>
      <c r="AW8">
        <f>AJ19</f>
        <v/>
      </c>
      <c r="AY8" t="inlineStr">
        <is>
          <t>Intuição</t>
        </is>
      </c>
      <c r="AZ8" t="inlineStr">
        <is>
          <t>Entalhador</t>
        </is>
      </c>
      <c r="BB8" t="inlineStr">
        <is>
          <t>Batedor · Arma de Fogo</t>
        </is>
      </c>
      <c r="BD8">
        <f>ADDRESS(ROW('FICHA'!$F$445),COLUMN('FICHA'!$F$445),4)</f>
        <v/>
      </c>
      <c r="BE8" t="inlineStr">
        <is>
          <t>Caminho</t>
        </is>
      </c>
      <c r="BF8" t="n">
        <v>7</v>
      </c>
      <c r="BG8">
        <f>IF(AND($K$7=1,'CONFIGURAÇÃO'!$AL$53&lt;&gt;""),'CONFIGURAÇÃO'!$AL$53,"")</f>
        <v/>
      </c>
      <c r="BH8">
        <f>IF(OR(BG8="",'CONFIGURAÇÃO'!$AK$54=""),"",'CONFIGURAÇÃO'!$AK$54)</f>
        <v/>
      </c>
      <c r="BK8">
        <f>IF(AND('FICHA'!$F$445&lt;&gt;"",COUNTIF('DADOS_PROGRESSAO'!$AV$2:$AV$11,SUBSTITUTE(SUBSTITUTE(SUBSTITUTE('FICHA'!$F$445,"~","~~"),"*","~*"),"?","~?"))=1,(COUNTIF('FICHA'!$F$439:$F$450,SUBSTITUTE(SUBSTITUTE(SUBSTITUTE('FICHA'!$F$445,"~","~~"),"*","~*"),"?","~?"))+COUNTIF('FICHA'!$Z$439:$Z$449,SUBSTITUTE(SUBSTITUTE(SUBSTITUTE('FICHA'!$F$445,"~","~~"),"*","~*"),"?","~?")))=1),N('FICHA'!$D$445),0)</f>
        <v/>
      </c>
      <c r="BL8">
        <f>IF(AND('FICHA'!$F$445&lt;&gt;"",COUNTIF('DADOS_PROGRESSAO'!$AV$2:$AV$11,SUBSTITUTE(SUBSTITUTE(SUBSTITUTE('FICHA'!$F$445,"~","~~"),"*","~*"),"?","~?"))=1,(COUNTIF('FICHA'!$F$439:$F$450,SUBSTITUTE(SUBSTITUTE(SUBSTITUTE('FICHA'!$F$445,"~","~~"),"*","~*"),"?","~?"))+COUNTIF('FICHA'!$Z$439:$Z$449,SUBSTITUTE(SUBSTITUTE(SUBSTITUTE('FICHA'!$F$445,"~","~~"),"*","~*"),"?","~?")))=1),N('FICHA'!$E$445),0)</f>
        <v/>
      </c>
      <c r="BO8">
        <f>IF($M$8="","",'CONFIGURAÇÃO'!$AN$24)</f>
        <v/>
      </c>
      <c r="BP8">
        <f>IF($M$8="","",'CONFIGURAÇÃO'!$AN$25)</f>
        <v/>
      </c>
      <c r="BQ8">
        <f>IF($M$8="","",'CONFIGURAÇÃO'!$AN$26)</f>
        <v/>
      </c>
      <c r="BR8">
        <f>IF($M$8="","",'CONFIGURAÇÃO'!$AN$27)</f>
        <v/>
      </c>
      <c r="BS8">
        <f>IF($M$8="","",'CONFIGURAÇÃO'!$AN$28)</f>
        <v/>
      </c>
      <c r="BT8">
        <f>IF($M$8="","",'CONFIGURAÇÃO'!$AN$29)</f>
        <v/>
      </c>
      <c r="BU8">
        <f>IF($M$8="","",'CONFIGURAÇÃO'!$AN$30)</f>
        <v/>
      </c>
      <c r="BV8">
        <f>IF($M$8="","",'CONFIGURAÇÃO'!$AN$31)</f>
        <v/>
      </c>
      <c r="BW8">
        <f>IF($M$8="","",'CONFIGURAÇÃO'!$AN$32)</f>
        <v/>
      </c>
      <c r="BX8">
        <f>IF($M$8="","",'CONFIGURAÇÃO'!$AN$33)</f>
        <v/>
      </c>
      <c r="BY8">
        <f>IF($M$8="","",'CONFIGURAÇÃO'!$AN$34)</f>
        <v/>
      </c>
      <c r="BZ8">
        <f>IF($M$8="","",'CONFIGURAÇÃO'!$AN$35)</f>
        <v/>
      </c>
      <c r="CA8">
        <f>IF($M$8="","",'CONFIGURAÇÃO'!$AN$36)</f>
        <v/>
      </c>
    </row>
    <row r="9">
      <c r="A9" t="n">
        <v>8</v>
      </c>
      <c r="B9">
        <f>IF(ISBLANK('CONFIGURAÇÃO'!$BJ$53),"",'CONFIGURAÇÃO'!$BJ$53)</f>
        <v/>
      </c>
      <c r="C9">
        <f>IF(ISBLANK('CONFIGURAÇÃO'!$BJ$55),"",'CONFIGURAÇÃO'!$BJ$55)</f>
        <v/>
      </c>
      <c r="D9">
        <f>IF(ISBLANK('CONFIGURAÇÃO'!$BM$56),"",'CONFIGURAÇÃO'!$BM$56)</f>
        <v/>
      </c>
      <c r="E9">
        <f>IF(ISBLANK('CONFIGURAÇÃO'!$BN$53),"",'CONFIGURAÇÃO'!$BN$53)</f>
        <v/>
      </c>
      <c r="F9">
        <f>IF(ISBLANK('CONFIGURAÇÃO'!$BJ$58),"",'CONFIGURAÇÃO'!$BJ$58)</f>
        <v/>
      </c>
      <c r="G9">
        <f>IF(AND(C9="",D9="",F9="",E9=FALSE,OR(B9="",B9="Perícia")),"",TEXTJOIN(" · ",TRUE,IF(B9&lt;&gt;"Perícia","Tipo incompatível com o cadastro",""),IF(OR(C9="",TRIM(C9)&lt;&gt;C9),"Preencha NOME sem espaços nas pontas",""),IF(AND(C9&lt;&gt;"",OR(COUNTIF('DADOS_PROGRESSAO'!$C$2:$C$21,SUBSTITUTE(SUBSTITUTE(SUBSTITUTE(C9,"~","~~"),"*","~*"),"?","~?"))&gt;1,COUNTIF($AY$2:$AY$24,SUBSTITUTE(SUBSTITUTE(SUBSTITUTE(C9,"~","~~"),"*","~*"),"?","~?"))&gt;0,COUNTIF($AZ$2:$AZ$12,SUBSTITUTE(SUBSTITUTE(SUBSTITUTE(C9,"~","~~"),"*","~*"),"?","~?"))&gt;0)),"Nome repetido no livro ou custom",""),IF(COUNTIF($AN$2:$AN$6,D9)=0,"Escolha um atributo válido",""),IF(ISLOGICAL(E9),"","MESTRE VIU deve ser caixa de seleção")))</f>
        <v/>
      </c>
      <c r="K9">
        <f>IFERROR(VLOOKUP('FICHA'!$D$11,$M$2:$T$8,8,FALSE),"")</f>
        <v/>
      </c>
      <c r="AA9" t="inlineStr">
        <is>
          <t>Executor</t>
        </is>
      </c>
      <c r="AB9" t="inlineStr">
        <is>
          <t>Vanguarda</t>
        </is>
      </c>
      <c r="AC9" t="inlineStr">
        <is>
          <t>Executor</t>
        </is>
      </c>
      <c r="AG9" t="inlineStr">
        <is>
          <t>Ocultismo</t>
        </is>
      </c>
      <c r="AH9" t="inlineStr">
        <is>
          <t>Inteligência</t>
        </is>
      </c>
      <c r="AJ9" t="inlineStr">
        <is>
          <t>Alfaiate</t>
        </is>
      </c>
      <c r="AK9" t="inlineStr"/>
      <c r="AR9" t="inlineStr">
        <is>
          <t>Lâmina Longa</t>
        </is>
      </c>
      <c r="AU9" t="inlineStr">
        <is>
          <t>Batedor · Arma de Fogo</t>
        </is>
      </c>
      <c r="AV9">
        <f>AG32</f>
        <v/>
      </c>
      <c r="AW9">
        <f>AJ20</f>
        <v/>
      </c>
      <c r="AY9" t="inlineStr">
        <is>
          <t>Ocultismo</t>
        </is>
      </c>
      <c r="AZ9" t="inlineStr">
        <is>
          <t>Alfaiate</t>
        </is>
      </c>
      <c r="BB9" t="inlineStr">
        <is>
          <t>Executor</t>
        </is>
      </c>
      <c r="BD9">
        <f>ADDRESS(ROW('FICHA'!$F$446),COLUMN('FICHA'!$F$446),4)</f>
        <v/>
      </c>
      <c r="BE9" t="inlineStr">
        <is>
          <t>Caminho</t>
        </is>
      </c>
      <c r="BF9" t="n">
        <v>8</v>
      </c>
      <c r="BG9">
        <f>""</f>
        <v/>
      </c>
      <c r="BH9">
        <f>""</f>
        <v/>
      </c>
      <c r="BK9">
        <f>IF(AND('FICHA'!$F$446&lt;&gt;"",COUNTIF('DADOS_PROGRESSAO'!$AV$2:$AV$11,SUBSTITUTE(SUBSTITUTE(SUBSTITUTE('FICHA'!$F$446,"~","~~"),"*","~*"),"?","~?"))=1,(COUNTIF('FICHA'!$F$439:$F$450,SUBSTITUTE(SUBSTITUTE(SUBSTITUTE('FICHA'!$F$446,"~","~~"),"*","~*"),"?","~?"))+COUNTIF('FICHA'!$Z$439:$Z$449,SUBSTITUTE(SUBSTITUTE(SUBSTITUTE('FICHA'!$F$446,"~","~~"),"*","~*"),"?","~?")))=1),N('FICHA'!$D$446),0)</f>
        <v/>
      </c>
      <c r="BL9">
        <f>IF(AND('FICHA'!$F$446&lt;&gt;"",COUNTIF('DADOS_PROGRESSAO'!$AV$2:$AV$11,SUBSTITUTE(SUBSTITUTE(SUBSTITUTE('FICHA'!$F$446,"~","~~"),"*","~*"),"?","~?"))=1,(COUNTIF('FICHA'!$F$439:$F$450,SUBSTITUTE(SUBSTITUTE(SUBSTITUTE('FICHA'!$F$446,"~","~~"),"*","~*"),"?","~?"))+COUNTIF('FICHA'!$Z$439:$Z$449,SUBSTITUTE(SUBSTITUTE(SUBSTITUTE('FICHA'!$F$446,"~","~~"),"*","~*"),"?","~?")))=1),N('FICHA'!$E$446),0)</f>
        <v/>
      </c>
    </row>
    <row r="10">
      <c r="A10" t="n">
        <v>9</v>
      </c>
      <c r="B10">
        <f>IF(ISBLANK('CONFIGURAÇÃO'!$BB$67),"",'CONFIGURAÇÃO'!$BB$67)</f>
        <v/>
      </c>
      <c r="C10">
        <f>IF(ISBLANK('CONFIGURAÇÃO'!$BB$69),"",'CONFIGURAÇÃO'!$BB$69)</f>
        <v/>
      </c>
      <c r="D10">
        <f>IF(ISBLANK('CONFIGURAÇÃO'!$BE$70),"",'CONFIGURAÇÃO'!$BE$70)</f>
        <v/>
      </c>
      <c r="E10">
        <f>IF(ISBLANK('CONFIGURAÇÃO'!$BF$67),"",'CONFIGURAÇÃO'!$BF$67)</f>
        <v/>
      </c>
      <c r="F10">
        <f>IF(ISBLANK('CONFIGURAÇÃO'!$BB$72),"",'CONFIGURAÇÃO'!$BB$72)</f>
        <v/>
      </c>
      <c r="G10">
        <f>IF(AND(C10="",D10="",F10="",E10=FALSE,OR(B10="",B10="Perícia")),"",TEXTJOIN(" · ",TRUE,IF(B10&lt;&gt;"Perícia","Tipo incompatível com o cadastro",""),IF(OR(C10="",TRIM(C10)&lt;&gt;C10),"Preencha NOME sem espaços nas pontas",""),IF(AND(C10&lt;&gt;"",OR(COUNTIF('DADOS_PROGRESSAO'!$C$2:$C$21,SUBSTITUTE(SUBSTITUTE(SUBSTITUTE(C10,"~","~~"),"*","~*"),"?","~?"))&gt;1,COUNTIF($AY$2:$AY$24,SUBSTITUTE(SUBSTITUTE(SUBSTITUTE(C10,"~","~~"),"*","~*"),"?","~?"))&gt;0,COUNTIF($AZ$2:$AZ$12,SUBSTITUTE(SUBSTITUTE(SUBSTITUTE(C10,"~","~~"),"*","~*"),"?","~?"))&gt;0)),"Nome repetido no livro ou custom",""),IF(COUNTIF($AN$2:$AN$6,D10)=0,"Escolha um atributo válido",""),IF(ISLOGICAL(E10),"","MESTRE VIU deve ser caixa de seleção")))</f>
        <v/>
      </c>
      <c r="AA10" t="inlineStr">
        <is>
          <t>Arquiteto</t>
        </is>
      </c>
      <c r="AB10" t="inlineStr">
        <is>
          <t>Guia</t>
        </is>
      </c>
      <c r="AC10" t="inlineStr">
        <is>
          <t>Arquiteto</t>
        </is>
      </c>
      <c r="AG10" t="inlineStr">
        <is>
          <t>Religião</t>
        </is>
      </c>
      <c r="AH10" t="inlineStr">
        <is>
          <t>Inteligência</t>
        </is>
      </c>
      <c r="AJ10" t="inlineStr">
        <is>
          <t>Culinária</t>
        </is>
      </c>
      <c r="AK10" t="inlineStr"/>
      <c r="AR10" t="inlineStr">
        <is>
          <t>Machado</t>
        </is>
      </c>
      <c r="AU10" t="inlineStr">
        <is>
          <t>Executor</t>
        </is>
      </c>
      <c r="AV10">
        <f>AG33</f>
        <v/>
      </c>
      <c r="AW10">
        <f>AJ21</f>
        <v/>
      </c>
      <c r="AY10" t="inlineStr">
        <is>
          <t>Religião</t>
        </is>
      </c>
      <c r="AZ10" t="inlineStr">
        <is>
          <t>Culinária</t>
        </is>
      </c>
      <c r="BB10" t="inlineStr">
        <is>
          <t>Arquiteto</t>
        </is>
      </c>
      <c r="BD10">
        <f>ADDRESS(ROW('FICHA'!$F$447),COLUMN('FICHA'!$F$447),4)</f>
        <v/>
      </c>
      <c r="BE10" t="inlineStr">
        <is>
          <t>Caminho</t>
        </is>
      </c>
      <c r="BF10" t="n">
        <v>9</v>
      </c>
      <c r="BG10">
        <f>""</f>
        <v/>
      </c>
      <c r="BH10">
        <f>""</f>
        <v/>
      </c>
      <c r="BK10">
        <f>IF(AND('FICHA'!$F$447&lt;&gt;"",COUNTIF('DADOS_PROGRESSAO'!$AV$2:$AV$11,SUBSTITUTE(SUBSTITUTE(SUBSTITUTE('FICHA'!$F$447,"~","~~"),"*","~*"),"?","~?"))=1,(COUNTIF('FICHA'!$F$439:$F$450,SUBSTITUTE(SUBSTITUTE(SUBSTITUTE('FICHA'!$F$447,"~","~~"),"*","~*"),"?","~?"))+COUNTIF('FICHA'!$Z$439:$Z$449,SUBSTITUTE(SUBSTITUTE(SUBSTITUTE('FICHA'!$F$447,"~","~~"),"*","~*"),"?","~?")))=1),N('FICHA'!$D$447),0)</f>
        <v/>
      </c>
      <c r="BL10">
        <f>IF(AND('FICHA'!$F$447&lt;&gt;"",COUNTIF('DADOS_PROGRESSAO'!$AV$2:$AV$11,SUBSTITUTE(SUBSTITUTE(SUBSTITUTE('FICHA'!$F$447,"~","~~"),"*","~*"),"?","~?"))=1,(COUNTIF('FICHA'!$F$439:$F$450,SUBSTITUTE(SUBSTITUTE(SUBSTITUTE('FICHA'!$F$447,"~","~~"),"*","~*"),"?","~?"))+COUNTIF('FICHA'!$Z$439:$Z$449,SUBSTITUTE(SUBSTITUTE(SUBSTITUTE('FICHA'!$F$447,"~","~~"),"*","~*"),"?","~?")))=1),N('FICHA'!$E$447),0)</f>
        <v/>
      </c>
    </row>
    <row r="11">
      <c r="A11" t="n">
        <v>10</v>
      </c>
      <c r="B11">
        <f>IF(ISBLANK('CONFIGURAÇÃO'!$BJ$67),"",'CONFIGURAÇÃO'!$BJ$67)</f>
        <v/>
      </c>
      <c r="C11">
        <f>IF(ISBLANK('CONFIGURAÇÃO'!$BJ$69),"",'CONFIGURAÇÃO'!$BJ$69)</f>
        <v/>
      </c>
      <c r="D11">
        <f>IF(ISBLANK('CONFIGURAÇÃO'!$BM$70),"",'CONFIGURAÇÃO'!$BM$70)</f>
        <v/>
      </c>
      <c r="E11">
        <f>IF(ISBLANK('CONFIGURAÇÃO'!$BN$67),"",'CONFIGURAÇÃO'!$BN$67)</f>
        <v/>
      </c>
      <c r="F11">
        <f>IF(ISBLANK('CONFIGURAÇÃO'!$BJ$72),"",'CONFIGURAÇÃO'!$BJ$72)</f>
        <v/>
      </c>
      <c r="G11">
        <f>IF(AND(C11="",D11="",F11="",E11=FALSE,OR(B11="",B11="Perícia")),"",TEXTJOIN(" · ",TRUE,IF(B11&lt;&gt;"Perícia","Tipo incompatível com o cadastro",""),IF(OR(C11="",TRIM(C11)&lt;&gt;C11),"Preencha NOME sem espaços nas pontas",""),IF(AND(C11&lt;&gt;"",OR(COUNTIF('DADOS_PROGRESSAO'!$C$2:$C$21,SUBSTITUTE(SUBSTITUTE(SUBSTITUTE(C11,"~","~~"),"*","~*"),"?","~?"))&gt;1,COUNTIF($AY$2:$AY$24,SUBSTITUTE(SUBSTITUTE(SUBSTITUTE(C11,"~","~~"),"*","~*"),"?","~?"))&gt;0,COUNTIF($AZ$2:$AZ$12,SUBSTITUTE(SUBSTITUTE(SUBSTITUTE(C11,"~","~~"),"*","~*"),"?","~?"))&gt;0)),"Nome repetido no livro ou custom",""),IF(COUNTIF($AN$2:$AN$6,D11)=0,"Escolha um atributo válido",""),IF(ISLOGICAL(E11),"","MESTRE VIU deve ser caixa de seleção")))</f>
        <v/>
      </c>
      <c r="AA11" t="inlineStr">
        <is>
          <t>Analista</t>
        </is>
      </c>
      <c r="AB11" t="inlineStr">
        <is>
          <t>Guia</t>
        </is>
      </c>
      <c r="AC11" t="inlineStr">
        <is>
          <t>Analista</t>
        </is>
      </c>
      <c r="AG11" t="inlineStr">
        <is>
          <t>História</t>
        </is>
      </c>
      <c r="AH11" t="inlineStr">
        <is>
          <t>Inteligência</t>
        </is>
      </c>
      <c r="AJ11" t="inlineStr">
        <is>
          <t>Instrumento</t>
        </is>
      </c>
      <c r="AK11" t="inlineStr"/>
      <c r="AR11" t="inlineStr">
        <is>
          <t>Manopla</t>
        </is>
      </c>
      <c r="AU11" t="inlineStr">
        <is>
          <t>Arquiteto</t>
        </is>
      </c>
      <c r="AV11">
        <f>AG34</f>
        <v/>
      </c>
      <c r="AW11">
        <f>AJ22</f>
        <v/>
      </c>
      <c r="AY11" t="inlineStr">
        <is>
          <t>História</t>
        </is>
      </c>
      <c r="AZ11" t="inlineStr">
        <is>
          <t>Instrumento</t>
        </is>
      </c>
      <c r="BB11" t="inlineStr">
        <is>
          <t>Analista</t>
        </is>
      </c>
      <c r="BD11">
        <f>ADDRESS(ROW('FICHA'!$F$448),COLUMN('FICHA'!$F$448),4)</f>
        <v/>
      </c>
      <c r="BE11" t="inlineStr">
        <is>
          <t>Caminho</t>
        </is>
      </c>
      <c r="BF11" t="n">
        <v>10</v>
      </c>
      <c r="BG11">
        <f>""</f>
        <v/>
      </c>
      <c r="BH11">
        <f>""</f>
        <v/>
      </c>
      <c r="BK11">
        <f>IF(AND('FICHA'!$F$448&lt;&gt;"",COUNTIF('DADOS_PROGRESSAO'!$AV$2:$AV$11,SUBSTITUTE(SUBSTITUTE(SUBSTITUTE('FICHA'!$F$448,"~","~~"),"*","~*"),"?","~?"))=1,(COUNTIF('FICHA'!$F$439:$F$450,SUBSTITUTE(SUBSTITUTE(SUBSTITUTE('FICHA'!$F$448,"~","~~"),"*","~*"),"?","~?"))+COUNTIF('FICHA'!$Z$439:$Z$449,SUBSTITUTE(SUBSTITUTE(SUBSTITUTE('FICHA'!$F$448,"~","~~"),"*","~*"),"?","~?")))=1),N('FICHA'!$D$448),0)</f>
        <v/>
      </c>
      <c r="BL11">
        <f>IF(AND('FICHA'!$F$448&lt;&gt;"",COUNTIF('DADOS_PROGRESSAO'!$AV$2:$AV$11,SUBSTITUTE(SUBSTITUTE(SUBSTITUTE('FICHA'!$F$448,"~","~~"),"*","~*"),"?","~?"))=1,(COUNTIF('FICHA'!$F$439:$F$450,SUBSTITUTE(SUBSTITUTE(SUBSTITUTE('FICHA'!$F$448,"~","~~"),"*","~*"),"?","~?"))+COUNTIF('FICHA'!$Z$439:$Z$449,SUBSTITUTE(SUBSTITUTE(SUBSTITUTE('FICHA'!$F$448,"~","~~"),"*","~*"),"?","~?")))=1),N('FICHA'!$E$448),0)</f>
        <v/>
      </c>
    </row>
    <row r="12">
      <c r="A12" t="n">
        <v>11</v>
      </c>
      <c r="B12">
        <f>IF(ISBLANK('CONFIGURAÇÃO'!$BS$11),"",'CONFIGURAÇÃO'!$BS$11)</f>
        <v/>
      </c>
      <c r="C12">
        <f>IF(ISBLANK('CONFIGURAÇÃO'!$BS$13),"",'CONFIGURAÇÃO'!$BS$13)</f>
        <v/>
      </c>
      <c r="D12">
        <f>IF(ISBLANK('CONFIGURAÇÃO'!$BV$14),"",'CONFIGURAÇÃO'!$BV$14)</f>
        <v/>
      </c>
      <c r="E12">
        <f>IF(ISBLANK('CONFIGURAÇÃO'!$BW$11),"",'CONFIGURAÇÃO'!$BW$11)</f>
        <v/>
      </c>
      <c r="F12">
        <f>IF(ISBLANK('CONFIGURAÇÃO'!$BS$16),"",'CONFIGURAÇÃO'!$BS$16)</f>
        <v/>
      </c>
      <c r="G12">
        <f>IF(AND(C12="",D12="",F12="",E12=FALSE,OR(B12="",B12="Ofício")),"",TEXTJOIN(" · ",TRUE,IF(B12&lt;&gt;"Ofício","Tipo incompatível com o cadastro",""),IF(OR(C12="",TRIM(C12)&lt;&gt;C12),"Preencha NOME sem espaços nas pontas",""),IF(AND(C12&lt;&gt;"",OR(COUNTIF('DADOS_PROGRESSAO'!$C$2:$C$21,SUBSTITUTE(SUBSTITUTE(SUBSTITUTE(C12,"~","~~"),"*","~*"),"?","~?"))&gt;1,COUNTIF($AY$2:$AY$24,SUBSTITUTE(SUBSTITUTE(SUBSTITUTE(C12,"~","~~"),"*","~*"),"?","~?"))&gt;0,COUNTIF($AZ$2:$AZ$12,SUBSTITUTE(SUBSTITUTE(SUBSTITUTE(C12,"~","~~"),"*","~*"),"?","~?"))&gt;0)),"Nome repetido no livro ou custom",""),IF(COUNTIF($AN$2:$AN$6,D12)=0,"Escolha um atributo válido",""),IF(ISLOGICAL(E12),"","MESTRE VIU deve ser caixa de seleção")))</f>
        <v/>
      </c>
      <c r="AA12" t="inlineStr">
        <is>
          <t>Socorrista</t>
        </is>
      </c>
      <c r="AB12" t="inlineStr">
        <is>
          <t>Guia</t>
        </is>
      </c>
      <c r="AC12" t="inlineStr">
        <is>
          <t>Socorrista</t>
        </is>
      </c>
      <c r="AG12" t="inlineStr">
        <is>
          <t>Hierarquia</t>
        </is>
      </c>
      <c r="AH12" t="inlineStr">
        <is>
          <t>Inteligência</t>
        </is>
      </c>
      <c r="AJ12" t="inlineStr">
        <is>
          <t>Jogatina</t>
        </is>
      </c>
      <c r="AK12" t="inlineStr"/>
      <c r="AR12" t="inlineStr">
        <is>
          <t>Massa</t>
        </is>
      </c>
      <c r="AU12" t="inlineStr">
        <is>
          <t>Analista</t>
        </is>
      </c>
      <c r="AY12" t="inlineStr">
        <is>
          <t>Hierarquia</t>
        </is>
      </c>
      <c r="AZ12" t="inlineStr">
        <is>
          <t>Jogatina</t>
        </is>
      </c>
      <c r="BB12" t="inlineStr">
        <is>
          <t>Socorrista</t>
        </is>
      </c>
      <c r="BD12">
        <f>ADDRESS(ROW('FICHA'!$F$449),COLUMN('FICHA'!$F$449),4)</f>
        <v/>
      </c>
      <c r="BE12" t="inlineStr">
        <is>
          <t>Caminho</t>
        </is>
      </c>
      <c r="BF12" t="n">
        <v>11</v>
      </c>
      <c r="BG12">
        <f>""</f>
        <v/>
      </c>
      <c r="BH12">
        <f>""</f>
        <v/>
      </c>
      <c r="BK12">
        <f>IF(AND('FICHA'!$F$449&lt;&gt;"",COUNTIF('DADOS_PROGRESSAO'!$AV$2:$AV$11,SUBSTITUTE(SUBSTITUTE(SUBSTITUTE('FICHA'!$F$449,"~","~~"),"*","~*"),"?","~?"))=1,(COUNTIF('FICHA'!$F$439:$F$450,SUBSTITUTE(SUBSTITUTE(SUBSTITUTE('FICHA'!$F$449,"~","~~"),"*","~*"),"?","~?"))+COUNTIF('FICHA'!$Z$439:$Z$449,SUBSTITUTE(SUBSTITUTE(SUBSTITUTE('FICHA'!$F$449,"~","~~"),"*","~*"),"?","~?")))=1),N('FICHA'!$D$449),0)</f>
        <v/>
      </c>
      <c r="BL12">
        <f>IF(AND('FICHA'!$F$449&lt;&gt;"",COUNTIF('DADOS_PROGRESSAO'!$AV$2:$AV$11,SUBSTITUTE(SUBSTITUTE(SUBSTITUTE('FICHA'!$F$449,"~","~~"),"*","~*"),"?","~?"))=1,(COUNTIF('FICHA'!$F$439:$F$450,SUBSTITUTE(SUBSTITUTE(SUBSTITUTE('FICHA'!$F$449,"~","~~"),"*","~*"),"?","~?"))+COUNTIF('FICHA'!$Z$439:$Z$449,SUBSTITUTE(SUBSTITUTE(SUBSTITUTE('FICHA'!$F$449,"~","~~"),"*","~*"),"?","~?")))=1),N('FICHA'!$E$449),0)</f>
        <v/>
      </c>
    </row>
    <row r="13">
      <c r="A13" t="n">
        <v>12</v>
      </c>
      <c r="B13">
        <f>IF(ISBLANK('CONFIGURAÇÃO'!$CA$11),"",'CONFIGURAÇÃO'!$CA$11)</f>
        <v/>
      </c>
      <c r="C13">
        <f>IF(ISBLANK('CONFIGURAÇÃO'!$CA$13),"",'CONFIGURAÇÃO'!$CA$13)</f>
        <v/>
      </c>
      <c r="D13">
        <f>IF(ISBLANK('CONFIGURAÇÃO'!$CD$14),"",'CONFIGURAÇÃO'!$CD$14)</f>
        <v/>
      </c>
      <c r="E13">
        <f>IF(ISBLANK('CONFIGURAÇÃO'!$CE$11),"",'CONFIGURAÇÃO'!$CE$11)</f>
        <v/>
      </c>
      <c r="F13">
        <f>IF(ISBLANK('CONFIGURAÇÃO'!$CA$16),"",'CONFIGURAÇÃO'!$CA$16)</f>
        <v/>
      </c>
      <c r="G13">
        <f>IF(AND(C13="",D13="",F13="",E13=FALSE,OR(B13="",B13="Ofício")),"",TEXTJOIN(" · ",TRUE,IF(B13&lt;&gt;"Ofício","Tipo incompatível com o cadastro",""),IF(OR(C13="",TRIM(C13)&lt;&gt;C13),"Preencha NOME sem espaços nas pontas",""),IF(AND(C13&lt;&gt;"",OR(COUNTIF('DADOS_PROGRESSAO'!$C$2:$C$21,SUBSTITUTE(SUBSTITUTE(SUBSTITUTE(C13,"~","~~"),"*","~*"),"?","~?"))&gt;1,COUNTIF($AY$2:$AY$24,SUBSTITUTE(SUBSTITUTE(SUBSTITUTE(C13,"~","~~"),"*","~*"),"?","~?"))&gt;0,COUNTIF($AZ$2:$AZ$12,SUBSTITUTE(SUBSTITUTE(SUBSTITUTE(C13,"~","~~"),"*","~*"),"?","~?"))&gt;0)),"Nome repetido no livro ou custom",""),IF(COUNTIF($AN$2:$AN$6,D13)=0,"Escolha um atributo válido",""),IF(ISLOGICAL(E13),"","MESTRE VIU deve ser caixa de seleção")))</f>
        <v/>
      </c>
      <c r="AA13" t="inlineStr">
        <is>
          <t>Condutor Armado</t>
        </is>
      </c>
      <c r="AB13" t="inlineStr">
        <is>
          <t>Emanador</t>
        </is>
      </c>
      <c r="AC13" t="inlineStr">
        <is>
          <t>Condutor Armado</t>
        </is>
      </c>
      <c r="AG13" t="inlineStr">
        <is>
          <t>Medicina</t>
        </is>
      </c>
      <c r="AH13" t="inlineStr">
        <is>
          <t>Inteligência</t>
        </is>
      </c>
      <c r="AJ13">
        <f>IF(AND($B12="Ofício",$C12&lt;&gt;"",$G12=""),$C12,"")</f>
        <v/>
      </c>
      <c r="AK13">
        <f>IF(AJ13="","",$D12)</f>
        <v/>
      </c>
      <c r="AR13" t="inlineStr">
        <is>
          <t>Porrete</t>
        </is>
      </c>
      <c r="AU13" t="inlineStr">
        <is>
          <t>Socorrista</t>
        </is>
      </c>
      <c r="AY13" t="inlineStr">
        <is>
          <t>Medicina</t>
        </is>
      </c>
      <c r="BB13" t="inlineStr">
        <is>
          <t>Condutor Armado</t>
        </is>
      </c>
      <c r="BD13">
        <f>ADDRESS(ROW('FICHA'!$F$450),COLUMN('FICHA'!$F$450),4)</f>
        <v/>
      </c>
      <c r="BE13" t="inlineStr">
        <is>
          <t>Caminho</t>
        </is>
      </c>
      <c r="BF13" t="n">
        <v>12</v>
      </c>
      <c r="BG13">
        <f>""</f>
        <v/>
      </c>
      <c r="BH13">
        <f>""</f>
        <v/>
      </c>
      <c r="BK13">
        <f>IF(AND('FICHA'!$F$450&lt;&gt;"",COUNTIF('DADOS_PROGRESSAO'!$AV$2:$AV$11,SUBSTITUTE(SUBSTITUTE(SUBSTITUTE('FICHA'!$F$450,"~","~~"),"*","~*"),"?","~?"))=1,(COUNTIF('FICHA'!$F$439:$F$450,SUBSTITUTE(SUBSTITUTE(SUBSTITUTE('FICHA'!$F$450,"~","~~"),"*","~*"),"?","~?"))+COUNTIF('FICHA'!$Z$439:$Z$449,SUBSTITUTE(SUBSTITUTE(SUBSTITUTE('FICHA'!$F$450,"~","~~"),"*","~*"),"?","~?")))=1),N('FICHA'!$D$450),0)</f>
        <v/>
      </c>
      <c r="BL13">
        <f>IF(AND('FICHA'!$F$450&lt;&gt;"",COUNTIF('DADOS_PROGRESSAO'!$AV$2:$AV$11,SUBSTITUTE(SUBSTITUTE(SUBSTITUTE('FICHA'!$F$450,"~","~~"),"*","~*"),"?","~?"))=1,(COUNTIF('FICHA'!$F$439:$F$450,SUBSTITUTE(SUBSTITUTE(SUBSTITUTE('FICHA'!$F$450,"~","~~"),"*","~*"),"?","~?"))+COUNTIF('FICHA'!$Z$439:$Z$449,SUBSTITUTE(SUBSTITUTE(SUBSTITUTE('FICHA'!$F$450,"~","~~"),"*","~*"),"?","~?")))=1),N('FICHA'!$E$450),0)</f>
        <v/>
      </c>
    </row>
    <row r="14">
      <c r="A14" t="n">
        <v>13</v>
      </c>
      <c r="B14">
        <f>IF(ISBLANK('CONFIGURAÇÃO'!$BS$25),"",'CONFIGURAÇÃO'!$BS$25)</f>
        <v/>
      </c>
      <c r="C14">
        <f>IF(ISBLANK('CONFIGURAÇÃO'!$BS$27),"",'CONFIGURAÇÃO'!$BS$27)</f>
        <v/>
      </c>
      <c r="D14">
        <f>IF(ISBLANK('CONFIGURAÇÃO'!$BV$28),"",'CONFIGURAÇÃO'!$BV$28)</f>
        <v/>
      </c>
      <c r="E14">
        <f>IF(ISBLANK('CONFIGURAÇÃO'!$BW$25),"",'CONFIGURAÇÃO'!$BW$25)</f>
        <v/>
      </c>
      <c r="F14">
        <f>IF(ISBLANK('CONFIGURAÇÃO'!$BS$30),"",'CONFIGURAÇÃO'!$BS$30)</f>
        <v/>
      </c>
      <c r="G14">
        <f>IF(AND(C14="",D14="",F14="",E14=FALSE,OR(B14="",B14="Ofício")),"",TEXTJOIN(" · ",TRUE,IF(B14&lt;&gt;"Ofício","Tipo incompatível com o cadastro",""),IF(OR(C14="",TRIM(C14)&lt;&gt;C14),"Preencha NOME sem espaços nas pontas",""),IF(AND(C14&lt;&gt;"",OR(COUNTIF('DADOS_PROGRESSAO'!$C$2:$C$21,SUBSTITUTE(SUBSTITUTE(SUBSTITUTE(C14,"~","~~"),"*","~*"),"?","~?"))&gt;1,COUNTIF($AY$2:$AY$24,SUBSTITUTE(SUBSTITUTE(SUBSTITUTE(C14,"~","~~"),"*","~*"),"?","~?"))&gt;0,COUNTIF($AZ$2:$AZ$12,SUBSTITUTE(SUBSTITUTE(SUBSTITUTE(C14,"~","~~"),"*","~*"),"?","~?"))&gt;0)),"Nome repetido no livro ou custom",""),IF(COUNTIF($AN$2:$AN$6,D14)=0,"Escolha um atributo válido",""),IF(ISLOGICAL(E14),"","MESTRE VIU deve ser caixa de seleção")))</f>
        <v/>
      </c>
      <c r="AA14" t="inlineStr">
        <is>
          <t>Ressonante</t>
        </is>
      </c>
      <c r="AB14" t="inlineStr">
        <is>
          <t>Emanador</t>
        </is>
      </c>
      <c r="AC14" t="inlineStr">
        <is>
          <t>Ressonante</t>
        </is>
      </c>
      <c r="AG14" t="inlineStr">
        <is>
          <t>Sobrevivência</t>
        </is>
      </c>
      <c r="AH14" t="inlineStr">
        <is>
          <t>Inteligência</t>
        </is>
      </c>
      <c r="AJ14">
        <f>IF(AND($B13="Ofício",$C13&lt;&gt;"",$G13=""),$C13,"")</f>
        <v/>
      </c>
      <c r="AK14">
        <f>IF(AJ14="","",$D13)</f>
        <v/>
      </c>
      <c r="AR14" t="inlineStr">
        <is>
          <t>Yumi</t>
        </is>
      </c>
      <c r="AU14" t="inlineStr">
        <is>
          <t>Condutor Armado</t>
        </is>
      </c>
      <c r="AY14" t="inlineStr">
        <is>
          <t>Sobrevivência</t>
        </is>
      </c>
      <c r="BB14" t="inlineStr">
        <is>
          <t>Ressonante</t>
        </is>
      </c>
      <c r="BD14">
        <f>ADDRESS(ROW('FICHA'!$Z$439),COLUMN('FICHA'!$Z$439),4)</f>
        <v/>
      </c>
      <c r="BE14" t="inlineStr">
        <is>
          <t>Caminho</t>
        </is>
      </c>
      <c r="BF14" t="n">
        <v>13</v>
      </c>
      <c r="BG14">
        <f>""</f>
        <v/>
      </c>
      <c r="BH14">
        <f>""</f>
        <v/>
      </c>
      <c r="BK14">
        <f>IF(AND('FICHA'!$Z$439&lt;&gt;"",COUNTIF('DADOS_PROGRESSAO'!$AV$2:$AV$11,SUBSTITUTE(SUBSTITUTE(SUBSTITUTE('FICHA'!$Z$439,"~","~~"),"*","~*"),"?","~?"))=1,(COUNTIF('FICHA'!$F$439:$F$450,SUBSTITUTE(SUBSTITUTE(SUBSTITUTE('FICHA'!$Z$439,"~","~~"),"*","~*"),"?","~?"))+COUNTIF('FICHA'!$Z$439:$Z$449,SUBSTITUTE(SUBSTITUTE(SUBSTITUTE('FICHA'!$Z$439,"~","~~"),"*","~*"),"?","~?")))=1),N('FICHA'!$X$439),0)</f>
        <v/>
      </c>
      <c r="BL14">
        <f>IF(AND('FICHA'!$Z$439&lt;&gt;"",COUNTIF('DADOS_PROGRESSAO'!$AV$2:$AV$11,SUBSTITUTE(SUBSTITUTE(SUBSTITUTE('FICHA'!$Z$439,"~","~~"),"*","~*"),"?","~?"))=1,(COUNTIF('FICHA'!$F$439:$F$450,SUBSTITUTE(SUBSTITUTE(SUBSTITUTE('FICHA'!$Z$439,"~","~~"),"*","~*"),"?","~?"))+COUNTIF('FICHA'!$Z$439:$Z$449,SUBSTITUTE(SUBSTITUTE(SUBSTITUTE('FICHA'!$Z$439,"~","~~"),"*","~*"),"?","~?")))=1),N('FICHA'!$Y$439),0)</f>
        <v/>
      </c>
    </row>
    <row r="15">
      <c r="A15" t="n">
        <v>14</v>
      </c>
      <c r="B15">
        <f>IF(ISBLANK('CONFIGURAÇÃO'!$CA$25),"",'CONFIGURAÇÃO'!$CA$25)</f>
        <v/>
      </c>
      <c r="C15">
        <f>IF(ISBLANK('CONFIGURAÇÃO'!$CA$27),"",'CONFIGURAÇÃO'!$CA$27)</f>
        <v/>
      </c>
      <c r="D15">
        <f>IF(ISBLANK('CONFIGURAÇÃO'!$CD$28),"",'CONFIGURAÇÃO'!$CD$28)</f>
        <v/>
      </c>
      <c r="E15">
        <f>IF(ISBLANK('CONFIGURAÇÃO'!$CE$25),"",'CONFIGURAÇÃO'!$CE$25)</f>
        <v/>
      </c>
      <c r="F15">
        <f>IF(ISBLANK('CONFIGURAÇÃO'!$CA$30),"",'CONFIGURAÇÃO'!$CA$30)</f>
        <v/>
      </c>
      <c r="G15">
        <f>IF(AND(C15="",D15="",F15="",E15=FALSE,OR(B15="",B15="Ofício")),"",TEXTJOIN(" · ",TRUE,IF(B15&lt;&gt;"Ofício","Tipo incompatível com o cadastro",""),IF(OR(C15="",TRIM(C15)&lt;&gt;C15),"Preencha NOME sem espaços nas pontas",""),IF(AND(C15&lt;&gt;"",OR(COUNTIF('DADOS_PROGRESSAO'!$C$2:$C$21,SUBSTITUTE(SUBSTITUTE(SUBSTITUTE(C15,"~","~~"),"*","~*"),"?","~?"))&gt;1,COUNTIF($AY$2:$AY$24,SUBSTITUTE(SUBSTITUTE(SUBSTITUTE(C15,"~","~~"),"*","~*"),"?","~?"))&gt;0,COUNTIF($AZ$2:$AZ$12,SUBSTITUTE(SUBSTITUTE(SUBSTITUTE(C15,"~","~~"),"*","~*"),"?","~?"))&gt;0)),"Nome repetido no livro ou custom",""),IF(COUNTIF($AN$2:$AN$6,D15)=0,"Escolha um atributo válido",""),IF(ISLOGICAL(E15),"","MESTRE VIU deve ser caixa de seleção")))</f>
        <v/>
      </c>
      <c r="AA15" t="inlineStr">
        <is>
          <t>Catalisador</t>
        </is>
      </c>
      <c r="AB15" t="inlineStr">
        <is>
          <t>Emanador</t>
        </is>
      </c>
      <c r="AC15" t="inlineStr">
        <is>
          <t>Catalisador</t>
        </is>
      </c>
      <c r="AG15" t="inlineStr">
        <is>
          <t>Natureza</t>
        </is>
      </c>
      <c r="AH15" t="inlineStr">
        <is>
          <t>Inteligência</t>
        </is>
      </c>
      <c r="AJ15">
        <f>IF(AND($B14="Ofício",$C14&lt;&gt;"",$G14=""),$C14,"")</f>
        <v/>
      </c>
      <c r="AK15">
        <f>IF(AJ15="","",$D14)</f>
        <v/>
      </c>
      <c r="AU15" t="inlineStr">
        <is>
          <t>Ressonante</t>
        </is>
      </c>
      <c r="AY15" t="inlineStr">
        <is>
          <t>Natureza</t>
        </is>
      </c>
      <c r="BB15" t="inlineStr">
        <is>
          <t>Catalisador</t>
        </is>
      </c>
      <c r="BD15">
        <f>ADDRESS(ROW('FICHA'!$Z$440),COLUMN('FICHA'!$Z$440),4)</f>
        <v/>
      </c>
      <c r="BE15" t="inlineStr">
        <is>
          <t>Caminho</t>
        </is>
      </c>
      <c r="BF15" t="n">
        <v>14</v>
      </c>
      <c r="BG15">
        <f>""</f>
        <v/>
      </c>
      <c r="BH15">
        <f>""</f>
        <v/>
      </c>
      <c r="BK15">
        <f>IF(AND('FICHA'!$Z$440&lt;&gt;"",COUNTIF('DADOS_PROGRESSAO'!$AV$2:$AV$11,SUBSTITUTE(SUBSTITUTE(SUBSTITUTE('FICHA'!$Z$440,"~","~~"),"*","~*"),"?","~?"))=1,(COUNTIF('FICHA'!$F$439:$F$450,SUBSTITUTE(SUBSTITUTE(SUBSTITUTE('FICHA'!$Z$440,"~","~~"),"*","~*"),"?","~?"))+COUNTIF('FICHA'!$Z$439:$Z$449,SUBSTITUTE(SUBSTITUTE(SUBSTITUTE('FICHA'!$Z$440,"~","~~"),"*","~*"),"?","~?")))=1),N('FICHA'!$X$440),0)</f>
        <v/>
      </c>
      <c r="BL15">
        <f>IF(AND('FICHA'!$Z$440&lt;&gt;"",COUNTIF('DADOS_PROGRESSAO'!$AV$2:$AV$11,SUBSTITUTE(SUBSTITUTE(SUBSTITUTE('FICHA'!$Z$440,"~","~~"),"*","~*"),"?","~?"))=1,(COUNTIF('FICHA'!$F$439:$F$450,SUBSTITUTE(SUBSTITUTE(SUBSTITUTE('FICHA'!$Z$440,"~","~~"),"*","~*"),"?","~?"))+COUNTIF('FICHA'!$Z$439:$Z$449,SUBSTITUTE(SUBSTITUTE(SUBSTITUTE('FICHA'!$Z$440,"~","~~"),"*","~*"),"?","~?")))=1),N('FICHA'!$Y$440),0)</f>
        <v/>
      </c>
    </row>
    <row r="16">
      <c r="A16" t="n">
        <v>15</v>
      </c>
      <c r="B16">
        <f>IF(ISBLANK('CONFIGURAÇÃO'!$BS$39),"",'CONFIGURAÇÃO'!$BS$39)</f>
        <v/>
      </c>
      <c r="C16">
        <f>IF(ISBLANK('CONFIGURAÇÃO'!$BS$41),"",'CONFIGURAÇÃO'!$BS$41)</f>
        <v/>
      </c>
      <c r="D16">
        <f>IF(ISBLANK('CONFIGURAÇÃO'!$BV$42),"",'CONFIGURAÇÃO'!$BV$42)</f>
        <v/>
      </c>
      <c r="E16">
        <f>IF(ISBLANK('CONFIGURAÇÃO'!$BW$39),"",'CONFIGURAÇÃO'!$BW$39)</f>
        <v/>
      </c>
      <c r="F16">
        <f>IF(ISBLANK('CONFIGURAÇÃO'!$BS$44),"",'CONFIGURAÇÃO'!$BS$44)</f>
        <v/>
      </c>
      <c r="G16">
        <f>IF(AND(C16="",D16="",F16="",E16=FALSE,OR(B16="",B16="Ofício")),"",TEXTJOIN(" · ",TRUE,IF(B16&lt;&gt;"Ofício","Tipo incompatível com o cadastro",""),IF(OR(C16="",TRIM(C16)&lt;&gt;C16),"Preencha NOME sem espaços nas pontas",""),IF(AND(C16&lt;&gt;"",OR(COUNTIF('DADOS_PROGRESSAO'!$C$2:$C$21,SUBSTITUTE(SUBSTITUTE(SUBSTITUTE(C16,"~","~~"),"*","~*"),"?","~?"))&gt;1,COUNTIF($AY$2:$AY$24,SUBSTITUTE(SUBSTITUTE(SUBSTITUTE(C16,"~","~~"),"*","~*"),"?","~?"))&gt;0,COUNTIF($AZ$2:$AZ$12,SUBSTITUTE(SUBSTITUTE(SUBSTITUTE(C16,"~","~~"),"*","~*"),"?","~?"))&gt;0)),"Nome repetido no livro ou custom",""),IF(COUNTIF($AN$2:$AN$6,D16)=0,"Escolha um atributo válido",""),IF(ISLOGICAL(E16),"","MESTRE VIU deve ser caixa de seleção")))</f>
        <v/>
      </c>
      <c r="AA16" t="inlineStr">
        <is>
          <t>Invocação Principal</t>
        </is>
      </c>
      <c r="AB16" t="inlineStr">
        <is>
          <t>Evocador</t>
        </is>
      </c>
      <c r="AC16" t="inlineStr">
        <is>
          <t>Invocação Principal</t>
        </is>
      </c>
      <c r="AG16" t="inlineStr">
        <is>
          <t>Lidar com Animais</t>
        </is>
      </c>
      <c r="AH16" t="inlineStr">
        <is>
          <t>Inteligência</t>
        </is>
      </c>
      <c r="AJ16">
        <f>IF(AND($B15="Ofício",$C15&lt;&gt;"",$G15=""),$C15,"")</f>
        <v/>
      </c>
      <c r="AK16">
        <f>IF(AJ16="","",$D15)</f>
        <v/>
      </c>
      <c r="AU16" t="inlineStr">
        <is>
          <t>Catalisador</t>
        </is>
      </c>
      <c r="AY16" t="inlineStr">
        <is>
          <t>Lidar com Animais</t>
        </is>
      </c>
      <c r="BB16" t="inlineStr">
        <is>
          <t>Invocação Principal</t>
        </is>
      </c>
      <c r="BD16">
        <f>ADDRESS(ROW('FICHA'!$Z$441),COLUMN('FICHA'!$Z$441),4)</f>
        <v/>
      </c>
      <c r="BE16" t="inlineStr">
        <is>
          <t>Caminho</t>
        </is>
      </c>
      <c r="BF16" t="n">
        <v>15</v>
      </c>
      <c r="BG16">
        <f>IF(AND($K$7=1,'CONFIGURAÇÃO'!$AL$56&lt;&gt;""),'CONFIGURAÇÃO'!$AL$56,"")</f>
        <v/>
      </c>
      <c r="BH16">
        <f>IF(OR(BG16="",'CONFIGURAÇÃO'!$AK$57=""),"",'CONFIGURAÇÃO'!$AK$57)</f>
        <v/>
      </c>
      <c r="BK16">
        <f>IF(AND('FICHA'!$Z$441&lt;&gt;"",COUNTIF('DADOS_PROGRESSAO'!$AV$2:$AV$11,SUBSTITUTE(SUBSTITUTE(SUBSTITUTE('FICHA'!$Z$441,"~","~~"),"*","~*"),"?","~?"))=1,(COUNTIF('FICHA'!$F$439:$F$450,SUBSTITUTE(SUBSTITUTE(SUBSTITUTE('FICHA'!$Z$441,"~","~~"),"*","~*"),"?","~?"))+COUNTIF('FICHA'!$Z$439:$Z$449,SUBSTITUTE(SUBSTITUTE(SUBSTITUTE('FICHA'!$Z$441,"~","~~"),"*","~*"),"?","~?")))=1),N('FICHA'!$X$441),0)</f>
        <v/>
      </c>
      <c r="BL16">
        <f>IF(AND('FICHA'!$Z$441&lt;&gt;"",COUNTIF('DADOS_PROGRESSAO'!$AV$2:$AV$11,SUBSTITUTE(SUBSTITUTE(SUBSTITUTE('FICHA'!$Z$441,"~","~~"),"*","~*"),"?","~?"))=1,(COUNTIF('FICHA'!$F$439:$F$450,SUBSTITUTE(SUBSTITUTE(SUBSTITUTE('FICHA'!$Z$441,"~","~~"),"*","~*"),"?","~?"))+COUNTIF('FICHA'!$Z$439:$Z$449,SUBSTITUTE(SUBSTITUTE(SUBSTITUTE('FICHA'!$Z$441,"~","~~"),"*","~*"),"?","~?")))=1),N('FICHA'!$Y$441),0)</f>
        <v/>
      </c>
    </row>
    <row r="17">
      <c r="A17" t="n">
        <v>16</v>
      </c>
      <c r="B17">
        <f>IF(ISBLANK('CONFIGURAÇÃO'!$CA$39),"",'CONFIGURAÇÃO'!$CA$39)</f>
        <v/>
      </c>
      <c r="C17">
        <f>IF(ISBLANK('CONFIGURAÇÃO'!$CA$41),"",'CONFIGURAÇÃO'!$CA$41)</f>
        <v/>
      </c>
      <c r="D17">
        <f>IF(ISBLANK('CONFIGURAÇÃO'!$CD$42),"",'CONFIGURAÇÃO'!$CD$42)</f>
        <v/>
      </c>
      <c r="E17">
        <f>IF(ISBLANK('CONFIGURAÇÃO'!$CE$39),"",'CONFIGURAÇÃO'!$CE$39)</f>
        <v/>
      </c>
      <c r="F17">
        <f>IF(ISBLANK('CONFIGURAÇÃO'!$CA$44),"",'CONFIGURAÇÃO'!$CA$44)</f>
        <v/>
      </c>
      <c r="G17">
        <f>IF(AND(C17="",D17="",F17="",E17=FALSE,OR(B17="",B17="Ofício")),"",TEXTJOIN(" · ",TRUE,IF(B17&lt;&gt;"Ofício","Tipo incompatível com o cadastro",""),IF(OR(C17="",TRIM(C17)&lt;&gt;C17),"Preencha NOME sem espaços nas pontas",""),IF(AND(C17&lt;&gt;"",OR(COUNTIF('DADOS_PROGRESSAO'!$C$2:$C$21,SUBSTITUTE(SUBSTITUTE(SUBSTITUTE(C17,"~","~~"),"*","~*"),"?","~?"))&gt;1,COUNTIF($AY$2:$AY$24,SUBSTITUTE(SUBSTITUTE(SUBSTITUTE(C17,"~","~~"),"*","~*"),"?","~?"))&gt;0,COUNTIF($AZ$2:$AZ$12,SUBSTITUTE(SUBSTITUTE(SUBSTITUTE(C17,"~","~~"),"*","~*"),"?","~?"))&gt;0)),"Nome repetido no livro ou custom",""),IF(COUNTIF($AN$2:$AN$6,D17)=0,"Escolha um atributo válido",""),IF(ISLOGICAL(E17),"","MESTRE VIU deve ser caixa de seleção")))</f>
        <v/>
      </c>
      <c r="AA17" t="inlineStr">
        <is>
          <t>Parceria</t>
        </is>
      </c>
      <c r="AB17" t="inlineStr">
        <is>
          <t>Evocador</t>
        </is>
      </c>
      <c r="AC17" t="inlineStr">
        <is>
          <t>Parceria</t>
        </is>
      </c>
      <c r="AG17" t="inlineStr">
        <is>
          <t>Tecnologia</t>
        </is>
      </c>
      <c r="AH17" t="inlineStr">
        <is>
          <t>Inteligência</t>
        </is>
      </c>
      <c r="AJ17">
        <f>IF(AND($B16="Ofício",$C16&lt;&gt;"",$G16=""),$C16,"")</f>
        <v/>
      </c>
      <c r="AK17">
        <f>IF(AJ17="","",$D16)</f>
        <v/>
      </c>
      <c r="AU17" t="inlineStr">
        <is>
          <t>Invocação Principal</t>
        </is>
      </c>
      <c r="AY17" t="inlineStr">
        <is>
          <t>Tecnologia</t>
        </is>
      </c>
      <c r="BB17" t="inlineStr">
        <is>
          <t>Parceria</t>
        </is>
      </c>
      <c r="BD17">
        <f>ADDRESS(ROW('FICHA'!$Z$442),COLUMN('FICHA'!$Z$442),4)</f>
        <v/>
      </c>
      <c r="BE17" t="inlineStr">
        <is>
          <t>Caminho</t>
        </is>
      </c>
      <c r="BF17" t="n">
        <v>16</v>
      </c>
      <c r="BG17">
        <f>""</f>
        <v/>
      </c>
      <c r="BH17">
        <f>""</f>
        <v/>
      </c>
      <c r="BK17">
        <f>IF(AND('FICHA'!$Z$442&lt;&gt;"",COUNTIF('DADOS_PROGRESSAO'!$AV$2:$AV$11,SUBSTITUTE(SUBSTITUTE(SUBSTITUTE('FICHA'!$Z$442,"~","~~"),"*","~*"),"?","~?"))=1,(COUNTIF('FICHA'!$F$439:$F$450,SUBSTITUTE(SUBSTITUTE(SUBSTITUTE('FICHA'!$Z$442,"~","~~"),"*","~*"),"?","~?"))+COUNTIF('FICHA'!$Z$439:$Z$449,SUBSTITUTE(SUBSTITUTE(SUBSTITUTE('FICHA'!$Z$442,"~","~~"),"*","~*"),"?","~?")))=1),N('FICHA'!$X$442),0)</f>
        <v/>
      </c>
      <c r="BL17">
        <f>IF(AND('FICHA'!$Z$442&lt;&gt;"",COUNTIF('DADOS_PROGRESSAO'!$AV$2:$AV$11,SUBSTITUTE(SUBSTITUTE(SUBSTITUTE('FICHA'!$Z$442,"~","~~"),"*","~*"),"?","~?"))=1,(COUNTIF('FICHA'!$F$439:$F$450,SUBSTITUTE(SUBSTITUTE(SUBSTITUTE('FICHA'!$Z$442,"~","~~"),"*","~*"),"?","~?"))+COUNTIF('FICHA'!$Z$439:$Z$449,SUBSTITUTE(SUBSTITUTE(SUBSTITUTE('FICHA'!$Z$442,"~","~~"),"*","~*"),"?","~?")))=1),N('FICHA'!$Y$442),0)</f>
        <v/>
      </c>
    </row>
    <row r="18">
      <c r="A18" t="n">
        <v>17</v>
      </c>
      <c r="B18">
        <f>IF(ISBLANK('CONFIGURAÇÃO'!$BS$53),"",'CONFIGURAÇÃO'!$BS$53)</f>
        <v/>
      </c>
      <c r="C18">
        <f>IF(ISBLANK('CONFIGURAÇÃO'!$BS$55),"",'CONFIGURAÇÃO'!$BS$55)</f>
        <v/>
      </c>
      <c r="D18">
        <f>IF(ISBLANK('CONFIGURAÇÃO'!$BV$56),"",'CONFIGURAÇÃO'!$BV$56)</f>
        <v/>
      </c>
      <c r="E18">
        <f>IF(ISBLANK('CONFIGURAÇÃO'!$BW$53),"",'CONFIGURAÇÃO'!$BW$53)</f>
        <v/>
      </c>
      <c r="F18">
        <f>IF(ISBLANK('CONFIGURAÇÃO'!$BS$58),"",'CONFIGURAÇÃO'!$BS$58)</f>
        <v/>
      </c>
      <c r="G18">
        <f>IF(AND(C18="",D18="",F18="",E18=FALSE,OR(B18="",B18="Ofício")),"",TEXTJOIN(" · ",TRUE,IF(B18&lt;&gt;"Ofício","Tipo incompatível com o cadastro",""),IF(OR(C18="",TRIM(C18)&lt;&gt;C18),"Preencha NOME sem espaços nas pontas",""),IF(AND(C18&lt;&gt;"",OR(COUNTIF('DADOS_PROGRESSAO'!$C$2:$C$21,SUBSTITUTE(SUBSTITUTE(SUBSTITUTE(C18,"~","~~"),"*","~*"),"?","~?"))&gt;1,COUNTIF($AY$2:$AY$24,SUBSTITUTE(SUBSTITUTE(SUBSTITUTE(C18,"~","~~"),"*","~*"),"?","~?"))&gt;0,COUNTIF($AZ$2:$AZ$12,SUBSTITUTE(SUBSTITUTE(SUBSTITUTE(C18,"~","~~"),"*","~*"),"?","~?"))&gt;0)),"Nome repetido no livro ou custom",""),IF(COUNTIF($AN$2:$AN$6,D18)=0,"Escolha um atributo válido",""),IF(ISLOGICAL(E18),"","MESTRE VIU deve ser caixa de seleção")))</f>
        <v/>
      </c>
      <c r="AA18" t="inlineStr">
        <is>
          <t>Múltiplas Invocações</t>
        </is>
      </c>
      <c r="AB18" t="inlineStr">
        <is>
          <t>Evocador</t>
        </is>
      </c>
      <c r="AC18" t="inlineStr">
        <is>
          <t>Múltiplas Invocações</t>
        </is>
      </c>
      <c r="AG18" t="inlineStr">
        <is>
          <t>Sentir Energia</t>
        </is>
      </c>
      <c r="AH18" t="inlineStr">
        <is>
          <t>Essência</t>
        </is>
      </c>
      <c r="AJ18">
        <f>IF(AND($B17="Ofício",$C17&lt;&gt;"",$G17=""),$C17,"")</f>
        <v/>
      </c>
      <c r="AK18">
        <f>IF(AJ18="","",$D17)</f>
        <v/>
      </c>
      <c r="AU18" t="inlineStr">
        <is>
          <t>Parceria</t>
        </is>
      </c>
      <c r="AY18" t="inlineStr">
        <is>
          <t>Sentir Energia</t>
        </is>
      </c>
      <c r="BB18" t="inlineStr">
        <is>
          <t>Múltiplas Invocações</t>
        </is>
      </c>
      <c r="BD18">
        <f>ADDRESS(ROW('FICHA'!$Z$443),COLUMN('FICHA'!$Z$443),4)</f>
        <v/>
      </c>
      <c r="BE18" t="inlineStr">
        <is>
          <t>Caminho</t>
        </is>
      </c>
      <c r="BF18" t="n">
        <v>17</v>
      </c>
      <c r="BG18">
        <f>""</f>
        <v/>
      </c>
      <c r="BH18">
        <f>""</f>
        <v/>
      </c>
      <c r="BK18">
        <f>IF(AND('FICHA'!$Z$443&lt;&gt;"",COUNTIF('DADOS_PROGRESSAO'!$AV$2:$AV$11,SUBSTITUTE(SUBSTITUTE(SUBSTITUTE('FICHA'!$Z$443,"~","~~"),"*","~*"),"?","~?"))=1,(COUNTIF('FICHA'!$F$439:$F$450,SUBSTITUTE(SUBSTITUTE(SUBSTITUTE('FICHA'!$Z$443,"~","~~"),"*","~*"),"?","~?"))+COUNTIF('FICHA'!$Z$439:$Z$449,SUBSTITUTE(SUBSTITUTE(SUBSTITUTE('FICHA'!$Z$443,"~","~~"),"*","~*"),"?","~?")))=1),N('FICHA'!$X$443),0)</f>
        <v/>
      </c>
      <c r="BL18">
        <f>IF(AND('FICHA'!$Z$443&lt;&gt;"",COUNTIF('DADOS_PROGRESSAO'!$AV$2:$AV$11,SUBSTITUTE(SUBSTITUTE(SUBSTITUTE('FICHA'!$Z$443,"~","~~"),"*","~*"),"?","~?"))=1,(COUNTIF('FICHA'!$F$439:$F$450,SUBSTITUTE(SUBSTITUTE(SUBSTITUTE('FICHA'!$Z$443,"~","~~"),"*","~*"),"?","~?"))+COUNTIF('FICHA'!$Z$439:$Z$449,SUBSTITUTE(SUBSTITUTE(SUBSTITUTE('FICHA'!$Z$443,"~","~~"),"*","~*"),"?","~?")))=1),N('FICHA'!$Y$443),0)</f>
        <v/>
      </c>
    </row>
    <row r="19">
      <c r="A19" t="n">
        <v>18</v>
      </c>
      <c r="B19">
        <f>IF(ISBLANK('CONFIGURAÇÃO'!$CA$53),"",'CONFIGURAÇÃO'!$CA$53)</f>
        <v/>
      </c>
      <c r="C19">
        <f>IF(ISBLANK('CONFIGURAÇÃO'!$CA$55),"",'CONFIGURAÇÃO'!$CA$55)</f>
        <v/>
      </c>
      <c r="D19">
        <f>IF(ISBLANK('CONFIGURAÇÃO'!$CD$56),"",'CONFIGURAÇÃO'!$CD$56)</f>
        <v/>
      </c>
      <c r="E19">
        <f>IF(ISBLANK('CONFIGURAÇÃO'!$CE$53),"",'CONFIGURAÇÃO'!$CE$53)</f>
        <v/>
      </c>
      <c r="F19">
        <f>IF(ISBLANK('CONFIGURAÇÃO'!$CA$58),"",'CONFIGURAÇÃO'!$CA$58)</f>
        <v/>
      </c>
      <c r="G19">
        <f>IF(AND(C19="",D19="",F19="",E19=FALSE,OR(B19="",B19="Ofício")),"",TEXTJOIN(" · ",TRUE,IF(B19&lt;&gt;"Ofício","Tipo incompatível com o cadastro",""),IF(OR(C19="",TRIM(C19)&lt;&gt;C19),"Preencha NOME sem espaços nas pontas",""),IF(AND(C19&lt;&gt;"",OR(COUNTIF('DADOS_PROGRESSAO'!$C$2:$C$21,SUBSTITUTE(SUBSTITUTE(SUBSTITUTE(C19,"~","~~"),"*","~*"),"?","~?"))&gt;1,COUNTIF($AY$2:$AY$24,SUBSTITUTE(SUBSTITUTE(SUBSTITUTE(C19,"~","~~"),"*","~*"),"?","~?"))&gt;0,COUNTIF($AZ$2:$AZ$12,SUBSTITUTE(SUBSTITUTE(SUBSTITUTE(C19,"~","~~"),"*","~*"),"?","~?"))&gt;0)),"Nome repetido no livro ou custom",""),IF(COUNTIF($AN$2:$AN$6,D19)=0,"Escolha um atributo válido",""),IF(ISLOGICAL(E19),"","MESTRE VIU deve ser caixa de seleção")))</f>
        <v/>
      </c>
      <c r="AA19" t="inlineStr">
        <is>
          <t>Assassino</t>
        </is>
      </c>
      <c r="AB19" t="inlineStr">
        <is>
          <t>Incursor</t>
        </is>
      </c>
      <c r="AC19" t="inlineStr">
        <is>
          <t>Assassino</t>
        </is>
      </c>
      <c r="AG19" t="inlineStr">
        <is>
          <t>Percepção</t>
        </is>
      </c>
      <c r="AH19" t="inlineStr">
        <is>
          <t>Essência</t>
        </is>
      </c>
      <c r="AJ19">
        <f>IF(AND($B18="Ofício",$C18&lt;&gt;"",$G18=""),$C18,"")</f>
        <v/>
      </c>
      <c r="AK19">
        <f>IF(AJ19="","",$D18)</f>
        <v/>
      </c>
      <c r="AU19" t="inlineStr">
        <is>
          <t>Múltiplas Invocações</t>
        </is>
      </c>
      <c r="AY19" t="inlineStr">
        <is>
          <t>Percepção</t>
        </is>
      </c>
      <c r="BB19" t="inlineStr">
        <is>
          <t>Assassino</t>
        </is>
      </c>
      <c r="BD19">
        <f>ADDRESS(ROW('FICHA'!$Z$444),COLUMN('FICHA'!$Z$444),4)</f>
        <v/>
      </c>
      <c r="BE19" t="inlineStr">
        <is>
          <t>Caminho</t>
        </is>
      </c>
      <c r="BF19" t="n">
        <v>18</v>
      </c>
      <c r="BG19">
        <f>""</f>
        <v/>
      </c>
      <c r="BH19">
        <f>""</f>
        <v/>
      </c>
      <c r="BK19">
        <f>IF(AND('FICHA'!$Z$444&lt;&gt;"",COUNTIF('DADOS_PROGRESSAO'!$AV$2:$AV$11,SUBSTITUTE(SUBSTITUTE(SUBSTITUTE('FICHA'!$Z$444,"~","~~"),"*","~*"),"?","~?"))=1,(COUNTIF('FICHA'!$F$439:$F$450,SUBSTITUTE(SUBSTITUTE(SUBSTITUTE('FICHA'!$Z$444,"~","~~"),"*","~*"),"?","~?"))+COUNTIF('FICHA'!$Z$439:$Z$449,SUBSTITUTE(SUBSTITUTE(SUBSTITUTE('FICHA'!$Z$444,"~","~~"),"*","~*"),"?","~?")))=1),N('FICHA'!$X$444),0)</f>
        <v/>
      </c>
      <c r="BL19">
        <f>IF(AND('FICHA'!$Z$444&lt;&gt;"",COUNTIF('DADOS_PROGRESSAO'!$AV$2:$AV$11,SUBSTITUTE(SUBSTITUTE(SUBSTITUTE('FICHA'!$Z$444,"~","~~"),"*","~*"),"?","~?"))=1,(COUNTIF('FICHA'!$F$439:$F$450,SUBSTITUTE(SUBSTITUTE(SUBSTITUTE('FICHA'!$Z$444,"~","~~"),"*","~*"),"?","~?"))+COUNTIF('FICHA'!$Z$439:$Z$449,SUBSTITUTE(SUBSTITUTE(SUBSTITUTE('FICHA'!$Z$444,"~","~~"),"*","~*"),"?","~?")))=1),N('FICHA'!$Y$444),0)</f>
        <v/>
      </c>
    </row>
    <row r="20">
      <c r="A20" t="n">
        <v>19</v>
      </c>
      <c r="B20">
        <f>IF(ISBLANK('CONFIGURAÇÃO'!$BS$67),"",'CONFIGURAÇÃO'!$BS$67)</f>
        <v/>
      </c>
      <c r="C20">
        <f>IF(ISBLANK('CONFIGURAÇÃO'!$BS$69),"",'CONFIGURAÇÃO'!$BS$69)</f>
        <v/>
      </c>
      <c r="D20">
        <f>IF(ISBLANK('CONFIGURAÇÃO'!$BV$70),"",'CONFIGURAÇÃO'!$BV$70)</f>
        <v/>
      </c>
      <c r="E20">
        <f>IF(ISBLANK('CONFIGURAÇÃO'!$BW$67),"",'CONFIGURAÇÃO'!$BW$67)</f>
        <v/>
      </c>
      <c r="F20">
        <f>IF(ISBLANK('CONFIGURAÇÃO'!$BS$72),"",'CONFIGURAÇÃO'!$BS$72)</f>
        <v/>
      </c>
      <c r="G20">
        <f>IF(AND(C20="",D20="",F20="",E20=FALSE,OR(B20="",B20="Ofício")),"",TEXTJOIN(" · ",TRUE,IF(B20&lt;&gt;"Ofício","Tipo incompatível com o cadastro",""),IF(OR(C20="",TRIM(C20)&lt;&gt;C20),"Preencha NOME sem espaços nas pontas",""),IF(AND(C20&lt;&gt;"",OR(COUNTIF('DADOS_PROGRESSAO'!$C$2:$C$21,SUBSTITUTE(SUBSTITUTE(SUBSTITUTE(C20,"~","~~"),"*","~*"),"?","~?"))&gt;1,COUNTIF($AY$2:$AY$24,SUBSTITUTE(SUBSTITUTE(SUBSTITUTE(C20,"~","~~"),"*","~*"),"?","~?"))&gt;0,COUNTIF($AZ$2:$AZ$12,SUBSTITUTE(SUBSTITUTE(SUBSTITUTE(C20,"~","~~"),"*","~*"),"?","~?"))&gt;0)),"Nome repetido no livro ou custom",""),IF(COUNTIF($AN$2:$AN$6,D20)=0,"Escolha um atributo válido",""),IF(ISLOGICAL(E20),"","MESTRE VIU deve ser caixa de seleção")))</f>
        <v/>
      </c>
      <c r="AA20" t="inlineStr">
        <is>
          <t>Pugilista</t>
        </is>
      </c>
      <c r="AB20" t="inlineStr">
        <is>
          <t>Incursor</t>
        </is>
      </c>
      <c r="AC20" t="inlineStr">
        <is>
          <t>Pugilista</t>
        </is>
      </c>
      <c r="AG20" t="inlineStr">
        <is>
          <t>Persuasão</t>
        </is>
      </c>
      <c r="AH20" t="inlineStr">
        <is>
          <t>Essência</t>
        </is>
      </c>
      <c r="AJ20">
        <f>IF(AND($B19="Ofício",$C19&lt;&gt;"",$G19=""),$C19,"")</f>
        <v/>
      </c>
      <c r="AK20">
        <f>IF(AJ20="","",$D19)</f>
        <v/>
      </c>
      <c r="AU20" t="inlineStr">
        <is>
          <t>Assassino</t>
        </is>
      </c>
      <c r="AY20" t="inlineStr">
        <is>
          <t>Persuasão</t>
        </is>
      </c>
      <c r="BB20" t="inlineStr">
        <is>
          <t>Pugilista</t>
        </is>
      </c>
      <c r="BD20">
        <f>ADDRESS(ROW('FICHA'!$Z$445),COLUMN('FICHA'!$Z$445),4)</f>
        <v/>
      </c>
      <c r="BE20" t="inlineStr">
        <is>
          <t>Caminho</t>
        </is>
      </c>
      <c r="BF20" t="n">
        <v>19</v>
      </c>
      <c r="BG20">
        <f>""</f>
        <v/>
      </c>
      <c r="BH20">
        <f>""</f>
        <v/>
      </c>
      <c r="BK20">
        <f>IF(AND('FICHA'!$Z$445&lt;&gt;"",COUNTIF('DADOS_PROGRESSAO'!$AV$2:$AV$11,SUBSTITUTE(SUBSTITUTE(SUBSTITUTE('FICHA'!$Z$445,"~","~~"),"*","~*"),"?","~?"))=1,(COUNTIF('FICHA'!$F$439:$F$450,SUBSTITUTE(SUBSTITUTE(SUBSTITUTE('FICHA'!$Z$445,"~","~~"),"*","~*"),"?","~?"))+COUNTIF('FICHA'!$Z$439:$Z$449,SUBSTITUTE(SUBSTITUTE(SUBSTITUTE('FICHA'!$Z$445,"~","~~"),"*","~*"),"?","~?")))=1),N('FICHA'!$X$445),0)</f>
        <v/>
      </c>
      <c r="BL20">
        <f>IF(AND('FICHA'!$Z$445&lt;&gt;"",COUNTIF('DADOS_PROGRESSAO'!$AV$2:$AV$11,SUBSTITUTE(SUBSTITUTE(SUBSTITUTE('FICHA'!$Z$445,"~","~~"),"*","~*"),"?","~?"))=1,(COUNTIF('FICHA'!$F$439:$F$450,SUBSTITUTE(SUBSTITUTE(SUBSTITUTE('FICHA'!$Z$445,"~","~~"),"*","~*"),"?","~?"))+COUNTIF('FICHA'!$Z$439:$Z$449,SUBSTITUTE(SUBSTITUTE(SUBSTITUTE('FICHA'!$Z$445,"~","~~"),"*","~*"),"?","~?")))=1),N('FICHA'!$Y$445),0)</f>
        <v/>
      </c>
    </row>
    <row r="21">
      <c r="A21" t="n">
        <v>20</v>
      </c>
      <c r="B21">
        <f>IF(ISBLANK('CONFIGURAÇÃO'!$CA$67),"",'CONFIGURAÇÃO'!$CA$67)</f>
        <v/>
      </c>
      <c r="C21">
        <f>IF(ISBLANK('CONFIGURAÇÃO'!$CA$69),"",'CONFIGURAÇÃO'!$CA$69)</f>
        <v/>
      </c>
      <c r="D21">
        <f>IF(ISBLANK('CONFIGURAÇÃO'!$CD$70),"",'CONFIGURAÇÃO'!$CD$70)</f>
        <v/>
      </c>
      <c r="E21">
        <f>IF(ISBLANK('CONFIGURAÇÃO'!$CE$67),"",'CONFIGURAÇÃO'!$CE$67)</f>
        <v/>
      </c>
      <c r="F21">
        <f>IF(ISBLANK('CONFIGURAÇÃO'!$CA$72),"",'CONFIGURAÇÃO'!$CA$72)</f>
        <v/>
      </c>
      <c r="G21">
        <f>IF(AND(C21="",D21="",F21="",E21=FALSE,OR(B21="",B21="Ofício")),"",TEXTJOIN(" · ",TRUE,IF(B21&lt;&gt;"Ofício","Tipo incompatível com o cadastro",""),IF(OR(C21="",TRIM(C21)&lt;&gt;C21),"Preencha NOME sem espaços nas pontas",""),IF(AND(C21&lt;&gt;"",OR(COUNTIF('DADOS_PROGRESSAO'!$C$2:$C$21,SUBSTITUTE(SUBSTITUTE(SUBSTITUTE(C21,"~","~~"),"*","~*"),"?","~?"))&gt;1,COUNTIF($AY$2:$AY$24,SUBSTITUTE(SUBSTITUTE(SUBSTITUTE(C21,"~","~~"),"*","~*"),"?","~?"))&gt;0,COUNTIF($AZ$2:$AZ$12,SUBSTITUTE(SUBSTITUTE(SUBSTITUTE(C21,"~","~~"),"*","~*"),"?","~?"))&gt;0)),"Nome repetido no livro ou custom",""),IF(COUNTIF($AN$2:$AN$6,D21)=0,"Escolha um atributo válido",""),IF(ISLOGICAL(E21),"","MESTRE VIU deve ser caixa de seleção")))</f>
        <v/>
      </c>
      <c r="AA21" t="inlineStr">
        <is>
          <t>Malabarista</t>
        </is>
      </c>
      <c r="AB21" t="inlineStr">
        <is>
          <t>Incursor</t>
        </is>
      </c>
      <c r="AC21" t="inlineStr">
        <is>
          <t>Malabarista</t>
        </is>
      </c>
      <c r="AG21" t="inlineStr">
        <is>
          <t>Enganação</t>
        </is>
      </c>
      <c r="AH21" t="inlineStr">
        <is>
          <t>Essência</t>
        </is>
      </c>
      <c r="AJ21">
        <f>IF(AND($B20="Ofício",$C20&lt;&gt;"",$G20=""),$C20,"")</f>
        <v/>
      </c>
      <c r="AK21">
        <f>IF(AJ21="","",$D20)</f>
        <v/>
      </c>
      <c r="AU21" t="inlineStr">
        <is>
          <t>Pugilista</t>
        </is>
      </c>
      <c r="AY21" t="inlineStr">
        <is>
          <t>Enganação</t>
        </is>
      </c>
      <c r="BB21" t="inlineStr">
        <is>
          <t>Malabarista</t>
        </is>
      </c>
      <c r="BD21">
        <f>ADDRESS(ROW('FICHA'!$Z$446),COLUMN('FICHA'!$Z$446),4)</f>
        <v/>
      </c>
      <c r="BE21" t="inlineStr">
        <is>
          <t>Caminho</t>
        </is>
      </c>
      <c r="BF21" t="n">
        <v>20</v>
      </c>
      <c r="BG21">
        <f>""</f>
        <v/>
      </c>
      <c r="BH21">
        <f>""</f>
        <v/>
      </c>
      <c r="BK21">
        <f>IF(AND('FICHA'!$Z$446&lt;&gt;"",COUNTIF('DADOS_PROGRESSAO'!$AV$2:$AV$11,SUBSTITUTE(SUBSTITUTE(SUBSTITUTE('FICHA'!$Z$446,"~","~~"),"*","~*"),"?","~?"))=1,(COUNTIF('FICHA'!$F$439:$F$450,SUBSTITUTE(SUBSTITUTE(SUBSTITUTE('FICHA'!$Z$446,"~","~~"),"*","~*"),"?","~?"))+COUNTIF('FICHA'!$Z$439:$Z$449,SUBSTITUTE(SUBSTITUTE(SUBSTITUTE('FICHA'!$Z$446,"~","~~"),"*","~*"),"?","~?")))=1),N('FICHA'!$X$446),0)</f>
        <v/>
      </c>
      <c r="BL21">
        <f>IF(AND('FICHA'!$Z$446&lt;&gt;"",COUNTIF('DADOS_PROGRESSAO'!$AV$2:$AV$11,SUBSTITUTE(SUBSTITUTE(SUBSTITUTE('FICHA'!$Z$446,"~","~~"),"*","~*"),"?","~?"))=1,(COUNTIF('FICHA'!$F$439:$F$450,SUBSTITUTE(SUBSTITUTE(SUBSTITUTE('FICHA'!$Z$446,"~","~~"),"*","~*"),"?","~?"))+COUNTIF('FICHA'!$Z$439:$Z$449,SUBSTITUTE(SUBSTITUTE(SUBSTITUTE('FICHA'!$Z$446,"~","~~"),"*","~*"),"?","~?")))=1),N('FICHA'!$Y$446),0)</f>
        <v/>
      </c>
    </row>
    <row r="22">
      <c r="AA22">
        <f>IF(AND('CONFIGURAÇÃO'!$AS$13&lt;&gt;"",$K$3=""),'CONFIGURAÇÃO'!$AS$13,"")</f>
        <v/>
      </c>
      <c r="AB22">
        <f>IF(AND('CONFIGURAÇÃO'!$AS$13&lt;&gt;"",$K$3=""),'CONFIGURAÇÃO'!$AV$14,"")</f>
        <v/>
      </c>
      <c r="AC22">
        <f>IF(AND('CONFIGURAÇÃO'!$AS$13&lt;&gt;"",$K$3=""),'CONFIGURAÇÃO'!$AV$15,"")</f>
        <v/>
      </c>
      <c r="AG22" t="inlineStr">
        <is>
          <t>Intimidação</t>
        </is>
      </c>
      <c r="AH22" t="inlineStr">
        <is>
          <t>Essência</t>
        </is>
      </c>
      <c r="AJ22">
        <f>IF(AND($B21="Ofício",$C21&lt;&gt;"",$G21=""),$C21,"")</f>
        <v/>
      </c>
      <c r="AK22">
        <f>IF(AJ22="","",$D21)</f>
        <v/>
      </c>
      <c r="AU22" t="inlineStr">
        <is>
          <t>Malabarista</t>
        </is>
      </c>
      <c r="AY22" t="inlineStr">
        <is>
          <t>Intimidação</t>
        </is>
      </c>
      <c r="BD22">
        <f>ADDRESS(ROW('FICHA'!$Z$447),COLUMN('FICHA'!$Z$447),4)</f>
        <v/>
      </c>
      <c r="BE22" t="inlineStr">
        <is>
          <t>Caminho</t>
        </is>
      </c>
      <c r="BF22" t="n">
        <v>21</v>
      </c>
      <c r="BG22">
        <f>""</f>
        <v/>
      </c>
      <c r="BH22">
        <f>""</f>
        <v/>
      </c>
      <c r="BK22">
        <f>IF(AND('FICHA'!$Z$447&lt;&gt;"",COUNTIF('DADOS_PROGRESSAO'!$AV$2:$AV$11,SUBSTITUTE(SUBSTITUTE(SUBSTITUTE('FICHA'!$Z$447,"~","~~"),"*","~*"),"?","~?"))=1,(COUNTIF('FICHA'!$F$439:$F$450,SUBSTITUTE(SUBSTITUTE(SUBSTITUTE('FICHA'!$Z$447,"~","~~"),"*","~*"),"?","~?"))+COUNTIF('FICHA'!$Z$439:$Z$449,SUBSTITUTE(SUBSTITUTE(SUBSTITUTE('FICHA'!$Z$447,"~","~~"),"*","~*"),"?","~?")))=1),N('FICHA'!$X$447),0)</f>
        <v/>
      </c>
      <c r="BL22">
        <f>IF(AND('FICHA'!$Z$447&lt;&gt;"",COUNTIF('DADOS_PROGRESSAO'!$AV$2:$AV$11,SUBSTITUTE(SUBSTITUTE(SUBSTITUTE('FICHA'!$Z$447,"~","~~"),"*","~*"),"?","~?"))=1,(COUNTIF('FICHA'!$F$439:$F$450,SUBSTITUTE(SUBSTITUTE(SUBSTITUTE('FICHA'!$Z$447,"~","~~"),"*","~*"),"?","~?"))+COUNTIF('FICHA'!$Z$439:$Z$449,SUBSTITUTE(SUBSTITUTE(SUBSTITUTE('FICHA'!$Z$447,"~","~~"),"*","~*"),"?","~?")))=1),N('FICHA'!$Y$447),0)</f>
        <v/>
      </c>
    </row>
    <row r="23">
      <c r="AG23" t="inlineStr">
        <is>
          <t>Atuação</t>
        </is>
      </c>
      <c r="AH23" t="inlineStr">
        <is>
          <t>Essência</t>
        </is>
      </c>
      <c r="AJ23" t="inlineStr">
        <is>
          <t>—</t>
        </is>
      </c>
      <c r="AY23" t="inlineStr">
        <is>
          <t>Atuação</t>
        </is>
      </c>
      <c r="BD23">
        <f>ADDRESS(ROW('FICHA'!$Z$448),COLUMN('FICHA'!$Z$448),4)</f>
        <v/>
      </c>
      <c r="BE23" t="inlineStr">
        <is>
          <t>Caminho</t>
        </is>
      </c>
      <c r="BF23" t="n">
        <v>22</v>
      </c>
      <c r="BG23">
        <f>""</f>
        <v/>
      </c>
      <c r="BH23">
        <f>""</f>
        <v/>
      </c>
      <c r="BK23">
        <f>IF(AND('FICHA'!$Z$448&lt;&gt;"",COUNTIF('DADOS_PROGRESSAO'!$AV$2:$AV$11,SUBSTITUTE(SUBSTITUTE(SUBSTITUTE('FICHA'!$Z$448,"~","~~"),"*","~*"),"?","~?"))=1,(COUNTIF('FICHA'!$F$439:$F$450,SUBSTITUTE(SUBSTITUTE(SUBSTITUTE('FICHA'!$Z$448,"~","~~"),"*","~*"),"?","~?"))+COUNTIF('FICHA'!$Z$439:$Z$449,SUBSTITUTE(SUBSTITUTE(SUBSTITUTE('FICHA'!$Z$448,"~","~~"),"*","~*"),"?","~?")))=1),N('FICHA'!$X$448),0)</f>
        <v/>
      </c>
      <c r="BL23">
        <f>IF(AND('FICHA'!$Z$448&lt;&gt;"",COUNTIF('DADOS_PROGRESSAO'!$AV$2:$AV$11,SUBSTITUTE(SUBSTITUTE(SUBSTITUTE('FICHA'!$Z$448,"~","~~"),"*","~*"),"?","~?"))=1,(COUNTIF('FICHA'!$F$439:$F$450,SUBSTITUTE(SUBSTITUTE(SUBSTITUTE('FICHA'!$Z$448,"~","~~"),"*","~*"),"?","~?"))+COUNTIF('FICHA'!$Z$439:$Z$449,SUBSTITUTE(SUBSTITUTE(SUBSTITUTE('FICHA'!$Z$448,"~","~~"),"*","~*"),"?","~?")))=1),N('FICHA'!$Y$448),0)</f>
        <v/>
      </c>
    </row>
    <row r="24">
      <c r="AG24" t="inlineStr">
        <is>
          <t>Provocar</t>
        </is>
      </c>
      <c r="AH24" t="inlineStr">
        <is>
          <t>Essência</t>
        </is>
      </c>
      <c r="AY24" t="inlineStr">
        <is>
          <t>Provocar</t>
        </is>
      </c>
      <c r="BD24">
        <f>ADDRESS(ROW('FICHA'!$Z$449),COLUMN('FICHA'!$Z$449),4)</f>
        <v/>
      </c>
      <c r="BE24" t="inlineStr">
        <is>
          <t>Caminho</t>
        </is>
      </c>
      <c r="BF24" t="n">
        <v>23</v>
      </c>
      <c r="BG24">
        <f>IF(AND($K$7=1,'CONFIGURAÇÃO'!$AL$59&lt;&gt;""),'CONFIGURAÇÃO'!$AL$59,"")</f>
        <v/>
      </c>
      <c r="BH24">
        <f>IF(OR(BG24="",'CONFIGURAÇÃO'!$AK$60=""),"",'CONFIGURAÇÃO'!$AK$60)</f>
        <v/>
      </c>
      <c r="BK24">
        <f>IF(AND('FICHA'!$Z$449&lt;&gt;"",COUNTIF('DADOS_PROGRESSAO'!$AV$2:$AV$11,SUBSTITUTE(SUBSTITUTE(SUBSTITUTE('FICHA'!$Z$449,"~","~~"),"*","~*"),"?","~?"))=1,(COUNTIF('FICHA'!$F$439:$F$450,SUBSTITUTE(SUBSTITUTE(SUBSTITUTE('FICHA'!$Z$449,"~","~~"),"*","~*"),"?","~?"))+COUNTIF('FICHA'!$Z$439:$Z$449,SUBSTITUTE(SUBSTITUTE(SUBSTITUTE('FICHA'!$Z$449,"~","~~"),"*","~*"),"?","~?")))=1),N('FICHA'!$X$449),0)</f>
        <v/>
      </c>
      <c r="BL24">
        <f>IF(AND('FICHA'!$Z$449&lt;&gt;"",COUNTIF('DADOS_PROGRESSAO'!$AV$2:$AV$11,SUBSTITUTE(SUBSTITUTE(SUBSTITUTE('FICHA'!$Z$449,"~","~~"),"*","~*"),"?","~?"))=1,(COUNTIF('FICHA'!$F$439:$F$450,SUBSTITUTE(SUBSTITUTE(SUBSTITUTE('FICHA'!$Z$449,"~","~~"),"*","~*"),"?","~?"))+COUNTIF('FICHA'!$Z$439:$Z$449,SUBSTITUTE(SUBSTITUTE(SUBSTITUTE('FICHA'!$Z$449,"~","~~"),"*","~*"),"?","~?")))=1),N('FICHA'!$Y$449),0)</f>
        <v/>
      </c>
    </row>
    <row r="25">
      <c r="AG25">
        <f>IF(AND($B2="Perícia",$C2&lt;&gt;"",$G2=""),$C2,"")</f>
        <v/>
      </c>
      <c r="AH25">
        <f>IF(AG25="","",$D2)</f>
        <v/>
      </c>
      <c r="BE25" t="inlineStr">
        <is>
          <t>Caminho</t>
        </is>
      </c>
      <c r="BF25" t="n">
        <v>24</v>
      </c>
      <c r="BG25">
        <f>""</f>
        <v/>
      </c>
      <c r="BH25">
        <f>""</f>
        <v/>
      </c>
      <c r="BK25">
        <f>IF(AND('FICHA'!$F$455&lt;&gt;"",COUNTIF('DADOS_PROGRESSAO'!$AW$2:$AW$11,SUBSTITUTE(SUBSTITUTE(SUBSTITUTE('FICHA'!$F$455,"~","~~"),"*","~*"),"?","~?"))=1,(COUNTIF('FICHA'!$F$455:$F$460,SUBSTITUTE(SUBSTITUTE(SUBSTITUTE('FICHA'!$F$455,"~","~~"),"*","~*"),"?","~?"))+COUNTIF('FICHA'!$Z$455:$Z$459,SUBSTITUTE(SUBSTITUTE(SUBSTITUTE('FICHA'!$F$455,"~","~~"),"*","~*"),"?","~?")))=1),N('FICHA'!$D$455),0)</f>
        <v/>
      </c>
      <c r="BL25">
        <f>IF(AND('FICHA'!$F$455&lt;&gt;"",COUNTIF('DADOS_PROGRESSAO'!$AW$2:$AW$11,SUBSTITUTE(SUBSTITUTE(SUBSTITUTE('FICHA'!$F$455,"~","~~"),"*","~*"),"?","~?"))=1,(COUNTIF('FICHA'!$F$455:$F$460,SUBSTITUTE(SUBSTITUTE(SUBSTITUTE('FICHA'!$F$455,"~","~~"),"*","~*"),"?","~?"))+COUNTIF('FICHA'!$Z$455:$Z$459,SUBSTITUTE(SUBSTITUTE(SUBSTITUTE('FICHA'!$F$455,"~","~~"),"*","~*"),"?","~?")))=1),N('FICHA'!$E$455),0)</f>
        <v/>
      </c>
    </row>
    <row r="26">
      <c r="AG26">
        <f>IF(AND($B3="Perícia",$C3&lt;&gt;"",$G3=""),$C3,"")</f>
        <v/>
      </c>
      <c r="AH26">
        <f>IF(AG26="","",$D3)</f>
        <v/>
      </c>
      <c r="BE26" t="inlineStr">
        <is>
          <t>Caminho</t>
        </is>
      </c>
      <c r="BF26" t="n">
        <v>25</v>
      </c>
      <c r="BG26">
        <f>""</f>
        <v/>
      </c>
      <c r="BH26">
        <f>""</f>
        <v/>
      </c>
      <c r="BK26">
        <f>IF(AND('FICHA'!$F$456&lt;&gt;"",COUNTIF('DADOS_PROGRESSAO'!$AW$2:$AW$11,SUBSTITUTE(SUBSTITUTE(SUBSTITUTE('FICHA'!$F$456,"~","~~"),"*","~*"),"?","~?"))=1,(COUNTIF('FICHA'!$F$455:$F$460,SUBSTITUTE(SUBSTITUTE(SUBSTITUTE('FICHA'!$F$456,"~","~~"),"*","~*"),"?","~?"))+COUNTIF('FICHA'!$Z$455:$Z$459,SUBSTITUTE(SUBSTITUTE(SUBSTITUTE('FICHA'!$F$456,"~","~~"),"*","~*"),"?","~?")))=1),N('FICHA'!$D$456),0)</f>
        <v/>
      </c>
      <c r="BL26">
        <f>IF(AND('FICHA'!$F$456&lt;&gt;"",COUNTIF('DADOS_PROGRESSAO'!$AW$2:$AW$11,SUBSTITUTE(SUBSTITUTE(SUBSTITUTE('FICHA'!$F$456,"~","~~"),"*","~*"),"?","~?"))=1,(COUNTIF('FICHA'!$F$455:$F$460,SUBSTITUTE(SUBSTITUTE(SUBSTITUTE('FICHA'!$F$456,"~","~~"),"*","~*"),"?","~?"))+COUNTIF('FICHA'!$Z$455:$Z$459,SUBSTITUTE(SUBSTITUTE(SUBSTITUTE('FICHA'!$F$456,"~","~~"),"*","~*"),"?","~?")))=1),N('FICHA'!$E$456),0)</f>
        <v/>
      </c>
    </row>
    <row r="27">
      <c r="AG27">
        <f>IF(AND($B4="Perícia",$C4&lt;&gt;"",$G4=""),$C4,"")</f>
        <v/>
      </c>
      <c r="AH27">
        <f>IF(AG27="","",$D4)</f>
        <v/>
      </c>
      <c r="BE27" t="inlineStr">
        <is>
          <t>Caminho</t>
        </is>
      </c>
      <c r="BF27" t="n">
        <v>26</v>
      </c>
      <c r="BG27">
        <f>""</f>
        <v/>
      </c>
      <c r="BH27">
        <f>""</f>
        <v/>
      </c>
      <c r="BK27">
        <f>IF(AND('FICHA'!$F$457&lt;&gt;"",COUNTIF('DADOS_PROGRESSAO'!$AW$2:$AW$11,SUBSTITUTE(SUBSTITUTE(SUBSTITUTE('FICHA'!$F$457,"~","~~"),"*","~*"),"?","~?"))=1,(COUNTIF('FICHA'!$F$455:$F$460,SUBSTITUTE(SUBSTITUTE(SUBSTITUTE('FICHA'!$F$457,"~","~~"),"*","~*"),"?","~?"))+COUNTIF('FICHA'!$Z$455:$Z$459,SUBSTITUTE(SUBSTITUTE(SUBSTITUTE('FICHA'!$F$457,"~","~~"),"*","~*"),"?","~?")))=1),N('FICHA'!$D$457),0)</f>
        <v/>
      </c>
      <c r="BL27">
        <f>IF(AND('FICHA'!$F$457&lt;&gt;"",COUNTIF('DADOS_PROGRESSAO'!$AW$2:$AW$11,SUBSTITUTE(SUBSTITUTE(SUBSTITUTE('FICHA'!$F$457,"~","~~"),"*","~*"),"?","~?"))=1,(COUNTIF('FICHA'!$F$455:$F$460,SUBSTITUTE(SUBSTITUTE(SUBSTITUTE('FICHA'!$F$457,"~","~~"),"*","~*"),"?","~?"))+COUNTIF('FICHA'!$Z$455:$Z$459,SUBSTITUTE(SUBSTITUTE(SUBSTITUTE('FICHA'!$F$457,"~","~~"),"*","~*"),"?","~?")))=1),N('FICHA'!$E$457),0)</f>
        <v/>
      </c>
    </row>
    <row r="28">
      <c r="AG28">
        <f>IF(AND($B5="Perícia",$C5&lt;&gt;"",$G5=""),$C5,"")</f>
        <v/>
      </c>
      <c r="AH28">
        <f>IF(AG28="","",$D5)</f>
        <v/>
      </c>
      <c r="BE28" t="inlineStr">
        <is>
          <t>Caminho</t>
        </is>
      </c>
      <c r="BF28" t="n">
        <v>27</v>
      </c>
      <c r="BG28">
        <f>""</f>
        <v/>
      </c>
      <c r="BH28">
        <f>""</f>
        <v/>
      </c>
      <c r="BK28">
        <f>IF(AND('FICHA'!$F$458&lt;&gt;"",COUNTIF('DADOS_PROGRESSAO'!$AW$2:$AW$11,SUBSTITUTE(SUBSTITUTE(SUBSTITUTE('FICHA'!$F$458,"~","~~"),"*","~*"),"?","~?"))=1,(COUNTIF('FICHA'!$F$455:$F$460,SUBSTITUTE(SUBSTITUTE(SUBSTITUTE('FICHA'!$F$458,"~","~~"),"*","~*"),"?","~?"))+COUNTIF('FICHA'!$Z$455:$Z$459,SUBSTITUTE(SUBSTITUTE(SUBSTITUTE('FICHA'!$F$458,"~","~~"),"*","~*"),"?","~?")))=1),N('FICHA'!$D$458),0)</f>
        <v/>
      </c>
      <c r="BL28">
        <f>IF(AND('FICHA'!$F$458&lt;&gt;"",COUNTIF('DADOS_PROGRESSAO'!$AW$2:$AW$11,SUBSTITUTE(SUBSTITUTE(SUBSTITUTE('FICHA'!$F$458,"~","~~"),"*","~*"),"?","~?"))=1,(COUNTIF('FICHA'!$F$455:$F$460,SUBSTITUTE(SUBSTITUTE(SUBSTITUTE('FICHA'!$F$458,"~","~~"),"*","~*"),"?","~?"))+COUNTIF('FICHA'!$Z$455:$Z$459,SUBSTITUTE(SUBSTITUTE(SUBSTITUTE('FICHA'!$F$458,"~","~~"),"*","~*"),"?","~?")))=1),N('FICHA'!$E$458),0)</f>
        <v/>
      </c>
    </row>
    <row r="29">
      <c r="AG29">
        <f>IF(AND($B6="Perícia",$C6&lt;&gt;"",$G6=""),$C6,"")</f>
        <v/>
      </c>
      <c r="AH29">
        <f>IF(AG29="","",$D6)</f>
        <v/>
      </c>
      <c r="BE29" t="inlineStr">
        <is>
          <t>Caminho</t>
        </is>
      </c>
      <c r="BF29" t="n">
        <v>28</v>
      </c>
      <c r="BG29">
        <f>""</f>
        <v/>
      </c>
      <c r="BH29">
        <f>""</f>
        <v/>
      </c>
      <c r="BK29">
        <f>IF(AND('FICHA'!$F$459&lt;&gt;"",COUNTIF('DADOS_PROGRESSAO'!$AW$2:$AW$11,SUBSTITUTE(SUBSTITUTE(SUBSTITUTE('FICHA'!$F$459,"~","~~"),"*","~*"),"?","~?"))=1,(COUNTIF('FICHA'!$F$455:$F$460,SUBSTITUTE(SUBSTITUTE(SUBSTITUTE('FICHA'!$F$459,"~","~~"),"*","~*"),"?","~?"))+COUNTIF('FICHA'!$Z$455:$Z$459,SUBSTITUTE(SUBSTITUTE(SUBSTITUTE('FICHA'!$F$459,"~","~~"),"*","~*"),"?","~?")))=1),N('FICHA'!$D$459),0)</f>
        <v/>
      </c>
      <c r="BL29">
        <f>IF(AND('FICHA'!$F$459&lt;&gt;"",COUNTIF('DADOS_PROGRESSAO'!$AW$2:$AW$11,SUBSTITUTE(SUBSTITUTE(SUBSTITUTE('FICHA'!$F$459,"~","~~"),"*","~*"),"?","~?"))=1,(COUNTIF('FICHA'!$F$455:$F$460,SUBSTITUTE(SUBSTITUTE(SUBSTITUTE('FICHA'!$F$459,"~","~~"),"*","~*"),"?","~?"))+COUNTIF('FICHA'!$Z$455:$Z$459,SUBSTITUTE(SUBSTITUTE(SUBSTITUTE('FICHA'!$F$459,"~","~~"),"*","~*"),"?","~?")))=1),N('FICHA'!$E$459),0)</f>
        <v/>
      </c>
    </row>
    <row r="30">
      <c r="AG30">
        <f>IF(AND($B7="Perícia",$C7&lt;&gt;"",$G7=""),$C7,"")</f>
        <v/>
      </c>
      <c r="AH30">
        <f>IF(AG30="","",$D7)</f>
        <v/>
      </c>
      <c r="BE30" t="inlineStr">
        <is>
          <t>Caminho</t>
        </is>
      </c>
      <c r="BF30" t="n">
        <v>29</v>
      </c>
      <c r="BG30">
        <f>""</f>
        <v/>
      </c>
      <c r="BH30">
        <f>""</f>
        <v/>
      </c>
      <c r="BK30">
        <f>IF(AND('FICHA'!$F$460&lt;&gt;"",COUNTIF('DADOS_PROGRESSAO'!$AW$2:$AW$11,SUBSTITUTE(SUBSTITUTE(SUBSTITUTE('FICHA'!$F$460,"~","~~"),"*","~*"),"?","~?"))=1,(COUNTIF('FICHA'!$F$455:$F$460,SUBSTITUTE(SUBSTITUTE(SUBSTITUTE('FICHA'!$F$460,"~","~~"),"*","~*"),"?","~?"))+COUNTIF('FICHA'!$Z$455:$Z$459,SUBSTITUTE(SUBSTITUTE(SUBSTITUTE('FICHA'!$F$460,"~","~~"),"*","~*"),"?","~?")))=1),N('FICHA'!$D$460),0)</f>
        <v/>
      </c>
      <c r="BL30">
        <f>IF(AND('FICHA'!$F$460&lt;&gt;"",COUNTIF('DADOS_PROGRESSAO'!$AW$2:$AW$11,SUBSTITUTE(SUBSTITUTE(SUBSTITUTE('FICHA'!$F$460,"~","~~"),"*","~*"),"?","~?"))=1,(COUNTIF('FICHA'!$F$455:$F$460,SUBSTITUTE(SUBSTITUTE(SUBSTITUTE('FICHA'!$F$460,"~","~~"),"*","~*"),"?","~?"))+COUNTIF('FICHA'!$Z$455:$Z$459,SUBSTITUTE(SUBSTITUTE(SUBSTITUTE('FICHA'!$F$460,"~","~~"),"*","~*"),"?","~?")))=1),N('FICHA'!$E$460),0)</f>
        <v/>
      </c>
    </row>
    <row r="31">
      <c r="AG31">
        <f>IF(AND($B8="Perícia",$C8&lt;&gt;"",$G8=""),$C8,"")</f>
        <v/>
      </c>
      <c r="AH31">
        <f>IF(AG31="","",$D8)</f>
        <v/>
      </c>
      <c r="BE31" t="inlineStr">
        <is>
          <t>Caminho</t>
        </is>
      </c>
      <c r="BF31" t="n">
        <v>30</v>
      </c>
      <c r="BG31">
        <f>IF(AND($K$7=1,'CONFIGURAÇÃO'!$AL$62&lt;&gt;""),'CONFIGURAÇÃO'!$AL$62,"")</f>
        <v/>
      </c>
      <c r="BH31">
        <f>IF(OR(BG31="",'CONFIGURAÇÃO'!$AK$63=""),"",'CONFIGURAÇÃO'!$AK$63)</f>
        <v/>
      </c>
      <c r="BK31">
        <f>IF(AND('FICHA'!$Z$455&lt;&gt;"",COUNTIF('DADOS_PROGRESSAO'!$AW$2:$AW$11,SUBSTITUTE(SUBSTITUTE(SUBSTITUTE('FICHA'!$Z$455,"~","~~"),"*","~*"),"?","~?"))=1,(COUNTIF('FICHA'!$F$455:$F$460,SUBSTITUTE(SUBSTITUTE(SUBSTITUTE('FICHA'!$Z$455,"~","~~"),"*","~*"),"?","~?"))+COUNTIF('FICHA'!$Z$455:$Z$459,SUBSTITUTE(SUBSTITUTE(SUBSTITUTE('FICHA'!$Z$455,"~","~~"),"*","~*"),"?","~?")))=1),N('FICHA'!$X$455),0)</f>
        <v/>
      </c>
      <c r="BL31">
        <f>IF(AND('FICHA'!$Z$455&lt;&gt;"",COUNTIF('DADOS_PROGRESSAO'!$AW$2:$AW$11,SUBSTITUTE(SUBSTITUTE(SUBSTITUTE('FICHA'!$Z$455,"~","~~"),"*","~*"),"?","~?"))=1,(COUNTIF('FICHA'!$F$455:$F$460,SUBSTITUTE(SUBSTITUTE(SUBSTITUTE('FICHA'!$Z$455,"~","~~"),"*","~*"),"?","~?"))+COUNTIF('FICHA'!$Z$455:$Z$459,SUBSTITUTE(SUBSTITUTE(SUBSTITUTE('FICHA'!$Z$455,"~","~~"),"*","~*"),"?","~?")))=1),N('FICHA'!$Y$455),0)</f>
        <v/>
      </c>
    </row>
    <row r="32">
      <c r="AG32">
        <f>IF(AND($B9="Perícia",$C9&lt;&gt;"",$G9=""),$C9,"")</f>
        <v/>
      </c>
      <c r="AH32">
        <f>IF(AG32="","",$D9)</f>
        <v/>
      </c>
      <c r="BE32" t="inlineStr">
        <is>
          <t>Trilha</t>
        </is>
      </c>
      <c r="BF32" t="n">
        <v>1</v>
      </c>
      <c r="BG32">
        <f>""</f>
        <v/>
      </c>
      <c r="BH32">
        <f>""</f>
        <v/>
      </c>
      <c r="BK32">
        <f>IF(AND('FICHA'!$Z$456&lt;&gt;"",COUNTIF('DADOS_PROGRESSAO'!$AW$2:$AW$11,SUBSTITUTE(SUBSTITUTE(SUBSTITUTE('FICHA'!$Z$456,"~","~~"),"*","~*"),"?","~?"))=1,(COUNTIF('FICHA'!$F$455:$F$460,SUBSTITUTE(SUBSTITUTE(SUBSTITUTE('FICHA'!$Z$456,"~","~~"),"*","~*"),"?","~?"))+COUNTIF('FICHA'!$Z$455:$Z$459,SUBSTITUTE(SUBSTITUTE(SUBSTITUTE('FICHA'!$Z$456,"~","~~"),"*","~*"),"?","~?")))=1),N('FICHA'!$X$456),0)</f>
        <v/>
      </c>
      <c r="BL32">
        <f>IF(AND('FICHA'!$Z$456&lt;&gt;"",COUNTIF('DADOS_PROGRESSAO'!$AW$2:$AW$11,SUBSTITUTE(SUBSTITUTE(SUBSTITUTE('FICHA'!$Z$456,"~","~~"),"*","~*"),"?","~?"))=1,(COUNTIF('FICHA'!$F$455:$F$460,SUBSTITUTE(SUBSTITUTE(SUBSTITUTE('FICHA'!$Z$456,"~","~~"),"*","~*"),"?","~?"))+COUNTIF('FICHA'!$Z$455:$Z$459,SUBSTITUTE(SUBSTITUTE(SUBSTITUTE('FICHA'!$Z$456,"~","~~"),"*","~*"),"?","~?")))=1),N('FICHA'!$Y$456),0)</f>
        <v/>
      </c>
    </row>
    <row r="33">
      <c r="AG33">
        <f>IF(AND($B10="Perícia",$C10&lt;&gt;"",$G10=""),$C10,"")</f>
        <v/>
      </c>
      <c r="AH33">
        <f>IF(AG33="","",$D10)</f>
        <v/>
      </c>
      <c r="BE33" t="inlineStr">
        <is>
          <t>Trilha</t>
        </is>
      </c>
      <c r="BF33" t="n">
        <v>2</v>
      </c>
      <c r="BG33">
        <f>IF(AND($K$8=1,'CONFIGURAÇÃO'!$AT$50&lt;&gt;""),'CONFIGURAÇÃO'!$AT$50,"")</f>
        <v/>
      </c>
      <c r="BH33">
        <f>IF(OR(BG33="",'CONFIGURAÇÃO'!$AS$51=""),"",'CONFIGURAÇÃO'!$AS$51)</f>
        <v/>
      </c>
      <c r="BK33">
        <f>IF(AND('FICHA'!$Z$457&lt;&gt;"",COUNTIF('DADOS_PROGRESSAO'!$AW$2:$AW$11,SUBSTITUTE(SUBSTITUTE(SUBSTITUTE('FICHA'!$Z$457,"~","~~"),"*","~*"),"?","~?"))=1,(COUNTIF('FICHA'!$F$455:$F$460,SUBSTITUTE(SUBSTITUTE(SUBSTITUTE('FICHA'!$Z$457,"~","~~"),"*","~*"),"?","~?"))+COUNTIF('FICHA'!$Z$455:$Z$459,SUBSTITUTE(SUBSTITUTE(SUBSTITUTE('FICHA'!$Z$457,"~","~~"),"*","~*"),"?","~?")))=1),N('FICHA'!$X$457),0)</f>
        <v/>
      </c>
      <c r="BL33">
        <f>IF(AND('FICHA'!$Z$457&lt;&gt;"",COUNTIF('DADOS_PROGRESSAO'!$AW$2:$AW$11,SUBSTITUTE(SUBSTITUTE(SUBSTITUTE('FICHA'!$Z$457,"~","~~"),"*","~*"),"?","~?"))=1,(COUNTIF('FICHA'!$F$455:$F$460,SUBSTITUTE(SUBSTITUTE(SUBSTITUTE('FICHA'!$Z$457,"~","~~"),"*","~*"),"?","~?"))+COUNTIF('FICHA'!$Z$455:$Z$459,SUBSTITUTE(SUBSTITUTE(SUBSTITUTE('FICHA'!$Z$457,"~","~~"),"*","~*"),"?","~?")))=1),N('FICHA'!$Y$457),0)</f>
        <v/>
      </c>
    </row>
    <row r="34">
      <c r="AG34">
        <f>IF(AND($B11="Perícia",$C11&lt;&gt;"",$G11=""),$C11,"")</f>
        <v/>
      </c>
      <c r="AH34">
        <f>IF(AG34="","",$D11)</f>
        <v/>
      </c>
      <c r="BE34" t="inlineStr">
        <is>
          <t>Trilha</t>
        </is>
      </c>
      <c r="BF34" t="n">
        <v>3</v>
      </c>
      <c r="BG34">
        <f>""</f>
        <v/>
      </c>
      <c r="BH34">
        <f>""</f>
        <v/>
      </c>
      <c r="BK34">
        <f>IF(AND('FICHA'!$Z$458&lt;&gt;"",COUNTIF('DADOS_PROGRESSAO'!$AW$2:$AW$11,SUBSTITUTE(SUBSTITUTE(SUBSTITUTE('FICHA'!$Z$458,"~","~~"),"*","~*"),"?","~?"))=1,(COUNTIF('FICHA'!$F$455:$F$460,SUBSTITUTE(SUBSTITUTE(SUBSTITUTE('FICHA'!$Z$458,"~","~~"),"*","~*"),"?","~?"))+COUNTIF('FICHA'!$Z$455:$Z$459,SUBSTITUTE(SUBSTITUTE(SUBSTITUTE('FICHA'!$Z$458,"~","~~"),"*","~*"),"?","~?")))=1),N('FICHA'!$X$458),0)</f>
        <v/>
      </c>
      <c r="BL34">
        <f>IF(AND('FICHA'!$Z$458&lt;&gt;"",COUNTIF('DADOS_PROGRESSAO'!$AW$2:$AW$11,SUBSTITUTE(SUBSTITUTE(SUBSTITUTE('FICHA'!$Z$458,"~","~~"),"*","~*"),"?","~?"))=1,(COUNTIF('FICHA'!$F$455:$F$460,SUBSTITUTE(SUBSTITUTE(SUBSTITUTE('FICHA'!$Z$458,"~","~~"),"*","~*"),"?","~?"))+COUNTIF('FICHA'!$Z$455:$Z$459,SUBSTITUTE(SUBSTITUTE(SUBSTITUTE('FICHA'!$Z$458,"~","~~"),"*","~*"),"?","~?")))=1),N('FICHA'!$Y$458),0)</f>
        <v/>
      </c>
    </row>
    <row r="35">
      <c r="BE35" t="inlineStr">
        <is>
          <t>Trilha</t>
        </is>
      </c>
      <c r="BF35" t="n">
        <v>4</v>
      </c>
      <c r="BG35">
        <f>""</f>
        <v/>
      </c>
      <c r="BH35">
        <f>""</f>
        <v/>
      </c>
      <c r="BK35">
        <f>IF(AND('FICHA'!$Z$459&lt;&gt;"",COUNTIF('DADOS_PROGRESSAO'!$AW$2:$AW$11,SUBSTITUTE(SUBSTITUTE(SUBSTITUTE('FICHA'!$Z$459,"~","~~"),"*","~*"),"?","~?"))=1,(COUNTIF('FICHA'!$F$455:$F$460,SUBSTITUTE(SUBSTITUTE(SUBSTITUTE('FICHA'!$Z$459,"~","~~"),"*","~*"),"?","~?"))+COUNTIF('FICHA'!$Z$455:$Z$459,SUBSTITUTE(SUBSTITUTE(SUBSTITUTE('FICHA'!$Z$459,"~","~~"),"*","~*"),"?","~?")))=1),N('FICHA'!$X$459),0)</f>
        <v/>
      </c>
      <c r="BL35">
        <f>IF(AND('FICHA'!$Z$459&lt;&gt;"",COUNTIF('DADOS_PROGRESSAO'!$AW$2:$AW$11,SUBSTITUTE(SUBSTITUTE(SUBSTITUTE('FICHA'!$Z$459,"~","~~"),"*","~*"),"?","~?"))=1,(COUNTIF('FICHA'!$F$455:$F$460,SUBSTITUTE(SUBSTITUTE(SUBSTITUTE('FICHA'!$Z$459,"~","~~"),"*","~*"),"?","~?"))+COUNTIF('FICHA'!$Z$455:$Z$459,SUBSTITUTE(SUBSTITUTE(SUBSTITUTE('FICHA'!$Z$459,"~","~~"),"*","~*"),"?","~?")))=1),N('FICHA'!$Y$459),0)</f>
        <v/>
      </c>
    </row>
    <row r="36">
      <c r="BE36" t="inlineStr">
        <is>
          <t>Trilha</t>
        </is>
      </c>
      <c r="BF36" t="n">
        <v>5</v>
      </c>
      <c r="BG36">
        <f>""</f>
        <v/>
      </c>
      <c r="BH36">
        <f>""</f>
        <v/>
      </c>
    </row>
    <row r="37">
      <c r="BE37" t="inlineStr">
        <is>
          <t>Trilha</t>
        </is>
      </c>
      <c r="BF37" t="n">
        <v>6</v>
      </c>
      <c r="BG37">
        <f>""</f>
        <v/>
      </c>
      <c r="BH37">
        <f>""</f>
        <v/>
      </c>
    </row>
    <row r="38">
      <c r="BE38" t="inlineStr">
        <is>
          <t>Trilha</t>
        </is>
      </c>
      <c r="BF38" t="n">
        <v>7</v>
      </c>
      <c r="BG38">
        <f>""</f>
        <v/>
      </c>
      <c r="BH38">
        <f>""</f>
        <v/>
      </c>
    </row>
    <row r="39">
      <c r="BE39" t="inlineStr">
        <is>
          <t>Trilha</t>
        </is>
      </c>
      <c r="BF39" t="n">
        <v>8</v>
      </c>
      <c r="BG39">
        <f>""</f>
        <v/>
      </c>
      <c r="BH39">
        <f>""</f>
        <v/>
      </c>
    </row>
    <row r="40">
      <c r="BE40" t="inlineStr">
        <is>
          <t>Trilha</t>
        </is>
      </c>
      <c r="BF40" t="n">
        <v>9</v>
      </c>
      <c r="BG40">
        <f>""</f>
        <v/>
      </c>
      <c r="BH40">
        <f>""</f>
        <v/>
      </c>
    </row>
    <row r="41">
      <c r="BE41" t="inlineStr">
        <is>
          <t>Trilha</t>
        </is>
      </c>
      <c r="BF41" t="n">
        <v>10</v>
      </c>
      <c r="BG41">
        <f>""</f>
        <v/>
      </c>
      <c r="BH41">
        <f>""</f>
        <v/>
      </c>
    </row>
    <row r="42">
      <c r="BE42" t="inlineStr">
        <is>
          <t>Trilha</t>
        </is>
      </c>
      <c r="BF42" t="n">
        <v>11</v>
      </c>
      <c r="BG42">
        <f>IF(AND($K$8=1,'CONFIGURAÇÃO'!$AT$53&lt;&gt;""),'CONFIGURAÇÃO'!$AT$53,"")</f>
        <v/>
      </c>
      <c r="BH42">
        <f>IF(OR(BG42="",'CONFIGURAÇÃO'!$AS$54=""),"",'CONFIGURAÇÃO'!$AS$54)</f>
        <v/>
      </c>
    </row>
    <row r="43">
      <c r="BE43" t="inlineStr">
        <is>
          <t>Trilha</t>
        </is>
      </c>
      <c r="BF43" t="n">
        <v>12</v>
      </c>
      <c r="BG43">
        <f>""</f>
        <v/>
      </c>
      <c r="BH43">
        <f>""</f>
        <v/>
      </c>
    </row>
    <row r="44">
      <c r="BE44" t="inlineStr">
        <is>
          <t>Trilha</t>
        </is>
      </c>
      <c r="BF44" t="n">
        <v>13</v>
      </c>
      <c r="BG44">
        <f>""</f>
        <v/>
      </c>
      <c r="BH44">
        <f>""</f>
        <v/>
      </c>
    </row>
    <row r="45">
      <c r="BE45" t="inlineStr">
        <is>
          <t>Trilha</t>
        </is>
      </c>
      <c r="BF45" t="n">
        <v>14</v>
      </c>
      <c r="BG45">
        <f>""</f>
        <v/>
      </c>
      <c r="BH45">
        <f>""</f>
        <v/>
      </c>
    </row>
    <row r="46">
      <c r="BE46" t="inlineStr">
        <is>
          <t>Trilha</t>
        </is>
      </c>
      <c r="BF46" t="n">
        <v>15</v>
      </c>
      <c r="BG46">
        <f>""</f>
        <v/>
      </c>
      <c r="BH46">
        <f>""</f>
        <v/>
      </c>
    </row>
    <row r="47">
      <c r="BE47" t="inlineStr">
        <is>
          <t>Trilha</t>
        </is>
      </c>
      <c r="BF47" t="n">
        <v>16</v>
      </c>
      <c r="BG47">
        <f>""</f>
        <v/>
      </c>
      <c r="BH47">
        <f>""</f>
        <v/>
      </c>
    </row>
    <row r="48">
      <c r="BE48" t="inlineStr">
        <is>
          <t>Trilha</t>
        </is>
      </c>
      <c r="BF48" t="n">
        <v>17</v>
      </c>
      <c r="BG48">
        <f>""</f>
        <v/>
      </c>
      <c r="BH48">
        <f>""</f>
        <v/>
      </c>
    </row>
    <row r="49">
      <c r="BE49" t="inlineStr">
        <is>
          <t>Trilha</t>
        </is>
      </c>
      <c r="BF49" t="n">
        <v>18</v>
      </c>
      <c r="BG49">
        <f>""</f>
        <v/>
      </c>
      <c r="BH49">
        <f>""</f>
        <v/>
      </c>
    </row>
    <row r="50">
      <c r="BE50" t="inlineStr">
        <is>
          <t>Trilha</t>
        </is>
      </c>
      <c r="BF50" t="n">
        <v>19</v>
      </c>
      <c r="BG50">
        <f>IF(AND($K$8=1,'CONFIGURAÇÃO'!$AT$56&lt;&gt;""),'CONFIGURAÇÃO'!$AT$56,"")</f>
        <v/>
      </c>
      <c r="BH50">
        <f>IF(OR(BG50="",'CONFIGURAÇÃO'!$AS$57=""),"",'CONFIGURAÇÃO'!$AS$57)</f>
        <v/>
      </c>
    </row>
    <row r="51">
      <c r="BE51" t="inlineStr">
        <is>
          <t>Trilha</t>
        </is>
      </c>
      <c r="BF51" t="n">
        <v>20</v>
      </c>
      <c r="BG51">
        <f>""</f>
        <v/>
      </c>
      <c r="BH51">
        <f>""</f>
        <v/>
      </c>
    </row>
    <row r="52">
      <c r="BE52" t="inlineStr">
        <is>
          <t>Trilha</t>
        </is>
      </c>
      <c r="BF52" t="n">
        <v>21</v>
      </c>
      <c r="BG52">
        <f>""</f>
        <v/>
      </c>
      <c r="BH52">
        <f>""</f>
        <v/>
      </c>
    </row>
    <row r="53">
      <c r="BE53" t="inlineStr">
        <is>
          <t>Trilha</t>
        </is>
      </c>
      <c r="BF53" t="n">
        <v>22</v>
      </c>
      <c r="BG53">
        <f>""</f>
        <v/>
      </c>
      <c r="BH53">
        <f>""</f>
        <v/>
      </c>
    </row>
    <row r="54">
      <c r="BE54" t="inlineStr">
        <is>
          <t>Trilha</t>
        </is>
      </c>
      <c r="BF54" t="n">
        <v>23</v>
      </c>
      <c r="BG54">
        <f>""</f>
        <v/>
      </c>
      <c r="BH54">
        <f>""</f>
        <v/>
      </c>
    </row>
    <row r="55">
      <c r="BE55" t="inlineStr">
        <is>
          <t>Trilha</t>
        </is>
      </c>
      <c r="BF55" t="n">
        <v>24</v>
      </c>
      <c r="BG55">
        <f>""</f>
        <v/>
      </c>
      <c r="BH55">
        <f>""</f>
        <v/>
      </c>
    </row>
    <row r="56">
      <c r="BE56" t="inlineStr">
        <is>
          <t>Trilha</t>
        </is>
      </c>
      <c r="BF56" t="n">
        <v>25</v>
      </c>
      <c r="BG56">
        <f>""</f>
        <v/>
      </c>
      <c r="BH56">
        <f>""</f>
        <v/>
      </c>
    </row>
    <row r="57">
      <c r="BE57" t="inlineStr">
        <is>
          <t>Trilha</t>
        </is>
      </c>
      <c r="BF57" t="n">
        <v>26</v>
      </c>
      <c r="BG57">
        <f>""</f>
        <v/>
      </c>
      <c r="BH57">
        <f>""</f>
        <v/>
      </c>
    </row>
    <row r="58">
      <c r="BE58" t="inlineStr">
        <is>
          <t>Trilha</t>
        </is>
      </c>
      <c r="BF58" t="n">
        <v>27</v>
      </c>
      <c r="BG58">
        <f>IF(AND($K$8=1,'CONFIGURAÇÃO'!$AT$59&lt;&gt;""),'CONFIGURAÇÃO'!$AT$59,"")</f>
        <v/>
      </c>
      <c r="BH58">
        <f>IF(OR(BG58="",'CONFIGURAÇÃO'!$AS$60=""),"",'CONFIGURAÇÃO'!$AS$60)</f>
        <v/>
      </c>
    </row>
    <row r="59">
      <c r="BE59" t="inlineStr">
        <is>
          <t>Trilha</t>
        </is>
      </c>
      <c r="BF59" t="n">
        <v>28</v>
      </c>
      <c r="BG59">
        <f>""</f>
        <v/>
      </c>
      <c r="BH59">
        <f>""</f>
        <v/>
      </c>
    </row>
    <row r="60">
      <c r="BE60" t="inlineStr">
        <is>
          <t>Trilha</t>
        </is>
      </c>
      <c r="BF60" t="n">
        <v>29</v>
      </c>
      <c r="BG60">
        <f>""</f>
        <v/>
      </c>
      <c r="BH60">
        <f>""</f>
        <v/>
      </c>
    </row>
    <row r="61">
      <c r="BE61" t="inlineStr">
        <is>
          <t>Trilha</t>
        </is>
      </c>
      <c r="BF61" t="n">
        <v>30</v>
      </c>
      <c r="BG61">
        <f>""</f>
        <v/>
      </c>
      <c r="BH61">
        <f>""</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
  <sheetViews>
    <sheetView showGridLines="0" workbookViewId="0">
      <selection activeCell="A1" sqref="A1"/>
    </sheetView>
  </sheetViews>
  <sheetFormatPr baseColWidth="8" defaultRowHeight="15.75" customHeight="1"/>
  <sheetData>
    <row r="1">
      <c r="A1" t="inlineStr">
        <is>
          <t>registro</t>
        </is>
      </c>
      <c r="B1" t="inlineStr">
        <is>
          <t>nome</t>
        </is>
      </c>
      <c r="C1" t="inlineStr">
        <is>
          <t>estado</t>
        </is>
      </c>
      <c r="D1" t="inlineStr">
        <is>
          <t>mestre viu</t>
        </is>
      </c>
      <c r="E1" t="inlineStr">
        <is>
          <t>descrição</t>
        </is>
      </c>
      <c r="F1" t="inlineStr">
        <is>
          <t>problema</t>
        </is>
      </c>
      <c r="H1" t="inlineStr">
        <is>
          <t>família</t>
        </is>
      </c>
      <c r="I1" t="inlineStr">
        <is>
          <t>estado da técnica</t>
        </is>
      </c>
      <c r="J1" t="inlineStr">
        <is>
          <t>Livre</t>
        </is>
      </c>
      <c r="K1" t="inlineStr">
        <is>
          <t>Fechada</t>
        </is>
      </c>
      <c r="M1" t="inlineStr">
        <is>
          <t>estado permitido</t>
        </is>
      </c>
    </row>
    <row r="2">
      <c r="A2" t="n">
        <v>1</v>
      </c>
      <c r="B2">
        <f>IF(ISBLANK('CONFIGURAÇÃO'!$CJ$15),"",'CONFIGURAÇÃO'!$CJ$15)</f>
        <v/>
      </c>
      <c r="C2">
        <f>IF(ISBLANK('CONFIGURAÇÃO'!$CM$16),"",'CONFIGURAÇÃO'!$CM$16)</f>
        <v/>
      </c>
      <c r="D2">
        <f>IF(ISBLANK('CONFIGURAÇÃO'!$CN$13),"",'CONFIGURAÇÃO'!$CN$13)</f>
        <v/>
      </c>
      <c r="E2">
        <f>IF(ISBLANK('CONFIGURAÇÃO'!$CJ$18),"",'CONFIGURAÇÃO'!$CJ$18)</f>
        <v/>
      </c>
      <c r="F2">
        <f>IF(B2="",IF(OR(E2&lt;&gt;"",D2=TRUE,AND(C2&lt;&gt;"",C2&lt;&gt;"Neutra")),"Preencha NOME",""),TEXTJOIN(" · ",TRUE,IF(OR(NOT(ISTEXT(B2)),TRIM(B2)&lt;&gt;B2),"NOME precisa ser texto sem espaços nas pontas",""),IF(OR(COUNTIF($B$2:$B$11,SUBSTITUTE(SUBSTITUTE(SUBSTITUTE(B2,"~","~~"),"*","~*"),"?","~?"))&gt;1,IF(B2="Alcance",1,0)+IF(B2="Área",1,0)+IF(B2="Mira",1,0)+IF(B2="Controle",1,0)+IF(B2="Auxiliares",1,0)+IF(B2="Castigo",1,0)+IF(B2="Tempo",1,0)+IF(B2="Marca",1,0)+IF(B2="Amparo",1,0)&gt;0),"Nome repetido no livro ou custom",""),IF(COUNTIF($M$2:$M$4,C2)&lt;&gt;1,"Escolha Livre, Neutra ou Fechada",""),IF(ISLOGICAL(D2),"","MESTRE VIU deve ser caixa de seleção")))</f>
        <v/>
      </c>
      <c r="H2" t="inlineStr">
        <is>
          <t>Alcance</t>
        </is>
      </c>
      <c r="I2">
        <f>'FICHA AMALDIÇOADA'!$D$37&amp;""</f>
        <v/>
      </c>
      <c r="J2">
        <f>IF(I2="Livre",1,0)</f>
        <v/>
      </c>
      <c r="K2">
        <f>IF(I2="Fechada",1,0)</f>
        <v/>
      </c>
      <c r="M2" t="inlineStr">
        <is>
          <t>Livre</t>
        </is>
      </c>
    </row>
    <row r="3">
      <c r="A3" t="n">
        <v>2</v>
      </c>
      <c r="B3">
        <f>IF(ISBLANK('CONFIGURAÇÃO'!$CR$15),"",'CONFIGURAÇÃO'!$CR$15)</f>
        <v/>
      </c>
      <c r="C3">
        <f>IF(ISBLANK('CONFIGURAÇÃO'!$CU$16),"",'CONFIGURAÇÃO'!$CU$16)</f>
        <v/>
      </c>
      <c r="D3">
        <f>IF(ISBLANK('CONFIGURAÇÃO'!$CV$13),"",'CONFIGURAÇÃO'!$CV$13)</f>
        <v/>
      </c>
      <c r="E3">
        <f>IF(ISBLANK('CONFIGURAÇÃO'!$CR$18),"",'CONFIGURAÇÃO'!$CR$18)</f>
        <v/>
      </c>
      <c r="F3">
        <f>IF(B3="",IF(OR(E3&lt;&gt;"",D3=TRUE,AND(C3&lt;&gt;"",C3&lt;&gt;"Neutra")),"Preencha NOME",""),TEXTJOIN(" · ",TRUE,IF(OR(NOT(ISTEXT(B3)),TRIM(B3)&lt;&gt;B3),"NOME precisa ser texto sem espaços nas pontas",""),IF(OR(COUNTIF($B$2:$B$11,SUBSTITUTE(SUBSTITUTE(SUBSTITUTE(B3,"~","~~"),"*","~*"),"?","~?"))&gt;1,IF(B3="Alcance",1,0)+IF(B3="Área",1,0)+IF(B3="Mira",1,0)+IF(B3="Controle",1,0)+IF(B3="Auxiliares",1,0)+IF(B3="Castigo",1,0)+IF(B3="Tempo",1,0)+IF(B3="Marca",1,0)+IF(B3="Amparo",1,0)&gt;0),"Nome repetido no livro ou custom",""),IF(COUNTIF($M$2:$M$4,C3)&lt;&gt;1,"Escolha Livre, Neutra ou Fechada",""),IF(ISLOGICAL(D3),"","MESTRE VIU deve ser caixa de seleção")))</f>
        <v/>
      </c>
      <c r="H3" t="inlineStr">
        <is>
          <t>Área</t>
        </is>
      </c>
      <c r="I3">
        <f>'FICHA AMALDIÇOADA'!$E$37&amp;""</f>
        <v/>
      </c>
      <c r="J3">
        <f>IF(I3="Livre",1,0)</f>
        <v/>
      </c>
      <c r="K3">
        <f>IF(I3="Fechada",1,0)</f>
        <v/>
      </c>
      <c r="M3" t="inlineStr">
        <is>
          <t>Neutra</t>
        </is>
      </c>
    </row>
    <row r="4">
      <c r="A4" t="n">
        <v>3</v>
      </c>
      <c r="B4">
        <f>IF(ISBLANK('CONFIGURAÇÃO'!$CJ$29),"",'CONFIGURAÇÃO'!$CJ$29)</f>
        <v/>
      </c>
      <c r="C4">
        <f>IF(ISBLANK('CONFIGURAÇÃO'!$CM$30),"",'CONFIGURAÇÃO'!$CM$30)</f>
        <v/>
      </c>
      <c r="D4">
        <f>IF(ISBLANK('CONFIGURAÇÃO'!$CN$27),"",'CONFIGURAÇÃO'!$CN$27)</f>
        <v/>
      </c>
      <c r="E4">
        <f>IF(ISBLANK('CONFIGURAÇÃO'!$CJ$32),"",'CONFIGURAÇÃO'!$CJ$32)</f>
        <v/>
      </c>
      <c r="F4">
        <f>IF(B4="",IF(OR(E4&lt;&gt;"",D4=TRUE,AND(C4&lt;&gt;"",C4&lt;&gt;"Neutra")),"Preencha NOME",""),TEXTJOIN(" · ",TRUE,IF(OR(NOT(ISTEXT(B4)),TRIM(B4)&lt;&gt;B4),"NOME precisa ser texto sem espaços nas pontas",""),IF(OR(COUNTIF($B$2:$B$11,SUBSTITUTE(SUBSTITUTE(SUBSTITUTE(B4,"~","~~"),"*","~*"),"?","~?"))&gt;1,IF(B4="Alcance",1,0)+IF(B4="Área",1,0)+IF(B4="Mira",1,0)+IF(B4="Controle",1,0)+IF(B4="Auxiliares",1,0)+IF(B4="Castigo",1,0)+IF(B4="Tempo",1,0)+IF(B4="Marca",1,0)+IF(B4="Amparo",1,0)&gt;0),"Nome repetido no livro ou custom",""),IF(COUNTIF($M$2:$M$4,C4)&lt;&gt;1,"Escolha Livre, Neutra ou Fechada",""),IF(ISLOGICAL(D4),"","MESTRE VIU deve ser caixa de seleção")))</f>
        <v/>
      </c>
      <c r="H4" t="inlineStr">
        <is>
          <t>Mira</t>
        </is>
      </c>
      <c r="I4">
        <f>'FICHA AMALDIÇOADA'!$F$37&amp;""</f>
        <v/>
      </c>
      <c r="J4">
        <f>IF(I4="Livre",1,0)</f>
        <v/>
      </c>
      <c r="K4">
        <f>IF(I4="Fechada",1,0)</f>
        <v/>
      </c>
      <c r="M4" t="inlineStr">
        <is>
          <t>Fechada</t>
        </is>
      </c>
    </row>
    <row r="5">
      <c r="A5" t="n">
        <v>4</v>
      </c>
      <c r="B5">
        <f>IF(ISBLANK('CONFIGURAÇÃO'!$CR$29),"",'CONFIGURAÇÃO'!$CR$29)</f>
        <v/>
      </c>
      <c r="C5">
        <f>IF(ISBLANK('CONFIGURAÇÃO'!$CU$30),"",'CONFIGURAÇÃO'!$CU$30)</f>
        <v/>
      </c>
      <c r="D5">
        <f>IF(ISBLANK('CONFIGURAÇÃO'!$CV$27),"",'CONFIGURAÇÃO'!$CV$27)</f>
        <v/>
      </c>
      <c r="E5">
        <f>IF(ISBLANK('CONFIGURAÇÃO'!$CR$32),"",'CONFIGURAÇÃO'!$CR$32)</f>
        <v/>
      </c>
      <c r="F5">
        <f>IF(B5="",IF(OR(E5&lt;&gt;"",D5=TRUE,AND(C5&lt;&gt;"",C5&lt;&gt;"Neutra")),"Preencha NOME",""),TEXTJOIN(" · ",TRUE,IF(OR(NOT(ISTEXT(B5)),TRIM(B5)&lt;&gt;B5),"NOME precisa ser texto sem espaços nas pontas",""),IF(OR(COUNTIF($B$2:$B$11,SUBSTITUTE(SUBSTITUTE(SUBSTITUTE(B5,"~","~~"),"*","~*"),"?","~?"))&gt;1,IF(B5="Alcance",1,0)+IF(B5="Área",1,0)+IF(B5="Mira",1,0)+IF(B5="Controle",1,0)+IF(B5="Auxiliares",1,0)+IF(B5="Castigo",1,0)+IF(B5="Tempo",1,0)+IF(B5="Marca",1,0)+IF(B5="Amparo",1,0)&gt;0),"Nome repetido no livro ou custom",""),IF(COUNTIF($M$2:$M$4,C5)&lt;&gt;1,"Escolha Livre, Neutra ou Fechada",""),IF(ISLOGICAL(D5),"","MESTRE VIU deve ser caixa de seleção")))</f>
        <v/>
      </c>
      <c r="H5" t="inlineStr">
        <is>
          <t>Controle</t>
        </is>
      </c>
      <c r="I5">
        <f>'FICHA AMALDIÇOADA'!$G$37&amp;""</f>
        <v/>
      </c>
      <c r="J5">
        <f>IF(I5="Livre",1,0)</f>
        <v/>
      </c>
      <c r="K5">
        <f>IF(I5="Fechada",1,0)</f>
        <v/>
      </c>
    </row>
    <row r="6">
      <c r="A6" t="n">
        <v>5</v>
      </c>
      <c r="B6">
        <f>IF(ISBLANK('CONFIGURAÇÃO'!$CJ$43),"",'CONFIGURAÇÃO'!$CJ$43)</f>
        <v/>
      </c>
      <c r="C6">
        <f>IF(ISBLANK('CONFIGURAÇÃO'!$CM$44),"",'CONFIGURAÇÃO'!$CM$44)</f>
        <v/>
      </c>
      <c r="D6">
        <f>IF(ISBLANK('CONFIGURAÇÃO'!$CN$41),"",'CONFIGURAÇÃO'!$CN$41)</f>
        <v/>
      </c>
      <c r="E6">
        <f>IF(ISBLANK('CONFIGURAÇÃO'!$CJ$46),"",'CONFIGURAÇÃO'!$CJ$46)</f>
        <v/>
      </c>
      <c r="F6">
        <f>IF(B6="",IF(OR(E6&lt;&gt;"",D6=TRUE,AND(C6&lt;&gt;"",C6&lt;&gt;"Neutra")),"Preencha NOME",""),TEXTJOIN(" · ",TRUE,IF(OR(NOT(ISTEXT(B6)),TRIM(B6)&lt;&gt;B6),"NOME precisa ser texto sem espaços nas pontas",""),IF(OR(COUNTIF($B$2:$B$11,SUBSTITUTE(SUBSTITUTE(SUBSTITUTE(B6,"~","~~"),"*","~*"),"?","~?"))&gt;1,IF(B6="Alcance",1,0)+IF(B6="Área",1,0)+IF(B6="Mira",1,0)+IF(B6="Controle",1,0)+IF(B6="Auxiliares",1,0)+IF(B6="Castigo",1,0)+IF(B6="Tempo",1,0)+IF(B6="Marca",1,0)+IF(B6="Amparo",1,0)&gt;0),"Nome repetido no livro ou custom",""),IF(COUNTIF($M$2:$M$4,C6)&lt;&gt;1,"Escolha Livre, Neutra ou Fechada",""),IF(ISLOGICAL(D6),"","MESTRE VIU deve ser caixa de seleção")))</f>
        <v/>
      </c>
      <c r="H6" t="inlineStr">
        <is>
          <t>Auxiliares</t>
        </is>
      </c>
      <c r="I6">
        <f>'FICHA AMALDIÇOADA'!$J$37&amp;""</f>
        <v/>
      </c>
      <c r="J6">
        <f>IF(I6="Livre",1,0)</f>
        <v/>
      </c>
      <c r="K6">
        <f>IF(I6="Fechada",1,0)</f>
        <v/>
      </c>
    </row>
    <row r="7">
      <c r="A7" t="n">
        <v>6</v>
      </c>
      <c r="B7">
        <f>IF(ISBLANK('CONFIGURAÇÃO'!$CR$43),"",'CONFIGURAÇÃO'!$CR$43)</f>
        <v/>
      </c>
      <c r="C7">
        <f>IF(ISBLANK('CONFIGURAÇÃO'!$CU$44),"",'CONFIGURAÇÃO'!$CU$44)</f>
        <v/>
      </c>
      <c r="D7">
        <f>IF(ISBLANK('CONFIGURAÇÃO'!$CV$41),"",'CONFIGURAÇÃO'!$CV$41)</f>
        <v/>
      </c>
      <c r="E7">
        <f>IF(ISBLANK('CONFIGURAÇÃO'!$CR$46),"",'CONFIGURAÇÃO'!$CR$46)</f>
        <v/>
      </c>
      <c r="F7">
        <f>IF(B7="",IF(OR(E7&lt;&gt;"",D7=TRUE,AND(C7&lt;&gt;"",C7&lt;&gt;"Neutra")),"Preencha NOME",""),TEXTJOIN(" · ",TRUE,IF(OR(NOT(ISTEXT(B7)),TRIM(B7)&lt;&gt;B7),"NOME precisa ser texto sem espaços nas pontas",""),IF(OR(COUNTIF($B$2:$B$11,SUBSTITUTE(SUBSTITUTE(SUBSTITUTE(B7,"~","~~"),"*","~*"),"?","~?"))&gt;1,IF(B7="Alcance",1,0)+IF(B7="Área",1,0)+IF(B7="Mira",1,0)+IF(B7="Controle",1,0)+IF(B7="Auxiliares",1,0)+IF(B7="Castigo",1,0)+IF(B7="Tempo",1,0)+IF(B7="Marca",1,0)+IF(B7="Amparo",1,0)&gt;0),"Nome repetido no livro ou custom",""),IF(COUNTIF($M$2:$M$4,C7)&lt;&gt;1,"Escolha Livre, Neutra ou Fechada",""),IF(ISLOGICAL(D7),"","MESTRE VIU deve ser caixa de seleção")))</f>
        <v/>
      </c>
      <c r="H7" t="inlineStr">
        <is>
          <t>Castigo</t>
        </is>
      </c>
      <c r="I7">
        <f>'FICHA AMALDIÇOADA'!$K$37&amp;""</f>
        <v/>
      </c>
      <c r="J7">
        <f>IF(I7="Livre",1,0)</f>
        <v/>
      </c>
      <c r="K7">
        <f>IF(I7="Fechada",1,0)</f>
        <v/>
      </c>
    </row>
    <row r="8">
      <c r="A8" t="n">
        <v>7</v>
      </c>
      <c r="B8">
        <f>IF(ISBLANK('CONFIGURAÇÃO'!$CJ$57),"",'CONFIGURAÇÃO'!$CJ$57)</f>
        <v/>
      </c>
      <c r="C8">
        <f>IF(ISBLANK('CONFIGURAÇÃO'!$CM$58),"",'CONFIGURAÇÃO'!$CM$58)</f>
        <v/>
      </c>
      <c r="D8">
        <f>IF(ISBLANK('CONFIGURAÇÃO'!$CN$55),"",'CONFIGURAÇÃO'!$CN$55)</f>
        <v/>
      </c>
      <c r="E8">
        <f>IF(ISBLANK('CONFIGURAÇÃO'!$CJ$60),"",'CONFIGURAÇÃO'!$CJ$60)</f>
        <v/>
      </c>
      <c r="F8">
        <f>IF(B8="",IF(OR(E8&lt;&gt;"",D8=TRUE,AND(C8&lt;&gt;"",C8&lt;&gt;"Neutra")),"Preencha NOME",""),TEXTJOIN(" · ",TRUE,IF(OR(NOT(ISTEXT(B8)),TRIM(B8)&lt;&gt;B8),"NOME precisa ser texto sem espaços nas pontas",""),IF(OR(COUNTIF($B$2:$B$11,SUBSTITUTE(SUBSTITUTE(SUBSTITUTE(B8,"~","~~"),"*","~*"),"?","~?"))&gt;1,IF(B8="Alcance",1,0)+IF(B8="Área",1,0)+IF(B8="Mira",1,0)+IF(B8="Controle",1,0)+IF(B8="Auxiliares",1,0)+IF(B8="Castigo",1,0)+IF(B8="Tempo",1,0)+IF(B8="Marca",1,0)+IF(B8="Amparo",1,0)&gt;0),"Nome repetido no livro ou custom",""),IF(COUNTIF($M$2:$M$4,C8)&lt;&gt;1,"Escolha Livre, Neutra ou Fechada",""),IF(ISLOGICAL(D8),"","MESTRE VIU deve ser caixa de seleção")))</f>
        <v/>
      </c>
      <c r="H8" t="inlineStr">
        <is>
          <t>Tempo</t>
        </is>
      </c>
      <c r="I8">
        <f>'FICHA AMALDIÇOADA'!$L$37&amp;""</f>
        <v/>
      </c>
      <c r="J8">
        <f>IF(I8="Livre",1,0)</f>
        <v/>
      </c>
      <c r="K8">
        <f>IF(I8="Fechada",1,0)</f>
        <v/>
      </c>
    </row>
    <row r="9">
      <c r="A9" t="n">
        <v>8</v>
      </c>
      <c r="B9">
        <f>IF(ISBLANK('CONFIGURAÇÃO'!$CR$57),"",'CONFIGURAÇÃO'!$CR$57)</f>
        <v/>
      </c>
      <c r="C9">
        <f>IF(ISBLANK('CONFIGURAÇÃO'!$CU$58),"",'CONFIGURAÇÃO'!$CU$58)</f>
        <v/>
      </c>
      <c r="D9">
        <f>IF(ISBLANK('CONFIGURAÇÃO'!$CV$55),"",'CONFIGURAÇÃO'!$CV$55)</f>
        <v/>
      </c>
      <c r="E9">
        <f>IF(ISBLANK('CONFIGURAÇÃO'!$CR$60),"",'CONFIGURAÇÃO'!$CR$60)</f>
        <v/>
      </c>
      <c r="F9">
        <f>IF(B9="",IF(OR(E9&lt;&gt;"",D9=TRUE,AND(C9&lt;&gt;"",C9&lt;&gt;"Neutra")),"Preencha NOME",""),TEXTJOIN(" · ",TRUE,IF(OR(NOT(ISTEXT(B9)),TRIM(B9)&lt;&gt;B9),"NOME precisa ser texto sem espaços nas pontas",""),IF(OR(COUNTIF($B$2:$B$11,SUBSTITUTE(SUBSTITUTE(SUBSTITUTE(B9,"~","~~"),"*","~*"),"?","~?"))&gt;1,IF(B9="Alcance",1,0)+IF(B9="Área",1,0)+IF(B9="Mira",1,0)+IF(B9="Controle",1,0)+IF(B9="Auxiliares",1,0)+IF(B9="Castigo",1,0)+IF(B9="Tempo",1,0)+IF(B9="Marca",1,0)+IF(B9="Amparo",1,0)&gt;0),"Nome repetido no livro ou custom",""),IF(COUNTIF($M$2:$M$4,C9)&lt;&gt;1,"Escolha Livre, Neutra ou Fechada",""),IF(ISLOGICAL(D9),"","MESTRE VIU deve ser caixa de seleção")))</f>
        <v/>
      </c>
      <c r="H9" t="inlineStr">
        <is>
          <t>Marca</t>
        </is>
      </c>
      <c r="I9">
        <f>'FICHA AMALDIÇOADA'!$M$37&amp;""</f>
        <v/>
      </c>
      <c r="J9">
        <f>IF(I9="Livre",1,0)</f>
        <v/>
      </c>
      <c r="K9">
        <f>IF(I9="Fechada",1,0)</f>
        <v/>
      </c>
    </row>
    <row r="10">
      <c r="A10" t="n">
        <v>9</v>
      </c>
      <c r="B10">
        <f>IF(ISBLANK('CONFIGURAÇÃO'!$CJ$71),"",'CONFIGURAÇÃO'!$CJ$71)</f>
        <v/>
      </c>
      <c r="C10">
        <f>IF(ISBLANK('CONFIGURAÇÃO'!$CM$72),"",'CONFIGURAÇÃO'!$CM$72)</f>
        <v/>
      </c>
      <c r="D10">
        <f>IF(ISBLANK('CONFIGURAÇÃO'!$CN$69),"",'CONFIGURAÇÃO'!$CN$69)</f>
        <v/>
      </c>
      <c r="E10">
        <f>IF(ISBLANK('CONFIGURAÇÃO'!$CJ$74),"",'CONFIGURAÇÃO'!$CJ$74)</f>
        <v/>
      </c>
      <c r="F10">
        <f>IF(B10="",IF(OR(E10&lt;&gt;"",D10=TRUE,AND(C10&lt;&gt;"",C10&lt;&gt;"Neutra")),"Preencha NOME",""),TEXTJOIN(" · ",TRUE,IF(OR(NOT(ISTEXT(B10)),TRIM(B10)&lt;&gt;B10),"NOME precisa ser texto sem espaços nas pontas",""),IF(OR(COUNTIF($B$2:$B$11,SUBSTITUTE(SUBSTITUTE(SUBSTITUTE(B10,"~","~~"),"*","~*"),"?","~?"))&gt;1,IF(B10="Alcance",1,0)+IF(B10="Área",1,0)+IF(B10="Mira",1,0)+IF(B10="Controle",1,0)+IF(B10="Auxiliares",1,0)+IF(B10="Castigo",1,0)+IF(B10="Tempo",1,0)+IF(B10="Marca",1,0)+IF(B10="Amparo",1,0)&gt;0),"Nome repetido no livro ou custom",""),IF(COUNTIF($M$2:$M$4,C10)&lt;&gt;1,"Escolha Livre, Neutra ou Fechada",""),IF(ISLOGICAL(D10),"","MESTRE VIU deve ser caixa de seleção")))</f>
        <v/>
      </c>
      <c r="H10" t="inlineStr">
        <is>
          <t>Amparo</t>
        </is>
      </c>
      <c r="I10">
        <f>'FICHA AMALDIÇOADA'!$P$37&amp;""</f>
        <v/>
      </c>
      <c r="J10">
        <f>IF(I10="Livre",1,0)</f>
        <v/>
      </c>
      <c r="K10">
        <f>IF(I10="Fechada",1,0)</f>
        <v/>
      </c>
    </row>
    <row r="11">
      <c r="A11" t="n">
        <v>10</v>
      </c>
      <c r="B11">
        <f>IF(ISBLANK('CONFIGURAÇÃO'!$CR$71),"",'CONFIGURAÇÃO'!$CR$71)</f>
        <v/>
      </c>
      <c r="C11">
        <f>IF(ISBLANK('CONFIGURAÇÃO'!$CU$72),"",'CONFIGURAÇÃO'!$CU$72)</f>
        <v/>
      </c>
      <c r="D11">
        <f>IF(ISBLANK('CONFIGURAÇÃO'!$CV$69),"",'CONFIGURAÇÃO'!$CV$69)</f>
        <v/>
      </c>
      <c r="E11">
        <f>IF(ISBLANK('CONFIGURAÇÃO'!$CR$74),"",'CONFIGURAÇÃO'!$CR$74)</f>
        <v/>
      </c>
      <c r="F11">
        <f>IF(B11="",IF(OR(E11&lt;&gt;"",D11=TRUE,AND(C11&lt;&gt;"",C11&lt;&gt;"Neutra")),"Preencha NOME",""),TEXTJOIN(" · ",TRUE,IF(OR(NOT(ISTEXT(B11)),TRIM(B11)&lt;&gt;B11),"NOME precisa ser texto sem espaços nas pontas",""),IF(OR(COUNTIF($B$2:$B$11,SUBSTITUTE(SUBSTITUTE(SUBSTITUTE(B11,"~","~~"),"*","~*"),"?","~?"))&gt;1,IF(B11="Alcance",1,0)+IF(B11="Área",1,0)+IF(B11="Mira",1,0)+IF(B11="Controle",1,0)+IF(B11="Auxiliares",1,0)+IF(B11="Castigo",1,0)+IF(B11="Tempo",1,0)+IF(B11="Marca",1,0)+IF(B11="Amparo",1,0)&gt;0),"Nome repetido no livro ou custom",""),IF(COUNTIF($M$2:$M$4,C11)&lt;&gt;1,"Escolha Livre, Neutra ou Fechada",""),IF(ISLOGICAL(D11),"","MESTRE VIU deve ser caixa de seleção")))</f>
        <v/>
      </c>
      <c r="H11">
        <f>IF(AND(B2&lt;&gt;"",F2=""),B2,"")</f>
        <v/>
      </c>
      <c r="I11">
        <f>IF(H11="","",C2)</f>
        <v/>
      </c>
      <c r="J11">
        <f>IF(AND(H11&lt;&gt;"",I11="Livre"),1,0)</f>
        <v/>
      </c>
      <c r="K11">
        <f>IF(AND(H11&lt;&gt;"",I11="Fechada"),1,0)</f>
        <v/>
      </c>
    </row>
    <row r="12">
      <c r="H12">
        <f>IF(AND(B3&lt;&gt;"",F3=""),B3,"")</f>
        <v/>
      </c>
      <c r="I12">
        <f>IF(H12="","",C3)</f>
        <v/>
      </c>
      <c r="J12">
        <f>IF(AND(H12&lt;&gt;"",I12="Livre"),1,0)</f>
        <v/>
      </c>
      <c r="K12">
        <f>IF(AND(H12&lt;&gt;"",I12="Fechada"),1,0)</f>
        <v/>
      </c>
    </row>
    <row r="13">
      <c r="H13">
        <f>IF(AND(B4&lt;&gt;"",F4=""),B4,"")</f>
        <v/>
      </c>
      <c r="I13">
        <f>IF(H13="","",C4)</f>
        <v/>
      </c>
      <c r="J13">
        <f>IF(AND(H13&lt;&gt;"",I13="Livre"),1,0)</f>
        <v/>
      </c>
      <c r="K13">
        <f>IF(AND(H13&lt;&gt;"",I13="Fechada"),1,0)</f>
        <v/>
      </c>
    </row>
    <row r="14">
      <c r="H14">
        <f>IF(AND(B5&lt;&gt;"",F5=""),B5,"")</f>
        <v/>
      </c>
      <c r="I14">
        <f>IF(H14="","",C5)</f>
        <v/>
      </c>
      <c r="J14">
        <f>IF(AND(H14&lt;&gt;"",I14="Livre"),1,0)</f>
        <v/>
      </c>
      <c r="K14">
        <f>IF(AND(H14&lt;&gt;"",I14="Fechada"),1,0)</f>
        <v/>
      </c>
    </row>
    <row r="15">
      <c r="H15">
        <f>IF(AND(B6&lt;&gt;"",F6=""),B6,"")</f>
        <v/>
      </c>
      <c r="I15">
        <f>IF(H15="","",C6)</f>
        <v/>
      </c>
      <c r="J15">
        <f>IF(AND(H15&lt;&gt;"",I15="Livre"),1,0)</f>
        <v/>
      </c>
      <c r="K15">
        <f>IF(AND(H15&lt;&gt;"",I15="Fechada"),1,0)</f>
        <v/>
      </c>
    </row>
    <row r="16">
      <c r="H16">
        <f>IF(AND(B7&lt;&gt;"",F7=""),B7,"")</f>
        <v/>
      </c>
      <c r="I16">
        <f>IF(H16="","",C7)</f>
        <v/>
      </c>
      <c r="J16">
        <f>IF(AND(H16&lt;&gt;"",I16="Livre"),1,0)</f>
        <v/>
      </c>
      <c r="K16">
        <f>IF(AND(H16&lt;&gt;"",I16="Fechada"),1,0)</f>
        <v/>
      </c>
    </row>
    <row r="17">
      <c r="H17">
        <f>IF(AND(B8&lt;&gt;"",F8=""),B8,"")</f>
        <v/>
      </c>
      <c r="I17">
        <f>IF(H17="","",C8)</f>
        <v/>
      </c>
      <c r="J17">
        <f>IF(AND(H17&lt;&gt;"",I17="Livre"),1,0)</f>
        <v/>
      </c>
      <c r="K17">
        <f>IF(AND(H17&lt;&gt;"",I17="Fechada"),1,0)</f>
        <v/>
      </c>
    </row>
    <row r="18">
      <c r="H18">
        <f>IF(AND(B9&lt;&gt;"",F9=""),B9,"")</f>
        <v/>
      </c>
      <c r="I18">
        <f>IF(H18="","",C9)</f>
        <v/>
      </c>
      <c r="J18">
        <f>IF(AND(H18&lt;&gt;"",I18="Livre"),1,0)</f>
        <v/>
      </c>
      <c r="K18">
        <f>IF(AND(H18&lt;&gt;"",I18="Fechada"),1,0)</f>
        <v/>
      </c>
    </row>
    <row r="19">
      <c r="H19">
        <f>IF(AND(B10&lt;&gt;"",F10=""),B10,"")</f>
        <v/>
      </c>
      <c r="I19">
        <f>IF(H19="","",C10)</f>
        <v/>
      </c>
      <c r="J19">
        <f>IF(AND(H19&lt;&gt;"",I19="Livre"),1,0)</f>
        <v/>
      </c>
      <c r="K19">
        <f>IF(AND(H19&lt;&gt;"",I19="Fechada"),1,0)</f>
        <v/>
      </c>
    </row>
    <row r="20">
      <c r="H20">
        <f>IF(AND(B11&lt;&gt;"",F11=""),B11,"")</f>
        <v/>
      </c>
      <c r="I20">
        <f>IF(H20="","",C11)</f>
        <v/>
      </c>
      <c r="J20">
        <f>IF(AND(H20&lt;&gt;"",I20="Livre"),1,0)</f>
        <v/>
      </c>
      <c r="K20">
        <f>IF(AND(H20&lt;&gt;"",I20="Fechada"),1,0)</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Y113"/>
  <sheetViews>
    <sheetView showGridLines="0" workbookViewId="0">
      <selection activeCell="A1" sqref="A1"/>
    </sheetView>
  </sheetViews>
  <sheetFormatPr baseColWidth="8" defaultRowHeight="15.75" customHeight="1"/>
  <sheetData>
    <row r="1">
      <c r="A1" t="inlineStr">
        <is>
          <t>linha CONFIGURAÇÃO</t>
        </is>
      </c>
      <c r="B1" t="inlineStr">
        <is>
          <t>lado CONFIGURAÇÃO</t>
        </is>
      </c>
      <c r="C1" t="inlineStr">
        <is>
          <t>registro</t>
        </is>
      </c>
      <c r="D1" t="inlineStr">
        <is>
          <t>nome</t>
        </is>
      </c>
      <c r="E1" t="inlineStr">
        <is>
          <t>base</t>
        </is>
      </c>
      <c r="F1" t="inlineStr">
        <is>
          <t>família</t>
        </is>
      </c>
      <c r="G1" t="inlineStr">
        <is>
          <t>peso</t>
        </is>
      </c>
      <c r="H1" t="inlineStr">
        <is>
          <t>exige TR</t>
        </is>
      </c>
      <c r="I1" t="inlineStr">
        <is>
          <t>requisitos e repetição</t>
        </is>
      </c>
      <c r="J1" t="inlineStr">
        <is>
          <t>efeito</t>
        </is>
      </c>
      <c r="K1" t="inlineStr">
        <is>
          <t>mestre viu</t>
        </is>
      </c>
      <c r="L1" t="inlineStr">
        <is>
          <t>linha da base</t>
        </is>
      </c>
      <c r="M1" t="inlineStr">
        <is>
          <t>problema</t>
        </is>
      </c>
      <c r="BM1" t="inlineStr">
        <is>
          <t>Família permitida</t>
        </is>
      </c>
      <c r="BR1" t="inlineStr">
        <is>
          <t>modalidade da Melhoria</t>
        </is>
      </c>
      <c r="BT1" t="inlineStr">
        <is>
          <t>modalidades</t>
        </is>
      </c>
      <c r="BU1" t="inlineStr">
        <is>
          <t>bases de Condição</t>
        </is>
      </c>
      <c r="BV1" t="inlineStr">
        <is>
          <t>bases do cadastro 1</t>
        </is>
      </c>
      <c r="BW1" t="inlineStr">
        <is>
          <t>bases do cadastro 2</t>
        </is>
      </c>
      <c r="BX1" t="inlineStr">
        <is>
          <t>bases do cadastro 3</t>
        </is>
      </c>
      <c r="BY1" t="inlineStr">
        <is>
          <t>bases do cadastro 4</t>
        </is>
      </c>
      <c r="BZ1" t="inlineStr">
        <is>
          <t>bases do cadastro 5</t>
        </is>
      </c>
      <c r="CA1" t="inlineStr">
        <is>
          <t>bases do cadastro 6</t>
        </is>
      </c>
      <c r="CB1" t="inlineStr">
        <is>
          <t>bases do cadastro 7</t>
        </is>
      </c>
      <c r="CC1" t="inlineStr">
        <is>
          <t>bases do cadastro 8</t>
        </is>
      </c>
      <c r="CD1" t="inlineStr">
        <is>
          <t>bases do cadastro 9</t>
        </is>
      </c>
      <c r="CE1" t="inlineStr">
        <is>
          <t>bases do cadastro 10</t>
        </is>
      </c>
      <c r="CF1" t="inlineStr">
        <is>
          <t>bases do cadastro 11</t>
        </is>
      </c>
      <c r="CG1" t="inlineStr">
        <is>
          <t>bases do cadastro 12</t>
        </is>
      </c>
      <c r="CH1" t="inlineStr">
        <is>
          <t>bases do cadastro 13</t>
        </is>
      </c>
      <c r="CI1" t="inlineStr">
        <is>
          <t>bases do cadastro 14</t>
        </is>
      </c>
      <c r="CJ1" t="inlineStr">
        <is>
          <t>bases do cadastro 15</t>
        </is>
      </c>
      <c r="CK1" t="inlineStr">
        <is>
          <t>bases do cadastro 16</t>
        </is>
      </c>
      <c r="CL1" t="inlineStr">
        <is>
          <t>bases do cadastro 17</t>
        </is>
      </c>
      <c r="CM1" t="inlineStr">
        <is>
          <t>bases do cadastro 18</t>
        </is>
      </c>
      <c r="CN1" t="inlineStr">
        <is>
          <t>bases do cadastro 19</t>
        </is>
      </c>
      <c r="CO1" t="inlineStr">
        <is>
          <t>bases do cadastro 20</t>
        </is>
      </c>
      <c r="CP1" t="inlineStr">
        <is>
          <t>bases do cadastro 21</t>
        </is>
      </c>
      <c r="CQ1" t="inlineStr">
        <is>
          <t>bases do cadastro 22</t>
        </is>
      </c>
      <c r="CR1" t="inlineStr">
        <is>
          <t>bases do cadastro 23</t>
        </is>
      </c>
      <c r="CS1" t="inlineStr">
        <is>
          <t>bases do cadastro 24</t>
        </is>
      </c>
      <c r="CT1" t="inlineStr">
        <is>
          <t>bases do cadastro 25</t>
        </is>
      </c>
      <c r="CU1" t="inlineStr">
        <is>
          <t>bases do cadastro 26</t>
        </is>
      </c>
      <c r="CV1" t="inlineStr">
        <is>
          <t>bases do cadastro 27</t>
        </is>
      </c>
      <c r="CW1" t="inlineStr">
        <is>
          <t>bases do cadastro 28</t>
        </is>
      </c>
      <c r="CX1" t="inlineStr">
        <is>
          <t>bases do cadastro 29</t>
        </is>
      </c>
      <c r="CY1" t="inlineStr">
        <is>
          <t>bases do cadastro 30</t>
        </is>
      </c>
    </row>
    <row r="2">
      <c r="A2" t="n">
        <v>1011</v>
      </c>
      <c r="B2" t="n">
        <v>0</v>
      </c>
      <c r="C2" t="n">
        <v>1</v>
      </c>
      <c r="D2">
        <f>IF(ISBLANK('CONFIGURAÇÃO'!$DA$15),"",'CONFIGURAÇÃO'!$DA$15)</f>
        <v/>
      </c>
      <c r="E2">
        <f>IF(ISBLANK('CONFIGURAÇÃO'!$DD$16),"",'CONFIGURAÇÃO'!$DD$16)</f>
        <v/>
      </c>
      <c r="F2">
        <f>IF(ISBLANK('CONFIGURAÇÃO'!$DD$17),"",'CONFIGURAÇÃO'!$DD$17)</f>
        <v/>
      </c>
      <c r="G2">
        <f>IF(ISBLANK('CONFIGURAÇÃO'!$DD$18),"",'CONFIGURAÇÃO'!$DD$18)</f>
        <v/>
      </c>
      <c r="H2">
        <f>IF(ISBLANK('CONFIGURAÇÃO'!$DD$19),"",'CONFIGURAÇÃO'!$DD$19)</f>
        <v/>
      </c>
      <c r="I2">
        <f>IF(ISBLANK('CONFIGURAÇÃO'!$DA$22),"",'CONFIGURAÇÃO'!$DA$22)</f>
        <v/>
      </c>
      <c r="J2">
        <f>IF(ISBLANK('CONFIGURAÇÃO'!$DA$28),"",'CONFIGURAÇÃO'!$DA$28)</f>
        <v/>
      </c>
      <c r="K2">
        <f>IF(ISBLANK('CONFIGURAÇÃO'!$DE$13),"",'CONFIGURAÇÃO'!$DE$13)</f>
        <v/>
      </c>
      <c r="L2">
        <f>IF(OR(E2="",E2="Nenhuma"),0,IFERROR(MATCH(SUBSTITUTE(SUBSTITUTE(SUBSTITUTE(E2,"~","~~"),"*","~*"),"?","~?"),'DADOS_MELHORIAS'!$O$2:$O$83,0),-1))</f>
        <v/>
      </c>
      <c r="M2">
        <f>IF(D2="",IF(BR2&lt;&gt;"Melhoria","Preencha NOME",IF(D2="",IF(OR(I2&lt;&gt;"",J2&lt;&gt;"",F2&lt;&gt;"",G2&lt;&gt;"",H2&lt;&gt;"",K2=TRUE,AND(E2&lt;&gt;"",E2&lt;&gt;"Nenhuma")),"Preencha NOME",""),TEXTJOIN(" · ",TRUE,IF(OR(NOT(ISTEXT(D2)),TRIM(D2)&lt;&gt;D2),"NOME precisa ser texto sem espaços nas pontas",""),IF(COUNTIF($D$2:$D$31,SUBSTITUTE(SUBSTITUTE(SUBSTITUTE(D2,"~","~~"),"*","~*"),"?","~?"))+COUNTIF('DADOS_MELHORIAS'!$O$2:$O$83,SUBSTITUTE(SUBSTITUTE(SUBSTITUTE(D2,"~","~~"),"*","~*"),"?","~?"))&gt;1,"Nome repetido no livro ou custom",""),IF(L2&lt;0,"Escolha uma BASE DO LIVRO válida",""),IF(ISLOGICAL(K2),"","MESTRE VIU deve ser caixa de seleção"),IF(AND(G2="",L2&lt;=0),"Escolha PESO",""),IF(AND(G2&lt;&gt;"",COUNTIF('DADOS_MELHORIAS'!$BN$2:$BN$4,SUBSTITUTE(SUBSTITUTE(SUBSTITUTE(G2,"~","~~"),"*","~*"),"?","~?"))&lt;&gt;1),"Peso ou devolução inválido",""),IF(AND(H2&lt;&gt;"",H2&lt;&gt;"Sim",H2&lt;&gt;"Não"),"Escolha Sim ou Não",""),IF(AND(F2&lt;&gt;"",COUNTIF('DADOS_MELHORIAS'!$BM$2:$BM$21,SUBSTITUTE(SUBSTITUTE(SUBSTITUTE(F2,"~","~~"),"*","~*"),"?","~?"))&lt;&gt;1),"Família não cadastrada ou com erro","")))),TEXTJOIN(" · ",TRUE,IF(D2="",IF(OR(I2&lt;&gt;"",J2&lt;&gt;"",F2&lt;&gt;"",G2&lt;&gt;"",H2&lt;&gt;"",K2=TRUE,AND(E2&lt;&gt;"",E2&lt;&gt;"Nenhuma")),"Preencha NOME",""),TEXTJOIN(" · ",TRUE,IF(OR(NOT(ISTEXT(D2)),TRIM(D2)&lt;&gt;D2),"NOME precisa ser texto sem espaços nas pontas",""),IF(COUNTIF($D$2:$D$31,SUBSTITUTE(SUBSTITUTE(SUBSTITUTE(D2,"~","~~"),"*","~*"),"?","~?"))+COUNTIF('DADOS_MELHORIAS'!$O$2:$O$83,SUBSTITUTE(SUBSTITUTE(SUBSTITUTE(D2,"~","~~"),"*","~*"),"?","~?"))&gt;1,"Nome repetido no livro ou custom",""),IF(L2&lt;0,"Escolha uma BASE DO LIVRO válida",""),IF(ISLOGICAL(K2),"","MESTRE VIU deve ser caixa de seleção"),IF(AND(G2="",L2&lt;=0),"Escolha PESO",""),IF(AND(G2&lt;&gt;"",COUNTIF('DADOS_MELHORIAS'!$BN$2:$BN$4,SUBSTITUTE(SUBSTITUTE(SUBSTITUTE(G2,"~","~~"),"*","~*"),"?","~?"))&lt;&gt;1),"Peso ou devolução inválido",""),IF(AND(H2&lt;&gt;"",H2&lt;&gt;"Sim",H2&lt;&gt;"Não"),"Escolha Sim ou Não",""),IF(AND(F2&lt;&gt;"",COUNTIF('DADOS_MELHORIAS'!$BM$2:$BM$21,SUBSTITUTE(SUBSTITUTE(SUBSTITUTE(F2,"~","~~"),"*","~*"),"?","~?"))&lt;&gt;1),"Família não cadastrada ou com erro",""))),IF(AND(BR2&lt;&gt;"Melhoria",BR2&lt;&gt;"Condição"),"Modalidade inválida",""),IF(AND(BR2="Condição",E2&lt;&gt;"",E2&lt;&gt;"Nenhuma",COUNTIF('DADOS_MELHORIAS'!$BU$2:$BU$15,SUBSTITUTE(SUBSTITUTE(SUBSTITUTE(E2,"~","~~"),"*","~*"),"?","~?"))&lt;&gt;1),"Base de Condição inválida",""),IF(AND(BR2="Condição",H2&lt;&gt;"",H2&lt;&gt;"Sim"),"Condição exige TR","")))</f>
        <v/>
      </c>
      <c r="O2">
        <f>IF(ISBLANK(DADOS_AM!$BC$2),"",DADOS_AM!$BC$2)</f>
        <v/>
      </c>
      <c r="P2">
        <f>IF(ISBLANK(DADOS_AM!$BD$2),"",DADOS_AM!$BD$2)</f>
        <v/>
      </c>
      <c r="Q2">
        <f>IF(ISBLANK(DADOS_AM!$BE$2),"",DADOS_AM!$BE$2)</f>
        <v/>
      </c>
      <c r="R2">
        <f>IF(ISBLANK(DADOS_AM!$BF$2),"",DADOS_AM!$BF$2)</f>
        <v/>
      </c>
      <c r="S2">
        <f>IF(ISBLANK(DADOS_AM!$BG$2),"",DADOS_AM!$BG$2)</f>
        <v/>
      </c>
      <c r="T2">
        <f>IF(ISBLANK(DADOS_AM!$BH$2),"",DADOS_AM!$BH$2)</f>
        <v/>
      </c>
      <c r="U2">
        <f>IF(ISBLANK(DADOS_AM!$BI$2),"",DADOS_AM!$BI$2)</f>
        <v/>
      </c>
      <c r="V2">
        <f>IF(ISBLANK(DADOS_AM!$BJ$2),"",DADOS_AM!$BJ$2)</f>
        <v/>
      </c>
      <c r="W2">
        <f>IF(ISBLANK(DADOS_AM!$BK$2),"",DADOS_AM!$BK$2)</f>
        <v/>
      </c>
      <c r="X2" t="inlineStr">
        <is>
          <t>Longe</t>
        </is>
      </c>
      <c r="Y2" t="n">
        <v>0</v>
      </c>
      <c r="AG2">
        <f>O2</f>
        <v/>
      </c>
      <c r="AH2">
        <f>P2</f>
        <v/>
      </c>
      <c r="AI2">
        <f>Q2</f>
        <v/>
      </c>
      <c r="AJ2">
        <f>T2</f>
        <v/>
      </c>
      <c r="AK2">
        <f>Y2</f>
        <v/>
      </c>
      <c r="AL2">
        <f>W2</f>
        <v/>
      </c>
      <c r="AN2">
        <f>IF(OR(P2="",P2='DADOS_INVOC'!$EL$2,P2='DADOS_INVOC'!$EM$2,P2='DADOS_INVOC'!$EN$2,P2='DADOS_INVOC'!$EO$2,P2='DADOS_INVOC'!$EP$2,P2='DADOS_INVOC'!$QV$2,P2='DADOS_INVOC'!$QW$2,P2='DADOS_INVOC'!$QX$2,P2='DADOS_INVOC'!$QY$2),O2,"")</f>
        <v/>
      </c>
      <c r="AO2">
        <f>IF(AND(Q2=1,OR(P2="",P2='DADOS_INVOC'!$EL$2,P2='DADOS_INVOC'!$EM$2,P2='DADOS_INVOC'!$EN$2,P2='DADOS_INVOC'!$EO$2,P2='DADOS_INVOC'!$EP$2,P2='DADOS_INVOC'!$QV$2,P2='DADOS_INVOC'!$QW$2,P2='DADOS_INVOC'!$QX$2,P2='DADOS_INVOC'!$QY$2)),O2,"")</f>
        <v/>
      </c>
      <c r="AP2">
        <f>IF(OR(P2="",P2='DADOS_INVOC'!$EL$3,P2='DADOS_INVOC'!$EM$3,P2='DADOS_INVOC'!$EN$3,P2='DADOS_INVOC'!$EO$3,P2='DADOS_INVOC'!$EP$3,P2='DADOS_INVOC'!$QV$3,P2='DADOS_INVOC'!$QW$3,P2='DADOS_INVOC'!$QX$3,P2='DADOS_INVOC'!$QY$3),O2,"")</f>
        <v/>
      </c>
      <c r="AQ2">
        <f>IF(AND(Q2=1,OR(P2="",P2='DADOS_INVOC'!$EL$3,P2='DADOS_INVOC'!$EM$3,P2='DADOS_INVOC'!$EN$3,P2='DADOS_INVOC'!$EO$3,P2='DADOS_INVOC'!$EP$3,P2='DADOS_INVOC'!$QV$3,P2='DADOS_INVOC'!$QW$3,P2='DADOS_INVOC'!$QX$3,P2='DADOS_INVOC'!$QY$3)),O2,"")</f>
        <v/>
      </c>
      <c r="AR2">
        <f>IF(OR(P2="",P2='DADOS_INVOC'!$EL$4,P2='DADOS_INVOC'!$EM$4,P2='DADOS_INVOC'!$EN$4,P2='DADOS_INVOC'!$EO$4,P2='DADOS_INVOC'!$EP$4,P2='DADOS_INVOC'!$QV$4,P2='DADOS_INVOC'!$QW$4,P2='DADOS_INVOC'!$QX$4,P2='DADOS_INVOC'!$QY$4),O2,"")</f>
        <v/>
      </c>
      <c r="AS2">
        <f>IF(AND(Q2=1,OR(P2="",P2='DADOS_INVOC'!$EL$4,P2='DADOS_INVOC'!$EM$4,P2='DADOS_INVOC'!$EN$4,P2='DADOS_INVOC'!$EO$4,P2='DADOS_INVOC'!$EP$4,P2='DADOS_INVOC'!$QV$4,P2='DADOS_INVOC'!$QW$4,P2='DADOS_INVOC'!$QX$4,P2='DADOS_INVOC'!$QY$4)),O2,"")</f>
        <v/>
      </c>
      <c r="AT2">
        <f>IF(OR(P2="",P2='DADOS_INVOC'!$EL$5,P2='DADOS_INVOC'!$EM$5,P2='DADOS_INVOC'!$EN$5,P2='DADOS_INVOC'!$EO$5,P2='DADOS_INVOC'!$EP$5,P2='DADOS_INVOC'!$QV$5,P2='DADOS_INVOC'!$QW$5,P2='DADOS_INVOC'!$QX$5,P2='DADOS_INVOC'!$QY$5),O2,"")</f>
        <v/>
      </c>
      <c r="AU2">
        <f>IF(AND(Q2=1,OR(P2="",P2='DADOS_INVOC'!$EL$5,P2='DADOS_INVOC'!$EM$5,P2='DADOS_INVOC'!$EN$5,P2='DADOS_INVOC'!$EO$5,P2='DADOS_INVOC'!$EP$5,P2='DADOS_INVOC'!$QV$5,P2='DADOS_INVOC'!$QW$5,P2='DADOS_INVOC'!$QX$5,P2='DADOS_INVOC'!$QY$5)),O2,"")</f>
        <v/>
      </c>
      <c r="AV2">
        <f>IF(OR(P2="",P2='DADOS_INVOC'!$EL$6,P2='DADOS_INVOC'!$EM$6,P2='DADOS_INVOC'!$EN$6,P2='DADOS_INVOC'!$EO$6,P2='DADOS_INVOC'!$EP$6,P2='DADOS_INVOC'!$QV$6,P2='DADOS_INVOC'!$QW$6,P2='DADOS_INVOC'!$QX$6,P2='DADOS_INVOC'!$QY$6),O2,"")</f>
        <v/>
      </c>
      <c r="AW2">
        <f>IF(AND(Q2=1,OR(P2="",P2='DADOS_INVOC'!$EL$6,P2='DADOS_INVOC'!$EM$6,P2='DADOS_INVOC'!$EN$6,P2='DADOS_INVOC'!$EO$6,P2='DADOS_INVOC'!$EP$6,P2='DADOS_INVOC'!$QV$6,P2='DADOS_INVOC'!$QW$6,P2='DADOS_INVOC'!$QX$6,P2='DADOS_INVOC'!$QY$6)),O2,"")</f>
        <v/>
      </c>
      <c r="AX2">
        <f>IF(OR(P2="",P2='DADOS_INVOC'!$EL$7,P2='DADOS_INVOC'!$EM$7,P2='DADOS_INVOC'!$EN$7,P2='DADOS_INVOC'!$EO$7,P2='DADOS_INVOC'!$EP$7,P2='DADOS_INVOC'!$QV$7,P2='DADOS_INVOC'!$QW$7,P2='DADOS_INVOC'!$QX$7,P2='DADOS_INVOC'!$QY$7),O2,"")</f>
        <v/>
      </c>
      <c r="AY2">
        <f>IF(AND(Q2=1,OR(P2="",P2='DADOS_INVOC'!$EL$7,P2='DADOS_INVOC'!$EM$7,P2='DADOS_INVOC'!$EN$7,P2='DADOS_INVOC'!$EO$7,P2='DADOS_INVOC'!$EP$7,P2='DADOS_INVOC'!$QV$7,P2='DADOS_INVOC'!$QW$7,P2='DADOS_INVOC'!$QX$7,P2='DADOS_INVOC'!$QY$7)),O2,"")</f>
        <v/>
      </c>
      <c r="AZ2">
        <f>IF(OR(P2="",P2='DADOS_INVOC'!$EL$8,P2='DADOS_INVOC'!$EM$8,P2='DADOS_INVOC'!$EN$8,P2='DADOS_INVOC'!$EO$8,P2='DADOS_INVOC'!$EP$8,P2='DADOS_INVOC'!$QV$8,P2='DADOS_INVOC'!$QW$8,P2='DADOS_INVOC'!$QX$8,P2='DADOS_INVOC'!$QY$8),O2,"")</f>
        <v/>
      </c>
      <c r="BA2">
        <f>IF(AND(Q2=1,OR(P2="",P2='DADOS_INVOC'!$EL$8,P2='DADOS_INVOC'!$EM$8,P2='DADOS_INVOC'!$EN$8,P2='DADOS_INVOC'!$EO$8,P2='DADOS_INVOC'!$EP$8,P2='DADOS_INVOC'!$QV$8,P2='DADOS_INVOC'!$QW$8,P2='DADOS_INVOC'!$QX$8,P2='DADOS_INVOC'!$QY$8)),O2,"")</f>
        <v/>
      </c>
      <c r="BB2">
        <f>IF(OR(P2="",P2='DADOS_INVOC'!$EL$9,P2='DADOS_INVOC'!$EM$9,P2='DADOS_INVOC'!$EN$9,P2='DADOS_INVOC'!$EO$9,P2='DADOS_INVOC'!$EP$9,P2='DADOS_INVOC'!$QV$9,P2='DADOS_INVOC'!$QW$9,P2='DADOS_INVOC'!$QX$9,P2='DADOS_INVOC'!$QY$9),O2,"")</f>
        <v/>
      </c>
      <c r="BC2">
        <f>IF(AND(Q2=1,OR(P2="",P2='DADOS_INVOC'!$EL$9,P2='DADOS_INVOC'!$EM$9,P2='DADOS_INVOC'!$EN$9,P2='DADOS_INVOC'!$EO$9,P2='DADOS_INVOC'!$EP$9,P2='DADOS_INVOC'!$QV$9,P2='DADOS_INVOC'!$QW$9,P2='DADOS_INVOC'!$QX$9,P2='DADOS_INVOC'!$QY$9)),O2,"")</f>
        <v/>
      </c>
      <c r="BD2">
        <f>IF(OR(P2="",P2='DADOS_INVOC'!$EL$10,P2='DADOS_INVOC'!$EM$10,P2='DADOS_INVOC'!$EN$10,P2='DADOS_INVOC'!$EO$10,P2='DADOS_INVOC'!$EP$10,P2='DADOS_INVOC'!$QV$10,P2='DADOS_INVOC'!$QW$10,P2='DADOS_INVOC'!$QX$10,P2='DADOS_INVOC'!$QY$10),O2,"")</f>
        <v/>
      </c>
      <c r="BE2">
        <f>IF(AND(Q2=1,OR(P2="",P2='DADOS_INVOC'!$EL$10,P2='DADOS_INVOC'!$EM$10,P2='DADOS_INVOC'!$EN$10,P2='DADOS_INVOC'!$EO$10,P2='DADOS_INVOC'!$EP$10,P2='DADOS_INVOC'!$QV$10,P2='DADOS_INVOC'!$QW$10,P2='DADOS_INVOC'!$QX$10,P2='DADOS_INVOC'!$QY$10)),O2,"")</f>
        <v/>
      </c>
      <c r="BF2">
        <f>IF(OR(P2="",P2='DADOS_INVOC'!$EL$11,P2='DADOS_INVOC'!$EM$11,P2='DADOS_INVOC'!$EN$11,P2='DADOS_INVOC'!$EO$11,P2='DADOS_INVOC'!$EP$11,P2='DADOS_INVOC'!$QV$11,P2='DADOS_INVOC'!$QW$11,P2='DADOS_INVOC'!$QX$11,P2='DADOS_INVOC'!$QY$11),O2,"")</f>
        <v/>
      </c>
      <c r="BG2">
        <f>IF(AND(Q2=1,OR(P2="",P2='DADOS_INVOC'!$EL$11,P2='DADOS_INVOC'!$EM$11,P2='DADOS_INVOC'!$EN$11,P2='DADOS_INVOC'!$EO$11,P2='DADOS_INVOC'!$EP$11,P2='DADOS_INVOC'!$QV$11,P2='DADOS_INVOC'!$QW$11,P2='DADOS_INVOC'!$QX$11,P2='DADOS_INVOC'!$QY$11)),O2,"")</f>
        <v/>
      </c>
      <c r="BH2">
        <f>IF(OR(P2="",P2='DADOS_INVOC'!$EL$12,P2='DADOS_INVOC'!$EM$12,P2='DADOS_INVOC'!$EN$12,P2='DADOS_INVOC'!$EO$12,P2='DADOS_INVOC'!$EP$12,P2='DADOS_INVOC'!$QV$12,P2='DADOS_INVOC'!$QW$12,P2='DADOS_INVOC'!$QX$12,P2='DADOS_INVOC'!$QY$12),O2,"")</f>
        <v/>
      </c>
      <c r="BI2">
        <f>IF(AND(Q2=1,OR(P2="",P2='DADOS_INVOC'!$EL$12,P2='DADOS_INVOC'!$EM$12,P2='DADOS_INVOC'!$EN$12,P2='DADOS_INVOC'!$EO$12,P2='DADOS_INVOC'!$EP$12,P2='DADOS_INVOC'!$QV$12,P2='DADOS_INVOC'!$QW$12,P2='DADOS_INVOC'!$QX$12,P2='DADOS_INVOC'!$QY$12)),O2,"")</f>
        <v/>
      </c>
      <c r="BJ2">
        <f>IF(OR(P2="",P2='DADOS_INVOC'!$EL$13,P2='DADOS_INVOC'!$EM$13,P2='DADOS_INVOC'!$EN$13,P2='DADOS_INVOC'!$EO$13,P2='DADOS_INVOC'!$EP$13,P2='DADOS_INVOC'!$QV$13,P2='DADOS_INVOC'!$QW$13,P2='DADOS_INVOC'!$QX$13,P2='DADOS_INVOC'!$QY$13),O2,"")</f>
        <v/>
      </c>
      <c r="BK2">
        <f>IF(AND(Q2=1,OR(P2="",P2='DADOS_INVOC'!$EL$13,P2='DADOS_INVOC'!$EM$13,P2='DADOS_INVOC'!$EN$13,P2='DADOS_INVOC'!$EO$13,P2='DADOS_INVOC'!$EP$13,P2='DADOS_INVOC'!$QV$13,P2='DADOS_INVOC'!$QW$13,P2='DADOS_INVOC'!$QX$13,P2='DADOS_INVOC'!$QY$13)),O2,"")</f>
        <v/>
      </c>
      <c r="BM2" t="inlineStr">
        <is>
          <t>Nenhuma</t>
        </is>
      </c>
      <c r="BN2" t="inlineStr">
        <is>
          <t>Leve</t>
        </is>
      </c>
      <c r="BO2" t="inlineStr">
        <is>
          <t>Sim</t>
        </is>
      </c>
      <c r="BP2" t="inlineStr">
        <is>
          <t>Nenhuma</t>
        </is>
      </c>
      <c r="BR2">
        <f>IF(OR(ISBLANK('CONFIGURAÇÃO'!$DA$13),'CONFIGURAÇÃO'!$DA$13=""),"Melhoria",'CONFIGURAÇÃO'!$DA$13)</f>
        <v/>
      </c>
      <c r="BT2" t="inlineStr">
        <is>
          <t>Melhoria</t>
        </is>
      </c>
      <c r="BU2" t="inlineStr">
        <is>
          <t>Nenhuma</t>
        </is>
      </c>
      <c r="BV2">
        <f>FILTER($BP$2:$BP$84,ARRAYFORMULA(IF($BR$2="Condição",COUNTIF('DADOS_MELHORIAS'!$BU$2:$BU$15,$BP$2:$BP$84)&gt;0,ROW($BP$2:$BP$84)&gt;0)))</f>
        <v/>
      </c>
      <c r="BW2">
        <f>FILTER($BP$2:$BP$84,ARRAYFORMULA(IF($BR$3="Condição",COUNTIF('DADOS_MELHORIAS'!$BU$2:$BU$15,$BP$2:$BP$84)&gt;0,ROW($BP$2:$BP$84)&gt;0)))</f>
        <v/>
      </c>
      <c r="BX2">
        <f>FILTER($BP$2:$BP$84,ARRAYFORMULA(IF($BR$4="Condição",COUNTIF('DADOS_MELHORIAS'!$BU$2:$BU$15,$BP$2:$BP$84)&gt;0,ROW($BP$2:$BP$84)&gt;0)))</f>
        <v/>
      </c>
      <c r="BY2">
        <f>FILTER($BP$2:$BP$84,ARRAYFORMULA(IF($BR$5="Condição",COUNTIF('DADOS_MELHORIAS'!$BU$2:$BU$15,$BP$2:$BP$84)&gt;0,ROW($BP$2:$BP$84)&gt;0)))</f>
        <v/>
      </c>
      <c r="BZ2">
        <f>FILTER($BP$2:$BP$84,ARRAYFORMULA(IF($BR$6="Condição",COUNTIF('DADOS_MELHORIAS'!$BU$2:$BU$15,$BP$2:$BP$84)&gt;0,ROW($BP$2:$BP$84)&gt;0)))</f>
        <v/>
      </c>
      <c r="CA2">
        <f>FILTER($BP$2:$BP$84,ARRAYFORMULA(IF($BR$7="Condição",COUNTIF('DADOS_MELHORIAS'!$BU$2:$BU$15,$BP$2:$BP$84)&gt;0,ROW($BP$2:$BP$84)&gt;0)))</f>
        <v/>
      </c>
      <c r="CB2">
        <f>FILTER($BP$2:$BP$84,ARRAYFORMULA(IF($BR$8="Condição",COUNTIF('DADOS_MELHORIAS'!$BU$2:$BU$15,$BP$2:$BP$84)&gt;0,ROW($BP$2:$BP$84)&gt;0)))</f>
        <v/>
      </c>
      <c r="CC2">
        <f>FILTER($BP$2:$BP$84,ARRAYFORMULA(IF($BR$9="Condição",COUNTIF('DADOS_MELHORIAS'!$BU$2:$BU$15,$BP$2:$BP$84)&gt;0,ROW($BP$2:$BP$84)&gt;0)))</f>
        <v/>
      </c>
      <c r="CD2">
        <f>FILTER($BP$2:$BP$84,ARRAYFORMULA(IF($BR$10="Condição",COUNTIF('DADOS_MELHORIAS'!$BU$2:$BU$15,$BP$2:$BP$84)&gt;0,ROW($BP$2:$BP$84)&gt;0)))</f>
        <v/>
      </c>
      <c r="CE2">
        <f>FILTER($BP$2:$BP$84,ARRAYFORMULA(IF($BR$11="Condição",COUNTIF('DADOS_MELHORIAS'!$BU$2:$BU$15,$BP$2:$BP$84)&gt;0,ROW($BP$2:$BP$84)&gt;0)))</f>
        <v/>
      </c>
      <c r="CF2">
        <f>FILTER($BP$2:$BP$84,ARRAYFORMULA(IF($BR$12="Condição",COUNTIF('DADOS_MELHORIAS'!$BU$2:$BU$15,$BP$2:$BP$84)&gt;0,ROW($BP$2:$BP$84)&gt;0)))</f>
        <v/>
      </c>
      <c r="CG2">
        <f>FILTER($BP$2:$BP$84,ARRAYFORMULA(IF($BR$13="Condição",COUNTIF('DADOS_MELHORIAS'!$BU$2:$BU$15,$BP$2:$BP$84)&gt;0,ROW($BP$2:$BP$84)&gt;0)))</f>
        <v/>
      </c>
      <c r="CH2">
        <f>FILTER($BP$2:$BP$84,ARRAYFORMULA(IF($BR$14="Condição",COUNTIF('DADOS_MELHORIAS'!$BU$2:$BU$15,$BP$2:$BP$84)&gt;0,ROW($BP$2:$BP$84)&gt;0)))</f>
        <v/>
      </c>
      <c r="CI2">
        <f>FILTER($BP$2:$BP$84,ARRAYFORMULA(IF($BR$15="Condição",COUNTIF('DADOS_MELHORIAS'!$BU$2:$BU$15,$BP$2:$BP$84)&gt;0,ROW($BP$2:$BP$84)&gt;0)))</f>
        <v/>
      </c>
      <c r="CJ2">
        <f>FILTER($BP$2:$BP$84,ARRAYFORMULA(IF($BR$16="Condição",COUNTIF('DADOS_MELHORIAS'!$BU$2:$BU$15,$BP$2:$BP$84)&gt;0,ROW($BP$2:$BP$84)&gt;0)))</f>
        <v/>
      </c>
      <c r="CK2">
        <f>FILTER($BP$2:$BP$84,ARRAYFORMULA(IF($BR$17="Condição",COUNTIF('DADOS_MELHORIAS'!$BU$2:$BU$15,$BP$2:$BP$84)&gt;0,ROW($BP$2:$BP$84)&gt;0)))</f>
        <v/>
      </c>
      <c r="CL2">
        <f>FILTER($BP$2:$BP$84,ARRAYFORMULA(IF($BR$18="Condição",COUNTIF('DADOS_MELHORIAS'!$BU$2:$BU$15,$BP$2:$BP$84)&gt;0,ROW($BP$2:$BP$84)&gt;0)))</f>
        <v/>
      </c>
      <c r="CM2">
        <f>FILTER($BP$2:$BP$84,ARRAYFORMULA(IF($BR$19="Condição",COUNTIF('DADOS_MELHORIAS'!$BU$2:$BU$15,$BP$2:$BP$84)&gt;0,ROW($BP$2:$BP$84)&gt;0)))</f>
        <v/>
      </c>
      <c r="CN2">
        <f>FILTER($BP$2:$BP$84,ARRAYFORMULA(IF($BR$20="Condição",COUNTIF('DADOS_MELHORIAS'!$BU$2:$BU$15,$BP$2:$BP$84)&gt;0,ROW($BP$2:$BP$84)&gt;0)))</f>
        <v/>
      </c>
      <c r="CO2">
        <f>FILTER($BP$2:$BP$84,ARRAYFORMULA(IF($BR$21="Condição",COUNTIF('DADOS_MELHORIAS'!$BU$2:$BU$15,$BP$2:$BP$84)&gt;0,ROW($BP$2:$BP$84)&gt;0)))</f>
        <v/>
      </c>
      <c r="CP2">
        <f>FILTER($BP$2:$BP$84,ARRAYFORMULA(IF($BR$22="Condição",COUNTIF('DADOS_MELHORIAS'!$BU$2:$BU$15,$BP$2:$BP$84)&gt;0,ROW($BP$2:$BP$84)&gt;0)))</f>
        <v/>
      </c>
      <c r="CQ2">
        <f>FILTER($BP$2:$BP$84,ARRAYFORMULA(IF($BR$23="Condição",COUNTIF('DADOS_MELHORIAS'!$BU$2:$BU$15,$BP$2:$BP$84)&gt;0,ROW($BP$2:$BP$84)&gt;0)))</f>
        <v/>
      </c>
      <c r="CR2">
        <f>FILTER($BP$2:$BP$84,ARRAYFORMULA(IF($BR$24="Condição",COUNTIF('DADOS_MELHORIAS'!$BU$2:$BU$15,$BP$2:$BP$84)&gt;0,ROW($BP$2:$BP$84)&gt;0)))</f>
        <v/>
      </c>
      <c r="CS2">
        <f>FILTER($BP$2:$BP$84,ARRAYFORMULA(IF($BR$25="Condição",COUNTIF('DADOS_MELHORIAS'!$BU$2:$BU$15,$BP$2:$BP$84)&gt;0,ROW($BP$2:$BP$84)&gt;0)))</f>
        <v/>
      </c>
      <c r="CT2">
        <f>FILTER($BP$2:$BP$84,ARRAYFORMULA(IF($BR$26="Condição",COUNTIF('DADOS_MELHORIAS'!$BU$2:$BU$15,$BP$2:$BP$84)&gt;0,ROW($BP$2:$BP$84)&gt;0)))</f>
        <v/>
      </c>
      <c r="CU2">
        <f>FILTER($BP$2:$BP$84,ARRAYFORMULA(IF($BR$27="Condição",COUNTIF('DADOS_MELHORIAS'!$BU$2:$BU$15,$BP$2:$BP$84)&gt;0,ROW($BP$2:$BP$84)&gt;0)))</f>
        <v/>
      </c>
      <c r="CV2">
        <f>FILTER($BP$2:$BP$84,ARRAYFORMULA(IF($BR$28="Condição",COUNTIF('DADOS_MELHORIAS'!$BU$2:$BU$15,$BP$2:$BP$84)&gt;0,ROW($BP$2:$BP$84)&gt;0)))</f>
        <v/>
      </c>
      <c r="CW2">
        <f>FILTER($BP$2:$BP$84,ARRAYFORMULA(IF($BR$29="Condição",COUNTIF('DADOS_MELHORIAS'!$BU$2:$BU$15,$BP$2:$BP$84)&gt;0,ROW($BP$2:$BP$84)&gt;0)))</f>
        <v/>
      </c>
      <c r="CX2">
        <f>FILTER($BP$2:$BP$84,ARRAYFORMULA(IF($BR$30="Condição",COUNTIF('DADOS_MELHORIAS'!$BU$2:$BU$15,$BP$2:$BP$84)&gt;0,ROW($BP$2:$BP$84)&gt;0)))</f>
        <v/>
      </c>
      <c r="CY2">
        <f>FILTER($BP$2:$BP$84,ARRAYFORMULA(IF($BR$31="Condição",COUNTIF('DADOS_MELHORIAS'!$BU$2:$BU$15,$BP$2:$BP$84)&gt;0,ROW($BP$2:$BP$84)&gt;0)))</f>
        <v/>
      </c>
    </row>
    <row r="3">
      <c r="A3" t="n">
        <v>1011</v>
      </c>
      <c r="B3" t="n">
        <v>8</v>
      </c>
      <c r="C3" t="n">
        <v>2</v>
      </c>
      <c r="D3">
        <f>IF(ISBLANK('CONFIGURAÇÃO'!$DI$15),"",'CONFIGURAÇÃO'!$DI$15)</f>
        <v/>
      </c>
      <c r="E3">
        <f>IF(ISBLANK('CONFIGURAÇÃO'!$DL$16),"",'CONFIGURAÇÃO'!$DL$16)</f>
        <v/>
      </c>
      <c r="F3">
        <f>IF(ISBLANK('CONFIGURAÇÃO'!$DL$17),"",'CONFIGURAÇÃO'!$DL$17)</f>
        <v/>
      </c>
      <c r="G3">
        <f>IF(ISBLANK('CONFIGURAÇÃO'!$DL$18),"",'CONFIGURAÇÃO'!$DL$18)</f>
        <v/>
      </c>
      <c r="H3">
        <f>IF(ISBLANK('CONFIGURAÇÃO'!$DL$19),"",'CONFIGURAÇÃO'!$DL$19)</f>
        <v/>
      </c>
      <c r="I3">
        <f>IF(ISBLANK('CONFIGURAÇÃO'!$DI$22),"",'CONFIGURAÇÃO'!$DI$22)</f>
        <v/>
      </c>
      <c r="J3">
        <f>IF(ISBLANK('CONFIGURAÇÃO'!$DI$28),"",'CONFIGURAÇÃO'!$DI$28)</f>
        <v/>
      </c>
      <c r="K3">
        <f>IF(ISBLANK('CONFIGURAÇÃO'!$DM$13),"",'CONFIGURAÇÃO'!$DM$13)</f>
        <v/>
      </c>
      <c r="L3">
        <f>IF(OR(E3="",E3="Nenhuma"),0,IFERROR(MATCH(SUBSTITUTE(SUBSTITUTE(SUBSTITUTE(E3,"~","~~"),"*","~*"),"?","~?"),'DADOS_MELHORIAS'!$O$2:$O$83,0),-1))</f>
        <v/>
      </c>
      <c r="M3">
        <f>IF(D3="",IF(BR3&lt;&gt;"Melhoria","Preencha NOME",IF(D3="",IF(OR(I3&lt;&gt;"",J3&lt;&gt;"",F3&lt;&gt;"",G3&lt;&gt;"",H3&lt;&gt;"",K3=TRUE,AND(E3&lt;&gt;"",E3&lt;&gt;"Nenhuma")),"Preencha NOME",""),TEXTJOIN(" · ",TRUE,IF(OR(NOT(ISTEXT(D3)),TRIM(D3)&lt;&gt;D3),"NOME precisa ser texto sem espaços nas pontas",""),IF(COUNTIF($D$2:$D$31,SUBSTITUTE(SUBSTITUTE(SUBSTITUTE(D3,"~","~~"),"*","~*"),"?","~?"))+COUNTIF('DADOS_MELHORIAS'!$O$2:$O$83,SUBSTITUTE(SUBSTITUTE(SUBSTITUTE(D3,"~","~~"),"*","~*"),"?","~?"))&gt;1,"Nome repetido no livro ou custom",""),IF(L3&lt;0,"Escolha uma BASE DO LIVRO válida",""),IF(ISLOGICAL(K3),"","MESTRE VIU deve ser caixa de seleção"),IF(AND(G3="",L3&lt;=0),"Escolha PESO",""),IF(AND(G3&lt;&gt;"",COUNTIF('DADOS_MELHORIAS'!$BN$2:$BN$4,SUBSTITUTE(SUBSTITUTE(SUBSTITUTE(G3,"~","~~"),"*","~*"),"?","~?"))&lt;&gt;1),"Peso ou devolução inválido",""),IF(AND(H3&lt;&gt;"",H3&lt;&gt;"Sim",H3&lt;&gt;"Não"),"Escolha Sim ou Não",""),IF(AND(F3&lt;&gt;"",COUNTIF('DADOS_MELHORIAS'!$BM$2:$BM$21,SUBSTITUTE(SUBSTITUTE(SUBSTITUTE(F3,"~","~~"),"*","~*"),"?","~?"))&lt;&gt;1),"Família não cadastrada ou com erro","")))),TEXTJOIN(" · ",TRUE,IF(D3="",IF(OR(I3&lt;&gt;"",J3&lt;&gt;"",F3&lt;&gt;"",G3&lt;&gt;"",H3&lt;&gt;"",K3=TRUE,AND(E3&lt;&gt;"",E3&lt;&gt;"Nenhuma")),"Preencha NOME",""),TEXTJOIN(" · ",TRUE,IF(OR(NOT(ISTEXT(D3)),TRIM(D3)&lt;&gt;D3),"NOME precisa ser texto sem espaços nas pontas",""),IF(COUNTIF($D$2:$D$31,SUBSTITUTE(SUBSTITUTE(SUBSTITUTE(D3,"~","~~"),"*","~*"),"?","~?"))+COUNTIF('DADOS_MELHORIAS'!$O$2:$O$83,SUBSTITUTE(SUBSTITUTE(SUBSTITUTE(D3,"~","~~"),"*","~*"),"?","~?"))&gt;1,"Nome repetido no livro ou custom",""),IF(L3&lt;0,"Escolha uma BASE DO LIVRO válida",""),IF(ISLOGICAL(K3),"","MESTRE VIU deve ser caixa de seleção"),IF(AND(G3="",L3&lt;=0),"Escolha PESO",""),IF(AND(G3&lt;&gt;"",COUNTIF('DADOS_MELHORIAS'!$BN$2:$BN$4,SUBSTITUTE(SUBSTITUTE(SUBSTITUTE(G3,"~","~~"),"*","~*"),"?","~?"))&lt;&gt;1),"Peso ou devolução inválido",""),IF(AND(H3&lt;&gt;"",H3&lt;&gt;"Sim",H3&lt;&gt;"Não"),"Escolha Sim ou Não",""),IF(AND(F3&lt;&gt;"",COUNTIF('DADOS_MELHORIAS'!$BM$2:$BM$21,SUBSTITUTE(SUBSTITUTE(SUBSTITUTE(F3,"~","~~"),"*","~*"),"?","~?"))&lt;&gt;1),"Família não cadastrada ou com erro",""))),IF(AND(BR3&lt;&gt;"Melhoria",BR3&lt;&gt;"Condição"),"Modalidade inválida",""),IF(AND(BR3="Condição",E3&lt;&gt;"",E3&lt;&gt;"Nenhuma",COUNTIF('DADOS_MELHORIAS'!$BU$2:$BU$15,SUBSTITUTE(SUBSTITUTE(SUBSTITUTE(E3,"~","~~"),"*","~*"),"?","~?"))&lt;&gt;1),"Base de Condição inválida",""),IF(AND(BR3="Condição",H3&lt;&gt;"",H3&lt;&gt;"Sim"),"Condição exige TR","")))</f>
        <v/>
      </c>
      <c r="O3">
        <f>IF(ISBLANK(DADOS_AM!$BC$3),"",DADOS_AM!$BC$3)</f>
        <v/>
      </c>
      <c r="P3">
        <f>IF(ISBLANK(DADOS_AM!$BD$3),"",DADOS_AM!$BD$3)</f>
        <v/>
      </c>
      <c r="Q3">
        <f>IF(ISBLANK(DADOS_AM!$BE$3),"",DADOS_AM!$BE$3)</f>
        <v/>
      </c>
      <c r="R3">
        <f>IF(ISBLANK(DADOS_AM!$BF$3),"",DADOS_AM!$BF$3)</f>
        <v/>
      </c>
      <c r="S3">
        <f>IF(ISBLANK(DADOS_AM!$BG$3),"",DADOS_AM!$BG$3)</f>
        <v/>
      </c>
      <c r="T3">
        <f>IF(ISBLANK(DADOS_AM!$BH$3),"",DADOS_AM!$BH$3)</f>
        <v/>
      </c>
      <c r="U3">
        <f>IF(ISBLANK(DADOS_AM!$BI$3),"",DADOS_AM!$BI$3)</f>
        <v/>
      </c>
      <c r="V3">
        <f>IF(ISBLANK(DADOS_AM!$BJ$3),"",DADOS_AM!$BJ$3)</f>
        <v/>
      </c>
      <c r="W3">
        <f>IF(ISBLANK(DADOS_AM!$BK$3),"",DADOS_AM!$BK$3)</f>
        <v/>
      </c>
      <c r="X3" t="inlineStr">
        <is>
          <t>Muito Longe</t>
        </is>
      </c>
      <c r="Y3" t="n">
        <v>0</v>
      </c>
      <c r="AG3">
        <f>O3</f>
        <v/>
      </c>
      <c r="AH3">
        <f>P3</f>
        <v/>
      </c>
      <c r="AI3">
        <f>Q3</f>
        <v/>
      </c>
      <c r="AJ3">
        <f>T3</f>
        <v/>
      </c>
      <c r="AK3">
        <f>Y3</f>
        <v/>
      </c>
      <c r="AL3">
        <f>W3</f>
        <v/>
      </c>
      <c r="AN3">
        <f>IF(OR(P3="",P3='DADOS_INVOC'!$EL$2,P3='DADOS_INVOC'!$EM$2,P3='DADOS_INVOC'!$EN$2,P3='DADOS_INVOC'!$EO$2,P3='DADOS_INVOC'!$EP$2,P3='DADOS_INVOC'!$QV$2,P3='DADOS_INVOC'!$QW$2,P3='DADOS_INVOC'!$QX$2,P3='DADOS_INVOC'!$QY$2),O3,"")</f>
        <v/>
      </c>
      <c r="AO3">
        <f>IF(AND(Q3=1,OR(P3="",P3='DADOS_INVOC'!$EL$2,P3='DADOS_INVOC'!$EM$2,P3='DADOS_INVOC'!$EN$2,P3='DADOS_INVOC'!$EO$2,P3='DADOS_INVOC'!$EP$2,P3='DADOS_INVOC'!$QV$2,P3='DADOS_INVOC'!$QW$2,P3='DADOS_INVOC'!$QX$2,P3='DADOS_INVOC'!$QY$2)),O3,"")</f>
        <v/>
      </c>
      <c r="AP3">
        <f>IF(OR(P3="",P3='DADOS_INVOC'!$EL$3,P3='DADOS_INVOC'!$EM$3,P3='DADOS_INVOC'!$EN$3,P3='DADOS_INVOC'!$EO$3,P3='DADOS_INVOC'!$EP$3,P3='DADOS_INVOC'!$QV$3,P3='DADOS_INVOC'!$QW$3,P3='DADOS_INVOC'!$QX$3,P3='DADOS_INVOC'!$QY$3),O3,"")</f>
        <v/>
      </c>
      <c r="AQ3">
        <f>IF(AND(Q3=1,OR(P3="",P3='DADOS_INVOC'!$EL$3,P3='DADOS_INVOC'!$EM$3,P3='DADOS_INVOC'!$EN$3,P3='DADOS_INVOC'!$EO$3,P3='DADOS_INVOC'!$EP$3,P3='DADOS_INVOC'!$QV$3,P3='DADOS_INVOC'!$QW$3,P3='DADOS_INVOC'!$QX$3,P3='DADOS_INVOC'!$QY$3)),O3,"")</f>
        <v/>
      </c>
      <c r="AR3">
        <f>IF(OR(P3="",P3='DADOS_INVOC'!$EL$4,P3='DADOS_INVOC'!$EM$4,P3='DADOS_INVOC'!$EN$4,P3='DADOS_INVOC'!$EO$4,P3='DADOS_INVOC'!$EP$4,P3='DADOS_INVOC'!$QV$4,P3='DADOS_INVOC'!$QW$4,P3='DADOS_INVOC'!$QX$4,P3='DADOS_INVOC'!$QY$4),O3,"")</f>
        <v/>
      </c>
      <c r="AS3">
        <f>IF(AND(Q3=1,OR(P3="",P3='DADOS_INVOC'!$EL$4,P3='DADOS_INVOC'!$EM$4,P3='DADOS_INVOC'!$EN$4,P3='DADOS_INVOC'!$EO$4,P3='DADOS_INVOC'!$EP$4,P3='DADOS_INVOC'!$QV$4,P3='DADOS_INVOC'!$QW$4,P3='DADOS_INVOC'!$QX$4,P3='DADOS_INVOC'!$QY$4)),O3,"")</f>
        <v/>
      </c>
      <c r="AT3">
        <f>IF(OR(P3="",P3='DADOS_INVOC'!$EL$5,P3='DADOS_INVOC'!$EM$5,P3='DADOS_INVOC'!$EN$5,P3='DADOS_INVOC'!$EO$5,P3='DADOS_INVOC'!$EP$5,P3='DADOS_INVOC'!$QV$5,P3='DADOS_INVOC'!$QW$5,P3='DADOS_INVOC'!$QX$5,P3='DADOS_INVOC'!$QY$5),O3,"")</f>
        <v/>
      </c>
      <c r="AU3">
        <f>IF(AND(Q3=1,OR(P3="",P3='DADOS_INVOC'!$EL$5,P3='DADOS_INVOC'!$EM$5,P3='DADOS_INVOC'!$EN$5,P3='DADOS_INVOC'!$EO$5,P3='DADOS_INVOC'!$EP$5,P3='DADOS_INVOC'!$QV$5,P3='DADOS_INVOC'!$QW$5,P3='DADOS_INVOC'!$QX$5,P3='DADOS_INVOC'!$QY$5)),O3,"")</f>
        <v/>
      </c>
      <c r="AV3">
        <f>IF(OR(P3="",P3='DADOS_INVOC'!$EL$6,P3='DADOS_INVOC'!$EM$6,P3='DADOS_INVOC'!$EN$6,P3='DADOS_INVOC'!$EO$6,P3='DADOS_INVOC'!$EP$6,P3='DADOS_INVOC'!$QV$6,P3='DADOS_INVOC'!$QW$6,P3='DADOS_INVOC'!$QX$6,P3='DADOS_INVOC'!$QY$6),O3,"")</f>
        <v/>
      </c>
      <c r="AW3">
        <f>IF(AND(Q3=1,OR(P3="",P3='DADOS_INVOC'!$EL$6,P3='DADOS_INVOC'!$EM$6,P3='DADOS_INVOC'!$EN$6,P3='DADOS_INVOC'!$EO$6,P3='DADOS_INVOC'!$EP$6,P3='DADOS_INVOC'!$QV$6,P3='DADOS_INVOC'!$QW$6,P3='DADOS_INVOC'!$QX$6,P3='DADOS_INVOC'!$QY$6)),O3,"")</f>
        <v/>
      </c>
      <c r="AX3">
        <f>IF(OR(P3="",P3='DADOS_INVOC'!$EL$7,P3='DADOS_INVOC'!$EM$7,P3='DADOS_INVOC'!$EN$7,P3='DADOS_INVOC'!$EO$7,P3='DADOS_INVOC'!$EP$7,P3='DADOS_INVOC'!$QV$7,P3='DADOS_INVOC'!$QW$7,P3='DADOS_INVOC'!$QX$7,P3='DADOS_INVOC'!$QY$7),O3,"")</f>
        <v/>
      </c>
      <c r="AY3">
        <f>IF(AND(Q3=1,OR(P3="",P3='DADOS_INVOC'!$EL$7,P3='DADOS_INVOC'!$EM$7,P3='DADOS_INVOC'!$EN$7,P3='DADOS_INVOC'!$EO$7,P3='DADOS_INVOC'!$EP$7,P3='DADOS_INVOC'!$QV$7,P3='DADOS_INVOC'!$QW$7,P3='DADOS_INVOC'!$QX$7,P3='DADOS_INVOC'!$QY$7)),O3,"")</f>
        <v/>
      </c>
      <c r="AZ3">
        <f>IF(OR(P3="",P3='DADOS_INVOC'!$EL$8,P3='DADOS_INVOC'!$EM$8,P3='DADOS_INVOC'!$EN$8,P3='DADOS_INVOC'!$EO$8,P3='DADOS_INVOC'!$EP$8,P3='DADOS_INVOC'!$QV$8,P3='DADOS_INVOC'!$QW$8,P3='DADOS_INVOC'!$QX$8,P3='DADOS_INVOC'!$QY$8),O3,"")</f>
        <v/>
      </c>
      <c r="BA3">
        <f>IF(AND(Q3=1,OR(P3="",P3='DADOS_INVOC'!$EL$8,P3='DADOS_INVOC'!$EM$8,P3='DADOS_INVOC'!$EN$8,P3='DADOS_INVOC'!$EO$8,P3='DADOS_INVOC'!$EP$8,P3='DADOS_INVOC'!$QV$8,P3='DADOS_INVOC'!$QW$8,P3='DADOS_INVOC'!$QX$8,P3='DADOS_INVOC'!$QY$8)),O3,"")</f>
        <v/>
      </c>
      <c r="BB3">
        <f>IF(OR(P3="",P3='DADOS_INVOC'!$EL$9,P3='DADOS_INVOC'!$EM$9,P3='DADOS_INVOC'!$EN$9,P3='DADOS_INVOC'!$EO$9,P3='DADOS_INVOC'!$EP$9,P3='DADOS_INVOC'!$QV$9,P3='DADOS_INVOC'!$QW$9,P3='DADOS_INVOC'!$QX$9,P3='DADOS_INVOC'!$QY$9),O3,"")</f>
        <v/>
      </c>
      <c r="BC3">
        <f>IF(AND(Q3=1,OR(P3="",P3='DADOS_INVOC'!$EL$9,P3='DADOS_INVOC'!$EM$9,P3='DADOS_INVOC'!$EN$9,P3='DADOS_INVOC'!$EO$9,P3='DADOS_INVOC'!$EP$9,P3='DADOS_INVOC'!$QV$9,P3='DADOS_INVOC'!$QW$9,P3='DADOS_INVOC'!$QX$9,P3='DADOS_INVOC'!$QY$9)),O3,"")</f>
        <v/>
      </c>
      <c r="BD3">
        <f>IF(OR(P3="",P3='DADOS_INVOC'!$EL$10,P3='DADOS_INVOC'!$EM$10,P3='DADOS_INVOC'!$EN$10,P3='DADOS_INVOC'!$EO$10,P3='DADOS_INVOC'!$EP$10,P3='DADOS_INVOC'!$QV$10,P3='DADOS_INVOC'!$QW$10,P3='DADOS_INVOC'!$QX$10,P3='DADOS_INVOC'!$QY$10),O3,"")</f>
        <v/>
      </c>
      <c r="BE3">
        <f>IF(AND(Q3=1,OR(P3="",P3='DADOS_INVOC'!$EL$10,P3='DADOS_INVOC'!$EM$10,P3='DADOS_INVOC'!$EN$10,P3='DADOS_INVOC'!$EO$10,P3='DADOS_INVOC'!$EP$10,P3='DADOS_INVOC'!$QV$10,P3='DADOS_INVOC'!$QW$10,P3='DADOS_INVOC'!$QX$10,P3='DADOS_INVOC'!$QY$10)),O3,"")</f>
        <v/>
      </c>
      <c r="BF3">
        <f>IF(OR(P3="",P3='DADOS_INVOC'!$EL$11,P3='DADOS_INVOC'!$EM$11,P3='DADOS_INVOC'!$EN$11,P3='DADOS_INVOC'!$EO$11,P3='DADOS_INVOC'!$EP$11,P3='DADOS_INVOC'!$QV$11,P3='DADOS_INVOC'!$QW$11,P3='DADOS_INVOC'!$QX$11,P3='DADOS_INVOC'!$QY$11),O3,"")</f>
        <v/>
      </c>
      <c r="BG3">
        <f>IF(AND(Q3=1,OR(P3="",P3='DADOS_INVOC'!$EL$11,P3='DADOS_INVOC'!$EM$11,P3='DADOS_INVOC'!$EN$11,P3='DADOS_INVOC'!$EO$11,P3='DADOS_INVOC'!$EP$11,P3='DADOS_INVOC'!$QV$11,P3='DADOS_INVOC'!$QW$11,P3='DADOS_INVOC'!$QX$11,P3='DADOS_INVOC'!$QY$11)),O3,"")</f>
        <v/>
      </c>
      <c r="BH3">
        <f>IF(OR(P3="",P3='DADOS_INVOC'!$EL$12,P3='DADOS_INVOC'!$EM$12,P3='DADOS_INVOC'!$EN$12,P3='DADOS_INVOC'!$EO$12,P3='DADOS_INVOC'!$EP$12,P3='DADOS_INVOC'!$QV$12,P3='DADOS_INVOC'!$QW$12,P3='DADOS_INVOC'!$QX$12,P3='DADOS_INVOC'!$QY$12),O3,"")</f>
        <v/>
      </c>
      <c r="BI3">
        <f>IF(AND(Q3=1,OR(P3="",P3='DADOS_INVOC'!$EL$12,P3='DADOS_INVOC'!$EM$12,P3='DADOS_INVOC'!$EN$12,P3='DADOS_INVOC'!$EO$12,P3='DADOS_INVOC'!$EP$12,P3='DADOS_INVOC'!$QV$12,P3='DADOS_INVOC'!$QW$12,P3='DADOS_INVOC'!$QX$12,P3='DADOS_INVOC'!$QY$12)),O3,"")</f>
        <v/>
      </c>
      <c r="BJ3">
        <f>IF(OR(P3="",P3='DADOS_INVOC'!$EL$13,P3='DADOS_INVOC'!$EM$13,P3='DADOS_INVOC'!$EN$13,P3='DADOS_INVOC'!$EO$13,P3='DADOS_INVOC'!$EP$13,P3='DADOS_INVOC'!$QV$13,P3='DADOS_INVOC'!$QW$13,P3='DADOS_INVOC'!$QX$13,P3='DADOS_INVOC'!$QY$13),O3,"")</f>
        <v/>
      </c>
      <c r="BK3">
        <f>IF(AND(Q3=1,OR(P3="",P3='DADOS_INVOC'!$EL$13,P3='DADOS_INVOC'!$EM$13,P3='DADOS_INVOC'!$EN$13,P3='DADOS_INVOC'!$EO$13,P3='DADOS_INVOC'!$EP$13,P3='DADOS_INVOC'!$QV$13,P3='DADOS_INVOC'!$QW$13,P3='DADOS_INVOC'!$QX$13,P3='DADOS_INVOC'!$QY$13)),O3,"")</f>
        <v/>
      </c>
      <c r="BM3">
        <f>IF('DADOS_CRIACAO'!$H$2="","",'DADOS_CRIACAO'!$H$2)</f>
        <v/>
      </c>
      <c r="BN3" t="inlineStr">
        <is>
          <t>Média</t>
        </is>
      </c>
      <c r="BO3" t="inlineStr">
        <is>
          <t>Não</t>
        </is>
      </c>
      <c r="BP3" t="inlineStr">
        <is>
          <t>Longe</t>
        </is>
      </c>
      <c r="BR3">
        <f>IF(OR(ISBLANK('CONFIGURAÇÃO'!$DI$13),'CONFIGURAÇÃO'!$DI$13=""),"Melhoria",'CONFIGURAÇÃO'!$DI$13)</f>
        <v/>
      </c>
      <c r="BT3" t="inlineStr">
        <is>
          <t>Condição</t>
        </is>
      </c>
      <c r="BU3" t="inlineStr">
        <is>
          <t>Lento</t>
        </is>
      </c>
    </row>
    <row r="4">
      <c r="A4" t="n">
        <v>1037</v>
      </c>
      <c r="B4" t="n">
        <v>0</v>
      </c>
      <c r="C4" t="n">
        <v>3</v>
      </c>
      <c r="D4">
        <f>IF(ISBLANK('CONFIGURAÇÃO'!$DA$41),"",'CONFIGURAÇÃO'!$DA$41)</f>
        <v/>
      </c>
      <c r="E4">
        <f>IF(ISBLANK('CONFIGURAÇÃO'!$DD$42),"",'CONFIGURAÇÃO'!$DD$42)</f>
        <v/>
      </c>
      <c r="F4">
        <f>IF(ISBLANK('CONFIGURAÇÃO'!$DD$43),"",'CONFIGURAÇÃO'!$DD$43)</f>
        <v/>
      </c>
      <c r="G4">
        <f>IF(ISBLANK('CONFIGURAÇÃO'!$DD$44),"",'CONFIGURAÇÃO'!$DD$44)</f>
        <v/>
      </c>
      <c r="H4">
        <f>IF(ISBLANK('CONFIGURAÇÃO'!$DD$45),"",'CONFIGURAÇÃO'!$DD$45)</f>
        <v/>
      </c>
      <c r="I4">
        <f>IF(ISBLANK('CONFIGURAÇÃO'!$DA$48),"",'CONFIGURAÇÃO'!$DA$48)</f>
        <v/>
      </c>
      <c r="J4">
        <f>IF(ISBLANK('CONFIGURAÇÃO'!$DA$54),"",'CONFIGURAÇÃO'!$DA$54)</f>
        <v/>
      </c>
      <c r="K4">
        <f>IF(ISBLANK('CONFIGURAÇÃO'!$DE$39),"",'CONFIGURAÇÃO'!$DE$39)</f>
        <v/>
      </c>
      <c r="L4">
        <f>IF(OR(E4="",E4="Nenhuma"),0,IFERROR(MATCH(SUBSTITUTE(SUBSTITUTE(SUBSTITUTE(E4,"~","~~"),"*","~*"),"?","~?"),'DADOS_MELHORIAS'!$O$2:$O$83,0),-1))</f>
        <v/>
      </c>
      <c r="M4">
        <f>IF(D4="",IF(BR4&lt;&gt;"Melhoria","Preencha NOME",IF(D4="",IF(OR(I4&lt;&gt;"",J4&lt;&gt;"",F4&lt;&gt;"",G4&lt;&gt;"",H4&lt;&gt;"",K4=TRUE,AND(E4&lt;&gt;"",E4&lt;&gt;"Nenhuma")),"Preencha NOME",""),TEXTJOIN(" · ",TRUE,IF(OR(NOT(ISTEXT(D4)),TRIM(D4)&lt;&gt;D4),"NOME precisa ser texto sem espaços nas pontas",""),IF(COUNTIF($D$2:$D$31,SUBSTITUTE(SUBSTITUTE(SUBSTITUTE(D4,"~","~~"),"*","~*"),"?","~?"))+COUNTIF('DADOS_MELHORIAS'!$O$2:$O$83,SUBSTITUTE(SUBSTITUTE(SUBSTITUTE(D4,"~","~~"),"*","~*"),"?","~?"))&gt;1,"Nome repetido no livro ou custom",""),IF(L4&lt;0,"Escolha uma BASE DO LIVRO válida",""),IF(ISLOGICAL(K4),"","MESTRE VIU deve ser caixa de seleção"),IF(AND(G4="",L4&lt;=0),"Escolha PESO",""),IF(AND(G4&lt;&gt;"",COUNTIF('DADOS_MELHORIAS'!$BN$2:$BN$4,SUBSTITUTE(SUBSTITUTE(SUBSTITUTE(G4,"~","~~"),"*","~*"),"?","~?"))&lt;&gt;1),"Peso ou devolução inválido",""),IF(AND(H4&lt;&gt;"",H4&lt;&gt;"Sim",H4&lt;&gt;"Não"),"Escolha Sim ou Não",""),IF(AND(F4&lt;&gt;"",COUNTIF('DADOS_MELHORIAS'!$BM$2:$BM$21,SUBSTITUTE(SUBSTITUTE(SUBSTITUTE(F4,"~","~~"),"*","~*"),"?","~?"))&lt;&gt;1),"Família não cadastrada ou com erro","")))),TEXTJOIN(" · ",TRUE,IF(D4="",IF(OR(I4&lt;&gt;"",J4&lt;&gt;"",F4&lt;&gt;"",G4&lt;&gt;"",H4&lt;&gt;"",K4=TRUE,AND(E4&lt;&gt;"",E4&lt;&gt;"Nenhuma")),"Preencha NOME",""),TEXTJOIN(" · ",TRUE,IF(OR(NOT(ISTEXT(D4)),TRIM(D4)&lt;&gt;D4),"NOME precisa ser texto sem espaços nas pontas",""),IF(COUNTIF($D$2:$D$31,SUBSTITUTE(SUBSTITUTE(SUBSTITUTE(D4,"~","~~"),"*","~*"),"?","~?"))+COUNTIF('DADOS_MELHORIAS'!$O$2:$O$83,SUBSTITUTE(SUBSTITUTE(SUBSTITUTE(D4,"~","~~"),"*","~*"),"?","~?"))&gt;1,"Nome repetido no livro ou custom",""),IF(L4&lt;0,"Escolha uma BASE DO LIVRO válida",""),IF(ISLOGICAL(K4),"","MESTRE VIU deve ser caixa de seleção"),IF(AND(G4="",L4&lt;=0),"Escolha PESO",""),IF(AND(G4&lt;&gt;"",COUNTIF('DADOS_MELHORIAS'!$BN$2:$BN$4,SUBSTITUTE(SUBSTITUTE(SUBSTITUTE(G4,"~","~~"),"*","~*"),"?","~?"))&lt;&gt;1),"Peso ou devolução inválido",""),IF(AND(H4&lt;&gt;"",H4&lt;&gt;"Sim",H4&lt;&gt;"Não"),"Escolha Sim ou Não",""),IF(AND(F4&lt;&gt;"",COUNTIF('DADOS_MELHORIAS'!$BM$2:$BM$21,SUBSTITUTE(SUBSTITUTE(SUBSTITUTE(F4,"~","~~"),"*","~*"),"?","~?"))&lt;&gt;1),"Família não cadastrada ou com erro",""))),IF(AND(BR4&lt;&gt;"Melhoria",BR4&lt;&gt;"Condição"),"Modalidade inválida",""),IF(AND(BR4="Condição",E4&lt;&gt;"",E4&lt;&gt;"Nenhuma",COUNTIF('DADOS_MELHORIAS'!$BU$2:$BU$15,SUBSTITUTE(SUBSTITUTE(SUBSTITUTE(E4,"~","~~"),"*","~*"),"?","~?"))&lt;&gt;1),"Base de Condição inválida",""),IF(AND(BR4="Condição",H4&lt;&gt;"",H4&lt;&gt;"Sim"),"Condição exige TR","")))</f>
        <v/>
      </c>
      <c r="O4">
        <f>IF(ISBLANK(DADOS_AM!$BC$4),"",DADOS_AM!$BC$4)</f>
        <v/>
      </c>
      <c r="P4">
        <f>IF(ISBLANK(DADOS_AM!$BD$4),"",DADOS_AM!$BD$4)</f>
        <v/>
      </c>
      <c r="Q4">
        <f>IF(ISBLANK(DADOS_AM!$BE$4),"",DADOS_AM!$BE$4)</f>
        <v/>
      </c>
      <c r="R4">
        <f>IF(ISBLANK(DADOS_AM!$BF$4),"",DADOS_AM!$BF$4)</f>
        <v/>
      </c>
      <c r="S4">
        <f>IF(ISBLANK(DADOS_AM!$BG$4),"",DADOS_AM!$BG$4)</f>
        <v/>
      </c>
      <c r="T4">
        <f>IF(ISBLANK(DADOS_AM!$BH$4),"",DADOS_AM!$BH$4)</f>
        <v/>
      </c>
      <c r="U4">
        <f>IF(ISBLANK(DADOS_AM!$BI$4),"",DADOS_AM!$BI$4)</f>
        <v/>
      </c>
      <c r="V4">
        <f>IF(ISBLANK(DADOS_AM!$BJ$4),"",DADOS_AM!$BJ$4)</f>
        <v/>
      </c>
      <c r="W4">
        <f>IF(ISBLANK(DADOS_AM!$BK$4),"",DADOS_AM!$BK$4)</f>
        <v/>
      </c>
      <c r="X4" t="inlineStr">
        <is>
          <t>Sem Ver</t>
        </is>
      </c>
      <c r="Y4" t="n">
        <v>0</v>
      </c>
      <c r="AG4">
        <f>O4</f>
        <v/>
      </c>
      <c r="AH4">
        <f>P4</f>
        <v/>
      </c>
      <c r="AI4">
        <f>Q4</f>
        <v/>
      </c>
      <c r="AJ4">
        <f>T4</f>
        <v/>
      </c>
      <c r="AK4">
        <f>Y4</f>
        <v/>
      </c>
      <c r="AL4">
        <f>W4</f>
        <v/>
      </c>
      <c r="AN4">
        <f>IF(OR(P4="",P4='DADOS_INVOC'!$EL$2,P4='DADOS_INVOC'!$EM$2,P4='DADOS_INVOC'!$EN$2,P4='DADOS_INVOC'!$EO$2,P4='DADOS_INVOC'!$EP$2,P4='DADOS_INVOC'!$QV$2,P4='DADOS_INVOC'!$QW$2,P4='DADOS_INVOC'!$QX$2,P4='DADOS_INVOC'!$QY$2),O4,"")</f>
        <v/>
      </c>
      <c r="AO4">
        <f>IF(AND(Q4=1,OR(P4="",P4='DADOS_INVOC'!$EL$2,P4='DADOS_INVOC'!$EM$2,P4='DADOS_INVOC'!$EN$2,P4='DADOS_INVOC'!$EO$2,P4='DADOS_INVOC'!$EP$2,P4='DADOS_INVOC'!$QV$2,P4='DADOS_INVOC'!$QW$2,P4='DADOS_INVOC'!$QX$2,P4='DADOS_INVOC'!$QY$2)),O4,"")</f>
        <v/>
      </c>
      <c r="AP4">
        <f>IF(OR(P4="",P4='DADOS_INVOC'!$EL$3,P4='DADOS_INVOC'!$EM$3,P4='DADOS_INVOC'!$EN$3,P4='DADOS_INVOC'!$EO$3,P4='DADOS_INVOC'!$EP$3,P4='DADOS_INVOC'!$QV$3,P4='DADOS_INVOC'!$QW$3,P4='DADOS_INVOC'!$QX$3,P4='DADOS_INVOC'!$QY$3),O4,"")</f>
        <v/>
      </c>
      <c r="AQ4">
        <f>IF(AND(Q4=1,OR(P4="",P4='DADOS_INVOC'!$EL$3,P4='DADOS_INVOC'!$EM$3,P4='DADOS_INVOC'!$EN$3,P4='DADOS_INVOC'!$EO$3,P4='DADOS_INVOC'!$EP$3,P4='DADOS_INVOC'!$QV$3,P4='DADOS_INVOC'!$QW$3,P4='DADOS_INVOC'!$QX$3,P4='DADOS_INVOC'!$QY$3)),O4,"")</f>
        <v/>
      </c>
      <c r="AR4">
        <f>IF(OR(P4="",P4='DADOS_INVOC'!$EL$4,P4='DADOS_INVOC'!$EM$4,P4='DADOS_INVOC'!$EN$4,P4='DADOS_INVOC'!$EO$4,P4='DADOS_INVOC'!$EP$4,P4='DADOS_INVOC'!$QV$4,P4='DADOS_INVOC'!$QW$4,P4='DADOS_INVOC'!$QX$4,P4='DADOS_INVOC'!$QY$4),O4,"")</f>
        <v/>
      </c>
      <c r="AS4">
        <f>IF(AND(Q4=1,OR(P4="",P4='DADOS_INVOC'!$EL$4,P4='DADOS_INVOC'!$EM$4,P4='DADOS_INVOC'!$EN$4,P4='DADOS_INVOC'!$EO$4,P4='DADOS_INVOC'!$EP$4,P4='DADOS_INVOC'!$QV$4,P4='DADOS_INVOC'!$QW$4,P4='DADOS_INVOC'!$QX$4,P4='DADOS_INVOC'!$QY$4)),O4,"")</f>
        <v/>
      </c>
      <c r="AT4">
        <f>IF(OR(P4="",P4='DADOS_INVOC'!$EL$5,P4='DADOS_INVOC'!$EM$5,P4='DADOS_INVOC'!$EN$5,P4='DADOS_INVOC'!$EO$5,P4='DADOS_INVOC'!$EP$5,P4='DADOS_INVOC'!$QV$5,P4='DADOS_INVOC'!$QW$5,P4='DADOS_INVOC'!$QX$5,P4='DADOS_INVOC'!$QY$5),O4,"")</f>
        <v/>
      </c>
      <c r="AU4">
        <f>IF(AND(Q4=1,OR(P4="",P4='DADOS_INVOC'!$EL$5,P4='DADOS_INVOC'!$EM$5,P4='DADOS_INVOC'!$EN$5,P4='DADOS_INVOC'!$EO$5,P4='DADOS_INVOC'!$EP$5,P4='DADOS_INVOC'!$QV$5,P4='DADOS_INVOC'!$QW$5,P4='DADOS_INVOC'!$QX$5,P4='DADOS_INVOC'!$QY$5)),O4,"")</f>
        <v/>
      </c>
      <c r="AV4">
        <f>IF(OR(P4="",P4='DADOS_INVOC'!$EL$6,P4='DADOS_INVOC'!$EM$6,P4='DADOS_INVOC'!$EN$6,P4='DADOS_INVOC'!$EO$6,P4='DADOS_INVOC'!$EP$6,P4='DADOS_INVOC'!$QV$6,P4='DADOS_INVOC'!$QW$6,P4='DADOS_INVOC'!$QX$6,P4='DADOS_INVOC'!$QY$6),O4,"")</f>
        <v/>
      </c>
      <c r="AW4">
        <f>IF(AND(Q4=1,OR(P4="",P4='DADOS_INVOC'!$EL$6,P4='DADOS_INVOC'!$EM$6,P4='DADOS_INVOC'!$EN$6,P4='DADOS_INVOC'!$EO$6,P4='DADOS_INVOC'!$EP$6,P4='DADOS_INVOC'!$QV$6,P4='DADOS_INVOC'!$QW$6,P4='DADOS_INVOC'!$QX$6,P4='DADOS_INVOC'!$QY$6)),O4,"")</f>
        <v/>
      </c>
      <c r="AX4">
        <f>IF(OR(P4="",P4='DADOS_INVOC'!$EL$7,P4='DADOS_INVOC'!$EM$7,P4='DADOS_INVOC'!$EN$7,P4='DADOS_INVOC'!$EO$7,P4='DADOS_INVOC'!$EP$7,P4='DADOS_INVOC'!$QV$7,P4='DADOS_INVOC'!$QW$7,P4='DADOS_INVOC'!$QX$7,P4='DADOS_INVOC'!$QY$7),O4,"")</f>
        <v/>
      </c>
      <c r="AY4">
        <f>IF(AND(Q4=1,OR(P4="",P4='DADOS_INVOC'!$EL$7,P4='DADOS_INVOC'!$EM$7,P4='DADOS_INVOC'!$EN$7,P4='DADOS_INVOC'!$EO$7,P4='DADOS_INVOC'!$EP$7,P4='DADOS_INVOC'!$QV$7,P4='DADOS_INVOC'!$QW$7,P4='DADOS_INVOC'!$QX$7,P4='DADOS_INVOC'!$QY$7)),O4,"")</f>
        <v/>
      </c>
      <c r="AZ4">
        <f>IF(OR(P4="",P4='DADOS_INVOC'!$EL$8,P4='DADOS_INVOC'!$EM$8,P4='DADOS_INVOC'!$EN$8,P4='DADOS_INVOC'!$EO$8,P4='DADOS_INVOC'!$EP$8,P4='DADOS_INVOC'!$QV$8,P4='DADOS_INVOC'!$QW$8,P4='DADOS_INVOC'!$QX$8,P4='DADOS_INVOC'!$QY$8),O4,"")</f>
        <v/>
      </c>
      <c r="BA4">
        <f>IF(AND(Q4=1,OR(P4="",P4='DADOS_INVOC'!$EL$8,P4='DADOS_INVOC'!$EM$8,P4='DADOS_INVOC'!$EN$8,P4='DADOS_INVOC'!$EO$8,P4='DADOS_INVOC'!$EP$8,P4='DADOS_INVOC'!$QV$8,P4='DADOS_INVOC'!$QW$8,P4='DADOS_INVOC'!$QX$8,P4='DADOS_INVOC'!$QY$8)),O4,"")</f>
        <v/>
      </c>
      <c r="BB4">
        <f>IF(OR(P4="",P4='DADOS_INVOC'!$EL$9,P4='DADOS_INVOC'!$EM$9,P4='DADOS_INVOC'!$EN$9,P4='DADOS_INVOC'!$EO$9,P4='DADOS_INVOC'!$EP$9,P4='DADOS_INVOC'!$QV$9,P4='DADOS_INVOC'!$QW$9,P4='DADOS_INVOC'!$QX$9,P4='DADOS_INVOC'!$QY$9),O4,"")</f>
        <v/>
      </c>
      <c r="BC4">
        <f>IF(AND(Q4=1,OR(P4="",P4='DADOS_INVOC'!$EL$9,P4='DADOS_INVOC'!$EM$9,P4='DADOS_INVOC'!$EN$9,P4='DADOS_INVOC'!$EO$9,P4='DADOS_INVOC'!$EP$9,P4='DADOS_INVOC'!$QV$9,P4='DADOS_INVOC'!$QW$9,P4='DADOS_INVOC'!$QX$9,P4='DADOS_INVOC'!$QY$9)),O4,"")</f>
        <v/>
      </c>
      <c r="BD4">
        <f>IF(OR(P4="",P4='DADOS_INVOC'!$EL$10,P4='DADOS_INVOC'!$EM$10,P4='DADOS_INVOC'!$EN$10,P4='DADOS_INVOC'!$EO$10,P4='DADOS_INVOC'!$EP$10,P4='DADOS_INVOC'!$QV$10,P4='DADOS_INVOC'!$QW$10,P4='DADOS_INVOC'!$QX$10,P4='DADOS_INVOC'!$QY$10),O4,"")</f>
        <v/>
      </c>
      <c r="BE4">
        <f>IF(AND(Q4=1,OR(P4="",P4='DADOS_INVOC'!$EL$10,P4='DADOS_INVOC'!$EM$10,P4='DADOS_INVOC'!$EN$10,P4='DADOS_INVOC'!$EO$10,P4='DADOS_INVOC'!$EP$10,P4='DADOS_INVOC'!$QV$10,P4='DADOS_INVOC'!$QW$10,P4='DADOS_INVOC'!$QX$10,P4='DADOS_INVOC'!$QY$10)),O4,"")</f>
        <v/>
      </c>
      <c r="BF4">
        <f>IF(OR(P4="",P4='DADOS_INVOC'!$EL$11,P4='DADOS_INVOC'!$EM$11,P4='DADOS_INVOC'!$EN$11,P4='DADOS_INVOC'!$EO$11,P4='DADOS_INVOC'!$EP$11,P4='DADOS_INVOC'!$QV$11,P4='DADOS_INVOC'!$QW$11,P4='DADOS_INVOC'!$QX$11,P4='DADOS_INVOC'!$QY$11),O4,"")</f>
        <v/>
      </c>
      <c r="BG4">
        <f>IF(AND(Q4=1,OR(P4="",P4='DADOS_INVOC'!$EL$11,P4='DADOS_INVOC'!$EM$11,P4='DADOS_INVOC'!$EN$11,P4='DADOS_INVOC'!$EO$11,P4='DADOS_INVOC'!$EP$11,P4='DADOS_INVOC'!$QV$11,P4='DADOS_INVOC'!$QW$11,P4='DADOS_INVOC'!$QX$11,P4='DADOS_INVOC'!$QY$11)),O4,"")</f>
        <v/>
      </c>
      <c r="BH4">
        <f>IF(OR(P4="",P4='DADOS_INVOC'!$EL$12,P4='DADOS_INVOC'!$EM$12,P4='DADOS_INVOC'!$EN$12,P4='DADOS_INVOC'!$EO$12,P4='DADOS_INVOC'!$EP$12,P4='DADOS_INVOC'!$QV$12,P4='DADOS_INVOC'!$QW$12,P4='DADOS_INVOC'!$QX$12,P4='DADOS_INVOC'!$QY$12),O4,"")</f>
        <v/>
      </c>
      <c r="BI4">
        <f>IF(AND(Q4=1,OR(P4="",P4='DADOS_INVOC'!$EL$12,P4='DADOS_INVOC'!$EM$12,P4='DADOS_INVOC'!$EN$12,P4='DADOS_INVOC'!$EO$12,P4='DADOS_INVOC'!$EP$12,P4='DADOS_INVOC'!$QV$12,P4='DADOS_INVOC'!$QW$12,P4='DADOS_INVOC'!$QX$12,P4='DADOS_INVOC'!$QY$12)),O4,"")</f>
        <v/>
      </c>
      <c r="BJ4">
        <f>IF(OR(P4="",P4='DADOS_INVOC'!$EL$13,P4='DADOS_INVOC'!$EM$13,P4='DADOS_INVOC'!$EN$13,P4='DADOS_INVOC'!$EO$13,P4='DADOS_INVOC'!$EP$13,P4='DADOS_INVOC'!$QV$13,P4='DADOS_INVOC'!$QW$13,P4='DADOS_INVOC'!$QX$13,P4='DADOS_INVOC'!$QY$13),O4,"")</f>
        <v/>
      </c>
      <c r="BK4">
        <f>IF(AND(Q4=1,OR(P4="",P4='DADOS_INVOC'!$EL$13,P4='DADOS_INVOC'!$EM$13,P4='DADOS_INVOC'!$EN$13,P4='DADOS_INVOC'!$EO$13,P4='DADOS_INVOC'!$EP$13,P4='DADOS_INVOC'!$QV$13,P4='DADOS_INVOC'!$QW$13,P4='DADOS_INVOC'!$QX$13,P4='DADOS_INVOC'!$QY$13)),O4,"")</f>
        <v/>
      </c>
      <c r="BM4">
        <f>IF('DADOS_CRIACAO'!$H$3="","",'DADOS_CRIACAO'!$H$3)</f>
        <v/>
      </c>
      <c r="BN4" t="inlineStr">
        <is>
          <t>Pesada</t>
        </is>
      </c>
      <c r="BP4" t="inlineStr">
        <is>
          <t>Muito Longe</t>
        </is>
      </c>
      <c r="BR4">
        <f>IF(OR(ISBLANK('CONFIGURAÇÃO'!$DA$39),'CONFIGURAÇÃO'!$DA$39=""),"Melhoria",'CONFIGURAÇÃO'!$DA$39)</f>
        <v/>
      </c>
      <c r="BU4" t="inlineStr">
        <is>
          <t>Guarda Aberta</t>
        </is>
      </c>
    </row>
    <row r="5">
      <c r="A5" t="n">
        <v>1037</v>
      </c>
      <c r="B5" t="n">
        <v>8</v>
      </c>
      <c r="C5" t="n">
        <v>4</v>
      </c>
      <c r="D5">
        <f>IF(ISBLANK('CONFIGURAÇÃO'!$DI$41),"",'CONFIGURAÇÃO'!$DI$41)</f>
        <v/>
      </c>
      <c r="E5">
        <f>IF(ISBLANK('CONFIGURAÇÃO'!$DL$42),"",'CONFIGURAÇÃO'!$DL$42)</f>
        <v/>
      </c>
      <c r="F5">
        <f>IF(ISBLANK('CONFIGURAÇÃO'!$DL$43),"",'CONFIGURAÇÃO'!$DL$43)</f>
        <v/>
      </c>
      <c r="G5">
        <f>IF(ISBLANK('CONFIGURAÇÃO'!$DL$44),"",'CONFIGURAÇÃO'!$DL$44)</f>
        <v/>
      </c>
      <c r="H5">
        <f>IF(ISBLANK('CONFIGURAÇÃO'!$DL$45),"",'CONFIGURAÇÃO'!$DL$45)</f>
        <v/>
      </c>
      <c r="I5">
        <f>IF(ISBLANK('CONFIGURAÇÃO'!$DI$48),"",'CONFIGURAÇÃO'!$DI$48)</f>
        <v/>
      </c>
      <c r="J5">
        <f>IF(ISBLANK('CONFIGURAÇÃO'!$DI$54),"",'CONFIGURAÇÃO'!$DI$54)</f>
        <v/>
      </c>
      <c r="K5">
        <f>IF(ISBLANK('CONFIGURAÇÃO'!$DM$39),"",'CONFIGURAÇÃO'!$DM$39)</f>
        <v/>
      </c>
      <c r="L5">
        <f>IF(OR(E5="",E5="Nenhuma"),0,IFERROR(MATCH(SUBSTITUTE(SUBSTITUTE(SUBSTITUTE(E5,"~","~~"),"*","~*"),"?","~?"),'DADOS_MELHORIAS'!$O$2:$O$83,0),-1))</f>
        <v/>
      </c>
      <c r="M5">
        <f>IF(D5="",IF(BR5&lt;&gt;"Melhoria","Preencha NOME",IF(D5="",IF(OR(I5&lt;&gt;"",J5&lt;&gt;"",F5&lt;&gt;"",G5&lt;&gt;"",H5&lt;&gt;"",K5=TRUE,AND(E5&lt;&gt;"",E5&lt;&gt;"Nenhuma")),"Preencha NOME",""),TEXTJOIN(" · ",TRUE,IF(OR(NOT(ISTEXT(D5)),TRIM(D5)&lt;&gt;D5),"NOME precisa ser texto sem espaços nas pontas",""),IF(COUNTIF($D$2:$D$31,SUBSTITUTE(SUBSTITUTE(SUBSTITUTE(D5,"~","~~"),"*","~*"),"?","~?"))+COUNTIF('DADOS_MELHORIAS'!$O$2:$O$83,SUBSTITUTE(SUBSTITUTE(SUBSTITUTE(D5,"~","~~"),"*","~*"),"?","~?"))&gt;1,"Nome repetido no livro ou custom",""),IF(L5&lt;0,"Escolha uma BASE DO LIVRO válida",""),IF(ISLOGICAL(K5),"","MESTRE VIU deve ser caixa de seleção"),IF(AND(G5="",L5&lt;=0),"Escolha PESO",""),IF(AND(G5&lt;&gt;"",COUNTIF('DADOS_MELHORIAS'!$BN$2:$BN$4,SUBSTITUTE(SUBSTITUTE(SUBSTITUTE(G5,"~","~~"),"*","~*"),"?","~?"))&lt;&gt;1),"Peso ou devolução inválido",""),IF(AND(H5&lt;&gt;"",H5&lt;&gt;"Sim",H5&lt;&gt;"Não"),"Escolha Sim ou Não",""),IF(AND(F5&lt;&gt;"",COUNTIF('DADOS_MELHORIAS'!$BM$2:$BM$21,SUBSTITUTE(SUBSTITUTE(SUBSTITUTE(F5,"~","~~"),"*","~*"),"?","~?"))&lt;&gt;1),"Família não cadastrada ou com erro","")))),TEXTJOIN(" · ",TRUE,IF(D5="",IF(OR(I5&lt;&gt;"",J5&lt;&gt;"",F5&lt;&gt;"",G5&lt;&gt;"",H5&lt;&gt;"",K5=TRUE,AND(E5&lt;&gt;"",E5&lt;&gt;"Nenhuma")),"Preencha NOME",""),TEXTJOIN(" · ",TRUE,IF(OR(NOT(ISTEXT(D5)),TRIM(D5)&lt;&gt;D5),"NOME precisa ser texto sem espaços nas pontas",""),IF(COUNTIF($D$2:$D$31,SUBSTITUTE(SUBSTITUTE(SUBSTITUTE(D5,"~","~~"),"*","~*"),"?","~?"))+COUNTIF('DADOS_MELHORIAS'!$O$2:$O$83,SUBSTITUTE(SUBSTITUTE(SUBSTITUTE(D5,"~","~~"),"*","~*"),"?","~?"))&gt;1,"Nome repetido no livro ou custom",""),IF(L5&lt;0,"Escolha uma BASE DO LIVRO válida",""),IF(ISLOGICAL(K5),"","MESTRE VIU deve ser caixa de seleção"),IF(AND(G5="",L5&lt;=0),"Escolha PESO",""),IF(AND(G5&lt;&gt;"",COUNTIF('DADOS_MELHORIAS'!$BN$2:$BN$4,SUBSTITUTE(SUBSTITUTE(SUBSTITUTE(G5,"~","~~"),"*","~*"),"?","~?"))&lt;&gt;1),"Peso ou devolução inválido",""),IF(AND(H5&lt;&gt;"",H5&lt;&gt;"Sim",H5&lt;&gt;"Não"),"Escolha Sim ou Não",""),IF(AND(F5&lt;&gt;"",COUNTIF('DADOS_MELHORIAS'!$BM$2:$BM$21,SUBSTITUTE(SUBSTITUTE(SUBSTITUTE(F5,"~","~~"),"*","~*"),"?","~?"))&lt;&gt;1),"Família não cadastrada ou com erro",""))),IF(AND(BR5&lt;&gt;"Melhoria",BR5&lt;&gt;"Condição"),"Modalidade inválida",""),IF(AND(BR5="Condição",E5&lt;&gt;"",E5&lt;&gt;"Nenhuma",COUNTIF('DADOS_MELHORIAS'!$BU$2:$BU$15,SUBSTITUTE(SUBSTITUTE(SUBSTITUTE(E5,"~","~~"),"*","~*"),"?","~?"))&lt;&gt;1),"Base de Condição inválida",""),IF(AND(BR5="Condição",H5&lt;&gt;"",H5&lt;&gt;"Sim"),"Condição exige TR","")))</f>
        <v/>
      </c>
      <c r="O5">
        <f>IF(ISBLANK(DADOS_AM!$BC$5),"",DADOS_AM!$BC$5)</f>
        <v/>
      </c>
      <c r="P5">
        <f>IF(ISBLANK(DADOS_AM!$BD$5),"",DADOS_AM!$BD$5)</f>
        <v/>
      </c>
      <c r="Q5">
        <f>IF(ISBLANK(DADOS_AM!$BE$5),"",DADOS_AM!$BE$5)</f>
        <v/>
      </c>
      <c r="R5">
        <f>IF(ISBLANK(DADOS_AM!$BF$5),"",DADOS_AM!$BF$5)</f>
        <v/>
      </c>
      <c r="S5">
        <f>IF(ISBLANK(DADOS_AM!$BG$5),"",DADOS_AM!$BG$5)</f>
        <v/>
      </c>
      <c r="T5">
        <f>IF(ISBLANK(DADOS_AM!$BH$5),"",DADOS_AM!$BH$5)</f>
        <v/>
      </c>
      <c r="U5">
        <f>IF(ISBLANK(DADOS_AM!$BI$5),"",DADOS_AM!$BI$5)</f>
        <v/>
      </c>
      <c r="V5">
        <f>IF(ISBLANK(DADOS_AM!$BJ$5),"",DADOS_AM!$BJ$5)</f>
        <v/>
      </c>
      <c r="W5">
        <f>IF(ISBLANK(DADOS_AM!$BK$5),"",DADOS_AM!$BK$5)</f>
        <v/>
      </c>
      <c r="X5" t="inlineStr">
        <is>
          <t>Perseguir</t>
        </is>
      </c>
      <c r="Y5" t="n">
        <v>0</v>
      </c>
      <c r="AG5">
        <f>O5</f>
        <v/>
      </c>
      <c r="AH5">
        <f>P5</f>
        <v/>
      </c>
      <c r="AI5">
        <f>Q5</f>
        <v/>
      </c>
      <c r="AJ5">
        <f>T5</f>
        <v/>
      </c>
      <c r="AK5">
        <f>Y5</f>
        <v/>
      </c>
      <c r="AL5">
        <f>W5</f>
        <v/>
      </c>
      <c r="AN5">
        <f>IF(OR(P5="",P5='DADOS_INVOC'!$EL$2,P5='DADOS_INVOC'!$EM$2,P5='DADOS_INVOC'!$EN$2,P5='DADOS_INVOC'!$EO$2,P5='DADOS_INVOC'!$EP$2,P5='DADOS_INVOC'!$QV$2,P5='DADOS_INVOC'!$QW$2,P5='DADOS_INVOC'!$QX$2,P5='DADOS_INVOC'!$QY$2),O5,"")</f>
        <v/>
      </c>
      <c r="AO5">
        <f>IF(AND(Q5=1,OR(P5="",P5='DADOS_INVOC'!$EL$2,P5='DADOS_INVOC'!$EM$2,P5='DADOS_INVOC'!$EN$2,P5='DADOS_INVOC'!$EO$2,P5='DADOS_INVOC'!$EP$2,P5='DADOS_INVOC'!$QV$2,P5='DADOS_INVOC'!$QW$2,P5='DADOS_INVOC'!$QX$2,P5='DADOS_INVOC'!$QY$2)),O5,"")</f>
        <v/>
      </c>
      <c r="AP5">
        <f>IF(OR(P5="",P5='DADOS_INVOC'!$EL$3,P5='DADOS_INVOC'!$EM$3,P5='DADOS_INVOC'!$EN$3,P5='DADOS_INVOC'!$EO$3,P5='DADOS_INVOC'!$EP$3,P5='DADOS_INVOC'!$QV$3,P5='DADOS_INVOC'!$QW$3,P5='DADOS_INVOC'!$QX$3,P5='DADOS_INVOC'!$QY$3),O5,"")</f>
        <v/>
      </c>
      <c r="AQ5">
        <f>IF(AND(Q5=1,OR(P5="",P5='DADOS_INVOC'!$EL$3,P5='DADOS_INVOC'!$EM$3,P5='DADOS_INVOC'!$EN$3,P5='DADOS_INVOC'!$EO$3,P5='DADOS_INVOC'!$EP$3,P5='DADOS_INVOC'!$QV$3,P5='DADOS_INVOC'!$QW$3,P5='DADOS_INVOC'!$QX$3,P5='DADOS_INVOC'!$QY$3)),O5,"")</f>
        <v/>
      </c>
      <c r="AR5">
        <f>IF(OR(P5="",P5='DADOS_INVOC'!$EL$4,P5='DADOS_INVOC'!$EM$4,P5='DADOS_INVOC'!$EN$4,P5='DADOS_INVOC'!$EO$4,P5='DADOS_INVOC'!$EP$4,P5='DADOS_INVOC'!$QV$4,P5='DADOS_INVOC'!$QW$4,P5='DADOS_INVOC'!$QX$4,P5='DADOS_INVOC'!$QY$4),O5,"")</f>
        <v/>
      </c>
      <c r="AS5">
        <f>IF(AND(Q5=1,OR(P5="",P5='DADOS_INVOC'!$EL$4,P5='DADOS_INVOC'!$EM$4,P5='DADOS_INVOC'!$EN$4,P5='DADOS_INVOC'!$EO$4,P5='DADOS_INVOC'!$EP$4,P5='DADOS_INVOC'!$QV$4,P5='DADOS_INVOC'!$QW$4,P5='DADOS_INVOC'!$QX$4,P5='DADOS_INVOC'!$QY$4)),O5,"")</f>
        <v/>
      </c>
      <c r="AT5">
        <f>IF(OR(P5="",P5='DADOS_INVOC'!$EL$5,P5='DADOS_INVOC'!$EM$5,P5='DADOS_INVOC'!$EN$5,P5='DADOS_INVOC'!$EO$5,P5='DADOS_INVOC'!$EP$5,P5='DADOS_INVOC'!$QV$5,P5='DADOS_INVOC'!$QW$5,P5='DADOS_INVOC'!$QX$5,P5='DADOS_INVOC'!$QY$5),O5,"")</f>
        <v/>
      </c>
      <c r="AU5">
        <f>IF(AND(Q5=1,OR(P5="",P5='DADOS_INVOC'!$EL$5,P5='DADOS_INVOC'!$EM$5,P5='DADOS_INVOC'!$EN$5,P5='DADOS_INVOC'!$EO$5,P5='DADOS_INVOC'!$EP$5,P5='DADOS_INVOC'!$QV$5,P5='DADOS_INVOC'!$QW$5,P5='DADOS_INVOC'!$QX$5,P5='DADOS_INVOC'!$QY$5)),O5,"")</f>
        <v/>
      </c>
      <c r="AV5">
        <f>IF(OR(P5="",P5='DADOS_INVOC'!$EL$6,P5='DADOS_INVOC'!$EM$6,P5='DADOS_INVOC'!$EN$6,P5='DADOS_INVOC'!$EO$6,P5='DADOS_INVOC'!$EP$6,P5='DADOS_INVOC'!$QV$6,P5='DADOS_INVOC'!$QW$6,P5='DADOS_INVOC'!$QX$6,P5='DADOS_INVOC'!$QY$6),O5,"")</f>
        <v/>
      </c>
      <c r="AW5">
        <f>IF(AND(Q5=1,OR(P5="",P5='DADOS_INVOC'!$EL$6,P5='DADOS_INVOC'!$EM$6,P5='DADOS_INVOC'!$EN$6,P5='DADOS_INVOC'!$EO$6,P5='DADOS_INVOC'!$EP$6,P5='DADOS_INVOC'!$QV$6,P5='DADOS_INVOC'!$QW$6,P5='DADOS_INVOC'!$QX$6,P5='DADOS_INVOC'!$QY$6)),O5,"")</f>
        <v/>
      </c>
      <c r="AX5">
        <f>IF(OR(P5="",P5='DADOS_INVOC'!$EL$7,P5='DADOS_INVOC'!$EM$7,P5='DADOS_INVOC'!$EN$7,P5='DADOS_INVOC'!$EO$7,P5='DADOS_INVOC'!$EP$7,P5='DADOS_INVOC'!$QV$7,P5='DADOS_INVOC'!$QW$7,P5='DADOS_INVOC'!$QX$7,P5='DADOS_INVOC'!$QY$7),O5,"")</f>
        <v/>
      </c>
      <c r="AY5">
        <f>IF(AND(Q5=1,OR(P5="",P5='DADOS_INVOC'!$EL$7,P5='DADOS_INVOC'!$EM$7,P5='DADOS_INVOC'!$EN$7,P5='DADOS_INVOC'!$EO$7,P5='DADOS_INVOC'!$EP$7,P5='DADOS_INVOC'!$QV$7,P5='DADOS_INVOC'!$QW$7,P5='DADOS_INVOC'!$QX$7,P5='DADOS_INVOC'!$QY$7)),O5,"")</f>
        <v/>
      </c>
      <c r="AZ5">
        <f>IF(OR(P5="",P5='DADOS_INVOC'!$EL$8,P5='DADOS_INVOC'!$EM$8,P5='DADOS_INVOC'!$EN$8,P5='DADOS_INVOC'!$EO$8,P5='DADOS_INVOC'!$EP$8,P5='DADOS_INVOC'!$QV$8,P5='DADOS_INVOC'!$QW$8,P5='DADOS_INVOC'!$QX$8,P5='DADOS_INVOC'!$QY$8),O5,"")</f>
        <v/>
      </c>
      <c r="BA5">
        <f>IF(AND(Q5=1,OR(P5="",P5='DADOS_INVOC'!$EL$8,P5='DADOS_INVOC'!$EM$8,P5='DADOS_INVOC'!$EN$8,P5='DADOS_INVOC'!$EO$8,P5='DADOS_INVOC'!$EP$8,P5='DADOS_INVOC'!$QV$8,P5='DADOS_INVOC'!$QW$8,P5='DADOS_INVOC'!$QX$8,P5='DADOS_INVOC'!$QY$8)),O5,"")</f>
        <v/>
      </c>
      <c r="BB5">
        <f>IF(OR(P5="",P5='DADOS_INVOC'!$EL$9,P5='DADOS_INVOC'!$EM$9,P5='DADOS_INVOC'!$EN$9,P5='DADOS_INVOC'!$EO$9,P5='DADOS_INVOC'!$EP$9,P5='DADOS_INVOC'!$QV$9,P5='DADOS_INVOC'!$QW$9,P5='DADOS_INVOC'!$QX$9,P5='DADOS_INVOC'!$QY$9),O5,"")</f>
        <v/>
      </c>
      <c r="BC5">
        <f>IF(AND(Q5=1,OR(P5="",P5='DADOS_INVOC'!$EL$9,P5='DADOS_INVOC'!$EM$9,P5='DADOS_INVOC'!$EN$9,P5='DADOS_INVOC'!$EO$9,P5='DADOS_INVOC'!$EP$9,P5='DADOS_INVOC'!$QV$9,P5='DADOS_INVOC'!$QW$9,P5='DADOS_INVOC'!$QX$9,P5='DADOS_INVOC'!$QY$9)),O5,"")</f>
        <v/>
      </c>
      <c r="BD5">
        <f>IF(OR(P5="",P5='DADOS_INVOC'!$EL$10,P5='DADOS_INVOC'!$EM$10,P5='DADOS_INVOC'!$EN$10,P5='DADOS_INVOC'!$EO$10,P5='DADOS_INVOC'!$EP$10,P5='DADOS_INVOC'!$QV$10,P5='DADOS_INVOC'!$QW$10,P5='DADOS_INVOC'!$QX$10,P5='DADOS_INVOC'!$QY$10),O5,"")</f>
        <v/>
      </c>
      <c r="BE5">
        <f>IF(AND(Q5=1,OR(P5="",P5='DADOS_INVOC'!$EL$10,P5='DADOS_INVOC'!$EM$10,P5='DADOS_INVOC'!$EN$10,P5='DADOS_INVOC'!$EO$10,P5='DADOS_INVOC'!$EP$10,P5='DADOS_INVOC'!$QV$10,P5='DADOS_INVOC'!$QW$10,P5='DADOS_INVOC'!$QX$10,P5='DADOS_INVOC'!$QY$10)),O5,"")</f>
        <v/>
      </c>
      <c r="BF5">
        <f>IF(OR(P5="",P5='DADOS_INVOC'!$EL$11,P5='DADOS_INVOC'!$EM$11,P5='DADOS_INVOC'!$EN$11,P5='DADOS_INVOC'!$EO$11,P5='DADOS_INVOC'!$EP$11,P5='DADOS_INVOC'!$QV$11,P5='DADOS_INVOC'!$QW$11,P5='DADOS_INVOC'!$QX$11,P5='DADOS_INVOC'!$QY$11),O5,"")</f>
        <v/>
      </c>
      <c r="BG5">
        <f>IF(AND(Q5=1,OR(P5="",P5='DADOS_INVOC'!$EL$11,P5='DADOS_INVOC'!$EM$11,P5='DADOS_INVOC'!$EN$11,P5='DADOS_INVOC'!$EO$11,P5='DADOS_INVOC'!$EP$11,P5='DADOS_INVOC'!$QV$11,P5='DADOS_INVOC'!$QW$11,P5='DADOS_INVOC'!$QX$11,P5='DADOS_INVOC'!$QY$11)),O5,"")</f>
        <v/>
      </c>
      <c r="BH5">
        <f>IF(OR(P5="",P5='DADOS_INVOC'!$EL$12,P5='DADOS_INVOC'!$EM$12,P5='DADOS_INVOC'!$EN$12,P5='DADOS_INVOC'!$EO$12,P5='DADOS_INVOC'!$EP$12,P5='DADOS_INVOC'!$QV$12,P5='DADOS_INVOC'!$QW$12,P5='DADOS_INVOC'!$QX$12,P5='DADOS_INVOC'!$QY$12),O5,"")</f>
        <v/>
      </c>
      <c r="BI5">
        <f>IF(AND(Q5=1,OR(P5="",P5='DADOS_INVOC'!$EL$12,P5='DADOS_INVOC'!$EM$12,P5='DADOS_INVOC'!$EN$12,P5='DADOS_INVOC'!$EO$12,P5='DADOS_INVOC'!$EP$12,P5='DADOS_INVOC'!$QV$12,P5='DADOS_INVOC'!$QW$12,P5='DADOS_INVOC'!$QX$12,P5='DADOS_INVOC'!$QY$12)),O5,"")</f>
        <v/>
      </c>
      <c r="BJ5">
        <f>IF(OR(P5="",P5='DADOS_INVOC'!$EL$13,P5='DADOS_INVOC'!$EM$13,P5='DADOS_INVOC'!$EN$13,P5='DADOS_INVOC'!$EO$13,P5='DADOS_INVOC'!$EP$13,P5='DADOS_INVOC'!$QV$13,P5='DADOS_INVOC'!$QW$13,P5='DADOS_INVOC'!$QX$13,P5='DADOS_INVOC'!$QY$13),O5,"")</f>
        <v/>
      </c>
      <c r="BK5">
        <f>IF(AND(Q5=1,OR(P5="",P5='DADOS_INVOC'!$EL$13,P5='DADOS_INVOC'!$EM$13,P5='DADOS_INVOC'!$EN$13,P5='DADOS_INVOC'!$EO$13,P5='DADOS_INVOC'!$EP$13,P5='DADOS_INVOC'!$QV$13,P5='DADOS_INVOC'!$QW$13,P5='DADOS_INVOC'!$QX$13,P5='DADOS_INVOC'!$QY$13)),O5,"")</f>
        <v/>
      </c>
      <c r="BM5">
        <f>IF('DADOS_CRIACAO'!$H$4="","",'DADOS_CRIACAO'!$H$4)</f>
        <v/>
      </c>
      <c r="BP5" t="inlineStr">
        <is>
          <t>Sem Ver</t>
        </is>
      </c>
      <c r="BR5">
        <f>IF(OR(ISBLANK('CONFIGURAÇÃO'!$DI$39),'CONFIGURAÇÃO'!$DI$39=""),"Melhoria",'CONFIGURAÇÃO'!$DI$39)</f>
        <v/>
      </c>
      <c r="BU5" t="inlineStr">
        <is>
          <t>Derrubado</t>
        </is>
      </c>
    </row>
    <row r="6">
      <c r="A6" t="n">
        <v>1063</v>
      </c>
      <c r="B6" t="n">
        <v>0</v>
      </c>
      <c r="C6" t="n">
        <v>5</v>
      </c>
      <c r="D6">
        <f>IF(ISBLANK('CONFIGURAÇÃO'!$DA$67),"",'CONFIGURAÇÃO'!$DA$67)</f>
        <v/>
      </c>
      <c r="E6">
        <f>IF(ISBLANK('CONFIGURAÇÃO'!$DD$68),"",'CONFIGURAÇÃO'!$DD$68)</f>
        <v/>
      </c>
      <c r="F6">
        <f>IF(ISBLANK('CONFIGURAÇÃO'!$DD$69),"",'CONFIGURAÇÃO'!$DD$69)</f>
        <v/>
      </c>
      <c r="G6">
        <f>IF(ISBLANK('CONFIGURAÇÃO'!$DD$70),"",'CONFIGURAÇÃO'!$DD$70)</f>
        <v/>
      </c>
      <c r="H6">
        <f>IF(ISBLANK('CONFIGURAÇÃO'!$DD$71),"",'CONFIGURAÇÃO'!$DD$71)</f>
        <v/>
      </c>
      <c r="I6">
        <f>IF(ISBLANK('CONFIGURAÇÃO'!$DA$74),"",'CONFIGURAÇÃO'!$DA$74)</f>
        <v/>
      </c>
      <c r="J6">
        <f>IF(ISBLANK('CONFIGURAÇÃO'!$DA$80),"",'CONFIGURAÇÃO'!$DA$80)</f>
        <v/>
      </c>
      <c r="K6">
        <f>IF(ISBLANK('CONFIGURAÇÃO'!$DE$65),"",'CONFIGURAÇÃO'!$DE$65)</f>
        <v/>
      </c>
      <c r="L6">
        <f>IF(OR(E6="",E6="Nenhuma"),0,IFERROR(MATCH(SUBSTITUTE(SUBSTITUTE(SUBSTITUTE(E6,"~","~~"),"*","~*"),"?","~?"),'DADOS_MELHORIAS'!$O$2:$O$83,0),-1))</f>
        <v/>
      </c>
      <c r="M6">
        <f>IF(D6="",IF(BR6&lt;&gt;"Melhoria","Preencha NOME",IF(D6="",IF(OR(I6&lt;&gt;"",J6&lt;&gt;"",F6&lt;&gt;"",G6&lt;&gt;"",H6&lt;&gt;"",K6=TRUE,AND(E6&lt;&gt;"",E6&lt;&gt;"Nenhuma")),"Preencha NOME",""),TEXTJOIN(" · ",TRUE,IF(OR(NOT(ISTEXT(D6)),TRIM(D6)&lt;&gt;D6),"NOME precisa ser texto sem espaços nas pontas",""),IF(COUNTIF($D$2:$D$31,SUBSTITUTE(SUBSTITUTE(SUBSTITUTE(D6,"~","~~"),"*","~*"),"?","~?"))+COUNTIF('DADOS_MELHORIAS'!$O$2:$O$83,SUBSTITUTE(SUBSTITUTE(SUBSTITUTE(D6,"~","~~"),"*","~*"),"?","~?"))&gt;1,"Nome repetido no livro ou custom",""),IF(L6&lt;0,"Escolha uma BASE DO LIVRO válida",""),IF(ISLOGICAL(K6),"","MESTRE VIU deve ser caixa de seleção"),IF(AND(G6="",L6&lt;=0),"Escolha PESO",""),IF(AND(G6&lt;&gt;"",COUNTIF('DADOS_MELHORIAS'!$BN$2:$BN$4,SUBSTITUTE(SUBSTITUTE(SUBSTITUTE(G6,"~","~~"),"*","~*"),"?","~?"))&lt;&gt;1),"Peso ou devolução inválido",""),IF(AND(H6&lt;&gt;"",H6&lt;&gt;"Sim",H6&lt;&gt;"Não"),"Escolha Sim ou Não",""),IF(AND(F6&lt;&gt;"",COUNTIF('DADOS_MELHORIAS'!$BM$2:$BM$21,SUBSTITUTE(SUBSTITUTE(SUBSTITUTE(F6,"~","~~"),"*","~*"),"?","~?"))&lt;&gt;1),"Família não cadastrada ou com erro","")))),TEXTJOIN(" · ",TRUE,IF(D6="",IF(OR(I6&lt;&gt;"",J6&lt;&gt;"",F6&lt;&gt;"",G6&lt;&gt;"",H6&lt;&gt;"",K6=TRUE,AND(E6&lt;&gt;"",E6&lt;&gt;"Nenhuma")),"Preencha NOME",""),TEXTJOIN(" · ",TRUE,IF(OR(NOT(ISTEXT(D6)),TRIM(D6)&lt;&gt;D6),"NOME precisa ser texto sem espaços nas pontas",""),IF(COUNTIF($D$2:$D$31,SUBSTITUTE(SUBSTITUTE(SUBSTITUTE(D6,"~","~~"),"*","~*"),"?","~?"))+COUNTIF('DADOS_MELHORIAS'!$O$2:$O$83,SUBSTITUTE(SUBSTITUTE(SUBSTITUTE(D6,"~","~~"),"*","~*"),"?","~?"))&gt;1,"Nome repetido no livro ou custom",""),IF(L6&lt;0,"Escolha uma BASE DO LIVRO válida",""),IF(ISLOGICAL(K6),"","MESTRE VIU deve ser caixa de seleção"),IF(AND(G6="",L6&lt;=0),"Escolha PESO",""),IF(AND(G6&lt;&gt;"",COUNTIF('DADOS_MELHORIAS'!$BN$2:$BN$4,SUBSTITUTE(SUBSTITUTE(SUBSTITUTE(G6,"~","~~"),"*","~*"),"?","~?"))&lt;&gt;1),"Peso ou devolução inválido",""),IF(AND(H6&lt;&gt;"",H6&lt;&gt;"Sim",H6&lt;&gt;"Não"),"Escolha Sim ou Não",""),IF(AND(F6&lt;&gt;"",COUNTIF('DADOS_MELHORIAS'!$BM$2:$BM$21,SUBSTITUTE(SUBSTITUTE(SUBSTITUTE(F6,"~","~~"),"*","~*"),"?","~?"))&lt;&gt;1),"Família não cadastrada ou com erro",""))),IF(AND(BR6&lt;&gt;"Melhoria",BR6&lt;&gt;"Condição"),"Modalidade inválida",""),IF(AND(BR6="Condição",E6&lt;&gt;"",E6&lt;&gt;"Nenhuma",COUNTIF('DADOS_MELHORIAS'!$BU$2:$BU$15,SUBSTITUTE(SUBSTITUTE(SUBSTITUTE(E6,"~","~~"),"*","~*"),"?","~?"))&lt;&gt;1),"Base de Condição inválida",""),IF(AND(BR6="Condição",H6&lt;&gt;"",H6&lt;&gt;"Sim"),"Condição exige TR","")))</f>
        <v/>
      </c>
      <c r="O6">
        <f>IF(ISBLANK(DADOS_AM!$BC$6),"",DADOS_AM!$BC$6)</f>
        <v/>
      </c>
      <c r="P6">
        <f>IF(ISBLANK(DADOS_AM!$BD$6),"",DADOS_AM!$BD$6)</f>
        <v/>
      </c>
      <c r="Q6">
        <f>IF(ISBLANK(DADOS_AM!$BE$6),"",DADOS_AM!$BE$6)</f>
        <v/>
      </c>
      <c r="R6">
        <f>IF(ISBLANK(DADOS_AM!$BF$6),"",DADOS_AM!$BF$6)</f>
        <v/>
      </c>
      <c r="S6">
        <f>IF(ISBLANK(DADOS_AM!$BG$6),"",DADOS_AM!$BG$6)</f>
        <v/>
      </c>
      <c r="T6">
        <f>IF(ISBLANK(DADOS_AM!$BH$6),"",DADOS_AM!$BH$6)</f>
        <v/>
      </c>
      <c r="U6">
        <f>IF(ISBLANK(DADOS_AM!$BI$6),"",DADOS_AM!$BI$6)</f>
        <v/>
      </c>
      <c r="V6">
        <f>IF(ISBLANK(DADOS_AM!$BJ$6),"",DADOS_AM!$BJ$6)</f>
        <v/>
      </c>
      <c r="W6">
        <f>IF(ISBLANK(DADOS_AM!$BK$6),"",DADOS_AM!$BK$6)</f>
        <v/>
      </c>
      <c r="X6" t="inlineStr">
        <is>
          <t>Passo</t>
        </is>
      </c>
      <c r="Y6" t="n">
        <v>0</v>
      </c>
      <c r="AG6">
        <f>O6</f>
        <v/>
      </c>
      <c r="AH6">
        <f>P6</f>
        <v/>
      </c>
      <c r="AI6">
        <f>Q6</f>
        <v/>
      </c>
      <c r="AJ6">
        <f>T6</f>
        <v/>
      </c>
      <c r="AK6">
        <f>Y6</f>
        <v/>
      </c>
      <c r="AL6">
        <f>W6</f>
        <v/>
      </c>
      <c r="AN6">
        <f>IF(OR(P6="",P6='DADOS_INVOC'!$EL$2,P6='DADOS_INVOC'!$EM$2,P6='DADOS_INVOC'!$EN$2,P6='DADOS_INVOC'!$EO$2,P6='DADOS_INVOC'!$EP$2,P6='DADOS_INVOC'!$QV$2,P6='DADOS_INVOC'!$QW$2,P6='DADOS_INVOC'!$QX$2,P6='DADOS_INVOC'!$QY$2),O6,"")</f>
        <v/>
      </c>
      <c r="AO6">
        <f>IF(AND(Q6=1,OR(P6="",P6='DADOS_INVOC'!$EL$2,P6='DADOS_INVOC'!$EM$2,P6='DADOS_INVOC'!$EN$2,P6='DADOS_INVOC'!$EO$2,P6='DADOS_INVOC'!$EP$2,P6='DADOS_INVOC'!$QV$2,P6='DADOS_INVOC'!$QW$2,P6='DADOS_INVOC'!$QX$2,P6='DADOS_INVOC'!$QY$2)),O6,"")</f>
        <v/>
      </c>
      <c r="AP6">
        <f>IF(OR(P6="",P6='DADOS_INVOC'!$EL$3,P6='DADOS_INVOC'!$EM$3,P6='DADOS_INVOC'!$EN$3,P6='DADOS_INVOC'!$EO$3,P6='DADOS_INVOC'!$EP$3,P6='DADOS_INVOC'!$QV$3,P6='DADOS_INVOC'!$QW$3,P6='DADOS_INVOC'!$QX$3,P6='DADOS_INVOC'!$QY$3),O6,"")</f>
        <v/>
      </c>
      <c r="AQ6">
        <f>IF(AND(Q6=1,OR(P6="",P6='DADOS_INVOC'!$EL$3,P6='DADOS_INVOC'!$EM$3,P6='DADOS_INVOC'!$EN$3,P6='DADOS_INVOC'!$EO$3,P6='DADOS_INVOC'!$EP$3,P6='DADOS_INVOC'!$QV$3,P6='DADOS_INVOC'!$QW$3,P6='DADOS_INVOC'!$QX$3,P6='DADOS_INVOC'!$QY$3)),O6,"")</f>
        <v/>
      </c>
      <c r="AR6">
        <f>IF(OR(P6="",P6='DADOS_INVOC'!$EL$4,P6='DADOS_INVOC'!$EM$4,P6='DADOS_INVOC'!$EN$4,P6='DADOS_INVOC'!$EO$4,P6='DADOS_INVOC'!$EP$4,P6='DADOS_INVOC'!$QV$4,P6='DADOS_INVOC'!$QW$4,P6='DADOS_INVOC'!$QX$4,P6='DADOS_INVOC'!$QY$4),O6,"")</f>
        <v/>
      </c>
      <c r="AS6">
        <f>IF(AND(Q6=1,OR(P6="",P6='DADOS_INVOC'!$EL$4,P6='DADOS_INVOC'!$EM$4,P6='DADOS_INVOC'!$EN$4,P6='DADOS_INVOC'!$EO$4,P6='DADOS_INVOC'!$EP$4,P6='DADOS_INVOC'!$QV$4,P6='DADOS_INVOC'!$QW$4,P6='DADOS_INVOC'!$QX$4,P6='DADOS_INVOC'!$QY$4)),O6,"")</f>
        <v/>
      </c>
      <c r="AT6">
        <f>IF(OR(P6="",P6='DADOS_INVOC'!$EL$5,P6='DADOS_INVOC'!$EM$5,P6='DADOS_INVOC'!$EN$5,P6='DADOS_INVOC'!$EO$5,P6='DADOS_INVOC'!$EP$5,P6='DADOS_INVOC'!$QV$5,P6='DADOS_INVOC'!$QW$5,P6='DADOS_INVOC'!$QX$5,P6='DADOS_INVOC'!$QY$5),O6,"")</f>
        <v/>
      </c>
      <c r="AU6">
        <f>IF(AND(Q6=1,OR(P6="",P6='DADOS_INVOC'!$EL$5,P6='DADOS_INVOC'!$EM$5,P6='DADOS_INVOC'!$EN$5,P6='DADOS_INVOC'!$EO$5,P6='DADOS_INVOC'!$EP$5,P6='DADOS_INVOC'!$QV$5,P6='DADOS_INVOC'!$QW$5,P6='DADOS_INVOC'!$QX$5,P6='DADOS_INVOC'!$QY$5)),O6,"")</f>
        <v/>
      </c>
      <c r="AV6">
        <f>IF(OR(P6="",P6='DADOS_INVOC'!$EL$6,P6='DADOS_INVOC'!$EM$6,P6='DADOS_INVOC'!$EN$6,P6='DADOS_INVOC'!$EO$6,P6='DADOS_INVOC'!$EP$6,P6='DADOS_INVOC'!$QV$6,P6='DADOS_INVOC'!$QW$6,P6='DADOS_INVOC'!$QX$6,P6='DADOS_INVOC'!$QY$6),O6,"")</f>
        <v/>
      </c>
      <c r="AW6">
        <f>IF(AND(Q6=1,OR(P6="",P6='DADOS_INVOC'!$EL$6,P6='DADOS_INVOC'!$EM$6,P6='DADOS_INVOC'!$EN$6,P6='DADOS_INVOC'!$EO$6,P6='DADOS_INVOC'!$EP$6,P6='DADOS_INVOC'!$QV$6,P6='DADOS_INVOC'!$QW$6,P6='DADOS_INVOC'!$QX$6,P6='DADOS_INVOC'!$QY$6)),O6,"")</f>
        <v/>
      </c>
      <c r="AX6">
        <f>IF(OR(P6="",P6='DADOS_INVOC'!$EL$7,P6='DADOS_INVOC'!$EM$7,P6='DADOS_INVOC'!$EN$7,P6='DADOS_INVOC'!$EO$7,P6='DADOS_INVOC'!$EP$7,P6='DADOS_INVOC'!$QV$7,P6='DADOS_INVOC'!$QW$7,P6='DADOS_INVOC'!$QX$7,P6='DADOS_INVOC'!$QY$7),O6,"")</f>
        <v/>
      </c>
      <c r="AY6">
        <f>IF(AND(Q6=1,OR(P6="",P6='DADOS_INVOC'!$EL$7,P6='DADOS_INVOC'!$EM$7,P6='DADOS_INVOC'!$EN$7,P6='DADOS_INVOC'!$EO$7,P6='DADOS_INVOC'!$EP$7,P6='DADOS_INVOC'!$QV$7,P6='DADOS_INVOC'!$QW$7,P6='DADOS_INVOC'!$QX$7,P6='DADOS_INVOC'!$QY$7)),O6,"")</f>
        <v/>
      </c>
      <c r="AZ6">
        <f>IF(OR(P6="",P6='DADOS_INVOC'!$EL$8,P6='DADOS_INVOC'!$EM$8,P6='DADOS_INVOC'!$EN$8,P6='DADOS_INVOC'!$EO$8,P6='DADOS_INVOC'!$EP$8,P6='DADOS_INVOC'!$QV$8,P6='DADOS_INVOC'!$QW$8,P6='DADOS_INVOC'!$QX$8,P6='DADOS_INVOC'!$QY$8),O6,"")</f>
        <v/>
      </c>
      <c r="BA6">
        <f>IF(AND(Q6=1,OR(P6="",P6='DADOS_INVOC'!$EL$8,P6='DADOS_INVOC'!$EM$8,P6='DADOS_INVOC'!$EN$8,P6='DADOS_INVOC'!$EO$8,P6='DADOS_INVOC'!$EP$8,P6='DADOS_INVOC'!$QV$8,P6='DADOS_INVOC'!$QW$8,P6='DADOS_INVOC'!$QX$8,P6='DADOS_INVOC'!$QY$8)),O6,"")</f>
        <v/>
      </c>
      <c r="BB6">
        <f>IF(OR(P6="",P6='DADOS_INVOC'!$EL$9,P6='DADOS_INVOC'!$EM$9,P6='DADOS_INVOC'!$EN$9,P6='DADOS_INVOC'!$EO$9,P6='DADOS_INVOC'!$EP$9,P6='DADOS_INVOC'!$QV$9,P6='DADOS_INVOC'!$QW$9,P6='DADOS_INVOC'!$QX$9,P6='DADOS_INVOC'!$QY$9),O6,"")</f>
        <v/>
      </c>
      <c r="BC6">
        <f>IF(AND(Q6=1,OR(P6="",P6='DADOS_INVOC'!$EL$9,P6='DADOS_INVOC'!$EM$9,P6='DADOS_INVOC'!$EN$9,P6='DADOS_INVOC'!$EO$9,P6='DADOS_INVOC'!$EP$9,P6='DADOS_INVOC'!$QV$9,P6='DADOS_INVOC'!$QW$9,P6='DADOS_INVOC'!$QX$9,P6='DADOS_INVOC'!$QY$9)),O6,"")</f>
        <v/>
      </c>
      <c r="BD6">
        <f>IF(OR(P6="",P6='DADOS_INVOC'!$EL$10,P6='DADOS_INVOC'!$EM$10,P6='DADOS_INVOC'!$EN$10,P6='DADOS_INVOC'!$EO$10,P6='DADOS_INVOC'!$EP$10,P6='DADOS_INVOC'!$QV$10,P6='DADOS_INVOC'!$QW$10,P6='DADOS_INVOC'!$QX$10,P6='DADOS_INVOC'!$QY$10),O6,"")</f>
        <v/>
      </c>
      <c r="BE6">
        <f>IF(AND(Q6=1,OR(P6="",P6='DADOS_INVOC'!$EL$10,P6='DADOS_INVOC'!$EM$10,P6='DADOS_INVOC'!$EN$10,P6='DADOS_INVOC'!$EO$10,P6='DADOS_INVOC'!$EP$10,P6='DADOS_INVOC'!$QV$10,P6='DADOS_INVOC'!$QW$10,P6='DADOS_INVOC'!$QX$10,P6='DADOS_INVOC'!$QY$10)),O6,"")</f>
        <v/>
      </c>
      <c r="BF6">
        <f>IF(OR(P6="",P6='DADOS_INVOC'!$EL$11,P6='DADOS_INVOC'!$EM$11,P6='DADOS_INVOC'!$EN$11,P6='DADOS_INVOC'!$EO$11,P6='DADOS_INVOC'!$EP$11,P6='DADOS_INVOC'!$QV$11,P6='DADOS_INVOC'!$QW$11,P6='DADOS_INVOC'!$QX$11,P6='DADOS_INVOC'!$QY$11),O6,"")</f>
        <v/>
      </c>
      <c r="BG6">
        <f>IF(AND(Q6=1,OR(P6="",P6='DADOS_INVOC'!$EL$11,P6='DADOS_INVOC'!$EM$11,P6='DADOS_INVOC'!$EN$11,P6='DADOS_INVOC'!$EO$11,P6='DADOS_INVOC'!$EP$11,P6='DADOS_INVOC'!$QV$11,P6='DADOS_INVOC'!$QW$11,P6='DADOS_INVOC'!$QX$11,P6='DADOS_INVOC'!$QY$11)),O6,"")</f>
        <v/>
      </c>
      <c r="BH6">
        <f>IF(OR(P6="",P6='DADOS_INVOC'!$EL$12,P6='DADOS_INVOC'!$EM$12,P6='DADOS_INVOC'!$EN$12,P6='DADOS_INVOC'!$EO$12,P6='DADOS_INVOC'!$EP$12,P6='DADOS_INVOC'!$QV$12,P6='DADOS_INVOC'!$QW$12,P6='DADOS_INVOC'!$QX$12,P6='DADOS_INVOC'!$QY$12),O6,"")</f>
        <v/>
      </c>
      <c r="BI6">
        <f>IF(AND(Q6=1,OR(P6="",P6='DADOS_INVOC'!$EL$12,P6='DADOS_INVOC'!$EM$12,P6='DADOS_INVOC'!$EN$12,P6='DADOS_INVOC'!$EO$12,P6='DADOS_INVOC'!$EP$12,P6='DADOS_INVOC'!$QV$12,P6='DADOS_INVOC'!$QW$12,P6='DADOS_INVOC'!$QX$12,P6='DADOS_INVOC'!$QY$12)),O6,"")</f>
        <v/>
      </c>
      <c r="BJ6">
        <f>IF(OR(P6="",P6='DADOS_INVOC'!$EL$13,P6='DADOS_INVOC'!$EM$13,P6='DADOS_INVOC'!$EN$13,P6='DADOS_INVOC'!$EO$13,P6='DADOS_INVOC'!$EP$13,P6='DADOS_INVOC'!$QV$13,P6='DADOS_INVOC'!$QW$13,P6='DADOS_INVOC'!$QX$13,P6='DADOS_INVOC'!$QY$13),O6,"")</f>
        <v/>
      </c>
      <c r="BK6">
        <f>IF(AND(Q6=1,OR(P6="",P6='DADOS_INVOC'!$EL$13,P6='DADOS_INVOC'!$EM$13,P6='DADOS_INVOC'!$EN$13,P6='DADOS_INVOC'!$EO$13,P6='DADOS_INVOC'!$EP$13,P6='DADOS_INVOC'!$QV$13,P6='DADOS_INVOC'!$QW$13,P6='DADOS_INVOC'!$QX$13,P6='DADOS_INVOC'!$QY$13)),O6,"")</f>
        <v/>
      </c>
      <c r="BM6">
        <f>IF('DADOS_CRIACAO'!$H$5="","",'DADOS_CRIACAO'!$H$5)</f>
        <v/>
      </c>
      <c r="BP6" t="inlineStr">
        <is>
          <t>Perseguir</t>
        </is>
      </c>
      <c r="BR6">
        <f>IF(OR(ISBLANK('CONFIGURAÇÃO'!$DA$65),'CONFIGURAÇÃO'!$DA$65=""),"Melhoria",'CONFIGURAÇÃO'!$DA$65)</f>
        <v/>
      </c>
      <c r="BU6" t="inlineStr">
        <is>
          <t>Agarrado</t>
        </is>
      </c>
    </row>
    <row r="7">
      <c r="A7" t="n">
        <v>1063</v>
      </c>
      <c r="B7" t="n">
        <v>8</v>
      </c>
      <c r="C7" t="n">
        <v>6</v>
      </c>
      <c r="D7">
        <f>IF(ISBLANK('CONFIGURAÇÃO'!$DI$67),"",'CONFIGURAÇÃO'!$DI$67)</f>
        <v/>
      </c>
      <c r="E7">
        <f>IF(ISBLANK('CONFIGURAÇÃO'!$DL$68),"",'CONFIGURAÇÃO'!$DL$68)</f>
        <v/>
      </c>
      <c r="F7">
        <f>IF(ISBLANK('CONFIGURAÇÃO'!$DL$69),"",'CONFIGURAÇÃO'!$DL$69)</f>
        <v/>
      </c>
      <c r="G7">
        <f>IF(ISBLANK('CONFIGURAÇÃO'!$DL$70),"",'CONFIGURAÇÃO'!$DL$70)</f>
        <v/>
      </c>
      <c r="H7">
        <f>IF(ISBLANK('CONFIGURAÇÃO'!$DL$71),"",'CONFIGURAÇÃO'!$DL$71)</f>
        <v/>
      </c>
      <c r="I7">
        <f>IF(ISBLANK('CONFIGURAÇÃO'!$DI$74),"",'CONFIGURAÇÃO'!$DI$74)</f>
        <v/>
      </c>
      <c r="J7">
        <f>IF(ISBLANK('CONFIGURAÇÃO'!$DI$80),"",'CONFIGURAÇÃO'!$DI$80)</f>
        <v/>
      </c>
      <c r="K7">
        <f>IF(ISBLANK('CONFIGURAÇÃO'!$DM$65),"",'CONFIGURAÇÃO'!$DM$65)</f>
        <v/>
      </c>
      <c r="L7">
        <f>IF(OR(E7="",E7="Nenhuma"),0,IFERROR(MATCH(SUBSTITUTE(SUBSTITUTE(SUBSTITUTE(E7,"~","~~"),"*","~*"),"?","~?"),'DADOS_MELHORIAS'!$O$2:$O$83,0),-1))</f>
        <v/>
      </c>
      <c r="M7">
        <f>IF(D7="",IF(BR7&lt;&gt;"Melhoria","Preencha NOME",IF(D7="",IF(OR(I7&lt;&gt;"",J7&lt;&gt;"",F7&lt;&gt;"",G7&lt;&gt;"",H7&lt;&gt;"",K7=TRUE,AND(E7&lt;&gt;"",E7&lt;&gt;"Nenhuma")),"Preencha NOME",""),TEXTJOIN(" · ",TRUE,IF(OR(NOT(ISTEXT(D7)),TRIM(D7)&lt;&gt;D7),"NOME precisa ser texto sem espaços nas pontas",""),IF(COUNTIF($D$2:$D$31,SUBSTITUTE(SUBSTITUTE(SUBSTITUTE(D7,"~","~~"),"*","~*"),"?","~?"))+COUNTIF('DADOS_MELHORIAS'!$O$2:$O$83,SUBSTITUTE(SUBSTITUTE(SUBSTITUTE(D7,"~","~~"),"*","~*"),"?","~?"))&gt;1,"Nome repetido no livro ou custom",""),IF(L7&lt;0,"Escolha uma BASE DO LIVRO válida",""),IF(ISLOGICAL(K7),"","MESTRE VIU deve ser caixa de seleção"),IF(AND(G7="",L7&lt;=0),"Escolha PESO",""),IF(AND(G7&lt;&gt;"",COUNTIF('DADOS_MELHORIAS'!$BN$2:$BN$4,SUBSTITUTE(SUBSTITUTE(SUBSTITUTE(G7,"~","~~"),"*","~*"),"?","~?"))&lt;&gt;1),"Peso ou devolução inválido",""),IF(AND(H7&lt;&gt;"",H7&lt;&gt;"Sim",H7&lt;&gt;"Não"),"Escolha Sim ou Não",""),IF(AND(F7&lt;&gt;"",COUNTIF('DADOS_MELHORIAS'!$BM$2:$BM$21,SUBSTITUTE(SUBSTITUTE(SUBSTITUTE(F7,"~","~~"),"*","~*"),"?","~?"))&lt;&gt;1),"Família não cadastrada ou com erro","")))),TEXTJOIN(" · ",TRUE,IF(D7="",IF(OR(I7&lt;&gt;"",J7&lt;&gt;"",F7&lt;&gt;"",G7&lt;&gt;"",H7&lt;&gt;"",K7=TRUE,AND(E7&lt;&gt;"",E7&lt;&gt;"Nenhuma")),"Preencha NOME",""),TEXTJOIN(" · ",TRUE,IF(OR(NOT(ISTEXT(D7)),TRIM(D7)&lt;&gt;D7),"NOME precisa ser texto sem espaços nas pontas",""),IF(COUNTIF($D$2:$D$31,SUBSTITUTE(SUBSTITUTE(SUBSTITUTE(D7,"~","~~"),"*","~*"),"?","~?"))+COUNTIF('DADOS_MELHORIAS'!$O$2:$O$83,SUBSTITUTE(SUBSTITUTE(SUBSTITUTE(D7,"~","~~"),"*","~*"),"?","~?"))&gt;1,"Nome repetido no livro ou custom",""),IF(L7&lt;0,"Escolha uma BASE DO LIVRO válida",""),IF(ISLOGICAL(K7),"","MESTRE VIU deve ser caixa de seleção"),IF(AND(G7="",L7&lt;=0),"Escolha PESO",""),IF(AND(G7&lt;&gt;"",COUNTIF('DADOS_MELHORIAS'!$BN$2:$BN$4,SUBSTITUTE(SUBSTITUTE(SUBSTITUTE(G7,"~","~~"),"*","~*"),"?","~?"))&lt;&gt;1),"Peso ou devolução inválido",""),IF(AND(H7&lt;&gt;"",H7&lt;&gt;"Sim",H7&lt;&gt;"Não"),"Escolha Sim ou Não",""),IF(AND(F7&lt;&gt;"",COUNTIF('DADOS_MELHORIAS'!$BM$2:$BM$21,SUBSTITUTE(SUBSTITUTE(SUBSTITUTE(F7,"~","~~"),"*","~*"),"?","~?"))&lt;&gt;1),"Família não cadastrada ou com erro",""))),IF(AND(BR7&lt;&gt;"Melhoria",BR7&lt;&gt;"Condição"),"Modalidade inválida",""),IF(AND(BR7="Condição",E7&lt;&gt;"",E7&lt;&gt;"Nenhuma",COUNTIF('DADOS_MELHORIAS'!$BU$2:$BU$15,SUBSTITUTE(SUBSTITUTE(SUBSTITUTE(E7,"~","~~"),"*","~*"),"?","~?"))&lt;&gt;1),"Base de Condição inválida",""),IF(AND(BR7="Condição",H7&lt;&gt;"",H7&lt;&gt;"Sim"),"Condição exige TR","")))</f>
        <v/>
      </c>
      <c r="O7">
        <f>IF(ISBLANK(DADOS_AM!$BC$7),"",DADOS_AM!$BC$7)</f>
        <v/>
      </c>
      <c r="P7">
        <f>IF(ISBLANK(DADOS_AM!$BD$7),"",DADOS_AM!$BD$7)</f>
        <v/>
      </c>
      <c r="Q7">
        <f>IF(ISBLANK(DADOS_AM!$BE$7),"",DADOS_AM!$BE$7)</f>
        <v/>
      </c>
      <c r="R7">
        <f>IF(ISBLANK(DADOS_AM!$BF$7),"",DADOS_AM!$BF$7)</f>
        <v/>
      </c>
      <c r="S7">
        <f>IF(ISBLANK(DADOS_AM!$BG$7),"",DADOS_AM!$BG$7)</f>
        <v/>
      </c>
      <c r="T7">
        <f>IF(ISBLANK(DADOS_AM!$BH$7),"",DADOS_AM!$BH$7)</f>
        <v/>
      </c>
      <c r="U7">
        <f>IF(ISBLANK(DADOS_AM!$BI$7),"",DADOS_AM!$BI$7)</f>
        <v/>
      </c>
      <c r="V7">
        <f>IF(ISBLANK(DADOS_AM!$BJ$7),"",DADOS_AM!$BJ$7)</f>
        <v/>
      </c>
      <c r="W7">
        <f>IF(ISBLANK(DADOS_AM!$BK$7),"",DADOS_AM!$BK$7)</f>
        <v/>
      </c>
      <c r="X7" t="inlineStr">
        <is>
          <t>Empurrão</t>
        </is>
      </c>
      <c r="Y7" t="n">
        <v>0</v>
      </c>
      <c r="AG7">
        <f>O7</f>
        <v/>
      </c>
      <c r="AH7">
        <f>P7</f>
        <v/>
      </c>
      <c r="AI7">
        <f>Q7</f>
        <v/>
      </c>
      <c r="AJ7">
        <f>T7</f>
        <v/>
      </c>
      <c r="AK7">
        <f>Y7</f>
        <v/>
      </c>
      <c r="AL7">
        <f>W7</f>
        <v/>
      </c>
      <c r="AN7">
        <f>IF(OR(P7="",P7='DADOS_INVOC'!$EL$2,P7='DADOS_INVOC'!$EM$2,P7='DADOS_INVOC'!$EN$2,P7='DADOS_INVOC'!$EO$2,P7='DADOS_INVOC'!$EP$2,P7='DADOS_INVOC'!$QV$2,P7='DADOS_INVOC'!$QW$2,P7='DADOS_INVOC'!$QX$2,P7='DADOS_INVOC'!$QY$2),O7,"")</f>
        <v/>
      </c>
      <c r="AO7">
        <f>IF(AND(Q7=1,OR(P7="",P7='DADOS_INVOC'!$EL$2,P7='DADOS_INVOC'!$EM$2,P7='DADOS_INVOC'!$EN$2,P7='DADOS_INVOC'!$EO$2,P7='DADOS_INVOC'!$EP$2,P7='DADOS_INVOC'!$QV$2,P7='DADOS_INVOC'!$QW$2,P7='DADOS_INVOC'!$QX$2,P7='DADOS_INVOC'!$QY$2)),O7,"")</f>
        <v/>
      </c>
      <c r="AP7">
        <f>IF(OR(P7="",P7='DADOS_INVOC'!$EL$3,P7='DADOS_INVOC'!$EM$3,P7='DADOS_INVOC'!$EN$3,P7='DADOS_INVOC'!$EO$3,P7='DADOS_INVOC'!$EP$3,P7='DADOS_INVOC'!$QV$3,P7='DADOS_INVOC'!$QW$3,P7='DADOS_INVOC'!$QX$3,P7='DADOS_INVOC'!$QY$3),O7,"")</f>
        <v/>
      </c>
      <c r="AQ7">
        <f>IF(AND(Q7=1,OR(P7="",P7='DADOS_INVOC'!$EL$3,P7='DADOS_INVOC'!$EM$3,P7='DADOS_INVOC'!$EN$3,P7='DADOS_INVOC'!$EO$3,P7='DADOS_INVOC'!$EP$3,P7='DADOS_INVOC'!$QV$3,P7='DADOS_INVOC'!$QW$3,P7='DADOS_INVOC'!$QX$3,P7='DADOS_INVOC'!$QY$3)),O7,"")</f>
        <v/>
      </c>
      <c r="AR7">
        <f>IF(OR(P7="",P7='DADOS_INVOC'!$EL$4,P7='DADOS_INVOC'!$EM$4,P7='DADOS_INVOC'!$EN$4,P7='DADOS_INVOC'!$EO$4,P7='DADOS_INVOC'!$EP$4,P7='DADOS_INVOC'!$QV$4,P7='DADOS_INVOC'!$QW$4,P7='DADOS_INVOC'!$QX$4,P7='DADOS_INVOC'!$QY$4),O7,"")</f>
        <v/>
      </c>
      <c r="AS7">
        <f>IF(AND(Q7=1,OR(P7="",P7='DADOS_INVOC'!$EL$4,P7='DADOS_INVOC'!$EM$4,P7='DADOS_INVOC'!$EN$4,P7='DADOS_INVOC'!$EO$4,P7='DADOS_INVOC'!$EP$4,P7='DADOS_INVOC'!$QV$4,P7='DADOS_INVOC'!$QW$4,P7='DADOS_INVOC'!$QX$4,P7='DADOS_INVOC'!$QY$4)),O7,"")</f>
        <v/>
      </c>
      <c r="AT7">
        <f>IF(OR(P7="",P7='DADOS_INVOC'!$EL$5,P7='DADOS_INVOC'!$EM$5,P7='DADOS_INVOC'!$EN$5,P7='DADOS_INVOC'!$EO$5,P7='DADOS_INVOC'!$EP$5,P7='DADOS_INVOC'!$QV$5,P7='DADOS_INVOC'!$QW$5,P7='DADOS_INVOC'!$QX$5,P7='DADOS_INVOC'!$QY$5),O7,"")</f>
        <v/>
      </c>
      <c r="AU7">
        <f>IF(AND(Q7=1,OR(P7="",P7='DADOS_INVOC'!$EL$5,P7='DADOS_INVOC'!$EM$5,P7='DADOS_INVOC'!$EN$5,P7='DADOS_INVOC'!$EO$5,P7='DADOS_INVOC'!$EP$5,P7='DADOS_INVOC'!$QV$5,P7='DADOS_INVOC'!$QW$5,P7='DADOS_INVOC'!$QX$5,P7='DADOS_INVOC'!$QY$5)),O7,"")</f>
        <v/>
      </c>
      <c r="AV7">
        <f>IF(OR(P7="",P7='DADOS_INVOC'!$EL$6,P7='DADOS_INVOC'!$EM$6,P7='DADOS_INVOC'!$EN$6,P7='DADOS_INVOC'!$EO$6,P7='DADOS_INVOC'!$EP$6,P7='DADOS_INVOC'!$QV$6,P7='DADOS_INVOC'!$QW$6,P7='DADOS_INVOC'!$QX$6,P7='DADOS_INVOC'!$QY$6),O7,"")</f>
        <v/>
      </c>
      <c r="AW7">
        <f>IF(AND(Q7=1,OR(P7="",P7='DADOS_INVOC'!$EL$6,P7='DADOS_INVOC'!$EM$6,P7='DADOS_INVOC'!$EN$6,P7='DADOS_INVOC'!$EO$6,P7='DADOS_INVOC'!$EP$6,P7='DADOS_INVOC'!$QV$6,P7='DADOS_INVOC'!$QW$6,P7='DADOS_INVOC'!$QX$6,P7='DADOS_INVOC'!$QY$6)),O7,"")</f>
        <v/>
      </c>
      <c r="AX7">
        <f>IF(OR(P7="",P7='DADOS_INVOC'!$EL$7,P7='DADOS_INVOC'!$EM$7,P7='DADOS_INVOC'!$EN$7,P7='DADOS_INVOC'!$EO$7,P7='DADOS_INVOC'!$EP$7,P7='DADOS_INVOC'!$QV$7,P7='DADOS_INVOC'!$QW$7,P7='DADOS_INVOC'!$QX$7,P7='DADOS_INVOC'!$QY$7),O7,"")</f>
        <v/>
      </c>
      <c r="AY7">
        <f>IF(AND(Q7=1,OR(P7="",P7='DADOS_INVOC'!$EL$7,P7='DADOS_INVOC'!$EM$7,P7='DADOS_INVOC'!$EN$7,P7='DADOS_INVOC'!$EO$7,P7='DADOS_INVOC'!$EP$7,P7='DADOS_INVOC'!$QV$7,P7='DADOS_INVOC'!$QW$7,P7='DADOS_INVOC'!$QX$7,P7='DADOS_INVOC'!$QY$7)),O7,"")</f>
        <v/>
      </c>
      <c r="AZ7">
        <f>IF(OR(P7="",P7='DADOS_INVOC'!$EL$8,P7='DADOS_INVOC'!$EM$8,P7='DADOS_INVOC'!$EN$8,P7='DADOS_INVOC'!$EO$8,P7='DADOS_INVOC'!$EP$8,P7='DADOS_INVOC'!$QV$8,P7='DADOS_INVOC'!$QW$8,P7='DADOS_INVOC'!$QX$8,P7='DADOS_INVOC'!$QY$8),O7,"")</f>
        <v/>
      </c>
      <c r="BA7">
        <f>IF(AND(Q7=1,OR(P7="",P7='DADOS_INVOC'!$EL$8,P7='DADOS_INVOC'!$EM$8,P7='DADOS_INVOC'!$EN$8,P7='DADOS_INVOC'!$EO$8,P7='DADOS_INVOC'!$EP$8,P7='DADOS_INVOC'!$QV$8,P7='DADOS_INVOC'!$QW$8,P7='DADOS_INVOC'!$QX$8,P7='DADOS_INVOC'!$QY$8)),O7,"")</f>
        <v/>
      </c>
      <c r="BB7">
        <f>IF(OR(P7="",P7='DADOS_INVOC'!$EL$9,P7='DADOS_INVOC'!$EM$9,P7='DADOS_INVOC'!$EN$9,P7='DADOS_INVOC'!$EO$9,P7='DADOS_INVOC'!$EP$9,P7='DADOS_INVOC'!$QV$9,P7='DADOS_INVOC'!$QW$9,P7='DADOS_INVOC'!$QX$9,P7='DADOS_INVOC'!$QY$9),O7,"")</f>
        <v/>
      </c>
      <c r="BC7">
        <f>IF(AND(Q7=1,OR(P7="",P7='DADOS_INVOC'!$EL$9,P7='DADOS_INVOC'!$EM$9,P7='DADOS_INVOC'!$EN$9,P7='DADOS_INVOC'!$EO$9,P7='DADOS_INVOC'!$EP$9,P7='DADOS_INVOC'!$QV$9,P7='DADOS_INVOC'!$QW$9,P7='DADOS_INVOC'!$QX$9,P7='DADOS_INVOC'!$QY$9)),O7,"")</f>
        <v/>
      </c>
      <c r="BD7">
        <f>IF(OR(P7="",P7='DADOS_INVOC'!$EL$10,P7='DADOS_INVOC'!$EM$10,P7='DADOS_INVOC'!$EN$10,P7='DADOS_INVOC'!$EO$10,P7='DADOS_INVOC'!$EP$10,P7='DADOS_INVOC'!$QV$10,P7='DADOS_INVOC'!$QW$10,P7='DADOS_INVOC'!$QX$10,P7='DADOS_INVOC'!$QY$10),O7,"")</f>
        <v/>
      </c>
      <c r="BE7">
        <f>IF(AND(Q7=1,OR(P7="",P7='DADOS_INVOC'!$EL$10,P7='DADOS_INVOC'!$EM$10,P7='DADOS_INVOC'!$EN$10,P7='DADOS_INVOC'!$EO$10,P7='DADOS_INVOC'!$EP$10,P7='DADOS_INVOC'!$QV$10,P7='DADOS_INVOC'!$QW$10,P7='DADOS_INVOC'!$QX$10,P7='DADOS_INVOC'!$QY$10)),O7,"")</f>
        <v/>
      </c>
      <c r="BF7">
        <f>IF(OR(P7="",P7='DADOS_INVOC'!$EL$11,P7='DADOS_INVOC'!$EM$11,P7='DADOS_INVOC'!$EN$11,P7='DADOS_INVOC'!$EO$11,P7='DADOS_INVOC'!$EP$11,P7='DADOS_INVOC'!$QV$11,P7='DADOS_INVOC'!$QW$11,P7='DADOS_INVOC'!$QX$11,P7='DADOS_INVOC'!$QY$11),O7,"")</f>
        <v/>
      </c>
      <c r="BG7">
        <f>IF(AND(Q7=1,OR(P7="",P7='DADOS_INVOC'!$EL$11,P7='DADOS_INVOC'!$EM$11,P7='DADOS_INVOC'!$EN$11,P7='DADOS_INVOC'!$EO$11,P7='DADOS_INVOC'!$EP$11,P7='DADOS_INVOC'!$QV$11,P7='DADOS_INVOC'!$QW$11,P7='DADOS_INVOC'!$QX$11,P7='DADOS_INVOC'!$QY$11)),O7,"")</f>
        <v/>
      </c>
      <c r="BH7">
        <f>IF(OR(P7="",P7='DADOS_INVOC'!$EL$12,P7='DADOS_INVOC'!$EM$12,P7='DADOS_INVOC'!$EN$12,P7='DADOS_INVOC'!$EO$12,P7='DADOS_INVOC'!$EP$12,P7='DADOS_INVOC'!$QV$12,P7='DADOS_INVOC'!$QW$12,P7='DADOS_INVOC'!$QX$12,P7='DADOS_INVOC'!$QY$12),O7,"")</f>
        <v/>
      </c>
      <c r="BI7">
        <f>IF(AND(Q7=1,OR(P7="",P7='DADOS_INVOC'!$EL$12,P7='DADOS_INVOC'!$EM$12,P7='DADOS_INVOC'!$EN$12,P7='DADOS_INVOC'!$EO$12,P7='DADOS_INVOC'!$EP$12,P7='DADOS_INVOC'!$QV$12,P7='DADOS_INVOC'!$QW$12,P7='DADOS_INVOC'!$QX$12,P7='DADOS_INVOC'!$QY$12)),O7,"")</f>
        <v/>
      </c>
      <c r="BJ7">
        <f>IF(OR(P7="",P7='DADOS_INVOC'!$EL$13,P7='DADOS_INVOC'!$EM$13,P7='DADOS_INVOC'!$EN$13,P7='DADOS_INVOC'!$EO$13,P7='DADOS_INVOC'!$EP$13,P7='DADOS_INVOC'!$QV$13,P7='DADOS_INVOC'!$QW$13,P7='DADOS_INVOC'!$QX$13,P7='DADOS_INVOC'!$QY$13),O7,"")</f>
        <v/>
      </c>
      <c r="BK7">
        <f>IF(AND(Q7=1,OR(P7="",P7='DADOS_INVOC'!$EL$13,P7='DADOS_INVOC'!$EM$13,P7='DADOS_INVOC'!$EN$13,P7='DADOS_INVOC'!$EO$13,P7='DADOS_INVOC'!$EP$13,P7='DADOS_INVOC'!$QV$13,P7='DADOS_INVOC'!$QW$13,P7='DADOS_INVOC'!$QX$13,P7='DADOS_INVOC'!$QY$13)),O7,"")</f>
        <v/>
      </c>
      <c r="BM7">
        <f>IF('DADOS_CRIACAO'!$H$6="","",'DADOS_CRIACAO'!$H$6)</f>
        <v/>
      </c>
      <c r="BP7" t="inlineStr">
        <is>
          <t>Passo</t>
        </is>
      </c>
      <c r="BR7">
        <f>IF(OR(ISBLANK('CONFIGURAÇÃO'!$DI$65),'CONFIGURAÇÃO'!$DI$65=""),"Melhoria",'CONFIGURAÇÃO'!$DI$65)</f>
        <v/>
      </c>
      <c r="BU7" t="inlineStr">
        <is>
          <t>Desarmado</t>
        </is>
      </c>
    </row>
    <row r="8">
      <c r="A8" t="n">
        <v>1089</v>
      </c>
      <c r="B8" t="n">
        <v>0</v>
      </c>
      <c r="C8" t="n">
        <v>7</v>
      </c>
      <c r="D8">
        <f>IF(ISBLANK('CONFIGURAÇÃO'!$DA$93),"",'CONFIGURAÇÃO'!$DA$93)</f>
        <v/>
      </c>
      <c r="E8">
        <f>IF(ISBLANK('CONFIGURAÇÃO'!$DD$94),"",'CONFIGURAÇÃO'!$DD$94)</f>
        <v/>
      </c>
      <c r="F8">
        <f>IF(ISBLANK('CONFIGURAÇÃO'!$DD$95),"",'CONFIGURAÇÃO'!$DD$95)</f>
        <v/>
      </c>
      <c r="G8">
        <f>IF(ISBLANK('CONFIGURAÇÃO'!$DD$96),"",'CONFIGURAÇÃO'!$DD$96)</f>
        <v/>
      </c>
      <c r="H8">
        <f>IF(ISBLANK('CONFIGURAÇÃO'!$DD$97),"",'CONFIGURAÇÃO'!$DD$97)</f>
        <v/>
      </c>
      <c r="I8">
        <f>IF(ISBLANK('CONFIGURAÇÃO'!$DA$100),"",'CONFIGURAÇÃO'!$DA$100)</f>
        <v/>
      </c>
      <c r="J8">
        <f>IF(ISBLANK('CONFIGURAÇÃO'!$DA$106),"",'CONFIGURAÇÃO'!$DA$106)</f>
        <v/>
      </c>
      <c r="K8">
        <f>IF(ISBLANK('CONFIGURAÇÃO'!$DE$91),"",'CONFIGURAÇÃO'!$DE$91)</f>
        <v/>
      </c>
      <c r="L8">
        <f>IF(OR(E8="",E8="Nenhuma"),0,IFERROR(MATCH(SUBSTITUTE(SUBSTITUTE(SUBSTITUTE(E8,"~","~~"),"*","~*"),"?","~?"),'DADOS_MELHORIAS'!$O$2:$O$83,0),-1))</f>
        <v/>
      </c>
      <c r="M8">
        <f>IF(D8="",IF(BR8&lt;&gt;"Melhoria","Preencha NOME",IF(D8="",IF(OR(I8&lt;&gt;"",J8&lt;&gt;"",F8&lt;&gt;"",G8&lt;&gt;"",H8&lt;&gt;"",K8=TRUE,AND(E8&lt;&gt;"",E8&lt;&gt;"Nenhuma")),"Preencha NOME",""),TEXTJOIN(" · ",TRUE,IF(OR(NOT(ISTEXT(D8)),TRIM(D8)&lt;&gt;D8),"NOME precisa ser texto sem espaços nas pontas",""),IF(COUNTIF($D$2:$D$31,SUBSTITUTE(SUBSTITUTE(SUBSTITUTE(D8,"~","~~"),"*","~*"),"?","~?"))+COUNTIF('DADOS_MELHORIAS'!$O$2:$O$83,SUBSTITUTE(SUBSTITUTE(SUBSTITUTE(D8,"~","~~"),"*","~*"),"?","~?"))&gt;1,"Nome repetido no livro ou custom",""),IF(L8&lt;0,"Escolha uma BASE DO LIVRO válida",""),IF(ISLOGICAL(K8),"","MESTRE VIU deve ser caixa de seleção"),IF(AND(G8="",L8&lt;=0),"Escolha PESO",""),IF(AND(G8&lt;&gt;"",COUNTIF('DADOS_MELHORIAS'!$BN$2:$BN$4,SUBSTITUTE(SUBSTITUTE(SUBSTITUTE(G8,"~","~~"),"*","~*"),"?","~?"))&lt;&gt;1),"Peso ou devolução inválido",""),IF(AND(H8&lt;&gt;"",H8&lt;&gt;"Sim",H8&lt;&gt;"Não"),"Escolha Sim ou Não",""),IF(AND(F8&lt;&gt;"",COUNTIF('DADOS_MELHORIAS'!$BM$2:$BM$21,SUBSTITUTE(SUBSTITUTE(SUBSTITUTE(F8,"~","~~"),"*","~*"),"?","~?"))&lt;&gt;1),"Família não cadastrada ou com erro","")))),TEXTJOIN(" · ",TRUE,IF(D8="",IF(OR(I8&lt;&gt;"",J8&lt;&gt;"",F8&lt;&gt;"",G8&lt;&gt;"",H8&lt;&gt;"",K8=TRUE,AND(E8&lt;&gt;"",E8&lt;&gt;"Nenhuma")),"Preencha NOME",""),TEXTJOIN(" · ",TRUE,IF(OR(NOT(ISTEXT(D8)),TRIM(D8)&lt;&gt;D8),"NOME precisa ser texto sem espaços nas pontas",""),IF(COUNTIF($D$2:$D$31,SUBSTITUTE(SUBSTITUTE(SUBSTITUTE(D8,"~","~~"),"*","~*"),"?","~?"))+COUNTIF('DADOS_MELHORIAS'!$O$2:$O$83,SUBSTITUTE(SUBSTITUTE(SUBSTITUTE(D8,"~","~~"),"*","~*"),"?","~?"))&gt;1,"Nome repetido no livro ou custom",""),IF(L8&lt;0,"Escolha uma BASE DO LIVRO válida",""),IF(ISLOGICAL(K8),"","MESTRE VIU deve ser caixa de seleção"),IF(AND(G8="",L8&lt;=0),"Escolha PESO",""),IF(AND(G8&lt;&gt;"",COUNTIF('DADOS_MELHORIAS'!$BN$2:$BN$4,SUBSTITUTE(SUBSTITUTE(SUBSTITUTE(G8,"~","~~"),"*","~*"),"?","~?"))&lt;&gt;1),"Peso ou devolução inválido",""),IF(AND(H8&lt;&gt;"",H8&lt;&gt;"Sim",H8&lt;&gt;"Não"),"Escolha Sim ou Não",""),IF(AND(F8&lt;&gt;"",COUNTIF('DADOS_MELHORIAS'!$BM$2:$BM$21,SUBSTITUTE(SUBSTITUTE(SUBSTITUTE(F8,"~","~~"),"*","~*"),"?","~?"))&lt;&gt;1),"Família não cadastrada ou com erro",""))),IF(AND(BR8&lt;&gt;"Melhoria",BR8&lt;&gt;"Condição"),"Modalidade inválida",""),IF(AND(BR8="Condição",E8&lt;&gt;"",E8&lt;&gt;"Nenhuma",COUNTIF('DADOS_MELHORIAS'!$BU$2:$BU$15,SUBSTITUTE(SUBSTITUTE(SUBSTITUTE(E8,"~","~~"),"*","~*"),"?","~?"))&lt;&gt;1),"Base de Condição inválida",""),IF(AND(BR8="Condição",H8&lt;&gt;"",H8&lt;&gt;"Sim"),"Condição exige TR","")))</f>
        <v/>
      </c>
      <c r="O8">
        <f>IF(ISBLANK(DADOS_AM!$BC$8),"",DADOS_AM!$BC$8)</f>
        <v/>
      </c>
      <c r="P8">
        <f>IF(ISBLANK(DADOS_AM!$BD$8),"",DADOS_AM!$BD$8)</f>
        <v/>
      </c>
      <c r="Q8">
        <f>IF(ISBLANK(DADOS_AM!$BE$8),"",DADOS_AM!$BE$8)</f>
        <v/>
      </c>
      <c r="R8">
        <f>IF(ISBLANK(DADOS_AM!$BF$8),"",DADOS_AM!$BF$8)</f>
        <v/>
      </c>
      <c r="S8">
        <f>IF(ISBLANK(DADOS_AM!$BG$8),"",DADOS_AM!$BG$8)</f>
        <v/>
      </c>
      <c r="T8">
        <f>IF(ISBLANK(DADOS_AM!$BH$8),"",DADOS_AM!$BH$8)</f>
        <v/>
      </c>
      <c r="U8">
        <f>IF(ISBLANK(DADOS_AM!$BI$8),"",DADOS_AM!$BI$8)</f>
        <v/>
      </c>
      <c r="V8">
        <f>IF(ISBLANK(DADOS_AM!$BJ$8),"",DADOS_AM!$BJ$8)</f>
        <v/>
      </c>
      <c r="W8">
        <f>IF(ISBLANK(DADOS_AM!$BK$8),"",DADOS_AM!$BK$8)</f>
        <v/>
      </c>
      <c r="X8" t="inlineStr">
        <is>
          <t>Maior</t>
        </is>
      </c>
      <c r="Y8" t="n">
        <v>0</v>
      </c>
      <c r="AG8">
        <f>O8</f>
        <v/>
      </c>
      <c r="AH8">
        <f>P8</f>
        <v/>
      </c>
      <c r="AI8">
        <f>Q8</f>
        <v/>
      </c>
      <c r="AJ8">
        <f>T8</f>
        <v/>
      </c>
      <c r="AK8">
        <f>Y8</f>
        <v/>
      </c>
      <c r="AL8">
        <f>W8</f>
        <v/>
      </c>
      <c r="AN8">
        <f>IF(OR(P8="",P8='DADOS_INVOC'!$EL$2,P8='DADOS_INVOC'!$EM$2,P8='DADOS_INVOC'!$EN$2,P8='DADOS_INVOC'!$EO$2,P8='DADOS_INVOC'!$EP$2,P8='DADOS_INVOC'!$QV$2,P8='DADOS_INVOC'!$QW$2,P8='DADOS_INVOC'!$QX$2,P8='DADOS_INVOC'!$QY$2),O8,"")</f>
        <v/>
      </c>
      <c r="AO8">
        <f>IF(AND(Q8=1,OR(P8="",P8='DADOS_INVOC'!$EL$2,P8='DADOS_INVOC'!$EM$2,P8='DADOS_INVOC'!$EN$2,P8='DADOS_INVOC'!$EO$2,P8='DADOS_INVOC'!$EP$2,P8='DADOS_INVOC'!$QV$2,P8='DADOS_INVOC'!$QW$2,P8='DADOS_INVOC'!$QX$2,P8='DADOS_INVOC'!$QY$2)),O8,"")</f>
        <v/>
      </c>
      <c r="AP8">
        <f>IF(OR(P8="",P8='DADOS_INVOC'!$EL$3,P8='DADOS_INVOC'!$EM$3,P8='DADOS_INVOC'!$EN$3,P8='DADOS_INVOC'!$EO$3,P8='DADOS_INVOC'!$EP$3,P8='DADOS_INVOC'!$QV$3,P8='DADOS_INVOC'!$QW$3,P8='DADOS_INVOC'!$QX$3,P8='DADOS_INVOC'!$QY$3),O8,"")</f>
        <v/>
      </c>
      <c r="AQ8">
        <f>IF(AND(Q8=1,OR(P8="",P8='DADOS_INVOC'!$EL$3,P8='DADOS_INVOC'!$EM$3,P8='DADOS_INVOC'!$EN$3,P8='DADOS_INVOC'!$EO$3,P8='DADOS_INVOC'!$EP$3,P8='DADOS_INVOC'!$QV$3,P8='DADOS_INVOC'!$QW$3,P8='DADOS_INVOC'!$QX$3,P8='DADOS_INVOC'!$QY$3)),O8,"")</f>
        <v/>
      </c>
      <c r="AR8">
        <f>IF(OR(P8="",P8='DADOS_INVOC'!$EL$4,P8='DADOS_INVOC'!$EM$4,P8='DADOS_INVOC'!$EN$4,P8='DADOS_INVOC'!$EO$4,P8='DADOS_INVOC'!$EP$4,P8='DADOS_INVOC'!$QV$4,P8='DADOS_INVOC'!$QW$4,P8='DADOS_INVOC'!$QX$4,P8='DADOS_INVOC'!$QY$4),O8,"")</f>
        <v/>
      </c>
      <c r="AS8">
        <f>IF(AND(Q8=1,OR(P8="",P8='DADOS_INVOC'!$EL$4,P8='DADOS_INVOC'!$EM$4,P8='DADOS_INVOC'!$EN$4,P8='DADOS_INVOC'!$EO$4,P8='DADOS_INVOC'!$EP$4,P8='DADOS_INVOC'!$QV$4,P8='DADOS_INVOC'!$QW$4,P8='DADOS_INVOC'!$QX$4,P8='DADOS_INVOC'!$QY$4)),O8,"")</f>
        <v/>
      </c>
      <c r="AT8">
        <f>IF(OR(P8="",P8='DADOS_INVOC'!$EL$5,P8='DADOS_INVOC'!$EM$5,P8='DADOS_INVOC'!$EN$5,P8='DADOS_INVOC'!$EO$5,P8='DADOS_INVOC'!$EP$5,P8='DADOS_INVOC'!$QV$5,P8='DADOS_INVOC'!$QW$5,P8='DADOS_INVOC'!$QX$5,P8='DADOS_INVOC'!$QY$5),O8,"")</f>
        <v/>
      </c>
      <c r="AU8">
        <f>IF(AND(Q8=1,OR(P8="",P8='DADOS_INVOC'!$EL$5,P8='DADOS_INVOC'!$EM$5,P8='DADOS_INVOC'!$EN$5,P8='DADOS_INVOC'!$EO$5,P8='DADOS_INVOC'!$EP$5,P8='DADOS_INVOC'!$QV$5,P8='DADOS_INVOC'!$QW$5,P8='DADOS_INVOC'!$QX$5,P8='DADOS_INVOC'!$QY$5)),O8,"")</f>
        <v/>
      </c>
      <c r="AV8">
        <f>IF(OR(P8="",P8='DADOS_INVOC'!$EL$6,P8='DADOS_INVOC'!$EM$6,P8='DADOS_INVOC'!$EN$6,P8='DADOS_INVOC'!$EO$6,P8='DADOS_INVOC'!$EP$6,P8='DADOS_INVOC'!$QV$6,P8='DADOS_INVOC'!$QW$6,P8='DADOS_INVOC'!$QX$6,P8='DADOS_INVOC'!$QY$6),O8,"")</f>
        <v/>
      </c>
      <c r="AW8">
        <f>IF(AND(Q8=1,OR(P8="",P8='DADOS_INVOC'!$EL$6,P8='DADOS_INVOC'!$EM$6,P8='DADOS_INVOC'!$EN$6,P8='DADOS_INVOC'!$EO$6,P8='DADOS_INVOC'!$EP$6,P8='DADOS_INVOC'!$QV$6,P8='DADOS_INVOC'!$QW$6,P8='DADOS_INVOC'!$QX$6,P8='DADOS_INVOC'!$QY$6)),O8,"")</f>
        <v/>
      </c>
      <c r="AX8">
        <f>IF(OR(P8="",P8='DADOS_INVOC'!$EL$7,P8='DADOS_INVOC'!$EM$7,P8='DADOS_INVOC'!$EN$7,P8='DADOS_INVOC'!$EO$7,P8='DADOS_INVOC'!$EP$7,P8='DADOS_INVOC'!$QV$7,P8='DADOS_INVOC'!$QW$7,P8='DADOS_INVOC'!$QX$7,P8='DADOS_INVOC'!$QY$7),O8,"")</f>
        <v/>
      </c>
      <c r="AY8">
        <f>IF(AND(Q8=1,OR(P8="",P8='DADOS_INVOC'!$EL$7,P8='DADOS_INVOC'!$EM$7,P8='DADOS_INVOC'!$EN$7,P8='DADOS_INVOC'!$EO$7,P8='DADOS_INVOC'!$EP$7,P8='DADOS_INVOC'!$QV$7,P8='DADOS_INVOC'!$QW$7,P8='DADOS_INVOC'!$QX$7,P8='DADOS_INVOC'!$QY$7)),O8,"")</f>
        <v/>
      </c>
      <c r="AZ8">
        <f>IF(OR(P8="",P8='DADOS_INVOC'!$EL$8,P8='DADOS_INVOC'!$EM$8,P8='DADOS_INVOC'!$EN$8,P8='DADOS_INVOC'!$EO$8,P8='DADOS_INVOC'!$EP$8,P8='DADOS_INVOC'!$QV$8,P8='DADOS_INVOC'!$QW$8,P8='DADOS_INVOC'!$QX$8,P8='DADOS_INVOC'!$QY$8),O8,"")</f>
        <v/>
      </c>
      <c r="BA8">
        <f>IF(AND(Q8=1,OR(P8="",P8='DADOS_INVOC'!$EL$8,P8='DADOS_INVOC'!$EM$8,P8='DADOS_INVOC'!$EN$8,P8='DADOS_INVOC'!$EO$8,P8='DADOS_INVOC'!$EP$8,P8='DADOS_INVOC'!$QV$8,P8='DADOS_INVOC'!$QW$8,P8='DADOS_INVOC'!$QX$8,P8='DADOS_INVOC'!$QY$8)),O8,"")</f>
        <v/>
      </c>
      <c r="BB8">
        <f>IF(OR(P8="",P8='DADOS_INVOC'!$EL$9,P8='DADOS_INVOC'!$EM$9,P8='DADOS_INVOC'!$EN$9,P8='DADOS_INVOC'!$EO$9,P8='DADOS_INVOC'!$EP$9,P8='DADOS_INVOC'!$QV$9,P8='DADOS_INVOC'!$QW$9,P8='DADOS_INVOC'!$QX$9,P8='DADOS_INVOC'!$QY$9),O8,"")</f>
        <v/>
      </c>
      <c r="BC8">
        <f>IF(AND(Q8=1,OR(P8="",P8='DADOS_INVOC'!$EL$9,P8='DADOS_INVOC'!$EM$9,P8='DADOS_INVOC'!$EN$9,P8='DADOS_INVOC'!$EO$9,P8='DADOS_INVOC'!$EP$9,P8='DADOS_INVOC'!$QV$9,P8='DADOS_INVOC'!$QW$9,P8='DADOS_INVOC'!$QX$9,P8='DADOS_INVOC'!$QY$9)),O8,"")</f>
        <v/>
      </c>
      <c r="BD8">
        <f>IF(OR(P8="",P8='DADOS_INVOC'!$EL$10,P8='DADOS_INVOC'!$EM$10,P8='DADOS_INVOC'!$EN$10,P8='DADOS_INVOC'!$EO$10,P8='DADOS_INVOC'!$EP$10,P8='DADOS_INVOC'!$QV$10,P8='DADOS_INVOC'!$QW$10,P8='DADOS_INVOC'!$QX$10,P8='DADOS_INVOC'!$QY$10),O8,"")</f>
        <v/>
      </c>
      <c r="BE8">
        <f>IF(AND(Q8=1,OR(P8="",P8='DADOS_INVOC'!$EL$10,P8='DADOS_INVOC'!$EM$10,P8='DADOS_INVOC'!$EN$10,P8='DADOS_INVOC'!$EO$10,P8='DADOS_INVOC'!$EP$10,P8='DADOS_INVOC'!$QV$10,P8='DADOS_INVOC'!$QW$10,P8='DADOS_INVOC'!$QX$10,P8='DADOS_INVOC'!$QY$10)),O8,"")</f>
        <v/>
      </c>
      <c r="BF8">
        <f>IF(OR(P8="",P8='DADOS_INVOC'!$EL$11,P8='DADOS_INVOC'!$EM$11,P8='DADOS_INVOC'!$EN$11,P8='DADOS_INVOC'!$EO$11,P8='DADOS_INVOC'!$EP$11,P8='DADOS_INVOC'!$QV$11,P8='DADOS_INVOC'!$QW$11,P8='DADOS_INVOC'!$QX$11,P8='DADOS_INVOC'!$QY$11),O8,"")</f>
        <v/>
      </c>
      <c r="BG8">
        <f>IF(AND(Q8=1,OR(P8="",P8='DADOS_INVOC'!$EL$11,P8='DADOS_INVOC'!$EM$11,P8='DADOS_INVOC'!$EN$11,P8='DADOS_INVOC'!$EO$11,P8='DADOS_INVOC'!$EP$11,P8='DADOS_INVOC'!$QV$11,P8='DADOS_INVOC'!$QW$11,P8='DADOS_INVOC'!$QX$11,P8='DADOS_INVOC'!$QY$11)),O8,"")</f>
        <v/>
      </c>
      <c r="BH8">
        <f>IF(OR(P8="",P8='DADOS_INVOC'!$EL$12,P8='DADOS_INVOC'!$EM$12,P8='DADOS_INVOC'!$EN$12,P8='DADOS_INVOC'!$EO$12,P8='DADOS_INVOC'!$EP$12,P8='DADOS_INVOC'!$QV$12,P8='DADOS_INVOC'!$QW$12,P8='DADOS_INVOC'!$QX$12,P8='DADOS_INVOC'!$QY$12),O8,"")</f>
        <v/>
      </c>
      <c r="BI8">
        <f>IF(AND(Q8=1,OR(P8="",P8='DADOS_INVOC'!$EL$12,P8='DADOS_INVOC'!$EM$12,P8='DADOS_INVOC'!$EN$12,P8='DADOS_INVOC'!$EO$12,P8='DADOS_INVOC'!$EP$12,P8='DADOS_INVOC'!$QV$12,P8='DADOS_INVOC'!$QW$12,P8='DADOS_INVOC'!$QX$12,P8='DADOS_INVOC'!$QY$12)),O8,"")</f>
        <v/>
      </c>
      <c r="BJ8">
        <f>IF(OR(P8="",P8='DADOS_INVOC'!$EL$13,P8='DADOS_INVOC'!$EM$13,P8='DADOS_INVOC'!$EN$13,P8='DADOS_INVOC'!$EO$13,P8='DADOS_INVOC'!$EP$13,P8='DADOS_INVOC'!$QV$13,P8='DADOS_INVOC'!$QW$13,P8='DADOS_INVOC'!$QX$13,P8='DADOS_INVOC'!$QY$13),O8,"")</f>
        <v/>
      </c>
      <c r="BK8">
        <f>IF(AND(Q8=1,OR(P8="",P8='DADOS_INVOC'!$EL$13,P8='DADOS_INVOC'!$EM$13,P8='DADOS_INVOC'!$EN$13,P8='DADOS_INVOC'!$EO$13,P8='DADOS_INVOC'!$EP$13,P8='DADOS_INVOC'!$QV$13,P8='DADOS_INVOC'!$QW$13,P8='DADOS_INVOC'!$QX$13,P8='DADOS_INVOC'!$QY$13)),O8,"")</f>
        <v/>
      </c>
      <c r="BM8">
        <f>IF('DADOS_CRIACAO'!$H$7="","",'DADOS_CRIACAO'!$H$7)</f>
        <v/>
      </c>
      <c r="BP8" t="inlineStr">
        <is>
          <t>Empurrão</t>
        </is>
      </c>
      <c r="BR8">
        <f>IF(OR(ISBLANK('CONFIGURAÇÃO'!$DA$91),'CONFIGURAÇÃO'!$DA$91=""),"Melhoria",'CONFIGURAÇÃO'!$DA$91)</f>
        <v/>
      </c>
      <c r="BU8" t="inlineStr">
        <is>
          <t>Surdo</t>
        </is>
      </c>
    </row>
    <row r="9">
      <c r="A9" t="n">
        <v>1089</v>
      </c>
      <c r="B9" t="n">
        <v>8</v>
      </c>
      <c r="C9" t="n">
        <v>8</v>
      </c>
      <c r="D9">
        <f>IF(ISBLANK('CONFIGURAÇÃO'!$DI$93),"",'CONFIGURAÇÃO'!$DI$93)</f>
        <v/>
      </c>
      <c r="E9">
        <f>IF(ISBLANK('CONFIGURAÇÃO'!$DL$94),"",'CONFIGURAÇÃO'!$DL$94)</f>
        <v/>
      </c>
      <c r="F9">
        <f>IF(ISBLANK('CONFIGURAÇÃO'!$DL$95),"",'CONFIGURAÇÃO'!$DL$95)</f>
        <v/>
      </c>
      <c r="G9">
        <f>IF(ISBLANK('CONFIGURAÇÃO'!$DL$96),"",'CONFIGURAÇÃO'!$DL$96)</f>
        <v/>
      </c>
      <c r="H9">
        <f>IF(ISBLANK('CONFIGURAÇÃO'!$DL$97),"",'CONFIGURAÇÃO'!$DL$97)</f>
        <v/>
      </c>
      <c r="I9">
        <f>IF(ISBLANK('CONFIGURAÇÃO'!$DI$100),"",'CONFIGURAÇÃO'!$DI$100)</f>
        <v/>
      </c>
      <c r="J9">
        <f>IF(ISBLANK('CONFIGURAÇÃO'!$DI$106),"",'CONFIGURAÇÃO'!$DI$106)</f>
        <v/>
      </c>
      <c r="K9">
        <f>IF(ISBLANK('CONFIGURAÇÃO'!$DM$91),"",'CONFIGURAÇÃO'!$DM$91)</f>
        <v/>
      </c>
      <c r="L9">
        <f>IF(OR(E9="",E9="Nenhuma"),0,IFERROR(MATCH(SUBSTITUTE(SUBSTITUTE(SUBSTITUTE(E9,"~","~~"),"*","~*"),"?","~?"),'DADOS_MELHORIAS'!$O$2:$O$83,0),-1))</f>
        <v/>
      </c>
      <c r="M9">
        <f>IF(D9="",IF(BR9&lt;&gt;"Melhoria","Preencha NOME",IF(D9="",IF(OR(I9&lt;&gt;"",J9&lt;&gt;"",F9&lt;&gt;"",G9&lt;&gt;"",H9&lt;&gt;"",K9=TRUE,AND(E9&lt;&gt;"",E9&lt;&gt;"Nenhuma")),"Preencha NOME",""),TEXTJOIN(" · ",TRUE,IF(OR(NOT(ISTEXT(D9)),TRIM(D9)&lt;&gt;D9),"NOME precisa ser texto sem espaços nas pontas",""),IF(COUNTIF($D$2:$D$31,SUBSTITUTE(SUBSTITUTE(SUBSTITUTE(D9,"~","~~"),"*","~*"),"?","~?"))+COUNTIF('DADOS_MELHORIAS'!$O$2:$O$83,SUBSTITUTE(SUBSTITUTE(SUBSTITUTE(D9,"~","~~"),"*","~*"),"?","~?"))&gt;1,"Nome repetido no livro ou custom",""),IF(L9&lt;0,"Escolha uma BASE DO LIVRO válida",""),IF(ISLOGICAL(K9),"","MESTRE VIU deve ser caixa de seleção"),IF(AND(G9="",L9&lt;=0),"Escolha PESO",""),IF(AND(G9&lt;&gt;"",COUNTIF('DADOS_MELHORIAS'!$BN$2:$BN$4,SUBSTITUTE(SUBSTITUTE(SUBSTITUTE(G9,"~","~~"),"*","~*"),"?","~?"))&lt;&gt;1),"Peso ou devolução inválido",""),IF(AND(H9&lt;&gt;"",H9&lt;&gt;"Sim",H9&lt;&gt;"Não"),"Escolha Sim ou Não",""),IF(AND(F9&lt;&gt;"",COUNTIF('DADOS_MELHORIAS'!$BM$2:$BM$21,SUBSTITUTE(SUBSTITUTE(SUBSTITUTE(F9,"~","~~"),"*","~*"),"?","~?"))&lt;&gt;1),"Família não cadastrada ou com erro","")))),TEXTJOIN(" · ",TRUE,IF(D9="",IF(OR(I9&lt;&gt;"",J9&lt;&gt;"",F9&lt;&gt;"",G9&lt;&gt;"",H9&lt;&gt;"",K9=TRUE,AND(E9&lt;&gt;"",E9&lt;&gt;"Nenhuma")),"Preencha NOME",""),TEXTJOIN(" · ",TRUE,IF(OR(NOT(ISTEXT(D9)),TRIM(D9)&lt;&gt;D9),"NOME precisa ser texto sem espaços nas pontas",""),IF(COUNTIF($D$2:$D$31,SUBSTITUTE(SUBSTITUTE(SUBSTITUTE(D9,"~","~~"),"*","~*"),"?","~?"))+COUNTIF('DADOS_MELHORIAS'!$O$2:$O$83,SUBSTITUTE(SUBSTITUTE(SUBSTITUTE(D9,"~","~~"),"*","~*"),"?","~?"))&gt;1,"Nome repetido no livro ou custom",""),IF(L9&lt;0,"Escolha uma BASE DO LIVRO válida",""),IF(ISLOGICAL(K9),"","MESTRE VIU deve ser caixa de seleção"),IF(AND(G9="",L9&lt;=0),"Escolha PESO",""),IF(AND(G9&lt;&gt;"",COUNTIF('DADOS_MELHORIAS'!$BN$2:$BN$4,SUBSTITUTE(SUBSTITUTE(SUBSTITUTE(G9,"~","~~"),"*","~*"),"?","~?"))&lt;&gt;1),"Peso ou devolução inválido",""),IF(AND(H9&lt;&gt;"",H9&lt;&gt;"Sim",H9&lt;&gt;"Não"),"Escolha Sim ou Não",""),IF(AND(F9&lt;&gt;"",COUNTIF('DADOS_MELHORIAS'!$BM$2:$BM$21,SUBSTITUTE(SUBSTITUTE(SUBSTITUTE(F9,"~","~~"),"*","~*"),"?","~?"))&lt;&gt;1),"Família não cadastrada ou com erro",""))),IF(AND(BR9&lt;&gt;"Melhoria",BR9&lt;&gt;"Condição"),"Modalidade inválida",""),IF(AND(BR9="Condição",E9&lt;&gt;"",E9&lt;&gt;"Nenhuma",COUNTIF('DADOS_MELHORIAS'!$BU$2:$BU$15,SUBSTITUTE(SUBSTITUTE(SUBSTITUTE(E9,"~","~~"),"*","~*"),"?","~?"))&lt;&gt;1),"Base de Condição inválida",""),IF(AND(BR9="Condição",H9&lt;&gt;"",H9&lt;&gt;"Sim"),"Condição exige TR","")))</f>
        <v/>
      </c>
      <c r="O9">
        <f>IF(ISBLANK(DADOS_AM!$BC$9),"",DADOS_AM!$BC$9)</f>
        <v/>
      </c>
      <c r="P9">
        <f>IF(ISBLANK(DADOS_AM!$BD$9),"",DADOS_AM!$BD$9)</f>
        <v/>
      </c>
      <c r="Q9">
        <f>IF(ISBLANK(DADOS_AM!$BE$9),"",DADOS_AM!$BE$9)</f>
        <v/>
      </c>
      <c r="R9">
        <f>IF(ISBLANK(DADOS_AM!$BF$9),"",DADOS_AM!$BF$9)</f>
        <v/>
      </c>
      <c r="S9">
        <f>IF(ISBLANK(DADOS_AM!$BG$9),"",DADOS_AM!$BG$9)</f>
        <v/>
      </c>
      <c r="T9">
        <f>IF(ISBLANK(DADOS_AM!$BH$9),"",DADOS_AM!$BH$9)</f>
        <v/>
      </c>
      <c r="U9">
        <f>IF(ISBLANK(DADOS_AM!$BI$9),"",DADOS_AM!$BI$9)</f>
        <v/>
      </c>
      <c r="V9">
        <f>IF(ISBLANK(DADOS_AM!$BJ$9),"",DADOS_AM!$BJ$9)</f>
        <v/>
      </c>
      <c r="W9">
        <f>IF(ISBLANK(DADOS_AM!$BK$9),"",DADOS_AM!$BK$9)</f>
        <v/>
      </c>
      <c r="X9" t="inlineStr">
        <is>
          <t>Muito Maior</t>
        </is>
      </c>
      <c r="Y9" t="n">
        <v>0</v>
      </c>
      <c r="AG9">
        <f>O9</f>
        <v/>
      </c>
      <c r="AH9">
        <f>P9</f>
        <v/>
      </c>
      <c r="AI9">
        <f>Q9</f>
        <v/>
      </c>
      <c r="AJ9">
        <f>T9</f>
        <v/>
      </c>
      <c r="AK9">
        <f>Y9</f>
        <v/>
      </c>
      <c r="AL9">
        <f>W9</f>
        <v/>
      </c>
      <c r="AN9">
        <f>IF(OR(P9="",P9='DADOS_INVOC'!$EL$2,P9='DADOS_INVOC'!$EM$2,P9='DADOS_INVOC'!$EN$2,P9='DADOS_INVOC'!$EO$2,P9='DADOS_INVOC'!$EP$2,P9='DADOS_INVOC'!$QV$2,P9='DADOS_INVOC'!$QW$2,P9='DADOS_INVOC'!$QX$2,P9='DADOS_INVOC'!$QY$2),O9,"")</f>
        <v/>
      </c>
      <c r="AO9">
        <f>IF(AND(Q9=1,OR(P9="",P9='DADOS_INVOC'!$EL$2,P9='DADOS_INVOC'!$EM$2,P9='DADOS_INVOC'!$EN$2,P9='DADOS_INVOC'!$EO$2,P9='DADOS_INVOC'!$EP$2,P9='DADOS_INVOC'!$QV$2,P9='DADOS_INVOC'!$QW$2,P9='DADOS_INVOC'!$QX$2,P9='DADOS_INVOC'!$QY$2)),O9,"")</f>
        <v/>
      </c>
      <c r="AP9">
        <f>IF(OR(P9="",P9='DADOS_INVOC'!$EL$3,P9='DADOS_INVOC'!$EM$3,P9='DADOS_INVOC'!$EN$3,P9='DADOS_INVOC'!$EO$3,P9='DADOS_INVOC'!$EP$3,P9='DADOS_INVOC'!$QV$3,P9='DADOS_INVOC'!$QW$3,P9='DADOS_INVOC'!$QX$3,P9='DADOS_INVOC'!$QY$3),O9,"")</f>
        <v/>
      </c>
      <c r="AQ9">
        <f>IF(AND(Q9=1,OR(P9="",P9='DADOS_INVOC'!$EL$3,P9='DADOS_INVOC'!$EM$3,P9='DADOS_INVOC'!$EN$3,P9='DADOS_INVOC'!$EO$3,P9='DADOS_INVOC'!$EP$3,P9='DADOS_INVOC'!$QV$3,P9='DADOS_INVOC'!$QW$3,P9='DADOS_INVOC'!$QX$3,P9='DADOS_INVOC'!$QY$3)),O9,"")</f>
        <v/>
      </c>
      <c r="AR9">
        <f>IF(OR(P9="",P9='DADOS_INVOC'!$EL$4,P9='DADOS_INVOC'!$EM$4,P9='DADOS_INVOC'!$EN$4,P9='DADOS_INVOC'!$EO$4,P9='DADOS_INVOC'!$EP$4,P9='DADOS_INVOC'!$QV$4,P9='DADOS_INVOC'!$QW$4,P9='DADOS_INVOC'!$QX$4,P9='DADOS_INVOC'!$QY$4),O9,"")</f>
        <v/>
      </c>
      <c r="AS9">
        <f>IF(AND(Q9=1,OR(P9="",P9='DADOS_INVOC'!$EL$4,P9='DADOS_INVOC'!$EM$4,P9='DADOS_INVOC'!$EN$4,P9='DADOS_INVOC'!$EO$4,P9='DADOS_INVOC'!$EP$4,P9='DADOS_INVOC'!$QV$4,P9='DADOS_INVOC'!$QW$4,P9='DADOS_INVOC'!$QX$4,P9='DADOS_INVOC'!$QY$4)),O9,"")</f>
        <v/>
      </c>
      <c r="AT9">
        <f>IF(OR(P9="",P9='DADOS_INVOC'!$EL$5,P9='DADOS_INVOC'!$EM$5,P9='DADOS_INVOC'!$EN$5,P9='DADOS_INVOC'!$EO$5,P9='DADOS_INVOC'!$EP$5,P9='DADOS_INVOC'!$QV$5,P9='DADOS_INVOC'!$QW$5,P9='DADOS_INVOC'!$QX$5,P9='DADOS_INVOC'!$QY$5),O9,"")</f>
        <v/>
      </c>
      <c r="AU9">
        <f>IF(AND(Q9=1,OR(P9="",P9='DADOS_INVOC'!$EL$5,P9='DADOS_INVOC'!$EM$5,P9='DADOS_INVOC'!$EN$5,P9='DADOS_INVOC'!$EO$5,P9='DADOS_INVOC'!$EP$5,P9='DADOS_INVOC'!$QV$5,P9='DADOS_INVOC'!$QW$5,P9='DADOS_INVOC'!$QX$5,P9='DADOS_INVOC'!$QY$5)),O9,"")</f>
        <v/>
      </c>
      <c r="AV9">
        <f>IF(OR(P9="",P9='DADOS_INVOC'!$EL$6,P9='DADOS_INVOC'!$EM$6,P9='DADOS_INVOC'!$EN$6,P9='DADOS_INVOC'!$EO$6,P9='DADOS_INVOC'!$EP$6,P9='DADOS_INVOC'!$QV$6,P9='DADOS_INVOC'!$QW$6,P9='DADOS_INVOC'!$QX$6,P9='DADOS_INVOC'!$QY$6),O9,"")</f>
        <v/>
      </c>
      <c r="AW9">
        <f>IF(AND(Q9=1,OR(P9="",P9='DADOS_INVOC'!$EL$6,P9='DADOS_INVOC'!$EM$6,P9='DADOS_INVOC'!$EN$6,P9='DADOS_INVOC'!$EO$6,P9='DADOS_INVOC'!$EP$6,P9='DADOS_INVOC'!$QV$6,P9='DADOS_INVOC'!$QW$6,P9='DADOS_INVOC'!$QX$6,P9='DADOS_INVOC'!$QY$6)),O9,"")</f>
        <v/>
      </c>
      <c r="AX9">
        <f>IF(OR(P9="",P9='DADOS_INVOC'!$EL$7,P9='DADOS_INVOC'!$EM$7,P9='DADOS_INVOC'!$EN$7,P9='DADOS_INVOC'!$EO$7,P9='DADOS_INVOC'!$EP$7,P9='DADOS_INVOC'!$QV$7,P9='DADOS_INVOC'!$QW$7,P9='DADOS_INVOC'!$QX$7,P9='DADOS_INVOC'!$QY$7),O9,"")</f>
        <v/>
      </c>
      <c r="AY9">
        <f>IF(AND(Q9=1,OR(P9="",P9='DADOS_INVOC'!$EL$7,P9='DADOS_INVOC'!$EM$7,P9='DADOS_INVOC'!$EN$7,P9='DADOS_INVOC'!$EO$7,P9='DADOS_INVOC'!$EP$7,P9='DADOS_INVOC'!$QV$7,P9='DADOS_INVOC'!$QW$7,P9='DADOS_INVOC'!$QX$7,P9='DADOS_INVOC'!$QY$7)),O9,"")</f>
        <v/>
      </c>
      <c r="AZ9">
        <f>IF(OR(P9="",P9='DADOS_INVOC'!$EL$8,P9='DADOS_INVOC'!$EM$8,P9='DADOS_INVOC'!$EN$8,P9='DADOS_INVOC'!$EO$8,P9='DADOS_INVOC'!$EP$8,P9='DADOS_INVOC'!$QV$8,P9='DADOS_INVOC'!$QW$8,P9='DADOS_INVOC'!$QX$8,P9='DADOS_INVOC'!$QY$8),O9,"")</f>
        <v/>
      </c>
      <c r="BA9">
        <f>IF(AND(Q9=1,OR(P9="",P9='DADOS_INVOC'!$EL$8,P9='DADOS_INVOC'!$EM$8,P9='DADOS_INVOC'!$EN$8,P9='DADOS_INVOC'!$EO$8,P9='DADOS_INVOC'!$EP$8,P9='DADOS_INVOC'!$QV$8,P9='DADOS_INVOC'!$QW$8,P9='DADOS_INVOC'!$QX$8,P9='DADOS_INVOC'!$QY$8)),O9,"")</f>
        <v/>
      </c>
      <c r="BB9">
        <f>IF(OR(P9="",P9='DADOS_INVOC'!$EL$9,P9='DADOS_INVOC'!$EM$9,P9='DADOS_INVOC'!$EN$9,P9='DADOS_INVOC'!$EO$9,P9='DADOS_INVOC'!$EP$9,P9='DADOS_INVOC'!$QV$9,P9='DADOS_INVOC'!$QW$9,P9='DADOS_INVOC'!$QX$9,P9='DADOS_INVOC'!$QY$9),O9,"")</f>
        <v/>
      </c>
      <c r="BC9">
        <f>IF(AND(Q9=1,OR(P9="",P9='DADOS_INVOC'!$EL$9,P9='DADOS_INVOC'!$EM$9,P9='DADOS_INVOC'!$EN$9,P9='DADOS_INVOC'!$EO$9,P9='DADOS_INVOC'!$EP$9,P9='DADOS_INVOC'!$QV$9,P9='DADOS_INVOC'!$QW$9,P9='DADOS_INVOC'!$QX$9,P9='DADOS_INVOC'!$QY$9)),O9,"")</f>
        <v/>
      </c>
      <c r="BD9">
        <f>IF(OR(P9="",P9='DADOS_INVOC'!$EL$10,P9='DADOS_INVOC'!$EM$10,P9='DADOS_INVOC'!$EN$10,P9='DADOS_INVOC'!$EO$10,P9='DADOS_INVOC'!$EP$10,P9='DADOS_INVOC'!$QV$10,P9='DADOS_INVOC'!$QW$10,P9='DADOS_INVOC'!$QX$10,P9='DADOS_INVOC'!$QY$10),O9,"")</f>
        <v/>
      </c>
      <c r="BE9">
        <f>IF(AND(Q9=1,OR(P9="",P9='DADOS_INVOC'!$EL$10,P9='DADOS_INVOC'!$EM$10,P9='DADOS_INVOC'!$EN$10,P9='DADOS_INVOC'!$EO$10,P9='DADOS_INVOC'!$EP$10,P9='DADOS_INVOC'!$QV$10,P9='DADOS_INVOC'!$QW$10,P9='DADOS_INVOC'!$QX$10,P9='DADOS_INVOC'!$QY$10)),O9,"")</f>
        <v/>
      </c>
      <c r="BF9">
        <f>IF(OR(P9="",P9='DADOS_INVOC'!$EL$11,P9='DADOS_INVOC'!$EM$11,P9='DADOS_INVOC'!$EN$11,P9='DADOS_INVOC'!$EO$11,P9='DADOS_INVOC'!$EP$11,P9='DADOS_INVOC'!$QV$11,P9='DADOS_INVOC'!$QW$11,P9='DADOS_INVOC'!$QX$11,P9='DADOS_INVOC'!$QY$11),O9,"")</f>
        <v/>
      </c>
      <c r="BG9">
        <f>IF(AND(Q9=1,OR(P9="",P9='DADOS_INVOC'!$EL$11,P9='DADOS_INVOC'!$EM$11,P9='DADOS_INVOC'!$EN$11,P9='DADOS_INVOC'!$EO$11,P9='DADOS_INVOC'!$EP$11,P9='DADOS_INVOC'!$QV$11,P9='DADOS_INVOC'!$QW$11,P9='DADOS_INVOC'!$QX$11,P9='DADOS_INVOC'!$QY$11)),O9,"")</f>
        <v/>
      </c>
      <c r="BH9">
        <f>IF(OR(P9="",P9='DADOS_INVOC'!$EL$12,P9='DADOS_INVOC'!$EM$12,P9='DADOS_INVOC'!$EN$12,P9='DADOS_INVOC'!$EO$12,P9='DADOS_INVOC'!$EP$12,P9='DADOS_INVOC'!$QV$12,P9='DADOS_INVOC'!$QW$12,P9='DADOS_INVOC'!$QX$12,P9='DADOS_INVOC'!$QY$12),O9,"")</f>
        <v/>
      </c>
      <c r="BI9">
        <f>IF(AND(Q9=1,OR(P9="",P9='DADOS_INVOC'!$EL$12,P9='DADOS_INVOC'!$EM$12,P9='DADOS_INVOC'!$EN$12,P9='DADOS_INVOC'!$EO$12,P9='DADOS_INVOC'!$EP$12,P9='DADOS_INVOC'!$QV$12,P9='DADOS_INVOC'!$QW$12,P9='DADOS_INVOC'!$QX$12,P9='DADOS_INVOC'!$QY$12)),O9,"")</f>
        <v/>
      </c>
      <c r="BJ9">
        <f>IF(OR(P9="",P9='DADOS_INVOC'!$EL$13,P9='DADOS_INVOC'!$EM$13,P9='DADOS_INVOC'!$EN$13,P9='DADOS_INVOC'!$EO$13,P9='DADOS_INVOC'!$EP$13,P9='DADOS_INVOC'!$QV$13,P9='DADOS_INVOC'!$QW$13,P9='DADOS_INVOC'!$QX$13,P9='DADOS_INVOC'!$QY$13),O9,"")</f>
        <v/>
      </c>
      <c r="BK9">
        <f>IF(AND(Q9=1,OR(P9="",P9='DADOS_INVOC'!$EL$13,P9='DADOS_INVOC'!$EM$13,P9='DADOS_INVOC'!$EN$13,P9='DADOS_INVOC'!$EO$13,P9='DADOS_INVOC'!$EP$13,P9='DADOS_INVOC'!$QV$13,P9='DADOS_INVOC'!$QW$13,P9='DADOS_INVOC'!$QX$13,P9='DADOS_INVOC'!$QY$13)),O9,"")</f>
        <v/>
      </c>
      <c r="BM9">
        <f>IF('DADOS_CRIACAO'!$H$8="","",'DADOS_CRIACAO'!$H$8)</f>
        <v/>
      </c>
      <c r="BP9" t="inlineStr">
        <is>
          <t>Maior</t>
        </is>
      </c>
      <c r="BR9">
        <f>IF(OR(ISBLANK('CONFIGURAÇÃO'!$DI$91),'CONFIGURAÇÃO'!$DI$91=""),"Melhoria",'CONFIGURAÇÃO'!$DI$91)</f>
        <v/>
      </c>
      <c r="BU9" t="inlineStr">
        <is>
          <t>Calado</t>
        </is>
      </c>
    </row>
    <row r="10">
      <c r="A10" t="n">
        <v>1115</v>
      </c>
      <c r="B10" t="n">
        <v>0</v>
      </c>
      <c r="C10" t="n">
        <v>9</v>
      </c>
      <c r="D10">
        <f>IF(ISBLANK('CONFIGURAÇÃO'!$DA$119),"",'CONFIGURAÇÃO'!$DA$119)</f>
        <v/>
      </c>
      <c r="E10">
        <f>IF(ISBLANK('CONFIGURAÇÃO'!$DD$120),"",'CONFIGURAÇÃO'!$DD$120)</f>
        <v/>
      </c>
      <c r="F10">
        <f>IF(ISBLANK('CONFIGURAÇÃO'!$DD$121),"",'CONFIGURAÇÃO'!$DD$121)</f>
        <v/>
      </c>
      <c r="G10">
        <f>IF(ISBLANK('CONFIGURAÇÃO'!$DD$122),"",'CONFIGURAÇÃO'!$DD$122)</f>
        <v/>
      </c>
      <c r="H10">
        <f>IF(ISBLANK('CONFIGURAÇÃO'!$DD$123),"",'CONFIGURAÇÃO'!$DD$123)</f>
        <v/>
      </c>
      <c r="I10">
        <f>IF(ISBLANK('CONFIGURAÇÃO'!$DA$126),"",'CONFIGURAÇÃO'!$DA$126)</f>
        <v/>
      </c>
      <c r="J10">
        <f>IF(ISBLANK('CONFIGURAÇÃO'!$DA$132),"",'CONFIGURAÇÃO'!$DA$132)</f>
        <v/>
      </c>
      <c r="K10">
        <f>IF(ISBLANK('CONFIGURAÇÃO'!$DE$117),"",'CONFIGURAÇÃO'!$DE$117)</f>
        <v/>
      </c>
      <c r="L10">
        <f>IF(OR(E10="",E10="Nenhuma"),0,IFERROR(MATCH(SUBSTITUTE(SUBSTITUTE(SUBSTITUTE(E10,"~","~~"),"*","~*"),"?","~?"),'DADOS_MELHORIAS'!$O$2:$O$83,0),-1))</f>
        <v/>
      </c>
      <c r="M10">
        <f>IF(D10="",IF(BR10&lt;&gt;"Melhoria","Preencha NOME",IF(D10="",IF(OR(I10&lt;&gt;"",J10&lt;&gt;"",F10&lt;&gt;"",G10&lt;&gt;"",H10&lt;&gt;"",K10=TRUE,AND(E10&lt;&gt;"",E10&lt;&gt;"Nenhuma")),"Preencha NOME",""),TEXTJOIN(" · ",TRUE,IF(OR(NOT(ISTEXT(D10)),TRIM(D10)&lt;&gt;D10),"NOME precisa ser texto sem espaços nas pontas",""),IF(COUNTIF($D$2:$D$31,SUBSTITUTE(SUBSTITUTE(SUBSTITUTE(D10,"~","~~"),"*","~*"),"?","~?"))+COUNTIF('DADOS_MELHORIAS'!$O$2:$O$83,SUBSTITUTE(SUBSTITUTE(SUBSTITUTE(D10,"~","~~"),"*","~*"),"?","~?"))&gt;1,"Nome repetido no livro ou custom",""),IF(L10&lt;0,"Escolha uma BASE DO LIVRO válida",""),IF(ISLOGICAL(K10),"","MESTRE VIU deve ser caixa de seleção"),IF(AND(G10="",L10&lt;=0),"Escolha PESO",""),IF(AND(G10&lt;&gt;"",COUNTIF('DADOS_MELHORIAS'!$BN$2:$BN$4,SUBSTITUTE(SUBSTITUTE(SUBSTITUTE(G10,"~","~~"),"*","~*"),"?","~?"))&lt;&gt;1),"Peso ou devolução inválido",""),IF(AND(H10&lt;&gt;"",H10&lt;&gt;"Sim",H10&lt;&gt;"Não"),"Escolha Sim ou Não",""),IF(AND(F10&lt;&gt;"",COUNTIF('DADOS_MELHORIAS'!$BM$2:$BM$21,SUBSTITUTE(SUBSTITUTE(SUBSTITUTE(F10,"~","~~"),"*","~*"),"?","~?"))&lt;&gt;1),"Família não cadastrada ou com erro","")))),TEXTJOIN(" · ",TRUE,IF(D10="",IF(OR(I10&lt;&gt;"",J10&lt;&gt;"",F10&lt;&gt;"",G10&lt;&gt;"",H10&lt;&gt;"",K10=TRUE,AND(E10&lt;&gt;"",E10&lt;&gt;"Nenhuma")),"Preencha NOME",""),TEXTJOIN(" · ",TRUE,IF(OR(NOT(ISTEXT(D10)),TRIM(D10)&lt;&gt;D10),"NOME precisa ser texto sem espaços nas pontas",""),IF(COUNTIF($D$2:$D$31,SUBSTITUTE(SUBSTITUTE(SUBSTITUTE(D10,"~","~~"),"*","~*"),"?","~?"))+COUNTIF('DADOS_MELHORIAS'!$O$2:$O$83,SUBSTITUTE(SUBSTITUTE(SUBSTITUTE(D10,"~","~~"),"*","~*"),"?","~?"))&gt;1,"Nome repetido no livro ou custom",""),IF(L10&lt;0,"Escolha uma BASE DO LIVRO válida",""),IF(ISLOGICAL(K10),"","MESTRE VIU deve ser caixa de seleção"),IF(AND(G10="",L10&lt;=0),"Escolha PESO",""),IF(AND(G10&lt;&gt;"",COUNTIF('DADOS_MELHORIAS'!$BN$2:$BN$4,SUBSTITUTE(SUBSTITUTE(SUBSTITUTE(G10,"~","~~"),"*","~*"),"?","~?"))&lt;&gt;1),"Peso ou devolução inválido",""),IF(AND(H10&lt;&gt;"",H10&lt;&gt;"Sim",H10&lt;&gt;"Não"),"Escolha Sim ou Não",""),IF(AND(F10&lt;&gt;"",COUNTIF('DADOS_MELHORIAS'!$BM$2:$BM$21,SUBSTITUTE(SUBSTITUTE(SUBSTITUTE(F10,"~","~~"),"*","~*"),"?","~?"))&lt;&gt;1),"Família não cadastrada ou com erro",""))),IF(AND(BR10&lt;&gt;"Melhoria",BR10&lt;&gt;"Condição"),"Modalidade inválida",""),IF(AND(BR10="Condição",E10&lt;&gt;"",E10&lt;&gt;"Nenhuma",COUNTIF('DADOS_MELHORIAS'!$BU$2:$BU$15,SUBSTITUTE(SUBSTITUTE(SUBSTITUTE(E10,"~","~~"),"*","~*"),"?","~?"))&lt;&gt;1),"Base de Condição inválida",""),IF(AND(BR10="Condição",H10&lt;&gt;"",H10&lt;&gt;"Sim"),"Condição exige TR","")))</f>
        <v/>
      </c>
      <c r="O10">
        <f>IF(ISBLANK(DADOS_AM!$BC$10),"",DADOS_AM!$BC$10)</f>
        <v/>
      </c>
      <c r="P10">
        <f>IF(ISBLANK(DADOS_AM!$BD$10),"",DADOS_AM!$BD$10)</f>
        <v/>
      </c>
      <c r="Q10">
        <f>IF(ISBLANK(DADOS_AM!$BE$10),"",DADOS_AM!$BE$10)</f>
        <v/>
      </c>
      <c r="R10">
        <f>IF(ISBLANK(DADOS_AM!$BF$10),"",DADOS_AM!$BF$10)</f>
        <v/>
      </c>
      <c r="S10">
        <f>IF(ISBLANK(DADOS_AM!$BG$10),"",DADOS_AM!$BG$10)</f>
        <v/>
      </c>
      <c r="T10">
        <f>IF(ISBLANK(DADOS_AM!$BH$10),"",DADOS_AM!$BH$10)</f>
        <v/>
      </c>
      <c r="U10">
        <f>IF(ISBLANK(DADOS_AM!$BI$10),"",DADOS_AM!$BI$10)</f>
        <v/>
      </c>
      <c r="V10">
        <f>IF(ISBLANK(DADOS_AM!$BJ$10),"",DADOS_AM!$BJ$10)</f>
        <v/>
      </c>
      <c r="W10">
        <f>IF(ISBLANK(DADOS_AM!$BK$10),"",DADOS_AM!$BK$10)</f>
        <v/>
      </c>
      <c r="X10" t="inlineStr">
        <is>
          <t>Escolher</t>
        </is>
      </c>
      <c r="Y10" t="n">
        <v>0</v>
      </c>
      <c r="AG10">
        <f>O10</f>
        <v/>
      </c>
      <c r="AH10">
        <f>P10</f>
        <v/>
      </c>
      <c r="AI10">
        <f>Q10</f>
        <v/>
      </c>
      <c r="AJ10">
        <f>T10</f>
        <v/>
      </c>
      <c r="AK10">
        <f>Y10</f>
        <v/>
      </c>
      <c r="AL10">
        <f>W10</f>
        <v/>
      </c>
      <c r="AN10">
        <f>IF(OR(P10="",P10='DADOS_INVOC'!$EL$2,P10='DADOS_INVOC'!$EM$2,P10='DADOS_INVOC'!$EN$2,P10='DADOS_INVOC'!$EO$2,P10='DADOS_INVOC'!$EP$2,P10='DADOS_INVOC'!$QV$2,P10='DADOS_INVOC'!$QW$2,P10='DADOS_INVOC'!$QX$2,P10='DADOS_INVOC'!$QY$2),O10,"")</f>
        <v/>
      </c>
      <c r="AO10">
        <f>IF(AND(Q10=1,OR(P10="",P10='DADOS_INVOC'!$EL$2,P10='DADOS_INVOC'!$EM$2,P10='DADOS_INVOC'!$EN$2,P10='DADOS_INVOC'!$EO$2,P10='DADOS_INVOC'!$EP$2,P10='DADOS_INVOC'!$QV$2,P10='DADOS_INVOC'!$QW$2,P10='DADOS_INVOC'!$QX$2,P10='DADOS_INVOC'!$QY$2)),O10,"")</f>
        <v/>
      </c>
      <c r="AP10">
        <f>IF(OR(P10="",P10='DADOS_INVOC'!$EL$3,P10='DADOS_INVOC'!$EM$3,P10='DADOS_INVOC'!$EN$3,P10='DADOS_INVOC'!$EO$3,P10='DADOS_INVOC'!$EP$3,P10='DADOS_INVOC'!$QV$3,P10='DADOS_INVOC'!$QW$3,P10='DADOS_INVOC'!$QX$3,P10='DADOS_INVOC'!$QY$3),O10,"")</f>
        <v/>
      </c>
      <c r="AQ10">
        <f>IF(AND(Q10=1,OR(P10="",P10='DADOS_INVOC'!$EL$3,P10='DADOS_INVOC'!$EM$3,P10='DADOS_INVOC'!$EN$3,P10='DADOS_INVOC'!$EO$3,P10='DADOS_INVOC'!$EP$3,P10='DADOS_INVOC'!$QV$3,P10='DADOS_INVOC'!$QW$3,P10='DADOS_INVOC'!$QX$3,P10='DADOS_INVOC'!$QY$3)),O10,"")</f>
        <v/>
      </c>
      <c r="AR10">
        <f>IF(OR(P10="",P10='DADOS_INVOC'!$EL$4,P10='DADOS_INVOC'!$EM$4,P10='DADOS_INVOC'!$EN$4,P10='DADOS_INVOC'!$EO$4,P10='DADOS_INVOC'!$EP$4,P10='DADOS_INVOC'!$QV$4,P10='DADOS_INVOC'!$QW$4,P10='DADOS_INVOC'!$QX$4,P10='DADOS_INVOC'!$QY$4),O10,"")</f>
        <v/>
      </c>
      <c r="AS10">
        <f>IF(AND(Q10=1,OR(P10="",P10='DADOS_INVOC'!$EL$4,P10='DADOS_INVOC'!$EM$4,P10='DADOS_INVOC'!$EN$4,P10='DADOS_INVOC'!$EO$4,P10='DADOS_INVOC'!$EP$4,P10='DADOS_INVOC'!$QV$4,P10='DADOS_INVOC'!$QW$4,P10='DADOS_INVOC'!$QX$4,P10='DADOS_INVOC'!$QY$4)),O10,"")</f>
        <v/>
      </c>
      <c r="AT10">
        <f>IF(OR(P10="",P10='DADOS_INVOC'!$EL$5,P10='DADOS_INVOC'!$EM$5,P10='DADOS_INVOC'!$EN$5,P10='DADOS_INVOC'!$EO$5,P10='DADOS_INVOC'!$EP$5,P10='DADOS_INVOC'!$QV$5,P10='DADOS_INVOC'!$QW$5,P10='DADOS_INVOC'!$QX$5,P10='DADOS_INVOC'!$QY$5),O10,"")</f>
        <v/>
      </c>
      <c r="AU10">
        <f>IF(AND(Q10=1,OR(P10="",P10='DADOS_INVOC'!$EL$5,P10='DADOS_INVOC'!$EM$5,P10='DADOS_INVOC'!$EN$5,P10='DADOS_INVOC'!$EO$5,P10='DADOS_INVOC'!$EP$5,P10='DADOS_INVOC'!$QV$5,P10='DADOS_INVOC'!$QW$5,P10='DADOS_INVOC'!$QX$5,P10='DADOS_INVOC'!$QY$5)),O10,"")</f>
        <v/>
      </c>
      <c r="AV10">
        <f>IF(OR(P10="",P10='DADOS_INVOC'!$EL$6,P10='DADOS_INVOC'!$EM$6,P10='DADOS_INVOC'!$EN$6,P10='DADOS_INVOC'!$EO$6,P10='DADOS_INVOC'!$EP$6,P10='DADOS_INVOC'!$QV$6,P10='DADOS_INVOC'!$QW$6,P10='DADOS_INVOC'!$QX$6,P10='DADOS_INVOC'!$QY$6),O10,"")</f>
        <v/>
      </c>
      <c r="AW10">
        <f>IF(AND(Q10=1,OR(P10="",P10='DADOS_INVOC'!$EL$6,P10='DADOS_INVOC'!$EM$6,P10='DADOS_INVOC'!$EN$6,P10='DADOS_INVOC'!$EO$6,P10='DADOS_INVOC'!$EP$6,P10='DADOS_INVOC'!$QV$6,P10='DADOS_INVOC'!$QW$6,P10='DADOS_INVOC'!$QX$6,P10='DADOS_INVOC'!$QY$6)),O10,"")</f>
        <v/>
      </c>
      <c r="AX10">
        <f>IF(OR(P10="",P10='DADOS_INVOC'!$EL$7,P10='DADOS_INVOC'!$EM$7,P10='DADOS_INVOC'!$EN$7,P10='DADOS_INVOC'!$EO$7,P10='DADOS_INVOC'!$EP$7,P10='DADOS_INVOC'!$QV$7,P10='DADOS_INVOC'!$QW$7,P10='DADOS_INVOC'!$QX$7,P10='DADOS_INVOC'!$QY$7),O10,"")</f>
        <v/>
      </c>
      <c r="AY10">
        <f>IF(AND(Q10=1,OR(P10="",P10='DADOS_INVOC'!$EL$7,P10='DADOS_INVOC'!$EM$7,P10='DADOS_INVOC'!$EN$7,P10='DADOS_INVOC'!$EO$7,P10='DADOS_INVOC'!$EP$7,P10='DADOS_INVOC'!$QV$7,P10='DADOS_INVOC'!$QW$7,P10='DADOS_INVOC'!$QX$7,P10='DADOS_INVOC'!$QY$7)),O10,"")</f>
        <v/>
      </c>
      <c r="AZ10">
        <f>IF(OR(P10="",P10='DADOS_INVOC'!$EL$8,P10='DADOS_INVOC'!$EM$8,P10='DADOS_INVOC'!$EN$8,P10='DADOS_INVOC'!$EO$8,P10='DADOS_INVOC'!$EP$8,P10='DADOS_INVOC'!$QV$8,P10='DADOS_INVOC'!$QW$8,P10='DADOS_INVOC'!$QX$8,P10='DADOS_INVOC'!$QY$8),O10,"")</f>
        <v/>
      </c>
      <c r="BA10">
        <f>IF(AND(Q10=1,OR(P10="",P10='DADOS_INVOC'!$EL$8,P10='DADOS_INVOC'!$EM$8,P10='DADOS_INVOC'!$EN$8,P10='DADOS_INVOC'!$EO$8,P10='DADOS_INVOC'!$EP$8,P10='DADOS_INVOC'!$QV$8,P10='DADOS_INVOC'!$QW$8,P10='DADOS_INVOC'!$QX$8,P10='DADOS_INVOC'!$QY$8)),O10,"")</f>
        <v/>
      </c>
      <c r="BB10">
        <f>IF(OR(P10="",P10='DADOS_INVOC'!$EL$9,P10='DADOS_INVOC'!$EM$9,P10='DADOS_INVOC'!$EN$9,P10='DADOS_INVOC'!$EO$9,P10='DADOS_INVOC'!$EP$9,P10='DADOS_INVOC'!$QV$9,P10='DADOS_INVOC'!$QW$9,P10='DADOS_INVOC'!$QX$9,P10='DADOS_INVOC'!$QY$9),O10,"")</f>
        <v/>
      </c>
      <c r="BC10">
        <f>IF(AND(Q10=1,OR(P10="",P10='DADOS_INVOC'!$EL$9,P10='DADOS_INVOC'!$EM$9,P10='DADOS_INVOC'!$EN$9,P10='DADOS_INVOC'!$EO$9,P10='DADOS_INVOC'!$EP$9,P10='DADOS_INVOC'!$QV$9,P10='DADOS_INVOC'!$QW$9,P10='DADOS_INVOC'!$QX$9,P10='DADOS_INVOC'!$QY$9)),O10,"")</f>
        <v/>
      </c>
      <c r="BD10">
        <f>IF(OR(P10="",P10='DADOS_INVOC'!$EL$10,P10='DADOS_INVOC'!$EM$10,P10='DADOS_INVOC'!$EN$10,P10='DADOS_INVOC'!$EO$10,P10='DADOS_INVOC'!$EP$10,P10='DADOS_INVOC'!$QV$10,P10='DADOS_INVOC'!$QW$10,P10='DADOS_INVOC'!$QX$10,P10='DADOS_INVOC'!$QY$10),O10,"")</f>
        <v/>
      </c>
      <c r="BE10">
        <f>IF(AND(Q10=1,OR(P10="",P10='DADOS_INVOC'!$EL$10,P10='DADOS_INVOC'!$EM$10,P10='DADOS_INVOC'!$EN$10,P10='DADOS_INVOC'!$EO$10,P10='DADOS_INVOC'!$EP$10,P10='DADOS_INVOC'!$QV$10,P10='DADOS_INVOC'!$QW$10,P10='DADOS_INVOC'!$QX$10,P10='DADOS_INVOC'!$QY$10)),O10,"")</f>
        <v/>
      </c>
      <c r="BF10">
        <f>IF(OR(P10="",P10='DADOS_INVOC'!$EL$11,P10='DADOS_INVOC'!$EM$11,P10='DADOS_INVOC'!$EN$11,P10='DADOS_INVOC'!$EO$11,P10='DADOS_INVOC'!$EP$11,P10='DADOS_INVOC'!$QV$11,P10='DADOS_INVOC'!$QW$11,P10='DADOS_INVOC'!$QX$11,P10='DADOS_INVOC'!$QY$11),O10,"")</f>
        <v/>
      </c>
      <c r="BG10">
        <f>IF(AND(Q10=1,OR(P10="",P10='DADOS_INVOC'!$EL$11,P10='DADOS_INVOC'!$EM$11,P10='DADOS_INVOC'!$EN$11,P10='DADOS_INVOC'!$EO$11,P10='DADOS_INVOC'!$EP$11,P10='DADOS_INVOC'!$QV$11,P10='DADOS_INVOC'!$QW$11,P10='DADOS_INVOC'!$QX$11,P10='DADOS_INVOC'!$QY$11)),O10,"")</f>
        <v/>
      </c>
      <c r="BH10">
        <f>IF(OR(P10="",P10='DADOS_INVOC'!$EL$12,P10='DADOS_INVOC'!$EM$12,P10='DADOS_INVOC'!$EN$12,P10='DADOS_INVOC'!$EO$12,P10='DADOS_INVOC'!$EP$12,P10='DADOS_INVOC'!$QV$12,P10='DADOS_INVOC'!$QW$12,P10='DADOS_INVOC'!$QX$12,P10='DADOS_INVOC'!$QY$12),O10,"")</f>
        <v/>
      </c>
      <c r="BI10">
        <f>IF(AND(Q10=1,OR(P10="",P10='DADOS_INVOC'!$EL$12,P10='DADOS_INVOC'!$EM$12,P10='DADOS_INVOC'!$EN$12,P10='DADOS_INVOC'!$EO$12,P10='DADOS_INVOC'!$EP$12,P10='DADOS_INVOC'!$QV$12,P10='DADOS_INVOC'!$QW$12,P10='DADOS_INVOC'!$QX$12,P10='DADOS_INVOC'!$QY$12)),O10,"")</f>
        <v/>
      </c>
      <c r="BJ10">
        <f>IF(OR(P10="",P10='DADOS_INVOC'!$EL$13,P10='DADOS_INVOC'!$EM$13,P10='DADOS_INVOC'!$EN$13,P10='DADOS_INVOC'!$EO$13,P10='DADOS_INVOC'!$EP$13,P10='DADOS_INVOC'!$QV$13,P10='DADOS_INVOC'!$QW$13,P10='DADOS_INVOC'!$QX$13,P10='DADOS_INVOC'!$QY$13),O10,"")</f>
        <v/>
      </c>
      <c r="BK10">
        <f>IF(AND(Q10=1,OR(P10="",P10='DADOS_INVOC'!$EL$13,P10='DADOS_INVOC'!$EM$13,P10='DADOS_INVOC'!$EN$13,P10='DADOS_INVOC'!$EO$13,P10='DADOS_INVOC'!$EP$13,P10='DADOS_INVOC'!$QV$13,P10='DADOS_INVOC'!$QW$13,P10='DADOS_INVOC'!$QX$13,P10='DADOS_INVOC'!$QY$13)),O10,"")</f>
        <v/>
      </c>
      <c r="BM10">
        <f>IF('DADOS_CRIACAO'!$H$9="","",'DADOS_CRIACAO'!$H$9)</f>
        <v/>
      </c>
      <c r="BP10" t="inlineStr">
        <is>
          <t>Muito Maior</t>
        </is>
      </c>
      <c r="BR10">
        <f>IF(OR(ISBLANK('CONFIGURAÇÃO'!$DA$117),'CONFIGURAÇÃO'!$DA$117=""),"Melhoria",'CONFIGURAÇÃO'!$DA$117)</f>
        <v/>
      </c>
      <c r="BU10" t="inlineStr">
        <is>
          <t>Enfeitiçado</t>
        </is>
      </c>
    </row>
    <row r="11">
      <c r="A11" t="n">
        <v>1115</v>
      </c>
      <c r="B11" t="n">
        <v>8</v>
      </c>
      <c r="C11" t="n">
        <v>10</v>
      </c>
      <c r="D11">
        <f>IF(ISBLANK('CONFIGURAÇÃO'!$DI$119),"",'CONFIGURAÇÃO'!$DI$119)</f>
        <v/>
      </c>
      <c r="E11">
        <f>IF(ISBLANK('CONFIGURAÇÃO'!$DL$120),"",'CONFIGURAÇÃO'!$DL$120)</f>
        <v/>
      </c>
      <c r="F11">
        <f>IF(ISBLANK('CONFIGURAÇÃO'!$DL$121),"",'CONFIGURAÇÃO'!$DL$121)</f>
        <v/>
      </c>
      <c r="G11">
        <f>IF(ISBLANK('CONFIGURAÇÃO'!$DL$122),"",'CONFIGURAÇÃO'!$DL$122)</f>
        <v/>
      </c>
      <c r="H11">
        <f>IF(ISBLANK('CONFIGURAÇÃO'!$DL$123),"",'CONFIGURAÇÃO'!$DL$123)</f>
        <v/>
      </c>
      <c r="I11">
        <f>IF(ISBLANK('CONFIGURAÇÃO'!$DI$126),"",'CONFIGURAÇÃO'!$DI$126)</f>
        <v/>
      </c>
      <c r="J11">
        <f>IF(ISBLANK('CONFIGURAÇÃO'!$DI$132),"",'CONFIGURAÇÃO'!$DI$132)</f>
        <v/>
      </c>
      <c r="K11">
        <f>IF(ISBLANK('CONFIGURAÇÃO'!$DM$117),"",'CONFIGURAÇÃO'!$DM$117)</f>
        <v/>
      </c>
      <c r="L11">
        <f>IF(OR(E11="",E11="Nenhuma"),0,IFERROR(MATCH(SUBSTITUTE(SUBSTITUTE(SUBSTITUTE(E11,"~","~~"),"*","~*"),"?","~?"),'DADOS_MELHORIAS'!$O$2:$O$83,0),-1))</f>
        <v/>
      </c>
      <c r="M11">
        <f>IF(D11="",IF(BR11&lt;&gt;"Melhoria","Preencha NOME",IF(D11="",IF(OR(I11&lt;&gt;"",J11&lt;&gt;"",F11&lt;&gt;"",G11&lt;&gt;"",H11&lt;&gt;"",K11=TRUE,AND(E11&lt;&gt;"",E11&lt;&gt;"Nenhuma")),"Preencha NOME",""),TEXTJOIN(" · ",TRUE,IF(OR(NOT(ISTEXT(D11)),TRIM(D11)&lt;&gt;D11),"NOME precisa ser texto sem espaços nas pontas",""),IF(COUNTIF($D$2:$D$31,SUBSTITUTE(SUBSTITUTE(SUBSTITUTE(D11,"~","~~"),"*","~*"),"?","~?"))+COUNTIF('DADOS_MELHORIAS'!$O$2:$O$83,SUBSTITUTE(SUBSTITUTE(SUBSTITUTE(D11,"~","~~"),"*","~*"),"?","~?"))&gt;1,"Nome repetido no livro ou custom",""),IF(L11&lt;0,"Escolha uma BASE DO LIVRO válida",""),IF(ISLOGICAL(K11),"","MESTRE VIU deve ser caixa de seleção"),IF(AND(G11="",L11&lt;=0),"Escolha PESO",""),IF(AND(G11&lt;&gt;"",COUNTIF('DADOS_MELHORIAS'!$BN$2:$BN$4,SUBSTITUTE(SUBSTITUTE(SUBSTITUTE(G11,"~","~~"),"*","~*"),"?","~?"))&lt;&gt;1),"Peso ou devolução inválido",""),IF(AND(H11&lt;&gt;"",H11&lt;&gt;"Sim",H11&lt;&gt;"Não"),"Escolha Sim ou Não",""),IF(AND(F11&lt;&gt;"",COUNTIF('DADOS_MELHORIAS'!$BM$2:$BM$21,SUBSTITUTE(SUBSTITUTE(SUBSTITUTE(F11,"~","~~"),"*","~*"),"?","~?"))&lt;&gt;1),"Família não cadastrada ou com erro","")))),TEXTJOIN(" · ",TRUE,IF(D11="",IF(OR(I11&lt;&gt;"",J11&lt;&gt;"",F11&lt;&gt;"",G11&lt;&gt;"",H11&lt;&gt;"",K11=TRUE,AND(E11&lt;&gt;"",E11&lt;&gt;"Nenhuma")),"Preencha NOME",""),TEXTJOIN(" · ",TRUE,IF(OR(NOT(ISTEXT(D11)),TRIM(D11)&lt;&gt;D11),"NOME precisa ser texto sem espaços nas pontas",""),IF(COUNTIF($D$2:$D$31,SUBSTITUTE(SUBSTITUTE(SUBSTITUTE(D11,"~","~~"),"*","~*"),"?","~?"))+COUNTIF('DADOS_MELHORIAS'!$O$2:$O$83,SUBSTITUTE(SUBSTITUTE(SUBSTITUTE(D11,"~","~~"),"*","~*"),"?","~?"))&gt;1,"Nome repetido no livro ou custom",""),IF(L11&lt;0,"Escolha uma BASE DO LIVRO válida",""),IF(ISLOGICAL(K11),"","MESTRE VIU deve ser caixa de seleção"),IF(AND(G11="",L11&lt;=0),"Escolha PESO",""),IF(AND(G11&lt;&gt;"",COUNTIF('DADOS_MELHORIAS'!$BN$2:$BN$4,SUBSTITUTE(SUBSTITUTE(SUBSTITUTE(G11,"~","~~"),"*","~*"),"?","~?"))&lt;&gt;1),"Peso ou devolução inválido",""),IF(AND(H11&lt;&gt;"",H11&lt;&gt;"Sim",H11&lt;&gt;"Não"),"Escolha Sim ou Não",""),IF(AND(F11&lt;&gt;"",COUNTIF('DADOS_MELHORIAS'!$BM$2:$BM$21,SUBSTITUTE(SUBSTITUTE(SUBSTITUTE(F11,"~","~~"),"*","~*"),"?","~?"))&lt;&gt;1),"Família não cadastrada ou com erro",""))),IF(AND(BR11&lt;&gt;"Melhoria",BR11&lt;&gt;"Condição"),"Modalidade inválida",""),IF(AND(BR11="Condição",E11&lt;&gt;"",E11&lt;&gt;"Nenhuma",COUNTIF('DADOS_MELHORIAS'!$BU$2:$BU$15,SUBSTITUTE(SUBSTITUTE(SUBSTITUTE(E11,"~","~~"),"*","~*"),"?","~?"))&lt;&gt;1),"Base de Condição inválida",""),IF(AND(BR11="Condição",H11&lt;&gt;"",H11&lt;&gt;"Sim"),"Condição exige TR","")))</f>
        <v/>
      </c>
      <c r="O11">
        <f>IF(ISBLANK(DADOS_AM!$BC$11),"",DADOS_AM!$BC$11)</f>
        <v/>
      </c>
      <c r="P11">
        <f>IF(ISBLANK(DADOS_AM!$BD$11),"",DADOS_AM!$BD$11)</f>
        <v/>
      </c>
      <c r="Q11">
        <f>IF(ISBLANK(DADOS_AM!$BE$11),"",DADOS_AM!$BE$11)</f>
        <v/>
      </c>
      <c r="R11">
        <f>IF(ISBLANK(DADOS_AM!$BF$11),"",DADOS_AM!$BF$11)</f>
        <v/>
      </c>
      <c r="S11">
        <f>IF(ISBLANK(DADOS_AM!$BG$11),"",DADOS_AM!$BG$11)</f>
        <v/>
      </c>
      <c r="T11">
        <f>IF(ISBLANK(DADOS_AM!$BH$11),"",DADOS_AM!$BH$11)</f>
        <v/>
      </c>
      <c r="U11">
        <f>IF(ISBLANK(DADOS_AM!$BI$11),"",DADOS_AM!$BI$11)</f>
        <v/>
      </c>
      <c r="V11">
        <f>IF(ISBLANK(DADOS_AM!$BJ$11),"",DADOS_AM!$BJ$11)</f>
        <v/>
      </c>
      <c r="W11">
        <f>IF(ISBLANK(DADOS_AM!$BK$11),"",DADOS_AM!$BK$11)</f>
        <v/>
      </c>
      <c r="X11" t="inlineStr">
        <is>
          <t>Mais Um</t>
        </is>
      </c>
      <c r="Y11" t="n">
        <v>0</v>
      </c>
      <c r="AG11">
        <f>O11</f>
        <v/>
      </c>
      <c r="AH11">
        <f>P11</f>
        <v/>
      </c>
      <c r="AI11">
        <f>Q11</f>
        <v/>
      </c>
      <c r="AJ11">
        <f>T11</f>
        <v/>
      </c>
      <c r="AK11">
        <f>Y11</f>
        <v/>
      </c>
      <c r="AL11">
        <f>W11</f>
        <v/>
      </c>
      <c r="AN11">
        <f>IF(OR(P11="",P11='DADOS_INVOC'!$EL$2,P11='DADOS_INVOC'!$EM$2,P11='DADOS_INVOC'!$EN$2,P11='DADOS_INVOC'!$EO$2,P11='DADOS_INVOC'!$EP$2,P11='DADOS_INVOC'!$QV$2,P11='DADOS_INVOC'!$QW$2,P11='DADOS_INVOC'!$QX$2,P11='DADOS_INVOC'!$QY$2),O11,"")</f>
        <v/>
      </c>
      <c r="AO11">
        <f>IF(AND(Q11=1,OR(P11="",P11='DADOS_INVOC'!$EL$2,P11='DADOS_INVOC'!$EM$2,P11='DADOS_INVOC'!$EN$2,P11='DADOS_INVOC'!$EO$2,P11='DADOS_INVOC'!$EP$2,P11='DADOS_INVOC'!$QV$2,P11='DADOS_INVOC'!$QW$2,P11='DADOS_INVOC'!$QX$2,P11='DADOS_INVOC'!$QY$2)),O11,"")</f>
        <v/>
      </c>
      <c r="AP11">
        <f>IF(OR(P11="",P11='DADOS_INVOC'!$EL$3,P11='DADOS_INVOC'!$EM$3,P11='DADOS_INVOC'!$EN$3,P11='DADOS_INVOC'!$EO$3,P11='DADOS_INVOC'!$EP$3,P11='DADOS_INVOC'!$QV$3,P11='DADOS_INVOC'!$QW$3,P11='DADOS_INVOC'!$QX$3,P11='DADOS_INVOC'!$QY$3),O11,"")</f>
        <v/>
      </c>
      <c r="AQ11">
        <f>IF(AND(Q11=1,OR(P11="",P11='DADOS_INVOC'!$EL$3,P11='DADOS_INVOC'!$EM$3,P11='DADOS_INVOC'!$EN$3,P11='DADOS_INVOC'!$EO$3,P11='DADOS_INVOC'!$EP$3,P11='DADOS_INVOC'!$QV$3,P11='DADOS_INVOC'!$QW$3,P11='DADOS_INVOC'!$QX$3,P11='DADOS_INVOC'!$QY$3)),O11,"")</f>
        <v/>
      </c>
      <c r="AR11">
        <f>IF(OR(P11="",P11='DADOS_INVOC'!$EL$4,P11='DADOS_INVOC'!$EM$4,P11='DADOS_INVOC'!$EN$4,P11='DADOS_INVOC'!$EO$4,P11='DADOS_INVOC'!$EP$4,P11='DADOS_INVOC'!$QV$4,P11='DADOS_INVOC'!$QW$4,P11='DADOS_INVOC'!$QX$4,P11='DADOS_INVOC'!$QY$4),O11,"")</f>
        <v/>
      </c>
      <c r="AS11">
        <f>IF(AND(Q11=1,OR(P11="",P11='DADOS_INVOC'!$EL$4,P11='DADOS_INVOC'!$EM$4,P11='DADOS_INVOC'!$EN$4,P11='DADOS_INVOC'!$EO$4,P11='DADOS_INVOC'!$EP$4,P11='DADOS_INVOC'!$QV$4,P11='DADOS_INVOC'!$QW$4,P11='DADOS_INVOC'!$QX$4,P11='DADOS_INVOC'!$QY$4)),O11,"")</f>
        <v/>
      </c>
      <c r="AT11">
        <f>IF(OR(P11="",P11='DADOS_INVOC'!$EL$5,P11='DADOS_INVOC'!$EM$5,P11='DADOS_INVOC'!$EN$5,P11='DADOS_INVOC'!$EO$5,P11='DADOS_INVOC'!$EP$5,P11='DADOS_INVOC'!$QV$5,P11='DADOS_INVOC'!$QW$5,P11='DADOS_INVOC'!$QX$5,P11='DADOS_INVOC'!$QY$5),O11,"")</f>
        <v/>
      </c>
      <c r="AU11">
        <f>IF(AND(Q11=1,OR(P11="",P11='DADOS_INVOC'!$EL$5,P11='DADOS_INVOC'!$EM$5,P11='DADOS_INVOC'!$EN$5,P11='DADOS_INVOC'!$EO$5,P11='DADOS_INVOC'!$EP$5,P11='DADOS_INVOC'!$QV$5,P11='DADOS_INVOC'!$QW$5,P11='DADOS_INVOC'!$QX$5,P11='DADOS_INVOC'!$QY$5)),O11,"")</f>
        <v/>
      </c>
      <c r="AV11">
        <f>IF(OR(P11="",P11='DADOS_INVOC'!$EL$6,P11='DADOS_INVOC'!$EM$6,P11='DADOS_INVOC'!$EN$6,P11='DADOS_INVOC'!$EO$6,P11='DADOS_INVOC'!$EP$6,P11='DADOS_INVOC'!$QV$6,P11='DADOS_INVOC'!$QW$6,P11='DADOS_INVOC'!$QX$6,P11='DADOS_INVOC'!$QY$6),O11,"")</f>
        <v/>
      </c>
      <c r="AW11">
        <f>IF(AND(Q11=1,OR(P11="",P11='DADOS_INVOC'!$EL$6,P11='DADOS_INVOC'!$EM$6,P11='DADOS_INVOC'!$EN$6,P11='DADOS_INVOC'!$EO$6,P11='DADOS_INVOC'!$EP$6,P11='DADOS_INVOC'!$QV$6,P11='DADOS_INVOC'!$QW$6,P11='DADOS_INVOC'!$QX$6,P11='DADOS_INVOC'!$QY$6)),O11,"")</f>
        <v/>
      </c>
      <c r="AX11">
        <f>IF(OR(P11="",P11='DADOS_INVOC'!$EL$7,P11='DADOS_INVOC'!$EM$7,P11='DADOS_INVOC'!$EN$7,P11='DADOS_INVOC'!$EO$7,P11='DADOS_INVOC'!$EP$7,P11='DADOS_INVOC'!$QV$7,P11='DADOS_INVOC'!$QW$7,P11='DADOS_INVOC'!$QX$7,P11='DADOS_INVOC'!$QY$7),O11,"")</f>
        <v/>
      </c>
      <c r="AY11">
        <f>IF(AND(Q11=1,OR(P11="",P11='DADOS_INVOC'!$EL$7,P11='DADOS_INVOC'!$EM$7,P11='DADOS_INVOC'!$EN$7,P11='DADOS_INVOC'!$EO$7,P11='DADOS_INVOC'!$EP$7,P11='DADOS_INVOC'!$QV$7,P11='DADOS_INVOC'!$QW$7,P11='DADOS_INVOC'!$QX$7,P11='DADOS_INVOC'!$QY$7)),O11,"")</f>
        <v/>
      </c>
      <c r="AZ11">
        <f>IF(OR(P11="",P11='DADOS_INVOC'!$EL$8,P11='DADOS_INVOC'!$EM$8,P11='DADOS_INVOC'!$EN$8,P11='DADOS_INVOC'!$EO$8,P11='DADOS_INVOC'!$EP$8,P11='DADOS_INVOC'!$QV$8,P11='DADOS_INVOC'!$QW$8,P11='DADOS_INVOC'!$QX$8,P11='DADOS_INVOC'!$QY$8),O11,"")</f>
        <v/>
      </c>
      <c r="BA11">
        <f>IF(AND(Q11=1,OR(P11="",P11='DADOS_INVOC'!$EL$8,P11='DADOS_INVOC'!$EM$8,P11='DADOS_INVOC'!$EN$8,P11='DADOS_INVOC'!$EO$8,P11='DADOS_INVOC'!$EP$8,P11='DADOS_INVOC'!$QV$8,P11='DADOS_INVOC'!$QW$8,P11='DADOS_INVOC'!$QX$8,P11='DADOS_INVOC'!$QY$8)),O11,"")</f>
        <v/>
      </c>
      <c r="BB11">
        <f>IF(OR(P11="",P11='DADOS_INVOC'!$EL$9,P11='DADOS_INVOC'!$EM$9,P11='DADOS_INVOC'!$EN$9,P11='DADOS_INVOC'!$EO$9,P11='DADOS_INVOC'!$EP$9,P11='DADOS_INVOC'!$QV$9,P11='DADOS_INVOC'!$QW$9,P11='DADOS_INVOC'!$QX$9,P11='DADOS_INVOC'!$QY$9),O11,"")</f>
        <v/>
      </c>
      <c r="BC11">
        <f>IF(AND(Q11=1,OR(P11="",P11='DADOS_INVOC'!$EL$9,P11='DADOS_INVOC'!$EM$9,P11='DADOS_INVOC'!$EN$9,P11='DADOS_INVOC'!$EO$9,P11='DADOS_INVOC'!$EP$9,P11='DADOS_INVOC'!$QV$9,P11='DADOS_INVOC'!$QW$9,P11='DADOS_INVOC'!$QX$9,P11='DADOS_INVOC'!$QY$9)),O11,"")</f>
        <v/>
      </c>
      <c r="BD11">
        <f>IF(OR(P11="",P11='DADOS_INVOC'!$EL$10,P11='DADOS_INVOC'!$EM$10,P11='DADOS_INVOC'!$EN$10,P11='DADOS_INVOC'!$EO$10,P11='DADOS_INVOC'!$EP$10,P11='DADOS_INVOC'!$QV$10,P11='DADOS_INVOC'!$QW$10,P11='DADOS_INVOC'!$QX$10,P11='DADOS_INVOC'!$QY$10),O11,"")</f>
        <v/>
      </c>
      <c r="BE11">
        <f>IF(AND(Q11=1,OR(P11="",P11='DADOS_INVOC'!$EL$10,P11='DADOS_INVOC'!$EM$10,P11='DADOS_INVOC'!$EN$10,P11='DADOS_INVOC'!$EO$10,P11='DADOS_INVOC'!$EP$10,P11='DADOS_INVOC'!$QV$10,P11='DADOS_INVOC'!$QW$10,P11='DADOS_INVOC'!$QX$10,P11='DADOS_INVOC'!$QY$10)),O11,"")</f>
        <v/>
      </c>
      <c r="BF11">
        <f>IF(OR(P11="",P11='DADOS_INVOC'!$EL$11,P11='DADOS_INVOC'!$EM$11,P11='DADOS_INVOC'!$EN$11,P11='DADOS_INVOC'!$EO$11,P11='DADOS_INVOC'!$EP$11,P11='DADOS_INVOC'!$QV$11,P11='DADOS_INVOC'!$QW$11,P11='DADOS_INVOC'!$QX$11,P11='DADOS_INVOC'!$QY$11),O11,"")</f>
        <v/>
      </c>
      <c r="BG11">
        <f>IF(AND(Q11=1,OR(P11="",P11='DADOS_INVOC'!$EL$11,P11='DADOS_INVOC'!$EM$11,P11='DADOS_INVOC'!$EN$11,P11='DADOS_INVOC'!$EO$11,P11='DADOS_INVOC'!$EP$11,P11='DADOS_INVOC'!$QV$11,P11='DADOS_INVOC'!$QW$11,P11='DADOS_INVOC'!$QX$11,P11='DADOS_INVOC'!$QY$11)),O11,"")</f>
        <v/>
      </c>
      <c r="BH11">
        <f>IF(OR(P11="",P11='DADOS_INVOC'!$EL$12,P11='DADOS_INVOC'!$EM$12,P11='DADOS_INVOC'!$EN$12,P11='DADOS_INVOC'!$EO$12,P11='DADOS_INVOC'!$EP$12,P11='DADOS_INVOC'!$QV$12,P11='DADOS_INVOC'!$QW$12,P11='DADOS_INVOC'!$QX$12,P11='DADOS_INVOC'!$QY$12),O11,"")</f>
        <v/>
      </c>
      <c r="BI11">
        <f>IF(AND(Q11=1,OR(P11="",P11='DADOS_INVOC'!$EL$12,P11='DADOS_INVOC'!$EM$12,P11='DADOS_INVOC'!$EN$12,P11='DADOS_INVOC'!$EO$12,P11='DADOS_INVOC'!$EP$12,P11='DADOS_INVOC'!$QV$12,P11='DADOS_INVOC'!$QW$12,P11='DADOS_INVOC'!$QX$12,P11='DADOS_INVOC'!$QY$12)),O11,"")</f>
        <v/>
      </c>
      <c r="BJ11">
        <f>IF(OR(P11="",P11='DADOS_INVOC'!$EL$13,P11='DADOS_INVOC'!$EM$13,P11='DADOS_INVOC'!$EN$13,P11='DADOS_INVOC'!$EO$13,P11='DADOS_INVOC'!$EP$13,P11='DADOS_INVOC'!$QV$13,P11='DADOS_INVOC'!$QW$13,P11='DADOS_INVOC'!$QX$13,P11='DADOS_INVOC'!$QY$13),O11,"")</f>
        <v/>
      </c>
      <c r="BK11">
        <f>IF(AND(Q11=1,OR(P11="",P11='DADOS_INVOC'!$EL$13,P11='DADOS_INVOC'!$EM$13,P11='DADOS_INVOC'!$EN$13,P11='DADOS_INVOC'!$EO$13,P11='DADOS_INVOC'!$EP$13,P11='DADOS_INVOC'!$QV$13,P11='DADOS_INVOC'!$QW$13,P11='DADOS_INVOC'!$QX$13,P11='DADOS_INVOC'!$QY$13)),O11,"")</f>
        <v/>
      </c>
      <c r="BM11">
        <f>IF('DADOS_CRIACAO'!$H$10="","",'DADOS_CRIACAO'!$H$10)</f>
        <v/>
      </c>
      <c r="BP11" t="inlineStr">
        <is>
          <t>Escolher</t>
        </is>
      </c>
      <c r="BR11">
        <f>IF(OR(ISBLANK('CONFIGURAÇÃO'!$DI$117),'CONFIGURAÇÃO'!$DI$117=""),"Melhoria",'CONFIGURAÇÃO'!$DI$117)</f>
        <v/>
      </c>
      <c r="BU11" t="inlineStr">
        <is>
          <t>Impedido</t>
        </is>
      </c>
    </row>
    <row r="12">
      <c r="A12" t="n">
        <v>1141</v>
      </c>
      <c r="B12" t="n">
        <v>0</v>
      </c>
      <c r="C12" t="n">
        <v>11</v>
      </c>
      <c r="D12">
        <f>IF(ISBLANK('CONFIGURAÇÃO'!$DA$145),"",'CONFIGURAÇÃO'!$DA$145)</f>
        <v/>
      </c>
      <c r="E12">
        <f>IF(ISBLANK('CONFIGURAÇÃO'!$DD$146),"",'CONFIGURAÇÃO'!$DD$146)</f>
        <v/>
      </c>
      <c r="F12">
        <f>IF(ISBLANK('CONFIGURAÇÃO'!$DD$147),"",'CONFIGURAÇÃO'!$DD$147)</f>
        <v/>
      </c>
      <c r="G12">
        <f>IF(ISBLANK('CONFIGURAÇÃO'!$DD$148),"",'CONFIGURAÇÃO'!$DD$148)</f>
        <v/>
      </c>
      <c r="H12">
        <f>IF(ISBLANK('CONFIGURAÇÃO'!$DD$149),"",'CONFIGURAÇÃO'!$DD$149)</f>
        <v/>
      </c>
      <c r="I12">
        <f>IF(ISBLANK('CONFIGURAÇÃO'!$DA$152),"",'CONFIGURAÇÃO'!$DA$152)</f>
        <v/>
      </c>
      <c r="J12">
        <f>IF(ISBLANK('CONFIGURAÇÃO'!$DA$158),"",'CONFIGURAÇÃO'!$DA$158)</f>
        <v/>
      </c>
      <c r="K12">
        <f>IF(ISBLANK('CONFIGURAÇÃO'!$DE$143),"",'CONFIGURAÇÃO'!$DE$143)</f>
        <v/>
      </c>
      <c r="L12">
        <f>IF(OR(E12="",E12="Nenhuma"),0,IFERROR(MATCH(SUBSTITUTE(SUBSTITUTE(SUBSTITUTE(E12,"~","~~"),"*","~*"),"?","~?"),'DADOS_MELHORIAS'!$O$2:$O$83,0),-1))</f>
        <v/>
      </c>
      <c r="M12">
        <f>IF(D12="",IF(BR12&lt;&gt;"Melhoria","Preencha NOME",IF(D12="",IF(OR(I12&lt;&gt;"",J12&lt;&gt;"",F12&lt;&gt;"",G12&lt;&gt;"",H12&lt;&gt;"",K12=TRUE,AND(E12&lt;&gt;"",E12&lt;&gt;"Nenhuma")),"Preencha NOME",""),TEXTJOIN(" · ",TRUE,IF(OR(NOT(ISTEXT(D12)),TRIM(D12)&lt;&gt;D12),"NOME precisa ser texto sem espaços nas pontas",""),IF(COUNTIF($D$2:$D$31,SUBSTITUTE(SUBSTITUTE(SUBSTITUTE(D12,"~","~~"),"*","~*"),"?","~?"))+COUNTIF('DADOS_MELHORIAS'!$O$2:$O$83,SUBSTITUTE(SUBSTITUTE(SUBSTITUTE(D12,"~","~~"),"*","~*"),"?","~?"))&gt;1,"Nome repetido no livro ou custom",""),IF(L12&lt;0,"Escolha uma BASE DO LIVRO válida",""),IF(ISLOGICAL(K12),"","MESTRE VIU deve ser caixa de seleção"),IF(AND(G12="",L12&lt;=0),"Escolha PESO",""),IF(AND(G12&lt;&gt;"",COUNTIF('DADOS_MELHORIAS'!$BN$2:$BN$4,SUBSTITUTE(SUBSTITUTE(SUBSTITUTE(G12,"~","~~"),"*","~*"),"?","~?"))&lt;&gt;1),"Peso ou devolução inválido",""),IF(AND(H12&lt;&gt;"",H12&lt;&gt;"Sim",H12&lt;&gt;"Não"),"Escolha Sim ou Não",""),IF(AND(F12&lt;&gt;"",COUNTIF('DADOS_MELHORIAS'!$BM$2:$BM$21,SUBSTITUTE(SUBSTITUTE(SUBSTITUTE(F12,"~","~~"),"*","~*"),"?","~?"))&lt;&gt;1),"Família não cadastrada ou com erro","")))),TEXTJOIN(" · ",TRUE,IF(D12="",IF(OR(I12&lt;&gt;"",J12&lt;&gt;"",F12&lt;&gt;"",G12&lt;&gt;"",H12&lt;&gt;"",K12=TRUE,AND(E12&lt;&gt;"",E12&lt;&gt;"Nenhuma")),"Preencha NOME",""),TEXTJOIN(" · ",TRUE,IF(OR(NOT(ISTEXT(D12)),TRIM(D12)&lt;&gt;D12),"NOME precisa ser texto sem espaços nas pontas",""),IF(COUNTIF($D$2:$D$31,SUBSTITUTE(SUBSTITUTE(SUBSTITUTE(D12,"~","~~"),"*","~*"),"?","~?"))+COUNTIF('DADOS_MELHORIAS'!$O$2:$O$83,SUBSTITUTE(SUBSTITUTE(SUBSTITUTE(D12,"~","~~"),"*","~*"),"?","~?"))&gt;1,"Nome repetido no livro ou custom",""),IF(L12&lt;0,"Escolha uma BASE DO LIVRO válida",""),IF(ISLOGICAL(K12),"","MESTRE VIU deve ser caixa de seleção"),IF(AND(G12="",L12&lt;=0),"Escolha PESO",""),IF(AND(G12&lt;&gt;"",COUNTIF('DADOS_MELHORIAS'!$BN$2:$BN$4,SUBSTITUTE(SUBSTITUTE(SUBSTITUTE(G12,"~","~~"),"*","~*"),"?","~?"))&lt;&gt;1),"Peso ou devolução inválido",""),IF(AND(H12&lt;&gt;"",H12&lt;&gt;"Sim",H12&lt;&gt;"Não"),"Escolha Sim ou Não",""),IF(AND(F12&lt;&gt;"",COUNTIF('DADOS_MELHORIAS'!$BM$2:$BM$21,SUBSTITUTE(SUBSTITUTE(SUBSTITUTE(F12,"~","~~"),"*","~*"),"?","~?"))&lt;&gt;1),"Família não cadastrada ou com erro",""))),IF(AND(BR12&lt;&gt;"Melhoria",BR12&lt;&gt;"Condição"),"Modalidade inválida",""),IF(AND(BR12="Condição",E12&lt;&gt;"",E12&lt;&gt;"Nenhuma",COUNTIF('DADOS_MELHORIAS'!$BU$2:$BU$15,SUBSTITUTE(SUBSTITUTE(SUBSTITUTE(E12,"~","~~"),"*","~*"),"?","~?"))&lt;&gt;1),"Base de Condição inválida",""),IF(AND(BR12="Condição",H12&lt;&gt;"",H12&lt;&gt;"Sim"),"Condição exige TR","")))</f>
        <v/>
      </c>
      <c r="O12">
        <f>IF(ISBLANK(DADOS_AM!$BC$12),"",DADOS_AM!$BC$12)</f>
        <v/>
      </c>
      <c r="P12">
        <f>IF(ISBLANK(DADOS_AM!$BD$12),"",DADOS_AM!$BD$12)</f>
        <v/>
      </c>
      <c r="Q12">
        <f>IF(ISBLANK(DADOS_AM!$BE$12),"",DADOS_AM!$BE$12)</f>
        <v/>
      </c>
      <c r="R12">
        <f>IF(ISBLANK(DADOS_AM!$BF$12),"",DADOS_AM!$BF$12)</f>
        <v/>
      </c>
      <c r="S12">
        <f>IF(ISBLANK(DADOS_AM!$BG$12),"",DADOS_AM!$BG$12)</f>
        <v/>
      </c>
      <c r="T12">
        <f>IF(ISBLANK(DADOS_AM!$BH$12),"",DADOS_AM!$BH$12)</f>
        <v/>
      </c>
      <c r="U12">
        <f>IF(ISBLANK(DADOS_AM!$BI$12),"",DADOS_AM!$BI$12)</f>
        <v/>
      </c>
      <c r="V12">
        <f>IF(ISBLANK(DADOS_AM!$BJ$12),"",DADOS_AM!$BJ$12)</f>
        <v/>
      </c>
      <c r="W12">
        <f>IF(ISBLANK(DADOS_AM!$BK$12),"",DADOS_AM!$BK$12)</f>
        <v/>
      </c>
      <c r="X12" t="inlineStr">
        <is>
          <t>Rajada</t>
        </is>
      </c>
      <c r="Y12" t="n">
        <v>1</v>
      </c>
      <c r="AG12">
        <f>O12</f>
        <v/>
      </c>
      <c r="AH12">
        <f>P12</f>
        <v/>
      </c>
      <c r="AI12">
        <f>Q12</f>
        <v/>
      </c>
      <c r="AJ12">
        <f>T12</f>
        <v/>
      </c>
      <c r="AK12">
        <f>Y12</f>
        <v/>
      </c>
      <c r="AL12">
        <f>W12</f>
        <v/>
      </c>
      <c r="AN12">
        <f>IF(OR(P12="",P12='DADOS_INVOC'!$EL$2,P12='DADOS_INVOC'!$EM$2,P12='DADOS_INVOC'!$EN$2,P12='DADOS_INVOC'!$EO$2,P12='DADOS_INVOC'!$EP$2,P12='DADOS_INVOC'!$QV$2,P12='DADOS_INVOC'!$QW$2,P12='DADOS_INVOC'!$QX$2,P12='DADOS_INVOC'!$QY$2),O12,"")</f>
        <v/>
      </c>
      <c r="AO12">
        <f>IF(AND(Q12=1,OR(P12="",P12='DADOS_INVOC'!$EL$2,P12='DADOS_INVOC'!$EM$2,P12='DADOS_INVOC'!$EN$2,P12='DADOS_INVOC'!$EO$2,P12='DADOS_INVOC'!$EP$2,P12='DADOS_INVOC'!$QV$2,P12='DADOS_INVOC'!$QW$2,P12='DADOS_INVOC'!$QX$2,P12='DADOS_INVOC'!$QY$2)),O12,"")</f>
        <v/>
      </c>
      <c r="AP12">
        <f>IF(OR(P12="",P12='DADOS_INVOC'!$EL$3,P12='DADOS_INVOC'!$EM$3,P12='DADOS_INVOC'!$EN$3,P12='DADOS_INVOC'!$EO$3,P12='DADOS_INVOC'!$EP$3,P12='DADOS_INVOC'!$QV$3,P12='DADOS_INVOC'!$QW$3,P12='DADOS_INVOC'!$QX$3,P12='DADOS_INVOC'!$QY$3),O12,"")</f>
        <v/>
      </c>
      <c r="AQ12">
        <f>IF(AND(Q12=1,OR(P12="",P12='DADOS_INVOC'!$EL$3,P12='DADOS_INVOC'!$EM$3,P12='DADOS_INVOC'!$EN$3,P12='DADOS_INVOC'!$EO$3,P12='DADOS_INVOC'!$EP$3,P12='DADOS_INVOC'!$QV$3,P12='DADOS_INVOC'!$QW$3,P12='DADOS_INVOC'!$QX$3,P12='DADOS_INVOC'!$QY$3)),O12,"")</f>
        <v/>
      </c>
      <c r="AR12">
        <f>IF(OR(P12="",P12='DADOS_INVOC'!$EL$4,P12='DADOS_INVOC'!$EM$4,P12='DADOS_INVOC'!$EN$4,P12='DADOS_INVOC'!$EO$4,P12='DADOS_INVOC'!$EP$4,P12='DADOS_INVOC'!$QV$4,P12='DADOS_INVOC'!$QW$4,P12='DADOS_INVOC'!$QX$4,P12='DADOS_INVOC'!$QY$4),O12,"")</f>
        <v/>
      </c>
      <c r="AS12">
        <f>IF(AND(Q12=1,OR(P12="",P12='DADOS_INVOC'!$EL$4,P12='DADOS_INVOC'!$EM$4,P12='DADOS_INVOC'!$EN$4,P12='DADOS_INVOC'!$EO$4,P12='DADOS_INVOC'!$EP$4,P12='DADOS_INVOC'!$QV$4,P12='DADOS_INVOC'!$QW$4,P12='DADOS_INVOC'!$QX$4,P12='DADOS_INVOC'!$QY$4)),O12,"")</f>
        <v/>
      </c>
      <c r="AT12">
        <f>IF(OR(P12="",P12='DADOS_INVOC'!$EL$5,P12='DADOS_INVOC'!$EM$5,P12='DADOS_INVOC'!$EN$5,P12='DADOS_INVOC'!$EO$5,P12='DADOS_INVOC'!$EP$5,P12='DADOS_INVOC'!$QV$5,P12='DADOS_INVOC'!$QW$5,P12='DADOS_INVOC'!$QX$5,P12='DADOS_INVOC'!$QY$5),O12,"")</f>
        <v/>
      </c>
      <c r="AU12">
        <f>IF(AND(Q12=1,OR(P12="",P12='DADOS_INVOC'!$EL$5,P12='DADOS_INVOC'!$EM$5,P12='DADOS_INVOC'!$EN$5,P12='DADOS_INVOC'!$EO$5,P12='DADOS_INVOC'!$EP$5,P12='DADOS_INVOC'!$QV$5,P12='DADOS_INVOC'!$QW$5,P12='DADOS_INVOC'!$QX$5,P12='DADOS_INVOC'!$QY$5)),O12,"")</f>
        <v/>
      </c>
      <c r="AV12">
        <f>IF(OR(P12="",P12='DADOS_INVOC'!$EL$6,P12='DADOS_INVOC'!$EM$6,P12='DADOS_INVOC'!$EN$6,P12='DADOS_INVOC'!$EO$6,P12='DADOS_INVOC'!$EP$6,P12='DADOS_INVOC'!$QV$6,P12='DADOS_INVOC'!$QW$6,P12='DADOS_INVOC'!$QX$6,P12='DADOS_INVOC'!$QY$6),O12,"")</f>
        <v/>
      </c>
      <c r="AW12">
        <f>IF(AND(Q12=1,OR(P12="",P12='DADOS_INVOC'!$EL$6,P12='DADOS_INVOC'!$EM$6,P12='DADOS_INVOC'!$EN$6,P12='DADOS_INVOC'!$EO$6,P12='DADOS_INVOC'!$EP$6,P12='DADOS_INVOC'!$QV$6,P12='DADOS_INVOC'!$QW$6,P12='DADOS_INVOC'!$QX$6,P12='DADOS_INVOC'!$QY$6)),O12,"")</f>
        <v/>
      </c>
      <c r="AX12">
        <f>IF(OR(P12="",P12='DADOS_INVOC'!$EL$7,P12='DADOS_INVOC'!$EM$7,P12='DADOS_INVOC'!$EN$7,P12='DADOS_INVOC'!$EO$7,P12='DADOS_INVOC'!$EP$7,P12='DADOS_INVOC'!$QV$7,P12='DADOS_INVOC'!$QW$7,P12='DADOS_INVOC'!$QX$7,P12='DADOS_INVOC'!$QY$7),O12,"")</f>
        <v/>
      </c>
      <c r="AY12">
        <f>IF(AND(Q12=1,OR(P12="",P12='DADOS_INVOC'!$EL$7,P12='DADOS_INVOC'!$EM$7,P12='DADOS_INVOC'!$EN$7,P12='DADOS_INVOC'!$EO$7,P12='DADOS_INVOC'!$EP$7,P12='DADOS_INVOC'!$QV$7,P12='DADOS_INVOC'!$QW$7,P12='DADOS_INVOC'!$QX$7,P12='DADOS_INVOC'!$QY$7)),O12,"")</f>
        <v/>
      </c>
      <c r="AZ12">
        <f>IF(OR(P12="",P12='DADOS_INVOC'!$EL$8,P12='DADOS_INVOC'!$EM$8,P12='DADOS_INVOC'!$EN$8,P12='DADOS_INVOC'!$EO$8,P12='DADOS_INVOC'!$EP$8,P12='DADOS_INVOC'!$QV$8,P12='DADOS_INVOC'!$QW$8,P12='DADOS_INVOC'!$QX$8,P12='DADOS_INVOC'!$QY$8),O12,"")</f>
        <v/>
      </c>
      <c r="BA12">
        <f>IF(AND(Q12=1,OR(P12="",P12='DADOS_INVOC'!$EL$8,P12='DADOS_INVOC'!$EM$8,P12='DADOS_INVOC'!$EN$8,P12='DADOS_INVOC'!$EO$8,P12='DADOS_INVOC'!$EP$8,P12='DADOS_INVOC'!$QV$8,P12='DADOS_INVOC'!$QW$8,P12='DADOS_INVOC'!$QX$8,P12='DADOS_INVOC'!$QY$8)),O12,"")</f>
        <v/>
      </c>
      <c r="BB12">
        <f>IF(OR(P12="",P12='DADOS_INVOC'!$EL$9,P12='DADOS_INVOC'!$EM$9,P12='DADOS_INVOC'!$EN$9,P12='DADOS_INVOC'!$EO$9,P12='DADOS_INVOC'!$EP$9,P12='DADOS_INVOC'!$QV$9,P12='DADOS_INVOC'!$QW$9,P12='DADOS_INVOC'!$QX$9,P12='DADOS_INVOC'!$QY$9),O12,"")</f>
        <v/>
      </c>
      <c r="BC12">
        <f>IF(AND(Q12=1,OR(P12="",P12='DADOS_INVOC'!$EL$9,P12='DADOS_INVOC'!$EM$9,P12='DADOS_INVOC'!$EN$9,P12='DADOS_INVOC'!$EO$9,P12='DADOS_INVOC'!$EP$9,P12='DADOS_INVOC'!$QV$9,P12='DADOS_INVOC'!$QW$9,P12='DADOS_INVOC'!$QX$9,P12='DADOS_INVOC'!$QY$9)),O12,"")</f>
        <v/>
      </c>
      <c r="BD12">
        <f>IF(OR(P12="",P12='DADOS_INVOC'!$EL$10,P12='DADOS_INVOC'!$EM$10,P12='DADOS_INVOC'!$EN$10,P12='DADOS_INVOC'!$EO$10,P12='DADOS_INVOC'!$EP$10,P12='DADOS_INVOC'!$QV$10,P12='DADOS_INVOC'!$QW$10,P12='DADOS_INVOC'!$QX$10,P12='DADOS_INVOC'!$QY$10),O12,"")</f>
        <v/>
      </c>
      <c r="BE12">
        <f>IF(AND(Q12=1,OR(P12="",P12='DADOS_INVOC'!$EL$10,P12='DADOS_INVOC'!$EM$10,P12='DADOS_INVOC'!$EN$10,P12='DADOS_INVOC'!$EO$10,P12='DADOS_INVOC'!$EP$10,P12='DADOS_INVOC'!$QV$10,P12='DADOS_INVOC'!$QW$10,P12='DADOS_INVOC'!$QX$10,P12='DADOS_INVOC'!$QY$10)),O12,"")</f>
        <v/>
      </c>
      <c r="BF12">
        <f>IF(OR(P12="",P12='DADOS_INVOC'!$EL$11,P12='DADOS_INVOC'!$EM$11,P12='DADOS_INVOC'!$EN$11,P12='DADOS_INVOC'!$EO$11,P12='DADOS_INVOC'!$EP$11,P12='DADOS_INVOC'!$QV$11,P12='DADOS_INVOC'!$QW$11,P12='DADOS_INVOC'!$QX$11,P12='DADOS_INVOC'!$QY$11),O12,"")</f>
        <v/>
      </c>
      <c r="BG12">
        <f>IF(AND(Q12=1,OR(P12="",P12='DADOS_INVOC'!$EL$11,P12='DADOS_INVOC'!$EM$11,P12='DADOS_INVOC'!$EN$11,P12='DADOS_INVOC'!$EO$11,P12='DADOS_INVOC'!$EP$11,P12='DADOS_INVOC'!$QV$11,P12='DADOS_INVOC'!$QW$11,P12='DADOS_INVOC'!$QX$11,P12='DADOS_INVOC'!$QY$11)),O12,"")</f>
        <v/>
      </c>
      <c r="BH12">
        <f>IF(OR(P12="",P12='DADOS_INVOC'!$EL$12,P12='DADOS_INVOC'!$EM$12,P12='DADOS_INVOC'!$EN$12,P12='DADOS_INVOC'!$EO$12,P12='DADOS_INVOC'!$EP$12,P12='DADOS_INVOC'!$QV$12,P12='DADOS_INVOC'!$QW$12,P12='DADOS_INVOC'!$QX$12,P12='DADOS_INVOC'!$QY$12),O12,"")</f>
        <v/>
      </c>
      <c r="BI12">
        <f>IF(AND(Q12=1,OR(P12="",P12='DADOS_INVOC'!$EL$12,P12='DADOS_INVOC'!$EM$12,P12='DADOS_INVOC'!$EN$12,P12='DADOS_INVOC'!$EO$12,P12='DADOS_INVOC'!$EP$12,P12='DADOS_INVOC'!$QV$12,P12='DADOS_INVOC'!$QW$12,P12='DADOS_INVOC'!$QX$12,P12='DADOS_INVOC'!$QY$12)),O12,"")</f>
        <v/>
      </c>
      <c r="BJ12">
        <f>IF(OR(P12="",P12='DADOS_INVOC'!$EL$13,P12='DADOS_INVOC'!$EM$13,P12='DADOS_INVOC'!$EN$13,P12='DADOS_INVOC'!$EO$13,P12='DADOS_INVOC'!$EP$13,P12='DADOS_INVOC'!$QV$13,P12='DADOS_INVOC'!$QW$13,P12='DADOS_INVOC'!$QX$13,P12='DADOS_INVOC'!$QY$13),O12,"")</f>
        <v/>
      </c>
      <c r="BK12">
        <f>IF(AND(Q12=1,OR(P12="",P12='DADOS_INVOC'!$EL$13,P12='DADOS_INVOC'!$EM$13,P12='DADOS_INVOC'!$EN$13,P12='DADOS_INVOC'!$EO$13,P12='DADOS_INVOC'!$EP$13,P12='DADOS_INVOC'!$QV$13,P12='DADOS_INVOC'!$QW$13,P12='DADOS_INVOC'!$QX$13,P12='DADOS_INVOC'!$QY$13)),O12,"")</f>
        <v/>
      </c>
      <c r="BM12">
        <f>IF('DADOS_CRIACAO'!$H$11="","",'DADOS_CRIACAO'!$H$11)</f>
        <v/>
      </c>
      <c r="BP12" t="inlineStr">
        <is>
          <t>Mais Um</t>
        </is>
      </c>
      <c r="BR12">
        <f>IF(OR(ISBLANK('CONFIGURAÇÃO'!$DA$143),'CONFIGURAÇÃO'!$DA$143=""),"Melhoria",'CONFIGURAÇÃO'!$DA$143)</f>
        <v/>
      </c>
      <c r="BU12" t="inlineStr">
        <is>
          <t>Cego</t>
        </is>
      </c>
    </row>
    <row r="13">
      <c r="A13" t="n">
        <v>1141</v>
      </c>
      <c r="B13" t="n">
        <v>8</v>
      </c>
      <c r="C13" t="n">
        <v>12</v>
      </c>
      <c r="D13">
        <f>IF(ISBLANK('CONFIGURAÇÃO'!$DI$145),"",'CONFIGURAÇÃO'!$DI$145)</f>
        <v/>
      </c>
      <c r="E13">
        <f>IF(ISBLANK('CONFIGURAÇÃO'!$DL$146),"",'CONFIGURAÇÃO'!$DL$146)</f>
        <v/>
      </c>
      <c r="F13">
        <f>IF(ISBLANK('CONFIGURAÇÃO'!$DL$147),"",'CONFIGURAÇÃO'!$DL$147)</f>
        <v/>
      </c>
      <c r="G13">
        <f>IF(ISBLANK('CONFIGURAÇÃO'!$DL$148),"",'CONFIGURAÇÃO'!$DL$148)</f>
        <v/>
      </c>
      <c r="H13">
        <f>IF(ISBLANK('CONFIGURAÇÃO'!$DL$149),"",'CONFIGURAÇÃO'!$DL$149)</f>
        <v/>
      </c>
      <c r="I13">
        <f>IF(ISBLANK('CONFIGURAÇÃO'!$DI$152),"",'CONFIGURAÇÃO'!$DI$152)</f>
        <v/>
      </c>
      <c r="J13">
        <f>IF(ISBLANK('CONFIGURAÇÃO'!$DI$158),"",'CONFIGURAÇÃO'!$DI$158)</f>
        <v/>
      </c>
      <c r="K13">
        <f>IF(ISBLANK('CONFIGURAÇÃO'!$DM$143),"",'CONFIGURAÇÃO'!$DM$143)</f>
        <v/>
      </c>
      <c r="L13">
        <f>IF(OR(E13="",E13="Nenhuma"),0,IFERROR(MATCH(SUBSTITUTE(SUBSTITUTE(SUBSTITUTE(E13,"~","~~"),"*","~*"),"?","~?"),'DADOS_MELHORIAS'!$O$2:$O$83,0),-1))</f>
        <v/>
      </c>
      <c r="M13">
        <f>IF(D13="",IF(BR13&lt;&gt;"Melhoria","Preencha NOME",IF(D13="",IF(OR(I13&lt;&gt;"",J13&lt;&gt;"",F13&lt;&gt;"",G13&lt;&gt;"",H13&lt;&gt;"",K13=TRUE,AND(E13&lt;&gt;"",E13&lt;&gt;"Nenhuma")),"Preencha NOME",""),TEXTJOIN(" · ",TRUE,IF(OR(NOT(ISTEXT(D13)),TRIM(D13)&lt;&gt;D13),"NOME precisa ser texto sem espaços nas pontas",""),IF(COUNTIF($D$2:$D$31,SUBSTITUTE(SUBSTITUTE(SUBSTITUTE(D13,"~","~~"),"*","~*"),"?","~?"))+COUNTIF('DADOS_MELHORIAS'!$O$2:$O$83,SUBSTITUTE(SUBSTITUTE(SUBSTITUTE(D13,"~","~~"),"*","~*"),"?","~?"))&gt;1,"Nome repetido no livro ou custom",""),IF(L13&lt;0,"Escolha uma BASE DO LIVRO válida",""),IF(ISLOGICAL(K13),"","MESTRE VIU deve ser caixa de seleção"),IF(AND(G13="",L13&lt;=0),"Escolha PESO",""),IF(AND(G13&lt;&gt;"",COUNTIF('DADOS_MELHORIAS'!$BN$2:$BN$4,SUBSTITUTE(SUBSTITUTE(SUBSTITUTE(G13,"~","~~"),"*","~*"),"?","~?"))&lt;&gt;1),"Peso ou devolução inválido",""),IF(AND(H13&lt;&gt;"",H13&lt;&gt;"Sim",H13&lt;&gt;"Não"),"Escolha Sim ou Não",""),IF(AND(F13&lt;&gt;"",COUNTIF('DADOS_MELHORIAS'!$BM$2:$BM$21,SUBSTITUTE(SUBSTITUTE(SUBSTITUTE(F13,"~","~~"),"*","~*"),"?","~?"))&lt;&gt;1),"Família não cadastrada ou com erro","")))),TEXTJOIN(" · ",TRUE,IF(D13="",IF(OR(I13&lt;&gt;"",J13&lt;&gt;"",F13&lt;&gt;"",G13&lt;&gt;"",H13&lt;&gt;"",K13=TRUE,AND(E13&lt;&gt;"",E13&lt;&gt;"Nenhuma")),"Preencha NOME",""),TEXTJOIN(" · ",TRUE,IF(OR(NOT(ISTEXT(D13)),TRIM(D13)&lt;&gt;D13),"NOME precisa ser texto sem espaços nas pontas",""),IF(COUNTIF($D$2:$D$31,SUBSTITUTE(SUBSTITUTE(SUBSTITUTE(D13,"~","~~"),"*","~*"),"?","~?"))+COUNTIF('DADOS_MELHORIAS'!$O$2:$O$83,SUBSTITUTE(SUBSTITUTE(SUBSTITUTE(D13,"~","~~"),"*","~*"),"?","~?"))&gt;1,"Nome repetido no livro ou custom",""),IF(L13&lt;0,"Escolha uma BASE DO LIVRO válida",""),IF(ISLOGICAL(K13),"","MESTRE VIU deve ser caixa de seleção"),IF(AND(G13="",L13&lt;=0),"Escolha PESO",""),IF(AND(G13&lt;&gt;"",COUNTIF('DADOS_MELHORIAS'!$BN$2:$BN$4,SUBSTITUTE(SUBSTITUTE(SUBSTITUTE(G13,"~","~~"),"*","~*"),"?","~?"))&lt;&gt;1),"Peso ou devolução inválido",""),IF(AND(H13&lt;&gt;"",H13&lt;&gt;"Sim",H13&lt;&gt;"Não"),"Escolha Sim ou Não",""),IF(AND(F13&lt;&gt;"",COUNTIF('DADOS_MELHORIAS'!$BM$2:$BM$21,SUBSTITUTE(SUBSTITUTE(SUBSTITUTE(F13,"~","~~"),"*","~*"),"?","~?"))&lt;&gt;1),"Família não cadastrada ou com erro",""))),IF(AND(BR13&lt;&gt;"Melhoria",BR13&lt;&gt;"Condição"),"Modalidade inválida",""),IF(AND(BR13="Condição",E13&lt;&gt;"",E13&lt;&gt;"Nenhuma",COUNTIF('DADOS_MELHORIAS'!$BU$2:$BU$15,SUBSTITUTE(SUBSTITUTE(SUBSTITUTE(E13,"~","~~"),"*","~*"),"?","~?"))&lt;&gt;1),"Base de Condição inválida",""),IF(AND(BR13="Condição",H13&lt;&gt;"",H13&lt;&gt;"Sim"),"Condição exige TR","")))</f>
        <v/>
      </c>
      <c r="O13">
        <f>IF(ISBLANK(DADOS_AM!$BC$13),"",DADOS_AM!$BC$13)</f>
        <v/>
      </c>
      <c r="P13">
        <f>IF(ISBLANK(DADOS_AM!$BD$13),"",DADOS_AM!$BD$13)</f>
        <v/>
      </c>
      <c r="Q13">
        <f>IF(ISBLANK(DADOS_AM!$BE$13),"",DADOS_AM!$BE$13)</f>
        <v/>
      </c>
      <c r="R13">
        <f>IF(ISBLANK(DADOS_AM!$BF$13),"",DADOS_AM!$BF$13)</f>
        <v/>
      </c>
      <c r="S13">
        <f>IF(ISBLANK(DADOS_AM!$BG$13),"",DADOS_AM!$BG$13)</f>
        <v/>
      </c>
      <c r="T13">
        <f>IF(ISBLANK(DADOS_AM!$BH$13),"",DADOS_AM!$BH$13)</f>
        <v/>
      </c>
      <c r="U13">
        <f>IF(ISBLANK(DADOS_AM!$BI$13),"",DADOS_AM!$BI$13)</f>
        <v/>
      </c>
      <c r="V13">
        <f>IF(ISBLANK(DADOS_AM!$BJ$13),"",DADOS_AM!$BJ$13)</f>
        <v/>
      </c>
      <c r="W13">
        <f>IF(ISBLANK(DADOS_AM!$BK$13),"",DADOS_AM!$BK$13)</f>
        <v/>
      </c>
      <c r="X13" t="inlineStr">
        <is>
          <t>Fica</t>
        </is>
      </c>
      <c r="Y13" t="n">
        <v>0</v>
      </c>
      <c r="AG13">
        <f>O13</f>
        <v/>
      </c>
      <c r="AH13">
        <f>P13</f>
        <v/>
      </c>
      <c r="AI13">
        <f>Q13</f>
        <v/>
      </c>
      <c r="AJ13">
        <f>T13</f>
        <v/>
      </c>
      <c r="AK13">
        <f>Y13</f>
        <v/>
      </c>
      <c r="AL13">
        <f>W13</f>
        <v/>
      </c>
      <c r="AN13">
        <f>IF(OR(P13="",P13='DADOS_INVOC'!$EL$2,P13='DADOS_INVOC'!$EM$2,P13='DADOS_INVOC'!$EN$2,P13='DADOS_INVOC'!$EO$2,P13='DADOS_INVOC'!$EP$2,P13='DADOS_INVOC'!$QV$2,P13='DADOS_INVOC'!$QW$2,P13='DADOS_INVOC'!$QX$2,P13='DADOS_INVOC'!$QY$2),O13,"")</f>
        <v/>
      </c>
      <c r="AO13">
        <f>IF(AND(Q13=1,OR(P13="",P13='DADOS_INVOC'!$EL$2,P13='DADOS_INVOC'!$EM$2,P13='DADOS_INVOC'!$EN$2,P13='DADOS_INVOC'!$EO$2,P13='DADOS_INVOC'!$EP$2,P13='DADOS_INVOC'!$QV$2,P13='DADOS_INVOC'!$QW$2,P13='DADOS_INVOC'!$QX$2,P13='DADOS_INVOC'!$QY$2)),O13,"")</f>
        <v/>
      </c>
      <c r="AP13">
        <f>IF(OR(P13="",P13='DADOS_INVOC'!$EL$3,P13='DADOS_INVOC'!$EM$3,P13='DADOS_INVOC'!$EN$3,P13='DADOS_INVOC'!$EO$3,P13='DADOS_INVOC'!$EP$3,P13='DADOS_INVOC'!$QV$3,P13='DADOS_INVOC'!$QW$3,P13='DADOS_INVOC'!$QX$3,P13='DADOS_INVOC'!$QY$3),O13,"")</f>
        <v/>
      </c>
      <c r="AQ13">
        <f>IF(AND(Q13=1,OR(P13="",P13='DADOS_INVOC'!$EL$3,P13='DADOS_INVOC'!$EM$3,P13='DADOS_INVOC'!$EN$3,P13='DADOS_INVOC'!$EO$3,P13='DADOS_INVOC'!$EP$3,P13='DADOS_INVOC'!$QV$3,P13='DADOS_INVOC'!$QW$3,P13='DADOS_INVOC'!$QX$3,P13='DADOS_INVOC'!$QY$3)),O13,"")</f>
        <v/>
      </c>
      <c r="AR13">
        <f>IF(OR(P13="",P13='DADOS_INVOC'!$EL$4,P13='DADOS_INVOC'!$EM$4,P13='DADOS_INVOC'!$EN$4,P13='DADOS_INVOC'!$EO$4,P13='DADOS_INVOC'!$EP$4,P13='DADOS_INVOC'!$QV$4,P13='DADOS_INVOC'!$QW$4,P13='DADOS_INVOC'!$QX$4,P13='DADOS_INVOC'!$QY$4),O13,"")</f>
        <v/>
      </c>
      <c r="AS13">
        <f>IF(AND(Q13=1,OR(P13="",P13='DADOS_INVOC'!$EL$4,P13='DADOS_INVOC'!$EM$4,P13='DADOS_INVOC'!$EN$4,P13='DADOS_INVOC'!$EO$4,P13='DADOS_INVOC'!$EP$4,P13='DADOS_INVOC'!$QV$4,P13='DADOS_INVOC'!$QW$4,P13='DADOS_INVOC'!$QX$4,P13='DADOS_INVOC'!$QY$4)),O13,"")</f>
        <v/>
      </c>
      <c r="AT13">
        <f>IF(OR(P13="",P13='DADOS_INVOC'!$EL$5,P13='DADOS_INVOC'!$EM$5,P13='DADOS_INVOC'!$EN$5,P13='DADOS_INVOC'!$EO$5,P13='DADOS_INVOC'!$EP$5,P13='DADOS_INVOC'!$QV$5,P13='DADOS_INVOC'!$QW$5,P13='DADOS_INVOC'!$QX$5,P13='DADOS_INVOC'!$QY$5),O13,"")</f>
        <v/>
      </c>
      <c r="AU13">
        <f>IF(AND(Q13=1,OR(P13="",P13='DADOS_INVOC'!$EL$5,P13='DADOS_INVOC'!$EM$5,P13='DADOS_INVOC'!$EN$5,P13='DADOS_INVOC'!$EO$5,P13='DADOS_INVOC'!$EP$5,P13='DADOS_INVOC'!$QV$5,P13='DADOS_INVOC'!$QW$5,P13='DADOS_INVOC'!$QX$5,P13='DADOS_INVOC'!$QY$5)),O13,"")</f>
        <v/>
      </c>
      <c r="AV13">
        <f>IF(OR(P13="",P13='DADOS_INVOC'!$EL$6,P13='DADOS_INVOC'!$EM$6,P13='DADOS_INVOC'!$EN$6,P13='DADOS_INVOC'!$EO$6,P13='DADOS_INVOC'!$EP$6,P13='DADOS_INVOC'!$QV$6,P13='DADOS_INVOC'!$QW$6,P13='DADOS_INVOC'!$QX$6,P13='DADOS_INVOC'!$QY$6),O13,"")</f>
        <v/>
      </c>
      <c r="AW13">
        <f>IF(AND(Q13=1,OR(P13="",P13='DADOS_INVOC'!$EL$6,P13='DADOS_INVOC'!$EM$6,P13='DADOS_INVOC'!$EN$6,P13='DADOS_INVOC'!$EO$6,P13='DADOS_INVOC'!$EP$6,P13='DADOS_INVOC'!$QV$6,P13='DADOS_INVOC'!$QW$6,P13='DADOS_INVOC'!$QX$6,P13='DADOS_INVOC'!$QY$6)),O13,"")</f>
        <v/>
      </c>
      <c r="AX13">
        <f>IF(OR(P13="",P13='DADOS_INVOC'!$EL$7,P13='DADOS_INVOC'!$EM$7,P13='DADOS_INVOC'!$EN$7,P13='DADOS_INVOC'!$EO$7,P13='DADOS_INVOC'!$EP$7,P13='DADOS_INVOC'!$QV$7,P13='DADOS_INVOC'!$QW$7,P13='DADOS_INVOC'!$QX$7,P13='DADOS_INVOC'!$QY$7),O13,"")</f>
        <v/>
      </c>
      <c r="AY13">
        <f>IF(AND(Q13=1,OR(P13="",P13='DADOS_INVOC'!$EL$7,P13='DADOS_INVOC'!$EM$7,P13='DADOS_INVOC'!$EN$7,P13='DADOS_INVOC'!$EO$7,P13='DADOS_INVOC'!$EP$7,P13='DADOS_INVOC'!$QV$7,P13='DADOS_INVOC'!$QW$7,P13='DADOS_INVOC'!$QX$7,P13='DADOS_INVOC'!$QY$7)),O13,"")</f>
        <v/>
      </c>
      <c r="AZ13">
        <f>IF(OR(P13="",P13='DADOS_INVOC'!$EL$8,P13='DADOS_INVOC'!$EM$8,P13='DADOS_INVOC'!$EN$8,P13='DADOS_INVOC'!$EO$8,P13='DADOS_INVOC'!$EP$8,P13='DADOS_INVOC'!$QV$8,P13='DADOS_INVOC'!$QW$8,P13='DADOS_INVOC'!$QX$8,P13='DADOS_INVOC'!$QY$8),O13,"")</f>
        <v/>
      </c>
      <c r="BA13">
        <f>IF(AND(Q13=1,OR(P13="",P13='DADOS_INVOC'!$EL$8,P13='DADOS_INVOC'!$EM$8,P13='DADOS_INVOC'!$EN$8,P13='DADOS_INVOC'!$EO$8,P13='DADOS_INVOC'!$EP$8,P13='DADOS_INVOC'!$QV$8,P13='DADOS_INVOC'!$QW$8,P13='DADOS_INVOC'!$QX$8,P13='DADOS_INVOC'!$QY$8)),O13,"")</f>
        <v/>
      </c>
      <c r="BB13">
        <f>IF(OR(P13="",P13='DADOS_INVOC'!$EL$9,P13='DADOS_INVOC'!$EM$9,P13='DADOS_INVOC'!$EN$9,P13='DADOS_INVOC'!$EO$9,P13='DADOS_INVOC'!$EP$9,P13='DADOS_INVOC'!$QV$9,P13='DADOS_INVOC'!$QW$9,P13='DADOS_INVOC'!$QX$9,P13='DADOS_INVOC'!$QY$9),O13,"")</f>
        <v/>
      </c>
      <c r="BC13">
        <f>IF(AND(Q13=1,OR(P13="",P13='DADOS_INVOC'!$EL$9,P13='DADOS_INVOC'!$EM$9,P13='DADOS_INVOC'!$EN$9,P13='DADOS_INVOC'!$EO$9,P13='DADOS_INVOC'!$EP$9,P13='DADOS_INVOC'!$QV$9,P13='DADOS_INVOC'!$QW$9,P13='DADOS_INVOC'!$QX$9,P13='DADOS_INVOC'!$QY$9)),O13,"")</f>
        <v/>
      </c>
      <c r="BD13">
        <f>IF(OR(P13="",P13='DADOS_INVOC'!$EL$10,P13='DADOS_INVOC'!$EM$10,P13='DADOS_INVOC'!$EN$10,P13='DADOS_INVOC'!$EO$10,P13='DADOS_INVOC'!$EP$10,P13='DADOS_INVOC'!$QV$10,P13='DADOS_INVOC'!$QW$10,P13='DADOS_INVOC'!$QX$10,P13='DADOS_INVOC'!$QY$10),O13,"")</f>
        <v/>
      </c>
      <c r="BE13">
        <f>IF(AND(Q13=1,OR(P13="",P13='DADOS_INVOC'!$EL$10,P13='DADOS_INVOC'!$EM$10,P13='DADOS_INVOC'!$EN$10,P13='DADOS_INVOC'!$EO$10,P13='DADOS_INVOC'!$EP$10,P13='DADOS_INVOC'!$QV$10,P13='DADOS_INVOC'!$QW$10,P13='DADOS_INVOC'!$QX$10,P13='DADOS_INVOC'!$QY$10)),O13,"")</f>
        <v/>
      </c>
      <c r="BF13">
        <f>IF(OR(P13="",P13='DADOS_INVOC'!$EL$11,P13='DADOS_INVOC'!$EM$11,P13='DADOS_INVOC'!$EN$11,P13='DADOS_INVOC'!$EO$11,P13='DADOS_INVOC'!$EP$11,P13='DADOS_INVOC'!$QV$11,P13='DADOS_INVOC'!$QW$11,P13='DADOS_INVOC'!$QX$11,P13='DADOS_INVOC'!$QY$11),O13,"")</f>
        <v/>
      </c>
      <c r="BG13">
        <f>IF(AND(Q13=1,OR(P13="",P13='DADOS_INVOC'!$EL$11,P13='DADOS_INVOC'!$EM$11,P13='DADOS_INVOC'!$EN$11,P13='DADOS_INVOC'!$EO$11,P13='DADOS_INVOC'!$EP$11,P13='DADOS_INVOC'!$QV$11,P13='DADOS_INVOC'!$QW$11,P13='DADOS_INVOC'!$QX$11,P13='DADOS_INVOC'!$QY$11)),O13,"")</f>
        <v/>
      </c>
      <c r="BH13">
        <f>IF(OR(P13="",P13='DADOS_INVOC'!$EL$12,P13='DADOS_INVOC'!$EM$12,P13='DADOS_INVOC'!$EN$12,P13='DADOS_INVOC'!$EO$12,P13='DADOS_INVOC'!$EP$12,P13='DADOS_INVOC'!$QV$12,P13='DADOS_INVOC'!$QW$12,P13='DADOS_INVOC'!$QX$12,P13='DADOS_INVOC'!$QY$12),O13,"")</f>
        <v/>
      </c>
      <c r="BI13">
        <f>IF(AND(Q13=1,OR(P13="",P13='DADOS_INVOC'!$EL$12,P13='DADOS_INVOC'!$EM$12,P13='DADOS_INVOC'!$EN$12,P13='DADOS_INVOC'!$EO$12,P13='DADOS_INVOC'!$EP$12,P13='DADOS_INVOC'!$QV$12,P13='DADOS_INVOC'!$QW$12,P13='DADOS_INVOC'!$QX$12,P13='DADOS_INVOC'!$QY$12)),O13,"")</f>
        <v/>
      </c>
      <c r="BJ13">
        <f>IF(OR(P13="",P13='DADOS_INVOC'!$EL$13,P13='DADOS_INVOC'!$EM$13,P13='DADOS_INVOC'!$EN$13,P13='DADOS_INVOC'!$EO$13,P13='DADOS_INVOC'!$EP$13,P13='DADOS_INVOC'!$QV$13,P13='DADOS_INVOC'!$QW$13,P13='DADOS_INVOC'!$QX$13,P13='DADOS_INVOC'!$QY$13),O13,"")</f>
        <v/>
      </c>
      <c r="BK13">
        <f>IF(AND(Q13=1,OR(P13="",P13='DADOS_INVOC'!$EL$13,P13='DADOS_INVOC'!$EM$13,P13='DADOS_INVOC'!$EN$13,P13='DADOS_INVOC'!$EO$13,P13='DADOS_INVOC'!$EP$13,P13='DADOS_INVOC'!$QV$13,P13='DADOS_INVOC'!$QW$13,P13='DADOS_INVOC'!$QX$13,P13='DADOS_INVOC'!$QY$13)),O13,"")</f>
        <v/>
      </c>
      <c r="BM13">
        <f>IF('DADOS_CRIACAO'!$H$12="","",'DADOS_CRIACAO'!$H$12)</f>
        <v/>
      </c>
      <c r="BP13" t="inlineStr">
        <is>
          <t>Rajada</t>
        </is>
      </c>
      <c r="BR13">
        <f>IF(OR(ISBLANK('CONFIGURAÇÃO'!$DI$143),'CONFIGURAÇÃO'!$DI$143=""),"Melhoria",'CONFIGURAÇÃO'!$DI$143)</f>
        <v/>
      </c>
      <c r="BU13" t="inlineStr">
        <is>
          <t>Amedrontado</t>
        </is>
      </c>
    </row>
    <row r="14">
      <c r="A14" t="n">
        <v>1167</v>
      </c>
      <c r="B14" t="n">
        <v>0</v>
      </c>
      <c r="C14" t="n">
        <v>13</v>
      </c>
      <c r="D14">
        <f>IF(ISBLANK('CONFIGURAÇÃO'!$DA$171),"",'CONFIGURAÇÃO'!$DA$171)</f>
        <v/>
      </c>
      <c r="E14">
        <f>IF(ISBLANK('CONFIGURAÇÃO'!$DD$172),"",'CONFIGURAÇÃO'!$DD$172)</f>
        <v/>
      </c>
      <c r="F14">
        <f>IF(ISBLANK('CONFIGURAÇÃO'!$DD$173),"",'CONFIGURAÇÃO'!$DD$173)</f>
        <v/>
      </c>
      <c r="G14">
        <f>IF(ISBLANK('CONFIGURAÇÃO'!$DD$174),"",'CONFIGURAÇÃO'!$DD$174)</f>
        <v/>
      </c>
      <c r="H14">
        <f>IF(ISBLANK('CONFIGURAÇÃO'!$DD$175),"",'CONFIGURAÇÃO'!$DD$175)</f>
        <v/>
      </c>
      <c r="I14">
        <f>IF(ISBLANK('CONFIGURAÇÃO'!$DA$178),"",'CONFIGURAÇÃO'!$DA$178)</f>
        <v/>
      </c>
      <c r="J14">
        <f>IF(ISBLANK('CONFIGURAÇÃO'!$DA$184),"",'CONFIGURAÇÃO'!$DA$184)</f>
        <v/>
      </c>
      <c r="K14">
        <f>IF(ISBLANK('CONFIGURAÇÃO'!$DE$169),"",'CONFIGURAÇÃO'!$DE$169)</f>
        <v/>
      </c>
      <c r="L14">
        <f>IF(OR(E14="",E14="Nenhuma"),0,IFERROR(MATCH(SUBSTITUTE(SUBSTITUTE(SUBSTITUTE(E14,"~","~~"),"*","~*"),"?","~?"),'DADOS_MELHORIAS'!$O$2:$O$83,0),-1))</f>
        <v/>
      </c>
      <c r="M14">
        <f>IF(D14="",IF(BR14&lt;&gt;"Melhoria","Preencha NOME",IF(D14="",IF(OR(I14&lt;&gt;"",J14&lt;&gt;"",F14&lt;&gt;"",G14&lt;&gt;"",H14&lt;&gt;"",K14=TRUE,AND(E14&lt;&gt;"",E14&lt;&gt;"Nenhuma")),"Preencha NOME",""),TEXTJOIN(" · ",TRUE,IF(OR(NOT(ISTEXT(D14)),TRIM(D14)&lt;&gt;D14),"NOME precisa ser texto sem espaços nas pontas",""),IF(COUNTIF($D$2:$D$31,SUBSTITUTE(SUBSTITUTE(SUBSTITUTE(D14,"~","~~"),"*","~*"),"?","~?"))+COUNTIF('DADOS_MELHORIAS'!$O$2:$O$83,SUBSTITUTE(SUBSTITUTE(SUBSTITUTE(D14,"~","~~"),"*","~*"),"?","~?"))&gt;1,"Nome repetido no livro ou custom",""),IF(L14&lt;0,"Escolha uma BASE DO LIVRO válida",""),IF(ISLOGICAL(K14),"","MESTRE VIU deve ser caixa de seleção"),IF(AND(G14="",L14&lt;=0),"Escolha PESO",""),IF(AND(G14&lt;&gt;"",COUNTIF('DADOS_MELHORIAS'!$BN$2:$BN$4,SUBSTITUTE(SUBSTITUTE(SUBSTITUTE(G14,"~","~~"),"*","~*"),"?","~?"))&lt;&gt;1),"Peso ou devolução inválido",""),IF(AND(H14&lt;&gt;"",H14&lt;&gt;"Sim",H14&lt;&gt;"Não"),"Escolha Sim ou Não",""),IF(AND(F14&lt;&gt;"",COUNTIF('DADOS_MELHORIAS'!$BM$2:$BM$21,SUBSTITUTE(SUBSTITUTE(SUBSTITUTE(F14,"~","~~"),"*","~*"),"?","~?"))&lt;&gt;1),"Família não cadastrada ou com erro","")))),TEXTJOIN(" · ",TRUE,IF(D14="",IF(OR(I14&lt;&gt;"",J14&lt;&gt;"",F14&lt;&gt;"",G14&lt;&gt;"",H14&lt;&gt;"",K14=TRUE,AND(E14&lt;&gt;"",E14&lt;&gt;"Nenhuma")),"Preencha NOME",""),TEXTJOIN(" · ",TRUE,IF(OR(NOT(ISTEXT(D14)),TRIM(D14)&lt;&gt;D14),"NOME precisa ser texto sem espaços nas pontas",""),IF(COUNTIF($D$2:$D$31,SUBSTITUTE(SUBSTITUTE(SUBSTITUTE(D14,"~","~~"),"*","~*"),"?","~?"))+COUNTIF('DADOS_MELHORIAS'!$O$2:$O$83,SUBSTITUTE(SUBSTITUTE(SUBSTITUTE(D14,"~","~~"),"*","~*"),"?","~?"))&gt;1,"Nome repetido no livro ou custom",""),IF(L14&lt;0,"Escolha uma BASE DO LIVRO válida",""),IF(ISLOGICAL(K14),"","MESTRE VIU deve ser caixa de seleção"),IF(AND(G14="",L14&lt;=0),"Escolha PESO",""),IF(AND(G14&lt;&gt;"",COUNTIF('DADOS_MELHORIAS'!$BN$2:$BN$4,SUBSTITUTE(SUBSTITUTE(SUBSTITUTE(G14,"~","~~"),"*","~*"),"?","~?"))&lt;&gt;1),"Peso ou devolução inválido",""),IF(AND(H14&lt;&gt;"",H14&lt;&gt;"Sim",H14&lt;&gt;"Não"),"Escolha Sim ou Não",""),IF(AND(F14&lt;&gt;"",COUNTIF('DADOS_MELHORIAS'!$BM$2:$BM$21,SUBSTITUTE(SUBSTITUTE(SUBSTITUTE(F14,"~","~~"),"*","~*"),"?","~?"))&lt;&gt;1),"Família não cadastrada ou com erro",""))),IF(AND(BR14&lt;&gt;"Melhoria",BR14&lt;&gt;"Condição"),"Modalidade inválida",""),IF(AND(BR14="Condição",E14&lt;&gt;"",E14&lt;&gt;"Nenhuma",COUNTIF('DADOS_MELHORIAS'!$BU$2:$BU$15,SUBSTITUTE(SUBSTITUTE(SUBSTITUTE(E14,"~","~~"),"*","~*"),"?","~?"))&lt;&gt;1),"Base de Condição inválida",""),IF(AND(BR14="Condição",H14&lt;&gt;"",H14&lt;&gt;"Sim"),"Condição exige TR","")))</f>
        <v/>
      </c>
      <c r="O14">
        <f>IF(ISBLANK(DADOS_AM!$BC$14),"",DADOS_AM!$BC$14)</f>
        <v/>
      </c>
      <c r="P14">
        <f>IF(ISBLANK(DADOS_AM!$BD$14),"",DADOS_AM!$BD$14)</f>
        <v/>
      </c>
      <c r="Q14">
        <f>IF(ISBLANK(DADOS_AM!$BE$14),"",DADOS_AM!$BE$14)</f>
        <v/>
      </c>
      <c r="R14">
        <f>IF(ISBLANK(DADOS_AM!$BF$14),"",DADOS_AM!$BF$14)</f>
        <v/>
      </c>
      <c r="S14">
        <f>IF(ISBLANK(DADOS_AM!$BG$14),"",DADOS_AM!$BG$14)</f>
        <v/>
      </c>
      <c r="T14">
        <f>IF(ISBLANK(DADOS_AM!$BH$14),"",DADOS_AM!$BH$14)</f>
        <v/>
      </c>
      <c r="U14">
        <f>IF(ISBLANK(DADOS_AM!$BI$14),"",DADOS_AM!$BI$14)</f>
        <v/>
      </c>
      <c r="V14">
        <f>IF(ISBLANK(DADOS_AM!$BJ$14),"",DADOS_AM!$BJ$14)</f>
        <v/>
      </c>
      <c r="W14">
        <f>IF(ISBLANK(DADOS_AM!$BK$14),"",DADOS_AM!$BK$14)</f>
        <v/>
      </c>
      <c r="X14" t="inlineStr">
        <is>
          <t>Salto</t>
        </is>
      </c>
      <c r="Y14" t="n">
        <v>0</v>
      </c>
      <c r="AG14">
        <f>O14</f>
        <v/>
      </c>
      <c r="AH14">
        <f>P14</f>
        <v/>
      </c>
      <c r="AI14">
        <f>Q14</f>
        <v/>
      </c>
      <c r="AJ14">
        <f>T14</f>
        <v/>
      </c>
      <c r="AK14">
        <f>Y14</f>
        <v/>
      </c>
      <c r="AL14">
        <f>W14</f>
        <v/>
      </c>
      <c r="AN14">
        <f>IF(OR(P14="",P14='DADOS_INVOC'!$EL$2,P14='DADOS_INVOC'!$EM$2,P14='DADOS_INVOC'!$EN$2,P14='DADOS_INVOC'!$EO$2,P14='DADOS_INVOC'!$EP$2,P14='DADOS_INVOC'!$QV$2,P14='DADOS_INVOC'!$QW$2,P14='DADOS_INVOC'!$QX$2,P14='DADOS_INVOC'!$QY$2),O14,"")</f>
        <v/>
      </c>
      <c r="AO14">
        <f>IF(AND(Q14=1,OR(P14="",P14='DADOS_INVOC'!$EL$2,P14='DADOS_INVOC'!$EM$2,P14='DADOS_INVOC'!$EN$2,P14='DADOS_INVOC'!$EO$2,P14='DADOS_INVOC'!$EP$2,P14='DADOS_INVOC'!$QV$2,P14='DADOS_INVOC'!$QW$2,P14='DADOS_INVOC'!$QX$2,P14='DADOS_INVOC'!$QY$2)),O14,"")</f>
        <v/>
      </c>
      <c r="AP14">
        <f>IF(OR(P14="",P14='DADOS_INVOC'!$EL$3,P14='DADOS_INVOC'!$EM$3,P14='DADOS_INVOC'!$EN$3,P14='DADOS_INVOC'!$EO$3,P14='DADOS_INVOC'!$EP$3,P14='DADOS_INVOC'!$QV$3,P14='DADOS_INVOC'!$QW$3,P14='DADOS_INVOC'!$QX$3,P14='DADOS_INVOC'!$QY$3),O14,"")</f>
        <v/>
      </c>
      <c r="AQ14">
        <f>IF(AND(Q14=1,OR(P14="",P14='DADOS_INVOC'!$EL$3,P14='DADOS_INVOC'!$EM$3,P14='DADOS_INVOC'!$EN$3,P14='DADOS_INVOC'!$EO$3,P14='DADOS_INVOC'!$EP$3,P14='DADOS_INVOC'!$QV$3,P14='DADOS_INVOC'!$QW$3,P14='DADOS_INVOC'!$QX$3,P14='DADOS_INVOC'!$QY$3)),O14,"")</f>
        <v/>
      </c>
      <c r="AR14">
        <f>IF(OR(P14="",P14='DADOS_INVOC'!$EL$4,P14='DADOS_INVOC'!$EM$4,P14='DADOS_INVOC'!$EN$4,P14='DADOS_INVOC'!$EO$4,P14='DADOS_INVOC'!$EP$4,P14='DADOS_INVOC'!$QV$4,P14='DADOS_INVOC'!$QW$4,P14='DADOS_INVOC'!$QX$4,P14='DADOS_INVOC'!$QY$4),O14,"")</f>
        <v/>
      </c>
      <c r="AS14">
        <f>IF(AND(Q14=1,OR(P14="",P14='DADOS_INVOC'!$EL$4,P14='DADOS_INVOC'!$EM$4,P14='DADOS_INVOC'!$EN$4,P14='DADOS_INVOC'!$EO$4,P14='DADOS_INVOC'!$EP$4,P14='DADOS_INVOC'!$QV$4,P14='DADOS_INVOC'!$QW$4,P14='DADOS_INVOC'!$QX$4,P14='DADOS_INVOC'!$QY$4)),O14,"")</f>
        <v/>
      </c>
      <c r="AT14">
        <f>IF(OR(P14="",P14='DADOS_INVOC'!$EL$5,P14='DADOS_INVOC'!$EM$5,P14='DADOS_INVOC'!$EN$5,P14='DADOS_INVOC'!$EO$5,P14='DADOS_INVOC'!$EP$5,P14='DADOS_INVOC'!$QV$5,P14='DADOS_INVOC'!$QW$5,P14='DADOS_INVOC'!$QX$5,P14='DADOS_INVOC'!$QY$5),O14,"")</f>
        <v/>
      </c>
      <c r="AU14">
        <f>IF(AND(Q14=1,OR(P14="",P14='DADOS_INVOC'!$EL$5,P14='DADOS_INVOC'!$EM$5,P14='DADOS_INVOC'!$EN$5,P14='DADOS_INVOC'!$EO$5,P14='DADOS_INVOC'!$EP$5,P14='DADOS_INVOC'!$QV$5,P14='DADOS_INVOC'!$QW$5,P14='DADOS_INVOC'!$QX$5,P14='DADOS_INVOC'!$QY$5)),O14,"")</f>
        <v/>
      </c>
      <c r="AV14">
        <f>IF(OR(P14="",P14='DADOS_INVOC'!$EL$6,P14='DADOS_INVOC'!$EM$6,P14='DADOS_INVOC'!$EN$6,P14='DADOS_INVOC'!$EO$6,P14='DADOS_INVOC'!$EP$6,P14='DADOS_INVOC'!$QV$6,P14='DADOS_INVOC'!$QW$6,P14='DADOS_INVOC'!$QX$6,P14='DADOS_INVOC'!$QY$6),O14,"")</f>
        <v/>
      </c>
      <c r="AW14">
        <f>IF(AND(Q14=1,OR(P14="",P14='DADOS_INVOC'!$EL$6,P14='DADOS_INVOC'!$EM$6,P14='DADOS_INVOC'!$EN$6,P14='DADOS_INVOC'!$EO$6,P14='DADOS_INVOC'!$EP$6,P14='DADOS_INVOC'!$QV$6,P14='DADOS_INVOC'!$QW$6,P14='DADOS_INVOC'!$QX$6,P14='DADOS_INVOC'!$QY$6)),O14,"")</f>
        <v/>
      </c>
      <c r="AX14">
        <f>IF(OR(P14="",P14='DADOS_INVOC'!$EL$7,P14='DADOS_INVOC'!$EM$7,P14='DADOS_INVOC'!$EN$7,P14='DADOS_INVOC'!$EO$7,P14='DADOS_INVOC'!$EP$7,P14='DADOS_INVOC'!$QV$7,P14='DADOS_INVOC'!$QW$7,P14='DADOS_INVOC'!$QX$7,P14='DADOS_INVOC'!$QY$7),O14,"")</f>
        <v/>
      </c>
      <c r="AY14">
        <f>IF(AND(Q14=1,OR(P14="",P14='DADOS_INVOC'!$EL$7,P14='DADOS_INVOC'!$EM$7,P14='DADOS_INVOC'!$EN$7,P14='DADOS_INVOC'!$EO$7,P14='DADOS_INVOC'!$EP$7,P14='DADOS_INVOC'!$QV$7,P14='DADOS_INVOC'!$QW$7,P14='DADOS_INVOC'!$QX$7,P14='DADOS_INVOC'!$QY$7)),O14,"")</f>
        <v/>
      </c>
      <c r="AZ14">
        <f>IF(OR(P14="",P14='DADOS_INVOC'!$EL$8,P14='DADOS_INVOC'!$EM$8,P14='DADOS_INVOC'!$EN$8,P14='DADOS_INVOC'!$EO$8,P14='DADOS_INVOC'!$EP$8,P14='DADOS_INVOC'!$QV$8,P14='DADOS_INVOC'!$QW$8,P14='DADOS_INVOC'!$QX$8,P14='DADOS_INVOC'!$QY$8),O14,"")</f>
        <v/>
      </c>
      <c r="BA14">
        <f>IF(AND(Q14=1,OR(P14="",P14='DADOS_INVOC'!$EL$8,P14='DADOS_INVOC'!$EM$8,P14='DADOS_INVOC'!$EN$8,P14='DADOS_INVOC'!$EO$8,P14='DADOS_INVOC'!$EP$8,P14='DADOS_INVOC'!$QV$8,P14='DADOS_INVOC'!$QW$8,P14='DADOS_INVOC'!$QX$8,P14='DADOS_INVOC'!$QY$8)),O14,"")</f>
        <v/>
      </c>
      <c r="BB14">
        <f>IF(OR(P14="",P14='DADOS_INVOC'!$EL$9,P14='DADOS_INVOC'!$EM$9,P14='DADOS_INVOC'!$EN$9,P14='DADOS_INVOC'!$EO$9,P14='DADOS_INVOC'!$EP$9,P14='DADOS_INVOC'!$QV$9,P14='DADOS_INVOC'!$QW$9,P14='DADOS_INVOC'!$QX$9,P14='DADOS_INVOC'!$QY$9),O14,"")</f>
        <v/>
      </c>
      <c r="BC14">
        <f>IF(AND(Q14=1,OR(P14="",P14='DADOS_INVOC'!$EL$9,P14='DADOS_INVOC'!$EM$9,P14='DADOS_INVOC'!$EN$9,P14='DADOS_INVOC'!$EO$9,P14='DADOS_INVOC'!$EP$9,P14='DADOS_INVOC'!$QV$9,P14='DADOS_INVOC'!$QW$9,P14='DADOS_INVOC'!$QX$9,P14='DADOS_INVOC'!$QY$9)),O14,"")</f>
        <v/>
      </c>
      <c r="BD14">
        <f>IF(OR(P14="",P14='DADOS_INVOC'!$EL$10,P14='DADOS_INVOC'!$EM$10,P14='DADOS_INVOC'!$EN$10,P14='DADOS_INVOC'!$EO$10,P14='DADOS_INVOC'!$EP$10,P14='DADOS_INVOC'!$QV$10,P14='DADOS_INVOC'!$QW$10,P14='DADOS_INVOC'!$QX$10,P14='DADOS_INVOC'!$QY$10),O14,"")</f>
        <v/>
      </c>
      <c r="BE14">
        <f>IF(AND(Q14=1,OR(P14="",P14='DADOS_INVOC'!$EL$10,P14='DADOS_INVOC'!$EM$10,P14='DADOS_INVOC'!$EN$10,P14='DADOS_INVOC'!$EO$10,P14='DADOS_INVOC'!$EP$10,P14='DADOS_INVOC'!$QV$10,P14='DADOS_INVOC'!$QW$10,P14='DADOS_INVOC'!$QX$10,P14='DADOS_INVOC'!$QY$10)),O14,"")</f>
        <v/>
      </c>
      <c r="BF14">
        <f>IF(OR(P14="",P14='DADOS_INVOC'!$EL$11,P14='DADOS_INVOC'!$EM$11,P14='DADOS_INVOC'!$EN$11,P14='DADOS_INVOC'!$EO$11,P14='DADOS_INVOC'!$EP$11,P14='DADOS_INVOC'!$QV$11,P14='DADOS_INVOC'!$QW$11,P14='DADOS_INVOC'!$QX$11,P14='DADOS_INVOC'!$QY$11),O14,"")</f>
        <v/>
      </c>
      <c r="BG14">
        <f>IF(AND(Q14=1,OR(P14="",P14='DADOS_INVOC'!$EL$11,P14='DADOS_INVOC'!$EM$11,P14='DADOS_INVOC'!$EN$11,P14='DADOS_INVOC'!$EO$11,P14='DADOS_INVOC'!$EP$11,P14='DADOS_INVOC'!$QV$11,P14='DADOS_INVOC'!$QW$11,P14='DADOS_INVOC'!$QX$11,P14='DADOS_INVOC'!$QY$11)),O14,"")</f>
        <v/>
      </c>
      <c r="BH14">
        <f>IF(OR(P14="",P14='DADOS_INVOC'!$EL$12,P14='DADOS_INVOC'!$EM$12,P14='DADOS_INVOC'!$EN$12,P14='DADOS_INVOC'!$EO$12,P14='DADOS_INVOC'!$EP$12,P14='DADOS_INVOC'!$QV$12,P14='DADOS_INVOC'!$QW$12,P14='DADOS_INVOC'!$QX$12,P14='DADOS_INVOC'!$QY$12),O14,"")</f>
        <v/>
      </c>
      <c r="BI14">
        <f>IF(AND(Q14=1,OR(P14="",P14='DADOS_INVOC'!$EL$12,P14='DADOS_INVOC'!$EM$12,P14='DADOS_INVOC'!$EN$12,P14='DADOS_INVOC'!$EO$12,P14='DADOS_INVOC'!$EP$12,P14='DADOS_INVOC'!$QV$12,P14='DADOS_INVOC'!$QW$12,P14='DADOS_INVOC'!$QX$12,P14='DADOS_INVOC'!$QY$12)),O14,"")</f>
        <v/>
      </c>
      <c r="BJ14">
        <f>IF(OR(P14="",P14='DADOS_INVOC'!$EL$13,P14='DADOS_INVOC'!$EM$13,P14='DADOS_INVOC'!$EN$13,P14='DADOS_INVOC'!$EO$13,P14='DADOS_INVOC'!$EP$13,P14='DADOS_INVOC'!$QV$13,P14='DADOS_INVOC'!$QW$13,P14='DADOS_INVOC'!$QX$13,P14='DADOS_INVOC'!$QY$13),O14,"")</f>
        <v/>
      </c>
      <c r="BK14">
        <f>IF(AND(Q14=1,OR(P14="",P14='DADOS_INVOC'!$EL$13,P14='DADOS_INVOC'!$EM$13,P14='DADOS_INVOC'!$EN$13,P14='DADOS_INVOC'!$EO$13,P14='DADOS_INVOC'!$EP$13,P14='DADOS_INVOC'!$QV$13,P14='DADOS_INVOC'!$QW$13,P14='DADOS_INVOC'!$QX$13,P14='DADOS_INVOC'!$QY$13)),O14,"")</f>
        <v/>
      </c>
      <c r="BM14">
        <f>IF('DADOS_CRIACAO'!$H$13="","",'DADOS_CRIACAO'!$H$13)</f>
        <v/>
      </c>
      <c r="BP14" t="inlineStr">
        <is>
          <t>Fica</t>
        </is>
      </c>
      <c r="BR14">
        <f>IF(OR(ISBLANK('CONFIGURAÇÃO'!$DA$169),'CONFIGURAÇÃO'!$DA$169=""),"Melhoria",'CONFIGURAÇÃO'!$DA$169)</f>
        <v/>
      </c>
      <c r="BU14" t="inlineStr">
        <is>
          <t>Envenenado</t>
        </is>
      </c>
    </row>
    <row r="15">
      <c r="A15" t="n">
        <v>1167</v>
      </c>
      <c r="B15" t="n">
        <v>8</v>
      </c>
      <c r="C15" t="n">
        <v>14</v>
      </c>
      <c r="D15">
        <f>IF(ISBLANK('CONFIGURAÇÃO'!$DI$171),"",'CONFIGURAÇÃO'!$DI$171)</f>
        <v/>
      </c>
      <c r="E15">
        <f>IF(ISBLANK('CONFIGURAÇÃO'!$DL$172),"",'CONFIGURAÇÃO'!$DL$172)</f>
        <v/>
      </c>
      <c r="F15">
        <f>IF(ISBLANK('CONFIGURAÇÃO'!$DL$173),"",'CONFIGURAÇÃO'!$DL$173)</f>
        <v/>
      </c>
      <c r="G15">
        <f>IF(ISBLANK('CONFIGURAÇÃO'!$DL$174),"",'CONFIGURAÇÃO'!$DL$174)</f>
        <v/>
      </c>
      <c r="H15">
        <f>IF(ISBLANK('CONFIGURAÇÃO'!$DL$175),"",'CONFIGURAÇÃO'!$DL$175)</f>
        <v/>
      </c>
      <c r="I15">
        <f>IF(ISBLANK('CONFIGURAÇÃO'!$DI$178),"",'CONFIGURAÇÃO'!$DI$178)</f>
        <v/>
      </c>
      <c r="J15">
        <f>IF(ISBLANK('CONFIGURAÇÃO'!$DI$184),"",'CONFIGURAÇÃO'!$DI$184)</f>
        <v/>
      </c>
      <c r="K15">
        <f>IF(ISBLANK('CONFIGURAÇÃO'!$DM$169),"",'CONFIGURAÇÃO'!$DM$169)</f>
        <v/>
      </c>
      <c r="L15">
        <f>IF(OR(E15="",E15="Nenhuma"),0,IFERROR(MATCH(SUBSTITUTE(SUBSTITUTE(SUBSTITUTE(E15,"~","~~"),"*","~*"),"?","~?"),'DADOS_MELHORIAS'!$O$2:$O$83,0),-1))</f>
        <v/>
      </c>
      <c r="M15">
        <f>IF(D15="",IF(BR15&lt;&gt;"Melhoria","Preencha NOME",IF(D15="",IF(OR(I15&lt;&gt;"",J15&lt;&gt;"",F15&lt;&gt;"",G15&lt;&gt;"",H15&lt;&gt;"",K15=TRUE,AND(E15&lt;&gt;"",E15&lt;&gt;"Nenhuma")),"Preencha NOME",""),TEXTJOIN(" · ",TRUE,IF(OR(NOT(ISTEXT(D15)),TRIM(D15)&lt;&gt;D15),"NOME precisa ser texto sem espaços nas pontas",""),IF(COUNTIF($D$2:$D$31,SUBSTITUTE(SUBSTITUTE(SUBSTITUTE(D15,"~","~~"),"*","~*"),"?","~?"))+COUNTIF('DADOS_MELHORIAS'!$O$2:$O$83,SUBSTITUTE(SUBSTITUTE(SUBSTITUTE(D15,"~","~~"),"*","~*"),"?","~?"))&gt;1,"Nome repetido no livro ou custom",""),IF(L15&lt;0,"Escolha uma BASE DO LIVRO válida",""),IF(ISLOGICAL(K15),"","MESTRE VIU deve ser caixa de seleção"),IF(AND(G15="",L15&lt;=0),"Escolha PESO",""),IF(AND(G15&lt;&gt;"",COUNTIF('DADOS_MELHORIAS'!$BN$2:$BN$4,SUBSTITUTE(SUBSTITUTE(SUBSTITUTE(G15,"~","~~"),"*","~*"),"?","~?"))&lt;&gt;1),"Peso ou devolução inválido",""),IF(AND(H15&lt;&gt;"",H15&lt;&gt;"Sim",H15&lt;&gt;"Não"),"Escolha Sim ou Não",""),IF(AND(F15&lt;&gt;"",COUNTIF('DADOS_MELHORIAS'!$BM$2:$BM$21,SUBSTITUTE(SUBSTITUTE(SUBSTITUTE(F15,"~","~~"),"*","~*"),"?","~?"))&lt;&gt;1),"Família não cadastrada ou com erro","")))),TEXTJOIN(" · ",TRUE,IF(D15="",IF(OR(I15&lt;&gt;"",J15&lt;&gt;"",F15&lt;&gt;"",G15&lt;&gt;"",H15&lt;&gt;"",K15=TRUE,AND(E15&lt;&gt;"",E15&lt;&gt;"Nenhuma")),"Preencha NOME",""),TEXTJOIN(" · ",TRUE,IF(OR(NOT(ISTEXT(D15)),TRIM(D15)&lt;&gt;D15),"NOME precisa ser texto sem espaços nas pontas",""),IF(COUNTIF($D$2:$D$31,SUBSTITUTE(SUBSTITUTE(SUBSTITUTE(D15,"~","~~"),"*","~*"),"?","~?"))+COUNTIF('DADOS_MELHORIAS'!$O$2:$O$83,SUBSTITUTE(SUBSTITUTE(SUBSTITUTE(D15,"~","~~"),"*","~*"),"?","~?"))&gt;1,"Nome repetido no livro ou custom",""),IF(L15&lt;0,"Escolha uma BASE DO LIVRO válida",""),IF(ISLOGICAL(K15),"","MESTRE VIU deve ser caixa de seleção"),IF(AND(G15="",L15&lt;=0),"Escolha PESO",""),IF(AND(G15&lt;&gt;"",COUNTIF('DADOS_MELHORIAS'!$BN$2:$BN$4,SUBSTITUTE(SUBSTITUTE(SUBSTITUTE(G15,"~","~~"),"*","~*"),"?","~?"))&lt;&gt;1),"Peso ou devolução inválido",""),IF(AND(H15&lt;&gt;"",H15&lt;&gt;"Sim",H15&lt;&gt;"Não"),"Escolha Sim ou Não",""),IF(AND(F15&lt;&gt;"",COUNTIF('DADOS_MELHORIAS'!$BM$2:$BM$21,SUBSTITUTE(SUBSTITUTE(SUBSTITUTE(F15,"~","~~"),"*","~*"),"?","~?"))&lt;&gt;1),"Família não cadastrada ou com erro",""))),IF(AND(BR15&lt;&gt;"Melhoria",BR15&lt;&gt;"Condição"),"Modalidade inválida",""),IF(AND(BR15="Condição",E15&lt;&gt;"",E15&lt;&gt;"Nenhuma",COUNTIF('DADOS_MELHORIAS'!$BU$2:$BU$15,SUBSTITUTE(SUBSTITUTE(SUBSTITUTE(E15,"~","~~"),"*","~*"),"?","~?"))&lt;&gt;1),"Base de Condição inválida",""),IF(AND(BR15="Condição",H15&lt;&gt;"",H15&lt;&gt;"Sim"),"Condição exige TR","")))</f>
        <v/>
      </c>
      <c r="O15">
        <f>IF(ISBLANK(DADOS_AM!$BC$15),"",DADOS_AM!$BC$15)</f>
        <v/>
      </c>
      <c r="P15">
        <f>IF(ISBLANK(DADOS_AM!$BD$15),"",DADOS_AM!$BD$15)</f>
        <v/>
      </c>
      <c r="Q15">
        <f>IF(ISBLANK(DADOS_AM!$BE$15),"",DADOS_AM!$BE$15)</f>
        <v/>
      </c>
      <c r="R15">
        <f>IF(ISBLANK(DADOS_AM!$BF$15),"",DADOS_AM!$BF$15)</f>
        <v/>
      </c>
      <c r="S15">
        <f>IF(ISBLANK(DADOS_AM!$BG$15),"",DADOS_AM!$BG$15)</f>
        <v/>
      </c>
      <c r="T15">
        <f>IF(ISBLANK(DADOS_AM!$BH$15),"",DADOS_AM!$BH$15)</f>
        <v/>
      </c>
      <c r="U15">
        <f>IF(ISBLANK(DADOS_AM!$BI$15),"",DADOS_AM!$BI$15)</f>
        <v/>
      </c>
      <c r="V15">
        <f>IF(ISBLANK(DADOS_AM!$BJ$15),"",DADOS_AM!$BJ$15)</f>
        <v/>
      </c>
      <c r="W15">
        <f>IF(ISBLANK(DADOS_AM!$BK$15),"",DADOS_AM!$BK$15)</f>
        <v/>
      </c>
      <c r="X15" t="inlineStr">
        <is>
          <t>Contorno</t>
        </is>
      </c>
      <c r="Y15" t="n">
        <v>0</v>
      </c>
      <c r="AG15">
        <f>O15</f>
        <v/>
      </c>
      <c r="AH15">
        <f>P15</f>
        <v/>
      </c>
      <c r="AI15">
        <f>Q15</f>
        <v/>
      </c>
      <c r="AJ15">
        <f>T15</f>
        <v/>
      </c>
      <c r="AK15">
        <f>Y15</f>
        <v/>
      </c>
      <c r="AL15">
        <f>W15</f>
        <v/>
      </c>
      <c r="AN15">
        <f>IF(OR(P15="",P15='DADOS_INVOC'!$EL$2,P15='DADOS_INVOC'!$EM$2,P15='DADOS_INVOC'!$EN$2,P15='DADOS_INVOC'!$EO$2,P15='DADOS_INVOC'!$EP$2,P15='DADOS_INVOC'!$QV$2,P15='DADOS_INVOC'!$QW$2,P15='DADOS_INVOC'!$QX$2,P15='DADOS_INVOC'!$QY$2),O15,"")</f>
        <v/>
      </c>
      <c r="AO15">
        <f>IF(AND(Q15=1,OR(P15="",P15='DADOS_INVOC'!$EL$2,P15='DADOS_INVOC'!$EM$2,P15='DADOS_INVOC'!$EN$2,P15='DADOS_INVOC'!$EO$2,P15='DADOS_INVOC'!$EP$2,P15='DADOS_INVOC'!$QV$2,P15='DADOS_INVOC'!$QW$2,P15='DADOS_INVOC'!$QX$2,P15='DADOS_INVOC'!$QY$2)),O15,"")</f>
        <v/>
      </c>
      <c r="AP15">
        <f>IF(OR(P15="",P15='DADOS_INVOC'!$EL$3,P15='DADOS_INVOC'!$EM$3,P15='DADOS_INVOC'!$EN$3,P15='DADOS_INVOC'!$EO$3,P15='DADOS_INVOC'!$EP$3,P15='DADOS_INVOC'!$QV$3,P15='DADOS_INVOC'!$QW$3,P15='DADOS_INVOC'!$QX$3,P15='DADOS_INVOC'!$QY$3),O15,"")</f>
        <v/>
      </c>
      <c r="AQ15">
        <f>IF(AND(Q15=1,OR(P15="",P15='DADOS_INVOC'!$EL$3,P15='DADOS_INVOC'!$EM$3,P15='DADOS_INVOC'!$EN$3,P15='DADOS_INVOC'!$EO$3,P15='DADOS_INVOC'!$EP$3,P15='DADOS_INVOC'!$QV$3,P15='DADOS_INVOC'!$QW$3,P15='DADOS_INVOC'!$QX$3,P15='DADOS_INVOC'!$QY$3)),O15,"")</f>
        <v/>
      </c>
      <c r="AR15">
        <f>IF(OR(P15="",P15='DADOS_INVOC'!$EL$4,P15='DADOS_INVOC'!$EM$4,P15='DADOS_INVOC'!$EN$4,P15='DADOS_INVOC'!$EO$4,P15='DADOS_INVOC'!$EP$4,P15='DADOS_INVOC'!$QV$4,P15='DADOS_INVOC'!$QW$4,P15='DADOS_INVOC'!$QX$4,P15='DADOS_INVOC'!$QY$4),O15,"")</f>
        <v/>
      </c>
      <c r="AS15">
        <f>IF(AND(Q15=1,OR(P15="",P15='DADOS_INVOC'!$EL$4,P15='DADOS_INVOC'!$EM$4,P15='DADOS_INVOC'!$EN$4,P15='DADOS_INVOC'!$EO$4,P15='DADOS_INVOC'!$EP$4,P15='DADOS_INVOC'!$QV$4,P15='DADOS_INVOC'!$QW$4,P15='DADOS_INVOC'!$QX$4,P15='DADOS_INVOC'!$QY$4)),O15,"")</f>
        <v/>
      </c>
      <c r="AT15">
        <f>IF(OR(P15="",P15='DADOS_INVOC'!$EL$5,P15='DADOS_INVOC'!$EM$5,P15='DADOS_INVOC'!$EN$5,P15='DADOS_INVOC'!$EO$5,P15='DADOS_INVOC'!$EP$5,P15='DADOS_INVOC'!$QV$5,P15='DADOS_INVOC'!$QW$5,P15='DADOS_INVOC'!$QX$5,P15='DADOS_INVOC'!$QY$5),O15,"")</f>
        <v/>
      </c>
      <c r="AU15">
        <f>IF(AND(Q15=1,OR(P15="",P15='DADOS_INVOC'!$EL$5,P15='DADOS_INVOC'!$EM$5,P15='DADOS_INVOC'!$EN$5,P15='DADOS_INVOC'!$EO$5,P15='DADOS_INVOC'!$EP$5,P15='DADOS_INVOC'!$QV$5,P15='DADOS_INVOC'!$QW$5,P15='DADOS_INVOC'!$QX$5,P15='DADOS_INVOC'!$QY$5)),O15,"")</f>
        <v/>
      </c>
      <c r="AV15">
        <f>IF(OR(P15="",P15='DADOS_INVOC'!$EL$6,P15='DADOS_INVOC'!$EM$6,P15='DADOS_INVOC'!$EN$6,P15='DADOS_INVOC'!$EO$6,P15='DADOS_INVOC'!$EP$6,P15='DADOS_INVOC'!$QV$6,P15='DADOS_INVOC'!$QW$6,P15='DADOS_INVOC'!$QX$6,P15='DADOS_INVOC'!$QY$6),O15,"")</f>
        <v/>
      </c>
      <c r="AW15">
        <f>IF(AND(Q15=1,OR(P15="",P15='DADOS_INVOC'!$EL$6,P15='DADOS_INVOC'!$EM$6,P15='DADOS_INVOC'!$EN$6,P15='DADOS_INVOC'!$EO$6,P15='DADOS_INVOC'!$EP$6,P15='DADOS_INVOC'!$QV$6,P15='DADOS_INVOC'!$QW$6,P15='DADOS_INVOC'!$QX$6,P15='DADOS_INVOC'!$QY$6)),O15,"")</f>
        <v/>
      </c>
      <c r="AX15">
        <f>IF(OR(P15="",P15='DADOS_INVOC'!$EL$7,P15='DADOS_INVOC'!$EM$7,P15='DADOS_INVOC'!$EN$7,P15='DADOS_INVOC'!$EO$7,P15='DADOS_INVOC'!$EP$7,P15='DADOS_INVOC'!$QV$7,P15='DADOS_INVOC'!$QW$7,P15='DADOS_INVOC'!$QX$7,P15='DADOS_INVOC'!$QY$7),O15,"")</f>
        <v/>
      </c>
      <c r="AY15">
        <f>IF(AND(Q15=1,OR(P15="",P15='DADOS_INVOC'!$EL$7,P15='DADOS_INVOC'!$EM$7,P15='DADOS_INVOC'!$EN$7,P15='DADOS_INVOC'!$EO$7,P15='DADOS_INVOC'!$EP$7,P15='DADOS_INVOC'!$QV$7,P15='DADOS_INVOC'!$QW$7,P15='DADOS_INVOC'!$QX$7,P15='DADOS_INVOC'!$QY$7)),O15,"")</f>
        <v/>
      </c>
      <c r="AZ15">
        <f>IF(OR(P15="",P15='DADOS_INVOC'!$EL$8,P15='DADOS_INVOC'!$EM$8,P15='DADOS_INVOC'!$EN$8,P15='DADOS_INVOC'!$EO$8,P15='DADOS_INVOC'!$EP$8,P15='DADOS_INVOC'!$QV$8,P15='DADOS_INVOC'!$QW$8,P15='DADOS_INVOC'!$QX$8,P15='DADOS_INVOC'!$QY$8),O15,"")</f>
        <v/>
      </c>
      <c r="BA15">
        <f>IF(AND(Q15=1,OR(P15="",P15='DADOS_INVOC'!$EL$8,P15='DADOS_INVOC'!$EM$8,P15='DADOS_INVOC'!$EN$8,P15='DADOS_INVOC'!$EO$8,P15='DADOS_INVOC'!$EP$8,P15='DADOS_INVOC'!$QV$8,P15='DADOS_INVOC'!$QW$8,P15='DADOS_INVOC'!$QX$8,P15='DADOS_INVOC'!$QY$8)),O15,"")</f>
        <v/>
      </c>
      <c r="BB15">
        <f>IF(OR(P15="",P15='DADOS_INVOC'!$EL$9,P15='DADOS_INVOC'!$EM$9,P15='DADOS_INVOC'!$EN$9,P15='DADOS_INVOC'!$EO$9,P15='DADOS_INVOC'!$EP$9,P15='DADOS_INVOC'!$QV$9,P15='DADOS_INVOC'!$QW$9,P15='DADOS_INVOC'!$QX$9,P15='DADOS_INVOC'!$QY$9),O15,"")</f>
        <v/>
      </c>
      <c r="BC15">
        <f>IF(AND(Q15=1,OR(P15="",P15='DADOS_INVOC'!$EL$9,P15='DADOS_INVOC'!$EM$9,P15='DADOS_INVOC'!$EN$9,P15='DADOS_INVOC'!$EO$9,P15='DADOS_INVOC'!$EP$9,P15='DADOS_INVOC'!$QV$9,P15='DADOS_INVOC'!$QW$9,P15='DADOS_INVOC'!$QX$9,P15='DADOS_INVOC'!$QY$9)),O15,"")</f>
        <v/>
      </c>
      <c r="BD15">
        <f>IF(OR(P15="",P15='DADOS_INVOC'!$EL$10,P15='DADOS_INVOC'!$EM$10,P15='DADOS_INVOC'!$EN$10,P15='DADOS_INVOC'!$EO$10,P15='DADOS_INVOC'!$EP$10,P15='DADOS_INVOC'!$QV$10,P15='DADOS_INVOC'!$QW$10,P15='DADOS_INVOC'!$QX$10,P15='DADOS_INVOC'!$QY$10),O15,"")</f>
        <v/>
      </c>
      <c r="BE15">
        <f>IF(AND(Q15=1,OR(P15="",P15='DADOS_INVOC'!$EL$10,P15='DADOS_INVOC'!$EM$10,P15='DADOS_INVOC'!$EN$10,P15='DADOS_INVOC'!$EO$10,P15='DADOS_INVOC'!$EP$10,P15='DADOS_INVOC'!$QV$10,P15='DADOS_INVOC'!$QW$10,P15='DADOS_INVOC'!$QX$10,P15='DADOS_INVOC'!$QY$10)),O15,"")</f>
        <v/>
      </c>
      <c r="BF15">
        <f>IF(OR(P15="",P15='DADOS_INVOC'!$EL$11,P15='DADOS_INVOC'!$EM$11,P15='DADOS_INVOC'!$EN$11,P15='DADOS_INVOC'!$EO$11,P15='DADOS_INVOC'!$EP$11,P15='DADOS_INVOC'!$QV$11,P15='DADOS_INVOC'!$QW$11,P15='DADOS_INVOC'!$QX$11,P15='DADOS_INVOC'!$QY$11),O15,"")</f>
        <v/>
      </c>
      <c r="BG15">
        <f>IF(AND(Q15=1,OR(P15="",P15='DADOS_INVOC'!$EL$11,P15='DADOS_INVOC'!$EM$11,P15='DADOS_INVOC'!$EN$11,P15='DADOS_INVOC'!$EO$11,P15='DADOS_INVOC'!$EP$11,P15='DADOS_INVOC'!$QV$11,P15='DADOS_INVOC'!$QW$11,P15='DADOS_INVOC'!$QX$11,P15='DADOS_INVOC'!$QY$11)),O15,"")</f>
        <v/>
      </c>
      <c r="BH15">
        <f>IF(OR(P15="",P15='DADOS_INVOC'!$EL$12,P15='DADOS_INVOC'!$EM$12,P15='DADOS_INVOC'!$EN$12,P15='DADOS_INVOC'!$EO$12,P15='DADOS_INVOC'!$EP$12,P15='DADOS_INVOC'!$QV$12,P15='DADOS_INVOC'!$QW$12,P15='DADOS_INVOC'!$QX$12,P15='DADOS_INVOC'!$QY$12),O15,"")</f>
        <v/>
      </c>
      <c r="BI15">
        <f>IF(AND(Q15=1,OR(P15="",P15='DADOS_INVOC'!$EL$12,P15='DADOS_INVOC'!$EM$12,P15='DADOS_INVOC'!$EN$12,P15='DADOS_INVOC'!$EO$12,P15='DADOS_INVOC'!$EP$12,P15='DADOS_INVOC'!$QV$12,P15='DADOS_INVOC'!$QW$12,P15='DADOS_INVOC'!$QX$12,P15='DADOS_INVOC'!$QY$12)),O15,"")</f>
        <v/>
      </c>
      <c r="BJ15">
        <f>IF(OR(P15="",P15='DADOS_INVOC'!$EL$13,P15='DADOS_INVOC'!$EM$13,P15='DADOS_INVOC'!$EN$13,P15='DADOS_INVOC'!$EO$13,P15='DADOS_INVOC'!$EP$13,P15='DADOS_INVOC'!$QV$13,P15='DADOS_INVOC'!$QW$13,P15='DADOS_INVOC'!$QX$13,P15='DADOS_INVOC'!$QY$13),O15,"")</f>
        <v/>
      </c>
      <c r="BK15">
        <f>IF(AND(Q15=1,OR(P15="",P15='DADOS_INVOC'!$EL$13,P15='DADOS_INVOC'!$EM$13,P15='DADOS_INVOC'!$EN$13,P15='DADOS_INVOC'!$EO$13,P15='DADOS_INVOC'!$EP$13,P15='DADOS_INVOC'!$QV$13,P15='DADOS_INVOC'!$QW$13,P15='DADOS_INVOC'!$QX$13,P15='DADOS_INVOC'!$QY$13)),O15,"")</f>
        <v/>
      </c>
      <c r="BM15">
        <f>IF('DADOS_CRIACAO'!$H$14="","",'DADOS_CRIACAO'!$H$14)</f>
        <v/>
      </c>
      <c r="BP15" t="inlineStr">
        <is>
          <t>Salto</t>
        </is>
      </c>
      <c r="BR15">
        <f>IF(OR(ISBLANK('CONFIGURAÇÃO'!$DI$169),'CONFIGURAÇÃO'!$DI$169=""),"Melhoria",'CONFIGURAÇÃO'!$DI$169)</f>
        <v/>
      </c>
      <c r="BU15" t="inlineStr">
        <is>
          <t>Atordoado</t>
        </is>
      </c>
    </row>
    <row r="16">
      <c r="A16" t="n">
        <v>1193</v>
      </c>
      <c r="B16" t="n">
        <v>0</v>
      </c>
      <c r="C16" t="n">
        <v>15</v>
      </c>
      <c r="D16">
        <f>IF(ISBLANK('CONFIGURAÇÃO'!$DA$197),"",'CONFIGURAÇÃO'!$DA$197)</f>
        <v/>
      </c>
      <c r="E16">
        <f>IF(ISBLANK('CONFIGURAÇÃO'!$DD$198),"",'CONFIGURAÇÃO'!$DD$198)</f>
        <v/>
      </c>
      <c r="F16">
        <f>IF(ISBLANK('CONFIGURAÇÃO'!$DD$199),"",'CONFIGURAÇÃO'!$DD$199)</f>
        <v/>
      </c>
      <c r="G16">
        <f>IF(ISBLANK('CONFIGURAÇÃO'!$DD$200),"",'CONFIGURAÇÃO'!$DD$200)</f>
        <v/>
      </c>
      <c r="H16">
        <f>IF(ISBLANK('CONFIGURAÇÃO'!$DD$201),"",'CONFIGURAÇÃO'!$DD$201)</f>
        <v/>
      </c>
      <c r="I16">
        <f>IF(ISBLANK('CONFIGURAÇÃO'!$DA$204),"",'CONFIGURAÇÃO'!$DA$204)</f>
        <v/>
      </c>
      <c r="J16">
        <f>IF(ISBLANK('CONFIGURAÇÃO'!$DA$210),"",'CONFIGURAÇÃO'!$DA$210)</f>
        <v/>
      </c>
      <c r="K16">
        <f>IF(ISBLANK('CONFIGURAÇÃO'!$DE$195),"",'CONFIGURAÇÃO'!$DE$195)</f>
        <v/>
      </c>
      <c r="L16">
        <f>IF(OR(E16="",E16="Nenhuma"),0,IFERROR(MATCH(SUBSTITUTE(SUBSTITUTE(SUBSTITUTE(E16,"~","~~"),"*","~*"),"?","~?"),'DADOS_MELHORIAS'!$O$2:$O$83,0),-1))</f>
        <v/>
      </c>
      <c r="M16">
        <f>IF(D16="",IF(BR16&lt;&gt;"Melhoria","Preencha NOME",IF(D16="",IF(OR(I16&lt;&gt;"",J16&lt;&gt;"",F16&lt;&gt;"",G16&lt;&gt;"",H16&lt;&gt;"",K16=TRUE,AND(E16&lt;&gt;"",E16&lt;&gt;"Nenhuma")),"Preencha NOME",""),TEXTJOIN(" · ",TRUE,IF(OR(NOT(ISTEXT(D16)),TRIM(D16)&lt;&gt;D16),"NOME precisa ser texto sem espaços nas pontas",""),IF(COUNTIF($D$2:$D$31,SUBSTITUTE(SUBSTITUTE(SUBSTITUTE(D16,"~","~~"),"*","~*"),"?","~?"))+COUNTIF('DADOS_MELHORIAS'!$O$2:$O$83,SUBSTITUTE(SUBSTITUTE(SUBSTITUTE(D16,"~","~~"),"*","~*"),"?","~?"))&gt;1,"Nome repetido no livro ou custom",""),IF(L16&lt;0,"Escolha uma BASE DO LIVRO válida",""),IF(ISLOGICAL(K16),"","MESTRE VIU deve ser caixa de seleção"),IF(AND(G16="",L16&lt;=0),"Escolha PESO",""),IF(AND(G16&lt;&gt;"",COUNTIF('DADOS_MELHORIAS'!$BN$2:$BN$4,SUBSTITUTE(SUBSTITUTE(SUBSTITUTE(G16,"~","~~"),"*","~*"),"?","~?"))&lt;&gt;1),"Peso ou devolução inválido",""),IF(AND(H16&lt;&gt;"",H16&lt;&gt;"Sim",H16&lt;&gt;"Não"),"Escolha Sim ou Não",""),IF(AND(F16&lt;&gt;"",COUNTIF('DADOS_MELHORIAS'!$BM$2:$BM$21,SUBSTITUTE(SUBSTITUTE(SUBSTITUTE(F16,"~","~~"),"*","~*"),"?","~?"))&lt;&gt;1),"Família não cadastrada ou com erro","")))),TEXTJOIN(" · ",TRUE,IF(D16="",IF(OR(I16&lt;&gt;"",J16&lt;&gt;"",F16&lt;&gt;"",G16&lt;&gt;"",H16&lt;&gt;"",K16=TRUE,AND(E16&lt;&gt;"",E16&lt;&gt;"Nenhuma")),"Preencha NOME",""),TEXTJOIN(" · ",TRUE,IF(OR(NOT(ISTEXT(D16)),TRIM(D16)&lt;&gt;D16),"NOME precisa ser texto sem espaços nas pontas",""),IF(COUNTIF($D$2:$D$31,SUBSTITUTE(SUBSTITUTE(SUBSTITUTE(D16,"~","~~"),"*","~*"),"?","~?"))+COUNTIF('DADOS_MELHORIAS'!$O$2:$O$83,SUBSTITUTE(SUBSTITUTE(SUBSTITUTE(D16,"~","~~"),"*","~*"),"?","~?"))&gt;1,"Nome repetido no livro ou custom",""),IF(L16&lt;0,"Escolha uma BASE DO LIVRO válida",""),IF(ISLOGICAL(K16),"","MESTRE VIU deve ser caixa de seleção"),IF(AND(G16="",L16&lt;=0),"Escolha PESO",""),IF(AND(G16&lt;&gt;"",COUNTIF('DADOS_MELHORIAS'!$BN$2:$BN$4,SUBSTITUTE(SUBSTITUTE(SUBSTITUTE(G16,"~","~~"),"*","~*"),"?","~?"))&lt;&gt;1),"Peso ou devolução inválido",""),IF(AND(H16&lt;&gt;"",H16&lt;&gt;"Sim",H16&lt;&gt;"Não"),"Escolha Sim ou Não",""),IF(AND(F16&lt;&gt;"",COUNTIF('DADOS_MELHORIAS'!$BM$2:$BM$21,SUBSTITUTE(SUBSTITUTE(SUBSTITUTE(F16,"~","~~"),"*","~*"),"?","~?"))&lt;&gt;1),"Família não cadastrada ou com erro",""))),IF(AND(BR16&lt;&gt;"Melhoria",BR16&lt;&gt;"Condição"),"Modalidade inválida",""),IF(AND(BR16="Condição",E16&lt;&gt;"",E16&lt;&gt;"Nenhuma",COUNTIF('DADOS_MELHORIAS'!$BU$2:$BU$15,SUBSTITUTE(SUBSTITUTE(SUBSTITUTE(E16,"~","~~"),"*","~*"),"?","~?"))&lt;&gt;1),"Base de Condição inválida",""),IF(AND(BR16="Condição",H16&lt;&gt;"",H16&lt;&gt;"Sim"),"Condição exige TR","")))</f>
        <v/>
      </c>
      <c r="O16">
        <f>IF(ISBLANK(DADOS_AM!$BC$16),"",DADOS_AM!$BC$16)</f>
        <v/>
      </c>
      <c r="P16">
        <f>IF(ISBLANK(DADOS_AM!$BD$16),"",DADOS_AM!$BD$16)</f>
        <v/>
      </c>
      <c r="Q16">
        <f>IF(ISBLANK(DADOS_AM!$BE$16),"",DADOS_AM!$BE$16)</f>
        <v/>
      </c>
      <c r="R16">
        <f>IF(ISBLANK(DADOS_AM!$BF$16),"",DADOS_AM!$BF$16)</f>
        <v/>
      </c>
      <c r="S16">
        <f>IF(ISBLANK(DADOS_AM!$BG$16),"",DADOS_AM!$BG$16)</f>
        <v/>
      </c>
      <c r="T16">
        <f>IF(ISBLANK(DADOS_AM!$BH$16),"",DADOS_AM!$BH$16)</f>
        <v/>
      </c>
      <c r="U16">
        <f>IF(ISBLANK(DADOS_AM!$BI$16),"",DADOS_AM!$BI$16)</f>
        <v/>
      </c>
      <c r="V16">
        <f>IF(ISBLANK(DADOS_AM!$BJ$16),"",DADOS_AM!$BJ$16)</f>
        <v/>
      </c>
      <c r="W16">
        <f>IF(ISBLANK(DADOS_AM!$BK$16),"",DADOS_AM!$BK$16)</f>
        <v/>
      </c>
      <c r="X16" t="inlineStr">
        <is>
          <t>Precisão</t>
        </is>
      </c>
      <c r="Y16" t="n">
        <v>0</v>
      </c>
      <c r="AG16">
        <f>O16</f>
        <v/>
      </c>
      <c r="AH16">
        <f>P16</f>
        <v/>
      </c>
      <c r="AI16">
        <f>Q16</f>
        <v/>
      </c>
      <c r="AJ16">
        <f>T16</f>
        <v/>
      </c>
      <c r="AK16">
        <f>Y16</f>
        <v/>
      </c>
      <c r="AL16">
        <f>W16</f>
        <v/>
      </c>
      <c r="AN16">
        <f>IF(OR(P16="",P16='DADOS_INVOC'!$EL$2,P16='DADOS_INVOC'!$EM$2,P16='DADOS_INVOC'!$EN$2,P16='DADOS_INVOC'!$EO$2,P16='DADOS_INVOC'!$EP$2,P16='DADOS_INVOC'!$QV$2,P16='DADOS_INVOC'!$QW$2,P16='DADOS_INVOC'!$QX$2,P16='DADOS_INVOC'!$QY$2),O16,"")</f>
        <v/>
      </c>
      <c r="AO16">
        <f>IF(AND(Q16=1,OR(P16="",P16='DADOS_INVOC'!$EL$2,P16='DADOS_INVOC'!$EM$2,P16='DADOS_INVOC'!$EN$2,P16='DADOS_INVOC'!$EO$2,P16='DADOS_INVOC'!$EP$2,P16='DADOS_INVOC'!$QV$2,P16='DADOS_INVOC'!$QW$2,P16='DADOS_INVOC'!$QX$2,P16='DADOS_INVOC'!$QY$2)),O16,"")</f>
        <v/>
      </c>
      <c r="AP16">
        <f>IF(OR(P16="",P16='DADOS_INVOC'!$EL$3,P16='DADOS_INVOC'!$EM$3,P16='DADOS_INVOC'!$EN$3,P16='DADOS_INVOC'!$EO$3,P16='DADOS_INVOC'!$EP$3,P16='DADOS_INVOC'!$QV$3,P16='DADOS_INVOC'!$QW$3,P16='DADOS_INVOC'!$QX$3,P16='DADOS_INVOC'!$QY$3),O16,"")</f>
        <v/>
      </c>
      <c r="AQ16">
        <f>IF(AND(Q16=1,OR(P16="",P16='DADOS_INVOC'!$EL$3,P16='DADOS_INVOC'!$EM$3,P16='DADOS_INVOC'!$EN$3,P16='DADOS_INVOC'!$EO$3,P16='DADOS_INVOC'!$EP$3,P16='DADOS_INVOC'!$QV$3,P16='DADOS_INVOC'!$QW$3,P16='DADOS_INVOC'!$QX$3,P16='DADOS_INVOC'!$QY$3)),O16,"")</f>
        <v/>
      </c>
      <c r="AR16">
        <f>IF(OR(P16="",P16='DADOS_INVOC'!$EL$4,P16='DADOS_INVOC'!$EM$4,P16='DADOS_INVOC'!$EN$4,P16='DADOS_INVOC'!$EO$4,P16='DADOS_INVOC'!$EP$4,P16='DADOS_INVOC'!$QV$4,P16='DADOS_INVOC'!$QW$4,P16='DADOS_INVOC'!$QX$4,P16='DADOS_INVOC'!$QY$4),O16,"")</f>
        <v/>
      </c>
      <c r="AS16">
        <f>IF(AND(Q16=1,OR(P16="",P16='DADOS_INVOC'!$EL$4,P16='DADOS_INVOC'!$EM$4,P16='DADOS_INVOC'!$EN$4,P16='DADOS_INVOC'!$EO$4,P16='DADOS_INVOC'!$EP$4,P16='DADOS_INVOC'!$QV$4,P16='DADOS_INVOC'!$QW$4,P16='DADOS_INVOC'!$QX$4,P16='DADOS_INVOC'!$QY$4)),O16,"")</f>
        <v/>
      </c>
      <c r="AT16">
        <f>IF(OR(P16="",P16='DADOS_INVOC'!$EL$5,P16='DADOS_INVOC'!$EM$5,P16='DADOS_INVOC'!$EN$5,P16='DADOS_INVOC'!$EO$5,P16='DADOS_INVOC'!$EP$5,P16='DADOS_INVOC'!$QV$5,P16='DADOS_INVOC'!$QW$5,P16='DADOS_INVOC'!$QX$5,P16='DADOS_INVOC'!$QY$5),O16,"")</f>
        <v/>
      </c>
      <c r="AU16">
        <f>IF(AND(Q16=1,OR(P16="",P16='DADOS_INVOC'!$EL$5,P16='DADOS_INVOC'!$EM$5,P16='DADOS_INVOC'!$EN$5,P16='DADOS_INVOC'!$EO$5,P16='DADOS_INVOC'!$EP$5,P16='DADOS_INVOC'!$QV$5,P16='DADOS_INVOC'!$QW$5,P16='DADOS_INVOC'!$QX$5,P16='DADOS_INVOC'!$QY$5)),O16,"")</f>
        <v/>
      </c>
      <c r="AV16">
        <f>IF(OR(P16="",P16='DADOS_INVOC'!$EL$6,P16='DADOS_INVOC'!$EM$6,P16='DADOS_INVOC'!$EN$6,P16='DADOS_INVOC'!$EO$6,P16='DADOS_INVOC'!$EP$6,P16='DADOS_INVOC'!$QV$6,P16='DADOS_INVOC'!$QW$6,P16='DADOS_INVOC'!$QX$6,P16='DADOS_INVOC'!$QY$6),O16,"")</f>
        <v/>
      </c>
      <c r="AW16">
        <f>IF(AND(Q16=1,OR(P16="",P16='DADOS_INVOC'!$EL$6,P16='DADOS_INVOC'!$EM$6,P16='DADOS_INVOC'!$EN$6,P16='DADOS_INVOC'!$EO$6,P16='DADOS_INVOC'!$EP$6,P16='DADOS_INVOC'!$QV$6,P16='DADOS_INVOC'!$QW$6,P16='DADOS_INVOC'!$QX$6,P16='DADOS_INVOC'!$QY$6)),O16,"")</f>
        <v/>
      </c>
      <c r="AX16">
        <f>IF(OR(P16="",P16='DADOS_INVOC'!$EL$7,P16='DADOS_INVOC'!$EM$7,P16='DADOS_INVOC'!$EN$7,P16='DADOS_INVOC'!$EO$7,P16='DADOS_INVOC'!$EP$7,P16='DADOS_INVOC'!$QV$7,P16='DADOS_INVOC'!$QW$7,P16='DADOS_INVOC'!$QX$7,P16='DADOS_INVOC'!$QY$7),O16,"")</f>
        <v/>
      </c>
      <c r="AY16">
        <f>IF(AND(Q16=1,OR(P16="",P16='DADOS_INVOC'!$EL$7,P16='DADOS_INVOC'!$EM$7,P16='DADOS_INVOC'!$EN$7,P16='DADOS_INVOC'!$EO$7,P16='DADOS_INVOC'!$EP$7,P16='DADOS_INVOC'!$QV$7,P16='DADOS_INVOC'!$QW$7,P16='DADOS_INVOC'!$QX$7,P16='DADOS_INVOC'!$QY$7)),O16,"")</f>
        <v/>
      </c>
      <c r="AZ16">
        <f>IF(OR(P16="",P16='DADOS_INVOC'!$EL$8,P16='DADOS_INVOC'!$EM$8,P16='DADOS_INVOC'!$EN$8,P16='DADOS_INVOC'!$EO$8,P16='DADOS_INVOC'!$EP$8,P16='DADOS_INVOC'!$QV$8,P16='DADOS_INVOC'!$QW$8,P16='DADOS_INVOC'!$QX$8,P16='DADOS_INVOC'!$QY$8),O16,"")</f>
        <v/>
      </c>
      <c r="BA16">
        <f>IF(AND(Q16=1,OR(P16="",P16='DADOS_INVOC'!$EL$8,P16='DADOS_INVOC'!$EM$8,P16='DADOS_INVOC'!$EN$8,P16='DADOS_INVOC'!$EO$8,P16='DADOS_INVOC'!$EP$8,P16='DADOS_INVOC'!$QV$8,P16='DADOS_INVOC'!$QW$8,P16='DADOS_INVOC'!$QX$8,P16='DADOS_INVOC'!$QY$8)),O16,"")</f>
        <v/>
      </c>
      <c r="BB16">
        <f>IF(OR(P16="",P16='DADOS_INVOC'!$EL$9,P16='DADOS_INVOC'!$EM$9,P16='DADOS_INVOC'!$EN$9,P16='DADOS_INVOC'!$EO$9,P16='DADOS_INVOC'!$EP$9,P16='DADOS_INVOC'!$QV$9,P16='DADOS_INVOC'!$QW$9,P16='DADOS_INVOC'!$QX$9,P16='DADOS_INVOC'!$QY$9),O16,"")</f>
        <v/>
      </c>
      <c r="BC16">
        <f>IF(AND(Q16=1,OR(P16="",P16='DADOS_INVOC'!$EL$9,P16='DADOS_INVOC'!$EM$9,P16='DADOS_INVOC'!$EN$9,P16='DADOS_INVOC'!$EO$9,P16='DADOS_INVOC'!$EP$9,P16='DADOS_INVOC'!$QV$9,P16='DADOS_INVOC'!$QW$9,P16='DADOS_INVOC'!$QX$9,P16='DADOS_INVOC'!$QY$9)),O16,"")</f>
        <v/>
      </c>
      <c r="BD16">
        <f>IF(OR(P16="",P16='DADOS_INVOC'!$EL$10,P16='DADOS_INVOC'!$EM$10,P16='DADOS_INVOC'!$EN$10,P16='DADOS_INVOC'!$EO$10,P16='DADOS_INVOC'!$EP$10,P16='DADOS_INVOC'!$QV$10,P16='DADOS_INVOC'!$QW$10,P16='DADOS_INVOC'!$QX$10,P16='DADOS_INVOC'!$QY$10),O16,"")</f>
        <v/>
      </c>
      <c r="BE16">
        <f>IF(AND(Q16=1,OR(P16="",P16='DADOS_INVOC'!$EL$10,P16='DADOS_INVOC'!$EM$10,P16='DADOS_INVOC'!$EN$10,P16='DADOS_INVOC'!$EO$10,P16='DADOS_INVOC'!$EP$10,P16='DADOS_INVOC'!$QV$10,P16='DADOS_INVOC'!$QW$10,P16='DADOS_INVOC'!$QX$10,P16='DADOS_INVOC'!$QY$10)),O16,"")</f>
        <v/>
      </c>
      <c r="BF16">
        <f>IF(OR(P16="",P16='DADOS_INVOC'!$EL$11,P16='DADOS_INVOC'!$EM$11,P16='DADOS_INVOC'!$EN$11,P16='DADOS_INVOC'!$EO$11,P16='DADOS_INVOC'!$EP$11,P16='DADOS_INVOC'!$QV$11,P16='DADOS_INVOC'!$QW$11,P16='DADOS_INVOC'!$QX$11,P16='DADOS_INVOC'!$QY$11),O16,"")</f>
        <v/>
      </c>
      <c r="BG16">
        <f>IF(AND(Q16=1,OR(P16="",P16='DADOS_INVOC'!$EL$11,P16='DADOS_INVOC'!$EM$11,P16='DADOS_INVOC'!$EN$11,P16='DADOS_INVOC'!$EO$11,P16='DADOS_INVOC'!$EP$11,P16='DADOS_INVOC'!$QV$11,P16='DADOS_INVOC'!$QW$11,P16='DADOS_INVOC'!$QX$11,P16='DADOS_INVOC'!$QY$11)),O16,"")</f>
        <v/>
      </c>
      <c r="BH16">
        <f>IF(OR(P16="",P16='DADOS_INVOC'!$EL$12,P16='DADOS_INVOC'!$EM$12,P16='DADOS_INVOC'!$EN$12,P16='DADOS_INVOC'!$EO$12,P16='DADOS_INVOC'!$EP$12,P16='DADOS_INVOC'!$QV$12,P16='DADOS_INVOC'!$QW$12,P16='DADOS_INVOC'!$QX$12,P16='DADOS_INVOC'!$QY$12),O16,"")</f>
        <v/>
      </c>
      <c r="BI16">
        <f>IF(AND(Q16=1,OR(P16="",P16='DADOS_INVOC'!$EL$12,P16='DADOS_INVOC'!$EM$12,P16='DADOS_INVOC'!$EN$12,P16='DADOS_INVOC'!$EO$12,P16='DADOS_INVOC'!$EP$12,P16='DADOS_INVOC'!$QV$12,P16='DADOS_INVOC'!$QW$12,P16='DADOS_INVOC'!$QX$12,P16='DADOS_INVOC'!$QY$12)),O16,"")</f>
        <v/>
      </c>
      <c r="BJ16">
        <f>IF(OR(P16="",P16='DADOS_INVOC'!$EL$13,P16='DADOS_INVOC'!$EM$13,P16='DADOS_INVOC'!$EN$13,P16='DADOS_INVOC'!$EO$13,P16='DADOS_INVOC'!$EP$13,P16='DADOS_INVOC'!$QV$13,P16='DADOS_INVOC'!$QW$13,P16='DADOS_INVOC'!$QX$13,P16='DADOS_INVOC'!$QY$13),O16,"")</f>
        <v/>
      </c>
      <c r="BK16">
        <f>IF(AND(Q16=1,OR(P16="",P16='DADOS_INVOC'!$EL$13,P16='DADOS_INVOC'!$EM$13,P16='DADOS_INVOC'!$EN$13,P16='DADOS_INVOC'!$EO$13,P16='DADOS_INVOC'!$EP$13,P16='DADOS_INVOC'!$QV$13,P16='DADOS_INVOC'!$QW$13,P16='DADOS_INVOC'!$QX$13,P16='DADOS_INVOC'!$QY$13)),O16,"")</f>
        <v/>
      </c>
      <c r="BM16">
        <f>IF('DADOS_CRIACAO'!$H$15="","",'DADOS_CRIACAO'!$H$15)</f>
        <v/>
      </c>
      <c r="BP16" t="inlineStr">
        <is>
          <t>Contorno</t>
        </is>
      </c>
      <c r="BR16">
        <f>IF(OR(ISBLANK('CONFIGURAÇÃO'!$DA$195),'CONFIGURAÇÃO'!$DA$195=""),"Melhoria",'CONFIGURAÇÃO'!$DA$195)</f>
        <v/>
      </c>
    </row>
    <row r="17">
      <c r="A17" t="n">
        <v>1193</v>
      </c>
      <c r="B17" t="n">
        <v>8</v>
      </c>
      <c r="C17" t="n">
        <v>16</v>
      </c>
      <c r="D17">
        <f>IF(ISBLANK('CONFIGURAÇÃO'!$DI$197),"",'CONFIGURAÇÃO'!$DI$197)</f>
        <v/>
      </c>
      <c r="E17">
        <f>IF(ISBLANK('CONFIGURAÇÃO'!$DL$198),"",'CONFIGURAÇÃO'!$DL$198)</f>
        <v/>
      </c>
      <c r="F17">
        <f>IF(ISBLANK('CONFIGURAÇÃO'!$DL$199),"",'CONFIGURAÇÃO'!$DL$199)</f>
        <v/>
      </c>
      <c r="G17">
        <f>IF(ISBLANK('CONFIGURAÇÃO'!$DL$200),"",'CONFIGURAÇÃO'!$DL$200)</f>
        <v/>
      </c>
      <c r="H17">
        <f>IF(ISBLANK('CONFIGURAÇÃO'!$DL$201),"",'CONFIGURAÇÃO'!$DL$201)</f>
        <v/>
      </c>
      <c r="I17">
        <f>IF(ISBLANK('CONFIGURAÇÃO'!$DI$204),"",'CONFIGURAÇÃO'!$DI$204)</f>
        <v/>
      </c>
      <c r="J17">
        <f>IF(ISBLANK('CONFIGURAÇÃO'!$DI$210),"",'CONFIGURAÇÃO'!$DI$210)</f>
        <v/>
      </c>
      <c r="K17">
        <f>IF(ISBLANK('CONFIGURAÇÃO'!$DM$195),"",'CONFIGURAÇÃO'!$DM$195)</f>
        <v/>
      </c>
      <c r="L17">
        <f>IF(OR(E17="",E17="Nenhuma"),0,IFERROR(MATCH(SUBSTITUTE(SUBSTITUTE(SUBSTITUTE(E17,"~","~~"),"*","~*"),"?","~?"),'DADOS_MELHORIAS'!$O$2:$O$83,0),-1))</f>
        <v/>
      </c>
      <c r="M17">
        <f>IF(D17="",IF(BR17&lt;&gt;"Melhoria","Preencha NOME",IF(D17="",IF(OR(I17&lt;&gt;"",J17&lt;&gt;"",F17&lt;&gt;"",G17&lt;&gt;"",H17&lt;&gt;"",K17=TRUE,AND(E17&lt;&gt;"",E17&lt;&gt;"Nenhuma")),"Preencha NOME",""),TEXTJOIN(" · ",TRUE,IF(OR(NOT(ISTEXT(D17)),TRIM(D17)&lt;&gt;D17),"NOME precisa ser texto sem espaços nas pontas",""),IF(COUNTIF($D$2:$D$31,SUBSTITUTE(SUBSTITUTE(SUBSTITUTE(D17,"~","~~"),"*","~*"),"?","~?"))+COUNTIF('DADOS_MELHORIAS'!$O$2:$O$83,SUBSTITUTE(SUBSTITUTE(SUBSTITUTE(D17,"~","~~"),"*","~*"),"?","~?"))&gt;1,"Nome repetido no livro ou custom",""),IF(L17&lt;0,"Escolha uma BASE DO LIVRO válida",""),IF(ISLOGICAL(K17),"","MESTRE VIU deve ser caixa de seleção"),IF(AND(G17="",L17&lt;=0),"Escolha PESO",""),IF(AND(G17&lt;&gt;"",COUNTIF('DADOS_MELHORIAS'!$BN$2:$BN$4,SUBSTITUTE(SUBSTITUTE(SUBSTITUTE(G17,"~","~~"),"*","~*"),"?","~?"))&lt;&gt;1),"Peso ou devolução inválido",""),IF(AND(H17&lt;&gt;"",H17&lt;&gt;"Sim",H17&lt;&gt;"Não"),"Escolha Sim ou Não",""),IF(AND(F17&lt;&gt;"",COUNTIF('DADOS_MELHORIAS'!$BM$2:$BM$21,SUBSTITUTE(SUBSTITUTE(SUBSTITUTE(F17,"~","~~"),"*","~*"),"?","~?"))&lt;&gt;1),"Família não cadastrada ou com erro","")))),TEXTJOIN(" · ",TRUE,IF(D17="",IF(OR(I17&lt;&gt;"",J17&lt;&gt;"",F17&lt;&gt;"",G17&lt;&gt;"",H17&lt;&gt;"",K17=TRUE,AND(E17&lt;&gt;"",E17&lt;&gt;"Nenhuma")),"Preencha NOME",""),TEXTJOIN(" · ",TRUE,IF(OR(NOT(ISTEXT(D17)),TRIM(D17)&lt;&gt;D17),"NOME precisa ser texto sem espaços nas pontas",""),IF(COUNTIF($D$2:$D$31,SUBSTITUTE(SUBSTITUTE(SUBSTITUTE(D17,"~","~~"),"*","~*"),"?","~?"))+COUNTIF('DADOS_MELHORIAS'!$O$2:$O$83,SUBSTITUTE(SUBSTITUTE(SUBSTITUTE(D17,"~","~~"),"*","~*"),"?","~?"))&gt;1,"Nome repetido no livro ou custom",""),IF(L17&lt;0,"Escolha uma BASE DO LIVRO válida",""),IF(ISLOGICAL(K17),"","MESTRE VIU deve ser caixa de seleção"),IF(AND(G17="",L17&lt;=0),"Escolha PESO",""),IF(AND(G17&lt;&gt;"",COUNTIF('DADOS_MELHORIAS'!$BN$2:$BN$4,SUBSTITUTE(SUBSTITUTE(SUBSTITUTE(G17,"~","~~"),"*","~*"),"?","~?"))&lt;&gt;1),"Peso ou devolução inválido",""),IF(AND(H17&lt;&gt;"",H17&lt;&gt;"Sim",H17&lt;&gt;"Não"),"Escolha Sim ou Não",""),IF(AND(F17&lt;&gt;"",COUNTIF('DADOS_MELHORIAS'!$BM$2:$BM$21,SUBSTITUTE(SUBSTITUTE(SUBSTITUTE(F17,"~","~~"),"*","~*"),"?","~?"))&lt;&gt;1),"Família não cadastrada ou com erro",""))),IF(AND(BR17&lt;&gt;"Melhoria",BR17&lt;&gt;"Condição"),"Modalidade inválida",""),IF(AND(BR17="Condição",E17&lt;&gt;"",E17&lt;&gt;"Nenhuma",COUNTIF('DADOS_MELHORIAS'!$BU$2:$BU$15,SUBSTITUTE(SUBSTITUTE(SUBSTITUTE(E17,"~","~~"),"*","~*"),"?","~?"))&lt;&gt;1),"Base de Condição inválida",""),IF(AND(BR17="Condição",H17&lt;&gt;"",H17&lt;&gt;"Sim"),"Condição exige TR","")))</f>
        <v/>
      </c>
      <c r="O17">
        <f>IF(ISBLANK(DADOS_AM!$BC$17),"",DADOS_AM!$BC$17)</f>
        <v/>
      </c>
      <c r="P17">
        <f>IF(ISBLANK(DADOS_AM!$BD$17),"",DADOS_AM!$BD$17)</f>
        <v/>
      </c>
      <c r="Q17">
        <f>IF(ISBLANK(DADOS_AM!$BE$17),"",DADOS_AM!$BE$17)</f>
        <v/>
      </c>
      <c r="R17">
        <f>IF(ISBLANK(DADOS_AM!$BF$17),"",DADOS_AM!$BF$17)</f>
        <v/>
      </c>
      <c r="S17">
        <f>IF(ISBLANK(DADOS_AM!$BG$17),"",DADOS_AM!$BG$17)</f>
        <v/>
      </c>
      <c r="T17">
        <f>IF(ISBLANK(DADOS_AM!$BH$17),"",DADOS_AM!$BH$17)</f>
        <v/>
      </c>
      <c r="U17">
        <f>IF(ISBLANK(DADOS_AM!$BI$17),"",DADOS_AM!$BI$17)</f>
        <v/>
      </c>
      <c r="V17">
        <f>IF(ISBLANK(DADOS_AM!$BJ$17),"",DADOS_AM!$BJ$17)</f>
        <v/>
      </c>
      <c r="W17">
        <f>IF(ISBLANK(DADOS_AM!$BK$17),"",DADOS_AM!$BK$17)</f>
        <v/>
      </c>
      <c r="X17" t="inlineStr">
        <is>
          <t>Certeiro</t>
        </is>
      </c>
      <c r="Y17" t="n">
        <v>0</v>
      </c>
      <c r="AG17">
        <f>O17</f>
        <v/>
      </c>
      <c r="AH17">
        <f>P17</f>
        <v/>
      </c>
      <c r="AI17">
        <f>Q17</f>
        <v/>
      </c>
      <c r="AJ17">
        <f>T17</f>
        <v/>
      </c>
      <c r="AK17">
        <f>Y17</f>
        <v/>
      </c>
      <c r="AL17">
        <f>W17</f>
        <v/>
      </c>
      <c r="AN17">
        <f>IF(OR(P17="",P17='DADOS_INVOC'!$EL$2,P17='DADOS_INVOC'!$EM$2,P17='DADOS_INVOC'!$EN$2,P17='DADOS_INVOC'!$EO$2,P17='DADOS_INVOC'!$EP$2,P17='DADOS_INVOC'!$QV$2,P17='DADOS_INVOC'!$QW$2,P17='DADOS_INVOC'!$QX$2,P17='DADOS_INVOC'!$QY$2),O17,"")</f>
        <v/>
      </c>
      <c r="AO17">
        <f>IF(AND(Q17=1,OR(P17="",P17='DADOS_INVOC'!$EL$2,P17='DADOS_INVOC'!$EM$2,P17='DADOS_INVOC'!$EN$2,P17='DADOS_INVOC'!$EO$2,P17='DADOS_INVOC'!$EP$2,P17='DADOS_INVOC'!$QV$2,P17='DADOS_INVOC'!$QW$2,P17='DADOS_INVOC'!$QX$2,P17='DADOS_INVOC'!$QY$2)),O17,"")</f>
        <v/>
      </c>
      <c r="AP17">
        <f>IF(OR(P17="",P17='DADOS_INVOC'!$EL$3,P17='DADOS_INVOC'!$EM$3,P17='DADOS_INVOC'!$EN$3,P17='DADOS_INVOC'!$EO$3,P17='DADOS_INVOC'!$EP$3,P17='DADOS_INVOC'!$QV$3,P17='DADOS_INVOC'!$QW$3,P17='DADOS_INVOC'!$QX$3,P17='DADOS_INVOC'!$QY$3),O17,"")</f>
        <v/>
      </c>
      <c r="AQ17">
        <f>IF(AND(Q17=1,OR(P17="",P17='DADOS_INVOC'!$EL$3,P17='DADOS_INVOC'!$EM$3,P17='DADOS_INVOC'!$EN$3,P17='DADOS_INVOC'!$EO$3,P17='DADOS_INVOC'!$EP$3,P17='DADOS_INVOC'!$QV$3,P17='DADOS_INVOC'!$QW$3,P17='DADOS_INVOC'!$QX$3,P17='DADOS_INVOC'!$QY$3)),O17,"")</f>
        <v/>
      </c>
      <c r="AR17">
        <f>IF(OR(P17="",P17='DADOS_INVOC'!$EL$4,P17='DADOS_INVOC'!$EM$4,P17='DADOS_INVOC'!$EN$4,P17='DADOS_INVOC'!$EO$4,P17='DADOS_INVOC'!$EP$4,P17='DADOS_INVOC'!$QV$4,P17='DADOS_INVOC'!$QW$4,P17='DADOS_INVOC'!$QX$4,P17='DADOS_INVOC'!$QY$4),O17,"")</f>
        <v/>
      </c>
      <c r="AS17">
        <f>IF(AND(Q17=1,OR(P17="",P17='DADOS_INVOC'!$EL$4,P17='DADOS_INVOC'!$EM$4,P17='DADOS_INVOC'!$EN$4,P17='DADOS_INVOC'!$EO$4,P17='DADOS_INVOC'!$EP$4,P17='DADOS_INVOC'!$QV$4,P17='DADOS_INVOC'!$QW$4,P17='DADOS_INVOC'!$QX$4,P17='DADOS_INVOC'!$QY$4)),O17,"")</f>
        <v/>
      </c>
      <c r="AT17">
        <f>IF(OR(P17="",P17='DADOS_INVOC'!$EL$5,P17='DADOS_INVOC'!$EM$5,P17='DADOS_INVOC'!$EN$5,P17='DADOS_INVOC'!$EO$5,P17='DADOS_INVOC'!$EP$5,P17='DADOS_INVOC'!$QV$5,P17='DADOS_INVOC'!$QW$5,P17='DADOS_INVOC'!$QX$5,P17='DADOS_INVOC'!$QY$5),O17,"")</f>
        <v/>
      </c>
      <c r="AU17">
        <f>IF(AND(Q17=1,OR(P17="",P17='DADOS_INVOC'!$EL$5,P17='DADOS_INVOC'!$EM$5,P17='DADOS_INVOC'!$EN$5,P17='DADOS_INVOC'!$EO$5,P17='DADOS_INVOC'!$EP$5,P17='DADOS_INVOC'!$QV$5,P17='DADOS_INVOC'!$QW$5,P17='DADOS_INVOC'!$QX$5,P17='DADOS_INVOC'!$QY$5)),O17,"")</f>
        <v/>
      </c>
      <c r="AV17">
        <f>IF(OR(P17="",P17='DADOS_INVOC'!$EL$6,P17='DADOS_INVOC'!$EM$6,P17='DADOS_INVOC'!$EN$6,P17='DADOS_INVOC'!$EO$6,P17='DADOS_INVOC'!$EP$6,P17='DADOS_INVOC'!$QV$6,P17='DADOS_INVOC'!$QW$6,P17='DADOS_INVOC'!$QX$6,P17='DADOS_INVOC'!$QY$6),O17,"")</f>
        <v/>
      </c>
      <c r="AW17">
        <f>IF(AND(Q17=1,OR(P17="",P17='DADOS_INVOC'!$EL$6,P17='DADOS_INVOC'!$EM$6,P17='DADOS_INVOC'!$EN$6,P17='DADOS_INVOC'!$EO$6,P17='DADOS_INVOC'!$EP$6,P17='DADOS_INVOC'!$QV$6,P17='DADOS_INVOC'!$QW$6,P17='DADOS_INVOC'!$QX$6,P17='DADOS_INVOC'!$QY$6)),O17,"")</f>
        <v/>
      </c>
      <c r="AX17">
        <f>IF(OR(P17="",P17='DADOS_INVOC'!$EL$7,P17='DADOS_INVOC'!$EM$7,P17='DADOS_INVOC'!$EN$7,P17='DADOS_INVOC'!$EO$7,P17='DADOS_INVOC'!$EP$7,P17='DADOS_INVOC'!$QV$7,P17='DADOS_INVOC'!$QW$7,P17='DADOS_INVOC'!$QX$7,P17='DADOS_INVOC'!$QY$7),O17,"")</f>
        <v/>
      </c>
      <c r="AY17">
        <f>IF(AND(Q17=1,OR(P17="",P17='DADOS_INVOC'!$EL$7,P17='DADOS_INVOC'!$EM$7,P17='DADOS_INVOC'!$EN$7,P17='DADOS_INVOC'!$EO$7,P17='DADOS_INVOC'!$EP$7,P17='DADOS_INVOC'!$QV$7,P17='DADOS_INVOC'!$QW$7,P17='DADOS_INVOC'!$QX$7,P17='DADOS_INVOC'!$QY$7)),O17,"")</f>
        <v/>
      </c>
      <c r="AZ17">
        <f>IF(OR(P17="",P17='DADOS_INVOC'!$EL$8,P17='DADOS_INVOC'!$EM$8,P17='DADOS_INVOC'!$EN$8,P17='DADOS_INVOC'!$EO$8,P17='DADOS_INVOC'!$EP$8,P17='DADOS_INVOC'!$QV$8,P17='DADOS_INVOC'!$QW$8,P17='DADOS_INVOC'!$QX$8,P17='DADOS_INVOC'!$QY$8),O17,"")</f>
        <v/>
      </c>
      <c r="BA17">
        <f>IF(AND(Q17=1,OR(P17="",P17='DADOS_INVOC'!$EL$8,P17='DADOS_INVOC'!$EM$8,P17='DADOS_INVOC'!$EN$8,P17='DADOS_INVOC'!$EO$8,P17='DADOS_INVOC'!$EP$8,P17='DADOS_INVOC'!$QV$8,P17='DADOS_INVOC'!$QW$8,P17='DADOS_INVOC'!$QX$8,P17='DADOS_INVOC'!$QY$8)),O17,"")</f>
        <v/>
      </c>
      <c r="BB17">
        <f>IF(OR(P17="",P17='DADOS_INVOC'!$EL$9,P17='DADOS_INVOC'!$EM$9,P17='DADOS_INVOC'!$EN$9,P17='DADOS_INVOC'!$EO$9,P17='DADOS_INVOC'!$EP$9,P17='DADOS_INVOC'!$QV$9,P17='DADOS_INVOC'!$QW$9,P17='DADOS_INVOC'!$QX$9,P17='DADOS_INVOC'!$QY$9),O17,"")</f>
        <v/>
      </c>
      <c r="BC17">
        <f>IF(AND(Q17=1,OR(P17="",P17='DADOS_INVOC'!$EL$9,P17='DADOS_INVOC'!$EM$9,P17='DADOS_INVOC'!$EN$9,P17='DADOS_INVOC'!$EO$9,P17='DADOS_INVOC'!$EP$9,P17='DADOS_INVOC'!$QV$9,P17='DADOS_INVOC'!$QW$9,P17='DADOS_INVOC'!$QX$9,P17='DADOS_INVOC'!$QY$9)),O17,"")</f>
        <v/>
      </c>
      <c r="BD17">
        <f>IF(OR(P17="",P17='DADOS_INVOC'!$EL$10,P17='DADOS_INVOC'!$EM$10,P17='DADOS_INVOC'!$EN$10,P17='DADOS_INVOC'!$EO$10,P17='DADOS_INVOC'!$EP$10,P17='DADOS_INVOC'!$QV$10,P17='DADOS_INVOC'!$QW$10,P17='DADOS_INVOC'!$QX$10,P17='DADOS_INVOC'!$QY$10),O17,"")</f>
        <v/>
      </c>
      <c r="BE17">
        <f>IF(AND(Q17=1,OR(P17="",P17='DADOS_INVOC'!$EL$10,P17='DADOS_INVOC'!$EM$10,P17='DADOS_INVOC'!$EN$10,P17='DADOS_INVOC'!$EO$10,P17='DADOS_INVOC'!$EP$10,P17='DADOS_INVOC'!$QV$10,P17='DADOS_INVOC'!$QW$10,P17='DADOS_INVOC'!$QX$10,P17='DADOS_INVOC'!$QY$10)),O17,"")</f>
        <v/>
      </c>
      <c r="BF17">
        <f>IF(OR(P17="",P17='DADOS_INVOC'!$EL$11,P17='DADOS_INVOC'!$EM$11,P17='DADOS_INVOC'!$EN$11,P17='DADOS_INVOC'!$EO$11,P17='DADOS_INVOC'!$EP$11,P17='DADOS_INVOC'!$QV$11,P17='DADOS_INVOC'!$QW$11,P17='DADOS_INVOC'!$QX$11,P17='DADOS_INVOC'!$QY$11),O17,"")</f>
        <v/>
      </c>
      <c r="BG17">
        <f>IF(AND(Q17=1,OR(P17="",P17='DADOS_INVOC'!$EL$11,P17='DADOS_INVOC'!$EM$11,P17='DADOS_INVOC'!$EN$11,P17='DADOS_INVOC'!$EO$11,P17='DADOS_INVOC'!$EP$11,P17='DADOS_INVOC'!$QV$11,P17='DADOS_INVOC'!$QW$11,P17='DADOS_INVOC'!$QX$11,P17='DADOS_INVOC'!$QY$11)),O17,"")</f>
        <v/>
      </c>
      <c r="BH17">
        <f>IF(OR(P17="",P17='DADOS_INVOC'!$EL$12,P17='DADOS_INVOC'!$EM$12,P17='DADOS_INVOC'!$EN$12,P17='DADOS_INVOC'!$EO$12,P17='DADOS_INVOC'!$EP$12,P17='DADOS_INVOC'!$QV$12,P17='DADOS_INVOC'!$QW$12,P17='DADOS_INVOC'!$QX$12,P17='DADOS_INVOC'!$QY$12),O17,"")</f>
        <v/>
      </c>
      <c r="BI17">
        <f>IF(AND(Q17=1,OR(P17="",P17='DADOS_INVOC'!$EL$12,P17='DADOS_INVOC'!$EM$12,P17='DADOS_INVOC'!$EN$12,P17='DADOS_INVOC'!$EO$12,P17='DADOS_INVOC'!$EP$12,P17='DADOS_INVOC'!$QV$12,P17='DADOS_INVOC'!$QW$12,P17='DADOS_INVOC'!$QX$12,P17='DADOS_INVOC'!$QY$12)),O17,"")</f>
        <v/>
      </c>
      <c r="BJ17">
        <f>IF(OR(P17="",P17='DADOS_INVOC'!$EL$13,P17='DADOS_INVOC'!$EM$13,P17='DADOS_INVOC'!$EN$13,P17='DADOS_INVOC'!$EO$13,P17='DADOS_INVOC'!$EP$13,P17='DADOS_INVOC'!$QV$13,P17='DADOS_INVOC'!$QW$13,P17='DADOS_INVOC'!$QX$13,P17='DADOS_INVOC'!$QY$13),O17,"")</f>
        <v/>
      </c>
      <c r="BK17">
        <f>IF(AND(Q17=1,OR(P17="",P17='DADOS_INVOC'!$EL$13,P17='DADOS_INVOC'!$EM$13,P17='DADOS_INVOC'!$EN$13,P17='DADOS_INVOC'!$EO$13,P17='DADOS_INVOC'!$EP$13,P17='DADOS_INVOC'!$QV$13,P17='DADOS_INVOC'!$QW$13,P17='DADOS_INVOC'!$QX$13,P17='DADOS_INVOC'!$QY$13)),O17,"")</f>
        <v/>
      </c>
      <c r="BM17">
        <f>IF('DADOS_CRIACAO'!$H$16="","",'DADOS_CRIACAO'!$H$16)</f>
        <v/>
      </c>
      <c r="BP17" t="inlineStr">
        <is>
          <t>Precisão</t>
        </is>
      </c>
      <c r="BR17">
        <f>IF(OR(ISBLANK('CONFIGURAÇÃO'!$DI$195),'CONFIGURAÇÃO'!$DI$195=""),"Melhoria",'CONFIGURAÇÃO'!$DI$195)</f>
        <v/>
      </c>
    </row>
    <row r="18">
      <c r="A18" t="n">
        <v>1219</v>
      </c>
      <c r="B18" t="n">
        <v>0</v>
      </c>
      <c r="C18" t="n">
        <v>17</v>
      </c>
      <c r="D18">
        <f>IF(ISBLANK('CONFIGURAÇÃO'!$DA$223),"",'CONFIGURAÇÃO'!$DA$223)</f>
        <v/>
      </c>
      <c r="E18">
        <f>IF(ISBLANK('CONFIGURAÇÃO'!$DD$224),"",'CONFIGURAÇÃO'!$DD$224)</f>
        <v/>
      </c>
      <c r="F18">
        <f>IF(ISBLANK('CONFIGURAÇÃO'!$DD$225),"",'CONFIGURAÇÃO'!$DD$225)</f>
        <v/>
      </c>
      <c r="G18">
        <f>IF(ISBLANK('CONFIGURAÇÃO'!$DD$226),"",'CONFIGURAÇÃO'!$DD$226)</f>
        <v/>
      </c>
      <c r="H18">
        <f>IF(ISBLANK('CONFIGURAÇÃO'!$DD$227),"",'CONFIGURAÇÃO'!$DD$227)</f>
        <v/>
      </c>
      <c r="I18">
        <f>IF(ISBLANK('CONFIGURAÇÃO'!$DA$230),"",'CONFIGURAÇÃO'!$DA$230)</f>
        <v/>
      </c>
      <c r="J18">
        <f>IF(ISBLANK('CONFIGURAÇÃO'!$DA$236),"",'CONFIGURAÇÃO'!$DA$236)</f>
        <v/>
      </c>
      <c r="K18">
        <f>IF(ISBLANK('CONFIGURAÇÃO'!$DE$221),"",'CONFIGURAÇÃO'!$DE$221)</f>
        <v/>
      </c>
      <c r="L18">
        <f>IF(OR(E18="",E18="Nenhuma"),0,IFERROR(MATCH(SUBSTITUTE(SUBSTITUTE(SUBSTITUTE(E18,"~","~~"),"*","~*"),"?","~?"),'DADOS_MELHORIAS'!$O$2:$O$83,0),-1))</f>
        <v/>
      </c>
      <c r="M18">
        <f>IF(D18="",IF(BR18&lt;&gt;"Melhoria","Preencha NOME",IF(D18="",IF(OR(I18&lt;&gt;"",J18&lt;&gt;"",F18&lt;&gt;"",G18&lt;&gt;"",H18&lt;&gt;"",K18=TRUE,AND(E18&lt;&gt;"",E18&lt;&gt;"Nenhuma")),"Preencha NOME",""),TEXTJOIN(" · ",TRUE,IF(OR(NOT(ISTEXT(D18)),TRIM(D18)&lt;&gt;D18),"NOME precisa ser texto sem espaços nas pontas",""),IF(COUNTIF($D$2:$D$31,SUBSTITUTE(SUBSTITUTE(SUBSTITUTE(D18,"~","~~"),"*","~*"),"?","~?"))+COUNTIF('DADOS_MELHORIAS'!$O$2:$O$83,SUBSTITUTE(SUBSTITUTE(SUBSTITUTE(D18,"~","~~"),"*","~*"),"?","~?"))&gt;1,"Nome repetido no livro ou custom",""),IF(L18&lt;0,"Escolha uma BASE DO LIVRO válida",""),IF(ISLOGICAL(K18),"","MESTRE VIU deve ser caixa de seleção"),IF(AND(G18="",L18&lt;=0),"Escolha PESO",""),IF(AND(G18&lt;&gt;"",COUNTIF('DADOS_MELHORIAS'!$BN$2:$BN$4,SUBSTITUTE(SUBSTITUTE(SUBSTITUTE(G18,"~","~~"),"*","~*"),"?","~?"))&lt;&gt;1),"Peso ou devolução inválido",""),IF(AND(H18&lt;&gt;"",H18&lt;&gt;"Sim",H18&lt;&gt;"Não"),"Escolha Sim ou Não",""),IF(AND(F18&lt;&gt;"",COUNTIF('DADOS_MELHORIAS'!$BM$2:$BM$21,SUBSTITUTE(SUBSTITUTE(SUBSTITUTE(F18,"~","~~"),"*","~*"),"?","~?"))&lt;&gt;1),"Família não cadastrada ou com erro","")))),TEXTJOIN(" · ",TRUE,IF(D18="",IF(OR(I18&lt;&gt;"",J18&lt;&gt;"",F18&lt;&gt;"",G18&lt;&gt;"",H18&lt;&gt;"",K18=TRUE,AND(E18&lt;&gt;"",E18&lt;&gt;"Nenhuma")),"Preencha NOME",""),TEXTJOIN(" · ",TRUE,IF(OR(NOT(ISTEXT(D18)),TRIM(D18)&lt;&gt;D18),"NOME precisa ser texto sem espaços nas pontas",""),IF(COUNTIF($D$2:$D$31,SUBSTITUTE(SUBSTITUTE(SUBSTITUTE(D18,"~","~~"),"*","~*"),"?","~?"))+COUNTIF('DADOS_MELHORIAS'!$O$2:$O$83,SUBSTITUTE(SUBSTITUTE(SUBSTITUTE(D18,"~","~~"),"*","~*"),"?","~?"))&gt;1,"Nome repetido no livro ou custom",""),IF(L18&lt;0,"Escolha uma BASE DO LIVRO válida",""),IF(ISLOGICAL(K18),"","MESTRE VIU deve ser caixa de seleção"),IF(AND(G18="",L18&lt;=0),"Escolha PESO",""),IF(AND(G18&lt;&gt;"",COUNTIF('DADOS_MELHORIAS'!$BN$2:$BN$4,SUBSTITUTE(SUBSTITUTE(SUBSTITUTE(G18,"~","~~"),"*","~*"),"?","~?"))&lt;&gt;1),"Peso ou devolução inválido",""),IF(AND(H18&lt;&gt;"",H18&lt;&gt;"Sim",H18&lt;&gt;"Não"),"Escolha Sim ou Não",""),IF(AND(F18&lt;&gt;"",COUNTIF('DADOS_MELHORIAS'!$BM$2:$BM$21,SUBSTITUTE(SUBSTITUTE(SUBSTITUTE(F18,"~","~~"),"*","~*"),"?","~?"))&lt;&gt;1),"Família não cadastrada ou com erro",""))),IF(AND(BR18&lt;&gt;"Melhoria",BR18&lt;&gt;"Condição"),"Modalidade inválida",""),IF(AND(BR18="Condição",E18&lt;&gt;"",E18&lt;&gt;"Nenhuma",COUNTIF('DADOS_MELHORIAS'!$BU$2:$BU$15,SUBSTITUTE(SUBSTITUTE(SUBSTITUTE(E18,"~","~~"),"*","~*"),"?","~?"))&lt;&gt;1),"Base de Condição inválida",""),IF(AND(BR18="Condição",H18&lt;&gt;"",H18&lt;&gt;"Sim"),"Condição exige TR","")))</f>
        <v/>
      </c>
      <c r="O18">
        <f>IF(ISBLANK(DADOS_AM!$BC$18),"",DADOS_AM!$BC$18)</f>
        <v/>
      </c>
      <c r="P18">
        <f>IF(ISBLANK(DADOS_AM!$BD$18),"",DADOS_AM!$BD$18)</f>
        <v/>
      </c>
      <c r="Q18">
        <f>IF(ISBLANK(DADOS_AM!$BE$18),"",DADOS_AM!$BE$18)</f>
        <v/>
      </c>
      <c r="R18">
        <f>IF(ISBLANK(DADOS_AM!$BF$18),"",DADOS_AM!$BF$18)</f>
        <v/>
      </c>
      <c r="S18">
        <f>IF(ISBLANK(DADOS_AM!$BG$18),"",DADOS_AM!$BG$18)</f>
        <v/>
      </c>
      <c r="T18">
        <f>IF(ISBLANK(DADOS_AM!$BH$18),"",DADOS_AM!$BH$18)</f>
        <v/>
      </c>
      <c r="U18">
        <f>IF(ISBLANK(DADOS_AM!$BI$18),"",DADOS_AM!$BI$18)</f>
        <v/>
      </c>
      <c r="V18">
        <f>IF(ISBLANK(DADOS_AM!$BJ$18),"",DADOS_AM!$BJ$18)</f>
        <v/>
      </c>
      <c r="W18">
        <f>IF(ISBLANK(DADOS_AM!$BK$18),"",DADOS_AM!$BK$18)</f>
        <v/>
      </c>
      <c r="X18" t="inlineStr">
        <is>
          <t>Inescapável</t>
        </is>
      </c>
      <c r="Y18" t="n">
        <v>0</v>
      </c>
      <c r="AG18">
        <f>O18</f>
        <v/>
      </c>
      <c r="AH18">
        <f>P18</f>
        <v/>
      </c>
      <c r="AI18">
        <f>Q18</f>
        <v/>
      </c>
      <c r="AJ18">
        <f>T18</f>
        <v/>
      </c>
      <c r="AK18">
        <f>Y18</f>
        <v/>
      </c>
      <c r="AL18">
        <f>W18</f>
        <v/>
      </c>
      <c r="AN18">
        <f>IF(OR(P18="",P18='DADOS_INVOC'!$EL$2,P18='DADOS_INVOC'!$EM$2,P18='DADOS_INVOC'!$EN$2,P18='DADOS_INVOC'!$EO$2,P18='DADOS_INVOC'!$EP$2,P18='DADOS_INVOC'!$QV$2,P18='DADOS_INVOC'!$QW$2,P18='DADOS_INVOC'!$QX$2,P18='DADOS_INVOC'!$QY$2),O18,"")</f>
        <v/>
      </c>
      <c r="AO18">
        <f>IF(AND(Q18=1,OR(P18="",P18='DADOS_INVOC'!$EL$2,P18='DADOS_INVOC'!$EM$2,P18='DADOS_INVOC'!$EN$2,P18='DADOS_INVOC'!$EO$2,P18='DADOS_INVOC'!$EP$2,P18='DADOS_INVOC'!$QV$2,P18='DADOS_INVOC'!$QW$2,P18='DADOS_INVOC'!$QX$2,P18='DADOS_INVOC'!$QY$2)),O18,"")</f>
        <v/>
      </c>
      <c r="AP18">
        <f>IF(OR(P18="",P18='DADOS_INVOC'!$EL$3,P18='DADOS_INVOC'!$EM$3,P18='DADOS_INVOC'!$EN$3,P18='DADOS_INVOC'!$EO$3,P18='DADOS_INVOC'!$EP$3,P18='DADOS_INVOC'!$QV$3,P18='DADOS_INVOC'!$QW$3,P18='DADOS_INVOC'!$QX$3,P18='DADOS_INVOC'!$QY$3),O18,"")</f>
        <v/>
      </c>
      <c r="AQ18">
        <f>IF(AND(Q18=1,OR(P18="",P18='DADOS_INVOC'!$EL$3,P18='DADOS_INVOC'!$EM$3,P18='DADOS_INVOC'!$EN$3,P18='DADOS_INVOC'!$EO$3,P18='DADOS_INVOC'!$EP$3,P18='DADOS_INVOC'!$QV$3,P18='DADOS_INVOC'!$QW$3,P18='DADOS_INVOC'!$QX$3,P18='DADOS_INVOC'!$QY$3)),O18,"")</f>
        <v/>
      </c>
      <c r="AR18">
        <f>IF(OR(P18="",P18='DADOS_INVOC'!$EL$4,P18='DADOS_INVOC'!$EM$4,P18='DADOS_INVOC'!$EN$4,P18='DADOS_INVOC'!$EO$4,P18='DADOS_INVOC'!$EP$4,P18='DADOS_INVOC'!$QV$4,P18='DADOS_INVOC'!$QW$4,P18='DADOS_INVOC'!$QX$4,P18='DADOS_INVOC'!$QY$4),O18,"")</f>
        <v/>
      </c>
      <c r="AS18">
        <f>IF(AND(Q18=1,OR(P18="",P18='DADOS_INVOC'!$EL$4,P18='DADOS_INVOC'!$EM$4,P18='DADOS_INVOC'!$EN$4,P18='DADOS_INVOC'!$EO$4,P18='DADOS_INVOC'!$EP$4,P18='DADOS_INVOC'!$QV$4,P18='DADOS_INVOC'!$QW$4,P18='DADOS_INVOC'!$QX$4,P18='DADOS_INVOC'!$QY$4)),O18,"")</f>
        <v/>
      </c>
      <c r="AT18">
        <f>IF(OR(P18="",P18='DADOS_INVOC'!$EL$5,P18='DADOS_INVOC'!$EM$5,P18='DADOS_INVOC'!$EN$5,P18='DADOS_INVOC'!$EO$5,P18='DADOS_INVOC'!$EP$5,P18='DADOS_INVOC'!$QV$5,P18='DADOS_INVOC'!$QW$5,P18='DADOS_INVOC'!$QX$5,P18='DADOS_INVOC'!$QY$5),O18,"")</f>
        <v/>
      </c>
      <c r="AU18">
        <f>IF(AND(Q18=1,OR(P18="",P18='DADOS_INVOC'!$EL$5,P18='DADOS_INVOC'!$EM$5,P18='DADOS_INVOC'!$EN$5,P18='DADOS_INVOC'!$EO$5,P18='DADOS_INVOC'!$EP$5,P18='DADOS_INVOC'!$QV$5,P18='DADOS_INVOC'!$QW$5,P18='DADOS_INVOC'!$QX$5,P18='DADOS_INVOC'!$QY$5)),O18,"")</f>
        <v/>
      </c>
      <c r="AV18">
        <f>IF(OR(P18="",P18='DADOS_INVOC'!$EL$6,P18='DADOS_INVOC'!$EM$6,P18='DADOS_INVOC'!$EN$6,P18='DADOS_INVOC'!$EO$6,P18='DADOS_INVOC'!$EP$6,P18='DADOS_INVOC'!$QV$6,P18='DADOS_INVOC'!$QW$6,P18='DADOS_INVOC'!$QX$6,P18='DADOS_INVOC'!$QY$6),O18,"")</f>
        <v/>
      </c>
      <c r="AW18">
        <f>IF(AND(Q18=1,OR(P18="",P18='DADOS_INVOC'!$EL$6,P18='DADOS_INVOC'!$EM$6,P18='DADOS_INVOC'!$EN$6,P18='DADOS_INVOC'!$EO$6,P18='DADOS_INVOC'!$EP$6,P18='DADOS_INVOC'!$QV$6,P18='DADOS_INVOC'!$QW$6,P18='DADOS_INVOC'!$QX$6,P18='DADOS_INVOC'!$QY$6)),O18,"")</f>
        <v/>
      </c>
      <c r="AX18">
        <f>IF(OR(P18="",P18='DADOS_INVOC'!$EL$7,P18='DADOS_INVOC'!$EM$7,P18='DADOS_INVOC'!$EN$7,P18='DADOS_INVOC'!$EO$7,P18='DADOS_INVOC'!$EP$7,P18='DADOS_INVOC'!$QV$7,P18='DADOS_INVOC'!$QW$7,P18='DADOS_INVOC'!$QX$7,P18='DADOS_INVOC'!$QY$7),O18,"")</f>
        <v/>
      </c>
      <c r="AY18">
        <f>IF(AND(Q18=1,OR(P18="",P18='DADOS_INVOC'!$EL$7,P18='DADOS_INVOC'!$EM$7,P18='DADOS_INVOC'!$EN$7,P18='DADOS_INVOC'!$EO$7,P18='DADOS_INVOC'!$EP$7,P18='DADOS_INVOC'!$QV$7,P18='DADOS_INVOC'!$QW$7,P18='DADOS_INVOC'!$QX$7,P18='DADOS_INVOC'!$QY$7)),O18,"")</f>
        <v/>
      </c>
      <c r="AZ18">
        <f>IF(OR(P18="",P18='DADOS_INVOC'!$EL$8,P18='DADOS_INVOC'!$EM$8,P18='DADOS_INVOC'!$EN$8,P18='DADOS_INVOC'!$EO$8,P18='DADOS_INVOC'!$EP$8,P18='DADOS_INVOC'!$QV$8,P18='DADOS_INVOC'!$QW$8,P18='DADOS_INVOC'!$QX$8,P18='DADOS_INVOC'!$QY$8),O18,"")</f>
        <v/>
      </c>
      <c r="BA18">
        <f>IF(AND(Q18=1,OR(P18="",P18='DADOS_INVOC'!$EL$8,P18='DADOS_INVOC'!$EM$8,P18='DADOS_INVOC'!$EN$8,P18='DADOS_INVOC'!$EO$8,P18='DADOS_INVOC'!$EP$8,P18='DADOS_INVOC'!$QV$8,P18='DADOS_INVOC'!$QW$8,P18='DADOS_INVOC'!$QX$8,P18='DADOS_INVOC'!$QY$8)),O18,"")</f>
        <v/>
      </c>
      <c r="BB18">
        <f>IF(OR(P18="",P18='DADOS_INVOC'!$EL$9,P18='DADOS_INVOC'!$EM$9,P18='DADOS_INVOC'!$EN$9,P18='DADOS_INVOC'!$EO$9,P18='DADOS_INVOC'!$EP$9,P18='DADOS_INVOC'!$QV$9,P18='DADOS_INVOC'!$QW$9,P18='DADOS_INVOC'!$QX$9,P18='DADOS_INVOC'!$QY$9),O18,"")</f>
        <v/>
      </c>
      <c r="BC18">
        <f>IF(AND(Q18=1,OR(P18="",P18='DADOS_INVOC'!$EL$9,P18='DADOS_INVOC'!$EM$9,P18='DADOS_INVOC'!$EN$9,P18='DADOS_INVOC'!$EO$9,P18='DADOS_INVOC'!$EP$9,P18='DADOS_INVOC'!$QV$9,P18='DADOS_INVOC'!$QW$9,P18='DADOS_INVOC'!$QX$9,P18='DADOS_INVOC'!$QY$9)),O18,"")</f>
        <v/>
      </c>
      <c r="BD18">
        <f>IF(OR(P18="",P18='DADOS_INVOC'!$EL$10,P18='DADOS_INVOC'!$EM$10,P18='DADOS_INVOC'!$EN$10,P18='DADOS_INVOC'!$EO$10,P18='DADOS_INVOC'!$EP$10,P18='DADOS_INVOC'!$QV$10,P18='DADOS_INVOC'!$QW$10,P18='DADOS_INVOC'!$QX$10,P18='DADOS_INVOC'!$QY$10),O18,"")</f>
        <v/>
      </c>
      <c r="BE18">
        <f>IF(AND(Q18=1,OR(P18="",P18='DADOS_INVOC'!$EL$10,P18='DADOS_INVOC'!$EM$10,P18='DADOS_INVOC'!$EN$10,P18='DADOS_INVOC'!$EO$10,P18='DADOS_INVOC'!$EP$10,P18='DADOS_INVOC'!$QV$10,P18='DADOS_INVOC'!$QW$10,P18='DADOS_INVOC'!$QX$10,P18='DADOS_INVOC'!$QY$10)),O18,"")</f>
        <v/>
      </c>
      <c r="BF18">
        <f>IF(OR(P18="",P18='DADOS_INVOC'!$EL$11,P18='DADOS_INVOC'!$EM$11,P18='DADOS_INVOC'!$EN$11,P18='DADOS_INVOC'!$EO$11,P18='DADOS_INVOC'!$EP$11,P18='DADOS_INVOC'!$QV$11,P18='DADOS_INVOC'!$QW$11,P18='DADOS_INVOC'!$QX$11,P18='DADOS_INVOC'!$QY$11),O18,"")</f>
        <v/>
      </c>
      <c r="BG18">
        <f>IF(AND(Q18=1,OR(P18="",P18='DADOS_INVOC'!$EL$11,P18='DADOS_INVOC'!$EM$11,P18='DADOS_INVOC'!$EN$11,P18='DADOS_INVOC'!$EO$11,P18='DADOS_INVOC'!$EP$11,P18='DADOS_INVOC'!$QV$11,P18='DADOS_INVOC'!$QW$11,P18='DADOS_INVOC'!$QX$11,P18='DADOS_INVOC'!$QY$11)),O18,"")</f>
        <v/>
      </c>
      <c r="BH18">
        <f>IF(OR(P18="",P18='DADOS_INVOC'!$EL$12,P18='DADOS_INVOC'!$EM$12,P18='DADOS_INVOC'!$EN$12,P18='DADOS_INVOC'!$EO$12,P18='DADOS_INVOC'!$EP$12,P18='DADOS_INVOC'!$QV$12,P18='DADOS_INVOC'!$QW$12,P18='DADOS_INVOC'!$QX$12,P18='DADOS_INVOC'!$QY$12),O18,"")</f>
        <v/>
      </c>
      <c r="BI18">
        <f>IF(AND(Q18=1,OR(P18="",P18='DADOS_INVOC'!$EL$12,P18='DADOS_INVOC'!$EM$12,P18='DADOS_INVOC'!$EN$12,P18='DADOS_INVOC'!$EO$12,P18='DADOS_INVOC'!$EP$12,P18='DADOS_INVOC'!$QV$12,P18='DADOS_INVOC'!$QW$12,P18='DADOS_INVOC'!$QX$12,P18='DADOS_INVOC'!$QY$12)),O18,"")</f>
        <v/>
      </c>
      <c r="BJ18">
        <f>IF(OR(P18="",P18='DADOS_INVOC'!$EL$13,P18='DADOS_INVOC'!$EM$13,P18='DADOS_INVOC'!$EN$13,P18='DADOS_INVOC'!$EO$13,P18='DADOS_INVOC'!$EP$13,P18='DADOS_INVOC'!$QV$13,P18='DADOS_INVOC'!$QW$13,P18='DADOS_INVOC'!$QX$13,P18='DADOS_INVOC'!$QY$13),O18,"")</f>
        <v/>
      </c>
      <c r="BK18">
        <f>IF(AND(Q18=1,OR(P18="",P18='DADOS_INVOC'!$EL$13,P18='DADOS_INVOC'!$EM$13,P18='DADOS_INVOC'!$EN$13,P18='DADOS_INVOC'!$EO$13,P18='DADOS_INVOC'!$EP$13,P18='DADOS_INVOC'!$QV$13,P18='DADOS_INVOC'!$QW$13,P18='DADOS_INVOC'!$QX$13,P18='DADOS_INVOC'!$QY$13)),O18,"")</f>
        <v/>
      </c>
      <c r="BM18">
        <f>IF('DADOS_CRIACAO'!$H$17="","",'DADOS_CRIACAO'!$H$17)</f>
        <v/>
      </c>
      <c r="BP18" t="inlineStr">
        <is>
          <t>Certeiro</t>
        </is>
      </c>
      <c r="BR18">
        <f>IF(OR(ISBLANK('CONFIGURAÇÃO'!$DA$221),'CONFIGURAÇÃO'!$DA$221=""),"Melhoria",'CONFIGURAÇÃO'!$DA$221)</f>
        <v/>
      </c>
    </row>
    <row r="19">
      <c r="A19" t="n">
        <v>1219</v>
      </c>
      <c r="B19" t="n">
        <v>8</v>
      </c>
      <c r="C19" t="n">
        <v>18</v>
      </c>
      <c r="D19">
        <f>IF(ISBLANK('CONFIGURAÇÃO'!$DI$223),"",'CONFIGURAÇÃO'!$DI$223)</f>
        <v/>
      </c>
      <c r="E19">
        <f>IF(ISBLANK('CONFIGURAÇÃO'!$DL$224),"",'CONFIGURAÇÃO'!$DL$224)</f>
        <v/>
      </c>
      <c r="F19">
        <f>IF(ISBLANK('CONFIGURAÇÃO'!$DL$225),"",'CONFIGURAÇÃO'!$DL$225)</f>
        <v/>
      </c>
      <c r="G19">
        <f>IF(ISBLANK('CONFIGURAÇÃO'!$DL$226),"",'CONFIGURAÇÃO'!$DL$226)</f>
        <v/>
      </c>
      <c r="H19">
        <f>IF(ISBLANK('CONFIGURAÇÃO'!$DL$227),"",'CONFIGURAÇÃO'!$DL$227)</f>
        <v/>
      </c>
      <c r="I19">
        <f>IF(ISBLANK('CONFIGURAÇÃO'!$DI$230),"",'CONFIGURAÇÃO'!$DI$230)</f>
        <v/>
      </c>
      <c r="J19">
        <f>IF(ISBLANK('CONFIGURAÇÃO'!$DI$236),"",'CONFIGURAÇÃO'!$DI$236)</f>
        <v/>
      </c>
      <c r="K19">
        <f>IF(ISBLANK('CONFIGURAÇÃO'!$DM$221),"",'CONFIGURAÇÃO'!$DM$221)</f>
        <v/>
      </c>
      <c r="L19">
        <f>IF(OR(E19="",E19="Nenhuma"),0,IFERROR(MATCH(SUBSTITUTE(SUBSTITUTE(SUBSTITUTE(E19,"~","~~"),"*","~*"),"?","~?"),'DADOS_MELHORIAS'!$O$2:$O$83,0),-1))</f>
        <v/>
      </c>
      <c r="M19">
        <f>IF(D19="",IF(BR19&lt;&gt;"Melhoria","Preencha NOME",IF(D19="",IF(OR(I19&lt;&gt;"",J19&lt;&gt;"",F19&lt;&gt;"",G19&lt;&gt;"",H19&lt;&gt;"",K19=TRUE,AND(E19&lt;&gt;"",E19&lt;&gt;"Nenhuma")),"Preencha NOME",""),TEXTJOIN(" · ",TRUE,IF(OR(NOT(ISTEXT(D19)),TRIM(D19)&lt;&gt;D19),"NOME precisa ser texto sem espaços nas pontas",""),IF(COUNTIF($D$2:$D$31,SUBSTITUTE(SUBSTITUTE(SUBSTITUTE(D19,"~","~~"),"*","~*"),"?","~?"))+COUNTIF('DADOS_MELHORIAS'!$O$2:$O$83,SUBSTITUTE(SUBSTITUTE(SUBSTITUTE(D19,"~","~~"),"*","~*"),"?","~?"))&gt;1,"Nome repetido no livro ou custom",""),IF(L19&lt;0,"Escolha uma BASE DO LIVRO válida",""),IF(ISLOGICAL(K19),"","MESTRE VIU deve ser caixa de seleção"),IF(AND(G19="",L19&lt;=0),"Escolha PESO",""),IF(AND(G19&lt;&gt;"",COUNTIF('DADOS_MELHORIAS'!$BN$2:$BN$4,SUBSTITUTE(SUBSTITUTE(SUBSTITUTE(G19,"~","~~"),"*","~*"),"?","~?"))&lt;&gt;1),"Peso ou devolução inválido",""),IF(AND(H19&lt;&gt;"",H19&lt;&gt;"Sim",H19&lt;&gt;"Não"),"Escolha Sim ou Não",""),IF(AND(F19&lt;&gt;"",COUNTIF('DADOS_MELHORIAS'!$BM$2:$BM$21,SUBSTITUTE(SUBSTITUTE(SUBSTITUTE(F19,"~","~~"),"*","~*"),"?","~?"))&lt;&gt;1),"Família não cadastrada ou com erro","")))),TEXTJOIN(" · ",TRUE,IF(D19="",IF(OR(I19&lt;&gt;"",J19&lt;&gt;"",F19&lt;&gt;"",G19&lt;&gt;"",H19&lt;&gt;"",K19=TRUE,AND(E19&lt;&gt;"",E19&lt;&gt;"Nenhuma")),"Preencha NOME",""),TEXTJOIN(" · ",TRUE,IF(OR(NOT(ISTEXT(D19)),TRIM(D19)&lt;&gt;D19),"NOME precisa ser texto sem espaços nas pontas",""),IF(COUNTIF($D$2:$D$31,SUBSTITUTE(SUBSTITUTE(SUBSTITUTE(D19,"~","~~"),"*","~*"),"?","~?"))+COUNTIF('DADOS_MELHORIAS'!$O$2:$O$83,SUBSTITUTE(SUBSTITUTE(SUBSTITUTE(D19,"~","~~"),"*","~*"),"?","~?"))&gt;1,"Nome repetido no livro ou custom",""),IF(L19&lt;0,"Escolha uma BASE DO LIVRO válida",""),IF(ISLOGICAL(K19),"","MESTRE VIU deve ser caixa de seleção"),IF(AND(G19="",L19&lt;=0),"Escolha PESO",""),IF(AND(G19&lt;&gt;"",COUNTIF('DADOS_MELHORIAS'!$BN$2:$BN$4,SUBSTITUTE(SUBSTITUTE(SUBSTITUTE(G19,"~","~~"),"*","~*"),"?","~?"))&lt;&gt;1),"Peso ou devolução inválido",""),IF(AND(H19&lt;&gt;"",H19&lt;&gt;"Sim",H19&lt;&gt;"Não"),"Escolha Sim ou Não",""),IF(AND(F19&lt;&gt;"",COUNTIF('DADOS_MELHORIAS'!$BM$2:$BM$21,SUBSTITUTE(SUBSTITUTE(SUBSTITUTE(F19,"~","~~"),"*","~*"),"?","~?"))&lt;&gt;1),"Família não cadastrada ou com erro",""))),IF(AND(BR19&lt;&gt;"Melhoria",BR19&lt;&gt;"Condição"),"Modalidade inválida",""),IF(AND(BR19="Condição",E19&lt;&gt;"",E19&lt;&gt;"Nenhuma",COUNTIF('DADOS_MELHORIAS'!$BU$2:$BU$15,SUBSTITUTE(SUBSTITUTE(SUBSTITUTE(E19,"~","~~"),"*","~*"),"?","~?"))&lt;&gt;1),"Base de Condição inválida",""),IF(AND(BR19="Condição",H19&lt;&gt;"",H19&lt;&gt;"Sim"),"Condição exige TR","")))</f>
        <v/>
      </c>
      <c r="O19">
        <f>IF(ISBLANK(DADOS_AM!$BC$19),"",DADOS_AM!$BC$19)</f>
        <v/>
      </c>
      <c r="P19">
        <f>IF(ISBLANK(DADOS_AM!$BD$19),"",DADOS_AM!$BD$19)</f>
        <v/>
      </c>
      <c r="Q19">
        <f>IF(ISBLANK(DADOS_AM!$BE$19),"",DADOS_AM!$BE$19)</f>
        <v/>
      </c>
      <c r="R19">
        <f>IF(ISBLANK(DADOS_AM!$BF$19),"",DADOS_AM!$BF$19)</f>
        <v/>
      </c>
      <c r="S19">
        <f>IF(ISBLANK(DADOS_AM!$BG$19),"",DADOS_AM!$BG$19)</f>
        <v/>
      </c>
      <c r="T19">
        <f>IF(ISBLANK(DADOS_AM!$BH$19),"",DADOS_AM!$BH$19)</f>
        <v/>
      </c>
      <c r="U19">
        <f>IF(ISBLANK(DADOS_AM!$BI$19),"",DADOS_AM!$BI$19)</f>
        <v/>
      </c>
      <c r="V19">
        <f>IF(ISBLANK(DADOS_AM!$BJ$19),"",DADOS_AM!$BJ$19)</f>
        <v/>
      </c>
      <c r="W19">
        <f>IF(ISBLANK(DADOS_AM!$BK$19),"",DADOS_AM!$BK$19)</f>
        <v/>
      </c>
      <c r="X19" t="inlineStr">
        <is>
          <t>De Novo</t>
        </is>
      </c>
      <c r="Y19" t="n">
        <v>0</v>
      </c>
      <c r="AG19">
        <f>O19</f>
        <v/>
      </c>
      <c r="AH19">
        <f>P19</f>
        <v/>
      </c>
      <c r="AI19">
        <f>Q19</f>
        <v/>
      </c>
      <c r="AJ19">
        <f>T19</f>
        <v/>
      </c>
      <c r="AK19">
        <f>Y19</f>
        <v/>
      </c>
      <c r="AL19">
        <f>W19</f>
        <v/>
      </c>
      <c r="AN19">
        <f>IF(OR(P19="",P19='DADOS_INVOC'!$EL$2,P19='DADOS_INVOC'!$EM$2,P19='DADOS_INVOC'!$EN$2,P19='DADOS_INVOC'!$EO$2,P19='DADOS_INVOC'!$EP$2,P19='DADOS_INVOC'!$QV$2,P19='DADOS_INVOC'!$QW$2,P19='DADOS_INVOC'!$QX$2,P19='DADOS_INVOC'!$QY$2),O19,"")</f>
        <v/>
      </c>
      <c r="AO19">
        <f>IF(AND(Q19=1,OR(P19="",P19='DADOS_INVOC'!$EL$2,P19='DADOS_INVOC'!$EM$2,P19='DADOS_INVOC'!$EN$2,P19='DADOS_INVOC'!$EO$2,P19='DADOS_INVOC'!$EP$2,P19='DADOS_INVOC'!$QV$2,P19='DADOS_INVOC'!$QW$2,P19='DADOS_INVOC'!$QX$2,P19='DADOS_INVOC'!$QY$2)),O19,"")</f>
        <v/>
      </c>
      <c r="AP19">
        <f>IF(OR(P19="",P19='DADOS_INVOC'!$EL$3,P19='DADOS_INVOC'!$EM$3,P19='DADOS_INVOC'!$EN$3,P19='DADOS_INVOC'!$EO$3,P19='DADOS_INVOC'!$EP$3,P19='DADOS_INVOC'!$QV$3,P19='DADOS_INVOC'!$QW$3,P19='DADOS_INVOC'!$QX$3,P19='DADOS_INVOC'!$QY$3),O19,"")</f>
        <v/>
      </c>
      <c r="AQ19">
        <f>IF(AND(Q19=1,OR(P19="",P19='DADOS_INVOC'!$EL$3,P19='DADOS_INVOC'!$EM$3,P19='DADOS_INVOC'!$EN$3,P19='DADOS_INVOC'!$EO$3,P19='DADOS_INVOC'!$EP$3,P19='DADOS_INVOC'!$QV$3,P19='DADOS_INVOC'!$QW$3,P19='DADOS_INVOC'!$QX$3,P19='DADOS_INVOC'!$QY$3)),O19,"")</f>
        <v/>
      </c>
      <c r="AR19">
        <f>IF(OR(P19="",P19='DADOS_INVOC'!$EL$4,P19='DADOS_INVOC'!$EM$4,P19='DADOS_INVOC'!$EN$4,P19='DADOS_INVOC'!$EO$4,P19='DADOS_INVOC'!$EP$4,P19='DADOS_INVOC'!$QV$4,P19='DADOS_INVOC'!$QW$4,P19='DADOS_INVOC'!$QX$4,P19='DADOS_INVOC'!$QY$4),O19,"")</f>
        <v/>
      </c>
      <c r="AS19">
        <f>IF(AND(Q19=1,OR(P19="",P19='DADOS_INVOC'!$EL$4,P19='DADOS_INVOC'!$EM$4,P19='DADOS_INVOC'!$EN$4,P19='DADOS_INVOC'!$EO$4,P19='DADOS_INVOC'!$EP$4,P19='DADOS_INVOC'!$QV$4,P19='DADOS_INVOC'!$QW$4,P19='DADOS_INVOC'!$QX$4,P19='DADOS_INVOC'!$QY$4)),O19,"")</f>
        <v/>
      </c>
      <c r="AT19">
        <f>IF(OR(P19="",P19='DADOS_INVOC'!$EL$5,P19='DADOS_INVOC'!$EM$5,P19='DADOS_INVOC'!$EN$5,P19='DADOS_INVOC'!$EO$5,P19='DADOS_INVOC'!$EP$5,P19='DADOS_INVOC'!$QV$5,P19='DADOS_INVOC'!$QW$5,P19='DADOS_INVOC'!$QX$5,P19='DADOS_INVOC'!$QY$5),O19,"")</f>
        <v/>
      </c>
      <c r="AU19">
        <f>IF(AND(Q19=1,OR(P19="",P19='DADOS_INVOC'!$EL$5,P19='DADOS_INVOC'!$EM$5,P19='DADOS_INVOC'!$EN$5,P19='DADOS_INVOC'!$EO$5,P19='DADOS_INVOC'!$EP$5,P19='DADOS_INVOC'!$QV$5,P19='DADOS_INVOC'!$QW$5,P19='DADOS_INVOC'!$QX$5,P19='DADOS_INVOC'!$QY$5)),O19,"")</f>
        <v/>
      </c>
      <c r="AV19">
        <f>IF(OR(P19="",P19='DADOS_INVOC'!$EL$6,P19='DADOS_INVOC'!$EM$6,P19='DADOS_INVOC'!$EN$6,P19='DADOS_INVOC'!$EO$6,P19='DADOS_INVOC'!$EP$6,P19='DADOS_INVOC'!$QV$6,P19='DADOS_INVOC'!$QW$6,P19='DADOS_INVOC'!$QX$6,P19='DADOS_INVOC'!$QY$6),O19,"")</f>
        <v/>
      </c>
      <c r="AW19">
        <f>IF(AND(Q19=1,OR(P19="",P19='DADOS_INVOC'!$EL$6,P19='DADOS_INVOC'!$EM$6,P19='DADOS_INVOC'!$EN$6,P19='DADOS_INVOC'!$EO$6,P19='DADOS_INVOC'!$EP$6,P19='DADOS_INVOC'!$QV$6,P19='DADOS_INVOC'!$QW$6,P19='DADOS_INVOC'!$QX$6,P19='DADOS_INVOC'!$QY$6)),O19,"")</f>
        <v/>
      </c>
      <c r="AX19">
        <f>IF(OR(P19="",P19='DADOS_INVOC'!$EL$7,P19='DADOS_INVOC'!$EM$7,P19='DADOS_INVOC'!$EN$7,P19='DADOS_INVOC'!$EO$7,P19='DADOS_INVOC'!$EP$7,P19='DADOS_INVOC'!$QV$7,P19='DADOS_INVOC'!$QW$7,P19='DADOS_INVOC'!$QX$7,P19='DADOS_INVOC'!$QY$7),O19,"")</f>
        <v/>
      </c>
      <c r="AY19">
        <f>IF(AND(Q19=1,OR(P19="",P19='DADOS_INVOC'!$EL$7,P19='DADOS_INVOC'!$EM$7,P19='DADOS_INVOC'!$EN$7,P19='DADOS_INVOC'!$EO$7,P19='DADOS_INVOC'!$EP$7,P19='DADOS_INVOC'!$QV$7,P19='DADOS_INVOC'!$QW$7,P19='DADOS_INVOC'!$QX$7,P19='DADOS_INVOC'!$QY$7)),O19,"")</f>
        <v/>
      </c>
      <c r="AZ19">
        <f>IF(OR(P19="",P19='DADOS_INVOC'!$EL$8,P19='DADOS_INVOC'!$EM$8,P19='DADOS_INVOC'!$EN$8,P19='DADOS_INVOC'!$EO$8,P19='DADOS_INVOC'!$EP$8,P19='DADOS_INVOC'!$QV$8,P19='DADOS_INVOC'!$QW$8,P19='DADOS_INVOC'!$QX$8,P19='DADOS_INVOC'!$QY$8),O19,"")</f>
        <v/>
      </c>
      <c r="BA19">
        <f>IF(AND(Q19=1,OR(P19="",P19='DADOS_INVOC'!$EL$8,P19='DADOS_INVOC'!$EM$8,P19='DADOS_INVOC'!$EN$8,P19='DADOS_INVOC'!$EO$8,P19='DADOS_INVOC'!$EP$8,P19='DADOS_INVOC'!$QV$8,P19='DADOS_INVOC'!$QW$8,P19='DADOS_INVOC'!$QX$8,P19='DADOS_INVOC'!$QY$8)),O19,"")</f>
        <v/>
      </c>
      <c r="BB19">
        <f>IF(OR(P19="",P19='DADOS_INVOC'!$EL$9,P19='DADOS_INVOC'!$EM$9,P19='DADOS_INVOC'!$EN$9,P19='DADOS_INVOC'!$EO$9,P19='DADOS_INVOC'!$EP$9,P19='DADOS_INVOC'!$QV$9,P19='DADOS_INVOC'!$QW$9,P19='DADOS_INVOC'!$QX$9,P19='DADOS_INVOC'!$QY$9),O19,"")</f>
        <v/>
      </c>
      <c r="BC19">
        <f>IF(AND(Q19=1,OR(P19="",P19='DADOS_INVOC'!$EL$9,P19='DADOS_INVOC'!$EM$9,P19='DADOS_INVOC'!$EN$9,P19='DADOS_INVOC'!$EO$9,P19='DADOS_INVOC'!$EP$9,P19='DADOS_INVOC'!$QV$9,P19='DADOS_INVOC'!$QW$9,P19='DADOS_INVOC'!$QX$9,P19='DADOS_INVOC'!$QY$9)),O19,"")</f>
        <v/>
      </c>
      <c r="BD19">
        <f>IF(OR(P19="",P19='DADOS_INVOC'!$EL$10,P19='DADOS_INVOC'!$EM$10,P19='DADOS_INVOC'!$EN$10,P19='DADOS_INVOC'!$EO$10,P19='DADOS_INVOC'!$EP$10,P19='DADOS_INVOC'!$QV$10,P19='DADOS_INVOC'!$QW$10,P19='DADOS_INVOC'!$QX$10,P19='DADOS_INVOC'!$QY$10),O19,"")</f>
        <v/>
      </c>
      <c r="BE19">
        <f>IF(AND(Q19=1,OR(P19="",P19='DADOS_INVOC'!$EL$10,P19='DADOS_INVOC'!$EM$10,P19='DADOS_INVOC'!$EN$10,P19='DADOS_INVOC'!$EO$10,P19='DADOS_INVOC'!$EP$10,P19='DADOS_INVOC'!$QV$10,P19='DADOS_INVOC'!$QW$10,P19='DADOS_INVOC'!$QX$10,P19='DADOS_INVOC'!$QY$10)),O19,"")</f>
        <v/>
      </c>
      <c r="BF19">
        <f>IF(OR(P19="",P19='DADOS_INVOC'!$EL$11,P19='DADOS_INVOC'!$EM$11,P19='DADOS_INVOC'!$EN$11,P19='DADOS_INVOC'!$EO$11,P19='DADOS_INVOC'!$EP$11,P19='DADOS_INVOC'!$QV$11,P19='DADOS_INVOC'!$QW$11,P19='DADOS_INVOC'!$QX$11,P19='DADOS_INVOC'!$QY$11),O19,"")</f>
        <v/>
      </c>
      <c r="BG19">
        <f>IF(AND(Q19=1,OR(P19="",P19='DADOS_INVOC'!$EL$11,P19='DADOS_INVOC'!$EM$11,P19='DADOS_INVOC'!$EN$11,P19='DADOS_INVOC'!$EO$11,P19='DADOS_INVOC'!$EP$11,P19='DADOS_INVOC'!$QV$11,P19='DADOS_INVOC'!$QW$11,P19='DADOS_INVOC'!$QX$11,P19='DADOS_INVOC'!$QY$11)),O19,"")</f>
        <v/>
      </c>
      <c r="BH19">
        <f>IF(OR(P19="",P19='DADOS_INVOC'!$EL$12,P19='DADOS_INVOC'!$EM$12,P19='DADOS_INVOC'!$EN$12,P19='DADOS_INVOC'!$EO$12,P19='DADOS_INVOC'!$EP$12,P19='DADOS_INVOC'!$QV$12,P19='DADOS_INVOC'!$QW$12,P19='DADOS_INVOC'!$QX$12,P19='DADOS_INVOC'!$QY$12),O19,"")</f>
        <v/>
      </c>
      <c r="BI19">
        <f>IF(AND(Q19=1,OR(P19="",P19='DADOS_INVOC'!$EL$12,P19='DADOS_INVOC'!$EM$12,P19='DADOS_INVOC'!$EN$12,P19='DADOS_INVOC'!$EO$12,P19='DADOS_INVOC'!$EP$12,P19='DADOS_INVOC'!$QV$12,P19='DADOS_INVOC'!$QW$12,P19='DADOS_INVOC'!$QX$12,P19='DADOS_INVOC'!$QY$12)),O19,"")</f>
        <v/>
      </c>
      <c r="BJ19">
        <f>IF(OR(P19="",P19='DADOS_INVOC'!$EL$13,P19='DADOS_INVOC'!$EM$13,P19='DADOS_INVOC'!$EN$13,P19='DADOS_INVOC'!$EO$13,P19='DADOS_INVOC'!$EP$13,P19='DADOS_INVOC'!$QV$13,P19='DADOS_INVOC'!$QW$13,P19='DADOS_INVOC'!$QX$13,P19='DADOS_INVOC'!$QY$13),O19,"")</f>
        <v/>
      </c>
      <c r="BK19">
        <f>IF(AND(Q19=1,OR(P19="",P19='DADOS_INVOC'!$EL$13,P19='DADOS_INVOC'!$EM$13,P19='DADOS_INVOC'!$EN$13,P19='DADOS_INVOC'!$EO$13,P19='DADOS_INVOC'!$EP$13,P19='DADOS_INVOC'!$QV$13,P19='DADOS_INVOC'!$QW$13,P19='DADOS_INVOC'!$QX$13,P19='DADOS_INVOC'!$QY$13)),O19,"")</f>
        <v/>
      </c>
      <c r="BM19">
        <f>IF('DADOS_CRIACAO'!$H$18="","",'DADOS_CRIACAO'!$H$18)</f>
        <v/>
      </c>
      <c r="BP19" t="inlineStr">
        <is>
          <t>Inescapável</t>
        </is>
      </c>
      <c r="BR19">
        <f>IF(OR(ISBLANK('CONFIGURAÇÃO'!$DI$221),'CONFIGURAÇÃO'!$DI$221=""),"Melhoria",'CONFIGURAÇÃO'!$DI$221)</f>
        <v/>
      </c>
    </row>
    <row r="20">
      <c r="A20" t="n">
        <v>1245</v>
      </c>
      <c r="B20" t="n">
        <v>0</v>
      </c>
      <c r="C20" t="n">
        <v>19</v>
      </c>
      <c r="D20">
        <f>IF(ISBLANK('CONFIGURAÇÃO'!$DA$249),"",'CONFIGURAÇÃO'!$DA$249)</f>
        <v/>
      </c>
      <c r="E20">
        <f>IF(ISBLANK('CONFIGURAÇÃO'!$DD$250),"",'CONFIGURAÇÃO'!$DD$250)</f>
        <v/>
      </c>
      <c r="F20">
        <f>IF(ISBLANK('CONFIGURAÇÃO'!$DD$251),"",'CONFIGURAÇÃO'!$DD$251)</f>
        <v/>
      </c>
      <c r="G20">
        <f>IF(ISBLANK('CONFIGURAÇÃO'!$DD$252),"",'CONFIGURAÇÃO'!$DD$252)</f>
        <v/>
      </c>
      <c r="H20">
        <f>IF(ISBLANK('CONFIGURAÇÃO'!$DD$253),"",'CONFIGURAÇÃO'!$DD$253)</f>
        <v/>
      </c>
      <c r="I20">
        <f>IF(ISBLANK('CONFIGURAÇÃO'!$DA$256),"",'CONFIGURAÇÃO'!$DA$256)</f>
        <v/>
      </c>
      <c r="J20">
        <f>IF(ISBLANK('CONFIGURAÇÃO'!$DA$262),"",'CONFIGURAÇÃO'!$DA$262)</f>
        <v/>
      </c>
      <c r="K20">
        <f>IF(ISBLANK('CONFIGURAÇÃO'!$DE$247),"",'CONFIGURAÇÃO'!$DE$247)</f>
        <v/>
      </c>
      <c r="L20">
        <f>IF(OR(E20="",E20="Nenhuma"),0,IFERROR(MATCH(SUBSTITUTE(SUBSTITUTE(SUBSTITUTE(E20,"~","~~"),"*","~*"),"?","~?"),'DADOS_MELHORIAS'!$O$2:$O$83,0),-1))</f>
        <v/>
      </c>
      <c r="M20">
        <f>IF(D20="",IF(BR20&lt;&gt;"Melhoria","Preencha NOME",IF(D20="",IF(OR(I20&lt;&gt;"",J20&lt;&gt;"",F20&lt;&gt;"",G20&lt;&gt;"",H20&lt;&gt;"",K20=TRUE,AND(E20&lt;&gt;"",E20&lt;&gt;"Nenhuma")),"Preencha NOME",""),TEXTJOIN(" · ",TRUE,IF(OR(NOT(ISTEXT(D20)),TRIM(D20)&lt;&gt;D20),"NOME precisa ser texto sem espaços nas pontas",""),IF(COUNTIF($D$2:$D$31,SUBSTITUTE(SUBSTITUTE(SUBSTITUTE(D20,"~","~~"),"*","~*"),"?","~?"))+COUNTIF('DADOS_MELHORIAS'!$O$2:$O$83,SUBSTITUTE(SUBSTITUTE(SUBSTITUTE(D20,"~","~~"),"*","~*"),"?","~?"))&gt;1,"Nome repetido no livro ou custom",""),IF(L20&lt;0,"Escolha uma BASE DO LIVRO válida",""),IF(ISLOGICAL(K20),"","MESTRE VIU deve ser caixa de seleção"),IF(AND(G20="",L20&lt;=0),"Escolha PESO",""),IF(AND(G20&lt;&gt;"",COUNTIF('DADOS_MELHORIAS'!$BN$2:$BN$4,SUBSTITUTE(SUBSTITUTE(SUBSTITUTE(G20,"~","~~"),"*","~*"),"?","~?"))&lt;&gt;1),"Peso ou devolução inválido",""),IF(AND(H20&lt;&gt;"",H20&lt;&gt;"Sim",H20&lt;&gt;"Não"),"Escolha Sim ou Não",""),IF(AND(F20&lt;&gt;"",COUNTIF('DADOS_MELHORIAS'!$BM$2:$BM$21,SUBSTITUTE(SUBSTITUTE(SUBSTITUTE(F20,"~","~~"),"*","~*"),"?","~?"))&lt;&gt;1),"Família não cadastrada ou com erro","")))),TEXTJOIN(" · ",TRUE,IF(D20="",IF(OR(I20&lt;&gt;"",J20&lt;&gt;"",F20&lt;&gt;"",G20&lt;&gt;"",H20&lt;&gt;"",K20=TRUE,AND(E20&lt;&gt;"",E20&lt;&gt;"Nenhuma")),"Preencha NOME",""),TEXTJOIN(" · ",TRUE,IF(OR(NOT(ISTEXT(D20)),TRIM(D20)&lt;&gt;D20),"NOME precisa ser texto sem espaços nas pontas",""),IF(COUNTIF($D$2:$D$31,SUBSTITUTE(SUBSTITUTE(SUBSTITUTE(D20,"~","~~"),"*","~*"),"?","~?"))+COUNTIF('DADOS_MELHORIAS'!$O$2:$O$83,SUBSTITUTE(SUBSTITUTE(SUBSTITUTE(D20,"~","~~"),"*","~*"),"?","~?"))&gt;1,"Nome repetido no livro ou custom",""),IF(L20&lt;0,"Escolha uma BASE DO LIVRO válida",""),IF(ISLOGICAL(K20),"","MESTRE VIU deve ser caixa de seleção"),IF(AND(G20="",L20&lt;=0),"Escolha PESO",""),IF(AND(G20&lt;&gt;"",COUNTIF('DADOS_MELHORIAS'!$BN$2:$BN$4,SUBSTITUTE(SUBSTITUTE(SUBSTITUTE(G20,"~","~~"),"*","~*"),"?","~?"))&lt;&gt;1),"Peso ou devolução inválido",""),IF(AND(H20&lt;&gt;"",H20&lt;&gt;"Sim",H20&lt;&gt;"Não"),"Escolha Sim ou Não",""),IF(AND(F20&lt;&gt;"",COUNTIF('DADOS_MELHORIAS'!$BM$2:$BM$21,SUBSTITUTE(SUBSTITUTE(SUBSTITUTE(F20,"~","~~"),"*","~*"),"?","~?"))&lt;&gt;1),"Família não cadastrada ou com erro",""))),IF(AND(BR20&lt;&gt;"Melhoria",BR20&lt;&gt;"Condição"),"Modalidade inválida",""),IF(AND(BR20="Condição",E20&lt;&gt;"",E20&lt;&gt;"Nenhuma",COUNTIF('DADOS_MELHORIAS'!$BU$2:$BU$15,SUBSTITUTE(SUBSTITUTE(SUBSTITUTE(E20,"~","~~"),"*","~*"),"?","~?"))&lt;&gt;1),"Base de Condição inválida",""),IF(AND(BR20="Condição",H20&lt;&gt;"",H20&lt;&gt;"Sim"),"Condição exige TR","")))</f>
        <v/>
      </c>
      <c r="O20">
        <f>IF(ISBLANK(DADOS_AM!$BC$20),"",DADOS_AM!$BC$20)</f>
        <v/>
      </c>
      <c r="P20">
        <f>IF(ISBLANK(DADOS_AM!$BD$20),"",DADOS_AM!$BD$20)</f>
        <v/>
      </c>
      <c r="Q20">
        <f>IF(ISBLANK(DADOS_AM!$BE$20),"",DADOS_AM!$BE$20)</f>
        <v/>
      </c>
      <c r="R20">
        <f>IF(ISBLANK(DADOS_AM!$BF$20),"",DADOS_AM!$BF$20)</f>
        <v/>
      </c>
      <c r="S20">
        <f>IF(ISBLANK(DADOS_AM!$BG$20),"",DADOS_AM!$BG$20)</f>
        <v/>
      </c>
      <c r="T20">
        <f>IF(ISBLANK(DADOS_AM!$BH$20),"",DADOS_AM!$BH$20)</f>
        <v/>
      </c>
      <c r="U20">
        <f>IF(ISBLANK(DADOS_AM!$BI$20),"",DADOS_AM!$BI$20)</f>
        <v/>
      </c>
      <c r="V20">
        <f>IF(ISBLANK(DADOS_AM!$BJ$20),"",DADOS_AM!$BJ$20)</f>
        <v/>
      </c>
      <c r="W20">
        <f>IF(ISBLANK(DADOS_AM!$BK$20),"",DADOS_AM!$BK$20)</f>
        <v/>
      </c>
      <c r="X20" t="inlineStr">
        <is>
          <t>Fura</t>
        </is>
      </c>
      <c r="Y20" t="n">
        <v>1</v>
      </c>
      <c r="AG20">
        <f>O20</f>
        <v/>
      </c>
      <c r="AH20">
        <f>P20</f>
        <v/>
      </c>
      <c r="AI20">
        <f>Q20</f>
        <v/>
      </c>
      <c r="AJ20">
        <f>T20</f>
        <v/>
      </c>
      <c r="AK20">
        <f>Y20</f>
        <v/>
      </c>
      <c r="AL20">
        <f>W20</f>
        <v/>
      </c>
      <c r="AN20">
        <f>IF(OR(P20="",P20='DADOS_INVOC'!$EL$2,P20='DADOS_INVOC'!$EM$2,P20='DADOS_INVOC'!$EN$2,P20='DADOS_INVOC'!$EO$2,P20='DADOS_INVOC'!$EP$2,P20='DADOS_INVOC'!$QV$2,P20='DADOS_INVOC'!$QW$2,P20='DADOS_INVOC'!$QX$2,P20='DADOS_INVOC'!$QY$2),O20,"")</f>
        <v/>
      </c>
      <c r="AO20">
        <f>IF(AND(Q20=1,OR(P20="",P20='DADOS_INVOC'!$EL$2,P20='DADOS_INVOC'!$EM$2,P20='DADOS_INVOC'!$EN$2,P20='DADOS_INVOC'!$EO$2,P20='DADOS_INVOC'!$EP$2,P20='DADOS_INVOC'!$QV$2,P20='DADOS_INVOC'!$QW$2,P20='DADOS_INVOC'!$QX$2,P20='DADOS_INVOC'!$QY$2)),O20,"")</f>
        <v/>
      </c>
      <c r="AP20">
        <f>IF(OR(P20="",P20='DADOS_INVOC'!$EL$3,P20='DADOS_INVOC'!$EM$3,P20='DADOS_INVOC'!$EN$3,P20='DADOS_INVOC'!$EO$3,P20='DADOS_INVOC'!$EP$3,P20='DADOS_INVOC'!$QV$3,P20='DADOS_INVOC'!$QW$3,P20='DADOS_INVOC'!$QX$3,P20='DADOS_INVOC'!$QY$3),O20,"")</f>
        <v/>
      </c>
      <c r="AQ20">
        <f>IF(AND(Q20=1,OR(P20="",P20='DADOS_INVOC'!$EL$3,P20='DADOS_INVOC'!$EM$3,P20='DADOS_INVOC'!$EN$3,P20='DADOS_INVOC'!$EO$3,P20='DADOS_INVOC'!$EP$3,P20='DADOS_INVOC'!$QV$3,P20='DADOS_INVOC'!$QW$3,P20='DADOS_INVOC'!$QX$3,P20='DADOS_INVOC'!$QY$3)),O20,"")</f>
        <v/>
      </c>
      <c r="AR20">
        <f>IF(OR(P20="",P20='DADOS_INVOC'!$EL$4,P20='DADOS_INVOC'!$EM$4,P20='DADOS_INVOC'!$EN$4,P20='DADOS_INVOC'!$EO$4,P20='DADOS_INVOC'!$EP$4,P20='DADOS_INVOC'!$QV$4,P20='DADOS_INVOC'!$QW$4,P20='DADOS_INVOC'!$QX$4,P20='DADOS_INVOC'!$QY$4),O20,"")</f>
        <v/>
      </c>
      <c r="AS20">
        <f>IF(AND(Q20=1,OR(P20="",P20='DADOS_INVOC'!$EL$4,P20='DADOS_INVOC'!$EM$4,P20='DADOS_INVOC'!$EN$4,P20='DADOS_INVOC'!$EO$4,P20='DADOS_INVOC'!$EP$4,P20='DADOS_INVOC'!$QV$4,P20='DADOS_INVOC'!$QW$4,P20='DADOS_INVOC'!$QX$4,P20='DADOS_INVOC'!$QY$4)),O20,"")</f>
        <v/>
      </c>
      <c r="AT20">
        <f>IF(OR(P20="",P20='DADOS_INVOC'!$EL$5,P20='DADOS_INVOC'!$EM$5,P20='DADOS_INVOC'!$EN$5,P20='DADOS_INVOC'!$EO$5,P20='DADOS_INVOC'!$EP$5,P20='DADOS_INVOC'!$QV$5,P20='DADOS_INVOC'!$QW$5,P20='DADOS_INVOC'!$QX$5,P20='DADOS_INVOC'!$QY$5),O20,"")</f>
        <v/>
      </c>
      <c r="AU20">
        <f>IF(AND(Q20=1,OR(P20="",P20='DADOS_INVOC'!$EL$5,P20='DADOS_INVOC'!$EM$5,P20='DADOS_INVOC'!$EN$5,P20='DADOS_INVOC'!$EO$5,P20='DADOS_INVOC'!$EP$5,P20='DADOS_INVOC'!$QV$5,P20='DADOS_INVOC'!$QW$5,P20='DADOS_INVOC'!$QX$5,P20='DADOS_INVOC'!$QY$5)),O20,"")</f>
        <v/>
      </c>
      <c r="AV20">
        <f>IF(OR(P20="",P20='DADOS_INVOC'!$EL$6,P20='DADOS_INVOC'!$EM$6,P20='DADOS_INVOC'!$EN$6,P20='DADOS_INVOC'!$EO$6,P20='DADOS_INVOC'!$EP$6,P20='DADOS_INVOC'!$QV$6,P20='DADOS_INVOC'!$QW$6,P20='DADOS_INVOC'!$QX$6,P20='DADOS_INVOC'!$QY$6),O20,"")</f>
        <v/>
      </c>
      <c r="AW20">
        <f>IF(AND(Q20=1,OR(P20="",P20='DADOS_INVOC'!$EL$6,P20='DADOS_INVOC'!$EM$6,P20='DADOS_INVOC'!$EN$6,P20='DADOS_INVOC'!$EO$6,P20='DADOS_INVOC'!$EP$6,P20='DADOS_INVOC'!$QV$6,P20='DADOS_INVOC'!$QW$6,P20='DADOS_INVOC'!$QX$6,P20='DADOS_INVOC'!$QY$6)),O20,"")</f>
        <v/>
      </c>
      <c r="AX20">
        <f>IF(OR(P20="",P20='DADOS_INVOC'!$EL$7,P20='DADOS_INVOC'!$EM$7,P20='DADOS_INVOC'!$EN$7,P20='DADOS_INVOC'!$EO$7,P20='DADOS_INVOC'!$EP$7,P20='DADOS_INVOC'!$QV$7,P20='DADOS_INVOC'!$QW$7,P20='DADOS_INVOC'!$QX$7,P20='DADOS_INVOC'!$QY$7),O20,"")</f>
        <v/>
      </c>
      <c r="AY20">
        <f>IF(AND(Q20=1,OR(P20="",P20='DADOS_INVOC'!$EL$7,P20='DADOS_INVOC'!$EM$7,P20='DADOS_INVOC'!$EN$7,P20='DADOS_INVOC'!$EO$7,P20='DADOS_INVOC'!$EP$7,P20='DADOS_INVOC'!$QV$7,P20='DADOS_INVOC'!$QW$7,P20='DADOS_INVOC'!$QX$7,P20='DADOS_INVOC'!$QY$7)),O20,"")</f>
        <v/>
      </c>
      <c r="AZ20">
        <f>IF(OR(P20="",P20='DADOS_INVOC'!$EL$8,P20='DADOS_INVOC'!$EM$8,P20='DADOS_INVOC'!$EN$8,P20='DADOS_INVOC'!$EO$8,P20='DADOS_INVOC'!$EP$8,P20='DADOS_INVOC'!$QV$8,P20='DADOS_INVOC'!$QW$8,P20='DADOS_INVOC'!$QX$8,P20='DADOS_INVOC'!$QY$8),O20,"")</f>
        <v/>
      </c>
      <c r="BA20">
        <f>IF(AND(Q20=1,OR(P20="",P20='DADOS_INVOC'!$EL$8,P20='DADOS_INVOC'!$EM$8,P20='DADOS_INVOC'!$EN$8,P20='DADOS_INVOC'!$EO$8,P20='DADOS_INVOC'!$EP$8,P20='DADOS_INVOC'!$QV$8,P20='DADOS_INVOC'!$QW$8,P20='DADOS_INVOC'!$QX$8,P20='DADOS_INVOC'!$QY$8)),O20,"")</f>
        <v/>
      </c>
      <c r="BB20">
        <f>IF(OR(P20="",P20='DADOS_INVOC'!$EL$9,P20='DADOS_INVOC'!$EM$9,P20='DADOS_INVOC'!$EN$9,P20='DADOS_INVOC'!$EO$9,P20='DADOS_INVOC'!$EP$9,P20='DADOS_INVOC'!$QV$9,P20='DADOS_INVOC'!$QW$9,P20='DADOS_INVOC'!$QX$9,P20='DADOS_INVOC'!$QY$9),O20,"")</f>
        <v/>
      </c>
      <c r="BC20">
        <f>IF(AND(Q20=1,OR(P20="",P20='DADOS_INVOC'!$EL$9,P20='DADOS_INVOC'!$EM$9,P20='DADOS_INVOC'!$EN$9,P20='DADOS_INVOC'!$EO$9,P20='DADOS_INVOC'!$EP$9,P20='DADOS_INVOC'!$QV$9,P20='DADOS_INVOC'!$QW$9,P20='DADOS_INVOC'!$QX$9,P20='DADOS_INVOC'!$QY$9)),O20,"")</f>
        <v/>
      </c>
      <c r="BD20">
        <f>IF(OR(P20="",P20='DADOS_INVOC'!$EL$10,P20='DADOS_INVOC'!$EM$10,P20='DADOS_INVOC'!$EN$10,P20='DADOS_INVOC'!$EO$10,P20='DADOS_INVOC'!$EP$10,P20='DADOS_INVOC'!$QV$10,P20='DADOS_INVOC'!$QW$10,P20='DADOS_INVOC'!$QX$10,P20='DADOS_INVOC'!$QY$10),O20,"")</f>
        <v/>
      </c>
      <c r="BE20">
        <f>IF(AND(Q20=1,OR(P20="",P20='DADOS_INVOC'!$EL$10,P20='DADOS_INVOC'!$EM$10,P20='DADOS_INVOC'!$EN$10,P20='DADOS_INVOC'!$EO$10,P20='DADOS_INVOC'!$EP$10,P20='DADOS_INVOC'!$QV$10,P20='DADOS_INVOC'!$QW$10,P20='DADOS_INVOC'!$QX$10,P20='DADOS_INVOC'!$QY$10)),O20,"")</f>
        <v/>
      </c>
      <c r="BF20">
        <f>IF(OR(P20="",P20='DADOS_INVOC'!$EL$11,P20='DADOS_INVOC'!$EM$11,P20='DADOS_INVOC'!$EN$11,P20='DADOS_INVOC'!$EO$11,P20='DADOS_INVOC'!$EP$11,P20='DADOS_INVOC'!$QV$11,P20='DADOS_INVOC'!$QW$11,P20='DADOS_INVOC'!$QX$11,P20='DADOS_INVOC'!$QY$11),O20,"")</f>
        <v/>
      </c>
      <c r="BG20">
        <f>IF(AND(Q20=1,OR(P20="",P20='DADOS_INVOC'!$EL$11,P20='DADOS_INVOC'!$EM$11,P20='DADOS_INVOC'!$EN$11,P20='DADOS_INVOC'!$EO$11,P20='DADOS_INVOC'!$EP$11,P20='DADOS_INVOC'!$QV$11,P20='DADOS_INVOC'!$QW$11,P20='DADOS_INVOC'!$QX$11,P20='DADOS_INVOC'!$QY$11)),O20,"")</f>
        <v/>
      </c>
      <c r="BH20">
        <f>IF(OR(P20="",P20='DADOS_INVOC'!$EL$12,P20='DADOS_INVOC'!$EM$12,P20='DADOS_INVOC'!$EN$12,P20='DADOS_INVOC'!$EO$12,P20='DADOS_INVOC'!$EP$12,P20='DADOS_INVOC'!$QV$12,P20='DADOS_INVOC'!$QW$12,P20='DADOS_INVOC'!$QX$12,P20='DADOS_INVOC'!$QY$12),O20,"")</f>
        <v/>
      </c>
      <c r="BI20">
        <f>IF(AND(Q20=1,OR(P20="",P20='DADOS_INVOC'!$EL$12,P20='DADOS_INVOC'!$EM$12,P20='DADOS_INVOC'!$EN$12,P20='DADOS_INVOC'!$EO$12,P20='DADOS_INVOC'!$EP$12,P20='DADOS_INVOC'!$QV$12,P20='DADOS_INVOC'!$QW$12,P20='DADOS_INVOC'!$QX$12,P20='DADOS_INVOC'!$QY$12)),O20,"")</f>
        <v/>
      </c>
      <c r="BJ20">
        <f>IF(OR(P20="",P20='DADOS_INVOC'!$EL$13,P20='DADOS_INVOC'!$EM$13,P20='DADOS_INVOC'!$EN$13,P20='DADOS_INVOC'!$EO$13,P20='DADOS_INVOC'!$EP$13,P20='DADOS_INVOC'!$QV$13,P20='DADOS_INVOC'!$QW$13,P20='DADOS_INVOC'!$QX$13,P20='DADOS_INVOC'!$QY$13),O20,"")</f>
        <v/>
      </c>
      <c r="BK20">
        <f>IF(AND(Q20=1,OR(P20="",P20='DADOS_INVOC'!$EL$13,P20='DADOS_INVOC'!$EM$13,P20='DADOS_INVOC'!$EN$13,P20='DADOS_INVOC'!$EO$13,P20='DADOS_INVOC'!$EP$13,P20='DADOS_INVOC'!$QV$13,P20='DADOS_INVOC'!$QW$13,P20='DADOS_INVOC'!$QX$13,P20='DADOS_INVOC'!$QY$13)),O20,"")</f>
        <v/>
      </c>
      <c r="BM20">
        <f>IF('DADOS_CRIACAO'!$H$19="","",'DADOS_CRIACAO'!$H$19)</f>
        <v/>
      </c>
      <c r="BP20" t="inlineStr">
        <is>
          <t>De Novo</t>
        </is>
      </c>
      <c r="BR20">
        <f>IF(OR(ISBLANK('CONFIGURAÇÃO'!$DA$247),'CONFIGURAÇÃO'!$DA$247=""),"Melhoria",'CONFIGURAÇÃO'!$DA$247)</f>
        <v/>
      </c>
    </row>
    <row r="21">
      <c r="A21" t="n">
        <v>1245</v>
      </c>
      <c r="B21" t="n">
        <v>8</v>
      </c>
      <c r="C21" t="n">
        <v>20</v>
      </c>
      <c r="D21">
        <f>IF(ISBLANK('CONFIGURAÇÃO'!$DI$249),"",'CONFIGURAÇÃO'!$DI$249)</f>
        <v/>
      </c>
      <c r="E21">
        <f>IF(ISBLANK('CONFIGURAÇÃO'!$DL$250),"",'CONFIGURAÇÃO'!$DL$250)</f>
        <v/>
      </c>
      <c r="F21">
        <f>IF(ISBLANK('CONFIGURAÇÃO'!$DL$251),"",'CONFIGURAÇÃO'!$DL$251)</f>
        <v/>
      </c>
      <c r="G21">
        <f>IF(ISBLANK('CONFIGURAÇÃO'!$DL$252),"",'CONFIGURAÇÃO'!$DL$252)</f>
        <v/>
      </c>
      <c r="H21">
        <f>IF(ISBLANK('CONFIGURAÇÃO'!$DL$253),"",'CONFIGURAÇÃO'!$DL$253)</f>
        <v/>
      </c>
      <c r="I21">
        <f>IF(ISBLANK('CONFIGURAÇÃO'!$DI$256),"",'CONFIGURAÇÃO'!$DI$256)</f>
        <v/>
      </c>
      <c r="J21">
        <f>IF(ISBLANK('CONFIGURAÇÃO'!$DI$262),"",'CONFIGURAÇÃO'!$DI$262)</f>
        <v/>
      </c>
      <c r="K21">
        <f>IF(ISBLANK('CONFIGURAÇÃO'!$DM$247),"",'CONFIGURAÇÃO'!$DM$247)</f>
        <v/>
      </c>
      <c r="L21">
        <f>IF(OR(E21="",E21="Nenhuma"),0,IFERROR(MATCH(SUBSTITUTE(SUBSTITUTE(SUBSTITUTE(E21,"~","~~"),"*","~*"),"?","~?"),'DADOS_MELHORIAS'!$O$2:$O$83,0),-1))</f>
        <v/>
      </c>
      <c r="M21">
        <f>IF(D21="",IF(BR21&lt;&gt;"Melhoria","Preencha NOME",IF(D21="",IF(OR(I21&lt;&gt;"",J21&lt;&gt;"",F21&lt;&gt;"",G21&lt;&gt;"",H21&lt;&gt;"",K21=TRUE,AND(E21&lt;&gt;"",E21&lt;&gt;"Nenhuma")),"Preencha NOME",""),TEXTJOIN(" · ",TRUE,IF(OR(NOT(ISTEXT(D21)),TRIM(D21)&lt;&gt;D21),"NOME precisa ser texto sem espaços nas pontas",""),IF(COUNTIF($D$2:$D$31,SUBSTITUTE(SUBSTITUTE(SUBSTITUTE(D21,"~","~~"),"*","~*"),"?","~?"))+COUNTIF('DADOS_MELHORIAS'!$O$2:$O$83,SUBSTITUTE(SUBSTITUTE(SUBSTITUTE(D21,"~","~~"),"*","~*"),"?","~?"))&gt;1,"Nome repetido no livro ou custom",""),IF(L21&lt;0,"Escolha uma BASE DO LIVRO válida",""),IF(ISLOGICAL(K21),"","MESTRE VIU deve ser caixa de seleção"),IF(AND(G21="",L21&lt;=0),"Escolha PESO",""),IF(AND(G21&lt;&gt;"",COUNTIF('DADOS_MELHORIAS'!$BN$2:$BN$4,SUBSTITUTE(SUBSTITUTE(SUBSTITUTE(G21,"~","~~"),"*","~*"),"?","~?"))&lt;&gt;1),"Peso ou devolução inválido",""),IF(AND(H21&lt;&gt;"",H21&lt;&gt;"Sim",H21&lt;&gt;"Não"),"Escolha Sim ou Não",""),IF(AND(F21&lt;&gt;"",COUNTIF('DADOS_MELHORIAS'!$BM$2:$BM$21,SUBSTITUTE(SUBSTITUTE(SUBSTITUTE(F21,"~","~~"),"*","~*"),"?","~?"))&lt;&gt;1),"Família não cadastrada ou com erro","")))),TEXTJOIN(" · ",TRUE,IF(D21="",IF(OR(I21&lt;&gt;"",J21&lt;&gt;"",F21&lt;&gt;"",G21&lt;&gt;"",H21&lt;&gt;"",K21=TRUE,AND(E21&lt;&gt;"",E21&lt;&gt;"Nenhuma")),"Preencha NOME",""),TEXTJOIN(" · ",TRUE,IF(OR(NOT(ISTEXT(D21)),TRIM(D21)&lt;&gt;D21),"NOME precisa ser texto sem espaços nas pontas",""),IF(COUNTIF($D$2:$D$31,SUBSTITUTE(SUBSTITUTE(SUBSTITUTE(D21,"~","~~"),"*","~*"),"?","~?"))+COUNTIF('DADOS_MELHORIAS'!$O$2:$O$83,SUBSTITUTE(SUBSTITUTE(SUBSTITUTE(D21,"~","~~"),"*","~*"),"?","~?"))&gt;1,"Nome repetido no livro ou custom",""),IF(L21&lt;0,"Escolha uma BASE DO LIVRO válida",""),IF(ISLOGICAL(K21),"","MESTRE VIU deve ser caixa de seleção"),IF(AND(G21="",L21&lt;=0),"Escolha PESO",""),IF(AND(G21&lt;&gt;"",COUNTIF('DADOS_MELHORIAS'!$BN$2:$BN$4,SUBSTITUTE(SUBSTITUTE(SUBSTITUTE(G21,"~","~~"),"*","~*"),"?","~?"))&lt;&gt;1),"Peso ou devolução inválido",""),IF(AND(H21&lt;&gt;"",H21&lt;&gt;"Sim",H21&lt;&gt;"Não"),"Escolha Sim ou Não",""),IF(AND(F21&lt;&gt;"",COUNTIF('DADOS_MELHORIAS'!$BM$2:$BM$21,SUBSTITUTE(SUBSTITUTE(SUBSTITUTE(F21,"~","~~"),"*","~*"),"?","~?"))&lt;&gt;1),"Família não cadastrada ou com erro",""))),IF(AND(BR21&lt;&gt;"Melhoria",BR21&lt;&gt;"Condição"),"Modalidade inválida",""),IF(AND(BR21="Condição",E21&lt;&gt;"",E21&lt;&gt;"Nenhuma",COUNTIF('DADOS_MELHORIAS'!$BU$2:$BU$15,SUBSTITUTE(SUBSTITUTE(SUBSTITUTE(E21,"~","~~"),"*","~*"),"?","~?"))&lt;&gt;1),"Base de Condição inválida",""),IF(AND(BR21="Condição",H21&lt;&gt;"",H21&lt;&gt;"Sim"),"Condição exige TR","")))</f>
        <v/>
      </c>
      <c r="O21">
        <f>IF(ISBLANK(DADOS_AM!$BC$21),"",DADOS_AM!$BC$21)</f>
        <v/>
      </c>
      <c r="P21">
        <f>IF(ISBLANK(DADOS_AM!$BD$21),"",DADOS_AM!$BD$21)</f>
        <v/>
      </c>
      <c r="Q21">
        <f>IF(ISBLANK(DADOS_AM!$BE$21),"",DADOS_AM!$BE$21)</f>
        <v/>
      </c>
      <c r="R21">
        <f>IF(ISBLANK(DADOS_AM!$BF$21),"",DADOS_AM!$BF$21)</f>
        <v/>
      </c>
      <c r="S21">
        <f>IF(ISBLANK(DADOS_AM!$BG$21),"",DADOS_AM!$BG$21)</f>
        <v/>
      </c>
      <c r="T21">
        <f>IF(ISBLANK(DADOS_AM!$BH$21),"",DADOS_AM!$BH$21)</f>
        <v/>
      </c>
      <c r="U21">
        <f>IF(ISBLANK(DADOS_AM!$BI$21),"",DADOS_AM!$BI$21)</f>
        <v/>
      </c>
      <c r="V21">
        <f>IF(ISBLANK(DADOS_AM!$BJ$21),"",DADOS_AM!$BJ$21)</f>
        <v/>
      </c>
      <c r="W21">
        <f>IF(ISBLANK(DADOS_AM!$BK$21),"",DADOS_AM!$BK$21)</f>
        <v/>
      </c>
      <c r="X21" t="inlineStr">
        <is>
          <t>Corrói</t>
        </is>
      </c>
      <c r="Y21" t="n">
        <v>0</v>
      </c>
      <c r="AG21">
        <f>O21</f>
        <v/>
      </c>
      <c r="AH21">
        <f>P21</f>
        <v/>
      </c>
      <c r="AI21">
        <f>Q21</f>
        <v/>
      </c>
      <c r="AJ21">
        <f>T21</f>
        <v/>
      </c>
      <c r="AK21">
        <f>Y21</f>
        <v/>
      </c>
      <c r="AL21">
        <f>W21</f>
        <v/>
      </c>
      <c r="AN21">
        <f>IF(OR(P21="",P21='DADOS_INVOC'!$EL$2,P21='DADOS_INVOC'!$EM$2,P21='DADOS_INVOC'!$EN$2,P21='DADOS_INVOC'!$EO$2,P21='DADOS_INVOC'!$EP$2,P21='DADOS_INVOC'!$QV$2,P21='DADOS_INVOC'!$QW$2,P21='DADOS_INVOC'!$QX$2,P21='DADOS_INVOC'!$QY$2),O21,"")</f>
        <v/>
      </c>
      <c r="AO21">
        <f>IF(AND(Q21=1,OR(P21="",P21='DADOS_INVOC'!$EL$2,P21='DADOS_INVOC'!$EM$2,P21='DADOS_INVOC'!$EN$2,P21='DADOS_INVOC'!$EO$2,P21='DADOS_INVOC'!$EP$2,P21='DADOS_INVOC'!$QV$2,P21='DADOS_INVOC'!$QW$2,P21='DADOS_INVOC'!$QX$2,P21='DADOS_INVOC'!$QY$2)),O21,"")</f>
        <v/>
      </c>
      <c r="AP21">
        <f>IF(OR(P21="",P21='DADOS_INVOC'!$EL$3,P21='DADOS_INVOC'!$EM$3,P21='DADOS_INVOC'!$EN$3,P21='DADOS_INVOC'!$EO$3,P21='DADOS_INVOC'!$EP$3,P21='DADOS_INVOC'!$QV$3,P21='DADOS_INVOC'!$QW$3,P21='DADOS_INVOC'!$QX$3,P21='DADOS_INVOC'!$QY$3),O21,"")</f>
        <v/>
      </c>
      <c r="AQ21">
        <f>IF(AND(Q21=1,OR(P21="",P21='DADOS_INVOC'!$EL$3,P21='DADOS_INVOC'!$EM$3,P21='DADOS_INVOC'!$EN$3,P21='DADOS_INVOC'!$EO$3,P21='DADOS_INVOC'!$EP$3,P21='DADOS_INVOC'!$QV$3,P21='DADOS_INVOC'!$QW$3,P21='DADOS_INVOC'!$QX$3,P21='DADOS_INVOC'!$QY$3)),O21,"")</f>
        <v/>
      </c>
      <c r="AR21">
        <f>IF(OR(P21="",P21='DADOS_INVOC'!$EL$4,P21='DADOS_INVOC'!$EM$4,P21='DADOS_INVOC'!$EN$4,P21='DADOS_INVOC'!$EO$4,P21='DADOS_INVOC'!$EP$4,P21='DADOS_INVOC'!$QV$4,P21='DADOS_INVOC'!$QW$4,P21='DADOS_INVOC'!$QX$4,P21='DADOS_INVOC'!$QY$4),O21,"")</f>
        <v/>
      </c>
      <c r="AS21">
        <f>IF(AND(Q21=1,OR(P21="",P21='DADOS_INVOC'!$EL$4,P21='DADOS_INVOC'!$EM$4,P21='DADOS_INVOC'!$EN$4,P21='DADOS_INVOC'!$EO$4,P21='DADOS_INVOC'!$EP$4,P21='DADOS_INVOC'!$QV$4,P21='DADOS_INVOC'!$QW$4,P21='DADOS_INVOC'!$QX$4,P21='DADOS_INVOC'!$QY$4)),O21,"")</f>
        <v/>
      </c>
      <c r="AT21">
        <f>IF(OR(P21="",P21='DADOS_INVOC'!$EL$5,P21='DADOS_INVOC'!$EM$5,P21='DADOS_INVOC'!$EN$5,P21='DADOS_INVOC'!$EO$5,P21='DADOS_INVOC'!$EP$5,P21='DADOS_INVOC'!$QV$5,P21='DADOS_INVOC'!$QW$5,P21='DADOS_INVOC'!$QX$5,P21='DADOS_INVOC'!$QY$5),O21,"")</f>
        <v/>
      </c>
      <c r="AU21">
        <f>IF(AND(Q21=1,OR(P21="",P21='DADOS_INVOC'!$EL$5,P21='DADOS_INVOC'!$EM$5,P21='DADOS_INVOC'!$EN$5,P21='DADOS_INVOC'!$EO$5,P21='DADOS_INVOC'!$EP$5,P21='DADOS_INVOC'!$QV$5,P21='DADOS_INVOC'!$QW$5,P21='DADOS_INVOC'!$QX$5,P21='DADOS_INVOC'!$QY$5)),O21,"")</f>
        <v/>
      </c>
      <c r="AV21">
        <f>IF(OR(P21="",P21='DADOS_INVOC'!$EL$6,P21='DADOS_INVOC'!$EM$6,P21='DADOS_INVOC'!$EN$6,P21='DADOS_INVOC'!$EO$6,P21='DADOS_INVOC'!$EP$6,P21='DADOS_INVOC'!$QV$6,P21='DADOS_INVOC'!$QW$6,P21='DADOS_INVOC'!$QX$6,P21='DADOS_INVOC'!$QY$6),O21,"")</f>
        <v/>
      </c>
      <c r="AW21">
        <f>IF(AND(Q21=1,OR(P21="",P21='DADOS_INVOC'!$EL$6,P21='DADOS_INVOC'!$EM$6,P21='DADOS_INVOC'!$EN$6,P21='DADOS_INVOC'!$EO$6,P21='DADOS_INVOC'!$EP$6,P21='DADOS_INVOC'!$QV$6,P21='DADOS_INVOC'!$QW$6,P21='DADOS_INVOC'!$QX$6,P21='DADOS_INVOC'!$QY$6)),O21,"")</f>
        <v/>
      </c>
      <c r="AX21">
        <f>IF(OR(P21="",P21='DADOS_INVOC'!$EL$7,P21='DADOS_INVOC'!$EM$7,P21='DADOS_INVOC'!$EN$7,P21='DADOS_INVOC'!$EO$7,P21='DADOS_INVOC'!$EP$7,P21='DADOS_INVOC'!$QV$7,P21='DADOS_INVOC'!$QW$7,P21='DADOS_INVOC'!$QX$7,P21='DADOS_INVOC'!$QY$7),O21,"")</f>
        <v/>
      </c>
      <c r="AY21">
        <f>IF(AND(Q21=1,OR(P21="",P21='DADOS_INVOC'!$EL$7,P21='DADOS_INVOC'!$EM$7,P21='DADOS_INVOC'!$EN$7,P21='DADOS_INVOC'!$EO$7,P21='DADOS_INVOC'!$EP$7,P21='DADOS_INVOC'!$QV$7,P21='DADOS_INVOC'!$QW$7,P21='DADOS_INVOC'!$QX$7,P21='DADOS_INVOC'!$QY$7)),O21,"")</f>
        <v/>
      </c>
      <c r="AZ21">
        <f>IF(OR(P21="",P21='DADOS_INVOC'!$EL$8,P21='DADOS_INVOC'!$EM$8,P21='DADOS_INVOC'!$EN$8,P21='DADOS_INVOC'!$EO$8,P21='DADOS_INVOC'!$EP$8,P21='DADOS_INVOC'!$QV$8,P21='DADOS_INVOC'!$QW$8,P21='DADOS_INVOC'!$QX$8,P21='DADOS_INVOC'!$QY$8),O21,"")</f>
        <v/>
      </c>
      <c r="BA21">
        <f>IF(AND(Q21=1,OR(P21="",P21='DADOS_INVOC'!$EL$8,P21='DADOS_INVOC'!$EM$8,P21='DADOS_INVOC'!$EN$8,P21='DADOS_INVOC'!$EO$8,P21='DADOS_INVOC'!$EP$8,P21='DADOS_INVOC'!$QV$8,P21='DADOS_INVOC'!$QW$8,P21='DADOS_INVOC'!$QX$8,P21='DADOS_INVOC'!$QY$8)),O21,"")</f>
        <v/>
      </c>
      <c r="BB21">
        <f>IF(OR(P21="",P21='DADOS_INVOC'!$EL$9,P21='DADOS_INVOC'!$EM$9,P21='DADOS_INVOC'!$EN$9,P21='DADOS_INVOC'!$EO$9,P21='DADOS_INVOC'!$EP$9,P21='DADOS_INVOC'!$QV$9,P21='DADOS_INVOC'!$QW$9,P21='DADOS_INVOC'!$QX$9,P21='DADOS_INVOC'!$QY$9),O21,"")</f>
        <v/>
      </c>
      <c r="BC21">
        <f>IF(AND(Q21=1,OR(P21="",P21='DADOS_INVOC'!$EL$9,P21='DADOS_INVOC'!$EM$9,P21='DADOS_INVOC'!$EN$9,P21='DADOS_INVOC'!$EO$9,P21='DADOS_INVOC'!$EP$9,P21='DADOS_INVOC'!$QV$9,P21='DADOS_INVOC'!$QW$9,P21='DADOS_INVOC'!$QX$9,P21='DADOS_INVOC'!$QY$9)),O21,"")</f>
        <v/>
      </c>
      <c r="BD21">
        <f>IF(OR(P21="",P21='DADOS_INVOC'!$EL$10,P21='DADOS_INVOC'!$EM$10,P21='DADOS_INVOC'!$EN$10,P21='DADOS_INVOC'!$EO$10,P21='DADOS_INVOC'!$EP$10,P21='DADOS_INVOC'!$QV$10,P21='DADOS_INVOC'!$QW$10,P21='DADOS_INVOC'!$QX$10,P21='DADOS_INVOC'!$QY$10),O21,"")</f>
        <v/>
      </c>
      <c r="BE21">
        <f>IF(AND(Q21=1,OR(P21="",P21='DADOS_INVOC'!$EL$10,P21='DADOS_INVOC'!$EM$10,P21='DADOS_INVOC'!$EN$10,P21='DADOS_INVOC'!$EO$10,P21='DADOS_INVOC'!$EP$10,P21='DADOS_INVOC'!$QV$10,P21='DADOS_INVOC'!$QW$10,P21='DADOS_INVOC'!$QX$10,P21='DADOS_INVOC'!$QY$10)),O21,"")</f>
        <v/>
      </c>
      <c r="BF21">
        <f>IF(OR(P21="",P21='DADOS_INVOC'!$EL$11,P21='DADOS_INVOC'!$EM$11,P21='DADOS_INVOC'!$EN$11,P21='DADOS_INVOC'!$EO$11,P21='DADOS_INVOC'!$EP$11,P21='DADOS_INVOC'!$QV$11,P21='DADOS_INVOC'!$QW$11,P21='DADOS_INVOC'!$QX$11,P21='DADOS_INVOC'!$QY$11),O21,"")</f>
        <v/>
      </c>
      <c r="BG21">
        <f>IF(AND(Q21=1,OR(P21="",P21='DADOS_INVOC'!$EL$11,P21='DADOS_INVOC'!$EM$11,P21='DADOS_INVOC'!$EN$11,P21='DADOS_INVOC'!$EO$11,P21='DADOS_INVOC'!$EP$11,P21='DADOS_INVOC'!$QV$11,P21='DADOS_INVOC'!$QW$11,P21='DADOS_INVOC'!$QX$11,P21='DADOS_INVOC'!$QY$11)),O21,"")</f>
        <v/>
      </c>
      <c r="BH21">
        <f>IF(OR(P21="",P21='DADOS_INVOC'!$EL$12,P21='DADOS_INVOC'!$EM$12,P21='DADOS_INVOC'!$EN$12,P21='DADOS_INVOC'!$EO$12,P21='DADOS_INVOC'!$EP$12,P21='DADOS_INVOC'!$QV$12,P21='DADOS_INVOC'!$QW$12,P21='DADOS_INVOC'!$QX$12,P21='DADOS_INVOC'!$QY$12),O21,"")</f>
        <v/>
      </c>
      <c r="BI21">
        <f>IF(AND(Q21=1,OR(P21="",P21='DADOS_INVOC'!$EL$12,P21='DADOS_INVOC'!$EM$12,P21='DADOS_INVOC'!$EN$12,P21='DADOS_INVOC'!$EO$12,P21='DADOS_INVOC'!$EP$12,P21='DADOS_INVOC'!$QV$12,P21='DADOS_INVOC'!$QW$12,P21='DADOS_INVOC'!$QX$12,P21='DADOS_INVOC'!$QY$12)),O21,"")</f>
        <v/>
      </c>
      <c r="BJ21">
        <f>IF(OR(P21="",P21='DADOS_INVOC'!$EL$13,P21='DADOS_INVOC'!$EM$13,P21='DADOS_INVOC'!$EN$13,P21='DADOS_INVOC'!$EO$13,P21='DADOS_INVOC'!$EP$13,P21='DADOS_INVOC'!$QV$13,P21='DADOS_INVOC'!$QW$13,P21='DADOS_INVOC'!$QX$13,P21='DADOS_INVOC'!$QY$13),O21,"")</f>
        <v/>
      </c>
      <c r="BK21">
        <f>IF(AND(Q21=1,OR(P21="",P21='DADOS_INVOC'!$EL$13,P21='DADOS_INVOC'!$EM$13,P21='DADOS_INVOC'!$EN$13,P21='DADOS_INVOC'!$EO$13,P21='DADOS_INVOC'!$EP$13,P21='DADOS_INVOC'!$QV$13,P21='DADOS_INVOC'!$QW$13,P21='DADOS_INVOC'!$QX$13,P21='DADOS_INVOC'!$QY$13)),O21,"")</f>
        <v/>
      </c>
      <c r="BM21">
        <f>IF('DADOS_CRIACAO'!$H$20="","",'DADOS_CRIACAO'!$H$20)</f>
        <v/>
      </c>
      <c r="BP21" t="inlineStr">
        <is>
          <t>Fura</t>
        </is>
      </c>
      <c r="BR21">
        <f>IF(OR(ISBLANK('CONFIGURAÇÃO'!$DI$247),'CONFIGURAÇÃO'!$DI$247=""),"Melhoria",'CONFIGURAÇÃO'!$DI$247)</f>
        <v/>
      </c>
    </row>
    <row r="22">
      <c r="A22" t="n">
        <v>1271</v>
      </c>
      <c r="B22" t="n">
        <v>0</v>
      </c>
      <c r="C22" t="n">
        <v>21</v>
      </c>
      <c r="D22">
        <f>IF(ISBLANK('CONFIGURAÇÃO'!$DA$275),"",'CONFIGURAÇÃO'!$DA$275)</f>
        <v/>
      </c>
      <c r="E22">
        <f>IF(ISBLANK('CONFIGURAÇÃO'!$DD$276),"",'CONFIGURAÇÃO'!$DD$276)</f>
        <v/>
      </c>
      <c r="F22">
        <f>IF(ISBLANK('CONFIGURAÇÃO'!$DD$277),"",'CONFIGURAÇÃO'!$DD$277)</f>
        <v/>
      </c>
      <c r="G22">
        <f>IF(ISBLANK('CONFIGURAÇÃO'!$DD$278),"",'CONFIGURAÇÃO'!$DD$278)</f>
        <v/>
      </c>
      <c r="H22">
        <f>IF(ISBLANK('CONFIGURAÇÃO'!$DD$279),"",'CONFIGURAÇÃO'!$DD$279)</f>
        <v/>
      </c>
      <c r="I22">
        <f>IF(ISBLANK('CONFIGURAÇÃO'!$DA$282),"",'CONFIGURAÇÃO'!$DA$282)</f>
        <v/>
      </c>
      <c r="J22">
        <f>IF(ISBLANK('CONFIGURAÇÃO'!$DA$288),"",'CONFIGURAÇÃO'!$DA$288)</f>
        <v/>
      </c>
      <c r="K22">
        <f>IF(ISBLANK('CONFIGURAÇÃO'!$DE$273),"",'CONFIGURAÇÃO'!$DE$273)</f>
        <v/>
      </c>
      <c r="L22">
        <f>IF(OR(E22="",E22="Nenhuma"),0,IFERROR(MATCH(SUBSTITUTE(SUBSTITUTE(SUBSTITUTE(E22,"~","~~"),"*","~*"),"?","~?"),'DADOS_MELHORIAS'!$O$2:$O$83,0),-1))</f>
        <v/>
      </c>
      <c r="M22">
        <f>IF(D22="",IF(BR22&lt;&gt;"Melhoria","Preencha NOME",IF(D22="",IF(OR(I22&lt;&gt;"",J22&lt;&gt;"",F22&lt;&gt;"",G22&lt;&gt;"",H22&lt;&gt;"",K22=TRUE,AND(E22&lt;&gt;"",E22&lt;&gt;"Nenhuma")),"Preencha NOME",""),TEXTJOIN(" · ",TRUE,IF(OR(NOT(ISTEXT(D22)),TRIM(D22)&lt;&gt;D22),"NOME precisa ser texto sem espaços nas pontas",""),IF(COUNTIF($D$2:$D$31,SUBSTITUTE(SUBSTITUTE(SUBSTITUTE(D22,"~","~~"),"*","~*"),"?","~?"))+COUNTIF('DADOS_MELHORIAS'!$O$2:$O$83,SUBSTITUTE(SUBSTITUTE(SUBSTITUTE(D22,"~","~~"),"*","~*"),"?","~?"))&gt;1,"Nome repetido no livro ou custom",""),IF(L22&lt;0,"Escolha uma BASE DO LIVRO válida",""),IF(ISLOGICAL(K22),"","MESTRE VIU deve ser caixa de seleção"),IF(AND(G22="",L22&lt;=0),"Escolha PESO",""),IF(AND(G22&lt;&gt;"",COUNTIF('DADOS_MELHORIAS'!$BN$2:$BN$4,SUBSTITUTE(SUBSTITUTE(SUBSTITUTE(G22,"~","~~"),"*","~*"),"?","~?"))&lt;&gt;1),"Peso ou devolução inválido",""),IF(AND(H22&lt;&gt;"",H22&lt;&gt;"Sim",H22&lt;&gt;"Não"),"Escolha Sim ou Não",""),IF(AND(F22&lt;&gt;"",COUNTIF('DADOS_MELHORIAS'!$BM$2:$BM$21,SUBSTITUTE(SUBSTITUTE(SUBSTITUTE(F22,"~","~~"),"*","~*"),"?","~?"))&lt;&gt;1),"Família não cadastrada ou com erro","")))),TEXTJOIN(" · ",TRUE,IF(D22="",IF(OR(I22&lt;&gt;"",J22&lt;&gt;"",F22&lt;&gt;"",G22&lt;&gt;"",H22&lt;&gt;"",K22=TRUE,AND(E22&lt;&gt;"",E22&lt;&gt;"Nenhuma")),"Preencha NOME",""),TEXTJOIN(" · ",TRUE,IF(OR(NOT(ISTEXT(D22)),TRIM(D22)&lt;&gt;D22),"NOME precisa ser texto sem espaços nas pontas",""),IF(COUNTIF($D$2:$D$31,SUBSTITUTE(SUBSTITUTE(SUBSTITUTE(D22,"~","~~"),"*","~*"),"?","~?"))+COUNTIF('DADOS_MELHORIAS'!$O$2:$O$83,SUBSTITUTE(SUBSTITUTE(SUBSTITUTE(D22,"~","~~"),"*","~*"),"?","~?"))&gt;1,"Nome repetido no livro ou custom",""),IF(L22&lt;0,"Escolha uma BASE DO LIVRO válida",""),IF(ISLOGICAL(K22),"","MESTRE VIU deve ser caixa de seleção"),IF(AND(G22="",L22&lt;=0),"Escolha PESO",""),IF(AND(G22&lt;&gt;"",COUNTIF('DADOS_MELHORIAS'!$BN$2:$BN$4,SUBSTITUTE(SUBSTITUTE(SUBSTITUTE(G22,"~","~~"),"*","~*"),"?","~?"))&lt;&gt;1),"Peso ou devolução inválido",""),IF(AND(H22&lt;&gt;"",H22&lt;&gt;"Sim",H22&lt;&gt;"Não"),"Escolha Sim ou Não",""),IF(AND(F22&lt;&gt;"",COUNTIF('DADOS_MELHORIAS'!$BM$2:$BM$21,SUBSTITUTE(SUBSTITUTE(SUBSTITUTE(F22,"~","~~"),"*","~*"),"?","~?"))&lt;&gt;1),"Família não cadastrada ou com erro",""))),IF(AND(BR22&lt;&gt;"Melhoria",BR22&lt;&gt;"Condição"),"Modalidade inválida",""),IF(AND(BR22="Condição",E22&lt;&gt;"",E22&lt;&gt;"Nenhuma",COUNTIF('DADOS_MELHORIAS'!$BU$2:$BU$15,SUBSTITUTE(SUBSTITUTE(SUBSTITUTE(E22,"~","~~"),"*","~*"),"?","~?"))&lt;&gt;1),"Base de Condição inválida",""),IF(AND(BR22="Condição",H22&lt;&gt;"",H22&lt;&gt;"Sim"),"Condição exige TR","")))</f>
        <v/>
      </c>
      <c r="O22">
        <f>IF(ISBLANK(DADOS_AM!$BC$22),"",DADOS_AM!$BC$22)</f>
        <v/>
      </c>
      <c r="P22">
        <f>IF(ISBLANK(DADOS_AM!$BD$22),"",DADOS_AM!$BD$22)</f>
        <v/>
      </c>
      <c r="Q22">
        <f>IF(ISBLANK(DADOS_AM!$BE$22),"",DADOS_AM!$BE$22)</f>
        <v/>
      </c>
      <c r="R22">
        <f>IF(ISBLANK(DADOS_AM!$BF$22),"",DADOS_AM!$BF$22)</f>
        <v/>
      </c>
      <c r="S22">
        <f>IF(ISBLANK(DADOS_AM!$BG$22),"",DADOS_AM!$BG$22)</f>
        <v/>
      </c>
      <c r="T22">
        <f>IF(ISBLANK(DADOS_AM!$BH$22),"",DADOS_AM!$BH$22)</f>
        <v/>
      </c>
      <c r="U22">
        <f>IF(ISBLANK(DADOS_AM!$BI$22),"",DADOS_AM!$BI$22)</f>
        <v/>
      </c>
      <c r="V22">
        <f>IF(ISBLANK(DADOS_AM!$BJ$22),"",DADOS_AM!$BJ$22)</f>
        <v/>
      </c>
      <c r="W22">
        <f>IF(ISBLANK(DADOS_AM!$BK$22),"",DADOS_AM!$BK$22)</f>
        <v/>
      </c>
      <c r="X22" t="inlineStr">
        <is>
          <t>Sem Cobertura</t>
        </is>
      </c>
      <c r="Y22" t="n">
        <v>0</v>
      </c>
      <c r="AG22">
        <f>O22</f>
        <v/>
      </c>
      <c r="AH22">
        <f>P22</f>
        <v/>
      </c>
      <c r="AI22">
        <f>Q22</f>
        <v/>
      </c>
      <c r="AJ22">
        <f>T22</f>
        <v/>
      </c>
      <c r="AK22">
        <f>Y22</f>
        <v/>
      </c>
      <c r="AL22">
        <f>W22</f>
        <v/>
      </c>
      <c r="AN22">
        <f>IF(OR(P22="",P22='DADOS_INVOC'!$EL$2,P22='DADOS_INVOC'!$EM$2,P22='DADOS_INVOC'!$EN$2,P22='DADOS_INVOC'!$EO$2,P22='DADOS_INVOC'!$EP$2,P22='DADOS_INVOC'!$QV$2,P22='DADOS_INVOC'!$QW$2,P22='DADOS_INVOC'!$QX$2,P22='DADOS_INVOC'!$QY$2),O22,"")</f>
        <v/>
      </c>
      <c r="AO22">
        <f>IF(AND(Q22=1,OR(P22="",P22='DADOS_INVOC'!$EL$2,P22='DADOS_INVOC'!$EM$2,P22='DADOS_INVOC'!$EN$2,P22='DADOS_INVOC'!$EO$2,P22='DADOS_INVOC'!$EP$2,P22='DADOS_INVOC'!$QV$2,P22='DADOS_INVOC'!$QW$2,P22='DADOS_INVOC'!$QX$2,P22='DADOS_INVOC'!$QY$2)),O22,"")</f>
        <v/>
      </c>
      <c r="AP22">
        <f>IF(OR(P22="",P22='DADOS_INVOC'!$EL$3,P22='DADOS_INVOC'!$EM$3,P22='DADOS_INVOC'!$EN$3,P22='DADOS_INVOC'!$EO$3,P22='DADOS_INVOC'!$EP$3,P22='DADOS_INVOC'!$QV$3,P22='DADOS_INVOC'!$QW$3,P22='DADOS_INVOC'!$QX$3,P22='DADOS_INVOC'!$QY$3),O22,"")</f>
        <v/>
      </c>
      <c r="AQ22">
        <f>IF(AND(Q22=1,OR(P22="",P22='DADOS_INVOC'!$EL$3,P22='DADOS_INVOC'!$EM$3,P22='DADOS_INVOC'!$EN$3,P22='DADOS_INVOC'!$EO$3,P22='DADOS_INVOC'!$EP$3,P22='DADOS_INVOC'!$QV$3,P22='DADOS_INVOC'!$QW$3,P22='DADOS_INVOC'!$QX$3,P22='DADOS_INVOC'!$QY$3)),O22,"")</f>
        <v/>
      </c>
      <c r="AR22">
        <f>IF(OR(P22="",P22='DADOS_INVOC'!$EL$4,P22='DADOS_INVOC'!$EM$4,P22='DADOS_INVOC'!$EN$4,P22='DADOS_INVOC'!$EO$4,P22='DADOS_INVOC'!$EP$4,P22='DADOS_INVOC'!$QV$4,P22='DADOS_INVOC'!$QW$4,P22='DADOS_INVOC'!$QX$4,P22='DADOS_INVOC'!$QY$4),O22,"")</f>
        <v/>
      </c>
      <c r="AS22">
        <f>IF(AND(Q22=1,OR(P22="",P22='DADOS_INVOC'!$EL$4,P22='DADOS_INVOC'!$EM$4,P22='DADOS_INVOC'!$EN$4,P22='DADOS_INVOC'!$EO$4,P22='DADOS_INVOC'!$EP$4,P22='DADOS_INVOC'!$QV$4,P22='DADOS_INVOC'!$QW$4,P22='DADOS_INVOC'!$QX$4,P22='DADOS_INVOC'!$QY$4)),O22,"")</f>
        <v/>
      </c>
      <c r="AT22">
        <f>IF(OR(P22="",P22='DADOS_INVOC'!$EL$5,P22='DADOS_INVOC'!$EM$5,P22='DADOS_INVOC'!$EN$5,P22='DADOS_INVOC'!$EO$5,P22='DADOS_INVOC'!$EP$5,P22='DADOS_INVOC'!$QV$5,P22='DADOS_INVOC'!$QW$5,P22='DADOS_INVOC'!$QX$5,P22='DADOS_INVOC'!$QY$5),O22,"")</f>
        <v/>
      </c>
      <c r="AU22">
        <f>IF(AND(Q22=1,OR(P22="",P22='DADOS_INVOC'!$EL$5,P22='DADOS_INVOC'!$EM$5,P22='DADOS_INVOC'!$EN$5,P22='DADOS_INVOC'!$EO$5,P22='DADOS_INVOC'!$EP$5,P22='DADOS_INVOC'!$QV$5,P22='DADOS_INVOC'!$QW$5,P22='DADOS_INVOC'!$QX$5,P22='DADOS_INVOC'!$QY$5)),O22,"")</f>
        <v/>
      </c>
      <c r="AV22">
        <f>IF(OR(P22="",P22='DADOS_INVOC'!$EL$6,P22='DADOS_INVOC'!$EM$6,P22='DADOS_INVOC'!$EN$6,P22='DADOS_INVOC'!$EO$6,P22='DADOS_INVOC'!$EP$6,P22='DADOS_INVOC'!$QV$6,P22='DADOS_INVOC'!$QW$6,P22='DADOS_INVOC'!$QX$6,P22='DADOS_INVOC'!$QY$6),O22,"")</f>
        <v/>
      </c>
      <c r="AW22">
        <f>IF(AND(Q22=1,OR(P22="",P22='DADOS_INVOC'!$EL$6,P22='DADOS_INVOC'!$EM$6,P22='DADOS_INVOC'!$EN$6,P22='DADOS_INVOC'!$EO$6,P22='DADOS_INVOC'!$EP$6,P22='DADOS_INVOC'!$QV$6,P22='DADOS_INVOC'!$QW$6,P22='DADOS_INVOC'!$QX$6,P22='DADOS_INVOC'!$QY$6)),O22,"")</f>
        <v/>
      </c>
      <c r="AX22">
        <f>IF(OR(P22="",P22='DADOS_INVOC'!$EL$7,P22='DADOS_INVOC'!$EM$7,P22='DADOS_INVOC'!$EN$7,P22='DADOS_INVOC'!$EO$7,P22='DADOS_INVOC'!$EP$7,P22='DADOS_INVOC'!$QV$7,P22='DADOS_INVOC'!$QW$7,P22='DADOS_INVOC'!$QX$7,P22='DADOS_INVOC'!$QY$7),O22,"")</f>
        <v/>
      </c>
      <c r="AY22">
        <f>IF(AND(Q22=1,OR(P22="",P22='DADOS_INVOC'!$EL$7,P22='DADOS_INVOC'!$EM$7,P22='DADOS_INVOC'!$EN$7,P22='DADOS_INVOC'!$EO$7,P22='DADOS_INVOC'!$EP$7,P22='DADOS_INVOC'!$QV$7,P22='DADOS_INVOC'!$QW$7,P22='DADOS_INVOC'!$QX$7,P22='DADOS_INVOC'!$QY$7)),O22,"")</f>
        <v/>
      </c>
      <c r="AZ22">
        <f>IF(OR(P22="",P22='DADOS_INVOC'!$EL$8,P22='DADOS_INVOC'!$EM$8,P22='DADOS_INVOC'!$EN$8,P22='DADOS_INVOC'!$EO$8,P22='DADOS_INVOC'!$EP$8,P22='DADOS_INVOC'!$QV$8,P22='DADOS_INVOC'!$QW$8,P22='DADOS_INVOC'!$QX$8,P22='DADOS_INVOC'!$QY$8),O22,"")</f>
        <v/>
      </c>
      <c r="BA22">
        <f>IF(AND(Q22=1,OR(P22="",P22='DADOS_INVOC'!$EL$8,P22='DADOS_INVOC'!$EM$8,P22='DADOS_INVOC'!$EN$8,P22='DADOS_INVOC'!$EO$8,P22='DADOS_INVOC'!$EP$8,P22='DADOS_INVOC'!$QV$8,P22='DADOS_INVOC'!$QW$8,P22='DADOS_INVOC'!$QX$8,P22='DADOS_INVOC'!$QY$8)),O22,"")</f>
        <v/>
      </c>
      <c r="BB22">
        <f>IF(OR(P22="",P22='DADOS_INVOC'!$EL$9,P22='DADOS_INVOC'!$EM$9,P22='DADOS_INVOC'!$EN$9,P22='DADOS_INVOC'!$EO$9,P22='DADOS_INVOC'!$EP$9,P22='DADOS_INVOC'!$QV$9,P22='DADOS_INVOC'!$QW$9,P22='DADOS_INVOC'!$QX$9,P22='DADOS_INVOC'!$QY$9),O22,"")</f>
        <v/>
      </c>
      <c r="BC22">
        <f>IF(AND(Q22=1,OR(P22="",P22='DADOS_INVOC'!$EL$9,P22='DADOS_INVOC'!$EM$9,P22='DADOS_INVOC'!$EN$9,P22='DADOS_INVOC'!$EO$9,P22='DADOS_INVOC'!$EP$9,P22='DADOS_INVOC'!$QV$9,P22='DADOS_INVOC'!$QW$9,P22='DADOS_INVOC'!$QX$9,P22='DADOS_INVOC'!$QY$9)),O22,"")</f>
        <v/>
      </c>
      <c r="BD22">
        <f>IF(OR(P22="",P22='DADOS_INVOC'!$EL$10,P22='DADOS_INVOC'!$EM$10,P22='DADOS_INVOC'!$EN$10,P22='DADOS_INVOC'!$EO$10,P22='DADOS_INVOC'!$EP$10,P22='DADOS_INVOC'!$QV$10,P22='DADOS_INVOC'!$QW$10,P22='DADOS_INVOC'!$QX$10,P22='DADOS_INVOC'!$QY$10),O22,"")</f>
        <v/>
      </c>
      <c r="BE22">
        <f>IF(AND(Q22=1,OR(P22="",P22='DADOS_INVOC'!$EL$10,P22='DADOS_INVOC'!$EM$10,P22='DADOS_INVOC'!$EN$10,P22='DADOS_INVOC'!$EO$10,P22='DADOS_INVOC'!$EP$10,P22='DADOS_INVOC'!$QV$10,P22='DADOS_INVOC'!$QW$10,P22='DADOS_INVOC'!$QX$10,P22='DADOS_INVOC'!$QY$10)),O22,"")</f>
        <v/>
      </c>
      <c r="BF22">
        <f>IF(OR(P22="",P22='DADOS_INVOC'!$EL$11,P22='DADOS_INVOC'!$EM$11,P22='DADOS_INVOC'!$EN$11,P22='DADOS_INVOC'!$EO$11,P22='DADOS_INVOC'!$EP$11,P22='DADOS_INVOC'!$QV$11,P22='DADOS_INVOC'!$QW$11,P22='DADOS_INVOC'!$QX$11,P22='DADOS_INVOC'!$QY$11),O22,"")</f>
        <v/>
      </c>
      <c r="BG22">
        <f>IF(AND(Q22=1,OR(P22="",P22='DADOS_INVOC'!$EL$11,P22='DADOS_INVOC'!$EM$11,P22='DADOS_INVOC'!$EN$11,P22='DADOS_INVOC'!$EO$11,P22='DADOS_INVOC'!$EP$11,P22='DADOS_INVOC'!$QV$11,P22='DADOS_INVOC'!$QW$11,P22='DADOS_INVOC'!$QX$11,P22='DADOS_INVOC'!$QY$11)),O22,"")</f>
        <v/>
      </c>
      <c r="BH22">
        <f>IF(OR(P22="",P22='DADOS_INVOC'!$EL$12,P22='DADOS_INVOC'!$EM$12,P22='DADOS_INVOC'!$EN$12,P22='DADOS_INVOC'!$EO$12,P22='DADOS_INVOC'!$EP$12,P22='DADOS_INVOC'!$QV$12,P22='DADOS_INVOC'!$QW$12,P22='DADOS_INVOC'!$QX$12,P22='DADOS_INVOC'!$QY$12),O22,"")</f>
        <v/>
      </c>
      <c r="BI22">
        <f>IF(AND(Q22=1,OR(P22="",P22='DADOS_INVOC'!$EL$12,P22='DADOS_INVOC'!$EM$12,P22='DADOS_INVOC'!$EN$12,P22='DADOS_INVOC'!$EO$12,P22='DADOS_INVOC'!$EP$12,P22='DADOS_INVOC'!$QV$12,P22='DADOS_INVOC'!$QW$12,P22='DADOS_INVOC'!$QX$12,P22='DADOS_INVOC'!$QY$12)),O22,"")</f>
        <v/>
      </c>
      <c r="BJ22">
        <f>IF(OR(P22="",P22='DADOS_INVOC'!$EL$13,P22='DADOS_INVOC'!$EM$13,P22='DADOS_INVOC'!$EN$13,P22='DADOS_INVOC'!$EO$13,P22='DADOS_INVOC'!$EP$13,P22='DADOS_INVOC'!$QV$13,P22='DADOS_INVOC'!$QW$13,P22='DADOS_INVOC'!$QX$13,P22='DADOS_INVOC'!$QY$13),O22,"")</f>
        <v/>
      </c>
      <c r="BK22">
        <f>IF(AND(Q22=1,OR(P22="",P22='DADOS_INVOC'!$EL$13,P22='DADOS_INVOC'!$EM$13,P22='DADOS_INVOC'!$EN$13,P22='DADOS_INVOC'!$EO$13,P22='DADOS_INVOC'!$EP$13,P22='DADOS_INVOC'!$QV$13,P22='DADOS_INVOC'!$QW$13,P22='DADOS_INVOC'!$QX$13,P22='DADOS_INVOC'!$QY$13)),O22,"")</f>
        <v/>
      </c>
      <c r="BP22" t="inlineStr">
        <is>
          <t>Corrói</t>
        </is>
      </c>
      <c r="BR22">
        <f>IF(OR(ISBLANK('CONFIGURAÇÃO'!$DA$273),'CONFIGURAÇÃO'!$DA$273=""),"Melhoria",'CONFIGURAÇÃO'!$DA$273)</f>
        <v/>
      </c>
    </row>
    <row r="23">
      <c r="A23" t="n">
        <v>1271</v>
      </c>
      <c r="B23" t="n">
        <v>8</v>
      </c>
      <c r="C23" t="n">
        <v>22</v>
      </c>
      <c r="D23">
        <f>IF(ISBLANK('CONFIGURAÇÃO'!$DI$275),"",'CONFIGURAÇÃO'!$DI$275)</f>
        <v/>
      </c>
      <c r="E23">
        <f>IF(ISBLANK('CONFIGURAÇÃO'!$DL$276),"",'CONFIGURAÇÃO'!$DL$276)</f>
        <v/>
      </c>
      <c r="F23">
        <f>IF(ISBLANK('CONFIGURAÇÃO'!$DL$277),"",'CONFIGURAÇÃO'!$DL$277)</f>
        <v/>
      </c>
      <c r="G23">
        <f>IF(ISBLANK('CONFIGURAÇÃO'!$DL$278),"",'CONFIGURAÇÃO'!$DL$278)</f>
        <v/>
      </c>
      <c r="H23">
        <f>IF(ISBLANK('CONFIGURAÇÃO'!$DL$279),"",'CONFIGURAÇÃO'!$DL$279)</f>
        <v/>
      </c>
      <c r="I23">
        <f>IF(ISBLANK('CONFIGURAÇÃO'!$DI$282),"",'CONFIGURAÇÃO'!$DI$282)</f>
        <v/>
      </c>
      <c r="J23">
        <f>IF(ISBLANK('CONFIGURAÇÃO'!$DI$288),"",'CONFIGURAÇÃO'!$DI$288)</f>
        <v/>
      </c>
      <c r="K23">
        <f>IF(ISBLANK('CONFIGURAÇÃO'!$DM$273),"",'CONFIGURAÇÃO'!$DM$273)</f>
        <v/>
      </c>
      <c r="L23">
        <f>IF(OR(E23="",E23="Nenhuma"),0,IFERROR(MATCH(SUBSTITUTE(SUBSTITUTE(SUBSTITUTE(E23,"~","~~"),"*","~*"),"?","~?"),'DADOS_MELHORIAS'!$O$2:$O$83,0),-1))</f>
        <v/>
      </c>
      <c r="M23">
        <f>IF(D23="",IF(BR23&lt;&gt;"Melhoria","Preencha NOME",IF(D23="",IF(OR(I23&lt;&gt;"",J23&lt;&gt;"",F23&lt;&gt;"",G23&lt;&gt;"",H23&lt;&gt;"",K23=TRUE,AND(E23&lt;&gt;"",E23&lt;&gt;"Nenhuma")),"Preencha NOME",""),TEXTJOIN(" · ",TRUE,IF(OR(NOT(ISTEXT(D23)),TRIM(D23)&lt;&gt;D23),"NOME precisa ser texto sem espaços nas pontas",""),IF(COUNTIF($D$2:$D$31,SUBSTITUTE(SUBSTITUTE(SUBSTITUTE(D23,"~","~~"),"*","~*"),"?","~?"))+COUNTIF('DADOS_MELHORIAS'!$O$2:$O$83,SUBSTITUTE(SUBSTITUTE(SUBSTITUTE(D23,"~","~~"),"*","~*"),"?","~?"))&gt;1,"Nome repetido no livro ou custom",""),IF(L23&lt;0,"Escolha uma BASE DO LIVRO válida",""),IF(ISLOGICAL(K23),"","MESTRE VIU deve ser caixa de seleção"),IF(AND(G23="",L23&lt;=0),"Escolha PESO",""),IF(AND(G23&lt;&gt;"",COUNTIF('DADOS_MELHORIAS'!$BN$2:$BN$4,SUBSTITUTE(SUBSTITUTE(SUBSTITUTE(G23,"~","~~"),"*","~*"),"?","~?"))&lt;&gt;1),"Peso ou devolução inválido",""),IF(AND(H23&lt;&gt;"",H23&lt;&gt;"Sim",H23&lt;&gt;"Não"),"Escolha Sim ou Não",""),IF(AND(F23&lt;&gt;"",COUNTIF('DADOS_MELHORIAS'!$BM$2:$BM$21,SUBSTITUTE(SUBSTITUTE(SUBSTITUTE(F23,"~","~~"),"*","~*"),"?","~?"))&lt;&gt;1),"Família não cadastrada ou com erro","")))),TEXTJOIN(" · ",TRUE,IF(D23="",IF(OR(I23&lt;&gt;"",J23&lt;&gt;"",F23&lt;&gt;"",G23&lt;&gt;"",H23&lt;&gt;"",K23=TRUE,AND(E23&lt;&gt;"",E23&lt;&gt;"Nenhuma")),"Preencha NOME",""),TEXTJOIN(" · ",TRUE,IF(OR(NOT(ISTEXT(D23)),TRIM(D23)&lt;&gt;D23),"NOME precisa ser texto sem espaços nas pontas",""),IF(COUNTIF($D$2:$D$31,SUBSTITUTE(SUBSTITUTE(SUBSTITUTE(D23,"~","~~"),"*","~*"),"?","~?"))+COUNTIF('DADOS_MELHORIAS'!$O$2:$O$83,SUBSTITUTE(SUBSTITUTE(SUBSTITUTE(D23,"~","~~"),"*","~*"),"?","~?"))&gt;1,"Nome repetido no livro ou custom",""),IF(L23&lt;0,"Escolha uma BASE DO LIVRO válida",""),IF(ISLOGICAL(K23),"","MESTRE VIU deve ser caixa de seleção"),IF(AND(G23="",L23&lt;=0),"Escolha PESO",""),IF(AND(G23&lt;&gt;"",COUNTIF('DADOS_MELHORIAS'!$BN$2:$BN$4,SUBSTITUTE(SUBSTITUTE(SUBSTITUTE(G23,"~","~~"),"*","~*"),"?","~?"))&lt;&gt;1),"Peso ou devolução inválido",""),IF(AND(H23&lt;&gt;"",H23&lt;&gt;"Sim",H23&lt;&gt;"Não"),"Escolha Sim ou Não",""),IF(AND(F23&lt;&gt;"",COUNTIF('DADOS_MELHORIAS'!$BM$2:$BM$21,SUBSTITUTE(SUBSTITUTE(SUBSTITUTE(F23,"~","~~"),"*","~*"),"?","~?"))&lt;&gt;1),"Família não cadastrada ou com erro",""))),IF(AND(BR23&lt;&gt;"Melhoria",BR23&lt;&gt;"Condição"),"Modalidade inválida",""),IF(AND(BR23="Condição",E23&lt;&gt;"",E23&lt;&gt;"Nenhuma",COUNTIF('DADOS_MELHORIAS'!$BU$2:$BU$15,SUBSTITUTE(SUBSTITUTE(SUBSTITUTE(E23,"~","~~"),"*","~*"),"?","~?"))&lt;&gt;1),"Base de Condição inválida",""),IF(AND(BR23="Condição",H23&lt;&gt;"",H23&lt;&gt;"Sim"),"Condição exige TR","")))</f>
        <v/>
      </c>
      <c r="O23">
        <f>IF(ISBLANK(DADOS_AM!$BC$23),"",DADOS_AM!$BC$23)</f>
        <v/>
      </c>
      <c r="P23">
        <f>IF(ISBLANK(DADOS_AM!$BD$23),"",DADOS_AM!$BD$23)</f>
        <v/>
      </c>
      <c r="Q23">
        <f>IF(ISBLANK(DADOS_AM!$BE$23),"",DADOS_AM!$BE$23)</f>
        <v/>
      </c>
      <c r="R23">
        <f>IF(ISBLANK(DADOS_AM!$BF$23),"",DADOS_AM!$BF$23)</f>
        <v/>
      </c>
      <c r="S23">
        <f>IF(ISBLANK(DADOS_AM!$BG$23),"",DADOS_AM!$BG$23)</f>
        <v/>
      </c>
      <c r="T23">
        <f>IF(ISBLANK(DADOS_AM!$BH$23),"",DADOS_AM!$BH$23)</f>
        <v/>
      </c>
      <c r="U23">
        <f>IF(ISBLANK(DADOS_AM!$BI$23),"",DADOS_AM!$BI$23)</f>
        <v/>
      </c>
      <c r="V23">
        <f>IF(ISBLANK(DADOS_AM!$BJ$23),"",DADOS_AM!$BJ$23)</f>
        <v/>
      </c>
      <c r="W23">
        <f>IF(ISBLANK(DADOS_AM!$BK$23),"",DADOS_AM!$BK$23)</f>
        <v/>
      </c>
      <c r="X23" t="inlineStr">
        <is>
          <t>Toca a Alma</t>
        </is>
      </c>
      <c r="Y23" t="n">
        <v>0</v>
      </c>
      <c r="AG23">
        <f>O23</f>
        <v/>
      </c>
      <c r="AH23">
        <f>P23</f>
        <v/>
      </c>
      <c r="AI23">
        <f>Q23</f>
        <v/>
      </c>
      <c r="AJ23">
        <f>T23</f>
        <v/>
      </c>
      <c r="AK23">
        <f>Y23</f>
        <v/>
      </c>
      <c r="AL23">
        <f>W23</f>
        <v/>
      </c>
      <c r="AN23">
        <f>IF(OR(P23="",P23='DADOS_INVOC'!$EL$2,P23='DADOS_INVOC'!$EM$2,P23='DADOS_INVOC'!$EN$2,P23='DADOS_INVOC'!$EO$2,P23='DADOS_INVOC'!$EP$2,P23='DADOS_INVOC'!$QV$2,P23='DADOS_INVOC'!$QW$2,P23='DADOS_INVOC'!$QX$2,P23='DADOS_INVOC'!$QY$2),O23,"")</f>
        <v/>
      </c>
      <c r="AO23">
        <f>IF(AND(Q23=1,OR(P23="",P23='DADOS_INVOC'!$EL$2,P23='DADOS_INVOC'!$EM$2,P23='DADOS_INVOC'!$EN$2,P23='DADOS_INVOC'!$EO$2,P23='DADOS_INVOC'!$EP$2,P23='DADOS_INVOC'!$QV$2,P23='DADOS_INVOC'!$QW$2,P23='DADOS_INVOC'!$QX$2,P23='DADOS_INVOC'!$QY$2)),O23,"")</f>
        <v/>
      </c>
      <c r="AP23">
        <f>IF(OR(P23="",P23='DADOS_INVOC'!$EL$3,P23='DADOS_INVOC'!$EM$3,P23='DADOS_INVOC'!$EN$3,P23='DADOS_INVOC'!$EO$3,P23='DADOS_INVOC'!$EP$3,P23='DADOS_INVOC'!$QV$3,P23='DADOS_INVOC'!$QW$3,P23='DADOS_INVOC'!$QX$3,P23='DADOS_INVOC'!$QY$3),O23,"")</f>
        <v/>
      </c>
      <c r="AQ23">
        <f>IF(AND(Q23=1,OR(P23="",P23='DADOS_INVOC'!$EL$3,P23='DADOS_INVOC'!$EM$3,P23='DADOS_INVOC'!$EN$3,P23='DADOS_INVOC'!$EO$3,P23='DADOS_INVOC'!$EP$3,P23='DADOS_INVOC'!$QV$3,P23='DADOS_INVOC'!$QW$3,P23='DADOS_INVOC'!$QX$3,P23='DADOS_INVOC'!$QY$3)),O23,"")</f>
        <v/>
      </c>
      <c r="AR23">
        <f>IF(OR(P23="",P23='DADOS_INVOC'!$EL$4,P23='DADOS_INVOC'!$EM$4,P23='DADOS_INVOC'!$EN$4,P23='DADOS_INVOC'!$EO$4,P23='DADOS_INVOC'!$EP$4,P23='DADOS_INVOC'!$QV$4,P23='DADOS_INVOC'!$QW$4,P23='DADOS_INVOC'!$QX$4,P23='DADOS_INVOC'!$QY$4),O23,"")</f>
        <v/>
      </c>
      <c r="AS23">
        <f>IF(AND(Q23=1,OR(P23="",P23='DADOS_INVOC'!$EL$4,P23='DADOS_INVOC'!$EM$4,P23='DADOS_INVOC'!$EN$4,P23='DADOS_INVOC'!$EO$4,P23='DADOS_INVOC'!$EP$4,P23='DADOS_INVOC'!$QV$4,P23='DADOS_INVOC'!$QW$4,P23='DADOS_INVOC'!$QX$4,P23='DADOS_INVOC'!$QY$4)),O23,"")</f>
        <v/>
      </c>
      <c r="AT23">
        <f>IF(OR(P23="",P23='DADOS_INVOC'!$EL$5,P23='DADOS_INVOC'!$EM$5,P23='DADOS_INVOC'!$EN$5,P23='DADOS_INVOC'!$EO$5,P23='DADOS_INVOC'!$EP$5,P23='DADOS_INVOC'!$QV$5,P23='DADOS_INVOC'!$QW$5,P23='DADOS_INVOC'!$QX$5,P23='DADOS_INVOC'!$QY$5),O23,"")</f>
        <v/>
      </c>
      <c r="AU23">
        <f>IF(AND(Q23=1,OR(P23="",P23='DADOS_INVOC'!$EL$5,P23='DADOS_INVOC'!$EM$5,P23='DADOS_INVOC'!$EN$5,P23='DADOS_INVOC'!$EO$5,P23='DADOS_INVOC'!$EP$5,P23='DADOS_INVOC'!$QV$5,P23='DADOS_INVOC'!$QW$5,P23='DADOS_INVOC'!$QX$5,P23='DADOS_INVOC'!$QY$5)),O23,"")</f>
        <v/>
      </c>
      <c r="AV23">
        <f>IF(OR(P23="",P23='DADOS_INVOC'!$EL$6,P23='DADOS_INVOC'!$EM$6,P23='DADOS_INVOC'!$EN$6,P23='DADOS_INVOC'!$EO$6,P23='DADOS_INVOC'!$EP$6,P23='DADOS_INVOC'!$QV$6,P23='DADOS_INVOC'!$QW$6,P23='DADOS_INVOC'!$QX$6,P23='DADOS_INVOC'!$QY$6),O23,"")</f>
        <v/>
      </c>
      <c r="AW23">
        <f>IF(AND(Q23=1,OR(P23="",P23='DADOS_INVOC'!$EL$6,P23='DADOS_INVOC'!$EM$6,P23='DADOS_INVOC'!$EN$6,P23='DADOS_INVOC'!$EO$6,P23='DADOS_INVOC'!$EP$6,P23='DADOS_INVOC'!$QV$6,P23='DADOS_INVOC'!$QW$6,P23='DADOS_INVOC'!$QX$6,P23='DADOS_INVOC'!$QY$6)),O23,"")</f>
        <v/>
      </c>
      <c r="AX23">
        <f>IF(OR(P23="",P23='DADOS_INVOC'!$EL$7,P23='DADOS_INVOC'!$EM$7,P23='DADOS_INVOC'!$EN$7,P23='DADOS_INVOC'!$EO$7,P23='DADOS_INVOC'!$EP$7,P23='DADOS_INVOC'!$QV$7,P23='DADOS_INVOC'!$QW$7,P23='DADOS_INVOC'!$QX$7,P23='DADOS_INVOC'!$QY$7),O23,"")</f>
        <v/>
      </c>
      <c r="AY23">
        <f>IF(AND(Q23=1,OR(P23="",P23='DADOS_INVOC'!$EL$7,P23='DADOS_INVOC'!$EM$7,P23='DADOS_INVOC'!$EN$7,P23='DADOS_INVOC'!$EO$7,P23='DADOS_INVOC'!$EP$7,P23='DADOS_INVOC'!$QV$7,P23='DADOS_INVOC'!$QW$7,P23='DADOS_INVOC'!$QX$7,P23='DADOS_INVOC'!$QY$7)),O23,"")</f>
        <v/>
      </c>
      <c r="AZ23">
        <f>IF(OR(P23="",P23='DADOS_INVOC'!$EL$8,P23='DADOS_INVOC'!$EM$8,P23='DADOS_INVOC'!$EN$8,P23='DADOS_INVOC'!$EO$8,P23='DADOS_INVOC'!$EP$8,P23='DADOS_INVOC'!$QV$8,P23='DADOS_INVOC'!$QW$8,P23='DADOS_INVOC'!$QX$8,P23='DADOS_INVOC'!$QY$8),O23,"")</f>
        <v/>
      </c>
      <c r="BA23">
        <f>IF(AND(Q23=1,OR(P23="",P23='DADOS_INVOC'!$EL$8,P23='DADOS_INVOC'!$EM$8,P23='DADOS_INVOC'!$EN$8,P23='DADOS_INVOC'!$EO$8,P23='DADOS_INVOC'!$EP$8,P23='DADOS_INVOC'!$QV$8,P23='DADOS_INVOC'!$QW$8,P23='DADOS_INVOC'!$QX$8,P23='DADOS_INVOC'!$QY$8)),O23,"")</f>
        <v/>
      </c>
      <c r="BB23">
        <f>IF(OR(P23="",P23='DADOS_INVOC'!$EL$9,P23='DADOS_INVOC'!$EM$9,P23='DADOS_INVOC'!$EN$9,P23='DADOS_INVOC'!$EO$9,P23='DADOS_INVOC'!$EP$9,P23='DADOS_INVOC'!$QV$9,P23='DADOS_INVOC'!$QW$9,P23='DADOS_INVOC'!$QX$9,P23='DADOS_INVOC'!$QY$9),O23,"")</f>
        <v/>
      </c>
      <c r="BC23">
        <f>IF(AND(Q23=1,OR(P23="",P23='DADOS_INVOC'!$EL$9,P23='DADOS_INVOC'!$EM$9,P23='DADOS_INVOC'!$EN$9,P23='DADOS_INVOC'!$EO$9,P23='DADOS_INVOC'!$EP$9,P23='DADOS_INVOC'!$QV$9,P23='DADOS_INVOC'!$QW$9,P23='DADOS_INVOC'!$QX$9,P23='DADOS_INVOC'!$QY$9)),O23,"")</f>
        <v/>
      </c>
      <c r="BD23">
        <f>IF(OR(P23="",P23='DADOS_INVOC'!$EL$10,P23='DADOS_INVOC'!$EM$10,P23='DADOS_INVOC'!$EN$10,P23='DADOS_INVOC'!$EO$10,P23='DADOS_INVOC'!$EP$10,P23='DADOS_INVOC'!$QV$10,P23='DADOS_INVOC'!$QW$10,P23='DADOS_INVOC'!$QX$10,P23='DADOS_INVOC'!$QY$10),O23,"")</f>
        <v/>
      </c>
      <c r="BE23">
        <f>IF(AND(Q23=1,OR(P23="",P23='DADOS_INVOC'!$EL$10,P23='DADOS_INVOC'!$EM$10,P23='DADOS_INVOC'!$EN$10,P23='DADOS_INVOC'!$EO$10,P23='DADOS_INVOC'!$EP$10,P23='DADOS_INVOC'!$QV$10,P23='DADOS_INVOC'!$QW$10,P23='DADOS_INVOC'!$QX$10,P23='DADOS_INVOC'!$QY$10)),O23,"")</f>
        <v/>
      </c>
      <c r="BF23">
        <f>IF(OR(P23="",P23='DADOS_INVOC'!$EL$11,P23='DADOS_INVOC'!$EM$11,P23='DADOS_INVOC'!$EN$11,P23='DADOS_INVOC'!$EO$11,P23='DADOS_INVOC'!$EP$11,P23='DADOS_INVOC'!$QV$11,P23='DADOS_INVOC'!$QW$11,P23='DADOS_INVOC'!$QX$11,P23='DADOS_INVOC'!$QY$11),O23,"")</f>
        <v/>
      </c>
      <c r="BG23">
        <f>IF(AND(Q23=1,OR(P23="",P23='DADOS_INVOC'!$EL$11,P23='DADOS_INVOC'!$EM$11,P23='DADOS_INVOC'!$EN$11,P23='DADOS_INVOC'!$EO$11,P23='DADOS_INVOC'!$EP$11,P23='DADOS_INVOC'!$QV$11,P23='DADOS_INVOC'!$QW$11,P23='DADOS_INVOC'!$QX$11,P23='DADOS_INVOC'!$QY$11)),O23,"")</f>
        <v/>
      </c>
      <c r="BH23">
        <f>IF(OR(P23="",P23='DADOS_INVOC'!$EL$12,P23='DADOS_INVOC'!$EM$12,P23='DADOS_INVOC'!$EN$12,P23='DADOS_INVOC'!$EO$12,P23='DADOS_INVOC'!$EP$12,P23='DADOS_INVOC'!$QV$12,P23='DADOS_INVOC'!$QW$12,P23='DADOS_INVOC'!$QX$12,P23='DADOS_INVOC'!$QY$12),O23,"")</f>
        <v/>
      </c>
      <c r="BI23">
        <f>IF(AND(Q23=1,OR(P23="",P23='DADOS_INVOC'!$EL$12,P23='DADOS_INVOC'!$EM$12,P23='DADOS_INVOC'!$EN$12,P23='DADOS_INVOC'!$EO$12,P23='DADOS_INVOC'!$EP$12,P23='DADOS_INVOC'!$QV$12,P23='DADOS_INVOC'!$QW$12,P23='DADOS_INVOC'!$QX$12,P23='DADOS_INVOC'!$QY$12)),O23,"")</f>
        <v/>
      </c>
      <c r="BJ23">
        <f>IF(OR(P23="",P23='DADOS_INVOC'!$EL$13,P23='DADOS_INVOC'!$EM$13,P23='DADOS_INVOC'!$EN$13,P23='DADOS_INVOC'!$EO$13,P23='DADOS_INVOC'!$EP$13,P23='DADOS_INVOC'!$QV$13,P23='DADOS_INVOC'!$QW$13,P23='DADOS_INVOC'!$QX$13,P23='DADOS_INVOC'!$QY$13),O23,"")</f>
        <v/>
      </c>
      <c r="BK23">
        <f>IF(AND(Q23=1,OR(P23="",P23='DADOS_INVOC'!$EL$13,P23='DADOS_INVOC'!$EM$13,P23='DADOS_INVOC'!$EN$13,P23='DADOS_INVOC'!$EO$13,P23='DADOS_INVOC'!$EP$13,P23='DADOS_INVOC'!$QV$13,P23='DADOS_INVOC'!$QW$13,P23='DADOS_INVOC'!$QX$13,P23='DADOS_INVOC'!$QY$13)),O23,"")</f>
        <v/>
      </c>
      <c r="BP23" t="inlineStr">
        <is>
          <t>Sem Cobertura</t>
        </is>
      </c>
      <c r="BR23">
        <f>IF(OR(ISBLANK('CONFIGURAÇÃO'!$DI$273),'CONFIGURAÇÃO'!$DI$273=""),"Melhoria",'CONFIGURAÇÃO'!$DI$273)</f>
        <v/>
      </c>
    </row>
    <row r="24">
      <c r="A24" t="n">
        <v>1297</v>
      </c>
      <c r="B24" t="n">
        <v>0</v>
      </c>
      <c r="C24" t="n">
        <v>23</v>
      </c>
      <c r="D24">
        <f>IF(ISBLANK('CONFIGURAÇÃO'!$DA$301),"",'CONFIGURAÇÃO'!$DA$301)</f>
        <v/>
      </c>
      <c r="E24">
        <f>IF(ISBLANK('CONFIGURAÇÃO'!$DD$302),"",'CONFIGURAÇÃO'!$DD$302)</f>
        <v/>
      </c>
      <c r="F24">
        <f>IF(ISBLANK('CONFIGURAÇÃO'!$DD$303),"",'CONFIGURAÇÃO'!$DD$303)</f>
        <v/>
      </c>
      <c r="G24">
        <f>IF(ISBLANK('CONFIGURAÇÃO'!$DD$304),"",'CONFIGURAÇÃO'!$DD$304)</f>
        <v/>
      </c>
      <c r="H24">
        <f>IF(ISBLANK('CONFIGURAÇÃO'!$DD$305),"",'CONFIGURAÇÃO'!$DD$305)</f>
        <v/>
      </c>
      <c r="I24">
        <f>IF(ISBLANK('CONFIGURAÇÃO'!$DA$308),"",'CONFIGURAÇÃO'!$DA$308)</f>
        <v/>
      </c>
      <c r="J24">
        <f>IF(ISBLANK('CONFIGURAÇÃO'!$DA$314),"",'CONFIGURAÇÃO'!$DA$314)</f>
        <v/>
      </c>
      <c r="K24">
        <f>IF(ISBLANK('CONFIGURAÇÃO'!$DE$299),"",'CONFIGURAÇÃO'!$DE$299)</f>
        <v/>
      </c>
      <c r="L24">
        <f>IF(OR(E24="",E24="Nenhuma"),0,IFERROR(MATCH(SUBSTITUTE(SUBSTITUTE(SUBSTITUTE(E24,"~","~~"),"*","~*"),"?","~?"),'DADOS_MELHORIAS'!$O$2:$O$83,0),-1))</f>
        <v/>
      </c>
      <c r="M24">
        <f>IF(D24="",IF(BR24&lt;&gt;"Melhoria","Preencha NOME",IF(D24="",IF(OR(I24&lt;&gt;"",J24&lt;&gt;"",F24&lt;&gt;"",G24&lt;&gt;"",H24&lt;&gt;"",K24=TRUE,AND(E24&lt;&gt;"",E24&lt;&gt;"Nenhuma")),"Preencha NOME",""),TEXTJOIN(" · ",TRUE,IF(OR(NOT(ISTEXT(D24)),TRIM(D24)&lt;&gt;D24),"NOME precisa ser texto sem espaços nas pontas",""),IF(COUNTIF($D$2:$D$31,SUBSTITUTE(SUBSTITUTE(SUBSTITUTE(D24,"~","~~"),"*","~*"),"?","~?"))+COUNTIF('DADOS_MELHORIAS'!$O$2:$O$83,SUBSTITUTE(SUBSTITUTE(SUBSTITUTE(D24,"~","~~"),"*","~*"),"?","~?"))&gt;1,"Nome repetido no livro ou custom",""),IF(L24&lt;0,"Escolha uma BASE DO LIVRO válida",""),IF(ISLOGICAL(K24),"","MESTRE VIU deve ser caixa de seleção"),IF(AND(G24="",L24&lt;=0),"Escolha PESO",""),IF(AND(G24&lt;&gt;"",COUNTIF('DADOS_MELHORIAS'!$BN$2:$BN$4,SUBSTITUTE(SUBSTITUTE(SUBSTITUTE(G24,"~","~~"),"*","~*"),"?","~?"))&lt;&gt;1),"Peso ou devolução inválido",""),IF(AND(H24&lt;&gt;"",H24&lt;&gt;"Sim",H24&lt;&gt;"Não"),"Escolha Sim ou Não",""),IF(AND(F24&lt;&gt;"",COUNTIF('DADOS_MELHORIAS'!$BM$2:$BM$21,SUBSTITUTE(SUBSTITUTE(SUBSTITUTE(F24,"~","~~"),"*","~*"),"?","~?"))&lt;&gt;1),"Família não cadastrada ou com erro","")))),TEXTJOIN(" · ",TRUE,IF(D24="",IF(OR(I24&lt;&gt;"",J24&lt;&gt;"",F24&lt;&gt;"",G24&lt;&gt;"",H24&lt;&gt;"",K24=TRUE,AND(E24&lt;&gt;"",E24&lt;&gt;"Nenhuma")),"Preencha NOME",""),TEXTJOIN(" · ",TRUE,IF(OR(NOT(ISTEXT(D24)),TRIM(D24)&lt;&gt;D24),"NOME precisa ser texto sem espaços nas pontas",""),IF(COUNTIF($D$2:$D$31,SUBSTITUTE(SUBSTITUTE(SUBSTITUTE(D24,"~","~~"),"*","~*"),"?","~?"))+COUNTIF('DADOS_MELHORIAS'!$O$2:$O$83,SUBSTITUTE(SUBSTITUTE(SUBSTITUTE(D24,"~","~~"),"*","~*"),"?","~?"))&gt;1,"Nome repetido no livro ou custom",""),IF(L24&lt;0,"Escolha uma BASE DO LIVRO válida",""),IF(ISLOGICAL(K24),"","MESTRE VIU deve ser caixa de seleção"),IF(AND(G24="",L24&lt;=0),"Escolha PESO",""),IF(AND(G24&lt;&gt;"",COUNTIF('DADOS_MELHORIAS'!$BN$2:$BN$4,SUBSTITUTE(SUBSTITUTE(SUBSTITUTE(G24,"~","~~"),"*","~*"),"?","~?"))&lt;&gt;1),"Peso ou devolução inválido",""),IF(AND(H24&lt;&gt;"",H24&lt;&gt;"Sim",H24&lt;&gt;"Não"),"Escolha Sim ou Não",""),IF(AND(F24&lt;&gt;"",COUNTIF('DADOS_MELHORIAS'!$BM$2:$BM$21,SUBSTITUTE(SUBSTITUTE(SUBSTITUTE(F24,"~","~~"),"*","~*"),"?","~?"))&lt;&gt;1),"Família não cadastrada ou com erro",""))),IF(AND(BR24&lt;&gt;"Melhoria",BR24&lt;&gt;"Condição"),"Modalidade inválida",""),IF(AND(BR24="Condição",E24&lt;&gt;"",E24&lt;&gt;"Nenhuma",COUNTIF('DADOS_MELHORIAS'!$BU$2:$BU$15,SUBSTITUTE(SUBSTITUTE(SUBSTITUTE(E24,"~","~~"),"*","~*"),"?","~?"))&lt;&gt;1),"Base de Condição inválida",""),IF(AND(BR24="Condição",H24&lt;&gt;"",H24&lt;&gt;"Sim"),"Condição exige TR","")))</f>
        <v/>
      </c>
      <c r="O24">
        <f>IF(ISBLANK(DADOS_AM!$BC$24),"",DADOS_AM!$BC$24)</f>
        <v/>
      </c>
      <c r="P24">
        <f>IF(ISBLANK(DADOS_AM!$BD$24),"",DADOS_AM!$BD$24)</f>
        <v/>
      </c>
      <c r="Q24">
        <f>IF(ISBLANK(DADOS_AM!$BE$24),"",DADOS_AM!$BE$24)</f>
        <v/>
      </c>
      <c r="R24">
        <f>IF(ISBLANK(DADOS_AM!$BF$24),"",DADOS_AM!$BF$24)</f>
        <v/>
      </c>
      <c r="S24">
        <f>IF(ISBLANK(DADOS_AM!$BG$24),"",DADOS_AM!$BG$24)</f>
        <v/>
      </c>
      <c r="T24">
        <f>IF(ISBLANK(DADOS_AM!$BH$24),"",DADOS_AM!$BH$24)</f>
        <v/>
      </c>
      <c r="U24">
        <f>IF(ISBLANK(DADOS_AM!$BI$24),"",DADOS_AM!$BI$24)</f>
        <v/>
      </c>
      <c r="V24">
        <f>IF(ISBLANK(DADOS_AM!$BJ$24),"",DADOS_AM!$BJ$24)</f>
        <v/>
      </c>
      <c r="W24">
        <f>IF(ISBLANK(DADOS_AM!$BK$24),"",DADOS_AM!$BK$24)</f>
        <v/>
      </c>
      <c r="X24" t="inlineStr">
        <is>
          <t>Lento</t>
        </is>
      </c>
      <c r="Y24" t="n">
        <v>0</v>
      </c>
      <c r="AG24">
        <f>O24</f>
        <v/>
      </c>
      <c r="AH24">
        <f>P24</f>
        <v/>
      </c>
      <c r="AI24">
        <f>Q24</f>
        <v/>
      </c>
      <c r="AJ24">
        <f>T24</f>
        <v/>
      </c>
      <c r="AK24">
        <f>Y24</f>
        <v/>
      </c>
      <c r="AL24">
        <f>W24</f>
        <v/>
      </c>
      <c r="AN24">
        <f>IF(OR(P24="",P24='DADOS_INVOC'!$EL$2,P24='DADOS_INVOC'!$EM$2,P24='DADOS_INVOC'!$EN$2,P24='DADOS_INVOC'!$EO$2,P24='DADOS_INVOC'!$EP$2,P24='DADOS_INVOC'!$QV$2,P24='DADOS_INVOC'!$QW$2,P24='DADOS_INVOC'!$QX$2,P24='DADOS_INVOC'!$QY$2),O24,"")</f>
        <v/>
      </c>
      <c r="AO24">
        <f>IF(AND(Q24=1,OR(P24="",P24='DADOS_INVOC'!$EL$2,P24='DADOS_INVOC'!$EM$2,P24='DADOS_INVOC'!$EN$2,P24='DADOS_INVOC'!$EO$2,P24='DADOS_INVOC'!$EP$2,P24='DADOS_INVOC'!$QV$2,P24='DADOS_INVOC'!$QW$2,P24='DADOS_INVOC'!$QX$2,P24='DADOS_INVOC'!$QY$2)),O24,"")</f>
        <v/>
      </c>
      <c r="AP24">
        <f>IF(OR(P24="",P24='DADOS_INVOC'!$EL$3,P24='DADOS_INVOC'!$EM$3,P24='DADOS_INVOC'!$EN$3,P24='DADOS_INVOC'!$EO$3,P24='DADOS_INVOC'!$EP$3,P24='DADOS_INVOC'!$QV$3,P24='DADOS_INVOC'!$QW$3,P24='DADOS_INVOC'!$QX$3,P24='DADOS_INVOC'!$QY$3),O24,"")</f>
        <v/>
      </c>
      <c r="AQ24">
        <f>IF(AND(Q24=1,OR(P24="",P24='DADOS_INVOC'!$EL$3,P24='DADOS_INVOC'!$EM$3,P24='DADOS_INVOC'!$EN$3,P24='DADOS_INVOC'!$EO$3,P24='DADOS_INVOC'!$EP$3,P24='DADOS_INVOC'!$QV$3,P24='DADOS_INVOC'!$QW$3,P24='DADOS_INVOC'!$QX$3,P24='DADOS_INVOC'!$QY$3)),O24,"")</f>
        <v/>
      </c>
      <c r="AR24">
        <f>IF(OR(P24="",P24='DADOS_INVOC'!$EL$4,P24='DADOS_INVOC'!$EM$4,P24='DADOS_INVOC'!$EN$4,P24='DADOS_INVOC'!$EO$4,P24='DADOS_INVOC'!$EP$4,P24='DADOS_INVOC'!$QV$4,P24='DADOS_INVOC'!$QW$4,P24='DADOS_INVOC'!$QX$4,P24='DADOS_INVOC'!$QY$4),O24,"")</f>
        <v/>
      </c>
      <c r="AS24">
        <f>IF(AND(Q24=1,OR(P24="",P24='DADOS_INVOC'!$EL$4,P24='DADOS_INVOC'!$EM$4,P24='DADOS_INVOC'!$EN$4,P24='DADOS_INVOC'!$EO$4,P24='DADOS_INVOC'!$EP$4,P24='DADOS_INVOC'!$QV$4,P24='DADOS_INVOC'!$QW$4,P24='DADOS_INVOC'!$QX$4,P24='DADOS_INVOC'!$QY$4)),O24,"")</f>
        <v/>
      </c>
      <c r="AT24">
        <f>IF(OR(P24="",P24='DADOS_INVOC'!$EL$5,P24='DADOS_INVOC'!$EM$5,P24='DADOS_INVOC'!$EN$5,P24='DADOS_INVOC'!$EO$5,P24='DADOS_INVOC'!$EP$5,P24='DADOS_INVOC'!$QV$5,P24='DADOS_INVOC'!$QW$5,P24='DADOS_INVOC'!$QX$5,P24='DADOS_INVOC'!$QY$5),O24,"")</f>
        <v/>
      </c>
      <c r="AU24">
        <f>IF(AND(Q24=1,OR(P24="",P24='DADOS_INVOC'!$EL$5,P24='DADOS_INVOC'!$EM$5,P24='DADOS_INVOC'!$EN$5,P24='DADOS_INVOC'!$EO$5,P24='DADOS_INVOC'!$EP$5,P24='DADOS_INVOC'!$QV$5,P24='DADOS_INVOC'!$QW$5,P24='DADOS_INVOC'!$QX$5,P24='DADOS_INVOC'!$QY$5)),O24,"")</f>
        <v/>
      </c>
      <c r="AV24">
        <f>IF(OR(P24="",P24='DADOS_INVOC'!$EL$6,P24='DADOS_INVOC'!$EM$6,P24='DADOS_INVOC'!$EN$6,P24='DADOS_INVOC'!$EO$6,P24='DADOS_INVOC'!$EP$6,P24='DADOS_INVOC'!$QV$6,P24='DADOS_INVOC'!$QW$6,P24='DADOS_INVOC'!$QX$6,P24='DADOS_INVOC'!$QY$6),O24,"")</f>
        <v/>
      </c>
      <c r="AW24">
        <f>IF(AND(Q24=1,OR(P24="",P24='DADOS_INVOC'!$EL$6,P24='DADOS_INVOC'!$EM$6,P24='DADOS_INVOC'!$EN$6,P24='DADOS_INVOC'!$EO$6,P24='DADOS_INVOC'!$EP$6,P24='DADOS_INVOC'!$QV$6,P24='DADOS_INVOC'!$QW$6,P24='DADOS_INVOC'!$QX$6,P24='DADOS_INVOC'!$QY$6)),O24,"")</f>
        <v/>
      </c>
      <c r="AX24">
        <f>IF(OR(P24="",P24='DADOS_INVOC'!$EL$7,P24='DADOS_INVOC'!$EM$7,P24='DADOS_INVOC'!$EN$7,P24='DADOS_INVOC'!$EO$7,P24='DADOS_INVOC'!$EP$7,P24='DADOS_INVOC'!$QV$7,P24='DADOS_INVOC'!$QW$7,P24='DADOS_INVOC'!$QX$7,P24='DADOS_INVOC'!$QY$7),O24,"")</f>
        <v/>
      </c>
      <c r="AY24">
        <f>IF(AND(Q24=1,OR(P24="",P24='DADOS_INVOC'!$EL$7,P24='DADOS_INVOC'!$EM$7,P24='DADOS_INVOC'!$EN$7,P24='DADOS_INVOC'!$EO$7,P24='DADOS_INVOC'!$EP$7,P24='DADOS_INVOC'!$QV$7,P24='DADOS_INVOC'!$QW$7,P24='DADOS_INVOC'!$QX$7,P24='DADOS_INVOC'!$QY$7)),O24,"")</f>
        <v/>
      </c>
      <c r="AZ24">
        <f>IF(OR(P24="",P24='DADOS_INVOC'!$EL$8,P24='DADOS_INVOC'!$EM$8,P24='DADOS_INVOC'!$EN$8,P24='DADOS_INVOC'!$EO$8,P24='DADOS_INVOC'!$EP$8,P24='DADOS_INVOC'!$QV$8,P24='DADOS_INVOC'!$QW$8,P24='DADOS_INVOC'!$QX$8,P24='DADOS_INVOC'!$QY$8),O24,"")</f>
        <v/>
      </c>
      <c r="BA24">
        <f>IF(AND(Q24=1,OR(P24="",P24='DADOS_INVOC'!$EL$8,P24='DADOS_INVOC'!$EM$8,P24='DADOS_INVOC'!$EN$8,P24='DADOS_INVOC'!$EO$8,P24='DADOS_INVOC'!$EP$8,P24='DADOS_INVOC'!$QV$8,P24='DADOS_INVOC'!$QW$8,P24='DADOS_INVOC'!$QX$8,P24='DADOS_INVOC'!$QY$8)),O24,"")</f>
        <v/>
      </c>
      <c r="BB24">
        <f>IF(OR(P24="",P24='DADOS_INVOC'!$EL$9,P24='DADOS_INVOC'!$EM$9,P24='DADOS_INVOC'!$EN$9,P24='DADOS_INVOC'!$EO$9,P24='DADOS_INVOC'!$EP$9,P24='DADOS_INVOC'!$QV$9,P24='DADOS_INVOC'!$QW$9,P24='DADOS_INVOC'!$QX$9,P24='DADOS_INVOC'!$QY$9),O24,"")</f>
        <v/>
      </c>
      <c r="BC24">
        <f>IF(AND(Q24=1,OR(P24="",P24='DADOS_INVOC'!$EL$9,P24='DADOS_INVOC'!$EM$9,P24='DADOS_INVOC'!$EN$9,P24='DADOS_INVOC'!$EO$9,P24='DADOS_INVOC'!$EP$9,P24='DADOS_INVOC'!$QV$9,P24='DADOS_INVOC'!$QW$9,P24='DADOS_INVOC'!$QX$9,P24='DADOS_INVOC'!$QY$9)),O24,"")</f>
        <v/>
      </c>
      <c r="BD24">
        <f>IF(OR(P24="",P24='DADOS_INVOC'!$EL$10,P24='DADOS_INVOC'!$EM$10,P24='DADOS_INVOC'!$EN$10,P24='DADOS_INVOC'!$EO$10,P24='DADOS_INVOC'!$EP$10,P24='DADOS_INVOC'!$QV$10,P24='DADOS_INVOC'!$QW$10,P24='DADOS_INVOC'!$QX$10,P24='DADOS_INVOC'!$QY$10),O24,"")</f>
        <v/>
      </c>
      <c r="BE24">
        <f>IF(AND(Q24=1,OR(P24="",P24='DADOS_INVOC'!$EL$10,P24='DADOS_INVOC'!$EM$10,P24='DADOS_INVOC'!$EN$10,P24='DADOS_INVOC'!$EO$10,P24='DADOS_INVOC'!$EP$10,P24='DADOS_INVOC'!$QV$10,P24='DADOS_INVOC'!$QW$10,P24='DADOS_INVOC'!$QX$10,P24='DADOS_INVOC'!$QY$10)),O24,"")</f>
        <v/>
      </c>
      <c r="BF24">
        <f>IF(OR(P24="",P24='DADOS_INVOC'!$EL$11,P24='DADOS_INVOC'!$EM$11,P24='DADOS_INVOC'!$EN$11,P24='DADOS_INVOC'!$EO$11,P24='DADOS_INVOC'!$EP$11,P24='DADOS_INVOC'!$QV$11,P24='DADOS_INVOC'!$QW$11,P24='DADOS_INVOC'!$QX$11,P24='DADOS_INVOC'!$QY$11),O24,"")</f>
        <v/>
      </c>
      <c r="BG24">
        <f>IF(AND(Q24=1,OR(P24="",P24='DADOS_INVOC'!$EL$11,P24='DADOS_INVOC'!$EM$11,P24='DADOS_INVOC'!$EN$11,P24='DADOS_INVOC'!$EO$11,P24='DADOS_INVOC'!$EP$11,P24='DADOS_INVOC'!$QV$11,P24='DADOS_INVOC'!$QW$11,P24='DADOS_INVOC'!$QX$11,P24='DADOS_INVOC'!$QY$11)),O24,"")</f>
        <v/>
      </c>
      <c r="BH24">
        <f>IF(OR(P24="",P24='DADOS_INVOC'!$EL$12,P24='DADOS_INVOC'!$EM$12,P24='DADOS_INVOC'!$EN$12,P24='DADOS_INVOC'!$EO$12,P24='DADOS_INVOC'!$EP$12,P24='DADOS_INVOC'!$QV$12,P24='DADOS_INVOC'!$QW$12,P24='DADOS_INVOC'!$QX$12,P24='DADOS_INVOC'!$QY$12),O24,"")</f>
        <v/>
      </c>
      <c r="BI24">
        <f>IF(AND(Q24=1,OR(P24="",P24='DADOS_INVOC'!$EL$12,P24='DADOS_INVOC'!$EM$12,P24='DADOS_INVOC'!$EN$12,P24='DADOS_INVOC'!$EO$12,P24='DADOS_INVOC'!$EP$12,P24='DADOS_INVOC'!$QV$12,P24='DADOS_INVOC'!$QW$12,P24='DADOS_INVOC'!$QX$12,P24='DADOS_INVOC'!$QY$12)),O24,"")</f>
        <v/>
      </c>
      <c r="BJ24">
        <f>IF(OR(P24="",P24='DADOS_INVOC'!$EL$13,P24='DADOS_INVOC'!$EM$13,P24='DADOS_INVOC'!$EN$13,P24='DADOS_INVOC'!$EO$13,P24='DADOS_INVOC'!$EP$13,P24='DADOS_INVOC'!$QV$13,P24='DADOS_INVOC'!$QW$13,P24='DADOS_INVOC'!$QX$13,P24='DADOS_INVOC'!$QY$13),O24,"")</f>
        <v/>
      </c>
      <c r="BK24">
        <f>IF(AND(Q24=1,OR(P24="",P24='DADOS_INVOC'!$EL$13,P24='DADOS_INVOC'!$EM$13,P24='DADOS_INVOC'!$EN$13,P24='DADOS_INVOC'!$EO$13,P24='DADOS_INVOC'!$EP$13,P24='DADOS_INVOC'!$QV$13,P24='DADOS_INVOC'!$QW$13,P24='DADOS_INVOC'!$QX$13,P24='DADOS_INVOC'!$QY$13)),O24,"")</f>
        <v/>
      </c>
      <c r="BP24" t="inlineStr">
        <is>
          <t>Toca a Alma</t>
        </is>
      </c>
      <c r="BR24">
        <f>IF(OR(ISBLANK('CONFIGURAÇÃO'!$DA$299),'CONFIGURAÇÃO'!$DA$299=""),"Melhoria",'CONFIGURAÇÃO'!$DA$299)</f>
        <v/>
      </c>
    </row>
    <row r="25">
      <c r="A25" t="n">
        <v>1297</v>
      </c>
      <c r="B25" t="n">
        <v>8</v>
      </c>
      <c r="C25" t="n">
        <v>24</v>
      </c>
      <c r="D25">
        <f>IF(ISBLANK('CONFIGURAÇÃO'!$DI$301),"",'CONFIGURAÇÃO'!$DI$301)</f>
        <v/>
      </c>
      <c r="E25">
        <f>IF(ISBLANK('CONFIGURAÇÃO'!$DL$302),"",'CONFIGURAÇÃO'!$DL$302)</f>
        <v/>
      </c>
      <c r="F25">
        <f>IF(ISBLANK('CONFIGURAÇÃO'!$DL$303),"",'CONFIGURAÇÃO'!$DL$303)</f>
        <v/>
      </c>
      <c r="G25">
        <f>IF(ISBLANK('CONFIGURAÇÃO'!$DL$304),"",'CONFIGURAÇÃO'!$DL$304)</f>
        <v/>
      </c>
      <c r="H25">
        <f>IF(ISBLANK('CONFIGURAÇÃO'!$DL$305),"",'CONFIGURAÇÃO'!$DL$305)</f>
        <v/>
      </c>
      <c r="I25">
        <f>IF(ISBLANK('CONFIGURAÇÃO'!$DI$308),"",'CONFIGURAÇÃO'!$DI$308)</f>
        <v/>
      </c>
      <c r="J25">
        <f>IF(ISBLANK('CONFIGURAÇÃO'!$DI$314),"",'CONFIGURAÇÃO'!$DI$314)</f>
        <v/>
      </c>
      <c r="K25">
        <f>IF(ISBLANK('CONFIGURAÇÃO'!$DM$299),"",'CONFIGURAÇÃO'!$DM$299)</f>
        <v/>
      </c>
      <c r="L25">
        <f>IF(OR(E25="",E25="Nenhuma"),0,IFERROR(MATCH(SUBSTITUTE(SUBSTITUTE(SUBSTITUTE(E25,"~","~~"),"*","~*"),"?","~?"),'DADOS_MELHORIAS'!$O$2:$O$83,0),-1))</f>
        <v/>
      </c>
      <c r="M25">
        <f>IF(D25="",IF(BR25&lt;&gt;"Melhoria","Preencha NOME",IF(D25="",IF(OR(I25&lt;&gt;"",J25&lt;&gt;"",F25&lt;&gt;"",G25&lt;&gt;"",H25&lt;&gt;"",K25=TRUE,AND(E25&lt;&gt;"",E25&lt;&gt;"Nenhuma")),"Preencha NOME",""),TEXTJOIN(" · ",TRUE,IF(OR(NOT(ISTEXT(D25)),TRIM(D25)&lt;&gt;D25),"NOME precisa ser texto sem espaços nas pontas",""),IF(COUNTIF($D$2:$D$31,SUBSTITUTE(SUBSTITUTE(SUBSTITUTE(D25,"~","~~"),"*","~*"),"?","~?"))+COUNTIF('DADOS_MELHORIAS'!$O$2:$O$83,SUBSTITUTE(SUBSTITUTE(SUBSTITUTE(D25,"~","~~"),"*","~*"),"?","~?"))&gt;1,"Nome repetido no livro ou custom",""),IF(L25&lt;0,"Escolha uma BASE DO LIVRO válida",""),IF(ISLOGICAL(K25),"","MESTRE VIU deve ser caixa de seleção"),IF(AND(G25="",L25&lt;=0),"Escolha PESO",""),IF(AND(G25&lt;&gt;"",COUNTIF('DADOS_MELHORIAS'!$BN$2:$BN$4,SUBSTITUTE(SUBSTITUTE(SUBSTITUTE(G25,"~","~~"),"*","~*"),"?","~?"))&lt;&gt;1),"Peso ou devolução inválido",""),IF(AND(H25&lt;&gt;"",H25&lt;&gt;"Sim",H25&lt;&gt;"Não"),"Escolha Sim ou Não",""),IF(AND(F25&lt;&gt;"",COUNTIF('DADOS_MELHORIAS'!$BM$2:$BM$21,SUBSTITUTE(SUBSTITUTE(SUBSTITUTE(F25,"~","~~"),"*","~*"),"?","~?"))&lt;&gt;1),"Família não cadastrada ou com erro","")))),TEXTJOIN(" · ",TRUE,IF(D25="",IF(OR(I25&lt;&gt;"",J25&lt;&gt;"",F25&lt;&gt;"",G25&lt;&gt;"",H25&lt;&gt;"",K25=TRUE,AND(E25&lt;&gt;"",E25&lt;&gt;"Nenhuma")),"Preencha NOME",""),TEXTJOIN(" · ",TRUE,IF(OR(NOT(ISTEXT(D25)),TRIM(D25)&lt;&gt;D25),"NOME precisa ser texto sem espaços nas pontas",""),IF(COUNTIF($D$2:$D$31,SUBSTITUTE(SUBSTITUTE(SUBSTITUTE(D25,"~","~~"),"*","~*"),"?","~?"))+COUNTIF('DADOS_MELHORIAS'!$O$2:$O$83,SUBSTITUTE(SUBSTITUTE(SUBSTITUTE(D25,"~","~~"),"*","~*"),"?","~?"))&gt;1,"Nome repetido no livro ou custom",""),IF(L25&lt;0,"Escolha uma BASE DO LIVRO válida",""),IF(ISLOGICAL(K25),"","MESTRE VIU deve ser caixa de seleção"),IF(AND(G25="",L25&lt;=0),"Escolha PESO",""),IF(AND(G25&lt;&gt;"",COUNTIF('DADOS_MELHORIAS'!$BN$2:$BN$4,SUBSTITUTE(SUBSTITUTE(SUBSTITUTE(G25,"~","~~"),"*","~*"),"?","~?"))&lt;&gt;1),"Peso ou devolução inválido",""),IF(AND(H25&lt;&gt;"",H25&lt;&gt;"Sim",H25&lt;&gt;"Não"),"Escolha Sim ou Não",""),IF(AND(F25&lt;&gt;"",COUNTIF('DADOS_MELHORIAS'!$BM$2:$BM$21,SUBSTITUTE(SUBSTITUTE(SUBSTITUTE(F25,"~","~~"),"*","~*"),"?","~?"))&lt;&gt;1),"Família não cadastrada ou com erro",""))),IF(AND(BR25&lt;&gt;"Melhoria",BR25&lt;&gt;"Condição"),"Modalidade inválida",""),IF(AND(BR25="Condição",E25&lt;&gt;"",E25&lt;&gt;"Nenhuma",COUNTIF('DADOS_MELHORIAS'!$BU$2:$BU$15,SUBSTITUTE(SUBSTITUTE(SUBSTITUTE(E25,"~","~~"),"*","~*"),"?","~?"))&lt;&gt;1),"Base de Condição inválida",""),IF(AND(BR25="Condição",H25&lt;&gt;"",H25&lt;&gt;"Sim"),"Condição exige TR","")))</f>
        <v/>
      </c>
      <c r="O25">
        <f>IF(ISBLANK(DADOS_AM!$BC$25),"",DADOS_AM!$BC$25)</f>
        <v/>
      </c>
      <c r="P25">
        <f>IF(ISBLANK(DADOS_AM!$BD$25),"",DADOS_AM!$BD$25)</f>
        <v/>
      </c>
      <c r="Q25">
        <f>IF(ISBLANK(DADOS_AM!$BE$25),"",DADOS_AM!$BE$25)</f>
        <v/>
      </c>
      <c r="R25">
        <f>IF(ISBLANK(DADOS_AM!$BF$25),"",DADOS_AM!$BF$25)</f>
        <v/>
      </c>
      <c r="S25">
        <f>IF(ISBLANK(DADOS_AM!$BG$25),"",DADOS_AM!$BG$25)</f>
        <v/>
      </c>
      <c r="T25">
        <f>IF(ISBLANK(DADOS_AM!$BH$25),"",DADOS_AM!$BH$25)</f>
        <v/>
      </c>
      <c r="U25">
        <f>IF(ISBLANK(DADOS_AM!$BI$25),"",DADOS_AM!$BI$25)</f>
        <v/>
      </c>
      <c r="V25">
        <f>IF(ISBLANK(DADOS_AM!$BJ$25),"",DADOS_AM!$BJ$25)</f>
        <v/>
      </c>
      <c r="W25">
        <f>IF(ISBLANK(DADOS_AM!$BK$25),"",DADOS_AM!$BK$25)</f>
        <v/>
      </c>
      <c r="X25" t="inlineStr">
        <is>
          <t>Guarda Aberta</t>
        </is>
      </c>
      <c r="Y25" t="n">
        <v>0</v>
      </c>
      <c r="AG25">
        <f>O25</f>
        <v/>
      </c>
      <c r="AH25">
        <f>P25</f>
        <v/>
      </c>
      <c r="AI25">
        <f>Q25</f>
        <v/>
      </c>
      <c r="AJ25">
        <f>T25</f>
        <v/>
      </c>
      <c r="AK25">
        <f>Y25</f>
        <v/>
      </c>
      <c r="AL25">
        <f>W25</f>
        <v/>
      </c>
      <c r="AN25">
        <f>IF(OR(P25="",P25='DADOS_INVOC'!$EL$2,P25='DADOS_INVOC'!$EM$2,P25='DADOS_INVOC'!$EN$2,P25='DADOS_INVOC'!$EO$2,P25='DADOS_INVOC'!$EP$2,P25='DADOS_INVOC'!$QV$2,P25='DADOS_INVOC'!$QW$2,P25='DADOS_INVOC'!$QX$2,P25='DADOS_INVOC'!$QY$2),O25,"")</f>
        <v/>
      </c>
      <c r="AO25">
        <f>IF(AND(Q25=1,OR(P25="",P25='DADOS_INVOC'!$EL$2,P25='DADOS_INVOC'!$EM$2,P25='DADOS_INVOC'!$EN$2,P25='DADOS_INVOC'!$EO$2,P25='DADOS_INVOC'!$EP$2,P25='DADOS_INVOC'!$QV$2,P25='DADOS_INVOC'!$QW$2,P25='DADOS_INVOC'!$QX$2,P25='DADOS_INVOC'!$QY$2)),O25,"")</f>
        <v/>
      </c>
      <c r="AP25">
        <f>IF(OR(P25="",P25='DADOS_INVOC'!$EL$3,P25='DADOS_INVOC'!$EM$3,P25='DADOS_INVOC'!$EN$3,P25='DADOS_INVOC'!$EO$3,P25='DADOS_INVOC'!$EP$3,P25='DADOS_INVOC'!$QV$3,P25='DADOS_INVOC'!$QW$3,P25='DADOS_INVOC'!$QX$3,P25='DADOS_INVOC'!$QY$3),O25,"")</f>
        <v/>
      </c>
      <c r="AQ25">
        <f>IF(AND(Q25=1,OR(P25="",P25='DADOS_INVOC'!$EL$3,P25='DADOS_INVOC'!$EM$3,P25='DADOS_INVOC'!$EN$3,P25='DADOS_INVOC'!$EO$3,P25='DADOS_INVOC'!$EP$3,P25='DADOS_INVOC'!$QV$3,P25='DADOS_INVOC'!$QW$3,P25='DADOS_INVOC'!$QX$3,P25='DADOS_INVOC'!$QY$3)),O25,"")</f>
        <v/>
      </c>
      <c r="AR25">
        <f>IF(OR(P25="",P25='DADOS_INVOC'!$EL$4,P25='DADOS_INVOC'!$EM$4,P25='DADOS_INVOC'!$EN$4,P25='DADOS_INVOC'!$EO$4,P25='DADOS_INVOC'!$EP$4,P25='DADOS_INVOC'!$QV$4,P25='DADOS_INVOC'!$QW$4,P25='DADOS_INVOC'!$QX$4,P25='DADOS_INVOC'!$QY$4),O25,"")</f>
        <v/>
      </c>
      <c r="AS25">
        <f>IF(AND(Q25=1,OR(P25="",P25='DADOS_INVOC'!$EL$4,P25='DADOS_INVOC'!$EM$4,P25='DADOS_INVOC'!$EN$4,P25='DADOS_INVOC'!$EO$4,P25='DADOS_INVOC'!$EP$4,P25='DADOS_INVOC'!$QV$4,P25='DADOS_INVOC'!$QW$4,P25='DADOS_INVOC'!$QX$4,P25='DADOS_INVOC'!$QY$4)),O25,"")</f>
        <v/>
      </c>
      <c r="AT25">
        <f>IF(OR(P25="",P25='DADOS_INVOC'!$EL$5,P25='DADOS_INVOC'!$EM$5,P25='DADOS_INVOC'!$EN$5,P25='DADOS_INVOC'!$EO$5,P25='DADOS_INVOC'!$EP$5,P25='DADOS_INVOC'!$QV$5,P25='DADOS_INVOC'!$QW$5,P25='DADOS_INVOC'!$QX$5,P25='DADOS_INVOC'!$QY$5),O25,"")</f>
        <v/>
      </c>
      <c r="AU25">
        <f>IF(AND(Q25=1,OR(P25="",P25='DADOS_INVOC'!$EL$5,P25='DADOS_INVOC'!$EM$5,P25='DADOS_INVOC'!$EN$5,P25='DADOS_INVOC'!$EO$5,P25='DADOS_INVOC'!$EP$5,P25='DADOS_INVOC'!$QV$5,P25='DADOS_INVOC'!$QW$5,P25='DADOS_INVOC'!$QX$5,P25='DADOS_INVOC'!$QY$5)),O25,"")</f>
        <v/>
      </c>
      <c r="AV25">
        <f>IF(OR(P25="",P25='DADOS_INVOC'!$EL$6,P25='DADOS_INVOC'!$EM$6,P25='DADOS_INVOC'!$EN$6,P25='DADOS_INVOC'!$EO$6,P25='DADOS_INVOC'!$EP$6,P25='DADOS_INVOC'!$QV$6,P25='DADOS_INVOC'!$QW$6,P25='DADOS_INVOC'!$QX$6,P25='DADOS_INVOC'!$QY$6),O25,"")</f>
        <v/>
      </c>
      <c r="AW25">
        <f>IF(AND(Q25=1,OR(P25="",P25='DADOS_INVOC'!$EL$6,P25='DADOS_INVOC'!$EM$6,P25='DADOS_INVOC'!$EN$6,P25='DADOS_INVOC'!$EO$6,P25='DADOS_INVOC'!$EP$6,P25='DADOS_INVOC'!$QV$6,P25='DADOS_INVOC'!$QW$6,P25='DADOS_INVOC'!$QX$6,P25='DADOS_INVOC'!$QY$6)),O25,"")</f>
        <v/>
      </c>
      <c r="AX25">
        <f>IF(OR(P25="",P25='DADOS_INVOC'!$EL$7,P25='DADOS_INVOC'!$EM$7,P25='DADOS_INVOC'!$EN$7,P25='DADOS_INVOC'!$EO$7,P25='DADOS_INVOC'!$EP$7,P25='DADOS_INVOC'!$QV$7,P25='DADOS_INVOC'!$QW$7,P25='DADOS_INVOC'!$QX$7,P25='DADOS_INVOC'!$QY$7),O25,"")</f>
        <v/>
      </c>
      <c r="AY25">
        <f>IF(AND(Q25=1,OR(P25="",P25='DADOS_INVOC'!$EL$7,P25='DADOS_INVOC'!$EM$7,P25='DADOS_INVOC'!$EN$7,P25='DADOS_INVOC'!$EO$7,P25='DADOS_INVOC'!$EP$7,P25='DADOS_INVOC'!$QV$7,P25='DADOS_INVOC'!$QW$7,P25='DADOS_INVOC'!$QX$7,P25='DADOS_INVOC'!$QY$7)),O25,"")</f>
        <v/>
      </c>
      <c r="AZ25">
        <f>IF(OR(P25="",P25='DADOS_INVOC'!$EL$8,P25='DADOS_INVOC'!$EM$8,P25='DADOS_INVOC'!$EN$8,P25='DADOS_INVOC'!$EO$8,P25='DADOS_INVOC'!$EP$8,P25='DADOS_INVOC'!$QV$8,P25='DADOS_INVOC'!$QW$8,P25='DADOS_INVOC'!$QX$8,P25='DADOS_INVOC'!$QY$8),O25,"")</f>
        <v/>
      </c>
      <c r="BA25">
        <f>IF(AND(Q25=1,OR(P25="",P25='DADOS_INVOC'!$EL$8,P25='DADOS_INVOC'!$EM$8,P25='DADOS_INVOC'!$EN$8,P25='DADOS_INVOC'!$EO$8,P25='DADOS_INVOC'!$EP$8,P25='DADOS_INVOC'!$QV$8,P25='DADOS_INVOC'!$QW$8,P25='DADOS_INVOC'!$QX$8,P25='DADOS_INVOC'!$QY$8)),O25,"")</f>
        <v/>
      </c>
      <c r="BB25">
        <f>IF(OR(P25="",P25='DADOS_INVOC'!$EL$9,P25='DADOS_INVOC'!$EM$9,P25='DADOS_INVOC'!$EN$9,P25='DADOS_INVOC'!$EO$9,P25='DADOS_INVOC'!$EP$9,P25='DADOS_INVOC'!$QV$9,P25='DADOS_INVOC'!$QW$9,P25='DADOS_INVOC'!$QX$9,P25='DADOS_INVOC'!$QY$9),O25,"")</f>
        <v/>
      </c>
      <c r="BC25">
        <f>IF(AND(Q25=1,OR(P25="",P25='DADOS_INVOC'!$EL$9,P25='DADOS_INVOC'!$EM$9,P25='DADOS_INVOC'!$EN$9,P25='DADOS_INVOC'!$EO$9,P25='DADOS_INVOC'!$EP$9,P25='DADOS_INVOC'!$QV$9,P25='DADOS_INVOC'!$QW$9,P25='DADOS_INVOC'!$QX$9,P25='DADOS_INVOC'!$QY$9)),O25,"")</f>
        <v/>
      </c>
      <c r="BD25">
        <f>IF(OR(P25="",P25='DADOS_INVOC'!$EL$10,P25='DADOS_INVOC'!$EM$10,P25='DADOS_INVOC'!$EN$10,P25='DADOS_INVOC'!$EO$10,P25='DADOS_INVOC'!$EP$10,P25='DADOS_INVOC'!$QV$10,P25='DADOS_INVOC'!$QW$10,P25='DADOS_INVOC'!$QX$10,P25='DADOS_INVOC'!$QY$10),O25,"")</f>
        <v/>
      </c>
      <c r="BE25">
        <f>IF(AND(Q25=1,OR(P25="",P25='DADOS_INVOC'!$EL$10,P25='DADOS_INVOC'!$EM$10,P25='DADOS_INVOC'!$EN$10,P25='DADOS_INVOC'!$EO$10,P25='DADOS_INVOC'!$EP$10,P25='DADOS_INVOC'!$QV$10,P25='DADOS_INVOC'!$QW$10,P25='DADOS_INVOC'!$QX$10,P25='DADOS_INVOC'!$QY$10)),O25,"")</f>
        <v/>
      </c>
      <c r="BF25">
        <f>IF(OR(P25="",P25='DADOS_INVOC'!$EL$11,P25='DADOS_INVOC'!$EM$11,P25='DADOS_INVOC'!$EN$11,P25='DADOS_INVOC'!$EO$11,P25='DADOS_INVOC'!$EP$11,P25='DADOS_INVOC'!$QV$11,P25='DADOS_INVOC'!$QW$11,P25='DADOS_INVOC'!$QX$11,P25='DADOS_INVOC'!$QY$11),O25,"")</f>
        <v/>
      </c>
      <c r="BG25">
        <f>IF(AND(Q25=1,OR(P25="",P25='DADOS_INVOC'!$EL$11,P25='DADOS_INVOC'!$EM$11,P25='DADOS_INVOC'!$EN$11,P25='DADOS_INVOC'!$EO$11,P25='DADOS_INVOC'!$EP$11,P25='DADOS_INVOC'!$QV$11,P25='DADOS_INVOC'!$QW$11,P25='DADOS_INVOC'!$QX$11,P25='DADOS_INVOC'!$QY$11)),O25,"")</f>
        <v/>
      </c>
      <c r="BH25">
        <f>IF(OR(P25="",P25='DADOS_INVOC'!$EL$12,P25='DADOS_INVOC'!$EM$12,P25='DADOS_INVOC'!$EN$12,P25='DADOS_INVOC'!$EO$12,P25='DADOS_INVOC'!$EP$12,P25='DADOS_INVOC'!$QV$12,P25='DADOS_INVOC'!$QW$12,P25='DADOS_INVOC'!$QX$12,P25='DADOS_INVOC'!$QY$12),O25,"")</f>
        <v/>
      </c>
      <c r="BI25">
        <f>IF(AND(Q25=1,OR(P25="",P25='DADOS_INVOC'!$EL$12,P25='DADOS_INVOC'!$EM$12,P25='DADOS_INVOC'!$EN$12,P25='DADOS_INVOC'!$EO$12,P25='DADOS_INVOC'!$EP$12,P25='DADOS_INVOC'!$QV$12,P25='DADOS_INVOC'!$QW$12,P25='DADOS_INVOC'!$QX$12,P25='DADOS_INVOC'!$QY$12)),O25,"")</f>
        <v/>
      </c>
      <c r="BJ25">
        <f>IF(OR(P25="",P25='DADOS_INVOC'!$EL$13,P25='DADOS_INVOC'!$EM$13,P25='DADOS_INVOC'!$EN$13,P25='DADOS_INVOC'!$EO$13,P25='DADOS_INVOC'!$EP$13,P25='DADOS_INVOC'!$QV$13,P25='DADOS_INVOC'!$QW$13,P25='DADOS_INVOC'!$QX$13,P25='DADOS_INVOC'!$QY$13),O25,"")</f>
        <v/>
      </c>
      <c r="BK25">
        <f>IF(AND(Q25=1,OR(P25="",P25='DADOS_INVOC'!$EL$13,P25='DADOS_INVOC'!$EM$13,P25='DADOS_INVOC'!$EN$13,P25='DADOS_INVOC'!$EO$13,P25='DADOS_INVOC'!$EP$13,P25='DADOS_INVOC'!$QV$13,P25='DADOS_INVOC'!$QW$13,P25='DADOS_INVOC'!$QX$13,P25='DADOS_INVOC'!$QY$13)),O25,"")</f>
        <v/>
      </c>
      <c r="BP25" t="inlineStr">
        <is>
          <t>Lento</t>
        </is>
      </c>
      <c r="BR25">
        <f>IF(OR(ISBLANK('CONFIGURAÇÃO'!$DI$299),'CONFIGURAÇÃO'!$DI$299=""),"Melhoria",'CONFIGURAÇÃO'!$DI$299)</f>
        <v/>
      </c>
    </row>
    <row r="26">
      <c r="A26" t="n">
        <v>1323</v>
      </c>
      <c r="B26" t="n">
        <v>0</v>
      </c>
      <c r="C26" t="n">
        <v>25</v>
      </c>
      <c r="D26">
        <f>IF(ISBLANK('CONFIGURAÇÃO'!$DA$327),"",'CONFIGURAÇÃO'!$DA$327)</f>
        <v/>
      </c>
      <c r="E26">
        <f>IF(ISBLANK('CONFIGURAÇÃO'!$DD$328),"",'CONFIGURAÇÃO'!$DD$328)</f>
        <v/>
      </c>
      <c r="F26">
        <f>IF(ISBLANK('CONFIGURAÇÃO'!$DD$329),"",'CONFIGURAÇÃO'!$DD$329)</f>
        <v/>
      </c>
      <c r="G26">
        <f>IF(ISBLANK('CONFIGURAÇÃO'!$DD$330),"",'CONFIGURAÇÃO'!$DD$330)</f>
        <v/>
      </c>
      <c r="H26">
        <f>IF(ISBLANK('CONFIGURAÇÃO'!$DD$331),"",'CONFIGURAÇÃO'!$DD$331)</f>
        <v/>
      </c>
      <c r="I26">
        <f>IF(ISBLANK('CONFIGURAÇÃO'!$DA$334),"",'CONFIGURAÇÃO'!$DA$334)</f>
        <v/>
      </c>
      <c r="J26">
        <f>IF(ISBLANK('CONFIGURAÇÃO'!$DA$340),"",'CONFIGURAÇÃO'!$DA$340)</f>
        <v/>
      </c>
      <c r="K26">
        <f>IF(ISBLANK('CONFIGURAÇÃO'!$DE$325),"",'CONFIGURAÇÃO'!$DE$325)</f>
        <v/>
      </c>
      <c r="L26">
        <f>IF(OR(E26="",E26="Nenhuma"),0,IFERROR(MATCH(SUBSTITUTE(SUBSTITUTE(SUBSTITUTE(E26,"~","~~"),"*","~*"),"?","~?"),'DADOS_MELHORIAS'!$O$2:$O$83,0),-1))</f>
        <v/>
      </c>
      <c r="M26">
        <f>IF(D26="",IF(BR26&lt;&gt;"Melhoria","Preencha NOME",IF(D26="",IF(OR(I26&lt;&gt;"",J26&lt;&gt;"",F26&lt;&gt;"",G26&lt;&gt;"",H26&lt;&gt;"",K26=TRUE,AND(E26&lt;&gt;"",E26&lt;&gt;"Nenhuma")),"Preencha NOME",""),TEXTJOIN(" · ",TRUE,IF(OR(NOT(ISTEXT(D26)),TRIM(D26)&lt;&gt;D26),"NOME precisa ser texto sem espaços nas pontas",""),IF(COUNTIF($D$2:$D$31,SUBSTITUTE(SUBSTITUTE(SUBSTITUTE(D26,"~","~~"),"*","~*"),"?","~?"))+COUNTIF('DADOS_MELHORIAS'!$O$2:$O$83,SUBSTITUTE(SUBSTITUTE(SUBSTITUTE(D26,"~","~~"),"*","~*"),"?","~?"))&gt;1,"Nome repetido no livro ou custom",""),IF(L26&lt;0,"Escolha uma BASE DO LIVRO válida",""),IF(ISLOGICAL(K26),"","MESTRE VIU deve ser caixa de seleção"),IF(AND(G26="",L26&lt;=0),"Escolha PESO",""),IF(AND(G26&lt;&gt;"",COUNTIF('DADOS_MELHORIAS'!$BN$2:$BN$4,SUBSTITUTE(SUBSTITUTE(SUBSTITUTE(G26,"~","~~"),"*","~*"),"?","~?"))&lt;&gt;1),"Peso ou devolução inválido",""),IF(AND(H26&lt;&gt;"",H26&lt;&gt;"Sim",H26&lt;&gt;"Não"),"Escolha Sim ou Não",""),IF(AND(F26&lt;&gt;"",COUNTIF('DADOS_MELHORIAS'!$BM$2:$BM$21,SUBSTITUTE(SUBSTITUTE(SUBSTITUTE(F26,"~","~~"),"*","~*"),"?","~?"))&lt;&gt;1),"Família não cadastrada ou com erro","")))),TEXTJOIN(" · ",TRUE,IF(D26="",IF(OR(I26&lt;&gt;"",J26&lt;&gt;"",F26&lt;&gt;"",G26&lt;&gt;"",H26&lt;&gt;"",K26=TRUE,AND(E26&lt;&gt;"",E26&lt;&gt;"Nenhuma")),"Preencha NOME",""),TEXTJOIN(" · ",TRUE,IF(OR(NOT(ISTEXT(D26)),TRIM(D26)&lt;&gt;D26),"NOME precisa ser texto sem espaços nas pontas",""),IF(COUNTIF($D$2:$D$31,SUBSTITUTE(SUBSTITUTE(SUBSTITUTE(D26,"~","~~"),"*","~*"),"?","~?"))+COUNTIF('DADOS_MELHORIAS'!$O$2:$O$83,SUBSTITUTE(SUBSTITUTE(SUBSTITUTE(D26,"~","~~"),"*","~*"),"?","~?"))&gt;1,"Nome repetido no livro ou custom",""),IF(L26&lt;0,"Escolha uma BASE DO LIVRO válida",""),IF(ISLOGICAL(K26),"","MESTRE VIU deve ser caixa de seleção"),IF(AND(G26="",L26&lt;=0),"Escolha PESO",""),IF(AND(G26&lt;&gt;"",COUNTIF('DADOS_MELHORIAS'!$BN$2:$BN$4,SUBSTITUTE(SUBSTITUTE(SUBSTITUTE(G26,"~","~~"),"*","~*"),"?","~?"))&lt;&gt;1),"Peso ou devolução inválido",""),IF(AND(H26&lt;&gt;"",H26&lt;&gt;"Sim",H26&lt;&gt;"Não"),"Escolha Sim ou Não",""),IF(AND(F26&lt;&gt;"",COUNTIF('DADOS_MELHORIAS'!$BM$2:$BM$21,SUBSTITUTE(SUBSTITUTE(SUBSTITUTE(F26,"~","~~"),"*","~*"),"?","~?"))&lt;&gt;1),"Família não cadastrada ou com erro",""))),IF(AND(BR26&lt;&gt;"Melhoria",BR26&lt;&gt;"Condição"),"Modalidade inválida",""),IF(AND(BR26="Condição",E26&lt;&gt;"",E26&lt;&gt;"Nenhuma",COUNTIF('DADOS_MELHORIAS'!$BU$2:$BU$15,SUBSTITUTE(SUBSTITUTE(SUBSTITUTE(E26,"~","~~"),"*","~*"),"?","~?"))&lt;&gt;1),"Base de Condição inválida",""),IF(AND(BR26="Condição",H26&lt;&gt;"",H26&lt;&gt;"Sim"),"Condição exige TR","")))</f>
        <v/>
      </c>
      <c r="O26">
        <f>IF(ISBLANK(DADOS_AM!$BC$26),"",DADOS_AM!$BC$26)</f>
        <v/>
      </c>
      <c r="P26">
        <f>IF(ISBLANK(DADOS_AM!$BD$26),"",DADOS_AM!$BD$26)</f>
        <v/>
      </c>
      <c r="Q26">
        <f>IF(ISBLANK(DADOS_AM!$BE$26),"",DADOS_AM!$BE$26)</f>
        <v/>
      </c>
      <c r="R26">
        <f>IF(ISBLANK(DADOS_AM!$BF$26),"",DADOS_AM!$BF$26)</f>
        <v/>
      </c>
      <c r="S26">
        <f>IF(ISBLANK(DADOS_AM!$BG$26),"",DADOS_AM!$BG$26)</f>
        <v/>
      </c>
      <c r="T26">
        <f>IF(ISBLANK(DADOS_AM!$BH$26),"",DADOS_AM!$BH$26)</f>
        <v/>
      </c>
      <c r="U26">
        <f>IF(ISBLANK(DADOS_AM!$BI$26),"",DADOS_AM!$BI$26)</f>
        <v/>
      </c>
      <c r="V26">
        <f>IF(ISBLANK(DADOS_AM!$BJ$26),"",DADOS_AM!$BJ$26)</f>
        <v/>
      </c>
      <c r="W26">
        <f>IF(ISBLANK(DADOS_AM!$BK$26),"",DADOS_AM!$BK$26)</f>
        <v/>
      </c>
      <c r="X26" t="inlineStr">
        <is>
          <t>Derrubado</t>
        </is>
      </c>
      <c r="Y26" t="n">
        <v>0</v>
      </c>
      <c r="AG26">
        <f>O26</f>
        <v/>
      </c>
      <c r="AH26">
        <f>P26</f>
        <v/>
      </c>
      <c r="AI26">
        <f>Q26</f>
        <v/>
      </c>
      <c r="AJ26">
        <f>T26</f>
        <v/>
      </c>
      <c r="AK26">
        <f>Y26</f>
        <v/>
      </c>
      <c r="AL26">
        <f>W26</f>
        <v/>
      </c>
      <c r="AN26">
        <f>IF(OR(P26="",P26='DADOS_INVOC'!$EL$2,P26='DADOS_INVOC'!$EM$2,P26='DADOS_INVOC'!$EN$2,P26='DADOS_INVOC'!$EO$2,P26='DADOS_INVOC'!$EP$2,P26='DADOS_INVOC'!$QV$2,P26='DADOS_INVOC'!$QW$2,P26='DADOS_INVOC'!$QX$2,P26='DADOS_INVOC'!$QY$2),O26,"")</f>
        <v/>
      </c>
      <c r="AO26">
        <f>IF(AND(Q26=1,OR(P26="",P26='DADOS_INVOC'!$EL$2,P26='DADOS_INVOC'!$EM$2,P26='DADOS_INVOC'!$EN$2,P26='DADOS_INVOC'!$EO$2,P26='DADOS_INVOC'!$EP$2,P26='DADOS_INVOC'!$QV$2,P26='DADOS_INVOC'!$QW$2,P26='DADOS_INVOC'!$QX$2,P26='DADOS_INVOC'!$QY$2)),O26,"")</f>
        <v/>
      </c>
      <c r="AP26">
        <f>IF(OR(P26="",P26='DADOS_INVOC'!$EL$3,P26='DADOS_INVOC'!$EM$3,P26='DADOS_INVOC'!$EN$3,P26='DADOS_INVOC'!$EO$3,P26='DADOS_INVOC'!$EP$3,P26='DADOS_INVOC'!$QV$3,P26='DADOS_INVOC'!$QW$3,P26='DADOS_INVOC'!$QX$3,P26='DADOS_INVOC'!$QY$3),O26,"")</f>
        <v/>
      </c>
      <c r="AQ26">
        <f>IF(AND(Q26=1,OR(P26="",P26='DADOS_INVOC'!$EL$3,P26='DADOS_INVOC'!$EM$3,P26='DADOS_INVOC'!$EN$3,P26='DADOS_INVOC'!$EO$3,P26='DADOS_INVOC'!$EP$3,P26='DADOS_INVOC'!$QV$3,P26='DADOS_INVOC'!$QW$3,P26='DADOS_INVOC'!$QX$3,P26='DADOS_INVOC'!$QY$3)),O26,"")</f>
        <v/>
      </c>
      <c r="AR26">
        <f>IF(OR(P26="",P26='DADOS_INVOC'!$EL$4,P26='DADOS_INVOC'!$EM$4,P26='DADOS_INVOC'!$EN$4,P26='DADOS_INVOC'!$EO$4,P26='DADOS_INVOC'!$EP$4,P26='DADOS_INVOC'!$QV$4,P26='DADOS_INVOC'!$QW$4,P26='DADOS_INVOC'!$QX$4,P26='DADOS_INVOC'!$QY$4),O26,"")</f>
        <v/>
      </c>
      <c r="AS26">
        <f>IF(AND(Q26=1,OR(P26="",P26='DADOS_INVOC'!$EL$4,P26='DADOS_INVOC'!$EM$4,P26='DADOS_INVOC'!$EN$4,P26='DADOS_INVOC'!$EO$4,P26='DADOS_INVOC'!$EP$4,P26='DADOS_INVOC'!$QV$4,P26='DADOS_INVOC'!$QW$4,P26='DADOS_INVOC'!$QX$4,P26='DADOS_INVOC'!$QY$4)),O26,"")</f>
        <v/>
      </c>
      <c r="AT26">
        <f>IF(OR(P26="",P26='DADOS_INVOC'!$EL$5,P26='DADOS_INVOC'!$EM$5,P26='DADOS_INVOC'!$EN$5,P26='DADOS_INVOC'!$EO$5,P26='DADOS_INVOC'!$EP$5,P26='DADOS_INVOC'!$QV$5,P26='DADOS_INVOC'!$QW$5,P26='DADOS_INVOC'!$QX$5,P26='DADOS_INVOC'!$QY$5),O26,"")</f>
        <v/>
      </c>
      <c r="AU26">
        <f>IF(AND(Q26=1,OR(P26="",P26='DADOS_INVOC'!$EL$5,P26='DADOS_INVOC'!$EM$5,P26='DADOS_INVOC'!$EN$5,P26='DADOS_INVOC'!$EO$5,P26='DADOS_INVOC'!$EP$5,P26='DADOS_INVOC'!$QV$5,P26='DADOS_INVOC'!$QW$5,P26='DADOS_INVOC'!$QX$5,P26='DADOS_INVOC'!$QY$5)),O26,"")</f>
        <v/>
      </c>
      <c r="AV26">
        <f>IF(OR(P26="",P26='DADOS_INVOC'!$EL$6,P26='DADOS_INVOC'!$EM$6,P26='DADOS_INVOC'!$EN$6,P26='DADOS_INVOC'!$EO$6,P26='DADOS_INVOC'!$EP$6,P26='DADOS_INVOC'!$QV$6,P26='DADOS_INVOC'!$QW$6,P26='DADOS_INVOC'!$QX$6,P26='DADOS_INVOC'!$QY$6),O26,"")</f>
        <v/>
      </c>
      <c r="AW26">
        <f>IF(AND(Q26=1,OR(P26="",P26='DADOS_INVOC'!$EL$6,P26='DADOS_INVOC'!$EM$6,P26='DADOS_INVOC'!$EN$6,P26='DADOS_INVOC'!$EO$6,P26='DADOS_INVOC'!$EP$6,P26='DADOS_INVOC'!$QV$6,P26='DADOS_INVOC'!$QW$6,P26='DADOS_INVOC'!$QX$6,P26='DADOS_INVOC'!$QY$6)),O26,"")</f>
        <v/>
      </c>
      <c r="AX26">
        <f>IF(OR(P26="",P26='DADOS_INVOC'!$EL$7,P26='DADOS_INVOC'!$EM$7,P26='DADOS_INVOC'!$EN$7,P26='DADOS_INVOC'!$EO$7,P26='DADOS_INVOC'!$EP$7,P26='DADOS_INVOC'!$QV$7,P26='DADOS_INVOC'!$QW$7,P26='DADOS_INVOC'!$QX$7,P26='DADOS_INVOC'!$QY$7),O26,"")</f>
        <v/>
      </c>
      <c r="AY26">
        <f>IF(AND(Q26=1,OR(P26="",P26='DADOS_INVOC'!$EL$7,P26='DADOS_INVOC'!$EM$7,P26='DADOS_INVOC'!$EN$7,P26='DADOS_INVOC'!$EO$7,P26='DADOS_INVOC'!$EP$7,P26='DADOS_INVOC'!$QV$7,P26='DADOS_INVOC'!$QW$7,P26='DADOS_INVOC'!$QX$7,P26='DADOS_INVOC'!$QY$7)),O26,"")</f>
        <v/>
      </c>
      <c r="AZ26">
        <f>IF(OR(P26="",P26='DADOS_INVOC'!$EL$8,P26='DADOS_INVOC'!$EM$8,P26='DADOS_INVOC'!$EN$8,P26='DADOS_INVOC'!$EO$8,P26='DADOS_INVOC'!$EP$8,P26='DADOS_INVOC'!$QV$8,P26='DADOS_INVOC'!$QW$8,P26='DADOS_INVOC'!$QX$8,P26='DADOS_INVOC'!$QY$8),O26,"")</f>
        <v/>
      </c>
      <c r="BA26">
        <f>IF(AND(Q26=1,OR(P26="",P26='DADOS_INVOC'!$EL$8,P26='DADOS_INVOC'!$EM$8,P26='DADOS_INVOC'!$EN$8,P26='DADOS_INVOC'!$EO$8,P26='DADOS_INVOC'!$EP$8,P26='DADOS_INVOC'!$QV$8,P26='DADOS_INVOC'!$QW$8,P26='DADOS_INVOC'!$QX$8,P26='DADOS_INVOC'!$QY$8)),O26,"")</f>
        <v/>
      </c>
      <c r="BB26">
        <f>IF(OR(P26="",P26='DADOS_INVOC'!$EL$9,P26='DADOS_INVOC'!$EM$9,P26='DADOS_INVOC'!$EN$9,P26='DADOS_INVOC'!$EO$9,P26='DADOS_INVOC'!$EP$9,P26='DADOS_INVOC'!$QV$9,P26='DADOS_INVOC'!$QW$9,P26='DADOS_INVOC'!$QX$9,P26='DADOS_INVOC'!$QY$9),O26,"")</f>
        <v/>
      </c>
      <c r="BC26">
        <f>IF(AND(Q26=1,OR(P26="",P26='DADOS_INVOC'!$EL$9,P26='DADOS_INVOC'!$EM$9,P26='DADOS_INVOC'!$EN$9,P26='DADOS_INVOC'!$EO$9,P26='DADOS_INVOC'!$EP$9,P26='DADOS_INVOC'!$QV$9,P26='DADOS_INVOC'!$QW$9,P26='DADOS_INVOC'!$QX$9,P26='DADOS_INVOC'!$QY$9)),O26,"")</f>
        <v/>
      </c>
      <c r="BD26">
        <f>IF(OR(P26="",P26='DADOS_INVOC'!$EL$10,P26='DADOS_INVOC'!$EM$10,P26='DADOS_INVOC'!$EN$10,P26='DADOS_INVOC'!$EO$10,P26='DADOS_INVOC'!$EP$10,P26='DADOS_INVOC'!$QV$10,P26='DADOS_INVOC'!$QW$10,P26='DADOS_INVOC'!$QX$10,P26='DADOS_INVOC'!$QY$10),O26,"")</f>
        <v/>
      </c>
      <c r="BE26">
        <f>IF(AND(Q26=1,OR(P26="",P26='DADOS_INVOC'!$EL$10,P26='DADOS_INVOC'!$EM$10,P26='DADOS_INVOC'!$EN$10,P26='DADOS_INVOC'!$EO$10,P26='DADOS_INVOC'!$EP$10,P26='DADOS_INVOC'!$QV$10,P26='DADOS_INVOC'!$QW$10,P26='DADOS_INVOC'!$QX$10,P26='DADOS_INVOC'!$QY$10)),O26,"")</f>
        <v/>
      </c>
      <c r="BF26">
        <f>IF(OR(P26="",P26='DADOS_INVOC'!$EL$11,P26='DADOS_INVOC'!$EM$11,P26='DADOS_INVOC'!$EN$11,P26='DADOS_INVOC'!$EO$11,P26='DADOS_INVOC'!$EP$11,P26='DADOS_INVOC'!$QV$11,P26='DADOS_INVOC'!$QW$11,P26='DADOS_INVOC'!$QX$11,P26='DADOS_INVOC'!$QY$11),O26,"")</f>
        <v/>
      </c>
      <c r="BG26">
        <f>IF(AND(Q26=1,OR(P26="",P26='DADOS_INVOC'!$EL$11,P26='DADOS_INVOC'!$EM$11,P26='DADOS_INVOC'!$EN$11,P26='DADOS_INVOC'!$EO$11,P26='DADOS_INVOC'!$EP$11,P26='DADOS_INVOC'!$QV$11,P26='DADOS_INVOC'!$QW$11,P26='DADOS_INVOC'!$QX$11,P26='DADOS_INVOC'!$QY$11)),O26,"")</f>
        <v/>
      </c>
      <c r="BH26">
        <f>IF(OR(P26="",P26='DADOS_INVOC'!$EL$12,P26='DADOS_INVOC'!$EM$12,P26='DADOS_INVOC'!$EN$12,P26='DADOS_INVOC'!$EO$12,P26='DADOS_INVOC'!$EP$12,P26='DADOS_INVOC'!$QV$12,P26='DADOS_INVOC'!$QW$12,P26='DADOS_INVOC'!$QX$12,P26='DADOS_INVOC'!$QY$12),O26,"")</f>
        <v/>
      </c>
      <c r="BI26">
        <f>IF(AND(Q26=1,OR(P26="",P26='DADOS_INVOC'!$EL$12,P26='DADOS_INVOC'!$EM$12,P26='DADOS_INVOC'!$EN$12,P26='DADOS_INVOC'!$EO$12,P26='DADOS_INVOC'!$EP$12,P26='DADOS_INVOC'!$QV$12,P26='DADOS_INVOC'!$QW$12,P26='DADOS_INVOC'!$QX$12,P26='DADOS_INVOC'!$QY$12)),O26,"")</f>
        <v/>
      </c>
      <c r="BJ26">
        <f>IF(OR(P26="",P26='DADOS_INVOC'!$EL$13,P26='DADOS_INVOC'!$EM$13,P26='DADOS_INVOC'!$EN$13,P26='DADOS_INVOC'!$EO$13,P26='DADOS_INVOC'!$EP$13,P26='DADOS_INVOC'!$QV$13,P26='DADOS_INVOC'!$QW$13,P26='DADOS_INVOC'!$QX$13,P26='DADOS_INVOC'!$QY$13),O26,"")</f>
        <v/>
      </c>
      <c r="BK26">
        <f>IF(AND(Q26=1,OR(P26="",P26='DADOS_INVOC'!$EL$13,P26='DADOS_INVOC'!$EM$13,P26='DADOS_INVOC'!$EN$13,P26='DADOS_INVOC'!$EO$13,P26='DADOS_INVOC'!$EP$13,P26='DADOS_INVOC'!$QV$13,P26='DADOS_INVOC'!$QW$13,P26='DADOS_INVOC'!$QX$13,P26='DADOS_INVOC'!$QY$13)),O26,"")</f>
        <v/>
      </c>
      <c r="BP26" t="inlineStr">
        <is>
          <t>Guarda Aberta</t>
        </is>
      </c>
      <c r="BR26">
        <f>IF(OR(ISBLANK('CONFIGURAÇÃO'!$DA$325),'CONFIGURAÇÃO'!$DA$325=""),"Melhoria",'CONFIGURAÇÃO'!$DA$325)</f>
        <v/>
      </c>
    </row>
    <row r="27">
      <c r="A27" t="n">
        <v>1323</v>
      </c>
      <c r="B27" t="n">
        <v>8</v>
      </c>
      <c r="C27" t="n">
        <v>26</v>
      </c>
      <c r="D27">
        <f>IF(ISBLANK('CONFIGURAÇÃO'!$DI$327),"",'CONFIGURAÇÃO'!$DI$327)</f>
        <v/>
      </c>
      <c r="E27">
        <f>IF(ISBLANK('CONFIGURAÇÃO'!$DL$328),"",'CONFIGURAÇÃO'!$DL$328)</f>
        <v/>
      </c>
      <c r="F27">
        <f>IF(ISBLANK('CONFIGURAÇÃO'!$DL$329),"",'CONFIGURAÇÃO'!$DL$329)</f>
        <v/>
      </c>
      <c r="G27">
        <f>IF(ISBLANK('CONFIGURAÇÃO'!$DL$330),"",'CONFIGURAÇÃO'!$DL$330)</f>
        <v/>
      </c>
      <c r="H27">
        <f>IF(ISBLANK('CONFIGURAÇÃO'!$DL$331),"",'CONFIGURAÇÃO'!$DL$331)</f>
        <v/>
      </c>
      <c r="I27">
        <f>IF(ISBLANK('CONFIGURAÇÃO'!$DI$334),"",'CONFIGURAÇÃO'!$DI$334)</f>
        <v/>
      </c>
      <c r="J27">
        <f>IF(ISBLANK('CONFIGURAÇÃO'!$DI$340),"",'CONFIGURAÇÃO'!$DI$340)</f>
        <v/>
      </c>
      <c r="K27">
        <f>IF(ISBLANK('CONFIGURAÇÃO'!$DM$325),"",'CONFIGURAÇÃO'!$DM$325)</f>
        <v/>
      </c>
      <c r="L27">
        <f>IF(OR(E27="",E27="Nenhuma"),0,IFERROR(MATCH(SUBSTITUTE(SUBSTITUTE(SUBSTITUTE(E27,"~","~~"),"*","~*"),"?","~?"),'DADOS_MELHORIAS'!$O$2:$O$83,0),-1))</f>
        <v/>
      </c>
      <c r="M27">
        <f>IF(D27="",IF(BR27&lt;&gt;"Melhoria","Preencha NOME",IF(D27="",IF(OR(I27&lt;&gt;"",J27&lt;&gt;"",F27&lt;&gt;"",G27&lt;&gt;"",H27&lt;&gt;"",K27=TRUE,AND(E27&lt;&gt;"",E27&lt;&gt;"Nenhuma")),"Preencha NOME",""),TEXTJOIN(" · ",TRUE,IF(OR(NOT(ISTEXT(D27)),TRIM(D27)&lt;&gt;D27),"NOME precisa ser texto sem espaços nas pontas",""),IF(COUNTIF($D$2:$D$31,SUBSTITUTE(SUBSTITUTE(SUBSTITUTE(D27,"~","~~"),"*","~*"),"?","~?"))+COUNTIF('DADOS_MELHORIAS'!$O$2:$O$83,SUBSTITUTE(SUBSTITUTE(SUBSTITUTE(D27,"~","~~"),"*","~*"),"?","~?"))&gt;1,"Nome repetido no livro ou custom",""),IF(L27&lt;0,"Escolha uma BASE DO LIVRO válida",""),IF(ISLOGICAL(K27),"","MESTRE VIU deve ser caixa de seleção"),IF(AND(G27="",L27&lt;=0),"Escolha PESO",""),IF(AND(G27&lt;&gt;"",COUNTIF('DADOS_MELHORIAS'!$BN$2:$BN$4,SUBSTITUTE(SUBSTITUTE(SUBSTITUTE(G27,"~","~~"),"*","~*"),"?","~?"))&lt;&gt;1),"Peso ou devolução inválido",""),IF(AND(H27&lt;&gt;"",H27&lt;&gt;"Sim",H27&lt;&gt;"Não"),"Escolha Sim ou Não",""),IF(AND(F27&lt;&gt;"",COUNTIF('DADOS_MELHORIAS'!$BM$2:$BM$21,SUBSTITUTE(SUBSTITUTE(SUBSTITUTE(F27,"~","~~"),"*","~*"),"?","~?"))&lt;&gt;1),"Família não cadastrada ou com erro","")))),TEXTJOIN(" · ",TRUE,IF(D27="",IF(OR(I27&lt;&gt;"",J27&lt;&gt;"",F27&lt;&gt;"",G27&lt;&gt;"",H27&lt;&gt;"",K27=TRUE,AND(E27&lt;&gt;"",E27&lt;&gt;"Nenhuma")),"Preencha NOME",""),TEXTJOIN(" · ",TRUE,IF(OR(NOT(ISTEXT(D27)),TRIM(D27)&lt;&gt;D27),"NOME precisa ser texto sem espaços nas pontas",""),IF(COUNTIF($D$2:$D$31,SUBSTITUTE(SUBSTITUTE(SUBSTITUTE(D27,"~","~~"),"*","~*"),"?","~?"))+COUNTIF('DADOS_MELHORIAS'!$O$2:$O$83,SUBSTITUTE(SUBSTITUTE(SUBSTITUTE(D27,"~","~~"),"*","~*"),"?","~?"))&gt;1,"Nome repetido no livro ou custom",""),IF(L27&lt;0,"Escolha uma BASE DO LIVRO válida",""),IF(ISLOGICAL(K27),"","MESTRE VIU deve ser caixa de seleção"),IF(AND(G27="",L27&lt;=0),"Escolha PESO",""),IF(AND(G27&lt;&gt;"",COUNTIF('DADOS_MELHORIAS'!$BN$2:$BN$4,SUBSTITUTE(SUBSTITUTE(SUBSTITUTE(G27,"~","~~"),"*","~*"),"?","~?"))&lt;&gt;1),"Peso ou devolução inválido",""),IF(AND(H27&lt;&gt;"",H27&lt;&gt;"Sim",H27&lt;&gt;"Não"),"Escolha Sim ou Não",""),IF(AND(F27&lt;&gt;"",COUNTIF('DADOS_MELHORIAS'!$BM$2:$BM$21,SUBSTITUTE(SUBSTITUTE(SUBSTITUTE(F27,"~","~~"),"*","~*"),"?","~?"))&lt;&gt;1),"Família não cadastrada ou com erro",""))),IF(AND(BR27&lt;&gt;"Melhoria",BR27&lt;&gt;"Condição"),"Modalidade inválida",""),IF(AND(BR27="Condição",E27&lt;&gt;"",E27&lt;&gt;"Nenhuma",COUNTIF('DADOS_MELHORIAS'!$BU$2:$BU$15,SUBSTITUTE(SUBSTITUTE(SUBSTITUTE(E27,"~","~~"),"*","~*"),"?","~?"))&lt;&gt;1),"Base de Condição inválida",""),IF(AND(BR27="Condição",H27&lt;&gt;"",H27&lt;&gt;"Sim"),"Condição exige TR","")))</f>
        <v/>
      </c>
      <c r="O27">
        <f>IF(ISBLANK(DADOS_AM!$BC$27),"",DADOS_AM!$BC$27)</f>
        <v/>
      </c>
      <c r="P27">
        <f>IF(ISBLANK(DADOS_AM!$BD$27),"",DADOS_AM!$BD$27)</f>
        <v/>
      </c>
      <c r="Q27">
        <f>IF(ISBLANK(DADOS_AM!$BE$27),"",DADOS_AM!$BE$27)</f>
        <v/>
      </c>
      <c r="R27">
        <f>IF(ISBLANK(DADOS_AM!$BF$27),"",DADOS_AM!$BF$27)</f>
        <v/>
      </c>
      <c r="S27">
        <f>IF(ISBLANK(DADOS_AM!$BG$27),"",DADOS_AM!$BG$27)</f>
        <v/>
      </c>
      <c r="T27">
        <f>IF(ISBLANK(DADOS_AM!$BH$27),"",DADOS_AM!$BH$27)</f>
        <v/>
      </c>
      <c r="U27">
        <f>IF(ISBLANK(DADOS_AM!$BI$27),"",DADOS_AM!$BI$27)</f>
        <v/>
      </c>
      <c r="V27">
        <f>IF(ISBLANK(DADOS_AM!$BJ$27),"",DADOS_AM!$BJ$27)</f>
        <v/>
      </c>
      <c r="W27">
        <f>IF(ISBLANK(DADOS_AM!$BK$27),"",DADOS_AM!$BK$27)</f>
        <v/>
      </c>
      <c r="X27" t="inlineStr">
        <is>
          <t>Agarrado</t>
        </is>
      </c>
      <c r="Y27" t="n">
        <v>0</v>
      </c>
      <c r="AG27">
        <f>O27</f>
        <v/>
      </c>
      <c r="AH27">
        <f>P27</f>
        <v/>
      </c>
      <c r="AI27">
        <f>Q27</f>
        <v/>
      </c>
      <c r="AJ27">
        <f>T27</f>
        <v/>
      </c>
      <c r="AK27">
        <f>Y27</f>
        <v/>
      </c>
      <c r="AL27">
        <f>W27</f>
        <v/>
      </c>
      <c r="AN27">
        <f>IF(OR(P27="",P27='DADOS_INVOC'!$EL$2,P27='DADOS_INVOC'!$EM$2,P27='DADOS_INVOC'!$EN$2,P27='DADOS_INVOC'!$EO$2,P27='DADOS_INVOC'!$EP$2,P27='DADOS_INVOC'!$QV$2,P27='DADOS_INVOC'!$QW$2,P27='DADOS_INVOC'!$QX$2,P27='DADOS_INVOC'!$QY$2),O27,"")</f>
        <v/>
      </c>
      <c r="AO27">
        <f>IF(AND(Q27=1,OR(P27="",P27='DADOS_INVOC'!$EL$2,P27='DADOS_INVOC'!$EM$2,P27='DADOS_INVOC'!$EN$2,P27='DADOS_INVOC'!$EO$2,P27='DADOS_INVOC'!$EP$2,P27='DADOS_INVOC'!$QV$2,P27='DADOS_INVOC'!$QW$2,P27='DADOS_INVOC'!$QX$2,P27='DADOS_INVOC'!$QY$2)),O27,"")</f>
        <v/>
      </c>
      <c r="AP27">
        <f>IF(OR(P27="",P27='DADOS_INVOC'!$EL$3,P27='DADOS_INVOC'!$EM$3,P27='DADOS_INVOC'!$EN$3,P27='DADOS_INVOC'!$EO$3,P27='DADOS_INVOC'!$EP$3,P27='DADOS_INVOC'!$QV$3,P27='DADOS_INVOC'!$QW$3,P27='DADOS_INVOC'!$QX$3,P27='DADOS_INVOC'!$QY$3),O27,"")</f>
        <v/>
      </c>
      <c r="AQ27">
        <f>IF(AND(Q27=1,OR(P27="",P27='DADOS_INVOC'!$EL$3,P27='DADOS_INVOC'!$EM$3,P27='DADOS_INVOC'!$EN$3,P27='DADOS_INVOC'!$EO$3,P27='DADOS_INVOC'!$EP$3,P27='DADOS_INVOC'!$QV$3,P27='DADOS_INVOC'!$QW$3,P27='DADOS_INVOC'!$QX$3,P27='DADOS_INVOC'!$QY$3)),O27,"")</f>
        <v/>
      </c>
      <c r="AR27">
        <f>IF(OR(P27="",P27='DADOS_INVOC'!$EL$4,P27='DADOS_INVOC'!$EM$4,P27='DADOS_INVOC'!$EN$4,P27='DADOS_INVOC'!$EO$4,P27='DADOS_INVOC'!$EP$4,P27='DADOS_INVOC'!$QV$4,P27='DADOS_INVOC'!$QW$4,P27='DADOS_INVOC'!$QX$4,P27='DADOS_INVOC'!$QY$4),O27,"")</f>
        <v/>
      </c>
      <c r="AS27">
        <f>IF(AND(Q27=1,OR(P27="",P27='DADOS_INVOC'!$EL$4,P27='DADOS_INVOC'!$EM$4,P27='DADOS_INVOC'!$EN$4,P27='DADOS_INVOC'!$EO$4,P27='DADOS_INVOC'!$EP$4,P27='DADOS_INVOC'!$QV$4,P27='DADOS_INVOC'!$QW$4,P27='DADOS_INVOC'!$QX$4,P27='DADOS_INVOC'!$QY$4)),O27,"")</f>
        <v/>
      </c>
      <c r="AT27">
        <f>IF(OR(P27="",P27='DADOS_INVOC'!$EL$5,P27='DADOS_INVOC'!$EM$5,P27='DADOS_INVOC'!$EN$5,P27='DADOS_INVOC'!$EO$5,P27='DADOS_INVOC'!$EP$5,P27='DADOS_INVOC'!$QV$5,P27='DADOS_INVOC'!$QW$5,P27='DADOS_INVOC'!$QX$5,P27='DADOS_INVOC'!$QY$5),O27,"")</f>
        <v/>
      </c>
      <c r="AU27">
        <f>IF(AND(Q27=1,OR(P27="",P27='DADOS_INVOC'!$EL$5,P27='DADOS_INVOC'!$EM$5,P27='DADOS_INVOC'!$EN$5,P27='DADOS_INVOC'!$EO$5,P27='DADOS_INVOC'!$EP$5,P27='DADOS_INVOC'!$QV$5,P27='DADOS_INVOC'!$QW$5,P27='DADOS_INVOC'!$QX$5,P27='DADOS_INVOC'!$QY$5)),O27,"")</f>
        <v/>
      </c>
      <c r="AV27">
        <f>IF(OR(P27="",P27='DADOS_INVOC'!$EL$6,P27='DADOS_INVOC'!$EM$6,P27='DADOS_INVOC'!$EN$6,P27='DADOS_INVOC'!$EO$6,P27='DADOS_INVOC'!$EP$6,P27='DADOS_INVOC'!$QV$6,P27='DADOS_INVOC'!$QW$6,P27='DADOS_INVOC'!$QX$6,P27='DADOS_INVOC'!$QY$6),O27,"")</f>
        <v/>
      </c>
      <c r="AW27">
        <f>IF(AND(Q27=1,OR(P27="",P27='DADOS_INVOC'!$EL$6,P27='DADOS_INVOC'!$EM$6,P27='DADOS_INVOC'!$EN$6,P27='DADOS_INVOC'!$EO$6,P27='DADOS_INVOC'!$EP$6,P27='DADOS_INVOC'!$QV$6,P27='DADOS_INVOC'!$QW$6,P27='DADOS_INVOC'!$QX$6,P27='DADOS_INVOC'!$QY$6)),O27,"")</f>
        <v/>
      </c>
      <c r="AX27">
        <f>IF(OR(P27="",P27='DADOS_INVOC'!$EL$7,P27='DADOS_INVOC'!$EM$7,P27='DADOS_INVOC'!$EN$7,P27='DADOS_INVOC'!$EO$7,P27='DADOS_INVOC'!$EP$7,P27='DADOS_INVOC'!$QV$7,P27='DADOS_INVOC'!$QW$7,P27='DADOS_INVOC'!$QX$7,P27='DADOS_INVOC'!$QY$7),O27,"")</f>
        <v/>
      </c>
      <c r="AY27">
        <f>IF(AND(Q27=1,OR(P27="",P27='DADOS_INVOC'!$EL$7,P27='DADOS_INVOC'!$EM$7,P27='DADOS_INVOC'!$EN$7,P27='DADOS_INVOC'!$EO$7,P27='DADOS_INVOC'!$EP$7,P27='DADOS_INVOC'!$QV$7,P27='DADOS_INVOC'!$QW$7,P27='DADOS_INVOC'!$QX$7,P27='DADOS_INVOC'!$QY$7)),O27,"")</f>
        <v/>
      </c>
      <c r="AZ27">
        <f>IF(OR(P27="",P27='DADOS_INVOC'!$EL$8,P27='DADOS_INVOC'!$EM$8,P27='DADOS_INVOC'!$EN$8,P27='DADOS_INVOC'!$EO$8,P27='DADOS_INVOC'!$EP$8,P27='DADOS_INVOC'!$QV$8,P27='DADOS_INVOC'!$QW$8,P27='DADOS_INVOC'!$QX$8,P27='DADOS_INVOC'!$QY$8),O27,"")</f>
        <v/>
      </c>
      <c r="BA27">
        <f>IF(AND(Q27=1,OR(P27="",P27='DADOS_INVOC'!$EL$8,P27='DADOS_INVOC'!$EM$8,P27='DADOS_INVOC'!$EN$8,P27='DADOS_INVOC'!$EO$8,P27='DADOS_INVOC'!$EP$8,P27='DADOS_INVOC'!$QV$8,P27='DADOS_INVOC'!$QW$8,P27='DADOS_INVOC'!$QX$8,P27='DADOS_INVOC'!$QY$8)),O27,"")</f>
        <v/>
      </c>
      <c r="BB27">
        <f>IF(OR(P27="",P27='DADOS_INVOC'!$EL$9,P27='DADOS_INVOC'!$EM$9,P27='DADOS_INVOC'!$EN$9,P27='DADOS_INVOC'!$EO$9,P27='DADOS_INVOC'!$EP$9,P27='DADOS_INVOC'!$QV$9,P27='DADOS_INVOC'!$QW$9,P27='DADOS_INVOC'!$QX$9,P27='DADOS_INVOC'!$QY$9),O27,"")</f>
        <v/>
      </c>
      <c r="BC27">
        <f>IF(AND(Q27=1,OR(P27="",P27='DADOS_INVOC'!$EL$9,P27='DADOS_INVOC'!$EM$9,P27='DADOS_INVOC'!$EN$9,P27='DADOS_INVOC'!$EO$9,P27='DADOS_INVOC'!$EP$9,P27='DADOS_INVOC'!$QV$9,P27='DADOS_INVOC'!$QW$9,P27='DADOS_INVOC'!$QX$9,P27='DADOS_INVOC'!$QY$9)),O27,"")</f>
        <v/>
      </c>
      <c r="BD27">
        <f>IF(OR(P27="",P27='DADOS_INVOC'!$EL$10,P27='DADOS_INVOC'!$EM$10,P27='DADOS_INVOC'!$EN$10,P27='DADOS_INVOC'!$EO$10,P27='DADOS_INVOC'!$EP$10,P27='DADOS_INVOC'!$QV$10,P27='DADOS_INVOC'!$QW$10,P27='DADOS_INVOC'!$QX$10,P27='DADOS_INVOC'!$QY$10),O27,"")</f>
        <v/>
      </c>
      <c r="BE27">
        <f>IF(AND(Q27=1,OR(P27="",P27='DADOS_INVOC'!$EL$10,P27='DADOS_INVOC'!$EM$10,P27='DADOS_INVOC'!$EN$10,P27='DADOS_INVOC'!$EO$10,P27='DADOS_INVOC'!$EP$10,P27='DADOS_INVOC'!$QV$10,P27='DADOS_INVOC'!$QW$10,P27='DADOS_INVOC'!$QX$10,P27='DADOS_INVOC'!$QY$10)),O27,"")</f>
        <v/>
      </c>
      <c r="BF27">
        <f>IF(OR(P27="",P27='DADOS_INVOC'!$EL$11,P27='DADOS_INVOC'!$EM$11,P27='DADOS_INVOC'!$EN$11,P27='DADOS_INVOC'!$EO$11,P27='DADOS_INVOC'!$EP$11,P27='DADOS_INVOC'!$QV$11,P27='DADOS_INVOC'!$QW$11,P27='DADOS_INVOC'!$QX$11,P27='DADOS_INVOC'!$QY$11),O27,"")</f>
        <v/>
      </c>
      <c r="BG27">
        <f>IF(AND(Q27=1,OR(P27="",P27='DADOS_INVOC'!$EL$11,P27='DADOS_INVOC'!$EM$11,P27='DADOS_INVOC'!$EN$11,P27='DADOS_INVOC'!$EO$11,P27='DADOS_INVOC'!$EP$11,P27='DADOS_INVOC'!$QV$11,P27='DADOS_INVOC'!$QW$11,P27='DADOS_INVOC'!$QX$11,P27='DADOS_INVOC'!$QY$11)),O27,"")</f>
        <v/>
      </c>
      <c r="BH27">
        <f>IF(OR(P27="",P27='DADOS_INVOC'!$EL$12,P27='DADOS_INVOC'!$EM$12,P27='DADOS_INVOC'!$EN$12,P27='DADOS_INVOC'!$EO$12,P27='DADOS_INVOC'!$EP$12,P27='DADOS_INVOC'!$QV$12,P27='DADOS_INVOC'!$QW$12,P27='DADOS_INVOC'!$QX$12,P27='DADOS_INVOC'!$QY$12),O27,"")</f>
        <v/>
      </c>
      <c r="BI27">
        <f>IF(AND(Q27=1,OR(P27="",P27='DADOS_INVOC'!$EL$12,P27='DADOS_INVOC'!$EM$12,P27='DADOS_INVOC'!$EN$12,P27='DADOS_INVOC'!$EO$12,P27='DADOS_INVOC'!$EP$12,P27='DADOS_INVOC'!$QV$12,P27='DADOS_INVOC'!$QW$12,P27='DADOS_INVOC'!$QX$12,P27='DADOS_INVOC'!$QY$12)),O27,"")</f>
        <v/>
      </c>
      <c r="BJ27">
        <f>IF(OR(P27="",P27='DADOS_INVOC'!$EL$13,P27='DADOS_INVOC'!$EM$13,P27='DADOS_INVOC'!$EN$13,P27='DADOS_INVOC'!$EO$13,P27='DADOS_INVOC'!$EP$13,P27='DADOS_INVOC'!$QV$13,P27='DADOS_INVOC'!$QW$13,P27='DADOS_INVOC'!$QX$13,P27='DADOS_INVOC'!$QY$13),O27,"")</f>
        <v/>
      </c>
      <c r="BK27">
        <f>IF(AND(Q27=1,OR(P27="",P27='DADOS_INVOC'!$EL$13,P27='DADOS_INVOC'!$EM$13,P27='DADOS_INVOC'!$EN$13,P27='DADOS_INVOC'!$EO$13,P27='DADOS_INVOC'!$EP$13,P27='DADOS_INVOC'!$QV$13,P27='DADOS_INVOC'!$QW$13,P27='DADOS_INVOC'!$QX$13,P27='DADOS_INVOC'!$QY$13)),O27,"")</f>
        <v/>
      </c>
      <c r="BP27" t="inlineStr">
        <is>
          <t>Derrubado</t>
        </is>
      </c>
      <c r="BR27">
        <f>IF(OR(ISBLANK('CONFIGURAÇÃO'!$DI$325),'CONFIGURAÇÃO'!$DI$325=""),"Melhoria",'CONFIGURAÇÃO'!$DI$325)</f>
        <v/>
      </c>
    </row>
    <row r="28">
      <c r="A28" t="n">
        <v>1349</v>
      </c>
      <c r="B28" t="n">
        <v>0</v>
      </c>
      <c r="C28" t="n">
        <v>27</v>
      </c>
      <c r="D28">
        <f>IF(ISBLANK('CONFIGURAÇÃO'!$DA$353),"",'CONFIGURAÇÃO'!$DA$353)</f>
        <v/>
      </c>
      <c r="E28">
        <f>IF(ISBLANK('CONFIGURAÇÃO'!$DD$354),"",'CONFIGURAÇÃO'!$DD$354)</f>
        <v/>
      </c>
      <c r="F28">
        <f>IF(ISBLANK('CONFIGURAÇÃO'!$DD$355),"",'CONFIGURAÇÃO'!$DD$355)</f>
        <v/>
      </c>
      <c r="G28">
        <f>IF(ISBLANK('CONFIGURAÇÃO'!$DD$356),"",'CONFIGURAÇÃO'!$DD$356)</f>
        <v/>
      </c>
      <c r="H28">
        <f>IF(ISBLANK('CONFIGURAÇÃO'!$DD$357),"",'CONFIGURAÇÃO'!$DD$357)</f>
        <v/>
      </c>
      <c r="I28">
        <f>IF(ISBLANK('CONFIGURAÇÃO'!$DA$360),"",'CONFIGURAÇÃO'!$DA$360)</f>
        <v/>
      </c>
      <c r="J28">
        <f>IF(ISBLANK('CONFIGURAÇÃO'!$DA$366),"",'CONFIGURAÇÃO'!$DA$366)</f>
        <v/>
      </c>
      <c r="K28">
        <f>IF(ISBLANK('CONFIGURAÇÃO'!$DE$351),"",'CONFIGURAÇÃO'!$DE$351)</f>
        <v/>
      </c>
      <c r="L28">
        <f>IF(OR(E28="",E28="Nenhuma"),0,IFERROR(MATCH(SUBSTITUTE(SUBSTITUTE(SUBSTITUTE(E28,"~","~~"),"*","~*"),"?","~?"),'DADOS_MELHORIAS'!$O$2:$O$83,0),-1))</f>
        <v/>
      </c>
      <c r="M28">
        <f>IF(D28="",IF(BR28&lt;&gt;"Melhoria","Preencha NOME",IF(D28="",IF(OR(I28&lt;&gt;"",J28&lt;&gt;"",F28&lt;&gt;"",G28&lt;&gt;"",H28&lt;&gt;"",K28=TRUE,AND(E28&lt;&gt;"",E28&lt;&gt;"Nenhuma")),"Preencha NOME",""),TEXTJOIN(" · ",TRUE,IF(OR(NOT(ISTEXT(D28)),TRIM(D28)&lt;&gt;D28),"NOME precisa ser texto sem espaços nas pontas",""),IF(COUNTIF($D$2:$D$31,SUBSTITUTE(SUBSTITUTE(SUBSTITUTE(D28,"~","~~"),"*","~*"),"?","~?"))+COUNTIF('DADOS_MELHORIAS'!$O$2:$O$83,SUBSTITUTE(SUBSTITUTE(SUBSTITUTE(D28,"~","~~"),"*","~*"),"?","~?"))&gt;1,"Nome repetido no livro ou custom",""),IF(L28&lt;0,"Escolha uma BASE DO LIVRO válida",""),IF(ISLOGICAL(K28),"","MESTRE VIU deve ser caixa de seleção"),IF(AND(G28="",L28&lt;=0),"Escolha PESO",""),IF(AND(G28&lt;&gt;"",COUNTIF('DADOS_MELHORIAS'!$BN$2:$BN$4,SUBSTITUTE(SUBSTITUTE(SUBSTITUTE(G28,"~","~~"),"*","~*"),"?","~?"))&lt;&gt;1),"Peso ou devolução inválido",""),IF(AND(H28&lt;&gt;"",H28&lt;&gt;"Sim",H28&lt;&gt;"Não"),"Escolha Sim ou Não",""),IF(AND(F28&lt;&gt;"",COUNTIF('DADOS_MELHORIAS'!$BM$2:$BM$21,SUBSTITUTE(SUBSTITUTE(SUBSTITUTE(F28,"~","~~"),"*","~*"),"?","~?"))&lt;&gt;1),"Família não cadastrada ou com erro","")))),TEXTJOIN(" · ",TRUE,IF(D28="",IF(OR(I28&lt;&gt;"",J28&lt;&gt;"",F28&lt;&gt;"",G28&lt;&gt;"",H28&lt;&gt;"",K28=TRUE,AND(E28&lt;&gt;"",E28&lt;&gt;"Nenhuma")),"Preencha NOME",""),TEXTJOIN(" · ",TRUE,IF(OR(NOT(ISTEXT(D28)),TRIM(D28)&lt;&gt;D28),"NOME precisa ser texto sem espaços nas pontas",""),IF(COUNTIF($D$2:$D$31,SUBSTITUTE(SUBSTITUTE(SUBSTITUTE(D28,"~","~~"),"*","~*"),"?","~?"))+COUNTIF('DADOS_MELHORIAS'!$O$2:$O$83,SUBSTITUTE(SUBSTITUTE(SUBSTITUTE(D28,"~","~~"),"*","~*"),"?","~?"))&gt;1,"Nome repetido no livro ou custom",""),IF(L28&lt;0,"Escolha uma BASE DO LIVRO válida",""),IF(ISLOGICAL(K28),"","MESTRE VIU deve ser caixa de seleção"),IF(AND(G28="",L28&lt;=0),"Escolha PESO",""),IF(AND(G28&lt;&gt;"",COUNTIF('DADOS_MELHORIAS'!$BN$2:$BN$4,SUBSTITUTE(SUBSTITUTE(SUBSTITUTE(G28,"~","~~"),"*","~*"),"?","~?"))&lt;&gt;1),"Peso ou devolução inválido",""),IF(AND(H28&lt;&gt;"",H28&lt;&gt;"Sim",H28&lt;&gt;"Não"),"Escolha Sim ou Não",""),IF(AND(F28&lt;&gt;"",COUNTIF('DADOS_MELHORIAS'!$BM$2:$BM$21,SUBSTITUTE(SUBSTITUTE(SUBSTITUTE(F28,"~","~~"),"*","~*"),"?","~?"))&lt;&gt;1),"Família não cadastrada ou com erro",""))),IF(AND(BR28&lt;&gt;"Melhoria",BR28&lt;&gt;"Condição"),"Modalidade inválida",""),IF(AND(BR28="Condição",E28&lt;&gt;"",E28&lt;&gt;"Nenhuma",COUNTIF('DADOS_MELHORIAS'!$BU$2:$BU$15,SUBSTITUTE(SUBSTITUTE(SUBSTITUTE(E28,"~","~~"),"*","~*"),"?","~?"))&lt;&gt;1),"Base de Condição inválida",""),IF(AND(BR28="Condição",H28&lt;&gt;"",H28&lt;&gt;"Sim"),"Condição exige TR","")))</f>
        <v/>
      </c>
      <c r="O28">
        <f>IF(ISBLANK(DADOS_AM!$BC$28),"",DADOS_AM!$BC$28)</f>
        <v/>
      </c>
      <c r="P28">
        <f>IF(ISBLANK(DADOS_AM!$BD$28),"",DADOS_AM!$BD$28)</f>
        <v/>
      </c>
      <c r="Q28">
        <f>IF(ISBLANK(DADOS_AM!$BE$28),"",DADOS_AM!$BE$28)</f>
        <v/>
      </c>
      <c r="R28">
        <f>IF(ISBLANK(DADOS_AM!$BF$28),"",DADOS_AM!$BF$28)</f>
        <v/>
      </c>
      <c r="S28">
        <f>IF(ISBLANK(DADOS_AM!$BG$28),"",DADOS_AM!$BG$28)</f>
        <v/>
      </c>
      <c r="T28">
        <f>IF(ISBLANK(DADOS_AM!$BH$28),"",DADOS_AM!$BH$28)</f>
        <v/>
      </c>
      <c r="U28">
        <f>IF(ISBLANK(DADOS_AM!$BI$28),"",DADOS_AM!$BI$28)</f>
        <v/>
      </c>
      <c r="V28">
        <f>IF(ISBLANK(DADOS_AM!$BJ$28),"",DADOS_AM!$BJ$28)</f>
        <v/>
      </c>
      <c r="W28">
        <f>IF(ISBLANK(DADOS_AM!$BK$28),"",DADOS_AM!$BK$28)</f>
        <v/>
      </c>
      <c r="X28" t="inlineStr">
        <is>
          <t>Desarmado</t>
        </is>
      </c>
      <c r="Y28" t="n">
        <v>0</v>
      </c>
      <c r="AG28">
        <f>O28</f>
        <v/>
      </c>
      <c r="AH28">
        <f>P28</f>
        <v/>
      </c>
      <c r="AI28">
        <f>Q28</f>
        <v/>
      </c>
      <c r="AJ28">
        <f>T28</f>
        <v/>
      </c>
      <c r="AK28">
        <f>Y28</f>
        <v/>
      </c>
      <c r="AL28">
        <f>W28</f>
        <v/>
      </c>
      <c r="AN28">
        <f>IF(OR(P28="",P28='DADOS_INVOC'!$EL$2,P28='DADOS_INVOC'!$EM$2,P28='DADOS_INVOC'!$EN$2,P28='DADOS_INVOC'!$EO$2,P28='DADOS_INVOC'!$EP$2,P28='DADOS_INVOC'!$QV$2,P28='DADOS_INVOC'!$QW$2,P28='DADOS_INVOC'!$QX$2,P28='DADOS_INVOC'!$QY$2),O28,"")</f>
        <v/>
      </c>
      <c r="AO28">
        <f>IF(AND(Q28=1,OR(P28="",P28='DADOS_INVOC'!$EL$2,P28='DADOS_INVOC'!$EM$2,P28='DADOS_INVOC'!$EN$2,P28='DADOS_INVOC'!$EO$2,P28='DADOS_INVOC'!$EP$2,P28='DADOS_INVOC'!$QV$2,P28='DADOS_INVOC'!$QW$2,P28='DADOS_INVOC'!$QX$2,P28='DADOS_INVOC'!$QY$2)),O28,"")</f>
        <v/>
      </c>
      <c r="AP28">
        <f>IF(OR(P28="",P28='DADOS_INVOC'!$EL$3,P28='DADOS_INVOC'!$EM$3,P28='DADOS_INVOC'!$EN$3,P28='DADOS_INVOC'!$EO$3,P28='DADOS_INVOC'!$EP$3,P28='DADOS_INVOC'!$QV$3,P28='DADOS_INVOC'!$QW$3,P28='DADOS_INVOC'!$QX$3,P28='DADOS_INVOC'!$QY$3),O28,"")</f>
        <v/>
      </c>
      <c r="AQ28">
        <f>IF(AND(Q28=1,OR(P28="",P28='DADOS_INVOC'!$EL$3,P28='DADOS_INVOC'!$EM$3,P28='DADOS_INVOC'!$EN$3,P28='DADOS_INVOC'!$EO$3,P28='DADOS_INVOC'!$EP$3,P28='DADOS_INVOC'!$QV$3,P28='DADOS_INVOC'!$QW$3,P28='DADOS_INVOC'!$QX$3,P28='DADOS_INVOC'!$QY$3)),O28,"")</f>
        <v/>
      </c>
      <c r="AR28">
        <f>IF(OR(P28="",P28='DADOS_INVOC'!$EL$4,P28='DADOS_INVOC'!$EM$4,P28='DADOS_INVOC'!$EN$4,P28='DADOS_INVOC'!$EO$4,P28='DADOS_INVOC'!$EP$4,P28='DADOS_INVOC'!$QV$4,P28='DADOS_INVOC'!$QW$4,P28='DADOS_INVOC'!$QX$4,P28='DADOS_INVOC'!$QY$4),O28,"")</f>
        <v/>
      </c>
      <c r="AS28">
        <f>IF(AND(Q28=1,OR(P28="",P28='DADOS_INVOC'!$EL$4,P28='DADOS_INVOC'!$EM$4,P28='DADOS_INVOC'!$EN$4,P28='DADOS_INVOC'!$EO$4,P28='DADOS_INVOC'!$EP$4,P28='DADOS_INVOC'!$QV$4,P28='DADOS_INVOC'!$QW$4,P28='DADOS_INVOC'!$QX$4,P28='DADOS_INVOC'!$QY$4)),O28,"")</f>
        <v/>
      </c>
      <c r="AT28">
        <f>IF(OR(P28="",P28='DADOS_INVOC'!$EL$5,P28='DADOS_INVOC'!$EM$5,P28='DADOS_INVOC'!$EN$5,P28='DADOS_INVOC'!$EO$5,P28='DADOS_INVOC'!$EP$5,P28='DADOS_INVOC'!$QV$5,P28='DADOS_INVOC'!$QW$5,P28='DADOS_INVOC'!$QX$5,P28='DADOS_INVOC'!$QY$5),O28,"")</f>
        <v/>
      </c>
      <c r="AU28">
        <f>IF(AND(Q28=1,OR(P28="",P28='DADOS_INVOC'!$EL$5,P28='DADOS_INVOC'!$EM$5,P28='DADOS_INVOC'!$EN$5,P28='DADOS_INVOC'!$EO$5,P28='DADOS_INVOC'!$EP$5,P28='DADOS_INVOC'!$QV$5,P28='DADOS_INVOC'!$QW$5,P28='DADOS_INVOC'!$QX$5,P28='DADOS_INVOC'!$QY$5)),O28,"")</f>
        <v/>
      </c>
      <c r="AV28">
        <f>IF(OR(P28="",P28='DADOS_INVOC'!$EL$6,P28='DADOS_INVOC'!$EM$6,P28='DADOS_INVOC'!$EN$6,P28='DADOS_INVOC'!$EO$6,P28='DADOS_INVOC'!$EP$6,P28='DADOS_INVOC'!$QV$6,P28='DADOS_INVOC'!$QW$6,P28='DADOS_INVOC'!$QX$6,P28='DADOS_INVOC'!$QY$6),O28,"")</f>
        <v/>
      </c>
      <c r="AW28">
        <f>IF(AND(Q28=1,OR(P28="",P28='DADOS_INVOC'!$EL$6,P28='DADOS_INVOC'!$EM$6,P28='DADOS_INVOC'!$EN$6,P28='DADOS_INVOC'!$EO$6,P28='DADOS_INVOC'!$EP$6,P28='DADOS_INVOC'!$QV$6,P28='DADOS_INVOC'!$QW$6,P28='DADOS_INVOC'!$QX$6,P28='DADOS_INVOC'!$QY$6)),O28,"")</f>
        <v/>
      </c>
      <c r="AX28">
        <f>IF(OR(P28="",P28='DADOS_INVOC'!$EL$7,P28='DADOS_INVOC'!$EM$7,P28='DADOS_INVOC'!$EN$7,P28='DADOS_INVOC'!$EO$7,P28='DADOS_INVOC'!$EP$7,P28='DADOS_INVOC'!$QV$7,P28='DADOS_INVOC'!$QW$7,P28='DADOS_INVOC'!$QX$7,P28='DADOS_INVOC'!$QY$7),O28,"")</f>
        <v/>
      </c>
      <c r="AY28">
        <f>IF(AND(Q28=1,OR(P28="",P28='DADOS_INVOC'!$EL$7,P28='DADOS_INVOC'!$EM$7,P28='DADOS_INVOC'!$EN$7,P28='DADOS_INVOC'!$EO$7,P28='DADOS_INVOC'!$EP$7,P28='DADOS_INVOC'!$QV$7,P28='DADOS_INVOC'!$QW$7,P28='DADOS_INVOC'!$QX$7,P28='DADOS_INVOC'!$QY$7)),O28,"")</f>
        <v/>
      </c>
      <c r="AZ28">
        <f>IF(OR(P28="",P28='DADOS_INVOC'!$EL$8,P28='DADOS_INVOC'!$EM$8,P28='DADOS_INVOC'!$EN$8,P28='DADOS_INVOC'!$EO$8,P28='DADOS_INVOC'!$EP$8,P28='DADOS_INVOC'!$QV$8,P28='DADOS_INVOC'!$QW$8,P28='DADOS_INVOC'!$QX$8,P28='DADOS_INVOC'!$QY$8),O28,"")</f>
        <v/>
      </c>
      <c r="BA28">
        <f>IF(AND(Q28=1,OR(P28="",P28='DADOS_INVOC'!$EL$8,P28='DADOS_INVOC'!$EM$8,P28='DADOS_INVOC'!$EN$8,P28='DADOS_INVOC'!$EO$8,P28='DADOS_INVOC'!$EP$8,P28='DADOS_INVOC'!$QV$8,P28='DADOS_INVOC'!$QW$8,P28='DADOS_INVOC'!$QX$8,P28='DADOS_INVOC'!$QY$8)),O28,"")</f>
        <v/>
      </c>
      <c r="BB28">
        <f>IF(OR(P28="",P28='DADOS_INVOC'!$EL$9,P28='DADOS_INVOC'!$EM$9,P28='DADOS_INVOC'!$EN$9,P28='DADOS_INVOC'!$EO$9,P28='DADOS_INVOC'!$EP$9,P28='DADOS_INVOC'!$QV$9,P28='DADOS_INVOC'!$QW$9,P28='DADOS_INVOC'!$QX$9,P28='DADOS_INVOC'!$QY$9),O28,"")</f>
        <v/>
      </c>
      <c r="BC28">
        <f>IF(AND(Q28=1,OR(P28="",P28='DADOS_INVOC'!$EL$9,P28='DADOS_INVOC'!$EM$9,P28='DADOS_INVOC'!$EN$9,P28='DADOS_INVOC'!$EO$9,P28='DADOS_INVOC'!$EP$9,P28='DADOS_INVOC'!$QV$9,P28='DADOS_INVOC'!$QW$9,P28='DADOS_INVOC'!$QX$9,P28='DADOS_INVOC'!$QY$9)),O28,"")</f>
        <v/>
      </c>
      <c r="BD28">
        <f>IF(OR(P28="",P28='DADOS_INVOC'!$EL$10,P28='DADOS_INVOC'!$EM$10,P28='DADOS_INVOC'!$EN$10,P28='DADOS_INVOC'!$EO$10,P28='DADOS_INVOC'!$EP$10,P28='DADOS_INVOC'!$QV$10,P28='DADOS_INVOC'!$QW$10,P28='DADOS_INVOC'!$QX$10,P28='DADOS_INVOC'!$QY$10),O28,"")</f>
        <v/>
      </c>
      <c r="BE28">
        <f>IF(AND(Q28=1,OR(P28="",P28='DADOS_INVOC'!$EL$10,P28='DADOS_INVOC'!$EM$10,P28='DADOS_INVOC'!$EN$10,P28='DADOS_INVOC'!$EO$10,P28='DADOS_INVOC'!$EP$10,P28='DADOS_INVOC'!$QV$10,P28='DADOS_INVOC'!$QW$10,P28='DADOS_INVOC'!$QX$10,P28='DADOS_INVOC'!$QY$10)),O28,"")</f>
        <v/>
      </c>
      <c r="BF28">
        <f>IF(OR(P28="",P28='DADOS_INVOC'!$EL$11,P28='DADOS_INVOC'!$EM$11,P28='DADOS_INVOC'!$EN$11,P28='DADOS_INVOC'!$EO$11,P28='DADOS_INVOC'!$EP$11,P28='DADOS_INVOC'!$QV$11,P28='DADOS_INVOC'!$QW$11,P28='DADOS_INVOC'!$QX$11,P28='DADOS_INVOC'!$QY$11),O28,"")</f>
        <v/>
      </c>
      <c r="BG28">
        <f>IF(AND(Q28=1,OR(P28="",P28='DADOS_INVOC'!$EL$11,P28='DADOS_INVOC'!$EM$11,P28='DADOS_INVOC'!$EN$11,P28='DADOS_INVOC'!$EO$11,P28='DADOS_INVOC'!$EP$11,P28='DADOS_INVOC'!$QV$11,P28='DADOS_INVOC'!$QW$11,P28='DADOS_INVOC'!$QX$11,P28='DADOS_INVOC'!$QY$11)),O28,"")</f>
        <v/>
      </c>
      <c r="BH28">
        <f>IF(OR(P28="",P28='DADOS_INVOC'!$EL$12,P28='DADOS_INVOC'!$EM$12,P28='DADOS_INVOC'!$EN$12,P28='DADOS_INVOC'!$EO$12,P28='DADOS_INVOC'!$EP$12,P28='DADOS_INVOC'!$QV$12,P28='DADOS_INVOC'!$QW$12,P28='DADOS_INVOC'!$QX$12,P28='DADOS_INVOC'!$QY$12),O28,"")</f>
        <v/>
      </c>
      <c r="BI28">
        <f>IF(AND(Q28=1,OR(P28="",P28='DADOS_INVOC'!$EL$12,P28='DADOS_INVOC'!$EM$12,P28='DADOS_INVOC'!$EN$12,P28='DADOS_INVOC'!$EO$12,P28='DADOS_INVOC'!$EP$12,P28='DADOS_INVOC'!$QV$12,P28='DADOS_INVOC'!$QW$12,P28='DADOS_INVOC'!$QX$12,P28='DADOS_INVOC'!$QY$12)),O28,"")</f>
        <v/>
      </c>
      <c r="BJ28">
        <f>IF(OR(P28="",P28='DADOS_INVOC'!$EL$13,P28='DADOS_INVOC'!$EM$13,P28='DADOS_INVOC'!$EN$13,P28='DADOS_INVOC'!$EO$13,P28='DADOS_INVOC'!$EP$13,P28='DADOS_INVOC'!$QV$13,P28='DADOS_INVOC'!$QW$13,P28='DADOS_INVOC'!$QX$13,P28='DADOS_INVOC'!$QY$13),O28,"")</f>
        <v/>
      </c>
      <c r="BK28">
        <f>IF(AND(Q28=1,OR(P28="",P28='DADOS_INVOC'!$EL$13,P28='DADOS_INVOC'!$EM$13,P28='DADOS_INVOC'!$EN$13,P28='DADOS_INVOC'!$EO$13,P28='DADOS_INVOC'!$EP$13,P28='DADOS_INVOC'!$QV$13,P28='DADOS_INVOC'!$QW$13,P28='DADOS_INVOC'!$QX$13,P28='DADOS_INVOC'!$QY$13)),O28,"")</f>
        <v/>
      </c>
      <c r="BP28" t="inlineStr">
        <is>
          <t>Agarrado</t>
        </is>
      </c>
      <c r="BR28">
        <f>IF(OR(ISBLANK('CONFIGURAÇÃO'!$DA$351),'CONFIGURAÇÃO'!$DA$351=""),"Melhoria",'CONFIGURAÇÃO'!$DA$351)</f>
        <v/>
      </c>
    </row>
    <row r="29">
      <c r="A29" t="n">
        <v>1349</v>
      </c>
      <c r="B29" t="n">
        <v>8</v>
      </c>
      <c r="C29" t="n">
        <v>28</v>
      </c>
      <c r="D29">
        <f>IF(ISBLANK('CONFIGURAÇÃO'!$DI$353),"",'CONFIGURAÇÃO'!$DI$353)</f>
        <v/>
      </c>
      <c r="E29">
        <f>IF(ISBLANK('CONFIGURAÇÃO'!$DL$354),"",'CONFIGURAÇÃO'!$DL$354)</f>
        <v/>
      </c>
      <c r="F29">
        <f>IF(ISBLANK('CONFIGURAÇÃO'!$DL$355),"",'CONFIGURAÇÃO'!$DL$355)</f>
        <v/>
      </c>
      <c r="G29">
        <f>IF(ISBLANK('CONFIGURAÇÃO'!$DL$356),"",'CONFIGURAÇÃO'!$DL$356)</f>
        <v/>
      </c>
      <c r="H29">
        <f>IF(ISBLANK('CONFIGURAÇÃO'!$DL$357),"",'CONFIGURAÇÃO'!$DL$357)</f>
        <v/>
      </c>
      <c r="I29">
        <f>IF(ISBLANK('CONFIGURAÇÃO'!$DI$360),"",'CONFIGURAÇÃO'!$DI$360)</f>
        <v/>
      </c>
      <c r="J29">
        <f>IF(ISBLANK('CONFIGURAÇÃO'!$DI$366),"",'CONFIGURAÇÃO'!$DI$366)</f>
        <v/>
      </c>
      <c r="K29">
        <f>IF(ISBLANK('CONFIGURAÇÃO'!$DM$351),"",'CONFIGURAÇÃO'!$DM$351)</f>
        <v/>
      </c>
      <c r="L29">
        <f>IF(OR(E29="",E29="Nenhuma"),0,IFERROR(MATCH(SUBSTITUTE(SUBSTITUTE(SUBSTITUTE(E29,"~","~~"),"*","~*"),"?","~?"),'DADOS_MELHORIAS'!$O$2:$O$83,0),-1))</f>
        <v/>
      </c>
      <c r="M29">
        <f>IF(D29="",IF(BR29&lt;&gt;"Melhoria","Preencha NOME",IF(D29="",IF(OR(I29&lt;&gt;"",J29&lt;&gt;"",F29&lt;&gt;"",G29&lt;&gt;"",H29&lt;&gt;"",K29=TRUE,AND(E29&lt;&gt;"",E29&lt;&gt;"Nenhuma")),"Preencha NOME",""),TEXTJOIN(" · ",TRUE,IF(OR(NOT(ISTEXT(D29)),TRIM(D29)&lt;&gt;D29),"NOME precisa ser texto sem espaços nas pontas",""),IF(COUNTIF($D$2:$D$31,SUBSTITUTE(SUBSTITUTE(SUBSTITUTE(D29,"~","~~"),"*","~*"),"?","~?"))+COUNTIF('DADOS_MELHORIAS'!$O$2:$O$83,SUBSTITUTE(SUBSTITUTE(SUBSTITUTE(D29,"~","~~"),"*","~*"),"?","~?"))&gt;1,"Nome repetido no livro ou custom",""),IF(L29&lt;0,"Escolha uma BASE DO LIVRO válida",""),IF(ISLOGICAL(K29),"","MESTRE VIU deve ser caixa de seleção"),IF(AND(G29="",L29&lt;=0),"Escolha PESO",""),IF(AND(G29&lt;&gt;"",COUNTIF('DADOS_MELHORIAS'!$BN$2:$BN$4,SUBSTITUTE(SUBSTITUTE(SUBSTITUTE(G29,"~","~~"),"*","~*"),"?","~?"))&lt;&gt;1),"Peso ou devolução inválido",""),IF(AND(H29&lt;&gt;"",H29&lt;&gt;"Sim",H29&lt;&gt;"Não"),"Escolha Sim ou Não",""),IF(AND(F29&lt;&gt;"",COUNTIF('DADOS_MELHORIAS'!$BM$2:$BM$21,SUBSTITUTE(SUBSTITUTE(SUBSTITUTE(F29,"~","~~"),"*","~*"),"?","~?"))&lt;&gt;1),"Família não cadastrada ou com erro","")))),TEXTJOIN(" · ",TRUE,IF(D29="",IF(OR(I29&lt;&gt;"",J29&lt;&gt;"",F29&lt;&gt;"",G29&lt;&gt;"",H29&lt;&gt;"",K29=TRUE,AND(E29&lt;&gt;"",E29&lt;&gt;"Nenhuma")),"Preencha NOME",""),TEXTJOIN(" · ",TRUE,IF(OR(NOT(ISTEXT(D29)),TRIM(D29)&lt;&gt;D29),"NOME precisa ser texto sem espaços nas pontas",""),IF(COUNTIF($D$2:$D$31,SUBSTITUTE(SUBSTITUTE(SUBSTITUTE(D29,"~","~~"),"*","~*"),"?","~?"))+COUNTIF('DADOS_MELHORIAS'!$O$2:$O$83,SUBSTITUTE(SUBSTITUTE(SUBSTITUTE(D29,"~","~~"),"*","~*"),"?","~?"))&gt;1,"Nome repetido no livro ou custom",""),IF(L29&lt;0,"Escolha uma BASE DO LIVRO válida",""),IF(ISLOGICAL(K29),"","MESTRE VIU deve ser caixa de seleção"),IF(AND(G29="",L29&lt;=0),"Escolha PESO",""),IF(AND(G29&lt;&gt;"",COUNTIF('DADOS_MELHORIAS'!$BN$2:$BN$4,SUBSTITUTE(SUBSTITUTE(SUBSTITUTE(G29,"~","~~"),"*","~*"),"?","~?"))&lt;&gt;1),"Peso ou devolução inválido",""),IF(AND(H29&lt;&gt;"",H29&lt;&gt;"Sim",H29&lt;&gt;"Não"),"Escolha Sim ou Não",""),IF(AND(F29&lt;&gt;"",COUNTIF('DADOS_MELHORIAS'!$BM$2:$BM$21,SUBSTITUTE(SUBSTITUTE(SUBSTITUTE(F29,"~","~~"),"*","~*"),"?","~?"))&lt;&gt;1),"Família não cadastrada ou com erro",""))),IF(AND(BR29&lt;&gt;"Melhoria",BR29&lt;&gt;"Condição"),"Modalidade inválida",""),IF(AND(BR29="Condição",E29&lt;&gt;"",E29&lt;&gt;"Nenhuma",COUNTIF('DADOS_MELHORIAS'!$BU$2:$BU$15,SUBSTITUTE(SUBSTITUTE(SUBSTITUTE(E29,"~","~~"),"*","~*"),"?","~?"))&lt;&gt;1),"Base de Condição inválida",""),IF(AND(BR29="Condição",H29&lt;&gt;"",H29&lt;&gt;"Sim"),"Condição exige TR","")))</f>
        <v/>
      </c>
      <c r="O29">
        <f>IF(ISBLANK(DADOS_AM!$BC$29),"",DADOS_AM!$BC$29)</f>
        <v/>
      </c>
      <c r="P29">
        <f>IF(ISBLANK(DADOS_AM!$BD$29),"",DADOS_AM!$BD$29)</f>
        <v/>
      </c>
      <c r="Q29">
        <f>IF(ISBLANK(DADOS_AM!$BE$29),"",DADOS_AM!$BE$29)</f>
        <v/>
      </c>
      <c r="R29">
        <f>IF(ISBLANK(DADOS_AM!$BF$29),"",DADOS_AM!$BF$29)</f>
        <v/>
      </c>
      <c r="S29">
        <f>IF(ISBLANK(DADOS_AM!$BG$29),"",DADOS_AM!$BG$29)</f>
        <v/>
      </c>
      <c r="T29">
        <f>IF(ISBLANK(DADOS_AM!$BH$29),"",DADOS_AM!$BH$29)</f>
        <v/>
      </c>
      <c r="U29">
        <f>IF(ISBLANK(DADOS_AM!$BI$29),"",DADOS_AM!$BI$29)</f>
        <v/>
      </c>
      <c r="V29">
        <f>IF(ISBLANK(DADOS_AM!$BJ$29),"",DADOS_AM!$BJ$29)</f>
        <v/>
      </c>
      <c r="W29">
        <f>IF(ISBLANK(DADOS_AM!$BK$29),"",DADOS_AM!$BK$29)</f>
        <v/>
      </c>
      <c r="X29" t="inlineStr">
        <is>
          <t>Surdo</t>
        </is>
      </c>
      <c r="Y29" t="n">
        <v>0</v>
      </c>
      <c r="AG29">
        <f>O29</f>
        <v/>
      </c>
      <c r="AH29">
        <f>P29</f>
        <v/>
      </c>
      <c r="AI29">
        <f>Q29</f>
        <v/>
      </c>
      <c r="AJ29">
        <f>T29</f>
        <v/>
      </c>
      <c r="AK29">
        <f>Y29</f>
        <v/>
      </c>
      <c r="AL29">
        <f>W29</f>
        <v/>
      </c>
      <c r="AN29">
        <f>IF(OR(P29="",P29='DADOS_INVOC'!$EL$2,P29='DADOS_INVOC'!$EM$2,P29='DADOS_INVOC'!$EN$2,P29='DADOS_INVOC'!$EO$2,P29='DADOS_INVOC'!$EP$2,P29='DADOS_INVOC'!$QV$2,P29='DADOS_INVOC'!$QW$2,P29='DADOS_INVOC'!$QX$2,P29='DADOS_INVOC'!$QY$2),O29,"")</f>
        <v/>
      </c>
      <c r="AO29">
        <f>IF(AND(Q29=1,OR(P29="",P29='DADOS_INVOC'!$EL$2,P29='DADOS_INVOC'!$EM$2,P29='DADOS_INVOC'!$EN$2,P29='DADOS_INVOC'!$EO$2,P29='DADOS_INVOC'!$EP$2,P29='DADOS_INVOC'!$QV$2,P29='DADOS_INVOC'!$QW$2,P29='DADOS_INVOC'!$QX$2,P29='DADOS_INVOC'!$QY$2)),O29,"")</f>
        <v/>
      </c>
      <c r="AP29">
        <f>IF(OR(P29="",P29='DADOS_INVOC'!$EL$3,P29='DADOS_INVOC'!$EM$3,P29='DADOS_INVOC'!$EN$3,P29='DADOS_INVOC'!$EO$3,P29='DADOS_INVOC'!$EP$3,P29='DADOS_INVOC'!$QV$3,P29='DADOS_INVOC'!$QW$3,P29='DADOS_INVOC'!$QX$3,P29='DADOS_INVOC'!$QY$3),O29,"")</f>
        <v/>
      </c>
      <c r="AQ29">
        <f>IF(AND(Q29=1,OR(P29="",P29='DADOS_INVOC'!$EL$3,P29='DADOS_INVOC'!$EM$3,P29='DADOS_INVOC'!$EN$3,P29='DADOS_INVOC'!$EO$3,P29='DADOS_INVOC'!$EP$3,P29='DADOS_INVOC'!$QV$3,P29='DADOS_INVOC'!$QW$3,P29='DADOS_INVOC'!$QX$3,P29='DADOS_INVOC'!$QY$3)),O29,"")</f>
        <v/>
      </c>
      <c r="AR29">
        <f>IF(OR(P29="",P29='DADOS_INVOC'!$EL$4,P29='DADOS_INVOC'!$EM$4,P29='DADOS_INVOC'!$EN$4,P29='DADOS_INVOC'!$EO$4,P29='DADOS_INVOC'!$EP$4,P29='DADOS_INVOC'!$QV$4,P29='DADOS_INVOC'!$QW$4,P29='DADOS_INVOC'!$QX$4,P29='DADOS_INVOC'!$QY$4),O29,"")</f>
        <v/>
      </c>
      <c r="AS29">
        <f>IF(AND(Q29=1,OR(P29="",P29='DADOS_INVOC'!$EL$4,P29='DADOS_INVOC'!$EM$4,P29='DADOS_INVOC'!$EN$4,P29='DADOS_INVOC'!$EO$4,P29='DADOS_INVOC'!$EP$4,P29='DADOS_INVOC'!$QV$4,P29='DADOS_INVOC'!$QW$4,P29='DADOS_INVOC'!$QX$4,P29='DADOS_INVOC'!$QY$4)),O29,"")</f>
        <v/>
      </c>
      <c r="AT29">
        <f>IF(OR(P29="",P29='DADOS_INVOC'!$EL$5,P29='DADOS_INVOC'!$EM$5,P29='DADOS_INVOC'!$EN$5,P29='DADOS_INVOC'!$EO$5,P29='DADOS_INVOC'!$EP$5,P29='DADOS_INVOC'!$QV$5,P29='DADOS_INVOC'!$QW$5,P29='DADOS_INVOC'!$QX$5,P29='DADOS_INVOC'!$QY$5),O29,"")</f>
        <v/>
      </c>
      <c r="AU29">
        <f>IF(AND(Q29=1,OR(P29="",P29='DADOS_INVOC'!$EL$5,P29='DADOS_INVOC'!$EM$5,P29='DADOS_INVOC'!$EN$5,P29='DADOS_INVOC'!$EO$5,P29='DADOS_INVOC'!$EP$5,P29='DADOS_INVOC'!$QV$5,P29='DADOS_INVOC'!$QW$5,P29='DADOS_INVOC'!$QX$5,P29='DADOS_INVOC'!$QY$5)),O29,"")</f>
        <v/>
      </c>
      <c r="AV29">
        <f>IF(OR(P29="",P29='DADOS_INVOC'!$EL$6,P29='DADOS_INVOC'!$EM$6,P29='DADOS_INVOC'!$EN$6,P29='DADOS_INVOC'!$EO$6,P29='DADOS_INVOC'!$EP$6,P29='DADOS_INVOC'!$QV$6,P29='DADOS_INVOC'!$QW$6,P29='DADOS_INVOC'!$QX$6,P29='DADOS_INVOC'!$QY$6),O29,"")</f>
        <v/>
      </c>
      <c r="AW29">
        <f>IF(AND(Q29=1,OR(P29="",P29='DADOS_INVOC'!$EL$6,P29='DADOS_INVOC'!$EM$6,P29='DADOS_INVOC'!$EN$6,P29='DADOS_INVOC'!$EO$6,P29='DADOS_INVOC'!$EP$6,P29='DADOS_INVOC'!$QV$6,P29='DADOS_INVOC'!$QW$6,P29='DADOS_INVOC'!$QX$6,P29='DADOS_INVOC'!$QY$6)),O29,"")</f>
        <v/>
      </c>
      <c r="AX29">
        <f>IF(OR(P29="",P29='DADOS_INVOC'!$EL$7,P29='DADOS_INVOC'!$EM$7,P29='DADOS_INVOC'!$EN$7,P29='DADOS_INVOC'!$EO$7,P29='DADOS_INVOC'!$EP$7,P29='DADOS_INVOC'!$QV$7,P29='DADOS_INVOC'!$QW$7,P29='DADOS_INVOC'!$QX$7,P29='DADOS_INVOC'!$QY$7),O29,"")</f>
        <v/>
      </c>
      <c r="AY29">
        <f>IF(AND(Q29=1,OR(P29="",P29='DADOS_INVOC'!$EL$7,P29='DADOS_INVOC'!$EM$7,P29='DADOS_INVOC'!$EN$7,P29='DADOS_INVOC'!$EO$7,P29='DADOS_INVOC'!$EP$7,P29='DADOS_INVOC'!$QV$7,P29='DADOS_INVOC'!$QW$7,P29='DADOS_INVOC'!$QX$7,P29='DADOS_INVOC'!$QY$7)),O29,"")</f>
        <v/>
      </c>
      <c r="AZ29">
        <f>IF(OR(P29="",P29='DADOS_INVOC'!$EL$8,P29='DADOS_INVOC'!$EM$8,P29='DADOS_INVOC'!$EN$8,P29='DADOS_INVOC'!$EO$8,P29='DADOS_INVOC'!$EP$8,P29='DADOS_INVOC'!$QV$8,P29='DADOS_INVOC'!$QW$8,P29='DADOS_INVOC'!$QX$8,P29='DADOS_INVOC'!$QY$8),O29,"")</f>
        <v/>
      </c>
      <c r="BA29">
        <f>IF(AND(Q29=1,OR(P29="",P29='DADOS_INVOC'!$EL$8,P29='DADOS_INVOC'!$EM$8,P29='DADOS_INVOC'!$EN$8,P29='DADOS_INVOC'!$EO$8,P29='DADOS_INVOC'!$EP$8,P29='DADOS_INVOC'!$QV$8,P29='DADOS_INVOC'!$QW$8,P29='DADOS_INVOC'!$QX$8,P29='DADOS_INVOC'!$QY$8)),O29,"")</f>
        <v/>
      </c>
      <c r="BB29">
        <f>IF(OR(P29="",P29='DADOS_INVOC'!$EL$9,P29='DADOS_INVOC'!$EM$9,P29='DADOS_INVOC'!$EN$9,P29='DADOS_INVOC'!$EO$9,P29='DADOS_INVOC'!$EP$9,P29='DADOS_INVOC'!$QV$9,P29='DADOS_INVOC'!$QW$9,P29='DADOS_INVOC'!$QX$9,P29='DADOS_INVOC'!$QY$9),O29,"")</f>
        <v/>
      </c>
      <c r="BC29">
        <f>IF(AND(Q29=1,OR(P29="",P29='DADOS_INVOC'!$EL$9,P29='DADOS_INVOC'!$EM$9,P29='DADOS_INVOC'!$EN$9,P29='DADOS_INVOC'!$EO$9,P29='DADOS_INVOC'!$EP$9,P29='DADOS_INVOC'!$QV$9,P29='DADOS_INVOC'!$QW$9,P29='DADOS_INVOC'!$QX$9,P29='DADOS_INVOC'!$QY$9)),O29,"")</f>
        <v/>
      </c>
      <c r="BD29">
        <f>IF(OR(P29="",P29='DADOS_INVOC'!$EL$10,P29='DADOS_INVOC'!$EM$10,P29='DADOS_INVOC'!$EN$10,P29='DADOS_INVOC'!$EO$10,P29='DADOS_INVOC'!$EP$10,P29='DADOS_INVOC'!$QV$10,P29='DADOS_INVOC'!$QW$10,P29='DADOS_INVOC'!$QX$10,P29='DADOS_INVOC'!$QY$10),O29,"")</f>
        <v/>
      </c>
      <c r="BE29">
        <f>IF(AND(Q29=1,OR(P29="",P29='DADOS_INVOC'!$EL$10,P29='DADOS_INVOC'!$EM$10,P29='DADOS_INVOC'!$EN$10,P29='DADOS_INVOC'!$EO$10,P29='DADOS_INVOC'!$EP$10,P29='DADOS_INVOC'!$QV$10,P29='DADOS_INVOC'!$QW$10,P29='DADOS_INVOC'!$QX$10,P29='DADOS_INVOC'!$QY$10)),O29,"")</f>
        <v/>
      </c>
      <c r="BF29">
        <f>IF(OR(P29="",P29='DADOS_INVOC'!$EL$11,P29='DADOS_INVOC'!$EM$11,P29='DADOS_INVOC'!$EN$11,P29='DADOS_INVOC'!$EO$11,P29='DADOS_INVOC'!$EP$11,P29='DADOS_INVOC'!$QV$11,P29='DADOS_INVOC'!$QW$11,P29='DADOS_INVOC'!$QX$11,P29='DADOS_INVOC'!$QY$11),O29,"")</f>
        <v/>
      </c>
      <c r="BG29">
        <f>IF(AND(Q29=1,OR(P29="",P29='DADOS_INVOC'!$EL$11,P29='DADOS_INVOC'!$EM$11,P29='DADOS_INVOC'!$EN$11,P29='DADOS_INVOC'!$EO$11,P29='DADOS_INVOC'!$EP$11,P29='DADOS_INVOC'!$QV$11,P29='DADOS_INVOC'!$QW$11,P29='DADOS_INVOC'!$QX$11,P29='DADOS_INVOC'!$QY$11)),O29,"")</f>
        <v/>
      </c>
      <c r="BH29">
        <f>IF(OR(P29="",P29='DADOS_INVOC'!$EL$12,P29='DADOS_INVOC'!$EM$12,P29='DADOS_INVOC'!$EN$12,P29='DADOS_INVOC'!$EO$12,P29='DADOS_INVOC'!$EP$12,P29='DADOS_INVOC'!$QV$12,P29='DADOS_INVOC'!$QW$12,P29='DADOS_INVOC'!$QX$12,P29='DADOS_INVOC'!$QY$12),O29,"")</f>
        <v/>
      </c>
      <c r="BI29">
        <f>IF(AND(Q29=1,OR(P29="",P29='DADOS_INVOC'!$EL$12,P29='DADOS_INVOC'!$EM$12,P29='DADOS_INVOC'!$EN$12,P29='DADOS_INVOC'!$EO$12,P29='DADOS_INVOC'!$EP$12,P29='DADOS_INVOC'!$QV$12,P29='DADOS_INVOC'!$QW$12,P29='DADOS_INVOC'!$QX$12,P29='DADOS_INVOC'!$QY$12)),O29,"")</f>
        <v/>
      </c>
      <c r="BJ29">
        <f>IF(OR(P29="",P29='DADOS_INVOC'!$EL$13,P29='DADOS_INVOC'!$EM$13,P29='DADOS_INVOC'!$EN$13,P29='DADOS_INVOC'!$EO$13,P29='DADOS_INVOC'!$EP$13,P29='DADOS_INVOC'!$QV$13,P29='DADOS_INVOC'!$QW$13,P29='DADOS_INVOC'!$QX$13,P29='DADOS_INVOC'!$QY$13),O29,"")</f>
        <v/>
      </c>
      <c r="BK29">
        <f>IF(AND(Q29=1,OR(P29="",P29='DADOS_INVOC'!$EL$13,P29='DADOS_INVOC'!$EM$13,P29='DADOS_INVOC'!$EN$13,P29='DADOS_INVOC'!$EO$13,P29='DADOS_INVOC'!$EP$13,P29='DADOS_INVOC'!$QV$13,P29='DADOS_INVOC'!$QW$13,P29='DADOS_INVOC'!$QX$13,P29='DADOS_INVOC'!$QY$13)),O29,"")</f>
        <v/>
      </c>
      <c r="BP29" t="inlineStr">
        <is>
          <t>Desarmado</t>
        </is>
      </c>
      <c r="BR29">
        <f>IF(OR(ISBLANK('CONFIGURAÇÃO'!$DI$351),'CONFIGURAÇÃO'!$DI$351=""),"Melhoria",'CONFIGURAÇÃO'!$DI$351)</f>
        <v/>
      </c>
    </row>
    <row r="30">
      <c r="A30" t="n">
        <v>1375</v>
      </c>
      <c r="B30" t="n">
        <v>0</v>
      </c>
      <c r="C30" t="n">
        <v>29</v>
      </c>
      <c r="D30">
        <f>IF(ISBLANK('CONFIGURAÇÃO'!$DA$379),"",'CONFIGURAÇÃO'!$DA$379)</f>
        <v/>
      </c>
      <c r="E30">
        <f>IF(ISBLANK('CONFIGURAÇÃO'!$DD$380),"",'CONFIGURAÇÃO'!$DD$380)</f>
        <v/>
      </c>
      <c r="F30">
        <f>IF(ISBLANK('CONFIGURAÇÃO'!$DD$381),"",'CONFIGURAÇÃO'!$DD$381)</f>
        <v/>
      </c>
      <c r="G30">
        <f>IF(ISBLANK('CONFIGURAÇÃO'!$DD$382),"",'CONFIGURAÇÃO'!$DD$382)</f>
        <v/>
      </c>
      <c r="H30">
        <f>IF(ISBLANK('CONFIGURAÇÃO'!$DD$383),"",'CONFIGURAÇÃO'!$DD$383)</f>
        <v/>
      </c>
      <c r="I30">
        <f>IF(ISBLANK('CONFIGURAÇÃO'!$DA$386),"",'CONFIGURAÇÃO'!$DA$386)</f>
        <v/>
      </c>
      <c r="J30">
        <f>IF(ISBLANK('CONFIGURAÇÃO'!$DA$392),"",'CONFIGURAÇÃO'!$DA$392)</f>
        <v/>
      </c>
      <c r="K30">
        <f>IF(ISBLANK('CONFIGURAÇÃO'!$DE$377),"",'CONFIGURAÇÃO'!$DE$377)</f>
        <v/>
      </c>
      <c r="L30">
        <f>IF(OR(E30="",E30="Nenhuma"),0,IFERROR(MATCH(SUBSTITUTE(SUBSTITUTE(SUBSTITUTE(E30,"~","~~"),"*","~*"),"?","~?"),'DADOS_MELHORIAS'!$O$2:$O$83,0),-1))</f>
        <v/>
      </c>
      <c r="M30">
        <f>IF(D30="",IF(BR30&lt;&gt;"Melhoria","Preencha NOME",IF(D30="",IF(OR(I30&lt;&gt;"",J30&lt;&gt;"",F30&lt;&gt;"",G30&lt;&gt;"",H30&lt;&gt;"",K30=TRUE,AND(E30&lt;&gt;"",E30&lt;&gt;"Nenhuma")),"Preencha NOME",""),TEXTJOIN(" · ",TRUE,IF(OR(NOT(ISTEXT(D30)),TRIM(D30)&lt;&gt;D30),"NOME precisa ser texto sem espaços nas pontas",""),IF(COUNTIF($D$2:$D$31,SUBSTITUTE(SUBSTITUTE(SUBSTITUTE(D30,"~","~~"),"*","~*"),"?","~?"))+COUNTIF('DADOS_MELHORIAS'!$O$2:$O$83,SUBSTITUTE(SUBSTITUTE(SUBSTITUTE(D30,"~","~~"),"*","~*"),"?","~?"))&gt;1,"Nome repetido no livro ou custom",""),IF(L30&lt;0,"Escolha uma BASE DO LIVRO válida",""),IF(ISLOGICAL(K30),"","MESTRE VIU deve ser caixa de seleção"),IF(AND(G30="",L30&lt;=0),"Escolha PESO",""),IF(AND(G30&lt;&gt;"",COUNTIF('DADOS_MELHORIAS'!$BN$2:$BN$4,SUBSTITUTE(SUBSTITUTE(SUBSTITUTE(G30,"~","~~"),"*","~*"),"?","~?"))&lt;&gt;1),"Peso ou devolução inválido",""),IF(AND(H30&lt;&gt;"",H30&lt;&gt;"Sim",H30&lt;&gt;"Não"),"Escolha Sim ou Não",""),IF(AND(F30&lt;&gt;"",COUNTIF('DADOS_MELHORIAS'!$BM$2:$BM$21,SUBSTITUTE(SUBSTITUTE(SUBSTITUTE(F30,"~","~~"),"*","~*"),"?","~?"))&lt;&gt;1),"Família não cadastrada ou com erro","")))),TEXTJOIN(" · ",TRUE,IF(D30="",IF(OR(I30&lt;&gt;"",J30&lt;&gt;"",F30&lt;&gt;"",G30&lt;&gt;"",H30&lt;&gt;"",K30=TRUE,AND(E30&lt;&gt;"",E30&lt;&gt;"Nenhuma")),"Preencha NOME",""),TEXTJOIN(" · ",TRUE,IF(OR(NOT(ISTEXT(D30)),TRIM(D30)&lt;&gt;D30),"NOME precisa ser texto sem espaços nas pontas",""),IF(COUNTIF($D$2:$D$31,SUBSTITUTE(SUBSTITUTE(SUBSTITUTE(D30,"~","~~"),"*","~*"),"?","~?"))+COUNTIF('DADOS_MELHORIAS'!$O$2:$O$83,SUBSTITUTE(SUBSTITUTE(SUBSTITUTE(D30,"~","~~"),"*","~*"),"?","~?"))&gt;1,"Nome repetido no livro ou custom",""),IF(L30&lt;0,"Escolha uma BASE DO LIVRO válida",""),IF(ISLOGICAL(K30),"","MESTRE VIU deve ser caixa de seleção"),IF(AND(G30="",L30&lt;=0),"Escolha PESO",""),IF(AND(G30&lt;&gt;"",COUNTIF('DADOS_MELHORIAS'!$BN$2:$BN$4,SUBSTITUTE(SUBSTITUTE(SUBSTITUTE(G30,"~","~~"),"*","~*"),"?","~?"))&lt;&gt;1),"Peso ou devolução inválido",""),IF(AND(H30&lt;&gt;"",H30&lt;&gt;"Sim",H30&lt;&gt;"Não"),"Escolha Sim ou Não",""),IF(AND(F30&lt;&gt;"",COUNTIF('DADOS_MELHORIAS'!$BM$2:$BM$21,SUBSTITUTE(SUBSTITUTE(SUBSTITUTE(F30,"~","~~"),"*","~*"),"?","~?"))&lt;&gt;1),"Família não cadastrada ou com erro",""))),IF(AND(BR30&lt;&gt;"Melhoria",BR30&lt;&gt;"Condição"),"Modalidade inválida",""),IF(AND(BR30="Condição",E30&lt;&gt;"",E30&lt;&gt;"Nenhuma",COUNTIF('DADOS_MELHORIAS'!$BU$2:$BU$15,SUBSTITUTE(SUBSTITUTE(SUBSTITUTE(E30,"~","~~"),"*","~*"),"?","~?"))&lt;&gt;1),"Base de Condição inválida",""),IF(AND(BR30="Condição",H30&lt;&gt;"",H30&lt;&gt;"Sim"),"Condição exige TR","")))</f>
        <v/>
      </c>
      <c r="O30">
        <f>IF(ISBLANK(DADOS_AM!$BC$30),"",DADOS_AM!$BC$30)</f>
        <v/>
      </c>
      <c r="P30">
        <f>IF(ISBLANK(DADOS_AM!$BD$30),"",DADOS_AM!$BD$30)</f>
        <v/>
      </c>
      <c r="Q30">
        <f>IF(ISBLANK(DADOS_AM!$BE$30),"",DADOS_AM!$BE$30)</f>
        <v/>
      </c>
      <c r="R30">
        <f>IF(ISBLANK(DADOS_AM!$BF$30),"",DADOS_AM!$BF$30)</f>
        <v/>
      </c>
      <c r="S30">
        <f>IF(ISBLANK(DADOS_AM!$BG$30),"",DADOS_AM!$BG$30)</f>
        <v/>
      </c>
      <c r="T30">
        <f>IF(ISBLANK(DADOS_AM!$BH$30),"",DADOS_AM!$BH$30)</f>
        <v/>
      </c>
      <c r="U30">
        <f>IF(ISBLANK(DADOS_AM!$BI$30),"",DADOS_AM!$BI$30)</f>
        <v/>
      </c>
      <c r="V30">
        <f>IF(ISBLANK(DADOS_AM!$BJ$30),"",DADOS_AM!$BJ$30)</f>
        <v/>
      </c>
      <c r="W30">
        <f>IF(ISBLANK(DADOS_AM!$BK$30),"",DADOS_AM!$BK$30)</f>
        <v/>
      </c>
      <c r="X30" t="inlineStr">
        <is>
          <t>Calado</t>
        </is>
      </c>
      <c r="Y30" t="n">
        <v>0</v>
      </c>
      <c r="AG30">
        <f>O30</f>
        <v/>
      </c>
      <c r="AH30">
        <f>P30</f>
        <v/>
      </c>
      <c r="AI30">
        <f>Q30</f>
        <v/>
      </c>
      <c r="AJ30">
        <f>T30</f>
        <v/>
      </c>
      <c r="AK30">
        <f>Y30</f>
        <v/>
      </c>
      <c r="AL30">
        <f>W30</f>
        <v/>
      </c>
      <c r="AN30">
        <f>IF(OR(P30="",P30='DADOS_INVOC'!$EL$2,P30='DADOS_INVOC'!$EM$2,P30='DADOS_INVOC'!$EN$2,P30='DADOS_INVOC'!$EO$2,P30='DADOS_INVOC'!$EP$2,P30='DADOS_INVOC'!$QV$2,P30='DADOS_INVOC'!$QW$2,P30='DADOS_INVOC'!$QX$2,P30='DADOS_INVOC'!$QY$2),O30,"")</f>
        <v/>
      </c>
      <c r="AO30">
        <f>IF(AND(Q30=1,OR(P30="",P30='DADOS_INVOC'!$EL$2,P30='DADOS_INVOC'!$EM$2,P30='DADOS_INVOC'!$EN$2,P30='DADOS_INVOC'!$EO$2,P30='DADOS_INVOC'!$EP$2,P30='DADOS_INVOC'!$QV$2,P30='DADOS_INVOC'!$QW$2,P30='DADOS_INVOC'!$QX$2,P30='DADOS_INVOC'!$QY$2)),O30,"")</f>
        <v/>
      </c>
      <c r="AP30">
        <f>IF(OR(P30="",P30='DADOS_INVOC'!$EL$3,P30='DADOS_INVOC'!$EM$3,P30='DADOS_INVOC'!$EN$3,P30='DADOS_INVOC'!$EO$3,P30='DADOS_INVOC'!$EP$3,P30='DADOS_INVOC'!$QV$3,P30='DADOS_INVOC'!$QW$3,P30='DADOS_INVOC'!$QX$3,P30='DADOS_INVOC'!$QY$3),O30,"")</f>
        <v/>
      </c>
      <c r="AQ30">
        <f>IF(AND(Q30=1,OR(P30="",P30='DADOS_INVOC'!$EL$3,P30='DADOS_INVOC'!$EM$3,P30='DADOS_INVOC'!$EN$3,P30='DADOS_INVOC'!$EO$3,P30='DADOS_INVOC'!$EP$3,P30='DADOS_INVOC'!$QV$3,P30='DADOS_INVOC'!$QW$3,P30='DADOS_INVOC'!$QX$3,P30='DADOS_INVOC'!$QY$3)),O30,"")</f>
        <v/>
      </c>
      <c r="AR30">
        <f>IF(OR(P30="",P30='DADOS_INVOC'!$EL$4,P30='DADOS_INVOC'!$EM$4,P30='DADOS_INVOC'!$EN$4,P30='DADOS_INVOC'!$EO$4,P30='DADOS_INVOC'!$EP$4,P30='DADOS_INVOC'!$QV$4,P30='DADOS_INVOC'!$QW$4,P30='DADOS_INVOC'!$QX$4,P30='DADOS_INVOC'!$QY$4),O30,"")</f>
        <v/>
      </c>
      <c r="AS30">
        <f>IF(AND(Q30=1,OR(P30="",P30='DADOS_INVOC'!$EL$4,P30='DADOS_INVOC'!$EM$4,P30='DADOS_INVOC'!$EN$4,P30='DADOS_INVOC'!$EO$4,P30='DADOS_INVOC'!$EP$4,P30='DADOS_INVOC'!$QV$4,P30='DADOS_INVOC'!$QW$4,P30='DADOS_INVOC'!$QX$4,P30='DADOS_INVOC'!$QY$4)),O30,"")</f>
        <v/>
      </c>
      <c r="AT30">
        <f>IF(OR(P30="",P30='DADOS_INVOC'!$EL$5,P30='DADOS_INVOC'!$EM$5,P30='DADOS_INVOC'!$EN$5,P30='DADOS_INVOC'!$EO$5,P30='DADOS_INVOC'!$EP$5,P30='DADOS_INVOC'!$QV$5,P30='DADOS_INVOC'!$QW$5,P30='DADOS_INVOC'!$QX$5,P30='DADOS_INVOC'!$QY$5),O30,"")</f>
        <v/>
      </c>
      <c r="AU30">
        <f>IF(AND(Q30=1,OR(P30="",P30='DADOS_INVOC'!$EL$5,P30='DADOS_INVOC'!$EM$5,P30='DADOS_INVOC'!$EN$5,P30='DADOS_INVOC'!$EO$5,P30='DADOS_INVOC'!$EP$5,P30='DADOS_INVOC'!$QV$5,P30='DADOS_INVOC'!$QW$5,P30='DADOS_INVOC'!$QX$5,P30='DADOS_INVOC'!$QY$5)),O30,"")</f>
        <v/>
      </c>
      <c r="AV30">
        <f>IF(OR(P30="",P30='DADOS_INVOC'!$EL$6,P30='DADOS_INVOC'!$EM$6,P30='DADOS_INVOC'!$EN$6,P30='DADOS_INVOC'!$EO$6,P30='DADOS_INVOC'!$EP$6,P30='DADOS_INVOC'!$QV$6,P30='DADOS_INVOC'!$QW$6,P30='DADOS_INVOC'!$QX$6,P30='DADOS_INVOC'!$QY$6),O30,"")</f>
        <v/>
      </c>
      <c r="AW30">
        <f>IF(AND(Q30=1,OR(P30="",P30='DADOS_INVOC'!$EL$6,P30='DADOS_INVOC'!$EM$6,P30='DADOS_INVOC'!$EN$6,P30='DADOS_INVOC'!$EO$6,P30='DADOS_INVOC'!$EP$6,P30='DADOS_INVOC'!$QV$6,P30='DADOS_INVOC'!$QW$6,P30='DADOS_INVOC'!$QX$6,P30='DADOS_INVOC'!$QY$6)),O30,"")</f>
        <v/>
      </c>
      <c r="AX30">
        <f>IF(OR(P30="",P30='DADOS_INVOC'!$EL$7,P30='DADOS_INVOC'!$EM$7,P30='DADOS_INVOC'!$EN$7,P30='DADOS_INVOC'!$EO$7,P30='DADOS_INVOC'!$EP$7,P30='DADOS_INVOC'!$QV$7,P30='DADOS_INVOC'!$QW$7,P30='DADOS_INVOC'!$QX$7,P30='DADOS_INVOC'!$QY$7),O30,"")</f>
        <v/>
      </c>
      <c r="AY30">
        <f>IF(AND(Q30=1,OR(P30="",P30='DADOS_INVOC'!$EL$7,P30='DADOS_INVOC'!$EM$7,P30='DADOS_INVOC'!$EN$7,P30='DADOS_INVOC'!$EO$7,P30='DADOS_INVOC'!$EP$7,P30='DADOS_INVOC'!$QV$7,P30='DADOS_INVOC'!$QW$7,P30='DADOS_INVOC'!$QX$7,P30='DADOS_INVOC'!$QY$7)),O30,"")</f>
        <v/>
      </c>
      <c r="AZ30">
        <f>IF(OR(P30="",P30='DADOS_INVOC'!$EL$8,P30='DADOS_INVOC'!$EM$8,P30='DADOS_INVOC'!$EN$8,P30='DADOS_INVOC'!$EO$8,P30='DADOS_INVOC'!$EP$8,P30='DADOS_INVOC'!$QV$8,P30='DADOS_INVOC'!$QW$8,P30='DADOS_INVOC'!$QX$8,P30='DADOS_INVOC'!$QY$8),O30,"")</f>
        <v/>
      </c>
      <c r="BA30">
        <f>IF(AND(Q30=1,OR(P30="",P30='DADOS_INVOC'!$EL$8,P30='DADOS_INVOC'!$EM$8,P30='DADOS_INVOC'!$EN$8,P30='DADOS_INVOC'!$EO$8,P30='DADOS_INVOC'!$EP$8,P30='DADOS_INVOC'!$QV$8,P30='DADOS_INVOC'!$QW$8,P30='DADOS_INVOC'!$QX$8,P30='DADOS_INVOC'!$QY$8)),O30,"")</f>
        <v/>
      </c>
      <c r="BB30">
        <f>IF(OR(P30="",P30='DADOS_INVOC'!$EL$9,P30='DADOS_INVOC'!$EM$9,P30='DADOS_INVOC'!$EN$9,P30='DADOS_INVOC'!$EO$9,P30='DADOS_INVOC'!$EP$9,P30='DADOS_INVOC'!$QV$9,P30='DADOS_INVOC'!$QW$9,P30='DADOS_INVOC'!$QX$9,P30='DADOS_INVOC'!$QY$9),O30,"")</f>
        <v/>
      </c>
      <c r="BC30">
        <f>IF(AND(Q30=1,OR(P30="",P30='DADOS_INVOC'!$EL$9,P30='DADOS_INVOC'!$EM$9,P30='DADOS_INVOC'!$EN$9,P30='DADOS_INVOC'!$EO$9,P30='DADOS_INVOC'!$EP$9,P30='DADOS_INVOC'!$QV$9,P30='DADOS_INVOC'!$QW$9,P30='DADOS_INVOC'!$QX$9,P30='DADOS_INVOC'!$QY$9)),O30,"")</f>
        <v/>
      </c>
      <c r="BD30">
        <f>IF(OR(P30="",P30='DADOS_INVOC'!$EL$10,P30='DADOS_INVOC'!$EM$10,P30='DADOS_INVOC'!$EN$10,P30='DADOS_INVOC'!$EO$10,P30='DADOS_INVOC'!$EP$10,P30='DADOS_INVOC'!$QV$10,P30='DADOS_INVOC'!$QW$10,P30='DADOS_INVOC'!$QX$10,P30='DADOS_INVOC'!$QY$10),O30,"")</f>
        <v/>
      </c>
      <c r="BE30">
        <f>IF(AND(Q30=1,OR(P30="",P30='DADOS_INVOC'!$EL$10,P30='DADOS_INVOC'!$EM$10,P30='DADOS_INVOC'!$EN$10,P30='DADOS_INVOC'!$EO$10,P30='DADOS_INVOC'!$EP$10,P30='DADOS_INVOC'!$QV$10,P30='DADOS_INVOC'!$QW$10,P30='DADOS_INVOC'!$QX$10,P30='DADOS_INVOC'!$QY$10)),O30,"")</f>
        <v/>
      </c>
      <c r="BF30">
        <f>IF(OR(P30="",P30='DADOS_INVOC'!$EL$11,P30='DADOS_INVOC'!$EM$11,P30='DADOS_INVOC'!$EN$11,P30='DADOS_INVOC'!$EO$11,P30='DADOS_INVOC'!$EP$11,P30='DADOS_INVOC'!$QV$11,P30='DADOS_INVOC'!$QW$11,P30='DADOS_INVOC'!$QX$11,P30='DADOS_INVOC'!$QY$11),O30,"")</f>
        <v/>
      </c>
      <c r="BG30">
        <f>IF(AND(Q30=1,OR(P30="",P30='DADOS_INVOC'!$EL$11,P30='DADOS_INVOC'!$EM$11,P30='DADOS_INVOC'!$EN$11,P30='DADOS_INVOC'!$EO$11,P30='DADOS_INVOC'!$EP$11,P30='DADOS_INVOC'!$QV$11,P30='DADOS_INVOC'!$QW$11,P30='DADOS_INVOC'!$QX$11,P30='DADOS_INVOC'!$QY$11)),O30,"")</f>
        <v/>
      </c>
      <c r="BH30">
        <f>IF(OR(P30="",P30='DADOS_INVOC'!$EL$12,P30='DADOS_INVOC'!$EM$12,P30='DADOS_INVOC'!$EN$12,P30='DADOS_INVOC'!$EO$12,P30='DADOS_INVOC'!$EP$12,P30='DADOS_INVOC'!$QV$12,P30='DADOS_INVOC'!$QW$12,P30='DADOS_INVOC'!$QX$12,P30='DADOS_INVOC'!$QY$12),O30,"")</f>
        <v/>
      </c>
      <c r="BI30">
        <f>IF(AND(Q30=1,OR(P30="",P30='DADOS_INVOC'!$EL$12,P30='DADOS_INVOC'!$EM$12,P30='DADOS_INVOC'!$EN$12,P30='DADOS_INVOC'!$EO$12,P30='DADOS_INVOC'!$EP$12,P30='DADOS_INVOC'!$QV$12,P30='DADOS_INVOC'!$QW$12,P30='DADOS_INVOC'!$QX$12,P30='DADOS_INVOC'!$QY$12)),O30,"")</f>
        <v/>
      </c>
      <c r="BJ30">
        <f>IF(OR(P30="",P30='DADOS_INVOC'!$EL$13,P30='DADOS_INVOC'!$EM$13,P30='DADOS_INVOC'!$EN$13,P30='DADOS_INVOC'!$EO$13,P30='DADOS_INVOC'!$EP$13,P30='DADOS_INVOC'!$QV$13,P30='DADOS_INVOC'!$QW$13,P30='DADOS_INVOC'!$QX$13,P30='DADOS_INVOC'!$QY$13),O30,"")</f>
        <v/>
      </c>
      <c r="BK30">
        <f>IF(AND(Q30=1,OR(P30="",P30='DADOS_INVOC'!$EL$13,P30='DADOS_INVOC'!$EM$13,P30='DADOS_INVOC'!$EN$13,P30='DADOS_INVOC'!$EO$13,P30='DADOS_INVOC'!$EP$13,P30='DADOS_INVOC'!$QV$13,P30='DADOS_INVOC'!$QW$13,P30='DADOS_INVOC'!$QX$13,P30='DADOS_INVOC'!$QY$13)),O30,"")</f>
        <v/>
      </c>
      <c r="BP30" t="inlineStr">
        <is>
          <t>Surdo</t>
        </is>
      </c>
      <c r="BR30">
        <f>IF(OR(ISBLANK('CONFIGURAÇÃO'!$DA$377),'CONFIGURAÇÃO'!$DA$377=""),"Melhoria",'CONFIGURAÇÃO'!$DA$377)</f>
        <v/>
      </c>
    </row>
    <row r="31">
      <c r="A31" t="n">
        <v>1375</v>
      </c>
      <c r="B31" t="n">
        <v>8</v>
      </c>
      <c r="C31" t="n">
        <v>30</v>
      </c>
      <c r="D31">
        <f>IF(ISBLANK('CONFIGURAÇÃO'!$DI$379),"",'CONFIGURAÇÃO'!$DI$379)</f>
        <v/>
      </c>
      <c r="E31">
        <f>IF(ISBLANK('CONFIGURAÇÃO'!$DL$380),"",'CONFIGURAÇÃO'!$DL$380)</f>
        <v/>
      </c>
      <c r="F31">
        <f>IF(ISBLANK('CONFIGURAÇÃO'!$DL$381),"",'CONFIGURAÇÃO'!$DL$381)</f>
        <v/>
      </c>
      <c r="G31">
        <f>IF(ISBLANK('CONFIGURAÇÃO'!$DL$382),"",'CONFIGURAÇÃO'!$DL$382)</f>
        <v/>
      </c>
      <c r="H31">
        <f>IF(ISBLANK('CONFIGURAÇÃO'!$DL$383),"",'CONFIGURAÇÃO'!$DL$383)</f>
        <v/>
      </c>
      <c r="I31">
        <f>IF(ISBLANK('CONFIGURAÇÃO'!$DI$386),"",'CONFIGURAÇÃO'!$DI$386)</f>
        <v/>
      </c>
      <c r="J31">
        <f>IF(ISBLANK('CONFIGURAÇÃO'!$DI$392),"",'CONFIGURAÇÃO'!$DI$392)</f>
        <v/>
      </c>
      <c r="K31">
        <f>IF(ISBLANK('CONFIGURAÇÃO'!$DM$377),"",'CONFIGURAÇÃO'!$DM$377)</f>
        <v/>
      </c>
      <c r="L31">
        <f>IF(OR(E31="",E31="Nenhuma"),0,IFERROR(MATCH(SUBSTITUTE(SUBSTITUTE(SUBSTITUTE(E31,"~","~~"),"*","~*"),"?","~?"),'DADOS_MELHORIAS'!$O$2:$O$83,0),-1))</f>
        <v/>
      </c>
      <c r="M31">
        <f>IF(D31="",IF(BR31&lt;&gt;"Melhoria","Preencha NOME",IF(D31="",IF(OR(I31&lt;&gt;"",J31&lt;&gt;"",F31&lt;&gt;"",G31&lt;&gt;"",H31&lt;&gt;"",K31=TRUE,AND(E31&lt;&gt;"",E31&lt;&gt;"Nenhuma")),"Preencha NOME",""),TEXTJOIN(" · ",TRUE,IF(OR(NOT(ISTEXT(D31)),TRIM(D31)&lt;&gt;D31),"NOME precisa ser texto sem espaços nas pontas",""),IF(COUNTIF($D$2:$D$31,SUBSTITUTE(SUBSTITUTE(SUBSTITUTE(D31,"~","~~"),"*","~*"),"?","~?"))+COUNTIF('DADOS_MELHORIAS'!$O$2:$O$83,SUBSTITUTE(SUBSTITUTE(SUBSTITUTE(D31,"~","~~"),"*","~*"),"?","~?"))&gt;1,"Nome repetido no livro ou custom",""),IF(L31&lt;0,"Escolha uma BASE DO LIVRO válida",""),IF(ISLOGICAL(K31),"","MESTRE VIU deve ser caixa de seleção"),IF(AND(G31="",L31&lt;=0),"Escolha PESO",""),IF(AND(G31&lt;&gt;"",COUNTIF('DADOS_MELHORIAS'!$BN$2:$BN$4,SUBSTITUTE(SUBSTITUTE(SUBSTITUTE(G31,"~","~~"),"*","~*"),"?","~?"))&lt;&gt;1),"Peso ou devolução inválido",""),IF(AND(H31&lt;&gt;"",H31&lt;&gt;"Sim",H31&lt;&gt;"Não"),"Escolha Sim ou Não",""),IF(AND(F31&lt;&gt;"",COUNTIF('DADOS_MELHORIAS'!$BM$2:$BM$21,SUBSTITUTE(SUBSTITUTE(SUBSTITUTE(F31,"~","~~"),"*","~*"),"?","~?"))&lt;&gt;1),"Família não cadastrada ou com erro","")))),TEXTJOIN(" · ",TRUE,IF(D31="",IF(OR(I31&lt;&gt;"",J31&lt;&gt;"",F31&lt;&gt;"",G31&lt;&gt;"",H31&lt;&gt;"",K31=TRUE,AND(E31&lt;&gt;"",E31&lt;&gt;"Nenhuma")),"Preencha NOME",""),TEXTJOIN(" · ",TRUE,IF(OR(NOT(ISTEXT(D31)),TRIM(D31)&lt;&gt;D31),"NOME precisa ser texto sem espaços nas pontas",""),IF(COUNTIF($D$2:$D$31,SUBSTITUTE(SUBSTITUTE(SUBSTITUTE(D31,"~","~~"),"*","~*"),"?","~?"))+COUNTIF('DADOS_MELHORIAS'!$O$2:$O$83,SUBSTITUTE(SUBSTITUTE(SUBSTITUTE(D31,"~","~~"),"*","~*"),"?","~?"))&gt;1,"Nome repetido no livro ou custom",""),IF(L31&lt;0,"Escolha uma BASE DO LIVRO válida",""),IF(ISLOGICAL(K31),"","MESTRE VIU deve ser caixa de seleção"),IF(AND(G31="",L31&lt;=0),"Escolha PESO",""),IF(AND(G31&lt;&gt;"",COUNTIF('DADOS_MELHORIAS'!$BN$2:$BN$4,SUBSTITUTE(SUBSTITUTE(SUBSTITUTE(G31,"~","~~"),"*","~*"),"?","~?"))&lt;&gt;1),"Peso ou devolução inválido",""),IF(AND(H31&lt;&gt;"",H31&lt;&gt;"Sim",H31&lt;&gt;"Não"),"Escolha Sim ou Não",""),IF(AND(F31&lt;&gt;"",COUNTIF('DADOS_MELHORIAS'!$BM$2:$BM$21,SUBSTITUTE(SUBSTITUTE(SUBSTITUTE(F31,"~","~~"),"*","~*"),"?","~?"))&lt;&gt;1),"Família não cadastrada ou com erro",""))),IF(AND(BR31&lt;&gt;"Melhoria",BR31&lt;&gt;"Condição"),"Modalidade inválida",""),IF(AND(BR31="Condição",E31&lt;&gt;"",E31&lt;&gt;"Nenhuma",COUNTIF('DADOS_MELHORIAS'!$BU$2:$BU$15,SUBSTITUTE(SUBSTITUTE(SUBSTITUTE(E31,"~","~~"),"*","~*"),"?","~?"))&lt;&gt;1),"Base de Condição inválida",""),IF(AND(BR31="Condição",H31&lt;&gt;"",H31&lt;&gt;"Sim"),"Condição exige TR","")))</f>
        <v/>
      </c>
      <c r="O31">
        <f>IF(ISBLANK(DADOS_AM!$BC$31),"",DADOS_AM!$BC$31)</f>
        <v/>
      </c>
      <c r="P31">
        <f>IF(ISBLANK(DADOS_AM!$BD$31),"",DADOS_AM!$BD$31)</f>
        <v/>
      </c>
      <c r="Q31">
        <f>IF(ISBLANK(DADOS_AM!$BE$31),"",DADOS_AM!$BE$31)</f>
        <v/>
      </c>
      <c r="R31">
        <f>IF(ISBLANK(DADOS_AM!$BF$31),"",DADOS_AM!$BF$31)</f>
        <v/>
      </c>
      <c r="S31">
        <f>IF(ISBLANK(DADOS_AM!$BG$31),"",DADOS_AM!$BG$31)</f>
        <v/>
      </c>
      <c r="T31">
        <f>IF(ISBLANK(DADOS_AM!$BH$31),"",DADOS_AM!$BH$31)</f>
        <v/>
      </c>
      <c r="U31">
        <f>IF(ISBLANK(DADOS_AM!$BI$31),"",DADOS_AM!$BI$31)</f>
        <v/>
      </c>
      <c r="V31">
        <f>IF(ISBLANK(DADOS_AM!$BJ$31),"",DADOS_AM!$BJ$31)</f>
        <v/>
      </c>
      <c r="W31">
        <f>IF(ISBLANK(DADOS_AM!$BK$31),"",DADOS_AM!$BK$31)</f>
        <v/>
      </c>
      <c r="X31" t="inlineStr">
        <is>
          <t>Enfeitiçado</t>
        </is>
      </c>
      <c r="Y31" t="n">
        <v>0</v>
      </c>
      <c r="AG31">
        <f>O31</f>
        <v/>
      </c>
      <c r="AH31">
        <f>P31</f>
        <v/>
      </c>
      <c r="AI31">
        <f>Q31</f>
        <v/>
      </c>
      <c r="AJ31">
        <f>T31</f>
        <v/>
      </c>
      <c r="AK31">
        <f>Y31</f>
        <v/>
      </c>
      <c r="AL31">
        <f>W31</f>
        <v/>
      </c>
      <c r="AN31">
        <f>IF(OR(P31="",P31='DADOS_INVOC'!$EL$2,P31='DADOS_INVOC'!$EM$2,P31='DADOS_INVOC'!$EN$2,P31='DADOS_INVOC'!$EO$2,P31='DADOS_INVOC'!$EP$2,P31='DADOS_INVOC'!$QV$2,P31='DADOS_INVOC'!$QW$2,P31='DADOS_INVOC'!$QX$2,P31='DADOS_INVOC'!$QY$2),O31,"")</f>
        <v/>
      </c>
      <c r="AO31">
        <f>IF(AND(Q31=1,OR(P31="",P31='DADOS_INVOC'!$EL$2,P31='DADOS_INVOC'!$EM$2,P31='DADOS_INVOC'!$EN$2,P31='DADOS_INVOC'!$EO$2,P31='DADOS_INVOC'!$EP$2,P31='DADOS_INVOC'!$QV$2,P31='DADOS_INVOC'!$QW$2,P31='DADOS_INVOC'!$QX$2,P31='DADOS_INVOC'!$QY$2)),O31,"")</f>
        <v/>
      </c>
      <c r="AP31">
        <f>IF(OR(P31="",P31='DADOS_INVOC'!$EL$3,P31='DADOS_INVOC'!$EM$3,P31='DADOS_INVOC'!$EN$3,P31='DADOS_INVOC'!$EO$3,P31='DADOS_INVOC'!$EP$3,P31='DADOS_INVOC'!$QV$3,P31='DADOS_INVOC'!$QW$3,P31='DADOS_INVOC'!$QX$3,P31='DADOS_INVOC'!$QY$3),O31,"")</f>
        <v/>
      </c>
      <c r="AQ31">
        <f>IF(AND(Q31=1,OR(P31="",P31='DADOS_INVOC'!$EL$3,P31='DADOS_INVOC'!$EM$3,P31='DADOS_INVOC'!$EN$3,P31='DADOS_INVOC'!$EO$3,P31='DADOS_INVOC'!$EP$3,P31='DADOS_INVOC'!$QV$3,P31='DADOS_INVOC'!$QW$3,P31='DADOS_INVOC'!$QX$3,P31='DADOS_INVOC'!$QY$3)),O31,"")</f>
        <v/>
      </c>
      <c r="AR31">
        <f>IF(OR(P31="",P31='DADOS_INVOC'!$EL$4,P31='DADOS_INVOC'!$EM$4,P31='DADOS_INVOC'!$EN$4,P31='DADOS_INVOC'!$EO$4,P31='DADOS_INVOC'!$EP$4,P31='DADOS_INVOC'!$QV$4,P31='DADOS_INVOC'!$QW$4,P31='DADOS_INVOC'!$QX$4,P31='DADOS_INVOC'!$QY$4),O31,"")</f>
        <v/>
      </c>
      <c r="AS31">
        <f>IF(AND(Q31=1,OR(P31="",P31='DADOS_INVOC'!$EL$4,P31='DADOS_INVOC'!$EM$4,P31='DADOS_INVOC'!$EN$4,P31='DADOS_INVOC'!$EO$4,P31='DADOS_INVOC'!$EP$4,P31='DADOS_INVOC'!$QV$4,P31='DADOS_INVOC'!$QW$4,P31='DADOS_INVOC'!$QX$4,P31='DADOS_INVOC'!$QY$4)),O31,"")</f>
        <v/>
      </c>
      <c r="AT31">
        <f>IF(OR(P31="",P31='DADOS_INVOC'!$EL$5,P31='DADOS_INVOC'!$EM$5,P31='DADOS_INVOC'!$EN$5,P31='DADOS_INVOC'!$EO$5,P31='DADOS_INVOC'!$EP$5,P31='DADOS_INVOC'!$QV$5,P31='DADOS_INVOC'!$QW$5,P31='DADOS_INVOC'!$QX$5,P31='DADOS_INVOC'!$QY$5),O31,"")</f>
        <v/>
      </c>
      <c r="AU31">
        <f>IF(AND(Q31=1,OR(P31="",P31='DADOS_INVOC'!$EL$5,P31='DADOS_INVOC'!$EM$5,P31='DADOS_INVOC'!$EN$5,P31='DADOS_INVOC'!$EO$5,P31='DADOS_INVOC'!$EP$5,P31='DADOS_INVOC'!$QV$5,P31='DADOS_INVOC'!$QW$5,P31='DADOS_INVOC'!$QX$5,P31='DADOS_INVOC'!$QY$5)),O31,"")</f>
        <v/>
      </c>
      <c r="AV31">
        <f>IF(OR(P31="",P31='DADOS_INVOC'!$EL$6,P31='DADOS_INVOC'!$EM$6,P31='DADOS_INVOC'!$EN$6,P31='DADOS_INVOC'!$EO$6,P31='DADOS_INVOC'!$EP$6,P31='DADOS_INVOC'!$QV$6,P31='DADOS_INVOC'!$QW$6,P31='DADOS_INVOC'!$QX$6,P31='DADOS_INVOC'!$QY$6),O31,"")</f>
        <v/>
      </c>
      <c r="AW31">
        <f>IF(AND(Q31=1,OR(P31="",P31='DADOS_INVOC'!$EL$6,P31='DADOS_INVOC'!$EM$6,P31='DADOS_INVOC'!$EN$6,P31='DADOS_INVOC'!$EO$6,P31='DADOS_INVOC'!$EP$6,P31='DADOS_INVOC'!$QV$6,P31='DADOS_INVOC'!$QW$6,P31='DADOS_INVOC'!$QX$6,P31='DADOS_INVOC'!$QY$6)),O31,"")</f>
        <v/>
      </c>
      <c r="AX31">
        <f>IF(OR(P31="",P31='DADOS_INVOC'!$EL$7,P31='DADOS_INVOC'!$EM$7,P31='DADOS_INVOC'!$EN$7,P31='DADOS_INVOC'!$EO$7,P31='DADOS_INVOC'!$EP$7,P31='DADOS_INVOC'!$QV$7,P31='DADOS_INVOC'!$QW$7,P31='DADOS_INVOC'!$QX$7,P31='DADOS_INVOC'!$QY$7),O31,"")</f>
        <v/>
      </c>
      <c r="AY31">
        <f>IF(AND(Q31=1,OR(P31="",P31='DADOS_INVOC'!$EL$7,P31='DADOS_INVOC'!$EM$7,P31='DADOS_INVOC'!$EN$7,P31='DADOS_INVOC'!$EO$7,P31='DADOS_INVOC'!$EP$7,P31='DADOS_INVOC'!$QV$7,P31='DADOS_INVOC'!$QW$7,P31='DADOS_INVOC'!$QX$7,P31='DADOS_INVOC'!$QY$7)),O31,"")</f>
        <v/>
      </c>
      <c r="AZ31">
        <f>IF(OR(P31="",P31='DADOS_INVOC'!$EL$8,P31='DADOS_INVOC'!$EM$8,P31='DADOS_INVOC'!$EN$8,P31='DADOS_INVOC'!$EO$8,P31='DADOS_INVOC'!$EP$8,P31='DADOS_INVOC'!$QV$8,P31='DADOS_INVOC'!$QW$8,P31='DADOS_INVOC'!$QX$8,P31='DADOS_INVOC'!$QY$8),O31,"")</f>
        <v/>
      </c>
      <c r="BA31">
        <f>IF(AND(Q31=1,OR(P31="",P31='DADOS_INVOC'!$EL$8,P31='DADOS_INVOC'!$EM$8,P31='DADOS_INVOC'!$EN$8,P31='DADOS_INVOC'!$EO$8,P31='DADOS_INVOC'!$EP$8,P31='DADOS_INVOC'!$QV$8,P31='DADOS_INVOC'!$QW$8,P31='DADOS_INVOC'!$QX$8,P31='DADOS_INVOC'!$QY$8)),O31,"")</f>
        <v/>
      </c>
      <c r="BB31">
        <f>IF(OR(P31="",P31='DADOS_INVOC'!$EL$9,P31='DADOS_INVOC'!$EM$9,P31='DADOS_INVOC'!$EN$9,P31='DADOS_INVOC'!$EO$9,P31='DADOS_INVOC'!$EP$9,P31='DADOS_INVOC'!$QV$9,P31='DADOS_INVOC'!$QW$9,P31='DADOS_INVOC'!$QX$9,P31='DADOS_INVOC'!$QY$9),O31,"")</f>
        <v/>
      </c>
      <c r="BC31">
        <f>IF(AND(Q31=1,OR(P31="",P31='DADOS_INVOC'!$EL$9,P31='DADOS_INVOC'!$EM$9,P31='DADOS_INVOC'!$EN$9,P31='DADOS_INVOC'!$EO$9,P31='DADOS_INVOC'!$EP$9,P31='DADOS_INVOC'!$QV$9,P31='DADOS_INVOC'!$QW$9,P31='DADOS_INVOC'!$QX$9,P31='DADOS_INVOC'!$QY$9)),O31,"")</f>
        <v/>
      </c>
      <c r="BD31">
        <f>IF(OR(P31="",P31='DADOS_INVOC'!$EL$10,P31='DADOS_INVOC'!$EM$10,P31='DADOS_INVOC'!$EN$10,P31='DADOS_INVOC'!$EO$10,P31='DADOS_INVOC'!$EP$10,P31='DADOS_INVOC'!$QV$10,P31='DADOS_INVOC'!$QW$10,P31='DADOS_INVOC'!$QX$10,P31='DADOS_INVOC'!$QY$10),O31,"")</f>
        <v/>
      </c>
      <c r="BE31">
        <f>IF(AND(Q31=1,OR(P31="",P31='DADOS_INVOC'!$EL$10,P31='DADOS_INVOC'!$EM$10,P31='DADOS_INVOC'!$EN$10,P31='DADOS_INVOC'!$EO$10,P31='DADOS_INVOC'!$EP$10,P31='DADOS_INVOC'!$QV$10,P31='DADOS_INVOC'!$QW$10,P31='DADOS_INVOC'!$QX$10,P31='DADOS_INVOC'!$QY$10)),O31,"")</f>
        <v/>
      </c>
      <c r="BF31">
        <f>IF(OR(P31="",P31='DADOS_INVOC'!$EL$11,P31='DADOS_INVOC'!$EM$11,P31='DADOS_INVOC'!$EN$11,P31='DADOS_INVOC'!$EO$11,P31='DADOS_INVOC'!$EP$11,P31='DADOS_INVOC'!$QV$11,P31='DADOS_INVOC'!$QW$11,P31='DADOS_INVOC'!$QX$11,P31='DADOS_INVOC'!$QY$11),O31,"")</f>
        <v/>
      </c>
      <c r="BG31">
        <f>IF(AND(Q31=1,OR(P31="",P31='DADOS_INVOC'!$EL$11,P31='DADOS_INVOC'!$EM$11,P31='DADOS_INVOC'!$EN$11,P31='DADOS_INVOC'!$EO$11,P31='DADOS_INVOC'!$EP$11,P31='DADOS_INVOC'!$QV$11,P31='DADOS_INVOC'!$QW$11,P31='DADOS_INVOC'!$QX$11,P31='DADOS_INVOC'!$QY$11)),O31,"")</f>
        <v/>
      </c>
      <c r="BH31">
        <f>IF(OR(P31="",P31='DADOS_INVOC'!$EL$12,P31='DADOS_INVOC'!$EM$12,P31='DADOS_INVOC'!$EN$12,P31='DADOS_INVOC'!$EO$12,P31='DADOS_INVOC'!$EP$12,P31='DADOS_INVOC'!$QV$12,P31='DADOS_INVOC'!$QW$12,P31='DADOS_INVOC'!$QX$12,P31='DADOS_INVOC'!$QY$12),O31,"")</f>
        <v/>
      </c>
      <c r="BI31">
        <f>IF(AND(Q31=1,OR(P31="",P31='DADOS_INVOC'!$EL$12,P31='DADOS_INVOC'!$EM$12,P31='DADOS_INVOC'!$EN$12,P31='DADOS_INVOC'!$EO$12,P31='DADOS_INVOC'!$EP$12,P31='DADOS_INVOC'!$QV$12,P31='DADOS_INVOC'!$QW$12,P31='DADOS_INVOC'!$QX$12,P31='DADOS_INVOC'!$QY$12)),O31,"")</f>
        <v/>
      </c>
      <c r="BJ31">
        <f>IF(OR(P31="",P31='DADOS_INVOC'!$EL$13,P31='DADOS_INVOC'!$EM$13,P31='DADOS_INVOC'!$EN$13,P31='DADOS_INVOC'!$EO$13,P31='DADOS_INVOC'!$EP$13,P31='DADOS_INVOC'!$QV$13,P31='DADOS_INVOC'!$QW$13,P31='DADOS_INVOC'!$QX$13,P31='DADOS_INVOC'!$QY$13),O31,"")</f>
        <v/>
      </c>
      <c r="BK31">
        <f>IF(AND(Q31=1,OR(P31="",P31='DADOS_INVOC'!$EL$13,P31='DADOS_INVOC'!$EM$13,P31='DADOS_INVOC'!$EN$13,P31='DADOS_INVOC'!$EO$13,P31='DADOS_INVOC'!$EP$13,P31='DADOS_INVOC'!$QV$13,P31='DADOS_INVOC'!$QW$13,P31='DADOS_INVOC'!$QX$13,P31='DADOS_INVOC'!$QY$13)),O31,"")</f>
        <v/>
      </c>
      <c r="BP31" t="inlineStr">
        <is>
          <t>Calado</t>
        </is>
      </c>
      <c r="BR31">
        <f>IF(OR(ISBLANK('CONFIGURAÇÃO'!$DI$377),'CONFIGURAÇÃO'!$DI$377=""),"Melhoria",'CONFIGURAÇÃO'!$DI$377)</f>
        <v/>
      </c>
    </row>
    <row r="32">
      <c r="O32">
        <f>IF(ISBLANK(DADOS_AM!$BC$32),"",DADOS_AM!$BC$32)</f>
        <v/>
      </c>
      <c r="P32">
        <f>IF(ISBLANK(DADOS_AM!$BD$32),"",DADOS_AM!$BD$32)</f>
        <v/>
      </c>
      <c r="Q32">
        <f>IF(ISBLANK(DADOS_AM!$BE$32),"",DADOS_AM!$BE$32)</f>
        <v/>
      </c>
      <c r="R32">
        <f>IF(ISBLANK(DADOS_AM!$BF$32),"",DADOS_AM!$BF$32)</f>
        <v/>
      </c>
      <c r="S32">
        <f>IF(ISBLANK(DADOS_AM!$BG$32),"",DADOS_AM!$BG$32)</f>
        <v/>
      </c>
      <c r="T32">
        <f>IF(ISBLANK(DADOS_AM!$BH$32),"",DADOS_AM!$BH$32)</f>
        <v/>
      </c>
      <c r="U32">
        <f>IF(ISBLANK(DADOS_AM!$BI$32),"",DADOS_AM!$BI$32)</f>
        <v/>
      </c>
      <c r="V32">
        <f>IF(ISBLANK(DADOS_AM!$BJ$32),"",DADOS_AM!$BJ$32)</f>
        <v/>
      </c>
      <c r="W32">
        <f>IF(ISBLANK(DADOS_AM!$BK$32),"",DADOS_AM!$BK$32)</f>
        <v/>
      </c>
      <c r="X32" t="inlineStr">
        <is>
          <t>Impedido</t>
        </is>
      </c>
      <c r="Y32" t="n">
        <v>0</v>
      </c>
      <c r="AG32">
        <f>O32</f>
        <v/>
      </c>
      <c r="AH32">
        <f>P32</f>
        <v/>
      </c>
      <c r="AI32">
        <f>Q32</f>
        <v/>
      </c>
      <c r="AJ32">
        <f>T32</f>
        <v/>
      </c>
      <c r="AK32">
        <f>Y32</f>
        <v/>
      </c>
      <c r="AL32">
        <f>W32</f>
        <v/>
      </c>
      <c r="AN32">
        <f>IF(OR(P32="",P32='DADOS_INVOC'!$EL$2,P32='DADOS_INVOC'!$EM$2,P32='DADOS_INVOC'!$EN$2,P32='DADOS_INVOC'!$EO$2,P32='DADOS_INVOC'!$EP$2,P32='DADOS_INVOC'!$QV$2,P32='DADOS_INVOC'!$QW$2,P32='DADOS_INVOC'!$QX$2,P32='DADOS_INVOC'!$QY$2),O32,"")</f>
        <v/>
      </c>
      <c r="AO32">
        <f>IF(AND(Q32=1,OR(P32="",P32='DADOS_INVOC'!$EL$2,P32='DADOS_INVOC'!$EM$2,P32='DADOS_INVOC'!$EN$2,P32='DADOS_INVOC'!$EO$2,P32='DADOS_INVOC'!$EP$2,P32='DADOS_INVOC'!$QV$2,P32='DADOS_INVOC'!$QW$2,P32='DADOS_INVOC'!$QX$2,P32='DADOS_INVOC'!$QY$2)),O32,"")</f>
        <v/>
      </c>
      <c r="AP32">
        <f>IF(OR(P32="",P32='DADOS_INVOC'!$EL$3,P32='DADOS_INVOC'!$EM$3,P32='DADOS_INVOC'!$EN$3,P32='DADOS_INVOC'!$EO$3,P32='DADOS_INVOC'!$EP$3,P32='DADOS_INVOC'!$QV$3,P32='DADOS_INVOC'!$QW$3,P32='DADOS_INVOC'!$QX$3,P32='DADOS_INVOC'!$QY$3),O32,"")</f>
        <v/>
      </c>
      <c r="AQ32">
        <f>IF(AND(Q32=1,OR(P32="",P32='DADOS_INVOC'!$EL$3,P32='DADOS_INVOC'!$EM$3,P32='DADOS_INVOC'!$EN$3,P32='DADOS_INVOC'!$EO$3,P32='DADOS_INVOC'!$EP$3,P32='DADOS_INVOC'!$QV$3,P32='DADOS_INVOC'!$QW$3,P32='DADOS_INVOC'!$QX$3,P32='DADOS_INVOC'!$QY$3)),O32,"")</f>
        <v/>
      </c>
      <c r="AR32">
        <f>IF(OR(P32="",P32='DADOS_INVOC'!$EL$4,P32='DADOS_INVOC'!$EM$4,P32='DADOS_INVOC'!$EN$4,P32='DADOS_INVOC'!$EO$4,P32='DADOS_INVOC'!$EP$4,P32='DADOS_INVOC'!$QV$4,P32='DADOS_INVOC'!$QW$4,P32='DADOS_INVOC'!$QX$4,P32='DADOS_INVOC'!$QY$4),O32,"")</f>
        <v/>
      </c>
      <c r="AS32">
        <f>IF(AND(Q32=1,OR(P32="",P32='DADOS_INVOC'!$EL$4,P32='DADOS_INVOC'!$EM$4,P32='DADOS_INVOC'!$EN$4,P32='DADOS_INVOC'!$EO$4,P32='DADOS_INVOC'!$EP$4,P32='DADOS_INVOC'!$QV$4,P32='DADOS_INVOC'!$QW$4,P32='DADOS_INVOC'!$QX$4,P32='DADOS_INVOC'!$QY$4)),O32,"")</f>
        <v/>
      </c>
      <c r="AT32">
        <f>IF(OR(P32="",P32='DADOS_INVOC'!$EL$5,P32='DADOS_INVOC'!$EM$5,P32='DADOS_INVOC'!$EN$5,P32='DADOS_INVOC'!$EO$5,P32='DADOS_INVOC'!$EP$5,P32='DADOS_INVOC'!$QV$5,P32='DADOS_INVOC'!$QW$5,P32='DADOS_INVOC'!$QX$5,P32='DADOS_INVOC'!$QY$5),O32,"")</f>
        <v/>
      </c>
      <c r="AU32">
        <f>IF(AND(Q32=1,OR(P32="",P32='DADOS_INVOC'!$EL$5,P32='DADOS_INVOC'!$EM$5,P32='DADOS_INVOC'!$EN$5,P32='DADOS_INVOC'!$EO$5,P32='DADOS_INVOC'!$EP$5,P32='DADOS_INVOC'!$QV$5,P32='DADOS_INVOC'!$QW$5,P32='DADOS_INVOC'!$QX$5,P32='DADOS_INVOC'!$QY$5)),O32,"")</f>
        <v/>
      </c>
      <c r="AV32">
        <f>IF(OR(P32="",P32='DADOS_INVOC'!$EL$6,P32='DADOS_INVOC'!$EM$6,P32='DADOS_INVOC'!$EN$6,P32='DADOS_INVOC'!$EO$6,P32='DADOS_INVOC'!$EP$6,P32='DADOS_INVOC'!$QV$6,P32='DADOS_INVOC'!$QW$6,P32='DADOS_INVOC'!$QX$6,P32='DADOS_INVOC'!$QY$6),O32,"")</f>
        <v/>
      </c>
      <c r="AW32">
        <f>IF(AND(Q32=1,OR(P32="",P32='DADOS_INVOC'!$EL$6,P32='DADOS_INVOC'!$EM$6,P32='DADOS_INVOC'!$EN$6,P32='DADOS_INVOC'!$EO$6,P32='DADOS_INVOC'!$EP$6,P32='DADOS_INVOC'!$QV$6,P32='DADOS_INVOC'!$QW$6,P32='DADOS_INVOC'!$QX$6,P32='DADOS_INVOC'!$QY$6)),O32,"")</f>
        <v/>
      </c>
      <c r="AX32">
        <f>IF(OR(P32="",P32='DADOS_INVOC'!$EL$7,P32='DADOS_INVOC'!$EM$7,P32='DADOS_INVOC'!$EN$7,P32='DADOS_INVOC'!$EO$7,P32='DADOS_INVOC'!$EP$7,P32='DADOS_INVOC'!$QV$7,P32='DADOS_INVOC'!$QW$7,P32='DADOS_INVOC'!$QX$7,P32='DADOS_INVOC'!$QY$7),O32,"")</f>
        <v/>
      </c>
      <c r="AY32">
        <f>IF(AND(Q32=1,OR(P32="",P32='DADOS_INVOC'!$EL$7,P32='DADOS_INVOC'!$EM$7,P32='DADOS_INVOC'!$EN$7,P32='DADOS_INVOC'!$EO$7,P32='DADOS_INVOC'!$EP$7,P32='DADOS_INVOC'!$QV$7,P32='DADOS_INVOC'!$QW$7,P32='DADOS_INVOC'!$QX$7,P32='DADOS_INVOC'!$QY$7)),O32,"")</f>
        <v/>
      </c>
      <c r="AZ32">
        <f>IF(OR(P32="",P32='DADOS_INVOC'!$EL$8,P32='DADOS_INVOC'!$EM$8,P32='DADOS_INVOC'!$EN$8,P32='DADOS_INVOC'!$EO$8,P32='DADOS_INVOC'!$EP$8,P32='DADOS_INVOC'!$QV$8,P32='DADOS_INVOC'!$QW$8,P32='DADOS_INVOC'!$QX$8,P32='DADOS_INVOC'!$QY$8),O32,"")</f>
        <v/>
      </c>
      <c r="BA32">
        <f>IF(AND(Q32=1,OR(P32="",P32='DADOS_INVOC'!$EL$8,P32='DADOS_INVOC'!$EM$8,P32='DADOS_INVOC'!$EN$8,P32='DADOS_INVOC'!$EO$8,P32='DADOS_INVOC'!$EP$8,P32='DADOS_INVOC'!$QV$8,P32='DADOS_INVOC'!$QW$8,P32='DADOS_INVOC'!$QX$8,P32='DADOS_INVOC'!$QY$8)),O32,"")</f>
        <v/>
      </c>
      <c r="BB32">
        <f>IF(OR(P32="",P32='DADOS_INVOC'!$EL$9,P32='DADOS_INVOC'!$EM$9,P32='DADOS_INVOC'!$EN$9,P32='DADOS_INVOC'!$EO$9,P32='DADOS_INVOC'!$EP$9,P32='DADOS_INVOC'!$QV$9,P32='DADOS_INVOC'!$QW$9,P32='DADOS_INVOC'!$QX$9,P32='DADOS_INVOC'!$QY$9),O32,"")</f>
        <v/>
      </c>
      <c r="BC32">
        <f>IF(AND(Q32=1,OR(P32="",P32='DADOS_INVOC'!$EL$9,P32='DADOS_INVOC'!$EM$9,P32='DADOS_INVOC'!$EN$9,P32='DADOS_INVOC'!$EO$9,P32='DADOS_INVOC'!$EP$9,P32='DADOS_INVOC'!$QV$9,P32='DADOS_INVOC'!$QW$9,P32='DADOS_INVOC'!$QX$9,P32='DADOS_INVOC'!$QY$9)),O32,"")</f>
        <v/>
      </c>
      <c r="BD32">
        <f>IF(OR(P32="",P32='DADOS_INVOC'!$EL$10,P32='DADOS_INVOC'!$EM$10,P32='DADOS_INVOC'!$EN$10,P32='DADOS_INVOC'!$EO$10,P32='DADOS_INVOC'!$EP$10,P32='DADOS_INVOC'!$QV$10,P32='DADOS_INVOC'!$QW$10,P32='DADOS_INVOC'!$QX$10,P32='DADOS_INVOC'!$QY$10),O32,"")</f>
        <v/>
      </c>
      <c r="BE32">
        <f>IF(AND(Q32=1,OR(P32="",P32='DADOS_INVOC'!$EL$10,P32='DADOS_INVOC'!$EM$10,P32='DADOS_INVOC'!$EN$10,P32='DADOS_INVOC'!$EO$10,P32='DADOS_INVOC'!$EP$10,P32='DADOS_INVOC'!$QV$10,P32='DADOS_INVOC'!$QW$10,P32='DADOS_INVOC'!$QX$10,P32='DADOS_INVOC'!$QY$10)),O32,"")</f>
        <v/>
      </c>
      <c r="BF32">
        <f>IF(OR(P32="",P32='DADOS_INVOC'!$EL$11,P32='DADOS_INVOC'!$EM$11,P32='DADOS_INVOC'!$EN$11,P32='DADOS_INVOC'!$EO$11,P32='DADOS_INVOC'!$EP$11,P32='DADOS_INVOC'!$QV$11,P32='DADOS_INVOC'!$QW$11,P32='DADOS_INVOC'!$QX$11,P32='DADOS_INVOC'!$QY$11),O32,"")</f>
        <v/>
      </c>
      <c r="BG32">
        <f>IF(AND(Q32=1,OR(P32="",P32='DADOS_INVOC'!$EL$11,P32='DADOS_INVOC'!$EM$11,P32='DADOS_INVOC'!$EN$11,P32='DADOS_INVOC'!$EO$11,P32='DADOS_INVOC'!$EP$11,P32='DADOS_INVOC'!$QV$11,P32='DADOS_INVOC'!$QW$11,P32='DADOS_INVOC'!$QX$11,P32='DADOS_INVOC'!$QY$11)),O32,"")</f>
        <v/>
      </c>
      <c r="BH32">
        <f>IF(OR(P32="",P32='DADOS_INVOC'!$EL$12,P32='DADOS_INVOC'!$EM$12,P32='DADOS_INVOC'!$EN$12,P32='DADOS_INVOC'!$EO$12,P32='DADOS_INVOC'!$EP$12,P32='DADOS_INVOC'!$QV$12,P32='DADOS_INVOC'!$QW$12,P32='DADOS_INVOC'!$QX$12,P32='DADOS_INVOC'!$QY$12),O32,"")</f>
        <v/>
      </c>
      <c r="BI32">
        <f>IF(AND(Q32=1,OR(P32="",P32='DADOS_INVOC'!$EL$12,P32='DADOS_INVOC'!$EM$12,P32='DADOS_INVOC'!$EN$12,P32='DADOS_INVOC'!$EO$12,P32='DADOS_INVOC'!$EP$12,P32='DADOS_INVOC'!$QV$12,P32='DADOS_INVOC'!$QW$12,P32='DADOS_INVOC'!$QX$12,P32='DADOS_INVOC'!$QY$12)),O32,"")</f>
        <v/>
      </c>
      <c r="BJ32">
        <f>IF(OR(P32="",P32='DADOS_INVOC'!$EL$13,P32='DADOS_INVOC'!$EM$13,P32='DADOS_INVOC'!$EN$13,P32='DADOS_INVOC'!$EO$13,P32='DADOS_INVOC'!$EP$13,P32='DADOS_INVOC'!$QV$13,P32='DADOS_INVOC'!$QW$13,P32='DADOS_INVOC'!$QX$13,P32='DADOS_INVOC'!$QY$13),O32,"")</f>
        <v/>
      </c>
      <c r="BK32">
        <f>IF(AND(Q32=1,OR(P32="",P32='DADOS_INVOC'!$EL$13,P32='DADOS_INVOC'!$EM$13,P32='DADOS_INVOC'!$EN$13,P32='DADOS_INVOC'!$EO$13,P32='DADOS_INVOC'!$EP$13,P32='DADOS_INVOC'!$QV$13,P32='DADOS_INVOC'!$QW$13,P32='DADOS_INVOC'!$QX$13,P32='DADOS_INVOC'!$QY$13)),O32,"")</f>
        <v/>
      </c>
      <c r="BP32" t="inlineStr">
        <is>
          <t>Enfeitiçado</t>
        </is>
      </c>
    </row>
    <row r="33">
      <c r="O33">
        <f>IF(ISBLANK(DADOS_AM!$BC$33),"",DADOS_AM!$BC$33)</f>
        <v/>
      </c>
      <c r="P33">
        <f>IF(ISBLANK(DADOS_AM!$BD$33),"",DADOS_AM!$BD$33)</f>
        <v/>
      </c>
      <c r="Q33">
        <f>IF(ISBLANK(DADOS_AM!$BE$33),"",DADOS_AM!$BE$33)</f>
        <v/>
      </c>
      <c r="R33">
        <f>IF(ISBLANK(DADOS_AM!$BF$33),"",DADOS_AM!$BF$33)</f>
        <v/>
      </c>
      <c r="S33">
        <f>IF(ISBLANK(DADOS_AM!$BG$33),"",DADOS_AM!$BG$33)</f>
        <v/>
      </c>
      <c r="T33">
        <f>IF(ISBLANK(DADOS_AM!$BH$33),"",DADOS_AM!$BH$33)</f>
        <v/>
      </c>
      <c r="U33">
        <f>IF(ISBLANK(DADOS_AM!$BI$33),"",DADOS_AM!$BI$33)</f>
        <v/>
      </c>
      <c r="V33">
        <f>IF(ISBLANK(DADOS_AM!$BJ$33),"",DADOS_AM!$BJ$33)</f>
        <v/>
      </c>
      <c r="W33">
        <f>IF(ISBLANK(DADOS_AM!$BK$33),"",DADOS_AM!$BK$33)</f>
        <v/>
      </c>
      <c r="X33" t="inlineStr">
        <is>
          <t>Cego</t>
        </is>
      </c>
      <c r="Y33" t="n">
        <v>0</v>
      </c>
      <c r="AG33">
        <f>O33</f>
        <v/>
      </c>
      <c r="AH33">
        <f>P33</f>
        <v/>
      </c>
      <c r="AI33">
        <f>Q33</f>
        <v/>
      </c>
      <c r="AJ33">
        <f>T33</f>
        <v/>
      </c>
      <c r="AK33">
        <f>Y33</f>
        <v/>
      </c>
      <c r="AL33">
        <f>W33</f>
        <v/>
      </c>
      <c r="AN33">
        <f>IF(OR(P33="",P33='DADOS_INVOC'!$EL$2,P33='DADOS_INVOC'!$EM$2,P33='DADOS_INVOC'!$EN$2,P33='DADOS_INVOC'!$EO$2,P33='DADOS_INVOC'!$EP$2,P33='DADOS_INVOC'!$QV$2,P33='DADOS_INVOC'!$QW$2,P33='DADOS_INVOC'!$QX$2,P33='DADOS_INVOC'!$QY$2),O33,"")</f>
        <v/>
      </c>
      <c r="AO33">
        <f>IF(AND(Q33=1,OR(P33="",P33='DADOS_INVOC'!$EL$2,P33='DADOS_INVOC'!$EM$2,P33='DADOS_INVOC'!$EN$2,P33='DADOS_INVOC'!$EO$2,P33='DADOS_INVOC'!$EP$2,P33='DADOS_INVOC'!$QV$2,P33='DADOS_INVOC'!$QW$2,P33='DADOS_INVOC'!$QX$2,P33='DADOS_INVOC'!$QY$2)),O33,"")</f>
        <v/>
      </c>
      <c r="AP33">
        <f>IF(OR(P33="",P33='DADOS_INVOC'!$EL$3,P33='DADOS_INVOC'!$EM$3,P33='DADOS_INVOC'!$EN$3,P33='DADOS_INVOC'!$EO$3,P33='DADOS_INVOC'!$EP$3,P33='DADOS_INVOC'!$QV$3,P33='DADOS_INVOC'!$QW$3,P33='DADOS_INVOC'!$QX$3,P33='DADOS_INVOC'!$QY$3),O33,"")</f>
        <v/>
      </c>
      <c r="AQ33">
        <f>IF(AND(Q33=1,OR(P33="",P33='DADOS_INVOC'!$EL$3,P33='DADOS_INVOC'!$EM$3,P33='DADOS_INVOC'!$EN$3,P33='DADOS_INVOC'!$EO$3,P33='DADOS_INVOC'!$EP$3,P33='DADOS_INVOC'!$QV$3,P33='DADOS_INVOC'!$QW$3,P33='DADOS_INVOC'!$QX$3,P33='DADOS_INVOC'!$QY$3)),O33,"")</f>
        <v/>
      </c>
      <c r="AR33">
        <f>IF(OR(P33="",P33='DADOS_INVOC'!$EL$4,P33='DADOS_INVOC'!$EM$4,P33='DADOS_INVOC'!$EN$4,P33='DADOS_INVOC'!$EO$4,P33='DADOS_INVOC'!$EP$4,P33='DADOS_INVOC'!$QV$4,P33='DADOS_INVOC'!$QW$4,P33='DADOS_INVOC'!$QX$4,P33='DADOS_INVOC'!$QY$4),O33,"")</f>
        <v/>
      </c>
      <c r="AS33">
        <f>IF(AND(Q33=1,OR(P33="",P33='DADOS_INVOC'!$EL$4,P33='DADOS_INVOC'!$EM$4,P33='DADOS_INVOC'!$EN$4,P33='DADOS_INVOC'!$EO$4,P33='DADOS_INVOC'!$EP$4,P33='DADOS_INVOC'!$QV$4,P33='DADOS_INVOC'!$QW$4,P33='DADOS_INVOC'!$QX$4,P33='DADOS_INVOC'!$QY$4)),O33,"")</f>
        <v/>
      </c>
      <c r="AT33">
        <f>IF(OR(P33="",P33='DADOS_INVOC'!$EL$5,P33='DADOS_INVOC'!$EM$5,P33='DADOS_INVOC'!$EN$5,P33='DADOS_INVOC'!$EO$5,P33='DADOS_INVOC'!$EP$5,P33='DADOS_INVOC'!$QV$5,P33='DADOS_INVOC'!$QW$5,P33='DADOS_INVOC'!$QX$5,P33='DADOS_INVOC'!$QY$5),O33,"")</f>
        <v/>
      </c>
      <c r="AU33">
        <f>IF(AND(Q33=1,OR(P33="",P33='DADOS_INVOC'!$EL$5,P33='DADOS_INVOC'!$EM$5,P33='DADOS_INVOC'!$EN$5,P33='DADOS_INVOC'!$EO$5,P33='DADOS_INVOC'!$EP$5,P33='DADOS_INVOC'!$QV$5,P33='DADOS_INVOC'!$QW$5,P33='DADOS_INVOC'!$QX$5,P33='DADOS_INVOC'!$QY$5)),O33,"")</f>
        <v/>
      </c>
      <c r="AV33">
        <f>IF(OR(P33="",P33='DADOS_INVOC'!$EL$6,P33='DADOS_INVOC'!$EM$6,P33='DADOS_INVOC'!$EN$6,P33='DADOS_INVOC'!$EO$6,P33='DADOS_INVOC'!$EP$6,P33='DADOS_INVOC'!$QV$6,P33='DADOS_INVOC'!$QW$6,P33='DADOS_INVOC'!$QX$6,P33='DADOS_INVOC'!$QY$6),O33,"")</f>
        <v/>
      </c>
      <c r="AW33">
        <f>IF(AND(Q33=1,OR(P33="",P33='DADOS_INVOC'!$EL$6,P33='DADOS_INVOC'!$EM$6,P33='DADOS_INVOC'!$EN$6,P33='DADOS_INVOC'!$EO$6,P33='DADOS_INVOC'!$EP$6,P33='DADOS_INVOC'!$QV$6,P33='DADOS_INVOC'!$QW$6,P33='DADOS_INVOC'!$QX$6,P33='DADOS_INVOC'!$QY$6)),O33,"")</f>
        <v/>
      </c>
      <c r="AX33">
        <f>IF(OR(P33="",P33='DADOS_INVOC'!$EL$7,P33='DADOS_INVOC'!$EM$7,P33='DADOS_INVOC'!$EN$7,P33='DADOS_INVOC'!$EO$7,P33='DADOS_INVOC'!$EP$7,P33='DADOS_INVOC'!$QV$7,P33='DADOS_INVOC'!$QW$7,P33='DADOS_INVOC'!$QX$7,P33='DADOS_INVOC'!$QY$7),O33,"")</f>
        <v/>
      </c>
      <c r="AY33">
        <f>IF(AND(Q33=1,OR(P33="",P33='DADOS_INVOC'!$EL$7,P33='DADOS_INVOC'!$EM$7,P33='DADOS_INVOC'!$EN$7,P33='DADOS_INVOC'!$EO$7,P33='DADOS_INVOC'!$EP$7,P33='DADOS_INVOC'!$QV$7,P33='DADOS_INVOC'!$QW$7,P33='DADOS_INVOC'!$QX$7,P33='DADOS_INVOC'!$QY$7)),O33,"")</f>
        <v/>
      </c>
      <c r="AZ33">
        <f>IF(OR(P33="",P33='DADOS_INVOC'!$EL$8,P33='DADOS_INVOC'!$EM$8,P33='DADOS_INVOC'!$EN$8,P33='DADOS_INVOC'!$EO$8,P33='DADOS_INVOC'!$EP$8,P33='DADOS_INVOC'!$QV$8,P33='DADOS_INVOC'!$QW$8,P33='DADOS_INVOC'!$QX$8,P33='DADOS_INVOC'!$QY$8),O33,"")</f>
        <v/>
      </c>
      <c r="BA33">
        <f>IF(AND(Q33=1,OR(P33="",P33='DADOS_INVOC'!$EL$8,P33='DADOS_INVOC'!$EM$8,P33='DADOS_INVOC'!$EN$8,P33='DADOS_INVOC'!$EO$8,P33='DADOS_INVOC'!$EP$8,P33='DADOS_INVOC'!$QV$8,P33='DADOS_INVOC'!$QW$8,P33='DADOS_INVOC'!$QX$8,P33='DADOS_INVOC'!$QY$8)),O33,"")</f>
        <v/>
      </c>
      <c r="BB33">
        <f>IF(OR(P33="",P33='DADOS_INVOC'!$EL$9,P33='DADOS_INVOC'!$EM$9,P33='DADOS_INVOC'!$EN$9,P33='DADOS_INVOC'!$EO$9,P33='DADOS_INVOC'!$EP$9,P33='DADOS_INVOC'!$QV$9,P33='DADOS_INVOC'!$QW$9,P33='DADOS_INVOC'!$QX$9,P33='DADOS_INVOC'!$QY$9),O33,"")</f>
        <v/>
      </c>
      <c r="BC33">
        <f>IF(AND(Q33=1,OR(P33="",P33='DADOS_INVOC'!$EL$9,P33='DADOS_INVOC'!$EM$9,P33='DADOS_INVOC'!$EN$9,P33='DADOS_INVOC'!$EO$9,P33='DADOS_INVOC'!$EP$9,P33='DADOS_INVOC'!$QV$9,P33='DADOS_INVOC'!$QW$9,P33='DADOS_INVOC'!$QX$9,P33='DADOS_INVOC'!$QY$9)),O33,"")</f>
        <v/>
      </c>
      <c r="BD33">
        <f>IF(OR(P33="",P33='DADOS_INVOC'!$EL$10,P33='DADOS_INVOC'!$EM$10,P33='DADOS_INVOC'!$EN$10,P33='DADOS_INVOC'!$EO$10,P33='DADOS_INVOC'!$EP$10,P33='DADOS_INVOC'!$QV$10,P33='DADOS_INVOC'!$QW$10,P33='DADOS_INVOC'!$QX$10,P33='DADOS_INVOC'!$QY$10),O33,"")</f>
        <v/>
      </c>
      <c r="BE33">
        <f>IF(AND(Q33=1,OR(P33="",P33='DADOS_INVOC'!$EL$10,P33='DADOS_INVOC'!$EM$10,P33='DADOS_INVOC'!$EN$10,P33='DADOS_INVOC'!$EO$10,P33='DADOS_INVOC'!$EP$10,P33='DADOS_INVOC'!$QV$10,P33='DADOS_INVOC'!$QW$10,P33='DADOS_INVOC'!$QX$10,P33='DADOS_INVOC'!$QY$10)),O33,"")</f>
        <v/>
      </c>
      <c r="BF33">
        <f>IF(OR(P33="",P33='DADOS_INVOC'!$EL$11,P33='DADOS_INVOC'!$EM$11,P33='DADOS_INVOC'!$EN$11,P33='DADOS_INVOC'!$EO$11,P33='DADOS_INVOC'!$EP$11,P33='DADOS_INVOC'!$QV$11,P33='DADOS_INVOC'!$QW$11,P33='DADOS_INVOC'!$QX$11,P33='DADOS_INVOC'!$QY$11),O33,"")</f>
        <v/>
      </c>
      <c r="BG33">
        <f>IF(AND(Q33=1,OR(P33="",P33='DADOS_INVOC'!$EL$11,P33='DADOS_INVOC'!$EM$11,P33='DADOS_INVOC'!$EN$11,P33='DADOS_INVOC'!$EO$11,P33='DADOS_INVOC'!$EP$11,P33='DADOS_INVOC'!$QV$11,P33='DADOS_INVOC'!$QW$11,P33='DADOS_INVOC'!$QX$11,P33='DADOS_INVOC'!$QY$11)),O33,"")</f>
        <v/>
      </c>
      <c r="BH33">
        <f>IF(OR(P33="",P33='DADOS_INVOC'!$EL$12,P33='DADOS_INVOC'!$EM$12,P33='DADOS_INVOC'!$EN$12,P33='DADOS_INVOC'!$EO$12,P33='DADOS_INVOC'!$EP$12,P33='DADOS_INVOC'!$QV$12,P33='DADOS_INVOC'!$QW$12,P33='DADOS_INVOC'!$QX$12,P33='DADOS_INVOC'!$QY$12),O33,"")</f>
        <v/>
      </c>
      <c r="BI33">
        <f>IF(AND(Q33=1,OR(P33="",P33='DADOS_INVOC'!$EL$12,P33='DADOS_INVOC'!$EM$12,P33='DADOS_INVOC'!$EN$12,P33='DADOS_INVOC'!$EO$12,P33='DADOS_INVOC'!$EP$12,P33='DADOS_INVOC'!$QV$12,P33='DADOS_INVOC'!$QW$12,P33='DADOS_INVOC'!$QX$12,P33='DADOS_INVOC'!$QY$12)),O33,"")</f>
        <v/>
      </c>
      <c r="BJ33">
        <f>IF(OR(P33="",P33='DADOS_INVOC'!$EL$13,P33='DADOS_INVOC'!$EM$13,P33='DADOS_INVOC'!$EN$13,P33='DADOS_INVOC'!$EO$13,P33='DADOS_INVOC'!$EP$13,P33='DADOS_INVOC'!$QV$13,P33='DADOS_INVOC'!$QW$13,P33='DADOS_INVOC'!$QX$13,P33='DADOS_INVOC'!$QY$13),O33,"")</f>
        <v/>
      </c>
      <c r="BK33">
        <f>IF(AND(Q33=1,OR(P33="",P33='DADOS_INVOC'!$EL$13,P33='DADOS_INVOC'!$EM$13,P33='DADOS_INVOC'!$EN$13,P33='DADOS_INVOC'!$EO$13,P33='DADOS_INVOC'!$EP$13,P33='DADOS_INVOC'!$QV$13,P33='DADOS_INVOC'!$QW$13,P33='DADOS_INVOC'!$QX$13,P33='DADOS_INVOC'!$QY$13)),O33,"")</f>
        <v/>
      </c>
      <c r="BP33" t="inlineStr">
        <is>
          <t>Impedido</t>
        </is>
      </c>
    </row>
    <row r="34">
      <c r="O34">
        <f>IF(ISBLANK(DADOS_AM!$BC$34),"",DADOS_AM!$BC$34)</f>
        <v/>
      </c>
      <c r="P34">
        <f>IF(ISBLANK(DADOS_AM!$BD$34),"",DADOS_AM!$BD$34)</f>
        <v/>
      </c>
      <c r="Q34">
        <f>IF(ISBLANK(DADOS_AM!$BE$34),"",DADOS_AM!$BE$34)</f>
        <v/>
      </c>
      <c r="R34">
        <f>IF(ISBLANK(DADOS_AM!$BF$34),"",DADOS_AM!$BF$34)</f>
        <v/>
      </c>
      <c r="S34">
        <f>IF(ISBLANK(DADOS_AM!$BG$34),"",DADOS_AM!$BG$34)</f>
        <v/>
      </c>
      <c r="T34">
        <f>IF(ISBLANK(DADOS_AM!$BH$34),"",DADOS_AM!$BH$34)</f>
        <v/>
      </c>
      <c r="U34">
        <f>IF(ISBLANK(DADOS_AM!$BI$34),"",DADOS_AM!$BI$34)</f>
        <v/>
      </c>
      <c r="V34">
        <f>IF(ISBLANK(DADOS_AM!$BJ$34),"",DADOS_AM!$BJ$34)</f>
        <v/>
      </c>
      <c r="W34">
        <f>IF(ISBLANK(DADOS_AM!$BK$34),"",DADOS_AM!$BK$34)</f>
        <v/>
      </c>
      <c r="X34" t="inlineStr">
        <is>
          <t>Amedrontado</t>
        </is>
      </c>
      <c r="Y34" t="n">
        <v>0</v>
      </c>
      <c r="AG34">
        <f>O34</f>
        <v/>
      </c>
      <c r="AH34">
        <f>P34</f>
        <v/>
      </c>
      <c r="AI34">
        <f>Q34</f>
        <v/>
      </c>
      <c r="AJ34">
        <f>T34</f>
        <v/>
      </c>
      <c r="AK34">
        <f>Y34</f>
        <v/>
      </c>
      <c r="AL34">
        <f>W34</f>
        <v/>
      </c>
      <c r="AN34">
        <f>IF(OR(P34="",P34='DADOS_INVOC'!$EL$2,P34='DADOS_INVOC'!$EM$2,P34='DADOS_INVOC'!$EN$2,P34='DADOS_INVOC'!$EO$2,P34='DADOS_INVOC'!$EP$2,P34='DADOS_INVOC'!$QV$2,P34='DADOS_INVOC'!$QW$2,P34='DADOS_INVOC'!$QX$2,P34='DADOS_INVOC'!$QY$2),O34,"")</f>
        <v/>
      </c>
      <c r="AO34">
        <f>IF(AND(Q34=1,OR(P34="",P34='DADOS_INVOC'!$EL$2,P34='DADOS_INVOC'!$EM$2,P34='DADOS_INVOC'!$EN$2,P34='DADOS_INVOC'!$EO$2,P34='DADOS_INVOC'!$EP$2,P34='DADOS_INVOC'!$QV$2,P34='DADOS_INVOC'!$QW$2,P34='DADOS_INVOC'!$QX$2,P34='DADOS_INVOC'!$QY$2)),O34,"")</f>
        <v/>
      </c>
      <c r="AP34">
        <f>IF(OR(P34="",P34='DADOS_INVOC'!$EL$3,P34='DADOS_INVOC'!$EM$3,P34='DADOS_INVOC'!$EN$3,P34='DADOS_INVOC'!$EO$3,P34='DADOS_INVOC'!$EP$3,P34='DADOS_INVOC'!$QV$3,P34='DADOS_INVOC'!$QW$3,P34='DADOS_INVOC'!$QX$3,P34='DADOS_INVOC'!$QY$3),O34,"")</f>
        <v/>
      </c>
      <c r="AQ34">
        <f>IF(AND(Q34=1,OR(P34="",P34='DADOS_INVOC'!$EL$3,P34='DADOS_INVOC'!$EM$3,P34='DADOS_INVOC'!$EN$3,P34='DADOS_INVOC'!$EO$3,P34='DADOS_INVOC'!$EP$3,P34='DADOS_INVOC'!$QV$3,P34='DADOS_INVOC'!$QW$3,P34='DADOS_INVOC'!$QX$3,P34='DADOS_INVOC'!$QY$3)),O34,"")</f>
        <v/>
      </c>
      <c r="AR34">
        <f>IF(OR(P34="",P34='DADOS_INVOC'!$EL$4,P34='DADOS_INVOC'!$EM$4,P34='DADOS_INVOC'!$EN$4,P34='DADOS_INVOC'!$EO$4,P34='DADOS_INVOC'!$EP$4,P34='DADOS_INVOC'!$QV$4,P34='DADOS_INVOC'!$QW$4,P34='DADOS_INVOC'!$QX$4,P34='DADOS_INVOC'!$QY$4),O34,"")</f>
        <v/>
      </c>
      <c r="AS34">
        <f>IF(AND(Q34=1,OR(P34="",P34='DADOS_INVOC'!$EL$4,P34='DADOS_INVOC'!$EM$4,P34='DADOS_INVOC'!$EN$4,P34='DADOS_INVOC'!$EO$4,P34='DADOS_INVOC'!$EP$4,P34='DADOS_INVOC'!$QV$4,P34='DADOS_INVOC'!$QW$4,P34='DADOS_INVOC'!$QX$4,P34='DADOS_INVOC'!$QY$4)),O34,"")</f>
        <v/>
      </c>
      <c r="AT34">
        <f>IF(OR(P34="",P34='DADOS_INVOC'!$EL$5,P34='DADOS_INVOC'!$EM$5,P34='DADOS_INVOC'!$EN$5,P34='DADOS_INVOC'!$EO$5,P34='DADOS_INVOC'!$EP$5,P34='DADOS_INVOC'!$QV$5,P34='DADOS_INVOC'!$QW$5,P34='DADOS_INVOC'!$QX$5,P34='DADOS_INVOC'!$QY$5),O34,"")</f>
        <v/>
      </c>
      <c r="AU34">
        <f>IF(AND(Q34=1,OR(P34="",P34='DADOS_INVOC'!$EL$5,P34='DADOS_INVOC'!$EM$5,P34='DADOS_INVOC'!$EN$5,P34='DADOS_INVOC'!$EO$5,P34='DADOS_INVOC'!$EP$5,P34='DADOS_INVOC'!$QV$5,P34='DADOS_INVOC'!$QW$5,P34='DADOS_INVOC'!$QX$5,P34='DADOS_INVOC'!$QY$5)),O34,"")</f>
        <v/>
      </c>
      <c r="AV34">
        <f>IF(OR(P34="",P34='DADOS_INVOC'!$EL$6,P34='DADOS_INVOC'!$EM$6,P34='DADOS_INVOC'!$EN$6,P34='DADOS_INVOC'!$EO$6,P34='DADOS_INVOC'!$EP$6,P34='DADOS_INVOC'!$QV$6,P34='DADOS_INVOC'!$QW$6,P34='DADOS_INVOC'!$QX$6,P34='DADOS_INVOC'!$QY$6),O34,"")</f>
        <v/>
      </c>
      <c r="AW34">
        <f>IF(AND(Q34=1,OR(P34="",P34='DADOS_INVOC'!$EL$6,P34='DADOS_INVOC'!$EM$6,P34='DADOS_INVOC'!$EN$6,P34='DADOS_INVOC'!$EO$6,P34='DADOS_INVOC'!$EP$6,P34='DADOS_INVOC'!$QV$6,P34='DADOS_INVOC'!$QW$6,P34='DADOS_INVOC'!$QX$6,P34='DADOS_INVOC'!$QY$6)),O34,"")</f>
        <v/>
      </c>
      <c r="AX34">
        <f>IF(OR(P34="",P34='DADOS_INVOC'!$EL$7,P34='DADOS_INVOC'!$EM$7,P34='DADOS_INVOC'!$EN$7,P34='DADOS_INVOC'!$EO$7,P34='DADOS_INVOC'!$EP$7,P34='DADOS_INVOC'!$QV$7,P34='DADOS_INVOC'!$QW$7,P34='DADOS_INVOC'!$QX$7,P34='DADOS_INVOC'!$QY$7),O34,"")</f>
        <v/>
      </c>
      <c r="AY34">
        <f>IF(AND(Q34=1,OR(P34="",P34='DADOS_INVOC'!$EL$7,P34='DADOS_INVOC'!$EM$7,P34='DADOS_INVOC'!$EN$7,P34='DADOS_INVOC'!$EO$7,P34='DADOS_INVOC'!$EP$7,P34='DADOS_INVOC'!$QV$7,P34='DADOS_INVOC'!$QW$7,P34='DADOS_INVOC'!$QX$7,P34='DADOS_INVOC'!$QY$7)),O34,"")</f>
        <v/>
      </c>
      <c r="AZ34">
        <f>IF(OR(P34="",P34='DADOS_INVOC'!$EL$8,P34='DADOS_INVOC'!$EM$8,P34='DADOS_INVOC'!$EN$8,P34='DADOS_INVOC'!$EO$8,P34='DADOS_INVOC'!$EP$8,P34='DADOS_INVOC'!$QV$8,P34='DADOS_INVOC'!$QW$8,P34='DADOS_INVOC'!$QX$8,P34='DADOS_INVOC'!$QY$8),O34,"")</f>
        <v/>
      </c>
      <c r="BA34">
        <f>IF(AND(Q34=1,OR(P34="",P34='DADOS_INVOC'!$EL$8,P34='DADOS_INVOC'!$EM$8,P34='DADOS_INVOC'!$EN$8,P34='DADOS_INVOC'!$EO$8,P34='DADOS_INVOC'!$EP$8,P34='DADOS_INVOC'!$QV$8,P34='DADOS_INVOC'!$QW$8,P34='DADOS_INVOC'!$QX$8,P34='DADOS_INVOC'!$QY$8)),O34,"")</f>
        <v/>
      </c>
      <c r="BB34">
        <f>IF(OR(P34="",P34='DADOS_INVOC'!$EL$9,P34='DADOS_INVOC'!$EM$9,P34='DADOS_INVOC'!$EN$9,P34='DADOS_INVOC'!$EO$9,P34='DADOS_INVOC'!$EP$9,P34='DADOS_INVOC'!$QV$9,P34='DADOS_INVOC'!$QW$9,P34='DADOS_INVOC'!$QX$9,P34='DADOS_INVOC'!$QY$9),O34,"")</f>
        <v/>
      </c>
      <c r="BC34">
        <f>IF(AND(Q34=1,OR(P34="",P34='DADOS_INVOC'!$EL$9,P34='DADOS_INVOC'!$EM$9,P34='DADOS_INVOC'!$EN$9,P34='DADOS_INVOC'!$EO$9,P34='DADOS_INVOC'!$EP$9,P34='DADOS_INVOC'!$QV$9,P34='DADOS_INVOC'!$QW$9,P34='DADOS_INVOC'!$QX$9,P34='DADOS_INVOC'!$QY$9)),O34,"")</f>
        <v/>
      </c>
      <c r="BD34">
        <f>IF(OR(P34="",P34='DADOS_INVOC'!$EL$10,P34='DADOS_INVOC'!$EM$10,P34='DADOS_INVOC'!$EN$10,P34='DADOS_INVOC'!$EO$10,P34='DADOS_INVOC'!$EP$10,P34='DADOS_INVOC'!$QV$10,P34='DADOS_INVOC'!$QW$10,P34='DADOS_INVOC'!$QX$10,P34='DADOS_INVOC'!$QY$10),O34,"")</f>
        <v/>
      </c>
      <c r="BE34">
        <f>IF(AND(Q34=1,OR(P34="",P34='DADOS_INVOC'!$EL$10,P34='DADOS_INVOC'!$EM$10,P34='DADOS_INVOC'!$EN$10,P34='DADOS_INVOC'!$EO$10,P34='DADOS_INVOC'!$EP$10,P34='DADOS_INVOC'!$QV$10,P34='DADOS_INVOC'!$QW$10,P34='DADOS_INVOC'!$QX$10,P34='DADOS_INVOC'!$QY$10)),O34,"")</f>
        <v/>
      </c>
      <c r="BF34">
        <f>IF(OR(P34="",P34='DADOS_INVOC'!$EL$11,P34='DADOS_INVOC'!$EM$11,P34='DADOS_INVOC'!$EN$11,P34='DADOS_INVOC'!$EO$11,P34='DADOS_INVOC'!$EP$11,P34='DADOS_INVOC'!$QV$11,P34='DADOS_INVOC'!$QW$11,P34='DADOS_INVOC'!$QX$11,P34='DADOS_INVOC'!$QY$11),O34,"")</f>
        <v/>
      </c>
      <c r="BG34">
        <f>IF(AND(Q34=1,OR(P34="",P34='DADOS_INVOC'!$EL$11,P34='DADOS_INVOC'!$EM$11,P34='DADOS_INVOC'!$EN$11,P34='DADOS_INVOC'!$EO$11,P34='DADOS_INVOC'!$EP$11,P34='DADOS_INVOC'!$QV$11,P34='DADOS_INVOC'!$QW$11,P34='DADOS_INVOC'!$QX$11,P34='DADOS_INVOC'!$QY$11)),O34,"")</f>
        <v/>
      </c>
      <c r="BH34">
        <f>IF(OR(P34="",P34='DADOS_INVOC'!$EL$12,P34='DADOS_INVOC'!$EM$12,P34='DADOS_INVOC'!$EN$12,P34='DADOS_INVOC'!$EO$12,P34='DADOS_INVOC'!$EP$12,P34='DADOS_INVOC'!$QV$12,P34='DADOS_INVOC'!$QW$12,P34='DADOS_INVOC'!$QX$12,P34='DADOS_INVOC'!$QY$12),O34,"")</f>
        <v/>
      </c>
      <c r="BI34">
        <f>IF(AND(Q34=1,OR(P34="",P34='DADOS_INVOC'!$EL$12,P34='DADOS_INVOC'!$EM$12,P34='DADOS_INVOC'!$EN$12,P34='DADOS_INVOC'!$EO$12,P34='DADOS_INVOC'!$EP$12,P34='DADOS_INVOC'!$QV$12,P34='DADOS_INVOC'!$QW$12,P34='DADOS_INVOC'!$QX$12,P34='DADOS_INVOC'!$QY$12)),O34,"")</f>
        <v/>
      </c>
      <c r="BJ34">
        <f>IF(OR(P34="",P34='DADOS_INVOC'!$EL$13,P34='DADOS_INVOC'!$EM$13,P34='DADOS_INVOC'!$EN$13,P34='DADOS_INVOC'!$EO$13,P34='DADOS_INVOC'!$EP$13,P34='DADOS_INVOC'!$QV$13,P34='DADOS_INVOC'!$QW$13,P34='DADOS_INVOC'!$QX$13,P34='DADOS_INVOC'!$QY$13),O34,"")</f>
        <v/>
      </c>
      <c r="BK34">
        <f>IF(AND(Q34=1,OR(P34="",P34='DADOS_INVOC'!$EL$13,P34='DADOS_INVOC'!$EM$13,P34='DADOS_INVOC'!$EN$13,P34='DADOS_INVOC'!$EO$13,P34='DADOS_INVOC'!$EP$13,P34='DADOS_INVOC'!$QV$13,P34='DADOS_INVOC'!$QW$13,P34='DADOS_INVOC'!$QX$13,P34='DADOS_INVOC'!$QY$13)),O34,"")</f>
        <v/>
      </c>
      <c r="BP34" t="inlineStr">
        <is>
          <t>Cego</t>
        </is>
      </c>
    </row>
    <row r="35">
      <c r="O35">
        <f>IF(ISBLANK(DADOS_AM!$BC$35),"",DADOS_AM!$BC$35)</f>
        <v/>
      </c>
      <c r="P35">
        <f>IF(ISBLANK(DADOS_AM!$BD$35),"",DADOS_AM!$BD$35)</f>
        <v/>
      </c>
      <c r="Q35">
        <f>IF(ISBLANK(DADOS_AM!$BE$35),"",DADOS_AM!$BE$35)</f>
        <v/>
      </c>
      <c r="R35">
        <f>IF(ISBLANK(DADOS_AM!$BF$35),"",DADOS_AM!$BF$35)</f>
        <v/>
      </c>
      <c r="S35">
        <f>IF(ISBLANK(DADOS_AM!$BG$35),"",DADOS_AM!$BG$35)</f>
        <v/>
      </c>
      <c r="T35">
        <f>IF(ISBLANK(DADOS_AM!$BH$35),"",DADOS_AM!$BH$35)</f>
        <v/>
      </c>
      <c r="U35">
        <f>IF(ISBLANK(DADOS_AM!$BI$35),"",DADOS_AM!$BI$35)</f>
        <v/>
      </c>
      <c r="V35">
        <f>IF(ISBLANK(DADOS_AM!$BJ$35),"",DADOS_AM!$BJ$35)</f>
        <v/>
      </c>
      <c r="W35">
        <f>IF(ISBLANK(DADOS_AM!$BK$35),"",DADOS_AM!$BK$35)</f>
        <v/>
      </c>
      <c r="X35" t="inlineStr">
        <is>
          <t>Envenenado</t>
        </is>
      </c>
      <c r="Y35" t="n">
        <v>0</v>
      </c>
      <c r="AG35">
        <f>O35</f>
        <v/>
      </c>
      <c r="AH35">
        <f>P35</f>
        <v/>
      </c>
      <c r="AI35">
        <f>Q35</f>
        <v/>
      </c>
      <c r="AJ35">
        <f>T35</f>
        <v/>
      </c>
      <c r="AK35">
        <f>Y35</f>
        <v/>
      </c>
      <c r="AL35">
        <f>W35</f>
        <v/>
      </c>
      <c r="AN35">
        <f>IF(OR(P35="",P35='DADOS_INVOC'!$EL$2,P35='DADOS_INVOC'!$EM$2,P35='DADOS_INVOC'!$EN$2,P35='DADOS_INVOC'!$EO$2,P35='DADOS_INVOC'!$EP$2,P35='DADOS_INVOC'!$QV$2,P35='DADOS_INVOC'!$QW$2,P35='DADOS_INVOC'!$QX$2,P35='DADOS_INVOC'!$QY$2),O35,"")</f>
        <v/>
      </c>
      <c r="AO35">
        <f>IF(AND(Q35=1,OR(P35="",P35='DADOS_INVOC'!$EL$2,P35='DADOS_INVOC'!$EM$2,P35='DADOS_INVOC'!$EN$2,P35='DADOS_INVOC'!$EO$2,P35='DADOS_INVOC'!$EP$2,P35='DADOS_INVOC'!$QV$2,P35='DADOS_INVOC'!$QW$2,P35='DADOS_INVOC'!$QX$2,P35='DADOS_INVOC'!$QY$2)),O35,"")</f>
        <v/>
      </c>
      <c r="AP35">
        <f>IF(OR(P35="",P35='DADOS_INVOC'!$EL$3,P35='DADOS_INVOC'!$EM$3,P35='DADOS_INVOC'!$EN$3,P35='DADOS_INVOC'!$EO$3,P35='DADOS_INVOC'!$EP$3,P35='DADOS_INVOC'!$QV$3,P35='DADOS_INVOC'!$QW$3,P35='DADOS_INVOC'!$QX$3,P35='DADOS_INVOC'!$QY$3),O35,"")</f>
        <v/>
      </c>
      <c r="AQ35">
        <f>IF(AND(Q35=1,OR(P35="",P35='DADOS_INVOC'!$EL$3,P35='DADOS_INVOC'!$EM$3,P35='DADOS_INVOC'!$EN$3,P35='DADOS_INVOC'!$EO$3,P35='DADOS_INVOC'!$EP$3,P35='DADOS_INVOC'!$QV$3,P35='DADOS_INVOC'!$QW$3,P35='DADOS_INVOC'!$QX$3,P35='DADOS_INVOC'!$QY$3)),O35,"")</f>
        <v/>
      </c>
      <c r="AR35">
        <f>IF(OR(P35="",P35='DADOS_INVOC'!$EL$4,P35='DADOS_INVOC'!$EM$4,P35='DADOS_INVOC'!$EN$4,P35='DADOS_INVOC'!$EO$4,P35='DADOS_INVOC'!$EP$4,P35='DADOS_INVOC'!$QV$4,P35='DADOS_INVOC'!$QW$4,P35='DADOS_INVOC'!$QX$4,P35='DADOS_INVOC'!$QY$4),O35,"")</f>
        <v/>
      </c>
      <c r="AS35">
        <f>IF(AND(Q35=1,OR(P35="",P35='DADOS_INVOC'!$EL$4,P35='DADOS_INVOC'!$EM$4,P35='DADOS_INVOC'!$EN$4,P35='DADOS_INVOC'!$EO$4,P35='DADOS_INVOC'!$EP$4,P35='DADOS_INVOC'!$QV$4,P35='DADOS_INVOC'!$QW$4,P35='DADOS_INVOC'!$QX$4,P35='DADOS_INVOC'!$QY$4)),O35,"")</f>
        <v/>
      </c>
      <c r="AT35">
        <f>IF(OR(P35="",P35='DADOS_INVOC'!$EL$5,P35='DADOS_INVOC'!$EM$5,P35='DADOS_INVOC'!$EN$5,P35='DADOS_INVOC'!$EO$5,P35='DADOS_INVOC'!$EP$5,P35='DADOS_INVOC'!$QV$5,P35='DADOS_INVOC'!$QW$5,P35='DADOS_INVOC'!$QX$5,P35='DADOS_INVOC'!$QY$5),O35,"")</f>
        <v/>
      </c>
      <c r="AU35">
        <f>IF(AND(Q35=1,OR(P35="",P35='DADOS_INVOC'!$EL$5,P35='DADOS_INVOC'!$EM$5,P35='DADOS_INVOC'!$EN$5,P35='DADOS_INVOC'!$EO$5,P35='DADOS_INVOC'!$EP$5,P35='DADOS_INVOC'!$QV$5,P35='DADOS_INVOC'!$QW$5,P35='DADOS_INVOC'!$QX$5,P35='DADOS_INVOC'!$QY$5)),O35,"")</f>
        <v/>
      </c>
      <c r="AV35">
        <f>IF(OR(P35="",P35='DADOS_INVOC'!$EL$6,P35='DADOS_INVOC'!$EM$6,P35='DADOS_INVOC'!$EN$6,P35='DADOS_INVOC'!$EO$6,P35='DADOS_INVOC'!$EP$6,P35='DADOS_INVOC'!$QV$6,P35='DADOS_INVOC'!$QW$6,P35='DADOS_INVOC'!$QX$6,P35='DADOS_INVOC'!$QY$6),O35,"")</f>
        <v/>
      </c>
      <c r="AW35">
        <f>IF(AND(Q35=1,OR(P35="",P35='DADOS_INVOC'!$EL$6,P35='DADOS_INVOC'!$EM$6,P35='DADOS_INVOC'!$EN$6,P35='DADOS_INVOC'!$EO$6,P35='DADOS_INVOC'!$EP$6,P35='DADOS_INVOC'!$QV$6,P35='DADOS_INVOC'!$QW$6,P35='DADOS_INVOC'!$QX$6,P35='DADOS_INVOC'!$QY$6)),O35,"")</f>
        <v/>
      </c>
      <c r="AX35">
        <f>IF(OR(P35="",P35='DADOS_INVOC'!$EL$7,P35='DADOS_INVOC'!$EM$7,P35='DADOS_INVOC'!$EN$7,P35='DADOS_INVOC'!$EO$7,P35='DADOS_INVOC'!$EP$7,P35='DADOS_INVOC'!$QV$7,P35='DADOS_INVOC'!$QW$7,P35='DADOS_INVOC'!$QX$7,P35='DADOS_INVOC'!$QY$7),O35,"")</f>
        <v/>
      </c>
      <c r="AY35">
        <f>IF(AND(Q35=1,OR(P35="",P35='DADOS_INVOC'!$EL$7,P35='DADOS_INVOC'!$EM$7,P35='DADOS_INVOC'!$EN$7,P35='DADOS_INVOC'!$EO$7,P35='DADOS_INVOC'!$EP$7,P35='DADOS_INVOC'!$QV$7,P35='DADOS_INVOC'!$QW$7,P35='DADOS_INVOC'!$QX$7,P35='DADOS_INVOC'!$QY$7)),O35,"")</f>
        <v/>
      </c>
      <c r="AZ35">
        <f>IF(OR(P35="",P35='DADOS_INVOC'!$EL$8,P35='DADOS_INVOC'!$EM$8,P35='DADOS_INVOC'!$EN$8,P35='DADOS_INVOC'!$EO$8,P35='DADOS_INVOC'!$EP$8,P35='DADOS_INVOC'!$QV$8,P35='DADOS_INVOC'!$QW$8,P35='DADOS_INVOC'!$QX$8,P35='DADOS_INVOC'!$QY$8),O35,"")</f>
        <v/>
      </c>
      <c r="BA35">
        <f>IF(AND(Q35=1,OR(P35="",P35='DADOS_INVOC'!$EL$8,P35='DADOS_INVOC'!$EM$8,P35='DADOS_INVOC'!$EN$8,P35='DADOS_INVOC'!$EO$8,P35='DADOS_INVOC'!$EP$8,P35='DADOS_INVOC'!$QV$8,P35='DADOS_INVOC'!$QW$8,P35='DADOS_INVOC'!$QX$8,P35='DADOS_INVOC'!$QY$8)),O35,"")</f>
        <v/>
      </c>
      <c r="BB35">
        <f>IF(OR(P35="",P35='DADOS_INVOC'!$EL$9,P35='DADOS_INVOC'!$EM$9,P35='DADOS_INVOC'!$EN$9,P35='DADOS_INVOC'!$EO$9,P35='DADOS_INVOC'!$EP$9,P35='DADOS_INVOC'!$QV$9,P35='DADOS_INVOC'!$QW$9,P35='DADOS_INVOC'!$QX$9,P35='DADOS_INVOC'!$QY$9),O35,"")</f>
        <v/>
      </c>
      <c r="BC35">
        <f>IF(AND(Q35=1,OR(P35="",P35='DADOS_INVOC'!$EL$9,P35='DADOS_INVOC'!$EM$9,P35='DADOS_INVOC'!$EN$9,P35='DADOS_INVOC'!$EO$9,P35='DADOS_INVOC'!$EP$9,P35='DADOS_INVOC'!$QV$9,P35='DADOS_INVOC'!$QW$9,P35='DADOS_INVOC'!$QX$9,P35='DADOS_INVOC'!$QY$9)),O35,"")</f>
        <v/>
      </c>
      <c r="BD35">
        <f>IF(OR(P35="",P35='DADOS_INVOC'!$EL$10,P35='DADOS_INVOC'!$EM$10,P35='DADOS_INVOC'!$EN$10,P35='DADOS_INVOC'!$EO$10,P35='DADOS_INVOC'!$EP$10,P35='DADOS_INVOC'!$QV$10,P35='DADOS_INVOC'!$QW$10,P35='DADOS_INVOC'!$QX$10,P35='DADOS_INVOC'!$QY$10),O35,"")</f>
        <v/>
      </c>
      <c r="BE35">
        <f>IF(AND(Q35=1,OR(P35="",P35='DADOS_INVOC'!$EL$10,P35='DADOS_INVOC'!$EM$10,P35='DADOS_INVOC'!$EN$10,P35='DADOS_INVOC'!$EO$10,P35='DADOS_INVOC'!$EP$10,P35='DADOS_INVOC'!$QV$10,P35='DADOS_INVOC'!$QW$10,P35='DADOS_INVOC'!$QX$10,P35='DADOS_INVOC'!$QY$10)),O35,"")</f>
        <v/>
      </c>
      <c r="BF35">
        <f>IF(OR(P35="",P35='DADOS_INVOC'!$EL$11,P35='DADOS_INVOC'!$EM$11,P35='DADOS_INVOC'!$EN$11,P35='DADOS_INVOC'!$EO$11,P35='DADOS_INVOC'!$EP$11,P35='DADOS_INVOC'!$QV$11,P35='DADOS_INVOC'!$QW$11,P35='DADOS_INVOC'!$QX$11,P35='DADOS_INVOC'!$QY$11),O35,"")</f>
        <v/>
      </c>
      <c r="BG35">
        <f>IF(AND(Q35=1,OR(P35="",P35='DADOS_INVOC'!$EL$11,P35='DADOS_INVOC'!$EM$11,P35='DADOS_INVOC'!$EN$11,P35='DADOS_INVOC'!$EO$11,P35='DADOS_INVOC'!$EP$11,P35='DADOS_INVOC'!$QV$11,P35='DADOS_INVOC'!$QW$11,P35='DADOS_INVOC'!$QX$11,P35='DADOS_INVOC'!$QY$11)),O35,"")</f>
        <v/>
      </c>
      <c r="BH35">
        <f>IF(OR(P35="",P35='DADOS_INVOC'!$EL$12,P35='DADOS_INVOC'!$EM$12,P35='DADOS_INVOC'!$EN$12,P35='DADOS_INVOC'!$EO$12,P35='DADOS_INVOC'!$EP$12,P35='DADOS_INVOC'!$QV$12,P35='DADOS_INVOC'!$QW$12,P35='DADOS_INVOC'!$QX$12,P35='DADOS_INVOC'!$QY$12),O35,"")</f>
        <v/>
      </c>
      <c r="BI35">
        <f>IF(AND(Q35=1,OR(P35="",P35='DADOS_INVOC'!$EL$12,P35='DADOS_INVOC'!$EM$12,P35='DADOS_INVOC'!$EN$12,P35='DADOS_INVOC'!$EO$12,P35='DADOS_INVOC'!$EP$12,P35='DADOS_INVOC'!$QV$12,P35='DADOS_INVOC'!$QW$12,P35='DADOS_INVOC'!$QX$12,P35='DADOS_INVOC'!$QY$12)),O35,"")</f>
        <v/>
      </c>
      <c r="BJ35">
        <f>IF(OR(P35="",P35='DADOS_INVOC'!$EL$13,P35='DADOS_INVOC'!$EM$13,P35='DADOS_INVOC'!$EN$13,P35='DADOS_INVOC'!$EO$13,P35='DADOS_INVOC'!$EP$13,P35='DADOS_INVOC'!$QV$13,P35='DADOS_INVOC'!$QW$13,P35='DADOS_INVOC'!$QX$13,P35='DADOS_INVOC'!$QY$13),O35,"")</f>
        <v/>
      </c>
      <c r="BK35">
        <f>IF(AND(Q35=1,OR(P35="",P35='DADOS_INVOC'!$EL$13,P35='DADOS_INVOC'!$EM$13,P35='DADOS_INVOC'!$EN$13,P35='DADOS_INVOC'!$EO$13,P35='DADOS_INVOC'!$EP$13,P35='DADOS_INVOC'!$QV$13,P35='DADOS_INVOC'!$QW$13,P35='DADOS_INVOC'!$QX$13,P35='DADOS_INVOC'!$QY$13)),O35,"")</f>
        <v/>
      </c>
      <c r="BP35" t="inlineStr">
        <is>
          <t>Amedrontado</t>
        </is>
      </c>
    </row>
    <row r="36">
      <c r="O36">
        <f>IF(ISBLANK(DADOS_AM!$BC$36),"",DADOS_AM!$BC$36)</f>
        <v/>
      </c>
      <c r="P36">
        <f>IF(ISBLANK(DADOS_AM!$BD$36),"",DADOS_AM!$BD$36)</f>
        <v/>
      </c>
      <c r="Q36">
        <f>IF(ISBLANK(DADOS_AM!$BE$36),"",DADOS_AM!$BE$36)</f>
        <v/>
      </c>
      <c r="R36">
        <f>IF(ISBLANK(DADOS_AM!$BF$36),"",DADOS_AM!$BF$36)</f>
        <v/>
      </c>
      <c r="S36">
        <f>IF(ISBLANK(DADOS_AM!$BG$36),"",DADOS_AM!$BG$36)</f>
        <v/>
      </c>
      <c r="T36">
        <f>IF(ISBLANK(DADOS_AM!$BH$36),"",DADOS_AM!$BH$36)</f>
        <v/>
      </c>
      <c r="U36">
        <f>IF(ISBLANK(DADOS_AM!$BI$36),"",DADOS_AM!$BI$36)</f>
        <v/>
      </c>
      <c r="V36">
        <f>IF(ISBLANK(DADOS_AM!$BJ$36),"",DADOS_AM!$BJ$36)</f>
        <v/>
      </c>
      <c r="W36">
        <f>IF(ISBLANK(DADOS_AM!$BK$36),"",DADOS_AM!$BK$36)</f>
        <v/>
      </c>
      <c r="X36" t="inlineStr">
        <is>
          <t>Atordoado</t>
        </is>
      </c>
      <c r="Y36" t="n">
        <v>0</v>
      </c>
      <c r="AG36">
        <f>O36</f>
        <v/>
      </c>
      <c r="AH36">
        <f>P36</f>
        <v/>
      </c>
      <c r="AI36">
        <f>Q36</f>
        <v/>
      </c>
      <c r="AJ36">
        <f>T36</f>
        <v/>
      </c>
      <c r="AK36">
        <f>Y36</f>
        <v/>
      </c>
      <c r="AL36">
        <f>W36</f>
        <v/>
      </c>
      <c r="AN36">
        <f>IF(OR(P36="",P36='DADOS_INVOC'!$EL$2,P36='DADOS_INVOC'!$EM$2,P36='DADOS_INVOC'!$EN$2,P36='DADOS_INVOC'!$EO$2,P36='DADOS_INVOC'!$EP$2,P36='DADOS_INVOC'!$QV$2,P36='DADOS_INVOC'!$QW$2,P36='DADOS_INVOC'!$QX$2,P36='DADOS_INVOC'!$QY$2),O36,"")</f>
        <v/>
      </c>
      <c r="AO36">
        <f>IF(AND(Q36=1,OR(P36="",P36='DADOS_INVOC'!$EL$2,P36='DADOS_INVOC'!$EM$2,P36='DADOS_INVOC'!$EN$2,P36='DADOS_INVOC'!$EO$2,P36='DADOS_INVOC'!$EP$2,P36='DADOS_INVOC'!$QV$2,P36='DADOS_INVOC'!$QW$2,P36='DADOS_INVOC'!$QX$2,P36='DADOS_INVOC'!$QY$2)),O36,"")</f>
        <v/>
      </c>
      <c r="AP36">
        <f>IF(OR(P36="",P36='DADOS_INVOC'!$EL$3,P36='DADOS_INVOC'!$EM$3,P36='DADOS_INVOC'!$EN$3,P36='DADOS_INVOC'!$EO$3,P36='DADOS_INVOC'!$EP$3,P36='DADOS_INVOC'!$QV$3,P36='DADOS_INVOC'!$QW$3,P36='DADOS_INVOC'!$QX$3,P36='DADOS_INVOC'!$QY$3),O36,"")</f>
        <v/>
      </c>
      <c r="AQ36">
        <f>IF(AND(Q36=1,OR(P36="",P36='DADOS_INVOC'!$EL$3,P36='DADOS_INVOC'!$EM$3,P36='DADOS_INVOC'!$EN$3,P36='DADOS_INVOC'!$EO$3,P36='DADOS_INVOC'!$EP$3,P36='DADOS_INVOC'!$QV$3,P36='DADOS_INVOC'!$QW$3,P36='DADOS_INVOC'!$QX$3,P36='DADOS_INVOC'!$QY$3)),O36,"")</f>
        <v/>
      </c>
      <c r="AR36">
        <f>IF(OR(P36="",P36='DADOS_INVOC'!$EL$4,P36='DADOS_INVOC'!$EM$4,P36='DADOS_INVOC'!$EN$4,P36='DADOS_INVOC'!$EO$4,P36='DADOS_INVOC'!$EP$4,P36='DADOS_INVOC'!$QV$4,P36='DADOS_INVOC'!$QW$4,P36='DADOS_INVOC'!$QX$4,P36='DADOS_INVOC'!$QY$4),O36,"")</f>
        <v/>
      </c>
      <c r="AS36">
        <f>IF(AND(Q36=1,OR(P36="",P36='DADOS_INVOC'!$EL$4,P36='DADOS_INVOC'!$EM$4,P36='DADOS_INVOC'!$EN$4,P36='DADOS_INVOC'!$EO$4,P36='DADOS_INVOC'!$EP$4,P36='DADOS_INVOC'!$QV$4,P36='DADOS_INVOC'!$QW$4,P36='DADOS_INVOC'!$QX$4,P36='DADOS_INVOC'!$QY$4)),O36,"")</f>
        <v/>
      </c>
      <c r="AT36">
        <f>IF(OR(P36="",P36='DADOS_INVOC'!$EL$5,P36='DADOS_INVOC'!$EM$5,P36='DADOS_INVOC'!$EN$5,P36='DADOS_INVOC'!$EO$5,P36='DADOS_INVOC'!$EP$5,P36='DADOS_INVOC'!$QV$5,P36='DADOS_INVOC'!$QW$5,P36='DADOS_INVOC'!$QX$5,P36='DADOS_INVOC'!$QY$5),O36,"")</f>
        <v/>
      </c>
      <c r="AU36">
        <f>IF(AND(Q36=1,OR(P36="",P36='DADOS_INVOC'!$EL$5,P36='DADOS_INVOC'!$EM$5,P36='DADOS_INVOC'!$EN$5,P36='DADOS_INVOC'!$EO$5,P36='DADOS_INVOC'!$EP$5,P36='DADOS_INVOC'!$QV$5,P36='DADOS_INVOC'!$QW$5,P36='DADOS_INVOC'!$QX$5,P36='DADOS_INVOC'!$QY$5)),O36,"")</f>
        <v/>
      </c>
      <c r="AV36">
        <f>IF(OR(P36="",P36='DADOS_INVOC'!$EL$6,P36='DADOS_INVOC'!$EM$6,P36='DADOS_INVOC'!$EN$6,P36='DADOS_INVOC'!$EO$6,P36='DADOS_INVOC'!$EP$6,P36='DADOS_INVOC'!$QV$6,P36='DADOS_INVOC'!$QW$6,P36='DADOS_INVOC'!$QX$6,P36='DADOS_INVOC'!$QY$6),O36,"")</f>
        <v/>
      </c>
      <c r="AW36">
        <f>IF(AND(Q36=1,OR(P36="",P36='DADOS_INVOC'!$EL$6,P36='DADOS_INVOC'!$EM$6,P36='DADOS_INVOC'!$EN$6,P36='DADOS_INVOC'!$EO$6,P36='DADOS_INVOC'!$EP$6,P36='DADOS_INVOC'!$QV$6,P36='DADOS_INVOC'!$QW$6,P36='DADOS_INVOC'!$QX$6,P36='DADOS_INVOC'!$QY$6)),O36,"")</f>
        <v/>
      </c>
      <c r="AX36">
        <f>IF(OR(P36="",P36='DADOS_INVOC'!$EL$7,P36='DADOS_INVOC'!$EM$7,P36='DADOS_INVOC'!$EN$7,P36='DADOS_INVOC'!$EO$7,P36='DADOS_INVOC'!$EP$7,P36='DADOS_INVOC'!$QV$7,P36='DADOS_INVOC'!$QW$7,P36='DADOS_INVOC'!$QX$7,P36='DADOS_INVOC'!$QY$7),O36,"")</f>
        <v/>
      </c>
      <c r="AY36">
        <f>IF(AND(Q36=1,OR(P36="",P36='DADOS_INVOC'!$EL$7,P36='DADOS_INVOC'!$EM$7,P36='DADOS_INVOC'!$EN$7,P36='DADOS_INVOC'!$EO$7,P36='DADOS_INVOC'!$EP$7,P36='DADOS_INVOC'!$QV$7,P36='DADOS_INVOC'!$QW$7,P36='DADOS_INVOC'!$QX$7,P36='DADOS_INVOC'!$QY$7)),O36,"")</f>
        <v/>
      </c>
      <c r="AZ36">
        <f>IF(OR(P36="",P36='DADOS_INVOC'!$EL$8,P36='DADOS_INVOC'!$EM$8,P36='DADOS_INVOC'!$EN$8,P36='DADOS_INVOC'!$EO$8,P36='DADOS_INVOC'!$EP$8,P36='DADOS_INVOC'!$QV$8,P36='DADOS_INVOC'!$QW$8,P36='DADOS_INVOC'!$QX$8,P36='DADOS_INVOC'!$QY$8),O36,"")</f>
        <v/>
      </c>
      <c r="BA36">
        <f>IF(AND(Q36=1,OR(P36="",P36='DADOS_INVOC'!$EL$8,P36='DADOS_INVOC'!$EM$8,P36='DADOS_INVOC'!$EN$8,P36='DADOS_INVOC'!$EO$8,P36='DADOS_INVOC'!$EP$8,P36='DADOS_INVOC'!$QV$8,P36='DADOS_INVOC'!$QW$8,P36='DADOS_INVOC'!$QX$8,P36='DADOS_INVOC'!$QY$8)),O36,"")</f>
        <v/>
      </c>
      <c r="BB36">
        <f>IF(OR(P36="",P36='DADOS_INVOC'!$EL$9,P36='DADOS_INVOC'!$EM$9,P36='DADOS_INVOC'!$EN$9,P36='DADOS_INVOC'!$EO$9,P36='DADOS_INVOC'!$EP$9,P36='DADOS_INVOC'!$QV$9,P36='DADOS_INVOC'!$QW$9,P36='DADOS_INVOC'!$QX$9,P36='DADOS_INVOC'!$QY$9),O36,"")</f>
        <v/>
      </c>
      <c r="BC36">
        <f>IF(AND(Q36=1,OR(P36="",P36='DADOS_INVOC'!$EL$9,P36='DADOS_INVOC'!$EM$9,P36='DADOS_INVOC'!$EN$9,P36='DADOS_INVOC'!$EO$9,P36='DADOS_INVOC'!$EP$9,P36='DADOS_INVOC'!$QV$9,P36='DADOS_INVOC'!$QW$9,P36='DADOS_INVOC'!$QX$9,P36='DADOS_INVOC'!$QY$9)),O36,"")</f>
        <v/>
      </c>
      <c r="BD36">
        <f>IF(OR(P36="",P36='DADOS_INVOC'!$EL$10,P36='DADOS_INVOC'!$EM$10,P36='DADOS_INVOC'!$EN$10,P36='DADOS_INVOC'!$EO$10,P36='DADOS_INVOC'!$EP$10,P36='DADOS_INVOC'!$QV$10,P36='DADOS_INVOC'!$QW$10,P36='DADOS_INVOC'!$QX$10,P36='DADOS_INVOC'!$QY$10),O36,"")</f>
        <v/>
      </c>
      <c r="BE36">
        <f>IF(AND(Q36=1,OR(P36="",P36='DADOS_INVOC'!$EL$10,P36='DADOS_INVOC'!$EM$10,P36='DADOS_INVOC'!$EN$10,P36='DADOS_INVOC'!$EO$10,P36='DADOS_INVOC'!$EP$10,P36='DADOS_INVOC'!$QV$10,P36='DADOS_INVOC'!$QW$10,P36='DADOS_INVOC'!$QX$10,P36='DADOS_INVOC'!$QY$10)),O36,"")</f>
        <v/>
      </c>
      <c r="BF36">
        <f>IF(OR(P36="",P36='DADOS_INVOC'!$EL$11,P36='DADOS_INVOC'!$EM$11,P36='DADOS_INVOC'!$EN$11,P36='DADOS_INVOC'!$EO$11,P36='DADOS_INVOC'!$EP$11,P36='DADOS_INVOC'!$QV$11,P36='DADOS_INVOC'!$QW$11,P36='DADOS_INVOC'!$QX$11,P36='DADOS_INVOC'!$QY$11),O36,"")</f>
        <v/>
      </c>
      <c r="BG36">
        <f>IF(AND(Q36=1,OR(P36="",P36='DADOS_INVOC'!$EL$11,P36='DADOS_INVOC'!$EM$11,P36='DADOS_INVOC'!$EN$11,P36='DADOS_INVOC'!$EO$11,P36='DADOS_INVOC'!$EP$11,P36='DADOS_INVOC'!$QV$11,P36='DADOS_INVOC'!$QW$11,P36='DADOS_INVOC'!$QX$11,P36='DADOS_INVOC'!$QY$11)),O36,"")</f>
        <v/>
      </c>
      <c r="BH36">
        <f>IF(OR(P36="",P36='DADOS_INVOC'!$EL$12,P36='DADOS_INVOC'!$EM$12,P36='DADOS_INVOC'!$EN$12,P36='DADOS_INVOC'!$EO$12,P36='DADOS_INVOC'!$EP$12,P36='DADOS_INVOC'!$QV$12,P36='DADOS_INVOC'!$QW$12,P36='DADOS_INVOC'!$QX$12,P36='DADOS_INVOC'!$QY$12),O36,"")</f>
        <v/>
      </c>
      <c r="BI36">
        <f>IF(AND(Q36=1,OR(P36="",P36='DADOS_INVOC'!$EL$12,P36='DADOS_INVOC'!$EM$12,P36='DADOS_INVOC'!$EN$12,P36='DADOS_INVOC'!$EO$12,P36='DADOS_INVOC'!$EP$12,P36='DADOS_INVOC'!$QV$12,P36='DADOS_INVOC'!$QW$12,P36='DADOS_INVOC'!$QX$12,P36='DADOS_INVOC'!$QY$12)),O36,"")</f>
        <v/>
      </c>
      <c r="BJ36">
        <f>IF(OR(P36="",P36='DADOS_INVOC'!$EL$13,P36='DADOS_INVOC'!$EM$13,P36='DADOS_INVOC'!$EN$13,P36='DADOS_INVOC'!$EO$13,P36='DADOS_INVOC'!$EP$13,P36='DADOS_INVOC'!$QV$13,P36='DADOS_INVOC'!$QW$13,P36='DADOS_INVOC'!$QX$13,P36='DADOS_INVOC'!$QY$13),O36,"")</f>
        <v/>
      </c>
      <c r="BK36">
        <f>IF(AND(Q36=1,OR(P36="",P36='DADOS_INVOC'!$EL$13,P36='DADOS_INVOC'!$EM$13,P36='DADOS_INVOC'!$EN$13,P36='DADOS_INVOC'!$EO$13,P36='DADOS_INVOC'!$EP$13,P36='DADOS_INVOC'!$QV$13,P36='DADOS_INVOC'!$QW$13,P36='DADOS_INVOC'!$QX$13,P36='DADOS_INVOC'!$QY$13)),O36,"")</f>
        <v/>
      </c>
      <c r="BP36" t="inlineStr">
        <is>
          <t>Envenenado</t>
        </is>
      </c>
    </row>
    <row r="37">
      <c r="O37">
        <f>IF(ISBLANK(DADOS_AM!$BC$37),"",DADOS_AM!$BC$37)</f>
        <v/>
      </c>
      <c r="P37">
        <f>IF(ISBLANK(DADOS_AM!$BD$37),"",DADOS_AM!$BD$37)</f>
        <v/>
      </c>
      <c r="Q37">
        <f>IF(ISBLANK(DADOS_AM!$BE$37),"",DADOS_AM!$BE$37)</f>
        <v/>
      </c>
      <c r="R37">
        <f>IF(ISBLANK(DADOS_AM!$BF$37),"",DADOS_AM!$BF$37)</f>
        <v/>
      </c>
      <c r="S37">
        <f>IF(ISBLANK(DADOS_AM!$BG$37),"",DADOS_AM!$BG$37)</f>
        <v/>
      </c>
      <c r="T37">
        <f>IF(ISBLANK(DADOS_AM!$BH$37),"",DADOS_AM!$BH$37)</f>
        <v/>
      </c>
      <c r="U37">
        <f>IF(ISBLANK(DADOS_AM!$BI$37),"",DADOS_AM!$BI$37)</f>
        <v/>
      </c>
      <c r="V37">
        <f>IF(ISBLANK(DADOS_AM!$BJ$37),"",DADOS_AM!$BJ$37)</f>
        <v/>
      </c>
      <c r="W37">
        <f>IF(ISBLANK(DADOS_AM!$BK$37),"",DADOS_AM!$BK$37)</f>
        <v/>
      </c>
      <c r="X37" t="inlineStr">
        <is>
          <t>Terreno</t>
        </is>
      </c>
      <c r="Y37" t="n">
        <v>0</v>
      </c>
      <c r="AG37">
        <f>O37</f>
        <v/>
      </c>
      <c r="AH37">
        <f>P37</f>
        <v/>
      </c>
      <c r="AI37">
        <f>Q37</f>
        <v/>
      </c>
      <c r="AJ37">
        <f>T37</f>
        <v/>
      </c>
      <c r="AK37">
        <f>Y37</f>
        <v/>
      </c>
      <c r="AL37">
        <f>W37</f>
        <v/>
      </c>
      <c r="AN37">
        <f>IF(OR(P37="",P37='DADOS_INVOC'!$EL$2,P37='DADOS_INVOC'!$EM$2,P37='DADOS_INVOC'!$EN$2,P37='DADOS_INVOC'!$EO$2,P37='DADOS_INVOC'!$EP$2,P37='DADOS_INVOC'!$QV$2,P37='DADOS_INVOC'!$QW$2,P37='DADOS_INVOC'!$QX$2,P37='DADOS_INVOC'!$QY$2),O37,"")</f>
        <v/>
      </c>
      <c r="AO37">
        <f>IF(AND(Q37=1,OR(P37="",P37='DADOS_INVOC'!$EL$2,P37='DADOS_INVOC'!$EM$2,P37='DADOS_INVOC'!$EN$2,P37='DADOS_INVOC'!$EO$2,P37='DADOS_INVOC'!$EP$2,P37='DADOS_INVOC'!$QV$2,P37='DADOS_INVOC'!$QW$2,P37='DADOS_INVOC'!$QX$2,P37='DADOS_INVOC'!$QY$2)),O37,"")</f>
        <v/>
      </c>
      <c r="AP37">
        <f>IF(OR(P37="",P37='DADOS_INVOC'!$EL$3,P37='DADOS_INVOC'!$EM$3,P37='DADOS_INVOC'!$EN$3,P37='DADOS_INVOC'!$EO$3,P37='DADOS_INVOC'!$EP$3,P37='DADOS_INVOC'!$QV$3,P37='DADOS_INVOC'!$QW$3,P37='DADOS_INVOC'!$QX$3,P37='DADOS_INVOC'!$QY$3),O37,"")</f>
        <v/>
      </c>
      <c r="AQ37">
        <f>IF(AND(Q37=1,OR(P37="",P37='DADOS_INVOC'!$EL$3,P37='DADOS_INVOC'!$EM$3,P37='DADOS_INVOC'!$EN$3,P37='DADOS_INVOC'!$EO$3,P37='DADOS_INVOC'!$EP$3,P37='DADOS_INVOC'!$QV$3,P37='DADOS_INVOC'!$QW$3,P37='DADOS_INVOC'!$QX$3,P37='DADOS_INVOC'!$QY$3)),O37,"")</f>
        <v/>
      </c>
      <c r="AR37">
        <f>IF(OR(P37="",P37='DADOS_INVOC'!$EL$4,P37='DADOS_INVOC'!$EM$4,P37='DADOS_INVOC'!$EN$4,P37='DADOS_INVOC'!$EO$4,P37='DADOS_INVOC'!$EP$4,P37='DADOS_INVOC'!$QV$4,P37='DADOS_INVOC'!$QW$4,P37='DADOS_INVOC'!$QX$4,P37='DADOS_INVOC'!$QY$4),O37,"")</f>
        <v/>
      </c>
      <c r="AS37">
        <f>IF(AND(Q37=1,OR(P37="",P37='DADOS_INVOC'!$EL$4,P37='DADOS_INVOC'!$EM$4,P37='DADOS_INVOC'!$EN$4,P37='DADOS_INVOC'!$EO$4,P37='DADOS_INVOC'!$EP$4,P37='DADOS_INVOC'!$QV$4,P37='DADOS_INVOC'!$QW$4,P37='DADOS_INVOC'!$QX$4,P37='DADOS_INVOC'!$QY$4)),O37,"")</f>
        <v/>
      </c>
      <c r="AT37">
        <f>IF(OR(P37="",P37='DADOS_INVOC'!$EL$5,P37='DADOS_INVOC'!$EM$5,P37='DADOS_INVOC'!$EN$5,P37='DADOS_INVOC'!$EO$5,P37='DADOS_INVOC'!$EP$5,P37='DADOS_INVOC'!$QV$5,P37='DADOS_INVOC'!$QW$5,P37='DADOS_INVOC'!$QX$5,P37='DADOS_INVOC'!$QY$5),O37,"")</f>
        <v/>
      </c>
      <c r="AU37">
        <f>IF(AND(Q37=1,OR(P37="",P37='DADOS_INVOC'!$EL$5,P37='DADOS_INVOC'!$EM$5,P37='DADOS_INVOC'!$EN$5,P37='DADOS_INVOC'!$EO$5,P37='DADOS_INVOC'!$EP$5,P37='DADOS_INVOC'!$QV$5,P37='DADOS_INVOC'!$QW$5,P37='DADOS_INVOC'!$QX$5,P37='DADOS_INVOC'!$QY$5)),O37,"")</f>
        <v/>
      </c>
      <c r="AV37">
        <f>IF(OR(P37="",P37='DADOS_INVOC'!$EL$6,P37='DADOS_INVOC'!$EM$6,P37='DADOS_INVOC'!$EN$6,P37='DADOS_INVOC'!$EO$6,P37='DADOS_INVOC'!$EP$6,P37='DADOS_INVOC'!$QV$6,P37='DADOS_INVOC'!$QW$6,P37='DADOS_INVOC'!$QX$6,P37='DADOS_INVOC'!$QY$6),O37,"")</f>
        <v/>
      </c>
      <c r="AW37">
        <f>IF(AND(Q37=1,OR(P37="",P37='DADOS_INVOC'!$EL$6,P37='DADOS_INVOC'!$EM$6,P37='DADOS_INVOC'!$EN$6,P37='DADOS_INVOC'!$EO$6,P37='DADOS_INVOC'!$EP$6,P37='DADOS_INVOC'!$QV$6,P37='DADOS_INVOC'!$QW$6,P37='DADOS_INVOC'!$QX$6,P37='DADOS_INVOC'!$QY$6)),O37,"")</f>
        <v/>
      </c>
      <c r="AX37">
        <f>IF(OR(P37="",P37='DADOS_INVOC'!$EL$7,P37='DADOS_INVOC'!$EM$7,P37='DADOS_INVOC'!$EN$7,P37='DADOS_INVOC'!$EO$7,P37='DADOS_INVOC'!$EP$7,P37='DADOS_INVOC'!$QV$7,P37='DADOS_INVOC'!$QW$7,P37='DADOS_INVOC'!$QX$7,P37='DADOS_INVOC'!$QY$7),O37,"")</f>
        <v/>
      </c>
      <c r="AY37">
        <f>IF(AND(Q37=1,OR(P37="",P37='DADOS_INVOC'!$EL$7,P37='DADOS_INVOC'!$EM$7,P37='DADOS_INVOC'!$EN$7,P37='DADOS_INVOC'!$EO$7,P37='DADOS_INVOC'!$EP$7,P37='DADOS_INVOC'!$QV$7,P37='DADOS_INVOC'!$QW$7,P37='DADOS_INVOC'!$QX$7,P37='DADOS_INVOC'!$QY$7)),O37,"")</f>
        <v/>
      </c>
      <c r="AZ37">
        <f>IF(OR(P37="",P37='DADOS_INVOC'!$EL$8,P37='DADOS_INVOC'!$EM$8,P37='DADOS_INVOC'!$EN$8,P37='DADOS_INVOC'!$EO$8,P37='DADOS_INVOC'!$EP$8,P37='DADOS_INVOC'!$QV$8,P37='DADOS_INVOC'!$QW$8,P37='DADOS_INVOC'!$QX$8,P37='DADOS_INVOC'!$QY$8),O37,"")</f>
        <v/>
      </c>
      <c r="BA37">
        <f>IF(AND(Q37=1,OR(P37="",P37='DADOS_INVOC'!$EL$8,P37='DADOS_INVOC'!$EM$8,P37='DADOS_INVOC'!$EN$8,P37='DADOS_INVOC'!$EO$8,P37='DADOS_INVOC'!$EP$8,P37='DADOS_INVOC'!$QV$8,P37='DADOS_INVOC'!$QW$8,P37='DADOS_INVOC'!$QX$8,P37='DADOS_INVOC'!$QY$8)),O37,"")</f>
        <v/>
      </c>
      <c r="BB37">
        <f>IF(OR(P37="",P37='DADOS_INVOC'!$EL$9,P37='DADOS_INVOC'!$EM$9,P37='DADOS_INVOC'!$EN$9,P37='DADOS_INVOC'!$EO$9,P37='DADOS_INVOC'!$EP$9,P37='DADOS_INVOC'!$QV$9,P37='DADOS_INVOC'!$QW$9,P37='DADOS_INVOC'!$QX$9,P37='DADOS_INVOC'!$QY$9),O37,"")</f>
        <v/>
      </c>
      <c r="BC37">
        <f>IF(AND(Q37=1,OR(P37="",P37='DADOS_INVOC'!$EL$9,P37='DADOS_INVOC'!$EM$9,P37='DADOS_INVOC'!$EN$9,P37='DADOS_INVOC'!$EO$9,P37='DADOS_INVOC'!$EP$9,P37='DADOS_INVOC'!$QV$9,P37='DADOS_INVOC'!$QW$9,P37='DADOS_INVOC'!$QX$9,P37='DADOS_INVOC'!$QY$9)),O37,"")</f>
        <v/>
      </c>
      <c r="BD37">
        <f>IF(OR(P37="",P37='DADOS_INVOC'!$EL$10,P37='DADOS_INVOC'!$EM$10,P37='DADOS_INVOC'!$EN$10,P37='DADOS_INVOC'!$EO$10,P37='DADOS_INVOC'!$EP$10,P37='DADOS_INVOC'!$QV$10,P37='DADOS_INVOC'!$QW$10,P37='DADOS_INVOC'!$QX$10,P37='DADOS_INVOC'!$QY$10),O37,"")</f>
        <v/>
      </c>
      <c r="BE37">
        <f>IF(AND(Q37=1,OR(P37="",P37='DADOS_INVOC'!$EL$10,P37='DADOS_INVOC'!$EM$10,P37='DADOS_INVOC'!$EN$10,P37='DADOS_INVOC'!$EO$10,P37='DADOS_INVOC'!$EP$10,P37='DADOS_INVOC'!$QV$10,P37='DADOS_INVOC'!$QW$10,P37='DADOS_INVOC'!$QX$10,P37='DADOS_INVOC'!$QY$10)),O37,"")</f>
        <v/>
      </c>
      <c r="BF37">
        <f>IF(OR(P37="",P37='DADOS_INVOC'!$EL$11,P37='DADOS_INVOC'!$EM$11,P37='DADOS_INVOC'!$EN$11,P37='DADOS_INVOC'!$EO$11,P37='DADOS_INVOC'!$EP$11,P37='DADOS_INVOC'!$QV$11,P37='DADOS_INVOC'!$QW$11,P37='DADOS_INVOC'!$QX$11,P37='DADOS_INVOC'!$QY$11),O37,"")</f>
        <v/>
      </c>
      <c r="BG37">
        <f>IF(AND(Q37=1,OR(P37="",P37='DADOS_INVOC'!$EL$11,P37='DADOS_INVOC'!$EM$11,P37='DADOS_INVOC'!$EN$11,P37='DADOS_INVOC'!$EO$11,P37='DADOS_INVOC'!$EP$11,P37='DADOS_INVOC'!$QV$11,P37='DADOS_INVOC'!$QW$11,P37='DADOS_INVOC'!$QX$11,P37='DADOS_INVOC'!$QY$11)),O37,"")</f>
        <v/>
      </c>
      <c r="BH37">
        <f>IF(OR(P37="",P37='DADOS_INVOC'!$EL$12,P37='DADOS_INVOC'!$EM$12,P37='DADOS_INVOC'!$EN$12,P37='DADOS_INVOC'!$EO$12,P37='DADOS_INVOC'!$EP$12,P37='DADOS_INVOC'!$QV$12,P37='DADOS_INVOC'!$QW$12,P37='DADOS_INVOC'!$QX$12,P37='DADOS_INVOC'!$QY$12),O37,"")</f>
        <v/>
      </c>
      <c r="BI37">
        <f>IF(AND(Q37=1,OR(P37="",P37='DADOS_INVOC'!$EL$12,P37='DADOS_INVOC'!$EM$12,P37='DADOS_INVOC'!$EN$12,P37='DADOS_INVOC'!$EO$12,P37='DADOS_INVOC'!$EP$12,P37='DADOS_INVOC'!$QV$12,P37='DADOS_INVOC'!$QW$12,P37='DADOS_INVOC'!$QX$12,P37='DADOS_INVOC'!$QY$12)),O37,"")</f>
        <v/>
      </c>
      <c r="BJ37">
        <f>IF(OR(P37="",P37='DADOS_INVOC'!$EL$13,P37='DADOS_INVOC'!$EM$13,P37='DADOS_INVOC'!$EN$13,P37='DADOS_INVOC'!$EO$13,P37='DADOS_INVOC'!$EP$13,P37='DADOS_INVOC'!$QV$13,P37='DADOS_INVOC'!$QW$13,P37='DADOS_INVOC'!$QX$13,P37='DADOS_INVOC'!$QY$13),O37,"")</f>
        <v/>
      </c>
      <c r="BK37">
        <f>IF(AND(Q37=1,OR(P37="",P37='DADOS_INVOC'!$EL$13,P37='DADOS_INVOC'!$EM$13,P37='DADOS_INVOC'!$EN$13,P37='DADOS_INVOC'!$EO$13,P37='DADOS_INVOC'!$EP$13,P37='DADOS_INVOC'!$QV$13,P37='DADOS_INVOC'!$QW$13,P37='DADOS_INVOC'!$QX$13,P37='DADOS_INVOC'!$QY$13)),O37,"")</f>
        <v/>
      </c>
      <c r="BP37" t="inlineStr">
        <is>
          <t>Atordoado</t>
        </is>
      </c>
    </row>
    <row r="38">
      <c r="O38">
        <f>IF(ISBLANK(DADOS_AM!$BC$38),"",DADOS_AM!$BC$38)</f>
        <v/>
      </c>
      <c r="P38">
        <f>IF(ISBLANK(DADOS_AM!$BD$38),"",DADOS_AM!$BD$38)</f>
        <v/>
      </c>
      <c r="Q38">
        <f>IF(ISBLANK(DADOS_AM!$BE$38),"",DADOS_AM!$BE$38)</f>
        <v/>
      </c>
      <c r="R38">
        <f>IF(ISBLANK(DADOS_AM!$BF$38),"",DADOS_AM!$BF$38)</f>
        <v/>
      </c>
      <c r="S38">
        <f>IF(ISBLANK(DADOS_AM!$BG$38),"",DADOS_AM!$BG$38)</f>
        <v/>
      </c>
      <c r="T38">
        <f>IF(ISBLANK(DADOS_AM!$BH$38),"",DADOS_AM!$BH$38)</f>
        <v/>
      </c>
      <c r="U38">
        <f>IF(ISBLANK(DADOS_AM!$BI$38),"",DADOS_AM!$BI$38)</f>
        <v/>
      </c>
      <c r="V38">
        <f>IF(ISBLANK(DADOS_AM!$BJ$38),"",DADOS_AM!$BJ$38)</f>
        <v/>
      </c>
      <c r="W38">
        <f>IF(ISBLANK(DADOS_AM!$BK$38),"",DADOS_AM!$BK$38)</f>
        <v/>
      </c>
      <c r="X38" t="inlineStr">
        <is>
          <t>Cerca</t>
        </is>
      </c>
      <c r="Y38" t="n">
        <v>0</v>
      </c>
      <c r="AG38">
        <f>O38</f>
        <v/>
      </c>
      <c r="AH38">
        <f>P38</f>
        <v/>
      </c>
      <c r="AI38">
        <f>Q38</f>
        <v/>
      </c>
      <c r="AJ38">
        <f>T38</f>
        <v/>
      </c>
      <c r="AK38">
        <f>Y38</f>
        <v/>
      </c>
      <c r="AL38">
        <f>W38</f>
        <v/>
      </c>
      <c r="AN38">
        <f>IF(OR(P38="",P38='DADOS_INVOC'!$EL$2,P38='DADOS_INVOC'!$EM$2,P38='DADOS_INVOC'!$EN$2,P38='DADOS_INVOC'!$EO$2,P38='DADOS_INVOC'!$EP$2,P38='DADOS_INVOC'!$QV$2,P38='DADOS_INVOC'!$QW$2,P38='DADOS_INVOC'!$QX$2,P38='DADOS_INVOC'!$QY$2),O38,"")</f>
        <v/>
      </c>
      <c r="AO38">
        <f>IF(AND(Q38=1,OR(P38="",P38='DADOS_INVOC'!$EL$2,P38='DADOS_INVOC'!$EM$2,P38='DADOS_INVOC'!$EN$2,P38='DADOS_INVOC'!$EO$2,P38='DADOS_INVOC'!$EP$2,P38='DADOS_INVOC'!$QV$2,P38='DADOS_INVOC'!$QW$2,P38='DADOS_INVOC'!$QX$2,P38='DADOS_INVOC'!$QY$2)),O38,"")</f>
        <v/>
      </c>
      <c r="AP38">
        <f>IF(OR(P38="",P38='DADOS_INVOC'!$EL$3,P38='DADOS_INVOC'!$EM$3,P38='DADOS_INVOC'!$EN$3,P38='DADOS_INVOC'!$EO$3,P38='DADOS_INVOC'!$EP$3,P38='DADOS_INVOC'!$QV$3,P38='DADOS_INVOC'!$QW$3,P38='DADOS_INVOC'!$QX$3,P38='DADOS_INVOC'!$QY$3),O38,"")</f>
        <v/>
      </c>
      <c r="AQ38">
        <f>IF(AND(Q38=1,OR(P38="",P38='DADOS_INVOC'!$EL$3,P38='DADOS_INVOC'!$EM$3,P38='DADOS_INVOC'!$EN$3,P38='DADOS_INVOC'!$EO$3,P38='DADOS_INVOC'!$EP$3,P38='DADOS_INVOC'!$QV$3,P38='DADOS_INVOC'!$QW$3,P38='DADOS_INVOC'!$QX$3,P38='DADOS_INVOC'!$QY$3)),O38,"")</f>
        <v/>
      </c>
      <c r="AR38">
        <f>IF(OR(P38="",P38='DADOS_INVOC'!$EL$4,P38='DADOS_INVOC'!$EM$4,P38='DADOS_INVOC'!$EN$4,P38='DADOS_INVOC'!$EO$4,P38='DADOS_INVOC'!$EP$4,P38='DADOS_INVOC'!$QV$4,P38='DADOS_INVOC'!$QW$4,P38='DADOS_INVOC'!$QX$4,P38='DADOS_INVOC'!$QY$4),O38,"")</f>
        <v/>
      </c>
      <c r="AS38">
        <f>IF(AND(Q38=1,OR(P38="",P38='DADOS_INVOC'!$EL$4,P38='DADOS_INVOC'!$EM$4,P38='DADOS_INVOC'!$EN$4,P38='DADOS_INVOC'!$EO$4,P38='DADOS_INVOC'!$EP$4,P38='DADOS_INVOC'!$QV$4,P38='DADOS_INVOC'!$QW$4,P38='DADOS_INVOC'!$QX$4,P38='DADOS_INVOC'!$QY$4)),O38,"")</f>
        <v/>
      </c>
      <c r="AT38">
        <f>IF(OR(P38="",P38='DADOS_INVOC'!$EL$5,P38='DADOS_INVOC'!$EM$5,P38='DADOS_INVOC'!$EN$5,P38='DADOS_INVOC'!$EO$5,P38='DADOS_INVOC'!$EP$5,P38='DADOS_INVOC'!$QV$5,P38='DADOS_INVOC'!$QW$5,P38='DADOS_INVOC'!$QX$5,P38='DADOS_INVOC'!$QY$5),O38,"")</f>
        <v/>
      </c>
      <c r="AU38">
        <f>IF(AND(Q38=1,OR(P38="",P38='DADOS_INVOC'!$EL$5,P38='DADOS_INVOC'!$EM$5,P38='DADOS_INVOC'!$EN$5,P38='DADOS_INVOC'!$EO$5,P38='DADOS_INVOC'!$EP$5,P38='DADOS_INVOC'!$QV$5,P38='DADOS_INVOC'!$QW$5,P38='DADOS_INVOC'!$QX$5,P38='DADOS_INVOC'!$QY$5)),O38,"")</f>
        <v/>
      </c>
      <c r="AV38">
        <f>IF(OR(P38="",P38='DADOS_INVOC'!$EL$6,P38='DADOS_INVOC'!$EM$6,P38='DADOS_INVOC'!$EN$6,P38='DADOS_INVOC'!$EO$6,P38='DADOS_INVOC'!$EP$6,P38='DADOS_INVOC'!$QV$6,P38='DADOS_INVOC'!$QW$6,P38='DADOS_INVOC'!$QX$6,P38='DADOS_INVOC'!$QY$6),O38,"")</f>
        <v/>
      </c>
      <c r="AW38">
        <f>IF(AND(Q38=1,OR(P38="",P38='DADOS_INVOC'!$EL$6,P38='DADOS_INVOC'!$EM$6,P38='DADOS_INVOC'!$EN$6,P38='DADOS_INVOC'!$EO$6,P38='DADOS_INVOC'!$EP$6,P38='DADOS_INVOC'!$QV$6,P38='DADOS_INVOC'!$QW$6,P38='DADOS_INVOC'!$QX$6,P38='DADOS_INVOC'!$QY$6)),O38,"")</f>
        <v/>
      </c>
      <c r="AX38">
        <f>IF(OR(P38="",P38='DADOS_INVOC'!$EL$7,P38='DADOS_INVOC'!$EM$7,P38='DADOS_INVOC'!$EN$7,P38='DADOS_INVOC'!$EO$7,P38='DADOS_INVOC'!$EP$7,P38='DADOS_INVOC'!$QV$7,P38='DADOS_INVOC'!$QW$7,P38='DADOS_INVOC'!$QX$7,P38='DADOS_INVOC'!$QY$7),O38,"")</f>
        <v/>
      </c>
      <c r="AY38">
        <f>IF(AND(Q38=1,OR(P38="",P38='DADOS_INVOC'!$EL$7,P38='DADOS_INVOC'!$EM$7,P38='DADOS_INVOC'!$EN$7,P38='DADOS_INVOC'!$EO$7,P38='DADOS_INVOC'!$EP$7,P38='DADOS_INVOC'!$QV$7,P38='DADOS_INVOC'!$QW$7,P38='DADOS_INVOC'!$QX$7,P38='DADOS_INVOC'!$QY$7)),O38,"")</f>
        <v/>
      </c>
      <c r="AZ38">
        <f>IF(OR(P38="",P38='DADOS_INVOC'!$EL$8,P38='DADOS_INVOC'!$EM$8,P38='DADOS_INVOC'!$EN$8,P38='DADOS_INVOC'!$EO$8,P38='DADOS_INVOC'!$EP$8,P38='DADOS_INVOC'!$QV$8,P38='DADOS_INVOC'!$QW$8,P38='DADOS_INVOC'!$QX$8,P38='DADOS_INVOC'!$QY$8),O38,"")</f>
        <v/>
      </c>
      <c r="BA38">
        <f>IF(AND(Q38=1,OR(P38="",P38='DADOS_INVOC'!$EL$8,P38='DADOS_INVOC'!$EM$8,P38='DADOS_INVOC'!$EN$8,P38='DADOS_INVOC'!$EO$8,P38='DADOS_INVOC'!$EP$8,P38='DADOS_INVOC'!$QV$8,P38='DADOS_INVOC'!$QW$8,P38='DADOS_INVOC'!$QX$8,P38='DADOS_INVOC'!$QY$8)),O38,"")</f>
        <v/>
      </c>
      <c r="BB38">
        <f>IF(OR(P38="",P38='DADOS_INVOC'!$EL$9,P38='DADOS_INVOC'!$EM$9,P38='DADOS_INVOC'!$EN$9,P38='DADOS_INVOC'!$EO$9,P38='DADOS_INVOC'!$EP$9,P38='DADOS_INVOC'!$QV$9,P38='DADOS_INVOC'!$QW$9,P38='DADOS_INVOC'!$QX$9,P38='DADOS_INVOC'!$QY$9),O38,"")</f>
        <v/>
      </c>
      <c r="BC38">
        <f>IF(AND(Q38=1,OR(P38="",P38='DADOS_INVOC'!$EL$9,P38='DADOS_INVOC'!$EM$9,P38='DADOS_INVOC'!$EN$9,P38='DADOS_INVOC'!$EO$9,P38='DADOS_INVOC'!$EP$9,P38='DADOS_INVOC'!$QV$9,P38='DADOS_INVOC'!$QW$9,P38='DADOS_INVOC'!$QX$9,P38='DADOS_INVOC'!$QY$9)),O38,"")</f>
        <v/>
      </c>
      <c r="BD38">
        <f>IF(OR(P38="",P38='DADOS_INVOC'!$EL$10,P38='DADOS_INVOC'!$EM$10,P38='DADOS_INVOC'!$EN$10,P38='DADOS_INVOC'!$EO$10,P38='DADOS_INVOC'!$EP$10,P38='DADOS_INVOC'!$QV$10,P38='DADOS_INVOC'!$QW$10,P38='DADOS_INVOC'!$QX$10,P38='DADOS_INVOC'!$QY$10),O38,"")</f>
        <v/>
      </c>
      <c r="BE38">
        <f>IF(AND(Q38=1,OR(P38="",P38='DADOS_INVOC'!$EL$10,P38='DADOS_INVOC'!$EM$10,P38='DADOS_INVOC'!$EN$10,P38='DADOS_INVOC'!$EO$10,P38='DADOS_INVOC'!$EP$10,P38='DADOS_INVOC'!$QV$10,P38='DADOS_INVOC'!$QW$10,P38='DADOS_INVOC'!$QX$10,P38='DADOS_INVOC'!$QY$10)),O38,"")</f>
        <v/>
      </c>
      <c r="BF38">
        <f>IF(OR(P38="",P38='DADOS_INVOC'!$EL$11,P38='DADOS_INVOC'!$EM$11,P38='DADOS_INVOC'!$EN$11,P38='DADOS_INVOC'!$EO$11,P38='DADOS_INVOC'!$EP$11,P38='DADOS_INVOC'!$QV$11,P38='DADOS_INVOC'!$QW$11,P38='DADOS_INVOC'!$QX$11,P38='DADOS_INVOC'!$QY$11),O38,"")</f>
        <v/>
      </c>
      <c r="BG38">
        <f>IF(AND(Q38=1,OR(P38="",P38='DADOS_INVOC'!$EL$11,P38='DADOS_INVOC'!$EM$11,P38='DADOS_INVOC'!$EN$11,P38='DADOS_INVOC'!$EO$11,P38='DADOS_INVOC'!$EP$11,P38='DADOS_INVOC'!$QV$11,P38='DADOS_INVOC'!$QW$11,P38='DADOS_INVOC'!$QX$11,P38='DADOS_INVOC'!$QY$11)),O38,"")</f>
        <v/>
      </c>
      <c r="BH38">
        <f>IF(OR(P38="",P38='DADOS_INVOC'!$EL$12,P38='DADOS_INVOC'!$EM$12,P38='DADOS_INVOC'!$EN$12,P38='DADOS_INVOC'!$EO$12,P38='DADOS_INVOC'!$EP$12,P38='DADOS_INVOC'!$QV$12,P38='DADOS_INVOC'!$QW$12,P38='DADOS_INVOC'!$QX$12,P38='DADOS_INVOC'!$QY$12),O38,"")</f>
        <v/>
      </c>
      <c r="BI38">
        <f>IF(AND(Q38=1,OR(P38="",P38='DADOS_INVOC'!$EL$12,P38='DADOS_INVOC'!$EM$12,P38='DADOS_INVOC'!$EN$12,P38='DADOS_INVOC'!$EO$12,P38='DADOS_INVOC'!$EP$12,P38='DADOS_INVOC'!$QV$12,P38='DADOS_INVOC'!$QW$12,P38='DADOS_INVOC'!$QX$12,P38='DADOS_INVOC'!$QY$12)),O38,"")</f>
        <v/>
      </c>
      <c r="BJ38">
        <f>IF(OR(P38="",P38='DADOS_INVOC'!$EL$13,P38='DADOS_INVOC'!$EM$13,P38='DADOS_INVOC'!$EN$13,P38='DADOS_INVOC'!$EO$13,P38='DADOS_INVOC'!$EP$13,P38='DADOS_INVOC'!$QV$13,P38='DADOS_INVOC'!$QW$13,P38='DADOS_INVOC'!$QX$13,P38='DADOS_INVOC'!$QY$13),O38,"")</f>
        <v/>
      </c>
      <c r="BK38">
        <f>IF(AND(Q38=1,OR(P38="",P38='DADOS_INVOC'!$EL$13,P38='DADOS_INVOC'!$EM$13,P38='DADOS_INVOC'!$EN$13,P38='DADOS_INVOC'!$EO$13,P38='DADOS_INVOC'!$EP$13,P38='DADOS_INVOC'!$QV$13,P38='DADOS_INVOC'!$QW$13,P38='DADOS_INVOC'!$QX$13,P38='DADOS_INVOC'!$QY$13)),O38,"")</f>
        <v/>
      </c>
      <c r="BP38" t="inlineStr">
        <is>
          <t>Terreno</t>
        </is>
      </c>
    </row>
    <row r="39">
      <c r="O39">
        <f>IF(ISBLANK(DADOS_AM!$BC$39),"",DADOS_AM!$BC$39)</f>
        <v/>
      </c>
      <c r="P39">
        <f>IF(ISBLANK(DADOS_AM!$BD$39),"",DADOS_AM!$BD$39)</f>
        <v/>
      </c>
      <c r="Q39">
        <f>IF(ISBLANK(DADOS_AM!$BE$39),"",DADOS_AM!$BE$39)</f>
        <v/>
      </c>
      <c r="R39">
        <f>IF(ISBLANK(DADOS_AM!$BF$39),"",DADOS_AM!$BF$39)</f>
        <v/>
      </c>
      <c r="S39">
        <f>IF(ISBLANK(DADOS_AM!$BG$39),"",DADOS_AM!$BG$39)</f>
        <v/>
      </c>
      <c r="T39">
        <f>IF(ISBLANK(DADOS_AM!$BH$39),"",DADOS_AM!$BH$39)</f>
        <v/>
      </c>
      <c r="U39">
        <f>IF(ISBLANK(DADOS_AM!$BI$39),"",DADOS_AM!$BI$39)</f>
        <v/>
      </c>
      <c r="V39">
        <f>IF(ISBLANK(DADOS_AM!$BJ$39),"",DADOS_AM!$BJ$39)</f>
        <v/>
      </c>
      <c r="W39">
        <f>IF(ISBLANK(DADOS_AM!$BK$39),"",DADOS_AM!$BK$39)</f>
        <v/>
      </c>
      <c r="X39" t="inlineStr">
        <is>
          <t>Desarma o Feitiço</t>
        </is>
      </c>
      <c r="Y39" t="n">
        <v>1</v>
      </c>
      <c r="AG39">
        <f>O39</f>
        <v/>
      </c>
      <c r="AH39">
        <f>P39</f>
        <v/>
      </c>
      <c r="AI39">
        <f>Q39</f>
        <v/>
      </c>
      <c r="AJ39">
        <f>T39</f>
        <v/>
      </c>
      <c r="AK39">
        <f>Y39</f>
        <v/>
      </c>
      <c r="AL39">
        <f>W39</f>
        <v/>
      </c>
      <c r="AN39">
        <f>IF(OR(P39="",P39='DADOS_INVOC'!$EL$2,P39='DADOS_INVOC'!$EM$2,P39='DADOS_INVOC'!$EN$2,P39='DADOS_INVOC'!$EO$2,P39='DADOS_INVOC'!$EP$2,P39='DADOS_INVOC'!$QV$2,P39='DADOS_INVOC'!$QW$2,P39='DADOS_INVOC'!$QX$2,P39='DADOS_INVOC'!$QY$2),O39,"")</f>
        <v/>
      </c>
      <c r="AO39">
        <f>IF(AND(Q39=1,OR(P39="",P39='DADOS_INVOC'!$EL$2,P39='DADOS_INVOC'!$EM$2,P39='DADOS_INVOC'!$EN$2,P39='DADOS_INVOC'!$EO$2,P39='DADOS_INVOC'!$EP$2,P39='DADOS_INVOC'!$QV$2,P39='DADOS_INVOC'!$QW$2,P39='DADOS_INVOC'!$QX$2,P39='DADOS_INVOC'!$QY$2)),O39,"")</f>
        <v/>
      </c>
      <c r="AP39">
        <f>IF(OR(P39="",P39='DADOS_INVOC'!$EL$3,P39='DADOS_INVOC'!$EM$3,P39='DADOS_INVOC'!$EN$3,P39='DADOS_INVOC'!$EO$3,P39='DADOS_INVOC'!$EP$3,P39='DADOS_INVOC'!$QV$3,P39='DADOS_INVOC'!$QW$3,P39='DADOS_INVOC'!$QX$3,P39='DADOS_INVOC'!$QY$3),O39,"")</f>
        <v/>
      </c>
      <c r="AQ39">
        <f>IF(AND(Q39=1,OR(P39="",P39='DADOS_INVOC'!$EL$3,P39='DADOS_INVOC'!$EM$3,P39='DADOS_INVOC'!$EN$3,P39='DADOS_INVOC'!$EO$3,P39='DADOS_INVOC'!$EP$3,P39='DADOS_INVOC'!$QV$3,P39='DADOS_INVOC'!$QW$3,P39='DADOS_INVOC'!$QX$3,P39='DADOS_INVOC'!$QY$3)),O39,"")</f>
        <v/>
      </c>
      <c r="AR39">
        <f>IF(OR(P39="",P39='DADOS_INVOC'!$EL$4,P39='DADOS_INVOC'!$EM$4,P39='DADOS_INVOC'!$EN$4,P39='DADOS_INVOC'!$EO$4,P39='DADOS_INVOC'!$EP$4,P39='DADOS_INVOC'!$QV$4,P39='DADOS_INVOC'!$QW$4,P39='DADOS_INVOC'!$QX$4,P39='DADOS_INVOC'!$QY$4),O39,"")</f>
        <v/>
      </c>
      <c r="AS39">
        <f>IF(AND(Q39=1,OR(P39="",P39='DADOS_INVOC'!$EL$4,P39='DADOS_INVOC'!$EM$4,P39='DADOS_INVOC'!$EN$4,P39='DADOS_INVOC'!$EO$4,P39='DADOS_INVOC'!$EP$4,P39='DADOS_INVOC'!$QV$4,P39='DADOS_INVOC'!$QW$4,P39='DADOS_INVOC'!$QX$4,P39='DADOS_INVOC'!$QY$4)),O39,"")</f>
        <v/>
      </c>
      <c r="AT39">
        <f>IF(OR(P39="",P39='DADOS_INVOC'!$EL$5,P39='DADOS_INVOC'!$EM$5,P39='DADOS_INVOC'!$EN$5,P39='DADOS_INVOC'!$EO$5,P39='DADOS_INVOC'!$EP$5,P39='DADOS_INVOC'!$QV$5,P39='DADOS_INVOC'!$QW$5,P39='DADOS_INVOC'!$QX$5,P39='DADOS_INVOC'!$QY$5),O39,"")</f>
        <v/>
      </c>
      <c r="AU39">
        <f>IF(AND(Q39=1,OR(P39="",P39='DADOS_INVOC'!$EL$5,P39='DADOS_INVOC'!$EM$5,P39='DADOS_INVOC'!$EN$5,P39='DADOS_INVOC'!$EO$5,P39='DADOS_INVOC'!$EP$5,P39='DADOS_INVOC'!$QV$5,P39='DADOS_INVOC'!$QW$5,P39='DADOS_INVOC'!$QX$5,P39='DADOS_INVOC'!$QY$5)),O39,"")</f>
        <v/>
      </c>
      <c r="AV39">
        <f>IF(OR(P39="",P39='DADOS_INVOC'!$EL$6,P39='DADOS_INVOC'!$EM$6,P39='DADOS_INVOC'!$EN$6,P39='DADOS_INVOC'!$EO$6,P39='DADOS_INVOC'!$EP$6,P39='DADOS_INVOC'!$QV$6,P39='DADOS_INVOC'!$QW$6,P39='DADOS_INVOC'!$QX$6,P39='DADOS_INVOC'!$QY$6),O39,"")</f>
        <v/>
      </c>
      <c r="AW39">
        <f>IF(AND(Q39=1,OR(P39="",P39='DADOS_INVOC'!$EL$6,P39='DADOS_INVOC'!$EM$6,P39='DADOS_INVOC'!$EN$6,P39='DADOS_INVOC'!$EO$6,P39='DADOS_INVOC'!$EP$6,P39='DADOS_INVOC'!$QV$6,P39='DADOS_INVOC'!$QW$6,P39='DADOS_INVOC'!$QX$6,P39='DADOS_INVOC'!$QY$6)),O39,"")</f>
        <v/>
      </c>
      <c r="AX39">
        <f>IF(OR(P39="",P39='DADOS_INVOC'!$EL$7,P39='DADOS_INVOC'!$EM$7,P39='DADOS_INVOC'!$EN$7,P39='DADOS_INVOC'!$EO$7,P39='DADOS_INVOC'!$EP$7,P39='DADOS_INVOC'!$QV$7,P39='DADOS_INVOC'!$QW$7,P39='DADOS_INVOC'!$QX$7,P39='DADOS_INVOC'!$QY$7),O39,"")</f>
        <v/>
      </c>
      <c r="AY39">
        <f>IF(AND(Q39=1,OR(P39="",P39='DADOS_INVOC'!$EL$7,P39='DADOS_INVOC'!$EM$7,P39='DADOS_INVOC'!$EN$7,P39='DADOS_INVOC'!$EO$7,P39='DADOS_INVOC'!$EP$7,P39='DADOS_INVOC'!$QV$7,P39='DADOS_INVOC'!$QW$7,P39='DADOS_INVOC'!$QX$7,P39='DADOS_INVOC'!$QY$7)),O39,"")</f>
        <v/>
      </c>
      <c r="AZ39">
        <f>IF(OR(P39="",P39='DADOS_INVOC'!$EL$8,P39='DADOS_INVOC'!$EM$8,P39='DADOS_INVOC'!$EN$8,P39='DADOS_INVOC'!$EO$8,P39='DADOS_INVOC'!$EP$8,P39='DADOS_INVOC'!$QV$8,P39='DADOS_INVOC'!$QW$8,P39='DADOS_INVOC'!$QX$8,P39='DADOS_INVOC'!$QY$8),O39,"")</f>
        <v/>
      </c>
      <c r="BA39">
        <f>IF(AND(Q39=1,OR(P39="",P39='DADOS_INVOC'!$EL$8,P39='DADOS_INVOC'!$EM$8,P39='DADOS_INVOC'!$EN$8,P39='DADOS_INVOC'!$EO$8,P39='DADOS_INVOC'!$EP$8,P39='DADOS_INVOC'!$QV$8,P39='DADOS_INVOC'!$QW$8,P39='DADOS_INVOC'!$QX$8,P39='DADOS_INVOC'!$QY$8)),O39,"")</f>
        <v/>
      </c>
      <c r="BB39">
        <f>IF(OR(P39="",P39='DADOS_INVOC'!$EL$9,P39='DADOS_INVOC'!$EM$9,P39='DADOS_INVOC'!$EN$9,P39='DADOS_INVOC'!$EO$9,P39='DADOS_INVOC'!$EP$9,P39='DADOS_INVOC'!$QV$9,P39='DADOS_INVOC'!$QW$9,P39='DADOS_INVOC'!$QX$9,P39='DADOS_INVOC'!$QY$9),O39,"")</f>
        <v/>
      </c>
      <c r="BC39">
        <f>IF(AND(Q39=1,OR(P39="",P39='DADOS_INVOC'!$EL$9,P39='DADOS_INVOC'!$EM$9,P39='DADOS_INVOC'!$EN$9,P39='DADOS_INVOC'!$EO$9,P39='DADOS_INVOC'!$EP$9,P39='DADOS_INVOC'!$QV$9,P39='DADOS_INVOC'!$QW$9,P39='DADOS_INVOC'!$QX$9,P39='DADOS_INVOC'!$QY$9)),O39,"")</f>
        <v/>
      </c>
      <c r="BD39">
        <f>IF(OR(P39="",P39='DADOS_INVOC'!$EL$10,P39='DADOS_INVOC'!$EM$10,P39='DADOS_INVOC'!$EN$10,P39='DADOS_INVOC'!$EO$10,P39='DADOS_INVOC'!$EP$10,P39='DADOS_INVOC'!$QV$10,P39='DADOS_INVOC'!$QW$10,P39='DADOS_INVOC'!$QX$10,P39='DADOS_INVOC'!$QY$10),O39,"")</f>
        <v/>
      </c>
      <c r="BE39">
        <f>IF(AND(Q39=1,OR(P39="",P39='DADOS_INVOC'!$EL$10,P39='DADOS_INVOC'!$EM$10,P39='DADOS_INVOC'!$EN$10,P39='DADOS_INVOC'!$EO$10,P39='DADOS_INVOC'!$EP$10,P39='DADOS_INVOC'!$QV$10,P39='DADOS_INVOC'!$QW$10,P39='DADOS_INVOC'!$QX$10,P39='DADOS_INVOC'!$QY$10)),O39,"")</f>
        <v/>
      </c>
      <c r="BF39">
        <f>IF(OR(P39="",P39='DADOS_INVOC'!$EL$11,P39='DADOS_INVOC'!$EM$11,P39='DADOS_INVOC'!$EN$11,P39='DADOS_INVOC'!$EO$11,P39='DADOS_INVOC'!$EP$11,P39='DADOS_INVOC'!$QV$11,P39='DADOS_INVOC'!$QW$11,P39='DADOS_INVOC'!$QX$11,P39='DADOS_INVOC'!$QY$11),O39,"")</f>
        <v/>
      </c>
      <c r="BG39">
        <f>IF(AND(Q39=1,OR(P39="",P39='DADOS_INVOC'!$EL$11,P39='DADOS_INVOC'!$EM$11,P39='DADOS_INVOC'!$EN$11,P39='DADOS_INVOC'!$EO$11,P39='DADOS_INVOC'!$EP$11,P39='DADOS_INVOC'!$QV$11,P39='DADOS_INVOC'!$QW$11,P39='DADOS_INVOC'!$QX$11,P39='DADOS_INVOC'!$QY$11)),O39,"")</f>
        <v/>
      </c>
      <c r="BH39">
        <f>IF(OR(P39="",P39='DADOS_INVOC'!$EL$12,P39='DADOS_INVOC'!$EM$12,P39='DADOS_INVOC'!$EN$12,P39='DADOS_INVOC'!$EO$12,P39='DADOS_INVOC'!$EP$12,P39='DADOS_INVOC'!$QV$12,P39='DADOS_INVOC'!$QW$12,P39='DADOS_INVOC'!$QX$12,P39='DADOS_INVOC'!$QY$12),O39,"")</f>
        <v/>
      </c>
      <c r="BI39">
        <f>IF(AND(Q39=1,OR(P39="",P39='DADOS_INVOC'!$EL$12,P39='DADOS_INVOC'!$EM$12,P39='DADOS_INVOC'!$EN$12,P39='DADOS_INVOC'!$EO$12,P39='DADOS_INVOC'!$EP$12,P39='DADOS_INVOC'!$QV$12,P39='DADOS_INVOC'!$QW$12,P39='DADOS_INVOC'!$QX$12,P39='DADOS_INVOC'!$QY$12)),O39,"")</f>
        <v/>
      </c>
      <c r="BJ39">
        <f>IF(OR(P39="",P39='DADOS_INVOC'!$EL$13,P39='DADOS_INVOC'!$EM$13,P39='DADOS_INVOC'!$EN$13,P39='DADOS_INVOC'!$EO$13,P39='DADOS_INVOC'!$EP$13,P39='DADOS_INVOC'!$QV$13,P39='DADOS_INVOC'!$QW$13,P39='DADOS_INVOC'!$QX$13,P39='DADOS_INVOC'!$QY$13),O39,"")</f>
        <v/>
      </c>
      <c r="BK39">
        <f>IF(AND(Q39=1,OR(P39="",P39='DADOS_INVOC'!$EL$13,P39='DADOS_INVOC'!$EM$13,P39='DADOS_INVOC'!$EN$13,P39='DADOS_INVOC'!$EO$13,P39='DADOS_INVOC'!$EP$13,P39='DADOS_INVOC'!$QV$13,P39='DADOS_INVOC'!$QW$13,P39='DADOS_INVOC'!$QX$13,P39='DADOS_INVOC'!$QY$13)),O39,"")</f>
        <v/>
      </c>
      <c r="BP39" t="inlineStr">
        <is>
          <t>Cerca</t>
        </is>
      </c>
    </row>
    <row r="40">
      <c r="O40">
        <f>IF(ISBLANK(DADOS_AM!$BC$40),"",DADOS_AM!$BC$40)</f>
        <v/>
      </c>
      <c r="P40">
        <f>IF(ISBLANK(DADOS_AM!$BD$40),"",DADOS_AM!$BD$40)</f>
        <v/>
      </c>
      <c r="Q40">
        <f>IF(ISBLANK(DADOS_AM!$BE$40),"",DADOS_AM!$BE$40)</f>
        <v/>
      </c>
      <c r="R40">
        <f>IF(ISBLANK(DADOS_AM!$BF$40),"",DADOS_AM!$BF$40)</f>
        <v/>
      </c>
      <c r="S40">
        <f>IF(ISBLANK(DADOS_AM!$BG$40),"",DADOS_AM!$BG$40)</f>
        <v/>
      </c>
      <c r="T40">
        <f>IF(ISBLANK(DADOS_AM!$BH$40),"",DADOS_AM!$BH$40)</f>
        <v/>
      </c>
      <c r="U40">
        <f>IF(ISBLANK(DADOS_AM!$BI$40),"",DADOS_AM!$BI$40)</f>
        <v/>
      </c>
      <c r="V40">
        <f>IF(ISBLANK(DADOS_AM!$BJ$40),"",DADOS_AM!$BJ$40)</f>
        <v/>
      </c>
      <c r="W40">
        <f>IF(ISBLANK(DADOS_AM!$BK$40),"",DADOS_AM!$BK$40)</f>
        <v/>
      </c>
      <c r="X40" t="inlineStr">
        <is>
          <t>Anteparo</t>
        </is>
      </c>
      <c r="Y40" t="n">
        <v>1</v>
      </c>
      <c r="AG40">
        <f>O40</f>
        <v/>
      </c>
      <c r="AH40">
        <f>P40</f>
        <v/>
      </c>
      <c r="AI40">
        <f>Q40</f>
        <v/>
      </c>
      <c r="AJ40">
        <f>T40</f>
        <v/>
      </c>
      <c r="AK40">
        <f>Y40</f>
        <v/>
      </c>
      <c r="AL40">
        <f>W40</f>
        <v/>
      </c>
      <c r="AN40">
        <f>IF(OR(P40="",P40='DADOS_INVOC'!$EL$2,P40='DADOS_INVOC'!$EM$2,P40='DADOS_INVOC'!$EN$2,P40='DADOS_INVOC'!$EO$2,P40='DADOS_INVOC'!$EP$2,P40='DADOS_INVOC'!$QV$2,P40='DADOS_INVOC'!$QW$2,P40='DADOS_INVOC'!$QX$2,P40='DADOS_INVOC'!$QY$2),O40,"")</f>
        <v/>
      </c>
      <c r="AO40">
        <f>IF(AND(Q40=1,OR(P40="",P40='DADOS_INVOC'!$EL$2,P40='DADOS_INVOC'!$EM$2,P40='DADOS_INVOC'!$EN$2,P40='DADOS_INVOC'!$EO$2,P40='DADOS_INVOC'!$EP$2,P40='DADOS_INVOC'!$QV$2,P40='DADOS_INVOC'!$QW$2,P40='DADOS_INVOC'!$QX$2,P40='DADOS_INVOC'!$QY$2)),O40,"")</f>
        <v/>
      </c>
      <c r="AP40">
        <f>IF(OR(P40="",P40='DADOS_INVOC'!$EL$3,P40='DADOS_INVOC'!$EM$3,P40='DADOS_INVOC'!$EN$3,P40='DADOS_INVOC'!$EO$3,P40='DADOS_INVOC'!$EP$3,P40='DADOS_INVOC'!$QV$3,P40='DADOS_INVOC'!$QW$3,P40='DADOS_INVOC'!$QX$3,P40='DADOS_INVOC'!$QY$3),O40,"")</f>
        <v/>
      </c>
      <c r="AQ40">
        <f>IF(AND(Q40=1,OR(P40="",P40='DADOS_INVOC'!$EL$3,P40='DADOS_INVOC'!$EM$3,P40='DADOS_INVOC'!$EN$3,P40='DADOS_INVOC'!$EO$3,P40='DADOS_INVOC'!$EP$3,P40='DADOS_INVOC'!$QV$3,P40='DADOS_INVOC'!$QW$3,P40='DADOS_INVOC'!$QX$3,P40='DADOS_INVOC'!$QY$3)),O40,"")</f>
        <v/>
      </c>
      <c r="AR40">
        <f>IF(OR(P40="",P40='DADOS_INVOC'!$EL$4,P40='DADOS_INVOC'!$EM$4,P40='DADOS_INVOC'!$EN$4,P40='DADOS_INVOC'!$EO$4,P40='DADOS_INVOC'!$EP$4,P40='DADOS_INVOC'!$QV$4,P40='DADOS_INVOC'!$QW$4,P40='DADOS_INVOC'!$QX$4,P40='DADOS_INVOC'!$QY$4),O40,"")</f>
        <v/>
      </c>
      <c r="AS40">
        <f>IF(AND(Q40=1,OR(P40="",P40='DADOS_INVOC'!$EL$4,P40='DADOS_INVOC'!$EM$4,P40='DADOS_INVOC'!$EN$4,P40='DADOS_INVOC'!$EO$4,P40='DADOS_INVOC'!$EP$4,P40='DADOS_INVOC'!$QV$4,P40='DADOS_INVOC'!$QW$4,P40='DADOS_INVOC'!$QX$4,P40='DADOS_INVOC'!$QY$4)),O40,"")</f>
        <v/>
      </c>
      <c r="AT40">
        <f>IF(OR(P40="",P40='DADOS_INVOC'!$EL$5,P40='DADOS_INVOC'!$EM$5,P40='DADOS_INVOC'!$EN$5,P40='DADOS_INVOC'!$EO$5,P40='DADOS_INVOC'!$EP$5,P40='DADOS_INVOC'!$QV$5,P40='DADOS_INVOC'!$QW$5,P40='DADOS_INVOC'!$QX$5,P40='DADOS_INVOC'!$QY$5),O40,"")</f>
        <v/>
      </c>
      <c r="AU40">
        <f>IF(AND(Q40=1,OR(P40="",P40='DADOS_INVOC'!$EL$5,P40='DADOS_INVOC'!$EM$5,P40='DADOS_INVOC'!$EN$5,P40='DADOS_INVOC'!$EO$5,P40='DADOS_INVOC'!$EP$5,P40='DADOS_INVOC'!$QV$5,P40='DADOS_INVOC'!$QW$5,P40='DADOS_INVOC'!$QX$5,P40='DADOS_INVOC'!$QY$5)),O40,"")</f>
        <v/>
      </c>
      <c r="AV40">
        <f>IF(OR(P40="",P40='DADOS_INVOC'!$EL$6,P40='DADOS_INVOC'!$EM$6,P40='DADOS_INVOC'!$EN$6,P40='DADOS_INVOC'!$EO$6,P40='DADOS_INVOC'!$EP$6,P40='DADOS_INVOC'!$QV$6,P40='DADOS_INVOC'!$QW$6,P40='DADOS_INVOC'!$QX$6,P40='DADOS_INVOC'!$QY$6),O40,"")</f>
        <v/>
      </c>
      <c r="AW40">
        <f>IF(AND(Q40=1,OR(P40="",P40='DADOS_INVOC'!$EL$6,P40='DADOS_INVOC'!$EM$6,P40='DADOS_INVOC'!$EN$6,P40='DADOS_INVOC'!$EO$6,P40='DADOS_INVOC'!$EP$6,P40='DADOS_INVOC'!$QV$6,P40='DADOS_INVOC'!$QW$6,P40='DADOS_INVOC'!$QX$6,P40='DADOS_INVOC'!$QY$6)),O40,"")</f>
        <v/>
      </c>
      <c r="AX40">
        <f>IF(OR(P40="",P40='DADOS_INVOC'!$EL$7,P40='DADOS_INVOC'!$EM$7,P40='DADOS_INVOC'!$EN$7,P40='DADOS_INVOC'!$EO$7,P40='DADOS_INVOC'!$EP$7,P40='DADOS_INVOC'!$QV$7,P40='DADOS_INVOC'!$QW$7,P40='DADOS_INVOC'!$QX$7,P40='DADOS_INVOC'!$QY$7),O40,"")</f>
        <v/>
      </c>
      <c r="AY40">
        <f>IF(AND(Q40=1,OR(P40="",P40='DADOS_INVOC'!$EL$7,P40='DADOS_INVOC'!$EM$7,P40='DADOS_INVOC'!$EN$7,P40='DADOS_INVOC'!$EO$7,P40='DADOS_INVOC'!$EP$7,P40='DADOS_INVOC'!$QV$7,P40='DADOS_INVOC'!$QW$7,P40='DADOS_INVOC'!$QX$7,P40='DADOS_INVOC'!$QY$7)),O40,"")</f>
        <v/>
      </c>
      <c r="AZ40">
        <f>IF(OR(P40="",P40='DADOS_INVOC'!$EL$8,P40='DADOS_INVOC'!$EM$8,P40='DADOS_INVOC'!$EN$8,P40='DADOS_INVOC'!$EO$8,P40='DADOS_INVOC'!$EP$8,P40='DADOS_INVOC'!$QV$8,P40='DADOS_INVOC'!$QW$8,P40='DADOS_INVOC'!$QX$8,P40='DADOS_INVOC'!$QY$8),O40,"")</f>
        <v/>
      </c>
      <c r="BA40">
        <f>IF(AND(Q40=1,OR(P40="",P40='DADOS_INVOC'!$EL$8,P40='DADOS_INVOC'!$EM$8,P40='DADOS_INVOC'!$EN$8,P40='DADOS_INVOC'!$EO$8,P40='DADOS_INVOC'!$EP$8,P40='DADOS_INVOC'!$QV$8,P40='DADOS_INVOC'!$QW$8,P40='DADOS_INVOC'!$QX$8,P40='DADOS_INVOC'!$QY$8)),O40,"")</f>
        <v/>
      </c>
      <c r="BB40">
        <f>IF(OR(P40="",P40='DADOS_INVOC'!$EL$9,P40='DADOS_INVOC'!$EM$9,P40='DADOS_INVOC'!$EN$9,P40='DADOS_INVOC'!$EO$9,P40='DADOS_INVOC'!$EP$9,P40='DADOS_INVOC'!$QV$9,P40='DADOS_INVOC'!$QW$9,P40='DADOS_INVOC'!$QX$9,P40='DADOS_INVOC'!$QY$9),O40,"")</f>
        <v/>
      </c>
      <c r="BC40">
        <f>IF(AND(Q40=1,OR(P40="",P40='DADOS_INVOC'!$EL$9,P40='DADOS_INVOC'!$EM$9,P40='DADOS_INVOC'!$EN$9,P40='DADOS_INVOC'!$EO$9,P40='DADOS_INVOC'!$EP$9,P40='DADOS_INVOC'!$QV$9,P40='DADOS_INVOC'!$QW$9,P40='DADOS_INVOC'!$QX$9,P40='DADOS_INVOC'!$QY$9)),O40,"")</f>
        <v/>
      </c>
      <c r="BD40">
        <f>IF(OR(P40="",P40='DADOS_INVOC'!$EL$10,P40='DADOS_INVOC'!$EM$10,P40='DADOS_INVOC'!$EN$10,P40='DADOS_INVOC'!$EO$10,P40='DADOS_INVOC'!$EP$10,P40='DADOS_INVOC'!$QV$10,P40='DADOS_INVOC'!$QW$10,P40='DADOS_INVOC'!$QX$10,P40='DADOS_INVOC'!$QY$10),O40,"")</f>
        <v/>
      </c>
      <c r="BE40">
        <f>IF(AND(Q40=1,OR(P40="",P40='DADOS_INVOC'!$EL$10,P40='DADOS_INVOC'!$EM$10,P40='DADOS_INVOC'!$EN$10,P40='DADOS_INVOC'!$EO$10,P40='DADOS_INVOC'!$EP$10,P40='DADOS_INVOC'!$QV$10,P40='DADOS_INVOC'!$QW$10,P40='DADOS_INVOC'!$QX$10,P40='DADOS_INVOC'!$QY$10)),O40,"")</f>
        <v/>
      </c>
      <c r="BF40">
        <f>IF(OR(P40="",P40='DADOS_INVOC'!$EL$11,P40='DADOS_INVOC'!$EM$11,P40='DADOS_INVOC'!$EN$11,P40='DADOS_INVOC'!$EO$11,P40='DADOS_INVOC'!$EP$11,P40='DADOS_INVOC'!$QV$11,P40='DADOS_INVOC'!$QW$11,P40='DADOS_INVOC'!$QX$11,P40='DADOS_INVOC'!$QY$11),O40,"")</f>
        <v/>
      </c>
      <c r="BG40">
        <f>IF(AND(Q40=1,OR(P40="",P40='DADOS_INVOC'!$EL$11,P40='DADOS_INVOC'!$EM$11,P40='DADOS_INVOC'!$EN$11,P40='DADOS_INVOC'!$EO$11,P40='DADOS_INVOC'!$EP$11,P40='DADOS_INVOC'!$QV$11,P40='DADOS_INVOC'!$QW$11,P40='DADOS_INVOC'!$QX$11,P40='DADOS_INVOC'!$QY$11)),O40,"")</f>
        <v/>
      </c>
      <c r="BH40">
        <f>IF(OR(P40="",P40='DADOS_INVOC'!$EL$12,P40='DADOS_INVOC'!$EM$12,P40='DADOS_INVOC'!$EN$12,P40='DADOS_INVOC'!$EO$12,P40='DADOS_INVOC'!$EP$12,P40='DADOS_INVOC'!$QV$12,P40='DADOS_INVOC'!$QW$12,P40='DADOS_INVOC'!$QX$12,P40='DADOS_INVOC'!$QY$12),O40,"")</f>
        <v/>
      </c>
      <c r="BI40">
        <f>IF(AND(Q40=1,OR(P40="",P40='DADOS_INVOC'!$EL$12,P40='DADOS_INVOC'!$EM$12,P40='DADOS_INVOC'!$EN$12,P40='DADOS_INVOC'!$EO$12,P40='DADOS_INVOC'!$EP$12,P40='DADOS_INVOC'!$QV$12,P40='DADOS_INVOC'!$QW$12,P40='DADOS_INVOC'!$QX$12,P40='DADOS_INVOC'!$QY$12)),O40,"")</f>
        <v/>
      </c>
      <c r="BJ40">
        <f>IF(OR(P40="",P40='DADOS_INVOC'!$EL$13,P40='DADOS_INVOC'!$EM$13,P40='DADOS_INVOC'!$EN$13,P40='DADOS_INVOC'!$EO$13,P40='DADOS_INVOC'!$EP$13,P40='DADOS_INVOC'!$QV$13,P40='DADOS_INVOC'!$QW$13,P40='DADOS_INVOC'!$QX$13,P40='DADOS_INVOC'!$QY$13),O40,"")</f>
        <v/>
      </c>
      <c r="BK40">
        <f>IF(AND(Q40=1,OR(P40="",P40='DADOS_INVOC'!$EL$13,P40='DADOS_INVOC'!$EM$13,P40='DADOS_INVOC'!$EN$13,P40='DADOS_INVOC'!$EO$13,P40='DADOS_INVOC'!$EP$13,P40='DADOS_INVOC'!$QV$13,P40='DADOS_INVOC'!$QW$13,P40='DADOS_INVOC'!$QX$13,P40='DADOS_INVOC'!$QY$13)),O40,"")</f>
        <v/>
      </c>
      <c r="BP40" t="inlineStr">
        <is>
          <t>Desarma o Feitiço</t>
        </is>
      </c>
    </row>
    <row r="41">
      <c r="O41">
        <f>IF(ISBLANK(DADOS_AM!$BC$41),"",DADOS_AM!$BC$41)</f>
        <v/>
      </c>
      <c r="P41">
        <f>IF(ISBLANK(DADOS_AM!$BD$41),"",DADOS_AM!$BD$41)</f>
        <v/>
      </c>
      <c r="Q41">
        <f>IF(ISBLANK(DADOS_AM!$BE$41),"",DADOS_AM!$BE$41)</f>
        <v/>
      </c>
      <c r="R41">
        <f>IF(ISBLANK(DADOS_AM!$BF$41),"",DADOS_AM!$BF$41)</f>
        <v/>
      </c>
      <c r="S41">
        <f>IF(ISBLANK(DADOS_AM!$BG$41),"",DADOS_AM!$BG$41)</f>
        <v/>
      </c>
      <c r="T41">
        <f>IF(ISBLANK(DADOS_AM!$BH$41),"",DADOS_AM!$BH$41)</f>
        <v/>
      </c>
      <c r="U41">
        <f>IF(ISBLANK(DADOS_AM!$BI$41),"",DADOS_AM!$BI$41)</f>
        <v/>
      </c>
      <c r="V41">
        <f>IF(ISBLANK(DADOS_AM!$BJ$41),"",DADOS_AM!$BJ$41)</f>
        <v/>
      </c>
      <c r="W41">
        <f>IF(ISBLANK(DADOS_AM!$BK$41),"",DADOS_AM!$BK$41)</f>
        <v/>
      </c>
      <c r="X41" t="inlineStr">
        <is>
          <t>Prende</t>
        </is>
      </c>
      <c r="Y41" t="n">
        <v>0</v>
      </c>
      <c r="AG41">
        <f>O41</f>
        <v/>
      </c>
      <c r="AH41">
        <f>P41</f>
        <v/>
      </c>
      <c r="AI41">
        <f>Q41</f>
        <v/>
      </c>
      <c r="AJ41">
        <f>T41</f>
        <v/>
      </c>
      <c r="AK41">
        <f>Y41</f>
        <v/>
      </c>
      <c r="AL41">
        <f>W41</f>
        <v/>
      </c>
      <c r="AN41">
        <f>IF(OR(P41="",P41='DADOS_INVOC'!$EL$2,P41='DADOS_INVOC'!$EM$2,P41='DADOS_INVOC'!$EN$2,P41='DADOS_INVOC'!$EO$2,P41='DADOS_INVOC'!$EP$2,P41='DADOS_INVOC'!$QV$2,P41='DADOS_INVOC'!$QW$2,P41='DADOS_INVOC'!$QX$2,P41='DADOS_INVOC'!$QY$2),O41,"")</f>
        <v/>
      </c>
      <c r="AO41">
        <f>IF(AND(Q41=1,OR(P41="",P41='DADOS_INVOC'!$EL$2,P41='DADOS_INVOC'!$EM$2,P41='DADOS_INVOC'!$EN$2,P41='DADOS_INVOC'!$EO$2,P41='DADOS_INVOC'!$EP$2,P41='DADOS_INVOC'!$QV$2,P41='DADOS_INVOC'!$QW$2,P41='DADOS_INVOC'!$QX$2,P41='DADOS_INVOC'!$QY$2)),O41,"")</f>
        <v/>
      </c>
      <c r="AP41">
        <f>IF(OR(P41="",P41='DADOS_INVOC'!$EL$3,P41='DADOS_INVOC'!$EM$3,P41='DADOS_INVOC'!$EN$3,P41='DADOS_INVOC'!$EO$3,P41='DADOS_INVOC'!$EP$3,P41='DADOS_INVOC'!$QV$3,P41='DADOS_INVOC'!$QW$3,P41='DADOS_INVOC'!$QX$3,P41='DADOS_INVOC'!$QY$3),O41,"")</f>
        <v/>
      </c>
      <c r="AQ41">
        <f>IF(AND(Q41=1,OR(P41="",P41='DADOS_INVOC'!$EL$3,P41='DADOS_INVOC'!$EM$3,P41='DADOS_INVOC'!$EN$3,P41='DADOS_INVOC'!$EO$3,P41='DADOS_INVOC'!$EP$3,P41='DADOS_INVOC'!$QV$3,P41='DADOS_INVOC'!$QW$3,P41='DADOS_INVOC'!$QX$3,P41='DADOS_INVOC'!$QY$3)),O41,"")</f>
        <v/>
      </c>
      <c r="AR41">
        <f>IF(OR(P41="",P41='DADOS_INVOC'!$EL$4,P41='DADOS_INVOC'!$EM$4,P41='DADOS_INVOC'!$EN$4,P41='DADOS_INVOC'!$EO$4,P41='DADOS_INVOC'!$EP$4,P41='DADOS_INVOC'!$QV$4,P41='DADOS_INVOC'!$QW$4,P41='DADOS_INVOC'!$QX$4,P41='DADOS_INVOC'!$QY$4),O41,"")</f>
        <v/>
      </c>
      <c r="AS41">
        <f>IF(AND(Q41=1,OR(P41="",P41='DADOS_INVOC'!$EL$4,P41='DADOS_INVOC'!$EM$4,P41='DADOS_INVOC'!$EN$4,P41='DADOS_INVOC'!$EO$4,P41='DADOS_INVOC'!$EP$4,P41='DADOS_INVOC'!$QV$4,P41='DADOS_INVOC'!$QW$4,P41='DADOS_INVOC'!$QX$4,P41='DADOS_INVOC'!$QY$4)),O41,"")</f>
        <v/>
      </c>
      <c r="AT41">
        <f>IF(OR(P41="",P41='DADOS_INVOC'!$EL$5,P41='DADOS_INVOC'!$EM$5,P41='DADOS_INVOC'!$EN$5,P41='DADOS_INVOC'!$EO$5,P41='DADOS_INVOC'!$EP$5,P41='DADOS_INVOC'!$QV$5,P41='DADOS_INVOC'!$QW$5,P41='DADOS_INVOC'!$QX$5,P41='DADOS_INVOC'!$QY$5),O41,"")</f>
        <v/>
      </c>
      <c r="AU41">
        <f>IF(AND(Q41=1,OR(P41="",P41='DADOS_INVOC'!$EL$5,P41='DADOS_INVOC'!$EM$5,P41='DADOS_INVOC'!$EN$5,P41='DADOS_INVOC'!$EO$5,P41='DADOS_INVOC'!$EP$5,P41='DADOS_INVOC'!$QV$5,P41='DADOS_INVOC'!$QW$5,P41='DADOS_INVOC'!$QX$5,P41='DADOS_INVOC'!$QY$5)),O41,"")</f>
        <v/>
      </c>
      <c r="AV41">
        <f>IF(OR(P41="",P41='DADOS_INVOC'!$EL$6,P41='DADOS_INVOC'!$EM$6,P41='DADOS_INVOC'!$EN$6,P41='DADOS_INVOC'!$EO$6,P41='DADOS_INVOC'!$EP$6,P41='DADOS_INVOC'!$QV$6,P41='DADOS_INVOC'!$QW$6,P41='DADOS_INVOC'!$QX$6,P41='DADOS_INVOC'!$QY$6),O41,"")</f>
        <v/>
      </c>
      <c r="AW41">
        <f>IF(AND(Q41=1,OR(P41="",P41='DADOS_INVOC'!$EL$6,P41='DADOS_INVOC'!$EM$6,P41='DADOS_INVOC'!$EN$6,P41='DADOS_INVOC'!$EO$6,P41='DADOS_INVOC'!$EP$6,P41='DADOS_INVOC'!$QV$6,P41='DADOS_INVOC'!$QW$6,P41='DADOS_INVOC'!$QX$6,P41='DADOS_INVOC'!$QY$6)),O41,"")</f>
        <v/>
      </c>
      <c r="AX41">
        <f>IF(OR(P41="",P41='DADOS_INVOC'!$EL$7,P41='DADOS_INVOC'!$EM$7,P41='DADOS_INVOC'!$EN$7,P41='DADOS_INVOC'!$EO$7,P41='DADOS_INVOC'!$EP$7,P41='DADOS_INVOC'!$QV$7,P41='DADOS_INVOC'!$QW$7,P41='DADOS_INVOC'!$QX$7,P41='DADOS_INVOC'!$QY$7),O41,"")</f>
        <v/>
      </c>
      <c r="AY41">
        <f>IF(AND(Q41=1,OR(P41="",P41='DADOS_INVOC'!$EL$7,P41='DADOS_INVOC'!$EM$7,P41='DADOS_INVOC'!$EN$7,P41='DADOS_INVOC'!$EO$7,P41='DADOS_INVOC'!$EP$7,P41='DADOS_INVOC'!$QV$7,P41='DADOS_INVOC'!$QW$7,P41='DADOS_INVOC'!$QX$7,P41='DADOS_INVOC'!$QY$7)),O41,"")</f>
        <v/>
      </c>
      <c r="AZ41">
        <f>IF(OR(P41="",P41='DADOS_INVOC'!$EL$8,P41='DADOS_INVOC'!$EM$8,P41='DADOS_INVOC'!$EN$8,P41='DADOS_INVOC'!$EO$8,P41='DADOS_INVOC'!$EP$8,P41='DADOS_INVOC'!$QV$8,P41='DADOS_INVOC'!$QW$8,P41='DADOS_INVOC'!$QX$8,P41='DADOS_INVOC'!$QY$8),O41,"")</f>
        <v/>
      </c>
      <c r="BA41">
        <f>IF(AND(Q41=1,OR(P41="",P41='DADOS_INVOC'!$EL$8,P41='DADOS_INVOC'!$EM$8,P41='DADOS_INVOC'!$EN$8,P41='DADOS_INVOC'!$EO$8,P41='DADOS_INVOC'!$EP$8,P41='DADOS_INVOC'!$QV$8,P41='DADOS_INVOC'!$QW$8,P41='DADOS_INVOC'!$QX$8,P41='DADOS_INVOC'!$QY$8)),O41,"")</f>
        <v/>
      </c>
      <c r="BB41">
        <f>IF(OR(P41="",P41='DADOS_INVOC'!$EL$9,P41='DADOS_INVOC'!$EM$9,P41='DADOS_INVOC'!$EN$9,P41='DADOS_INVOC'!$EO$9,P41='DADOS_INVOC'!$EP$9,P41='DADOS_INVOC'!$QV$9,P41='DADOS_INVOC'!$QW$9,P41='DADOS_INVOC'!$QX$9,P41='DADOS_INVOC'!$QY$9),O41,"")</f>
        <v/>
      </c>
      <c r="BC41">
        <f>IF(AND(Q41=1,OR(P41="",P41='DADOS_INVOC'!$EL$9,P41='DADOS_INVOC'!$EM$9,P41='DADOS_INVOC'!$EN$9,P41='DADOS_INVOC'!$EO$9,P41='DADOS_INVOC'!$EP$9,P41='DADOS_INVOC'!$QV$9,P41='DADOS_INVOC'!$QW$9,P41='DADOS_INVOC'!$QX$9,P41='DADOS_INVOC'!$QY$9)),O41,"")</f>
        <v/>
      </c>
      <c r="BD41">
        <f>IF(OR(P41="",P41='DADOS_INVOC'!$EL$10,P41='DADOS_INVOC'!$EM$10,P41='DADOS_INVOC'!$EN$10,P41='DADOS_INVOC'!$EO$10,P41='DADOS_INVOC'!$EP$10,P41='DADOS_INVOC'!$QV$10,P41='DADOS_INVOC'!$QW$10,P41='DADOS_INVOC'!$QX$10,P41='DADOS_INVOC'!$QY$10),O41,"")</f>
        <v/>
      </c>
      <c r="BE41">
        <f>IF(AND(Q41=1,OR(P41="",P41='DADOS_INVOC'!$EL$10,P41='DADOS_INVOC'!$EM$10,P41='DADOS_INVOC'!$EN$10,P41='DADOS_INVOC'!$EO$10,P41='DADOS_INVOC'!$EP$10,P41='DADOS_INVOC'!$QV$10,P41='DADOS_INVOC'!$QW$10,P41='DADOS_INVOC'!$QX$10,P41='DADOS_INVOC'!$QY$10)),O41,"")</f>
        <v/>
      </c>
      <c r="BF41">
        <f>IF(OR(P41="",P41='DADOS_INVOC'!$EL$11,P41='DADOS_INVOC'!$EM$11,P41='DADOS_INVOC'!$EN$11,P41='DADOS_INVOC'!$EO$11,P41='DADOS_INVOC'!$EP$11,P41='DADOS_INVOC'!$QV$11,P41='DADOS_INVOC'!$QW$11,P41='DADOS_INVOC'!$QX$11,P41='DADOS_INVOC'!$QY$11),O41,"")</f>
        <v/>
      </c>
      <c r="BG41">
        <f>IF(AND(Q41=1,OR(P41="",P41='DADOS_INVOC'!$EL$11,P41='DADOS_INVOC'!$EM$11,P41='DADOS_INVOC'!$EN$11,P41='DADOS_INVOC'!$EO$11,P41='DADOS_INVOC'!$EP$11,P41='DADOS_INVOC'!$QV$11,P41='DADOS_INVOC'!$QW$11,P41='DADOS_INVOC'!$QX$11,P41='DADOS_INVOC'!$QY$11)),O41,"")</f>
        <v/>
      </c>
      <c r="BH41">
        <f>IF(OR(P41="",P41='DADOS_INVOC'!$EL$12,P41='DADOS_INVOC'!$EM$12,P41='DADOS_INVOC'!$EN$12,P41='DADOS_INVOC'!$EO$12,P41='DADOS_INVOC'!$EP$12,P41='DADOS_INVOC'!$QV$12,P41='DADOS_INVOC'!$QW$12,P41='DADOS_INVOC'!$QX$12,P41='DADOS_INVOC'!$QY$12),O41,"")</f>
        <v/>
      </c>
      <c r="BI41">
        <f>IF(AND(Q41=1,OR(P41="",P41='DADOS_INVOC'!$EL$12,P41='DADOS_INVOC'!$EM$12,P41='DADOS_INVOC'!$EN$12,P41='DADOS_INVOC'!$EO$12,P41='DADOS_INVOC'!$EP$12,P41='DADOS_INVOC'!$QV$12,P41='DADOS_INVOC'!$QW$12,P41='DADOS_INVOC'!$QX$12,P41='DADOS_INVOC'!$QY$12)),O41,"")</f>
        <v/>
      </c>
      <c r="BJ41">
        <f>IF(OR(P41="",P41='DADOS_INVOC'!$EL$13,P41='DADOS_INVOC'!$EM$13,P41='DADOS_INVOC'!$EN$13,P41='DADOS_INVOC'!$EO$13,P41='DADOS_INVOC'!$EP$13,P41='DADOS_INVOC'!$QV$13,P41='DADOS_INVOC'!$QW$13,P41='DADOS_INVOC'!$QX$13,P41='DADOS_INVOC'!$QY$13),O41,"")</f>
        <v/>
      </c>
      <c r="BK41">
        <f>IF(AND(Q41=1,OR(P41="",P41='DADOS_INVOC'!$EL$13,P41='DADOS_INVOC'!$EM$13,P41='DADOS_INVOC'!$EN$13,P41='DADOS_INVOC'!$EO$13,P41='DADOS_INVOC'!$EP$13,P41='DADOS_INVOC'!$QV$13,P41='DADOS_INVOC'!$QW$13,P41='DADOS_INVOC'!$QX$13,P41='DADOS_INVOC'!$QY$13)),O41,"")</f>
        <v/>
      </c>
      <c r="BP41" t="inlineStr">
        <is>
          <t>Anteparo</t>
        </is>
      </c>
    </row>
    <row r="42">
      <c r="O42">
        <f>IF(ISBLANK(DADOS_AM!$BC$42),"",DADOS_AM!$BC$42)</f>
        <v/>
      </c>
      <c r="P42">
        <f>IF(ISBLANK(DADOS_AM!$BD$42),"",DADOS_AM!$BD$42)</f>
        <v/>
      </c>
      <c r="Q42">
        <f>IF(ISBLANK(DADOS_AM!$BE$42),"",DADOS_AM!$BE$42)</f>
        <v/>
      </c>
      <c r="R42">
        <f>IF(ISBLANK(DADOS_AM!$BF$42),"",DADOS_AM!$BF$42)</f>
        <v/>
      </c>
      <c r="S42">
        <f>IF(ISBLANK(DADOS_AM!$BG$42),"",DADOS_AM!$BG$42)</f>
        <v/>
      </c>
      <c r="T42">
        <f>IF(ISBLANK(DADOS_AM!$BH$42),"",DADOS_AM!$BH$42)</f>
        <v/>
      </c>
      <c r="U42">
        <f>IF(ISBLANK(DADOS_AM!$BI$42),"",DADOS_AM!$BI$42)</f>
        <v/>
      </c>
      <c r="V42">
        <f>IF(ISBLANK(DADOS_AM!$BJ$42),"",DADOS_AM!$BJ$42)</f>
        <v/>
      </c>
      <c r="W42">
        <f>IF(ISBLANK(DADOS_AM!$BK$42),"",DADOS_AM!$BK$42)</f>
        <v/>
      </c>
      <c r="X42" t="inlineStr">
        <is>
          <t>Puxa</t>
        </is>
      </c>
      <c r="Y42" t="n">
        <v>0</v>
      </c>
      <c r="AG42">
        <f>O42</f>
        <v/>
      </c>
      <c r="AH42">
        <f>P42</f>
        <v/>
      </c>
      <c r="AI42">
        <f>Q42</f>
        <v/>
      </c>
      <c r="AJ42">
        <f>T42</f>
        <v/>
      </c>
      <c r="AK42">
        <f>Y42</f>
        <v/>
      </c>
      <c r="AL42">
        <f>W42</f>
        <v/>
      </c>
      <c r="AN42">
        <f>IF(OR(P42="",P42='DADOS_INVOC'!$EL$2,P42='DADOS_INVOC'!$EM$2,P42='DADOS_INVOC'!$EN$2,P42='DADOS_INVOC'!$EO$2,P42='DADOS_INVOC'!$EP$2,P42='DADOS_INVOC'!$QV$2,P42='DADOS_INVOC'!$QW$2,P42='DADOS_INVOC'!$QX$2,P42='DADOS_INVOC'!$QY$2),O42,"")</f>
        <v/>
      </c>
      <c r="AO42">
        <f>IF(AND(Q42=1,OR(P42="",P42='DADOS_INVOC'!$EL$2,P42='DADOS_INVOC'!$EM$2,P42='DADOS_INVOC'!$EN$2,P42='DADOS_INVOC'!$EO$2,P42='DADOS_INVOC'!$EP$2,P42='DADOS_INVOC'!$QV$2,P42='DADOS_INVOC'!$QW$2,P42='DADOS_INVOC'!$QX$2,P42='DADOS_INVOC'!$QY$2)),O42,"")</f>
        <v/>
      </c>
      <c r="AP42">
        <f>IF(OR(P42="",P42='DADOS_INVOC'!$EL$3,P42='DADOS_INVOC'!$EM$3,P42='DADOS_INVOC'!$EN$3,P42='DADOS_INVOC'!$EO$3,P42='DADOS_INVOC'!$EP$3,P42='DADOS_INVOC'!$QV$3,P42='DADOS_INVOC'!$QW$3,P42='DADOS_INVOC'!$QX$3,P42='DADOS_INVOC'!$QY$3),O42,"")</f>
        <v/>
      </c>
      <c r="AQ42">
        <f>IF(AND(Q42=1,OR(P42="",P42='DADOS_INVOC'!$EL$3,P42='DADOS_INVOC'!$EM$3,P42='DADOS_INVOC'!$EN$3,P42='DADOS_INVOC'!$EO$3,P42='DADOS_INVOC'!$EP$3,P42='DADOS_INVOC'!$QV$3,P42='DADOS_INVOC'!$QW$3,P42='DADOS_INVOC'!$QX$3,P42='DADOS_INVOC'!$QY$3)),O42,"")</f>
        <v/>
      </c>
      <c r="AR42">
        <f>IF(OR(P42="",P42='DADOS_INVOC'!$EL$4,P42='DADOS_INVOC'!$EM$4,P42='DADOS_INVOC'!$EN$4,P42='DADOS_INVOC'!$EO$4,P42='DADOS_INVOC'!$EP$4,P42='DADOS_INVOC'!$QV$4,P42='DADOS_INVOC'!$QW$4,P42='DADOS_INVOC'!$QX$4,P42='DADOS_INVOC'!$QY$4),O42,"")</f>
        <v/>
      </c>
      <c r="AS42">
        <f>IF(AND(Q42=1,OR(P42="",P42='DADOS_INVOC'!$EL$4,P42='DADOS_INVOC'!$EM$4,P42='DADOS_INVOC'!$EN$4,P42='DADOS_INVOC'!$EO$4,P42='DADOS_INVOC'!$EP$4,P42='DADOS_INVOC'!$QV$4,P42='DADOS_INVOC'!$QW$4,P42='DADOS_INVOC'!$QX$4,P42='DADOS_INVOC'!$QY$4)),O42,"")</f>
        <v/>
      </c>
      <c r="AT42">
        <f>IF(OR(P42="",P42='DADOS_INVOC'!$EL$5,P42='DADOS_INVOC'!$EM$5,P42='DADOS_INVOC'!$EN$5,P42='DADOS_INVOC'!$EO$5,P42='DADOS_INVOC'!$EP$5,P42='DADOS_INVOC'!$QV$5,P42='DADOS_INVOC'!$QW$5,P42='DADOS_INVOC'!$QX$5,P42='DADOS_INVOC'!$QY$5),O42,"")</f>
        <v/>
      </c>
      <c r="AU42">
        <f>IF(AND(Q42=1,OR(P42="",P42='DADOS_INVOC'!$EL$5,P42='DADOS_INVOC'!$EM$5,P42='DADOS_INVOC'!$EN$5,P42='DADOS_INVOC'!$EO$5,P42='DADOS_INVOC'!$EP$5,P42='DADOS_INVOC'!$QV$5,P42='DADOS_INVOC'!$QW$5,P42='DADOS_INVOC'!$QX$5,P42='DADOS_INVOC'!$QY$5)),O42,"")</f>
        <v/>
      </c>
      <c r="AV42">
        <f>IF(OR(P42="",P42='DADOS_INVOC'!$EL$6,P42='DADOS_INVOC'!$EM$6,P42='DADOS_INVOC'!$EN$6,P42='DADOS_INVOC'!$EO$6,P42='DADOS_INVOC'!$EP$6,P42='DADOS_INVOC'!$QV$6,P42='DADOS_INVOC'!$QW$6,P42='DADOS_INVOC'!$QX$6,P42='DADOS_INVOC'!$QY$6),O42,"")</f>
        <v/>
      </c>
      <c r="AW42">
        <f>IF(AND(Q42=1,OR(P42="",P42='DADOS_INVOC'!$EL$6,P42='DADOS_INVOC'!$EM$6,P42='DADOS_INVOC'!$EN$6,P42='DADOS_INVOC'!$EO$6,P42='DADOS_INVOC'!$EP$6,P42='DADOS_INVOC'!$QV$6,P42='DADOS_INVOC'!$QW$6,P42='DADOS_INVOC'!$QX$6,P42='DADOS_INVOC'!$QY$6)),O42,"")</f>
        <v/>
      </c>
      <c r="AX42">
        <f>IF(OR(P42="",P42='DADOS_INVOC'!$EL$7,P42='DADOS_INVOC'!$EM$7,P42='DADOS_INVOC'!$EN$7,P42='DADOS_INVOC'!$EO$7,P42='DADOS_INVOC'!$EP$7,P42='DADOS_INVOC'!$QV$7,P42='DADOS_INVOC'!$QW$7,P42='DADOS_INVOC'!$QX$7,P42='DADOS_INVOC'!$QY$7),O42,"")</f>
        <v/>
      </c>
      <c r="AY42">
        <f>IF(AND(Q42=1,OR(P42="",P42='DADOS_INVOC'!$EL$7,P42='DADOS_INVOC'!$EM$7,P42='DADOS_INVOC'!$EN$7,P42='DADOS_INVOC'!$EO$7,P42='DADOS_INVOC'!$EP$7,P42='DADOS_INVOC'!$QV$7,P42='DADOS_INVOC'!$QW$7,P42='DADOS_INVOC'!$QX$7,P42='DADOS_INVOC'!$QY$7)),O42,"")</f>
        <v/>
      </c>
      <c r="AZ42">
        <f>IF(OR(P42="",P42='DADOS_INVOC'!$EL$8,P42='DADOS_INVOC'!$EM$8,P42='DADOS_INVOC'!$EN$8,P42='DADOS_INVOC'!$EO$8,P42='DADOS_INVOC'!$EP$8,P42='DADOS_INVOC'!$QV$8,P42='DADOS_INVOC'!$QW$8,P42='DADOS_INVOC'!$QX$8,P42='DADOS_INVOC'!$QY$8),O42,"")</f>
        <v/>
      </c>
      <c r="BA42">
        <f>IF(AND(Q42=1,OR(P42="",P42='DADOS_INVOC'!$EL$8,P42='DADOS_INVOC'!$EM$8,P42='DADOS_INVOC'!$EN$8,P42='DADOS_INVOC'!$EO$8,P42='DADOS_INVOC'!$EP$8,P42='DADOS_INVOC'!$QV$8,P42='DADOS_INVOC'!$QW$8,P42='DADOS_INVOC'!$QX$8,P42='DADOS_INVOC'!$QY$8)),O42,"")</f>
        <v/>
      </c>
      <c r="BB42">
        <f>IF(OR(P42="",P42='DADOS_INVOC'!$EL$9,P42='DADOS_INVOC'!$EM$9,P42='DADOS_INVOC'!$EN$9,P42='DADOS_INVOC'!$EO$9,P42='DADOS_INVOC'!$EP$9,P42='DADOS_INVOC'!$QV$9,P42='DADOS_INVOC'!$QW$9,P42='DADOS_INVOC'!$QX$9,P42='DADOS_INVOC'!$QY$9),O42,"")</f>
        <v/>
      </c>
      <c r="BC42">
        <f>IF(AND(Q42=1,OR(P42="",P42='DADOS_INVOC'!$EL$9,P42='DADOS_INVOC'!$EM$9,P42='DADOS_INVOC'!$EN$9,P42='DADOS_INVOC'!$EO$9,P42='DADOS_INVOC'!$EP$9,P42='DADOS_INVOC'!$QV$9,P42='DADOS_INVOC'!$QW$9,P42='DADOS_INVOC'!$QX$9,P42='DADOS_INVOC'!$QY$9)),O42,"")</f>
        <v/>
      </c>
      <c r="BD42">
        <f>IF(OR(P42="",P42='DADOS_INVOC'!$EL$10,P42='DADOS_INVOC'!$EM$10,P42='DADOS_INVOC'!$EN$10,P42='DADOS_INVOC'!$EO$10,P42='DADOS_INVOC'!$EP$10,P42='DADOS_INVOC'!$QV$10,P42='DADOS_INVOC'!$QW$10,P42='DADOS_INVOC'!$QX$10,P42='DADOS_INVOC'!$QY$10),O42,"")</f>
        <v/>
      </c>
      <c r="BE42">
        <f>IF(AND(Q42=1,OR(P42="",P42='DADOS_INVOC'!$EL$10,P42='DADOS_INVOC'!$EM$10,P42='DADOS_INVOC'!$EN$10,P42='DADOS_INVOC'!$EO$10,P42='DADOS_INVOC'!$EP$10,P42='DADOS_INVOC'!$QV$10,P42='DADOS_INVOC'!$QW$10,P42='DADOS_INVOC'!$QX$10,P42='DADOS_INVOC'!$QY$10)),O42,"")</f>
        <v/>
      </c>
      <c r="BF42">
        <f>IF(OR(P42="",P42='DADOS_INVOC'!$EL$11,P42='DADOS_INVOC'!$EM$11,P42='DADOS_INVOC'!$EN$11,P42='DADOS_INVOC'!$EO$11,P42='DADOS_INVOC'!$EP$11,P42='DADOS_INVOC'!$QV$11,P42='DADOS_INVOC'!$QW$11,P42='DADOS_INVOC'!$QX$11,P42='DADOS_INVOC'!$QY$11),O42,"")</f>
        <v/>
      </c>
      <c r="BG42">
        <f>IF(AND(Q42=1,OR(P42="",P42='DADOS_INVOC'!$EL$11,P42='DADOS_INVOC'!$EM$11,P42='DADOS_INVOC'!$EN$11,P42='DADOS_INVOC'!$EO$11,P42='DADOS_INVOC'!$EP$11,P42='DADOS_INVOC'!$QV$11,P42='DADOS_INVOC'!$QW$11,P42='DADOS_INVOC'!$QX$11,P42='DADOS_INVOC'!$QY$11)),O42,"")</f>
        <v/>
      </c>
      <c r="BH42">
        <f>IF(OR(P42="",P42='DADOS_INVOC'!$EL$12,P42='DADOS_INVOC'!$EM$12,P42='DADOS_INVOC'!$EN$12,P42='DADOS_INVOC'!$EO$12,P42='DADOS_INVOC'!$EP$12,P42='DADOS_INVOC'!$QV$12,P42='DADOS_INVOC'!$QW$12,P42='DADOS_INVOC'!$QX$12,P42='DADOS_INVOC'!$QY$12),O42,"")</f>
        <v/>
      </c>
      <c r="BI42">
        <f>IF(AND(Q42=1,OR(P42="",P42='DADOS_INVOC'!$EL$12,P42='DADOS_INVOC'!$EM$12,P42='DADOS_INVOC'!$EN$12,P42='DADOS_INVOC'!$EO$12,P42='DADOS_INVOC'!$EP$12,P42='DADOS_INVOC'!$QV$12,P42='DADOS_INVOC'!$QW$12,P42='DADOS_INVOC'!$QX$12,P42='DADOS_INVOC'!$QY$12)),O42,"")</f>
        <v/>
      </c>
      <c r="BJ42">
        <f>IF(OR(P42="",P42='DADOS_INVOC'!$EL$13,P42='DADOS_INVOC'!$EM$13,P42='DADOS_INVOC'!$EN$13,P42='DADOS_INVOC'!$EO$13,P42='DADOS_INVOC'!$EP$13,P42='DADOS_INVOC'!$QV$13,P42='DADOS_INVOC'!$QW$13,P42='DADOS_INVOC'!$QX$13,P42='DADOS_INVOC'!$QY$13),O42,"")</f>
        <v/>
      </c>
      <c r="BK42">
        <f>IF(AND(Q42=1,OR(P42="",P42='DADOS_INVOC'!$EL$13,P42='DADOS_INVOC'!$EM$13,P42='DADOS_INVOC'!$EN$13,P42='DADOS_INVOC'!$EO$13,P42='DADOS_INVOC'!$EP$13,P42='DADOS_INVOC'!$QV$13,P42='DADOS_INVOC'!$QW$13,P42='DADOS_INVOC'!$QX$13,P42='DADOS_INVOC'!$QY$13)),O42,"")</f>
        <v/>
      </c>
      <c r="BP42" t="inlineStr">
        <is>
          <t>Prende</t>
        </is>
      </c>
    </row>
    <row r="43">
      <c r="O43">
        <f>IF(ISBLANK(DADOS_AM!$BC$43),"",DADOS_AM!$BC$43)</f>
        <v/>
      </c>
      <c r="P43">
        <f>IF(ISBLANK(DADOS_AM!$BD$43),"",DADOS_AM!$BD$43)</f>
        <v/>
      </c>
      <c r="Q43">
        <f>IF(ISBLANK(DADOS_AM!$BE$43),"",DADOS_AM!$BE$43)</f>
        <v/>
      </c>
      <c r="R43">
        <f>IF(ISBLANK(DADOS_AM!$BF$43),"",DADOS_AM!$BF$43)</f>
        <v/>
      </c>
      <c r="S43">
        <f>IF(ISBLANK(DADOS_AM!$BG$43),"",DADOS_AM!$BG$43)</f>
        <v/>
      </c>
      <c r="T43">
        <f>IF(ISBLANK(DADOS_AM!$BH$43),"",DADOS_AM!$BH$43)</f>
        <v/>
      </c>
      <c r="U43">
        <f>IF(ISBLANK(DADOS_AM!$BI$43),"",DADOS_AM!$BI$43)</f>
        <v/>
      </c>
      <c r="V43">
        <f>IF(ISBLANK(DADOS_AM!$BJ$43),"",DADOS_AM!$BJ$43)</f>
        <v/>
      </c>
      <c r="W43">
        <f>IF(ISBLANK(DADOS_AM!$BK$43),"",DADOS_AM!$BK$43)</f>
        <v/>
      </c>
      <c r="X43" t="inlineStr">
        <is>
          <t>Impulso</t>
        </is>
      </c>
      <c r="Y43" t="n">
        <v>0</v>
      </c>
      <c r="AG43">
        <f>O43</f>
        <v/>
      </c>
      <c r="AH43">
        <f>P43</f>
        <v/>
      </c>
      <c r="AI43">
        <f>Q43</f>
        <v/>
      </c>
      <c r="AJ43">
        <f>T43</f>
        <v/>
      </c>
      <c r="AK43">
        <f>Y43</f>
        <v/>
      </c>
      <c r="AL43">
        <f>W43</f>
        <v/>
      </c>
      <c r="AN43">
        <f>IF(OR(P43="",P43='DADOS_INVOC'!$EL$2,P43='DADOS_INVOC'!$EM$2,P43='DADOS_INVOC'!$EN$2,P43='DADOS_INVOC'!$EO$2,P43='DADOS_INVOC'!$EP$2,P43='DADOS_INVOC'!$QV$2,P43='DADOS_INVOC'!$QW$2,P43='DADOS_INVOC'!$QX$2,P43='DADOS_INVOC'!$QY$2),O43,"")</f>
        <v/>
      </c>
      <c r="AO43">
        <f>IF(AND(Q43=1,OR(P43="",P43='DADOS_INVOC'!$EL$2,P43='DADOS_INVOC'!$EM$2,P43='DADOS_INVOC'!$EN$2,P43='DADOS_INVOC'!$EO$2,P43='DADOS_INVOC'!$EP$2,P43='DADOS_INVOC'!$QV$2,P43='DADOS_INVOC'!$QW$2,P43='DADOS_INVOC'!$QX$2,P43='DADOS_INVOC'!$QY$2)),O43,"")</f>
        <v/>
      </c>
      <c r="AP43">
        <f>IF(OR(P43="",P43='DADOS_INVOC'!$EL$3,P43='DADOS_INVOC'!$EM$3,P43='DADOS_INVOC'!$EN$3,P43='DADOS_INVOC'!$EO$3,P43='DADOS_INVOC'!$EP$3,P43='DADOS_INVOC'!$QV$3,P43='DADOS_INVOC'!$QW$3,P43='DADOS_INVOC'!$QX$3,P43='DADOS_INVOC'!$QY$3),O43,"")</f>
        <v/>
      </c>
      <c r="AQ43">
        <f>IF(AND(Q43=1,OR(P43="",P43='DADOS_INVOC'!$EL$3,P43='DADOS_INVOC'!$EM$3,P43='DADOS_INVOC'!$EN$3,P43='DADOS_INVOC'!$EO$3,P43='DADOS_INVOC'!$EP$3,P43='DADOS_INVOC'!$QV$3,P43='DADOS_INVOC'!$QW$3,P43='DADOS_INVOC'!$QX$3,P43='DADOS_INVOC'!$QY$3)),O43,"")</f>
        <v/>
      </c>
      <c r="AR43">
        <f>IF(OR(P43="",P43='DADOS_INVOC'!$EL$4,P43='DADOS_INVOC'!$EM$4,P43='DADOS_INVOC'!$EN$4,P43='DADOS_INVOC'!$EO$4,P43='DADOS_INVOC'!$EP$4,P43='DADOS_INVOC'!$QV$4,P43='DADOS_INVOC'!$QW$4,P43='DADOS_INVOC'!$QX$4,P43='DADOS_INVOC'!$QY$4),O43,"")</f>
        <v/>
      </c>
      <c r="AS43">
        <f>IF(AND(Q43=1,OR(P43="",P43='DADOS_INVOC'!$EL$4,P43='DADOS_INVOC'!$EM$4,P43='DADOS_INVOC'!$EN$4,P43='DADOS_INVOC'!$EO$4,P43='DADOS_INVOC'!$EP$4,P43='DADOS_INVOC'!$QV$4,P43='DADOS_INVOC'!$QW$4,P43='DADOS_INVOC'!$QX$4,P43='DADOS_INVOC'!$QY$4)),O43,"")</f>
        <v/>
      </c>
      <c r="AT43">
        <f>IF(OR(P43="",P43='DADOS_INVOC'!$EL$5,P43='DADOS_INVOC'!$EM$5,P43='DADOS_INVOC'!$EN$5,P43='DADOS_INVOC'!$EO$5,P43='DADOS_INVOC'!$EP$5,P43='DADOS_INVOC'!$QV$5,P43='DADOS_INVOC'!$QW$5,P43='DADOS_INVOC'!$QX$5,P43='DADOS_INVOC'!$QY$5),O43,"")</f>
        <v/>
      </c>
      <c r="AU43">
        <f>IF(AND(Q43=1,OR(P43="",P43='DADOS_INVOC'!$EL$5,P43='DADOS_INVOC'!$EM$5,P43='DADOS_INVOC'!$EN$5,P43='DADOS_INVOC'!$EO$5,P43='DADOS_INVOC'!$EP$5,P43='DADOS_INVOC'!$QV$5,P43='DADOS_INVOC'!$QW$5,P43='DADOS_INVOC'!$QX$5,P43='DADOS_INVOC'!$QY$5)),O43,"")</f>
        <v/>
      </c>
      <c r="AV43">
        <f>IF(OR(P43="",P43='DADOS_INVOC'!$EL$6,P43='DADOS_INVOC'!$EM$6,P43='DADOS_INVOC'!$EN$6,P43='DADOS_INVOC'!$EO$6,P43='DADOS_INVOC'!$EP$6,P43='DADOS_INVOC'!$QV$6,P43='DADOS_INVOC'!$QW$6,P43='DADOS_INVOC'!$QX$6,P43='DADOS_INVOC'!$QY$6),O43,"")</f>
        <v/>
      </c>
      <c r="AW43">
        <f>IF(AND(Q43=1,OR(P43="",P43='DADOS_INVOC'!$EL$6,P43='DADOS_INVOC'!$EM$6,P43='DADOS_INVOC'!$EN$6,P43='DADOS_INVOC'!$EO$6,P43='DADOS_INVOC'!$EP$6,P43='DADOS_INVOC'!$QV$6,P43='DADOS_INVOC'!$QW$6,P43='DADOS_INVOC'!$QX$6,P43='DADOS_INVOC'!$QY$6)),O43,"")</f>
        <v/>
      </c>
      <c r="AX43">
        <f>IF(OR(P43="",P43='DADOS_INVOC'!$EL$7,P43='DADOS_INVOC'!$EM$7,P43='DADOS_INVOC'!$EN$7,P43='DADOS_INVOC'!$EO$7,P43='DADOS_INVOC'!$EP$7,P43='DADOS_INVOC'!$QV$7,P43='DADOS_INVOC'!$QW$7,P43='DADOS_INVOC'!$QX$7,P43='DADOS_INVOC'!$QY$7),O43,"")</f>
        <v/>
      </c>
      <c r="AY43">
        <f>IF(AND(Q43=1,OR(P43="",P43='DADOS_INVOC'!$EL$7,P43='DADOS_INVOC'!$EM$7,P43='DADOS_INVOC'!$EN$7,P43='DADOS_INVOC'!$EO$7,P43='DADOS_INVOC'!$EP$7,P43='DADOS_INVOC'!$QV$7,P43='DADOS_INVOC'!$QW$7,P43='DADOS_INVOC'!$QX$7,P43='DADOS_INVOC'!$QY$7)),O43,"")</f>
        <v/>
      </c>
      <c r="AZ43">
        <f>IF(OR(P43="",P43='DADOS_INVOC'!$EL$8,P43='DADOS_INVOC'!$EM$8,P43='DADOS_INVOC'!$EN$8,P43='DADOS_INVOC'!$EO$8,P43='DADOS_INVOC'!$EP$8,P43='DADOS_INVOC'!$QV$8,P43='DADOS_INVOC'!$QW$8,P43='DADOS_INVOC'!$QX$8,P43='DADOS_INVOC'!$QY$8),O43,"")</f>
        <v/>
      </c>
      <c r="BA43">
        <f>IF(AND(Q43=1,OR(P43="",P43='DADOS_INVOC'!$EL$8,P43='DADOS_INVOC'!$EM$8,P43='DADOS_INVOC'!$EN$8,P43='DADOS_INVOC'!$EO$8,P43='DADOS_INVOC'!$EP$8,P43='DADOS_INVOC'!$QV$8,P43='DADOS_INVOC'!$QW$8,P43='DADOS_INVOC'!$QX$8,P43='DADOS_INVOC'!$QY$8)),O43,"")</f>
        <v/>
      </c>
      <c r="BB43">
        <f>IF(OR(P43="",P43='DADOS_INVOC'!$EL$9,P43='DADOS_INVOC'!$EM$9,P43='DADOS_INVOC'!$EN$9,P43='DADOS_INVOC'!$EO$9,P43='DADOS_INVOC'!$EP$9,P43='DADOS_INVOC'!$QV$9,P43='DADOS_INVOC'!$QW$9,P43='DADOS_INVOC'!$QX$9,P43='DADOS_INVOC'!$QY$9),O43,"")</f>
        <v/>
      </c>
      <c r="BC43">
        <f>IF(AND(Q43=1,OR(P43="",P43='DADOS_INVOC'!$EL$9,P43='DADOS_INVOC'!$EM$9,P43='DADOS_INVOC'!$EN$9,P43='DADOS_INVOC'!$EO$9,P43='DADOS_INVOC'!$EP$9,P43='DADOS_INVOC'!$QV$9,P43='DADOS_INVOC'!$QW$9,P43='DADOS_INVOC'!$QX$9,P43='DADOS_INVOC'!$QY$9)),O43,"")</f>
        <v/>
      </c>
      <c r="BD43">
        <f>IF(OR(P43="",P43='DADOS_INVOC'!$EL$10,P43='DADOS_INVOC'!$EM$10,P43='DADOS_INVOC'!$EN$10,P43='DADOS_INVOC'!$EO$10,P43='DADOS_INVOC'!$EP$10,P43='DADOS_INVOC'!$QV$10,P43='DADOS_INVOC'!$QW$10,P43='DADOS_INVOC'!$QX$10,P43='DADOS_INVOC'!$QY$10),O43,"")</f>
        <v/>
      </c>
      <c r="BE43">
        <f>IF(AND(Q43=1,OR(P43="",P43='DADOS_INVOC'!$EL$10,P43='DADOS_INVOC'!$EM$10,P43='DADOS_INVOC'!$EN$10,P43='DADOS_INVOC'!$EO$10,P43='DADOS_INVOC'!$EP$10,P43='DADOS_INVOC'!$QV$10,P43='DADOS_INVOC'!$QW$10,P43='DADOS_INVOC'!$QX$10,P43='DADOS_INVOC'!$QY$10)),O43,"")</f>
        <v/>
      </c>
      <c r="BF43">
        <f>IF(OR(P43="",P43='DADOS_INVOC'!$EL$11,P43='DADOS_INVOC'!$EM$11,P43='DADOS_INVOC'!$EN$11,P43='DADOS_INVOC'!$EO$11,P43='DADOS_INVOC'!$EP$11,P43='DADOS_INVOC'!$QV$11,P43='DADOS_INVOC'!$QW$11,P43='DADOS_INVOC'!$QX$11,P43='DADOS_INVOC'!$QY$11),O43,"")</f>
        <v/>
      </c>
      <c r="BG43">
        <f>IF(AND(Q43=1,OR(P43="",P43='DADOS_INVOC'!$EL$11,P43='DADOS_INVOC'!$EM$11,P43='DADOS_INVOC'!$EN$11,P43='DADOS_INVOC'!$EO$11,P43='DADOS_INVOC'!$EP$11,P43='DADOS_INVOC'!$QV$11,P43='DADOS_INVOC'!$QW$11,P43='DADOS_INVOC'!$QX$11,P43='DADOS_INVOC'!$QY$11)),O43,"")</f>
        <v/>
      </c>
      <c r="BH43">
        <f>IF(OR(P43="",P43='DADOS_INVOC'!$EL$12,P43='DADOS_INVOC'!$EM$12,P43='DADOS_INVOC'!$EN$12,P43='DADOS_INVOC'!$EO$12,P43='DADOS_INVOC'!$EP$12,P43='DADOS_INVOC'!$QV$12,P43='DADOS_INVOC'!$QW$12,P43='DADOS_INVOC'!$QX$12,P43='DADOS_INVOC'!$QY$12),O43,"")</f>
        <v/>
      </c>
      <c r="BI43">
        <f>IF(AND(Q43=1,OR(P43="",P43='DADOS_INVOC'!$EL$12,P43='DADOS_INVOC'!$EM$12,P43='DADOS_INVOC'!$EN$12,P43='DADOS_INVOC'!$EO$12,P43='DADOS_INVOC'!$EP$12,P43='DADOS_INVOC'!$QV$12,P43='DADOS_INVOC'!$QW$12,P43='DADOS_INVOC'!$QX$12,P43='DADOS_INVOC'!$QY$12)),O43,"")</f>
        <v/>
      </c>
      <c r="BJ43">
        <f>IF(OR(P43="",P43='DADOS_INVOC'!$EL$13,P43='DADOS_INVOC'!$EM$13,P43='DADOS_INVOC'!$EN$13,P43='DADOS_INVOC'!$EO$13,P43='DADOS_INVOC'!$EP$13,P43='DADOS_INVOC'!$QV$13,P43='DADOS_INVOC'!$QW$13,P43='DADOS_INVOC'!$QX$13,P43='DADOS_INVOC'!$QY$13),O43,"")</f>
        <v/>
      </c>
      <c r="BK43">
        <f>IF(AND(Q43=1,OR(P43="",P43='DADOS_INVOC'!$EL$13,P43='DADOS_INVOC'!$EM$13,P43='DADOS_INVOC'!$EN$13,P43='DADOS_INVOC'!$EO$13,P43='DADOS_INVOC'!$EP$13,P43='DADOS_INVOC'!$QV$13,P43='DADOS_INVOC'!$QW$13,P43='DADOS_INVOC'!$QX$13,P43='DADOS_INVOC'!$QY$13)),O43,"")</f>
        <v/>
      </c>
      <c r="BP43" t="inlineStr">
        <is>
          <t>Puxa</t>
        </is>
      </c>
    </row>
    <row r="44">
      <c r="O44">
        <f>IF(ISBLANK(DADOS_AM!$BC$44),"",DADOS_AM!$BC$44)</f>
        <v/>
      </c>
      <c r="P44">
        <f>IF(ISBLANK(DADOS_AM!$BD$44),"",DADOS_AM!$BD$44)</f>
        <v/>
      </c>
      <c r="Q44">
        <f>IF(ISBLANK(DADOS_AM!$BE$44),"",DADOS_AM!$BE$44)</f>
        <v/>
      </c>
      <c r="R44">
        <f>IF(ISBLANK(DADOS_AM!$BF$44),"",DADOS_AM!$BF$44)</f>
        <v/>
      </c>
      <c r="S44">
        <f>IF(ISBLANK(DADOS_AM!$BG$44),"",DADOS_AM!$BG$44)</f>
        <v/>
      </c>
      <c r="T44">
        <f>IF(ISBLANK(DADOS_AM!$BH$44),"",DADOS_AM!$BH$44)</f>
        <v/>
      </c>
      <c r="U44">
        <f>IF(ISBLANK(DADOS_AM!$BI$44),"",DADOS_AM!$BI$44)</f>
        <v/>
      </c>
      <c r="V44">
        <f>IF(ISBLANK(DADOS_AM!$BJ$44),"",DADOS_AM!$BJ$44)</f>
        <v/>
      </c>
      <c r="W44">
        <f>IF(ISBLANK(DADOS_AM!$BK$44),"",DADOS_AM!$BK$44)</f>
        <v/>
      </c>
      <c r="X44" t="inlineStr">
        <is>
          <t>Trava</t>
        </is>
      </c>
      <c r="Y44" t="n">
        <v>0</v>
      </c>
      <c r="AG44">
        <f>O44</f>
        <v/>
      </c>
      <c r="AH44">
        <f>P44</f>
        <v/>
      </c>
      <c r="AI44">
        <f>Q44</f>
        <v/>
      </c>
      <c r="AJ44">
        <f>T44</f>
        <v/>
      </c>
      <c r="AK44">
        <f>Y44</f>
        <v/>
      </c>
      <c r="AL44">
        <f>W44</f>
        <v/>
      </c>
      <c r="AN44">
        <f>IF(OR(P44="",P44='DADOS_INVOC'!$EL$2,P44='DADOS_INVOC'!$EM$2,P44='DADOS_INVOC'!$EN$2,P44='DADOS_INVOC'!$EO$2,P44='DADOS_INVOC'!$EP$2,P44='DADOS_INVOC'!$QV$2,P44='DADOS_INVOC'!$QW$2,P44='DADOS_INVOC'!$QX$2,P44='DADOS_INVOC'!$QY$2),O44,"")</f>
        <v/>
      </c>
      <c r="AO44">
        <f>IF(AND(Q44=1,OR(P44="",P44='DADOS_INVOC'!$EL$2,P44='DADOS_INVOC'!$EM$2,P44='DADOS_INVOC'!$EN$2,P44='DADOS_INVOC'!$EO$2,P44='DADOS_INVOC'!$EP$2,P44='DADOS_INVOC'!$QV$2,P44='DADOS_INVOC'!$QW$2,P44='DADOS_INVOC'!$QX$2,P44='DADOS_INVOC'!$QY$2)),O44,"")</f>
        <v/>
      </c>
      <c r="AP44">
        <f>IF(OR(P44="",P44='DADOS_INVOC'!$EL$3,P44='DADOS_INVOC'!$EM$3,P44='DADOS_INVOC'!$EN$3,P44='DADOS_INVOC'!$EO$3,P44='DADOS_INVOC'!$EP$3,P44='DADOS_INVOC'!$QV$3,P44='DADOS_INVOC'!$QW$3,P44='DADOS_INVOC'!$QX$3,P44='DADOS_INVOC'!$QY$3),O44,"")</f>
        <v/>
      </c>
      <c r="AQ44">
        <f>IF(AND(Q44=1,OR(P44="",P44='DADOS_INVOC'!$EL$3,P44='DADOS_INVOC'!$EM$3,P44='DADOS_INVOC'!$EN$3,P44='DADOS_INVOC'!$EO$3,P44='DADOS_INVOC'!$EP$3,P44='DADOS_INVOC'!$QV$3,P44='DADOS_INVOC'!$QW$3,P44='DADOS_INVOC'!$QX$3,P44='DADOS_INVOC'!$QY$3)),O44,"")</f>
        <v/>
      </c>
      <c r="AR44">
        <f>IF(OR(P44="",P44='DADOS_INVOC'!$EL$4,P44='DADOS_INVOC'!$EM$4,P44='DADOS_INVOC'!$EN$4,P44='DADOS_INVOC'!$EO$4,P44='DADOS_INVOC'!$EP$4,P44='DADOS_INVOC'!$QV$4,P44='DADOS_INVOC'!$QW$4,P44='DADOS_INVOC'!$QX$4,P44='DADOS_INVOC'!$QY$4),O44,"")</f>
        <v/>
      </c>
      <c r="AS44">
        <f>IF(AND(Q44=1,OR(P44="",P44='DADOS_INVOC'!$EL$4,P44='DADOS_INVOC'!$EM$4,P44='DADOS_INVOC'!$EN$4,P44='DADOS_INVOC'!$EO$4,P44='DADOS_INVOC'!$EP$4,P44='DADOS_INVOC'!$QV$4,P44='DADOS_INVOC'!$QW$4,P44='DADOS_INVOC'!$QX$4,P44='DADOS_INVOC'!$QY$4)),O44,"")</f>
        <v/>
      </c>
      <c r="AT44">
        <f>IF(OR(P44="",P44='DADOS_INVOC'!$EL$5,P44='DADOS_INVOC'!$EM$5,P44='DADOS_INVOC'!$EN$5,P44='DADOS_INVOC'!$EO$5,P44='DADOS_INVOC'!$EP$5,P44='DADOS_INVOC'!$QV$5,P44='DADOS_INVOC'!$QW$5,P44='DADOS_INVOC'!$QX$5,P44='DADOS_INVOC'!$QY$5),O44,"")</f>
        <v/>
      </c>
      <c r="AU44">
        <f>IF(AND(Q44=1,OR(P44="",P44='DADOS_INVOC'!$EL$5,P44='DADOS_INVOC'!$EM$5,P44='DADOS_INVOC'!$EN$5,P44='DADOS_INVOC'!$EO$5,P44='DADOS_INVOC'!$EP$5,P44='DADOS_INVOC'!$QV$5,P44='DADOS_INVOC'!$QW$5,P44='DADOS_INVOC'!$QX$5,P44='DADOS_INVOC'!$QY$5)),O44,"")</f>
        <v/>
      </c>
      <c r="AV44">
        <f>IF(OR(P44="",P44='DADOS_INVOC'!$EL$6,P44='DADOS_INVOC'!$EM$6,P44='DADOS_INVOC'!$EN$6,P44='DADOS_INVOC'!$EO$6,P44='DADOS_INVOC'!$EP$6,P44='DADOS_INVOC'!$QV$6,P44='DADOS_INVOC'!$QW$6,P44='DADOS_INVOC'!$QX$6,P44='DADOS_INVOC'!$QY$6),O44,"")</f>
        <v/>
      </c>
      <c r="AW44">
        <f>IF(AND(Q44=1,OR(P44="",P44='DADOS_INVOC'!$EL$6,P44='DADOS_INVOC'!$EM$6,P44='DADOS_INVOC'!$EN$6,P44='DADOS_INVOC'!$EO$6,P44='DADOS_INVOC'!$EP$6,P44='DADOS_INVOC'!$QV$6,P44='DADOS_INVOC'!$QW$6,P44='DADOS_INVOC'!$QX$6,P44='DADOS_INVOC'!$QY$6)),O44,"")</f>
        <v/>
      </c>
      <c r="AX44">
        <f>IF(OR(P44="",P44='DADOS_INVOC'!$EL$7,P44='DADOS_INVOC'!$EM$7,P44='DADOS_INVOC'!$EN$7,P44='DADOS_INVOC'!$EO$7,P44='DADOS_INVOC'!$EP$7,P44='DADOS_INVOC'!$QV$7,P44='DADOS_INVOC'!$QW$7,P44='DADOS_INVOC'!$QX$7,P44='DADOS_INVOC'!$QY$7),O44,"")</f>
        <v/>
      </c>
      <c r="AY44">
        <f>IF(AND(Q44=1,OR(P44="",P44='DADOS_INVOC'!$EL$7,P44='DADOS_INVOC'!$EM$7,P44='DADOS_INVOC'!$EN$7,P44='DADOS_INVOC'!$EO$7,P44='DADOS_INVOC'!$EP$7,P44='DADOS_INVOC'!$QV$7,P44='DADOS_INVOC'!$QW$7,P44='DADOS_INVOC'!$QX$7,P44='DADOS_INVOC'!$QY$7)),O44,"")</f>
        <v/>
      </c>
      <c r="AZ44">
        <f>IF(OR(P44="",P44='DADOS_INVOC'!$EL$8,P44='DADOS_INVOC'!$EM$8,P44='DADOS_INVOC'!$EN$8,P44='DADOS_INVOC'!$EO$8,P44='DADOS_INVOC'!$EP$8,P44='DADOS_INVOC'!$QV$8,P44='DADOS_INVOC'!$QW$8,P44='DADOS_INVOC'!$QX$8,P44='DADOS_INVOC'!$QY$8),O44,"")</f>
        <v/>
      </c>
      <c r="BA44">
        <f>IF(AND(Q44=1,OR(P44="",P44='DADOS_INVOC'!$EL$8,P44='DADOS_INVOC'!$EM$8,P44='DADOS_INVOC'!$EN$8,P44='DADOS_INVOC'!$EO$8,P44='DADOS_INVOC'!$EP$8,P44='DADOS_INVOC'!$QV$8,P44='DADOS_INVOC'!$QW$8,P44='DADOS_INVOC'!$QX$8,P44='DADOS_INVOC'!$QY$8)),O44,"")</f>
        <v/>
      </c>
      <c r="BB44">
        <f>IF(OR(P44="",P44='DADOS_INVOC'!$EL$9,P44='DADOS_INVOC'!$EM$9,P44='DADOS_INVOC'!$EN$9,P44='DADOS_INVOC'!$EO$9,P44='DADOS_INVOC'!$EP$9,P44='DADOS_INVOC'!$QV$9,P44='DADOS_INVOC'!$QW$9,P44='DADOS_INVOC'!$QX$9,P44='DADOS_INVOC'!$QY$9),O44,"")</f>
        <v/>
      </c>
      <c r="BC44">
        <f>IF(AND(Q44=1,OR(P44="",P44='DADOS_INVOC'!$EL$9,P44='DADOS_INVOC'!$EM$9,P44='DADOS_INVOC'!$EN$9,P44='DADOS_INVOC'!$EO$9,P44='DADOS_INVOC'!$EP$9,P44='DADOS_INVOC'!$QV$9,P44='DADOS_INVOC'!$QW$9,P44='DADOS_INVOC'!$QX$9,P44='DADOS_INVOC'!$QY$9)),O44,"")</f>
        <v/>
      </c>
      <c r="BD44">
        <f>IF(OR(P44="",P44='DADOS_INVOC'!$EL$10,P44='DADOS_INVOC'!$EM$10,P44='DADOS_INVOC'!$EN$10,P44='DADOS_INVOC'!$EO$10,P44='DADOS_INVOC'!$EP$10,P44='DADOS_INVOC'!$QV$10,P44='DADOS_INVOC'!$QW$10,P44='DADOS_INVOC'!$QX$10,P44='DADOS_INVOC'!$QY$10),O44,"")</f>
        <v/>
      </c>
      <c r="BE44">
        <f>IF(AND(Q44=1,OR(P44="",P44='DADOS_INVOC'!$EL$10,P44='DADOS_INVOC'!$EM$10,P44='DADOS_INVOC'!$EN$10,P44='DADOS_INVOC'!$EO$10,P44='DADOS_INVOC'!$EP$10,P44='DADOS_INVOC'!$QV$10,P44='DADOS_INVOC'!$QW$10,P44='DADOS_INVOC'!$QX$10,P44='DADOS_INVOC'!$QY$10)),O44,"")</f>
        <v/>
      </c>
      <c r="BF44">
        <f>IF(OR(P44="",P44='DADOS_INVOC'!$EL$11,P44='DADOS_INVOC'!$EM$11,P44='DADOS_INVOC'!$EN$11,P44='DADOS_INVOC'!$EO$11,P44='DADOS_INVOC'!$EP$11,P44='DADOS_INVOC'!$QV$11,P44='DADOS_INVOC'!$QW$11,P44='DADOS_INVOC'!$QX$11,P44='DADOS_INVOC'!$QY$11),O44,"")</f>
        <v/>
      </c>
      <c r="BG44">
        <f>IF(AND(Q44=1,OR(P44="",P44='DADOS_INVOC'!$EL$11,P44='DADOS_INVOC'!$EM$11,P44='DADOS_INVOC'!$EN$11,P44='DADOS_INVOC'!$EO$11,P44='DADOS_INVOC'!$EP$11,P44='DADOS_INVOC'!$QV$11,P44='DADOS_INVOC'!$QW$11,P44='DADOS_INVOC'!$QX$11,P44='DADOS_INVOC'!$QY$11)),O44,"")</f>
        <v/>
      </c>
      <c r="BH44">
        <f>IF(OR(P44="",P44='DADOS_INVOC'!$EL$12,P44='DADOS_INVOC'!$EM$12,P44='DADOS_INVOC'!$EN$12,P44='DADOS_INVOC'!$EO$12,P44='DADOS_INVOC'!$EP$12,P44='DADOS_INVOC'!$QV$12,P44='DADOS_INVOC'!$QW$12,P44='DADOS_INVOC'!$QX$12,P44='DADOS_INVOC'!$QY$12),O44,"")</f>
        <v/>
      </c>
      <c r="BI44">
        <f>IF(AND(Q44=1,OR(P44="",P44='DADOS_INVOC'!$EL$12,P44='DADOS_INVOC'!$EM$12,P44='DADOS_INVOC'!$EN$12,P44='DADOS_INVOC'!$EO$12,P44='DADOS_INVOC'!$EP$12,P44='DADOS_INVOC'!$QV$12,P44='DADOS_INVOC'!$QW$12,P44='DADOS_INVOC'!$QX$12,P44='DADOS_INVOC'!$QY$12)),O44,"")</f>
        <v/>
      </c>
      <c r="BJ44">
        <f>IF(OR(P44="",P44='DADOS_INVOC'!$EL$13,P44='DADOS_INVOC'!$EM$13,P44='DADOS_INVOC'!$EN$13,P44='DADOS_INVOC'!$EO$13,P44='DADOS_INVOC'!$EP$13,P44='DADOS_INVOC'!$QV$13,P44='DADOS_INVOC'!$QW$13,P44='DADOS_INVOC'!$QX$13,P44='DADOS_INVOC'!$QY$13),O44,"")</f>
        <v/>
      </c>
      <c r="BK44">
        <f>IF(AND(Q44=1,OR(P44="",P44='DADOS_INVOC'!$EL$13,P44='DADOS_INVOC'!$EM$13,P44='DADOS_INVOC'!$EN$13,P44='DADOS_INVOC'!$EO$13,P44='DADOS_INVOC'!$EP$13,P44='DADOS_INVOC'!$QV$13,P44='DADOS_INVOC'!$QW$13,P44='DADOS_INVOC'!$QX$13,P44='DADOS_INVOC'!$QY$13)),O44,"")</f>
        <v/>
      </c>
      <c r="BP44" t="inlineStr">
        <is>
          <t>Impulso</t>
        </is>
      </c>
    </row>
    <row r="45">
      <c r="O45">
        <f>IF(ISBLANK(DADOS_AM!$BC$45),"",DADOS_AM!$BC$45)</f>
        <v/>
      </c>
      <c r="P45">
        <f>IF(ISBLANK(DADOS_AM!$BD$45),"",DADOS_AM!$BD$45)</f>
        <v/>
      </c>
      <c r="Q45">
        <f>IF(ISBLANK(DADOS_AM!$BE$45),"",DADOS_AM!$BE$45)</f>
        <v/>
      </c>
      <c r="R45">
        <f>IF(ISBLANK(DADOS_AM!$BF$45),"",DADOS_AM!$BF$45)</f>
        <v/>
      </c>
      <c r="S45">
        <f>IF(ISBLANK(DADOS_AM!$BG$45),"",DADOS_AM!$BG$45)</f>
        <v/>
      </c>
      <c r="T45">
        <f>IF(ISBLANK(DADOS_AM!$BH$45),"",DADOS_AM!$BH$45)</f>
        <v/>
      </c>
      <c r="U45">
        <f>IF(ISBLANK(DADOS_AM!$BI$45),"",DADOS_AM!$BI$45)</f>
        <v/>
      </c>
      <c r="V45">
        <f>IF(ISBLANK(DADOS_AM!$BJ$45),"",DADOS_AM!$BJ$45)</f>
        <v/>
      </c>
      <c r="W45">
        <f>IF(ISBLANK(DADOS_AM!$BK$45),"",DADOS_AM!$BK$45)</f>
        <v/>
      </c>
      <c r="X45" t="inlineStr">
        <is>
          <t>Abre Ferida</t>
        </is>
      </c>
      <c r="Y45" t="n">
        <v>0</v>
      </c>
      <c r="AG45">
        <f>O45</f>
        <v/>
      </c>
      <c r="AH45">
        <f>P45</f>
        <v/>
      </c>
      <c r="AI45">
        <f>Q45</f>
        <v/>
      </c>
      <c r="AJ45">
        <f>T45</f>
        <v/>
      </c>
      <c r="AK45">
        <f>Y45</f>
        <v/>
      </c>
      <c r="AL45">
        <f>W45</f>
        <v/>
      </c>
      <c r="AN45">
        <f>IF(OR(P45="",P45='DADOS_INVOC'!$EL$2,P45='DADOS_INVOC'!$EM$2,P45='DADOS_INVOC'!$EN$2,P45='DADOS_INVOC'!$EO$2,P45='DADOS_INVOC'!$EP$2,P45='DADOS_INVOC'!$QV$2,P45='DADOS_INVOC'!$QW$2,P45='DADOS_INVOC'!$QX$2,P45='DADOS_INVOC'!$QY$2),O45,"")</f>
        <v/>
      </c>
      <c r="AO45">
        <f>IF(AND(Q45=1,OR(P45="",P45='DADOS_INVOC'!$EL$2,P45='DADOS_INVOC'!$EM$2,P45='DADOS_INVOC'!$EN$2,P45='DADOS_INVOC'!$EO$2,P45='DADOS_INVOC'!$EP$2,P45='DADOS_INVOC'!$QV$2,P45='DADOS_INVOC'!$QW$2,P45='DADOS_INVOC'!$QX$2,P45='DADOS_INVOC'!$QY$2)),O45,"")</f>
        <v/>
      </c>
      <c r="AP45">
        <f>IF(OR(P45="",P45='DADOS_INVOC'!$EL$3,P45='DADOS_INVOC'!$EM$3,P45='DADOS_INVOC'!$EN$3,P45='DADOS_INVOC'!$EO$3,P45='DADOS_INVOC'!$EP$3,P45='DADOS_INVOC'!$QV$3,P45='DADOS_INVOC'!$QW$3,P45='DADOS_INVOC'!$QX$3,P45='DADOS_INVOC'!$QY$3),O45,"")</f>
        <v/>
      </c>
      <c r="AQ45">
        <f>IF(AND(Q45=1,OR(P45="",P45='DADOS_INVOC'!$EL$3,P45='DADOS_INVOC'!$EM$3,P45='DADOS_INVOC'!$EN$3,P45='DADOS_INVOC'!$EO$3,P45='DADOS_INVOC'!$EP$3,P45='DADOS_INVOC'!$QV$3,P45='DADOS_INVOC'!$QW$3,P45='DADOS_INVOC'!$QX$3,P45='DADOS_INVOC'!$QY$3)),O45,"")</f>
        <v/>
      </c>
      <c r="AR45">
        <f>IF(OR(P45="",P45='DADOS_INVOC'!$EL$4,P45='DADOS_INVOC'!$EM$4,P45='DADOS_INVOC'!$EN$4,P45='DADOS_INVOC'!$EO$4,P45='DADOS_INVOC'!$EP$4,P45='DADOS_INVOC'!$QV$4,P45='DADOS_INVOC'!$QW$4,P45='DADOS_INVOC'!$QX$4,P45='DADOS_INVOC'!$QY$4),O45,"")</f>
        <v/>
      </c>
      <c r="AS45">
        <f>IF(AND(Q45=1,OR(P45="",P45='DADOS_INVOC'!$EL$4,P45='DADOS_INVOC'!$EM$4,P45='DADOS_INVOC'!$EN$4,P45='DADOS_INVOC'!$EO$4,P45='DADOS_INVOC'!$EP$4,P45='DADOS_INVOC'!$QV$4,P45='DADOS_INVOC'!$QW$4,P45='DADOS_INVOC'!$QX$4,P45='DADOS_INVOC'!$QY$4)),O45,"")</f>
        <v/>
      </c>
      <c r="AT45">
        <f>IF(OR(P45="",P45='DADOS_INVOC'!$EL$5,P45='DADOS_INVOC'!$EM$5,P45='DADOS_INVOC'!$EN$5,P45='DADOS_INVOC'!$EO$5,P45='DADOS_INVOC'!$EP$5,P45='DADOS_INVOC'!$QV$5,P45='DADOS_INVOC'!$QW$5,P45='DADOS_INVOC'!$QX$5,P45='DADOS_INVOC'!$QY$5),O45,"")</f>
        <v/>
      </c>
      <c r="AU45">
        <f>IF(AND(Q45=1,OR(P45="",P45='DADOS_INVOC'!$EL$5,P45='DADOS_INVOC'!$EM$5,P45='DADOS_INVOC'!$EN$5,P45='DADOS_INVOC'!$EO$5,P45='DADOS_INVOC'!$EP$5,P45='DADOS_INVOC'!$QV$5,P45='DADOS_INVOC'!$QW$5,P45='DADOS_INVOC'!$QX$5,P45='DADOS_INVOC'!$QY$5)),O45,"")</f>
        <v/>
      </c>
      <c r="AV45">
        <f>IF(OR(P45="",P45='DADOS_INVOC'!$EL$6,P45='DADOS_INVOC'!$EM$6,P45='DADOS_INVOC'!$EN$6,P45='DADOS_INVOC'!$EO$6,P45='DADOS_INVOC'!$EP$6,P45='DADOS_INVOC'!$QV$6,P45='DADOS_INVOC'!$QW$6,P45='DADOS_INVOC'!$QX$6,P45='DADOS_INVOC'!$QY$6),O45,"")</f>
        <v/>
      </c>
      <c r="AW45">
        <f>IF(AND(Q45=1,OR(P45="",P45='DADOS_INVOC'!$EL$6,P45='DADOS_INVOC'!$EM$6,P45='DADOS_INVOC'!$EN$6,P45='DADOS_INVOC'!$EO$6,P45='DADOS_INVOC'!$EP$6,P45='DADOS_INVOC'!$QV$6,P45='DADOS_INVOC'!$QW$6,P45='DADOS_INVOC'!$QX$6,P45='DADOS_INVOC'!$QY$6)),O45,"")</f>
        <v/>
      </c>
      <c r="AX45">
        <f>IF(OR(P45="",P45='DADOS_INVOC'!$EL$7,P45='DADOS_INVOC'!$EM$7,P45='DADOS_INVOC'!$EN$7,P45='DADOS_INVOC'!$EO$7,P45='DADOS_INVOC'!$EP$7,P45='DADOS_INVOC'!$QV$7,P45='DADOS_INVOC'!$QW$7,P45='DADOS_INVOC'!$QX$7,P45='DADOS_INVOC'!$QY$7),O45,"")</f>
        <v/>
      </c>
      <c r="AY45">
        <f>IF(AND(Q45=1,OR(P45="",P45='DADOS_INVOC'!$EL$7,P45='DADOS_INVOC'!$EM$7,P45='DADOS_INVOC'!$EN$7,P45='DADOS_INVOC'!$EO$7,P45='DADOS_INVOC'!$EP$7,P45='DADOS_INVOC'!$QV$7,P45='DADOS_INVOC'!$QW$7,P45='DADOS_INVOC'!$QX$7,P45='DADOS_INVOC'!$QY$7)),O45,"")</f>
        <v/>
      </c>
      <c r="AZ45">
        <f>IF(OR(P45="",P45='DADOS_INVOC'!$EL$8,P45='DADOS_INVOC'!$EM$8,P45='DADOS_INVOC'!$EN$8,P45='DADOS_INVOC'!$EO$8,P45='DADOS_INVOC'!$EP$8,P45='DADOS_INVOC'!$QV$8,P45='DADOS_INVOC'!$QW$8,P45='DADOS_INVOC'!$QX$8,P45='DADOS_INVOC'!$QY$8),O45,"")</f>
        <v/>
      </c>
      <c r="BA45">
        <f>IF(AND(Q45=1,OR(P45="",P45='DADOS_INVOC'!$EL$8,P45='DADOS_INVOC'!$EM$8,P45='DADOS_INVOC'!$EN$8,P45='DADOS_INVOC'!$EO$8,P45='DADOS_INVOC'!$EP$8,P45='DADOS_INVOC'!$QV$8,P45='DADOS_INVOC'!$QW$8,P45='DADOS_INVOC'!$QX$8,P45='DADOS_INVOC'!$QY$8)),O45,"")</f>
        <v/>
      </c>
      <c r="BB45">
        <f>IF(OR(P45="",P45='DADOS_INVOC'!$EL$9,P45='DADOS_INVOC'!$EM$9,P45='DADOS_INVOC'!$EN$9,P45='DADOS_INVOC'!$EO$9,P45='DADOS_INVOC'!$EP$9,P45='DADOS_INVOC'!$QV$9,P45='DADOS_INVOC'!$QW$9,P45='DADOS_INVOC'!$QX$9,P45='DADOS_INVOC'!$QY$9),O45,"")</f>
        <v/>
      </c>
      <c r="BC45">
        <f>IF(AND(Q45=1,OR(P45="",P45='DADOS_INVOC'!$EL$9,P45='DADOS_INVOC'!$EM$9,P45='DADOS_INVOC'!$EN$9,P45='DADOS_INVOC'!$EO$9,P45='DADOS_INVOC'!$EP$9,P45='DADOS_INVOC'!$QV$9,P45='DADOS_INVOC'!$QW$9,P45='DADOS_INVOC'!$QX$9,P45='DADOS_INVOC'!$QY$9)),O45,"")</f>
        <v/>
      </c>
      <c r="BD45">
        <f>IF(OR(P45="",P45='DADOS_INVOC'!$EL$10,P45='DADOS_INVOC'!$EM$10,P45='DADOS_INVOC'!$EN$10,P45='DADOS_INVOC'!$EO$10,P45='DADOS_INVOC'!$EP$10,P45='DADOS_INVOC'!$QV$10,P45='DADOS_INVOC'!$QW$10,P45='DADOS_INVOC'!$QX$10,P45='DADOS_INVOC'!$QY$10),O45,"")</f>
        <v/>
      </c>
      <c r="BE45">
        <f>IF(AND(Q45=1,OR(P45="",P45='DADOS_INVOC'!$EL$10,P45='DADOS_INVOC'!$EM$10,P45='DADOS_INVOC'!$EN$10,P45='DADOS_INVOC'!$EO$10,P45='DADOS_INVOC'!$EP$10,P45='DADOS_INVOC'!$QV$10,P45='DADOS_INVOC'!$QW$10,P45='DADOS_INVOC'!$QX$10,P45='DADOS_INVOC'!$QY$10)),O45,"")</f>
        <v/>
      </c>
      <c r="BF45">
        <f>IF(OR(P45="",P45='DADOS_INVOC'!$EL$11,P45='DADOS_INVOC'!$EM$11,P45='DADOS_INVOC'!$EN$11,P45='DADOS_INVOC'!$EO$11,P45='DADOS_INVOC'!$EP$11,P45='DADOS_INVOC'!$QV$11,P45='DADOS_INVOC'!$QW$11,P45='DADOS_INVOC'!$QX$11,P45='DADOS_INVOC'!$QY$11),O45,"")</f>
        <v/>
      </c>
      <c r="BG45">
        <f>IF(AND(Q45=1,OR(P45="",P45='DADOS_INVOC'!$EL$11,P45='DADOS_INVOC'!$EM$11,P45='DADOS_INVOC'!$EN$11,P45='DADOS_INVOC'!$EO$11,P45='DADOS_INVOC'!$EP$11,P45='DADOS_INVOC'!$QV$11,P45='DADOS_INVOC'!$QW$11,P45='DADOS_INVOC'!$QX$11,P45='DADOS_INVOC'!$QY$11)),O45,"")</f>
        <v/>
      </c>
      <c r="BH45">
        <f>IF(OR(P45="",P45='DADOS_INVOC'!$EL$12,P45='DADOS_INVOC'!$EM$12,P45='DADOS_INVOC'!$EN$12,P45='DADOS_INVOC'!$EO$12,P45='DADOS_INVOC'!$EP$12,P45='DADOS_INVOC'!$QV$12,P45='DADOS_INVOC'!$QW$12,P45='DADOS_INVOC'!$QX$12,P45='DADOS_INVOC'!$QY$12),O45,"")</f>
        <v/>
      </c>
      <c r="BI45">
        <f>IF(AND(Q45=1,OR(P45="",P45='DADOS_INVOC'!$EL$12,P45='DADOS_INVOC'!$EM$12,P45='DADOS_INVOC'!$EN$12,P45='DADOS_INVOC'!$EO$12,P45='DADOS_INVOC'!$EP$12,P45='DADOS_INVOC'!$QV$12,P45='DADOS_INVOC'!$QW$12,P45='DADOS_INVOC'!$QX$12,P45='DADOS_INVOC'!$QY$12)),O45,"")</f>
        <v/>
      </c>
      <c r="BJ45">
        <f>IF(OR(P45="",P45='DADOS_INVOC'!$EL$13,P45='DADOS_INVOC'!$EM$13,P45='DADOS_INVOC'!$EN$13,P45='DADOS_INVOC'!$EO$13,P45='DADOS_INVOC'!$EP$13,P45='DADOS_INVOC'!$QV$13,P45='DADOS_INVOC'!$QW$13,P45='DADOS_INVOC'!$QX$13,P45='DADOS_INVOC'!$QY$13),O45,"")</f>
        <v/>
      </c>
      <c r="BK45">
        <f>IF(AND(Q45=1,OR(P45="",P45='DADOS_INVOC'!$EL$13,P45='DADOS_INVOC'!$EM$13,P45='DADOS_INVOC'!$EN$13,P45='DADOS_INVOC'!$EO$13,P45='DADOS_INVOC'!$EP$13,P45='DADOS_INVOC'!$QV$13,P45='DADOS_INVOC'!$QW$13,P45='DADOS_INVOC'!$QX$13,P45='DADOS_INVOC'!$QY$13)),O45,"")</f>
        <v/>
      </c>
      <c r="BP45" t="inlineStr">
        <is>
          <t>Trava</t>
        </is>
      </c>
    </row>
    <row r="46">
      <c r="O46">
        <f>IF(ISBLANK(DADOS_AM!$BC$46),"",DADOS_AM!$BC$46)</f>
        <v/>
      </c>
      <c r="P46">
        <f>IF(ISBLANK(DADOS_AM!$BD$46),"",DADOS_AM!$BD$46)</f>
        <v/>
      </c>
      <c r="Q46">
        <f>IF(ISBLANK(DADOS_AM!$BE$46),"",DADOS_AM!$BE$46)</f>
        <v/>
      </c>
      <c r="R46">
        <f>IF(ISBLANK(DADOS_AM!$BF$46),"",DADOS_AM!$BF$46)</f>
        <v/>
      </c>
      <c r="S46">
        <f>IF(ISBLANK(DADOS_AM!$BG$46),"",DADOS_AM!$BG$46)</f>
        <v/>
      </c>
      <c r="T46">
        <f>IF(ISBLANK(DADOS_AM!$BH$46),"",DADOS_AM!$BH$46)</f>
        <v/>
      </c>
      <c r="U46">
        <f>IF(ISBLANK(DADOS_AM!$BI$46),"",DADOS_AM!$BI$46)</f>
        <v/>
      </c>
      <c r="V46">
        <f>IF(ISBLANK(DADOS_AM!$BJ$46),"",DADOS_AM!$BJ$46)</f>
        <v/>
      </c>
      <c r="W46">
        <f>IF(ISBLANK(DADOS_AM!$BK$46),"",DADOS_AM!$BK$46)</f>
        <v/>
      </c>
      <c r="X46" t="inlineStr">
        <is>
          <t>Sobrecarga</t>
        </is>
      </c>
      <c r="Y46" t="n">
        <v>0</v>
      </c>
      <c r="AG46">
        <f>O46</f>
        <v/>
      </c>
      <c r="AH46">
        <f>P46</f>
        <v/>
      </c>
      <c r="AI46">
        <f>Q46</f>
        <v/>
      </c>
      <c r="AJ46">
        <f>T46</f>
        <v/>
      </c>
      <c r="AK46">
        <f>Y46</f>
        <v/>
      </c>
      <c r="AL46">
        <f>W46</f>
        <v/>
      </c>
      <c r="AN46">
        <f>IF(OR(P46="",P46='DADOS_INVOC'!$EL$2,P46='DADOS_INVOC'!$EM$2,P46='DADOS_INVOC'!$EN$2,P46='DADOS_INVOC'!$EO$2,P46='DADOS_INVOC'!$EP$2,P46='DADOS_INVOC'!$QV$2,P46='DADOS_INVOC'!$QW$2,P46='DADOS_INVOC'!$QX$2,P46='DADOS_INVOC'!$QY$2),O46,"")</f>
        <v/>
      </c>
      <c r="AO46">
        <f>IF(AND(Q46=1,OR(P46="",P46='DADOS_INVOC'!$EL$2,P46='DADOS_INVOC'!$EM$2,P46='DADOS_INVOC'!$EN$2,P46='DADOS_INVOC'!$EO$2,P46='DADOS_INVOC'!$EP$2,P46='DADOS_INVOC'!$QV$2,P46='DADOS_INVOC'!$QW$2,P46='DADOS_INVOC'!$QX$2,P46='DADOS_INVOC'!$QY$2)),O46,"")</f>
        <v/>
      </c>
      <c r="AP46">
        <f>IF(OR(P46="",P46='DADOS_INVOC'!$EL$3,P46='DADOS_INVOC'!$EM$3,P46='DADOS_INVOC'!$EN$3,P46='DADOS_INVOC'!$EO$3,P46='DADOS_INVOC'!$EP$3,P46='DADOS_INVOC'!$QV$3,P46='DADOS_INVOC'!$QW$3,P46='DADOS_INVOC'!$QX$3,P46='DADOS_INVOC'!$QY$3),O46,"")</f>
        <v/>
      </c>
      <c r="AQ46">
        <f>IF(AND(Q46=1,OR(P46="",P46='DADOS_INVOC'!$EL$3,P46='DADOS_INVOC'!$EM$3,P46='DADOS_INVOC'!$EN$3,P46='DADOS_INVOC'!$EO$3,P46='DADOS_INVOC'!$EP$3,P46='DADOS_INVOC'!$QV$3,P46='DADOS_INVOC'!$QW$3,P46='DADOS_INVOC'!$QX$3,P46='DADOS_INVOC'!$QY$3)),O46,"")</f>
        <v/>
      </c>
      <c r="AR46">
        <f>IF(OR(P46="",P46='DADOS_INVOC'!$EL$4,P46='DADOS_INVOC'!$EM$4,P46='DADOS_INVOC'!$EN$4,P46='DADOS_INVOC'!$EO$4,P46='DADOS_INVOC'!$EP$4,P46='DADOS_INVOC'!$QV$4,P46='DADOS_INVOC'!$QW$4,P46='DADOS_INVOC'!$QX$4,P46='DADOS_INVOC'!$QY$4),O46,"")</f>
        <v/>
      </c>
      <c r="AS46">
        <f>IF(AND(Q46=1,OR(P46="",P46='DADOS_INVOC'!$EL$4,P46='DADOS_INVOC'!$EM$4,P46='DADOS_INVOC'!$EN$4,P46='DADOS_INVOC'!$EO$4,P46='DADOS_INVOC'!$EP$4,P46='DADOS_INVOC'!$QV$4,P46='DADOS_INVOC'!$QW$4,P46='DADOS_INVOC'!$QX$4,P46='DADOS_INVOC'!$QY$4)),O46,"")</f>
        <v/>
      </c>
      <c r="AT46">
        <f>IF(OR(P46="",P46='DADOS_INVOC'!$EL$5,P46='DADOS_INVOC'!$EM$5,P46='DADOS_INVOC'!$EN$5,P46='DADOS_INVOC'!$EO$5,P46='DADOS_INVOC'!$EP$5,P46='DADOS_INVOC'!$QV$5,P46='DADOS_INVOC'!$QW$5,P46='DADOS_INVOC'!$QX$5,P46='DADOS_INVOC'!$QY$5),O46,"")</f>
        <v/>
      </c>
      <c r="AU46">
        <f>IF(AND(Q46=1,OR(P46="",P46='DADOS_INVOC'!$EL$5,P46='DADOS_INVOC'!$EM$5,P46='DADOS_INVOC'!$EN$5,P46='DADOS_INVOC'!$EO$5,P46='DADOS_INVOC'!$EP$5,P46='DADOS_INVOC'!$QV$5,P46='DADOS_INVOC'!$QW$5,P46='DADOS_INVOC'!$QX$5,P46='DADOS_INVOC'!$QY$5)),O46,"")</f>
        <v/>
      </c>
      <c r="AV46">
        <f>IF(OR(P46="",P46='DADOS_INVOC'!$EL$6,P46='DADOS_INVOC'!$EM$6,P46='DADOS_INVOC'!$EN$6,P46='DADOS_INVOC'!$EO$6,P46='DADOS_INVOC'!$EP$6,P46='DADOS_INVOC'!$QV$6,P46='DADOS_INVOC'!$QW$6,P46='DADOS_INVOC'!$QX$6,P46='DADOS_INVOC'!$QY$6),O46,"")</f>
        <v/>
      </c>
      <c r="AW46">
        <f>IF(AND(Q46=1,OR(P46="",P46='DADOS_INVOC'!$EL$6,P46='DADOS_INVOC'!$EM$6,P46='DADOS_INVOC'!$EN$6,P46='DADOS_INVOC'!$EO$6,P46='DADOS_INVOC'!$EP$6,P46='DADOS_INVOC'!$QV$6,P46='DADOS_INVOC'!$QW$6,P46='DADOS_INVOC'!$QX$6,P46='DADOS_INVOC'!$QY$6)),O46,"")</f>
        <v/>
      </c>
      <c r="AX46">
        <f>IF(OR(P46="",P46='DADOS_INVOC'!$EL$7,P46='DADOS_INVOC'!$EM$7,P46='DADOS_INVOC'!$EN$7,P46='DADOS_INVOC'!$EO$7,P46='DADOS_INVOC'!$EP$7,P46='DADOS_INVOC'!$QV$7,P46='DADOS_INVOC'!$QW$7,P46='DADOS_INVOC'!$QX$7,P46='DADOS_INVOC'!$QY$7),O46,"")</f>
        <v/>
      </c>
      <c r="AY46">
        <f>IF(AND(Q46=1,OR(P46="",P46='DADOS_INVOC'!$EL$7,P46='DADOS_INVOC'!$EM$7,P46='DADOS_INVOC'!$EN$7,P46='DADOS_INVOC'!$EO$7,P46='DADOS_INVOC'!$EP$7,P46='DADOS_INVOC'!$QV$7,P46='DADOS_INVOC'!$QW$7,P46='DADOS_INVOC'!$QX$7,P46='DADOS_INVOC'!$QY$7)),O46,"")</f>
        <v/>
      </c>
      <c r="AZ46">
        <f>IF(OR(P46="",P46='DADOS_INVOC'!$EL$8,P46='DADOS_INVOC'!$EM$8,P46='DADOS_INVOC'!$EN$8,P46='DADOS_INVOC'!$EO$8,P46='DADOS_INVOC'!$EP$8,P46='DADOS_INVOC'!$QV$8,P46='DADOS_INVOC'!$QW$8,P46='DADOS_INVOC'!$QX$8,P46='DADOS_INVOC'!$QY$8),O46,"")</f>
        <v/>
      </c>
      <c r="BA46">
        <f>IF(AND(Q46=1,OR(P46="",P46='DADOS_INVOC'!$EL$8,P46='DADOS_INVOC'!$EM$8,P46='DADOS_INVOC'!$EN$8,P46='DADOS_INVOC'!$EO$8,P46='DADOS_INVOC'!$EP$8,P46='DADOS_INVOC'!$QV$8,P46='DADOS_INVOC'!$QW$8,P46='DADOS_INVOC'!$QX$8,P46='DADOS_INVOC'!$QY$8)),O46,"")</f>
        <v/>
      </c>
      <c r="BB46">
        <f>IF(OR(P46="",P46='DADOS_INVOC'!$EL$9,P46='DADOS_INVOC'!$EM$9,P46='DADOS_INVOC'!$EN$9,P46='DADOS_INVOC'!$EO$9,P46='DADOS_INVOC'!$EP$9,P46='DADOS_INVOC'!$QV$9,P46='DADOS_INVOC'!$QW$9,P46='DADOS_INVOC'!$QX$9,P46='DADOS_INVOC'!$QY$9),O46,"")</f>
        <v/>
      </c>
      <c r="BC46">
        <f>IF(AND(Q46=1,OR(P46="",P46='DADOS_INVOC'!$EL$9,P46='DADOS_INVOC'!$EM$9,P46='DADOS_INVOC'!$EN$9,P46='DADOS_INVOC'!$EO$9,P46='DADOS_INVOC'!$EP$9,P46='DADOS_INVOC'!$QV$9,P46='DADOS_INVOC'!$QW$9,P46='DADOS_INVOC'!$QX$9,P46='DADOS_INVOC'!$QY$9)),O46,"")</f>
        <v/>
      </c>
      <c r="BD46">
        <f>IF(OR(P46="",P46='DADOS_INVOC'!$EL$10,P46='DADOS_INVOC'!$EM$10,P46='DADOS_INVOC'!$EN$10,P46='DADOS_INVOC'!$EO$10,P46='DADOS_INVOC'!$EP$10,P46='DADOS_INVOC'!$QV$10,P46='DADOS_INVOC'!$QW$10,P46='DADOS_INVOC'!$QX$10,P46='DADOS_INVOC'!$QY$10),O46,"")</f>
        <v/>
      </c>
      <c r="BE46">
        <f>IF(AND(Q46=1,OR(P46="",P46='DADOS_INVOC'!$EL$10,P46='DADOS_INVOC'!$EM$10,P46='DADOS_INVOC'!$EN$10,P46='DADOS_INVOC'!$EO$10,P46='DADOS_INVOC'!$EP$10,P46='DADOS_INVOC'!$QV$10,P46='DADOS_INVOC'!$QW$10,P46='DADOS_INVOC'!$QX$10,P46='DADOS_INVOC'!$QY$10)),O46,"")</f>
        <v/>
      </c>
      <c r="BF46">
        <f>IF(OR(P46="",P46='DADOS_INVOC'!$EL$11,P46='DADOS_INVOC'!$EM$11,P46='DADOS_INVOC'!$EN$11,P46='DADOS_INVOC'!$EO$11,P46='DADOS_INVOC'!$EP$11,P46='DADOS_INVOC'!$QV$11,P46='DADOS_INVOC'!$QW$11,P46='DADOS_INVOC'!$QX$11,P46='DADOS_INVOC'!$QY$11),O46,"")</f>
        <v/>
      </c>
      <c r="BG46">
        <f>IF(AND(Q46=1,OR(P46="",P46='DADOS_INVOC'!$EL$11,P46='DADOS_INVOC'!$EM$11,P46='DADOS_INVOC'!$EN$11,P46='DADOS_INVOC'!$EO$11,P46='DADOS_INVOC'!$EP$11,P46='DADOS_INVOC'!$QV$11,P46='DADOS_INVOC'!$QW$11,P46='DADOS_INVOC'!$QX$11,P46='DADOS_INVOC'!$QY$11)),O46,"")</f>
        <v/>
      </c>
      <c r="BH46">
        <f>IF(OR(P46="",P46='DADOS_INVOC'!$EL$12,P46='DADOS_INVOC'!$EM$12,P46='DADOS_INVOC'!$EN$12,P46='DADOS_INVOC'!$EO$12,P46='DADOS_INVOC'!$EP$12,P46='DADOS_INVOC'!$QV$12,P46='DADOS_INVOC'!$QW$12,P46='DADOS_INVOC'!$QX$12,P46='DADOS_INVOC'!$QY$12),O46,"")</f>
        <v/>
      </c>
      <c r="BI46">
        <f>IF(AND(Q46=1,OR(P46="",P46='DADOS_INVOC'!$EL$12,P46='DADOS_INVOC'!$EM$12,P46='DADOS_INVOC'!$EN$12,P46='DADOS_INVOC'!$EO$12,P46='DADOS_INVOC'!$EP$12,P46='DADOS_INVOC'!$QV$12,P46='DADOS_INVOC'!$QW$12,P46='DADOS_INVOC'!$QX$12,P46='DADOS_INVOC'!$QY$12)),O46,"")</f>
        <v/>
      </c>
      <c r="BJ46">
        <f>IF(OR(P46="",P46='DADOS_INVOC'!$EL$13,P46='DADOS_INVOC'!$EM$13,P46='DADOS_INVOC'!$EN$13,P46='DADOS_INVOC'!$EO$13,P46='DADOS_INVOC'!$EP$13,P46='DADOS_INVOC'!$QV$13,P46='DADOS_INVOC'!$QW$13,P46='DADOS_INVOC'!$QX$13,P46='DADOS_INVOC'!$QY$13),O46,"")</f>
        <v/>
      </c>
      <c r="BK46">
        <f>IF(AND(Q46=1,OR(P46="",P46='DADOS_INVOC'!$EL$13,P46='DADOS_INVOC'!$EM$13,P46='DADOS_INVOC'!$EN$13,P46='DADOS_INVOC'!$EO$13,P46='DADOS_INVOC'!$EP$13,P46='DADOS_INVOC'!$QV$13,P46='DADOS_INVOC'!$QW$13,P46='DADOS_INVOC'!$QX$13,P46='DADOS_INVOC'!$QY$13)),O46,"")</f>
        <v/>
      </c>
      <c r="BP46" t="inlineStr">
        <is>
          <t>Abre Ferida</t>
        </is>
      </c>
    </row>
    <row r="47">
      <c r="O47">
        <f>IF(ISBLANK(DADOS_AM!$BC$47),"",DADOS_AM!$BC$47)</f>
        <v/>
      </c>
      <c r="P47">
        <f>IF(ISBLANK(DADOS_AM!$BD$47),"",DADOS_AM!$BD$47)</f>
        <v/>
      </c>
      <c r="Q47">
        <f>IF(ISBLANK(DADOS_AM!$BE$47),"",DADOS_AM!$BE$47)</f>
        <v/>
      </c>
      <c r="R47">
        <f>IF(ISBLANK(DADOS_AM!$BF$47),"",DADOS_AM!$BF$47)</f>
        <v/>
      </c>
      <c r="S47">
        <f>IF(ISBLANK(DADOS_AM!$BG$47),"",DADOS_AM!$BG$47)</f>
        <v/>
      </c>
      <c r="T47">
        <f>IF(ISBLANK(DADOS_AM!$BH$47),"",DADOS_AM!$BH$47)</f>
        <v/>
      </c>
      <c r="U47">
        <f>IF(ISBLANK(DADOS_AM!$BI$47),"",DADOS_AM!$BI$47)</f>
        <v/>
      </c>
      <c r="V47">
        <f>IF(ISBLANK(DADOS_AM!$BJ$47),"",DADOS_AM!$BJ$47)</f>
        <v/>
      </c>
      <c r="W47">
        <f>IF(ISBLANK(DADOS_AM!$BK$47),"",DADOS_AM!$BK$47)</f>
        <v/>
      </c>
      <c r="X47" t="inlineStr">
        <is>
          <t>Firmeza</t>
        </is>
      </c>
      <c r="Y47" t="n">
        <v>0</v>
      </c>
      <c r="AG47">
        <f>O47</f>
        <v/>
      </c>
      <c r="AH47">
        <f>P47</f>
        <v/>
      </c>
      <c r="AI47">
        <f>Q47</f>
        <v/>
      </c>
      <c r="AJ47">
        <f>T47</f>
        <v/>
      </c>
      <c r="AK47">
        <f>Y47</f>
        <v/>
      </c>
      <c r="AL47">
        <f>W47</f>
        <v/>
      </c>
      <c r="AN47">
        <f>IF(OR(P47="",P47='DADOS_INVOC'!$EL$2,P47='DADOS_INVOC'!$EM$2,P47='DADOS_INVOC'!$EN$2,P47='DADOS_INVOC'!$EO$2,P47='DADOS_INVOC'!$EP$2,P47='DADOS_INVOC'!$QV$2,P47='DADOS_INVOC'!$QW$2,P47='DADOS_INVOC'!$QX$2,P47='DADOS_INVOC'!$QY$2),O47,"")</f>
        <v/>
      </c>
      <c r="AO47">
        <f>IF(AND(Q47=1,OR(P47="",P47='DADOS_INVOC'!$EL$2,P47='DADOS_INVOC'!$EM$2,P47='DADOS_INVOC'!$EN$2,P47='DADOS_INVOC'!$EO$2,P47='DADOS_INVOC'!$EP$2,P47='DADOS_INVOC'!$QV$2,P47='DADOS_INVOC'!$QW$2,P47='DADOS_INVOC'!$QX$2,P47='DADOS_INVOC'!$QY$2)),O47,"")</f>
        <v/>
      </c>
      <c r="AP47">
        <f>IF(OR(P47="",P47='DADOS_INVOC'!$EL$3,P47='DADOS_INVOC'!$EM$3,P47='DADOS_INVOC'!$EN$3,P47='DADOS_INVOC'!$EO$3,P47='DADOS_INVOC'!$EP$3,P47='DADOS_INVOC'!$QV$3,P47='DADOS_INVOC'!$QW$3,P47='DADOS_INVOC'!$QX$3,P47='DADOS_INVOC'!$QY$3),O47,"")</f>
        <v/>
      </c>
      <c r="AQ47">
        <f>IF(AND(Q47=1,OR(P47="",P47='DADOS_INVOC'!$EL$3,P47='DADOS_INVOC'!$EM$3,P47='DADOS_INVOC'!$EN$3,P47='DADOS_INVOC'!$EO$3,P47='DADOS_INVOC'!$EP$3,P47='DADOS_INVOC'!$QV$3,P47='DADOS_INVOC'!$QW$3,P47='DADOS_INVOC'!$QX$3,P47='DADOS_INVOC'!$QY$3)),O47,"")</f>
        <v/>
      </c>
      <c r="AR47">
        <f>IF(OR(P47="",P47='DADOS_INVOC'!$EL$4,P47='DADOS_INVOC'!$EM$4,P47='DADOS_INVOC'!$EN$4,P47='DADOS_INVOC'!$EO$4,P47='DADOS_INVOC'!$EP$4,P47='DADOS_INVOC'!$QV$4,P47='DADOS_INVOC'!$QW$4,P47='DADOS_INVOC'!$QX$4,P47='DADOS_INVOC'!$QY$4),O47,"")</f>
        <v/>
      </c>
      <c r="AS47">
        <f>IF(AND(Q47=1,OR(P47="",P47='DADOS_INVOC'!$EL$4,P47='DADOS_INVOC'!$EM$4,P47='DADOS_INVOC'!$EN$4,P47='DADOS_INVOC'!$EO$4,P47='DADOS_INVOC'!$EP$4,P47='DADOS_INVOC'!$QV$4,P47='DADOS_INVOC'!$QW$4,P47='DADOS_INVOC'!$QX$4,P47='DADOS_INVOC'!$QY$4)),O47,"")</f>
        <v/>
      </c>
      <c r="AT47">
        <f>IF(OR(P47="",P47='DADOS_INVOC'!$EL$5,P47='DADOS_INVOC'!$EM$5,P47='DADOS_INVOC'!$EN$5,P47='DADOS_INVOC'!$EO$5,P47='DADOS_INVOC'!$EP$5,P47='DADOS_INVOC'!$QV$5,P47='DADOS_INVOC'!$QW$5,P47='DADOS_INVOC'!$QX$5,P47='DADOS_INVOC'!$QY$5),O47,"")</f>
        <v/>
      </c>
      <c r="AU47">
        <f>IF(AND(Q47=1,OR(P47="",P47='DADOS_INVOC'!$EL$5,P47='DADOS_INVOC'!$EM$5,P47='DADOS_INVOC'!$EN$5,P47='DADOS_INVOC'!$EO$5,P47='DADOS_INVOC'!$EP$5,P47='DADOS_INVOC'!$QV$5,P47='DADOS_INVOC'!$QW$5,P47='DADOS_INVOC'!$QX$5,P47='DADOS_INVOC'!$QY$5)),O47,"")</f>
        <v/>
      </c>
      <c r="AV47">
        <f>IF(OR(P47="",P47='DADOS_INVOC'!$EL$6,P47='DADOS_INVOC'!$EM$6,P47='DADOS_INVOC'!$EN$6,P47='DADOS_INVOC'!$EO$6,P47='DADOS_INVOC'!$EP$6,P47='DADOS_INVOC'!$QV$6,P47='DADOS_INVOC'!$QW$6,P47='DADOS_INVOC'!$QX$6,P47='DADOS_INVOC'!$QY$6),O47,"")</f>
        <v/>
      </c>
      <c r="AW47">
        <f>IF(AND(Q47=1,OR(P47="",P47='DADOS_INVOC'!$EL$6,P47='DADOS_INVOC'!$EM$6,P47='DADOS_INVOC'!$EN$6,P47='DADOS_INVOC'!$EO$6,P47='DADOS_INVOC'!$EP$6,P47='DADOS_INVOC'!$QV$6,P47='DADOS_INVOC'!$QW$6,P47='DADOS_INVOC'!$QX$6,P47='DADOS_INVOC'!$QY$6)),O47,"")</f>
        <v/>
      </c>
      <c r="AX47">
        <f>IF(OR(P47="",P47='DADOS_INVOC'!$EL$7,P47='DADOS_INVOC'!$EM$7,P47='DADOS_INVOC'!$EN$7,P47='DADOS_INVOC'!$EO$7,P47='DADOS_INVOC'!$EP$7,P47='DADOS_INVOC'!$QV$7,P47='DADOS_INVOC'!$QW$7,P47='DADOS_INVOC'!$QX$7,P47='DADOS_INVOC'!$QY$7),O47,"")</f>
        <v/>
      </c>
      <c r="AY47">
        <f>IF(AND(Q47=1,OR(P47="",P47='DADOS_INVOC'!$EL$7,P47='DADOS_INVOC'!$EM$7,P47='DADOS_INVOC'!$EN$7,P47='DADOS_INVOC'!$EO$7,P47='DADOS_INVOC'!$EP$7,P47='DADOS_INVOC'!$QV$7,P47='DADOS_INVOC'!$QW$7,P47='DADOS_INVOC'!$QX$7,P47='DADOS_INVOC'!$QY$7)),O47,"")</f>
        <v/>
      </c>
      <c r="AZ47">
        <f>IF(OR(P47="",P47='DADOS_INVOC'!$EL$8,P47='DADOS_INVOC'!$EM$8,P47='DADOS_INVOC'!$EN$8,P47='DADOS_INVOC'!$EO$8,P47='DADOS_INVOC'!$EP$8,P47='DADOS_INVOC'!$QV$8,P47='DADOS_INVOC'!$QW$8,P47='DADOS_INVOC'!$QX$8,P47='DADOS_INVOC'!$QY$8),O47,"")</f>
        <v/>
      </c>
      <c r="BA47">
        <f>IF(AND(Q47=1,OR(P47="",P47='DADOS_INVOC'!$EL$8,P47='DADOS_INVOC'!$EM$8,P47='DADOS_INVOC'!$EN$8,P47='DADOS_INVOC'!$EO$8,P47='DADOS_INVOC'!$EP$8,P47='DADOS_INVOC'!$QV$8,P47='DADOS_INVOC'!$QW$8,P47='DADOS_INVOC'!$QX$8,P47='DADOS_INVOC'!$QY$8)),O47,"")</f>
        <v/>
      </c>
      <c r="BB47">
        <f>IF(OR(P47="",P47='DADOS_INVOC'!$EL$9,P47='DADOS_INVOC'!$EM$9,P47='DADOS_INVOC'!$EN$9,P47='DADOS_INVOC'!$EO$9,P47='DADOS_INVOC'!$EP$9,P47='DADOS_INVOC'!$QV$9,P47='DADOS_INVOC'!$QW$9,P47='DADOS_INVOC'!$QX$9,P47='DADOS_INVOC'!$QY$9),O47,"")</f>
        <v/>
      </c>
      <c r="BC47">
        <f>IF(AND(Q47=1,OR(P47="",P47='DADOS_INVOC'!$EL$9,P47='DADOS_INVOC'!$EM$9,P47='DADOS_INVOC'!$EN$9,P47='DADOS_INVOC'!$EO$9,P47='DADOS_INVOC'!$EP$9,P47='DADOS_INVOC'!$QV$9,P47='DADOS_INVOC'!$QW$9,P47='DADOS_INVOC'!$QX$9,P47='DADOS_INVOC'!$QY$9)),O47,"")</f>
        <v/>
      </c>
      <c r="BD47">
        <f>IF(OR(P47="",P47='DADOS_INVOC'!$EL$10,P47='DADOS_INVOC'!$EM$10,P47='DADOS_INVOC'!$EN$10,P47='DADOS_INVOC'!$EO$10,P47='DADOS_INVOC'!$EP$10,P47='DADOS_INVOC'!$QV$10,P47='DADOS_INVOC'!$QW$10,P47='DADOS_INVOC'!$QX$10,P47='DADOS_INVOC'!$QY$10),O47,"")</f>
        <v/>
      </c>
      <c r="BE47">
        <f>IF(AND(Q47=1,OR(P47="",P47='DADOS_INVOC'!$EL$10,P47='DADOS_INVOC'!$EM$10,P47='DADOS_INVOC'!$EN$10,P47='DADOS_INVOC'!$EO$10,P47='DADOS_INVOC'!$EP$10,P47='DADOS_INVOC'!$QV$10,P47='DADOS_INVOC'!$QW$10,P47='DADOS_INVOC'!$QX$10,P47='DADOS_INVOC'!$QY$10)),O47,"")</f>
        <v/>
      </c>
      <c r="BF47">
        <f>IF(OR(P47="",P47='DADOS_INVOC'!$EL$11,P47='DADOS_INVOC'!$EM$11,P47='DADOS_INVOC'!$EN$11,P47='DADOS_INVOC'!$EO$11,P47='DADOS_INVOC'!$EP$11,P47='DADOS_INVOC'!$QV$11,P47='DADOS_INVOC'!$QW$11,P47='DADOS_INVOC'!$QX$11,P47='DADOS_INVOC'!$QY$11),O47,"")</f>
        <v/>
      </c>
      <c r="BG47">
        <f>IF(AND(Q47=1,OR(P47="",P47='DADOS_INVOC'!$EL$11,P47='DADOS_INVOC'!$EM$11,P47='DADOS_INVOC'!$EN$11,P47='DADOS_INVOC'!$EO$11,P47='DADOS_INVOC'!$EP$11,P47='DADOS_INVOC'!$QV$11,P47='DADOS_INVOC'!$QW$11,P47='DADOS_INVOC'!$QX$11,P47='DADOS_INVOC'!$QY$11)),O47,"")</f>
        <v/>
      </c>
      <c r="BH47">
        <f>IF(OR(P47="",P47='DADOS_INVOC'!$EL$12,P47='DADOS_INVOC'!$EM$12,P47='DADOS_INVOC'!$EN$12,P47='DADOS_INVOC'!$EO$12,P47='DADOS_INVOC'!$EP$12,P47='DADOS_INVOC'!$QV$12,P47='DADOS_INVOC'!$QW$12,P47='DADOS_INVOC'!$QX$12,P47='DADOS_INVOC'!$QY$12),O47,"")</f>
        <v/>
      </c>
      <c r="BI47">
        <f>IF(AND(Q47=1,OR(P47="",P47='DADOS_INVOC'!$EL$12,P47='DADOS_INVOC'!$EM$12,P47='DADOS_INVOC'!$EN$12,P47='DADOS_INVOC'!$EO$12,P47='DADOS_INVOC'!$EP$12,P47='DADOS_INVOC'!$QV$12,P47='DADOS_INVOC'!$QW$12,P47='DADOS_INVOC'!$QX$12,P47='DADOS_INVOC'!$QY$12)),O47,"")</f>
        <v/>
      </c>
      <c r="BJ47">
        <f>IF(OR(P47="",P47='DADOS_INVOC'!$EL$13,P47='DADOS_INVOC'!$EM$13,P47='DADOS_INVOC'!$EN$13,P47='DADOS_INVOC'!$EO$13,P47='DADOS_INVOC'!$EP$13,P47='DADOS_INVOC'!$QV$13,P47='DADOS_INVOC'!$QW$13,P47='DADOS_INVOC'!$QX$13,P47='DADOS_INVOC'!$QY$13),O47,"")</f>
        <v/>
      </c>
      <c r="BK47">
        <f>IF(AND(Q47=1,OR(P47="",P47='DADOS_INVOC'!$EL$13,P47='DADOS_INVOC'!$EM$13,P47='DADOS_INVOC'!$EN$13,P47='DADOS_INVOC'!$EO$13,P47='DADOS_INVOC'!$EP$13,P47='DADOS_INVOC'!$QV$13,P47='DADOS_INVOC'!$QW$13,P47='DADOS_INVOC'!$QX$13,P47='DADOS_INVOC'!$QY$13)),O47,"")</f>
        <v/>
      </c>
      <c r="BP47" t="inlineStr">
        <is>
          <t>Sobrecarga</t>
        </is>
      </c>
    </row>
    <row r="48">
      <c r="O48">
        <f>IF(ISBLANK(DADOS_AM!$BC$48),"",DADOS_AM!$BC$48)</f>
        <v/>
      </c>
      <c r="P48">
        <f>IF(ISBLANK(DADOS_AM!$BD$48),"",DADOS_AM!$BD$48)</f>
        <v/>
      </c>
      <c r="Q48">
        <f>IF(ISBLANK(DADOS_AM!$BE$48),"",DADOS_AM!$BE$48)</f>
        <v/>
      </c>
      <c r="R48">
        <f>IF(ISBLANK(DADOS_AM!$BF$48),"",DADOS_AM!$BF$48)</f>
        <v/>
      </c>
      <c r="S48">
        <f>IF(ISBLANK(DADOS_AM!$BG$48),"",DADOS_AM!$BG$48)</f>
        <v/>
      </c>
      <c r="T48">
        <f>IF(ISBLANK(DADOS_AM!$BH$48),"",DADOS_AM!$BH$48)</f>
        <v/>
      </c>
      <c r="U48">
        <f>IF(ISBLANK(DADOS_AM!$BI$48),"",DADOS_AM!$BI$48)</f>
        <v/>
      </c>
      <c r="V48">
        <f>IF(ISBLANK(DADOS_AM!$BJ$48),"",DADOS_AM!$BJ$48)</f>
        <v/>
      </c>
      <c r="W48">
        <f>IF(ISBLANK(DADOS_AM!$BK$48),"",DADOS_AM!$BK$48)</f>
        <v/>
      </c>
      <c r="X48" t="inlineStr">
        <is>
          <t>Guarda</t>
        </is>
      </c>
      <c r="Y48" t="n">
        <v>0</v>
      </c>
      <c r="AG48">
        <f>O48</f>
        <v/>
      </c>
      <c r="AH48">
        <f>P48</f>
        <v/>
      </c>
      <c r="AI48">
        <f>Q48</f>
        <v/>
      </c>
      <c r="AJ48">
        <f>T48</f>
        <v/>
      </c>
      <c r="AK48">
        <f>Y48</f>
        <v/>
      </c>
      <c r="AL48">
        <f>W48</f>
        <v/>
      </c>
      <c r="AN48">
        <f>IF(OR(P48="",P48='DADOS_INVOC'!$EL$2,P48='DADOS_INVOC'!$EM$2,P48='DADOS_INVOC'!$EN$2,P48='DADOS_INVOC'!$EO$2,P48='DADOS_INVOC'!$EP$2,P48='DADOS_INVOC'!$QV$2,P48='DADOS_INVOC'!$QW$2,P48='DADOS_INVOC'!$QX$2,P48='DADOS_INVOC'!$QY$2),O48,"")</f>
        <v/>
      </c>
      <c r="AO48">
        <f>IF(AND(Q48=1,OR(P48="",P48='DADOS_INVOC'!$EL$2,P48='DADOS_INVOC'!$EM$2,P48='DADOS_INVOC'!$EN$2,P48='DADOS_INVOC'!$EO$2,P48='DADOS_INVOC'!$EP$2,P48='DADOS_INVOC'!$QV$2,P48='DADOS_INVOC'!$QW$2,P48='DADOS_INVOC'!$QX$2,P48='DADOS_INVOC'!$QY$2)),O48,"")</f>
        <v/>
      </c>
      <c r="AP48">
        <f>IF(OR(P48="",P48='DADOS_INVOC'!$EL$3,P48='DADOS_INVOC'!$EM$3,P48='DADOS_INVOC'!$EN$3,P48='DADOS_INVOC'!$EO$3,P48='DADOS_INVOC'!$EP$3,P48='DADOS_INVOC'!$QV$3,P48='DADOS_INVOC'!$QW$3,P48='DADOS_INVOC'!$QX$3,P48='DADOS_INVOC'!$QY$3),O48,"")</f>
        <v/>
      </c>
      <c r="AQ48">
        <f>IF(AND(Q48=1,OR(P48="",P48='DADOS_INVOC'!$EL$3,P48='DADOS_INVOC'!$EM$3,P48='DADOS_INVOC'!$EN$3,P48='DADOS_INVOC'!$EO$3,P48='DADOS_INVOC'!$EP$3,P48='DADOS_INVOC'!$QV$3,P48='DADOS_INVOC'!$QW$3,P48='DADOS_INVOC'!$QX$3,P48='DADOS_INVOC'!$QY$3)),O48,"")</f>
        <v/>
      </c>
      <c r="AR48">
        <f>IF(OR(P48="",P48='DADOS_INVOC'!$EL$4,P48='DADOS_INVOC'!$EM$4,P48='DADOS_INVOC'!$EN$4,P48='DADOS_INVOC'!$EO$4,P48='DADOS_INVOC'!$EP$4,P48='DADOS_INVOC'!$QV$4,P48='DADOS_INVOC'!$QW$4,P48='DADOS_INVOC'!$QX$4,P48='DADOS_INVOC'!$QY$4),O48,"")</f>
        <v/>
      </c>
      <c r="AS48">
        <f>IF(AND(Q48=1,OR(P48="",P48='DADOS_INVOC'!$EL$4,P48='DADOS_INVOC'!$EM$4,P48='DADOS_INVOC'!$EN$4,P48='DADOS_INVOC'!$EO$4,P48='DADOS_INVOC'!$EP$4,P48='DADOS_INVOC'!$QV$4,P48='DADOS_INVOC'!$QW$4,P48='DADOS_INVOC'!$QX$4,P48='DADOS_INVOC'!$QY$4)),O48,"")</f>
        <v/>
      </c>
      <c r="AT48">
        <f>IF(OR(P48="",P48='DADOS_INVOC'!$EL$5,P48='DADOS_INVOC'!$EM$5,P48='DADOS_INVOC'!$EN$5,P48='DADOS_INVOC'!$EO$5,P48='DADOS_INVOC'!$EP$5,P48='DADOS_INVOC'!$QV$5,P48='DADOS_INVOC'!$QW$5,P48='DADOS_INVOC'!$QX$5,P48='DADOS_INVOC'!$QY$5),O48,"")</f>
        <v/>
      </c>
      <c r="AU48">
        <f>IF(AND(Q48=1,OR(P48="",P48='DADOS_INVOC'!$EL$5,P48='DADOS_INVOC'!$EM$5,P48='DADOS_INVOC'!$EN$5,P48='DADOS_INVOC'!$EO$5,P48='DADOS_INVOC'!$EP$5,P48='DADOS_INVOC'!$QV$5,P48='DADOS_INVOC'!$QW$5,P48='DADOS_INVOC'!$QX$5,P48='DADOS_INVOC'!$QY$5)),O48,"")</f>
        <v/>
      </c>
      <c r="AV48">
        <f>IF(OR(P48="",P48='DADOS_INVOC'!$EL$6,P48='DADOS_INVOC'!$EM$6,P48='DADOS_INVOC'!$EN$6,P48='DADOS_INVOC'!$EO$6,P48='DADOS_INVOC'!$EP$6,P48='DADOS_INVOC'!$QV$6,P48='DADOS_INVOC'!$QW$6,P48='DADOS_INVOC'!$QX$6,P48='DADOS_INVOC'!$QY$6),O48,"")</f>
        <v/>
      </c>
      <c r="AW48">
        <f>IF(AND(Q48=1,OR(P48="",P48='DADOS_INVOC'!$EL$6,P48='DADOS_INVOC'!$EM$6,P48='DADOS_INVOC'!$EN$6,P48='DADOS_INVOC'!$EO$6,P48='DADOS_INVOC'!$EP$6,P48='DADOS_INVOC'!$QV$6,P48='DADOS_INVOC'!$QW$6,P48='DADOS_INVOC'!$QX$6,P48='DADOS_INVOC'!$QY$6)),O48,"")</f>
        <v/>
      </c>
      <c r="AX48">
        <f>IF(OR(P48="",P48='DADOS_INVOC'!$EL$7,P48='DADOS_INVOC'!$EM$7,P48='DADOS_INVOC'!$EN$7,P48='DADOS_INVOC'!$EO$7,P48='DADOS_INVOC'!$EP$7,P48='DADOS_INVOC'!$QV$7,P48='DADOS_INVOC'!$QW$7,P48='DADOS_INVOC'!$QX$7,P48='DADOS_INVOC'!$QY$7),O48,"")</f>
        <v/>
      </c>
      <c r="AY48">
        <f>IF(AND(Q48=1,OR(P48="",P48='DADOS_INVOC'!$EL$7,P48='DADOS_INVOC'!$EM$7,P48='DADOS_INVOC'!$EN$7,P48='DADOS_INVOC'!$EO$7,P48='DADOS_INVOC'!$EP$7,P48='DADOS_INVOC'!$QV$7,P48='DADOS_INVOC'!$QW$7,P48='DADOS_INVOC'!$QX$7,P48='DADOS_INVOC'!$QY$7)),O48,"")</f>
        <v/>
      </c>
      <c r="AZ48">
        <f>IF(OR(P48="",P48='DADOS_INVOC'!$EL$8,P48='DADOS_INVOC'!$EM$8,P48='DADOS_INVOC'!$EN$8,P48='DADOS_INVOC'!$EO$8,P48='DADOS_INVOC'!$EP$8,P48='DADOS_INVOC'!$QV$8,P48='DADOS_INVOC'!$QW$8,P48='DADOS_INVOC'!$QX$8,P48='DADOS_INVOC'!$QY$8),O48,"")</f>
        <v/>
      </c>
      <c r="BA48">
        <f>IF(AND(Q48=1,OR(P48="",P48='DADOS_INVOC'!$EL$8,P48='DADOS_INVOC'!$EM$8,P48='DADOS_INVOC'!$EN$8,P48='DADOS_INVOC'!$EO$8,P48='DADOS_INVOC'!$EP$8,P48='DADOS_INVOC'!$QV$8,P48='DADOS_INVOC'!$QW$8,P48='DADOS_INVOC'!$QX$8,P48='DADOS_INVOC'!$QY$8)),O48,"")</f>
        <v/>
      </c>
      <c r="BB48">
        <f>IF(OR(P48="",P48='DADOS_INVOC'!$EL$9,P48='DADOS_INVOC'!$EM$9,P48='DADOS_INVOC'!$EN$9,P48='DADOS_INVOC'!$EO$9,P48='DADOS_INVOC'!$EP$9,P48='DADOS_INVOC'!$QV$9,P48='DADOS_INVOC'!$QW$9,P48='DADOS_INVOC'!$QX$9,P48='DADOS_INVOC'!$QY$9),O48,"")</f>
        <v/>
      </c>
      <c r="BC48">
        <f>IF(AND(Q48=1,OR(P48="",P48='DADOS_INVOC'!$EL$9,P48='DADOS_INVOC'!$EM$9,P48='DADOS_INVOC'!$EN$9,P48='DADOS_INVOC'!$EO$9,P48='DADOS_INVOC'!$EP$9,P48='DADOS_INVOC'!$QV$9,P48='DADOS_INVOC'!$QW$9,P48='DADOS_INVOC'!$QX$9,P48='DADOS_INVOC'!$QY$9)),O48,"")</f>
        <v/>
      </c>
      <c r="BD48">
        <f>IF(OR(P48="",P48='DADOS_INVOC'!$EL$10,P48='DADOS_INVOC'!$EM$10,P48='DADOS_INVOC'!$EN$10,P48='DADOS_INVOC'!$EO$10,P48='DADOS_INVOC'!$EP$10,P48='DADOS_INVOC'!$QV$10,P48='DADOS_INVOC'!$QW$10,P48='DADOS_INVOC'!$QX$10,P48='DADOS_INVOC'!$QY$10),O48,"")</f>
        <v/>
      </c>
      <c r="BE48">
        <f>IF(AND(Q48=1,OR(P48="",P48='DADOS_INVOC'!$EL$10,P48='DADOS_INVOC'!$EM$10,P48='DADOS_INVOC'!$EN$10,P48='DADOS_INVOC'!$EO$10,P48='DADOS_INVOC'!$EP$10,P48='DADOS_INVOC'!$QV$10,P48='DADOS_INVOC'!$QW$10,P48='DADOS_INVOC'!$QX$10,P48='DADOS_INVOC'!$QY$10)),O48,"")</f>
        <v/>
      </c>
      <c r="BF48">
        <f>IF(OR(P48="",P48='DADOS_INVOC'!$EL$11,P48='DADOS_INVOC'!$EM$11,P48='DADOS_INVOC'!$EN$11,P48='DADOS_INVOC'!$EO$11,P48='DADOS_INVOC'!$EP$11,P48='DADOS_INVOC'!$QV$11,P48='DADOS_INVOC'!$QW$11,P48='DADOS_INVOC'!$QX$11,P48='DADOS_INVOC'!$QY$11),O48,"")</f>
        <v/>
      </c>
      <c r="BG48">
        <f>IF(AND(Q48=1,OR(P48="",P48='DADOS_INVOC'!$EL$11,P48='DADOS_INVOC'!$EM$11,P48='DADOS_INVOC'!$EN$11,P48='DADOS_INVOC'!$EO$11,P48='DADOS_INVOC'!$EP$11,P48='DADOS_INVOC'!$QV$11,P48='DADOS_INVOC'!$QW$11,P48='DADOS_INVOC'!$QX$11,P48='DADOS_INVOC'!$QY$11)),O48,"")</f>
        <v/>
      </c>
      <c r="BH48">
        <f>IF(OR(P48="",P48='DADOS_INVOC'!$EL$12,P48='DADOS_INVOC'!$EM$12,P48='DADOS_INVOC'!$EN$12,P48='DADOS_INVOC'!$EO$12,P48='DADOS_INVOC'!$EP$12,P48='DADOS_INVOC'!$QV$12,P48='DADOS_INVOC'!$QW$12,P48='DADOS_INVOC'!$QX$12,P48='DADOS_INVOC'!$QY$12),O48,"")</f>
        <v/>
      </c>
      <c r="BI48">
        <f>IF(AND(Q48=1,OR(P48="",P48='DADOS_INVOC'!$EL$12,P48='DADOS_INVOC'!$EM$12,P48='DADOS_INVOC'!$EN$12,P48='DADOS_INVOC'!$EO$12,P48='DADOS_INVOC'!$EP$12,P48='DADOS_INVOC'!$QV$12,P48='DADOS_INVOC'!$QW$12,P48='DADOS_INVOC'!$QX$12,P48='DADOS_INVOC'!$QY$12)),O48,"")</f>
        <v/>
      </c>
      <c r="BJ48">
        <f>IF(OR(P48="",P48='DADOS_INVOC'!$EL$13,P48='DADOS_INVOC'!$EM$13,P48='DADOS_INVOC'!$EN$13,P48='DADOS_INVOC'!$EO$13,P48='DADOS_INVOC'!$EP$13,P48='DADOS_INVOC'!$QV$13,P48='DADOS_INVOC'!$QW$13,P48='DADOS_INVOC'!$QX$13,P48='DADOS_INVOC'!$QY$13),O48,"")</f>
        <v/>
      </c>
      <c r="BK48">
        <f>IF(AND(Q48=1,OR(P48="",P48='DADOS_INVOC'!$EL$13,P48='DADOS_INVOC'!$EM$13,P48='DADOS_INVOC'!$EN$13,P48='DADOS_INVOC'!$EO$13,P48='DADOS_INVOC'!$EP$13,P48='DADOS_INVOC'!$QV$13,P48='DADOS_INVOC'!$QW$13,P48='DADOS_INVOC'!$QX$13,P48='DADOS_INVOC'!$QY$13)),O48,"")</f>
        <v/>
      </c>
      <c r="BP48" t="inlineStr">
        <is>
          <t>Firmeza</t>
        </is>
      </c>
    </row>
    <row r="49">
      <c r="O49">
        <f>IF(ISBLANK(DADOS_AM!$BC$49),"",DADOS_AM!$BC$49)</f>
        <v/>
      </c>
      <c r="P49">
        <f>IF(ISBLANK(DADOS_AM!$BD$49),"",DADOS_AM!$BD$49)</f>
        <v/>
      </c>
      <c r="Q49">
        <f>IF(ISBLANK(DADOS_AM!$BE$49),"",DADOS_AM!$BE$49)</f>
        <v/>
      </c>
      <c r="R49">
        <f>IF(ISBLANK(DADOS_AM!$BF$49),"",DADOS_AM!$BF$49)</f>
        <v/>
      </c>
      <c r="S49">
        <f>IF(ISBLANK(DADOS_AM!$BG$49),"",DADOS_AM!$BG$49)</f>
        <v/>
      </c>
      <c r="T49">
        <f>IF(ISBLANK(DADOS_AM!$BH$49),"",DADOS_AM!$BH$49)</f>
        <v/>
      </c>
      <c r="U49">
        <f>IF(ISBLANK(DADOS_AM!$BI$49),"",DADOS_AM!$BI$49)</f>
        <v/>
      </c>
      <c r="V49">
        <f>IF(ISBLANK(DADOS_AM!$BJ$49),"",DADOS_AM!$BJ$49)</f>
        <v/>
      </c>
      <c r="W49">
        <f>IF(ISBLANK(DADOS_AM!$BK$49),"",DADOS_AM!$BK$49)</f>
        <v/>
      </c>
      <c r="X49" t="inlineStr">
        <is>
          <t>Pressa</t>
        </is>
      </c>
      <c r="Y49" t="n">
        <v>0</v>
      </c>
      <c r="AG49">
        <f>O49</f>
        <v/>
      </c>
      <c r="AH49">
        <f>P49</f>
        <v/>
      </c>
      <c r="AI49">
        <f>Q49</f>
        <v/>
      </c>
      <c r="AJ49">
        <f>T49</f>
        <v/>
      </c>
      <c r="AK49">
        <f>Y49</f>
        <v/>
      </c>
      <c r="AL49">
        <f>W49</f>
        <v/>
      </c>
      <c r="AN49">
        <f>IF(OR(P49="",P49='DADOS_INVOC'!$EL$2,P49='DADOS_INVOC'!$EM$2,P49='DADOS_INVOC'!$EN$2,P49='DADOS_INVOC'!$EO$2,P49='DADOS_INVOC'!$EP$2,P49='DADOS_INVOC'!$QV$2,P49='DADOS_INVOC'!$QW$2,P49='DADOS_INVOC'!$QX$2,P49='DADOS_INVOC'!$QY$2),O49,"")</f>
        <v/>
      </c>
      <c r="AO49">
        <f>IF(AND(Q49=1,OR(P49="",P49='DADOS_INVOC'!$EL$2,P49='DADOS_INVOC'!$EM$2,P49='DADOS_INVOC'!$EN$2,P49='DADOS_INVOC'!$EO$2,P49='DADOS_INVOC'!$EP$2,P49='DADOS_INVOC'!$QV$2,P49='DADOS_INVOC'!$QW$2,P49='DADOS_INVOC'!$QX$2,P49='DADOS_INVOC'!$QY$2)),O49,"")</f>
        <v/>
      </c>
      <c r="AP49">
        <f>IF(OR(P49="",P49='DADOS_INVOC'!$EL$3,P49='DADOS_INVOC'!$EM$3,P49='DADOS_INVOC'!$EN$3,P49='DADOS_INVOC'!$EO$3,P49='DADOS_INVOC'!$EP$3,P49='DADOS_INVOC'!$QV$3,P49='DADOS_INVOC'!$QW$3,P49='DADOS_INVOC'!$QX$3,P49='DADOS_INVOC'!$QY$3),O49,"")</f>
        <v/>
      </c>
      <c r="AQ49">
        <f>IF(AND(Q49=1,OR(P49="",P49='DADOS_INVOC'!$EL$3,P49='DADOS_INVOC'!$EM$3,P49='DADOS_INVOC'!$EN$3,P49='DADOS_INVOC'!$EO$3,P49='DADOS_INVOC'!$EP$3,P49='DADOS_INVOC'!$QV$3,P49='DADOS_INVOC'!$QW$3,P49='DADOS_INVOC'!$QX$3,P49='DADOS_INVOC'!$QY$3)),O49,"")</f>
        <v/>
      </c>
      <c r="AR49">
        <f>IF(OR(P49="",P49='DADOS_INVOC'!$EL$4,P49='DADOS_INVOC'!$EM$4,P49='DADOS_INVOC'!$EN$4,P49='DADOS_INVOC'!$EO$4,P49='DADOS_INVOC'!$EP$4,P49='DADOS_INVOC'!$QV$4,P49='DADOS_INVOC'!$QW$4,P49='DADOS_INVOC'!$QX$4,P49='DADOS_INVOC'!$QY$4),O49,"")</f>
        <v/>
      </c>
      <c r="AS49">
        <f>IF(AND(Q49=1,OR(P49="",P49='DADOS_INVOC'!$EL$4,P49='DADOS_INVOC'!$EM$4,P49='DADOS_INVOC'!$EN$4,P49='DADOS_INVOC'!$EO$4,P49='DADOS_INVOC'!$EP$4,P49='DADOS_INVOC'!$QV$4,P49='DADOS_INVOC'!$QW$4,P49='DADOS_INVOC'!$QX$4,P49='DADOS_INVOC'!$QY$4)),O49,"")</f>
        <v/>
      </c>
      <c r="AT49">
        <f>IF(OR(P49="",P49='DADOS_INVOC'!$EL$5,P49='DADOS_INVOC'!$EM$5,P49='DADOS_INVOC'!$EN$5,P49='DADOS_INVOC'!$EO$5,P49='DADOS_INVOC'!$EP$5,P49='DADOS_INVOC'!$QV$5,P49='DADOS_INVOC'!$QW$5,P49='DADOS_INVOC'!$QX$5,P49='DADOS_INVOC'!$QY$5),O49,"")</f>
        <v/>
      </c>
      <c r="AU49">
        <f>IF(AND(Q49=1,OR(P49="",P49='DADOS_INVOC'!$EL$5,P49='DADOS_INVOC'!$EM$5,P49='DADOS_INVOC'!$EN$5,P49='DADOS_INVOC'!$EO$5,P49='DADOS_INVOC'!$EP$5,P49='DADOS_INVOC'!$QV$5,P49='DADOS_INVOC'!$QW$5,P49='DADOS_INVOC'!$QX$5,P49='DADOS_INVOC'!$QY$5)),O49,"")</f>
        <v/>
      </c>
      <c r="AV49">
        <f>IF(OR(P49="",P49='DADOS_INVOC'!$EL$6,P49='DADOS_INVOC'!$EM$6,P49='DADOS_INVOC'!$EN$6,P49='DADOS_INVOC'!$EO$6,P49='DADOS_INVOC'!$EP$6,P49='DADOS_INVOC'!$QV$6,P49='DADOS_INVOC'!$QW$6,P49='DADOS_INVOC'!$QX$6,P49='DADOS_INVOC'!$QY$6),O49,"")</f>
        <v/>
      </c>
      <c r="AW49">
        <f>IF(AND(Q49=1,OR(P49="",P49='DADOS_INVOC'!$EL$6,P49='DADOS_INVOC'!$EM$6,P49='DADOS_INVOC'!$EN$6,P49='DADOS_INVOC'!$EO$6,P49='DADOS_INVOC'!$EP$6,P49='DADOS_INVOC'!$QV$6,P49='DADOS_INVOC'!$QW$6,P49='DADOS_INVOC'!$QX$6,P49='DADOS_INVOC'!$QY$6)),O49,"")</f>
        <v/>
      </c>
      <c r="AX49">
        <f>IF(OR(P49="",P49='DADOS_INVOC'!$EL$7,P49='DADOS_INVOC'!$EM$7,P49='DADOS_INVOC'!$EN$7,P49='DADOS_INVOC'!$EO$7,P49='DADOS_INVOC'!$EP$7,P49='DADOS_INVOC'!$QV$7,P49='DADOS_INVOC'!$QW$7,P49='DADOS_INVOC'!$QX$7,P49='DADOS_INVOC'!$QY$7),O49,"")</f>
        <v/>
      </c>
      <c r="AY49">
        <f>IF(AND(Q49=1,OR(P49="",P49='DADOS_INVOC'!$EL$7,P49='DADOS_INVOC'!$EM$7,P49='DADOS_INVOC'!$EN$7,P49='DADOS_INVOC'!$EO$7,P49='DADOS_INVOC'!$EP$7,P49='DADOS_INVOC'!$QV$7,P49='DADOS_INVOC'!$QW$7,P49='DADOS_INVOC'!$QX$7,P49='DADOS_INVOC'!$QY$7)),O49,"")</f>
        <v/>
      </c>
      <c r="AZ49">
        <f>IF(OR(P49="",P49='DADOS_INVOC'!$EL$8,P49='DADOS_INVOC'!$EM$8,P49='DADOS_INVOC'!$EN$8,P49='DADOS_INVOC'!$EO$8,P49='DADOS_INVOC'!$EP$8,P49='DADOS_INVOC'!$QV$8,P49='DADOS_INVOC'!$QW$8,P49='DADOS_INVOC'!$QX$8,P49='DADOS_INVOC'!$QY$8),O49,"")</f>
        <v/>
      </c>
      <c r="BA49">
        <f>IF(AND(Q49=1,OR(P49="",P49='DADOS_INVOC'!$EL$8,P49='DADOS_INVOC'!$EM$8,P49='DADOS_INVOC'!$EN$8,P49='DADOS_INVOC'!$EO$8,P49='DADOS_INVOC'!$EP$8,P49='DADOS_INVOC'!$QV$8,P49='DADOS_INVOC'!$QW$8,P49='DADOS_INVOC'!$QX$8,P49='DADOS_INVOC'!$QY$8)),O49,"")</f>
        <v/>
      </c>
      <c r="BB49">
        <f>IF(OR(P49="",P49='DADOS_INVOC'!$EL$9,P49='DADOS_INVOC'!$EM$9,P49='DADOS_INVOC'!$EN$9,P49='DADOS_INVOC'!$EO$9,P49='DADOS_INVOC'!$EP$9,P49='DADOS_INVOC'!$QV$9,P49='DADOS_INVOC'!$QW$9,P49='DADOS_INVOC'!$QX$9,P49='DADOS_INVOC'!$QY$9),O49,"")</f>
        <v/>
      </c>
      <c r="BC49">
        <f>IF(AND(Q49=1,OR(P49="",P49='DADOS_INVOC'!$EL$9,P49='DADOS_INVOC'!$EM$9,P49='DADOS_INVOC'!$EN$9,P49='DADOS_INVOC'!$EO$9,P49='DADOS_INVOC'!$EP$9,P49='DADOS_INVOC'!$QV$9,P49='DADOS_INVOC'!$QW$9,P49='DADOS_INVOC'!$QX$9,P49='DADOS_INVOC'!$QY$9)),O49,"")</f>
        <v/>
      </c>
      <c r="BD49">
        <f>IF(OR(P49="",P49='DADOS_INVOC'!$EL$10,P49='DADOS_INVOC'!$EM$10,P49='DADOS_INVOC'!$EN$10,P49='DADOS_INVOC'!$EO$10,P49='DADOS_INVOC'!$EP$10,P49='DADOS_INVOC'!$QV$10,P49='DADOS_INVOC'!$QW$10,P49='DADOS_INVOC'!$QX$10,P49='DADOS_INVOC'!$QY$10),O49,"")</f>
        <v/>
      </c>
      <c r="BE49">
        <f>IF(AND(Q49=1,OR(P49="",P49='DADOS_INVOC'!$EL$10,P49='DADOS_INVOC'!$EM$10,P49='DADOS_INVOC'!$EN$10,P49='DADOS_INVOC'!$EO$10,P49='DADOS_INVOC'!$EP$10,P49='DADOS_INVOC'!$QV$10,P49='DADOS_INVOC'!$QW$10,P49='DADOS_INVOC'!$QX$10,P49='DADOS_INVOC'!$QY$10)),O49,"")</f>
        <v/>
      </c>
      <c r="BF49">
        <f>IF(OR(P49="",P49='DADOS_INVOC'!$EL$11,P49='DADOS_INVOC'!$EM$11,P49='DADOS_INVOC'!$EN$11,P49='DADOS_INVOC'!$EO$11,P49='DADOS_INVOC'!$EP$11,P49='DADOS_INVOC'!$QV$11,P49='DADOS_INVOC'!$QW$11,P49='DADOS_INVOC'!$QX$11,P49='DADOS_INVOC'!$QY$11),O49,"")</f>
        <v/>
      </c>
      <c r="BG49">
        <f>IF(AND(Q49=1,OR(P49="",P49='DADOS_INVOC'!$EL$11,P49='DADOS_INVOC'!$EM$11,P49='DADOS_INVOC'!$EN$11,P49='DADOS_INVOC'!$EO$11,P49='DADOS_INVOC'!$EP$11,P49='DADOS_INVOC'!$QV$11,P49='DADOS_INVOC'!$QW$11,P49='DADOS_INVOC'!$QX$11,P49='DADOS_INVOC'!$QY$11)),O49,"")</f>
        <v/>
      </c>
      <c r="BH49">
        <f>IF(OR(P49="",P49='DADOS_INVOC'!$EL$12,P49='DADOS_INVOC'!$EM$12,P49='DADOS_INVOC'!$EN$12,P49='DADOS_INVOC'!$EO$12,P49='DADOS_INVOC'!$EP$12,P49='DADOS_INVOC'!$QV$12,P49='DADOS_INVOC'!$QW$12,P49='DADOS_INVOC'!$QX$12,P49='DADOS_INVOC'!$QY$12),O49,"")</f>
        <v/>
      </c>
      <c r="BI49">
        <f>IF(AND(Q49=1,OR(P49="",P49='DADOS_INVOC'!$EL$12,P49='DADOS_INVOC'!$EM$12,P49='DADOS_INVOC'!$EN$12,P49='DADOS_INVOC'!$EO$12,P49='DADOS_INVOC'!$EP$12,P49='DADOS_INVOC'!$QV$12,P49='DADOS_INVOC'!$QW$12,P49='DADOS_INVOC'!$QX$12,P49='DADOS_INVOC'!$QY$12)),O49,"")</f>
        <v/>
      </c>
      <c r="BJ49">
        <f>IF(OR(P49="",P49='DADOS_INVOC'!$EL$13,P49='DADOS_INVOC'!$EM$13,P49='DADOS_INVOC'!$EN$13,P49='DADOS_INVOC'!$EO$13,P49='DADOS_INVOC'!$EP$13,P49='DADOS_INVOC'!$QV$13,P49='DADOS_INVOC'!$QW$13,P49='DADOS_INVOC'!$QX$13,P49='DADOS_INVOC'!$QY$13),O49,"")</f>
        <v/>
      </c>
      <c r="BK49">
        <f>IF(AND(Q49=1,OR(P49="",P49='DADOS_INVOC'!$EL$13,P49='DADOS_INVOC'!$EM$13,P49='DADOS_INVOC'!$EN$13,P49='DADOS_INVOC'!$EO$13,P49='DADOS_INVOC'!$EP$13,P49='DADOS_INVOC'!$QV$13,P49='DADOS_INVOC'!$QW$13,P49='DADOS_INVOC'!$QX$13,P49='DADOS_INVOC'!$QY$13)),O49,"")</f>
        <v/>
      </c>
      <c r="BP49" t="inlineStr">
        <is>
          <t>Guarda</t>
        </is>
      </c>
    </row>
    <row r="50">
      <c r="O50">
        <f>IF(ISBLANK(DADOS_AM!$BC$50),"",DADOS_AM!$BC$50)</f>
        <v/>
      </c>
      <c r="P50">
        <f>IF(ISBLANK(DADOS_AM!$BD$50),"",DADOS_AM!$BD$50)</f>
        <v/>
      </c>
      <c r="Q50">
        <f>IF(ISBLANK(DADOS_AM!$BE$50),"",DADOS_AM!$BE$50)</f>
        <v/>
      </c>
      <c r="R50">
        <f>IF(ISBLANK(DADOS_AM!$BF$50),"",DADOS_AM!$BF$50)</f>
        <v/>
      </c>
      <c r="S50">
        <f>IF(ISBLANK(DADOS_AM!$BG$50),"",DADOS_AM!$BG$50)</f>
        <v/>
      </c>
      <c r="T50">
        <f>IF(ISBLANK(DADOS_AM!$BH$50),"",DADOS_AM!$BH$50)</f>
        <v/>
      </c>
      <c r="U50">
        <f>IF(ISBLANK(DADOS_AM!$BI$50),"",DADOS_AM!$BI$50)</f>
        <v/>
      </c>
      <c r="V50">
        <f>IF(ISBLANK(DADOS_AM!$BJ$50),"",DADOS_AM!$BJ$50)</f>
        <v/>
      </c>
      <c r="W50">
        <f>IF(ISBLANK(DADOS_AM!$BK$50),"",DADOS_AM!$BK$50)</f>
        <v/>
      </c>
      <c r="X50" t="inlineStr">
        <is>
          <t>Enfraquece</t>
        </is>
      </c>
      <c r="Y50" t="n">
        <v>0</v>
      </c>
      <c r="AG50">
        <f>O50</f>
        <v/>
      </c>
      <c r="AH50">
        <f>P50</f>
        <v/>
      </c>
      <c r="AI50">
        <f>Q50</f>
        <v/>
      </c>
      <c r="AJ50">
        <f>T50</f>
        <v/>
      </c>
      <c r="AK50">
        <f>Y50</f>
        <v/>
      </c>
      <c r="AL50">
        <f>W50</f>
        <v/>
      </c>
      <c r="AN50">
        <f>IF(OR(P50="",P50='DADOS_INVOC'!$EL$2,P50='DADOS_INVOC'!$EM$2,P50='DADOS_INVOC'!$EN$2,P50='DADOS_INVOC'!$EO$2,P50='DADOS_INVOC'!$EP$2,P50='DADOS_INVOC'!$QV$2,P50='DADOS_INVOC'!$QW$2,P50='DADOS_INVOC'!$QX$2,P50='DADOS_INVOC'!$QY$2),O50,"")</f>
        <v/>
      </c>
      <c r="AO50">
        <f>IF(AND(Q50=1,OR(P50="",P50='DADOS_INVOC'!$EL$2,P50='DADOS_INVOC'!$EM$2,P50='DADOS_INVOC'!$EN$2,P50='DADOS_INVOC'!$EO$2,P50='DADOS_INVOC'!$EP$2,P50='DADOS_INVOC'!$QV$2,P50='DADOS_INVOC'!$QW$2,P50='DADOS_INVOC'!$QX$2,P50='DADOS_INVOC'!$QY$2)),O50,"")</f>
        <v/>
      </c>
      <c r="AP50">
        <f>IF(OR(P50="",P50='DADOS_INVOC'!$EL$3,P50='DADOS_INVOC'!$EM$3,P50='DADOS_INVOC'!$EN$3,P50='DADOS_INVOC'!$EO$3,P50='DADOS_INVOC'!$EP$3,P50='DADOS_INVOC'!$QV$3,P50='DADOS_INVOC'!$QW$3,P50='DADOS_INVOC'!$QX$3,P50='DADOS_INVOC'!$QY$3),O50,"")</f>
        <v/>
      </c>
      <c r="AQ50">
        <f>IF(AND(Q50=1,OR(P50="",P50='DADOS_INVOC'!$EL$3,P50='DADOS_INVOC'!$EM$3,P50='DADOS_INVOC'!$EN$3,P50='DADOS_INVOC'!$EO$3,P50='DADOS_INVOC'!$EP$3,P50='DADOS_INVOC'!$QV$3,P50='DADOS_INVOC'!$QW$3,P50='DADOS_INVOC'!$QX$3,P50='DADOS_INVOC'!$QY$3)),O50,"")</f>
        <v/>
      </c>
      <c r="AR50">
        <f>IF(OR(P50="",P50='DADOS_INVOC'!$EL$4,P50='DADOS_INVOC'!$EM$4,P50='DADOS_INVOC'!$EN$4,P50='DADOS_INVOC'!$EO$4,P50='DADOS_INVOC'!$EP$4,P50='DADOS_INVOC'!$QV$4,P50='DADOS_INVOC'!$QW$4,P50='DADOS_INVOC'!$QX$4,P50='DADOS_INVOC'!$QY$4),O50,"")</f>
        <v/>
      </c>
      <c r="AS50">
        <f>IF(AND(Q50=1,OR(P50="",P50='DADOS_INVOC'!$EL$4,P50='DADOS_INVOC'!$EM$4,P50='DADOS_INVOC'!$EN$4,P50='DADOS_INVOC'!$EO$4,P50='DADOS_INVOC'!$EP$4,P50='DADOS_INVOC'!$QV$4,P50='DADOS_INVOC'!$QW$4,P50='DADOS_INVOC'!$QX$4,P50='DADOS_INVOC'!$QY$4)),O50,"")</f>
        <v/>
      </c>
      <c r="AT50">
        <f>IF(OR(P50="",P50='DADOS_INVOC'!$EL$5,P50='DADOS_INVOC'!$EM$5,P50='DADOS_INVOC'!$EN$5,P50='DADOS_INVOC'!$EO$5,P50='DADOS_INVOC'!$EP$5,P50='DADOS_INVOC'!$QV$5,P50='DADOS_INVOC'!$QW$5,P50='DADOS_INVOC'!$QX$5,P50='DADOS_INVOC'!$QY$5),O50,"")</f>
        <v/>
      </c>
      <c r="AU50">
        <f>IF(AND(Q50=1,OR(P50="",P50='DADOS_INVOC'!$EL$5,P50='DADOS_INVOC'!$EM$5,P50='DADOS_INVOC'!$EN$5,P50='DADOS_INVOC'!$EO$5,P50='DADOS_INVOC'!$EP$5,P50='DADOS_INVOC'!$QV$5,P50='DADOS_INVOC'!$QW$5,P50='DADOS_INVOC'!$QX$5,P50='DADOS_INVOC'!$QY$5)),O50,"")</f>
        <v/>
      </c>
      <c r="AV50">
        <f>IF(OR(P50="",P50='DADOS_INVOC'!$EL$6,P50='DADOS_INVOC'!$EM$6,P50='DADOS_INVOC'!$EN$6,P50='DADOS_INVOC'!$EO$6,P50='DADOS_INVOC'!$EP$6,P50='DADOS_INVOC'!$QV$6,P50='DADOS_INVOC'!$QW$6,P50='DADOS_INVOC'!$QX$6,P50='DADOS_INVOC'!$QY$6),O50,"")</f>
        <v/>
      </c>
      <c r="AW50">
        <f>IF(AND(Q50=1,OR(P50="",P50='DADOS_INVOC'!$EL$6,P50='DADOS_INVOC'!$EM$6,P50='DADOS_INVOC'!$EN$6,P50='DADOS_INVOC'!$EO$6,P50='DADOS_INVOC'!$EP$6,P50='DADOS_INVOC'!$QV$6,P50='DADOS_INVOC'!$QW$6,P50='DADOS_INVOC'!$QX$6,P50='DADOS_INVOC'!$QY$6)),O50,"")</f>
        <v/>
      </c>
      <c r="AX50">
        <f>IF(OR(P50="",P50='DADOS_INVOC'!$EL$7,P50='DADOS_INVOC'!$EM$7,P50='DADOS_INVOC'!$EN$7,P50='DADOS_INVOC'!$EO$7,P50='DADOS_INVOC'!$EP$7,P50='DADOS_INVOC'!$QV$7,P50='DADOS_INVOC'!$QW$7,P50='DADOS_INVOC'!$QX$7,P50='DADOS_INVOC'!$QY$7),O50,"")</f>
        <v/>
      </c>
      <c r="AY50">
        <f>IF(AND(Q50=1,OR(P50="",P50='DADOS_INVOC'!$EL$7,P50='DADOS_INVOC'!$EM$7,P50='DADOS_INVOC'!$EN$7,P50='DADOS_INVOC'!$EO$7,P50='DADOS_INVOC'!$EP$7,P50='DADOS_INVOC'!$QV$7,P50='DADOS_INVOC'!$QW$7,P50='DADOS_INVOC'!$QX$7,P50='DADOS_INVOC'!$QY$7)),O50,"")</f>
        <v/>
      </c>
      <c r="AZ50">
        <f>IF(OR(P50="",P50='DADOS_INVOC'!$EL$8,P50='DADOS_INVOC'!$EM$8,P50='DADOS_INVOC'!$EN$8,P50='DADOS_INVOC'!$EO$8,P50='DADOS_INVOC'!$EP$8,P50='DADOS_INVOC'!$QV$8,P50='DADOS_INVOC'!$QW$8,P50='DADOS_INVOC'!$QX$8,P50='DADOS_INVOC'!$QY$8),O50,"")</f>
        <v/>
      </c>
      <c r="BA50">
        <f>IF(AND(Q50=1,OR(P50="",P50='DADOS_INVOC'!$EL$8,P50='DADOS_INVOC'!$EM$8,P50='DADOS_INVOC'!$EN$8,P50='DADOS_INVOC'!$EO$8,P50='DADOS_INVOC'!$EP$8,P50='DADOS_INVOC'!$QV$8,P50='DADOS_INVOC'!$QW$8,P50='DADOS_INVOC'!$QX$8,P50='DADOS_INVOC'!$QY$8)),O50,"")</f>
        <v/>
      </c>
      <c r="BB50">
        <f>IF(OR(P50="",P50='DADOS_INVOC'!$EL$9,P50='DADOS_INVOC'!$EM$9,P50='DADOS_INVOC'!$EN$9,P50='DADOS_INVOC'!$EO$9,P50='DADOS_INVOC'!$EP$9,P50='DADOS_INVOC'!$QV$9,P50='DADOS_INVOC'!$QW$9,P50='DADOS_INVOC'!$QX$9,P50='DADOS_INVOC'!$QY$9),O50,"")</f>
        <v/>
      </c>
      <c r="BC50">
        <f>IF(AND(Q50=1,OR(P50="",P50='DADOS_INVOC'!$EL$9,P50='DADOS_INVOC'!$EM$9,P50='DADOS_INVOC'!$EN$9,P50='DADOS_INVOC'!$EO$9,P50='DADOS_INVOC'!$EP$9,P50='DADOS_INVOC'!$QV$9,P50='DADOS_INVOC'!$QW$9,P50='DADOS_INVOC'!$QX$9,P50='DADOS_INVOC'!$QY$9)),O50,"")</f>
        <v/>
      </c>
      <c r="BD50">
        <f>IF(OR(P50="",P50='DADOS_INVOC'!$EL$10,P50='DADOS_INVOC'!$EM$10,P50='DADOS_INVOC'!$EN$10,P50='DADOS_INVOC'!$EO$10,P50='DADOS_INVOC'!$EP$10,P50='DADOS_INVOC'!$QV$10,P50='DADOS_INVOC'!$QW$10,P50='DADOS_INVOC'!$QX$10,P50='DADOS_INVOC'!$QY$10),O50,"")</f>
        <v/>
      </c>
      <c r="BE50">
        <f>IF(AND(Q50=1,OR(P50="",P50='DADOS_INVOC'!$EL$10,P50='DADOS_INVOC'!$EM$10,P50='DADOS_INVOC'!$EN$10,P50='DADOS_INVOC'!$EO$10,P50='DADOS_INVOC'!$EP$10,P50='DADOS_INVOC'!$QV$10,P50='DADOS_INVOC'!$QW$10,P50='DADOS_INVOC'!$QX$10,P50='DADOS_INVOC'!$QY$10)),O50,"")</f>
        <v/>
      </c>
      <c r="BF50">
        <f>IF(OR(P50="",P50='DADOS_INVOC'!$EL$11,P50='DADOS_INVOC'!$EM$11,P50='DADOS_INVOC'!$EN$11,P50='DADOS_INVOC'!$EO$11,P50='DADOS_INVOC'!$EP$11,P50='DADOS_INVOC'!$QV$11,P50='DADOS_INVOC'!$QW$11,P50='DADOS_INVOC'!$QX$11,P50='DADOS_INVOC'!$QY$11),O50,"")</f>
        <v/>
      </c>
      <c r="BG50">
        <f>IF(AND(Q50=1,OR(P50="",P50='DADOS_INVOC'!$EL$11,P50='DADOS_INVOC'!$EM$11,P50='DADOS_INVOC'!$EN$11,P50='DADOS_INVOC'!$EO$11,P50='DADOS_INVOC'!$EP$11,P50='DADOS_INVOC'!$QV$11,P50='DADOS_INVOC'!$QW$11,P50='DADOS_INVOC'!$QX$11,P50='DADOS_INVOC'!$QY$11)),O50,"")</f>
        <v/>
      </c>
      <c r="BH50">
        <f>IF(OR(P50="",P50='DADOS_INVOC'!$EL$12,P50='DADOS_INVOC'!$EM$12,P50='DADOS_INVOC'!$EN$12,P50='DADOS_INVOC'!$EO$12,P50='DADOS_INVOC'!$EP$12,P50='DADOS_INVOC'!$QV$12,P50='DADOS_INVOC'!$QW$12,P50='DADOS_INVOC'!$QX$12,P50='DADOS_INVOC'!$QY$12),O50,"")</f>
        <v/>
      </c>
      <c r="BI50">
        <f>IF(AND(Q50=1,OR(P50="",P50='DADOS_INVOC'!$EL$12,P50='DADOS_INVOC'!$EM$12,P50='DADOS_INVOC'!$EN$12,P50='DADOS_INVOC'!$EO$12,P50='DADOS_INVOC'!$EP$12,P50='DADOS_INVOC'!$QV$12,P50='DADOS_INVOC'!$QW$12,P50='DADOS_INVOC'!$QX$12,P50='DADOS_INVOC'!$QY$12)),O50,"")</f>
        <v/>
      </c>
      <c r="BJ50">
        <f>IF(OR(P50="",P50='DADOS_INVOC'!$EL$13,P50='DADOS_INVOC'!$EM$13,P50='DADOS_INVOC'!$EN$13,P50='DADOS_INVOC'!$EO$13,P50='DADOS_INVOC'!$EP$13,P50='DADOS_INVOC'!$QV$13,P50='DADOS_INVOC'!$QW$13,P50='DADOS_INVOC'!$QX$13,P50='DADOS_INVOC'!$QY$13),O50,"")</f>
        <v/>
      </c>
      <c r="BK50">
        <f>IF(AND(Q50=1,OR(P50="",P50='DADOS_INVOC'!$EL$13,P50='DADOS_INVOC'!$EM$13,P50='DADOS_INVOC'!$EN$13,P50='DADOS_INVOC'!$EO$13,P50='DADOS_INVOC'!$EP$13,P50='DADOS_INVOC'!$QV$13,P50='DADOS_INVOC'!$QW$13,P50='DADOS_INVOC'!$QX$13,P50='DADOS_INVOC'!$QY$13)),O50,"")</f>
        <v/>
      </c>
      <c r="BP50" t="inlineStr">
        <is>
          <t>Pressa</t>
        </is>
      </c>
    </row>
    <row r="51">
      <c r="O51">
        <f>IF(ISBLANK(DADOS_AM!$BC$51),"",DADOS_AM!$BC$51)</f>
        <v/>
      </c>
      <c r="P51">
        <f>IF(ISBLANK(DADOS_AM!$BD$51),"",DADOS_AM!$BD$51)</f>
        <v/>
      </c>
      <c r="Q51">
        <f>IF(ISBLANK(DADOS_AM!$BE$51),"",DADOS_AM!$BE$51)</f>
        <v/>
      </c>
      <c r="R51">
        <f>IF(ISBLANK(DADOS_AM!$BF$51),"",DADOS_AM!$BF$51)</f>
        <v/>
      </c>
      <c r="S51">
        <f>IF(ISBLANK(DADOS_AM!$BG$51),"",DADOS_AM!$BG$51)</f>
        <v/>
      </c>
      <c r="T51">
        <f>IF(ISBLANK(DADOS_AM!$BH$51),"",DADOS_AM!$BH$51)</f>
        <v/>
      </c>
      <c r="U51">
        <f>IF(ISBLANK(DADOS_AM!$BI$51),"",DADOS_AM!$BI$51)</f>
        <v/>
      </c>
      <c r="V51">
        <f>IF(ISBLANK(DADOS_AM!$BJ$51),"",DADOS_AM!$BJ$51)</f>
        <v/>
      </c>
      <c r="W51">
        <f>IF(ISBLANK(DADOS_AM!$BK$51),"",DADOS_AM!$BK$51)</f>
        <v/>
      </c>
      <c r="X51" t="inlineStr">
        <is>
          <t>Ecoa</t>
        </is>
      </c>
      <c r="Y51" t="n">
        <v>0</v>
      </c>
      <c r="AG51">
        <f>O51</f>
        <v/>
      </c>
      <c r="AH51">
        <f>P51</f>
        <v/>
      </c>
      <c r="AI51">
        <f>Q51</f>
        <v/>
      </c>
      <c r="AJ51">
        <f>T51</f>
        <v/>
      </c>
      <c r="AK51">
        <f>Y51</f>
        <v/>
      </c>
      <c r="AL51">
        <f>W51</f>
        <v/>
      </c>
      <c r="AN51">
        <f>IF(OR(P51="",P51='DADOS_INVOC'!$EL$2,P51='DADOS_INVOC'!$EM$2,P51='DADOS_INVOC'!$EN$2,P51='DADOS_INVOC'!$EO$2,P51='DADOS_INVOC'!$EP$2,P51='DADOS_INVOC'!$QV$2,P51='DADOS_INVOC'!$QW$2,P51='DADOS_INVOC'!$QX$2,P51='DADOS_INVOC'!$QY$2),O51,"")</f>
        <v/>
      </c>
      <c r="AO51">
        <f>IF(AND(Q51=1,OR(P51="",P51='DADOS_INVOC'!$EL$2,P51='DADOS_INVOC'!$EM$2,P51='DADOS_INVOC'!$EN$2,P51='DADOS_INVOC'!$EO$2,P51='DADOS_INVOC'!$EP$2,P51='DADOS_INVOC'!$QV$2,P51='DADOS_INVOC'!$QW$2,P51='DADOS_INVOC'!$QX$2,P51='DADOS_INVOC'!$QY$2)),O51,"")</f>
        <v/>
      </c>
      <c r="AP51">
        <f>IF(OR(P51="",P51='DADOS_INVOC'!$EL$3,P51='DADOS_INVOC'!$EM$3,P51='DADOS_INVOC'!$EN$3,P51='DADOS_INVOC'!$EO$3,P51='DADOS_INVOC'!$EP$3,P51='DADOS_INVOC'!$QV$3,P51='DADOS_INVOC'!$QW$3,P51='DADOS_INVOC'!$QX$3,P51='DADOS_INVOC'!$QY$3),O51,"")</f>
        <v/>
      </c>
      <c r="AQ51">
        <f>IF(AND(Q51=1,OR(P51="",P51='DADOS_INVOC'!$EL$3,P51='DADOS_INVOC'!$EM$3,P51='DADOS_INVOC'!$EN$3,P51='DADOS_INVOC'!$EO$3,P51='DADOS_INVOC'!$EP$3,P51='DADOS_INVOC'!$QV$3,P51='DADOS_INVOC'!$QW$3,P51='DADOS_INVOC'!$QX$3,P51='DADOS_INVOC'!$QY$3)),O51,"")</f>
        <v/>
      </c>
      <c r="AR51">
        <f>IF(OR(P51="",P51='DADOS_INVOC'!$EL$4,P51='DADOS_INVOC'!$EM$4,P51='DADOS_INVOC'!$EN$4,P51='DADOS_INVOC'!$EO$4,P51='DADOS_INVOC'!$EP$4,P51='DADOS_INVOC'!$QV$4,P51='DADOS_INVOC'!$QW$4,P51='DADOS_INVOC'!$QX$4,P51='DADOS_INVOC'!$QY$4),O51,"")</f>
        <v/>
      </c>
      <c r="AS51">
        <f>IF(AND(Q51=1,OR(P51="",P51='DADOS_INVOC'!$EL$4,P51='DADOS_INVOC'!$EM$4,P51='DADOS_INVOC'!$EN$4,P51='DADOS_INVOC'!$EO$4,P51='DADOS_INVOC'!$EP$4,P51='DADOS_INVOC'!$QV$4,P51='DADOS_INVOC'!$QW$4,P51='DADOS_INVOC'!$QX$4,P51='DADOS_INVOC'!$QY$4)),O51,"")</f>
        <v/>
      </c>
      <c r="AT51">
        <f>IF(OR(P51="",P51='DADOS_INVOC'!$EL$5,P51='DADOS_INVOC'!$EM$5,P51='DADOS_INVOC'!$EN$5,P51='DADOS_INVOC'!$EO$5,P51='DADOS_INVOC'!$EP$5,P51='DADOS_INVOC'!$QV$5,P51='DADOS_INVOC'!$QW$5,P51='DADOS_INVOC'!$QX$5,P51='DADOS_INVOC'!$QY$5),O51,"")</f>
        <v/>
      </c>
      <c r="AU51">
        <f>IF(AND(Q51=1,OR(P51="",P51='DADOS_INVOC'!$EL$5,P51='DADOS_INVOC'!$EM$5,P51='DADOS_INVOC'!$EN$5,P51='DADOS_INVOC'!$EO$5,P51='DADOS_INVOC'!$EP$5,P51='DADOS_INVOC'!$QV$5,P51='DADOS_INVOC'!$QW$5,P51='DADOS_INVOC'!$QX$5,P51='DADOS_INVOC'!$QY$5)),O51,"")</f>
        <v/>
      </c>
      <c r="AV51">
        <f>IF(OR(P51="",P51='DADOS_INVOC'!$EL$6,P51='DADOS_INVOC'!$EM$6,P51='DADOS_INVOC'!$EN$6,P51='DADOS_INVOC'!$EO$6,P51='DADOS_INVOC'!$EP$6,P51='DADOS_INVOC'!$QV$6,P51='DADOS_INVOC'!$QW$6,P51='DADOS_INVOC'!$QX$6,P51='DADOS_INVOC'!$QY$6),O51,"")</f>
        <v/>
      </c>
      <c r="AW51">
        <f>IF(AND(Q51=1,OR(P51="",P51='DADOS_INVOC'!$EL$6,P51='DADOS_INVOC'!$EM$6,P51='DADOS_INVOC'!$EN$6,P51='DADOS_INVOC'!$EO$6,P51='DADOS_INVOC'!$EP$6,P51='DADOS_INVOC'!$QV$6,P51='DADOS_INVOC'!$QW$6,P51='DADOS_INVOC'!$QX$6,P51='DADOS_INVOC'!$QY$6)),O51,"")</f>
        <v/>
      </c>
      <c r="AX51">
        <f>IF(OR(P51="",P51='DADOS_INVOC'!$EL$7,P51='DADOS_INVOC'!$EM$7,P51='DADOS_INVOC'!$EN$7,P51='DADOS_INVOC'!$EO$7,P51='DADOS_INVOC'!$EP$7,P51='DADOS_INVOC'!$QV$7,P51='DADOS_INVOC'!$QW$7,P51='DADOS_INVOC'!$QX$7,P51='DADOS_INVOC'!$QY$7),O51,"")</f>
        <v/>
      </c>
      <c r="AY51">
        <f>IF(AND(Q51=1,OR(P51="",P51='DADOS_INVOC'!$EL$7,P51='DADOS_INVOC'!$EM$7,P51='DADOS_INVOC'!$EN$7,P51='DADOS_INVOC'!$EO$7,P51='DADOS_INVOC'!$EP$7,P51='DADOS_INVOC'!$QV$7,P51='DADOS_INVOC'!$QW$7,P51='DADOS_INVOC'!$QX$7,P51='DADOS_INVOC'!$QY$7)),O51,"")</f>
        <v/>
      </c>
      <c r="AZ51">
        <f>IF(OR(P51="",P51='DADOS_INVOC'!$EL$8,P51='DADOS_INVOC'!$EM$8,P51='DADOS_INVOC'!$EN$8,P51='DADOS_INVOC'!$EO$8,P51='DADOS_INVOC'!$EP$8,P51='DADOS_INVOC'!$QV$8,P51='DADOS_INVOC'!$QW$8,P51='DADOS_INVOC'!$QX$8,P51='DADOS_INVOC'!$QY$8),O51,"")</f>
        <v/>
      </c>
      <c r="BA51">
        <f>IF(AND(Q51=1,OR(P51="",P51='DADOS_INVOC'!$EL$8,P51='DADOS_INVOC'!$EM$8,P51='DADOS_INVOC'!$EN$8,P51='DADOS_INVOC'!$EO$8,P51='DADOS_INVOC'!$EP$8,P51='DADOS_INVOC'!$QV$8,P51='DADOS_INVOC'!$QW$8,P51='DADOS_INVOC'!$QX$8,P51='DADOS_INVOC'!$QY$8)),O51,"")</f>
        <v/>
      </c>
      <c r="BB51">
        <f>IF(OR(P51="",P51='DADOS_INVOC'!$EL$9,P51='DADOS_INVOC'!$EM$9,P51='DADOS_INVOC'!$EN$9,P51='DADOS_INVOC'!$EO$9,P51='DADOS_INVOC'!$EP$9,P51='DADOS_INVOC'!$QV$9,P51='DADOS_INVOC'!$QW$9,P51='DADOS_INVOC'!$QX$9,P51='DADOS_INVOC'!$QY$9),O51,"")</f>
        <v/>
      </c>
      <c r="BC51">
        <f>IF(AND(Q51=1,OR(P51="",P51='DADOS_INVOC'!$EL$9,P51='DADOS_INVOC'!$EM$9,P51='DADOS_INVOC'!$EN$9,P51='DADOS_INVOC'!$EO$9,P51='DADOS_INVOC'!$EP$9,P51='DADOS_INVOC'!$QV$9,P51='DADOS_INVOC'!$QW$9,P51='DADOS_INVOC'!$QX$9,P51='DADOS_INVOC'!$QY$9)),O51,"")</f>
        <v/>
      </c>
      <c r="BD51">
        <f>IF(OR(P51="",P51='DADOS_INVOC'!$EL$10,P51='DADOS_INVOC'!$EM$10,P51='DADOS_INVOC'!$EN$10,P51='DADOS_INVOC'!$EO$10,P51='DADOS_INVOC'!$EP$10,P51='DADOS_INVOC'!$QV$10,P51='DADOS_INVOC'!$QW$10,P51='DADOS_INVOC'!$QX$10,P51='DADOS_INVOC'!$QY$10),O51,"")</f>
        <v/>
      </c>
      <c r="BE51">
        <f>IF(AND(Q51=1,OR(P51="",P51='DADOS_INVOC'!$EL$10,P51='DADOS_INVOC'!$EM$10,P51='DADOS_INVOC'!$EN$10,P51='DADOS_INVOC'!$EO$10,P51='DADOS_INVOC'!$EP$10,P51='DADOS_INVOC'!$QV$10,P51='DADOS_INVOC'!$QW$10,P51='DADOS_INVOC'!$QX$10,P51='DADOS_INVOC'!$QY$10)),O51,"")</f>
        <v/>
      </c>
      <c r="BF51">
        <f>IF(OR(P51="",P51='DADOS_INVOC'!$EL$11,P51='DADOS_INVOC'!$EM$11,P51='DADOS_INVOC'!$EN$11,P51='DADOS_INVOC'!$EO$11,P51='DADOS_INVOC'!$EP$11,P51='DADOS_INVOC'!$QV$11,P51='DADOS_INVOC'!$QW$11,P51='DADOS_INVOC'!$QX$11,P51='DADOS_INVOC'!$QY$11),O51,"")</f>
        <v/>
      </c>
      <c r="BG51">
        <f>IF(AND(Q51=1,OR(P51="",P51='DADOS_INVOC'!$EL$11,P51='DADOS_INVOC'!$EM$11,P51='DADOS_INVOC'!$EN$11,P51='DADOS_INVOC'!$EO$11,P51='DADOS_INVOC'!$EP$11,P51='DADOS_INVOC'!$QV$11,P51='DADOS_INVOC'!$QW$11,P51='DADOS_INVOC'!$QX$11,P51='DADOS_INVOC'!$QY$11)),O51,"")</f>
        <v/>
      </c>
      <c r="BH51">
        <f>IF(OR(P51="",P51='DADOS_INVOC'!$EL$12,P51='DADOS_INVOC'!$EM$12,P51='DADOS_INVOC'!$EN$12,P51='DADOS_INVOC'!$EO$12,P51='DADOS_INVOC'!$EP$12,P51='DADOS_INVOC'!$QV$12,P51='DADOS_INVOC'!$QW$12,P51='DADOS_INVOC'!$QX$12,P51='DADOS_INVOC'!$QY$12),O51,"")</f>
        <v/>
      </c>
      <c r="BI51">
        <f>IF(AND(Q51=1,OR(P51="",P51='DADOS_INVOC'!$EL$12,P51='DADOS_INVOC'!$EM$12,P51='DADOS_INVOC'!$EN$12,P51='DADOS_INVOC'!$EO$12,P51='DADOS_INVOC'!$EP$12,P51='DADOS_INVOC'!$QV$12,P51='DADOS_INVOC'!$QW$12,P51='DADOS_INVOC'!$QX$12,P51='DADOS_INVOC'!$QY$12)),O51,"")</f>
        <v/>
      </c>
      <c r="BJ51">
        <f>IF(OR(P51="",P51='DADOS_INVOC'!$EL$13,P51='DADOS_INVOC'!$EM$13,P51='DADOS_INVOC'!$EN$13,P51='DADOS_INVOC'!$EO$13,P51='DADOS_INVOC'!$EP$13,P51='DADOS_INVOC'!$QV$13,P51='DADOS_INVOC'!$QW$13,P51='DADOS_INVOC'!$QX$13,P51='DADOS_INVOC'!$QY$13),O51,"")</f>
        <v/>
      </c>
      <c r="BK51">
        <f>IF(AND(Q51=1,OR(P51="",P51='DADOS_INVOC'!$EL$13,P51='DADOS_INVOC'!$EM$13,P51='DADOS_INVOC'!$EN$13,P51='DADOS_INVOC'!$EO$13,P51='DADOS_INVOC'!$EP$13,P51='DADOS_INVOC'!$QV$13,P51='DADOS_INVOC'!$QW$13,P51='DADOS_INVOC'!$QX$13,P51='DADOS_INVOC'!$QY$13)),O51,"")</f>
        <v/>
      </c>
      <c r="BP51" t="inlineStr">
        <is>
          <t>Enfraquece</t>
        </is>
      </c>
    </row>
    <row r="52">
      <c r="O52">
        <f>IF(ISBLANK(DADOS_AM!$BC$52),"",DADOS_AM!$BC$52)</f>
        <v/>
      </c>
      <c r="P52">
        <f>IF(ISBLANK(DADOS_AM!$BD$52),"",DADOS_AM!$BD$52)</f>
        <v/>
      </c>
      <c r="Q52">
        <f>IF(ISBLANK(DADOS_AM!$BE$52),"",DADOS_AM!$BE$52)</f>
        <v/>
      </c>
      <c r="R52">
        <f>IF(ISBLANK(DADOS_AM!$BF$52),"",DADOS_AM!$BF$52)</f>
        <v/>
      </c>
      <c r="S52">
        <f>IF(ISBLANK(DADOS_AM!$BG$52),"",DADOS_AM!$BG$52)</f>
        <v/>
      </c>
      <c r="T52">
        <f>IF(ISBLANK(DADOS_AM!$BH$52),"",DADOS_AM!$BH$52)</f>
        <v/>
      </c>
      <c r="U52">
        <f>IF(ISBLANK(DADOS_AM!$BI$52),"",DADOS_AM!$BI$52)</f>
        <v/>
      </c>
      <c r="V52">
        <f>IF(ISBLANK(DADOS_AM!$BJ$52),"",DADOS_AM!$BJ$52)</f>
        <v/>
      </c>
      <c r="W52">
        <f>IF(ISBLANK(DADOS_AM!$BK$52),"",DADOS_AM!$BK$52)</f>
        <v/>
      </c>
      <c r="X52" t="inlineStr">
        <is>
          <t>Queima</t>
        </is>
      </c>
      <c r="Y52" t="n">
        <v>0</v>
      </c>
      <c r="AG52">
        <f>O52</f>
        <v/>
      </c>
      <c r="AH52">
        <f>P52</f>
        <v/>
      </c>
      <c r="AI52">
        <f>Q52</f>
        <v/>
      </c>
      <c r="AJ52">
        <f>T52</f>
        <v/>
      </c>
      <c r="AK52">
        <f>Y52</f>
        <v/>
      </c>
      <c r="AL52">
        <f>W52</f>
        <v/>
      </c>
      <c r="AN52">
        <f>IF(OR(P52="",P52='DADOS_INVOC'!$EL$2,P52='DADOS_INVOC'!$EM$2,P52='DADOS_INVOC'!$EN$2,P52='DADOS_INVOC'!$EO$2,P52='DADOS_INVOC'!$EP$2,P52='DADOS_INVOC'!$QV$2,P52='DADOS_INVOC'!$QW$2,P52='DADOS_INVOC'!$QX$2,P52='DADOS_INVOC'!$QY$2),O52,"")</f>
        <v/>
      </c>
      <c r="AO52">
        <f>IF(AND(Q52=1,OR(P52="",P52='DADOS_INVOC'!$EL$2,P52='DADOS_INVOC'!$EM$2,P52='DADOS_INVOC'!$EN$2,P52='DADOS_INVOC'!$EO$2,P52='DADOS_INVOC'!$EP$2,P52='DADOS_INVOC'!$QV$2,P52='DADOS_INVOC'!$QW$2,P52='DADOS_INVOC'!$QX$2,P52='DADOS_INVOC'!$QY$2)),O52,"")</f>
        <v/>
      </c>
      <c r="AP52">
        <f>IF(OR(P52="",P52='DADOS_INVOC'!$EL$3,P52='DADOS_INVOC'!$EM$3,P52='DADOS_INVOC'!$EN$3,P52='DADOS_INVOC'!$EO$3,P52='DADOS_INVOC'!$EP$3,P52='DADOS_INVOC'!$QV$3,P52='DADOS_INVOC'!$QW$3,P52='DADOS_INVOC'!$QX$3,P52='DADOS_INVOC'!$QY$3),O52,"")</f>
        <v/>
      </c>
      <c r="AQ52">
        <f>IF(AND(Q52=1,OR(P52="",P52='DADOS_INVOC'!$EL$3,P52='DADOS_INVOC'!$EM$3,P52='DADOS_INVOC'!$EN$3,P52='DADOS_INVOC'!$EO$3,P52='DADOS_INVOC'!$EP$3,P52='DADOS_INVOC'!$QV$3,P52='DADOS_INVOC'!$QW$3,P52='DADOS_INVOC'!$QX$3,P52='DADOS_INVOC'!$QY$3)),O52,"")</f>
        <v/>
      </c>
      <c r="AR52">
        <f>IF(OR(P52="",P52='DADOS_INVOC'!$EL$4,P52='DADOS_INVOC'!$EM$4,P52='DADOS_INVOC'!$EN$4,P52='DADOS_INVOC'!$EO$4,P52='DADOS_INVOC'!$EP$4,P52='DADOS_INVOC'!$QV$4,P52='DADOS_INVOC'!$QW$4,P52='DADOS_INVOC'!$QX$4,P52='DADOS_INVOC'!$QY$4),O52,"")</f>
        <v/>
      </c>
      <c r="AS52">
        <f>IF(AND(Q52=1,OR(P52="",P52='DADOS_INVOC'!$EL$4,P52='DADOS_INVOC'!$EM$4,P52='DADOS_INVOC'!$EN$4,P52='DADOS_INVOC'!$EO$4,P52='DADOS_INVOC'!$EP$4,P52='DADOS_INVOC'!$QV$4,P52='DADOS_INVOC'!$QW$4,P52='DADOS_INVOC'!$QX$4,P52='DADOS_INVOC'!$QY$4)),O52,"")</f>
        <v/>
      </c>
      <c r="AT52">
        <f>IF(OR(P52="",P52='DADOS_INVOC'!$EL$5,P52='DADOS_INVOC'!$EM$5,P52='DADOS_INVOC'!$EN$5,P52='DADOS_INVOC'!$EO$5,P52='DADOS_INVOC'!$EP$5,P52='DADOS_INVOC'!$QV$5,P52='DADOS_INVOC'!$QW$5,P52='DADOS_INVOC'!$QX$5,P52='DADOS_INVOC'!$QY$5),O52,"")</f>
        <v/>
      </c>
      <c r="AU52">
        <f>IF(AND(Q52=1,OR(P52="",P52='DADOS_INVOC'!$EL$5,P52='DADOS_INVOC'!$EM$5,P52='DADOS_INVOC'!$EN$5,P52='DADOS_INVOC'!$EO$5,P52='DADOS_INVOC'!$EP$5,P52='DADOS_INVOC'!$QV$5,P52='DADOS_INVOC'!$QW$5,P52='DADOS_INVOC'!$QX$5,P52='DADOS_INVOC'!$QY$5)),O52,"")</f>
        <v/>
      </c>
      <c r="AV52">
        <f>IF(OR(P52="",P52='DADOS_INVOC'!$EL$6,P52='DADOS_INVOC'!$EM$6,P52='DADOS_INVOC'!$EN$6,P52='DADOS_INVOC'!$EO$6,P52='DADOS_INVOC'!$EP$6,P52='DADOS_INVOC'!$QV$6,P52='DADOS_INVOC'!$QW$6,P52='DADOS_INVOC'!$QX$6,P52='DADOS_INVOC'!$QY$6),O52,"")</f>
        <v/>
      </c>
      <c r="AW52">
        <f>IF(AND(Q52=1,OR(P52="",P52='DADOS_INVOC'!$EL$6,P52='DADOS_INVOC'!$EM$6,P52='DADOS_INVOC'!$EN$6,P52='DADOS_INVOC'!$EO$6,P52='DADOS_INVOC'!$EP$6,P52='DADOS_INVOC'!$QV$6,P52='DADOS_INVOC'!$QW$6,P52='DADOS_INVOC'!$QX$6,P52='DADOS_INVOC'!$QY$6)),O52,"")</f>
        <v/>
      </c>
      <c r="AX52">
        <f>IF(OR(P52="",P52='DADOS_INVOC'!$EL$7,P52='DADOS_INVOC'!$EM$7,P52='DADOS_INVOC'!$EN$7,P52='DADOS_INVOC'!$EO$7,P52='DADOS_INVOC'!$EP$7,P52='DADOS_INVOC'!$QV$7,P52='DADOS_INVOC'!$QW$7,P52='DADOS_INVOC'!$QX$7,P52='DADOS_INVOC'!$QY$7),O52,"")</f>
        <v/>
      </c>
      <c r="AY52">
        <f>IF(AND(Q52=1,OR(P52="",P52='DADOS_INVOC'!$EL$7,P52='DADOS_INVOC'!$EM$7,P52='DADOS_INVOC'!$EN$7,P52='DADOS_INVOC'!$EO$7,P52='DADOS_INVOC'!$EP$7,P52='DADOS_INVOC'!$QV$7,P52='DADOS_INVOC'!$QW$7,P52='DADOS_INVOC'!$QX$7,P52='DADOS_INVOC'!$QY$7)),O52,"")</f>
        <v/>
      </c>
      <c r="AZ52">
        <f>IF(OR(P52="",P52='DADOS_INVOC'!$EL$8,P52='DADOS_INVOC'!$EM$8,P52='DADOS_INVOC'!$EN$8,P52='DADOS_INVOC'!$EO$8,P52='DADOS_INVOC'!$EP$8,P52='DADOS_INVOC'!$QV$8,P52='DADOS_INVOC'!$QW$8,P52='DADOS_INVOC'!$QX$8,P52='DADOS_INVOC'!$QY$8),O52,"")</f>
        <v/>
      </c>
      <c r="BA52">
        <f>IF(AND(Q52=1,OR(P52="",P52='DADOS_INVOC'!$EL$8,P52='DADOS_INVOC'!$EM$8,P52='DADOS_INVOC'!$EN$8,P52='DADOS_INVOC'!$EO$8,P52='DADOS_INVOC'!$EP$8,P52='DADOS_INVOC'!$QV$8,P52='DADOS_INVOC'!$QW$8,P52='DADOS_INVOC'!$QX$8,P52='DADOS_INVOC'!$QY$8)),O52,"")</f>
        <v/>
      </c>
      <c r="BB52">
        <f>IF(OR(P52="",P52='DADOS_INVOC'!$EL$9,P52='DADOS_INVOC'!$EM$9,P52='DADOS_INVOC'!$EN$9,P52='DADOS_INVOC'!$EO$9,P52='DADOS_INVOC'!$EP$9,P52='DADOS_INVOC'!$QV$9,P52='DADOS_INVOC'!$QW$9,P52='DADOS_INVOC'!$QX$9,P52='DADOS_INVOC'!$QY$9),O52,"")</f>
        <v/>
      </c>
      <c r="BC52">
        <f>IF(AND(Q52=1,OR(P52="",P52='DADOS_INVOC'!$EL$9,P52='DADOS_INVOC'!$EM$9,P52='DADOS_INVOC'!$EN$9,P52='DADOS_INVOC'!$EO$9,P52='DADOS_INVOC'!$EP$9,P52='DADOS_INVOC'!$QV$9,P52='DADOS_INVOC'!$QW$9,P52='DADOS_INVOC'!$QX$9,P52='DADOS_INVOC'!$QY$9)),O52,"")</f>
        <v/>
      </c>
      <c r="BD52">
        <f>IF(OR(P52="",P52='DADOS_INVOC'!$EL$10,P52='DADOS_INVOC'!$EM$10,P52='DADOS_INVOC'!$EN$10,P52='DADOS_INVOC'!$EO$10,P52='DADOS_INVOC'!$EP$10,P52='DADOS_INVOC'!$QV$10,P52='DADOS_INVOC'!$QW$10,P52='DADOS_INVOC'!$QX$10,P52='DADOS_INVOC'!$QY$10),O52,"")</f>
        <v/>
      </c>
      <c r="BE52">
        <f>IF(AND(Q52=1,OR(P52="",P52='DADOS_INVOC'!$EL$10,P52='DADOS_INVOC'!$EM$10,P52='DADOS_INVOC'!$EN$10,P52='DADOS_INVOC'!$EO$10,P52='DADOS_INVOC'!$EP$10,P52='DADOS_INVOC'!$QV$10,P52='DADOS_INVOC'!$QW$10,P52='DADOS_INVOC'!$QX$10,P52='DADOS_INVOC'!$QY$10)),O52,"")</f>
        <v/>
      </c>
      <c r="BF52">
        <f>IF(OR(P52="",P52='DADOS_INVOC'!$EL$11,P52='DADOS_INVOC'!$EM$11,P52='DADOS_INVOC'!$EN$11,P52='DADOS_INVOC'!$EO$11,P52='DADOS_INVOC'!$EP$11,P52='DADOS_INVOC'!$QV$11,P52='DADOS_INVOC'!$QW$11,P52='DADOS_INVOC'!$QX$11,P52='DADOS_INVOC'!$QY$11),O52,"")</f>
        <v/>
      </c>
      <c r="BG52">
        <f>IF(AND(Q52=1,OR(P52="",P52='DADOS_INVOC'!$EL$11,P52='DADOS_INVOC'!$EM$11,P52='DADOS_INVOC'!$EN$11,P52='DADOS_INVOC'!$EO$11,P52='DADOS_INVOC'!$EP$11,P52='DADOS_INVOC'!$QV$11,P52='DADOS_INVOC'!$QW$11,P52='DADOS_INVOC'!$QX$11,P52='DADOS_INVOC'!$QY$11)),O52,"")</f>
        <v/>
      </c>
      <c r="BH52">
        <f>IF(OR(P52="",P52='DADOS_INVOC'!$EL$12,P52='DADOS_INVOC'!$EM$12,P52='DADOS_INVOC'!$EN$12,P52='DADOS_INVOC'!$EO$12,P52='DADOS_INVOC'!$EP$12,P52='DADOS_INVOC'!$QV$12,P52='DADOS_INVOC'!$QW$12,P52='DADOS_INVOC'!$QX$12,P52='DADOS_INVOC'!$QY$12),O52,"")</f>
        <v/>
      </c>
      <c r="BI52">
        <f>IF(AND(Q52=1,OR(P52="",P52='DADOS_INVOC'!$EL$12,P52='DADOS_INVOC'!$EM$12,P52='DADOS_INVOC'!$EN$12,P52='DADOS_INVOC'!$EO$12,P52='DADOS_INVOC'!$EP$12,P52='DADOS_INVOC'!$QV$12,P52='DADOS_INVOC'!$QW$12,P52='DADOS_INVOC'!$QX$12,P52='DADOS_INVOC'!$QY$12)),O52,"")</f>
        <v/>
      </c>
      <c r="BJ52">
        <f>IF(OR(P52="",P52='DADOS_INVOC'!$EL$13,P52='DADOS_INVOC'!$EM$13,P52='DADOS_INVOC'!$EN$13,P52='DADOS_INVOC'!$EO$13,P52='DADOS_INVOC'!$EP$13,P52='DADOS_INVOC'!$QV$13,P52='DADOS_INVOC'!$QW$13,P52='DADOS_INVOC'!$QX$13,P52='DADOS_INVOC'!$QY$13),O52,"")</f>
        <v/>
      </c>
      <c r="BK52">
        <f>IF(AND(Q52=1,OR(P52="",P52='DADOS_INVOC'!$EL$13,P52='DADOS_INVOC'!$EM$13,P52='DADOS_INVOC'!$EN$13,P52='DADOS_INVOC'!$EO$13,P52='DADOS_INVOC'!$EP$13,P52='DADOS_INVOC'!$QV$13,P52='DADOS_INVOC'!$QW$13,P52='DADOS_INVOC'!$QX$13,P52='DADOS_INVOC'!$QY$13)),O52,"")</f>
        <v/>
      </c>
      <c r="BP52" t="inlineStr">
        <is>
          <t>Ecoa</t>
        </is>
      </c>
    </row>
    <row r="53">
      <c r="O53">
        <f>IF(ISBLANK(DADOS_AM!$BC$53),"",DADOS_AM!$BC$53)</f>
        <v/>
      </c>
      <c r="P53">
        <f>IF(ISBLANK(DADOS_AM!$BD$53),"",DADOS_AM!$BD$53)</f>
        <v/>
      </c>
      <c r="Q53">
        <f>IF(ISBLANK(DADOS_AM!$BE$53),"",DADOS_AM!$BE$53)</f>
        <v/>
      </c>
      <c r="R53">
        <f>IF(ISBLANK(DADOS_AM!$BF$53),"",DADOS_AM!$BF$53)</f>
        <v/>
      </c>
      <c r="S53">
        <f>IF(ISBLANK(DADOS_AM!$BG$53),"",DADOS_AM!$BG$53)</f>
        <v/>
      </c>
      <c r="T53">
        <f>IF(ISBLANK(DADOS_AM!$BH$53),"",DADOS_AM!$BH$53)</f>
        <v/>
      </c>
      <c r="U53">
        <f>IF(ISBLANK(DADOS_AM!$BI$53),"",DADOS_AM!$BI$53)</f>
        <v/>
      </c>
      <c r="V53">
        <f>IF(ISBLANK(DADOS_AM!$BJ$53),"",DADOS_AM!$BJ$53)</f>
        <v/>
      </c>
      <c r="W53">
        <f>IF(ISBLANK(DADOS_AM!$BK$53),"",DADOS_AM!$BK$53)</f>
        <v/>
      </c>
      <c r="X53" t="inlineStr">
        <is>
          <t>Acúmulo</t>
        </is>
      </c>
      <c r="Y53" t="n">
        <v>0</v>
      </c>
      <c r="AG53">
        <f>O53</f>
        <v/>
      </c>
      <c r="AH53">
        <f>P53</f>
        <v/>
      </c>
      <c r="AI53">
        <f>Q53</f>
        <v/>
      </c>
      <c r="AJ53">
        <f>T53</f>
        <v/>
      </c>
      <c r="AK53">
        <f>Y53</f>
        <v/>
      </c>
      <c r="AL53">
        <f>W53</f>
        <v/>
      </c>
      <c r="AN53">
        <f>IF(OR(P53="",P53='DADOS_INVOC'!$EL$2,P53='DADOS_INVOC'!$EM$2,P53='DADOS_INVOC'!$EN$2,P53='DADOS_INVOC'!$EO$2,P53='DADOS_INVOC'!$EP$2,P53='DADOS_INVOC'!$QV$2,P53='DADOS_INVOC'!$QW$2,P53='DADOS_INVOC'!$QX$2,P53='DADOS_INVOC'!$QY$2),O53,"")</f>
        <v/>
      </c>
      <c r="AO53">
        <f>IF(AND(Q53=1,OR(P53="",P53='DADOS_INVOC'!$EL$2,P53='DADOS_INVOC'!$EM$2,P53='DADOS_INVOC'!$EN$2,P53='DADOS_INVOC'!$EO$2,P53='DADOS_INVOC'!$EP$2,P53='DADOS_INVOC'!$QV$2,P53='DADOS_INVOC'!$QW$2,P53='DADOS_INVOC'!$QX$2,P53='DADOS_INVOC'!$QY$2)),O53,"")</f>
        <v/>
      </c>
      <c r="AP53">
        <f>IF(OR(P53="",P53='DADOS_INVOC'!$EL$3,P53='DADOS_INVOC'!$EM$3,P53='DADOS_INVOC'!$EN$3,P53='DADOS_INVOC'!$EO$3,P53='DADOS_INVOC'!$EP$3,P53='DADOS_INVOC'!$QV$3,P53='DADOS_INVOC'!$QW$3,P53='DADOS_INVOC'!$QX$3,P53='DADOS_INVOC'!$QY$3),O53,"")</f>
        <v/>
      </c>
      <c r="AQ53">
        <f>IF(AND(Q53=1,OR(P53="",P53='DADOS_INVOC'!$EL$3,P53='DADOS_INVOC'!$EM$3,P53='DADOS_INVOC'!$EN$3,P53='DADOS_INVOC'!$EO$3,P53='DADOS_INVOC'!$EP$3,P53='DADOS_INVOC'!$QV$3,P53='DADOS_INVOC'!$QW$3,P53='DADOS_INVOC'!$QX$3,P53='DADOS_INVOC'!$QY$3)),O53,"")</f>
        <v/>
      </c>
      <c r="AR53">
        <f>IF(OR(P53="",P53='DADOS_INVOC'!$EL$4,P53='DADOS_INVOC'!$EM$4,P53='DADOS_INVOC'!$EN$4,P53='DADOS_INVOC'!$EO$4,P53='DADOS_INVOC'!$EP$4,P53='DADOS_INVOC'!$QV$4,P53='DADOS_INVOC'!$QW$4,P53='DADOS_INVOC'!$QX$4,P53='DADOS_INVOC'!$QY$4),O53,"")</f>
        <v/>
      </c>
      <c r="AS53">
        <f>IF(AND(Q53=1,OR(P53="",P53='DADOS_INVOC'!$EL$4,P53='DADOS_INVOC'!$EM$4,P53='DADOS_INVOC'!$EN$4,P53='DADOS_INVOC'!$EO$4,P53='DADOS_INVOC'!$EP$4,P53='DADOS_INVOC'!$QV$4,P53='DADOS_INVOC'!$QW$4,P53='DADOS_INVOC'!$QX$4,P53='DADOS_INVOC'!$QY$4)),O53,"")</f>
        <v/>
      </c>
      <c r="AT53">
        <f>IF(OR(P53="",P53='DADOS_INVOC'!$EL$5,P53='DADOS_INVOC'!$EM$5,P53='DADOS_INVOC'!$EN$5,P53='DADOS_INVOC'!$EO$5,P53='DADOS_INVOC'!$EP$5,P53='DADOS_INVOC'!$QV$5,P53='DADOS_INVOC'!$QW$5,P53='DADOS_INVOC'!$QX$5,P53='DADOS_INVOC'!$QY$5),O53,"")</f>
        <v/>
      </c>
      <c r="AU53">
        <f>IF(AND(Q53=1,OR(P53="",P53='DADOS_INVOC'!$EL$5,P53='DADOS_INVOC'!$EM$5,P53='DADOS_INVOC'!$EN$5,P53='DADOS_INVOC'!$EO$5,P53='DADOS_INVOC'!$EP$5,P53='DADOS_INVOC'!$QV$5,P53='DADOS_INVOC'!$QW$5,P53='DADOS_INVOC'!$QX$5,P53='DADOS_INVOC'!$QY$5)),O53,"")</f>
        <v/>
      </c>
      <c r="AV53">
        <f>IF(OR(P53="",P53='DADOS_INVOC'!$EL$6,P53='DADOS_INVOC'!$EM$6,P53='DADOS_INVOC'!$EN$6,P53='DADOS_INVOC'!$EO$6,P53='DADOS_INVOC'!$EP$6,P53='DADOS_INVOC'!$QV$6,P53='DADOS_INVOC'!$QW$6,P53='DADOS_INVOC'!$QX$6,P53='DADOS_INVOC'!$QY$6),O53,"")</f>
        <v/>
      </c>
      <c r="AW53">
        <f>IF(AND(Q53=1,OR(P53="",P53='DADOS_INVOC'!$EL$6,P53='DADOS_INVOC'!$EM$6,P53='DADOS_INVOC'!$EN$6,P53='DADOS_INVOC'!$EO$6,P53='DADOS_INVOC'!$EP$6,P53='DADOS_INVOC'!$QV$6,P53='DADOS_INVOC'!$QW$6,P53='DADOS_INVOC'!$QX$6,P53='DADOS_INVOC'!$QY$6)),O53,"")</f>
        <v/>
      </c>
      <c r="AX53">
        <f>IF(OR(P53="",P53='DADOS_INVOC'!$EL$7,P53='DADOS_INVOC'!$EM$7,P53='DADOS_INVOC'!$EN$7,P53='DADOS_INVOC'!$EO$7,P53='DADOS_INVOC'!$EP$7,P53='DADOS_INVOC'!$QV$7,P53='DADOS_INVOC'!$QW$7,P53='DADOS_INVOC'!$QX$7,P53='DADOS_INVOC'!$QY$7),O53,"")</f>
        <v/>
      </c>
      <c r="AY53">
        <f>IF(AND(Q53=1,OR(P53="",P53='DADOS_INVOC'!$EL$7,P53='DADOS_INVOC'!$EM$7,P53='DADOS_INVOC'!$EN$7,P53='DADOS_INVOC'!$EO$7,P53='DADOS_INVOC'!$EP$7,P53='DADOS_INVOC'!$QV$7,P53='DADOS_INVOC'!$QW$7,P53='DADOS_INVOC'!$QX$7,P53='DADOS_INVOC'!$QY$7)),O53,"")</f>
        <v/>
      </c>
      <c r="AZ53">
        <f>IF(OR(P53="",P53='DADOS_INVOC'!$EL$8,P53='DADOS_INVOC'!$EM$8,P53='DADOS_INVOC'!$EN$8,P53='DADOS_INVOC'!$EO$8,P53='DADOS_INVOC'!$EP$8,P53='DADOS_INVOC'!$QV$8,P53='DADOS_INVOC'!$QW$8,P53='DADOS_INVOC'!$QX$8,P53='DADOS_INVOC'!$QY$8),O53,"")</f>
        <v/>
      </c>
      <c r="BA53">
        <f>IF(AND(Q53=1,OR(P53="",P53='DADOS_INVOC'!$EL$8,P53='DADOS_INVOC'!$EM$8,P53='DADOS_INVOC'!$EN$8,P53='DADOS_INVOC'!$EO$8,P53='DADOS_INVOC'!$EP$8,P53='DADOS_INVOC'!$QV$8,P53='DADOS_INVOC'!$QW$8,P53='DADOS_INVOC'!$QX$8,P53='DADOS_INVOC'!$QY$8)),O53,"")</f>
        <v/>
      </c>
      <c r="BB53">
        <f>IF(OR(P53="",P53='DADOS_INVOC'!$EL$9,P53='DADOS_INVOC'!$EM$9,P53='DADOS_INVOC'!$EN$9,P53='DADOS_INVOC'!$EO$9,P53='DADOS_INVOC'!$EP$9,P53='DADOS_INVOC'!$QV$9,P53='DADOS_INVOC'!$QW$9,P53='DADOS_INVOC'!$QX$9,P53='DADOS_INVOC'!$QY$9),O53,"")</f>
        <v/>
      </c>
      <c r="BC53">
        <f>IF(AND(Q53=1,OR(P53="",P53='DADOS_INVOC'!$EL$9,P53='DADOS_INVOC'!$EM$9,P53='DADOS_INVOC'!$EN$9,P53='DADOS_INVOC'!$EO$9,P53='DADOS_INVOC'!$EP$9,P53='DADOS_INVOC'!$QV$9,P53='DADOS_INVOC'!$QW$9,P53='DADOS_INVOC'!$QX$9,P53='DADOS_INVOC'!$QY$9)),O53,"")</f>
        <v/>
      </c>
      <c r="BD53">
        <f>IF(OR(P53="",P53='DADOS_INVOC'!$EL$10,P53='DADOS_INVOC'!$EM$10,P53='DADOS_INVOC'!$EN$10,P53='DADOS_INVOC'!$EO$10,P53='DADOS_INVOC'!$EP$10,P53='DADOS_INVOC'!$QV$10,P53='DADOS_INVOC'!$QW$10,P53='DADOS_INVOC'!$QX$10,P53='DADOS_INVOC'!$QY$10),O53,"")</f>
        <v/>
      </c>
      <c r="BE53">
        <f>IF(AND(Q53=1,OR(P53="",P53='DADOS_INVOC'!$EL$10,P53='DADOS_INVOC'!$EM$10,P53='DADOS_INVOC'!$EN$10,P53='DADOS_INVOC'!$EO$10,P53='DADOS_INVOC'!$EP$10,P53='DADOS_INVOC'!$QV$10,P53='DADOS_INVOC'!$QW$10,P53='DADOS_INVOC'!$QX$10,P53='DADOS_INVOC'!$QY$10)),O53,"")</f>
        <v/>
      </c>
      <c r="BF53">
        <f>IF(OR(P53="",P53='DADOS_INVOC'!$EL$11,P53='DADOS_INVOC'!$EM$11,P53='DADOS_INVOC'!$EN$11,P53='DADOS_INVOC'!$EO$11,P53='DADOS_INVOC'!$EP$11,P53='DADOS_INVOC'!$QV$11,P53='DADOS_INVOC'!$QW$11,P53='DADOS_INVOC'!$QX$11,P53='DADOS_INVOC'!$QY$11),O53,"")</f>
        <v/>
      </c>
      <c r="BG53">
        <f>IF(AND(Q53=1,OR(P53="",P53='DADOS_INVOC'!$EL$11,P53='DADOS_INVOC'!$EM$11,P53='DADOS_INVOC'!$EN$11,P53='DADOS_INVOC'!$EO$11,P53='DADOS_INVOC'!$EP$11,P53='DADOS_INVOC'!$QV$11,P53='DADOS_INVOC'!$QW$11,P53='DADOS_INVOC'!$QX$11,P53='DADOS_INVOC'!$QY$11)),O53,"")</f>
        <v/>
      </c>
      <c r="BH53">
        <f>IF(OR(P53="",P53='DADOS_INVOC'!$EL$12,P53='DADOS_INVOC'!$EM$12,P53='DADOS_INVOC'!$EN$12,P53='DADOS_INVOC'!$EO$12,P53='DADOS_INVOC'!$EP$12,P53='DADOS_INVOC'!$QV$12,P53='DADOS_INVOC'!$QW$12,P53='DADOS_INVOC'!$QX$12,P53='DADOS_INVOC'!$QY$12),O53,"")</f>
        <v/>
      </c>
      <c r="BI53">
        <f>IF(AND(Q53=1,OR(P53="",P53='DADOS_INVOC'!$EL$12,P53='DADOS_INVOC'!$EM$12,P53='DADOS_INVOC'!$EN$12,P53='DADOS_INVOC'!$EO$12,P53='DADOS_INVOC'!$EP$12,P53='DADOS_INVOC'!$QV$12,P53='DADOS_INVOC'!$QW$12,P53='DADOS_INVOC'!$QX$12,P53='DADOS_INVOC'!$QY$12)),O53,"")</f>
        <v/>
      </c>
      <c r="BJ53">
        <f>IF(OR(P53="",P53='DADOS_INVOC'!$EL$13,P53='DADOS_INVOC'!$EM$13,P53='DADOS_INVOC'!$EN$13,P53='DADOS_INVOC'!$EO$13,P53='DADOS_INVOC'!$EP$13,P53='DADOS_INVOC'!$QV$13,P53='DADOS_INVOC'!$QW$13,P53='DADOS_INVOC'!$QX$13,P53='DADOS_INVOC'!$QY$13),O53,"")</f>
        <v/>
      </c>
      <c r="BK53">
        <f>IF(AND(Q53=1,OR(P53="",P53='DADOS_INVOC'!$EL$13,P53='DADOS_INVOC'!$EM$13,P53='DADOS_INVOC'!$EN$13,P53='DADOS_INVOC'!$EO$13,P53='DADOS_INVOC'!$EP$13,P53='DADOS_INVOC'!$QV$13,P53='DADOS_INVOC'!$QW$13,P53='DADOS_INVOC'!$QX$13,P53='DADOS_INVOC'!$QY$13)),O53,"")</f>
        <v/>
      </c>
      <c r="BP53" t="inlineStr">
        <is>
          <t>Queima</t>
        </is>
      </c>
    </row>
    <row r="54">
      <c r="O54">
        <f>IF(ISBLANK(DADOS_AM!$BC$54),"",DADOS_AM!$BC$54)</f>
        <v/>
      </c>
      <c r="P54">
        <f>IF(ISBLANK(DADOS_AM!$BD$54),"",DADOS_AM!$BD$54)</f>
        <v/>
      </c>
      <c r="Q54">
        <f>IF(ISBLANK(DADOS_AM!$BE$54),"",DADOS_AM!$BE$54)</f>
        <v/>
      </c>
      <c r="R54">
        <f>IF(ISBLANK(DADOS_AM!$BF$54),"",DADOS_AM!$BF$54)</f>
        <v/>
      </c>
      <c r="S54">
        <f>IF(ISBLANK(DADOS_AM!$BG$54),"",DADOS_AM!$BG$54)</f>
        <v/>
      </c>
      <c r="T54">
        <f>IF(ISBLANK(DADOS_AM!$BH$54),"",DADOS_AM!$BH$54)</f>
        <v/>
      </c>
      <c r="U54">
        <f>IF(ISBLANK(DADOS_AM!$BI$54),"",DADOS_AM!$BI$54)</f>
        <v/>
      </c>
      <c r="V54">
        <f>IF(ISBLANK(DADOS_AM!$BJ$54),"",DADOS_AM!$BJ$54)</f>
        <v/>
      </c>
      <c r="W54">
        <f>IF(ISBLANK(DADOS_AM!$BK$54),"",DADOS_AM!$BK$54)</f>
        <v/>
      </c>
      <c r="X54" t="inlineStr">
        <is>
          <t>Remate</t>
        </is>
      </c>
      <c r="Y54" t="n">
        <v>0</v>
      </c>
      <c r="AG54">
        <f>O54</f>
        <v/>
      </c>
      <c r="AH54">
        <f>P54</f>
        <v/>
      </c>
      <c r="AI54">
        <f>Q54</f>
        <v/>
      </c>
      <c r="AJ54">
        <f>T54</f>
        <v/>
      </c>
      <c r="AK54">
        <f>Y54</f>
        <v/>
      </c>
      <c r="AL54">
        <f>W54</f>
        <v/>
      </c>
      <c r="AN54">
        <f>IF(OR(P54="",P54='DADOS_INVOC'!$EL$2,P54='DADOS_INVOC'!$EM$2,P54='DADOS_INVOC'!$EN$2,P54='DADOS_INVOC'!$EO$2,P54='DADOS_INVOC'!$EP$2,P54='DADOS_INVOC'!$QV$2,P54='DADOS_INVOC'!$QW$2,P54='DADOS_INVOC'!$QX$2,P54='DADOS_INVOC'!$QY$2),O54,"")</f>
        <v/>
      </c>
      <c r="AO54">
        <f>IF(AND(Q54=1,OR(P54="",P54='DADOS_INVOC'!$EL$2,P54='DADOS_INVOC'!$EM$2,P54='DADOS_INVOC'!$EN$2,P54='DADOS_INVOC'!$EO$2,P54='DADOS_INVOC'!$EP$2,P54='DADOS_INVOC'!$QV$2,P54='DADOS_INVOC'!$QW$2,P54='DADOS_INVOC'!$QX$2,P54='DADOS_INVOC'!$QY$2)),O54,"")</f>
        <v/>
      </c>
      <c r="AP54">
        <f>IF(OR(P54="",P54='DADOS_INVOC'!$EL$3,P54='DADOS_INVOC'!$EM$3,P54='DADOS_INVOC'!$EN$3,P54='DADOS_INVOC'!$EO$3,P54='DADOS_INVOC'!$EP$3,P54='DADOS_INVOC'!$QV$3,P54='DADOS_INVOC'!$QW$3,P54='DADOS_INVOC'!$QX$3,P54='DADOS_INVOC'!$QY$3),O54,"")</f>
        <v/>
      </c>
      <c r="AQ54">
        <f>IF(AND(Q54=1,OR(P54="",P54='DADOS_INVOC'!$EL$3,P54='DADOS_INVOC'!$EM$3,P54='DADOS_INVOC'!$EN$3,P54='DADOS_INVOC'!$EO$3,P54='DADOS_INVOC'!$EP$3,P54='DADOS_INVOC'!$QV$3,P54='DADOS_INVOC'!$QW$3,P54='DADOS_INVOC'!$QX$3,P54='DADOS_INVOC'!$QY$3)),O54,"")</f>
        <v/>
      </c>
      <c r="AR54">
        <f>IF(OR(P54="",P54='DADOS_INVOC'!$EL$4,P54='DADOS_INVOC'!$EM$4,P54='DADOS_INVOC'!$EN$4,P54='DADOS_INVOC'!$EO$4,P54='DADOS_INVOC'!$EP$4,P54='DADOS_INVOC'!$QV$4,P54='DADOS_INVOC'!$QW$4,P54='DADOS_INVOC'!$QX$4,P54='DADOS_INVOC'!$QY$4),O54,"")</f>
        <v/>
      </c>
      <c r="AS54">
        <f>IF(AND(Q54=1,OR(P54="",P54='DADOS_INVOC'!$EL$4,P54='DADOS_INVOC'!$EM$4,P54='DADOS_INVOC'!$EN$4,P54='DADOS_INVOC'!$EO$4,P54='DADOS_INVOC'!$EP$4,P54='DADOS_INVOC'!$QV$4,P54='DADOS_INVOC'!$QW$4,P54='DADOS_INVOC'!$QX$4,P54='DADOS_INVOC'!$QY$4)),O54,"")</f>
        <v/>
      </c>
      <c r="AT54">
        <f>IF(OR(P54="",P54='DADOS_INVOC'!$EL$5,P54='DADOS_INVOC'!$EM$5,P54='DADOS_INVOC'!$EN$5,P54='DADOS_INVOC'!$EO$5,P54='DADOS_INVOC'!$EP$5,P54='DADOS_INVOC'!$QV$5,P54='DADOS_INVOC'!$QW$5,P54='DADOS_INVOC'!$QX$5,P54='DADOS_INVOC'!$QY$5),O54,"")</f>
        <v/>
      </c>
      <c r="AU54">
        <f>IF(AND(Q54=1,OR(P54="",P54='DADOS_INVOC'!$EL$5,P54='DADOS_INVOC'!$EM$5,P54='DADOS_INVOC'!$EN$5,P54='DADOS_INVOC'!$EO$5,P54='DADOS_INVOC'!$EP$5,P54='DADOS_INVOC'!$QV$5,P54='DADOS_INVOC'!$QW$5,P54='DADOS_INVOC'!$QX$5,P54='DADOS_INVOC'!$QY$5)),O54,"")</f>
        <v/>
      </c>
      <c r="AV54">
        <f>IF(OR(P54="",P54='DADOS_INVOC'!$EL$6,P54='DADOS_INVOC'!$EM$6,P54='DADOS_INVOC'!$EN$6,P54='DADOS_INVOC'!$EO$6,P54='DADOS_INVOC'!$EP$6,P54='DADOS_INVOC'!$QV$6,P54='DADOS_INVOC'!$QW$6,P54='DADOS_INVOC'!$QX$6,P54='DADOS_INVOC'!$QY$6),O54,"")</f>
        <v/>
      </c>
      <c r="AW54">
        <f>IF(AND(Q54=1,OR(P54="",P54='DADOS_INVOC'!$EL$6,P54='DADOS_INVOC'!$EM$6,P54='DADOS_INVOC'!$EN$6,P54='DADOS_INVOC'!$EO$6,P54='DADOS_INVOC'!$EP$6,P54='DADOS_INVOC'!$QV$6,P54='DADOS_INVOC'!$QW$6,P54='DADOS_INVOC'!$QX$6,P54='DADOS_INVOC'!$QY$6)),O54,"")</f>
        <v/>
      </c>
      <c r="AX54">
        <f>IF(OR(P54="",P54='DADOS_INVOC'!$EL$7,P54='DADOS_INVOC'!$EM$7,P54='DADOS_INVOC'!$EN$7,P54='DADOS_INVOC'!$EO$7,P54='DADOS_INVOC'!$EP$7,P54='DADOS_INVOC'!$QV$7,P54='DADOS_INVOC'!$QW$7,P54='DADOS_INVOC'!$QX$7,P54='DADOS_INVOC'!$QY$7),O54,"")</f>
        <v/>
      </c>
      <c r="AY54">
        <f>IF(AND(Q54=1,OR(P54="",P54='DADOS_INVOC'!$EL$7,P54='DADOS_INVOC'!$EM$7,P54='DADOS_INVOC'!$EN$7,P54='DADOS_INVOC'!$EO$7,P54='DADOS_INVOC'!$EP$7,P54='DADOS_INVOC'!$QV$7,P54='DADOS_INVOC'!$QW$7,P54='DADOS_INVOC'!$QX$7,P54='DADOS_INVOC'!$QY$7)),O54,"")</f>
        <v/>
      </c>
      <c r="AZ54">
        <f>IF(OR(P54="",P54='DADOS_INVOC'!$EL$8,P54='DADOS_INVOC'!$EM$8,P54='DADOS_INVOC'!$EN$8,P54='DADOS_INVOC'!$EO$8,P54='DADOS_INVOC'!$EP$8,P54='DADOS_INVOC'!$QV$8,P54='DADOS_INVOC'!$QW$8,P54='DADOS_INVOC'!$QX$8,P54='DADOS_INVOC'!$QY$8),O54,"")</f>
        <v/>
      </c>
      <c r="BA54">
        <f>IF(AND(Q54=1,OR(P54="",P54='DADOS_INVOC'!$EL$8,P54='DADOS_INVOC'!$EM$8,P54='DADOS_INVOC'!$EN$8,P54='DADOS_INVOC'!$EO$8,P54='DADOS_INVOC'!$EP$8,P54='DADOS_INVOC'!$QV$8,P54='DADOS_INVOC'!$QW$8,P54='DADOS_INVOC'!$QX$8,P54='DADOS_INVOC'!$QY$8)),O54,"")</f>
        <v/>
      </c>
      <c r="BB54">
        <f>IF(OR(P54="",P54='DADOS_INVOC'!$EL$9,P54='DADOS_INVOC'!$EM$9,P54='DADOS_INVOC'!$EN$9,P54='DADOS_INVOC'!$EO$9,P54='DADOS_INVOC'!$EP$9,P54='DADOS_INVOC'!$QV$9,P54='DADOS_INVOC'!$QW$9,P54='DADOS_INVOC'!$QX$9,P54='DADOS_INVOC'!$QY$9),O54,"")</f>
        <v/>
      </c>
      <c r="BC54">
        <f>IF(AND(Q54=1,OR(P54="",P54='DADOS_INVOC'!$EL$9,P54='DADOS_INVOC'!$EM$9,P54='DADOS_INVOC'!$EN$9,P54='DADOS_INVOC'!$EO$9,P54='DADOS_INVOC'!$EP$9,P54='DADOS_INVOC'!$QV$9,P54='DADOS_INVOC'!$QW$9,P54='DADOS_INVOC'!$QX$9,P54='DADOS_INVOC'!$QY$9)),O54,"")</f>
        <v/>
      </c>
      <c r="BD54">
        <f>IF(OR(P54="",P54='DADOS_INVOC'!$EL$10,P54='DADOS_INVOC'!$EM$10,P54='DADOS_INVOC'!$EN$10,P54='DADOS_INVOC'!$EO$10,P54='DADOS_INVOC'!$EP$10,P54='DADOS_INVOC'!$QV$10,P54='DADOS_INVOC'!$QW$10,P54='DADOS_INVOC'!$QX$10,P54='DADOS_INVOC'!$QY$10),O54,"")</f>
        <v/>
      </c>
      <c r="BE54">
        <f>IF(AND(Q54=1,OR(P54="",P54='DADOS_INVOC'!$EL$10,P54='DADOS_INVOC'!$EM$10,P54='DADOS_INVOC'!$EN$10,P54='DADOS_INVOC'!$EO$10,P54='DADOS_INVOC'!$EP$10,P54='DADOS_INVOC'!$QV$10,P54='DADOS_INVOC'!$QW$10,P54='DADOS_INVOC'!$QX$10,P54='DADOS_INVOC'!$QY$10)),O54,"")</f>
        <v/>
      </c>
      <c r="BF54">
        <f>IF(OR(P54="",P54='DADOS_INVOC'!$EL$11,P54='DADOS_INVOC'!$EM$11,P54='DADOS_INVOC'!$EN$11,P54='DADOS_INVOC'!$EO$11,P54='DADOS_INVOC'!$EP$11,P54='DADOS_INVOC'!$QV$11,P54='DADOS_INVOC'!$QW$11,P54='DADOS_INVOC'!$QX$11,P54='DADOS_INVOC'!$QY$11),O54,"")</f>
        <v/>
      </c>
      <c r="BG54">
        <f>IF(AND(Q54=1,OR(P54="",P54='DADOS_INVOC'!$EL$11,P54='DADOS_INVOC'!$EM$11,P54='DADOS_INVOC'!$EN$11,P54='DADOS_INVOC'!$EO$11,P54='DADOS_INVOC'!$EP$11,P54='DADOS_INVOC'!$QV$11,P54='DADOS_INVOC'!$QW$11,P54='DADOS_INVOC'!$QX$11,P54='DADOS_INVOC'!$QY$11)),O54,"")</f>
        <v/>
      </c>
      <c r="BH54">
        <f>IF(OR(P54="",P54='DADOS_INVOC'!$EL$12,P54='DADOS_INVOC'!$EM$12,P54='DADOS_INVOC'!$EN$12,P54='DADOS_INVOC'!$EO$12,P54='DADOS_INVOC'!$EP$12,P54='DADOS_INVOC'!$QV$12,P54='DADOS_INVOC'!$QW$12,P54='DADOS_INVOC'!$QX$12,P54='DADOS_INVOC'!$QY$12),O54,"")</f>
        <v/>
      </c>
      <c r="BI54">
        <f>IF(AND(Q54=1,OR(P54="",P54='DADOS_INVOC'!$EL$12,P54='DADOS_INVOC'!$EM$12,P54='DADOS_INVOC'!$EN$12,P54='DADOS_INVOC'!$EO$12,P54='DADOS_INVOC'!$EP$12,P54='DADOS_INVOC'!$QV$12,P54='DADOS_INVOC'!$QW$12,P54='DADOS_INVOC'!$QX$12,P54='DADOS_INVOC'!$QY$12)),O54,"")</f>
        <v/>
      </c>
      <c r="BJ54">
        <f>IF(OR(P54="",P54='DADOS_INVOC'!$EL$13,P54='DADOS_INVOC'!$EM$13,P54='DADOS_INVOC'!$EN$13,P54='DADOS_INVOC'!$EO$13,P54='DADOS_INVOC'!$EP$13,P54='DADOS_INVOC'!$QV$13,P54='DADOS_INVOC'!$QW$13,P54='DADOS_INVOC'!$QX$13,P54='DADOS_INVOC'!$QY$13),O54,"")</f>
        <v/>
      </c>
      <c r="BK54">
        <f>IF(AND(Q54=1,OR(P54="",P54='DADOS_INVOC'!$EL$13,P54='DADOS_INVOC'!$EM$13,P54='DADOS_INVOC'!$EN$13,P54='DADOS_INVOC'!$EO$13,P54='DADOS_INVOC'!$EP$13,P54='DADOS_INVOC'!$QV$13,P54='DADOS_INVOC'!$QW$13,P54='DADOS_INVOC'!$QX$13,P54='DADOS_INVOC'!$QY$13)),O54,"")</f>
        <v/>
      </c>
      <c r="BP54" t="inlineStr">
        <is>
          <t>Acúmulo</t>
        </is>
      </c>
    </row>
    <row r="55">
      <c r="O55">
        <f>IF(ISBLANK(DADOS_AM!$BC$55),"",DADOS_AM!$BC$55)</f>
        <v/>
      </c>
      <c r="P55">
        <f>IF(ISBLANK(DADOS_AM!$BD$55),"",DADOS_AM!$BD$55)</f>
        <v/>
      </c>
      <c r="Q55">
        <f>IF(ISBLANK(DADOS_AM!$BE$55),"",DADOS_AM!$BE$55)</f>
        <v/>
      </c>
      <c r="R55">
        <f>IF(ISBLANK(DADOS_AM!$BF$55),"",DADOS_AM!$BF$55)</f>
        <v/>
      </c>
      <c r="S55">
        <f>IF(ISBLANK(DADOS_AM!$BG$55),"",DADOS_AM!$BG$55)</f>
        <v/>
      </c>
      <c r="T55">
        <f>IF(ISBLANK(DADOS_AM!$BH$55),"",DADOS_AM!$BH$55)</f>
        <v/>
      </c>
      <c r="U55">
        <f>IF(ISBLANK(DADOS_AM!$BI$55),"",DADOS_AM!$BI$55)</f>
        <v/>
      </c>
      <c r="V55">
        <f>IF(ISBLANK(DADOS_AM!$BJ$55),"",DADOS_AM!$BJ$55)</f>
        <v/>
      </c>
      <c r="W55">
        <f>IF(ISBLANK(DADOS_AM!$BK$55),"",DADOS_AM!$BK$55)</f>
        <v/>
      </c>
      <c r="X55" t="inlineStr">
        <is>
          <t>Estilhaço</t>
        </is>
      </c>
      <c r="Y55" t="n">
        <v>0</v>
      </c>
      <c r="AG55">
        <f>O55</f>
        <v/>
      </c>
      <c r="AH55">
        <f>P55</f>
        <v/>
      </c>
      <c r="AI55">
        <f>Q55</f>
        <v/>
      </c>
      <c r="AJ55">
        <f>T55</f>
        <v/>
      </c>
      <c r="AK55">
        <f>Y55</f>
        <v/>
      </c>
      <c r="AL55">
        <f>W55</f>
        <v/>
      </c>
      <c r="AN55">
        <f>IF(OR(P55="",P55='DADOS_INVOC'!$EL$2,P55='DADOS_INVOC'!$EM$2,P55='DADOS_INVOC'!$EN$2,P55='DADOS_INVOC'!$EO$2,P55='DADOS_INVOC'!$EP$2,P55='DADOS_INVOC'!$QV$2,P55='DADOS_INVOC'!$QW$2,P55='DADOS_INVOC'!$QX$2,P55='DADOS_INVOC'!$QY$2),O55,"")</f>
        <v/>
      </c>
      <c r="AO55">
        <f>IF(AND(Q55=1,OR(P55="",P55='DADOS_INVOC'!$EL$2,P55='DADOS_INVOC'!$EM$2,P55='DADOS_INVOC'!$EN$2,P55='DADOS_INVOC'!$EO$2,P55='DADOS_INVOC'!$EP$2,P55='DADOS_INVOC'!$QV$2,P55='DADOS_INVOC'!$QW$2,P55='DADOS_INVOC'!$QX$2,P55='DADOS_INVOC'!$QY$2)),O55,"")</f>
        <v/>
      </c>
      <c r="AP55">
        <f>IF(OR(P55="",P55='DADOS_INVOC'!$EL$3,P55='DADOS_INVOC'!$EM$3,P55='DADOS_INVOC'!$EN$3,P55='DADOS_INVOC'!$EO$3,P55='DADOS_INVOC'!$EP$3,P55='DADOS_INVOC'!$QV$3,P55='DADOS_INVOC'!$QW$3,P55='DADOS_INVOC'!$QX$3,P55='DADOS_INVOC'!$QY$3),O55,"")</f>
        <v/>
      </c>
      <c r="AQ55">
        <f>IF(AND(Q55=1,OR(P55="",P55='DADOS_INVOC'!$EL$3,P55='DADOS_INVOC'!$EM$3,P55='DADOS_INVOC'!$EN$3,P55='DADOS_INVOC'!$EO$3,P55='DADOS_INVOC'!$EP$3,P55='DADOS_INVOC'!$QV$3,P55='DADOS_INVOC'!$QW$3,P55='DADOS_INVOC'!$QX$3,P55='DADOS_INVOC'!$QY$3)),O55,"")</f>
        <v/>
      </c>
      <c r="AR55">
        <f>IF(OR(P55="",P55='DADOS_INVOC'!$EL$4,P55='DADOS_INVOC'!$EM$4,P55='DADOS_INVOC'!$EN$4,P55='DADOS_INVOC'!$EO$4,P55='DADOS_INVOC'!$EP$4,P55='DADOS_INVOC'!$QV$4,P55='DADOS_INVOC'!$QW$4,P55='DADOS_INVOC'!$QX$4,P55='DADOS_INVOC'!$QY$4),O55,"")</f>
        <v/>
      </c>
      <c r="AS55">
        <f>IF(AND(Q55=1,OR(P55="",P55='DADOS_INVOC'!$EL$4,P55='DADOS_INVOC'!$EM$4,P55='DADOS_INVOC'!$EN$4,P55='DADOS_INVOC'!$EO$4,P55='DADOS_INVOC'!$EP$4,P55='DADOS_INVOC'!$QV$4,P55='DADOS_INVOC'!$QW$4,P55='DADOS_INVOC'!$QX$4,P55='DADOS_INVOC'!$QY$4)),O55,"")</f>
        <v/>
      </c>
      <c r="AT55">
        <f>IF(OR(P55="",P55='DADOS_INVOC'!$EL$5,P55='DADOS_INVOC'!$EM$5,P55='DADOS_INVOC'!$EN$5,P55='DADOS_INVOC'!$EO$5,P55='DADOS_INVOC'!$EP$5,P55='DADOS_INVOC'!$QV$5,P55='DADOS_INVOC'!$QW$5,P55='DADOS_INVOC'!$QX$5,P55='DADOS_INVOC'!$QY$5),O55,"")</f>
        <v/>
      </c>
      <c r="AU55">
        <f>IF(AND(Q55=1,OR(P55="",P55='DADOS_INVOC'!$EL$5,P55='DADOS_INVOC'!$EM$5,P55='DADOS_INVOC'!$EN$5,P55='DADOS_INVOC'!$EO$5,P55='DADOS_INVOC'!$EP$5,P55='DADOS_INVOC'!$QV$5,P55='DADOS_INVOC'!$QW$5,P55='DADOS_INVOC'!$QX$5,P55='DADOS_INVOC'!$QY$5)),O55,"")</f>
        <v/>
      </c>
      <c r="AV55">
        <f>IF(OR(P55="",P55='DADOS_INVOC'!$EL$6,P55='DADOS_INVOC'!$EM$6,P55='DADOS_INVOC'!$EN$6,P55='DADOS_INVOC'!$EO$6,P55='DADOS_INVOC'!$EP$6,P55='DADOS_INVOC'!$QV$6,P55='DADOS_INVOC'!$QW$6,P55='DADOS_INVOC'!$QX$6,P55='DADOS_INVOC'!$QY$6),O55,"")</f>
        <v/>
      </c>
      <c r="AW55">
        <f>IF(AND(Q55=1,OR(P55="",P55='DADOS_INVOC'!$EL$6,P55='DADOS_INVOC'!$EM$6,P55='DADOS_INVOC'!$EN$6,P55='DADOS_INVOC'!$EO$6,P55='DADOS_INVOC'!$EP$6,P55='DADOS_INVOC'!$QV$6,P55='DADOS_INVOC'!$QW$6,P55='DADOS_INVOC'!$QX$6,P55='DADOS_INVOC'!$QY$6)),O55,"")</f>
        <v/>
      </c>
      <c r="AX55">
        <f>IF(OR(P55="",P55='DADOS_INVOC'!$EL$7,P55='DADOS_INVOC'!$EM$7,P55='DADOS_INVOC'!$EN$7,P55='DADOS_INVOC'!$EO$7,P55='DADOS_INVOC'!$EP$7,P55='DADOS_INVOC'!$QV$7,P55='DADOS_INVOC'!$QW$7,P55='DADOS_INVOC'!$QX$7,P55='DADOS_INVOC'!$QY$7),O55,"")</f>
        <v/>
      </c>
      <c r="AY55">
        <f>IF(AND(Q55=1,OR(P55="",P55='DADOS_INVOC'!$EL$7,P55='DADOS_INVOC'!$EM$7,P55='DADOS_INVOC'!$EN$7,P55='DADOS_INVOC'!$EO$7,P55='DADOS_INVOC'!$EP$7,P55='DADOS_INVOC'!$QV$7,P55='DADOS_INVOC'!$QW$7,P55='DADOS_INVOC'!$QX$7,P55='DADOS_INVOC'!$QY$7)),O55,"")</f>
        <v/>
      </c>
      <c r="AZ55">
        <f>IF(OR(P55="",P55='DADOS_INVOC'!$EL$8,P55='DADOS_INVOC'!$EM$8,P55='DADOS_INVOC'!$EN$8,P55='DADOS_INVOC'!$EO$8,P55='DADOS_INVOC'!$EP$8,P55='DADOS_INVOC'!$QV$8,P55='DADOS_INVOC'!$QW$8,P55='DADOS_INVOC'!$QX$8,P55='DADOS_INVOC'!$QY$8),O55,"")</f>
        <v/>
      </c>
      <c r="BA55">
        <f>IF(AND(Q55=1,OR(P55="",P55='DADOS_INVOC'!$EL$8,P55='DADOS_INVOC'!$EM$8,P55='DADOS_INVOC'!$EN$8,P55='DADOS_INVOC'!$EO$8,P55='DADOS_INVOC'!$EP$8,P55='DADOS_INVOC'!$QV$8,P55='DADOS_INVOC'!$QW$8,P55='DADOS_INVOC'!$QX$8,P55='DADOS_INVOC'!$QY$8)),O55,"")</f>
        <v/>
      </c>
      <c r="BB55">
        <f>IF(OR(P55="",P55='DADOS_INVOC'!$EL$9,P55='DADOS_INVOC'!$EM$9,P55='DADOS_INVOC'!$EN$9,P55='DADOS_INVOC'!$EO$9,P55='DADOS_INVOC'!$EP$9,P55='DADOS_INVOC'!$QV$9,P55='DADOS_INVOC'!$QW$9,P55='DADOS_INVOC'!$QX$9,P55='DADOS_INVOC'!$QY$9),O55,"")</f>
        <v/>
      </c>
      <c r="BC55">
        <f>IF(AND(Q55=1,OR(P55="",P55='DADOS_INVOC'!$EL$9,P55='DADOS_INVOC'!$EM$9,P55='DADOS_INVOC'!$EN$9,P55='DADOS_INVOC'!$EO$9,P55='DADOS_INVOC'!$EP$9,P55='DADOS_INVOC'!$QV$9,P55='DADOS_INVOC'!$QW$9,P55='DADOS_INVOC'!$QX$9,P55='DADOS_INVOC'!$QY$9)),O55,"")</f>
        <v/>
      </c>
      <c r="BD55">
        <f>IF(OR(P55="",P55='DADOS_INVOC'!$EL$10,P55='DADOS_INVOC'!$EM$10,P55='DADOS_INVOC'!$EN$10,P55='DADOS_INVOC'!$EO$10,P55='DADOS_INVOC'!$EP$10,P55='DADOS_INVOC'!$QV$10,P55='DADOS_INVOC'!$QW$10,P55='DADOS_INVOC'!$QX$10,P55='DADOS_INVOC'!$QY$10),O55,"")</f>
        <v/>
      </c>
      <c r="BE55">
        <f>IF(AND(Q55=1,OR(P55="",P55='DADOS_INVOC'!$EL$10,P55='DADOS_INVOC'!$EM$10,P55='DADOS_INVOC'!$EN$10,P55='DADOS_INVOC'!$EO$10,P55='DADOS_INVOC'!$EP$10,P55='DADOS_INVOC'!$QV$10,P55='DADOS_INVOC'!$QW$10,P55='DADOS_INVOC'!$QX$10,P55='DADOS_INVOC'!$QY$10)),O55,"")</f>
        <v/>
      </c>
      <c r="BF55">
        <f>IF(OR(P55="",P55='DADOS_INVOC'!$EL$11,P55='DADOS_INVOC'!$EM$11,P55='DADOS_INVOC'!$EN$11,P55='DADOS_INVOC'!$EO$11,P55='DADOS_INVOC'!$EP$11,P55='DADOS_INVOC'!$QV$11,P55='DADOS_INVOC'!$QW$11,P55='DADOS_INVOC'!$QX$11,P55='DADOS_INVOC'!$QY$11),O55,"")</f>
        <v/>
      </c>
      <c r="BG55">
        <f>IF(AND(Q55=1,OR(P55="",P55='DADOS_INVOC'!$EL$11,P55='DADOS_INVOC'!$EM$11,P55='DADOS_INVOC'!$EN$11,P55='DADOS_INVOC'!$EO$11,P55='DADOS_INVOC'!$EP$11,P55='DADOS_INVOC'!$QV$11,P55='DADOS_INVOC'!$QW$11,P55='DADOS_INVOC'!$QX$11,P55='DADOS_INVOC'!$QY$11)),O55,"")</f>
        <v/>
      </c>
      <c r="BH55">
        <f>IF(OR(P55="",P55='DADOS_INVOC'!$EL$12,P55='DADOS_INVOC'!$EM$12,P55='DADOS_INVOC'!$EN$12,P55='DADOS_INVOC'!$EO$12,P55='DADOS_INVOC'!$EP$12,P55='DADOS_INVOC'!$QV$12,P55='DADOS_INVOC'!$QW$12,P55='DADOS_INVOC'!$QX$12,P55='DADOS_INVOC'!$QY$12),O55,"")</f>
        <v/>
      </c>
      <c r="BI55">
        <f>IF(AND(Q55=1,OR(P55="",P55='DADOS_INVOC'!$EL$12,P55='DADOS_INVOC'!$EM$12,P55='DADOS_INVOC'!$EN$12,P55='DADOS_INVOC'!$EO$12,P55='DADOS_INVOC'!$EP$12,P55='DADOS_INVOC'!$QV$12,P55='DADOS_INVOC'!$QW$12,P55='DADOS_INVOC'!$QX$12,P55='DADOS_INVOC'!$QY$12)),O55,"")</f>
        <v/>
      </c>
      <c r="BJ55">
        <f>IF(OR(P55="",P55='DADOS_INVOC'!$EL$13,P55='DADOS_INVOC'!$EM$13,P55='DADOS_INVOC'!$EN$13,P55='DADOS_INVOC'!$EO$13,P55='DADOS_INVOC'!$EP$13,P55='DADOS_INVOC'!$QV$13,P55='DADOS_INVOC'!$QW$13,P55='DADOS_INVOC'!$QX$13,P55='DADOS_INVOC'!$QY$13),O55,"")</f>
        <v/>
      </c>
      <c r="BK55">
        <f>IF(AND(Q55=1,OR(P55="",P55='DADOS_INVOC'!$EL$13,P55='DADOS_INVOC'!$EM$13,P55='DADOS_INVOC'!$EN$13,P55='DADOS_INVOC'!$EO$13,P55='DADOS_INVOC'!$EP$13,P55='DADOS_INVOC'!$QV$13,P55='DADOS_INVOC'!$QW$13,P55='DADOS_INVOC'!$QX$13,P55='DADOS_INVOC'!$QY$13)),O55,"")</f>
        <v/>
      </c>
      <c r="BP55" t="inlineStr">
        <is>
          <t>Remate</t>
        </is>
      </c>
    </row>
    <row r="56">
      <c r="O56">
        <f>IF(ISBLANK(DADOS_AM!$BC$56),"",DADOS_AM!$BC$56)</f>
        <v/>
      </c>
      <c r="P56">
        <f>IF(ISBLANK(DADOS_AM!$BD$56),"",DADOS_AM!$BD$56)</f>
        <v/>
      </c>
      <c r="Q56">
        <f>IF(ISBLANK(DADOS_AM!$BE$56),"",DADOS_AM!$BE$56)</f>
        <v/>
      </c>
      <c r="R56">
        <f>IF(ISBLANK(DADOS_AM!$BF$56),"",DADOS_AM!$BF$56)</f>
        <v/>
      </c>
      <c r="S56">
        <f>IF(ISBLANK(DADOS_AM!$BG$56),"",DADOS_AM!$BG$56)</f>
        <v/>
      </c>
      <c r="T56">
        <f>IF(ISBLANK(DADOS_AM!$BH$56),"",DADOS_AM!$BH$56)</f>
        <v/>
      </c>
      <c r="U56">
        <f>IF(ISBLANK(DADOS_AM!$BI$56),"",DADOS_AM!$BI$56)</f>
        <v/>
      </c>
      <c r="V56">
        <f>IF(ISBLANK(DADOS_AM!$BJ$56),"",DADOS_AM!$BJ$56)</f>
        <v/>
      </c>
      <c r="W56">
        <f>IF(ISBLANK(DADOS_AM!$BK$56),"",DADOS_AM!$BK$56)</f>
        <v/>
      </c>
      <c r="X56" t="inlineStr">
        <is>
          <t>Quebra Coisa</t>
        </is>
      </c>
      <c r="Y56" t="n">
        <v>0</v>
      </c>
      <c r="AG56">
        <f>O56</f>
        <v/>
      </c>
      <c r="AH56">
        <f>P56</f>
        <v/>
      </c>
      <c r="AI56">
        <f>Q56</f>
        <v/>
      </c>
      <c r="AJ56">
        <f>T56</f>
        <v/>
      </c>
      <c r="AK56">
        <f>Y56</f>
        <v/>
      </c>
      <c r="AL56">
        <f>W56</f>
        <v/>
      </c>
      <c r="AN56">
        <f>IF(OR(P56="",P56='DADOS_INVOC'!$EL$2,P56='DADOS_INVOC'!$EM$2,P56='DADOS_INVOC'!$EN$2,P56='DADOS_INVOC'!$EO$2,P56='DADOS_INVOC'!$EP$2,P56='DADOS_INVOC'!$QV$2,P56='DADOS_INVOC'!$QW$2,P56='DADOS_INVOC'!$QX$2,P56='DADOS_INVOC'!$QY$2),O56,"")</f>
        <v/>
      </c>
      <c r="AO56">
        <f>IF(AND(Q56=1,OR(P56="",P56='DADOS_INVOC'!$EL$2,P56='DADOS_INVOC'!$EM$2,P56='DADOS_INVOC'!$EN$2,P56='DADOS_INVOC'!$EO$2,P56='DADOS_INVOC'!$EP$2,P56='DADOS_INVOC'!$QV$2,P56='DADOS_INVOC'!$QW$2,P56='DADOS_INVOC'!$QX$2,P56='DADOS_INVOC'!$QY$2)),O56,"")</f>
        <v/>
      </c>
      <c r="AP56">
        <f>IF(OR(P56="",P56='DADOS_INVOC'!$EL$3,P56='DADOS_INVOC'!$EM$3,P56='DADOS_INVOC'!$EN$3,P56='DADOS_INVOC'!$EO$3,P56='DADOS_INVOC'!$EP$3,P56='DADOS_INVOC'!$QV$3,P56='DADOS_INVOC'!$QW$3,P56='DADOS_INVOC'!$QX$3,P56='DADOS_INVOC'!$QY$3),O56,"")</f>
        <v/>
      </c>
      <c r="AQ56">
        <f>IF(AND(Q56=1,OR(P56="",P56='DADOS_INVOC'!$EL$3,P56='DADOS_INVOC'!$EM$3,P56='DADOS_INVOC'!$EN$3,P56='DADOS_INVOC'!$EO$3,P56='DADOS_INVOC'!$EP$3,P56='DADOS_INVOC'!$QV$3,P56='DADOS_INVOC'!$QW$3,P56='DADOS_INVOC'!$QX$3,P56='DADOS_INVOC'!$QY$3)),O56,"")</f>
        <v/>
      </c>
      <c r="AR56">
        <f>IF(OR(P56="",P56='DADOS_INVOC'!$EL$4,P56='DADOS_INVOC'!$EM$4,P56='DADOS_INVOC'!$EN$4,P56='DADOS_INVOC'!$EO$4,P56='DADOS_INVOC'!$EP$4,P56='DADOS_INVOC'!$QV$4,P56='DADOS_INVOC'!$QW$4,P56='DADOS_INVOC'!$QX$4,P56='DADOS_INVOC'!$QY$4),O56,"")</f>
        <v/>
      </c>
      <c r="AS56">
        <f>IF(AND(Q56=1,OR(P56="",P56='DADOS_INVOC'!$EL$4,P56='DADOS_INVOC'!$EM$4,P56='DADOS_INVOC'!$EN$4,P56='DADOS_INVOC'!$EO$4,P56='DADOS_INVOC'!$EP$4,P56='DADOS_INVOC'!$QV$4,P56='DADOS_INVOC'!$QW$4,P56='DADOS_INVOC'!$QX$4,P56='DADOS_INVOC'!$QY$4)),O56,"")</f>
        <v/>
      </c>
      <c r="AT56">
        <f>IF(OR(P56="",P56='DADOS_INVOC'!$EL$5,P56='DADOS_INVOC'!$EM$5,P56='DADOS_INVOC'!$EN$5,P56='DADOS_INVOC'!$EO$5,P56='DADOS_INVOC'!$EP$5,P56='DADOS_INVOC'!$QV$5,P56='DADOS_INVOC'!$QW$5,P56='DADOS_INVOC'!$QX$5,P56='DADOS_INVOC'!$QY$5),O56,"")</f>
        <v/>
      </c>
      <c r="AU56">
        <f>IF(AND(Q56=1,OR(P56="",P56='DADOS_INVOC'!$EL$5,P56='DADOS_INVOC'!$EM$5,P56='DADOS_INVOC'!$EN$5,P56='DADOS_INVOC'!$EO$5,P56='DADOS_INVOC'!$EP$5,P56='DADOS_INVOC'!$QV$5,P56='DADOS_INVOC'!$QW$5,P56='DADOS_INVOC'!$QX$5,P56='DADOS_INVOC'!$QY$5)),O56,"")</f>
        <v/>
      </c>
      <c r="AV56">
        <f>IF(OR(P56="",P56='DADOS_INVOC'!$EL$6,P56='DADOS_INVOC'!$EM$6,P56='DADOS_INVOC'!$EN$6,P56='DADOS_INVOC'!$EO$6,P56='DADOS_INVOC'!$EP$6,P56='DADOS_INVOC'!$QV$6,P56='DADOS_INVOC'!$QW$6,P56='DADOS_INVOC'!$QX$6,P56='DADOS_INVOC'!$QY$6),O56,"")</f>
        <v/>
      </c>
      <c r="AW56">
        <f>IF(AND(Q56=1,OR(P56="",P56='DADOS_INVOC'!$EL$6,P56='DADOS_INVOC'!$EM$6,P56='DADOS_INVOC'!$EN$6,P56='DADOS_INVOC'!$EO$6,P56='DADOS_INVOC'!$EP$6,P56='DADOS_INVOC'!$QV$6,P56='DADOS_INVOC'!$QW$6,P56='DADOS_INVOC'!$QX$6,P56='DADOS_INVOC'!$QY$6)),O56,"")</f>
        <v/>
      </c>
      <c r="AX56">
        <f>IF(OR(P56="",P56='DADOS_INVOC'!$EL$7,P56='DADOS_INVOC'!$EM$7,P56='DADOS_INVOC'!$EN$7,P56='DADOS_INVOC'!$EO$7,P56='DADOS_INVOC'!$EP$7,P56='DADOS_INVOC'!$QV$7,P56='DADOS_INVOC'!$QW$7,P56='DADOS_INVOC'!$QX$7,P56='DADOS_INVOC'!$QY$7),O56,"")</f>
        <v/>
      </c>
      <c r="AY56">
        <f>IF(AND(Q56=1,OR(P56="",P56='DADOS_INVOC'!$EL$7,P56='DADOS_INVOC'!$EM$7,P56='DADOS_INVOC'!$EN$7,P56='DADOS_INVOC'!$EO$7,P56='DADOS_INVOC'!$EP$7,P56='DADOS_INVOC'!$QV$7,P56='DADOS_INVOC'!$QW$7,P56='DADOS_INVOC'!$QX$7,P56='DADOS_INVOC'!$QY$7)),O56,"")</f>
        <v/>
      </c>
      <c r="AZ56">
        <f>IF(OR(P56="",P56='DADOS_INVOC'!$EL$8,P56='DADOS_INVOC'!$EM$8,P56='DADOS_INVOC'!$EN$8,P56='DADOS_INVOC'!$EO$8,P56='DADOS_INVOC'!$EP$8,P56='DADOS_INVOC'!$QV$8,P56='DADOS_INVOC'!$QW$8,P56='DADOS_INVOC'!$QX$8,P56='DADOS_INVOC'!$QY$8),O56,"")</f>
        <v/>
      </c>
      <c r="BA56">
        <f>IF(AND(Q56=1,OR(P56="",P56='DADOS_INVOC'!$EL$8,P56='DADOS_INVOC'!$EM$8,P56='DADOS_INVOC'!$EN$8,P56='DADOS_INVOC'!$EO$8,P56='DADOS_INVOC'!$EP$8,P56='DADOS_INVOC'!$QV$8,P56='DADOS_INVOC'!$QW$8,P56='DADOS_INVOC'!$QX$8,P56='DADOS_INVOC'!$QY$8)),O56,"")</f>
        <v/>
      </c>
      <c r="BB56">
        <f>IF(OR(P56="",P56='DADOS_INVOC'!$EL$9,P56='DADOS_INVOC'!$EM$9,P56='DADOS_INVOC'!$EN$9,P56='DADOS_INVOC'!$EO$9,P56='DADOS_INVOC'!$EP$9,P56='DADOS_INVOC'!$QV$9,P56='DADOS_INVOC'!$QW$9,P56='DADOS_INVOC'!$QX$9,P56='DADOS_INVOC'!$QY$9),O56,"")</f>
        <v/>
      </c>
      <c r="BC56">
        <f>IF(AND(Q56=1,OR(P56="",P56='DADOS_INVOC'!$EL$9,P56='DADOS_INVOC'!$EM$9,P56='DADOS_INVOC'!$EN$9,P56='DADOS_INVOC'!$EO$9,P56='DADOS_INVOC'!$EP$9,P56='DADOS_INVOC'!$QV$9,P56='DADOS_INVOC'!$QW$9,P56='DADOS_INVOC'!$QX$9,P56='DADOS_INVOC'!$QY$9)),O56,"")</f>
        <v/>
      </c>
      <c r="BD56">
        <f>IF(OR(P56="",P56='DADOS_INVOC'!$EL$10,P56='DADOS_INVOC'!$EM$10,P56='DADOS_INVOC'!$EN$10,P56='DADOS_INVOC'!$EO$10,P56='DADOS_INVOC'!$EP$10,P56='DADOS_INVOC'!$QV$10,P56='DADOS_INVOC'!$QW$10,P56='DADOS_INVOC'!$QX$10,P56='DADOS_INVOC'!$QY$10),O56,"")</f>
        <v/>
      </c>
      <c r="BE56">
        <f>IF(AND(Q56=1,OR(P56="",P56='DADOS_INVOC'!$EL$10,P56='DADOS_INVOC'!$EM$10,P56='DADOS_INVOC'!$EN$10,P56='DADOS_INVOC'!$EO$10,P56='DADOS_INVOC'!$EP$10,P56='DADOS_INVOC'!$QV$10,P56='DADOS_INVOC'!$QW$10,P56='DADOS_INVOC'!$QX$10,P56='DADOS_INVOC'!$QY$10)),O56,"")</f>
        <v/>
      </c>
      <c r="BF56">
        <f>IF(OR(P56="",P56='DADOS_INVOC'!$EL$11,P56='DADOS_INVOC'!$EM$11,P56='DADOS_INVOC'!$EN$11,P56='DADOS_INVOC'!$EO$11,P56='DADOS_INVOC'!$EP$11,P56='DADOS_INVOC'!$QV$11,P56='DADOS_INVOC'!$QW$11,P56='DADOS_INVOC'!$QX$11,P56='DADOS_INVOC'!$QY$11),O56,"")</f>
        <v/>
      </c>
      <c r="BG56">
        <f>IF(AND(Q56=1,OR(P56="",P56='DADOS_INVOC'!$EL$11,P56='DADOS_INVOC'!$EM$11,P56='DADOS_INVOC'!$EN$11,P56='DADOS_INVOC'!$EO$11,P56='DADOS_INVOC'!$EP$11,P56='DADOS_INVOC'!$QV$11,P56='DADOS_INVOC'!$QW$11,P56='DADOS_INVOC'!$QX$11,P56='DADOS_INVOC'!$QY$11)),O56,"")</f>
        <v/>
      </c>
      <c r="BH56">
        <f>IF(OR(P56="",P56='DADOS_INVOC'!$EL$12,P56='DADOS_INVOC'!$EM$12,P56='DADOS_INVOC'!$EN$12,P56='DADOS_INVOC'!$EO$12,P56='DADOS_INVOC'!$EP$12,P56='DADOS_INVOC'!$QV$12,P56='DADOS_INVOC'!$QW$12,P56='DADOS_INVOC'!$QX$12,P56='DADOS_INVOC'!$QY$12),O56,"")</f>
        <v/>
      </c>
      <c r="BI56">
        <f>IF(AND(Q56=1,OR(P56="",P56='DADOS_INVOC'!$EL$12,P56='DADOS_INVOC'!$EM$12,P56='DADOS_INVOC'!$EN$12,P56='DADOS_INVOC'!$EO$12,P56='DADOS_INVOC'!$EP$12,P56='DADOS_INVOC'!$QV$12,P56='DADOS_INVOC'!$QW$12,P56='DADOS_INVOC'!$QX$12,P56='DADOS_INVOC'!$QY$12)),O56,"")</f>
        <v/>
      </c>
      <c r="BJ56">
        <f>IF(OR(P56="",P56='DADOS_INVOC'!$EL$13,P56='DADOS_INVOC'!$EM$13,P56='DADOS_INVOC'!$EN$13,P56='DADOS_INVOC'!$EO$13,P56='DADOS_INVOC'!$EP$13,P56='DADOS_INVOC'!$QV$13,P56='DADOS_INVOC'!$QW$13,P56='DADOS_INVOC'!$QX$13,P56='DADOS_INVOC'!$QY$13),O56,"")</f>
        <v/>
      </c>
      <c r="BK56">
        <f>IF(AND(Q56=1,OR(P56="",P56='DADOS_INVOC'!$EL$13,P56='DADOS_INVOC'!$EM$13,P56='DADOS_INVOC'!$EN$13,P56='DADOS_INVOC'!$EO$13,P56='DADOS_INVOC'!$EP$13,P56='DADOS_INVOC'!$QV$13,P56='DADOS_INVOC'!$QW$13,P56='DADOS_INVOC'!$QX$13,P56='DADOS_INVOC'!$QY$13)),O56,"")</f>
        <v/>
      </c>
      <c r="BP56" t="inlineStr">
        <is>
          <t>Estilhaço</t>
        </is>
      </c>
    </row>
    <row r="57">
      <c r="O57">
        <f>IF(ISBLANK(DADOS_AM!$BC$57),"",DADOS_AM!$BC$57)</f>
        <v/>
      </c>
      <c r="P57">
        <f>IF(ISBLANK(DADOS_AM!$BD$57),"",DADOS_AM!$BD$57)</f>
        <v/>
      </c>
      <c r="Q57">
        <f>IF(ISBLANK(DADOS_AM!$BE$57),"",DADOS_AM!$BE$57)</f>
        <v/>
      </c>
      <c r="R57">
        <f>IF(ISBLANK(DADOS_AM!$BF$57),"",DADOS_AM!$BF$57)</f>
        <v/>
      </c>
      <c r="S57">
        <f>IF(ISBLANK(DADOS_AM!$BG$57),"",DADOS_AM!$BG$57)</f>
        <v/>
      </c>
      <c r="T57">
        <f>IF(ISBLANK(DADOS_AM!$BH$57),"",DADOS_AM!$BH$57)</f>
        <v/>
      </c>
      <c r="U57">
        <f>IF(ISBLANK(DADOS_AM!$BI$57),"",DADOS_AM!$BI$57)</f>
        <v/>
      </c>
      <c r="V57">
        <f>IF(ISBLANK(DADOS_AM!$BJ$57),"",DADOS_AM!$BJ$57)</f>
        <v/>
      </c>
      <c r="W57">
        <f>IF(ISBLANK(DADOS_AM!$BK$57),"",DADOS_AM!$BK$57)</f>
        <v/>
      </c>
      <c r="X57" t="inlineStr">
        <is>
          <t>Rasga Escudo</t>
        </is>
      </c>
      <c r="Y57" t="n">
        <v>0</v>
      </c>
      <c r="AG57">
        <f>O57</f>
        <v/>
      </c>
      <c r="AH57">
        <f>P57</f>
        <v/>
      </c>
      <c r="AI57">
        <f>Q57</f>
        <v/>
      </c>
      <c r="AJ57">
        <f>T57</f>
        <v/>
      </c>
      <c r="AK57">
        <f>Y57</f>
        <v/>
      </c>
      <c r="AL57">
        <f>W57</f>
        <v/>
      </c>
      <c r="AN57">
        <f>IF(OR(P57="",P57='DADOS_INVOC'!$EL$2,P57='DADOS_INVOC'!$EM$2,P57='DADOS_INVOC'!$EN$2,P57='DADOS_INVOC'!$EO$2,P57='DADOS_INVOC'!$EP$2,P57='DADOS_INVOC'!$QV$2,P57='DADOS_INVOC'!$QW$2,P57='DADOS_INVOC'!$QX$2,P57='DADOS_INVOC'!$QY$2),O57,"")</f>
        <v/>
      </c>
      <c r="AO57">
        <f>IF(AND(Q57=1,OR(P57="",P57='DADOS_INVOC'!$EL$2,P57='DADOS_INVOC'!$EM$2,P57='DADOS_INVOC'!$EN$2,P57='DADOS_INVOC'!$EO$2,P57='DADOS_INVOC'!$EP$2,P57='DADOS_INVOC'!$QV$2,P57='DADOS_INVOC'!$QW$2,P57='DADOS_INVOC'!$QX$2,P57='DADOS_INVOC'!$QY$2)),O57,"")</f>
        <v/>
      </c>
      <c r="AP57">
        <f>IF(OR(P57="",P57='DADOS_INVOC'!$EL$3,P57='DADOS_INVOC'!$EM$3,P57='DADOS_INVOC'!$EN$3,P57='DADOS_INVOC'!$EO$3,P57='DADOS_INVOC'!$EP$3,P57='DADOS_INVOC'!$QV$3,P57='DADOS_INVOC'!$QW$3,P57='DADOS_INVOC'!$QX$3,P57='DADOS_INVOC'!$QY$3),O57,"")</f>
        <v/>
      </c>
      <c r="AQ57">
        <f>IF(AND(Q57=1,OR(P57="",P57='DADOS_INVOC'!$EL$3,P57='DADOS_INVOC'!$EM$3,P57='DADOS_INVOC'!$EN$3,P57='DADOS_INVOC'!$EO$3,P57='DADOS_INVOC'!$EP$3,P57='DADOS_INVOC'!$QV$3,P57='DADOS_INVOC'!$QW$3,P57='DADOS_INVOC'!$QX$3,P57='DADOS_INVOC'!$QY$3)),O57,"")</f>
        <v/>
      </c>
      <c r="AR57">
        <f>IF(OR(P57="",P57='DADOS_INVOC'!$EL$4,P57='DADOS_INVOC'!$EM$4,P57='DADOS_INVOC'!$EN$4,P57='DADOS_INVOC'!$EO$4,P57='DADOS_INVOC'!$EP$4,P57='DADOS_INVOC'!$QV$4,P57='DADOS_INVOC'!$QW$4,P57='DADOS_INVOC'!$QX$4,P57='DADOS_INVOC'!$QY$4),O57,"")</f>
        <v/>
      </c>
      <c r="AS57">
        <f>IF(AND(Q57=1,OR(P57="",P57='DADOS_INVOC'!$EL$4,P57='DADOS_INVOC'!$EM$4,P57='DADOS_INVOC'!$EN$4,P57='DADOS_INVOC'!$EO$4,P57='DADOS_INVOC'!$EP$4,P57='DADOS_INVOC'!$QV$4,P57='DADOS_INVOC'!$QW$4,P57='DADOS_INVOC'!$QX$4,P57='DADOS_INVOC'!$QY$4)),O57,"")</f>
        <v/>
      </c>
      <c r="AT57">
        <f>IF(OR(P57="",P57='DADOS_INVOC'!$EL$5,P57='DADOS_INVOC'!$EM$5,P57='DADOS_INVOC'!$EN$5,P57='DADOS_INVOC'!$EO$5,P57='DADOS_INVOC'!$EP$5,P57='DADOS_INVOC'!$QV$5,P57='DADOS_INVOC'!$QW$5,P57='DADOS_INVOC'!$QX$5,P57='DADOS_INVOC'!$QY$5),O57,"")</f>
        <v/>
      </c>
      <c r="AU57">
        <f>IF(AND(Q57=1,OR(P57="",P57='DADOS_INVOC'!$EL$5,P57='DADOS_INVOC'!$EM$5,P57='DADOS_INVOC'!$EN$5,P57='DADOS_INVOC'!$EO$5,P57='DADOS_INVOC'!$EP$5,P57='DADOS_INVOC'!$QV$5,P57='DADOS_INVOC'!$QW$5,P57='DADOS_INVOC'!$QX$5,P57='DADOS_INVOC'!$QY$5)),O57,"")</f>
        <v/>
      </c>
      <c r="AV57">
        <f>IF(OR(P57="",P57='DADOS_INVOC'!$EL$6,P57='DADOS_INVOC'!$EM$6,P57='DADOS_INVOC'!$EN$6,P57='DADOS_INVOC'!$EO$6,P57='DADOS_INVOC'!$EP$6,P57='DADOS_INVOC'!$QV$6,P57='DADOS_INVOC'!$QW$6,P57='DADOS_INVOC'!$QX$6,P57='DADOS_INVOC'!$QY$6),O57,"")</f>
        <v/>
      </c>
      <c r="AW57">
        <f>IF(AND(Q57=1,OR(P57="",P57='DADOS_INVOC'!$EL$6,P57='DADOS_INVOC'!$EM$6,P57='DADOS_INVOC'!$EN$6,P57='DADOS_INVOC'!$EO$6,P57='DADOS_INVOC'!$EP$6,P57='DADOS_INVOC'!$QV$6,P57='DADOS_INVOC'!$QW$6,P57='DADOS_INVOC'!$QX$6,P57='DADOS_INVOC'!$QY$6)),O57,"")</f>
        <v/>
      </c>
      <c r="AX57">
        <f>IF(OR(P57="",P57='DADOS_INVOC'!$EL$7,P57='DADOS_INVOC'!$EM$7,P57='DADOS_INVOC'!$EN$7,P57='DADOS_INVOC'!$EO$7,P57='DADOS_INVOC'!$EP$7,P57='DADOS_INVOC'!$QV$7,P57='DADOS_INVOC'!$QW$7,P57='DADOS_INVOC'!$QX$7,P57='DADOS_INVOC'!$QY$7),O57,"")</f>
        <v/>
      </c>
      <c r="AY57">
        <f>IF(AND(Q57=1,OR(P57="",P57='DADOS_INVOC'!$EL$7,P57='DADOS_INVOC'!$EM$7,P57='DADOS_INVOC'!$EN$7,P57='DADOS_INVOC'!$EO$7,P57='DADOS_INVOC'!$EP$7,P57='DADOS_INVOC'!$QV$7,P57='DADOS_INVOC'!$QW$7,P57='DADOS_INVOC'!$QX$7,P57='DADOS_INVOC'!$QY$7)),O57,"")</f>
        <v/>
      </c>
      <c r="AZ57">
        <f>IF(OR(P57="",P57='DADOS_INVOC'!$EL$8,P57='DADOS_INVOC'!$EM$8,P57='DADOS_INVOC'!$EN$8,P57='DADOS_INVOC'!$EO$8,P57='DADOS_INVOC'!$EP$8,P57='DADOS_INVOC'!$QV$8,P57='DADOS_INVOC'!$QW$8,P57='DADOS_INVOC'!$QX$8,P57='DADOS_INVOC'!$QY$8),O57,"")</f>
        <v/>
      </c>
      <c r="BA57">
        <f>IF(AND(Q57=1,OR(P57="",P57='DADOS_INVOC'!$EL$8,P57='DADOS_INVOC'!$EM$8,P57='DADOS_INVOC'!$EN$8,P57='DADOS_INVOC'!$EO$8,P57='DADOS_INVOC'!$EP$8,P57='DADOS_INVOC'!$QV$8,P57='DADOS_INVOC'!$QW$8,P57='DADOS_INVOC'!$QX$8,P57='DADOS_INVOC'!$QY$8)),O57,"")</f>
        <v/>
      </c>
      <c r="BB57">
        <f>IF(OR(P57="",P57='DADOS_INVOC'!$EL$9,P57='DADOS_INVOC'!$EM$9,P57='DADOS_INVOC'!$EN$9,P57='DADOS_INVOC'!$EO$9,P57='DADOS_INVOC'!$EP$9,P57='DADOS_INVOC'!$QV$9,P57='DADOS_INVOC'!$QW$9,P57='DADOS_INVOC'!$QX$9,P57='DADOS_INVOC'!$QY$9),O57,"")</f>
        <v/>
      </c>
      <c r="BC57">
        <f>IF(AND(Q57=1,OR(P57="",P57='DADOS_INVOC'!$EL$9,P57='DADOS_INVOC'!$EM$9,P57='DADOS_INVOC'!$EN$9,P57='DADOS_INVOC'!$EO$9,P57='DADOS_INVOC'!$EP$9,P57='DADOS_INVOC'!$QV$9,P57='DADOS_INVOC'!$QW$9,P57='DADOS_INVOC'!$QX$9,P57='DADOS_INVOC'!$QY$9)),O57,"")</f>
        <v/>
      </c>
      <c r="BD57">
        <f>IF(OR(P57="",P57='DADOS_INVOC'!$EL$10,P57='DADOS_INVOC'!$EM$10,P57='DADOS_INVOC'!$EN$10,P57='DADOS_INVOC'!$EO$10,P57='DADOS_INVOC'!$EP$10,P57='DADOS_INVOC'!$QV$10,P57='DADOS_INVOC'!$QW$10,P57='DADOS_INVOC'!$QX$10,P57='DADOS_INVOC'!$QY$10),O57,"")</f>
        <v/>
      </c>
      <c r="BE57">
        <f>IF(AND(Q57=1,OR(P57="",P57='DADOS_INVOC'!$EL$10,P57='DADOS_INVOC'!$EM$10,P57='DADOS_INVOC'!$EN$10,P57='DADOS_INVOC'!$EO$10,P57='DADOS_INVOC'!$EP$10,P57='DADOS_INVOC'!$QV$10,P57='DADOS_INVOC'!$QW$10,P57='DADOS_INVOC'!$QX$10,P57='DADOS_INVOC'!$QY$10)),O57,"")</f>
        <v/>
      </c>
      <c r="BF57">
        <f>IF(OR(P57="",P57='DADOS_INVOC'!$EL$11,P57='DADOS_INVOC'!$EM$11,P57='DADOS_INVOC'!$EN$11,P57='DADOS_INVOC'!$EO$11,P57='DADOS_INVOC'!$EP$11,P57='DADOS_INVOC'!$QV$11,P57='DADOS_INVOC'!$QW$11,P57='DADOS_INVOC'!$QX$11,P57='DADOS_INVOC'!$QY$11),O57,"")</f>
        <v/>
      </c>
      <c r="BG57">
        <f>IF(AND(Q57=1,OR(P57="",P57='DADOS_INVOC'!$EL$11,P57='DADOS_INVOC'!$EM$11,P57='DADOS_INVOC'!$EN$11,P57='DADOS_INVOC'!$EO$11,P57='DADOS_INVOC'!$EP$11,P57='DADOS_INVOC'!$QV$11,P57='DADOS_INVOC'!$QW$11,P57='DADOS_INVOC'!$QX$11,P57='DADOS_INVOC'!$QY$11)),O57,"")</f>
        <v/>
      </c>
      <c r="BH57">
        <f>IF(OR(P57="",P57='DADOS_INVOC'!$EL$12,P57='DADOS_INVOC'!$EM$12,P57='DADOS_INVOC'!$EN$12,P57='DADOS_INVOC'!$EO$12,P57='DADOS_INVOC'!$EP$12,P57='DADOS_INVOC'!$QV$12,P57='DADOS_INVOC'!$QW$12,P57='DADOS_INVOC'!$QX$12,P57='DADOS_INVOC'!$QY$12),O57,"")</f>
        <v/>
      </c>
      <c r="BI57">
        <f>IF(AND(Q57=1,OR(P57="",P57='DADOS_INVOC'!$EL$12,P57='DADOS_INVOC'!$EM$12,P57='DADOS_INVOC'!$EN$12,P57='DADOS_INVOC'!$EO$12,P57='DADOS_INVOC'!$EP$12,P57='DADOS_INVOC'!$QV$12,P57='DADOS_INVOC'!$QW$12,P57='DADOS_INVOC'!$QX$12,P57='DADOS_INVOC'!$QY$12)),O57,"")</f>
        <v/>
      </c>
      <c r="BJ57">
        <f>IF(OR(P57="",P57='DADOS_INVOC'!$EL$13,P57='DADOS_INVOC'!$EM$13,P57='DADOS_INVOC'!$EN$13,P57='DADOS_INVOC'!$EO$13,P57='DADOS_INVOC'!$EP$13,P57='DADOS_INVOC'!$QV$13,P57='DADOS_INVOC'!$QW$13,P57='DADOS_INVOC'!$QX$13,P57='DADOS_INVOC'!$QY$13),O57,"")</f>
        <v/>
      </c>
      <c r="BK57">
        <f>IF(AND(Q57=1,OR(P57="",P57='DADOS_INVOC'!$EL$13,P57='DADOS_INVOC'!$EM$13,P57='DADOS_INVOC'!$EN$13,P57='DADOS_INVOC'!$EO$13,P57='DADOS_INVOC'!$EP$13,P57='DADOS_INVOC'!$QV$13,P57='DADOS_INVOC'!$QW$13,P57='DADOS_INVOC'!$QX$13,P57='DADOS_INVOC'!$QY$13)),O57,"")</f>
        <v/>
      </c>
      <c r="BP57" t="inlineStr">
        <is>
          <t>Quebra Coisa</t>
        </is>
      </c>
    </row>
    <row r="58">
      <c r="O58">
        <f>IF(ISBLANK(DADOS_AM!$BC$58),"",DADOS_AM!$BC$58)</f>
        <v/>
      </c>
      <c r="P58">
        <f>IF(ISBLANK(DADOS_AM!$BD$58),"",DADOS_AM!$BD$58)</f>
        <v/>
      </c>
      <c r="Q58">
        <f>IF(ISBLANK(DADOS_AM!$BE$58),"",DADOS_AM!$BE$58)</f>
        <v/>
      </c>
      <c r="R58">
        <f>IF(ISBLANK(DADOS_AM!$BF$58),"",DADOS_AM!$BF$58)</f>
        <v/>
      </c>
      <c r="S58">
        <f>IF(ISBLANK(DADOS_AM!$BG$58),"",DADOS_AM!$BG$58)</f>
        <v/>
      </c>
      <c r="T58">
        <f>IF(ISBLANK(DADOS_AM!$BH$58),"",DADOS_AM!$BH$58)</f>
        <v/>
      </c>
      <c r="U58">
        <f>IF(ISBLANK(DADOS_AM!$BI$58),"",DADOS_AM!$BI$58)</f>
        <v/>
      </c>
      <c r="V58">
        <f>IF(ISBLANK(DADOS_AM!$BJ$58),"",DADOS_AM!$BJ$58)</f>
        <v/>
      </c>
      <c r="W58">
        <f>IF(ISBLANK(DADOS_AM!$BK$58),"",DADOS_AM!$BK$58)</f>
        <v/>
      </c>
      <c r="X58" t="inlineStr">
        <is>
          <t>Sem Cura</t>
        </is>
      </c>
      <c r="Y58" t="n">
        <v>0</v>
      </c>
      <c r="AG58">
        <f>O58</f>
        <v/>
      </c>
      <c r="AH58">
        <f>P58</f>
        <v/>
      </c>
      <c r="AI58">
        <f>Q58</f>
        <v/>
      </c>
      <c r="AJ58">
        <f>T58</f>
        <v/>
      </c>
      <c r="AK58">
        <f>Y58</f>
        <v/>
      </c>
      <c r="AL58">
        <f>W58</f>
        <v/>
      </c>
      <c r="AN58">
        <f>IF(OR(P58="",P58='DADOS_INVOC'!$EL$2,P58='DADOS_INVOC'!$EM$2,P58='DADOS_INVOC'!$EN$2,P58='DADOS_INVOC'!$EO$2,P58='DADOS_INVOC'!$EP$2,P58='DADOS_INVOC'!$QV$2,P58='DADOS_INVOC'!$QW$2,P58='DADOS_INVOC'!$QX$2,P58='DADOS_INVOC'!$QY$2),O58,"")</f>
        <v/>
      </c>
      <c r="AO58">
        <f>IF(AND(Q58=1,OR(P58="",P58='DADOS_INVOC'!$EL$2,P58='DADOS_INVOC'!$EM$2,P58='DADOS_INVOC'!$EN$2,P58='DADOS_INVOC'!$EO$2,P58='DADOS_INVOC'!$EP$2,P58='DADOS_INVOC'!$QV$2,P58='DADOS_INVOC'!$QW$2,P58='DADOS_INVOC'!$QX$2,P58='DADOS_INVOC'!$QY$2)),O58,"")</f>
        <v/>
      </c>
      <c r="AP58">
        <f>IF(OR(P58="",P58='DADOS_INVOC'!$EL$3,P58='DADOS_INVOC'!$EM$3,P58='DADOS_INVOC'!$EN$3,P58='DADOS_INVOC'!$EO$3,P58='DADOS_INVOC'!$EP$3,P58='DADOS_INVOC'!$QV$3,P58='DADOS_INVOC'!$QW$3,P58='DADOS_INVOC'!$QX$3,P58='DADOS_INVOC'!$QY$3),O58,"")</f>
        <v/>
      </c>
      <c r="AQ58">
        <f>IF(AND(Q58=1,OR(P58="",P58='DADOS_INVOC'!$EL$3,P58='DADOS_INVOC'!$EM$3,P58='DADOS_INVOC'!$EN$3,P58='DADOS_INVOC'!$EO$3,P58='DADOS_INVOC'!$EP$3,P58='DADOS_INVOC'!$QV$3,P58='DADOS_INVOC'!$QW$3,P58='DADOS_INVOC'!$QX$3,P58='DADOS_INVOC'!$QY$3)),O58,"")</f>
        <v/>
      </c>
      <c r="AR58">
        <f>IF(OR(P58="",P58='DADOS_INVOC'!$EL$4,P58='DADOS_INVOC'!$EM$4,P58='DADOS_INVOC'!$EN$4,P58='DADOS_INVOC'!$EO$4,P58='DADOS_INVOC'!$EP$4,P58='DADOS_INVOC'!$QV$4,P58='DADOS_INVOC'!$QW$4,P58='DADOS_INVOC'!$QX$4,P58='DADOS_INVOC'!$QY$4),O58,"")</f>
        <v/>
      </c>
      <c r="AS58">
        <f>IF(AND(Q58=1,OR(P58="",P58='DADOS_INVOC'!$EL$4,P58='DADOS_INVOC'!$EM$4,P58='DADOS_INVOC'!$EN$4,P58='DADOS_INVOC'!$EO$4,P58='DADOS_INVOC'!$EP$4,P58='DADOS_INVOC'!$QV$4,P58='DADOS_INVOC'!$QW$4,P58='DADOS_INVOC'!$QX$4,P58='DADOS_INVOC'!$QY$4)),O58,"")</f>
        <v/>
      </c>
      <c r="AT58">
        <f>IF(OR(P58="",P58='DADOS_INVOC'!$EL$5,P58='DADOS_INVOC'!$EM$5,P58='DADOS_INVOC'!$EN$5,P58='DADOS_INVOC'!$EO$5,P58='DADOS_INVOC'!$EP$5,P58='DADOS_INVOC'!$QV$5,P58='DADOS_INVOC'!$QW$5,P58='DADOS_INVOC'!$QX$5,P58='DADOS_INVOC'!$QY$5),O58,"")</f>
        <v/>
      </c>
      <c r="AU58">
        <f>IF(AND(Q58=1,OR(P58="",P58='DADOS_INVOC'!$EL$5,P58='DADOS_INVOC'!$EM$5,P58='DADOS_INVOC'!$EN$5,P58='DADOS_INVOC'!$EO$5,P58='DADOS_INVOC'!$EP$5,P58='DADOS_INVOC'!$QV$5,P58='DADOS_INVOC'!$QW$5,P58='DADOS_INVOC'!$QX$5,P58='DADOS_INVOC'!$QY$5)),O58,"")</f>
        <v/>
      </c>
      <c r="AV58">
        <f>IF(OR(P58="",P58='DADOS_INVOC'!$EL$6,P58='DADOS_INVOC'!$EM$6,P58='DADOS_INVOC'!$EN$6,P58='DADOS_INVOC'!$EO$6,P58='DADOS_INVOC'!$EP$6,P58='DADOS_INVOC'!$QV$6,P58='DADOS_INVOC'!$QW$6,P58='DADOS_INVOC'!$QX$6,P58='DADOS_INVOC'!$QY$6),O58,"")</f>
        <v/>
      </c>
      <c r="AW58">
        <f>IF(AND(Q58=1,OR(P58="",P58='DADOS_INVOC'!$EL$6,P58='DADOS_INVOC'!$EM$6,P58='DADOS_INVOC'!$EN$6,P58='DADOS_INVOC'!$EO$6,P58='DADOS_INVOC'!$EP$6,P58='DADOS_INVOC'!$QV$6,P58='DADOS_INVOC'!$QW$6,P58='DADOS_INVOC'!$QX$6,P58='DADOS_INVOC'!$QY$6)),O58,"")</f>
        <v/>
      </c>
      <c r="AX58">
        <f>IF(OR(P58="",P58='DADOS_INVOC'!$EL$7,P58='DADOS_INVOC'!$EM$7,P58='DADOS_INVOC'!$EN$7,P58='DADOS_INVOC'!$EO$7,P58='DADOS_INVOC'!$EP$7,P58='DADOS_INVOC'!$QV$7,P58='DADOS_INVOC'!$QW$7,P58='DADOS_INVOC'!$QX$7,P58='DADOS_INVOC'!$QY$7),O58,"")</f>
        <v/>
      </c>
      <c r="AY58">
        <f>IF(AND(Q58=1,OR(P58="",P58='DADOS_INVOC'!$EL$7,P58='DADOS_INVOC'!$EM$7,P58='DADOS_INVOC'!$EN$7,P58='DADOS_INVOC'!$EO$7,P58='DADOS_INVOC'!$EP$7,P58='DADOS_INVOC'!$QV$7,P58='DADOS_INVOC'!$QW$7,P58='DADOS_INVOC'!$QX$7,P58='DADOS_INVOC'!$QY$7)),O58,"")</f>
        <v/>
      </c>
      <c r="AZ58">
        <f>IF(OR(P58="",P58='DADOS_INVOC'!$EL$8,P58='DADOS_INVOC'!$EM$8,P58='DADOS_INVOC'!$EN$8,P58='DADOS_INVOC'!$EO$8,P58='DADOS_INVOC'!$EP$8,P58='DADOS_INVOC'!$QV$8,P58='DADOS_INVOC'!$QW$8,P58='DADOS_INVOC'!$QX$8,P58='DADOS_INVOC'!$QY$8),O58,"")</f>
        <v/>
      </c>
      <c r="BA58">
        <f>IF(AND(Q58=1,OR(P58="",P58='DADOS_INVOC'!$EL$8,P58='DADOS_INVOC'!$EM$8,P58='DADOS_INVOC'!$EN$8,P58='DADOS_INVOC'!$EO$8,P58='DADOS_INVOC'!$EP$8,P58='DADOS_INVOC'!$QV$8,P58='DADOS_INVOC'!$QW$8,P58='DADOS_INVOC'!$QX$8,P58='DADOS_INVOC'!$QY$8)),O58,"")</f>
        <v/>
      </c>
      <c r="BB58">
        <f>IF(OR(P58="",P58='DADOS_INVOC'!$EL$9,P58='DADOS_INVOC'!$EM$9,P58='DADOS_INVOC'!$EN$9,P58='DADOS_INVOC'!$EO$9,P58='DADOS_INVOC'!$EP$9,P58='DADOS_INVOC'!$QV$9,P58='DADOS_INVOC'!$QW$9,P58='DADOS_INVOC'!$QX$9,P58='DADOS_INVOC'!$QY$9),O58,"")</f>
        <v/>
      </c>
      <c r="BC58">
        <f>IF(AND(Q58=1,OR(P58="",P58='DADOS_INVOC'!$EL$9,P58='DADOS_INVOC'!$EM$9,P58='DADOS_INVOC'!$EN$9,P58='DADOS_INVOC'!$EO$9,P58='DADOS_INVOC'!$EP$9,P58='DADOS_INVOC'!$QV$9,P58='DADOS_INVOC'!$QW$9,P58='DADOS_INVOC'!$QX$9,P58='DADOS_INVOC'!$QY$9)),O58,"")</f>
        <v/>
      </c>
      <c r="BD58">
        <f>IF(OR(P58="",P58='DADOS_INVOC'!$EL$10,P58='DADOS_INVOC'!$EM$10,P58='DADOS_INVOC'!$EN$10,P58='DADOS_INVOC'!$EO$10,P58='DADOS_INVOC'!$EP$10,P58='DADOS_INVOC'!$QV$10,P58='DADOS_INVOC'!$QW$10,P58='DADOS_INVOC'!$QX$10,P58='DADOS_INVOC'!$QY$10),O58,"")</f>
        <v/>
      </c>
      <c r="BE58">
        <f>IF(AND(Q58=1,OR(P58="",P58='DADOS_INVOC'!$EL$10,P58='DADOS_INVOC'!$EM$10,P58='DADOS_INVOC'!$EN$10,P58='DADOS_INVOC'!$EO$10,P58='DADOS_INVOC'!$EP$10,P58='DADOS_INVOC'!$QV$10,P58='DADOS_INVOC'!$QW$10,P58='DADOS_INVOC'!$QX$10,P58='DADOS_INVOC'!$QY$10)),O58,"")</f>
        <v/>
      </c>
      <c r="BF58">
        <f>IF(OR(P58="",P58='DADOS_INVOC'!$EL$11,P58='DADOS_INVOC'!$EM$11,P58='DADOS_INVOC'!$EN$11,P58='DADOS_INVOC'!$EO$11,P58='DADOS_INVOC'!$EP$11,P58='DADOS_INVOC'!$QV$11,P58='DADOS_INVOC'!$QW$11,P58='DADOS_INVOC'!$QX$11,P58='DADOS_INVOC'!$QY$11),O58,"")</f>
        <v/>
      </c>
      <c r="BG58">
        <f>IF(AND(Q58=1,OR(P58="",P58='DADOS_INVOC'!$EL$11,P58='DADOS_INVOC'!$EM$11,P58='DADOS_INVOC'!$EN$11,P58='DADOS_INVOC'!$EO$11,P58='DADOS_INVOC'!$EP$11,P58='DADOS_INVOC'!$QV$11,P58='DADOS_INVOC'!$QW$11,P58='DADOS_INVOC'!$QX$11,P58='DADOS_INVOC'!$QY$11)),O58,"")</f>
        <v/>
      </c>
      <c r="BH58">
        <f>IF(OR(P58="",P58='DADOS_INVOC'!$EL$12,P58='DADOS_INVOC'!$EM$12,P58='DADOS_INVOC'!$EN$12,P58='DADOS_INVOC'!$EO$12,P58='DADOS_INVOC'!$EP$12,P58='DADOS_INVOC'!$QV$12,P58='DADOS_INVOC'!$QW$12,P58='DADOS_INVOC'!$QX$12,P58='DADOS_INVOC'!$QY$12),O58,"")</f>
        <v/>
      </c>
      <c r="BI58">
        <f>IF(AND(Q58=1,OR(P58="",P58='DADOS_INVOC'!$EL$12,P58='DADOS_INVOC'!$EM$12,P58='DADOS_INVOC'!$EN$12,P58='DADOS_INVOC'!$EO$12,P58='DADOS_INVOC'!$EP$12,P58='DADOS_INVOC'!$QV$12,P58='DADOS_INVOC'!$QW$12,P58='DADOS_INVOC'!$QX$12,P58='DADOS_INVOC'!$QY$12)),O58,"")</f>
        <v/>
      </c>
      <c r="BJ58">
        <f>IF(OR(P58="",P58='DADOS_INVOC'!$EL$13,P58='DADOS_INVOC'!$EM$13,P58='DADOS_INVOC'!$EN$13,P58='DADOS_INVOC'!$EO$13,P58='DADOS_INVOC'!$EP$13,P58='DADOS_INVOC'!$QV$13,P58='DADOS_INVOC'!$QW$13,P58='DADOS_INVOC'!$QX$13,P58='DADOS_INVOC'!$QY$13),O58,"")</f>
        <v/>
      </c>
      <c r="BK58">
        <f>IF(AND(Q58=1,OR(P58="",P58='DADOS_INVOC'!$EL$13,P58='DADOS_INVOC'!$EM$13,P58='DADOS_INVOC'!$EN$13,P58='DADOS_INVOC'!$EO$13,P58='DADOS_INVOC'!$EP$13,P58='DADOS_INVOC'!$QV$13,P58='DADOS_INVOC'!$QW$13,P58='DADOS_INVOC'!$QX$13,P58='DADOS_INVOC'!$QY$13)),O58,"")</f>
        <v/>
      </c>
      <c r="BP58" t="inlineStr">
        <is>
          <t>Rasga Escudo</t>
        </is>
      </c>
    </row>
    <row r="59">
      <c r="O59">
        <f>IF(ISBLANK(DADOS_AM!$BC$59),"",DADOS_AM!$BC$59)</f>
        <v/>
      </c>
      <c r="P59">
        <f>IF(ISBLANK(DADOS_AM!$BD$59),"",DADOS_AM!$BD$59)</f>
        <v/>
      </c>
      <c r="Q59">
        <f>IF(ISBLANK(DADOS_AM!$BE$59),"",DADOS_AM!$BE$59)</f>
        <v/>
      </c>
      <c r="R59">
        <f>IF(ISBLANK(DADOS_AM!$BF$59),"",DADOS_AM!$BF$59)</f>
        <v/>
      </c>
      <c r="S59">
        <f>IF(ISBLANK(DADOS_AM!$BG$59),"",DADOS_AM!$BG$59)</f>
        <v/>
      </c>
      <c r="T59">
        <f>IF(ISBLANK(DADOS_AM!$BH$59),"",DADOS_AM!$BH$59)</f>
        <v/>
      </c>
      <c r="U59">
        <f>IF(ISBLANK(DADOS_AM!$BI$59),"",DADOS_AM!$BI$59)</f>
        <v/>
      </c>
      <c r="V59">
        <f>IF(ISBLANK(DADOS_AM!$BJ$59),"",DADOS_AM!$BJ$59)</f>
        <v/>
      </c>
      <c r="W59">
        <f>IF(ISBLANK(DADOS_AM!$BK$59),"",DADOS_AM!$BK$59)</f>
        <v/>
      </c>
      <c r="X59" t="inlineStr">
        <is>
          <t>Rápido</t>
        </is>
      </c>
      <c r="Y59" t="n">
        <v>0</v>
      </c>
      <c r="AG59">
        <f>O59</f>
        <v/>
      </c>
      <c r="AH59">
        <f>P59</f>
        <v/>
      </c>
      <c r="AI59">
        <f>Q59</f>
        <v/>
      </c>
      <c r="AJ59">
        <f>T59</f>
        <v/>
      </c>
      <c r="AK59">
        <f>Y59</f>
        <v/>
      </c>
      <c r="AL59">
        <f>W59</f>
        <v/>
      </c>
      <c r="AN59">
        <f>IF(OR(P59="",P59='DADOS_INVOC'!$EL$2,P59='DADOS_INVOC'!$EM$2,P59='DADOS_INVOC'!$EN$2,P59='DADOS_INVOC'!$EO$2,P59='DADOS_INVOC'!$EP$2,P59='DADOS_INVOC'!$QV$2,P59='DADOS_INVOC'!$QW$2,P59='DADOS_INVOC'!$QX$2,P59='DADOS_INVOC'!$QY$2),O59,"")</f>
        <v/>
      </c>
      <c r="AO59">
        <f>IF(AND(Q59=1,OR(P59="",P59='DADOS_INVOC'!$EL$2,P59='DADOS_INVOC'!$EM$2,P59='DADOS_INVOC'!$EN$2,P59='DADOS_INVOC'!$EO$2,P59='DADOS_INVOC'!$EP$2,P59='DADOS_INVOC'!$QV$2,P59='DADOS_INVOC'!$QW$2,P59='DADOS_INVOC'!$QX$2,P59='DADOS_INVOC'!$QY$2)),O59,"")</f>
        <v/>
      </c>
      <c r="AP59">
        <f>IF(OR(P59="",P59='DADOS_INVOC'!$EL$3,P59='DADOS_INVOC'!$EM$3,P59='DADOS_INVOC'!$EN$3,P59='DADOS_INVOC'!$EO$3,P59='DADOS_INVOC'!$EP$3,P59='DADOS_INVOC'!$QV$3,P59='DADOS_INVOC'!$QW$3,P59='DADOS_INVOC'!$QX$3,P59='DADOS_INVOC'!$QY$3),O59,"")</f>
        <v/>
      </c>
      <c r="AQ59">
        <f>IF(AND(Q59=1,OR(P59="",P59='DADOS_INVOC'!$EL$3,P59='DADOS_INVOC'!$EM$3,P59='DADOS_INVOC'!$EN$3,P59='DADOS_INVOC'!$EO$3,P59='DADOS_INVOC'!$EP$3,P59='DADOS_INVOC'!$QV$3,P59='DADOS_INVOC'!$QW$3,P59='DADOS_INVOC'!$QX$3,P59='DADOS_INVOC'!$QY$3)),O59,"")</f>
        <v/>
      </c>
      <c r="AR59">
        <f>IF(OR(P59="",P59='DADOS_INVOC'!$EL$4,P59='DADOS_INVOC'!$EM$4,P59='DADOS_INVOC'!$EN$4,P59='DADOS_INVOC'!$EO$4,P59='DADOS_INVOC'!$EP$4,P59='DADOS_INVOC'!$QV$4,P59='DADOS_INVOC'!$QW$4,P59='DADOS_INVOC'!$QX$4,P59='DADOS_INVOC'!$QY$4),O59,"")</f>
        <v/>
      </c>
      <c r="AS59">
        <f>IF(AND(Q59=1,OR(P59="",P59='DADOS_INVOC'!$EL$4,P59='DADOS_INVOC'!$EM$4,P59='DADOS_INVOC'!$EN$4,P59='DADOS_INVOC'!$EO$4,P59='DADOS_INVOC'!$EP$4,P59='DADOS_INVOC'!$QV$4,P59='DADOS_INVOC'!$QW$4,P59='DADOS_INVOC'!$QX$4,P59='DADOS_INVOC'!$QY$4)),O59,"")</f>
        <v/>
      </c>
      <c r="AT59">
        <f>IF(OR(P59="",P59='DADOS_INVOC'!$EL$5,P59='DADOS_INVOC'!$EM$5,P59='DADOS_INVOC'!$EN$5,P59='DADOS_INVOC'!$EO$5,P59='DADOS_INVOC'!$EP$5,P59='DADOS_INVOC'!$QV$5,P59='DADOS_INVOC'!$QW$5,P59='DADOS_INVOC'!$QX$5,P59='DADOS_INVOC'!$QY$5),O59,"")</f>
        <v/>
      </c>
      <c r="AU59">
        <f>IF(AND(Q59=1,OR(P59="",P59='DADOS_INVOC'!$EL$5,P59='DADOS_INVOC'!$EM$5,P59='DADOS_INVOC'!$EN$5,P59='DADOS_INVOC'!$EO$5,P59='DADOS_INVOC'!$EP$5,P59='DADOS_INVOC'!$QV$5,P59='DADOS_INVOC'!$QW$5,P59='DADOS_INVOC'!$QX$5,P59='DADOS_INVOC'!$QY$5)),O59,"")</f>
        <v/>
      </c>
      <c r="AV59">
        <f>IF(OR(P59="",P59='DADOS_INVOC'!$EL$6,P59='DADOS_INVOC'!$EM$6,P59='DADOS_INVOC'!$EN$6,P59='DADOS_INVOC'!$EO$6,P59='DADOS_INVOC'!$EP$6,P59='DADOS_INVOC'!$QV$6,P59='DADOS_INVOC'!$QW$6,P59='DADOS_INVOC'!$QX$6,P59='DADOS_INVOC'!$QY$6),O59,"")</f>
        <v/>
      </c>
      <c r="AW59">
        <f>IF(AND(Q59=1,OR(P59="",P59='DADOS_INVOC'!$EL$6,P59='DADOS_INVOC'!$EM$6,P59='DADOS_INVOC'!$EN$6,P59='DADOS_INVOC'!$EO$6,P59='DADOS_INVOC'!$EP$6,P59='DADOS_INVOC'!$QV$6,P59='DADOS_INVOC'!$QW$6,P59='DADOS_INVOC'!$QX$6,P59='DADOS_INVOC'!$QY$6)),O59,"")</f>
        <v/>
      </c>
      <c r="AX59">
        <f>IF(OR(P59="",P59='DADOS_INVOC'!$EL$7,P59='DADOS_INVOC'!$EM$7,P59='DADOS_INVOC'!$EN$7,P59='DADOS_INVOC'!$EO$7,P59='DADOS_INVOC'!$EP$7,P59='DADOS_INVOC'!$QV$7,P59='DADOS_INVOC'!$QW$7,P59='DADOS_INVOC'!$QX$7,P59='DADOS_INVOC'!$QY$7),O59,"")</f>
        <v/>
      </c>
      <c r="AY59">
        <f>IF(AND(Q59=1,OR(P59="",P59='DADOS_INVOC'!$EL$7,P59='DADOS_INVOC'!$EM$7,P59='DADOS_INVOC'!$EN$7,P59='DADOS_INVOC'!$EO$7,P59='DADOS_INVOC'!$EP$7,P59='DADOS_INVOC'!$QV$7,P59='DADOS_INVOC'!$QW$7,P59='DADOS_INVOC'!$QX$7,P59='DADOS_INVOC'!$QY$7)),O59,"")</f>
        <v/>
      </c>
      <c r="AZ59">
        <f>IF(OR(P59="",P59='DADOS_INVOC'!$EL$8,P59='DADOS_INVOC'!$EM$8,P59='DADOS_INVOC'!$EN$8,P59='DADOS_INVOC'!$EO$8,P59='DADOS_INVOC'!$EP$8,P59='DADOS_INVOC'!$QV$8,P59='DADOS_INVOC'!$QW$8,P59='DADOS_INVOC'!$QX$8,P59='DADOS_INVOC'!$QY$8),O59,"")</f>
        <v/>
      </c>
      <c r="BA59">
        <f>IF(AND(Q59=1,OR(P59="",P59='DADOS_INVOC'!$EL$8,P59='DADOS_INVOC'!$EM$8,P59='DADOS_INVOC'!$EN$8,P59='DADOS_INVOC'!$EO$8,P59='DADOS_INVOC'!$EP$8,P59='DADOS_INVOC'!$QV$8,P59='DADOS_INVOC'!$QW$8,P59='DADOS_INVOC'!$QX$8,P59='DADOS_INVOC'!$QY$8)),O59,"")</f>
        <v/>
      </c>
      <c r="BB59">
        <f>IF(OR(P59="",P59='DADOS_INVOC'!$EL$9,P59='DADOS_INVOC'!$EM$9,P59='DADOS_INVOC'!$EN$9,P59='DADOS_INVOC'!$EO$9,P59='DADOS_INVOC'!$EP$9,P59='DADOS_INVOC'!$QV$9,P59='DADOS_INVOC'!$QW$9,P59='DADOS_INVOC'!$QX$9,P59='DADOS_INVOC'!$QY$9),O59,"")</f>
        <v/>
      </c>
      <c r="BC59">
        <f>IF(AND(Q59=1,OR(P59="",P59='DADOS_INVOC'!$EL$9,P59='DADOS_INVOC'!$EM$9,P59='DADOS_INVOC'!$EN$9,P59='DADOS_INVOC'!$EO$9,P59='DADOS_INVOC'!$EP$9,P59='DADOS_INVOC'!$QV$9,P59='DADOS_INVOC'!$QW$9,P59='DADOS_INVOC'!$QX$9,P59='DADOS_INVOC'!$QY$9)),O59,"")</f>
        <v/>
      </c>
      <c r="BD59">
        <f>IF(OR(P59="",P59='DADOS_INVOC'!$EL$10,P59='DADOS_INVOC'!$EM$10,P59='DADOS_INVOC'!$EN$10,P59='DADOS_INVOC'!$EO$10,P59='DADOS_INVOC'!$EP$10,P59='DADOS_INVOC'!$QV$10,P59='DADOS_INVOC'!$QW$10,P59='DADOS_INVOC'!$QX$10,P59='DADOS_INVOC'!$QY$10),O59,"")</f>
        <v/>
      </c>
      <c r="BE59">
        <f>IF(AND(Q59=1,OR(P59="",P59='DADOS_INVOC'!$EL$10,P59='DADOS_INVOC'!$EM$10,P59='DADOS_INVOC'!$EN$10,P59='DADOS_INVOC'!$EO$10,P59='DADOS_INVOC'!$EP$10,P59='DADOS_INVOC'!$QV$10,P59='DADOS_INVOC'!$QW$10,P59='DADOS_INVOC'!$QX$10,P59='DADOS_INVOC'!$QY$10)),O59,"")</f>
        <v/>
      </c>
      <c r="BF59">
        <f>IF(OR(P59="",P59='DADOS_INVOC'!$EL$11,P59='DADOS_INVOC'!$EM$11,P59='DADOS_INVOC'!$EN$11,P59='DADOS_INVOC'!$EO$11,P59='DADOS_INVOC'!$EP$11,P59='DADOS_INVOC'!$QV$11,P59='DADOS_INVOC'!$QW$11,P59='DADOS_INVOC'!$QX$11,P59='DADOS_INVOC'!$QY$11),O59,"")</f>
        <v/>
      </c>
      <c r="BG59">
        <f>IF(AND(Q59=1,OR(P59="",P59='DADOS_INVOC'!$EL$11,P59='DADOS_INVOC'!$EM$11,P59='DADOS_INVOC'!$EN$11,P59='DADOS_INVOC'!$EO$11,P59='DADOS_INVOC'!$EP$11,P59='DADOS_INVOC'!$QV$11,P59='DADOS_INVOC'!$QW$11,P59='DADOS_INVOC'!$QX$11,P59='DADOS_INVOC'!$QY$11)),O59,"")</f>
        <v/>
      </c>
      <c r="BH59">
        <f>IF(OR(P59="",P59='DADOS_INVOC'!$EL$12,P59='DADOS_INVOC'!$EM$12,P59='DADOS_INVOC'!$EN$12,P59='DADOS_INVOC'!$EO$12,P59='DADOS_INVOC'!$EP$12,P59='DADOS_INVOC'!$QV$12,P59='DADOS_INVOC'!$QW$12,P59='DADOS_INVOC'!$QX$12,P59='DADOS_INVOC'!$QY$12),O59,"")</f>
        <v/>
      </c>
      <c r="BI59">
        <f>IF(AND(Q59=1,OR(P59="",P59='DADOS_INVOC'!$EL$12,P59='DADOS_INVOC'!$EM$12,P59='DADOS_INVOC'!$EN$12,P59='DADOS_INVOC'!$EO$12,P59='DADOS_INVOC'!$EP$12,P59='DADOS_INVOC'!$QV$12,P59='DADOS_INVOC'!$QW$12,P59='DADOS_INVOC'!$QX$12,P59='DADOS_INVOC'!$QY$12)),O59,"")</f>
        <v/>
      </c>
      <c r="BJ59">
        <f>IF(OR(P59="",P59='DADOS_INVOC'!$EL$13,P59='DADOS_INVOC'!$EM$13,P59='DADOS_INVOC'!$EN$13,P59='DADOS_INVOC'!$EO$13,P59='DADOS_INVOC'!$EP$13,P59='DADOS_INVOC'!$QV$13,P59='DADOS_INVOC'!$QW$13,P59='DADOS_INVOC'!$QX$13,P59='DADOS_INVOC'!$QY$13),O59,"")</f>
        <v/>
      </c>
      <c r="BK59">
        <f>IF(AND(Q59=1,OR(P59="",P59='DADOS_INVOC'!$EL$13,P59='DADOS_INVOC'!$EM$13,P59='DADOS_INVOC'!$EN$13,P59='DADOS_INVOC'!$EO$13,P59='DADOS_INVOC'!$EP$13,P59='DADOS_INVOC'!$QV$13,P59='DADOS_INVOC'!$QW$13,P59='DADOS_INVOC'!$QX$13,P59='DADOS_INVOC'!$QY$13)),O59,"")</f>
        <v/>
      </c>
      <c r="BP59" t="inlineStr">
        <is>
          <t>Sem Cura</t>
        </is>
      </c>
    </row>
    <row r="60">
      <c r="O60">
        <f>IF(ISBLANK(DADOS_AM!$BC$60),"",DADOS_AM!$BC$60)</f>
        <v/>
      </c>
      <c r="P60">
        <f>IF(ISBLANK(DADOS_AM!$BD$60),"",DADOS_AM!$BD$60)</f>
        <v/>
      </c>
      <c r="Q60">
        <f>IF(ISBLANK(DADOS_AM!$BE$60),"",DADOS_AM!$BE$60)</f>
        <v/>
      </c>
      <c r="R60">
        <f>IF(ISBLANK(DADOS_AM!$BF$60),"",DADOS_AM!$BF$60)</f>
        <v/>
      </c>
      <c r="S60">
        <f>IF(ISBLANK(DADOS_AM!$BG$60),"",DADOS_AM!$BG$60)</f>
        <v/>
      </c>
      <c r="T60">
        <f>IF(ISBLANK(DADOS_AM!$BH$60),"",DADOS_AM!$BH$60)</f>
        <v/>
      </c>
      <c r="U60">
        <f>IF(ISBLANK(DADOS_AM!$BI$60),"",DADOS_AM!$BI$60)</f>
        <v/>
      </c>
      <c r="V60">
        <f>IF(ISBLANK(DADOS_AM!$BJ$60),"",DADOS_AM!$BJ$60)</f>
        <v/>
      </c>
      <c r="W60">
        <f>IF(ISBLANK(DADOS_AM!$BK$60),"",DADOS_AM!$BK$60)</f>
        <v/>
      </c>
      <c r="X60" t="inlineStr">
        <is>
          <t>Reação</t>
        </is>
      </c>
      <c r="Y60" t="n">
        <v>0</v>
      </c>
      <c r="AG60">
        <f>O60</f>
        <v/>
      </c>
      <c r="AH60">
        <f>P60</f>
        <v/>
      </c>
      <c r="AI60">
        <f>Q60</f>
        <v/>
      </c>
      <c r="AJ60">
        <f>T60</f>
        <v/>
      </c>
      <c r="AK60">
        <f>Y60</f>
        <v/>
      </c>
      <c r="AL60">
        <f>W60</f>
        <v/>
      </c>
      <c r="AN60">
        <f>IF(OR(P60="",P60='DADOS_INVOC'!$EL$2,P60='DADOS_INVOC'!$EM$2,P60='DADOS_INVOC'!$EN$2,P60='DADOS_INVOC'!$EO$2,P60='DADOS_INVOC'!$EP$2,P60='DADOS_INVOC'!$QV$2,P60='DADOS_INVOC'!$QW$2,P60='DADOS_INVOC'!$QX$2,P60='DADOS_INVOC'!$QY$2),O60,"")</f>
        <v/>
      </c>
      <c r="AO60">
        <f>IF(AND(Q60=1,OR(P60="",P60='DADOS_INVOC'!$EL$2,P60='DADOS_INVOC'!$EM$2,P60='DADOS_INVOC'!$EN$2,P60='DADOS_INVOC'!$EO$2,P60='DADOS_INVOC'!$EP$2,P60='DADOS_INVOC'!$QV$2,P60='DADOS_INVOC'!$QW$2,P60='DADOS_INVOC'!$QX$2,P60='DADOS_INVOC'!$QY$2)),O60,"")</f>
        <v/>
      </c>
      <c r="AP60">
        <f>IF(OR(P60="",P60='DADOS_INVOC'!$EL$3,P60='DADOS_INVOC'!$EM$3,P60='DADOS_INVOC'!$EN$3,P60='DADOS_INVOC'!$EO$3,P60='DADOS_INVOC'!$EP$3,P60='DADOS_INVOC'!$QV$3,P60='DADOS_INVOC'!$QW$3,P60='DADOS_INVOC'!$QX$3,P60='DADOS_INVOC'!$QY$3),O60,"")</f>
        <v/>
      </c>
      <c r="AQ60">
        <f>IF(AND(Q60=1,OR(P60="",P60='DADOS_INVOC'!$EL$3,P60='DADOS_INVOC'!$EM$3,P60='DADOS_INVOC'!$EN$3,P60='DADOS_INVOC'!$EO$3,P60='DADOS_INVOC'!$EP$3,P60='DADOS_INVOC'!$QV$3,P60='DADOS_INVOC'!$QW$3,P60='DADOS_INVOC'!$QX$3,P60='DADOS_INVOC'!$QY$3)),O60,"")</f>
        <v/>
      </c>
      <c r="AR60">
        <f>IF(OR(P60="",P60='DADOS_INVOC'!$EL$4,P60='DADOS_INVOC'!$EM$4,P60='DADOS_INVOC'!$EN$4,P60='DADOS_INVOC'!$EO$4,P60='DADOS_INVOC'!$EP$4,P60='DADOS_INVOC'!$QV$4,P60='DADOS_INVOC'!$QW$4,P60='DADOS_INVOC'!$QX$4,P60='DADOS_INVOC'!$QY$4),O60,"")</f>
        <v/>
      </c>
      <c r="AS60">
        <f>IF(AND(Q60=1,OR(P60="",P60='DADOS_INVOC'!$EL$4,P60='DADOS_INVOC'!$EM$4,P60='DADOS_INVOC'!$EN$4,P60='DADOS_INVOC'!$EO$4,P60='DADOS_INVOC'!$EP$4,P60='DADOS_INVOC'!$QV$4,P60='DADOS_INVOC'!$QW$4,P60='DADOS_INVOC'!$QX$4,P60='DADOS_INVOC'!$QY$4)),O60,"")</f>
        <v/>
      </c>
      <c r="AT60">
        <f>IF(OR(P60="",P60='DADOS_INVOC'!$EL$5,P60='DADOS_INVOC'!$EM$5,P60='DADOS_INVOC'!$EN$5,P60='DADOS_INVOC'!$EO$5,P60='DADOS_INVOC'!$EP$5,P60='DADOS_INVOC'!$QV$5,P60='DADOS_INVOC'!$QW$5,P60='DADOS_INVOC'!$QX$5,P60='DADOS_INVOC'!$QY$5),O60,"")</f>
        <v/>
      </c>
      <c r="AU60">
        <f>IF(AND(Q60=1,OR(P60="",P60='DADOS_INVOC'!$EL$5,P60='DADOS_INVOC'!$EM$5,P60='DADOS_INVOC'!$EN$5,P60='DADOS_INVOC'!$EO$5,P60='DADOS_INVOC'!$EP$5,P60='DADOS_INVOC'!$QV$5,P60='DADOS_INVOC'!$QW$5,P60='DADOS_INVOC'!$QX$5,P60='DADOS_INVOC'!$QY$5)),O60,"")</f>
        <v/>
      </c>
      <c r="AV60">
        <f>IF(OR(P60="",P60='DADOS_INVOC'!$EL$6,P60='DADOS_INVOC'!$EM$6,P60='DADOS_INVOC'!$EN$6,P60='DADOS_INVOC'!$EO$6,P60='DADOS_INVOC'!$EP$6,P60='DADOS_INVOC'!$QV$6,P60='DADOS_INVOC'!$QW$6,P60='DADOS_INVOC'!$QX$6,P60='DADOS_INVOC'!$QY$6),O60,"")</f>
        <v/>
      </c>
      <c r="AW60">
        <f>IF(AND(Q60=1,OR(P60="",P60='DADOS_INVOC'!$EL$6,P60='DADOS_INVOC'!$EM$6,P60='DADOS_INVOC'!$EN$6,P60='DADOS_INVOC'!$EO$6,P60='DADOS_INVOC'!$EP$6,P60='DADOS_INVOC'!$QV$6,P60='DADOS_INVOC'!$QW$6,P60='DADOS_INVOC'!$QX$6,P60='DADOS_INVOC'!$QY$6)),O60,"")</f>
        <v/>
      </c>
      <c r="AX60">
        <f>IF(OR(P60="",P60='DADOS_INVOC'!$EL$7,P60='DADOS_INVOC'!$EM$7,P60='DADOS_INVOC'!$EN$7,P60='DADOS_INVOC'!$EO$7,P60='DADOS_INVOC'!$EP$7,P60='DADOS_INVOC'!$QV$7,P60='DADOS_INVOC'!$QW$7,P60='DADOS_INVOC'!$QX$7,P60='DADOS_INVOC'!$QY$7),O60,"")</f>
        <v/>
      </c>
      <c r="AY60">
        <f>IF(AND(Q60=1,OR(P60="",P60='DADOS_INVOC'!$EL$7,P60='DADOS_INVOC'!$EM$7,P60='DADOS_INVOC'!$EN$7,P60='DADOS_INVOC'!$EO$7,P60='DADOS_INVOC'!$EP$7,P60='DADOS_INVOC'!$QV$7,P60='DADOS_INVOC'!$QW$7,P60='DADOS_INVOC'!$QX$7,P60='DADOS_INVOC'!$QY$7)),O60,"")</f>
        <v/>
      </c>
      <c r="AZ60">
        <f>IF(OR(P60="",P60='DADOS_INVOC'!$EL$8,P60='DADOS_INVOC'!$EM$8,P60='DADOS_INVOC'!$EN$8,P60='DADOS_INVOC'!$EO$8,P60='DADOS_INVOC'!$EP$8,P60='DADOS_INVOC'!$QV$8,P60='DADOS_INVOC'!$QW$8,P60='DADOS_INVOC'!$QX$8,P60='DADOS_INVOC'!$QY$8),O60,"")</f>
        <v/>
      </c>
      <c r="BA60">
        <f>IF(AND(Q60=1,OR(P60="",P60='DADOS_INVOC'!$EL$8,P60='DADOS_INVOC'!$EM$8,P60='DADOS_INVOC'!$EN$8,P60='DADOS_INVOC'!$EO$8,P60='DADOS_INVOC'!$EP$8,P60='DADOS_INVOC'!$QV$8,P60='DADOS_INVOC'!$QW$8,P60='DADOS_INVOC'!$QX$8,P60='DADOS_INVOC'!$QY$8)),O60,"")</f>
        <v/>
      </c>
      <c r="BB60">
        <f>IF(OR(P60="",P60='DADOS_INVOC'!$EL$9,P60='DADOS_INVOC'!$EM$9,P60='DADOS_INVOC'!$EN$9,P60='DADOS_INVOC'!$EO$9,P60='DADOS_INVOC'!$EP$9,P60='DADOS_INVOC'!$QV$9,P60='DADOS_INVOC'!$QW$9,P60='DADOS_INVOC'!$QX$9,P60='DADOS_INVOC'!$QY$9),O60,"")</f>
        <v/>
      </c>
      <c r="BC60">
        <f>IF(AND(Q60=1,OR(P60="",P60='DADOS_INVOC'!$EL$9,P60='DADOS_INVOC'!$EM$9,P60='DADOS_INVOC'!$EN$9,P60='DADOS_INVOC'!$EO$9,P60='DADOS_INVOC'!$EP$9,P60='DADOS_INVOC'!$QV$9,P60='DADOS_INVOC'!$QW$9,P60='DADOS_INVOC'!$QX$9,P60='DADOS_INVOC'!$QY$9)),O60,"")</f>
        <v/>
      </c>
      <c r="BD60">
        <f>IF(OR(P60="",P60='DADOS_INVOC'!$EL$10,P60='DADOS_INVOC'!$EM$10,P60='DADOS_INVOC'!$EN$10,P60='DADOS_INVOC'!$EO$10,P60='DADOS_INVOC'!$EP$10,P60='DADOS_INVOC'!$QV$10,P60='DADOS_INVOC'!$QW$10,P60='DADOS_INVOC'!$QX$10,P60='DADOS_INVOC'!$QY$10),O60,"")</f>
        <v/>
      </c>
      <c r="BE60">
        <f>IF(AND(Q60=1,OR(P60="",P60='DADOS_INVOC'!$EL$10,P60='DADOS_INVOC'!$EM$10,P60='DADOS_INVOC'!$EN$10,P60='DADOS_INVOC'!$EO$10,P60='DADOS_INVOC'!$EP$10,P60='DADOS_INVOC'!$QV$10,P60='DADOS_INVOC'!$QW$10,P60='DADOS_INVOC'!$QX$10,P60='DADOS_INVOC'!$QY$10)),O60,"")</f>
        <v/>
      </c>
      <c r="BF60">
        <f>IF(OR(P60="",P60='DADOS_INVOC'!$EL$11,P60='DADOS_INVOC'!$EM$11,P60='DADOS_INVOC'!$EN$11,P60='DADOS_INVOC'!$EO$11,P60='DADOS_INVOC'!$EP$11,P60='DADOS_INVOC'!$QV$11,P60='DADOS_INVOC'!$QW$11,P60='DADOS_INVOC'!$QX$11,P60='DADOS_INVOC'!$QY$11),O60,"")</f>
        <v/>
      </c>
      <c r="BG60">
        <f>IF(AND(Q60=1,OR(P60="",P60='DADOS_INVOC'!$EL$11,P60='DADOS_INVOC'!$EM$11,P60='DADOS_INVOC'!$EN$11,P60='DADOS_INVOC'!$EO$11,P60='DADOS_INVOC'!$EP$11,P60='DADOS_INVOC'!$QV$11,P60='DADOS_INVOC'!$QW$11,P60='DADOS_INVOC'!$QX$11,P60='DADOS_INVOC'!$QY$11)),O60,"")</f>
        <v/>
      </c>
      <c r="BH60">
        <f>IF(OR(P60="",P60='DADOS_INVOC'!$EL$12,P60='DADOS_INVOC'!$EM$12,P60='DADOS_INVOC'!$EN$12,P60='DADOS_INVOC'!$EO$12,P60='DADOS_INVOC'!$EP$12,P60='DADOS_INVOC'!$QV$12,P60='DADOS_INVOC'!$QW$12,P60='DADOS_INVOC'!$QX$12,P60='DADOS_INVOC'!$QY$12),O60,"")</f>
        <v/>
      </c>
      <c r="BI60">
        <f>IF(AND(Q60=1,OR(P60="",P60='DADOS_INVOC'!$EL$12,P60='DADOS_INVOC'!$EM$12,P60='DADOS_INVOC'!$EN$12,P60='DADOS_INVOC'!$EO$12,P60='DADOS_INVOC'!$EP$12,P60='DADOS_INVOC'!$QV$12,P60='DADOS_INVOC'!$QW$12,P60='DADOS_INVOC'!$QX$12,P60='DADOS_INVOC'!$QY$12)),O60,"")</f>
        <v/>
      </c>
      <c r="BJ60">
        <f>IF(OR(P60="",P60='DADOS_INVOC'!$EL$13,P60='DADOS_INVOC'!$EM$13,P60='DADOS_INVOC'!$EN$13,P60='DADOS_INVOC'!$EO$13,P60='DADOS_INVOC'!$EP$13,P60='DADOS_INVOC'!$QV$13,P60='DADOS_INVOC'!$QW$13,P60='DADOS_INVOC'!$QX$13,P60='DADOS_INVOC'!$QY$13),O60,"")</f>
        <v/>
      </c>
      <c r="BK60">
        <f>IF(AND(Q60=1,OR(P60="",P60='DADOS_INVOC'!$EL$13,P60='DADOS_INVOC'!$EM$13,P60='DADOS_INVOC'!$EN$13,P60='DADOS_INVOC'!$EO$13,P60='DADOS_INVOC'!$EP$13,P60='DADOS_INVOC'!$QV$13,P60='DADOS_INVOC'!$QW$13,P60='DADOS_INVOC'!$QX$13,P60='DADOS_INVOC'!$QY$13)),O60,"")</f>
        <v/>
      </c>
      <c r="BP60" t="inlineStr">
        <is>
          <t>Rápido</t>
        </is>
      </c>
    </row>
    <row r="61">
      <c r="O61">
        <f>IF(ISBLANK(DADOS_AM!$BC$61),"",DADOS_AM!$BC$61)</f>
        <v/>
      </c>
      <c r="P61">
        <f>IF(ISBLANK(DADOS_AM!$BD$61),"",DADOS_AM!$BD$61)</f>
        <v/>
      </c>
      <c r="Q61">
        <f>IF(ISBLANK(DADOS_AM!$BE$61),"",DADOS_AM!$BE$61)</f>
        <v/>
      </c>
      <c r="R61">
        <f>IF(ISBLANK(DADOS_AM!$BF$61),"",DADOS_AM!$BF$61)</f>
        <v/>
      </c>
      <c r="S61">
        <f>IF(ISBLANK(DADOS_AM!$BG$61),"",DADOS_AM!$BG$61)</f>
        <v/>
      </c>
      <c r="T61">
        <f>IF(ISBLANK(DADOS_AM!$BH$61),"",DADOS_AM!$BH$61)</f>
        <v/>
      </c>
      <c r="U61">
        <f>IF(ISBLANK(DADOS_AM!$BI$61),"",DADOS_AM!$BI$61)</f>
        <v/>
      </c>
      <c r="V61">
        <f>IF(ISBLANK(DADOS_AM!$BJ$61),"",DADOS_AM!$BJ$61)</f>
        <v/>
      </c>
      <c r="W61">
        <f>IF(ISBLANK(DADOS_AM!$BK$61),"",DADOS_AM!$BK$61)</f>
        <v/>
      </c>
      <c r="X61" t="inlineStr">
        <is>
          <t>Armado</t>
        </is>
      </c>
      <c r="Y61" t="n">
        <v>0</v>
      </c>
      <c r="AG61">
        <f>O61</f>
        <v/>
      </c>
      <c r="AH61">
        <f>P61</f>
        <v/>
      </c>
      <c r="AI61">
        <f>Q61</f>
        <v/>
      </c>
      <c r="AJ61">
        <f>T61</f>
        <v/>
      </c>
      <c r="AK61">
        <f>Y61</f>
        <v/>
      </c>
      <c r="AL61">
        <f>W61</f>
        <v/>
      </c>
      <c r="AN61">
        <f>IF(OR(P61="",P61='DADOS_INVOC'!$EL$2,P61='DADOS_INVOC'!$EM$2,P61='DADOS_INVOC'!$EN$2,P61='DADOS_INVOC'!$EO$2,P61='DADOS_INVOC'!$EP$2,P61='DADOS_INVOC'!$QV$2,P61='DADOS_INVOC'!$QW$2,P61='DADOS_INVOC'!$QX$2,P61='DADOS_INVOC'!$QY$2),O61,"")</f>
        <v/>
      </c>
      <c r="AO61">
        <f>IF(AND(Q61=1,OR(P61="",P61='DADOS_INVOC'!$EL$2,P61='DADOS_INVOC'!$EM$2,P61='DADOS_INVOC'!$EN$2,P61='DADOS_INVOC'!$EO$2,P61='DADOS_INVOC'!$EP$2,P61='DADOS_INVOC'!$QV$2,P61='DADOS_INVOC'!$QW$2,P61='DADOS_INVOC'!$QX$2,P61='DADOS_INVOC'!$QY$2)),O61,"")</f>
        <v/>
      </c>
      <c r="AP61">
        <f>IF(OR(P61="",P61='DADOS_INVOC'!$EL$3,P61='DADOS_INVOC'!$EM$3,P61='DADOS_INVOC'!$EN$3,P61='DADOS_INVOC'!$EO$3,P61='DADOS_INVOC'!$EP$3,P61='DADOS_INVOC'!$QV$3,P61='DADOS_INVOC'!$QW$3,P61='DADOS_INVOC'!$QX$3,P61='DADOS_INVOC'!$QY$3),O61,"")</f>
        <v/>
      </c>
      <c r="AQ61">
        <f>IF(AND(Q61=1,OR(P61="",P61='DADOS_INVOC'!$EL$3,P61='DADOS_INVOC'!$EM$3,P61='DADOS_INVOC'!$EN$3,P61='DADOS_INVOC'!$EO$3,P61='DADOS_INVOC'!$EP$3,P61='DADOS_INVOC'!$QV$3,P61='DADOS_INVOC'!$QW$3,P61='DADOS_INVOC'!$QX$3,P61='DADOS_INVOC'!$QY$3)),O61,"")</f>
        <v/>
      </c>
      <c r="AR61">
        <f>IF(OR(P61="",P61='DADOS_INVOC'!$EL$4,P61='DADOS_INVOC'!$EM$4,P61='DADOS_INVOC'!$EN$4,P61='DADOS_INVOC'!$EO$4,P61='DADOS_INVOC'!$EP$4,P61='DADOS_INVOC'!$QV$4,P61='DADOS_INVOC'!$QW$4,P61='DADOS_INVOC'!$QX$4,P61='DADOS_INVOC'!$QY$4),O61,"")</f>
        <v/>
      </c>
      <c r="AS61">
        <f>IF(AND(Q61=1,OR(P61="",P61='DADOS_INVOC'!$EL$4,P61='DADOS_INVOC'!$EM$4,P61='DADOS_INVOC'!$EN$4,P61='DADOS_INVOC'!$EO$4,P61='DADOS_INVOC'!$EP$4,P61='DADOS_INVOC'!$QV$4,P61='DADOS_INVOC'!$QW$4,P61='DADOS_INVOC'!$QX$4,P61='DADOS_INVOC'!$QY$4)),O61,"")</f>
        <v/>
      </c>
      <c r="AT61">
        <f>IF(OR(P61="",P61='DADOS_INVOC'!$EL$5,P61='DADOS_INVOC'!$EM$5,P61='DADOS_INVOC'!$EN$5,P61='DADOS_INVOC'!$EO$5,P61='DADOS_INVOC'!$EP$5,P61='DADOS_INVOC'!$QV$5,P61='DADOS_INVOC'!$QW$5,P61='DADOS_INVOC'!$QX$5,P61='DADOS_INVOC'!$QY$5),O61,"")</f>
        <v/>
      </c>
      <c r="AU61">
        <f>IF(AND(Q61=1,OR(P61="",P61='DADOS_INVOC'!$EL$5,P61='DADOS_INVOC'!$EM$5,P61='DADOS_INVOC'!$EN$5,P61='DADOS_INVOC'!$EO$5,P61='DADOS_INVOC'!$EP$5,P61='DADOS_INVOC'!$QV$5,P61='DADOS_INVOC'!$QW$5,P61='DADOS_INVOC'!$QX$5,P61='DADOS_INVOC'!$QY$5)),O61,"")</f>
        <v/>
      </c>
      <c r="AV61">
        <f>IF(OR(P61="",P61='DADOS_INVOC'!$EL$6,P61='DADOS_INVOC'!$EM$6,P61='DADOS_INVOC'!$EN$6,P61='DADOS_INVOC'!$EO$6,P61='DADOS_INVOC'!$EP$6,P61='DADOS_INVOC'!$QV$6,P61='DADOS_INVOC'!$QW$6,P61='DADOS_INVOC'!$QX$6,P61='DADOS_INVOC'!$QY$6),O61,"")</f>
        <v/>
      </c>
      <c r="AW61">
        <f>IF(AND(Q61=1,OR(P61="",P61='DADOS_INVOC'!$EL$6,P61='DADOS_INVOC'!$EM$6,P61='DADOS_INVOC'!$EN$6,P61='DADOS_INVOC'!$EO$6,P61='DADOS_INVOC'!$EP$6,P61='DADOS_INVOC'!$QV$6,P61='DADOS_INVOC'!$QW$6,P61='DADOS_INVOC'!$QX$6,P61='DADOS_INVOC'!$QY$6)),O61,"")</f>
        <v/>
      </c>
      <c r="AX61">
        <f>IF(OR(P61="",P61='DADOS_INVOC'!$EL$7,P61='DADOS_INVOC'!$EM$7,P61='DADOS_INVOC'!$EN$7,P61='DADOS_INVOC'!$EO$7,P61='DADOS_INVOC'!$EP$7,P61='DADOS_INVOC'!$QV$7,P61='DADOS_INVOC'!$QW$7,P61='DADOS_INVOC'!$QX$7,P61='DADOS_INVOC'!$QY$7),O61,"")</f>
        <v/>
      </c>
      <c r="AY61">
        <f>IF(AND(Q61=1,OR(P61="",P61='DADOS_INVOC'!$EL$7,P61='DADOS_INVOC'!$EM$7,P61='DADOS_INVOC'!$EN$7,P61='DADOS_INVOC'!$EO$7,P61='DADOS_INVOC'!$EP$7,P61='DADOS_INVOC'!$QV$7,P61='DADOS_INVOC'!$QW$7,P61='DADOS_INVOC'!$QX$7,P61='DADOS_INVOC'!$QY$7)),O61,"")</f>
        <v/>
      </c>
      <c r="AZ61">
        <f>IF(OR(P61="",P61='DADOS_INVOC'!$EL$8,P61='DADOS_INVOC'!$EM$8,P61='DADOS_INVOC'!$EN$8,P61='DADOS_INVOC'!$EO$8,P61='DADOS_INVOC'!$EP$8,P61='DADOS_INVOC'!$QV$8,P61='DADOS_INVOC'!$QW$8,P61='DADOS_INVOC'!$QX$8,P61='DADOS_INVOC'!$QY$8),O61,"")</f>
        <v/>
      </c>
      <c r="BA61">
        <f>IF(AND(Q61=1,OR(P61="",P61='DADOS_INVOC'!$EL$8,P61='DADOS_INVOC'!$EM$8,P61='DADOS_INVOC'!$EN$8,P61='DADOS_INVOC'!$EO$8,P61='DADOS_INVOC'!$EP$8,P61='DADOS_INVOC'!$QV$8,P61='DADOS_INVOC'!$QW$8,P61='DADOS_INVOC'!$QX$8,P61='DADOS_INVOC'!$QY$8)),O61,"")</f>
        <v/>
      </c>
      <c r="BB61">
        <f>IF(OR(P61="",P61='DADOS_INVOC'!$EL$9,P61='DADOS_INVOC'!$EM$9,P61='DADOS_INVOC'!$EN$9,P61='DADOS_INVOC'!$EO$9,P61='DADOS_INVOC'!$EP$9,P61='DADOS_INVOC'!$QV$9,P61='DADOS_INVOC'!$QW$9,P61='DADOS_INVOC'!$QX$9,P61='DADOS_INVOC'!$QY$9),O61,"")</f>
        <v/>
      </c>
      <c r="BC61">
        <f>IF(AND(Q61=1,OR(P61="",P61='DADOS_INVOC'!$EL$9,P61='DADOS_INVOC'!$EM$9,P61='DADOS_INVOC'!$EN$9,P61='DADOS_INVOC'!$EO$9,P61='DADOS_INVOC'!$EP$9,P61='DADOS_INVOC'!$QV$9,P61='DADOS_INVOC'!$QW$9,P61='DADOS_INVOC'!$QX$9,P61='DADOS_INVOC'!$QY$9)),O61,"")</f>
        <v/>
      </c>
      <c r="BD61">
        <f>IF(OR(P61="",P61='DADOS_INVOC'!$EL$10,P61='DADOS_INVOC'!$EM$10,P61='DADOS_INVOC'!$EN$10,P61='DADOS_INVOC'!$EO$10,P61='DADOS_INVOC'!$EP$10,P61='DADOS_INVOC'!$QV$10,P61='DADOS_INVOC'!$QW$10,P61='DADOS_INVOC'!$QX$10,P61='DADOS_INVOC'!$QY$10),O61,"")</f>
        <v/>
      </c>
      <c r="BE61">
        <f>IF(AND(Q61=1,OR(P61="",P61='DADOS_INVOC'!$EL$10,P61='DADOS_INVOC'!$EM$10,P61='DADOS_INVOC'!$EN$10,P61='DADOS_INVOC'!$EO$10,P61='DADOS_INVOC'!$EP$10,P61='DADOS_INVOC'!$QV$10,P61='DADOS_INVOC'!$QW$10,P61='DADOS_INVOC'!$QX$10,P61='DADOS_INVOC'!$QY$10)),O61,"")</f>
        <v/>
      </c>
      <c r="BF61">
        <f>IF(OR(P61="",P61='DADOS_INVOC'!$EL$11,P61='DADOS_INVOC'!$EM$11,P61='DADOS_INVOC'!$EN$11,P61='DADOS_INVOC'!$EO$11,P61='DADOS_INVOC'!$EP$11,P61='DADOS_INVOC'!$QV$11,P61='DADOS_INVOC'!$QW$11,P61='DADOS_INVOC'!$QX$11,P61='DADOS_INVOC'!$QY$11),O61,"")</f>
        <v/>
      </c>
      <c r="BG61">
        <f>IF(AND(Q61=1,OR(P61="",P61='DADOS_INVOC'!$EL$11,P61='DADOS_INVOC'!$EM$11,P61='DADOS_INVOC'!$EN$11,P61='DADOS_INVOC'!$EO$11,P61='DADOS_INVOC'!$EP$11,P61='DADOS_INVOC'!$QV$11,P61='DADOS_INVOC'!$QW$11,P61='DADOS_INVOC'!$QX$11,P61='DADOS_INVOC'!$QY$11)),O61,"")</f>
        <v/>
      </c>
      <c r="BH61">
        <f>IF(OR(P61="",P61='DADOS_INVOC'!$EL$12,P61='DADOS_INVOC'!$EM$12,P61='DADOS_INVOC'!$EN$12,P61='DADOS_INVOC'!$EO$12,P61='DADOS_INVOC'!$EP$12,P61='DADOS_INVOC'!$QV$12,P61='DADOS_INVOC'!$QW$12,P61='DADOS_INVOC'!$QX$12,P61='DADOS_INVOC'!$QY$12),O61,"")</f>
        <v/>
      </c>
      <c r="BI61">
        <f>IF(AND(Q61=1,OR(P61="",P61='DADOS_INVOC'!$EL$12,P61='DADOS_INVOC'!$EM$12,P61='DADOS_INVOC'!$EN$12,P61='DADOS_INVOC'!$EO$12,P61='DADOS_INVOC'!$EP$12,P61='DADOS_INVOC'!$QV$12,P61='DADOS_INVOC'!$QW$12,P61='DADOS_INVOC'!$QX$12,P61='DADOS_INVOC'!$QY$12)),O61,"")</f>
        <v/>
      </c>
      <c r="BJ61">
        <f>IF(OR(P61="",P61='DADOS_INVOC'!$EL$13,P61='DADOS_INVOC'!$EM$13,P61='DADOS_INVOC'!$EN$13,P61='DADOS_INVOC'!$EO$13,P61='DADOS_INVOC'!$EP$13,P61='DADOS_INVOC'!$QV$13,P61='DADOS_INVOC'!$QW$13,P61='DADOS_INVOC'!$QX$13,P61='DADOS_INVOC'!$QY$13),O61,"")</f>
        <v/>
      </c>
      <c r="BK61">
        <f>IF(AND(Q61=1,OR(P61="",P61='DADOS_INVOC'!$EL$13,P61='DADOS_INVOC'!$EM$13,P61='DADOS_INVOC'!$EN$13,P61='DADOS_INVOC'!$EO$13,P61='DADOS_INVOC'!$EP$13,P61='DADOS_INVOC'!$QV$13,P61='DADOS_INVOC'!$QW$13,P61='DADOS_INVOC'!$QX$13,P61='DADOS_INVOC'!$QY$13)),O61,"")</f>
        <v/>
      </c>
      <c r="BP61" t="inlineStr">
        <is>
          <t>Reação</t>
        </is>
      </c>
    </row>
    <row r="62">
      <c r="O62">
        <f>IF(ISBLANK(DADOS_AM!$BC$62),"",DADOS_AM!$BC$62)</f>
        <v/>
      </c>
      <c r="P62">
        <f>IF(ISBLANK(DADOS_AM!$BD$62),"",DADOS_AM!$BD$62)</f>
        <v/>
      </c>
      <c r="Q62">
        <f>IF(ISBLANK(DADOS_AM!$BE$62),"",DADOS_AM!$BE$62)</f>
        <v/>
      </c>
      <c r="R62">
        <f>IF(ISBLANK(DADOS_AM!$BF$62),"",DADOS_AM!$BF$62)</f>
        <v/>
      </c>
      <c r="S62">
        <f>IF(ISBLANK(DADOS_AM!$BG$62),"",DADOS_AM!$BG$62)</f>
        <v/>
      </c>
      <c r="T62">
        <f>IF(ISBLANK(DADOS_AM!$BH$62),"",DADOS_AM!$BH$62)</f>
        <v/>
      </c>
      <c r="U62">
        <f>IF(ISBLANK(DADOS_AM!$BI$62),"",DADOS_AM!$BI$62)</f>
        <v/>
      </c>
      <c r="V62">
        <f>IF(ISBLANK(DADOS_AM!$BJ$62),"",DADOS_AM!$BJ$62)</f>
        <v/>
      </c>
      <c r="W62">
        <f>IF(ISBLANK(DADOS_AM!$BK$62),"",DADOS_AM!$BK$62)</f>
        <v/>
      </c>
      <c r="X62" t="inlineStr">
        <is>
          <t>Silencioso</t>
        </is>
      </c>
      <c r="Y62" t="n">
        <v>0</v>
      </c>
      <c r="AG62">
        <f>O62</f>
        <v/>
      </c>
      <c r="AH62">
        <f>P62</f>
        <v/>
      </c>
      <c r="AI62">
        <f>Q62</f>
        <v/>
      </c>
      <c r="AJ62">
        <f>T62</f>
        <v/>
      </c>
      <c r="AK62">
        <f>Y62</f>
        <v/>
      </c>
      <c r="AL62">
        <f>W62</f>
        <v/>
      </c>
      <c r="AN62">
        <f>IF(OR(P62="",P62='DADOS_INVOC'!$EL$2,P62='DADOS_INVOC'!$EM$2,P62='DADOS_INVOC'!$EN$2,P62='DADOS_INVOC'!$EO$2,P62='DADOS_INVOC'!$EP$2,P62='DADOS_INVOC'!$QV$2,P62='DADOS_INVOC'!$QW$2,P62='DADOS_INVOC'!$QX$2,P62='DADOS_INVOC'!$QY$2),O62,"")</f>
        <v/>
      </c>
      <c r="AO62">
        <f>IF(AND(Q62=1,OR(P62="",P62='DADOS_INVOC'!$EL$2,P62='DADOS_INVOC'!$EM$2,P62='DADOS_INVOC'!$EN$2,P62='DADOS_INVOC'!$EO$2,P62='DADOS_INVOC'!$EP$2,P62='DADOS_INVOC'!$QV$2,P62='DADOS_INVOC'!$QW$2,P62='DADOS_INVOC'!$QX$2,P62='DADOS_INVOC'!$QY$2)),O62,"")</f>
        <v/>
      </c>
      <c r="AP62">
        <f>IF(OR(P62="",P62='DADOS_INVOC'!$EL$3,P62='DADOS_INVOC'!$EM$3,P62='DADOS_INVOC'!$EN$3,P62='DADOS_INVOC'!$EO$3,P62='DADOS_INVOC'!$EP$3,P62='DADOS_INVOC'!$QV$3,P62='DADOS_INVOC'!$QW$3,P62='DADOS_INVOC'!$QX$3,P62='DADOS_INVOC'!$QY$3),O62,"")</f>
        <v/>
      </c>
      <c r="AQ62">
        <f>IF(AND(Q62=1,OR(P62="",P62='DADOS_INVOC'!$EL$3,P62='DADOS_INVOC'!$EM$3,P62='DADOS_INVOC'!$EN$3,P62='DADOS_INVOC'!$EO$3,P62='DADOS_INVOC'!$EP$3,P62='DADOS_INVOC'!$QV$3,P62='DADOS_INVOC'!$QW$3,P62='DADOS_INVOC'!$QX$3,P62='DADOS_INVOC'!$QY$3)),O62,"")</f>
        <v/>
      </c>
      <c r="AR62">
        <f>IF(OR(P62="",P62='DADOS_INVOC'!$EL$4,P62='DADOS_INVOC'!$EM$4,P62='DADOS_INVOC'!$EN$4,P62='DADOS_INVOC'!$EO$4,P62='DADOS_INVOC'!$EP$4,P62='DADOS_INVOC'!$QV$4,P62='DADOS_INVOC'!$QW$4,P62='DADOS_INVOC'!$QX$4,P62='DADOS_INVOC'!$QY$4),O62,"")</f>
        <v/>
      </c>
      <c r="AS62">
        <f>IF(AND(Q62=1,OR(P62="",P62='DADOS_INVOC'!$EL$4,P62='DADOS_INVOC'!$EM$4,P62='DADOS_INVOC'!$EN$4,P62='DADOS_INVOC'!$EO$4,P62='DADOS_INVOC'!$EP$4,P62='DADOS_INVOC'!$QV$4,P62='DADOS_INVOC'!$QW$4,P62='DADOS_INVOC'!$QX$4,P62='DADOS_INVOC'!$QY$4)),O62,"")</f>
        <v/>
      </c>
      <c r="AT62">
        <f>IF(OR(P62="",P62='DADOS_INVOC'!$EL$5,P62='DADOS_INVOC'!$EM$5,P62='DADOS_INVOC'!$EN$5,P62='DADOS_INVOC'!$EO$5,P62='DADOS_INVOC'!$EP$5,P62='DADOS_INVOC'!$QV$5,P62='DADOS_INVOC'!$QW$5,P62='DADOS_INVOC'!$QX$5,P62='DADOS_INVOC'!$QY$5),O62,"")</f>
        <v/>
      </c>
      <c r="AU62">
        <f>IF(AND(Q62=1,OR(P62="",P62='DADOS_INVOC'!$EL$5,P62='DADOS_INVOC'!$EM$5,P62='DADOS_INVOC'!$EN$5,P62='DADOS_INVOC'!$EO$5,P62='DADOS_INVOC'!$EP$5,P62='DADOS_INVOC'!$QV$5,P62='DADOS_INVOC'!$QW$5,P62='DADOS_INVOC'!$QX$5,P62='DADOS_INVOC'!$QY$5)),O62,"")</f>
        <v/>
      </c>
      <c r="AV62">
        <f>IF(OR(P62="",P62='DADOS_INVOC'!$EL$6,P62='DADOS_INVOC'!$EM$6,P62='DADOS_INVOC'!$EN$6,P62='DADOS_INVOC'!$EO$6,P62='DADOS_INVOC'!$EP$6,P62='DADOS_INVOC'!$QV$6,P62='DADOS_INVOC'!$QW$6,P62='DADOS_INVOC'!$QX$6,P62='DADOS_INVOC'!$QY$6),O62,"")</f>
        <v/>
      </c>
      <c r="AW62">
        <f>IF(AND(Q62=1,OR(P62="",P62='DADOS_INVOC'!$EL$6,P62='DADOS_INVOC'!$EM$6,P62='DADOS_INVOC'!$EN$6,P62='DADOS_INVOC'!$EO$6,P62='DADOS_INVOC'!$EP$6,P62='DADOS_INVOC'!$QV$6,P62='DADOS_INVOC'!$QW$6,P62='DADOS_INVOC'!$QX$6,P62='DADOS_INVOC'!$QY$6)),O62,"")</f>
        <v/>
      </c>
      <c r="AX62">
        <f>IF(OR(P62="",P62='DADOS_INVOC'!$EL$7,P62='DADOS_INVOC'!$EM$7,P62='DADOS_INVOC'!$EN$7,P62='DADOS_INVOC'!$EO$7,P62='DADOS_INVOC'!$EP$7,P62='DADOS_INVOC'!$QV$7,P62='DADOS_INVOC'!$QW$7,P62='DADOS_INVOC'!$QX$7,P62='DADOS_INVOC'!$QY$7),O62,"")</f>
        <v/>
      </c>
      <c r="AY62">
        <f>IF(AND(Q62=1,OR(P62="",P62='DADOS_INVOC'!$EL$7,P62='DADOS_INVOC'!$EM$7,P62='DADOS_INVOC'!$EN$7,P62='DADOS_INVOC'!$EO$7,P62='DADOS_INVOC'!$EP$7,P62='DADOS_INVOC'!$QV$7,P62='DADOS_INVOC'!$QW$7,P62='DADOS_INVOC'!$QX$7,P62='DADOS_INVOC'!$QY$7)),O62,"")</f>
        <v/>
      </c>
      <c r="AZ62">
        <f>IF(OR(P62="",P62='DADOS_INVOC'!$EL$8,P62='DADOS_INVOC'!$EM$8,P62='DADOS_INVOC'!$EN$8,P62='DADOS_INVOC'!$EO$8,P62='DADOS_INVOC'!$EP$8,P62='DADOS_INVOC'!$QV$8,P62='DADOS_INVOC'!$QW$8,P62='DADOS_INVOC'!$QX$8,P62='DADOS_INVOC'!$QY$8),O62,"")</f>
        <v/>
      </c>
      <c r="BA62">
        <f>IF(AND(Q62=1,OR(P62="",P62='DADOS_INVOC'!$EL$8,P62='DADOS_INVOC'!$EM$8,P62='DADOS_INVOC'!$EN$8,P62='DADOS_INVOC'!$EO$8,P62='DADOS_INVOC'!$EP$8,P62='DADOS_INVOC'!$QV$8,P62='DADOS_INVOC'!$QW$8,P62='DADOS_INVOC'!$QX$8,P62='DADOS_INVOC'!$QY$8)),O62,"")</f>
        <v/>
      </c>
      <c r="BB62">
        <f>IF(OR(P62="",P62='DADOS_INVOC'!$EL$9,P62='DADOS_INVOC'!$EM$9,P62='DADOS_INVOC'!$EN$9,P62='DADOS_INVOC'!$EO$9,P62='DADOS_INVOC'!$EP$9,P62='DADOS_INVOC'!$QV$9,P62='DADOS_INVOC'!$QW$9,P62='DADOS_INVOC'!$QX$9,P62='DADOS_INVOC'!$QY$9),O62,"")</f>
        <v/>
      </c>
      <c r="BC62">
        <f>IF(AND(Q62=1,OR(P62="",P62='DADOS_INVOC'!$EL$9,P62='DADOS_INVOC'!$EM$9,P62='DADOS_INVOC'!$EN$9,P62='DADOS_INVOC'!$EO$9,P62='DADOS_INVOC'!$EP$9,P62='DADOS_INVOC'!$QV$9,P62='DADOS_INVOC'!$QW$9,P62='DADOS_INVOC'!$QX$9,P62='DADOS_INVOC'!$QY$9)),O62,"")</f>
        <v/>
      </c>
      <c r="BD62">
        <f>IF(OR(P62="",P62='DADOS_INVOC'!$EL$10,P62='DADOS_INVOC'!$EM$10,P62='DADOS_INVOC'!$EN$10,P62='DADOS_INVOC'!$EO$10,P62='DADOS_INVOC'!$EP$10,P62='DADOS_INVOC'!$QV$10,P62='DADOS_INVOC'!$QW$10,P62='DADOS_INVOC'!$QX$10,P62='DADOS_INVOC'!$QY$10),O62,"")</f>
        <v/>
      </c>
      <c r="BE62">
        <f>IF(AND(Q62=1,OR(P62="",P62='DADOS_INVOC'!$EL$10,P62='DADOS_INVOC'!$EM$10,P62='DADOS_INVOC'!$EN$10,P62='DADOS_INVOC'!$EO$10,P62='DADOS_INVOC'!$EP$10,P62='DADOS_INVOC'!$QV$10,P62='DADOS_INVOC'!$QW$10,P62='DADOS_INVOC'!$QX$10,P62='DADOS_INVOC'!$QY$10)),O62,"")</f>
        <v/>
      </c>
      <c r="BF62">
        <f>IF(OR(P62="",P62='DADOS_INVOC'!$EL$11,P62='DADOS_INVOC'!$EM$11,P62='DADOS_INVOC'!$EN$11,P62='DADOS_INVOC'!$EO$11,P62='DADOS_INVOC'!$EP$11,P62='DADOS_INVOC'!$QV$11,P62='DADOS_INVOC'!$QW$11,P62='DADOS_INVOC'!$QX$11,P62='DADOS_INVOC'!$QY$11),O62,"")</f>
        <v/>
      </c>
      <c r="BG62">
        <f>IF(AND(Q62=1,OR(P62="",P62='DADOS_INVOC'!$EL$11,P62='DADOS_INVOC'!$EM$11,P62='DADOS_INVOC'!$EN$11,P62='DADOS_INVOC'!$EO$11,P62='DADOS_INVOC'!$EP$11,P62='DADOS_INVOC'!$QV$11,P62='DADOS_INVOC'!$QW$11,P62='DADOS_INVOC'!$QX$11,P62='DADOS_INVOC'!$QY$11)),O62,"")</f>
        <v/>
      </c>
      <c r="BH62">
        <f>IF(OR(P62="",P62='DADOS_INVOC'!$EL$12,P62='DADOS_INVOC'!$EM$12,P62='DADOS_INVOC'!$EN$12,P62='DADOS_INVOC'!$EO$12,P62='DADOS_INVOC'!$EP$12,P62='DADOS_INVOC'!$QV$12,P62='DADOS_INVOC'!$QW$12,P62='DADOS_INVOC'!$QX$12,P62='DADOS_INVOC'!$QY$12),O62,"")</f>
        <v/>
      </c>
      <c r="BI62">
        <f>IF(AND(Q62=1,OR(P62="",P62='DADOS_INVOC'!$EL$12,P62='DADOS_INVOC'!$EM$12,P62='DADOS_INVOC'!$EN$12,P62='DADOS_INVOC'!$EO$12,P62='DADOS_INVOC'!$EP$12,P62='DADOS_INVOC'!$QV$12,P62='DADOS_INVOC'!$QW$12,P62='DADOS_INVOC'!$QX$12,P62='DADOS_INVOC'!$QY$12)),O62,"")</f>
        <v/>
      </c>
      <c r="BJ62">
        <f>IF(OR(P62="",P62='DADOS_INVOC'!$EL$13,P62='DADOS_INVOC'!$EM$13,P62='DADOS_INVOC'!$EN$13,P62='DADOS_INVOC'!$EO$13,P62='DADOS_INVOC'!$EP$13,P62='DADOS_INVOC'!$QV$13,P62='DADOS_INVOC'!$QW$13,P62='DADOS_INVOC'!$QX$13,P62='DADOS_INVOC'!$QY$13),O62,"")</f>
        <v/>
      </c>
      <c r="BK62">
        <f>IF(AND(Q62=1,OR(P62="",P62='DADOS_INVOC'!$EL$13,P62='DADOS_INVOC'!$EM$13,P62='DADOS_INVOC'!$EN$13,P62='DADOS_INVOC'!$EO$13,P62='DADOS_INVOC'!$EP$13,P62='DADOS_INVOC'!$QV$13,P62='DADOS_INVOC'!$QW$13,P62='DADOS_INVOC'!$QX$13,P62='DADOS_INVOC'!$QY$13)),O62,"")</f>
        <v/>
      </c>
      <c r="BP62" t="inlineStr">
        <is>
          <t>Armado</t>
        </is>
      </c>
    </row>
    <row r="63">
      <c r="O63">
        <f>IF(ISBLANK(DADOS_AM!$BC$63),"",DADOS_AM!$BC$63)</f>
        <v/>
      </c>
      <c r="P63">
        <f>IF(ISBLANK(DADOS_AM!$BD$63),"",DADOS_AM!$BD$63)</f>
        <v/>
      </c>
      <c r="Q63">
        <f>IF(ISBLANK(DADOS_AM!$BE$63),"",DADOS_AM!$BE$63)</f>
        <v/>
      </c>
      <c r="R63">
        <f>IF(ISBLANK(DADOS_AM!$BF$63),"",DADOS_AM!$BF$63)</f>
        <v/>
      </c>
      <c r="S63">
        <f>IF(ISBLANK(DADOS_AM!$BG$63),"",DADOS_AM!$BG$63)</f>
        <v/>
      </c>
      <c r="T63">
        <f>IF(ISBLANK(DADOS_AM!$BH$63),"",DADOS_AM!$BH$63)</f>
        <v/>
      </c>
      <c r="U63">
        <f>IF(ISBLANK(DADOS_AM!$BI$63),"",DADOS_AM!$BI$63)</f>
        <v/>
      </c>
      <c r="V63">
        <f>IF(ISBLANK(DADOS_AM!$BJ$63),"",DADOS_AM!$BJ$63)</f>
        <v/>
      </c>
      <c r="W63">
        <f>IF(ISBLANK(DADOS_AM!$BK$63),"",DADOS_AM!$BK$63)</f>
        <v/>
      </c>
      <c r="X63" t="inlineStr">
        <is>
          <t>Adianta</t>
        </is>
      </c>
      <c r="Y63" t="n">
        <v>0</v>
      </c>
      <c r="AG63">
        <f>O63</f>
        <v/>
      </c>
      <c r="AH63">
        <f>P63</f>
        <v/>
      </c>
      <c r="AI63">
        <f>Q63</f>
        <v/>
      </c>
      <c r="AJ63">
        <f>T63</f>
        <v/>
      </c>
      <c r="AK63">
        <f>Y63</f>
        <v/>
      </c>
      <c r="AL63">
        <f>W63</f>
        <v/>
      </c>
      <c r="AN63">
        <f>IF(OR(P63="",P63='DADOS_INVOC'!$EL$2,P63='DADOS_INVOC'!$EM$2,P63='DADOS_INVOC'!$EN$2,P63='DADOS_INVOC'!$EO$2,P63='DADOS_INVOC'!$EP$2,P63='DADOS_INVOC'!$QV$2,P63='DADOS_INVOC'!$QW$2,P63='DADOS_INVOC'!$QX$2,P63='DADOS_INVOC'!$QY$2),O63,"")</f>
        <v/>
      </c>
      <c r="AO63">
        <f>IF(AND(Q63=1,OR(P63="",P63='DADOS_INVOC'!$EL$2,P63='DADOS_INVOC'!$EM$2,P63='DADOS_INVOC'!$EN$2,P63='DADOS_INVOC'!$EO$2,P63='DADOS_INVOC'!$EP$2,P63='DADOS_INVOC'!$QV$2,P63='DADOS_INVOC'!$QW$2,P63='DADOS_INVOC'!$QX$2,P63='DADOS_INVOC'!$QY$2)),O63,"")</f>
        <v/>
      </c>
      <c r="AP63">
        <f>IF(OR(P63="",P63='DADOS_INVOC'!$EL$3,P63='DADOS_INVOC'!$EM$3,P63='DADOS_INVOC'!$EN$3,P63='DADOS_INVOC'!$EO$3,P63='DADOS_INVOC'!$EP$3,P63='DADOS_INVOC'!$QV$3,P63='DADOS_INVOC'!$QW$3,P63='DADOS_INVOC'!$QX$3,P63='DADOS_INVOC'!$QY$3),O63,"")</f>
        <v/>
      </c>
      <c r="AQ63">
        <f>IF(AND(Q63=1,OR(P63="",P63='DADOS_INVOC'!$EL$3,P63='DADOS_INVOC'!$EM$3,P63='DADOS_INVOC'!$EN$3,P63='DADOS_INVOC'!$EO$3,P63='DADOS_INVOC'!$EP$3,P63='DADOS_INVOC'!$QV$3,P63='DADOS_INVOC'!$QW$3,P63='DADOS_INVOC'!$QX$3,P63='DADOS_INVOC'!$QY$3)),O63,"")</f>
        <v/>
      </c>
      <c r="AR63">
        <f>IF(OR(P63="",P63='DADOS_INVOC'!$EL$4,P63='DADOS_INVOC'!$EM$4,P63='DADOS_INVOC'!$EN$4,P63='DADOS_INVOC'!$EO$4,P63='DADOS_INVOC'!$EP$4,P63='DADOS_INVOC'!$QV$4,P63='DADOS_INVOC'!$QW$4,P63='DADOS_INVOC'!$QX$4,P63='DADOS_INVOC'!$QY$4),O63,"")</f>
        <v/>
      </c>
      <c r="AS63">
        <f>IF(AND(Q63=1,OR(P63="",P63='DADOS_INVOC'!$EL$4,P63='DADOS_INVOC'!$EM$4,P63='DADOS_INVOC'!$EN$4,P63='DADOS_INVOC'!$EO$4,P63='DADOS_INVOC'!$EP$4,P63='DADOS_INVOC'!$QV$4,P63='DADOS_INVOC'!$QW$4,P63='DADOS_INVOC'!$QX$4,P63='DADOS_INVOC'!$QY$4)),O63,"")</f>
        <v/>
      </c>
      <c r="AT63">
        <f>IF(OR(P63="",P63='DADOS_INVOC'!$EL$5,P63='DADOS_INVOC'!$EM$5,P63='DADOS_INVOC'!$EN$5,P63='DADOS_INVOC'!$EO$5,P63='DADOS_INVOC'!$EP$5,P63='DADOS_INVOC'!$QV$5,P63='DADOS_INVOC'!$QW$5,P63='DADOS_INVOC'!$QX$5,P63='DADOS_INVOC'!$QY$5),O63,"")</f>
        <v/>
      </c>
      <c r="AU63">
        <f>IF(AND(Q63=1,OR(P63="",P63='DADOS_INVOC'!$EL$5,P63='DADOS_INVOC'!$EM$5,P63='DADOS_INVOC'!$EN$5,P63='DADOS_INVOC'!$EO$5,P63='DADOS_INVOC'!$EP$5,P63='DADOS_INVOC'!$QV$5,P63='DADOS_INVOC'!$QW$5,P63='DADOS_INVOC'!$QX$5,P63='DADOS_INVOC'!$QY$5)),O63,"")</f>
        <v/>
      </c>
      <c r="AV63">
        <f>IF(OR(P63="",P63='DADOS_INVOC'!$EL$6,P63='DADOS_INVOC'!$EM$6,P63='DADOS_INVOC'!$EN$6,P63='DADOS_INVOC'!$EO$6,P63='DADOS_INVOC'!$EP$6,P63='DADOS_INVOC'!$QV$6,P63='DADOS_INVOC'!$QW$6,P63='DADOS_INVOC'!$QX$6,P63='DADOS_INVOC'!$QY$6),O63,"")</f>
        <v/>
      </c>
      <c r="AW63">
        <f>IF(AND(Q63=1,OR(P63="",P63='DADOS_INVOC'!$EL$6,P63='DADOS_INVOC'!$EM$6,P63='DADOS_INVOC'!$EN$6,P63='DADOS_INVOC'!$EO$6,P63='DADOS_INVOC'!$EP$6,P63='DADOS_INVOC'!$QV$6,P63='DADOS_INVOC'!$QW$6,P63='DADOS_INVOC'!$QX$6,P63='DADOS_INVOC'!$QY$6)),O63,"")</f>
        <v/>
      </c>
      <c r="AX63">
        <f>IF(OR(P63="",P63='DADOS_INVOC'!$EL$7,P63='DADOS_INVOC'!$EM$7,P63='DADOS_INVOC'!$EN$7,P63='DADOS_INVOC'!$EO$7,P63='DADOS_INVOC'!$EP$7,P63='DADOS_INVOC'!$QV$7,P63='DADOS_INVOC'!$QW$7,P63='DADOS_INVOC'!$QX$7,P63='DADOS_INVOC'!$QY$7),O63,"")</f>
        <v/>
      </c>
      <c r="AY63">
        <f>IF(AND(Q63=1,OR(P63="",P63='DADOS_INVOC'!$EL$7,P63='DADOS_INVOC'!$EM$7,P63='DADOS_INVOC'!$EN$7,P63='DADOS_INVOC'!$EO$7,P63='DADOS_INVOC'!$EP$7,P63='DADOS_INVOC'!$QV$7,P63='DADOS_INVOC'!$QW$7,P63='DADOS_INVOC'!$QX$7,P63='DADOS_INVOC'!$QY$7)),O63,"")</f>
        <v/>
      </c>
      <c r="AZ63">
        <f>IF(OR(P63="",P63='DADOS_INVOC'!$EL$8,P63='DADOS_INVOC'!$EM$8,P63='DADOS_INVOC'!$EN$8,P63='DADOS_INVOC'!$EO$8,P63='DADOS_INVOC'!$EP$8,P63='DADOS_INVOC'!$QV$8,P63='DADOS_INVOC'!$QW$8,P63='DADOS_INVOC'!$QX$8,P63='DADOS_INVOC'!$QY$8),O63,"")</f>
        <v/>
      </c>
      <c r="BA63">
        <f>IF(AND(Q63=1,OR(P63="",P63='DADOS_INVOC'!$EL$8,P63='DADOS_INVOC'!$EM$8,P63='DADOS_INVOC'!$EN$8,P63='DADOS_INVOC'!$EO$8,P63='DADOS_INVOC'!$EP$8,P63='DADOS_INVOC'!$QV$8,P63='DADOS_INVOC'!$QW$8,P63='DADOS_INVOC'!$QX$8,P63='DADOS_INVOC'!$QY$8)),O63,"")</f>
        <v/>
      </c>
      <c r="BB63">
        <f>IF(OR(P63="",P63='DADOS_INVOC'!$EL$9,P63='DADOS_INVOC'!$EM$9,P63='DADOS_INVOC'!$EN$9,P63='DADOS_INVOC'!$EO$9,P63='DADOS_INVOC'!$EP$9,P63='DADOS_INVOC'!$QV$9,P63='DADOS_INVOC'!$QW$9,P63='DADOS_INVOC'!$QX$9,P63='DADOS_INVOC'!$QY$9),O63,"")</f>
        <v/>
      </c>
      <c r="BC63">
        <f>IF(AND(Q63=1,OR(P63="",P63='DADOS_INVOC'!$EL$9,P63='DADOS_INVOC'!$EM$9,P63='DADOS_INVOC'!$EN$9,P63='DADOS_INVOC'!$EO$9,P63='DADOS_INVOC'!$EP$9,P63='DADOS_INVOC'!$QV$9,P63='DADOS_INVOC'!$QW$9,P63='DADOS_INVOC'!$QX$9,P63='DADOS_INVOC'!$QY$9)),O63,"")</f>
        <v/>
      </c>
      <c r="BD63">
        <f>IF(OR(P63="",P63='DADOS_INVOC'!$EL$10,P63='DADOS_INVOC'!$EM$10,P63='DADOS_INVOC'!$EN$10,P63='DADOS_INVOC'!$EO$10,P63='DADOS_INVOC'!$EP$10,P63='DADOS_INVOC'!$QV$10,P63='DADOS_INVOC'!$QW$10,P63='DADOS_INVOC'!$QX$10,P63='DADOS_INVOC'!$QY$10),O63,"")</f>
        <v/>
      </c>
      <c r="BE63">
        <f>IF(AND(Q63=1,OR(P63="",P63='DADOS_INVOC'!$EL$10,P63='DADOS_INVOC'!$EM$10,P63='DADOS_INVOC'!$EN$10,P63='DADOS_INVOC'!$EO$10,P63='DADOS_INVOC'!$EP$10,P63='DADOS_INVOC'!$QV$10,P63='DADOS_INVOC'!$QW$10,P63='DADOS_INVOC'!$QX$10,P63='DADOS_INVOC'!$QY$10)),O63,"")</f>
        <v/>
      </c>
      <c r="BF63">
        <f>IF(OR(P63="",P63='DADOS_INVOC'!$EL$11,P63='DADOS_INVOC'!$EM$11,P63='DADOS_INVOC'!$EN$11,P63='DADOS_INVOC'!$EO$11,P63='DADOS_INVOC'!$EP$11,P63='DADOS_INVOC'!$QV$11,P63='DADOS_INVOC'!$QW$11,P63='DADOS_INVOC'!$QX$11,P63='DADOS_INVOC'!$QY$11),O63,"")</f>
        <v/>
      </c>
      <c r="BG63">
        <f>IF(AND(Q63=1,OR(P63="",P63='DADOS_INVOC'!$EL$11,P63='DADOS_INVOC'!$EM$11,P63='DADOS_INVOC'!$EN$11,P63='DADOS_INVOC'!$EO$11,P63='DADOS_INVOC'!$EP$11,P63='DADOS_INVOC'!$QV$11,P63='DADOS_INVOC'!$QW$11,P63='DADOS_INVOC'!$QX$11,P63='DADOS_INVOC'!$QY$11)),O63,"")</f>
        <v/>
      </c>
      <c r="BH63">
        <f>IF(OR(P63="",P63='DADOS_INVOC'!$EL$12,P63='DADOS_INVOC'!$EM$12,P63='DADOS_INVOC'!$EN$12,P63='DADOS_INVOC'!$EO$12,P63='DADOS_INVOC'!$EP$12,P63='DADOS_INVOC'!$QV$12,P63='DADOS_INVOC'!$QW$12,P63='DADOS_INVOC'!$QX$12,P63='DADOS_INVOC'!$QY$12),O63,"")</f>
        <v/>
      </c>
      <c r="BI63">
        <f>IF(AND(Q63=1,OR(P63="",P63='DADOS_INVOC'!$EL$12,P63='DADOS_INVOC'!$EM$12,P63='DADOS_INVOC'!$EN$12,P63='DADOS_INVOC'!$EO$12,P63='DADOS_INVOC'!$EP$12,P63='DADOS_INVOC'!$QV$12,P63='DADOS_INVOC'!$QW$12,P63='DADOS_INVOC'!$QX$12,P63='DADOS_INVOC'!$QY$12)),O63,"")</f>
        <v/>
      </c>
      <c r="BJ63">
        <f>IF(OR(P63="",P63='DADOS_INVOC'!$EL$13,P63='DADOS_INVOC'!$EM$13,P63='DADOS_INVOC'!$EN$13,P63='DADOS_INVOC'!$EO$13,P63='DADOS_INVOC'!$EP$13,P63='DADOS_INVOC'!$QV$13,P63='DADOS_INVOC'!$QW$13,P63='DADOS_INVOC'!$QX$13,P63='DADOS_INVOC'!$QY$13),O63,"")</f>
        <v/>
      </c>
      <c r="BK63">
        <f>IF(AND(Q63=1,OR(P63="",P63='DADOS_INVOC'!$EL$13,P63='DADOS_INVOC'!$EM$13,P63='DADOS_INVOC'!$EN$13,P63='DADOS_INVOC'!$EO$13,P63='DADOS_INVOC'!$EP$13,P63='DADOS_INVOC'!$QV$13,P63='DADOS_INVOC'!$QW$13,P63='DADOS_INVOC'!$QX$13,P63='DADOS_INVOC'!$QY$13)),O63,"")</f>
        <v/>
      </c>
      <c r="BP63" t="inlineStr">
        <is>
          <t>Silencioso</t>
        </is>
      </c>
    </row>
    <row r="64">
      <c r="O64">
        <f>IF(ISBLANK(DADOS_AM!$BC$64),"",DADOS_AM!$BC$64)</f>
        <v/>
      </c>
      <c r="P64">
        <f>IF(ISBLANK(DADOS_AM!$BD$64),"",DADOS_AM!$BD$64)</f>
        <v/>
      </c>
      <c r="Q64">
        <f>IF(ISBLANK(DADOS_AM!$BE$64),"",DADOS_AM!$BE$64)</f>
        <v/>
      </c>
      <c r="R64">
        <f>IF(ISBLANK(DADOS_AM!$BF$64),"",DADOS_AM!$BF$64)</f>
        <v/>
      </c>
      <c r="S64">
        <f>IF(ISBLANK(DADOS_AM!$BG$64),"",DADOS_AM!$BG$64)</f>
        <v/>
      </c>
      <c r="T64">
        <f>IF(ISBLANK(DADOS_AM!$BH$64),"",DADOS_AM!$BH$64)</f>
        <v/>
      </c>
      <c r="U64">
        <f>IF(ISBLANK(DADOS_AM!$BI$64),"",DADOS_AM!$BI$64)</f>
        <v/>
      </c>
      <c r="V64">
        <f>IF(ISBLANK(DADOS_AM!$BJ$64),"",DADOS_AM!$BJ$64)</f>
        <v/>
      </c>
      <c r="W64">
        <f>IF(ISBLANK(DADOS_AM!$BK$64),"",DADOS_AM!$BK$64)</f>
        <v/>
      </c>
      <c r="X64" t="inlineStr">
        <is>
          <t>Segura</t>
        </is>
      </c>
      <c r="Y64" t="n">
        <v>0</v>
      </c>
      <c r="AG64">
        <f>O64</f>
        <v/>
      </c>
      <c r="AH64">
        <f>P64</f>
        <v/>
      </c>
      <c r="AI64">
        <f>Q64</f>
        <v/>
      </c>
      <c r="AJ64">
        <f>T64</f>
        <v/>
      </c>
      <c r="AK64">
        <f>Y64</f>
        <v/>
      </c>
      <c r="AL64">
        <f>W64</f>
        <v/>
      </c>
      <c r="AN64">
        <f>IF(OR(P64="",P64='DADOS_INVOC'!$EL$2,P64='DADOS_INVOC'!$EM$2,P64='DADOS_INVOC'!$EN$2,P64='DADOS_INVOC'!$EO$2,P64='DADOS_INVOC'!$EP$2,P64='DADOS_INVOC'!$QV$2,P64='DADOS_INVOC'!$QW$2,P64='DADOS_INVOC'!$QX$2,P64='DADOS_INVOC'!$QY$2),O64,"")</f>
        <v/>
      </c>
      <c r="AO64">
        <f>IF(AND(Q64=1,OR(P64="",P64='DADOS_INVOC'!$EL$2,P64='DADOS_INVOC'!$EM$2,P64='DADOS_INVOC'!$EN$2,P64='DADOS_INVOC'!$EO$2,P64='DADOS_INVOC'!$EP$2,P64='DADOS_INVOC'!$QV$2,P64='DADOS_INVOC'!$QW$2,P64='DADOS_INVOC'!$QX$2,P64='DADOS_INVOC'!$QY$2)),O64,"")</f>
        <v/>
      </c>
      <c r="AP64">
        <f>IF(OR(P64="",P64='DADOS_INVOC'!$EL$3,P64='DADOS_INVOC'!$EM$3,P64='DADOS_INVOC'!$EN$3,P64='DADOS_INVOC'!$EO$3,P64='DADOS_INVOC'!$EP$3,P64='DADOS_INVOC'!$QV$3,P64='DADOS_INVOC'!$QW$3,P64='DADOS_INVOC'!$QX$3,P64='DADOS_INVOC'!$QY$3),O64,"")</f>
        <v/>
      </c>
      <c r="AQ64">
        <f>IF(AND(Q64=1,OR(P64="",P64='DADOS_INVOC'!$EL$3,P64='DADOS_INVOC'!$EM$3,P64='DADOS_INVOC'!$EN$3,P64='DADOS_INVOC'!$EO$3,P64='DADOS_INVOC'!$EP$3,P64='DADOS_INVOC'!$QV$3,P64='DADOS_INVOC'!$QW$3,P64='DADOS_INVOC'!$QX$3,P64='DADOS_INVOC'!$QY$3)),O64,"")</f>
        <v/>
      </c>
      <c r="AR64">
        <f>IF(OR(P64="",P64='DADOS_INVOC'!$EL$4,P64='DADOS_INVOC'!$EM$4,P64='DADOS_INVOC'!$EN$4,P64='DADOS_INVOC'!$EO$4,P64='DADOS_INVOC'!$EP$4,P64='DADOS_INVOC'!$QV$4,P64='DADOS_INVOC'!$QW$4,P64='DADOS_INVOC'!$QX$4,P64='DADOS_INVOC'!$QY$4),O64,"")</f>
        <v/>
      </c>
      <c r="AS64">
        <f>IF(AND(Q64=1,OR(P64="",P64='DADOS_INVOC'!$EL$4,P64='DADOS_INVOC'!$EM$4,P64='DADOS_INVOC'!$EN$4,P64='DADOS_INVOC'!$EO$4,P64='DADOS_INVOC'!$EP$4,P64='DADOS_INVOC'!$QV$4,P64='DADOS_INVOC'!$QW$4,P64='DADOS_INVOC'!$QX$4,P64='DADOS_INVOC'!$QY$4)),O64,"")</f>
        <v/>
      </c>
      <c r="AT64">
        <f>IF(OR(P64="",P64='DADOS_INVOC'!$EL$5,P64='DADOS_INVOC'!$EM$5,P64='DADOS_INVOC'!$EN$5,P64='DADOS_INVOC'!$EO$5,P64='DADOS_INVOC'!$EP$5,P64='DADOS_INVOC'!$QV$5,P64='DADOS_INVOC'!$QW$5,P64='DADOS_INVOC'!$QX$5,P64='DADOS_INVOC'!$QY$5),O64,"")</f>
        <v/>
      </c>
      <c r="AU64">
        <f>IF(AND(Q64=1,OR(P64="",P64='DADOS_INVOC'!$EL$5,P64='DADOS_INVOC'!$EM$5,P64='DADOS_INVOC'!$EN$5,P64='DADOS_INVOC'!$EO$5,P64='DADOS_INVOC'!$EP$5,P64='DADOS_INVOC'!$QV$5,P64='DADOS_INVOC'!$QW$5,P64='DADOS_INVOC'!$QX$5,P64='DADOS_INVOC'!$QY$5)),O64,"")</f>
        <v/>
      </c>
      <c r="AV64">
        <f>IF(OR(P64="",P64='DADOS_INVOC'!$EL$6,P64='DADOS_INVOC'!$EM$6,P64='DADOS_INVOC'!$EN$6,P64='DADOS_INVOC'!$EO$6,P64='DADOS_INVOC'!$EP$6,P64='DADOS_INVOC'!$QV$6,P64='DADOS_INVOC'!$QW$6,P64='DADOS_INVOC'!$QX$6,P64='DADOS_INVOC'!$QY$6),O64,"")</f>
        <v/>
      </c>
      <c r="AW64">
        <f>IF(AND(Q64=1,OR(P64="",P64='DADOS_INVOC'!$EL$6,P64='DADOS_INVOC'!$EM$6,P64='DADOS_INVOC'!$EN$6,P64='DADOS_INVOC'!$EO$6,P64='DADOS_INVOC'!$EP$6,P64='DADOS_INVOC'!$QV$6,P64='DADOS_INVOC'!$QW$6,P64='DADOS_INVOC'!$QX$6,P64='DADOS_INVOC'!$QY$6)),O64,"")</f>
        <v/>
      </c>
      <c r="AX64">
        <f>IF(OR(P64="",P64='DADOS_INVOC'!$EL$7,P64='DADOS_INVOC'!$EM$7,P64='DADOS_INVOC'!$EN$7,P64='DADOS_INVOC'!$EO$7,P64='DADOS_INVOC'!$EP$7,P64='DADOS_INVOC'!$QV$7,P64='DADOS_INVOC'!$QW$7,P64='DADOS_INVOC'!$QX$7,P64='DADOS_INVOC'!$QY$7),O64,"")</f>
        <v/>
      </c>
      <c r="AY64">
        <f>IF(AND(Q64=1,OR(P64="",P64='DADOS_INVOC'!$EL$7,P64='DADOS_INVOC'!$EM$7,P64='DADOS_INVOC'!$EN$7,P64='DADOS_INVOC'!$EO$7,P64='DADOS_INVOC'!$EP$7,P64='DADOS_INVOC'!$QV$7,P64='DADOS_INVOC'!$QW$7,P64='DADOS_INVOC'!$QX$7,P64='DADOS_INVOC'!$QY$7)),O64,"")</f>
        <v/>
      </c>
      <c r="AZ64">
        <f>IF(OR(P64="",P64='DADOS_INVOC'!$EL$8,P64='DADOS_INVOC'!$EM$8,P64='DADOS_INVOC'!$EN$8,P64='DADOS_INVOC'!$EO$8,P64='DADOS_INVOC'!$EP$8,P64='DADOS_INVOC'!$QV$8,P64='DADOS_INVOC'!$QW$8,P64='DADOS_INVOC'!$QX$8,P64='DADOS_INVOC'!$QY$8),O64,"")</f>
        <v/>
      </c>
      <c r="BA64">
        <f>IF(AND(Q64=1,OR(P64="",P64='DADOS_INVOC'!$EL$8,P64='DADOS_INVOC'!$EM$8,P64='DADOS_INVOC'!$EN$8,P64='DADOS_INVOC'!$EO$8,P64='DADOS_INVOC'!$EP$8,P64='DADOS_INVOC'!$QV$8,P64='DADOS_INVOC'!$QW$8,P64='DADOS_INVOC'!$QX$8,P64='DADOS_INVOC'!$QY$8)),O64,"")</f>
        <v/>
      </c>
      <c r="BB64">
        <f>IF(OR(P64="",P64='DADOS_INVOC'!$EL$9,P64='DADOS_INVOC'!$EM$9,P64='DADOS_INVOC'!$EN$9,P64='DADOS_INVOC'!$EO$9,P64='DADOS_INVOC'!$EP$9,P64='DADOS_INVOC'!$QV$9,P64='DADOS_INVOC'!$QW$9,P64='DADOS_INVOC'!$QX$9,P64='DADOS_INVOC'!$QY$9),O64,"")</f>
        <v/>
      </c>
      <c r="BC64">
        <f>IF(AND(Q64=1,OR(P64="",P64='DADOS_INVOC'!$EL$9,P64='DADOS_INVOC'!$EM$9,P64='DADOS_INVOC'!$EN$9,P64='DADOS_INVOC'!$EO$9,P64='DADOS_INVOC'!$EP$9,P64='DADOS_INVOC'!$QV$9,P64='DADOS_INVOC'!$QW$9,P64='DADOS_INVOC'!$QX$9,P64='DADOS_INVOC'!$QY$9)),O64,"")</f>
        <v/>
      </c>
      <c r="BD64">
        <f>IF(OR(P64="",P64='DADOS_INVOC'!$EL$10,P64='DADOS_INVOC'!$EM$10,P64='DADOS_INVOC'!$EN$10,P64='DADOS_INVOC'!$EO$10,P64='DADOS_INVOC'!$EP$10,P64='DADOS_INVOC'!$QV$10,P64='DADOS_INVOC'!$QW$10,P64='DADOS_INVOC'!$QX$10,P64='DADOS_INVOC'!$QY$10),O64,"")</f>
        <v/>
      </c>
      <c r="BE64">
        <f>IF(AND(Q64=1,OR(P64="",P64='DADOS_INVOC'!$EL$10,P64='DADOS_INVOC'!$EM$10,P64='DADOS_INVOC'!$EN$10,P64='DADOS_INVOC'!$EO$10,P64='DADOS_INVOC'!$EP$10,P64='DADOS_INVOC'!$QV$10,P64='DADOS_INVOC'!$QW$10,P64='DADOS_INVOC'!$QX$10,P64='DADOS_INVOC'!$QY$10)),O64,"")</f>
        <v/>
      </c>
      <c r="BF64">
        <f>IF(OR(P64="",P64='DADOS_INVOC'!$EL$11,P64='DADOS_INVOC'!$EM$11,P64='DADOS_INVOC'!$EN$11,P64='DADOS_INVOC'!$EO$11,P64='DADOS_INVOC'!$EP$11,P64='DADOS_INVOC'!$QV$11,P64='DADOS_INVOC'!$QW$11,P64='DADOS_INVOC'!$QX$11,P64='DADOS_INVOC'!$QY$11),O64,"")</f>
        <v/>
      </c>
      <c r="BG64">
        <f>IF(AND(Q64=1,OR(P64="",P64='DADOS_INVOC'!$EL$11,P64='DADOS_INVOC'!$EM$11,P64='DADOS_INVOC'!$EN$11,P64='DADOS_INVOC'!$EO$11,P64='DADOS_INVOC'!$EP$11,P64='DADOS_INVOC'!$QV$11,P64='DADOS_INVOC'!$QW$11,P64='DADOS_INVOC'!$QX$11,P64='DADOS_INVOC'!$QY$11)),O64,"")</f>
        <v/>
      </c>
      <c r="BH64">
        <f>IF(OR(P64="",P64='DADOS_INVOC'!$EL$12,P64='DADOS_INVOC'!$EM$12,P64='DADOS_INVOC'!$EN$12,P64='DADOS_INVOC'!$EO$12,P64='DADOS_INVOC'!$EP$12,P64='DADOS_INVOC'!$QV$12,P64='DADOS_INVOC'!$QW$12,P64='DADOS_INVOC'!$QX$12,P64='DADOS_INVOC'!$QY$12),O64,"")</f>
        <v/>
      </c>
      <c r="BI64">
        <f>IF(AND(Q64=1,OR(P64="",P64='DADOS_INVOC'!$EL$12,P64='DADOS_INVOC'!$EM$12,P64='DADOS_INVOC'!$EN$12,P64='DADOS_INVOC'!$EO$12,P64='DADOS_INVOC'!$EP$12,P64='DADOS_INVOC'!$QV$12,P64='DADOS_INVOC'!$QW$12,P64='DADOS_INVOC'!$QX$12,P64='DADOS_INVOC'!$QY$12)),O64,"")</f>
        <v/>
      </c>
      <c r="BJ64">
        <f>IF(OR(P64="",P64='DADOS_INVOC'!$EL$13,P64='DADOS_INVOC'!$EM$13,P64='DADOS_INVOC'!$EN$13,P64='DADOS_INVOC'!$EO$13,P64='DADOS_INVOC'!$EP$13,P64='DADOS_INVOC'!$QV$13,P64='DADOS_INVOC'!$QW$13,P64='DADOS_INVOC'!$QX$13,P64='DADOS_INVOC'!$QY$13),O64,"")</f>
        <v/>
      </c>
      <c r="BK64">
        <f>IF(AND(Q64=1,OR(P64="",P64='DADOS_INVOC'!$EL$13,P64='DADOS_INVOC'!$EM$13,P64='DADOS_INVOC'!$EN$13,P64='DADOS_INVOC'!$EO$13,P64='DADOS_INVOC'!$EP$13,P64='DADOS_INVOC'!$QV$13,P64='DADOS_INVOC'!$QW$13,P64='DADOS_INVOC'!$QX$13,P64='DADOS_INVOC'!$QY$13)),O64,"")</f>
        <v/>
      </c>
      <c r="BP64" t="inlineStr">
        <is>
          <t>Adianta</t>
        </is>
      </c>
    </row>
    <row r="65">
      <c r="O65">
        <f>IF(ISBLANK(DADOS_AM!$BC$65),"",DADOS_AM!$BC$65)</f>
        <v/>
      </c>
      <c r="P65">
        <f>IF(ISBLANK(DADOS_AM!$BD$65),"",DADOS_AM!$BD$65)</f>
        <v/>
      </c>
      <c r="Q65">
        <f>IF(ISBLANK(DADOS_AM!$BE$65),"",DADOS_AM!$BE$65)</f>
        <v/>
      </c>
      <c r="R65">
        <f>IF(ISBLANK(DADOS_AM!$BF$65),"",DADOS_AM!$BF$65)</f>
        <v/>
      </c>
      <c r="S65">
        <f>IF(ISBLANK(DADOS_AM!$BG$65),"",DADOS_AM!$BG$65)</f>
        <v/>
      </c>
      <c r="T65">
        <f>IF(ISBLANK(DADOS_AM!$BH$65),"",DADOS_AM!$BH$65)</f>
        <v/>
      </c>
      <c r="U65">
        <f>IF(ISBLANK(DADOS_AM!$BI$65),"",DADOS_AM!$BI$65)</f>
        <v/>
      </c>
      <c r="V65">
        <f>IF(ISBLANK(DADOS_AM!$BJ$65),"",DADOS_AM!$BJ$65)</f>
        <v/>
      </c>
      <c r="W65">
        <f>IF(ISBLANK(DADOS_AM!$BK$65),"",DADOS_AM!$BK$65)</f>
        <v/>
      </c>
      <c r="X65" t="inlineStr">
        <is>
          <t>Concentrada</t>
        </is>
      </c>
      <c r="Y65" t="n">
        <v>0</v>
      </c>
      <c r="AG65">
        <f>O65</f>
        <v/>
      </c>
      <c r="AH65">
        <f>P65</f>
        <v/>
      </c>
      <c r="AI65">
        <f>Q65</f>
        <v/>
      </c>
      <c r="AJ65">
        <f>T65</f>
        <v/>
      </c>
      <c r="AK65">
        <f>Y65</f>
        <v/>
      </c>
      <c r="AL65">
        <f>W65</f>
        <v/>
      </c>
      <c r="AN65">
        <f>IF(OR(P65="",P65='DADOS_INVOC'!$EL$2,P65='DADOS_INVOC'!$EM$2,P65='DADOS_INVOC'!$EN$2,P65='DADOS_INVOC'!$EO$2,P65='DADOS_INVOC'!$EP$2,P65='DADOS_INVOC'!$QV$2,P65='DADOS_INVOC'!$QW$2,P65='DADOS_INVOC'!$QX$2,P65='DADOS_INVOC'!$QY$2),O65,"")</f>
        <v/>
      </c>
      <c r="AO65">
        <f>IF(AND(Q65=1,OR(P65="",P65='DADOS_INVOC'!$EL$2,P65='DADOS_INVOC'!$EM$2,P65='DADOS_INVOC'!$EN$2,P65='DADOS_INVOC'!$EO$2,P65='DADOS_INVOC'!$EP$2,P65='DADOS_INVOC'!$QV$2,P65='DADOS_INVOC'!$QW$2,P65='DADOS_INVOC'!$QX$2,P65='DADOS_INVOC'!$QY$2)),O65,"")</f>
        <v/>
      </c>
      <c r="AP65">
        <f>IF(OR(P65="",P65='DADOS_INVOC'!$EL$3,P65='DADOS_INVOC'!$EM$3,P65='DADOS_INVOC'!$EN$3,P65='DADOS_INVOC'!$EO$3,P65='DADOS_INVOC'!$EP$3,P65='DADOS_INVOC'!$QV$3,P65='DADOS_INVOC'!$QW$3,P65='DADOS_INVOC'!$QX$3,P65='DADOS_INVOC'!$QY$3),O65,"")</f>
        <v/>
      </c>
      <c r="AQ65">
        <f>IF(AND(Q65=1,OR(P65="",P65='DADOS_INVOC'!$EL$3,P65='DADOS_INVOC'!$EM$3,P65='DADOS_INVOC'!$EN$3,P65='DADOS_INVOC'!$EO$3,P65='DADOS_INVOC'!$EP$3,P65='DADOS_INVOC'!$QV$3,P65='DADOS_INVOC'!$QW$3,P65='DADOS_INVOC'!$QX$3,P65='DADOS_INVOC'!$QY$3)),O65,"")</f>
        <v/>
      </c>
      <c r="AR65">
        <f>IF(OR(P65="",P65='DADOS_INVOC'!$EL$4,P65='DADOS_INVOC'!$EM$4,P65='DADOS_INVOC'!$EN$4,P65='DADOS_INVOC'!$EO$4,P65='DADOS_INVOC'!$EP$4,P65='DADOS_INVOC'!$QV$4,P65='DADOS_INVOC'!$QW$4,P65='DADOS_INVOC'!$QX$4,P65='DADOS_INVOC'!$QY$4),O65,"")</f>
        <v/>
      </c>
      <c r="AS65">
        <f>IF(AND(Q65=1,OR(P65="",P65='DADOS_INVOC'!$EL$4,P65='DADOS_INVOC'!$EM$4,P65='DADOS_INVOC'!$EN$4,P65='DADOS_INVOC'!$EO$4,P65='DADOS_INVOC'!$EP$4,P65='DADOS_INVOC'!$QV$4,P65='DADOS_INVOC'!$QW$4,P65='DADOS_INVOC'!$QX$4,P65='DADOS_INVOC'!$QY$4)),O65,"")</f>
        <v/>
      </c>
      <c r="AT65">
        <f>IF(OR(P65="",P65='DADOS_INVOC'!$EL$5,P65='DADOS_INVOC'!$EM$5,P65='DADOS_INVOC'!$EN$5,P65='DADOS_INVOC'!$EO$5,P65='DADOS_INVOC'!$EP$5,P65='DADOS_INVOC'!$QV$5,P65='DADOS_INVOC'!$QW$5,P65='DADOS_INVOC'!$QX$5,P65='DADOS_INVOC'!$QY$5),O65,"")</f>
        <v/>
      </c>
      <c r="AU65">
        <f>IF(AND(Q65=1,OR(P65="",P65='DADOS_INVOC'!$EL$5,P65='DADOS_INVOC'!$EM$5,P65='DADOS_INVOC'!$EN$5,P65='DADOS_INVOC'!$EO$5,P65='DADOS_INVOC'!$EP$5,P65='DADOS_INVOC'!$QV$5,P65='DADOS_INVOC'!$QW$5,P65='DADOS_INVOC'!$QX$5,P65='DADOS_INVOC'!$QY$5)),O65,"")</f>
        <v/>
      </c>
      <c r="AV65">
        <f>IF(OR(P65="",P65='DADOS_INVOC'!$EL$6,P65='DADOS_INVOC'!$EM$6,P65='DADOS_INVOC'!$EN$6,P65='DADOS_INVOC'!$EO$6,P65='DADOS_INVOC'!$EP$6,P65='DADOS_INVOC'!$QV$6,P65='DADOS_INVOC'!$QW$6,P65='DADOS_INVOC'!$QX$6,P65='DADOS_INVOC'!$QY$6),O65,"")</f>
        <v/>
      </c>
      <c r="AW65">
        <f>IF(AND(Q65=1,OR(P65="",P65='DADOS_INVOC'!$EL$6,P65='DADOS_INVOC'!$EM$6,P65='DADOS_INVOC'!$EN$6,P65='DADOS_INVOC'!$EO$6,P65='DADOS_INVOC'!$EP$6,P65='DADOS_INVOC'!$QV$6,P65='DADOS_INVOC'!$QW$6,P65='DADOS_INVOC'!$QX$6,P65='DADOS_INVOC'!$QY$6)),O65,"")</f>
        <v/>
      </c>
      <c r="AX65">
        <f>IF(OR(P65="",P65='DADOS_INVOC'!$EL$7,P65='DADOS_INVOC'!$EM$7,P65='DADOS_INVOC'!$EN$7,P65='DADOS_INVOC'!$EO$7,P65='DADOS_INVOC'!$EP$7,P65='DADOS_INVOC'!$QV$7,P65='DADOS_INVOC'!$QW$7,P65='DADOS_INVOC'!$QX$7,P65='DADOS_INVOC'!$QY$7),O65,"")</f>
        <v/>
      </c>
      <c r="AY65">
        <f>IF(AND(Q65=1,OR(P65="",P65='DADOS_INVOC'!$EL$7,P65='DADOS_INVOC'!$EM$7,P65='DADOS_INVOC'!$EN$7,P65='DADOS_INVOC'!$EO$7,P65='DADOS_INVOC'!$EP$7,P65='DADOS_INVOC'!$QV$7,P65='DADOS_INVOC'!$QW$7,P65='DADOS_INVOC'!$QX$7,P65='DADOS_INVOC'!$QY$7)),O65,"")</f>
        <v/>
      </c>
      <c r="AZ65">
        <f>IF(OR(P65="",P65='DADOS_INVOC'!$EL$8,P65='DADOS_INVOC'!$EM$8,P65='DADOS_INVOC'!$EN$8,P65='DADOS_INVOC'!$EO$8,P65='DADOS_INVOC'!$EP$8,P65='DADOS_INVOC'!$QV$8,P65='DADOS_INVOC'!$QW$8,P65='DADOS_INVOC'!$QX$8,P65='DADOS_INVOC'!$QY$8),O65,"")</f>
        <v/>
      </c>
      <c r="BA65">
        <f>IF(AND(Q65=1,OR(P65="",P65='DADOS_INVOC'!$EL$8,P65='DADOS_INVOC'!$EM$8,P65='DADOS_INVOC'!$EN$8,P65='DADOS_INVOC'!$EO$8,P65='DADOS_INVOC'!$EP$8,P65='DADOS_INVOC'!$QV$8,P65='DADOS_INVOC'!$QW$8,P65='DADOS_INVOC'!$QX$8,P65='DADOS_INVOC'!$QY$8)),O65,"")</f>
        <v/>
      </c>
      <c r="BB65">
        <f>IF(OR(P65="",P65='DADOS_INVOC'!$EL$9,P65='DADOS_INVOC'!$EM$9,P65='DADOS_INVOC'!$EN$9,P65='DADOS_INVOC'!$EO$9,P65='DADOS_INVOC'!$EP$9,P65='DADOS_INVOC'!$QV$9,P65='DADOS_INVOC'!$QW$9,P65='DADOS_INVOC'!$QX$9,P65='DADOS_INVOC'!$QY$9),O65,"")</f>
        <v/>
      </c>
      <c r="BC65">
        <f>IF(AND(Q65=1,OR(P65="",P65='DADOS_INVOC'!$EL$9,P65='DADOS_INVOC'!$EM$9,P65='DADOS_INVOC'!$EN$9,P65='DADOS_INVOC'!$EO$9,P65='DADOS_INVOC'!$EP$9,P65='DADOS_INVOC'!$QV$9,P65='DADOS_INVOC'!$QW$9,P65='DADOS_INVOC'!$QX$9,P65='DADOS_INVOC'!$QY$9)),O65,"")</f>
        <v/>
      </c>
      <c r="BD65">
        <f>IF(OR(P65="",P65='DADOS_INVOC'!$EL$10,P65='DADOS_INVOC'!$EM$10,P65='DADOS_INVOC'!$EN$10,P65='DADOS_INVOC'!$EO$10,P65='DADOS_INVOC'!$EP$10,P65='DADOS_INVOC'!$QV$10,P65='DADOS_INVOC'!$QW$10,P65='DADOS_INVOC'!$QX$10,P65='DADOS_INVOC'!$QY$10),O65,"")</f>
        <v/>
      </c>
      <c r="BE65">
        <f>IF(AND(Q65=1,OR(P65="",P65='DADOS_INVOC'!$EL$10,P65='DADOS_INVOC'!$EM$10,P65='DADOS_INVOC'!$EN$10,P65='DADOS_INVOC'!$EO$10,P65='DADOS_INVOC'!$EP$10,P65='DADOS_INVOC'!$QV$10,P65='DADOS_INVOC'!$QW$10,P65='DADOS_INVOC'!$QX$10,P65='DADOS_INVOC'!$QY$10)),O65,"")</f>
        <v/>
      </c>
      <c r="BF65">
        <f>IF(OR(P65="",P65='DADOS_INVOC'!$EL$11,P65='DADOS_INVOC'!$EM$11,P65='DADOS_INVOC'!$EN$11,P65='DADOS_INVOC'!$EO$11,P65='DADOS_INVOC'!$EP$11,P65='DADOS_INVOC'!$QV$11,P65='DADOS_INVOC'!$QW$11,P65='DADOS_INVOC'!$QX$11,P65='DADOS_INVOC'!$QY$11),O65,"")</f>
        <v/>
      </c>
      <c r="BG65">
        <f>IF(AND(Q65=1,OR(P65="",P65='DADOS_INVOC'!$EL$11,P65='DADOS_INVOC'!$EM$11,P65='DADOS_INVOC'!$EN$11,P65='DADOS_INVOC'!$EO$11,P65='DADOS_INVOC'!$EP$11,P65='DADOS_INVOC'!$QV$11,P65='DADOS_INVOC'!$QW$11,P65='DADOS_INVOC'!$QX$11,P65='DADOS_INVOC'!$QY$11)),O65,"")</f>
        <v/>
      </c>
      <c r="BH65">
        <f>IF(OR(P65="",P65='DADOS_INVOC'!$EL$12,P65='DADOS_INVOC'!$EM$12,P65='DADOS_INVOC'!$EN$12,P65='DADOS_INVOC'!$EO$12,P65='DADOS_INVOC'!$EP$12,P65='DADOS_INVOC'!$QV$12,P65='DADOS_INVOC'!$QW$12,P65='DADOS_INVOC'!$QX$12,P65='DADOS_INVOC'!$QY$12),O65,"")</f>
        <v/>
      </c>
      <c r="BI65">
        <f>IF(AND(Q65=1,OR(P65="",P65='DADOS_INVOC'!$EL$12,P65='DADOS_INVOC'!$EM$12,P65='DADOS_INVOC'!$EN$12,P65='DADOS_INVOC'!$EO$12,P65='DADOS_INVOC'!$EP$12,P65='DADOS_INVOC'!$QV$12,P65='DADOS_INVOC'!$QW$12,P65='DADOS_INVOC'!$QX$12,P65='DADOS_INVOC'!$QY$12)),O65,"")</f>
        <v/>
      </c>
      <c r="BJ65">
        <f>IF(OR(P65="",P65='DADOS_INVOC'!$EL$13,P65='DADOS_INVOC'!$EM$13,P65='DADOS_INVOC'!$EN$13,P65='DADOS_INVOC'!$EO$13,P65='DADOS_INVOC'!$EP$13,P65='DADOS_INVOC'!$QV$13,P65='DADOS_INVOC'!$QW$13,P65='DADOS_INVOC'!$QX$13,P65='DADOS_INVOC'!$QY$13),O65,"")</f>
        <v/>
      </c>
      <c r="BK65">
        <f>IF(AND(Q65=1,OR(P65="",P65='DADOS_INVOC'!$EL$13,P65='DADOS_INVOC'!$EM$13,P65='DADOS_INVOC'!$EN$13,P65='DADOS_INVOC'!$EO$13,P65='DADOS_INVOC'!$EP$13,P65='DADOS_INVOC'!$QV$13,P65='DADOS_INVOC'!$QW$13,P65='DADOS_INVOC'!$QX$13,P65='DADOS_INVOC'!$QY$13)),O65,"")</f>
        <v/>
      </c>
      <c r="BP65" t="inlineStr">
        <is>
          <t>Segura</t>
        </is>
      </c>
    </row>
    <row r="66">
      <c r="O66">
        <f>IF(ISBLANK(DADOS_AM!$BC$66),"",DADOS_AM!$BC$66)</f>
        <v/>
      </c>
      <c r="P66">
        <f>IF(ISBLANK(DADOS_AM!$BD$66),"",DADOS_AM!$BD$66)</f>
        <v/>
      </c>
      <c r="Q66">
        <f>IF(ISBLANK(DADOS_AM!$BE$66),"",DADOS_AM!$BE$66)</f>
        <v/>
      </c>
      <c r="R66">
        <f>IF(ISBLANK(DADOS_AM!$BF$66),"",DADOS_AM!$BF$66)</f>
        <v/>
      </c>
      <c r="S66">
        <f>IF(ISBLANK(DADOS_AM!$BG$66),"",DADOS_AM!$BG$66)</f>
        <v/>
      </c>
      <c r="T66">
        <f>IF(ISBLANK(DADOS_AM!$BH$66),"",DADOS_AM!$BH$66)</f>
        <v/>
      </c>
      <c r="U66">
        <f>IF(ISBLANK(DADOS_AM!$BI$66),"",DADOS_AM!$BI$66)</f>
        <v/>
      </c>
      <c r="V66">
        <f>IF(ISBLANK(DADOS_AM!$BJ$66),"",DADOS_AM!$BJ$66)</f>
        <v/>
      </c>
      <c r="W66">
        <f>IF(ISBLANK(DADOS_AM!$BK$66),"",DADOS_AM!$BK$66)</f>
        <v/>
      </c>
      <c r="X66" t="inlineStr">
        <is>
          <t>Duradoura</t>
        </is>
      </c>
      <c r="Y66" t="n">
        <v>0</v>
      </c>
      <c r="AG66">
        <f>O66</f>
        <v/>
      </c>
      <c r="AH66">
        <f>P66</f>
        <v/>
      </c>
      <c r="AI66">
        <f>Q66</f>
        <v/>
      </c>
      <c r="AJ66">
        <f>T66</f>
        <v/>
      </c>
      <c r="AK66">
        <f>Y66</f>
        <v/>
      </c>
      <c r="AL66">
        <f>W66</f>
        <v/>
      </c>
      <c r="AN66">
        <f>IF(OR(P66="",P66='DADOS_INVOC'!$EL$2,P66='DADOS_INVOC'!$EM$2,P66='DADOS_INVOC'!$EN$2,P66='DADOS_INVOC'!$EO$2,P66='DADOS_INVOC'!$EP$2,P66='DADOS_INVOC'!$QV$2,P66='DADOS_INVOC'!$QW$2,P66='DADOS_INVOC'!$QX$2,P66='DADOS_INVOC'!$QY$2),O66,"")</f>
        <v/>
      </c>
      <c r="AO66">
        <f>IF(AND(Q66=1,OR(P66="",P66='DADOS_INVOC'!$EL$2,P66='DADOS_INVOC'!$EM$2,P66='DADOS_INVOC'!$EN$2,P66='DADOS_INVOC'!$EO$2,P66='DADOS_INVOC'!$EP$2,P66='DADOS_INVOC'!$QV$2,P66='DADOS_INVOC'!$QW$2,P66='DADOS_INVOC'!$QX$2,P66='DADOS_INVOC'!$QY$2)),O66,"")</f>
        <v/>
      </c>
      <c r="AP66">
        <f>IF(OR(P66="",P66='DADOS_INVOC'!$EL$3,P66='DADOS_INVOC'!$EM$3,P66='DADOS_INVOC'!$EN$3,P66='DADOS_INVOC'!$EO$3,P66='DADOS_INVOC'!$EP$3,P66='DADOS_INVOC'!$QV$3,P66='DADOS_INVOC'!$QW$3,P66='DADOS_INVOC'!$QX$3,P66='DADOS_INVOC'!$QY$3),O66,"")</f>
        <v/>
      </c>
      <c r="AQ66">
        <f>IF(AND(Q66=1,OR(P66="",P66='DADOS_INVOC'!$EL$3,P66='DADOS_INVOC'!$EM$3,P66='DADOS_INVOC'!$EN$3,P66='DADOS_INVOC'!$EO$3,P66='DADOS_INVOC'!$EP$3,P66='DADOS_INVOC'!$QV$3,P66='DADOS_INVOC'!$QW$3,P66='DADOS_INVOC'!$QX$3,P66='DADOS_INVOC'!$QY$3)),O66,"")</f>
        <v/>
      </c>
      <c r="AR66">
        <f>IF(OR(P66="",P66='DADOS_INVOC'!$EL$4,P66='DADOS_INVOC'!$EM$4,P66='DADOS_INVOC'!$EN$4,P66='DADOS_INVOC'!$EO$4,P66='DADOS_INVOC'!$EP$4,P66='DADOS_INVOC'!$QV$4,P66='DADOS_INVOC'!$QW$4,P66='DADOS_INVOC'!$QX$4,P66='DADOS_INVOC'!$QY$4),O66,"")</f>
        <v/>
      </c>
      <c r="AS66">
        <f>IF(AND(Q66=1,OR(P66="",P66='DADOS_INVOC'!$EL$4,P66='DADOS_INVOC'!$EM$4,P66='DADOS_INVOC'!$EN$4,P66='DADOS_INVOC'!$EO$4,P66='DADOS_INVOC'!$EP$4,P66='DADOS_INVOC'!$QV$4,P66='DADOS_INVOC'!$QW$4,P66='DADOS_INVOC'!$QX$4,P66='DADOS_INVOC'!$QY$4)),O66,"")</f>
        <v/>
      </c>
      <c r="AT66">
        <f>IF(OR(P66="",P66='DADOS_INVOC'!$EL$5,P66='DADOS_INVOC'!$EM$5,P66='DADOS_INVOC'!$EN$5,P66='DADOS_INVOC'!$EO$5,P66='DADOS_INVOC'!$EP$5,P66='DADOS_INVOC'!$QV$5,P66='DADOS_INVOC'!$QW$5,P66='DADOS_INVOC'!$QX$5,P66='DADOS_INVOC'!$QY$5),O66,"")</f>
        <v/>
      </c>
      <c r="AU66">
        <f>IF(AND(Q66=1,OR(P66="",P66='DADOS_INVOC'!$EL$5,P66='DADOS_INVOC'!$EM$5,P66='DADOS_INVOC'!$EN$5,P66='DADOS_INVOC'!$EO$5,P66='DADOS_INVOC'!$EP$5,P66='DADOS_INVOC'!$QV$5,P66='DADOS_INVOC'!$QW$5,P66='DADOS_INVOC'!$QX$5,P66='DADOS_INVOC'!$QY$5)),O66,"")</f>
        <v/>
      </c>
      <c r="AV66">
        <f>IF(OR(P66="",P66='DADOS_INVOC'!$EL$6,P66='DADOS_INVOC'!$EM$6,P66='DADOS_INVOC'!$EN$6,P66='DADOS_INVOC'!$EO$6,P66='DADOS_INVOC'!$EP$6,P66='DADOS_INVOC'!$QV$6,P66='DADOS_INVOC'!$QW$6,P66='DADOS_INVOC'!$QX$6,P66='DADOS_INVOC'!$QY$6),O66,"")</f>
        <v/>
      </c>
      <c r="AW66">
        <f>IF(AND(Q66=1,OR(P66="",P66='DADOS_INVOC'!$EL$6,P66='DADOS_INVOC'!$EM$6,P66='DADOS_INVOC'!$EN$6,P66='DADOS_INVOC'!$EO$6,P66='DADOS_INVOC'!$EP$6,P66='DADOS_INVOC'!$QV$6,P66='DADOS_INVOC'!$QW$6,P66='DADOS_INVOC'!$QX$6,P66='DADOS_INVOC'!$QY$6)),O66,"")</f>
        <v/>
      </c>
      <c r="AX66">
        <f>IF(OR(P66="",P66='DADOS_INVOC'!$EL$7,P66='DADOS_INVOC'!$EM$7,P66='DADOS_INVOC'!$EN$7,P66='DADOS_INVOC'!$EO$7,P66='DADOS_INVOC'!$EP$7,P66='DADOS_INVOC'!$QV$7,P66='DADOS_INVOC'!$QW$7,P66='DADOS_INVOC'!$QX$7,P66='DADOS_INVOC'!$QY$7),O66,"")</f>
        <v/>
      </c>
      <c r="AY66">
        <f>IF(AND(Q66=1,OR(P66="",P66='DADOS_INVOC'!$EL$7,P66='DADOS_INVOC'!$EM$7,P66='DADOS_INVOC'!$EN$7,P66='DADOS_INVOC'!$EO$7,P66='DADOS_INVOC'!$EP$7,P66='DADOS_INVOC'!$QV$7,P66='DADOS_INVOC'!$QW$7,P66='DADOS_INVOC'!$QX$7,P66='DADOS_INVOC'!$QY$7)),O66,"")</f>
        <v/>
      </c>
      <c r="AZ66">
        <f>IF(OR(P66="",P66='DADOS_INVOC'!$EL$8,P66='DADOS_INVOC'!$EM$8,P66='DADOS_INVOC'!$EN$8,P66='DADOS_INVOC'!$EO$8,P66='DADOS_INVOC'!$EP$8,P66='DADOS_INVOC'!$QV$8,P66='DADOS_INVOC'!$QW$8,P66='DADOS_INVOC'!$QX$8,P66='DADOS_INVOC'!$QY$8),O66,"")</f>
        <v/>
      </c>
      <c r="BA66">
        <f>IF(AND(Q66=1,OR(P66="",P66='DADOS_INVOC'!$EL$8,P66='DADOS_INVOC'!$EM$8,P66='DADOS_INVOC'!$EN$8,P66='DADOS_INVOC'!$EO$8,P66='DADOS_INVOC'!$EP$8,P66='DADOS_INVOC'!$QV$8,P66='DADOS_INVOC'!$QW$8,P66='DADOS_INVOC'!$QX$8,P66='DADOS_INVOC'!$QY$8)),O66,"")</f>
        <v/>
      </c>
      <c r="BB66">
        <f>IF(OR(P66="",P66='DADOS_INVOC'!$EL$9,P66='DADOS_INVOC'!$EM$9,P66='DADOS_INVOC'!$EN$9,P66='DADOS_INVOC'!$EO$9,P66='DADOS_INVOC'!$EP$9,P66='DADOS_INVOC'!$QV$9,P66='DADOS_INVOC'!$QW$9,P66='DADOS_INVOC'!$QX$9,P66='DADOS_INVOC'!$QY$9),O66,"")</f>
        <v/>
      </c>
      <c r="BC66">
        <f>IF(AND(Q66=1,OR(P66="",P66='DADOS_INVOC'!$EL$9,P66='DADOS_INVOC'!$EM$9,P66='DADOS_INVOC'!$EN$9,P66='DADOS_INVOC'!$EO$9,P66='DADOS_INVOC'!$EP$9,P66='DADOS_INVOC'!$QV$9,P66='DADOS_INVOC'!$QW$9,P66='DADOS_INVOC'!$QX$9,P66='DADOS_INVOC'!$QY$9)),O66,"")</f>
        <v/>
      </c>
      <c r="BD66">
        <f>IF(OR(P66="",P66='DADOS_INVOC'!$EL$10,P66='DADOS_INVOC'!$EM$10,P66='DADOS_INVOC'!$EN$10,P66='DADOS_INVOC'!$EO$10,P66='DADOS_INVOC'!$EP$10,P66='DADOS_INVOC'!$QV$10,P66='DADOS_INVOC'!$QW$10,P66='DADOS_INVOC'!$QX$10,P66='DADOS_INVOC'!$QY$10),O66,"")</f>
        <v/>
      </c>
      <c r="BE66">
        <f>IF(AND(Q66=1,OR(P66="",P66='DADOS_INVOC'!$EL$10,P66='DADOS_INVOC'!$EM$10,P66='DADOS_INVOC'!$EN$10,P66='DADOS_INVOC'!$EO$10,P66='DADOS_INVOC'!$EP$10,P66='DADOS_INVOC'!$QV$10,P66='DADOS_INVOC'!$QW$10,P66='DADOS_INVOC'!$QX$10,P66='DADOS_INVOC'!$QY$10)),O66,"")</f>
        <v/>
      </c>
      <c r="BF66">
        <f>IF(OR(P66="",P66='DADOS_INVOC'!$EL$11,P66='DADOS_INVOC'!$EM$11,P66='DADOS_INVOC'!$EN$11,P66='DADOS_INVOC'!$EO$11,P66='DADOS_INVOC'!$EP$11,P66='DADOS_INVOC'!$QV$11,P66='DADOS_INVOC'!$QW$11,P66='DADOS_INVOC'!$QX$11,P66='DADOS_INVOC'!$QY$11),O66,"")</f>
        <v/>
      </c>
      <c r="BG66">
        <f>IF(AND(Q66=1,OR(P66="",P66='DADOS_INVOC'!$EL$11,P66='DADOS_INVOC'!$EM$11,P66='DADOS_INVOC'!$EN$11,P66='DADOS_INVOC'!$EO$11,P66='DADOS_INVOC'!$EP$11,P66='DADOS_INVOC'!$QV$11,P66='DADOS_INVOC'!$QW$11,P66='DADOS_INVOC'!$QX$11,P66='DADOS_INVOC'!$QY$11)),O66,"")</f>
        <v/>
      </c>
      <c r="BH66">
        <f>IF(OR(P66="",P66='DADOS_INVOC'!$EL$12,P66='DADOS_INVOC'!$EM$12,P66='DADOS_INVOC'!$EN$12,P66='DADOS_INVOC'!$EO$12,P66='DADOS_INVOC'!$EP$12,P66='DADOS_INVOC'!$QV$12,P66='DADOS_INVOC'!$QW$12,P66='DADOS_INVOC'!$QX$12,P66='DADOS_INVOC'!$QY$12),O66,"")</f>
        <v/>
      </c>
      <c r="BI66">
        <f>IF(AND(Q66=1,OR(P66="",P66='DADOS_INVOC'!$EL$12,P66='DADOS_INVOC'!$EM$12,P66='DADOS_INVOC'!$EN$12,P66='DADOS_INVOC'!$EO$12,P66='DADOS_INVOC'!$EP$12,P66='DADOS_INVOC'!$QV$12,P66='DADOS_INVOC'!$QW$12,P66='DADOS_INVOC'!$QX$12,P66='DADOS_INVOC'!$QY$12)),O66,"")</f>
        <v/>
      </c>
      <c r="BJ66">
        <f>IF(OR(P66="",P66='DADOS_INVOC'!$EL$13,P66='DADOS_INVOC'!$EM$13,P66='DADOS_INVOC'!$EN$13,P66='DADOS_INVOC'!$EO$13,P66='DADOS_INVOC'!$EP$13,P66='DADOS_INVOC'!$QV$13,P66='DADOS_INVOC'!$QW$13,P66='DADOS_INVOC'!$QX$13,P66='DADOS_INVOC'!$QY$13),O66,"")</f>
        <v/>
      </c>
      <c r="BK66">
        <f>IF(AND(Q66=1,OR(P66="",P66='DADOS_INVOC'!$EL$13,P66='DADOS_INVOC'!$EM$13,P66='DADOS_INVOC'!$EN$13,P66='DADOS_INVOC'!$EO$13,P66='DADOS_INVOC'!$EP$13,P66='DADOS_INVOC'!$QV$13,P66='DADOS_INVOC'!$QW$13,P66='DADOS_INVOC'!$QX$13,P66='DADOS_INVOC'!$QY$13)),O66,"")</f>
        <v/>
      </c>
      <c r="BP66" t="inlineStr">
        <is>
          <t>Concentrada</t>
        </is>
      </c>
    </row>
    <row r="67">
      <c r="O67">
        <f>IF(ISBLANK(DADOS_AM!$BC$67),"",DADOS_AM!$BC$67)</f>
        <v/>
      </c>
      <c r="P67">
        <f>IF(ISBLANK(DADOS_AM!$BD$67),"",DADOS_AM!$BD$67)</f>
        <v/>
      </c>
      <c r="Q67">
        <f>IF(ISBLANK(DADOS_AM!$BE$67),"",DADOS_AM!$BE$67)</f>
        <v/>
      </c>
      <c r="R67">
        <f>IF(ISBLANK(DADOS_AM!$BF$67),"",DADOS_AM!$BF$67)</f>
        <v/>
      </c>
      <c r="S67">
        <f>IF(ISBLANK(DADOS_AM!$BG$67),"",DADOS_AM!$BG$67)</f>
        <v/>
      </c>
      <c r="T67">
        <f>IF(ISBLANK(DADOS_AM!$BH$67),"",DADOS_AM!$BH$67)</f>
        <v/>
      </c>
      <c r="U67">
        <f>IF(ISBLANK(DADOS_AM!$BI$67),"",DADOS_AM!$BI$67)</f>
        <v/>
      </c>
      <c r="V67">
        <f>IF(ISBLANK(DADOS_AM!$BJ$67),"",DADOS_AM!$BJ$67)</f>
        <v/>
      </c>
      <c r="W67">
        <f>IF(ISBLANK(DADOS_AM!$BK$67),"",DADOS_AM!$BK$67)</f>
        <v/>
      </c>
      <c r="X67" t="inlineStr">
        <is>
          <t>Marca</t>
        </is>
      </c>
      <c r="Y67" t="n">
        <v>0</v>
      </c>
      <c r="AG67">
        <f>O67</f>
        <v/>
      </c>
      <c r="AH67">
        <f>P67</f>
        <v/>
      </c>
      <c r="AI67">
        <f>Q67</f>
        <v/>
      </c>
      <c r="AJ67">
        <f>T67</f>
        <v/>
      </c>
      <c r="AK67">
        <f>Y67</f>
        <v/>
      </c>
      <c r="AL67">
        <f>W67</f>
        <v/>
      </c>
      <c r="AN67">
        <f>IF(OR(P67="",P67='DADOS_INVOC'!$EL$2,P67='DADOS_INVOC'!$EM$2,P67='DADOS_INVOC'!$EN$2,P67='DADOS_INVOC'!$EO$2,P67='DADOS_INVOC'!$EP$2,P67='DADOS_INVOC'!$QV$2,P67='DADOS_INVOC'!$QW$2,P67='DADOS_INVOC'!$QX$2,P67='DADOS_INVOC'!$QY$2),O67,"")</f>
        <v/>
      </c>
      <c r="AO67">
        <f>IF(AND(Q67=1,OR(P67="",P67='DADOS_INVOC'!$EL$2,P67='DADOS_INVOC'!$EM$2,P67='DADOS_INVOC'!$EN$2,P67='DADOS_INVOC'!$EO$2,P67='DADOS_INVOC'!$EP$2,P67='DADOS_INVOC'!$QV$2,P67='DADOS_INVOC'!$QW$2,P67='DADOS_INVOC'!$QX$2,P67='DADOS_INVOC'!$QY$2)),O67,"")</f>
        <v/>
      </c>
      <c r="AP67">
        <f>IF(OR(P67="",P67='DADOS_INVOC'!$EL$3,P67='DADOS_INVOC'!$EM$3,P67='DADOS_INVOC'!$EN$3,P67='DADOS_INVOC'!$EO$3,P67='DADOS_INVOC'!$EP$3,P67='DADOS_INVOC'!$QV$3,P67='DADOS_INVOC'!$QW$3,P67='DADOS_INVOC'!$QX$3,P67='DADOS_INVOC'!$QY$3),O67,"")</f>
        <v/>
      </c>
      <c r="AQ67">
        <f>IF(AND(Q67=1,OR(P67="",P67='DADOS_INVOC'!$EL$3,P67='DADOS_INVOC'!$EM$3,P67='DADOS_INVOC'!$EN$3,P67='DADOS_INVOC'!$EO$3,P67='DADOS_INVOC'!$EP$3,P67='DADOS_INVOC'!$QV$3,P67='DADOS_INVOC'!$QW$3,P67='DADOS_INVOC'!$QX$3,P67='DADOS_INVOC'!$QY$3)),O67,"")</f>
        <v/>
      </c>
      <c r="AR67">
        <f>IF(OR(P67="",P67='DADOS_INVOC'!$EL$4,P67='DADOS_INVOC'!$EM$4,P67='DADOS_INVOC'!$EN$4,P67='DADOS_INVOC'!$EO$4,P67='DADOS_INVOC'!$EP$4,P67='DADOS_INVOC'!$QV$4,P67='DADOS_INVOC'!$QW$4,P67='DADOS_INVOC'!$QX$4,P67='DADOS_INVOC'!$QY$4),O67,"")</f>
        <v/>
      </c>
      <c r="AS67">
        <f>IF(AND(Q67=1,OR(P67="",P67='DADOS_INVOC'!$EL$4,P67='DADOS_INVOC'!$EM$4,P67='DADOS_INVOC'!$EN$4,P67='DADOS_INVOC'!$EO$4,P67='DADOS_INVOC'!$EP$4,P67='DADOS_INVOC'!$QV$4,P67='DADOS_INVOC'!$QW$4,P67='DADOS_INVOC'!$QX$4,P67='DADOS_INVOC'!$QY$4)),O67,"")</f>
        <v/>
      </c>
      <c r="AT67">
        <f>IF(OR(P67="",P67='DADOS_INVOC'!$EL$5,P67='DADOS_INVOC'!$EM$5,P67='DADOS_INVOC'!$EN$5,P67='DADOS_INVOC'!$EO$5,P67='DADOS_INVOC'!$EP$5,P67='DADOS_INVOC'!$QV$5,P67='DADOS_INVOC'!$QW$5,P67='DADOS_INVOC'!$QX$5,P67='DADOS_INVOC'!$QY$5),O67,"")</f>
        <v/>
      </c>
      <c r="AU67">
        <f>IF(AND(Q67=1,OR(P67="",P67='DADOS_INVOC'!$EL$5,P67='DADOS_INVOC'!$EM$5,P67='DADOS_INVOC'!$EN$5,P67='DADOS_INVOC'!$EO$5,P67='DADOS_INVOC'!$EP$5,P67='DADOS_INVOC'!$QV$5,P67='DADOS_INVOC'!$QW$5,P67='DADOS_INVOC'!$QX$5,P67='DADOS_INVOC'!$QY$5)),O67,"")</f>
        <v/>
      </c>
      <c r="AV67">
        <f>IF(OR(P67="",P67='DADOS_INVOC'!$EL$6,P67='DADOS_INVOC'!$EM$6,P67='DADOS_INVOC'!$EN$6,P67='DADOS_INVOC'!$EO$6,P67='DADOS_INVOC'!$EP$6,P67='DADOS_INVOC'!$QV$6,P67='DADOS_INVOC'!$QW$6,P67='DADOS_INVOC'!$QX$6,P67='DADOS_INVOC'!$QY$6),O67,"")</f>
        <v/>
      </c>
      <c r="AW67">
        <f>IF(AND(Q67=1,OR(P67="",P67='DADOS_INVOC'!$EL$6,P67='DADOS_INVOC'!$EM$6,P67='DADOS_INVOC'!$EN$6,P67='DADOS_INVOC'!$EO$6,P67='DADOS_INVOC'!$EP$6,P67='DADOS_INVOC'!$QV$6,P67='DADOS_INVOC'!$QW$6,P67='DADOS_INVOC'!$QX$6,P67='DADOS_INVOC'!$QY$6)),O67,"")</f>
        <v/>
      </c>
      <c r="AX67">
        <f>IF(OR(P67="",P67='DADOS_INVOC'!$EL$7,P67='DADOS_INVOC'!$EM$7,P67='DADOS_INVOC'!$EN$7,P67='DADOS_INVOC'!$EO$7,P67='DADOS_INVOC'!$EP$7,P67='DADOS_INVOC'!$QV$7,P67='DADOS_INVOC'!$QW$7,P67='DADOS_INVOC'!$QX$7,P67='DADOS_INVOC'!$QY$7),O67,"")</f>
        <v/>
      </c>
      <c r="AY67">
        <f>IF(AND(Q67=1,OR(P67="",P67='DADOS_INVOC'!$EL$7,P67='DADOS_INVOC'!$EM$7,P67='DADOS_INVOC'!$EN$7,P67='DADOS_INVOC'!$EO$7,P67='DADOS_INVOC'!$EP$7,P67='DADOS_INVOC'!$QV$7,P67='DADOS_INVOC'!$QW$7,P67='DADOS_INVOC'!$QX$7,P67='DADOS_INVOC'!$QY$7)),O67,"")</f>
        <v/>
      </c>
      <c r="AZ67">
        <f>IF(OR(P67="",P67='DADOS_INVOC'!$EL$8,P67='DADOS_INVOC'!$EM$8,P67='DADOS_INVOC'!$EN$8,P67='DADOS_INVOC'!$EO$8,P67='DADOS_INVOC'!$EP$8,P67='DADOS_INVOC'!$QV$8,P67='DADOS_INVOC'!$QW$8,P67='DADOS_INVOC'!$QX$8,P67='DADOS_INVOC'!$QY$8),O67,"")</f>
        <v/>
      </c>
      <c r="BA67">
        <f>IF(AND(Q67=1,OR(P67="",P67='DADOS_INVOC'!$EL$8,P67='DADOS_INVOC'!$EM$8,P67='DADOS_INVOC'!$EN$8,P67='DADOS_INVOC'!$EO$8,P67='DADOS_INVOC'!$EP$8,P67='DADOS_INVOC'!$QV$8,P67='DADOS_INVOC'!$QW$8,P67='DADOS_INVOC'!$QX$8,P67='DADOS_INVOC'!$QY$8)),O67,"")</f>
        <v/>
      </c>
      <c r="BB67">
        <f>IF(OR(P67="",P67='DADOS_INVOC'!$EL$9,P67='DADOS_INVOC'!$EM$9,P67='DADOS_INVOC'!$EN$9,P67='DADOS_INVOC'!$EO$9,P67='DADOS_INVOC'!$EP$9,P67='DADOS_INVOC'!$QV$9,P67='DADOS_INVOC'!$QW$9,P67='DADOS_INVOC'!$QX$9,P67='DADOS_INVOC'!$QY$9),O67,"")</f>
        <v/>
      </c>
      <c r="BC67">
        <f>IF(AND(Q67=1,OR(P67="",P67='DADOS_INVOC'!$EL$9,P67='DADOS_INVOC'!$EM$9,P67='DADOS_INVOC'!$EN$9,P67='DADOS_INVOC'!$EO$9,P67='DADOS_INVOC'!$EP$9,P67='DADOS_INVOC'!$QV$9,P67='DADOS_INVOC'!$QW$9,P67='DADOS_INVOC'!$QX$9,P67='DADOS_INVOC'!$QY$9)),O67,"")</f>
        <v/>
      </c>
      <c r="BD67">
        <f>IF(OR(P67="",P67='DADOS_INVOC'!$EL$10,P67='DADOS_INVOC'!$EM$10,P67='DADOS_INVOC'!$EN$10,P67='DADOS_INVOC'!$EO$10,P67='DADOS_INVOC'!$EP$10,P67='DADOS_INVOC'!$QV$10,P67='DADOS_INVOC'!$QW$10,P67='DADOS_INVOC'!$QX$10,P67='DADOS_INVOC'!$QY$10),O67,"")</f>
        <v/>
      </c>
      <c r="BE67">
        <f>IF(AND(Q67=1,OR(P67="",P67='DADOS_INVOC'!$EL$10,P67='DADOS_INVOC'!$EM$10,P67='DADOS_INVOC'!$EN$10,P67='DADOS_INVOC'!$EO$10,P67='DADOS_INVOC'!$EP$10,P67='DADOS_INVOC'!$QV$10,P67='DADOS_INVOC'!$QW$10,P67='DADOS_INVOC'!$QX$10,P67='DADOS_INVOC'!$QY$10)),O67,"")</f>
        <v/>
      </c>
      <c r="BF67">
        <f>IF(OR(P67="",P67='DADOS_INVOC'!$EL$11,P67='DADOS_INVOC'!$EM$11,P67='DADOS_INVOC'!$EN$11,P67='DADOS_INVOC'!$EO$11,P67='DADOS_INVOC'!$EP$11,P67='DADOS_INVOC'!$QV$11,P67='DADOS_INVOC'!$QW$11,P67='DADOS_INVOC'!$QX$11,P67='DADOS_INVOC'!$QY$11),O67,"")</f>
        <v/>
      </c>
      <c r="BG67">
        <f>IF(AND(Q67=1,OR(P67="",P67='DADOS_INVOC'!$EL$11,P67='DADOS_INVOC'!$EM$11,P67='DADOS_INVOC'!$EN$11,P67='DADOS_INVOC'!$EO$11,P67='DADOS_INVOC'!$EP$11,P67='DADOS_INVOC'!$QV$11,P67='DADOS_INVOC'!$QW$11,P67='DADOS_INVOC'!$QX$11,P67='DADOS_INVOC'!$QY$11)),O67,"")</f>
        <v/>
      </c>
      <c r="BH67">
        <f>IF(OR(P67="",P67='DADOS_INVOC'!$EL$12,P67='DADOS_INVOC'!$EM$12,P67='DADOS_INVOC'!$EN$12,P67='DADOS_INVOC'!$EO$12,P67='DADOS_INVOC'!$EP$12,P67='DADOS_INVOC'!$QV$12,P67='DADOS_INVOC'!$QW$12,P67='DADOS_INVOC'!$QX$12,P67='DADOS_INVOC'!$QY$12),O67,"")</f>
        <v/>
      </c>
      <c r="BI67">
        <f>IF(AND(Q67=1,OR(P67="",P67='DADOS_INVOC'!$EL$12,P67='DADOS_INVOC'!$EM$12,P67='DADOS_INVOC'!$EN$12,P67='DADOS_INVOC'!$EO$12,P67='DADOS_INVOC'!$EP$12,P67='DADOS_INVOC'!$QV$12,P67='DADOS_INVOC'!$QW$12,P67='DADOS_INVOC'!$QX$12,P67='DADOS_INVOC'!$QY$12)),O67,"")</f>
        <v/>
      </c>
      <c r="BJ67">
        <f>IF(OR(P67="",P67='DADOS_INVOC'!$EL$13,P67='DADOS_INVOC'!$EM$13,P67='DADOS_INVOC'!$EN$13,P67='DADOS_INVOC'!$EO$13,P67='DADOS_INVOC'!$EP$13,P67='DADOS_INVOC'!$QV$13,P67='DADOS_INVOC'!$QW$13,P67='DADOS_INVOC'!$QX$13,P67='DADOS_INVOC'!$QY$13),O67,"")</f>
        <v/>
      </c>
      <c r="BK67">
        <f>IF(AND(Q67=1,OR(P67="",P67='DADOS_INVOC'!$EL$13,P67='DADOS_INVOC'!$EM$13,P67='DADOS_INVOC'!$EN$13,P67='DADOS_INVOC'!$EO$13,P67='DADOS_INVOC'!$EP$13,P67='DADOS_INVOC'!$QV$13,P67='DADOS_INVOC'!$QW$13,P67='DADOS_INVOC'!$QX$13,P67='DADOS_INVOC'!$QY$13)),O67,"")</f>
        <v/>
      </c>
      <c r="BP67" t="inlineStr">
        <is>
          <t>Duradoura</t>
        </is>
      </c>
    </row>
    <row r="68">
      <c r="O68">
        <f>IF(ISBLANK(DADOS_AM!$BC$68),"",DADOS_AM!$BC$68)</f>
        <v/>
      </c>
      <c r="P68">
        <f>IF(ISBLANK(DADOS_AM!$BD$68),"",DADOS_AM!$BD$68)</f>
        <v/>
      </c>
      <c r="Q68">
        <f>IF(ISBLANK(DADOS_AM!$BE$68),"",DADOS_AM!$BE$68)</f>
        <v/>
      </c>
      <c r="R68">
        <f>IF(ISBLANK(DADOS_AM!$BF$68),"",DADOS_AM!$BF$68)</f>
        <v/>
      </c>
      <c r="S68">
        <f>IF(ISBLANK(DADOS_AM!$BG$68),"",DADOS_AM!$BG$68)</f>
        <v/>
      </c>
      <c r="T68">
        <f>IF(ISBLANK(DADOS_AM!$BH$68),"",DADOS_AM!$BH$68)</f>
        <v/>
      </c>
      <c r="U68">
        <f>IF(ISBLANK(DADOS_AM!$BI$68),"",DADOS_AM!$BI$68)</f>
        <v/>
      </c>
      <c r="V68">
        <f>IF(ISBLANK(DADOS_AM!$BJ$68),"",DADOS_AM!$BJ$68)</f>
        <v/>
      </c>
      <c r="W68">
        <f>IF(ISBLANK(DADOS_AM!$BK$68),"",DADOS_AM!$BK$68)</f>
        <v/>
      </c>
      <c r="X68" t="inlineStr">
        <is>
          <t>Alvo de Caça</t>
        </is>
      </c>
      <c r="Y68" t="n">
        <v>0</v>
      </c>
      <c r="AG68">
        <f>O68</f>
        <v/>
      </c>
      <c r="AH68">
        <f>P68</f>
        <v/>
      </c>
      <c r="AI68">
        <f>Q68</f>
        <v/>
      </c>
      <c r="AJ68">
        <f>T68</f>
        <v/>
      </c>
      <c r="AK68">
        <f>Y68</f>
        <v/>
      </c>
      <c r="AL68">
        <f>W68</f>
        <v/>
      </c>
      <c r="AN68">
        <f>IF(OR(P68="",P68='DADOS_INVOC'!$EL$2,P68='DADOS_INVOC'!$EM$2,P68='DADOS_INVOC'!$EN$2,P68='DADOS_INVOC'!$EO$2,P68='DADOS_INVOC'!$EP$2,P68='DADOS_INVOC'!$QV$2,P68='DADOS_INVOC'!$QW$2,P68='DADOS_INVOC'!$QX$2,P68='DADOS_INVOC'!$QY$2),O68,"")</f>
        <v/>
      </c>
      <c r="AO68">
        <f>IF(AND(Q68=1,OR(P68="",P68='DADOS_INVOC'!$EL$2,P68='DADOS_INVOC'!$EM$2,P68='DADOS_INVOC'!$EN$2,P68='DADOS_INVOC'!$EO$2,P68='DADOS_INVOC'!$EP$2,P68='DADOS_INVOC'!$QV$2,P68='DADOS_INVOC'!$QW$2,P68='DADOS_INVOC'!$QX$2,P68='DADOS_INVOC'!$QY$2)),O68,"")</f>
        <v/>
      </c>
      <c r="AP68">
        <f>IF(OR(P68="",P68='DADOS_INVOC'!$EL$3,P68='DADOS_INVOC'!$EM$3,P68='DADOS_INVOC'!$EN$3,P68='DADOS_INVOC'!$EO$3,P68='DADOS_INVOC'!$EP$3,P68='DADOS_INVOC'!$QV$3,P68='DADOS_INVOC'!$QW$3,P68='DADOS_INVOC'!$QX$3,P68='DADOS_INVOC'!$QY$3),O68,"")</f>
        <v/>
      </c>
      <c r="AQ68">
        <f>IF(AND(Q68=1,OR(P68="",P68='DADOS_INVOC'!$EL$3,P68='DADOS_INVOC'!$EM$3,P68='DADOS_INVOC'!$EN$3,P68='DADOS_INVOC'!$EO$3,P68='DADOS_INVOC'!$EP$3,P68='DADOS_INVOC'!$QV$3,P68='DADOS_INVOC'!$QW$3,P68='DADOS_INVOC'!$QX$3,P68='DADOS_INVOC'!$QY$3)),O68,"")</f>
        <v/>
      </c>
      <c r="AR68">
        <f>IF(OR(P68="",P68='DADOS_INVOC'!$EL$4,P68='DADOS_INVOC'!$EM$4,P68='DADOS_INVOC'!$EN$4,P68='DADOS_INVOC'!$EO$4,P68='DADOS_INVOC'!$EP$4,P68='DADOS_INVOC'!$QV$4,P68='DADOS_INVOC'!$QW$4,P68='DADOS_INVOC'!$QX$4,P68='DADOS_INVOC'!$QY$4),O68,"")</f>
        <v/>
      </c>
      <c r="AS68">
        <f>IF(AND(Q68=1,OR(P68="",P68='DADOS_INVOC'!$EL$4,P68='DADOS_INVOC'!$EM$4,P68='DADOS_INVOC'!$EN$4,P68='DADOS_INVOC'!$EO$4,P68='DADOS_INVOC'!$EP$4,P68='DADOS_INVOC'!$QV$4,P68='DADOS_INVOC'!$QW$4,P68='DADOS_INVOC'!$QX$4,P68='DADOS_INVOC'!$QY$4)),O68,"")</f>
        <v/>
      </c>
      <c r="AT68">
        <f>IF(OR(P68="",P68='DADOS_INVOC'!$EL$5,P68='DADOS_INVOC'!$EM$5,P68='DADOS_INVOC'!$EN$5,P68='DADOS_INVOC'!$EO$5,P68='DADOS_INVOC'!$EP$5,P68='DADOS_INVOC'!$QV$5,P68='DADOS_INVOC'!$QW$5,P68='DADOS_INVOC'!$QX$5,P68='DADOS_INVOC'!$QY$5),O68,"")</f>
        <v/>
      </c>
      <c r="AU68">
        <f>IF(AND(Q68=1,OR(P68="",P68='DADOS_INVOC'!$EL$5,P68='DADOS_INVOC'!$EM$5,P68='DADOS_INVOC'!$EN$5,P68='DADOS_INVOC'!$EO$5,P68='DADOS_INVOC'!$EP$5,P68='DADOS_INVOC'!$QV$5,P68='DADOS_INVOC'!$QW$5,P68='DADOS_INVOC'!$QX$5,P68='DADOS_INVOC'!$QY$5)),O68,"")</f>
        <v/>
      </c>
      <c r="AV68">
        <f>IF(OR(P68="",P68='DADOS_INVOC'!$EL$6,P68='DADOS_INVOC'!$EM$6,P68='DADOS_INVOC'!$EN$6,P68='DADOS_INVOC'!$EO$6,P68='DADOS_INVOC'!$EP$6,P68='DADOS_INVOC'!$QV$6,P68='DADOS_INVOC'!$QW$6,P68='DADOS_INVOC'!$QX$6,P68='DADOS_INVOC'!$QY$6),O68,"")</f>
        <v/>
      </c>
      <c r="AW68">
        <f>IF(AND(Q68=1,OR(P68="",P68='DADOS_INVOC'!$EL$6,P68='DADOS_INVOC'!$EM$6,P68='DADOS_INVOC'!$EN$6,P68='DADOS_INVOC'!$EO$6,P68='DADOS_INVOC'!$EP$6,P68='DADOS_INVOC'!$QV$6,P68='DADOS_INVOC'!$QW$6,P68='DADOS_INVOC'!$QX$6,P68='DADOS_INVOC'!$QY$6)),O68,"")</f>
        <v/>
      </c>
      <c r="AX68">
        <f>IF(OR(P68="",P68='DADOS_INVOC'!$EL$7,P68='DADOS_INVOC'!$EM$7,P68='DADOS_INVOC'!$EN$7,P68='DADOS_INVOC'!$EO$7,P68='DADOS_INVOC'!$EP$7,P68='DADOS_INVOC'!$QV$7,P68='DADOS_INVOC'!$QW$7,P68='DADOS_INVOC'!$QX$7,P68='DADOS_INVOC'!$QY$7),O68,"")</f>
        <v/>
      </c>
      <c r="AY68">
        <f>IF(AND(Q68=1,OR(P68="",P68='DADOS_INVOC'!$EL$7,P68='DADOS_INVOC'!$EM$7,P68='DADOS_INVOC'!$EN$7,P68='DADOS_INVOC'!$EO$7,P68='DADOS_INVOC'!$EP$7,P68='DADOS_INVOC'!$QV$7,P68='DADOS_INVOC'!$QW$7,P68='DADOS_INVOC'!$QX$7,P68='DADOS_INVOC'!$QY$7)),O68,"")</f>
        <v/>
      </c>
      <c r="AZ68">
        <f>IF(OR(P68="",P68='DADOS_INVOC'!$EL$8,P68='DADOS_INVOC'!$EM$8,P68='DADOS_INVOC'!$EN$8,P68='DADOS_INVOC'!$EO$8,P68='DADOS_INVOC'!$EP$8,P68='DADOS_INVOC'!$QV$8,P68='DADOS_INVOC'!$QW$8,P68='DADOS_INVOC'!$QX$8,P68='DADOS_INVOC'!$QY$8),O68,"")</f>
        <v/>
      </c>
      <c r="BA68">
        <f>IF(AND(Q68=1,OR(P68="",P68='DADOS_INVOC'!$EL$8,P68='DADOS_INVOC'!$EM$8,P68='DADOS_INVOC'!$EN$8,P68='DADOS_INVOC'!$EO$8,P68='DADOS_INVOC'!$EP$8,P68='DADOS_INVOC'!$QV$8,P68='DADOS_INVOC'!$QW$8,P68='DADOS_INVOC'!$QX$8,P68='DADOS_INVOC'!$QY$8)),O68,"")</f>
        <v/>
      </c>
      <c r="BB68">
        <f>IF(OR(P68="",P68='DADOS_INVOC'!$EL$9,P68='DADOS_INVOC'!$EM$9,P68='DADOS_INVOC'!$EN$9,P68='DADOS_INVOC'!$EO$9,P68='DADOS_INVOC'!$EP$9,P68='DADOS_INVOC'!$QV$9,P68='DADOS_INVOC'!$QW$9,P68='DADOS_INVOC'!$QX$9,P68='DADOS_INVOC'!$QY$9),O68,"")</f>
        <v/>
      </c>
      <c r="BC68">
        <f>IF(AND(Q68=1,OR(P68="",P68='DADOS_INVOC'!$EL$9,P68='DADOS_INVOC'!$EM$9,P68='DADOS_INVOC'!$EN$9,P68='DADOS_INVOC'!$EO$9,P68='DADOS_INVOC'!$EP$9,P68='DADOS_INVOC'!$QV$9,P68='DADOS_INVOC'!$QW$9,P68='DADOS_INVOC'!$QX$9,P68='DADOS_INVOC'!$QY$9)),O68,"")</f>
        <v/>
      </c>
      <c r="BD68">
        <f>IF(OR(P68="",P68='DADOS_INVOC'!$EL$10,P68='DADOS_INVOC'!$EM$10,P68='DADOS_INVOC'!$EN$10,P68='DADOS_INVOC'!$EO$10,P68='DADOS_INVOC'!$EP$10,P68='DADOS_INVOC'!$QV$10,P68='DADOS_INVOC'!$QW$10,P68='DADOS_INVOC'!$QX$10,P68='DADOS_INVOC'!$QY$10),O68,"")</f>
        <v/>
      </c>
      <c r="BE68">
        <f>IF(AND(Q68=1,OR(P68="",P68='DADOS_INVOC'!$EL$10,P68='DADOS_INVOC'!$EM$10,P68='DADOS_INVOC'!$EN$10,P68='DADOS_INVOC'!$EO$10,P68='DADOS_INVOC'!$EP$10,P68='DADOS_INVOC'!$QV$10,P68='DADOS_INVOC'!$QW$10,P68='DADOS_INVOC'!$QX$10,P68='DADOS_INVOC'!$QY$10)),O68,"")</f>
        <v/>
      </c>
      <c r="BF68">
        <f>IF(OR(P68="",P68='DADOS_INVOC'!$EL$11,P68='DADOS_INVOC'!$EM$11,P68='DADOS_INVOC'!$EN$11,P68='DADOS_INVOC'!$EO$11,P68='DADOS_INVOC'!$EP$11,P68='DADOS_INVOC'!$QV$11,P68='DADOS_INVOC'!$QW$11,P68='DADOS_INVOC'!$QX$11,P68='DADOS_INVOC'!$QY$11),O68,"")</f>
        <v/>
      </c>
      <c r="BG68">
        <f>IF(AND(Q68=1,OR(P68="",P68='DADOS_INVOC'!$EL$11,P68='DADOS_INVOC'!$EM$11,P68='DADOS_INVOC'!$EN$11,P68='DADOS_INVOC'!$EO$11,P68='DADOS_INVOC'!$EP$11,P68='DADOS_INVOC'!$QV$11,P68='DADOS_INVOC'!$QW$11,P68='DADOS_INVOC'!$QX$11,P68='DADOS_INVOC'!$QY$11)),O68,"")</f>
        <v/>
      </c>
      <c r="BH68">
        <f>IF(OR(P68="",P68='DADOS_INVOC'!$EL$12,P68='DADOS_INVOC'!$EM$12,P68='DADOS_INVOC'!$EN$12,P68='DADOS_INVOC'!$EO$12,P68='DADOS_INVOC'!$EP$12,P68='DADOS_INVOC'!$QV$12,P68='DADOS_INVOC'!$QW$12,P68='DADOS_INVOC'!$QX$12,P68='DADOS_INVOC'!$QY$12),O68,"")</f>
        <v/>
      </c>
      <c r="BI68">
        <f>IF(AND(Q68=1,OR(P68="",P68='DADOS_INVOC'!$EL$12,P68='DADOS_INVOC'!$EM$12,P68='DADOS_INVOC'!$EN$12,P68='DADOS_INVOC'!$EO$12,P68='DADOS_INVOC'!$EP$12,P68='DADOS_INVOC'!$QV$12,P68='DADOS_INVOC'!$QW$12,P68='DADOS_INVOC'!$QX$12,P68='DADOS_INVOC'!$QY$12)),O68,"")</f>
        <v/>
      </c>
      <c r="BJ68">
        <f>IF(OR(P68="",P68='DADOS_INVOC'!$EL$13,P68='DADOS_INVOC'!$EM$13,P68='DADOS_INVOC'!$EN$13,P68='DADOS_INVOC'!$EO$13,P68='DADOS_INVOC'!$EP$13,P68='DADOS_INVOC'!$QV$13,P68='DADOS_INVOC'!$QW$13,P68='DADOS_INVOC'!$QX$13,P68='DADOS_INVOC'!$QY$13),O68,"")</f>
        <v/>
      </c>
      <c r="BK68">
        <f>IF(AND(Q68=1,OR(P68="",P68='DADOS_INVOC'!$EL$13,P68='DADOS_INVOC'!$EM$13,P68='DADOS_INVOC'!$EN$13,P68='DADOS_INVOC'!$EO$13,P68='DADOS_INVOC'!$EP$13,P68='DADOS_INVOC'!$QV$13,P68='DADOS_INVOC'!$QW$13,P68='DADOS_INVOC'!$QX$13,P68='DADOS_INVOC'!$QY$13)),O68,"")</f>
        <v/>
      </c>
      <c r="BP68" t="inlineStr">
        <is>
          <t>Marca</t>
        </is>
      </c>
    </row>
    <row r="69">
      <c r="O69">
        <f>IF(ISBLANK(DADOS_AM!$BC$69),"",DADOS_AM!$BC$69)</f>
        <v/>
      </c>
      <c r="P69">
        <f>IF(ISBLANK(DADOS_AM!$BD$69),"",DADOS_AM!$BD$69)</f>
        <v/>
      </c>
      <c r="Q69">
        <f>IF(ISBLANK(DADOS_AM!$BE$69),"",DADOS_AM!$BE$69)</f>
        <v/>
      </c>
      <c r="R69">
        <f>IF(ISBLANK(DADOS_AM!$BF$69),"",DADOS_AM!$BF$69)</f>
        <v/>
      </c>
      <c r="S69">
        <f>IF(ISBLANK(DADOS_AM!$BG$69),"",DADOS_AM!$BG$69)</f>
        <v/>
      </c>
      <c r="T69">
        <f>IF(ISBLANK(DADOS_AM!$BH$69),"",DADOS_AM!$BH$69)</f>
        <v/>
      </c>
      <c r="U69">
        <f>IF(ISBLANK(DADOS_AM!$BI$69),"",DADOS_AM!$BI$69)</f>
        <v/>
      </c>
      <c r="V69">
        <f>IF(ISBLANK(DADOS_AM!$BJ$69),"",DADOS_AM!$BJ$69)</f>
        <v/>
      </c>
      <c r="W69">
        <f>IF(ISBLANK(DADOS_AM!$BK$69),"",DADOS_AM!$BK$69)</f>
        <v/>
      </c>
      <c r="X69" t="inlineStr">
        <is>
          <t>Rastro</t>
        </is>
      </c>
      <c r="Y69" t="n">
        <v>0</v>
      </c>
      <c r="AG69">
        <f>O69</f>
        <v/>
      </c>
      <c r="AH69">
        <f>P69</f>
        <v/>
      </c>
      <c r="AI69">
        <f>Q69</f>
        <v/>
      </c>
      <c r="AJ69">
        <f>T69</f>
        <v/>
      </c>
      <c r="AK69">
        <f>Y69</f>
        <v/>
      </c>
      <c r="AL69">
        <f>W69</f>
        <v/>
      </c>
      <c r="AN69">
        <f>IF(OR(P69="",P69='DADOS_INVOC'!$EL$2,P69='DADOS_INVOC'!$EM$2,P69='DADOS_INVOC'!$EN$2,P69='DADOS_INVOC'!$EO$2,P69='DADOS_INVOC'!$EP$2,P69='DADOS_INVOC'!$QV$2,P69='DADOS_INVOC'!$QW$2,P69='DADOS_INVOC'!$QX$2,P69='DADOS_INVOC'!$QY$2),O69,"")</f>
        <v/>
      </c>
      <c r="AO69">
        <f>IF(AND(Q69=1,OR(P69="",P69='DADOS_INVOC'!$EL$2,P69='DADOS_INVOC'!$EM$2,P69='DADOS_INVOC'!$EN$2,P69='DADOS_INVOC'!$EO$2,P69='DADOS_INVOC'!$EP$2,P69='DADOS_INVOC'!$QV$2,P69='DADOS_INVOC'!$QW$2,P69='DADOS_INVOC'!$QX$2,P69='DADOS_INVOC'!$QY$2)),O69,"")</f>
        <v/>
      </c>
      <c r="AP69">
        <f>IF(OR(P69="",P69='DADOS_INVOC'!$EL$3,P69='DADOS_INVOC'!$EM$3,P69='DADOS_INVOC'!$EN$3,P69='DADOS_INVOC'!$EO$3,P69='DADOS_INVOC'!$EP$3,P69='DADOS_INVOC'!$QV$3,P69='DADOS_INVOC'!$QW$3,P69='DADOS_INVOC'!$QX$3,P69='DADOS_INVOC'!$QY$3),O69,"")</f>
        <v/>
      </c>
      <c r="AQ69">
        <f>IF(AND(Q69=1,OR(P69="",P69='DADOS_INVOC'!$EL$3,P69='DADOS_INVOC'!$EM$3,P69='DADOS_INVOC'!$EN$3,P69='DADOS_INVOC'!$EO$3,P69='DADOS_INVOC'!$EP$3,P69='DADOS_INVOC'!$QV$3,P69='DADOS_INVOC'!$QW$3,P69='DADOS_INVOC'!$QX$3,P69='DADOS_INVOC'!$QY$3)),O69,"")</f>
        <v/>
      </c>
      <c r="AR69">
        <f>IF(OR(P69="",P69='DADOS_INVOC'!$EL$4,P69='DADOS_INVOC'!$EM$4,P69='DADOS_INVOC'!$EN$4,P69='DADOS_INVOC'!$EO$4,P69='DADOS_INVOC'!$EP$4,P69='DADOS_INVOC'!$QV$4,P69='DADOS_INVOC'!$QW$4,P69='DADOS_INVOC'!$QX$4,P69='DADOS_INVOC'!$QY$4),O69,"")</f>
        <v/>
      </c>
      <c r="AS69">
        <f>IF(AND(Q69=1,OR(P69="",P69='DADOS_INVOC'!$EL$4,P69='DADOS_INVOC'!$EM$4,P69='DADOS_INVOC'!$EN$4,P69='DADOS_INVOC'!$EO$4,P69='DADOS_INVOC'!$EP$4,P69='DADOS_INVOC'!$QV$4,P69='DADOS_INVOC'!$QW$4,P69='DADOS_INVOC'!$QX$4,P69='DADOS_INVOC'!$QY$4)),O69,"")</f>
        <v/>
      </c>
      <c r="AT69">
        <f>IF(OR(P69="",P69='DADOS_INVOC'!$EL$5,P69='DADOS_INVOC'!$EM$5,P69='DADOS_INVOC'!$EN$5,P69='DADOS_INVOC'!$EO$5,P69='DADOS_INVOC'!$EP$5,P69='DADOS_INVOC'!$QV$5,P69='DADOS_INVOC'!$QW$5,P69='DADOS_INVOC'!$QX$5,P69='DADOS_INVOC'!$QY$5),O69,"")</f>
        <v/>
      </c>
      <c r="AU69">
        <f>IF(AND(Q69=1,OR(P69="",P69='DADOS_INVOC'!$EL$5,P69='DADOS_INVOC'!$EM$5,P69='DADOS_INVOC'!$EN$5,P69='DADOS_INVOC'!$EO$5,P69='DADOS_INVOC'!$EP$5,P69='DADOS_INVOC'!$QV$5,P69='DADOS_INVOC'!$QW$5,P69='DADOS_INVOC'!$QX$5,P69='DADOS_INVOC'!$QY$5)),O69,"")</f>
        <v/>
      </c>
      <c r="AV69">
        <f>IF(OR(P69="",P69='DADOS_INVOC'!$EL$6,P69='DADOS_INVOC'!$EM$6,P69='DADOS_INVOC'!$EN$6,P69='DADOS_INVOC'!$EO$6,P69='DADOS_INVOC'!$EP$6,P69='DADOS_INVOC'!$QV$6,P69='DADOS_INVOC'!$QW$6,P69='DADOS_INVOC'!$QX$6,P69='DADOS_INVOC'!$QY$6),O69,"")</f>
        <v/>
      </c>
      <c r="AW69">
        <f>IF(AND(Q69=1,OR(P69="",P69='DADOS_INVOC'!$EL$6,P69='DADOS_INVOC'!$EM$6,P69='DADOS_INVOC'!$EN$6,P69='DADOS_INVOC'!$EO$6,P69='DADOS_INVOC'!$EP$6,P69='DADOS_INVOC'!$QV$6,P69='DADOS_INVOC'!$QW$6,P69='DADOS_INVOC'!$QX$6,P69='DADOS_INVOC'!$QY$6)),O69,"")</f>
        <v/>
      </c>
      <c r="AX69">
        <f>IF(OR(P69="",P69='DADOS_INVOC'!$EL$7,P69='DADOS_INVOC'!$EM$7,P69='DADOS_INVOC'!$EN$7,P69='DADOS_INVOC'!$EO$7,P69='DADOS_INVOC'!$EP$7,P69='DADOS_INVOC'!$QV$7,P69='DADOS_INVOC'!$QW$7,P69='DADOS_INVOC'!$QX$7,P69='DADOS_INVOC'!$QY$7),O69,"")</f>
        <v/>
      </c>
      <c r="AY69">
        <f>IF(AND(Q69=1,OR(P69="",P69='DADOS_INVOC'!$EL$7,P69='DADOS_INVOC'!$EM$7,P69='DADOS_INVOC'!$EN$7,P69='DADOS_INVOC'!$EO$7,P69='DADOS_INVOC'!$EP$7,P69='DADOS_INVOC'!$QV$7,P69='DADOS_INVOC'!$QW$7,P69='DADOS_INVOC'!$QX$7,P69='DADOS_INVOC'!$QY$7)),O69,"")</f>
        <v/>
      </c>
      <c r="AZ69">
        <f>IF(OR(P69="",P69='DADOS_INVOC'!$EL$8,P69='DADOS_INVOC'!$EM$8,P69='DADOS_INVOC'!$EN$8,P69='DADOS_INVOC'!$EO$8,P69='DADOS_INVOC'!$EP$8,P69='DADOS_INVOC'!$QV$8,P69='DADOS_INVOC'!$QW$8,P69='DADOS_INVOC'!$QX$8,P69='DADOS_INVOC'!$QY$8),O69,"")</f>
        <v/>
      </c>
      <c r="BA69">
        <f>IF(AND(Q69=1,OR(P69="",P69='DADOS_INVOC'!$EL$8,P69='DADOS_INVOC'!$EM$8,P69='DADOS_INVOC'!$EN$8,P69='DADOS_INVOC'!$EO$8,P69='DADOS_INVOC'!$EP$8,P69='DADOS_INVOC'!$QV$8,P69='DADOS_INVOC'!$QW$8,P69='DADOS_INVOC'!$QX$8,P69='DADOS_INVOC'!$QY$8)),O69,"")</f>
        <v/>
      </c>
      <c r="BB69">
        <f>IF(OR(P69="",P69='DADOS_INVOC'!$EL$9,P69='DADOS_INVOC'!$EM$9,P69='DADOS_INVOC'!$EN$9,P69='DADOS_INVOC'!$EO$9,P69='DADOS_INVOC'!$EP$9,P69='DADOS_INVOC'!$QV$9,P69='DADOS_INVOC'!$QW$9,P69='DADOS_INVOC'!$QX$9,P69='DADOS_INVOC'!$QY$9),O69,"")</f>
        <v/>
      </c>
      <c r="BC69">
        <f>IF(AND(Q69=1,OR(P69="",P69='DADOS_INVOC'!$EL$9,P69='DADOS_INVOC'!$EM$9,P69='DADOS_INVOC'!$EN$9,P69='DADOS_INVOC'!$EO$9,P69='DADOS_INVOC'!$EP$9,P69='DADOS_INVOC'!$QV$9,P69='DADOS_INVOC'!$QW$9,P69='DADOS_INVOC'!$QX$9,P69='DADOS_INVOC'!$QY$9)),O69,"")</f>
        <v/>
      </c>
      <c r="BD69">
        <f>IF(OR(P69="",P69='DADOS_INVOC'!$EL$10,P69='DADOS_INVOC'!$EM$10,P69='DADOS_INVOC'!$EN$10,P69='DADOS_INVOC'!$EO$10,P69='DADOS_INVOC'!$EP$10,P69='DADOS_INVOC'!$QV$10,P69='DADOS_INVOC'!$QW$10,P69='DADOS_INVOC'!$QX$10,P69='DADOS_INVOC'!$QY$10),O69,"")</f>
        <v/>
      </c>
      <c r="BE69">
        <f>IF(AND(Q69=1,OR(P69="",P69='DADOS_INVOC'!$EL$10,P69='DADOS_INVOC'!$EM$10,P69='DADOS_INVOC'!$EN$10,P69='DADOS_INVOC'!$EO$10,P69='DADOS_INVOC'!$EP$10,P69='DADOS_INVOC'!$QV$10,P69='DADOS_INVOC'!$QW$10,P69='DADOS_INVOC'!$QX$10,P69='DADOS_INVOC'!$QY$10)),O69,"")</f>
        <v/>
      </c>
      <c r="BF69">
        <f>IF(OR(P69="",P69='DADOS_INVOC'!$EL$11,P69='DADOS_INVOC'!$EM$11,P69='DADOS_INVOC'!$EN$11,P69='DADOS_INVOC'!$EO$11,P69='DADOS_INVOC'!$EP$11,P69='DADOS_INVOC'!$QV$11,P69='DADOS_INVOC'!$QW$11,P69='DADOS_INVOC'!$QX$11,P69='DADOS_INVOC'!$QY$11),O69,"")</f>
        <v/>
      </c>
      <c r="BG69">
        <f>IF(AND(Q69=1,OR(P69="",P69='DADOS_INVOC'!$EL$11,P69='DADOS_INVOC'!$EM$11,P69='DADOS_INVOC'!$EN$11,P69='DADOS_INVOC'!$EO$11,P69='DADOS_INVOC'!$EP$11,P69='DADOS_INVOC'!$QV$11,P69='DADOS_INVOC'!$QW$11,P69='DADOS_INVOC'!$QX$11,P69='DADOS_INVOC'!$QY$11)),O69,"")</f>
        <v/>
      </c>
      <c r="BH69">
        <f>IF(OR(P69="",P69='DADOS_INVOC'!$EL$12,P69='DADOS_INVOC'!$EM$12,P69='DADOS_INVOC'!$EN$12,P69='DADOS_INVOC'!$EO$12,P69='DADOS_INVOC'!$EP$12,P69='DADOS_INVOC'!$QV$12,P69='DADOS_INVOC'!$QW$12,P69='DADOS_INVOC'!$QX$12,P69='DADOS_INVOC'!$QY$12),O69,"")</f>
        <v/>
      </c>
      <c r="BI69">
        <f>IF(AND(Q69=1,OR(P69="",P69='DADOS_INVOC'!$EL$12,P69='DADOS_INVOC'!$EM$12,P69='DADOS_INVOC'!$EN$12,P69='DADOS_INVOC'!$EO$12,P69='DADOS_INVOC'!$EP$12,P69='DADOS_INVOC'!$QV$12,P69='DADOS_INVOC'!$QW$12,P69='DADOS_INVOC'!$QX$12,P69='DADOS_INVOC'!$QY$12)),O69,"")</f>
        <v/>
      </c>
      <c r="BJ69">
        <f>IF(OR(P69="",P69='DADOS_INVOC'!$EL$13,P69='DADOS_INVOC'!$EM$13,P69='DADOS_INVOC'!$EN$13,P69='DADOS_INVOC'!$EO$13,P69='DADOS_INVOC'!$EP$13,P69='DADOS_INVOC'!$QV$13,P69='DADOS_INVOC'!$QW$13,P69='DADOS_INVOC'!$QX$13,P69='DADOS_INVOC'!$QY$13),O69,"")</f>
        <v/>
      </c>
      <c r="BK69">
        <f>IF(AND(Q69=1,OR(P69="",P69='DADOS_INVOC'!$EL$13,P69='DADOS_INVOC'!$EM$13,P69='DADOS_INVOC'!$EN$13,P69='DADOS_INVOC'!$EO$13,P69='DADOS_INVOC'!$EP$13,P69='DADOS_INVOC'!$QV$13,P69='DADOS_INVOC'!$QW$13,P69='DADOS_INVOC'!$QX$13,P69='DADOS_INVOC'!$QY$13)),O69,"")</f>
        <v/>
      </c>
      <c r="BP69" t="inlineStr">
        <is>
          <t>Alvo de Caça</t>
        </is>
      </c>
    </row>
    <row r="70">
      <c r="O70">
        <f>IF(ISBLANK(DADOS_AM!$BC$70),"",DADOS_AM!$BC$70)</f>
        <v/>
      </c>
      <c r="P70">
        <f>IF(ISBLANK(DADOS_AM!$BD$70),"",DADOS_AM!$BD$70)</f>
        <v/>
      </c>
      <c r="Q70">
        <f>IF(ISBLANK(DADOS_AM!$BE$70),"",DADOS_AM!$BE$70)</f>
        <v/>
      </c>
      <c r="R70">
        <f>IF(ISBLANK(DADOS_AM!$BF$70),"",DADOS_AM!$BF$70)</f>
        <v/>
      </c>
      <c r="S70">
        <f>IF(ISBLANK(DADOS_AM!$BG$70),"",DADOS_AM!$BG$70)</f>
        <v/>
      </c>
      <c r="T70">
        <f>IF(ISBLANK(DADOS_AM!$BH$70),"",DADOS_AM!$BH$70)</f>
        <v/>
      </c>
      <c r="U70">
        <f>IF(ISBLANK(DADOS_AM!$BI$70),"",DADOS_AM!$BI$70)</f>
        <v/>
      </c>
      <c r="V70">
        <f>IF(ISBLANK(DADOS_AM!$BJ$70),"",DADOS_AM!$BJ$70)</f>
        <v/>
      </c>
      <c r="W70">
        <f>IF(ISBLANK(DADOS_AM!$BK$70),"",DADOS_AM!$BK$70)</f>
        <v/>
      </c>
      <c r="X70" t="inlineStr">
        <is>
          <t>Isca</t>
        </is>
      </c>
      <c r="Y70" t="n">
        <v>0</v>
      </c>
      <c r="AG70">
        <f>O70</f>
        <v/>
      </c>
      <c r="AH70">
        <f>P70</f>
        <v/>
      </c>
      <c r="AI70">
        <f>Q70</f>
        <v/>
      </c>
      <c r="AJ70">
        <f>T70</f>
        <v/>
      </c>
      <c r="AK70">
        <f>Y70</f>
        <v/>
      </c>
      <c r="AL70">
        <f>W70</f>
        <v/>
      </c>
      <c r="AN70">
        <f>IF(OR(P70="",P70='DADOS_INVOC'!$EL$2,P70='DADOS_INVOC'!$EM$2,P70='DADOS_INVOC'!$EN$2,P70='DADOS_INVOC'!$EO$2,P70='DADOS_INVOC'!$EP$2,P70='DADOS_INVOC'!$QV$2,P70='DADOS_INVOC'!$QW$2,P70='DADOS_INVOC'!$QX$2,P70='DADOS_INVOC'!$QY$2),O70,"")</f>
        <v/>
      </c>
      <c r="AO70">
        <f>IF(AND(Q70=1,OR(P70="",P70='DADOS_INVOC'!$EL$2,P70='DADOS_INVOC'!$EM$2,P70='DADOS_INVOC'!$EN$2,P70='DADOS_INVOC'!$EO$2,P70='DADOS_INVOC'!$EP$2,P70='DADOS_INVOC'!$QV$2,P70='DADOS_INVOC'!$QW$2,P70='DADOS_INVOC'!$QX$2,P70='DADOS_INVOC'!$QY$2)),O70,"")</f>
        <v/>
      </c>
      <c r="AP70">
        <f>IF(OR(P70="",P70='DADOS_INVOC'!$EL$3,P70='DADOS_INVOC'!$EM$3,P70='DADOS_INVOC'!$EN$3,P70='DADOS_INVOC'!$EO$3,P70='DADOS_INVOC'!$EP$3,P70='DADOS_INVOC'!$QV$3,P70='DADOS_INVOC'!$QW$3,P70='DADOS_INVOC'!$QX$3,P70='DADOS_INVOC'!$QY$3),O70,"")</f>
        <v/>
      </c>
      <c r="AQ70">
        <f>IF(AND(Q70=1,OR(P70="",P70='DADOS_INVOC'!$EL$3,P70='DADOS_INVOC'!$EM$3,P70='DADOS_INVOC'!$EN$3,P70='DADOS_INVOC'!$EO$3,P70='DADOS_INVOC'!$EP$3,P70='DADOS_INVOC'!$QV$3,P70='DADOS_INVOC'!$QW$3,P70='DADOS_INVOC'!$QX$3,P70='DADOS_INVOC'!$QY$3)),O70,"")</f>
        <v/>
      </c>
      <c r="AR70">
        <f>IF(OR(P70="",P70='DADOS_INVOC'!$EL$4,P70='DADOS_INVOC'!$EM$4,P70='DADOS_INVOC'!$EN$4,P70='DADOS_INVOC'!$EO$4,P70='DADOS_INVOC'!$EP$4,P70='DADOS_INVOC'!$QV$4,P70='DADOS_INVOC'!$QW$4,P70='DADOS_INVOC'!$QX$4,P70='DADOS_INVOC'!$QY$4),O70,"")</f>
        <v/>
      </c>
      <c r="AS70">
        <f>IF(AND(Q70=1,OR(P70="",P70='DADOS_INVOC'!$EL$4,P70='DADOS_INVOC'!$EM$4,P70='DADOS_INVOC'!$EN$4,P70='DADOS_INVOC'!$EO$4,P70='DADOS_INVOC'!$EP$4,P70='DADOS_INVOC'!$QV$4,P70='DADOS_INVOC'!$QW$4,P70='DADOS_INVOC'!$QX$4,P70='DADOS_INVOC'!$QY$4)),O70,"")</f>
        <v/>
      </c>
      <c r="AT70">
        <f>IF(OR(P70="",P70='DADOS_INVOC'!$EL$5,P70='DADOS_INVOC'!$EM$5,P70='DADOS_INVOC'!$EN$5,P70='DADOS_INVOC'!$EO$5,P70='DADOS_INVOC'!$EP$5,P70='DADOS_INVOC'!$QV$5,P70='DADOS_INVOC'!$QW$5,P70='DADOS_INVOC'!$QX$5,P70='DADOS_INVOC'!$QY$5),O70,"")</f>
        <v/>
      </c>
      <c r="AU70">
        <f>IF(AND(Q70=1,OR(P70="",P70='DADOS_INVOC'!$EL$5,P70='DADOS_INVOC'!$EM$5,P70='DADOS_INVOC'!$EN$5,P70='DADOS_INVOC'!$EO$5,P70='DADOS_INVOC'!$EP$5,P70='DADOS_INVOC'!$QV$5,P70='DADOS_INVOC'!$QW$5,P70='DADOS_INVOC'!$QX$5,P70='DADOS_INVOC'!$QY$5)),O70,"")</f>
        <v/>
      </c>
      <c r="AV70">
        <f>IF(OR(P70="",P70='DADOS_INVOC'!$EL$6,P70='DADOS_INVOC'!$EM$6,P70='DADOS_INVOC'!$EN$6,P70='DADOS_INVOC'!$EO$6,P70='DADOS_INVOC'!$EP$6,P70='DADOS_INVOC'!$QV$6,P70='DADOS_INVOC'!$QW$6,P70='DADOS_INVOC'!$QX$6,P70='DADOS_INVOC'!$QY$6),O70,"")</f>
        <v/>
      </c>
      <c r="AW70">
        <f>IF(AND(Q70=1,OR(P70="",P70='DADOS_INVOC'!$EL$6,P70='DADOS_INVOC'!$EM$6,P70='DADOS_INVOC'!$EN$6,P70='DADOS_INVOC'!$EO$6,P70='DADOS_INVOC'!$EP$6,P70='DADOS_INVOC'!$QV$6,P70='DADOS_INVOC'!$QW$6,P70='DADOS_INVOC'!$QX$6,P70='DADOS_INVOC'!$QY$6)),O70,"")</f>
        <v/>
      </c>
      <c r="AX70">
        <f>IF(OR(P70="",P70='DADOS_INVOC'!$EL$7,P70='DADOS_INVOC'!$EM$7,P70='DADOS_INVOC'!$EN$7,P70='DADOS_INVOC'!$EO$7,P70='DADOS_INVOC'!$EP$7,P70='DADOS_INVOC'!$QV$7,P70='DADOS_INVOC'!$QW$7,P70='DADOS_INVOC'!$QX$7,P70='DADOS_INVOC'!$QY$7),O70,"")</f>
        <v/>
      </c>
      <c r="AY70">
        <f>IF(AND(Q70=1,OR(P70="",P70='DADOS_INVOC'!$EL$7,P70='DADOS_INVOC'!$EM$7,P70='DADOS_INVOC'!$EN$7,P70='DADOS_INVOC'!$EO$7,P70='DADOS_INVOC'!$EP$7,P70='DADOS_INVOC'!$QV$7,P70='DADOS_INVOC'!$QW$7,P70='DADOS_INVOC'!$QX$7,P70='DADOS_INVOC'!$QY$7)),O70,"")</f>
        <v/>
      </c>
      <c r="AZ70">
        <f>IF(OR(P70="",P70='DADOS_INVOC'!$EL$8,P70='DADOS_INVOC'!$EM$8,P70='DADOS_INVOC'!$EN$8,P70='DADOS_INVOC'!$EO$8,P70='DADOS_INVOC'!$EP$8,P70='DADOS_INVOC'!$QV$8,P70='DADOS_INVOC'!$QW$8,P70='DADOS_INVOC'!$QX$8,P70='DADOS_INVOC'!$QY$8),O70,"")</f>
        <v/>
      </c>
      <c r="BA70">
        <f>IF(AND(Q70=1,OR(P70="",P70='DADOS_INVOC'!$EL$8,P70='DADOS_INVOC'!$EM$8,P70='DADOS_INVOC'!$EN$8,P70='DADOS_INVOC'!$EO$8,P70='DADOS_INVOC'!$EP$8,P70='DADOS_INVOC'!$QV$8,P70='DADOS_INVOC'!$QW$8,P70='DADOS_INVOC'!$QX$8,P70='DADOS_INVOC'!$QY$8)),O70,"")</f>
        <v/>
      </c>
      <c r="BB70">
        <f>IF(OR(P70="",P70='DADOS_INVOC'!$EL$9,P70='DADOS_INVOC'!$EM$9,P70='DADOS_INVOC'!$EN$9,P70='DADOS_INVOC'!$EO$9,P70='DADOS_INVOC'!$EP$9,P70='DADOS_INVOC'!$QV$9,P70='DADOS_INVOC'!$QW$9,P70='DADOS_INVOC'!$QX$9,P70='DADOS_INVOC'!$QY$9),O70,"")</f>
        <v/>
      </c>
      <c r="BC70">
        <f>IF(AND(Q70=1,OR(P70="",P70='DADOS_INVOC'!$EL$9,P70='DADOS_INVOC'!$EM$9,P70='DADOS_INVOC'!$EN$9,P70='DADOS_INVOC'!$EO$9,P70='DADOS_INVOC'!$EP$9,P70='DADOS_INVOC'!$QV$9,P70='DADOS_INVOC'!$QW$9,P70='DADOS_INVOC'!$QX$9,P70='DADOS_INVOC'!$QY$9)),O70,"")</f>
        <v/>
      </c>
      <c r="BD70">
        <f>IF(OR(P70="",P70='DADOS_INVOC'!$EL$10,P70='DADOS_INVOC'!$EM$10,P70='DADOS_INVOC'!$EN$10,P70='DADOS_INVOC'!$EO$10,P70='DADOS_INVOC'!$EP$10,P70='DADOS_INVOC'!$QV$10,P70='DADOS_INVOC'!$QW$10,P70='DADOS_INVOC'!$QX$10,P70='DADOS_INVOC'!$QY$10),O70,"")</f>
        <v/>
      </c>
      <c r="BE70">
        <f>IF(AND(Q70=1,OR(P70="",P70='DADOS_INVOC'!$EL$10,P70='DADOS_INVOC'!$EM$10,P70='DADOS_INVOC'!$EN$10,P70='DADOS_INVOC'!$EO$10,P70='DADOS_INVOC'!$EP$10,P70='DADOS_INVOC'!$QV$10,P70='DADOS_INVOC'!$QW$10,P70='DADOS_INVOC'!$QX$10,P70='DADOS_INVOC'!$QY$10)),O70,"")</f>
        <v/>
      </c>
      <c r="BF70">
        <f>IF(OR(P70="",P70='DADOS_INVOC'!$EL$11,P70='DADOS_INVOC'!$EM$11,P70='DADOS_INVOC'!$EN$11,P70='DADOS_INVOC'!$EO$11,P70='DADOS_INVOC'!$EP$11,P70='DADOS_INVOC'!$QV$11,P70='DADOS_INVOC'!$QW$11,P70='DADOS_INVOC'!$QX$11,P70='DADOS_INVOC'!$QY$11),O70,"")</f>
        <v/>
      </c>
      <c r="BG70">
        <f>IF(AND(Q70=1,OR(P70="",P70='DADOS_INVOC'!$EL$11,P70='DADOS_INVOC'!$EM$11,P70='DADOS_INVOC'!$EN$11,P70='DADOS_INVOC'!$EO$11,P70='DADOS_INVOC'!$EP$11,P70='DADOS_INVOC'!$QV$11,P70='DADOS_INVOC'!$QW$11,P70='DADOS_INVOC'!$QX$11,P70='DADOS_INVOC'!$QY$11)),O70,"")</f>
        <v/>
      </c>
      <c r="BH70">
        <f>IF(OR(P70="",P70='DADOS_INVOC'!$EL$12,P70='DADOS_INVOC'!$EM$12,P70='DADOS_INVOC'!$EN$12,P70='DADOS_INVOC'!$EO$12,P70='DADOS_INVOC'!$EP$12,P70='DADOS_INVOC'!$QV$12,P70='DADOS_INVOC'!$QW$12,P70='DADOS_INVOC'!$QX$12,P70='DADOS_INVOC'!$QY$12),O70,"")</f>
        <v/>
      </c>
      <c r="BI70">
        <f>IF(AND(Q70=1,OR(P70="",P70='DADOS_INVOC'!$EL$12,P70='DADOS_INVOC'!$EM$12,P70='DADOS_INVOC'!$EN$12,P70='DADOS_INVOC'!$EO$12,P70='DADOS_INVOC'!$EP$12,P70='DADOS_INVOC'!$QV$12,P70='DADOS_INVOC'!$QW$12,P70='DADOS_INVOC'!$QX$12,P70='DADOS_INVOC'!$QY$12)),O70,"")</f>
        <v/>
      </c>
      <c r="BJ70">
        <f>IF(OR(P70="",P70='DADOS_INVOC'!$EL$13,P70='DADOS_INVOC'!$EM$13,P70='DADOS_INVOC'!$EN$13,P70='DADOS_INVOC'!$EO$13,P70='DADOS_INVOC'!$EP$13,P70='DADOS_INVOC'!$QV$13,P70='DADOS_INVOC'!$QW$13,P70='DADOS_INVOC'!$QX$13,P70='DADOS_INVOC'!$QY$13),O70,"")</f>
        <v/>
      </c>
      <c r="BK70">
        <f>IF(AND(Q70=1,OR(P70="",P70='DADOS_INVOC'!$EL$13,P70='DADOS_INVOC'!$EM$13,P70='DADOS_INVOC'!$EN$13,P70='DADOS_INVOC'!$EO$13,P70='DADOS_INVOC'!$EP$13,P70='DADOS_INVOC'!$QV$13,P70='DADOS_INVOC'!$QW$13,P70='DADOS_INVOC'!$QX$13,P70='DADOS_INVOC'!$QY$13)),O70,"")</f>
        <v/>
      </c>
      <c r="BP70" t="inlineStr">
        <is>
          <t>Rastro</t>
        </is>
      </c>
    </row>
    <row r="71">
      <c r="O71">
        <f>IF(ISBLANK(DADOS_AM!$BC$71),"",DADOS_AM!$BC$71)</f>
        <v/>
      </c>
      <c r="P71">
        <f>IF(ISBLANK(DADOS_AM!$BD$71),"",DADOS_AM!$BD$71)</f>
        <v/>
      </c>
      <c r="Q71">
        <f>IF(ISBLANK(DADOS_AM!$BE$71),"",DADOS_AM!$BE$71)</f>
        <v/>
      </c>
      <c r="R71">
        <f>IF(ISBLANK(DADOS_AM!$BF$71),"",DADOS_AM!$BF$71)</f>
        <v/>
      </c>
      <c r="S71">
        <f>IF(ISBLANK(DADOS_AM!$BG$71),"",DADOS_AM!$BG$71)</f>
        <v/>
      </c>
      <c r="T71">
        <f>IF(ISBLANK(DADOS_AM!$BH$71),"",DADOS_AM!$BH$71)</f>
        <v/>
      </c>
      <c r="U71">
        <f>IF(ISBLANK(DADOS_AM!$BI$71),"",DADOS_AM!$BI$71)</f>
        <v/>
      </c>
      <c r="V71">
        <f>IF(ISBLANK(DADOS_AM!$BJ$71),"",DADOS_AM!$BJ$71)</f>
        <v/>
      </c>
      <c r="W71">
        <f>IF(ISBLANK(DADOS_AM!$BK$71),"",DADOS_AM!$BK$71)</f>
        <v/>
      </c>
      <c r="X71" t="inlineStr">
        <is>
          <t>Sugar</t>
        </is>
      </c>
      <c r="Y71" t="n">
        <v>1</v>
      </c>
      <c r="AG71">
        <f>O71</f>
        <v/>
      </c>
      <c r="AH71">
        <f>P71</f>
        <v/>
      </c>
      <c r="AI71">
        <f>Q71</f>
        <v/>
      </c>
      <c r="AJ71">
        <f>T71</f>
        <v/>
      </c>
      <c r="AK71">
        <f>Y71</f>
        <v/>
      </c>
      <c r="AL71">
        <f>W71</f>
        <v/>
      </c>
      <c r="AN71">
        <f>IF(OR(P71="",P71='DADOS_INVOC'!$EL$2,P71='DADOS_INVOC'!$EM$2,P71='DADOS_INVOC'!$EN$2,P71='DADOS_INVOC'!$EO$2,P71='DADOS_INVOC'!$EP$2,P71='DADOS_INVOC'!$QV$2,P71='DADOS_INVOC'!$QW$2,P71='DADOS_INVOC'!$QX$2,P71='DADOS_INVOC'!$QY$2),O71,"")</f>
        <v/>
      </c>
      <c r="AO71">
        <f>IF(AND(Q71=1,OR(P71="",P71='DADOS_INVOC'!$EL$2,P71='DADOS_INVOC'!$EM$2,P71='DADOS_INVOC'!$EN$2,P71='DADOS_INVOC'!$EO$2,P71='DADOS_INVOC'!$EP$2,P71='DADOS_INVOC'!$QV$2,P71='DADOS_INVOC'!$QW$2,P71='DADOS_INVOC'!$QX$2,P71='DADOS_INVOC'!$QY$2)),O71,"")</f>
        <v/>
      </c>
      <c r="AP71">
        <f>IF(OR(P71="",P71='DADOS_INVOC'!$EL$3,P71='DADOS_INVOC'!$EM$3,P71='DADOS_INVOC'!$EN$3,P71='DADOS_INVOC'!$EO$3,P71='DADOS_INVOC'!$EP$3,P71='DADOS_INVOC'!$QV$3,P71='DADOS_INVOC'!$QW$3,P71='DADOS_INVOC'!$QX$3,P71='DADOS_INVOC'!$QY$3),O71,"")</f>
        <v/>
      </c>
      <c r="AQ71">
        <f>IF(AND(Q71=1,OR(P71="",P71='DADOS_INVOC'!$EL$3,P71='DADOS_INVOC'!$EM$3,P71='DADOS_INVOC'!$EN$3,P71='DADOS_INVOC'!$EO$3,P71='DADOS_INVOC'!$EP$3,P71='DADOS_INVOC'!$QV$3,P71='DADOS_INVOC'!$QW$3,P71='DADOS_INVOC'!$QX$3,P71='DADOS_INVOC'!$QY$3)),O71,"")</f>
        <v/>
      </c>
      <c r="AR71">
        <f>IF(OR(P71="",P71='DADOS_INVOC'!$EL$4,P71='DADOS_INVOC'!$EM$4,P71='DADOS_INVOC'!$EN$4,P71='DADOS_INVOC'!$EO$4,P71='DADOS_INVOC'!$EP$4,P71='DADOS_INVOC'!$QV$4,P71='DADOS_INVOC'!$QW$4,P71='DADOS_INVOC'!$QX$4,P71='DADOS_INVOC'!$QY$4),O71,"")</f>
        <v/>
      </c>
      <c r="AS71">
        <f>IF(AND(Q71=1,OR(P71="",P71='DADOS_INVOC'!$EL$4,P71='DADOS_INVOC'!$EM$4,P71='DADOS_INVOC'!$EN$4,P71='DADOS_INVOC'!$EO$4,P71='DADOS_INVOC'!$EP$4,P71='DADOS_INVOC'!$QV$4,P71='DADOS_INVOC'!$QW$4,P71='DADOS_INVOC'!$QX$4,P71='DADOS_INVOC'!$QY$4)),O71,"")</f>
        <v/>
      </c>
      <c r="AT71">
        <f>IF(OR(P71="",P71='DADOS_INVOC'!$EL$5,P71='DADOS_INVOC'!$EM$5,P71='DADOS_INVOC'!$EN$5,P71='DADOS_INVOC'!$EO$5,P71='DADOS_INVOC'!$EP$5,P71='DADOS_INVOC'!$QV$5,P71='DADOS_INVOC'!$QW$5,P71='DADOS_INVOC'!$QX$5,P71='DADOS_INVOC'!$QY$5),O71,"")</f>
        <v/>
      </c>
      <c r="AU71">
        <f>IF(AND(Q71=1,OR(P71="",P71='DADOS_INVOC'!$EL$5,P71='DADOS_INVOC'!$EM$5,P71='DADOS_INVOC'!$EN$5,P71='DADOS_INVOC'!$EO$5,P71='DADOS_INVOC'!$EP$5,P71='DADOS_INVOC'!$QV$5,P71='DADOS_INVOC'!$QW$5,P71='DADOS_INVOC'!$QX$5,P71='DADOS_INVOC'!$QY$5)),O71,"")</f>
        <v/>
      </c>
      <c r="AV71">
        <f>IF(OR(P71="",P71='DADOS_INVOC'!$EL$6,P71='DADOS_INVOC'!$EM$6,P71='DADOS_INVOC'!$EN$6,P71='DADOS_INVOC'!$EO$6,P71='DADOS_INVOC'!$EP$6,P71='DADOS_INVOC'!$QV$6,P71='DADOS_INVOC'!$QW$6,P71='DADOS_INVOC'!$QX$6,P71='DADOS_INVOC'!$QY$6),O71,"")</f>
        <v/>
      </c>
      <c r="AW71">
        <f>IF(AND(Q71=1,OR(P71="",P71='DADOS_INVOC'!$EL$6,P71='DADOS_INVOC'!$EM$6,P71='DADOS_INVOC'!$EN$6,P71='DADOS_INVOC'!$EO$6,P71='DADOS_INVOC'!$EP$6,P71='DADOS_INVOC'!$QV$6,P71='DADOS_INVOC'!$QW$6,P71='DADOS_INVOC'!$QX$6,P71='DADOS_INVOC'!$QY$6)),O71,"")</f>
        <v/>
      </c>
      <c r="AX71">
        <f>IF(OR(P71="",P71='DADOS_INVOC'!$EL$7,P71='DADOS_INVOC'!$EM$7,P71='DADOS_INVOC'!$EN$7,P71='DADOS_INVOC'!$EO$7,P71='DADOS_INVOC'!$EP$7,P71='DADOS_INVOC'!$QV$7,P71='DADOS_INVOC'!$QW$7,P71='DADOS_INVOC'!$QX$7,P71='DADOS_INVOC'!$QY$7),O71,"")</f>
        <v/>
      </c>
      <c r="AY71">
        <f>IF(AND(Q71=1,OR(P71="",P71='DADOS_INVOC'!$EL$7,P71='DADOS_INVOC'!$EM$7,P71='DADOS_INVOC'!$EN$7,P71='DADOS_INVOC'!$EO$7,P71='DADOS_INVOC'!$EP$7,P71='DADOS_INVOC'!$QV$7,P71='DADOS_INVOC'!$QW$7,P71='DADOS_INVOC'!$QX$7,P71='DADOS_INVOC'!$QY$7)),O71,"")</f>
        <v/>
      </c>
      <c r="AZ71">
        <f>IF(OR(P71="",P71='DADOS_INVOC'!$EL$8,P71='DADOS_INVOC'!$EM$8,P71='DADOS_INVOC'!$EN$8,P71='DADOS_INVOC'!$EO$8,P71='DADOS_INVOC'!$EP$8,P71='DADOS_INVOC'!$QV$8,P71='DADOS_INVOC'!$QW$8,P71='DADOS_INVOC'!$QX$8,P71='DADOS_INVOC'!$QY$8),O71,"")</f>
        <v/>
      </c>
      <c r="BA71">
        <f>IF(AND(Q71=1,OR(P71="",P71='DADOS_INVOC'!$EL$8,P71='DADOS_INVOC'!$EM$8,P71='DADOS_INVOC'!$EN$8,P71='DADOS_INVOC'!$EO$8,P71='DADOS_INVOC'!$EP$8,P71='DADOS_INVOC'!$QV$8,P71='DADOS_INVOC'!$QW$8,P71='DADOS_INVOC'!$QX$8,P71='DADOS_INVOC'!$QY$8)),O71,"")</f>
        <v/>
      </c>
      <c r="BB71">
        <f>IF(OR(P71="",P71='DADOS_INVOC'!$EL$9,P71='DADOS_INVOC'!$EM$9,P71='DADOS_INVOC'!$EN$9,P71='DADOS_INVOC'!$EO$9,P71='DADOS_INVOC'!$EP$9,P71='DADOS_INVOC'!$QV$9,P71='DADOS_INVOC'!$QW$9,P71='DADOS_INVOC'!$QX$9,P71='DADOS_INVOC'!$QY$9),O71,"")</f>
        <v/>
      </c>
      <c r="BC71">
        <f>IF(AND(Q71=1,OR(P71="",P71='DADOS_INVOC'!$EL$9,P71='DADOS_INVOC'!$EM$9,P71='DADOS_INVOC'!$EN$9,P71='DADOS_INVOC'!$EO$9,P71='DADOS_INVOC'!$EP$9,P71='DADOS_INVOC'!$QV$9,P71='DADOS_INVOC'!$QW$9,P71='DADOS_INVOC'!$QX$9,P71='DADOS_INVOC'!$QY$9)),O71,"")</f>
        <v/>
      </c>
      <c r="BD71">
        <f>IF(OR(P71="",P71='DADOS_INVOC'!$EL$10,P71='DADOS_INVOC'!$EM$10,P71='DADOS_INVOC'!$EN$10,P71='DADOS_INVOC'!$EO$10,P71='DADOS_INVOC'!$EP$10,P71='DADOS_INVOC'!$QV$10,P71='DADOS_INVOC'!$QW$10,P71='DADOS_INVOC'!$QX$10,P71='DADOS_INVOC'!$QY$10),O71,"")</f>
        <v/>
      </c>
      <c r="BE71">
        <f>IF(AND(Q71=1,OR(P71="",P71='DADOS_INVOC'!$EL$10,P71='DADOS_INVOC'!$EM$10,P71='DADOS_INVOC'!$EN$10,P71='DADOS_INVOC'!$EO$10,P71='DADOS_INVOC'!$EP$10,P71='DADOS_INVOC'!$QV$10,P71='DADOS_INVOC'!$QW$10,P71='DADOS_INVOC'!$QX$10,P71='DADOS_INVOC'!$QY$10)),O71,"")</f>
        <v/>
      </c>
      <c r="BF71">
        <f>IF(OR(P71="",P71='DADOS_INVOC'!$EL$11,P71='DADOS_INVOC'!$EM$11,P71='DADOS_INVOC'!$EN$11,P71='DADOS_INVOC'!$EO$11,P71='DADOS_INVOC'!$EP$11,P71='DADOS_INVOC'!$QV$11,P71='DADOS_INVOC'!$QW$11,P71='DADOS_INVOC'!$QX$11,P71='DADOS_INVOC'!$QY$11),O71,"")</f>
        <v/>
      </c>
      <c r="BG71">
        <f>IF(AND(Q71=1,OR(P71="",P71='DADOS_INVOC'!$EL$11,P71='DADOS_INVOC'!$EM$11,P71='DADOS_INVOC'!$EN$11,P71='DADOS_INVOC'!$EO$11,P71='DADOS_INVOC'!$EP$11,P71='DADOS_INVOC'!$QV$11,P71='DADOS_INVOC'!$QW$11,P71='DADOS_INVOC'!$QX$11,P71='DADOS_INVOC'!$QY$11)),O71,"")</f>
        <v/>
      </c>
      <c r="BH71">
        <f>IF(OR(P71="",P71='DADOS_INVOC'!$EL$12,P71='DADOS_INVOC'!$EM$12,P71='DADOS_INVOC'!$EN$12,P71='DADOS_INVOC'!$EO$12,P71='DADOS_INVOC'!$EP$12,P71='DADOS_INVOC'!$QV$12,P71='DADOS_INVOC'!$QW$12,P71='DADOS_INVOC'!$QX$12,P71='DADOS_INVOC'!$QY$12),O71,"")</f>
        <v/>
      </c>
      <c r="BI71">
        <f>IF(AND(Q71=1,OR(P71="",P71='DADOS_INVOC'!$EL$12,P71='DADOS_INVOC'!$EM$12,P71='DADOS_INVOC'!$EN$12,P71='DADOS_INVOC'!$EO$12,P71='DADOS_INVOC'!$EP$12,P71='DADOS_INVOC'!$QV$12,P71='DADOS_INVOC'!$QW$12,P71='DADOS_INVOC'!$QX$12,P71='DADOS_INVOC'!$QY$12)),O71,"")</f>
        <v/>
      </c>
      <c r="BJ71">
        <f>IF(OR(P71="",P71='DADOS_INVOC'!$EL$13,P71='DADOS_INVOC'!$EM$13,P71='DADOS_INVOC'!$EN$13,P71='DADOS_INVOC'!$EO$13,P71='DADOS_INVOC'!$EP$13,P71='DADOS_INVOC'!$QV$13,P71='DADOS_INVOC'!$QW$13,P71='DADOS_INVOC'!$QX$13,P71='DADOS_INVOC'!$QY$13),O71,"")</f>
        <v/>
      </c>
      <c r="BK71">
        <f>IF(AND(Q71=1,OR(P71="",P71='DADOS_INVOC'!$EL$13,P71='DADOS_INVOC'!$EM$13,P71='DADOS_INVOC'!$EN$13,P71='DADOS_INVOC'!$EO$13,P71='DADOS_INVOC'!$EP$13,P71='DADOS_INVOC'!$QV$13,P71='DADOS_INVOC'!$QW$13,P71='DADOS_INVOC'!$QX$13,P71='DADOS_INVOC'!$QY$13)),O71,"")</f>
        <v/>
      </c>
      <c r="BP71" t="inlineStr">
        <is>
          <t>Isca</t>
        </is>
      </c>
    </row>
    <row r="72">
      <c r="O72">
        <f>IF(ISBLANK(DADOS_AM!$BC$72),"",DADOS_AM!$BC$72)</f>
        <v/>
      </c>
      <c r="P72">
        <f>IF(ISBLANK(DADOS_AM!$BD$72),"",DADOS_AM!$BD$72)</f>
        <v/>
      </c>
      <c r="Q72">
        <f>IF(ISBLANK(DADOS_AM!$BE$72),"",DADOS_AM!$BE$72)</f>
        <v/>
      </c>
      <c r="R72">
        <f>IF(ISBLANK(DADOS_AM!$BF$72),"",DADOS_AM!$BF$72)</f>
        <v/>
      </c>
      <c r="S72">
        <f>IF(ISBLANK(DADOS_AM!$BG$72),"",DADOS_AM!$BG$72)</f>
        <v/>
      </c>
      <c r="T72">
        <f>IF(ISBLANK(DADOS_AM!$BH$72),"",DADOS_AM!$BH$72)</f>
        <v/>
      </c>
      <c r="U72">
        <f>IF(ISBLANK(DADOS_AM!$BI$72),"",DADOS_AM!$BI$72)</f>
        <v/>
      </c>
      <c r="V72">
        <f>IF(ISBLANK(DADOS_AM!$BJ$72),"",DADOS_AM!$BJ$72)</f>
        <v/>
      </c>
      <c r="W72">
        <f>IF(ISBLANK(DADOS_AM!$BK$72),"",DADOS_AM!$BK$72)</f>
        <v/>
      </c>
      <c r="X72" t="inlineStr">
        <is>
          <t>Cobrança</t>
        </is>
      </c>
      <c r="Y72" t="n">
        <v>0</v>
      </c>
      <c r="AG72">
        <f>O72</f>
        <v/>
      </c>
      <c r="AH72">
        <f>P72</f>
        <v/>
      </c>
      <c r="AI72">
        <f>Q72</f>
        <v/>
      </c>
      <c r="AJ72">
        <f>T72</f>
        <v/>
      </c>
      <c r="AK72">
        <f>Y72</f>
        <v/>
      </c>
      <c r="AL72">
        <f>W72</f>
        <v/>
      </c>
      <c r="AN72">
        <f>IF(OR(P72="",P72='DADOS_INVOC'!$EL$2,P72='DADOS_INVOC'!$EM$2,P72='DADOS_INVOC'!$EN$2,P72='DADOS_INVOC'!$EO$2,P72='DADOS_INVOC'!$EP$2,P72='DADOS_INVOC'!$QV$2,P72='DADOS_INVOC'!$QW$2,P72='DADOS_INVOC'!$QX$2,P72='DADOS_INVOC'!$QY$2),O72,"")</f>
        <v/>
      </c>
      <c r="AO72">
        <f>IF(AND(Q72=1,OR(P72="",P72='DADOS_INVOC'!$EL$2,P72='DADOS_INVOC'!$EM$2,P72='DADOS_INVOC'!$EN$2,P72='DADOS_INVOC'!$EO$2,P72='DADOS_INVOC'!$EP$2,P72='DADOS_INVOC'!$QV$2,P72='DADOS_INVOC'!$QW$2,P72='DADOS_INVOC'!$QX$2,P72='DADOS_INVOC'!$QY$2)),O72,"")</f>
        <v/>
      </c>
      <c r="AP72">
        <f>IF(OR(P72="",P72='DADOS_INVOC'!$EL$3,P72='DADOS_INVOC'!$EM$3,P72='DADOS_INVOC'!$EN$3,P72='DADOS_INVOC'!$EO$3,P72='DADOS_INVOC'!$EP$3,P72='DADOS_INVOC'!$QV$3,P72='DADOS_INVOC'!$QW$3,P72='DADOS_INVOC'!$QX$3,P72='DADOS_INVOC'!$QY$3),O72,"")</f>
        <v/>
      </c>
      <c r="AQ72">
        <f>IF(AND(Q72=1,OR(P72="",P72='DADOS_INVOC'!$EL$3,P72='DADOS_INVOC'!$EM$3,P72='DADOS_INVOC'!$EN$3,P72='DADOS_INVOC'!$EO$3,P72='DADOS_INVOC'!$EP$3,P72='DADOS_INVOC'!$QV$3,P72='DADOS_INVOC'!$QW$3,P72='DADOS_INVOC'!$QX$3,P72='DADOS_INVOC'!$QY$3)),O72,"")</f>
        <v/>
      </c>
      <c r="AR72">
        <f>IF(OR(P72="",P72='DADOS_INVOC'!$EL$4,P72='DADOS_INVOC'!$EM$4,P72='DADOS_INVOC'!$EN$4,P72='DADOS_INVOC'!$EO$4,P72='DADOS_INVOC'!$EP$4,P72='DADOS_INVOC'!$QV$4,P72='DADOS_INVOC'!$QW$4,P72='DADOS_INVOC'!$QX$4,P72='DADOS_INVOC'!$QY$4),O72,"")</f>
        <v/>
      </c>
      <c r="AS72">
        <f>IF(AND(Q72=1,OR(P72="",P72='DADOS_INVOC'!$EL$4,P72='DADOS_INVOC'!$EM$4,P72='DADOS_INVOC'!$EN$4,P72='DADOS_INVOC'!$EO$4,P72='DADOS_INVOC'!$EP$4,P72='DADOS_INVOC'!$QV$4,P72='DADOS_INVOC'!$QW$4,P72='DADOS_INVOC'!$QX$4,P72='DADOS_INVOC'!$QY$4)),O72,"")</f>
        <v/>
      </c>
      <c r="AT72">
        <f>IF(OR(P72="",P72='DADOS_INVOC'!$EL$5,P72='DADOS_INVOC'!$EM$5,P72='DADOS_INVOC'!$EN$5,P72='DADOS_INVOC'!$EO$5,P72='DADOS_INVOC'!$EP$5,P72='DADOS_INVOC'!$QV$5,P72='DADOS_INVOC'!$QW$5,P72='DADOS_INVOC'!$QX$5,P72='DADOS_INVOC'!$QY$5),O72,"")</f>
        <v/>
      </c>
      <c r="AU72">
        <f>IF(AND(Q72=1,OR(P72="",P72='DADOS_INVOC'!$EL$5,P72='DADOS_INVOC'!$EM$5,P72='DADOS_INVOC'!$EN$5,P72='DADOS_INVOC'!$EO$5,P72='DADOS_INVOC'!$EP$5,P72='DADOS_INVOC'!$QV$5,P72='DADOS_INVOC'!$QW$5,P72='DADOS_INVOC'!$QX$5,P72='DADOS_INVOC'!$QY$5)),O72,"")</f>
        <v/>
      </c>
      <c r="AV72">
        <f>IF(OR(P72="",P72='DADOS_INVOC'!$EL$6,P72='DADOS_INVOC'!$EM$6,P72='DADOS_INVOC'!$EN$6,P72='DADOS_INVOC'!$EO$6,P72='DADOS_INVOC'!$EP$6,P72='DADOS_INVOC'!$QV$6,P72='DADOS_INVOC'!$QW$6,P72='DADOS_INVOC'!$QX$6,P72='DADOS_INVOC'!$QY$6),O72,"")</f>
        <v/>
      </c>
      <c r="AW72">
        <f>IF(AND(Q72=1,OR(P72="",P72='DADOS_INVOC'!$EL$6,P72='DADOS_INVOC'!$EM$6,P72='DADOS_INVOC'!$EN$6,P72='DADOS_INVOC'!$EO$6,P72='DADOS_INVOC'!$EP$6,P72='DADOS_INVOC'!$QV$6,P72='DADOS_INVOC'!$QW$6,P72='DADOS_INVOC'!$QX$6,P72='DADOS_INVOC'!$QY$6)),O72,"")</f>
        <v/>
      </c>
      <c r="AX72">
        <f>IF(OR(P72="",P72='DADOS_INVOC'!$EL$7,P72='DADOS_INVOC'!$EM$7,P72='DADOS_INVOC'!$EN$7,P72='DADOS_INVOC'!$EO$7,P72='DADOS_INVOC'!$EP$7,P72='DADOS_INVOC'!$QV$7,P72='DADOS_INVOC'!$QW$7,P72='DADOS_INVOC'!$QX$7,P72='DADOS_INVOC'!$QY$7),O72,"")</f>
        <v/>
      </c>
      <c r="AY72">
        <f>IF(AND(Q72=1,OR(P72="",P72='DADOS_INVOC'!$EL$7,P72='DADOS_INVOC'!$EM$7,P72='DADOS_INVOC'!$EN$7,P72='DADOS_INVOC'!$EO$7,P72='DADOS_INVOC'!$EP$7,P72='DADOS_INVOC'!$QV$7,P72='DADOS_INVOC'!$QW$7,P72='DADOS_INVOC'!$QX$7,P72='DADOS_INVOC'!$QY$7)),O72,"")</f>
        <v/>
      </c>
      <c r="AZ72">
        <f>IF(OR(P72="",P72='DADOS_INVOC'!$EL$8,P72='DADOS_INVOC'!$EM$8,P72='DADOS_INVOC'!$EN$8,P72='DADOS_INVOC'!$EO$8,P72='DADOS_INVOC'!$EP$8,P72='DADOS_INVOC'!$QV$8,P72='DADOS_INVOC'!$QW$8,P72='DADOS_INVOC'!$QX$8,P72='DADOS_INVOC'!$QY$8),O72,"")</f>
        <v/>
      </c>
      <c r="BA72">
        <f>IF(AND(Q72=1,OR(P72="",P72='DADOS_INVOC'!$EL$8,P72='DADOS_INVOC'!$EM$8,P72='DADOS_INVOC'!$EN$8,P72='DADOS_INVOC'!$EO$8,P72='DADOS_INVOC'!$EP$8,P72='DADOS_INVOC'!$QV$8,P72='DADOS_INVOC'!$QW$8,P72='DADOS_INVOC'!$QX$8,P72='DADOS_INVOC'!$QY$8)),O72,"")</f>
        <v/>
      </c>
      <c r="BB72">
        <f>IF(OR(P72="",P72='DADOS_INVOC'!$EL$9,P72='DADOS_INVOC'!$EM$9,P72='DADOS_INVOC'!$EN$9,P72='DADOS_INVOC'!$EO$9,P72='DADOS_INVOC'!$EP$9,P72='DADOS_INVOC'!$QV$9,P72='DADOS_INVOC'!$QW$9,P72='DADOS_INVOC'!$QX$9,P72='DADOS_INVOC'!$QY$9),O72,"")</f>
        <v/>
      </c>
      <c r="BC72">
        <f>IF(AND(Q72=1,OR(P72="",P72='DADOS_INVOC'!$EL$9,P72='DADOS_INVOC'!$EM$9,P72='DADOS_INVOC'!$EN$9,P72='DADOS_INVOC'!$EO$9,P72='DADOS_INVOC'!$EP$9,P72='DADOS_INVOC'!$QV$9,P72='DADOS_INVOC'!$QW$9,P72='DADOS_INVOC'!$QX$9,P72='DADOS_INVOC'!$QY$9)),O72,"")</f>
        <v/>
      </c>
      <c r="BD72">
        <f>IF(OR(P72="",P72='DADOS_INVOC'!$EL$10,P72='DADOS_INVOC'!$EM$10,P72='DADOS_INVOC'!$EN$10,P72='DADOS_INVOC'!$EO$10,P72='DADOS_INVOC'!$EP$10,P72='DADOS_INVOC'!$QV$10,P72='DADOS_INVOC'!$QW$10,P72='DADOS_INVOC'!$QX$10,P72='DADOS_INVOC'!$QY$10),O72,"")</f>
        <v/>
      </c>
      <c r="BE72">
        <f>IF(AND(Q72=1,OR(P72="",P72='DADOS_INVOC'!$EL$10,P72='DADOS_INVOC'!$EM$10,P72='DADOS_INVOC'!$EN$10,P72='DADOS_INVOC'!$EO$10,P72='DADOS_INVOC'!$EP$10,P72='DADOS_INVOC'!$QV$10,P72='DADOS_INVOC'!$QW$10,P72='DADOS_INVOC'!$QX$10,P72='DADOS_INVOC'!$QY$10)),O72,"")</f>
        <v/>
      </c>
      <c r="BF72">
        <f>IF(OR(P72="",P72='DADOS_INVOC'!$EL$11,P72='DADOS_INVOC'!$EM$11,P72='DADOS_INVOC'!$EN$11,P72='DADOS_INVOC'!$EO$11,P72='DADOS_INVOC'!$EP$11,P72='DADOS_INVOC'!$QV$11,P72='DADOS_INVOC'!$QW$11,P72='DADOS_INVOC'!$QX$11,P72='DADOS_INVOC'!$QY$11),O72,"")</f>
        <v/>
      </c>
      <c r="BG72">
        <f>IF(AND(Q72=1,OR(P72="",P72='DADOS_INVOC'!$EL$11,P72='DADOS_INVOC'!$EM$11,P72='DADOS_INVOC'!$EN$11,P72='DADOS_INVOC'!$EO$11,P72='DADOS_INVOC'!$EP$11,P72='DADOS_INVOC'!$QV$11,P72='DADOS_INVOC'!$QW$11,P72='DADOS_INVOC'!$QX$11,P72='DADOS_INVOC'!$QY$11)),O72,"")</f>
        <v/>
      </c>
      <c r="BH72">
        <f>IF(OR(P72="",P72='DADOS_INVOC'!$EL$12,P72='DADOS_INVOC'!$EM$12,P72='DADOS_INVOC'!$EN$12,P72='DADOS_INVOC'!$EO$12,P72='DADOS_INVOC'!$EP$12,P72='DADOS_INVOC'!$QV$12,P72='DADOS_INVOC'!$QW$12,P72='DADOS_INVOC'!$QX$12,P72='DADOS_INVOC'!$QY$12),O72,"")</f>
        <v/>
      </c>
      <c r="BI72">
        <f>IF(AND(Q72=1,OR(P72="",P72='DADOS_INVOC'!$EL$12,P72='DADOS_INVOC'!$EM$12,P72='DADOS_INVOC'!$EN$12,P72='DADOS_INVOC'!$EO$12,P72='DADOS_INVOC'!$EP$12,P72='DADOS_INVOC'!$QV$12,P72='DADOS_INVOC'!$QW$12,P72='DADOS_INVOC'!$QX$12,P72='DADOS_INVOC'!$QY$12)),O72,"")</f>
        <v/>
      </c>
      <c r="BJ72">
        <f>IF(OR(P72="",P72='DADOS_INVOC'!$EL$13,P72='DADOS_INVOC'!$EM$13,P72='DADOS_INVOC'!$EN$13,P72='DADOS_INVOC'!$EO$13,P72='DADOS_INVOC'!$EP$13,P72='DADOS_INVOC'!$QV$13,P72='DADOS_INVOC'!$QW$13,P72='DADOS_INVOC'!$QX$13,P72='DADOS_INVOC'!$QY$13),O72,"")</f>
        <v/>
      </c>
      <c r="BK72">
        <f>IF(AND(Q72=1,OR(P72="",P72='DADOS_INVOC'!$EL$13,P72='DADOS_INVOC'!$EM$13,P72='DADOS_INVOC'!$EN$13,P72='DADOS_INVOC'!$EO$13,P72='DADOS_INVOC'!$EP$13,P72='DADOS_INVOC'!$QV$13,P72='DADOS_INVOC'!$QW$13,P72='DADOS_INVOC'!$QX$13,P72='DADOS_INVOC'!$QY$13)),O72,"")</f>
        <v/>
      </c>
      <c r="BP72" t="inlineStr">
        <is>
          <t>Sugar</t>
        </is>
      </c>
    </row>
    <row r="73">
      <c r="O73">
        <f>IF(ISBLANK(DADOS_AM!$BC$73),"",DADOS_AM!$BC$73)</f>
        <v/>
      </c>
      <c r="P73">
        <f>IF(ISBLANK(DADOS_AM!$BD$73),"",DADOS_AM!$BD$73)</f>
        <v/>
      </c>
      <c r="Q73">
        <f>IF(ISBLANK(DADOS_AM!$BE$73),"",DADOS_AM!$BE$73)</f>
        <v/>
      </c>
      <c r="R73">
        <f>IF(ISBLANK(DADOS_AM!$BF$73),"",DADOS_AM!$BF$73)</f>
        <v/>
      </c>
      <c r="S73">
        <f>IF(ISBLANK(DADOS_AM!$BG$73),"",DADOS_AM!$BG$73)</f>
        <v/>
      </c>
      <c r="T73">
        <f>IF(ISBLANK(DADOS_AM!$BH$73),"",DADOS_AM!$BH$73)</f>
        <v/>
      </c>
      <c r="U73">
        <f>IF(ISBLANK(DADOS_AM!$BI$73),"",DADOS_AM!$BI$73)</f>
        <v/>
      </c>
      <c r="V73">
        <f>IF(ISBLANK(DADOS_AM!$BJ$73),"",DADOS_AM!$BJ$73)</f>
        <v/>
      </c>
      <c r="W73">
        <f>IF(ISBLANK(DADOS_AM!$BK$73),"",DADOS_AM!$BK$73)</f>
        <v/>
      </c>
      <c r="X73" t="inlineStr">
        <is>
          <t>Identificar Feitiço</t>
        </is>
      </c>
      <c r="Y73" t="n">
        <v>0</v>
      </c>
      <c r="AG73">
        <f>O73</f>
        <v/>
      </c>
      <c r="AH73">
        <f>P73</f>
        <v/>
      </c>
      <c r="AI73">
        <f>Q73</f>
        <v/>
      </c>
      <c r="AJ73">
        <f>T73</f>
        <v/>
      </c>
      <c r="AK73">
        <f>Y73</f>
        <v/>
      </c>
      <c r="AL73">
        <f>W73</f>
        <v/>
      </c>
      <c r="AN73">
        <f>IF(OR(P73="",P73='DADOS_INVOC'!$EL$2,P73='DADOS_INVOC'!$EM$2,P73='DADOS_INVOC'!$EN$2,P73='DADOS_INVOC'!$EO$2,P73='DADOS_INVOC'!$EP$2,P73='DADOS_INVOC'!$QV$2,P73='DADOS_INVOC'!$QW$2,P73='DADOS_INVOC'!$QX$2,P73='DADOS_INVOC'!$QY$2),O73,"")</f>
        <v/>
      </c>
      <c r="AO73">
        <f>IF(AND(Q73=1,OR(P73="",P73='DADOS_INVOC'!$EL$2,P73='DADOS_INVOC'!$EM$2,P73='DADOS_INVOC'!$EN$2,P73='DADOS_INVOC'!$EO$2,P73='DADOS_INVOC'!$EP$2,P73='DADOS_INVOC'!$QV$2,P73='DADOS_INVOC'!$QW$2,P73='DADOS_INVOC'!$QX$2,P73='DADOS_INVOC'!$QY$2)),O73,"")</f>
        <v/>
      </c>
      <c r="AP73">
        <f>IF(OR(P73="",P73='DADOS_INVOC'!$EL$3,P73='DADOS_INVOC'!$EM$3,P73='DADOS_INVOC'!$EN$3,P73='DADOS_INVOC'!$EO$3,P73='DADOS_INVOC'!$EP$3,P73='DADOS_INVOC'!$QV$3,P73='DADOS_INVOC'!$QW$3,P73='DADOS_INVOC'!$QX$3,P73='DADOS_INVOC'!$QY$3),O73,"")</f>
        <v/>
      </c>
      <c r="AQ73">
        <f>IF(AND(Q73=1,OR(P73="",P73='DADOS_INVOC'!$EL$3,P73='DADOS_INVOC'!$EM$3,P73='DADOS_INVOC'!$EN$3,P73='DADOS_INVOC'!$EO$3,P73='DADOS_INVOC'!$EP$3,P73='DADOS_INVOC'!$QV$3,P73='DADOS_INVOC'!$QW$3,P73='DADOS_INVOC'!$QX$3,P73='DADOS_INVOC'!$QY$3)),O73,"")</f>
        <v/>
      </c>
      <c r="AR73">
        <f>IF(OR(P73="",P73='DADOS_INVOC'!$EL$4,P73='DADOS_INVOC'!$EM$4,P73='DADOS_INVOC'!$EN$4,P73='DADOS_INVOC'!$EO$4,P73='DADOS_INVOC'!$EP$4,P73='DADOS_INVOC'!$QV$4,P73='DADOS_INVOC'!$QW$4,P73='DADOS_INVOC'!$QX$4,P73='DADOS_INVOC'!$QY$4),O73,"")</f>
        <v/>
      </c>
      <c r="AS73">
        <f>IF(AND(Q73=1,OR(P73="",P73='DADOS_INVOC'!$EL$4,P73='DADOS_INVOC'!$EM$4,P73='DADOS_INVOC'!$EN$4,P73='DADOS_INVOC'!$EO$4,P73='DADOS_INVOC'!$EP$4,P73='DADOS_INVOC'!$QV$4,P73='DADOS_INVOC'!$QW$4,P73='DADOS_INVOC'!$QX$4,P73='DADOS_INVOC'!$QY$4)),O73,"")</f>
        <v/>
      </c>
      <c r="AT73">
        <f>IF(OR(P73="",P73='DADOS_INVOC'!$EL$5,P73='DADOS_INVOC'!$EM$5,P73='DADOS_INVOC'!$EN$5,P73='DADOS_INVOC'!$EO$5,P73='DADOS_INVOC'!$EP$5,P73='DADOS_INVOC'!$QV$5,P73='DADOS_INVOC'!$QW$5,P73='DADOS_INVOC'!$QX$5,P73='DADOS_INVOC'!$QY$5),O73,"")</f>
        <v/>
      </c>
      <c r="AU73">
        <f>IF(AND(Q73=1,OR(P73="",P73='DADOS_INVOC'!$EL$5,P73='DADOS_INVOC'!$EM$5,P73='DADOS_INVOC'!$EN$5,P73='DADOS_INVOC'!$EO$5,P73='DADOS_INVOC'!$EP$5,P73='DADOS_INVOC'!$QV$5,P73='DADOS_INVOC'!$QW$5,P73='DADOS_INVOC'!$QX$5,P73='DADOS_INVOC'!$QY$5)),O73,"")</f>
        <v/>
      </c>
      <c r="AV73">
        <f>IF(OR(P73="",P73='DADOS_INVOC'!$EL$6,P73='DADOS_INVOC'!$EM$6,P73='DADOS_INVOC'!$EN$6,P73='DADOS_INVOC'!$EO$6,P73='DADOS_INVOC'!$EP$6,P73='DADOS_INVOC'!$QV$6,P73='DADOS_INVOC'!$QW$6,P73='DADOS_INVOC'!$QX$6,P73='DADOS_INVOC'!$QY$6),O73,"")</f>
        <v/>
      </c>
      <c r="AW73">
        <f>IF(AND(Q73=1,OR(P73="",P73='DADOS_INVOC'!$EL$6,P73='DADOS_INVOC'!$EM$6,P73='DADOS_INVOC'!$EN$6,P73='DADOS_INVOC'!$EO$6,P73='DADOS_INVOC'!$EP$6,P73='DADOS_INVOC'!$QV$6,P73='DADOS_INVOC'!$QW$6,P73='DADOS_INVOC'!$QX$6,P73='DADOS_INVOC'!$QY$6)),O73,"")</f>
        <v/>
      </c>
      <c r="AX73">
        <f>IF(OR(P73="",P73='DADOS_INVOC'!$EL$7,P73='DADOS_INVOC'!$EM$7,P73='DADOS_INVOC'!$EN$7,P73='DADOS_INVOC'!$EO$7,P73='DADOS_INVOC'!$EP$7,P73='DADOS_INVOC'!$QV$7,P73='DADOS_INVOC'!$QW$7,P73='DADOS_INVOC'!$QX$7,P73='DADOS_INVOC'!$QY$7),O73,"")</f>
        <v/>
      </c>
      <c r="AY73">
        <f>IF(AND(Q73=1,OR(P73="",P73='DADOS_INVOC'!$EL$7,P73='DADOS_INVOC'!$EM$7,P73='DADOS_INVOC'!$EN$7,P73='DADOS_INVOC'!$EO$7,P73='DADOS_INVOC'!$EP$7,P73='DADOS_INVOC'!$QV$7,P73='DADOS_INVOC'!$QW$7,P73='DADOS_INVOC'!$QX$7,P73='DADOS_INVOC'!$QY$7)),O73,"")</f>
        <v/>
      </c>
      <c r="AZ73">
        <f>IF(OR(P73="",P73='DADOS_INVOC'!$EL$8,P73='DADOS_INVOC'!$EM$8,P73='DADOS_INVOC'!$EN$8,P73='DADOS_INVOC'!$EO$8,P73='DADOS_INVOC'!$EP$8,P73='DADOS_INVOC'!$QV$8,P73='DADOS_INVOC'!$QW$8,P73='DADOS_INVOC'!$QX$8,P73='DADOS_INVOC'!$QY$8),O73,"")</f>
        <v/>
      </c>
      <c r="BA73">
        <f>IF(AND(Q73=1,OR(P73="",P73='DADOS_INVOC'!$EL$8,P73='DADOS_INVOC'!$EM$8,P73='DADOS_INVOC'!$EN$8,P73='DADOS_INVOC'!$EO$8,P73='DADOS_INVOC'!$EP$8,P73='DADOS_INVOC'!$QV$8,P73='DADOS_INVOC'!$QW$8,P73='DADOS_INVOC'!$QX$8,P73='DADOS_INVOC'!$QY$8)),O73,"")</f>
        <v/>
      </c>
      <c r="BB73">
        <f>IF(OR(P73="",P73='DADOS_INVOC'!$EL$9,P73='DADOS_INVOC'!$EM$9,P73='DADOS_INVOC'!$EN$9,P73='DADOS_INVOC'!$EO$9,P73='DADOS_INVOC'!$EP$9,P73='DADOS_INVOC'!$QV$9,P73='DADOS_INVOC'!$QW$9,P73='DADOS_INVOC'!$QX$9,P73='DADOS_INVOC'!$QY$9),O73,"")</f>
        <v/>
      </c>
      <c r="BC73">
        <f>IF(AND(Q73=1,OR(P73="",P73='DADOS_INVOC'!$EL$9,P73='DADOS_INVOC'!$EM$9,P73='DADOS_INVOC'!$EN$9,P73='DADOS_INVOC'!$EO$9,P73='DADOS_INVOC'!$EP$9,P73='DADOS_INVOC'!$QV$9,P73='DADOS_INVOC'!$QW$9,P73='DADOS_INVOC'!$QX$9,P73='DADOS_INVOC'!$QY$9)),O73,"")</f>
        <v/>
      </c>
      <c r="BD73">
        <f>IF(OR(P73="",P73='DADOS_INVOC'!$EL$10,P73='DADOS_INVOC'!$EM$10,P73='DADOS_INVOC'!$EN$10,P73='DADOS_INVOC'!$EO$10,P73='DADOS_INVOC'!$EP$10,P73='DADOS_INVOC'!$QV$10,P73='DADOS_INVOC'!$QW$10,P73='DADOS_INVOC'!$QX$10,P73='DADOS_INVOC'!$QY$10),O73,"")</f>
        <v/>
      </c>
      <c r="BE73">
        <f>IF(AND(Q73=1,OR(P73="",P73='DADOS_INVOC'!$EL$10,P73='DADOS_INVOC'!$EM$10,P73='DADOS_INVOC'!$EN$10,P73='DADOS_INVOC'!$EO$10,P73='DADOS_INVOC'!$EP$10,P73='DADOS_INVOC'!$QV$10,P73='DADOS_INVOC'!$QW$10,P73='DADOS_INVOC'!$QX$10,P73='DADOS_INVOC'!$QY$10)),O73,"")</f>
        <v/>
      </c>
      <c r="BF73">
        <f>IF(OR(P73="",P73='DADOS_INVOC'!$EL$11,P73='DADOS_INVOC'!$EM$11,P73='DADOS_INVOC'!$EN$11,P73='DADOS_INVOC'!$EO$11,P73='DADOS_INVOC'!$EP$11,P73='DADOS_INVOC'!$QV$11,P73='DADOS_INVOC'!$QW$11,P73='DADOS_INVOC'!$QX$11,P73='DADOS_INVOC'!$QY$11),O73,"")</f>
        <v/>
      </c>
      <c r="BG73">
        <f>IF(AND(Q73=1,OR(P73="",P73='DADOS_INVOC'!$EL$11,P73='DADOS_INVOC'!$EM$11,P73='DADOS_INVOC'!$EN$11,P73='DADOS_INVOC'!$EO$11,P73='DADOS_INVOC'!$EP$11,P73='DADOS_INVOC'!$QV$11,P73='DADOS_INVOC'!$QW$11,P73='DADOS_INVOC'!$QX$11,P73='DADOS_INVOC'!$QY$11)),O73,"")</f>
        <v/>
      </c>
      <c r="BH73">
        <f>IF(OR(P73="",P73='DADOS_INVOC'!$EL$12,P73='DADOS_INVOC'!$EM$12,P73='DADOS_INVOC'!$EN$12,P73='DADOS_INVOC'!$EO$12,P73='DADOS_INVOC'!$EP$12,P73='DADOS_INVOC'!$QV$12,P73='DADOS_INVOC'!$QW$12,P73='DADOS_INVOC'!$QX$12,P73='DADOS_INVOC'!$QY$12),O73,"")</f>
        <v/>
      </c>
      <c r="BI73">
        <f>IF(AND(Q73=1,OR(P73="",P73='DADOS_INVOC'!$EL$12,P73='DADOS_INVOC'!$EM$12,P73='DADOS_INVOC'!$EN$12,P73='DADOS_INVOC'!$EO$12,P73='DADOS_INVOC'!$EP$12,P73='DADOS_INVOC'!$QV$12,P73='DADOS_INVOC'!$QW$12,P73='DADOS_INVOC'!$QX$12,P73='DADOS_INVOC'!$QY$12)),O73,"")</f>
        <v/>
      </c>
      <c r="BJ73">
        <f>IF(OR(P73="",P73='DADOS_INVOC'!$EL$13,P73='DADOS_INVOC'!$EM$13,P73='DADOS_INVOC'!$EN$13,P73='DADOS_INVOC'!$EO$13,P73='DADOS_INVOC'!$EP$13,P73='DADOS_INVOC'!$QV$13,P73='DADOS_INVOC'!$QW$13,P73='DADOS_INVOC'!$QX$13,P73='DADOS_INVOC'!$QY$13),O73,"")</f>
        <v/>
      </c>
      <c r="BK73">
        <f>IF(AND(Q73=1,OR(P73="",P73='DADOS_INVOC'!$EL$13,P73='DADOS_INVOC'!$EM$13,P73='DADOS_INVOC'!$EN$13,P73='DADOS_INVOC'!$EO$13,P73='DADOS_INVOC'!$EP$13,P73='DADOS_INVOC'!$QV$13,P73='DADOS_INVOC'!$QW$13,P73='DADOS_INVOC'!$QX$13,P73='DADOS_INVOC'!$QY$13)),O73,"")</f>
        <v/>
      </c>
      <c r="BP73" t="inlineStr">
        <is>
          <t>Cobrança</t>
        </is>
      </c>
    </row>
    <row r="74">
      <c r="O74">
        <f>IF(ISBLANK(DADOS_AM!$BC$74),"",DADOS_AM!$BC$74)</f>
        <v/>
      </c>
      <c r="P74">
        <f>IF(ISBLANK(DADOS_AM!$BD$74),"",DADOS_AM!$BD$74)</f>
        <v/>
      </c>
      <c r="Q74">
        <f>IF(ISBLANK(DADOS_AM!$BE$74),"",DADOS_AM!$BE$74)</f>
        <v/>
      </c>
      <c r="R74">
        <f>IF(ISBLANK(DADOS_AM!$BF$74),"",DADOS_AM!$BF$74)</f>
        <v/>
      </c>
      <c r="S74">
        <f>IF(ISBLANK(DADOS_AM!$BG$74),"",DADOS_AM!$BG$74)</f>
        <v/>
      </c>
      <c r="T74">
        <f>IF(ISBLANK(DADOS_AM!$BH$74),"",DADOS_AM!$BH$74)</f>
        <v/>
      </c>
      <c r="U74">
        <f>IF(ISBLANK(DADOS_AM!$BI$74),"",DADOS_AM!$BI$74)</f>
        <v/>
      </c>
      <c r="V74">
        <f>IF(ISBLANK(DADOS_AM!$BJ$74),"",DADOS_AM!$BJ$74)</f>
        <v/>
      </c>
      <c r="W74">
        <f>IF(ISBLANK(DADOS_AM!$BK$74),"",DADOS_AM!$BK$74)</f>
        <v/>
      </c>
      <c r="X74" t="inlineStr">
        <is>
          <t>Limpa</t>
        </is>
      </c>
      <c r="Y74" t="n">
        <v>0</v>
      </c>
      <c r="AG74">
        <f>O74</f>
        <v/>
      </c>
      <c r="AH74">
        <f>P74</f>
        <v/>
      </c>
      <c r="AI74">
        <f>Q74</f>
        <v/>
      </c>
      <c r="AJ74">
        <f>T74</f>
        <v/>
      </c>
      <c r="AK74">
        <f>Y74</f>
        <v/>
      </c>
      <c r="AL74">
        <f>W74</f>
        <v/>
      </c>
      <c r="AN74">
        <f>IF(OR(P74="",P74='DADOS_INVOC'!$EL$2,P74='DADOS_INVOC'!$EM$2,P74='DADOS_INVOC'!$EN$2,P74='DADOS_INVOC'!$EO$2,P74='DADOS_INVOC'!$EP$2,P74='DADOS_INVOC'!$QV$2,P74='DADOS_INVOC'!$QW$2,P74='DADOS_INVOC'!$QX$2,P74='DADOS_INVOC'!$QY$2),O74,"")</f>
        <v/>
      </c>
      <c r="AO74">
        <f>IF(AND(Q74=1,OR(P74="",P74='DADOS_INVOC'!$EL$2,P74='DADOS_INVOC'!$EM$2,P74='DADOS_INVOC'!$EN$2,P74='DADOS_INVOC'!$EO$2,P74='DADOS_INVOC'!$EP$2,P74='DADOS_INVOC'!$QV$2,P74='DADOS_INVOC'!$QW$2,P74='DADOS_INVOC'!$QX$2,P74='DADOS_INVOC'!$QY$2)),O74,"")</f>
        <v/>
      </c>
      <c r="AP74">
        <f>IF(OR(P74="",P74='DADOS_INVOC'!$EL$3,P74='DADOS_INVOC'!$EM$3,P74='DADOS_INVOC'!$EN$3,P74='DADOS_INVOC'!$EO$3,P74='DADOS_INVOC'!$EP$3,P74='DADOS_INVOC'!$QV$3,P74='DADOS_INVOC'!$QW$3,P74='DADOS_INVOC'!$QX$3,P74='DADOS_INVOC'!$QY$3),O74,"")</f>
        <v/>
      </c>
      <c r="AQ74">
        <f>IF(AND(Q74=1,OR(P74="",P74='DADOS_INVOC'!$EL$3,P74='DADOS_INVOC'!$EM$3,P74='DADOS_INVOC'!$EN$3,P74='DADOS_INVOC'!$EO$3,P74='DADOS_INVOC'!$EP$3,P74='DADOS_INVOC'!$QV$3,P74='DADOS_INVOC'!$QW$3,P74='DADOS_INVOC'!$QX$3,P74='DADOS_INVOC'!$QY$3)),O74,"")</f>
        <v/>
      </c>
      <c r="AR74">
        <f>IF(OR(P74="",P74='DADOS_INVOC'!$EL$4,P74='DADOS_INVOC'!$EM$4,P74='DADOS_INVOC'!$EN$4,P74='DADOS_INVOC'!$EO$4,P74='DADOS_INVOC'!$EP$4,P74='DADOS_INVOC'!$QV$4,P74='DADOS_INVOC'!$QW$4,P74='DADOS_INVOC'!$QX$4,P74='DADOS_INVOC'!$QY$4),O74,"")</f>
        <v/>
      </c>
      <c r="AS74">
        <f>IF(AND(Q74=1,OR(P74="",P74='DADOS_INVOC'!$EL$4,P74='DADOS_INVOC'!$EM$4,P74='DADOS_INVOC'!$EN$4,P74='DADOS_INVOC'!$EO$4,P74='DADOS_INVOC'!$EP$4,P74='DADOS_INVOC'!$QV$4,P74='DADOS_INVOC'!$QW$4,P74='DADOS_INVOC'!$QX$4,P74='DADOS_INVOC'!$QY$4)),O74,"")</f>
        <v/>
      </c>
      <c r="AT74">
        <f>IF(OR(P74="",P74='DADOS_INVOC'!$EL$5,P74='DADOS_INVOC'!$EM$5,P74='DADOS_INVOC'!$EN$5,P74='DADOS_INVOC'!$EO$5,P74='DADOS_INVOC'!$EP$5,P74='DADOS_INVOC'!$QV$5,P74='DADOS_INVOC'!$QW$5,P74='DADOS_INVOC'!$QX$5,P74='DADOS_INVOC'!$QY$5),O74,"")</f>
        <v/>
      </c>
      <c r="AU74">
        <f>IF(AND(Q74=1,OR(P74="",P74='DADOS_INVOC'!$EL$5,P74='DADOS_INVOC'!$EM$5,P74='DADOS_INVOC'!$EN$5,P74='DADOS_INVOC'!$EO$5,P74='DADOS_INVOC'!$EP$5,P74='DADOS_INVOC'!$QV$5,P74='DADOS_INVOC'!$QW$5,P74='DADOS_INVOC'!$QX$5,P74='DADOS_INVOC'!$QY$5)),O74,"")</f>
        <v/>
      </c>
      <c r="AV74">
        <f>IF(OR(P74="",P74='DADOS_INVOC'!$EL$6,P74='DADOS_INVOC'!$EM$6,P74='DADOS_INVOC'!$EN$6,P74='DADOS_INVOC'!$EO$6,P74='DADOS_INVOC'!$EP$6,P74='DADOS_INVOC'!$QV$6,P74='DADOS_INVOC'!$QW$6,P74='DADOS_INVOC'!$QX$6,P74='DADOS_INVOC'!$QY$6),O74,"")</f>
        <v/>
      </c>
      <c r="AW74">
        <f>IF(AND(Q74=1,OR(P74="",P74='DADOS_INVOC'!$EL$6,P74='DADOS_INVOC'!$EM$6,P74='DADOS_INVOC'!$EN$6,P74='DADOS_INVOC'!$EO$6,P74='DADOS_INVOC'!$EP$6,P74='DADOS_INVOC'!$QV$6,P74='DADOS_INVOC'!$QW$6,P74='DADOS_INVOC'!$QX$6,P74='DADOS_INVOC'!$QY$6)),O74,"")</f>
        <v/>
      </c>
      <c r="AX74">
        <f>IF(OR(P74="",P74='DADOS_INVOC'!$EL$7,P74='DADOS_INVOC'!$EM$7,P74='DADOS_INVOC'!$EN$7,P74='DADOS_INVOC'!$EO$7,P74='DADOS_INVOC'!$EP$7,P74='DADOS_INVOC'!$QV$7,P74='DADOS_INVOC'!$QW$7,P74='DADOS_INVOC'!$QX$7,P74='DADOS_INVOC'!$QY$7),O74,"")</f>
        <v/>
      </c>
      <c r="AY74">
        <f>IF(AND(Q74=1,OR(P74="",P74='DADOS_INVOC'!$EL$7,P74='DADOS_INVOC'!$EM$7,P74='DADOS_INVOC'!$EN$7,P74='DADOS_INVOC'!$EO$7,P74='DADOS_INVOC'!$EP$7,P74='DADOS_INVOC'!$QV$7,P74='DADOS_INVOC'!$QW$7,P74='DADOS_INVOC'!$QX$7,P74='DADOS_INVOC'!$QY$7)),O74,"")</f>
        <v/>
      </c>
      <c r="AZ74">
        <f>IF(OR(P74="",P74='DADOS_INVOC'!$EL$8,P74='DADOS_INVOC'!$EM$8,P74='DADOS_INVOC'!$EN$8,P74='DADOS_INVOC'!$EO$8,P74='DADOS_INVOC'!$EP$8,P74='DADOS_INVOC'!$QV$8,P74='DADOS_INVOC'!$QW$8,P74='DADOS_INVOC'!$QX$8,P74='DADOS_INVOC'!$QY$8),O74,"")</f>
        <v/>
      </c>
      <c r="BA74">
        <f>IF(AND(Q74=1,OR(P74="",P74='DADOS_INVOC'!$EL$8,P74='DADOS_INVOC'!$EM$8,P74='DADOS_INVOC'!$EN$8,P74='DADOS_INVOC'!$EO$8,P74='DADOS_INVOC'!$EP$8,P74='DADOS_INVOC'!$QV$8,P74='DADOS_INVOC'!$QW$8,P74='DADOS_INVOC'!$QX$8,P74='DADOS_INVOC'!$QY$8)),O74,"")</f>
        <v/>
      </c>
      <c r="BB74">
        <f>IF(OR(P74="",P74='DADOS_INVOC'!$EL$9,P74='DADOS_INVOC'!$EM$9,P74='DADOS_INVOC'!$EN$9,P74='DADOS_INVOC'!$EO$9,P74='DADOS_INVOC'!$EP$9,P74='DADOS_INVOC'!$QV$9,P74='DADOS_INVOC'!$QW$9,P74='DADOS_INVOC'!$QX$9,P74='DADOS_INVOC'!$QY$9),O74,"")</f>
        <v/>
      </c>
      <c r="BC74">
        <f>IF(AND(Q74=1,OR(P74="",P74='DADOS_INVOC'!$EL$9,P74='DADOS_INVOC'!$EM$9,P74='DADOS_INVOC'!$EN$9,P74='DADOS_INVOC'!$EO$9,P74='DADOS_INVOC'!$EP$9,P74='DADOS_INVOC'!$QV$9,P74='DADOS_INVOC'!$QW$9,P74='DADOS_INVOC'!$QX$9,P74='DADOS_INVOC'!$QY$9)),O74,"")</f>
        <v/>
      </c>
      <c r="BD74">
        <f>IF(OR(P74="",P74='DADOS_INVOC'!$EL$10,P74='DADOS_INVOC'!$EM$10,P74='DADOS_INVOC'!$EN$10,P74='DADOS_INVOC'!$EO$10,P74='DADOS_INVOC'!$EP$10,P74='DADOS_INVOC'!$QV$10,P74='DADOS_INVOC'!$QW$10,P74='DADOS_INVOC'!$QX$10,P74='DADOS_INVOC'!$QY$10),O74,"")</f>
        <v/>
      </c>
      <c r="BE74">
        <f>IF(AND(Q74=1,OR(P74="",P74='DADOS_INVOC'!$EL$10,P74='DADOS_INVOC'!$EM$10,P74='DADOS_INVOC'!$EN$10,P74='DADOS_INVOC'!$EO$10,P74='DADOS_INVOC'!$EP$10,P74='DADOS_INVOC'!$QV$10,P74='DADOS_INVOC'!$QW$10,P74='DADOS_INVOC'!$QX$10,P74='DADOS_INVOC'!$QY$10)),O74,"")</f>
        <v/>
      </c>
      <c r="BF74">
        <f>IF(OR(P74="",P74='DADOS_INVOC'!$EL$11,P74='DADOS_INVOC'!$EM$11,P74='DADOS_INVOC'!$EN$11,P74='DADOS_INVOC'!$EO$11,P74='DADOS_INVOC'!$EP$11,P74='DADOS_INVOC'!$QV$11,P74='DADOS_INVOC'!$QW$11,P74='DADOS_INVOC'!$QX$11,P74='DADOS_INVOC'!$QY$11),O74,"")</f>
        <v/>
      </c>
      <c r="BG74">
        <f>IF(AND(Q74=1,OR(P74="",P74='DADOS_INVOC'!$EL$11,P74='DADOS_INVOC'!$EM$11,P74='DADOS_INVOC'!$EN$11,P74='DADOS_INVOC'!$EO$11,P74='DADOS_INVOC'!$EP$11,P74='DADOS_INVOC'!$QV$11,P74='DADOS_INVOC'!$QW$11,P74='DADOS_INVOC'!$QX$11,P74='DADOS_INVOC'!$QY$11)),O74,"")</f>
        <v/>
      </c>
      <c r="BH74">
        <f>IF(OR(P74="",P74='DADOS_INVOC'!$EL$12,P74='DADOS_INVOC'!$EM$12,P74='DADOS_INVOC'!$EN$12,P74='DADOS_INVOC'!$EO$12,P74='DADOS_INVOC'!$EP$12,P74='DADOS_INVOC'!$QV$12,P74='DADOS_INVOC'!$QW$12,P74='DADOS_INVOC'!$QX$12,P74='DADOS_INVOC'!$QY$12),O74,"")</f>
        <v/>
      </c>
      <c r="BI74">
        <f>IF(AND(Q74=1,OR(P74="",P74='DADOS_INVOC'!$EL$12,P74='DADOS_INVOC'!$EM$12,P74='DADOS_INVOC'!$EN$12,P74='DADOS_INVOC'!$EO$12,P74='DADOS_INVOC'!$EP$12,P74='DADOS_INVOC'!$QV$12,P74='DADOS_INVOC'!$QW$12,P74='DADOS_INVOC'!$QX$12,P74='DADOS_INVOC'!$QY$12)),O74,"")</f>
        <v/>
      </c>
      <c r="BJ74">
        <f>IF(OR(P74="",P74='DADOS_INVOC'!$EL$13,P74='DADOS_INVOC'!$EM$13,P74='DADOS_INVOC'!$EN$13,P74='DADOS_INVOC'!$EO$13,P74='DADOS_INVOC'!$EP$13,P74='DADOS_INVOC'!$QV$13,P74='DADOS_INVOC'!$QW$13,P74='DADOS_INVOC'!$QX$13,P74='DADOS_INVOC'!$QY$13),O74,"")</f>
        <v/>
      </c>
      <c r="BK74">
        <f>IF(AND(Q74=1,OR(P74="",P74='DADOS_INVOC'!$EL$13,P74='DADOS_INVOC'!$EM$13,P74='DADOS_INVOC'!$EN$13,P74='DADOS_INVOC'!$EO$13,P74='DADOS_INVOC'!$EP$13,P74='DADOS_INVOC'!$QV$13,P74='DADOS_INVOC'!$QW$13,P74='DADOS_INVOC'!$QX$13,P74='DADOS_INVOC'!$QY$13)),O74,"")</f>
        <v/>
      </c>
      <c r="BP74" t="inlineStr">
        <is>
          <t>Identificar Feitiço</t>
        </is>
      </c>
    </row>
    <row r="75">
      <c r="O75">
        <f>IF(ISBLANK(DADOS_AM!$BC$75),"",DADOS_AM!$BC$75)</f>
        <v/>
      </c>
      <c r="P75">
        <f>IF(ISBLANK(DADOS_AM!$BD$75),"",DADOS_AM!$BD$75)</f>
        <v/>
      </c>
      <c r="Q75">
        <f>IF(ISBLANK(DADOS_AM!$BE$75),"",DADOS_AM!$BE$75)</f>
        <v/>
      </c>
      <c r="R75">
        <f>IF(ISBLANK(DADOS_AM!$BF$75),"",DADOS_AM!$BF$75)</f>
        <v/>
      </c>
      <c r="S75">
        <f>IF(ISBLANK(DADOS_AM!$BG$75),"",DADOS_AM!$BG$75)</f>
        <v/>
      </c>
      <c r="T75">
        <f>IF(ISBLANK(DADOS_AM!$BH$75),"",DADOS_AM!$BH$75)</f>
        <v/>
      </c>
      <c r="U75">
        <f>IF(ISBLANK(DADOS_AM!$BI$75),"",DADOS_AM!$BI$75)</f>
        <v/>
      </c>
      <c r="V75">
        <f>IF(ISBLANK(DADOS_AM!$BJ$75),"",DADOS_AM!$BJ$75)</f>
        <v/>
      </c>
      <c r="W75">
        <f>IF(ISBLANK(DADOS_AM!$BK$75),"",DADOS_AM!$BK$75)</f>
        <v/>
      </c>
      <c r="X75" t="inlineStr">
        <is>
          <t>Limpa Fundo</t>
        </is>
      </c>
      <c r="Y75" t="n">
        <v>0</v>
      </c>
      <c r="AG75">
        <f>O75</f>
        <v/>
      </c>
      <c r="AH75">
        <f>P75</f>
        <v/>
      </c>
      <c r="AI75">
        <f>Q75</f>
        <v/>
      </c>
      <c r="AJ75">
        <f>T75</f>
        <v/>
      </c>
      <c r="AK75">
        <f>Y75</f>
        <v/>
      </c>
      <c r="AL75">
        <f>W75</f>
        <v/>
      </c>
      <c r="AN75">
        <f>IF(OR(P75="",P75='DADOS_INVOC'!$EL$2,P75='DADOS_INVOC'!$EM$2,P75='DADOS_INVOC'!$EN$2,P75='DADOS_INVOC'!$EO$2,P75='DADOS_INVOC'!$EP$2,P75='DADOS_INVOC'!$QV$2,P75='DADOS_INVOC'!$QW$2,P75='DADOS_INVOC'!$QX$2,P75='DADOS_INVOC'!$QY$2),O75,"")</f>
        <v/>
      </c>
      <c r="AO75">
        <f>IF(AND(Q75=1,OR(P75="",P75='DADOS_INVOC'!$EL$2,P75='DADOS_INVOC'!$EM$2,P75='DADOS_INVOC'!$EN$2,P75='DADOS_INVOC'!$EO$2,P75='DADOS_INVOC'!$EP$2,P75='DADOS_INVOC'!$QV$2,P75='DADOS_INVOC'!$QW$2,P75='DADOS_INVOC'!$QX$2,P75='DADOS_INVOC'!$QY$2)),O75,"")</f>
        <v/>
      </c>
      <c r="AP75">
        <f>IF(OR(P75="",P75='DADOS_INVOC'!$EL$3,P75='DADOS_INVOC'!$EM$3,P75='DADOS_INVOC'!$EN$3,P75='DADOS_INVOC'!$EO$3,P75='DADOS_INVOC'!$EP$3,P75='DADOS_INVOC'!$QV$3,P75='DADOS_INVOC'!$QW$3,P75='DADOS_INVOC'!$QX$3,P75='DADOS_INVOC'!$QY$3),O75,"")</f>
        <v/>
      </c>
      <c r="AQ75">
        <f>IF(AND(Q75=1,OR(P75="",P75='DADOS_INVOC'!$EL$3,P75='DADOS_INVOC'!$EM$3,P75='DADOS_INVOC'!$EN$3,P75='DADOS_INVOC'!$EO$3,P75='DADOS_INVOC'!$EP$3,P75='DADOS_INVOC'!$QV$3,P75='DADOS_INVOC'!$QW$3,P75='DADOS_INVOC'!$QX$3,P75='DADOS_INVOC'!$QY$3)),O75,"")</f>
        <v/>
      </c>
      <c r="AR75">
        <f>IF(OR(P75="",P75='DADOS_INVOC'!$EL$4,P75='DADOS_INVOC'!$EM$4,P75='DADOS_INVOC'!$EN$4,P75='DADOS_INVOC'!$EO$4,P75='DADOS_INVOC'!$EP$4,P75='DADOS_INVOC'!$QV$4,P75='DADOS_INVOC'!$QW$4,P75='DADOS_INVOC'!$QX$4,P75='DADOS_INVOC'!$QY$4),O75,"")</f>
        <v/>
      </c>
      <c r="AS75">
        <f>IF(AND(Q75=1,OR(P75="",P75='DADOS_INVOC'!$EL$4,P75='DADOS_INVOC'!$EM$4,P75='DADOS_INVOC'!$EN$4,P75='DADOS_INVOC'!$EO$4,P75='DADOS_INVOC'!$EP$4,P75='DADOS_INVOC'!$QV$4,P75='DADOS_INVOC'!$QW$4,P75='DADOS_INVOC'!$QX$4,P75='DADOS_INVOC'!$QY$4)),O75,"")</f>
        <v/>
      </c>
      <c r="AT75">
        <f>IF(OR(P75="",P75='DADOS_INVOC'!$EL$5,P75='DADOS_INVOC'!$EM$5,P75='DADOS_INVOC'!$EN$5,P75='DADOS_INVOC'!$EO$5,P75='DADOS_INVOC'!$EP$5,P75='DADOS_INVOC'!$QV$5,P75='DADOS_INVOC'!$QW$5,P75='DADOS_INVOC'!$QX$5,P75='DADOS_INVOC'!$QY$5),O75,"")</f>
        <v/>
      </c>
      <c r="AU75">
        <f>IF(AND(Q75=1,OR(P75="",P75='DADOS_INVOC'!$EL$5,P75='DADOS_INVOC'!$EM$5,P75='DADOS_INVOC'!$EN$5,P75='DADOS_INVOC'!$EO$5,P75='DADOS_INVOC'!$EP$5,P75='DADOS_INVOC'!$QV$5,P75='DADOS_INVOC'!$QW$5,P75='DADOS_INVOC'!$QX$5,P75='DADOS_INVOC'!$QY$5)),O75,"")</f>
        <v/>
      </c>
      <c r="AV75">
        <f>IF(OR(P75="",P75='DADOS_INVOC'!$EL$6,P75='DADOS_INVOC'!$EM$6,P75='DADOS_INVOC'!$EN$6,P75='DADOS_INVOC'!$EO$6,P75='DADOS_INVOC'!$EP$6,P75='DADOS_INVOC'!$QV$6,P75='DADOS_INVOC'!$QW$6,P75='DADOS_INVOC'!$QX$6,P75='DADOS_INVOC'!$QY$6),O75,"")</f>
        <v/>
      </c>
      <c r="AW75">
        <f>IF(AND(Q75=1,OR(P75="",P75='DADOS_INVOC'!$EL$6,P75='DADOS_INVOC'!$EM$6,P75='DADOS_INVOC'!$EN$6,P75='DADOS_INVOC'!$EO$6,P75='DADOS_INVOC'!$EP$6,P75='DADOS_INVOC'!$QV$6,P75='DADOS_INVOC'!$QW$6,P75='DADOS_INVOC'!$QX$6,P75='DADOS_INVOC'!$QY$6)),O75,"")</f>
        <v/>
      </c>
      <c r="AX75">
        <f>IF(OR(P75="",P75='DADOS_INVOC'!$EL$7,P75='DADOS_INVOC'!$EM$7,P75='DADOS_INVOC'!$EN$7,P75='DADOS_INVOC'!$EO$7,P75='DADOS_INVOC'!$EP$7,P75='DADOS_INVOC'!$QV$7,P75='DADOS_INVOC'!$QW$7,P75='DADOS_INVOC'!$QX$7,P75='DADOS_INVOC'!$QY$7),O75,"")</f>
        <v/>
      </c>
      <c r="AY75">
        <f>IF(AND(Q75=1,OR(P75="",P75='DADOS_INVOC'!$EL$7,P75='DADOS_INVOC'!$EM$7,P75='DADOS_INVOC'!$EN$7,P75='DADOS_INVOC'!$EO$7,P75='DADOS_INVOC'!$EP$7,P75='DADOS_INVOC'!$QV$7,P75='DADOS_INVOC'!$QW$7,P75='DADOS_INVOC'!$QX$7,P75='DADOS_INVOC'!$QY$7)),O75,"")</f>
        <v/>
      </c>
      <c r="AZ75">
        <f>IF(OR(P75="",P75='DADOS_INVOC'!$EL$8,P75='DADOS_INVOC'!$EM$8,P75='DADOS_INVOC'!$EN$8,P75='DADOS_INVOC'!$EO$8,P75='DADOS_INVOC'!$EP$8,P75='DADOS_INVOC'!$QV$8,P75='DADOS_INVOC'!$QW$8,P75='DADOS_INVOC'!$QX$8,P75='DADOS_INVOC'!$QY$8),O75,"")</f>
        <v/>
      </c>
      <c r="BA75">
        <f>IF(AND(Q75=1,OR(P75="",P75='DADOS_INVOC'!$EL$8,P75='DADOS_INVOC'!$EM$8,P75='DADOS_INVOC'!$EN$8,P75='DADOS_INVOC'!$EO$8,P75='DADOS_INVOC'!$EP$8,P75='DADOS_INVOC'!$QV$8,P75='DADOS_INVOC'!$QW$8,P75='DADOS_INVOC'!$QX$8,P75='DADOS_INVOC'!$QY$8)),O75,"")</f>
        <v/>
      </c>
      <c r="BB75">
        <f>IF(OR(P75="",P75='DADOS_INVOC'!$EL$9,P75='DADOS_INVOC'!$EM$9,P75='DADOS_INVOC'!$EN$9,P75='DADOS_INVOC'!$EO$9,P75='DADOS_INVOC'!$EP$9,P75='DADOS_INVOC'!$QV$9,P75='DADOS_INVOC'!$QW$9,P75='DADOS_INVOC'!$QX$9,P75='DADOS_INVOC'!$QY$9),O75,"")</f>
        <v/>
      </c>
      <c r="BC75">
        <f>IF(AND(Q75=1,OR(P75="",P75='DADOS_INVOC'!$EL$9,P75='DADOS_INVOC'!$EM$9,P75='DADOS_INVOC'!$EN$9,P75='DADOS_INVOC'!$EO$9,P75='DADOS_INVOC'!$EP$9,P75='DADOS_INVOC'!$QV$9,P75='DADOS_INVOC'!$QW$9,P75='DADOS_INVOC'!$QX$9,P75='DADOS_INVOC'!$QY$9)),O75,"")</f>
        <v/>
      </c>
      <c r="BD75">
        <f>IF(OR(P75="",P75='DADOS_INVOC'!$EL$10,P75='DADOS_INVOC'!$EM$10,P75='DADOS_INVOC'!$EN$10,P75='DADOS_INVOC'!$EO$10,P75='DADOS_INVOC'!$EP$10,P75='DADOS_INVOC'!$QV$10,P75='DADOS_INVOC'!$QW$10,P75='DADOS_INVOC'!$QX$10,P75='DADOS_INVOC'!$QY$10),O75,"")</f>
        <v/>
      </c>
      <c r="BE75">
        <f>IF(AND(Q75=1,OR(P75="",P75='DADOS_INVOC'!$EL$10,P75='DADOS_INVOC'!$EM$10,P75='DADOS_INVOC'!$EN$10,P75='DADOS_INVOC'!$EO$10,P75='DADOS_INVOC'!$EP$10,P75='DADOS_INVOC'!$QV$10,P75='DADOS_INVOC'!$QW$10,P75='DADOS_INVOC'!$QX$10,P75='DADOS_INVOC'!$QY$10)),O75,"")</f>
        <v/>
      </c>
      <c r="BF75">
        <f>IF(OR(P75="",P75='DADOS_INVOC'!$EL$11,P75='DADOS_INVOC'!$EM$11,P75='DADOS_INVOC'!$EN$11,P75='DADOS_INVOC'!$EO$11,P75='DADOS_INVOC'!$EP$11,P75='DADOS_INVOC'!$QV$11,P75='DADOS_INVOC'!$QW$11,P75='DADOS_INVOC'!$QX$11,P75='DADOS_INVOC'!$QY$11),O75,"")</f>
        <v/>
      </c>
      <c r="BG75">
        <f>IF(AND(Q75=1,OR(P75="",P75='DADOS_INVOC'!$EL$11,P75='DADOS_INVOC'!$EM$11,P75='DADOS_INVOC'!$EN$11,P75='DADOS_INVOC'!$EO$11,P75='DADOS_INVOC'!$EP$11,P75='DADOS_INVOC'!$QV$11,P75='DADOS_INVOC'!$QW$11,P75='DADOS_INVOC'!$QX$11,P75='DADOS_INVOC'!$QY$11)),O75,"")</f>
        <v/>
      </c>
      <c r="BH75">
        <f>IF(OR(P75="",P75='DADOS_INVOC'!$EL$12,P75='DADOS_INVOC'!$EM$12,P75='DADOS_INVOC'!$EN$12,P75='DADOS_INVOC'!$EO$12,P75='DADOS_INVOC'!$EP$12,P75='DADOS_INVOC'!$QV$12,P75='DADOS_INVOC'!$QW$12,P75='DADOS_INVOC'!$QX$12,P75='DADOS_INVOC'!$QY$12),O75,"")</f>
        <v/>
      </c>
      <c r="BI75">
        <f>IF(AND(Q75=1,OR(P75="",P75='DADOS_INVOC'!$EL$12,P75='DADOS_INVOC'!$EM$12,P75='DADOS_INVOC'!$EN$12,P75='DADOS_INVOC'!$EO$12,P75='DADOS_INVOC'!$EP$12,P75='DADOS_INVOC'!$QV$12,P75='DADOS_INVOC'!$QW$12,P75='DADOS_INVOC'!$QX$12,P75='DADOS_INVOC'!$QY$12)),O75,"")</f>
        <v/>
      </c>
      <c r="BJ75">
        <f>IF(OR(P75="",P75='DADOS_INVOC'!$EL$13,P75='DADOS_INVOC'!$EM$13,P75='DADOS_INVOC'!$EN$13,P75='DADOS_INVOC'!$EO$13,P75='DADOS_INVOC'!$EP$13,P75='DADOS_INVOC'!$QV$13,P75='DADOS_INVOC'!$QW$13,P75='DADOS_INVOC'!$QX$13,P75='DADOS_INVOC'!$QY$13),O75,"")</f>
        <v/>
      </c>
      <c r="BK75">
        <f>IF(AND(Q75=1,OR(P75="",P75='DADOS_INVOC'!$EL$13,P75='DADOS_INVOC'!$EM$13,P75='DADOS_INVOC'!$EN$13,P75='DADOS_INVOC'!$EO$13,P75='DADOS_INVOC'!$EP$13,P75='DADOS_INVOC'!$QV$13,P75='DADOS_INVOC'!$QW$13,P75='DADOS_INVOC'!$QX$13,P75='DADOS_INVOC'!$QY$13)),O75,"")</f>
        <v/>
      </c>
      <c r="BP75" t="inlineStr">
        <is>
          <t>Limpa</t>
        </is>
      </c>
    </row>
    <row r="76">
      <c r="O76">
        <f>IF(ISBLANK(DADOS_AM!$BC$76),"",DADOS_AM!$BC$76)</f>
        <v/>
      </c>
      <c r="P76">
        <f>IF(ISBLANK(DADOS_AM!$BD$76),"",DADOS_AM!$BD$76)</f>
        <v/>
      </c>
      <c r="Q76">
        <f>IF(ISBLANK(DADOS_AM!$BE$76),"",DADOS_AM!$BE$76)</f>
        <v/>
      </c>
      <c r="R76">
        <f>IF(ISBLANK(DADOS_AM!$BF$76),"",DADOS_AM!$BF$76)</f>
        <v/>
      </c>
      <c r="S76">
        <f>IF(ISBLANK(DADOS_AM!$BG$76),"",DADOS_AM!$BG$76)</f>
        <v/>
      </c>
      <c r="T76">
        <f>IF(ISBLANK(DADOS_AM!$BH$76),"",DADOS_AM!$BH$76)</f>
        <v/>
      </c>
      <c r="U76">
        <f>IF(ISBLANK(DADOS_AM!$BI$76),"",DADOS_AM!$BI$76)</f>
        <v/>
      </c>
      <c r="V76">
        <f>IF(ISBLANK(DADOS_AM!$BJ$76),"",DADOS_AM!$BJ$76)</f>
        <v/>
      </c>
      <c r="W76">
        <f>IF(ISBLANK(DADOS_AM!$BK$76),"",DADOS_AM!$BK$76)</f>
        <v/>
      </c>
      <c r="X76" t="inlineStr">
        <is>
          <t>Levanta</t>
        </is>
      </c>
      <c r="Y76" t="n">
        <v>1</v>
      </c>
      <c r="AG76">
        <f>O76</f>
        <v/>
      </c>
      <c r="AH76">
        <f>P76</f>
        <v/>
      </c>
      <c r="AI76">
        <f>Q76</f>
        <v/>
      </c>
      <c r="AJ76">
        <f>T76</f>
        <v/>
      </c>
      <c r="AK76">
        <f>Y76</f>
        <v/>
      </c>
      <c r="AL76">
        <f>W76</f>
        <v/>
      </c>
      <c r="AN76">
        <f>IF(OR(P76="",P76='DADOS_INVOC'!$EL$2,P76='DADOS_INVOC'!$EM$2,P76='DADOS_INVOC'!$EN$2,P76='DADOS_INVOC'!$EO$2,P76='DADOS_INVOC'!$EP$2,P76='DADOS_INVOC'!$QV$2,P76='DADOS_INVOC'!$QW$2,P76='DADOS_INVOC'!$QX$2,P76='DADOS_INVOC'!$QY$2),O76,"")</f>
        <v/>
      </c>
      <c r="AO76">
        <f>IF(AND(Q76=1,OR(P76="",P76='DADOS_INVOC'!$EL$2,P76='DADOS_INVOC'!$EM$2,P76='DADOS_INVOC'!$EN$2,P76='DADOS_INVOC'!$EO$2,P76='DADOS_INVOC'!$EP$2,P76='DADOS_INVOC'!$QV$2,P76='DADOS_INVOC'!$QW$2,P76='DADOS_INVOC'!$QX$2,P76='DADOS_INVOC'!$QY$2)),O76,"")</f>
        <v/>
      </c>
      <c r="AP76">
        <f>IF(OR(P76="",P76='DADOS_INVOC'!$EL$3,P76='DADOS_INVOC'!$EM$3,P76='DADOS_INVOC'!$EN$3,P76='DADOS_INVOC'!$EO$3,P76='DADOS_INVOC'!$EP$3,P76='DADOS_INVOC'!$QV$3,P76='DADOS_INVOC'!$QW$3,P76='DADOS_INVOC'!$QX$3,P76='DADOS_INVOC'!$QY$3),O76,"")</f>
        <v/>
      </c>
      <c r="AQ76">
        <f>IF(AND(Q76=1,OR(P76="",P76='DADOS_INVOC'!$EL$3,P76='DADOS_INVOC'!$EM$3,P76='DADOS_INVOC'!$EN$3,P76='DADOS_INVOC'!$EO$3,P76='DADOS_INVOC'!$EP$3,P76='DADOS_INVOC'!$QV$3,P76='DADOS_INVOC'!$QW$3,P76='DADOS_INVOC'!$QX$3,P76='DADOS_INVOC'!$QY$3)),O76,"")</f>
        <v/>
      </c>
      <c r="AR76">
        <f>IF(OR(P76="",P76='DADOS_INVOC'!$EL$4,P76='DADOS_INVOC'!$EM$4,P76='DADOS_INVOC'!$EN$4,P76='DADOS_INVOC'!$EO$4,P76='DADOS_INVOC'!$EP$4,P76='DADOS_INVOC'!$QV$4,P76='DADOS_INVOC'!$QW$4,P76='DADOS_INVOC'!$QX$4,P76='DADOS_INVOC'!$QY$4),O76,"")</f>
        <v/>
      </c>
      <c r="AS76">
        <f>IF(AND(Q76=1,OR(P76="",P76='DADOS_INVOC'!$EL$4,P76='DADOS_INVOC'!$EM$4,P76='DADOS_INVOC'!$EN$4,P76='DADOS_INVOC'!$EO$4,P76='DADOS_INVOC'!$EP$4,P76='DADOS_INVOC'!$QV$4,P76='DADOS_INVOC'!$QW$4,P76='DADOS_INVOC'!$QX$4,P76='DADOS_INVOC'!$QY$4)),O76,"")</f>
        <v/>
      </c>
      <c r="AT76">
        <f>IF(OR(P76="",P76='DADOS_INVOC'!$EL$5,P76='DADOS_INVOC'!$EM$5,P76='DADOS_INVOC'!$EN$5,P76='DADOS_INVOC'!$EO$5,P76='DADOS_INVOC'!$EP$5,P76='DADOS_INVOC'!$QV$5,P76='DADOS_INVOC'!$QW$5,P76='DADOS_INVOC'!$QX$5,P76='DADOS_INVOC'!$QY$5),O76,"")</f>
        <v/>
      </c>
      <c r="AU76">
        <f>IF(AND(Q76=1,OR(P76="",P76='DADOS_INVOC'!$EL$5,P76='DADOS_INVOC'!$EM$5,P76='DADOS_INVOC'!$EN$5,P76='DADOS_INVOC'!$EO$5,P76='DADOS_INVOC'!$EP$5,P76='DADOS_INVOC'!$QV$5,P76='DADOS_INVOC'!$QW$5,P76='DADOS_INVOC'!$QX$5,P76='DADOS_INVOC'!$QY$5)),O76,"")</f>
        <v/>
      </c>
      <c r="AV76">
        <f>IF(OR(P76="",P76='DADOS_INVOC'!$EL$6,P76='DADOS_INVOC'!$EM$6,P76='DADOS_INVOC'!$EN$6,P76='DADOS_INVOC'!$EO$6,P76='DADOS_INVOC'!$EP$6,P76='DADOS_INVOC'!$QV$6,P76='DADOS_INVOC'!$QW$6,P76='DADOS_INVOC'!$QX$6,P76='DADOS_INVOC'!$QY$6),O76,"")</f>
        <v/>
      </c>
      <c r="AW76">
        <f>IF(AND(Q76=1,OR(P76="",P76='DADOS_INVOC'!$EL$6,P76='DADOS_INVOC'!$EM$6,P76='DADOS_INVOC'!$EN$6,P76='DADOS_INVOC'!$EO$6,P76='DADOS_INVOC'!$EP$6,P76='DADOS_INVOC'!$QV$6,P76='DADOS_INVOC'!$QW$6,P76='DADOS_INVOC'!$QX$6,P76='DADOS_INVOC'!$QY$6)),O76,"")</f>
        <v/>
      </c>
      <c r="AX76">
        <f>IF(OR(P76="",P76='DADOS_INVOC'!$EL$7,P76='DADOS_INVOC'!$EM$7,P76='DADOS_INVOC'!$EN$7,P76='DADOS_INVOC'!$EO$7,P76='DADOS_INVOC'!$EP$7,P76='DADOS_INVOC'!$QV$7,P76='DADOS_INVOC'!$QW$7,P76='DADOS_INVOC'!$QX$7,P76='DADOS_INVOC'!$QY$7),O76,"")</f>
        <v/>
      </c>
      <c r="AY76">
        <f>IF(AND(Q76=1,OR(P76="",P76='DADOS_INVOC'!$EL$7,P76='DADOS_INVOC'!$EM$7,P76='DADOS_INVOC'!$EN$7,P76='DADOS_INVOC'!$EO$7,P76='DADOS_INVOC'!$EP$7,P76='DADOS_INVOC'!$QV$7,P76='DADOS_INVOC'!$QW$7,P76='DADOS_INVOC'!$QX$7,P76='DADOS_INVOC'!$QY$7)),O76,"")</f>
        <v/>
      </c>
      <c r="AZ76">
        <f>IF(OR(P76="",P76='DADOS_INVOC'!$EL$8,P76='DADOS_INVOC'!$EM$8,P76='DADOS_INVOC'!$EN$8,P76='DADOS_INVOC'!$EO$8,P76='DADOS_INVOC'!$EP$8,P76='DADOS_INVOC'!$QV$8,P76='DADOS_INVOC'!$QW$8,P76='DADOS_INVOC'!$QX$8,P76='DADOS_INVOC'!$QY$8),O76,"")</f>
        <v/>
      </c>
      <c r="BA76">
        <f>IF(AND(Q76=1,OR(P76="",P76='DADOS_INVOC'!$EL$8,P76='DADOS_INVOC'!$EM$8,P76='DADOS_INVOC'!$EN$8,P76='DADOS_INVOC'!$EO$8,P76='DADOS_INVOC'!$EP$8,P76='DADOS_INVOC'!$QV$8,P76='DADOS_INVOC'!$QW$8,P76='DADOS_INVOC'!$QX$8,P76='DADOS_INVOC'!$QY$8)),O76,"")</f>
        <v/>
      </c>
      <c r="BB76">
        <f>IF(OR(P76="",P76='DADOS_INVOC'!$EL$9,P76='DADOS_INVOC'!$EM$9,P76='DADOS_INVOC'!$EN$9,P76='DADOS_INVOC'!$EO$9,P76='DADOS_INVOC'!$EP$9,P76='DADOS_INVOC'!$QV$9,P76='DADOS_INVOC'!$QW$9,P76='DADOS_INVOC'!$QX$9,P76='DADOS_INVOC'!$QY$9),O76,"")</f>
        <v/>
      </c>
      <c r="BC76">
        <f>IF(AND(Q76=1,OR(P76="",P76='DADOS_INVOC'!$EL$9,P76='DADOS_INVOC'!$EM$9,P76='DADOS_INVOC'!$EN$9,P76='DADOS_INVOC'!$EO$9,P76='DADOS_INVOC'!$EP$9,P76='DADOS_INVOC'!$QV$9,P76='DADOS_INVOC'!$QW$9,P76='DADOS_INVOC'!$QX$9,P76='DADOS_INVOC'!$QY$9)),O76,"")</f>
        <v/>
      </c>
      <c r="BD76">
        <f>IF(OR(P76="",P76='DADOS_INVOC'!$EL$10,P76='DADOS_INVOC'!$EM$10,P76='DADOS_INVOC'!$EN$10,P76='DADOS_INVOC'!$EO$10,P76='DADOS_INVOC'!$EP$10,P76='DADOS_INVOC'!$QV$10,P76='DADOS_INVOC'!$QW$10,P76='DADOS_INVOC'!$QX$10,P76='DADOS_INVOC'!$QY$10),O76,"")</f>
        <v/>
      </c>
      <c r="BE76">
        <f>IF(AND(Q76=1,OR(P76="",P76='DADOS_INVOC'!$EL$10,P76='DADOS_INVOC'!$EM$10,P76='DADOS_INVOC'!$EN$10,P76='DADOS_INVOC'!$EO$10,P76='DADOS_INVOC'!$EP$10,P76='DADOS_INVOC'!$QV$10,P76='DADOS_INVOC'!$QW$10,P76='DADOS_INVOC'!$QX$10,P76='DADOS_INVOC'!$QY$10)),O76,"")</f>
        <v/>
      </c>
      <c r="BF76">
        <f>IF(OR(P76="",P76='DADOS_INVOC'!$EL$11,P76='DADOS_INVOC'!$EM$11,P76='DADOS_INVOC'!$EN$11,P76='DADOS_INVOC'!$EO$11,P76='DADOS_INVOC'!$EP$11,P76='DADOS_INVOC'!$QV$11,P76='DADOS_INVOC'!$QW$11,P76='DADOS_INVOC'!$QX$11,P76='DADOS_INVOC'!$QY$11),O76,"")</f>
        <v/>
      </c>
      <c r="BG76">
        <f>IF(AND(Q76=1,OR(P76="",P76='DADOS_INVOC'!$EL$11,P76='DADOS_INVOC'!$EM$11,P76='DADOS_INVOC'!$EN$11,P76='DADOS_INVOC'!$EO$11,P76='DADOS_INVOC'!$EP$11,P76='DADOS_INVOC'!$QV$11,P76='DADOS_INVOC'!$QW$11,P76='DADOS_INVOC'!$QX$11,P76='DADOS_INVOC'!$QY$11)),O76,"")</f>
        <v/>
      </c>
      <c r="BH76">
        <f>IF(OR(P76="",P76='DADOS_INVOC'!$EL$12,P76='DADOS_INVOC'!$EM$12,P76='DADOS_INVOC'!$EN$12,P76='DADOS_INVOC'!$EO$12,P76='DADOS_INVOC'!$EP$12,P76='DADOS_INVOC'!$QV$12,P76='DADOS_INVOC'!$QW$12,P76='DADOS_INVOC'!$QX$12,P76='DADOS_INVOC'!$QY$12),O76,"")</f>
        <v/>
      </c>
      <c r="BI76">
        <f>IF(AND(Q76=1,OR(P76="",P76='DADOS_INVOC'!$EL$12,P76='DADOS_INVOC'!$EM$12,P76='DADOS_INVOC'!$EN$12,P76='DADOS_INVOC'!$EO$12,P76='DADOS_INVOC'!$EP$12,P76='DADOS_INVOC'!$QV$12,P76='DADOS_INVOC'!$QW$12,P76='DADOS_INVOC'!$QX$12,P76='DADOS_INVOC'!$QY$12)),O76,"")</f>
        <v/>
      </c>
      <c r="BJ76">
        <f>IF(OR(P76="",P76='DADOS_INVOC'!$EL$13,P76='DADOS_INVOC'!$EM$13,P76='DADOS_INVOC'!$EN$13,P76='DADOS_INVOC'!$EO$13,P76='DADOS_INVOC'!$EP$13,P76='DADOS_INVOC'!$QV$13,P76='DADOS_INVOC'!$QW$13,P76='DADOS_INVOC'!$QX$13,P76='DADOS_INVOC'!$QY$13),O76,"")</f>
        <v/>
      </c>
      <c r="BK76">
        <f>IF(AND(Q76=1,OR(P76="",P76='DADOS_INVOC'!$EL$13,P76='DADOS_INVOC'!$EM$13,P76='DADOS_INVOC'!$EN$13,P76='DADOS_INVOC'!$EO$13,P76='DADOS_INVOC'!$EP$13,P76='DADOS_INVOC'!$QV$13,P76='DADOS_INVOC'!$QW$13,P76='DADOS_INVOC'!$QX$13,P76='DADOS_INVOC'!$QY$13)),O76,"")</f>
        <v/>
      </c>
      <c r="BP76" t="inlineStr">
        <is>
          <t>Limpa Fundo</t>
        </is>
      </c>
    </row>
    <row r="77">
      <c r="O77">
        <f>IF(ISBLANK(DADOS_AM!$BC$77),"",DADOS_AM!$BC$77)</f>
        <v/>
      </c>
      <c r="P77">
        <f>IF(ISBLANK(DADOS_AM!$BD$77),"",DADOS_AM!$BD$77)</f>
        <v/>
      </c>
      <c r="Q77">
        <f>IF(ISBLANK(DADOS_AM!$BE$77),"",DADOS_AM!$BE$77)</f>
        <v/>
      </c>
      <c r="R77">
        <f>IF(ISBLANK(DADOS_AM!$BF$77),"",DADOS_AM!$BF$77)</f>
        <v/>
      </c>
      <c r="S77">
        <f>IF(ISBLANK(DADOS_AM!$BG$77),"",DADOS_AM!$BG$77)</f>
        <v/>
      </c>
      <c r="T77">
        <f>IF(ISBLANK(DADOS_AM!$BH$77),"",DADOS_AM!$BH$77)</f>
        <v/>
      </c>
      <c r="U77">
        <f>IF(ISBLANK(DADOS_AM!$BI$77),"",DADOS_AM!$BI$77)</f>
        <v/>
      </c>
      <c r="V77">
        <f>IF(ISBLANK(DADOS_AM!$BJ$77),"",DADOS_AM!$BJ$77)</f>
        <v/>
      </c>
      <c r="W77">
        <f>IF(ISBLANK(DADOS_AM!$BK$77),"",DADOS_AM!$BK$77)</f>
        <v/>
      </c>
      <c r="X77" t="inlineStr">
        <is>
          <t>Remenda</t>
        </is>
      </c>
      <c r="Y77" t="n">
        <v>1</v>
      </c>
      <c r="AG77">
        <f>O77</f>
        <v/>
      </c>
      <c r="AH77">
        <f>P77</f>
        <v/>
      </c>
      <c r="AI77">
        <f>Q77</f>
        <v/>
      </c>
      <c r="AJ77">
        <f>T77</f>
        <v/>
      </c>
      <c r="AK77">
        <f>Y77</f>
        <v/>
      </c>
      <c r="AL77">
        <f>W77</f>
        <v/>
      </c>
      <c r="AN77">
        <f>IF(OR(P77="",P77='DADOS_INVOC'!$EL$2,P77='DADOS_INVOC'!$EM$2,P77='DADOS_INVOC'!$EN$2,P77='DADOS_INVOC'!$EO$2,P77='DADOS_INVOC'!$EP$2,P77='DADOS_INVOC'!$QV$2,P77='DADOS_INVOC'!$QW$2,P77='DADOS_INVOC'!$QX$2,P77='DADOS_INVOC'!$QY$2),O77,"")</f>
        <v/>
      </c>
      <c r="AO77">
        <f>IF(AND(Q77=1,OR(P77="",P77='DADOS_INVOC'!$EL$2,P77='DADOS_INVOC'!$EM$2,P77='DADOS_INVOC'!$EN$2,P77='DADOS_INVOC'!$EO$2,P77='DADOS_INVOC'!$EP$2,P77='DADOS_INVOC'!$QV$2,P77='DADOS_INVOC'!$QW$2,P77='DADOS_INVOC'!$QX$2,P77='DADOS_INVOC'!$QY$2)),O77,"")</f>
        <v/>
      </c>
      <c r="AP77">
        <f>IF(OR(P77="",P77='DADOS_INVOC'!$EL$3,P77='DADOS_INVOC'!$EM$3,P77='DADOS_INVOC'!$EN$3,P77='DADOS_INVOC'!$EO$3,P77='DADOS_INVOC'!$EP$3,P77='DADOS_INVOC'!$QV$3,P77='DADOS_INVOC'!$QW$3,P77='DADOS_INVOC'!$QX$3,P77='DADOS_INVOC'!$QY$3),O77,"")</f>
        <v/>
      </c>
      <c r="AQ77">
        <f>IF(AND(Q77=1,OR(P77="",P77='DADOS_INVOC'!$EL$3,P77='DADOS_INVOC'!$EM$3,P77='DADOS_INVOC'!$EN$3,P77='DADOS_INVOC'!$EO$3,P77='DADOS_INVOC'!$EP$3,P77='DADOS_INVOC'!$QV$3,P77='DADOS_INVOC'!$QW$3,P77='DADOS_INVOC'!$QX$3,P77='DADOS_INVOC'!$QY$3)),O77,"")</f>
        <v/>
      </c>
      <c r="AR77">
        <f>IF(OR(P77="",P77='DADOS_INVOC'!$EL$4,P77='DADOS_INVOC'!$EM$4,P77='DADOS_INVOC'!$EN$4,P77='DADOS_INVOC'!$EO$4,P77='DADOS_INVOC'!$EP$4,P77='DADOS_INVOC'!$QV$4,P77='DADOS_INVOC'!$QW$4,P77='DADOS_INVOC'!$QX$4,P77='DADOS_INVOC'!$QY$4),O77,"")</f>
        <v/>
      </c>
      <c r="AS77">
        <f>IF(AND(Q77=1,OR(P77="",P77='DADOS_INVOC'!$EL$4,P77='DADOS_INVOC'!$EM$4,P77='DADOS_INVOC'!$EN$4,P77='DADOS_INVOC'!$EO$4,P77='DADOS_INVOC'!$EP$4,P77='DADOS_INVOC'!$QV$4,P77='DADOS_INVOC'!$QW$4,P77='DADOS_INVOC'!$QX$4,P77='DADOS_INVOC'!$QY$4)),O77,"")</f>
        <v/>
      </c>
      <c r="AT77">
        <f>IF(OR(P77="",P77='DADOS_INVOC'!$EL$5,P77='DADOS_INVOC'!$EM$5,P77='DADOS_INVOC'!$EN$5,P77='DADOS_INVOC'!$EO$5,P77='DADOS_INVOC'!$EP$5,P77='DADOS_INVOC'!$QV$5,P77='DADOS_INVOC'!$QW$5,P77='DADOS_INVOC'!$QX$5,P77='DADOS_INVOC'!$QY$5),O77,"")</f>
        <v/>
      </c>
      <c r="AU77">
        <f>IF(AND(Q77=1,OR(P77="",P77='DADOS_INVOC'!$EL$5,P77='DADOS_INVOC'!$EM$5,P77='DADOS_INVOC'!$EN$5,P77='DADOS_INVOC'!$EO$5,P77='DADOS_INVOC'!$EP$5,P77='DADOS_INVOC'!$QV$5,P77='DADOS_INVOC'!$QW$5,P77='DADOS_INVOC'!$QX$5,P77='DADOS_INVOC'!$QY$5)),O77,"")</f>
        <v/>
      </c>
      <c r="AV77">
        <f>IF(OR(P77="",P77='DADOS_INVOC'!$EL$6,P77='DADOS_INVOC'!$EM$6,P77='DADOS_INVOC'!$EN$6,P77='DADOS_INVOC'!$EO$6,P77='DADOS_INVOC'!$EP$6,P77='DADOS_INVOC'!$QV$6,P77='DADOS_INVOC'!$QW$6,P77='DADOS_INVOC'!$QX$6,P77='DADOS_INVOC'!$QY$6),O77,"")</f>
        <v/>
      </c>
      <c r="AW77">
        <f>IF(AND(Q77=1,OR(P77="",P77='DADOS_INVOC'!$EL$6,P77='DADOS_INVOC'!$EM$6,P77='DADOS_INVOC'!$EN$6,P77='DADOS_INVOC'!$EO$6,P77='DADOS_INVOC'!$EP$6,P77='DADOS_INVOC'!$QV$6,P77='DADOS_INVOC'!$QW$6,P77='DADOS_INVOC'!$QX$6,P77='DADOS_INVOC'!$QY$6)),O77,"")</f>
        <v/>
      </c>
      <c r="AX77">
        <f>IF(OR(P77="",P77='DADOS_INVOC'!$EL$7,P77='DADOS_INVOC'!$EM$7,P77='DADOS_INVOC'!$EN$7,P77='DADOS_INVOC'!$EO$7,P77='DADOS_INVOC'!$EP$7,P77='DADOS_INVOC'!$QV$7,P77='DADOS_INVOC'!$QW$7,P77='DADOS_INVOC'!$QX$7,P77='DADOS_INVOC'!$QY$7),O77,"")</f>
        <v/>
      </c>
      <c r="AY77">
        <f>IF(AND(Q77=1,OR(P77="",P77='DADOS_INVOC'!$EL$7,P77='DADOS_INVOC'!$EM$7,P77='DADOS_INVOC'!$EN$7,P77='DADOS_INVOC'!$EO$7,P77='DADOS_INVOC'!$EP$7,P77='DADOS_INVOC'!$QV$7,P77='DADOS_INVOC'!$QW$7,P77='DADOS_INVOC'!$QX$7,P77='DADOS_INVOC'!$QY$7)),O77,"")</f>
        <v/>
      </c>
      <c r="AZ77">
        <f>IF(OR(P77="",P77='DADOS_INVOC'!$EL$8,P77='DADOS_INVOC'!$EM$8,P77='DADOS_INVOC'!$EN$8,P77='DADOS_INVOC'!$EO$8,P77='DADOS_INVOC'!$EP$8,P77='DADOS_INVOC'!$QV$8,P77='DADOS_INVOC'!$QW$8,P77='DADOS_INVOC'!$QX$8,P77='DADOS_INVOC'!$QY$8),O77,"")</f>
        <v/>
      </c>
      <c r="BA77">
        <f>IF(AND(Q77=1,OR(P77="",P77='DADOS_INVOC'!$EL$8,P77='DADOS_INVOC'!$EM$8,P77='DADOS_INVOC'!$EN$8,P77='DADOS_INVOC'!$EO$8,P77='DADOS_INVOC'!$EP$8,P77='DADOS_INVOC'!$QV$8,P77='DADOS_INVOC'!$QW$8,P77='DADOS_INVOC'!$QX$8,P77='DADOS_INVOC'!$QY$8)),O77,"")</f>
        <v/>
      </c>
      <c r="BB77">
        <f>IF(OR(P77="",P77='DADOS_INVOC'!$EL$9,P77='DADOS_INVOC'!$EM$9,P77='DADOS_INVOC'!$EN$9,P77='DADOS_INVOC'!$EO$9,P77='DADOS_INVOC'!$EP$9,P77='DADOS_INVOC'!$QV$9,P77='DADOS_INVOC'!$QW$9,P77='DADOS_INVOC'!$QX$9,P77='DADOS_INVOC'!$QY$9),O77,"")</f>
        <v/>
      </c>
      <c r="BC77">
        <f>IF(AND(Q77=1,OR(P77="",P77='DADOS_INVOC'!$EL$9,P77='DADOS_INVOC'!$EM$9,P77='DADOS_INVOC'!$EN$9,P77='DADOS_INVOC'!$EO$9,P77='DADOS_INVOC'!$EP$9,P77='DADOS_INVOC'!$QV$9,P77='DADOS_INVOC'!$QW$9,P77='DADOS_INVOC'!$QX$9,P77='DADOS_INVOC'!$QY$9)),O77,"")</f>
        <v/>
      </c>
      <c r="BD77">
        <f>IF(OR(P77="",P77='DADOS_INVOC'!$EL$10,P77='DADOS_INVOC'!$EM$10,P77='DADOS_INVOC'!$EN$10,P77='DADOS_INVOC'!$EO$10,P77='DADOS_INVOC'!$EP$10,P77='DADOS_INVOC'!$QV$10,P77='DADOS_INVOC'!$QW$10,P77='DADOS_INVOC'!$QX$10,P77='DADOS_INVOC'!$QY$10),O77,"")</f>
        <v/>
      </c>
      <c r="BE77">
        <f>IF(AND(Q77=1,OR(P77="",P77='DADOS_INVOC'!$EL$10,P77='DADOS_INVOC'!$EM$10,P77='DADOS_INVOC'!$EN$10,P77='DADOS_INVOC'!$EO$10,P77='DADOS_INVOC'!$EP$10,P77='DADOS_INVOC'!$QV$10,P77='DADOS_INVOC'!$QW$10,P77='DADOS_INVOC'!$QX$10,P77='DADOS_INVOC'!$QY$10)),O77,"")</f>
        <v/>
      </c>
      <c r="BF77">
        <f>IF(OR(P77="",P77='DADOS_INVOC'!$EL$11,P77='DADOS_INVOC'!$EM$11,P77='DADOS_INVOC'!$EN$11,P77='DADOS_INVOC'!$EO$11,P77='DADOS_INVOC'!$EP$11,P77='DADOS_INVOC'!$QV$11,P77='DADOS_INVOC'!$QW$11,P77='DADOS_INVOC'!$QX$11,P77='DADOS_INVOC'!$QY$11),O77,"")</f>
        <v/>
      </c>
      <c r="BG77">
        <f>IF(AND(Q77=1,OR(P77="",P77='DADOS_INVOC'!$EL$11,P77='DADOS_INVOC'!$EM$11,P77='DADOS_INVOC'!$EN$11,P77='DADOS_INVOC'!$EO$11,P77='DADOS_INVOC'!$EP$11,P77='DADOS_INVOC'!$QV$11,P77='DADOS_INVOC'!$QW$11,P77='DADOS_INVOC'!$QX$11,P77='DADOS_INVOC'!$QY$11)),O77,"")</f>
        <v/>
      </c>
      <c r="BH77">
        <f>IF(OR(P77="",P77='DADOS_INVOC'!$EL$12,P77='DADOS_INVOC'!$EM$12,P77='DADOS_INVOC'!$EN$12,P77='DADOS_INVOC'!$EO$12,P77='DADOS_INVOC'!$EP$12,P77='DADOS_INVOC'!$QV$12,P77='DADOS_INVOC'!$QW$12,P77='DADOS_INVOC'!$QX$12,P77='DADOS_INVOC'!$QY$12),O77,"")</f>
        <v/>
      </c>
      <c r="BI77">
        <f>IF(AND(Q77=1,OR(P77="",P77='DADOS_INVOC'!$EL$12,P77='DADOS_INVOC'!$EM$12,P77='DADOS_INVOC'!$EN$12,P77='DADOS_INVOC'!$EO$12,P77='DADOS_INVOC'!$EP$12,P77='DADOS_INVOC'!$QV$12,P77='DADOS_INVOC'!$QW$12,P77='DADOS_INVOC'!$QX$12,P77='DADOS_INVOC'!$QY$12)),O77,"")</f>
        <v/>
      </c>
      <c r="BJ77">
        <f>IF(OR(P77="",P77='DADOS_INVOC'!$EL$13,P77='DADOS_INVOC'!$EM$13,P77='DADOS_INVOC'!$EN$13,P77='DADOS_INVOC'!$EO$13,P77='DADOS_INVOC'!$EP$13,P77='DADOS_INVOC'!$QV$13,P77='DADOS_INVOC'!$QW$13,P77='DADOS_INVOC'!$QX$13,P77='DADOS_INVOC'!$QY$13),O77,"")</f>
        <v/>
      </c>
      <c r="BK77">
        <f>IF(AND(Q77=1,OR(P77="",P77='DADOS_INVOC'!$EL$13,P77='DADOS_INVOC'!$EM$13,P77='DADOS_INVOC'!$EN$13,P77='DADOS_INVOC'!$EO$13,P77='DADOS_INVOC'!$EP$13,P77='DADOS_INVOC'!$QV$13,P77='DADOS_INVOC'!$QW$13,P77='DADOS_INVOC'!$QX$13,P77='DADOS_INVOC'!$QY$13)),O77,"")</f>
        <v/>
      </c>
      <c r="BP77" t="inlineStr">
        <is>
          <t>Levanta</t>
        </is>
      </c>
    </row>
    <row r="78">
      <c r="O78">
        <f>IF(ISBLANK(DADOS_AM!$BC$78),"",DADOS_AM!$BC$78)</f>
        <v/>
      </c>
      <c r="P78">
        <f>IF(ISBLANK(DADOS_AM!$BD$78),"",DADOS_AM!$BD$78)</f>
        <v/>
      </c>
      <c r="Q78">
        <f>IF(ISBLANK(DADOS_AM!$BE$78),"",DADOS_AM!$BE$78)</f>
        <v/>
      </c>
      <c r="R78">
        <f>IF(ISBLANK(DADOS_AM!$BF$78),"",DADOS_AM!$BF$78)</f>
        <v/>
      </c>
      <c r="S78">
        <f>IF(ISBLANK(DADOS_AM!$BG$78),"",DADOS_AM!$BG$78)</f>
        <v/>
      </c>
      <c r="T78">
        <f>IF(ISBLANK(DADOS_AM!$BH$78),"",DADOS_AM!$BH$78)</f>
        <v/>
      </c>
      <c r="U78">
        <f>IF(ISBLANK(DADOS_AM!$BI$78),"",DADOS_AM!$BI$78)</f>
        <v/>
      </c>
      <c r="V78">
        <f>IF(ISBLANK(DADOS_AM!$BJ$78),"",DADOS_AM!$BJ$78)</f>
        <v/>
      </c>
      <c r="W78">
        <f>IF(ISBLANK(DADOS_AM!$BK$78),"",DADOS_AM!$BK$78)</f>
        <v/>
      </c>
      <c r="X78" t="inlineStr">
        <is>
          <t>Divide</t>
        </is>
      </c>
      <c r="Y78" t="n">
        <v>0</v>
      </c>
      <c r="AG78">
        <f>O78</f>
        <v/>
      </c>
      <c r="AH78">
        <f>P78</f>
        <v/>
      </c>
      <c r="AI78">
        <f>Q78</f>
        <v/>
      </c>
      <c r="AJ78">
        <f>T78</f>
        <v/>
      </c>
      <c r="AK78">
        <f>Y78</f>
        <v/>
      </c>
      <c r="AL78">
        <f>W78</f>
        <v/>
      </c>
      <c r="AN78">
        <f>IF(OR(P78="",P78='DADOS_INVOC'!$EL$2,P78='DADOS_INVOC'!$EM$2,P78='DADOS_INVOC'!$EN$2,P78='DADOS_INVOC'!$EO$2,P78='DADOS_INVOC'!$EP$2,P78='DADOS_INVOC'!$QV$2,P78='DADOS_INVOC'!$QW$2,P78='DADOS_INVOC'!$QX$2,P78='DADOS_INVOC'!$QY$2),O78,"")</f>
        <v/>
      </c>
      <c r="AO78">
        <f>IF(AND(Q78=1,OR(P78="",P78='DADOS_INVOC'!$EL$2,P78='DADOS_INVOC'!$EM$2,P78='DADOS_INVOC'!$EN$2,P78='DADOS_INVOC'!$EO$2,P78='DADOS_INVOC'!$EP$2,P78='DADOS_INVOC'!$QV$2,P78='DADOS_INVOC'!$QW$2,P78='DADOS_INVOC'!$QX$2,P78='DADOS_INVOC'!$QY$2)),O78,"")</f>
        <v/>
      </c>
      <c r="AP78">
        <f>IF(OR(P78="",P78='DADOS_INVOC'!$EL$3,P78='DADOS_INVOC'!$EM$3,P78='DADOS_INVOC'!$EN$3,P78='DADOS_INVOC'!$EO$3,P78='DADOS_INVOC'!$EP$3,P78='DADOS_INVOC'!$QV$3,P78='DADOS_INVOC'!$QW$3,P78='DADOS_INVOC'!$QX$3,P78='DADOS_INVOC'!$QY$3),O78,"")</f>
        <v/>
      </c>
      <c r="AQ78">
        <f>IF(AND(Q78=1,OR(P78="",P78='DADOS_INVOC'!$EL$3,P78='DADOS_INVOC'!$EM$3,P78='DADOS_INVOC'!$EN$3,P78='DADOS_INVOC'!$EO$3,P78='DADOS_INVOC'!$EP$3,P78='DADOS_INVOC'!$QV$3,P78='DADOS_INVOC'!$QW$3,P78='DADOS_INVOC'!$QX$3,P78='DADOS_INVOC'!$QY$3)),O78,"")</f>
        <v/>
      </c>
      <c r="AR78">
        <f>IF(OR(P78="",P78='DADOS_INVOC'!$EL$4,P78='DADOS_INVOC'!$EM$4,P78='DADOS_INVOC'!$EN$4,P78='DADOS_INVOC'!$EO$4,P78='DADOS_INVOC'!$EP$4,P78='DADOS_INVOC'!$QV$4,P78='DADOS_INVOC'!$QW$4,P78='DADOS_INVOC'!$QX$4,P78='DADOS_INVOC'!$QY$4),O78,"")</f>
        <v/>
      </c>
      <c r="AS78">
        <f>IF(AND(Q78=1,OR(P78="",P78='DADOS_INVOC'!$EL$4,P78='DADOS_INVOC'!$EM$4,P78='DADOS_INVOC'!$EN$4,P78='DADOS_INVOC'!$EO$4,P78='DADOS_INVOC'!$EP$4,P78='DADOS_INVOC'!$QV$4,P78='DADOS_INVOC'!$QW$4,P78='DADOS_INVOC'!$QX$4,P78='DADOS_INVOC'!$QY$4)),O78,"")</f>
        <v/>
      </c>
      <c r="AT78">
        <f>IF(OR(P78="",P78='DADOS_INVOC'!$EL$5,P78='DADOS_INVOC'!$EM$5,P78='DADOS_INVOC'!$EN$5,P78='DADOS_INVOC'!$EO$5,P78='DADOS_INVOC'!$EP$5,P78='DADOS_INVOC'!$QV$5,P78='DADOS_INVOC'!$QW$5,P78='DADOS_INVOC'!$QX$5,P78='DADOS_INVOC'!$QY$5),O78,"")</f>
        <v/>
      </c>
      <c r="AU78">
        <f>IF(AND(Q78=1,OR(P78="",P78='DADOS_INVOC'!$EL$5,P78='DADOS_INVOC'!$EM$5,P78='DADOS_INVOC'!$EN$5,P78='DADOS_INVOC'!$EO$5,P78='DADOS_INVOC'!$EP$5,P78='DADOS_INVOC'!$QV$5,P78='DADOS_INVOC'!$QW$5,P78='DADOS_INVOC'!$QX$5,P78='DADOS_INVOC'!$QY$5)),O78,"")</f>
        <v/>
      </c>
      <c r="AV78">
        <f>IF(OR(P78="",P78='DADOS_INVOC'!$EL$6,P78='DADOS_INVOC'!$EM$6,P78='DADOS_INVOC'!$EN$6,P78='DADOS_INVOC'!$EO$6,P78='DADOS_INVOC'!$EP$6,P78='DADOS_INVOC'!$QV$6,P78='DADOS_INVOC'!$QW$6,P78='DADOS_INVOC'!$QX$6,P78='DADOS_INVOC'!$QY$6),O78,"")</f>
        <v/>
      </c>
      <c r="AW78">
        <f>IF(AND(Q78=1,OR(P78="",P78='DADOS_INVOC'!$EL$6,P78='DADOS_INVOC'!$EM$6,P78='DADOS_INVOC'!$EN$6,P78='DADOS_INVOC'!$EO$6,P78='DADOS_INVOC'!$EP$6,P78='DADOS_INVOC'!$QV$6,P78='DADOS_INVOC'!$QW$6,P78='DADOS_INVOC'!$QX$6,P78='DADOS_INVOC'!$QY$6)),O78,"")</f>
        <v/>
      </c>
      <c r="AX78">
        <f>IF(OR(P78="",P78='DADOS_INVOC'!$EL$7,P78='DADOS_INVOC'!$EM$7,P78='DADOS_INVOC'!$EN$7,P78='DADOS_INVOC'!$EO$7,P78='DADOS_INVOC'!$EP$7,P78='DADOS_INVOC'!$QV$7,P78='DADOS_INVOC'!$QW$7,P78='DADOS_INVOC'!$QX$7,P78='DADOS_INVOC'!$QY$7),O78,"")</f>
        <v/>
      </c>
      <c r="AY78">
        <f>IF(AND(Q78=1,OR(P78="",P78='DADOS_INVOC'!$EL$7,P78='DADOS_INVOC'!$EM$7,P78='DADOS_INVOC'!$EN$7,P78='DADOS_INVOC'!$EO$7,P78='DADOS_INVOC'!$EP$7,P78='DADOS_INVOC'!$QV$7,P78='DADOS_INVOC'!$QW$7,P78='DADOS_INVOC'!$QX$7,P78='DADOS_INVOC'!$QY$7)),O78,"")</f>
        <v/>
      </c>
      <c r="AZ78">
        <f>IF(OR(P78="",P78='DADOS_INVOC'!$EL$8,P78='DADOS_INVOC'!$EM$8,P78='DADOS_INVOC'!$EN$8,P78='DADOS_INVOC'!$EO$8,P78='DADOS_INVOC'!$EP$8,P78='DADOS_INVOC'!$QV$8,P78='DADOS_INVOC'!$QW$8,P78='DADOS_INVOC'!$QX$8,P78='DADOS_INVOC'!$QY$8),O78,"")</f>
        <v/>
      </c>
      <c r="BA78">
        <f>IF(AND(Q78=1,OR(P78="",P78='DADOS_INVOC'!$EL$8,P78='DADOS_INVOC'!$EM$8,P78='DADOS_INVOC'!$EN$8,P78='DADOS_INVOC'!$EO$8,P78='DADOS_INVOC'!$EP$8,P78='DADOS_INVOC'!$QV$8,P78='DADOS_INVOC'!$QW$8,P78='DADOS_INVOC'!$QX$8,P78='DADOS_INVOC'!$QY$8)),O78,"")</f>
        <v/>
      </c>
      <c r="BB78">
        <f>IF(OR(P78="",P78='DADOS_INVOC'!$EL$9,P78='DADOS_INVOC'!$EM$9,P78='DADOS_INVOC'!$EN$9,P78='DADOS_INVOC'!$EO$9,P78='DADOS_INVOC'!$EP$9,P78='DADOS_INVOC'!$QV$9,P78='DADOS_INVOC'!$QW$9,P78='DADOS_INVOC'!$QX$9,P78='DADOS_INVOC'!$QY$9),O78,"")</f>
        <v/>
      </c>
      <c r="BC78">
        <f>IF(AND(Q78=1,OR(P78="",P78='DADOS_INVOC'!$EL$9,P78='DADOS_INVOC'!$EM$9,P78='DADOS_INVOC'!$EN$9,P78='DADOS_INVOC'!$EO$9,P78='DADOS_INVOC'!$EP$9,P78='DADOS_INVOC'!$QV$9,P78='DADOS_INVOC'!$QW$9,P78='DADOS_INVOC'!$QX$9,P78='DADOS_INVOC'!$QY$9)),O78,"")</f>
        <v/>
      </c>
      <c r="BD78">
        <f>IF(OR(P78="",P78='DADOS_INVOC'!$EL$10,P78='DADOS_INVOC'!$EM$10,P78='DADOS_INVOC'!$EN$10,P78='DADOS_INVOC'!$EO$10,P78='DADOS_INVOC'!$EP$10,P78='DADOS_INVOC'!$QV$10,P78='DADOS_INVOC'!$QW$10,P78='DADOS_INVOC'!$QX$10,P78='DADOS_INVOC'!$QY$10),O78,"")</f>
        <v/>
      </c>
      <c r="BE78">
        <f>IF(AND(Q78=1,OR(P78="",P78='DADOS_INVOC'!$EL$10,P78='DADOS_INVOC'!$EM$10,P78='DADOS_INVOC'!$EN$10,P78='DADOS_INVOC'!$EO$10,P78='DADOS_INVOC'!$EP$10,P78='DADOS_INVOC'!$QV$10,P78='DADOS_INVOC'!$QW$10,P78='DADOS_INVOC'!$QX$10,P78='DADOS_INVOC'!$QY$10)),O78,"")</f>
        <v/>
      </c>
      <c r="BF78">
        <f>IF(OR(P78="",P78='DADOS_INVOC'!$EL$11,P78='DADOS_INVOC'!$EM$11,P78='DADOS_INVOC'!$EN$11,P78='DADOS_INVOC'!$EO$11,P78='DADOS_INVOC'!$EP$11,P78='DADOS_INVOC'!$QV$11,P78='DADOS_INVOC'!$QW$11,P78='DADOS_INVOC'!$QX$11,P78='DADOS_INVOC'!$QY$11),O78,"")</f>
        <v/>
      </c>
      <c r="BG78">
        <f>IF(AND(Q78=1,OR(P78="",P78='DADOS_INVOC'!$EL$11,P78='DADOS_INVOC'!$EM$11,P78='DADOS_INVOC'!$EN$11,P78='DADOS_INVOC'!$EO$11,P78='DADOS_INVOC'!$EP$11,P78='DADOS_INVOC'!$QV$11,P78='DADOS_INVOC'!$QW$11,P78='DADOS_INVOC'!$QX$11,P78='DADOS_INVOC'!$QY$11)),O78,"")</f>
        <v/>
      </c>
      <c r="BH78">
        <f>IF(OR(P78="",P78='DADOS_INVOC'!$EL$12,P78='DADOS_INVOC'!$EM$12,P78='DADOS_INVOC'!$EN$12,P78='DADOS_INVOC'!$EO$12,P78='DADOS_INVOC'!$EP$12,P78='DADOS_INVOC'!$QV$12,P78='DADOS_INVOC'!$QW$12,P78='DADOS_INVOC'!$QX$12,P78='DADOS_INVOC'!$QY$12),O78,"")</f>
        <v/>
      </c>
      <c r="BI78">
        <f>IF(AND(Q78=1,OR(P78="",P78='DADOS_INVOC'!$EL$12,P78='DADOS_INVOC'!$EM$12,P78='DADOS_INVOC'!$EN$12,P78='DADOS_INVOC'!$EO$12,P78='DADOS_INVOC'!$EP$12,P78='DADOS_INVOC'!$QV$12,P78='DADOS_INVOC'!$QW$12,P78='DADOS_INVOC'!$QX$12,P78='DADOS_INVOC'!$QY$12)),O78,"")</f>
        <v/>
      </c>
      <c r="BJ78">
        <f>IF(OR(P78="",P78='DADOS_INVOC'!$EL$13,P78='DADOS_INVOC'!$EM$13,P78='DADOS_INVOC'!$EN$13,P78='DADOS_INVOC'!$EO$13,P78='DADOS_INVOC'!$EP$13,P78='DADOS_INVOC'!$QV$13,P78='DADOS_INVOC'!$QW$13,P78='DADOS_INVOC'!$QX$13,P78='DADOS_INVOC'!$QY$13),O78,"")</f>
        <v/>
      </c>
      <c r="BK78">
        <f>IF(AND(Q78=1,OR(P78="",P78='DADOS_INVOC'!$EL$13,P78='DADOS_INVOC'!$EM$13,P78='DADOS_INVOC'!$EN$13,P78='DADOS_INVOC'!$EO$13,P78='DADOS_INVOC'!$EP$13,P78='DADOS_INVOC'!$QV$13,P78='DADOS_INVOC'!$QW$13,P78='DADOS_INVOC'!$QX$13,P78='DADOS_INVOC'!$QY$13)),O78,"")</f>
        <v/>
      </c>
      <c r="BP78" t="inlineStr">
        <is>
          <t>Remenda</t>
        </is>
      </c>
    </row>
    <row r="79">
      <c r="O79">
        <f>IF(ISBLANK(DADOS_AM!$BC$79),"",DADOS_AM!$BC$79)</f>
        <v/>
      </c>
      <c r="P79">
        <f>IF(ISBLANK(DADOS_AM!$BD$79),"",DADOS_AM!$BD$79)</f>
        <v/>
      </c>
      <c r="Q79">
        <f>IF(ISBLANK(DADOS_AM!$BE$79),"",DADOS_AM!$BE$79)</f>
        <v/>
      </c>
      <c r="R79">
        <f>IF(ISBLANK(DADOS_AM!$BF$79),"",DADOS_AM!$BF$79)</f>
        <v/>
      </c>
      <c r="S79">
        <f>IF(ISBLANK(DADOS_AM!$BG$79),"",DADOS_AM!$BG$79)</f>
        <v/>
      </c>
      <c r="T79">
        <f>IF(ISBLANK(DADOS_AM!$BH$79),"",DADOS_AM!$BH$79)</f>
        <v/>
      </c>
      <c r="U79">
        <f>IF(ISBLANK(DADOS_AM!$BI$79),"",DADOS_AM!$BI$79)</f>
        <v/>
      </c>
      <c r="V79">
        <f>IF(ISBLANK(DADOS_AM!$BJ$79),"",DADOS_AM!$BJ$79)</f>
        <v/>
      </c>
      <c r="W79">
        <f>IF(ISBLANK(DADOS_AM!$BK$79),"",DADOS_AM!$BK$79)</f>
        <v/>
      </c>
      <c r="X79" t="inlineStr">
        <is>
          <t>Junto</t>
        </is>
      </c>
      <c r="Y79" t="n">
        <v>0</v>
      </c>
      <c r="AG79">
        <f>O79</f>
        <v/>
      </c>
      <c r="AH79">
        <f>P79</f>
        <v/>
      </c>
      <c r="AI79">
        <f>Q79</f>
        <v/>
      </c>
      <c r="AJ79">
        <f>T79</f>
        <v/>
      </c>
      <c r="AK79">
        <f>Y79</f>
        <v/>
      </c>
      <c r="AL79">
        <f>W79</f>
        <v/>
      </c>
      <c r="AN79">
        <f>IF(OR(P79="",P79='DADOS_INVOC'!$EL$2,P79='DADOS_INVOC'!$EM$2,P79='DADOS_INVOC'!$EN$2,P79='DADOS_INVOC'!$EO$2,P79='DADOS_INVOC'!$EP$2,P79='DADOS_INVOC'!$QV$2,P79='DADOS_INVOC'!$QW$2,P79='DADOS_INVOC'!$QX$2,P79='DADOS_INVOC'!$QY$2),O79,"")</f>
        <v/>
      </c>
      <c r="AO79">
        <f>IF(AND(Q79=1,OR(P79="",P79='DADOS_INVOC'!$EL$2,P79='DADOS_INVOC'!$EM$2,P79='DADOS_INVOC'!$EN$2,P79='DADOS_INVOC'!$EO$2,P79='DADOS_INVOC'!$EP$2,P79='DADOS_INVOC'!$QV$2,P79='DADOS_INVOC'!$QW$2,P79='DADOS_INVOC'!$QX$2,P79='DADOS_INVOC'!$QY$2)),O79,"")</f>
        <v/>
      </c>
      <c r="AP79">
        <f>IF(OR(P79="",P79='DADOS_INVOC'!$EL$3,P79='DADOS_INVOC'!$EM$3,P79='DADOS_INVOC'!$EN$3,P79='DADOS_INVOC'!$EO$3,P79='DADOS_INVOC'!$EP$3,P79='DADOS_INVOC'!$QV$3,P79='DADOS_INVOC'!$QW$3,P79='DADOS_INVOC'!$QX$3,P79='DADOS_INVOC'!$QY$3),O79,"")</f>
        <v/>
      </c>
      <c r="AQ79">
        <f>IF(AND(Q79=1,OR(P79="",P79='DADOS_INVOC'!$EL$3,P79='DADOS_INVOC'!$EM$3,P79='DADOS_INVOC'!$EN$3,P79='DADOS_INVOC'!$EO$3,P79='DADOS_INVOC'!$EP$3,P79='DADOS_INVOC'!$QV$3,P79='DADOS_INVOC'!$QW$3,P79='DADOS_INVOC'!$QX$3,P79='DADOS_INVOC'!$QY$3)),O79,"")</f>
        <v/>
      </c>
      <c r="AR79">
        <f>IF(OR(P79="",P79='DADOS_INVOC'!$EL$4,P79='DADOS_INVOC'!$EM$4,P79='DADOS_INVOC'!$EN$4,P79='DADOS_INVOC'!$EO$4,P79='DADOS_INVOC'!$EP$4,P79='DADOS_INVOC'!$QV$4,P79='DADOS_INVOC'!$QW$4,P79='DADOS_INVOC'!$QX$4,P79='DADOS_INVOC'!$QY$4),O79,"")</f>
        <v/>
      </c>
      <c r="AS79">
        <f>IF(AND(Q79=1,OR(P79="",P79='DADOS_INVOC'!$EL$4,P79='DADOS_INVOC'!$EM$4,P79='DADOS_INVOC'!$EN$4,P79='DADOS_INVOC'!$EO$4,P79='DADOS_INVOC'!$EP$4,P79='DADOS_INVOC'!$QV$4,P79='DADOS_INVOC'!$QW$4,P79='DADOS_INVOC'!$QX$4,P79='DADOS_INVOC'!$QY$4)),O79,"")</f>
        <v/>
      </c>
      <c r="AT79">
        <f>IF(OR(P79="",P79='DADOS_INVOC'!$EL$5,P79='DADOS_INVOC'!$EM$5,P79='DADOS_INVOC'!$EN$5,P79='DADOS_INVOC'!$EO$5,P79='DADOS_INVOC'!$EP$5,P79='DADOS_INVOC'!$QV$5,P79='DADOS_INVOC'!$QW$5,P79='DADOS_INVOC'!$QX$5,P79='DADOS_INVOC'!$QY$5),O79,"")</f>
        <v/>
      </c>
      <c r="AU79">
        <f>IF(AND(Q79=1,OR(P79="",P79='DADOS_INVOC'!$EL$5,P79='DADOS_INVOC'!$EM$5,P79='DADOS_INVOC'!$EN$5,P79='DADOS_INVOC'!$EO$5,P79='DADOS_INVOC'!$EP$5,P79='DADOS_INVOC'!$QV$5,P79='DADOS_INVOC'!$QW$5,P79='DADOS_INVOC'!$QX$5,P79='DADOS_INVOC'!$QY$5)),O79,"")</f>
        <v/>
      </c>
      <c r="AV79">
        <f>IF(OR(P79="",P79='DADOS_INVOC'!$EL$6,P79='DADOS_INVOC'!$EM$6,P79='DADOS_INVOC'!$EN$6,P79='DADOS_INVOC'!$EO$6,P79='DADOS_INVOC'!$EP$6,P79='DADOS_INVOC'!$QV$6,P79='DADOS_INVOC'!$QW$6,P79='DADOS_INVOC'!$QX$6,P79='DADOS_INVOC'!$QY$6),O79,"")</f>
        <v/>
      </c>
      <c r="AW79">
        <f>IF(AND(Q79=1,OR(P79="",P79='DADOS_INVOC'!$EL$6,P79='DADOS_INVOC'!$EM$6,P79='DADOS_INVOC'!$EN$6,P79='DADOS_INVOC'!$EO$6,P79='DADOS_INVOC'!$EP$6,P79='DADOS_INVOC'!$QV$6,P79='DADOS_INVOC'!$QW$6,P79='DADOS_INVOC'!$QX$6,P79='DADOS_INVOC'!$QY$6)),O79,"")</f>
        <v/>
      </c>
      <c r="AX79">
        <f>IF(OR(P79="",P79='DADOS_INVOC'!$EL$7,P79='DADOS_INVOC'!$EM$7,P79='DADOS_INVOC'!$EN$7,P79='DADOS_INVOC'!$EO$7,P79='DADOS_INVOC'!$EP$7,P79='DADOS_INVOC'!$QV$7,P79='DADOS_INVOC'!$QW$7,P79='DADOS_INVOC'!$QX$7,P79='DADOS_INVOC'!$QY$7),O79,"")</f>
        <v/>
      </c>
      <c r="AY79">
        <f>IF(AND(Q79=1,OR(P79="",P79='DADOS_INVOC'!$EL$7,P79='DADOS_INVOC'!$EM$7,P79='DADOS_INVOC'!$EN$7,P79='DADOS_INVOC'!$EO$7,P79='DADOS_INVOC'!$EP$7,P79='DADOS_INVOC'!$QV$7,P79='DADOS_INVOC'!$QW$7,P79='DADOS_INVOC'!$QX$7,P79='DADOS_INVOC'!$QY$7)),O79,"")</f>
        <v/>
      </c>
      <c r="AZ79">
        <f>IF(OR(P79="",P79='DADOS_INVOC'!$EL$8,P79='DADOS_INVOC'!$EM$8,P79='DADOS_INVOC'!$EN$8,P79='DADOS_INVOC'!$EO$8,P79='DADOS_INVOC'!$EP$8,P79='DADOS_INVOC'!$QV$8,P79='DADOS_INVOC'!$QW$8,P79='DADOS_INVOC'!$QX$8,P79='DADOS_INVOC'!$QY$8),O79,"")</f>
        <v/>
      </c>
      <c r="BA79">
        <f>IF(AND(Q79=1,OR(P79="",P79='DADOS_INVOC'!$EL$8,P79='DADOS_INVOC'!$EM$8,P79='DADOS_INVOC'!$EN$8,P79='DADOS_INVOC'!$EO$8,P79='DADOS_INVOC'!$EP$8,P79='DADOS_INVOC'!$QV$8,P79='DADOS_INVOC'!$QW$8,P79='DADOS_INVOC'!$QX$8,P79='DADOS_INVOC'!$QY$8)),O79,"")</f>
        <v/>
      </c>
      <c r="BB79">
        <f>IF(OR(P79="",P79='DADOS_INVOC'!$EL$9,P79='DADOS_INVOC'!$EM$9,P79='DADOS_INVOC'!$EN$9,P79='DADOS_INVOC'!$EO$9,P79='DADOS_INVOC'!$EP$9,P79='DADOS_INVOC'!$QV$9,P79='DADOS_INVOC'!$QW$9,P79='DADOS_INVOC'!$QX$9,P79='DADOS_INVOC'!$QY$9),O79,"")</f>
        <v/>
      </c>
      <c r="BC79">
        <f>IF(AND(Q79=1,OR(P79="",P79='DADOS_INVOC'!$EL$9,P79='DADOS_INVOC'!$EM$9,P79='DADOS_INVOC'!$EN$9,P79='DADOS_INVOC'!$EO$9,P79='DADOS_INVOC'!$EP$9,P79='DADOS_INVOC'!$QV$9,P79='DADOS_INVOC'!$QW$9,P79='DADOS_INVOC'!$QX$9,P79='DADOS_INVOC'!$QY$9)),O79,"")</f>
        <v/>
      </c>
      <c r="BD79">
        <f>IF(OR(P79="",P79='DADOS_INVOC'!$EL$10,P79='DADOS_INVOC'!$EM$10,P79='DADOS_INVOC'!$EN$10,P79='DADOS_INVOC'!$EO$10,P79='DADOS_INVOC'!$EP$10,P79='DADOS_INVOC'!$QV$10,P79='DADOS_INVOC'!$QW$10,P79='DADOS_INVOC'!$QX$10,P79='DADOS_INVOC'!$QY$10),O79,"")</f>
        <v/>
      </c>
      <c r="BE79">
        <f>IF(AND(Q79=1,OR(P79="",P79='DADOS_INVOC'!$EL$10,P79='DADOS_INVOC'!$EM$10,P79='DADOS_INVOC'!$EN$10,P79='DADOS_INVOC'!$EO$10,P79='DADOS_INVOC'!$EP$10,P79='DADOS_INVOC'!$QV$10,P79='DADOS_INVOC'!$QW$10,P79='DADOS_INVOC'!$QX$10,P79='DADOS_INVOC'!$QY$10)),O79,"")</f>
        <v/>
      </c>
      <c r="BF79">
        <f>IF(OR(P79="",P79='DADOS_INVOC'!$EL$11,P79='DADOS_INVOC'!$EM$11,P79='DADOS_INVOC'!$EN$11,P79='DADOS_INVOC'!$EO$11,P79='DADOS_INVOC'!$EP$11,P79='DADOS_INVOC'!$QV$11,P79='DADOS_INVOC'!$QW$11,P79='DADOS_INVOC'!$QX$11,P79='DADOS_INVOC'!$QY$11),O79,"")</f>
        <v/>
      </c>
      <c r="BG79">
        <f>IF(AND(Q79=1,OR(P79="",P79='DADOS_INVOC'!$EL$11,P79='DADOS_INVOC'!$EM$11,P79='DADOS_INVOC'!$EN$11,P79='DADOS_INVOC'!$EO$11,P79='DADOS_INVOC'!$EP$11,P79='DADOS_INVOC'!$QV$11,P79='DADOS_INVOC'!$QW$11,P79='DADOS_INVOC'!$QX$11,P79='DADOS_INVOC'!$QY$11)),O79,"")</f>
        <v/>
      </c>
      <c r="BH79">
        <f>IF(OR(P79="",P79='DADOS_INVOC'!$EL$12,P79='DADOS_INVOC'!$EM$12,P79='DADOS_INVOC'!$EN$12,P79='DADOS_INVOC'!$EO$12,P79='DADOS_INVOC'!$EP$12,P79='DADOS_INVOC'!$QV$12,P79='DADOS_INVOC'!$QW$12,P79='DADOS_INVOC'!$QX$12,P79='DADOS_INVOC'!$QY$12),O79,"")</f>
        <v/>
      </c>
      <c r="BI79">
        <f>IF(AND(Q79=1,OR(P79="",P79='DADOS_INVOC'!$EL$12,P79='DADOS_INVOC'!$EM$12,P79='DADOS_INVOC'!$EN$12,P79='DADOS_INVOC'!$EO$12,P79='DADOS_INVOC'!$EP$12,P79='DADOS_INVOC'!$QV$12,P79='DADOS_INVOC'!$QW$12,P79='DADOS_INVOC'!$QX$12,P79='DADOS_INVOC'!$QY$12)),O79,"")</f>
        <v/>
      </c>
      <c r="BJ79">
        <f>IF(OR(P79="",P79='DADOS_INVOC'!$EL$13,P79='DADOS_INVOC'!$EM$13,P79='DADOS_INVOC'!$EN$13,P79='DADOS_INVOC'!$EO$13,P79='DADOS_INVOC'!$EP$13,P79='DADOS_INVOC'!$QV$13,P79='DADOS_INVOC'!$QW$13,P79='DADOS_INVOC'!$QX$13,P79='DADOS_INVOC'!$QY$13),O79,"")</f>
        <v/>
      </c>
      <c r="BK79">
        <f>IF(AND(Q79=1,OR(P79="",P79='DADOS_INVOC'!$EL$13,P79='DADOS_INVOC'!$EM$13,P79='DADOS_INVOC'!$EN$13,P79='DADOS_INVOC'!$EO$13,P79='DADOS_INVOC'!$EP$13,P79='DADOS_INVOC'!$QV$13,P79='DADOS_INVOC'!$QW$13,P79='DADOS_INVOC'!$QX$13,P79='DADOS_INVOC'!$QY$13)),O79,"")</f>
        <v/>
      </c>
      <c r="BP79" t="inlineStr">
        <is>
          <t>Divide</t>
        </is>
      </c>
    </row>
    <row r="80">
      <c r="O80">
        <f>IF(ISBLANK(DADOS_AM!$BC$80),"",DADOS_AM!$BC$80)</f>
        <v/>
      </c>
      <c r="P80">
        <f>IF(ISBLANK(DADOS_AM!$BD$80),"",DADOS_AM!$BD$80)</f>
        <v/>
      </c>
      <c r="Q80">
        <f>IF(ISBLANK(DADOS_AM!$BE$80),"",DADOS_AM!$BE$80)</f>
        <v/>
      </c>
      <c r="R80">
        <f>IF(ISBLANK(DADOS_AM!$BF$80),"",DADOS_AM!$BF$80)</f>
        <v/>
      </c>
      <c r="S80">
        <f>IF(ISBLANK(DADOS_AM!$BG$80),"",DADOS_AM!$BG$80)</f>
        <v/>
      </c>
      <c r="T80">
        <f>IF(ISBLANK(DADOS_AM!$BH$80),"",DADOS_AM!$BH$80)</f>
        <v/>
      </c>
      <c r="U80">
        <f>IF(ISBLANK(DADOS_AM!$BI$80),"",DADOS_AM!$BI$80)</f>
        <v/>
      </c>
      <c r="V80">
        <f>IF(ISBLANK(DADOS_AM!$BJ$80),"",DADOS_AM!$BJ$80)</f>
        <v/>
      </c>
      <c r="W80">
        <f>IF(ISBLANK(DADOS_AM!$BK$80),"",DADOS_AM!$BK$80)</f>
        <v/>
      </c>
      <c r="X80" t="inlineStr">
        <is>
          <t>Reserva</t>
        </is>
      </c>
      <c r="Y80" t="n">
        <v>0</v>
      </c>
      <c r="AG80">
        <f>O80</f>
        <v/>
      </c>
      <c r="AH80">
        <f>P80</f>
        <v/>
      </c>
      <c r="AI80">
        <f>Q80</f>
        <v/>
      </c>
      <c r="AJ80">
        <f>T80</f>
        <v/>
      </c>
      <c r="AK80">
        <f>Y80</f>
        <v/>
      </c>
      <c r="AL80">
        <f>W80</f>
        <v/>
      </c>
      <c r="AN80">
        <f>IF(OR(P80="",P80='DADOS_INVOC'!$EL$2,P80='DADOS_INVOC'!$EM$2,P80='DADOS_INVOC'!$EN$2,P80='DADOS_INVOC'!$EO$2,P80='DADOS_INVOC'!$EP$2,P80='DADOS_INVOC'!$QV$2,P80='DADOS_INVOC'!$QW$2,P80='DADOS_INVOC'!$QX$2,P80='DADOS_INVOC'!$QY$2),O80,"")</f>
        <v/>
      </c>
      <c r="AO80">
        <f>IF(AND(Q80=1,OR(P80="",P80='DADOS_INVOC'!$EL$2,P80='DADOS_INVOC'!$EM$2,P80='DADOS_INVOC'!$EN$2,P80='DADOS_INVOC'!$EO$2,P80='DADOS_INVOC'!$EP$2,P80='DADOS_INVOC'!$QV$2,P80='DADOS_INVOC'!$QW$2,P80='DADOS_INVOC'!$QX$2,P80='DADOS_INVOC'!$QY$2)),O80,"")</f>
        <v/>
      </c>
      <c r="AP80">
        <f>IF(OR(P80="",P80='DADOS_INVOC'!$EL$3,P80='DADOS_INVOC'!$EM$3,P80='DADOS_INVOC'!$EN$3,P80='DADOS_INVOC'!$EO$3,P80='DADOS_INVOC'!$EP$3,P80='DADOS_INVOC'!$QV$3,P80='DADOS_INVOC'!$QW$3,P80='DADOS_INVOC'!$QX$3,P80='DADOS_INVOC'!$QY$3),O80,"")</f>
        <v/>
      </c>
      <c r="AQ80">
        <f>IF(AND(Q80=1,OR(P80="",P80='DADOS_INVOC'!$EL$3,P80='DADOS_INVOC'!$EM$3,P80='DADOS_INVOC'!$EN$3,P80='DADOS_INVOC'!$EO$3,P80='DADOS_INVOC'!$EP$3,P80='DADOS_INVOC'!$QV$3,P80='DADOS_INVOC'!$QW$3,P80='DADOS_INVOC'!$QX$3,P80='DADOS_INVOC'!$QY$3)),O80,"")</f>
        <v/>
      </c>
      <c r="AR80">
        <f>IF(OR(P80="",P80='DADOS_INVOC'!$EL$4,P80='DADOS_INVOC'!$EM$4,P80='DADOS_INVOC'!$EN$4,P80='DADOS_INVOC'!$EO$4,P80='DADOS_INVOC'!$EP$4,P80='DADOS_INVOC'!$QV$4,P80='DADOS_INVOC'!$QW$4,P80='DADOS_INVOC'!$QX$4,P80='DADOS_INVOC'!$QY$4),O80,"")</f>
        <v/>
      </c>
      <c r="AS80">
        <f>IF(AND(Q80=1,OR(P80="",P80='DADOS_INVOC'!$EL$4,P80='DADOS_INVOC'!$EM$4,P80='DADOS_INVOC'!$EN$4,P80='DADOS_INVOC'!$EO$4,P80='DADOS_INVOC'!$EP$4,P80='DADOS_INVOC'!$QV$4,P80='DADOS_INVOC'!$QW$4,P80='DADOS_INVOC'!$QX$4,P80='DADOS_INVOC'!$QY$4)),O80,"")</f>
        <v/>
      </c>
      <c r="AT80">
        <f>IF(OR(P80="",P80='DADOS_INVOC'!$EL$5,P80='DADOS_INVOC'!$EM$5,P80='DADOS_INVOC'!$EN$5,P80='DADOS_INVOC'!$EO$5,P80='DADOS_INVOC'!$EP$5,P80='DADOS_INVOC'!$QV$5,P80='DADOS_INVOC'!$QW$5,P80='DADOS_INVOC'!$QX$5,P80='DADOS_INVOC'!$QY$5),O80,"")</f>
        <v/>
      </c>
      <c r="AU80">
        <f>IF(AND(Q80=1,OR(P80="",P80='DADOS_INVOC'!$EL$5,P80='DADOS_INVOC'!$EM$5,P80='DADOS_INVOC'!$EN$5,P80='DADOS_INVOC'!$EO$5,P80='DADOS_INVOC'!$EP$5,P80='DADOS_INVOC'!$QV$5,P80='DADOS_INVOC'!$QW$5,P80='DADOS_INVOC'!$QX$5,P80='DADOS_INVOC'!$QY$5)),O80,"")</f>
        <v/>
      </c>
      <c r="AV80">
        <f>IF(OR(P80="",P80='DADOS_INVOC'!$EL$6,P80='DADOS_INVOC'!$EM$6,P80='DADOS_INVOC'!$EN$6,P80='DADOS_INVOC'!$EO$6,P80='DADOS_INVOC'!$EP$6,P80='DADOS_INVOC'!$QV$6,P80='DADOS_INVOC'!$QW$6,P80='DADOS_INVOC'!$QX$6,P80='DADOS_INVOC'!$QY$6),O80,"")</f>
        <v/>
      </c>
      <c r="AW80">
        <f>IF(AND(Q80=1,OR(P80="",P80='DADOS_INVOC'!$EL$6,P80='DADOS_INVOC'!$EM$6,P80='DADOS_INVOC'!$EN$6,P80='DADOS_INVOC'!$EO$6,P80='DADOS_INVOC'!$EP$6,P80='DADOS_INVOC'!$QV$6,P80='DADOS_INVOC'!$QW$6,P80='DADOS_INVOC'!$QX$6,P80='DADOS_INVOC'!$QY$6)),O80,"")</f>
        <v/>
      </c>
      <c r="AX80">
        <f>IF(OR(P80="",P80='DADOS_INVOC'!$EL$7,P80='DADOS_INVOC'!$EM$7,P80='DADOS_INVOC'!$EN$7,P80='DADOS_INVOC'!$EO$7,P80='DADOS_INVOC'!$EP$7,P80='DADOS_INVOC'!$QV$7,P80='DADOS_INVOC'!$QW$7,P80='DADOS_INVOC'!$QX$7,P80='DADOS_INVOC'!$QY$7),O80,"")</f>
        <v/>
      </c>
      <c r="AY80">
        <f>IF(AND(Q80=1,OR(P80="",P80='DADOS_INVOC'!$EL$7,P80='DADOS_INVOC'!$EM$7,P80='DADOS_INVOC'!$EN$7,P80='DADOS_INVOC'!$EO$7,P80='DADOS_INVOC'!$EP$7,P80='DADOS_INVOC'!$QV$7,P80='DADOS_INVOC'!$QW$7,P80='DADOS_INVOC'!$QX$7,P80='DADOS_INVOC'!$QY$7)),O80,"")</f>
        <v/>
      </c>
      <c r="AZ80">
        <f>IF(OR(P80="",P80='DADOS_INVOC'!$EL$8,P80='DADOS_INVOC'!$EM$8,P80='DADOS_INVOC'!$EN$8,P80='DADOS_INVOC'!$EO$8,P80='DADOS_INVOC'!$EP$8,P80='DADOS_INVOC'!$QV$8,P80='DADOS_INVOC'!$QW$8,P80='DADOS_INVOC'!$QX$8,P80='DADOS_INVOC'!$QY$8),O80,"")</f>
        <v/>
      </c>
      <c r="BA80">
        <f>IF(AND(Q80=1,OR(P80="",P80='DADOS_INVOC'!$EL$8,P80='DADOS_INVOC'!$EM$8,P80='DADOS_INVOC'!$EN$8,P80='DADOS_INVOC'!$EO$8,P80='DADOS_INVOC'!$EP$8,P80='DADOS_INVOC'!$QV$8,P80='DADOS_INVOC'!$QW$8,P80='DADOS_INVOC'!$QX$8,P80='DADOS_INVOC'!$QY$8)),O80,"")</f>
        <v/>
      </c>
      <c r="BB80">
        <f>IF(OR(P80="",P80='DADOS_INVOC'!$EL$9,P80='DADOS_INVOC'!$EM$9,P80='DADOS_INVOC'!$EN$9,P80='DADOS_INVOC'!$EO$9,P80='DADOS_INVOC'!$EP$9,P80='DADOS_INVOC'!$QV$9,P80='DADOS_INVOC'!$QW$9,P80='DADOS_INVOC'!$QX$9,P80='DADOS_INVOC'!$QY$9),O80,"")</f>
        <v/>
      </c>
      <c r="BC80">
        <f>IF(AND(Q80=1,OR(P80="",P80='DADOS_INVOC'!$EL$9,P80='DADOS_INVOC'!$EM$9,P80='DADOS_INVOC'!$EN$9,P80='DADOS_INVOC'!$EO$9,P80='DADOS_INVOC'!$EP$9,P80='DADOS_INVOC'!$QV$9,P80='DADOS_INVOC'!$QW$9,P80='DADOS_INVOC'!$QX$9,P80='DADOS_INVOC'!$QY$9)),O80,"")</f>
        <v/>
      </c>
      <c r="BD80">
        <f>IF(OR(P80="",P80='DADOS_INVOC'!$EL$10,P80='DADOS_INVOC'!$EM$10,P80='DADOS_INVOC'!$EN$10,P80='DADOS_INVOC'!$EO$10,P80='DADOS_INVOC'!$EP$10,P80='DADOS_INVOC'!$QV$10,P80='DADOS_INVOC'!$QW$10,P80='DADOS_INVOC'!$QX$10,P80='DADOS_INVOC'!$QY$10),O80,"")</f>
        <v/>
      </c>
      <c r="BE80">
        <f>IF(AND(Q80=1,OR(P80="",P80='DADOS_INVOC'!$EL$10,P80='DADOS_INVOC'!$EM$10,P80='DADOS_INVOC'!$EN$10,P80='DADOS_INVOC'!$EO$10,P80='DADOS_INVOC'!$EP$10,P80='DADOS_INVOC'!$QV$10,P80='DADOS_INVOC'!$QW$10,P80='DADOS_INVOC'!$QX$10,P80='DADOS_INVOC'!$QY$10)),O80,"")</f>
        <v/>
      </c>
      <c r="BF80">
        <f>IF(OR(P80="",P80='DADOS_INVOC'!$EL$11,P80='DADOS_INVOC'!$EM$11,P80='DADOS_INVOC'!$EN$11,P80='DADOS_INVOC'!$EO$11,P80='DADOS_INVOC'!$EP$11,P80='DADOS_INVOC'!$QV$11,P80='DADOS_INVOC'!$QW$11,P80='DADOS_INVOC'!$QX$11,P80='DADOS_INVOC'!$QY$11),O80,"")</f>
        <v/>
      </c>
      <c r="BG80">
        <f>IF(AND(Q80=1,OR(P80="",P80='DADOS_INVOC'!$EL$11,P80='DADOS_INVOC'!$EM$11,P80='DADOS_INVOC'!$EN$11,P80='DADOS_INVOC'!$EO$11,P80='DADOS_INVOC'!$EP$11,P80='DADOS_INVOC'!$QV$11,P80='DADOS_INVOC'!$QW$11,P80='DADOS_INVOC'!$QX$11,P80='DADOS_INVOC'!$QY$11)),O80,"")</f>
        <v/>
      </c>
      <c r="BH80">
        <f>IF(OR(P80="",P80='DADOS_INVOC'!$EL$12,P80='DADOS_INVOC'!$EM$12,P80='DADOS_INVOC'!$EN$12,P80='DADOS_INVOC'!$EO$12,P80='DADOS_INVOC'!$EP$12,P80='DADOS_INVOC'!$QV$12,P80='DADOS_INVOC'!$QW$12,P80='DADOS_INVOC'!$QX$12,P80='DADOS_INVOC'!$QY$12),O80,"")</f>
        <v/>
      </c>
      <c r="BI80">
        <f>IF(AND(Q80=1,OR(P80="",P80='DADOS_INVOC'!$EL$12,P80='DADOS_INVOC'!$EM$12,P80='DADOS_INVOC'!$EN$12,P80='DADOS_INVOC'!$EO$12,P80='DADOS_INVOC'!$EP$12,P80='DADOS_INVOC'!$QV$12,P80='DADOS_INVOC'!$QW$12,P80='DADOS_INVOC'!$QX$12,P80='DADOS_INVOC'!$QY$12)),O80,"")</f>
        <v/>
      </c>
      <c r="BJ80">
        <f>IF(OR(P80="",P80='DADOS_INVOC'!$EL$13,P80='DADOS_INVOC'!$EM$13,P80='DADOS_INVOC'!$EN$13,P80='DADOS_INVOC'!$EO$13,P80='DADOS_INVOC'!$EP$13,P80='DADOS_INVOC'!$QV$13,P80='DADOS_INVOC'!$QW$13,P80='DADOS_INVOC'!$QX$13,P80='DADOS_INVOC'!$QY$13),O80,"")</f>
        <v/>
      </c>
      <c r="BK80">
        <f>IF(AND(Q80=1,OR(P80="",P80='DADOS_INVOC'!$EL$13,P80='DADOS_INVOC'!$EM$13,P80='DADOS_INVOC'!$EN$13,P80='DADOS_INVOC'!$EO$13,P80='DADOS_INVOC'!$EP$13,P80='DADOS_INVOC'!$QV$13,P80='DADOS_INVOC'!$QW$13,P80='DADOS_INVOC'!$QX$13,P80='DADOS_INVOC'!$QY$13)),O80,"")</f>
        <v/>
      </c>
      <c r="BP80" t="inlineStr">
        <is>
          <t>Junto</t>
        </is>
      </c>
    </row>
    <row r="81">
      <c r="O81">
        <f>IF(ISBLANK(DADOS_AM!$BC$81),"",DADOS_AM!$BC$81)</f>
        <v/>
      </c>
      <c r="P81">
        <f>IF(ISBLANK(DADOS_AM!$BD$81),"",DADOS_AM!$BD$81)</f>
        <v/>
      </c>
      <c r="Q81">
        <f>IF(ISBLANK(DADOS_AM!$BE$81),"",DADOS_AM!$BE$81)</f>
        <v/>
      </c>
      <c r="R81">
        <f>IF(ISBLANK(DADOS_AM!$BF$81),"",DADOS_AM!$BF$81)</f>
        <v/>
      </c>
      <c r="S81">
        <f>IF(ISBLANK(DADOS_AM!$BG$81),"",DADOS_AM!$BG$81)</f>
        <v/>
      </c>
      <c r="T81">
        <f>IF(ISBLANK(DADOS_AM!$BH$81),"",DADOS_AM!$BH$81)</f>
        <v/>
      </c>
      <c r="U81">
        <f>IF(ISBLANK(DADOS_AM!$BI$81),"",DADOS_AM!$BI$81)</f>
        <v/>
      </c>
      <c r="V81">
        <f>IF(ISBLANK(DADOS_AM!$BJ$81),"",DADOS_AM!$BJ$81)</f>
        <v/>
      </c>
      <c r="W81">
        <f>IF(ISBLANK(DADOS_AM!$BK$81),"",DADOS_AM!$BK$81)</f>
        <v/>
      </c>
      <c r="X81" t="inlineStr">
        <is>
          <t>Efeito Próprio (Leve)</t>
        </is>
      </c>
      <c r="Y81" t="n">
        <v>0</v>
      </c>
      <c r="AG81">
        <f>O81</f>
        <v/>
      </c>
      <c r="AH81">
        <f>P81</f>
        <v/>
      </c>
      <c r="AI81">
        <f>Q81</f>
        <v/>
      </c>
      <c r="AJ81">
        <f>T81</f>
        <v/>
      </c>
      <c r="AK81">
        <f>Y81</f>
        <v/>
      </c>
      <c r="AL81">
        <f>W81</f>
        <v/>
      </c>
      <c r="AN81">
        <f>IF(OR(P81="",P81='DADOS_INVOC'!$EL$2,P81='DADOS_INVOC'!$EM$2,P81='DADOS_INVOC'!$EN$2,P81='DADOS_INVOC'!$EO$2,P81='DADOS_INVOC'!$EP$2,P81='DADOS_INVOC'!$QV$2,P81='DADOS_INVOC'!$QW$2,P81='DADOS_INVOC'!$QX$2,P81='DADOS_INVOC'!$QY$2),O81,"")</f>
        <v/>
      </c>
      <c r="AO81">
        <f>IF(AND(Q81=1,OR(P81="",P81='DADOS_INVOC'!$EL$2,P81='DADOS_INVOC'!$EM$2,P81='DADOS_INVOC'!$EN$2,P81='DADOS_INVOC'!$EO$2,P81='DADOS_INVOC'!$EP$2,P81='DADOS_INVOC'!$QV$2,P81='DADOS_INVOC'!$QW$2,P81='DADOS_INVOC'!$QX$2,P81='DADOS_INVOC'!$QY$2)),O81,"")</f>
        <v/>
      </c>
      <c r="AP81">
        <f>IF(OR(P81="",P81='DADOS_INVOC'!$EL$3,P81='DADOS_INVOC'!$EM$3,P81='DADOS_INVOC'!$EN$3,P81='DADOS_INVOC'!$EO$3,P81='DADOS_INVOC'!$EP$3,P81='DADOS_INVOC'!$QV$3,P81='DADOS_INVOC'!$QW$3,P81='DADOS_INVOC'!$QX$3,P81='DADOS_INVOC'!$QY$3),O81,"")</f>
        <v/>
      </c>
      <c r="AQ81">
        <f>IF(AND(Q81=1,OR(P81="",P81='DADOS_INVOC'!$EL$3,P81='DADOS_INVOC'!$EM$3,P81='DADOS_INVOC'!$EN$3,P81='DADOS_INVOC'!$EO$3,P81='DADOS_INVOC'!$EP$3,P81='DADOS_INVOC'!$QV$3,P81='DADOS_INVOC'!$QW$3,P81='DADOS_INVOC'!$QX$3,P81='DADOS_INVOC'!$QY$3)),O81,"")</f>
        <v/>
      </c>
      <c r="AR81">
        <f>IF(OR(P81="",P81='DADOS_INVOC'!$EL$4,P81='DADOS_INVOC'!$EM$4,P81='DADOS_INVOC'!$EN$4,P81='DADOS_INVOC'!$EO$4,P81='DADOS_INVOC'!$EP$4,P81='DADOS_INVOC'!$QV$4,P81='DADOS_INVOC'!$QW$4,P81='DADOS_INVOC'!$QX$4,P81='DADOS_INVOC'!$QY$4),O81,"")</f>
        <v/>
      </c>
      <c r="AS81">
        <f>IF(AND(Q81=1,OR(P81="",P81='DADOS_INVOC'!$EL$4,P81='DADOS_INVOC'!$EM$4,P81='DADOS_INVOC'!$EN$4,P81='DADOS_INVOC'!$EO$4,P81='DADOS_INVOC'!$EP$4,P81='DADOS_INVOC'!$QV$4,P81='DADOS_INVOC'!$QW$4,P81='DADOS_INVOC'!$QX$4,P81='DADOS_INVOC'!$QY$4)),O81,"")</f>
        <v/>
      </c>
      <c r="AT81">
        <f>IF(OR(P81="",P81='DADOS_INVOC'!$EL$5,P81='DADOS_INVOC'!$EM$5,P81='DADOS_INVOC'!$EN$5,P81='DADOS_INVOC'!$EO$5,P81='DADOS_INVOC'!$EP$5,P81='DADOS_INVOC'!$QV$5,P81='DADOS_INVOC'!$QW$5,P81='DADOS_INVOC'!$QX$5,P81='DADOS_INVOC'!$QY$5),O81,"")</f>
        <v/>
      </c>
      <c r="AU81">
        <f>IF(AND(Q81=1,OR(P81="",P81='DADOS_INVOC'!$EL$5,P81='DADOS_INVOC'!$EM$5,P81='DADOS_INVOC'!$EN$5,P81='DADOS_INVOC'!$EO$5,P81='DADOS_INVOC'!$EP$5,P81='DADOS_INVOC'!$QV$5,P81='DADOS_INVOC'!$QW$5,P81='DADOS_INVOC'!$QX$5,P81='DADOS_INVOC'!$QY$5)),O81,"")</f>
        <v/>
      </c>
      <c r="AV81">
        <f>IF(OR(P81="",P81='DADOS_INVOC'!$EL$6,P81='DADOS_INVOC'!$EM$6,P81='DADOS_INVOC'!$EN$6,P81='DADOS_INVOC'!$EO$6,P81='DADOS_INVOC'!$EP$6,P81='DADOS_INVOC'!$QV$6,P81='DADOS_INVOC'!$QW$6,P81='DADOS_INVOC'!$QX$6,P81='DADOS_INVOC'!$QY$6),O81,"")</f>
        <v/>
      </c>
      <c r="AW81">
        <f>IF(AND(Q81=1,OR(P81="",P81='DADOS_INVOC'!$EL$6,P81='DADOS_INVOC'!$EM$6,P81='DADOS_INVOC'!$EN$6,P81='DADOS_INVOC'!$EO$6,P81='DADOS_INVOC'!$EP$6,P81='DADOS_INVOC'!$QV$6,P81='DADOS_INVOC'!$QW$6,P81='DADOS_INVOC'!$QX$6,P81='DADOS_INVOC'!$QY$6)),O81,"")</f>
        <v/>
      </c>
      <c r="AX81">
        <f>IF(OR(P81="",P81='DADOS_INVOC'!$EL$7,P81='DADOS_INVOC'!$EM$7,P81='DADOS_INVOC'!$EN$7,P81='DADOS_INVOC'!$EO$7,P81='DADOS_INVOC'!$EP$7,P81='DADOS_INVOC'!$QV$7,P81='DADOS_INVOC'!$QW$7,P81='DADOS_INVOC'!$QX$7,P81='DADOS_INVOC'!$QY$7),O81,"")</f>
        <v/>
      </c>
      <c r="AY81">
        <f>IF(AND(Q81=1,OR(P81="",P81='DADOS_INVOC'!$EL$7,P81='DADOS_INVOC'!$EM$7,P81='DADOS_INVOC'!$EN$7,P81='DADOS_INVOC'!$EO$7,P81='DADOS_INVOC'!$EP$7,P81='DADOS_INVOC'!$QV$7,P81='DADOS_INVOC'!$QW$7,P81='DADOS_INVOC'!$QX$7,P81='DADOS_INVOC'!$QY$7)),O81,"")</f>
        <v/>
      </c>
      <c r="AZ81">
        <f>IF(OR(P81="",P81='DADOS_INVOC'!$EL$8,P81='DADOS_INVOC'!$EM$8,P81='DADOS_INVOC'!$EN$8,P81='DADOS_INVOC'!$EO$8,P81='DADOS_INVOC'!$EP$8,P81='DADOS_INVOC'!$QV$8,P81='DADOS_INVOC'!$QW$8,P81='DADOS_INVOC'!$QX$8,P81='DADOS_INVOC'!$QY$8),O81,"")</f>
        <v/>
      </c>
      <c r="BA81">
        <f>IF(AND(Q81=1,OR(P81="",P81='DADOS_INVOC'!$EL$8,P81='DADOS_INVOC'!$EM$8,P81='DADOS_INVOC'!$EN$8,P81='DADOS_INVOC'!$EO$8,P81='DADOS_INVOC'!$EP$8,P81='DADOS_INVOC'!$QV$8,P81='DADOS_INVOC'!$QW$8,P81='DADOS_INVOC'!$QX$8,P81='DADOS_INVOC'!$QY$8)),O81,"")</f>
        <v/>
      </c>
      <c r="BB81">
        <f>IF(OR(P81="",P81='DADOS_INVOC'!$EL$9,P81='DADOS_INVOC'!$EM$9,P81='DADOS_INVOC'!$EN$9,P81='DADOS_INVOC'!$EO$9,P81='DADOS_INVOC'!$EP$9,P81='DADOS_INVOC'!$QV$9,P81='DADOS_INVOC'!$QW$9,P81='DADOS_INVOC'!$QX$9,P81='DADOS_INVOC'!$QY$9),O81,"")</f>
        <v/>
      </c>
      <c r="BC81">
        <f>IF(AND(Q81=1,OR(P81="",P81='DADOS_INVOC'!$EL$9,P81='DADOS_INVOC'!$EM$9,P81='DADOS_INVOC'!$EN$9,P81='DADOS_INVOC'!$EO$9,P81='DADOS_INVOC'!$EP$9,P81='DADOS_INVOC'!$QV$9,P81='DADOS_INVOC'!$QW$9,P81='DADOS_INVOC'!$QX$9,P81='DADOS_INVOC'!$QY$9)),O81,"")</f>
        <v/>
      </c>
      <c r="BD81">
        <f>IF(OR(P81="",P81='DADOS_INVOC'!$EL$10,P81='DADOS_INVOC'!$EM$10,P81='DADOS_INVOC'!$EN$10,P81='DADOS_INVOC'!$EO$10,P81='DADOS_INVOC'!$EP$10,P81='DADOS_INVOC'!$QV$10,P81='DADOS_INVOC'!$QW$10,P81='DADOS_INVOC'!$QX$10,P81='DADOS_INVOC'!$QY$10),O81,"")</f>
        <v/>
      </c>
      <c r="BE81">
        <f>IF(AND(Q81=1,OR(P81="",P81='DADOS_INVOC'!$EL$10,P81='DADOS_INVOC'!$EM$10,P81='DADOS_INVOC'!$EN$10,P81='DADOS_INVOC'!$EO$10,P81='DADOS_INVOC'!$EP$10,P81='DADOS_INVOC'!$QV$10,P81='DADOS_INVOC'!$QW$10,P81='DADOS_INVOC'!$QX$10,P81='DADOS_INVOC'!$QY$10)),O81,"")</f>
        <v/>
      </c>
      <c r="BF81">
        <f>IF(OR(P81="",P81='DADOS_INVOC'!$EL$11,P81='DADOS_INVOC'!$EM$11,P81='DADOS_INVOC'!$EN$11,P81='DADOS_INVOC'!$EO$11,P81='DADOS_INVOC'!$EP$11,P81='DADOS_INVOC'!$QV$11,P81='DADOS_INVOC'!$QW$11,P81='DADOS_INVOC'!$QX$11,P81='DADOS_INVOC'!$QY$11),O81,"")</f>
        <v/>
      </c>
      <c r="BG81">
        <f>IF(AND(Q81=1,OR(P81="",P81='DADOS_INVOC'!$EL$11,P81='DADOS_INVOC'!$EM$11,P81='DADOS_INVOC'!$EN$11,P81='DADOS_INVOC'!$EO$11,P81='DADOS_INVOC'!$EP$11,P81='DADOS_INVOC'!$QV$11,P81='DADOS_INVOC'!$QW$11,P81='DADOS_INVOC'!$QX$11,P81='DADOS_INVOC'!$QY$11)),O81,"")</f>
        <v/>
      </c>
      <c r="BH81">
        <f>IF(OR(P81="",P81='DADOS_INVOC'!$EL$12,P81='DADOS_INVOC'!$EM$12,P81='DADOS_INVOC'!$EN$12,P81='DADOS_INVOC'!$EO$12,P81='DADOS_INVOC'!$EP$12,P81='DADOS_INVOC'!$QV$12,P81='DADOS_INVOC'!$QW$12,P81='DADOS_INVOC'!$QX$12,P81='DADOS_INVOC'!$QY$12),O81,"")</f>
        <v/>
      </c>
      <c r="BI81">
        <f>IF(AND(Q81=1,OR(P81="",P81='DADOS_INVOC'!$EL$12,P81='DADOS_INVOC'!$EM$12,P81='DADOS_INVOC'!$EN$12,P81='DADOS_INVOC'!$EO$12,P81='DADOS_INVOC'!$EP$12,P81='DADOS_INVOC'!$QV$12,P81='DADOS_INVOC'!$QW$12,P81='DADOS_INVOC'!$QX$12,P81='DADOS_INVOC'!$QY$12)),O81,"")</f>
        <v/>
      </c>
      <c r="BJ81">
        <f>IF(OR(P81="",P81='DADOS_INVOC'!$EL$13,P81='DADOS_INVOC'!$EM$13,P81='DADOS_INVOC'!$EN$13,P81='DADOS_INVOC'!$EO$13,P81='DADOS_INVOC'!$EP$13,P81='DADOS_INVOC'!$QV$13,P81='DADOS_INVOC'!$QW$13,P81='DADOS_INVOC'!$QX$13,P81='DADOS_INVOC'!$QY$13),O81,"")</f>
        <v/>
      </c>
      <c r="BK81">
        <f>IF(AND(Q81=1,OR(P81="",P81='DADOS_INVOC'!$EL$13,P81='DADOS_INVOC'!$EM$13,P81='DADOS_INVOC'!$EN$13,P81='DADOS_INVOC'!$EO$13,P81='DADOS_INVOC'!$EP$13,P81='DADOS_INVOC'!$QV$13,P81='DADOS_INVOC'!$QW$13,P81='DADOS_INVOC'!$QX$13,P81='DADOS_INVOC'!$QY$13)),O81,"")</f>
        <v/>
      </c>
      <c r="BP81" t="inlineStr">
        <is>
          <t>Reserva</t>
        </is>
      </c>
    </row>
    <row r="82">
      <c r="O82">
        <f>IF(ISBLANK(DADOS_AM!$BC$82),"",DADOS_AM!$BC$82)</f>
        <v/>
      </c>
      <c r="P82">
        <f>IF(ISBLANK(DADOS_AM!$BD$82),"",DADOS_AM!$BD$82)</f>
        <v/>
      </c>
      <c r="Q82">
        <f>IF(ISBLANK(DADOS_AM!$BE$82),"",DADOS_AM!$BE$82)</f>
        <v/>
      </c>
      <c r="R82">
        <f>IF(ISBLANK(DADOS_AM!$BF$82),"",DADOS_AM!$BF$82)</f>
        <v/>
      </c>
      <c r="S82">
        <f>IF(ISBLANK(DADOS_AM!$BG$82),"",DADOS_AM!$BG$82)</f>
        <v/>
      </c>
      <c r="T82">
        <f>IF(ISBLANK(DADOS_AM!$BH$82),"",DADOS_AM!$BH$82)</f>
        <v/>
      </c>
      <c r="U82">
        <f>IF(ISBLANK(DADOS_AM!$BI$82),"",DADOS_AM!$BI$82)</f>
        <v/>
      </c>
      <c r="V82">
        <f>IF(ISBLANK(DADOS_AM!$BJ$82),"",DADOS_AM!$BJ$82)</f>
        <v/>
      </c>
      <c r="W82">
        <f>IF(ISBLANK(DADOS_AM!$BK$82),"",DADOS_AM!$BK$82)</f>
        <v/>
      </c>
      <c r="X82" t="inlineStr">
        <is>
          <t>Efeito Próprio (Média)</t>
        </is>
      </c>
      <c r="Y82" t="n">
        <v>0</v>
      </c>
      <c r="AG82">
        <f>O82</f>
        <v/>
      </c>
      <c r="AH82">
        <f>P82</f>
        <v/>
      </c>
      <c r="AI82">
        <f>Q82</f>
        <v/>
      </c>
      <c r="AJ82">
        <f>T82</f>
        <v/>
      </c>
      <c r="AK82">
        <f>Y82</f>
        <v/>
      </c>
      <c r="AL82">
        <f>W82</f>
        <v/>
      </c>
      <c r="AN82">
        <f>IF(OR(P82="",P82='DADOS_INVOC'!$EL$2,P82='DADOS_INVOC'!$EM$2,P82='DADOS_INVOC'!$EN$2,P82='DADOS_INVOC'!$EO$2,P82='DADOS_INVOC'!$EP$2,P82='DADOS_INVOC'!$QV$2,P82='DADOS_INVOC'!$QW$2,P82='DADOS_INVOC'!$QX$2,P82='DADOS_INVOC'!$QY$2),O82,"")</f>
        <v/>
      </c>
      <c r="AO82">
        <f>IF(AND(Q82=1,OR(P82="",P82='DADOS_INVOC'!$EL$2,P82='DADOS_INVOC'!$EM$2,P82='DADOS_INVOC'!$EN$2,P82='DADOS_INVOC'!$EO$2,P82='DADOS_INVOC'!$EP$2,P82='DADOS_INVOC'!$QV$2,P82='DADOS_INVOC'!$QW$2,P82='DADOS_INVOC'!$QX$2,P82='DADOS_INVOC'!$QY$2)),O82,"")</f>
        <v/>
      </c>
      <c r="AP82">
        <f>IF(OR(P82="",P82='DADOS_INVOC'!$EL$3,P82='DADOS_INVOC'!$EM$3,P82='DADOS_INVOC'!$EN$3,P82='DADOS_INVOC'!$EO$3,P82='DADOS_INVOC'!$EP$3,P82='DADOS_INVOC'!$QV$3,P82='DADOS_INVOC'!$QW$3,P82='DADOS_INVOC'!$QX$3,P82='DADOS_INVOC'!$QY$3),O82,"")</f>
        <v/>
      </c>
      <c r="AQ82">
        <f>IF(AND(Q82=1,OR(P82="",P82='DADOS_INVOC'!$EL$3,P82='DADOS_INVOC'!$EM$3,P82='DADOS_INVOC'!$EN$3,P82='DADOS_INVOC'!$EO$3,P82='DADOS_INVOC'!$EP$3,P82='DADOS_INVOC'!$QV$3,P82='DADOS_INVOC'!$QW$3,P82='DADOS_INVOC'!$QX$3,P82='DADOS_INVOC'!$QY$3)),O82,"")</f>
        <v/>
      </c>
      <c r="AR82">
        <f>IF(OR(P82="",P82='DADOS_INVOC'!$EL$4,P82='DADOS_INVOC'!$EM$4,P82='DADOS_INVOC'!$EN$4,P82='DADOS_INVOC'!$EO$4,P82='DADOS_INVOC'!$EP$4,P82='DADOS_INVOC'!$QV$4,P82='DADOS_INVOC'!$QW$4,P82='DADOS_INVOC'!$QX$4,P82='DADOS_INVOC'!$QY$4),O82,"")</f>
        <v/>
      </c>
      <c r="AS82">
        <f>IF(AND(Q82=1,OR(P82="",P82='DADOS_INVOC'!$EL$4,P82='DADOS_INVOC'!$EM$4,P82='DADOS_INVOC'!$EN$4,P82='DADOS_INVOC'!$EO$4,P82='DADOS_INVOC'!$EP$4,P82='DADOS_INVOC'!$QV$4,P82='DADOS_INVOC'!$QW$4,P82='DADOS_INVOC'!$QX$4,P82='DADOS_INVOC'!$QY$4)),O82,"")</f>
        <v/>
      </c>
      <c r="AT82">
        <f>IF(OR(P82="",P82='DADOS_INVOC'!$EL$5,P82='DADOS_INVOC'!$EM$5,P82='DADOS_INVOC'!$EN$5,P82='DADOS_INVOC'!$EO$5,P82='DADOS_INVOC'!$EP$5,P82='DADOS_INVOC'!$QV$5,P82='DADOS_INVOC'!$QW$5,P82='DADOS_INVOC'!$QX$5,P82='DADOS_INVOC'!$QY$5),O82,"")</f>
        <v/>
      </c>
      <c r="AU82">
        <f>IF(AND(Q82=1,OR(P82="",P82='DADOS_INVOC'!$EL$5,P82='DADOS_INVOC'!$EM$5,P82='DADOS_INVOC'!$EN$5,P82='DADOS_INVOC'!$EO$5,P82='DADOS_INVOC'!$EP$5,P82='DADOS_INVOC'!$QV$5,P82='DADOS_INVOC'!$QW$5,P82='DADOS_INVOC'!$QX$5,P82='DADOS_INVOC'!$QY$5)),O82,"")</f>
        <v/>
      </c>
      <c r="AV82">
        <f>IF(OR(P82="",P82='DADOS_INVOC'!$EL$6,P82='DADOS_INVOC'!$EM$6,P82='DADOS_INVOC'!$EN$6,P82='DADOS_INVOC'!$EO$6,P82='DADOS_INVOC'!$EP$6,P82='DADOS_INVOC'!$QV$6,P82='DADOS_INVOC'!$QW$6,P82='DADOS_INVOC'!$QX$6,P82='DADOS_INVOC'!$QY$6),O82,"")</f>
        <v/>
      </c>
      <c r="AW82">
        <f>IF(AND(Q82=1,OR(P82="",P82='DADOS_INVOC'!$EL$6,P82='DADOS_INVOC'!$EM$6,P82='DADOS_INVOC'!$EN$6,P82='DADOS_INVOC'!$EO$6,P82='DADOS_INVOC'!$EP$6,P82='DADOS_INVOC'!$QV$6,P82='DADOS_INVOC'!$QW$6,P82='DADOS_INVOC'!$QX$6,P82='DADOS_INVOC'!$QY$6)),O82,"")</f>
        <v/>
      </c>
      <c r="AX82">
        <f>IF(OR(P82="",P82='DADOS_INVOC'!$EL$7,P82='DADOS_INVOC'!$EM$7,P82='DADOS_INVOC'!$EN$7,P82='DADOS_INVOC'!$EO$7,P82='DADOS_INVOC'!$EP$7,P82='DADOS_INVOC'!$QV$7,P82='DADOS_INVOC'!$QW$7,P82='DADOS_INVOC'!$QX$7,P82='DADOS_INVOC'!$QY$7),O82,"")</f>
        <v/>
      </c>
      <c r="AY82">
        <f>IF(AND(Q82=1,OR(P82="",P82='DADOS_INVOC'!$EL$7,P82='DADOS_INVOC'!$EM$7,P82='DADOS_INVOC'!$EN$7,P82='DADOS_INVOC'!$EO$7,P82='DADOS_INVOC'!$EP$7,P82='DADOS_INVOC'!$QV$7,P82='DADOS_INVOC'!$QW$7,P82='DADOS_INVOC'!$QX$7,P82='DADOS_INVOC'!$QY$7)),O82,"")</f>
        <v/>
      </c>
      <c r="AZ82">
        <f>IF(OR(P82="",P82='DADOS_INVOC'!$EL$8,P82='DADOS_INVOC'!$EM$8,P82='DADOS_INVOC'!$EN$8,P82='DADOS_INVOC'!$EO$8,P82='DADOS_INVOC'!$EP$8,P82='DADOS_INVOC'!$QV$8,P82='DADOS_INVOC'!$QW$8,P82='DADOS_INVOC'!$QX$8,P82='DADOS_INVOC'!$QY$8),O82,"")</f>
        <v/>
      </c>
      <c r="BA82">
        <f>IF(AND(Q82=1,OR(P82="",P82='DADOS_INVOC'!$EL$8,P82='DADOS_INVOC'!$EM$8,P82='DADOS_INVOC'!$EN$8,P82='DADOS_INVOC'!$EO$8,P82='DADOS_INVOC'!$EP$8,P82='DADOS_INVOC'!$QV$8,P82='DADOS_INVOC'!$QW$8,P82='DADOS_INVOC'!$QX$8,P82='DADOS_INVOC'!$QY$8)),O82,"")</f>
        <v/>
      </c>
      <c r="BB82">
        <f>IF(OR(P82="",P82='DADOS_INVOC'!$EL$9,P82='DADOS_INVOC'!$EM$9,P82='DADOS_INVOC'!$EN$9,P82='DADOS_INVOC'!$EO$9,P82='DADOS_INVOC'!$EP$9,P82='DADOS_INVOC'!$QV$9,P82='DADOS_INVOC'!$QW$9,P82='DADOS_INVOC'!$QX$9,P82='DADOS_INVOC'!$QY$9),O82,"")</f>
        <v/>
      </c>
      <c r="BC82">
        <f>IF(AND(Q82=1,OR(P82="",P82='DADOS_INVOC'!$EL$9,P82='DADOS_INVOC'!$EM$9,P82='DADOS_INVOC'!$EN$9,P82='DADOS_INVOC'!$EO$9,P82='DADOS_INVOC'!$EP$9,P82='DADOS_INVOC'!$QV$9,P82='DADOS_INVOC'!$QW$9,P82='DADOS_INVOC'!$QX$9,P82='DADOS_INVOC'!$QY$9)),O82,"")</f>
        <v/>
      </c>
      <c r="BD82">
        <f>IF(OR(P82="",P82='DADOS_INVOC'!$EL$10,P82='DADOS_INVOC'!$EM$10,P82='DADOS_INVOC'!$EN$10,P82='DADOS_INVOC'!$EO$10,P82='DADOS_INVOC'!$EP$10,P82='DADOS_INVOC'!$QV$10,P82='DADOS_INVOC'!$QW$10,P82='DADOS_INVOC'!$QX$10,P82='DADOS_INVOC'!$QY$10),O82,"")</f>
        <v/>
      </c>
      <c r="BE82">
        <f>IF(AND(Q82=1,OR(P82="",P82='DADOS_INVOC'!$EL$10,P82='DADOS_INVOC'!$EM$10,P82='DADOS_INVOC'!$EN$10,P82='DADOS_INVOC'!$EO$10,P82='DADOS_INVOC'!$EP$10,P82='DADOS_INVOC'!$QV$10,P82='DADOS_INVOC'!$QW$10,P82='DADOS_INVOC'!$QX$10,P82='DADOS_INVOC'!$QY$10)),O82,"")</f>
        <v/>
      </c>
      <c r="BF82">
        <f>IF(OR(P82="",P82='DADOS_INVOC'!$EL$11,P82='DADOS_INVOC'!$EM$11,P82='DADOS_INVOC'!$EN$11,P82='DADOS_INVOC'!$EO$11,P82='DADOS_INVOC'!$EP$11,P82='DADOS_INVOC'!$QV$11,P82='DADOS_INVOC'!$QW$11,P82='DADOS_INVOC'!$QX$11,P82='DADOS_INVOC'!$QY$11),O82,"")</f>
        <v/>
      </c>
      <c r="BG82">
        <f>IF(AND(Q82=1,OR(P82="",P82='DADOS_INVOC'!$EL$11,P82='DADOS_INVOC'!$EM$11,P82='DADOS_INVOC'!$EN$11,P82='DADOS_INVOC'!$EO$11,P82='DADOS_INVOC'!$EP$11,P82='DADOS_INVOC'!$QV$11,P82='DADOS_INVOC'!$QW$11,P82='DADOS_INVOC'!$QX$11,P82='DADOS_INVOC'!$QY$11)),O82,"")</f>
        <v/>
      </c>
      <c r="BH82">
        <f>IF(OR(P82="",P82='DADOS_INVOC'!$EL$12,P82='DADOS_INVOC'!$EM$12,P82='DADOS_INVOC'!$EN$12,P82='DADOS_INVOC'!$EO$12,P82='DADOS_INVOC'!$EP$12,P82='DADOS_INVOC'!$QV$12,P82='DADOS_INVOC'!$QW$12,P82='DADOS_INVOC'!$QX$12,P82='DADOS_INVOC'!$QY$12),O82,"")</f>
        <v/>
      </c>
      <c r="BI82">
        <f>IF(AND(Q82=1,OR(P82="",P82='DADOS_INVOC'!$EL$12,P82='DADOS_INVOC'!$EM$12,P82='DADOS_INVOC'!$EN$12,P82='DADOS_INVOC'!$EO$12,P82='DADOS_INVOC'!$EP$12,P82='DADOS_INVOC'!$QV$12,P82='DADOS_INVOC'!$QW$12,P82='DADOS_INVOC'!$QX$12,P82='DADOS_INVOC'!$QY$12)),O82,"")</f>
        <v/>
      </c>
      <c r="BJ82">
        <f>IF(OR(P82="",P82='DADOS_INVOC'!$EL$13,P82='DADOS_INVOC'!$EM$13,P82='DADOS_INVOC'!$EN$13,P82='DADOS_INVOC'!$EO$13,P82='DADOS_INVOC'!$EP$13,P82='DADOS_INVOC'!$QV$13,P82='DADOS_INVOC'!$QW$13,P82='DADOS_INVOC'!$QX$13,P82='DADOS_INVOC'!$QY$13),O82,"")</f>
        <v/>
      </c>
      <c r="BK82">
        <f>IF(AND(Q82=1,OR(P82="",P82='DADOS_INVOC'!$EL$13,P82='DADOS_INVOC'!$EM$13,P82='DADOS_INVOC'!$EN$13,P82='DADOS_INVOC'!$EO$13,P82='DADOS_INVOC'!$EP$13,P82='DADOS_INVOC'!$QV$13,P82='DADOS_INVOC'!$QW$13,P82='DADOS_INVOC'!$QX$13,P82='DADOS_INVOC'!$QY$13)),O82,"")</f>
        <v/>
      </c>
      <c r="BP82" t="inlineStr">
        <is>
          <t>Efeito Próprio (Leve)</t>
        </is>
      </c>
    </row>
    <row r="83">
      <c r="O83">
        <f>IF(ISBLANK(DADOS_AM!$BC$83),"",DADOS_AM!$BC$83)</f>
        <v/>
      </c>
      <c r="P83">
        <f>IF(ISBLANK(DADOS_AM!$BD$83),"",DADOS_AM!$BD$83)</f>
        <v/>
      </c>
      <c r="Q83">
        <f>IF(ISBLANK(DADOS_AM!$BE$83),"",DADOS_AM!$BE$83)</f>
        <v/>
      </c>
      <c r="R83">
        <f>IF(ISBLANK(DADOS_AM!$BF$83),"",DADOS_AM!$BF$83)</f>
        <v/>
      </c>
      <c r="S83">
        <f>IF(ISBLANK(DADOS_AM!$BG$83),"",DADOS_AM!$BG$83)</f>
        <v/>
      </c>
      <c r="T83">
        <f>IF(ISBLANK(DADOS_AM!$BH$83),"",DADOS_AM!$BH$83)</f>
        <v/>
      </c>
      <c r="U83">
        <f>IF(ISBLANK(DADOS_AM!$BI$83),"",DADOS_AM!$BI$83)</f>
        <v/>
      </c>
      <c r="V83">
        <f>IF(ISBLANK(DADOS_AM!$BJ$83),"",DADOS_AM!$BJ$83)</f>
        <v/>
      </c>
      <c r="W83">
        <f>IF(ISBLANK(DADOS_AM!$BK$83),"",DADOS_AM!$BK$83)</f>
        <v/>
      </c>
      <c r="X83" t="inlineStr">
        <is>
          <t>Efeito Próprio (Pesada)</t>
        </is>
      </c>
      <c r="Y83" t="n">
        <v>0</v>
      </c>
      <c r="AG83">
        <f>O83</f>
        <v/>
      </c>
      <c r="AH83">
        <f>P83</f>
        <v/>
      </c>
      <c r="AI83">
        <f>Q83</f>
        <v/>
      </c>
      <c r="AJ83">
        <f>T83</f>
        <v/>
      </c>
      <c r="AK83">
        <f>Y83</f>
        <v/>
      </c>
      <c r="AL83">
        <f>W83</f>
        <v/>
      </c>
      <c r="AN83">
        <f>IF(OR(P83="",P83='DADOS_INVOC'!$EL$2,P83='DADOS_INVOC'!$EM$2,P83='DADOS_INVOC'!$EN$2,P83='DADOS_INVOC'!$EO$2,P83='DADOS_INVOC'!$EP$2,P83='DADOS_INVOC'!$QV$2,P83='DADOS_INVOC'!$QW$2,P83='DADOS_INVOC'!$QX$2,P83='DADOS_INVOC'!$QY$2),O83,"")</f>
        <v/>
      </c>
      <c r="AO83">
        <f>IF(AND(Q83=1,OR(P83="",P83='DADOS_INVOC'!$EL$2,P83='DADOS_INVOC'!$EM$2,P83='DADOS_INVOC'!$EN$2,P83='DADOS_INVOC'!$EO$2,P83='DADOS_INVOC'!$EP$2,P83='DADOS_INVOC'!$QV$2,P83='DADOS_INVOC'!$QW$2,P83='DADOS_INVOC'!$QX$2,P83='DADOS_INVOC'!$QY$2)),O83,"")</f>
        <v/>
      </c>
      <c r="AP83">
        <f>IF(OR(P83="",P83='DADOS_INVOC'!$EL$3,P83='DADOS_INVOC'!$EM$3,P83='DADOS_INVOC'!$EN$3,P83='DADOS_INVOC'!$EO$3,P83='DADOS_INVOC'!$EP$3,P83='DADOS_INVOC'!$QV$3,P83='DADOS_INVOC'!$QW$3,P83='DADOS_INVOC'!$QX$3,P83='DADOS_INVOC'!$QY$3),O83,"")</f>
        <v/>
      </c>
      <c r="AQ83">
        <f>IF(AND(Q83=1,OR(P83="",P83='DADOS_INVOC'!$EL$3,P83='DADOS_INVOC'!$EM$3,P83='DADOS_INVOC'!$EN$3,P83='DADOS_INVOC'!$EO$3,P83='DADOS_INVOC'!$EP$3,P83='DADOS_INVOC'!$QV$3,P83='DADOS_INVOC'!$QW$3,P83='DADOS_INVOC'!$QX$3,P83='DADOS_INVOC'!$QY$3)),O83,"")</f>
        <v/>
      </c>
      <c r="AR83">
        <f>IF(OR(P83="",P83='DADOS_INVOC'!$EL$4,P83='DADOS_INVOC'!$EM$4,P83='DADOS_INVOC'!$EN$4,P83='DADOS_INVOC'!$EO$4,P83='DADOS_INVOC'!$EP$4,P83='DADOS_INVOC'!$QV$4,P83='DADOS_INVOC'!$QW$4,P83='DADOS_INVOC'!$QX$4,P83='DADOS_INVOC'!$QY$4),O83,"")</f>
        <v/>
      </c>
      <c r="AS83">
        <f>IF(AND(Q83=1,OR(P83="",P83='DADOS_INVOC'!$EL$4,P83='DADOS_INVOC'!$EM$4,P83='DADOS_INVOC'!$EN$4,P83='DADOS_INVOC'!$EO$4,P83='DADOS_INVOC'!$EP$4,P83='DADOS_INVOC'!$QV$4,P83='DADOS_INVOC'!$QW$4,P83='DADOS_INVOC'!$QX$4,P83='DADOS_INVOC'!$QY$4)),O83,"")</f>
        <v/>
      </c>
      <c r="AT83">
        <f>IF(OR(P83="",P83='DADOS_INVOC'!$EL$5,P83='DADOS_INVOC'!$EM$5,P83='DADOS_INVOC'!$EN$5,P83='DADOS_INVOC'!$EO$5,P83='DADOS_INVOC'!$EP$5,P83='DADOS_INVOC'!$QV$5,P83='DADOS_INVOC'!$QW$5,P83='DADOS_INVOC'!$QX$5,P83='DADOS_INVOC'!$QY$5),O83,"")</f>
        <v/>
      </c>
      <c r="AU83">
        <f>IF(AND(Q83=1,OR(P83="",P83='DADOS_INVOC'!$EL$5,P83='DADOS_INVOC'!$EM$5,P83='DADOS_INVOC'!$EN$5,P83='DADOS_INVOC'!$EO$5,P83='DADOS_INVOC'!$EP$5,P83='DADOS_INVOC'!$QV$5,P83='DADOS_INVOC'!$QW$5,P83='DADOS_INVOC'!$QX$5,P83='DADOS_INVOC'!$QY$5)),O83,"")</f>
        <v/>
      </c>
      <c r="AV83">
        <f>IF(OR(P83="",P83='DADOS_INVOC'!$EL$6,P83='DADOS_INVOC'!$EM$6,P83='DADOS_INVOC'!$EN$6,P83='DADOS_INVOC'!$EO$6,P83='DADOS_INVOC'!$EP$6,P83='DADOS_INVOC'!$QV$6,P83='DADOS_INVOC'!$QW$6,P83='DADOS_INVOC'!$QX$6,P83='DADOS_INVOC'!$QY$6),O83,"")</f>
        <v/>
      </c>
      <c r="AW83">
        <f>IF(AND(Q83=1,OR(P83="",P83='DADOS_INVOC'!$EL$6,P83='DADOS_INVOC'!$EM$6,P83='DADOS_INVOC'!$EN$6,P83='DADOS_INVOC'!$EO$6,P83='DADOS_INVOC'!$EP$6,P83='DADOS_INVOC'!$QV$6,P83='DADOS_INVOC'!$QW$6,P83='DADOS_INVOC'!$QX$6,P83='DADOS_INVOC'!$QY$6)),O83,"")</f>
        <v/>
      </c>
      <c r="AX83">
        <f>IF(OR(P83="",P83='DADOS_INVOC'!$EL$7,P83='DADOS_INVOC'!$EM$7,P83='DADOS_INVOC'!$EN$7,P83='DADOS_INVOC'!$EO$7,P83='DADOS_INVOC'!$EP$7,P83='DADOS_INVOC'!$QV$7,P83='DADOS_INVOC'!$QW$7,P83='DADOS_INVOC'!$QX$7,P83='DADOS_INVOC'!$QY$7),O83,"")</f>
        <v/>
      </c>
      <c r="AY83">
        <f>IF(AND(Q83=1,OR(P83="",P83='DADOS_INVOC'!$EL$7,P83='DADOS_INVOC'!$EM$7,P83='DADOS_INVOC'!$EN$7,P83='DADOS_INVOC'!$EO$7,P83='DADOS_INVOC'!$EP$7,P83='DADOS_INVOC'!$QV$7,P83='DADOS_INVOC'!$QW$7,P83='DADOS_INVOC'!$QX$7,P83='DADOS_INVOC'!$QY$7)),O83,"")</f>
        <v/>
      </c>
      <c r="AZ83">
        <f>IF(OR(P83="",P83='DADOS_INVOC'!$EL$8,P83='DADOS_INVOC'!$EM$8,P83='DADOS_INVOC'!$EN$8,P83='DADOS_INVOC'!$EO$8,P83='DADOS_INVOC'!$EP$8,P83='DADOS_INVOC'!$QV$8,P83='DADOS_INVOC'!$QW$8,P83='DADOS_INVOC'!$QX$8,P83='DADOS_INVOC'!$QY$8),O83,"")</f>
        <v/>
      </c>
      <c r="BA83">
        <f>IF(AND(Q83=1,OR(P83="",P83='DADOS_INVOC'!$EL$8,P83='DADOS_INVOC'!$EM$8,P83='DADOS_INVOC'!$EN$8,P83='DADOS_INVOC'!$EO$8,P83='DADOS_INVOC'!$EP$8,P83='DADOS_INVOC'!$QV$8,P83='DADOS_INVOC'!$QW$8,P83='DADOS_INVOC'!$QX$8,P83='DADOS_INVOC'!$QY$8)),O83,"")</f>
        <v/>
      </c>
      <c r="BB83">
        <f>IF(OR(P83="",P83='DADOS_INVOC'!$EL$9,P83='DADOS_INVOC'!$EM$9,P83='DADOS_INVOC'!$EN$9,P83='DADOS_INVOC'!$EO$9,P83='DADOS_INVOC'!$EP$9,P83='DADOS_INVOC'!$QV$9,P83='DADOS_INVOC'!$QW$9,P83='DADOS_INVOC'!$QX$9,P83='DADOS_INVOC'!$QY$9),O83,"")</f>
        <v/>
      </c>
      <c r="BC83">
        <f>IF(AND(Q83=1,OR(P83="",P83='DADOS_INVOC'!$EL$9,P83='DADOS_INVOC'!$EM$9,P83='DADOS_INVOC'!$EN$9,P83='DADOS_INVOC'!$EO$9,P83='DADOS_INVOC'!$EP$9,P83='DADOS_INVOC'!$QV$9,P83='DADOS_INVOC'!$QW$9,P83='DADOS_INVOC'!$QX$9,P83='DADOS_INVOC'!$QY$9)),O83,"")</f>
        <v/>
      </c>
      <c r="BD83">
        <f>IF(OR(P83="",P83='DADOS_INVOC'!$EL$10,P83='DADOS_INVOC'!$EM$10,P83='DADOS_INVOC'!$EN$10,P83='DADOS_INVOC'!$EO$10,P83='DADOS_INVOC'!$EP$10,P83='DADOS_INVOC'!$QV$10,P83='DADOS_INVOC'!$QW$10,P83='DADOS_INVOC'!$QX$10,P83='DADOS_INVOC'!$QY$10),O83,"")</f>
        <v/>
      </c>
      <c r="BE83">
        <f>IF(AND(Q83=1,OR(P83="",P83='DADOS_INVOC'!$EL$10,P83='DADOS_INVOC'!$EM$10,P83='DADOS_INVOC'!$EN$10,P83='DADOS_INVOC'!$EO$10,P83='DADOS_INVOC'!$EP$10,P83='DADOS_INVOC'!$QV$10,P83='DADOS_INVOC'!$QW$10,P83='DADOS_INVOC'!$QX$10,P83='DADOS_INVOC'!$QY$10)),O83,"")</f>
        <v/>
      </c>
      <c r="BF83">
        <f>IF(OR(P83="",P83='DADOS_INVOC'!$EL$11,P83='DADOS_INVOC'!$EM$11,P83='DADOS_INVOC'!$EN$11,P83='DADOS_INVOC'!$EO$11,P83='DADOS_INVOC'!$EP$11,P83='DADOS_INVOC'!$QV$11,P83='DADOS_INVOC'!$QW$11,P83='DADOS_INVOC'!$QX$11,P83='DADOS_INVOC'!$QY$11),O83,"")</f>
        <v/>
      </c>
      <c r="BG83">
        <f>IF(AND(Q83=1,OR(P83="",P83='DADOS_INVOC'!$EL$11,P83='DADOS_INVOC'!$EM$11,P83='DADOS_INVOC'!$EN$11,P83='DADOS_INVOC'!$EO$11,P83='DADOS_INVOC'!$EP$11,P83='DADOS_INVOC'!$QV$11,P83='DADOS_INVOC'!$QW$11,P83='DADOS_INVOC'!$QX$11,P83='DADOS_INVOC'!$QY$11)),O83,"")</f>
        <v/>
      </c>
      <c r="BH83">
        <f>IF(OR(P83="",P83='DADOS_INVOC'!$EL$12,P83='DADOS_INVOC'!$EM$12,P83='DADOS_INVOC'!$EN$12,P83='DADOS_INVOC'!$EO$12,P83='DADOS_INVOC'!$EP$12,P83='DADOS_INVOC'!$QV$12,P83='DADOS_INVOC'!$QW$12,P83='DADOS_INVOC'!$QX$12,P83='DADOS_INVOC'!$QY$12),O83,"")</f>
        <v/>
      </c>
      <c r="BI83">
        <f>IF(AND(Q83=1,OR(P83="",P83='DADOS_INVOC'!$EL$12,P83='DADOS_INVOC'!$EM$12,P83='DADOS_INVOC'!$EN$12,P83='DADOS_INVOC'!$EO$12,P83='DADOS_INVOC'!$EP$12,P83='DADOS_INVOC'!$QV$12,P83='DADOS_INVOC'!$QW$12,P83='DADOS_INVOC'!$QX$12,P83='DADOS_INVOC'!$QY$12)),O83,"")</f>
        <v/>
      </c>
      <c r="BJ83">
        <f>IF(OR(P83="",P83='DADOS_INVOC'!$EL$13,P83='DADOS_INVOC'!$EM$13,P83='DADOS_INVOC'!$EN$13,P83='DADOS_INVOC'!$EO$13,P83='DADOS_INVOC'!$EP$13,P83='DADOS_INVOC'!$QV$13,P83='DADOS_INVOC'!$QW$13,P83='DADOS_INVOC'!$QX$13,P83='DADOS_INVOC'!$QY$13),O83,"")</f>
        <v/>
      </c>
      <c r="BK83">
        <f>IF(AND(Q83=1,OR(P83="",P83='DADOS_INVOC'!$EL$13,P83='DADOS_INVOC'!$EM$13,P83='DADOS_INVOC'!$EN$13,P83='DADOS_INVOC'!$EO$13,P83='DADOS_INVOC'!$EP$13,P83='DADOS_INVOC'!$QV$13,P83='DADOS_INVOC'!$QW$13,P83='DADOS_INVOC'!$QX$13,P83='DADOS_INVOC'!$QY$13)),O83,"")</f>
        <v/>
      </c>
      <c r="BP83" t="inlineStr">
        <is>
          <t>Efeito Próprio (Média)</t>
        </is>
      </c>
    </row>
    <row r="84">
      <c r="O84">
        <f>IF(AND(D2&lt;&gt;"",M2=""),D2,"")</f>
        <v/>
      </c>
      <c r="P84">
        <f>IF(O84="","",IF(AND(BR2="Condição",F2="",L2=0),"Controle",IF(O84="","",IF(F2&lt;&gt;"",IF(F2="Nenhuma","",F2),IF(L2&gt;0,INDEX($P$2:$P$83,L2),"")))))</f>
        <v/>
      </c>
      <c r="Q84">
        <f>IF(O84="",0,IF(G2&lt;&gt;"",IFERROR(MATCH(G2,'DADOS_MELHORIAS'!$BN$2:$BN$4,0),0),IF(L2&gt;0,INDEX('DADOS_MELHORIAS'!$Q$2:$Q$83,L2),0)))</f>
        <v/>
      </c>
      <c r="R84">
        <f>IF(O84="",0,Q84+3*IFERROR(VLOOKUP(SUBSTITUTE(SUBSTITUTE(SUBSTITUTE(P84,"~","~~"),"*","~*"),"?","~?"),'DADOS_CRIACAO'!$H$2:$K$20,3,FALSE),0))</f>
        <v/>
      </c>
      <c r="S84">
        <f>IF(O84="",0,IFERROR(VLOOKUP(SUBSTITUTE(SUBSTITUTE(SUBSTITUTE(P84,"~","~~"),"*","~*"),"?","~?"),'DADOS_CRIACAO'!$H$2:$K$20,4,FALSE),0))</f>
        <v/>
      </c>
      <c r="T84">
        <f>IF(O84="",0,IF(BR2="Condição",1,IF(O84="",0,IF(OR(P84="Controle",IF(L2&gt;0,INDEX('DADOS_MELHORIAS'!$T$2:$T$83,L2),0)=1),1,0))))</f>
        <v/>
      </c>
      <c r="U84">
        <f>IF(O84="","",IF(S84=1,"",O84))</f>
        <v/>
      </c>
      <c r="V84">
        <f>IF(O84="","",IF(AND(Q84=1,S84=0),O84,""))</f>
        <v/>
      </c>
      <c r="W84">
        <f>IF(O84="",0,IF(BR2="Condição",1,IF(O84="",0,IF(H2="",IF(L2&gt;0,INDEX('DADOS_MELHORIAS'!$W$2:$W$83,L2),0),IF(H2="Sim",1,0)))))</f>
        <v/>
      </c>
      <c r="X84">
        <f>IF(O84="","",IF(L2&gt;0,INDEX($X$2:$X$83,L2),D2))</f>
        <v/>
      </c>
      <c r="Y84">
        <f>IF(O84="",0,IF(L2&gt;0,INDEX('DADOS_MELHORIAS'!$Y$2:$Y$83,L2),0))</f>
        <v/>
      </c>
      <c r="AG84">
        <f>O84</f>
        <v/>
      </c>
      <c r="AH84">
        <f>P84</f>
        <v/>
      </c>
      <c r="AI84">
        <f>Q84</f>
        <v/>
      </c>
      <c r="AJ84">
        <f>T84</f>
        <v/>
      </c>
      <c r="AK84">
        <f>Y84</f>
        <v/>
      </c>
      <c r="AL84">
        <f>W84</f>
        <v/>
      </c>
      <c r="AN84">
        <f>IF(OR(P84="",P84='DADOS_INVOC'!$EL$2,P84='DADOS_INVOC'!$EM$2,P84='DADOS_INVOC'!$EN$2,P84='DADOS_INVOC'!$EO$2,P84='DADOS_INVOC'!$EP$2,P84='DADOS_INVOC'!$QV$2,P84='DADOS_INVOC'!$QW$2,P84='DADOS_INVOC'!$QX$2,P84='DADOS_INVOC'!$QY$2),O84,"")</f>
        <v/>
      </c>
      <c r="AO84">
        <f>IF(AND(Q84=1,OR(P84="",P84='DADOS_INVOC'!$EL$2,P84='DADOS_INVOC'!$EM$2,P84='DADOS_INVOC'!$EN$2,P84='DADOS_INVOC'!$EO$2,P84='DADOS_INVOC'!$EP$2,P84='DADOS_INVOC'!$QV$2,P84='DADOS_INVOC'!$QW$2,P84='DADOS_INVOC'!$QX$2,P84='DADOS_INVOC'!$QY$2)),O84,"")</f>
        <v/>
      </c>
      <c r="AP84">
        <f>IF(OR(P84="",P84='DADOS_INVOC'!$EL$3,P84='DADOS_INVOC'!$EM$3,P84='DADOS_INVOC'!$EN$3,P84='DADOS_INVOC'!$EO$3,P84='DADOS_INVOC'!$EP$3,P84='DADOS_INVOC'!$QV$3,P84='DADOS_INVOC'!$QW$3,P84='DADOS_INVOC'!$QX$3,P84='DADOS_INVOC'!$QY$3),O84,"")</f>
        <v/>
      </c>
      <c r="AQ84">
        <f>IF(AND(Q84=1,OR(P84="",P84='DADOS_INVOC'!$EL$3,P84='DADOS_INVOC'!$EM$3,P84='DADOS_INVOC'!$EN$3,P84='DADOS_INVOC'!$EO$3,P84='DADOS_INVOC'!$EP$3,P84='DADOS_INVOC'!$QV$3,P84='DADOS_INVOC'!$QW$3,P84='DADOS_INVOC'!$QX$3,P84='DADOS_INVOC'!$QY$3)),O84,"")</f>
        <v/>
      </c>
      <c r="AR84">
        <f>IF(OR(P84="",P84='DADOS_INVOC'!$EL$4,P84='DADOS_INVOC'!$EM$4,P84='DADOS_INVOC'!$EN$4,P84='DADOS_INVOC'!$EO$4,P84='DADOS_INVOC'!$EP$4,P84='DADOS_INVOC'!$QV$4,P84='DADOS_INVOC'!$QW$4,P84='DADOS_INVOC'!$QX$4,P84='DADOS_INVOC'!$QY$4),O84,"")</f>
        <v/>
      </c>
      <c r="AS84">
        <f>IF(AND(Q84=1,OR(P84="",P84='DADOS_INVOC'!$EL$4,P84='DADOS_INVOC'!$EM$4,P84='DADOS_INVOC'!$EN$4,P84='DADOS_INVOC'!$EO$4,P84='DADOS_INVOC'!$EP$4,P84='DADOS_INVOC'!$QV$4,P84='DADOS_INVOC'!$QW$4,P84='DADOS_INVOC'!$QX$4,P84='DADOS_INVOC'!$QY$4)),O84,"")</f>
        <v/>
      </c>
      <c r="AT84">
        <f>IF(OR(P84="",P84='DADOS_INVOC'!$EL$5,P84='DADOS_INVOC'!$EM$5,P84='DADOS_INVOC'!$EN$5,P84='DADOS_INVOC'!$EO$5,P84='DADOS_INVOC'!$EP$5,P84='DADOS_INVOC'!$QV$5,P84='DADOS_INVOC'!$QW$5,P84='DADOS_INVOC'!$QX$5,P84='DADOS_INVOC'!$QY$5),O84,"")</f>
        <v/>
      </c>
      <c r="AU84">
        <f>IF(AND(Q84=1,OR(P84="",P84='DADOS_INVOC'!$EL$5,P84='DADOS_INVOC'!$EM$5,P84='DADOS_INVOC'!$EN$5,P84='DADOS_INVOC'!$EO$5,P84='DADOS_INVOC'!$EP$5,P84='DADOS_INVOC'!$QV$5,P84='DADOS_INVOC'!$QW$5,P84='DADOS_INVOC'!$QX$5,P84='DADOS_INVOC'!$QY$5)),O84,"")</f>
        <v/>
      </c>
      <c r="AV84">
        <f>IF(OR(P84="",P84='DADOS_INVOC'!$EL$6,P84='DADOS_INVOC'!$EM$6,P84='DADOS_INVOC'!$EN$6,P84='DADOS_INVOC'!$EO$6,P84='DADOS_INVOC'!$EP$6,P84='DADOS_INVOC'!$QV$6,P84='DADOS_INVOC'!$QW$6,P84='DADOS_INVOC'!$QX$6,P84='DADOS_INVOC'!$QY$6),O84,"")</f>
        <v/>
      </c>
      <c r="AW84">
        <f>IF(AND(Q84=1,OR(P84="",P84='DADOS_INVOC'!$EL$6,P84='DADOS_INVOC'!$EM$6,P84='DADOS_INVOC'!$EN$6,P84='DADOS_INVOC'!$EO$6,P84='DADOS_INVOC'!$EP$6,P84='DADOS_INVOC'!$QV$6,P84='DADOS_INVOC'!$QW$6,P84='DADOS_INVOC'!$QX$6,P84='DADOS_INVOC'!$QY$6)),O84,"")</f>
        <v/>
      </c>
      <c r="AX84">
        <f>IF(OR(P84="",P84='DADOS_INVOC'!$EL$7,P84='DADOS_INVOC'!$EM$7,P84='DADOS_INVOC'!$EN$7,P84='DADOS_INVOC'!$EO$7,P84='DADOS_INVOC'!$EP$7,P84='DADOS_INVOC'!$QV$7,P84='DADOS_INVOC'!$QW$7,P84='DADOS_INVOC'!$QX$7,P84='DADOS_INVOC'!$QY$7),O84,"")</f>
        <v/>
      </c>
      <c r="AY84">
        <f>IF(AND(Q84=1,OR(P84="",P84='DADOS_INVOC'!$EL$7,P84='DADOS_INVOC'!$EM$7,P84='DADOS_INVOC'!$EN$7,P84='DADOS_INVOC'!$EO$7,P84='DADOS_INVOC'!$EP$7,P84='DADOS_INVOC'!$QV$7,P84='DADOS_INVOC'!$QW$7,P84='DADOS_INVOC'!$QX$7,P84='DADOS_INVOC'!$QY$7)),O84,"")</f>
        <v/>
      </c>
      <c r="AZ84">
        <f>IF(OR(P84="",P84='DADOS_INVOC'!$EL$8,P84='DADOS_INVOC'!$EM$8,P84='DADOS_INVOC'!$EN$8,P84='DADOS_INVOC'!$EO$8,P84='DADOS_INVOC'!$EP$8,P84='DADOS_INVOC'!$QV$8,P84='DADOS_INVOC'!$QW$8,P84='DADOS_INVOC'!$QX$8,P84='DADOS_INVOC'!$QY$8),O84,"")</f>
        <v/>
      </c>
      <c r="BA84">
        <f>IF(AND(Q84=1,OR(P84="",P84='DADOS_INVOC'!$EL$8,P84='DADOS_INVOC'!$EM$8,P84='DADOS_INVOC'!$EN$8,P84='DADOS_INVOC'!$EO$8,P84='DADOS_INVOC'!$EP$8,P84='DADOS_INVOC'!$QV$8,P84='DADOS_INVOC'!$QW$8,P84='DADOS_INVOC'!$QX$8,P84='DADOS_INVOC'!$QY$8)),O84,"")</f>
        <v/>
      </c>
      <c r="BB84">
        <f>IF(OR(P84="",P84='DADOS_INVOC'!$EL$9,P84='DADOS_INVOC'!$EM$9,P84='DADOS_INVOC'!$EN$9,P84='DADOS_INVOC'!$EO$9,P84='DADOS_INVOC'!$EP$9,P84='DADOS_INVOC'!$QV$9,P84='DADOS_INVOC'!$QW$9,P84='DADOS_INVOC'!$QX$9,P84='DADOS_INVOC'!$QY$9),O84,"")</f>
        <v/>
      </c>
      <c r="BC84">
        <f>IF(AND(Q84=1,OR(P84="",P84='DADOS_INVOC'!$EL$9,P84='DADOS_INVOC'!$EM$9,P84='DADOS_INVOC'!$EN$9,P84='DADOS_INVOC'!$EO$9,P84='DADOS_INVOC'!$EP$9,P84='DADOS_INVOC'!$QV$9,P84='DADOS_INVOC'!$QW$9,P84='DADOS_INVOC'!$QX$9,P84='DADOS_INVOC'!$QY$9)),O84,"")</f>
        <v/>
      </c>
      <c r="BD84">
        <f>IF(OR(P84="",P84='DADOS_INVOC'!$EL$10,P84='DADOS_INVOC'!$EM$10,P84='DADOS_INVOC'!$EN$10,P84='DADOS_INVOC'!$EO$10,P84='DADOS_INVOC'!$EP$10,P84='DADOS_INVOC'!$QV$10,P84='DADOS_INVOC'!$QW$10,P84='DADOS_INVOC'!$QX$10,P84='DADOS_INVOC'!$QY$10),O84,"")</f>
        <v/>
      </c>
      <c r="BE84">
        <f>IF(AND(Q84=1,OR(P84="",P84='DADOS_INVOC'!$EL$10,P84='DADOS_INVOC'!$EM$10,P84='DADOS_INVOC'!$EN$10,P84='DADOS_INVOC'!$EO$10,P84='DADOS_INVOC'!$EP$10,P84='DADOS_INVOC'!$QV$10,P84='DADOS_INVOC'!$QW$10,P84='DADOS_INVOC'!$QX$10,P84='DADOS_INVOC'!$QY$10)),O84,"")</f>
        <v/>
      </c>
      <c r="BF84">
        <f>IF(OR(P84="",P84='DADOS_INVOC'!$EL$11,P84='DADOS_INVOC'!$EM$11,P84='DADOS_INVOC'!$EN$11,P84='DADOS_INVOC'!$EO$11,P84='DADOS_INVOC'!$EP$11,P84='DADOS_INVOC'!$QV$11,P84='DADOS_INVOC'!$QW$11,P84='DADOS_INVOC'!$QX$11,P84='DADOS_INVOC'!$QY$11),O84,"")</f>
        <v/>
      </c>
      <c r="BG84">
        <f>IF(AND(Q84=1,OR(P84="",P84='DADOS_INVOC'!$EL$11,P84='DADOS_INVOC'!$EM$11,P84='DADOS_INVOC'!$EN$11,P84='DADOS_INVOC'!$EO$11,P84='DADOS_INVOC'!$EP$11,P84='DADOS_INVOC'!$QV$11,P84='DADOS_INVOC'!$QW$11,P84='DADOS_INVOC'!$QX$11,P84='DADOS_INVOC'!$QY$11)),O84,"")</f>
        <v/>
      </c>
      <c r="BH84">
        <f>IF(OR(P84="",P84='DADOS_INVOC'!$EL$12,P84='DADOS_INVOC'!$EM$12,P84='DADOS_INVOC'!$EN$12,P84='DADOS_INVOC'!$EO$12,P84='DADOS_INVOC'!$EP$12,P84='DADOS_INVOC'!$QV$12,P84='DADOS_INVOC'!$QW$12,P84='DADOS_INVOC'!$QX$12,P84='DADOS_INVOC'!$QY$12),O84,"")</f>
        <v/>
      </c>
      <c r="BI84">
        <f>IF(AND(Q84=1,OR(P84="",P84='DADOS_INVOC'!$EL$12,P84='DADOS_INVOC'!$EM$12,P84='DADOS_INVOC'!$EN$12,P84='DADOS_INVOC'!$EO$12,P84='DADOS_INVOC'!$EP$12,P84='DADOS_INVOC'!$QV$12,P84='DADOS_INVOC'!$QW$12,P84='DADOS_INVOC'!$QX$12,P84='DADOS_INVOC'!$QY$12)),O84,"")</f>
        <v/>
      </c>
      <c r="BJ84">
        <f>IF(OR(P84="",P84='DADOS_INVOC'!$EL$13,P84='DADOS_INVOC'!$EM$13,P84='DADOS_INVOC'!$EN$13,P84='DADOS_INVOC'!$EO$13,P84='DADOS_INVOC'!$EP$13,P84='DADOS_INVOC'!$QV$13,P84='DADOS_INVOC'!$QW$13,P84='DADOS_INVOC'!$QX$13,P84='DADOS_INVOC'!$QY$13),O84,"")</f>
        <v/>
      </c>
      <c r="BK84">
        <f>IF(AND(Q84=1,OR(P84="",P84='DADOS_INVOC'!$EL$13,P84='DADOS_INVOC'!$EM$13,P84='DADOS_INVOC'!$EN$13,P84='DADOS_INVOC'!$EO$13,P84='DADOS_INVOC'!$EP$13,P84='DADOS_INVOC'!$QV$13,P84='DADOS_INVOC'!$QW$13,P84='DADOS_INVOC'!$QX$13,P84='DADOS_INVOC'!$QY$13)),O84,"")</f>
        <v/>
      </c>
      <c r="BP84" t="inlineStr">
        <is>
          <t>Efeito Próprio (Pesada)</t>
        </is>
      </c>
    </row>
    <row r="85">
      <c r="O85">
        <f>IF(AND(D3&lt;&gt;"",M3=""),D3,"")</f>
        <v/>
      </c>
      <c r="P85">
        <f>IF(O85="","",IF(AND(BR3="Condição",F3="",L3=0),"Controle",IF(O85="","",IF(F3&lt;&gt;"",IF(F3="Nenhuma","",F3),IF(L3&gt;0,INDEX($P$2:$P$83,L3),"")))))</f>
        <v/>
      </c>
      <c r="Q85">
        <f>IF(O85="",0,IF(G3&lt;&gt;"",IFERROR(MATCH(G3,'DADOS_MELHORIAS'!$BN$2:$BN$4,0),0),IF(L3&gt;0,INDEX('DADOS_MELHORIAS'!$Q$2:$Q$83,L3),0)))</f>
        <v/>
      </c>
      <c r="R85">
        <f>IF(O85="",0,Q85+3*IFERROR(VLOOKUP(SUBSTITUTE(SUBSTITUTE(SUBSTITUTE(P85,"~","~~"),"*","~*"),"?","~?"),'DADOS_CRIACAO'!$H$2:$K$20,3,FALSE),0))</f>
        <v/>
      </c>
      <c r="S85">
        <f>IF(O85="",0,IFERROR(VLOOKUP(SUBSTITUTE(SUBSTITUTE(SUBSTITUTE(P85,"~","~~"),"*","~*"),"?","~?"),'DADOS_CRIACAO'!$H$2:$K$20,4,FALSE),0))</f>
        <v/>
      </c>
      <c r="T85">
        <f>IF(O85="",0,IF(BR3="Condição",1,IF(O85="",0,IF(OR(P85="Controle",IF(L3&gt;0,INDEX('DADOS_MELHORIAS'!$T$2:$T$83,L3),0)=1),1,0))))</f>
        <v/>
      </c>
      <c r="U85">
        <f>IF(O85="","",IF(S85=1,"",O85))</f>
        <v/>
      </c>
      <c r="V85">
        <f>IF(O85="","",IF(AND(Q85=1,S85=0),O85,""))</f>
        <v/>
      </c>
      <c r="W85">
        <f>IF(O85="",0,IF(BR3="Condição",1,IF(O85="",0,IF(H3="",IF(L3&gt;0,INDEX('DADOS_MELHORIAS'!$W$2:$W$83,L3),0),IF(H3="Sim",1,0)))))</f>
        <v/>
      </c>
      <c r="X85">
        <f>IF(O85="","",IF(L3&gt;0,INDEX($X$2:$X$83,L3),D3))</f>
        <v/>
      </c>
      <c r="Y85">
        <f>IF(O85="",0,IF(L3&gt;0,INDEX('DADOS_MELHORIAS'!$Y$2:$Y$83,L3),0))</f>
        <v/>
      </c>
      <c r="AG85">
        <f>O85</f>
        <v/>
      </c>
      <c r="AH85">
        <f>P85</f>
        <v/>
      </c>
      <c r="AI85">
        <f>Q85</f>
        <v/>
      </c>
      <c r="AJ85">
        <f>T85</f>
        <v/>
      </c>
      <c r="AK85">
        <f>Y85</f>
        <v/>
      </c>
      <c r="AL85">
        <f>W85</f>
        <v/>
      </c>
      <c r="AN85">
        <f>IF(OR(P85="",P85='DADOS_INVOC'!$EL$2,P85='DADOS_INVOC'!$EM$2,P85='DADOS_INVOC'!$EN$2,P85='DADOS_INVOC'!$EO$2,P85='DADOS_INVOC'!$EP$2,P85='DADOS_INVOC'!$QV$2,P85='DADOS_INVOC'!$QW$2,P85='DADOS_INVOC'!$QX$2,P85='DADOS_INVOC'!$QY$2),O85,"")</f>
        <v/>
      </c>
      <c r="AO85">
        <f>IF(AND(Q85=1,OR(P85="",P85='DADOS_INVOC'!$EL$2,P85='DADOS_INVOC'!$EM$2,P85='DADOS_INVOC'!$EN$2,P85='DADOS_INVOC'!$EO$2,P85='DADOS_INVOC'!$EP$2,P85='DADOS_INVOC'!$QV$2,P85='DADOS_INVOC'!$QW$2,P85='DADOS_INVOC'!$QX$2,P85='DADOS_INVOC'!$QY$2)),O85,"")</f>
        <v/>
      </c>
      <c r="AP85">
        <f>IF(OR(P85="",P85='DADOS_INVOC'!$EL$3,P85='DADOS_INVOC'!$EM$3,P85='DADOS_INVOC'!$EN$3,P85='DADOS_INVOC'!$EO$3,P85='DADOS_INVOC'!$EP$3,P85='DADOS_INVOC'!$QV$3,P85='DADOS_INVOC'!$QW$3,P85='DADOS_INVOC'!$QX$3,P85='DADOS_INVOC'!$QY$3),O85,"")</f>
        <v/>
      </c>
      <c r="AQ85">
        <f>IF(AND(Q85=1,OR(P85="",P85='DADOS_INVOC'!$EL$3,P85='DADOS_INVOC'!$EM$3,P85='DADOS_INVOC'!$EN$3,P85='DADOS_INVOC'!$EO$3,P85='DADOS_INVOC'!$EP$3,P85='DADOS_INVOC'!$QV$3,P85='DADOS_INVOC'!$QW$3,P85='DADOS_INVOC'!$QX$3,P85='DADOS_INVOC'!$QY$3)),O85,"")</f>
        <v/>
      </c>
      <c r="AR85">
        <f>IF(OR(P85="",P85='DADOS_INVOC'!$EL$4,P85='DADOS_INVOC'!$EM$4,P85='DADOS_INVOC'!$EN$4,P85='DADOS_INVOC'!$EO$4,P85='DADOS_INVOC'!$EP$4,P85='DADOS_INVOC'!$QV$4,P85='DADOS_INVOC'!$QW$4,P85='DADOS_INVOC'!$QX$4,P85='DADOS_INVOC'!$QY$4),O85,"")</f>
        <v/>
      </c>
      <c r="AS85">
        <f>IF(AND(Q85=1,OR(P85="",P85='DADOS_INVOC'!$EL$4,P85='DADOS_INVOC'!$EM$4,P85='DADOS_INVOC'!$EN$4,P85='DADOS_INVOC'!$EO$4,P85='DADOS_INVOC'!$EP$4,P85='DADOS_INVOC'!$QV$4,P85='DADOS_INVOC'!$QW$4,P85='DADOS_INVOC'!$QX$4,P85='DADOS_INVOC'!$QY$4)),O85,"")</f>
        <v/>
      </c>
      <c r="AT85">
        <f>IF(OR(P85="",P85='DADOS_INVOC'!$EL$5,P85='DADOS_INVOC'!$EM$5,P85='DADOS_INVOC'!$EN$5,P85='DADOS_INVOC'!$EO$5,P85='DADOS_INVOC'!$EP$5,P85='DADOS_INVOC'!$QV$5,P85='DADOS_INVOC'!$QW$5,P85='DADOS_INVOC'!$QX$5,P85='DADOS_INVOC'!$QY$5),O85,"")</f>
        <v/>
      </c>
      <c r="AU85">
        <f>IF(AND(Q85=1,OR(P85="",P85='DADOS_INVOC'!$EL$5,P85='DADOS_INVOC'!$EM$5,P85='DADOS_INVOC'!$EN$5,P85='DADOS_INVOC'!$EO$5,P85='DADOS_INVOC'!$EP$5,P85='DADOS_INVOC'!$QV$5,P85='DADOS_INVOC'!$QW$5,P85='DADOS_INVOC'!$QX$5,P85='DADOS_INVOC'!$QY$5)),O85,"")</f>
        <v/>
      </c>
      <c r="AV85">
        <f>IF(OR(P85="",P85='DADOS_INVOC'!$EL$6,P85='DADOS_INVOC'!$EM$6,P85='DADOS_INVOC'!$EN$6,P85='DADOS_INVOC'!$EO$6,P85='DADOS_INVOC'!$EP$6,P85='DADOS_INVOC'!$QV$6,P85='DADOS_INVOC'!$QW$6,P85='DADOS_INVOC'!$QX$6,P85='DADOS_INVOC'!$QY$6),O85,"")</f>
        <v/>
      </c>
      <c r="AW85">
        <f>IF(AND(Q85=1,OR(P85="",P85='DADOS_INVOC'!$EL$6,P85='DADOS_INVOC'!$EM$6,P85='DADOS_INVOC'!$EN$6,P85='DADOS_INVOC'!$EO$6,P85='DADOS_INVOC'!$EP$6,P85='DADOS_INVOC'!$QV$6,P85='DADOS_INVOC'!$QW$6,P85='DADOS_INVOC'!$QX$6,P85='DADOS_INVOC'!$QY$6)),O85,"")</f>
        <v/>
      </c>
      <c r="AX85">
        <f>IF(OR(P85="",P85='DADOS_INVOC'!$EL$7,P85='DADOS_INVOC'!$EM$7,P85='DADOS_INVOC'!$EN$7,P85='DADOS_INVOC'!$EO$7,P85='DADOS_INVOC'!$EP$7,P85='DADOS_INVOC'!$QV$7,P85='DADOS_INVOC'!$QW$7,P85='DADOS_INVOC'!$QX$7,P85='DADOS_INVOC'!$QY$7),O85,"")</f>
        <v/>
      </c>
      <c r="AY85">
        <f>IF(AND(Q85=1,OR(P85="",P85='DADOS_INVOC'!$EL$7,P85='DADOS_INVOC'!$EM$7,P85='DADOS_INVOC'!$EN$7,P85='DADOS_INVOC'!$EO$7,P85='DADOS_INVOC'!$EP$7,P85='DADOS_INVOC'!$QV$7,P85='DADOS_INVOC'!$QW$7,P85='DADOS_INVOC'!$QX$7,P85='DADOS_INVOC'!$QY$7)),O85,"")</f>
        <v/>
      </c>
      <c r="AZ85">
        <f>IF(OR(P85="",P85='DADOS_INVOC'!$EL$8,P85='DADOS_INVOC'!$EM$8,P85='DADOS_INVOC'!$EN$8,P85='DADOS_INVOC'!$EO$8,P85='DADOS_INVOC'!$EP$8,P85='DADOS_INVOC'!$QV$8,P85='DADOS_INVOC'!$QW$8,P85='DADOS_INVOC'!$QX$8,P85='DADOS_INVOC'!$QY$8),O85,"")</f>
        <v/>
      </c>
      <c r="BA85">
        <f>IF(AND(Q85=1,OR(P85="",P85='DADOS_INVOC'!$EL$8,P85='DADOS_INVOC'!$EM$8,P85='DADOS_INVOC'!$EN$8,P85='DADOS_INVOC'!$EO$8,P85='DADOS_INVOC'!$EP$8,P85='DADOS_INVOC'!$QV$8,P85='DADOS_INVOC'!$QW$8,P85='DADOS_INVOC'!$QX$8,P85='DADOS_INVOC'!$QY$8)),O85,"")</f>
        <v/>
      </c>
      <c r="BB85">
        <f>IF(OR(P85="",P85='DADOS_INVOC'!$EL$9,P85='DADOS_INVOC'!$EM$9,P85='DADOS_INVOC'!$EN$9,P85='DADOS_INVOC'!$EO$9,P85='DADOS_INVOC'!$EP$9,P85='DADOS_INVOC'!$QV$9,P85='DADOS_INVOC'!$QW$9,P85='DADOS_INVOC'!$QX$9,P85='DADOS_INVOC'!$QY$9),O85,"")</f>
        <v/>
      </c>
      <c r="BC85">
        <f>IF(AND(Q85=1,OR(P85="",P85='DADOS_INVOC'!$EL$9,P85='DADOS_INVOC'!$EM$9,P85='DADOS_INVOC'!$EN$9,P85='DADOS_INVOC'!$EO$9,P85='DADOS_INVOC'!$EP$9,P85='DADOS_INVOC'!$QV$9,P85='DADOS_INVOC'!$QW$9,P85='DADOS_INVOC'!$QX$9,P85='DADOS_INVOC'!$QY$9)),O85,"")</f>
        <v/>
      </c>
      <c r="BD85">
        <f>IF(OR(P85="",P85='DADOS_INVOC'!$EL$10,P85='DADOS_INVOC'!$EM$10,P85='DADOS_INVOC'!$EN$10,P85='DADOS_INVOC'!$EO$10,P85='DADOS_INVOC'!$EP$10,P85='DADOS_INVOC'!$QV$10,P85='DADOS_INVOC'!$QW$10,P85='DADOS_INVOC'!$QX$10,P85='DADOS_INVOC'!$QY$10),O85,"")</f>
        <v/>
      </c>
      <c r="BE85">
        <f>IF(AND(Q85=1,OR(P85="",P85='DADOS_INVOC'!$EL$10,P85='DADOS_INVOC'!$EM$10,P85='DADOS_INVOC'!$EN$10,P85='DADOS_INVOC'!$EO$10,P85='DADOS_INVOC'!$EP$10,P85='DADOS_INVOC'!$QV$10,P85='DADOS_INVOC'!$QW$10,P85='DADOS_INVOC'!$QX$10,P85='DADOS_INVOC'!$QY$10)),O85,"")</f>
        <v/>
      </c>
      <c r="BF85">
        <f>IF(OR(P85="",P85='DADOS_INVOC'!$EL$11,P85='DADOS_INVOC'!$EM$11,P85='DADOS_INVOC'!$EN$11,P85='DADOS_INVOC'!$EO$11,P85='DADOS_INVOC'!$EP$11,P85='DADOS_INVOC'!$QV$11,P85='DADOS_INVOC'!$QW$11,P85='DADOS_INVOC'!$QX$11,P85='DADOS_INVOC'!$QY$11),O85,"")</f>
        <v/>
      </c>
      <c r="BG85">
        <f>IF(AND(Q85=1,OR(P85="",P85='DADOS_INVOC'!$EL$11,P85='DADOS_INVOC'!$EM$11,P85='DADOS_INVOC'!$EN$11,P85='DADOS_INVOC'!$EO$11,P85='DADOS_INVOC'!$EP$11,P85='DADOS_INVOC'!$QV$11,P85='DADOS_INVOC'!$QW$11,P85='DADOS_INVOC'!$QX$11,P85='DADOS_INVOC'!$QY$11)),O85,"")</f>
        <v/>
      </c>
      <c r="BH85">
        <f>IF(OR(P85="",P85='DADOS_INVOC'!$EL$12,P85='DADOS_INVOC'!$EM$12,P85='DADOS_INVOC'!$EN$12,P85='DADOS_INVOC'!$EO$12,P85='DADOS_INVOC'!$EP$12,P85='DADOS_INVOC'!$QV$12,P85='DADOS_INVOC'!$QW$12,P85='DADOS_INVOC'!$QX$12,P85='DADOS_INVOC'!$QY$12),O85,"")</f>
        <v/>
      </c>
      <c r="BI85">
        <f>IF(AND(Q85=1,OR(P85="",P85='DADOS_INVOC'!$EL$12,P85='DADOS_INVOC'!$EM$12,P85='DADOS_INVOC'!$EN$12,P85='DADOS_INVOC'!$EO$12,P85='DADOS_INVOC'!$EP$12,P85='DADOS_INVOC'!$QV$12,P85='DADOS_INVOC'!$QW$12,P85='DADOS_INVOC'!$QX$12,P85='DADOS_INVOC'!$QY$12)),O85,"")</f>
        <v/>
      </c>
      <c r="BJ85">
        <f>IF(OR(P85="",P85='DADOS_INVOC'!$EL$13,P85='DADOS_INVOC'!$EM$13,P85='DADOS_INVOC'!$EN$13,P85='DADOS_INVOC'!$EO$13,P85='DADOS_INVOC'!$EP$13,P85='DADOS_INVOC'!$QV$13,P85='DADOS_INVOC'!$QW$13,P85='DADOS_INVOC'!$QX$13,P85='DADOS_INVOC'!$QY$13),O85,"")</f>
        <v/>
      </c>
      <c r="BK85">
        <f>IF(AND(Q85=1,OR(P85="",P85='DADOS_INVOC'!$EL$13,P85='DADOS_INVOC'!$EM$13,P85='DADOS_INVOC'!$EN$13,P85='DADOS_INVOC'!$EO$13,P85='DADOS_INVOC'!$EP$13,P85='DADOS_INVOC'!$QV$13,P85='DADOS_INVOC'!$QW$13,P85='DADOS_INVOC'!$QX$13,P85='DADOS_INVOC'!$QY$13)),O85,"")</f>
        <v/>
      </c>
    </row>
    <row r="86">
      <c r="O86">
        <f>IF(AND(D4&lt;&gt;"",M4=""),D4,"")</f>
        <v/>
      </c>
      <c r="P86">
        <f>IF(O86="","",IF(AND(BR4="Condição",F4="",L4=0),"Controle",IF(O86="","",IF(F4&lt;&gt;"",IF(F4="Nenhuma","",F4),IF(L4&gt;0,INDEX($P$2:$P$83,L4),"")))))</f>
        <v/>
      </c>
      <c r="Q86">
        <f>IF(O86="",0,IF(G4&lt;&gt;"",IFERROR(MATCH(G4,'DADOS_MELHORIAS'!$BN$2:$BN$4,0),0),IF(L4&gt;0,INDEX('DADOS_MELHORIAS'!$Q$2:$Q$83,L4),0)))</f>
        <v/>
      </c>
      <c r="R86">
        <f>IF(O86="",0,Q86+3*IFERROR(VLOOKUP(SUBSTITUTE(SUBSTITUTE(SUBSTITUTE(P86,"~","~~"),"*","~*"),"?","~?"),'DADOS_CRIACAO'!$H$2:$K$20,3,FALSE),0))</f>
        <v/>
      </c>
      <c r="S86">
        <f>IF(O86="",0,IFERROR(VLOOKUP(SUBSTITUTE(SUBSTITUTE(SUBSTITUTE(P86,"~","~~"),"*","~*"),"?","~?"),'DADOS_CRIACAO'!$H$2:$K$20,4,FALSE),0))</f>
        <v/>
      </c>
      <c r="T86">
        <f>IF(O86="",0,IF(BR4="Condição",1,IF(O86="",0,IF(OR(P86="Controle",IF(L4&gt;0,INDEX('DADOS_MELHORIAS'!$T$2:$T$83,L4),0)=1),1,0))))</f>
        <v/>
      </c>
      <c r="U86">
        <f>IF(O86="","",IF(S86=1,"",O86))</f>
        <v/>
      </c>
      <c r="V86">
        <f>IF(O86="","",IF(AND(Q86=1,S86=0),O86,""))</f>
        <v/>
      </c>
      <c r="W86">
        <f>IF(O86="",0,IF(BR4="Condição",1,IF(O86="",0,IF(H4="",IF(L4&gt;0,INDEX('DADOS_MELHORIAS'!$W$2:$W$83,L4),0),IF(H4="Sim",1,0)))))</f>
        <v/>
      </c>
      <c r="X86">
        <f>IF(O86="","",IF(L4&gt;0,INDEX($X$2:$X$83,L4),D4))</f>
        <v/>
      </c>
      <c r="Y86">
        <f>IF(O86="",0,IF(L4&gt;0,INDEX('DADOS_MELHORIAS'!$Y$2:$Y$83,L4),0))</f>
        <v/>
      </c>
      <c r="AG86">
        <f>O86</f>
        <v/>
      </c>
      <c r="AH86">
        <f>P86</f>
        <v/>
      </c>
      <c r="AI86">
        <f>Q86</f>
        <v/>
      </c>
      <c r="AJ86">
        <f>T86</f>
        <v/>
      </c>
      <c r="AK86">
        <f>Y86</f>
        <v/>
      </c>
      <c r="AL86">
        <f>W86</f>
        <v/>
      </c>
      <c r="AN86">
        <f>IF(OR(P86="",P86='DADOS_INVOC'!$EL$2,P86='DADOS_INVOC'!$EM$2,P86='DADOS_INVOC'!$EN$2,P86='DADOS_INVOC'!$EO$2,P86='DADOS_INVOC'!$EP$2,P86='DADOS_INVOC'!$QV$2,P86='DADOS_INVOC'!$QW$2,P86='DADOS_INVOC'!$QX$2,P86='DADOS_INVOC'!$QY$2),O86,"")</f>
        <v/>
      </c>
      <c r="AO86">
        <f>IF(AND(Q86=1,OR(P86="",P86='DADOS_INVOC'!$EL$2,P86='DADOS_INVOC'!$EM$2,P86='DADOS_INVOC'!$EN$2,P86='DADOS_INVOC'!$EO$2,P86='DADOS_INVOC'!$EP$2,P86='DADOS_INVOC'!$QV$2,P86='DADOS_INVOC'!$QW$2,P86='DADOS_INVOC'!$QX$2,P86='DADOS_INVOC'!$QY$2)),O86,"")</f>
        <v/>
      </c>
      <c r="AP86">
        <f>IF(OR(P86="",P86='DADOS_INVOC'!$EL$3,P86='DADOS_INVOC'!$EM$3,P86='DADOS_INVOC'!$EN$3,P86='DADOS_INVOC'!$EO$3,P86='DADOS_INVOC'!$EP$3,P86='DADOS_INVOC'!$QV$3,P86='DADOS_INVOC'!$QW$3,P86='DADOS_INVOC'!$QX$3,P86='DADOS_INVOC'!$QY$3),O86,"")</f>
        <v/>
      </c>
      <c r="AQ86">
        <f>IF(AND(Q86=1,OR(P86="",P86='DADOS_INVOC'!$EL$3,P86='DADOS_INVOC'!$EM$3,P86='DADOS_INVOC'!$EN$3,P86='DADOS_INVOC'!$EO$3,P86='DADOS_INVOC'!$EP$3,P86='DADOS_INVOC'!$QV$3,P86='DADOS_INVOC'!$QW$3,P86='DADOS_INVOC'!$QX$3,P86='DADOS_INVOC'!$QY$3)),O86,"")</f>
        <v/>
      </c>
      <c r="AR86">
        <f>IF(OR(P86="",P86='DADOS_INVOC'!$EL$4,P86='DADOS_INVOC'!$EM$4,P86='DADOS_INVOC'!$EN$4,P86='DADOS_INVOC'!$EO$4,P86='DADOS_INVOC'!$EP$4,P86='DADOS_INVOC'!$QV$4,P86='DADOS_INVOC'!$QW$4,P86='DADOS_INVOC'!$QX$4,P86='DADOS_INVOC'!$QY$4),O86,"")</f>
        <v/>
      </c>
      <c r="AS86">
        <f>IF(AND(Q86=1,OR(P86="",P86='DADOS_INVOC'!$EL$4,P86='DADOS_INVOC'!$EM$4,P86='DADOS_INVOC'!$EN$4,P86='DADOS_INVOC'!$EO$4,P86='DADOS_INVOC'!$EP$4,P86='DADOS_INVOC'!$QV$4,P86='DADOS_INVOC'!$QW$4,P86='DADOS_INVOC'!$QX$4,P86='DADOS_INVOC'!$QY$4)),O86,"")</f>
        <v/>
      </c>
      <c r="AT86">
        <f>IF(OR(P86="",P86='DADOS_INVOC'!$EL$5,P86='DADOS_INVOC'!$EM$5,P86='DADOS_INVOC'!$EN$5,P86='DADOS_INVOC'!$EO$5,P86='DADOS_INVOC'!$EP$5,P86='DADOS_INVOC'!$QV$5,P86='DADOS_INVOC'!$QW$5,P86='DADOS_INVOC'!$QX$5,P86='DADOS_INVOC'!$QY$5),O86,"")</f>
        <v/>
      </c>
      <c r="AU86">
        <f>IF(AND(Q86=1,OR(P86="",P86='DADOS_INVOC'!$EL$5,P86='DADOS_INVOC'!$EM$5,P86='DADOS_INVOC'!$EN$5,P86='DADOS_INVOC'!$EO$5,P86='DADOS_INVOC'!$EP$5,P86='DADOS_INVOC'!$QV$5,P86='DADOS_INVOC'!$QW$5,P86='DADOS_INVOC'!$QX$5,P86='DADOS_INVOC'!$QY$5)),O86,"")</f>
        <v/>
      </c>
      <c r="AV86">
        <f>IF(OR(P86="",P86='DADOS_INVOC'!$EL$6,P86='DADOS_INVOC'!$EM$6,P86='DADOS_INVOC'!$EN$6,P86='DADOS_INVOC'!$EO$6,P86='DADOS_INVOC'!$EP$6,P86='DADOS_INVOC'!$QV$6,P86='DADOS_INVOC'!$QW$6,P86='DADOS_INVOC'!$QX$6,P86='DADOS_INVOC'!$QY$6),O86,"")</f>
        <v/>
      </c>
      <c r="AW86">
        <f>IF(AND(Q86=1,OR(P86="",P86='DADOS_INVOC'!$EL$6,P86='DADOS_INVOC'!$EM$6,P86='DADOS_INVOC'!$EN$6,P86='DADOS_INVOC'!$EO$6,P86='DADOS_INVOC'!$EP$6,P86='DADOS_INVOC'!$QV$6,P86='DADOS_INVOC'!$QW$6,P86='DADOS_INVOC'!$QX$6,P86='DADOS_INVOC'!$QY$6)),O86,"")</f>
        <v/>
      </c>
      <c r="AX86">
        <f>IF(OR(P86="",P86='DADOS_INVOC'!$EL$7,P86='DADOS_INVOC'!$EM$7,P86='DADOS_INVOC'!$EN$7,P86='DADOS_INVOC'!$EO$7,P86='DADOS_INVOC'!$EP$7,P86='DADOS_INVOC'!$QV$7,P86='DADOS_INVOC'!$QW$7,P86='DADOS_INVOC'!$QX$7,P86='DADOS_INVOC'!$QY$7),O86,"")</f>
        <v/>
      </c>
      <c r="AY86">
        <f>IF(AND(Q86=1,OR(P86="",P86='DADOS_INVOC'!$EL$7,P86='DADOS_INVOC'!$EM$7,P86='DADOS_INVOC'!$EN$7,P86='DADOS_INVOC'!$EO$7,P86='DADOS_INVOC'!$EP$7,P86='DADOS_INVOC'!$QV$7,P86='DADOS_INVOC'!$QW$7,P86='DADOS_INVOC'!$QX$7,P86='DADOS_INVOC'!$QY$7)),O86,"")</f>
        <v/>
      </c>
      <c r="AZ86">
        <f>IF(OR(P86="",P86='DADOS_INVOC'!$EL$8,P86='DADOS_INVOC'!$EM$8,P86='DADOS_INVOC'!$EN$8,P86='DADOS_INVOC'!$EO$8,P86='DADOS_INVOC'!$EP$8,P86='DADOS_INVOC'!$QV$8,P86='DADOS_INVOC'!$QW$8,P86='DADOS_INVOC'!$QX$8,P86='DADOS_INVOC'!$QY$8),O86,"")</f>
        <v/>
      </c>
      <c r="BA86">
        <f>IF(AND(Q86=1,OR(P86="",P86='DADOS_INVOC'!$EL$8,P86='DADOS_INVOC'!$EM$8,P86='DADOS_INVOC'!$EN$8,P86='DADOS_INVOC'!$EO$8,P86='DADOS_INVOC'!$EP$8,P86='DADOS_INVOC'!$QV$8,P86='DADOS_INVOC'!$QW$8,P86='DADOS_INVOC'!$QX$8,P86='DADOS_INVOC'!$QY$8)),O86,"")</f>
        <v/>
      </c>
      <c r="BB86">
        <f>IF(OR(P86="",P86='DADOS_INVOC'!$EL$9,P86='DADOS_INVOC'!$EM$9,P86='DADOS_INVOC'!$EN$9,P86='DADOS_INVOC'!$EO$9,P86='DADOS_INVOC'!$EP$9,P86='DADOS_INVOC'!$QV$9,P86='DADOS_INVOC'!$QW$9,P86='DADOS_INVOC'!$QX$9,P86='DADOS_INVOC'!$QY$9),O86,"")</f>
        <v/>
      </c>
      <c r="BC86">
        <f>IF(AND(Q86=1,OR(P86="",P86='DADOS_INVOC'!$EL$9,P86='DADOS_INVOC'!$EM$9,P86='DADOS_INVOC'!$EN$9,P86='DADOS_INVOC'!$EO$9,P86='DADOS_INVOC'!$EP$9,P86='DADOS_INVOC'!$QV$9,P86='DADOS_INVOC'!$QW$9,P86='DADOS_INVOC'!$QX$9,P86='DADOS_INVOC'!$QY$9)),O86,"")</f>
        <v/>
      </c>
      <c r="BD86">
        <f>IF(OR(P86="",P86='DADOS_INVOC'!$EL$10,P86='DADOS_INVOC'!$EM$10,P86='DADOS_INVOC'!$EN$10,P86='DADOS_INVOC'!$EO$10,P86='DADOS_INVOC'!$EP$10,P86='DADOS_INVOC'!$QV$10,P86='DADOS_INVOC'!$QW$10,P86='DADOS_INVOC'!$QX$10,P86='DADOS_INVOC'!$QY$10),O86,"")</f>
        <v/>
      </c>
      <c r="BE86">
        <f>IF(AND(Q86=1,OR(P86="",P86='DADOS_INVOC'!$EL$10,P86='DADOS_INVOC'!$EM$10,P86='DADOS_INVOC'!$EN$10,P86='DADOS_INVOC'!$EO$10,P86='DADOS_INVOC'!$EP$10,P86='DADOS_INVOC'!$QV$10,P86='DADOS_INVOC'!$QW$10,P86='DADOS_INVOC'!$QX$10,P86='DADOS_INVOC'!$QY$10)),O86,"")</f>
        <v/>
      </c>
      <c r="BF86">
        <f>IF(OR(P86="",P86='DADOS_INVOC'!$EL$11,P86='DADOS_INVOC'!$EM$11,P86='DADOS_INVOC'!$EN$11,P86='DADOS_INVOC'!$EO$11,P86='DADOS_INVOC'!$EP$11,P86='DADOS_INVOC'!$QV$11,P86='DADOS_INVOC'!$QW$11,P86='DADOS_INVOC'!$QX$11,P86='DADOS_INVOC'!$QY$11),O86,"")</f>
        <v/>
      </c>
      <c r="BG86">
        <f>IF(AND(Q86=1,OR(P86="",P86='DADOS_INVOC'!$EL$11,P86='DADOS_INVOC'!$EM$11,P86='DADOS_INVOC'!$EN$11,P86='DADOS_INVOC'!$EO$11,P86='DADOS_INVOC'!$EP$11,P86='DADOS_INVOC'!$QV$11,P86='DADOS_INVOC'!$QW$11,P86='DADOS_INVOC'!$QX$11,P86='DADOS_INVOC'!$QY$11)),O86,"")</f>
        <v/>
      </c>
      <c r="BH86">
        <f>IF(OR(P86="",P86='DADOS_INVOC'!$EL$12,P86='DADOS_INVOC'!$EM$12,P86='DADOS_INVOC'!$EN$12,P86='DADOS_INVOC'!$EO$12,P86='DADOS_INVOC'!$EP$12,P86='DADOS_INVOC'!$QV$12,P86='DADOS_INVOC'!$QW$12,P86='DADOS_INVOC'!$QX$12,P86='DADOS_INVOC'!$QY$12),O86,"")</f>
        <v/>
      </c>
      <c r="BI86">
        <f>IF(AND(Q86=1,OR(P86="",P86='DADOS_INVOC'!$EL$12,P86='DADOS_INVOC'!$EM$12,P86='DADOS_INVOC'!$EN$12,P86='DADOS_INVOC'!$EO$12,P86='DADOS_INVOC'!$EP$12,P86='DADOS_INVOC'!$QV$12,P86='DADOS_INVOC'!$QW$12,P86='DADOS_INVOC'!$QX$12,P86='DADOS_INVOC'!$QY$12)),O86,"")</f>
        <v/>
      </c>
      <c r="BJ86">
        <f>IF(OR(P86="",P86='DADOS_INVOC'!$EL$13,P86='DADOS_INVOC'!$EM$13,P86='DADOS_INVOC'!$EN$13,P86='DADOS_INVOC'!$EO$13,P86='DADOS_INVOC'!$EP$13,P86='DADOS_INVOC'!$QV$13,P86='DADOS_INVOC'!$QW$13,P86='DADOS_INVOC'!$QX$13,P86='DADOS_INVOC'!$QY$13),O86,"")</f>
        <v/>
      </c>
      <c r="BK86">
        <f>IF(AND(Q86=1,OR(P86="",P86='DADOS_INVOC'!$EL$13,P86='DADOS_INVOC'!$EM$13,P86='DADOS_INVOC'!$EN$13,P86='DADOS_INVOC'!$EO$13,P86='DADOS_INVOC'!$EP$13,P86='DADOS_INVOC'!$QV$13,P86='DADOS_INVOC'!$QW$13,P86='DADOS_INVOC'!$QX$13,P86='DADOS_INVOC'!$QY$13)),O86,"")</f>
        <v/>
      </c>
    </row>
    <row r="87">
      <c r="O87">
        <f>IF(AND(D5&lt;&gt;"",M5=""),D5,"")</f>
        <v/>
      </c>
      <c r="P87">
        <f>IF(O87="","",IF(AND(BR5="Condição",F5="",L5=0),"Controle",IF(O87="","",IF(F5&lt;&gt;"",IF(F5="Nenhuma","",F5),IF(L5&gt;0,INDEX($P$2:$P$83,L5),"")))))</f>
        <v/>
      </c>
      <c r="Q87">
        <f>IF(O87="",0,IF(G5&lt;&gt;"",IFERROR(MATCH(G5,'DADOS_MELHORIAS'!$BN$2:$BN$4,0),0),IF(L5&gt;0,INDEX('DADOS_MELHORIAS'!$Q$2:$Q$83,L5),0)))</f>
        <v/>
      </c>
      <c r="R87">
        <f>IF(O87="",0,Q87+3*IFERROR(VLOOKUP(SUBSTITUTE(SUBSTITUTE(SUBSTITUTE(P87,"~","~~"),"*","~*"),"?","~?"),'DADOS_CRIACAO'!$H$2:$K$20,3,FALSE),0))</f>
        <v/>
      </c>
      <c r="S87">
        <f>IF(O87="",0,IFERROR(VLOOKUP(SUBSTITUTE(SUBSTITUTE(SUBSTITUTE(P87,"~","~~"),"*","~*"),"?","~?"),'DADOS_CRIACAO'!$H$2:$K$20,4,FALSE),0))</f>
        <v/>
      </c>
      <c r="T87">
        <f>IF(O87="",0,IF(BR5="Condição",1,IF(O87="",0,IF(OR(P87="Controle",IF(L5&gt;0,INDEX('DADOS_MELHORIAS'!$T$2:$T$83,L5),0)=1),1,0))))</f>
        <v/>
      </c>
      <c r="U87">
        <f>IF(O87="","",IF(S87=1,"",O87))</f>
        <v/>
      </c>
      <c r="V87">
        <f>IF(O87="","",IF(AND(Q87=1,S87=0),O87,""))</f>
        <v/>
      </c>
      <c r="W87">
        <f>IF(O87="",0,IF(BR5="Condição",1,IF(O87="",0,IF(H5="",IF(L5&gt;0,INDEX('DADOS_MELHORIAS'!$W$2:$W$83,L5),0),IF(H5="Sim",1,0)))))</f>
        <v/>
      </c>
      <c r="X87">
        <f>IF(O87="","",IF(L5&gt;0,INDEX($X$2:$X$83,L5),D5))</f>
        <v/>
      </c>
      <c r="Y87">
        <f>IF(O87="",0,IF(L5&gt;0,INDEX('DADOS_MELHORIAS'!$Y$2:$Y$83,L5),0))</f>
        <v/>
      </c>
      <c r="AG87">
        <f>O87</f>
        <v/>
      </c>
      <c r="AH87">
        <f>P87</f>
        <v/>
      </c>
      <c r="AI87">
        <f>Q87</f>
        <v/>
      </c>
      <c r="AJ87">
        <f>T87</f>
        <v/>
      </c>
      <c r="AK87">
        <f>Y87</f>
        <v/>
      </c>
      <c r="AL87">
        <f>W87</f>
        <v/>
      </c>
      <c r="AN87">
        <f>IF(OR(P87="",P87='DADOS_INVOC'!$EL$2,P87='DADOS_INVOC'!$EM$2,P87='DADOS_INVOC'!$EN$2,P87='DADOS_INVOC'!$EO$2,P87='DADOS_INVOC'!$EP$2,P87='DADOS_INVOC'!$QV$2,P87='DADOS_INVOC'!$QW$2,P87='DADOS_INVOC'!$QX$2,P87='DADOS_INVOC'!$QY$2),O87,"")</f>
        <v/>
      </c>
      <c r="AO87">
        <f>IF(AND(Q87=1,OR(P87="",P87='DADOS_INVOC'!$EL$2,P87='DADOS_INVOC'!$EM$2,P87='DADOS_INVOC'!$EN$2,P87='DADOS_INVOC'!$EO$2,P87='DADOS_INVOC'!$EP$2,P87='DADOS_INVOC'!$QV$2,P87='DADOS_INVOC'!$QW$2,P87='DADOS_INVOC'!$QX$2,P87='DADOS_INVOC'!$QY$2)),O87,"")</f>
        <v/>
      </c>
      <c r="AP87">
        <f>IF(OR(P87="",P87='DADOS_INVOC'!$EL$3,P87='DADOS_INVOC'!$EM$3,P87='DADOS_INVOC'!$EN$3,P87='DADOS_INVOC'!$EO$3,P87='DADOS_INVOC'!$EP$3,P87='DADOS_INVOC'!$QV$3,P87='DADOS_INVOC'!$QW$3,P87='DADOS_INVOC'!$QX$3,P87='DADOS_INVOC'!$QY$3),O87,"")</f>
        <v/>
      </c>
      <c r="AQ87">
        <f>IF(AND(Q87=1,OR(P87="",P87='DADOS_INVOC'!$EL$3,P87='DADOS_INVOC'!$EM$3,P87='DADOS_INVOC'!$EN$3,P87='DADOS_INVOC'!$EO$3,P87='DADOS_INVOC'!$EP$3,P87='DADOS_INVOC'!$QV$3,P87='DADOS_INVOC'!$QW$3,P87='DADOS_INVOC'!$QX$3,P87='DADOS_INVOC'!$QY$3)),O87,"")</f>
        <v/>
      </c>
      <c r="AR87">
        <f>IF(OR(P87="",P87='DADOS_INVOC'!$EL$4,P87='DADOS_INVOC'!$EM$4,P87='DADOS_INVOC'!$EN$4,P87='DADOS_INVOC'!$EO$4,P87='DADOS_INVOC'!$EP$4,P87='DADOS_INVOC'!$QV$4,P87='DADOS_INVOC'!$QW$4,P87='DADOS_INVOC'!$QX$4,P87='DADOS_INVOC'!$QY$4),O87,"")</f>
        <v/>
      </c>
      <c r="AS87">
        <f>IF(AND(Q87=1,OR(P87="",P87='DADOS_INVOC'!$EL$4,P87='DADOS_INVOC'!$EM$4,P87='DADOS_INVOC'!$EN$4,P87='DADOS_INVOC'!$EO$4,P87='DADOS_INVOC'!$EP$4,P87='DADOS_INVOC'!$QV$4,P87='DADOS_INVOC'!$QW$4,P87='DADOS_INVOC'!$QX$4,P87='DADOS_INVOC'!$QY$4)),O87,"")</f>
        <v/>
      </c>
      <c r="AT87">
        <f>IF(OR(P87="",P87='DADOS_INVOC'!$EL$5,P87='DADOS_INVOC'!$EM$5,P87='DADOS_INVOC'!$EN$5,P87='DADOS_INVOC'!$EO$5,P87='DADOS_INVOC'!$EP$5,P87='DADOS_INVOC'!$QV$5,P87='DADOS_INVOC'!$QW$5,P87='DADOS_INVOC'!$QX$5,P87='DADOS_INVOC'!$QY$5),O87,"")</f>
        <v/>
      </c>
      <c r="AU87">
        <f>IF(AND(Q87=1,OR(P87="",P87='DADOS_INVOC'!$EL$5,P87='DADOS_INVOC'!$EM$5,P87='DADOS_INVOC'!$EN$5,P87='DADOS_INVOC'!$EO$5,P87='DADOS_INVOC'!$EP$5,P87='DADOS_INVOC'!$QV$5,P87='DADOS_INVOC'!$QW$5,P87='DADOS_INVOC'!$QX$5,P87='DADOS_INVOC'!$QY$5)),O87,"")</f>
        <v/>
      </c>
      <c r="AV87">
        <f>IF(OR(P87="",P87='DADOS_INVOC'!$EL$6,P87='DADOS_INVOC'!$EM$6,P87='DADOS_INVOC'!$EN$6,P87='DADOS_INVOC'!$EO$6,P87='DADOS_INVOC'!$EP$6,P87='DADOS_INVOC'!$QV$6,P87='DADOS_INVOC'!$QW$6,P87='DADOS_INVOC'!$QX$6,P87='DADOS_INVOC'!$QY$6),O87,"")</f>
        <v/>
      </c>
      <c r="AW87">
        <f>IF(AND(Q87=1,OR(P87="",P87='DADOS_INVOC'!$EL$6,P87='DADOS_INVOC'!$EM$6,P87='DADOS_INVOC'!$EN$6,P87='DADOS_INVOC'!$EO$6,P87='DADOS_INVOC'!$EP$6,P87='DADOS_INVOC'!$QV$6,P87='DADOS_INVOC'!$QW$6,P87='DADOS_INVOC'!$QX$6,P87='DADOS_INVOC'!$QY$6)),O87,"")</f>
        <v/>
      </c>
      <c r="AX87">
        <f>IF(OR(P87="",P87='DADOS_INVOC'!$EL$7,P87='DADOS_INVOC'!$EM$7,P87='DADOS_INVOC'!$EN$7,P87='DADOS_INVOC'!$EO$7,P87='DADOS_INVOC'!$EP$7,P87='DADOS_INVOC'!$QV$7,P87='DADOS_INVOC'!$QW$7,P87='DADOS_INVOC'!$QX$7,P87='DADOS_INVOC'!$QY$7),O87,"")</f>
        <v/>
      </c>
      <c r="AY87">
        <f>IF(AND(Q87=1,OR(P87="",P87='DADOS_INVOC'!$EL$7,P87='DADOS_INVOC'!$EM$7,P87='DADOS_INVOC'!$EN$7,P87='DADOS_INVOC'!$EO$7,P87='DADOS_INVOC'!$EP$7,P87='DADOS_INVOC'!$QV$7,P87='DADOS_INVOC'!$QW$7,P87='DADOS_INVOC'!$QX$7,P87='DADOS_INVOC'!$QY$7)),O87,"")</f>
        <v/>
      </c>
      <c r="AZ87">
        <f>IF(OR(P87="",P87='DADOS_INVOC'!$EL$8,P87='DADOS_INVOC'!$EM$8,P87='DADOS_INVOC'!$EN$8,P87='DADOS_INVOC'!$EO$8,P87='DADOS_INVOC'!$EP$8,P87='DADOS_INVOC'!$QV$8,P87='DADOS_INVOC'!$QW$8,P87='DADOS_INVOC'!$QX$8,P87='DADOS_INVOC'!$QY$8),O87,"")</f>
        <v/>
      </c>
      <c r="BA87">
        <f>IF(AND(Q87=1,OR(P87="",P87='DADOS_INVOC'!$EL$8,P87='DADOS_INVOC'!$EM$8,P87='DADOS_INVOC'!$EN$8,P87='DADOS_INVOC'!$EO$8,P87='DADOS_INVOC'!$EP$8,P87='DADOS_INVOC'!$QV$8,P87='DADOS_INVOC'!$QW$8,P87='DADOS_INVOC'!$QX$8,P87='DADOS_INVOC'!$QY$8)),O87,"")</f>
        <v/>
      </c>
      <c r="BB87">
        <f>IF(OR(P87="",P87='DADOS_INVOC'!$EL$9,P87='DADOS_INVOC'!$EM$9,P87='DADOS_INVOC'!$EN$9,P87='DADOS_INVOC'!$EO$9,P87='DADOS_INVOC'!$EP$9,P87='DADOS_INVOC'!$QV$9,P87='DADOS_INVOC'!$QW$9,P87='DADOS_INVOC'!$QX$9,P87='DADOS_INVOC'!$QY$9),O87,"")</f>
        <v/>
      </c>
      <c r="BC87">
        <f>IF(AND(Q87=1,OR(P87="",P87='DADOS_INVOC'!$EL$9,P87='DADOS_INVOC'!$EM$9,P87='DADOS_INVOC'!$EN$9,P87='DADOS_INVOC'!$EO$9,P87='DADOS_INVOC'!$EP$9,P87='DADOS_INVOC'!$QV$9,P87='DADOS_INVOC'!$QW$9,P87='DADOS_INVOC'!$QX$9,P87='DADOS_INVOC'!$QY$9)),O87,"")</f>
        <v/>
      </c>
      <c r="BD87">
        <f>IF(OR(P87="",P87='DADOS_INVOC'!$EL$10,P87='DADOS_INVOC'!$EM$10,P87='DADOS_INVOC'!$EN$10,P87='DADOS_INVOC'!$EO$10,P87='DADOS_INVOC'!$EP$10,P87='DADOS_INVOC'!$QV$10,P87='DADOS_INVOC'!$QW$10,P87='DADOS_INVOC'!$QX$10,P87='DADOS_INVOC'!$QY$10),O87,"")</f>
        <v/>
      </c>
      <c r="BE87">
        <f>IF(AND(Q87=1,OR(P87="",P87='DADOS_INVOC'!$EL$10,P87='DADOS_INVOC'!$EM$10,P87='DADOS_INVOC'!$EN$10,P87='DADOS_INVOC'!$EO$10,P87='DADOS_INVOC'!$EP$10,P87='DADOS_INVOC'!$QV$10,P87='DADOS_INVOC'!$QW$10,P87='DADOS_INVOC'!$QX$10,P87='DADOS_INVOC'!$QY$10)),O87,"")</f>
        <v/>
      </c>
      <c r="BF87">
        <f>IF(OR(P87="",P87='DADOS_INVOC'!$EL$11,P87='DADOS_INVOC'!$EM$11,P87='DADOS_INVOC'!$EN$11,P87='DADOS_INVOC'!$EO$11,P87='DADOS_INVOC'!$EP$11,P87='DADOS_INVOC'!$QV$11,P87='DADOS_INVOC'!$QW$11,P87='DADOS_INVOC'!$QX$11,P87='DADOS_INVOC'!$QY$11),O87,"")</f>
        <v/>
      </c>
      <c r="BG87">
        <f>IF(AND(Q87=1,OR(P87="",P87='DADOS_INVOC'!$EL$11,P87='DADOS_INVOC'!$EM$11,P87='DADOS_INVOC'!$EN$11,P87='DADOS_INVOC'!$EO$11,P87='DADOS_INVOC'!$EP$11,P87='DADOS_INVOC'!$QV$11,P87='DADOS_INVOC'!$QW$11,P87='DADOS_INVOC'!$QX$11,P87='DADOS_INVOC'!$QY$11)),O87,"")</f>
        <v/>
      </c>
      <c r="BH87">
        <f>IF(OR(P87="",P87='DADOS_INVOC'!$EL$12,P87='DADOS_INVOC'!$EM$12,P87='DADOS_INVOC'!$EN$12,P87='DADOS_INVOC'!$EO$12,P87='DADOS_INVOC'!$EP$12,P87='DADOS_INVOC'!$QV$12,P87='DADOS_INVOC'!$QW$12,P87='DADOS_INVOC'!$QX$12,P87='DADOS_INVOC'!$QY$12),O87,"")</f>
        <v/>
      </c>
      <c r="BI87">
        <f>IF(AND(Q87=1,OR(P87="",P87='DADOS_INVOC'!$EL$12,P87='DADOS_INVOC'!$EM$12,P87='DADOS_INVOC'!$EN$12,P87='DADOS_INVOC'!$EO$12,P87='DADOS_INVOC'!$EP$12,P87='DADOS_INVOC'!$QV$12,P87='DADOS_INVOC'!$QW$12,P87='DADOS_INVOC'!$QX$12,P87='DADOS_INVOC'!$QY$12)),O87,"")</f>
        <v/>
      </c>
      <c r="BJ87">
        <f>IF(OR(P87="",P87='DADOS_INVOC'!$EL$13,P87='DADOS_INVOC'!$EM$13,P87='DADOS_INVOC'!$EN$13,P87='DADOS_INVOC'!$EO$13,P87='DADOS_INVOC'!$EP$13,P87='DADOS_INVOC'!$QV$13,P87='DADOS_INVOC'!$QW$13,P87='DADOS_INVOC'!$QX$13,P87='DADOS_INVOC'!$QY$13),O87,"")</f>
        <v/>
      </c>
      <c r="BK87">
        <f>IF(AND(Q87=1,OR(P87="",P87='DADOS_INVOC'!$EL$13,P87='DADOS_INVOC'!$EM$13,P87='DADOS_INVOC'!$EN$13,P87='DADOS_INVOC'!$EO$13,P87='DADOS_INVOC'!$EP$13,P87='DADOS_INVOC'!$QV$13,P87='DADOS_INVOC'!$QW$13,P87='DADOS_INVOC'!$QX$13,P87='DADOS_INVOC'!$QY$13)),O87,"")</f>
        <v/>
      </c>
    </row>
    <row r="88">
      <c r="O88">
        <f>IF(AND(D6&lt;&gt;"",M6=""),D6,"")</f>
        <v/>
      </c>
      <c r="P88">
        <f>IF(O88="","",IF(AND(BR6="Condição",F6="",L6=0),"Controle",IF(O88="","",IF(F6&lt;&gt;"",IF(F6="Nenhuma","",F6),IF(L6&gt;0,INDEX($P$2:$P$83,L6),"")))))</f>
        <v/>
      </c>
      <c r="Q88">
        <f>IF(O88="",0,IF(G6&lt;&gt;"",IFERROR(MATCH(G6,'DADOS_MELHORIAS'!$BN$2:$BN$4,0),0),IF(L6&gt;0,INDEX('DADOS_MELHORIAS'!$Q$2:$Q$83,L6),0)))</f>
        <v/>
      </c>
      <c r="R88">
        <f>IF(O88="",0,Q88+3*IFERROR(VLOOKUP(SUBSTITUTE(SUBSTITUTE(SUBSTITUTE(P88,"~","~~"),"*","~*"),"?","~?"),'DADOS_CRIACAO'!$H$2:$K$20,3,FALSE),0))</f>
        <v/>
      </c>
      <c r="S88">
        <f>IF(O88="",0,IFERROR(VLOOKUP(SUBSTITUTE(SUBSTITUTE(SUBSTITUTE(P88,"~","~~"),"*","~*"),"?","~?"),'DADOS_CRIACAO'!$H$2:$K$20,4,FALSE),0))</f>
        <v/>
      </c>
      <c r="T88">
        <f>IF(O88="",0,IF(BR6="Condição",1,IF(O88="",0,IF(OR(P88="Controle",IF(L6&gt;0,INDEX('DADOS_MELHORIAS'!$T$2:$T$83,L6),0)=1),1,0))))</f>
        <v/>
      </c>
      <c r="U88">
        <f>IF(O88="","",IF(S88=1,"",O88))</f>
        <v/>
      </c>
      <c r="V88">
        <f>IF(O88="","",IF(AND(Q88=1,S88=0),O88,""))</f>
        <v/>
      </c>
      <c r="W88">
        <f>IF(O88="",0,IF(BR6="Condição",1,IF(O88="",0,IF(H6="",IF(L6&gt;0,INDEX('DADOS_MELHORIAS'!$W$2:$W$83,L6),0),IF(H6="Sim",1,0)))))</f>
        <v/>
      </c>
      <c r="X88">
        <f>IF(O88="","",IF(L6&gt;0,INDEX($X$2:$X$83,L6),D6))</f>
        <v/>
      </c>
      <c r="Y88">
        <f>IF(O88="",0,IF(L6&gt;0,INDEX('DADOS_MELHORIAS'!$Y$2:$Y$83,L6),0))</f>
        <v/>
      </c>
      <c r="AG88">
        <f>O88</f>
        <v/>
      </c>
      <c r="AH88">
        <f>P88</f>
        <v/>
      </c>
      <c r="AI88">
        <f>Q88</f>
        <v/>
      </c>
      <c r="AJ88">
        <f>T88</f>
        <v/>
      </c>
      <c r="AK88">
        <f>Y88</f>
        <v/>
      </c>
      <c r="AL88">
        <f>W88</f>
        <v/>
      </c>
      <c r="AN88">
        <f>IF(OR(P88="",P88='DADOS_INVOC'!$EL$2,P88='DADOS_INVOC'!$EM$2,P88='DADOS_INVOC'!$EN$2,P88='DADOS_INVOC'!$EO$2,P88='DADOS_INVOC'!$EP$2,P88='DADOS_INVOC'!$QV$2,P88='DADOS_INVOC'!$QW$2,P88='DADOS_INVOC'!$QX$2,P88='DADOS_INVOC'!$QY$2),O88,"")</f>
        <v/>
      </c>
      <c r="AO88">
        <f>IF(AND(Q88=1,OR(P88="",P88='DADOS_INVOC'!$EL$2,P88='DADOS_INVOC'!$EM$2,P88='DADOS_INVOC'!$EN$2,P88='DADOS_INVOC'!$EO$2,P88='DADOS_INVOC'!$EP$2,P88='DADOS_INVOC'!$QV$2,P88='DADOS_INVOC'!$QW$2,P88='DADOS_INVOC'!$QX$2,P88='DADOS_INVOC'!$QY$2)),O88,"")</f>
        <v/>
      </c>
      <c r="AP88">
        <f>IF(OR(P88="",P88='DADOS_INVOC'!$EL$3,P88='DADOS_INVOC'!$EM$3,P88='DADOS_INVOC'!$EN$3,P88='DADOS_INVOC'!$EO$3,P88='DADOS_INVOC'!$EP$3,P88='DADOS_INVOC'!$QV$3,P88='DADOS_INVOC'!$QW$3,P88='DADOS_INVOC'!$QX$3,P88='DADOS_INVOC'!$QY$3),O88,"")</f>
        <v/>
      </c>
      <c r="AQ88">
        <f>IF(AND(Q88=1,OR(P88="",P88='DADOS_INVOC'!$EL$3,P88='DADOS_INVOC'!$EM$3,P88='DADOS_INVOC'!$EN$3,P88='DADOS_INVOC'!$EO$3,P88='DADOS_INVOC'!$EP$3,P88='DADOS_INVOC'!$QV$3,P88='DADOS_INVOC'!$QW$3,P88='DADOS_INVOC'!$QX$3,P88='DADOS_INVOC'!$QY$3)),O88,"")</f>
        <v/>
      </c>
      <c r="AR88">
        <f>IF(OR(P88="",P88='DADOS_INVOC'!$EL$4,P88='DADOS_INVOC'!$EM$4,P88='DADOS_INVOC'!$EN$4,P88='DADOS_INVOC'!$EO$4,P88='DADOS_INVOC'!$EP$4,P88='DADOS_INVOC'!$QV$4,P88='DADOS_INVOC'!$QW$4,P88='DADOS_INVOC'!$QX$4,P88='DADOS_INVOC'!$QY$4),O88,"")</f>
        <v/>
      </c>
      <c r="AS88">
        <f>IF(AND(Q88=1,OR(P88="",P88='DADOS_INVOC'!$EL$4,P88='DADOS_INVOC'!$EM$4,P88='DADOS_INVOC'!$EN$4,P88='DADOS_INVOC'!$EO$4,P88='DADOS_INVOC'!$EP$4,P88='DADOS_INVOC'!$QV$4,P88='DADOS_INVOC'!$QW$4,P88='DADOS_INVOC'!$QX$4,P88='DADOS_INVOC'!$QY$4)),O88,"")</f>
        <v/>
      </c>
      <c r="AT88">
        <f>IF(OR(P88="",P88='DADOS_INVOC'!$EL$5,P88='DADOS_INVOC'!$EM$5,P88='DADOS_INVOC'!$EN$5,P88='DADOS_INVOC'!$EO$5,P88='DADOS_INVOC'!$EP$5,P88='DADOS_INVOC'!$QV$5,P88='DADOS_INVOC'!$QW$5,P88='DADOS_INVOC'!$QX$5,P88='DADOS_INVOC'!$QY$5),O88,"")</f>
        <v/>
      </c>
      <c r="AU88">
        <f>IF(AND(Q88=1,OR(P88="",P88='DADOS_INVOC'!$EL$5,P88='DADOS_INVOC'!$EM$5,P88='DADOS_INVOC'!$EN$5,P88='DADOS_INVOC'!$EO$5,P88='DADOS_INVOC'!$EP$5,P88='DADOS_INVOC'!$QV$5,P88='DADOS_INVOC'!$QW$5,P88='DADOS_INVOC'!$QX$5,P88='DADOS_INVOC'!$QY$5)),O88,"")</f>
        <v/>
      </c>
      <c r="AV88">
        <f>IF(OR(P88="",P88='DADOS_INVOC'!$EL$6,P88='DADOS_INVOC'!$EM$6,P88='DADOS_INVOC'!$EN$6,P88='DADOS_INVOC'!$EO$6,P88='DADOS_INVOC'!$EP$6,P88='DADOS_INVOC'!$QV$6,P88='DADOS_INVOC'!$QW$6,P88='DADOS_INVOC'!$QX$6,P88='DADOS_INVOC'!$QY$6),O88,"")</f>
        <v/>
      </c>
      <c r="AW88">
        <f>IF(AND(Q88=1,OR(P88="",P88='DADOS_INVOC'!$EL$6,P88='DADOS_INVOC'!$EM$6,P88='DADOS_INVOC'!$EN$6,P88='DADOS_INVOC'!$EO$6,P88='DADOS_INVOC'!$EP$6,P88='DADOS_INVOC'!$QV$6,P88='DADOS_INVOC'!$QW$6,P88='DADOS_INVOC'!$QX$6,P88='DADOS_INVOC'!$QY$6)),O88,"")</f>
        <v/>
      </c>
      <c r="AX88">
        <f>IF(OR(P88="",P88='DADOS_INVOC'!$EL$7,P88='DADOS_INVOC'!$EM$7,P88='DADOS_INVOC'!$EN$7,P88='DADOS_INVOC'!$EO$7,P88='DADOS_INVOC'!$EP$7,P88='DADOS_INVOC'!$QV$7,P88='DADOS_INVOC'!$QW$7,P88='DADOS_INVOC'!$QX$7,P88='DADOS_INVOC'!$QY$7),O88,"")</f>
        <v/>
      </c>
      <c r="AY88">
        <f>IF(AND(Q88=1,OR(P88="",P88='DADOS_INVOC'!$EL$7,P88='DADOS_INVOC'!$EM$7,P88='DADOS_INVOC'!$EN$7,P88='DADOS_INVOC'!$EO$7,P88='DADOS_INVOC'!$EP$7,P88='DADOS_INVOC'!$QV$7,P88='DADOS_INVOC'!$QW$7,P88='DADOS_INVOC'!$QX$7,P88='DADOS_INVOC'!$QY$7)),O88,"")</f>
        <v/>
      </c>
      <c r="AZ88">
        <f>IF(OR(P88="",P88='DADOS_INVOC'!$EL$8,P88='DADOS_INVOC'!$EM$8,P88='DADOS_INVOC'!$EN$8,P88='DADOS_INVOC'!$EO$8,P88='DADOS_INVOC'!$EP$8,P88='DADOS_INVOC'!$QV$8,P88='DADOS_INVOC'!$QW$8,P88='DADOS_INVOC'!$QX$8,P88='DADOS_INVOC'!$QY$8),O88,"")</f>
        <v/>
      </c>
      <c r="BA88">
        <f>IF(AND(Q88=1,OR(P88="",P88='DADOS_INVOC'!$EL$8,P88='DADOS_INVOC'!$EM$8,P88='DADOS_INVOC'!$EN$8,P88='DADOS_INVOC'!$EO$8,P88='DADOS_INVOC'!$EP$8,P88='DADOS_INVOC'!$QV$8,P88='DADOS_INVOC'!$QW$8,P88='DADOS_INVOC'!$QX$8,P88='DADOS_INVOC'!$QY$8)),O88,"")</f>
        <v/>
      </c>
      <c r="BB88">
        <f>IF(OR(P88="",P88='DADOS_INVOC'!$EL$9,P88='DADOS_INVOC'!$EM$9,P88='DADOS_INVOC'!$EN$9,P88='DADOS_INVOC'!$EO$9,P88='DADOS_INVOC'!$EP$9,P88='DADOS_INVOC'!$QV$9,P88='DADOS_INVOC'!$QW$9,P88='DADOS_INVOC'!$QX$9,P88='DADOS_INVOC'!$QY$9),O88,"")</f>
        <v/>
      </c>
      <c r="BC88">
        <f>IF(AND(Q88=1,OR(P88="",P88='DADOS_INVOC'!$EL$9,P88='DADOS_INVOC'!$EM$9,P88='DADOS_INVOC'!$EN$9,P88='DADOS_INVOC'!$EO$9,P88='DADOS_INVOC'!$EP$9,P88='DADOS_INVOC'!$QV$9,P88='DADOS_INVOC'!$QW$9,P88='DADOS_INVOC'!$QX$9,P88='DADOS_INVOC'!$QY$9)),O88,"")</f>
        <v/>
      </c>
      <c r="BD88">
        <f>IF(OR(P88="",P88='DADOS_INVOC'!$EL$10,P88='DADOS_INVOC'!$EM$10,P88='DADOS_INVOC'!$EN$10,P88='DADOS_INVOC'!$EO$10,P88='DADOS_INVOC'!$EP$10,P88='DADOS_INVOC'!$QV$10,P88='DADOS_INVOC'!$QW$10,P88='DADOS_INVOC'!$QX$10,P88='DADOS_INVOC'!$QY$10),O88,"")</f>
        <v/>
      </c>
      <c r="BE88">
        <f>IF(AND(Q88=1,OR(P88="",P88='DADOS_INVOC'!$EL$10,P88='DADOS_INVOC'!$EM$10,P88='DADOS_INVOC'!$EN$10,P88='DADOS_INVOC'!$EO$10,P88='DADOS_INVOC'!$EP$10,P88='DADOS_INVOC'!$QV$10,P88='DADOS_INVOC'!$QW$10,P88='DADOS_INVOC'!$QX$10,P88='DADOS_INVOC'!$QY$10)),O88,"")</f>
        <v/>
      </c>
      <c r="BF88">
        <f>IF(OR(P88="",P88='DADOS_INVOC'!$EL$11,P88='DADOS_INVOC'!$EM$11,P88='DADOS_INVOC'!$EN$11,P88='DADOS_INVOC'!$EO$11,P88='DADOS_INVOC'!$EP$11,P88='DADOS_INVOC'!$QV$11,P88='DADOS_INVOC'!$QW$11,P88='DADOS_INVOC'!$QX$11,P88='DADOS_INVOC'!$QY$11),O88,"")</f>
        <v/>
      </c>
      <c r="BG88">
        <f>IF(AND(Q88=1,OR(P88="",P88='DADOS_INVOC'!$EL$11,P88='DADOS_INVOC'!$EM$11,P88='DADOS_INVOC'!$EN$11,P88='DADOS_INVOC'!$EO$11,P88='DADOS_INVOC'!$EP$11,P88='DADOS_INVOC'!$QV$11,P88='DADOS_INVOC'!$QW$11,P88='DADOS_INVOC'!$QX$11,P88='DADOS_INVOC'!$QY$11)),O88,"")</f>
        <v/>
      </c>
      <c r="BH88">
        <f>IF(OR(P88="",P88='DADOS_INVOC'!$EL$12,P88='DADOS_INVOC'!$EM$12,P88='DADOS_INVOC'!$EN$12,P88='DADOS_INVOC'!$EO$12,P88='DADOS_INVOC'!$EP$12,P88='DADOS_INVOC'!$QV$12,P88='DADOS_INVOC'!$QW$12,P88='DADOS_INVOC'!$QX$12,P88='DADOS_INVOC'!$QY$12),O88,"")</f>
        <v/>
      </c>
      <c r="BI88">
        <f>IF(AND(Q88=1,OR(P88="",P88='DADOS_INVOC'!$EL$12,P88='DADOS_INVOC'!$EM$12,P88='DADOS_INVOC'!$EN$12,P88='DADOS_INVOC'!$EO$12,P88='DADOS_INVOC'!$EP$12,P88='DADOS_INVOC'!$QV$12,P88='DADOS_INVOC'!$QW$12,P88='DADOS_INVOC'!$QX$12,P88='DADOS_INVOC'!$QY$12)),O88,"")</f>
        <v/>
      </c>
      <c r="BJ88">
        <f>IF(OR(P88="",P88='DADOS_INVOC'!$EL$13,P88='DADOS_INVOC'!$EM$13,P88='DADOS_INVOC'!$EN$13,P88='DADOS_INVOC'!$EO$13,P88='DADOS_INVOC'!$EP$13,P88='DADOS_INVOC'!$QV$13,P88='DADOS_INVOC'!$QW$13,P88='DADOS_INVOC'!$QX$13,P88='DADOS_INVOC'!$QY$13),O88,"")</f>
        <v/>
      </c>
      <c r="BK88">
        <f>IF(AND(Q88=1,OR(P88="",P88='DADOS_INVOC'!$EL$13,P88='DADOS_INVOC'!$EM$13,P88='DADOS_INVOC'!$EN$13,P88='DADOS_INVOC'!$EO$13,P88='DADOS_INVOC'!$EP$13,P88='DADOS_INVOC'!$QV$13,P88='DADOS_INVOC'!$QW$13,P88='DADOS_INVOC'!$QX$13,P88='DADOS_INVOC'!$QY$13)),O88,"")</f>
        <v/>
      </c>
    </row>
    <row r="89">
      <c r="O89">
        <f>IF(AND(D7&lt;&gt;"",M7=""),D7,"")</f>
        <v/>
      </c>
      <c r="P89">
        <f>IF(O89="","",IF(AND(BR7="Condição",F7="",L7=0),"Controle",IF(O89="","",IF(F7&lt;&gt;"",IF(F7="Nenhuma","",F7),IF(L7&gt;0,INDEX($P$2:$P$83,L7),"")))))</f>
        <v/>
      </c>
      <c r="Q89">
        <f>IF(O89="",0,IF(G7&lt;&gt;"",IFERROR(MATCH(G7,'DADOS_MELHORIAS'!$BN$2:$BN$4,0),0),IF(L7&gt;0,INDEX('DADOS_MELHORIAS'!$Q$2:$Q$83,L7),0)))</f>
        <v/>
      </c>
      <c r="R89">
        <f>IF(O89="",0,Q89+3*IFERROR(VLOOKUP(SUBSTITUTE(SUBSTITUTE(SUBSTITUTE(P89,"~","~~"),"*","~*"),"?","~?"),'DADOS_CRIACAO'!$H$2:$K$20,3,FALSE),0))</f>
        <v/>
      </c>
      <c r="S89">
        <f>IF(O89="",0,IFERROR(VLOOKUP(SUBSTITUTE(SUBSTITUTE(SUBSTITUTE(P89,"~","~~"),"*","~*"),"?","~?"),'DADOS_CRIACAO'!$H$2:$K$20,4,FALSE),0))</f>
        <v/>
      </c>
      <c r="T89">
        <f>IF(O89="",0,IF(BR7="Condição",1,IF(O89="",0,IF(OR(P89="Controle",IF(L7&gt;0,INDEX('DADOS_MELHORIAS'!$T$2:$T$83,L7),0)=1),1,0))))</f>
        <v/>
      </c>
      <c r="U89">
        <f>IF(O89="","",IF(S89=1,"",O89))</f>
        <v/>
      </c>
      <c r="V89">
        <f>IF(O89="","",IF(AND(Q89=1,S89=0),O89,""))</f>
        <v/>
      </c>
      <c r="W89">
        <f>IF(O89="",0,IF(BR7="Condição",1,IF(O89="",0,IF(H7="",IF(L7&gt;0,INDEX('DADOS_MELHORIAS'!$W$2:$W$83,L7),0),IF(H7="Sim",1,0)))))</f>
        <v/>
      </c>
      <c r="X89">
        <f>IF(O89="","",IF(L7&gt;0,INDEX($X$2:$X$83,L7),D7))</f>
        <v/>
      </c>
      <c r="Y89">
        <f>IF(O89="",0,IF(L7&gt;0,INDEX('DADOS_MELHORIAS'!$Y$2:$Y$83,L7),0))</f>
        <v/>
      </c>
      <c r="AG89">
        <f>O89</f>
        <v/>
      </c>
      <c r="AH89">
        <f>P89</f>
        <v/>
      </c>
      <c r="AI89">
        <f>Q89</f>
        <v/>
      </c>
      <c r="AJ89">
        <f>T89</f>
        <v/>
      </c>
      <c r="AK89">
        <f>Y89</f>
        <v/>
      </c>
      <c r="AL89">
        <f>W89</f>
        <v/>
      </c>
      <c r="AN89">
        <f>IF(OR(P89="",P89='DADOS_INVOC'!$EL$2,P89='DADOS_INVOC'!$EM$2,P89='DADOS_INVOC'!$EN$2,P89='DADOS_INVOC'!$EO$2,P89='DADOS_INVOC'!$EP$2,P89='DADOS_INVOC'!$QV$2,P89='DADOS_INVOC'!$QW$2,P89='DADOS_INVOC'!$QX$2,P89='DADOS_INVOC'!$QY$2),O89,"")</f>
        <v/>
      </c>
      <c r="AO89">
        <f>IF(AND(Q89=1,OR(P89="",P89='DADOS_INVOC'!$EL$2,P89='DADOS_INVOC'!$EM$2,P89='DADOS_INVOC'!$EN$2,P89='DADOS_INVOC'!$EO$2,P89='DADOS_INVOC'!$EP$2,P89='DADOS_INVOC'!$QV$2,P89='DADOS_INVOC'!$QW$2,P89='DADOS_INVOC'!$QX$2,P89='DADOS_INVOC'!$QY$2)),O89,"")</f>
        <v/>
      </c>
      <c r="AP89">
        <f>IF(OR(P89="",P89='DADOS_INVOC'!$EL$3,P89='DADOS_INVOC'!$EM$3,P89='DADOS_INVOC'!$EN$3,P89='DADOS_INVOC'!$EO$3,P89='DADOS_INVOC'!$EP$3,P89='DADOS_INVOC'!$QV$3,P89='DADOS_INVOC'!$QW$3,P89='DADOS_INVOC'!$QX$3,P89='DADOS_INVOC'!$QY$3),O89,"")</f>
        <v/>
      </c>
      <c r="AQ89">
        <f>IF(AND(Q89=1,OR(P89="",P89='DADOS_INVOC'!$EL$3,P89='DADOS_INVOC'!$EM$3,P89='DADOS_INVOC'!$EN$3,P89='DADOS_INVOC'!$EO$3,P89='DADOS_INVOC'!$EP$3,P89='DADOS_INVOC'!$QV$3,P89='DADOS_INVOC'!$QW$3,P89='DADOS_INVOC'!$QX$3,P89='DADOS_INVOC'!$QY$3)),O89,"")</f>
        <v/>
      </c>
      <c r="AR89">
        <f>IF(OR(P89="",P89='DADOS_INVOC'!$EL$4,P89='DADOS_INVOC'!$EM$4,P89='DADOS_INVOC'!$EN$4,P89='DADOS_INVOC'!$EO$4,P89='DADOS_INVOC'!$EP$4,P89='DADOS_INVOC'!$QV$4,P89='DADOS_INVOC'!$QW$4,P89='DADOS_INVOC'!$QX$4,P89='DADOS_INVOC'!$QY$4),O89,"")</f>
        <v/>
      </c>
      <c r="AS89">
        <f>IF(AND(Q89=1,OR(P89="",P89='DADOS_INVOC'!$EL$4,P89='DADOS_INVOC'!$EM$4,P89='DADOS_INVOC'!$EN$4,P89='DADOS_INVOC'!$EO$4,P89='DADOS_INVOC'!$EP$4,P89='DADOS_INVOC'!$QV$4,P89='DADOS_INVOC'!$QW$4,P89='DADOS_INVOC'!$QX$4,P89='DADOS_INVOC'!$QY$4)),O89,"")</f>
        <v/>
      </c>
      <c r="AT89">
        <f>IF(OR(P89="",P89='DADOS_INVOC'!$EL$5,P89='DADOS_INVOC'!$EM$5,P89='DADOS_INVOC'!$EN$5,P89='DADOS_INVOC'!$EO$5,P89='DADOS_INVOC'!$EP$5,P89='DADOS_INVOC'!$QV$5,P89='DADOS_INVOC'!$QW$5,P89='DADOS_INVOC'!$QX$5,P89='DADOS_INVOC'!$QY$5),O89,"")</f>
        <v/>
      </c>
      <c r="AU89">
        <f>IF(AND(Q89=1,OR(P89="",P89='DADOS_INVOC'!$EL$5,P89='DADOS_INVOC'!$EM$5,P89='DADOS_INVOC'!$EN$5,P89='DADOS_INVOC'!$EO$5,P89='DADOS_INVOC'!$EP$5,P89='DADOS_INVOC'!$QV$5,P89='DADOS_INVOC'!$QW$5,P89='DADOS_INVOC'!$QX$5,P89='DADOS_INVOC'!$QY$5)),O89,"")</f>
        <v/>
      </c>
      <c r="AV89">
        <f>IF(OR(P89="",P89='DADOS_INVOC'!$EL$6,P89='DADOS_INVOC'!$EM$6,P89='DADOS_INVOC'!$EN$6,P89='DADOS_INVOC'!$EO$6,P89='DADOS_INVOC'!$EP$6,P89='DADOS_INVOC'!$QV$6,P89='DADOS_INVOC'!$QW$6,P89='DADOS_INVOC'!$QX$6,P89='DADOS_INVOC'!$QY$6),O89,"")</f>
        <v/>
      </c>
      <c r="AW89">
        <f>IF(AND(Q89=1,OR(P89="",P89='DADOS_INVOC'!$EL$6,P89='DADOS_INVOC'!$EM$6,P89='DADOS_INVOC'!$EN$6,P89='DADOS_INVOC'!$EO$6,P89='DADOS_INVOC'!$EP$6,P89='DADOS_INVOC'!$QV$6,P89='DADOS_INVOC'!$QW$6,P89='DADOS_INVOC'!$QX$6,P89='DADOS_INVOC'!$QY$6)),O89,"")</f>
        <v/>
      </c>
      <c r="AX89">
        <f>IF(OR(P89="",P89='DADOS_INVOC'!$EL$7,P89='DADOS_INVOC'!$EM$7,P89='DADOS_INVOC'!$EN$7,P89='DADOS_INVOC'!$EO$7,P89='DADOS_INVOC'!$EP$7,P89='DADOS_INVOC'!$QV$7,P89='DADOS_INVOC'!$QW$7,P89='DADOS_INVOC'!$QX$7,P89='DADOS_INVOC'!$QY$7),O89,"")</f>
        <v/>
      </c>
      <c r="AY89">
        <f>IF(AND(Q89=1,OR(P89="",P89='DADOS_INVOC'!$EL$7,P89='DADOS_INVOC'!$EM$7,P89='DADOS_INVOC'!$EN$7,P89='DADOS_INVOC'!$EO$7,P89='DADOS_INVOC'!$EP$7,P89='DADOS_INVOC'!$QV$7,P89='DADOS_INVOC'!$QW$7,P89='DADOS_INVOC'!$QX$7,P89='DADOS_INVOC'!$QY$7)),O89,"")</f>
        <v/>
      </c>
      <c r="AZ89">
        <f>IF(OR(P89="",P89='DADOS_INVOC'!$EL$8,P89='DADOS_INVOC'!$EM$8,P89='DADOS_INVOC'!$EN$8,P89='DADOS_INVOC'!$EO$8,P89='DADOS_INVOC'!$EP$8,P89='DADOS_INVOC'!$QV$8,P89='DADOS_INVOC'!$QW$8,P89='DADOS_INVOC'!$QX$8,P89='DADOS_INVOC'!$QY$8),O89,"")</f>
        <v/>
      </c>
      <c r="BA89">
        <f>IF(AND(Q89=1,OR(P89="",P89='DADOS_INVOC'!$EL$8,P89='DADOS_INVOC'!$EM$8,P89='DADOS_INVOC'!$EN$8,P89='DADOS_INVOC'!$EO$8,P89='DADOS_INVOC'!$EP$8,P89='DADOS_INVOC'!$QV$8,P89='DADOS_INVOC'!$QW$8,P89='DADOS_INVOC'!$QX$8,P89='DADOS_INVOC'!$QY$8)),O89,"")</f>
        <v/>
      </c>
      <c r="BB89">
        <f>IF(OR(P89="",P89='DADOS_INVOC'!$EL$9,P89='DADOS_INVOC'!$EM$9,P89='DADOS_INVOC'!$EN$9,P89='DADOS_INVOC'!$EO$9,P89='DADOS_INVOC'!$EP$9,P89='DADOS_INVOC'!$QV$9,P89='DADOS_INVOC'!$QW$9,P89='DADOS_INVOC'!$QX$9,P89='DADOS_INVOC'!$QY$9),O89,"")</f>
        <v/>
      </c>
      <c r="BC89">
        <f>IF(AND(Q89=1,OR(P89="",P89='DADOS_INVOC'!$EL$9,P89='DADOS_INVOC'!$EM$9,P89='DADOS_INVOC'!$EN$9,P89='DADOS_INVOC'!$EO$9,P89='DADOS_INVOC'!$EP$9,P89='DADOS_INVOC'!$QV$9,P89='DADOS_INVOC'!$QW$9,P89='DADOS_INVOC'!$QX$9,P89='DADOS_INVOC'!$QY$9)),O89,"")</f>
        <v/>
      </c>
      <c r="BD89">
        <f>IF(OR(P89="",P89='DADOS_INVOC'!$EL$10,P89='DADOS_INVOC'!$EM$10,P89='DADOS_INVOC'!$EN$10,P89='DADOS_INVOC'!$EO$10,P89='DADOS_INVOC'!$EP$10,P89='DADOS_INVOC'!$QV$10,P89='DADOS_INVOC'!$QW$10,P89='DADOS_INVOC'!$QX$10,P89='DADOS_INVOC'!$QY$10),O89,"")</f>
        <v/>
      </c>
      <c r="BE89">
        <f>IF(AND(Q89=1,OR(P89="",P89='DADOS_INVOC'!$EL$10,P89='DADOS_INVOC'!$EM$10,P89='DADOS_INVOC'!$EN$10,P89='DADOS_INVOC'!$EO$10,P89='DADOS_INVOC'!$EP$10,P89='DADOS_INVOC'!$QV$10,P89='DADOS_INVOC'!$QW$10,P89='DADOS_INVOC'!$QX$10,P89='DADOS_INVOC'!$QY$10)),O89,"")</f>
        <v/>
      </c>
      <c r="BF89">
        <f>IF(OR(P89="",P89='DADOS_INVOC'!$EL$11,P89='DADOS_INVOC'!$EM$11,P89='DADOS_INVOC'!$EN$11,P89='DADOS_INVOC'!$EO$11,P89='DADOS_INVOC'!$EP$11,P89='DADOS_INVOC'!$QV$11,P89='DADOS_INVOC'!$QW$11,P89='DADOS_INVOC'!$QX$11,P89='DADOS_INVOC'!$QY$11),O89,"")</f>
        <v/>
      </c>
      <c r="BG89">
        <f>IF(AND(Q89=1,OR(P89="",P89='DADOS_INVOC'!$EL$11,P89='DADOS_INVOC'!$EM$11,P89='DADOS_INVOC'!$EN$11,P89='DADOS_INVOC'!$EO$11,P89='DADOS_INVOC'!$EP$11,P89='DADOS_INVOC'!$QV$11,P89='DADOS_INVOC'!$QW$11,P89='DADOS_INVOC'!$QX$11,P89='DADOS_INVOC'!$QY$11)),O89,"")</f>
        <v/>
      </c>
      <c r="BH89">
        <f>IF(OR(P89="",P89='DADOS_INVOC'!$EL$12,P89='DADOS_INVOC'!$EM$12,P89='DADOS_INVOC'!$EN$12,P89='DADOS_INVOC'!$EO$12,P89='DADOS_INVOC'!$EP$12,P89='DADOS_INVOC'!$QV$12,P89='DADOS_INVOC'!$QW$12,P89='DADOS_INVOC'!$QX$12,P89='DADOS_INVOC'!$QY$12),O89,"")</f>
        <v/>
      </c>
      <c r="BI89">
        <f>IF(AND(Q89=1,OR(P89="",P89='DADOS_INVOC'!$EL$12,P89='DADOS_INVOC'!$EM$12,P89='DADOS_INVOC'!$EN$12,P89='DADOS_INVOC'!$EO$12,P89='DADOS_INVOC'!$EP$12,P89='DADOS_INVOC'!$QV$12,P89='DADOS_INVOC'!$QW$12,P89='DADOS_INVOC'!$QX$12,P89='DADOS_INVOC'!$QY$12)),O89,"")</f>
        <v/>
      </c>
      <c r="BJ89">
        <f>IF(OR(P89="",P89='DADOS_INVOC'!$EL$13,P89='DADOS_INVOC'!$EM$13,P89='DADOS_INVOC'!$EN$13,P89='DADOS_INVOC'!$EO$13,P89='DADOS_INVOC'!$EP$13,P89='DADOS_INVOC'!$QV$13,P89='DADOS_INVOC'!$QW$13,P89='DADOS_INVOC'!$QX$13,P89='DADOS_INVOC'!$QY$13),O89,"")</f>
        <v/>
      </c>
      <c r="BK89">
        <f>IF(AND(Q89=1,OR(P89="",P89='DADOS_INVOC'!$EL$13,P89='DADOS_INVOC'!$EM$13,P89='DADOS_INVOC'!$EN$13,P89='DADOS_INVOC'!$EO$13,P89='DADOS_INVOC'!$EP$13,P89='DADOS_INVOC'!$QV$13,P89='DADOS_INVOC'!$QW$13,P89='DADOS_INVOC'!$QX$13,P89='DADOS_INVOC'!$QY$13)),O89,"")</f>
        <v/>
      </c>
    </row>
    <row r="90">
      <c r="O90">
        <f>IF(AND(D8&lt;&gt;"",M8=""),D8,"")</f>
        <v/>
      </c>
      <c r="P90">
        <f>IF(O90="","",IF(AND(BR8="Condição",F8="",L8=0),"Controle",IF(O90="","",IF(F8&lt;&gt;"",IF(F8="Nenhuma","",F8),IF(L8&gt;0,INDEX($P$2:$P$83,L8),"")))))</f>
        <v/>
      </c>
      <c r="Q90">
        <f>IF(O90="",0,IF(G8&lt;&gt;"",IFERROR(MATCH(G8,'DADOS_MELHORIAS'!$BN$2:$BN$4,0),0),IF(L8&gt;0,INDEX('DADOS_MELHORIAS'!$Q$2:$Q$83,L8),0)))</f>
        <v/>
      </c>
      <c r="R90">
        <f>IF(O90="",0,Q90+3*IFERROR(VLOOKUP(SUBSTITUTE(SUBSTITUTE(SUBSTITUTE(P90,"~","~~"),"*","~*"),"?","~?"),'DADOS_CRIACAO'!$H$2:$K$20,3,FALSE),0))</f>
        <v/>
      </c>
      <c r="S90">
        <f>IF(O90="",0,IFERROR(VLOOKUP(SUBSTITUTE(SUBSTITUTE(SUBSTITUTE(P90,"~","~~"),"*","~*"),"?","~?"),'DADOS_CRIACAO'!$H$2:$K$20,4,FALSE),0))</f>
        <v/>
      </c>
      <c r="T90">
        <f>IF(O90="",0,IF(BR8="Condição",1,IF(O90="",0,IF(OR(P90="Controle",IF(L8&gt;0,INDEX('DADOS_MELHORIAS'!$T$2:$T$83,L8),0)=1),1,0))))</f>
        <v/>
      </c>
      <c r="U90">
        <f>IF(O90="","",IF(S90=1,"",O90))</f>
        <v/>
      </c>
      <c r="V90">
        <f>IF(O90="","",IF(AND(Q90=1,S90=0),O90,""))</f>
        <v/>
      </c>
      <c r="W90">
        <f>IF(O90="",0,IF(BR8="Condição",1,IF(O90="",0,IF(H8="",IF(L8&gt;0,INDEX('DADOS_MELHORIAS'!$W$2:$W$83,L8),0),IF(H8="Sim",1,0)))))</f>
        <v/>
      </c>
      <c r="X90">
        <f>IF(O90="","",IF(L8&gt;0,INDEX($X$2:$X$83,L8),D8))</f>
        <v/>
      </c>
      <c r="Y90">
        <f>IF(O90="",0,IF(L8&gt;0,INDEX('DADOS_MELHORIAS'!$Y$2:$Y$83,L8),0))</f>
        <v/>
      </c>
      <c r="AG90">
        <f>O90</f>
        <v/>
      </c>
      <c r="AH90">
        <f>P90</f>
        <v/>
      </c>
      <c r="AI90">
        <f>Q90</f>
        <v/>
      </c>
      <c r="AJ90">
        <f>T90</f>
        <v/>
      </c>
      <c r="AK90">
        <f>Y90</f>
        <v/>
      </c>
      <c r="AL90">
        <f>W90</f>
        <v/>
      </c>
      <c r="AN90">
        <f>IF(OR(P90="",P90='DADOS_INVOC'!$EL$2,P90='DADOS_INVOC'!$EM$2,P90='DADOS_INVOC'!$EN$2,P90='DADOS_INVOC'!$EO$2,P90='DADOS_INVOC'!$EP$2,P90='DADOS_INVOC'!$QV$2,P90='DADOS_INVOC'!$QW$2,P90='DADOS_INVOC'!$QX$2,P90='DADOS_INVOC'!$QY$2),O90,"")</f>
        <v/>
      </c>
      <c r="AO90">
        <f>IF(AND(Q90=1,OR(P90="",P90='DADOS_INVOC'!$EL$2,P90='DADOS_INVOC'!$EM$2,P90='DADOS_INVOC'!$EN$2,P90='DADOS_INVOC'!$EO$2,P90='DADOS_INVOC'!$EP$2,P90='DADOS_INVOC'!$QV$2,P90='DADOS_INVOC'!$QW$2,P90='DADOS_INVOC'!$QX$2,P90='DADOS_INVOC'!$QY$2)),O90,"")</f>
        <v/>
      </c>
      <c r="AP90">
        <f>IF(OR(P90="",P90='DADOS_INVOC'!$EL$3,P90='DADOS_INVOC'!$EM$3,P90='DADOS_INVOC'!$EN$3,P90='DADOS_INVOC'!$EO$3,P90='DADOS_INVOC'!$EP$3,P90='DADOS_INVOC'!$QV$3,P90='DADOS_INVOC'!$QW$3,P90='DADOS_INVOC'!$QX$3,P90='DADOS_INVOC'!$QY$3),O90,"")</f>
        <v/>
      </c>
      <c r="AQ90">
        <f>IF(AND(Q90=1,OR(P90="",P90='DADOS_INVOC'!$EL$3,P90='DADOS_INVOC'!$EM$3,P90='DADOS_INVOC'!$EN$3,P90='DADOS_INVOC'!$EO$3,P90='DADOS_INVOC'!$EP$3,P90='DADOS_INVOC'!$QV$3,P90='DADOS_INVOC'!$QW$3,P90='DADOS_INVOC'!$QX$3,P90='DADOS_INVOC'!$QY$3)),O90,"")</f>
        <v/>
      </c>
      <c r="AR90">
        <f>IF(OR(P90="",P90='DADOS_INVOC'!$EL$4,P90='DADOS_INVOC'!$EM$4,P90='DADOS_INVOC'!$EN$4,P90='DADOS_INVOC'!$EO$4,P90='DADOS_INVOC'!$EP$4,P90='DADOS_INVOC'!$QV$4,P90='DADOS_INVOC'!$QW$4,P90='DADOS_INVOC'!$QX$4,P90='DADOS_INVOC'!$QY$4),O90,"")</f>
        <v/>
      </c>
      <c r="AS90">
        <f>IF(AND(Q90=1,OR(P90="",P90='DADOS_INVOC'!$EL$4,P90='DADOS_INVOC'!$EM$4,P90='DADOS_INVOC'!$EN$4,P90='DADOS_INVOC'!$EO$4,P90='DADOS_INVOC'!$EP$4,P90='DADOS_INVOC'!$QV$4,P90='DADOS_INVOC'!$QW$4,P90='DADOS_INVOC'!$QX$4,P90='DADOS_INVOC'!$QY$4)),O90,"")</f>
        <v/>
      </c>
      <c r="AT90">
        <f>IF(OR(P90="",P90='DADOS_INVOC'!$EL$5,P90='DADOS_INVOC'!$EM$5,P90='DADOS_INVOC'!$EN$5,P90='DADOS_INVOC'!$EO$5,P90='DADOS_INVOC'!$EP$5,P90='DADOS_INVOC'!$QV$5,P90='DADOS_INVOC'!$QW$5,P90='DADOS_INVOC'!$QX$5,P90='DADOS_INVOC'!$QY$5),O90,"")</f>
        <v/>
      </c>
      <c r="AU90">
        <f>IF(AND(Q90=1,OR(P90="",P90='DADOS_INVOC'!$EL$5,P90='DADOS_INVOC'!$EM$5,P90='DADOS_INVOC'!$EN$5,P90='DADOS_INVOC'!$EO$5,P90='DADOS_INVOC'!$EP$5,P90='DADOS_INVOC'!$QV$5,P90='DADOS_INVOC'!$QW$5,P90='DADOS_INVOC'!$QX$5,P90='DADOS_INVOC'!$QY$5)),O90,"")</f>
        <v/>
      </c>
      <c r="AV90">
        <f>IF(OR(P90="",P90='DADOS_INVOC'!$EL$6,P90='DADOS_INVOC'!$EM$6,P90='DADOS_INVOC'!$EN$6,P90='DADOS_INVOC'!$EO$6,P90='DADOS_INVOC'!$EP$6,P90='DADOS_INVOC'!$QV$6,P90='DADOS_INVOC'!$QW$6,P90='DADOS_INVOC'!$QX$6,P90='DADOS_INVOC'!$QY$6),O90,"")</f>
        <v/>
      </c>
      <c r="AW90">
        <f>IF(AND(Q90=1,OR(P90="",P90='DADOS_INVOC'!$EL$6,P90='DADOS_INVOC'!$EM$6,P90='DADOS_INVOC'!$EN$6,P90='DADOS_INVOC'!$EO$6,P90='DADOS_INVOC'!$EP$6,P90='DADOS_INVOC'!$QV$6,P90='DADOS_INVOC'!$QW$6,P90='DADOS_INVOC'!$QX$6,P90='DADOS_INVOC'!$QY$6)),O90,"")</f>
        <v/>
      </c>
      <c r="AX90">
        <f>IF(OR(P90="",P90='DADOS_INVOC'!$EL$7,P90='DADOS_INVOC'!$EM$7,P90='DADOS_INVOC'!$EN$7,P90='DADOS_INVOC'!$EO$7,P90='DADOS_INVOC'!$EP$7,P90='DADOS_INVOC'!$QV$7,P90='DADOS_INVOC'!$QW$7,P90='DADOS_INVOC'!$QX$7,P90='DADOS_INVOC'!$QY$7),O90,"")</f>
        <v/>
      </c>
      <c r="AY90">
        <f>IF(AND(Q90=1,OR(P90="",P90='DADOS_INVOC'!$EL$7,P90='DADOS_INVOC'!$EM$7,P90='DADOS_INVOC'!$EN$7,P90='DADOS_INVOC'!$EO$7,P90='DADOS_INVOC'!$EP$7,P90='DADOS_INVOC'!$QV$7,P90='DADOS_INVOC'!$QW$7,P90='DADOS_INVOC'!$QX$7,P90='DADOS_INVOC'!$QY$7)),O90,"")</f>
        <v/>
      </c>
      <c r="AZ90">
        <f>IF(OR(P90="",P90='DADOS_INVOC'!$EL$8,P90='DADOS_INVOC'!$EM$8,P90='DADOS_INVOC'!$EN$8,P90='DADOS_INVOC'!$EO$8,P90='DADOS_INVOC'!$EP$8,P90='DADOS_INVOC'!$QV$8,P90='DADOS_INVOC'!$QW$8,P90='DADOS_INVOC'!$QX$8,P90='DADOS_INVOC'!$QY$8),O90,"")</f>
        <v/>
      </c>
      <c r="BA90">
        <f>IF(AND(Q90=1,OR(P90="",P90='DADOS_INVOC'!$EL$8,P90='DADOS_INVOC'!$EM$8,P90='DADOS_INVOC'!$EN$8,P90='DADOS_INVOC'!$EO$8,P90='DADOS_INVOC'!$EP$8,P90='DADOS_INVOC'!$QV$8,P90='DADOS_INVOC'!$QW$8,P90='DADOS_INVOC'!$QX$8,P90='DADOS_INVOC'!$QY$8)),O90,"")</f>
        <v/>
      </c>
      <c r="BB90">
        <f>IF(OR(P90="",P90='DADOS_INVOC'!$EL$9,P90='DADOS_INVOC'!$EM$9,P90='DADOS_INVOC'!$EN$9,P90='DADOS_INVOC'!$EO$9,P90='DADOS_INVOC'!$EP$9,P90='DADOS_INVOC'!$QV$9,P90='DADOS_INVOC'!$QW$9,P90='DADOS_INVOC'!$QX$9,P90='DADOS_INVOC'!$QY$9),O90,"")</f>
        <v/>
      </c>
      <c r="BC90">
        <f>IF(AND(Q90=1,OR(P90="",P90='DADOS_INVOC'!$EL$9,P90='DADOS_INVOC'!$EM$9,P90='DADOS_INVOC'!$EN$9,P90='DADOS_INVOC'!$EO$9,P90='DADOS_INVOC'!$EP$9,P90='DADOS_INVOC'!$QV$9,P90='DADOS_INVOC'!$QW$9,P90='DADOS_INVOC'!$QX$9,P90='DADOS_INVOC'!$QY$9)),O90,"")</f>
        <v/>
      </c>
      <c r="BD90">
        <f>IF(OR(P90="",P90='DADOS_INVOC'!$EL$10,P90='DADOS_INVOC'!$EM$10,P90='DADOS_INVOC'!$EN$10,P90='DADOS_INVOC'!$EO$10,P90='DADOS_INVOC'!$EP$10,P90='DADOS_INVOC'!$QV$10,P90='DADOS_INVOC'!$QW$10,P90='DADOS_INVOC'!$QX$10,P90='DADOS_INVOC'!$QY$10),O90,"")</f>
        <v/>
      </c>
      <c r="BE90">
        <f>IF(AND(Q90=1,OR(P90="",P90='DADOS_INVOC'!$EL$10,P90='DADOS_INVOC'!$EM$10,P90='DADOS_INVOC'!$EN$10,P90='DADOS_INVOC'!$EO$10,P90='DADOS_INVOC'!$EP$10,P90='DADOS_INVOC'!$QV$10,P90='DADOS_INVOC'!$QW$10,P90='DADOS_INVOC'!$QX$10,P90='DADOS_INVOC'!$QY$10)),O90,"")</f>
        <v/>
      </c>
      <c r="BF90">
        <f>IF(OR(P90="",P90='DADOS_INVOC'!$EL$11,P90='DADOS_INVOC'!$EM$11,P90='DADOS_INVOC'!$EN$11,P90='DADOS_INVOC'!$EO$11,P90='DADOS_INVOC'!$EP$11,P90='DADOS_INVOC'!$QV$11,P90='DADOS_INVOC'!$QW$11,P90='DADOS_INVOC'!$QX$11,P90='DADOS_INVOC'!$QY$11),O90,"")</f>
        <v/>
      </c>
      <c r="BG90">
        <f>IF(AND(Q90=1,OR(P90="",P90='DADOS_INVOC'!$EL$11,P90='DADOS_INVOC'!$EM$11,P90='DADOS_INVOC'!$EN$11,P90='DADOS_INVOC'!$EO$11,P90='DADOS_INVOC'!$EP$11,P90='DADOS_INVOC'!$QV$11,P90='DADOS_INVOC'!$QW$11,P90='DADOS_INVOC'!$QX$11,P90='DADOS_INVOC'!$QY$11)),O90,"")</f>
        <v/>
      </c>
      <c r="BH90">
        <f>IF(OR(P90="",P90='DADOS_INVOC'!$EL$12,P90='DADOS_INVOC'!$EM$12,P90='DADOS_INVOC'!$EN$12,P90='DADOS_INVOC'!$EO$12,P90='DADOS_INVOC'!$EP$12,P90='DADOS_INVOC'!$QV$12,P90='DADOS_INVOC'!$QW$12,P90='DADOS_INVOC'!$QX$12,P90='DADOS_INVOC'!$QY$12),O90,"")</f>
        <v/>
      </c>
      <c r="BI90">
        <f>IF(AND(Q90=1,OR(P90="",P90='DADOS_INVOC'!$EL$12,P90='DADOS_INVOC'!$EM$12,P90='DADOS_INVOC'!$EN$12,P90='DADOS_INVOC'!$EO$12,P90='DADOS_INVOC'!$EP$12,P90='DADOS_INVOC'!$QV$12,P90='DADOS_INVOC'!$QW$12,P90='DADOS_INVOC'!$QX$12,P90='DADOS_INVOC'!$QY$12)),O90,"")</f>
        <v/>
      </c>
      <c r="BJ90">
        <f>IF(OR(P90="",P90='DADOS_INVOC'!$EL$13,P90='DADOS_INVOC'!$EM$13,P90='DADOS_INVOC'!$EN$13,P90='DADOS_INVOC'!$EO$13,P90='DADOS_INVOC'!$EP$13,P90='DADOS_INVOC'!$QV$13,P90='DADOS_INVOC'!$QW$13,P90='DADOS_INVOC'!$QX$13,P90='DADOS_INVOC'!$QY$13),O90,"")</f>
        <v/>
      </c>
      <c r="BK90">
        <f>IF(AND(Q90=1,OR(P90="",P90='DADOS_INVOC'!$EL$13,P90='DADOS_INVOC'!$EM$13,P90='DADOS_INVOC'!$EN$13,P90='DADOS_INVOC'!$EO$13,P90='DADOS_INVOC'!$EP$13,P90='DADOS_INVOC'!$QV$13,P90='DADOS_INVOC'!$QW$13,P90='DADOS_INVOC'!$QX$13,P90='DADOS_INVOC'!$QY$13)),O90,"")</f>
        <v/>
      </c>
    </row>
    <row r="91">
      <c r="O91">
        <f>IF(AND(D9&lt;&gt;"",M9=""),D9,"")</f>
        <v/>
      </c>
      <c r="P91">
        <f>IF(O91="","",IF(AND(BR9="Condição",F9="",L9=0),"Controle",IF(O91="","",IF(F9&lt;&gt;"",IF(F9="Nenhuma","",F9),IF(L9&gt;0,INDEX($P$2:$P$83,L9),"")))))</f>
        <v/>
      </c>
      <c r="Q91">
        <f>IF(O91="",0,IF(G9&lt;&gt;"",IFERROR(MATCH(G9,'DADOS_MELHORIAS'!$BN$2:$BN$4,0),0),IF(L9&gt;0,INDEX('DADOS_MELHORIAS'!$Q$2:$Q$83,L9),0)))</f>
        <v/>
      </c>
      <c r="R91">
        <f>IF(O91="",0,Q91+3*IFERROR(VLOOKUP(SUBSTITUTE(SUBSTITUTE(SUBSTITUTE(P91,"~","~~"),"*","~*"),"?","~?"),'DADOS_CRIACAO'!$H$2:$K$20,3,FALSE),0))</f>
        <v/>
      </c>
      <c r="S91">
        <f>IF(O91="",0,IFERROR(VLOOKUP(SUBSTITUTE(SUBSTITUTE(SUBSTITUTE(P91,"~","~~"),"*","~*"),"?","~?"),'DADOS_CRIACAO'!$H$2:$K$20,4,FALSE),0))</f>
        <v/>
      </c>
      <c r="T91">
        <f>IF(O91="",0,IF(BR9="Condição",1,IF(O91="",0,IF(OR(P91="Controle",IF(L9&gt;0,INDEX('DADOS_MELHORIAS'!$T$2:$T$83,L9),0)=1),1,0))))</f>
        <v/>
      </c>
      <c r="U91">
        <f>IF(O91="","",IF(S91=1,"",O91))</f>
        <v/>
      </c>
      <c r="V91">
        <f>IF(O91="","",IF(AND(Q91=1,S91=0),O91,""))</f>
        <v/>
      </c>
      <c r="W91">
        <f>IF(O91="",0,IF(BR9="Condição",1,IF(O91="",0,IF(H9="",IF(L9&gt;0,INDEX('DADOS_MELHORIAS'!$W$2:$W$83,L9),0),IF(H9="Sim",1,0)))))</f>
        <v/>
      </c>
      <c r="X91">
        <f>IF(O91="","",IF(L9&gt;0,INDEX($X$2:$X$83,L9),D9))</f>
        <v/>
      </c>
      <c r="Y91">
        <f>IF(O91="",0,IF(L9&gt;0,INDEX('DADOS_MELHORIAS'!$Y$2:$Y$83,L9),0))</f>
        <v/>
      </c>
      <c r="AG91">
        <f>O91</f>
        <v/>
      </c>
      <c r="AH91">
        <f>P91</f>
        <v/>
      </c>
      <c r="AI91">
        <f>Q91</f>
        <v/>
      </c>
      <c r="AJ91">
        <f>T91</f>
        <v/>
      </c>
      <c r="AK91">
        <f>Y91</f>
        <v/>
      </c>
      <c r="AL91">
        <f>W91</f>
        <v/>
      </c>
      <c r="AN91">
        <f>IF(OR(P91="",P91='DADOS_INVOC'!$EL$2,P91='DADOS_INVOC'!$EM$2,P91='DADOS_INVOC'!$EN$2,P91='DADOS_INVOC'!$EO$2,P91='DADOS_INVOC'!$EP$2,P91='DADOS_INVOC'!$QV$2,P91='DADOS_INVOC'!$QW$2,P91='DADOS_INVOC'!$QX$2,P91='DADOS_INVOC'!$QY$2),O91,"")</f>
        <v/>
      </c>
      <c r="AO91">
        <f>IF(AND(Q91=1,OR(P91="",P91='DADOS_INVOC'!$EL$2,P91='DADOS_INVOC'!$EM$2,P91='DADOS_INVOC'!$EN$2,P91='DADOS_INVOC'!$EO$2,P91='DADOS_INVOC'!$EP$2,P91='DADOS_INVOC'!$QV$2,P91='DADOS_INVOC'!$QW$2,P91='DADOS_INVOC'!$QX$2,P91='DADOS_INVOC'!$QY$2)),O91,"")</f>
        <v/>
      </c>
      <c r="AP91">
        <f>IF(OR(P91="",P91='DADOS_INVOC'!$EL$3,P91='DADOS_INVOC'!$EM$3,P91='DADOS_INVOC'!$EN$3,P91='DADOS_INVOC'!$EO$3,P91='DADOS_INVOC'!$EP$3,P91='DADOS_INVOC'!$QV$3,P91='DADOS_INVOC'!$QW$3,P91='DADOS_INVOC'!$QX$3,P91='DADOS_INVOC'!$QY$3),O91,"")</f>
        <v/>
      </c>
      <c r="AQ91">
        <f>IF(AND(Q91=1,OR(P91="",P91='DADOS_INVOC'!$EL$3,P91='DADOS_INVOC'!$EM$3,P91='DADOS_INVOC'!$EN$3,P91='DADOS_INVOC'!$EO$3,P91='DADOS_INVOC'!$EP$3,P91='DADOS_INVOC'!$QV$3,P91='DADOS_INVOC'!$QW$3,P91='DADOS_INVOC'!$QX$3,P91='DADOS_INVOC'!$QY$3)),O91,"")</f>
        <v/>
      </c>
      <c r="AR91">
        <f>IF(OR(P91="",P91='DADOS_INVOC'!$EL$4,P91='DADOS_INVOC'!$EM$4,P91='DADOS_INVOC'!$EN$4,P91='DADOS_INVOC'!$EO$4,P91='DADOS_INVOC'!$EP$4,P91='DADOS_INVOC'!$QV$4,P91='DADOS_INVOC'!$QW$4,P91='DADOS_INVOC'!$QX$4,P91='DADOS_INVOC'!$QY$4),O91,"")</f>
        <v/>
      </c>
      <c r="AS91">
        <f>IF(AND(Q91=1,OR(P91="",P91='DADOS_INVOC'!$EL$4,P91='DADOS_INVOC'!$EM$4,P91='DADOS_INVOC'!$EN$4,P91='DADOS_INVOC'!$EO$4,P91='DADOS_INVOC'!$EP$4,P91='DADOS_INVOC'!$QV$4,P91='DADOS_INVOC'!$QW$4,P91='DADOS_INVOC'!$QX$4,P91='DADOS_INVOC'!$QY$4)),O91,"")</f>
        <v/>
      </c>
      <c r="AT91">
        <f>IF(OR(P91="",P91='DADOS_INVOC'!$EL$5,P91='DADOS_INVOC'!$EM$5,P91='DADOS_INVOC'!$EN$5,P91='DADOS_INVOC'!$EO$5,P91='DADOS_INVOC'!$EP$5,P91='DADOS_INVOC'!$QV$5,P91='DADOS_INVOC'!$QW$5,P91='DADOS_INVOC'!$QX$5,P91='DADOS_INVOC'!$QY$5),O91,"")</f>
        <v/>
      </c>
      <c r="AU91">
        <f>IF(AND(Q91=1,OR(P91="",P91='DADOS_INVOC'!$EL$5,P91='DADOS_INVOC'!$EM$5,P91='DADOS_INVOC'!$EN$5,P91='DADOS_INVOC'!$EO$5,P91='DADOS_INVOC'!$EP$5,P91='DADOS_INVOC'!$QV$5,P91='DADOS_INVOC'!$QW$5,P91='DADOS_INVOC'!$QX$5,P91='DADOS_INVOC'!$QY$5)),O91,"")</f>
        <v/>
      </c>
      <c r="AV91">
        <f>IF(OR(P91="",P91='DADOS_INVOC'!$EL$6,P91='DADOS_INVOC'!$EM$6,P91='DADOS_INVOC'!$EN$6,P91='DADOS_INVOC'!$EO$6,P91='DADOS_INVOC'!$EP$6,P91='DADOS_INVOC'!$QV$6,P91='DADOS_INVOC'!$QW$6,P91='DADOS_INVOC'!$QX$6,P91='DADOS_INVOC'!$QY$6),O91,"")</f>
        <v/>
      </c>
      <c r="AW91">
        <f>IF(AND(Q91=1,OR(P91="",P91='DADOS_INVOC'!$EL$6,P91='DADOS_INVOC'!$EM$6,P91='DADOS_INVOC'!$EN$6,P91='DADOS_INVOC'!$EO$6,P91='DADOS_INVOC'!$EP$6,P91='DADOS_INVOC'!$QV$6,P91='DADOS_INVOC'!$QW$6,P91='DADOS_INVOC'!$QX$6,P91='DADOS_INVOC'!$QY$6)),O91,"")</f>
        <v/>
      </c>
      <c r="AX91">
        <f>IF(OR(P91="",P91='DADOS_INVOC'!$EL$7,P91='DADOS_INVOC'!$EM$7,P91='DADOS_INVOC'!$EN$7,P91='DADOS_INVOC'!$EO$7,P91='DADOS_INVOC'!$EP$7,P91='DADOS_INVOC'!$QV$7,P91='DADOS_INVOC'!$QW$7,P91='DADOS_INVOC'!$QX$7,P91='DADOS_INVOC'!$QY$7),O91,"")</f>
        <v/>
      </c>
      <c r="AY91">
        <f>IF(AND(Q91=1,OR(P91="",P91='DADOS_INVOC'!$EL$7,P91='DADOS_INVOC'!$EM$7,P91='DADOS_INVOC'!$EN$7,P91='DADOS_INVOC'!$EO$7,P91='DADOS_INVOC'!$EP$7,P91='DADOS_INVOC'!$QV$7,P91='DADOS_INVOC'!$QW$7,P91='DADOS_INVOC'!$QX$7,P91='DADOS_INVOC'!$QY$7)),O91,"")</f>
        <v/>
      </c>
      <c r="AZ91">
        <f>IF(OR(P91="",P91='DADOS_INVOC'!$EL$8,P91='DADOS_INVOC'!$EM$8,P91='DADOS_INVOC'!$EN$8,P91='DADOS_INVOC'!$EO$8,P91='DADOS_INVOC'!$EP$8,P91='DADOS_INVOC'!$QV$8,P91='DADOS_INVOC'!$QW$8,P91='DADOS_INVOC'!$QX$8,P91='DADOS_INVOC'!$QY$8),O91,"")</f>
        <v/>
      </c>
      <c r="BA91">
        <f>IF(AND(Q91=1,OR(P91="",P91='DADOS_INVOC'!$EL$8,P91='DADOS_INVOC'!$EM$8,P91='DADOS_INVOC'!$EN$8,P91='DADOS_INVOC'!$EO$8,P91='DADOS_INVOC'!$EP$8,P91='DADOS_INVOC'!$QV$8,P91='DADOS_INVOC'!$QW$8,P91='DADOS_INVOC'!$QX$8,P91='DADOS_INVOC'!$QY$8)),O91,"")</f>
        <v/>
      </c>
      <c r="BB91">
        <f>IF(OR(P91="",P91='DADOS_INVOC'!$EL$9,P91='DADOS_INVOC'!$EM$9,P91='DADOS_INVOC'!$EN$9,P91='DADOS_INVOC'!$EO$9,P91='DADOS_INVOC'!$EP$9,P91='DADOS_INVOC'!$QV$9,P91='DADOS_INVOC'!$QW$9,P91='DADOS_INVOC'!$QX$9,P91='DADOS_INVOC'!$QY$9),O91,"")</f>
        <v/>
      </c>
      <c r="BC91">
        <f>IF(AND(Q91=1,OR(P91="",P91='DADOS_INVOC'!$EL$9,P91='DADOS_INVOC'!$EM$9,P91='DADOS_INVOC'!$EN$9,P91='DADOS_INVOC'!$EO$9,P91='DADOS_INVOC'!$EP$9,P91='DADOS_INVOC'!$QV$9,P91='DADOS_INVOC'!$QW$9,P91='DADOS_INVOC'!$QX$9,P91='DADOS_INVOC'!$QY$9)),O91,"")</f>
        <v/>
      </c>
      <c r="BD91">
        <f>IF(OR(P91="",P91='DADOS_INVOC'!$EL$10,P91='DADOS_INVOC'!$EM$10,P91='DADOS_INVOC'!$EN$10,P91='DADOS_INVOC'!$EO$10,P91='DADOS_INVOC'!$EP$10,P91='DADOS_INVOC'!$QV$10,P91='DADOS_INVOC'!$QW$10,P91='DADOS_INVOC'!$QX$10,P91='DADOS_INVOC'!$QY$10),O91,"")</f>
        <v/>
      </c>
      <c r="BE91">
        <f>IF(AND(Q91=1,OR(P91="",P91='DADOS_INVOC'!$EL$10,P91='DADOS_INVOC'!$EM$10,P91='DADOS_INVOC'!$EN$10,P91='DADOS_INVOC'!$EO$10,P91='DADOS_INVOC'!$EP$10,P91='DADOS_INVOC'!$QV$10,P91='DADOS_INVOC'!$QW$10,P91='DADOS_INVOC'!$QX$10,P91='DADOS_INVOC'!$QY$10)),O91,"")</f>
        <v/>
      </c>
      <c r="BF91">
        <f>IF(OR(P91="",P91='DADOS_INVOC'!$EL$11,P91='DADOS_INVOC'!$EM$11,P91='DADOS_INVOC'!$EN$11,P91='DADOS_INVOC'!$EO$11,P91='DADOS_INVOC'!$EP$11,P91='DADOS_INVOC'!$QV$11,P91='DADOS_INVOC'!$QW$11,P91='DADOS_INVOC'!$QX$11,P91='DADOS_INVOC'!$QY$11),O91,"")</f>
        <v/>
      </c>
      <c r="BG91">
        <f>IF(AND(Q91=1,OR(P91="",P91='DADOS_INVOC'!$EL$11,P91='DADOS_INVOC'!$EM$11,P91='DADOS_INVOC'!$EN$11,P91='DADOS_INVOC'!$EO$11,P91='DADOS_INVOC'!$EP$11,P91='DADOS_INVOC'!$QV$11,P91='DADOS_INVOC'!$QW$11,P91='DADOS_INVOC'!$QX$11,P91='DADOS_INVOC'!$QY$11)),O91,"")</f>
        <v/>
      </c>
      <c r="BH91">
        <f>IF(OR(P91="",P91='DADOS_INVOC'!$EL$12,P91='DADOS_INVOC'!$EM$12,P91='DADOS_INVOC'!$EN$12,P91='DADOS_INVOC'!$EO$12,P91='DADOS_INVOC'!$EP$12,P91='DADOS_INVOC'!$QV$12,P91='DADOS_INVOC'!$QW$12,P91='DADOS_INVOC'!$QX$12,P91='DADOS_INVOC'!$QY$12),O91,"")</f>
        <v/>
      </c>
      <c r="BI91">
        <f>IF(AND(Q91=1,OR(P91="",P91='DADOS_INVOC'!$EL$12,P91='DADOS_INVOC'!$EM$12,P91='DADOS_INVOC'!$EN$12,P91='DADOS_INVOC'!$EO$12,P91='DADOS_INVOC'!$EP$12,P91='DADOS_INVOC'!$QV$12,P91='DADOS_INVOC'!$QW$12,P91='DADOS_INVOC'!$QX$12,P91='DADOS_INVOC'!$QY$12)),O91,"")</f>
        <v/>
      </c>
      <c r="BJ91">
        <f>IF(OR(P91="",P91='DADOS_INVOC'!$EL$13,P91='DADOS_INVOC'!$EM$13,P91='DADOS_INVOC'!$EN$13,P91='DADOS_INVOC'!$EO$13,P91='DADOS_INVOC'!$EP$13,P91='DADOS_INVOC'!$QV$13,P91='DADOS_INVOC'!$QW$13,P91='DADOS_INVOC'!$QX$13,P91='DADOS_INVOC'!$QY$13),O91,"")</f>
        <v/>
      </c>
      <c r="BK91">
        <f>IF(AND(Q91=1,OR(P91="",P91='DADOS_INVOC'!$EL$13,P91='DADOS_INVOC'!$EM$13,P91='DADOS_INVOC'!$EN$13,P91='DADOS_INVOC'!$EO$13,P91='DADOS_INVOC'!$EP$13,P91='DADOS_INVOC'!$QV$13,P91='DADOS_INVOC'!$QW$13,P91='DADOS_INVOC'!$QX$13,P91='DADOS_INVOC'!$QY$13)),O91,"")</f>
        <v/>
      </c>
    </row>
    <row r="92">
      <c r="O92">
        <f>IF(AND(D10&lt;&gt;"",M10=""),D10,"")</f>
        <v/>
      </c>
      <c r="P92">
        <f>IF(O92="","",IF(AND(BR10="Condição",F10="",L10=0),"Controle",IF(O92="","",IF(F10&lt;&gt;"",IF(F10="Nenhuma","",F10),IF(L10&gt;0,INDEX($P$2:$P$83,L10),"")))))</f>
        <v/>
      </c>
      <c r="Q92">
        <f>IF(O92="",0,IF(G10&lt;&gt;"",IFERROR(MATCH(G10,'DADOS_MELHORIAS'!$BN$2:$BN$4,0),0),IF(L10&gt;0,INDEX('DADOS_MELHORIAS'!$Q$2:$Q$83,L10),0)))</f>
        <v/>
      </c>
      <c r="R92">
        <f>IF(O92="",0,Q92+3*IFERROR(VLOOKUP(SUBSTITUTE(SUBSTITUTE(SUBSTITUTE(P92,"~","~~"),"*","~*"),"?","~?"),'DADOS_CRIACAO'!$H$2:$K$20,3,FALSE),0))</f>
        <v/>
      </c>
      <c r="S92">
        <f>IF(O92="",0,IFERROR(VLOOKUP(SUBSTITUTE(SUBSTITUTE(SUBSTITUTE(P92,"~","~~"),"*","~*"),"?","~?"),'DADOS_CRIACAO'!$H$2:$K$20,4,FALSE),0))</f>
        <v/>
      </c>
      <c r="T92">
        <f>IF(O92="",0,IF(BR10="Condição",1,IF(O92="",0,IF(OR(P92="Controle",IF(L10&gt;0,INDEX('DADOS_MELHORIAS'!$T$2:$T$83,L10),0)=1),1,0))))</f>
        <v/>
      </c>
      <c r="U92">
        <f>IF(O92="","",IF(S92=1,"",O92))</f>
        <v/>
      </c>
      <c r="V92">
        <f>IF(O92="","",IF(AND(Q92=1,S92=0),O92,""))</f>
        <v/>
      </c>
      <c r="W92">
        <f>IF(O92="",0,IF(BR10="Condição",1,IF(O92="",0,IF(H10="",IF(L10&gt;0,INDEX('DADOS_MELHORIAS'!$W$2:$W$83,L10),0),IF(H10="Sim",1,0)))))</f>
        <v/>
      </c>
      <c r="X92">
        <f>IF(O92="","",IF(L10&gt;0,INDEX($X$2:$X$83,L10),D10))</f>
        <v/>
      </c>
      <c r="Y92">
        <f>IF(O92="",0,IF(L10&gt;0,INDEX('DADOS_MELHORIAS'!$Y$2:$Y$83,L10),0))</f>
        <v/>
      </c>
      <c r="AG92">
        <f>O92</f>
        <v/>
      </c>
      <c r="AH92">
        <f>P92</f>
        <v/>
      </c>
      <c r="AI92">
        <f>Q92</f>
        <v/>
      </c>
      <c r="AJ92">
        <f>T92</f>
        <v/>
      </c>
      <c r="AK92">
        <f>Y92</f>
        <v/>
      </c>
      <c r="AL92">
        <f>W92</f>
        <v/>
      </c>
      <c r="AN92">
        <f>IF(OR(P92="",P92='DADOS_INVOC'!$EL$2,P92='DADOS_INVOC'!$EM$2,P92='DADOS_INVOC'!$EN$2,P92='DADOS_INVOC'!$EO$2,P92='DADOS_INVOC'!$EP$2,P92='DADOS_INVOC'!$QV$2,P92='DADOS_INVOC'!$QW$2,P92='DADOS_INVOC'!$QX$2,P92='DADOS_INVOC'!$QY$2),O92,"")</f>
        <v/>
      </c>
      <c r="AO92">
        <f>IF(AND(Q92=1,OR(P92="",P92='DADOS_INVOC'!$EL$2,P92='DADOS_INVOC'!$EM$2,P92='DADOS_INVOC'!$EN$2,P92='DADOS_INVOC'!$EO$2,P92='DADOS_INVOC'!$EP$2,P92='DADOS_INVOC'!$QV$2,P92='DADOS_INVOC'!$QW$2,P92='DADOS_INVOC'!$QX$2,P92='DADOS_INVOC'!$QY$2)),O92,"")</f>
        <v/>
      </c>
      <c r="AP92">
        <f>IF(OR(P92="",P92='DADOS_INVOC'!$EL$3,P92='DADOS_INVOC'!$EM$3,P92='DADOS_INVOC'!$EN$3,P92='DADOS_INVOC'!$EO$3,P92='DADOS_INVOC'!$EP$3,P92='DADOS_INVOC'!$QV$3,P92='DADOS_INVOC'!$QW$3,P92='DADOS_INVOC'!$QX$3,P92='DADOS_INVOC'!$QY$3),O92,"")</f>
        <v/>
      </c>
      <c r="AQ92">
        <f>IF(AND(Q92=1,OR(P92="",P92='DADOS_INVOC'!$EL$3,P92='DADOS_INVOC'!$EM$3,P92='DADOS_INVOC'!$EN$3,P92='DADOS_INVOC'!$EO$3,P92='DADOS_INVOC'!$EP$3,P92='DADOS_INVOC'!$QV$3,P92='DADOS_INVOC'!$QW$3,P92='DADOS_INVOC'!$QX$3,P92='DADOS_INVOC'!$QY$3)),O92,"")</f>
        <v/>
      </c>
      <c r="AR92">
        <f>IF(OR(P92="",P92='DADOS_INVOC'!$EL$4,P92='DADOS_INVOC'!$EM$4,P92='DADOS_INVOC'!$EN$4,P92='DADOS_INVOC'!$EO$4,P92='DADOS_INVOC'!$EP$4,P92='DADOS_INVOC'!$QV$4,P92='DADOS_INVOC'!$QW$4,P92='DADOS_INVOC'!$QX$4,P92='DADOS_INVOC'!$QY$4),O92,"")</f>
        <v/>
      </c>
      <c r="AS92">
        <f>IF(AND(Q92=1,OR(P92="",P92='DADOS_INVOC'!$EL$4,P92='DADOS_INVOC'!$EM$4,P92='DADOS_INVOC'!$EN$4,P92='DADOS_INVOC'!$EO$4,P92='DADOS_INVOC'!$EP$4,P92='DADOS_INVOC'!$QV$4,P92='DADOS_INVOC'!$QW$4,P92='DADOS_INVOC'!$QX$4,P92='DADOS_INVOC'!$QY$4)),O92,"")</f>
        <v/>
      </c>
      <c r="AT92">
        <f>IF(OR(P92="",P92='DADOS_INVOC'!$EL$5,P92='DADOS_INVOC'!$EM$5,P92='DADOS_INVOC'!$EN$5,P92='DADOS_INVOC'!$EO$5,P92='DADOS_INVOC'!$EP$5,P92='DADOS_INVOC'!$QV$5,P92='DADOS_INVOC'!$QW$5,P92='DADOS_INVOC'!$QX$5,P92='DADOS_INVOC'!$QY$5),O92,"")</f>
        <v/>
      </c>
      <c r="AU92">
        <f>IF(AND(Q92=1,OR(P92="",P92='DADOS_INVOC'!$EL$5,P92='DADOS_INVOC'!$EM$5,P92='DADOS_INVOC'!$EN$5,P92='DADOS_INVOC'!$EO$5,P92='DADOS_INVOC'!$EP$5,P92='DADOS_INVOC'!$QV$5,P92='DADOS_INVOC'!$QW$5,P92='DADOS_INVOC'!$QX$5,P92='DADOS_INVOC'!$QY$5)),O92,"")</f>
        <v/>
      </c>
      <c r="AV92">
        <f>IF(OR(P92="",P92='DADOS_INVOC'!$EL$6,P92='DADOS_INVOC'!$EM$6,P92='DADOS_INVOC'!$EN$6,P92='DADOS_INVOC'!$EO$6,P92='DADOS_INVOC'!$EP$6,P92='DADOS_INVOC'!$QV$6,P92='DADOS_INVOC'!$QW$6,P92='DADOS_INVOC'!$QX$6,P92='DADOS_INVOC'!$QY$6),O92,"")</f>
        <v/>
      </c>
      <c r="AW92">
        <f>IF(AND(Q92=1,OR(P92="",P92='DADOS_INVOC'!$EL$6,P92='DADOS_INVOC'!$EM$6,P92='DADOS_INVOC'!$EN$6,P92='DADOS_INVOC'!$EO$6,P92='DADOS_INVOC'!$EP$6,P92='DADOS_INVOC'!$QV$6,P92='DADOS_INVOC'!$QW$6,P92='DADOS_INVOC'!$QX$6,P92='DADOS_INVOC'!$QY$6)),O92,"")</f>
        <v/>
      </c>
      <c r="AX92">
        <f>IF(OR(P92="",P92='DADOS_INVOC'!$EL$7,P92='DADOS_INVOC'!$EM$7,P92='DADOS_INVOC'!$EN$7,P92='DADOS_INVOC'!$EO$7,P92='DADOS_INVOC'!$EP$7,P92='DADOS_INVOC'!$QV$7,P92='DADOS_INVOC'!$QW$7,P92='DADOS_INVOC'!$QX$7,P92='DADOS_INVOC'!$QY$7),O92,"")</f>
        <v/>
      </c>
      <c r="AY92">
        <f>IF(AND(Q92=1,OR(P92="",P92='DADOS_INVOC'!$EL$7,P92='DADOS_INVOC'!$EM$7,P92='DADOS_INVOC'!$EN$7,P92='DADOS_INVOC'!$EO$7,P92='DADOS_INVOC'!$EP$7,P92='DADOS_INVOC'!$QV$7,P92='DADOS_INVOC'!$QW$7,P92='DADOS_INVOC'!$QX$7,P92='DADOS_INVOC'!$QY$7)),O92,"")</f>
        <v/>
      </c>
      <c r="AZ92">
        <f>IF(OR(P92="",P92='DADOS_INVOC'!$EL$8,P92='DADOS_INVOC'!$EM$8,P92='DADOS_INVOC'!$EN$8,P92='DADOS_INVOC'!$EO$8,P92='DADOS_INVOC'!$EP$8,P92='DADOS_INVOC'!$QV$8,P92='DADOS_INVOC'!$QW$8,P92='DADOS_INVOC'!$QX$8,P92='DADOS_INVOC'!$QY$8),O92,"")</f>
        <v/>
      </c>
      <c r="BA92">
        <f>IF(AND(Q92=1,OR(P92="",P92='DADOS_INVOC'!$EL$8,P92='DADOS_INVOC'!$EM$8,P92='DADOS_INVOC'!$EN$8,P92='DADOS_INVOC'!$EO$8,P92='DADOS_INVOC'!$EP$8,P92='DADOS_INVOC'!$QV$8,P92='DADOS_INVOC'!$QW$8,P92='DADOS_INVOC'!$QX$8,P92='DADOS_INVOC'!$QY$8)),O92,"")</f>
        <v/>
      </c>
      <c r="BB92">
        <f>IF(OR(P92="",P92='DADOS_INVOC'!$EL$9,P92='DADOS_INVOC'!$EM$9,P92='DADOS_INVOC'!$EN$9,P92='DADOS_INVOC'!$EO$9,P92='DADOS_INVOC'!$EP$9,P92='DADOS_INVOC'!$QV$9,P92='DADOS_INVOC'!$QW$9,P92='DADOS_INVOC'!$QX$9,P92='DADOS_INVOC'!$QY$9),O92,"")</f>
        <v/>
      </c>
      <c r="BC92">
        <f>IF(AND(Q92=1,OR(P92="",P92='DADOS_INVOC'!$EL$9,P92='DADOS_INVOC'!$EM$9,P92='DADOS_INVOC'!$EN$9,P92='DADOS_INVOC'!$EO$9,P92='DADOS_INVOC'!$EP$9,P92='DADOS_INVOC'!$QV$9,P92='DADOS_INVOC'!$QW$9,P92='DADOS_INVOC'!$QX$9,P92='DADOS_INVOC'!$QY$9)),O92,"")</f>
        <v/>
      </c>
      <c r="BD92">
        <f>IF(OR(P92="",P92='DADOS_INVOC'!$EL$10,P92='DADOS_INVOC'!$EM$10,P92='DADOS_INVOC'!$EN$10,P92='DADOS_INVOC'!$EO$10,P92='DADOS_INVOC'!$EP$10,P92='DADOS_INVOC'!$QV$10,P92='DADOS_INVOC'!$QW$10,P92='DADOS_INVOC'!$QX$10,P92='DADOS_INVOC'!$QY$10),O92,"")</f>
        <v/>
      </c>
      <c r="BE92">
        <f>IF(AND(Q92=1,OR(P92="",P92='DADOS_INVOC'!$EL$10,P92='DADOS_INVOC'!$EM$10,P92='DADOS_INVOC'!$EN$10,P92='DADOS_INVOC'!$EO$10,P92='DADOS_INVOC'!$EP$10,P92='DADOS_INVOC'!$QV$10,P92='DADOS_INVOC'!$QW$10,P92='DADOS_INVOC'!$QX$10,P92='DADOS_INVOC'!$QY$10)),O92,"")</f>
        <v/>
      </c>
      <c r="BF92">
        <f>IF(OR(P92="",P92='DADOS_INVOC'!$EL$11,P92='DADOS_INVOC'!$EM$11,P92='DADOS_INVOC'!$EN$11,P92='DADOS_INVOC'!$EO$11,P92='DADOS_INVOC'!$EP$11,P92='DADOS_INVOC'!$QV$11,P92='DADOS_INVOC'!$QW$11,P92='DADOS_INVOC'!$QX$11,P92='DADOS_INVOC'!$QY$11),O92,"")</f>
        <v/>
      </c>
      <c r="BG92">
        <f>IF(AND(Q92=1,OR(P92="",P92='DADOS_INVOC'!$EL$11,P92='DADOS_INVOC'!$EM$11,P92='DADOS_INVOC'!$EN$11,P92='DADOS_INVOC'!$EO$11,P92='DADOS_INVOC'!$EP$11,P92='DADOS_INVOC'!$QV$11,P92='DADOS_INVOC'!$QW$11,P92='DADOS_INVOC'!$QX$11,P92='DADOS_INVOC'!$QY$11)),O92,"")</f>
        <v/>
      </c>
      <c r="BH92">
        <f>IF(OR(P92="",P92='DADOS_INVOC'!$EL$12,P92='DADOS_INVOC'!$EM$12,P92='DADOS_INVOC'!$EN$12,P92='DADOS_INVOC'!$EO$12,P92='DADOS_INVOC'!$EP$12,P92='DADOS_INVOC'!$QV$12,P92='DADOS_INVOC'!$QW$12,P92='DADOS_INVOC'!$QX$12,P92='DADOS_INVOC'!$QY$12),O92,"")</f>
        <v/>
      </c>
      <c r="BI92">
        <f>IF(AND(Q92=1,OR(P92="",P92='DADOS_INVOC'!$EL$12,P92='DADOS_INVOC'!$EM$12,P92='DADOS_INVOC'!$EN$12,P92='DADOS_INVOC'!$EO$12,P92='DADOS_INVOC'!$EP$12,P92='DADOS_INVOC'!$QV$12,P92='DADOS_INVOC'!$QW$12,P92='DADOS_INVOC'!$QX$12,P92='DADOS_INVOC'!$QY$12)),O92,"")</f>
        <v/>
      </c>
      <c r="BJ92">
        <f>IF(OR(P92="",P92='DADOS_INVOC'!$EL$13,P92='DADOS_INVOC'!$EM$13,P92='DADOS_INVOC'!$EN$13,P92='DADOS_INVOC'!$EO$13,P92='DADOS_INVOC'!$EP$13,P92='DADOS_INVOC'!$QV$13,P92='DADOS_INVOC'!$QW$13,P92='DADOS_INVOC'!$QX$13,P92='DADOS_INVOC'!$QY$13),O92,"")</f>
        <v/>
      </c>
      <c r="BK92">
        <f>IF(AND(Q92=1,OR(P92="",P92='DADOS_INVOC'!$EL$13,P92='DADOS_INVOC'!$EM$13,P92='DADOS_INVOC'!$EN$13,P92='DADOS_INVOC'!$EO$13,P92='DADOS_INVOC'!$EP$13,P92='DADOS_INVOC'!$QV$13,P92='DADOS_INVOC'!$QW$13,P92='DADOS_INVOC'!$QX$13,P92='DADOS_INVOC'!$QY$13)),O92,"")</f>
        <v/>
      </c>
    </row>
    <row r="93">
      <c r="O93">
        <f>IF(AND(D11&lt;&gt;"",M11=""),D11,"")</f>
        <v/>
      </c>
      <c r="P93">
        <f>IF(O93="","",IF(AND(BR11="Condição",F11="",L11=0),"Controle",IF(O93="","",IF(F11&lt;&gt;"",IF(F11="Nenhuma","",F11),IF(L11&gt;0,INDEX($P$2:$P$83,L11),"")))))</f>
        <v/>
      </c>
      <c r="Q93">
        <f>IF(O93="",0,IF(G11&lt;&gt;"",IFERROR(MATCH(G11,'DADOS_MELHORIAS'!$BN$2:$BN$4,0),0),IF(L11&gt;0,INDEX('DADOS_MELHORIAS'!$Q$2:$Q$83,L11),0)))</f>
        <v/>
      </c>
      <c r="R93">
        <f>IF(O93="",0,Q93+3*IFERROR(VLOOKUP(SUBSTITUTE(SUBSTITUTE(SUBSTITUTE(P93,"~","~~"),"*","~*"),"?","~?"),'DADOS_CRIACAO'!$H$2:$K$20,3,FALSE),0))</f>
        <v/>
      </c>
      <c r="S93">
        <f>IF(O93="",0,IFERROR(VLOOKUP(SUBSTITUTE(SUBSTITUTE(SUBSTITUTE(P93,"~","~~"),"*","~*"),"?","~?"),'DADOS_CRIACAO'!$H$2:$K$20,4,FALSE),0))</f>
        <v/>
      </c>
      <c r="T93">
        <f>IF(O93="",0,IF(BR11="Condição",1,IF(O93="",0,IF(OR(P93="Controle",IF(L11&gt;0,INDEX('DADOS_MELHORIAS'!$T$2:$T$83,L11),0)=1),1,0))))</f>
        <v/>
      </c>
      <c r="U93">
        <f>IF(O93="","",IF(S93=1,"",O93))</f>
        <v/>
      </c>
      <c r="V93">
        <f>IF(O93="","",IF(AND(Q93=1,S93=0),O93,""))</f>
        <v/>
      </c>
      <c r="W93">
        <f>IF(O93="",0,IF(BR11="Condição",1,IF(O93="",0,IF(H11="",IF(L11&gt;0,INDEX('DADOS_MELHORIAS'!$W$2:$W$83,L11),0),IF(H11="Sim",1,0)))))</f>
        <v/>
      </c>
      <c r="X93">
        <f>IF(O93="","",IF(L11&gt;0,INDEX($X$2:$X$83,L11),D11))</f>
        <v/>
      </c>
      <c r="Y93">
        <f>IF(O93="",0,IF(L11&gt;0,INDEX('DADOS_MELHORIAS'!$Y$2:$Y$83,L11),0))</f>
        <v/>
      </c>
      <c r="AG93">
        <f>O93</f>
        <v/>
      </c>
      <c r="AH93">
        <f>P93</f>
        <v/>
      </c>
      <c r="AI93">
        <f>Q93</f>
        <v/>
      </c>
      <c r="AJ93">
        <f>T93</f>
        <v/>
      </c>
      <c r="AK93">
        <f>Y93</f>
        <v/>
      </c>
      <c r="AL93">
        <f>W93</f>
        <v/>
      </c>
      <c r="AN93">
        <f>IF(OR(P93="",P93='DADOS_INVOC'!$EL$2,P93='DADOS_INVOC'!$EM$2,P93='DADOS_INVOC'!$EN$2,P93='DADOS_INVOC'!$EO$2,P93='DADOS_INVOC'!$EP$2,P93='DADOS_INVOC'!$QV$2,P93='DADOS_INVOC'!$QW$2,P93='DADOS_INVOC'!$QX$2,P93='DADOS_INVOC'!$QY$2),O93,"")</f>
        <v/>
      </c>
      <c r="AO93">
        <f>IF(AND(Q93=1,OR(P93="",P93='DADOS_INVOC'!$EL$2,P93='DADOS_INVOC'!$EM$2,P93='DADOS_INVOC'!$EN$2,P93='DADOS_INVOC'!$EO$2,P93='DADOS_INVOC'!$EP$2,P93='DADOS_INVOC'!$QV$2,P93='DADOS_INVOC'!$QW$2,P93='DADOS_INVOC'!$QX$2,P93='DADOS_INVOC'!$QY$2)),O93,"")</f>
        <v/>
      </c>
      <c r="AP93">
        <f>IF(OR(P93="",P93='DADOS_INVOC'!$EL$3,P93='DADOS_INVOC'!$EM$3,P93='DADOS_INVOC'!$EN$3,P93='DADOS_INVOC'!$EO$3,P93='DADOS_INVOC'!$EP$3,P93='DADOS_INVOC'!$QV$3,P93='DADOS_INVOC'!$QW$3,P93='DADOS_INVOC'!$QX$3,P93='DADOS_INVOC'!$QY$3),O93,"")</f>
        <v/>
      </c>
      <c r="AQ93">
        <f>IF(AND(Q93=1,OR(P93="",P93='DADOS_INVOC'!$EL$3,P93='DADOS_INVOC'!$EM$3,P93='DADOS_INVOC'!$EN$3,P93='DADOS_INVOC'!$EO$3,P93='DADOS_INVOC'!$EP$3,P93='DADOS_INVOC'!$QV$3,P93='DADOS_INVOC'!$QW$3,P93='DADOS_INVOC'!$QX$3,P93='DADOS_INVOC'!$QY$3)),O93,"")</f>
        <v/>
      </c>
      <c r="AR93">
        <f>IF(OR(P93="",P93='DADOS_INVOC'!$EL$4,P93='DADOS_INVOC'!$EM$4,P93='DADOS_INVOC'!$EN$4,P93='DADOS_INVOC'!$EO$4,P93='DADOS_INVOC'!$EP$4,P93='DADOS_INVOC'!$QV$4,P93='DADOS_INVOC'!$QW$4,P93='DADOS_INVOC'!$QX$4,P93='DADOS_INVOC'!$QY$4),O93,"")</f>
        <v/>
      </c>
      <c r="AS93">
        <f>IF(AND(Q93=1,OR(P93="",P93='DADOS_INVOC'!$EL$4,P93='DADOS_INVOC'!$EM$4,P93='DADOS_INVOC'!$EN$4,P93='DADOS_INVOC'!$EO$4,P93='DADOS_INVOC'!$EP$4,P93='DADOS_INVOC'!$QV$4,P93='DADOS_INVOC'!$QW$4,P93='DADOS_INVOC'!$QX$4,P93='DADOS_INVOC'!$QY$4)),O93,"")</f>
        <v/>
      </c>
      <c r="AT93">
        <f>IF(OR(P93="",P93='DADOS_INVOC'!$EL$5,P93='DADOS_INVOC'!$EM$5,P93='DADOS_INVOC'!$EN$5,P93='DADOS_INVOC'!$EO$5,P93='DADOS_INVOC'!$EP$5,P93='DADOS_INVOC'!$QV$5,P93='DADOS_INVOC'!$QW$5,P93='DADOS_INVOC'!$QX$5,P93='DADOS_INVOC'!$QY$5),O93,"")</f>
        <v/>
      </c>
      <c r="AU93">
        <f>IF(AND(Q93=1,OR(P93="",P93='DADOS_INVOC'!$EL$5,P93='DADOS_INVOC'!$EM$5,P93='DADOS_INVOC'!$EN$5,P93='DADOS_INVOC'!$EO$5,P93='DADOS_INVOC'!$EP$5,P93='DADOS_INVOC'!$QV$5,P93='DADOS_INVOC'!$QW$5,P93='DADOS_INVOC'!$QX$5,P93='DADOS_INVOC'!$QY$5)),O93,"")</f>
        <v/>
      </c>
      <c r="AV93">
        <f>IF(OR(P93="",P93='DADOS_INVOC'!$EL$6,P93='DADOS_INVOC'!$EM$6,P93='DADOS_INVOC'!$EN$6,P93='DADOS_INVOC'!$EO$6,P93='DADOS_INVOC'!$EP$6,P93='DADOS_INVOC'!$QV$6,P93='DADOS_INVOC'!$QW$6,P93='DADOS_INVOC'!$QX$6,P93='DADOS_INVOC'!$QY$6),O93,"")</f>
        <v/>
      </c>
      <c r="AW93">
        <f>IF(AND(Q93=1,OR(P93="",P93='DADOS_INVOC'!$EL$6,P93='DADOS_INVOC'!$EM$6,P93='DADOS_INVOC'!$EN$6,P93='DADOS_INVOC'!$EO$6,P93='DADOS_INVOC'!$EP$6,P93='DADOS_INVOC'!$QV$6,P93='DADOS_INVOC'!$QW$6,P93='DADOS_INVOC'!$QX$6,P93='DADOS_INVOC'!$QY$6)),O93,"")</f>
        <v/>
      </c>
      <c r="AX93">
        <f>IF(OR(P93="",P93='DADOS_INVOC'!$EL$7,P93='DADOS_INVOC'!$EM$7,P93='DADOS_INVOC'!$EN$7,P93='DADOS_INVOC'!$EO$7,P93='DADOS_INVOC'!$EP$7,P93='DADOS_INVOC'!$QV$7,P93='DADOS_INVOC'!$QW$7,P93='DADOS_INVOC'!$QX$7,P93='DADOS_INVOC'!$QY$7),O93,"")</f>
        <v/>
      </c>
      <c r="AY93">
        <f>IF(AND(Q93=1,OR(P93="",P93='DADOS_INVOC'!$EL$7,P93='DADOS_INVOC'!$EM$7,P93='DADOS_INVOC'!$EN$7,P93='DADOS_INVOC'!$EO$7,P93='DADOS_INVOC'!$EP$7,P93='DADOS_INVOC'!$QV$7,P93='DADOS_INVOC'!$QW$7,P93='DADOS_INVOC'!$QX$7,P93='DADOS_INVOC'!$QY$7)),O93,"")</f>
        <v/>
      </c>
      <c r="AZ93">
        <f>IF(OR(P93="",P93='DADOS_INVOC'!$EL$8,P93='DADOS_INVOC'!$EM$8,P93='DADOS_INVOC'!$EN$8,P93='DADOS_INVOC'!$EO$8,P93='DADOS_INVOC'!$EP$8,P93='DADOS_INVOC'!$QV$8,P93='DADOS_INVOC'!$QW$8,P93='DADOS_INVOC'!$QX$8,P93='DADOS_INVOC'!$QY$8),O93,"")</f>
        <v/>
      </c>
      <c r="BA93">
        <f>IF(AND(Q93=1,OR(P93="",P93='DADOS_INVOC'!$EL$8,P93='DADOS_INVOC'!$EM$8,P93='DADOS_INVOC'!$EN$8,P93='DADOS_INVOC'!$EO$8,P93='DADOS_INVOC'!$EP$8,P93='DADOS_INVOC'!$QV$8,P93='DADOS_INVOC'!$QW$8,P93='DADOS_INVOC'!$QX$8,P93='DADOS_INVOC'!$QY$8)),O93,"")</f>
        <v/>
      </c>
      <c r="BB93">
        <f>IF(OR(P93="",P93='DADOS_INVOC'!$EL$9,P93='DADOS_INVOC'!$EM$9,P93='DADOS_INVOC'!$EN$9,P93='DADOS_INVOC'!$EO$9,P93='DADOS_INVOC'!$EP$9,P93='DADOS_INVOC'!$QV$9,P93='DADOS_INVOC'!$QW$9,P93='DADOS_INVOC'!$QX$9,P93='DADOS_INVOC'!$QY$9),O93,"")</f>
        <v/>
      </c>
      <c r="BC93">
        <f>IF(AND(Q93=1,OR(P93="",P93='DADOS_INVOC'!$EL$9,P93='DADOS_INVOC'!$EM$9,P93='DADOS_INVOC'!$EN$9,P93='DADOS_INVOC'!$EO$9,P93='DADOS_INVOC'!$EP$9,P93='DADOS_INVOC'!$QV$9,P93='DADOS_INVOC'!$QW$9,P93='DADOS_INVOC'!$QX$9,P93='DADOS_INVOC'!$QY$9)),O93,"")</f>
        <v/>
      </c>
      <c r="BD93">
        <f>IF(OR(P93="",P93='DADOS_INVOC'!$EL$10,P93='DADOS_INVOC'!$EM$10,P93='DADOS_INVOC'!$EN$10,P93='DADOS_INVOC'!$EO$10,P93='DADOS_INVOC'!$EP$10,P93='DADOS_INVOC'!$QV$10,P93='DADOS_INVOC'!$QW$10,P93='DADOS_INVOC'!$QX$10,P93='DADOS_INVOC'!$QY$10),O93,"")</f>
        <v/>
      </c>
      <c r="BE93">
        <f>IF(AND(Q93=1,OR(P93="",P93='DADOS_INVOC'!$EL$10,P93='DADOS_INVOC'!$EM$10,P93='DADOS_INVOC'!$EN$10,P93='DADOS_INVOC'!$EO$10,P93='DADOS_INVOC'!$EP$10,P93='DADOS_INVOC'!$QV$10,P93='DADOS_INVOC'!$QW$10,P93='DADOS_INVOC'!$QX$10,P93='DADOS_INVOC'!$QY$10)),O93,"")</f>
        <v/>
      </c>
      <c r="BF93">
        <f>IF(OR(P93="",P93='DADOS_INVOC'!$EL$11,P93='DADOS_INVOC'!$EM$11,P93='DADOS_INVOC'!$EN$11,P93='DADOS_INVOC'!$EO$11,P93='DADOS_INVOC'!$EP$11,P93='DADOS_INVOC'!$QV$11,P93='DADOS_INVOC'!$QW$11,P93='DADOS_INVOC'!$QX$11,P93='DADOS_INVOC'!$QY$11),O93,"")</f>
        <v/>
      </c>
      <c r="BG93">
        <f>IF(AND(Q93=1,OR(P93="",P93='DADOS_INVOC'!$EL$11,P93='DADOS_INVOC'!$EM$11,P93='DADOS_INVOC'!$EN$11,P93='DADOS_INVOC'!$EO$11,P93='DADOS_INVOC'!$EP$11,P93='DADOS_INVOC'!$QV$11,P93='DADOS_INVOC'!$QW$11,P93='DADOS_INVOC'!$QX$11,P93='DADOS_INVOC'!$QY$11)),O93,"")</f>
        <v/>
      </c>
      <c r="BH93">
        <f>IF(OR(P93="",P93='DADOS_INVOC'!$EL$12,P93='DADOS_INVOC'!$EM$12,P93='DADOS_INVOC'!$EN$12,P93='DADOS_INVOC'!$EO$12,P93='DADOS_INVOC'!$EP$12,P93='DADOS_INVOC'!$QV$12,P93='DADOS_INVOC'!$QW$12,P93='DADOS_INVOC'!$QX$12,P93='DADOS_INVOC'!$QY$12),O93,"")</f>
        <v/>
      </c>
      <c r="BI93">
        <f>IF(AND(Q93=1,OR(P93="",P93='DADOS_INVOC'!$EL$12,P93='DADOS_INVOC'!$EM$12,P93='DADOS_INVOC'!$EN$12,P93='DADOS_INVOC'!$EO$12,P93='DADOS_INVOC'!$EP$12,P93='DADOS_INVOC'!$QV$12,P93='DADOS_INVOC'!$QW$12,P93='DADOS_INVOC'!$QX$12,P93='DADOS_INVOC'!$QY$12)),O93,"")</f>
        <v/>
      </c>
      <c r="BJ93">
        <f>IF(OR(P93="",P93='DADOS_INVOC'!$EL$13,P93='DADOS_INVOC'!$EM$13,P93='DADOS_INVOC'!$EN$13,P93='DADOS_INVOC'!$EO$13,P93='DADOS_INVOC'!$EP$13,P93='DADOS_INVOC'!$QV$13,P93='DADOS_INVOC'!$QW$13,P93='DADOS_INVOC'!$QX$13,P93='DADOS_INVOC'!$QY$13),O93,"")</f>
        <v/>
      </c>
      <c r="BK93">
        <f>IF(AND(Q93=1,OR(P93="",P93='DADOS_INVOC'!$EL$13,P93='DADOS_INVOC'!$EM$13,P93='DADOS_INVOC'!$EN$13,P93='DADOS_INVOC'!$EO$13,P93='DADOS_INVOC'!$EP$13,P93='DADOS_INVOC'!$QV$13,P93='DADOS_INVOC'!$QW$13,P93='DADOS_INVOC'!$QX$13,P93='DADOS_INVOC'!$QY$13)),O93,"")</f>
        <v/>
      </c>
    </row>
    <row r="94">
      <c r="O94">
        <f>IF(AND(D12&lt;&gt;"",M12=""),D12,"")</f>
        <v/>
      </c>
      <c r="P94">
        <f>IF(O94="","",IF(AND(BR12="Condição",F12="",L12=0),"Controle",IF(O94="","",IF(F12&lt;&gt;"",IF(F12="Nenhuma","",F12),IF(L12&gt;0,INDEX($P$2:$P$83,L12),"")))))</f>
        <v/>
      </c>
      <c r="Q94">
        <f>IF(O94="",0,IF(G12&lt;&gt;"",IFERROR(MATCH(G12,'DADOS_MELHORIAS'!$BN$2:$BN$4,0),0),IF(L12&gt;0,INDEX('DADOS_MELHORIAS'!$Q$2:$Q$83,L12),0)))</f>
        <v/>
      </c>
      <c r="R94">
        <f>IF(O94="",0,Q94+3*IFERROR(VLOOKUP(SUBSTITUTE(SUBSTITUTE(SUBSTITUTE(P94,"~","~~"),"*","~*"),"?","~?"),'DADOS_CRIACAO'!$H$2:$K$20,3,FALSE),0))</f>
        <v/>
      </c>
      <c r="S94">
        <f>IF(O94="",0,IFERROR(VLOOKUP(SUBSTITUTE(SUBSTITUTE(SUBSTITUTE(P94,"~","~~"),"*","~*"),"?","~?"),'DADOS_CRIACAO'!$H$2:$K$20,4,FALSE),0))</f>
        <v/>
      </c>
      <c r="T94">
        <f>IF(O94="",0,IF(BR12="Condição",1,IF(O94="",0,IF(OR(P94="Controle",IF(L12&gt;0,INDEX('DADOS_MELHORIAS'!$T$2:$T$83,L12),0)=1),1,0))))</f>
        <v/>
      </c>
      <c r="U94">
        <f>IF(O94="","",IF(S94=1,"",O94))</f>
        <v/>
      </c>
      <c r="V94">
        <f>IF(O94="","",IF(AND(Q94=1,S94=0),O94,""))</f>
        <v/>
      </c>
      <c r="W94">
        <f>IF(O94="",0,IF(BR12="Condição",1,IF(O94="",0,IF(H12="",IF(L12&gt;0,INDEX('DADOS_MELHORIAS'!$W$2:$W$83,L12),0),IF(H12="Sim",1,0)))))</f>
        <v/>
      </c>
      <c r="X94">
        <f>IF(O94="","",IF(L12&gt;0,INDEX($X$2:$X$83,L12),D12))</f>
        <v/>
      </c>
      <c r="Y94">
        <f>IF(O94="",0,IF(L12&gt;0,INDEX('DADOS_MELHORIAS'!$Y$2:$Y$83,L12),0))</f>
        <v/>
      </c>
      <c r="AG94">
        <f>O94</f>
        <v/>
      </c>
      <c r="AH94">
        <f>P94</f>
        <v/>
      </c>
      <c r="AI94">
        <f>Q94</f>
        <v/>
      </c>
      <c r="AJ94">
        <f>T94</f>
        <v/>
      </c>
      <c r="AK94">
        <f>Y94</f>
        <v/>
      </c>
      <c r="AL94">
        <f>W94</f>
        <v/>
      </c>
      <c r="AN94">
        <f>IF(OR(P94="",P94='DADOS_INVOC'!$EL$2,P94='DADOS_INVOC'!$EM$2,P94='DADOS_INVOC'!$EN$2,P94='DADOS_INVOC'!$EO$2,P94='DADOS_INVOC'!$EP$2,P94='DADOS_INVOC'!$QV$2,P94='DADOS_INVOC'!$QW$2,P94='DADOS_INVOC'!$QX$2,P94='DADOS_INVOC'!$QY$2),O94,"")</f>
        <v/>
      </c>
      <c r="AO94">
        <f>IF(AND(Q94=1,OR(P94="",P94='DADOS_INVOC'!$EL$2,P94='DADOS_INVOC'!$EM$2,P94='DADOS_INVOC'!$EN$2,P94='DADOS_INVOC'!$EO$2,P94='DADOS_INVOC'!$EP$2,P94='DADOS_INVOC'!$QV$2,P94='DADOS_INVOC'!$QW$2,P94='DADOS_INVOC'!$QX$2,P94='DADOS_INVOC'!$QY$2)),O94,"")</f>
        <v/>
      </c>
      <c r="AP94">
        <f>IF(OR(P94="",P94='DADOS_INVOC'!$EL$3,P94='DADOS_INVOC'!$EM$3,P94='DADOS_INVOC'!$EN$3,P94='DADOS_INVOC'!$EO$3,P94='DADOS_INVOC'!$EP$3,P94='DADOS_INVOC'!$QV$3,P94='DADOS_INVOC'!$QW$3,P94='DADOS_INVOC'!$QX$3,P94='DADOS_INVOC'!$QY$3),O94,"")</f>
        <v/>
      </c>
      <c r="AQ94">
        <f>IF(AND(Q94=1,OR(P94="",P94='DADOS_INVOC'!$EL$3,P94='DADOS_INVOC'!$EM$3,P94='DADOS_INVOC'!$EN$3,P94='DADOS_INVOC'!$EO$3,P94='DADOS_INVOC'!$EP$3,P94='DADOS_INVOC'!$QV$3,P94='DADOS_INVOC'!$QW$3,P94='DADOS_INVOC'!$QX$3,P94='DADOS_INVOC'!$QY$3)),O94,"")</f>
        <v/>
      </c>
      <c r="AR94">
        <f>IF(OR(P94="",P94='DADOS_INVOC'!$EL$4,P94='DADOS_INVOC'!$EM$4,P94='DADOS_INVOC'!$EN$4,P94='DADOS_INVOC'!$EO$4,P94='DADOS_INVOC'!$EP$4,P94='DADOS_INVOC'!$QV$4,P94='DADOS_INVOC'!$QW$4,P94='DADOS_INVOC'!$QX$4,P94='DADOS_INVOC'!$QY$4),O94,"")</f>
        <v/>
      </c>
      <c r="AS94">
        <f>IF(AND(Q94=1,OR(P94="",P94='DADOS_INVOC'!$EL$4,P94='DADOS_INVOC'!$EM$4,P94='DADOS_INVOC'!$EN$4,P94='DADOS_INVOC'!$EO$4,P94='DADOS_INVOC'!$EP$4,P94='DADOS_INVOC'!$QV$4,P94='DADOS_INVOC'!$QW$4,P94='DADOS_INVOC'!$QX$4,P94='DADOS_INVOC'!$QY$4)),O94,"")</f>
        <v/>
      </c>
      <c r="AT94">
        <f>IF(OR(P94="",P94='DADOS_INVOC'!$EL$5,P94='DADOS_INVOC'!$EM$5,P94='DADOS_INVOC'!$EN$5,P94='DADOS_INVOC'!$EO$5,P94='DADOS_INVOC'!$EP$5,P94='DADOS_INVOC'!$QV$5,P94='DADOS_INVOC'!$QW$5,P94='DADOS_INVOC'!$QX$5,P94='DADOS_INVOC'!$QY$5),O94,"")</f>
        <v/>
      </c>
      <c r="AU94">
        <f>IF(AND(Q94=1,OR(P94="",P94='DADOS_INVOC'!$EL$5,P94='DADOS_INVOC'!$EM$5,P94='DADOS_INVOC'!$EN$5,P94='DADOS_INVOC'!$EO$5,P94='DADOS_INVOC'!$EP$5,P94='DADOS_INVOC'!$QV$5,P94='DADOS_INVOC'!$QW$5,P94='DADOS_INVOC'!$QX$5,P94='DADOS_INVOC'!$QY$5)),O94,"")</f>
        <v/>
      </c>
      <c r="AV94">
        <f>IF(OR(P94="",P94='DADOS_INVOC'!$EL$6,P94='DADOS_INVOC'!$EM$6,P94='DADOS_INVOC'!$EN$6,P94='DADOS_INVOC'!$EO$6,P94='DADOS_INVOC'!$EP$6,P94='DADOS_INVOC'!$QV$6,P94='DADOS_INVOC'!$QW$6,P94='DADOS_INVOC'!$QX$6,P94='DADOS_INVOC'!$QY$6),O94,"")</f>
        <v/>
      </c>
      <c r="AW94">
        <f>IF(AND(Q94=1,OR(P94="",P94='DADOS_INVOC'!$EL$6,P94='DADOS_INVOC'!$EM$6,P94='DADOS_INVOC'!$EN$6,P94='DADOS_INVOC'!$EO$6,P94='DADOS_INVOC'!$EP$6,P94='DADOS_INVOC'!$QV$6,P94='DADOS_INVOC'!$QW$6,P94='DADOS_INVOC'!$QX$6,P94='DADOS_INVOC'!$QY$6)),O94,"")</f>
        <v/>
      </c>
      <c r="AX94">
        <f>IF(OR(P94="",P94='DADOS_INVOC'!$EL$7,P94='DADOS_INVOC'!$EM$7,P94='DADOS_INVOC'!$EN$7,P94='DADOS_INVOC'!$EO$7,P94='DADOS_INVOC'!$EP$7,P94='DADOS_INVOC'!$QV$7,P94='DADOS_INVOC'!$QW$7,P94='DADOS_INVOC'!$QX$7,P94='DADOS_INVOC'!$QY$7),O94,"")</f>
        <v/>
      </c>
      <c r="AY94">
        <f>IF(AND(Q94=1,OR(P94="",P94='DADOS_INVOC'!$EL$7,P94='DADOS_INVOC'!$EM$7,P94='DADOS_INVOC'!$EN$7,P94='DADOS_INVOC'!$EO$7,P94='DADOS_INVOC'!$EP$7,P94='DADOS_INVOC'!$QV$7,P94='DADOS_INVOC'!$QW$7,P94='DADOS_INVOC'!$QX$7,P94='DADOS_INVOC'!$QY$7)),O94,"")</f>
        <v/>
      </c>
      <c r="AZ94">
        <f>IF(OR(P94="",P94='DADOS_INVOC'!$EL$8,P94='DADOS_INVOC'!$EM$8,P94='DADOS_INVOC'!$EN$8,P94='DADOS_INVOC'!$EO$8,P94='DADOS_INVOC'!$EP$8,P94='DADOS_INVOC'!$QV$8,P94='DADOS_INVOC'!$QW$8,P94='DADOS_INVOC'!$QX$8,P94='DADOS_INVOC'!$QY$8),O94,"")</f>
        <v/>
      </c>
      <c r="BA94">
        <f>IF(AND(Q94=1,OR(P94="",P94='DADOS_INVOC'!$EL$8,P94='DADOS_INVOC'!$EM$8,P94='DADOS_INVOC'!$EN$8,P94='DADOS_INVOC'!$EO$8,P94='DADOS_INVOC'!$EP$8,P94='DADOS_INVOC'!$QV$8,P94='DADOS_INVOC'!$QW$8,P94='DADOS_INVOC'!$QX$8,P94='DADOS_INVOC'!$QY$8)),O94,"")</f>
        <v/>
      </c>
      <c r="BB94">
        <f>IF(OR(P94="",P94='DADOS_INVOC'!$EL$9,P94='DADOS_INVOC'!$EM$9,P94='DADOS_INVOC'!$EN$9,P94='DADOS_INVOC'!$EO$9,P94='DADOS_INVOC'!$EP$9,P94='DADOS_INVOC'!$QV$9,P94='DADOS_INVOC'!$QW$9,P94='DADOS_INVOC'!$QX$9,P94='DADOS_INVOC'!$QY$9),O94,"")</f>
        <v/>
      </c>
      <c r="BC94">
        <f>IF(AND(Q94=1,OR(P94="",P94='DADOS_INVOC'!$EL$9,P94='DADOS_INVOC'!$EM$9,P94='DADOS_INVOC'!$EN$9,P94='DADOS_INVOC'!$EO$9,P94='DADOS_INVOC'!$EP$9,P94='DADOS_INVOC'!$QV$9,P94='DADOS_INVOC'!$QW$9,P94='DADOS_INVOC'!$QX$9,P94='DADOS_INVOC'!$QY$9)),O94,"")</f>
        <v/>
      </c>
      <c r="BD94">
        <f>IF(OR(P94="",P94='DADOS_INVOC'!$EL$10,P94='DADOS_INVOC'!$EM$10,P94='DADOS_INVOC'!$EN$10,P94='DADOS_INVOC'!$EO$10,P94='DADOS_INVOC'!$EP$10,P94='DADOS_INVOC'!$QV$10,P94='DADOS_INVOC'!$QW$10,P94='DADOS_INVOC'!$QX$10,P94='DADOS_INVOC'!$QY$10),O94,"")</f>
        <v/>
      </c>
      <c r="BE94">
        <f>IF(AND(Q94=1,OR(P94="",P94='DADOS_INVOC'!$EL$10,P94='DADOS_INVOC'!$EM$10,P94='DADOS_INVOC'!$EN$10,P94='DADOS_INVOC'!$EO$10,P94='DADOS_INVOC'!$EP$10,P94='DADOS_INVOC'!$QV$10,P94='DADOS_INVOC'!$QW$10,P94='DADOS_INVOC'!$QX$10,P94='DADOS_INVOC'!$QY$10)),O94,"")</f>
        <v/>
      </c>
      <c r="BF94">
        <f>IF(OR(P94="",P94='DADOS_INVOC'!$EL$11,P94='DADOS_INVOC'!$EM$11,P94='DADOS_INVOC'!$EN$11,P94='DADOS_INVOC'!$EO$11,P94='DADOS_INVOC'!$EP$11,P94='DADOS_INVOC'!$QV$11,P94='DADOS_INVOC'!$QW$11,P94='DADOS_INVOC'!$QX$11,P94='DADOS_INVOC'!$QY$11),O94,"")</f>
        <v/>
      </c>
      <c r="BG94">
        <f>IF(AND(Q94=1,OR(P94="",P94='DADOS_INVOC'!$EL$11,P94='DADOS_INVOC'!$EM$11,P94='DADOS_INVOC'!$EN$11,P94='DADOS_INVOC'!$EO$11,P94='DADOS_INVOC'!$EP$11,P94='DADOS_INVOC'!$QV$11,P94='DADOS_INVOC'!$QW$11,P94='DADOS_INVOC'!$QX$11,P94='DADOS_INVOC'!$QY$11)),O94,"")</f>
        <v/>
      </c>
      <c r="BH94">
        <f>IF(OR(P94="",P94='DADOS_INVOC'!$EL$12,P94='DADOS_INVOC'!$EM$12,P94='DADOS_INVOC'!$EN$12,P94='DADOS_INVOC'!$EO$12,P94='DADOS_INVOC'!$EP$12,P94='DADOS_INVOC'!$QV$12,P94='DADOS_INVOC'!$QW$12,P94='DADOS_INVOC'!$QX$12,P94='DADOS_INVOC'!$QY$12),O94,"")</f>
        <v/>
      </c>
      <c r="BI94">
        <f>IF(AND(Q94=1,OR(P94="",P94='DADOS_INVOC'!$EL$12,P94='DADOS_INVOC'!$EM$12,P94='DADOS_INVOC'!$EN$12,P94='DADOS_INVOC'!$EO$12,P94='DADOS_INVOC'!$EP$12,P94='DADOS_INVOC'!$QV$12,P94='DADOS_INVOC'!$QW$12,P94='DADOS_INVOC'!$QX$12,P94='DADOS_INVOC'!$QY$12)),O94,"")</f>
        <v/>
      </c>
      <c r="BJ94">
        <f>IF(OR(P94="",P94='DADOS_INVOC'!$EL$13,P94='DADOS_INVOC'!$EM$13,P94='DADOS_INVOC'!$EN$13,P94='DADOS_INVOC'!$EO$13,P94='DADOS_INVOC'!$EP$13,P94='DADOS_INVOC'!$QV$13,P94='DADOS_INVOC'!$QW$13,P94='DADOS_INVOC'!$QX$13,P94='DADOS_INVOC'!$QY$13),O94,"")</f>
        <v/>
      </c>
      <c r="BK94">
        <f>IF(AND(Q94=1,OR(P94="",P94='DADOS_INVOC'!$EL$13,P94='DADOS_INVOC'!$EM$13,P94='DADOS_INVOC'!$EN$13,P94='DADOS_INVOC'!$EO$13,P94='DADOS_INVOC'!$EP$13,P94='DADOS_INVOC'!$QV$13,P94='DADOS_INVOC'!$QW$13,P94='DADOS_INVOC'!$QX$13,P94='DADOS_INVOC'!$QY$13)),O94,"")</f>
        <v/>
      </c>
    </row>
    <row r="95">
      <c r="O95">
        <f>IF(AND(D13&lt;&gt;"",M13=""),D13,"")</f>
        <v/>
      </c>
      <c r="P95">
        <f>IF(O95="","",IF(AND(BR13="Condição",F13="",L13=0),"Controle",IF(O95="","",IF(F13&lt;&gt;"",IF(F13="Nenhuma","",F13),IF(L13&gt;0,INDEX($P$2:$P$83,L13),"")))))</f>
        <v/>
      </c>
      <c r="Q95">
        <f>IF(O95="",0,IF(G13&lt;&gt;"",IFERROR(MATCH(G13,'DADOS_MELHORIAS'!$BN$2:$BN$4,0),0),IF(L13&gt;0,INDEX('DADOS_MELHORIAS'!$Q$2:$Q$83,L13),0)))</f>
        <v/>
      </c>
      <c r="R95">
        <f>IF(O95="",0,Q95+3*IFERROR(VLOOKUP(SUBSTITUTE(SUBSTITUTE(SUBSTITUTE(P95,"~","~~"),"*","~*"),"?","~?"),'DADOS_CRIACAO'!$H$2:$K$20,3,FALSE),0))</f>
        <v/>
      </c>
      <c r="S95">
        <f>IF(O95="",0,IFERROR(VLOOKUP(SUBSTITUTE(SUBSTITUTE(SUBSTITUTE(P95,"~","~~"),"*","~*"),"?","~?"),'DADOS_CRIACAO'!$H$2:$K$20,4,FALSE),0))</f>
        <v/>
      </c>
      <c r="T95">
        <f>IF(O95="",0,IF(BR13="Condição",1,IF(O95="",0,IF(OR(P95="Controle",IF(L13&gt;0,INDEX('DADOS_MELHORIAS'!$T$2:$T$83,L13),0)=1),1,0))))</f>
        <v/>
      </c>
      <c r="U95">
        <f>IF(O95="","",IF(S95=1,"",O95))</f>
        <v/>
      </c>
      <c r="V95">
        <f>IF(O95="","",IF(AND(Q95=1,S95=0),O95,""))</f>
        <v/>
      </c>
      <c r="W95">
        <f>IF(O95="",0,IF(BR13="Condição",1,IF(O95="",0,IF(H13="",IF(L13&gt;0,INDEX('DADOS_MELHORIAS'!$W$2:$W$83,L13),0),IF(H13="Sim",1,0)))))</f>
        <v/>
      </c>
      <c r="X95">
        <f>IF(O95="","",IF(L13&gt;0,INDEX($X$2:$X$83,L13),D13))</f>
        <v/>
      </c>
      <c r="Y95">
        <f>IF(O95="",0,IF(L13&gt;0,INDEX('DADOS_MELHORIAS'!$Y$2:$Y$83,L13),0))</f>
        <v/>
      </c>
      <c r="AG95">
        <f>O95</f>
        <v/>
      </c>
      <c r="AH95">
        <f>P95</f>
        <v/>
      </c>
      <c r="AI95">
        <f>Q95</f>
        <v/>
      </c>
      <c r="AJ95">
        <f>T95</f>
        <v/>
      </c>
      <c r="AK95">
        <f>Y95</f>
        <v/>
      </c>
      <c r="AL95">
        <f>W95</f>
        <v/>
      </c>
      <c r="AN95">
        <f>IF(OR(P95="",P95='DADOS_INVOC'!$EL$2,P95='DADOS_INVOC'!$EM$2,P95='DADOS_INVOC'!$EN$2,P95='DADOS_INVOC'!$EO$2,P95='DADOS_INVOC'!$EP$2,P95='DADOS_INVOC'!$QV$2,P95='DADOS_INVOC'!$QW$2,P95='DADOS_INVOC'!$QX$2,P95='DADOS_INVOC'!$QY$2),O95,"")</f>
        <v/>
      </c>
      <c r="AO95">
        <f>IF(AND(Q95=1,OR(P95="",P95='DADOS_INVOC'!$EL$2,P95='DADOS_INVOC'!$EM$2,P95='DADOS_INVOC'!$EN$2,P95='DADOS_INVOC'!$EO$2,P95='DADOS_INVOC'!$EP$2,P95='DADOS_INVOC'!$QV$2,P95='DADOS_INVOC'!$QW$2,P95='DADOS_INVOC'!$QX$2,P95='DADOS_INVOC'!$QY$2)),O95,"")</f>
        <v/>
      </c>
      <c r="AP95">
        <f>IF(OR(P95="",P95='DADOS_INVOC'!$EL$3,P95='DADOS_INVOC'!$EM$3,P95='DADOS_INVOC'!$EN$3,P95='DADOS_INVOC'!$EO$3,P95='DADOS_INVOC'!$EP$3,P95='DADOS_INVOC'!$QV$3,P95='DADOS_INVOC'!$QW$3,P95='DADOS_INVOC'!$QX$3,P95='DADOS_INVOC'!$QY$3),O95,"")</f>
        <v/>
      </c>
      <c r="AQ95">
        <f>IF(AND(Q95=1,OR(P95="",P95='DADOS_INVOC'!$EL$3,P95='DADOS_INVOC'!$EM$3,P95='DADOS_INVOC'!$EN$3,P95='DADOS_INVOC'!$EO$3,P95='DADOS_INVOC'!$EP$3,P95='DADOS_INVOC'!$QV$3,P95='DADOS_INVOC'!$QW$3,P95='DADOS_INVOC'!$QX$3,P95='DADOS_INVOC'!$QY$3)),O95,"")</f>
        <v/>
      </c>
      <c r="AR95">
        <f>IF(OR(P95="",P95='DADOS_INVOC'!$EL$4,P95='DADOS_INVOC'!$EM$4,P95='DADOS_INVOC'!$EN$4,P95='DADOS_INVOC'!$EO$4,P95='DADOS_INVOC'!$EP$4,P95='DADOS_INVOC'!$QV$4,P95='DADOS_INVOC'!$QW$4,P95='DADOS_INVOC'!$QX$4,P95='DADOS_INVOC'!$QY$4),O95,"")</f>
        <v/>
      </c>
      <c r="AS95">
        <f>IF(AND(Q95=1,OR(P95="",P95='DADOS_INVOC'!$EL$4,P95='DADOS_INVOC'!$EM$4,P95='DADOS_INVOC'!$EN$4,P95='DADOS_INVOC'!$EO$4,P95='DADOS_INVOC'!$EP$4,P95='DADOS_INVOC'!$QV$4,P95='DADOS_INVOC'!$QW$4,P95='DADOS_INVOC'!$QX$4,P95='DADOS_INVOC'!$QY$4)),O95,"")</f>
        <v/>
      </c>
      <c r="AT95">
        <f>IF(OR(P95="",P95='DADOS_INVOC'!$EL$5,P95='DADOS_INVOC'!$EM$5,P95='DADOS_INVOC'!$EN$5,P95='DADOS_INVOC'!$EO$5,P95='DADOS_INVOC'!$EP$5,P95='DADOS_INVOC'!$QV$5,P95='DADOS_INVOC'!$QW$5,P95='DADOS_INVOC'!$QX$5,P95='DADOS_INVOC'!$QY$5),O95,"")</f>
        <v/>
      </c>
      <c r="AU95">
        <f>IF(AND(Q95=1,OR(P95="",P95='DADOS_INVOC'!$EL$5,P95='DADOS_INVOC'!$EM$5,P95='DADOS_INVOC'!$EN$5,P95='DADOS_INVOC'!$EO$5,P95='DADOS_INVOC'!$EP$5,P95='DADOS_INVOC'!$QV$5,P95='DADOS_INVOC'!$QW$5,P95='DADOS_INVOC'!$QX$5,P95='DADOS_INVOC'!$QY$5)),O95,"")</f>
        <v/>
      </c>
      <c r="AV95">
        <f>IF(OR(P95="",P95='DADOS_INVOC'!$EL$6,P95='DADOS_INVOC'!$EM$6,P95='DADOS_INVOC'!$EN$6,P95='DADOS_INVOC'!$EO$6,P95='DADOS_INVOC'!$EP$6,P95='DADOS_INVOC'!$QV$6,P95='DADOS_INVOC'!$QW$6,P95='DADOS_INVOC'!$QX$6,P95='DADOS_INVOC'!$QY$6),O95,"")</f>
        <v/>
      </c>
      <c r="AW95">
        <f>IF(AND(Q95=1,OR(P95="",P95='DADOS_INVOC'!$EL$6,P95='DADOS_INVOC'!$EM$6,P95='DADOS_INVOC'!$EN$6,P95='DADOS_INVOC'!$EO$6,P95='DADOS_INVOC'!$EP$6,P95='DADOS_INVOC'!$QV$6,P95='DADOS_INVOC'!$QW$6,P95='DADOS_INVOC'!$QX$6,P95='DADOS_INVOC'!$QY$6)),O95,"")</f>
        <v/>
      </c>
      <c r="AX95">
        <f>IF(OR(P95="",P95='DADOS_INVOC'!$EL$7,P95='DADOS_INVOC'!$EM$7,P95='DADOS_INVOC'!$EN$7,P95='DADOS_INVOC'!$EO$7,P95='DADOS_INVOC'!$EP$7,P95='DADOS_INVOC'!$QV$7,P95='DADOS_INVOC'!$QW$7,P95='DADOS_INVOC'!$QX$7,P95='DADOS_INVOC'!$QY$7),O95,"")</f>
        <v/>
      </c>
      <c r="AY95">
        <f>IF(AND(Q95=1,OR(P95="",P95='DADOS_INVOC'!$EL$7,P95='DADOS_INVOC'!$EM$7,P95='DADOS_INVOC'!$EN$7,P95='DADOS_INVOC'!$EO$7,P95='DADOS_INVOC'!$EP$7,P95='DADOS_INVOC'!$QV$7,P95='DADOS_INVOC'!$QW$7,P95='DADOS_INVOC'!$QX$7,P95='DADOS_INVOC'!$QY$7)),O95,"")</f>
        <v/>
      </c>
      <c r="AZ95">
        <f>IF(OR(P95="",P95='DADOS_INVOC'!$EL$8,P95='DADOS_INVOC'!$EM$8,P95='DADOS_INVOC'!$EN$8,P95='DADOS_INVOC'!$EO$8,P95='DADOS_INVOC'!$EP$8,P95='DADOS_INVOC'!$QV$8,P95='DADOS_INVOC'!$QW$8,P95='DADOS_INVOC'!$QX$8,P95='DADOS_INVOC'!$QY$8),O95,"")</f>
        <v/>
      </c>
      <c r="BA95">
        <f>IF(AND(Q95=1,OR(P95="",P95='DADOS_INVOC'!$EL$8,P95='DADOS_INVOC'!$EM$8,P95='DADOS_INVOC'!$EN$8,P95='DADOS_INVOC'!$EO$8,P95='DADOS_INVOC'!$EP$8,P95='DADOS_INVOC'!$QV$8,P95='DADOS_INVOC'!$QW$8,P95='DADOS_INVOC'!$QX$8,P95='DADOS_INVOC'!$QY$8)),O95,"")</f>
        <v/>
      </c>
      <c r="BB95">
        <f>IF(OR(P95="",P95='DADOS_INVOC'!$EL$9,P95='DADOS_INVOC'!$EM$9,P95='DADOS_INVOC'!$EN$9,P95='DADOS_INVOC'!$EO$9,P95='DADOS_INVOC'!$EP$9,P95='DADOS_INVOC'!$QV$9,P95='DADOS_INVOC'!$QW$9,P95='DADOS_INVOC'!$QX$9,P95='DADOS_INVOC'!$QY$9),O95,"")</f>
        <v/>
      </c>
      <c r="BC95">
        <f>IF(AND(Q95=1,OR(P95="",P95='DADOS_INVOC'!$EL$9,P95='DADOS_INVOC'!$EM$9,P95='DADOS_INVOC'!$EN$9,P95='DADOS_INVOC'!$EO$9,P95='DADOS_INVOC'!$EP$9,P95='DADOS_INVOC'!$QV$9,P95='DADOS_INVOC'!$QW$9,P95='DADOS_INVOC'!$QX$9,P95='DADOS_INVOC'!$QY$9)),O95,"")</f>
        <v/>
      </c>
      <c r="BD95">
        <f>IF(OR(P95="",P95='DADOS_INVOC'!$EL$10,P95='DADOS_INVOC'!$EM$10,P95='DADOS_INVOC'!$EN$10,P95='DADOS_INVOC'!$EO$10,P95='DADOS_INVOC'!$EP$10,P95='DADOS_INVOC'!$QV$10,P95='DADOS_INVOC'!$QW$10,P95='DADOS_INVOC'!$QX$10,P95='DADOS_INVOC'!$QY$10),O95,"")</f>
        <v/>
      </c>
      <c r="BE95">
        <f>IF(AND(Q95=1,OR(P95="",P95='DADOS_INVOC'!$EL$10,P95='DADOS_INVOC'!$EM$10,P95='DADOS_INVOC'!$EN$10,P95='DADOS_INVOC'!$EO$10,P95='DADOS_INVOC'!$EP$10,P95='DADOS_INVOC'!$QV$10,P95='DADOS_INVOC'!$QW$10,P95='DADOS_INVOC'!$QX$10,P95='DADOS_INVOC'!$QY$10)),O95,"")</f>
        <v/>
      </c>
      <c r="BF95">
        <f>IF(OR(P95="",P95='DADOS_INVOC'!$EL$11,P95='DADOS_INVOC'!$EM$11,P95='DADOS_INVOC'!$EN$11,P95='DADOS_INVOC'!$EO$11,P95='DADOS_INVOC'!$EP$11,P95='DADOS_INVOC'!$QV$11,P95='DADOS_INVOC'!$QW$11,P95='DADOS_INVOC'!$QX$11,P95='DADOS_INVOC'!$QY$11),O95,"")</f>
        <v/>
      </c>
      <c r="BG95">
        <f>IF(AND(Q95=1,OR(P95="",P95='DADOS_INVOC'!$EL$11,P95='DADOS_INVOC'!$EM$11,P95='DADOS_INVOC'!$EN$11,P95='DADOS_INVOC'!$EO$11,P95='DADOS_INVOC'!$EP$11,P95='DADOS_INVOC'!$QV$11,P95='DADOS_INVOC'!$QW$11,P95='DADOS_INVOC'!$QX$11,P95='DADOS_INVOC'!$QY$11)),O95,"")</f>
        <v/>
      </c>
      <c r="BH95">
        <f>IF(OR(P95="",P95='DADOS_INVOC'!$EL$12,P95='DADOS_INVOC'!$EM$12,P95='DADOS_INVOC'!$EN$12,P95='DADOS_INVOC'!$EO$12,P95='DADOS_INVOC'!$EP$12,P95='DADOS_INVOC'!$QV$12,P95='DADOS_INVOC'!$QW$12,P95='DADOS_INVOC'!$QX$12,P95='DADOS_INVOC'!$QY$12),O95,"")</f>
        <v/>
      </c>
      <c r="BI95">
        <f>IF(AND(Q95=1,OR(P95="",P95='DADOS_INVOC'!$EL$12,P95='DADOS_INVOC'!$EM$12,P95='DADOS_INVOC'!$EN$12,P95='DADOS_INVOC'!$EO$12,P95='DADOS_INVOC'!$EP$12,P95='DADOS_INVOC'!$QV$12,P95='DADOS_INVOC'!$QW$12,P95='DADOS_INVOC'!$QX$12,P95='DADOS_INVOC'!$QY$12)),O95,"")</f>
        <v/>
      </c>
      <c r="BJ95">
        <f>IF(OR(P95="",P95='DADOS_INVOC'!$EL$13,P95='DADOS_INVOC'!$EM$13,P95='DADOS_INVOC'!$EN$13,P95='DADOS_INVOC'!$EO$13,P95='DADOS_INVOC'!$EP$13,P95='DADOS_INVOC'!$QV$13,P95='DADOS_INVOC'!$QW$13,P95='DADOS_INVOC'!$QX$13,P95='DADOS_INVOC'!$QY$13),O95,"")</f>
        <v/>
      </c>
      <c r="BK95">
        <f>IF(AND(Q95=1,OR(P95="",P95='DADOS_INVOC'!$EL$13,P95='DADOS_INVOC'!$EM$13,P95='DADOS_INVOC'!$EN$13,P95='DADOS_INVOC'!$EO$13,P95='DADOS_INVOC'!$EP$13,P95='DADOS_INVOC'!$QV$13,P95='DADOS_INVOC'!$QW$13,P95='DADOS_INVOC'!$QX$13,P95='DADOS_INVOC'!$QY$13)),O95,"")</f>
        <v/>
      </c>
    </row>
    <row r="96">
      <c r="O96">
        <f>IF(AND(D14&lt;&gt;"",M14=""),D14,"")</f>
        <v/>
      </c>
      <c r="P96">
        <f>IF(O96="","",IF(AND(BR14="Condição",F14="",L14=0),"Controle",IF(O96="","",IF(F14&lt;&gt;"",IF(F14="Nenhuma","",F14),IF(L14&gt;0,INDEX($P$2:$P$83,L14),"")))))</f>
        <v/>
      </c>
      <c r="Q96">
        <f>IF(O96="",0,IF(G14&lt;&gt;"",IFERROR(MATCH(G14,'DADOS_MELHORIAS'!$BN$2:$BN$4,0),0),IF(L14&gt;0,INDEX('DADOS_MELHORIAS'!$Q$2:$Q$83,L14),0)))</f>
        <v/>
      </c>
      <c r="R96">
        <f>IF(O96="",0,Q96+3*IFERROR(VLOOKUP(SUBSTITUTE(SUBSTITUTE(SUBSTITUTE(P96,"~","~~"),"*","~*"),"?","~?"),'DADOS_CRIACAO'!$H$2:$K$20,3,FALSE),0))</f>
        <v/>
      </c>
      <c r="S96">
        <f>IF(O96="",0,IFERROR(VLOOKUP(SUBSTITUTE(SUBSTITUTE(SUBSTITUTE(P96,"~","~~"),"*","~*"),"?","~?"),'DADOS_CRIACAO'!$H$2:$K$20,4,FALSE),0))</f>
        <v/>
      </c>
      <c r="T96">
        <f>IF(O96="",0,IF(BR14="Condição",1,IF(O96="",0,IF(OR(P96="Controle",IF(L14&gt;0,INDEX('DADOS_MELHORIAS'!$T$2:$T$83,L14),0)=1),1,0))))</f>
        <v/>
      </c>
      <c r="U96">
        <f>IF(O96="","",IF(S96=1,"",O96))</f>
        <v/>
      </c>
      <c r="V96">
        <f>IF(O96="","",IF(AND(Q96=1,S96=0),O96,""))</f>
        <v/>
      </c>
      <c r="W96">
        <f>IF(O96="",0,IF(BR14="Condição",1,IF(O96="",0,IF(H14="",IF(L14&gt;0,INDEX('DADOS_MELHORIAS'!$W$2:$W$83,L14),0),IF(H14="Sim",1,0)))))</f>
        <v/>
      </c>
      <c r="X96">
        <f>IF(O96="","",IF(L14&gt;0,INDEX($X$2:$X$83,L14),D14))</f>
        <v/>
      </c>
      <c r="Y96">
        <f>IF(O96="",0,IF(L14&gt;0,INDEX('DADOS_MELHORIAS'!$Y$2:$Y$83,L14),0))</f>
        <v/>
      </c>
      <c r="AG96">
        <f>O96</f>
        <v/>
      </c>
      <c r="AH96">
        <f>P96</f>
        <v/>
      </c>
      <c r="AI96">
        <f>Q96</f>
        <v/>
      </c>
      <c r="AJ96">
        <f>T96</f>
        <v/>
      </c>
      <c r="AK96">
        <f>Y96</f>
        <v/>
      </c>
      <c r="AL96">
        <f>W96</f>
        <v/>
      </c>
      <c r="AN96">
        <f>IF(OR(P96="",P96='DADOS_INVOC'!$EL$2,P96='DADOS_INVOC'!$EM$2,P96='DADOS_INVOC'!$EN$2,P96='DADOS_INVOC'!$EO$2,P96='DADOS_INVOC'!$EP$2,P96='DADOS_INVOC'!$QV$2,P96='DADOS_INVOC'!$QW$2,P96='DADOS_INVOC'!$QX$2,P96='DADOS_INVOC'!$QY$2),O96,"")</f>
        <v/>
      </c>
      <c r="AO96">
        <f>IF(AND(Q96=1,OR(P96="",P96='DADOS_INVOC'!$EL$2,P96='DADOS_INVOC'!$EM$2,P96='DADOS_INVOC'!$EN$2,P96='DADOS_INVOC'!$EO$2,P96='DADOS_INVOC'!$EP$2,P96='DADOS_INVOC'!$QV$2,P96='DADOS_INVOC'!$QW$2,P96='DADOS_INVOC'!$QX$2,P96='DADOS_INVOC'!$QY$2)),O96,"")</f>
        <v/>
      </c>
      <c r="AP96">
        <f>IF(OR(P96="",P96='DADOS_INVOC'!$EL$3,P96='DADOS_INVOC'!$EM$3,P96='DADOS_INVOC'!$EN$3,P96='DADOS_INVOC'!$EO$3,P96='DADOS_INVOC'!$EP$3,P96='DADOS_INVOC'!$QV$3,P96='DADOS_INVOC'!$QW$3,P96='DADOS_INVOC'!$QX$3,P96='DADOS_INVOC'!$QY$3),O96,"")</f>
        <v/>
      </c>
      <c r="AQ96">
        <f>IF(AND(Q96=1,OR(P96="",P96='DADOS_INVOC'!$EL$3,P96='DADOS_INVOC'!$EM$3,P96='DADOS_INVOC'!$EN$3,P96='DADOS_INVOC'!$EO$3,P96='DADOS_INVOC'!$EP$3,P96='DADOS_INVOC'!$QV$3,P96='DADOS_INVOC'!$QW$3,P96='DADOS_INVOC'!$QX$3,P96='DADOS_INVOC'!$QY$3)),O96,"")</f>
        <v/>
      </c>
      <c r="AR96">
        <f>IF(OR(P96="",P96='DADOS_INVOC'!$EL$4,P96='DADOS_INVOC'!$EM$4,P96='DADOS_INVOC'!$EN$4,P96='DADOS_INVOC'!$EO$4,P96='DADOS_INVOC'!$EP$4,P96='DADOS_INVOC'!$QV$4,P96='DADOS_INVOC'!$QW$4,P96='DADOS_INVOC'!$QX$4,P96='DADOS_INVOC'!$QY$4),O96,"")</f>
        <v/>
      </c>
      <c r="AS96">
        <f>IF(AND(Q96=1,OR(P96="",P96='DADOS_INVOC'!$EL$4,P96='DADOS_INVOC'!$EM$4,P96='DADOS_INVOC'!$EN$4,P96='DADOS_INVOC'!$EO$4,P96='DADOS_INVOC'!$EP$4,P96='DADOS_INVOC'!$QV$4,P96='DADOS_INVOC'!$QW$4,P96='DADOS_INVOC'!$QX$4,P96='DADOS_INVOC'!$QY$4)),O96,"")</f>
        <v/>
      </c>
      <c r="AT96">
        <f>IF(OR(P96="",P96='DADOS_INVOC'!$EL$5,P96='DADOS_INVOC'!$EM$5,P96='DADOS_INVOC'!$EN$5,P96='DADOS_INVOC'!$EO$5,P96='DADOS_INVOC'!$EP$5,P96='DADOS_INVOC'!$QV$5,P96='DADOS_INVOC'!$QW$5,P96='DADOS_INVOC'!$QX$5,P96='DADOS_INVOC'!$QY$5),O96,"")</f>
        <v/>
      </c>
      <c r="AU96">
        <f>IF(AND(Q96=1,OR(P96="",P96='DADOS_INVOC'!$EL$5,P96='DADOS_INVOC'!$EM$5,P96='DADOS_INVOC'!$EN$5,P96='DADOS_INVOC'!$EO$5,P96='DADOS_INVOC'!$EP$5,P96='DADOS_INVOC'!$QV$5,P96='DADOS_INVOC'!$QW$5,P96='DADOS_INVOC'!$QX$5,P96='DADOS_INVOC'!$QY$5)),O96,"")</f>
        <v/>
      </c>
      <c r="AV96">
        <f>IF(OR(P96="",P96='DADOS_INVOC'!$EL$6,P96='DADOS_INVOC'!$EM$6,P96='DADOS_INVOC'!$EN$6,P96='DADOS_INVOC'!$EO$6,P96='DADOS_INVOC'!$EP$6,P96='DADOS_INVOC'!$QV$6,P96='DADOS_INVOC'!$QW$6,P96='DADOS_INVOC'!$QX$6,P96='DADOS_INVOC'!$QY$6),O96,"")</f>
        <v/>
      </c>
      <c r="AW96">
        <f>IF(AND(Q96=1,OR(P96="",P96='DADOS_INVOC'!$EL$6,P96='DADOS_INVOC'!$EM$6,P96='DADOS_INVOC'!$EN$6,P96='DADOS_INVOC'!$EO$6,P96='DADOS_INVOC'!$EP$6,P96='DADOS_INVOC'!$QV$6,P96='DADOS_INVOC'!$QW$6,P96='DADOS_INVOC'!$QX$6,P96='DADOS_INVOC'!$QY$6)),O96,"")</f>
        <v/>
      </c>
      <c r="AX96">
        <f>IF(OR(P96="",P96='DADOS_INVOC'!$EL$7,P96='DADOS_INVOC'!$EM$7,P96='DADOS_INVOC'!$EN$7,P96='DADOS_INVOC'!$EO$7,P96='DADOS_INVOC'!$EP$7,P96='DADOS_INVOC'!$QV$7,P96='DADOS_INVOC'!$QW$7,P96='DADOS_INVOC'!$QX$7,P96='DADOS_INVOC'!$QY$7),O96,"")</f>
        <v/>
      </c>
      <c r="AY96">
        <f>IF(AND(Q96=1,OR(P96="",P96='DADOS_INVOC'!$EL$7,P96='DADOS_INVOC'!$EM$7,P96='DADOS_INVOC'!$EN$7,P96='DADOS_INVOC'!$EO$7,P96='DADOS_INVOC'!$EP$7,P96='DADOS_INVOC'!$QV$7,P96='DADOS_INVOC'!$QW$7,P96='DADOS_INVOC'!$QX$7,P96='DADOS_INVOC'!$QY$7)),O96,"")</f>
        <v/>
      </c>
      <c r="AZ96">
        <f>IF(OR(P96="",P96='DADOS_INVOC'!$EL$8,P96='DADOS_INVOC'!$EM$8,P96='DADOS_INVOC'!$EN$8,P96='DADOS_INVOC'!$EO$8,P96='DADOS_INVOC'!$EP$8,P96='DADOS_INVOC'!$QV$8,P96='DADOS_INVOC'!$QW$8,P96='DADOS_INVOC'!$QX$8,P96='DADOS_INVOC'!$QY$8),O96,"")</f>
        <v/>
      </c>
      <c r="BA96">
        <f>IF(AND(Q96=1,OR(P96="",P96='DADOS_INVOC'!$EL$8,P96='DADOS_INVOC'!$EM$8,P96='DADOS_INVOC'!$EN$8,P96='DADOS_INVOC'!$EO$8,P96='DADOS_INVOC'!$EP$8,P96='DADOS_INVOC'!$QV$8,P96='DADOS_INVOC'!$QW$8,P96='DADOS_INVOC'!$QX$8,P96='DADOS_INVOC'!$QY$8)),O96,"")</f>
        <v/>
      </c>
      <c r="BB96">
        <f>IF(OR(P96="",P96='DADOS_INVOC'!$EL$9,P96='DADOS_INVOC'!$EM$9,P96='DADOS_INVOC'!$EN$9,P96='DADOS_INVOC'!$EO$9,P96='DADOS_INVOC'!$EP$9,P96='DADOS_INVOC'!$QV$9,P96='DADOS_INVOC'!$QW$9,P96='DADOS_INVOC'!$QX$9,P96='DADOS_INVOC'!$QY$9),O96,"")</f>
        <v/>
      </c>
      <c r="BC96">
        <f>IF(AND(Q96=1,OR(P96="",P96='DADOS_INVOC'!$EL$9,P96='DADOS_INVOC'!$EM$9,P96='DADOS_INVOC'!$EN$9,P96='DADOS_INVOC'!$EO$9,P96='DADOS_INVOC'!$EP$9,P96='DADOS_INVOC'!$QV$9,P96='DADOS_INVOC'!$QW$9,P96='DADOS_INVOC'!$QX$9,P96='DADOS_INVOC'!$QY$9)),O96,"")</f>
        <v/>
      </c>
      <c r="BD96">
        <f>IF(OR(P96="",P96='DADOS_INVOC'!$EL$10,P96='DADOS_INVOC'!$EM$10,P96='DADOS_INVOC'!$EN$10,P96='DADOS_INVOC'!$EO$10,P96='DADOS_INVOC'!$EP$10,P96='DADOS_INVOC'!$QV$10,P96='DADOS_INVOC'!$QW$10,P96='DADOS_INVOC'!$QX$10,P96='DADOS_INVOC'!$QY$10),O96,"")</f>
        <v/>
      </c>
      <c r="BE96">
        <f>IF(AND(Q96=1,OR(P96="",P96='DADOS_INVOC'!$EL$10,P96='DADOS_INVOC'!$EM$10,P96='DADOS_INVOC'!$EN$10,P96='DADOS_INVOC'!$EO$10,P96='DADOS_INVOC'!$EP$10,P96='DADOS_INVOC'!$QV$10,P96='DADOS_INVOC'!$QW$10,P96='DADOS_INVOC'!$QX$10,P96='DADOS_INVOC'!$QY$10)),O96,"")</f>
        <v/>
      </c>
      <c r="BF96">
        <f>IF(OR(P96="",P96='DADOS_INVOC'!$EL$11,P96='DADOS_INVOC'!$EM$11,P96='DADOS_INVOC'!$EN$11,P96='DADOS_INVOC'!$EO$11,P96='DADOS_INVOC'!$EP$11,P96='DADOS_INVOC'!$QV$11,P96='DADOS_INVOC'!$QW$11,P96='DADOS_INVOC'!$QX$11,P96='DADOS_INVOC'!$QY$11),O96,"")</f>
        <v/>
      </c>
      <c r="BG96">
        <f>IF(AND(Q96=1,OR(P96="",P96='DADOS_INVOC'!$EL$11,P96='DADOS_INVOC'!$EM$11,P96='DADOS_INVOC'!$EN$11,P96='DADOS_INVOC'!$EO$11,P96='DADOS_INVOC'!$EP$11,P96='DADOS_INVOC'!$QV$11,P96='DADOS_INVOC'!$QW$11,P96='DADOS_INVOC'!$QX$11,P96='DADOS_INVOC'!$QY$11)),O96,"")</f>
        <v/>
      </c>
      <c r="BH96">
        <f>IF(OR(P96="",P96='DADOS_INVOC'!$EL$12,P96='DADOS_INVOC'!$EM$12,P96='DADOS_INVOC'!$EN$12,P96='DADOS_INVOC'!$EO$12,P96='DADOS_INVOC'!$EP$12,P96='DADOS_INVOC'!$QV$12,P96='DADOS_INVOC'!$QW$12,P96='DADOS_INVOC'!$QX$12,P96='DADOS_INVOC'!$QY$12),O96,"")</f>
        <v/>
      </c>
      <c r="BI96">
        <f>IF(AND(Q96=1,OR(P96="",P96='DADOS_INVOC'!$EL$12,P96='DADOS_INVOC'!$EM$12,P96='DADOS_INVOC'!$EN$12,P96='DADOS_INVOC'!$EO$12,P96='DADOS_INVOC'!$EP$12,P96='DADOS_INVOC'!$QV$12,P96='DADOS_INVOC'!$QW$12,P96='DADOS_INVOC'!$QX$12,P96='DADOS_INVOC'!$QY$12)),O96,"")</f>
        <v/>
      </c>
      <c r="BJ96">
        <f>IF(OR(P96="",P96='DADOS_INVOC'!$EL$13,P96='DADOS_INVOC'!$EM$13,P96='DADOS_INVOC'!$EN$13,P96='DADOS_INVOC'!$EO$13,P96='DADOS_INVOC'!$EP$13,P96='DADOS_INVOC'!$QV$13,P96='DADOS_INVOC'!$QW$13,P96='DADOS_INVOC'!$QX$13,P96='DADOS_INVOC'!$QY$13),O96,"")</f>
        <v/>
      </c>
      <c r="BK96">
        <f>IF(AND(Q96=1,OR(P96="",P96='DADOS_INVOC'!$EL$13,P96='DADOS_INVOC'!$EM$13,P96='DADOS_INVOC'!$EN$13,P96='DADOS_INVOC'!$EO$13,P96='DADOS_INVOC'!$EP$13,P96='DADOS_INVOC'!$QV$13,P96='DADOS_INVOC'!$QW$13,P96='DADOS_INVOC'!$QX$13,P96='DADOS_INVOC'!$QY$13)),O96,"")</f>
        <v/>
      </c>
    </row>
    <row r="97">
      <c r="O97">
        <f>IF(AND(D15&lt;&gt;"",M15=""),D15,"")</f>
        <v/>
      </c>
      <c r="P97">
        <f>IF(O97="","",IF(AND(BR15="Condição",F15="",L15=0),"Controle",IF(O97="","",IF(F15&lt;&gt;"",IF(F15="Nenhuma","",F15),IF(L15&gt;0,INDEX($P$2:$P$83,L15),"")))))</f>
        <v/>
      </c>
      <c r="Q97">
        <f>IF(O97="",0,IF(G15&lt;&gt;"",IFERROR(MATCH(G15,'DADOS_MELHORIAS'!$BN$2:$BN$4,0),0),IF(L15&gt;0,INDEX('DADOS_MELHORIAS'!$Q$2:$Q$83,L15),0)))</f>
        <v/>
      </c>
      <c r="R97">
        <f>IF(O97="",0,Q97+3*IFERROR(VLOOKUP(SUBSTITUTE(SUBSTITUTE(SUBSTITUTE(P97,"~","~~"),"*","~*"),"?","~?"),'DADOS_CRIACAO'!$H$2:$K$20,3,FALSE),0))</f>
        <v/>
      </c>
      <c r="S97">
        <f>IF(O97="",0,IFERROR(VLOOKUP(SUBSTITUTE(SUBSTITUTE(SUBSTITUTE(P97,"~","~~"),"*","~*"),"?","~?"),'DADOS_CRIACAO'!$H$2:$K$20,4,FALSE),0))</f>
        <v/>
      </c>
      <c r="T97">
        <f>IF(O97="",0,IF(BR15="Condição",1,IF(O97="",0,IF(OR(P97="Controle",IF(L15&gt;0,INDEX('DADOS_MELHORIAS'!$T$2:$T$83,L15),0)=1),1,0))))</f>
        <v/>
      </c>
      <c r="U97">
        <f>IF(O97="","",IF(S97=1,"",O97))</f>
        <v/>
      </c>
      <c r="V97">
        <f>IF(O97="","",IF(AND(Q97=1,S97=0),O97,""))</f>
        <v/>
      </c>
      <c r="W97">
        <f>IF(O97="",0,IF(BR15="Condição",1,IF(O97="",0,IF(H15="",IF(L15&gt;0,INDEX('DADOS_MELHORIAS'!$W$2:$W$83,L15),0),IF(H15="Sim",1,0)))))</f>
        <v/>
      </c>
      <c r="X97">
        <f>IF(O97="","",IF(L15&gt;0,INDEX($X$2:$X$83,L15),D15))</f>
        <v/>
      </c>
      <c r="Y97">
        <f>IF(O97="",0,IF(L15&gt;0,INDEX('DADOS_MELHORIAS'!$Y$2:$Y$83,L15),0))</f>
        <v/>
      </c>
      <c r="AG97">
        <f>O97</f>
        <v/>
      </c>
      <c r="AH97">
        <f>P97</f>
        <v/>
      </c>
      <c r="AI97">
        <f>Q97</f>
        <v/>
      </c>
      <c r="AJ97">
        <f>T97</f>
        <v/>
      </c>
      <c r="AK97">
        <f>Y97</f>
        <v/>
      </c>
      <c r="AL97">
        <f>W97</f>
        <v/>
      </c>
      <c r="AN97">
        <f>IF(OR(P97="",P97='DADOS_INVOC'!$EL$2,P97='DADOS_INVOC'!$EM$2,P97='DADOS_INVOC'!$EN$2,P97='DADOS_INVOC'!$EO$2,P97='DADOS_INVOC'!$EP$2,P97='DADOS_INVOC'!$QV$2,P97='DADOS_INVOC'!$QW$2,P97='DADOS_INVOC'!$QX$2,P97='DADOS_INVOC'!$QY$2),O97,"")</f>
        <v/>
      </c>
      <c r="AO97">
        <f>IF(AND(Q97=1,OR(P97="",P97='DADOS_INVOC'!$EL$2,P97='DADOS_INVOC'!$EM$2,P97='DADOS_INVOC'!$EN$2,P97='DADOS_INVOC'!$EO$2,P97='DADOS_INVOC'!$EP$2,P97='DADOS_INVOC'!$QV$2,P97='DADOS_INVOC'!$QW$2,P97='DADOS_INVOC'!$QX$2,P97='DADOS_INVOC'!$QY$2)),O97,"")</f>
        <v/>
      </c>
      <c r="AP97">
        <f>IF(OR(P97="",P97='DADOS_INVOC'!$EL$3,P97='DADOS_INVOC'!$EM$3,P97='DADOS_INVOC'!$EN$3,P97='DADOS_INVOC'!$EO$3,P97='DADOS_INVOC'!$EP$3,P97='DADOS_INVOC'!$QV$3,P97='DADOS_INVOC'!$QW$3,P97='DADOS_INVOC'!$QX$3,P97='DADOS_INVOC'!$QY$3),O97,"")</f>
        <v/>
      </c>
      <c r="AQ97">
        <f>IF(AND(Q97=1,OR(P97="",P97='DADOS_INVOC'!$EL$3,P97='DADOS_INVOC'!$EM$3,P97='DADOS_INVOC'!$EN$3,P97='DADOS_INVOC'!$EO$3,P97='DADOS_INVOC'!$EP$3,P97='DADOS_INVOC'!$QV$3,P97='DADOS_INVOC'!$QW$3,P97='DADOS_INVOC'!$QX$3,P97='DADOS_INVOC'!$QY$3)),O97,"")</f>
        <v/>
      </c>
      <c r="AR97">
        <f>IF(OR(P97="",P97='DADOS_INVOC'!$EL$4,P97='DADOS_INVOC'!$EM$4,P97='DADOS_INVOC'!$EN$4,P97='DADOS_INVOC'!$EO$4,P97='DADOS_INVOC'!$EP$4,P97='DADOS_INVOC'!$QV$4,P97='DADOS_INVOC'!$QW$4,P97='DADOS_INVOC'!$QX$4,P97='DADOS_INVOC'!$QY$4),O97,"")</f>
        <v/>
      </c>
      <c r="AS97">
        <f>IF(AND(Q97=1,OR(P97="",P97='DADOS_INVOC'!$EL$4,P97='DADOS_INVOC'!$EM$4,P97='DADOS_INVOC'!$EN$4,P97='DADOS_INVOC'!$EO$4,P97='DADOS_INVOC'!$EP$4,P97='DADOS_INVOC'!$QV$4,P97='DADOS_INVOC'!$QW$4,P97='DADOS_INVOC'!$QX$4,P97='DADOS_INVOC'!$QY$4)),O97,"")</f>
        <v/>
      </c>
      <c r="AT97">
        <f>IF(OR(P97="",P97='DADOS_INVOC'!$EL$5,P97='DADOS_INVOC'!$EM$5,P97='DADOS_INVOC'!$EN$5,P97='DADOS_INVOC'!$EO$5,P97='DADOS_INVOC'!$EP$5,P97='DADOS_INVOC'!$QV$5,P97='DADOS_INVOC'!$QW$5,P97='DADOS_INVOC'!$QX$5,P97='DADOS_INVOC'!$QY$5),O97,"")</f>
        <v/>
      </c>
      <c r="AU97">
        <f>IF(AND(Q97=1,OR(P97="",P97='DADOS_INVOC'!$EL$5,P97='DADOS_INVOC'!$EM$5,P97='DADOS_INVOC'!$EN$5,P97='DADOS_INVOC'!$EO$5,P97='DADOS_INVOC'!$EP$5,P97='DADOS_INVOC'!$QV$5,P97='DADOS_INVOC'!$QW$5,P97='DADOS_INVOC'!$QX$5,P97='DADOS_INVOC'!$QY$5)),O97,"")</f>
        <v/>
      </c>
      <c r="AV97">
        <f>IF(OR(P97="",P97='DADOS_INVOC'!$EL$6,P97='DADOS_INVOC'!$EM$6,P97='DADOS_INVOC'!$EN$6,P97='DADOS_INVOC'!$EO$6,P97='DADOS_INVOC'!$EP$6,P97='DADOS_INVOC'!$QV$6,P97='DADOS_INVOC'!$QW$6,P97='DADOS_INVOC'!$QX$6,P97='DADOS_INVOC'!$QY$6),O97,"")</f>
        <v/>
      </c>
      <c r="AW97">
        <f>IF(AND(Q97=1,OR(P97="",P97='DADOS_INVOC'!$EL$6,P97='DADOS_INVOC'!$EM$6,P97='DADOS_INVOC'!$EN$6,P97='DADOS_INVOC'!$EO$6,P97='DADOS_INVOC'!$EP$6,P97='DADOS_INVOC'!$QV$6,P97='DADOS_INVOC'!$QW$6,P97='DADOS_INVOC'!$QX$6,P97='DADOS_INVOC'!$QY$6)),O97,"")</f>
        <v/>
      </c>
      <c r="AX97">
        <f>IF(OR(P97="",P97='DADOS_INVOC'!$EL$7,P97='DADOS_INVOC'!$EM$7,P97='DADOS_INVOC'!$EN$7,P97='DADOS_INVOC'!$EO$7,P97='DADOS_INVOC'!$EP$7,P97='DADOS_INVOC'!$QV$7,P97='DADOS_INVOC'!$QW$7,P97='DADOS_INVOC'!$QX$7,P97='DADOS_INVOC'!$QY$7),O97,"")</f>
        <v/>
      </c>
      <c r="AY97">
        <f>IF(AND(Q97=1,OR(P97="",P97='DADOS_INVOC'!$EL$7,P97='DADOS_INVOC'!$EM$7,P97='DADOS_INVOC'!$EN$7,P97='DADOS_INVOC'!$EO$7,P97='DADOS_INVOC'!$EP$7,P97='DADOS_INVOC'!$QV$7,P97='DADOS_INVOC'!$QW$7,P97='DADOS_INVOC'!$QX$7,P97='DADOS_INVOC'!$QY$7)),O97,"")</f>
        <v/>
      </c>
      <c r="AZ97">
        <f>IF(OR(P97="",P97='DADOS_INVOC'!$EL$8,P97='DADOS_INVOC'!$EM$8,P97='DADOS_INVOC'!$EN$8,P97='DADOS_INVOC'!$EO$8,P97='DADOS_INVOC'!$EP$8,P97='DADOS_INVOC'!$QV$8,P97='DADOS_INVOC'!$QW$8,P97='DADOS_INVOC'!$QX$8,P97='DADOS_INVOC'!$QY$8),O97,"")</f>
        <v/>
      </c>
      <c r="BA97">
        <f>IF(AND(Q97=1,OR(P97="",P97='DADOS_INVOC'!$EL$8,P97='DADOS_INVOC'!$EM$8,P97='DADOS_INVOC'!$EN$8,P97='DADOS_INVOC'!$EO$8,P97='DADOS_INVOC'!$EP$8,P97='DADOS_INVOC'!$QV$8,P97='DADOS_INVOC'!$QW$8,P97='DADOS_INVOC'!$QX$8,P97='DADOS_INVOC'!$QY$8)),O97,"")</f>
        <v/>
      </c>
      <c r="BB97">
        <f>IF(OR(P97="",P97='DADOS_INVOC'!$EL$9,P97='DADOS_INVOC'!$EM$9,P97='DADOS_INVOC'!$EN$9,P97='DADOS_INVOC'!$EO$9,P97='DADOS_INVOC'!$EP$9,P97='DADOS_INVOC'!$QV$9,P97='DADOS_INVOC'!$QW$9,P97='DADOS_INVOC'!$QX$9,P97='DADOS_INVOC'!$QY$9),O97,"")</f>
        <v/>
      </c>
      <c r="BC97">
        <f>IF(AND(Q97=1,OR(P97="",P97='DADOS_INVOC'!$EL$9,P97='DADOS_INVOC'!$EM$9,P97='DADOS_INVOC'!$EN$9,P97='DADOS_INVOC'!$EO$9,P97='DADOS_INVOC'!$EP$9,P97='DADOS_INVOC'!$QV$9,P97='DADOS_INVOC'!$QW$9,P97='DADOS_INVOC'!$QX$9,P97='DADOS_INVOC'!$QY$9)),O97,"")</f>
        <v/>
      </c>
      <c r="BD97">
        <f>IF(OR(P97="",P97='DADOS_INVOC'!$EL$10,P97='DADOS_INVOC'!$EM$10,P97='DADOS_INVOC'!$EN$10,P97='DADOS_INVOC'!$EO$10,P97='DADOS_INVOC'!$EP$10,P97='DADOS_INVOC'!$QV$10,P97='DADOS_INVOC'!$QW$10,P97='DADOS_INVOC'!$QX$10,P97='DADOS_INVOC'!$QY$10),O97,"")</f>
        <v/>
      </c>
      <c r="BE97">
        <f>IF(AND(Q97=1,OR(P97="",P97='DADOS_INVOC'!$EL$10,P97='DADOS_INVOC'!$EM$10,P97='DADOS_INVOC'!$EN$10,P97='DADOS_INVOC'!$EO$10,P97='DADOS_INVOC'!$EP$10,P97='DADOS_INVOC'!$QV$10,P97='DADOS_INVOC'!$QW$10,P97='DADOS_INVOC'!$QX$10,P97='DADOS_INVOC'!$QY$10)),O97,"")</f>
        <v/>
      </c>
      <c r="BF97">
        <f>IF(OR(P97="",P97='DADOS_INVOC'!$EL$11,P97='DADOS_INVOC'!$EM$11,P97='DADOS_INVOC'!$EN$11,P97='DADOS_INVOC'!$EO$11,P97='DADOS_INVOC'!$EP$11,P97='DADOS_INVOC'!$QV$11,P97='DADOS_INVOC'!$QW$11,P97='DADOS_INVOC'!$QX$11,P97='DADOS_INVOC'!$QY$11),O97,"")</f>
        <v/>
      </c>
      <c r="BG97">
        <f>IF(AND(Q97=1,OR(P97="",P97='DADOS_INVOC'!$EL$11,P97='DADOS_INVOC'!$EM$11,P97='DADOS_INVOC'!$EN$11,P97='DADOS_INVOC'!$EO$11,P97='DADOS_INVOC'!$EP$11,P97='DADOS_INVOC'!$QV$11,P97='DADOS_INVOC'!$QW$11,P97='DADOS_INVOC'!$QX$11,P97='DADOS_INVOC'!$QY$11)),O97,"")</f>
        <v/>
      </c>
      <c r="BH97">
        <f>IF(OR(P97="",P97='DADOS_INVOC'!$EL$12,P97='DADOS_INVOC'!$EM$12,P97='DADOS_INVOC'!$EN$12,P97='DADOS_INVOC'!$EO$12,P97='DADOS_INVOC'!$EP$12,P97='DADOS_INVOC'!$QV$12,P97='DADOS_INVOC'!$QW$12,P97='DADOS_INVOC'!$QX$12,P97='DADOS_INVOC'!$QY$12),O97,"")</f>
        <v/>
      </c>
      <c r="BI97">
        <f>IF(AND(Q97=1,OR(P97="",P97='DADOS_INVOC'!$EL$12,P97='DADOS_INVOC'!$EM$12,P97='DADOS_INVOC'!$EN$12,P97='DADOS_INVOC'!$EO$12,P97='DADOS_INVOC'!$EP$12,P97='DADOS_INVOC'!$QV$12,P97='DADOS_INVOC'!$QW$12,P97='DADOS_INVOC'!$QX$12,P97='DADOS_INVOC'!$QY$12)),O97,"")</f>
        <v/>
      </c>
      <c r="BJ97">
        <f>IF(OR(P97="",P97='DADOS_INVOC'!$EL$13,P97='DADOS_INVOC'!$EM$13,P97='DADOS_INVOC'!$EN$13,P97='DADOS_INVOC'!$EO$13,P97='DADOS_INVOC'!$EP$13,P97='DADOS_INVOC'!$QV$13,P97='DADOS_INVOC'!$QW$13,P97='DADOS_INVOC'!$QX$13,P97='DADOS_INVOC'!$QY$13),O97,"")</f>
        <v/>
      </c>
      <c r="BK97">
        <f>IF(AND(Q97=1,OR(P97="",P97='DADOS_INVOC'!$EL$13,P97='DADOS_INVOC'!$EM$13,P97='DADOS_INVOC'!$EN$13,P97='DADOS_INVOC'!$EO$13,P97='DADOS_INVOC'!$EP$13,P97='DADOS_INVOC'!$QV$13,P97='DADOS_INVOC'!$QW$13,P97='DADOS_INVOC'!$QX$13,P97='DADOS_INVOC'!$QY$13)),O97,"")</f>
        <v/>
      </c>
    </row>
    <row r="98">
      <c r="O98">
        <f>IF(AND(D16&lt;&gt;"",M16=""),D16,"")</f>
        <v/>
      </c>
      <c r="P98">
        <f>IF(O98="","",IF(AND(BR16="Condição",F16="",L16=0),"Controle",IF(O98="","",IF(F16&lt;&gt;"",IF(F16="Nenhuma","",F16),IF(L16&gt;0,INDEX($P$2:$P$83,L16),"")))))</f>
        <v/>
      </c>
      <c r="Q98">
        <f>IF(O98="",0,IF(G16&lt;&gt;"",IFERROR(MATCH(G16,'DADOS_MELHORIAS'!$BN$2:$BN$4,0),0),IF(L16&gt;0,INDEX('DADOS_MELHORIAS'!$Q$2:$Q$83,L16),0)))</f>
        <v/>
      </c>
      <c r="R98">
        <f>IF(O98="",0,Q98+3*IFERROR(VLOOKUP(SUBSTITUTE(SUBSTITUTE(SUBSTITUTE(P98,"~","~~"),"*","~*"),"?","~?"),'DADOS_CRIACAO'!$H$2:$K$20,3,FALSE),0))</f>
        <v/>
      </c>
      <c r="S98">
        <f>IF(O98="",0,IFERROR(VLOOKUP(SUBSTITUTE(SUBSTITUTE(SUBSTITUTE(P98,"~","~~"),"*","~*"),"?","~?"),'DADOS_CRIACAO'!$H$2:$K$20,4,FALSE),0))</f>
        <v/>
      </c>
      <c r="T98">
        <f>IF(O98="",0,IF(BR16="Condição",1,IF(O98="",0,IF(OR(P98="Controle",IF(L16&gt;0,INDEX('DADOS_MELHORIAS'!$T$2:$T$83,L16),0)=1),1,0))))</f>
        <v/>
      </c>
      <c r="U98">
        <f>IF(O98="","",IF(S98=1,"",O98))</f>
        <v/>
      </c>
      <c r="V98">
        <f>IF(O98="","",IF(AND(Q98=1,S98=0),O98,""))</f>
        <v/>
      </c>
      <c r="W98">
        <f>IF(O98="",0,IF(BR16="Condição",1,IF(O98="",0,IF(H16="",IF(L16&gt;0,INDEX('DADOS_MELHORIAS'!$W$2:$W$83,L16),0),IF(H16="Sim",1,0)))))</f>
        <v/>
      </c>
      <c r="X98">
        <f>IF(O98="","",IF(L16&gt;0,INDEX($X$2:$X$83,L16),D16))</f>
        <v/>
      </c>
      <c r="Y98">
        <f>IF(O98="",0,IF(L16&gt;0,INDEX('DADOS_MELHORIAS'!$Y$2:$Y$83,L16),0))</f>
        <v/>
      </c>
      <c r="AG98">
        <f>O98</f>
        <v/>
      </c>
      <c r="AH98">
        <f>P98</f>
        <v/>
      </c>
      <c r="AI98">
        <f>Q98</f>
        <v/>
      </c>
      <c r="AJ98">
        <f>T98</f>
        <v/>
      </c>
      <c r="AK98">
        <f>Y98</f>
        <v/>
      </c>
      <c r="AL98">
        <f>W98</f>
        <v/>
      </c>
      <c r="AN98">
        <f>IF(OR(P98="",P98='DADOS_INVOC'!$EL$2,P98='DADOS_INVOC'!$EM$2,P98='DADOS_INVOC'!$EN$2,P98='DADOS_INVOC'!$EO$2,P98='DADOS_INVOC'!$EP$2,P98='DADOS_INVOC'!$QV$2,P98='DADOS_INVOC'!$QW$2,P98='DADOS_INVOC'!$QX$2,P98='DADOS_INVOC'!$QY$2),O98,"")</f>
        <v/>
      </c>
      <c r="AO98">
        <f>IF(AND(Q98=1,OR(P98="",P98='DADOS_INVOC'!$EL$2,P98='DADOS_INVOC'!$EM$2,P98='DADOS_INVOC'!$EN$2,P98='DADOS_INVOC'!$EO$2,P98='DADOS_INVOC'!$EP$2,P98='DADOS_INVOC'!$QV$2,P98='DADOS_INVOC'!$QW$2,P98='DADOS_INVOC'!$QX$2,P98='DADOS_INVOC'!$QY$2)),O98,"")</f>
        <v/>
      </c>
      <c r="AP98">
        <f>IF(OR(P98="",P98='DADOS_INVOC'!$EL$3,P98='DADOS_INVOC'!$EM$3,P98='DADOS_INVOC'!$EN$3,P98='DADOS_INVOC'!$EO$3,P98='DADOS_INVOC'!$EP$3,P98='DADOS_INVOC'!$QV$3,P98='DADOS_INVOC'!$QW$3,P98='DADOS_INVOC'!$QX$3,P98='DADOS_INVOC'!$QY$3),O98,"")</f>
        <v/>
      </c>
      <c r="AQ98">
        <f>IF(AND(Q98=1,OR(P98="",P98='DADOS_INVOC'!$EL$3,P98='DADOS_INVOC'!$EM$3,P98='DADOS_INVOC'!$EN$3,P98='DADOS_INVOC'!$EO$3,P98='DADOS_INVOC'!$EP$3,P98='DADOS_INVOC'!$QV$3,P98='DADOS_INVOC'!$QW$3,P98='DADOS_INVOC'!$QX$3,P98='DADOS_INVOC'!$QY$3)),O98,"")</f>
        <v/>
      </c>
      <c r="AR98">
        <f>IF(OR(P98="",P98='DADOS_INVOC'!$EL$4,P98='DADOS_INVOC'!$EM$4,P98='DADOS_INVOC'!$EN$4,P98='DADOS_INVOC'!$EO$4,P98='DADOS_INVOC'!$EP$4,P98='DADOS_INVOC'!$QV$4,P98='DADOS_INVOC'!$QW$4,P98='DADOS_INVOC'!$QX$4,P98='DADOS_INVOC'!$QY$4),O98,"")</f>
        <v/>
      </c>
      <c r="AS98">
        <f>IF(AND(Q98=1,OR(P98="",P98='DADOS_INVOC'!$EL$4,P98='DADOS_INVOC'!$EM$4,P98='DADOS_INVOC'!$EN$4,P98='DADOS_INVOC'!$EO$4,P98='DADOS_INVOC'!$EP$4,P98='DADOS_INVOC'!$QV$4,P98='DADOS_INVOC'!$QW$4,P98='DADOS_INVOC'!$QX$4,P98='DADOS_INVOC'!$QY$4)),O98,"")</f>
        <v/>
      </c>
      <c r="AT98">
        <f>IF(OR(P98="",P98='DADOS_INVOC'!$EL$5,P98='DADOS_INVOC'!$EM$5,P98='DADOS_INVOC'!$EN$5,P98='DADOS_INVOC'!$EO$5,P98='DADOS_INVOC'!$EP$5,P98='DADOS_INVOC'!$QV$5,P98='DADOS_INVOC'!$QW$5,P98='DADOS_INVOC'!$QX$5,P98='DADOS_INVOC'!$QY$5),O98,"")</f>
        <v/>
      </c>
      <c r="AU98">
        <f>IF(AND(Q98=1,OR(P98="",P98='DADOS_INVOC'!$EL$5,P98='DADOS_INVOC'!$EM$5,P98='DADOS_INVOC'!$EN$5,P98='DADOS_INVOC'!$EO$5,P98='DADOS_INVOC'!$EP$5,P98='DADOS_INVOC'!$QV$5,P98='DADOS_INVOC'!$QW$5,P98='DADOS_INVOC'!$QX$5,P98='DADOS_INVOC'!$QY$5)),O98,"")</f>
        <v/>
      </c>
      <c r="AV98">
        <f>IF(OR(P98="",P98='DADOS_INVOC'!$EL$6,P98='DADOS_INVOC'!$EM$6,P98='DADOS_INVOC'!$EN$6,P98='DADOS_INVOC'!$EO$6,P98='DADOS_INVOC'!$EP$6,P98='DADOS_INVOC'!$QV$6,P98='DADOS_INVOC'!$QW$6,P98='DADOS_INVOC'!$QX$6,P98='DADOS_INVOC'!$QY$6),O98,"")</f>
        <v/>
      </c>
      <c r="AW98">
        <f>IF(AND(Q98=1,OR(P98="",P98='DADOS_INVOC'!$EL$6,P98='DADOS_INVOC'!$EM$6,P98='DADOS_INVOC'!$EN$6,P98='DADOS_INVOC'!$EO$6,P98='DADOS_INVOC'!$EP$6,P98='DADOS_INVOC'!$QV$6,P98='DADOS_INVOC'!$QW$6,P98='DADOS_INVOC'!$QX$6,P98='DADOS_INVOC'!$QY$6)),O98,"")</f>
        <v/>
      </c>
      <c r="AX98">
        <f>IF(OR(P98="",P98='DADOS_INVOC'!$EL$7,P98='DADOS_INVOC'!$EM$7,P98='DADOS_INVOC'!$EN$7,P98='DADOS_INVOC'!$EO$7,P98='DADOS_INVOC'!$EP$7,P98='DADOS_INVOC'!$QV$7,P98='DADOS_INVOC'!$QW$7,P98='DADOS_INVOC'!$QX$7,P98='DADOS_INVOC'!$QY$7),O98,"")</f>
        <v/>
      </c>
      <c r="AY98">
        <f>IF(AND(Q98=1,OR(P98="",P98='DADOS_INVOC'!$EL$7,P98='DADOS_INVOC'!$EM$7,P98='DADOS_INVOC'!$EN$7,P98='DADOS_INVOC'!$EO$7,P98='DADOS_INVOC'!$EP$7,P98='DADOS_INVOC'!$QV$7,P98='DADOS_INVOC'!$QW$7,P98='DADOS_INVOC'!$QX$7,P98='DADOS_INVOC'!$QY$7)),O98,"")</f>
        <v/>
      </c>
      <c r="AZ98">
        <f>IF(OR(P98="",P98='DADOS_INVOC'!$EL$8,P98='DADOS_INVOC'!$EM$8,P98='DADOS_INVOC'!$EN$8,P98='DADOS_INVOC'!$EO$8,P98='DADOS_INVOC'!$EP$8,P98='DADOS_INVOC'!$QV$8,P98='DADOS_INVOC'!$QW$8,P98='DADOS_INVOC'!$QX$8,P98='DADOS_INVOC'!$QY$8),O98,"")</f>
        <v/>
      </c>
      <c r="BA98">
        <f>IF(AND(Q98=1,OR(P98="",P98='DADOS_INVOC'!$EL$8,P98='DADOS_INVOC'!$EM$8,P98='DADOS_INVOC'!$EN$8,P98='DADOS_INVOC'!$EO$8,P98='DADOS_INVOC'!$EP$8,P98='DADOS_INVOC'!$QV$8,P98='DADOS_INVOC'!$QW$8,P98='DADOS_INVOC'!$QX$8,P98='DADOS_INVOC'!$QY$8)),O98,"")</f>
        <v/>
      </c>
      <c r="BB98">
        <f>IF(OR(P98="",P98='DADOS_INVOC'!$EL$9,P98='DADOS_INVOC'!$EM$9,P98='DADOS_INVOC'!$EN$9,P98='DADOS_INVOC'!$EO$9,P98='DADOS_INVOC'!$EP$9,P98='DADOS_INVOC'!$QV$9,P98='DADOS_INVOC'!$QW$9,P98='DADOS_INVOC'!$QX$9,P98='DADOS_INVOC'!$QY$9),O98,"")</f>
        <v/>
      </c>
      <c r="BC98">
        <f>IF(AND(Q98=1,OR(P98="",P98='DADOS_INVOC'!$EL$9,P98='DADOS_INVOC'!$EM$9,P98='DADOS_INVOC'!$EN$9,P98='DADOS_INVOC'!$EO$9,P98='DADOS_INVOC'!$EP$9,P98='DADOS_INVOC'!$QV$9,P98='DADOS_INVOC'!$QW$9,P98='DADOS_INVOC'!$QX$9,P98='DADOS_INVOC'!$QY$9)),O98,"")</f>
        <v/>
      </c>
      <c r="BD98">
        <f>IF(OR(P98="",P98='DADOS_INVOC'!$EL$10,P98='DADOS_INVOC'!$EM$10,P98='DADOS_INVOC'!$EN$10,P98='DADOS_INVOC'!$EO$10,P98='DADOS_INVOC'!$EP$10,P98='DADOS_INVOC'!$QV$10,P98='DADOS_INVOC'!$QW$10,P98='DADOS_INVOC'!$QX$10,P98='DADOS_INVOC'!$QY$10),O98,"")</f>
        <v/>
      </c>
      <c r="BE98">
        <f>IF(AND(Q98=1,OR(P98="",P98='DADOS_INVOC'!$EL$10,P98='DADOS_INVOC'!$EM$10,P98='DADOS_INVOC'!$EN$10,P98='DADOS_INVOC'!$EO$10,P98='DADOS_INVOC'!$EP$10,P98='DADOS_INVOC'!$QV$10,P98='DADOS_INVOC'!$QW$10,P98='DADOS_INVOC'!$QX$10,P98='DADOS_INVOC'!$QY$10)),O98,"")</f>
        <v/>
      </c>
      <c r="BF98">
        <f>IF(OR(P98="",P98='DADOS_INVOC'!$EL$11,P98='DADOS_INVOC'!$EM$11,P98='DADOS_INVOC'!$EN$11,P98='DADOS_INVOC'!$EO$11,P98='DADOS_INVOC'!$EP$11,P98='DADOS_INVOC'!$QV$11,P98='DADOS_INVOC'!$QW$11,P98='DADOS_INVOC'!$QX$11,P98='DADOS_INVOC'!$QY$11),O98,"")</f>
        <v/>
      </c>
      <c r="BG98">
        <f>IF(AND(Q98=1,OR(P98="",P98='DADOS_INVOC'!$EL$11,P98='DADOS_INVOC'!$EM$11,P98='DADOS_INVOC'!$EN$11,P98='DADOS_INVOC'!$EO$11,P98='DADOS_INVOC'!$EP$11,P98='DADOS_INVOC'!$QV$11,P98='DADOS_INVOC'!$QW$11,P98='DADOS_INVOC'!$QX$11,P98='DADOS_INVOC'!$QY$11)),O98,"")</f>
        <v/>
      </c>
      <c r="BH98">
        <f>IF(OR(P98="",P98='DADOS_INVOC'!$EL$12,P98='DADOS_INVOC'!$EM$12,P98='DADOS_INVOC'!$EN$12,P98='DADOS_INVOC'!$EO$12,P98='DADOS_INVOC'!$EP$12,P98='DADOS_INVOC'!$QV$12,P98='DADOS_INVOC'!$QW$12,P98='DADOS_INVOC'!$QX$12,P98='DADOS_INVOC'!$QY$12),O98,"")</f>
        <v/>
      </c>
      <c r="BI98">
        <f>IF(AND(Q98=1,OR(P98="",P98='DADOS_INVOC'!$EL$12,P98='DADOS_INVOC'!$EM$12,P98='DADOS_INVOC'!$EN$12,P98='DADOS_INVOC'!$EO$12,P98='DADOS_INVOC'!$EP$12,P98='DADOS_INVOC'!$QV$12,P98='DADOS_INVOC'!$QW$12,P98='DADOS_INVOC'!$QX$12,P98='DADOS_INVOC'!$QY$12)),O98,"")</f>
        <v/>
      </c>
      <c r="BJ98">
        <f>IF(OR(P98="",P98='DADOS_INVOC'!$EL$13,P98='DADOS_INVOC'!$EM$13,P98='DADOS_INVOC'!$EN$13,P98='DADOS_INVOC'!$EO$13,P98='DADOS_INVOC'!$EP$13,P98='DADOS_INVOC'!$QV$13,P98='DADOS_INVOC'!$QW$13,P98='DADOS_INVOC'!$QX$13,P98='DADOS_INVOC'!$QY$13),O98,"")</f>
        <v/>
      </c>
      <c r="BK98">
        <f>IF(AND(Q98=1,OR(P98="",P98='DADOS_INVOC'!$EL$13,P98='DADOS_INVOC'!$EM$13,P98='DADOS_INVOC'!$EN$13,P98='DADOS_INVOC'!$EO$13,P98='DADOS_INVOC'!$EP$13,P98='DADOS_INVOC'!$QV$13,P98='DADOS_INVOC'!$QW$13,P98='DADOS_INVOC'!$QX$13,P98='DADOS_INVOC'!$QY$13)),O98,"")</f>
        <v/>
      </c>
    </row>
    <row r="99">
      <c r="O99">
        <f>IF(AND(D17&lt;&gt;"",M17=""),D17,"")</f>
        <v/>
      </c>
      <c r="P99">
        <f>IF(O99="","",IF(AND(BR17="Condição",F17="",L17=0),"Controle",IF(O99="","",IF(F17&lt;&gt;"",IF(F17="Nenhuma","",F17),IF(L17&gt;0,INDEX($P$2:$P$83,L17),"")))))</f>
        <v/>
      </c>
      <c r="Q99">
        <f>IF(O99="",0,IF(G17&lt;&gt;"",IFERROR(MATCH(G17,'DADOS_MELHORIAS'!$BN$2:$BN$4,0),0),IF(L17&gt;0,INDEX('DADOS_MELHORIAS'!$Q$2:$Q$83,L17),0)))</f>
        <v/>
      </c>
      <c r="R99">
        <f>IF(O99="",0,Q99+3*IFERROR(VLOOKUP(SUBSTITUTE(SUBSTITUTE(SUBSTITUTE(P99,"~","~~"),"*","~*"),"?","~?"),'DADOS_CRIACAO'!$H$2:$K$20,3,FALSE),0))</f>
        <v/>
      </c>
      <c r="S99">
        <f>IF(O99="",0,IFERROR(VLOOKUP(SUBSTITUTE(SUBSTITUTE(SUBSTITUTE(P99,"~","~~"),"*","~*"),"?","~?"),'DADOS_CRIACAO'!$H$2:$K$20,4,FALSE),0))</f>
        <v/>
      </c>
      <c r="T99">
        <f>IF(O99="",0,IF(BR17="Condição",1,IF(O99="",0,IF(OR(P99="Controle",IF(L17&gt;0,INDEX('DADOS_MELHORIAS'!$T$2:$T$83,L17),0)=1),1,0))))</f>
        <v/>
      </c>
      <c r="U99">
        <f>IF(O99="","",IF(S99=1,"",O99))</f>
        <v/>
      </c>
      <c r="V99">
        <f>IF(O99="","",IF(AND(Q99=1,S99=0),O99,""))</f>
        <v/>
      </c>
      <c r="W99">
        <f>IF(O99="",0,IF(BR17="Condição",1,IF(O99="",0,IF(H17="",IF(L17&gt;0,INDEX('DADOS_MELHORIAS'!$W$2:$W$83,L17),0),IF(H17="Sim",1,0)))))</f>
        <v/>
      </c>
      <c r="X99">
        <f>IF(O99="","",IF(L17&gt;0,INDEX($X$2:$X$83,L17),D17))</f>
        <v/>
      </c>
      <c r="Y99">
        <f>IF(O99="",0,IF(L17&gt;0,INDEX('DADOS_MELHORIAS'!$Y$2:$Y$83,L17),0))</f>
        <v/>
      </c>
      <c r="AG99">
        <f>O99</f>
        <v/>
      </c>
      <c r="AH99">
        <f>P99</f>
        <v/>
      </c>
      <c r="AI99">
        <f>Q99</f>
        <v/>
      </c>
      <c r="AJ99">
        <f>T99</f>
        <v/>
      </c>
      <c r="AK99">
        <f>Y99</f>
        <v/>
      </c>
      <c r="AL99">
        <f>W99</f>
        <v/>
      </c>
      <c r="AN99">
        <f>IF(OR(P99="",P99='DADOS_INVOC'!$EL$2,P99='DADOS_INVOC'!$EM$2,P99='DADOS_INVOC'!$EN$2,P99='DADOS_INVOC'!$EO$2,P99='DADOS_INVOC'!$EP$2,P99='DADOS_INVOC'!$QV$2,P99='DADOS_INVOC'!$QW$2,P99='DADOS_INVOC'!$QX$2,P99='DADOS_INVOC'!$QY$2),O99,"")</f>
        <v/>
      </c>
      <c r="AO99">
        <f>IF(AND(Q99=1,OR(P99="",P99='DADOS_INVOC'!$EL$2,P99='DADOS_INVOC'!$EM$2,P99='DADOS_INVOC'!$EN$2,P99='DADOS_INVOC'!$EO$2,P99='DADOS_INVOC'!$EP$2,P99='DADOS_INVOC'!$QV$2,P99='DADOS_INVOC'!$QW$2,P99='DADOS_INVOC'!$QX$2,P99='DADOS_INVOC'!$QY$2)),O99,"")</f>
        <v/>
      </c>
      <c r="AP99">
        <f>IF(OR(P99="",P99='DADOS_INVOC'!$EL$3,P99='DADOS_INVOC'!$EM$3,P99='DADOS_INVOC'!$EN$3,P99='DADOS_INVOC'!$EO$3,P99='DADOS_INVOC'!$EP$3,P99='DADOS_INVOC'!$QV$3,P99='DADOS_INVOC'!$QW$3,P99='DADOS_INVOC'!$QX$3,P99='DADOS_INVOC'!$QY$3),O99,"")</f>
        <v/>
      </c>
      <c r="AQ99">
        <f>IF(AND(Q99=1,OR(P99="",P99='DADOS_INVOC'!$EL$3,P99='DADOS_INVOC'!$EM$3,P99='DADOS_INVOC'!$EN$3,P99='DADOS_INVOC'!$EO$3,P99='DADOS_INVOC'!$EP$3,P99='DADOS_INVOC'!$QV$3,P99='DADOS_INVOC'!$QW$3,P99='DADOS_INVOC'!$QX$3,P99='DADOS_INVOC'!$QY$3)),O99,"")</f>
        <v/>
      </c>
      <c r="AR99">
        <f>IF(OR(P99="",P99='DADOS_INVOC'!$EL$4,P99='DADOS_INVOC'!$EM$4,P99='DADOS_INVOC'!$EN$4,P99='DADOS_INVOC'!$EO$4,P99='DADOS_INVOC'!$EP$4,P99='DADOS_INVOC'!$QV$4,P99='DADOS_INVOC'!$QW$4,P99='DADOS_INVOC'!$QX$4,P99='DADOS_INVOC'!$QY$4),O99,"")</f>
        <v/>
      </c>
      <c r="AS99">
        <f>IF(AND(Q99=1,OR(P99="",P99='DADOS_INVOC'!$EL$4,P99='DADOS_INVOC'!$EM$4,P99='DADOS_INVOC'!$EN$4,P99='DADOS_INVOC'!$EO$4,P99='DADOS_INVOC'!$EP$4,P99='DADOS_INVOC'!$QV$4,P99='DADOS_INVOC'!$QW$4,P99='DADOS_INVOC'!$QX$4,P99='DADOS_INVOC'!$QY$4)),O99,"")</f>
        <v/>
      </c>
      <c r="AT99">
        <f>IF(OR(P99="",P99='DADOS_INVOC'!$EL$5,P99='DADOS_INVOC'!$EM$5,P99='DADOS_INVOC'!$EN$5,P99='DADOS_INVOC'!$EO$5,P99='DADOS_INVOC'!$EP$5,P99='DADOS_INVOC'!$QV$5,P99='DADOS_INVOC'!$QW$5,P99='DADOS_INVOC'!$QX$5,P99='DADOS_INVOC'!$QY$5),O99,"")</f>
        <v/>
      </c>
      <c r="AU99">
        <f>IF(AND(Q99=1,OR(P99="",P99='DADOS_INVOC'!$EL$5,P99='DADOS_INVOC'!$EM$5,P99='DADOS_INVOC'!$EN$5,P99='DADOS_INVOC'!$EO$5,P99='DADOS_INVOC'!$EP$5,P99='DADOS_INVOC'!$QV$5,P99='DADOS_INVOC'!$QW$5,P99='DADOS_INVOC'!$QX$5,P99='DADOS_INVOC'!$QY$5)),O99,"")</f>
        <v/>
      </c>
      <c r="AV99">
        <f>IF(OR(P99="",P99='DADOS_INVOC'!$EL$6,P99='DADOS_INVOC'!$EM$6,P99='DADOS_INVOC'!$EN$6,P99='DADOS_INVOC'!$EO$6,P99='DADOS_INVOC'!$EP$6,P99='DADOS_INVOC'!$QV$6,P99='DADOS_INVOC'!$QW$6,P99='DADOS_INVOC'!$QX$6,P99='DADOS_INVOC'!$QY$6),O99,"")</f>
        <v/>
      </c>
      <c r="AW99">
        <f>IF(AND(Q99=1,OR(P99="",P99='DADOS_INVOC'!$EL$6,P99='DADOS_INVOC'!$EM$6,P99='DADOS_INVOC'!$EN$6,P99='DADOS_INVOC'!$EO$6,P99='DADOS_INVOC'!$EP$6,P99='DADOS_INVOC'!$QV$6,P99='DADOS_INVOC'!$QW$6,P99='DADOS_INVOC'!$QX$6,P99='DADOS_INVOC'!$QY$6)),O99,"")</f>
        <v/>
      </c>
      <c r="AX99">
        <f>IF(OR(P99="",P99='DADOS_INVOC'!$EL$7,P99='DADOS_INVOC'!$EM$7,P99='DADOS_INVOC'!$EN$7,P99='DADOS_INVOC'!$EO$7,P99='DADOS_INVOC'!$EP$7,P99='DADOS_INVOC'!$QV$7,P99='DADOS_INVOC'!$QW$7,P99='DADOS_INVOC'!$QX$7,P99='DADOS_INVOC'!$QY$7),O99,"")</f>
        <v/>
      </c>
      <c r="AY99">
        <f>IF(AND(Q99=1,OR(P99="",P99='DADOS_INVOC'!$EL$7,P99='DADOS_INVOC'!$EM$7,P99='DADOS_INVOC'!$EN$7,P99='DADOS_INVOC'!$EO$7,P99='DADOS_INVOC'!$EP$7,P99='DADOS_INVOC'!$QV$7,P99='DADOS_INVOC'!$QW$7,P99='DADOS_INVOC'!$QX$7,P99='DADOS_INVOC'!$QY$7)),O99,"")</f>
        <v/>
      </c>
      <c r="AZ99">
        <f>IF(OR(P99="",P99='DADOS_INVOC'!$EL$8,P99='DADOS_INVOC'!$EM$8,P99='DADOS_INVOC'!$EN$8,P99='DADOS_INVOC'!$EO$8,P99='DADOS_INVOC'!$EP$8,P99='DADOS_INVOC'!$QV$8,P99='DADOS_INVOC'!$QW$8,P99='DADOS_INVOC'!$QX$8,P99='DADOS_INVOC'!$QY$8),O99,"")</f>
        <v/>
      </c>
      <c r="BA99">
        <f>IF(AND(Q99=1,OR(P99="",P99='DADOS_INVOC'!$EL$8,P99='DADOS_INVOC'!$EM$8,P99='DADOS_INVOC'!$EN$8,P99='DADOS_INVOC'!$EO$8,P99='DADOS_INVOC'!$EP$8,P99='DADOS_INVOC'!$QV$8,P99='DADOS_INVOC'!$QW$8,P99='DADOS_INVOC'!$QX$8,P99='DADOS_INVOC'!$QY$8)),O99,"")</f>
        <v/>
      </c>
      <c r="BB99">
        <f>IF(OR(P99="",P99='DADOS_INVOC'!$EL$9,P99='DADOS_INVOC'!$EM$9,P99='DADOS_INVOC'!$EN$9,P99='DADOS_INVOC'!$EO$9,P99='DADOS_INVOC'!$EP$9,P99='DADOS_INVOC'!$QV$9,P99='DADOS_INVOC'!$QW$9,P99='DADOS_INVOC'!$QX$9,P99='DADOS_INVOC'!$QY$9),O99,"")</f>
        <v/>
      </c>
      <c r="BC99">
        <f>IF(AND(Q99=1,OR(P99="",P99='DADOS_INVOC'!$EL$9,P99='DADOS_INVOC'!$EM$9,P99='DADOS_INVOC'!$EN$9,P99='DADOS_INVOC'!$EO$9,P99='DADOS_INVOC'!$EP$9,P99='DADOS_INVOC'!$QV$9,P99='DADOS_INVOC'!$QW$9,P99='DADOS_INVOC'!$QX$9,P99='DADOS_INVOC'!$QY$9)),O99,"")</f>
        <v/>
      </c>
      <c r="BD99">
        <f>IF(OR(P99="",P99='DADOS_INVOC'!$EL$10,P99='DADOS_INVOC'!$EM$10,P99='DADOS_INVOC'!$EN$10,P99='DADOS_INVOC'!$EO$10,P99='DADOS_INVOC'!$EP$10,P99='DADOS_INVOC'!$QV$10,P99='DADOS_INVOC'!$QW$10,P99='DADOS_INVOC'!$QX$10,P99='DADOS_INVOC'!$QY$10),O99,"")</f>
        <v/>
      </c>
      <c r="BE99">
        <f>IF(AND(Q99=1,OR(P99="",P99='DADOS_INVOC'!$EL$10,P99='DADOS_INVOC'!$EM$10,P99='DADOS_INVOC'!$EN$10,P99='DADOS_INVOC'!$EO$10,P99='DADOS_INVOC'!$EP$10,P99='DADOS_INVOC'!$QV$10,P99='DADOS_INVOC'!$QW$10,P99='DADOS_INVOC'!$QX$10,P99='DADOS_INVOC'!$QY$10)),O99,"")</f>
        <v/>
      </c>
      <c r="BF99">
        <f>IF(OR(P99="",P99='DADOS_INVOC'!$EL$11,P99='DADOS_INVOC'!$EM$11,P99='DADOS_INVOC'!$EN$11,P99='DADOS_INVOC'!$EO$11,P99='DADOS_INVOC'!$EP$11,P99='DADOS_INVOC'!$QV$11,P99='DADOS_INVOC'!$QW$11,P99='DADOS_INVOC'!$QX$11,P99='DADOS_INVOC'!$QY$11),O99,"")</f>
        <v/>
      </c>
      <c r="BG99">
        <f>IF(AND(Q99=1,OR(P99="",P99='DADOS_INVOC'!$EL$11,P99='DADOS_INVOC'!$EM$11,P99='DADOS_INVOC'!$EN$11,P99='DADOS_INVOC'!$EO$11,P99='DADOS_INVOC'!$EP$11,P99='DADOS_INVOC'!$QV$11,P99='DADOS_INVOC'!$QW$11,P99='DADOS_INVOC'!$QX$11,P99='DADOS_INVOC'!$QY$11)),O99,"")</f>
        <v/>
      </c>
      <c r="BH99">
        <f>IF(OR(P99="",P99='DADOS_INVOC'!$EL$12,P99='DADOS_INVOC'!$EM$12,P99='DADOS_INVOC'!$EN$12,P99='DADOS_INVOC'!$EO$12,P99='DADOS_INVOC'!$EP$12,P99='DADOS_INVOC'!$QV$12,P99='DADOS_INVOC'!$QW$12,P99='DADOS_INVOC'!$QX$12,P99='DADOS_INVOC'!$QY$12),O99,"")</f>
        <v/>
      </c>
      <c r="BI99">
        <f>IF(AND(Q99=1,OR(P99="",P99='DADOS_INVOC'!$EL$12,P99='DADOS_INVOC'!$EM$12,P99='DADOS_INVOC'!$EN$12,P99='DADOS_INVOC'!$EO$12,P99='DADOS_INVOC'!$EP$12,P99='DADOS_INVOC'!$QV$12,P99='DADOS_INVOC'!$QW$12,P99='DADOS_INVOC'!$QX$12,P99='DADOS_INVOC'!$QY$12)),O99,"")</f>
        <v/>
      </c>
      <c r="BJ99">
        <f>IF(OR(P99="",P99='DADOS_INVOC'!$EL$13,P99='DADOS_INVOC'!$EM$13,P99='DADOS_INVOC'!$EN$13,P99='DADOS_INVOC'!$EO$13,P99='DADOS_INVOC'!$EP$13,P99='DADOS_INVOC'!$QV$13,P99='DADOS_INVOC'!$QW$13,P99='DADOS_INVOC'!$QX$13,P99='DADOS_INVOC'!$QY$13),O99,"")</f>
        <v/>
      </c>
      <c r="BK99">
        <f>IF(AND(Q99=1,OR(P99="",P99='DADOS_INVOC'!$EL$13,P99='DADOS_INVOC'!$EM$13,P99='DADOS_INVOC'!$EN$13,P99='DADOS_INVOC'!$EO$13,P99='DADOS_INVOC'!$EP$13,P99='DADOS_INVOC'!$QV$13,P99='DADOS_INVOC'!$QW$13,P99='DADOS_INVOC'!$QX$13,P99='DADOS_INVOC'!$QY$13)),O99,"")</f>
        <v/>
      </c>
    </row>
    <row r="100">
      <c r="O100">
        <f>IF(AND(D18&lt;&gt;"",M18=""),D18,"")</f>
        <v/>
      </c>
      <c r="P100">
        <f>IF(O100="","",IF(AND(BR18="Condição",F18="",L18=0),"Controle",IF(O100="","",IF(F18&lt;&gt;"",IF(F18="Nenhuma","",F18),IF(L18&gt;0,INDEX($P$2:$P$83,L18),"")))))</f>
        <v/>
      </c>
      <c r="Q100">
        <f>IF(O100="",0,IF(G18&lt;&gt;"",IFERROR(MATCH(G18,'DADOS_MELHORIAS'!$BN$2:$BN$4,0),0),IF(L18&gt;0,INDEX('DADOS_MELHORIAS'!$Q$2:$Q$83,L18),0)))</f>
        <v/>
      </c>
      <c r="R100">
        <f>IF(O100="",0,Q100+3*IFERROR(VLOOKUP(SUBSTITUTE(SUBSTITUTE(SUBSTITUTE(P100,"~","~~"),"*","~*"),"?","~?"),'DADOS_CRIACAO'!$H$2:$K$20,3,FALSE),0))</f>
        <v/>
      </c>
      <c r="S100">
        <f>IF(O100="",0,IFERROR(VLOOKUP(SUBSTITUTE(SUBSTITUTE(SUBSTITUTE(P100,"~","~~"),"*","~*"),"?","~?"),'DADOS_CRIACAO'!$H$2:$K$20,4,FALSE),0))</f>
        <v/>
      </c>
      <c r="T100">
        <f>IF(O100="",0,IF(BR18="Condição",1,IF(O100="",0,IF(OR(P100="Controle",IF(L18&gt;0,INDEX('DADOS_MELHORIAS'!$T$2:$T$83,L18),0)=1),1,0))))</f>
        <v/>
      </c>
      <c r="U100">
        <f>IF(O100="","",IF(S100=1,"",O100))</f>
        <v/>
      </c>
      <c r="V100">
        <f>IF(O100="","",IF(AND(Q100=1,S100=0),O100,""))</f>
        <v/>
      </c>
      <c r="W100">
        <f>IF(O100="",0,IF(BR18="Condição",1,IF(O100="",0,IF(H18="",IF(L18&gt;0,INDEX('DADOS_MELHORIAS'!$W$2:$W$83,L18),0),IF(H18="Sim",1,0)))))</f>
        <v/>
      </c>
      <c r="X100">
        <f>IF(O100="","",IF(L18&gt;0,INDEX($X$2:$X$83,L18),D18))</f>
        <v/>
      </c>
      <c r="Y100">
        <f>IF(O100="",0,IF(L18&gt;0,INDEX('DADOS_MELHORIAS'!$Y$2:$Y$83,L18),0))</f>
        <v/>
      </c>
      <c r="AG100">
        <f>O100</f>
        <v/>
      </c>
      <c r="AH100">
        <f>P100</f>
        <v/>
      </c>
      <c r="AI100">
        <f>Q100</f>
        <v/>
      </c>
      <c r="AJ100">
        <f>T100</f>
        <v/>
      </c>
      <c r="AK100">
        <f>Y100</f>
        <v/>
      </c>
      <c r="AL100">
        <f>W100</f>
        <v/>
      </c>
      <c r="AN100">
        <f>IF(OR(P100="",P100='DADOS_INVOC'!$EL$2,P100='DADOS_INVOC'!$EM$2,P100='DADOS_INVOC'!$EN$2,P100='DADOS_INVOC'!$EO$2,P100='DADOS_INVOC'!$EP$2,P100='DADOS_INVOC'!$QV$2,P100='DADOS_INVOC'!$QW$2,P100='DADOS_INVOC'!$QX$2,P100='DADOS_INVOC'!$QY$2),O100,"")</f>
        <v/>
      </c>
      <c r="AO100">
        <f>IF(AND(Q100=1,OR(P100="",P100='DADOS_INVOC'!$EL$2,P100='DADOS_INVOC'!$EM$2,P100='DADOS_INVOC'!$EN$2,P100='DADOS_INVOC'!$EO$2,P100='DADOS_INVOC'!$EP$2,P100='DADOS_INVOC'!$QV$2,P100='DADOS_INVOC'!$QW$2,P100='DADOS_INVOC'!$QX$2,P100='DADOS_INVOC'!$QY$2)),O100,"")</f>
        <v/>
      </c>
      <c r="AP100">
        <f>IF(OR(P100="",P100='DADOS_INVOC'!$EL$3,P100='DADOS_INVOC'!$EM$3,P100='DADOS_INVOC'!$EN$3,P100='DADOS_INVOC'!$EO$3,P100='DADOS_INVOC'!$EP$3,P100='DADOS_INVOC'!$QV$3,P100='DADOS_INVOC'!$QW$3,P100='DADOS_INVOC'!$QX$3,P100='DADOS_INVOC'!$QY$3),O100,"")</f>
        <v/>
      </c>
      <c r="AQ100">
        <f>IF(AND(Q100=1,OR(P100="",P100='DADOS_INVOC'!$EL$3,P100='DADOS_INVOC'!$EM$3,P100='DADOS_INVOC'!$EN$3,P100='DADOS_INVOC'!$EO$3,P100='DADOS_INVOC'!$EP$3,P100='DADOS_INVOC'!$QV$3,P100='DADOS_INVOC'!$QW$3,P100='DADOS_INVOC'!$QX$3,P100='DADOS_INVOC'!$QY$3)),O100,"")</f>
        <v/>
      </c>
      <c r="AR100">
        <f>IF(OR(P100="",P100='DADOS_INVOC'!$EL$4,P100='DADOS_INVOC'!$EM$4,P100='DADOS_INVOC'!$EN$4,P100='DADOS_INVOC'!$EO$4,P100='DADOS_INVOC'!$EP$4,P100='DADOS_INVOC'!$QV$4,P100='DADOS_INVOC'!$QW$4,P100='DADOS_INVOC'!$QX$4,P100='DADOS_INVOC'!$QY$4),O100,"")</f>
        <v/>
      </c>
      <c r="AS100">
        <f>IF(AND(Q100=1,OR(P100="",P100='DADOS_INVOC'!$EL$4,P100='DADOS_INVOC'!$EM$4,P100='DADOS_INVOC'!$EN$4,P100='DADOS_INVOC'!$EO$4,P100='DADOS_INVOC'!$EP$4,P100='DADOS_INVOC'!$QV$4,P100='DADOS_INVOC'!$QW$4,P100='DADOS_INVOC'!$QX$4,P100='DADOS_INVOC'!$QY$4)),O100,"")</f>
        <v/>
      </c>
      <c r="AT100">
        <f>IF(OR(P100="",P100='DADOS_INVOC'!$EL$5,P100='DADOS_INVOC'!$EM$5,P100='DADOS_INVOC'!$EN$5,P100='DADOS_INVOC'!$EO$5,P100='DADOS_INVOC'!$EP$5,P100='DADOS_INVOC'!$QV$5,P100='DADOS_INVOC'!$QW$5,P100='DADOS_INVOC'!$QX$5,P100='DADOS_INVOC'!$QY$5),O100,"")</f>
        <v/>
      </c>
      <c r="AU100">
        <f>IF(AND(Q100=1,OR(P100="",P100='DADOS_INVOC'!$EL$5,P100='DADOS_INVOC'!$EM$5,P100='DADOS_INVOC'!$EN$5,P100='DADOS_INVOC'!$EO$5,P100='DADOS_INVOC'!$EP$5,P100='DADOS_INVOC'!$QV$5,P100='DADOS_INVOC'!$QW$5,P100='DADOS_INVOC'!$QX$5,P100='DADOS_INVOC'!$QY$5)),O100,"")</f>
        <v/>
      </c>
      <c r="AV100">
        <f>IF(OR(P100="",P100='DADOS_INVOC'!$EL$6,P100='DADOS_INVOC'!$EM$6,P100='DADOS_INVOC'!$EN$6,P100='DADOS_INVOC'!$EO$6,P100='DADOS_INVOC'!$EP$6,P100='DADOS_INVOC'!$QV$6,P100='DADOS_INVOC'!$QW$6,P100='DADOS_INVOC'!$QX$6,P100='DADOS_INVOC'!$QY$6),O100,"")</f>
        <v/>
      </c>
      <c r="AW100">
        <f>IF(AND(Q100=1,OR(P100="",P100='DADOS_INVOC'!$EL$6,P100='DADOS_INVOC'!$EM$6,P100='DADOS_INVOC'!$EN$6,P100='DADOS_INVOC'!$EO$6,P100='DADOS_INVOC'!$EP$6,P100='DADOS_INVOC'!$QV$6,P100='DADOS_INVOC'!$QW$6,P100='DADOS_INVOC'!$QX$6,P100='DADOS_INVOC'!$QY$6)),O100,"")</f>
        <v/>
      </c>
      <c r="AX100">
        <f>IF(OR(P100="",P100='DADOS_INVOC'!$EL$7,P100='DADOS_INVOC'!$EM$7,P100='DADOS_INVOC'!$EN$7,P100='DADOS_INVOC'!$EO$7,P100='DADOS_INVOC'!$EP$7,P100='DADOS_INVOC'!$QV$7,P100='DADOS_INVOC'!$QW$7,P100='DADOS_INVOC'!$QX$7,P100='DADOS_INVOC'!$QY$7),O100,"")</f>
        <v/>
      </c>
      <c r="AY100">
        <f>IF(AND(Q100=1,OR(P100="",P100='DADOS_INVOC'!$EL$7,P100='DADOS_INVOC'!$EM$7,P100='DADOS_INVOC'!$EN$7,P100='DADOS_INVOC'!$EO$7,P100='DADOS_INVOC'!$EP$7,P100='DADOS_INVOC'!$QV$7,P100='DADOS_INVOC'!$QW$7,P100='DADOS_INVOC'!$QX$7,P100='DADOS_INVOC'!$QY$7)),O100,"")</f>
        <v/>
      </c>
      <c r="AZ100">
        <f>IF(OR(P100="",P100='DADOS_INVOC'!$EL$8,P100='DADOS_INVOC'!$EM$8,P100='DADOS_INVOC'!$EN$8,P100='DADOS_INVOC'!$EO$8,P100='DADOS_INVOC'!$EP$8,P100='DADOS_INVOC'!$QV$8,P100='DADOS_INVOC'!$QW$8,P100='DADOS_INVOC'!$QX$8,P100='DADOS_INVOC'!$QY$8),O100,"")</f>
        <v/>
      </c>
      <c r="BA100">
        <f>IF(AND(Q100=1,OR(P100="",P100='DADOS_INVOC'!$EL$8,P100='DADOS_INVOC'!$EM$8,P100='DADOS_INVOC'!$EN$8,P100='DADOS_INVOC'!$EO$8,P100='DADOS_INVOC'!$EP$8,P100='DADOS_INVOC'!$QV$8,P100='DADOS_INVOC'!$QW$8,P100='DADOS_INVOC'!$QX$8,P100='DADOS_INVOC'!$QY$8)),O100,"")</f>
        <v/>
      </c>
      <c r="BB100">
        <f>IF(OR(P100="",P100='DADOS_INVOC'!$EL$9,P100='DADOS_INVOC'!$EM$9,P100='DADOS_INVOC'!$EN$9,P100='DADOS_INVOC'!$EO$9,P100='DADOS_INVOC'!$EP$9,P100='DADOS_INVOC'!$QV$9,P100='DADOS_INVOC'!$QW$9,P100='DADOS_INVOC'!$QX$9,P100='DADOS_INVOC'!$QY$9),O100,"")</f>
        <v/>
      </c>
      <c r="BC100">
        <f>IF(AND(Q100=1,OR(P100="",P100='DADOS_INVOC'!$EL$9,P100='DADOS_INVOC'!$EM$9,P100='DADOS_INVOC'!$EN$9,P100='DADOS_INVOC'!$EO$9,P100='DADOS_INVOC'!$EP$9,P100='DADOS_INVOC'!$QV$9,P100='DADOS_INVOC'!$QW$9,P100='DADOS_INVOC'!$QX$9,P100='DADOS_INVOC'!$QY$9)),O100,"")</f>
        <v/>
      </c>
      <c r="BD100">
        <f>IF(OR(P100="",P100='DADOS_INVOC'!$EL$10,P100='DADOS_INVOC'!$EM$10,P100='DADOS_INVOC'!$EN$10,P100='DADOS_INVOC'!$EO$10,P100='DADOS_INVOC'!$EP$10,P100='DADOS_INVOC'!$QV$10,P100='DADOS_INVOC'!$QW$10,P100='DADOS_INVOC'!$QX$10,P100='DADOS_INVOC'!$QY$10),O100,"")</f>
        <v/>
      </c>
      <c r="BE100">
        <f>IF(AND(Q100=1,OR(P100="",P100='DADOS_INVOC'!$EL$10,P100='DADOS_INVOC'!$EM$10,P100='DADOS_INVOC'!$EN$10,P100='DADOS_INVOC'!$EO$10,P100='DADOS_INVOC'!$EP$10,P100='DADOS_INVOC'!$QV$10,P100='DADOS_INVOC'!$QW$10,P100='DADOS_INVOC'!$QX$10,P100='DADOS_INVOC'!$QY$10)),O100,"")</f>
        <v/>
      </c>
      <c r="BF100">
        <f>IF(OR(P100="",P100='DADOS_INVOC'!$EL$11,P100='DADOS_INVOC'!$EM$11,P100='DADOS_INVOC'!$EN$11,P100='DADOS_INVOC'!$EO$11,P100='DADOS_INVOC'!$EP$11,P100='DADOS_INVOC'!$QV$11,P100='DADOS_INVOC'!$QW$11,P100='DADOS_INVOC'!$QX$11,P100='DADOS_INVOC'!$QY$11),O100,"")</f>
        <v/>
      </c>
      <c r="BG100">
        <f>IF(AND(Q100=1,OR(P100="",P100='DADOS_INVOC'!$EL$11,P100='DADOS_INVOC'!$EM$11,P100='DADOS_INVOC'!$EN$11,P100='DADOS_INVOC'!$EO$11,P100='DADOS_INVOC'!$EP$11,P100='DADOS_INVOC'!$QV$11,P100='DADOS_INVOC'!$QW$11,P100='DADOS_INVOC'!$QX$11,P100='DADOS_INVOC'!$QY$11)),O100,"")</f>
        <v/>
      </c>
      <c r="BH100">
        <f>IF(OR(P100="",P100='DADOS_INVOC'!$EL$12,P100='DADOS_INVOC'!$EM$12,P100='DADOS_INVOC'!$EN$12,P100='DADOS_INVOC'!$EO$12,P100='DADOS_INVOC'!$EP$12,P100='DADOS_INVOC'!$QV$12,P100='DADOS_INVOC'!$QW$12,P100='DADOS_INVOC'!$QX$12,P100='DADOS_INVOC'!$QY$12),O100,"")</f>
        <v/>
      </c>
      <c r="BI100">
        <f>IF(AND(Q100=1,OR(P100="",P100='DADOS_INVOC'!$EL$12,P100='DADOS_INVOC'!$EM$12,P100='DADOS_INVOC'!$EN$12,P100='DADOS_INVOC'!$EO$12,P100='DADOS_INVOC'!$EP$12,P100='DADOS_INVOC'!$QV$12,P100='DADOS_INVOC'!$QW$12,P100='DADOS_INVOC'!$QX$12,P100='DADOS_INVOC'!$QY$12)),O100,"")</f>
        <v/>
      </c>
      <c r="BJ100">
        <f>IF(OR(P100="",P100='DADOS_INVOC'!$EL$13,P100='DADOS_INVOC'!$EM$13,P100='DADOS_INVOC'!$EN$13,P100='DADOS_INVOC'!$EO$13,P100='DADOS_INVOC'!$EP$13,P100='DADOS_INVOC'!$QV$13,P100='DADOS_INVOC'!$QW$13,P100='DADOS_INVOC'!$QX$13,P100='DADOS_INVOC'!$QY$13),O100,"")</f>
        <v/>
      </c>
      <c r="BK100">
        <f>IF(AND(Q100=1,OR(P100="",P100='DADOS_INVOC'!$EL$13,P100='DADOS_INVOC'!$EM$13,P100='DADOS_INVOC'!$EN$13,P100='DADOS_INVOC'!$EO$13,P100='DADOS_INVOC'!$EP$13,P100='DADOS_INVOC'!$QV$13,P100='DADOS_INVOC'!$QW$13,P100='DADOS_INVOC'!$QX$13,P100='DADOS_INVOC'!$QY$13)),O100,"")</f>
        <v/>
      </c>
    </row>
    <row r="101">
      <c r="O101">
        <f>IF(AND(D19&lt;&gt;"",M19=""),D19,"")</f>
        <v/>
      </c>
      <c r="P101">
        <f>IF(O101="","",IF(AND(BR19="Condição",F19="",L19=0),"Controle",IF(O101="","",IF(F19&lt;&gt;"",IF(F19="Nenhuma","",F19),IF(L19&gt;0,INDEX($P$2:$P$83,L19),"")))))</f>
        <v/>
      </c>
      <c r="Q101">
        <f>IF(O101="",0,IF(G19&lt;&gt;"",IFERROR(MATCH(G19,'DADOS_MELHORIAS'!$BN$2:$BN$4,0),0),IF(L19&gt;0,INDEX('DADOS_MELHORIAS'!$Q$2:$Q$83,L19),0)))</f>
        <v/>
      </c>
      <c r="R101">
        <f>IF(O101="",0,Q101+3*IFERROR(VLOOKUP(SUBSTITUTE(SUBSTITUTE(SUBSTITUTE(P101,"~","~~"),"*","~*"),"?","~?"),'DADOS_CRIACAO'!$H$2:$K$20,3,FALSE),0))</f>
        <v/>
      </c>
      <c r="S101">
        <f>IF(O101="",0,IFERROR(VLOOKUP(SUBSTITUTE(SUBSTITUTE(SUBSTITUTE(P101,"~","~~"),"*","~*"),"?","~?"),'DADOS_CRIACAO'!$H$2:$K$20,4,FALSE),0))</f>
        <v/>
      </c>
      <c r="T101">
        <f>IF(O101="",0,IF(BR19="Condição",1,IF(O101="",0,IF(OR(P101="Controle",IF(L19&gt;0,INDEX('DADOS_MELHORIAS'!$T$2:$T$83,L19),0)=1),1,0))))</f>
        <v/>
      </c>
      <c r="U101">
        <f>IF(O101="","",IF(S101=1,"",O101))</f>
        <v/>
      </c>
      <c r="V101">
        <f>IF(O101="","",IF(AND(Q101=1,S101=0),O101,""))</f>
        <v/>
      </c>
      <c r="W101">
        <f>IF(O101="",0,IF(BR19="Condição",1,IF(O101="",0,IF(H19="",IF(L19&gt;0,INDEX('DADOS_MELHORIAS'!$W$2:$W$83,L19),0),IF(H19="Sim",1,0)))))</f>
        <v/>
      </c>
      <c r="X101">
        <f>IF(O101="","",IF(L19&gt;0,INDEX($X$2:$X$83,L19),D19))</f>
        <v/>
      </c>
      <c r="Y101">
        <f>IF(O101="",0,IF(L19&gt;0,INDEX('DADOS_MELHORIAS'!$Y$2:$Y$83,L19),0))</f>
        <v/>
      </c>
      <c r="AG101">
        <f>O101</f>
        <v/>
      </c>
      <c r="AH101">
        <f>P101</f>
        <v/>
      </c>
      <c r="AI101">
        <f>Q101</f>
        <v/>
      </c>
      <c r="AJ101">
        <f>T101</f>
        <v/>
      </c>
      <c r="AK101">
        <f>Y101</f>
        <v/>
      </c>
      <c r="AL101">
        <f>W101</f>
        <v/>
      </c>
      <c r="AN101">
        <f>IF(OR(P101="",P101='DADOS_INVOC'!$EL$2,P101='DADOS_INVOC'!$EM$2,P101='DADOS_INVOC'!$EN$2,P101='DADOS_INVOC'!$EO$2,P101='DADOS_INVOC'!$EP$2,P101='DADOS_INVOC'!$QV$2,P101='DADOS_INVOC'!$QW$2,P101='DADOS_INVOC'!$QX$2,P101='DADOS_INVOC'!$QY$2),O101,"")</f>
        <v/>
      </c>
      <c r="AO101">
        <f>IF(AND(Q101=1,OR(P101="",P101='DADOS_INVOC'!$EL$2,P101='DADOS_INVOC'!$EM$2,P101='DADOS_INVOC'!$EN$2,P101='DADOS_INVOC'!$EO$2,P101='DADOS_INVOC'!$EP$2,P101='DADOS_INVOC'!$QV$2,P101='DADOS_INVOC'!$QW$2,P101='DADOS_INVOC'!$QX$2,P101='DADOS_INVOC'!$QY$2)),O101,"")</f>
        <v/>
      </c>
      <c r="AP101">
        <f>IF(OR(P101="",P101='DADOS_INVOC'!$EL$3,P101='DADOS_INVOC'!$EM$3,P101='DADOS_INVOC'!$EN$3,P101='DADOS_INVOC'!$EO$3,P101='DADOS_INVOC'!$EP$3,P101='DADOS_INVOC'!$QV$3,P101='DADOS_INVOC'!$QW$3,P101='DADOS_INVOC'!$QX$3,P101='DADOS_INVOC'!$QY$3),O101,"")</f>
        <v/>
      </c>
      <c r="AQ101">
        <f>IF(AND(Q101=1,OR(P101="",P101='DADOS_INVOC'!$EL$3,P101='DADOS_INVOC'!$EM$3,P101='DADOS_INVOC'!$EN$3,P101='DADOS_INVOC'!$EO$3,P101='DADOS_INVOC'!$EP$3,P101='DADOS_INVOC'!$QV$3,P101='DADOS_INVOC'!$QW$3,P101='DADOS_INVOC'!$QX$3,P101='DADOS_INVOC'!$QY$3)),O101,"")</f>
        <v/>
      </c>
      <c r="AR101">
        <f>IF(OR(P101="",P101='DADOS_INVOC'!$EL$4,P101='DADOS_INVOC'!$EM$4,P101='DADOS_INVOC'!$EN$4,P101='DADOS_INVOC'!$EO$4,P101='DADOS_INVOC'!$EP$4,P101='DADOS_INVOC'!$QV$4,P101='DADOS_INVOC'!$QW$4,P101='DADOS_INVOC'!$QX$4,P101='DADOS_INVOC'!$QY$4),O101,"")</f>
        <v/>
      </c>
      <c r="AS101">
        <f>IF(AND(Q101=1,OR(P101="",P101='DADOS_INVOC'!$EL$4,P101='DADOS_INVOC'!$EM$4,P101='DADOS_INVOC'!$EN$4,P101='DADOS_INVOC'!$EO$4,P101='DADOS_INVOC'!$EP$4,P101='DADOS_INVOC'!$QV$4,P101='DADOS_INVOC'!$QW$4,P101='DADOS_INVOC'!$QX$4,P101='DADOS_INVOC'!$QY$4)),O101,"")</f>
        <v/>
      </c>
      <c r="AT101">
        <f>IF(OR(P101="",P101='DADOS_INVOC'!$EL$5,P101='DADOS_INVOC'!$EM$5,P101='DADOS_INVOC'!$EN$5,P101='DADOS_INVOC'!$EO$5,P101='DADOS_INVOC'!$EP$5,P101='DADOS_INVOC'!$QV$5,P101='DADOS_INVOC'!$QW$5,P101='DADOS_INVOC'!$QX$5,P101='DADOS_INVOC'!$QY$5),O101,"")</f>
        <v/>
      </c>
      <c r="AU101">
        <f>IF(AND(Q101=1,OR(P101="",P101='DADOS_INVOC'!$EL$5,P101='DADOS_INVOC'!$EM$5,P101='DADOS_INVOC'!$EN$5,P101='DADOS_INVOC'!$EO$5,P101='DADOS_INVOC'!$EP$5,P101='DADOS_INVOC'!$QV$5,P101='DADOS_INVOC'!$QW$5,P101='DADOS_INVOC'!$QX$5,P101='DADOS_INVOC'!$QY$5)),O101,"")</f>
        <v/>
      </c>
      <c r="AV101">
        <f>IF(OR(P101="",P101='DADOS_INVOC'!$EL$6,P101='DADOS_INVOC'!$EM$6,P101='DADOS_INVOC'!$EN$6,P101='DADOS_INVOC'!$EO$6,P101='DADOS_INVOC'!$EP$6,P101='DADOS_INVOC'!$QV$6,P101='DADOS_INVOC'!$QW$6,P101='DADOS_INVOC'!$QX$6,P101='DADOS_INVOC'!$QY$6),O101,"")</f>
        <v/>
      </c>
      <c r="AW101">
        <f>IF(AND(Q101=1,OR(P101="",P101='DADOS_INVOC'!$EL$6,P101='DADOS_INVOC'!$EM$6,P101='DADOS_INVOC'!$EN$6,P101='DADOS_INVOC'!$EO$6,P101='DADOS_INVOC'!$EP$6,P101='DADOS_INVOC'!$QV$6,P101='DADOS_INVOC'!$QW$6,P101='DADOS_INVOC'!$QX$6,P101='DADOS_INVOC'!$QY$6)),O101,"")</f>
        <v/>
      </c>
      <c r="AX101">
        <f>IF(OR(P101="",P101='DADOS_INVOC'!$EL$7,P101='DADOS_INVOC'!$EM$7,P101='DADOS_INVOC'!$EN$7,P101='DADOS_INVOC'!$EO$7,P101='DADOS_INVOC'!$EP$7,P101='DADOS_INVOC'!$QV$7,P101='DADOS_INVOC'!$QW$7,P101='DADOS_INVOC'!$QX$7,P101='DADOS_INVOC'!$QY$7),O101,"")</f>
        <v/>
      </c>
      <c r="AY101">
        <f>IF(AND(Q101=1,OR(P101="",P101='DADOS_INVOC'!$EL$7,P101='DADOS_INVOC'!$EM$7,P101='DADOS_INVOC'!$EN$7,P101='DADOS_INVOC'!$EO$7,P101='DADOS_INVOC'!$EP$7,P101='DADOS_INVOC'!$QV$7,P101='DADOS_INVOC'!$QW$7,P101='DADOS_INVOC'!$QX$7,P101='DADOS_INVOC'!$QY$7)),O101,"")</f>
        <v/>
      </c>
      <c r="AZ101">
        <f>IF(OR(P101="",P101='DADOS_INVOC'!$EL$8,P101='DADOS_INVOC'!$EM$8,P101='DADOS_INVOC'!$EN$8,P101='DADOS_INVOC'!$EO$8,P101='DADOS_INVOC'!$EP$8,P101='DADOS_INVOC'!$QV$8,P101='DADOS_INVOC'!$QW$8,P101='DADOS_INVOC'!$QX$8,P101='DADOS_INVOC'!$QY$8),O101,"")</f>
        <v/>
      </c>
      <c r="BA101">
        <f>IF(AND(Q101=1,OR(P101="",P101='DADOS_INVOC'!$EL$8,P101='DADOS_INVOC'!$EM$8,P101='DADOS_INVOC'!$EN$8,P101='DADOS_INVOC'!$EO$8,P101='DADOS_INVOC'!$EP$8,P101='DADOS_INVOC'!$QV$8,P101='DADOS_INVOC'!$QW$8,P101='DADOS_INVOC'!$QX$8,P101='DADOS_INVOC'!$QY$8)),O101,"")</f>
        <v/>
      </c>
      <c r="BB101">
        <f>IF(OR(P101="",P101='DADOS_INVOC'!$EL$9,P101='DADOS_INVOC'!$EM$9,P101='DADOS_INVOC'!$EN$9,P101='DADOS_INVOC'!$EO$9,P101='DADOS_INVOC'!$EP$9,P101='DADOS_INVOC'!$QV$9,P101='DADOS_INVOC'!$QW$9,P101='DADOS_INVOC'!$QX$9,P101='DADOS_INVOC'!$QY$9),O101,"")</f>
        <v/>
      </c>
      <c r="BC101">
        <f>IF(AND(Q101=1,OR(P101="",P101='DADOS_INVOC'!$EL$9,P101='DADOS_INVOC'!$EM$9,P101='DADOS_INVOC'!$EN$9,P101='DADOS_INVOC'!$EO$9,P101='DADOS_INVOC'!$EP$9,P101='DADOS_INVOC'!$QV$9,P101='DADOS_INVOC'!$QW$9,P101='DADOS_INVOC'!$QX$9,P101='DADOS_INVOC'!$QY$9)),O101,"")</f>
        <v/>
      </c>
      <c r="BD101">
        <f>IF(OR(P101="",P101='DADOS_INVOC'!$EL$10,P101='DADOS_INVOC'!$EM$10,P101='DADOS_INVOC'!$EN$10,P101='DADOS_INVOC'!$EO$10,P101='DADOS_INVOC'!$EP$10,P101='DADOS_INVOC'!$QV$10,P101='DADOS_INVOC'!$QW$10,P101='DADOS_INVOC'!$QX$10,P101='DADOS_INVOC'!$QY$10),O101,"")</f>
        <v/>
      </c>
      <c r="BE101">
        <f>IF(AND(Q101=1,OR(P101="",P101='DADOS_INVOC'!$EL$10,P101='DADOS_INVOC'!$EM$10,P101='DADOS_INVOC'!$EN$10,P101='DADOS_INVOC'!$EO$10,P101='DADOS_INVOC'!$EP$10,P101='DADOS_INVOC'!$QV$10,P101='DADOS_INVOC'!$QW$10,P101='DADOS_INVOC'!$QX$10,P101='DADOS_INVOC'!$QY$10)),O101,"")</f>
        <v/>
      </c>
      <c r="BF101">
        <f>IF(OR(P101="",P101='DADOS_INVOC'!$EL$11,P101='DADOS_INVOC'!$EM$11,P101='DADOS_INVOC'!$EN$11,P101='DADOS_INVOC'!$EO$11,P101='DADOS_INVOC'!$EP$11,P101='DADOS_INVOC'!$QV$11,P101='DADOS_INVOC'!$QW$11,P101='DADOS_INVOC'!$QX$11,P101='DADOS_INVOC'!$QY$11),O101,"")</f>
        <v/>
      </c>
      <c r="BG101">
        <f>IF(AND(Q101=1,OR(P101="",P101='DADOS_INVOC'!$EL$11,P101='DADOS_INVOC'!$EM$11,P101='DADOS_INVOC'!$EN$11,P101='DADOS_INVOC'!$EO$11,P101='DADOS_INVOC'!$EP$11,P101='DADOS_INVOC'!$QV$11,P101='DADOS_INVOC'!$QW$11,P101='DADOS_INVOC'!$QX$11,P101='DADOS_INVOC'!$QY$11)),O101,"")</f>
        <v/>
      </c>
      <c r="BH101">
        <f>IF(OR(P101="",P101='DADOS_INVOC'!$EL$12,P101='DADOS_INVOC'!$EM$12,P101='DADOS_INVOC'!$EN$12,P101='DADOS_INVOC'!$EO$12,P101='DADOS_INVOC'!$EP$12,P101='DADOS_INVOC'!$QV$12,P101='DADOS_INVOC'!$QW$12,P101='DADOS_INVOC'!$QX$12,P101='DADOS_INVOC'!$QY$12),O101,"")</f>
        <v/>
      </c>
      <c r="BI101">
        <f>IF(AND(Q101=1,OR(P101="",P101='DADOS_INVOC'!$EL$12,P101='DADOS_INVOC'!$EM$12,P101='DADOS_INVOC'!$EN$12,P101='DADOS_INVOC'!$EO$12,P101='DADOS_INVOC'!$EP$12,P101='DADOS_INVOC'!$QV$12,P101='DADOS_INVOC'!$QW$12,P101='DADOS_INVOC'!$QX$12,P101='DADOS_INVOC'!$QY$12)),O101,"")</f>
        <v/>
      </c>
      <c r="BJ101">
        <f>IF(OR(P101="",P101='DADOS_INVOC'!$EL$13,P101='DADOS_INVOC'!$EM$13,P101='DADOS_INVOC'!$EN$13,P101='DADOS_INVOC'!$EO$13,P101='DADOS_INVOC'!$EP$13,P101='DADOS_INVOC'!$QV$13,P101='DADOS_INVOC'!$QW$13,P101='DADOS_INVOC'!$QX$13,P101='DADOS_INVOC'!$QY$13),O101,"")</f>
        <v/>
      </c>
      <c r="BK101">
        <f>IF(AND(Q101=1,OR(P101="",P101='DADOS_INVOC'!$EL$13,P101='DADOS_INVOC'!$EM$13,P101='DADOS_INVOC'!$EN$13,P101='DADOS_INVOC'!$EO$13,P101='DADOS_INVOC'!$EP$13,P101='DADOS_INVOC'!$QV$13,P101='DADOS_INVOC'!$QW$13,P101='DADOS_INVOC'!$QX$13,P101='DADOS_INVOC'!$QY$13)),O101,"")</f>
        <v/>
      </c>
    </row>
    <row r="102">
      <c r="O102">
        <f>IF(AND(D20&lt;&gt;"",M20=""),D20,"")</f>
        <v/>
      </c>
      <c r="P102">
        <f>IF(O102="","",IF(AND(BR20="Condição",F20="",L20=0),"Controle",IF(O102="","",IF(F20&lt;&gt;"",IF(F20="Nenhuma","",F20),IF(L20&gt;0,INDEX($P$2:$P$83,L20),"")))))</f>
        <v/>
      </c>
      <c r="Q102">
        <f>IF(O102="",0,IF(G20&lt;&gt;"",IFERROR(MATCH(G20,'DADOS_MELHORIAS'!$BN$2:$BN$4,0),0),IF(L20&gt;0,INDEX('DADOS_MELHORIAS'!$Q$2:$Q$83,L20),0)))</f>
        <v/>
      </c>
      <c r="R102">
        <f>IF(O102="",0,Q102+3*IFERROR(VLOOKUP(SUBSTITUTE(SUBSTITUTE(SUBSTITUTE(P102,"~","~~"),"*","~*"),"?","~?"),'DADOS_CRIACAO'!$H$2:$K$20,3,FALSE),0))</f>
        <v/>
      </c>
      <c r="S102">
        <f>IF(O102="",0,IFERROR(VLOOKUP(SUBSTITUTE(SUBSTITUTE(SUBSTITUTE(P102,"~","~~"),"*","~*"),"?","~?"),'DADOS_CRIACAO'!$H$2:$K$20,4,FALSE),0))</f>
        <v/>
      </c>
      <c r="T102">
        <f>IF(O102="",0,IF(BR20="Condição",1,IF(O102="",0,IF(OR(P102="Controle",IF(L20&gt;0,INDEX('DADOS_MELHORIAS'!$T$2:$T$83,L20),0)=1),1,0))))</f>
        <v/>
      </c>
      <c r="U102">
        <f>IF(O102="","",IF(S102=1,"",O102))</f>
        <v/>
      </c>
      <c r="V102">
        <f>IF(O102="","",IF(AND(Q102=1,S102=0),O102,""))</f>
        <v/>
      </c>
      <c r="W102">
        <f>IF(O102="",0,IF(BR20="Condição",1,IF(O102="",0,IF(H20="",IF(L20&gt;0,INDEX('DADOS_MELHORIAS'!$W$2:$W$83,L20),0),IF(H20="Sim",1,0)))))</f>
        <v/>
      </c>
      <c r="X102">
        <f>IF(O102="","",IF(L20&gt;0,INDEX($X$2:$X$83,L20),D20))</f>
        <v/>
      </c>
      <c r="Y102">
        <f>IF(O102="",0,IF(L20&gt;0,INDEX('DADOS_MELHORIAS'!$Y$2:$Y$83,L20),0))</f>
        <v/>
      </c>
      <c r="AG102">
        <f>O102</f>
        <v/>
      </c>
      <c r="AH102">
        <f>P102</f>
        <v/>
      </c>
      <c r="AI102">
        <f>Q102</f>
        <v/>
      </c>
      <c r="AJ102">
        <f>T102</f>
        <v/>
      </c>
      <c r="AK102">
        <f>Y102</f>
        <v/>
      </c>
      <c r="AL102">
        <f>W102</f>
        <v/>
      </c>
      <c r="AN102">
        <f>IF(OR(P102="",P102='DADOS_INVOC'!$EL$2,P102='DADOS_INVOC'!$EM$2,P102='DADOS_INVOC'!$EN$2,P102='DADOS_INVOC'!$EO$2,P102='DADOS_INVOC'!$EP$2,P102='DADOS_INVOC'!$QV$2,P102='DADOS_INVOC'!$QW$2,P102='DADOS_INVOC'!$QX$2,P102='DADOS_INVOC'!$QY$2),O102,"")</f>
        <v/>
      </c>
      <c r="AO102">
        <f>IF(AND(Q102=1,OR(P102="",P102='DADOS_INVOC'!$EL$2,P102='DADOS_INVOC'!$EM$2,P102='DADOS_INVOC'!$EN$2,P102='DADOS_INVOC'!$EO$2,P102='DADOS_INVOC'!$EP$2,P102='DADOS_INVOC'!$QV$2,P102='DADOS_INVOC'!$QW$2,P102='DADOS_INVOC'!$QX$2,P102='DADOS_INVOC'!$QY$2)),O102,"")</f>
        <v/>
      </c>
      <c r="AP102">
        <f>IF(OR(P102="",P102='DADOS_INVOC'!$EL$3,P102='DADOS_INVOC'!$EM$3,P102='DADOS_INVOC'!$EN$3,P102='DADOS_INVOC'!$EO$3,P102='DADOS_INVOC'!$EP$3,P102='DADOS_INVOC'!$QV$3,P102='DADOS_INVOC'!$QW$3,P102='DADOS_INVOC'!$QX$3,P102='DADOS_INVOC'!$QY$3),O102,"")</f>
        <v/>
      </c>
      <c r="AQ102">
        <f>IF(AND(Q102=1,OR(P102="",P102='DADOS_INVOC'!$EL$3,P102='DADOS_INVOC'!$EM$3,P102='DADOS_INVOC'!$EN$3,P102='DADOS_INVOC'!$EO$3,P102='DADOS_INVOC'!$EP$3,P102='DADOS_INVOC'!$QV$3,P102='DADOS_INVOC'!$QW$3,P102='DADOS_INVOC'!$QX$3,P102='DADOS_INVOC'!$QY$3)),O102,"")</f>
        <v/>
      </c>
      <c r="AR102">
        <f>IF(OR(P102="",P102='DADOS_INVOC'!$EL$4,P102='DADOS_INVOC'!$EM$4,P102='DADOS_INVOC'!$EN$4,P102='DADOS_INVOC'!$EO$4,P102='DADOS_INVOC'!$EP$4,P102='DADOS_INVOC'!$QV$4,P102='DADOS_INVOC'!$QW$4,P102='DADOS_INVOC'!$QX$4,P102='DADOS_INVOC'!$QY$4),O102,"")</f>
        <v/>
      </c>
      <c r="AS102">
        <f>IF(AND(Q102=1,OR(P102="",P102='DADOS_INVOC'!$EL$4,P102='DADOS_INVOC'!$EM$4,P102='DADOS_INVOC'!$EN$4,P102='DADOS_INVOC'!$EO$4,P102='DADOS_INVOC'!$EP$4,P102='DADOS_INVOC'!$QV$4,P102='DADOS_INVOC'!$QW$4,P102='DADOS_INVOC'!$QX$4,P102='DADOS_INVOC'!$QY$4)),O102,"")</f>
        <v/>
      </c>
      <c r="AT102">
        <f>IF(OR(P102="",P102='DADOS_INVOC'!$EL$5,P102='DADOS_INVOC'!$EM$5,P102='DADOS_INVOC'!$EN$5,P102='DADOS_INVOC'!$EO$5,P102='DADOS_INVOC'!$EP$5,P102='DADOS_INVOC'!$QV$5,P102='DADOS_INVOC'!$QW$5,P102='DADOS_INVOC'!$QX$5,P102='DADOS_INVOC'!$QY$5),O102,"")</f>
        <v/>
      </c>
      <c r="AU102">
        <f>IF(AND(Q102=1,OR(P102="",P102='DADOS_INVOC'!$EL$5,P102='DADOS_INVOC'!$EM$5,P102='DADOS_INVOC'!$EN$5,P102='DADOS_INVOC'!$EO$5,P102='DADOS_INVOC'!$EP$5,P102='DADOS_INVOC'!$QV$5,P102='DADOS_INVOC'!$QW$5,P102='DADOS_INVOC'!$QX$5,P102='DADOS_INVOC'!$QY$5)),O102,"")</f>
        <v/>
      </c>
      <c r="AV102">
        <f>IF(OR(P102="",P102='DADOS_INVOC'!$EL$6,P102='DADOS_INVOC'!$EM$6,P102='DADOS_INVOC'!$EN$6,P102='DADOS_INVOC'!$EO$6,P102='DADOS_INVOC'!$EP$6,P102='DADOS_INVOC'!$QV$6,P102='DADOS_INVOC'!$QW$6,P102='DADOS_INVOC'!$QX$6,P102='DADOS_INVOC'!$QY$6),O102,"")</f>
        <v/>
      </c>
      <c r="AW102">
        <f>IF(AND(Q102=1,OR(P102="",P102='DADOS_INVOC'!$EL$6,P102='DADOS_INVOC'!$EM$6,P102='DADOS_INVOC'!$EN$6,P102='DADOS_INVOC'!$EO$6,P102='DADOS_INVOC'!$EP$6,P102='DADOS_INVOC'!$QV$6,P102='DADOS_INVOC'!$QW$6,P102='DADOS_INVOC'!$QX$6,P102='DADOS_INVOC'!$QY$6)),O102,"")</f>
        <v/>
      </c>
      <c r="AX102">
        <f>IF(OR(P102="",P102='DADOS_INVOC'!$EL$7,P102='DADOS_INVOC'!$EM$7,P102='DADOS_INVOC'!$EN$7,P102='DADOS_INVOC'!$EO$7,P102='DADOS_INVOC'!$EP$7,P102='DADOS_INVOC'!$QV$7,P102='DADOS_INVOC'!$QW$7,P102='DADOS_INVOC'!$QX$7,P102='DADOS_INVOC'!$QY$7),O102,"")</f>
        <v/>
      </c>
      <c r="AY102">
        <f>IF(AND(Q102=1,OR(P102="",P102='DADOS_INVOC'!$EL$7,P102='DADOS_INVOC'!$EM$7,P102='DADOS_INVOC'!$EN$7,P102='DADOS_INVOC'!$EO$7,P102='DADOS_INVOC'!$EP$7,P102='DADOS_INVOC'!$QV$7,P102='DADOS_INVOC'!$QW$7,P102='DADOS_INVOC'!$QX$7,P102='DADOS_INVOC'!$QY$7)),O102,"")</f>
        <v/>
      </c>
      <c r="AZ102">
        <f>IF(OR(P102="",P102='DADOS_INVOC'!$EL$8,P102='DADOS_INVOC'!$EM$8,P102='DADOS_INVOC'!$EN$8,P102='DADOS_INVOC'!$EO$8,P102='DADOS_INVOC'!$EP$8,P102='DADOS_INVOC'!$QV$8,P102='DADOS_INVOC'!$QW$8,P102='DADOS_INVOC'!$QX$8,P102='DADOS_INVOC'!$QY$8),O102,"")</f>
        <v/>
      </c>
      <c r="BA102">
        <f>IF(AND(Q102=1,OR(P102="",P102='DADOS_INVOC'!$EL$8,P102='DADOS_INVOC'!$EM$8,P102='DADOS_INVOC'!$EN$8,P102='DADOS_INVOC'!$EO$8,P102='DADOS_INVOC'!$EP$8,P102='DADOS_INVOC'!$QV$8,P102='DADOS_INVOC'!$QW$8,P102='DADOS_INVOC'!$QX$8,P102='DADOS_INVOC'!$QY$8)),O102,"")</f>
        <v/>
      </c>
      <c r="BB102">
        <f>IF(OR(P102="",P102='DADOS_INVOC'!$EL$9,P102='DADOS_INVOC'!$EM$9,P102='DADOS_INVOC'!$EN$9,P102='DADOS_INVOC'!$EO$9,P102='DADOS_INVOC'!$EP$9,P102='DADOS_INVOC'!$QV$9,P102='DADOS_INVOC'!$QW$9,P102='DADOS_INVOC'!$QX$9,P102='DADOS_INVOC'!$QY$9),O102,"")</f>
        <v/>
      </c>
      <c r="BC102">
        <f>IF(AND(Q102=1,OR(P102="",P102='DADOS_INVOC'!$EL$9,P102='DADOS_INVOC'!$EM$9,P102='DADOS_INVOC'!$EN$9,P102='DADOS_INVOC'!$EO$9,P102='DADOS_INVOC'!$EP$9,P102='DADOS_INVOC'!$QV$9,P102='DADOS_INVOC'!$QW$9,P102='DADOS_INVOC'!$QX$9,P102='DADOS_INVOC'!$QY$9)),O102,"")</f>
        <v/>
      </c>
      <c r="BD102">
        <f>IF(OR(P102="",P102='DADOS_INVOC'!$EL$10,P102='DADOS_INVOC'!$EM$10,P102='DADOS_INVOC'!$EN$10,P102='DADOS_INVOC'!$EO$10,P102='DADOS_INVOC'!$EP$10,P102='DADOS_INVOC'!$QV$10,P102='DADOS_INVOC'!$QW$10,P102='DADOS_INVOC'!$QX$10,P102='DADOS_INVOC'!$QY$10),O102,"")</f>
        <v/>
      </c>
      <c r="BE102">
        <f>IF(AND(Q102=1,OR(P102="",P102='DADOS_INVOC'!$EL$10,P102='DADOS_INVOC'!$EM$10,P102='DADOS_INVOC'!$EN$10,P102='DADOS_INVOC'!$EO$10,P102='DADOS_INVOC'!$EP$10,P102='DADOS_INVOC'!$QV$10,P102='DADOS_INVOC'!$QW$10,P102='DADOS_INVOC'!$QX$10,P102='DADOS_INVOC'!$QY$10)),O102,"")</f>
        <v/>
      </c>
      <c r="BF102">
        <f>IF(OR(P102="",P102='DADOS_INVOC'!$EL$11,P102='DADOS_INVOC'!$EM$11,P102='DADOS_INVOC'!$EN$11,P102='DADOS_INVOC'!$EO$11,P102='DADOS_INVOC'!$EP$11,P102='DADOS_INVOC'!$QV$11,P102='DADOS_INVOC'!$QW$11,P102='DADOS_INVOC'!$QX$11,P102='DADOS_INVOC'!$QY$11),O102,"")</f>
        <v/>
      </c>
      <c r="BG102">
        <f>IF(AND(Q102=1,OR(P102="",P102='DADOS_INVOC'!$EL$11,P102='DADOS_INVOC'!$EM$11,P102='DADOS_INVOC'!$EN$11,P102='DADOS_INVOC'!$EO$11,P102='DADOS_INVOC'!$EP$11,P102='DADOS_INVOC'!$QV$11,P102='DADOS_INVOC'!$QW$11,P102='DADOS_INVOC'!$QX$11,P102='DADOS_INVOC'!$QY$11)),O102,"")</f>
        <v/>
      </c>
      <c r="BH102">
        <f>IF(OR(P102="",P102='DADOS_INVOC'!$EL$12,P102='DADOS_INVOC'!$EM$12,P102='DADOS_INVOC'!$EN$12,P102='DADOS_INVOC'!$EO$12,P102='DADOS_INVOC'!$EP$12,P102='DADOS_INVOC'!$QV$12,P102='DADOS_INVOC'!$QW$12,P102='DADOS_INVOC'!$QX$12,P102='DADOS_INVOC'!$QY$12),O102,"")</f>
        <v/>
      </c>
      <c r="BI102">
        <f>IF(AND(Q102=1,OR(P102="",P102='DADOS_INVOC'!$EL$12,P102='DADOS_INVOC'!$EM$12,P102='DADOS_INVOC'!$EN$12,P102='DADOS_INVOC'!$EO$12,P102='DADOS_INVOC'!$EP$12,P102='DADOS_INVOC'!$QV$12,P102='DADOS_INVOC'!$QW$12,P102='DADOS_INVOC'!$QX$12,P102='DADOS_INVOC'!$QY$12)),O102,"")</f>
        <v/>
      </c>
      <c r="BJ102">
        <f>IF(OR(P102="",P102='DADOS_INVOC'!$EL$13,P102='DADOS_INVOC'!$EM$13,P102='DADOS_INVOC'!$EN$13,P102='DADOS_INVOC'!$EO$13,P102='DADOS_INVOC'!$EP$13,P102='DADOS_INVOC'!$QV$13,P102='DADOS_INVOC'!$QW$13,P102='DADOS_INVOC'!$QX$13,P102='DADOS_INVOC'!$QY$13),O102,"")</f>
        <v/>
      </c>
      <c r="BK102">
        <f>IF(AND(Q102=1,OR(P102="",P102='DADOS_INVOC'!$EL$13,P102='DADOS_INVOC'!$EM$13,P102='DADOS_INVOC'!$EN$13,P102='DADOS_INVOC'!$EO$13,P102='DADOS_INVOC'!$EP$13,P102='DADOS_INVOC'!$QV$13,P102='DADOS_INVOC'!$QW$13,P102='DADOS_INVOC'!$QX$13,P102='DADOS_INVOC'!$QY$13)),O102,"")</f>
        <v/>
      </c>
    </row>
    <row r="103">
      <c r="O103">
        <f>IF(AND(D21&lt;&gt;"",M21=""),D21,"")</f>
        <v/>
      </c>
      <c r="P103">
        <f>IF(O103="","",IF(AND(BR21="Condição",F21="",L21=0),"Controle",IF(O103="","",IF(F21&lt;&gt;"",IF(F21="Nenhuma","",F21),IF(L21&gt;0,INDEX($P$2:$P$83,L21),"")))))</f>
        <v/>
      </c>
      <c r="Q103">
        <f>IF(O103="",0,IF(G21&lt;&gt;"",IFERROR(MATCH(G21,'DADOS_MELHORIAS'!$BN$2:$BN$4,0),0),IF(L21&gt;0,INDEX('DADOS_MELHORIAS'!$Q$2:$Q$83,L21),0)))</f>
        <v/>
      </c>
      <c r="R103">
        <f>IF(O103="",0,Q103+3*IFERROR(VLOOKUP(SUBSTITUTE(SUBSTITUTE(SUBSTITUTE(P103,"~","~~"),"*","~*"),"?","~?"),'DADOS_CRIACAO'!$H$2:$K$20,3,FALSE),0))</f>
        <v/>
      </c>
      <c r="S103">
        <f>IF(O103="",0,IFERROR(VLOOKUP(SUBSTITUTE(SUBSTITUTE(SUBSTITUTE(P103,"~","~~"),"*","~*"),"?","~?"),'DADOS_CRIACAO'!$H$2:$K$20,4,FALSE),0))</f>
        <v/>
      </c>
      <c r="T103">
        <f>IF(O103="",0,IF(BR21="Condição",1,IF(O103="",0,IF(OR(P103="Controle",IF(L21&gt;0,INDEX('DADOS_MELHORIAS'!$T$2:$T$83,L21),0)=1),1,0))))</f>
        <v/>
      </c>
      <c r="U103">
        <f>IF(O103="","",IF(S103=1,"",O103))</f>
        <v/>
      </c>
      <c r="V103">
        <f>IF(O103="","",IF(AND(Q103=1,S103=0),O103,""))</f>
        <v/>
      </c>
      <c r="W103">
        <f>IF(O103="",0,IF(BR21="Condição",1,IF(O103="",0,IF(H21="",IF(L21&gt;0,INDEX('DADOS_MELHORIAS'!$W$2:$W$83,L21),0),IF(H21="Sim",1,0)))))</f>
        <v/>
      </c>
      <c r="X103">
        <f>IF(O103="","",IF(L21&gt;0,INDEX($X$2:$X$83,L21),D21))</f>
        <v/>
      </c>
      <c r="Y103">
        <f>IF(O103="",0,IF(L21&gt;0,INDEX('DADOS_MELHORIAS'!$Y$2:$Y$83,L21),0))</f>
        <v/>
      </c>
      <c r="AG103">
        <f>O103</f>
        <v/>
      </c>
      <c r="AH103">
        <f>P103</f>
        <v/>
      </c>
      <c r="AI103">
        <f>Q103</f>
        <v/>
      </c>
      <c r="AJ103">
        <f>T103</f>
        <v/>
      </c>
      <c r="AK103">
        <f>Y103</f>
        <v/>
      </c>
      <c r="AL103">
        <f>W103</f>
        <v/>
      </c>
      <c r="AN103">
        <f>IF(OR(P103="",P103='DADOS_INVOC'!$EL$2,P103='DADOS_INVOC'!$EM$2,P103='DADOS_INVOC'!$EN$2,P103='DADOS_INVOC'!$EO$2,P103='DADOS_INVOC'!$EP$2,P103='DADOS_INVOC'!$QV$2,P103='DADOS_INVOC'!$QW$2,P103='DADOS_INVOC'!$QX$2,P103='DADOS_INVOC'!$QY$2),O103,"")</f>
        <v/>
      </c>
      <c r="AO103">
        <f>IF(AND(Q103=1,OR(P103="",P103='DADOS_INVOC'!$EL$2,P103='DADOS_INVOC'!$EM$2,P103='DADOS_INVOC'!$EN$2,P103='DADOS_INVOC'!$EO$2,P103='DADOS_INVOC'!$EP$2,P103='DADOS_INVOC'!$QV$2,P103='DADOS_INVOC'!$QW$2,P103='DADOS_INVOC'!$QX$2,P103='DADOS_INVOC'!$QY$2)),O103,"")</f>
        <v/>
      </c>
      <c r="AP103">
        <f>IF(OR(P103="",P103='DADOS_INVOC'!$EL$3,P103='DADOS_INVOC'!$EM$3,P103='DADOS_INVOC'!$EN$3,P103='DADOS_INVOC'!$EO$3,P103='DADOS_INVOC'!$EP$3,P103='DADOS_INVOC'!$QV$3,P103='DADOS_INVOC'!$QW$3,P103='DADOS_INVOC'!$QX$3,P103='DADOS_INVOC'!$QY$3),O103,"")</f>
        <v/>
      </c>
      <c r="AQ103">
        <f>IF(AND(Q103=1,OR(P103="",P103='DADOS_INVOC'!$EL$3,P103='DADOS_INVOC'!$EM$3,P103='DADOS_INVOC'!$EN$3,P103='DADOS_INVOC'!$EO$3,P103='DADOS_INVOC'!$EP$3,P103='DADOS_INVOC'!$QV$3,P103='DADOS_INVOC'!$QW$3,P103='DADOS_INVOC'!$QX$3,P103='DADOS_INVOC'!$QY$3)),O103,"")</f>
        <v/>
      </c>
      <c r="AR103">
        <f>IF(OR(P103="",P103='DADOS_INVOC'!$EL$4,P103='DADOS_INVOC'!$EM$4,P103='DADOS_INVOC'!$EN$4,P103='DADOS_INVOC'!$EO$4,P103='DADOS_INVOC'!$EP$4,P103='DADOS_INVOC'!$QV$4,P103='DADOS_INVOC'!$QW$4,P103='DADOS_INVOC'!$QX$4,P103='DADOS_INVOC'!$QY$4),O103,"")</f>
        <v/>
      </c>
      <c r="AS103">
        <f>IF(AND(Q103=1,OR(P103="",P103='DADOS_INVOC'!$EL$4,P103='DADOS_INVOC'!$EM$4,P103='DADOS_INVOC'!$EN$4,P103='DADOS_INVOC'!$EO$4,P103='DADOS_INVOC'!$EP$4,P103='DADOS_INVOC'!$QV$4,P103='DADOS_INVOC'!$QW$4,P103='DADOS_INVOC'!$QX$4,P103='DADOS_INVOC'!$QY$4)),O103,"")</f>
        <v/>
      </c>
      <c r="AT103">
        <f>IF(OR(P103="",P103='DADOS_INVOC'!$EL$5,P103='DADOS_INVOC'!$EM$5,P103='DADOS_INVOC'!$EN$5,P103='DADOS_INVOC'!$EO$5,P103='DADOS_INVOC'!$EP$5,P103='DADOS_INVOC'!$QV$5,P103='DADOS_INVOC'!$QW$5,P103='DADOS_INVOC'!$QX$5,P103='DADOS_INVOC'!$QY$5),O103,"")</f>
        <v/>
      </c>
      <c r="AU103">
        <f>IF(AND(Q103=1,OR(P103="",P103='DADOS_INVOC'!$EL$5,P103='DADOS_INVOC'!$EM$5,P103='DADOS_INVOC'!$EN$5,P103='DADOS_INVOC'!$EO$5,P103='DADOS_INVOC'!$EP$5,P103='DADOS_INVOC'!$QV$5,P103='DADOS_INVOC'!$QW$5,P103='DADOS_INVOC'!$QX$5,P103='DADOS_INVOC'!$QY$5)),O103,"")</f>
        <v/>
      </c>
      <c r="AV103">
        <f>IF(OR(P103="",P103='DADOS_INVOC'!$EL$6,P103='DADOS_INVOC'!$EM$6,P103='DADOS_INVOC'!$EN$6,P103='DADOS_INVOC'!$EO$6,P103='DADOS_INVOC'!$EP$6,P103='DADOS_INVOC'!$QV$6,P103='DADOS_INVOC'!$QW$6,P103='DADOS_INVOC'!$QX$6,P103='DADOS_INVOC'!$QY$6),O103,"")</f>
        <v/>
      </c>
      <c r="AW103">
        <f>IF(AND(Q103=1,OR(P103="",P103='DADOS_INVOC'!$EL$6,P103='DADOS_INVOC'!$EM$6,P103='DADOS_INVOC'!$EN$6,P103='DADOS_INVOC'!$EO$6,P103='DADOS_INVOC'!$EP$6,P103='DADOS_INVOC'!$QV$6,P103='DADOS_INVOC'!$QW$6,P103='DADOS_INVOC'!$QX$6,P103='DADOS_INVOC'!$QY$6)),O103,"")</f>
        <v/>
      </c>
      <c r="AX103">
        <f>IF(OR(P103="",P103='DADOS_INVOC'!$EL$7,P103='DADOS_INVOC'!$EM$7,P103='DADOS_INVOC'!$EN$7,P103='DADOS_INVOC'!$EO$7,P103='DADOS_INVOC'!$EP$7,P103='DADOS_INVOC'!$QV$7,P103='DADOS_INVOC'!$QW$7,P103='DADOS_INVOC'!$QX$7,P103='DADOS_INVOC'!$QY$7),O103,"")</f>
        <v/>
      </c>
      <c r="AY103">
        <f>IF(AND(Q103=1,OR(P103="",P103='DADOS_INVOC'!$EL$7,P103='DADOS_INVOC'!$EM$7,P103='DADOS_INVOC'!$EN$7,P103='DADOS_INVOC'!$EO$7,P103='DADOS_INVOC'!$EP$7,P103='DADOS_INVOC'!$QV$7,P103='DADOS_INVOC'!$QW$7,P103='DADOS_INVOC'!$QX$7,P103='DADOS_INVOC'!$QY$7)),O103,"")</f>
        <v/>
      </c>
      <c r="AZ103">
        <f>IF(OR(P103="",P103='DADOS_INVOC'!$EL$8,P103='DADOS_INVOC'!$EM$8,P103='DADOS_INVOC'!$EN$8,P103='DADOS_INVOC'!$EO$8,P103='DADOS_INVOC'!$EP$8,P103='DADOS_INVOC'!$QV$8,P103='DADOS_INVOC'!$QW$8,P103='DADOS_INVOC'!$QX$8,P103='DADOS_INVOC'!$QY$8),O103,"")</f>
        <v/>
      </c>
      <c r="BA103">
        <f>IF(AND(Q103=1,OR(P103="",P103='DADOS_INVOC'!$EL$8,P103='DADOS_INVOC'!$EM$8,P103='DADOS_INVOC'!$EN$8,P103='DADOS_INVOC'!$EO$8,P103='DADOS_INVOC'!$EP$8,P103='DADOS_INVOC'!$QV$8,P103='DADOS_INVOC'!$QW$8,P103='DADOS_INVOC'!$QX$8,P103='DADOS_INVOC'!$QY$8)),O103,"")</f>
        <v/>
      </c>
      <c r="BB103">
        <f>IF(OR(P103="",P103='DADOS_INVOC'!$EL$9,P103='DADOS_INVOC'!$EM$9,P103='DADOS_INVOC'!$EN$9,P103='DADOS_INVOC'!$EO$9,P103='DADOS_INVOC'!$EP$9,P103='DADOS_INVOC'!$QV$9,P103='DADOS_INVOC'!$QW$9,P103='DADOS_INVOC'!$QX$9,P103='DADOS_INVOC'!$QY$9),O103,"")</f>
        <v/>
      </c>
      <c r="BC103">
        <f>IF(AND(Q103=1,OR(P103="",P103='DADOS_INVOC'!$EL$9,P103='DADOS_INVOC'!$EM$9,P103='DADOS_INVOC'!$EN$9,P103='DADOS_INVOC'!$EO$9,P103='DADOS_INVOC'!$EP$9,P103='DADOS_INVOC'!$QV$9,P103='DADOS_INVOC'!$QW$9,P103='DADOS_INVOC'!$QX$9,P103='DADOS_INVOC'!$QY$9)),O103,"")</f>
        <v/>
      </c>
      <c r="BD103">
        <f>IF(OR(P103="",P103='DADOS_INVOC'!$EL$10,P103='DADOS_INVOC'!$EM$10,P103='DADOS_INVOC'!$EN$10,P103='DADOS_INVOC'!$EO$10,P103='DADOS_INVOC'!$EP$10,P103='DADOS_INVOC'!$QV$10,P103='DADOS_INVOC'!$QW$10,P103='DADOS_INVOC'!$QX$10,P103='DADOS_INVOC'!$QY$10),O103,"")</f>
        <v/>
      </c>
      <c r="BE103">
        <f>IF(AND(Q103=1,OR(P103="",P103='DADOS_INVOC'!$EL$10,P103='DADOS_INVOC'!$EM$10,P103='DADOS_INVOC'!$EN$10,P103='DADOS_INVOC'!$EO$10,P103='DADOS_INVOC'!$EP$10,P103='DADOS_INVOC'!$QV$10,P103='DADOS_INVOC'!$QW$10,P103='DADOS_INVOC'!$QX$10,P103='DADOS_INVOC'!$QY$10)),O103,"")</f>
        <v/>
      </c>
      <c r="BF103">
        <f>IF(OR(P103="",P103='DADOS_INVOC'!$EL$11,P103='DADOS_INVOC'!$EM$11,P103='DADOS_INVOC'!$EN$11,P103='DADOS_INVOC'!$EO$11,P103='DADOS_INVOC'!$EP$11,P103='DADOS_INVOC'!$QV$11,P103='DADOS_INVOC'!$QW$11,P103='DADOS_INVOC'!$QX$11,P103='DADOS_INVOC'!$QY$11),O103,"")</f>
        <v/>
      </c>
      <c r="BG103">
        <f>IF(AND(Q103=1,OR(P103="",P103='DADOS_INVOC'!$EL$11,P103='DADOS_INVOC'!$EM$11,P103='DADOS_INVOC'!$EN$11,P103='DADOS_INVOC'!$EO$11,P103='DADOS_INVOC'!$EP$11,P103='DADOS_INVOC'!$QV$11,P103='DADOS_INVOC'!$QW$11,P103='DADOS_INVOC'!$QX$11,P103='DADOS_INVOC'!$QY$11)),O103,"")</f>
        <v/>
      </c>
      <c r="BH103">
        <f>IF(OR(P103="",P103='DADOS_INVOC'!$EL$12,P103='DADOS_INVOC'!$EM$12,P103='DADOS_INVOC'!$EN$12,P103='DADOS_INVOC'!$EO$12,P103='DADOS_INVOC'!$EP$12,P103='DADOS_INVOC'!$QV$12,P103='DADOS_INVOC'!$QW$12,P103='DADOS_INVOC'!$QX$12,P103='DADOS_INVOC'!$QY$12),O103,"")</f>
        <v/>
      </c>
      <c r="BI103">
        <f>IF(AND(Q103=1,OR(P103="",P103='DADOS_INVOC'!$EL$12,P103='DADOS_INVOC'!$EM$12,P103='DADOS_INVOC'!$EN$12,P103='DADOS_INVOC'!$EO$12,P103='DADOS_INVOC'!$EP$12,P103='DADOS_INVOC'!$QV$12,P103='DADOS_INVOC'!$QW$12,P103='DADOS_INVOC'!$QX$12,P103='DADOS_INVOC'!$QY$12)),O103,"")</f>
        <v/>
      </c>
      <c r="BJ103">
        <f>IF(OR(P103="",P103='DADOS_INVOC'!$EL$13,P103='DADOS_INVOC'!$EM$13,P103='DADOS_INVOC'!$EN$13,P103='DADOS_INVOC'!$EO$13,P103='DADOS_INVOC'!$EP$13,P103='DADOS_INVOC'!$QV$13,P103='DADOS_INVOC'!$QW$13,P103='DADOS_INVOC'!$QX$13,P103='DADOS_INVOC'!$QY$13),O103,"")</f>
        <v/>
      </c>
      <c r="BK103">
        <f>IF(AND(Q103=1,OR(P103="",P103='DADOS_INVOC'!$EL$13,P103='DADOS_INVOC'!$EM$13,P103='DADOS_INVOC'!$EN$13,P103='DADOS_INVOC'!$EO$13,P103='DADOS_INVOC'!$EP$13,P103='DADOS_INVOC'!$QV$13,P103='DADOS_INVOC'!$QW$13,P103='DADOS_INVOC'!$QX$13,P103='DADOS_INVOC'!$QY$13)),O103,"")</f>
        <v/>
      </c>
    </row>
    <row r="104">
      <c r="O104">
        <f>IF(AND(D22&lt;&gt;"",M22=""),D22,"")</f>
        <v/>
      </c>
      <c r="P104">
        <f>IF(O104="","",IF(AND(BR22="Condição",F22="",L22=0),"Controle",IF(O104="","",IF(F22&lt;&gt;"",IF(F22="Nenhuma","",F22),IF(L22&gt;0,INDEX($P$2:$P$83,L22),"")))))</f>
        <v/>
      </c>
      <c r="Q104">
        <f>IF(O104="",0,IF(G22&lt;&gt;"",IFERROR(MATCH(G22,'DADOS_MELHORIAS'!$BN$2:$BN$4,0),0),IF(L22&gt;0,INDEX('DADOS_MELHORIAS'!$Q$2:$Q$83,L22),0)))</f>
        <v/>
      </c>
      <c r="R104">
        <f>IF(O104="",0,Q104+3*IFERROR(VLOOKUP(SUBSTITUTE(SUBSTITUTE(SUBSTITUTE(P104,"~","~~"),"*","~*"),"?","~?"),'DADOS_CRIACAO'!$H$2:$K$20,3,FALSE),0))</f>
        <v/>
      </c>
      <c r="S104">
        <f>IF(O104="",0,IFERROR(VLOOKUP(SUBSTITUTE(SUBSTITUTE(SUBSTITUTE(P104,"~","~~"),"*","~*"),"?","~?"),'DADOS_CRIACAO'!$H$2:$K$20,4,FALSE),0))</f>
        <v/>
      </c>
      <c r="T104">
        <f>IF(O104="",0,IF(BR22="Condição",1,IF(O104="",0,IF(OR(P104="Controle",IF(L22&gt;0,INDEX('DADOS_MELHORIAS'!$T$2:$T$83,L22),0)=1),1,0))))</f>
        <v/>
      </c>
      <c r="U104">
        <f>IF(O104="","",IF(S104=1,"",O104))</f>
        <v/>
      </c>
      <c r="V104">
        <f>IF(O104="","",IF(AND(Q104=1,S104=0),O104,""))</f>
        <v/>
      </c>
      <c r="W104">
        <f>IF(O104="",0,IF(BR22="Condição",1,IF(O104="",0,IF(H22="",IF(L22&gt;0,INDEX('DADOS_MELHORIAS'!$W$2:$W$83,L22),0),IF(H22="Sim",1,0)))))</f>
        <v/>
      </c>
      <c r="X104">
        <f>IF(O104="","",IF(L22&gt;0,INDEX($X$2:$X$83,L22),D22))</f>
        <v/>
      </c>
      <c r="Y104">
        <f>IF(O104="",0,IF(L22&gt;0,INDEX('DADOS_MELHORIAS'!$Y$2:$Y$83,L22),0))</f>
        <v/>
      </c>
      <c r="AG104">
        <f>O104</f>
        <v/>
      </c>
      <c r="AH104">
        <f>P104</f>
        <v/>
      </c>
      <c r="AI104">
        <f>Q104</f>
        <v/>
      </c>
      <c r="AJ104">
        <f>T104</f>
        <v/>
      </c>
      <c r="AK104">
        <f>Y104</f>
        <v/>
      </c>
      <c r="AL104">
        <f>W104</f>
        <v/>
      </c>
      <c r="AN104">
        <f>IF(OR(P104="",P104='DADOS_INVOC'!$EL$2,P104='DADOS_INVOC'!$EM$2,P104='DADOS_INVOC'!$EN$2,P104='DADOS_INVOC'!$EO$2,P104='DADOS_INVOC'!$EP$2,P104='DADOS_INVOC'!$QV$2,P104='DADOS_INVOC'!$QW$2,P104='DADOS_INVOC'!$QX$2,P104='DADOS_INVOC'!$QY$2),O104,"")</f>
        <v/>
      </c>
      <c r="AO104">
        <f>IF(AND(Q104=1,OR(P104="",P104='DADOS_INVOC'!$EL$2,P104='DADOS_INVOC'!$EM$2,P104='DADOS_INVOC'!$EN$2,P104='DADOS_INVOC'!$EO$2,P104='DADOS_INVOC'!$EP$2,P104='DADOS_INVOC'!$QV$2,P104='DADOS_INVOC'!$QW$2,P104='DADOS_INVOC'!$QX$2,P104='DADOS_INVOC'!$QY$2)),O104,"")</f>
        <v/>
      </c>
      <c r="AP104">
        <f>IF(OR(P104="",P104='DADOS_INVOC'!$EL$3,P104='DADOS_INVOC'!$EM$3,P104='DADOS_INVOC'!$EN$3,P104='DADOS_INVOC'!$EO$3,P104='DADOS_INVOC'!$EP$3,P104='DADOS_INVOC'!$QV$3,P104='DADOS_INVOC'!$QW$3,P104='DADOS_INVOC'!$QX$3,P104='DADOS_INVOC'!$QY$3),O104,"")</f>
        <v/>
      </c>
      <c r="AQ104">
        <f>IF(AND(Q104=1,OR(P104="",P104='DADOS_INVOC'!$EL$3,P104='DADOS_INVOC'!$EM$3,P104='DADOS_INVOC'!$EN$3,P104='DADOS_INVOC'!$EO$3,P104='DADOS_INVOC'!$EP$3,P104='DADOS_INVOC'!$QV$3,P104='DADOS_INVOC'!$QW$3,P104='DADOS_INVOC'!$QX$3,P104='DADOS_INVOC'!$QY$3)),O104,"")</f>
        <v/>
      </c>
      <c r="AR104">
        <f>IF(OR(P104="",P104='DADOS_INVOC'!$EL$4,P104='DADOS_INVOC'!$EM$4,P104='DADOS_INVOC'!$EN$4,P104='DADOS_INVOC'!$EO$4,P104='DADOS_INVOC'!$EP$4,P104='DADOS_INVOC'!$QV$4,P104='DADOS_INVOC'!$QW$4,P104='DADOS_INVOC'!$QX$4,P104='DADOS_INVOC'!$QY$4),O104,"")</f>
        <v/>
      </c>
      <c r="AS104">
        <f>IF(AND(Q104=1,OR(P104="",P104='DADOS_INVOC'!$EL$4,P104='DADOS_INVOC'!$EM$4,P104='DADOS_INVOC'!$EN$4,P104='DADOS_INVOC'!$EO$4,P104='DADOS_INVOC'!$EP$4,P104='DADOS_INVOC'!$QV$4,P104='DADOS_INVOC'!$QW$4,P104='DADOS_INVOC'!$QX$4,P104='DADOS_INVOC'!$QY$4)),O104,"")</f>
        <v/>
      </c>
      <c r="AT104">
        <f>IF(OR(P104="",P104='DADOS_INVOC'!$EL$5,P104='DADOS_INVOC'!$EM$5,P104='DADOS_INVOC'!$EN$5,P104='DADOS_INVOC'!$EO$5,P104='DADOS_INVOC'!$EP$5,P104='DADOS_INVOC'!$QV$5,P104='DADOS_INVOC'!$QW$5,P104='DADOS_INVOC'!$QX$5,P104='DADOS_INVOC'!$QY$5),O104,"")</f>
        <v/>
      </c>
      <c r="AU104">
        <f>IF(AND(Q104=1,OR(P104="",P104='DADOS_INVOC'!$EL$5,P104='DADOS_INVOC'!$EM$5,P104='DADOS_INVOC'!$EN$5,P104='DADOS_INVOC'!$EO$5,P104='DADOS_INVOC'!$EP$5,P104='DADOS_INVOC'!$QV$5,P104='DADOS_INVOC'!$QW$5,P104='DADOS_INVOC'!$QX$5,P104='DADOS_INVOC'!$QY$5)),O104,"")</f>
        <v/>
      </c>
      <c r="AV104">
        <f>IF(OR(P104="",P104='DADOS_INVOC'!$EL$6,P104='DADOS_INVOC'!$EM$6,P104='DADOS_INVOC'!$EN$6,P104='DADOS_INVOC'!$EO$6,P104='DADOS_INVOC'!$EP$6,P104='DADOS_INVOC'!$QV$6,P104='DADOS_INVOC'!$QW$6,P104='DADOS_INVOC'!$QX$6,P104='DADOS_INVOC'!$QY$6),O104,"")</f>
        <v/>
      </c>
      <c r="AW104">
        <f>IF(AND(Q104=1,OR(P104="",P104='DADOS_INVOC'!$EL$6,P104='DADOS_INVOC'!$EM$6,P104='DADOS_INVOC'!$EN$6,P104='DADOS_INVOC'!$EO$6,P104='DADOS_INVOC'!$EP$6,P104='DADOS_INVOC'!$QV$6,P104='DADOS_INVOC'!$QW$6,P104='DADOS_INVOC'!$QX$6,P104='DADOS_INVOC'!$QY$6)),O104,"")</f>
        <v/>
      </c>
      <c r="AX104">
        <f>IF(OR(P104="",P104='DADOS_INVOC'!$EL$7,P104='DADOS_INVOC'!$EM$7,P104='DADOS_INVOC'!$EN$7,P104='DADOS_INVOC'!$EO$7,P104='DADOS_INVOC'!$EP$7,P104='DADOS_INVOC'!$QV$7,P104='DADOS_INVOC'!$QW$7,P104='DADOS_INVOC'!$QX$7,P104='DADOS_INVOC'!$QY$7),O104,"")</f>
        <v/>
      </c>
      <c r="AY104">
        <f>IF(AND(Q104=1,OR(P104="",P104='DADOS_INVOC'!$EL$7,P104='DADOS_INVOC'!$EM$7,P104='DADOS_INVOC'!$EN$7,P104='DADOS_INVOC'!$EO$7,P104='DADOS_INVOC'!$EP$7,P104='DADOS_INVOC'!$QV$7,P104='DADOS_INVOC'!$QW$7,P104='DADOS_INVOC'!$QX$7,P104='DADOS_INVOC'!$QY$7)),O104,"")</f>
        <v/>
      </c>
      <c r="AZ104">
        <f>IF(OR(P104="",P104='DADOS_INVOC'!$EL$8,P104='DADOS_INVOC'!$EM$8,P104='DADOS_INVOC'!$EN$8,P104='DADOS_INVOC'!$EO$8,P104='DADOS_INVOC'!$EP$8,P104='DADOS_INVOC'!$QV$8,P104='DADOS_INVOC'!$QW$8,P104='DADOS_INVOC'!$QX$8,P104='DADOS_INVOC'!$QY$8),O104,"")</f>
        <v/>
      </c>
      <c r="BA104">
        <f>IF(AND(Q104=1,OR(P104="",P104='DADOS_INVOC'!$EL$8,P104='DADOS_INVOC'!$EM$8,P104='DADOS_INVOC'!$EN$8,P104='DADOS_INVOC'!$EO$8,P104='DADOS_INVOC'!$EP$8,P104='DADOS_INVOC'!$QV$8,P104='DADOS_INVOC'!$QW$8,P104='DADOS_INVOC'!$QX$8,P104='DADOS_INVOC'!$QY$8)),O104,"")</f>
        <v/>
      </c>
      <c r="BB104">
        <f>IF(OR(P104="",P104='DADOS_INVOC'!$EL$9,P104='DADOS_INVOC'!$EM$9,P104='DADOS_INVOC'!$EN$9,P104='DADOS_INVOC'!$EO$9,P104='DADOS_INVOC'!$EP$9,P104='DADOS_INVOC'!$QV$9,P104='DADOS_INVOC'!$QW$9,P104='DADOS_INVOC'!$QX$9,P104='DADOS_INVOC'!$QY$9),O104,"")</f>
        <v/>
      </c>
      <c r="BC104">
        <f>IF(AND(Q104=1,OR(P104="",P104='DADOS_INVOC'!$EL$9,P104='DADOS_INVOC'!$EM$9,P104='DADOS_INVOC'!$EN$9,P104='DADOS_INVOC'!$EO$9,P104='DADOS_INVOC'!$EP$9,P104='DADOS_INVOC'!$QV$9,P104='DADOS_INVOC'!$QW$9,P104='DADOS_INVOC'!$QX$9,P104='DADOS_INVOC'!$QY$9)),O104,"")</f>
        <v/>
      </c>
      <c r="BD104">
        <f>IF(OR(P104="",P104='DADOS_INVOC'!$EL$10,P104='DADOS_INVOC'!$EM$10,P104='DADOS_INVOC'!$EN$10,P104='DADOS_INVOC'!$EO$10,P104='DADOS_INVOC'!$EP$10,P104='DADOS_INVOC'!$QV$10,P104='DADOS_INVOC'!$QW$10,P104='DADOS_INVOC'!$QX$10,P104='DADOS_INVOC'!$QY$10),O104,"")</f>
        <v/>
      </c>
      <c r="BE104">
        <f>IF(AND(Q104=1,OR(P104="",P104='DADOS_INVOC'!$EL$10,P104='DADOS_INVOC'!$EM$10,P104='DADOS_INVOC'!$EN$10,P104='DADOS_INVOC'!$EO$10,P104='DADOS_INVOC'!$EP$10,P104='DADOS_INVOC'!$QV$10,P104='DADOS_INVOC'!$QW$10,P104='DADOS_INVOC'!$QX$10,P104='DADOS_INVOC'!$QY$10)),O104,"")</f>
        <v/>
      </c>
      <c r="BF104">
        <f>IF(OR(P104="",P104='DADOS_INVOC'!$EL$11,P104='DADOS_INVOC'!$EM$11,P104='DADOS_INVOC'!$EN$11,P104='DADOS_INVOC'!$EO$11,P104='DADOS_INVOC'!$EP$11,P104='DADOS_INVOC'!$QV$11,P104='DADOS_INVOC'!$QW$11,P104='DADOS_INVOC'!$QX$11,P104='DADOS_INVOC'!$QY$11),O104,"")</f>
        <v/>
      </c>
      <c r="BG104">
        <f>IF(AND(Q104=1,OR(P104="",P104='DADOS_INVOC'!$EL$11,P104='DADOS_INVOC'!$EM$11,P104='DADOS_INVOC'!$EN$11,P104='DADOS_INVOC'!$EO$11,P104='DADOS_INVOC'!$EP$11,P104='DADOS_INVOC'!$QV$11,P104='DADOS_INVOC'!$QW$11,P104='DADOS_INVOC'!$QX$11,P104='DADOS_INVOC'!$QY$11)),O104,"")</f>
        <v/>
      </c>
      <c r="BH104">
        <f>IF(OR(P104="",P104='DADOS_INVOC'!$EL$12,P104='DADOS_INVOC'!$EM$12,P104='DADOS_INVOC'!$EN$12,P104='DADOS_INVOC'!$EO$12,P104='DADOS_INVOC'!$EP$12,P104='DADOS_INVOC'!$QV$12,P104='DADOS_INVOC'!$QW$12,P104='DADOS_INVOC'!$QX$12,P104='DADOS_INVOC'!$QY$12),O104,"")</f>
        <v/>
      </c>
      <c r="BI104">
        <f>IF(AND(Q104=1,OR(P104="",P104='DADOS_INVOC'!$EL$12,P104='DADOS_INVOC'!$EM$12,P104='DADOS_INVOC'!$EN$12,P104='DADOS_INVOC'!$EO$12,P104='DADOS_INVOC'!$EP$12,P104='DADOS_INVOC'!$QV$12,P104='DADOS_INVOC'!$QW$12,P104='DADOS_INVOC'!$QX$12,P104='DADOS_INVOC'!$QY$12)),O104,"")</f>
        <v/>
      </c>
      <c r="BJ104">
        <f>IF(OR(P104="",P104='DADOS_INVOC'!$EL$13,P104='DADOS_INVOC'!$EM$13,P104='DADOS_INVOC'!$EN$13,P104='DADOS_INVOC'!$EO$13,P104='DADOS_INVOC'!$EP$13,P104='DADOS_INVOC'!$QV$13,P104='DADOS_INVOC'!$QW$13,P104='DADOS_INVOC'!$QX$13,P104='DADOS_INVOC'!$QY$13),O104,"")</f>
        <v/>
      </c>
      <c r="BK104">
        <f>IF(AND(Q104=1,OR(P104="",P104='DADOS_INVOC'!$EL$13,P104='DADOS_INVOC'!$EM$13,P104='DADOS_INVOC'!$EN$13,P104='DADOS_INVOC'!$EO$13,P104='DADOS_INVOC'!$EP$13,P104='DADOS_INVOC'!$QV$13,P104='DADOS_INVOC'!$QW$13,P104='DADOS_INVOC'!$QX$13,P104='DADOS_INVOC'!$QY$13)),O104,"")</f>
        <v/>
      </c>
    </row>
    <row r="105">
      <c r="O105">
        <f>IF(AND(D23&lt;&gt;"",M23=""),D23,"")</f>
        <v/>
      </c>
      <c r="P105">
        <f>IF(O105="","",IF(AND(BR23="Condição",F23="",L23=0),"Controle",IF(O105="","",IF(F23&lt;&gt;"",IF(F23="Nenhuma","",F23),IF(L23&gt;0,INDEX($P$2:$P$83,L23),"")))))</f>
        <v/>
      </c>
      <c r="Q105">
        <f>IF(O105="",0,IF(G23&lt;&gt;"",IFERROR(MATCH(G23,'DADOS_MELHORIAS'!$BN$2:$BN$4,0),0),IF(L23&gt;0,INDEX('DADOS_MELHORIAS'!$Q$2:$Q$83,L23),0)))</f>
        <v/>
      </c>
      <c r="R105">
        <f>IF(O105="",0,Q105+3*IFERROR(VLOOKUP(SUBSTITUTE(SUBSTITUTE(SUBSTITUTE(P105,"~","~~"),"*","~*"),"?","~?"),'DADOS_CRIACAO'!$H$2:$K$20,3,FALSE),0))</f>
        <v/>
      </c>
      <c r="S105">
        <f>IF(O105="",0,IFERROR(VLOOKUP(SUBSTITUTE(SUBSTITUTE(SUBSTITUTE(P105,"~","~~"),"*","~*"),"?","~?"),'DADOS_CRIACAO'!$H$2:$K$20,4,FALSE),0))</f>
        <v/>
      </c>
      <c r="T105">
        <f>IF(O105="",0,IF(BR23="Condição",1,IF(O105="",0,IF(OR(P105="Controle",IF(L23&gt;0,INDEX('DADOS_MELHORIAS'!$T$2:$T$83,L23),0)=1),1,0))))</f>
        <v/>
      </c>
      <c r="U105">
        <f>IF(O105="","",IF(S105=1,"",O105))</f>
        <v/>
      </c>
      <c r="V105">
        <f>IF(O105="","",IF(AND(Q105=1,S105=0),O105,""))</f>
        <v/>
      </c>
      <c r="W105">
        <f>IF(O105="",0,IF(BR23="Condição",1,IF(O105="",0,IF(H23="",IF(L23&gt;0,INDEX('DADOS_MELHORIAS'!$W$2:$W$83,L23),0),IF(H23="Sim",1,0)))))</f>
        <v/>
      </c>
      <c r="X105">
        <f>IF(O105="","",IF(L23&gt;0,INDEX($X$2:$X$83,L23),D23))</f>
        <v/>
      </c>
      <c r="Y105">
        <f>IF(O105="",0,IF(L23&gt;0,INDEX('DADOS_MELHORIAS'!$Y$2:$Y$83,L23),0))</f>
        <v/>
      </c>
      <c r="AG105">
        <f>O105</f>
        <v/>
      </c>
      <c r="AH105">
        <f>P105</f>
        <v/>
      </c>
      <c r="AI105">
        <f>Q105</f>
        <v/>
      </c>
      <c r="AJ105">
        <f>T105</f>
        <v/>
      </c>
      <c r="AK105">
        <f>Y105</f>
        <v/>
      </c>
      <c r="AL105">
        <f>W105</f>
        <v/>
      </c>
      <c r="AN105">
        <f>IF(OR(P105="",P105='DADOS_INVOC'!$EL$2,P105='DADOS_INVOC'!$EM$2,P105='DADOS_INVOC'!$EN$2,P105='DADOS_INVOC'!$EO$2,P105='DADOS_INVOC'!$EP$2,P105='DADOS_INVOC'!$QV$2,P105='DADOS_INVOC'!$QW$2,P105='DADOS_INVOC'!$QX$2,P105='DADOS_INVOC'!$QY$2),O105,"")</f>
        <v/>
      </c>
      <c r="AO105">
        <f>IF(AND(Q105=1,OR(P105="",P105='DADOS_INVOC'!$EL$2,P105='DADOS_INVOC'!$EM$2,P105='DADOS_INVOC'!$EN$2,P105='DADOS_INVOC'!$EO$2,P105='DADOS_INVOC'!$EP$2,P105='DADOS_INVOC'!$QV$2,P105='DADOS_INVOC'!$QW$2,P105='DADOS_INVOC'!$QX$2,P105='DADOS_INVOC'!$QY$2)),O105,"")</f>
        <v/>
      </c>
      <c r="AP105">
        <f>IF(OR(P105="",P105='DADOS_INVOC'!$EL$3,P105='DADOS_INVOC'!$EM$3,P105='DADOS_INVOC'!$EN$3,P105='DADOS_INVOC'!$EO$3,P105='DADOS_INVOC'!$EP$3,P105='DADOS_INVOC'!$QV$3,P105='DADOS_INVOC'!$QW$3,P105='DADOS_INVOC'!$QX$3,P105='DADOS_INVOC'!$QY$3),O105,"")</f>
        <v/>
      </c>
      <c r="AQ105">
        <f>IF(AND(Q105=1,OR(P105="",P105='DADOS_INVOC'!$EL$3,P105='DADOS_INVOC'!$EM$3,P105='DADOS_INVOC'!$EN$3,P105='DADOS_INVOC'!$EO$3,P105='DADOS_INVOC'!$EP$3,P105='DADOS_INVOC'!$QV$3,P105='DADOS_INVOC'!$QW$3,P105='DADOS_INVOC'!$QX$3,P105='DADOS_INVOC'!$QY$3)),O105,"")</f>
        <v/>
      </c>
      <c r="AR105">
        <f>IF(OR(P105="",P105='DADOS_INVOC'!$EL$4,P105='DADOS_INVOC'!$EM$4,P105='DADOS_INVOC'!$EN$4,P105='DADOS_INVOC'!$EO$4,P105='DADOS_INVOC'!$EP$4,P105='DADOS_INVOC'!$QV$4,P105='DADOS_INVOC'!$QW$4,P105='DADOS_INVOC'!$QX$4,P105='DADOS_INVOC'!$QY$4),O105,"")</f>
        <v/>
      </c>
      <c r="AS105">
        <f>IF(AND(Q105=1,OR(P105="",P105='DADOS_INVOC'!$EL$4,P105='DADOS_INVOC'!$EM$4,P105='DADOS_INVOC'!$EN$4,P105='DADOS_INVOC'!$EO$4,P105='DADOS_INVOC'!$EP$4,P105='DADOS_INVOC'!$QV$4,P105='DADOS_INVOC'!$QW$4,P105='DADOS_INVOC'!$QX$4,P105='DADOS_INVOC'!$QY$4)),O105,"")</f>
        <v/>
      </c>
      <c r="AT105">
        <f>IF(OR(P105="",P105='DADOS_INVOC'!$EL$5,P105='DADOS_INVOC'!$EM$5,P105='DADOS_INVOC'!$EN$5,P105='DADOS_INVOC'!$EO$5,P105='DADOS_INVOC'!$EP$5,P105='DADOS_INVOC'!$QV$5,P105='DADOS_INVOC'!$QW$5,P105='DADOS_INVOC'!$QX$5,P105='DADOS_INVOC'!$QY$5),O105,"")</f>
        <v/>
      </c>
      <c r="AU105">
        <f>IF(AND(Q105=1,OR(P105="",P105='DADOS_INVOC'!$EL$5,P105='DADOS_INVOC'!$EM$5,P105='DADOS_INVOC'!$EN$5,P105='DADOS_INVOC'!$EO$5,P105='DADOS_INVOC'!$EP$5,P105='DADOS_INVOC'!$QV$5,P105='DADOS_INVOC'!$QW$5,P105='DADOS_INVOC'!$QX$5,P105='DADOS_INVOC'!$QY$5)),O105,"")</f>
        <v/>
      </c>
      <c r="AV105">
        <f>IF(OR(P105="",P105='DADOS_INVOC'!$EL$6,P105='DADOS_INVOC'!$EM$6,P105='DADOS_INVOC'!$EN$6,P105='DADOS_INVOC'!$EO$6,P105='DADOS_INVOC'!$EP$6,P105='DADOS_INVOC'!$QV$6,P105='DADOS_INVOC'!$QW$6,P105='DADOS_INVOC'!$QX$6,P105='DADOS_INVOC'!$QY$6),O105,"")</f>
        <v/>
      </c>
      <c r="AW105">
        <f>IF(AND(Q105=1,OR(P105="",P105='DADOS_INVOC'!$EL$6,P105='DADOS_INVOC'!$EM$6,P105='DADOS_INVOC'!$EN$6,P105='DADOS_INVOC'!$EO$6,P105='DADOS_INVOC'!$EP$6,P105='DADOS_INVOC'!$QV$6,P105='DADOS_INVOC'!$QW$6,P105='DADOS_INVOC'!$QX$6,P105='DADOS_INVOC'!$QY$6)),O105,"")</f>
        <v/>
      </c>
      <c r="AX105">
        <f>IF(OR(P105="",P105='DADOS_INVOC'!$EL$7,P105='DADOS_INVOC'!$EM$7,P105='DADOS_INVOC'!$EN$7,P105='DADOS_INVOC'!$EO$7,P105='DADOS_INVOC'!$EP$7,P105='DADOS_INVOC'!$QV$7,P105='DADOS_INVOC'!$QW$7,P105='DADOS_INVOC'!$QX$7,P105='DADOS_INVOC'!$QY$7),O105,"")</f>
        <v/>
      </c>
      <c r="AY105">
        <f>IF(AND(Q105=1,OR(P105="",P105='DADOS_INVOC'!$EL$7,P105='DADOS_INVOC'!$EM$7,P105='DADOS_INVOC'!$EN$7,P105='DADOS_INVOC'!$EO$7,P105='DADOS_INVOC'!$EP$7,P105='DADOS_INVOC'!$QV$7,P105='DADOS_INVOC'!$QW$7,P105='DADOS_INVOC'!$QX$7,P105='DADOS_INVOC'!$QY$7)),O105,"")</f>
        <v/>
      </c>
      <c r="AZ105">
        <f>IF(OR(P105="",P105='DADOS_INVOC'!$EL$8,P105='DADOS_INVOC'!$EM$8,P105='DADOS_INVOC'!$EN$8,P105='DADOS_INVOC'!$EO$8,P105='DADOS_INVOC'!$EP$8,P105='DADOS_INVOC'!$QV$8,P105='DADOS_INVOC'!$QW$8,P105='DADOS_INVOC'!$QX$8,P105='DADOS_INVOC'!$QY$8),O105,"")</f>
        <v/>
      </c>
      <c r="BA105">
        <f>IF(AND(Q105=1,OR(P105="",P105='DADOS_INVOC'!$EL$8,P105='DADOS_INVOC'!$EM$8,P105='DADOS_INVOC'!$EN$8,P105='DADOS_INVOC'!$EO$8,P105='DADOS_INVOC'!$EP$8,P105='DADOS_INVOC'!$QV$8,P105='DADOS_INVOC'!$QW$8,P105='DADOS_INVOC'!$QX$8,P105='DADOS_INVOC'!$QY$8)),O105,"")</f>
        <v/>
      </c>
      <c r="BB105">
        <f>IF(OR(P105="",P105='DADOS_INVOC'!$EL$9,P105='DADOS_INVOC'!$EM$9,P105='DADOS_INVOC'!$EN$9,P105='DADOS_INVOC'!$EO$9,P105='DADOS_INVOC'!$EP$9,P105='DADOS_INVOC'!$QV$9,P105='DADOS_INVOC'!$QW$9,P105='DADOS_INVOC'!$QX$9,P105='DADOS_INVOC'!$QY$9),O105,"")</f>
        <v/>
      </c>
      <c r="BC105">
        <f>IF(AND(Q105=1,OR(P105="",P105='DADOS_INVOC'!$EL$9,P105='DADOS_INVOC'!$EM$9,P105='DADOS_INVOC'!$EN$9,P105='DADOS_INVOC'!$EO$9,P105='DADOS_INVOC'!$EP$9,P105='DADOS_INVOC'!$QV$9,P105='DADOS_INVOC'!$QW$9,P105='DADOS_INVOC'!$QX$9,P105='DADOS_INVOC'!$QY$9)),O105,"")</f>
        <v/>
      </c>
      <c r="BD105">
        <f>IF(OR(P105="",P105='DADOS_INVOC'!$EL$10,P105='DADOS_INVOC'!$EM$10,P105='DADOS_INVOC'!$EN$10,P105='DADOS_INVOC'!$EO$10,P105='DADOS_INVOC'!$EP$10,P105='DADOS_INVOC'!$QV$10,P105='DADOS_INVOC'!$QW$10,P105='DADOS_INVOC'!$QX$10,P105='DADOS_INVOC'!$QY$10),O105,"")</f>
        <v/>
      </c>
      <c r="BE105">
        <f>IF(AND(Q105=1,OR(P105="",P105='DADOS_INVOC'!$EL$10,P105='DADOS_INVOC'!$EM$10,P105='DADOS_INVOC'!$EN$10,P105='DADOS_INVOC'!$EO$10,P105='DADOS_INVOC'!$EP$10,P105='DADOS_INVOC'!$QV$10,P105='DADOS_INVOC'!$QW$10,P105='DADOS_INVOC'!$QX$10,P105='DADOS_INVOC'!$QY$10)),O105,"")</f>
        <v/>
      </c>
      <c r="BF105">
        <f>IF(OR(P105="",P105='DADOS_INVOC'!$EL$11,P105='DADOS_INVOC'!$EM$11,P105='DADOS_INVOC'!$EN$11,P105='DADOS_INVOC'!$EO$11,P105='DADOS_INVOC'!$EP$11,P105='DADOS_INVOC'!$QV$11,P105='DADOS_INVOC'!$QW$11,P105='DADOS_INVOC'!$QX$11,P105='DADOS_INVOC'!$QY$11),O105,"")</f>
        <v/>
      </c>
      <c r="BG105">
        <f>IF(AND(Q105=1,OR(P105="",P105='DADOS_INVOC'!$EL$11,P105='DADOS_INVOC'!$EM$11,P105='DADOS_INVOC'!$EN$11,P105='DADOS_INVOC'!$EO$11,P105='DADOS_INVOC'!$EP$11,P105='DADOS_INVOC'!$QV$11,P105='DADOS_INVOC'!$QW$11,P105='DADOS_INVOC'!$QX$11,P105='DADOS_INVOC'!$QY$11)),O105,"")</f>
        <v/>
      </c>
      <c r="BH105">
        <f>IF(OR(P105="",P105='DADOS_INVOC'!$EL$12,P105='DADOS_INVOC'!$EM$12,P105='DADOS_INVOC'!$EN$12,P105='DADOS_INVOC'!$EO$12,P105='DADOS_INVOC'!$EP$12,P105='DADOS_INVOC'!$QV$12,P105='DADOS_INVOC'!$QW$12,P105='DADOS_INVOC'!$QX$12,P105='DADOS_INVOC'!$QY$12),O105,"")</f>
        <v/>
      </c>
      <c r="BI105">
        <f>IF(AND(Q105=1,OR(P105="",P105='DADOS_INVOC'!$EL$12,P105='DADOS_INVOC'!$EM$12,P105='DADOS_INVOC'!$EN$12,P105='DADOS_INVOC'!$EO$12,P105='DADOS_INVOC'!$EP$12,P105='DADOS_INVOC'!$QV$12,P105='DADOS_INVOC'!$QW$12,P105='DADOS_INVOC'!$QX$12,P105='DADOS_INVOC'!$QY$12)),O105,"")</f>
        <v/>
      </c>
      <c r="BJ105">
        <f>IF(OR(P105="",P105='DADOS_INVOC'!$EL$13,P105='DADOS_INVOC'!$EM$13,P105='DADOS_INVOC'!$EN$13,P105='DADOS_INVOC'!$EO$13,P105='DADOS_INVOC'!$EP$13,P105='DADOS_INVOC'!$QV$13,P105='DADOS_INVOC'!$QW$13,P105='DADOS_INVOC'!$QX$13,P105='DADOS_INVOC'!$QY$13),O105,"")</f>
        <v/>
      </c>
      <c r="BK105">
        <f>IF(AND(Q105=1,OR(P105="",P105='DADOS_INVOC'!$EL$13,P105='DADOS_INVOC'!$EM$13,P105='DADOS_INVOC'!$EN$13,P105='DADOS_INVOC'!$EO$13,P105='DADOS_INVOC'!$EP$13,P105='DADOS_INVOC'!$QV$13,P105='DADOS_INVOC'!$QW$13,P105='DADOS_INVOC'!$QX$13,P105='DADOS_INVOC'!$QY$13)),O105,"")</f>
        <v/>
      </c>
    </row>
    <row r="106">
      <c r="O106">
        <f>IF(AND(D24&lt;&gt;"",M24=""),D24,"")</f>
        <v/>
      </c>
      <c r="P106">
        <f>IF(O106="","",IF(AND(BR24="Condição",F24="",L24=0),"Controle",IF(O106="","",IF(F24&lt;&gt;"",IF(F24="Nenhuma","",F24),IF(L24&gt;0,INDEX($P$2:$P$83,L24),"")))))</f>
        <v/>
      </c>
      <c r="Q106">
        <f>IF(O106="",0,IF(G24&lt;&gt;"",IFERROR(MATCH(G24,'DADOS_MELHORIAS'!$BN$2:$BN$4,0),0),IF(L24&gt;0,INDEX('DADOS_MELHORIAS'!$Q$2:$Q$83,L24),0)))</f>
        <v/>
      </c>
      <c r="R106">
        <f>IF(O106="",0,Q106+3*IFERROR(VLOOKUP(SUBSTITUTE(SUBSTITUTE(SUBSTITUTE(P106,"~","~~"),"*","~*"),"?","~?"),'DADOS_CRIACAO'!$H$2:$K$20,3,FALSE),0))</f>
        <v/>
      </c>
      <c r="S106">
        <f>IF(O106="",0,IFERROR(VLOOKUP(SUBSTITUTE(SUBSTITUTE(SUBSTITUTE(P106,"~","~~"),"*","~*"),"?","~?"),'DADOS_CRIACAO'!$H$2:$K$20,4,FALSE),0))</f>
        <v/>
      </c>
      <c r="T106">
        <f>IF(O106="",0,IF(BR24="Condição",1,IF(O106="",0,IF(OR(P106="Controle",IF(L24&gt;0,INDEX('DADOS_MELHORIAS'!$T$2:$T$83,L24),0)=1),1,0))))</f>
        <v/>
      </c>
      <c r="U106">
        <f>IF(O106="","",IF(S106=1,"",O106))</f>
        <v/>
      </c>
      <c r="V106">
        <f>IF(O106="","",IF(AND(Q106=1,S106=0),O106,""))</f>
        <v/>
      </c>
      <c r="W106">
        <f>IF(O106="",0,IF(BR24="Condição",1,IF(O106="",0,IF(H24="",IF(L24&gt;0,INDEX('DADOS_MELHORIAS'!$W$2:$W$83,L24),0),IF(H24="Sim",1,0)))))</f>
        <v/>
      </c>
      <c r="X106">
        <f>IF(O106="","",IF(L24&gt;0,INDEX($X$2:$X$83,L24),D24))</f>
        <v/>
      </c>
      <c r="Y106">
        <f>IF(O106="",0,IF(L24&gt;0,INDEX('DADOS_MELHORIAS'!$Y$2:$Y$83,L24),0))</f>
        <v/>
      </c>
      <c r="AG106">
        <f>O106</f>
        <v/>
      </c>
      <c r="AH106">
        <f>P106</f>
        <v/>
      </c>
      <c r="AI106">
        <f>Q106</f>
        <v/>
      </c>
      <c r="AJ106">
        <f>T106</f>
        <v/>
      </c>
      <c r="AK106">
        <f>Y106</f>
        <v/>
      </c>
      <c r="AL106">
        <f>W106</f>
        <v/>
      </c>
      <c r="AN106">
        <f>IF(OR(P106="",P106='DADOS_INVOC'!$EL$2,P106='DADOS_INVOC'!$EM$2,P106='DADOS_INVOC'!$EN$2,P106='DADOS_INVOC'!$EO$2,P106='DADOS_INVOC'!$EP$2,P106='DADOS_INVOC'!$QV$2,P106='DADOS_INVOC'!$QW$2,P106='DADOS_INVOC'!$QX$2,P106='DADOS_INVOC'!$QY$2),O106,"")</f>
        <v/>
      </c>
      <c r="AO106">
        <f>IF(AND(Q106=1,OR(P106="",P106='DADOS_INVOC'!$EL$2,P106='DADOS_INVOC'!$EM$2,P106='DADOS_INVOC'!$EN$2,P106='DADOS_INVOC'!$EO$2,P106='DADOS_INVOC'!$EP$2,P106='DADOS_INVOC'!$QV$2,P106='DADOS_INVOC'!$QW$2,P106='DADOS_INVOC'!$QX$2,P106='DADOS_INVOC'!$QY$2)),O106,"")</f>
        <v/>
      </c>
      <c r="AP106">
        <f>IF(OR(P106="",P106='DADOS_INVOC'!$EL$3,P106='DADOS_INVOC'!$EM$3,P106='DADOS_INVOC'!$EN$3,P106='DADOS_INVOC'!$EO$3,P106='DADOS_INVOC'!$EP$3,P106='DADOS_INVOC'!$QV$3,P106='DADOS_INVOC'!$QW$3,P106='DADOS_INVOC'!$QX$3,P106='DADOS_INVOC'!$QY$3),O106,"")</f>
        <v/>
      </c>
      <c r="AQ106">
        <f>IF(AND(Q106=1,OR(P106="",P106='DADOS_INVOC'!$EL$3,P106='DADOS_INVOC'!$EM$3,P106='DADOS_INVOC'!$EN$3,P106='DADOS_INVOC'!$EO$3,P106='DADOS_INVOC'!$EP$3,P106='DADOS_INVOC'!$QV$3,P106='DADOS_INVOC'!$QW$3,P106='DADOS_INVOC'!$QX$3,P106='DADOS_INVOC'!$QY$3)),O106,"")</f>
        <v/>
      </c>
      <c r="AR106">
        <f>IF(OR(P106="",P106='DADOS_INVOC'!$EL$4,P106='DADOS_INVOC'!$EM$4,P106='DADOS_INVOC'!$EN$4,P106='DADOS_INVOC'!$EO$4,P106='DADOS_INVOC'!$EP$4,P106='DADOS_INVOC'!$QV$4,P106='DADOS_INVOC'!$QW$4,P106='DADOS_INVOC'!$QX$4,P106='DADOS_INVOC'!$QY$4),O106,"")</f>
        <v/>
      </c>
      <c r="AS106">
        <f>IF(AND(Q106=1,OR(P106="",P106='DADOS_INVOC'!$EL$4,P106='DADOS_INVOC'!$EM$4,P106='DADOS_INVOC'!$EN$4,P106='DADOS_INVOC'!$EO$4,P106='DADOS_INVOC'!$EP$4,P106='DADOS_INVOC'!$QV$4,P106='DADOS_INVOC'!$QW$4,P106='DADOS_INVOC'!$QX$4,P106='DADOS_INVOC'!$QY$4)),O106,"")</f>
        <v/>
      </c>
      <c r="AT106">
        <f>IF(OR(P106="",P106='DADOS_INVOC'!$EL$5,P106='DADOS_INVOC'!$EM$5,P106='DADOS_INVOC'!$EN$5,P106='DADOS_INVOC'!$EO$5,P106='DADOS_INVOC'!$EP$5,P106='DADOS_INVOC'!$QV$5,P106='DADOS_INVOC'!$QW$5,P106='DADOS_INVOC'!$QX$5,P106='DADOS_INVOC'!$QY$5),O106,"")</f>
        <v/>
      </c>
      <c r="AU106">
        <f>IF(AND(Q106=1,OR(P106="",P106='DADOS_INVOC'!$EL$5,P106='DADOS_INVOC'!$EM$5,P106='DADOS_INVOC'!$EN$5,P106='DADOS_INVOC'!$EO$5,P106='DADOS_INVOC'!$EP$5,P106='DADOS_INVOC'!$QV$5,P106='DADOS_INVOC'!$QW$5,P106='DADOS_INVOC'!$QX$5,P106='DADOS_INVOC'!$QY$5)),O106,"")</f>
        <v/>
      </c>
      <c r="AV106">
        <f>IF(OR(P106="",P106='DADOS_INVOC'!$EL$6,P106='DADOS_INVOC'!$EM$6,P106='DADOS_INVOC'!$EN$6,P106='DADOS_INVOC'!$EO$6,P106='DADOS_INVOC'!$EP$6,P106='DADOS_INVOC'!$QV$6,P106='DADOS_INVOC'!$QW$6,P106='DADOS_INVOC'!$QX$6,P106='DADOS_INVOC'!$QY$6),O106,"")</f>
        <v/>
      </c>
      <c r="AW106">
        <f>IF(AND(Q106=1,OR(P106="",P106='DADOS_INVOC'!$EL$6,P106='DADOS_INVOC'!$EM$6,P106='DADOS_INVOC'!$EN$6,P106='DADOS_INVOC'!$EO$6,P106='DADOS_INVOC'!$EP$6,P106='DADOS_INVOC'!$QV$6,P106='DADOS_INVOC'!$QW$6,P106='DADOS_INVOC'!$QX$6,P106='DADOS_INVOC'!$QY$6)),O106,"")</f>
        <v/>
      </c>
      <c r="AX106">
        <f>IF(OR(P106="",P106='DADOS_INVOC'!$EL$7,P106='DADOS_INVOC'!$EM$7,P106='DADOS_INVOC'!$EN$7,P106='DADOS_INVOC'!$EO$7,P106='DADOS_INVOC'!$EP$7,P106='DADOS_INVOC'!$QV$7,P106='DADOS_INVOC'!$QW$7,P106='DADOS_INVOC'!$QX$7,P106='DADOS_INVOC'!$QY$7),O106,"")</f>
        <v/>
      </c>
      <c r="AY106">
        <f>IF(AND(Q106=1,OR(P106="",P106='DADOS_INVOC'!$EL$7,P106='DADOS_INVOC'!$EM$7,P106='DADOS_INVOC'!$EN$7,P106='DADOS_INVOC'!$EO$7,P106='DADOS_INVOC'!$EP$7,P106='DADOS_INVOC'!$QV$7,P106='DADOS_INVOC'!$QW$7,P106='DADOS_INVOC'!$QX$7,P106='DADOS_INVOC'!$QY$7)),O106,"")</f>
        <v/>
      </c>
      <c r="AZ106">
        <f>IF(OR(P106="",P106='DADOS_INVOC'!$EL$8,P106='DADOS_INVOC'!$EM$8,P106='DADOS_INVOC'!$EN$8,P106='DADOS_INVOC'!$EO$8,P106='DADOS_INVOC'!$EP$8,P106='DADOS_INVOC'!$QV$8,P106='DADOS_INVOC'!$QW$8,P106='DADOS_INVOC'!$QX$8,P106='DADOS_INVOC'!$QY$8),O106,"")</f>
        <v/>
      </c>
      <c r="BA106">
        <f>IF(AND(Q106=1,OR(P106="",P106='DADOS_INVOC'!$EL$8,P106='DADOS_INVOC'!$EM$8,P106='DADOS_INVOC'!$EN$8,P106='DADOS_INVOC'!$EO$8,P106='DADOS_INVOC'!$EP$8,P106='DADOS_INVOC'!$QV$8,P106='DADOS_INVOC'!$QW$8,P106='DADOS_INVOC'!$QX$8,P106='DADOS_INVOC'!$QY$8)),O106,"")</f>
        <v/>
      </c>
      <c r="BB106">
        <f>IF(OR(P106="",P106='DADOS_INVOC'!$EL$9,P106='DADOS_INVOC'!$EM$9,P106='DADOS_INVOC'!$EN$9,P106='DADOS_INVOC'!$EO$9,P106='DADOS_INVOC'!$EP$9,P106='DADOS_INVOC'!$QV$9,P106='DADOS_INVOC'!$QW$9,P106='DADOS_INVOC'!$QX$9,P106='DADOS_INVOC'!$QY$9),O106,"")</f>
        <v/>
      </c>
      <c r="BC106">
        <f>IF(AND(Q106=1,OR(P106="",P106='DADOS_INVOC'!$EL$9,P106='DADOS_INVOC'!$EM$9,P106='DADOS_INVOC'!$EN$9,P106='DADOS_INVOC'!$EO$9,P106='DADOS_INVOC'!$EP$9,P106='DADOS_INVOC'!$QV$9,P106='DADOS_INVOC'!$QW$9,P106='DADOS_INVOC'!$QX$9,P106='DADOS_INVOC'!$QY$9)),O106,"")</f>
        <v/>
      </c>
      <c r="BD106">
        <f>IF(OR(P106="",P106='DADOS_INVOC'!$EL$10,P106='DADOS_INVOC'!$EM$10,P106='DADOS_INVOC'!$EN$10,P106='DADOS_INVOC'!$EO$10,P106='DADOS_INVOC'!$EP$10,P106='DADOS_INVOC'!$QV$10,P106='DADOS_INVOC'!$QW$10,P106='DADOS_INVOC'!$QX$10,P106='DADOS_INVOC'!$QY$10),O106,"")</f>
        <v/>
      </c>
      <c r="BE106">
        <f>IF(AND(Q106=1,OR(P106="",P106='DADOS_INVOC'!$EL$10,P106='DADOS_INVOC'!$EM$10,P106='DADOS_INVOC'!$EN$10,P106='DADOS_INVOC'!$EO$10,P106='DADOS_INVOC'!$EP$10,P106='DADOS_INVOC'!$QV$10,P106='DADOS_INVOC'!$QW$10,P106='DADOS_INVOC'!$QX$10,P106='DADOS_INVOC'!$QY$10)),O106,"")</f>
        <v/>
      </c>
      <c r="BF106">
        <f>IF(OR(P106="",P106='DADOS_INVOC'!$EL$11,P106='DADOS_INVOC'!$EM$11,P106='DADOS_INVOC'!$EN$11,P106='DADOS_INVOC'!$EO$11,P106='DADOS_INVOC'!$EP$11,P106='DADOS_INVOC'!$QV$11,P106='DADOS_INVOC'!$QW$11,P106='DADOS_INVOC'!$QX$11,P106='DADOS_INVOC'!$QY$11),O106,"")</f>
        <v/>
      </c>
      <c r="BG106">
        <f>IF(AND(Q106=1,OR(P106="",P106='DADOS_INVOC'!$EL$11,P106='DADOS_INVOC'!$EM$11,P106='DADOS_INVOC'!$EN$11,P106='DADOS_INVOC'!$EO$11,P106='DADOS_INVOC'!$EP$11,P106='DADOS_INVOC'!$QV$11,P106='DADOS_INVOC'!$QW$11,P106='DADOS_INVOC'!$QX$11,P106='DADOS_INVOC'!$QY$11)),O106,"")</f>
        <v/>
      </c>
      <c r="BH106">
        <f>IF(OR(P106="",P106='DADOS_INVOC'!$EL$12,P106='DADOS_INVOC'!$EM$12,P106='DADOS_INVOC'!$EN$12,P106='DADOS_INVOC'!$EO$12,P106='DADOS_INVOC'!$EP$12,P106='DADOS_INVOC'!$QV$12,P106='DADOS_INVOC'!$QW$12,P106='DADOS_INVOC'!$QX$12,P106='DADOS_INVOC'!$QY$12),O106,"")</f>
        <v/>
      </c>
      <c r="BI106">
        <f>IF(AND(Q106=1,OR(P106="",P106='DADOS_INVOC'!$EL$12,P106='DADOS_INVOC'!$EM$12,P106='DADOS_INVOC'!$EN$12,P106='DADOS_INVOC'!$EO$12,P106='DADOS_INVOC'!$EP$12,P106='DADOS_INVOC'!$QV$12,P106='DADOS_INVOC'!$QW$12,P106='DADOS_INVOC'!$QX$12,P106='DADOS_INVOC'!$QY$12)),O106,"")</f>
        <v/>
      </c>
      <c r="BJ106">
        <f>IF(OR(P106="",P106='DADOS_INVOC'!$EL$13,P106='DADOS_INVOC'!$EM$13,P106='DADOS_INVOC'!$EN$13,P106='DADOS_INVOC'!$EO$13,P106='DADOS_INVOC'!$EP$13,P106='DADOS_INVOC'!$QV$13,P106='DADOS_INVOC'!$QW$13,P106='DADOS_INVOC'!$QX$13,P106='DADOS_INVOC'!$QY$13),O106,"")</f>
        <v/>
      </c>
      <c r="BK106">
        <f>IF(AND(Q106=1,OR(P106="",P106='DADOS_INVOC'!$EL$13,P106='DADOS_INVOC'!$EM$13,P106='DADOS_INVOC'!$EN$13,P106='DADOS_INVOC'!$EO$13,P106='DADOS_INVOC'!$EP$13,P106='DADOS_INVOC'!$QV$13,P106='DADOS_INVOC'!$QW$13,P106='DADOS_INVOC'!$QX$13,P106='DADOS_INVOC'!$QY$13)),O106,"")</f>
        <v/>
      </c>
    </row>
    <row r="107">
      <c r="O107">
        <f>IF(AND(D25&lt;&gt;"",M25=""),D25,"")</f>
        <v/>
      </c>
      <c r="P107">
        <f>IF(O107="","",IF(AND(BR25="Condição",F25="",L25=0),"Controle",IF(O107="","",IF(F25&lt;&gt;"",IF(F25="Nenhuma","",F25),IF(L25&gt;0,INDEX($P$2:$P$83,L25),"")))))</f>
        <v/>
      </c>
      <c r="Q107">
        <f>IF(O107="",0,IF(G25&lt;&gt;"",IFERROR(MATCH(G25,'DADOS_MELHORIAS'!$BN$2:$BN$4,0),0),IF(L25&gt;0,INDEX('DADOS_MELHORIAS'!$Q$2:$Q$83,L25),0)))</f>
        <v/>
      </c>
      <c r="R107">
        <f>IF(O107="",0,Q107+3*IFERROR(VLOOKUP(SUBSTITUTE(SUBSTITUTE(SUBSTITUTE(P107,"~","~~"),"*","~*"),"?","~?"),'DADOS_CRIACAO'!$H$2:$K$20,3,FALSE),0))</f>
        <v/>
      </c>
      <c r="S107">
        <f>IF(O107="",0,IFERROR(VLOOKUP(SUBSTITUTE(SUBSTITUTE(SUBSTITUTE(P107,"~","~~"),"*","~*"),"?","~?"),'DADOS_CRIACAO'!$H$2:$K$20,4,FALSE),0))</f>
        <v/>
      </c>
      <c r="T107">
        <f>IF(O107="",0,IF(BR25="Condição",1,IF(O107="",0,IF(OR(P107="Controle",IF(L25&gt;0,INDEX('DADOS_MELHORIAS'!$T$2:$T$83,L25),0)=1),1,0))))</f>
        <v/>
      </c>
      <c r="U107">
        <f>IF(O107="","",IF(S107=1,"",O107))</f>
        <v/>
      </c>
      <c r="V107">
        <f>IF(O107="","",IF(AND(Q107=1,S107=0),O107,""))</f>
        <v/>
      </c>
      <c r="W107">
        <f>IF(O107="",0,IF(BR25="Condição",1,IF(O107="",0,IF(H25="",IF(L25&gt;0,INDEX('DADOS_MELHORIAS'!$W$2:$W$83,L25),0),IF(H25="Sim",1,0)))))</f>
        <v/>
      </c>
      <c r="X107">
        <f>IF(O107="","",IF(L25&gt;0,INDEX($X$2:$X$83,L25),D25))</f>
        <v/>
      </c>
      <c r="Y107">
        <f>IF(O107="",0,IF(L25&gt;0,INDEX('DADOS_MELHORIAS'!$Y$2:$Y$83,L25),0))</f>
        <v/>
      </c>
      <c r="AG107">
        <f>O107</f>
        <v/>
      </c>
      <c r="AH107">
        <f>P107</f>
        <v/>
      </c>
      <c r="AI107">
        <f>Q107</f>
        <v/>
      </c>
      <c r="AJ107">
        <f>T107</f>
        <v/>
      </c>
      <c r="AK107">
        <f>Y107</f>
        <v/>
      </c>
      <c r="AL107">
        <f>W107</f>
        <v/>
      </c>
      <c r="AN107">
        <f>IF(OR(P107="",P107='DADOS_INVOC'!$EL$2,P107='DADOS_INVOC'!$EM$2,P107='DADOS_INVOC'!$EN$2,P107='DADOS_INVOC'!$EO$2,P107='DADOS_INVOC'!$EP$2,P107='DADOS_INVOC'!$QV$2,P107='DADOS_INVOC'!$QW$2,P107='DADOS_INVOC'!$QX$2,P107='DADOS_INVOC'!$QY$2),O107,"")</f>
        <v/>
      </c>
      <c r="AO107">
        <f>IF(AND(Q107=1,OR(P107="",P107='DADOS_INVOC'!$EL$2,P107='DADOS_INVOC'!$EM$2,P107='DADOS_INVOC'!$EN$2,P107='DADOS_INVOC'!$EO$2,P107='DADOS_INVOC'!$EP$2,P107='DADOS_INVOC'!$QV$2,P107='DADOS_INVOC'!$QW$2,P107='DADOS_INVOC'!$QX$2,P107='DADOS_INVOC'!$QY$2)),O107,"")</f>
        <v/>
      </c>
      <c r="AP107">
        <f>IF(OR(P107="",P107='DADOS_INVOC'!$EL$3,P107='DADOS_INVOC'!$EM$3,P107='DADOS_INVOC'!$EN$3,P107='DADOS_INVOC'!$EO$3,P107='DADOS_INVOC'!$EP$3,P107='DADOS_INVOC'!$QV$3,P107='DADOS_INVOC'!$QW$3,P107='DADOS_INVOC'!$QX$3,P107='DADOS_INVOC'!$QY$3),O107,"")</f>
        <v/>
      </c>
      <c r="AQ107">
        <f>IF(AND(Q107=1,OR(P107="",P107='DADOS_INVOC'!$EL$3,P107='DADOS_INVOC'!$EM$3,P107='DADOS_INVOC'!$EN$3,P107='DADOS_INVOC'!$EO$3,P107='DADOS_INVOC'!$EP$3,P107='DADOS_INVOC'!$QV$3,P107='DADOS_INVOC'!$QW$3,P107='DADOS_INVOC'!$QX$3,P107='DADOS_INVOC'!$QY$3)),O107,"")</f>
        <v/>
      </c>
      <c r="AR107">
        <f>IF(OR(P107="",P107='DADOS_INVOC'!$EL$4,P107='DADOS_INVOC'!$EM$4,P107='DADOS_INVOC'!$EN$4,P107='DADOS_INVOC'!$EO$4,P107='DADOS_INVOC'!$EP$4,P107='DADOS_INVOC'!$QV$4,P107='DADOS_INVOC'!$QW$4,P107='DADOS_INVOC'!$QX$4,P107='DADOS_INVOC'!$QY$4),O107,"")</f>
        <v/>
      </c>
      <c r="AS107">
        <f>IF(AND(Q107=1,OR(P107="",P107='DADOS_INVOC'!$EL$4,P107='DADOS_INVOC'!$EM$4,P107='DADOS_INVOC'!$EN$4,P107='DADOS_INVOC'!$EO$4,P107='DADOS_INVOC'!$EP$4,P107='DADOS_INVOC'!$QV$4,P107='DADOS_INVOC'!$QW$4,P107='DADOS_INVOC'!$QX$4,P107='DADOS_INVOC'!$QY$4)),O107,"")</f>
        <v/>
      </c>
      <c r="AT107">
        <f>IF(OR(P107="",P107='DADOS_INVOC'!$EL$5,P107='DADOS_INVOC'!$EM$5,P107='DADOS_INVOC'!$EN$5,P107='DADOS_INVOC'!$EO$5,P107='DADOS_INVOC'!$EP$5,P107='DADOS_INVOC'!$QV$5,P107='DADOS_INVOC'!$QW$5,P107='DADOS_INVOC'!$QX$5,P107='DADOS_INVOC'!$QY$5),O107,"")</f>
        <v/>
      </c>
      <c r="AU107">
        <f>IF(AND(Q107=1,OR(P107="",P107='DADOS_INVOC'!$EL$5,P107='DADOS_INVOC'!$EM$5,P107='DADOS_INVOC'!$EN$5,P107='DADOS_INVOC'!$EO$5,P107='DADOS_INVOC'!$EP$5,P107='DADOS_INVOC'!$QV$5,P107='DADOS_INVOC'!$QW$5,P107='DADOS_INVOC'!$QX$5,P107='DADOS_INVOC'!$QY$5)),O107,"")</f>
        <v/>
      </c>
      <c r="AV107">
        <f>IF(OR(P107="",P107='DADOS_INVOC'!$EL$6,P107='DADOS_INVOC'!$EM$6,P107='DADOS_INVOC'!$EN$6,P107='DADOS_INVOC'!$EO$6,P107='DADOS_INVOC'!$EP$6,P107='DADOS_INVOC'!$QV$6,P107='DADOS_INVOC'!$QW$6,P107='DADOS_INVOC'!$QX$6,P107='DADOS_INVOC'!$QY$6),O107,"")</f>
        <v/>
      </c>
      <c r="AW107">
        <f>IF(AND(Q107=1,OR(P107="",P107='DADOS_INVOC'!$EL$6,P107='DADOS_INVOC'!$EM$6,P107='DADOS_INVOC'!$EN$6,P107='DADOS_INVOC'!$EO$6,P107='DADOS_INVOC'!$EP$6,P107='DADOS_INVOC'!$QV$6,P107='DADOS_INVOC'!$QW$6,P107='DADOS_INVOC'!$QX$6,P107='DADOS_INVOC'!$QY$6)),O107,"")</f>
        <v/>
      </c>
      <c r="AX107">
        <f>IF(OR(P107="",P107='DADOS_INVOC'!$EL$7,P107='DADOS_INVOC'!$EM$7,P107='DADOS_INVOC'!$EN$7,P107='DADOS_INVOC'!$EO$7,P107='DADOS_INVOC'!$EP$7,P107='DADOS_INVOC'!$QV$7,P107='DADOS_INVOC'!$QW$7,P107='DADOS_INVOC'!$QX$7,P107='DADOS_INVOC'!$QY$7),O107,"")</f>
        <v/>
      </c>
      <c r="AY107">
        <f>IF(AND(Q107=1,OR(P107="",P107='DADOS_INVOC'!$EL$7,P107='DADOS_INVOC'!$EM$7,P107='DADOS_INVOC'!$EN$7,P107='DADOS_INVOC'!$EO$7,P107='DADOS_INVOC'!$EP$7,P107='DADOS_INVOC'!$QV$7,P107='DADOS_INVOC'!$QW$7,P107='DADOS_INVOC'!$QX$7,P107='DADOS_INVOC'!$QY$7)),O107,"")</f>
        <v/>
      </c>
      <c r="AZ107">
        <f>IF(OR(P107="",P107='DADOS_INVOC'!$EL$8,P107='DADOS_INVOC'!$EM$8,P107='DADOS_INVOC'!$EN$8,P107='DADOS_INVOC'!$EO$8,P107='DADOS_INVOC'!$EP$8,P107='DADOS_INVOC'!$QV$8,P107='DADOS_INVOC'!$QW$8,P107='DADOS_INVOC'!$QX$8,P107='DADOS_INVOC'!$QY$8),O107,"")</f>
        <v/>
      </c>
      <c r="BA107">
        <f>IF(AND(Q107=1,OR(P107="",P107='DADOS_INVOC'!$EL$8,P107='DADOS_INVOC'!$EM$8,P107='DADOS_INVOC'!$EN$8,P107='DADOS_INVOC'!$EO$8,P107='DADOS_INVOC'!$EP$8,P107='DADOS_INVOC'!$QV$8,P107='DADOS_INVOC'!$QW$8,P107='DADOS_INVOC'!$QX$8,P107='DADOS_INVOC'!$QY$8)),O107,"")</f>
        <v/>
      </c>
      <c r="BB107">
        <f>IF(OR(P107="",P107='DADOS_INVOC'!$EL$9,P107='DADOS_INVOC'!$EM$9,P107='DADOS_INVOC'!$EN$9,P107='DADOS_INVOC'!$EO$9,P107='DADOS_INVOC'!$EP$9,P107='DADOS_INVOC'!$QV$9,P107='DADOS_INVOC'!$QW$9,P107='DADOS_INVOC'!$QX$9,P107='DADOS_INVOC'!$QY$9),O107,"")</f>
        <v/>
      </c>
      <c r="BC107">
        <f>IF(AND(Q107=1,OR(P107="",P107='DADOS_INVOC'!$EL$9,P107='DADOS_INVOC'!$EM$9,P107='DADOS_INVOC'!$EN$9,P107='DADOS_INVOC'!$EO$9,P107='DADOS_INVOC'!$EP$9,P107='DADOS_INVOC'!$QV$9,P107='DADOS_INVOC'!$QW$9,P107='DADOS_INVOC'!$QX$9,P107='DADOS_INVOC'!$QY$9)),O107,"")</f>
        <v/>
      </c>
      <c r="BD107">
        <f>IF(OR(P107="",P107='DADOS_INVOC'!$EL$10,P107='DADOS_INVOC'!$EM$10,P107='DADOS_INVOC'!$EN$10,P107='DADOS_INVOC'!$EO$10,P107='DADOS_INVOC'!$EP$10,P107='DADOS_INVOC'!$QV$10,P107='DADOS_INVOC'!$QW$10,P107='DADOS_INVOC'!$QX$10,P107='DADOS_INVOC'!$QY$10),O107,"")</f>
        <v/>
      </c>
      <c r="BE107">
        <f>IF(AND(Q107=1,OR(P107="",P107='DADOS_INVOC'!$EL$10,P107='DADOS_INVOC'!$EM$10,P107='DADOS_INVOC'!$EN$10,P107='DADOS_INVOC'!$EO$10,P107='DADOS_INVOC'!$EP$10,P107='DADOS_INVOC'!$QV$10,P107='DADOS_INVOC'!$QW$10,P107='DADOS_INVOC'!$QX$10,P107='DADOS_INVOC'!$QY$10)),O107,"")</f>
        <v/>
      </c>
      <c r="BF107">
        <f>IF(OR(P107="",P107='DADOS_INVOC'!$EL$11,P107='DADOS_INVOC'!$EM$11,P107='DADOS_INVOC'!$EN$11,P107='DADOS_INVOC'!$EO$11,P107='DADOS_INVOC'!$EP$11,P107='DADOS_INVOC'!$QV$11,P107='DADOS_INVOC'!$QW$11,P107='DADOS_INVOC'!$QX$11,P107='DADOS_INVOC'!$QY$11),O107,"")</f>
        <v/>
      </c>
      <c r="BG107">
        <f>IF(AND(Q107=1,OR(P107="",P107='DADOS_INVOC'!$EL$11,P107='DADOS_INVOC'!$EM$11,P107='DADOS_INVOC'!$EN$11,P107='DADOS_INVOC'!$EO$11,P107='DADOS_INVOC'!$EP$11,P107='DADOS_INVOC'!$QV$11,P107='DADOS_INVOC'!$QW$11,P107='DADOS_INVOC'!$QX$11,P107='DADOS_INVOC'!$QY$11)),O107,"")</f>
        <v/>
      </c>
      <c r="BH107">
        <f>IF(OR(P107="",P107='DADOS_INVOC'!$EL$12,P107='DADOS_INVOC'!$EM$12,P107='DADOS_INVOC'!$EN$12,P107='DADOS_INVOC'!$EO$12,P107='DADOS_INVOC'!$EP$12,P107='DADOS_INVOC'!$QV$12,P107='DADOS_INVOC'!$QW$12,P107='DADOS_INVOC'!$QX$12,P107='DADOS_INVOC'!$QY$12),O107,"")</f>
        <v/>
      </c>
      <c r="BI107">
        <f>IF(AND(Q107=1,OR(P107="",P107='DADOS_INVOC'!$EL$12,P107='DADOS_INVOC'!$EM$12,P107='DADOS_INVOC'!$EN$12,P107='DADOS_INVOC'!$EO$12,P107='DADOS_INVOC'!$EP$12,P107='DADOS_INVOC'!$QV$12,P107='DADOS_INVOC'!$QW$12,P107='DADOS_INVOC'!$QX$12,P107='DADOS_INVOC'!$QY$12)),O107,"")</f>
        <v/>
      </c>
      <c r="BJ107">
        <f>IF(OR(P107="",P107='DADOS_INVOC'!$EL$13,P107='DADOS_INVOC'!$EM$13,P107='DADOS_INVOC'!$EN$13,P107='DADOS_INVOC'!$EO$13,P107='DADOS_INVOC'!$EP$13,P107='DADOS_INVOC'!$QV$13,P107='DADOS_INVOC'!$QW$13,P107='DADOS_INVOC'!$QX$13,P107='DADOS_INVOC'!$QY$13),O107,"")</f>
        <v/>
      </c>
      <c r="BK107">
        <f>IF(AND(Q107=1,OR(P107="",P107='DADOS_INVOC'!$EL$13,P107='DADOS_INVOC'!$EM$13,P107='DADOS_INVOC'!$EN$13,P107='DADOS_INVOC'!$EO$13,P107='DADOS_INVOC'!$EP$13,P107='DADOS_INVOC'!$QV$13,P107='DADOS_INVOC'!$QW$13,P107='DADOS_INVOC'!$QX$13,P107='DADOS_INVOC'!$QY$13)),O107,"")</f>
        <v/>
      </c>
    </row>
    <row r="108">
      <c r="O108">
        <f>IF(AND(D26&lt;&gt;"",M26=""),D26,"")</f>
        <v/>
      </c>
      <c r="P108">
        <f>IF(O108="","",IF(AND(BR26="Condição",F26="",L26=0),"Controle",IF(O108="","",IF(F26&lt;&gt;"",IF(F26="Nenhuma","",F26),IF(L26&gt;0,INDEX($P$2:$P$83,L26),"")))))</f>
        <v/>
      </c>
      <c r="Q108">
        <f>IF(O108="",0,IF(G26&lt;&gt;"",IFERROR(MATCH(G26,'DADOS_MELHORIAS'!$BN$2:$BN$4,0),0),IF(L26&gt;0,INDEX('DADOS_MELHORIAS'!$Q$2:$Q$83,L26),0)))</f>
        <v/>
      </c>
      <c r="R108">
        <f>IF(O108="",0,Q108+3*IFERROR(VLOOKUP(SUBSTITUTE(SUBSTITUTE(SUBSTITUTE(P108,"~","~~"),"*","~*"),"?","~?"),'DADOS_CRIACAO'!$H$2:$K$20,3,FALSE),0))</f>
        <v/>
      </c>
      <c r="S108">
        <f>IF(O108="",0,IFERROR(VLOOKUP(SUBSTITUTE(SUBSTITUTE(SUBSTITUTE(P108,"~","~~"),"*","~*"),"?","~?"),'DADOS_CRIACAO'!$H$2:$K$20,4,FALSE),0))</f>
        <v/>
      </c>
      <c r="T108">
        <f>IF(O108="",0,IF(BR26="Condição",1,IF(O108="",0,IF(OR(P108="Controle",IF(L26&gt;0,INDEX('DADOS_MELHORIAS'!$T$2:$T$83,L26),0)=1),1,0))))</f>
        <v/>
      </c>
      <c r="U108">
        <f>IF(O108="","",IF(S108=1,"",O108))</f>
        <v/>
      </c>
      <c r="V108">
        <f>IF(O108="","",IF(AND(Q108=1,S108=0),O108,""))</f>
        <v/>
      </c>
      <c r="W108">
        <f>IF(O108="",0,IF(BR26="Condição",1,IF(O108="",0,IF(H26="",IF(L26&gt;0,INDEX('DADOS_MELHORIAS'!$W$2:$W$83,L26),0),IF(H26="Sim",1,0)))))</f>
        <v/>
      </c>
      <c r="X108">
        <f>IF(O108="","",IF(L26&gt;0,INDEX($X$2:$X$83,L26),D26))</f>
        <v/>
      </c>
      <c r="Y108">
        <f>IF(O108="",0,IF(L26&gt;0,INDEX('DADOS_MELHORIAS'!$Y$2:$Y$83,L26),0))</f>
        <v/>
      </c>
      <c r="AG108">
        <f>O108</f>
        <v/>
      </c>
      <c r="AH108">
        <f>P108</f>
        <v/>
      </c>
      <c r="AI108">
        <f>Q108</f>
        <v/>
      </c>
      <c r="AJ108">
        <f>T108</f>
        <v/>
      </c>
      <c r="AK108">
        <f>Y108</f>
        <v/>
      </c>
      <c r="AL108">
        <f>W108</f>
        <v/>
      </c>
      <c r="AN108">
        <f>IF(OR(P108="",P108='DADOS_INVOC'!$EL$2,P108='DADOS_INVOC'!$EM$2,P108='DADOS_INVOC'!$EN$2,P108='DADOS_INVOC'!$EO$2,P108='DADOS_INVOC'!$EP$2,P108='DADOS_INVOC'!$QV$2,P108='DADOS_INVOC'!$QW$2,P108='DADOS_INVOC'!$QX$2,P108='DADOS_INVOC'!$QY$2),O108,"")</f>
        <v/>
      </c>
      <c r="AO108">
        <f>IF(AND(Q108=1,OR(P108="",P108='DADOS_INVOC'!$EL$2,P108='DADOS_INVOC'!$EM$2,P108='DADOS_INVOC'!$EN$2,P108='DADOS_INVOC'!$EO$2,P108='DADOS_INVOC'!$EP$2,P108='DADOS_INVOC'!$QV$2,P108='DADOS_INVOC'!$QW$2,P108='DADOS_INVOC'!$QX$2,P108='DADOS_INVOC'!$QY$2)),O108,"")</f>
        <v/>
      </c>
      <c r="AP108">
        <f>IF(OR(P108="",P108='DADOS_INVOC'!$EL$3,P108='DADOS_INVOC'!$EM$3,P108='DADOS_INVOC'!$EN$3,P108='DADOS_INVOC'!$EO$3,P108='DADOS_INVOC'!$EP$3,P108='DADOS_INVOC'!$QV$3,P108='DADOS_INVOC'!$QW$3,P108='DADOS_INVOC'!$QX$3,P108='DADOS_INVOC'!$QY$3),O108,"")</f>
        <v/>
      </c>
      <c r="AQ108">
        <f>IF(AND(Q108=1,OR(P108="",P108='DADOS_INVOC'!$EL$3,P108='DADOS_INVOC'!$EM$3,P108='DADOS_INVOC'!$EN$3,P108='DADOS_INVOC'!$EO$3,P108='DADOS_INVOC'!$EP$3,P108='DADOS_INVOC'!$QV$3,P108='DADOS_INVOC'!$QW$3,P108='DADOS_INVOC'!$QX$3,P108='DADOS_INVOC'!$QY$3)),O108,"")</f>
        <v/>
      </c>
      <c r="AR108">
        <f>IF(OR(P108="",P108='DADOS_INVOC'!$EL$4,P108='DADOS_INVOC'!$EM$4,P108='DADOS_INVOC'!$EN$4,P108='DADOS_INVOC'!$EO$4,P108='DADOS_INVOC'!$EP$4,P108='DADOS_INVOC'!$QV$4,P108='DADOS_INVOC'!$QW$4,P108='DADOS_INVOC'!$QX$4,P108='DADOS_INVOC'!$QY$4),O108,"")</f>
        <v/>
      </c>
      <c r="AS108">
        <f>IF(AND(Q108=1,OR(P108="",P108='DADOS_INVOC'!$EL$4,P108='DADOS_INVOC'!$EM$4,P108='DADOS_INVOC'!$EN$4,P108='DADOS_INVOC'!$EO$4,P108='DADOS_INVOC'!$EP$4,P108='DADOS_INVOC'!$QV$4,P108='DADOS_INVOC'!$QW$4,P108='DADOS_INVOC'!$QX$4,P108='DADOS_INVOC'!$QY$4)),O108,"")</f>
        <v/>
      </c>
      <c r="AT108">
        <f>IF(OR(P108="",P108='DADOS_INVOC'!$EL$5,P108='DADOS_INVOC'!$EM$5,P108='DADOS_INVOC'!$EN$5,P108='DADOS_INVOC'!$EO$5,P108='DADOS_INVOC'!$EP$5,P108='DADOS_INVOC'!$QV$5,P108='DADOS_INVOC'!$QW$5,P108='DADOS_INVOC'!$QX$5,P108='DADOS_INVOC'!$QY$5),O108,"")</f>
        <v/>
      </c>
      <c r="AU108">
        <f>IF(AND(Q108=1,OR(P108="",P108='DADOS_INVOC'!$EL$5,P108='DADOS_INVOC'!$EM$5,P108='DADOS_INVOC'!$EN$5,P108='DADOS_INVOC'!$EO$5,P108='DADOS_INVOC'!$EP$5,P108='DADOS_INVOC'!$QV$5,P108='DADOS_INVOC'!$QW$5,P108='DADOS_INVOC'!$QX$5,P108='DADOS_INVOC'!$QY$5)),O108,"")</f>
        <v/>
      </c>
      <c r="AV108">
        <f>IF(OR(P108="",P108='DADOS_INVOC'!$EL$6,P108='DADOS_INVOC'!$EM$6,P108='DADOS_INVOC'!$EN$6,P108='DADOS_INVOC'!$EO$6,P108='DADOS_INVOC'!$EP$6,P108='DADOS_INVOC'!$QV$6,P108='DADOS_INVOC'!$QW$6,P108='DADOS_INVOC'!$QX$6,P108='DADOS_INVOC'!$QY$6),O108,"")</f>
        <v/>
      </c>
      <c r="AW108">
        <f>IF(AND(Q108=1,OR(P108="",P108='DADOS_INVOC'!$EL$6,P108='DADOS_INVOC'!$EM$6,P108='DADOS_INVOC'!$EN$6,P108='DADOS_INVOC'!$EO$6,P108='DADOS_INVOC'!$EP$6,P108='DADOS_INVOC'!$QV$6,P108='DADOS_INVOC'!$QW$6,P108='DADOS_INVOC'!$QX$6,P108='DADOS_INVOC'!$QY$6)),O108,"")</f>
        <v/>
      </c>
      <c r="AX108">
        <f>IF(OR(P108="",P108='DADOS_INVOC'!$EL$7,P108='DADOS_INVOC'!$EM$7,P108='DADOS_INVOC'!$EN$7,P108='DADOS_INVOC'!$EO$7,P108='DADOS_INVOC'!$EP$7,P108='DADOS_INVOC'!$QV$7,P108='DADOS_INVOC'!$QW$7,P108='DADOS_INVOC'!$QX$7,P108='DADOS_INVOC'!$QY$7),O108,"")</f>
        <v/>
      </c>
      <c r="AY108">
        <f>IF(AND(Q108=1,OR(P108="",P108='DADOS_INVOC'!$EL$7,P108='DADOS_INVOC'!$EM$7,P108='DADOS_INVOC'!$EN$7,P108='DADOS_INVOC'!$EO$7,P108='DADOS_INVOC'!$EP$7,P108='DADOS_INVOC'!$QV$7,P108='DADOS_INVOC'!$QW$7,P108='DADOS_INVOC'!$QX$7,P108='DADOS_INVOC'!$QY$7)),O108,"")</f>
        <v/>
      </c>
      <c r="AZ108">
        <f>IF(OR(P108="",P108='DADOS_INVOC'!$EL$8,P108='DADOS_INVOC'!$EM$8,P108='DADOS_INVOC'!$EN$8,P108='DADOS_INVOC'!$EO$8,P108='DADOS_INVOC'!$EP$8,P108='DADOS_INVOC'!$QV$8,P108='DADOS_INVOC'!$QW$8,P108='DADOS_INVOC'!$QX$8,P108='DADOS_INVOC'!$QY$8),O108,"")</f>
        <v/>
      </c>
      <c r="BA108">
        <f>IF(AND(Q108=1,OR(P108="",P108='DADOS_INVOC'!$EL$8,P108='DADOS_INVOC'!$EM$8,P108='DADOS_INVOC'!$EN$8,P108='DADOS_INVOC'!$EO$8,P108='DADOS_INVOC'!$EP$8,P108='DADOS_INVOC'!$QV$8,P108='DADOS_INVOC'!$QW$8,P108='DADOS_INVOC'!$QX$8,P108='DADOS_INVOC'!$QY$8)),O108,"")</f>
        <v/>
      </c>
      <c r="BB108">
        <f>IF(OR(P108="",P108='DADOS_INVOC'!$EL$9,P108='DADOS_INVOC'!$EM$9,P108='DADOS_INVOC'!$EN$9,P108='DADOS_INVOC'!$EO$9,P108='DADOS_INVOC'!$EP$9,P108='DADOS_INVOC'!$QV$9,P108='DADOS_INVOC'!$QW$9,P108='DADOS_INVOC'!$QX$9,P108='DADOS_INVOC'!$QY$9),O108,"")</f>
        <v/>
      </c>
      <c r="BC108">
        <f>IF(AND(Q108=1,OR(P108="",P108='DADOS_INVOC'!$EL$9,P108='DADOS_INVOC'!$EM$9,P108='DADOS_INVOC'!$EN$9,P108='DADOS_INVOC'!$EO$9,P108='DADOS_INVOC'!$EP$9,P108='DADOS_INVOC'!$QV$9,P108='DADOS_INVOC'!$QW$9,P108='DADOS_INVOC'!$QX$9,P108='DADOS_INVOC'!$QY$9)),O108,"")</f>
        <v/>
      </c>
      <c r="BD108">
        <f>IF(OR(P108="",P108='DADOS_INVOC'!$EL$10,P108='DADOS_INVOC'!$EM$10,P108='DADOS_INVOC'!$EN$10,P108='DADOS_INVOC'!$EO$10,P108='DADOS_INVOC'!$EP$10,P108='DADOS_INVOC'!$QV$10,P108='DADOS_INVOC'!$QW$10,P108='DADOS_INVOC'!$QX$10,P108='DADOS_INVOC'!$QY$10),O108,"")</f>
        <v/>
      </c>
      <c r="BE108">
        <f>IF(AND(Q108=1,OR(P108="",P108='DADOS_INVOC'!$EL$10,P108='DADOS_INVOC'!$EM$10,P108='DADOS_INVOC'!$EN$10,P108='DADOS_INVOC'!$EO$10,P108='DADOS_INVOC'!$EP$10,P108='DADOS_INVOC'!$QV$10,P108='DADOS_INVOC'!$QW$10,P108='DADOS_INVOC'!$QX$10,P108='DADOS_INVOC'!$QY$10)),O108,"")</f>
        <v/>
      </c>
      <c r="BF108">
        <f>IF(OR(P108="",P108='DADOS_INVOC'!$EL$11,P108='DADOS_INVOC'!$EM$11,P108='DADOS_INVOC'!$EN$11,P108='DADOS_INVOC'!$EO$11,P108='DADOS_INVOC'!$EP$11,P108='DADOS_INVOC'!$QV$11,P108='DADOS_INVOC'!$QW$11,P108='DADOS_INVOC'!$QX$11,P108='DADOS_INVOC'!$QY$11),O108,"")</f>
        <v/>
      </c>
      <c r="BG108">
        <f>IF(AND(Q108=1,OR(P108="",P108='DADOS_INVOC'!$EL$11,P108='DADOS_INVOC'!$EM$11,P108='DADOS_INVOC'!$EN$11,P108='DADOS_INVOC'!$EO$11,P108='DADOS_INVOC'!$EP$11,P108='DADOS_INVOC'!$QV$11,P108='DADOS_INVOC'!$QW$11,P108='DADOS_INVOC'!$QX$11,P108='DADOS_INVOC'!$QY$11)),O108,"")</f>
        <v/>
      </c>
      <c r="BH108">
        <f>IF(OR(P108="",P108='DADOS_INVOC'!$EL$12,P108='DADOS_INVOC'!$EM$12,P108='DADOS_INVOC'!$EN$12,P108='DADOS_INVOC'!$EO$12,P108='DADOS_INVOC'!$EP$12,P108='DADOS_INVOC'!$QV$12,P108='DADOS_INVOC'!$QW$12,P108='DADOS_INVOC'!$QX$12,P108='DADOS_INVOC'!$QY$12),O108,"")</f>
        <v/>
      </c>
      <c r="BI108">
        <f>IF(AND(Q108=1,OR(P108="",P108='DADOS_INVOC'!$EL$12,P108='DADOS_INVOC'!$EM$12,P108='DADOS_INVOC'!$EN$12,P108='DADOS_INVOC'!$EO$12,P108='DADOS_INVOC'!$EP$12,P108='DADOS_INVOC'!$QV$12,P108='DADOS_INVOC'!$QW$12,P108='DADOS_INVOC'!$QX$12,P108='DADOS_INVOC'!$QY$12)),O108,"")</f>
        <v/>
      </c>
      <c r="BJ108">
        <f>IF(OR(P108="",P108='DADOS_INVOC'!$EL$13,P108='DADOS_INVOC'!$EM$13,P108='DADOS_INVOC'!$EN$13,P108='DADOS_INVOC'!$EO$13,P108='DADOS_INVOC'!$EP$13,P108='DADOS_INVOC'!$QV$13,P108='DADOS_INVOC'!$QW$13,P108='DADOS_INVOC'!$QX$13,P108='DADOS_INVOC'!$QY$13),O108,"")</f>
        <v/>
      </c>
      <c r="BK108">
        <f>IF(AND(Q108=1,OR(P108="",P108='DADOS_INVOC'!$EL$13,P108='DADOS_INVOC'!$EM$13,P108='DADOS_INVOC'!$EN$13,P108='DADOS_INVOC'!$EO$13,P108='DADOS_INVOC'!$EP$13,P108='DADOS_INVOC'!$QV$13,P108='DADOS_INVOC'!$QW$13,P108='DADOS_INVOC'!$QX$13,P108='DADOS_INVOC'!$QY$13)),O108,"")</f>
        <v/>
      </c>
    </row>
    <row r="109">
      <c r="O109">
        <f>IF(AND(D27&lt;&gt;"",M27=""),D27,"")</f>
        <v/>
      </c>
      <c r="P109">
        <f>IF(O109="","",IF(AND(BR27="Condição",F27="",L27=0),"Controle",IF(O109="","",IF(F27&lt;&gt;"",IF(F27="Nenhuma","",F27),IF(L27&gt;0,INDEX($P$2:$P$83,L27),"")))))</f>
        <v/>
      </c>
      <c r="Q109">
        <f>IF(O109="",0,IF(G27&lt;&gt;"",IFERROR(MATCH(G27,'DADOS_MELHORIAS'!$BN$2:$BN$4,0),0),IF(L27&gt;0,INDEX('DADOS_MELHORIAS'!$Q$2:$Q$83,L27),0)))</f>
        <v/>
      </c>
      <c r="R109">
        <f>IF(O109="",0,Q109+3*IFERROR(VLOOKUP(SUBSTITUTE(SUBSTITUTE(SUBSTITUTE(P109,"~","~~"),"*","~*"),"?","~?"),'DADOS_CRIACAO'!$H$2:$K$20,3,FALSE),0))</f>
        <v/>
      </c>
      <c r="S109">
        <f>IF(O109="",0,IFERROR(VLOOKUP(SUBSTITUTE(SUBSTITUTE(SUBSTITUTE(P109,"~","~~"),"*","~*"),"?","~?"),'DADOS_CRIACAO'!$H$2:$K$20,4,FALSE),0))</f>
        <v/>
      </c>
      <c r="T109">
        <f>IF(O109="",0,IF(BR27="Condição",1,IF(O109="",0,IF(OR(P109="Controle",IF(L27&gt;0,INDEX('DADOS_MELHORIAS'!$T$2:$T$83,L27),0)=1),1,0))))</f>
        <v/>
      </c>
      <c r="U109">
        <f>IF(O109="","",IF(S109=1,"",O109))</f>
        <v/>
      </c>
      <c r="V109">
        <f>IF(O109="","",IF(AND(Q109=1,S109=0),O109,""))</f>
        <v/>
      </c>
      <c r="W109">
        <f>IF(O109="",0,IF(BR27="Condição",1,IF(O109="",0,IF(H27="",IF(L27&gt;0,INDEX('DADOS_MELHORIAS'!$W$2:$W$83,L27),0),IF(H27="Sim",1,0)))))</f>
        <v/>
      </c>
      <c r="X109">
        <f>IF(O109="","",IF(L27&gt;0,INDEX($X$2:$X$83,L27),D27))</f>
        <v/>
      </c>
      <c r="Y109">
        <f>IF(O109="",0,IF(L27&gt;0,INDEX('DADOS_MELHORIAS'!$Y$2:$Y$83,L27),0))</f>
        <v/>
      </c>
      <c r="AG109">
        <f>O109</f>
        <v/>
      </c>
      <c r="AH109">
        <f>P109</f>
        <v/>
      </c>
      <c r="AI109">
        <f>Q109</f>
        <v/>
      </c>
      <c r="AJ109">
        <f>T109</f>
        <v/>
      </c>
      <c r="AK109">
        <f>Y109</f>
        <v/>
      </c>
      <c r="AL109">
        <f>W109</f>
        <v/>
      </c>
      <c r="AN109">
        <f>IF(OR(P109="",P109='DADOS_INVOC'!$EL$2,P109='DADOS_INVOC'!$EM$2,P109='DADOS_INVOC'!$EN$2,P109='DADOS_INVOC'!$EO$2,P109='DADOS_INVOC'!$EP$2,P109='DADOS_INVOC'!$QV$2,P109='DADOS_INVOC'!$QW$2,P109='DADOS_INVOC'!$QX$2,P109='DADOS_INVOC'!$QY$2),O109,"")</f>
        <v/>
      </c>
      <c r="AO109">
        <f>IF(AND(Q109=1,OR(P109="",P109='DADOS_INVOC'!$EL$2,P109='DADOS_INVOC'!$EM$2,P109='DADOS_INVOC'!$EN$2,P109='DADOS_INVOC'!$EO$2,P109='DADOS_INVOC'!$EP$2,P109='DADOS_INVOC'!$QV$2,P109='DADOS_INVOC'!$QW$2,P109='DADOS_INVOC'!$QX$2,P109='DADOS_INVOC'!$QY$2)),O109,"")</f>
        <v/>
      </c>
      <c r="AP109">
        <f>IF(OR(P109="",P109='DADOS_INVOC'!$EL$3,P109='DADOS_INVOC'!$EM$3,P109='DADOS_INVOC'!$EN$3,P109='DADOS_INVOC'!$EO$3,P109='DADOS_INVOC'!$EP$3,P109='DADOS_INVOC'!$QV$3,P109='DADOS_INVOC'!$QW$3,P109='DADOS_INVOC'!$QX$3,P109='DADOS_INVOC'!$QY$3),O109,"")</f>
        <v/>
      </c>
      <c r="AQ109">
        <f>IF(AND(Q109=1,OR(P109="",P109='DADOS_INVOC'!$EL$3,P109='DADOS_INVOC'!$EM$3,P109='DADOS_INVOC'!$EN$3,P109='DADOS_INVOC'!$EO$3,P109='DADOS_INVOC'!$EP$3,P109='DADOS_INVOC'!$QV$3,P109='DADOS_INVOC'!$QW$3,P109='DADOS_INVOC'!$QX$3,P109='DADOS_INVOC'!$QY$3)),O109,"")</f>
        <v/>
      </c>
      <c r="AR109">
        <f>IF(OR(P109="",P109='DADOS_INVOC'!$EL$4,P109='DADOS_INVOC'!$EM$4,P109='DADOS_INVOC'!$EN$4,P109='DADOS_INVOC'!$EO$4,P109='DADOS_INVOC'!$EP$4,P109='DADOS_INVOC'!$QV$4,P109='DADOS_INVOC'!$QW$4,P109='DADOS_INVOC'!$QX$4,P109='DADOS_INVOC'!$QY$4),O109,"")</f>
        <v/>
      </c>
      <c r="AS109">
        <f>IF(AND(Q109=1,OR(P109="",P109='DADOS_INVOC'!$EL$4,P109='DADOS_INVOC'!$EM$4,P109='DADOS_INVOC'!$EN$4,P109='DADOS_INVOC'!$EO$4,P109='DADOS_INVOC'!$EP$4,P109='DADOS_INVOC'!$QV$4,P109='DADOS_INVOC'!$QW$4,P109='DADOS_INVOC'!$QX$4,P109='DADOS_INVOC'!$QY$4)),O109,"")</f>
        <v/>
      </c>
      <c r="AT109">
        <f>IF(OR(P109="",P109='DADOS_INVOC'!$EL$5,P109='DADOS_INVOC'!$EM$5,P109='DADOS_INVOC'!$EN$5,P109='DADOS_INVOC'!$EO$5,P109='DADOS_INVOC'!$EP$5,P109='DADOS_INVOC'!$QV$5,P109='DADOS_INVOC'!$QW$5,P109='DADOS_INVOC'!$QX$5,P109='DADOS_INVOC'!$QY$5),O109,"")</f>
        <v/>
      </c>
      <c r="AU109">
        <f>IF(AND(Q109=1,OR(P109="",P109='DADOS_INVOC'!$EL$5,P109='DADOS_INVOC'!$EM$5,P109='DADOS_INVOC'!$EN$5,P109='DADOS_INVOC'!$EO$5,P109='DADOS_INVOC'!$EP$5,P109='DADOS_INVOC'!$QV$5,P109='DADOS_INVOC'!$QW$5,P109='DADOS_INVOC'!$QX$5,P109='DADOS_INVOC'!$QY$5)),O109,"")</f>
        <v/>
      </c>
      <c r="AV109">
        <f>IF(OR(P109="",P109='DADOS_INVOC'!$EL$6,P109='DADOS_INVOC'!$EM$6,P109='DADOS_INVOC'!$EN$6,P109='DADOS_INVOC'!$EO$6,P109='DADOS_INVOC'!$EP$6,P109='DADOS_INVOC'!$QV$6,P109='DADOS_INVOC'!$QW$6,P109='DADOS_INVOC'!$QX$6,P109='DADOS_INVOC'!$QY$6),O109,"")</f>
        <v/>
      </c>
      <c r="AW109">
        <f>IF(AND(Q109=1,OR(P109="",P109='DADOS_INVOC'!$EL$6,P109='DADOS_INVOC'!$EM$6,P109='DADOS_INVOC'!$EN$6,P109='DADOS_INVOC'!$EO$6,P109='DADOS_INVOC'!$EP$6,P109='DADOS_INVOC'!$QV$6,P109='DADOS_INVOC'!$QW$6,P109='DADOS_INVOC'!$QX$6,P109='DADOS_INVOC'!$QY$6)),O109,"")</f>
        <v/>
      </c>
      <c r="AX109">
        <f>IF(OR(P109="",P109='DADOS_INVOC'!$EL$7,P109='DADOS_INVOC'!$EM$7,P109='DADOS_INVOC'!$EN$7,P109='DADOS_INVOC'!$EO$7,P109='DADOS_INVOC'!$EP$7,P109='DADOS_INVOC'!$QV$7,P109='DADOS_INVOC'!$QW$7,P109='DADOS_INVOC'!$QX$7,P109='DADOS_INVOC'!$QY$7),O109,"")</f>
        <v/>
      </c>
      <c r="AY109">
        <f>IF(AND(Q109=1,OR(P109="",P109='DADOS_INVOC'!$EL$7,P109='DADOS_INVOC'!$EM$7,P109='DADOS_INVOC'!$EN$7,P109='DADOS_INVOC'!$EO$7,P109='DADOS_INVOC'!$EP$7,P109='DADOS_INVOC'!$QV$7,P109='DADOS_INVOC'!$QW$7,P109='DADOS_INVOC'!$QX$7,P109='DADOS_INVOC'!$QY$7)),O109,"")</f>
        <v/>
      </c>
      <c r="AZ109">
        <f>IF(OR(P109="",P109='DADOS_INVOC'!$EL$8,P109='DADOS_INVOC'!$EM$8,P109='DADOS_INVOC'!$EN$8,P109='DADOS_INVOC'!$EO$8,P109='DADOS_INVOC'!$EP$8,P109='DADOS_INVOC'!$QV$8,P109='DADOS_INVOC'!$QW$8,P109='DADOS_INVOC'!$QX$8,P109='DADOS_INVOC'!$QY$8),O109,"")</f>
        <v/>
      </c>
      <c r="BA109">
        <f>IF(AND(Q109=1,OR(P109="",P109='DADOS_INVOC'!$EL$8,P109='DADOS_INVOC'!$EM$8,P109='DADOS_INVOC'!$EN$8,P109='DADOS_INVOC'!$EO$8,P109='DADOS_INVOC'!$EP$8,P109='DADOS_INVOC'!$QV$8,P109='DADOS_INVOC'!$QW$8,P109='DADOS_INVOC'!$QX$8,P109='DADOS_INVOC'!$QY$8)),O109,"")</f>
        <v/>
      </c>
      <c r="BB109">
        <f>IF(OR(P109="",P109='DADOS_INVOC'!$EL$9,P109='DADOS_INVOC'!$EM$9,P109='DADOS_INVOC'!$EN$9,P109='DADOS_INVOC'!$EO$9,P109='DADOS_INVOC'!$EP$9,P109='DADOS_INVOC'!$QV$9,P109='DADOS_INVOC'!$QW$9,P109='DADOS_INVOC'!$QX$9,P109='DADOS_INVOC'!$QY$9),O109,"")</f>
        <v/>
      </c>
      <c r="BC109">
        <f>IF(AND(Q109=1,OR(P109="",P109='DADOS_INVOC'!$EL$9,P109='DADOS_INVOC'!$EM$9,P109='DADOS_INVOC'!$EN$9,P109='DADOS_INVOC'!$EO$9,P109='DADOS_INVOC'!$EP$9,P109='DADOS_INVOC'!$QV$9,P109='DADOS_INVOC'!$QW$9,P109='DADOS_INVOC'!$QX$9,P109='DADOS_INVOC'!$QY$9)),O109,"")</f>
        <v/>
      </c>
      <c r="BD109">
        <f>IF(OR(P109="",P109='DADOS_INVOC'!$EL$10,P109='DADOS_INVOC'!$EM$10,P109='DADOS_INVOC'!$EN$10,P109='DADOS_INVOC'!$EO$10,P109='DADOS_INVOC'!$EP$10,P109='DADOS_INVOC'!$QV$10,P109='DADOS_INVOC'!$QW$10,P109='DADOS_INVOC'!$QX$10,P109='DADOS_INVOC'!$QY$10),O109,"")</f>
        <v/>
      </c>
      <c r="BE109">
        <f>IF(AND(Q109=1,OR(P109="",P109='DADOS_INVOC'!$EL$10,P109='DADOS_INVOC'!$EM$10,P109='DADOS_INVOC'!$EN$10,P109='DADOS_INVOC'!$EO$10,P109='DADOS_INVOC'!$EP$10,P109='DADOS_INVOC'!$QV$10,P109='DADOS_INVOC'!$QW$10,P109='DADOS_INVOC'!$QX$10,P109='DADOS_INVOC'!$QY$10)),O109,"")</f>
        <v/>
      </c>
      <c r="BF109">
        <f>IF(OR(P109="",P109='DADOS_INVOC'!$EL$11,P109='DADOS_INVOC'!$EM$11,P109='DADOS_INVOC'!$EN$11,P109='DADOS_INVOC'!$EO$11,P109='DADOS_INVOC'!$EP$11,P109='DADOS_INVOC'!$QV$11,P109='DADOS_INVOC'!$QW$11,P109='DADOS_INVOC'!$QX$11,P109='DADOS_INVOC'!$QY$11),O109,"")</f>
        <v/>
      </c>
      <c r="BG109">
        <f>IF(AND(Q109=1,OR(P109="",P109='DADOS_INVOC'!$EL$11,P109='DADOS_INVOC'!$EM$11,P109='DADOS_INVOC'!$EN$11,P109='DADOS_INVOC'!$EO$11,P109='DADOS_INVOC'!$EP$11,P109='DADOS_INVOC'!$QV$11,P109='DADOS_INVOC'!$QW$11,P109='DADOS_INVOC'!$QX$11,P109='DADOS_INVOC'!$QY$11)),O109,"")</f>
        <v/>
      </c>
      <c r="BH109">
        <f>IF(OR(P109="",P109='DADOS_INVOC'!$EL$12,P109='DADOS_INVOC'!$EM$12,P109='DADOS_INVOC'!$EN$12,P109='DADOS_INVOC'!$EO$12,P109='DADOS_INVOC'!$EP$12,P109='DADOS_INVOC'!$QV$12,P109='DADOS_INVOC'!$QW$12,P109='DADOS_INVOC'!$QX$12,P109='DADOS_INVOC'!$QY$12),O109,"")</f>
        <v/>
      </c>
      <c r="BI109">
        <f>IF(AND(Q109=1,OR(P109="",P109='DADOS_INVOC'!$EL$12,P109='DADOS_INVOC'!$EM$12,P109='DADOS_INVOC'!$EN$12,P109='DADOS_INVOC'!$EO$12,P109='DADOS_INVOC'!$EP$12,P109='DADOS_INVOC'!$QV$12,P109='DADOS_INVOC'!$QW$12,P109='DADOS_INVOC'!$QX$12,P109='DADOS_INVOC'!$QY$12)),O109,"")</f>
        <v/>
      </c>
      <c r="BJ109">
        <f>IF(OR(P109="",P109='DADOS_INVOC'!$EL$13,P109='DADOS_INVOC'!$EM$13,P109='DADOS_INVOC'!$EN$13,P109='DADOS_INVOC'!$EO$13,P109='DADOS_INVOC'!$EP$13,P109='DADOS_INVOC'!$QV$13,P109='DADOS_INVOC'!$QW$13,P109='DADOS_INVOC'!$QX$13,P109='DADOS_INVOC'!$QY$13),O109,"")</f>
        <v/>
      </c>
      <c r="BK109">
        <f>IF(AND(Q109=1,OR(P109="",P109='DADOS_INVOC'!$EL$13,P109='DADOS_INVOC'!$EM$13,P109='DADOS_INVOC'!$EN$13,P109='DADOS_INVOC'!$EO$13,P109='DADOS_INVOC'!$EP$13,P109='DADOS_INVOC'!$QV$13,P109='DADOS_INVOC'!$QW$13,P109='DADOS_INVOC'!$QX$13,P109='DADOS_INVOC'!$QY$13)),O109,"")</f>
        <v/>
      </c>
    </row>
    <row r="110">
      <c r="O110">
        <f>IF(AND(D28&lt;&gt;"",M28=""),D28,"")</f>
        <v/>
      </c>
      <c r="P110">
        <f>IF(O110="","",IF(AND(BR28="Condição",F28="",L28=0),"Controle",IF(O110="","",IF(F28&lt;&gt;"",IF(F28="Nenhuma","",F28),IF(L28&gt;0,INDEX($P$2:$P$83,L28),"")))))</f>
        <v/>
      </c>
      <c r="Q110">
        <f>IF(O110="",0,IF(G28&lt;&gt;"",IFERROR(MATCH(G28,'DADOS_MELHORIAS'!$BN$2:$BN$4,0),0),IF(L28&gt;0,INDEX('DADOS_MELHORIAS'!$Q$2:$Q$83,L28),0)))</f>
        <v/>
      </c>
      <c r="R110">
        <f>IF(O110="",0,Q110+3*IFERROR(VLOOKUP(SUBSTITUTE(SUBSTITUTE(SUBSTITUTE(P110,"~","~~"),"*","~*"),"?","~?"),'DADOS_CRIACAO'!$H$2:$K$20,3,FALSE),0))</f>
        <v/>
      </c>
      <c r="S110">
        <f>IF(O110="",0,IFERROR(VLOOKUP(SUBSTITUTE(SUBSTITUTE(SUBSTITUTE(P110,"~","~~"),"*","~*"),"?","~?"),'DADOS_CRIACAO'!$H$2:$K$20,4,FALSE),0))</f>
        <v/>
      </c>
      <c r="T110">
        <f>IF(O110="",0,IF(BR28="Condição",1,IF(O110="",0,IF(OR(P110="Controle",IF(L28&gt;0,INDEX('DADOS_MELHORIAS'!$T$2:$T$83,L28),0)=1),1,0))))</f>
        <v/>
      </c>
      <c r="U110">
        <f>IF(O110="","",IF(S110=1,"",O110))</f>
        <v/>
      </c>
      <c r="V110">
        <f>IF(O110="","",IF(AND(Q110=1,S110=0),O110,""))</f>
        <v/>
      </c>
      <c r="W110">
        <f>IF(O110="",0,IF(BR28="Condição",1,IF(O110="",0,IF(H28="",IF(L28&gt;0,INDEX('DADOS_MELHORIAS'!$W$2:$W$83,L28),0),IF(H28="Sim",1,0)))))</f>
        <v/>
      </c>
      <c r="X110">
        <f>IF(O110="","",IF(L28&gt;0,INDEX($X$2:$X$83,L28),D28))</f>
        <v/>
      </c>
      <c r="Y110">
        <f>IF(O110="",0,IF(L28&gt;0,INDEX('DADOS_MELHORIAS'!$Y$2:$Y$83,L28),0))</f>
        <v/>
      </c>
      <c r="AG110">
        <f>O110</f>
        <v/>
      </c>
      <c r="AH110">
        <f>P110</f>
        <v/>
      </c>
      <c r="AI110">
        <f>Q110</f>
        <v/>
      </c>
      <c r="AJ110">
        <f>T110</f>
        <v/>
      </c>
      <c r="AK110">
        <f>Y110</f>
        <v/>
      </c>
      <c r="AL110">
        <f>W110</f>
        <v/>
      </c>
      <c r="AN110">
        <f>IF(OR(P110="",P110='DADOS_INVOC'!$EL$2,P110='DADOS_INVOC'!$EM$2,P110='DADOS_INVOC'!$EN$2,P110='DADOS_INVOC'!$EO$2,P110='DADOS_INVOC'!$EP$2,P110='DADOS_INVOC'!$QV$2,P110='DADOS_INVOC'!$QW$2,P110='DADOS_INVOC'!$QX$2,P110='DADOS_INVOC'!$QY$2),O110,"")</f>
        <v/>
      </c>
      <c r="AO110">
        <f>IF(AND(Q110=1,OR(P110="",P110='DADOS_INVOC'!$EL$2,P110='DADOS_INVOC'!$EM$2,P110='DADOS_INVOC'!$EN$2,P110='DADOS_INVOC'!$EO$2,P110='DADOS_INVOC'!$EP$2,P110='DADOS_INVOC'!$QV$2,P110='DADOS_INVOC'!$QW$2,P110='DADOS_INVOC'!$QX$2,P110='DADOS_INVOC'!$QY$2)),O110,"")</f>
        <v/>
      </c>
      <c r="AP110">
        <f>IF(OR(P110="",P110='DADOS_INVOC'!$EL$3,P110='DADOS_INVOC'!$EM$3,P110='DADOS_INVOC'!$EN$3,P110='DADOS_INVOC'!$EO$3,P110='DADOS_INVOC'!$EP$3,P110='DADOS_INVOC'!$QV$3,P110='DADOS_INVOC'!$QW$3,P110='DADOS_INVOC'!$QX$3,P110='DADOS_INVOC'!$QY$3),O110,"")</f>
        <v/>
      </c>
      <c r="AQ110">
        <f>IF(AND(Q110=1,OR(P110="",P110='DADOS_INVOC'!$EL$3,P110='DADOS_INVOC'!$EM$3,P110='DADOS_INVOC'!$EN$3,P110='DADOS_INVOC'!$EO$3,P110='DADOS_INVOC'!$EP$3,P110='DADOS_INVOC'!$QV$3,P110='DADOS_INVOC'!$QW$3,P110='DADOS_INVOC'!$QX$3,P110='DADOS_INVOC'!$QY$3)),O110,"")</f>
        <v/>
      </c>
      <c r="AR110">
        <f>IF(OR(P110="",P110='DADOS_INVOC'!$EL$4,P110='DADOS_INVOC'!$EM$4,P110='DADOS_INVOC'!$EN$4,P110='DADOS_INVOC'!$EO$4,P110='DADOS_INVOC'!$EP$4,P110='DADOS_INVOC'!$QV$4,P110='DADOS_INVOC'!$QW$4,P110='DADOS_INVOC'!$QX$4,P110='DADOS_INVOC'!$QY$4),O110,"")</f>
        <v/>
      </c>
      <c r="AS110">
        <f>IF(AND(Q110=1,OR(P110="",P110='DADOS_INVOC'!$EL$4,P110='DADOS_INVOC'!$EM$4,P110='DADOS_INVOC'!$EN$4,P110='DADOS_INVOC'!$EO$4,P110='DADOS_INVOC'!$EP$4,P110='DADOS_INVOC'!$QV$4,P110='DADOS_INVOC'!$QW$4,P110='DADOS_INVOC'!$QX$4,P110='DADOS_INVOC'!$QY$4)),O110,"")</f>
        <v/>
      </c>
      <c r="AT110">
        <f>IF(OR(P110="",P110='DADOS_INVOC'!$EL$5,P110='DADOS_INVOC'!$EM$5,P110='DADOS_INVOC'!$EN$5,P110='DADOS_INVOC'!$EO$5,P110='DADOS_INVOC'!$EP$5,P110='DADOS_INVOC'!$QV$5,P110='DADOS_INVOC'!$QW$5,P110='DADOS_INVOC'!$QX$5,P110='DADOS_INVOC'!$QY$5),O110,"")</f>
        <v/>
      </c>
      <c r="AU110">
        <f>IF(AND(Q110=1,OR(P110="",P110='DADOS_INVOC'!$EL$5,P110='DADOS_INVOC'!$EM$5,P110='DADOS_INVOC'!$EN$5,P110='DADOS_INVOC'!$EO$5,P110='DADOS_INVOC'!$EP$5,P110='DADOS_INVOC'!$QV$5,P110='DADOS_INVOC'!$QW$5,P110='DADOS_INVOC'!$QX$5,P110='DADOS_INVOC'!$QY$5)),O110,"")</f>
        <v/>
      </c>
      <c r="AV110">
        <f>IF(OR(P110="",P110='DADOS_INVOC'!$EL$6,P110='DADOS_INVOC'!$EM$6,P110='DADOS_INVOC'!$EN$6,P110='DADOS_INVOC'!$EO$6,P110='DADOS_INVOC'!$EP$6,P110='DADOS_INVOC'!$QV$6,P110='DADOS_INVOC'!$QW$6,P110='DADOS_INVOC'!$QX$6,P110='DADOS_INVOC'!$QY$6),O110,"")</f>
        <v/>
      </c>
      <c r="AW110">
        <f>IF(AND(Q110=1,OR(P110="",P110='DADOS_INVOC'!$EL$6,P110='DADOS_INVOC'!$EM$6,P110='DADOS_INVOC'!$EN$6,P110='DADOS_INVOC'!$EO$6,P110='DADOS_INVOC'!$EP$6,P110='DADOS_INVOC'!$QV$6,P110='DADOS_INVOC'!$QW$6,P110='DADOS_INVOC'!$QX$6,P110='DADOS_INVOC'!$QY$6)),O110,"")</f>
        <v/>
      </c>
      <c r="AX110">
        <f>IF(OR(P110="",P110='DADOS_INVOC'!$EL$7,P110='DADOS_INVOC'!$EM$7,P110='DADOS_INVOC'!$EN$7,P110='DADOS_INVOC'!$EO$7,P110='DADOS_INVOC'!$EP$7,P110='DADOS_INVOC'!$QV$7,P110='DADOS_INVOC'!$QW$7,P110='DADOS_INVOC'!$QX$7,P110='DADOS_INVOC'!$QY$7),O110,"")</f>
        <v/>
      </c>
      <c r="AY110">
        <f>IF(AND(Q110=1,OR(P110="",P110='DADOS_INVOC'!$EL$7,P110='DADOS_INVOC'!$EM$7,P110='DADOS_INVOC'!$EN$7,P110='DADOS_INVOC'!$EO$7,P110='DADOS_INVOC'!$EP$7,P110='DADOS_INVOC'!$QV$7,P110='DADOS_INVOC'!$QW$7,P110='DADOS_INVOC'!$QX$7,P110='DADOS_INVOC'!$QY$7)),O110,"")</f>
        <v/>
      </c>
      <c r="AZ110">
        <f>IF(OR(P110="",P110='DADOS_INVOC'!$EL$8,P110='DADOS_INVOC'!$EM$8,P110='DADOS_INVOC'!$EN$8,P110='DADOS_INVOC'!$EO$8,P110='DADOS_INVOC'!$EP$8,P110='DADOS_INVOC'!$QV$8,P110='DADOS_INVOC'!$QW$8,P110='DADOS_INVOC'!$QX$8,P110='DADOS_INVOC'!$QY$8),O110,"")</f>
        <v/>
      </c>
      <c r="BA110">
        <f>IF(AND(Q110=1,OR(P110="",P110='DADOS_INVOC'!$EL$8,P110='DADOS_INVOC'!$EM$8,P110='DADOS_INVOC'!$EN$8,P110='DADOS_INVOC'!$EO$8,P110='DADOS_INVOC'!$EP$8,P110='DADOS_INVOC'!$QV$8,P110='DADOS_INVOC'!$QW$8,P110='DADOS_INVOC'!$QX$8,P110='DADOS_INVOC'!$QY$8)),O110,"")</f>
        <v/>
      </c>
      <c r="BB110">
        <f>IF(OR(P110="",P110='DADOS_INVOC'!$EL$9,P110='DADOS_INVOC'!$EM$9,P110='DADOS_INVOC'!$EN$9,P110='DADOS_INVOC'!$EO$9,P110='DADOS_INVOC'!$EP$9,P110='DADOS_INVOC'!$QV$9,P110='DADOS_INVOC'!$QW$9,P110='DADOS_INVOC'!$QX$9,P110='DADOS_INVOC'!$QY$9),O110,"")</f>
        <v/>
      </c>
      <c r="BC110">
        <f>IF(AND(Q110=1,OR(P110="",P110='DADOS_INVOC'!$EL$9,P110='DADOS_INVOC'!$EM$9,P110='DADOS_INVOC'!$EN$9,P110='DADOS_INVOC'!$EO$9,P110='DADOS_INVOC'!$EP$9,P110='DADOS_INVOC'!$QV$9,P110='DADOS_INVOC'!$QW$9,P110='DADOS_INVOC'!$QX$9,P110='DADOS_INVOC'!$QY$9)),O110,"")</f>
        <v/>
      </c>
      <c r="BD110">
        <f>IF(OR(P110="",P110='DADOS_INVOC'!$EL$10,P110='DADOS_INVOC'!$EM$10,P110='DADOS_INVOC'!$EN$10,P110='DADOS_INVOC'!$EO$10,P110='DADOS_INVOC'!$EP$10,P110='DADOS_INVOC'!$QV$10,P110='DADOS_INVOC'!$QW$10,P110='DADOS_INVOC'!$QX$10,P110='DADOS_INVOC'!$QY$10),O110,"")</f>
        <v/>
      </c>
      <c r="BE110">
        <f>IF(AND(Q110=1,OR(P110="",P110='DADOS_INVOC'!$EL$10,P110='DADOS_INVOC'!$EM$10,P110='DADOS_INVOC'!$EN$10,P110='DADOS_INVOC'!$EO$10,P110='DADOS_INVOC'!$EP$10,P110='DADOS_INVOC'!$QV$10,P110='DADOS_INVOC'!$QW$10,P110='DADOS_INVOC'!$QX$10,P110='DADOS_INVOC'!$QY$10)),O110,"")</f>
        <v/>
      </c>
      <c r="BF110">
        <f>IF(OR(P110="",P110='DADOS_INVOC'!$EL$11,P110='DADOS_INVOC'!$EM$11,P110='DADOS_INVOC'!$EN$11,P110='DADOS_INVOC'!$EO$11,P110='DADOS_INVOC'!$EP$11,P110='DADOS_INVOC'!$QV$11,P110='DADOS_INVOC'!$QW$11,P110='DADOS_INVOC'!$QX$11,P110='DADOS_INVOC'!$QY$11),O110,"")</f>
        <v/>
      </c>
      <c r="BG110">
        <f>IF(AND(Q110=1,OR(P110="",P110='DADOS_INVOC'!$EL$11,P110='DADOS_INVOC'!$EM$11,P110='DADOS_INVOC'!$EN$11,P110='DADOS_INVOC'!$EO$11,P110='DADOS_INVOC'!$EP$11,P110='DADOS_INVOC'!$QV$11,P110='DADOS_INVOC'!$QW$11,P110='DADOS_INVOC'!$QX$11,P110='DADOS_INVOC'!$QY$11)),O110,"")</f>
        <v/>
      </c>
      <c r="BH110">
        <f>IF(OR(P110="",P110='DADOS_INVOC'!$EL$12,P110='DADOS_INVOC'!$EM$12,P110='DADOS_INVOC'!$EN$12,P110='DADOS_INVOC'!$EO$12,P110='DADOS_INVOC'!$EP$12,P110='DADOS_INVOC'!$QV$12,P110='DADOS_INVOC'!$QW$12,P110='DADOS_INVOC'!$QX$12,P110='DADOS_INVOC'!$QY$12),O110,"")</f>
        <v/>
      </c>
      <c r="BI110">
        <f>IF(AND(Q110=1,OR(P110="",P110='DADOS_INVOC'!$EL$12,P110='DADOS_INVOC'!$EM$12,P110='DADOS_INVOC'!$EN$12,P110='DADOS_INVOC'!$EO$12,P110='DADOS_INVOC'!$EP$12,P110='DADOS_INVOC'!$QV$12,P110='DADOS_INVOC'!$QW$12,P110='DADOS_INVOC'!$QX$12,P110='DADOS_INVOC'!$QY$12)),O110,"")</f>
        <v/>
      </c>
      <c r="BJ110">
        <f>IF(OR(P110="",P110='DADOS_INVOC'!$EL$13,P110='DADOS_INVOC'!$EM$13,P110='DADOS_INVOC'!$EN$13,P110='DADOS_INVOC'!$EO$13,P110='DADOS_INVOC'!$EP$13,P110='DADOS_INVOC'!$QV$13,P110='DADOS_INVOC'!$QW$13,P110='DADOS_INVOC'!$QX$13,P110='DADOS_INVOC'!$QY$13),O110,"")</f>
        <v/>
      </c>
      <c r="BK110">
        <f>IF(AND(Q110=1,OR(P110="",P110='DADOS_INVOC'!$EL$13,P110='DADOS_INVOC'!$EM$13,P110='DADOS_INVOC'!$EN$13,P110='DADOS_INVOC'!$EO$13,P110='DADOS_INVOC'!$EP$13,P110='DADOS_INVOC'!$QV$13,P110='DADOS_INVOC'!$QW$13,P110='DADOS_INVOC'!$QX$13,P110='DADOS_INVOC'!$QY$13)),O110,"")</f>
        <v/>
      </c>
    </row>
    <row r="111">
      <c r="O111">
        <f>IF(AND(D29&lt;&gt;"",M29=""),D29,"")</f>
        <v/>
      </c>
      <c r="P111">
        <f>IF(O111="","",IF(AND(BR29="Condição",F29="",L29=0),"Controle",IF(O111="","",IF(F29&lt;&gt;"",IF(F29="Nenhuma","",F29),IF(L29&gt;0,INDEX($P$2:$P$83,L29),"")))))</f>
        <v/>
      </c>
      <c r="Q111">
        <f>IF(O111="",0,IF(G29&lt;&gt;"",IFERROR(MATCH(G29,'DADOS_MELHORIAS'!$BN$2:$BN$4,0),0),IF(L29&gt;0,INDEX('DADOS_MELHORIAS'!$Q$2:$Q$83,L29),0)))</f>
        <v/>
      </c>
      <c r="R111">
        <f>IF(O111="",0,Q111+3*IFERROR(VLOOKUP(SUBSTITUTE(SUBSTITUTE(SUBSTITUTE(P111,"~","~~"),"*","~*"),"?","~?"),'DADOS_CRIACAO'!$H$2:$K$20,3,FALSE),0))</f>
        <v/>
      </c>
      <c r="S111">
        <f>IF(O111="",0,IFERROR(VLOOKUP(SUBSTITUTE(SUBSTITUTE(SUBSTITUTE(P111,"~","~~"),"*","~*"),"?","~?"),'DADOS_CRIACAO'!$H$2:$K$20,4,FALSE),0))</f>
        <v/>
      </c>
      <c r="T111">
        <f>IF(O111="",0,IF(BR29="Condição",1,IF(O111="",0,IF(OR(P111="Controle",IF(L29&gt;0,INDEX('DADOS_MELHORIAS'!$T$2:$T$83,L29),0)=1),1,0))))</f>
        <v/>
      </c>
      <c r="U111">
        <f>IF(O111="","",IF(S111=1,"",O111))</f>
        <v/>
      </c>
      <c r="V111">
        <f>IF(O111="","",IF(AND(Q111=1,S111=0),O111,""))</f>
        <v/>
      </c>
      <c r="W111">
        <f>IF(O111="",0,IF(BR29="Condição",1,IF(O111="",0,IF(H29="",IF(L29&gt;0,INDEX('DADOS_MELHORIAS'!$W$2:$W$83,L29),0),IF(H29="Sim",1,0)))))</f>
        <v/>
      </c>
      <c r="X111">
        <f>IF(O111="","",IF(L29&gt;0,INDEX($X$2:$X$83,L29),D29))</f>
        <v/>
      </c>
      <c r="Y111">
        <f>IF(O111="",0,IF(L29&gt;0,INDEX('DADOS_MELHORIAS'!$Y$2:$Y$83,L29),0))</f>
        <v/>
      </c>
      <c r="AG111">
        <f>O111</f>
        <v/>
      </c>
      <c r="AH111">
        <f>P111</f>
        <v/>
      </c>
      <c r="AI111">
        <f>Q111</f>
        <v/>
      </c>
      <c r="AJ111">
        <f>T111</f>
        <v/>
      </c>
      <c r="AK111">
        <f>Y111</f>
        <v/>
      </c>
      <c r="AL111">
        <f>W111</f>
        <v/>
      </c>
      <c r="AN111">
        <f>IF(OR(P111="",P111='DADOS_INVOC'!$EL$2,P111='DADOS_INVOC'!$EM$2,P111='DADOS_INVOC'!$EN$2,P111='DADOS_INVOC'!$EO$2,P111='DADOS_INVOC'!$EP$2,P111='DADOS_INVOC'!$QV$2,P111='DADOS_INVOC'!$QW$2,P111='DADOS_INVOC'!$QX$2,P111='DADOS_INVOC'!$QY$2),O111,"")</f>
        <v/>
      </c>
      <c r="AO111">
        <f>IF(AND(Q111=1,OR(P111="",P111='DADOS_INVOC'!$EL$2,P111='DADOS_INVOC'!$EM$2,P111='DADOS_INVOC'!$EN$2,P111='DADOS_INVOC'!$EO$2,P111='DADOS_INVOC'!$EP$2,P111='DADOS_INVOC'!$QV$2,P111='DADOS_INVOC'!$QW$2,P111='DADOS_INVOC'!$QX$2,P111='DADOS_INVOC'!$QY$2)),O111,"")</f>
        <v/>
      </c>
      <c r="AP111">
        <f>IF(OR(P111="",P111='DADOS_INVOC'!$EL$3,P111='DADOS_INVOC'!$EM$3,P111='DADOS_INVOC'!$EN$3,P111='DADOS_INVOC'!$EO$3,P111='DADOS_INVOC'!$EP$3,P111='DADOS_INVOC'!$QV$3,P111='DADOS_INVOC'!$QW$3,P111='DADOS_INVOC'!$QX$3,P111='DADOS_INVOC'!$QY$3),O111,"")</f>
        <v/>
      </c>
      <c r="AQ111">
        <f>IF(AND(Q111=1,OR(P111="",P111='DADOS_INVOC'!$EL$3,P111='DADOS_INVOC'!$EM$3,P111='DADOS_INVOC'!$EN$3,P111='DADOS_INVOC'!$EO$3,P111='DADOS_INVOC'!$EP$3,P111='DADOS_INVOC'!$QV$3,P111='DADOS_INVOC'!$QW$3,P111='DADOS_INVOC'!$QX$3,P111='DADOS_INVOC'!$QY$3)),O111,"")</f>
        <v/>
      </c>
      <c r="AR111">
        <f>IF(OR(P111="",P111='DADOS_INVOC'!$EL$4,P111='DADOS_INVOC'!$EM$4,P111='DADOS_INVOC'!$EN$4,P111='DADOS_INVOC'!$EO$4,P111='DADOS_INVOC'!$EP$4,P111='DADOS_INVOC'!$QV$4,P111='DADOS_INVOC'!$QW$4,P111='DADOS_INVOC'!$QX$4,P111='DADOS_INVOC'!$QY$4),O111,"")</f>
        <v/>
      </c>
      <c r="AS111">
        <f>IF(AND(Q111=1,OR(P111="",P111='DADOS_INVOC'!$EL$4,P111='DADOS_INVOC'!$EM$4,P111='DADOS_INVOC'!$EN$4,P111='DADOS_INVOC'!$EO$4,P111='DADOS_INVOC'!$EP$4,P111='DADOS_INVOC'!$QV$4,P111='DADOS_INVOC'!$QW$4,P111='DADOS_INVOC'!$QX$4,P111='DADOS_INVOC'!$QY$4)),O111,"")</f>
        <v/>
      </c>
      <c r="AT111">
        <f>IF(OR(P111="",P111='DADOS_INVOC'!$EL$5,P111='DADOS_INVOC'!$EM$5,P111='DADOS_INVOC'!$EN$5,P111='DADOS_INVOC'!$EO$5,P111='DADOS_INVOC'!$EP$5,P111='DADOS_INVOC'!$QV$5,P111='DADOS_INVOC'!$QW$5,P111='DADOS_INVOC'!$QX$5,P111='DADOS_INVOC'!$QY$5),O111,"")</f>
        <v/>
      </c>
      <c r="AU111">
        <f>IF(AND(Q111=1,OR(P111="",P111='DADOS_INVOC'!$EL$5,P111='DADOS_INVOC'!$EM$5,P111='DADOS_INVOC'!$EN$5,P111='DADOS_INVOC'!$EO$5,P111='DADOS_INVOC'!$EP$5,P111='DADOS_INVOC'!$QV$5,P111='DADOS_INVOC'!$QW$5,P111='DADOS_INVOC'!$QX$5,P111='DADOS_INVOC'!$QY$5)),O111,"")</f>
        <v/>
      </c>
      <c r="AV111">
        <f>IF(OR(P111="",P111='DADOS_INVOC'!$EL$6,P111='DADOS_INVOC'!$EM$6,P111='DADOS_INVOC'!$EN$6,P111='DADOS_INVOC'!$EO$6,P111='DADOS_INVOC'!$EP$6,P111='DADOS_INVOC'!$QV$6,P111='DADOS_INVOC'!$QW$6,P111='DADOS_INVOC'!$QX$6,P111='DADOS_INVOC'!$QY$6),O111,"")</f>
        <v/>
      </c>
      <c r="AW111">
        <f>IF(AND(Q111=1,OR(P111="",P111='DADOS_INVOC'!$EL$6,P111='DADOS_INVOC'!$EM$6,P111='DADOS_INVOC'!$EN$6,P111='DADOS_INVOC'!$EO$6,P111='DADOS_INVOC'!$EP$6,P111='DADOS_INVOC'!$QV$6,P111='DADOS_INVOC'!$QW$6,P111='DADOS_INVOC'!$QX$6,P111='DADOS_INVOC'!$QY$6)),O111,"")</f>
        <v/>
      </c>
      <c r="AX111">
        <f>IF(OR(P111="",P111='DADOS_INVOC'!$EL$7,P111='DADOS_INVOC'!$EM$7,P111='DADOS_INVOC'!$EN$7,P111='DADOS_INVOC'!$EO$7,P111='DADOS_INVOC'!$EP$7,P111='DADOS_INVOC'!$QV$7,P111='DADOS_INVOC'!$QW$7,P111='DADOS_INVOC'!$QX$7,P111='DADOS_INVOC'!$QY$7),O111,"")</f>
        <v/>
      </c>
      <c r="AY111">
        <f>IF(AND(Q111=1,OR(P111="",P111='DADOS_INVOC'!$EL$7,P111='DADOS_INVOC'!$EM$7,P111='DADOS_INVOC'!$EN$7,P111='DADOS_INVOC'!$EO$7,P111='DADOS_INVOC'!$EP$7,P111='DADOS_INVOC'!$QV$7,P111='DADOS_INVOC'!$QW$7,P111='DADOS_INVOC'!$QX$7,P111='DADOS_INVOC'!$QY$7)),O111,"")</f>
        <v/>
      </c>
      <c r="AZ111">
        <f>IF(OR(P111="",P111='DADOS_INVOC'!$EL$8,P111='DADOS_INVOC'!$EM$8,P111='DADOS_INVOC'!$EN$8,P111='DADOS_INVOC'!$EO$8,P111='DADOS_INVOC'!$EP$8,P111='DADOS_INVOC'!$QV$8,P111='DADOS_INVOC'!$QW$8,P111='DADOS_INVOC'!$QX$8,P111='DADOS_INVOC'!$QY$8),O111,"")</f>
        <v/>
      </c>
      <c r="BA111">
        <f>IF(AND(Q111=1,OR(P111="",P111='DADOS_INVOC'!$EL$8,P111='DADOS_INVOC'!$EM$8,P111='DADOS_INVOC'!$EN$8,P111='DADOS_INVOC'!$EO$8,P111='DADOS_INVOC'!$EP$8,P111='DADOS_INVOC'!$QV$8,P111='DADOS_INVOC'!$QW$8,P111='DADOS_INVOC'!$QX$8,P111='DADOS_INVOC'!$QY$8)),O111,"")</f>
        <v/>
      </c>
      <c r="BB111">
        <f>IF(OR(P111="",P111='DADOS_INVOC'!$EL$9,P111='DADOS_INVOC'!$EM$9,P111='DADOS_INVOC'!$EN$9,P111='DADOS_INVOC'!$EO$9,P111='DADOS_INVOC'!$EP$9,P111='DADOS_INVOC'!$QV$9,P111='DADOS_INVOC'!$QW$9,P111='DADOS_INVOC'!$QX$9,P111='DADOS_INVOC'!$QY$9),O111,"")</f>
        <v/>
      </c>
      <c r="BC111">
        <f>IF(AND(Q111=1,OR(P111="",P111='DADOS_INVOC'!$EL$9,P111='DADOS_INVOC'!$EM$9,P111='DADOS_INVOC'!$EN$9,P111='DADOS_INVOC'!$EO$9,P111='DADOS_INVOC'!$EP$9,P111='DADOS_INVOC'!$QV$9,P111='DADOS_INVOC'!$QW$9,P111='DADOS_INVOC'!$QX$9,P111='DADOS_INVOC'!$QY$9)),O111,"")</f>
        <v/>
      </c>
      <c r="BD111">
        <f>IF(OR(P111="",P111='DADOS_INVOC'!$EL$10,P111='DADOS_INVOC'!$EM$10,P111='DADOS_INVOC'!$EN$10,P111='DADOS_INVOC'!$EO$10,P111='DADOS_INVOC'!$EP$10,P111='DADOS_INVOC'!$QV$10,P111='DADOS_INVOC'!$QW$10,P111='DADOS_INVOC'!$QX$10,P111='DADOS_INVOC'!$QY$10),O111,"")</f>
        <v/>
      </c>
      <c r="BE111">
        <f>IF(AND(Q111=1,OR(P111="",P111='DADOS_INVOC'!$EL$10,P111='DADOS_INVOC'!$EM$10,P111='DADOS_INVOC'!$EN$10,P111='DADOS_INVOC'!$EO$10,P111='DADOS_INVOC'!$EP$10,P111='DADOS_INVOC'!$QV$10,P111='DADOS_INVOC'!$QW$10,P111='DADOS_INVOC'!$QX$10,P111='DADOS_INVOC'!$QY$10)),O111,"")</f>
        <v/>
      </c>
      <c r="BF111">
        <f>IF(OR(P111="",P111='DADOS_INVOC'!$EL$11,P111='DADOS_INVOC'!$EM$11,P111='DADOS_INVOC'!$EN$11,P111='DADOS_INVOC'!$EO$11,P111='DADOS_INVOC'!$EP$11,P111='DADOS_INVOC'!$QV$11,P111='DADOS_INVOC'!$QW$11,P111='DADOS_INVOC'!$QX$11,P111='DADOS_INVOC'!$QY$11),O111,"")</f>
        <v/>
      </c>
      <c r="BG111">
        <f>IF(AND(Q111=1,OR(P111="",P111='DADOS_INVOC'!$EL$11,P111='DADOS_INVOC'!$EM$11,P111='DADOS_INVOC'!$EN$11,P111='DADOS_INVOC'!$EO$11,P111='DADOS_INVOC'!$EP$11,P111='DADOS_INVOC'!$QV$11,P111='DADOS_INVOC'!$QW$11,P111='DADOS_INVOC'!$QX$11,P111='DADOS_INVOC'!$QY$11)),O111,"")</f>
        <v/>
      </c>
      <c r="BH111">
        <f>IF(OR(P111="",P111='DADOS_INVOC'!$EL$12,P111='DADOS_INVOC'!$EM$12,P111='DADOS_INVOC'!$EN$12,P111='DADOS_INVOC'!$EO$12,P111='DADOS_INVOC'!$EP$12,P111='DADOS_INVOC'!$QV$12,P111='DADOS_INVOC'!$QW$12,P111='DADOS_INVOC'!$QX$12,P111='DADOS_INVOC'!$QY$12),O111,"")</f>
        <v/>
      </c>
      <c r="BI111">
        <f>IF(AND(Q111=1,OR(P111="",P111='DADOS_INVOC'!$EL$12,P111='DADOS_INVOC'!$EM$12,P111='DADOS_INVOC'!$EN$12,P111='DADOS_INVOC'!$EO$12,P111='DADOS_INVOC'!$EP$12,P111='DADOS_INVOC'!$QV$12,P111='DADOS_INVOC'!$QW$12,P111='DADOS_INVOC'!$QX$12,P111='DADOS_INVOC'!$QY$12)),O111,"")</f>
        <v/>
      </c>
      <c r="BJ111">
        <f>IF(OR(P111="",P111='DADOS_INVOC'!$EL$13,P111='DADOS_INVOC'!$EM$13,P111='DADOS_INVOC'!$EN$13,P111='DADOS_INVOC'!$EO$13,P111='DADOS_INVOC'!$EP$13,P111='DADOS_INVOC'!$QV$13,P111='DADOS_INVOC'!$QW$13,P111='DADOS_INVOC'!$QX$13,P111='DADOS_INVOC'!$QY$13),O111,"")</f>
        <v/>
      </c>
      <c r="BK111">
        <f>IF(AND(Q111=1,OR(P111="",P111='DADOS_INVOC'!$EL$13,P111='DADOS_INVOC'!$EM$13,P111='DADOS_INVOC'!$EN$13,P111='DADOS_INVOC'!$EO$13,P111='DADOS_INVOC'!$EP$13,P111='DADOS_INVOC'!$QV$13,P111='DADOS_INVOC'!$QW$13,P111='DADOS_INVOC'!$QX$13,P111='DADOS_INVOC'!$QY$13)),O111,"")</f>
        <v/>
      </c>
    </row>
    <row r="112">
      <c r="O112">
        <f>IF(AND(D30&lt;&gt;"",M30=""),D30,"")</f>
        <v/>
      </c>
      <c r="P112">
        <f>IF(O112="","",IF(AND(BR30="Condição",F30="",L30=0),"Controle",IF(O112="","",IF(F30&lt;&gt;"",IF(F30="Nenhuma","",F30),IF(L30&gt;0,INDEX($P$2:$P$83,L30),"")))))</f>
        <v/>
      </c>
      <c r="Q112">
        <f>IF(O112="",0,IF(G30&lt;&gt;"",IFERROR(MATCH(G30,'DADOS_MELHORIAS'!$BN$2:$BN$4,0),0),IF(L30&gt;0,INDEX('DADOS_MELHORIAS'!$Q$2:$Q$83,L30),0)))</f>
        <v/>
      </c>
      <c r="R112">
        <f>IF(O112="",0,Q112+3*IFERROR(VLOOKUP(SUBSTITUTE(SUBSTITUTE(SUBSTITUTE(P112,"~","~~"),"*","~*"),"?","~?"),'DADOS_CRIACAO'!$H$2:$K$20,3,FALSE),0))</f>
        <v/>
      </c>
      <c r="S112">
        <f>IF(O112="",0,IFERROR(VLOOKUP(SUBSTITUTE(SUBSTITUTE(SUBSTITUTE(P112,"~","~~"),"*","~*"),"?","~?"),'DADOS_CRIACAO'!$H$2:$K$20,4,FALSE),0))</f>
        <v/>
      </c>
      <c r="T112">
        <f>IF(O112="",0,IF(BR30="Condição",1,IF(O112="",0,IF(OR(P112="Controle",IF(L30&gt;0,INDEX('DADOS_MELHORIAS'!$T$2:$T$83,L30),0)=1),1,0))))</f>
        <v/>
      </c>
      <c r="U112">
        <f>IF(O112="","",IF(S112=1,"",O112))</f>
        <v/>
      </c>
      <c r="V112">
        <f>IF(O112="","",IF(AND(Q112=1,S112=0),O112,""))</f>
        <v/>
      </c>
      <c r="W112">
        <f>IF(O112="",0,IF(BR30="Condição",1,IF(O112="",0,IF(H30="",IF(L30&gt;0,INDEX('DADOS_MELHORIAS'!$W$2:$W$83,L30),0),IF(H30="Sim",1,0)))))</f>
        <v/>
      </c>
      <c r="X112">
        <f>IF(O112="","",IF(L30&gt;0,INDEX($X$2:$X$83,L30),D30))</f>
        <v/>
      </c>
      <c r="Y112">
        <f>IF(O112="",0,IF(L30&gt;0,INDEX('DADOS_MELHORIAS'!$Y$2:$Y$83,L30),0))</f>
        <v/>
      </c>
      <c r="AG112">
        <f>O112</f>
        <v/>
      </c>
      <c r="AH112">
        <f>P112</f>
        <v/>
      </c>
      <c r="AI112">
        <f>Q112</f>
        <v/>
      </c>
      <c r="AJ112">
        <f>T112</f>
        <v/>
      </c>
      <c r="AK112">
        <f>Y112</f>
        <v/>
      </c>
      <c r="AL112">
        <f>W112</f>
        <v/>
      </c>
      <c r="AN112">
        <f>IF(OR(P112="",P112='DADOS_INVOC'!$EL$2,P112='DADOS_INVOC'!$EM$2,P112='DADOS_INVOC'!$EN$2,P112='DADOS_INVOC'!$EO$2,P112='DADOS_INVOC'!$EP$2,P112='DADOS_INVOC'!$QV$2,P112='DADOS_INVOC'!$QW$2,P112='DADOS_INVOC'!$QX$2,P112='DADOS_INVOC'!$QY$2),O112,"")</f>
        <v/>
      </c>
      <c r="AO112">
        <f>IF(AND(Q112=1,OR(P112="",P112='DADOS_INVOC'!$EL$2,P112='DADOS_INVOC'!$EM$2,P112='DADOS_INVOC'!$EN$2,P112='DADOS_INVOC'!$EO$2,P112='DADOS_INVOC'!$EP$2,P112='DADOS_INVOC'!$QV$2,P112='DADOS_INVOC'!$QW$2,P112='DADOS_INVOC'!$QX$2,P112='DADOS_INVOC'!$QY$2)),O112,"")</f>
        <v/>
      </c>
      <c r="AP112">
        <f>IF(OR(P112="",P112='DADOS_INVOC'!$EL$3,P112='DADOS_INVOC'!$EM$3,P112='DADOS_INVOC'!$EN$3,P112='DADOS_INVOC'!$EO$3,P112='DADOS_INVOC'!$EP$3,P112='DADOS_INVOC'!$QV$3,P112='DADOS_INVOC'!$QW$3,P112='DADOS_INVOC'!$QX$3,P112='DADOS_INVOC'!$QY$3),O112,"")</f>
        <v/>
      </c>
      <c r="AQ112">
        <f>IF(AND(Q112=1,OR(P112="",P112='DADOS_INVOC'!$EL$3,P112='DADOS_INVOC'!$EM$3,P112='DADOS_INVOC'!$EN$3,P112='DADOS_INVOC'!$EO$3,P112='DADOS_INVOC'!$EP$3,P112='DADOS_INVOC'!$QV$3,P112='DADOS_INVOC'!$QW$3,P112='DADOS_INVOC'!$QX$3,P112='DADOS_INVOC'!$QY$3)),O112,"")</f>
        <v/>
      </c>
      <c r="AR112">
        <f>IF(OR(P112="",P112='DADOS_INVOC'!$EL$4,P112='DADOS_INVOC'!$EM$4,P112='DADOS_INVOC'!$EN$4,P112='DADOS_INVOC'!$EO$4,P112='DADOS_INVOC'!$EP$4,P112='DADOS_INVOC'!$QV$4,P112='DADOS_INVOC'!$QW$4,P112='DADOS_INVOC'!$QX$4,P112='DADOS_INVOC'!$QY$4),O112,"")</f>
        <v/>
      </c>
      <c r="AS112">
        <f>IF(AND(Q112=1,OR(P112="",P112='DADOS_INVOC'!$EL$4,P112='DADOS_INVOC'!$EM$4,P112='DADOS_INVOC'!$EN$4,P112='DADOS_INVOC'!$EO$4,P112='DADOS_INVOC'!$EP$4,P112='DADOS_INVOC'!$QV$4,P112='DADOS_INVOC'!$QW$4,P112='DADOS_INVOC'!$QX$4,P112='DADOS_INVOC'!$QY$4)),O112,"")</f>
        <v/>
      </c>
      <c r="AT112">
        <f>IF(OR(P112="",P112='DADOS_INVOC'!$EL$5,P112='DADOS_INVOC'!$EM$5,P112='DADOS_INVOC'!$EN$5,P112='DADOS_INVOC'!$EO$5,P112='DADOS_INVOC'!$EP$5,P112='DADOS_INVOC'!$QV$5,P112='DADOS_INVOC'!$QW$5,P112='DADOS_INVOC'!$QX$5,P112='DADOS_INVOC'!$QY$5),O112,"")</f>
        <v/>
      </c>
      <c r="AU112">
        <f>IF(AND(Q112=1,OR(P112="",P112='DADOS_INVOC'!$EL$5,P112='DADOS_INVOC'!$EM$5,P112='DADOS_INVOC'!$EN$5,P112='DADOS_INVOC'!$EO$5,P112='DADOS_INVOC'!$EP$5,P112='DADOS_INVOC'!$QV$5,P112='DADOS_INVOC'!$QW$5,P112='DADOS_INVOC'!$QX$5,P112='DADOS_INVOC'!$QY$5)),O112,"")</f>
        <v/>
      </c>
      <c r="AV112">
        <f>IF(OR(P112="",P112='DADOS_INVOC'!$EL$6,P112='DADOS_INVOC'!$EM$6,P112='DADOS_INVOC'!$EN$6,P112='DADOS_INVOC'!$EO$6,P112='DADOS_INVOC'!$EP$6,P112='DADOS_INVOC'!$QV$6,P112='DADOS_INVOC'!$QW$6,P112='DADOS_INVOC'!$QX$6,P112='DADOS_INVOC'!$QY$6),O112,"")</f>
        <v/>
      </c>
      <c r="AW112">
        <f>IF(AND(Q112=1,OR(P112="",P112='DADOS_INVOC'!$EL$6,P112='DADOS_INVOC'!$EM$6,P112='DADOS_INVOC'!$EN$6,P112='DADOS_INVOC'!$EO$6,P112='DADOS_INVOC'!$EP$6,P112='DADOS_INVOC'!$QV$6,P112='DADOS_INVOC'!$QW$6,P112='DADOS_INVOC'!$QX$6,P112='DADOS_INVOC'!$QY$6)),O112,"")</f>
        <v/>
      </c>
      <c r="AX112">
        <f>IF(OR(P112="",P112='DADOS_INVOC'!$EL$7,P112='DADOS_INVOC'!$EM$7,P112='DADOS_INVOC'!$EN$7,P112='DADOS_INVOC'!$EO$7,P112='DADOS_INVOC'!$EP$7,P112='DADOS_INVOC'!$QV$7,P112='DADOS_INVOC'!$QW$7,P112='DADOS_INVOC'!$QX$7,P112='DADOS_INVOC'!$QY$7),O112,"")</f>
        <v/>
      </c>
      <c r="AY112">
        <f>IF(AND(Q112=1,OR(P112="",P112='DADOS_INVOC'!$EL$7,P112='DADOS_INVOC'!$EM$7,P112='DADOS_INVOC'!$EN$7,P112='DADOS_INVOC'!$EO$7,P112='DADOS_INVOC'!$EP$7,P112='DADOS_INVOC'!$QV$7,P112='DADOS_INVOC'!$QW$7,P112='DADOS_INVOC'!$QX$7,P112='DADOS_INVOC'!$QY$7)),O112,"")</f>
        <v/>
      </c>
      <c r="AZ112">
        <f>IF(OR(P112="",P112='DADOS_INVOC'!$EL$8,P112='DADOS_INVOC'!$EM$8,P112='DADOS_INVOC'!$EN$8,P112='DADOS_INVOC'!$EO$8,P112='DADOS_INVOC'!$EP$8,P112='DADOS_INVOC'!$QV$8,P112='DADOS_INVOC'!$QW$8,P112='DADOS_INVOC'!$QX$8,P112='DADOS_INVOC'!$QY$8),O112,"")</f>
        <v/>
      </c>
      <c r="BA112">
        <f>IF(AND(Q112=1,OR(P112="",P112='DADOS_INVOC'!$EL$8,P112='DADOS_INVOC'!$EM$8,P112='DADOS_INVOC'!$EN$8,P112='DADOS_INVOC'!$EO$8,P112='DADOS_INVOC'!$EP$8,P112='DADOS_INVOC'!$QV$8,P112='DADOS_INVOC'!$QW$8,P112='DADOS_INVOC'!$QX$8,P112='DADOS_INVOC'!$QY$8)),O112,"")</f>
        <v/>
      </c>
      <c r="BB112">
        <f>IF(OR(P112="",P112='DADOS_INVOC'!$EL$9,P112='DADOS_INVOC'!$EM$9,P112='DADOS_INVOC'!$EN$9,P112='DADOS_INVOC'!$EO$9,P112='DADOS_INVOC'!$EP$9,P112='DADOS_INVOC'!$QV$9,P112='DADOS_INVOC'!$QW$9,P112='DADOS_INVOC'!$QX$9,P112='DADOS_INVOC'!$QY$9),O112,"")</f>
        <v/>
      </c>
      <c r="BC112">
        <f>IF(AND(Q112=1,OR(P112="",P112='DADOS_INVOC'!$EL$9,P112='DADOS_INVOC'!$EM$9,P112='DADOS_INVOC'!$EN$9,P112='DADOS_INVOC'!$EO$9,P112='DADOS_INVOC'!$EP$9,P112='DADOS_INVOC'!$QV$9,P112='DADOS_INVOC'!$QW$9,P112='DADOS_INVOC'!$QX$9,P112='DADOS_INVOC'!$QY$9)),O112,"")</f>
        <v/>
      </c>
      <c r="BD112">
        <f>IF(OR(P112="",P112='DADOS_INVOC'!$EL$10,P112='DADOS_INVOC'!$EM$10,P112='DADOS_INVOC'!$EN$10,P112='DADOS_INVOC'!$EO$10,P112='DADOS_INVOC'!$EP$10,P112='DADOS_INVOC'!$QV$10,P112='DADOS_INVOC'!$QW$10,P112='DADOS_INVOC'!$QX$10,P112='DADOS_INVOC'!$QY$10),O112,"")</f>
        <v/>
      </c>
      <c r="BE112">
        <f>IF(AND(Q112=1,OR(P112="",P112='DADOS_INVOC'!$EL$10,P112='DADOS_INVOC'!$EM$10,P112='DADOS_INVOC'!$EN$10,P112='DADOS_INVOC'!$EO$10,P112='DADOS_INVOC'!$EP$10,P112='DADOS_INVOC'!$QV$10,P112='DADOS_INVOC'!$QW$10,P112='DADOS_INVOC'!$QX$10,P112='DADOS_INVOC'!$QY$10)),O112,"")</f>
        <v/>
      </c>
      <c r="BF112">
        <f>IF(OR(P112="",P112='DADOS_INVOC'!$EL$11,P112='DADOS_INVOC'!$EM$11,P112='DADOS_INVOC'!$EN$11,P112='DADOS_INVOC'!$EO$11,P112='DADOS_INVOC'!$EP$11,P112='DADOS_INVOC'!$QV$11,P112='DADOS_INVOC'!$QW$11,P112='DADOS_INVOC'!$QX$11,P112='DADOS_INVOC'!$QY$11),O112,"")</f>
        <v/>
      </c>
      <c r="BG112">
        <f>IF(AND(Q112=1,OR(P112="",P112='DADOS_INVOC'!$EL$11,P112='DADOS_INVOC'!$EM$11,P112='DADOS_INVOC'!$EN$11,P112='DADOS_INVOC'!$EO$11,P112='DADOS_INVOC'!$EP$11,P112='DADOS_INVOC'!$QV$11,P112='DADOS_INVOC'!$QW$11,P112='DADOS_INVOC'!$QX$11,P112='DADOS_INVOC'!$QY$11)),O112,"")</f>
        <v/>
      </c>
      <c r="BH112">
        <f>IF(OR(P112="",P112='DADOS_INVOC'!$EL$12,P112='DADOS_INVOC'!$EM$12,P112='DADOS_INVOC'!$EN$12,P112='DADOS_INVOC'!$EO$12,P112='DADOS_INVOC'!$EP$12,P112='DADOS_INVOC'!$QV$12,P112='DADOS_INVOC'!$QW$12,P112='DADOS_INVOC'!$QX$12,P112='DADOS_INVOC'!$QY$12),O112,"")</f>
        <v/>
      </c>
      <c r="BI112">
        <f>IF(AND(Q112=1,OR(P112="",P112='DADOS_INVOC'!$EL$12,P112='DADOS_INVOC'!$EM$12,P112='DADOS_INVOC'!$EN$12,P112='DADOS_INVOC'!$EO$12,P112='DADOS_INVOC'!$EP$12,P112='DADOS_INVOC'!$QV$12,P112='DADOS_INVOC'!$QW$12,P112='DADOS_INVOC'!$QX$12,P112='DADOS_INVOC'!$QY$12)),O112,"")</f>
        <v/>
      </c>
      <c r="BJ112">
        <f>IF(OR(P112="",P112='DADOS_INVOC'!$EL$13,P112='DADOS_INVOC'!$EM$13,P112='DADOS_INVOC'!$EN$13,P112='DADOS_INVOC'!$EO$13,P112='DADOS_INVOC'!$EP$13,P112='DADOS_INVOC'!$QV$13,P112='DADOS_INVOC'!$QW$13,P112='DADOS_INVOC'!$QX$13,P112='DADOS_INVOC'!$QY$13),O112,"")</f>
        <v/>
      </c>
      <c r="BK112">
        <f>IF(AND(Q112=1,OR(P112="",P112='DADOS_INVOC'!$EL$13,P112='DADOS_INVOC'!$EM$13,P112='DADOS_INVOC'!$EN$13,P112='DADOS_INVOC'!$EO$13,P112='DADOS_INVOC'!$EP$13,P112='DADOS_INVOC'!$QV$13,P112='DADOS_INVOC'!$QW$13,P112='DADOS_INVOC'!$QX$13,P112='DADOS_INVOC'!$QY$13)),O112,"")</f>
        <v/>
      </c>
    </row>
    <row r="113">
      <c r="O113">
        <f>IF(AND(D31&lt;&gt;"",M31=""),D31,"")</f>
        <v/>
      </c>
      <c r="P113">
        <f>IF(O113="","",IF(AND(BR31="Condição",F31="",L31=0),"Controle",IF(O113="","",IF(F31&lt;&gt;"",IF(F31="Nenhuma","",F31),IF(L31&gt;0,INDEX($P$2:$P$83,L31),"")))))</f>
        <v/>
      </c>
      <c r="Q113">
        <f>IF(O113="",0,IF(G31&lt;&gt;"",IFERROR(MATCH(G31,'DADOS_MELHORIAS'!$BN$2:$BN$4,0),0),IF(L31&gt;0,INDEX('DADOS_MELHORIAS'!$Q$2:$Q$83,L31),0)))</f>
        <v/>
      </c>
      <c r="R113">
        <f>IF(O113="",0,Q113+3*IFERROR(VLOOKUP(SUBSTITUTE(SUBSTITUTE(SUBSTITUTE(P113,"~","~~"),"*","~*"),"?","~?"),'DADOS_CRIACAO'!$H$2:$K$20,3,FALSE),0))</f>
        <v/>
      </c>
      <c r="S113">
        <f>IF(O113="",0,IFERROR(VLOOKUP(SUBSTITUTE(SUBSTITUTE(SUBSTITUTE(P113,"~","~~"),"*","~*"),"?","~?"),'DADOS_CRIACAO'!$H$2:$K$20,4,FALSE),0))</f>
        <v/>
      </c>
      <c r="T113">
        <f>IF(O113="",0,IF(BR31="Condição",1,IF(O113="",0,IF(OR(P113="Controle",IF(L31&gt;0,INDEX('DADOS_MELHORIAS'!$T$2:$T$83,L31),0)=1),1,0))))</f>
        <v/>
      </c>
      <c r="U113">
        <f>IF(O113="","",IF(S113=1,"",O113))</f>
        <v/>
      </c>
      <c r="V113">
        <f>IF(O113="","",IF(AND(Q113=1,S113=0),O113,""))</f>
        <v/>
      </c>
      <c r="W113">
        <f>IF(O113="",0,IF(BR31="Condição",1,IF(O113="",0,IF(H31="",IF(L31&gt;0,INDEX('DADOS_MELHORIAS'!$W$2:$W$83,L31),0),IF(H31="Sim",1,0)))))</f>
        <v/>
      </c>
      <c r="X113">
        <f>IF(O113="","",IF(L31&gt;0,INDEX($X$2:$X$83,L31),D31))</f>
        <v/>
      </c>
      <c r="Y113">
        <f>IF(O113="",0,IF(L31&gt;0,INDEX('DADOS_MELHORIAS'!$Y$2:$Y$83,L31),0))</f>
        <v/>
      </c>
      <c r="AG113">
        <f>O113</f>
        <v/>
      </c>
      <c r="AH113">
        <f>P113</f>
        <v/>
      </c>
      <c r="AI113">
        <f>Q113</f>
        <v/>
      </c>
      <c r="AJ113">
        <f>T113</f>
        <v/>
      </c>
      <c r="AK113">
        <f>Y113</f>
        <v/>
      </c>
      <c r="AL113">
        <f>W113</f>
        <v/>
      </c>
      <c r="AN113">
        <f>IF(OR(P113="",P113='DADOS_INVOC'!$EL$2,P113='DADOS_INVOC'!$EM$2,P113='DADOS_INVOC'!$EN$2,P113='DADOS_INVOC'!$EO$2,P113='DADOS_INVOC'!$EP$2,P113='DADOS_INVOC'!$QV$2,P113='DADOS_INVOC'!$QW$2,P113='DADOS_INVOC'!$QX$2,P113='DADOS_INVOC'!$QY$2),O113,"")</f>
        <v/>
      </c>
      <c r="AO113">
        <f>IF(AND(Q113=1,OR(P113="",P113='DADOS_INVOC'!$EL$2,P113='DADOS_INVOC'!$EM$2,P113='DADOS_INVOC'!$EN$2,P113='DADOS_INVOC'!$EO$2,P113='DADOS_INVOC'!$EP$2,P113='DADOS_INVOC'!$QV$2,P113='DADOS_INVOC'!$QW$2,P113='DADOS_INVOC'!$QX$2,P113='DADOS_INVOC'!$QY$2)),O113,"")</f>
        <v/>
      </c>
      <c r="AP113">
        <f>IF(OR(P113="",P113='DADOS_INVOC'!$EL$3,P113='DADOS_INVOC'!$EM$3,P113='DADOS_INVOC'!$EN$3,P113='DADOS_INVOC'!$EO$3,P113='DADOS_INVOC'!$EP$3,P113='DADOS_INVOC'!$QV$3,P113='DADOS_INVOC'!$QW$3,P113='DADOS_INVOC'!$QX$3,P113='DADOS_INVOC'!$QY$3),O113,"")</f>
        <v/>
      </c>
      <c r="AQ113">
        <f>IF(AND(Q113=1,OR(P113="",P113='DADOS_INVOC'!$EL$3,P113='DADOS_INVOC'!$EM$3,P113='DADOS_INVOC'!$EN$3,P113='DADOS_INVOC'!$EO$3,P113='DADOS_INVOC'!$EP$3,P113='DADOS_INVOC'!$QV$3,P113='DADOS_INVOC'!$QW$3,P113='DADOS_INVOC'!$QX$3,P113='DADOS_INVOC'!$QY$3)),O113,"")</f>
        <v/>
      </c>
      <c r="AR113">
        <f>IF(OR(P113="",P113='DADOS_INVOC'!$EL$4,P113='DADOS_INVOC'!$EM$4,P113='DADOS_INVOC'!$EN$4,P113='DADOS_INVOC'!$EO$4,P113='DADOS_INVOC'!$EP$4,P113='DADOS_INVOC'!$QV$4,P113='DADOS_INVOC'!$QW$4,P113='DADOS_INVOC'!$QX$4,P113='DADOS_INVOC'!$QY$4),O113,"")</f>
        <v/>
      </c>
      <c r="AS113">
        <f>IF(AND(Q113=1,OR(P113="",P113='DADOS_INVOC'!$EL$4,P113='DADOS_INVOC'!$EM$4,P113='DADOS_INVOC'!$EN$4,P113='DADOS_INVOC'!$EO$4,P113='DADOS_INVOC'!$EP$4,P113='DADOS_INVOC'!$QV$4,P113='DADOS_INVOC'!$QW$4,P113='DADOS_INVOC'!$QX$4,P113='DADOS_INVOC'!$QY$4)),O113,"")</f>
        <v/>
      </c>
      <c r="AT113">
        <f>IF(OR(P113="",P113='DADOS_INVOC'!$EL$5,P113='DADOS_INVOC'!$EM$5,P113='DADOS_INVOC'!$EN$5,P113='DADOS_INVOC'!$EO$5,P113='DADOS_INVOC'!$EP$5,P113='DADOS_INVOC'!$QV$5,P113='DADOS_INVOC'!$QW$5,P113='DADOS_INVOC'!$QX$5,P113='DADOS_INVOC'!$QY$5),O113,"")</f>
        <v/>
      </c>
      <c r="AU113">
        <f>IF(AND(Q113=1,OR(P113="",P113='DADOS_INVOC'!$EL$5,P113='DADOS_INVOC'!$EM$5,P113='DADOS_INVOC'!$EN$5,P113='DADOS_INVOC'!$EO$5,P113='DADOS_INVOC'!$EP$5,P113='DADOS_INVOC'!$QV$5,P113='DADOS_INVOC'!$QW$5,P113='DADOS_INVOC'!$QX$5,P113='DADOS_INVOC'!$QY$5)),O113,"")</f>
        <v/>
      </c>
      <c r="AV113">
        <f>IF(OR(P113="",P113='DADOS_INVOC'!$EL$6,P113='DADOS_INVOC'!$EM$6,P113='DADOS_INVOC'!$EN$6,P113='DADOS_INVOC'!$EO$6,P113='DADOS_INVOC'!$EP$6,P113='DADOS_INVOC'!$QV$6,P113='DADOS_INVOC'!$QW$6,P113='DADOS_INVOC'!$QX$6,P113='DADOS_INVOC'!$QY$6),O113,"")</f>
        <v/>
      </c>
      <c r="AW113">
        <f>IF(AND(Q113=1,OR(P113="",P113='DADOS_INVOC'!$EL$6,P113='DADOS_INVOC'!$EM$6,P113='DADOS_INVOC'!$EN$6,P113='DADOS_INVOC'!$EO$6,P113='DADOS_INVOC'!$EP$6,P113='DADOS_INVOC'!$QV$6,P113='DADOS_INVOC'!$QW$6,P113='DADOS_INVOC'!$QX$6,P113='DADOS_INVOC'!$QY$6)),O113,"")</f>
        <v/>
      </c>
      <c r="AX113">
        <f>IF(OR(P113="",P113='DADOS_INVOC'!$EL$7,P113='DADOS_INVOC'!$EM$7,P113='DADOS_INVOC'!$EN$7,P113='DADOS_INVOC'!$EO$7,P113='DADOS_INVOC'!$EP$7,P113='DADOS_INVOC'!$QV$7,P113='DADOS_INVOC'!$QW$7,P113='DADOS_INVOC'!$QX$7,P113='DADOS_INVOC'!$QY$7),O113,"")</f>
        <v/>
      </c>
      <c r="AY113">
        <f>IF(AND(Q113=1,OR(P113="",P113='DADOS_INVOC'!$EL$7,P113='DADOS_INVOC'!$EM$7,P113='DADOS_INVOC'!$EN$7,P113='DADOS_INVOC'!$EO$7,P113='DADOS_INVOC'!$EP$7,P113='DADOS_INVOC'!$QV$7,P113='DADOS_INVOC'!$QW$7,P113='DADOS_INVOC'!$QX$7,P113='DADOS_INVOC'!$QY$7)),O113,"")</f>
        <v/>
      </c>
      <c r="AZ113">
        <f>IF(OR(P113="",P113='DADOS_INVOC'!$EL$8,P113='DADOS_INVOC'!$EM$8,P113='DADOS_INVOC'!$EN$8,P113='DADOS_INVOC'!$EO$8,P113='DADOS_INVOC'!$EP$8,P113='DADOS_INVOC'!$QV$8,P113='DADOS_INVOC'!$QW$8,P113='DADOS_INVOC'!$QX$8,P113='DADOS_INVOC'!$QY$8),O113,"")</f>
        <v/>
      </c>
      <c r="BA113">
        <f>IF(AND(Q113=1,OR(P113="",P113='DADOS_INVOC'!$EL$8,P113='DADOS_INVOC'!$EM$8,P113='DADOS_INVOC'!$EN$8,P113='DADOS_INVOC'!$EO$8,P113='DADOS_INVOC'!$EP$8,P113='DADOS_INVOC'!$QV$8,P113='DADOS_INVOC'!$QW$8,P113='DADOS_INVOC'!$QX$8,P113='DADOS_INVOC'!$QY$8)),O113,"")</f>
        <v/>
      </c>
      <c r="BB113">
        <f>IF(OR(P113="",P113='DADOS_INVOC'!$EL$9,P113='DADOS_INVOC'!$EM$9,P113='DADOS_INVOC'!$EN$9,P113='DADOS_INVOC'!$EO$9,P113='DADOS_INVOC'!$EP$9,P113='DADOS_INVOC'!$QV$9,P113='DADOS_INVOC'!$QW$9,P113='DADOS_INVOC'!$QX$9,P113='DADOS_INVOC'!$QY$9),O113,"")</f>
        <v/>
      </c>
      <c r="BC113">
        <f>IF(AND(Q113=1,OR(P113="",P113='DADOS_INVOC'!$EL$9,P113='DADOS_INVOC'!$EM$9,P113='DADOS_INVOC'!$EN$9,P113='DADOS_INVOC'!$EO$9,P113='DADOS_INVOC'!$EP$9,P113='DADOS_INVOC'!$QV$9,P113='DADOS_INVOC'!$QW$9,P113='DADOS_INVOC'!$QX$9,P113='DADOS_INVOC'!$QY$9)),O113,"")</f>
        <v/>
      </c>
      <c r="BD113">
        <f>IF(OR(P113="",P113='DADOS_INVOC'!$EL$10,P113='DADOS_INVOC'!$EM$10,P113='DADOS_INVOC'!$EN$10,P113='DADOS_INVOC'!$EO$10,P113='DADOS_INVOC'!$EP$10,P113='DADOS_INVOC'!$QV$10,P113='DADOS_INVOC'!$QW$10,P113='DADOS_INVOC'!$QX$10,P113='DADOS_INVOC'!$QY$10),O113,"")</f>
        <v/>
      </c>
      <c r="BE113">
        <f>IF(AND(Q113=1,OR(P113="",P113='DADOS_INVOC'!$EL$10,P113='DADOS_INVOC'!$EM$10,P113='DADOS_INVOC'!$EN$10,P113='DADOS_INVOC'!$EO$10,P113='DADOS_INVOC'!$EP$10,P113='DADOS_INVOC'!$QV$10,P113='DADOS_INVOC'!$QW$10,P113='DADOS_INVOC'!$QX$10,P113='DADOS_INVOC'!$QY$10)),O113,"")</f>
        <v/>
      </c>
      <c r="BF113">
        <f>IF(OR(P113="",P113='DADOS_INVOC'!$EL$11,P113='DADOS_INVOC'!$EM$11,P113='DADOS_INVOC'!$EN$11,P113='DADOS_INVOC'!$EO$11,P113='DADOS_INVOC'!$EP$11,P113='DADOS_INVOC'!$QV$11,P113='DADOS_INVOC'!$QW$11,P113='DADOS_INVOC'!$QX$11,P113='DADOS_INVOC'!$QY$11),O113,"")</f>
        <v/>
      </c>
      <c r="BG113">
        <f>IF(AND(Q113=1,OR(P113="",P113='DADOS_INVOC'!$EL$11,P113='DADOS_INVOC'!$EM$11,P113='DADOS_INVOC'!$EN$11,P113='DADOS_INVOC'!$EO$11,P113='DADOS_INVOC'!$EP$11,P113='DADOS_INVOC'!$QV$11,P113='DADOS_INVOC'!$QW$11,P113='DADOS_INVOC'!$QX$11,P113='DADOS_INVOC'!$QY$11)),O113,"")</f>
        <v/>
      </c>
      <c r="BH113">
        <f>IF(OR(P113="",P113='DADOS_INVOC'!$EL$12,P113='DADOS_INVOC'!$EM$12,P113='DADOS_INVOC'!$EN$12,P113='DADOS_INVOC'!$EO$12,P113='DADOS_INVOC'!$EP$12,P113='DADOS_INVOC'!$QV$12,P113='DADOS_INVOC'!$QW$12,P113='DADOS_INVOC'!$QX$12,P113='DADOS_INVOC'!$QY$12),O113,"")</f>
        <v/>
      </c>
      <c r="BI113">
        <f>IF(AND(Q113=1,OR(P113="",P113='DADOS_INVOC'!$EL$12,P113='DADOS_INVOC'!$EM$12,P113='DADOS_INVOC'!$EN$12,P113='DADOS_INVOC'!$EO$12,P113='DADOS_INVOC'!$EP$12,P113='DADOS_INVOC'!$QV$12,P113='DADOS_INVOC'!$QW$12,P113='DADOS_INVOC'!$QX$12,P113='DADOS_INVOC'!$QY$12)),O113,"")</f>
        <v/>
      </c>
      <c r="BJ113">
        <f>IF(OR(P113="",P113='DADOS_INVOC'!$EL$13,P113='DADOS_INVOC'!$EM$13,P113='DADOS_INVOC'!$EN$13,P113='DADOS_INVOC'!$EO$13,P113='DADOS_INVOC'!$EP$13,P113='DADOS_INVOC'!$QV$13,P113='DADOS_INVOC'!$QW$13,P113='DADOS_INVOC'!$QX$13,P113='DADOS_INVOC'!$QY$13),O113,"")</f>
        <v/>
      </c>
      <c r="BK113">
        <f>IF(AND(Q113=1,OR(P113="",P113='DADOS_INVOC'!$EL$13,P113='DADOS_INVOC'!$EM$13,P113='DADOS_INVOC'!$EN$13,P113='DADOS_INVOC'!$EO$13,P113='DADOS_INVOC'!$EP$13,P113='DADOS_INVOC'!$QV$13,P113='DADOS_INVOC'!$QW$13,P113='DADOS_INVOC'!$QX$13,P113='DADOS_INVOC'!$QY$13)),O113,"")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showGridLines="0" workbookViewId="0">
      <selection activeCell="A1" sqref="A1"/>
    </sheetView>
  </sheetViews>
  <sheetFormatPr baseColWidth="8" defaultRowHeight="15.75" customHeight="1"/>
  <sheetData>
    <row r="1">
      <c r="A1" t="inlineStr">
        <is>
          <t>linha CONFIGURAÇÃO</t>
        </is>
      </c>
      <c r="B1" t="inlineStr">
        <is>
          <t>lado CONFIGURAÇÃO</t>
        </is>
      </c>
      <c r="C1" t="inlineStr">
        <is>
          <t>registro</t>
        </is>
      </c>
      <c r="D1" t="inlineStr">
        <is>
          <t>nome</t>
        </is>
      </c>
      <c r="E1" t="inlineStr">
        <is>
          <t>base</t>
        </is>
      </c>
      <c r="F1" t="inlineStr">
        <is>
          <t>devolução</t>
        </is>
      </c>
      <c r="G1" t="inlineStr">
        <is>
          <t>frequência</t>
        </is>
      </c>
      <c r="H1" t="inlineStr">
        <is>
          <t>efeito</t>
        </is>
      </c>
      <c r="I1" t="inlineStr">
        <is>
          <t>mestre viu</t>
        </is>
      </c>
      <c r="J1" t="inlineStr">
        <is>
          <t>linha da base</t>
        </is>
      </c>
      <c r="K1" t="inlineStr">
        <is>
          <t>problema</t>
        </is>
      </c>
    </row>
    <row r="2">
      <c r="A2" t="n">
        <v>1404</v>
      </c>
      <c r="B2" t="n">
        <v>0</v>
      </c>
      <c r="C2" t="n">
        <v>1</v>
      </c>
      <c r="D2">
        <f>IF(ISBLANK('CONFIGURAÇÃO'!$DR$15),"",'CONFIGURAÇÃO'!$DR$15)</f>
        <v/>
      </c>
      <c r="E2">
        <f>IF(ISBLANK('CONFIGURAÇÃO'!$DU$16),"",'CONFIGURAÇÃO'!$DU$16)</f>
        <v/>
      </c>
      <c r="F2">
        <f>IF(ISBLANK('CONFIGURAÇÃO'!$DU$17),"",'CONFIGURAÇÃO'!$DU$17)</f>
        <v/>
      </c>
      <c r="G2">
        <f>IF(ISBLANK('CONFIGURAÇÃO'!$DU$18),"",'CONFIGURAÇÃO'!$DU$18)</f>
        <v/>
      </c>
      <c r="H2">
        <f>IF(ISBLANK('CONFIGURAÇÃO'!$DR$21),"",'CONFIGURAÇÃO'!$DR$21)</f>
        <v/>
      </c>
      <c r="I2">
        <f>IF(ISBLANK('CONFIGURAÇÃO'!$DV$13),"",'CONFIGURAÇÃO'!$DV$13)</f>
        <v/>
      </c>
      <c r="J2">
        <f>IF(OR(E2="",E2="Nenhuma"),0,IFERROR(MATCH(SUBSTITUTE(SUBSTITUTE(SUBSTITUTE(E2,"~","~~"),"*","~*"),"?","~?"),'DADOS_RESTRICOES'!$M$2:$M$24,0),-1))</f>
        <v/>
      </c>
      <c r="K2">
        <f>IF(D2="",IF(OR(F2&lt;&gt;"",G2&lt;&gt;"",H2&lt;&gt;"",I2=TRUE,AND(E2&lt;&gt;"",E2&lt;&gt;"Nenhuma")),"Preencha NOME",""),TEXTJOIN(" · ",TRUE,IF(OR(NOT(ISTEXT(D2)),TRIM(D2)&lt;&gt;D2),"NOME precisa ser texto sem espaços nas pontas",""),IF(COUNTIF($D$2:$D$31,SUBSTITUTE(SUBSTITUTE(SUBSTITUTE(D2,"~","~~"),"*","~*"),"?","~?"))+COUNTIF('DADOS_RESTRICOES'!$M$2:$M$24,SUBSTITUTE(SUBSTITUTE(SUBSTITUTE(D2,"~","~~"),"*","~*"),"?","~?"))&gt;1,"Nome repetido no livro ou custom",""),IF(J2&lt;0,"Escolha uma BASE DO LIVRO válida",""),IF(ISLOGICAL(I2),"","MESTRE VIU deve ser caixa de seleção"),IF(AND(F2="",J2&lt;=0),"Escolha DEVOLUÇÃO",""),IF(AND(F2&lt;&gt;"",COUNTIF('DADOS_RESTRICOES'!$T$2:$T$3,SUBSTITUTE(SUBSTITUTE(SUBSTITUTE(F2,"~","~~"),"*","~*"),"?","~?"))&lt;&gt;1),"Peso ou devolução inválido",""),IF(AND(G2&lt;&gt;"",G2&lt;&gt;"Sim",G2&lt;&gt;"Não"),"Escolha Sim ou Não","")))</f>
        <v/>
      </c>
      <c r="M2">
        <f>IF(ISBLANK(DADOS_AM!$BM$2),"",DADOS_AM!$BM$2)</f>
        <v/>
      </c>
      <c r="N2">
        <f>IF(ISBLANK(DADOS_AM!$BN$2),"",DADOS_AM!$BN$2)</f>
        <v/>
      </c>
      <c r="O2">
        <f>IF(ISBLANK(DADOS_AM!$BO$2),"",DADOS_AM!$BO$2)</f>
        <v/>
      </c>
      <c r="P2">
        <f>IF(ISBLANK(DADOS_AM!$BP$2),"",DADOS_AM!$BP$2)</f>
        <v/>
      </c>
      <c r="Q2">
        <f>IF(ISBLANK(DADOS_AM!$BQ$2),"",DADOS_AM!$BQ$2)</f>
        <v/>
      </c>
      <c r="T2" t="inlineStr">
        <is>
          <t>Leve</t>
        </is>
      </c>
      <c r="U2" t="inlineStr">
        <is>
          <t>Sim</t>
        </is>
      </c>
      <c r="V2" t="inlineStr">
        <is>
          <t>Nenhuma</t>
        </is>
      </c>
    </row>
    <row r="3">
      <c r="A3" t="n">
        <v>1404</v>
      </c>
      <c r="B3" t="n">
        <v>8</v>
      </c>
      <c r="C3" t="n">
        <v>2</v>
      </c>
      <c r="D3">
        <f>IF(ISBLANK('CONFIGURAÇÃO'!$DZ$15),"",'CONFIGURAÇÃO'!$DZ$15)</f>
        <v/>
      </c>
      <c r="E3">
        <f>IF(ISBLANK('CONFIGURAÇÃO'!$EC$16),"",'CONFIGURAÇÃO'!$EC$16)</f>
        <v/>
      </c>
      <c r="F3">
        <f>IF(ISBLANK('CONFIGURAÇÃO'!$EC$17),"",'CONFIGURAÇÃO'!$EC$17)</f>
        <v/>
      </c>
      <c r="G3">
        <f>IF(ISBLANK('CONFIGURAÇÃO'!$EC$18),"",'CONFIGURAÇÃO'!$EC$18)</f>
        <v/>
      </c>
      <c r="H3">
        <f>IF(ISBLANK('CONFIGURAÇÃO'!$DZ$21),"",'CONFIGURAÇÃO'!$DZ$21)</f>
        <v/>
      </c>
      <c r="I3">
        <f>IF(ISBLANK('CONFIGURAÇÃO'!$ED$13),"",'CONFIGURAÇÃO'!$ED$13)</f>
        <v/>
      </c>
      <c r="J3">
        <f>IF(OR(E3="",E3="Nenhuma"),0,IFERROR(MATCH(SUBSTITUTE(SUBSTITUTE(SUBSTITUTE(E3,"~","~~"),"*","~*"),"?","~?"),'DADOS_RESTRICOES'!$M$2:$M$24,0),-1))</f>
        <v/>
      </c>
      <c r="K3">
        <f>IF(D3="",IF(OR(F3&lt;&gt;"",G3&lt;&gt;"",H3&lt;&gt;"",I3=TRUE,AND(E3&lt;&gt;"",E3&lt;&gt;"Nenhuma")),"Preencha NOME",""),TEXTJOIN(" · ",TRUE,IF(OR(NOT(ISTEXT(D3)),TRIM(D3)&lt;&gt;D3),"NOME precisa ser texto sem espaços nas pontas",""),IF(COUNTIF($D$2:$D$31,SUBSTITUTE(SUBSTITUTE(SUBSTITUTE(D3,"~","~~"),"*","~*"),"?","~?"))+COUNTIF('DADOS_RESTRICOES'!$M$2:$M$24,SUBSTITUTE(SUBSTITUTE(SUBSTITUTE(D3,"~","~~"),"*","~*"),"?","~?"))&gt;1,"Nome repetido no livro ou custom",""),IF(J3&lt;0,"Escolha uma BASE DO LIVRO válida",""),IF(ISLOGICAL(I3),"","MESTRE VIU deve ser caixa de seleção"),IF(AND(F3="",J3&lt;=0),"Escolha DEVOLUÇÃO",""),IF(AND(F3&lt;&gt;"",COUNTIF('DADOS_RESTRICOES'!$T$2:$T$3,SUBSTITUTE(SUBSTITUTE(SUBSTITUTE(F3,"~","~~"),"*","~*"),"?","~?"))&lt;&gt;1),"Peso ou devolução inválido",""),IF(AND(G3&lt;&gt;"",G3&lt;&gt;"Sim",G3&lt;&gt;"Não"),"Escolha Sim ou Não","")))</f>
        <v/>
      </c>
      <c r="M3">
        <f>IF(ISBLANK(DADOS_AM!$BM$3),"",DADOS_AM!$BM$3)</f>
        <v/>
      </c>
      <c r="N3">
        <f>IF(ISBLANK(DADOS_AM!$BN$3),"",DADOS_AM!$BN$3)</f>
        <v/>
      </c>
      <c r="O3">
        <f>IF(ISBLANK(DADOS_AM!$BO$3),"",DADOS_AM!$BO$3)</f>
        <v/>
      </c>
      <c r="P3">
        <f>IF(ISBLANK(DADOS_AM!$BP$3),"",DADOS_AM!$BP$3)</f>
        <v/>
      </c>
      <c r="Q3">
        <f>IF(ISBLANK(DADOS_AM!$BQ$3),"",DADOS_AM!$BQ$3)</f>
        <v/>
      </c>
      <c r="T3" t="inlineStr">
        <is>
          <t>Média</t>
        </is>
      </c>
      <c r="U3" t="inlineStr">
        <is>
          <t>Não</t>
        </is>
      </c>
      <c r="V3" t="inlineStr">
        <is>
          <t>Corpo a Corpo</t>
        </is>
      </c>
    </row>
    <row r="4">
      <c r="A4" t="n">
        <v>1426</v>
      </c>
      <c r="B4" t="n">
        <v>0</v>
      </c>
      <c r="C4" t="n">
        <v>3</v>
      </c>
      <c r="D4">
        <f>IF(ISBLANK('CONFIGURAÇÃO'!$DR$37),"",'CONFIGURAÇÃO'!$DR$37)</f>
        <v/>
      </c>
      <c r="E4">
        <f>IF(ISBLANK('CONFIGURAÇÃO'!$DU$38),"",'CONFIGURAÇÃO'!$DU$38)</f>
        <v/>
      </c>
      <c r="F4">
        <f>IF(ISBLANK('CONFIGURAÇÃO'!$DU$39),"",'CONFIGURAÇÃO'!$DU$39)</f>
        <v/>
      </c>
      <c r="G4">
        <f>IF(ISBLANK('CONFIGURAÇÃO'!$DU$40),"",'CONFIGURAÇÃO'!$DU$40)</f>
        <v/>
      </c>
      <c r="H4">
        <f>IF(ISBLANK('CONFIGURAÇÃO'!$DR$43),"",'CONFIGURAÇÃO'!$DR$43)</f>
        <v/>
      </c>
      <c r="I4">
        <f>IF(ISBLANK('CONFIGURAÇÃO'!$DV$35),"",'CONFIGURAÇÃO'!$DV$35)</f>
        <v/>
      </c>
      <c r="J4">
        <f>IF(OR(E4="",E4="Nenhuma"),0,IFERROR(MATCH(SUBSTITUTE(SUBSTITUTE(SUBSTITUTE(E4,"~","~~"),"*","~*"),"?","~?"),'DADOS_RESTRICOES'!$M$2:$M$24,0),-1))</f>
        <v/>
      </c>
      <c r="K4">
        <f>IF(D4="",IF(OR(F4&lt;&gt;"",G4&lt;&gt;"",H4&lt;&gt;"",I4=TRUE,AND(E4&lt;&gt;"",E4&lt;&gt;"Nenhuma")),"Preencha NOME",""),TEXTJOIN(" · ",TRUE,IF(OR(NOT(ISTEXT(D4)),TRIM(D4)&lt;&gt;D4),"NOME precisa ser texto sem espaços nas pontas",""),IF(COUNTIF($D$2:$D$31,SUBSTITUTE(SUBSTITUTE(SUBSTITUTE(D4,"~","~~"),"*","~*"),"?","~?"))+COUNTIF('DADOS_RESTRICOES'!$M$2:$M$24,SUBSTITUTE(SUBSTITUTE(SUBSTITUTE(D4,"~","~~"),"*","~*"),"?","~?"))&gt;1,"Nome repetido no livro ou custom",""),IF(J4&lt;0,"Escolha uma BASE DO LIVRO válida",""),IF(ISLOGICAL(I4),"","MESTRE VIU deve ser caixa de seleção"),IF(AND(F4="",J4&lt;=0),"Escolha DEVOLUÇÃO",""),IF(AND(F4&lt;&gt;"",COUNTIF('DADOS_RESTRICOES'!$T$2:$T$3,SUBSTITUTE(SUBSTITUTE(SUBSTITUTE(F4,"~","~~"),"*","~*"),"?","~?"))&lt;&gt;1),"Peso ou devolução inválido",""),IF(AND(G4&lt;&gt;"",G4&lt;&gt;"Sim",G4&lt;&gt;"Não"),"Escolha Sim ou Não","")))</f>
        <v/>
      </c>
      <c r="M4">
        <f>IF(ISBLANK(DADOS_AM!$BM$4),"",DADOS_AM!$BM$4)</f>
        <v/>
      </c>
      <c r="N4">
        <f>IF(ISBLANK(DADOS_AM!$BN$4),"",DADOS_AM!$BN$4)</f>
        <v/>
      </c>
      <c r="O4">
        <f>IF(ISBLANK(DADOS_AM!$BO$4),"",DADOS_AM!$BO$4)</f>
        <v/>
      </c>
      <c r="P4">
        <f>IF(ISBLANK(DADOS_AM!$BP$4),"",DADOS_AM!$BP$4)</f>
        <v/>
      </c>
      <c r="Q4">
        <f>IF(ISBLANK(DADOS_AM!$BQ$4),"",DADOS_AM!$BQ$4)</f>
        <v/>
      </c>
      <c r="V4" t="inlineStr">
        <is>
          <t>Atrasar</t>
        </is>
      </c>
    </row>
    <row r="5">
      <c r="A5" t="n">
        <v>1426</v>
      </c>
      <c r="B5" t="n">
        <v>8</v>
      </c>
      <c r="C5" t="n">
        <v>4</v>
      </c>
      <c r="D5">
        <f>IF(ISBLANK('CONFIGURAÇÃO'!$DZ$37),"",'CONFIGURAÇÃO'!$DZ$37)</f>
        <v/>
      </c>
      <c r="E5">
        <f>IF(ISBLANK('CONFIGURAÇÃO'!$EC$38),"",'CONFIGURAÇÃO'!$EC$38)</f>
        <v/>
      </c>
      <c r="F5">
        <f>IF(ISBLANK('CONFIGURAÇÃO'!$EC$39),"",'CONFIGURAÇÃO'!$EC$39)</f>
        <v/>
      </c>
      <c r="G5">
        <f>IF(ISBLANK('CONFIGURAÇÃO'!$EC$40),"",'CONFIGURAÇÃO'!$EC$40)</f>
        <v/>
      </c>
      <c r="H5">
        <f>IF(ISBLANK('CONFIGURAÇÃO'!$DZ$43),"",'CONFIGURAÇÃO'!$DZ$43)</f>
        <v/>
      </c>
      <c r="I5">
        <f>IF(ISBLANK('CONFIGURAÇÃO'!$ED$35),"",'CONFIGURAÇÃO'!$ED$35)</f>
        <v/>
      </c>
      <c r="J5">
        <f>IF(OR(E5="",E5="Nenhuma"),0,IFERROR(MATCH(SUBSTITUTE(SUBSTITUTE(SUBSTITUTE(E5,"~","~~"),"*","~*"),"?","~?"),'DADOS_RESTRICOES'!$M$2:$M$24,0),-1))</f>
        <v/>
      </c>
      <c r="K5">
        <f>IF(D5="",IF(OR(F5&lt;&gt;"",G5&lt;&gt;"",H5&lt;&gt;"",I5=TRUE,AND(E5&lt;&gt;"",E5&lt;&gt;"Nenhuma")),"Preencha NOME",""),TEXTJOIN(" · ",TRUE,IF(OR(NOT(ISTEXT(D5)),TRIM(D5)&lt;&gt;D5),"NOME precisa ser texto sem espaços nas pontas",""),IF(COUNTIF($D$2:$D$31,SUBSTITUTE(SUBSTITUTE(SUBSTITUTE(D5,"~","~~"),"*","~*"),"?","~?"))+COUNTIF('DADOS_RESTRICOES'!$M$2:$M$24,SUBSTITUTE(SUBSTITUTE(SUBSTITUTE(D5,"~","~~"),"*","~*"),"?","~?"))&gt;1,"Nome repetido no livro ou custom",""),IF(J5&lt;0,"Escolha uma BASE DO LIVRO válida",""),IF(ISLOGICAL(I5),"","MESTRE VIU deve ser caixa de seleção"),IF(AND(F5="",J5&lt;=0),"Escolha DEVOLUÇÃO",""),IF(AND(F5&lt;&gt;"",COUNTIF('DADOS_RESTRICOES'!$T$2:$T$3,SUBSTITUTE(SUBSTITUTE(SUBSTITUTE(F5,"~","~~"),"*","~*"),"?","~?"))&lt;&gt;1),"Peso ou devolução inválido",""),IF(AND(G5&lt;&gt;"",G5&lt;&gt;"Sim",G5&lt;&gt;"Não"),"Escolha Sim ou Não","")))</f>
        <v/>
      </c>
      <c r="M5">
        <f>IF(ISBLANK(DADOS_AM!$BM$5),"",DADOS_AM!$BM$5)</f>
        <v/>
      </c>
      <c r="N5">
        <f>IF(ISBLANK(DADOS_AM!$BN$5),"",DADOS_AM!$BN$5)</f>
        <v/>
      </c>
      <c r="O5">
        <f>IF(ISBLANK(DADOS_AM!$BO$5),"",DADOS_AM!$BO$5)</f>
        <v/>
      </c>
      <c r="P5">
        <f>IF(ISBLANK(DADOS_AM!$BP$5),"",DADOS_AM!$BP$5)</f>
        <v/>
      </c>
      <c r="Q5">
        <f>IF(ISBLANK(DADOS_AM!$BQ$5),"",DADOS_AM!$BQ$5)</f>
        <v/>
      </c>
      <c r="V5" t="inlineStr">
        <is>
          <t>Parado</t>
        </is>
      </c>
    </row>
    <row r="6">
      <c r="A6" t="n">
        <v>1448</v>
      </c>
      <c r="B6" t="n">
        <v>0</v>
      </c>
      <c r="C6" t="n">
        <v>5</v>
      </c>
      <c r="D6">
        <f>IF(ISBLANK('CONFIGURAÇÃO'!$DR$59),"",'CONFIGURAÇÃO'!$DR$59)</f>
        <v/>
      </c>
      <c r="E6">
        <f>IF(ISBLANK('CONFIGURAÇÃO'!$DU$60),"",'CONFIGURAÇÃO'!$DU$60)</f>
        <v/>
      </c>
      <c r="F6">
        <f>IF(ISBLANK('CONFIGURAÇÃO'!$DU$61),"",'CONFIGURAÇÃO'!$DU$61)</f>
        <v/>
      </c>
      <c r="G6">
        <f>IF(ISBLANK('CONFIGURAÇÃO'!$DU$62),"",'CONFIGURAÇÃO'!$DU$62)</f>
        <v/>
      </c>
      <c r="H6">
        <f>IF(ISBLANK('CONFIGURAÇÃO'!$DR$65),"",'CONFIGURAÇÃO'!$DR$65)</f>
        <v/>
      </c>
      <c r="I6">
        <f>IF(ISBLANK('CONFIGURAÇÃO'!$DV$57),"",'CONFIGURAÇÃO'!$DV$57)</f>
        <v/>
      </c>
      <c r="J6">
        <f>IF(OR(E6="",E6="Nenhuma"),0,IFERROR(MATCH(SUBSTITUTE(SUBSTITUTE(SUBSTITUTE(E6,"~","~~"),"*","~*"),"?","~?"),'DADOS_RESTRICOES'!$M$2:$M$24,0),-1))</f>
        <v/>
      </c>
      <c r="K6">
        <f>IF(D6="",IF(OR(F6&lt;&gt;"",G6&lt;&gt;"",H6&lt;&gt;"",I6=TRUE,AND(E6&lt;&gt;"",E6&lt;&gt;"Nenhuma")),"Preencha NOME",""),TEXTJOIN(" · ",TRUE,IF(OR(NOT(ISTEXT(D6)),TRIM(D6)&lt;&gt;D6),"NOME precisa ser texto sem espaços nas pontas",""),IF(COUNTIF($D$2:$D$31,SUBSTITUTE(SUBSTITUTE(SUBSTITUTE(D6,"~","~~"),"*","~*"),"?","~?"))+COUNTIF('DADOS_RESTRICOES'!$M$2:$M$24,SUBSTITUTE(SUBSTITUTE(SUBSTITUTE(D6,"~","~~"),"*","~*"),"?","~?"))&gt;1,"Nome repetido no livro ou custom",""),IF(J6&lt;0,"Escolha uma BASE DO LIVRO válida",""),IF(ISLOGICAL(I6),"","MESTRE VIU deve ser caixa de seleção"),IF(AND(F6="",J6&lt;=0),"Escolha DEVOLUÇÃO",""),IF(AND(F6&lt;&gt;"",COUNTIF('DADOS_RESTRICOES'!$T$2:$T$3,SUBSTITUTE(SUBSTITUTE(SUBSTITUTE(F6,"~","~~"),"*","~*"),"?","~?"))&lt;&gt;1),"Peso ou devolução inválido",""),IF(AND(G6&lt;&gt;"",G6&lt;&gt;"Sim",G6&lt;&gt;"Não"),"Escolha Sim ou Não","")))</f>
        <v/>
      </c>
      <c r="M6">
        <f>IF(ISBLANK(DADOS_AM!$BM$6),"",DADOS_AM!$BM$6)</f>
        <v/>
      </c>
      <c r="N6">
        <f>IF(ISBLANK(DADOS_AM!$BN$6),"",DADOS_AM!$BN$6)</f>
        <v/>
      </c>
      <c r="O6">
        <f>IF(ISBLANK(DADOS_AM!$BO$6),"",DADOS_AM!$BO$6)</f>
        <v/>
      </c>
      <c r="P6">
        <f>IF(ISBLANK(DADOS_AM!$BP$6),"",DADOS_AM!$BP$6)</f>
        <v/>
      </c>
      <c r="Q6">
        <f>IF(ISBLANK(DADOS_AM!$BQ$6),"",DADOS_AM!$BQ$6)</f>
        <v/>
      </c>
      <c r="V6" t="inlineStr">
        <is>
          <t>Gesto</t>
        </is>
      </c>
    </row>
    <row r="7">
      <c r="A7" t="n">
        <v>1448</v>
      </c>
      <c r="B7" t="n">
        <v>8</v>
      </c>
      <c r="C7" t="n">
        <v>6</v>
      </c>
      <c r="D7">
        <f>IF(ISBLANK('CONFIGURAÇÃO'!$DZ$59),"",'CONFIGURAÇÃO'!$DZ$59)</f>
        <v/>
      </c>
      <c r="E7">
        <f>IF(ISBLANK('CONFIGURAÇÃO'!$EC$60),"",'CONFIGURAÇÃO'!$EC$60)</f>
        <v/>
      </c>
      <c r="F7">
        <f>IF(ISBLANK('CONFIGURAÇÃO'!$EC$61),"",'CONFIGURAÇÃO'!$EC$61)</f>
        <v/>
      </c>
      <c r="G7">
        <f>IF(ISBLANK('CONFIGURAÇÃO'!$EC$62),"",'CONFIGURAÇÃO'!$EC$62)</f>
        <v/>
      </c>
      <c r="H7">
        <f>IF(ISBLANK('CONFIGURAÇÃO'!$DZ$65),"",'CONFIGURAÇÃO'!$DZ$65)</f>
        <v/>
      </c>
      <c r="I7">
        <f>IF(ISBLANK('CONFIGURAÇÃO'!$ED$57),"",'CONFIGURAÇÃO'!$ED$57)</f>
        <v/>
      </c>
      <c r="J7">
        <f>IF(OR(E7="",E7="Nenhuma"),0,IFERROR(MATCH(SUBSTITUTE(SUBSTITUTE(SUBSTITUTE(E7,"~","~~"),"*","~*"),"?","~?"),'DADOS_RESTRICOES'!$M$2:$M$24,0),-1))</f>
        <v/>
      </c>
      <c r="K7">
        <f>IF(D7="",IF(OR(F7&lt;&gt;"",G7&lt;&gt;"",H7&lt;&gt;"",I7=TRUE,AND(E7&lt;&gt;"",E7&lt;&gt;"Nenhuma")),"Preencha NOME",""),TEXTJOIN(" · ",TRUE,IF(OR(NOT(ISTEXT(D7)),TRIM(D7)&lt;&gt;D7),"NOME precisa ser texto sem espaços nas pontas",""),IF(COUNTIF($D$2:$D$31,SUBSTITUTE(SUBSTITUTE(SUBSTITUTE(D7,"~","~~"),"*","~*"),"?","~?"))+COUNTIF('DADOS_RESTRICOES'!$M$2:$M$24,SUBSTITUTE(SUBSTITUTE(SUBSTITUTE(D7,"~","~~"),"*","~*"),"?","~?"))&gt;1,"Nome repetido no livro ou custom",""),IF(J7&lt;0,"Escolha uma BASE DO LIVRO válida",""),IF(ISLOGICAL(I7),"","MESTRE VIU deve ser caixa de seleção"),IF(AND(F7="",J7&lt;=0),"Escolha DEVOLUÇÃO",""),IF(AND(F7&lt;&gt;"",COUNTIF('DADOS_RESTRICOES'!$T$2:$T$3,SUBSTITUTE(SUBSTITUTE(SUBSTITUTE(F7,"~","~~"),"*","~*"),"?","~?"))&lt;&gt;1),"Peso ou devolução inválido",""),IF(AND(G7&lt;&gt;"",G7&lt;&gt;"Sim",G7&lt;&gt;"Não"),"Escolha Sim ou Não","")))</f>
        <v/>
      </c>
      <c r="M7">
        <f>IF(ISBLANK(DADOS_AM!$BM$7),"",DADOS_AM!$BM$7)</f>
        <v/>
      </c>
      <c r="N7">
        <f>IF(ISBLANK(DADOS_AM!$BN$7),"",DADOS_AM!$BN$7)</f>
        <v/>
      </c>
      <c r="O7">
        <f>IF(ISBLANK(DADOS_AM!$BO$7),"",DADOS_AM!$BO$7)</f>
        <v/>
      </c>
      <c r="P7">
        <f>IF(ISBLANK(DADOS_AM!$BP$7),"",DADOS_AM!$BP$7)</f>
        <v/>
      </c>
      <c r="Q7">
        <f>IF(ISBLANK(DADOS_AM!$BQ$7),"",DADOS_AM!$BQ$7)</f>
        <v/>
      </c>
      <c r="V7" t="inlineStr">
        <is>
          <t>Carregar</t>
        </is>
      </c>
    </row>
    <row r="8">
      <c r="A8" t="n">
        <v>1470</v>
      </c>
      <c r="B8" t="n">
        <v>0</v>
      </c>
      <c r="C8" t="n">
        <v>7</v>
      </c>
      <c r="D8">
        <f>IF(ISBLANK('CONFIGURAÇÃO'!$DR$81),"",'CONFIGURAÇÃO'!$DR$81)</f>
        <v/>
      </c>
      <c r="E8">
        <f>IF(ISBLANK('CONFIGURAÇÃO'!$DU$82),"",'CONFIGURAÇÃO'!$DU$82)</f>
        <v/>
      </c>
      <c r="F8">
        <f>IF(ISBLANK('CONFIGURAÇÃO'!$DU$83),"",'CONFIGURAÇÃO'!$DU$83)</f>
        <v/>
      </c>
      <c r="G8">
        <f>IF(ISBLANK('CONFIGURAÇÃO'!$DU$84),"",'CONFIGURAÇÃO'!$DU$84)</f>
        <v/>
      </c>
      <c r="H8">
        <f>IF(ISBLANK('CONFIGURAÇÃO'!$DR$87),"",'CONFIGURAÇÃO'!$DR$87)</f>
        <v/>
      </c>
      <c r="I8">
        <f>IF(ISBLANK('CONFIGURAÇÃO'!$DV$79),"",'CONFIGURAÇÃO'!$DV$79)</f>
        <v/>
      </c>
      <c r="J8">
        <f>IF(OR(E8="",E8="Nenhuma"),0,IFERROR(MATCH(SUBSTITUTE(SUBSTITUTE(SUBSTITUTE(E8,"~","~~"),"*","~*"),"?","~?"),'DADOS_RESTRICOES'!$M$2:$M$24,0),-1))</f>
        <v/>
      </c>
      <c r="K8">
        <f>IF(D8="",IF(OR(F8&lt;&gt;"",G8&lt;&gt;"",H8&lt;&gt;"",I8=TRUE,AND(E8&lt;&gt;"",E8&lt;&gt;"Nenhuma")),"Preencha NOME",""),TEXTJOIN(" · ",TRUE,IF(OR(NOT(ISTEXT(D8)),TRIM(D8)&lt;&gt;D8),"NOME precisa ser texto sem espaços nas pontas",""),IF(COUNTIF($D$2:$D$31,SUBSTITUTE(SUBSTITUTE(SUBSTITUTE(D8,"~","~~"),"*","~*"),"?","~?"))+COUNTIF('DADOS_RESTRICOES'!$M$2:$M$24,SUBSTITUTE(SUBSTITUTE(SUBSTITUTE(D8,"~","~~"),"*","~*"),"?","~?"))&gt;1,"Nome repetido no livro ou custom",""),IF(J8&lt;0,"Escolha uma BASE DO LIVRO válida",""),IF(ISLOGICAL(I8),"","MESTRE VIU deve ser caixa de seleção"),IF(AND(F8="",J8&lt;=0),"Escolha DEVOLUÇÃO",""),IF(AND(F8&lt;&gt;"",COUNTIF('DADOS_RESTRICOES'!$T$2:$T$3,SUBSTITUTE(SUBSTITUTE(SUBSTITUTE(F8,"~","~~"),"*","~*"),"?","~?"))&lt;&gt;1),"Peso ou devolução inválido",""),IF(AND(G8&lt;&gt;"",G8&lt;&gt;"Sim",G8&lt;&gt;"Não"),"Escolha Sim ou Não","")))</f>
        <v/>
      </c>
      <c r="M8">
        <f>IF(ISBLANK(DADOS_AM!$BM$8),"",DADOS_AM!$BM$8)</f>
        <v/>
      </c>
      <c r="N8">
        <f>IF(ISBLANK(DADOS_AM!$BN$8),"",DADOS_AM!$BN$8)</f>
        <v/>
      </c>
      <c r="O8">
        <f>IF(ISBLANK(DADOS_AM!$BO$8),"",DADOS_AM!$BO$8)</f>
        <v/>
      </c>
      <c r="P8">
        <f>IF(ISBLANK(DADOS_AM!$BP$8),"",DADOS_AM!$BP$8)</f>
        <v/>
      </c>
      <c r="Q8">
        <f>IF(ISBLANK(DADOS_AM!$BQ$8),"",DADOS_AM!$BQ$8)</f>
        <v/>
      </c>
      <c r="V8" t="inlineStr">
        <is>
          <t>Sangra</t>
        </is>
      </c>
    </row>
    <row r="9">
      <c r="A9" t="n">
        <v>1470</v>
      </c>
      <c r="B9" t="n">
        <v>8</v>
      </c>
      <c r="C9" t="n">
        <v>8</v>
      </c>
      <c r="D9">
        <f>IF(ISBLANK('CONFIGURAÇÃO'!$DZ$81),"",'CONFIGURAÇÃO'!$DZ$81)</f>
        <v/>
      </c>
      <c r="E9">
        <f>IF(ISBLANK('CONFIGURAÇÃO'!$EC$82),"",'CONFIGURAÇÃO'!$EC$82)</f>
        <v/>
      </c>
      <c r="F9">
        <f>IF(ISBLANK('CONFIGURAÇÃO'!$EC$83),"",'CONFIGURAÇÃO'!$EC$83)</f>
        <v/>
      </c>
      <c r="G9">
        <f>IF(ISBLANK('CONFIGURAÇÃO'!$EC$84),"",'CONFIGURAÇÃO'!$EC$84)</f>
        <v/>
      </c>
      <c r="H9">
        <f>IF(ISBLANK('CONFIGURAÇÃO'!$DZ$87),"",'CONFIGURAÇÃO'!$DZ$87)</f>
        <v/>
      </c>
      <c r="I9">
        <f>IF(ISBLANK('CONFIGURAÇÃO'!$ED$79),"",'CONFIGURAÇÃO'!$ED$79)</f>
        <v/>
      </c>
      <c r="J9">
        <f>IF(OR(E9="",E9="Nenhuma"),0,IFERROR(MATCH(SUBSTITUTE(SUBSTITUTE(SUBSTITUTE(E9,"~","~~"),"*","~*"),"?","~?"),'DADOS_RESTRICOES'!$M$2:$M$24,0),-1))</f>
        <v/>
      </c>
      <c r="K9">
        <f>IF(D9="",IF(OR(F9&lt;&gt;"",G9&lt;&gt;"",H9&lt;&gt;"",I9=TRUE,AND(E9&lt;&gt;"",E9&lt;&gt;"Nenhuma")),"Preencha NOME",""),TEXTJOIN(" · ",TRUE,IF(OR(NOT(ISTEXT(D9)),TRIM(D9)&lt;&gt;D9),"NOME precisa ser texto sem espaços nas pontas",""),IF(COUNTIF($D$2:$D$31,SUBSTITUTE(SUBSTITUTE(SUBSTITUTE(D9,"~","~~"),"*","~*"),"?","~?"))+COUNTIF('DADOS_RESTRICOES'!$M$2:$M$24,SUBSTITUTE(SUBSTITUTE(SUBSTITUTE(D9,"~","~~"),"*","~*"),"?","~?"))&gt;1,"Nome repetido no livro ou custom",""),IF(J9&lt;0,"Escolha uma BASE DO LIVRO válida",""),IF(ISLOGICAL(I9),"","MESTRE VIU deve ser caixa de seleção"),IF(AND(F9="",J9&lt;=0),"Escolha DEVOLUÇÃO",""),IF(AND(F9&lt;&gt;"",COUNTIF('DADOS_RESTRICOES'!$T$2:$T$3,SUBSTITUTE(SUBSTITUTE(SUBSTITUTE(F9,"~","~~"),"*","~*"),"?","~?"))&lt;&gt;1),"Peso ou devolução inválido",""),IF(AND(G9&lt;&gt;"",G9&lt;&gt;"Sim",G9&lt;&gt;"Não"),"Escolha Sim ou Não","")))</f>
        <v/>
      </c>
      <c r="M9">
        <f>IF(ISBLANK(DADOS_AM!$BM$9),"",DADOS_AM!$BM$9)</f>
        <v/>
      </c>
      <c r="N9">
        <f>IF(ISBLANK(DADOS_AM!$BN$9),"",DADOS_AM!$BN$9)</f>
        <v/>
      </c>
      <c r="O9">
        <f>IF(ISBLANK(DADOS_AM!$BO$9),"",DADOS_AM!$BO$9)</f>
        <v/>
      </c>
      <c r="P9">
        <f>IF(ISBLANK(DADOS_AM!$BP$9),"",DADOS_AM!$BP$9)</f>
        <v/>
      </c>
      <c r="Q9">
        <f>IF(ISBLANK(DADOS_AM!$BQ$9),"",DADOS_AM!$BQ$9)</f>
        <v/>
      </c>
      <c r="V9" t="inlineStr">
        <is>
          <t>Recuo (Leve)</t>
        </is>
      </c>
    </row>
    <row r="10">
      <c r="A10" t="n">
        <v>1492</v>
      </c>
      <c r="B10" t="n">
        <v>0</v>
      </c>
      <c r="C10" t="n">
        <v>9</v>
      </c>
      <c r="D10">
        <f>IF(ISBLANK('CONFIGURAÇÃO'!$DR$103),"",'CONFIGURAÇÃO'!$DR$103)</f>
        <v/>
      </c>
      <c r="E10">
        <f>IF(ISBLANK('CONFIGURAÇÃO'!$DU$104),"",'CONFIGURAÇÃO'!$DU$104)</f>
        <v/>
      </c>
      <c r="F10">
        <f>IF(ISBLANK('CONFIGURAÇÃO'!$DU$105),"",'CONFIGURAÇÃO'!$DU$105)</f>
        <v/>
      </c>
      <c r="G10">
        <f>IF(ISBLANK('CONFIGURAÇÃO'!$DU$106),"",'CONFIGURAÇÃO'!$DU$106)</f>
        <v/>
      </c>
      <c r="H10">
        <f>IF(ISBLANK('CONFIGURAÇÃO'!$DR$109),"",'CONFIGURAÇÃO'!$DR$109)</f>
        <v/>
      </c>
      <c r="I10">
        <f>IF(ISBLANK('CONFIGURAÇÃO'!$DV$101),"",'CONFIGURAÇÃO'!$DV$101)</f>
        <v/>
      </c>
      <c r="J10">
        <f>IF(OR(E10="",E10="Nenhuma"),0,IFERROR(MATCH(SUBSTITUTE(SUBSTITUTE(SUBSTITUTE(E10,"~","~~"),"*","~*"),"?","~?"),'DADOS_RESTRICOES'!$M$2:$M$24,0),-1))</f>
        <v/>
      </c>
      <c r="K10">
        <f>IF(D10="",IF(OR(F10&lt;&gt;"",G10&lt;&gt;"",H10&lt;&gt;"",I10=TRUE,AND(E10&lt;&gt;"",E10&lt;&gt;"Nenhuma")),"Preencha NOME",""),TEXTJOIN(" · ",TRUE,IF(OR(NOT(ISTEXT(D10)),TRIM(D10)&lt;&gt;D10),"NOME precisa ser texto sem espaços nas pontas",""),IF(COUNTIF($D$2:$D$31,SUBSTITUTE(SUBSTITUTE(SUBSTITUTE(D10,"~","~~"),"*","~*"),"?","~?"))+COUNTIF('DADOS_RESTRICOES'!$M$2:$M$24,SUBSTITUTE(SUBSTITUTE(SUBSTITUTE(D10,"~","~~"),"*","~*"),"?","~?"))&gt;1,"Nome repetido no livro ou custom",""),IF(J10&lt;0,"Escolha uma BASE DO LIVRO válida",""),IF(ISLOGICAL(I10),"","MESTRE VIU deve ser caixa de seleção"),IF(AND(F10="",J10&lt;=0),"Escolha DEVOLUÇÃO",""),IF(AND(F10&lt;&gt;"",COUNTIF('DADOS_RESTRICOES'!$T$2:$T$3,SUBSTITUTE(SUBSTITUTE(SUBSTITUTE(F10,"~","~~"),"*","~*"),"?","~?"))&lt;&gt;1),"Peso ou devolução inválido",""),IF(AND(G10&lt;&gt;"",G10&lt;&gt;"Sim",G10&lt;&gt;"Não"),"Escolha Sim ou Não","")))</f>
        <v/>
      </c>
      <c r="M10">
        <f>IF(ISBLANK(DADOS_AM!$BM$10),"",DADOS_AM!$BM$10)</f>
        <v/>
      </c>
      <c r="N10">
        <f>IF(ISBLANK(DADOS_AM!$BN$10),"",DADOS_AM!$BN$10)</f>
        <v/>
      </c>
      <c r="O10">
        <f>IF(ISBLANK(DADOS_AM!$BO$10),"",DADOS_AM!$BO$10)</f>
        <v/>
      </c>
      <c r="P10">
        <f>IF(ISBLANK(DADOS_AM!$BP$10),"",DADOS_AM!$BP$10)</f>
        <v/>
      </c>
      <c r="Q10">
        <f>IF(ISBLANK(DADOS_AM!$BQ$10),"",DADOS_AM!$BQ$10)</f>
        <v/>
      </c>
      <c r="V10" t="inlineStr">
        <is>
          <t>Recuo (Média)</t>
        </is>
      </c>
    </row>
    <row r="11">
      <c r="A11" t="n">
        <v>1492</v>
      </c>
      <c r="B11" t="n">
        <v>8</v>
      </c>
      <c r="C11" t="n">
        <v>10</v>
      </c>
      <c r="D11">
        <f>IF(ISBLANK('CONFIGURAÇÃO'!$DZ$103),"",'CONFIGURAÇÃO'!$DZ$103)</f>
        <v/>
      </c>
      <c r="E11">
        <f>IF(ISBLANK('CONFIGURAÇÃO'!$EC$104),"",'CONFIGURAÇÃO'!$EC$104)</f>
        <v/>
      </c>
      <c r="F11">
        <f>IF(ISBLANK('CONFIGURAÇÃO'!$EC$105),"",'CONFIGURAÇÃO'!$EC$105)</f>
        <v/>
      </c>
      <c r="G11">
        <f>IF(ISBLANK('CONFIGURAÇÃO'!$EC$106),"",'CONFIGURAÇÃO'!$EC$106)</f>
        <v/>
      </c>
      <c r="H11">
        <f>IF(ISBLANK('CONFIGURAÇÃO'!$DZ$109),"",'CONFIGURAÇÃO'!$DZ$109)</f>
        <v/>
      </c>
      <c r="I11">
        <f>IF(ISBLANK('CONFIGURAÇÃO'!$ED$101),"",'CONFIGURAÇÃO'!$ED$101)</f>
        <v/>
      </c>
      <c r="J11">
        <f>IF(OR(E11="",E11="Nenhuma"),0,IFERROR(MATCH(SUBSTITUTE(SUBSTITUTE(SUBSTITUTE(E11,"~","~~"),"*","~*"),"?","~?"),'DADOS_RESTRICOES'!$M$2:$M$24,0),-1))</f>
        <v/>
      </c>
      <c r="K11">
        <f>IF(D11="",IF(OR(F11&lt;&gt;"",G11&lt;&gt;"",H11&lt;&gt;"",I11=TRUE,AND(E11&lt;&gt;"",E11&lt;&gt;"Nenhuma")),"Preencha NOME",""),TEXTJOIN(" · ",TRUE,IF(OR(NOT(ISTEXT(D11)),TRIM(D11)&lt;&gt;D11),"NOME precisa ser texto sem espaços nas pontas",""),IF(COUNTIF($D$2:$D$31,SUBSTITUTE(SUBSTITUTE(SUBSTITUTE(D11,"~","~~"),"*","~*"),"?","~?"))+COUNTIF('DADOS_RESTRICOES'!$M$2:$M$24,SUBSTITUTE(SUBSTITUTE(SUBSTITUTE(D11,"~","~~"),"*","~*"),"?","~?"))&gt;1,"Nome repetido no livro ou custom",""),IF(J11&lt;0,"Escolha uma BASE DO LIVRO válida",""),IF(ISLOGICAL(I11),"","MESTRE VIU deve ser caixa de seleção"),IF(AND(F11="",J11&lt;=0),"Escolha DEVOLUÇÃO",""),IF(AND(F11&lt;&gt;"",COUNTIF('DADOS_RESTRICOES'!$T$2:$T$3,SUBSTITUTE(SUBSTITUTE(SUBSTITUTE(F11,"~","~~"),"*","~*"),"?","~?"))&lt;&gt;1),"Peso ou devolução inválido",""),IF(AND(G11&lt;&gt;"",G11&lt;&gt;"Sim",G11&lt;&gt;"Não"),"Escolha Sim ou Não","")))</f>
        <v/>
      </c>
      <c r="M11">
        <f>IF(ISBLANK(DADOS_AM!$BM$11),"",DADOS_AM!$BM$11)</f>
        <v/>
      </c>
      <c r="N11">
        <f>IF(ISBLANK(DADOS_AM!$BN$11),"",DADOS_AM!$BN$11)</f>
        <v/>
      </c>
      <c r="O11">
        <f>IF(ISBLANK(DADOS_AM!$BO$11),"",DADOS_AM!$BO$11)</f>
        <v/>
      </c>
      <c r="P11">
        <f>IF(ISBLANK(DADOS_AM!$BP$11),"",DADOS_AM!$BP$11)</f>
        <v/>
      </c>
      <c r="Q11">
        <f>IF(ISBLANK(DADOS_AM!$BQ$11),"",DADOS_AM!$BQ$11)</f>
        <v/>
      </c>
      <c r="V11" t="inlineStr">
        <is>
          <t>Fraqueza (Leve)</t>
        </is>
      </c>
    </row>
    <row r="12">
      <c r="A12" t="n">
        <v>1514</v>
      </c>
      <c r="B12" t="n">
        <v>0</v>
      </c>
      <c r="C12" t="n">
        <v>11</v>
      </c>
      <c r="D12">
        <f>IF(ISBLANK('CONFIGURAÇÃO'!$DR$125),"",'CONFIGURAÇÃO'!$DR$125)</f>
        <v/>
      </c>
      <c r="E12">
        <f>IF(ISBLANK('CONFIGURAÇÃO'!$DU$126),"",'CONFIGURAÇÃO'!$DU$126)</f>
        <v/>
      </c>
      <c r="F12">
        <f>IF(ISBLANK('CONFIGURAÇÃO'!$DU$127),"",'CONFIGURAÇÃO'!$DU$127)</f>
        <v/>
      </c>
      <c r="G12">
        <f>IF(ISBLANK('CONFIGURAÇÃO'!$DU$128),"",'CONFIGURAÇÃO'!$DU$128)</f>
        <v/>
      </c>
      <c r="H12">
        <f>IF(ISBLANK('CONFIGURAÇÃO'!$DR$131),"",'CONFIGURAÇÃO'!$DR$131)</f>
        <v/>
      </c>
      <c r="I12">
        <f>IF(ISBLANK('CONFIGURAÇÃO'!$DV$123),"",'CONFIGURAÇÃO'!$DV$123)</f>
        <v/>
      </c>
      <c r="J12">
        <f>IF(OR(E12="",E12="Nenhuma"),0,IFERROR(MATCH(SUBSTITUTE(SUBSTITUTE(SUBSTITUTE(E12,"~","~~"),"*","~*"),"?","~?"),'DADOS_RESTRICOES'!$M$2:$M$24,0),-1))</f>
        <v/>
      </c>
      <c r="K12">
        <f>IF(D12="",IF(OR(F12&lt;&gt;"",G12&lt;&gt;"",H12&lt;&gt;"",I12=TRUE,AND(E12&lt;&gt;"",E12&lt;&gt;"Nenhuma")),"Preencha NOME",""),TEXTJOIN(" · ",TRUE,IF(OR(NOT(ISTEXT(D12)),TRIM(D12)&lt;&gt;D12),"NOME precisa ser texto sem espaços nas pontas",""),IF(COUNTIF($D$2:$D$31,SUBSTITUTE(SUBSTITUTE(SUBSTITUTE(D12,"~","~~"),"*","~*"),"?","~?"))+COUNTIF('DADOS_RESTRICOES'!$M$2:$M$24,SUBSTITUTE(SUBSTITUTE(SUBSTITUTE(D12,"~","~~"),"*","~*"),"?","~?"))&gt;1,"Nome repetido no livro ou custom",""),IF(J12&lt;0,"Escolha uma BASE DO LIVRO válida",""),IF(ISLOGICAL(I12),"","MESTRE VIU deve ser caixa de seleção"),IF(AND(F12="",J12&lt;=0),"Escolha DEVOLUÇÃO",""),IF(AND(F12&lt;&gt;"",COUNTIF('DADOS_RESTRICOES'!$T$2:$T$3,SUBSTITUTE(SUBSTITUTE(SUBSTITUTE(F12,"~","~~"),"*","~*"),"?","~?"))&lt;&gt;1),"Peso ou devolução inválido",""),IF(AND(G12&lt;&gt;"",G12&lt;&gt;"Sim",G12&lt;&gt;"Não"),"Escolha Sim ou Não","")))</f>
        <v/>
      </c>
      <c r="M12">
        <f>IF(ISBLANK(DADOS_AM!$BM$12),"",DADOS_AM!$BM$12)</f>
        <v/>
      </c>
      <c r="N12">
        <f>IF(ISBLANK(DADOS_AM!$BN$12),"",DADOS_AM!$BN$12)</f>
        <v/>
      </c>
      <c r="O12">
        <f>IF(ISBLANK(DADOS_AM!$BO$12),"",DADOS_AM!$BO$12)</f>
        <v/>
      </c>
      <c r="P12">
        <f>IF(ISBLANK(DADOS_AM!$BP$12),"",DADOS_AM!$BP$12)</f>
        <v/>
      </c>
      <c r="Q12">
        <f>IF(ISBLANK(DADOS_AM!$BQ$12),"",DADOS_AM!$BQ$12)</f>
        <v/>
      </c>
      <c r="V12" t="inlineStr">
        <is>
          <t>Fraqueza (Média)</t>
        </is>
      </c>
    </row>
    <row r="13">
      <c r="A13" t="n">
        <v>1514</v>
      </c>
      <c r="B13" t="n">
        <v>8</v>
      </c>
      <c r="C13" t="n">
        <v>12</v>
      </c>
      <c r="D13">
        <f>IF(ISBLANK('CONFIGURAÇÃO'!$DZ$125),"",'CONFIGURAÇÃO'!$DZ$125)</f>
        <v/>
      </c>
      <c r="E13">
        <f>IF(ISBLANK('CONFIGURAÇÃO'!$EC$126),"",'CONFIGURAÇÃO'!$EC$126)</f>
        <v/>
      </c>
      <c r="F13">
        <f>IF(ISBLANK('CONFIGURAÇÃO'!$EC$127),"",'CONFIGURAÇÃO'!$EC$127)</f>
        <v/>
      </c>
      <c r="G13">
        <f>IF(ISBLANK('CONFIGURAÇÃO'!$EC$128),"",'CONFIGURAÇÃO'!$EC$128)</f>
        <v/>
      </c>
      <c r="H13">
        <f>IF(ISBLANK('CONFIGURAÇÃO'!$DZ$131),"",'CONFIGURAÇÃO'!$DZ$131)</f>
        <v/>
      </c>
      <c r="I13">
        <f>IF(ISBLANK('CONFIGURAÇÃO'!$ED$123),"",'CONFIGURAÇÃO'!$ED$123)</f>
        <v/>
      </c>
      <c r="J13">
        <f>IF(OR(E13="",E13="Nenhuma"),0,IFERROR(MATCH(SUBSTITUTE(SUBSTITUTE(SUBSTITUTE(E13,"~","~~"),"*","~*"),"?","~?"),'DADOS_RESTRICOES'!$M$2:$M$24,0),-1))</f>
        <v/>
      </c>
      <c r="K13">
        <f>IF(D13="",IF(OR(F13&lt;&gt;"",G13&lt;&gt;"",H13&lt;&gt;"",I13=TRUE,AND(E13&lt;&gt;"",E13&lt;&gt;"Nenhuma")),"Preencha NOME",""),TEXTJOIN(" · ",TRUE,IF(OR(NOT(ISTEXT(D13)),TRIM(D13)&lt;&gt;D13),"NOME precisa ser texto sem espaços nas pontas",""),IF(COUNTIF($D$2:$D$31,SUBSTITUTE(SUBSTITUTE(SUBSTITUTE(D13,"~","~~"),"*","~*"),"?","~?"))+COUNTIF('DADOS_RESTRICOES'!$M$2:$M$24,SUBSTITUTE(SUBSTITUTE(SUBSTITUTE(D13,"~","~~"),"*","~*"),"?","~?"))&gt;1,"Nome repetido no livro ou custom",""),IF(J13&lt;0,"Escolha uma BASE DO LIVRO válida",""),IF(ISLOGICAL(I13),"","MESTRE VIU deve ser caixa de seleção"),IF(AND(F13="",J13&lt;=0),"Escolha DEVOLUÇÃO",""),IF(AND(F13&lt;&gt;"",COUNTIF('DADOS_RESTRICOES'!$T$2:$T$3,SUBSTITUTE(SUBSTITUTE(SUBSTITUTE(F13,"~","~~"),"*","~*"),"?","~?"))&lt;&gt;1),"Peso ou devolução inválido",""),IF(AND(G13&lt;&gt;"",G13&lt;&gt;"Sim",G13&lt;&gt;"Não"),"Escolha Sim ou Não","")))</f>
        <v/>
      </c>
      <c r="M13">
        <f>IF(ISBLANK(DADOS_AM!$BM$13),"",DADOS_AM!$BM$13)</f>
        <v/>
      </c>
      <c r="N13">
        <f>IF(ISBLANK(DADOS_AM!$BN$13),"",DADOS_AM!$BN$13)</f>
        <v/>
      </c>
      <c r="O13">
        <f>IF(ISBLANK(DADOS_AM!$BO$13),"",DADOS_AM!$BO$13)</f>
        <v/>
      </c>
      <c r="P13">
        <f>IF(ISBLANK(DADOS_AM!$BP$13),"",DADOS_AM!$BP$13)</f>
        <v/>
      </c>
      <c r="Q13">
        <f>IF(ISBLANK(DADOS_AM!$BQ$13),"",DADOS_AM!$BQ$13)</f>
        <v/>
      </c>
      <c r="V13" t="inlineStr">
        <is>
          <t>Peso Morto</t>
        </is>
      </c>
    </row>
    <row r="14">
      <c r="A14" t="n">
        <v>1536</v>
      </c>
      <c r="B14" t="n">
        <v>0</v>
      </c>
      <c r="C14" t="n">
        <v>13</v>
      </c>
      <c r="D14">
        <f>IF(ISBLANK('CONFIGURAÇÃO'!$DR$147),"",'CONFIGURAÇÃO'!$DR$147)</f>
        <v/>
      </c>
      <c r="E14">
        <f>IF(ISBLANK('CONFIGURAÇÃO'!$DU$148),"",'CONFIGURAÇÃO'!$DU$148)</f>
        <v/>
      </c>
      <c r="F14">
        <f>IF(ISBLANK('CONFIGURAÇÃO'!$DU$149),"",'CONFIGURAÇÃO'!$DU$149)</f>
        <v/>
      </c>
      <c r="G14">
        <f>IF(ISBLANK('CONFIGURAÇÃO'!$DU$150),"",'CONFIGURAÇÃO'!$DU$150)</f>
        <v/>
      </c>
      <c r="H14">
        <f>IF(ISBLANK('CONFIGURAÇÃO'!$DR$153),"",'CONFIGURAÇÃO'!$DR$153)</f>
        <v/>
      </c>
      <c r="I14">
        <f>IF(ISBLANK('CONFIGURAÇÃO'!$DV$145),"",'CONFIGURAÇÃO'!$DV$145)</f>
        <v/>
      </c>
      <c r="J14">
        <f>IF(OR(E14="",E14="Nenhuma"),0,IFERROR(MATCH(SUBSTITUTE(SUBSTITUTE(SUBSTITUTE(E14,"~","~~"),"*","~*"),"?","~?"),'DADOS_RESTRICOES'!$M$2:$M$24,0),-1))</f>
        <v/>
      </c>
      <c r="K14">
        <f>IF(D14="",IF(OR(F14&lt;&gt;"",G14&lt;&gt;"",H14&lt;&gt;"",I14=TRUE,AND(E14&lt;&gt;"",E14&lt;&gt;"Nenhuma")),"Preencha NOME",""),TEXTJOIN(" · ",TRUE,IF(OR(NOT(ISTEXT(D14)),TRIM(D14)&lt;&gt;D14),"NOME precisa ser texto sem espaços nas pontas",""),IF(COUNTIF($D$2:$D$31,SUBSTITUTE(SUBSTITUTE(SUBSTITUTE(D14,"~","~~"),"*","~*"),"?","~?"))+COUNTIF('DADOS_RESTRICOES'!$M$2:$M$24,SUBSTITUTE(SUBSTITUTE(SUBSTITUTE(D14,"~","~~"),"*","~*"),"?","~?"))&gt;1,"Nome repetido no livro ou custom",""),IF(J14&lt;0,"Escolha uma BASE DO LIVRO válida",""),IF(ISLOGICAL(I14),"","MESTRE VIU deve ser caixa de seleção"),IF(AND(F14="",J14&lt;=0),"Escolha DEVOLUÇÃO",""),IF(AND(F14&lt;&gt;"",COUNTIF('DADOS_RESTRICOES'!$T$2:$T$3,SUBSTITUTE(SUBSTITUTE(SUBSTITUTE(F14,"~","~~"),"*","~*"),"?","~?"))&lt;&gt;1),"Peso ou devolução inválido",""),IF(AND(G14&lt;&gt;"",G14&lt;&gt;"Sim",G14&lt;&gt;"Não"),"Escolha Sim ou Não","")))</f>
        <v/>
      </c>
      <c r="M14">
        <f>IF(ISBLANK(DADOS_AM!$BM$14),"",DADOS_AM!$BM$14)</f>
        <v/>
      </c>
      <c r="N14">
        <f>IF(ISBLANK(DADOS_AM!$BN$14),"",DADOS_AM!$BN$14)</f>
        <v/>
      </c>
      <c r="O14">
        <f>IF(ISBLANK(DADOS_AM!$BO$14),"",DADOS_AM!$BO$14)</f>
        <v/>
      </c>
      <c r="P14">
        <f>IF(ISBLANK(DADOS_AM!$BP$14),"",DADOS_AM!$BP$14)</f>
        <v/>
      </c>
      <c r="Q14">
        <f>IF(ISBLANK(DADOS_AM!$BQ$14),"",DADOS_AM!$BQ$14)</f>
        <v/>
      </c>
      <c r="V14" t="inlineStr">
        <is>
          <t>Frágil</t>
        </is>
      </c>
    </row>
    <row r="15">
      <c r="A15" t="n">
        <v>1536</v>
      </c>
      <c r="B15" t="n">
        <v>8</v>
      </c>
      <c r="C15" t="n">
        <v>14</v>
      </c>
      <c r="D15">
        <f>IF(ISBLANK('CONFIGURAÇÃO'!$DZ$147),"",'CONFIGURAÇÃO'!$DZ$147)</f>
        <v/>
      </c>
      <c r="E15">
        <f>IF(ISBLANK('CONFIGURAÇÃO'!$EC$148),"",'CONFIGURAÇÃO'!$EC$148)</f>
        <v/>
      </c>
      <c r="F15">
        <f>IF(ISBLANK('CONFIGURAÇÃO'!$EC$149),"",'CONFIGURAÇÃO'!$EC$149)</f>
        <v/>
      </c>
      <c r="G15">
        <f>IF(ISBLANK('CONFIGURAÇÃO'!$EC$150),"",'CONFIGURAÇÃO'!$EC$150)</f>
        <v/>
      </c>
      <c r="H15">
        <f>IF(ISBLANK('CONFIGURAÇÃO'!$DZ$153),"",'CONFIGURAÇÃO'!$DZ$153)</f>
        <v/>
      </c>
      <c r="I15">
        <f>IF(ISBLANK('CONFIGURAÇÃO'!$ED$145),"",'CONFIGURAÇÃO'!$ED$145)</f>
        <v/>
      </c>
      <c r="J15">
        <f>IF(OR(E15="",E15="Nenhuma"),0,IFERROR(MATCH(SUBSTITUTE(SUBSTITUTE(SUBSTITUTE(E15,"~","~~"),"*","~*"),"?","~?"),'DADOS_RESTRICOES'!$M$2:$M$24,0),-1))</f>
        <v/>
      </c>
      <c r="K15">
        <f>IF(D15="",IF(OR(F15&lt;&gt;"",G15&lt;&gt;"",H15&lt;&gt;"",I15=TRUE,AND(E15&lt;&gt;"",E15&lt;&gt;"Nenhuma")),"Preencha NOME",""),TEXTJOIN(" · ",TRUE,IF(OR(NOT(ISTEXT(D15)),TRIM(D15)&lt;&gt;D15),"NOME precisa ser texto sem espaços nas pontas",""),IF(COUNTIF($D$2:$D$31,SUBSTITUTE(SUBSTITUTE(SUBSTITUTE(D15,"~","~~"),"*","~*"),"?","~?"))+COUNTIF('DADOS_RESTRICOES'!$M$2:$M$24,SUBSTITUTE(SUBSTITUTE(SUBSTITUTE(D15,"~","~~"),"*","~*"),"?","~?"))&gt;1,"Nome repetido no livro ou custom",""),IF(J15&lt;0,"Escolha uma BASE DO LIVRO válida",""),IF(ISLOGICAL(I15),"","MESTRE VIU deve ser caixa de seleção"),IF(AND(F15="",J15&lt;=0),"Escolha DEVOLUÇÃO",""),IF(AND(F15&lt;&gt;"",COUNTIF('DADOS_RESTRICOES'!$T$2:$T$3,SUBSTITUTE(SUBSTITUTE(SUBSTITUTE(F15,"~","~~"),"*","~*"),"?","~?"))&lt;&gt;1),"Peso ou devolução inválido",""),IF(AND(G15&lt;&gt;"",G15&lt;&gt;"Sim",G15&lt;&gt;"Não"),"Escolha Sim ou Não","")))</f>
        <v/>
      </c>
      <c r="M15">
        <f>IF(ISBLANK(DADOS_AM!$BM$15),"",DADOS_AM!$BM$15)</f>
        <v/>
      </c>
      <c r="N15">
        <f>IF(ISBLANK(DADOS_AM!$BN$15),"",DADOS_AM!$BN$15)</f>
        <v/>
      </c>
      <c r="O15">
        <f>IF(ISBLANK(DADOS_AM!$BO$15),"",DADOS_AM!$BO$15)</f>
        <v/>
      </c>
      <c r="P15">
        <f>IF(ISBLANK(DADOS_AM!$BP$15),"",DADOS_AM!$BP$15)</f>
        <v/>
      </c>
      <c r="Q15">
        <f>IF(ISBLANK(DADOS_AM!$BQ$15),"",DADOS_AM!$BQ$15)</f>
        <v/>
      </c>
      <c r="V15" t="inlineStr">
        <is>
          <t>Sem Volta</t>
        </is>
      </c>
    </row>
    <row r="16">
      <c r="A16" t="n">
        <v>1558</v>
      </c>
      <c r="B16" t="n">
        <v>0</v>
      </c>
      <c r="C16" t="n">
        <v>15</v>
      </c>
      <c r="D16">
        <f>IF(ISBLANK('CONFIGURAÇÃO'!$DR$169),"",'CONFIGURAÇÃO'!$DR$169)</f>
        <v/>
      </c>
      <c r="E16">
        <f>IF(ISBLANK('CONFIGURAÇÃO'!$DU$170),"",'CONFIGURAÇÃO'!$DU$170)</f>
        <v/>
      </c>
      <c r="F16">
        <f>IF(ISBLANK('CONFIGURAÇÃO'!$DU$171),"",'CONFIGURAÇÃO'!$DU$171)</f>
        <v/>
      </c>
      <c r="G16">
        <f>IF(ISBLANK('CONFIGURAÇÃO'!$DU$172),"",'CONFIGURAÇÃO'!$DU$172)</f>
        <v/>
      </c>
      <c r="H16">
        <f>IF(ISBLANK('CONFIGURAÇÃO'!$DR$175),"",'CONFIGURAÇÃO'!$DR$175)</f>
        <v/>
      </c>
      <c r="I16">
        <f>IF(ISBLANK('CONFIGURAÇÃO'!$DV$167),"",'CONFIGURAÇÃO'!$DV$167)</f>
        <v/>
      </c>
      <c r="J16">
        <f>IF(OR(E16="",E16="Nenhuma"),0,IFERROR(MATCH(SUBSTITUTE(SUBSTITUTE(SUBSTITUTE(E16,"~","~~"),"*","~*"),"?","~?"),'DADOS_RESTRICOES'!$M$2:$M$24,0),-1))</f>
        <v/>
      </c>
      <c r="K16">
        <f>IF(D16="",IF(OR(F16&lt;&gt;"",G16&lt;&gt;"",H16&lt;&gt;"",I16=TRUE,AND(E16&lt;&gt;"",E16&lt;&gt;"Nenhuma")),"Preencha NOME",""),TEXTJOIN(" · ",TRUE,IF(OR(NOT(ISTEXT(D16)),TRIM(D16)&lt;&gt;D16),"NOME precisa ser texto sem espaços nas pontas",""),IF(COUNTIF($D$2:$D$31,SUBSTITUTE(SUBSTITUTE(SUBSTITUTE(D16,"~","~~"),"*","~*"),"?","~?"))+COUNTIF('DADOS_RESTRICOES'!$M$2:$M$24,SUBSTITUTE(SUBSTITUTE(SUBSTITUTE(D16,"~","~~"),"*","~*"),"?","~?"))&gt;1,"Nome repetido no livro ou custom",""),IF(J16&lt;0,"Escolha uma BASE DO LIVRO válida",""),IF(ISLOGICAL(I16),"","MESTRE VIU deve ser caixa de seleção"),IF(AND(F16="",J16&lt;=0),"Escolha DEVOLUÇÃO",""),IF(AND(F16&lt;&gt;"",COUNTIF('DADOS_RESTRICOES'!$T$2:$T$3,SUBSTITUTE(SUBSTITUTE(SUBSTITUTE(F16,"~","~~"),"*","~*"),"?","~?"))&lt;&gt;1),"Peso ou devolução inválido",""),IF(AND(G16&lt;&gt;"",G16&lt;&gt;"Sim",G16&lt;&gt;"Não"),"Escolha Sim ou Não","")))</f>
        <v/>
      </c>
      <c r="M16">
        <f>IF(ISBLANK(DADOS_AM!$BM$16),"",DADOS_AM!$BM$16)</f>
        <v/>
      </c>
      <c r="N16">
        <f>IF(ISBLANK(DADOS_AM!$BN$16),"",DADOS_AM!$BN$16)</f>
        <v/>
      </c>
      <c r="O16">
        <f>IF(ISBLANK(DADOS_AM!$BO$16),"",DADOS_AM!$BO$16)</f>
        <v/>
      </c>
      <c r="P16">
        <f>IF(ISBLANK(DADOS_AM!$BP$16),"",DADOS_AM!$BP$16)</f>
        <v/>
      </c>
      <c r="Q16">
        <f>IF(ISBLANK(DADOS_AM!$BQ$16),"",DADOS_AM!$BQ$16)</f>
        <v/>
      </c>
      <c r="V16" t="inlineStr">
        <is>
          <t>Uma Vez</t>
        </is>
      </c>
    </row>
    <row r="17">
      <c r="A17" t="n">
        <v>1558</v>
      </c>
      <c r="B17" t="n">
        <v>8</v>
      </c>
      <c r="C17" t="n">
        <v>16</v>
      </c>
      <c r="D17">
        <f>IF(ISBLANK('CONFIGURAÇÃO'!$DZ$169),"",'CONFIGURAÇÃO'!$DZ$169)</f>
        <v/>
      </c>
      <c r="E17">
        <f>IF(ISBLANK('CONFIGURAÇÃO'!$EC$170),"",'CONFIGURAÇÃO'!$EC$170)</f>
        <v/>
      </c>
      <c r="F17">
        <f>IF(ISBLANK('CONFIGURAÇÃO'!$EC$171),"",'CONFIGURAÇÃO'!$EC$171)</f>
        <v/>
      </c>
      <c r="G17">
        <f>IF(ISBLANK('CONFIGURAÇÃO'!$EC$172),"",'CONFIGURAÇÃO'!$EC$172)</f>
        <v/>
      </c>
      <c r="H17">
        <f>IF(ISBLANK('CONFIGURAÇÃO'!$DZ$175),"",'CONFIGURAÇÃO'!$DZ$175)</f>
        <v/>
      </c>
      <c r="I17">
        <f>IF(ISBLANK('CONFIGURAÇÃO'!$ED$167),"",'CONFIGURAÇÃO'!$ED$167)</f>
        <v/>
      </c>
      <c r="J17">
        <f>IF(OR(E17="",E17="Nenhuma"),0,IFERROR(MATCH(SUBSTITUTE(SUBSTITUTE(SUBSTITUTE(E17,"~","~~"),"*","~*"),"?","~?"),'DADOS_RESTRICOES'!$M$2:$M$24,0),-1))</f>
        <v/>
      </c>
      <c r="K17">
        <f>IF(D17="",IF(OR(F17&lt;&gt;"",G17&lt;&gt;"",H17&lt;&gt;"",I17=TRUE,AND(E17&lt;&gt;"",E17&lt;&gt;"Nenhuma")),"Preencha NOME",""),TEXTJOIN(" · ",TRUE,IF(OR(NOT(ISTEXT(D17)),TRIM(D17)&lt;&gt;D17),"NOME precisa ser texto sem espaços nas pontas",""),IF(COUNTIF($D$2:$D$31,SUBSTITUTE(SUBSTITUTE(SUBSTITUTE(D17,"~","~~"),"*","~*"),"?","~?"))+COUNTIF('DADOS_RESTRICOES'!$M$2:$M$24,SUBSTITUTE(SUBSTITUTE(SUBSTITUTE(D17,"~","~~"),"*","~*"),"?","~?"))&gt;1,"Nome repetido no livro ou custom",""),IF(J17&lt;0,"Escolha uma BASE DO LIVRO válida",""),IF(ISLOGICAL(I17),"","MESTRE VIU deve ser caixa de seleção"),IF(AND(F17="",J17&lt;=0),"Escolha DEVOLUÇÃO",""),IF(AND(F17&lt;&gt;"",COUNTIF('DADOS_RESTRICOES'!$T$2:$T$3,SUBSTITUTE(SUBSTITUTE(SUBSTITUTE(F17,"~","~~"),"*","~*"),"?","~?"))&lt;&gt;1),"Peso ou devolução inválido",""),IF(AND(G17&lt;&gt;"",G17&lt;&gt;"Sim",G17&lt;&gt;"Não"),"Escolha Sim ou Não","")))</f>
        <v/>
      </c>
      <c r="M17">
        <f>IF(ISBLANK(DADOS_AM!$BM$17),"",DADOS_AM!$BM$17)</f>
        <v/>
      </c>
      <c r="N17">
        <f>IF(ISBLANK(DADOS_AM!$BN$17),"",DADOS_AM!$BN$17)</f>
        <v/>
      </c>
      <c r="O17">
        <f>IF(ISBLANK(DADOS_AM!$BO$17),"",DADOS_AM!$BO$17)</f>
        <v/>
      </c>
      <c r="P17">
        <f>IF(ISBLANK(DADOS_AM!$BP$17),"",DADOS_AM!$BP$17)</f>
        <v/>
      </c>
      <c r="Q17">
        <f>IF(ISBLANK(DADOS_AM!$BQ$17),"",DADOS_AM!$BQ$17)</f>
        <v/>
      </c>
      <c r="V17" t="inlineStr">
        <is>
          <t>Condicional (Leve)</t>
        </is>
      </c>
    </row>
    <row r="18">
      <c r="A18" t="n">
        <v>1580</v>
      </c>
      <c r="B18" t="n">
        <v>0</v>
      </c>
      <c r="C18" t="n">
        <v>17</v>
      </c>
      <c r="D18">
        <f>IF(ISBLANK('CONFIGURAÇÃO'!$DR$191),"",'CONFIGURAÇÃO'!$DR$191)</f>
        <v/>
      </c>
      <c r="E18">
        <f>IF(ISBLANK('CONFIGURAÇÃO'!$DU$192),"",'CONFIGURAÇÃO'!$DU$192)</f>
        <v/>
      </c>
      <c r="F18">
        <f>IF(ISBLANK('CONFIGURAÇÃO'!$DU$193),"",'CONFIGURAÇÃO'!$DU$193)</f>
        <v/>
      </c>
      <c r="G18">
        <f>IF(ISBLANK('CONFIGURAÇÃO'!$DU$194),"",'CONFIGURAÇÃO'!$DU$194)</f>
        <v/>
      </c>
      <c r="H18">
        <f>IF(ISBLANK('CONFIGURAÇÃO'!$DR$197),"",'CONFIGURAÇÃO'!$DR$197)</f>
        <v/>
      </c>
      <c r="I18">
        <f>IF(ISBLANK('CONFIGURAÇÃO'!$DV$189),"",'CONFIGURAÇÃO'!$DV$189)</f>
        <v/>
      </c>
      <c r="J18">
        <f>IF(OR(E18="",E18="Nenhuma"),0,IFERROR(MATCH(SUBSTITUTE(SUBSTITUTE(SUBSTITUTE(E18,"~","~~"),"*","~*"),"?","~?"),'DADOS_RESTRICOES'!$M$2:$M$24,0),-1))</f>
        <v/>
      </c>
      <c r="K18">
        <f>IF(D18="",IF(OR(F18&lt;&gt;"",G18&lt;&gt;"",H18&lt;&gt;"",I18=TRUE,AND(E18&lt;&gt;"",E18&lt;&gt;"Nenhuma")),"Preencha NOME",""),TEXTJOIN(" · ",TRUE,IF(OR(NOT(ISTEXT(D18)),TRIM(D18)&lt;&gt;D18),"NOME precisa ser texto sem espaços nas pontas",""),IF(COUNTIF($D$2:$D$31,SUBSTITUTE(SUBSTITUTE(SUBSTITUTE(D18,"~","~~"),"*","~*"),"?","~?"))+COUNTIF('DADOS_RESTRICOES'!$M$2:$M$24,SUBSTITUTE(SUBSTITUTE(SUBSTITUTE(D18,"~","~~"),"*","~*"),"?","~?"))&gt;1,"Nome repetido no livro ou custom",""),IF(J18&lt;0,"Escolha uma BASE DO LIVRO válida",""),IF(ISLOGICAL(I18),"","MESTRE VIU deve ser caixa de seleção"),IF(AND(F18="",J18&lt;=0),"Escolha DEVOLUÇÃO",""),IF(AND(F18&lt;&gt;"",COUNTIF('DADOS_RESTRICOES'!$T$2:$T$3,SUBSTITUTE(SUBSTITUTE(SUBSTITUTE(F18,"~","~~"),"*","~*"),"?","~?"))&lt;&gt;1),"Peso ou devolução inválido",""),IF(AND(G18&lt;&gt;"",G18&lt;&gt;"Sim",G18&lt;&gt;"Não"),"Escolha Sim ou Não","")))</f>
        <v/>
      </c>
      <c r="M18">
        <f>IF(ISBLANK(DADOS_AM!$BM$18),"",DADOS_AM!$BM$18)</f>
        <v/>
      </c>
      <c r="N18">
        <f>IF(ISBLANK(DADOS_AM!$BN$18),"",DADOS_AM!$BN$18)</f>
        <v/>
      </c>
      <c r="O18">
        <f>IF(ISBLANK(DADOS_AM!$BO$18),"",DADOS_AM!$BO$18)</f>
        <v/>
      </c>
      <c r="P18">
        <f>IF(ISBLANK(DADOS_AM!$BP$18),"",DADOS_AM!$BP$18)</f>
        <v/>
      </c>
      <c r="Q18">
        <f>IF(ISBLANK(DADOS_AM!$BQ$18),"",DADOS_AM!$BQ$18)</f>
        <v/>
      </c>
      <c r="V18" t="inlineStr">
        <is>
          <t>Condicional (Média)</t>
        </is>
      </c>
    </row>
    <row r="19">
      <c r="A19" t="n">
        <v>1580</v>
      </c>
      <c r="B19" t="n">
        <v>8</v>
      </c>
      <c r="C19" t="n">
        <v>18</v>
      </c>
      <c r="D19">
        <f>IF(ISBLANK('CONFIGURAÇÃO'!$DZ$191),"",'CONFIGURAÇÃO'!$DZ$191)</f>
        <v/>
      </c>
      <c r="E19">
        <f>IF(ISBLANK('CONFIGURAÇÃO'!$EC$192),"",'CONFIGURAÇÃO'!$EC$192)</f>
        <v/>
      </c>
      <c r="F19">
        <f>IF(ISBLANK('CONFIGURAÇÃO'!$EC$193),"",'CONFIGURAÇÃO'!$EC$193)</f>
        <v/>
      </c>
      <c r="G19">
        <f>IF(ISBLANK('CONFIGURAÇÃO'!$EC$194),"",'CONFIGURAÇÃO'!$EC$194)</f>
        <v/>
      </c>
      <c r="H19">
        <f>IF(ISBLANK('CONFIGURAÇÃO'!$DZ$197),"",'CONFIGURAÇÃO'!$DZ$197)</f>
        <v/>
      </c>
      <c r="I19">
        <f>IF(ISBLANK('CONFIGURAÇÃO'!$ED$189),"",'CONFIGURAÇÃO'!$ED$189)</f>
        <v/>
      </c>
      <c r="J19">
        <f>IF(OR(E19="",E19="Nenhuma"),0,IFERROR(MATCH(SUBSTITUTE(SUBSTITUTE(SUBSTITUTE(E19,"~","~~"),"*","~*"),"?","~?"),'DADOS_RESTRICOES'!$M$2:$M$24,0),-1))</f>
        <v/>
      </c>
      <c r="K19">
        <f>IF(D19="",IF(OR(F19&lt;&gt;"",G19&lt;&gt;"",H19&lt;&gt;"",I19=TRUE,AND(E19&lt;&gt;"",E19&lt;&gt;"Nenhuma")),"Preencha NOME",""),TEXTJOIN(" · ",TRUE,IF(OR(NOT(ISTEXT(D19)),TRIM(D19)&lt;&gt;D19),"NOME precisa ser texto sem espaços nas pontas",""),IF(COUNTIF($D$2:$D$31,SUBSTITUTE(SUBSTITUTE(SUBSTITUTE(D19,"~","~~"),"*","~*"),"?","~?"))+COUNTIF('DADOS_RESTRICOES'!$M$2:$M$24,SUBSTITUTE(SUBSTITUTE(SUBSTITUTE(D19,"~","~~"),"*","~*"),"?","~?"))&gt;1,"Nome repetido no livro ou custom",""),IF(J19&lt;0,"Escolha uma BASE DO LIVRO válida",""),IF(ISLOGICAL(I19),"","MESTRE VIU deve ser caixa de seleção"),IF(AND(F19="",J19&lt;=0),"Escolha DEVOLUÇÃO",""),IF(AND(F19&lt;&gt;"",COUNTIF('DADOS_RESTRICOES'!$T$2:$T$3,SUBSTITUTE(SUBSTITUTE(SUBSTITUTE(F19,"~","~~"),"*","~*"),"?","~?"))&lt;&gt;1),"Peso ou devolução inválido",""),IF(AND(G19&lt;&gt;"",G19&lt;&gt;"Sim",G19&lt;&gt;"Não"),"Escolha Sim ou Não","")))</f>
        <v/>
      </c>
      <c r="M19">
        <f>IF(ISBLANK(DADOS_AM!$BM$19),"",DADOS_AM!$BM$19)</f>
        <v/>
      </c>
      <c r="N19">
        <f>IF(ISBLANK(DADOS_AM!$BN$19),"",DADOS_AM!$BN$19)</f>
        <v/>
      </c>
      <c r="O19">
        <f>IF(ISBLANK(DADOS_AM!$BO$19),"",DADOS_AM!$BO$19)</f>
        <v/>
      </c>
      <c r="P19">
        <f>IF(ISBLANK(DADOS_AM!$BP$19),"",DADOS_AM!$BP$19)</f>
        <v/>
      </c>
      <c r="Q19">
        <f>IF(ISBLANK(DADOS_AM!$BQ$19),"",DADOS_AM!$BQ$19)</f>
        <v/>
      </c>
      <c r="V19" t="inlineStr">
        <is>
          <t>Aquecer</t>
        </is>
      </c>
    </row>
    <row r="20">
      <c r="A20" t="n">
        <v>1602</v>
      </c>
      <c r="B20" t="n">
        <v>0</v>
      </c>
      <c r="C20" t="n">
        <v>19</v>
      </c>
      <c r="D20">
        <f>IF(ISBLANK('CONFIGURAÇÃO'!$DR$213),"",'CONFIGURAÇÃO'!$DR$213)</f>
        <v/>
      </c>
      <c r="E20">
        <f>IF(ISBLANK('CONFIGURAÇÃO'!$DU$214),"",'CONFIGURAÇÃO'!$DU$214)</f>
        <v/>
      </c>
      <c r="F20">
        <f>IF(ISBLANK('CONFIGURAÇÃO'!$DU$215),"",'CONFIGURAÇÃO'!$DU$215)</f>
        <v/>
      </c>
      <c r="G20">
        <f>IF(ISBLANK('CONFIGURAÇÃO'!$DU$216),"",'CONFIGURAÇÃO'!$DU$216)</f>
        <v/>
      </c>
      <c r="H20">
        <f>IF(ISBLANK('CONFIGURAÇÃO'!$DR$219),"",'CONFIGURAÇÃO'!$DR$219)</f>
        <v/>
      </c>
      <c r="I20">
        <f>IF(ISBLANK('CONFIGURAÇÃO'!$DV$211),"",'CONFIGURAÇÃO'!$DV$211)</f>
        <v/>
      </c>
      <c r="J20">
        <f>IF(OR(E20="",E20="Nenhuma"),0,IFERROR(MATCH(SUBSTITUTE(SUBSTITUTE(SUBSTITUTE(E20,"~","~~"),"*","~*"),"?","~?"),'DADOS_RESTRICOES'!$M$2:$M$24,0),-1))</f>
        <v/>
      </c>
      <c r="K20">
        <f>IF(D20="",IF(OR(F20&lt;&gt;"",G20&lt;&gt;"",H20&lt;&gt;"",I20=TRUE,AND(E20&lt;&gt;"",E20&lt;&gt;"Nenhuma")),"Preencha NOME",""),TEXTJOIN(" · ",TRUE,IF(OR(NOT(ISTEXT(D20)),TRIM(D20)&lt;&gt;D20),"NOME precisa ser texto sem espaços nas pontas",""),IF(COUNTIF($D$2:$D$31,SUBSTITUTE(SUBSTITUTE(SUBSTITUTE(D20,"~","~~"),"*","~*"),"?","~?"))+COUNTIF('DADOS_RESTRICOES'!$M$2:$M$24,SUBSTITUTE(SUBSTITUTE(SUBSTITUTE(D20,"~","~~"),"*","~*"),"?","~?"))&gt;1,"Nome repetido no livro ou custom",""),IF(J20&lt;0,"Escolha uma BASE DO LIVRO válida",""),IF(ISLOGICAL(I20),"","MESTRE VIU deve ser caixa de seleção"),IF(AND(F20="",J20&lt;=0),"Escolha DEVOLUÇÃO",""),IF(AND(F20&lt;&gt;"",COUNTIF('DADOS_RESTRICOES'!$T$2:$T$3,SUBSTITUTE(SUBSTITUTE(SUBSTITUTE(F20,"~","~~"),"*","~*"),"?","~?"))&lt;&gt;1),"Peso ou devolução inválido",""),IF(AND(G20&lt;&gt;"",G20&lt;&gt;"Sim",G20&lt;&gt;"Não"),"Escolha Sim ou Não","")))</f>
        <v/>
      </c>
      <c r="M20">
        <f>IF(ISBLANK(DADOS_AM!$BM$20),"",DADOS_AM!$BM$20)</f>
        <v/>
      </c>
      <c r="N20">
        <f>IF(ISBLANK(DADOS_AM!$BN$20),"",DADOS_AM!$BN$20)</f>
        <v/>
      </c>
      <c r="O20">
        <f>IF(ISBLANK(DADOS_AM!$BO$20),"",DADOS_AM!$BO$20)</f>
        <v/>
      </c>
      <c r="P20">
        <f>IF(ISBLANK(DADOS_AM!$BP$20),"",DADOS_AM!$BP$20)</f>
        <v/>
      </c>
      <c r="Q20">
        <f>IF(ISBLANK(DADOS_AM!$BQ$20),"",DADOS_AM!$BQ$20)</f>
        <v/>
      </c>
      <c r="V20" t="inlineStr">
        <is>
          <t>Dívida</t>
        </is>
      </c>
    </row>
    <row r="21">
      <c r="A21" t="n">
        <v>1602</v>
      </c>
      <c r="B21" t="n">
        <v>8</v>
      </c>
      <c r="C21" t="n">
        <v>20</v>
      </c>
      <c r="D21">
        <f>IF(ISBLANK('CONFIGURAÇÃO'!$DZ$213),"",'CONFIGURAÇÃO'!$DZ$213)</f>
        <v/>
      </c>
      <c r="E21">
        <f>IF(ISBLANK('CONFIGURAÇÃO'!$EC$214),"",'CONFIGURAÇÃO'!$EC$214)</f>
        <v/>
      </c>
      <c r="F21">
        <f>IF(ISBLANK('CONFIGURAÇÃO'!$EC$215),"",'CONFIGURAÇÃO'!$EC$215)</f>
        <v/>
      </c>
      <c r="G21">
        <f>IF(ISBLANK('CONFIGURAÇÃO'!$EC$216),"",'CONFIGURAÇÃO'!$EC$216)</f>
        <v/>
      </c>
      <c r="H21">
        <f>IF(ISBLANK('CONFIGURAÇÃO'!$DZ$219),"",'CONFIGURAÇÃO'!$DZ$219)</f>
        <v/>
      </c>
      <c r="I21">
        <f>IF(ISBLANK('CONFIGURAÇÃO'!$ED$211),"",'CONFIGURAÇÃO'!$ED$211)</f>
        <v/>
      </c>
      <c r="J21">
        <f>IF(OR(E21="",E21="Nenhuma"),0,IFERROR(MATCH(SUBSTITUTE(SUBSTITUTE(SUBSTITUTE(E21,"~","~~"),"*","~*"),"?","~?"),'DADOS_RESTRICOES'!$M$2:$M$24,0),-1))</f>
        <v/>
      </c>
      <c r="K21">
        <f>IF(D21="",IF(OR(F21&lt;&gt;"",G21&lt;&gt;"",H21&lt;&gt;"",I21=TRUE,AND(E21&lt;&gt;"",E21&lt;&gt;"Nenhuma")),"Preencha NOME",""),TEXTJOIN(" · ",TRUE,IF(OR(NOT(ISTEXT(D21)),TRIM(D21)&lt;&gt;D21),"NOME precisa ser texto sem espaços nas pontas",""),IF(COUNTIF($D$2:$D$31,SUBSTITUTE(SUBSTITUTE(SUBSTITUTE(D21,"~","~~"),"*","~*"),"?","~?"))+COUNTIF('DADOS_RESTRICOES'!$M$2:$M$24,SUBSTITUTE(SUBSTITUTE(SUBSTITUTE(D21,"~","~~"),"*","~*"),"?","~?"))&gt;1,"Nome repetido no livro ou custom",""),IF(J21&lt;0,"Escolha uma BASE DO LIVRO válida",""),IF(ISLOGICAL(I21),"","MESTRE VIU deve ser caixa de seleção"),IF(AND(F21="",J21&lt;=0),"Escolha DEVOLUÇÃO",""),IF(AND(F21&lt;&gt;"",COUNTIF('DADOS_RESTRICOES'!$T$2:$T$3,SUBSTITUTE(SUBSTITUTE(SUBSTITUTE(F21,"~","~~"),"*","~*"),"?","~?"))&lt;&gt;1),"Peso ou devolução inválido",""),IF(AND(G21&lt;&gt;"",G21&lt;&gt;"Sim",G21&lt;&gt;"Não"),"Escolha Sim ou Não","")))</f>
        <v/>
      </c>
      <c r="M21">
        <f>IF(ISBLANK(DADOS_AM!$BM$21),"",DADOS_AM!$BM$21)</f>
        <v/>
      </c>
      <c r="N21">
        <f>IF(ISBLANK(DADOS_AM!$BN$21),"",DADOS_AM!$BN$21)</f>
        <v/>
      </c>
      <c r="O21">
        <f>IF(ISBLANK(DADOS_AM!$BO$21),"",DADOS_AM!$BO$21)</f>
        <v/>
      </c>
      <c r="P21">
        <f>IF(ISBLANK(DADOS_AM!$BP$21),"",DADOS_AM!$BP$21)</f>
        <v/>
      </c>
      <c r="Q21">
        <f>IF(ISBLANK(DADOS_AM!$BQ$21),"",DADOS_AM!$BQ$21)</f>
        <v/>
      </c>
      <c r="V21" t="inlineStr">
        <is>
          <t>Tudo ou Nada</t>
        </is>
      </c>
    </row>
    <row r="22">
      <c r="A22" t="n">
        <v>1624</v>
      </c>
      <c r="B22" t="n">
        <v>0</v>
      </c>
      <c r="C22" t="n">
        <v>21</v>
      </c>
      <c r="D22">
        <f>IF(ISBLANK('CONFIGURAÇÃO'!$DR$235),"",'CONFIGURAÇÃO'!$DR$235)</f>
        <v/>
      </c>
      <c r="E22">
        <f>IF(ISBLANK('CONFIGURAÇÃO'!$DU$236),"",'CONFIGURAÇÃO'!$DU$236)</f>
        <v/>
      </c>
      <c r="F22">
        <f>IF(ISBLANK('CONFIGURAÇÃO'!$DU$237),"",'CONFIGURAÇÃO'!$DU$237)</f>
        <v/>
      </c>
      <c r="G22">
        <f>IF(ISBLANK('CONFIGURAÇÃO'!$DU$238),"",'CONFIGURAÇÃO'!$DU$238)</f>
        <v/>
      </c>
      <c r="H22">
        <f>IF(ISBLANK('CONFIGURAÇÃO'!$DR$241),"",'CONFIGURAÇÃO'!$DR$241)</f>
        <v/>
      </c>
      <c r="I22">
        <f>IF(ISBLANK('CONFIGURAÇÃO'!$DV$233),"",'CONFIGURAÇÃO'!$DV$233)</f>
        <v/>
      </c>
      <c r="J22">
        <f>IF(OR(E22="",E22="Nenhuma"),0,IFERROR(MATCH(SUBSTITUTE(SUBSTITUTE(SUBSTITUTE(E22,"~","~~"),"*","~*"),"?","~?"),'DADOS_RESTRICOES'!$M$2:$M$24,0),-1))</f>
        <v/>
      </c>
      <c r="K22">
        <f>IF(D22="",IF(OR(F22&lt;&gt;"",G22&lt;&gt;"",H22&lt;&gt;"",I22=TRUE,AND(E22&lt;&gt;"",E22&lt;&gt;"Nenhuma")),"Preencha NOME",""),TEXTJOIN(" · ",TRUE,IF(OR(NOT(ISTEXT(D22)),TRIM(D22)&lt;&gt;D22),"NOME precisa ser texto sem espaços nas pontas",""),IF(COUNTIF($D$2:$D$31,SUBSTITUTE(SUBSTITUTE(SUBSTITUTE(D22,"~","~~"),"*","~*"),"?","~?"))+COUNTIF('DADOS_RESTRICOES'!$M$2:$M$24,SUBSTITUTE(SUBSTITUTE(SUBSTITUTE(D22,"~","~~"),"*","~*"),"?","~?"))&gt;1,"Nome repetido no livro ou custom",""),IF(J22&lt;0,"Escolha uma BASE DO LIVRO válida",""),IF(ISLOGICAL(I22),"","MESTRE VIU deve ser caixa de seleção"),IF(AND(F22="",J22&lt;=0),"Escolha DEVOLUÇÃO",""),IF(AND(F22&lt;&gt;"",COUNTIF('DADOS_RESTRICOES'!$T$2:$T$3,SUBSTITUTE(SUBSTITUTE(SUBSTITUTE(F22,"~","~~"),"*","~*"),"?","~?"))&lt;&gt;1),"Peso ou devolução inválido",""),IF(AND(G22&lt;&gt;"",G22&lt;&gt;"Sim",G22&lt;&gt;"Não"),"Escolha Sim ou Não","")))</f>
        <v/>
      </c>
      <c r="M22">
        <f>IF(ISBLANK(DADOS_AM!$BM$22),"",DADOS_AM!$BM$22)</f>
        <v/>
      </c>
      <c r="N22">
        <f>IF(ISBLANK(DADOS_AM!$BN$22),"",DADOS_AM!$BN$22)</f>
        <v/>
      </c>
      <c r="O22">
        <f>IF(ISBLANK(DADOS_AM!$BO$22),"",DADOS_AM!$BO$22)</f>
        <v/>
      </c>
      <c r="P22">
        <f>IF(ISBLANK(DADOS_AM!$BP$22),"",DADOS_AM!$BP$22)</f>
        <v/>
      </c>
      <c r="Q22">
        <f>IF(ISBLANK(DADOS_AM!$BQ$22),"",DADOS_AM!$BQ$22)</f>
        <v/>
      </c>
      <c r="V22" t="inlineStr">
        <is>
          <t>Barulho</t>
        </is>
      </c>
    </row>
    <row r="23">
      <c r="A23" t="n">
        <v>1624</v>
      </c>
      <c r="B23" t="n">
        <v>8</v>
      </c>
      <c r="C23" t="n">
        <v>22</v>
      </c>
      <c r="D23">
        <f>IF(ISBLANK('CONFIGURAÇÃO'!$DZ$235),"",'CONFIGURAÇÃO'!$DZ$235)</f>
        <v/>
      </c>
      <c r="E23">
        <f>IF(ISBLANK('CONFIGURAÇÃO'!$EC$236),"",'CONFIGURAÇÃO'!$EC$236)</f>
        <v/>
      </c>
      <c r="F23">
        <f>IF(ISBLANK('CONFIGURAÇÃO'!$EC$237),"",'CONFIGURAÇÃO'!$EC$237)</f>
        <v/>
      </c>
      <c r="G23">
        <f>IF(ISBLANK('CONFIGURAÇÃO'!$EC$238),"",'CONFIGURAÇÃO'!$EC$238)</f>
        <v/>
      </c>
      <c r="H23">
        <f>IF(ISBLANK('CONFIGURAÇÃO'!$DZ$241),"",'CONFIGURAÇÃO'!$DZ$241)</f>
        <v/>
      </c>
      <c r="I23">
        <f>IF(ISBLANK('CONFIGURAÇÃO'!$ED$233),"",'CONFIGURAÇÃO'!$ED$233)</f>
        <v/>
      </c>
      <c r="J23">
        <f>IF(OR(E23="",E23="Nenhuma"),0,IFERROR(MATCH(SUBSTITUTE(SUBSTITUTE(SUBSTITUTE(E23,"~","~~"),"*","~*"),"?","~?"),'DADOS_RESTRICOES'!$M$2:$M$24,0),-1))</f>
        <v/>
      </c>
      <c r="K23">
        <f>IF(D23="",IF(OR(F23&lt;&gt;"",G23&lt;&gt;"",H23&lt;&gt;"",I23=TRUE,AND(E23&lt;&gt;"",E23&lt;&gt;"Nenhuma")),"Preencha NOME",""),TEXTJOIN(" · ",TRUE,IF(OR(NOT(ISTEXT(D23)),TRIM(D23)&lt;&gt;D23),"NOME precisa ser texto sem espaços nas pontas",""),IF(COUNTIF($D$2:$D$31,SUBSTITUTE(SUBSTITUTE(SUBSTITUTE(D23,"~","~~"),"*","~*"),"?","~?"))+COUNTIF('DADOS_RESTRICOES'!$M$2:$M$24,SUBSTITUTE(SUBSTITUTE(SUBSTITUTE(D23,"~","~~"),"*","~*"),"?","~?"))&gt;1,"Nome repetido no livro ou custom",""),IF(J23&lt;0,"Escolha uma BASE DO LIVRO válida",""),IF(ISLOGICAL(I23),"","MESTRE VIU deve ser caixa de seleção"),IF(AND(F23="",J23&lt;=0),"Escolha DEVOLUÇÃO",""),IF(AND(F23&lt;&gt;"",COUNTIF('DADOS_RESTRICOES'!$T$2:$T$3,SUBSTITUTE(SUBSTITUTE(SUBSTITUTE(F23,"~","~~"),"*","~*"),"?","~?"))&lt;&gt;1),"Peso ou devolução inválido",""),IF(AND(G23&lt;&gt;"",G23&lt;&gt;"Sim",G23&lt;&gt;"Não"),"Escolha Sim ou Não","")))</f>
        <v/>
      </c>
      <c r="M23">
        <f>IF(ISBLANK(DADOS_AM!$BM$23),"",DADOS_AM!$BM$23)</f>
        <v/>
      </c>
      <c r="N23">
        <f>IF(ISBLANK(DADOS_AM!$BN$23),"",DADOS_AM!$BN$23)</f>
        <v/>
      </c>
      <c r="O23">
        <f>IF(ISBLANK(DADOS_AM!$BO$23),"",DADOS_AM!$BO$23)</f>
        <v/>
      </c>
      <c r="P23">
        <f>IF(ISBLANK(DADOS_AM!$BP$23),"",DADOS_AM!$BP$23)</f>
        <v/>
      </c>
      <c r="Q23">
        <f>IF(ISBLANK(DADOS_AM!$BQ$23),"",DADOS_AM!$BQ$23)</f>
        <v/>
      </c>
      <c r="V23" t="inlineStr">
        <is>
          <t>Assinatura</t>
        </is>
      </c>
    </row>
    <row r="24">
      <c r="A24" t="n">
        <v>1646</v>
      </c>
      <c r="B24" t="n">
        <v>0</v>
      </c>
      <c r="C24" t="n">
        <v>23</v>
      </c>
      <c r="D24">
        <f>IF(ISBLANK('CONFIGURAÇÃO'!$DR$257),"",'CONFIGURAÇÃO'!$DR$257)</f>
        <v/>
      </c>
      <c r="E24">
        <f>IF(ISBLANK('CONFIGURAÇÃO'!$DU$258),"",'CONFIGURAÇÃO'!$DU$258)</f>
        <v/>
      </c>
      <c r="F24">
        <f>IF(ISBLANK('CONFIGURAÇÃO'!$DU$259),"",'CONFIGURAÇÃO'!$DU$259)</f>
        <v/>
      </c>
      <c r="G24">
        <f>IF(ISBLANK('CONFIGURAÇÃO'!$DU$260),"",'CONFIGURAÇÃO'!$DU$260)</f>
        <v/>
      </c>
      <c r="H24">
        <f>IF(ISBLANK('CONFIGURAÇÃO'!$DR$263),"",'CONFIGURAÇÃO'!$DR$263)</f>
        <v/>
      </c>
      <c r="I24">
        <f>IF(ISBLANK('CONFIGURAÇÃO'!$DV$255),"",'CONFIGURAÇÃO'!$DV$255)</f>
        <v/>
      </c>
      <c r="J24">
        <f>IF(OR(E24="",E24="Nenhuma"),0,IFERROR(MATCH(SUBSTITUTE(SUBSTITUTE(SUBSTITUTE(E24,"~","~~"),"*","~*"),"?","~?"),'DADOS_RESTRICOES'!$M$2:$M$24,0),-1))</f>
        <v/>
      </c>
      <c r="K24">
        <f>IF(D24="",IF(OR(F24&lt;&gt;"",G24&lt;&gt;"",H24&lt;&gt;"",I24=TRUE,AND(E24&lt;&gt;"",E24&lt;&gt;"Nenhuma")),"Preencha NOME",""),TEXTJOIN(" · ",TRUE,IF(OR(NOT(ISTEXT(D24)),TRIM(D24)&lt;&gt;D24),"NOME precisa ser texto sem espaços nas pontas",""),IF(COUNTIF($D$2:$D$31,SUBSTITUTE(SUBSTITUTE(SUBSTITUTE(D24,"~","~~"),"*","~*"),"?","~?"))+COUNTIF('DADOS_RESTRICOES'!$M$2:$M$24,SUBSTITUTE(SUBSTITUTE(SUBSTITUTE(D24,"~","~~"),"*","~*"),"?","~?"))&gt;1,"Nome repetido no livro ou custom",""),IF(J24&lt;0,"Escolha uma BASE DO LIVRO válida",""),IF(ISLOGICAL(I24),"","MESTRE VIU deve ser caixa de seleção"),IF(AND(F24="",J24&lt;=0),"Escolha DEVOLUÇÃO",""),IF(AND(F24&lt;&gt;"",COUNTIF('DADOS_RESTRICOES'!$T$2:$T$3,SUBSTITUTE(SUBSTITUTE(SUBSTITUTE(F24,"~","~~"),"*","~*"),"?","~?"))&lt;&gt;1),"Peso ou devolução inválido",""),IF(AND(G24&lt;&gt;"",G24&lt;&gt;"Sim",G24&lt;&gt;"Não"),"Escolha Sim ou Não","")))</f>
        <v/>
      </c>
      <c r="M24">
        <f>IF(ISBLANK(DADOS_AM!$BM$24),"",DADOS_AM!$BM$24)</f>
        <v/>
      </c>
      <c r="N24">
        <f>IF(ISBLANK(DADOS_AM!$BN$24),"",DADOS_AM!$BN$24)</f>
        <v/>
      </c>
      <c r="O24">
        <f>IF(ISBLANK(DADOS_AM!$BO$24),"",DADOS_AM!$BO$24)</f>
        <v/>
      </c>
      <c r="P24">
        <f>IF(ISBLANK(DADOS_AM!$BP$24),"",DADOS_AM!$BP$24)</f>
        <v/>
      </c>
      <c r="Q24">
        <f>IF(ISBLANK(DADOS_AM!$BQ$24),"",DADOS_AM!$BQ$24)</f>
        <v/>
      </c>
      <c r="V24" t="inlineStr">
        <is>
          <t>Restrição Própria (Leve)</t>
        </is>
      </c>
    </row>
    <row r="25">
      <c r="A25" t="n">
        <v>1646</v>
      </c>
      <c r="B25" t="n">
        <v>8</v>
      </c>
      <c r="C25" t="n">
        <v>24</v>
      </c>
      <c r="D25">
        <f>IF(ISBLANK('CONFIGURAÇÃO'!$DZ$257),"",'CONFIGURAÇÃO'!$DZ$257)</f>
        <v/>
      </c>
      <c r="E25">
        <f>IF(ISBLANK('CONFIGURAÇÃO'!$EC$258),"",'CONFIGURAÇÃO'!$EC$258)</f>
        <v/>
      </c>
      <c r="F25">
        <f>IF(ISBLANK('CONFIGURAÇÃO'!$EC$259),"",'CONFIGURAÇÃO'!$EC$259)</f>
        <v/>
      </c>
      <c r="G25">
        <f>IF(ISBLANK('CONFIGURAÇÃO'!$EC$260),"",'CONFIGURAÇÃO'!$EC$260)</f>
        <v/>
      </c>
      <c r="H25">
        <f>IF(ISBLANK('CONFIGURAÇÃO'!$DZ$263),"",'CONFIGURAÇÃO'!$DZ$263)</f>
        <v/>
      </c>
      <c r="I25">
        <f>IF(ISBLANK('CONFIGURAÇÃO'!$ED$255),"",'CONFIGURAÇÃO'!$ED$255)</f>
        <v/>
      </c>
      <c r="J25">
        <f>IF(OR(E25="",E25="Nenhuma"),0,IFERROR(MATCH(SUBSTITUTE(SUBSTITUTE(SUBSTITUTE(E25,"~","~~"),"*","~*"),"?","~?"),'DADOS_RESTRICOES'!$M$2:$M$24,0),-1))</f>
        <v/>
      </c>
      <c r="K25">
        <f>IF(D25="",IF(OR(F25&lt;&gt;"",G25&lt;&gt;"",H25&lt;&gt;"",I25=TRUE,AND(E25&lt;&gt;"",E25&lt;&gt;"Nenhuma")),"Preencha NOME",""),TEXTJOIN(" · ",TRUE,IF(OR(NOT(ISTEXT(D25)),TRIM(D25)&lt;&gt;D25),"NOME precisa ser texto sem espaços nas pontas",""),IF(COUNTIF($D$2:$D$31,SUBSTITUTE(SUBSTITUTE(SUBSTITUTE(D25,"~","~~"),"*","~*"),"?","~?"))+COUNTIF('DADOS_RESTRICOES'!$M$2:$M$24,SUBSTITUTE(SUBSTITUTE(SUBSTITUTE(D25,"~","~~"),"*","~*"),"?","~?"))&gt;1,"Nome repetido no livro ou custom",""),IF(J25&lt;0,"Escolha uma BASE DO LIVRO válida",""),IF(ISLOGICAL(I25),"","MESTRE VIU deve ser caixa de seleção"),IF(AND(F25="",J25&lt;=0),"Escolha DEVOLUÇÃO",""),IF(AND(F25&lt;&gt;"",COUNTIF('DADOS_RESTRICOES'!$T$2:$T$3,SUBSTITUTE(SUBSTITUTE(SUBSTITUTE(F25,"~","~~"),"*","~*"),"?","~?"))&lt;&gt;1),"Peso ou devolução inválido",""),IF(AND(G25&lt;&gt;"",G25&lt;&gt;"Sim",G25&lt;&gt;"Não"),"Escolha Sim ou Não","")))</f>
        <v/>
      </c>
      <c r="M25">
        <f>IF(AND(D2&lt;&gt;"",K2=""),D2,"")</f>
        <v/>
      </c>
      <c r="N25">
        <f>IF(M25="","",IF(J2&gt;0,INDEX($N$2:$N$24,J2),D2))</f>
        <v/>
      </c>
      <c r="O25">
        <f>IF(M25="",0,IF(F2&lt;&gt;"",IFERROR(MATCH(F2,'DADOS_RESTRICOES'!$T$2:$T$3,0),0),IF(J2&gt;0,INDEX('DADOS_RESTRICOES'!$O$2:$O$24,J2),0)))</f>
        <v/>
      </c>
      <c r="P25">
        <f>IF(M25="",0,IF(G2="",IF(J2&gt;0,INDEX('DADOS_RESTRICOES'!$P$2:$P$24,J2),0),IF(G2="Sim",1,0)))</f>
        <v/>
      </c>
      <c r="Q25">
        <f>IF(M25="","",IF(O25=1,M25,""))</f>
        <v/>
      </c>
      <c r="V25" t="inlineStr">
        <is>
          <t>Restrição Própria (Média)</t>
        </is>
      </c>
    </row>
    <row r="26">
      <c r="A26" t="n">
        <v>1668</v>
      </c>
      <c r="B26" t="n">
        <v>0</v>
      </c>
      <c r="C26" t="n">
        <v>25</v>
      </c>
      <c r="D26">
        <f>IF(ISBLANK('CONFIGURAÇÃO'!$DR$279),"",'CONFIGURAÇÃO'!$DR$279)</f>
        <v/>
      </c>
      <c r="E26">
        <f>IF(ISBLANK('CONFIGURAÇÃO'!$DU$280),"",'CONFIGURAÇÃO'!$DU$280)</f>
        <v/>
      </c>
      <c r="F26">
        <f>IF(ISBLANK('CONFIGURAÇÃO'!$DU$281),"",'CONFIGURAÇÃO'!$DU$281)</f>
        <v/>
      </c>
      <c r="G26">
        <f>IF(ISBLANK('CONFIGURAÇÃO'!$DU$282),"",'CONFIGURAÇÃO'!$DU$282)</f>
        <v/>
      </c>
      <c r="H26">
        <f>IF(ISBLANK('CONFIGURAÇÃO'!$DR$285),"",'CONFIGURAÇÃO'!$DR$285)</f>
        <v/>
      </c>
      <c r="I26">
        <f>IF(ISBLANK('CONFIGURAÇÃO'!$DV$277),"",'CONFIGURAÇÃO'!$DV$277)</f>
        <v/>
      </c>
      <c r="J26">
        <f>IF(OR(E26="",E26="Nenhuma"),0,IFERROR(MATCH(SUBSTITUTE(SUBSTITUTE(SUBSTITUTE(E26,"~","~~"),"*","~*"),"?","~?"),'DADOS_RESTRICOES'!$M$2:$M$24,0),-1))</f>
        <v/>
      </c>
      <c r="K26">
        <f>IF(D26="",IF(OR(F26&lt;&gt;"",G26&lt;&gt;"",H26&lt;&gt;"",I26=TRUE,AND(E26&lt;&gt;"",E26&lt;&gt;"Nenhuma")),"Preencha NOME",""),TEXTJOIN(" · ",TRUE,IF(OR(NOT(ISTEXT(D26)),TRIM(D26)&lt;&gt;D26),"NOME precisa ser texto sem espaços nas pontas",""),IF(COUNTIF($D$2:$D$31,SUBSTITUTE(SUBSTITUTE(SUBSTITUTE(D26,"~","~~"),"*","~*"),"?","~?"))+COUNTIF('DADOS_RESTRICOES'!$M$2:$M$24,SUBSTITUTE(SUBSTITUTE(SUBSTITUTE(D26,"~","~~"),"*","~*"),"?","~?"))&gt;1,"Nome repetido no livro ou custom",""),IF(J26&lt;0,"Escolha uma BASE DO LIVRO válida",""),IF(ISLOGICAL(I26),"","MESTRE VIU deve ser caixa de seleção"),IF(AND(F26="",J26&lt;=0),"Escolha DEVOLUÇÃO",""),IF(AND(F26&lt;&gt;"",COUNTIF('DADOS_RESTRICOES'!$T$2:$T$3,SUBSTITUTE(SUBSTITUTE(SUBSTITUTE(F26,"~","~~"),"*","~*"),"?","~?"))&lt;&gt;1),"Peso ou devolução inválido",""),IF(AND(G26&lt;&gt;"",G26&lt;&gt;"Sim",G26&lt;&gt;"Não"),"Escolha Sim ou Não","")))</f>
        <v/>
      </c>
      <c r="M26">
        <f>IF(AND(D3&lt;&gt;"",K3=""),D3,"")</f>
        <v/>
      </c>
      <c r="N26">
        <f>IF(M26="","",IF(J3&gt;0,INDEX($N$2:$N$24,J3),D3))</f>
        <v/>
      </c>
      <c r="O26">
        <f>IF(M26="",0,IF(F3&lt;&gt;"",IFERROR(MATCH(F3,'DADOS_RESTRICOES'!$T$2:$T$3,0),0),IF(J3&gt;0,INDEX('DADOS_RESTRICOES'!$O$2:$O$24,J3),0)))</f>
        <v/>
      </c>
      <c r="P26">
        <f>IF(M26="",0,IF(G3="",IF(J3&gt;0,INDEX('DADOS_RESTRICOES'!$P$2:$P$24,J3),0),IF(G3="Sim",1,0)))</f>
        <v/>
      </c>
      <c r="Q26">
        <f>IF(M26="","",IF(O26=1,M26,""))</f>
        <v/>
      </c>
    </row>
    <row r="27">
      <c r="A27" t="n">
        <v>1668</v>
      </c>
      <c r="B27" t="n">
        <v>8</v>
      </c>
      <c r="C27" t="n">
        <v>26</v>
      </c>
      <c r="D27">
        <f>IF(ISBLANK('CONFIGURAÇÃO'!$DZ$279),"",'CONFIGURAÇÃO'!$DZ$279)</f>
        <v/>
      </c>
      <c r="E27">
        <f>IF(ISBLANK('CONFIGURAÇÃO'!$EC$280),"",'CONFIGURAÇÃO'!$EC$280)</f>
        <v/>
      </c>
      <c r="F27">
        <f>IF(ISBLANK('CONFIGURAÇÃO'!$EC$281),"",'CONFIGURAÇÃO'!$EC$281)</f>
        <v/>
      </c>
      <c r="G27">
        <f>IF(ISBLANK('CONFIGURAÇÃO'!$EC$282),"",'CONFIGURAÇÃO'!$EC$282)</f>
        <v/>
      </c>
      <c r="H27">
        <f>IF(ISBLANK('CONFIGURAÇÃO'!$DZ$285),"",'CONFIGURAÇÃO'!$DZ$285)</f>
        <v/>
      </c>
      <c r="I27">
        <f>IF(ISBLANK('CONFIGURAÇÃO'!$ED$277),"",'CONFIGURAÇÃO'!$ED$277)</f>
        <v/>
      </c>
      <c r="J27">
        <f>IF(OR(E27="",E27="Nenhuma"),0,IFERROR(MATCH(SUBSTITUTE(SUBSTITUTE(SUBSTITUTE(E27,"~","~~"),"*","~*"),"?","~?"),'DADOS_RESTRICOES'!$M$2:$M$24,0),-1))</f>
        <v/>
      </c>
      <c r="K27">
        <f>IF(D27="",IF(OR(F27&lt;&gt;"",G27&lt;&gt;"",H27&lt;&gt;"",I27=TRUE,AND(E27&lt;&gt;"",E27&lt;&gt;"Nenhuma")),"Preencha NOME",""),TEXTJOIN(" · ",TRUE,IF(OR(NOT(ISTEXT(D27)),TRIM(D27)&lt;&gt;D27),"NOME precisa ser texto sem espaços nas pontas",""),IF(COUNTIF($D$2:$D$31,SUBSTITUTE(SUBSTITUTE(SUBSTITUTE(D27,"~","~~"),"*","~*"),"?","~?"))+COUNTIF('DADOS_RESTRICOES'!$M$2:$M$24,SUBSTITUTE(SUBSTITUTE(SUBSTITUTE(D27,"~","~~"),"*","~*"),"?","~?"))&gt;1,"Nome repetido no livro ou custom",""),IF(J27&lt;0,"Escolha uma BASE DO LIVRO válida",""),IF(ISLOGICAL(I27),"","MESTRE VIU deve ser caixa de seleção"),IF(AND(F27="",J27&lt;=0),"Escolha DEVOLUÇÃO",""),IF(AND(F27&lt;&gt;"",COUNTIF('DADOS_RESTRICOES'!$T$2:$T$3,SUBSTITUTE(SUBSTITUTE(SUBSTITUTE(F27,"~","~~"),"*","~*"),"?","~?"))&lt;&gt;1),"Peso ou devolução inválido",""),IF(AND(G27&lt;&gt;"",G27&lt;&gt;"Sim",G27&lt;&gt;"Não"),"Escolha Sim ou Não","")))</f>
        <v/>
      </c>
      <c r="M27">
        <f>IF(AND(D4&lt;&gt;"",K4=""),D4,"")</f>
        <v/>
      </c>
      <c r="N27">
        <f>IF(M27="","",IF(J4&gt;0,INDEX($N$2:$N$24,J4),D4))</f>
        <v/>
      </c>
      <c r="O27">
        <f>IF(M27="",0,IF(F4&lt;&gt;"",IFERROR(MATCH(F4,'DADOS_RESTRICOES'!$T$2:$T$3,0),0),IF(J4&gt;0,INDEX('DADOS_RESTRICOES'!$O$2:$O$24,J4),0)))</f>
        <v/>
      </c>
      <c r="P27">
        <f>IF(M27="",0,IF(G4="",IF(J4&gt;0,INDEX('DADOS_RESTRICOES'!$P$2:$P$24,J4),0),IF(G4="Sim",1,0)))</f>
        <v/>
      </c>
      <c r="Q27">
        <f>IF(M27="","",IF(O27=1,M27,""))</f>
        <v/>
      </c>
    </row>
    <row r="28">
      <c r="A28" t="n">
        <v>1690</v>
      </c>
      <c r="B28" t="n">
        <v>0</v>
      </c>
      <c r="C28" t="n">
        <v>27</v>
      </c>
      <c r="D28">
        <f>IF(ISBLANK('CONFIGURAÇÃO'!$DR$301),"",'CONFIGURAÇÃO'!$DR$301)</f>
        <v/>
      </c>
      <c r="E28">
        <f>IF(ISBLANK('CONFIGURAÇÃO'!$DU$302),"",'CONFIGURAÇÃO'!$DU$302)</f>
        <v/>
      </c>
      <c r="F28">
        <f>IF(ISBLANK('CONFIGURAÇÃO'!$DU$303),"",'CONFIGURAÇÃO'!$DU$303)</f>
        <v/>
      </c>
      <c r="G28">
        <f>IF(ISBLANK('CONFIGURAÇÃO'!$DU$304),"",'CONFIGURAÇÃO'!$DU$304)</f>
        <v/>
      </c>
      <c r="H28">
        <f>IF(ISBLANK('CONFIGURAÇÃO'!$DR$307),"",'CONFIGURAÇÃO'!$DR$307)</f>
        <v/>
      </c>
      <c r="I28">
        <f>IF(ISBLANK('CONFIGURAÇÃO'!$DV$299),"",'CONFIGURAÇÃO'!$DV$299)</f>
        <v/>
      </c>
      <c r="J28">
        <f>IF(OR(E28="",E28="Nenhuma"),0,IFERROR(MATCH(SUBSTITUTE(SUBSTITUTE(SUBSTITUTE(E28,"~","~~"),"*","~*"),"?","~?"),'DADOS_RESTRICOES'!$M$2:$M$24,0),-1))</f>
        <v/>
      </c>
      <c r="K28">
        <f>IF(D28="",IF(OR(F28&lt;&gt;"",G28&lt;&gt;"",H28&lt;&gt;"",I28=TRUE,AND(E28&lt;&gt;"",E28&lt;&gt;"Nenhuma")),"Preencha NOME",""),TEXTJOIN(" · ",TRUE,IF(OR(NOT(ISTEXT(D28)),TRIM(D28)&lt;&gt;D28),"NOME precisa ser texto sem espaços nas pontas",""),IF(COUNTIF($D$2:$D$31,SUBSTITUTE(SUBSTITUTE(SUBSTITUTE(D28,"~","~~"),"*","~*"),"?","~?"))+COUNTIF('DADOS_RESTRICOES'!$M$2:$M$24,SUBSTITUTE(SUBSTITUTE(SUBSTITUTE(D28,"~","~~"),"*","~*"),"?","~?"))&gt;1,"Nome repetido no livro ou custom",""),IF(J28&lt;0,"Escolha uma BASE DO LIVRO válida",""),IF(ISLOGICAL(I28),"","MESTRE VIU deve ser caixa de seleção"),IF(AND(F28="",J28&lt;=0),"Escolha DEVOLUÇÃO",""),IF(AND(F28&lt;&gt;"",COUNTIF('DADOS_RESTRICOES'!$T$2:$T$3,SUBSTITUTE(SUBSTITUTE(SUBSTITUTE(F28,"~","~~"),"*","~*"),"?","~?"))&lt;&gt;1),"Peso ou devolução inválido",""),IF(AND(G28&lt;&gt;"",G28&lt;&gt;"Sim",G28&lt;&gt;"Não"),"Escolha Sim ou Não","")))</f>
        <v/>
      </c>
      <c r="M28">
        <f>IF(AND(D5&lt;&gt;"",K5=""),D5,"")</f>
        <v/>
      </c>
      <c r="N28">
        <f>IF(M28="","",IF(J5&gt;0,INDEX($N$2:$N$24,J5),D5))</f>
        <v/>
      </c>
      <c r="O28">
        <f>IF(M28="",0,IF(F5&lt;&gt;"",IFERROR(MATCH(F5,'DADOS_RESTRICOES'!$T$2:$T$3,0),0),IF(J5&gt;0,INDEX('DADOS_RESTRICOES'!$O$2:$O$24,J5),0)))</f>
        <v/>
      </c>
      <c r="P28">
        <f>IF(M28="",0,IF(G5="",IF(J5&gt;0,INDEX('DADOS_RESTRICOES'!$P$2:$P$24,J5),0),IF(G5="Sim",1,0)))</f>
        <v/>
      </c>
      <c r="Q28">
        <f>IF(M28="","",IF(O28=1,M28,""))</f>
        <v/>
      </c>
    </row>
    <row r="29">
      <c r="A29" t="n">
        <v>1690</v>
      </c>
      <c r="B29" t="n">
        <v>8</v>
      </c>
      <c r="C29" t="n">
        <v>28</v>
      </c>
      <c r="D29">
        <f>IF(ISBLANK('CONFIGURAÇÃO'!$DZ$301),"",'CONFIGURAÇÃO'!$DZ$301)</f>
        <v/>
      </c>
      <c r="E29">
        <f>IF(ISBLANK('CONFIGURAÇÃO'!$EC$302),"",'CONFIGURAÇÃO'!$EC$302)</f>
        <v/>
      </c>
      <c r="F29">
        <f>IF(ISBLANK('CONFIGURAÇÃO'!$EC$303),"",'CONFIGURAÇÃO'!$EC$303)</f>
        <v/>
      </c>
      <c r="G29">
        <f>IF(ISBLANK('CONFIGURAÇÃO'!$EC$304),"",'CONFIGURAÇÃO'!$EC$304)</f>
        <v/>
      </c>
      <c r="H29">
        <f>IF(ISBLANK('CONFIGURAÇÃO'!$DZ$307),"",'CONFIGURAÇÃO'!$DZ$307)</f>
        <v/>
      </c>
      <c r="I29">
        <f>IF(ISBLANK('CONFIGURAÇÃO'!$ED$299),"",'CONFIGURAÇÃO'!$ED$299)</f>
        <v/>
      </c>
      <c r="J29">
        <f>IF(OR(E29="",E29="Nenhuma"),0,IFERROR(MATCH(SUBSTITUTE(SUBSTITUTE(SUBSTITUTE(E29,"~","~~"),"*","~*"),"?","~?"),'DADOS_RESTRICOES'!$M$2:$M$24,0),-1))</f>
        <v/>
      </c>
      <c r="K29">
        <f>IF(D29="",IF(OR(F29&lt;&gt;"",G29&lt;&gt;"",H29&lt;&gt;"",I29=TRUE,AND(E29&lt;&gt;"",E29&lt;&gt;"Nenhuma")),"Preencha NOME",""),TEXTJOIN(" · ",TRUE,IF(OR(NOT(ISTEXT(D29)),TRIM(D29)&lt;&gt;D29),"NOME precisa ser texto sem espaços nas pontas",""),IF(COUNTIF($D$2:$D$31,SUBSTITUTE(SUBSTITUTE(SUBSTITUTE(D29,"~","~~"),"*","~*"),"?","~?"))+COUNTIF('DADOS_RESTRICOES'!$M$2:$M$24,SUBSTITUTE(SUBSTITUTE(SUBSTITUTE(D29,"~","~~"),"*","~*"),"?","~?"))&gt;1,"Nome repetido no livro ou custom",""),IF(J29&lt;0,"Escolha uma BASE DO LIVRO válida",""),IF(ISLOGICAL(I29),"","MESTRE VIU deve ser caixa de seleção"),IF(AND(F29="",J29&lt;=0),"Escolha DEVOLUÇÃO",""),IF(AND(F29&lt;&gt;"",COUNTIF('DADOS_RESTRICOES'!$T$2:$T$3,SUBSTITUTE(SUBSTITUTE(SUBSTITUTE(F29,"~","~~"),"*","~*"),"?","~?"))&lt;&gt;1),"Peso ou devolução inválido",""),IF(AND(G29&lt;&gt;"",G29&lt;&gt;"Sim",G29&lt;&gt;"Não"),"Escolha Sim ou Não","")))</f>
        <v/>
      </c>
      <c r="M29">
        <f>IF(AND(D6&lt;&gt;"",K6=""),D6,"")</f>
        <v/>
      </c>
      <c r="N29">
        <f>IF(M29="","",IF(J6&gt;0,INDEX($N$2:$N$24,J6),D6))</f>
        <v/>
      </c>
      <c r="O29">
        <f>IF(M29="",0,IF(F6&lt;&gt;"",IFERROR(MATCH(F6,'DADOS_RESTRICOES'!$T$2:$T$3,0),0),IF(J6&gt;0,INDEX('DADOS_RESTRICOES'!$O$2:$O$24,J6),0)))</f>
        <v/>
      </c>
      <c r="P29">
        <f>IF(M29="",0,IF(G6="",IF(J6&gt;0,INDEX('DADOS_RESTRICOES'!$P$2:$P$24,J6),0),IF(G6="Sim",1,0)))</f>
        <v/>
      </c>
      <c r="Q29">
        <f>IF(M29="","",IF(O29=1,M29,""))</f>
        <v/>
      </c>
    </row>
    <row r="30">
      <c r="A30" t="n">
        <v>1712</v>
      </c>
      <c r="B30" t="n">
        <v>0</v>
      </c>
      <c r="C30" t="n">
        <v>29</v>
      </c>
      <c r="D30">
        <f>IF(ISBLANK('CONFIGURAÇÃO'!$DR$323),"",'CONFIGURAÇÃO'!$DR$323)</f>
        <v/>
      </c>
      <c r="E30">
        <f>IF(ISBLANK('CONFIGURAÇÃO'!$DU$324),"",'CONFIGURAÇÃO'!$DU$324)</f>
        <v/>
      </c>
      <c r="F30">
        <f>IF(ISBLANK('CONFIGURAÇÃO'!$DU$325),"",'CONFIGURAÇÃO'!$DU$325)</f>
        <v/>
      </c>
      <c r="G30">
        <f>IF(ISBLANK('CONFIGURAÇÃO'!$DU$326),"",'CONFIGURAÇÃO'!$DU$326)</f>
        <v/>
      </c>
      <c r="H30">
        <f>IF(ISBLANK('CONFIGURAÇÃO'!$DR$329),"",'CONFIGURAÇÃO'!$DR$329)</f>
        <v/>
      </c>
      <c r="I30">
        <f>IF(ISBLANK('CONFIGURAÇÃO'!$DV$321),"",'CONFIGURAÇÃO'!$DV$321)</f>
        <v/>
      </c>
      <c r="J30">
        <f>IF(OR(E30="",E30="Nenhuma"),0,IFERROR(MATCH(SUBSTITUTE(SUBSTITUTE(SUBSTITUTE(E30,"~","~~"),"*","~*"),"?","~?"),'DADOS_RESTRICOES'!$M$2:$M$24,0),-1))</f>
        <v/>
      </c>
      <c r="K30">
        <f>IF(D30="",IF(OR(F30&lt;&gt;"",G30&lt;&gt;"",H30&lt;&gt;"",I30=TRUE,AND(E30&lt;&gt;"",E30&lt;&gt;"Nenhuma")),"Preencha NOME",""),TEXTJOIN(" · ",TRUE,IF(OR(NOT(ISTEXT(D30)),TRIM(D30)&lt;&gt;D30),"NOME precisa ser texto sem espaços nas pontas",""),IF(COUNTIF($D$2:$D$31,SUBSTITUTE(SUBSTITUTE(SUBSTITUTE(D30,"~","~~"),"*","~*"),"?","~?"))+COUNTIF('DADOS_RESTRICOES'!$M$2:$M$24,SUBSTITUTE(SUBSTITUTE(SUBSTITUTE(D30,"~","~~"),"*","~*"),"?","~?"))&gt;1,"Nome repetido no livro ou custom",""),IF(J30&lt;0,"Escolha uma BASE DO LIVRO válida",""),IF(ISLOGICAL(I30),"","MESTRE VIU deve ser caixa de seleção"),IF(AND(F30="",J30&lt;=0),"Escolha DEVOLUÇÃO",""),IF(AND(F30&lt;&gt;"",COUNTIF('DADOS_RESTRICOES'!$T$2:$T$3,SUBSTITUTE(SUBSTITUTE(SUBSTITUTE(F30,"~","~~"),"*","~*"),"?","~?"))&lt;&gt;1),"Peso ou devolução inválido",""),IF(AND(G30&lt;&gt;"",G30&lt;&gt;"Sim",G30&lt;&gt;"Não"),"Escolha Sim ou Não","")))</f>
        <v/>
      </c>
      <c r="M30">
        <f>IF(AND(D7&lt;&gt;"",K7=""),D7,"")</f>
        <v/>
      </c>
      <c r="N30">
        <f>IF(M30="","",IF(J7&gt;0,INDEX($N$2:$N$24,J7),D7))</f>
        <v/>
      </c>
      <c r="O30">
        <f>IF(M30="",0,IF(F7&lt;&gt;"",IFERROR(MATCH(F7,'DADOS_RESTRICOES'!$T$2:$T$3,0),0),IF(J7&gt;0,INDEX('DADOS_RESTRICOES'!$O$2:$O$24,J7),0)))</f>
        <v/>
      </c>
      <c r="P30">
        <f>IF(M30="",0,IF(G7="",IF(J7&gt;0,INDEX('DADOS_RESTRICOES'!$P$2:$P$24,J7),0),IF(G7="Sim",1,0)))</f>
        <v/>
      </c>
      <c r="Q30">
        <f>IF(M30="","",IF(O30=1,M30,""))</f>
        <v/>
      </c>
    </row>
    <row r="31">
      <c r="A31" t="n">
        <v>1712</v>
      </c>
      <c r="B31" t="n">
        <v>8</v>
      </c>
      <c r="C31" t="n">
        <v>30</v>
      </c>
      <c r="D31">
        <f>IF(ISBLANK('CONFIGURAÇÃO'!$DZ$323),"",'CONFIGURAÇÃO'!$DZ$323)</f>
        <v/>
      </c>
      <c r="E31">
        <f>IF(ISBLANK('CONFIGURAÇÃO'!$EC$324),"",'CONFIGURAÇÃO'!$EC$324)</f>
        <v/>
      </c>
      <c r="F31">
        <f>IF(ISBLANK('CONFIGURAÇÃO'!$EC$325),"",'CONFIGURAÇÃO'!$EC$325)</f>
        <v/>
      </c>
      <c r="G31">
        <f>IF(ISBLANK('CONFIGURAÇÃO'!$EC$326),"",'CONFIGURAÇÃO'!$EC$326)</f>
        <v/>
      </c>
      <c r="H31">
        <f>IF(ISBLANK('CONFIGURAÇÃO'!$DZ$329),"",'CONFIGURAÇÃO'!$DZ$329)</f>
        <v/>
      </c>
      <c r="I31">
        <f>IF(ISBLANK('CONFIGURAÇÃO'!$ED$321),"",'CONFIGURAÇÃO'!$ED$321)</f>
        <v/>
      </c>
      <c r="J31">
        <f>IF(OR(E31="",E31="Nenhuma"),0,IFERROR(MATCH(SUBSTITUTE(SUBSTITUTE(SUBSTITUTE(E31,"~","~~"),"*","~*"),"?","~?"),'DADOS_RESTRICOES'!$M$2:$M$24,0),-1))</f>
        <v/>
      </c>
      <c r="K31">
        <f>IF(D31="",IF(OR(F31&lt;&gt;"",G31&lt;&gt;"",H31&lt;&gt;"",I31=TRUE,AND(E31&lt;&gt;"",E31&lt;&gt;"Nenhuma")),"Preencha NOME",""),TEXTJOIN(" · ",TRUE,IF(OR(NOT(ISTEXT(D31)),TRIM(D31)&lt;&gt;D31),"NOME precisa ser texto sem espaços nas pontas",""),IF(COUNTIF($D$2:$D$31,SUBSTITUTE(SUBSTITUTE(SUBSTITUTE(D31,"~","~~"),"*","~*"),"?","~?"))+COUNTIF('DADOS_RESTRICOES'!$M$2:$M$24,SUBSTITUTE(SUBSTITUTE(SUBSTITUTE(D31,"~","~~"),"*","~*"),"?","~?"))&gt;1,"Nome repetido no livro ou custom",""),IF(J31&lt;0,"Escolha uma BASE DO LIVRO válida",""),IF(ISLOGICAL(I31),"","MESTRE VIU deve ser caixa de seleção"),IF(AND(F31="",J31&lt;=0),"Escolha DEVOLUÇÃO",""),IF(AND(F31&lt;&gt;"",COUNTIF('DADOS_RESTRICOES'!$T$2:$T$3,SUBSTITUTE(SUBSTITUTE(SUBSTITUTE(F31,"~","~~"),"*","~*"),"?","~?"))&lt;&gt;1),"Peso ou devolução inválido",""),IF(AND(G31&lt;&gt;"",G31&lt;&gt;"Sim",G31&lt;&gt;"Não"),"Escolha Sim ou Não","")))</f>
        <v/>
      </c>
      <c r="M31">
        <f>IF(AND(D8&lt;&gt;"",K8=""),D8,"")</f>
        <v/>
      </c>
      <c r="N31">
        <f>IF(M31="","",IF(J8&gt;0,INDEX($N$2:$N$24,J8),D8))</f>
        <v/>
      </c>
      <c r="O31">
        <f>IF(M31="",0,IF(F8&lt;&gt;"",IFERROR(MATCH(F8,'DADOS_RESTRICOES'!$T$2:$T$3,0),0),IF(J8&gt;0,INDEX('DADOS_RESTRICOES'!$O$2:$O$24,J8),0)))</f>
        <v/>
      </c>
      <c r="P31">
        <f>IF(M31="",0,IF(G8="",IF(J8&gt;0,INDEX('DADOS_RESTRICOES'!$P$2:$P$24,J8),0),IF(G8="Sim",1,0)))</f>
        <v/>
      </c>
      <c r="Q31">
        <f>IF(M31="","",IF(O31=1,M31,""))</f>
        <v/>
      </c>
    </row>
    <row r="32">
      <c r="M32">
        <f>IF(AND(D9&lt;&gt;"",K9=""),D9,"")</f>
        <v/>
      </c>
      <c r="N32">
        <f>IF(M32="","",IF(J9&gt;0,INDEX($N$2:$N$24,J9),D9))</f>
        <v/>
      </c>
      <c r="O32">
        <f>IF(M32="",0,IF(F9&lt;&gt;"",IFERROR(MATCH(F9,'DADOS_RESTRICOES'!$T$2:$T$3,0),0),IF(J9&gt;0,INDEX('DADOS_RESTRICOES'!$O$2:$O$24,J9),0)))</f>
        <v/>
      </c>
      <c r="P32">
        <f>IF(M32="",0,IF(G9="",IF(J9&gt;0,INDEX('DADOS_RESTRICOES'!$P$2:$P$24,J9),0),IF(G9="Sim",1,0)))</f>
        <v/>
      </c>
      <c r="Q32">
        <f>IF(M32="","",IF(O32=1,M32,""))</f>
        <v/>
      </c>
    </row>
    <row r="33">
      <c r="M33">
        <f>IF(AND(D10&lt;&gt;"",K10=""),D10,"")</f>
        <v/>
      </c>
      <c r="N33">
        <f>IF(M33="","",IF(J10&gt;0,INDEX($N$2:$N$24,J10),D10))</f>
        <v/>
      </c>
      <c r="O33">
        <f>IF(M33="",0,IF(F10&lt;&gt;"",IFERROR(MATCH(F10,'DADOS_RESTRICOES'!$T$2:$T$3,0),0),IF(J10&gt;0,INDEX('DADOS_RESTRICOES'!$O$2:$O$24,J10),0)))</f>
        <v/>
      </c>
      <c r="P33">
        <f>IF(M33="",0,IF(G10="",IF(J10&gt;0,INDEX('DADOS_RESTRICOES'!$P$2:$P$24,J10),0),IF(G10="Sim",1,0)))</f>
        <v/>
      </c>
      <c r="Q33">
        <f>IF(M33="","",IF(O33=1,M33,""))</f>
        <v/>
      </c>
    </row>
    <row r="34">
      <c r="M34">
        <f>IF(AND(D11&lt;&gt;"",K11=""),D11,"")</f>
        <v/>
      </c>
      <c r="N34">
        <f>IF(M34="","",IF(J11&gt;0,INDEX($N$2:$N$24,J11),D11))</f>
        <v/>
      </c>
      <c r="O34">
        <f>IF(M34="",0,IF(F11&lt;&gt;"",IFERROR(MATCH(F11,'DADOS_RESTRICOES'!$T$2:$T$3,0),0),IF(J11&gt;0,INDEX('DADOS_RESTRICOES'!$O$2:$O$24,J11),0)))</f>
        <v/>
      </c>
      <c r="P34">
        <f>IF(M34="",0,IF(G11="",IF(J11&gt;0,INDEX('DADOS_RESTRICOES'!$P$2:$P$24,J11),0),IF(G11="Sim",1,0)))</f>
        <v/>
      </c>
      <c r="Q34">
        <f>IF(M34="","",IF(O34=1,M34,""))</f>
        <v/>
      </c>
    </row>
    <row r="35">
      <c r="M35">
        <f>IF(AND(D12&lt;&gt;"",K12=""),D12,"")</f>
        <v/>
      </c>
      <c r="N35">
        <f>IF(M35="","",IF(J12&gt;0,INDEX($N$2:$N$24,J12),D12))</f>
        <v/>
      </c>
      <c r="O35">
        <f>IF(M35="",0,IF(F12&lt;&gt;"",IFERROR(MATCH(F12,'DADOS_RESTRICOES'!$T$2:$T$3,0),0),IF(J12&gt;0,INDEX('DADOS_RESTRICOES'!$O$2:$O$24,J12),0)))</f>
        <v/>
      </c>
      <c r="P35">
        <f>IF(M35="",0,IF(G12="",IF(J12&gt;0,INDEX('DADOS_RESTRICOES'!$P$2:$P$24,J12),0),IF(G12="Sim",1,0)))</f>
        <v/>
      </c>
      <c r="Q35">
        <f>IF(M35="","",IF(O35=1,M35,""))</f>
        <v/>
      </c>
    </row>
    <row r="36">
      <c r="M36">
        <f>IF(AND(D13&lt;&gt;"",K13=""),D13,"")</f>
        <v/>
      </c>
      <c r="N36">
        <f>IF(M36="","",IF(J13&gt;0,INDEX($N$2:$N$24,J13),D13))</f>
        <v/>
      </c>
      <c r="O36">
        <f>IF(M36="",0,IF(F13&lt;&gt;"",IFERROR(MATCH(F13,'DADOS_RESTRICOES'!$T$2:$T$3,0),0),IF(J13&gt;0,INDEX('DADOS_RESTRICOES'!$O$2:$O$24,J13),0)))</f>
        <v/>
      </c>
      <c r="P36">
        <f>IF(M36="",0,IF(G13="",IF(J13&gt;0,INDEX('DADOS_RESTRICOES'!$P$2:$P$24,J13),0),IF(G13="Sim",1,0)))</f>
        <v/>
      </c>
      <c r="Q36">
        <f>IF(M36="","",IF(O36=1,M36,""))</f>
        <v/>
      </c>
    </row>
    <row r="37">
      <c r="M37">
        <f>IF(AND(D14&lt;&gt;"",K14=""),D14,"")</f>
        <v/>
      </c>
      <c r="N37">
        <f>IF(M37="","",IF(J14&gt;0,INDEX($N$2:$N$24,J14),D14))</f>
        <v/>
      </c>
      <c r="O37">
        <f>IF(M37="",0,IF(F14&lt;&gt;"",IFERROR(MATCH(F14,'DADOS_RESTRICOES'!$T$2:$T$3,0),0),IF(J14&gt;0,INDEX('DADOS_RESTRICOES'!$O$2:$O$24,J14),0)))</f>
        <v/>
      </c>
      <c r="P37">
        <f>IF(M37="",0,IF(G14="",IF(J14&gt;0,INDEX('DADOS_RESTRICOES'!$P$2:$P$24,J14),0),IF(G14="Sim",1,0)))</f>
        <v/>
      </c>
      <c r="Q37">
        <f>IF(M37="","",IF(O37=1,M37,""))</f>
        <v/>
      </c>
    </row>
    <row r="38">
      <c r="M38">
        <f>IF(AND(D15&lt;&gt;"",K15=""),D15,"")</f>
        <v/>
      </c>
      <c r="N38">
        <f>IF(M38="","",IF(J15&gt;0,INDEX($N$2:$N$24,J15),D15))</f>
        <v/>
      </c>
      <c r="O38">
        <f>IF(M38="",0,IF(F15&lt;&gt;"",IFERROR(MATCH(F15,'DADOS_RESTRICOES'!$T$2:$T$3,0),0),IF(J15&gt;0,INDEX('DADOS_RESTRICOES'!$O$2:$O$24,J15),0)))</f>
        <v/>
      </c>
      <c r="P38">
        <f>IF(M38="",0,IF(G15="",IF(J15&gt;0,INDEX('DADOS_RESTRICOES'!$P$2:$P$24,J15),0),IF(G15="Sim",1,0)))</f>
        <v/>
      </c>
      <c r="Q38">
        <f>IF(M38="","",IF(O38=1,M38,""))</f>
        <v/>
      </c>
    </row>
    <row r="39">
      <c r="M39">
        <f>IF(AND(D16&lt;&gt;"",K16=""),D16,"")</f>
        <v/>
      </c>
      <c r="N39">
        <f>IF(M39="","",IF(J16&gt;0,INDEX($N$2:$N$24,J16),D16))</f>
        <v/>
      </c>
      <c r="O39">
        <f>IF(M39="",0,IF(F16&lt;&gt;"",IFERROR(MATCH(F16,'DADOS_RESTRICOES'!$T$2:$T$3,0),0),IF(J16&gt;0,INDEX('DADOS_RESTRICOES'!$O$2:$O$24,J16),0)))</f>
        <v/>
      </c>
      <c r="P39">
        <f>IF(M39="",0,IF(G16="",IF(J16&gt;0,INDEX('DADOS_RESTRICOES'!$P$2:$P$24,J16),0),IF(G16="Sim",1,0)))</f>
        <v/>
      </c>
      <c r="Q39">
        <f>IF(M39="","",IF(O39=1,M39,""))</f>
        <v/>
      </c>
    </row>
    <row r="40">
      <c r="M40">
        <f>IF(AND(D17&lt;&gt;"",K17=""),D17,"")</f>
        <v/>
      </c>
      <c r="N40">
        <f>IF(M40="","",IF(J17&gt;0,INDEX($N$2:$N$24,J17),D17))</f>
        <v/>
      </c>
      <c r="O40">
        <f>IF(M40="",0,IF(F17&lt;&gt;"",IFERROR(MATCH(F17,'DADOS_RESTRICOES'!$T$2:$T$3,0),0),IF(J17&gt;0,INDEX('DADOS_RESTRICOES'!$O$2:$O$24,J17),0)))</f>
        <v/>
      </c>
      <c r="P40">
        <f>IF(M40="",0,IF(G17="",IF(J17&gt;0,INDEX('DADOS_RESTRICOES'!$P$2:$P$24,J17),0),IF(G17="Sim",1,0)))</f>
        <v/>
      </c>
      <c r="Q40">
        <f>IF(M40="","",IF(O40=1,M40,""))</f>
        <v/>
      </c>
    </row>
    <row r="41">
      <c r="M41">
        <f>IF(AND(D18&lt;&gt;"",K18=""),D18,"")</f>
        <v/>
      </c>
      <c r="N41">
        <f>IF(M41="","",IF(J18&gt;0,INDEX($N$2:$N$24,J18),D18))</f>
        <v/>
      </c>
      <c r="O41">
        <f>IF(M41="",0,IF(F18&lt;&gt;"",IFERROR(MATCH(F18,'DADOS_RESTRICOES'!$T$2:$T$3,0),0),IF(J18&gt;0,INDEX('DADOS_RESTRICOES'!$O$2:$O$24,J18),0)))</f>
        <v/>
      </c>
      <c r="P41">
        <f>IF(M41="",0,IF(G18="",IF(J18&gt;0,INDEX('DADOS_RESTRICOES'!$P$2:$P$24,J18),0),IF(G18="Sim",1,0)))</f>
        <v/>
      </c>
      <c r="Q41">
        <f>IF(M41="","",IF(O41=1,M41,""))</f>
        <v/>
      </c>
    </row>
    <row r="42">
      <c r="M42">
        <f>IF(AND(D19&lt;&gt;"",K19=""),D19,"")</f>
        <v/>
      </c>
      <c r="N42">
        <f>IF(M42="","",IF(J19&gt;0,INDEX($N$2:$N$24,J19),D19))</f>
        <v/>
      </c>
      <c r="O42">
        <f>IF(M42="",0,IF(F19&lt;&gt;"",IFERROR(MATCH(F19,'DADOS_RESTRICOES'!$T$2:$T$3,0),0),IF(J19&gt;0,INDEX('DADOS_RESTRICOES'!$O$2:$O$24,J19),0)))</f>
        <v/>
      </c>
      <c r="P42">
        <f>IF(M42="",0,IF(G19="",IF(J19&gt;0,INDEX('DADOS_RESTRICOES'!$P$2:$P$24,J19),0),IF(G19="Sim",1,0)))</f>
        <v/>
      </c>
      <c r="Q42">
        <f>IF(M42="","",IF(O42=1,M42,""))</f>
        <v/>
      </c>
    </row>
    <row r="43">
      <c r="M43">
        <f>IF(AND(D20&lt;&gt;"",K20=""),D20,"")</f>
        <v/>
      </c>
      <c r="N43">
        <f>IF(M43="","",IF(J20&gt;0,INDEX($N$2:$N$24,J20),D20))</f>
        <v/>
      </c>
      <c r="O43">
        <f>IF(M43="",0,IF(F20&lt;&gt;"",IFERROR(MATCH(F20,'DADOS_RESTRICOES'!$T$2:$T$3,0),0),IF(J20&gt;0,INDEX('DADOS_RESTRICOES'!$O$2:$O$24,J20),0)))</f>
        <v/>
      </c>
      <c r="P43">
        <f>IF(M43="",0,IF(G20="",IF(J20&gt;0,INDEX('DADOS_RESTRICOES'!$P$2:$P$24,J20),0),IF(G20="Sim",1,0)))</f>
        <v/>
      </c>
      <c r="Q43">
        <f>IF(M43="","",IF(O43=1,M43,""))</f>
        <v/>
      </c>
    </row>
    <row r="44">
      <c r="M44">
        <f>IF(AND(D21&lt;&gt;"",K21=""),D21,"")</f>
        <v/>
      </c>
      <c r="N44">
        <f>IF(M44="","",IF(J21&gt;0,INDEX($N$2:$N$24,J21),D21))</f>
        <v/>
      </c>
      <c r="O44">
        <f>IF(M44="",0,IF(F21&lt;&gt;"",IFERROR(MATCH(F21,'DADOS_RESTRICOES'!$T$2:$T$3,0),0),IF(J21&gt;0,INDEX('DADOS_RESTRICOES'!$O$2:$O$24,J21),0)))</f>
        <v/>
      </c>
      <c r="P44">
        <f>IF(M44="",0,IF(G21="",IF(J21&gt;0,INDEX('DADOS_RESTRICOES'!$P$2:$P$24,J21),0),IF(G21="Sim",1,0)))</f>
        <v/>
      </c>
      <c r="Q44">
        <f>IF(M44="","",IF(O44=1,M44,""))</f>
        <v/>
      </c>
    </row>
    <row r="45">
      <c r="M45">
        <f>IF(AND(D22&lt;&gt;"",K22=""),D22,"")</f>
        <v/>
      </c>
      <c r="N45">
        <f>IF(M45="","",IF(J22&gt;0,INDEX($N$2:$N$24,J22),D22))</f>
        <v/>
      </c>
      <c r="O45">
        <f>IF(M45="",0,IF(F22&lt;&gt;"",IFERROR(MATCH(F22,'DADOS_RESTRICOES'!$T$2:$T$3,0),0),IF(J22&gt;0,INDEX('DADOS_RESTRICOES'!$O$2:$O$24,J22),0)))</f>
        <v/>
      </c>
      <c r="P45">
        <f>IF(M45="",0,IF(G22="",IF(J22&gt;0,INDEX('DADOS_RESTRICOES'!$P$2:$P$24,J22),0),IF(G22="Sim",1,0)))</f>
        <v/>
      </c>
      <c r="Q45">
        <f>IF(M45="","",IF(O45=1,M45,""))</f>
        <v/>
      </c>
    </row>
    <row r="46">
      <c r="M46">
        <f>IF(AND(D23&lt;&gt;"",K23=""),D23,"")</f>
        <v/>
      </c>
      <c r="N46">
        <f>IF(M46="","",IF(J23&gt;0,INDEX($N$2:$N$24,J23),D23))</f>
        <v/>
      </c>
      <c r="O46">
        <f>IF(M46="",0,IF(F23&lt;&gt;"",IFERROR(MATCH(F23,'DADOS_RESTRICOES'!$T$2:$T$3,0),0),IF(J23&gt;0,INDEX('DADOS_RESTRICOES'!$O$2:$O$24,J23),0)))</f>
        <v/>
      </c>
      <c r="P46">
        <f>IF(M46="",0,IF(G23="",IF(J23&gt;0,INDEX('DADOS_RESTRICOES'!$P$2:$P$24,J23),0),IF(G23="Sim",1,0)))</f>
        <v/>
      </c>
      <c r="Q46">
        <f>IF(M46="","",IF(O46=1,M46,""))</f>
        <v/>
      </c>
    </row>
    <row r="47">
      <c r="M47">
        <f>IF(AND(D24&lt;&gt;"",K24=""),D24,"")</f>
        <v/>
      </c>
      <c r="N47">
        <f>IF(M47="","",IF(J24&gt;0,INDEX($N$2:$N$24,J24),D24))</f>
        <v/>
      </c>
      <c r="O47">
        <f>IF(M47="",0,IF(F24&lt;&gt;"",IFERROR(MATCH(F24,'DADOS_RESTRICOES'!$T$2:$T$3,0),0),IF(J24&gt;0,INDEX('DADOS_RESTRICOES'!$O$2:$O$24,J24),0)))</f>
        <v/>
      </c>
      <c r="P47">
        <f>IF(M47="",0,IF(G24="",IF(J24&gt;0,INDEX('DADOS_RESTRICOES'!$P$2:$P$24,J24),0),IF(G24="Sim",1,0)))</f>
        <v/>
      </c>
      <c r="Q47">
        <f>IF(M47="","",IF(O47=1,M47,""))</f>
        <v/>
      </c>
    </row>
    <row r="48">
      <c r="M48">
        <f>IF(AND(D25&lt;&gt;"",K25=""),D25,"")</f>
        <v/>
      </c>
      <c r="N48">
        <f>IF(M48="","",IF(J25&gt;0,INDEX($N$2:$N$24,J25),D25))</f>
        <v/>
      </c>
      <c r="O48">
        <f>IF(M48="",0,IF(F25&lt;&gt;"",IFERROR(MATCH(F25,'DADOS_RESTRICOES'!$T$2:$T$3,0),0),IF(J25&gt;0,INDEX('DADOS_RESTRICOES'!$O$2:$O$24,J25),0)))</f>
        <v/>
      </c>
      <c r="P48">
        <f>IF(M48="",0,IF(G25="",IF(J25&gt;0,INDEX('DADOS_RESTRICOES'!$P$2:$P$24,J25),0),IF(G25="Sim",1,0)))</f>
        <v/>
      </c>
      <c r="Q48">
        <f>IF(M48="","",IF(O48=1,M48,""))</f>
        <v/>
      </c>
    </row>
    <row r="49">
      <c r="M49">
        <f>IF(AND(D26&lt;&gt;"",K26=""),D26,"")</f>
        <v/>
      </c>
      <c r="N49">
        <f>IF(M49="","",IF(J26&gt;0,INDEX($N$2:$N$24,J26),D26))</f>
        <v/>
      </c>
      <c r="O49">
        <f>IF(M49="",0,IF(F26&lt;&gt;"",IFERROR(MATCH(F26,'DADOS_RESTRICOES'!$T$2:$T$3,0),0),IF(J26&gt;0,INDEX('DADOS_RESTRICOES'!$O$2:$O$24,J26),0)))</f>
        <v/>
      </c>
      <c r="P49">
        <f>IF(M49="",0,IF(G26="",IF(J26&gt;0,INDEX('DADOS_RESTRICOES'!$P$2:$P$24,J26),0),IF(G26="Sim",1,0)))</f>
        <v/>
      </c>
      <c r="Q49">
        <f>IF(M49="","",IF(O49=1,M49,""))</f>
        <v/>
      </c>
    </row>
    <row r="50">
      <c r="M50">
        <f>IF(AND(D27&lt;&gt;"",K27=""),D27,"")</f>
        <v/>
      </c>
      <c r="N50">
        <f>IF(M50="","",IF(J27&gt;0,INDEX($N$2:$N$24,J27),D27))</f>
        <v/>
      </c>
      <c r="O50">
        <f>IF(M50="",0,IF(F27&lt;&gt;"",IFERROR(MATCH(F27,'DADOS_RESTRICOES'!$T$2:$T$3,0),0),IF(J27&gt;0,INDEX('DADOS_RESTRICOES'!$O$2:$O$24,J27),0)))</f>
        <v/>
      </c>
      <c r="P50">
        <f>IF(M50="",0,IF(G27="",IF(J27&gt;0,INDEX('DADOS_RESTRICOES'!$P$2:$P$24,J27),0),IF(G27="Sim",1,0)))</f>
        <v/>
      </c>
      <c r="Q50">
        <f>IF(M50="","",IF(O50=1,M50,""))</f>
        <v/>
      </c>
    </row>
    <row r="51">
      <c r="M51">
        <f>IF(AND(D28&lt;&gt;"",K28=""),D28,"")</f>
        <v/>
      </c>
      <c r="N51">
        <f>IF(M51="","",IF(J28&gt;0,INDEX($N$2:$N$24,J28),D28))</f>
        <v/>
      </c>
      <c r="O51">
        <f>IF(M51="",0,IF(F28&lt;&gt;"",IFERROR(MATCH(F28,'DADOS_RESTRICOES'!$T$2:$T$3,0),0),IF(J28&gt;0,INDEX('DADOS_RESTRICOES'!$O$2:$O$24,J28),0)))</f>
        <v/>
      </c>
      <c r="P51">
        <f>IF(M51="",0,IF(G28="",IF(J28&gt;0,INDEX('DADOS_RESTRICOES'!$P$2:$P$24,J28),0),IF(G28="Sim",1,0)))</f>
        <v/>
      </c>
      <c r="Q51">
        <f>IF(M51="","",IF(O51=1,M51,""))</f>
        <v/>
      </c>
    </row>
    <row r="52">
      <c r="M52">
        <f>IF(AND(D29&lt;&gt;"",K29=""),D29,"")</f>
        <v/>
      </c>
      <c r="N52">
        <f>IF(M52="","",IF(J29&gt;0,INDEX($N$2:$N$24,J29),D29))</f>
        <v/>
      </c>
      <c r="O52">
        <f>IF(M52="",0,IF(F29&lt;&gt;"",IFERROR(MATCH(F29,'DADOS_RESTRICOES'!$T$2:$T$3,0),0),IF(J29&gt;0,INDEX('DADOS_RESTRICOES'!$O$2:$O$24,J29),0)))</f>
        <v/>
      </c>
      <c r="P52">
        <f>IF(M52="",0,IF(G29="",IF(J29&gt;0,INDEX('DADOS_RESTRICOES'!$P$2:$P$24,J29),0),IF(G29="Sim",1,0)))</f>
        <v/>
      </c>
      <c r="Q52">
        <f>IF(M52="","",IF(O52=1,M52,""))</f>
        <v/>
      </c>
    </row>
    <row r="53">
      <c r="M53">
        <f>IF(AND(D30&lt;&gt;"",K30=""),D30,"")</f>
        <v/>
      </c>
      <c r="N53">
        <f>IF(M53="","",IF(J30&gt;0,INDEX($N$2:$N$24,J30),D30))</f>
        <v/>
      </c>
      <c r="O53">
        <f>IF(M53="",0,IF(F30&lt;&gt;"",IFERROR(MATCH(F30,'DADOS_RESTRICOES'!$T$2:$T$3,0),0),IF(J30&gt;0,INDEX('DADOS_RESTRICOES'!$O$2:$O$24,J30),0)))</f>
        <v/>
      </c>
      <c r="P53">
        <f>IF(M53="",0,IF(G30="",IF(J30&gt;0,INDEX('DADOS_RESTRICOES'!$P$2:$P$24,J30),0),IF(G30="Sim",1,0)))</f>
        <v/>
      </c>
      <c r="Q53">
        <f>IF(M53="","",IF(O53=1,M53,""))</f>
        <v/>
      </c>
    </row>
    <row r="54">
      <c r="M54">
        <f>IF(AND(D31&lt;&gt;"",K31=""),D31,"")</f>
        <v/>
      </c>
      <c r="N54">
        <f>IF(M54="","",IF(J31&gt;0,INDEX($N$2:$N$24,J31),D31))</f>
        <v/>
      </c>
      <c r="O54">
        <f>IF(M54="",0,IF(F31&lt;&gt;"",IFERROR(MATCH(F31,'DADOS_RESTRICOES'!$T$2:$T$3,0),0),IF(J31&gt;0,INDEX('DADOS_RESTRICOES'!$O$2:$O$24,J31),0)))</f>
        <v/>
      </c>
      <c r="P54">
        <f>IF(M54="",0,IF(G31="",IF(J31&gt;0,INDEX('DADOS_RESTRICOES'!$P$2:$P$24,J31),0),IF(G31="Sim",1,0)))</f>
        <v/>
      </c>
      <c r="Q54">
        <f>IF(M54="","",IF(O54=1,M54,""))</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6"/>
  <sheetViews>
    <sheetView showGridLines="0" workbookViewId="0">
      <selection activeCell="A1" sqref="A1"/>
    </sheetView>
  </sheetViews>
  <sheetFormatPr baseColWidth="8" defaultRowHeight="15.75" customHeight="1"/>
  <sheetData>
    <row r="1">
      <c r="A1" t="inlineStr">
        <is>
          <t>registro</t>
        </is>
      </c>
      <c r="D1" t="inlineStr">
        <is>
          <t>nome</t>
        </is>
      </c>
      <c r="E1" t="inlineStr">
        <is>
          <t>mestre viu</t>
        </is>
      </c>
      <c r="F1" t="inlineStr">
        <is>
          <t>definição</t>
        </is>
      </c>
      <c r="G1" t="inlineStr">
        <is>
          <t>efeito e requisitos</t>
        </is>
      </c>
      <c r="H1" t="inlineStr">
        <is>
          <t>aviso</t>
        </is>
      </c>
      <c r="J1" t="inlineStr">
        <is>
          <t>tipo de dano</t>
        </is>
      </c>
      <c r="K1" t="inlineStr">
        <is>
          <t>definição</t>
        </is>
      </c>
      <c r="L1" t="inlineStr">
        <is>
          <t>efeito e requisitos</t>
        </is>
      </c>
      <c r="M1" t="inlineStr">
        <is>
          <t>tipos do livro</t>
        </is>
      </c>
    </row>
    <row r="2">
      <c r="A2" t="n">
        <v>1</v>
      </c>
      <c r="D2">
        <f>IF(ISBLANK('CONFIGURAÇÃO'!$EI$13),"",'CONFIGURAÇÃO'!$EI$13)</f>
        <v/>
      </c>
      <c r="E2">
        <f>IF(ISBLANK('CONFIGURAÇÃO'!$EM$13),"",'CONFIGURAÇÃO'!$EM$13)</f>
        <v/>
      </c>
      <c r="F2">
        <f>IF(ISBLANK('CONFIGURAÇÃO'!$EI$17),"",'CONFIGURAÇÃO'!$EI$17)</f>
        <v/>
      </c>
      <c r="G2">
        <f>IF(ISBLANK('CONFIGURAÇÃO'!$EI$24),"",'CONFIGURAÇÃO'!$EI$24)</f>
        <v/>
      </c>
      <c r="H2">
        <f>IF(D2="",IF(OR(F2&lt;&gt;"",G2&lt;&gt;"",E2=TRUE),"Preencha NOME",""),TEXTJOIN(" · ",TRUE,IF(OR(NOT(ISTEXT(D2)),TRIM(D2)&lt;&gt;D2),"NOME precisa ser texto sem espaços nas pontas",""),IF(COUNTIF($D$2:$D$11,SUBSTITUTE(SUBSTITUTE(SUBSTITUTE(D2,"~","~~"),"*","~*"),"?","~?"))+COUNTIF('DADOS_DANOS'!$M$2:$M$16,SUBSTITUTE(SUBSTITUTE(SUBSTITUTE(D2,"~","~~"),"*","~*"),"?","~?"))&gt;1,"Nome repetido no livro ou custom",""),IF(ISLOGICAL(E2),"","MESTRE VIU deve ser caixa de seleção")))</f>
        <v/>
      </c>
      <c r="J2">
        <f>M2</f>
        <v/>
      </c>
      <c r="M2" t="inlineStr">
        <is>
          <t>Cortante</t>
        </is>
      </c>
    </row>
    <row r="3">
      <c r="A3" t="n">
        <v>2</v>
      </c>
      <c r="D3">
        <f>IF(ISBLANK('CONFIGURAÇÃO'!$EQ$13),"",'CONFIGURAÇÃO'!$EQ$13)</f>
        <v/>
      </c>
      <c r="E3">
        <f>IF(ISBLANK('CONFIGURAÇÃO'!$EU$13),"",'CONFIGURAÇÃO'!$EU$13)</f>
        <v/>
      </c>
      <c r="F3">
        <f>IF(ISBLANK('CONFIGURAÇÃO'!$EQ$17),"",'CONFIGURAÇÃO'!$EQ$17)</f>
        <v/>
      </c>
      <c r="G3">
        <f>IF(ISBLANK('CONFIGURAÇÃO'!$EQ$24),"",'CONFIGURAÇÃO'!$EQ$24)</f>
        <v/>
      </c>
      <c r="H3">
        <f>IF(D3="",IF(OR(F3&lt;&gt;"",G3&lt;&gt;"",E3=TRUE),"Preencha NOME",""),TEXTJOIN(" · ",TRUE,IF(OR(NOT(ISTEXT(D3)),TRIM(D3)&lt;&gt;D3),"NOME precisa ser texto sem espaços nas pontas",""),IF(COUNTIF($D$2:$D$11,SUBSTITUTE(SUBSTITUTE(SUBSTITUTE(D3,"~","~~"),"*","~*"),"?","~?"))+COUNTIF('DADOS_DANOS'!$M$2:$M$16,SUBSTITUTE(SUBSTITUTE(SUBSTITUTE(D3,"~","~~"),"*","~*"),"?","~?"))&gt;1,"Nome repetido no livro ou custom",""),IF(ISLOGICAL(E3),"","MESTRE VIU deve ser caixa de seleção")))</f>
        <v/>
      </c>
      <c r="J3">
        <f>M3</f>
        <v/>
      </c>
      <c r="M3" t="inlineStr">
        <is>
          <t>Perfurante</t>
        </is>
      </c>
    </row>
    <row r="4">
      <c r="A4" t="n">
        <v>3</v>
      </c>
      <c r="D4">
        <f>IF(ISBLANK('CONFIGURAÇÃO'!$EI$41),"",'CONFIGURAÇÃO'!$EI$41)</f>
        <v/>
      </c>
      <c r="E4">
        <f>IF(ISBLANK('CONFIGURAÇÃO'!$EM$41),"",'CONFIGURAÇÃO'!$EM$41)</f>
        <v/>
      </c>
      <c r="F4">
        <f>IF(ISBLANK('CONFIGURAÇÃO'!$EI$45),"",'CONFIGURAÇÃO'!$EI$45)</f>
        <v/>
      </c>
      <c r="G4">
        <f>IF(ISBLANK('CONFIGURAÇÃO'!$EI$52),"",'CONFIGURAÇÃO'!$EI$52)</f>
        <v/>
      </c>
      <c r="H4">
        <f>IF(D4="",IF(OR(F4&lt;&gt;"",G4&lt;&gt;"",E4=TRUE),"Preencha NOME",""),TEXTJOIN(" · ",TRUE,IF(OR(NOT(ISTEXT(D4)),TRIM(D4)&lt;&gt;D4),"NOME precisa ser texto sem espaços nas pontas",""),IF(COUNTIF($D$2:$D$11,SUBSTITUTE(SUBSTITUTE(SUBSTITUTE(D4,"~","~~"),"*","~*"),"?","~?"))+COUNTIF('DADOS_DANOS'!$M$2:$M$16,SUBSTITUTE(SUBSTITUTE(SUBSTITUTE(D4,"~","~~"),"*","~*"),"?","~?"))&gt;1,"Nome repetido no livro ou custom",""),IF(ISLOGICAL(E4),"","MESTRE VIU deve ser caixa de seleção")))</f>
        <v/>
      </c>
      <c r="J4">
        <f>M4</f>
        <v/>
      </c>
      <c r="M4" t="inlineStr">
        <is>
          <t>Concussão</t>
        </is>
      </c>
    </row>
    <row r="5">
      <c r="A5" t="n">
        <v>4</v>
      </c>
      <c r="D5">
        <f>IF(ISBLANK('CONFIGURAÇÃO'!$EQ$41),"",'CONFIGURAÇÃO'!$EQ$41)</f>
        <v/>
      </c>
      <c r="E5">
        <f>IF(ISBLANK('CONFIGURAÇÃO'!$EU$41),"",'CONFIGURAÇÃO'!$EU$41)</f>
        <v/>
      </c>
      <c r="F5">
        <f>IF(ISBLANK('CONFIGURAÇÃO'!$EQ$45),"",'CONFIGURAÇÃO'!$EQ$45)</f>
        <v/>
      </c>
      <c r="G5">
        <f>IF(ISBLANK('CONFIGURAÇÃO'!$EQ$52),"",'CONFIGURAÇÃO'!$EQ$52)</f>
        <v/>
      </c>
      <c r="H5">
        <f>IF(D5="",IF(OR(F5&lt;&gt;"",G5&lt;&gt;"",E5=TRUE),"Preencha NOME",""),TEXTJOIN(" · ",TRUE,IF(OR(NOT(ISTEXT(D5)),TRIM(D5)&lt;&gt;D5),"NOME precisa ser texto sem espaços nas pontas",""),IF(COUNTIF($D$2:$D$11,SUBSTITUTE(SUBSTITUTE(SUBSTITUTE(D5,"~","~~"),"*","~*"),"?","~?"))+COUNTIF('DADOS_DANOS'!$M$2:$M$16,SUBSTITUTE(SUBSTITUTE(SUBSTITUTE(D5,"~","~~"),"*","~*"),"?","~?"))&gt;1,"Nome repetido no livro ou custom",""),IF(ISLOGICAL(E5),"","MESTRE VIU deve ser caixa de seleção")))</f>
        <v/>
      </c>
      <c r="J5">
        <f>M5</f>
        <v/>
      </c>
      <c r="M5" t="inlineStr">
        <is>
          <t>Fogo</t>
        </is>
      </c>
    </row>
    <row r="6">
      <c r="A6" t="n">
        <v>5</v>
      </c>
      <c r="D6">
        <f>IF(ISBLANK('CONFIGURAÇÃO'!$EI$69),"",'CONFIGURAÇÃO'!$EI$69)</f>
        <v/>
      </c>
      <c r="E6">
        <f>IF(ISBLANK('CONFIGURAÇÃO'!$EM$69),"",'CONFIGURAÇÃO'!$EM$69)</f>
        <v/>
      </c>
      <c r="F6">
        <f>IF(ISBLANK('CONFIGURAÇÃO'!$EI$73),"",'CONFIGURAÇÃO'!$EI$73)</f>
        <v/>
      </c>
      <c r="G6">
        <f>IF(ISBLANK('CONFIGURAÇÃO'!$EI$80),"",'CONFIGURAÇÃO'!$EI$80)</f>
        <v/>
      </c>
      <c r="H6">
        <f>IF(D6="",IF(OR(F6&lt;&gt;"",G6&lt;&gt;"",E6=TRUE),"Preencha NOME",""),TEXTJOIN(" · ",TRUE,IF(OR(NOT(ISTEXT(D6)),TRIM(D6)&lt;&gt;D6),"NOME precisa ser texto sem espaços nas pontas",""),IF(COUNTIF($D$2:$D$11,SUBSTITUTE(SUBSTITUTE(SUBSTITUTE(D6,"~","~~"),"*","~*"),"?","~?"))+COUNTIF('DADOS_DANOS'!$M$2:$M$16,SUBSTITUTE(SUBSTITUTE(SUBSTITUTE(D6,"~","~~"),"*","~*"),"?","~?"))&gt;1,"Nome repetido no livro ou custom",""),IF(ISLOGICAL(E6),"","MESTRE VIU deve ser caixa de seleção")))</f>
        <v/>
      </c>
      <c r="J6">
        <f>M6</f>
        <v/>
      </c>
      <c r="M6" t="inlineStr">
        <is>
          <t>Frio</t>
        </is>
      </c>
    </row>
    <row r="7">
      <c r="A7" t="n">
        <v>6</v>
      </c>
      <c r="D7">
        <f>IF(ISBLANK('CONFIGURAÇÃO'!$EQ$69),"",'CONFIGURAÇÃO'!$EQ$69)</f>
        <v/>
      </c>
      <c r="E7">
        <f>IF(ISBLANK('CONFIGURAÇÃO'!$EU$69),"",'CONFIGURAÇÃO'!$EU$69)</f>
        <v/>
      </c>
      <c r="F7">
        <f>IF(ISBLANK('CONFIGURAÇÃO'!$EQ$73),"",'CONFIGURAÇÃO'!$EQ$73)</f>
        <v/>
      </c>
      <c r="G7">
        <f>IF(ISBLANK('CONFIGURAÇÃO'!$EQ$80),"",'CONFIGURAÇÃO'!$EQ$80)</f>
        <v/>
      </c>
      <c r="H7">
        <f>IF(D7="",IF(OR(F7&lt;&gt;"",G7&lt;&gt;"",E7=TRUE),"Preencha NOME",""),TEXTJOIN(" · ",TRUE,IF(OR(NOT(ISTEXT(D7)),TRIM(D7)&lt;&gt;D7),"NOME precisa ser texto sem espaços nas pontas",""),IF(COUNTIF($D$2:$D$11,SUBSTITUTE(SUBSTITUTE(SUBSTITUTE(D7,"~","~~"),"*","~*"),"?","~?"))+COUNTIF('DADOS_DANOS'!$M$2:$M$16,SUBSTITUTE(SUBSTITUTE(SUBSTITUTE(D7,"~","~~"),"*","~*"),"?","~?"))&gt;1,"Nome repetido no livro ou custom",""),IF(ISLOGICAL(E7),"","MESTRE VIU deve ser caixa de seleção")))</f>
        <v/>
      </c>
      <c r="J7">
        <f>M7</f>
        <v/>
      </c>
      <c r="M7" t="inlineStr">
        <is>
          <t>Elétrico</t>
        </is>
      </c>
    </row>
    <row r="8">
      <c r="A8" t="n">
        <v>7</v>
      </c>
      <c r="D8">
        <f>IF(ISBLANK('CONFIGURAÇÃO'!$EI$97),"",'CONFIGURAÇÃO'!$EI$97)</f>
        <v/>
      </c>
      <c r="E8">
        <f>IF(ISBLANK('CONFIGURAÇÃO'!$EM$97),"",'CONFIGURAÇÃO'!$EM$97)</f>
        <v/>
      </c>
      <c r="F8">
        <f>IF(ISBLANK('CONFIGURAÇÃO'!$EI$101),"",'CONFIGURAÇÃO'!$EI$101)</f>
        <v/>
      </c>
      <c r="G8">
        <f>IF(ISBLANK('CONFIGURAÇÃO'!$EI$108),"",'CONFIGURAÇÃO'!$EI$108)</f>
        <v/>
      </c>
      <c r="H8">
        <f>IF(D8="",IF(OR(F8&lt;&gt;"",G8&lt;&gt;"",E8=TRUE),"Preencha NOME",""),TEXTJOIN(" · ",TRUE,IF(OR(NOT(ISTEXT(D8)),TRIM(D8)&lt;&gt;D8),"NOME precisa ser texto sem espaços nas pontas",""),IF(COUNTIF($D$2:$D$11,SUBSTITUTE(SUBSTITUTE(SUBSTITUTE(D8,"~","~~"),"*","~*"),"?","~?"))+COUNTIF('DADOS_DANOS'!$M$2:$M$16,SUBSTITUTE(SUBSTITUTE(SUBSTITUTE(D8,"~","~~"),"*","~*"),"?","~?"))&gt;1,"Nome repetido no livro ou custom",""),IF(ISLOGICAL(E8),"","MESTRE VIU deve ser caixa de seleção")))</f>
        <v/>
      </c>
      <c r="J8">
        <f>M8</f>
        <v/>
      </c>
      <c r="M8" t="inlineStr">
        <is>
          <t>Ácido</t>
        </is>
      </c>
    </row>
    <row r="9">
      <c r="A9" t="n">
        <v>8</v>
      </c>
      <c r="D9">
        <f>IF(ISBLANK('CONFIGURAÇÃO'!$EQ$97),"",'CONFIGURAÇÃO'!$EQ$97)</f>
        <v/>
      </c>
      <c r="E9">
        <f>IF(ISBLANK('CONFIGURAÇÃO'!$EU$97),"",'CONFIGURAÇÃO'!$EU$97)</f>
        <v/>
      </c>
      <c r="F9">
        <f>IF(ISBLANK('CONFIGURAÇÃO'!$EQ$101),"",'CONFIGURAÇÃO'!$EQ$101)</f>
        <v/>
      </c>
      <c r="G9">
        <f>IF(ISBLANK('CONFIGURAÇÃO'!$EQ$108),"",'CONFIGURAÇÃO'!$EQ$108)</f>
        <v/>
      </c>
      <c r="H9">
        <f>IF(D9="",IF(OR(F9&lt;&gt;"",G9&lt;&gt;"",E9=TRUE),"Preencha NOME",""),TEXTJOIN(" · ",TRUE,IF(OR(NOT(ISTEXT(D9)),TRIM(D9)&lt;&gt;D9),"NOME precisa ser texto sem espaços nas pontas",""),IF(COUNTIF($D$2:$D$11,SUBSTITUTE(SUBSTITUTE(SUBSTITUTE(D9,"~","~~"),"*","~*"),"?","~?"))+COUNTIF('DADOS_DANOS'!$M$2:$M$16,SUBSTITUTE(SUBSTITUTE(SUBSTITUTE(D9,"~","~~"),"*","~*"),"?","~?"))&gt;1,"Nome repetido no livro ou custom",""),IF(ISLOGICAL(E9),"","MESTRE VIU deve ser caixa de seleção")))</f>
        <v/>
      </c>
      <c r="J9">
        <f>M9</f>
        <v/>
      </c>
      <c r="M9" t="inlineStr">
        <is>
          <t>Trovejante</t>
        </is>
      </c>
    </row>
    <row r="10">
      <c r="A10" t="n">
        <v>9</v>
      </c>
      <c r="D10">
        <f>IF(ISBLANK('CONFIGURAÇÃO'!$EI$125),"",'CONFIGURAÇÃO'!$EI$125)</f>
        <v/>
      </c>
      <c r="E10">
        <f>IF(ISBLANK('CONFIGURAÇÃO'!$EM$125),"",'CONFIGURAÇÃO'!$EM$125)</f>
        <v/>
      </c>
      <c r="F10">
        <f>IF(ISBLANK('CONFIGURAÇÃO'!$EI$129),"",'CONFIGURAÇÃO'!$EI$129)</f>
        <v/>
      </c>
      <c r="G10">
        <f>IF(ISBLANK('CONFIGURAÇÃO'!$EI$136),"",'CONFIGURAÇÃO'!$EI$136)</f>
        <v/>
      </c>
      <c r="H10">
        <f>IF(D10="",IF(OR(F10&lt;&gt;"",G10&lt;&gt;"",E10=TRUE),"Preencha NOME",""),TEXTJOIN(" · ",TRUE,IF(OR(NOT(ISTEXT(D10)),TRIM(D10)&lt;&gt;D10),"NOME precisa ser texto sem espaços nas pontas",""),IF(COUNTIF($D$2:$D$11,SUBSTITUTE(SUBSTITUTE(SUBSTITUTE(D10,"~","~~"),"*","~*"),"?","~?"))+COUNTIF('DADOS_DANOS'!$M$2:$M$16,SUBSTITUTE(SUBSTITUTE(SUBSTITUTE(D10,"~","~~"),"*","~*"),"?","~?"))&gt;1,"Nome repetido no livro ou custom",""),IF(ISLOGICAL(E10),"","MESTRE VIU deve ser caixa de seleção")))</f>
        <v/>
      </c>
      <c r="J10">
        <f>M10</f>
        <v/>
      </c>
      <c r="M10" t="inlineStr">
        <is>
          <t>Veneno</t>
        </is>
      </c>
    </row>
    <row r="11">
      <c r="A11" t="n">
        <v>10</v>
      </c>
      <c r="D11">
        <f>IF(ISBLANK('CONFIGURAÇÃO'!$EQ$125),"",'CONFIGURAÇÃO'!$EQ$125)</f>
        <v/>
      </c>
      <c r="E11">
        <f>IF(ISBLANK('CONFIGURAÇÃO'!$EU$125),"",'CONFIGURAÇÃO'!$EU$125)</f>
        <v/>
      </c>
      <c r="F11">
        <f>IF(ISBLANK('CONFIGURAÇÃO'!$EQ$129),"",'CONFIGURAÇÃO'!$EQ$129)</f>
        <v/>
      </c>
      <c r="G11">
        <f>IF(ISBLANK('CONFIGURAÇÃO'!$EQ$136),"",'CONFIGURAÇÃO'!$EQ$136)</f>
        <v/>
      </c>
      <c r="H11">
        <f>IF(D11="",IF(OR(F11&lt;&gt;"",G11&lt;&gt;"",E11=TRUE),"Preencha NOME",""),TEXTJOIN(" · ",TRUE,IF(OR(NOT(ISTEXT(D11)),TRIM(D11)&lt;&gt;D11),"NOME precisa ser texto sem espaços nas pontas",""),IF(COUNTIF($D$2:$D$11,SUBSTITUTE(SUBSTITUTE(SUBSTITUTE(D11,"~","~~"),"*","~*"),"?","~?"))+COUNTIF('DADOS_DANOS'!$M$2:$M$16,SUBSTITUTE(SUBSTITUTE(SUBSTITUTE(D11,"~","~~"),"*","~*"),"?","~?"))&gt;1,"Nome repetido no livro ou custom",""),IF(ISLOGICAL(E11),"","MESTRE VIU deve ser caixa de seleção")))</f>
        <v/>
      </c>
      <c r="J11">
        <f>M11</f>
        <v/>
      </c>
      <c r="M11" t="inlineStr">
        <is>
          <t>Radiante</t>
        </is>
      </c>
    </row>
    <row r="12">
      <c r="J12">
        <f>M12</f>
        <v/>
      </c>
      <c r="M12" t="inlineStr">
        <is>
          <t>Necrótico</t>
        </is>
      </c>
    </row>
    <row r="13">
      <c r="J13">
        <f>M13</f>
        <v/>
      </c>
      <c r="M13" t="inlineStr">
        <is>
          <t>Psíquico</t>
        </is>
      </c>
    </row>
    <row r="14">
      <c r="J14">
        <f>M14</f>
        <v/>
      </c>
      <c r="M14" t="inlineStr">
        <is>
          <t>Energia Reversa</t>
        </is>
      </c>
    </row>
    <row r="15">
      <c r="J15">
        <f>M15</f>
        <v/>
      </c>
      <c r="M15" t="inlineStr">
        <is>
          <t>Força</t>
        </is>
      </c>
    </row>
    <row r="16">
      <c r="J16">
        <f>M16</f>
        <v/>
      </c>
      <c r="M16" t="inlineStr">
        <is>
          <t>Alma</t>
        </is>
      </c>
    </row>
    <row r="17">
      <c r="J17">
        <f>IF(AND(D2&lt;&gt;"",H2=""),D2,"")</f>
        <v/>
      </c>
      <c r="K17">
        <f>IF(J17="","",F2)</f>
        <v/>
      </c>
      <c r="L17">
        <f>IF(J17="","",G2)</f>
        <v/>
      </c>
    </row>
    <row r="18">
      <c r="J18">
        <f>IF(AND(D3&lt;&gt;"",H3=""),D3,"")</f>
        <v/>
      </c>
      <c r="K18">
        <f>IF(J18="","",F3)</f>
        <v/>
      </c>
      <c r="L18">
        <f>IF(J18="","",G3)</f>
        <v/>
      </c>
    </row>
    <row r="19">
      <c r="J19">
        <f>IF(AND(D4&lt;&gt;"",H4=""),D4,"")</f>
        <v/>
      </c>
      <c r="K19">
        <f>IF(J19="","",F4)</f>
        <v/>
      </c>
      <c r="L19">
        <f>IF(J19="","",G4)</f>
        <v/>
      </c>
    </row>
    <row r="20">
      <c r="J20">
        <f>IF(AND(D5&lt;&gt;"",H5=""),D5,"")</f>
        <v/>
      </c>
      <c r="K20">
        <f>IF(J20="","",F5)</f>
        <v/>
      </c>
      <c r="L20">
        <f>IF(J20="","",G5)</f>
        <v/>
      </c>
    </row>
    <row r="21">
      <c r="J21">
        <f>IF(AND(D6&lt;&gt;"",H6=""),D6,"")</f>
        <v/>
      </c>
      <c r="K21">
        <f>IF(J21="","",F6)</f>
        <v/>
      </c>
      <c r="L21">
        <f>IF(J21="","",G6)</f>
        <v/>
      </c>
    </row>
    <row r="22">
      <c r="J22">
        <f>IF(AND(D7&lt;&gt;"",H7=""),D7,"")</f>
        <v/>
      </c>
      <c r="K22">
        <f>IF(J22="","",F7)</f>
        <v/>
      </c>
      <c r="L22">
        <f>IF(J22="","",G7)</f>
        <v/>
      </c>
    </row>
    <row r="23">
      <c r="J23">
        <f>IF(AND(D8&lt;&gt;"",H8=""),D8,"")</f>
        <v/>
      </c>
      <c r="K23">
        <f>IF(J23="","",F8)</f>
        <v/>
      </c>
      <c r="L23">
        <f>IF(J23="","",G8)</f>
        <v/>
      </c>
    </row>
    <row r="24">
      <c r="J24">
        <f>IF(AND(D9&lt;&gt;"",H9=""),D9,"")</f>
        <v/>
      </c>
      <c r="K24">
        <f>IF(J24="","",F9)</f>
        <v/>
      </c>
      <c r="L24">
        <f>IF(J24="","",G9)</f>
        <v/>
      </c>
    </row>
    <row r="25">
      <c r="J25">
        <f>IF(AND(D10&lt;&gt;"",H10=""),D10,"")</f>
        <v/>
      </c>
      <c r="K25">
        <f>IF(J25="","",F10)</f>
        <v/>
      </c>
      <c r="L25">
        <f>IF(J25="","",G10)</f>
        <v/>
      </c>
    </row>
    <row r="26">
      <c r="J26">
        <f>IF(AND(D11&lt;&gt;"",H11=""),D11,"")</f>
        <v/>
      </c>
      <c r="K26">
        <f>IF(J26="","",F11)</f>
        <v/>
      </c>
      <c r="L26">
        <f>IF(J26="","",G11)</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A81"/>
  <sheetViews>
    <sheetView showGridLines="0" workbookViewId="0">
      <selection activeCell="A1" sqref="A1"/>
    </sheetView>
  </sheetViews>
  <sheetFormatPr baseColWidth="8" defaultRowHeight="15.75" customHeight="1"/>
  <sheetData>
    <row r="1">
      <c r="A1" t="inlineStr">
        <is>
          <t>entrada.tipo</t>
        </is>
      </c>
      <c r="B1" t="inlineStr">
        <is>
          <t>entrada.nome</t>
        </is>
      </c>
      <c r="C1" t="inlineStr">
        <is>
          <t>entrada.base</t>
        </is>
      </c>
      <c r="D1" t="inlineStr">
        <is>
          <t>entrada.mestre_viu</t>
        </is>
      </c>
      <c r="E1" t="inlineStr">
        <is>
          <t>entrada.requisitos</t>
        </is>
      </c>
      <c r="F1" t="inlineStr">
        <is>
          <t>entrada.efeito</t>
        </is>
      </c>
      <c r="G1" t="inlineStr">
        <is>
          <t>entrada.familia</t>
        </is>
      </c>
      <c r="H1" t="inlineStr">
        <is>
          <t>entrada.peso</t>
        </is>
      </c>
      <c r="I1" t="inlineStr">
        <is>
          <t>entrada.resolucao</t>
        </is>
      </c>
      <c r="J1" t="inlineStr">
        <is>
          <t>entrada.resultado</t>
        </is>
      </c>
      <c r="K1" t="inlineStr">
        <is>
          <t>entrada.exige_tr</t>
        </is>
      </c>
      <c r="L1" t="inlineStr">
        <is>
          <t>entrada.classe_0</t>
        </is>
      </c>
      <c r="M1" t="inlineStr">
        <is>
          <t>entrada.restricao_embutida</t>
        </is>
      </c>
      <c r="N1" t="inlineStr">
        <is>
          <t>entrada.alcance_escada</t>
        </is>
      </c>
      <c r="O1" t="inlineStr">
        <is>
          <t>entrada.area_escada</t>
        </is>
      </c>
      <c r="P1" t="inlineStr">
        <is>
          <t>entrada.alcance_personagem_classe_0</t>
        </is>
      </c>
      <c r="Q1" t="inlineStr">
        <is>
          <t>entrada.alcance_personagem_classes_1_a_5</t>
        </is>
      </c>
      <c r="R1" t="inlineStr">
        <is>
          <t>entrada.alcance_personagem_classes_6_e_7</t>
        </is>
      </c>
      <c r="S1" t="inlineStr">
        <is>
          <t>entrada.alcance_entidade_classe_0</t>
        </is>
      </c>
      <c r="T1" t="inlineStr">
        <is>
          <t>entrada.alcance_entidade_classes_1_a_5</t>
        </is>
      </c>
      <c r="U1" t="inlineStr">
        <is>
          <t>entrada.alcance_entidade_classe_6</t>
        </is>
      </c>
      <c r="V1" t="inlineStr">
        <is>
          <t>entrada.alcance_entidade_classe_7</t>
        </is>
      </c>
      <c r="W1" t="inlineStr">
        <is>
          <t>entrada.area_personagem_classe_0</t>
        </is>
      </c>
      <c r="X1" t="inlineStr">
        <is>
          <t>entrada.area_personagem_classes_1_a_5</t>
        </is>
      </c>
      <c r="Y1" t="inlineStr">
        <is>
          <t>entrada.area_personagem_classes_6_e_7</t>
        </is>
      </c>
      <c r="Z1" t="inlineStr">
        <is>
          <t>entrada.area_entidade_classe_0</t>
        </is>
      </c>
      <c r="AA1" t="inlineStr">
        <is>
          <t>entrada.area_entidade_classes_1_a_5</t>
        </is>
      </c>
      <c r="AB1" t="inlineStr">
        <is>
          <t>entrada.area_entidade_classe_6</t>
        </is>
      </c>
      <c r="AC1" t="inlineStr">
        <is>
          <t>entrada.area_entidade_classe_7</t>
        </is>
      </c>
      <c r="AD1" t="inlineStr">
        <is>
          <t>aviso</t>
        </is>
      </c>
      <c r="AE1" t="inlineStr">
        <is>
          <t>linha_base</t>
        </is>
      </c>
      <c r="AF1" t="inlineStr">
        <is>
          <t>ativo</t>
        </is>
      </c>
      <c r="AG1" t="inlineStr">
        <is>
          <t>tipo</t>
        </is>
      </c>
      <c r="AH1" t="inlineStr">
        <is>
          <t>nome</t>
        </is>
      </c>
      <c r="AI1" t="inlineStr">
        <is>
          <t>base</t>
        </is>
      </c>
      <c r="AJ1" t="inlineStr">
        <is>
          <t>mestre_viu</t>
        </is>
      </c>
      <c r="AK1" t="inlineStr">
        <is>
          <t>requisitos</t>
        </is>
      </c>
      <c r="AL1" t="inlineStr">
        <is>
          <t>efeito</t>
        </is>
      </c>
      <c r="AM1" t="inlineStr">
        <is>
          <t>familia</t>
        </is>
      </c>
      <c r="AN1" t="inlineStr">
        <is>
          <t>peso</t>
        </is>
      </c>
      <c r="AO1" t="inlineStr">
        <is>
          <t>resolucao</t>
        </is>
      </c>
      <c r="AP1" t="inlineStr">
        <is>
          <t>resultado</t>
        </is>
      </c>
      <c r="AQ1" t="inlineStr">
        <is>
          <t>exige_tr</t>
        </is>
      </c>
      <c r="AR1" t="inlineStr">
        <is>
          <t>classe_0</t>
        </is>
      </c>
      <c r="AS1" t="inlineStr">
        <is>
          <t>restricao_embutida</t>
        </is>
      </c>
      <c r="AT1" t="inlineStr">
        <is>
          <t>alcance_escada</t>
        </is>
      </c>
      <c r="AU1" t="inlineStr">
        <is>
          <t>area_escada</t>
        </is>
      </c>
      <c r="AV1" t="inlineStr">
        <is>
          <t>alcance_personagem_classe_0</t>
        </is>
      </c>
      <c r="AW1" t="inlineStr">
        <is>
          <t>alcance_personagem_classes_1_a_5</t>
        </is>
      </c>
      <c r="AX1" t="inlineStr">
        <is>
          <t>alcance_personagem_classes_6_e_7</t>
        </is>
      </c>
      <c r="AY1" t="inlineStr">
        <is>
          <t>alcance_entidade_classe_0</t>
        </is>
      </c>
      <c r="AZ1" t="inlineStr">
        <is>
          <t>alcance_entidade_classes_1_a_5</t>
        </is>
      </c>
      <c r="BA1" t="inlineStr">
        <is>
          <t>alcance_entidade_classe_6</t>
        </is>
      </c>
      <c r="BB1" t="inlineStr">
        <is>
          <t>alcance_entidade_classe_7</t>
        </is>
      </c>
      <c r="BC1" t="inlineStr">
        <is>
          <t>area_personagem_classe_0</t>
        </is>
      </c>
      <c r="BD1" t="inlineStr">
        <is>
          <t>area_personagem_classes_1_a_5</t>
        </is>
      </c>
      <c r="BE1" t="inlineStr">
        <is>
          <t>area_personagem_classes_6_e_7</t>
        </is>
      </c>
      <c r="BF1" t="inlineStr">
        <is>
          <t>area_entidade_classe_0</t>
        </is>
      </c>
      <c r="BG1" t="inlineStr">
        <is>
          <t>area_entidade_classes_1_a_5</t>
        </is>
      </c>
      <c r="BH1" t="inlineStr">
        <is>
          <t>area_entidade_classe_6</t>
        </is>
      </c>
      <c r="BI1" t="inlineStr">
        <is>
          <t>area_entidade_classe_7</t>
        </is>
      </c>
      <c r="BJ1" t="inlineStr">
        <is>
          <t>identidade</t>
        </is>
      </c>
      <c r="BK1" t="inlineStr">
        <is>
          <t>alvos</t>
        </is>
      </c>
      <c r="BL1" t="inlineStr">
        <is>
          <t>p1_dimensao</t>
        </is>
      </c>
      <c r="BM1" t="inlineStr">
        <is>
          <t>p1_antes</t>
        </is>
      </c>
      <c r="BN1" t="inlineStr">
        <is>
          <t>p1_depois</t>
        </is>
      </c>
      <c r="BO1" t="inlineStr">
        <is>
          <t>p1_grau</t>
        </is>
      </c>
      <c r="BP1" t="inlineStr">
        <is>
          <t>p2_dimensao</t>
        </is>
      </c>
      <c r="BQ1" t="inlineStr">
        <is>
          <t>p2_antes</t>
        </is>
      </c>
      <c r="BR1" t="inlineStr">
        <is>
          <t>p2_depois</t>
        </is>
      </c>
      <c r="BS1" t="inlineStr">
        <is>
          <t>p2_grau</t>
        </is>
      </c>
      <c r="FJ1" t="inlineStr">
        <is>
          <t>formas_personagem.0</t>
        </is>
      </c>
      <c r="FK1" t="inlineStr">
        <is>
          <t>formas_personagem.1</t>
        </is>
      </c>
      <c r="FL1" t="inlineStr">
        <is>
          <t>formas_personagem.2</t>
        </is>
      </c>
      <c r="FM1" t="inlineStr">
        <is>
          <t>formas_personagem.3</t>
        </is>
      </c>
      <c r="FN1" t="inlineStr">
        <is>
          <t>formas_personagem.4</t>
        </is>
      </c>
      <c r="FO1" t="inlineStr">
        <is>
          <t>formas_personagem.5</t>
        </is>
      </c>
      <c r="FP1" t="inlineStr">
        <is>
          <t>formas_personagem.6</t>
        </is>
      </c>
      <c r="FQ1" t="inlineStr">
        <is>
          <t>formas_personagem.7</t>
        </is>
      </c>
      <c r="FR1" t="inlineStr">
        <is>
          <t>formas_personagem.8</t>
        </is>
      </c>
      <c r="FS1" t="inlineStr">
        <is>
          <t>formas_personagem.9</t>
        </is>
      </c>
      <c r="FT1" t="inlineStr">
        <is>
          <t>formas_personagem.10</t>
        </is>
      </c>
      <c r="FU1" t="inlineStr">
        <is>
          <t>formas_personagem.11</t>
        </is>
      </c>
      <c r="FV1" t="inlineStr">
        <is>
          <t>formas_personagem.12</t>
        </is>
      </c>
      <c r="FW1" t="inlineStr">
        <is>
          <t>formas_personagem.13</t>
        </is>
      </c>
      <c r="FX1" t="inlineStr">
        <is>
          <t>formas_personagem.14</t>
        </is>
      </c>
      <c r="FZ1" t="inlineStr">
        <is>
          <t>formas_entidade.0</t>
        </is>
      </c>
      <c r="GA1" t="inlineStr">
        <is>
          <t>formas_entidade.1</t>
        </is>
      </c>
      <c r="GB1" t="inlineStr">
        <is>
          <t>formas_entidade.2</t>
        </is>
      </c>
      <c r="GC1" t="inlineStr">
        <is>
          <t>formas_entidade.3</t>
        </is>
      </c>
      <c r="GD1" t="inlineStr">
        <is>
          <t>formas_entidade.4</t>
        </is>
      </c>
      <c r="GE1" t="inlineStr">
        <is>
          <t>formas_entidade.5</t>
        </is>
      </c>
      <c r="GF1" t="inlineStr">
        <is>
          <t>formas_entidade.6</t>
        </is>
      </c>
      <c r="GG1" t="inlineStr">
        <is>
          <t>formas_entidade.7</t>
        </is>
      </c>
      <c r="GH1" t="inlineStr">
        <is>
          <t>formas_entidade.8</t>
        </is>
      </c>
      <c r="GI1" t="inlineStr">
        <is>
          <t>formas_entidade.9</t>
        </is>
      </c>
      <c r="GJ1" t="inlineStr">
        <is>
          <t>formas_entidade.10</t>
        </is>
      </c>
      <c r="GL1" t="inlineStr">
        <is>
          <t>escada_alcance.0</t>
        </is>
      </c>
      <c r="GN1" t="inlineStr">
        <is>
          <t>escada_raio.0</t>
        </is>
      </c>
      <c r="GP1" t="inlineStr">
        <is>
          <t>escada_comprimento.0</t>
        </is>
      </c>
      <c r="GR1" t="inlineStr">
        <is>
          <t>base_alcance_personagem.0</t>
        </is>
      </c>
      <c r="GS1" t="inlineStr">
        <is>
          <t>base_alcance_personagem.1</t>
        </is>
      </c>
      <c r="GT1" t="inlineStr">
        <is>
          <t>base_alcance_personagem.2</t>
        </is>
      </c>
      <c r="GU1" t="inlineStr">
        <is>
          <t>base_alcance_personagem.3</t>
        </is>
      </c>
      <c r="GV1" t="inlineStr">
        <is>
          <t>base_alcance_personagem.4</t>
        </is>
      </c>
      <c r="GW1" t="inlineStr">
        <is>
          <t>base_alcance_personagem.5</t>
        </is>
      </c>
      <c r="GY1" t="inlineStr">
        <is>
          <t>alcance_personagem.0</t>
        </is>
      </c>
      <c r="GZ1" t="inlineStr">
        <is>
          <t>alcance_personagem.1</t>
        </is>
      </c>
      <c r="HA1" t="inlineStr">
        <is>
          <t>alcance_personagem.2</t>
        </is>
      </c>
      <c r="HB1" t="inlineStr">
        <is>
          <t>alcance_personagem.3</t>
        </is>
      </c>
      <c r="HC1" t="inlineStr">
        <is>
          <t>alcance_personagem.4</t>
        </is>
      </c>
      <c r="HD1" t="inlineStr">
        <is>
          <t>alcance_personagem.5</t>
        </is>
      </c>
      <c r="HE1" t="inlineStr">
        <is>
          <t>alcance_personagem.6</t>
        </is>
      </c>
      <c r="HF1" t="inlineStr">
        <is>
          <t>alcance_personagem.7</t>
        </is>
      </c>
      <c r="HG1" t="inlineStr">
        <is>
          <t>alcance_personagem.8</t>
        </is>
      </c>
      <c r="HH1" t="inlineStr">
        <is>
          <t>alcance_personagem.9</t>
        </is>
      </c>
      <c r="HI1" t="inlineStr">
        <is>
          <t>alcance_personagem.10</t>
        </is>
      </c>
      <c r="HJ1" t="inlineStr">
        <is>
          <t>alcance_personagem.11</t>
        </is>
      </c>
      <c r="HK1" t="inlineStr">
        <is>
          <t>alcance_personagem.12</t>
        </is>
      </c>
      <c r="HM1" t="inlineStr">
        <is>
          <t>base_alcance_entidade.0</t>
        </is>
      </c>
      <c r="HN1" t="inlineStr">
        <is>
          <t>base_alcance_entidade.1</t>
        </is>
      </c>
      <c r="HO1" t="inlineStr">
        <is>
          <t>base_alcance_entidade.2</t>
        </is>
      </c>
      <c r="HP1" t="inlineStr">
        <is>
          <t>base_alcance_entidade.3</t>
        </is>
      </c>
      <c r="HQ1" t="inlineStr">
        <is>
          <t>base_alcance_entidade.4</t>
        </is>
      </c>
      <c r="HR1" t="inlineStr">
        <is>
          <t>base_alcance_entidade.5</t>
        </is>
      </c>
      <c r="HT1" t="inlineStr">
        <is>
          <t>alcance_entidade.0</t>
        </is>
      </c>
      <c r="HU1" t="inlineStr">
        <is>
          <t>alcance_entidade.1</t>
        </is>
      </c>
      <c r="HV1" t="inlineStr">
        <is>
          <t>alcance_entidade.2</t>
        </is>
      </c>
      <c r="HW1" t="inlineStr">
        <is>
          <t>alcance_entidade.3</t>
        </is>
      </c>
      <c r="HX1" t="inlineStr">
        <is>
          <t>alcance_entidade.4</t>
        </is>
      </c>
      <c r="HY1" t="inlineStr">
        <is>
          <t>alcance_entidade.5</t>
        </is>
      </c>
      <c r="HZ1" t="inlineStr">
        <is>
          <t>alcance_entidade.6</t>
        </is>
      </c>
      <c r="IA1" t="inlineStr">
        <is>
          <t>alcance_entidade.7</t>
        </is>
      </c>
      <c r="IB1" t="inlineStr">
        <is>
          <t>alcance_entidade.8</t>
        </is>
      </c>
      <c r="IC1" t="inlineStr">
        <is>
          <t>alcance_entidade.9</t>
        </is>
      </c>
      <c r="ID1" t="inlineStr">
        <is>
          <t>alcance_entidade.10</t>
        </is>
      </c>
      <c r="IE1" t="inlineStr">
        <is>
          <t>alcance_entidade.11</t>
        </is>
      </c>
      <c r="IF1" t="inlineStr">
        <is>
          <t>alcance_entidade.12</t>
        </is>
      </c>
      <c r="IH1" t="inlineStr">
        <is>
          <t>menu_entidade_0.0</t>
        </is>
      </c>
      <c r="II1" t="inlineStr">
        <is>
          <t>menu_entidade_0.1</t>
        </is>
      </c>
      <c r="IK1" t="inlineStr">
        <is>
          <t>menu_entidade_1.0</t>
        </is>
      </c>
      <c r="IL1" t="inlineStr">
        <is>
          <t>menu_entidade_1.1</t>
        </is>
      </c>
      <c r="IN1" t="inlineStr">
        <is>
          <t>menu_entidade_2.0</t>
        </is>
      </c>
      <c r="IO1" t="inlineStr">
        <is>
          <t>menu_entidade_2.1</t>
        </is>
      </c>
      <c r="IQ1" t="inlineStr">
        <is>
          <t>menu_entidade_3.0</t>
        </is>
      </c>
      <c r="IR1" t="inlineStr">
        <is>
          <t>menu_entidade_3.1</t>
        </is>
      </c>
      <c r="IT1" t="inlineStr">
        <is>
          <t>menu_entidade_4.0</t>
        </is>
      </c>
      <c r="IU1" t="inlineStr">
        <is>
          <t>menu_entidade_4.1</t>
        </is>
      </c>
      <c r="IW1" t="inlineStr">
        <is>
          <t>menu_entidade_5.0</t>
        </is>
      </c>
      <c r="IX1" t="inlineStr">
        <is>
          <t>menu_entidade_5.1</t>
        </is>
      </c>
      <c r="IZ1" t="inlineStr">
        <is>
          <t>menu_entidade_6.0</t>
        </is>
      </c>
      <c r="JA1" t="inlineStr">
        <is>
          <t>menu_entidade_6.1</t>
        </is>
      </c>
      <c r="JC1" t="inlineStr">
        <is>
          <t>menu_entidade_7.0</t>
        </is>
      </c>
      <c r="JD1" t="inlineStr">
        <is>
          <t>menu_entidade_7.1</t>
        </is>
      </c>
      <c r="JF1" t="inlineStr">
        <is>
          <t>menu_entidade_8.0</t>
        </is>
      </c>
      <c r="JG1" t="inlineStr">
        <is>
          <t>menu_entidade_8.1</t>
        </is>
      </c>
      <c r="JI1" t="inlineStr">
        <is>
          <t>menu_entidade_9.0</t>
        </is>
      </c>
      <c r="JJ1" t="inlineStr">
        <is>
          <t>menu_entidade_9.1</t>
        </is>
      </c>
      <c r="JL1" t="inlineStr">
        <is>
          <t>menu_entidade_10.0</t>
        </is>
      </c>
      <c r="JM1" t="inlineStr">
        <is>
          <t>menu_entidade_10.1</t>
        </is>
      </c>
      <c r="JO1" t="inlineStr">
        <is>
          <t>menu_entidade_11.0</t>
        </is>
      </c>
      <c r="JP1" t="inlineStr">
        <is>
          <t>menu_entidade_11.1</t>
        </is>
      </c>
    </row>
    <row r="2">
      <c r="A2">
        <f>IF(ISBLANK('CONFIGURAÇÃO'!$EZ$14),"",'CONFIGURAÇÃO'!$EZ$14)</f>
        <v/>
      </c>
      <c r="B2">
        <f>IF(ISBLANK('CONFIGURAÇÃO'!$EZ$16),"",'CONFIGURAÇÃO'!$EZ$16)</f>
        <v/>
      </c>
      <c r="C2">
        <f>IF(ISBLANK('CONFIGURAÇÃO'!$FC$17),"",'CONFIGURAÇÃO'!$FC$17)</f>
        <v/>
      </c>
      <c r="D2">
        <f>IF(ISBLANK('CONFIGURAÇÃO'!$FD$14),"",'CONFIGURAÇÃO'!$FD$14)</f>
        <v/>
      </c>
      <c r="E2">
        <f>IF(ISBLANK('CONFIGURAÇÃO'!$EZ$43),"",'CONFIGURAÇÃO'!$EZ$43)</f>
        <v/>
      </c>
      <c r="F2">
        <f>IF(ISBLANK('CONFIGURAÇÃO'!$EZ$49),"",'CONFIGURAÇÃO'!$EZ$49)</f>
        <v/>
      </c>
      <c r="G2">
        <f>IF(ISBLANK('CONFIGURAÇÃO'!$FC$18),"",'CONFIGURAÇÃO'!$FC$18)</f>
        <v/>
      </c>
      <c r="H2">
        <f>IF(ISBLANK('CONFIGURAÇÃO'!$FC$19),"",'CONFIGURAÇÃO'!$FC$19)</f>
        <v/>
      </c>
      <c r="I2">
        <f>IF(ISBLANK('CONFIGURAÇÃO'!$FC$20),"",'CONFIGURAÇÃO'!$FC$20)</f>
        <v/>
      </c>
      <c r="J2">
        <f>IF(ISBLANK('CONFIGURAÇÃO'!$FC$21),"",'CONFIGURAÇÃO'!$FC$21)</f>
        <v/>
      </c>
      <c r="K2">
        <f>IF(ISBLANK('CONFIGURAÇÃO'!$FC$22),"",'CONFIGURAÇÃO'!$FC$22)</f>
        <v/>
      </c>
      <c r="L2">
        <f>IF(ISBLANK('CONFIGURAÇÃO'!$FC$23),"",'CONFIGURAÇÃO'!$FC$23)</f>
        <v/>
      </c>
      <c r="M2">
        <f>IF(ISBLANK('CONFIGURAÇÃO'!$FC$24),"",'CONFIGURAÇÃO'!$FC$24)</f>
        <v/>
      </c>
      <c r="N2">
        <f>IF(ISBLANK('CONFIGURAÇÃO'!$FC$25),"",'CONFIGURAÇÃO'!$FC$25)</f>
        <v/>
      </c>
      <c r="O2">
        <f>IF(ISBLANK('CONFIGURAÇÃO'!$FC$26),"",'CONFIGURAÇÃO'!$FC$26)</f>
        <v/>
      </c>
      <c r="P2">
        <f>IF(ISBLANK('CONFIGURAÇÃO'!$FC$27),"",'CONFIGURAÇÃO'!$FC$27)</f>
        <v/>
      </c>
      <c r="Q2">
        <f>IF(ISBLANK('CONFIGURAÇÃO'!$FC$28),"",'CONFIGURAÇÃO'!$FC$28)</f>
        <v/>
      </c>
      <c r="R2">
        <f>IF(ISBLANK('CONFIGURAÇÃO'!$FC$29),"",'CONFIGURAÇÃO'!$FC$29)</f>
        <v/>
      </c>
      <c r="S2">
        <f>IF(ISBLANK('CONFIGURAÇÃO'!$FC$30),"",'CONFIGURAÇÃO'!$FC$30)</f>
        <v/>
      </c>
      <c r="T2">
        <f>IF(ISBLANK('CONFIGURAÇÃO'!$FC$31),"",'CONFIGURAÇÃO'!$FC$31)</f>
        <v/>
      </c>
      <c r="U2">
        <f>IF(ISBLANK('CONFIGURAÇÃO'!$FC$32),"",'CONFIGURAÇÃO'!$FC$32)</f>
        <v/>
      </c>
      <c r="V2">
        <f>IF(ISBLANK('CONFIGURAÇÃO'!$FC$33),"",'CONFIGURAÇÃO'!$FC$33)</f>
        <v/>
      </c>
      <c r="W2">
        <f>IF(ISBLANK('CONFIGURAÇÃO'!$FC$34),"",'CONFIGURAÇÃO'!$FC$34)</f>
        <v/>
      </c>
      <c r="X2">
        <f>IF(ISBLANK('CONFIGURAÇÃO'!$FC$35),"",'CONFIGURAÇÃO'!$FC$35)</f>
        <v/>
      </c>
      <c r="Y2">
        <f>IF(ISBLANK('CONFIGURAÇÃO'!$FC$36),"",'CONFIGURAÇÃO'!$FC$36)</f>
        <v/>
      </c>
      <c r="Z2">
        <f>IF(ISBLANK('CONFIGURAÇÃO'!$FC$37),"",'CONFIGURAÇÃO'!$FC$37)</f>
        <v/>
      </c>
      <c r="AA2">
        <f>IF(ISBLANK('CONFIGURAÇÃO'!$FC$38),"",'CONFIGURAÇÃO'!$FC$38)</f>
        <v/>
      </c>
      <c r="AB2">
        <f>IF(ISBLANK('CONFIGURAÇÃO'!$FC$39),"",'CONFIGURAÇÃO'!$FC$39)</f>
        <v/>
      </c>
      <c r="AC2">
        <f>IF(ISBLANK('CONFIGURAÇÃO'!$FC$40),"",'CONFIGURAÇÃO'!$FC$40)</f>
        <v/>
      </c>
      <c r="AD2">
        <f>IF($AF2,TEXTJOIN(" · ",TRUE,$DJ2:$FH2),"")</f>
        <v/>
      </c>
      <c r="AE2">
        <f>IF(OR($C2="",$C2="Nenhuma"),0,IFERROR(MATCH(SUBSTITUTE(SUBSTITUTE(SUBSTITUTE($C2,"~","~~"),"*","~*"),"?","~?"),'DADOS_FORMAS'!$AH$2:$AH$11,0),-1))</f>
        <v/>
      </c>
      <c r="AF2">
        <f>OR($B2&lt;&gt;"",$C2&lt;&gt;"",$E2&lt;&gt;"",$F2&lt;&gt;"",$G2&lt;&gt;"",$H2&lt;&gt;"",$I2&lt;&gt;"",$J2&lt;&gt;"",$K2&lt;&gt;"",$L2&lt;&gt;"",$M2&lt;&gt;"",$N2&lt;&gt;"",$O2&lt;&gt;"",$P2&lt;&gt;"",$Q2&lt;&gt;"",$R2&lt;&gt;"",$S2&lt;&gt;"",$T2&lt;&gt;"",$U2&lt;&gt;"",$V2&lt;&gt;"",$W2&lt;&gt;"",$X2&lt;&gt;"",$Y2&lt;&gt;"",$Z2&lt;&gt;"",$AA2&lt;&gt;"",$AB2&lt;&gt;"",$AC2&lt;&gt;"",AND($D2&lt;&gt;"",$D2&lt;&gt;FALSE),AND($A2&lt;&gt;"",$A2&lt;&gt;"Forma"))</f>
        <v/>
      </c>
      <c r="AG2" t="inlineStr">
        <is>
          <t>Forma</t>
        </is>
      </c>
      <c r="AH2" t="inlineStr">
        <is>
          <t>Projétil</t>
        </is>
      </c>
      <c r="AI2">
        <f>""</f>
        <v/>
      </c>
      <c r="AJ2" t="b">
        <v>0</v>
      </c>
      <c r="AK2">
        <f>""</f>
        <v/>
      </c>
      <c r="AL2" t="inlineStr">
        <is>
          <t>Um alvo a até 18 m.</t>
        </is>
      </c>
      <c r="AM2">
        <f>""</f>
        <v/>
      </c>
      <c r="AN2" t="b">
        <v>0</v>
      </c>
      <c r="AO2" t="inlineStr">
        <is>
          <t>Acerto</t>
        </is>
      </c>
      <c r="AP2" t="b">
        <v>0</v>
      </c>
      <c r="AQ2" t="b">
        <v>0</v>
      </c>
      <c r="AR2" t="b">
        <v>1</v>
      </c>
      <c r="AS2">
        <f>""</f>
        <v/>
      </c>
      <c r="AT2" t="inlineStr">
        <is>
          <t>alcance</t>
        </is>
      </c>
      <c r="AU2" t="inlineStr">
        <is>
          <t>Fixo</t>
        </is>
      </c>
      <c r="AV2" t="inlineStr">
        <is>
          <t>9 m</t>
        </is>
      </c>
      <c r="AW2" t="inlineStr">
        <is>
          <t>18 m</t>
        </is>
      </c>
      <c r="AX2" t="inlineStr">
        <is>
          <t>36 m</t>
        </is>
      </c>
      <c r="AY2" t="inlineStr">
        <is>
          <t>9 m</t>
        </is>
      </c>
      <c r="AZ2" t="inlineStr">
        <is>
          <t>18 m</t>
        </is>
      </c>
      <c r="BA2" t="inlineStr">
        <is>
          <t>36 m</t>
        </is>
      </c>
      <c r="BB2" t="inlineStr">
        <is>
          <t>36 m</t>
        </is>
      </c>
      <c r="BC2">
        <f>""</f>
        <v/>
      </c>
      <c r="BD2">
        <f>""</f>
        <v/>
      </c>
      <c r="BE2">
        <f>""</f>
        <v/>
      </c>
      <c r="BF2">
        <f>""</f>
        <v/>
      </c>
      <c r="BG2">
        <f>""</f>
        <v/>
      </c>
      <c r="BH2">
        <f>""</f>
        <v/>
      </c>
      <c r="BI2">
        <f>""</f>
        <v/>
      </c>
      <c r="BJ2" t="inlineStr">
        <is>
          <t>Projétil</t>
        </is>
      </c>
      <c r="BK2" t="b">
        <v>1</v>
      </c>
      <c r="BL2" t="inlineStr">
        <is>
          <t>alcance</t>
        </is>
      </c>
      <c r="BM2">
        <f>""</f>
        <v/>
      </c>
      <c r="BN2" t="inlineStr">
        <is>
          <t>, um alvo</t>
        </is>
      </c>
      <c r="BO2" t="b">
        <v>1</v>
      </c>
      <c r="BP2">
        <f>""</f>
        <v/>
      </c>
      <c r="BQ2">
        <f>""</f>
        <v/>
      </c>
      <c r="BR2">
        <f>""</f>
        <v/>
      </c>
      <c r="BS2" t="b">
        <v>0</v>
      </c>
      <c r="BV2">
        <f>IF($A2="",IF($AE2&gt;0,INDEX('DADOS_FORMAS'!$AG$2:$AG$11,MAX(1,$AE2)),"Forma"),$A2)</f>
        <v/>
      </c>
      <c r="BW2">
        <f>IF($B2="",IF($AE2&gt;0,INDEX('DADOS_FORMAS'!$AH$2:$AH$11,MAX(1,$AE2)),""),$B2)</f>
        <v/>
      </c>
      <c r="BX2">
        <f>IF($C2="",IF($AE2&gt;0,INDEX('DADOS_FORMAS'!$AI$2:$AI$11,MAX(1,$AE2)),""),$C2)</f>
        <v/>
      </c>
      <c r="BY2">
        <f>IF($D2="",IF($AE2&gt;0,INDEX('DADOS_FORMAS'!$AJ$2:$AJ$11,MAX(1,$AE2)),FALSE),$D2)</f>
        <v/>
      </c>
      <c r="BZ2">
        <f>IF($E2="",IF($AE2&gt;0,INDEX('DADOS_FORMAS'!$AK$2:$AK$11,MAX(1,$AE2)),""),$E2)</f>
        <v/>
      </c>
      <c r="CA2">
        <f>IF($F2="",IF($AE2&gt;0,INDEX('DADOS_FORMAS'!$AL$2:$AL$11,MAX(1,$AE2)),""),$F2)</f>
        <v/>
      </c>
      <c r="CB2">
        <f>IF($G2="Nenhuma","",IF($G2="",IF($AE2&gt;0,INDEX('DADOS_FORMAS'!$AM$2:$AM$11,MAX(1,$AE2)),""),$G2))</f>
        <v/>
      </c>
      <c r="CC2">
        <f>IF($H2="",IF($AE2&gt;0,INDEX('DADOS_FORMAS'!$AN$2:$AN$11,MAX(1,$AE2)),""),IF($H2="Sem custo",0,IF($H2="Leve",1,IF($H2="Média",2,IF($H2="Pesada",3,$H2)))))</f>
        <v/>
      </c>
      <c r="CD2">
        <f>IF($I2="",IF($AE2&gt;0,INDEX('DADOS_FORMAS'!$AO$2:$AO$11,MAX(1,$AE2)),""),$I2)</f>
        <v/>
      </c>
      <c r="CE2">
        <f>IF($J2="",IF($AE2&gt;0,INDEX('DADOS_FORMAS'!$AP$2:$AP$11,MAX(1,$AE2)),""),IF($J2="Dano",0,IF($J2="Cura",1,IF($J2="Vida temporária",2,IF($J2="Efeito",3,$J2)))))</f>
        <v/>
      </c>
      <c r="CF2">
        <f>IF($K2="",IF($AE2&gt;0,INDEX('DADOS_FORMAS'!$AQ$2:$AQ$11,MAX(1,$AE2)),""),IF($K2="Sim",TRUE,IF($K2="Não",FALSE,$K2)))</f>
        <v/>
      </c>
      <c r="CG2">
        <f>IF($L2="",IF($AE2&gt;0,INDEX('DADOS_FORMAS'!$AR$2:$AR$11,MAX(1,$AE2)),""),IF($L2="Sim",TRUE,IF($L2="Não",FALSE,$L2)))</f>
        <v/>
      </c>
      <c r="CH2">
        <f>IF($M2="Nenhuma","",IF($M2="",IF($AE2&gt;0,INDEX('DADOS_FORMAS'!$AS$2:$AS$11,MAX(1,$AE2)),""),$M2))</f>
        <v/>
      </c>
      <c r="CI2">
        <f>IF($N2="",IF($AE2&gt;0,INDEX('DADOS_FORMAS'!$AT$2:$AT$11,MAX(1,$AE2)),"Fixo"),$N2)</f>
        <v/>
      </c>
      <c r="CJ2">
        <f>IF($O2="",IF($AE2&gt;0,INDEX('DADOS_FORMAS'!$AU$2:$AU$11,MAX(1,$AE2)),"Fixo"),$O2)</f>
        <v/>
      </c>
      <c r="CK2">
        <f>IF($P2="",IF($AE2&gt;0,INDEX('DADOS_FORMAS'!$AV$2:$AV$11,MAX(1,$AE2)),""),$P2)</f>
        <v/>
      </c>
      <c r="CL2">
        <f>IF($Q2="",IF($AE2&gt;0,INDEX('DADOS_FORMAS'!$AW$2:$AW$11,MAX(1,$AE2)),""),$Q2)</f>
        <v/>
      </c>
      <c r="CM2">
        <f>IF($R2="",IF($AE2&gt;0,INDEX('DADOS_FORMAS'!$AX$2:$AX$11,MAX(1,$AE2)),""),$R2)</f>
        <v/>
      </c>
      <c r="CN2">
        <f>IF($S2="",IF($AE2&gt;0,INDEX('DADOS_FORMAS'!$AY$2:$AY$11,MAX(1,$AE2)),""),$S2)</f>
        <v/>
      </c>
      <c r="CO2">
        <f>IF($T2="",IF($AE2&gt;0,INDEX('DADOS_FORMAS'!$AZ$2:$AZ$11,MAX(1,$AE2)),""),$T2)</f>
        <v/>
      </c>
      <c r="CP2">
        <f>IF($U2="",IF($AE2&gt;0,INDEX('DADOS_FORMAS'!$BA$2:$BA$11,MAX(1,$AE2)),""),$U2)</f>
        <v/>
      </c>
      <c r="CQ2">
        <f>IF($V2="",IF($AE2&gt;0,INDEX('DADOS_FORMAS'!$BB$2:$BB$11,MAX(1,$AE2)),""),$V2)</f>
        <v/>
      </c>
      <c r="CR2">
        <f>IF($W2="",IF($AE2&gt;0,INDEX('DADOS_FORMAS'!$BC$2:$BC$11,MAX(1,$AE2)),""),$W2)</f>
        <v/>
      </c>
      <c r="CS2">
        <f>IF($X2="",IF($AE2&gt;0,INDEX('DADOS_FORMAS'!$BD$2:$BD$11,MAX(1,$AE2)),""),$X2)</f>
        <v/>
      </c>
      <c r="CT2">
        <f>IF($Y2="",IF($AE2&gt;0,INDEX('DADOS_FORMAS'!$BE$2:$BE$11,MAX(1,$AE2)),""),$Y2)</f>
        <v/>
      </c>
      <c r="CU2">
        <f>IF($Z2="",IF($AE2&gt;0,INDEX('DADOS_FORMAS'!$BF$2:$BF$11,MAX(1,$AE2)),""),$Z2)</f>
        <v/>
      </c>
      <c r="CV2">
        <f>IF($AA2="",IF($AE2&gt;0,INDEX('DADOS_FORMAS'!$BG$2:$BG$11,MAX(1,$AE2)),""),$AA2)</f>
        <v/>
      </c>
      <c r="CW2">
        <f>IF($AB2="",IF($AE2&gt;0,INDEX('DADOS_FORMAS'!$BH$2:$BH$11,MAX(1,$AE2)),""),$AB2)</f>
        <v/>
      </c>
      <c r="CX2">
        <f>IF($AC2="",IF($AE2&gt;0,INDEX('DADOS_FORMAS'!$BI$2:$BI$11,MAX(1,$AE2)),""),$AC2)</f>
        <v/>
      </c>
      <c r="CY2">
        <f>IF($AE2&gt;0,INDEX('DADOS_FORMAS'!$BJ$2:$BJ$11,MAX(1,$AE2)),"")</f>
        <v/>
      </c>
      <c r="CZ2">
        <f>IF($AE2&gt;0,INDEX('DADOS_FORMAS'!$BK$2:$BK$11,MAX(1,$AE2)),0)</f>
        <v/>
      </c>
      <c r="DA2">
        <f>IF($AE2&gt;0,INDEX('DADOS_FORMAS'!$BL$2:$BL$11,MAX(1,$AE2)),"alcance")</f>
        <v/>
      </c>
      <c r="DB2">
        <f>IF($AE2&gt;0,INDEX('DADOS_FORMAS'!$BM$2:$BM$11,MAX(1,$AE2)),"")</f>
        <v/>
      </c>
      <c r="DC2">
        <f>IF($AE2&gt;0,INDEX('DADOS_FORMAS'!$BN$2:$BN$11,MAX(1,$AE2)),"")</f>
        <v/>
      </c>
      <c r="DD2">
        <f>IF($AE2&gt;0,INDEX('DADOS_FORMAS'!$BO$2:$BO$11,MAX(1,$AE2)),1)</f>
        <v/>
      </c>
      <c r="DE2">
        <f>IF(AND($AE2&gt;0,INDEX('DADOS_FORMAS'!$BP$2:$BP$11,MAX(1,$AE2))=""),IF(AND(INDEX('DADOS_FORMAS'!$BL$2:$BL$11,MAX(1,$AE2))="alcance",OR($W2&lt;&gt;"",$X2&lt;&gt;"",$Y2&lt;&gt;"",$Z2&lt;&gt;"",$AA2&lt;&gt;"",$AB2&lt;&gt;"",$AC2&lt;&gt;"")),"area",IF(AND(INDEX('DADOS_FORMAS'!$BL$2:$BL$11,MAX(1,$AE2))="area",OR($P2&lt;&gt;"",$Q2&lt;&gt;"",$R2&lt;&gt;"",$S2&lt;&gt;"",$T2&lt;&gt;"",$U2&lt;&gt;"",$V2&lt;&gt;"")),"alcance","")),IF($AE2&gt;0,INDEX('DADOS_FORMAS'!$BP$2:$BP$11,MAX(1,$AE2)),"area"))</f>
        <v/>
      </c>
      <c r="DF2">
        <f>IF(AND($AE2&gt;0,INDEX('DADOS_FORMAS'!$BP$2:$BP$11,MAX(1,$AE2))=""),IF(IF(AND(INDEX('DADOS_FORMAS'!$BL$2:$BL$11,MAX(1,$AE2))="alcance",OR($W2&lt;&gt;"",$X2&lt;&gt;"",$Y2&lt;&gt;"",$Z2&lt;&gt;"",$AA2&lt;&gt;"",$AB2&lt;&gt;"",$AC2&lt;&gt;"")),"area",IF(AND(INDEX('DADOS_FORMAS'!$BL$2:$BL$11,MAX(1,$AE2))="area",OR($P2&lt;&gt;"",$Q2&lt;&gt;"",$R2&lt;&gt;"",$S2&lt;&gt;"",$T2&lt;&gt;"",$U2&lt;&gt;"",$V2&lt;&gt;"")),"alcance",""))="alcance"," · alcance ",IF(IF(AND(INDEX('DADOS_FORMAS'!$BL$2:$BL$11,MAX(1,$AE2))="alcance",OR($W2&lt;&gt;"",$X2&lt;&gt;"",$Y2&lt;&gt;"",$Z2&lt;&gt;"",$AA2&lt;&gt;"",$AB2&lt;&gt;"",$AC2&lt;&gt;"")),"area",IF(AND(INDEX('DADOS_FORMAS'!$BL$2:$BL$11,MAX(1,$AE2))="area",OR($P2&lt;&gt;"",$Q2&lt;&gt;"",$R2&lt;&gt;"",$S2&lt;&gt;"",$T2&lt;&gt;"",$U2&lt;&gt;"",$V2&lt;&gt;"")),"alcance",""))="area"," · área ","")),IF($AE2&gt;0,INDEX('DADOS_FORMAS'!$BQ$2:$BQ$11,MAX(1,$AE2))," · área "))</f>
        <v/>
      </c>
      <c r="DG2">
        <f>IF(AND($AE2&gt;0,INDEX('DADOS_FORMAS'!$BP$2:$BP$11,MAX(1,$AE2))=""),"",IF($AE2&gt;0,INDEX('DADOS_FORMAS'!$BR$2:$BR$11,MAX(1,$AE2)),""))</f>
        <v/>
      </c>
      <c r="DH2">
        <f>IF(AND($AE2&gt;0,INDEX('DADOS_FORMAS'!$BP$2:$BP$11,MAX(1,$AE2))=""),IF(IF(AND(INDEX('DADOS_FORMAS'!$BL$2:$BL$11,MAX(1,$AE2))="alcance",OR($W2&lt;&gt;"",$X2&lt;&gt;"",$Y2&lt;&gt;"",$Z2&lt;&gt;"",$AA2&lt;&gt;"",$AB2&lt;&gt;"",$AC2&lt;&gt;"")),"area",IF(AND(INDEX('DADOS_FORMAS'!$BL$2:$BL$11,MAX(1,$AE2))="area",OR($P2&lt;&gt;"",$Q2&lt;&gt;"",$R2&lt;&gt;"",$S2&lt;&gt;"",$T2&lt;&gt;"",$U2&lt;&gt;"",$V2&lt;&gt;"")),"alcance",""))="",0,IF(IF(AND(INDEX('DADOS_FORMAS'!$BL$2:$BL$11,MAX(1,$AE2))="alcance",OR($W2&lt;&gt;"",$X2&lt;&gt;"",$Y2&lt;&gt;"",$Z2&lt;&gt;"",$AA2&lt;&gt;"",$AB2&lt;&gt;"",$AC2&lt;&gt;"")),"area",IF(AND(INDEX('DADOS_FORMAS'!$BL$2:$BL$11,MAX(1,$AE2))="area",OR($P2&lt;&gt;"",$Q2&lt;&gt;"",$R2&lt;&gt;"",$S2&lt;&gt;"",$T2&lt;&gt;"",$U2&lt;&gt;"",$V2&lt;&gt;"")),"alcance",""))="alcance",1,IF($O2="comprimento",3,2))),IF($AE2&gt;0,INDEX('DADOS_FORMAS'!$BS$2:$BS$11,MAX(1,$AE2)),IF($O2="comprimento",3,2)))</f>
        <v/>
      </c>
      <c r="DJ2">
        <f>IF(AND(ISTEXT($B2),$B2&lt;&gt;"",TRIM($B2)=$B2),"","NOME precisa ser texto sem espaços nas pontas")</f>
        <v/>
      </c>
      <c r="DK2">
        <f>IF(COUNTIF('DADOS_FORMAS'!$B$2:$B$11,SUBSTITUTE(SUBSTITUTE(SUBSTITUTE($B2,"~","~~"),"*","~*"),"?","~?"))+COUNTIF('DADOS_FORMAS'!$AH$2:$AH$11,SUBSTITUTE(SUBSTITUTE(SUBSTITUTE($B2,"~","~~"),"*","~*"),"?","~?"))=1,"","Nome repetido no livro ou custom")</f>
        <v/>
      </c>
      <c r="DL2">
        <f>IF($AE2&gt;=0,"","BASE DO LIVRO inválida para o grupo")</f>
        <v/>
      </c>
      <c r="DM2">
        <f>IF(OR($BV2="Forma"),"","TIPO inválido para o grupo")</f>
        <v/>
      </c>
      <c r="DN2">
        <f>IF(ISLOGICAL($BY2),"","MESTRE VIU precisa ser caixa de seleção")</f>
        <v/>
      </c>
      <c r="DO2">
        <f>IF(ISTEXT($CA2),"","EFEITO precisa ser texto")</f>
        <v/>
      </c>
      <c r="DP2">
        <f>IF(ISTEXT($BZ2),"","REQUISITOS precisa ser texto")</f>
        <v/>
      </c>
      <c r="DQ2">
        <f>IF(IFERROR(AND(ISNUMBER($CC2),NOT(ISLOGICAL($CC2)),$CC2=INT($CC2),$CC2&gt;=0,$CC2&lt;=3),FALSE),"","PESO exige 0/1/2/3")</f>
        <v/>
      </c>
      <c r="DR2">
        <f>IF(IFERROR(AND(ISNUMBER($CE2),NOT(ISLOGICAL($CE2)),$CE2=INT($CE2),$CE2&gt;=0,$CE2&lt;=3),FALSE),"","RESULTADO exige 0/1/2/3")</f>
        <v/>
      </c>
      <c r="DS2">
        <f>IF(ISLOGICAL($CF2),"","EXIGE_TR exige Sim/Não")</f>
        <v/>
      </c>
      <c r="DT2">
        <f>IF(ISLOGICAL($CG2),"","CLASSE_0 exige Sim/Não")</f>
        <v/>
      </c>
      <c r="DU2">
        <f>IF(OR($CD2="Acerto",$CD2="TR, metade",$CD2="Automático"),"","RESOLUÇÃO inválida")</f>
        <v/>
      </c>
      <c r="DV2">
        <f>IF(OR($CB2="",COUNTIF('DADOS_CRIACAO'!$H$2:$H$20,SUBSTITUTE(SUBSTITUTE(SUBSTITUTE($CB2,"~","~~"),"*","~*"),"?","~?"))&gt;0),"","FAMÍLIA não cadastrada ou inválida")</f>
        <v/>
      </c>
      <c r="DW2">
        <f>IF(OR($CH2="",IFERROR(MATCH(SUBSTITUTE(SUBSTITUTE(SUBSTITUTE($CH2,"~","~~"),"*","~*"),"?","~?"),INDEX('DADOS_RESTRICOES'!$M$2:$Q$54,0,1),0),0)&gt;0),"","RESTRIÇÃO EMBUTIDA inválida")</f>
        <v/>
      </c>
      <c r="DX2">
        <f>IF(OR($CI2="Fixo",$CI2="alcance"),"","ESCADA inválida para alcance")</f>
        <v/>
      </c>
      <c r="DY2">
        <f>IF(OR(NOT(AND($CG2,OR($DA2="alcance",$DE2="alcance"))),$CK2&lt;&gt;""),"","Base de alcance ausente: personagem/classe_0")</f>
        <v/>
      </c>
      <c r="DZ2">
        <f>IF(ISTEXT($CK2),"","Base precisa ser texto: alcance/personagem/classe_0")</f>
        <v/>
      </c>
      <c r="EA2">
        <f>IF(OR(NOT(AND($CG2,OR($DA2="alcance",$DE2="alcance"))),$CI2="Fixo",$CK2="",$CK2="—",AND(RIGHT($CK2,2)=" m",IFERROR(VALUE(SUBSTITUTE(LEFT($CK2,MAX(0,LEN($CK2)-2)),",",""))/10^IFERROR(LEN(LEFT($CK2,MAX(0,LEN($CK2)-2)))-FIND(",",LEFT($CK2,MAX(0,LEN($CK2)-2))),0),-1)&gt;0)),"","Base incompatível com escada: alcance/personagem/classe_0")</f>
        <v/>
      </c>
      <c r="EB2">
        <f>IF(OR(NOT(OR($DA2="alcance",$DE2="alcance")),$CL2&lt;&gt;""),"","Base de alcance ausente: personagem/classes_1_a_5")</f>
        <v/>
      </c>
      <c r="EC2">
        <f>IF(ISTEXT($CL2),"","Base precisa ser texto: alcance/personagem/classes_1_a_5")</f>
        <v/>
      </c>
      <c r="ED2">
        <f>IF(OR(NOT(OR($DA2="alcance",$DE2="alcance")),$CI2="Fixo",$CL2="",$CL2="—",AND(RIGHT($CL2,2)=" m",IFERROR(VALUE(SUBSTITUTE(LEFT($CL2,MAX(0,LEN($CL2)-2)),",",""))/10^IFERROR(LEN(LEFT($CL2,MAX(0,LEN($CL2)-2)))-FIND(",",LEFT($CL2,MAX(0,LEN($CL2)-2))),0),-1)&gt;0)),"","Base incompatível com escada: alcance/personagem/classes_1_a_5")</f>
        <v/>
      </c>
      <c r="EE2">
        <f>IF(OR(NOT(OR($DA2="alcance",$DE2="alcance")),$CM2&lt;&gt;""),"","Base de alcance ausente: personagem/classes_6_e_7")</f>
        <v/>
      </c>
      <c r="EF2">
        <f>IF(ISTEXT($CM2),"","Base precisa ser texto: alcance/personagem/classes_6_e_7")</f>
        <v/>
      </c>
      <c r="EG2">
        <f>IF(OR(NOT(OR($DA2="alcance",$DE2="alcance")),$CI2="Fixo",$CM2="",$CM2="—",AND(RIGHT($CM2,2)=" m",IFERROR(VALUE(SUBSTITUTE(LEFT($CM2,MAX(0,LEN($CM2)-2)),",",""))/10^IFERROR(LEN(LEFT($CM2,MAX(0,LEN($CM2)-2)))-FIND(",",LEFT($CM2,MAX(0,LEN($CM2)-2))),0),-1)&gt;0)),"","Base incompatível com escada: alcance/personagem/classes_6_e_7")</f>
        <v/>
      </c>
      <c r="EH2">
        <f>IF(OR(NOT(AND($CG2,OR($DA2="alcance",$DE2="alcance"))),$CN2&lt;&gt;""),"","Base de alcance ausente: entidade/classe_0")</f>
        <v/>
      </c>
      <c r="EI2">
        <f>IF(ISTEXT($CN2),"","Base precisa ser texto: alcance/entidade/classe_0")</f>
        <v/>
      </c>
      <c r="EJ2">
        <f>IF(OR(NOT(AND($CG2,OR($DA2="alcance",$DE2="alcance"))),$CI2="Fixo",$CN2="",$CN2="—",AND(RIGHT($CN2,2)=" m",IFERROR(VALUE(SUBSTITUTE(LEFT($CN2,MAX(0,LEN($CN2)-2)),",",""))/10^IFERROR(LEN(LEFT($CN2,MAX(0,LEN($CN2)-2)))-FIND(",",LEFT($CN2,MAX(0,LEN($CN2)-2))),0),-1)&gt;0)),"","Base incompatível com escada: alcance/entidade/classe_0")</f>
        <v/>
      </c>
      <c r="EK2">
        <f>IF(OR(NOT(OR($DA2="alcance",$DE2="alcance")),$CO2&lt;&gt;""),"","Base de alcance ausente: entidade/classes_1_a_5")</f>
        <v/>
      </c>
      <c r="EL2">
        <f>IF(ISTEXT($CO2),"","Base precisa ser texto: alcance/entidade/classes_1_a_5")</f>
        <v/>
      </c>
      <c r="EM2">
        <f>IF(OR(NOT(OR($DA2="alcance",$DE2="alcance")),$CI2="Fixo",$CO2="",$CO2="—",AND(RIGHT($CO2,2)=" m",IFERROR(VALUE(SUBSTITUTE(LEFT($CO2,MAX(0,LEN($CO2)-2)),",",""))/10^IFERROR(LEN(LEFT($CO2,MAX(0,LEN($CO2)-2)))-FIND(",",LEFT($CO2,MAX(0,LEN($CO2)-2))),0),-1)&gt;0)),"","Base incompatível com escada: alcance/entidade/classes_1_a_5")</f>
        <v/>
      </c>
      <c r="EN2">
        <f>IF(OR(NOT(OR($DA2="alcance",$DE2="alcance")),$CP2&lt;&gt;""),"","Base de alcance ausente: entidade/classe_6")</f>
        <v/>
      </c>
      <c r="EO2">
        <f>IF(ISTEXT($CP2),"","Base precisa ser texto: alcance/entidade/classe_6")</f>
        <v/>
      </c>
      <c r="EP2">
        <f>IF(OR(NOT(OR($DA2="alcance",$DE2="alcance")),$CI2="Fixo",$CP2="",$CP2="—",AND(RIGHT($CP2,2)=" m",IFERROR(VALUE(SUBSTITUTE(LEFT($CP2,MAX(0,LEN($CP2)-2)),",",""))/10^IFERROR(LEN(LEFT($CP2,MAX(0,LEN($CP2)-2)))-FIND(",",LEFT($CP2,MAX(0,LEN($CP2)-2))),0),-1)&gt;0)),"","Base incompatível com escada: alcance/entidade/classe_6")</f>
        <v/>
      </c>
      <c r="EQ2">
        <f>IF(OR(NOT(OR($DA2="alcance",$DE2="alcance")),$CQ2&lt;&gt;""),"","Base de alcance ausente: entidade/classe_7")</f>
        <v/>
      </c>
      <c r="ER2">
        <f>IF(ISTEXT($CQ2),"","Base precisa ser texto: alcance/entidade/classe_7")</f>
        <v/>
      </c>
      <c r="ES2">
        <f>IF(OR(NOT(OR($DA2="alcance",$DE2="alcance")),$CI2="Fixo",$CQ2="",$CQ2="—",AND(RIGHT($CQ2,2)=" m",IFERROR(VALUE(SUBSTITUTE(LEFT($CQ2,MAX(0,LEN($CQ2)-2)),",",""))/10^IFERROR(LEN(LEFT($CQ2,MAX(0,LEN($CQ2)-2)))-FIND(",",LEFT($CQ2,MAX(0,LEN($CQ2)-2))),0),-1)&gt;0)),"","Base incompatível com escada: alcance/entidade/classe_7")</f>
        <v/>
      </c>
      <c r="ET2">
        <f>IF(OR($CJ2="Fixo",$CJ2="raio",$CJ2="comprimento"),"","ESCADA inválida para area")</f>
        <v/>
      </c>
      <c r="EU2">
        <f>IF(ISTEXT($CR2),"","Base precisa ser texto: area/personagem/classe_0")</f>
        <v/>
      </c>
      <c r="EV2">
        <f>IF(OR(NOT(AND($CG2,OR($DA2="area",$DE2="area"))),$CJ2="Fixo",$CR2="",$CR2="—",AND(AND(AND(RIGHT($CR2,2)=" m",IFERROR(VALUE(SUBSTITUTE(LEFT($CR2,MAX(0,LEN($CR2)-2)),",",""))/10^IFERROR(LEN(LEFT($CR2,MAX(0,LEN($CR2)-2)))-FIND(",",LEFT($CR2,MAX(0,LEN($CR2)-2))),0),-1)&gt;0),OR($CJ2&lt;&gt;"raio",IFERROR(VALUE(SUBSTITUTE(LEFT($CR2,MAX(0,LEN($CR2)-2)),",",""))/10^IFERROR(LEN(LEFT($CR2,MAX(0,LEN($CR2)-2)))-FIND(",",LEFT($CR2,MAX(0,LEN($CR2)-2))),0),-1)&lt;=15.0)),OR($CJ2&lt;&gt;"comprimento",IFERROR(VALUE(SUBSTITUTE(LEFT($CR2,MAX(0,LEN($CR2)-2)),",",""))/10^IFERROR(LEN(LEFT($CR2,MAX(0,LEN($CR2)-2)))-FIND(",",LEFT($CR2,MAX(0,LEN($CR2)-2))),0),-1)&lt;=60.0))),"","Base incompatível com escada: area/personagem/classe_0")</f>
        <v/>
      </c>
      <c r="EW2">
        <f>IF(ISTEXT($CS2),"","Base precisa ser texto: area/personagem/classes_1_a_5")</f>
        <v/>
      </c>
      <c r="EX2">
        <f>IF(OR(NOT(OR($DA2="area",$DE2="area")),$CJ2="Fixo",$CS2="",$CS2="—",AND(AND(AND(RIGHT($CS2,2)=" m",IFERROR(VALUE(SUBSTITUTE(LEFT($CS2,MAX(0,LEN($CS2)-2)),",",""))/10^IFERROR(LEN(LEFT($CS2,MAX(0,LEN($CS2)-2)))-FIND(",",LEFT($CS2,MAX(0,LEN($CS2)-2))),0),-1)&gt;0),OR($CJ2&lt;&gt;"raio",IFERROR(VALUE(SUBSTITUTE(LEFT($CS2,MAX(0,LEN($CS2)-2)),",",""))/10^IFERROR(LEN(LEFT($CS2,MAX(0,LEN($CS2)-2)))-FIND(",",LEFT($CS2,MAX(0,LEN($CS2)-2))),0),-1)&lt;=15.0)),OR($CJ2&lt;&gt;"comprimento",IFERROR(VALUE(SUBSTITUTE(LEFT($CS2,MAX(0,LEN($CS2)-2)),",",""))/10^IFERROR(LEN(LEFT($CS2,MAX(0,LEN($CS2)-2)))-FIND(",",LEFT($CS2,MAX(0,LEN($CS2)-2))),0),-1)&lt;=60.0))),"","Base incompatível com escada: area/personagem/classes_1_a_5")</f>
        <v/>
      </c>
      <c r="EY2">
        <f>IF(ISTEXT($CT2),"","Base precisa ser texto: area/personagem/classes_6_e_7")</f>
        <v/>
      </c>
      <c r="EZ2">
        <f>IF(OR(NOT(OR($DA2="area",$DE2="area")),$CJ2="Fixo",$CT2="",$CT2="—",AND(AND(AND(RIGHT($CT2,2)=" m",IFERROR(VALUE(SUBSTITUTE(LEFT($CT2,MAX(0,LEN($CT2)-2)),",",""))/10^IFERROR(LEN(LEFT($CT2,MAX(0,LEN($CT2)-2)))-FIND(",",LEFT($CT2,MAX(0,LEN($CT2)-2))),0),-1)&gt;0),OR($CJ2&lt;&gt;"raio",IFERROR(VALUE(SUBSTITUTE(LEFT($CT2,MAX(0,LEN($CT2)-2)),",",""))/10^IFERROR(LEN(LEFT($CT2,MAX(0,LEN($CT2)-2)))-FIND(",",LEFT($CT2,MAX(0,LEN($CT2)-2))),0),-1)&lt;=15.0)),OR($CJ2&lt;&gt;"comprimento",IFERROR(VALUE(SUBSTITUTE(LEFT($CT2,MAX(0,LEN($CT2)-2)),",",""))/10^IFERROR(LEN(LEFT($CT2,MAX(0,LEN($CT2)-2)))-FIND(",",LEFT($CT2,MAX(0,LEN($CT2)-2))),0),-1)&lt;=60.0))),"","Base incompatível com escada: area/personagem/classes_6_e_7")</f>
        <v/>
      </c>
      <c r="FA2">
        <f>IF(ISTEXT($CU2),"","Base precisa ser texto: area/entidade/classe_0")</f>
        <v/>
      </c>
      <c r="FB2">
        <f>IF(OR(NOT(AND($CG2,OR($DA2="area",$DE2="area"))),$CJ2="Fixo",$CU2="",$CU2="—",AND(AND(AND(RIGHT($CU2,2)=" m",IFERROR(VALUE(SUBSTITUTE(LEFT($CU2,MAX(0,LEN($CU2)-2)),",",""))/10^IFERROR(LEN(LEFT($CU2,MAX(0,LEN($CU2)-2)))-FIND(",",LEFT($CU2,MAX(0,LEN($CU2)-2))),0),-1)&gt;0),OR($CJ2&lt;&gt;"raio",IFERROR(VALUE(SUBSTITUTE(LEFT($CU2,MAX(0,LEN($CU2)-2)),",",""))/10^IFERROR(LEN(LEFT($CU2,MAX(0,LEN($CU2)-2)))-FIND(",",LEFT($CU2,MAX(0,LEN($CU2)-2))),0),-1)&lt;=15.0)),OR($CJ2&lt;&gt;"comprimento",IFERROR(VALUE(SUBSTITUTE(LEFT($CU2,MAX(0,LEN($CU2)-2)),",",""))/10^IFERROR(LEN(LEFT($CU2,MAX(0,LEN($CU2)-2)))-FIND(",",LEFT($CU2,MAX(0,LEN($CU2)-2))),0),-1)&lt;=60.0))),"","Base incompatível com escada: area/entidade/classe_0")</f>
        <v/>
      </c>
      <c r="FC2">
        <f>IF(ISTEXT($CV2),"","Base precisa ser texto: area/entidade/classes_1_a_5")</f>
        <v/>
      </c>
      <c r="FD2">
        <f>IF(OR(NOT(OR($DA2="area",$DE2="area")),$CJ2="Fixo",$CV2="",$CV2="—",AND(AND(AND(RIGHT($CV2,2)=" m",IFERROR(VALUE(SUBSTITUTE(LEFT($CV2,MAX(0,LEN($CV2)-2)),",",""))/10^IFERROR(LEN(LEFT($CV2,MAX(0,LEN($CV2)-2)))-FIND(",",LEFT($CV2,MAX(0,LEN($CV2)-2))),0),-1)&gt;0),OR($CJ2&lt;&gt;"raio",IFERROR(VALUE(SUBSTITUTE(LEFT($CV2,MAX(0,LEN($CV2)-2)),",",""))/10^IFERROR(LEN(LEFT($CV2,MAX(0,LEN($CV2)-2)))-FIND(",",LEFT($CV2,MAX(0,LEN($CV2)-2))),0),-1)&lt;=15.0)),OR($CJ2&lt;&gt;"comprimento",IFERROR(VALUE(SUBSTITUTE(LEFT($CV2,MAX(0,LEN($CV2)-2)),",",""))/10^IFERROR(LEN(LEFT($CV2,MAX(0,LEN($CV2)-2)))-FIND(",",LEFT($CV2,MAX(0,LEN($CV2)-2))),0),-1)&lt;=60.0))),"","Base incompatível com escada: area/entidade/classes_1_a_5")</f>
        <v/>
      </c>
      <c r="FE2">
        <f>IF(ISTEXT($CW2),"","Base precisa ser texto: area/entidade/classe_6")</f>
        <v/>
      </c>
      <c r="FF2">
        <f>IF(OR(NOT(OR($DA2="area",$DE2="area")),$CJ2="Fixo",$CW2="",$CW2="—",AND(AND(AND(RIGHT($CW2,2)=" m",IFERROR(VALUE(SUBSTITUTE(LEFT($CW2,MAX(0,LEN($CW2)-2)),",",""))/10^IFERROR(LEN(LEFT($CW2,MAX(0,LEN($CW2)-2)))-FIND(",",LEFT($CW2,MAX(0,LEN($CW2)-2))),0),-1)&gt;0),OR($CJ2&lt;&gt;"raio",IFERROR(VALUE(SUBSTITUTE(LEFT($CW2,MAX(0,LEN($CW2)-2)),",",""))/10^IFERROR(LEN(LEFT($CW2,MAX(0,LEN($CW2)-2)))-FIND(",",LEFT($CW2,MAX(0,LEN($CW2)-2))),0),-1)&lt;=15.0)),OR($CJ2&lt;&gt;"comprimento",IFERROR(VALUE(SUBSTITUTE(LEFT($CW2,MAX(0,LEN($CW2)-2)),",",""))/10^IFERROR(LEN(LEFT($CW2,MAX(0,LEN($CW2)-2)))-FIND(",",LEFT($CW2,MAX(0,LEN($CW2)-2))),0),-1)&lt;=60.0))),"","Base incompatível com escada: area/entidade/classe_6")</f>
        <v/>
      </c>
      <c r="FG2">
        <f>IF(ISTEXT($CX2),"","Base precisa ser texto: area/entidade/classe_7")</f>
        <v/>
      </c>
      <c r="FH2">
        <f>IF(OR(NOT(OR($DA2="area",$DE2="area")),$CJ2="Fixo",$CX2="",$CX2="—",AND(AND(AND(RIGHT($CX2,2)=" m",IFERROR(VALUE(SUBSTITUTE(LEFT($CX2,MAX(0,LEN($CX2)-2)),",",""))/10^IFERROR(LEN(LEFT($CX2,MAX(0,LEN($CX2)-2)))-FIND(",",LEFT($CX2,MAX(0,LEN($CX2)-2))),0),-1)&gt;0),OR($CJ2&lt;&gt;"raio",IFERROR(VALUE(SUBSTITUTE(LEFT($CX2,MAX(0,LEN($CX2)-2)),",",""))/10^IFERROR(LEN(LEFT($CX2,MAX(0,LEN($CX2)-2)))-FIND(",",LEFT($CX2,MAX(0,LEN($CX2)-2))),0),-1)&lt;=15.0)),OR($CJ2&lt;&gt;"comprimento",IFERROR(VALUE(SUBSTITUTE(LEFT($CX2,MAX(0,LEN($CX2)-2)),",",""))/10^IFERROR(LEN(LEFT($CX2,MAX(0,LEN($CX2)-2)))-FIND(",",LEFT($CX2,MAX(0,LEN($CX2)-2))),0),-1)&lt;=60.0))),"","Base incompatível com escada: area/entidade/classe_7")</f>
        <v/>
      </c>
      <c r="FJ2">
        <f>'DADOS_FORMAS'!$AH2</f>
        <v/>
      </c>
      <c r="FK2">
        <f>'DADOS_FORMAS'!$AM2</f>
        <v/>
      </c>
      <c r="FL2">
        <f>'DADOS_FORMAS'!$AN2</f>
        <v/>
      </c>
      <c r="FM2">
        <f>IF('DADOS_FORMAS'!$AN2=0,0,'DADOS_FORMAS'!$AN2+3*IFERROR(VLOOKUP(SUBSTITUTE(SUBSTITUTE(SUBSTITUTE('DADOS_FORMAS'!$AM2,"~","~~"),"*","~*"),"?","~?"),'DADOS_CRIACAO'!$H$2:$K$20,3,FALSE),0))</f>
        <v/>
      </c>
      <c r="FN2">
        <f>IFERROR(VLOOKUP(SUBSTITUTE(SUBSTITUTE(SUBSTITUTE('DADOS_FORMAS'!$AM2,"~","~~"),"*","~*"),"?","~?"),'DADOS_CRIACAO'!$H$2:$K$20,4,FALSE),0)</f>
        <v/>
      </c>
      <c r="FO2">
        <f>IF('DADOS_FORMAS'!$AS2="",0,1)</f>
        <v/>
      </c>
      <c r="FP2">
        <f>'DADOS_FORMAS'!$AP2</f>
        <v/>
      </c>
      <c r="FQ2">
        <f>IF(AND('DADOS_FORMAS'!$AO2="Acerto",'DADOS_FORMAS'!$AQ2),"Acerto + TR",'DADOS_FORMAS'!$AO2)</f>
        <v/>
      </c>
      <c r="FR2">
        <f>N(OR('DADOS_FORMAS'!$AQ2,'DADOS_FORMAS'!$AO2="TR, metade"))</f>
        <v/>
      </c>
      <c r="FS2">
        <f>'DADOS_FORMAS'!$BO2</f>
        <v/>
      </c>
      <c r="FT2">
        <f>'DADOS_FORMAS'!$BS2</f>
        <v/>
      </c>
      <c r="FU2">
        <f>'DADOS_FORMAS'!$BK2</f>
        <v/>
      </c>
      <c r="FV2">
        <f>N('DADOS_FORMAS'!$AR2)</f>
        <v/>
      </c>
      <c r="FW2">
        <f>IF(IFERROR(VLOOKUP(SUBSTITUTE(SUBSTITUTE(SUBSTITUTE('DADOS_FORMAS'!$AM2,"~","~~"),"*","~*"),"?","~?"),'DADOS_CRIACAO'!$H$2:$K$20,4,FALSE),0)=1,"",'DADOS_FORMAS'!$AH2)</f>
        <v/>
      </c>
      <c r="FX2">
        <f>IF(AND('DADOS_FORMAS'!$AR2,IFERROR(VLOOKUP(SUBSTITUTE(SUBSTITUTE(SUBSTITUTE('DADOS_FORMAS'!$AM2,"~","~~"),"*","~*"),"?","~?"),'DADOS_CRIACAO'!$H$2:$K$20,4,FALSE),0)=0),'DADOS_FORMAS'!$AH2,"")</f>
        <v/>
      </c>
      <c r="FZ2">
        <f>'DADOS_FORMAS'!$AH2</f>
        <v/>
      </c>
      <c r="GA2">
        <f>'DADOS_FORMAS'!$AM2</f>
        <v/>
      </c>
      <c r="GB2">
        <f>'DADOS_FORMAS'!$AN2</f>
        <v/>
      </c>
      <c r="GC2">
        <f>IF('DADOS_FORMAS'!$AS2="",0,1)</f>
        <v/>
      </c>
      <c r="GD2">
        <f>'DADOS_FORMAS'!$AP2</f>
        <v/>
      </c>
      <c r="GE2">
        <f>IF('DADOS_FORMAS'!$AO2="Acerto","Ataque",IF('DADOS_FORMAS'!$AQ2,"TR","—"))</f>
        <v/>
      </c>
      <c r="GF2">
        <f>N(OR('DADOS_FORMAS'!$AQ2,'DADOS_FORMAS'!$AO2="TR, metade"))</f>
        <v/>
      </c>
      <c r="GG2">
        <f>'DADOS_FORMAS'!$BO2</f>
        <v/>
      </c>
      <c r="GH2">
        <f>'DADOS_FORMAS'!$BS2</f>
        <v/>
      </c>
      <c r="GI2">
        <f>'DADOS_FORMAS'!$BK2</f>
        <v/>
      </c>
      <c r="GJ2">
        <f>N('DADOS_FORMAS'!$AR2)</f>
        <v/>
      </c>
      <c r="GL2" t="inlineStr">
        <is>
          <t>1,5 m</t>
        </is>
      </c>
      <c r="GN2" t="inlineStr">
        <is>
          <t>3 m</t>
        </is>
      </c>
      <c r="GP2" t="inlineStr">
        <is>
          <t>4,5 m</t>
        </is>
      </c>
      <c r="GR2">
        <f>'DADOS_FORMAS'!$BL12</f>
        <v/>
      </c>
      <c r="GS2">
        <f>IF('DADOS_FORMAS'!$BL12="area",'DADOS_FORMAS'!$AU12,'DADOS_FORMAS'!$AT12)</f>
        <v/>
      </c>
      <c r="GT2">
        <f>IF('DADOS_FORMAS'!$BL12="area",'DADOS_FORMAS'!$BC12,'DADOS_FORMAS'!$AV12)</f>
        <v/>
      </c>
      <c r="GU2">
        <f>'DADOS_FORMAS'!$BM12</f>
        <v/>
      </c>
      <c r="GV2">
        <f>'DADOS_FORMAS'!$BN12</f>
        <v/>
      </c>
      <c r="GW2">
        <f>LET(base,'DADOS_FORMAS'!$GT2,escada,'DADOS_FORMAS'!$GS2,medida,LEFT(base,MAX(0,LEN(base)-2)),valor,IFERROR(VALUE(SUBSTITUTE(medida,",",""))/10^IFERROR(LEN(medida)-FIND(",",medida),0),1E99),IF(OR(escada="Fixo",base="—"),base,IF(escada="alcance",IFERROR(MATCH(base,{"1,5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 t="inlineStr">
        <is>
          <t>Projétil · classe 0</t>
        </is>
      </c>
      <c r="GZ2" t="inlineStr">
        <is>
          <t>9 m, um alvo</t>
        </is>
      </c>
      <c r="HA2" t="inlineStr">
        <is>
          <t>18 m, um alvo</t>
        </is>
      </c>
      <c r="HB2" t="inlineStr">
        <is>
          <t>36 m, um alvo</t>
        </is>
      </c>
      <c r="HC2" t="inlineStr">
        <is>
          <t>90 m, um alvo</t>
        </is>
      </c>
      <c r="HD2" t="inlineStr">
        <is>
          <t>Visão a olho nu, um alvo</t>
        </is>
      </c>
      <c r="HE2" t="inlineStr">
        <is>
          <t>Visão a olho nu, um alvo</t>
        </is>
      </c>
      <c r="HF2" t="inlineStr"/>
      <c r="HG2" t="inlineStr"/>
      <c r="HH2" t="inlineStr"/>
      <c r="HI2" t="inlineStr"/>
      <c r="HJ2" t="inlineStr"/>
      <c r="HK2" t="inlineStr"/>
      <c r="HM2">
        <f>'DADOS_FORMAS'!$BL12</f>
        <v/>
      </c>
      <c r="HN2">
        <f>IF('DADOS_FORMAS'!$BL12="area",'DADOS_FORMAS'!$AU12,'DADOS_FORMAS'!$AT12)</f>
        <v/>
      </c>
      <c r="HO2">
        <f>IF('DADOS_FORMAS'!$BL12="area",'DADOS_FORMAS'!$BF12,'DADOS_FORMAS'!$AY12)</f>
        <v/>
      </c>
      <c r="HP2">
        <f>'DADOS_FORMAS'!$BM12</f>
        <v/>
      </c>
      <c r="HQ2">
        <f>'DADOS_FORMAS'!$BN12</f>
        <v/>
      </c>
      <c r="HR2">
        <f>LET(base,'DADOS_FORMAS'!$HO2,escada,'DADOS_FORMAS'!$HN2,medida,LEFT(base,MAX(0,LEN(base)-2)),valor,IFERROR(VALUE(SUBSTITUTE(medida,",",""))/10^IFERROR(LEN(medida)-FIND(",",medida),0),1E99),IF(OR(escada="Fixo",base="—"),base,IF(escada="alcance",IFERROR(MATCH(base,{"1,5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 t="inlineStr">
        <is>
          <t>Projétil · classe 0</t>
        </is>
      </c>
      <c r="HU2" t="inlineStr">
        <is>
          <t>9 m, um alvo</t>
        </is>
      </c>
      <c r="HV2" t="inlineStr">
        <is>
          <t>18 m, um alvo</t>
        </is>
      </c>
      <c r="HW2" t="inlineStr">
        <is>
          <t>36 m, um alvo</t>
        </is>
      </c>
      <c r="HX2" t="inlineStr">
        <is>
          <t>90 m, um alvo</t>
        </is>
      </c>
      <c r="HY2" t="inlineStr">
        <is>
          <t>Visão a olho nu, um alvo</t>
        </is>
      </c>
      <c r="HZ2" t="inlineStr">
        <is>
          <t>Visão a olho nu, um alvo</t>
        </is>
      </c>
      <c r="IA2" t="inlineStr"/>
      <c r="IB2" t="inlineStr"/>
      <c r="IC2" t="inlineStr"/>
      <c r="ID2" t="inlineStr"/>
      <c r="IE2" t="inlineStr"/>
      <c r="IF2" t="inlineStr"/>
      <c r="IH2">
        <f>IF(OR('DADOS_FORMAS'!$AM2='INVOCAÇÕES'!$O$48,'DADOS_FORMAS'!$AM2='INVOCAÇÕES'!$P$48,'DADOS_FORMAS'!$AM2='INVOCAÇÕES'!$Q$48,'DADOS_FORMAS'!$AM2='INVOCAÇÕES'!$R$48,'DADOS_FORMAS'!$AM2='INVOCAÇÕES'!$S$48,'DADOS_FORMAS'!$AM2='INVOCAÇÕES'!$O$50,'DADOS_FORMAS'!$AM2='INVOCAÇÕES'!$P$50,'DADOS_FORMAS'!$AM2='INVOCAÇÕES'!$Q$50,'DADOS_FORMAS'!$AM2='INVOCAÇÕES'!$R$50,'DADOS_FORMAS'!$AM2=""),'DADOS_FORMAS'!$AH2,"")</f>
        <v/>
      </c>
      <c r="II2">
        <f>IF(AND(OR('DADOS_FORMAS'!$AM2='INVOCAÇÕES'!$O$48,'DADOS_FORMAS'!$AM2='INVOCAÇÕES'!$P$48,'DADOS_FORMAS'!$AM2='INVOCAÇÕES'!$Q$48,'DADOS_FORMAS'!$AM2='INVOCAÇÕES'!$R$48,'DADOS_FORMAS'!$AM2='INVOCAÇÕES'!$S$48,'DADOS_FORMAS'!$AM2='INVOCAÇÕES'!$O$50,'DADOS_FORMAS'!$AM2='INVOCAÇÕES'!$P$50,'DADOS_FORMAS'!$AM2='INVOCAÇÕES'!$Q$50,'DADOS_FORMAS'!$AM2='INVOCAÇÕES'!$R$50,'DADOS_FORMAS'!$AM2=""),'DADOS_FORMAS'!$AR2),'DADOS_FORMAS'!$AH2,"")</f>
        <v/>
      </c>
      <c r="IK2">
        <f>IF(OR('DADOS_FORMAS'!$AM2='INVOCAÇÕES'!$O$259,'DADOS_FORMAS'!$AM2='INVOCAÇÕES'!$P$259,'DADOS_FORMAS'!$AM2='INVOCAÇÕES'!$Q$259,'DADOS_FORMAS'!$AM2='INVOCAÇÕES'!$R$259,'DADOS_FORMAS'!$AM2='INVOCAÇÕES'!$S$259,'DADOS_FORMAS'!$AM2='INVOCAÇÕES'!$O$261,'DADOS_FORMAS'!$AM2='INVOCAÇÕES'!$P$261,'DADOS_FORMAS'!$AM2='INVOCAÇÕES'!$Q$261,'DADOS_FORMAS'!$AM2='INVOCAÇÕES'!$R$261,'DADOS_FORMAS'!$AM2=""),'DADOS_FORMAS'!$AH2,"")</f>
        <v/>
      </c>
      <c r="IL2">
        <f>IF(AND(OR('DADOS_FORMAS'!$AM2='INVOCAÇÕES'!$O$259,'DADOS_FORMAS'!$AM2='INVOCAÇÕES'!$P$259,'DADOS_FORMAS'!$AM2='INVOCAÇÕES'!$Q$259,'DADOS_FORMAS'!$AM2='INVOCAÇÕES'!$R$259,'DADOS_FORMAS'!$AM2='INVOCAÇÕES'!$S$259,'DADOS_FORMAS'!$AM2='INVOCAÇÕES'!$O$261,'DADOS_FORMAS'!$AM2='INVOCAÇÕES'!$P$261,'DADOS_FORMAS'!$AM2='INVOCAÇÕES'!$Q$261,'DADOS_FORMAS'!$AM2='INVOCAÇÕES'!$R$261,'DADOS_FORMAS'!$AM2=""),'DADOS_FORMAS'!$AR2),'DADOS_FORMAS'!$AH2,"")</f>
        <v/>
      </c>
      <c r="IN2">
        <f>IF(OR('DADOS_FORMAS'!$AM2='INVOCAÇÕES'!$O$470,'DADOS_FORMAS'!$AM2='INVOCAÇÕES'!$P$470,'DADOS_FORMAS'!$AM2='INVOCAÇÕES'!$Q$470,'DADOS_FORMAS'!$AM2='INVOCAÇÕES'!$R$470,'DADOS_FORMAS'!$AM2='INVOCAÇÕES'!$S$470,'DADOS_FORMAS'!$AM2='INVOCAÇÕES'!$O$472,'DADOS_FORMAS'!$AM2='INVOCAÇÕES'!$P$472,'DADOS_FORMAS'!$AM2='INVOCAÇÕES'!$Q$472,'DADOS_FORMAS'!$AM2='INVOCAÇÕES'!$R$472,'DADOS_FORMAS'!$AM2=""),'DADOS_FORMAS'!$AH2,"")</f>
        <v/>
      </c>
      <c r="IO2">
        <f>IF(AND(OR('DADOS_FORMAS'!$AM2='INVOCAÇÕES'!$O$470,'DADOS_FORMAS'!$AM2='INVOCAÇÕES'!$P$470,'DADOS_FORMAS'!$AM2='INVOCAÇÕES'!$Q$470,'DADOS_FORMAS'!$AM2='INVOCAÇÕES'!$R$470,'DADOS_FORMAS'!$AM2='INVOCAÇÕES'!$S$470,'DADOS_FORMAS'!$AM2='INVOCAÇÕES'!$O$472,'DADOS_FORMAS'!$AM2='INVOCAÇÕES'!$P$472,'DADOS_FORMAS'!$AM2='INVOCAÇÕES'!$Q$472,'DADOS_FORMAS'!$AM2='INVOCAÇÕES'!$R$472,'DADOS_FORMAS'!$AM2=""),'DADOS_FORMAS'!$AR2),'DADOS_FORMAS'!$AH2,"")</f>
        <v/>
      </c>
      <c r="IQ2">
        <f>IF(OR('DADOS_FORMAS'!$AM2='INVOCAÇÕES'!$O$681,'DADOS_FORMAS'!$AM2='INVOCAÇÕES'!$P$681,'DADOS_FORMAS'!$AM2='INVOCAÇÕES'!$Q$681,'DADOS_FORMAS'!$AM2='INVOCAÇÕES'!$R$681,'DADOS_FORMAS'!$AM2='INVOCAÇÕES'!$S$681,'DADOS_FORMAS'!$AM2='INVOCAÇÕES'!$O$683,'DADOS_FORMAS'!$AM2='INVOCAÇÕES'!$P$683,'DADOS_FORMAS'!$AM2='INVOCAÇÕES'!$Q$683,'DADOS_FORMAS'!$AM2='INVOCAÇÕES'!$R$683,'DADOS_FORMAS'!$AM2=""),'DADOS_FORMAS'!$AH2,"")</f>
        <v/>
      </c>
      <c r="IR2">
        <f>IF(AND(OR('DADOS_FORMAS'!$AM2='INVOCAÇÕES'!$O$681,'DADOS_FORMAS'!$AM2='INVOCAÇÕES'!$P$681,'DADOS_FORMAS'!$AM2='INVOCAÇÕES'!$Q$681,'DADOS_FORMAS'!$AM2='INVOCAÇÕES'!$R$681,'DADOS_FORMAS'!$AM2='INVOCAÇÕES'!$S$681,'DADOS_FORMAS'!$AM2='INVOCAÇÕES'!$O$683,'DADOS_FORMAS'!$AM2='INVOCAÇÕES'!$P$683,'DADOS_FORMAS'!$AM2='INVOCAÇÕES'!$Q$683,'DADOS_FORMAS'!$AM2='INVOCAÇÕES'!$R$683,'DADOS_FORMAS'!$AM2=""),'DADOS_FORMAS'!$AR2),'DADOS_FORMAS'!$AH2,"")</f>
        <v/>
      </c>
      <c r="IT2">
        <f>IF(OR('DADOS_FORMAS'!$AM2='INVOCAÇÕES'!$O$892,'DADOS_FORMAS'!$AM2='INVOCAÇÕES'!$P$892,'DADOS_FORMAS'!$AM2='INVOCAÇÕES'!$Q$892,'DADOS_FORMAS'!$AM2='INVOCAÇÕES'!$R$892,'DADOS_FORMAS'!$AM2='INVOCAÇÕES'!$S$892,'DADOS_FORMAS'!$AM2='INVOCAÇÕES'!$O$894,'DADOS_FORMAS'!$AM2='INVOCAÇÕES'!$P$894,'DADOS_FORMAS'!$AM2='INVOCAÇÕES'!$Q$894,'DADOS_FORMAS'!$AM2='INVOCAÇÕES'!$R$894,'DADOS_FORMAS'!$AM2=""),'DADOS_FORMAS'!$AH2,"")</f>
        <v/>
      </c>
      <c r="IU2">
        <f>IF(AND(OR('DADOS_FORMAS'!$AM2='INVOCAÇÕES'!$O$892,'DADOS_FORMAS'!$AM2='INVOCAÇÕES'!$P$892,'DADOS_FORMAS'!$AM2='INVOCAÇÕES'!$Q$892,'DADOS_FORMAS'!$AM2='INVOCAÇÕES'!$R$892,'DADOS_FORMAS'!$AM2='INVOCAÇÕES'!$S$892,'DADOS_FORMAS'!$AM2='INVOCAÇÕES'!$O$894,'DADOS_FORMAS'!$AM2='INVOCAÇÕES'!$P$894,'DADOS_FORMAS'!$AM2='INVOCAÇÕES'!$Q$894,'DADOS_FORMAS'!$AM2='INVOCAÇÕES'!$R$894,'DADOS_FORMAS'!$AM2=""),'DADOS_FORMAS'!$AR2),'DADOS_FORMAS'!$AH2,"")</f>
        <v/>
      </c>
      <c r="IW2">
        <f>IF(OR('DADOS_FORMAS'!$AM2='INVOCAÇÕES'!$O$1103,'DADOS_FORMAS'!$AM2='INVOCAÇÕES'!$P$1103,'DADOS_FORMAS'!$AM2='INVOCAÇÕES'!$Q$1103,'DADOS_FORMAS'!$AM2='INVOCAÇÕES'!$R$1103,'DADOS_FORMAS'!$AM2='INVOCAÇÕES'!$S$1103,'DADOS_FORMAS'!$AM2='INVOCAÇÕES'!$O$1105,'DADOS_FORMAS'!$AM2='INVOCAÇÕES'!$P$1105,'DADOS_FORMAS'!$AM2='INVOCAÇÕES'!$Q$1105,'DADOS_FORMAS'!$AM2='INVOCAÇÕES'!$R$1105,'DADOS_FORMAS'!$AM2=""),'DADOS_FORMAS'!$AH2,"")</f>
        <v/>
      </c>
      <c r="IX2">
        <f>IF(AND(OR('DADOS_FORMAS'!$AM2='INVOCAÇÕES'!$O$1103,'DADOS_FORMAS'!$AM2='INVOCAÇÕES'!$P$1103,'DADOS_FORMAS'!$AM2='INVOCAÇÕES'!$Q$1103,'DADOS_FORMAS'!$AM2='INVOCAÇÕES'!$R$1103,'DADOS_FORMAS'!$AM2='INVOCAÇÕES'!$S$1103,'DADOS_FORMAS'!$AM2='INVOCAÇÕES'!$O$1105,'DADOS_FORMAS'!$AM2='INVOCAÇÕES'!$P$1105,'DADOS_FORMAS'!$AM2='INVOCAÇÕES'!$Q$1105,'DADOS_FORMAS'!$AM2='INVOCAÇÕES'!$R$1105,'DADOS_FORMAS'!$AM2=""),'DADOS_FORMAS'!$AR2),'DADOS_FORMAS'!$AH2,"")</f>
        <v/>
      </c>
      <c r="IZ2">
        <f>IF(OR('DADOS_FORMAS'!$AM2='INVOCAÇÕES'!$AH$48,'DADOS_FORMAS'!$AM2='INVOCAÇÕES'!$AI$48,'DADOS_FORMAS'!$AM2='INVOCAÇÕES'!$AJ$48,'DADOS_FORMAS'!$AM2='INVOCAÇÕES'!$AK$48,'DADOS_FORMAS'!$AM2='INVOCAÇÕES'!$AL$48,'DADOS_FORMAS'!$AM2='INVOCAÇÕES'!$AH$50,'DADOS_FORMAS'!$AM2='INVOCAÇÕES'!$AI$50,'DADOS_FORMAS'!$AM2='INVOCAÇÕES'!$AJ$50,'DADOS_FORMAS'!$AM2='INVOCAÇÕES'!$AK$50,'DADOS_FORMAS'!$AM2=""),'DADOS_FORMAS'!$AH2,"")</f>
        <v/>
      </c>
      <c r="JA2">
        <f>IF(AND(OR('DADOS_FORMAS'!$AM2='INVOCAÇÕES'!$AH$48,'DADOS_FORMAS'!$AM2='INVOCAÇÕES'!$AI$48,'DADOS_FORMAS'!$AM2='INVOCAÇÕES'!$AJ$48,'DADOS_FORMAS'!$AM2='INVOCAÇÕES'!$AK$48,'DADOS_FORMAS'!$AM2='INVOCAÇÕES'!$AL$48,'DADOS_FORMAS'!$AM2='INVOCAÇÕES'!$AH$50,'DADOS_FORMAS'!$AM2='INVOCAÇÕES'!$AI$50,'DADOS_FORMAS'!$AM2='INVOCAÇÕES'!$AJ$50,'DADOS_FORMAS'!$AM2='INVOCAÇÕES'!$AK$50,'DADOS_FORMAS'!$AM2=""),'DADOS_FORMAS'!$AR2),'DADOS_FORMAS'!$AH2,"")</f>
        <v/>
      </c>
      <c r="JC2">
        <f>IF(OR('DADOS_FORMAS'!$AM2='INVOCAÇÕES'!$AH$259,'DADOS_FORMAS'!$AM2='INVOCAÇÕES'!$AI$259,'DADOS_FORMAS'!$AM2='INVOCAÇÕES'!$AJ$259,'DADOS_FORMAS'!$AM2='INVOCAÇÕES'!$AK$259,'DADOS_FORMAS'!$AM2='INVOCAÇÕES'!$AL$259,'DADOS_FORMAS'!$AM2='INVOCAÇÕES'!$AH$261,'DADOS_FORMAS'!$AM2='INVOCAÇÕES'!$AI$261,'DADOS_FORMAS'!$AM2='INVOCAÇÕES'!$AJ$261,'DADOS_FORMAS'!$AM2='INVOCAÇÕES'!$AK$261,'DADOS_FORMAS'!$AM2=""),'DADOS_FORMAS'!$AH2,"")</f>
        <v/>
      </c>
      <c r="JD2">
        <f>IF(AND(OR('DADOS_FORMAS'!$AM2='INVOCAÇÕES'!$AH$259,'DADOS_FORMAS'!$AM2='INVOCAÇÕES'!$AI$259,'DADOS_FORMAS'!$AM2='INVOCAÇÕES'!$AJ$259,'DADOS_FORMAS'!$AM2='INVOCAÇÕES'!$AK$259,'DADOS_FORMAS'!$AM2='INVOCAÇÕES'!$AL$259,'DADOS_FORMAS'!$AM2='INVOCAÇÕES'!$AH$261,'DADOS_FORMAS'!$AM2='INVOCAÇÕES'!$AI$261,'DADOS_FORMAS'!$AM2='INVOCAÇÕES'!$AJ$261,'DADOS_FORMAS'!$AM2='INVOCAÇÕES'!$AK$261,'DADOS_FORMAS'!$AM2=""),'DADOS_FORMAS'!$AR2),'DADOS_FORMAS'!$AH2,"")</f>
        <v/>
      </c>
      <c r="JF2">
        <f>IF(OR('DADOS_FORMAS'!$AM2='INVOCAÇÕES'!$AH$470,'DADOS_FORMAS'!$AM2='INVOCAÇÕES'!$AI$470,'DADOS_FORMAS'!$AM2='INVOCAÇÕES'!$AJ$470,'DADOS_FORMAS'!$AM2='INVOCAÇÕES'!$AK$470,'DADOS_FORMAS'!$AM2='INVOCAÇÕES'!$AL$470,'DADOS_FORMAS'!$AM2='INVOCAÇÕES'!$AH$472,'DADOS_FORMAS'!$AM2='INVOCAÇÕES'!$AI$472,'DADOS_FORMAS'!$AM2='INVOCAÇÕES'!$AJ$472,'DADOS_FORMAS'!$AM2='INVOCAÇÕES'!$AK$472,'DADOS_FORMAS'!$AM2=""),'DADOS_FORMAS'!$AH2,"")</f>
        <v/>
      </c>
      <c r="JG2">
        <f>IF(AND(OR('DADOS_FORMAS'!$AM2='INVOCAÇÕES'!$AH$470,'DADOS_FORMAS'!$AM2='INVOCAÇÕES'!$AI$470,'DADOS_FORMAS'!$AM2='INVOCAÇÕES'!$AJ$470,'DADOS_FORMAS'!$AM2='INVOCAÇÕES'!$AK$470,'DADOS_FORMAS'!$AM2='INVOCAÇÕES'!$AL$470,'DADOS_FORMAS'!$AM2='INVOCAÇÕES'!$AH$472,'DADOS_FORMAS'!$AM2='INVOCAÇÕES'!$AI$472,'DADOS_FORMAS'!$AM2='INVOCAÇÕES'!$AJ$472,'DADOS_FORMAS'!$AM2='INVOCAÇÕES'!$AK$472,'DADOS_FORMAS'!$AM2=""),'DADOS_FORMAS'!$AR2),'DADOS_FORMAS'!$AH2,"")</f>
        <v/>
      </c>
      <c r="JI2">
        <f>IF(OR('DADOS_FORMAS'!$AM2='INVOCAÇÕES'!$AH$681,'DADOS_FORMAS'!$AM2='INVOCAÇÕES'!$AI$681,'DADOS_FORMAS'!$AM2='INVOCAÇÕES'!$AJ$681,'DADOS_FORMAS'!$AM2='INVOCAÇÕES'!$AK$681,'DADOS_FORMAS'!$AM2='INVOCAÇÕES'!$AL$681,'DADOS_FORMAS'!$AM2='INVOCAÇÕES'!$AH$683,'DADOS_FORMAS'!$AM2='INVOCAÇÕES'!$AI$683,'DADOS_FORMAS'!$AM2='INVOCAÇÕES'!$AJ$683,'DADOS_FORMAS'!$AM2='INVOCAÇÕES'!$AK$683,'DADOS_FORMAS'!$AM2=""),'DADOS_FORMAS'!$AH2,"")</f>
        <v/>
      </c>
      <c r="JJ2">
        <f>IF(AND(OR('DADOS_FORMAS'!$AM2='INVOCAÇÕES'!$AH$681,'DADOS_FORMAS'!$AM2='INVOCAÇÕES'!$AI$681,'DADOS_FORMAS'!$AM2='INVOCAÇÕES'!$AJ$681,'DADOS_FORMAS'!$AM2='INVOCAÇÕES'!$AK$681,'DADOS_FORMAS'!$AM2='INVOCAÇÕES'!$AL$681,'DADOS_FORMAS'!$AM2='INVOCAÇÕES'!$AH$683,'DADOS_FORMAS'!$AM2='INVOCAÇÕES'!$AI$683,'DADOS_FORMAS'!$AM2='INVOCAÇÕES'!$AJ$683,'DADOS_FORMAS'!$AM2='INVOCAÇÕES'!$AK$683,'DADOS_FORMAS'!$AM2=""),'DADOS_FORMAS'!$AR2),'DADOS_FORMAS'!$AH2,"")</f>
        <v/>
      </c>
      <c r="JL2">
        <f>IF(OR('DADOS_FORMAS'!$AM2='INVOCAÇÕES'!$AH$892,'DADOS_FORMAS'!$AM2='INVOCAÇÕES'!$AI$892,'DADOS_FORMAS'!$AM2='INVOCAÇÕES'!$AJ$892,'DADOS_FORMAS'!$AM2='INVOCAÇÕES'!$AK$892,'DADOS_FORMAS'!$AM2='INVOCAÇÕES'!$AL$892,'DADOS_FORMAS'!$AM2='INVOCAÇÕES'!$AH$894,'DADOS_FORMAS'!$AM2='INVOCAÇÕES'!$AI$894,'DADOS_FORMAS'!$AM2='INVOCAÇÕES'!$AJ$894,'DADOS_FORMAS'!$AM2='INVOCAÇÕES'!$AK$894,'DADOS_FORMAS'!$AM2=""),'DADOS_FORMAS'!$AH2,"")</f>
        <v/>
      </c>
      <c r="JM2">
        <f>IF(AND(OR('DADOS_FORMAS'!$AM2='INVOCAÇÕES'!$AH$892,'DADOS_FORMAS'!$AM2='INVOCAÇÕES'!$AI$892,'DADOS_FORMAS'!$AM2='INVOCAÇÕES'!$AJ$892,'DADOS_FORMAS'!$AM2='INVOCAÇÕES'!$AK$892,'DADOS_FORMAS'!$AM2='INVOCAÇÕES'!$AL$892,'DADOS_FORMAS'!$AM2='INVOCAÇÕES'!$AH$894,'DADOS_FORMAS'!$AM2='INVOCAÇÕES'!$AI$894,'DADOS_FORMAS'!$AM2='INVOCAÇÕES'!$AJ$894,'DADOS_FORMAS'!$AM2='INVOCAÇÕES'!$AK$894,'DADOS_FORMAS'!$AM2=""),'DADOS_FORMAS'!$AR2),'DADOS_FORMAS'!$AH2,"")</f>
        <v/>
      </c>
      <c r="JO2">
        <f>IF(OR('DADOS_FORMAS'!$AM2='INVOCAÇÕES'!$AH$1103,'DADOS_FORMAS'!$AM2='INVOCAÇÕES'!$AI$1103,'DADOS_FORMAS'!$AM2='INVOCAÇÕES'!$AJ$1103,'DADOS_FORMAS'!$AM2='INVOCAÇÕES'!$AK$1103,'DADOS_FORMAS'!$AM2='INVOCAÇÕES'!$AL$1103,'DADOS_FORMAS'!$AM2='INVOCAÇÕES'!$AH$1105,'DADOS_FORMAS'!$AM2='INVOCAÇÕES'!$AI$1105,'DADOS_FORMAS'!$AM2='INVOCAÇÕES'!$AJ$1105,'DADOS_FORMAS'!$AM2='INVOCAÇÕES'!$AK$1105,'DADOS_FORMAS'!$AM2=""),'DADOS_FORMAS'!$AH2,"")</f>
        <v/>
      </c>
      <c r="JP2">
        <f>IF(AND(OR('DADOS_FORMAS'!$AM2='INVOCAÇÕES'!$AH$1103,'DADOS_FORMAS'!$AM2='INVOCAÇÕES'!$AI$1103,'DADOS_FORMAS'!$AM2='INVOCAÇÕES'!$AJ$1103,'DADOS_FORMAS'!$AM2='INVOCAÇÕES'!$AK$1103,'DADOS_FORMAS'!$AM2='INVOCAÇÕES'!$AL$1103,'DADOS_FORMAS'!$AM2='INVOCAÇÕES'!$AH$1105,'DADOS_FORMAS'!$AM2='INVOCAÇÕES'!$AI$1105,'DADOS_FORMAS'!$AM2='INVOCAÇÕES'!$AJ$1105,'DADOS_FORMAS'!$AM2='INVOCAÇÕES'!$AK$1105,'DADOS_FORMAS'!$AM2=""),'DADOS_FORMAS'!$AR2),'DADOS_FORMAS'!$AH2,"")</f>
        <v/>
      </c>
      <c r="JQ2" t="inlineStr">
        <is>
          <t>Forma</t>
        </is>
      </c>
      <c r="JR2" t="inlineStr">
        <is>
          <t>Nenhuma</t>
        </is>
      </c>
      <c r="JS2" t="inlineStr">
        <is>
          <t>Sem custo</t>
        </is>
      </c>
      <c r="JT2" t="inlineStr">
        <is>
          <t>Acerto</t>
        </is>
      </c>
      <c r="JU2" t="inlineStr">
        <is>
          <t>Dano</t>
        </is>
      </c>
      <c r="JV2" t="inlineStr">
        <is>
          <t>Sim</t>
        </is>
      </c>
      <c r="JW2" t="inlineStr">
        <is>
          <t>Sim</t>
        </is>
      </c>
      <c r="JX2" t="inlineStr">
        <is>
          <t>Fixo</t>
        </is>
      </c>
      <c r="JY2" t="inlineStr">
        <is>
          <t>Fixo</t>
        </is>
      </c>
      <c r="JZ2" t="inlineStr">
        <is>
          <t>Nenhuma</t>
        </is>
      </c>
      <c r="KA2" t="inlineStr">
        <is>
          <t>Nenhuma</t>
        </is>
      </c>
    </row>
    <row r="3">
      <c r="A3">
        <f>IF(ISBLANK('CONFIGURAÇÃO'!$FH$14),"",'CONFIGURAÇÃO'!$FH$14)</f>
        <v/>
      </c>
      <c r="B3">
        <f>IF(ISBLANK('CONFIGURAÇÃO'!$FH$16),"",'CONFIGURAÇÃO'!$FH$16)</f>
        <v/>
      </c>
      <c r="C3">
        <f>IF(ISBLANK('CONFIGURAÇÃO'!$FK$17),"",'CONFIGURAÇÃO'!$FK$17)</f>
        <v/>
      </c>
      <c r="D3">
        <f>IF(ISBLANK('CONFIGURAÇÃO'!$FL$14),"",'CONFIGURAÇÃO'!$FL$14)</f>
        <v/>
      </c>
      <c r="E3">
        <f>IF(ISBLANK('CONFIGURAÇÃO'!$FH$43),"",'CONFIGURAÇÃO'!$FH$43)</f>
        <v/>
      </c>
      <c r="F3">
        <f>IF(ISBLANK('CONFIGURAÇÃO'!$FH$49),"",'CONFIGURAÇÃO'!$FH$49)</f>
        <v/>
      </c>
      <c r="G3">
        <f>IF(ISBLANK('CONFIGURAÇÃO'!$FK$18),"",'CONFIGURAÇÃO'!$FK$18)</f>
        <v/>
      </c>
      <c r="H3">
        <f>IF(ISBLANK('CONFIGURAÇÃO'!$FK$19),"",'CONFIGURAÇÃO'!$FK$19)</f>
        <v/>
      </c>
      <c r="I3">
        <f>IF(ISBLANK('CONFIGURAÇÃO'!$FK$20),"",'CONFIGURAÇÃO'!$FK$20)</f>
        <v/>
      </c>
      <c r="J3">
        <f>IF(ISBLANK('CONFIGURAÇÃO'!$FK$21),"",'CONFIGURAÇÃO'!$FK$21)</f>
        <v/>
      </c>
      <c r="K3">
        <f>IF(ISBLANK('CONFIGURAÇÃO'!$FK$22),"",'CONFIGURAÇÃO'!$FK$22)</f>
        <v/>
      </c>
      <c r="L3">
        <f>IF(ISBLANK('CONFIGURAÇÃO'!$FK$23),"",'CONFIGURAÇÃO'!$FK$23)</f>
        <v/>
      </c>
      <c r="M3">
        <f>IF(ISBLANK('CONFIGURAÇÃO'!$FK$24),"",'CONFIGURAÇÃO'!$FK$24)</f>
        <v/>
      </c>
      <c r="N3">
        <f>IF(ISBLANK('CONFIGURAÇÃO'!$FK$25),"",'CONFIGURAÇÃO'!$FK$25)</f>
        <v/>
      </c>
      <c r="O3">
        <f>IF(ISBLANK('CONFIGURAÇÃO'!$FK$26),"",'CONFIGURAÇÃO'!$FK$26)</f>
        <v/>
      </c>
      <c r="P3">
        <f>IF(ISBLANK('CONFIGURAÇÃO'!$FK$27),"",'CONFIGURAÇÃO'!$FK$27)</f>
        <v/>
      </c>
      <c r="Q3">
        <f>IF(ISBLANK('CONFIGURAÇÃO'!$FK$28),"",'CONFIGURAÇÃO'!$FK$28)</f>
        <v/>
      </c>
      <c r="R3">
        <f>IF(ISBLANK('CONFIGURAÇÃO'!$FK$29),"",'CONFIGURAÇÃO'!$FK$29)</f>
        <v/>
      </c>
      <c r="S3">
        <f>IF(ISBLANK('CONFIGURAÇÃO'!$FK$30),"",'CONFIGURAÇÃO'!$FK$30)</f>
        <v/>
      </c>
      <c r="T3">
        <f>IF(ISBLANK('CONFIGURAÇÃO'!$FK$31),"",'CONFIGURAÇÃO'!$FK$31)</f>
        <v/>
      </c>
      <c r="U3">
        <f>IF(ISBLANK('CONFIGURAÇÃO'!$FK$32),"",'CONFIGURAÇÃO'!$FK$32)</f>
        <v/>
      </c>
      <c r="V3">
        <f>IF(ISBLANK('CONFIGURAÇÃO'!$FK$33),"",'CONFIGURAÇÃO'!$FK$33)</f>
        <v/>
      </c>
      <c r="W3">
        <f>IF(ISBLANK('CONFIGURAÇÃO'!$FK$34),"",'CONFIGURAÇÃO'!$FK$34)</f>
        <v/>
      </c>
      <c r="X3">
        <f>IF(ISBLANK('CONFIGURAÇÃO'!$FK$35),"",'CONFIGURAÇÃO'!$FK$35)</f>
        <v/>
      </c>
      <c r="Y3">
        <f>IF(ISBLANK('CONFIGURAÇÃO'!$FK$36),"",'CONFIGURAÇÃO'!$FK$36)</f>
        <v/>
      </c>
      <c r="Z3">
        <f>IF(ISBLANK('CONFIGURAÇÃO'!$FK$37),"",'CONFIGURAÇÃO'!$FK$37)</f>
        <v/>
      </c>
      <c r="AA3">
        <f>IF(ISBLANK('CONFIGURAÇÃO'!$FK$38),"",'CONFIGURAÇÃO'!$FK$38)</f>
        <v/>
      </c>
      <c r="AB3">
        <f>IF(ISBLANK('CONFIGURAÇÃO'!$FK$39),"",'CONFIGURAÇÃO'!$FK$39)</f>
        <v/>
      </c>
      <c r="AC3">
        <f>IF(ISBLANK('CONFIGURAÇÃO'!$FK$40),"",'CONFIGURAÇÃO'!$FK$40)</f>
        <v/>
      </c>
      <c r="AD3">
        <f>IF($AF3,TEXTJOIN(" · ",TRUE,$DJ3:$FH3),"")</f>
        <v/>
      </c>
      <c r="AE3">
        <f>IF(OR($C3="",$C3="Nenhuma"),0,IFERROR(MATCH(SUBSTITUTE(SUBSTITUTE(SUBSTITUTE($C3,"~","~~"),"*","~*"),"?","~?"),'DADOS_FORMAS'!$AH$2:$AH$11,0),-1))</f>
        <v/>
      </c>
      <c r="AF3">
        <f>OR($B3&lt;&gt;"",$C3&lt;&gt;"",$E3&lt;&gt;"",$F3&lt;&gt;"",$G3&lt;&gt;"",$H3&lt;&gt;"",$I3&lt;&gt;"",$J3&lt;&gt;"",$K3&lt;&gt;"",$L3&lt;&gt;"",$M3&lt;&gt;"",$N3&lt;&gt;"",$O3&lt;&gt;"",$P3&lt;&gt;"",$Q3&lt;&gt;"",$R3&lt;&gt;"",$S3&lt;&gt;"",$T3&lt;&gt;"",$U3&lt;&gt;"",$V3&lt;&gt;"",$W3&lt;&gt;"",$X3&lt;&gt;"",$Y3&lt;&gt;"",$Z3&lt;&gt;"",$AA3&lt;&gt;"",$AB3&lt;&gt;"",$AC3&lt;&gt;"",AND($D3&lt;&gt;"",$D3&lt;&gt;FALSE),AND($A3&lt;&gt;"",$A3&lt;&gt;"Forma"))</f>
        <v/>
      </c>
      <c r="AG3" t="inlineStr">
        <is>
          <t>Forma</t>
        </is>
      </c>
      <c r="AH3" t="inlineStr">
        <is>
          <t>Toque</t>
        </is>
      </c>
      <c r="AI3">
        <f>""</f>
        <v/>
      </c>
      <c r="AJ3" t="b">
        <v>0</v>
      </c>
      <c r="AK3">
        <f>""</f>
        <v/>
      </c>
      <c r="AL3" t="inlineStr">
        <is>
          <t>Um alvo a até 1,5 m.</t>
        </is>
      </c>
      <c r="AM3">
        <f>""</f>
        <v/>
      </c>
      <c r="AN3" t="b">
        <v>0</v>
      </c>
      <c r="AO3" t="inlineStr">
        <is>
          <t>Acerto</t>
        </is>
      </c>
      <c r="AP3" t="b">
        <v>0</v>
      </c>
      <c r="AQ3" t="b">
        <v>0</v>
      </c>
      <c r="AR3" t="b">
        <v>1</v>
      </c>
      <c r="AS3" t="inlineStr">
        <is>
          <t>Corpo a Corpo</t>
        </is>
      </c>
      <c r="AT3" t="inlineStr">
        <is>
          <t>Fixo</t>
        </is>
      </c>
      <c r="AU3" t="inlineStr">
        <is>
          <t>Fixo</t>
        </is>
      </c>
      <c r="AV3" t="inlineStr">
        <is>
          <t>1,5 m, um alvo</t>
        </is>
      </c>
      <c r="AW3" t="inlineStr">
        <is>
          <t>1,5 m, um alvo</t>
        </is>
      </c>
      <c r="AX3" t="inlineStr">
        <is>
          <t>1,5 m, um alvo</t>
        </is>
      </c>
      <c r="AY3" t="inlineStr">
        <is>
          <t>1,5 m, um alvo</t>
        </is>
      </c>
      <c r="AZ3" t="inlineStr">
        <is>
          <t>1,5 m, um alvo</t>
        </is>
      </c>
      <c r="BA3" t="inlineStr">
        <is>
          <t>1,5 m, um alvo</t>
        </is>
      </c>
      <c r="BB3" t="inlineStr">
        <is>
          <t>1,5 m, um alvo</t>
        </is>
      </c>
      <c r="BC3">
        <f>""</f>
        <v/>
      </c>
      <c r="BD3">
        <f>""</f>
        <v/>
      </c>
      <c r="BE3">
        <f>""</f>
        <v/>
      </c>
      <c r="BF3">
        <f>""</f>
        <v/>
      </c>
      <c r="BG3">
        <f>""</f>
        <v/>
      </c>
      <c r="BH3">
        <f>""</f>
        <v/>
      </c>
      <c r="BI3">
        <f>""</f>
        <v/>
      </c>
      <c r="BJ3" t="inlineStr">
        <is>
          <t>Toque</t>
        </is>
      </c>
      <c r="BK3" t="b">
        <v>1</v>
      </c>
      <c r="BL3" t="inlineStr">
        <is>
          <t>alcance</t>
        </is>
      </c>
      <c r="BM3">
        <f>""</f>
        <v/>
      </c>
      <c r="BN3">
        <f>""</f>
        <v/>
      </c>
      <c r="BO3" t="b">
        <v>0</v>
      </c>
      <c r="BP3">
        <f>""</f>
        <v/>
      </c>
      <c r="BQ3">
        <f>""</f>
        <v/>
      </c>
      <c r="BR3">
        <f>""</f>
        <v/>
      </c>
      <c r="BS3" t="b">
        <v>0</v>
      </c>
      <c r="BV3">
        <f>IF($A3="",IF($AE3&gt;0,INDEX('DADOS_FORMAS'!$AG$2:$AG$11,MAX(1,$AE3)),"Forma"),$A3)</f>
        <v/>
      </c>
      <c r="BW3">
        <f>IF($B3="",IF($AE3&gt;0,INDEX('DADOS_FORMAS'!$AH$2:$AH$11,MAX(1,$AE3)),""),$B3)</f>
        <v/>
      </c>
      <c r="BX3">
        <f>IF($C3="",IF($AE3&gt;0,INDEX('DADOS_FORMAS'!$AI$2:$AI$11,MAX(1,$AE3)),""),$C3)</f>
        <v/>
      </c>
      <c r="BY3">
        <f>IF($D3="",IF($AE3&gt;0,INDEX('DADOS_FORMAS'!$AJ$2:$AJ$11,MAX(1,$AE3)),FALSE),$D3)</f>
        <v/>
      </c>
      <c r="BZ3">
        <f>IF($E3="",IF($AE3&gt;0,INDEX('DADOS_FORMAS'!$AK$2:$AK$11,MAX(1,$AE3)),""),$E3)</f>
        <v/>
      </c>
      <c r="CA3">
        <f>IF($F3="",IF($AE3&gt;0,INDEX('DADOS_FORMAS'!$AL$2:$AL$11,MAX(1,$AE3)),""),$F3)</f>
        <v/>
      </c>
      <c r="CB3">
        <f>IF($G3="Nenhuma","",IF($G3="",IF($AE3&gt;0,INDEX('DADOS_FORMAS'!$AM$2:$AM$11,MAX(1,$AE3)),""),$G3))</f>
        <v/>
      </c>
      <c r="CC3">
        <f>IF($H3="",IF($AE3&gt;0,INDEX('DADOS_FORMAS'!$AN$2:$AN$11,MAX(1,$AE3)),""),IF($H3="Sem custo",0,IF($H3="Leve",1,IF($H3="Média",2,IF($H3="Pesada",3,$H3)))))</f>
        <v/>
      </c>
      <c r="CD3">
        <f>IF($I3="",IF($AE3&gt;0,INDEX('DADOS_FORMAS'!$AO$2:$AO$11,MAX(1,$AE3)),""),$I3)</f>
        <v/>
      </c>
      <c r="CE3">
        <f>IF($J3="",IF($AE3&gt;0,INDEX('DADOS_FORMAS'!$AP$2:$AP$11,MAX(1,$AE3)),""),IF($J3="Dano",0,IF($J3="Cura",1,IF($J3="Vida temporária",2,IF($J3="Efeito",3,$J3)))))</f>
        <v/>
      </c>
      <c r="CF3">
        <f>IF($K3="",IF($AE3&gt;0,INDEX('DADOS_FORMAS'!$AQ$2:$AQ$11,MAX(1,$AE3)),""),IF($K3="Sim",TRUE,IF($K3="Não",FALSE,$K3)))</f>
        <v/>
      </c>
      <c r="CG3">
        <f>IF($L3="",IF($AE3&gt;0,INDEX('DADOS_FORMAS'!$AR$2:$AR$11,MAX(1,$AE3)),""),IF($L3="Sim",TRUE,IF($L3="Não",FALSE,$L3)))</f>
        <v/>
      </c>
      <c r="CH3">
        <f>IF($M3="Nenhuma","",IF($M3="",IF($AE3&gt;0,INDEX('DADOS_FORMAS'!$AS$2:$AS$11,MAX(1,$AE3)),""),$M3))</f>
        <v/>
      </c>
      <c r="CI3">
        <f>IF($N3="",IF($AE3&gt;0,INDEX('DADOS_FORMAS'!$AT$2:$AT$11,MAX(1,$AE3)),"Fixo"),$N3)</f>
        <v/>
      </c>
      <c r="CJ3">
        <f>IF($O3="",IF($AE3&gt;0,INDEX('DADOS_FORMAS'!$AU$2:$AU$11,MAX(1,$AE3)),"Fixo"),$O3)</f>
        <v/>
      </c>
      <c r="CK3">
        <f>IF($P3="",IF($AE3&gt;0,INDEX('DADOS_FORMAS'!$AV$2:$AV$11,MAX(1,$AE3)),""),$P3)</f>
        <v/>
      </c>
      <c r="CL3">
        <f>IF($Q3="",IF($AE3&gt;0,INDEX('DADOS_FORMAS'!$AW$2:$AW$11,MAX(1,$AE3)),""),$Q3)</f>
        <v/>
      </c>
      <c r="CM3">
        <f>IF($R3="",IF($AE3&gt;0,INDEX('DADOS_FORMAS'!$AX$2:$AX$11,MAX(1,$AE3)),""),$R3)</f>
        <v/>
      </c>
      <c r="CN3">
        <f>IF($S3="",IF($AE3&gt;0,INDEX('DADOS_FORMAS'!$AY$2:$AY$11,MAX(1,$AE3)),""),$S3)</f>
        <v/>
      </c>
      <c r="CO3">
        <f>IF($T3="",IF($AE3&gt;0,INDEX('DADOS_FORMAS'!$AZ$2:$AZ$11,MAX(1,$AE3)),""),$T3)</f>
        <v/>
      </c>
      <c r="CP3">
        <f>IF($U3="",IF($AE3&gt;0,INDEX('DADOS_FORMAS'!$BA$2:$BA$11,MAX(1,$AE3)),""),$U3)</f>
        <v/>
      </c>
      <c r="CQ3">
        <f>IF($V3="",IF($AE3&gt;0,INDEX('DADOS_FORMAS'!$BB$2:$BB$11,MAX(1,$AE3)),""),$V3)</f>
        <v/>
      </c>
      <c r="CR3">
        <f>IF($W3="",IF($AE3&gt;0,INDEX('DADOS_FORMAS'!$BC$2:$BC$11,MAX(1,$AE3)),""),$W3)</f>
        <v/>
      </c>
      <c r="CS3">
        <f>IF($X3="",IF($AE3&gt;0,INDEX('DADOS_FORMAS'!$BD$2:$BD$11,MAX(1,$AE3)),""),$X3)</f>
        <v/>
      </c>
      <c r="CT3">
        <f>IF($Y3="",IF($AE3&gt;0,INDEX('DADOS_FORMAS'!$BE$2:$BE$11,MAX(1,$AE3)),""),$Y3)</f>
        <v/>
      </c>
      <c r="CU3">
        <f>IF($Z3="",IF($AE3&gt;0,INDEX('DADOS_FORMAS'!$BF$2:$BF$11,MAX(1,$AE3)),""),$Z3)</f>
        <v/>
      </c>
      <c r="CV3">
        <f>IF($AA3="",IF($AE3&gt;0,INDEX('DADOS_FORMAS'!$BG$2:$BG$11,MAX(1,$AE3)),""),$AA3)</f>
        <v/>
      </c>
      <c r="CW3">
        <f>IF($AB3="",IF($AE3&gt;0,INDEX('DADOS_FORMAS'!$BH$2:$BH$11,MAX(1,$AE3)),""),$AB3)</f>
        <v/>
      </c>
      <c r="CX3">
        <f>IF($AC3="",IF($AE3&gt;0,INDEX('DADOS_FORMAS'!$BI$2:$BI$11,MAX(1,$AE3)),""),$AC3)</f>
        <v/>
      </c>
      <c r="CY3">
        <f>IF($AE3&gt;0,INDEX('DADOS_FORMAS'!$BJ$2:$BJ$11,MAX(1,$AE3)),"")</f>
        <v/>
      </c>
      <c r="CZ3">
        <f>IF($AE3&gt;0,INDEX('DADOS_FORMAS'!$BK$2:$BK$11,MAX(1,$AE3)),0)</f>
        <v/>
      </c>
      <c r="DA3">
        <f>IF($AE3&gt;0,INDEX('DADOS_FORMAS'!$BL$2:$BL$11,MAX(1,$AE3)),"alcance")</f>
        <v/>
      </c>
      <c r="DB3">
        <f>IF($AE3&gt;0,INDEX('DADOS_FORMAS'!$BM$2:$BM$11,MAX(1,$AE3)),"")</f>
        <v/>
      </c>
      <c r="DC3">
        <f>IF($AE3&gt;0,INDEX('DADOS_FORMAS'!$BN$2:$BN$11,MAX(1,$AE3)),"")</f>
        <v/>
      </c>
      <c r="DD3">
        <f>IF($AE3&gt;0,INDEX('DADOS_FORMAS'!$BO$2:$BO$11,MAX(1,$AE3)),1)</f>
        <v/>
      </c>
      <c r="DE3">
        <f>IF(AND($AE3&gt;0,INDEX('DADOS_FORMAS'!$BP$2:$BP$11,MAX(1,$AE3))=""),IF(AND(INDEX('DADOS_FORMAS'!$BL$2:$BL$11,MAX(1,$AE3))="alcance",OR($W3&lt;&gt;"",$X3&lt;&gt;"",$Y3&lt;&gt;"",$Z3&lt;&gt;"",$AA3&lt;&gt;"",$AB3&lt;&gt;"",$AC3&lt;&gt;"")),"area",IF(AND(INDEX('DADOS_FORMAS'!$BL$2:$BL$11,MAX(1,$AE3))="area",OR($P3&lt;&gt;"",$Q3&lt;&gt;"",$R3&lt;&gt;"",$S3&lt;&gt;"",$T3&lt;&gt;"",$U3&lt;&gt;"",$V3&lt;&gt;"")),"alcance","")),IF($AE3&gt;0,INDEX('DADOS_FORMAS'!$BP$2:$BP$11,MAX(1,$AE3)),"area"))</f>
        <v/>
      </c>
      <c r="DF3">
        <f>IF(AND($AE3&gt;0,INDEX('DADOS_FORMAS'!$BP$2:$BP$11,MAX(1,$AE3))=""),IF(IF(AND(INDEX('DADOS_FORMAS'!$BL$2:$BL$11,MAX(1,$AE3))="alcance",OR($W3&lt;&gt;"",$X3&lt;&gt;"",$Y3&lt;&gt;"",$Z3&lt;&gt;"",$AA3&lt;&gt;"",$AB3&lt;&gt;"",$AC3&lt;&gt;"")),"area",IF(AND(INDEX('DADOS_FORMAS'!$BL$2:$BL$11,MAX(1,$AE3))="area",OR($P3&lt;&gt;"",$Q3&lt;&gt;"",$R3&lt;&gt;"",$S3&lt;&gt;"",$T3&lt;&gt;"",$U3&lt;&gt;"",$V3&lt;&gt;"")),"alcance",""))="alcance"," · alcance ",IF(IF(AND(INDEX('DADOS_FORMAS'!$BL$2:$BL$11,MAX(1,$AE3))="alcance",OR($W3&lt;&gt;"",$X3&lt;&gt;"",$Y3&lt;&gt;"",$Z3&lt;&gt;"",$AA3&lt;&gt;"",$AB3&lt;&gt;"",$AC3&lt;&gt;"")),"area",IF(AND(INDEX('DADOS_FORMAS'!$BL$2:$BL$11,MAX(1,$AE3))="area",OR($P3&lt;&gt;"",$Q3&lt;&gt;"",$R3&lt;&gt;"",$S3&lt;&gt;"",$T3&lt;&gt;"",$U3&lt;&gt;"",$V3&lt;&gt;"")),"alcance",""))="area"," · área ","")),IF($AE3&gt;0,INDEX('DADOS_FORMAS'!$BQ$2:$BQ$11,MAX(1,$AE3))," · área "))</f>
        <v/>
      </c>
      <c r="DG3">
        <f>IF(AND($AE3&gt;0,INDEX('DADOS_FORMAS'!$BP$2:$BP$11,MAX(1,$AE3))=""),"",IF($AE3&gt;0,INDEX('DADOS_FORMAS'!$BR$2:$BR$11,MAX(1,$AE3)),""))</f>
        <v/>
      </c>
      <c r="DH3">
        <f>IF(AND($AE3&gt;0,INDEX('DADOS_FORMAS'!$BP$2:$BP$11,MAX(1,$AE3))=""),IF(IF(AND(INDEX('DADOS_FORMAS'!$BL$2:$BL$11,MAX(1,$AE3))="alcance",OR($W3&lt;&gt;"",$X3&lt;&gt;"",$Y3&lt;&gt;"",$Z3&lt;&gt;"",$AA3&lt;&gt;"",$AB3&lt;&gt;"",$AC3&lt;&gt;"")),"area",IF(AND(INDEX('DADOS_FORMAS'!$BL$2:$BL$11,MAX(1,$AE3))="area",OR($P3&lt;&gt;"",$Q3&lt;&gt;"",$R3&lt;&gt;"",$S3&lt;&gt;"",$T3&lt;&gt;"",$U3&lt;&gt;"",$V3&lt;&gt;"")),"alcance",""))="",0,IF(IF(AND(INDEX('DADOS_FORMAS'!$BL$2:$BL$11,MAX(1,$AE3))="alcance",OR($W3&lt;&gt;"",$X3&lt;&gt;"",$Y3&lt;&gt;"",$Z3&lt;&gt;"",$AA3&lt;&gt;"",$AB3&lt;&gt;"",$AC3&lt;&gt;"")),"area",IF(AND(INDEX('DADOS_FORMAS'!$BL$2:$BL$11,MAX(1,$AE3))="area",OR($P3&lt;&gt;"",$Q3&lt;&gt;"",$R3&lt;&gt;"",$S3&lt;&gt;"",$T3&lt;&gt;"",$U3&lt;&gt;"",$V3&lt;&gt;"")),"alcance",""))="alcance",1,IF($O3="comprimento",3,2))),IF($AE3&gt;0,INDEX('DADOS_FORMAS'!$BS$2:$BS$11,MAX(1,$AE3)),IF($O3="comprimento",3,2)))</f>
        <v/>
      </c>
      <c r="DJ3">
        <f>IF(AND(ISTEXT($B3),$B3&lt;&gt;"",TRIM($B3)=$B3),"","NOME precisa ser texto sem espaços nas pontas")</f>
        <v/>
      </c>
      <c r="DK3">
        <f>IF(COUNTIF('DADOS_FORMAS'!$B$2:$B$11,SUBSTITUTE(SUBSTITUTE(SUBSTITUTE($B3,"~","~~"),"*","~*"),"?","~?"))+COUNTIF('DADOS_FORMAS'!$AH$2:$AH$11,SUBSTITUTE(SUBSTITUTE(SUBSTITUTE($B3,"~","~~"),"*","~*"),"?","~?"))=1,"","Nome repetido no livro ou custom")</f>
        <v/>
      </c>
      <c r="DL3">
        <f>IF($AE3&gt;=0,"","BASE DO LIVRO inválida para o grupo")</f>
        <v/>
      </c>
      <c r="DM3">
        <f>IF(OR($BV3="Forma"),"","TIPO inválido para o grupo")</f>
        <v/>
      </c>
      <c r="DN3">
        <f>IF(ISLOGICAL($BY3),"","MESTRE VIU precisa ser caixa de seleção")</f>
        <v/>
      </c>
      <c r="DO3">
        <f>IF(ISTEXT($CA3),"","EFEITO precisa ser texto")</f>
        <v/>
      </c>
      <c r="DP3">
        <f>IF(ISTEXT($BZ3),"","REQUISITOS precisa ser texto")</f>
        <v/>
      </c>
      <c r="DQ3">
        <f>IF(IFERROR(AND(ISNUMBER($CC3),NOT(ISLOGICAL($CC3)),$CC3=INT($CC3),$CC3&gt;=0,$CC3&lt;=3),FALSE),"","PESO exige 0/1/2/3")</f>
        <v/>
      </c>
      <c r="DR3">
        <f>IF(IFERROR(AND(ISNUMBER($CE3),NOT(ISLOGICAL($CE3)),$CE3=INT($CE3),$CE3&gt;=0,$CE3&lt;=3),FALSE),"","RESULTADO exige 0/1/2/3")</f>
        <v/>
      </c>
      <c r="DS3">
        <f>IF(ISLOGICAL($CF3),"","EXIGE_TR exige Sim/Não")</f>
        <v/>
      </c>
      <c r="DT3">
        <f>IF(ISLOGICAL($CG3),"","CLASSE_0 exige Sim/Não")</f>
        <v/>
      </c>
      <c r="DU3">
        <f>IF(OR($CD3="Acerto",$CD3="TR, metade",$CD3="Automático"),"","RESOLUÇÃO inválida")</f>
        <v/>
      </c>
      <c r="DV3">
        <f>IF(OR($CB3="",COUNTIF('DADOS_CRIACAO'!$H$2:$H$20,SUBSTITUTE(SUBSTITUTE(SUBSTITUTE($CB3,"~","~~"),"*","~*"),"?","~?"))&gt;0),"","FAMÍLIA não cadastrada ou inválida")</f>
        <v/>
      </c>
      <c r="DW3">
        <f>IF(OR($CH3="",IFERROR(MATCH(SUBSTITUTE(SUBSTITUTE(SUBSTITUTE($CH3,"~","~~"),"*","~*"),"?","~?"),INDEX('DADOS_RESTRICOES'!$M$2:$Q$54,0,1),0),0)&gt;0),"","RESTRIÇÃO EMBUTIDA inválida")</f>
        <v/>
      </c>
      <c r="DX3">
        <f>IF(OR($CI3="Fixo",$CI3="alcance"),"","ESCADA inválida para alcance")</f>
        <v/>
      </c>
      <c r="DY3">
        <f>IF(OR(NOT(AND($CG3,OR($DA3="alcance",$DE3="alcance"))),$CK3&lt;&gt;""),"","Base de alcance ausente: personagem/classe_0")</f>
        <v/>
      </c>
      <c r="DZ3">
        <f>IF(ISTEXT($CK3),"","Base precisa ser texto: alcance/personagem/classe_0")</f>
        <v/>
      </c>
      <c r="EA3">
        <f>IF(OR(NOT(AND($CG3,OR($DA3="alcance",$DE3="alcance"))),$CI3="Fixo",$CK3="",$CK3="—",AND(RIGHT($CK3,2)=" m",IFERROR(VALUE(SUBSTITUTE(LEFT($CK3,MAX(0,LEN($CK3)-2)),",",""))/10^IFERROR(LEN(LEFT($CK3,MAX(0,LEN($CK3)-2)))-FIND(",",LEFT($CK3,MAX(0,LEN($CK3)-2))),0),-1)&gt;0)),"","Base incompatível com escada: alcance/personagem/classe_0")</f>
        <v/>
      </c>
      <c r="EB3">
        <f>IF(OR(NOT(OR($DA3="alcance",$DE3="alcance")),$CL3&lt;&gt;""),"","Base de alcance ausente: personagem/classes_1_a_5")</f>
        <v/>
      </c>
      <c r="EC3">
        <f>IF(ISTEXT($CL3),"","Base precisa ser texto: alcance/personagem/classes_1_a_5")</f>
        <v/>
      </c>
      <c r="ED3">
        <f>IF(OR(NOT(OR($DA3="alcance",$DE3="alcance")),$CI3="Fixo",$CL3="",$CL3="—",AND(RIGHT($CL3,2)=" m",IFERROR(VALUE(SUBSTITUTE(LEFT($CL3,MAX(0,LEN($CL3)-2)),",",""))/10^IFERROR(LEN(LEFT($CL3,MAX(0,LEN($CL3)-2)))-FIND(",",LEFT($CL3,MAX(0,LEN($CL3)-2))),0),-1)&gt;0)),"","Base incompatível com escada: alcance/personagem/classes_1_a_5")</f>
        <v/>
      </c>
      <c r="EE3">
        <f>IF(OR(NOT(OR($DA3="alcance",$DE3="alcance")),$CM3&lt;&gt;""),"","Base de alcance ausente: personagem/classes_6_e_7")</f>
        <v/>
      </c>
      <c r="EF3">
        <f>IF(ISTEXT($CM3),"","Base precisa ser texto: alcance/personagem/classes_6_e_7")</f>
        <v/>
      </c>
      <c r="EG3">
        <f>IF(OR(NOT(OR($DA3="alcance",$DE3="alcance")),$CI3="Fixo",$CM3="",$CM3="—",AND(RIGHT($CM3,2)=" m",IFERROR(VALUE(SUBSTITUTE(LEFT($CM3,MAX(0,LEN($CM3)-2)),",",""))/10^IFERROR(LEN(LEFT($CM3,MAX(0,LEN($CM3)-2)))-FIND(",",LEFT($CM3,MAX(0,LEN($CM3)-2))),0),-1)&gt;0)),"","Base incompatível com escada: alcance/personagem/classes_6_e_7")</f>
        <v/>
      </c>
      <c r="EH3">
        <f>IF(OR(NOT(AND($CG3,OR($DA3="alcance",$DE3="alcance"))),$CN3&lt;&gt;""),"","Base de alcance ausente: entidade/classe_0")</f>
        <v/>
      </c>
      <c r="EI3">
        <f>IF(ISTEXT($CN3),"","Base precisa ser texto: alcance/entidade/classe_0")</f>
        <v/>
      </c>
      <c r="EJ3">
        <f>IF(OR(NOT(AND($CG3,OR($DA3="alcance",$DE3="alcance"))),$CI3="Fixo",$CN3="",$CN3="—",AND(RIGHT($CN3,2)=" m",IFERROR(VALUE(SUBSTITUTE(LEFT($CN3,MAX(0,LEN($CN3)-2)),",",""))/10^IFERROR(LEN(LEFT($CN3,MAX(0,LEN($CN3)-2)))-FIND(",",LEFT($CN3,MAX(0,LEN($CN3)-2))),0),-1)&gt;0)),"","Base incompatível com escada: alcance/entidade/classe_0")</f>
        <v/>
      </c>
      <c r="EK3">
        <f>IF(OR(NOT(OR($DA3="alcance",$DE3="alcance")),$CO3&lt;&gt;""),"","Base de alcance ausente: entidade/classes_1_a_5")</f>
        <v/>
      </c>
      <c r="EL3">
        <f>IF(ISTEXT($CO3),"","Base precisa ser texto: alcance/entidade/classes_1_a_5")</f>
        <v/>
      </c>
      <c r="EM3">
        <f>IF(OR(NOT(OR($DA3="alcance",$DE3="alcance")),$CI3="Fixo",$CO3="",$CO3="—",AND(RIGHT($CO3,2)=" m",IFERROR(VALUE(SUBSTITUTE(LEFT($CO3,MAX(0,LEN($CO3)-2)),",",""))/10^IFERROR(LEN(LEFT($CO3,MAX(0,LEN($CO3)-2)))-FIND(",",LEFT($CO3,MAX(0,LEN($CO3)-2))),0),-1)&gt;0)),"","Base incompatível com escada: alcance/entidade/classes_1_a_5")</f>
        <v/>
      </c>
      <c r="EN3">
        <f>IF(OR(NOT(OR($DA3="alcance",$DE3="alcance")),$CP3&lt;&gt;""),"","Base de alcance ausente: entidade/classe_6")</f>
        <v/>
      </c>
      <c r="EO3">
        <f>IF(ISTEXT($CP3),"","Base precisa ser texto: alcance/entidade/classe_6")</f>
        <v/>
      </c>
      <c r="EP3">
        <f>IF(OR(NOT(OR($DA3="alcance",$DE3="alcance")),$CI3="Fixo",$CP3="",$CP3="—",AND(RIGHT($CP3,2)=" m",IFERROR(VALUE(SUBSTITUTE(LEFT($CP3,MAX(0,LEN($CP3)-2)),",",""))/10^IFERROR(LEN(LEFT($CP3,MAX(0,LEN($CP3)-2)))-FIND(",",LEFT($CP3,MAX(0,LEN($CP3)-2))),0),-1)&gt;0)),"","Base incompatível com escada: alcance/entidade/classe_6")</f>
        <v/>
      </c>
      <c r="EQ3">
        <f>IF(OR(NOT(OR($DA3="alcance",$DE3="alcance")),$CQ3&lt;&gt;""),"","Base de alcance ausente: entidade/classe_7")</f>
        <v/>
      </c>
      <c r="ER3">
        <f>IF(ISTEXT($CQ3),"","Base precisa ser texto: alcance/entidade/classe_7")</f>
        <v/>
      </c>
      <c r="ES3">
        <f>IF(OR(NOT(OR($DA3="alcance",$DE3="alcance")),$CI3="Fixo",$CQ3="",$CQ3="—",AND(RIGHT($CQ3,2)=" m",IFERROR(VALUE(SUBSTITUTE(LEFT($CQ3,MAX(0,LEN($CQ3)-2)),",",""))/10^IFERROR(LEN(LEFT($CQ3,MAX(0,LEN($CQ3)-2)))-FIND(",",LEFT($CQ3,MAX(0,LEN($CQ3)-2))),0),-1)&gt;0)),"","Base incompatível com escada: alcance/entidade/classe_7")</f>
        <v/>
      </c>
      <c r="ET3">
        <f>IF(OR($CJ3="Fixo",$CJ3="raio",$CJ3="comprimento"),"","ESCADA inválida para area")</f>
        <v/>
      </c>
      <c r="EU3">
        <f>IF(ISTEXT($CR3),"","Base precisa ser texto: area/personagem/classe_0")</f>
        <v/>
      </c>
      <c r="EV3">
        <f>IF(OR(NOT(AND($CG3,OR($DA3="area",$DE3="area"))),$CJ3="Fixo",$CR3="",$CR3="—",AND(AND(AND(RIGHT($CR3,2)=" m",IFERROR(VALUE(SUBSTITUTE(LEFT($CR3,MAX(0,LEN($CR3)-2)),",",""))/10^IFERROR(LEN(LEFT($CR3,MAX(0,LEN($CR3)-2)))-FIND(",",LEFT($CR3,MAX(0,LEN($CR3)-2))),0),-1)&gt;0),OR($CJ3&lt;&gt;"raio",IFERROR(VALUE(SUBSTITUTE(LEFT($CR3,MAX(0,LEN($CR3)-2)),",",""))/10^IFERROR(LEN(LEFT($CR3,MAX(0,LEN($CR3)-2)))-FIND(",",LEFT($CR3,MAX(0,LEN($CR3)-2))),0),-1)&lt;=15.0)),OR($CJ3&lt;&gt;"comprimento",IFERROR(VALUE(SUBSTITUTE(LEFT($CR3,MAX(0,LEN($CR3)-2)),",",""))/10^IFERROR(LEN(LEFT($CR3,MAX(0,LEN($CR3)-2)))-FIND(",",LEFT($CR3,MAX(0,LEN($CR3)-2))),0),-1)&lt;=60.0))),"","Base incompatível com escada: area/personagem/classe_0")</f>
        <v/>
      </c>
      <c r="EW3">
        <f>IF(ISTEXT($CS3),"","Base precisa ser texto: area/personagem/classes_1_a_5")</f>
        <v/>
      </c>
      <c r="EX3">
        <f>IF(OR(NOT(OR($DA3="area",$DE3="area")),$CJ3="Fixo",$CS3="",$CS3="—",AND(AND(AND(RIGHT($CS3,2)=" m",IFERROR(VALUE(SUBSTITUTE(LEFT($CS3,MAX(0,LEN($CS3)-2)),",",""))/10^IFERROR(LEN(LEFT($CS3,MAX(0,LEN($CS3)-2)))-FIND(",",LEFT($CS3,MAX(0,LEN($CS3)-2))),0),-1)&gt;0),OR($CJ3&lt;&gt;"raio",IFERROR(VALUE(SUBSTITUTE(LEFT($CS3,MAX(0,LEN($CS3)-2)),",",""))/10^IFERROR(LEN(LEFT($CS3,MAX(0,LEN($CS3)-2)))-FIND(",",LEFT($CS3,MAX(0,LEN($CS3)-2))),0),-1)&lt;=15.0)),OR($CJ3&lt;&gt;"comprimento",IFERROR(VALUE(SUBSTITUTE(LEFT($CS3,MAX(0,LEN($CS3)-2)),",",""))/10^IFERROR(LEN(LEFT($CS3,MAX(0,LEN($CS3)-2)))-FIND(",",LEFT($CS3,MAX(0,LEN($CS3)-2))),0),-1)&lt;=60.0))),"","Base incompatível com escada: area/personagem/classes_1_a_5")</f>
        <v/>
      </c>
      <c r="EY3">
        <f>IF(ISTEXT($CT3),"","Base precisa ser texto: area/personagem/classes_6_e_7")</f>
        <v/>
      </c>
      <c r="EZ3">
        <f>IF(OR(NOT(OR($DA3="area",$DE3="area")),$CJ3="Fixo",$CT3="",$CT3="—",AND(AND(AND(RIGHT($CT3,2)=" m",IFERROR(VALUE(SUBSTITUTE(LEFT($CT3,MAX(0,LEN($CT3)-2)),",",""))/10^IFERROR(LEN(LEFT($CT3,MAX(0,LEN($CT3)-2)))-FIND(",",LEFT($CT3,MAX(0,LEN($CT3)-2))),0),-1)&gt;0),OR($CJ3&lt;&gt;"raio",IFERROR(VALUE(SUBSTITUTE(LEFT($CT3,MAX(0,LEN($CT3)-2)),",",""))/10^IFERROR(LEN(LEFT($CT3,MAX(0,LEN($CT3)-2)))-FIND(",",LEFT($CT3,MAX(0,LEN($CT3)-2))),0),-1)&lt;=15.0)),OR($CJ3&lt;&gt;"comprimento",IFERROR(VALUE(SUBSTITUTE(LEFT($CT3,MAX(0,LEN($CT3)-2)),",",""))/10^IFERROR(LEN(LEFT($CT3,MAX(0,LEN($CT3)-2)))-FIND(",",LEFT($CT3,MAX(0,LEN($CT3)-2))),0),-1)&lt;=60.0))),"","Base incompatível com escada: area/personagem/classes_6_e_7")</f>
        <v/>
      </c>
      <c r="FA3">
        <f>IF(ISTEXT($CU3),"","Base precisa ser texto: area/entidade/classe_0")</f>
        <v/>
      </c>
      <c r="FB3">
        <f>IF(OR(NOT(AND($CG3,OR($DA3="area",$DE3="area"))),$CJ3="Fixo",$CU3="",$CU3="—",AND(AND(AND(RIGHT($CU3,2)=" m",IFERROR(VALUE(SUBSTITUTE(LEFT($CU3,MAX(0,LEN($CU3)-2)),",",""))/10^IFERROR(LEN(LEFT($CU3,MAX(0,LEN($CU3)-2)))-FIND(",",LEFT($CU3,MAX(0,LEN($CU3)-2))),0),-1)&gt;0),OR($CJ3&lt;&gt;"raio",IFERROR(VALUE(SUBSTITUTE(LEFT($CU3,MAX(0,LEN($CU3)-2)),",",""))/10^IFERROR(LEN(LEFT($CU3,MAX(0,LEN($CU3)-2)))-FIND(",",LEFT($CU3,MAX(0,LEN($CU3)-2))),0),-1)&lt;=15.0)),OR($CJ3&lt;&gt;"comprimento",IFERROR(VALUE(SUBSTITUTE(LEFT($CU3,MAX(0,LEN($CU3)-2)),",",""))/10^IFERROR(LEN(LEFT($CU3,MAX(0,LEN($CU3)-2)))-FIND(",",LEFT($CU3,MAX(0,LEN($CU3)-2))),0),-1)&lt;=60.0))),"","Base incompatível com escada: area/entidade/classe_0")</f>
        <v/>
      </c>
      <c r="FC3">
        <f>IF(ISTEXT($CV3),"","Base precisa ser texto: area/entidade/classes_1_a_5")</f>
        <v/>
      </c>
      <c r="FD3">
        <f>IF(OR(NOT(OR($DA3="area",$DE3="area")),$CJ3="Fixo",$CV3="",$CV3="—",AND(AND(AND(RIGHT($CV3,2)=" m",IFERROR(VALUE(SUBSTITUTE(LEFT($CV3,MAX(0,LEN($CV3)-2)),",",""))/10^IFERROR(LEN(LEFT($CV3,MAX(0,LEN($CV3)-2)))-FIND(",",LEFT($CV3,MAX(0,LEN($CV3)-2))),0),-1)&gt;0),OR($CJ3&lt;&gt;"raio",IFERROR(VALUE(SUBSTITUTE(LEFT($CV3,MAX(0,LEN($CV3)-2)),",",""))/10^IFERROR(LEN(LEFT($CV3,MAX(0,LEN($CV3)-2)))-FIND(",",LEFT($CV3,MAX(0,LEN($CV3)-2))),0),-1)&lt;=15.0)),OR($CJ3&lt;&gt;"comprimento",IFERROR(VALUE(SUBSTITUTE(LEFT($CV3,MAX(0,LEN($CV3)-2)),",",""))/10^IFERROR(LEN(LEFT($CV3,MAX(0,LEN($CV3)-2)))-FIND(",",LEFT($CV3,MAX(0,LEN($CV3)-2))),0),-1)&lt;=60.0))),"","Base incompatível com escada: area/entidade/classes_1_a_5")</f>
        <v/>
      </c>
      <c r="FE3">
        <f>IF(ISTEXT($CW3),"","Base precisa ser texto: area/entidade/classe_6")</f>
        <v/>
      </c>
      <c r="FF3">
        <f>IF(OR(NOT(OR($DA3="area",$DE3="area")),$CJ3="Fixo",$CW3="",$CW3="—",AND(AND(AND(RIGHT($CW3,2)=" m",IFERROR(VALUE(SUBSTITUTE(LEFT($CW3,MAX(0,LEN($CW3)-2)),",",""))/10^IFERROR(LEN(LEFT($CW3,MAX(0,LEN($CW3)-2)))-FIND(",",LEFT($CW3,MAX(0,LEN($CW3)-2))),0),-1)&gt;0),OR($CJ3&lt;&gt;"raio",IFERROR(VALUE(SUBSTITUTE(LEFT($CW3,MAX(0,LEN($CW3)-2)),",",""))/10^IFERROR(LEN(LEFT($CW3,MAX(0,LEN($CW3)-2)))-FIND(",",LEFT($CW3,MAX(0,LEN($CW3)-2))),0),-1)&lt;=15.0)),OR($CJ3&lt;&gt;"comprimento",IFERROR(VALUE(SUBSTITUTE(LEFT($CW3,MAX(0,LEN($CW3)-2)),",",""))/10^IFERROR(LEN(LEFT($CW3,MAX(0,LEN($CW3)-2)))-FIND(",",LEFT($CW3,MAX(0,LEN($CW3)-2))),0),-1)&lt;=60.0))),"","Base incompatível com escada: area/entidade/classe_6")</f>
        <v/>
      </c>
      <c r="FG3">
        <f>IF(ISTEXT($CX3),"","Base precisa ser texto: area/entidade/classe_7")</f>
        <v/>
      </c>
      <c r="FH3">
        <f>IF(OR(NOT(OR($DA3="area",$DE3="area")),$CJ3="Fixo",$CX3="",$CX3="—",AND(AND(AND(RIGHT($CX3,2)=" m",IFERROR(VALUE(SUBSTITUTE(LEFT($CX3,MAX(0,LEN($CX3)-2)),",",""))/10^IFERROR(LEN(LEFT($CX3,MAX(0,LEN($CX3)-2)))-FIND(",",LEFT($CX3,MAX(0,LEN($CX3)-2))),0),-1)&gt;0),OR($CJ3&lt;&gt;"raio",IFERROR(VALUE(SUBSTITUTE(LEFT($CX3,MAX(0,LEN($CX3)-2)),",",""))/10^IFERROR(LEN(LEFT($CX3,MAX(0,LEN($CX3)-2)))-FIND(",",LEFT($CX3,MAX(0,LEN($CX3)-2))),0),-1)&lt;=15.0)),OR($CJ3&lt;&gt;"comprimento",IFERROR(VALUE(SUBSTITUTE(LEFT($CX3,MAX(0,LEN($CX3)-2)),",",""))/10^IFERROR(LEN(LEFT($CX3,MAX(0,LEN($CX3)-2)))-FIND(",",LEFT($CX3,MAX(0,LEN($CX3)-2))),0),-1)&lt;=60.0))),"","Base incompatível com escada: area/entidade/classe_7")</f>
        <v/>
      </c>
      <c r="FJ3">
        <f>'DADOS_FORMAS'!$AH3</f>
        <v/>
      </c>
      <c r="FK3">
        <f>'DADOS_FORMAS'!$AM3</f>
        <v/>
      </c>
      <c r="FL3">
        <f>'DADOS_FORMAS'!$AN3</f>
        <v/>
      </c>
      <c r="FM3">
        <f>IF('DADOS_FORMAS'!$AN3=0,0,'DADOS_FORMAS'!$AN3+3*IFERROR(VLOOKUP(SUBSTITUTE(SUBSTITUTE(SUBSTITUTE('DADOS_FORMAS'!$AM3,"~","~~"),"*","~*"),"?","~?"),'DADOS_CRIACAO'!$H$2:$K$20,3,FALSE),0))</f>
        <v/>
      </c>
      <c r="FN3">
        <f>IFERROR(VLOOKUP(SUBSTITUTE(SUBSTITUTE(SUBSTITUTE('DADOS_FORMAS'!$AM3,"~","~~"),"*","~*"),"?","~?"),'DADOS_CRIACAO'!$H$2:$K$20,4,FALSE),0)</f>
        <v/>
      </c>
      <c r="FO3">
        <f>IF('DADOS_FORMAS'!$AS3="",0,1)</f>
        <v/>
      </c>
      <c r="FP3">
        <f>'DADOS_FORMAS'!$AP3</f>
        <v/>
      </c>
      <c r="FQ3">
        <f>IF(AND('DADOS_FORMAS'!$AO3="Acerto",'DADOS_FORMAS'!$AQ3),"Acerto + TR",'DADOS_FORMAS'!$AO3)</f>
        <v/>
      </c>
      <c r="FR3">
        <f>N(OR('DADOS_FORMAS'!$AQ3,'DADOS_FORMAS'!$AO3="TR, metade"))</f>
        <v/>
      </c>
      <c r="FS3">
        <f>'DADOS_FORMAS'!$BO3</f>
        <v/>
      </c>
      <c r="FT3">
        <f>'DADOS_FORMAS'!$BS3</f>
        <v/>
      </c>
      <c r="FU3">
        <f>'DADOS_FORMAS'!$BK3</f>
        <v/>
      </c>
      <c r="FV3">
        <f>N('DADOS_FORMAS'!$AR3)</f>
        <v/>
      </c>
      <c r="FW3">
        <f>IF(IFERROR(VLOOKUP(SUBSTITUTE(SUBSTITUTE(SUBSTITUTE('DADOS_FORMAS'!$AM3,"~","~~"),"*","~*"),"?","~?"),'DADOS_CRIACAO'!$H$2:$K$20,4,FALSE),0)=1,"",'DADOS_FORMAS'!$AH3)</f>
        <v/>
      </c>
      <c r="FX3">
        <f>IF(AND('DADOS_FORMAS'!$AR3,IFERROR(VLOOKUP(SUBSTITUTE(SUBSTITUTE(SUBSTITUTE('DADOS_FORMAS'!$AM3,"~","~~"),"*","~*"),"?","~?"),'DADOS_CRIACAO'!$H$2:$K$20,4,FALSE),0)=0),'DADOS_FORMAS'!$AH3,"")</f>
        <v/>
      </c>
      <c r="FZ3">
        <f>'DADOS_FORMAS'!$AH3</f>
        <v/>
      </c>
      <c r="GA3">
        <f>'DADOS_FORMAS'!$AM3</f>
        <v/>
      </c>
      <c r="GB3">
        <f>'DADOS_FORMAS'!$AN3</f>
        <v/>
      </c>
      <c r="GC3">
        <f>IF('DADOS_FORMAS'!$AS3="",0,1)</f>
        <v/>
      </c>
      <c r="GD3">
        <f>'DADOS_FORMAS'!$AP3</f>
        <v/>
      </c>
      <c r="GE3">
        <f>IF('DADOS_FORMAS'!$AO3="Acerto","Ataque",IF('DADOS_FORMAS'!$AQ3,"TR","—"))</f>
        <v/>
      </c>
      <c r="GF3">
        <f>N(OR('DADOS_FORMAS'!$AQ3,'DADOS_FORMAS'!$AO3="TR, metade"))</f>
        <v/>
      </c>
      <c r="GG3">
        <f>'DADOS_FORMAS'!$BO3</f>
        <v/>
      </c>
      <c r="GH3">
        <f>'DADOS_FORMAS'!$BS3</f>
        <v/>
      </c>
      <c r="GI3">
        <f>'DADOS_FORMAS'!$BK3</f>
        <v/>
      </c>
      <c r="GJ3">
        <f>N('DADOS_FORMAS'!$AR3)</f>
        <v/>
      </c>
      <c r="GL3" t="inlineStr">
        <is>
          <t>9 m</t>
        </is>
      </c>
      <c r="GN3" t="inlineStr">
        <is>
          <t>4,5 m</t>
        </is>
      </c>
      <c r="GP3" t="inlineStr">
        <is>
          <t>9 m</t>
        </is>
      </c>
      <c r="GR3">
        <f>'DADOS_FORMAS'!$BP12</f>
        <v/>
      </c>
      <c r="GS3">
        <f>IF('DADOS_FORMAS'!$BP12="area",'DADOS_FORMAS'!$AU12,'DADOS_FORMAS'!$AT12)</f>
        <v/>
      </c>
      <c r="GT3">
        <f>IF('DADOS_FORMAS'!$BP12="area",'DADOS_FORMAS'!$BC12,'DADOS_FORMAS'!$AV12)</f>
        <v/>
      </c>
      <c r="GU3">
        <f>'DADOS_FORMAS'!$BQ12</f>
        <v/>
      </c>
      <c r="GV3">
        <f>'DADOS_FORMAS'!$BR12</f>
        <v/>
      </c>
      <c r="GW3">
        <f>LET(base,'DADOS_FORMAS'!$GT3,escada,'DADOS_FORMAS'!$GS3,medida,LEFT(base,MAX(0,LEN(base)-2)),valor,IFERROR(VALUE(SUBSTITUTE(medida,",",""))/10^IFERROR(LEN(medida)-FIND(",",medida),0),1E99),IF(OR(escada="Fixo",base="—"),base,IF(escada="alcance",IFERROR(MATCH(base,{"1,5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 t="inlineStr">
        <is>
          <t>Projétil · classes 1 a 5</t>
        </is>
      </c>
      <c r="GZ3" t="inlineStr">
        <is>
          <t>18 m, um alvo</t>
        </is>
      </c>
      <c r="HA3" t="inlineStr">
        <is>
          <t>36 m, um alvo</t>
        </is>
      </c>
      <c r="HB3" t="inlineStr">
        <is>
          <t>90 m, um alvo</t>
        </is>
      </c>
      <c r="HC3" t="inlineStr">
        <is>
          <t>Visão a olho nu, um alvo</t>
        </is>
      </c>
      <c r="HD3" t="inlineStr">
        <is>
          <t>Visão a olho nu, um alvo</t>
        </is>
      </c>
      <c r="HE3" t="inlineStr">
        <is>
          <t>Visão a olho nu, um alvo</t>
        </is>
      </c>
      <c r="HF3" t="inlineStr"/>
      <c r="HG3" t="inlineStr"/>
      <c r="HH3" t="inlineStr"/>
      <c r="HI3" t="inlineStr"/>
      <c r="HJ3" t="inlineStr"/>
      <c r="HK3" t="inlineStr"/>
      <c r="HM3">
        <f>'DADOS_FORMAS'!$BP12</f>
        <v/>
      </c>
      <c r="HN3">
        <f>IF('DADOS_FORMAS'!$BP12="area",'DADOS_FORMAS'!$AU12,'DADOS_FORMAS'!$AT12)</f>
        <v/>
      </c>
      <c r="HO3">
        <f>IF('DADOS_FORMAS'!$BP12="area",'DADOS_FORMAS'!$BF12,'DADOS_FORMAS'!$AY12)</f>
        <v/>
      </c>
      <c r="HP3">
        <f>'DADOS_FORMAS'!$BQ12</f>
        <v/>
      </c>
      <c r="HQ3">
        <f>'DADOS_FORMAS'!$BR12</f>
        <v/>
      </c>
      <c r="HR3">
        <f>LET(base,'DADOS_FORMAS'!$HO3,escada,'DADOS_FORMAS'!$HN3,medida,LEFT(base,MAX(0,LEN(base)-2)),valor,IFERROR(VALUE(SUBSTITUTE(medida,",",""))/10^IFERROR(LEN(medida)-FIND(",",medida),0),1E99),IF(OR(escada="Fixo",base="—"),base,IF(escada="alcance",IFERROR(MATCH(base,{"1,5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 t="inlineStr">
        <is>
          <t>Projétil · classes 1 a 5</t>
        </is>
      </c>
      <c r="HU3" t="inlineStr">
        <is>
          <t>18 m, um alvo</t>
        </is>
      </c>
      <c r="HV3" t="inlineStr">
        <is>
          <t>36 m, um alvo</t>
        </is>
      </c>
      <c r="HW3" t="inlineStr">
        <is>
          <t>90 m, um alvo</t>
        </is>
      </c>
      <c r="HX3" t="inlineStr">
        <is>
          <t>Visão a olho nu, um alvo</t>
        </is>
      </c>
      <c r="HY3" t="inlineStr">
        <is>
          <t>Visão a olho nu, um alvo</t>
        </is>
      </c>
      <c r="HZ3" t="inlineStr">
        <is>
          <t>Visão a olho nu, um alvo</t>
        </is>
      </c>
      <c r="IA3" t="inlineStr"/>
      <c r="IB3" t="inlineStr"/>
      <c r="IC3" t="inlineStr"/>
      <c r="ID3" t="inlineStr"/>
      <c r="IE3" t="inlineStr"/>
      <c r="IF3" t="inlineStr"/>
      <c r="IH3">
        <f>IF(OR('DADOS_FORMAS'!$AM3='INVOCAÇÕES'!$O$48,'DADOS_FORMAS'!$AM3='INVOCAÇÕES'!$P$48,'DADOS_FORMAS'!$AM3='INVOCAÇÕES'!$Q$48,'DADOS_FORMAS'!$AM3='INVOCAÇÕES'!$R$48,'DADOS_FORMAS'!$AM3='INVOCAÇÕES'!$S$48,'DADOS_FORMAS'!$AM3='INVOCAÇÕES'!$O$50,'DADOS_FORMAS'!$AM3='INVOCAÇÕES'!$P$50,'DADOS_FORMAS'!$AM3='INVOCAÇÕES'!$Q$50,'DADOS_FORMAS'!$AM3='INVOCAÇÕES'!$R$50,'DADOS_FORMAS'!$AM3=""),'DADOS_FORMAS'!$AH3,"")</f>
        <v/>
      </c>
      <c r="II3">
        <f>IF(AND(OR('DADOS_FORMAS'!$AM3='INVOCAÇÕES'!$O$48,'DADOS_FORMAS'!$AM3='INVOCAÇÕES'!$P$48,'DADOS_FORMAS'!$AM3='INVOCAÇÕES'!$Q$48,'DADOS_FORMAS'!$AM3='INVOCAÇÕES'!$R$48,'DADOS_FORMAS'!$AM3='INVOCAÇÕES'!$S$48,'DADOS_FORMAS'!$AM3='INVOCAÇÕES'!$O$50,'DADOS_FORMAS'!$AM3='INVOCAÇÕES'!$P$50,'DADOS_FORMAS'!$AM3='INVOCAÇÕES'!$Q$50,'DADOS_FORMAS'!$AM3='INVOCAÇÕES'!$R$50,'DADOS_FORMAS'!$AM3=""),'DADOS_FORMAS'!$AR3),'DADOS_FORMAS'!$AH3,"")</f>
        <v/>
      </c>
      <c r="IK3">
        <f>IF(OR('DADOS_FORMAS'!$AM3='INVOCAÇÕES'!$O$259,'DADOS_FORMAS'!$AM3='INVOCAÇÕES'!$P$259,'DADOS_FORMAS'!$AM3='INVOCAÇÕES'!$Q$259,'DADOS_FORMAS'!$AM3='INVOCAÇÕES'!$R$259,'DADOS_FORMAS'!$AM3='INVOCAÇÕES'!$S$259,'DADOS_FORMAS'!$AM3='INVOCAÇÕES'!$O$261,'DADOS_FORMAS'!$AM3='INVOCAÇÕES'!$P$261,'DADOS_FORMAS'!$AM3='INVOCAÇÕES'!$Q$261,'DADOS_FORMAS'!$AM3='INVOCAÇÕES'!$R$261,'DADOS_FORMAS'!$AM3=""),'DADOS_FORMAS'!$AH3,"")</f>
        <v/>
      </c>
      <c r="IL3">
        <f>IF(AND(OR('DADOS_FORMAS'!$AM3='INVOCAÇÕES'!$O$259,'DADOS_FORMAS'!$AM3='INVOCAÇÕES'!$P$259,'DADOS_FORMAS'!$AM3='INVOCAÇÕES'!$Q$259,'DADOS_FORMAS'!$AM3='INVOCAÇÕES'!$R$259,'DADOS_FORMAS'!$AM3='INVOCAÇÕES'!$S$259,'DADOS_FORMAS'!$AM3='INVOCAÇÕES'!$O$261,'DADOS_FORMAS'!$AM3='INVOCAÇÕES'!$P$261,'DADOS_FORMAS'!$AM3='INVOCAÇÕES'!$Q$261,'DADOS_FORMAS'!$AM3='INVOCAÇÕES'!$R$261,'DADOS_FORMAS'!$AM3=""),'DADOS_FORMAS'!$AR3),'DADOS_FORMAS'!$AH3,"")</f>
        <v/>
      </c>
      <c r="IN3">
        <f>IF(OR('DADOS_FORMAS'!$AM3='INVOCAÇÕES'!$O$470,'DADOS_FORMAS'!$AM3='INVOCAÇÕES'!$P$470,'DADOS_FORMAS'!$AM3='INVOCAÇÕES'!$Q$470,'DADOS_FORMAS'!$AM3='INVOCAÇÕES'!$R$470,'DADOS_FORMAS'!$AM3='INVOCAÇÕES'!$S$470,'DADOS_FORMAS'!$AM3='INVOCAÇÕES'!$O$472,'DADOS_FORMAS'!$AM3='INVOCAÇÕES'!$P$472,'DADOS_FORMAS'!$AM3='INVOCAÇÕES'!$Q$472,'DADOS_FORMAS'!$AM3='INVOCAÇÕES'!$R$472,'DADOS_FORMAS'!$AM3=""),'DADOS_FORMAS'!$AH3,"")</f>
        <v/>
      </c>
      <c r="IO3">
        <f>IF(AND(OR('DADOS_FORMAS'!$AM3='INVOCAÇÕES'!$O$470,'DADOS_FORMAS'!$AM3='INVOCAÇÕES'!$P$470,'DADOS_FORMAS'!$AM3='INVOCAÇÕES'!$Q$470,'DADOS_FORMAS'!$AM3='INVOCAÇÕES'!$R$470,'DADOS_FORMAS'!$AM3='INVOCAÇÕES'!$S$470,'DADOS_FORMAS'!$AM3='INVOCAÇÕES'!$O$472,'DADOS_FORMAS'!$AM3='INVOCAÇÕES'!$P$472,'DADOS_FORMAS'!$AM3='INVOCAÇÕES'!$Q$472,'DADOS_FORMAS'!$AM3='INVOCAÇÕES'!$R$472,'DADOS_FORMAS'!$AM3=""),'DADOS_FORMAS'!$AR3),'DADOS_FORMAS'!$AH3,"")</f>
        <v/>
      </c>
      <c r="IQ3">
        <f>IF(OR('DADOS_FORMAS'!$AM3='INVOCAÇÕES'!$O$681,'DADOS_FORMAS'!$AM3='INVOCAÇÕES'!$P$681,'DADOS_FORMAS'!$AM3='INVOCAÇÕES'!$Q$681,'DADOS_FORMAS'!$AM3='INVOCAÇÕES'!$R$681,'DADOS_FORMAS'!$AM3='INVOCAÇÕES'!$S$681,'DADOS_FORMAS'!$AM3='INVOCAÇÕES'!$O$683,'DADOS_FORMAS'!$AM3='INVOCAÇÕES'!$P$683,'DADOS_FORMAS'!$AM3='INVOCAÇÕES'!$Q$683,'DADOS_FORMAS'!$AM3='INVOCAÇÕES'!$R$683,'DADOS_FORMAS'!$AM3=""),'DADOS_FORMAS'!$AH3,"")</f>
        <v/>
      </c>
      <c r="IR3">
        <f>IF(AND(OR('DADOS_FORMAS'!$AM3='INVOCAÇÕES'!$O$681,'DADOS_FORMAS'!$AM3='INVOCAÇÕES'!$P$681,'DADOS_FORMAS'!$AM3='INVOCAÇÕES'!$Q$681,'DADOS_FORMAS'!$AM3='INVOCAÇÕES'!$R$681,'DADOS_FORMAS'!$AM3='INVOCAÇÕES'!$S$681,'DADOS_FORMAS'!$AM3='INVOCAÇÕES'!$O$683,'DADOS_FORMAS'!$AM3='INVOCAÇÕES'!$P$683,'DADOS_FORMAS'!$AM3='INVOCAÇÕES'!$Q$683,'DADOS_FORMAS'!$AM3='INVOCAÇÕES'!$R$683,'DADOS_FORMAS'!$AM3=""),'DADOS_FORMAS'!$AR3),'DADOS_FORMAS'!$AH3,"")</f>
        <v/>
      </c>
      <c r="IT3">
        <f>IF(OR('DADOS_FORMAS'!$AM3='INVOCAÇÕES'!$O$892,'DADOS_FORMAS'!$AM3='INVOCAÇÕES'!$P$892,'DADOS_FORMAS'!$AM3='INVOCAÇÕES'!$Q$892,'DADOS_FORMAS'!$AM3='INVOCAÇÕES'!$R$892,'DADOS_FORMAS'!$AM3='INVOCAÇÕES'!$S$892,'DADOS_FORMAS'!$AM3='INVOCAÇÕES'!$O$894,'DADOS_FORMAS'!$AM3='INVOCAÇÕES'!$P$894,'DADOS_FORMAS'!$AM3='INVOCAÇÕES'!$Q$894,'DADOS_FORMAS'!$AM3='INVOCAÇÕES'!$R$894,'DADOS_FORMAS'!$AM3=""),'DADOS_FORMAS'!$AH3,"")</f>
        <v/>
      </c>
      <c r="IU3">
        <f>IF(AND(OR('DADOS_FORMAS'!$AM3='INVOCAÇÕES'!$O$892,'DADOS_FORMAS'!$AM3='INVOCAÇÕES'!$P$892,'DADOS_FORMAS'!$AM3='INVOCAÇÕES'!$Q$892,'DADOS_FORMAS'!$AM3='INVOCAÇÕES'!$R$892,'DADOS_FORMAS'!$AM3='INVOCAÇÕES'!$S$892,'DADOS_FORMAS'!$AM3='INVOCAÇÕES'!$O$894,'DADOS_FORMAS'!$AM3='INVOCAÇÕES'!$P$894,'DADOS_FORMAS'!$AM3='INVOCAÇÕES'!$Q$894,'DADOS_FORMAS'!$AM3='INVOCAÇÕES'!$R$894,'DADOS_FORMAS'!$AM3=""),'DADOS_FORMAS'!$AR3),'DADOS_FORMAS'!$AH3,"")</f>
        <v/>
      </c>
      <c r="IW3">
        <f>IF(OR('DADOS_FORMAS'!$AM3='INVOCAÇÕES'!$O$1103,'DADOS_FORMAS'!$AM3='INVOCAÇÕES'!$P$1103,'DADOS_FORMAS'!$AM3='INVOCAÇÕES'!$Q$1103,'DADOS_FORMAS'!$AM3='INVOCAÇÕES'!$R$1103,'DADOS_FORMAS'!$AM3='INVOCAÇÕES'!$S$1103,'DADOS_FORMAS'!$AM3='INVOCAÇÕES'!$O$1105,'DADOS_FORMAS'!$AM3='INVOCAÇÕES'!$P$1105,'DADOS_FORMAS'!$AM3='INVOCAÇÕES'!$Q$1105,'DADOS_FORMAS'!$AM3='INVOCAÇÕES'!$R$1105,'DADOS_FORMAS'!$AM3=""),'DADOS_FORMAS'!$AH3,"")</f>
        <v/>
      </c>
      <c r="IX3">
        <f>IF(AND(OR('DADOS_FORMAS'!$AM3='INVOCAÇÕES'!$O$1103,'DADOS_FORMAS'!$AM3='INVOCAÇÕES'!$P$1103,'DADOS_FORMAS'!$AM3='INVOCAÇÕES'!$Q$1103,'DADOS_FORMAS'!$AM3='INVOCAÇÕES'!$R$1103,'DADOS_FORMAS'!$AM3='INVOCAÇÕES'!$S$1103,'DADOS_FORMAS'!$AM3='INVOCAÇÕES'!$O$1105,'DADOS_FORMAS'!$AM3='INVOCAÇÕES'!$P$1105,'DADOS_FORMAS'!$AM3='INVOCAÇÕES'!$Q$1105,'DADOS_FORMAS'!$AM3='INVOCAÇÕES'!$R$1105,'DADOS_FORMAS'!$AM3=""),'DADOS_FORMAS'!$AR3),'DADOS_FORMAS'!$AH3,"")</f>
        <v/>
      </c>
      <c r="IZ3">
        <f>IF(OR('DADOS_FORMAS'!$AM3='INVOCAÇÕES'!$AH$48,'DADOS_FORMAS'!$AM3='INVOCAÇÕES'!$AI$48,'DADOS_FORMAS'!$AM3='INVOCAÇÕES'!$AJ$48,'DADOS_FORMAS'!$AM3='INVOCAÇÕES'!$AK$48,'DADOS_FORMAS'!$AM3='INVOCAÇÕES'!$AL$48,'DADOS_FORMAS'!$AM3='INVOCAÇÕES'!$AH$50,'DADOS_FORMAS'!$AM3='INVOCAÇÕES'!$AI$50,'DADOS_FORMAS'!$AM3='INVOCAÇÕES'!$AJ$50,'DADOS_FORMAS'!$AM3='INVOCAÇÕES'!$AK$50,'DADOS_FORMAS'!$AM3=""),'DADOS_FORMAS'!$AH3,"")</f>
        <v/>
      </c>
      <c r="JA3">
        <f>IF(AND(OR('DADOS_FORMAS'!$AM3='INVOCAÇÕES'!$AH$48,'DADOS_FORMAS'!$AM3='INVOCAÇÕES'!$AI$48,'DADOS_FORMAS'!$AM3='INVOCAÇÕES'!$AJ$48,'DADOS_FORMAS'!$AM3='INVOCAÇÕES'!$AK$48,'DADOS_FORMAS'!$AM3='INVOCAÇÕES'!$AL$48,'DADOS_FORMAS'!$AM3='INVOCAÇÕES'!$AH$50,'DADOS_FORMAS'!$AM3='INVOCAÇÕES'!$AI$50,'DADOS_FORMAS'!$AM3='INVOCAÇÕES'!$AJ$50,'DADOS_FORMAS'!$AM3='INVOCAÇÕES'!$AK$50,'DADOS_FORMAS'!$AM3=""),'DADOS_FORMAS'!$AR3),'DADOS_FORMAS'!$AH3,"")</f>
        <v/>
      </c>
      <c r="JC3">
        <f>IF(OR('DADOS_FORMAS'!$AM3='INVOCAÇÕES'!$AH$259,'DADOS_FORMAS'!$AM3='INVOCAÇÕES'!$AI$259,'DADOS_FORMAS'!$AM3='INVOCAÇÕES'!$AJ$259,'DADOS_FORMAS'!$AM3='INVOCAÇÕES'!$AK$259,'DADOS_FORMAS'!$AM3='INVOCAÇÕES'!$AL$259,'DADOS_FORMAS'!$AM3='INVOCAÇÕES'!$AH$261,'DADOS_FORMAS'!$AM3='INVOCAÇÕES'!$AI$261,'DADOS_FORMAS'!$AM3='INVOCAÇÕES'!$AJ$261,'DADOS_FORMAS'!$AM3='INVOCAÇÕES'!$AK$261,'DADOS_FORMAS'!$AM3=""),'DADOS_FORMAS'!$AH3,"")</f>
        <v/>
      </c>
      <c r="JD3">
        <f>IF(AND(OR('DADOS_FORMAS'!$AM3='INVOCAÇÕES'!$AH$259,'DADOS_FORMAS'!$AM3='INVOCAÇÕES'!$AI$259,'DADOS_FORMAS'!$AM3='INVOCAÇÕES'!$AJ$259,'DADOS_FORMAS'!$AM3='INVOCAÇÕES'!$AK$259,'DADOS_FORMAS'!$AM3='INVOCAÇÕES'!$AL$259,'DADOS_FORMAS'!$AM3='INVOCAÇÕES'!$AH$261,'DADOS_FORMAS'!$AM3='INVOCAÇÕES'!$AI$261,'DADOS_FORMAS'!$AM3='INVOCAÇÕES'!$AJ$261,'DADOS_FORMAS'!$AM3='INVOCAÇÕES'!$AK$261,'DADOS_FORMAS'!$AM3=""),'DADOS_FORMAS'!$AR3),'DADOS_FORMAS'!$AH3,"")</f>
        <v/>
      </c>
      <c r="JF3">
        <f>IF(OR('DADOS_FORMAS'!$AM3='INVOCAÇÕES'!$AH$470,'DADOS_FORMAS'!$AM3='INVOCAÇÕES'!$AI$470,'DADOS_FORMAS'!$AM3='INVOCAÇÕES'!$AJ$470,'DADOS_FORMAS'!$AM3='INVOCAÇÕES'!$AK$470,'DADOS_FORMAS'!$AM3='INVOCAÇÕES'!$AL$470,'DADOS_FORMAS'!$AM3='INVOCAÇÕES'!$AH$472,'DADOS_FORMAS'!$AM3='INVOCAÇÕES'!$AI$472,'DADOS_FORMAS'!$AM3='INVOCAÇÕES'!$AJ$472,'DADOS_FORMAS'!$AM3='INVOCAÇÕES'!$AK$472,'DADOS_FORMAS'!$AM3=""),'DADOS_FORMAS'!$AH3,"")</f>
        <v/>
      </c>
      <c r="JG3">
        <f>IF(AND(OR('DADOS_FORMAS'!$AM3='INVOCAÇÕES'!$AH$470,'DADOS_FORMAS'!$AM3='INVOCAÇÕES'!$AI$470,'DADOS_FORMAS'!$AM3='INVOCAÇÕES'!$AJ$470,'DADOS_FORMAS'!$AM3='INVOCAÇÕES'!$AK$470,'DADOS_FORMAS'!$AM3='INVOCAÇÕES'!$AL$470,'DADOS_FORMAS'!$AM3='INVOCAÇÕES'!$AH$472,'DADOS_FORMAS'!$AM3='INVOCAÇÕES'!$AI$472,'DADOS_FORMAS'!$AM3='INVOCAÇÕES'!$AJ$472,'DADOS_FORMAS'!$AM3='INVOCAÇÕES'!$AK$472,'DADOS_FORMAS'!$AM3=""),'DADOS_FORMAS'!$AR3),'DADOS_FORMAS'!$AH3,"")</f>
        <v/>
      </c>
      <c r="JI3">
        <f>IF(OR('DADOS_FORMAS'!$AM3='INVOCAÇÕES'!$AH$681,'DADOS_FORMAS'!$AM3='INVOCAÇÕES'!$AI$681,'DADOS_FORMAS'!$AM3='INVOCAÇÕES'!$AJ$681,'DADOS_FORMAS'!$AM3='INVOCAÇÕES'!$AK$681,'DADOS_FORMAS'!$AM3='INVOCAÇÕES'!$AL$681,'DADOS_FORMAS'!$AM3='INVOCAÇÕES'!$AH$683,'DADOS_FORMAS'!$AM3='INVOCAÇÕES'!$AI$683,'DADOS_FORMAS'!$AM3='INVOCAÇÕES'!$AJ$683,'DADOS_FORMAS'!$AM3='INVOCAÇÕES'!$AK$683,'DADOS_FORMAS'!$AM3=""),'DADOS_FORMAS'!$AH3,"")</f>
        <v/>
      </c>
      <c r="JJ3">
        <f>IF(AND(OR('DADOS_FORMAS'!$AM3='INVOCAÇÕES'!$AH$681,'DADOS_FORMAS'!$AM3='INVOCAÇÕES'!$AI$681,'DADOS_FORMAS'!$AM3='INVOCAÇÕES'!$AJ$681,'DADOS_FORMAS'!$AM3='INVOCAÇÕES'!$AK$681,'DADOS_FORMAS'!$AM3='INVOCAÇÕES'!$AL$681,'DADOS_FORMAS'!$AM3='INVOCAÇÕES'!$AH$683,'DADOS_FORMAS'!$AM3='INVOCAÇÕES'!$AI$683,'DADOS_FORMAS'!$AM3='INVOCAÇÕES'!$AJ$683,'DADOS_FORMAS'!$AM3='INVOCAÇÕES'!$AK$683,'DADOS_FORMAS'!$AM3=""),'DADOS_FORMAS'!$AR3),'DADOS_FORMAS'!$AH3,"")</f>
        <v/>
      </c>
      <c r="JL3">
        <f>IF(OR('DADOS_FORMAS'!$AM3='INVOCAÇÕES'!$AH$892,'DADOS_FORMAS'!$AM3='INVOCAÇÕES'!$AI$892,'DADOS_FORMAS'!$AM3='INVOCAÇÕES'!$AJ$892,'DADOS_FORMAS'!$AM3='INVOCAÇÕES'!$AK$892,'DADOS_FORMAS'!$AM3='INVOCAÇÕES'!$AL$892,'DADOS_FORMAS'!$AM3='INVOCAÇÕES'!$AH$894,'DADOS_FORMAS'!$AM3='INVOCAÇÕES'!$AI$894,'DADOS_FORMAS'!$AM3='INVOCAÇÕES'!$AJ$894,'DADOS_FORMAS'!$AM3='INVOCAÇÕES'!$AK$894,'DADOS_FORMAS'!$AM3=""),'DADOS_FORMAS'!$AH3,"")</f>
        <v/>
      </c>
      <c r="JM3">
        <f>IF(AND(OR('DADOS_FORMAS'!$AM3='INVOCAÇÕES'!$AH$892,'DADOS_FORMAS'!$AM3='INVOCAÇÕES'!$AI$892,'DADOS_FORMAS'!$AM3='INVOCAÇÕES'!$AJ$892,'DADOS_FORMAS'!$AM3='INVOCAÇÕES'!$AK$892,'DADOS_FORMAS'!$AM3='INVOCAÇÕES'!$AL$892,'DADOS_FORMAS'!$AM3='INVOCAÇÕES'!$AH$894,'DADOS_FORMAS'!$AM3='INVOCAÇÕES'!$AI$894,'DADOS_FORMAS'!$AM3='INVOCAÇÕES'!$AJ$894,'DADOS_FORMAS'!$AM3='INVOCAÇÕES'!$AK$894,'DADOS_FORMAS'!$AM3=""),'DADOS_FORMAS'!$AR3),'DADOS_FORMAS'!$AH3,"")</f>
        <v/>
      </c>
      <c r="JO3">
        <f>IF(OR('DADOS_FORMAS'!$AM3='INVOCAÇÕES'!$AH$1103,'DADOS_FORMAS'!$AM3='INVOCAÇÕES'!$AI$1103,'DADOS_FORMAS'!$AM3='INVOCAÇÕES'!$AJ$1103,'DADOS_FORMAS'!$AM3='INVOCAÇÕES'!$AK$1103,'DADOS_FORMAS'!$AM3='INVOCAÇÕES'!$AL$1103,'DADOS_FORMAS'!$AM3='INVOCAÇÕES'!$AH$1105,'DADOS_FORMAS'!$AM3='INVOCAÇÕES'!$AI$1105,'DADOS_FORMAS'!$AM3='INVOCAÇÕES'!$AJ$1105,'DADOS_FORMAS'!$AM3='INVOCAÇÕES'!$AK$1105,'DADOS_FORMAS'!$AM3=""),'DADOS_FORMAS'!$AH3,"")</f>
        <v/>
      </c>
      <c r="JP3">
        <f>IF(AND(OR('DADOS_FORMAS'!$AM3='INVOCAÇÕES'!$AH$1103,'DADOS_FORMAS'!$AM3='INVOCAÇÕES'!$AI$1103,'DADOS_FORMAS'!$AM3='INVOCAÇÕES'!$AJ$1103,'DADOS_FORMAS'!$AM3='INVOCAÇÕES'!$AK$1103,'DADOS_FORMAS'!$AM3='INVOCAÇÕES'!$AL$1103,'DADOS_FORMAS'!$AM3='INVOCAÇÕES'!$AH$1105,'DADOS_FORMAS'!$AM3='INVOCAÇÕES'!$AI$1105,'DADOS_FORMAS'!$AM3='INVOCAÇÕES'!$AJ$1105,'DADOS_FORMAS'!$AM3='INVOCAÇÕES'!$AK$1105,'DADOS_FORMAS'!$AM3=""),'DADOS_FORMAS'!$AR3),'DADOS_FORMAS'!$AH3,"")</f>
        <v/>
      </c>
      <c r="JR3" t="inlineStr">
        <is>
          <t>Projétil</t>
        </is>
      </c>
      <c r="JS3" t="inlineStr">
        <is>
          <t>Leve</t>
        </is>
      </c>
      <c r="JT3" t="inlineStr">
        <is>
          <t>TR, metade</t>
        </is>
      </c>
      <c r="JU3" t="inlineStr">
        <is>
          <t>Cura</t>
        </is>
      </c>
      <c r="JV3" t="inlineStr">
        <is>
          <t>Não</t>
        </is>
      </c>
      <c r="JW3" t="inlineStr">
        <is>
          <t>Não</t>
        </is>
      </c>
      <c r="JX3" t="inlineStr">
        <is>
          <t>alcance</t>
        </is>
      </c>
      <c r="JY3" t="inlineStr">
        <is>
          <t>raio</t>
        </is>
      </c>
      <c r="JZ3">
        <f>IFERROR(INDEX('DADOS_CRIACAO'!$H$2:$H$20,1),"")</f>
        <v/>
      </c>
      <c r="KA3">
        <f>IFERROR(INDEX(INDEX('DADOS_RESTRICOES'!$M$2:$Q$54,0,1),1),"")</f>
        <v/>
      </c>
    </row>
    <row r="4">
      <c r="A4">
        <f>IF(ISBLANK('CONFIGURAÇÃO'!$EZ$60),"",'CONFIGURAÇÃO'!$EZ$60)</f>
        <v/>
      </c>
      <c r="B4">
        <f>IF(ISBLANK('CONFIGURAÇÃO'!$EZ$62),"",'CONFIGURAÇÃO'!$EZ$62)</f>
        <v/>
      </c>
      <c r="C4">
        <f>IF(ISBLANK('CONFIGURAÇÃO'!$FC$63),"",'CONFIGURAÇÃO'!$FC$63)</f>
        <v/>
      </c>
      <c r="D4">
        <f>IF(ISBLANK('CONFIGURAÇÃO'!$FD$60),"",'CONFIGURAÇÃO'!$FD$60)</f>
        <v/>
      </c>
      <c r="E4">
        <f>IF(ISBLANK('CONFIGURAÇÃO'!$EZ$89),"",'CONFIGURAÇÃO'!$EZ$89)</f>
        <v/>
      </c>
      <c r="F4">
        <f>IF(ISBLANK('CONFIGURAÇÃO'!$EZ$95),"",'CONFIGURAÇÃO'!$EZ$95)</f>
        <v/>
      </c>
      <c r="G4">
        <f>IF(ISBLANK('CONFIGURAÇÃO'!$FC$64),"",'CONFIGURAÇÃO'!$FC$64)</f>
        <v/>
      </c>
      <c r="H4">
        <f>IF(ISBLANK('CONFIGURAÇÃO'!$FC$65),"",'CONFIGURAÇÃO'!$FC$65)</f>
        <v/>
      </c>
      <c r="I4">
        <f>IF(ISBLANK('CONFIGURAÇÃO'!$FC$66),"",'CONFIGURAÇÃO'!$FC$66)</f>
        <v/>
      </c>
      <c r="J4">
        <f>IF(ISBLANK('CONFIGURAÇÃO'!$FC$67),"",'CONFIGURAÇÃO'!$FC$67)</f>
        <v/>
      </c>
      <c r="K4">
        <f>IF(ISBLANK('CONFIGURAÇÃO'!$FC$68),"",'CONFIGURAÇÃO'!$FC$68)</f>
        <v/>
      </c>
      <c r="L4">
        <f>IF(ISBLANK('CONFIGURAÇÃO'!$FC$69),"",'CONFIGURAÇÃO'!$FC$69)</f>
        <v/>
      </c>
      <c r="M4">
        <f>IF(ISBLANK('CONFIGURAÇÃO'!$FC$70),"",'CONFIGURAÇÃO'!$FC$70)</f>
        <v/>
      </c>
      <c r="N4">
        <f>IF(ISBLANK('CONFIGURAÇÃO'!$FC$71),"",'CONFIGURAÇÃO'!$FC$71)</f>
        <v/>
      </c>
      <c r="O4">
        <f>IF(ISBLANK('CONFIGURAÇÃO'!$FC$72),"",'CONFIGURAÇÃO'!$FC$72)</f>
        <v/>
      </c>
      <c r="P4">
        <f>IF(ISBLANK('CONFIGURAÇÃO'!$FC$73),"",'CONFIGURAÇÃO'!$FC$73)</f>
        <v/>
      </c>
      <c r="Q4">
        <f>IF(ISBLANK('CONFIGURAÇÃO'!$FC$74),"",'CONFIGURAÇÃO'!$FC$74)</f>
        <v/>
      </c>
      <c r="R4">
        <f>IF(ISBLANK('CONFIGURAÇÃO'!$FC$75),"",'CONFIGURAÇÃO'!$FC$75)</f>
        <v/>
      </c>
      <c r="S4">
        <f>IF(ISBLANK('CONFIGURAÇÃO'!$FC$76),"",'CONFIGURAÇÃO'!$FC$76)</f>
        <v/>
      </c>
      <c r="T4">
        <f>IF(ISBLANK('CONFIGURAÇÃO'!$FC$77),"",'CONFIGURAÇÃO'!$FC$77)</f>
        <v/>
      </c>
      <c r="U4">
        <f>IF(ISBLANK('CONFIGURAÇÃO'!$FC$78),"",'CONFIGURAÇÃO'!$FC$78)</f>
        <v/>
      </c>
      <c r="V4">
        <f>IF(ISBLANK('CONFIGURAÇÃO'!$FC$79),"",'CONFIGURAÇÃO'!$FC$79)</f>
        <v/>
      </c>
      <c r="W4">
        <f>IF(ISBLANK('CONFIGURAÇÃO'!$FC$80),"",'CONFIGURAÇÃO'!$FC$80)</f>
        <v/>
      </c>
      <c r="X4">
        <f>IF(ISBLANK('CONFIGURAÇÃO'!$FC$81),"",'CONFIGURAÇÃO'!$FC$81)</f>
        <v/>
      </c>
      <c r="Y4">
        <f>IF(ISBLANK('CONFIGURAÇÃO'!$FC$82),"",'CONFIGURAÇÃO'!$FC$82)</f>
        <v/>
      </c>
      <c r="Z4">
        <f>IF(ISBLANK('CONFIGURAÇÃO'!$FC$83),"",'CONFIGURAÇÃO'!$FC$83)</f>
        <v/>
      </c>
      <c r="AA4">
        <f>IF(ISBLANK('CONFIGURAÇÃO'!$FC$84),"",'CONFIGURAÇÃO'!$FC$84)</f>
        <v/>
      </c>
      <c r="AB4">
        <f>IF(ISBLANK('CONFIGURAÇÃO'!$FC$85),"",'CONFIGURAÇÃO'!$FC$85)</f>
        <v/>
      </c>
      <c r="AC4">
        <f>IF(ISBLANK('CONFIGURAÇÃO'!$FC$86),"",'CONFIGURAÇÃO'!$FC$86)</f>
        <v/>
      </c>
      <c r="AD4">
        <f>IF($AF4,TEXTJOIN(" · ",TRUE,$DJ4:$FH4),"")</f>
        <v/>
      </c>
      <c r="AE4">
        <f>IF(OR($C4="",$C4="Nenhuma"),0,IFERROR(MATCH(SUBSTITUTE(SUBSTITUTE(SUBSTITUTE($C4,"~","~~"),"*","~*"),"?","~?"),'DADOS_FORMAS'!$AH$2:$AH$11,0),-1))</f>
        <v/>
      </c>
      <c r="AF4">
        <f>OR($B4&lt;&gt;"",$C4&lt;&gt;"",$E4&lt;&gt;"",$F4&lt;&gt;"",$G4&lt;&gt;"",$H4&lt;&gt;"",$I4&lt;&gt;"",$J4&lt;&gt;"",$K4&lt;&gt;"",$L4&lt;&gt;"",$M4&lt;&gt;"",$N4&lt;&gt;"",$O4&lt;&gt;"",$P4&lt;&gt;"",$Q4&lt;&gt;"",$R4&lt;&gt;"",$S4&lt;&gt;"",$T4&lt;&gt;"",$U4&lt;&gt;"",$V4&lt;&gt;"",$W4&lt;&gt;"",$X4&lt;&gt;"",$Y4&lt;&gt;"",$Z4&lt;&gt;"",$AA4&lt;&gt;"",$AB4&lt;&gt;"",$AC4&lt;&gt;"",AND($D4&lt;&gt;"",$D4&lt;&gt;FALSE),AND($A4&lt;&gt;"",$A4&lt;&gt;"Forma"))</f>
        <v/>
      </c>
      <c r="AG4" t="inlineStr">
        <is>
          <t>Forma</t>
        </is>
      </c>
      <c r="AH4" t="inlineStr">
        <is>
          <t>Explosão</t>
        </is>
      </c>
      <c r="AI4">
        <f>""</f>
        <v/>
      </c>
      <c r="AJ4" t="b">
        <v>0</v>
      </c>
      <c r="AK4">
        <f>""</f>
        <v/>
      </c>
      <c r="AL4" t="inlineStr">
        <is>
          <t>Esfera de raio 3 m, num ponto a até 18 m.</t>
        </is>
      </c>
      <c r="AM4" t="inlineStr">
        <is>
          <t>Área</t>
        </is>
      </c>
      <c r="AN4" t="b">
        <v>1</v>
      </c>
      <c r="AO4" t="inlineStr">
        <is>
          <t>TR, metade</t>
        </is>
      </c>
      <c r="AP4" t="b">
        <v>0</v>
      </c>
      <c r="AQ4" t="b">
        <v>1</v>
      </c>
      <c r="AR4" t="b">
        <v>1</v>
      </c>
      <c r="AS4">
        <f>""</f>
        <v/>
      </c>
      <c r="AT4" t="inlineStr">
        <is>
          <t>alcance</t>
        </is>
      </c>
      <c r="AU4" t="inlineStr">
        <is>
          <t>raio</t>
        </is>
      </c>
      <c r="AV4" t="inlineStr">
        <is>
          <t>9 m</t>
        </is>
      </c>
      <c r="AW4" t="inlineStr">
        <is>
          <t>18 m</t>
        </is>
      </c>
      <c r="AX4" t="inlineStr">
        <is>
          <t>36 m</t>
        </is>
      </c>
      <c r="AY4" t="inlineStr">
        <is>
          <t>9 m</t>
        </is>
      </c>
      <c r="AZ4" t="inlineStr">
        <is>
          <t>18 m</t>
        </is>
      </c>
      <c r="BA4" t="inlineStr">
        <is>
          <t>36 m</t>
        </is>
      </c>
      <c r="BB4" t="inlineStr">
        <is>
          <t>36 m</t>
        </is>
      </c>
      <c r="BC4" t="inlineStr">
        <is>
          <t>3 m</t>
        </is>
      </c>
      <c r="BD4" t="inlineStr">
        <is>
          <t>3 m</t>
        </is>
      </c>
      <c r="BE4" t="inlineStr">
        <is>
          <t>4,5 m</t>
        </is>
      </c>
      <c r="BF4" t="inlineStr">
        <is>
          <t>3 m</t>
        </is>
      </c>
      <c r="BG4" t="inlineStr">
        <is>
          <t>3 m</t>
        </is>
      </c>
      <c r="BH4" t="inlineStr">
        <is>
          <t>3 m</t>
        </is>
      </c>
      <c r="BI4" t="inlineStr">
        <is>
          <t>4,5 m</t>
        </is>
      </c>
      <c r="BJ4" t="inlineStr">
        <is>
          <t>Explosão</t>
        </is>
      </c>
      <c r="BK4" t="b">
        <v>0</v>
      </c>
      <c r="BL4" t="inlineStr">
        <is>
          <t>area</t>
        </is>
      </c>
      <c r="BM4" t="inlineStr">
        <is>
          <t xml:space="preserve">raio </t>
        </is>
      </c>
      <c r="BN4">
        <f>""</f>
        <v/>
      </c>
      <c r="BO4" t="n">
        <v>2</v>
      </c>
      <c r="BP4" t="inlineStr">
        <is>
          <t>alcance</t>
        </is>
      </c>
      <c r="BQ4" t="inlineStr">
        <is>
          <t xml:space="preserve">, a </t>
        </is>
      </c>
      <c r="BR4">
        <f>""</f>
        <v/>
      </c>
      <c r="BS4" t="b">
        <v>1</v>
      </c>
      <c r="BV4">
        <f>IF($A4="",IF($AE4&gt;0,INDEX('DADOS_FORMAS'!$AG$2:$AG$11,MAX(1,$AE4)),"Forma"),$A4)</f>
        <v/>
      </c>
      <c r="BW4">
        <f>IF($B4="",IF($AE4&gt;0,INDEX('DADOS_FORMAS'!$AH$2:$AH$11,MAX(1,$AE4)),""),$B4)</f>
        <v/>
      </c>
      <c r="BX4">
        <f>IF($C4="",IF($AE4&gt;0,INDEX('DADOS_FORMAS'!$AI$2:$AI$11,MAX(1,$AE4)),""),$C4)</f>
        <v/>
      </c>
      <c r="BY4">
        <f>IF($D4="",IF($AE4&gt;0,INDEX('DADOS_FORMAS'!$AJ$2:$AJ$11,MAX(1,$AE4)),FALSE),$D4)</f>
        <v/>
      </c>
      <c r="BZ4">
        <f>IF($E4="",IF($AE4&gt;0,INDEX('DADOS_FORMAS'!$AK$2:$AK$11,MAX(1,$AE4)),""),$E4)</f>
        <v/>
      </c>
      <c r="CA4">
        <f>IF($F4="",IF($AE4&gt;0,INDEX('DADOS_FORMAS'!$AL$2:$AL$11,MAX(1,$AE4)),""),$F4)</f>
        <v/>
      </c>
      <c r="CB4">
        <f>IF($G4="Nenhuma","",IF($G4="",IF($AE4&gt;0,INDEX('DADOS_FORMAS'!$AM$2:$AM$11,MAX(1,$AE4)),""),$G4))</f>
        <v/>
      </c>
      <c r="CC4">
        <f>IF($H4="",IF($AE4&gt;0,INDEX('DADOS_FORMAS'!$AN$2:$AN$11,MAX(1,$AE4)),""),IF($H4="Sem custo",0,IF($H4="Leve",1,IF($H4="Média",2,IF($H4="Pesada",3,$H4)))))</f>
        <v/>
      </c>
      <c r="CD4">
        <f>IF($I4="",IF($AE4&gt;0,INDEX('DADOS_FORMAS'!$AO$2:$AO$11,MAX(1,$AE4)),""),$I4)</f>
        <v/>
      </c>
      <c r="CE4">
        <f>IF($J4="",IF($AE4&gt;0,INDEX('DADOS_FORMAS'!$AP$2:$AP$11,MAX(1,$AE4)),""),IF($J4="Dano",0,IF($J4="Cura",1,IF($J4="Vida temporária",2,IF($J4="Efeito",3,$J4)))))</f>
        <v/>
      </c>
      <c r="CF4">
        <f>IF($K4="",IF($AE4&gt;0,INDEX('DADOS_FORMAS'!$AQ$2:$AQ$11,MAX(1,$AE4)),""),IF($K4="Sim",TRUE,IF($K4="Não",FALSE,$K4)))</f>
        <v/>
      </c>
      <c r="CG4">
        <f>IF($L4="",IF($AE4&gt;0,INDEX('DADOS_FORMAS'!$AR$2:$AR$11,MAX(1,$AE4)),""),IF($L4="Sim",TRUE,IF($L4="Não",FALSE,$L4)))</f>
        <v/>
      </c>
      <c r="CH4">
        <f>IF($M4="Nenhuma","",IF($M4="",IF($AE4&gt;0,INDEX('DADOS_FORMAS'!$AS$2:$AS$11,MAX(1,$AE4)),""),$M4))</f>
        <v/>
      </c>
      <c r="CI4">
        <f>IF($N4="",IF($AE4&gt;0,INDEX('DADOS_FORMAS'!$AT$2:$AT$11,MAX(1,$AE4)),"Fixo"),$N4)</f>
        <v/>
      </c>
      <c r="CJ4">
        <f>IF($O4="",IF($AE4&gt;0,INDEX('DADOS_FORMAS'!$AU$2:$AU$11,MAX(1,$AE4)),"Fixo"),$O4)</f>
        <v/>
      </c>
      <c r="CK4">
        <f>IF($P4="",IF($AE4&gt;0,INDEX('DADOS_FORMAS'!$AV$2:$AV$11,MAX(1,$AE4)),""),$P4)</f>
        <v/>
      </c>
      <c r="CL4">
        <f>IF($Q4="",IF($AE4&gt;0,INDEX('DADOS_FORMAS'!$AW$2:$AW$11,MAX(1,$AE4)),""),$Q4)</f>
        <v/>
      </c>
      <c r="CM4">
        <f>IF($R4="",IF($AE4&gt;0,INDEX('DADOS_FORMAS'!$AX$2:$AX$11,MAX(1,$AE4)),""),$R4)</f>
        <v/>
      </c>
      <c r="CN4">
        <f>IF($S4="",IF($AE4&gt;0,INDEX('DADOS_FORMAS'!$AY$2:$AY$11,MAX(1,$AE4)),""),$S4)</f>
        <v/>
      </c>
      <c r="CO4">
        <f>IF($T4="",IF($AE4&gt;0,INDEX('DADOS_FORMAS'!$AZ$2:$AZ$11,MAX(1,$AE4)),""),$T4)</f>
        <v/>
      </c>
      <c r="CP4">
        <f>IF($U4="",IF($AE4&gt;0,INDEX('DADOS_FORMAS'!$BA$2:$BA$11,MAX(1,$AE4)),""),$U4)</f>
        <v/>
      </c>
      <c r="CQ4">
        <f>IF($V4="",IF($AE4&gt;0,INDEX('DADOS_FORMAS'!$BB$2:$BB$11,MAX(1,$AE4)),""),$V4)</f>
        <v/>
      </c>
      <c r="CR4">
        <f>IF($W4="",IF($AE4&gt;0,INDEX('DADOS_FORMAS'!$BC$2:$BC$11,MAX(1,$AE4)),""),$W4)</f>
        <v/>
      </c>
      <c r="CS4">
        <f>IF($X4="",IF($AE4&gt;0,INDEX('DADOS_FORMAS'!$BD$2:$BD$11,MAX(1,$AE4)),""),$X4)</f>
        <v/>
      </c>
      <c r="CT4">
        <f>IF($Y4="",IF($AE4&gt;0,INDEX('DADOS_FORMAS'!$BE$2:$BE$11,MAX(1,$AE4)),""),$Y4)</f>
        <v/>
      </c>
      <c r="CU4">
        <f>IF($Z4="",IF($AE4&gt;0,INDEX('DADOS_FORMAS'!$BF$2:$BF$11,MAX(1,$AE4)),""),$Z4)</f>
        <v/>
      </c>
      <c r="CV4">
        <f>IF($AA4="",IF($AE4&gt;0,INDEX('DADOS_FORMAS'!$BG$2:$BG$11,MAX(1,$AE4)),""),$AA4)</f>
        <v/>
      </c>
      <c r="CW4">
        <f>IF($AB4="",IF($AE4&gt;0,INDEX('DADOS_FORMAS'!$BH$2:$BH$11,MAX(1,$AE4)),""),$AB4)</f>
        <v/>
      </c>
      <c r="CX4">
        <f>IF($AC4="",IF($AE4&gt;0,INDEX('DADOS_FORMAS'!$BI$2:$BI$11,MAX(1,$AE4)),""),$AC4)</f>
        <v/>
      </c>
      <c r="CY4">
        <f>IF($AE4&gt;0,INDEX('DADOS_FORMAS'!$BJ$2:$BJ$11,MAX(1,$AE4)),"")</f>
        <v/>
      </c>
      <c r="CZ4">
        <f>IF($AE4&gt;0,INDEX('DADOS_FORMAS'!$BK$2:$BK$11,MAX(1,$AE4)),0)</f>
        <v/>
      </c>
      <c r="DA4">
        <f>IF($AE4&gt;0,INDEX('DADOS_FORMAS'!$BL$2:$BL$11,MAX(1,$AE4)),"alcance")</f>
        <v/>
      </c>
      <c r="DB4">
        <f>IF($AE4&gt;0,INDEX('DADOS_FORMAS'!$BM$2:$BM$11,MAX(1,$AE4)),"")</f>
        <v/>
      </c>
      <c r="DC4">
        <f>IF($AE4&gt;0,INDEX('DADOS_FORMAS'!$BN$2:$BN$11,MAX(1,$AE4)),"")</f>
        <v/>
      </c>
      <c r="DD4">
        <f>IF($AE4&gt;0,INDEX('DADOS_FORMAS'!$BO$2:$BO$11,MAX(1,$AE4)),1)</f>
        <v/>
      </c>
      <c r="DE4">
        <f>IF(AND($AE4&gt;0,INDEX('DADOS_FORMAS'!$BP$2:$BP$11,MAX(1,$AE4))=""),IF(AND(INDEX('DADOS_FORMAS'!$BL$2:$BL$11,MAX(1,$AE4))="alcance",OR($W4&lt;&gt;"",$X4&lt;&gt;"",$Y4&lt;&gt;"",$Z4&lt;&gt;"",$AA4&lt;&gt;"",$AB4&lt;&gt;"",$AC4&lt;&gt;"")),"area",IF(AND(INDEX('DADOS_FORMAS'!$BL$2:$BL$11,MAX(1,$AE4))="area",OR($P4&lt;&gt;"",$Q4&lt;&gt;"",$R4&lt;&gt;"",$S4&lt;&gt;"",$T4&lt;&gt;"",$U4&lt;&gt;"",$V4&lt;&gt;"")),"alcance","")),IF($AE4&gt;0,INDEX('DADOS_FORMAS'!$BP$2:$BP$11,MAX(1,$AE4)),"area"))</f>
        <v/>
      </c>
      <c r="DF4">
        <f>IF(AND($AE4&gt;0,INDEX('DADOS_FORMAS'!$BP$2:$BP$11,MAX(1,$AE4))=""),IF(IF(AND(INDEX('DADOS_FORMAS'!$BL$2:$BL$11,MAX(1,$AE4))="alcance",OR($W4&lt;&gt;"",$X4&lt;&gt;"",$Y4&lt;&gt;"",$Z4&lt;&gt;"",$AA4&lt;&gt;"",$AB4&lt;&gt;"",$AC4&lt;&gt;"")),"area",IF(AND(INDEX('DADOS_FORMAS'!$BL$2:$BL$11,MAX(1,$AE4))="area",OR($P4&lt;&gt;"",$Q4&lt;&gt;"",$R4&lt;&gt;"",$S4&lt;&gt;"",$T4&lt;&gt;"",$U4&lt;&gt;"",$V4&lt;&gt;"")),"alcance",""))="alcance"," · alcance ",IF(IF(AND(INDEX('DADOS_FORMAS'!$BL$2:$BL$11,MAX(1,$AE4))="alcance",OR($W4&lt;&gt;"",$X4&lt;&gt;"",$Y4&lt;&gt;"",$Z4&lt;&gt;"",$AA4&lt;&gt;"",$AB4&lt;&gt;"",$AC4&lt;&gt;"")),"area",IF(AND(INDEX('DADOS_FORMAS'!$BL$2:$BL$11,MAX(1,$AE4))="area",OR($P4&lt;&gt;"",$Q4&lt;&gt;"",$R4&lt;&gt;"",$S4&lt;&gt;"",$T4&lt;&gt;"",$U4&lt;&gt;"",$V4&lt;&gt;"")),"alcance",""))="area"," · área ","")),IF($AE4&gt;0,INDEX('DADOS_FORMAS'!$BQ$2:$BQ$11,MAX(1,$AE4))," · área "))</f>
        <v/>
      </c>
      <c r="DG4">
        <f>IF(AND($AE4&gt;0,INDEX('DADOS_FORMAS'!$BP$2:$BP$11,MAX(1,$AE4))=""),"",IF($AE4&gt;0,INDEX('DADOS_FORMAS'!$BR$2:$BR$11,MAX(1,$AE4)),""))</f>
        <v/>
      </c>
      <c r="DH4">
        <f>IF(AND($AE4&gt;0,INDEX('DADOS_FORMAS'!$BP$2:$BP$11,MAX(1,$AE4))=""),IF(IF(AND(INDEX('DADOS_FORMAS'!$BL$2:$BL$11,MAX(1,$AE4))="alcance",OR($W4&lt;&gt;"",$X4&lt;&gt;"",$Y4&lt;&gt;"",$Z4&lt;&gt;"",$AA4&lt;&gt;"",$AB4&lt;&gt;"",$AC4&lt;&gt;"")),"area",IF(AND(INDEX('DADOS_FORMAS'!$BL$2:$BL$11,MAX(1,$AE4))="area",OR($P4&lt;&gt;"",$Q4&lt;&gt;"",$R4&lt;&gt;"",$S4&lt;&gt;"",$T4&lt;&gt;"",$U4&lt;&gt;"",$V4&lt;&gt;"")),"alcance",""))="",0,IF(IF(AND(INDEX('DADOS_FORMAS'!$BL$2:$BL$11,MAX(1,$AE4))="alcance",OR($W4&lt;&gt;"",$X4&lt;&gt;"",$Y4&lt;&gt;"",$Z4&lt;&gt;"",$AA4&lt;&gt;"",$AB4&lt;&gt;"",$AC4&lt;&gt;"")),"area",IF(AND(INDEX('DADOS_FORMAS'!$BL$2:$BL$11,MAX(1,$AE4))="area",OR($P4&lt;&gt;"",$Q4&lt;&gt;"",$R4&lt;&gt;"",$S4&lt;&gt;"",$T4&lt;&gt;"",$U4&lt;&gt;"",$V4&lt;&gt;"")),"alcance",""))="alcance",1,IF($O4="comprimento",3,2))),IF($AE4&gt;0,INDEX('DADOS_FORMAS'!$BS$2:$BS$11,MAX(1,$AE4)),IF($O4="comprimento",3,2)))</f>
        <v/>
      </c>
      <c r="DJ4">
        <f>IF(AND(ISTEXT($B4),$B4&lt;&gt;"",TRIM($B4)=$B4),"","NOME precisa ser texto sem espaços nas pontas")</f>
        <v/>
      </c>
      <c r="DK4">
        <f>IF(COUNTIF('DADOS_FORMAS'!$B$2:$B$11,SUBSTITUTE(SUBSTITUTE(SUBSTITUTE($B4,"~","~~"),"*","~*"),"?","~?"))+COUNTIF('DADOS_FORMAS'!$AH$2:$AH$11,SUBSTITUTE(SUBSTITUTE(SUBSTITUTE($B4,"~","~~"),"*","~*"),"?","~?"))=1,"","Nome repetido no livro ou custom")</f>
        <v/>
      </c>
      <c r="DL4">
        <f>IF($AE4&gt;=0,"","BASE DO LIVRO inválida para o grupo")</f>
        <v/>
      </c>
      <c r="DM4">
        <f>IF(OR($BV4="Forma"),"","TIPO inválido para o grupo")</f>
        <v/>
      </c>
      <c r="DN4">
        <f>IF(ISLOGICAL($BY4),"","MESTRE VIU precisa ser caixa de seleção")</f>
        <v/>
      </c>
      <c r="DO4">
        <f>IF(ISTEXT($CA4),"","EFEITO precisa ser texto")</f>
        <v/>
      </c>
      <c r="DP4">
        <f>IF(ISTEXT($BZ4),"","REQUISITOS precisa ser texto")</f>
        <v/>
      </c>
      <c r="DQ4">
        <f>IF(IFERROR(AND(ISNUMBER($CC4),NOT(ISLOGICAL($CC4)),$CC4=INT($CC4),$CC4&gt;=0,$CC4&lt;=3),FALSE),"","PESO exige 0/1/2/3")</f>
        <v/>
      </c>
      <c r="DR4">
        <f>IF(IFERROR(AND(ISNUMBER($CE4),NOT(ISLOGICAL($CE4)),$CE4=INT($CE4),$CE4&gt;=0,$CE4&lt;=3),FALSE),"","RESULTADO exige 0/1/2/3")</f>
        <v/>
      </c>
      <c r="DS4">
        <f>IF(ISLOGICAL($CF4),"","EXIGE_TR exige Sim/Não")</f>
        <v/>
      </c>
      <c r="DT4">
        <f>IF(ISLOGICAL($CG4),"","CLASSE_0 exige Sim/Não")</f>
        <v/>
      </c>
      <c r="DU4">
        <f>IF(OR($CD4="Acerto",$CD4="TR, metade",$CD4="Automático"),"","RESOLUÇÃO inválida")</f>
        <v/>
      </c>
      <c r="DV4">
        <f>IF(OR($CB4="",COUNTIF('DADOS_CRIACAO'!$H$2:$H$20,SUBSTITUTE(SUBSTITUTE(SUBSTITUTE($CB4,"~","~~"),"*","~*"),"?","~?"))&gt;0),"","FAMÍLIA não cadastrada ou inválida")</f>
        <v/>
      </c>
      <c r="DW4">
        <f>IF(OR($CH4="",IFERROR(MATCH(SUBSTITUTE(SUBSTITUTE(SUBSTITUTE($CH4,"~","~~"),"*","~*"),"?","~?"),INDEX('DADOS_RESTRICOES'!$M$2:$Q$54,0,1),0),0)&gt;0),"","RESTRIÇÃO EMBUTIDA inválida")</f>
        <v/>
      </c>
      <c r="DX4">
        <f>IF(OR($CI4="Fixo",$CI4="alcance"),"","ESCADA inválida para alcance")</f>
        <v/>
      </c>
      <c r="DY4">
        <f>IF(OR(NOT(AND($CG4,OR($DA4="alcance",$DE4="alcance"))),$CK4&lt;&gt;""),"","Base de alcance ausente: personagem/classe_0")</f>
        <v/>
      </c>
      <c r="DZ4">
        <f>IF(ISTEXT($CK4),"","Base precisa ser texto: alcance/personagem/classe_0")</f>
        <v/>
      </c>
      <c r="EA4">
        <f>IF(OR(NOT(AND($CG4,OR($DA4="alcance",$DE4="alcance"))),$CI4="Fixo",$CK4="",$CK4="—",AND(RIGHT($CK4,2)=" m",IFERROR(VALUE(SUBSTITUTE(LEFT($CK4,MAX(0,LEN($CK4)-2)),",",""))/10^IFERROR(LEN(LEFT($CK4,MAX(0,LEN($CK4)-2)))-FIND(",",LEFT($CK4,MAX(0,LEN($CK4)-2))),0),-1)&gt;0)),"","Base incompatível com escada: alcance/personagem/classe_0")</f>
        <v/>
      </c>
      <c r="EB4">
        <f>IF(OR(NOT(OR($DA4="alcance",$DE4="alcance")),$CL4&lt;&gt;""),"","Base de alcance ausente: personagem/classes_1_a_5")</f>
        <v/>
      </c>
      <c r="EC4">
        <f>IF(ISTEXT($CL4),"","Base precisa ser texto: alcance/personagem/classes_1_a_5")</f>
        <v/>
      </c>
      <c r="ED4">
        <f>IF(OR(NOT(OR($DA4="alcance",$DE4="alcance")),$CI4="Fixo",$CL4="",$CL4="—",AND(RIGHT($CL4,2)=" m",IFERROR(VALUE(SUBSTITUTE(LEFT($CL4,MAX(0,LEN($CL4)-2)),",",""))/10^IFERROR(LEN(LEFT($CL4,MAX(0,LEN($CL4)-2)))-FIND(",",LEFT($CL4,MAX(0,LEN($CL4)-2))),0),-1)&gt;0)),"","Base incompatível com escada: alcance/personagem/classes_1_a_5")</f>
        <v/>
      </c>
      <c r="EE4">
        <f>IF(OR(NOT(OR($DA4="alcance",$DE4="alcance")),$CM4&lt;&gt;""),"","Base de alcance ausente: personagem/classes_6_e_7")</f>
        <v/>
      </c>
      <c r="EF4">
        <f>IF(ISTEXT($CM4),"","Base precisa ser texto: alcance/personagem/classes_6_e_7")</f>
        <v/>
      </c>
      <c r="EG4">
        <f>IF(OR(NOT(OR($DA4="alcance",$DE4="alcance")),$CI4="Fixo",$CM4="",$CM4="—",AND(RIGHT($CM4,2)=" m",IFERROR(VALUE(SUBSTITUTE(LEFT($CM4,MAX(0,LEN($CM4)-2)),",",""))/10^IFERROR(LEN(LEFT($CM4,MAX(0,LEN($CM4)-2)))-FIND(",",LEFT($CM4,MAX(0,LEN($CM4)-2))),0),-1)&gt;0)),"","Base incompatível com escada: alcance/personagem/classes_6_e_7")</f>
        <v/>
      </c>
      <c r="EH4">
        <f>IF(OR(NOT(AND($CG4,OR($DA4="alcance",$DE4="alcance"))),$CN4&lt;&gt;""),"","Base de alcance ausente: entidade/classe_0")</f>
        <v/>
      </c>
      <c r="EI4">
        <f>IF(ISTEXT($CN4),"","Base precisa ser texto: alcance/entidade/classe_0")</f>
        <v/>
      </c>
      <c r="EJ4">
        <f>IF(OR(NOT(AND($CG4,OR($DA4="alcance",$DE4="alcance"))),$CI4="Fixo",$CN4="",$CN4="—",AND(RIGHT($CN4,2)=" m",IFERROR(VALUE(SUBSTITUTE(LEFT($CN4,MAX(0,LEN($CN4)-2)),",",""))/10^IFERROR(LEN(LEFT($CN4,MAX(0,LEN($CN4)-2)))-FIND(",",LEFT($CN4,MAX(0,LEN($CN4)-2))),0),-1)&gt;0)),"","Base incompatível com escada: alcance/entidade/classe_0")</f>
        <v/>
      </c>
      <c r="EK4">
        <f>IF(OR(NOT(OR($DA4="alcance",$DE4="alcance")),$CO4&lt;&gt;""),"","Base de alcance ausente: entidade/classes_1_a_5")</f>
        <v/>
      </c>
      <c r="EL4">
        <f>IF(ISTEXT($CO4),"","Base precisa ser texto: alcance/entidade/classes_1_a_5")</f>
        <v/>
      </c>
      <c r="EM4">
        <f>IF(OR(NOT(OR($DA4="alcance",$DE4="alcance")),$CI4="Fixo",$CO4="",$CO4="—",AND(RIGHT($CO4,2)=" m",IFERROR(VALUE(SUBSTITUTE(LEFT($CO4,MAX(0,LEN($CO4)-2)),",",""))/10^IFERROR(LEN(LEFT($CO4,MAX(0,LEN($CO4)-2)))-FIND(",",LEFT($CO4,MAX(0,LEN($CO4)-2))),0),-1)&gt;0)),"","Base incompatível com escada: alcance/entidade/classes_1_a_5")</f>
        <v/>
      </c>
      <c r="EN4">
        <f>IF(OR(NOT(OR($DA4="alcance",$DE4="alcance")),$CP4&lt;&gt;""),"","Base de alcance ausente: entidade/classe_6")</f>
        <v/>
      </c>
      <c r="EO4">
        <f>IF(ISTEXT($CP4),"","Base precisa ser texto: alcance/entidade/classe_6")</f>
        <v/>
      </c>
      <c r="EP4">
        <f>IF(OR(NOT(OR($DA4="alcance",$DE4="alcance")),$CI4="Fixo",$CP4="",$CP4="—",AND(RIGHT($CP4,2)=" m",IFERROR(VALUE(SUBSTITUTE(LEFT($CP4,MAX(0,LEN($CP4)-2)),",",""))/10^IFERROR(LEN(LEFT($CP4,MAX(0,LEN($CP4)-2)))-FIND(",",LEFT($CP4,MAX(0,LEN($CP4)-2))),0),-1)&gt;0)),"","Base incompatível com escada: alcance/entidade/classe_6")</f>
        <v/>
      </c>
      <c r="EQ4">
        <f>IF(OR(NOT(OR($DA4="alcance",$DE4="alcance")),$CQ4&lt;&gt;""),"","Base de alcance ausente: entidade/classe_7")</f>
        <v/>
      </c>
      <c r="ER4">
        <f>IF(ISTEXT($CQ4),"","Base precisa ser texto: alcance/entidade/classe_7")</f>
        <v/>
      </c>
      <c r="ES4">
        <f>IF(OR(NOT(OR($DA4="alcance",$DE4="alcance")),$CI4="Fixo",$CQ4="",$CQ4="—",AND(RIGHT($CQ4,2)=" m",IFERROR(VALUE(SUBSTITUTE(LEFT($CQ4,MAX(0,LEN($CQ4)-2)),",",""))/10^IFERROR(LEN(LEFT($CQ4,MAX(0,LEN($CQ4)-2)))-FIND(",",LEFT($CQ4,MAX(0,LEN($CQ4)-2))),0),-1)&gt;0)),"","Base incompatível com escada: alcance/entidade/classe_7")</f>
        <v/>
      </c>
      <c r="ET4">
        <f>IF(OR($CJ4="Fixo",$CJ4="raio",$CJ4="comprimento"),"","ESCADA inválida para area")</f>
        <v/>
      </c>
      <c r="EU4">
        <f>IF(ISTEXT($CR4),"","Base precisa ser texto: area/personagem/classe_0")</f>
        <v/>
      </c>
      <c r="EV4">
        <f>IF(OR(NOT(AND($CG4,OR($DA4="area",$DE4="area"))),$CJ4="Fixo",$CR4="",$CR4="—",AND(AND(AND(RIGHT($CR4,2)=" m",IFERROR(VALUE(SUBSTITUTE(LEFT($CR4,MAX(0,LEN($CR4)-2)),",",""))/10^IFERROR(LEN(LEFT($CR4,MAX(0,LEN($CR4)-2)))-FIND(",",LEFT($CR4,MAX(0,LEN($CR4)-2))),0),-1)&gt;0),OR($CJ4&lt;&gt;"raio",IFERROR(VALUE(SUBSTITUTE(LEFT($CR4,MAX(0,LEN($CR4)-2)),",",""))/10^IFERROR(LEN(LEFT($CR4,MAX(0,LEN($CR4)-2)))-FIND(",",LEFT($CR4,MAX(0,LEN($CR4)-2))),0),-1)&lt;=15.0)),OR($CJ4&lt;&gt;"comprimento",IFERROR(VALUE(SUBSTITUTE(LEFT($CR4,MAX(0,LEN($CR4)-2)),",",""))/10^IFERROR(LEN(LEFT($CR4,MAX(0,LEN($CR4)-2)))-FIND(",",LEFT($CR4,MAX(0,LEN($CR4)-2))),0),-1)&lt;=60.0))),"","Base incompatível com escada: area/personagem/classe_0")</f>
        <v/>
      </c>
      <c r="EW4">
        <f>IF(ISTEXT($CS4),"","Base precisa ser texto: area/personagem/classes_1_a_5")</f>
        <v/>
      </c>
      <c r="EX4">
        <f>IF(OR(NOT(OR($DA4="area",$DE4="area")),$CJ4="Fixo",$CS4="",$CS4="—",AND(AND(AND(RIGHT($CS4,2)=" m",IFERROR(VALUE(SUBSTITUTE(LEFT($CS4,MAX(0,LEN($CS4)-2)),",",""))/10^IFERROR(LEN(LEFT($CS4,MAX(0,LEN($CS4)-2)))-FIND(",",LEFT($CS4,MAX(0,LEN($CS4)-2))),0),-1)&gt;0),OR($CJ4&lt;&gt;"raio",IFERROR(VALUE(SUBSTITUTE(LEFT($CS4,MAX(0,LEN($CS4)-2)),",",""))/10^IFERROR(LEN(LEFT($CS4,MAX(0,LEN($CS4)-2)))-FIND(",",LEFT($CS4,MAX(0,LEN($CS4)-2))),0),-1)&lt;=15.0)),OR($CJ4&lt;&gt;"comprimento",IFERROR(VALUE(SUBSTITUTE(LEFT($CS4,MAX(0,LEN($CS4)-2)),",",""))/10^IFERROR(LEN(LEFT($CS4,MAX(0,LEN($CS4)-2)))-FIND(",",LEFT($CS4,MAX(0,LEN($CS4)-2))),0),-1)&lt;=60.0))),"","Base incompatível com escada: area/personagem/classes_1_a_5")</f>
        <v/>
      </c>
      <c r="EY4">
        <f>IF(ISTEXT($CT4),"","Base precisa ser texto: area/personagem/classes_6_e_7")</f>
        <v/>
      </c>
      <c r="EZ4">
        <f>IF(OR(NOT(OR($DA4="area",$DE4="area")),$CJ4="Fixo",$CT4="",$CT4="—",AND(AND(AND(RIGHT($CT4,2)=" m",IFERROR(VALUE(SUBSTITUTE(LEFT($CT4,MAX(0,LEN($CT4)-2)),",",""))/10^IFERROR(LEN(LEFT($CT4,MAX(0,LEN($CT4)-2)))-FIND(",",LEFT($CT4,MAX(0,LEN($CT4)-2))),0),-1)&gt;0),OR($CJ4&lt;&gt;"raio",IFERROR(VALUE(SUBSTITUTE(LEFT($CT4,MAX(0,LEN($CT4)-2)),",",""))/10^IFERROR(LEN(LEFT($CT4,MAX(0,LEN($CT4)-2)))-FIND(",",LEFT($CT4,MAX(0,LEN($CT4)-2))),0),-1)&lt;=15.0)),OR($CJ4&lt;&gt;"comprimento",IFERROR(VALUE(SUBSTITUTE(LEFT($CT4,MAX(0,LEN($CT4)-2)),",",""))/10^IFERROR(LEN(LEFT($CT4,MAX(0,LEN($CT4)-2)))-FIND(",",LEFT($CT4,MAX(0,LEN($CT4)-2))),0),-1)&lt;=60.0))),"","Base incompatível com escada: area/personagem/classes_6_e_7")</f>
        <v/>
      </c>
      <c r="FA4">
        <f>IF(ISTEXT($CU4),"","Base precisa ser texto: area/entidade/classe_0")</f>
        <v/>
      </c>
      <c r="FB4">
        <f>IF(OR(NOT(AND($CG4,OR($DA4="area",$DE4="area"))),$CJ4="Fixo",$CU4="",$CU4="—",AND(AND(AND(RIGHT($CU4,2)=" m",IFERROR(VALUE(SUBSTITUTE(LEFT($CU4,MAX(0,LEN($CU4)-2)),",",""))/10^IFERROR(LEN(LEFT($CU4,MAX(0,LEN($CU4)-2)))-FIND(",",LEFT($CU4,MAX(0,LEN($CU4)-2))),0),-1)&gt;0),OR($CJ4&lt;&gt;"raio",IFERROR(VALUE(SUBSTITUTE(LEFT($CU4,MAX(0,LEN($CU4)-2)),",",""))/10^IFERROR(LEN(LEFT($CU4,MAX(0,LEN($CU4)-2)))-FIND(",",LEFT($CU4,MAX(0,LEN($CU4)-2))),0),-1)&lt;=15.0)),OR($CJ4&lt;&gt;"comprimento",IFERROR(VALUE(SUBSTITUTE(LEFT($CU4,MAX(0,LEN($CU4)-2)),",",""))/10^IFERROR(LEN(LEFT($CU4,MAX(0,LEN($CU4)-2)))-FIND(",",LEFT($CU4,MAX(0,LEN($CU4)-2))),0),-1)&lt;=60.0))),"","Base incompatível com escada: area/entidade/classe_0")</f>
        <v/>
      </c>
      <c r="FC4">
        <f>IF(ISTEXT($CV4),"","Base precisa ser texto: area/entidade/classes_1_a_5")</f>
        <v/>
      </c>
      <c r="FD4">
        <f>IF(OR(NOT(OR($DA4="area",$DE4="area")),$CJ4="Fixo",$CV4="",$CV4="—",AND(AND(AND(RIGHT($CV4,2)=" m",IFERROR(VALUE(SUBSTITUTE(LEFT($CV4,MAX(0,LEN($CV4)-2)),",",""))/10^IFERROR(LEN(LEFT($CV4,MAX(0,LEN($CV4)-2)))-FIND(",",LEFT($CV4,MAX(0,LEN($CV4)-2))),0),-1)&gt;0),OR($CJ4&lt;&gt;"raio",IFERROR(VALUE(SUBSTITUTE(LEFT($CV4,MAX(0,LEN($CV4)-2)),",",""))/10^IFERROR(LEN(LEFT($CV4,MAX(0,LEN($CV4)-2)))-FIND(",",LEFT($CV4,MAX(0,LEN($CV4)-2))),0),-1)&lt;=15.0)),OR($CJ4&lt;&gt;"comprimento",IFERROR(VALUE(SUBSTITUTE(LEFT($CV4,MAX(0,LEN($CV4)-2)),",",""))/10^IFERROR(LEN(LEFT($CV4,MAX(0,LEN($CV4)-2)))-FIND(",",LEFT($CV4,MAX(0,LEN($CV4)-2))),0),-1)&lt;=60.0))),"","Base incompatível com escada: area/entidade/classes_1_a_5")</f>
        <v/>
      </c>
      <c r="FE4">
        <f>IF(ISTEXT($CW4),"","Base precisa ser texto: area/entidade/classe_6")</f>
        <v/>
      </c>
      <c r="FF4">
        <f>IF(OR(NOT(OR($DA4="area",$DE4="area")),$CJ4="Fixo",$CW4="",$CW4="—",AND(AND(AND(RIGHT($CW4,2)=" m",IFERROR(VALUE(SUBSTITUTE(LEFT($CW4,MAX(0,LEN($CW4)-2)),",",""))/10^IFERROR(LEN(LEFT($CW4,MAX(0,LEN($CW4)-2)))-FIND(",",LEFT($CW4,MAX(0,LEN($CW4)-2))),0),-1)&gt;0),OR($CJ4&lt;&gt;"raio",IFERROR(VALUE(SUBSTITUTE(LEFT($CW4,MAX(0,LEN($CW4)-2)),",",""))/10^IFERROR(LEN(LEFT($CW4,MAX(0,LEN($CW4)-2)))-FIND(",",LEFT($CW4,MAX(0,LEN($CW4)-2))),0),-1)&lt;=15.0)),OR($CJ4&lt;&gt;"comprimento",IFERROR(VALUE(SUBSTITUTE(LEFT($CW4,MAX(0,LEN($CW4)-2)),",",""))/10^IFERROR(LEN(LEFT($CW4,MAX(0,LEN($CW4)-2)))-FIND(",",LEFT($CW4,MAX(0,LEN($CW4)-2))),0),-1)&lt;=60.0))),"","Base incompatível com escada: area/entidade/classe_6")</f>
        <v/>
      </c>
      <c r="FG4">
        <f>IF(ISTEXT($CX4),"","Base precisa ser texto: area/entidade/classe_7")</f>
        <v/>
      </c>
      <c r="FH4">
        <f>IF(OR(NOT(OR($DA4="area",$DE4="area")),$CJ4="Fixo",$CX4="",$CX4="—",AND(AND(AND(RIGHT($CX4,2)=" m",IFERROR(VALUE(SUBSTITUTE(LEFT($CX4,MAX(0,LEN($CX4)-2)),",",""))/10^IFERROR(LEN(LEFT($CX4,MAX(0,LEN($CX4)-2)))-FIND(",",LEFT($CX4,MAX(0,LEN($CX4)-2))),0),-1)&gt;0),OR($CJ4&lt;&gt;"raio",IFERROR(VALUE(SUBSTITUTE(LEFT($CX4,MAX(0,LEN($CX4)-2)),",",""))/10^IFERROR(LEN(LEFT($CX4,MAX(0,LEN($CX4)-2)))-FIND(",",LEFT($CX4,MAX(0,LEN($CX4)-2))),0),-1)&lt;=15.0)),OR($CJ4&lt;&gt;"comprimento",IFERROR(VALUE(SUBSTITUTE(LEFT($CX4,MAX(0,LEN($CX4)-2)),",",""))/10^IFERROR(LEN(LEFT($CX4,MAX(0,LEN($CX4)-2)))-FIND(",",LEFT($CX4,MAX(0,LEN($CX4)-2))),0),-1)&lt;=60.0))),"","Base incompatível com escada: area/entidade/classe_7")</f>
        <v/>
      </c>
      <c r="FJ4">
        <f>'DADOS_FORMAS'!$AH4</f>
        <v/>
      </c>
      <c r="FK4">
        <f>'DADOS_FORMAS'!$AM4</f>
        <v/>
      </c>
      <c r="FL4">
        <f>'DADOS_FORMAS'!$AN4</f>
        <v/>
      </c>
      <c r="FM4">
        <f>IF('DADOS_FORMAS'!$AN4=0,0,'DADOS_FORMAS'!$AN4+3*IFERROR(VLOOKUP(SUBSTITUTE(SUBSTITUTE(SUBSTITUTE('DADOS_FORMAS'!$AM4,"~","~~"),"*","~*"),"?","~?"),'DADOS_CRIACAO'!$H$2:$K$20,3,FALSE),0))</f>
        <v/>
      </c>
      <c r="FN4">
        <f>IFERROR(VLOOKUP(SUBSTITUTE(SUBSTITUTE(SUBSTITUTE('DADOS_FORMAS'!$AM4,"~","~~"),"*","~*"),"?","~?"),'DADOS_CRIACAO'!$H$2:$K$20,4,FALSE),0)</f>
        <v/>
      </c>
      <c r="FO4">
        <f>IF('DADOS_FORMAS'!$AS4="",0,1)</f>
        <v/>
      </c>
      <c r="FP4">
        <f>'DADOS_FORMAS'!$AP4</f>
        <v/>
      </c>
      <c r="FQ4">
        <f>IF(AND('DADOS_FORMAS'!$AO4="Acerto",'DADOS_FORMAS'!$AQ4),"Acerto + TR",'DADOS_FORMAS'!$AO4)</f>
        <v/>
      </c>
      <c r="FR4">
        <f>N(OR('DADOS_FORMAS'!$AQ4,'DADOS_FORMAS'!$AO4="TR, metade"))</f>
        <v/>
      </c>
      <c r="FS4">
        <f>'DADOS_FORMAS'!$BO4</f>
        <v/>
      </c>
      <c r="FT4">
        <f>'DADOS_FORMAS'!$BS4</f>
        <v/>
      </c>
      <c r="FU4">
        <f>'DADOS_FORMAS'!$BK4</f>
        <v/>
      </c>
      <c r="FV4">
        <f>N('DADOS_FORMAS'!$AR4)</f>
        <v/>
      </c>
      <c r="FW4">
        <f>IF(IFERROR(VLOOKUP(SUBSTITUTE(SUBSTITUTE(SUBSTITUTE('DADOS_FORMAS'!$AM4,"~","~~"),"*","~*"),"?","~?"),'DADOS_CRIACAO'!$H$2:$K$20,4,FALSE),0)=1,"",'DADOS_FORMAS'!$AH4)</f>
        <v/>
      </c>
      <c r="FX4">
        <f>IF(AND('DADOS_FORMAS'!$AR4,IFERROR(VLOOKUP(SUBSTITUTE(SUBSTITUTE(SUBSTITUTE('DADOS_FORMAS'!$AM4,"~","~~"),"*","~*"),"?","~?"),'DADOS_CRIACAO'!$H$2:$K$20,4,FALSE),0)=0),'DADOS_FORMAS'!$AH4,"")</f>
        <v/>
      </c>
      <c r="FZ4">
        <f>'DADOS_FORMAS'!$AH4</f>
        <v/>
      </c>
      <c r="GA4">
        <f>'DADOS_FORMAS'!$AM4</f>
        <v/>
      </c>
      <c r="GB4">
        <f>'DADOS_FORMAS'!$AN4</f>
        <v/>
      </c>
      <c r="GC4">
        <f>IF('DADOS_FORMAS'!$AS4="",0,1)</f>
        <v/>
      </c>
      <c r="GD4">
        <f>'DADOS_FORMAS'!$AP4</f>
        <v/>
      </c>
      <c r="GE4">
        <f>IF('DADOS_FORMAS'!$AO4="Acerto","Ataque",IF('DADOS_FORMAS'!$AQ4,"TR","—"))</f>
        <v/>
      </c>
      <c r="GF4">
        <f>N(OR('DADOS_FORMAS'!$AQ4,'DADOS_FORMAS'!$AO4="TR, metade"))</f>
        <v/>
      </c>
      <c r="GG4">
        <f>'DADOS_FORMAS'!$BO4</f>
        <v/>
      </c>
      <c r="GH4">
        <f>'DADOS_FORMAS'!$BS4</f>
        <v/>
      </c>
      <c r="GI4">
        <f>'DADOS_FORMAS'!$BK4</f>
        <v/>
      </c>
      <c r="GJ4">
        <f>N('DADOS_FORMAS'!$AR4)</f>
        <v/>
      </c>
      <c r="GL4" t="inlineStr">
        <is>
          <t>18 m</t>
        </is>
      </c>
      <c r="GN4" t="inlineStr">
        <is>
          <t>6 m</t>
        </is>
      </c>
      <c r="GP4" t="inlineStr">
        <is>
          <t>18 m</t>
        </is>
      </c>
      <c r="GR4">
        <f>'DADOS_FORMAS'!$BL12</f>
        <v/>
      </c>
      <c r="GS4">
        <f>IF('DADOS_FORMAS'!$BL12="area",'DADOS_FORMAS'!$AU12,'DADOS_FORMAS'!$AT12)</f>
        <v/>
      </c>
      <c r="GT4">
        <f>IF('DADOS_FORMAS'!$BL12="area",'DADOS_FORMAS'!$BD12,'DADOS_FORMAS'!$AW12)</f>
        <v/>
      </c>
      <c r="GU4">
        <f>'DADOS_FORMAS'!$BM12</f>
        <v/>
      </c>
      <c r="GV4">
        <f>'DADOS_FORMAS'!$BN12</f>
        <v/>
      </c>
      <c r="GW4">
        <f>LET(base,'DADOS_FORMAS'!$GT4,escada,'DADOS_FORMAS'!$GS4,medida,LEFT(base,MAX(0,LEN(base)-2)),valor,IFERROR(VALUE(SUBSTITUTE(medida,",",""))/10^IFERROR(LEN(medida)-FIND(",",medida),0),1E99),IF(OR(escada="Fixo",base="—"),base,IF(escada="alcance",IFERROR(MATCH(base,{"1,5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 t="inlineStr">
        <is>
          <t>Projétil · classes 6 e 7</t>
        </is>
      </c>
      <c r="GZ4" t="inlineStr">
        <is>
          <t>36 m, um alvo</t>
        </is>
      </c>
      <c r="HA4" t="inlineStr">
        <is>
          <t>90 m, um alvo</t>
        </is>
      </c>
      <c r="HB4" t="inlineStr">
        <is>
          <t>Visão a olho nu, um alvo</t>
        </is>
      </c>
      <c r="HC4" t="inlineStr">
        <is>
          <t>Visão a olho nu, um alvo</t>
        </is>
      </c>
      <c r="HD4" t="inlineStr">
        <is>
          <t>Visão a olho nu, um alvo</t>
        </is>
      </c>
      <c r="HE4" t="inlineStr">
        <is>
          <t>Visão a olho nu, um alvo</t>
        </is>
      </c>
      <c r="HF4" t="inlineStr"/>
      <c r="HG4" t="inlineStr"/>
      <c r="HH4" t="inlineStr"/>
      <c r="HI4" t="inlineStr"/>
      <c r="HJ4" t="inlineStr"/>
      <c r="HK4" t="inlineStr"/>
      <c r="HM4">
        <f>'DADOS_FORMAS'!$BL12</f>
        <v/>
      </c>
      <c r="HN4">
        <f>IF('DADOS_FORMAS'!$BL12="area",'DADOS_FORMAS'!$AU12,'DADOS_FORMAS'!$AT12)</f>
        <v/>
      </c>
      <c r="HO4">
        <f>IF('DADOS_FORMAS'!$BL12="area",'DADOS_FORMAS'!$BG12,'DADOS_FORMAS'!$AZ12)</f>
        <v/>
      </c>
      <c r="HP4">
        <f>'DADOS_FORMAS'!$BM12</f>
        <v/>
      </c>
      <c r="HQ4">
        <f>'DADOS_FORMAS'!$BN12</f>
        <v/>
      </c>
      <c r="HR4">
        <f>LET(base,'DADOS_FORMAS'!$HO4,escada,'DADOS_FORMAS'!$HN4,medida,LEFT(base,MAX(0,LEN(base)-2)),valor,IFERROR(VALUE(SUBSTITUTE(medida,",",""))/10^IFERROR(LEN(medida)-FIND(",",medida),0),1E99),IF(OR(escada="Fixo",base="—"),base,IF(escada="alcance",IFERROR(MATCH(base,{"1,5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 t="inlineStr">
        <is>
          <t>Projétil · classe 6</t>
        </is>
      </c>
      <c r="HU4" t="inlineStr">
        <is>
          <t>36 m, um alvo</t>
        </is>
      </c>
      <c r="HV4" t="inlineStr">
        <is>
          <t>90 m, um alvo</t>
        </is>
      </c>
      <c r="HW4" t="inlineStr">
        <is>
          <t>Visão a olho nu, um alvo</t>
        </is>
      </c>
      <c r="HX4" t="inlineStr">
        <is>
          <t>Visão a olho nu, um alvo</t>
        </is>
      </c>
      <c r="HY4" t="inlineStr">
        <is>
          <t>Visão a olho nu, um alvo</t>
        </is>
      </c>
      <c r="HZ4" t="inlineStr">
        <is>
          <t>Visão a olho nu, um alvo</t>
        </is>
      </c>
      <c r="IA4" t="inlineStr"/>
      <c r="IB4" t="inlineStr"/>
      <c r="IC4" t="inlineStr"/>
      <c r="ID4" t="inlineStr"/>
      <c r="IE4" t="inlineStr"/>
      <c r="IF4" t="inlineStr"/>
      <c r="IH4">
        <f>IF(OR('DADOS_FORMAS'!$AM4='INVOCAÇÕES'!$O$48,'DADOS_FORMAS'!$AM4='INVOCAÇÕES'!$P$48,'DADOS_FORMAS'!$AM4='INVOCAÇÕES'!$Q$48,'DADOS_FORMAS'!$AM4='INVOCAÇÕES'!$R$48,'DADOS_FORMAS'!$AM4='INVOCAÇÕES'!$S$48,'DADOS_FORMAS'!$AM4='INVOCAÇÕES'!$O$50,'DADOS_FORMAS'!$AM4='INVOCAÇÕES'!$P$50,'DADOS_FORMAS'!$AM4='INVOCAÇÕES'!$Q$50,'DADOS_FORMAS'!$AM4='INVOCAÇÕES'!$R$50,'DADOS_FORMAS'!$AM4=""),'DADOS_FORMAS'!$AH4,"")</f>
        <v/>
      </c>
      <c r="II4">
        <f>IF(AND(OR('DADOS_FORMAS'!$AM4='INVOCAÇÕES'!$O$48,'DADOS_FORMAS'!$AM4='INVOCAÇÕES'!$P$48,'DADOS_FORMAS'!$AM4='INVOCAÇÕES'!$Q$48,'DADOS_FORMAS'!$AM4='INVOCAÇÕES'!$R$48,'DADOS_FORMAS'!$AM4='INVOCAÇÕES'!$S$48,'DADOS_FORMAS'!$AM4='INVOCAÇÕES'!$O$50,'DADOS_FORMAS'!$AM4='INVOCAÇÕES'!$P$50,'DADOS_FORMAS'!$AM4='INVOCAÇÕES'!$Q$50,'DADOS_FORMAS'!$AM4='INVOCAÇÕES'!$R$50,'DADOS_FORMAS'!$AM4=""),'DADOS_FORMAS'!$AR4),'DADOS_FORMAS'!$AH4,"")</f>
        <v/>
      </c>
      <c r="IK4">
        <f>IF(OR('DADOS_FORMAS'!$AM4='INVOCAÇÕES'!$O$259,'DADOS_FORMAS'!$AM4='INVOCAÇÕES'!$P$259,'DADOS_FORMAS'!$AM4='INVOCAÇÕES'!$Q$259,'DADOS_FORMAS'!$AM4='INVOCAÇÕES'!$R$259,'DADOS_FORMAS'!$AM4='INVOCAÇÕES'!$S$259,'DADOS_FORMAS'!$AM4='INVOCAÇÕES'!$O$261,'DADOS_FORMAS'!$AM4='INVOCAÇÕES'!$P$261,'DADOS_FORMAS'!$AM4='INVOCAÇÕES'!$Q$261,'DADOS_FORMAS'!$AM4='INVOCAÇÕES'!$R$261,'DADOS_FORMAS'!$AM4=""),'DADOS_FORMAS'!$AH4,"")</f>
        <v/>
      </c>
      <c r="IL4">
        <f>IF(AND(OR('DADOS_FORMAS'!$AM4='INVOCAÇÕES'!$O$259,'DADOS_FORMAS'!$AM4='INVOCAÇÕES'!$P$259,'DADOS_FORMAS'!$AM4='INVOCAÇÕES'!$Q$259,'DADOS_FORMAS'!$AM4='INVOCAÇÕES'!$R$259,'DADOS_FORMAS'!$AM4='INVOCAÇÕES'!$S$259,'DADOS_FORMAS'!$AM4='INVOCAÇÕES'!$O$261,'DADOS_FORMAS'!$AM4='INVOCAÇÕES'!$P$261,'DADOS_FORMAS'!$AM4='INVOCAÇÕES'!$Q$261,'DADOS_FORMAS'!$AM4='INVOCAÇÕES'!$R$261,'DADOS_FORMAS'!$AM4=""),'DADOS_FORMAS'!$AR4),'DADOS_FORMAS'!$AH4,"")</f>
        <v/>
      </c>
      <c r="IN4">
        <f>IF(OR('DADOS_FORMAS'!$AM4='INVOCAÇÕES'!$O$470,'DADOS_FORMAS'!$AM4='INVOCAÇÕES'!$P$470,'DADOS_FORMAS'!$AM4='INVOCAÇÕES'!$Q$470,'DADOS_FORMAS'!$AM4='INVOCAÇÕES'!$R$470,'DADOS_FORMAS'!$AM4='INVOCAÇÕES'!$S$470,'DADOS_FORMAS'!$AM4='INVOCAÇÕES'!$O$472,'DADOS_FORMAS'!$AM4='INVOCAÇÕES'!$P$472,'DADOS_FORMAS'!$AM4='INVOCAÇÕES'!$Q$472,'DADOS_FORMAS'!$AM4='INVOCAÇÕES'!$R$472,'DADOS_FORMAS'!$AM4=""),'DADOS_FORMAS'!$AH4,"")</f>
        <v/>
      </c>
      <c r="IO4">
        <f>IF(AND(OR('DADOS_FORMAS'!$AM4='INVOCAÇÕES'!$O$470,'DADOS_FORMAS'!$AM4='INVOCAÇÕES'!$P$470,'DADOS_FORMAS'!$AM4='INVOCAÇÕES'!$Q$470,'DADOS_FORMAS'!$AM4='INVOCAÇÕES'!$R$470,'DADOS_FORMAS'!$AM4='INVOCAÇÕES'!$S$470,'DADOS_FORMAS'!$AM4='INVOCAÇÕES'!$O$472,'DADOS_FORMAS'!$AM4='INVOCAÇÕES'!$P$472,'DADOS_FORMAS'!$AM4='INVOCAÇÕES'!$Q$472,'DADOS_FORMAS'!$AM4='INVOCAÇÕES'!$R$472,'DADOS_FORMAS'!$AM4=""),'DADOS_FORMAS'!$AR4),'DADOS_FORMAS'!$AH4,"")</f>
        <v/>
      </c>
      <c r="IQ4">
        <f>IF(OR('DADOS_FORMAS'!$AM4='INVOCAÇÕES'!$O$681,'DADOS_FORMAS'!$AM4='INVOCAÇÕES'!$P$681,'DADOS_FORMAS'!$AM4='INVOCAÇÕES'!$Q$681,'DADOS_FORMAS'!$AM4='INVOCAÇÕES'!$R$681,'DADOS_FORMAS'!$AM4='INVOCAÇÕES'!$S$681,'DADOS_FORMAS'!$AM4='INVOCAÇÕES'!$O$683,'DADOS_FORMAS'!$AM4='INVOCAÇÕES'!$P$683,'DADOS_FORMAS'!$AM4='INVOCAÇÕES'!$Q$683,'DADOS_FORMAS'!$AM4='INVOCAÇÕES'!$R$683,'DADOS_FORMAS'!$AM4=""),'DADOS_FORMAS'!$AH4,"")</f>
        <v/>
      </c>
      <c r="IR4">
        <f>IF(AND(OR('DADOS_FORMAS'!$AM4='INVOCAÇÕES'!$O$681,'DADOS_FORMAS'!$AM4='INVOCAÇÕES'!$P$681,'DADOS_FORMAS'!$AM4='INVOCAÇÕES'!$Q$681,'DADOS_FORMAS'!$AM4='INVOCAÇÕES'!$R$681,'DADOS_FORMAS'!$AM4='INVOCAÇÕES'!$S$681,'DADOS_FORMAS'!$AM4='INVOCAÇÕES'!$O$683,'DADOS_FORMAS'!$AM4='INVOCAÇÕES'!$P$683,'DADOS_FORMAS'!$AM4='INVOCAÇÕES'!$Q$683,'DADOS_FORMAS'!$AM4='INVOCAÇÕES'!$R$683,'DADOS_FORMAS'!$AM4=""),'DADOS_FORMAS'!$AR4),'DADOS_FORMAS'!$AH4,"")</f>
        <v/>
      </c>
      <c r="IT4">
        <f>IF(OR('DADOS_FORMAS'!$AM4='INVOCAÇÕES'!$O$892,'DADOS_FORMAS'!$AM4='INVOCAÇÕES'!$P$892,'DADOS_FORMAS'!$AM4='INVOCAÇÕES'!$Q$892,'DADOS_FORMAS'!$AM4='INVOCAÇÕES'!$R$892,'DADOS_FORMAS'!$AM4='INVOCAÇÕES'!$S$892,'DADOS_FORMAS'!$AM4='INVOCAÇÕES'!$O$894,'DADOS_FORMAS'!$AM4='INVOCAÇÕES'!$P$894,'DADOS_FORMAS'!$AM4='INVOCAÇÕES'!$Q$894,'DADOS_FORMAS'!$AM4='INVOCAÇÕES'!$R$894,'DADOS_FORMAS'!$AM4=""),'DADOS_FORMAS'!$AH4,"")</f>
        <v/>
      </c>
      <c r="IU4">
        <f>IF(AND(OR('DADOS_FORMAS'!$AM4='INVOCAÇÕES'!$O$892,'DADOS_FORMAS'!$AM4='INVOCAÇÕES'!$P$892,'DADOS_FORMAS'!$AM4='INVOCAÇÕES'!$Q$892,'DADOS_FORMAS'!$AM4='INVOCAÇÕES'!$R$892,'DADOS_FORMAS'!$AM4='INVOCAÇÕES'!$S$892,'DADOS_FORMAS'!$AM4='INVOCAÇÕES'!$O$894,'DADOS_FORMAS'!$AM4='INVOCAÇÕES'!$P$894,'DADOS_FORMAS'!$AM4='INVOCAÇÕES'!$Q$894,'DADOS_FORMAS'!$AM4='INVOCAÇÕES'!$R$894,'DADOS_FORMAS'!$AM4=""),'DADOS_FORMAS'!$AR4),'DADOS_FORMAS'!$AH4,"")</f>
        <v/>
      </c>
      <c r="IW4">
        <f>IF(OR('DADOS_FORMAS'!$AM4='INVOCAÇÕES'!$O$1103,'DADOS_FORMAS'!$AM4='INVOCAÇÕES'!$P$1103,'DADOS_FORMAS'!$AM4='INVOCAÇÕES'!$Q$1103,'DADOS_FORMAS'!$AM4='INVOCAÇÕES'!$R$1103,'DADOS_FORMAS'!$AM4='INVOCAÇÕES'!$S$1103,'DADOS_FORMAS'!$AM4='INVOCAÇÕES'!$O$1105,'DADOS_FORMAS'!$AM4='INVOCAÇÕES'!$P$1105,'DADOS_FORMAS'!$AM4='INVOCAÇÕES'!$Q$1105,'DADOS_FORMAS'!$AM4='INVOCAÇÕES'!$R$1105,'DADOS_FORMAS'!$AM4=""),'DADOS_FORMAS'!$AH4,"")</f>
        <v/>
      </c>
      <c r="IX4">
        <f>IF(AND(OR('DADOS_FORMAS'!$AM4='INVOCAÇÕES'!$O$1103,'DADOS_FORMAS'!$AM4='INVOCAÇÕES'!$P$1103,'DADOS_FORMAS'!$AM4='INVOCAÇÕES'!$Q$1103,'DADOS_FORMAS'!$AM4='INVOCAÇÕES'!$R$1103,'DADOS_FORMAS'!$AM4='INVOCAÇÕES'!$S$1103,'DADOS_FORMAS'!$AM4='INVOCAÇÕES'!$O$1105,'DADOS_FORMAS'!$AM4='INVOCAÇÕES'!$P$1105,'DADOS_FORMAS'!$AM4='INVOCAÇÕES'!$Q$1105,'DADOS_FORMAS'!$AM4='INVOCAÇÕES'!$R$1105,'DADOS_FORMAS'!$AM4=""),'DADOS_FORMAS'!$AR4),'DADOS_FORMAS'!$AH4,"")</f>
        <v/>
      </c>
      <c r="IZ4">
        <f>IF(OR('DADOS_FORMAS'!$AM4='INVOCAÇÕES'!$AH$48,'DADOS_FORMAS'!$AM4='INVOCAÇÕES'!$AI$48,'DADOS_FORMAS'!$AM4='INVOCAÇÕES'!$AJ$48,'DADOS_FORMAS'!$AM4='INVOCAÇÕES'!$AK$48,'DADOS_FORMAS'!$AM4='INVOCAÇÕES'!$AL$48,'DADOS_FORMAS'!$AM4='INVOCAÇÕES'!$AH$50,'DADOS_FORMAS'!$AM4='INVOCAÇÕES'!$AI$50,'DADOS_FORMAS'!$AM4='INVOCAÇÕES'!$AJ$50,'DADOS_FORMAS'!$AM4='INVOCAÇÕES'!$AK$50,'DADOS_FORMAS'!$AM4=""),'DADOS_FORMAS'!$AH4,"")</f>
        <v/>
      </c>
      <c r="JA4">
        <f>IF(AND(OR('DADOS_FORMAS'!$AM4='INVOCAÇÕES'!$AH$48,'DADOS_FORMAS'!$AM4='INVOCAÇÕES'!$AI$48,'DADOS_FORMAS'!$AM4='INVOCAÇÕES'!$AJ$48,'DADOS_FORMAS'!$AM4='INVOCAÇÕES'!$AK$48,'DADOS_FORMAS'!$AM4='INVOCAÇÕES'!$AL$48,'DADOS_FORMAS'!$AM4='INVOCAÇÕES'!$AH$50,'DADOS_FORMAS'!$AM4='INVOCAÇÕES'!$AI$50,'DADOS_FORMAS'!$AM4='INVOCAÇÕES'!$AJ$50,'DADOS_FORMAS'!$AM4='INVOCAÇÕES'!$AK$50,'DADOS_FORMAS'!$AM4=""),'DADOS_FORMAS'!$AR4),'DADOS_FORMAS'!$AH4,"")</f>
        <v/>
      </c>
      <c r="JC4">
        <f>IF(OR('DADOS_FORMAS'!$AM4='INVOCAÇÕES'!$AH$259,'DADOS_FORMAS'!$AM4='INVOCAÇÕES'!$AI$259,'DADOS_FORMAS'!$AM4='INVOCAÇÕES'!$AJ$259,'DADOS_FORMAS'!$AM4='INVOCAÇÕES'!$AK$259,'DADOS_FORMAS'!$AM4='INVOCAÇÕES'!$AL$259,'DADOS_FORMAS'!$AM4='INVOCAÇÕES'!$AH$261,'DADOS_FORMAS'!$AM4='INVOCAÇÕES'!$AI$261,'DADOS_FORMAS'!$AM4='INVOCAÇÕES'!$AJ$261,'DADOS_FORMAS'!$AM4='INVOCAÇÕES'!$AK$261,'DADOS_FORMAS'!$AM4=""),'DADOS_FORMAS'!$AH4,"")</f>
        <v/>
      </c>
      <c r="JD4">
        <f>IF(AND(OR('DADOS_FORMAS'!$AM4='INVOCAÇÕES'!$AH$259,'DADOS_FORMAS'!$AM4='INVOCAÇÕES'!$AI$259,'DADOS_FORMAS'!$AM4='INVOCAÇÕES'!$AJ$259,'DADOS_FORMAS'!$AM4='INVOCAÇÕES'!$AK$259,'DADOS_FORMAS'!$AM4='INVOCAÇÕES'!$AL$259,'DADOS_FORMAS'!$AM4='INVOCAÇÕES'!$AH$261,'DADOS_FORMAS'!$AM4='INVOCAÇÕES'!$AI$261,'DADOS_FORMAS'!$AM4='INVOCAÇÕES'!$AJ$261,'DADOS_FORMAS'!$AM4='INVOCAÇÕES'!$AK$261,'DADOS_FORMAS'!$AM4=""),'DADOS_FORMAS'!$AR4),'DADOS_FORMAS'!$AH4,"")</f>
        <v/>
      </c>
      <c r="JF4">
        <f>IF(OR('DADOS_FORMAS'!$AM4='INVOCAÇÕES'!$AH$470,'DADOS_FORMAS'!$AM4='INVOCAÇÕES'!$AI$470,'DADOS_FORMAS'!$AM4='INVOCAÇÕES'!$AJ$470,'DADOS_FORMAS'!$AM4='INVOCAÇÕES'!$AK$470,'DADOS_FORMAS'!$AM4='INVOCAÇÕES'!$AL$470,'DADOS_FORMAS'!$AM4='INVOCAÇÕES'!$AH$472,'DADOS_FORMAS'!$AM4='INVOCAÇÕES'!$AI$472,'DADOS_FORMAS'!$AM4='INVOCAÇÕES'!$AJ$472,'DADOS_FORMAS'!$AM4='INVOCAÇÕES'!$AK$472,'DADOS_FORMAS'!$AM4=""),'DADOS_FORMAS'!$AH4,"")</f>
        <v/>
      </c>
      <c r="JG4">
        <f>IF(AND(OR('DADOS_FORMAS'!$AM4='INVOCAÇÕES'!$AH$470,'DADOS_FORMAS'!$AM4='INVOCAÇÕES'!$AI$470,'DADOS_FORMAS'!$AM4='INVOCAÇÕES'!$AJ$470,'DADOS_FORMAS'!$AM4='INVOCAÇÕES'!$AK$470,'DADOS_FORMAS'!$AM4='INVOCAÇÕES'!$AL$470,'DADOS_FORMAS'!$AM4='INVOCAÇÕES'!$AH$472,'DADOS_FORMAS'!$AM4='INVOCAÇÕES'!$AI$472,'DADOS_FORMAS'!$AM4='INVOCAÇÕES'!$AJ$472,'DADOS_FORMAS'!$AM4='INVOCAÇÕES'!$AK$472,'DADOS_FORMAS'!$AM4=""),'DADOS_FORMAS'!$AR4),'DADOS_FORMAS'!$AH4,"")</f>
        <v/>
      </c>
      <c r="JI4">
        <f>IF(OR('DADOS_FORMAS'!$AM4='INVOCAÇÕES'!$AH$681,'DADOS_FORMAS'!$AM4='INVOCAÇÕES'!$AI$681,'DADOS_FORMAS'!$AM4='INVOCAÇÕES'!$AJ$681,'DADOS_FORMAS'!$AM4='INVOCAÇÕES'!$AK$681,'DADOS_FORMAS'!$AM4='INVOCAÇÕES'!$AL$681,'DADOS_FORMAS'!$AM4='INVOCAÇÕES'!$AH$683,'DADOS_FORMAS'!$AM4='INVOCAÇÕES'!$AI$683,'DADOS_FORMAS'!$AM4='INVOCAÇÕES'!$AJ$683,'DADOS_FORMAS'!$AM4='INVOCAÇÕES'!$AK$683,'DADOS_FORMAS'!$AM4=""),'DADOS_FORMAS'!$AH4,"")</f>
        <v/>
      </c>
      <c r="JJ4">
        <f>IF(AND(OR('DADOS_FORMAS'!$AM4='INVOCAÇÕES'!$AH$681,'DADOS_FORMAS'!$AM4='INVOCAÇÕES'!$AI$681,'DADOS_FORMAS'!$AM4='INVOCAÇÕES'!$AJ$681,'DADOS_FORMAS'!$AM4='INVOCAÇÕES'!$AK$681,'DADOS_FORMAS'!$AM4='INVOCAÇÕES'!$AL$681,'DADOS_FORMAS'!$AM4='INVOCAÇÕES'!$AH$683,'DADOS_FORMAS'!$AM4='INVOCAÇÕES'!$AI$683,'DADOS_FORMAS'!$AM4='INVOCAÇÕES'!$AJ$683,'DADOS_FORMAS'!$AM4='INVOCAÇÕES'!$AK$683,'DADOS_FORMAS'!$AM4=""),'DADOS_FORMAS'!$AR4),'DADOS_FORMAS'!$AH4,"")</f>
        <v/>
      </c>
      <c r="JL4">
        <f>IF(OR('DADOS_FORMAS'!$AM4='INVOCAÇÕES'!$AH$892,'DADOS_FORMAS'!$AM4='INVOCAÇÕES'!$AI$892,'DADOS_FORMAS'!$AM4='INVOCAÇÕES'!$AJ$892,'DADOS_FORMAS'!$AM4='INVOCAÇÕES'!$AK$892,'DADOS_FORMAS'!$AM4='INVOCAÇÕES'!$AL$892,'DADOS_FORMAS'!$AM4='INVOCAÇÕES'!$AH$894,'DADOS_FORMAS'!$AM4='INVOCAÇÕES'!$AI$894,'DADOS_FORMAS'!$AM4='INVOCAÇÕES'!$AJ$894,'DADOS_FORMAS'!$AM4='INVOCAÇÕES'!$AK$894,'DADOS_FORMAS'!$AM4=""),'DADOS_FORMAS'!$AH4,"")</f>
        <v/>
      </c>
      <c r="JM4">
        <f>IF(AND(OR('DADOS_FORMAS'!$AM4='INVOCAÇÕES'!$AH$892,'DADOS_FORMAS'!$AM4='INVOCAÇÕES'!$AI$892,'DADOS_FORMAS'!$AM4='INVOCAÇÕES'!$AJ$892,'DADOS_FORMAS'!$AM4='INVOCAÇÕES'!$AK$892,'DADOS_FORMAS'!$AM4='INVOCAÇÕES'!$AL$892,'DADOS_FORMAS'!$AM4='INVOCAÇÕES'!$AH$894,'DADOS_FORMAS'!$AM4='INVOCAÇÕES'!$AI$894,'DADOS_FORMAS'!$AM4='INVOCAÇÕES'!$AJ$894,'DADOS_FORMAS'!$AM4='INVOCAÇÕES'!$AK$894,'DADOS_FORMAS'!$AM4=""),'DADOS_FORMAS'!$AR4),'DADOS_FORMAS'!$AH4,"")</f>
        <v/>
      </c>
      <c r="JO4">
        <f>IF(OR('DADOS_FORMAS'!$AM4='INVOCAÇÕES'!$AH$1103,'DADOS_FORMAS'!$AM4='INVOCAÇÕES'!$AI$1103,'DADOS_FORMAS'!$AM4='INVOCAÇÕES'!$AJ$1103,'DADOS_FORMAS'!$AM4='INVOCAÇÕES'!$AK$1103,'DADOS_FORMAS'!$AM4='INVOCAÇÕES'!$AL$1103,'DADOS_FORMAS'!$AM4='INVOCAÇÕES'!$AH$1105,'DADOS_FORMAS'!$AM4='INVOCAÇÕES'!$AI$1105,'DADOS_FORMAS'!$AM4='INVOCAÇÕES'!$AJ$1105,'DADOS_FORMAS'!$AM4='INVOCAÇÕES'!$AK$1105,'DADOS_FORMAS'!$AM4=""),'DADOS_FORMAS'!$AH4,"")</f>
        <v/>
      </c>
      <c r="JP4">
        <f>IF(AND(OR('DADOS_FORMAS'!$AM4='INVOCAÇÕES'!$AH$1103,'DADOS_FORMAS'!$AM4='INVOCAÇÕES'!$AI$1103,'DADOS_FORMAS'!$AM4='INVOCAÇÕES'!$AJ$1103,'DADOS_FORMAS'!$AM4='INVOCAÇÕES'!$AK$1103,'DADOS_FORMAS'!$AM4='INVOCAÇÕES'!$AL$1103,'DADOS_FORMAS'!$AM4='INVOCAÇÕES'!$AH$1105,'DADOS_FORMAS'!$AM4='INVOCAÇÕES'!$AI$1105,'DADOS_FORMAS'!$AM4='INVOCAÇÕES'!$AJ$1105,'DADOS_FORMAS'!$AM4='INVOCAÇÕES'!$AK$1105,'DADOS_FORMAS'!$AM4=""),'DADOS_FORMAS'!$AR4),'DADOS_FORMAS'!$AH4,"")</f>
        <v/>
      </c>
      <c r="JR4" t="inlineStr">
        <is>
          <t>Toque</t>
        </is>
      </c>
      <c r="JS4" t="inlineStr">
        <is>
          <t>Média</t>
        </is>
      </c>
      <c r="JT4" t="inlineStr">
        <is>
          <t>Automático</t>
        </is>
      </c>
      <c r="JU4" t="inlineStr">
        <is>
          <t>Vida temporária</t>
        </is>
      </c>
      <c r="JY4" t="inlineStr">
        <is>
          <t>comprimento</t>
        </is>
      </c>
      <c r="JZ4">
        <f>IFERROR(INDEX('DADOS_CRIACAO'!$H$2:$H$20,2),"")</f>
        <v/>
      </c>
      <c r="KA4">
        <f>IFERROR(INDEX(INDEX('DADOS_RESTRICOES'!$M$2:$Q$54,0,1),2),"")</f>
        <v/>
      </c>
    </row>
    <row r="5">
      <c r="A5">
        <f>IF(ISBLANK('CONFIGURAÇÃO'!$FH$60),"",'CONFIGURAÇÃO'!$FH$60)</f>
        <v/>
      </c>
      <c r="B5">
        <f>IF(ISBLANK('CONFIGURAÇÃO'!$FH$62),"",'CONFIGURAÇÃO'!$FH$62)</f>
        <v/>
      </c>
      <c r="C5">
        <f>IF(ISBLANK('CONFIGURAÇÃO'!$FK$63),"",'CONFIGURAÇÃO'!$FK$63)</f>
        <v/>
      </c>
      <c r="D5">
        <f>IF(ISBLANK('CONFIGURAÇÃO'!$FL$60),"",'CONFIGURAÇÃO'!$FL$60)</f>
        <v/>
      </c>
      <c r="E5">
        <f>IF(ISBLANK('CONFIGURAÇÃO'!$FH$89),"",'CONFIGURAÇÃO'!$FH$89)</f>
        <v/>
      </c>
      <c r="F5">
        <f>IF(ISBLANK('CONFIGURAÇÃO'!$FH$95),"",'CONFIGURAÇÃO'!$FH$95)</f>
        <v/>
      </c>
      <c r="G5">
        <f>IF(ISBLANK('CONFIGURAÇÃO'!$FK$64),"",'CONFIGURAÇÃO'!$FK$64)</f>
        <v/>
      </c>
      <c r="H5">
        <f>IF(ISBLANK('CONFIGURAÇÃO'!$FK$65),"",'CONFIGURAÇÃO'!$FK$65)</f>
        <v/>
      </c>
      <c r="I5">
        <f>IF(ISBLANK('CONFIGURAÇÃO'!$FK$66),"",'CONFIGURAÇÃO'!$FK$66)</f>
        <v/>
      </c>
      <c r="J5">
        <f>IF(ISBLANK('CONFIGURAÇÃO'!$FK$67),"",'CONFIGURAÇÃO'!$FK$67)</f>
        <v/>
      </c>
      <c r="K5">
        <f>IF(ISBLANK('CONFIGURAÇÃO'!$FK$68),"",'CONFIGURAÇÃO'!$FK$68)</f>
        <v/>
      </c>
      <c r="L5">
        <f>IF(ISBLANK('CONFIGURAÇÃO'!$FK$69),"",'CONFIGURAÇÃO'!$FK$69)</f>
        <v/>
      </c>
      <c r="M5">
        <f>IF(ISBLANK('CONFIGURAÇÃO'!$FK$70),"",'CONFIGURAÇÃO'!$FK$70)</f>
        <v/>
      </c>
      <c r="N5">
        <f>IF(ISBLANK('CONFIGURAÇÃO'!$FK$71),"",'CONFIGURAÇÃO'!$FK$71)</f>
        <v/>
      </c>
      <c r="O5">
        <f>IF(ISBLANK('CONFIGURAÇÃO'!$FK$72),"",'CONFIGURAÇÃO'!$FK$72)</f>
        <v/>
      </c>
      <c r="P5">
        <f>IF(ISBLANK('CONFIGURAÇÃO'!$FK$73),"",'CONFIGURAÇÃO'!$FK$73)</f>
        <v/>
      </c>
      <c r="Q5">
        <f>IF(ISBLANK('CONFIGURAÇÃO'!$FK$74),"",'CONFIGURAÇÃO'!$FK$74)</f>
        <v/>
      </c>
      <c r="R5">
        <f>IF(ISBLANK('CONFIGURAÇÃO'!$FK$75),"",'CONFIGURAÇÃO'!$FK$75)</f>
        <v/>
      </c>
      <c r="S5">
        <f>IF(ISBLANK('CONFIGURAÇÃO'!$FK$76),"",'CONFIGURAÇÃO'!$FK$76)</f>
        <v/>
      </c>
      <c r="T5">
        <f>IF(ISBLANK('CONFIGURAÇÃO'!$FK$77),"",'CONFIGURAÇÃO'!$FK$77)</f>
        <v/>
      </c>
      <c r="U5">
        <f>IF(ISBLANK('CONFIGURAÇÃO'!$FK$78),"",'CONFIGURAÇÃO'!$FK$78)</f>
        <v/>
      </c>
      <c r="V5">
        <f>IF(ISBLANK('CONFIGURAÇÃO'!$FK$79),"",'CONFIGURAÇÃO'!$FK$79)</f>
        <v/>
      </c>
      <c r="W5">
        <f>IF(ISBLANK('CONFIGURAÇÃO'!$FK$80),"",'CONFIGURAÇÃO'!$FK$80)</f>
        <v/>
      </c>
      <c r="X5">
        <f>IF(ISBLANK('CONFIGURAÇÃO'!$FK$81),"",'CONFIGURAÇÃO'!$FK$81)</f>
        <v/>
      </c>
      <c r="Y5">
        <f>IF(ISBLANK('CONFIGURAÇÃO'!$FK$82),"",'CONFIGURAÇÃO'!$FK$82)</f>
        <v/>
      </c>
      <c r="Z5">
        <f>IF(ISBLANK('CONFIGURAÇÃO'!$FK$83),"",'CONFIGURAÇÃO'!$FK$83)</f>
        <v/>
      </c>
      <c r="AA5">
        <f>IF(ISBLANK('CONFIGURAÇÃO'!$FK$84),"",'CONFIGURAÇÃO'!$FK$84)</f>
        <v/>
      </c>
      <c r="AB5">
        <f>IF(ISBLANK('CONFIGURAÇÃO'!$FK$85),"",'CONFIGURAÇÃO'!$FK$85)</f>
        <v/>
      </c>
      <c r="AC5">
        <f>IF(ISBLANK('CONFIGURAÇÃO'!$FK$86),"",'CONFIGURAÇÃO'!$FK$86)</f>
        <v/>
      </c>
      <c r="AD5">
        <f>IF($AF5,TEXTJOIN(" · ",TRUE,$DJ5:$FH5),"")</f>
        <v/>
      </c>
      <c r="AE5">
        <f>IF(OR($C5="",$C5="Nenhuma"),0,IFERROR(MATCH(SUBSTITUTE(SUBSTITUTE(SUBSTITUTE($C5,"~","~~"),"*","~*"),"?","~?"),'DADOS_FORMAS'!$AH$2:$AH$11,0),-1))</f>
        <v/>
      </c>
      <c r="AF5">
        <f>OR($B5&lt;&gt;"",$C5&lt;&gt;"",$E5&lt;&gt;"",$F5&lt;&gt;"",$G5&lt;&gt;"",$H5&lt;&gt;"",$I5&lt;&gt;"",$J5&lt;&gt;"",$K5&lt;&gt;"",$L5&lt;&gt;"",$M5&lt;&gt;"",$N5&lt;&gt;"",$O5&lt;&gt;"",$P5&lt;&gt;"",$Q5&lt;&gt;"",$R5&lt;&gt;"",$S5&lt;&gt;"",$T5&lt;&gt;"",$U5&lt;&gt;"",$V5&lt;&gt;"",$W5&lt;&gt;"",$X5&lt;&gt;"",$Y5&lt;&gt;"",$Z5&lt;&gt;"",$AA5&lt;&gt;"",$AB5&lt;&gt;"",$AC5&lt;&gt;"",AND($D5&lt;&gt;"",$D5&lt;&gt;FALSE),AND($A5&lt;&gt;"",$A5&lt;&gt;"Forma"))</f>
        <v/>
      </c>
      <c r="AG5" t="inlineStr">
        <is>
          <t>Forma</t>
        </is>
      </c>
      <c r="AH5" t="inlineStr">
        <is>
          <t>Aura</t>
        </is>
      </c>
      <c r="AI5">
        <f>""</f>
        <v/>
      </c>
      <c r="AJ5" t="b">
        <v>0</v>
      </c>
      <c r="AK5">
        <f>""</f>
        <v/>
      </c>
      <c r="AL5" t="inlineStr">
        <is>
          <t>Esfera de raio 3 m, centrada em você.</t>
        </is>
      </c>
      <c r="AM5" t="inlineStr">
        <is>
          <t>Área</t>
        </is>
      </c>
      <c r="AN5" t="b">
        <v>1</v>
      </c>
      <c r="AO5" t="inlineStr">
        <is>
          <t>TR, metade</t>
        </is>
      </c>
      <c r="AP5" t="b">
        <v>0</v>
      </c>
      <c r="AQ5" t="b">
        <v>1</v>
      </c>
      <c r="AR5" t="b">
        <v>1</v>
      </c>
      <c r="AS5" t="inlineStr">
        <is>
          <t>Corpo a Corpo</t>
        </is>
      </c>
      <c r="AT5" t="inlineStr">
        <is>
          <t>Fixo</t>
        </is>
      </c>
      <c r="AU5" t="inlineStr">
        <is>
          <t>raio</t>
        </is>
      </c>
      <c r="AV5">
        <f>""</f>
        <v/>
      </c>
      <c r="AW5">
        <f>""</f>
        <v/>
      </c>
      <c r="AX5">
        <f>""</f>
        <v/>
      </c>
      <c r="AY5">
        <f>""</f>
        <v/>
      </c>
      <c r="AZ5">
        <f>""</f>
        <v/>
      </c>
      <c r="BA5">
        <f>""</f>
        <v/>
      </c>
      <c r="BB5">
        <f>""</f>
        <v/>
      </c>
      <c r="BC5" t="inlineStr">
        <is>
          <t>3 m</t>
        </is>
      </c>
      <c r="BD5" t="inlineStr">
        <is>
          <t>3 m</t>
        </is>
      </c>
      <c r="BE5" t="inlineStr">
        <is>
          <t>4,5 m</t>
        </is>
      </c>
      <c r="BF5" t="inlineStr">
        <is>
          <t>3 m</t>
        </is>
      </c>
      <c r="BG5" t="inlineStr">
        <is>
          <t>3 m</t>
        </is>
      </c>
      <c r="BH5" t="inlineStr">
        <is>
          <t>3 m</t>
        </is>
      </c>
      <c r="BI5" t="inlineStr">
        <is>
          <t>4,5 m</t>
        </is>
      </c>
      <c r="BJ5" t="inlineStr">
        <is>
          <t>Aura</t>
        </is>
      </c>
      <c r="BK5" t="b">
        <v>0</v>
      </c>
      <c r="BL5" t="inlineStr">
        <is>
          <t>area</t>
        </is>
      </c>
      <c r="BM5" t="inlineStr">
        <is>
          <t xml:space="preserve">raio </t>
        </is>
      </c>
      <c r="BN5" t="inlineStr">
        <is>
          <t>, em você</t>
        </is>
      </c>
      <c r="BO5" t="n">
        <v>2</v>
      </c>
      <c r="BP5">
        <f>""</f>
        <v/>
      </c>
      <c r="BQ5">
        <f>""</f>
        <v/>
      </c>
      <c r="BR5">
        <f>""</f>
        <v/>
      </c>
      <c r="BS5" t="b">
        <v>0</v>
      </c>
      <c r="BV5">
        <f>IF($A5="",IF($AE5&gt;0,INDEX('DADOS_FORMAS'!$AG$2:$AG$11,MAX(1,$AE5)),"Forma"),$A5)</f>
        <v/>
      </c>
      <c r="BW5">
        <f>IF($B5="",IF($AE5&gt;0,INDEX('DADOS_FORMAS'!$AH$2:$AH$11,MAX(1,$AE5)),""),$B5)</f>
        <v/>
      </c>
      <c r="BX5">
        <f>IF($C5="",IF($AE5&gt;0,INDEX('DADOS_FORMAS'!$AI$2:$AI$11,MAX(1,$AE5)),""),$C5)</f>
        <v/>
      </c>
      <c r="BY5">
        <f>IF($D5="",IF($AE5&gt;0,INDEX('DADOS_FORMAS'!$AJ$2:$AJ$11,MAX(1,$AE5)),FALSE),$D5)</f>
        <v/>
      </c>
      <c r="BZ5">
        <f>IF($E5="",IF($AE5&gt;0,INDEX('DADOS_FORMAS'!$AK$2:$AK$11,MAX(1,$AE5)),""),$E5)</f>
        <v/>
      </c>
      <c r="CA5">
        <f>IF($F5="",IF($AE5&gt;0,INDEX('DADOS_FORMAS'!$AL$2:$AL$11,MAX(1,$AE5)),""),$F5)</f>
        <v/>
      </c>
      <c r="CB5">
        <f>IF($G5="Nenhuma","",IF($G5="",IF($AE5&gt;0,INDEX('DADOS_FORMAS'!$AM$2:$AM$11,MAX(1,$AE5)),""),$G5))</f>
        <v/>
      </c>
      <c r="CC5">
        <f>IF($H5="",IF($AE5&gt;0,INDEX('DADOS_FORMAS'!$AN$2:$AN$11,MAX(1,$AE5)),""),IF($H5="Sem custo",0,IF($H5="Leve",1,IF($H5="Média",2,IF($H5="Pesada",3,$H5)))))</f>
        <v/>
      </c>
      <c r="CD5">
        <f>IF($I5="",IF($AE5&gt;0,INDEX('DADOS_FORMAS'!$AO$2:$AO$11,MAX(1,$AE5)),""),$I5)</f>
        <v/>
      </c>
      <c r="CE5">
        <f>IF($J5="",IF($AE5&gt;0,INDEX('DADOS_FORMAS'!$AP$2:$AP$11,MAX(1,$AE5)),""),IF($J5="Dano",0,IF($J5="Cura",1,IF($J5="Vida temporária",2,IF($J5="Efeito",3,$J5)))))</f>
        <v/>
      </c>
      <c r="CF5">
        <f>IF($K5="",IF($AE5&gt;0,INDEX('DADOS_FORMAS'!$AQ$2:$AQ$11,MAX(1,$AE5)),""),IF($K5="Sim",TRUE,IF($K5="Não",FALSE,$K5)))</f>
        <v/>
      </c>
      <c r="CG5">
        <f>IF($L5="",IF($AE5&gt;0,INDEX('DADOS_FORMAS'!$AR$2:$AR$11,MAX(1,$AE5)),""),IF($L5="Sim",TRUE,IF($L5="Não",FALSE,$L5)))</f>
        <v/>
      </c>
      <c r="CH5">
        <f>IF($M5="Nenhuma","",IF($M5="",IF($AE5&gt;0,INDEX('DADOS_FORMAS'!$AS$2:$AS$11,MAX(1,$AE5)),""),$M5))</f>
        <v/>
      </c>
      <c r="CI5">
        <f>IF($N5="",IF($AE5&gt;0,INDEX('DADOS_FORMAS'!$AT$2:$AT$11,MAX(1,$AE5)),"Fixo"),$N5)</f>
        <v/>
      </c>
      <c r="CJ5">
        <f>IF($O5="",IF($AE5&gt;0,INDEX('DADOS_FORMAS'!$AU$2:$AU$11,MAX(1,$AE5)),"Fixo"),$O5)</f>
        <v/>
      </c>
      <c r="CK5">
        <f>IF($P5="",IF($AE5&gt;0,INDEX('DADOS_FORMAS'!$AV$2:$AV$11,MAX(1,$AE5)),""),$P5)</f>
        <v/>
      </c>
      <c r="CL5">
        <f>IF($Q5="",IF($AE5&gt;0,INDEX('DADOS_FORMAS'!$AW$2:$AW$11,MAX(1,$AE5)),""),$Q5)</f>
        <v/>
      </c>
      <c r="CM5">
        <f>IF($R5="",IF($AE5&gt;0,INDEX('DADOS_FORMAS'!$AX$2:$AX$11,MAX(1,$AE5)),""),$R5)</f>
        <v/>
      </c>
      <c r="CN5">
        <f>IF($S5="",IF($AE5&gt;0,INDEX('DADOS_FORMAS'!$AY$2:$AY$11,MAX(1,$AE5)),""),$S5)</f>
        <v/>
      </c>
      <c r="CO5">
        <f>IF($T5="",IF($AE5&gt;0,INDEX('DADOS_FORMAS'!$AZ$2:$AZ$11,MAX(1,$AE5)),""),$T5)</f>
        <v/>
      </c>
      <c r="CP5">
        <f>IF($U5="",IF($AE5&gt;0,INDEX('DADOS_FORMAS'!$BA$2:$BA$11,MAX(1,$AE5)),""),$U5)</f>
        <v/>
      </c>
      <c r="CQ5">
        <f>IF($V5="",IF($AE5&gt;0,INDEX('DADOS_FORMAS'!$BB$2:$BB$11,MAX(1,$AE5)),""),$V5)</f>
        <v/>
      </c>
      <c r="CR5">
        <f>IF($W5="",IF($AE5&gt;0,INDEX('DADOS_FORMAS'!$BC$2:$BC$11,MAX(1,$AE5)),""),$W5)</f>
        <v/>
      </c>
      <c r="CS5">
        <f>IF($X5="",IF($AE5&gt;0,INDEX('DADOS_FORMAS'!$BD$2:$BD$11,MAX(1,$AE5)),""),$X5)</f>
        <v/>
      </c>
      <c r="CT5">
        <f>IF($Y5="",IF($AE5&gt;0,INDEX('DADOS_FORMAS'!$BE$2:$BE$11,MAX(1,$AE5)),""),$Y5)</f>
        <v/>
      </c>
      <c r="CU5">
        <f>IF($Z5="",IF($AE5&gt;0,INDEX('DADOS_FORMAS'!$BF$2:$BF$11,MAX(1,$AE5)),""),$Z5)</f>
        <v/>
      </c>
      <c r="CV5">
        <f>IF($AA5="",IF($AE5&gt;0,INDEX('DADOS_FORMAS'!$BG$2:$BG$11,MAX(1,$AE5)),""),$AA5)</f>
        <v/>
      </c>
      <c r="CW5">
        <f>IF($AB5="",IF($AE5&gt;0,INDEX('DADOS_FORMAS'!$BH$2:$BH$11,MAX(1,$AE5)),""),$AB5)</f>
        <v/>
      </c>
      <c r="CX5">
        <f>IF($AC5="",IF($AE5&gt;0,INDEX('DADOS_FORMAS'!$BI$2:$BI$11,MAX(1,$AE5)),""),$AC5)</f>
        <v/>
      </c>
      <c r="CY5">
        <f>IF($AE5&gt;0,INDEX('DADOS_FORMAS'!$BJ$2:$BJ$11,MAX(1,$AE5)),"")</f>
        <v/>
      </c>
      <c r="CZ5">
        <f>IF($AE5&gt;0,INDEX('DADOS_FORMAS'!$BK$2:$BK$11,MAX(1,$AE5)),0)</f>
        <v/>
      </c>
      <c r="DA5">
        <f>IF($AE5&gt;0,INDEX('DADOS_FORMAS'!$BL$2:$BL$11,MAX(1,$AE5)),"alcance")</f>
        <v/>
      </c>
      <c r="DB5">
        <f>IF($AE5&gt;0,INDEX('DADOS_FORMAS'!$BM$2:$BM$11,MAX(1,$AE5)),"")</f>
        <v/>
      </c>
      <c r="DC5">
        <f>IF($AE5&gt;0,INDEX('DADOS_FORMAS'!$BN$2:$BN$11,MAX(1,$AE5)),"")</f>
        <v/>
      </c>
      <c r="DD5">
        <f>IF($AE5&gt;0,INDEX('DADOS_FORMAS'!$BO$2:$BO$11,MAX(1,$AE5)),1)</f>
        <v/>
      </c>
      <c r="DE5">
        <f>IF(AND($AE5&gt;0,INDEX('DADOS_FORMAS'!$BP$2:$BP$11,MAX(1,$AE5))=""),IF(AND(INDEX('DADOS_FORMAS'!$BL$2:$BL$11,MAX(1,$AE5))="alcance",OR($W5&lt;&gt;"",$X5&lt;&gt;"",$Y5&lt;&gt;"",$Z5&lt;&gt;"",$AA5&lt;&gt;"",$AB5&lt;&gt;"",$AC5&lt;&gt;"")),"area",IF(AND(INDEX('DADOS_FORMAS'!$BL$2:$BL$11,MAX(1,$AE5))="area",OR($P5&lt;&gt;"",$Q5&lt;&gt;"",$R5&lt;&gt;"",$S5&lt;&gt;"",$T5&lt;&gt;"",$U5&lt;&gt;"",$V5&lt;&gt;"")),"alcance","")),IF($AE5&gt;0,INDEX('DADOS_FORMAS'!$BP$2:$BP$11,MAX(1,$AE5)),"area"))</f>
        <v/>
      </c>
      <c r="DF5">
        <f>IF(AND($AE5&gt;0,INDEX('DADOS_FORMAS'!$BP$2:$BP$11,MAX(1,$AE5))=""),IF(IF(AND(INDEX('DADOS_FORMAS'!$BL$2:$BL$11,MAX(1,$AE5))="alcance",OR($W5&lt;&gt;"",$X5&lt;&gt;"",$Y5&lt;&gt;"",$Z5&lt;&gt;"",$AA5&lt;&gt;"",$AB5&lt;&gt;"",$AC5&lt;&gt;"")),"area",IF(AND(INDEX('DADOS_FORMAS'!$BL$2:$BL$11,MAX(1,$AE5))="area",OR($P5&lt;&gt;"",$Q5&lt;&gt;"",$R5&lt;&gt;"",$S5&lt;&gt;"",$T5&lt;&gt;"",$U5&lt;&gt;"",$V5&lt;&gt;"")),"alcance",""))="alcance"," · alcance ",IF(IF(AND(INDEX('DADOS_FORMAS'!$BL$2:$BL$11,MAX(1,$AE5))="alcance",OR($W5&lt;&gt;"",$X5&lt;&gt;"",$Y5&lt;&gt;"",$Z5&lt;&gt;"",$AA5&lt;&gt;"",$AB5&lt;&gt;"",$AC5&lt;&gt;"")),"area",IF(AND(INDEX('DADOS_FORMAS'!$BL$2:$BL$11,MAX(1,$AE5))="area",OR($P5&lt;&gt;"",$Q5&lt;&gt;"",$R5&lt;&gt;"",$S5&lt;&gt;"",$T5&lt;&gt;"",$U5&lt;&gt;"",$V5&lt;&gt;"")),"alcance",""))="area"," · área ","")),IF($AE5&gt;0,INDEX('DADOS_FORMAS'!$BQ$2:$BQ$11,MAX(1,$AE5))," · área "))</f>
        <v/>
      </c>
      <c r="DG5">
        <f>IF(AND($AE5&gt;0,INDEX('DADOS_FORMAS'!$BP$2:$BP$11,MAX(1,$AE5))=""),"",IF($AE5&gt;0,INDEX('DADOS_FORMAS'!$BR$2:$BR$11,MAX(1,$AE5)),""))</f>
        <v/>
      </c>
      <c r="DH5">
        <f>IF(AND($AE5&gt;0,INDEX('DADOS_FORMAS'!$BP$2:$BP$11,MAX(1,$AE5))=""),IF(IF(AND(INDEX('DADOS_FORMAS'!$BL$2:$BL$11,MAX(1,$AE5))="alcance",OR($W5&lt;&gt;"",$X5&lt;&gt;"",$Y5&lt;&gt;"",$Z5&lt;&gt;"",$AA5&lt;&gt;"",$AB5&lt;&gt;"",$AC5&lt;&gt;"")),"area",IF(AND(INDEX('DADOS_FORMAS'!$BL$2:$BL$11,MAX(1,$AE5))="area",OR($P5&lt;&gt;"",$Q5&lt;&gt;"",$R5&lt;&gt;"",$S5&lt;&gt;"",$T5&lt;&gt;"",$U5&lt;&gt;"",$V5&lt;&gt;"")),"alcance",""))="",0,IF(IF(AND(INDEX('DADOS_FORMAS'!$BL$2:$BL$11,MAX(1,$AE5))="alcance",OR($W5&lt;&gt;"",$X5&lt;&gt;"",$Y5&lt;&gt;"",$Z5&lt;&gt;"",$AA5&lt;&gt;"",$AB5&lt;&gt;"",$AC5&lt;&gt;"")),"area",IF(AND(INDEX('DADOS_FORMAS'!$BL$2:$BL$11,MAX(1,$AE5))="area",OR($P5&lt;&gt;"",$Q5&lt;&gt;"",$R5&lt;&gt;"",$S5&lt;&gt;"",$T5&lt;&gt;"",$U5&lt;&gt;"",$V5&lt;&gt;"")),"alcance",""))="alcance",1,IF($O5="comprimento",3,2))),IF($AE5&gt;0,INDEX('DADOS_FORMAS'!$BS$2:$BS$11,MAX(1,$AE5)),IF($O5="comprimento",3,2)))</f>
        <v/>
      </c>
      <c r="DJ5">
        <f>IF(AND(ISTEXT($B5),$B5&lt;&gt;"",TRIM($B5)=$B5),"","NOME precisa ser texto sem espaços nas pontas")</f>
        <v/>
      </c>
      <c r="DK5">
        <f>IF(COUNTIF('DADOS_FORMAS'!$B$2:$B$11,SUBSTITUTE(SUBSTITUTE(SUBSTITUTE($B5,"~","~~"),"*","~*"),"?","~?"))+COUNTIF('DADOS_FORMAS'!$AH$2:$AH$11,SUBSTITUTE(SUBSTITUTE(SUBSTITUTE($B5,"~","~~"),"*","~*"),"?","~?"))=1,"","Nome repetido no livro ou custom")</f>
        <v/>
      </c>
      <c r="DL5">
        <f>IF($AE5&gt;=0,"","BASE DO LIVRO inválida para o grupo")</f>
        <v/>
      </c>
      <c r="DM5">
        <f>IF(OR($BV5="Forma"),"","TIPO inválido para o grupo")</f>
        <v/>
      </c>
      <c r="DN5">
        <f>IF(ISLOGICAL($BY5),"","MESTRE VIU precisa ser caixa de seleção")</f>
        <v/>
      </c>
      <c r="DO5">
        <f>IF(ISTEXT($CA5),"","EFEITO precisa ser texto")</f>
        <v/>
      </c>
      <c r="DP5">
        <f>IF(ISTEXT($BZ5),"","REQUISITOS precisa ser texto")</f>
        <v/>
      </c>
      <c r="DQ5">
        <f>IF(IFERROR(AND(ISNUMBER($CC5),NOT(ISLOGICAL($CC5)),$CC5=INT($CC5),$CC5&gt;=0,$CC5&lt;=3),FALSE),"","PESO exige 0/1/2/3")</f>
        <v/>
      </c>
      <c r="DR5">
        <f>IF(IFERROR(AND(ISNUMBER($CE5),NOT(ISLOGICAL($CE5)),$CE5=INT($CE5),$CE5&gt;=0,$CE5&lt;=3),FALSE),"","RESULTADO exige 0/1/2/3")</f>
        <v/>
      </c>
      <c r="DS5">
        <f>IF(ISLOGICAL($CF5),"","EXIGE_TR exige Sim/Não")</f>
        <v/>
      </c>
      <c r="DT5">
        <f>IF(ISLOGICAL($CG5),"","CLASSE_0 exige Sim/Não")</f>
        <v/>
      </c>
      <c r="DU5">
        <f>IF(OR($CD5="Acerto",$CD5="TR, metade",$CD5="Automático"),"","RESOLUÇÃO inválida")</f>
        <v/>
      </c>
      <c r="DV5">
        <f>IF(OR($CB5="",COUNTIF('DADOS_CRIACAO'!$H$2:$H$20,SUBSTITUTE(SUBSTITUTE(SUBSTITUTE($CB5,"~","~~"),"*","~*"),"?","~?"))&gt;0),"","FAMÍLIA não cadastrada ou inválida")</f>
        <v/>
      </c>
      <c r="DW5">
        <f>IF(OR($CH5="",IFERROR(MATCH(SUBSTITUTE(SUBSTITUTE(SUBSTITUTE($CH5,"~","~~"),"*","~*"),"?","~?"),INDEX('DADOS_RESTRICOES'!$M$2:$Q$54,0,1),0),0)&gt;0),"","RESTRIÇÃO EMBUTIDA inválida")</f>
        <v/>
      </c>
      <c r="DX5">
        <f>IF(OR($CI5="Fixo",$CI5="alcance"),"","ESCADA inválida para alcance")</f>
        <v/>
      </c>
      <c r="DY5">
        <f>IF(OR(NOT(AND($CG5,OR($DA5="alcance",$DE5="alcance"))),$CK5&lt;&gt;""),"","Base de alcance ausente: personagem/classe_0")</f>
        <v/>
      </c>
      <c r="DZ5">
        <f>IF(ISTEXT($CK5),"","Base precisa ser texto: alcance/personagem/classe_0")</f>
        <v/>
      </c>
      <c r="EA5">
        <f>IF(OR(NOT(AND($CG5,OR($DA5="alcance",$DE5="alcance"))),$CI5="Fixo",$CK5="",$CK5="—",AND(RIGHT($CK5,2)=" m",IFERROR(VALUE(SUBSTITUTE(LEFT($CK5,MAX(0,LEN($CK5)-2)),",",""))/10^IFERROR(LEN(LEFT($CK5,MAX(0,LEN($CK5)-2)))-FIND(",",LEFT($CK5,MAX(0,LEN($CK5)-2))),0),-1)&gt;0)),"","Base incompatível com escada: alcance/personagem/classe_0")</f>
        <v/>
      </c>
      <c r="EB5">
        <f>IF(OR(NOT(OR($DA5="alcance",$DE5="alcance")),$CL5&lt;&gt;""),"","Base de alcance ausente: personagem/classes_1_a_5")</f>
        <v/>
      </c>
      <c r="EC5">
        <f>IF(ISTEXT($CL5),"","Base precisa ser texto: alcance/personagem/classes_1_a_5")</f>
        <v/>
      </c>
      <c r="ED5">
        <f>IF(OR(NOT(OR($DA5="alcance",$DE5="alcance")),$CI5="Fixo",$CL5="",$CL5="—",AND(RIGHT($CL5,2)=" m",IFERROR(VALUE(SUBSTITUTE(LEFT($CL5,MAX(0,LEN($CL5)-2)),",",""))/10^IFERROR(LEN(LEFT($CL5,MAX(0,LEN($CL5)-2)))-FIND(",",LEFT($CL5,MAX(0,LEN($CL5)-2))),0),-1)&gt;0)),"","Base incompatível com escada: alcance/personagem/classes_1_a_5")</f>
        <v/>
      </c>
      <c r="EE5">
        <f>IF(OR(NOT(OR($DA5="alcance",$DE5="alcance")),$CM5&lt;&gt;""),"","Base de alcance ausente: personagem/classes_6_e_7")</f>
        <v/>
      </c>
      <c r="EF5">
        <f>IF(ISTEXT($CM5),"","Base precisa ser texto: alcance/personagem/classes_6_e_7")</f>
        <v/>
      </c>
      <c r="EG5">
        <f>IF(OR(NOT(OR($DA5="alcance",$DE5="alcance")),$CI5="Fixo",$CM5="",$CM5="—",AND(RIGHT($CM5,2)=" m",IFERROR(VALUE(SUBSTITUTE(LEFT($CM5,MAX(0,LEN($CM5)-2)),",",""))/10^IFERROR(LEN(LEFT($CM5,MAX(0,LEN($CM5)-2)))-FIND(",",LEFT($CM5,MAX(0,LEN($CM5)-2))),0),-1)&gt;0)),"","Base incompatível com escada: alcance/personagem/classes_6_e_7")</f>
        <v/>
      </c>
      <c r="EH5">
        <f>IF(OR(NOT(AND($CG5,OR($DA5="alcance",$DE5="alcance"))),$CN5&lt;&gt;""),"","Base de alcance ausente: entidade/classe_0")</f>
        <v/>
      </c>
      <c r="EI5">
        <f>IF(ISTEXT($CN5),"","Base precisa ser texto: alcance/entidade/classe_0")</f>
        <v/>
      </c>
      <c r="EJ5">
        <f>IF(OR(NOT(AND($CG5,OR($DA5="alcance",$DE5="alcance"))),$CI5="Fixo",$CN5="",$CN5="—",AND(RIGHT($CN5,2)=" m",IFERROR(VALUE(SUBSTITUTE(LEFT($CN5,MAX(0,LEN($CN5)-2)),",",""))/10^IFERROR(LEN(LEFT($CN5,MAX(0,LEN($CN5)-2)))-FIND(",",LEFT($CN5,MAX(0,LEN($CN5)-2))),0),-1)&gt;0)),"","Base incompatível com escada: alcance/entidade/classe_0")</f>
        <v/>
      </c>
      <c r="EK5">
        <f>IF(OR(NOT(OR($DA5="alcance",$DE5="alcance")),$CO5&lt;&gt;""),"","Base de alcance ausente: entidade/classes_1_a_5")</f>
        <v/>
      </c>
      <c r="EL5">
        <f>IF(ISTEXT($CO5),"","Base precisa ser texto: alcance/entidade/classes_1_a_5")</f>
        <v/>
      </c>
      <c r="EM5">
        <f>IF(OR(NOT(OR($DA5="alcance",$DE5="alcance")),$CI5="Fixo",$CO5="",$CO5="—",AND(RIGHT($CO5,2)=" m",IFERROR(VALUE(SUBSTITUTE(LEFT($CO5,MAX(0,LEN($CO5)-2)),",",""))/10^IFERROR(LEN(LEFT($CO5,MAX(0,LEN($CO5)-2)))-FIND(",",LEFT($CO5,MAX(0,LEN($CO5)-2))),0),-1)&gt;0)),"","Base incompatível com escada: alcance/entidade/classes_1_a_5")</f>
        <v/>
      </c>
      <c r="EN5">
        <f>IF(OR(NOT(OR($DA5="alcance",$DE5="alcance")),$CP5&lt;&gt;""),"","Base de alcance ausente: entidade/classe_6")</f>
        <v/>
      </c>
      <c r="EO5">
        <f>IF(ISTEXT($CP5),"","Base precisa ser texto: alcance/entidade/classe_6")</f>
        <v/>
      </c>
      <c r="EP5">
        <f>IF(OR(NOT(OR($DA5="alcance",$DE5="alcance")),$CI5="Fixo",$CP5="",$CP5="—",AND(RIGHT($CP5,2)=" m",IFERROR(VALUE(SUBSTITUTE(LEFT($CP5,MAX(0,LEN($CP5)-2)),",",""))/10^IFERROR(LEN(LEFT($CP5,MAX(0,LEN($CP5)-2)))-FIND(",",LEFT($CP5,MAX(0,LEN($CP5)-2))),0),-1)&gt;0)),"","Base incompatível com escada: alcance/entidade/classe_6")</f>
        <v/>
      </c>
      <c r="EQ5">
        <f>IF(OR(NOT(OR($DA5="alcance",$DE5="alcance")),$CQ5&lt;&gt;""),"","Base de alcance ausente: entidade/classe_7")</f>
        <v/>
      </c>
      <c r="ER5">
        <f>IF(ISTEXT($CQ5),"","Base precisa ser texto: alcance/entidade/classe_7")</f>
        <v/>
      </c>
      <c r="ES5">
        <f>IF(OR(NOT(OR($DA5="alcance",$DE5="alcance")),$CI5="Fixo",$CQ5="",$CQ5="—",AND(RIGHT($CQ5,2)=" m",IFERROR(VALUE(SUBSTITUTE(LEFT($CQ5,MAX(0,LEN($CQ5)-2)),",",""))/10^IFERROR(LEN(LEFT($CQ5,MAX(0,LEN($CQ5)-2)))-FIND(",",LEFT($CQ5,MAX(0,LEN($CQ5)-2))),0),-1)&gt;0)),"","Base incompatível com escada: alcance/entidade/classe_7")</f>
        <v/>
      </c>
      <c r="ET5">
        <f>IF(OR($CJ5="Fixo",$CJ5="raio",$CJ5="comprimento"),"","ESCADA inválida para area")</f>
        <v/>
      </c>
      <c r="EU5">
        <f>IF(ISTEXT($CR5),"","Base precisa ser texto: area/personagem/classe_0")</f>
        <v/>
      </c>
      <c r="EV5">
        <f>IF(OR(NOT(AND($CG5,OR($DA5="area",$DE5="area"))),$CJ5="Fixo",$CR5="",$CR5="—",AND(AND(AND(RIGHT($CR5,2)=" m",IFERROR(VALUE(SUBSTITUTE(LEFT($CR5,MAX(0,LEN($CR5)-2)),",",""))/10^IFERROR(LEN(LEFT($CR5,MAX(0,LEN($CR5)-2)))-FIND(",",LEFT($CR5,MAX(0,LEN($CR5)-2))),0),-1)&gt;0),OR($CJ5&lt;&gt;"raio",IFERROR(VALUE(SUBSTITUTE(LEFT($CR5,MAX(0,LEN($CR5)-2)),",",""))/10^IFERROR(LEN(LEFT($CR5,MAX(0,LEN($CR5)-2)))-FIND(",",LEFT($CR5,MAX(0,LEN($CR5)-2))),0),-1)&lt;=15.0)),OR($CJ5&lt;&gt;"comprimento",IFERROR(VALUE(SUBSTITUTE(LEFT($CR5,MAX(0,LEN($CR5)-2)),",",""))/10^IFERROR(LEN(LEFT($CR5,MAX(0,LEN($CR5)-2)))-FIND(",",LEFT($CR5,MAX(0,LEN($CR5)-2))),0),-1)&lt;=60.0))),"","Base incompatível com escada: area/personagem/classe_0")</f>
        <v/>
      </c>
      <c r="EW5">
        <f>IF(ISTEXT($CS5),"","Base precisa ser texto: area/personagem/classes_1_a_5")</f>
        <v/>
      </c>
      <c r="EX5">
        <f>IF(OR(NOT(OR($DA5="area",$DE5="area")),$CJ5="Fixo",$CS5="",$CS5="—",AND(AND(AND(RIGHT($CS5,2)=" m",IFERROR(VALUE(SUBSTITUTE(LEFT($CS5,MAX(0,LEN($CS5)-2)),",",""))/10^IFERROR(LEN(LEFT($CS5,MAX(0,LEN($CS5)-2)))-FIND(",",LEFT($CS5,MAX(0,LEN($CS5)-2))),0),-1)&gt;0),OR($CJ5&lt;&gt;"raio",IFERROR(VALUE(SUBSTITUTE(LEFT($CS5,MAX(0,LEN($CS5)-2)),",",""))/10^IFERROR(LEN(LEFT($CS5,MAX(0,LEN($CS5)-2)))-FIND(",",LEFT($CS5,MAX(0,LEN($CS5)-2))),0),-1)&lt;=15.0)),OR($CJ5&lt;&gt;"comprimento",IFERROR(VALUE(SUBSTITUTE(LEFT($CS5,MAX(0,LEN($CS5)-2)),",",""))/10^IFERROR(LEN(LEFT($CS5,MAX(0,LEN($CS5)-2)))-FIND(",",LEFT($CS5,MAX(0,LEN($CS5)-2))),0),-1)&lt;=60.0))),"","Base incompatível com escada: area/personagem/classes_1_a_5")</f>
        <v/>
      </c>
      <c r="EY5">
        <f>IF(ISTEXT($CT5),"","Base precisa ser texto: area/personagem/classes_6_e_7")</f>
        <v/>
      </c>
      <c r="EZ5">
        <f>IF(OR(NOT(OR($DA5="area",$DE5="area")),$CJ5="Fixo",$CT5="",$CT5="—",AND(AND(AND(RIGHT($CT5,2)=" m",IFERROR(VALUE(SUBSTITUTE(LEFT($CT5,MAX(0,LEN($CT5)-2)),",",""))/10^IFERROR(LEN(LEFT($CT5,MAX(0,LEN($CT5)-2)))-FIND(",",LEFT($CT5,MAX(0,LEN($CT5)-2))),0),-1)&gt;0),OR($CJ5&lt;&gt;"raio",IFERROR(VALUE(SUBSTITUTE(LEFT($CT5,MAX(0,LEN($CT5)-2)),",",""))/10^IFERROR(LEN(LEFT($CT5,MAX(0,LEN($CT5)-2)))-FIND(",",LEFT($CT5,MAX(0,LEN($CT5)-2))),0),-1)&lt;=15.0)),OR($CJ5&lt;&gt;"comprimento",IFERROR(VALUE(SUBSTITUTE(LEFT($CT5,MAX(0,LEN($CT5)-2)),",",""))/10^IFERROR(LEN(LEFT($CT5,MAX(0,LEN($CT5)-2)))-FIND(",",LEFT($CT5,MAX(0,LEN($CT5)-2))),0),-1)&lt;=60.0))),"","Base incompatível com escada: area/personagem/classes_6_e_7")</f>
        <v/>
      </c>
      <c r="FA5">
        <f>IF(ISTEXT($CU5),"","Base precisa ser texto: area/entidade/classe_0")</f>
        <v/>
      </c>
      <c r="FB5">
        <f>IF(OR(NOT(AND($CG5,OR($DA5="area",$DE5="area"))),$CJ5="Fixo",$CU5="",$CU5="—",AND(AND(AND(RIGHT($CU5,2)=" m",IFERROR(VALUE(SUBSTITUTE(LEFT($CU5,MAX(0,LEN($CU5)-2)),",",""))/10^IFERROR(LEN(LEFT($CU5,MAX(0,LEN($CU5)-2)))-FIND(",",LEFT($CU5,MAX(0,LEN($CU5)-2))),0),-1)&gt;0),OR($CJ5&lt;&gt;"raio",IFERROR(VALUE(SUBSTITUTE(LEFT($CU5,MAX(0,LEN($CU5)-2)),",",""))/10^IFERROR(LEN(LEFT($CU5,MAX(0,LEN($CU5)-2)))-FIND(",",LEFT($CU5,MAX(0,LEN($CU5)-2))),0),-1)&lt;=15.0)),OR($CJ5&lt;&gt;"comprimento",IFERROR(VALUE(SUBSTITUTE(LEFT($CU5,MAX(0,LEN($CU5)-2)),",",""))/10^IFERROR(LEN(LEFT($CU5,MAX(0,LEN($CU5)-2)))-FIND(",",LEFT($CU5,MAX(0,LEN($CU5)-2))),0),-1)&lt;=60.0))),"","Base incompatível com escada: area/entidade/classe_0")</f>
        <v/>
      </c>
      <c r="FC5">
        <f>IF(ISTEXT($CV5),"","Base precisa ser texto: area/entidade/classes_1_a_5")</f>
        <v/>
      </c>
      <c r="FD5">
        <f>IF(OR(NOT(OR($DA5="area",$DE5="area")),$CJ5="Fixo",$CV5="",$CV5="—",AND(AND(AND(RIGHT($CV5,2)=" m",IFERROR(VALUE(SUBSTITUTE(LEFT($CV5,MAX(0,LEN($CV5)-2)),",",""))/10^IFERROR(LEN(LEFT($CV5,MAX(0,LEN($CV5)-2)))-FIND(",",LEFT($CV5,MAX(0,LEN($CV5)-2))),0),-1)&gt;0),OR($CJ5&lt;&gt;"raio",IFERROR(VALUE(SUBSTITUTE(LEFT($CV5,MAX(0,LEN($CV5)-2)),",",""))/10^IFERROR(LEN(LEFT($CV5,MAX(0,LEN($CV5)-2)))-FIND(",",LEFT($CV5,MAX(0,LEN($CV5)-2))),0),-1)&lt;=15.0)),OR($CJ5&lt;&gt;"comprimento",IFERROR(VALUE(SUBSTITUTE(LEFT($CV5,MAX(0,LEN($CV5)-2)),",",""))/10^IFERROR(LEN(LEFT($CV5,MAX(0,LEN($CV5)-2)))-FIND(",",LEFT($CV5,MAX(0,LEN($CV5)-2))),0),-1)&lt;=60.0))),"","Base incompatível com escada: area/entidade/classes_1_a_5")</f>
        <v/>
      </c>
      <c r="FE5">
        <f>IF(ISTEXT($CW5),"","Base precisa ser texto: area/entidade/classe_6")</f>
        <v/>
      </c>
      <c r="FF5">
        <f>IF(OR(NOT(OR($DA5="area",$DE5="area")),$CJ5="Fixo",$CW5="",$CW5="—",AND(AND(AND(RIGHT($CW5,2)=" m",IFERROR(VALUE(SUBSTITUTE(LEFT($CW5,MAX(0,LEN($CW5)-2)),",",""))/10^IFERROR(LEN(LEFT($CW5,MAX(0,LEN($CW5)-2)))-FIND(",",LEFT($CW5,MAX(0,LEN($CW5)-2))),0),-1)&gt;0),OR($CJ5&lt;&gt;"raio",IFERROR(VALUE(SUBSTITUTE(LEFT($CW5,MAX(0,LEN($CW5)-2)),",",""))/10^IFERROR(LEN(LEFT($CW5,MAX(0,LEN($CW5)-2)))-FIND(",",LEFT($CW5,MAX(0,LEN($CW5)-2))),0),-1)&lt;=15.0)),OR($CJ5&lt;&gt;"comprimento",IFERROR(VALUE(SUBSTITUTE(LEFT($CW5,MAX(0,LEN($CW5)-2)),",",""))/10^IFERROR(LEN(LEFT($CW5,MAX(0,LEN($CW5)-2)))-FIND(",",LEFT($CW5,MAX(0,LEN($CW5)-2))),0),-1)&lt;=60.0))),"","Base incompatível com escada: area/entidade/classe_6")</f>
        <v/>
      </c>
      <c r="FG5">
        <f>IF(ISTEXT($CX5),"","Base precisa ser texto: area/entidade/classe_7")</f>
        <v/>
      </c>
      <c r="FH5">
        <f>IF(OR(NOT(OR($DA5="area",$DE5="area")),$CJ5="Fixo",$CX5="",$CX5="—",AND(AND(AND(RIGHT($CX5,2)=" m",IFERROR(VALUE(SUBSTITUTE(LEFT($CX5,MAX(0,LEN($CX5)-2)),",",""))/10^IFERROR(LEN(LEFT($CX5,MAX(0,LEN($CX5)-2)))-FIND(",",LEFT($CX5,MAX(0,LEN($CX5)-2))),0),-1)&gt;0),OR($CJ5&lt;&gt;"raio",IFERROR(VALUE(SUBSTITUTE(LEFT($CX5,MAX(0,LEN($CX5)-2)),",",""))/10^IFERROR(LEN(LEFT($CX5,MAX(0,LEN($CX5)-2)))-FIND(",",LEFT($CX5,MAX(0,LEN($CX5)-2))),0),-1)&lt;=15.0)),OR($CJ5&lt;&gt;"comprimento",IFERROR(VALUE(SUBSTITUTE(LEFT($CX5,MAX(0,LEN($CX5)-2)),",",""))/10^IFERROR(LEN(LEFT($CX5,MAX(0,LEN($CX5)-2)))-FIND(",",LEFT($CX5,MAX(0,LEN($CX5)-2))),0),-1)&lt;=60.0))),"","Base incompatível com escada: area/entidade/classe_7")</f>
        <v/>
      </c>
      <c r="FJ5">
        <f>'DADOS_FORMAS'!$AH5</f>
        <v/>
      </c>
      <c r="FK5">
        <f>'DADOS_FORMAS'!$AM5</f>
        <v/>
      </c>
      <c r="FL5">
        <f>'DADOS_FORMAS'!$AN5</f>
        <v/>
      </c>
      <c r="FM5">
        <f>IF('DADOS_FORMAS'!$AN5=0,0,'DADOS_FORMAS'!$AN5+3*IFERROR(VLOOKUP(SUBSTITUTE(SUBSTITUTE(SUBSTITUTE('DADOS_FORMAS'!$AM5,"~","~~"),"*","~*"),"?","~?"),'DADOS_CRIACAO'!$H$2:$K$20,3,FALSE),0))</f>
        <v/>
      </c>
      <c r="FN5">
        <f>IFERROR(VLOOKUP(SUBSTITUTE(SUBSTITUTE(SUBSTITUTE('DADOS_FORMAS'!$AM5,"~","~~"),"*","~*"),"?","~?"),'DADOS_CRIACAO'!$H$2:$K$20,4,FALSE),0)</f>
        <v/>
      </c>
      <c r="FO5">
        <f>IF('DADOS_FORMAS'!$AS5="",0,1)</f>
        <v/>
      </c>
      <c r="FP5">
        <f>'DADOS_FORMAS'!$AP5</f>
        <v/>
      </c>
      <c r="FQ5">
        <f>IF(AND('DADOS_FORMAS'!$AO5="Acerto",'DADOS_FORMAS'!$AQ5),"Acerto + TR",'DADOS_FORMAS'!$AO5)</f>
        <v/>
      </c>
      <c r="FR5">
        <f>N(OR('DADOS_FORMAS'!$AQ5,'DADOS_FORMAS'!$AO5="TR, metade"))</f>
        <v/>
      </c>
      <c r="FS5">
        <f>'DADOS_FORMAS'!$BO5</f>
        <v/>
      </c>
      <c r="FT5">
        <f>'DADOS_FORMAS'!$BS5</f>
        <v/>
      </c>
      <c r="FU5">
        <f>'DADOS_FORMAS'!$BK5</f>
        <v/>
      </c>
      <c r="FV5">
        <f>N('DADOS_FORMAS'!$AR5)</f>
        <v/>
      </c>
      <c r="FW5">
        <f>IF(IFERROR(VLOOKUP(SUBSTITUTE(SUBSTITUTE(SUBSTITUTE('DADOS_FORMAS'!$AM5,"~","~~"),"*","~*"),"?","~?"),'DADOS_CRIACAO'!$H$2:$K$20,4,FALSE),0)=1,"",'DADOS_FORMAS'!$AH5)</f>
        <v/>
      </c>
      <c r="FX5">
        <f>IF(AND('DADOS_FORMAS'!$AR5,IFERROR(VLOOKUP(SUBSTITUTE(SUBSTITUTE(SUBSTITUTE('DADOS_FORMAS'!$AM5,"~","~~"),"*","~*"),"?","~?"),'DADOS_CRIACAO'!$H$2:$K$20,4,FALSE),0)=0),'DADOS_FORMAS'!$AH5,"")</f>
        <v/>
      </c>
      <c r="FZ5">
        <f>'DADOS_FORMAS'!$AH5</f>
        <v/>
      </c>
      <c r="GA5">
        <f>'DADOS_FORMAS'!$AM5</f>
        <v/>
      </c>
      <c r="GB5">
        <f>'DADOS_FORMAS'!$AN5</f>
        <v/>
      </c>
      <c r="GC5">
        <f>IF('DADOS_FORMAS'!$AS5="",0,1)</f>
        <v/>
      </c>
      <c r="GD5">
        <f>'DADOS_FORMAS'!$AP5</f>
        <v/>
      </c>
      <c r="GE5">
        <f>IF('DADOS_FORMAS'!$AO5="Acerto","Ataque",IF('DADOS_FORMAS'!$AQ5,"TR","—"))</f>
        <v/>
      </c>
      <c r="GF5">
        <f>N(OR('DADOS_FORMAS'!$AQ5,'DADOS_FORMAS'!$AO5="TR, metade"))</f>
        <v/>
      </c>
      <c r="GG5">
        <f>'DADOS_FORMAS'!$BO5</f>
        <v/>
      </c>
      <c r="GH5">
        <f>'DADOS_FORMAS'!$BS5</f>
        <v/>
      </c>
      <c r="GI5">
        <f>'DADOS_FORMAS'!$BK5</f>
        <v/>
      </c>
      <c r="GJ5">
        <f>N('DADOS_FORMAS'!$AR5)</f>
        <v/>
      </c>
      <c r="GL5" t="inlineStr">
        <is>
          <t>36 m</t>
        </is>
      </c>
      <c r="GN5" t="inlineStr">
        <is>
          <t>9 m</t>
        </is>
      </c>
      <c r="GP5" t="inlineStr">
        <is>
          <t>30 m</t>
        </is>
      </c>
      <c r="GR5">
        <f>'DADOS_FORMAS'!$BP12</f>
        <v/>
      </c>
      <c r="GS5">
        <f>IF('DADOS_FORMAS'!$BP12="area",'DADOS_FORMAS'!$AU12,'DADOS_FORMAS'!$AT12)</f>
        <v/>
      </c>
      <c r="GT5">
        <f>IF('DADOS_FORMAS'!$BP12="area",'DADOS_FORMAS'!$BD12,'DADOS_FORMAS'!$AW12)</f>
        <v/>
      </c>
      <c r="GU5">
        <f>'DADOS_FORMAS'!$BQ12</f>
        <v/>
      </c>
      <c r="GV5">
        <f>'DADOS_FORMAS'!$BR12</f>
        <v/>
      </c>
      <c r="GW5">
        <f>LET(base,'DADOS_FORMAS'!$GT5,escada,'DADOS_FORMAS'!$GS5,medida,LEFT(base,MAX(0,LEN(base)-2)),valor,IFERROR(VALUE(SUBSTITUTE(medida,",",""))/10^IFERROR(LEN(medida)-FIND(",",medida),0),1E99),IF(OR(escada="Fixo",base="—"),base,IF(escada="alcance",IFERROR(MATCH(base,{"1,5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 t="inlineStr">
        <is>
          <t>Toque · classe 0</t>
        </is>
      </c>
      <c r="GZ5" t="inlineStr">
        <is>
          <t>1,5 m, um alvo</t>
        </is>
      </c>
      <c r="HA5" t="inlineStr">
        <is>
          <t>1,5 m, um alvo</t>
        </is>
      </c>
      <c r="HB5" t="inlineStr">
        <is>
          <t>1,5 m, um alvo</t>
        </is>
      </c>
      <c r="HC5" t="inlineStr">
        <is>
          <t>1,5 m, um alvo</t>
        </is>
      </c>
      <c r="HD5" t="inlineStr">
        <is>
          <t>1,5 m, um alvo</t>
        </is>
      </c>
      <c r="HE5" t="inlineStr">
        <is>
          <t>1,5 m, um alvo</t>
        </is>
      </c>
      <c r="HF5" t="inlineStr"/>
      <c r="HG5" t="inlineStr"/>
      <c r="HH5" t="inlineStr"/>
      <c r="HI5" t="inlineStr"/>
      <c r="HJ5" t="inlineStr"/>
      <c r="HK5" t="inlineStr"/>
      <c r="HM5">
        <f>'DADOS_FORMAS'!$BP12</f>
        <v/>
      </c>
      <c r="HN5">
        <f>IF('DADOS_FORMAS'!$BP12="area",'DADOS_FORMAS'!$AU12,'DADOS_FORMAS'!$AT12)</f>
        <v/>
      </c>
      <c r="HO5">
        <f>IF('DADOS_FORMAS'!$BP12="area",'DADOS_FORMAS'!$BG12,'DADOS_FORMAS'!$AZ12)</f>
        <v/>
      </c>
      <c r="HP5">
        <f>'DADOS_FORMAS'!$BQ12</f>
        <v/>
      </c>
      <c r="HQ5">
        <f>'DADOS_FORMAS'!$BR12</f>
        <v/>
      </c>
      <c r="HR5">
        <f>LET(base,'DADOS_FORMAS'!$HO5,escada,'DADOS_FORMAS'!$HN5,medida,LEFT(base,MAX(0,LEN(base)-2)),valor,IFERROR(VALUE(SUBSTITUTE(medida,",",""))/10^IFERROR(LEN(medida)-FIND(",",medida),0),1E99),IF(OR(escada="Fixo",base="—"),base,IF(escada="alcance",IFERROR(MATCH(base,{"1,5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 t="inlineStr">
        <is>
          <t>Projétil · classe 7</t>
        </is>
      </c>
      <c r="HU5" t="inlineStr">
        <is>
          <t>36 m, um alvo</t>
        </is>
      </c>
      <c r="HV5" t="inlineStr">
        <is>
          <t>90 m, um alvo</t>
        </is>
      </c>
      <c r="HW5" t="inlineStr">
        <is>
          <t>Visão a olho nu, um alvo</t>
        </is>
      </c>
      <c r="HX5" t="inlineStr">
        <is>
          <t>Visão a olho nu, um alvo</t>
        </is>
      </c>
      <c r="HY5" t="inlineStr">
        <is>
          <t>Visão a olho nu, um alvo</t>
        </is>
      </c>
      <c r="HZ5" t="inlineStr">
        <is>
          <t>Visão a olho nu, um alvo</t>
        </is>
      </c>
      <c r="IA5" t="inlineStr"/>
      <c r="IB5" t="inlineStr"/>
      <c r="IC5" t="inlineStr"/>
      <c r="ID5" t="inlineStr"/>
      <c r="IE5" t="inlineStr"/>
      <c r="IF5" t="inlineStr"/>
      <c r="IH5">
        <f>IF(OR('DADOS_FORMAS'!$AM5='INVOCAÇÕES'!$O$48,'DADOS_FORMAS'!$AM5='INVOCAÇÕES'!$P$48,'DADOS_FORMAS'!$AM5='INVOCAÇÕES'!$Q$48,'DADOS_FORMAS'!$AM5='INVOCAÇÕES'!$R$48,'DADOS_FORMAS'!$AM5='INVOCAÇÕES'!$S$48,'DADOS_FORMAS'!$AM5='INVOCAÇÕES'!$O$50,'DADOS_FORMAS'!$AM5='INVOCAÇÕES'!$P$50,'DADOS_FORMAS'!$AM5='INVOCAÇÕES'!$Q$50,'DADOS_FORMAS'!$AM5='INVOCAÇÕES'!$R$50,'DADOS_FORMAS'!$AM5=""),'DADOS_FORMAS'!$AH5,"")</f>
        <v/>
      </c>
      <c r="II5">
        <f>IF(AND(OR('DADOS_FORMAS'!$AM5='INVOCAÇÕES'!$O$48,'DADOS_FORMAS'!$AM5='INVOCAÇÕES'!$P$48,'DADOS_FORMAS'!$AM5='INVOCAÇÕES'!$Q$48,'DADOS_FORMAS'!$AM5='INVOCAÇÕES'!$R$48,'DADOS_FORMAS'!$AM5='INVOCAÇÕES'!$S$48,'DADOS_FORMAS'!$AM5='INVOCAÇÕES'!$O$50,'DADOS_FORMAS'!$AM5='INVOCAÇÕES'!$P$50,'DADOS_FORMAS'!$AM5='INVOCAÇÕES'!$Q$50,'DADOS_FORMAS'!$AM5='INVOCAÇÕES'!$R$50,'DADOS_FORMAS'!$AM5=""),'DADOS_FORMAS'!$AR5),'DADOS_FORMAS'!$AH5,"")</f>
        <v/>
      </c>
      <c r="IK5">
        <f>IF(OR('DADOS_FORMAS'!$AM5='INVOCAÇÕES'!$O$259,'DADOS_FORMAS'!$AM5='INVOCAÇÕES'!$P$259,'DADOS_FORMAS'!$AM5='INVOCAÇÕES'!$Q$259,'DADOS_FORMAS'!$AM5='INVOCAÇÕES'!$R$259,'DADOS_FORMAS'!$AM5='INVOCAÇÕES'!$S$259,'DADOS_FORMAS'!$AM5='INVOCAÇÕES'!$O$261,'DADOS_FORMAS'!$AM5='INVOCAÇÕES'!$P$261,'DADOS_FORMAS'!$AM5='INVOCAÇÕES'!$Q$261,'DADOS_FORMAS'!$AM5='INVOCAÇÕES'!$R$261,'DADOS_FORMAS'!$AM5=""),'DADOS_FORMAS'!$AH5,"")</f>
        <v/>
      </c>
      <c r="IL5">
        <f>IF(AND(OR('DADOS_FORMAS'!$AM5='INVOCAÇÕES'!$O$259,'DADOS_FORMAS'!$AM5='INVOCAÇÕES'!$P$259,'DADOS_FORMAS'!$AM5='INVOCAÇÕES'!$Q$259,'DADOS_FORMAS'!$AM5='INVOCAÇÕES'!$R$259,'DADOS_FORMAS'!$AM5='INVOCAÇÕES'!$S$259,'DADOS_FORMAS'!$AM5='INVOCAÇÕES'!$O$261,'DADOS_FORMAS'!$AM5='INVOCAÇÕES'!$P$261,'DADOS_FORMAS'!$AM5='INVOCAÇÕES'!$Q$261,'DADOS_FORMAS'!$AM5='INVOCAÇÕES'!$R$261,'DADOS_FORMAS'!$AM5=""),'DADOS_FORMAS'!$AR5),'DADOS_FORMAS'!$AH5,"")</f>
        <v/>
      </c>
      <c r="IN5">
        <f>IF(OR('DADOS_FORMAS'!$AM5='INVOCAÇÕES'!$O$470,'DADOS_FORMAS'!$AM5='INVOCAÇÕES'!$P$470,'DADOS_FORMAS'!$AM5='INVOCAÇÕES'!$Q$470,'DADOS_FORMAS'!$AM5='INVOCAÇÕES'!$R$470,'DADOS_FORMAS'!$AM5='INVOCAÇÕES'!$S$470,'DADOS_FORMAS'!$AM5='INVOCAÇÕES'!$O$472,'DADOS_FORMAS'!$AM5='INVOCAÇÕES'!$P$472,'DADOS_FORMAS'!$AM5='INVOCAÇÕES'!$Q$472,'DADOS_FORMAS'!$AM5='INVOCAÇÕES'!$R$472,'DADOS_FORMAS'!$AM5=""),'DADOS_FORMAS'!$AH5,"")</f>
        <v/>
      </c>
      <c r="IO5">
        <f>IF(AND(OR('DADOS_FORMAS'!$AM5='INVOCAÇÕES'!$O$470,'DADOS_FORMAS'!$AM5='INVOCAÇÕES'!$P$470,'DADOS_FORMAS'!$AM5='INVOCAÇÕES'!$Q$470,'DADOS_FORMAS'!$AM5='INVOCAÇÕES'!$R$470,'DADOS_FORMAS'!$AM5='INVOCAÇÕES'!$S$470,'DADOS_FORMAS'!$AM5='INVOCAÇÕES'!$O$472,'DADOS_FORMAS'!$AM5='INVOCAÇÕES'!$P$472,'DADOS_FORMAS'!$AM5='INVOCAÇÕES'!$Q$472,'DADOS_FORMAS'!$AM5='INVOCAÇÕES'!$R$472,'DADOS_FORMAS'!$AM5=""),'DADOS_FORMAS'!$AR5),'DADOS_FORMAS'!$AH5,"")</f>
        <v/>
      </c>
      <c r="IQ5">
        <f>IF(OR('DADOS_FORMAS'!$AM5='INVOCAÇÕES'!$O$681,'DADOS_FORMAS'!$AM5='INVOCAÇÕES'!$P$681,'DADOS_FORMAS'!$AM5='INVOCAÇÕES'!$Q$681,'DADOS_FORMAS'!$AM5='INVOCAÇÕES'!$R$681,'DADOS_FORMAS'!$AM5='INVOCAÇÕES'!$S$681,'DADOS_FORMAS'!$AM5='INVOCAÇÕES'!$O$683,'DADOS_FORMAS'!$AM5='INVOCAÇÕES'!$P$683,'DADOS_FORMAS'!$AM5='INVOCAÇÕES'!$Q$683,'DADOS_FORMAS'!$AM5='INVOCAÇÕES'!$R$683,'DADOS_FORMAS'!$AM5=""),'DADOS_FORMAS'!$AH5,"")</f>
        <v/>
      </c>
      <c r="IR5">
        <f>IF(AND(OR('DADOS_FORMAS'!$AM5='INVOCAÇÕES'!$O$681,'DADOS_FORMAS'!$AM5='INVOCAÇÕES'!$P$681,'DADOS_FORMAS'!$AM5='INVOCAÇÕES'!$Q$681,'DADOS_FORMAS'!$AM5='INVOCAÇÕES'!$R$681,'DADOS_FORMAS'!$AM5='INVOCAÇÕES'!$S$681,'DADOS_FORMAS'!$AM5='INVOCAÇÕES'!$O$683,'DADOS_FORMAS'!$AM5='INVOCAÇÕES'!$P$683,'DADOS_FORMAS'!$AM5='INVOCAÇÕES'!$Q$683,'DADOS_FORMAS'!$AM5='INVOCAÇÕES'!$R$683,'DADOS_FORMAS'!$AM5=""),'DADOS_FORMAS'!$AR5),'DADOS_FORMAS'!$AH5,"")</f>
        <v/>
      </c>
      <c r="IT5">
        <f>IF(OR('DADOS_FORMAS'!$AM5='INVOCAÇÕES'!$O$892,'DADOS_FORMAS'!$AM5='INVOCAÇÕES'!$P$892,'DADOS_FORMAS'!$AM5='INVOCAÇÕES'!$Q$892,'DADOS_FORMAS'!$AM5='INVOCAÇÕES'!$R$892,'DADOS_FORMAS'!$AM5='INVOCAÇÕES'!$S$892,'DADOS_FORMAS'!$AM5='INVOCAÇÕES'!$O$894,'DADOS_FORMAS'!$AM5='INVOCAÇÕES'!$P$894,'DADOS_FORMAS'!$AM5='INVOCAÇÕES'!$Q$894,'DADOS_FORMAS'!$AM5='INVOCAÇÕES'!$R$894,'DADOS_FORMAS'!$AM5=""),'DADOS_FORMAS'!$AH5,"")</f>
        <v/>
      </c>
      <c r="IU5">
        <f>IF(AND(OR('DADOS_FORMAS'!$AM5='INVOCAÇÕES'!$O$892,'DADOS_FORMAS'!$AM5='INVOCAÇÕES'!$P$892,'DADOS_FORMAS'!$AM5='INVOCAÇÕES'!$Q$892,'DADOS_FORMAS'!$AM5='INVOCAÇÕES'!$R$892,'DADOS_FORMAS'!$AM5='INVOCAÇÕES'!$S$892,'DADOS_FORMAS'!$AM5='INVOCAÇÕES'!$O$894,'DADOS_FORMAS'!$AM5='INVOCAÇÕES'!$P$894,'DADOS_FORMAS'!$AM5='INVOCAÇÕES'!$Q$894,'DADOS_FORMAS'!$AM5='INVOCAÇÕES'!$R$894,'DADOS_FORMAS'!$AM5=""),'DADOS_FORMAS'!$AR5),'DADOS_FORMAS'!$AH5,"")</f>
        <v/>
      </c>
      <c r="IW5">
        <f>IF(OR('DADOS_FORMAS'!$AM5='INVOCAÇÕES'!$O$1103,'DADOS_FORMAS'!$AM5='INVOCAÇÕES'!$P$1103,'DADOS_FORMAS'!$AM5='INVOCAÇÕES'!$Q$1103,'DADOS_FORMAS'!$AM5='INVOCAÇÕES'!$R$1103,'DADOS_FORMAS'!$AM5='INVOCAÇÕES'!$S$1103,'DADOS_FORMAS'!$AM5='INVOCAÇÕES'!$O$1105,'DADOS_FORMAS'!$AM5='INVOCAÇÕES'!$P$1105,'DADOS_FORMAS'!$AM5='INVOCAÇÕES'!$Q$1105,'DADOS_FORMAS'!$AM5='INVOCAÇÕES'!$R$1105,'DADOS_FORMAS'!$AM5=""),'DADOS_FORMAS'!$AH5,"")</f>
        <v/>
      </c>
      <c r="IX5">
        <f>IF(AND(OR('DADOS_FORMAS'!$AM5='INVOCAÇÕES'!$O$1103,'DADOS_FORMAS'!$AM5='INVOCAÇÕES'!$P$1103,'DADOS_FORMAS'!$AM5='INVOCAÇÕES'!$Q$1103,'DADOS_FORMAS'!$AM5='INVOCAÇÕES'!$R$1103,'DADOS_FORMAS'!$AM5='INVOCAÇÕES'!$S$1103,'DADOS_FORMAS'!$AM5='INVOCAÇÕES'!$O$1105,'DADOS_FORMAS'!$AM5='INVOCAÇÕES'!$P$1105,'DADOS_FORMAS'!$AM5='INVOCAÇÕES'!$Q$1105,'DADOS_FORMAS'!$AM5='INVOCAÇÕES'!$R$1105,'DADOS_FORMAS'!$AM5=""),'DADOS_FORMAS'!$AR5),'DADOS_FORMAS'!$AH5,"")</f>
        <v/>
      </c>
      <c r="IZ5">
        <f>IF(OR('DADOS_FORMAS'!$AM5='INVOCAÇÕES'!$AH$48,'DADOS_FORMAS'!$AM5='INVOCAÇÕES'!$AI$48,'DADOS_FORMAS'!$AM5='INVOCAÇÕES'!$AJ$48,'DADOS_FORMAS'!$AM5='INVOCAÇÕES'!$AK$48,'DADOS_FORMAS'!$AM5='INVOCAÇÕES'!$AL$48,'DADOS_FORMAS'!$AM5='INVOCAÇÕES'!$AH$50,'DADOS_FORMAS'!$AM5='INVOCAÇÕES'!$AI$50,'DADOS_FORMAS'!$AM5='INVOCAÇÕES'!$AJ$50,'DADOS_FORMAS'!$AM5='INVOCAÇÕES'!$AK$50,'DADOS_FORMAS'!$AM5=""),'DADOS_FORMAS'!$AH5,"")</f>
        <v/>
      </c>
      <c r="JA5">
        <f>IF(AND(OR('DADOS_FORMAS'!$AM5='INVOCAÇÕES'!$AH$48,'DADOS_FORMAS'!$AM5='INVOCAÇÕES'!$AI$48,'DADOS_FORMAS'!$AM5='INVOCAÇÕES'!$AJ$48,'DADOS_FORMAS'!$AM5='INVOCAÇÕES'!$AK$48,'DADOS_FORMAS'!$AM5='INVOCAÇÕES'!$AL$48,'DADOS_FORMAS'!$AM5='INVOCAÇÕES'!$AH$50,'DADOS_FORMAS'!$AM5='INVOCAÇÕES'!$AI$50,'DADOS_FORMAS'!$AM5='INVOCAÇÕES'!$AJ$50,'DADOS_FORMAS'!$AM5='INVOCAÇÕES'!$AK$50,'DADOS_FORMAS'!$AM5=""),'DADOS_FORMAS'!$AR5),'DADOS_FORMAS'!$AH5,"")</f>
        <v/>
      </c>
      <c r="JC5">
        <f>IF(OR('DADOS_FORMAS'!$AM5='INVOCAÇÕES'!$AH$259,'DADOS_FORMAS'!$AM5='INVOCAÇÕES'!$AI$259,'DADOS_FORMAS'!$AM5='INVOCAÇÕES'!$AJ$259,'DADOS_FORMAS'!$AM5='INVOCAÇÕES'!$AK$259,'DADOS_FORMAS'!$AM5='INVOCAÇÕES'!$AL$259,'DADOS_FORMAS'!$AM5='INVOCAÇÕES'!$AH$261,'DADOS_FORMAS'!$AM5='INVOCAÇÕES'!$AI$261,'DADOS_FORMAS'!$AM5='INVOCAÇÕES'!$AJ$261,'DADOS_FORMAS'!$AM5='INVOCAÇÕES'!$AK$261,'DADOS_FORMAS'!$AM5=""),'DADOS_FORMAS'!$AH5,"")</f>
        <v/>
      </c>
      <c r="JD5">
        <f>IF(AND(OR('DADOS_FORMAS'!$AM5='INVOCAÇÕES'!$AH$259,'DADOS_FORMAS'!$AM5='INVOCAÇÕES'!$AI$259,'DADOS_FORMAS'!$AM5='INVOCAÇÕES'!$AJ$259,'DADOS_FORMAS'!$AM5='INVOCAÇÕES'!$AK$259,'DADOS_FORMAS'!$AM5='INVOCAÇÕES'!$AL$259,'DADOS_FORMAS'!$AM5='INVOCAÇÕES'!$AH$261,'DADOS_FORMAS'!$AM5='INVOCAÇÕES'!$AI$261,'DADOS_FORMAS'!$AM5='INVOCAÇÕES'!$AJ$261,'DADOS_FORMAS'!$AM5='INVOCAÇÕES'!$AK$261,'DADOS_FORMAS'!$AM5=""),'DADOS_FORMAS'!$AR5),'DADOS_FORMAS'!$AH5,"")</f>
        <v/>
      </c>
      <c r="JF5">
        <f>IF(OR('DADOS_FORMAS'!$AM5='INVOCAÇÕES'!$AH$470,'DADOS_FORMAS'!$AM5='INVOCAÇÕES'!$AI$470,'DADOS_FORMAS'!$AM5='INVOCAÇÕES'!$AJ$470,'DADOS_FORMAS'!$AM5='INVOCAÇÕES'!$AK$470,'DADOS_FORMAS'!$AM5='INVOCAÇÕES'!$AL$470,'DADOS_FORMAS'!$AM5='INVOCAÇÕES'!$AH$472,'DADOS_FORMAS'!$AM5='INVOCAÇÕES'!$AI$472,'DADOS_FORMAS'!$AM5='INVOCAÇÕES'!$AJ$472,'DADOS_FORMAS'!$AM5='INVOCAÇÕES'!$AK$472,'DADOS_FORMAS'!$AM5=""),'DADOS_FORMAS'!$AH5,"")</f>
        <v/>
      </c>
      <c r="JG5">
        <f>IF(AND(OR('DADOS_FORMAS'!$AM5='INVOCAÇÕES'!$AH$470,'DADOS_FORMAS'!$AM5='INVOCAÇÕES'!$AI$470,'DADOS_FORMAS'!$AM5='INVOCAÇÕES'!$AJ$470,'DADOS_FORMAS'!$AM5='INVOCAÇÕES'!$AK$470,'DADOS_FORMAS'!$AM5='INVOCAÇÕES'!$AL$470,'DADOS_FORMAS'!$AM5='INVOCAÇÕES'!$AH$472,'DADOS_FORMAS'!$AM5='INVOCAÇÕES'!$AI$472,'DADOS_FORMAS'!$AM5='INVOCAÇÕES'!$AJ$472,'DADOS_FORMAS'!$AM5='INVOCAÇÕES'!$AK$472,'DADOS_FORMAS'!$AM5=""),'DADOS_FORMAS'!$AR5),'DADOS_FORMAS'!$AH5,"")</f>
        <v/>
      </c>
      <c r="JI5">
        <f>IF(OR('DADOS_FORMAS'!$AM5='INVOCAÇÕES'!$AH$681,'DADOS_FORMAS'!$AM5='INVOCAÇÕES'!$AI$681,'DADOS_FORMAS'!$AM5='INVOCAÇÕES'!$AJ$681,'DADOS_FORMAS'!$AM5='INVOCAÇÕES'!$AK$681,'DADOS_FORMAS'!$AM5='INVOCAÇÕES'!$AL$681,'DADOS_FORMAS'!$AM5='INVOCAÇÕES'!$AH$683,'DADOS_FORMAS'!$AM5='INVOCAÇÕES'!$AI$683,'DADOS_FORMAS'!$AM5='INVOCAÇÕES'!$AJ$683,'DADOS_FORMAS'!$AM5='INVOCAÇÕES'!$AK$683,'DADOS_FORMAS'!$AM5=""),'DADOS_FORMAS'!$AH5,"")</f>
        <v/>
      </c>
      <c r="JJ5">
        <f>IF(AND(OR('DADOS_FORMAS'!$AM5='INVOCAÇÕES'!$AH$681,'DADOS_FORMAS'!$AM5='INVOCAÇÕES'!$AI$681,'DADOS_FORMAS'!$AM5='INVOCAÇÕES'!$AJ$681,'DADOS_FORMAS'!$AM5='INVOCAÇÕES'!$AK$681,'DADOS_FORMAS'!$AM5='INVOCAÇÕES'!$AL$681,'DADOS_FORMAS'!$AM5='INVOCAÇÕES'!$AH$683,'DADOS_FORMAS'!$AM5='INVOCAÇÕES'!$AI$683,'DADOS_FORMAS'!$AM5='INVOCAÇÕES'!$AJ$683,'DADOS_FORMAS'!$AM5='INVOCAÇÕES'!$AK$683,'DADOS_FORMAS'!$AM5=""),'DADOS_FORMAS'!$AR5),'DADOS_FORMAS'!$AH5,"")</f>
        <v/>
      </c>
      <c r="JL5">
        <f>IF(OR('DADOS_FORMAS'!$AM5='INVOCAÇÕES'!$AH$892,'DADOS_FORMAS'!$AM5='INVOCAÇÕES'!$AI$892,'DADOS_FORMAS'!$AM5='INVOCAÇÕES'!$AJ$892,'DADOS_FORMAS'!$AM5='INVOCAÇÕES'!$AK$892,'DADOS_FORMAS'!$AM5='INVOCAÇÕES'!$AL$892,'DADOS_FORMAS'!$AM5='INVOCAÇÕES'!$AH$894,'DADOS_FORMAS'!$AM5='INVOCAÇÕES'!$AI$894,'DADOS_FORMAS'!$AM5='INVOCAÇÕES'!$AJ$894,'DADOS_FORMAS'!$AM5='INVOCAÇÕES'!$AK$894,'DADOS_FORMAS'!$AM5=""),'DADOS_FORMAS'!$AH5,"")</f>
        <v/>
      </c>
      <c r="JM5">
        <f>IF(AND(OR('DADOS_FORMAS'!$AM5='INVOCAÇÕES'!$AH$892,'DADOS_FORMAS'!$AM5='INVOCAÇÕES'!$AI$892,'DADOS_FORMAS'!$AM5='INVOCAÇÕES'!$AJ$892,'DADOS_FORMAS'!$AM5='INVOCAÇÕES'!$AK$892,'DADOS_FORMAS'!$AM5='INVOCAÇÕES'!$AL$892,'DADOS_FORMAS'!$AM5='INVOCAÇÕES'!$AH$894,'DADOS_FORMAS'!$AM5='INVOCAÇÕES'!$AI$894,'DADOS_FORMAS'!$AM5='INVOCAÇÕES'!$AJ$894,'DADOS_FORMAS'!$AM5='INVOCAÇÕES'!$AK$894,'DADOS_FORMAS'!$AM5=""),'DADOS_FORMAS'!$AR5),'DADOS_FORMAS'!$AH5,"")</f>
        <v/>
      </c>
      <c r="JO5">
        <f>IF(OR('DADOS_FORMAS'!$AM5='INVOCAÇÕES'!$AH$1103,'DADOS_FORMAS'!$AM5='INVOCAÇÕES'!$AI$1103,'DADOS_FORMAS'!$AM5='INVOCAÇÕES'!$AJ$1103,'DADOS_FORMAS'!$AM5='INVOCAÇÕES'!$AK$1103,'DADOS_FORMAS'!$AM5='INVOCAÇÕES'!$AL$1103,'DADOS_FORMAS'!$AM5='INVOCAÇÕES'!$AH$1105,'DADOS_FORMAS'!$AM5='INVOCAÇÕES'!$AI$1105,'DADOS_FORMAS'!$AM5='INVOCAÇÕES'!$AJ$1105,'DADOS_FORMAS'!$AM5='INVOCAÇÕES'!$AK$1105,'DADOS_FORMAS'!$AM5=""),'DADOS_FORMAS'!$AH5,"")</f>
        <v/>
      </c>
      <c r="JP5">
        <f>IF(AND(OR('DADOS_FORMAS'!$AM5='INVOCAÇÕES'!$AH$1103,'DADOS_FORMAS'!$AM5='INVOCAÇÕES'!$AI$1103,'DADOS_FORMAS'!$AM5='INVOCAÇÕES'!$AJ$1103,'DADOS_FORMAS'!$AM5='INVOCAÇÕES'!$AK$1103,'DADOS_FORMAS'!$AM5='INVOCAÇÕES'!$AL$1103,'DADOS_FORMAS'!$AM5='INVOCAÇÕES'!$AH$1105,'DADOS_FORMAS'!$AM5='INVOCAÇÕES'!$AI$1105,'DADOS_FORMAS'!$AM5='INVOCAÇÕES'!$AJ$1105,'DADOS_FORMAS'!$AM5='INVOCAÇÕES'!$AK$1105,'DADOS_FORMAS'!$AM5=""),'DADOS_FORMAS'!$AR5),'DADOS_FORMAS'!$AH5,"")</f>
        <v/>
      </c>
      <c r="JR5" t="inlineStr">
        <is>
          <t>Explosão</t>
        </is>
      </c>
      <c r="JS5" t="inlineStr">
        <is>
          <t>Pesada</t>
        </is>
      </c>
      <c r="JU5" t="inlineStr">
        <is>
          <t>Efeito</t>
        </is>
      </c>
      <c r="JZ5">
        <f>IFERROR(INDEX('DADOS_CRIACAO'!$H$2:$H$20,3),"")</f>
        <v/>
      </c>
      <c r="KA5">
        <f>IFERROR(INDEX(INDEX('DADOS_RESTRICOES'!$M$2:$Q$54,0,1),3),"")</f>
        <v/>
      </c>
    </row>
    <row r="6">
      <c r="A6">
        <f>IF(ISBLANK('CONFIGURAÇÃO'!$EZ$106),"",'CONFIGURAÇÃO'!$EZ$106)</f>
        <v/>
      </c>
      <c r="B6">
        <f>IF(ISBLANK('CONFIGURAÇÃO'!$EZ$108),"",'CONFIGURAÇÃO'!$EZ$108)</f>
        <v/>
      </c>
      <c r="C6">
        <f>IF(ISBLANK('CONFIGURAÇÃO'!$FC$109),"",'CONFIGURAÇÃO'!$FC$109)</f>
        <v/>
      </c>
      <c r="D6">
        <f>IF(ISBLANK('CONFIGURAÇÃO'!$FD$106),"",'CONFIGURAÇÃO'!$FD$106)</f>
        <v/>
      </c>
      <c r="E6">
        <f>IF(ISBLANK('CONFIGURAÇÃO'!$EZ$135),"",'CONFIGURAÇÃO'!$EZ$135)</f>
        <v/>
      </c>
      <c r="F6">
        <f>IF(ISBLANK('CONFIGURAÇÃO'!$EZ$141),"",'CONFIGURAÇÃO'!$EZ$141)</f>
        <v/>
      </c>
      <c r="G6">
        <f>IF(ISBLANK('CONFIGURAÇÃO'!$FC$110),"",'CONFIGURAÇÃO'!$FC$110)</f>
        <v/>
      </c>
      <c r="H6">
        <f>IF(ISBLANK('CONFIGURAÇÃO'!$FC$111),"",'CONFIGURAÇÃO'!$FC$111)</f>
        <v/>
      </c>
      <c r="I6">
        <f>IF(ISBLANK('CONFIGURAÇÃO'!$FC$112),"",'CONFIGURAÇÃO'!$FC$112)</f>
        <v/>
      </c>
      <c r="J6">
        <f>IF(ISBLANK('CONFIGURAÇÃO'!$FC$113),"",'CONFIGURAÇÃO'!$FC$113)</f>
        <v/>
      </c>
      <c r="K6">
        <f>IF(ISBLANK('CONFIGURAÇÃO'!$FC$114),"",'CONFIGURAÇÃO'!$FC$114)</f>
        <v/>
      </c>
      <c r="L6">
        <f>IF(ISBLANK('CONFIGURAÇÃO'!$FC$115),"",'CONFIGURAÇÃO'!$FC$115)</f>
        <v/>
      </c>
      <c r="M6">
        <f>IF(ISBLANK('CONFIGURAÇÃO'!$FC$116),"",'CONFIGURAÇÃO'!$FC$116)</f>
        <v/>
      </c>
      <c r="N6">
        <f>IF(ISBLANK('CONFIGURAÇÃO'!$FC$117),"",'CONFIGURAÇÃO'!$FC$117)</f>
        <v/>
      </c>
      <c r="O6">
        <f>IF(ISBLANK('CONFIGURAÇÃO'!$FC$118),"",'CONFIGURAÇÃO'!$FC$118)</f>
        <v/>
      </c>
      <c r="P6">
        <f>IF(ISBLANK('CONFIGURAÇÃO'!$FC$119),"",'CONFIGURAÇÃO'!$FC$119)</f>
        <v/>
      </c>
      <c r="Q6">
        <f>IF(ISBLANK('CONFIGURAÇÃO'!$FC$120),"",'CONFIGURAÇÃO'!$FC$120)</f>
        <v/>
      </c>
      <c r="R6">
        <f>IF(ISBLANK('CONFIGURAÇÃO'!$FC$121),"",'CONFIGURAÇÃO'!$FC$121)</f>
        <v/>
      </c>
      <c r="S6">
        <f>IF(ISBLANK('CONFIGURAÇÃO'!$FC$122),"",'CONFIGURAÇÃO'!$FC$122)</f>
        <v/>
      </c>
      <c r="T6">
        <f>IF(ISBLANK('CONFIGURAÇÃO'!$FC$123),"",'CONFIGURAÇÃO'!$FC$123)</f>
        <v/>
      </c>
      <c r="U6">
        <f>IF(ISBLANK('CONFIGURAÇÃO'!$FC$124),"",'CONFIGURAÇÃO'!$FC$124)</f>
        <v/>
      </c>
      <c r="V6">
        <f>IF(ISBLANK('CONFIGURAÇÃO'!$FC$125),"",'CONFIGURAÇÃO'!$FC$125)</f>
        <v/>
      </c>
      <c r="W6">
        <f>IF(ISBLANK('CONFIGURAÇÃO'!$FC$126),"",'CONFIGURAÇÃO'!$FC$126)</f>
        <v/>
      </c>
      <c r="X6">
        <f>IF(ISBLANK('CONFIGURAÇÃO'!$FC$127),"",'CONFIGURAÇÃO'!$FC$127)</f>
        <v/>
      </c>
      <c r="Y6">
        <f>IF(ISBLANK('CONFIGURAÇÃO'!$FC$128),"",'CONFIGURAÇÃO'!$FC$128)</f>
        <v/>
      </c>
      <c r="Z6">
        <f>IF(ISBLANK('CONFIGURAÇÃO'!$FC$129),"",'CONFIGURAÇÃO'!$FC$129)</f>
        <v/>
      </c>
      <c r="AA6">
        <f>IF(ISBLANK('CONFIGURAÇÃO'!$FC$130),"",'CONFIGURAÇÃO'!$FC$130)</f>
        <v/>
      </c>
      <c r="AB6">
        <f>IF(ISBLANK('CONFIGURAÇÃO'!$FC$131),"",'CONFIGURAÇÃO'!$FC$131)</f>
        <v/>
      </c>
      <c r="AC6">
        <f>IF(ISBLANK('CONFIGURAÇÃO'!$FC$132),"",'CONFIGURAÇÃO'!$FC$132)</f>
        <v/>
      </c>
      <c r="AD6">
        <f>IF($AF6,TEXTJOIN(" · ",TRUE,$DJ6:$FH6),"")</f>
        <v/>
      </c>
      <c r="AE6">
        <f>IF(OR($C6="",$C6="Nenhuma"),0,IFERROR(MATCH(SUBSTITUTE(SUBSTITUTE(SUBSTITUTE($C6,"~","~~"),"*","~*"),"?","~?"),'DADOS_FORMAS'!$AH$2:$AH$11,0),-1))</f>
        <v/>
      </c>
      <c r="AF6">
        <f>OR($B6&lt;&gt;"",$C6&lt;&gt;"",$E6&lt;&gt;"",$F6&lt;&gt;"",$G6&lt;&gt;"",$H6&lt;&gt;"",$I6&lt;&gt;"",$J6&lt;&gt;"",$K6&lt;&gt;"",$L6&lt;&gt;"",$M6&lt;&gt;"",$N6&lt;&gt;"",$O6&lt;&gt;"",$P6&lt;&gt;"",$Q6&lt;&gt;"",$R6&lt;&gt;"",$S6&lt;&gt;"",$T6&lt;&gt;"",$U6&lt;&gt;"",$V6&lt;&gt;"",$W6&lt;&gt;"",$X6&lt;&gt;"",$Y6&lt;&gt;"",$Z6&lt;&gt;"",$AA6&lt;&gt;"",$AB6&lt;&gt;"",$AC6&lt;&gt;"",AND($D6&lt;&gt;"",$D6&lt;&gt;FALSE),AND($A6&lt;&gt;"",$A6&lt;&gt;"Forma"))</f>
        <v/>
      </c>
      <c r="AG6" t="inlineStr">
        <is>
          <t>Forma</t>
        </is>
      </c>
      <c r="AH6" t="inlineStr">
        <is>
          <t>Cone</t>
        </is>
      </c>
      <c r="AI6">
        <f>""</f>
        <v/>
      </c>
      <c r="AJ6" t="b">
        <v>0</v>
      </c>
      <c r="AK6">
        <f>""</f>
        <v/>
      </c>
      <c r="AL6" t="inlineStr">
        <is>
          <t>Cone de 4,5 m, partindo de você.</t>
        </is>
      </c>
      <c r="AM6" t="inlineStr">
        <is>
          <t>Área</t>
        </is>
      </c>
      <c r="AN6" t="b">
        <v>1</v>
      </c>
      <c r="AO6" t="inlineStr">
        <is>
          <t>TR, metade</t>
        </is>
      </c>
      <c r="AP6" t="b">
        <v>0</v>
      </c>
      <c r="AQ6" t="b">
        <v>1</v>
      </c>
      <c r="AR6" t="b">
        <v>1</v>
      </c>
      <c r="AS6">
        <f>""</f>
        <v/>
      </c>
      <c r="AT6" t="inlineStr">
        <is>
          <t>Fixo</t>
        </is>
      </c>
      <c r="AU6" t="inlineStr">
        <is>
          <t>comprimento</t>
        </is>
      </c>
      <c r="AV6">
        <f>""</f>
        <v/>
      </c>
      <c r="AW6">
        <f>""</f>
        <v/>
      </c>
      <c r="AX6">
        <f>""</f>
        <v/>
      </c>
      <c r="AY6">
        <f>""</f>
        <v/>
      </c>
      <c r="AZ6">
        <f>""</f>
        <v/>
      </c>
      <c r="BA6">
        <f>""</f>
        <v/>
      </c>
      <c r="BB6">
        <f>""</f>
        <v/>
      </c>
      <c r="BC6" t="inlineStr">
        <is>
          <t>3 m</t>
        </is>
      </c>
      <c r="BD6" t="inlineStr">
        <is>
          <t>4,5 m</t>
        </is>
      </c>
      <c r="BE6" t="inlineStr">
        <is>
          <t>9 m</t>
        </is>
      </c>
      <c r="BF6" t="inlineStr">
        <is>
          <t>3 m</t>
        </is>
      </c>
      <c r="BG6" t="inlineStr">
        <is>
          <t>4,5 m</t>
        </is>
      </c>
      <c r="BH6" t="inlineStr">
        <is>
          <t>4,5 m</t>
        </is>
      </c>
      <c r="BI6" t="inlineStr">
        <is>
          <t>9 m</t>
        </is>
      </c>
      <c r="BJ6" t="inlineStr">
        <is>
          <t>Cone</t>
        </is>
      </c>
      <c r="BK6" t="b">
        <v>0</v>
      </c>
      <c r="BL6" t="inlineStr">
        <is>
          <t>area</t>
        </is>
      </c>
      <c r="BM6" t="inlineStr">
        <is>
          <t xml:space="preserve">cone de </t>
        </is>
      </c>
      <c r="BN6">
        <f>""</f>
        <v/>
      </c>
      <c r="BO6" t="n">
        <v>3</v>
      </c>
      <c r="BP6">
        <f>""</f>
        <v/>
      </c>
      <c r="BQ6">
        <f>""</f>
        <v/>
      </c>
      <c r="BR6">
        <f>""</f>
        <v/>
      </c>
      <c r="BS6" t="b">
        <v>0</v>
      </c>
      <c r="BV6">
        <f>IF($A6="",IF($AE6&gt;0,INDEX('DADOS_FORMAS'!$AG$2:$AG$11,MAX(1,$AE6)),"Forma"),$A6)</f>
        <v/>
      </c>
      <c r="BW6">
        <f>IF($B6="",IF($AE6&gt;0,INDEX('DADOS_FORMAS'!$AH$2:$AH$11,MAX(1,$AE6)),""),$B6)</f>
        <v/>
      </c>
      <c r="BX6">
        <f>IF($C6="",IF($AE6&gt;0,INDEX('DADOS_FORMAS'!$AI$2:$AI$11,MAX(1,$AE6)),""),$C6)</f>
        <v/>
      </c>
      <c r="BY6">
        <f>IF($D6="",IF($AE6&gt;0,INDEX('DADOS_FORMAS'!$AJ$2:$AJ$11,MAX(1,$AE6)),FALSE),$D6)</f>
        <v/>
      </c>
      <c r="BZ6">
        <f>IF($E6="",IF($AE6&gt;0,INDEX('DADOS_FORMAS'!$AK$2:$AK$11,MAX(1,$AE6)),""),$E6)</f>
        <v/>
      </c>
      <c r="CA6">
        <f>IF($F6="",IF($AE6&gt;0,INDEX('DADOS_FORMAS'!$AL$2:$AL$11,MAX(1,$AE6)),""),$F6)</f>
        <v/>
      </c>
      <c r="CB6">
        <f>IF($G6="Nenhuma","",IF($G6="",IF($AE6&gt;0,INDEX('DADOS_FORMAS'!$AM$2:$AM$11,MAX(1,$AE6)),""),$G6))</f>
        <v/>
      </c>
      <c r="CC6">
        <f>IF($H6="",IF($AE6&gt;0,INDEX('DADOS_FORMAS'!$AN$2:$AN$11,MAX(1,$AE6)),""),IF($H6="Sem custo",0,IF($H6="Leve",1,IF($H6="Média",2,IF($H6="Pesada",3,$H6)))))</f>
        <v/>
      </c>
      <c r="CD6">
        <f>IF($I6="",IF($AE6&gt;0,INDEX('DADOS_FORMAS'!$AO$2:$AO$11,MAX(1,$AE6)),""),$I6)</f>
        <v/>
      </c>
      <c r="CE6">
        <f>IF($J6="",IF($AE6&gt;0,INDEX('DADOS_FORMAS'!$AP$2:$AP$11,MAX(1,$AE6)),""),IF($J6="Dano",0,IF($J6="Cura",1,IF($J6="Vida temporária",2,IF($J6="Efeito",3,$J6)))))</f>
        <v/>
      </c>
      <c r="CF6">
        <f>IF($K6="",IF($AE6&gt;0,INDEX('DADOS_FORMAS'!$AQ$2:$AQ$11,MAX(1,$AE6)),""),IF($K6="Sim",TRUE,IF($K6="Não",FALSE,$K6)))</f>
        <v/>
      </c>
      <c r="CG6">
        <f>IF($L6="",IF($AE6&gt;0,INDEX('DADOS_FORMAS'!$AR$2:$AR$11,MAX(1,$AE6)),""),IF($L6="Sim",TRUE,IF($L6="Não",FALSE,$L6)))</f>
        <v/>
      </c>
      <c r="CH6">
        <f>IF($M6="Nenhuma","",IF($M6="",IF($AE6&gt;0,INDEX('DADOS_FORMAS'!$AS$2:$AS$11,MAX(1,$AE6)),""),$M6))</f>
        <v/>
      </c>
      <c r="CI6">
        <f>IF($N6="",IF($AE6&gt;0,INDEX('DADOS_FORMAS'!$AT$2:$AT$11,MAX(1,$AE6)),"Fixo"),$N6)</f>
        <v/>
      </c>
      <c r="CJ6">
        <f>IF($O6="",IF($AE6&gt;0,INDEX('DADOS_FORMAS'!$AU$2:$AU$11,MAX(1,$AE6)),"Fixo"),$O6)</f>
        <v/>
      </c>
      <c r="CK6">
        <f>IF($P6="",IF($AE6&gt;0,INDEX('DADOS_FORMAS'!$AV$2:$AV$11,MAX(1,$AE6)),""),$P6)</f>
        <v/>
      </c>
      <c r="CL6">
        <f>IF($Q6="",IF($AE6&gt;0,INDEX('DADOS_FORMAS'!$AW$2:$AW$11,MAX(1,$AE6)),""),$Q6)</f>
        <v/>
      </c>
      <c r="CM6">
        <f>IF($R6="",IF($AE6&gt;0,INDEX('DADOS_FORMAS'!$AX$2:$AX$11,MAX(1,$AE6)),""),$R6)</f>
        <v/>
      </c>
      <c r="CN6">
        <f>IF($S6="",IF($AE6&gt;0,INDEX('DADOS_FORMAS'!$AY$2:$AY$11,MAX(1,$AE6)),""),$S6)</f>
        <v/>
      </c>
      <c r="CO6">
        <f>IF($T6="",IF($AE6&gt;0,INDEX('DADOS_FORMAS'!$AZ$2:$AZ$11,MAX(1,$AE6)),""),$T6)</f>
        <v/>
      </c>
      <c r="CP6">
        <f>IF($U6="",IF($AE6&gt;0,INDEX('DADOS_FORMAS'!$BA$2:$BA$11,MAX(1,$AE6)),""),$U6)</f>
        <v/>
      </c>
      <c r="CQ6">
        <f>IF($V6="",IF($AE6&gt;0,INDEX('DADOS_FORMAS'!$BB$2:$BB$11,MAX(1,$AE6)),""),$V6)</f>
        <v/>
      </c>
      <c r="CR6">
        <f>IF($W6="",IF($AE6&gt;0,INDEX('DADOS_FORMAS'!$BC$2:$BC$11,MAX(1,$AE6)),""),$W6)</f>
        <v/>
      </c>
      <c r="CS6">
        <f>IF($X6="",IF($AE6&gt;0,INDEX('DADOS_FORMAS'!$BD$2:$BD$11,MAX(1,$AE6)),""),$X6)</f>
        <v/>
      </c>
      <c r="CT6">
        <f>IF($Y6="",IF($AE6&gt;0,INDEX('DADOS_FORMAS'!$BE$2:$BE$11,MAX(1,$AE6)),""),$Y6)</f>
        <v/>
      </c>
      <c r="CU6">
        <f>IF($Z6="",IF($AE6&gt;0,INDEX('DADOS_FORMAS'!$BF$2:$BF$11,MAX(1,$AE6)),""),$Z6)</f>
        <v/>
      </c>
      <c r="CV6">
        <f>IF($AA6="",IF($AE6&gt;0,INDEX('DADOS_FORMAS'!$BG$2:$BG$11,MAX(1,$AE6)),""),$AA6)</f>
        <v/>
      </c>
      <c r="CW6">
        <f>IF($AB6="",IF($AE6&gt;0,INDEX('DADOS_FORMAS'!$BH$2:$BH$11,MAX(1,$AE6)),""),$AB6)</f>
        <v/>
      </c>
      <c r="CX6">
        <f>IF($AC6="",IF($AE6&gt;0,INDEX('DADOS_FORMAS'!$BI$2:$BI$11,MAX(1,$AE6)),""),$AC6)</f>
        <v/>
      </c>
      <c r="CY6">
        <f>IF($AE6&gt;0,INDEX('DADOS_FORMAS'!$BJ$2:$BJ$11,MAX(1,$AE6)),"")</f>
        <v/>
      </c>
      <c r="CZ6">
        <f>IF($AE6&gt;0,INDEX('DADOS_FORMAS'!$BK$2:$BK$11,MAX(1,$AE6)),0)</f>
        <v/>
      </c>
      <c r="DA6">
        <f>IF($AE6&gt;0,INDEX('DADOS_FORMAS'!$BL$2:$BL$11,MAX(1,$AE6)),"alcance")</f>
        <v/>
      </c>
      <c r="DB6">
        <f>IF($AE6&gt;0,INDEX('DADOS_FORMAS'!$BM$2:$BM$11,MAX(1,$AE6)),"")</f>
        <v/>
      </c>
      <c r="DC6">
        <f>IF($AE6&gt;0,INDEX('DADOS_FORMAS'!$BN$2:$BN$11,MAX(1,$AE6)),"")</f>
        <v/>
      </c>
      <c r="DD6">
        <f>IF($AE6&gt;0,INDEX('DADOS_FORMAS'!$BO$2:$BO$11,MAX(1,$AE6)),1)</f>
        <v/>
      </c>
      <c r="DE6">
        <f>IF(AND($AE6&gt;0,INDEX('DADOS_FORMAS'!$BP$2:$BP$11,MAX(1,$AE6))=""),IF(AND(INDEX('DADOS_FORMAS'!$BL$2:$BL$11,MAX(1,$AE6))="alcance",OR($W6&lt;&gt;"",$X6&lt;&gt;"",$Y6&lt;&gt;"",$Z6&lt;&gt;"",$AA6&lt;&gt;"",$AB6&lt;&gt;"",$AC6&lt;&gt;"")),"area",IF(AND(INDEX('DADOS_FORMAS'!$BL$2:$BL$11,MAX(1,$AE6))="area",OR($P6&lt;&gt;"",$Q6&lt;&gt;"",$R6&lt;&gt;"",$S6&lt;&gt;"",$T6&lt;&gt;"",$U6&lt;&gt;"",$V6&lt;&gt;"")),"alcance","")),IF($AE6&gt;0,INDEX('DADOS_FORMAS'!$BP$2:$BP$11,MAX(1,$AE6)),"area"))</f>
        <v/>
      </c>
      <c r="DF6">
        <f>IF(AND($AE6&gt;0,INDEX('DADOS_FORMAS'!$BP$2:$BP$11,MAX(1,$AE6))=""),IF(IF(AND(INDEX('DADOS_FORMAS'!$BL$2:$BL$11,MAX(1,$AE6))="alcance",OR($W6&lt;&gt;"",$X6&lt;&gt;"",$Y6&lt;&gt;"",$Z6&lt;&gt;"",$AA6&lt;&gt;"",$AB6&lt;&gt;"",$AC6&lt;&gt;"")),"area",IF(AND(INDEX('DADOS_FORMAS'!$BL$2:$BL$11,MAX(1,$AE6))="area",OR($P6&lt;&gt;"",$Q6&lt;&gt;"",$R6&lt;&gt;"",$S6&lt;&gt;"",$T6&lt;&gt;"",$U6&lt;&gt;"",$V6&lt;&gt;"")),"alcance",""))="alcance"," · alcance ",IF(IF(AND(INDEX('DADOS_FORMAS'!$BL$2:$BL$11,MAX(1,$AE6))="alcance",OR($W6&lt;&gt;"",$X6&lt;&gt;"",$Y6&lt;&gt;"",$Z6&lt;&gt;"",$AA6&lt;&gt;"",$AB6&lt;&gt;"",$AC6&lt;&gt;"")),"area",IF(AND(INDEX('DADOS_FORMAS'!$BL$2:$BL$11,MAX(1,$AE6))="area",OR($P6&lt;&gt;"",$Q6&lt;&gt;"",$R6&lt;&gt;"",$S6&lt;&gt;"",$T6&lt;&gt;"",$U6&lt;&gt;"",$V6&lt;&gt;"")),"alcance",""))="area"," · área ","")),IF($AE6&gt;0,INDEX('DADOS_FORMAS'!$BQ$2:$BQ$11,MAX(1,$AE6))," · área "))</f>
        <v/>
      </c>
      <c r="DG6">
        <f>IF(AND($AE6&gt;0,INDEX('DADOS_FORMAS'!$BP$2:$BP$11,MAX(1,$AE6))=""),"",IF($AE6&gt;0,INDEX('DADOS_FORMAS'!$BR$2:$BR$11,MAX(1,$AE6)),""))</f>
        <v/>
      </c>
      <c r="DH6">
        <f>IF(AND($AE6&gt;0,INDEX('DADOS_FORMAS'!$BP$2:$BP$11,MAX(1,$AE6))=""),IF(IF(AND(INDEX('DADOS_FORMAS'!$BL$2:$BL$11,MAX(1,$AE6))="alcance",OR($W6&lt;&gt;"",$X6&lt;&gt;"",$Y6&lt;&gt;"",$Z6&lt;&gt;"",$AA6&lt;&gt;"",$AB6&lt;&gt;"",$AC6&lt;&gt;"")),"area",IF(AND(INDEX('DADOS_FORMAS'!$BL$2:$BL$11,MAX(1,$AE6))="area",OR($P6&lt;&gt;"",$Q6&lt;&gt;"",$R6&lt;&gt;"",$S6&lt;&gt;"",$T6&lt;&gt;"",$U6&lt;&gt;"",$V6&lt;&gt;"")),"alcance",""))="",0,IF(IF(AND(INDEX('DADOS_FORMAS'!$BL$2:$BL$11,MAX(1,$AE6))="alcance",OR($W6&lt;&gt;"",$X6&lt;&gt;"",$Y6&lt;&gt;"",$Z6&lt;&gt;"",$AA6&lt;&gt;"",$AB6&lt;&gt;"",$AC6&lt;&gt;"")),"area",IF(AND(INDEX('DADOS_FORMAS'!$BL$2:$BL$11,MAX(1,$AE6))="area",OR($P6&lt;&gt;"",$Q6&lt;&gt;"",$R6&lt;&gt;"",$S6&lt;&gt;"",$T6&lt;&gt;"",$U6&lt;&gt;"",$V6&lt;&gt;"")),"alcance",""))="alcance",1,IF($O6="comprimento",3,2))),IF($AE6&gt;0,INDEX('DADOS_FORMAS'!$BS$2:$BS$11,MAX(1,$AE6)),IF($O6="comprimento",3,2)))</f>
        <v/>
      </c>
      <c r="DJ6">
        <f>IF(AND(ISTEXT($B6),$B6&lt;&gt;"",TRIM($B6)=$B6),"","NOME precisa ser texto sem espaços nas pontas")</f>
        <v/>
      </c>
      <c r="DK6">
        <f>IF(COUNTIF('DADOS_FORMAS'!$B$2:$B$11,SUBSTITUTE(SUBSTITUTE(SUBSTITUTE($B6,"~","~~"),"*","~*"),"?","~?"))+COUNTIF('DADOS_FORMAS'!$AH$2:$AH$11,SUBSTITUTE(SUBSTITUTE(SUBSTITUTE($B6,"~","~~"),"*","~*"),"?","~?"))=1,"","Nome repetido no livro ou custom")</f>
        <v/>
      </c>
      <c r="DL6">
        <f>IF($AE6&gt;=0,"","BASE DO LIVRO inválida para o grupo")</f>
        <v/>
      </c>
      <c r="DM6">
        <f>IF(OR($BV6="Forma"),"","TIPO inválido para o grupo")</f>
        <v/>
      </c>
      <c r="DN6">
        <f>IF(ISLOGICAL($BY6),"","MESTRE VIU precisa ser caixa de seleção")</f>
        <v/>
      </c>
      <c r="DO6">
        <f>IF(ISTEXT($CA6),"","EFEITO precisa ser texto")</f>
        <v/>
      </c>
      <c r="DP6">
        <f>IF(ISTEXT($BZ6),"","REQUISITOS precisa ser texto")</f>
        <v/>
      </c>
      <c r="DQ6">
        <f>IF(IFERROR(AND(ISNUMBER($CC6),NOT(ISLOGICAL($CC6)),$CC6=INT($CC6),$CC6&gt;=0,$CC6&lt;=3),FALSE),"","PESO exige 0/1/2/3")</f>
        <v/>
      </c>
      <c r="DR6">
        <f>IF(IFERROR(AND(ISNUMBER($CE6),NOT(ISLOGICAL($CE6)),$CE6=INT($CE6),$CE6&gt;=0,$CE6&lt;=3),FALSE),"","RESULTADO exige 0/1/2/3")</f>
        <v/>
      </c>
      <c r="DS6">
        <f>IF(ISLOGICAL($CF6),"","EXIGE_TR exige Sim/Não")</f>
        <v/>
      </c>
      <c r="DT6">
        <f>IF(ISLOGICAL($CG6),"","CLASSE_0 exige Sim/Não")</f>
        <v/>
      </c>
      <c r="DU6">
        <f>IF(OR($CD6="Acerto",$CD6="TR, metade",$CD6="Automático"),"","RESOLUÇÃO inválida")</f>
        <v/>
      </c>
      <c r="DV6">
        <f>IF(OR($CB6="",COUNTIF('DADOS_CRIACAO'!$H$2:$H$20,SUBSTITUTE(SUBSTITUTE(SUBSTITUTE($CB6,"~","~~"),"*","~*"),"?","~?"))&gt;0),"","FAMÍLIA não cadastrada ou inválida")</f>
        <v/>
      </c>
      <c r="DW6">
        <f>IF(OR($CH6="",IFERROR(MATCH(SUBSTITUTE(SUBSTITUTE(SUBSTITUTE($CH6,"~","~~"),"*","~*"),"?","~?"),INDEX('DADOS_RESTRICOES'!$M$2:$Q$54,0,1),0),0)&gt;0),"","RESTRIÇÃO EMBUTIDA inválida")</f>
        <v/>
      </c>
      <c r="DX6">
        <f>IF(OR($CI6="Fixo",$CI6="alcance"),"","ESCADA inválida para alcance")</f>
        <v/>
      </c>
      <c r="DY6">
        <f>IF(OR(NOT(AND($CG6,OR($DA6="alcance",$DE6="alcance"))),$CK6&lt;&gt;""),"","Base de alcance ausente: personagem/classe_0")</f>
        <v/>
      </c>
      <c r="DZ6">
        <f>IF(ISTEXT($CK6),"","Base precisa ser texto: alcance/personagem/classe_0")</f>
        <v/>
      </c>
      <c r="EA6">
        <f>IF(OR(NOT(AND($CG6,OR($DA6="alcance",$DE6="alcance"))),$CI6="Fixo",$CK6="",$CK6="—",AND(RIGHT($CK6,2)=" m",IFERROR(VALUE(SUBSTITUTE(LEFT($CK6,MAX(0,LEN($CK6)-2)),",",""))/10^IFERROR(LEN(LEFT($CK6,MAX(0,LEN($CK6)-2)))-FIND(",",LEFT($CK6,MAX(0,LEN($CK6)-2))),0),-1)&gt;0)),"","Base incompatível com escada: alcance/personagem/classe_0")</f>
        <v/>
      </c>
      <c r="EB6">
        <f>IF(OR(NOT(OR($DA6="alcance",$DE6="alcance")),$CL6&lt;&gt;""),"","Base de alcance ausente: personagem/classes_1_a_5")</f>
        <v/>
      </c>
      <c r="EC6">
        <f>IF(ISTEXT($CL6),"","Base precisa ser texto: alcance/personagem/classes_1_a_5")</f>
        <v/>
      </c>
      <c r="ED6">
        <f>IF(OR(NOT(OR($DA6="alcance",$DE6="alcance")),$CI6="Fixo",$CL6="",$CL6="—",AND(RIGHT($CL6,2)=" m",IFERROR(VALUE(SUBSTITUTE(LEFT($CL6,MAX(0,LEN($CL6)-2)),",",""))/10^IFERROR(LEN(LEFT($CL6,MAX(0,LEN($CL6)-2)))-FIND(",",LEFT($CL6,MAX(0,LEN($CL6)-2))),0),-1)&gt;0)),"","Base incompatível com escada: alcance/personagem/classes_1_a_5")</f>
        <v/>
      </c>
      <c r="EE6">
        <f>IF(OR(NOT(OR($DA6="alcance",$DE6="alcance")),$CM6&lt;&gt;""),"","Base de alcance ausente: personagem/classes_6_e_7")</f>
        <v/>
      </c>
      <c r="EF6">
        <f>IF(ISTEXT($CM6),"","Base precisa ser texto: alcance/personagem/classes_6_e_7")</f>
        <v/>
      </c>
      <c r="EG6">
        <f>IF(OR(NOT(OR($DA6="alcance",$DE6="alcance")),$CI6="Fixo",$CM6="",$CM6="—",AND(RIGHT($CM6,2)=" m",IFERROR(VALUE(SUBSTITUTE(LEFT($CM6,MAX(0,LEN($CM6)-2)),",",""))/10^IFERROR(LEN(LEFT($CM6,MAX(0,LEN($CM6)-2)))-FIND(",",LEFT($CM6,MAX(0,LEN($CM6)-2))),0),-1)&gt;0)),"","Base incompatível com escada: alcance/personagem/classes_6_e_7")</f>
        <v/>
      </c>
      <c r="EH6">
        <f>IF(OR(NOT(AND($CG6,OR($DA6="alcance",$DE6="alcance"))),$CN6&lt;&gt;""),"","Base de alcance ausente: entidade/classe_0")</f>
        <v/>
      </c>
      <c r="EI6">
        <f>IF(ISTEXT($CN6),"","Base precisa ser texto: alcance/entidade/classe_0")</f>
        <v/>
      </c>
      <c r="EJ6">
        <f>IF(OR(NOT(AND($CG6,OR($DA6="alcance",$DE6="alcance"))),$CI6="Fixo",$CN6="",$CN6="—",AND(RIGHT($CN6,2)=" m",IFERROR(VALUE(SUBSTITUTE(LEFT($CN6,MAX(0,LEN($CN6)-2)),",",""))/10^IFERROR(LEN(LEFT($CN6,MAX(0,LEN($CN6)-2)))-FIND(",",LEFT($CN6,MAX(0,LEN($CN6)-2))),0),-1)&gt;0)),"","Base incompatível com escada: alcance/entidade/classe_0")</f>
        <v/>
      </c>
      <c r="EK6">
        <f>IF(OR(NOT(OR($DA6="alcance",$DE6="alcance")),$CO6&lt;&gt;""),"","Base de alcance ausente: entidade/classes_1_a_5")</f>
        <v/>
      </c>
      <c r="EL6">
        <f>IF(ISTEXT($CO6),"","Base precisa ser texto: alcance/entidade/classes_1_a_5")</f>
        <v/>
      </c>
      <c r="EM6">
        <f>IF(OR(NOT(OR($DA6="alcance",$DE6="alcance")),$CI6="Fixo",$CO6="",$CO6="—",AND(RIGHT($CO6,2)=" m",IFERROR(VALUE(SUBSTITUTE(LEFT($CO6,MAX(0,LEN($CO6)-2)),",",""))/10^IFERROR(LEN(LEFT($CO6,MAX(0,LEN($CO6)-2)))-FIND(",",LEFT($CO6,MAX(0,LEN($CO6)-2))),0),-1)&gt;0)),"","Base incompatível com escada: alcance/entidade/classes_1_a_5")</f>
        <v/>
      </c>
      <c r="EN6">
        <f>IF(OR(NOT(OR($DA6="alcance",$DE6="alcance")),$CP6&lt;&gt;""),"","Base de alcance ausente: entidade/classe_6")</f>
        <v/>
      </c>
      <c r="EO6">
        <f>IF(ISTEXT($CP6),"","Base precisa ser texto: alcance/entidade/classe_6")</f>
        <v/>
      </c>
      <c r="EP6">
        <f>IF(OR(NOT(OR($DA6="alcance",$DE6="alcance")),$CI6="Fixo",$CP6="",$CP6="—",AND(RIGHT($CP6,2)=" m",IFERROR(VALUE(SUBSTITUTE(LEFT($CP6,MAX(0,LEN($CP6)-2)),",",""))/10^IFERROR(LEN(LEFT($CP6,MAX(0,LEN($CP6)-2)))-FIND(",",LEFT($CP6,MAX(0,LEN($CP6)-2))),0),-1)&gt;0)),"","Base incompatível com escada: alcance/entidade/classe_6")</f>
        <v/>
      </c>
      <c r="EQ6">
        <f>IF(OR(NOT(OR($DA6="alcance",$DE6="alcance")),$CQ6&lt;&gt;""),"","Base de alcance ausente: entidade/classe_7")</f>
        <v/>
      </c>
      <c r="ER6">
        <f>IF(ISTEXT($CQ6),"","Base precisa ser texto: alcance/entidade/classe_7")</f>
        <v/>
      </c>
      <c r="ES6">
        <f>IF(OR(NOT(OR($DA6="alcance",$DE6="alcance")),$CI6="Fixo",$CQ6="",$CQ6="—",AND(RIGHT($CQ6,2)=" m",IFERROR(VALUE(SUBSTITUTE(LEFT($CQ6,MAX(0,LEN($CQ6)-2)),",",""))/10^IFERROR(LEN(LEFT($CQ6,MAX(0,LEN($CQ6)-2)))-FIND(",",LEFT($CQ6,MAX(0,LEN($CQ6)-2))),0),-1)&gt;0)),"","Base incompatível com escada: alcance/entidade/classe_7")</f>
        <v/>
      </c>
      <c r="ET6">
        <f>IF(OR($CJ6="Fixo",$CJ6="raio",$CJ6="comprimento"),"","ESCADA inválida para area")</f>
        <v/>
      </c>
      <c r="EU6">
        <f>IF(ISTEXT($CR6),"","Base precisa ser texto: area/personagem/classe_0")</f>
        <v/>
      </c>
      <c r="EV6">
        <f>IF(OR(NOT(AND($CG6,OR($DA6="area",$DE6="area"))),$CJ6="Fixo",$CR6="",$CR6="—",AND(AND(AND(RIGHT($CR6,2)=" m",IFERROR(VALUE(SUBSTITUTE(LEFT($CR6,MAX(0,LEN($CR6)-2)),",",""))/10^IFERROR(LEN(LEFT($CR6,MAX(0,LEN($CR6)-2)))-FIND(",",LEFT($CR6,MAX(0,LEN($CR6)-2))),0),-1)&gt;0),OR($CJ6&lt;&gt;"raio",IFERROR(VALUE(SUBSTITUTE(LEFT($CR6,MAX(0,LEN($CR6)-2)),",",""))/10^IFERROR(LEN(LEFT($CR6,MAX(0,LEN($CR6)-2)))-FIND(",",LEFT($CR6,MAX(0,LEN($CR6)-2))),0),-1)&lt;=15.0)),OR($CJ6&lt;&gt;"comprimento",IFERROR(VALUE(SUBSTITUTE(LEFT($CR6,MAX(0,LEN($CR6)-2)),",",""))/10^IFERROR(LEN(LEFT($CR6,MAX(0,LEN($CR6)-2)))-FIND(",",LEFT($CR6,MAX(0,LEN($CR6)-2))),0),-1)&lt;=60.0))),"","Base incompatível com escada: area/personagem/classe_0")</f>
        <v/>
      </c>
      <c r="EW6">
        <f>IF(ISTEXT($CS6),"","Base precisa ser texto: area/personagem/classes_1_a_5")</f>
        <v/>
      </c>
      <c r="EX6">
        <f>IF(OR(NOT(OR($DA6="area",$DE6="area")),$CJ6="Fixo",$CS6="",$CS6="—",AND(AND(AND(RIGHT($CS6,2)=" m",IFERROR(VALUE(SUBSTITUTE(LEFT($CS6,MAX(0,LEN($CS6)-2)),",",""))/10^IFERROR(LEN(LEFT($CS6,MAX(0,LEN($CS6)-2)))-FIND(",",LEFT($CS6,MAX(0,LEN($CS6)-2))),0),-1)&gt;0),OR($CJ6&lt;&gt;"raio",IFERROR(VALUE(SUBSTITUTE(LEFT($CS6,MAX(0,LEN($CS6)-2)),",",""))/10^IFERROR(LEN(LEFT($CS6,MAX(0,LEN($CS6)-2)))-FIND(",",LEFT($CS6,MAX(0,LEN($CS6)-2))),0),-1)&lt;=15.0)),OR($CJ6&lt;&gt;"comprimento",IFERROR(VALUE(SUBSTITUTE(LEFT($CS6,MAX(0,LEN($CS6)-2)),",",""))/10^IFERROR(LEN(LEFT($CS6,MAX(0,LEN($CS6)-2)))-FIND(",",LEFT($CS6,MAX(0,LEN($CS6)-2))),0),-1)&lt;=60.0))),"","Base incompatível com escada: area/personagem/classes_1_a_5")</f>
        <v/>
      </c>
      <c r="EY6">
        <f>IF(ISTEXT($CT6),"","Base precisa ser texto: area/personagem/classes_6_e_7")</f>
        <v/>
      </c>
      <c r="EZ6">
        <f>IF(OR(NOT(OR($DA6="area",$DE6="area")),$CJ6="Fixo",$CT6="",$CT6="—",AND(AND(AND(RIGHT($CT6,2)=" m",IFERROR(VALUE(SUBSTITUTE(LEFT($CT6,MAX(0,LEN($CT6)-2)),",",""))/10^IFERROR(LEN(LEFT($CT6,MAX(0,LEN($CT6)-2)))-FIND(",",LEFT($CT6,MAX(0,LEN($CT6)-2))),0),-1)&gt;0),OR($CJ6&lt;&gt;"raio",IFERROR(VALUE(SUBSTITUTE(LEFT($CT6,MAX(0,LEN($CT6)-2)),",",""))/10^IFERROR(LEN(LEFT($CT6,MAX(0,LEN($CT6)-2)))-FIND(",",LEFT($CT6,MAX(0,LEN($CT6)-2))),0),-1)&lt;=15.0)),OR($CJ6&lt;&gt;"comprimento",IFERROR(VALUE(SUBSTITUTE(LEFT($CT6,MAX(0,LEN($CT6)-2)),",",""))/10^IFERROR(LEN(LEFT($CT6,MAX(0,LEN($CT6)-2)))-FIND(",",LEFT($CT6,MAX(0,LEN($CT6)-2))),0),-1)&lt;=60.0))),"","Base incompatível com escada: area/personagem/classes_6_e_7")</f>
        <v/>
      </c>
      <c r="FA6">
        <f>IF(ISTEXT($CU6),"","Base precisa ser texto: area/entidade/classe_0")</f>
        <v/>
      </c>
      <c r="FB6">
        <f>IF(OR(NOT(AND($CG6,OR($DA6="area",$DE6="area"))),$CJ6="Fixo",$CU6="",$CU6="—",AND(AND(AND(RIGHT($CU6,2)=" m",IFERROR(VALUE(SUBSTITUTE(LEFT($CU6,MAX(0,LEN($CU6)-2)),",",""))/10^IFERROR(LEN(LEFT($CU6,MAX(0,LEN($CU6)-2)))-FIND(",",LEFT($CU6,MAX(0,LEN($CU6)-2))),0),-1)&gt;0),OR($CJ6&lt;&gt;"raio",IFERROR(VALUE(SUBSTITUTE(LEFT($CU6,MAX(0,LEN($CU6)-2)),",",""))/10^IFERROR(LEN(LEFT($CU6,MAX(0,LEN($CU6)-2)))-FIND(",",LEFT($CU6,MAX(0,LEN($CU6)-2))),0),-1)&lt;=15.0)),OR($CJ6&lt;&gt;"comprimento",IFERROR(VALUE(SUBSTITUTE(LEFT($CU6,MAX(0,LEN($CU6)-2)),",",""))/10^IFERROR(LEN(LEFT($CU6,MAX(0,LEN($CU6)-2)))-FIND(",",LEFT($CU6,MAX(0,LEN($CU6)-2))),0),-1)&lt;=60.0))),"","Base incompatível com escada: area/entidade/classe_0")</f>
        <v/>
      </c>
      <c r="FC6">
        <f>IF(ISTEXT($CV6),"","Base precisa ser texto: area/entidade/classes_1_a_5")</f>
        <v/>
      </c>
      <c r="FD6">
        <f>IF(OR(NOT(OR($DA6="area",$DE6="area")),$CJ6="Fixo",$CV6="",$CV6="—",AND(AND(AND(RIGHT($CV6,2)=" m",IFERROR(VALUE(SUBSTITUTE(LEFT($CV6,MAX(0,LEN($CV6)-2)),",",""))/10^IFERROR(LEN(LEFT($CV6,MAX(0,LEN($CV6)-2)))-FIND(",",LEFT($CV6,MAX(0,LEN($CV6)-2))),0),-1)&gt;0),OR($CJ6&lt;&gt;"raio",IFERROR(VALUE(SUBSTITUTE(LEFT($CV6,MAX(0,LEN($CV6)-2)),",",""))/10^IFERROR(LEN(LEFT($CV6,MAX(0,LEN($CV6)-2)))-FIND(",",LEFT($CV6,MAX(0,LEN($CV6)-2))),0),-1)&lt;=15.0)),OR($CJ6&lt;&gt;"comprimento",IFERROR(VALUE(SUBSTITUTE(LEFT($CV6,MAX(0,LEN($CV6)-2)),",",""))/10^IFERROR(LEN(LEFT($CV6,MAX(0,LEN($CV6)-2)))-FIND(",",LEFT($CV6,MAX(0,LEN($CV6)-2))),0),-1)&lt;=60.0))),"","Base incompatível com escada: area/entidade/classes_1_a_5")</f>
        <v/>
      </c>
      <c r="FE6">
        <f>IF(ISTEXT($CW6),"","Base precisa ser texto: area/entidade/classe_6")</f>
        <v/>
      </c>
      <c r="FF6">
        <f>IF(OR(NOT(OR($DA6="area",$DE6="area")),$CJ6="Fixo",$CW6="",$CW6="—",AND(AND(AND(RIGHT($CW6,2)=" m",IFERROR(VALUE(SUBSTITUTE(LEFT($CW6,MAX(0,LEN($CW6)-2)),",",""))/10^IFERROR(LEN(LEFT($CW6,MAX(0,LEN($CW6)-2)))-FIND(",",LEFT($CW6,MAX(0,LEN($CW6)-2))),0),-1)&gt;0),OR($CJ6&lt;&gt;"raio",IFERROR(VALUE(SUBSTITUTE(LEFT($CW6,MAX(0,LEN($CW6)-2)),",",""))/10^IFERROR(LEN(LEFT($CW6,MAX(0,LEN($CW6)-2)))-FIND(",",LEFT($CW6,MAX(0,LEN($CW6)-2))),0),-1)&lt;=15.0)),OR($CJ6&lt;&gt;"comprimento",IFERROR(VALUE(SUBSTITUTE(LEFT($CW6,MAX(0,LEN($CW6)-2)),",",""))/10^IFERROR(LEN(LEFT($CW6,MAX(0,LEN($CW6)-2)))-FIND(",",LEFT($CW6,MAX(0,LEN($CW6)-2))),0),-1)&lt;=60.0))),"","Base incompatível com escada: area/entidade/classe_6")</f>
        <v/>
      </c>
      <c r="FG6">
        <f>IF(ISTEXT($CX6),"","Base precisa ser texto: area/entidade/classe_7")</f>
        <v/>
      </c>
      <c r="FH6">
        <f>IF(OR(NOT(OR($DA6="area",$DE6="area")),$CJ6="Fixo",$CX6="",$CX6="—",AND(AND(AND(RIGHT($CX6,2)=" m",IFERROR(VALUE(SUBSTITUTE(LEFT($CX6,MAX(0,LEN($CX6)-2)),",",""))/10^IFERROR(LEN(LEFT($CX6,MAX(0,LEN($CX6)-2)))-FIND(",",LEFT($CX6,MAX(0,LEN($CX6)-2))),0),-1)&gt;0),OR($CJ6&lt;&gt;"raio",IFERROR(VALUE(SUBSTITUTE(LEFT($CX6,MAX(0,LEN($CX6)-2)),",",""))/10^IFERROR(LEN(LEFT($CX6,MAX(0,LEN($CX6)-2)))-FIND(",",LEFT($CX6,MAX(0,LEN($CX6)-2))),0),-1)&lt;=15.0)),OR($CJ6&lt;&gt;"comprimento",IFERROR(VALUE(SUBSTITUTE(LEFT($CX6,MAX(0,LEN($CX6)-2)),",",""))/10^IFERROR(LEN(LEFT($CX6,MAX(0,LEN($CX6)-2)))-FIND(",",LEFT($CX6,MAX(0,LEN($CX6)-2))),0),-1)&lt;=60.0))),"","Base incompatível com escada: area/entidade/classe_7")</f>
        <v/>
      </c>
      <c r="FJ6">
        <f>'DADOS_FORMAS'!$AH6</f>
        <v/>
      </c>
      <c r="FK6">
        <f>'DADOS_FORMAS'!$AM6</f>
        <v/>
      </c>
      <c r="FL6">
        <f>'DADOS_FORMAS'!$AN6</f>
        <v/>
      </c>
      <c r="FM6">
        <f>IF('DADOS_FORMAS'!$AN6=0,0,'DADOS_FORMAS'!$AN6+3*IFERROR(VLOOKUP(SUBSTITUTE(SUBSTITUTE(SUBSTITUTE('DADOS_FORMAS'!$AM6,"~","~~"),"*","~*"),"?","~?"),'DADOS_CRIACAO'!$H$2:$K$20,3,FALSE),0))</f>
        <v/>
      </c>
      <c r="FN6">
        <f>IFERROR(VLOOKUP(SUBSTITUTE(SUBSTITUTE(SUBSTITUTE('DADOS_FORMAS'!$AM6,"~","~~"),"*","~*"),"?","~?"),'DADOS_CRIACAO'!$H$2:$K$20,4,FALSE),0)</f>
        <v/>
      </c>
      <c r="FO6">
        <f>IF('DADOS_FORMAS'!$AS6="",0,1)</f>
        <v/>
      </c>
      <c r="FP6">
        <f>'DADOS_FORMAS'!$AP6</f>
        <v/>
      </c>
      <c r="FQ6">
        <f>IF(AND('DADOS_FORMAS'!$AO6="Acerto",'DADOS_FORMAS'!$AQ6),"Acerto + TR",'DADOS_FORMAS'!$AO6)</f>
        <v/>
      </c>
      <c r="FR6">
        <f>N(OR('DADOS_FORMAS'!$AQ6,'DADOS_FORMAS'!$AO6="TR, metade"))</f>
        <v/>
      </c>
      <c r="FS6">
        <f>'DADOS_FORMAS'!$BO6</f>
        <v/>
      </c>
      <c r="FT6">
        <f>'DADOS_FORMAS'!$BS6</f>
        <v/>
      </c>
      <c r="FU6">
        <f>'DADOS_FORMAS'!$BK6</f>
        <v/>
      </c>
      <c r="FV6">
        <f>N('DADOS_FORMAS'!$AR6)</f>
        <v/>
      </c>
      <c r="FW6">
        <f>IF(IFERROR(VLOOKUP(SUBSTITUTE(SUBSTITUTE(SUBSTITUTE('DADOS_FORMAS'!$AM6,"~","~~"),"*","~*"),"?","~?"),'DADOS_CRIACAO'!$H$2:$K$20,4,FALSE),0)=1,"",'DADOS_FORMAS'!$AH6)</f>
        <v/>
      </c>
      <c r="FX6">
        <f>IF(AND('DADOS_FORMAS'!$AR6,IFERROR(VLOOKUP(SUBSTITUTE(SUBSTITUTE(SUBSTITUTE('DADOS_FORMAS'!$AM6,"~","~~"),"*","~*"),"?","~?"),'DADOS_CRIACAO'!$H$2:$K$20,4,FALSE),0)=0),'DADOS_FORMAS'!$AH6,"")</f>
        <v/>
      </c>
      <c r="FZ6">
        <f>'DADOS_FORMAS'!$AH6</f>
        <v/>
      </c>
      <c r="GA6">
        <f>'DADOS_FORMAS'!$AM6</f>
        <v/>
      </c>
      <c r="GB6">
        <f>'DADOS_FORMAS'!$AN6</f>
        <v/>
      </c>
      <c r="GC6">
        <f>IF('DADOS_FORMAS'!$AS6="",0,1)</f>
        <v/>
      </c>
      <c r="GD6">
        <f>'DADOS_FORMAS'!$AP6</f>
        <v/>
      </c>
      <c r="GE6">
        <f>IF('DADOS_FORMAS'!$AO6="Acerto","Ataque",IF('DADOS_FORMAS'!$AQ6,"TR","—"))</f>
        <v/>
      </c>
      <c r="GF6">
        <f>N(OR('DADOS_FORMAS'!$AQ6,'DADOS_FORMAS'!$AO6="TR, metade"))</f>
        <v/>
      </c>
      <c r="GG6">
        <f>'DADOS_FORMAS'!$BO6</f>
        <v/>
      </c>
      <c r="GH6">
        <f>'DADOS_FORMAS'!$BS6</f>
        <v/>
      </c>
      <c r="GI6">
        <f>'DADOS_FORMAS'!$BK6</f>
        <v/>
      </c>
      <c r="GJ6">
        <f>N('DADOS_FORMAS'!$AR6)</f>
        <v/>
      </c>
      <c r="GL6" t="inlineStr">
        <is>
          <t>90 m</t>
        </is>
      </c>
      <c r="GN6" t="inlineStr">
        <is>
          <t>15 m</t>
        </is>
      </c>
      <c r="GP6" t="inlineStr">
        <is>
          <t>60 m</t>
        </is>
      </c>
      <c r="GR6">
        <f>'DADOS_FORMAS'!$BL12</f>
        <v/>
      </c>
      <c r="GS6">
        <f>IF('DADOS_FORMAS'!$BL12="area",'DADOS_FORMAS'!$AU12,'DADOS_FORMAS'!$AT12)</f>
        <v/>
      </c>
      <c r="GT6">
        <f>IF('DADOS_FORMAS'!$BL12="area",'DADOS_FORMAS'!$BE12,'DADOS_FORMAS'!$AX12)</f>
        <v/>
      </c>
      <c r="GU6">
        <f>'DADOS_FORMAS'!$BM12</f>
        <v/>
      </c>
      <c r="GV6">
        <f>'DADOS_FORMAS'!$BN12</f>
        <v/>
      </c>
      <c r="GW6">
        <f>LET(base,'DADOS_FORMAS'!$GT6,escada,'DADOS_FORMAS'!$GS6,medida,LEFT(base,MAX(0,LEN(base)-2)),valor,IFERROR(VALUE(SUBSTITUTE(medida,",",""))/10^IFERROR(LEN(medida)-FIND(",",medida),0),1E99),IF(OR(escada="Fixo",base="—"),base,IF(escada="alcance",IFERROR(MATCH(base,{"1,5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6" t="inlineStr">
        <is>
          <t>Toque · classes 1 a 5</t>
        </is>
      </c>
      <c r="GZ6" t="inlineStr">
        <is>
          <t>1,5 m, um alvo</t>
        </is>
      </c>
      <c r="HA6" t="inlineStr">
        <is>
          <t>1,5 m, um alvo</t>
        </is>
      </c>
      <c r="HB6" t="inlineStr">
        <is>
          <t>1,5 m, um alvo</t>
        </is>
      </c>
      <c r="HC6" t="inlineStr">
        <is>
          <t>1,5 m, um alvo</t>
        </is>
      </c>
      <c r="HD6" t="inlineStr">
        <is>
          <t>1,5 m, um alvo</t>
        </is>
      </c>
      <c r="HE6" t="inlineStr">
        <is>
          <t>1,5 m, um alvo</t>
        </is>
      </c>
      <c r="HF6" t="inlineStr"/>
      <c r="HG6" t="inlineStr"/>
      <c r="HH6" t="inlineStr"/>
      <c r="HI6" t="inlineStr"/>
      <c r="HJ6" t="inlineStr"/>
      <c r="HK6" t="inlineStr"/>
      <c r="HM6">
        <f>'DADOS_FORMAS'!$BL12</f>
        <v/>
      </c>
      <c r="HN6">
        <f>IF('DADOS_FORMAS'!$BL12="area",'DADOS_FORMAS'!$AU12,'DADOS_FORMAS'!$AT12)</f>
        <v/>
      </c>
      <c r="HO6">
        <f>IF('DADOS_FORMAS'!$BL12="area",'DADOS_FORMAS'!$BH12,'DADOS_FORMAS'!$BA12)</f>
        <v/>
      </c>
      <c r="HP6">
        <f>'DADOS_FORMAS'!$BM12</f>
        <v/>
      </c>
      <c r="HQ6">
        <f>'DADOS_FORMAS'!$BN12</f>
        <v/>
      </c>
      <c r="HR6">
        <f>LET(base,'DADOS_FORMAS'!$HO6,escada,'DADOS_FORMAS'!$HN6,medida,LEFT(base,MAX(0,LEN(base)-2)),valor,IFERROR(VALUE(SUBSTITUTE(medida,",",""))/10^IFERROR(LEN(medida)-FIND(",",medida),0),1E99),IF(OR(escada="Fixo",base="—"),base,IF(escada="alcance",IFERROR(MATCH(base,{"1,5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 t="inlineStr">
        <is>
          <t>Toque · classe 0</t>
        </is>
      </c>
      <c r="HU6" t="inlineStr">
        <is>
          <t>1,5 m, um alvo</t>
        </is>
      </c>
      <c r="HV6" t="inlineStr">
        <is>
          <t>1,5 m, um alvo</t>
        </is>
      </c>
      <c r="HW6" t="inlineStr">
        <is>
          <t>1,5 m, um alvo</t>
        </is>
      </c>
      <c r="HX6" t="inlineStr">
        <is>
          <t>1,5 m, um alvo</t>
        </is>
      </c>
      <c r="HY6" t="inlineStr">
        <is>
          <t>1,5 m, um alvo</t>
        </is>
      </c>
      <c r="HZ6" t="inlineStr">
        <is>
          <t>1,5 m, um alvo</t>
        </is>
      </c>
      <c r="IA6" t="inlineStr"/>
      <c r="IB6" t="inlineStr"/>
      <c r="IC6" t="inlineStr"/>
      <c r="ID6" t="inlineStr"/>
      <c r="IE6" t="inlineStr"/>
      <c r="IF6" t="inlineStr"/>
      <c r="IH6">
        <f>IF(OR('DADOS_FORMAS'!$AM6='INVOCAÇÕES'!$O$48,'DADOS_FORMAS'!$AM6='INVOCAÇÕES'!$P$48,'DADOS_FORMAS'!$AM6='INVOCAÇÕES'!$Q$48,'DADOS_FORMAS'!$AM6='INVOCAÇÕES'!$R$48,'DADOS_FORMAS'!$AM6='INVOCAÇÕES'!$S$48,'DADOS_FORMAS'!$AM6='INVOCAÇÕES'!$O$50,'DADOS_FORMAS'!$AM6='INVOCAÇÕES'!$P$50,'DADOS_FORMAS'!$AM6='INVOCAÇÕES'!$Q$50,'DADOS_FORMAS'!$AM6='INVOCAÇÕES'!$R$50,'DADOS_FORMAS'!$AM6=""),'DADOS_FORMAS'!$AH6,"")</f>
        <v/>
      </c>
      <c r="II6">
        <f>IF(AND(OR('DADOS_FORMAS'!$AM6='INVOCAÇÕES'!$O$48,'DADOS_FORMAS'!$AM6='INVOCAÇÕES'!$P$48,'DADOS_FORMAS'!$AM6='INVOCAÇÕES'!$Q$48,'DADOS_FORMAS'!$AM6='INVOCAÇÕES'!$R$48,'DADOS_FORMAS'!$AM6='INVOCAÇÕES'!$S$48,'DADOS_FORMAS'!$AM6='INVOCAÇÕES'!$O$50,'DADOS_FORMAS'!$AM6='INVOCAÇÕES'!$P$50,'DADOS_FORMAS'!$AM6='INVOCAÇÕES'!$Q$50,'DADOS_FORMAS'!$AM6='INVOCAÇÕES'!$R$50,'DADOS_FORMAS'!$AM6=""),'DADOS_FORMAS'!$AR6),'DADOS_FORMAS'!$AH6,"")</f>
        <v/>
      </c>
      <c r="IK6">
        <f>IF(OR('DADOS_FORMAS'!$AM6='INVOCAÇÕES'!$O$259,'DADOS_FORMAS'!$AM6='INVOCAÇÕES'!$P$259,'DADOS_FORMAS'!$AM6='INVOCAÇÕES'!$Q$259,'DADOS_FORMAS'!$AM6='INVOCAÇÕES'!$R$259,'DADOS_FORMAS'!$AM6='INVOCAÇÕES'!$S$259,'DADOS_FORMAS'!$AM6='INVOCAÇÕES'!$O$261,'DADOS_FORMAS'!$AM6='INVOCAÇÕES'!$P$261,'DADOS_FORMAS'!$AM6='INVOCAÇÕES'!$Q$261,'DADOS_FORMAS'!$AM6='INVOCAÇÕES'!$R$261,'DADOS_FORMAS'!$AM6=""),'DADOS_FORMAS'!$AH6,"")</f>
        <v/>
      </c>
      <c r="IL6">
        <f>IF(AND(OR('DADOS_FORMAS'!$AM6='INVOCAÇÕES'!$O$259,'DADOS_FORMAS'!$AM6='INVOCAÇÕES'!$P$259,'DADOS_FORMAS'!$AM6='INVOCAÇÕES'!$Q$259,'DADOS_FORMAS'!$AM6='INVOCAÇÕES'!$R$259,'DADOS_FORMAS'!$AM6='INVOCAÇÕES'!$S$259,'DADOS_FORMAS'!$AM6='INVOCAÇÕES'!$O$261,'DADOS_FORMAS'!$AM6='INVOCAÇÕES'!$P$261,'DADOS_FORMAS'!$AM6='INVOCAÇÕES'!$Q$261,'DADOS_FORMAS'!$AM6='INVOCAÇÕES'!$R$261,'DADOS_FORMAS'!$AM6=""),'DADOS_FORMAS'!$AR6),'DADOS_FORMAS'!$AH6,"")</f>
        <v/>
      </c>
      <c r="IN6">
        <f>IF(OR('DADOS_FORMAS'!$AM6='INVOCAÇÕES'!$O$470,'DADOS_FORMAS'!$AM6='INVOCAÇÕES'!$P$470,'DADOS_FORMAS'!$AM6='INVOCAÇÕES'!$Q$470,'DADOS_FORMAS'!$AM6='INVOCAÇÕES'!$R$470,'DADOS_FORMAS'!$AM6='INVOCAÇÕES'!$S$470,'DADOS_FORMAS'!$AM6='INVOCAÇÕES'!$O$472,'DADOS_FORMAS'!$AM6='INVOCAÇÕES'!$P$472,'DADOS_FORMAS'!$AM6='INVOCAÇÕES'!$Q$472,'DADOS_FORMAS'!$AM6='INVOCAÇÕES'!$R$472,'DADOS_FORMAS'!$AM6=""),'DADOS_FORMAS'!$AH6,"")</f>
        <v/>
      </c>
      <c r="IO6">
        <f>IF(AND(OR('DADOS_FORMAS'!$AM6='INVOCAÇÕES'!$O$470,'DADOS_FORMAS'!$AM6='INVOCAÇÕES'!$P$470,'DADOS_FORMAS'!$AM6='INVOCAÇÕES'!$Q$470,'DADOS_FORMAS'!$AM6='INVOCAÇÕES'!$R$470,'DADOS_FORMAS'!$AM6='INVOCAÇÕES'!$S$470,'DADOS_FORMAS'!$AM6='INVOCAÇÕES'!$O$472,'DADOS_FORMAS'!$AM6='INVOCAÇÕES'!$P$472,'DADOS_FORMAS'!$AM6='INVOCAÇÕES'!$Q$472,'DADOS_FORMAS'!$AM6='INVOCAÇÕES'!$R$472,'DADOS_FORMAS'!$AM6=""),'DADOS_FORMAS'!$AR6),'DADOS_FORMAS'!$AH6,"")</f>
        <v/>
      </c>
      <c r="IQ6">
        <f>IF(OR('DADOS_FORMAS'!$AM6='INVOCAÇÕES'!$O$681,'DADOS_FORMAS'!$AM6='INVOCAÇÕES'!$P$681,'DADOS_FORMAS'!$AM6='INVOCAÇÕES'!$Q$681,'DADOS_FORMAS'!$AM6='INVOCAÇÕES'!$R$681,'DADOS_FORMAS'!$AM6='INVOCAÇÕES'!$S$681,'DADOS_FORMAS'!$AM6='INVOCAÇÕES'!$O$683,'DADOS_FORMAS'!$AM6='INVOCAÇÕES'!$P$683,'DADOS_FORMAS'!$AM6='INVOCAÇÕES'!$Q$683,'DADOS_FORMAS'!$AM6='INVOCAÇÕES'!$R$683,'DADOS_FORMAS'!$AM6=""),'DADOS_FORMAS'!$AH6,"")</f>
        <v/>
      </c>
      <c r="IR6">
        <f>IF(AND(OR('DADOS_FORMAS'!$AM6='INVOCAÇÕES'!$O$681,'DADOS_FORMAS'!$AM6='INVOCAÇÕES'!$P$681,'DADOS_FORMAS'!$AM6='INVOCAÇÕES'!$Q$681,'DADOS_FORMAS'!$AM6='INVOCAÇÕES'!$R$681,'DADOS_FORMAS'!$AM6='INVOCAÇÕES'!$S$681,'DADOS_FORMAS'!$AM6='INVOCAÇÕES'!$O$683,'DADOS_FORMAS'!$AM6='INVOCAÇÕES'!$P$683,'DADOS_FORMAS'!$AM6='INVOCAÇÕES'!$Q$683,'DADOS_FORMAS'!$AM6='INVOCAÇÕES'!$R$683,'DADOS_FORMAS'!$AM6=""),'DADOS_FORMAS'!$AR6),'DADOS_FORMAS'!$AH6,"")</f>
        <v/>
      </c>
      <c r="IT6">
        <f>IF(OR('DADOS_FORMAS'!$AM6='INVOCAÇÕES'!$O$892,'DADOS_FORMAS'!$AM6='INVOCAÇÕES'!$P$892,'DADOS_FORMAS'!$AM6='INVOCAÇÕES'!$Q$892,'DADOS_FORMAS'!$AM6='INVOCAÇÕES'!$R$892,'DADOS_FORMAS'!$AM6='INVOCAÇÕES'!$S$892,'DADOS_FORMAS'!$AM6='INVOCAÇÕES'!$O$894,'DADOS_FORMAS'!$AM6='INVOCAÇÕES'!$P$894,'DADOS_FORMAS'!$AM6='INVOCAÇÕES'!$Q$894,'DADOS_FORMAS'!$AM6='INVOCAÇÕES'!$R$894,'DADOS_FORMAS'!$AM6=""),'DADOS_FORMAS'!$AH6,"")</f>
        <v/>
      </c>
      <c r="IU6">
        <f>IF(AND(OR('DADOS_FORMAS'!$AM6='INVOCAÇÕES'!$O$892,'DADOS_FORMAS'!$AM6='INVOCAÇÕES'!$P$892,'DADOS_FORMAS'!$AM6='INVOCAÇÕES'!$Q$892,'DADOS_FORMAS'!$AM6='INVOCAÇÕES'!$R$892,'DADOS_FORMAS'!$AM6='INVOCAÇÕES'!$S$892,'DADOS_FORMAS'!$AM6='INVOCAÇÕES'!$O$894,'DADOS_FORMAS'!$AM6='INVOCAÇÕES'!$P$894,'DADOS_FORMAS'!$AM6='INVOCAÇÕES'!$Q$894,'DADOS_FORMAS'!$AM6='INVOCAÇÕES'!$R$894,'DADOS_FORMAS'!$AM6=""),'DADOS_FORMAS'!$AR6),'DADOS_FORMAS'!$AH6,"")</f>
        <v/>
      </c>
      <c r="IW6">
        <f>IF(OR('DADOS_FORMAS'!$AM6='INVOCAÇÕES'!$O$1103,'DADOS_FORMAS'!$AM6='INVOCAÇÕES'!$P$1103,'DADOS_FORMAS'!$AM6='INVOCAÇÕES'!$Q$1103,'DADOS_FORMAS'!$AM6='INVOCAÇÕES'!$R$1103,'DADOS_FORMAS'!$AM6='INVOCAÇÕES'!$S$1103,'DADOS_FORMAS'!$AM6='INVOCAÇÕES'!$O$1105,'DADOS_FORMAS'!$AM6='INVOCAÇÕES'!$P$1105,'DADOS_FORMAS'!$AM6='INVOCAÇÕES'!$Q$1105,'DADOS_FORMAS'!$AM6='INVOCAÇÕES'!$R$1105,'DADOS_FORMAS'!$AM6=""),'DADOS_FORMAS'!$AH6,"")</f>
        <v/>
      </c>
      <c r="IX6">
        <f>IF(AND(OR('DADOS_FORMAS'!$AM6='INVOCAÇÕES'!$O$1103,'DADOS_FORMAS'!$AM6='INVOCAÇÕES'!$P$1103,'DADOS_FORMAS'!$AM6='INVOCAÇÕES'!$Q$1103,'DADOS_FORMAS'!$AM6='INVOCAÇÕES'!$R$1103,'DADOS_FORMAS'!$AM6='INVOCAÇÕES'!$S$1103,'DADOS_FORMAS'!$AM6='INVOCAÇÕES'!$O$1105,'DADOS_FORMAS'!$AM6='INVOCAÇÕES'!$P$1105,'DADOS_FORMAS'!$AM6='INVOCAÇÕES'!$Q$1105,'DADOS_FORMAS'!$AM6='INVOCAÇÕES'!$R$1105,'DADOS_FORMAS'!$AM6=""),'DADOS_FORMAS'!$AR6),'DADOS_FORMAS'!$AH6,"")</f>
        <v/>
      </c>
      <c r="IZ6">
        <f>IF(OR('DADOS_FORMAS'!$AM6='INVOCAÇÕES'!$AH$48,'DADOS_FORMAS'!$AM6='INVOCAÇÕES'!$AI$48,'DADOS_FORMAS'!$AM6='INVOCAÇÕES'!$AJ$48,'DADOS_FORMAS'!$AM6='INVOCAÇÕES'!$AK$48,'DADOS_FORMAS'!$AM6='INVOCAÇÕES'!$AL$48,'DADOS_FORMAS'!$AM6='INVOCAÇÕES'!$AH$50,'DADOS_FORMAS'!$AM6='INVOCAÇÕES'!$AI$50,'DADOS_FORMAS'!$AM6='INVOCAÇÕES'!$AJ$50,'DADOS_FORMAS'!$AM6='INVOCAÇÕES'!$AK$50,'DADOS_FORMAS'!$AM6=""),'DADOS_FORMAS'!$AH6,"")</f>
        <v/>
      </c>
      <c r="JA6">
        <f>IF(AND(OR('DADOS_FORMAS'!$AM6='INVOCAÇÕES'!$AH$48,'DADOS_FORMAS'!$AM6='INVOCAÇÕES'!$AI$48,'DADOS_FORMAS'!$AM6='INVOCAÇÕES'!$AJ$48,'DADOS_FORMAS'!$AM6='INVOCAÇÕES'!$AK$48,'DADOS_FORMAS'!$AM6='INVOCAÇÕES'!$AL$48,'DADOS_FORMAS'!$AM6='INVOCAÇÕES'!$AH$50,'DADOS_FORMAS'!$AM6='INVOCAÇÕES'!$AI$50,'DADOS_FORMAS'!$AM6='INVOCAÇÕES'!$AJ$50,'DADOS_FORMAS'!$AM6='INVOCAÇÕES'!$AK$50,'DADOS_FORMAS'!$AM6=""),'DADOS_FORMAS'!$AR6),'DADOS_FORMAS'!$AH6,"")</f>
        <v/>
      </c>
      <c r="JC6">
        <f>IF(OR('DADOS_FORMAS'!$AM6='INVOCAÇÕES'!$AH$259,'DADOS_FORMAS'!$AM6='INVOCAÇÕES'!$AI$259,'DADOS_FORMAS'!$AM6='INVOCAÇÕES'!$AJ$259,'DADOS_FORMAS'!$AM6='INVOCAÇÕES'!$AK$259,'DADOS_FORMAS'!$AM6='INVOCAÇÕES'!$AL$259,'DADOS_FORMAS'!$AM6='INVOCAÇÕES'!$AH$261,'DADOS_FORMAS'!$AM6='INVOCAÇÕES'!$AI$261,'DADOS_FORMAS'!$AM6='INVOCAÇÕES'!$AJ$261,'DADOS_FORMAS'!$AM6='INVOCAÇÕES'!$AK$261,'DADOS_FORMAS'!$AM6=""),'DADOS_FORMAS'!$AH6,"")</f>
        <v/>
      </c>
      <c r="JD6">
        <f>IF(AND(OR('DADOS_FORMAS'!$AM6='INVOCAÇÕES'!$AH$259,'DADOS_FORMAS'!$AM6='INVOCAÇÕES'!$AI$259,'DADOS_FORMAS'!$AM6='INVOCAÇÕES'!$AJ$259,'DADOS_FORMAS'!$AM6='INVOCAÇÕES'!$AK$259,'DADOS_FORMAS'!$AM6='INVOCAÇÕES'!$AL$259,'DADOS_FORMAS'!$AM6='INVOCAÇÕES'!$AH$261,'DADOS_FORMAS'!$AM6='INVOCAÇÕES'!$AI$261,'DADOS_FORMAS'!$AM6='INVOCAÇÕES'!$AJ$261,'DADOS_FORMAS'!$AM6='INVOCAÇÕES'!$AK$261,'DADOS_FORMAS'!$AM6=""),'DADOS_FORMAS'!$AR6),'DADOS_FORMAS'!$AH6,"")</f>
        <v/>
      </c>
      <c r="JF6">
        <f>IF(OR('DADOS_FORMAS'!$AM6='INVOCAÇÕES'!$AH$470,'DADOS_FORMAS'!$AM6='INVOCAÇÕES'!$AI$470,'DADOS_FORMAS'!$AM6='INVOCAÇÕES'!$AJ$470,'DADOS_FORMAS'!$AM6='INVOCAÇÕES'!$AK$470,'DADOS_FORMAS'!$AM6='INVOCAÇÕES'!$AL$470,'DADOS_FORMAS'!$AM6='INVOCAÇÕES'!$AH$472,'DADOS_FORMAS'!$AM6='INVOCAÇÕES'!$AI$472,'DADOS_FORMAS'!$AM6='INVOCAÇÕES'!$AJ$472,'DADOS_FORMAS'!$AM6='INVOCAÇÕES'!$AK$472,'DADOS_FORMAS'!$AM6=""),'DADOS_FORMAS'!$AH6,"")</f>
        <v/>
      </c>
      <c r="JG6">
        <f>IF(AND(OR('DADOS_FORMAS'!$AM6='INVOCAÇÕES'!$AH$470,'DADOS_FORMAS'!$AM6='INVOCAÇÕES'!$AI$470,'DADOS_FORMAS'!$AM6='INVOCAÇÕES'!$AJ$470,'DADOS_FORMAS'!$AM6='INVOCAÇÕES'!$AK$470,'DADOS_FORMAS'!$AM6='INVOCAÇÕES'!$AL$470,'DADOS_FORMAS'!$AM6='INVOCAÇÕES'!$AH$472,'DADOS_FORMAS'!$AM6='INVOCAÇÕES'!$AI$472,'DADOS_FORMAS'!$AM6='INVOCAÇÕES'!$AJ$472,'DADOS_FORMAS'!$AM6='INVOCAÇÕES'!$AK$472,'DADOS_FORMAS'!$AM6=""),'DADOS_FORMAS'!$AR6),'DADOS_FORMAS'!$AH6,"")</f>
        <v/>
      </c>
      <c r="JI6">
        <f>IF(OR('DADOS_FORMAS'!$AM6='INVOCAÇÕES'!$AH$681,'DADOS_FORMAS'!$AM6='INVOCAÇÕES'!$AI$681,'DADOS_FORMAS'!$AM6='INVOCAÇÕES'!$AJ$681,'DADOS_FORMAS'!$AM6='INVOCAÇÕES'!$AK$681,'DADOS_FORMAS'!$AM6='INVOCAÇÕES'!$AL$681,'DADOS_FORMAS'!$AM6='INVOCAÇÕES'!$AH$683,'DADOS_FORMAS'!$AM6='INVOCAÇÕES'!$AI$683,'DADOS_FORMAS'!$AM6='INVOCAÇÕES'!$AJ$683,'DADOS_FORMAS'!$AM6='INVOCAÇÕES'!$AK$683,'DADOS_FORMAS'!$AM6=""),'DADOS_FORMAS'!$AH6,"")</f>
        <v/>
      </c>
      <c r="JJ6">
        <f>IF(AND(OR('DADOS_FORMAS'!$AM6='INVOCAÇÕES'!$AH$681,'DADOS_FORMAS'!$AM6='INVOCAÇÕES'!$AI$681,'DADOS_FORMAS'!$AM6='INVOCAÇÕES'!$AJ$681,'DADOS_FORMAS'!$AM6='INVOCAÇÕES'!$AK$681,'DADOS_FORMAS'!$AM6='INVOCAÇÕES'!$AL$681,'DADOS_FORMAS'!$AM6='INVOCAÇÕES'!$AH$683,'DADOS_FORMAS'!$AM6='INVOCAÇÕES'!$AI$683,'DADOS_FORMAS'!$AM6='INVOCAÇÕES'!$AJ$683,'DADOS_FORMAS'!$AM6='INVOCAÇÕES'!$AK$683,'DADOS_FORMAS'!$AM6=""),'DADOS_FORMAS'!$AR6),'DADOS_FORMAS'!$AH6,"")</f>
        <v/>
      </c>
      <c r="JL6">
        <f>IF(OR('DADOS_FORMAS'!$AM6='INVOCAÇÕES'!$AH$892,'DADOS_FORMAS'!$AM6='INVOCAÇÕES'!$AI$892,'DADOS_FORMAS'!$AM6='INVOCAÇÕES'!$AJ$892,'DADOS_FORMAS'!$AM6='INVOCAÇÕES'!$AK$892,'DADOS_FORMAS'!$AM6='INVOCAÇÕES'!$AL$892,'DADOS_FORMAS'!$AM6='INVOCAÇÕES'!$AH$894,'DADOS_FORMAS'!$AM6='INVOCAÇÕES'!$AI$894,'DADOS_FORMAS'!$AM6='INVOCAÇÕES'!$AJ$894,'DADOS_FORMAS'!$AM6='INVOCAÇÕES'!$AK$894,'DADOS_FORMAS'!$AM6=""),'DADOS_FORMAS'!$AH6,"")</f>
        <v/>
      </c>
      <c r="JM6">
        <f>IF(AND(OR('DADOS_FORMAS'!$AM6='INVOCAÇÕES'!$AH$892,'DADOS_FORMAS'!$AM6='INVOCAÇÕES'!$AI$892,'DADOS_FORMAS'!$AM6='INVOCAÇÕES'!$AJ$892,'DADOS_FORMAS'!$AM6='INVOCAÇÕES'!$AK$892,'DADOS_FORMAS'!$AM6='INVOCAÇÕES'!$AL$892,'DADOS_FORMAS'!$AM6='INVOCAÇÕES'!$AH$894,'DADOS_FORMAS'!$AM6='INVOCAÇÕES'!$AI$894,'DADOS_FORMAS'!$AM6='INVOCAÇÕES'!$AJ$894,'DADOS_FORMAS'!$AM6='INVOCAÇÕES'!$AK$894,'DADOS_FORMAS'!$AM6=""),'DADOS_FORMAS'!$AR6),'DADOS_FORMAS'!$AH6,"")</f>
        <v/>
      </c>
      <c r="JO6">
        <f>IF(OR('DADOS_FORMAS'!$AM6='INVOCAÇÕES'!$AH$1103,'DADOS_FORMAS'!$AM6='INVOCAÇÕES'!$AI$1103,'DADOS_FORMAS'!$AM6='INVOCAÇÕES'!$AJ$1103,'DADOS_FORMAS'!$AM6='INVOCAÇÕES'!$AK$1103,'DADOS_FORMAS'!$AM6='INVOCAÇÕES'!$AL$1103,'DADOS_FORMAS'!$AM6='INVOCAÇÕES'!$AH$1105,'DADOS_FORMAS'!$AM6='INVOCAÇÕES'!$AI$1105,'DADOS_FORMAS'!$AM6='INVOCAÇÕES'!$AJ$1105,'DADOS_FORMAS'!$AM6='INVOCAÇÕES'!$AK$1105,'DADOS_FORMAS'!$AM6=""),'DADOS_FORMAS'!$AH6,"")</f>
        <v/>
      </c>
      <c r="JP6">
        <f>IF(AND(OR('DADOS_FORMAS'!$AM6='INVOCAÇÕES'!$AH$1103,'DADOS_FORMAS'!$AM6='INVOCAÇÕES'!$AI$1103,'DADOS_FORMAS'!$AM6='INVOCAÇÕES'!$AJ$1103,'DADOS_FORMAS'!$AM6='INVOCAÇÕES'!$AK$1103,'DADOS_FORMAS'!$AM6='INVOCAÇÕES'!$AL$1103,'DADOS_FORMAS'!$AM6='INVOCAÇÕES'!$AH$1105,'DADOS_FORMAS'!$AM6='INVOCAÇÕES'!$AI$1105,'DADOS_FORMAS'!$AM6='INVOCAÇÕES'!$AJ$1105,'DADOS_FORMAS'!$AM6='INVOCAÇÕES'!$AK$1105,'DADOS_FORMAS'!$AM6=""),'DADOS_FORMAS'!$AR6),'DADOS_FORMAS'!$AH6,"")</f>
        <v/>
      </c>
      <c r="JR6" t="inlineStr">
        <is>
          <t>Aura</t>
        </is>
      </c>
      <c r="JZ6">
        <f>IFERROR(INDEX('DADOS_CRIACAO'!$H$2:$H$20,4),"")</f>
        <v/>
      </c>
      <c r="KA6">
        <f>IFERROR(INDEX(INDEX('DADOS_RESTRICOES'!$M$2:$Q$54,0,1),4),"")</f>
        <v/>
      </c>
    </row>
    <row r="7">
      <c r="A7">
        <f>IF(ISBLANK('CONFIGURAÇÃO'!$FH$106),"",'CONFIGURAÇÃO'!$FH$106)</f>
        <v/>
      </c>
      <c r="B7">
        <f>IF(ISBLANK('CONFIGURAÇÃO'!$FH$108),"",'CONFIGURAÇÃO'!$FH$108)</f>
        <v/>
      </c>
      <c r="C7">
        <f>IF(ISBLANK('CONFIGURAÇÃO'!$FK$109),"",'CONFIGURAÇÃO'!$FK$109)</f>
        <v/>
      </c>
      <c r="D7">
        <f>IF(ISBLANK('CONFIGURAÇÃO'!$FL$106),"",'CONFIGURAÇÃO'!$FL$106)</f>
        <v/>
      </c>
      <c r="E7">
        <f>IF(ISBLANK('CONFIGURAÇÃO'!$FH$135),"",'CONFIGURAÇÃO'!$FH$135)</f>
        <v/>
      </c>
      <c r="F7">
        <f>IF(ISBLANK('CONFIGURAÇÃO'!$FH$141),"",'CONFIGURAÇÃO'!$FH$141)</f>
        <v/>
      </c>
      <c r="G7">
        <f>IF(ISBLANK('CONFIGURAÇÃO'!$FK$110),"",'CONFIGURAÇÃO'!$FK$110)</f>
        <v/>
      </c>
      <c r="H7">
        <f>IF(ISBLANK('CONFIGURAÇÃO'!$FK$111),"",'CONFIGURAÇÃO'!$FK$111)</f>
        <v/>
      </c>
      <c r="I7">
        <f>IF(ISBLANK('CONFIGURAÇÃO'!$FK$112),"",'CONFIGURAÇÃO'!$FK$112)</f>
        <v/>
      </c>
      <c r="J7">
        <f>IF(ISBLANK('CONFIGURAÇÃO'!$FK$113),"",'CONFIGURAÇÃO'!$FK$113)</f>
        <v/>
      </c>
      <c r="K7">
        <f>IF(ISBLANK('CONFIGURAÇÃO'!$FK$114),"",'CONFIGURAÇÃO'!$FK$114)</f>
        <v/>
      </c>
      <c r="L7">
        <f>IF(ISBLANK('CONFIGURAÇÃO'!$FK$115),"",'CONFIGURAÇÃO'!$FK$115)</f>
        <v/>
      </c>
      <c r="M7">
        <f>IF(ISBLANK('CONFIGURAÇÃO'!$FK$116),"",'CONFIGURAÇÃO'!$FK$116)</f>
        <v/>
      </c>
      <c r="N7">
        <f>IF(ISBLANK('CONFIGURAÇÃO'!$FK$117),"",'CONFIGURAÇÃO'!$FK$117)</f>
        <v/>
      </c>
      <c r="O7">
        <f>IF(ISBLANK('CONFIGURAÇÃO'!$FK$118),"",'CONFIGURAÇÃO'!$FK$118)</f>
        <v/>
      </c>
      <c r="P7">
        <f>IF(ISBLANK('CONFIGURAÇÃO'!$FK$119),"",'CONFIGURAÇÃO'!$FK$119)</f>
        <v/>
      </c>
      <c r="Q7">
        <f>IF(ISBLANK('CONFIGURAÇÃO'!$FK$120),"",'CONFIGURAÇÃO'!$FK$120)</f>
        <v/>
      </c>
      <c r="R7">
        <f>IF(ISBLANK('CONFIGURAÇÃO'!$FK$121),"",'CONFIGURAÇÃO'!$FK$121)</f>
        <v/>
      </c>
      <c r="S7">
        <f>IF(ISBLANK('CONFIGURAÇÃO'!$FK$122),"",'CONFIGURAÇÃO'!$FK$122)</f>
        <v/>
      </c>
      <c r="T7">
        <f>IF(ISBLANK('CONFIGURAÇÃO'!$FK$123),"",'CONFIGURAÇÃO'!$FK$123)</f>
        <v/>
      </c>
      <c r="U7">
        <f>IF(ISBLANK('CONFIGURAÇÃO'!$FK$124),"",'CONFIGURAÇÃO'!$FK$124)</f>
        <v/>
      </c>
      <c r="V7">
        <f>IF(ISBLANK('CONFIGURAÇÃO'!$FK$125),"",'CONFIGURAÇÃO'!$FK$125)</f>
        <v/>
      </c>
      <c r="W7">
        <f>IF(ISBLANK('CONFIGURAÇÃO'!$FK$126),"",'CONFIGURAÇÃO'!$FK$126)</f>
        <v/>
      </c>
      <c r="X7">
        <f>IF(ISBLANK('CONFIGURAÇÃO'!$FK$127),"",'CONFIGURAÇÃO'!$FK$127)</f>
        <v/>
      </c>
      <c r="Y7">
        <f>IF(ISBLANK('CONFIGURAÇÃO'!$FK$128),"",'CONFIGURAÇÃO'!$FK$128)</f>
        <v/>
      </c>
      <c r="Z7">
        <f>IF(ISBLANK('CONFIGURAÇÃO'!$FK$129),"",'CONFIGURAÇÃO'!$FK$129)</f>
        <v/>
      </c>
      <c r="AA7">
        <f>IF(ISBLANK('CONFIGURAÇÃO'!$FK$130),"",'CONFIGURAÇÃO'!$FK$130)</f>
        <v/>
      </c>
      <c r="AB7">
        <f>IF(ISBLANK('CONFIGURAÇÃO'!$FK$131),"",'CONFIGURAÇÃO'!$FK$131)</f>
        <v/>
      </c>
      <c r="AC7">
        <f>IF(ISBLANK('CONFIGURAÇÃO'!$FK$132),"",'CONFIGURAÇÃO'!$FK$132)</f>
        <v/>
      </c>
      <c r="AD7">
        <f>IF($AF7,TEXTJOIN(" · ",TRUE,$DJ7:$FH7),"")</f>
        <v/>
      </c>
      <c r="AE7">
        <f>IF(OR($C7="",$C7="Nenhuma"),0,IFERROR(MATCH(SUBSTITUTE(SUBSTITUTE(SUBSTITUTE($C7,"~","~~"),"*","~*"),"?","~?"),'DADOS_FORMAS'!$AH$2:$AH$11,0),-1))</f>
        <v/>
      </c>
      <c r="AF7">
        <f>OR($B7&lt;&gt;"",$C7&lt;&gt;"",$E7&lt;&gt;"",$F7&lt;&gt;"",$G7&lt;&gt;"",$H7&lt;&gt;"",$I7&lt;&gt;"",$J7&lt;&gt;"",$K7&lt;&gt;"",$L7&lt;&gt;"",$M7&lt;&gt;"",$N7&lt;&gt;"",$O7&lt;&gt;"",$P7&lt;&gt;"",$Q7&lt;&gt;"",$R7&lt;&gt;"",$S7&lt;&gt;"",$T7&lt;&gt;"",$U7&lt;&gt;"",$V7&lt;&gt;"",$W7&lt;&gt;"",$X7&lt;&gt;"",$Y7&lt;&gt;"",$Z7&lt;&gt;"",$AA7&lt;&gt;"",$AB7&lt;&gt;"",$AC7&lt;&gt;"",AND($D7&lt;&gt;"",$D7&lt;&gt;FALSE),AND($A7&lt;&gt;"",$A7&lt;&gt;"Forma"))</f>
        <v/>
      </c>
      <c r="AG7" t="inlineStr">
        <is>
          <t>Forma</t>
        </is>
      </c>
      <c r="AH7" t="inlineStr">
        <is>
          <t>Linha</t>
        </is>
      </c>
      <c r="AI7">
        <f>""</f>
        <v/>
      </c>
      <c r="AJ7" t="b">
        <v>0</v>
      </c>
      <c r="AK7">
        <f>""</f>
        <v/>
      </c>
      <c r="AL7" t="inlineStr">
        <is>
          <t>Linha de 18 m por 1,5 m, partindo de você.</t>
        </is>
      </c>
      <c r="AM7" t="inlineStr">
        <is>
          <t>Área</t>
        </is>
      </c>
      <c r="AN7" t="b">
        <v>1</v>
      </c>
      <c r="AO7" t="inlineStr">
        <is>
          <t>TR, metade</t>
        </is>
      </c>
      <c r="AP7" t="b">
        <v>0</v>
      </c>
      <c r="AQ7" t="b">
        <v>1</v>
      </c>
      <c r="AR7" t="b">
        <v>1</v>
      </c>
      <c r="AS7">
        <f>""</f>
        <v/>
      </c>
      <c r="AT7" t="inlineStr">
        <is>
          <t>Fixo</t>
        </is>
      </c>
      <c r="AU7" t="inlineStr">
        <is>
          <t>comprimento</t>
        </is>
      </c>
      <c r="AV7">
        <f>""</f>
        <v/>
      </c>
      <c r="AW7">
        <f>""</f>
        <v/>
      </c>
      <c r="AX7">
        <f>""</f>
        <v/>
      </c>
      <c r="AY7">
        <f>""</f>
        <v/>
      </c>
      <c r="AZ7">
        <f>""</f>
        <v/>
      </c>
      <c r="BA7">
        <f>""</f>
        <v/>
      </c>
      <c r="BB7">
        <f>""</f>
        <v/>
      </c>
      <c r="BC7" t="inlineStr">
        <is>
          <t>9 m</t>
        </is>
      </c>
      <c r="BD7" t="inlineStr">
        <is>
          <t>18 m</t>
        </is>
      </c>
      <c r="BE7" t="inlineStr">
        <is>
          <t>30 m</t>
        </is>
      </c>
      <c r="BF7" t="inlineStr">
        <is>
          <t>9 m</t>
        </is>
      </c>
      <c r="BG7" t="inlineStr">
        <is>
          <t>18 m</t>
        </is>
      </c>
      <c r="BH7" t="inlineStr">
        <is>
          <t>18 m</t>
        </is>
      </c>
      <c r="BI7" t="inlineStr">
        <is>
          <t>30 m</t>
        </is>
      </c>
      <c r="BJ7" t="inlineStr">
        <is>
          <t>Linha</t>
        </is>
      </c>
      <c r="BK7" t="b">
        <v>0</v>
      </c>
      <c r="BL7" t="inlineStr">
        <is>
          <t>area</t>
        </is>
      </c>
      <c r="BM7" t="inlineStr">
        <is>
          <t xml:space="preserve">linha de </t>
        </is>
      </c>
      <c r="BN7" t="inlineStr">
        <is>
          <t xml:space="preserve"> por 1,5 m</t>
        </is>
      </c>
      <c r="BO7" t="n">
        <v>3</v>
      </c>
      <c r="BP7">
        <f>""</f>
        <v/>
      </c>
      <c r="BQ7">
        <f>""</f>
        <v/>
      </c>
      <c r="BR7">
        <f>""</f>
        <v/>
      </c>
      <c r="BS7" t="b">
        <v>0</v>
      </c>
      <c r="BV7">
        <f>IF($A7="",IF($AE7&gt;0,INDEX('DADOS_FORMAS'!$AG$2:$AG$11,MAX(1,$AE7)),"Forma"),$A7)</f>
        <v/>
      </c>
      <c r="BW7">
        <f>IF($B7="",IF($AE7&gt;0,INDEX('DADOS_FORMAS'!$AH$2:$AH$11,MAX(1,$AE7)),""),$B7)</f>
        <v/>
      </c>
      <c r="BX7">
        <f>IF($C7="",IF($AE7&gt;0,INDEX('DADOS_FORMAS'!$AI$2:$AI$11,MAX(1,$AE7)),""),$C7)</f>
        <v/>
      </c>
      <c r="BY7">
        <f>IF($D7="",IF($AE7&gt;0,INDEX('DADOS_FORMAS'!$AJ$2:$AJ$11,MAX(1,$AE7)),FALSE),$D7)</f>
        <v/>
      </c>
      <c r="BZ7">
        <f>IF($E7="",IF($AE7&gt;0,INDEX('DADOS_FORMAS'!$AK$2:$AK$11,MAX(1,$AE7)),""),$E7)</f>
        <v/>
      </c>
      <c r="CA7">
        <f>IF($F7="",IF($AE7&gt;0,INDEX('DADOS_FORMAS'!$AL$2:$AL$11,MAX(1,$AE7)),""),$F7)</f>
        <v/>
      </c>
      <c r="CB7">
        <f>IF($G7="Nenhuma","",IF($G7="",IF($AE7&gt;0,INDEX('DADOS_FORMAS'!$AM$2:$AM$11,MAX(1,$AE7)),""),$G7))</f>
        <v/>
      </c>
      <c r="CC7">
        <f>IF($H7="",IF($AE7&gt;0,INDEX('DADOS_FORMAS'!$AN$2:$AN$11,MAX(1,$AE7)),""),IF($H7="Sem custo",0,IF($H7="Leve",1,IF($H7="Média",2,IF($H7="Pesada",3,$H7)))))</f>
        <v/>
      </c>
      <c r="CD7">
        <f>IF($I7="",IF($AE7&gt;0,INDEX('DADOS_FORMAS'!$AO$2:$AO$11,MAX(1,$AE7)),""),$I7)</f>
        <v/>
      </c>
      <c r="CE7">
        <f>IF($J7="",IF($AE7&gt;0,INDEX('DADOS_FORMAS'!$AP$2:$AP$11,MAX(1,$AE7)),""),IF($J7="Dano",0,IF($J7="Cura",1,IF($J7="Vida temporária",2,IF($J7="Efeito",3,$J7)))))</f>
        <v/>
      </c>
      <c r="CF7">
        <f>IF($K7="",IF($AE7&gt;0,INDEX('DADOS_FORMAS'!$AQ$2:$AQ$11,MAX(1,$AE7)),""),IF($K7="Sim",TRUE,IF($K7="Não",FALSE,$K7)))</f>
        <v/>
      </c>
      <c r="CG7">
        <f>IF($L7="",IF($AE7&gt;0,INDEX('DADOS_FORMAS'!$AR$2:$AR$11,MAX(1,$AE7)),""),IF($L7="Sim",TRUE,IF($L7="Não",FALSE,$L7)))</f>
        <v/>
      </c>
      <c r="CH7">
        <f>IF($M7="Nenhuma","",IF($M7="",IF($AE7&gt;0,INDEX('DADOS_FORMAS'!$AS$2:$AS$11,MAX(1,$AE7)),""),$M7))</f>
        <v/>
      </c>
      <c r="CI7">
        <f>IF($N7="",IF($AE7&gt;0,INDEX('DADOS_FORMAS'!$AT$2:$AT$11,MAX(1,$AE7)),"Fixo"),$N7)</f>
        <v/>
      </c>
      <c r="CJ7">
        <f>IF($O7="",IF($AE7&gt;0,INDEX('DADOS_FORMAS'!$AU$2:$AU$11,MAX(1,$AE7)),"Fixo"),$O7)</f>
        <v/>
      </c>
      <c r="CK7">
        <f>IF($P7="",IF($AE7&gt;0,INDEX('DADOS_FORMAS'!$AV$2:$AV$11,MAX(1,$AE7)),""),$P7)</f>
        <v/>
      </c>
      <c r="CL7">
        <f>IF($Q7="",IF($AE7&gt;0,INDEX('DADOS_FORMAS'!$AW$2:$AW$11,MAX(1,$AE7)),""),$Q7)</f>
        <v/>
      </c>
      <c r="CM7">
        <f>IF($R7="",IF($AE7&gt;0,INDEX('DADOS_FORMAS'!$AX$2:$AX$11,MAX(1,$AE7)),""),$R7)</f>
        <v/>
      </c>
      <c r="CN7">
        <f>IF($S7="",IF($AE7&gt;0,INDEX('DADOS_FORMAS'!$AY$2:$AY$11,MAX(1,$AE7)),""),$S7)</f>
        <v/>
      </c>
      <c r="CO7">
        <f>IF($T7="",IF($AE7&gt;0,INDEX('DADOS_FORMAS'!$AZ$2:$AZ$11,MAX(1,$AE7)),""),$T7)</f>
        <v/>
      </c>
      <c r="CP7">
        <f>IF($U7="",IF($AE7&gt;0,INDEX('DADOS_FORMAS'!$BA$2:$BA$11,MAX(1,$AE7)),""),$U7)</f>
        <v/>
      </c>
      <c r="CQ7">
        <f>IF($V7="",IF($AE7&gt;0,INDEX('DADOS_FORMAS'!$BB$2:$BB$11,MAX(1,$AE7)),""),$V7)</f>
        <v/>
      </c>
      <c r="CR7">
        <f>IF($W7="",IF($AE7&gt;0,INDEX('DADOS_FORMAS'!$BC$2:$BC$11,MAX(1,$AE7)),""),$W7)</f>
        <v/>
      </c>
      <c r="CS7">
        <f>IF($X7="",IF($AE7&gt;0,INDEX('DADOS_FORMAS'!$BD$2:$BD$11,MAX(1,$AE7)),""),$X7)</f>
        <v/>
      </c>
      <c r="CT7">
        <f>IF($Y7="",IF($AE7&gt;0,INDEX('DADOS_FORMAS'!$BE$2:$BE$11,MAX(1,$AE7)),""),$Y7)</f>
        <v/>
      </c>
      <c r="CU7">
        <f>IF($Z7="",IF($AE7&gt;0,INDEX('DADOS_FORMAS'!$BF$2:$BF$11,MAX(1,$AE7)),""),$Z7)</f>
        <v/>
      </c>
      <c r="CV7">
        <f>IF($AA7="",IF($AE7&gt;0,INDEX('DADOS_FORMAS'!$BG$2:$BG$11,MAX(1,$AE7)),""),$AA7)</f>
        <v/>
      </c>
      <c r="CW7">
        <f>IF($AB7="",IF($AE7&gt;0,INDEX('DADOS_FORMAS'!$BH$2:$BH$11,MAX(1,$AE7)),""),$AB7)</f>
        <v/>
      </c>
      <c r="CX7">
        <f>IF($AC7="",IF($AE7&gt;0,INDEX('DADOS_FORMAS'!$BI$2:$BI$11,MAX(1,$AE7)),""),$AC7)</f>
        <v/>
      </c>
      <c r="CY7">
        <f>IF($AE7&gt;0,INDEX('DADOS_FORMAS'!$BJ$2:$BJ$11,MAX(1,$AE7)),"")</f>
        <v/>
      </c>
      <c r="CZ7">
        <f>IF($AE7&gt;0,INDEX('DADOS_FORMAS'!$BK$2:$BK$11,MAX(1,$AE7)),0)</f>
        <v/>
      </c>
      <c r="DA7">
        <f>IF($AE7&gt;0,INDEX('DADOS_FORMAS'!$BL$2:$BL$11,MAX(1,$AE7)),"alcance")</f>
        <v/>
      </c>
      <c r="DB7">
        <f>IF($AE7&gt;0,INDEX('DADOS_FORMAS'!$BM$2:$BM$11,MAX(1,$AE7)),"")</f>
        <v/>
      </c>
      <c r="DC7">
        <f>IF($AE7&gt;0,INDEX('DADOS_FORMAS'!$BN$2:$BN$11,MAX(1,$AE7)),"")</f>
        <v/>
      </c>
      <c r="DD7">
        <f>IF($AE7&gt;0,INDEX('DADOS_FORMAS'!$BO$2:$BO$11,MAX(1,$AE7)),1)</f>
        <v/>
      </c>
      <c r="DE7">
        <f>IF(AND($AE7&gt;0,INDEX('DADOS_FORMAS'!$BP$2:$BP$11,MAX(1,$AE7))=""),IF(AND(INDEX('DADOS_FORMAS'!$BL$2:$BL$11,MAX(1,$AE7))="alcance",OR($W7&lt;&gt;"",$X7&lt;&gt;"",$Y7&lt;&gt;"",$Z7&lt;&gt;"",$AA7&lt;&gt;"",$AB7&lt;&gt;"",$AC7&lt;&gt;"")),"area",IF(AND(INDEX('DADOS_FORMAS'!$BL$2:$BL$11,MAX(1,$AE7))="area",OR($P7&lt;&gt;"",$Q7&lt;&gt;"",$R7&lt;&gt;"",$S7&lt;&gt;"",$T7&lt;&gt;"",$U7&lt;&gt;"",$V7&lt;&gt;"")),"alcance","")),IF($AE7&gt;0,INDEX('DADOS_FORMAS'!$BP$2:$BP$11,MAX(1,$AE7)),"area"))</f>
        <v/>
      </c>
      <c r="DF7">
        <f>IF(AND($AE7&gt;0,INDEX('DADOS_FORMAS'!$BP$2:$BP$11,MAX(1,$AE7))=""),IF(IF(AND(INDEX('DADOS_FORMAS'!$BL$2:$BL$11,MAX(1,$AE7))="alcance",OR($W7&lt;&gt;"",$X7&lt;&gt;"",$Y7&lt;&gt;"",$Z7&lt;&gt;"",$AA7&lt;&gt;"",$AB7&lt;&gt;"",$AC7&lt;&gt;"")),"area",IF(AND(INDEX('DADOS_FORMAS'!$BL$2:$BL$11,MAX(1,$AE7))="area",OR($P7&lt;&gt;"",$Q7&lt;&gt;"",$R7&lt;&gt;"",$S7&lt;&gt;"",$T7&lt;&gt;"",$U7&lt;&gt;"",$V7&lt;&gt;"")),"alcance",""))="alcance"," · alcance ",IF(IF(AND(INDEX('DADOS_FORMAS'!$BL$2:$BL$11,MAX(1,$AE7))="alcance",OR($W7&lt;&gt;"",$X7&lt;&gt;"",$Y7&lt;&gt;"",$Z7&lt;&gt;"",$AA7&lt;&gt;"",$AB7&lt;&gt;"",$AC7&lt;&gt;"")),"area",IF(AND(INDEX('DADOS_FORMAS'!$BL$2:$BL$11,MAX(1,$AE7))="area",OR($P7&lt;&gt;"",$Q7&lt;&gt;"",$R7&lt;&gt;"",$S7&lt;&gt;"",$T7&lt;&gt;"",$U7&lt;&gt;"",$V7&lt;&gt;"")),"alcance",""))="area"," · área ","")),IF($AE7&gt;0,INDEX('DADOS_FORMAS'!$BQ$2:$BQ$11,MAX(1,$AE7))," · área "))</f>
        <v/>
      </c>
      <c r="DG7">
        <f>IF(AND($AE7&gt;0,INDEX('DADOS_FORMAS'!$BP$2:$BP$11,MAX(1,$AE7))=""),"",IF($AE7&gt;0,INDEX('DADOS_FORMAS'!$BR$2:$BR$11,MAX(1,$AE7)),""))</f>
        <v/>
      </c>
      <c r="DH7">
        <f>IF(AND($AE7&gt;0,INDEX('DADOS_FORMAS'!$BP$2:$BP$11,MAX(1,$AE7))=""),IF(IF(AND(INDEX('DADOS_FORMAS'!$BL$2:$BL$11,MAX(1,$AE7))="alcance",OR($W7&lt;&gt;"",$X7&lt;&gt;"",$Y7&lt;&gt;"",$Z7&lt;&gt;"",$AA7&lt;&gt;"",$AB7&lt;&gt;"",$AC7&lt;&gt;"")),"area",IF(AND(INDEX('DADOS_FORMAS'!$BL$2:$BL$11,MAX(1,$AE7))="area",OR($P7&lt;&gt;"",$Q7&lt;&gt;"",$R7&lt;&gt;"",$S7&lt;&gt;"",$T7&lt;&gt;"",$U7&lt;&gt;"",$V7&lt;&gt;"")),"alcance",""))="",0,IF(IF(AND(INDEX('DADOS_FORMAS'!$BL$2:$BL$11,MAX(1,$AE7))="alcance",OR($W7&lt;&gt;"",$X7&lt;&gt;"",$Y7&lt;&gt;"",$Z7&lt;&gt;"",$AA7&lt;&gt;"",$AB7&lt;&gt;"",$AC7&lt;&gt;"")),"area",IF(AND(INDEX('DADOS_FORMAS'!$BL$2:$BL$11,MAX(1,$AE7))="area",OR($P7&lt;&gt;"",$Q7&lt;&gt;"",$R7&lt;&gt;"",$S7&lt;&gt;"",$T7&lt;&gt;"",$U7&lt;&gt;"",$V7&lt;&gt;"")),"alcance",""))="alcance",1,IF($O7="comprimento",3,2))),IF($AE7&gt;0,INDEX('DADOS_FORMAS'!$BS$2:$BS$11,MAX(1,$AE7)),IF($O7="comprimento",3,2)))</f>
        <v/>
      </c>
      <c r="DJ7">
        <f>IF(AND(ISTEXT($B7),$B7&lt;&gt;"",TRIM($B7)=$B7),"","NOME precisa ser texto sem espaços nas pontas")</f>
        <v/>
      </c>
      <c r="DK7">
        <f>IF(COUNTIF('DADOS_FORMAS'!$B$2:$B$11,SUBSTITUTE(SUBSTITUTE(SUBSTITUTE($B7,"~","~~"),"*","~*"),"?","~?"))+COUNTIF('DADOS_FORMAS'!$AH$2:$AH$11,SUBSTITUTE(SUBSTITUTE(SUBSTITUTE($B7,"~","~~"),"*","~*"),"?","~?"))=1,"","Nome repetido no livro ou custom")</f>
        <v/>
      </c>
      <c r="DL7">
        <f>IF($AE7&gt;=0,"","BASE DO LIVRO inválida para o grupo")</f>
        <v/>
      </c>
      <c r="DM7">
        <f>IF(OR($BV7="Forma"),"","TIPO inválido para o grupo")</f>
        <v/>
      </c>
      <c r="DN7">
        <f>IF(ISLOGICAL($BY7),"","MESTRE VIU precisa ser caixa de seleção")</f>
        <v/>
      </c>
      <c r="DO7">
        <f>IF(ISTEXT($CA7),"","EFEITO precisa ser texto")</f>
        <v/>
      </c>
      <c r="DP7">
        <f>IF(ISTEXT($BZ7),"","REQUISITOS precisa ser texto")</f>
        <v/>
      </c>
      <c r="DQ7">
        <f>IF(IFERROR(AND(ISNUMBER($CC7),NOT(ISLOGICAL($CC7)),$CC7=INT($CC7),$CC7&gt;=0,$CC7&lt;=3),FALSE),"","PESO exige 0/1/2/3")</f>
        <v/>
      </c>
      <c r="DR7">
        <f>IF(IFERROR(AND(ISNUMBER($CE7),NOT(ISLOGICAL($CE7)),$CE7=INT($CE7),$CE7&gt;=0,$CE7&lt;=3),FALSE),"","RESULTADO exige 0/1/2/3")</f>
        <v/>
      </c>
      <c r="DS7">
        <f>IF(ISLOGICAL($CF7),"","EXIGE_TR exige Sim/Não")</f>
        <v/>
      </c>
      <c r="DT7">
        <f>IF(ISLOGICAL($CG7),"","CLASSE_0 exige Sim/Não")</f>
        <v/>
      </c>
      <c r="DU7">
        <f>IF(OR($CD7="Acerto",$CD7="TR, metade",$CD7="Automático"),"","RESOLUÇÃO inválida")</f>
        <v/>
      </c>
      <c r="DV7">
        <f>IF(OR($CB7="",COUNTIF('DADOS_CRIACAO'!$H$2:$H$20,SUBSTITUTE(SUBSTITUTE(SUBSTITUTE($CB7,"~","~~"),"*","~*"),"?","~?"))&gt;0),"","FAMÍLIA não cadastrada ou inválida")</f>
        <v/>
      </c>
      <c r="DW7">
        <f>IF(OR($CH7="",IFERROR(MATCH(SUBSTITUTE(SUBSTITUTE(SUBSTITUTE($CH7,"~","~~"),"*","~*"),"?","~?"),INDEX('DADOS_RESTRICOES'!$M$2:$Q$54,0,1),0),0)&gt;0),"","RESTRIÇÃO EMBUTIDA inválida")</f>
        <v/>
      </c>
      <c r="DX7">
        <f>IF(OR($CI7="Fixo",$CI7="alcance"),"","ESCADA inválida para alcance")</f>
        <v/>
      </c>
      <c r="DY7">
        <f>IF(OR(NOT(AND($CG7,OR($DA7="alcance",$DE7="alcance"))),$CK7&lt;&gt;""),"","Base de alcance ausente: personagem/classe_0")</f>
        <v/>
      </c>
      <c r="DZ7">
        <f>IF(ISTEXT($CK7),"","Base precisa ser texto: alcance/personagem/classe_0")</f>
        <v/>
      </c>
      <c r="EA7">
        <f>IF(OR(NOT(AND($CG7,OR($DA7="alcance",$DE7="alcance"))),$CI7="Fixo",$CK7="",$CK7="—",AND(RIGHT($CK7,2)=" m",IFERROR(VALUE(SUBSTITUTE(LEFT($CK7,MAX(0,LEN($CK7)-2)),",",""))/10^IFERROR(LEN(LEFT($CK7,MAX(0,LEN($CK7)-2)))-FIND(",",LEFT($CK7,MAX(0,LEN($CK7)-2))),0),-1)&gt;0)),"","Base incompatível com escada: alcance/personagem/classe_0")</f>
        <v/>
      </c>
      <c r="EB7">
        <f>IF(OR(NOT(OR($DA7="alcance",$DE7="alcance")),$CL7&lt;&gt;""),"","Base de alcance ausente: personagem/classes_1_a_5")</f>
        <v/>
      </c>
      <c r="EC7">
        <f>IF(ISTEXT($CL7),"","Base precisa ser texto: alcance/personagem/classes_1_a_5")</f>
        <v/>
      </c>
      <c r="ED7">
        <f>IF(OR(NOT(OR($DA7="alcance",$DE7="alcance")),$CI7="Fixo",$CL7="",$CL7="—",AND(RIGHT($CL7,2)=" m",IFERROR(VALUE(SUBSTITUTE(LEFT($CL7,MAX(0,LEN($CL7)-2)),",",""))/10^IFERROR(LEN(LEFT($CL7,MAX(0,LEN($CL7)-2)))-FIND(",",LEFT($CL7,MAX(0,LEN($CL7)-2))),0),-1)&gt;0)),"","Base incompatível com escada: alcance/personagem/classes_1_a_5")</f>
        <v/>
      </c>
      <c r="EE7">
        <f>IF(OR(NOT(OR($DA7="alcance",$DE7="alcance")),$CM7&lt;&gt;""),"","Base de alcance ausente: personagem/classes_6_e_7")</f>
        <v/>
      </c>
      <c r="EF7">
        <f>IF(ISTEXT($CM7),"","Base precisa ser texto: alcance/personagem/classes_6_e_7")</f>
        <v/>
      </c>
      <c r="EG7">
        <f>IF(OR(NOT(OR($DA7="alcance",$DE7="alcance")),$CI7="Fixo",$CM7="",$CM7="—",AND(RIGHT($CM7,2)=" m",IFERROR(VALUE(SUBSTITUTE(LEFT($CM7,MAX(0,LEN($CM7)-2)),",",""))/10^IFERROR(LEN(LEFT($CM7,MAX(0,LEN($CM7)-2)))-FIND(",",LEFT($CM7,MAX(0,LEN($CM7)-2))),0),-1)&gt;0)),"","Base incompatível com escada: alcance/personagem/classes_6_e_7")</f>
        <v/>
      </c>
      <c r="EH7">
        <f>IF(OR(NOT(AND($CG7,OR($DA7="alcance",$DE7="alcance"))),$CN7&lt;&gt;""),"","Base de alcance ausente: entidade/classe_0")</f>
        <v/>
      </c>
      <c r="EI7">
        <f>IF(ISTEXT($CN7),"","Base precisa ser texto: alcance/entidade/classe_0")</f>
        <v/>
      </c>
      <c r="EJ7">
        <f>IF(OR(NOT(AND($CG7,OR($DA7="alcance",$DE7="alcance"))),$CI7="Fixo",$CN7="",$CN7="—",AND(RIGHT($CN7,2)=" m",IFERROR(VALUE(SUBSTITUTE(LEFT($CN7,MAX(0,LEN($CN7)-2)),",",""))/10^IFERROR(LEN(LEFT($CN7,MAX(0,LEN($CN7)-2)))-FIND(",",LEFT($CN7,MAX(0,LEN($CN7)-2))),0),-1)&gt;0)),"","Base incompatível com escada: alcance/entidade/classe_0")</f>
        <v/>
      </c>
      <c r="EK7">
        <f>IF(OR(NOT(OR($DA7="alcance",$DE7="alcance")),$CO7&lt;&gt;""),"","Base de alcance ausente: entidade/classes_1_a_5")</f>
        <v/>
      </c>
      <c r="EL7">
        <f>IF(ISTEXT($CO7),"","Base precisa ser texto: alcance/entidade/classes_1_a_5")</f>
        <v/>
      </c>
      <c r="EM7">
        <f>IF(OR(NOT(OR($DA7="alcance",$DE7="alcance")),$CI7="Fixo",$CO7="",$CO7="—",AND(RIGHT($CO7,2)=" m",IFERROR(VALUE(SUBSTITUTE(LEFT($CO7,MAX(0,LEN($CO7)-2)),",",""))/10^IFERROR(LEN(LEFT($CO7,MAX(0,LEN($CO7)-2)))-FIND(",",LEFT($CO7,MAX(0,LEN($CO7)-2))),0),-1)&gt;0)),"","Base incompatível com escada: alcance/entidade/classes_1_a_5")</f>
        <v/>
      </c>
      <c r="EN7">
        <f>IF(OR(NOT(OR($DA7="alcance",$DE7="alcance")),$CP7&lt;&gt;""),"","Base de alcance ausente: entidade/classe_6")</f>
        <v/>
      </c>
      <c r="EO7">
        <f>IF(ISTEXT($CP7),"","Base precisa ser texto: alcance/entidade/classe_6")</f>
        <v/>
      </c>
      <c r="EP7">
        <f>IF(OR(NOT(OR($DA7="alcance",$DE7="alcance")),$CI7="Fixo",$CP7="",$CP7="—",AND(RIGHT($CP7,2)=" m",IFERROR(VALUE(SUBSTITUTE(LEFT($CP7,MAX(0,LEN($CP7)-2)),",",""))/10^IFERROR(LEN(LEFT($CP7,MAX(0,LEN($CP7)-2)))-FIND(",",LEFT($CP7,MAX(0,LEN($CP7)-2))),0),-1)&gt;0)),"","Base incompatível com escada: alcance/entidade/classe_6")</f>
        <v/>
      </c>
      <c r="EQ7">
        <f>IF(OR(NOT(OR($DA7="alcance",$DE7="alcance")),$CQ7&lt;&gt;""),"","Base de alcance ausente: entidade/classe_7")</f>
        <v/>
      </c>
      <c r="ER7">
        <f>IF(ISTEXT($CQ7),"","Base precisa ser texto: alcance/entidade/classe_7")</f>
        <v/>
      </c>
      <c r="ES7">
        <f>IF(OR(NOT(OR($DA7="alcance",$DE7="alcance")),$CI7="Fixo",$CQ7="",$CQ7="—",AND(RIGHT($CQ7,2)=" m",IFERROR(VALUE(SUBSTITUTE(LEFT($CQ7,MAX(0,LEN($CQ7)-2)),",",""))/10^IFERROR(LEN(LEFT($CQ7,MAX(0,LEN($CQ7)-2)))-FIND(",",LEFT($CQ7,MAX(0,LEN($CQ7)-2))),0),-1)&gt;0)),"","Base incompatível com escada: alcance/entidade/classe_7")</f>
        <v/>
      </c>
      <c r="ET7">
        <f>IF(OR($CJ7="Fixo",$CJ7="raio",$CJ7="comprimento"),"","ESCADA inválida para area")</f>
        <v/>
      </c>
      <c r="EU7">
        <f>IF(ISTEXT($CR7),"","Base precisa ser texto: area/personagem/classe_0")</f>
        <v/>
      </c>
      <c r="EV7">
        <f>IF(OR(NOT(AND($CG7,OR($DA7="area",$DE7="area"))),$CJ7="Fixo",$CR7="",$CR7="—",AND(AND(AND(RIGHT($CR7,2)=" m",IFERROR(VALUE(SUBSTITUTE(LEFT($CR7,MAX(0,LEN($CR7)-2)),",",""))/10^IFERROR(LEN(LEFT($CR7,MAX(0,LEN($CR7)-2)))-FIND(",",LEFT($CR7,MAX(0,LEN($CR7)-2))),0),-1)&gt;0),OR($CJ7&lt;&gt;"raio",IFERROR(VALUE(SUBSTITUTE(LEFT($CR7,MAX(0,LEN($CR7)-2)),",",""))/10^IFERROR(LEN(LEFT($CR7,MAX(0,LEN($CR7)-2)))-FIND(",",LEFT($CR7,MAX(0,LEN($CR7)-2))),0),-1)&lt;=15.0)),OR($CJ7&lt;&gt;"comprimento",IFERROR(VALUE(SUBSTITUTE(LEFT($CR7,MAX(0,LEN($CR7)-2)),",",""))/10^IFERROR(LEN(LEFT($CR7,MAX(0,LEN($CR7)-2)))-FIND(",",LEFT($CR7,MAX(0,LEN($CR7)-2))),0),-1)&lt;=60.0))),"","Base incompatível com escada: area/personagem/classe_0")</f>
        <v/>
      </c>
      <c r="EW7">
        <f>IF(ISTEXT($CS7),"","Base precisa ser texto: area/personagem/classes_1_a_5")</f>
        <v/>
      </c>
      <c r="EX7">
        <f>IF(OR(NOT(OR($DA7="area",$DE7="area")),$CJ7="Fixo",$CS7="",$CS7="—",AND(AND(AND(RIGHT($CS7,2)=" m",IFERROR(VALUE(SUBSTITUTE(LEFT($CS7,MAX(0,LEN($CS7)-2)),",",""))/10^IFERROR(LEN(LEFT($CS7,MAX(0,LEN($CS7)-2)))-FIND(",",LEFT($CS7,MAX(0,LEN($CS7)-2))),0),-1)&gt;0),OR($CJ7&lt;&gt;"raio",IFERROR(VALUE(SUBSTITUTE(LEFT($CS7,MAX(0,LEN($CS7)-2)),",",""))/10^IFERROR(LEN(LEFT($CS7,MAX(0,LEN($CS7)-2)))-FIND(",",LEFT($CS7,MAX(0,LEN($CS7)-2))),0),-1)&lt;=15.0)),OR($CJ7&lt;&gt;"comprimento",IFERROR(VALUE(SUBSTITUTE(LEFT($CS7,MAX(0,LEN($CS7)-2)),",",""))/10^IFERROR(LEN(LEFT($CS7,MAX(0,LEN($CS7)-2)))-FIND(",",LEFT($CS7,MAX(0,LEN($CS7)-2))),0),-1)&lt;=60.0))),"","Base incompatível com escada: area/personagem/classes_1_a_5")</f>
        <v/>
      </c>
      <c r="EY7">
        <f>IF(ISTEXT($CT7),"","Base precisa ser texto: area/personagem/classes_6_e_7")</f>
        <v/>
      </c>
      <c r="EZ7">
        <f>IF(OR(NOT(OR($DA7="area",$DE7="area")),$CJ7="Fixo",$CT7="",$CT7="—",AND(AND(AND(RIGHT($CT7,2)=" m",IFERROR(VALUE(SUBSTITUTE(LEFT($CT7,MAX(0,LEN($CT7)-2)),",",""))/10^IFERROR(LEN(LEFT($CT7,MAX(0,LEN($CT7)-2)))-FIND(",",LEFT($CT7,MAX(0,LEN($CT7)-2))),0),-1)&gt;0),OR($CJ7&lt;&gt;"raio",IFERROR(VALUE(SUBSTITUTE(LEFT($CT7,MAX(0,LEN($CT7)-2)),",",""))/10^IFERROR(LEN(LEFT($CT7,MAX(0,LEN($CT7)-2)))-FIND(",",LEFT($CT7,MAX(0,LEN($CT7)-2))),0),-1)&lt;=15.0)),OR($CJ7&lt;&gt;"comprimento",IFERROR(VALUE(SUBSTITUTE(LEFT($CT7,MAX(0,LEN($CT7)-2)),",",""))/10^IFERROR(LEN(LEFT($CT7,MAX(0,LEN($CT7)-2)))-FIND(",",LEFT($CT7,MAX(0,LEN($CT7)-2))),0),-1)&lt;=60.0))),"","Base incompatível com escada: area/personagem/classes_6_e_7")</f>
        <v/>
      </c>
      <c r="FA7">
        <f>IF(ISTEXT($CU7),"","Base precisa ser texto: area/entidade/classe_0")</f>
        <v/>
      </c>
      <c r="FB7">
        <f>IF(OR(NOT(AND($CG7,OR($DA7="area",$DE7="area"))),$CJ7="Fixo",$CU7="",$CU7="—",AND(AND(AND(RIGHT($CU7,2)=" m",IFERROR(VALUE(SUBSTITUTE(LEFT($CU7,MAX(0,LEN($CU7)-2)),",",""))/10^IFERROR(LEN(LEFT($CU7,MAX(0,LEN($CU7)-2)))-FIND(",",LEFT($CU7,MAX(0,LEN($CU7)-2))),0),-1)&gt;0),OR($CJ7&lt;&gt;"raio",IFERROR(VALUE(SUBSTITUTE(LEFT($CU7,MAX(0,LEN($CU7)-2)),",",""))/10^IFERROR(LEN(LEFT($CU7,MAX(0,LEN($CU7)-2)))-FIND(",",LEFT($CU7,MAX(0,LEN($CU7)-2))),0),-1)&lt;=15.0)),OR($CJ7&lt;&gt;"comprimento",IFERROR(VALUE(SUBSTITUTE(LEFT($CU7,MAX(0,LEN($CU7)-2)),",",""))/10^IFERROR(LEN(LEFT($CU7,MAX(0,LEN($CU7)-2)))-FIND(",",LEFT($CU7,MAX(0,LEN($CU7)-2))),0),-1)&lt;=60.0))),"","Base incompatível com escada: area/entidade/classe_0")</f>
        <v/>
      </c>
      <c r="FC7">
        <f>IF(ISTEXT($CV7),"","Base precisa ser texto: area/entidade/classes_1_a_5")</f>
        <v/>
      </c>
      <c r="FD7">
        <f>IF(OR(NOT(OR($DA7="area",$DE7="area")),$CJ7="Fixo",$CV7="",$CV7="—",AND(AND(AND(RIGHT($CV7,2)=" m",IFERROR(VALUE(SUBSTITUTE(LEFT($CV7,MAX(0,LEN($CV7)-2)),",",""))/10^IFERROR(LEN(LEFT($CV7,MAX(0,LEN($CV7)-2)))-FIND(",",LEFT($CV7,MAX(0,LEN($CV7)-2))),0),-1)&gt;0),OR($CJ7&lt;&gt;"raio",IFERROR(VALUE(SUBSTITUTE(LEFT($CV7,MAX(0,LEN($CV7)-2)),",",""))/10^IFERROR(LEN(LEFT($CV7,MAX(0,LEN($CV7)-2)))-FIND(",",LEFT($CV7,MAX(0,LEN($CV7)-2))),0),-1)&lt;=15.0)),OR($CJ7&lt;&gt;"comprimento",IFERROR(VALUE(SUBSTITUTE(LEFT($CV7,MAX(0,LEN($CV7)-2)),",",""))/10^IFERROR(LEN(LEFT($CV7,MAX(0,LEN($CV7)-2)))-FIND(",",LEFT($CV7,MAX(0,LEN($CV7)-2))),0),-1)&lt;=60.0))),"","Base incompatível com escada: area/entidade/classes_1_a_5")</f>
        <v/>
      </c>
      <c r="FE7">
        <f>IF(ISTEXT($CW7),"","Base precisa ser texto: area/entidade/classe_6")</f>
        <v/>
      </c>
      <c r="FF7">
        <f>IF(OR(NOT(OR($DA7="area",$DE7="area")),$CJ7="Fixo",$CW7="",$CW7="—",AND(AND(AND(RIGHT($CW7,2)=" m",IFERROR(VALUE(SUBSTITUTE(LEFT($CW7,MAX(0,LEN($CW7)-2)),",",""))/10^IFERROR(LEN(LEFT($CW7,MAX(0,LEN($CW7)-2)))-FIND(",",LEFT($CW7,MAX(0,LEN($CW7)-2))),0),-1)&gt;0),OR($CJ7&lt;&gt;"raio",IFERROR(VALUE(SUBSTITUTE(LEFT($CW7,MAX(0,LEN($CW7)-2)),",",""))/10^IFERROR(LEN(LEFT($CW7,MAX(0,LEN($CW7)-2)))-FIND(",",LEFT($CW7,MAX(0,LEN($CW7)-2))),0),-1)&lt;=15.0)),OR($CJ7&lt;&gt;"comprimento",IFERROR(VALUE(SUBSTITUTE(LEFT($CW7,MAX(0,LEN($CW7)-2)),",",""))/10^IFERROR(LEN(LEFT($CW7,MAX(0,LEN($CW7)-2)))-FIND(",",LEFT($CW7,MAX(0,LEN($CW7)-2))),0),-1)&lt;=60.0))),"","Base incompatível com escada: area/entidade/classe_6")</f>
        <v/>
      </c>
      <c r="FG7">
        <f>IF(ISTEXT($CX7),"","Base precisa ser texto: area/entidade/classe_7")</f>
        <v/>
      </c>
      <c r="FH7">
        <f>IF(OR(NOT(OR($DA7="area",$DE7="area")),$CJ7="Fixo",$CX7="",$CX7="—",AND(AND(AND(RIGHT($CX7,2)=" m",IFERROR(VALUE(SUBSTITUTE(LEFT($CX7,MAX(0,LEN($CX7)-2)),",",""))/10^IFERROR(LEN(LEFT($CX7,MAX(0,LEN($CX7)-2)))-FIND(",",LEFT($CX7,MAX(0,LEN($CX7)-2))),0),-1)&gt;0),OR($CJ7&lt;&gt;"raio",IFERROR(VALUE(SUBSTITUTE(LEFT($CX7,MAX(0,LEN($CX7)-2)),",",""))/10^IFERROR(LEN(LEFT($CX7,MAX(0,LEN($CX7)-2)))-FIND(",",LEFT($CX7,MAX(0,LEN($CX7)-2))),0),-1)&lt;=15.0)),OR($CJ7&lt;&gt;"comprimento",IFERROR(VALUE(SUBSTITUTE(LEFT($CX7,MAX(0,LEN($CX7)-2)),",",""))/10^IFERROR(LEN(LEFT($CX7,MAX(0,LEN($CX7)-2)))-FIND(",",LEFT($CX7,MAX(0,LEN($CX7)-2))),0),-1)&lt;=60.0))),"","Base incompatível com escada: area/entidade/classe_7")</f>
        <v/>
      </c>
      <c r="FJ7">
        <f>'DADOS_FORMAS'!$AH7</f>
        <v/>
      </c>
      <c r="FK7">
        <f>'DADOS_FORMAS'!$AM7</f>
        <v/>
      </c>
      <c r="FL7">
        <f>'DADOS_FORMAS'!$AN7</f>
        <v/>
      </c>
      <c r="FM7">
        <f>IF('DADOS_FORMAS'!$AN7=0,0,'DADOS_FORMAS'!$AN7+3*IFERROR(VLOOKUP(SUBSTITUTE(SUBSTITUTE(SUBSTITUTE('DADOS_FORMAS'!$AM7,"~","~~"),"*","~*"),"?","~?"),'DADOS_CRIACAO'!$H$2:$K$20,3,FALSE),0))</f>
        <v/>
      </c>
      <c r="FN7">
        <f>IFERROR(VLOOKUP(SUBSTITUTE(SUBSTITUTE(SUBSTITUTE('DADOS_FORMAS'!$AM7,"~","~~"),"*","~*"),"?","~?"),'DADOS_CRIACAO'!$H$2:$K$20,4,FALSE),0)</f>
        <v/>
      </c>
      <c r="FO7">
        <f>IF('DADOS_FORMAS'!$AS7="",0,1)</f>
        <v/>
      </c>
      <c r="FP7">
        <f>'DADOS_FORMAS'!$AP7</f>
        <v/>
      </c>
      <c r="FQ7">
        <f>IF(AND('DADOS_FORMAS'!$AO7="Acerto",'DADOS_FORMAS'!$AQ7),"Acerto + TR",'DADOS_FORMAS'!$AO7)</f>
        <v/>
      </c>
      <c r="FR7">
        <f>N(OR('DADOS_FORMAS'!$AQ7,'DADOS_FORMAS'!$AO7="TR, metade"))</f>
        <v/>
      </c>
      <c r="FS7">
        <f>'DADOS_FORMAS'!$BO7</f>
        <v/>
      </c>
      <c r="FT7">
        <f>'DADOS_FORMAS'!$BS7</f>
        <v/>
      </c>
      <c r="FU7">
        <f>'DADOS_FORMAS'!$BK7</f>
        <v/>
      </c>
      <c r="FV7">
        <f>N('DADOS_FORMAS'!$AR7)</f>
        <v/>
      </c>
      <c r="FW7">
        <f>IF(IFERROR(VLOOKUP(SUBSTITUTE(SUBSTITUTE(SUBSTITUTE('DADOS_FORMAS'!$AM7,"~","~~"),"*","~*"),"?","~?"),'DADOS_CRIACAO'!$H$2:$K$20,4,FALSE),0)=1,"",'DADOS_FORMAS'!$AH7)</f>
        <v/>
      </c>
      <c r="FX7">
        <f>IF(AND('DADOS_FORMAS'!$AR7,IFERROR(VLOOKUP(SUBSTITUTE(SUBSTITUTE(SUBSTITUTE('DADOS_FORMAS'!$AM7,"~","~~"),"*","~*"),"?","~?"),'DADOS_CRIACAO'!$H$2:$K$20,4,FALSE),0)=0),'DADOS_FORMAS'!$AH7,"")</f>
        <v/>
      </c>
      <c r="FZ7">
        <f>'DADOS_FORMAS'!$AH7</f>
        <v/>
      </c>
      <c r="GA7">
        <f>'DADOS_FORMAS'!$AM7</f>
        <v/>
      </c>
      <c r="GB7">
        <f>'DADOS_FORMAS'!$AN7</f>
        <v/>
      </c>
      <c r="GC7">
        <f>IF('DADOS_FORMAS'!$AS7="",0,1)</f>
        <v/>
      </c>
      <c r="GD7">
        <f>'DADOS_FORMAS'!$AP7</f>
        <v/>
      </c>
      <c r="GE7">
        <f>IF('DADOS_FORMAS'!$AO7="Acerto","Ataque",IF('DADOS_FORMAS'!$AQ7,"TR","—"))</f>
        <v/>
      </c>
      <c r="GF7">
        <f>N(OR('DADOS_FORMAS'!$AQ7,'DADOS_FORMAS'!$AO7="TR, metade"))</f>
        <v/>
      </c>
      <c r="GG7">
        <f>'DADOS_FORMAS'!$BO7</f>
        <v/>
      </c>
      <c r="GH7">
        <f>'DADOS_FORMAS'!$BS7</f>
        <v/>
      </c>
      <c r="GI7">
        <f>'DADOS_FORMAS'!$BK7</f>
        <v/>
      </c>
      <c r="GJ7">
        <f>N('DADOS_FORMAS'!$AR7)</f>
        <v/>
      </c>
      <c r="GL7" t="inlineStr">
        <is>
          <t>visão a olho nu</t>
        </is>
      </c>
      <c r="GR7">
        <f>'DADOS_FORMAS'!$BP12</f>
        <v/>
      </c>
      <c r="GS7">
        <f>IF('DADOS_FORMAS'!$BP12="area",'DADOS_FORMAS'!$AU12,'DADOS_FORMAS'!$AT12)</f>
        <v/>
      </c>
      <c r="GT7">
        <f>IF('DADOS_FORMAS'!$BP12="area",'DADOS_FORMAS'!$BE12,'DADOS_FORMAS'!$AX12)</f>
        <v/>
      </c>
      <c r="GU7">
        <f>'DADOS_FORMAS'!$BQ12</f>
        <v/>
      </c>
      <c r="GV7">
        <f>'DADOS_FORMAS'!$BR12</f>
        <v/>
      </c>
      <c r="GW7">
        <f>LET(base,'DADOS_FORMAS'!$GT7,escada,'DADOS_FORMAS'!$GS7,medida,LEFT(base,MAX(0,LEN(base)-2)),valor,IFERROR(VALUE(SUBSTITUTE(medida,",",""))/10^IFERROR(LEN(medida)-FIND(",",medida),0),1E99),IF(OR(escada="Fixo",base="—"),base,IF(escada="alcance",IFERROR(MATCH(base,{"1,5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7" t="inlineStr">
        <is>
          <t>Toque · classes 6 e 7</t>
        </is>
      </c>
      <c r="GZ7" t="inlineStr">
        <is>
          <t>1,5 m, um alvo</t>
        </is>
      </c>
      <c r="HA7" t="inlineStr">
        <is>
          <t>1,5 m, um alvo</t>
        </is>
      </c>
      <c r="HB7" t="inlineStr">
        <is>
          <t>1,5 m, um alvo</t>
        </is>
      </c>
      <c r="HC7" t="inlineStr">
        <is>
          <t>1,5 m, um alvo</t>
        </is>
      </c>
      <c r="HD7" t="inlineStr">
        <is>
          <t>1,5 m, um alvo</t>
        </is>
      </c>
      <c r="HE7" t="inlineStr">
        <is>
          <t>1,5 m, um alvo</t>
        </is>
      </c>
      <c r="HF7" t="inlineStr"/>
      <c r="HG7" t="inlineStr"/>
      <c r="HH7" t="inlineStr"/>
      <c r="HI7" t="inlineStr"/>
      <c r="HJ7" t="inlineStr"/>
      <c r="HK7" t="inlineStr"/>
      <c r="HM7">
        <f>'DADOS_FORMAS'!$BP12</f>
        <v/>
      </c>
      <c r="HN7">
        <f>IF('DADOS_FORMAS'!$BP12="area",'DADOS_FORMAS'!$AU12,'DADOS_FORMAS'!$AT12)</f>
        <v/>
      </c>
      <c r="HO7">
        <f>IF('DADOS_FORMAS'!$BP12="area",'DADOS_FORMAS'!$BH12,'DADOS_FORMAS'!$BA12)</f>
        <v/>
      </c>
      <c r="HP7">
        <f>'DADOS_FORMAS'!$BQ12</f>
        <v/>
      </c>
      <c r="HQ7">
        <f>'DADOS_FORMAS'!$BR12</f>
        <v/>
      </c>
      <c r="HR7">
        <f>LET(base,'DADOS_FORMAS'!$HO7,escada,'DADOS_FORMAS'!$HN7,medida,LEFT(base,MAX(0,LEN(base)-2)),valor,IFERROR(VALUE(SUBSTITUTE(medida,",",""))/10^IFERROR(LEN(medida)-FIND(",",medida),0),1E99),IF(OR(escada="Fixo",base="—"),base,IF(escada="alcance",IFERROR(MATCH(base,{"1,5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 t="inlineStr">
        <is>
          <t>Toque · classes 1 a 5</t>
        </is>
      </c>
      <c r="HU7" t="inlineStr">
        <is>
          <t>1,5 m, um alvo</t>
        </is>
      </c>
      <c r="HV7" t="inlineStr">
        <is>
          <t>1,5 m, um alvo</t>
        </is>
      </c>
      <c r="HW7" t="inlineStr">
        <is>
          <t>1,5 m, um alvo</t>
        </is>
      </c>
      <c r="HX7" t="inlineStr">
        <is>
          <t>1,5 m, um alvo</t>
        </is>
      </c>
      <c r="HY7" t="inlineStr">
        <is>
          <t>1,5 m, um alvo</t>
        </is>
      </c>
      <c r="HZ7" t="inlineStr">
        <is>
          <t>1,5 m, um alvo</t>
        </is>
      </c>
      <c r="IA7" t="inlineStr"/>
      <c r="IB7" t="inlineStr"/>
      <c r="IC7" t="inlineStr"/>
      <c r="ID7" t="inlineStr"/>
      <c r="IE7" t="inlineStr"/>
      <c r="IF7" t="inlineStr"/>
      <c r="IH7">
        <f>IF(OR('DADOS_FORMAS'!$AM7='INVOCAÇÕES'!$O$48,'DADOS_FORMAS'!$AM7='INVOCAÇÕES'!$P$48,'DADOS_FORMAS'!$AM7='INVOCAÇÕES'!$Q$48,'DADOS_FORMAS'!$AM7='INVOCAÇÕES'!$R$48,'DADOS_FORMAS'!$AM7='INVOCAÇÕES'!$S$48,'DADOS_FORMAS'!$AM7='INVOCAÇÕES'!$O$50,'DADOS_FORMAS'!$AM7='INVOCAÇÕES'!$P$50,'DADOS_FORMAS'!$AM7='INVOCAÇÕES'!$Q$50,'DADOS_FORMAS'!$AM7='INVOCAÇÕES'!$R$50,'DADOS_FORMAS'!$AM7=""),'DADOS_FORMAS'!$AH7,"")</f>
        <v/>
      </c>
      <c r="II7">
        <f>IF(AND(OR('DADOS_FORMAS'!$AM7='INVOCAÇÕES'!$O$48,'DADOS_FORMAS'!$AM7='INVOCAÇÕES'!$P$48,'DADOS_FORMAS'!$AM7='INVOCAÇÕES'!$Q$48,'DADOS_FORMAS'!$AM7='INVOCAÇÕES'!$R$48,'DADOS_FORMAS'!$AM7='INVOCAÇÕES'!$S$48,'DADOS_FORMAS'!$AM7='INVOCAÇÕES'!$O$50,'DADOS_FORMAS'!$AM7='INVOCAÇÕES'!$P$50,'DADOS_FORMAS'!$AM7='INVOCAÇÕES'!$Q$50,'DADOS_FORMAS'!$AM7='INVOCAÇÕES'!$R$50,'DADOS_FORMAS'!$AM7=""),'DADOS_FORMAS'!$AR7),'DADOS_FORMAS'!$AH7,"")</f>
        <v/>
      </c>
      <c r="IK7">
        <f>IF(OR('DADOS_FORMAS'!$AM7='INVOCAÇÕES'!$O$259,'DADOS_FORMAS'!$AM7='INVOCAÇÕES'!$P$259,'DADOS_FORMAS'!$AM7='INVOCAÇÕES'!$Q$259,'DADOS_FORMAS'!$AM7='INVOCAÇÕES'!$R$259,'DADOS_FORMAS'!$AM7='INVOCAÇÕES'!$S$259,'DADOS_FORMAS'!$AM7='INVOCAÇÕES'!$O$261,'DADOS_FORMAS'!$AM7='INVOCAÇÕES'!$P$261,'DADOS_FORMAS'!$AM7='INVOCAÇÕES'!$Q$261,'DADOS_FORMAS'!$AM7='INVOCAÇÕES'!$R$261,'DADOS_FORMAS'!$AM7=""),'DADOS_FORMAS'!$AH7,"")</f>
        <v/>
      </c>
      <c r="IL7">
        <f>IF(AND(OR('DADOS_FORMAS'!$AM7='INVOCAÇÕES'!$O$259,'DADOS_FORMAS'!$AM7='INVOCAÇÕES'!$P$259,'DADOS_FORMAS'!$AM7='INVOCAÇÕES'!$Q$259,'DADOS_FORMAS'!$AM7='INVOCAÇÕES'!$R$259,'DADOS_FORMAS'!$AM7='INVOCAÇÕES'!$S$259,'DADOS_FORMAS'!$AM7='INVOCAÇÕES'!$O$261,'DADOS_FORMAS'!$AM7='INVOCAÇÕES'!$P$261,'DADOS_FORMAS'!$AM7='INVOCAÇÕES'!$Q$261,'DADOS_FORMAS'!$AM7='INVOCAÇÕES'!$R$261,'DADOS_FORMAS'!$AM7=""),'DADOS_FORMAS'!$AR7),'DADOS_FORMAS'!$AH7,"")</f>
        <v/>
      </c>
      <c r="IN7">
        <f>IF(OR('DADOS_FORMAS'!$AM7='INVOCAÇÕES'!$O$470,'DADOS_FORMAS'!$AM7='INVOCAÇÕES'!$P$470,'DADOS_FORMAS'!$AM7='INVOCAÇÕES'!$Q$470,'DADOS_FORMAS'!$AM7='INVOCAÇÕES'!$R$470,'DADOS_FORMAS'!$AM7='INVOCAÇÕES'!$S$470,'DADOS_FORMAS'!$AM7='INVOCAÇÕES'!$O$472,'DADOS_FORMAS'!$AM7='INVOCAÇÕES'!$P$472,'DADOS_FORMAS'!$AM7='INVOCAÇÕES'!$Q$472,'DADOS_FORMAS'!$AM7='INVOCAÇÕES'!$R$472,'DADOS_FORMAS'!$AM7=""),'DADOS_FORMAS'!$AH7,"")</f>
        <v/>
      </c>
      <c r="IO7">
        <f>IF(AND(OR('DADOS_FORMAS'!$AM7='INVOCAÇÕES'!$O$470,'DADOS_FORMAS'!$AM7='INVOCAÇÕES'!$P$470,'DADOS_FORMAS'!$AM7='INVOCAÇÕES'!$Q$470,'DADOS_FORMAS'!$AM7='INVOCAÇÕES'!$R$470,'DADOS_FORMAS'!$AM7='INVOCAÇÕES'!$S$470,'DADOS_FORMAS'!$AM7='INVOCAÇÕES'!$O$472,'DADOS_FORMAS'!$AM7='INVOCAÇÕES'!$P$472,'DADOS_FORMAS'!$AM7='INVOCAÇÕES'!$Q$472,'DADOS_FORMAS'!$AM7='INVOCAÇÕES'!$R$472,'DADOS_FORMAS'!$AM7=""),'DADOS_FORMAS'!$AR7),'DADOS_FORMAS'!$AH7,"")</f>
        <v/>
      </c>
      <c r="IQ7">
        <f>IF(OR('DADOS_FORMAS'!$AM7='INVOCAÇÕES'!$O$681,'DADOS_FORMAS'!$AM7='INVOCAÇÕES'!$P$681,'DADOS_FORMAS'!$AM7='INVOCAÇÕES'!$Q$681,'DADOS_FORMAS'!$AM7='INVOCAÇÕES'!$R$681,'DADOS_FORMAS'!$AM7='INVOCAÇÕES'!$S$681,'DADOS_FORMAS'!$AM7='INVOCAÇÕES'!$O$683,'DADOS_FORMAS'!$AM7='INVOCAÇÕES'!$P$683,'DADOS_FORMAS'!$AM7='INVOCAÇÕES'!$Q$683,'DADOS_FORMAS'!$AM7='INVOCAÇÕES'!$R$683,'DADOS_FORMAS'!$AM7=""),'DADOS_FORMAS'!$AH7,"")</f>
        <v/>
      </c>
      <c r="IR7">
        <f>IF(AND(OR('DADOS_FORMAS'!$AM7='INVOCAÇÕES'!$O$681,'DADOS_FORMAS'!$AM7='INVOCAÇÕES'!$P$681,'DADOS_FORMAS'!$AM7='INVOCAÇÕES'!$Q$681,'DADOS_FORMAS'!$AM7='INVOCAÇÕES'!$R$681,'DADOS_FORMAS'!$AM7='INVOCAÇÕES'!$S$681,'DADOS_FORMAS'!$AM7='INVOCAÇÕES'!$O$683,'DADOS_FORMAS'!$AM7='INVOCAÇÕES'!$P$683,'DADOS_FORMAS'!$AM7='INVOCAÇÕES'!$Q$683,'DADOS_FORMAS'!$AM7='INVOCAÇÕES'!$R$683,'DADOS_FORMAS'!$AM7=""),'DADOS_FORMAS'!$AR7),'DADOS_FORMAS'!$AH7,"")</f>
        <v/>
      </c>
      <c r="IT7">
        <f>IF(OR('DADOS_FORMAS'!$AM7='INVOCAÇÕES'!$O$892,'DADOS_FORMAS'!$AM7='INVOCAÇÕES'!$P$892,'DADOS_FORMAS'!$AM7='INVOCAÇÕES'!$Q$892,'DADOS_FORMAS'!$AM7='INVOCAÇÕES'!$R$892,'DADOS_FORMAS'!$AM7='INVOCAÇÕES'!$S$892,'DADOS_FORMAS'!$AM7='INVOCAÇÕES'!$O$894,'DADOS_FORMAS'!$AM7='INVOCAÇÕES'!$P$894,'DADOS_FORMAS'!$AM7='INVOCAÇÕES'!$Q$894,'DADOS_FORMAS'!$AM7='INVOCAÇÕES'!$R$894,'DADOS_FORMAS'!$AM7=""),'DADOS_FORMAS'!$AH7,"")</f>
        <v/>
      </c>
      <c r="IU7">
        <f>IF(AND(OR('DADOS_FORMAS'!$AM7='INVOCAÇÕES'!$O$892,'DADOS_FORMAS'!$AM7='INVOCAÇÕES'!$P$892,'DADOS_FORMAS'!$AM7='INVOCAÇÕES'!$Q$892,'DADOS_FORMAS'!$AM7='INVOCAÇÕES'!$R$892,'DADOS_FORMAS'!$AM7='INVOCAÇÕES'!$S$892,'DADOS_FORMAS'!$AM7='INVOCAÇÕES'!$O$894,'DADOS_FORMAS'!$AM7='INVOCAÇÕES'!$P$894,'DADOS_FORMAS'!$AM7='INVOCAÇÕES'!$Q$894,'DADOS_FORMAS'!$AM7='INVOCAÇÕES'!$R$894,'DADOS_FORMAS'!$AM7=""),'DADOS_FORMAS'!$AR7),'DADOS_FORMAS'!$AH7,"")</f>
        <v/>
      </c>
      <c r="IW7">
        <f>IF(OR('DADOS_FORMAS'!$AM7='INVOCAÇÕES'!$O$1103,'DADOS_FORMAS'!$AM7='INVOCAÇÕES'!$P$1103,'DADOS_FORMAS'!$AM7='INVOCAÇÕES'!$Q$1103,'DADOS_FORMAS'!$AM7='INVOCAÇÕES'!$R$1103,'DADOS_FORMAS'!$AM7='INVOCAÇÕES'!$S$1103,'DADOS_FORMAS'!$AM7='INVOCAÇÕES'!$O$1105,'DADOS_FORMAS'!$AM7='INVOCAÇÕES'!$P$1105,'DADOS_FORMAS'!$AM7='INVOCAÇÕES'!$Q$1105,'DADOS_FORMAS'!$AM7='INVOCAÇÕES'!$R$1105,'DADOS_FORMAS'!$AM7=""),'DADOS_FORMAS'!$AH7,"")</f>
        <v/>
      </c>
      <c r="IX7">
        <f>IF(AND(OR('DADOS_FORMAS'!$AM7='INVOCAÇÕES'!$O$1103,'DADOS_FORMAS'!$AM7='INVOCAÇÕES'!$P$1103,'DADOS_FORMAS'!$AM7='INVOCAÇÕES'!$Q$1103,'DADOS_FORMAS'!$AM7='INVOCAÇÕES'!$R$1103,'DADOS_FORMAS'!$AM7='INVOCAÇÕES'!$S$1103,'DADOS_FORMAS'!$AM7='INVOCAÇÕES'!$O$1105,'DADOS_FORMAS'!$AM7='INVOCAÇÕES'!$P$1105,'DADOS_FORMAS'!$AM7='INVOCAÇÕES'!$Q$1105,'DADOS_FORMAS'!$AM7='INVOCAÇÕES'!$R$1105,'DADOS_FORMAS'!$AM7=""),'DADOS_FORMAS'!$AR7),'DADOS_FORMAS'!$AH7,"")</f>
        <v/>
      </c>
      <c r="IZ7">
        <f>IF(OR('DADOS_FORMAS'!$AM7='INVOCAÇÕES'!$AH$48,'DADOS_FORMAS'!$AM7='INVOCAÇÕES'!$AI$48,'DADOS_FORMAS'!$AM7='INVOCAÇÕES'!$AJ$48,'DADOS_FORMAS'!$AM7='INVOCAÇÕES'!$AK$48,'DADOS_FORMAS'!$AM7='INVOCAÇÕES'!$AL$48,'DADOS_FORMAS'!$AM7='INVOCAÇÕES'!$AH$50,'DADOS_FORMAS'!$AM7='INVOCAÇÕES'!$AI$50,'DADOS_FORMAS'!$AM7='INVOCAÇÕES'!$AJ$50,'DADOS_FORMAS'!$AM7='INVOCAÇÕES'!$AK$50,'DADOS_FORMAS'!$AM7=""),'DADOS_FORMAS'!$AH7,"")</f>
        <v/>
      </c>
      <c r="JA7">
        <f>IF(AND(OR('DADOS_FORMAS'!$AM7='INVOCAÇÕES'!$AH$48,'DADOS_FORMAS'!$AM7='INVOCAÇÕES'!$AI$48,'DADOS_FORMAS'!$AM7='INVOCAÇÕES'!$AJ$48,'DADOS_FORMAS'!$AM7='INVOCAÇÕES'!$AK$48,'DADOS_FORMAS'!$AM7='INVOCAÇÕES'!$AL$48,'DADOS_FORMAS'!$AM7='INVOCAÇÕES'!$AH$50,'DADOS_FORMAS'!$AM7='INVOCAÇÕES'!$AI$50,'DADOS_FORMAS'!$AM7='INVOCAÇÕES'!$AJ$50,'DADOS_FORMAS'!$AM7='INVOCAÇÕES'!$AK$50,'DADOS_FORMAS'!$AM7=""),'DADOS_FORMAS'!$AR7),'DADOS_FORMAS'!$AH7,"")</f>
        <v/>
      </c>
      <c r="JC7">
        <f>IF(OR('DADOS_FORMAS'!$AM7='INVOCAÇÕES'!$AH$259,'DADOS_FORMAS'!$AM7='INVOCAÇÕES'!$AI$259,'DADOS_FORMAS'!$AM7='INVOCAÇÕES'!$AJ$259,'DADOS_FORMAS'!$AM7='INVOCAÇÕES'!$AK$259,'DADOS_FORMAS'!$AM7='INVOCAÇÕES'!$AL$259,'DADOS_FORMAS'!$AM7='INVOCAÇÕES'!$AH$261,'DADOS_FORMAS'!$AM7='INVOCAÇÕES'!$AI$261,'DADOS_FORMAS'!$AM7='INVOCAÇÕES'!$AJ$261,'DADOS_FORMAS'!$AM7='INVOCAÇÕES'!$AK$261,'DADOS_FORMAS'!$AM7=""),'DADOS_FORMAS'!$AH7,"")</f>
        <v/>
      </c>
      <c r="JD7">
        <f>IF(AND(OR('DADOS_FORMAS'!$AM7='INVOCAÇÕES'!$AH$259,'DADOS_FORMAS'!$AM7='INVOCAÇÕES'!$AI$259,'DADOS_FORMAS'!$AM7='INVOCAÇÕES'!$AJ$259,'DADOS_FORMAS'!$AM7='INVOCAÇÕES'!$AK$259,'DADOS_FORMAS'!$AM7='INVOCAÇÕES'!$AL$259,'DADOS_FORMAS'!$AM7='INVOCAÇÕES'!$AH$261,'DADOS_FORMAS'!$AM7='INVOCAÇÕES'!$AI$261,'DADOS_FORMAS'!$AM7='INVOCAÇÕES'!$AJ$261,'DADOS_FORMAS'!$AM7='INVOCAÇÕES'!$AK$261,'DADOS_FORMAS'!$AM7=""),'DADOS_FORMAS'!$AR7),'DADOS_FORMAS'!$AH7,"")</f>
        <v/>
      </c>
      <c r="JF7">
        <f>IF(OR('DADOS_FORMAS'!$AM7='INVOCAÇÕES'!$AH$470,'DADOS_FORMAS'!$AM7='INVOCAÇÕES'!$AI$470,'DADOS_FORMAS'!$AM7='INVOCAÇÕES'!$AJ$470,'DADOS_FORMAS'!$AM7='INVOCAÇÕES'!$AK$470,'DADOS_FORMAS'!$AM7='INVOCAÇÕES'!$AL$470,'DADOS_FORMAS'!$AM7='INVOCAÇÕES'!$AH$472,'DADOS_FORMAS'!$AM7='INVOCAÇÕES'!$AI$472,'DADOS_FORMAS'!$AM7='INVOCAÇÕES'!$AJ$472,'DADOS_FORMAS'!$AM7='INVOCAÇÕES'!$AK$472,'DADOS_FORMAS'!$AM7=""),'DADOS_FORMAS'!$AH7,"")</f>
        <v/>
      </c>
      <c r="JG7">
        <f>IF(AND(OR('DADOS_FORMAS'!$AM7='INVOCAÇÕES'!$AH$470,'DADOS_FORMAS'!$AM7='INVOCAÇÕES'!$AI$470,'DADOS_FORMAS'!$AM7='INVOCAÇÕES'!$AJ$470,'DADOS_FORMAS'!$AM7='INVOCAÇÕES'!$AK$470,'DADOS_FORMAS'!$AM7='INVOCAÇÕES'!$AL$470,'DADOS_FORMAS'!$AM7='INVOCAÇÕES'!$AH$472,'DADOS_FORMAS'!$AM7='INVOCAÇÕES'!$AI$472,'DADOS_FORMAS'!$AM7='INVOCAÇÕES'!$AJ$472,'DADOS_FORMAS'!$AM7='INVOCAÇÕES'!$AK$472,'DADOS_FORMAS'!$AM7=""),'DADOS_FORMAS'!$AR7),'DADOS_FORMAS'!$AH7,"")</f>
        <v/>
      </c>
      <c r="JI7">
        <f>IF(OR('DADOS_FORMAS'!$AM7='INVOCAÇÕES'!$AH$681,'DADOS_FORMAS'!$AM7='INVOCAÇÕES'!$AI$681,'DADOS_FORMAS'!$AM7='INVOCAÇÕES'!$AJ$681,'DADOS_FORMAS'!$AM7='INVOCAÇÕES'!$AK$681,'DADOS_FORMAS'!$AM7='INVOCAÇÕES'!$AL$681,'DADOS_FORMAS'!$AM7='INVOCAÇÕES'!$AH$683,'DADOS_FORMAS'!$AM7='INVOCAÇÕES'!$AI$683,'DADOS_FORMAS'!$AM7='INVOCAÇÕES'!$AJ$683,'DADOS_FORMAS'!$AM7='INVOCAÇÕES'!$AK$683,'DADOS_FORMAS'!$AM7=""),'DADOS_FORMAS'!$AH7,"")</f>
        <v/>
      </c>
      <c r="JJ7">
        <f>IF(AND(OR('DADOS_FORMAS'!$AM7='INVOCAÇÕES'!$AH$681,'DADOS_FORMAS'!$AM7='INVOCAÇÕES'!$AI$681,'DADOS_FORMAS'!$AM7='INVOCAÇÕES'!$AJ$681,'DADOS_FORMAS'!$AM7='INVOCAÇÕES'!$AK$681,'DADOS_FORMAS'!$AM7='INVOCAÇÕES'!$AL$681,'DADOS_FORMAS'!$AM7='INVOCAÇÕES'!$AH$683,'DADOS_FORMAS'!$AM7='INVOCAÇÕES'!$AI$683,'DADOS_FORMAS'!$AM7='INVOCAÇÕES'!$AJ$683,'DADOS_FORMAS'!$AM7='INVOCAÇÕES'!$AK$683,'DADOS_FORMAS'!$AM7=""),'DADOS_FORMAS'!$AR7),'DADOS_FORMAS'!$AH7,"")</f>
        <v/>
      </c>
      <c r="JL7">
        <f>IF(OR('DADOS_FORMAS'!$AM7='INVOCAÇÕES'!$AH$892,'DADOS_FORMAS'!$AM7='INVOCAÇÕES'!$AI$892,'DADOS_FORMAS'!$AM7='INVOCAÇÕES'!$AJ$892,'DADOS_FORMAS'!$AM7='INVOCAÇÕES'!$AK$892,'DADOS_FORMAS'!$AM7='INVOCAÇÕES'!$AL$892,'DADOS_FORMAS'!$AM7='INVOCAÇÕES'!$AH$894,'DADOS_FORMAS'!$AM7='INVOCAÇÕES'!$AI$894,'DADOS_FORMAS'!$AM7='INVOCAÇÕES'!$AJ$894,'DADOS_FORMAS'!$AM7='INVOCAÇÕES'!$AK$894,'DADOS_FORMAS'!$AM7=""),'DADOS_FORMAS'!$AH7,"")</f>
        <v/>
      </c>
      <c r="JM7">
        <f>IF(AND(OR('DADOS_FORMAS'!$AM7='INVOCAÇÕES'!$AH$892,'DADOS_FORMAS'!$AM7='INVOCAÇÕES'!$AI$892,'DADOS_FORMAS'!$AM7='INVOCAÇÕES'!$AJ$892,'DADOS_FORMAS'!$AM7='INVOCAÇÕES'!$AK$892,'DADOS_FORMAS'!$AM7='INVOCAÇÕES'!$AL$892,'DADOS_FORMAS'!$AM7='INVOCAÇÕES'!$AH$894,'DADOS_FORMAS'!$AM7='INVOCAÇÕES'!$AI$894,'DADOS_FORMAS'!$AM7='INVOCAÇÕES'!$AJ$894,'DADOS_FORMAS'!$AM7='INVOCAÇÕES'!$AK$894,'DADOS_FORMAS'!$AM7=""),'DADOS_FORMAS'!$AR7),'DADOS_FORMAS'!$AH7,"")</f>
        <v/>
      </c>
      <c r="JO7">
        <f>IF(OR('DADOS_FORMAS'!$AM7='INVOCAÇÕES'!$AH$1103,'DADOS_FORMAS'!$AM7='INVOCAÇÕES'!$AI$1103,'DADOS_FORMAS'!$AM7='INVOCAÇÕES'!$AJ$1103,'DADOS_FORMAS'!$AM7='INVOCAÇÕES'!$AK$1103,'DADOS_FORMAS'!$AM7='INVOCAÇÕES'!$AL$1103,'DADOS_FORMAS'!$AM7='INVOCAÇÕES'!$AH$1105,'DADOS_FORMAS'!$AM7='INVOCAÇÕES'!$AI$1105,'DADOS_FORMAS'!$AM7='INVOCAÇÕES'!$AJ$1105,'DADOS_FORMAS'!$AM7='INVOCAÇÕES'!$AK$1105,'DADOS_FORMAS'!$AM7=""),'DADOS_FORMAS'!$AH7,"")</f>
        <v/>
      </c>
      <c r="JP7">
        <f>IF(AND(OR('DADOS_FORMAS'!$AM7='INVOCAÇÕES'!$AH$1103,'DADOS_FORMAS'!$AM7='INVOCAÇÕES'!$AI$1103,'DADOS_FORMAS'!$AM7='INVOCAÇÕES'!$AJ$1103,'DADOS_FORMAS'!$AM7='INVOCAÇÕES'!$AK$1103,'DADOS_FORMAS'!$AM7='INVOCAÇÕES'!$AL$1103,'DADOS_FORMAS'!$AM7='INVOCAÇÕES'!$AH$1105,'DADOS_FORMAS'!$AM7='INVOCAÇÕES'!$AI$1105,'DADOS_FORMAS'!$AM7='INVOCAÇÕES'!$AJ$1105,'DADOS_FORMAS'!$AM7='INVOCAÇÕES'!$AK$1105,'DADOS_FORMAS'!$AM7=""),'DADOS_FORMAS'!$AR7),'DADOS_FORMAS'!$AH7,"")</f>
        <v/>
      </c>
      <c r="JR7" t="inlineStr">
        <is>
          <t>Cone</t>
        </is>
      </c>
      <c r="JZ7">
        <f>IFERROR(INDEX('DADOS_CRIACAO'!$H$2:$H$20,5),"")</f>
        <v/>
      </c>
      <c r="KA7">
        <f>IFERROR(INDEX(INDEX('DADOS_RESTRICOES'!$M$2:$Q$54,0,1),5),"")</f>
        <v/>
      </c>
    </row>
    <row r="8">
      <c r="A8">
        <f>IF(ISBLANK('CONFIGURAÇÃO'!$EZ$152),"",'CONFIGURAÇÃO'!$EZ$152)</f>
        <v/>
      </c>
      <c r="B8">
        <f>IF(ISBLANK('CONFIGURAÇÃO'!$EZ$154),"",'CONFIGURAÇÃO'!$EZ$154)</f>
        <v/>
      </c>
      <c r="C8">
        <f>IF(ISBLANK('CONFIGURAÇÃO'!$FC$155),"",'CONFIGURAÇÃO'!$FC$155)</f>
        <v/>
      </c>
      <c r="D8">
        <f>IF(ISBLANK('CONFIGURAÇÃO'!$FD$152),"",'CONFIGURAÇÃO'!$FD$152)</f>
        <v/>
      </c>
      <c r="E8">
        <f>IF(ISBLANK('CONFIGURAÇÃO'!$EZ$181),"",'CONFIGURAÇÃO'!$EZ$181)</f>
        <v/>
      </c>
      <c r="F8">
        <f>IF(ISBLANK('CONFIGURAÇÃO'!$EZ$187),"",'CONFIGURAÇÃO'!$EZ$187)</f>
        <v/>
      </c>
      <c r="G8">
        <f>IF(ISBLANK('CONFIGURAÇÃO'!$FC$156),"",'CONFIGURAÇÃO'!$FC$156)</f>
        <v/>
      </c>
      <c r="H8">
        <f>IF(ISBLANK('CONFIGURAÇÃO'!$FC$157),"",'CONFIGURAÇÃO'!$FC$157)</f>
        <v/>
      </c>
      <c r="I8">
        <f>IF(ISBLANK('CONFIGURAÇÃO'!$FC$158),"",'CONFIGURAÇÃO'!$FC$158)</f>
        <v/>
      </c>
      <c r="J8">
        <f>IF(ISBLANK('CONFIGURAÇÃO'!$FC$159),"",'CONFIGURAÇÃO'!$FC$159)</f>
        <v/>
      </c>
      <c r="K8">
        <f>IF(ISBLANK('CONFIGURAÇÃO'!$FC$160),"",'CONFIGURAÇÃO'!$FC$160)</f>
        <v/>
      </c>
      <c r="L8">
        <f>IF(ISBLANK('CONFIGURAÇÃO'!$FC$161),"",'CONFIGURAÇÃO'!$FC$161)</f>
        <v/>
      </c>
      <c r="M8">
        <f>IF(ISBLANK('CONFIGURAÇÃO'!$FC$162),"",'CONFIGURAÇÃO'!$FC$162)</f>
        <v/>
      </c>
      <c r="N8">
        <f>IF(ISBLANK('CONFIGURAÇÃO'!$FC$163),"",'CONFIGURAÇÃO'!$FC$163)</f>
        <v/>
      </c>
      <c r="O8">
        <f>IF(ISBLANK('CONFIGURAÇÃO'!$FC$164),"",'CONFIGURAÇÃO'!$FC$164)</f>
        <v/>
      </c>
      <c r="P8">
        <f>IF(ISBLANK('CONFIGURAÇÃO'!$FC$165),"",'CONFIGURAÇÃO'!$FC$165)</f>
        <v/>
      </c>
      <c r="Q8">
        <f>IF(ISBLANK('CONFIGURAÇÃO'!$FC$166),"",'CONFIGURAÇÃO'!$FC$166)</f>
        <v/>
      </c>
      <c r="R8">
        <f>IF(ISBLANK('CONFIGURAÇÃO'!$FC$167),"",'CONFIGURAÇÃO'!$FC$167)</f>
        <v/>
      </c>
      <c r="S8">
        <f>IF(ISBLANK('CONFIGURAÇÃO'!$FC$168),"",'CONFIGURAÇÃO'!$FC$168)</f>
        <v/>
      </c>
      <c r="T8">
        <f>IF(ISBLANK('CONFIGURAÇÃO'!$FC$169),"",'CONFIGURAÇÃO'!$FC$169)</f>
        <v/>
      </c>
      <c r="U8">
        <f>IF(ISBLANK('CONFIGURAÇÃO'!$FC$170),"",'CONFIGURAÇÃO'!$FC$170)</f>
        <v/>
      </c>
      <c r="V8">
        <f>IF(ISBLANK('CONFIGURAÇÃO'!$FC$171),"",'CONFIGURAÇÃO'!$FC$171)</f>
        <v/>
      </c>
      <c r="W8">
        <f>IF(ISBLANK('CONFIGURAÇÃO'!$FC$172),"",'CONFIGURAÇÃO'!$FC$172)</f>
        <v/>
      </c>
      <c r="X8">
        <f>IF(ISBLANK('CONFIGURAÇÃO'!$FC$173),"",'CONFIGURAÇÃO'!$FC$173)</f>
        <v/>
      </c>
      <c r="Y8">
        <f>IF(ISBLANK('CONFIGURAÇÃO'!$FC$174),"",'CONFIGURAÇÃO'!$FC$174)</f>
        <v/>
      </c>
      <c r="Z8">
        <f>IF(ISBLANK('CONFIGURAÇÃO'!$FC$175),"",'CONFIGURAÇÃO'!$FC$175)</f>
        <v/>
      </c>
      <c r="AA8">
        <f>IF(ISBLANK('CONFIGURAÇÃO'!$FC$176),"",'CONFIGURAÇÃO'!$FC$176)</f>
        <v/>
      </c>
      <c r="AB8">
        <f>IF(ISBLANK('CONFIGURAÇÃO'!$FC$177),"",'CONFIGURAÇÃO'!$FC$177)</f>
        <v/>
      </c>
      <c r="AC8">
        <f>IF(ISBLANK('CONFIGURAÇÃO'!$FC$178),"",'CONFIGURAÇÃO'!$FC$178)</f>
        <v/>
      </c>
      <c r="AD8">
        <f>IF($AF8,TEXTJOIN(" · ",TRUE,$DJ8:$FH8),"")</f>
        <v/>
      </c>
      <c r="AE8">
        <f>IF(OR($C8="",$C8="Nenhuma"),0,IFERROR(MATCH(SUBSTITUTE(SUBSTITUTE(SUBSTITUTE($C8,"~","~~"),"*","~*"),"?","~?"),'DADOS_FORMAS'!$AH$2:$AH$11,0),-1))</f>
        <v/>
      </c>
      <c r="AF8">
        <f>OR($B8&lt;&gt;"",$C8&lt;&gt;"",$E8&lt;&gt;"",$F8&lt;&gt;"",$G8&lt;&gt;"",$H8&lt;&gt;"",$I8&lt;&gt;"",$J8&lt;&gt;"",$K8&lt;&gt;"",$L8&lt;&gt;"",$M8&lt;&gt;"",$N8&lt;&gt;"",$O8&lt;&gt;"",$P8&lt;&gt;"",$Q8&lt;&gt;"",$R8&lt;&gt;"",$S8&lt;&gt;"",$T8&lt;&gt;"",$U8&lt;&gt;"",$V8&lt;&gt;"",$W8&lt;&gt;"",$X8&lt;&gt;"",$Y8&lt;&gt;"",$Z8&lt;&gt;"",$AA8&lt;&gt;"",$AB8&lt;&gt;"",$AC8&lt;&gt;"",AND($D8&lt;&gt;"",$D8&lt;&gt;FALSE),AND($A8&lt;&gt;"",$A8&lt;&gt;"Forma"))</f>
        <v/>
      </c>
      <c r="AG8" t="inlineStr">
        <is>
          <t>Forma</t>
        </is>
      </c>
      <c r="AH8" t="inlineStr">
        <is>
          <t>Cura</t>
        </is>
      </c>
      <c r="AI8">
        <f>""</f>
        <v/>
      </c>
      <c r="AJ8" t="b">
        <v>0</v>
      </c>
      <c r="AK8">
        <f>""</f>
        <v/>
      </c>
      <c r="AL8" t="inlineStr">
        <is>
          <t>Um aliado a até 9 m. O saldo vira dados de cura, até 2 × Classe em d8.</t>
        </is>
      </c>
      <c r="AM8" t="inlineStr">
        <is>
          <t>Amparo</t>
        </is>
      </c>
      <c r="AN8" t="n">
        <v>2</v>
      </c>
      <c r="AO8" t="inlineStr">
        <is>
          <t>Automático</t>
        </is>
      </c>
      <c r="AP8" t="b">
        <v>1</v>
      </c>
      <c r="AQ8" t="b">
        <v>0</v>
      </c>
      <c r="AR8" t="b">
        <v>0</v>
      </c>
      <c r="AS8">
        <f>""</f>
        <v/>
      </c>
      <c r="AT8" t="inlineStr">
        <is>
          <t>alcance</t>
        </is>
      </c>
      <c r="AU8" t="inlineStr">
        <is>
          <t>Fixo</t>
        </is>
      </c>
      <c r="AV8" t="inlineStr">
        <is>
          <t>—</t>
        </is>
      </c>
      <c r="AW8" t="inlineStr">
        <is>
          <t>9 m</t>
        </is>
      </c>
      <c r="AX8" t="inlineStr">
        <is>
          <t>18 m</t>
        </is>
      </c>
      <c r="AY8" t="inlineStr">
        <is>
          <t>—</t>
        </is>
      </c>
      <c r="AZ8" t="inlineStr">
        <is>
          <t>9 m</t>
        </is>
      </c>
      <c r="BA8" t="inlineStr">
        <is>
          <t>18 m</t>
        </is>
      </c>
      <c r="BB8" t="inlineStr">
        <is>
          <t>18 m</t>
        </is>
      </c>
      <c r="BC8">
        <f>""</f>
        <v/>
      </c>
      <c r="BD8">
        <f>""</f>
        <v/>
      </c>
      <c r="BE8">
        <f>""</f>
        <v/>
      </c>
      <c r="BF8">
        <f>""</f>
        <v/>
      </c>
      <c r="BG8">
        <f>""</f>
        <v/>
      </c>
      <c r="BH8">
        <f>""</f>
        <v/>
      </c>
      <c r="BI8">
        <f>""</f>
        <v/>
      </c>
      <c r="BJ8" t="inlineStr">
        <is>
          <t>Cura</t>
        </is>
      </c>
      <c r="BK8" t="b">
        <v>0</v>
      </c>
      <c r="BL8" t="inlineStr">
        <is>
          <t>alcance</t>
        </is>
      </c>
      <c r="BM8" t="inlineStr">
        <is>
          <t xml:space="preserve">um aliado a </t>
        </is>
      </c>
      <c r="BN8">
        <f>""</f>
        <v/>
      </c>
      <c r="BO8" t="b">
        <v>1</v>
      </c>
      <c r="BP8">
        <f>""</f>
        <v/>
      </c>
      <c r="BQ8">
        <f>""</f>
        <v/>
      </c>
      <c r="BR8">
        <f>""</f>
        <v/>
      </c>
      <c r="BS8" t="b">
        <v>0</v>
      </c>
      <c r="BV8">
        <f>IF($A8="",IF($AE8&gt;0,INDEX('DADOS_FORMAS'!$AG$2:$AG$11,MAX(1,$AE8)),"Forma"),$A8)</f>
        <v/>
      </c>
      <c r="BW8">
        <f>IF($B8="",IF($AE8&gt;0,INDEX('DADOS_FORMAS'!$AH$2:$AH$11,MAX(1,$AE8)),""),$B8)</f>
        <v/>
      </c>
      <c r="BX8">
        <f>IF($C8="",IF($AE8&gt;0,INDEX('DADOS_FORMAS'!$AI$2:$AI$11,MAX(1,$AE8)),""),$C8)</f>
        <v/>
      </c>
      <c r="BY8">
        <f>IF($D8="",IF($AE8&gt;0,INDEX('DADOS_FORMAS'!$AJ$2:$AJ$11,MAX(1,$AE8)),FALSE),$D8)</f>
        <v/>
      </c>
      <c r="BZ8">
        <f>IF($E8="",IF($AE8&gt;0,INDEX('DADOS_FORMAS'!$AK$2:$AK$11,MAX(1,$AE8)),""),$E8)</f>
        <v/>
      </c>
      <c r="CA8">
        <f>IF($F8="",IF($AE8&gt;0,INDEX('DADOS_FORMAS'!$AL$2:$AL$11,MAX(1,$AE8)),""),$F8)</f>
        <v/>
      </c>
      <c r="CB8">
        <f>IF($G8="Nenhuma","",IF($G8="",IF($AE8&gt;0,INDEX('DADOS_FORMAS'!$AM$2:$AM$11,MAX(1,$AE8)),""),$G8))</f>
        <v/>
      </c>
      <c r="CC8">
        <f>IF($H8="",IF($AE8&gt;0,INDEX('DADOS_FORMAS'!$AN$2:$AN$11,MAX(1,$AE8)),""),IF($H8="Sem custo",0,IF($H8="Leve",1,IF($H8="Média",2,IF($H8="Pesada",3,$H8)))))</f>
        <v/>
      </c>
      <c r="CD8">
        <f>IF($I8="",IF($AE8&gt;0,INDEX('DADOS_FORMAS'!$AO$2:$AO$11,MAX(1,$AE8)),""),$I8)</f>
        <v/>
      </c>
      <c r="CE8">
        <f>IF($J8="",IF($AE8&gt;0,INDEX('DADOS_FORMAS'!$AP$2:$AP$11,MAX(1,$AE8)),""),IF($J8="Dano",0,IF($J8="Cura",1,IF($J8="Vida temporária",2,IF($J8="Efeito",3,$J8)))))</f>
        <v/>
      </c>
      <c r="CF8">
        <f>IF($K8="",IF($AE8&gt;0,INDEX('DADOS_FORMAS'!$AQ$2:$AQ$11,MAX(1,$AE8)),""),IF($K8="Sim",TRUE,IF($K8="Não",FALSE,$K8)))</f>
        <v/>
      </c>
      <c r="CG8">
        <f>IF($L8="",IF($AE8&gt;0,INDEX('DADOS_FORMAS'!$AR$2:$AR$11,MAX(1,$AE8)),""),IF($L8="Sim",TRUE,IF($L8="Não",FALSE,$L8)))</f>
        <v/>
      </c>
      <c r="CH8">
        <f>IF($M8="Nenhuma","",IF($M8="",IF($AE8&gt;0,INDEX('DADOS_FORMAS'!$AS$2:$AS$11,MAX(1,$AE8)),""),$M8))</f>
        <v/>
      </c>
      <c r="CI8">
        <f>IF($N8="",IF($AE8&gt;0,INDEX('DADOS_FORMAS'!$AT$2:$AT$11,MAX(1,$AE8)),"Fixo"),$N8)</f>
        <v/>
      </c>
      <c r="CJ8">
        <f>IF($O8="",IF($AE8&gt;0,INDEX('DADOS_FORMAS'!$AU$2:$AU$11,MAX(1,$AE8)),"Fixo"),$O8)</f>
        <v/>
      </c>
      <c r="CK8">
        <f>IF($P8="",IF($AE8&gt;0,INDEX('DADOS_FORMAS'!$AV$2:$AV$11,MAX(1,$AE8)),""),$P8)</f>
        <v/>
      </c>
      <c r="CL8">
        <f>IF($Q8="",IF($AE8&gt;0,INDEX('DADOS_FORMAS'!$AW$2:$AW$11,MAX(1,$AE8)),""),$Q8)</f>
        <v/>
      </c>
      <c r="CM8">
        <f>IF($R8="",IF($AE8&gt;0,INDEX('DADOS_FORMAS'!$AX$2:$AX$11,MAX(1,$AE8)),""),$R8)</f>
        <v/>
      </c>
      <c r="CN8">
        <f>IF($S8="",IF($AE8&gt;0,INDEX('DADOS_FORMAS'!$AY$2:$AY$11,MAX(1,$AE8)),""),$S8)</f>
        <v/>
      </c>
      <c r="CO8">
        <f>IF($T8="",IF($AE8&gt;0,INDEX('DADOS_FORMAS'!$AZ$2:$AZ$11,MAX(1,$AE8)),""),$T8)</f>
        <v/>
      </c>
      <c r="CP8">
        <f>IF($U8="",IF($AE8&gt;0,INDEX('DADOS_FORMAS'!$BA$2:$BA$11,MAX(1,$AE8)),""),$U8)</f>
        <v/>
      </c>
      <c r="CQ8">
        <f>IF($V8="",IF($AE8&gt;0,INDEX('DADOS_FORMAS'!$BB$2:$BB$11,MAX(1,$AE8)),""),$V8)</f>
        <v/>
      </c>
      <c r="CR8">
        <f>IF($W8="",IF($AE8&gt;0,INDEX('DADOS_FORMAS'!$BC$2:$BC$11,MAX(1,$AE8)),""),$W8)</f>
        <v/>
      </c>
      <c r="CS8">
        <f>IF($X8="",IF($AE8&gt;0,INDEX('DADOS_FORMAS'!$BD$2:$BD$11,MAX(1,$AE8)),""),$X8)</f>
        <v/>
      </c>
      <c r="CT8">
        <f>IF($Y8="",IF($AE8&gt;0,INDEX('DADOS_FORMAS'!$BE$2:$BE$11,MAX(1,$AE8)),""),$Y8)</f>
        <v/>
      </c>
      <c r="CU8">
        <f>IF($Z8="",IF($AE8&gt;0,INDEX('DADOS_FORMAS'!$BF$2:$BF$11,MAX(1,$AE8)),""),$Z8)</f>
        <v/>
      </c>
      <c r="CV8">
        <f>IF($AA8="",IF($AE8&gt;0,INDEX('DADOS_FORMAS'!$BG$2:$BG$11,MAX(1,$AE8)),""),$AA8)</f>
        <v/>
      </c>
      <c r="CW8">
        <f>IF($AB8="",IF($AE8&gt;0,INDEX('DADOS_FORMAS'!$BH$2:$BH$11,MAX(1,$AE8)),""),$AB8)</f>
        <v/>
      </c>
      <c r="CX8">
        <f>IF($AC8="",IF($AE8&gt;0,INDEX('DADOS_FORMAS'!$BI$2:$BI$11,MAX(1,$AE8)),""),$AC8)</f>
        <v/>
      </c>
      <c r="CY8">
        <f>IF($AE8&gt;0,INDEX('DADOS_FORMAS'!$BJ$2:$BJ$11,MAX(1,$AE8)),"")</f>
        <v/>
      </c>
      <c r="CZ8">
        <f>IF($AE8&gt;0,INDEX('DADOS_FORMAS'!$BK$2:$BK$11,MAX(1,$AE8)),0)</f>
        <v/>
      </c>
      <c r="DA8">
        <f>IF($AE8&gt;0,INDEX('DADOS_FORMAS'!$BL$2:$BL$11,MAX(1,$AE8)),"alcance")</f>
        <v/>
      </c>
      <c r="DB8">
        <f>IF($AE8&gt;0,INDEX('DADOS_FORMAS'!$BM$2:$BM$11,MAX(1,$AE8)),"")</f>
        <v/>
      </c>
      <c r="DC8">
        <f>IF($AE8&gt;0,INDEX('DADOS_FORMAS'!$BN$2:$BN$11,MAX(1,$AE8)),"")</f>
        <v/>
      </c>
      <c r="DD8">
        <f>IF($AE8&gt;0,INDEX('DADOS_FORMAS'!$BO$2:$BO$11,MAX(1,$AE8)),1)</f>
        <v/>
      </c>
      <c r="DE8">
        <f>IF(AND($AE8&gt;0,INDEX('DADOS_FORMAS'!$BP$2:$BP$11,MAX(1,$AE8))=""),IF(AND(INDEX('DADOS_FORMAS'!$BL$2:$BL$11,MAX(1,$AE8))="alcance",OR($W8&lt;&gt;"",$X8&lt;&gt;"",$Y8&lt;&gt;"",$Z8&lt;&gt;"",$AA8&lt;&gt;"",$AB8&lt;&gt;"",$AC8&lt;&gt;"")),"area",IF(AND(INDEX('DADOS_FORMAS'!$BL$2:$BL$11,MAX(1,$AE8))="area",OR($P8&lt;&gt;"",$Q8&lt;&gt;"",$R8&lt;&gt;"",$S8&lt;&gt;"",$T8&lt;&gt;"",$U8&lt;&gt;"",$V8&lt;&gt;"")),"alcance","")),IF($AE8&gt;0,INDEX('DADOS_FORMAS'!$BP$2:$BP$11,MAX(1,$AE8)),"area"))</f>
        <v/>
      </c>
      <c r="DF8">
        <f>IF(AND($AE8&gt;0,INDEX('DADOS_FORMAS'!$BP$2:$BP$11,MAX(1,$AE8))=""),IF(IF(AND(INDEX('DADOS_FORMAS'!$BL$2:$BL$11,MAX(1,$AE8))="alcance",OR($W8&lt;&gt;"",$X8&lt;&gt;"",$Y8&lt;&gt;"",$Z8&lt;&gt;"",$AA8&lt;&gt;"",$AB8&lt;&gt;"",$AC8&lt;&gt;"")),"area",IF(AND(INDEX('DADOS_FORMAS'!$BL$2:$BL$11,MAX(1,$AE8))="area",OR($P8&lt;&gt;"",$Q8&lt;&gt;"",$R8&lt;&gt;"",$S8&lt;&gt;"",$T8&lt;&gt;"",$U8&lt;&gt;"",$V8&lt;&gt;"")),"alcance",""))="alcance"," · alcance ",IF(IF(AND(INDEX('DADOS_FORMAS'!$BL$2:$BL$11,MAX(1,$AE8))="alcance",OR($W8&lt;&gt;"",$X8&lt;&gt;"",$Y8&lt;&gt;"",$Z8&lt;&gt;"",$AA8&lt;&gt;"",$AB8&lt;&gt;"",$AC8&lt;&gt;"")),"area",IF(AND(INDEX('DADOS_FORMAS'!$BL$2:$BL$11,MAX(1,$AE8))="area",OR($P8&lt;&gt;"",$Q8&lt;&gt;"",$R8&lt;&gt;"",$S8&lt;&gt;"",$T8&lt;&gt;"",$U8&lt;&gt;"",$V8&lt;&gt;"")),"alcance",""))="area"," · área ","")),IF($AE8&gt;0,INDEX('DADOS_FORMAS'!$BQ$2:$BQ$11,MAX(1,$AE8))," · área "))</f>
        <v/>
      </c>
      <c r="DG8">
        <f>IF(AND($AE8&gt;0,INDEX('DADOS_FORMAS'!$BP$2:$BP$11,MAX(1,$AE8))=""),"",IF($AE8&gt;0,INDEX('DADOS_FORMAS'!$BR$2:$BR$11,MAX(1,$AE8)),""))</f>
        <v/>
      </c>
      <c r="DH8">
        <f>IF(AND($AE8&gt;0,INDEX('DADOS_FORMAS'!$BP$2:$BP$11,MAX(1,$AE8))=""),IF(IF(AND(INDEX('DADOS_FORMAS'!$BL$2:$BL$11,MAX(1,$AE8))="alcance",OR($W8&lt;&gt;"",$X8&lt;&gt;"",$Y8&lt;&gt;"",$Z8&lt;&gt;"",$AA8&lt;&gt;"",$AB8&lt;&gt;"",$AC8&lt;&gt;"")),"area",IF(AND(INDEX('DADOS_FORMAS'!$BL$2:$BL$11,MAX(1,$AE8))="area",OR($P8&lt;&gt;"",$Q8&lt;&gt;"",$R8&lt;&gt;"",$S8&lt;&gt;"",$T8&lt;&gt;"",$U8&lt;&gt;"",$V8&lt;&gt;"")),"alcance",""))="",0,IF(IF(AND(INDEX('DADOS_FORMAS'!$BL$2:$BL$11,MAX(1,$AE8))="alcance",OR($W8&lt;&gt;"",$X8&lt;&gt;"",$Y8&lt;&gt;"",$Z8&lt;&gt;"",$AA8&lt;&gt;"",$AB8&lt;&gt;"",$AC8&lt;&gt;"")),"area",IF(AND(INDEX('DADOS_FORMAS'!$BL$2:$BL$11,MAX(1,$AE8))="area",OR($P8&lt;&gt;"",$Q8&lt;&gt;"",$R8&lt;&gt;"",$S8&lt;&gt;"",$T8&lt;&gt;"",$U8&lt;&gt;"",$V8&lt;&gt;"")),"alcance",""))="alcance",1,IF($O8="comprimento",3,2))),IF($AE8&gt;0,INDEX('DADOS_FORMAS'!$BS$2:$BS$11,MAX(1,$AE8)),IF($O8="comprimento",3,2)))</f>
        <v/>
      </c>
      <c r="DJ8">
        <f>IF(AND(ISTEXT($B8),$B8&lt;&gt;"",TRIM($B8)=$B8),"","NOME precisa ser texto sem espaços nas pontas")</f>
        <v/>
      </c>
      <c r="DK8">
        <f>IF(COUNTIF('DADOS_FORMAS'!$B$2:$B$11,SUBSTITUTE(SUBSTITUTE(SUBSTITUTE($B8,"~","~~"),"*","~*"),"?","~?"))+COUNTIF('DADOS_FORMAS'!$AH$2:$AH$11,SUBSTITUTE(SUBSTITUTE(SUBSTITUTE($B8,"~","~~"),"*","~*"),"?","~?"))=1,"","Nome repetido no livro ou custom")</f>
        <v/>
      </c>
      <c r="DL8">
        <f>IF($AE8&gt;=0,"","BASE DO LIVRO inválida para o grupo")</f>
        <v/>
      </c>
      <c r="DM8">
        <f>IF(OR($BV8="Forma"),"","TIPO inválido para o grupo")</f>
        <v/>
      </c>
      <c r="DN8">
        <f>IF(ISLOGICAL($BY8),"","MESTRE VIU precisa ser caixa de seleção")</f>
        <v/>
      </c>
      <c r="DO8">
        <f>IF(ISTEXT($CA8),"","EFEITO precisa ser texto")</f>
        <v/>
      </c>
      <c r="DP8">
        <f>IF(ISTEXT($BZ8),"","REQUISITOS precisa ser texto")</f>
        <v/>
      </c>
      <c r="DQ8">
        <f>IF(IFERROR(AND(ISNUMBER($CC8),NOT(ISLOGICAL($CC8)),$CC8=INT($CC8),$CC8&gt;=0,$CC8&lt;=3),FALSE),"","PESO exige 0/1/2/3")</f>
        <v/>
      </c>
      <c r="DR8">
        <f>IF(IFERROR(AND(ISNUMBER($CE8),NOT(ISLOGICAL($CE8)),$CE8=INT($CE8),$CE8&gt;=0,$CE8&lt;=3),FALSE),"","RESULTADO exige 0/1/2/3")</f>
        <v/>
      </c>
      <c r="DS8">
        <f>IF(ISLOGICAL($CF8),"","EXIGE_TR exige Sim/Não")</f>
        <v/>
      </c>
      <c r="DT8">
        <f>IF(ISLOGICAL($CG8),"","CLASSE_0 exige Sim/Não")</f>
        <v/>
      </c>
      <c r="DU8">
        <f>IF(OR($CD8="Acerto",$CD8="TR, metade",$CD8="Automático"),"","RESOLUÇÃO inválida")</f>
        <v/>
      </c>
      <c r="DV8">
        <f>IF(OR($CB8="",COUNTIF('DADOS_CRIACAO'!$H$2:$H$20,SUBSTITUTE(SUBSTITUTE(SUBSTITUTE($CB8,"~","~~"),"*","~*"),"?","~?"))&gt;0),"","FAMÍLIA não cadastrada ou inválida")</f>
        <v/>
      </c>
      <c r="DW8">
        <f>IF(OR($CH8="",IFERROR(MATCH(SUBSTITUTE(SUBSTITUTE(SUBSTITUTE($CH8,"~","~~"),"*","~*"),"?","~?"),INDEX('DADOS_RESTRICOES'!$M$2:$Q$54,0,1),0),0)&gt;0),"","RESTRIÇÃO EMBUTIDA inválida")</f>
        <v/>
      </c>
      <c r="DX8">
        <f>IF(OR($CI8="Fixo",$CI8="alcance"),"","ESCADA inválida para alcance")</f>
        <v/>
      </c>
      <c r="DY8">
        <f>IF(OR(NOT(AND($CG8,OR($DA8="alcance",$DE8="alcance"))),$CK8&lt;&gt;""),"","Base de alcance ausente: personagem/classe_0")</f>
        <v/>
      </c>
      <c r="DZ8">
        <f>IF(ISTEXT($CK8),"","Base precisa ser texto: alcance/personagem/classe_0")</f>
        <v/>
      </c>
      <c r="EA8">
        <f>IF(OR(NOT(AND($CG8,OR($DA8="alcance",$DE8="alcance"))),$CI8="Fixo",$CK8="",$CK8="—",AND(RIGHT($CK8,2)=" m",IFERROR(VALUE(SUBSTITUTE(LEFT($CK8,MAX(0,LEN($CK8)-2)),",",""))/10^IFERROR(LEN(LEFT($CK8,MAX(0,LEN($CK8)-2)))-FIND(",",LEFT($CK8,MAX(0,LEN($CK8)-2))),0),-1)&gt;0)),"","Base incompatível com escada: alcance/personagem/classe_0")</f>
        <v/>
      </c>
      <c r="EB8">
        <f>IF(OR(NOT(OR($DA8="alcance",$DE8="alcance")),$CL8&lt;&gt;""),"","Base de alcance ausente: personagem/classes_1_a_5")</f>
        <v/>
      </c>
      <c r="EC8">
        <f>IF(ISTEXT($CL8),"","Base precisa ser texto: alcance/personagem/classes_1_a_5")</f>
        <v/>
      </c>
      <c r="ED8">
        <f>IF(OR(NOT(OR($DA8="alcance",$DE8="alcance")),$CI8="Fixo",$CL8="",$CL8="—",AND(RIGHT($CL8,2)=" m",IFERROR(VALUE(SUBSTITUTE(LEFT($CL8,MAX(0,LEN($CL8)-2)),",",""))/10^IFERROR(LEN(LEFT($CL8,MAX(0,LEN($CL8)-2)))-FIND(",",LEFT($CL8,MAX(0,LEN($CL8)-2))),0),-1)&gt;0)),"","Base incompatível com escada: alcance/personagem/classes_1_a_5")</f>
        <v/>
      </c>
      <c r="EE8">
        <f>IF(OR(NOT(OR($DA8="alcance",$DE8="alcance")),$CM8&lt;&gt;""),"","Base de alcance ausente: personagem/classes_6_e_7")</f>
        <v/>
      </c>
      <c r="EF8">
        <f>IF(ISTEXT($CM8),"","Base precisa ser texto: alcance/personagem/classes_6_e_7")</f>
        <v/>
      </c>
      <c r="EG8">
        <f>IF(OR(NOT(OR($DA8="alcance",$DE8="alcance")),$CI8="Fixo",$CM8="",$CM8="—",AND(RIGHT($CM8,2)=" m",IFERROR(VALUE(SUBSTITUTE(LEFT($CM8,MAX(0,LEN($CM8)-2)),",",""))/10^IFERROR(LEN(LEFT($CM8,MAX(0,LEN($CM8)-2)))-FIND(",",LEFT($CM8,MAX(0,LEN($CM8)-2))),0),-1)&gt;0)),"","Base incompatível com escada: alcance/personagem/classes_6_e_7")</f>
        <v/>
      </c>
      <c r="EH8">
        <f>IF(OR(NOT(AND($CG8,OR($DA8="alcance",$DE8="alcance"))),$CN8&lt;&gt;""),"","Base de alcance ausente: entidade/classe_0")</f>
        <v/>
      </c>
      <c r="EI8">
        <f>IF(ISTEXT($CN8),"","Base precisa ser texto: alcance/entidade/classe_0")</f>
        <v/>
      </c>
      <c r="EJ8">
        <f>IF(OR(NOT(AND($CG8,OR($DA8="alcance",$DE8="alcance"))),$CI8="Fixo",$CN8="",$CN8="—",AND(RIGHT($CN8,2)=" m",IFERROR(VALUE(SUBSTITUTE(LEFT($CN8,MAX(0,LEN($CN8)-2)),",",""))/10^IFERROR(LEN(LEFT($CN8,MAX(0,LEN($CN8)-2)))-FIND(",",LEFT($CN8,MAX(0,LEN($CN8)-2))),0),-1)&gt;0)),"","Base incompatível com escada: alcance/entidade/classe_0")</f>
        <v/>
      </c>
      <c r="EK8">
        <f>IF(OR(NOT(OR($DA8="alcance",$DE8="alcance")),$CO8&lt;&gt;""),"","Base de alcance ausente: entidade/classes_1_a_5")</f>
        <v/>
      </c>
      <c r="EL8">
        <f>IF(ISTEXT($CO8),"","Base precisa ser texto: alcance/entidade/classes_1_a_5")</f>
        <v/>
      </c>
      <c r="EM8">
        <f>IF(OR(NOT(OR($DA8="alcance",$DE8="alcance")),$CI8="Fixo",$CO8="",$CO8="—",AND(RIGHT($CO8,2)=" m",IFERROR(VALUE(SUBSTITUTE(LEFT($CO8,MAX(0,LEN($CO8)-2)),",",""))/10^IFERROR(LEN(LEFT($CO8,MAX(0,LEN($CO8)-2)))-FIND(",",LEFT($CO8,MAX(0,LEN($CO8)-2))),0),-1)&gt;0)),"","Base incompatível com escada: alcance/entidade/classes_1_a_5")</f>
        <v/>
      </c>
      <c r="EN8">
        <f>IF(OR(NOT(OR($DA8="alcance",$DE8="alcance")),$CP8&lt;&gt;""),"","Base de alcance ausente: entidade/classe_6")</f>
        <v/>
      </c>
      <c r="EO8">
        <f>IF(ISTEXT($CP8),"","Base precisa ser texto: alcance/entidade/classe_6")</f>
        <v/>
      </c>
      <c r="EP8">
        <f>IF(OR(NOT(OR($DA8="alcance",$DE8="alcance")),$CI8="Fixo",$CP8="",$CP8="—",AND(RIGHT($CP8,2)=" m",IFERROR(VALUE(SUBSTITUTE(LEFT($CP8,MAX(0,LEN($CP8)-2)),",",""))/10^IFERROR(LEN(LEFT($CP8,MAX(0,LEN($CP8)-2)))-FIND(",",LEFT($CP8,MAX(0,LEN($CP8)-2))),0),-1)&gt;0)),"","Base incompatível com escada: alcance/entidade/classe_6")</f>
        <v/>
      </c>
      <c r="EQ8">
        <f>IF(OR(NOT(OR($DA8="alcance",$DE8="alcance")),$CQ8&lt;&gt;""),"","Base de alcance ausente: entidade/classe_7")</f>
        <v/>
      </c>
      <c r="ER8">
        <f>IF(ISTEXT($CQ8),"","Base precisa ser texto: alcance/entidade/classe_7")</f>
        <v/>
      </c>
      <c r="ES8">
        <f>IF(OR(NOT(OR($DA8="alcance",$DE8="alcance")),$CI8="Fixo",$CQ8="",$CQ8="—",AND(RIGHT($CQ8,2)=" m",IFERROR(VALUE(SUBSTITUTE(LEFT($CQ8,MAX(0,LEN($CQ8)-2)),",",""))/10^IFERROR(LEN(LEFT($CQ8,MAX(0,LEN($CQ8)-2)))-FIND(",",LEFT($CQ8,MAX(0,LEN($CQ8)-2))),0),-1)&gt;0)),"","Base incompatível com escada: alcance/entidade/classe_7")</f>
        <v/>
      </c>
      <c r="ET8">
        <f>IF(OR($CJ8="Fixo",$CJ8="raio",$CJ8="comprimento"),"","ESCADA inválida para area")</f>
        <v/>
      </c>
      <c r="EU8">
        <f>IF(ISTEXT($CR8),"","Base precisa ser texto: area/personagem/classe_0")</f>
        <v/>
      </c>
      <c r="EV8">
        <f>IF(OR(NOT(AND($CG8,OR($DA8="area",$DE8="area"))),$CJ8="Fixo",$CR8="",$CR8="—",AND(AND(AND(RIGHT($CR8,2)=" m",IFERROR(VALUE(SUBSTITUTE(LEFT($CR8,MAX(0,LEN($CR8)-2)),",",""))/10^IFERROR(LEN(LEFT($CR8,MAX(0,LEN($CR8)-2)))-FIND(",",LEFT($CR8,MAX(0,LEN($CR8)-2))),0),-1)&gt;0),OR($CJ8&lt;&gt;"raio",IFERROR(VALUE(SUBSTITUTE(LEFT($CR8,MAX(0,LEN($CR8)-2)),",",""))/10^IFERROR(LEN(LEFT($CR8,MAX(0,LEN($CR8)-2)))-FIND(",",LEFT($CR8,MAX(0,LEN($CR8)-2))),0),-1)&lt;=15.0)),OR($CJ8&lt;&gt;"comprimento",IFERROR(VALUE(SUBSTITUTE(LEFT($CR8,MAX(0,LEN($CR8)-2)),",",""))/10^IFERROR(LEN(LEFT($CR8,MAX(0,LEN($CR8)-2)))-FIND(",",LEFT($CR8,MAX(0,LEN($CR8)-2))),0),-1)&lt;=60.0))),"","Base incompatível com escada: area/personagem/classe_0")</f>
        <v/>
      </c>
      <c r="EW8">
        <f>IF(ISTEXT($CS8),"","Base precisa ser texto: area/personagem/classes_1_a_5")</f>
        <v/>
      </c>
      <c r="EX8">
        <f>IF(OR(NOT(OR($DA8="area",$DE8="area")),$CJ8="Fixo",$CS8="",$CS8="—",AND(AND(AND(RIGHT($CS8,2)=" m",IFERROR(VALUE(SUBSTITUTE(LEFT($CS8,MAX(0,LEN($CS8)-2)),",",""))/10^IFERROR(LEN(LEFT($CS8,MAX(0,LEN($CS8)-2)))-FIND(",",LEFT($CS8,MAX(0,LEN($CS8)-2))),0),-1)&gt;0),OR($CJ8&lt;&gt;"raio",IFERROR(VALUE(SUBSTITUTE(LEFT($CS8,MAX(0,LEN($CS8)-2)),",",""))/10^IFERROR(LEN(LEFT($CS8,MAX(0,LEN($CS8)-2)))-FIND(",",LEFT($CS8,MAX(0,LEN($CS8)-2))),0),-1)&lt;=15.0)),OR($CJ8&lt;&gt;"comprimento",IFERROR(VALUE(SUBSTITUTE(LEFT($CS8,MAX(0,LEN($CS8)-2)),",",""))/10^IFERROR(LEN(LEFT($CS8,MAX(0,LEN($CS8)-2)))-FIND(",",LEFT($CS8,MAX(0,LEN($CS8)-2))),0),-1)&lt;=60.0))),"","Base incompatível com escada: area/personagem/classes_1_a_5")</f>
        <v/>
      </c>
      <c r="EY8">
        <f>IF(ISTEXT($CT8),"","Base precisa ser texto: area/personagem/classes_6_e_7")</f>
        <v/>
      </c>
      <c r="EZ8">
        <f>IF(OR(NOT(OR($DA8="area",$DE8="area")),$CJ8="Fixo",$CT8="",$CT8="—",AND(AND(AND(RIGHT($CT8,2)=" m",IFERROR(VALUE(SUBSTITUTE(LEFT($CT8,MAX(0,LEN($CT8)-2)),",",""))/10^IFERROR(LEN(LEFT($CT8,MAX(0,LEN($CT8)-2)))-FIND(",",LEFT($CT8,MAX(0,LEN($CT8)-2))),0),-1)&gt;0),OR($CJ8&lt;&gt;"raio",IFERROR(VALUE(SUBSTITUTE(LEFT($CT8,MAX(0,LEN($CT8)-2)),",",""))/10^IFERROR(LEN(LEFT($CT8,MAX(0,LEN($CT8)-2)))-FIND(",",LEFT($CT8,MAX(0,LEN($CT8)-2))),0),-1)&lt;=15.0)),OR($CJ8&lt;&gt;"comprimento",IFERROR(VALUE(SUBSTITUTE(LEFT($CT8,MAX(0,LEN($CT8)-2)),",",""))/10^IFERROR(LEN(LEFT($CT8,MAX(0,LEN($CT8)-2)))-FIND(",",LEFT($CT8,MAX(0,LEN($CT8)-2))),0),-1)&lt;=60.0))),"","Base incompatível com escada: area/personagem/classes_6_e_7")</f>
        <v/>
      </c>
      <c r="FA8">
        <f>IF(ISTEXT($CU8),"","Base precisa ser texto: area/entidade/classe_0")</f>
        <v/>
      </c>
      <c r="FB8">
        <f>IF(OR(NOT(AND($CG8,OR($DA8="area",$DE8="area"))),$CJ8="Fixo",$CU8="",$CU8="—",AND(AND(AND(RIGHT($CU8,2)=" m",IFERROR(VALUE(SUBSTITUTE(LEFT($CU8,MAX(0,LEN($CU8)-2)),",",""))/10^IFERROR(LEN(LEFT($CU8,MAX(0,LEN($CU8)-2)))-FIND(",",LEFT($CU8,MAX(0,LEN($CU8)-2))),0),-1)&gt;0),OR($CJ8&lt;&gt;"raio",IFERROR(VALUE(SUBSTITUTE(LEFT($CU8,MAX(0,LEN($CU8)-2)),",",""))/10^IFERROR(LEN(LEFT($CU8,MAX(0,LEN($CU8)-2)))-FIND(",",LEFT($CU8,MAX(0,LEN($CU8)-2))),0),-1)&lt;=15.0)),OR($CJ8&lt;&gt;"comprimento",IFERROR(VALUE(SUBSTITUTE(LEFT($CU8,MAX(0,LEN($CU8)-2)),",",""))/10^IFERROR(LEN(LEFT($CU8,MAX(0,LEN($CU8)-2)))-FIND(",",LEFT($CU8,MAX(0,LEN($CU8)-2))),0),-1)&lt;=60.0))),"","Base incompatível com escada: area/entidade/classe_0")</f>
        <v/>
      </c>
      <c r="FC8">
        <f>IF(ISTEXT($CV8),"","Base precisa ser texto: area/entidade/classes_1_a_5")</f>
        <v/>
      </c>
      <c r="FD8">
        <f>IF(OR(NOT(OR($DA8="area",$DE8="area")),$CJ8="Fixo",$CV8="",$CV8="—",AND(AND(AND(RIGHT($CV8,2)=" m",IFERROR(VALUE(SUBSTITUTE(LEFT($CV8,MAX(0,LEN($CV8)-2)),",",""))/10^IFERROR(LEN(LEFT($CV8,MAX(0,LEN($CV8)-2)))-FIND(",",LEFT($CV8,MAX(0,LEN($CV8)-2))),0),-1)&gt;0),OR($CJ8&lt;&gt;"raio",IFERROR(VALUE(SUBSTITUTE(LEFT($CV8,MAX(0,LEN($CV8)-2)),",",""))/10^IFERROR(LEN(LEFT($CV8,MAX(0,LEN($CV8)-2)))-FIND(",",LEFT($CV8,MAX(0,LEN($CV8)-2))),0),-1)&lt;=15.0)),OR($CJ8&lt;&gt;"comprimento",IFERROR(VALUE(SUBSTITUTE(LEFT($CV8,MAX(0,LEN($CV8)-2)),",",""))/10^IFERROR(LEN(LEFT($CV8,MAX(0,LEN($CV8)-2)))-FIND(",",LEFT($CV8,MAX(0,LEN($CV8)-2))),0),-1)&lt;=60.0))),"","Base incompatível com escada: area/entidade/classes_1_a_5")</f>
        <v/>
      </c>
      <c r="FE8">
        <f>IF(ISTEXT($CW8),"","Base precisa ser texto: area/entidade/classe_6")</f>
        <v/>
      </c>
      <c r="FF8">
        <f>IF(OR(NOT(OR($DA8="area",$DE8="area")),$CJ8="Fixo",$CW8="",$CW8="—",AND(AND(AND(RIGHT($CW8,2)=" m",IFERROR(VALUE(SUBSTITUTE(LEFT($CW8,MAX(0,LEN($CW8)-2)),",",""))/10^IFERROR(LEN(LEFT($CW8,MAX(0,LEN($CW8)-2)))-FIND(",",LEFT($CW8,MAX(0,LEN($CW8)-2))),0),-1)&gt;0),OR($CJ8&lt;&gt;"raio",IFERROR(VALUE(SUBSTITUTE(LEFT($CW8,MAX(0,LEN($CW8)-2)),",",""))/10^IFERROR(LEN(LEFT($CW8,MAX(0,LEN($CW8)-2)))-FIND(",",LEFT($CW8,MAX(0,LEN($CW8)-2))),0),-1)&lt;=15.0)),OR($CJ8&lt;&gt;"comprimento",IFERROR(VALUE(SUBSTITUTE(LEFT($CW8,MAX(0,LEN($CW8)-2)),",",""))/10^IFERROR(LEN(LEFT($CW8,MAX(0,LEN($CW8)-2)))-FIND(",",LEFT($CW8,MAX(0,LEN($CW8)-2))),0),-1)&lt;=60.0))),"","Base incompatível com escada: area/entidade/classe_6")</f>
        <v/>
      </c>
      <c r="FG8">
        <f>IF(ISTEXT($CX8),"","Base precisa ser texto: area/entidade/classe_7")</f>
        <v/>
      </c>
      <c r="FH8">
        <f>IF(OR(NOT(OR($DA8="area",$DE8="area")),$CJ8="Fixo",$CX8="",$CX8="—",AND(AND(AND(RIGHT($CX8,2)=" m",IFERROR(VALUE(SUBSTITUTE(LEFT($CX8,MAX(0,LEN($CX8)-2)),",",""))/10^IFERROR(LEN(LEFT($CX8,MAX(0,LEN($CX8)-2)))-FIND(",",LEFT($CX8,MAX(0,LEN($CX8)-2))),0),-1)&gt;0),OR($CJ8&lt;&gt;"raio",IFERROR(VALUE(SUBSTITUTE(LEFT($CX8,MAX(0,LEN($CX8)-2)),",",""))/10^IFERROR(LEN(LEFT($CX8,MAX(0,LEN($CX8)-2)))-FIND(",",LEFT($CX8,MAX(0,LEN($CX8)-2))),0),-1)&lt;=15.0)),OR($CJ8&lt;&gt;"comprimento",IFERROR(VALUE(SUBSTITUTE(LEFT($CX8,MAX(0,LEN($CX8)-2)),",",""))/10^IFERROR(LEN(LEFT($CX8,MAX(0,LEN($CX8)-2)))-FIND(",",LEFT($CX8,MAX(0,LEN($CX8)-2))),0),-1)&lt;=60.0))),"","Base incompatível com escada: area/entidade/classe_7")</f>
        <v/>
      </c>
      <c r="FJ8">
        <f>'DADOS_FORMAS'!$AH8</f>
        <v/>
      </c>
      <c r="FK8">
        <f>'DADOS_FORMAS'!$AM8</f>
        <v/>
      </c>
      <c r="FL8">
        <f>'DADOS_FORMAS'!$AN8</f>
        <v/>
      </c>
      <c r="FM8">
        <f>IF('DADOS_FORMAS'!$AN8=0,0,'DADOS_FORMAS'!$AN8+3*IFERROR(VLOOKUP(SUBSTITUTE(SUBSTITUTE(SUBSTITUTE('DADOS_FORMAS'!$AM8,"~","~~"),"*","~*"),"?","~?"),'DADOS_CRIACAO'!$H$2:$K$20,3,FALSE),0))</f>
        <v/>
      </c>
      <c r="FN8">
        <f>IFERROR(VLOOKUP(SUBSTITUTE(SUBSTITUTE(SUBSTITUTE('DADOS_FORMAS'!$AM8,"~","~~"),"*","~*"),"?","~?"),'DADOS_CRIACAO'!$H$2:$K$20,4,FALSE),0)</f>
        <v/>
      </c>
      <c r="FO8">
        <f>IF('DADOS_FORMAS'!$AS8="",0,1)</f>
        <v/>
      </c>
      <c r="FP8">
        <f>'DADOS_FORMAS'!$AP8</f>
        <v/>
      </c>
      <c r="FQ8">
        <f>IF(AND('DADOS_FORMAS'!$AO8="Acerto",'DADOS_FORMAS'!$AQ8),"Acerto + TR",'DADOS_FORMAS'!$AO8)</f>
        <v/>
      </c>
      <c r="FR8">
        <f>N(OR('DADOS_FORMAS'!$AQ8,'DADOS_FORMAS'!$AO8="TR, metade"))</f>
        <v/>
      </c>
      <c r="FS8">
        <f>'DADOS_FORMAS'!$BO8</f>
        <v/>
      </c>
      <c r="FT8">
        <f>'DADOS_FORMAS'!$BS8</f>
        <v/>
      </c>
      <c r="FU8">
        <f>'DADOS_FORMAS'!$BK8</f>
        <v/>
      </c>
      <c r="FV8">
        <f>N('DADOS_FORMAS'!$AR8)</f>
        <v/>
      </c>
      <c r="FW8">
        <f>IF(IFERROR(VLOOKUP(SUBSTITUTE(SUBSTITUTE(SUBSTITUTE('DADOS_FORMAS'!$AM8,"~","~~"),"*","~*"),"?","~?"),'DADOS_CRIACAO'!$H$2:$K$20,4,FALSE),0)=1,"",'DADOS_FORMAS'!$AH8)</f>
        <v/>
      </c>
      <c r="FX8">
        <f>IF(AND('DADOS_FORMAS'!$AR8,IFERROR(VLOOKUP(SUBSTITUTE(SUBSTITUTE(SUBSTITUTE('DADOS_FORMAS'!$AM8,"~","~~"),"*","~*"),"?","~?"),'DADOS_CRIACAO'!$H$2:$K$20,4,FALSE),0)=0),'DADOS_FORMAS'!$AH8,"")</f>
        <v/>
      </c>
      <c r="FZ8">
        <f>'DADOS_FORMAS'!$AH8</f>
        <v/>
      </c>
      <c r="GA8">
        <f>'DADOS_FORMAS'!$AM8</f>
        <v/>
      </c>
      <c r="GB8">
        <f>'DADOS_FORMAS'!$AN8</f>
        <v/>
      </c>
      <c r="GC8">
        <f>IF('DADOS_FORMAS'!$AS8="",0,1)</f>
        <v/>
      </c>
      <c r="GD8">
        <f>'DADOS_FORMAS'!$AP8</f>
        <v/>
      </c>
      <c r="GE8">
        <f>IF('DADOS_FORMAS'!$AO8="Acerto","Ataque",IF('DADOS_FORMAS'!$AQ8,"TR","—"))</f>
        <v/>
      </c>
      <c r="GF8">
        <f>N(OR('DADOS_FORMAS'!$AQ8,'DADOS_FORMAS'!$AO8="TR, metade"))</f>
        <v/>
      </c>
      <c r="GG8">
        <f>'DADOS_FORMAS'!$BO8</f>
        <v/>
      </c>
      <c r="GH8">
        <f>'DADOS_FORMAS'!$BS8</f>
        <v/>
      </c>
      <c r="GI8">
        <f>'DADOS_FORMAS'!$BK8</f>
        <v/>
      </c>
      <c r="GJ8">
        <f>N('DADOS_FORMAS'!$AR8)</f>
        <v/>
      </c>
      <c r="GR8">
        <f>'DADOS_FORMAS'!$BL13</f>
        <v/>
      </c>
      <c r="GS8">
        <f>IF('DADOS_FORMAS'!$BL13="area",'DADOS_FORMAS'!$AU13,'DADOS_FORMAS'!$AT13)</f>
        <v/>
      </c>
      <c r="GT8">
        <f>IF('DADOS_FORMAS'!$BL13="area",'DADOS_FORMAS'!$BC13,'DADOS_FORMAS'!$AV13)</f>
        <v/>
      </c>
      <c r="GU8">
        <f>'DADOS_FORMAS'!$BM13</f>
        <v/>
      </c>
      <c r="GV8">
        <f>'DADOS_FORMAS'!$BN13</f>
        <v/>
      </c>
      <c r="GW8">
        <f>LET(base,'DADOS_FORMAS'!$GT8,escada,'DADOS_FORMAS'!$GS8,medida,LEFT(base,MAX(0,LEN(base)-2)),valor,IFERROR(VALUE(SUBSTITUTE(medida,",",""))/10^IFERROR(LEN(medida)-FIND(",",medida),0),1E99),IF(OR(escada="Fixo",base="—"),base,IF(escada="alcance",IFERROR(MATCH(base,{"1,5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8" t="inlineStr">
        <is>
          <t>Explosão · classe 0</t>
        </is>
      </c>
      <c r="GZ8" t="inlineStr">
        <is>
          <t>Raio 3 m</t>
        </is>
      </c>
      <c r="HA8" t="inlineStr">
        <is>
          <t>Raio 4,5 m</t>
        </is>
      </c>
      <c r="HB8" t="inlineStr">
        <is>
          <t>Raio 6 m</t>
        </is>
      </c>
      <c r="HC8" t="inlineStr">
        <is>
          <t>Raio 9 m</t>
        </is>
      </c>
      <c r="HD8" t="inlineStr">
        <is>
          <t>Raio 15 m</t>
        </is>
      </c>
      <c r="HE8" t="inlineStr">
        <is>
          <t>Raio 15 m</t>
        </is>
      </c>
      <c r="HF8" t="inlineStr">
        <is>
          <t>, a 9 m</t>
        </is>
      </c>
      <c r="HG8" t="inlineStr">
        <is>
          <t>, a 18 m</t>
        </is>
      </c>
      <c r="HH8" t="inlineStr">
        <is>
          <t>, a 36 m</t>
        </is>
      </c>
      <c r="HI8" t="inlineStr">
        <is>
          <t>, a 90 m</t>
        </is>
      </c>
      <c r="HJ8" t="inlineStr">
        <is>
          <t>, a visão a olho nu</t>
        </is>
      </c>
      <c r="HK8" t="inlineStr">
        <is>
          <t>, a visão a olho nu</t>
        </is>
      </c>
      <c r="HM8">
        <f>'DADOS_FORMAS'!$BL12</f>
        <v/>
      </c>
      <c r="HN8">
        <f>IF('DADOS_FORMAS'!$BL12="area",'DADOS_FORMAS'!$AU12,'DADOS_FORMAS'!$AT12)</f>
        <v/>
      </c>
      <c r="HO8">
        <f>IF('DADOS_FORMAS'!$BL12="area",'DADOS_FORMAS'!$BI12,'DADOS_FORMAS'!$BB12)</f>
        <v/>
      </c>
      <c r="HP8">
        <f>'DADOS_FORMAS'!$BM12</f>
        <v/>
      </c>
      <c r="HQ8">
        <f>'DADOS_FORMAS'!$BN12</f>
        <v/>
      </c>
      <c r="HR8">
        <f>LET(base,'DADOS_FORMAS'!$HO8,escada,'DADOS_FORMAS'!$HN8,medida,LEFT(base,MAX(0,LEN(base)-2)),valor,IFERROR(VALUE(SUBSTITUTE(medida,",",""))/10^IFERROR(LEN(medida)-FIND(",",medida),0),1E99),IF(OR(escada="Fixo",base="—"),base,IF(escada="alcance",IFERROR(MATCH(base,{"1,5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8" t="inlineStr">
        <is>
          <t>Toque · classe 6</t>
        </is>
      </c>
      <c r="HU8" t="inlineStr">
        <is>
          <t>1,5 m, um alvo</t>
        </is>
      </c>
      <c r="HV8" t="inlineStr">
        <is>
          <t>1,5 m, um alvo</t>
        </is>
      </c>
      <c r="HW8" t="inlineStr">
        <is>
          <t>1,5 m, um alvo</t>
        </is>
      </c>
      <c r="HX8" t="inlineStr">
        <is>
          <t>1,5 m, um alvo</t>
        </is>
      </c>
      <c r="HY8" t="inlineStr">
        <is>
          <t>1,5 m, um alvo</t>
        </is>
      </c>
      <c r="HZ8" t="inlineStr">
        <is>
          <t>1,5 m, um alvo</t>
        </is>
      </c>
      <c r="IA8" t="inlineStr"/>
      <c r="IB8" t="inlineStr"/>
      <c r="IC8" t="inlineStr"/>
      <c r="ID8" t="inlineStr"/>
      <c r="IE8" t="inlineStr"/>
      <c r="IF8" t="inlineStr"/>
      <c r="IH8">
        <f>IF(OR('DADOS_FORMAS'!$AM8='INVOCAÇÕES'!$O$48,'DADOS_FORMAS'!$AM8='INVOCAÇÕES'!$P$48,'DADOS_FORMAS'!$AM8='INVOCAÇÕES'!$Q$48,'DADOS_FORMAS'!$AM8='INVOCAÇÕES'!$R$48,'DADOS_FORMAS'!$AM8='INVOCAÇÕES'!$S$48,'DADOS_FORMAS'!$AM8='INVOCAÇÕES'!$O$50,'DADOS_FORMAS'!$AM8='INVOCAÇÕES'!$P$50,'DADOS_FORMAS'!$AM8='INVOCAÇÕES'!$Q$50,'DADOS_FORMAS'!$AM8='INVOCAÇÕES'!$R$50,'DADOS_FORMAS'!$AM8=""),'DADOS_FORMAS'!$AH8,"")</f>
        <v/>
      </c>
      <c r="II8">
        <f>IF(AND(OR('DADOS_FORMAS'!$AM8='INVOCAÇÕES'!$O$48,'DADOS_FORMAS'!$AM8='INVOCAÇÕES'!$P$48,'DADOS_FORMAS'!$AM8='INVOCAÇÕES'!$Q$48,'DADOS_FORMAS'!$AM8='INVOCAÇÕES'!$R$48,'DADOS_FORMAS'!$AM8='INVOCAÇÕES'!$S$48,'DADOS_FORMAS'!$AM8='INVOCAÇÕES'!$O$50,'DADOS_FORMAS'!$AM8='INVOCAÇÕES'!$P$50,'DADOS_FORMAS'!$AM8='INVOCAÇÕES'!$Q$50,'DADOS_FORMAS'!$AM8='INVOCAÇÕES'!$R$50,'DADOS_FORMAS'!$AM8=""),'DADOS_FORMAS'!$AR8),'DADOS_FORMAS'!$AH8,"")</f>
        <v/>
      </c>
      <c r="IK8">
        <f>IF(OR('DADOS_FORMAS'!$AM8='INVOCAÇÕES'!$O$259,'DADOS_FORMAS'!$AM8='INVOCAÇÕES'!$P$259,'DADOS_FORMAS'!$AM8='INVOCAÇÕES'!$Q$259,'DADOS_FORMAS'!$AM8='INVOCAÇÕES'!$R$259,'DADOS_FORMAS'!$AM8='INVOCAÇÕES'!$S$259,'DADOS_FORMAS'!$AM8='INVOCAÇÕES'!$O$261,'DADOS_FORMAS'!$AM8='INVOCAÇÕES'!$P$261,'DADOS_FORMAS'!$AM8='INVOCAÇÕES'!$Q$261,'DADOS_FORMAS'!$AM8='INVOCAÇÕES'!$R$261,'DADOS_FORMAS'!$AM8=""),'DADOS_FORMAS'!$AH8,"")</f>
        <v/>
      </c>
      <c r="IL8">
        <f>IF(AND(OR('DADOS_FORMAS'!$AM8='INVOCAÇÕES'!$O$259,'DADOS_FORMAS'!$AM8='INVOCAÇÕES'!$P$259,'DADOS_FORMAS'!$AM8='INVOCAÇÕES'!$Q$259,'DADOS_FORMAS'!$AM8='INVOCAÇÕES'!$R$259,'DADOS_FORMAS'!$AM8='INVOCAÇÕES'!$S$259,'DADOS_FORMAS'!$AM8='INVOCAÇÕES'!$O$261,'DADOS_FORMAS'!$AM8='INVOCAÇÕES'!$P$261,'DADOS_FORMAS'!$AM8='INVOCAÇÕES'!$Q$261,'DADOS_FORMAS'!$AM8='INVOCAÇÕES'!$R$261,'DADOS_FORMAS'!$AM8=""),'DADOS_FORMAS'!$AR8),'DADOS_FORMAS'!$AH8,"")</f>
        <v/>
      </c>
      <c r="IN8">
        <f>IF(OR('DADOS_FORMAS'!$AM8='INVOCAÇÕES'!$O$470,'DADOS_FORMAS'!$AM8='INVOCAÇÕES'!$P$470,'DADOS_FORMAS'!$AM8='INVOCAÇÕES'!$Q$470,'DADOS_FORMAS'!$AM8='INVOCAÇÕES'!$R$470,'DADOS_FORMAS'!$AM8='INVOCAÇÕES'!$S$470,'DADOS_FORMAS'!$AM8='INVOCAÇÕES'!$O$472,'DADOS_FORMAS'!$AM8='INVOCAÇÕES'!$P$472,'DADOS_FORMAS'!$AM8='INVOCAÇÕES'!$Q$472,'DADOS_FORMAS'!$AM8='INVOCAÇÕES'!$R$472,'DADOS_FORMAS'!$AM8=""),'DADOS_FORMAS'!$AH8,"")</f>
        <v/>
      </c>
      <c r="IO8">
        <f>IF(AND(OR('DADOS_FORMAS'!$AM8='INVOCAÇÕES'!$O$470,'DADOS_FORMAS'!$AM8='INVOCAÇÕES'!$P$470,'DADOS_FORMAS'!$AM8='INVOCAÇÕES'!$Q$470,'DADOS_FORMAS'!$AM8='INVOCAÇÕES'!$R$470,'DADOS_FORMAS'!$AM8='INVOCAÇÕES'!$S$470,'DADOS_FORMAS'!$AM8='INVOCAÇÕES'!$O$472,'DADOS_FORMAS'!$AM8='INVOCAÇÕES'!$P$472,'DADOS_FORMAS'!$AM8='INVOCAÇÕES'!$Q$472,'DADOS_FORMAS'!$AM8='INVOCAÇÕES'!$R$472,'DADOS_FORMAS'!$AM8=""),'DADOS_FORMAS'!$AR8),'DADOS_FORMAS'!$AH8,"")</f>
        <v/>
      </c>
      <c r="IQ8">
        <f>IF(OR('DADOS_FORMAS'!$AM8='INVOCAÇÕES'!$O$681,'DADOS_FORMAS'!$AM8='INVOCAÇÕES'!$P$681,'DADOS_FORMAS'!$AM8='INVOCAÇÕES'!$Q$681,'DADOS_FORMAS'!$AM8='INVOCAÇÕES'!$R$681,'DADOS_FORMAS'!$AM8='INVOCAÇÕES'!$S$681,'DADOS_FORMAS'!$AM8='INVOCAÇÕES'!$O$683,'DADOS_FORMAS'!$AM8='INVOCAÇÕES'!$P$683,'DADOS_FORMAS'!$AM8='INVOCAÇÕES'!$Q$683,'DADOS_FORMAS'!$AM8='INVOCAÇÕES'!$R$683,'DADOS_FORMAS'!$AM8=""),'DADOS_FORMAS'!$AH8,"")</f>
        <v/>
      </c>
      <c r="IR8">
        <f>IF(AND(OR('DADOS_FORMAS'!$AM8='INVOCAÇÕES'!$O$681,'DADOS_FORMAS'!$AM8='INVOCAÇÕES'!$P$681,'DADOS_FORMAS'!$AM8='INVOCAÇÕES'!$Q$681,'DADOS_FORMAS'!$AM8='INVOCAÇÕES'!$R$681,'DADOS_FORMAS'!$AM8='INVOCAÇÕES'!$S$681,'DADOS_FORMAS'!$AM8='INVOCAÇÕES'!$O$683,'DADOS_FORMAS'!$AM8='INVOCAÇÕES'!$P$683,'DADOS_FORMAS'!$AM8='INVOCAÇÕES'!$Q$683,'DADOS_FORMAS'!$AM8='INVOCAÇÕES'!$R$683,'DADOS_FORMAS'!$AM8=""),'DADOS_FORMAS'!$AR8),'DADOS_FORMAS'!$AH8,"")</f>
        <v/>
      </c>
      <c r="IT8">
        <f>IF(OR('DADOS_FORMAS'!$AM8='INVOCAÇÕES'!$O$892,'DADOS_FORMAS'!$AM8='INVOCAÇÕES'!$P$892,'DADOS_FORMAS'!$AM8='INVOCAÇÕES'!$Q$892,'DADOS_FORMAS'!$AM8='INVOCAÇÕES'!$R$892,'DADOS_FORMAS'!$AM8='INVOCAÇÕES'!$S$892,'DADOS_FORMAS'!$AM8='INVOCAÇÕES'!$O$894,'DADOS_FORMAS'!$AM8='INVOCAÇÕES'!$P$894,'DADOS_FORMAS'!$AM8='INVOCAÇÕES'!$Q$894,'DADOS_FORMAS'!$AM8='INVOCAÇÕES'!$R$894,'DADOS_FORMAS'!$AM8=""),'DADOS_FORMAS'!$AH8,"")</f>
        <v/>
      </c>
      <c r="IU8">
        <f>IF(AND(OR('DADOS_FORMAS'!$AM8='INVOCAÇÕES'!$O$892,'DADOS_FORMAS'!$AM8='INVOCAÇÕES'!$P$892,'DADOS_FORMAS'!$AM8='INVOCAÇÕES'!$Q$892,'DADOS_FORMAS'!$AM8='INVOCAÇÕES'!$R$892,'DADOS_FORMAS'!$AM8='INVOCAÇÕES'!$S$892,'DADOS_FORMAS'!$AM8='INVOCAÇÕES'!$O$894,'DADOS_FORMAS'!$AM8='INVOCAÇÕES'!$P$894,'DADOS_FORMAS'!$AM8='INVOCAÇÕES'!$Q$894,'DADOS_FORMAS'!$AM8='INVOCAÇÕES'!$R$894,'DADOS_FORMAS'!$AM8=""),'DADOS_FORMAS'!$AR8),'DADOS_FORMAS'!$AH8,"")</f>
        <v/>
      </c>
      <c r="IW8">
        <f>IF(OR('DADOS_FORMAS'!$AM8='INVOCAÇÕES'!$O$1103,'DADOS_FORMAS'!$AM8='INVOCAÇÕES'!$P$1103,'DADOS_FORMAS'!$AM8='INVOCAÇÕES'!$Q$1103,'DADOS_FORMAS'!$AM8='INVOCAÇÕES'!$R$1103,'DADOS_FORMAS'!$AM8='INVOCAÇÕES'!$S$1103,'DADOS_FORMAS'!$AM8='INVOCAÇÕES'!$O$1105,'DADOS_FORMAS'!$AM8='INVOCAÇÕES'!$P$1105,'DADOS_FORMAS'!$AM8='INVOCAÇÕES'!$Q$1105,'DADOS_FORMAS'!$AM8='INVOCAÇÕES'!$R$1105,'DADOS_FORMAS'!$AM8=""),'DADOS_FORMAS'!$AH8,"")</f>
        <v/>
      </c>
      <c r="IX8">
        <f>IF(AND(OR('DADOS_FORMAS'!$AM8='INVOCAÇÕES'!$O$1103,'DADOS_FORMAS'!$AM8='INVOCAÇÕES'!$P$1103,'DADOS_FORMAS'!$AM8='INVOCAÇÕES'!$Q$1103,'DADOS_FORMAS'!$AM8='INVOCAÇÕES'!$R$1103,'DADOS_FORMAS'!$AM8='INVOCAÇÕES'!$S$1103,'DADOS_FORMAS'!$AM8='INVOCAÇÕES'!$O$1105,'DADOS_FORMAS'!$AM8='INVOCAÇÕES'!$P$1105,'DADOS_FORMAS'!$AM8='INVOCAÇÕES'!$Q$1105,'DADOS_FORMAS'!$AM8='INVOCAÇÕES'!$R$1105,'DADOS_FORMAS'!$AM8=""),'DADOS_FORMAS'!$AR8),'DADOS_FORMAS'!$AH8,"")</f>
        <v/>
      </c>
      <c r="IZ8">
        <f>IF(OR('DADOS_FORMAS'!$AM8='INVOCAÇÕES'!$AH$48,'DADOS_FORMAS'!$AM8='INVOCAÇÕES'!$AI$48,'DADOS_FORMAS'!$AM8='INVOCAÇÕES'!$AJ$48,'DADOS_FORMAS'!$AM8='INVOCAÇÕES'!$AK$48,'DADOS_FORMAS'!$AM8='INVOCAÇÕES'!$AL$48,'DADOS_FORMAS'!$AM8='INVOCAÇÕES'!$AH$50,'DADOS_FORMAS'!$AM8='INVOCAÇÕES'!$AI$50,'DADOS_FORMAS'!$AM8='INVOCAÇÕES'!$AJ$50,'DADOS_FORMAS'!$AM8='INVOCAÇÕES'!$AK$50,'DADOS_FORMAS'!$AM8=""),'DADOS_FORMAS'!$AH8,"")</f>
        <v/>
      </c>
      <c r="JA8">
        <f>IF(AND(OR('DADOS_FORMAS'!$AM8='INVOCAÇÕES'!$AH$48,'DADOS_FORMAS'!$AM8='INVOCAÇÕES'!$AI$48,'DADOS_FORMAS'!$AM8='INVOCAÇÕES'!$AJ$48,'DADOS_FORMAS'!$AM8='INVOCAÇÕES'!$AK$48,'DADOS_FORMAS'!$AM8='INVOCAÇÕES'!$AL$48,'DADOS_FORMAS'!$AM8='INVOCAÇÕES'!$AH$50,'DADOS_FORMAS'!$AM8='INVOCAÇÕES'!$AI$50,'DADOS_FORMAS'!$AM8='INVOCAÇÕES'!$AJ$50,'DADOS_FORMAS'!$AM8='INVOCAÇÕES'!$AK$50,'DADOS_FORMAS'!$AM8=""),'DADOS_FORMAS'!$AR8),'DADOS_FORMAS'!$AH8,"")</f>
        <v/>
      </c>
      <c r="JC8">
        <f>IF(OR('DADOS_FORMAS'!$AM8='INVOCAÇÕES'!$AH$259,'DADOS_FORMAS'!$AM8='INVOCAÇÕES'!$AI$259,'DADOS_FORMAS'!$AM8='INVOCAÇÕES'!$AJ$259,'DADOS_FORMAS'!$AM8='INVOCAÇÕES'!$AK$259,'DADOS_FORMAS'!$AM8='INVOCAÇÕES'!$AL$259,'DADOS_FORMAS'!$AM8='INVOCAÇÕES'!$AH$261,'DADOS_FORMAS'!$AM8='INVOCAÇÕES'!$AI$261,'DADOS_FORMAS'!$AM8='INVOCAÇÕES'!$AJ$261,'DADOS_FORMAS'!$AM8='INVOCAÇÕES'!$AK$261,'DADOS_FORMAS'!$AM8=""),'DADOS_FORMAS'!$AH8,"")</f>
        <v/>
      </c>
      <c r="JD8">
        <f>IF(AND(OR('DADOS_FORMAS'!$AM8='INVOCAÇÕES'!$AH$259,'DADOS_FORMAS'!$AM8='INVOCAÇÕES'!$AI$259,'DADOS_FORMAS'!$AM8='INVOCAÇÕES'!$AJ$259,'DADOS_FORMAS'!$AM8='INVOCAÇÕES'!$AK$259,'DADOS_FORMAS'!$AM8='INVOCAÇÕES'!$AL$259,'DADOS_FORMAS'!$AM8='INVOCAÇÕES'!$AH$261,'DADOS_FORMAS'!$AM8='INVOCAÇÕES'!$AI$261,'DADOS_FORMAS'!$AM8='INVOCAÇÕES'!$AJ$261,'DADOS_FORMAS'!$AM8='INVOCAÇÕES'!$AK$261,'DADOS_FORMAS'!$AM8=""),'DADOS_FORMAS'!$AR8),'DADOS_FORMAS'!$AH8,"")</f>
        <v/>
      </c>
      <c r="JF8">
        <f>IF(OR('DADOS_FORMAS'!$AM8='INVOCAÇÕES'!$AH$470,'DADOS_FORMAS'!$AM8='INVOCAÇÕES'!$AI$470,'DADOS_FORMAS'!$AM8='INVOCAÇÕES'!$AJ$470,'DADOS_FORMAS'!$AM8='INVOCAÇÕES'!$AK$470,'DADOS_FORMAS'!$AM8='INVOCAÇÕES'!$AL$470,'DADOS_FORMAS'!$AM8='INVOCAÇÕES'!$AH$472,'DADOS_FORMAS'!$AM8='INVOCAÇÕES'!$AI$472,'DADOS_FORMAS'!$AM8='INVOCAÇÕES'!$AJ$472,'DADOS_FORMAS'!$AM8='INVOCAÇÕES'!$AK$472,'DADOS_FORMAS'!$AM8=""),'DADOS_FORMAS'!$AH8,"")</f>
        <v/>
      </c>
      <c r="JG8">
        <f>IF(AND(OR('DADOS_FORMAS'!$AM8='INVOCAÇÕES'!$AH$470,'DADOS_FORMAS'!$AM8='INVOCAÇÕES'!$AI$470,'DADOS_FORMAS'!$AM8='INVOCAÇÕES'!$AJ$470,'DADOS_FORMAS'!$AM8='INVOCAÇÕES'!$AK$470,'DADOS_FORMAS'!$AM8='INVOCAÇÕES'!$AL$470,'DADOS_FORMAS'!$AM8='INVOCAÇÕES'!$AH$472,'DADOS_FORMAS'!$AM8='INVOCAÇÕES'!$AI$472,'DADOS_FORMAS'!$AM8='INVOCAÇÕES'!$AJ$472,'DADOS_FORMAS'!$AM8='INVOCAÇÕES'!$AK$472,'DADOS_FORMAS'!$AM8=""),'DADOS_FORMAS'!$AR8),'DADOS_FORMAS'!$AH8,"")</f>
        <v/>
      </c>
      <c r="JI8">
        <f>IF(OR('DADOS_FORMAS'!$AM8='INVOCAÇÕES'!$AH$681,'DADOS_FORMAS'!$AM8='INVOCAÇÕES'!$AI$681,'DADOS_FORMAS'!$AM8='INVOCAÇÕES'!$AJ$681,'DADOS_FORMAS'!$AM8='INVOCAÇÕES'!$AK$681,'DADOS_FORMAS'!$AM8='INVOCAÇÕES'!$AL$681,'DADOS_FORMAS'!$AM8='INVOCAÇÕES'!$AH$683,'DADOS_FORMAS'!$AM8='INVOCAÇÕES'!$AI$683,'DADOS_FORMAS'!$AM8='INVOCAÇÕES'!$AJ$683,'DADOS_FORMAS'!$AM8='INVOCAÇÕES'!$AK$683,'DADOS_FORMAS'!$AM8=""),'DADOS_FORMAS'!$AH8,"")</f>
        <v/>
      </c>
      <c r="JJ8">
        <f>IF(AND(OR('DADOS_FORMAS'!$AM8='INVOCAÇÕES'!$AH$681,'DADOS_FORMAS'!$AM8='INVOCAÇÕES'!$AI$681,'DADOS_FORMAS'!$AM8='INVOCAÇÕES'!$AJ$681,'DADOS_FORMAS'!$AM8='INVOCAÇÕES'!$AK$681,'DADOS_FORMAS'!$AM8='INVOCAÇÕES'!$AL$681,'DADOS_FORMAS'!$AM8='INVOCAÇÕES'!$AH$683,'DADOS_FORMAS'!$AM8='INVOCAÇÕES'!$AI$683,'DADOS_FORMAS'!$AM8='INVOCAÇÕES'!$AJ$683,'DADOS_FORMAS'!$AM8='INVOCAÇÕES'!$AK$683,'DADOS_FORMAS'!$AM8=""),'DADOS_FORMAS'!$AR8),'DADOS_FORMAS'!$AH8,"")</f>
        <v/>
      </c>
      <c r="JL8">
        <f>IF(OR('DADOS_FORMAS'!$AM8='INVOCAÇÕES'!$AH$892,'DADOS_FORMAS'!$AM8='INVOCAÇÕES'!$AI$892,'DADOS_FORMAS'!$AM8='INVOCAÇÕES'!$AJ$892,'DADOS_FORMAS'!$AM8='INVOCAÇÕES'!$AK$892,'DADOS_FORMAS'!$AM8='INVOCAÇÕES'!$AL$892,'DADOS_FORMAS'!$AM8='INVOCAÇÕES'!$AH$894,'DADOS_FORMAS'!$AM8='INVOCAÇÕES'!$AI$894,'DADOS_FORMAS'!$AM8='INVOCAÇÕES'!$AJ$894,'DADOS_FORMAS'!$AM8='INVOCAÇÕES'!$AK$894,'DADOS_FORMAS'!$AM8=""),'DADOS_FORMAS'!$AH8,"")</f>
        <v/>
      </c>
      <c r="JM8">
        <f>IF(AND(OR('DADOS_FORMAS'!$AM8='INVOCAÇÕES'!$AH$892,'DADOS_FORMAS'!$AM8='INVOCAÇÕES'!$AI$892,'DADOS_FORMAS'!$AM8='INVOCAÇÕES'!$AJ$892,'DADOS_FORMAS'!$AM8='INVOCAÇÕES'!$AK$892,'DADOS_FORMAS'!$AM8='INVOCAÇÕES'!$AL$892,'DADOS_FORMAS'!$AM8='INVOCAÇÕES'!$AH$894,'DADOS_FORMAS'!$AM8='INVOCAÇÕES'!$AI$894,'DADOS_FORMAS'!$AM8='INVOCAÇÕES'!$AJ$894,'DADOS_FORMAS'!$AM8='INVOCAÇÕES'!$AK$894,'DADOS_FORMAS'!$AM8=""),'DADOS_FORMAS'!$AR8),'DADOS_FORMAS'!$AH8,"")</f>
        <v/>
      </c>
      <c r="JO8">
        <f>IF(OR('DADOS_FORMAS'!$AM8='INVOCAÇÕES'!$AH$1103,'DADOS_FORMAS'!$AM8='INVOCAÇÕES'!$AI$1103,'DADOS_FORMAS'!$AM8='INVOCAÇÕES'!$AJ$1103,'DADOS_FORMAS'!$AM8='INVOCAÇÕES'!$AK$1103,'DADOS_FORMAS'!$AM8='INVOCAÇÕES'!$AL$1103,'DADOS_FORMAS'!$AM8='INVOCAÇÕES'!$AH$1105,'DADOS_FORMAS'!$AM8='INVOCAÇÕES'!$AI$1105,'DADOS_FORMAS'!$AM8='INVOCAÇÕES'!$AJ$1105,'DADOS_FORMAS'!$AM8='INVOCAÇÕES'!$AK$1105,'DADOS_FORMAS'!$AM8=""),'DADOS_FORMAS'!$AH8,"")</f>
        <v/>
      </c>
      <c r="JP8">
        <f>IF(AND(OR('DADOS_FORMAS'!$AM8='INVOCAÇÕES'!$AH$1103,'DADOS_FORMAS'!$AM8='INVOCAÇÕES'!$AI$1103,'DADOS_FORMAS'!$AM8='INVOCAÇÕES'!$AJ$1103,'DADOS_FORMAS'!$AM8='INVOCAÇÕES'!$AK$1103,'DADOS_FORMAS'!$AM8='INVOCAÇÕES'!$AL$1103,'DADOS_FORMAS'!$AM8='INVOCAÇÕES'!$AH$1105,'DADOS_FORMAS'!$AM8='INVOCAÇÕES'!$AI$1105,'DADOS_FORMAS'!$AM8='INVOCAÇÕES'!$AJ$1105,'DADOS_FORMAS'!$AM8='INVOCAÇÕES'!$AK$1105,'DADOS_FORMAS'!$AM8=""),'DADOS_FORMAS'!$AR8),'DADOS_FORMAS'!$AH8,"")</f>
        <v/>
      </c>
      <c r="JR8" t="inlineStr">
        <is>
          <t>Linha</t>
        </is>
      </c>
      <c r="JZ8">
        <f>IFERROR(INDEX('DADOS_CRIACAO'!$H$2:$H$20,6),"")</f>
        <v/>
      </c>
      <c r="KA8">
        <f>IFERROR(INDEX(INDEX('DADOS_RESTRICOES'!$M$2:$Q$54,0,1),6),"")</f>
        <v/>
      </c>
    </row>
    <row r="9">
      <c r="A9">
        <f>IF(ISBLANK('CONFIGURAÇÃO'!$FH$152),"",'CONFIGURAÇÃO'!$FH$152)</f>
        <v/>
      </c>
      <c r="B9">
        <f>IF(ISBLANK('CONFIGURAÇÃO'!$FH$154),"",'CONFIGURAÇÃO'!$FH$154)</f>
        <v/>
      </c>
      <c r="C9">
        <f>IF(ISBLANK('CONFIGURAÇÃO'!$FK$155),"",'CONFIGURAÇÃO'!$FK$155)</f>
        <v/>
      </c>
      <c r="D9">
        <f>IF(ISBLANK('CONFIGURAÇÃO'!$FL$152),"",'CONFIGURAÇÃO'!$FL$152)</f>
        <v/>
      </c>
      <c r="E9">
        <f>IF(ISBLANK('CONFIGURAÇÃO'!$FH$181),"",'CONFIGURAÇÃO'!$FH$181)</f>
        <v/>
      </c>
      <c r="F9">
        <f>IF(ISBLANK('CONFIGURAÇÃO'!$FH$187),"",'CONFIGURAÇÃO'!$FH$187)</f>
        <v/>
      </c>
      <c r="G9">
        <f>IF(ISBLANK('CONFIGURAÇÃO'!$FK$156),"",'CONFIGURAÇÃO'!$FK$156)</f>
        <v/>
      </c>
      <c r="H9">
        <f>IF(ISBLANK('CONFIGURAÇÃO'!$FK$157),"",'CONFIGURAÇÃO'!$FK$157)</f>
        <v/>
      </c>
      <c r="I9">
        <f>IF(ISBLANK('CONFIGURAÇÃO'!$FK$158),"",'CONFIGURAÇÃO'!$FK$158)</f>
        <v/>
      </c>
      <c r="J9">
        <f>IF(ISBLANK('CONFIGURAÇÃO'!$FK$159),"",'CONFIGURAÇÃO'!$FK$159)</f>
        <v/>
      </c>
      <c r="K9">
        <f>IF(ISBLANK('CONFIGURAÇÃO'!$FK$160),"",'CONFIGURAÇÃO'!$FK$160)</f>
        <v/>
      </c>
      <c r="L9">
        <f>IF(ISBLANK('CONFIGURAÇÃO'!$FK$161),"",'CONFIGURAÇÃO'!$FK$161)</f>
        <v/>
      </c>
      <c r="M9">
        <f>IF(ISBLANK('CONFIGURAÇÃO'!$FK$162),"",'CONFIGURAÇÃO'!$FK$162)</f>
        <v/>
      </c>
      <c r="N9">
        <f>IF(ISBLANK('CONFIGURAÇÃO'!$FK$163),"",'CONFIGURAÇÃO'!$FK$163)</f>
        <v/>
      </c>
      <c r="O9">
        <f>IF(ISBLANK('CONFIGURAÇÃO'!$FK$164),"",'CONFIGURAÇÃO'!$FK$164)</f>
        <v/>
      </c>
      <c r="P9">
        <f>IF(ISBLANK('CONFIGURAÇÃO'!$FK$165),"",'CONFIGURAÇÃO'!$FK$165)</f>
        <v/>
      </c>
      <c r="Q9">
        <f>IF(ISBLANK('CONFIGURAÇÃO'!$FK$166),"",'CONFIGURAÇÃO'!$FK$166)</f>
        <v/>
      </c>
      <c r="R9">
        <f>IF(ISBLANK('CONFIGURAÇÃO'!$FK$167),"",'CONFIGURAÇÃO'!$FK$167)</f>
        <v/>
      </c>
      <c r="S9">
        <f>IF(ISBLANK('CONFIGURAÇÃO'!$FK$168),"",'CONFIGURAÇÃO'!$FK$168)</f>
        <v/>
      </c>
      <c r="T9">
        <f>IF(ISBLANK('CONFIGURAÇÃO'!$FK$169),"",'CONFIGURAÇÃO'!$FK$169)</f>
        <v/>
      </c>
      <c r="U9">
        <f>IF(ISBLANK('CONFIGURAÇÃO'!$FK$170),"",'CONFIGURAÇÃO'!$FK$170)</f>
        <v/>
      </c>
      <c r="V9">
        <f>IF(ISBLANK('CONFIGURAÇÃO'!$FK$171),"",'CONFIGURAÇÃO'!$FK$171)</f>
        <v/>
      </c>
      <c r="W9">
        <f>IF(ISBLANK('CONFIGURAÇÃO'!$FK$172),"",'CONFIGURAÇÃO'!$FK$172)</f>
        <v/>
      </c>
      <c r="X9">
        <f>IF(ISBLANK('CONFIGURAÇÃO'!$FK$173),"",'CONFIGURAÇÃO'!$FK$173)</f>
        <v/>
      </c>
      <c r="Y9">
        <f>IF(ISBLANK('CONFIGURAÇÃO'!$FK$174),"",'CONFIGURAÇÃO'!$FK$174)</f>
        <v/>
      </c>
      <c r="Z9">
        <f>IF(ISBLANK('CONFIGURAÇÃO'!$FK$175),"",'CONFIGURAÇÃO'!$FK$175)</f>
        <v/>
      </c>
      <c r="AA9">
        <f>IF(ISBLANK('CONFIGURAÇÃO'!$FK$176),"",'CONFIGURAÇÃO'!$FK$176)</f>
        <v/>
      </c>
      <c r="AB9">
        <f>IF(ISBLANK('CONFIGURAÇÃO'!$FK$177),"",'CONFIGURAÇÃO'!$FK$177)</f>
        <v/>
      </c>
      <c r="AC9">
        <f>IF(ISBLANK('CONFIGURAÇÃO'!$FK$178),"",'CONFIGURAÇÃO'!$FK$178)</f>
        <v/>
      </c>
      <c r="AD9">
        <f>IF($AF9,TEXTJOIN(" · ",TRUE,$DJ9:$FH9),"")</f>
        <v/>
      </c>
      <c r="AE9">
        <f>IF(OR($C9="",$C9="Nenhuma"),0,IFERROR(MATCH(SUBSTITUTE(SUBSTITUTE(SUBSTITUTE($C9,"~","~~"),"*","~*"),"?","~?"),'DADOS_FORMAS'!$AH$2:$AH$11,0),-1))</f>
        <v/>
      </c>
      <c r="AF9">
        <f>OR($B9&lt;&gt;"",$C9&lt;&gt;"",$E9&lt;&gt;"",$F9&lt;&gt;"",$G9&lt;&gt;"",$H9&lt;&gt;"",$I9&lt;&gt;"",$J9&lt;&gt;"",$K9&lt;&gt;"",$L9&lt;&gt;"",$M9&lt;&gt;"",$N9&lt;&gt;"",$O9&lt;&gt;"",$P9&lt;&gt;"",$Q9&lt;&gt;"",$R9&lt;&gt;"",$S9&lt;&gt;"",$T9&lt;&gt;"",$U9&lt;&gt;"",$V9&lt;&gt;"",$W9&lt;&gt;"",$X9&lt;&gt;"",$Y9&lt;&gt;"",$Z9&lt;&gt;"",$AA9&lt;&gt;"",$AB9&lt;&gt;"",$AC9&lt;&gt;"",AND($D9&lt;&gt;"",$D9&lt;&gt;FALSE),AND($A9&lt;&gt;"",$A9&lt;&gt;"Forma"))</f>
        <v/>
      </c>
      <c r="AG9" t="inlineStr">
        <is>
          <t>Forma</t>
        </is>
      </c>
      <c r="AH9" t="inlineStr">
        <is>
          <t>Apoio</t>
        </is>
      </c>
      <c r="AI9">
        <f>""</f>
        <v/>
      </c>
      <c r="AJ9" t="b">
        <v>0</v>
      </c>
      <c r="AK9">
        <f>""</f>
        <v/>
      </c>
      <c r="AL9" t="inlineStr">
        <is>
          <t>Um aliado a até 9 m. Cada ponto do saldo concede 3 pontos de vida temporária.</t>
        </is>
      </c>
      <c r="AM9" t="inlineStr">
        <is>
          <t>Amparo</t>
        </is>
      </c>
      <c r="AN9" t="b">
        <v>0</v>
      </c>
      <c r="AO9" t="inlineStr">
        <is>
          <t>Automático</t>
        </is>
      </c>
      <c r="AP9" t="n">
        <v>2</v>
      </c>
      <c r="AQ9" t="b">
        <v>0</v>
      </c>
      <c r="AR9" t="b">
        <v>1</v>
      </c>
      <c r="AS9">
        <f>""</f>
        <v/>
      </c>
      <c r="AT9" t="inlineStr">
        <is>
          <t>alcance</t>
        </is>
      </c>
      <c r="AU9" t="inlineStr">
        <is>
          <t>Fixo</t>
        </is>
      </c>
      <c r="AV9" t="inlineStr">
        <is>
          <t>4,5 m</t>
        </is>
      </c>
      <c r="AW9" t="inlineStr">
        <is>
          <t>9 m</t>
        </is>
      </c>
      <c r="AX9" t="inlineStr">
        <is>
          <t>18 m</t>
        </is>
      </c>
      <c r="AY9" t="inlineStr">
        <is>
          <t>4,5 m</t>
        </is>
      </c>
      <c r="AZ9" t="inlineStr">
        <is>
          <t>9 m</t>
        </is>
      </c>
      <c r="BA9" t="inlineStr">
        <is>
          <t>18 m</t>
        </is>
      </c>
      <c r="BB9" t="inlineStr">
        <is>
          <t>18 m</t>
        </is>
      </c>
      <c r="BC9">
        <f>""</f>
        <v/>
      </c>
      <c r="BD9">
        <f>""</f>
        <v/>
      </c>
      <c r="BE9">
        <f>""</f>
        <v/>
      </c>
      <c r="BF9">
        <f>""</f>
        <v/>
      </c>
      <c r="BG9">
        <f>""</f>
        <v/>
      </c>
      <c r="BH9">
        <f>""</f>
        <v/>
      </c>
      <c r="BI9">
        <f>""</f>
        <v/>
      </c>
      <c r="BJ9" t="inlineStr">
        <is>
          <t>Apoio</t>
        </is>
      </c>
      <c r="BK9" t="b">
        <v>0</v>
      </c>
      <c r="BL9" t="inlineStr">
        <is>
          <t>alcance</t>
        </is>
      </c>
      <c r="BM9" t="inlineStr">
        <is>
          <t xml:space="preserve">um aliado a </t>
        </is>
      </c>
      <c r="BN9">
        <f>""</f>
        <v/>
      </c>
      <c r="BO9" t="b">
        <v>1</v>
      </c>
      <c r="BP9">
        <f>""</f>
        <v/>
      </c>
      <c r="BQ9">
        <f>""</f>
        <v/>
      </c>
      <c r="BR9">
        <f>""</f>
        <v/>
      </c>
      <c r="BS9" t="b">
        <v>0</v>
      </c>
      <c r="BV9">
        <f>IF($A9="",IF($AE9&gt;0,INDEX('DADOS_FORMAS'!$AG$2:$AG$11,MAX(1,$AE9)),"Forma"),$A9)</f>
        <v/>
      </c>
      <c r="BW9">
        <f>IF($B9="",IF($AE9&gt;0,INDEX('DADOS_FORMAS'!$AH$2:$AH$11,MAX(1,$AE9)),""),$B9)</f>
        <v/>
      </c>
      <c r="BX9">
        <f>IF($C9="",IF($AE9&gt;0,INDEX('DADOS_FORMAS'!$AI$2:$AI$11,MAX(1,$AE9)),""),$C9)</f>
        <v/>
      </c>
      <c r="BY9">
        <f>IF($D9="",IF($AE9&gt;0,INDEX('DADOS_FORMAS'!$AJ$2:$AJ$11,MAX(1,$AE9)),FALSE),$D9)</f>
        <v/>
      </c>
      <c r="BZ9">
        <f>IF($E9="",IF($AE9&gt;0,INDEX('DADOS_FORMAS'!$AK$2:$AK$11,MAX(1,$AE9)),""),$E9)</f>
        <v/>
      </c>
      <c r="CA9">
        <f>IF($F9="",IF($AE9&gt;0,INDEX('DADOS_FORMAS'!$AL$2:$AL$11,MAX(1,$AE9)),""),$F9)</f>
        <v/>
      </c>
      <c r="CB9">
        <f>IF($G9="Nenhuma","",IF($G9="",IF($AE9&gt;0,INDEX('DADOS_FORMAS'!$AM$2:$AM$11,MAX(1,$AE9)),""),$G9))</f>
        <v/>
      </c>
      <c r="CC9">
        <f>IF($H9="",IF($AE9&gt;0,INDEX('DADOS_FORMAS'!$AN$2:$AN$11,MAX(1,$AE9)),""),IF($H9="Sem custo",0,IF($H9="Leve",1,IF($H9="Média",2,IF($H9="Pesada",3,$H9)))))</f>
        <v/>
      </c>
      <c r="CD9">
        <f>IF($I9="",IF($AE9&gt;0,INDEX('DADOS_FORMAS'!$AO$2:$AO$11,MAX(1,$AE9)),""),$I9)</f>
        <v/>
      </c>
      <c r="CE9">
        <f>IF($J9="",IF($AE9&gt;0,INDEX('DADOS_FORMAS'!$AP$2:$AP$11,MAX(1,$AE9)),""),IF($J9="Dano",0,IF($J9="Cura",1,IF($J9="Vida temporária",2,IF($J9="Efeito",3,$J9)))))</f>
        <v/>
      </c>
      <c r="CF9">
        <f>IF($K9="",IF($AE9&gt;0,INDEX('DADOS_FORMAS'!$AQ$2:$AQ$11,MAX(1,$AE9)),""),IF($K9="Sim",TRUE,IF($K9="Não",FALSE,$K9)))</f>
        <v/>
      </c>
      <c r="CG9">
        <f>IF($L9="",IF($AE9&gt;0,INDEX('DADOS_FORMAS'!$AR$2:$AR$11,MAX(1,$AE9)),""),IF($L9="Sim",TRUE,IF($L9="Não",FALSE,$L9)))</f>
        <v/>
      </c>
      <c r="CH9">
        <f>IF($M9="Nenhuma","",IF($M9="",IF($AE9&gt;0,INDEX('DADOS_FORMAS'!$AS$2:$AS$11,MAX(1,$AE9)),""),$M9))</f>
        <v/>
      </c>
      <c r="CI9">
        <f>IF($N9="",IF($AE9&gt;0,INDEX('DADOS_FORMAS'!$AT$2:$AT$11,MAX(1,$AE9)),"Fixo"),$N9)</f>
        <v/>
      </c>
      <c r="CJ9">
        <f>IF($O9="",IF($AE9&gt;0,INDEX('DADOS_FORMAS'!$AU$2:$AU$11,MAX(1,$AE9)),"Fixo"),$O9)</f>
        <v/>
      </c>
      <c r="CK9">
        <f>IF($P9="",IF($AE9&gt;0,INDEX('DADOS_FORMAS'!$AV$2:$AV$11,MAX(1,$AE9)),""),$P9)</f>
        <v/>
      </c>
      <c r="CL9">
        <f>IF($Q9="",IF($AE9&gt;0,INDEX('DADOS_FORMAS'!$AW$2:$AW$11,MAX(1,$AE9)),""),$Q9)</f>
        <v/>
      </c>
      <c r="CM9">
        <f>IF($R9="",IF($AE9&gt;0,INDEX('DADOS_FORMAS'!$AX$2:$AX$11,MAX(1,$AE9)),""),$R9)</f>
        <v/>
      </c>
      <c r="CN9">
        <f>IF($S9="",IF($AE9&gt;0,INDEX('DADOS_FORMAS'!$AY$2:$AY$11,MAX(1,$AE9)),""),$S9)</f>
        <v/>
      </c>
      <c r="CO9">
        <f>IF($T9="",IF($AE9&gt;0,INDEX('DADOS_FORMAS'!$AZ$2:$AZ$11,MAX(1,$AE9)),""),$T9)</f>
        <v/>
      </c>
      <c r="CP9">
        <f>IF($U9="",IF($AE9&gt;0,INDEX('DADOS_FORMAS'!$BA$2:$BA$11,MAX(1,$AE9)),""),$U9)</f>
        <v/>
      </c>
      <c r="CQ9">
        <f>IF($V9="",IF($AE9&gt;0,INDEX('DADOS_FORMAS'!$BB$2:$BB$11,MAX(1,$AE9)),""),$V9)</f>
        <v/>
      </c>
      <c r="CR9">
        <f>IF($W9="",IF($AE9&gt;0,INDEX('DADOS_FORMAS'!$BC$2:$BC$11,MAX(1,$AE9)),""),$W9)</f>
        <v/>
      </c>
      <c r="CS9">
        <f>IF($X9="",IF($AE9&gt;0,INDEX('DADOS_FORMAS'!$BD$2:$BD$11,MAX(1,$AE9)),""),$X9)</f>
        <v/>
      </c>
      <c r="CT9">
        <f>IF($Y9="",IF($AE9&gt;0,INDEX('DADOS_FORMAS'!$BE$2:$BE$11,MAX(1,$AE9)),""),$Y9)</f>
        <v/>
      </c>
      <c r="CU9">
        <f>IF($Z9="",IF($AE9&gt;0,INDEX('DADOS_FORMAS'!$BF$2:$BF$11,MAX(1,$AE9)),""),$Z9)</f>
        <v/>
      </c>
      <c r="CV9">
        <f>IF($AA9="",IF($AE9&gt;0,INDEX('DADOS_FORMAS'!$BG$2:$BG$11,MAX(1,$AE9)),""),$AA9)</f>
        <v/>
      </c>
      <c r="CW9">
        <f>IF($AB9="",IF($AE9&gt;0,INDEX('DADOS_FORMAS'!$BH$2:$BH$11,MAX(1,$AE9)),""),$AB9)</f>
        <v/>
      </c>
      <c r="CX9">
        <f>IF($AC9="",IF($AE9&gt;0,INDEX('DADOS_FORMAS'!$BI$2:$BI$11,MAX(1,$AE9)),""),$AC9)</f>
        <v/>
      </c>
      <c r="CY9">
        <f>IF($AE9&gt;0,INDEX('DADOS_FORMAS'!$BJ$2:$BJ$11,MAX(1,$AE9)),"")</f>
        <v/>
      </c>
      <c r="CZ9">
        <f>IF($AE9&gt;0,INDEX('DADOS_FORMAS'!$BK$2:$BK$11,MAX(1,$AE9)),0)</f>
        <v/>
      </c>
      <c r="DA9">
        <f>IF($AE9&gt;0,INDEX('DADOS_FORMAS'!$BL$2:$BL$11,MAX(1,$AE9)),"alcance")</f>
        <v/>
      </c>
      <c r="DB9">
        <f>IF($AE9&gt;0,INDEX('DADOS_FORMAS'!$BM$2:$BM$11,MAX(1,$AE9)),"")</f>
        <v/>
      </c>
      <c r="DC9">
        <f>IF($AE9&gt;0,INDEX('DADOS_FORMAS'!$BN$2:$BN$11,MAX(1,$AE9)),"")</f>
        <v/>
      </c>
      <c r="DD9">
        <f>IF($AE9&gt;0,INDEX('DADOS_FORMAS'!$BO$2:$BO$11,MAX(1,$AE9)),1)</f>
        <v/>
      </c>
      <c r="DE9">
        <f>IF(AND($AE9&gt;0,INDEX('DADOS_FORMAS'!$BP$2:$BP$11,MAX(1,$AE9))=""),IF(AND(INDEX('DADOS_FORMAS'!$BL$2:$BL$11,MAX(1,$AE9))="alcance",OR($W9&lt;&gt;"",$X9&lt;&gt;"",$Y9&lt;&gt;"",$Z9&lt;&gt;"",$AA9&lt;&gt;"",$AB9&lt;&gt;"",$AC9&lt;&gt;"")),"area",IF(AND(INDEX('DADOS_FORMAS'!$BL$2:$BL$11,MAX(1,$AE9))="area",OR($P9&lt;&gt;"",$Q9&lt;&gt;"",$R9&lt;&gt;"",$S9&lt;&gt;"",$T9&lt;&gt;"",$U9&lt;&gt;"",$V9&lt;&gt;"")),"alcance","")),IF($AE9&gt;0,INDEX('DADOS_FORMAS'!$BP$2:$BP$11,MAX(1,$AE9)),"area"))</f>
        <v/>
      </c>
      <c r="DF9">
        <f>IF(AND($AE9&gt;0,INDEX('DADOS_FORMAS'!$BP$2:$BP$11,MAX(1,$AE9))=""),IF(IF(AND(INDEX('DADOS_FORMAS'!$BL$2:$BL$11,MAX(1,$AE9))="alcance",OR($W9&lt;&gt;"",$X9&lt;&gt;"",$Y9&lt;&gt;"",$Z9&lt;&gt;"",$AA9&lt;&gt;"",$AB9&lt;&gt;"",$AC9&lt;&gt;"")),"area",IF(AND(INDEX('DADOS_FORMAS'!$BL$2:$BL$11,MAX(1,$AE9))="area",OR($P9&lt;&gt;"",$Q9&lt;&gt;"",$R9&lt;&gt;"",$S9&lt;&gt;"",$T9&lt;&gt;"",$U9&lt;&gt;"",$V9&lt;&gt;"")),"alcance",""))="alcance"," · alcance ",IF(IF(AND(INDEX('DADOS_FORMAS'!$BL$2:$BL$11,MAX(1,$AE9))="alcance",OR($W9&lt;&gt;"",$X9&lt;&gt;"",$Y9&lt;&gt;"",$Z9&lt;&gt;"",$AA9&lt;&gt;"",$AB9&lt;&gt;"",$AC9&lt;&gt;"")),"area",IF(AND(INDEX('DADOS_FORMAS'!$BL$2:$BL$11,MAX(1,$AE9))="area",OR($P9&lt;&gt;"",$Q9&lt;&gt;"",$R9&lt;&gt;"",$S9&lt;&gt;"",$T9&lt;&gt;"",$U9&lt;&gt;"",$V9&lt;&gt;"")),"alcance",""))="area"," · área ","")),IF($AE9&gt;0,INDEX('DADOS_FORMAS'!$BQ$2:$BQ$11,MAX(1,$AE9))," · área "))</f>
        <v/>
      </c>
      <c r="DG9">
        <f>IF(AND($AE9&gt;0,INDEX('DADOS_FORMAS'!$BP$2:$BP$11,MAX(1,$AE9))=""),"",IF($AE9&gt;0,INDEX('DADOS_FORMAS'!$BR$2:$BR$11,MAX(1,$AE9)),""))</f>
        <v/>
      </c>
      <c r="DH9">
        <f>IF(AND($AE9&gt;0,INDEX('DADOS_FORMAS'!$BP$2:$BP$11,MAX(1,$AE9))=""),IF(IF(AND(INDEX('DADOS_FORMAS'!$BL$2:$BL$11,MAX(1,$AE9))="alcance",OR($W9&lt;&gt;"",$X9&lt;&gt;"",$Y9&lt;&gt;"",$Z9&lt;&gt;"",$AA9&lt;&gt;"",$AB9&lt;&gt;"",$AC9&lt;&gt;"")),"area",IF(AND(INDEX('DADOS_FORMAS'!$BL$2:$BL$11,MAX(1,$AE9))="area",OR($P9&lt;&gt;"",$Q9&lt;&gt;"",$R9&lt;&gt;"",$S9&lt;&gt;"",$T9&lt;&gt;"",$U9&lt;&gt;"",$V9&lt;&gt;"")),"alcance",""))="",0,IF(IF(AND(INDEX('DADOS_FORMAS'!$BL$2:$BL$11,MAX(1,$AE9))="alcance",OR($W9&lt;&gt;"",$X9&lt;&gt;"",$Y9&lt;&gt;"",$Z9&lt;&gt;"",$AA9&lt;&gt;"",$AB9&lt;&gt;"",$AC9&lt;&gt;"")),"area",IF(AND(INDEX('DADOS_FORMAS'!$BL$2:$BL$11,MAX(1,$AE9))="area",OR($P9&lt;&gt;"",$Q9&lt;&gt;"",$R9&lt;&gt;"",$S9&lt;&gt;"",$T9&lt;&gt;"",$U9&lt;&gt;"",$V9&lt;&gt;"")),"alcance",""))="alcance",1,IF($O9="comprimento",3,2))),IF($AE9&gt;0,INDEX('DADOS_FORMAS'!$BS$2:$BS$11,MAX(1,$AE9)),IF($O9="comprimento",3,2)))</f>
        <v/>
      </c>
      <c r="DJ9">
        <f>IF(AND(ISTEXT($B9),$B9&lt;&gt;"",TRIM($B9)=$B9),"","NOME precisa ser texto sem espaços nas pontas")</f>
        <v/>
      </c>
      <c r="DK9">
        <f>IF(COUNTIF('DADOS_FORMAS'!$B$2:$B$11,SUBSTITUTE(SUBSTITUTE(SUBSTITUTE($B9,"~","~~"),"*","~*"),"?","~?"))+COUNTIF('DADOS_FORMAS'!$AH$2:$AH$11,SUBSTITUTE(SUBSTITUTE(SUBSTITUTE($B9,"~","~~"),"*","~*"),"?","~?"))=1,"","Nome repetido no livro ou custom")</f>
        <v/>
      </c>
      <c r="DL9">
        <f>IF($AE9&gt;=0,"","BASE DO LIVRO inválida para o grupo")</f>
        <v/>
      </c>
      <c r="DM9">
        <f>IF(OR($BV9="Forma"),"","TIPO inválido para o grupo")</f>
        <v/>
      </c>
      <c r="DN9">
        <f>IF(ISLOGICAL($BY9),"","MESTRE VIU precisa ser caixa de seleção")</f>
        <v/>
      </c>
      <c r="DO9">
        <f>IF(ISTEXT($CA9),"","EFEITO precisa ser texto")</f>
        <v/>
      </c>
      <c r="DP9">
        <f>IF(ISTEXT($BZ9),"","REQUISITOS precisa ser texto")</f>
        <v/>
      </c>
      <c r="DQ9">
        <f>IF(IFERROR(AND(ISNUMBER($CC9),NOT(ISLOGICAL($CC9)),$CC9=INT($CC9),$CC9&gt;=0,$CC9&lt;=3),FALSE),"","PESO exige 0/1/2/3")</f>
        <v/>
      </c>
      <c r="DR9">
        <f>IF(IFERROR(AND(ISNUMBER($CE9),NOT(ISLOGICAL($CE9)),$CE9=INT($CE9),$CE9&gt;=0,$CE9&lt;=3),FALSE),"","RESULTADO exige 0/1/2/3")</f>
        <v/>
      </c>
      <c r="DS9">
        <f>IF(ISLOGICAL($CF9),"","EXIGE_TR exige Sim/Não")</f>
        <v/>
      </c>
      <c r="DT9">
        <f>IF(ISLOGICAL($CG9),"","CLASSE_0 exige Sim/Não")</f>
        <v/>
      </c>
      <c r="DU9">
        <f>IF(OR($CD9="Acerto",$CD9="TR, metade",$CD9="Automático"),"","RESOLUÇÃO inválida")</f>
        <v/>
      </c>
      <c r="DV9">
        <f>IF(OR($CB9="",COUNTIF('DADOS_CRIACAO'!$H$2:$H$20,SUBSTITUTE(SUBSTITUTE(SUBSTITUTE($CB9,"~","~~"),"*","~*"),"?","~?"))&gt;0),"","FAMÍLIA não cadastrada ou inválida")</f>
        <v/>
      </c>
      <c r="DW9">
        <f>IF(OR($CH9="",IFERROR(MATCH(SUBSTITUTE(SUBSTITUTE(SUBSTITUTE($CH9,"~","~~"),"*","~*"),"?","~?"),INDEX('DADOS_RESTRICOES'!$M$2:$Q$54,0,1),0),0)&gt;0),"","RESTRIÇÃO EMBUTIDA inválida")</f>
        <v/>
      </c>
      <c r="DX9">
        <f>IF(OR($CI9="Fixo",$CI9="alcance"),"","ESCADA inválida para alcance")</f>
        <v/>
      </c>
      <c r="DY9">
        <f>IF(OR(NOT(AND($CG9,OR($DA9="alcance",$DE9="alcance"))),$CK9&lt;&gt;""),"","Base de alcance ausente: personagem/classe_0")</f>
        <v/>
      </c>
      <c r="DZ9">
        <f>IF(ISTEXT($CK9),"","Base precisa ser texto: alcance/personagem/classe_0")</f>
        <v/>
      </c>
      <c r="EA9">
        <f>IF(OR(NOT(AND($CG9,OR($DA9="alcance",$DE9="alcance"))),$CI9="Fixo",$CK9="",$CK9="—",AND(RIGHT($CK9,2)=" m",IFERROR(VALUE(SUBSTITUTE(LEFT($CK9,MAX(0,LEN($CK9)-2)),",",""))/10^IFERROR(LEN(LEFT($CK9,MAX(0,LEN($CK9)-2)))-FIND(",",LEFT($CK9,MAX(0,LEN($CK9)-2))),0),-1)&gt;0)),"","Base incompatível com escada: alcance/personagem/classe_0")</f>
        <v/>
      </c>
      <c r="EB9">
        <f>IF(OR(NOT(OR($DA9="alcance",$DE9="alcance")),$CL9&lt;&gt;""),"","Base de alcance ausente: personagem/classes_1_a_5")</f>
        <v/>
      </c>
      <c r="EC9">
        <f>IF(ISTEXT($CL9),"","Base precisa ser texto: alcance/personagem/classes_1_a_5")</f>
        <v/>
      </c>
      <c r="ED9">
        <f>IF(OR(NOT(OR($DA9="alcance",$DE9="alcance")),$CI9="Fixo",$CL9="",$CL9="—",AND(RIGHT($CL9,2)=" m",IFERROR(VALUE(SUBSTITUTE(LEFT($CL9,MAX(0,LEN($CL9)-2)),",",""))/10^IFERROR(LEN(LEFT($CL9,MAX(0,LEN($CL9)-2)))-FIND(",",LEFT($CL9,MAX(0,LEN($CL9)-2))),0),-1)&gt;0)),"","Base incompatível com escada: alcance/personagem/classes_1_a_5")</f>
        <v/>
      </c>
      <c r="EE9">
        <f>IF(OR(NOT(OR($DA9="alcance",$DE9="alcance")),$CM9&lt;&gt;""),"","Base de alcance ausente: personagem/classes_6_e_7")</f>
        <v/>
      </c>
      <c r="EF9">
        <f>IF(ISTEXT($CM9),"","Base precisa ser texto: alcance/personagem/classes_6_e_7")</f>
        <v/>
      </c>
      <c r="EG9">
        <f>IF(OR(NOT(OR($DA9="alcance",$DE9="alcance")),$CI9="Fixo",$CM9="",$CM9="—",AND(RIGHT($CM9,2)=" m",IFERROR(VALUE(SUBSTITUTE(LEFT($CM9,MAX(0,LEN($CM9)-2)),",",""))/10^IFERROR(LEN(LEFT($CM9,MAX(0,LEN($CM9)-2)))-FIND(",",LEFT($CM9,MAX(0,LEN($CM9)-2))),0),-1)&gt;0)),"","Base incompatível com escada: alcance/personagem/classes_6_e_7")</f>
        <v/>
      </c>
      <c r="EH9">
        <f>IF(OR(NOT(AND($CG9,OR($DA9="alcance",$DE9="alcance"))),$CN9&lt;&gt;""),"","Base de alcance ausente: entidade/classe_0")</f>
        <v/>
      </c>
      <c r="EI9">
        <f>IF(ISTEXT($CN9),"","Base precisa ser texto: alcance/entidade/classe_0")</f>
        <v/>
      </c>
      <c r="EJ9">
        <f>IF(OR(NOT(AND($CG9,OR($DA9="alcance",$DE9="alcance"))),$CI9="Fixo",$CN9="",$CN9="—",AND(RIGHT($CN9,2)=" m",IFERROR(VALUE(SUBSTITUTE(LEFT($CN9,MAX(0,LEN($CN9)-2)),",",""))/10^IFERROR(LEN(LEFT($CN9,MAX(0,LEN($CN9)-2)))-FIND(",",LEFT($CN9,MAX(0,LEN($CN9)-2))),0),-1)&gt;0)),"","Base incompatível com escada: alcance/entidade/classe_0")</f>
        <v/>
      </c>
      <c r="EK9">
        <f>IF(OR(NOT(OR($DA9="alcance",$DE9="alcance")),$CO9&lt;&gt;""),"","Base de alcance ausente: entidade/classes_1_a_5")</f>
        <v/>
      </c>
      <c r="EL9">
        <f>IF(ISTEXT($CO9),"","Base precisa ser texto: alcance/entidade/classes_1_a_5")</f>
        <v/>
      </c>
      <c r="EM9">
        <f>IF(OR(NOT(OR($DA9="alcance",$DE9="alcance")),$CI9="Fixo",$CO9="",$CO9="—",AND(RIGHT($CO9,2)=" m",IFERROR(VALUE(SUBSTITUTE(LEFT($CO9,MAX(0,LEN($CO9)-2)),",",""))/10^IFERROR(LEN(LEFT($CO9,MAX(0,LEN($CO9)-2)))-FIND(",",LEFT($CO9,MAX(0,LEN($CO9)-2))),0),-1)&gt;0)),"","Base incompatível com escada: alcance/entidade/classes_1_a_5")</f>
        <v/>
      </c>
      <c r="EN9">
        <f>IF(OR(NOT(OR($DA9="alcance",$DE9="alcance")),$CP9&lt;&gt;""),"","Base de alcance ausente: entidade/classe_6")</f>
        <v/>
      </c>
      <c r="EO9">
        <f>IF(ISTEXT($CP9),"","Base precisa ser texto: alcance/entidade/classe_6")</f>
        <v/>
      </c>
      <c r="EP9">
        <f>IF(OR(NOT(OR($DA9="alcance",$DE9="alcance")),$CI9="Fixo",$CP9="",$CP9="—",AND(RIGHT($CP9,2)=" m",IFERROR(VALUE(SUBSTITUTE(LEFT($CP9,MAX(0,LEN($CP9)-2)),",",""))/10^IFERROR(LEN(LEFT($CP9,MAX(0,LEN($CP9)-2)))-FIND(",",LEFT($CP9,MAX(0,LEN($CP9)-2))),0),-1)&gt;0)),"","Base incompatível com escada: alcance/entidade/classe_6")</f>
        <v/>
      </c>
      <c r="EQ9">
        <f>IF(OR(NOT(OR($DA9="alcance",$DE9="alcance")),$CQ9&lt;&gt;""),"","Base de alcance ausente: entidade/classe_7")</f>
        <v/>
      </c>
      <c r="ER9">
        <f>IF(ISTEXT($CQ9),"","Base precisa ser texto: alcance/entidade/classe_7")</f>
        <v/>
      </c>
      <c r="ES9">
        <f>IF(OR(NOT(OR($DA9="alcance",$DE9="alcance")),$CI9="Fixo",$CQ9="",$CQ9="—",AND(RIGHT($CQ9,2)=" m",IFERROR(VALUE(SUBSTITUTE(LEFT($CQ9,MAX(0,LEN($CQ9)-2)),",",""))/10^IFERROR(LEN(LEFT($CQ9,MAX(0,LEN($CQ9)-2)))-FIND(",",LEFT($CQ9,MAX(0,LEN($CQ9)-2))),0),-1)&gt;0)),"","Base incompatível com escada: alcance/entidade/classe_7")</f>
        <v/>
      </c>
      <c r="ET9">
        <f>IF(OR($CJ9="Fixo",$CJ9="raio",$CJ9="comprimento"),"","ESCADA inválida para area")</f>
        <v/>
      </c>
      <c r="EU9">
        <f>IF(ISTEXT($CR9),"","Base precisa ser texto: area/personagem/classe_0")</f>
        <v/>
      </c>
      <c r="EV9">
        <f>IF(OR(NOT(AND($CG9,OR($DA9="area",$DE9="area"))),$CJ9="Fixo",$CR9="",$CR9="—",AND(AND(AND(RIGHT($CR9,2)=" m",IFERROR(VALUE(SUBSTITUTE(LEFT($CR9,MAX(0,LEN($CR9)-2)),",",""))/10^IFERROR(LEN(LEFT($CR9,MAX(0,LEN($CR9)-2)))-FIND(",",LEFT($CR9,MAX(0,LEN($CR9)-2))),0),-1)&gt;0),OR($CJ9&lt;&gt;"raio",IFERROR(VALUE(SUBSTITUTE(LEFT($CR9,MAX(0,LEN($CR9)-2)),",",""))/10^IFERROR(LEN(LEFT($CR9,MAX(0,LEN($CR9)-2)))-FIND(",",LEFT($CR9,MAX(0,LEN($CR9)-2))),0),-1)&lt;=15.0)),OR($CJ9&lt;&gt;"comprimento",IFERROR(VALUE(SUBSTITUTE(LEFT($CR9,MAX(0,LEN($CR9)-2)),",",""))/10^IFERROR(LEN(LEFT($CR9,MAX(0,LEN($CR9)-2)))-FIND(",",LEFT($CR9,MAX(0,LEN($CR9)-2))),0),-1)&lt;=60.0))),"","Base incompatível com escada: area/personagem/classe_0")</f>
        <v/>
      </c>
      <c r="EW9">
        <f>IF(ISTEXT($CS9),"","Base precisa ser texto: area/personagem/classes_1_a_5")</f>
        <v/>
      </c>
      <c r="EX9">
        <f>IF(OR(NOT(OR($DA9="area",$DE9="area")),$CJ9="Fixo",$CS9="",$CS9="—",AND(AND(AND(RIGHT($CS9,2)=" m",IFERROR(VALUE(SUBSTITUTE(LEFT($CS9,MAX(0,LEN($CS9)-2)),",",""))/10^IFERROR(LEN(LEFT($CS9,MAX(0,LEN($CS9)-2)))-FIND(",",LEFT($CS9,MAX(0,LEN($CS9)-2))),0),-1)&gt;0),OR($CJ9&lt;&gt;"raio",IFERROR(VALUE(SUBSTITUTE(LEFT($CS9,MAX(0,LEN($CS9)-2)),",",""))/10^IFERROR(LEN(LEFT($CS9,MAX(0,LEN($CS9)-2)))-FIND(",",LEFT($CS9,MAX(0,LEN($CS9)-2))),0),-1)&lt;=15.0)),OR($CJ9&lt;&gt;"comprimento",IFERROR(VALUE(SUBSTITUTE(LEFT($CS9,MAX(0,LEN($CS9)-2)),",",""))/10^IFERROR(LEN(LEFT($CS9,MAX(0,LEN($CS9)-2)))-FIND(",",LEFT($CS9,MAX(0,LEN($CS9)-2))),0),-1)&lt;=60.0))),"","Base incompatível com escada: area/personagem/classes_1_a_5")</f>
        <v/>
      </c>
      <c r="EY9">
        <f>IF(ISTEXT($CT9),"","Base precisa ser texto: area/personagem/classes_6_e_7")</f>
        <v/>
      </c>
      <c r="EZ9">
        <f>IF(OR(NOT(OR($DA9="area",$DE9="area")),$CJ9="Fixo",$CT9="",$CT9="—",AND(AND(AND(RIGHT($CT9,2)=" m",IFERROR(VALUE(SUBSTITUTE(LEFT($CT9,MAX(0,LEN($CT9)-2)),",",""))/10^IFERROR(LEN(LEFT($CT9,MAX(0,LEN($CT9)-2)))-FIND(",",LEFT($CT9,MAX(0,LEN($CT9)-2))),0),-1)&gt;0),OR($CJ9&lt;&gt;"raio",IFERROR(VALUE(SUBSTITUTE(LEFT($CT9,MAX(0,LEN($CT9)-2)),",",""))/10^IFERROR(LEN(LEFT($CT9,MAX(0,LEN($CT9)-2)))-FIND(",",LEFT($CT9,MAX(0,LEN($CT9)-2))),0),-1)&lt;=15.0)),OR($CJ9&lt;&gt;"comprimento",IFERROR(VALUE(SUBSTITUTE(LEFT($CT9,MAX(0,LEN($CT9)-2)),",",""))/10^IFERROR(LEN(LEFT($CT9,MAX(0,LEN($CT9)-2)))-FIND(",",LEFT($CT9,MAX(0,LEN($CT9)-2))),0),-1)&lt;=60.0))),"","Base incompatível com escada: area/personagem/classes_6_e_7")</f>
        <v/>
      </c>
      <c r="FA9">
        <f>IF(ISTEXT($CU9),"","Base precisa ser texto: area/entidade/classe_0")</f>
        <v/>
      </c>
      <c r="FB9">
        <f>IF(OR(NOT(AND($CG9,OR($DA9="area",$DE9="area"))),$CJ9="Fixo",$CU9="",$CU9="—",AND(AND(AND(RIGHT($CU9,2)=" m",IFERROR(VALUE(SUBSTITUTE(LEFT($CU9,MAX(0,LEN($CU9)-2)),",",""))/10^IFERROR(LEN(LEFT($CU9,MAX(0,LEN($CU9)-2)))-FIND(",",LEFT($CU9,MAX(0,LEN($CU9)-2))),0),-1)&gt;0),OR($CJ9&lt;&gt;"raio",IFERROR(VALUE(SUBSTITUTE(LEFT($CU9,MAX(0,LEN($CU9)-2)),",",""))/10^IFERROR(LEN(LEFT($CU9,MAX(0,LEN($CU9)-2)))-FIND(",",LEFT($CU9,MAX(0,LEN($CU9)-2))),0),-1)&lt;=15.0)),OR($CJ9&lt;&gt;"comprimento",IFERROR(VALUE(SUBSTITUTE(LEFT($CU9,MAX(0,LEN($CU9)-2)),",",""))/10^IFERROR(LEN(LEFT($CU9,MAX(0,LEN($CU9)-2)))-FIND(",",LEFT($CU9,MAX(0,LEN($CU9)-2))),0),-1)&lt;=60.0))),"","Base incompatível com escada: area/entidade/classe_0")</f>
        <v/>
      </c>
      <c r="FC9">
        <f>IF(ISTEXT($CV9),"","Base precisa ser texto: area/entidade/classes_1_a_5")</f>
        <v/>
      </c>
      <c r="FD9">
        <f>IF(OR(NOT(OR($DA9="area",$DE9="area")),$CJ9="Fixo",$CV9="",$CV9="—",AND(AND(AND(RIGHT($CV9,2)=" m",IFERROR(VALUE(SUBSTITUTE(LEFT($CV9,MAX(0,LEN($CV9)-2)),",",""))/10^IFERROR(LEN(LEFT($CV9,MAX(0,LEN($CV9)-2)))-FIND(",",LEFT($CV9,MAX(0,LEN($CV9)-2))),0),-1)&gt;0),OR($CJ9&lt;&gt;"raio",IFERROR(VALUE(SUBSTITUTE(LEFT($CV9,MAX(0,LEN($CV9)-2)),",",""))/10^IFERROR(LEN(LEFT($CV9,MAX(0,LEN($CV9)-2)))-FIND(",",LEFT($CV9,MAX(0,LEN($CV9)-2))),0),-1)&lt;=15.0)),OR($CJ9&lt;&gt;"comprimento",IFERROR(VALUE(SUBSTITUTE(LEFT($CV9,MAX(0,LEN($CV9)-2)),",",""))/10^IFERROR(LEN(LEFT($CV9,MAX(0,LEN($CV9)-2)))-FIND(",",LEFT($CV9,MAX(0,LEN($CV9)-2))),0),-1)&lt;=60.0))),"","Base incompatível com escada: area/entidade/classes_1_a_5")</f>
        <v/>
      </c>
      <c r="FE9">
        <f>IF(ISTEXT($CW9),"","Base precisa ser texto: area/entidade/classe_6")</f>
        <v/>
      </c>
      <c r="FF9">
        <f>IF(OR(NOT(OR($DA9="area",$DE9="area")),$CJ9="Fixo",$CW9="",$CW9="—",AND(AND(AND(RIGHT($CW9,2)=" m",IFERROR(VALUE(SUBSTITUTE(LEFT($CW9,MAX(0,LEN($CW9)-2)),",",""))/10^IFERROR(LEN(LEFT($CW9,MAX(0,LEN($CW9)-2)))-FIND(",",LEFT($CW9,MAX(0,LEN($CW9)-2))),0),-1)&gt;0),OR($CJ9&lt;&gt;"raio",IFERROR(VALUE(SUBSTITUTE(LEFT($CW9,MAX(0,LEN($CW9)-2)),",",""))/10^IFERROR(LEN(LEFT($CW9,MAX(0,LEN($CW9)-2)))-FIND(",",LEFT($CW9,MAX(0,LEN($CW9)-2))),0),-1)&lt;=15.0)),OR($CJ9&lt;&gt;"comprimento",IFERROR(VALUE(SUBSTITUTE(LEFT($CW9,MAX(0,LEN($CW9)-2)),",",""))/10^IFERROR(LEN(LEFT($CW9,MAX(0,LEN($CW9)-2)))-FIND(",",LEFT($CW9,MAX(0,LEN($CW9)-2))),0),-1)&lt;=60.0))),"","Base incompatível com escada: area/entidade/classe_6")</f>
        <v/>
      </c>
      <c r="FG9">
        <f>IF(ISTEXT($CX9),"","Base precisa ser texto: area/entidade/classe_7")</f>
        <v/>
      </c>
      <c r="FH9">
        <f>IF(OR(NOT(OR($DA9="area",$DE9="area")),$CJ9="Fixo",$CX9="",$CX9="—",AND(AND(AND(RIGHT($CX9,2)=" m",IFERROR(VALUE(SUBSTITUTE(LEFT($CX9,MAX(0,LEN($CX9)-2)),",",""))/10^IFERROR(LEN(LEFT($CX9,MAX(0,LEN($CX9)-2)))-FIND(",",LEFT($CX9,MAX(0,LEN($CX9)-2))),0),-1)&gt;0),OR($CJ9&lt;&gt;"raio",IFERROR(VALUE(SUBSTITUTE(LEFT($CX9,MAX(0,LEN($CX9)-2)),",",""))/10^IFERROR(LEN(LEFT($CX9,MAX(0,LEN($CX9)-2)))-FIND(",",LEFT($CX9,MAX(0,LEN($CX9)-2))),0),-1)&lt;=15.0)),OR($CJ9&lt;&gt;"comprimento",IFERROR(VALUE(SUBSTITUTE(LEFT($CX9,MAX(0,LEN($CX9)-2)),",",""))/10^IFERROR(LEN(LEFT($CX9,MAX(0,LEN($CX9)-2)))-FIND(",",LEFT($CX9,MAX(0,LEN($CX9)-2))),0),-1)&lt;=60.0))),"","Base incompatível com escada: area/entidade/classe_7")</f>
        <v/>
      </c>
      <c r="FJ9">
        <f>'DADOS_FORMAS'!$AH9</f>
        <v/>
      </c>
      <c r="FK9">
        <f>'DADOS_FORMAS'!$AM9</f>
        <v/>
      </c>
      <c r="FL9">
        <f>'DADOS_FORMAS'!$AN9</f>
        <v/>
      </c>
      <c r="FM9">
        <f>IF('DADOS_FORMAS'!$AN9=0,0,'DADOS_FORMAS'!$AN9+3*IFERROR(VLOOKUP(SUBSTITUTE(SUBSTITUTE(SUBSTITUTE('DADOS_FORMAS'!$AM9,"~","~~"),"*","~*"),"?","~?"),'DADOS_CRIACAO'!$H$2:$K$20,3,FALSE),0))</f>
        <v/>
      </c>
      <c r="FN9">
        <f>IFERROR(VLOOKUP(SUBSTITUTE(SUBSTITUTE(SUBSTITUTE('DADOS_FORMAS'!$AM9,"~","~~"),"*","~*"),"?","~?"),'DADOS_CRIACAO'!$H$2:$K$20,4,FALSE),0)</f>
        <v/>
      </c>
      <c r="FO9">
        <f>IF('DADOS_FORMAS'!$AS9="",0,1)</f>
        <v/>
      </c>
      <c r="FP9">
        <f>'DADOS_FORMAS'!$AP9</f>
        <v/>
      </c>
      <c r="FQ9">
        <f>IF(AND('DADOS_FORMAS'!$AO9="Acerto",'DADOS_FORMAS'!$AQ9),"Acerto + TR",'DADOS_FORMAS'!$AO9)</f>
        <v/>
      </c>
      <c r="FR9">
        <f>N(OR('DADOS_FORMAS'!$AQ9,'DADOS_FORMAS'!$AO9="TR, metade"))</f>
        <v/>
      </c>
      <c r="FS9">
        <f>'DADOS_FORMAS'!$BO9</f>
        <v/>
      </c>
      <c r="FT9">
        <f>'DADOS_FORMAS'!$BS9</f>
        <v/>
      </c>
      <c r="FU9">
        <f>'DADOS_FORMAS'!$BK9</f>
        <v/>
      </c>
      <c r="FV9">
        <f>N('DADOS_FORMAS'!$AR9)</f>
        <v/>
      </c>
      <c r="FW9">
        <f>IF(IFERROR(VLOOKUP(SUBSTITUTE(SUBSTITUTE(SUBSTITUTE('DADOS_FORMAS'!$AM9,"~","~~"),"*","~*"),"?","~?"),'DADOS_CRIACAO'!$H$2:$K$20,4,FALSE),0)=1,"",'DADOS_FORMAS'!$AH9)</f>
        <v/>
      </c>
      <c r="FX9">
        <f>IF(AND('DADOS_FORMAS'!$AR9,IFERROR(VLOOKUP(SUBSTITUTE(SUBSTITUTE(SUBSTITUTE('DADOS_FORMAS'!$AM9,"~","~~"),"*","~*"),"?","~?"),'DADOS_CRIACAO'!$H$2:$K$20,4,FALSE),0)=0),'DADOS_FORMAS'!$AH9,"")</f>
        <v/>
      </c>
      <c r="FZ9">
        <f>'DADOS_FORMAS'!$AH9</f>
        <v/>
      </c>
      <c r="GA9">
        <f>'DADOS_FORMAS'!$AM9</f>
        <v/>
      </c>
      <c r="GB9">
        <f>'DADOS_FORMAS'!$AN9</f>
        <v/>
      </c>
      <c r="GC9">
        <f>IF('DADOS_FORMAS'!$AS9="",0,1)</f>
        <v/>
      </c>
      <c r="GD9">
        <f>'DADOS_FORMAS'!$AP9</f>
        <v/>
      </c>
      <c r="GE9">
        <f>IF('DADOS_FORMAS'!$AO9="Acerto","Ataque",IF('DADOS_FORMAS'!$AQ9,"TR","—"))</f>
        <v/>
      </c>
      <c r="GF9">
        <f>N(OR('DADOS_FORMAS'!$AQ9,'DADOS_FORMAS'!$AO9="TR, metade"))</f>
        <v/>
      </c>
      <c r="GG9">
        <f>'DADOS_FORMAS'!$BO9</f>
        <v/>
      </c>
      <c r="GH9">
        <f>'DADOS_FORMAS'!$BS9</f>
        <v/>
      </c>
      <c r="GI9">
        <f>'DADOS_FORMAS'!$BK9</f>
        <v/>
      </c>
      <c r="GJ9">
        <f>N('DADOS_FORMAS'!$AR9)</f>
        <v/>
      </c>
      <c r="GR9">
        <f>'DADOS_FORMAS'!$BP13</f>
        <v/>
      </c>
      <c r="GS9">
        <f>IF('DADOS_FORMAS'!$BP13="area",'DADOS_FORMAS'!$AU13,'DADOS_FORMAS'!$AT13)</f>
        <v/>
      </c>
      <c r="GT9">
        <f>IF('DADOS_FORMAS'!$BP13="area",'DADOS_FORMAS'!$BC13,'DADOS_FORMAS'!$AV13)</f>
        <v/>
      </c>
      <c r="GU9">
        <f>'DADOS_FORMAS'!$BQ13</f>
        <v/>
      </c>
      <c r="GV9">
        <f>'DADOS_FORMAS'!$BR13</f>
        <v/>
      </c>
      <c r="GW9">
        <f>LET(base,'DADOS_FORMAS'!$GT9,escada,'DADOS_FORMAS'!$GS9,medida,LEFT(base,MAX(0,LEN(base)-2)),valor,IFERROR(VALUE(SUBSTITUTE(medida,",",""))/10^IFERROR(LEN(medida)-FIND(",",medida),0),1E99),IF(OR(escada="Fixo",base="—"),base,IF(escada="alcance",IFERROR(MATCH(base,{"1,5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9" t="inlineStr">
        <is>
          <t>Explosão · classes 1 a 5</t>
        </is>
      </c>
      <c r="GZ9" t="inlineStr">
        <is>
          <t>Raio 3 m</t>
        </is>
      </c>
      <c r="HA9" t="inlineStr">
        <is>
          <t>Raio 4,5 m</t>
        </is>
      </c>
      <c r="HB9" t="inlineStr">
        <is>
          <t>Raio 6 m</t>
        </is>
      </c>
      <c r="HC9" t="inlineStr">
        <is>
          <t>Raio 9 m</t>
        </is>
      </c>
      <c r="HD9" t="inlineStr">
        <is>
          <t>Raio 15 m</t>
        </is>
      </c>
      <c r="HE9" t="inlineStr">
        <is>
          <t>Raio 15 m</t>
        </is>
      </c>
      <c r="HF9" t="inlineStr">
        <is>
          <t>, a 18 m</t>
        </is>
      </c>
      <c r="HG9" t="inlineStr">
        <is>
          <t>, a 36 m</t>
        </is>
      </c>
      <c r="HH9" t="inlineStr">
        <is>
          <t>, a 90 m</t>
        </is>
      </c>
      <c r="HI9" t="inlineStr">
        <is>
          <t>, a visão a olho nu</t>
        </is>
      </c>
      <c r="HJ9" t="inlineStr">
        <is>
          <t>, a visão a olho nu</t>
        </is>
      </c>
      <c r="HK9" t="inlineStr">
        <is>
          <t>, a visão a olho nu</t>
        </is>
      </c>
      <c r="HM9">
        <f>'DADOS_FORMAS'!$BP12</f>
        <v/>
      </c>
      <c r="HN9">
        <f>IF('DADOS_FORMAS'!$BP12="area",'DADOS_FORMAS'!$AU12,'DADOS_FORMAS'!$AT12)</f>
        <v/>
      </c>
      <c r="HO9">
        <f>IF('DADOS_FORMAS'!$BP12="area",'DADOS_FORMAS'!$BI12,'DADOS_FORMAS'!$BB12)</f>
        <v/>
      </c>
      <c r="HP9">
        <f>'DADOS_FORMAS'!$BQ12</f>
        <v/>
      </c>
      <c r="HQ9">
        <f>'DADOS_FORMAS'!$BR12</f>
        <v/>
      </c>
      <c r="HR9">
        <f>LET(base,'DADOS_FORMAS'!$HO9,escada,'DADOS_FORMAS'!$HN9,medida,LEFT(base,MAX(0,LEN(base)-2)),valor,IFERROR(VALUE(SUBSTITUTE(medida,",",""))/10^IFERROR(LEN(medida)-FIND(",",medida),0),1E99),IF(OR(escada="Fixo",base="—"),base,IF(escada="alcance",IFERROR(MATCH(base,{"1,5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9" t="inlineStr">
        <is>
          <t>Toque · classe 7</t>
        </is>
      </c>
      <c r="HU9" t="inlineStr">
        <is>
          <t>1,5 m, um alvo</t>
        </is>
      </c>
      <c r="HV9" t="inlineStr">
        <is>
          <t>1,5 m, um alvo</t>
        </is>
      </c>
      <c r="HW9" t="inlineStr">
        <is>
          <t>1,5 m, um alvo</t>
        </is>
      </c>
      <c r="HX9" t="inlineStr">
        <is>
          <t>1,5 m, um alvo</t>
        </is>
      </c>
      <c r="HY9" t="inlineStr">
        <is>
          <t>1,5 m, um alvo</t>
        </is>
      </c>
      <c r="HZ9" t="inlineStr">
        <is>
          <t>1,5 m, um alvo</t>
        </is>
      </c>
      <c r="IA9" t="inlineStr"/>
      <c r="IB9" t="inlineStr"/>
      <c r="IC9" t="inlineStr"/>
      <c r="ID9" t="inlineStr"/>
      <c r="IE9" t="inlineStr"/>
      <c r="IF9" t="inlineStr"/>
      <c r="IH9">
        <f>IF(OR('DADOS_FORMAS'!$AM9='INVOCAÇÕES'!$O$48,'DADOS_FORMAS'!$AM9='INVOCAÇÕES'!$P$48,'DADOS_FORMAS'!$AM9='INVOCAÇÕES'!$Q$48,'DADOS_FORMAS'!$AM9='INVOCAÇÕES'!$R$48,'DADOS_FORMAS'!$AM9='INVOCAÇÕES'!$S$48,'DADOS_FORMAS'!$AM9='INVOCAÇÕES'!$O$50,'DADOS_FORMAS'!$AM9='INVOCAÇÕES'!$P$50,'DADOS_FORMAS'!$AM9='INVOCAÇÕES'!$Q$50,'DADOS_FORMAS'!$AM9='INVOCAÇÕES'!$R$50,'DADOS_FORMAS'!$AM9=""),'DADOS_FORMAS'!$AH9,"")</f>
        <v/>
      </c>
      <c r="II9">
        <f>IF(AND(OR('DADOS_FORMAS'!$AM9='INVOCAÇÕES'!$O$48,'DADOS_FORMAS'!$AM9='INVOCAÇÕES'!$P$48,'DADOS_FORMAS'!$AM9='INVOCAÇÕES'!$Q$48,'DADOS_FORMAS'!$AM9='INVOCAÇÕES'!$R$48,'DADOS_FORMAS'!$AM9='INVOCAÇÕES'!$S$48,'DADOS_FORMAS'!$AM9='INVOCAÇÕES'!$O$50,'DADOS_FORMAS'!$AM9='INVOCAÇÕES'!$P$50,'DADOS_FORMAS'!$AM9='INVOCAÇÕES'!$Q$50,'DADOS_FORMAS'!$AM9='INVOCAÇÕES'!$R$50,'DADOS_FORMAS'!$AM9=""),'DADOS_FORMAS'!$AR9),'DADOS_FORMAS'!$AH9,"")</f>
        <v/>
      </c>
      <c r="IK9">
        <f>IF(OR('DADOS_FORMAS'!$AM9='INVOCAÇÕES'!$O$259,'DADOS_FORMAS'!$AM9='INVOCAÇÕES'!$P$259,'DADOS_FORMAS'!$AM9='INVOCAÇÕES'!$Q$259,'DADOS_FORMAS'!$AM9='INVOCAÇÕES'!$R$259,'DADOS_FORMAS'!$AM9='INVOCAÇÕES'!$S$259,'DADOS_FORMAS'!$AM9='INVOCAÇÕES'!$O$261,'DADOS_FORMAS'!$AM9='INVOCAÇÕES'!$P$261,'DADOS_FORMAS'!$AM9='INVOCAÇÕES'!$Q$261,'DADOS_FORMAS'!$AM9='INVOCAÇÕES'!$R$261,'DADOS_FORMAS'!$AM9=""),'DADOS_FORMAS'!$AH9,"")</f>
        <v/>
      </c>
      <c r="IL9">
        <f>IF(AND(OR('DADOS_FORMAS'!$AM9='INVOCAÇÕES'!$O$259,'DADOS_FORMAS'!$AM9='INVOCAÇÕES'!$P$259,'DADOS_FORMAS'!$AM9='INVOCAÇÕES'!$Q$259,'DADOS_FORMAS'!$AM9='INVOCAÇÕES'!$R$259,'DADOS_FORMAS'!$AM9='INVOCAÇÕES'!$S$259,'DADOS_FORMAS'!$AM9='INVOCAÇÕES'!$O$261,'DADOS_FORMAS'!$AM9='INVOCAÇÕES'!$P$261,'DADOS_FORMAS'!$AM9='INVOCAÇÕES'!$Q$261,'DADOS_FORMAS'!$AM9='INVOCAÇÕES'!$R$261,'DADOS_FORMAS'!$AM9=""),'DADOS_FORMAS'!$AR9),'DADOS_FORMAS'!$AH9,"")</f>
        <v/>
      </c>
      <c r="IN9">
        <f>IF(OR('DADOS_FORMAS'!$AM9='INVOCAÇÕES'!$O$470,'DADOS_FORMAS'!$AM9='INVOCAÇÕES'!$P$470,'DADOS_FORMAS'!$AM9='INVOCAÇÕES'!$Q$470,'DADOS_FORMAS'!$AM9='INVOCAÇÕES'!$R$470,'DADOS_FORMAS'!$AM9='INVOCAÇÕES'!$S$470,'DADOS_FORMAS'!$AM9='INVOCAÇÕES'!$O$472,'DADOS_FORMAS'!$AM9='INVOCAÇÕES'!$P$472,'DADOS_FORMAS'!$AM9='INVOCAÇÕES'!$Q$472,'DADOS_FORMAS'!$AM9='INVOCAÇÕES'!$R$472,'DADOS_FORMAS'!$AM9=""),'DADOS_FORMAS'!$AH9,"")</f>
        <v/>
      </c>
      <c r="IO9">
        <f>IF(AND(OR('DADOS_FORMAS'!$AM9='INVOCAÇÕES'!$O$470,'DADOS_FORMAS'!$AM9='INVOCAÇÕES'!$P$470,'DADOS_FORMAS'!$AM9='INVOCAÇÕES'!$Q$470,'DADOS_FORMAS'!$AM9='INVOCAÇÕES'!$R$470,'DADOS_FORMAS'!$AM9='INVOCAÇÕES'!$S$470,'DADOS_FORMAS'!$AM9='INVOCAÇÕES'!$O$472,'DADOS_FORMAS'!$AM9='INVOCAÇÕES'!$P$472,'DADOS_FORMAS'!$AM9='INVOCAÇÕES'!$Q$472,'DADOS_FORMAS'!$AM9='INVOCAÇÕES'!$R$472,'DADOS_FORMAS'!$AM9=""),'DADOS_FORMAS'!$AR9),'DADOS_FORMAS'!$AH9,"")</f>
        <v/>
      </c>
      <c r="IQ9">
        <f>IF(OR('DADOS_FORMAS'!$AM9='INVOCAÇÕES'!$O$681,'DADOS_FORMAS'!$AM9='INVOCAÇÕES'!$P$681,'DADOS_FORMAS'!$AM9='INVOCAÇÕES'!$Q$681,'DADOS_FORMAS'!$AM9='INVOCAÇÕES'!$R$681,'DADOS_FORMAS'!$AM9='INVOCAÇÕES'!$S$681,'DADOS_FORMAS'!$AM9='INVOCAÇÕES'!$O$683,'DADOS_FORMAS'!$AM9='INVOCAÇÕES'!$P$683,'DADOS_FORMAS'!$AM9='INVOCAÇÕES'!$Q$683,'DADOS_FORMAS'!$AM9='INVOCAÇÕES'!$R$683,'DADOS_FORMAS'!$AM9=""),'DADOS_FORMAS'!$AH9,"")</f>
        <v/>
      </c>
      <c r="IR9">
        <f>IF(AND(OR('DADOS_FORMAS'!$AM9='INVOCAÇÕES'!$O$681,'DADOS_FORMAS'!$AM9='INVOCAÇÕES'!$P$681,'DADOS_FORMAS'!$AM9='INVOCAÇÕES'!$Q$681,'DADOS_FORMAS'!$AM9='INVOCAÇÕES'!$R$681,'DADOS_FORMAS'!$AM9='INVOCAÇÕES'!$S$681,'DADOS_FORMAS'!$AM9='INVOCAÇÕES'!$O$683,'DADOS_FORMAS'!$AM9='INVOCAÇÕES'!$P$683,'DADOS_FORMAS'!$AM9='INVOCAÇÕES'!$Q$683,'DADOS_FORMAS'!$AM9='INVOCAÇÕES'!$R$683,'DADOS_FORMAS'!$AM9=""),'DADOS_FORMAS'!$AR9),'DADOS_FORMAS'!$AH9,"")</f>
        <v/>
      </c>
      <c r="IT9">
        <f>IF(OR('DADOS_FORMAS'!$AM9='INVOCAÇÕES'!$O$892,'DADOS_FORMAS'!$AM9='INVOCAÇÕES'!$P$892,'DADOS_FORMAS'!$AM9='INVOCAÇÕES'!$Q$892,'DADOS_FORMAS'!$AM9='INVOCAÇÕES'!$R$892,'DADOS_FORMAS'!$AM9='INVOCAÇÕES'!$S$892,'DADOS_FORMAS'!$AM9='INVOCAÇÕES'!$O$894,'DADOS_FORMAS'!$AM9='INVOCAÇÕES'!$P$894,'DADOS_FORMAS'!$AM9='INVOCAÇÕES'!$Q$894,'DADOS_FORMAS'!$AM9='INVOCAÇÕES'!$R$894,'DADOS_FORMAS'!$AM9=""),'DADOS_FORMAS'!$AH9,"")</f>
        <v/>
      </c>
      <c r="IU9">
        <f>IF(AND(OR('DADOS_FORMAS'!$AM9='INVOCAÇÕES'!$O$892,'DADOS_FORMAS'!$AM9='INVOCAÇÕES'!$P$892,'DADOS_FORMAS'!$AM9='INVOCAÇÕES'!$Q$892,'DADOS_FORMAS'!$AM9='INVOCAÇÕES'!$R$892,'DADOS_FORMAS'!$AM9='INVOCAÇÕES'!$S$892,'DADOS_FORMAS'!$AM9='INVOCAÇÕES'!$O$894,'DADOS_FORMAS'!$AM9='INVOCAÇÕES'!$P$894,'DADOS_FORMAS'!$AM9='INVOCAÇÕES'!$Q$894,'DADOS_FORMAS'!$AM9='INVOCAÇÕES'!$R$894,'DADOS_FORMAS'!$AM9=""),'DADOS_FORMAS'!$AR9),'DADOS_FORMAS'!$AH9,"")</f>
        <v/>
      </c>
      <c r="IW9">
        <f>IF(OR('DADOS_FORMAS'!$AM9='INVOCAÇÕES'!$O$1103,'DADOS_FORMAS'!$AM9='INVOCAÇÕES'!$P$1103,'DADOS_FORMAS'!$AM9='INVOCAÇÕES'!$Q$1103,'DADOS_FORMAS'!$AM9='INVOCAÇÕES'!$R$1103,'DADOS_FORMAS'!$AM9='INVOCAÇÕES'!$S$1103,'DADOS_FORMAS'!$AM9='INVOCAÇÕES'!$O$1105,'DADOS_FORMAS'!$AM9='INVOCAÇÕES'!$P$1105,'DADOS_FORMAS'!$AM9='INVOCAÇÕES'!$Q$1105,'DADOS_FORMAS'!$AM9='INVOCAÇÕES'!$R$1105,'DADOS_FORMAS'!$AM9=""),'DADOS_FORMAS'!$AH9,"")</f>
        <v/>
      </c>
      <c r="IX9">
        <f>IF(AND(OR('DADOS_FORMAS'!$AM9='INVOCAÇÕES'!$O$1103,'DADOS_FORMAS'!$AM9='INVOCAÇÕES'!$P$1103,'DADOS_FORMAS'!$AM9='INVOCAÇÕES'!$Q$1103,'DADOS_FORMAS'!$AM9='INVOCAÇÕES'!$R$1103,'DADOS_FORMAS'!$AM9='INVOCAÇÕES'!$S$1103,'DADOS_FORMAS'!$AM9='INVOCAÇÕES'!$O$1105,'DADOS_FORMAS'!$AM9='INVOCAÇÕES'!$P$1105,'DADOS_FORMAS'!$AM9='INVOCAÇÕES'!$Q$1105,'DADOS_FORMAS'!$AM9='INVOCAÇÕES'!$R$1105,'DADOS_FORMAS'!$AM9=""),'DADOS_FORMAS'!$AR9),'DADOS_FORMAS'!$AH9,"")</f>
        <v/>
      </c>
      <c r="IZ9">
        <f>IF(OR('DADOS_FORMAS'!$AM9='INVOCAÇÕES'!$AH$48,'DADOS_FORMAS'!$AM9='INVOCAÇÕES'!$AI$48,'DADOS_FORMAS'!$AM9='INVOCAÇÕES'!$AJ$48,'DADOS_FORMAS'!$AM9='INVOCAÇÕES'!$AK$48,'DADOS_FORMAS'!$AM9='INVOCAÇÕES'!$AL$48,'DADOS_FORMAS'!$AM9='INVOCAÇÕES'!$AH$50,'DADOS_FORMAS'!$AM9='INVOCAÇÕES'!$AI$50,'DADOS_FORMAS'!$AM9='INVOCAÇÕES'!$AJ$50,'DADOS_FORMAS'!$AM9='INVOCAÇÕES'!$AK$50,'DADOS_FORMAS'!$AM9=""),'DADOS_FORMAS'!$AH9,"")</f>
        <v/>
      </c>
      <c r="JA9">
        <f>IF(AND(OR('DADOS_FORMAS'!$AM9='INVOCAÇÕES'!$AH$48,'DADOS_FORMAS'!$AM9='INVOCAÇÕES'!$AI$48,'DADOS_FORMAS'!$AM9='INVOCAÇÕES'!$AJ$48,'DADOS_FORMAS'!$AM9='INVOCAÇÕES'!$AK$48,'DADOS_FORMAS'!$AM9='INVOCAÇÕES'!$AL$48,'DADOS_FORMAS'!$AM9='INVOCAÇÕES'!$AH$50,'DADOS_FORMAS'!$AM9='INVOCAÇÕES'!$AI$50,'DADOS_FORMAS'!$AM9='INVOCAÇÕES'!$AJ$50,'DADOS_FORMAS'!$AM9='INVOCAÇÕES'!$AK$50,'DADOS_FORMAS'!$AM9=""),'DADOS_FORMAS'!$AR9),'DADOS_FORMAS'!$AH9,"")</f>
        <v/>
      </c>
      <c r="JC9">
        <f>IF(OR('DADOS_FORMAS'!$AM9='INVOCAÇÕES'!$AH$259,'DADOS_FORMAS'!$AM9='INVOCAÇÕES'!$AI$259,'DADOS_FORMAS'!$AM9='INVOCAÇÕES'!$AJ$259,'DADOS_FORMAS'!$AM9='INVOCAÇÕES'!$AK$259,'DADOS_FORMAS'!$AM9='INVOCAÇÕES'!$AL$259,'DADOS_FORMAS'!$AM9='INVOCAÇÕES'!$AH$261,'DADOS_FORMAS'!$AM9='INVOCAÇÕES'!$AI$261,'DADOS_FORMAS'!$AM9='INVOCAÇÕES'!$AJ$261,'DADOS_FORMAS'!$AM9='INVOCAÇÕES'!$AK$261,'DADOS_FORMAS'!$AM9=""),'DADOS_FORMAS'!$AH9,"")</f>
        <v/>
      </c>
      <c r="JD9">
        <f>IF(AND(OR('DADOS_FORMAS'!$AM9='INVOCAÇÕES'!$AH$259,'DADOS_FORMAS'!$AM9='INVOCAÇÕES'!$AI$259,'DADOS_FORMAS'!$AM9='INVOCAÇÕES'!$AJ$259,'DADOS_FORMAS'!$AM9='INVOCAÇÕES'!$AK$259,'DADOS_FORMAS'!$AM9='INVOCAÇÕES'!$AL$259,'DADOS_FORMAS'!$AM9='INVOCAÇÕES'!$AH$261,'DADOS_FORMAS'!$AM9='INVOCAÇÕES'!$AI$261,'DADOS_FORMAS'!$AM9='INVOCAÇÕES'!$AJ$261,'DADOS_FORMAS'!$AM9='INVOCAÇÕES'!$AK$261,'DADOS_FORMAS'!$AM9=""),'DADOS_FORMAS'!$AR9),'DADOS_FORMAS'!$AH9,"")</f>
        <v/>
      </c>
      <c r="JF9">
        <f>IF(OR('DADOS_FORMAS'!$AM9='INVOCAÇÕES'!$AH$470,'DADOS_FORMAS'!$AM9='INVOCAÇÕES'!$AI$470,'DADOS_FORMAS'!$AM9='INVOCAÇÕES'!$AJ$470,'DADOS_FORMAS'!$AM9='INVOCAÇÕES'!$AK$470,'DADOS_FORMAS'!$AM9='INVOCAÇÕES'!$AL$470,'DADOS_FORMAS'!$AM9='INVOCAÇÕES'!$AH$472,'DADOS_FORMAS'!$AM9='INVOCAÇÕES'!$AI$472,'DADOS_FORMAS'!$AM9='INVOCAÇÕES'!$AJ$472,'DADOS_FORMAS'!$AM9='INVOCAÇÕES'!$AK$472,'DADOS_FORMAS'!$AM9=""),'DADOS_FORMAS'!$AH9,"")</f>
        <v/>
      </c>
      <c r="JG9">
        <f>IF(AND(OR('DADOS_FORMAS'!$AM9='INVOCAÇÕES'!$AH$470,'DADOS_FORMAS'!$AM9='INVOCAÇÕES'!$AI$470,'DADOS_FORMAS'!$AM9='INVOCAÇÕES'!$AJ$470,'DADOS_FORMAS'!$AM9='INVOCAÇÕES'!$AK$470,'DADOS_FORMAS'!$AM9='INVOCAÇÕES'!$AL$470,'DADOS_FORMAS'!$AM9='INVOCAÇÕES'!$AH$472,'DADOS_FORMAS'!$AM9='INVOCAÇÕES'!$AI$472,'DADOS_FORMAS'!$AM9='INVOCAÇÕES'!$AJ$472,'DADOS_FORMAS'!$AM9='INVOCAÇÕES'!$AK$472,'DADOS_FORMAS'!$AM9=""),'DADOS_FORMAS'!$AR9),'DADOS_FORMAS'!$AH9,"")</f>
        <v/>
      </c>
      <c r="JI9">
        <f>IF(OR('DADOS_FORMAS'!$AM9='INVOCAÇÕES'!$AH$681,'DADOS_FORMAS'!$AM9='INVOCAÇÕES'!$AI$681,'DADOS_FORMAS'!$AM9='INVOCAÇÕES'!$AJ$681,'DADOS_FORMAS'!$AM9='INVOCAÇÕES'!$AK$681,'DADOS_FORMAS'!$AM9='INVOCAÇÕES'!$AL$681,'DADOS_FORMAS'!$AM9='INVOCAÇÕES'!$AH$683,'DADOS_FORMAS'!$AM9='INVOCAÇÕES'!$AI$683,'DADOS_FORMAS'!$AM9='INVOCAÇÕES'!$AJ$683,'DADOS_FORMAS'!$AM9='INVOCAÇÕES'!$AK$683,'DADOS_FORMAS'!$AM9=""),'DADOS_FORMAS'!$AH9,"")</f>
        <v/>
      </c>
      <c r="JJ9">
        <f>IF(AND(OR('DADOS_FORMAS'!$AM9='INVOCAÇÕES'!$AH$681,'DADOS_FORMAS'!$AM9='INVOCAÇÕES'!$AI$681,'DADOS_FORMAS'!$AM9='INVOCAÇÕES'!$AJ$681,'DADOS_FORMAS'!$AM9='INVOCAÇÕES'!$AK$681,'DADOS_FORMAS'!$AM9='INVOCAÇÕES'!$AL$681,'DADOS_FORMAS'!$AM9='INVOCAÇÕES'!$AH$683,'DADOS_FORMAS'!$AM9='INVOCAÇÕES'!$AI$683,'DADOS_FORMAS'!$AM9='INVOCAÇÕES'!$AJ$683,'DADOS_FORMAS'!$AM9='INVOCAÇÕES'!$AK$683,'DADOS_FORMAS'!$AM9=""),'DADOS_FORMAS'!$AR9),'DADOS_FORMAS'!$AH9,"")</f>
        <v/>
      </c>
      <c r="JL9">
        <f>IF(OR('DADOS_FORMAS'!$AM9='INVOCAÇÕES'!$AH$892,'DADOS_FORMAS'!$AM9='INVOCAÇÕES'!$AI$892,'DADOS_FORMAS'!$AM9='INVOCAÇÕES'!$AJ$892,'DADOS_FORMAS'!$AM9='INVOCAÇÕES'!$AK$892,'DADOS_FORMAS'!$AM9='INVOCAÇÕES'!$AL$892,'DADOS_FORMAS'!$AM9='INVOCAÇÕES'!$AH$894,'DADOS_FORMAS'!$AM9='INVOCAÇÕES'!$AI$894,'DADOS_FORMAS'!$AM9='INVOCAÇÕES'!$AJ$894,'DADOS_FORMAS'!$AM9='INVOCAÇÕES'!$AK$894,'DADOS_FORMAS'!$AM9=""),'DADOS_FORMAS'!$AH9,"")</f>
        <v/>
      </c>
      <c r="JM9">
        <f>IF(AND(OR('DADOS_FORMAS'!$AM9='INVOCAÇÕES'!$AH$892,'DADOS_FORMAS'!$AM9='INVOCAÇÕES'!$AI$892,'DADOS_FORMAS'!$AM9='INVOCAÇÕES'!$AJ$892,'DADOS_FORMAS'!$AM9='INVOCAÇÕES'!$AK$892,'DADOS_FORMAS'!$AM9='INVOCAÇÕES'!$AL$892,'DADOS_FORMAS'!$AM9='INVOCAÇÕES'!$AH$894,'DADOS_FORMAS'!$AM9='INVOCAÇÕES'!$AI$894,'DADOS_FORMAS'!$AM9='INVOCAÇÕES'!$AJ$894,'DADOS_FORMAS'!$AM9='INVOCAÇÕES'!$AK$894,'DADOS_FORMAS'!$AM9=""),'DADOS_FORMAS'!$AR9),'DADOS_FORMAS'!$AH9,"")</f>
        <v/>
      </c>
      <c r="JO9">
        <f>IF(OR('DADOS_FORMAS'!$AM9='INVOCAÇÕES'!$AH$1103,'DADOS_FORMAS'!$AM9='INVOCAÇÕES'!$AI$1103,'DADOS_FORMAS'!$AM9='INVOCAÇÕES'!$AJ$1103,'DADOS_FORMAS'!$AM9='INVOCAÇÕES'!$AK$1103,'DADOS_FORMAS'!$AM9='INVOCAÇÕES'!$AL$1103,'DADOS_FORMAS'!$AM9='INVOCAÇÕES'!$AH$1105,'DADOS_FORMAS'!$AM9='INVOCAÇÕES'!$AI$1105,'DADOS_FORMAS'!$AM9='INVOCAÇÕES'!$AJ$1105,'DADOS_FORMAS'!$AM9='INVOCAÇÕES'!$AK$1105,'DADOS_FORMAS'!$AM9=""),'DADOS_FORMAS'!$AH9,"")</f>
        <v/>
      </c>
      <c r="JP9">
        <f>IF(AND(OR('DADOS_FORMAS'!$AM9='INVOCAÇÕES'!$AH$1103,'DADOS_FORMAS'!$AM9='INVOCAÇÕES'!$AI$1103,'DADOS_FORMAS'!$AM9='INVOCAÇÕES'!$AJ$1103,'DADOS_FORMAS'!$AM9='INVOCAÇÕES'!$AK$1103,'DADOS_FORMAS'!$AM9='INVOCAÇÕES'!$AL$1103,'DADOS_FORMAS'!$AM9='INVOCAÇÕES'!$AH$1105,'DADOS_FORMAS'!$AM9='INVOCAÇÕES'!$AI$1105,'DADOS_FORMAS'!$AM9='INVOCAÇÕES'!$AJ$1105,'DADOS_FORMAS'!$AM9='INVOCAÇÕES'!$AK$1105,'DADOS_FORMAS'!$AM9=""),'DADOS_FORMAS'!$AR9),'DADOS_FORMAS'!$AH9,"")</f>
        <v/>
      </c>
      <c r="JR9" t="inlineStr">
        <is>
          <t>Cura</t>
        </is>
      </c>
      <c r="JZ9">
        <f>IFERROR(INDEX('DADOS_CRIACAO'!$H$2:$H$20,7),"")</f>
        <v/>
      </c>
      <c r="KA9">
        <f>IFERROR(INDEX(INDEX('DADOS_RESTRICOES'!$M$2:$Q$54,0,1),7),"")</f>
        <v/>
      </c>
    </row>
    <row r="10">
      <c r="A10">
        <f>IF(ISBLANK('CONFIGURAÇÃO'!$EZ$198),"",'CONFIGURAÇÃO'!$EZ$198)</f>
        <v/>
      </c>
      <c r="B10">
        <f>IF(ISBLANK('CONFIGURAÇÃO'!$EZ$200),"",'CONFIGURAÇÃO'!$EZ$200)</f>
        <v/>
      </c>
      <c r="C10">
        <f>IF(ISBLANK('CONFIGURAÇÃO'!$FC$201),"",'CONFIGURAÇÃO'!$FC$201)</f>
        <v/>
      </c>
      <c r="D10">
        <f>IF(ISBLANK('CONFIGURAÇÃO'!$FD$198),"",'CONFIGURAÇÃO'!$FD$198)</f>
        <v/>
      </c>
      <c r="E10">
        <f>IF(ISBLANK('CONFIGURAÇÃO'!$EZ$227),"",'CONFIGURAÇÃO'!$EZ$227)</f>
        <v/>
      </c>
      <c r="F10">
        <f>IF(ISBLANK('CONFIGURAÇÃO'!$EZ$233),"",'CONFIGURAÇÃO'!$EZ$233)</f>
        <v/>
      </c>
      <c r="G10">
        <f>IF(ISBLANK('CONFIGURAÇÃO'!$FC$202),"",'CONFIGURAÇÃO'!$FC$202)</f>
        <v/>
      </c>
      <c r="H10">
        <f>IF(ISBLANK('CONFIGURAÇÃO'!$FC$203),"",'CONFIGURAÇÃO'!$FC$203)</f>
        <v/>
      </c>
      <c r="I10">
        <f>IF(ISBLANK('CONFIGURAÇÃO'!$FC$204),"",'CONFIGURAÇÃO'!$FC$204)</f>
        <v/>
      </c>
      <c r="J10">
        <f>IF(ISBLANK('CONFIGURAÇÃO'!$FC$205),"",'CONFIGURAÇÃO'!$FC$205)</f>
        <v/>
      </c>
      <c r="K10">
        <f>IF(ISBLANK('CONFIGURAÇÃO'!$FC$206),"",'CONFIGURAÇÃO'!$FC$206)</f>
        <v/>
      </c>
      <c r="L10">
        <f>IF(ISBLANK('CONFIGURAÇÃO'!$FC$207),"",'CONFIGURAÇÃO'!$FC$207)</f>
        <v/>
      </c>
      <c r="M10">
        <f>IF(ISBLANK('CONFIGURAÇÃO'!$FC$208),"",'CONFIGURAÇÃO'!$FC$208)</f>
        <v/>
      </c>
      <c r="N10">
        <f>IF(ISBLANK('CONFIGURAÇÃO'!$FC$209),"",'CONFIGURAÇÃO'!$FC$209)</f>
        <v/>
      </c>
      <c r="O10">
        <f>IF(ISBLANK('CONFIGURAÇÃO'!$FC$210),"",'CONFIGURAÇÃO'!$FC$210)</f>
        <v/>
      </c>
      <c r="P10">
        <f>IF(ISBLANK('CONFIGURAÇÃO'!$FC$211),"",'CONFIGURAÇÃO'!$FC$211)</f>
        <v/>
      </c>
      <c r="Q10">
        <f>IF(ISBLANK('CONFIGURAÇÃO'!$FC$212),"",'CONFIGURAÇÃO'!$FC$212)</f>
        <v/>
      </c>
      <c r="R10">
        <f>IF(ISBLANK('CONFIGURAÇÃO'!$FC$213),"",'CONFIGURAÇÃO'!$FC$213)</f>
        <v/>
      </c>
      <c r="S10">
        <f>IF(ISBLANK('CONFIGURAÇÃO'!$FC$214),"",'CONFIGURAÇÃO'!$FC$214)</f>
        <v/>
      </c>
      <c r="T10">
        <f>IF(ISBLANK('CONFIGURAÇÃO'!$FC$215),"",'CONFIGURAÇÃO'!$FC$215)</f>
        <v/>
      </c>
      <c r="U10">
        <f>IF(ISBLANK('CONFIGURAÇÃO'!$FC$216),"",'CONFIGURAÇÃO'!$FC$216)</f>
        <v/>
      </c>
      <c r="V10">
        <f>IF(ISBLANK('CONFIGURAÇÃO'!$FC$217),"",'CONFIGURAÇÃO'!$FC$217)</f>
        <v/>
      </c>
      <c r="W10">
        <f>IF(ISBLANK('CONFIGURAÇÃO'!$FC$218),"",'CONFIGURAÇÃO'!$FC$218)</f>
        <v/>
      </c>
      <c r="X10">
        <f>IF(ISBLANK('CONFIGURAÇÃO'!$FC$219),"",'CONFIGURAÇÃO'!$FC$219)</f>
        <v/>
      </c>
      <c r="Y10">
        <f>IF(ISBLANK('CONFIGURAÇÃO'!$FC$220),"",'CONFIGURAÇÃO'!$FC$220)</f>
        <v/>
      </c>
      <c r="Z10">
        <f>IF(ISBLANK('CONFIGURAÇÃO'!$FC$221),"",'CONFIGURAÇÃO'!$FC$221)</f>
        <v/>
      </c>
      <c r="AA10">
        <f>IF(ISBLANK('CONFIGURAÇÃO'!$FC$222),"",'CONFIGURAÇÃO'!$FC$222)</f>
        <v/>
      </c>
      <c r="AB10">
        <f>IF(ISBLANK('CONFIGURAÇÃO'!$FC$223),"",'CONFIGURAÇÃO'!$FC$223)</f>
        <v/>
      </c>
      <c r="AC10">
        <f>IF(ISBLANK('CONFIGURAÇÃO'!$FC$224),"",'CONFIGURAÇÃO'!$FC$224)</f>
        <v/>
      </c>
      <c r="AD10">
        <f>IF($AF10,TEXTJOIN(" · ",TRUE,$DJ10:$FH10),"")</f>
        <v/>
      </c>
      <c r="AE10">
        <f>IF(OR($C10="",$C10="Nenhuma"),0,IFERROR(MATCH(SUBSTITUTE(SUBSTITUTE(SUBSTITUTE($C10,"~","~~"),"*","~*"),"?","~?"),'DADOS_FORMAS'!$AH$2:$AH$11,0),-1))</f>
        <v/>
      </c>
      <c r="AF10">
        <f>OR($B10&lt;&gt;"",$C10&lt;&gt;"",$E10&lt;&gt;"",$F10&lt;&gt;"",$G10&lt;&gt;"",$H10&lt;&gt;"",$I10&lt;&gt;"",$J10&lt;&gt;"",$K10&lt;&gt;"",$L10&lt;&gt;"",$M10&lt;&gt;"",$N10&lt;&gt;"",$O10&lt;&gt;"",$P10&lt;&gt;"",$Q10&lt;&gt;"",$R10&lt;&gt;"",$S10&lt;&gt;"",$T10&lt;&gt;"",$U10&lt;&gt;"",$V10&lt;&gt;"",$W10&lt;&gt;"",$X10&lt;&gt;"",$Y10&lt;&gt;"",$Z10&lt;&gt;"",$AA10&lt;&gt;"",$AB10&lt;&gt;"",$AC10&lt;&gt;"",AND($D10&lt;&gt;"",$D10&lt;&gt;FALSE),AND($A10&lt;&gt;"",$A10&lt;&gt;"Forma"))</f>
        <v/>
      </c>
      <c r="AG10" t="inlineStr">
        <is>
          <t>Forma</t>
        </is>
      </c>
      <c r="AH10" t="inlineStr">
        <is>
          <t>Onda</t>
        </is>
      </c>
      <c r="AI10">
        <f>""</f>
        <v/>
      </c>
      <c r="AJ10" t="b">
        <v>0</v>
      </c>
      <c r="AK10">
        <f>""</f>
        <v/>
      </c>
      <c r="AL10" t="inlineStr">
        <is>
          <t>Aliados numa esfera de raio 3 m centrada em você. Escolha cura ou apoio ao montar.</t>
        </is>
      </c>
      <c r="AM10" t="inlineStr">
        <is>
          <t>Amparo</t>
        </is>
      </c>
      <c r="AN10" t="n">
        <v>3</v>
      </c>
      <c r="AO10" t="inlineStr">
        <is>
          <t>Automático</t>
        </is>
      </c>
      <c r="AP10" t="b">
        <v>1</v>
      </c>
      <c r="AQ10" t="b">
        <v>0</v>
      </c>
      <c r="AR10" t="b">
        <v>0</v>
      </c>
      <c r="AS10">
        <f>""</f>
        <v/>
      </c>
      <c r="AT10" t="inlineStr">
        <is>
          <t>Fixo</t>
        </is>
      </c>
      <c r="AU10" t="inlineStr">
        <is>
          <t>raio</t>
        </is>
      </c>
      <c r="AV10">
        <f>""</f>
        <v/>
      </c>
      <c r="AW10">
        <f>""</f>
        <v/>
      </c>
      <c r="AX10">
        <f>""</f>
        <v/>
      </c>
      <c r="AY10">
        <f>""</f>
        <v/>
      </c>
      <c r="AZ10">
        <f>""</f>
        <v/>
      </c>
      <c r="BA10">
        <f>""</f>
        <v/>
      </c>
      <c r="BB10">
        <f>""</f>
        <v/>
      </c>
      <c r="BC10" t="inlineStr">
        <is>
          <t>—</t>
        </is>
      </c>
      <c r="BD10" t="inlineStr">
        <is>
          <t>3 m</t>
        </is>
      </c>
      <c r="BE10" t="inlineStr">
        <is>
          <t>4,5 m</t>
        </is>
      </c>
      <c r="BF10" t="inlineStr">
        <is>
          <t>—</t>
        </is>
      </c>
      <c r="BG10" t="inlineStr">
        <is>
          <t>3 m</t>
        </is>
      </c>
      <c r="BH10" t="inlineStr">
        <is>
          <t>3 m</t>
        </is>
      </c>
      <c r="BI10" t="inlineStr">
        <is>
          <t>4,5 m</t>
        </is>
      </c>
      <c r="BJ10" t="inlineStr">
        <is>
          <t>Onda</t>
        </is>
      </c>
      <c r="BK10" t="b">
        <v>0</v>
      </c>
      <c r="BL10" t="inlineStr">
        <is>
          <t>area</t>
        </is>
      </c>
      <c r="BM10" t="inlineStr">
        <is>
          <t xml:space="preserve">raio </t>
        </is>
      </c>
      <c r="BN10" t="inlineStr">
        <is>
          <t>, em você</t>
        </is>
      </c>
      <c r="BO10" t="n">
        <v>2</v>
      </c>
      <c r="BP10">
        <f>""</f>
        <v/>
      </c>
      <c r="BQ10">
        <f>""</f>
        <v/>
      </c>
      <c r="BR10">
        <f>""</f>
        <v/>
      </c>
      <c r="BS10" t="b">
        <v>0</v>
      </c>
      <c r="BV10">
        <f>IF($A10="",IF($AE10&gt;0,INDEX('DADOS_FORMAS'!$AG$2:$AG$11,MAX(1,$AE10)),"Forma"),$A10)</f>
        <v/>
      </c>
      <c r="BW10">
        <f>IF($B10="",IF($AE10&gt;0,INDEX('DADOS_FORMAS'!$AH$2:$AH$11,MAX(1,$AE10)),""),$B10)</f>
        <v/>
      </c>
      <c r="BX10">
        <f>IF($C10="",IF($AE10&gt;0,INDEX('DADOS_FORMAS'!$AI$2:$AI$11,MAX(1,$AE10)),""),$C10)</f>
        <v/>
      </c>
      <c r="BY10">
        <f>IF($D10="",IF($AE10&gt;0,INDEX('DADOS_FORMAS'!$AJ$2:$AJ$11,MAX(1,$AE10)),FALSE),$D10)</f>
        <v/>
      </c>
      <c r="BZ10">
        <f>IF($E10="",IF($AE10&gt;0,INDEX('DADOS_FORMAS'!$AK$2:$AK$11,MAX(1,$AE10)),""),$E10)</f>
        <v/>
      </c>
      <c r="CA10">
        <f>IF($F10="",IF($AE10&gt;0,INDEX('DADOS_FORMAS'!$AL$2:$AL$11,MAX(1,$AE10)),""),$F10)</f>
        <v/>
      </c>
      <c r="CB10">
        <f>IF($G10="Nenhuma","",IF($G10="",IF($AE10&gt;0,INDEX('DADOS_FORMAS'!$AM$2:$AM$11,MAX(1,$AE10)),""),$G10))</f>
        <v/>
      </c>
      <c r="CC10">
        <f>IF($H10="",IF($AE10&gt;0,INDEX('DADOS_FORMAS'!$AN$2:$AN$11,MAX(1,$AE10)),""),IF($H10="Sem custo",0,IF($H10="Leve",1,IF($H10="Média",2,IF($H10="Pesada",3,$H10)))))</f>
        <v/>
      </c>
      <c r="CD10">
        <f>IF($I10="",IF($AE10&gt;0,INDEX('DADOS_FORMAS'!$AO$2:$AO$11,MAX(1,$AE10)),""),$I10)</f>
        <v/>
      </c>
      <c r="CE10">
        <f>IF($J10="",IF($AE10&gt;0,INDEX('DADOS_FORMAS'!$AP$2:$AP$11,MAX(1,$AE10)),""),IF($J10="Dano",0,IF($J10="Cura",1,IF($J10="Vida temporária",2,IF($J10="Efeito",3,$J10)))))</f>
        <v/>
      </c>
      <c r="CF10">
        <f>IF($K10="",IF($AE10&gt;0,INDEX('DADOS_FORMAS'!$AQ$2:$AQ$11,MAX(1,$AE10)),""),IF($K10="Sim",TRUE,IF($K10="Não",FALSE,$K10)))</f>
        <v/>
      </c>
      <c r="CG10">
        <f>IF($L10="",IF($AE10&gt;0,INDEX('DADOS_FORMAS'!$AR$2:$AR$11,MAX(1,$AE10)),""),IF($L10="Sim",TRUE,IF($L10="Não",FALSE,$L10)))</f>
        <v/>
      </c>
      <c r="CH10">
        <f>IF($M10="Nenhuma","",IF($M10="",IF($AE10&gt;0,INDEX('DADOS_FORMAS'!$AS$2:$AS$11,MAX(1,$AE10)),""),$M10))</f>
        <v/>
      </c>
      <c r="CI10">
        <f>IF($N10="",IF($AE10&gt;0,INDEX('DADOS_FORMAS'!$AT$2:$AT$11,MAX(1,$AE10)),"Fixo"),$N10)</f>
        <v/>
      </c>
      <c r="CJ10">
        <f>IF($O10="",IF($AE10&gt;0,INDEX('DADOS_FORMAS'!$AU$2:$AU$11,MAX(1,$AE10)),"Fixo"),$O10)</f>
        <v/>
      </c>
      <c r="CK10">
        <f>IF($P10="",IF($AE10&gt;0,INDEX('DADOS_FORMAS'!$AV$2:$AV$11,MAX(1,$AE10)),""),$P10)</f>
        <v/>
      </c>
      <c r="CL10">
        <f>IF($Q10="",IF($AE10&gt;0,INDEX('DADOS_FORMAS'!$AW$2:$AW$11,MAX(1,$AE10)),""),$Q10)</f>
        <v/>
      </c>
      <c r="CM10">
        <f>IF($R10="",IF($AE10&gt;0,INDEX('DADOS_FORMAS'!$AX$2:$AX$11,MAX(1,$AE10)),""),$R10)</f>
        <v/>
      </c>
      <c r="CN10">
        <f>IF($S10="",IF($AE10&gt;0,INDEX('DADOS_FORMAS'!$AY$2:$AY$11,MAX(1,$AE10)),""),$S10)</f>
        <v/>
      </c>
      <c r="CO10">
        <f>IF($T10="",IF($AE10&gt;0,INDEX('DADOS_FORMAS'!$AZ$2:$AZ$11,MAX(1,$AE10)),""),$T10)</f>
        <v/>
      </c>
      <c r="CP10">
        <f>IF($U10="",IF($AE10&gt;0,INDEX('DADOS_FORMAS'!$BA$2:$BA$11,MAX(1,$AE10)),""),$U10)</f>
        <v/>
      </c>
      <c r="CQ10">
        <f>IF($V10="",IF($AE10&gt;0,INDEX('DADOS_FORMAS'!$BB$2:$BB$11,MAX(1,$AE10)),""),$V10)</f>
        <v/>
      </c>
      <c r="CR10">
        <f>IF($W10="",IF($AE10&gt;0,INDEX('DADOS_FORMAS'!$BC$2:$BC$11,MAX(1,$AE10)),""),$W10)</f>
        <v/>
      </c>
      <c r="CS10">
        <f>IF($X10="",IF($AE10&gt;0,INDEX('DADOS_FORMAS'!$BD$2:$BD$11,MAX(1,$AE10)),""),$X10)</f>
        <v/>
      </c>
      <c r="CT10">
        <f>IF($Y10="",IF($AE10&gt;0,INDEX('DADOS_FORMAS'!$BE$2:$BE$11,MAX(1,$AE10)),""),$Y10)</f>
        <v/>
      </c>
      <c r="CU10">
        <f>IF($Z10="",IF($AE10&gt;0,INDEX('DADOS_FORMAS'!$BF$2:$BF$11,MAX(1,$AE10)),""),$Z10)</f>
        <v/>
      </c>
      <c r="CV10">
        <f>IF($AA10="",IF($AE10&gt;0,INDEX('DADOS_FORMAS'!$BG$2:$BG$11,MAX(1,$AE10)),""),$AA10)</f>
        <v/>
      </c>
      <c r="CW10">
        <f>IF($AB10="",IF($AE10&gt;0,INDEX('DADOS_FORMAS'!$BH$2:$BH$11,MAX(1,$AE10)),""),$AB10)</f>
        <v/>
      </c>
      <c r="CX10">
        <f>IF($AC10="",IF($AE10&gt;0,INDEX('DADOS_FORMAS'!$BI$2:$BI$11,MAX(1,$AE10)),""),$AC10)</f>
        <v/>
      </c>
      <c r="CY10">
        <f>IF($AE10&gt;0,INDEX('DADOS_FORMAS'!$BJ$2:$BJ$11,MAX(1,$AE10)),"")</f>
        <v/>
      </c>
      <c r="CZ10">
        <f>IF($AE10&gt;0,INDEX('DADOS_FORMAS'!$BK$2:$BK$11,MAX(1,$AE10)),0)</f>
        <v/>
      </c>
      <c r="DA10">
        <f>IF($AE10&gt;0,INDEX('DADOS_FORMAS'!$BL$2:$BL$11,MAX(1,$AE10)),"alcance")</f>
        <v/>
      </c>
      <c r="DB10">
        <f>IF($AE10&gt;0,INDEX('DADOS_FORMAS'!$BM$2:$BM$11,MAX(1,$AE10)),"")</f>
        <v/>
      </c>
      <c r="DC10">
        <f>IF($AE10&gt;0,INDEX('DADOS_FORMAS'!$BN$2:$BN$11,MAX(1,$AE10)),"")</f>
        <v/>
      </c>
      <c r="DD10">
        <f>IF($AE10&gt;0,INDEX('DADOS_FORMAS'!$BO$2:$BO$11,MAX(1,$AE10)),1)</f>
        <v/>
      </c>
      <c r="DE10">
        <f>IF(AND($AE10&gt;0,INDEX('DADOS_FORMAS'!$BP$2:$BP$11,MAX(1,$AE10))=""),IF(AND(INDEX('DADOS_FORMAS'!$BL$2:$BL$11,MAX(1,$AE10))="alcance",OR($W10&lt;&gt;"",$X10&lt;&gt;"",$Y10&lt;&gt;"",$Z10&lt;&gt;"",$AA10&lt;&gt;"",$AB10&lt;&gt;"",$AC10&lt;&gt;"")),"area",IF(AND(INDEX('DADOS_FORMAS'!$BL$2:$BL$11,MAX(1,$AE10))="area",OR($P10&lt;&gt;"",$Q10&lt;&gt;"",$R10&lt;&gt;"",$S10&lt;&gt;"",$T10&lt;&gt;"",$U10&lt;&gt;"",$V10&lt;&gt;"")),"alcance","")),IF($AE10&gt;0,INDEX('DADOS_FORMAS'!$BP$2:$BP$11,MAX(1,$AE10)),"area"))</f>
        <v/>
      </c>
      <c r="DF10">
        <f>IF(AND($AE10&gt;0,INDEX('DADOS_FORMAS'!$BP$2:$BP$11,MAX(1,$AE10))=""),IF(IF(AND(INDEX('DADOS_FORMAS'!$BL$2:$BL$11,MAX(1,$AE10))="alcance",OR($W10&lt;&gt;"",$X10&lt;&gt;"",$Y10&lt;&gt;"",$Z10&lt;&gt;"",$AA10&lt;&gt;"",$AB10&lt;&gt;"",$AC10&lt;&gt;"")),"area",IF(AND(INDEX('DADOS_FORMAS'!$BL$2:$BL$11,MAX(1,$AE10))="area",OR($P10&lt;&gt;"",$Q10&lt;&gt;"",$R10&lt;&gt;"",$S10&lt;&gt;"",$T10&lt;&gt;"",$U10&lt;&gt;"",$V10&lt;&gt;"")),"alcance",""))="alcance"," · alcance ",IF(IF(AND(INDEX('DADOS_FORMAS'!$BL$2:$BL$11,MAX(1,$AE10))="alcance",OR($W10&lt;&gt;"",$X10&lt;&gt;"",$Y10&lt;&gt;"",$Z10&lt;&gt;"",$AA10&lt;&gt;"",$AB10&lt;&gt;"",$AC10&lt;&gt;"")),"area",IF(AND(INDEX('DADOS_FORMAS'!$BL$2:$BL$11,MAX(1,$AE10))="area",OR($P10&lt;&gt;"",$Q10&lt;&gt;"",$R10&lt;&gt;"",$S10&lt;&gt;"",$T10&lt;&gt;"",$U10&lt;&gt;"",$V10&lt;&gt;"")),"alcance",""))="area"," · área ","")),IF($AE10&gt;0,INDEX('DADOS_FORMAS'!$BQ$2:$BQ$11,MAX(1,$AE10))," · área "))</f>
        <v/>
      </c>
      <c r="DG10">
        <f>IF(AND($AE10&gt;0,INDEX('DADOS_FORMAS'!$BP$2:$BP$11,MAX(1,$AE10))=""),"",IF($AE10&gt;0,INDEX('DADOS_FORMAS'!$BR$2:$BR$11,MAX(1,$AE10)),""))</f>
        <v/>
      </c>
      <c r="DH10">
        <f>IF(AND($AE10&gt;0,INDEX('DADOS_FORMAS'!$BP$2:$BP$11,MAX(1,$AE10))=""),IF(IF(AND(INDEX('DADOS_FORMAS'!$BL$2:$BL$11,MAX(1,$AE10))="alcance",OR($W10&lt;&gt;"",$X10&lt;&gt;"",$Y10&lt;&gt;"",$Z10&lt;&gt;"",$AA10&lt;&gt;"",$AB10&lt;&gt;"",$AC10&lt;&gt;"")),"area",IF(AND(INDEX('DADOS_FORMAS'!$BL$2:$BL$11,MAX(1,$AE10))="area",OR($P10&lt;&gt;"",$Q10&lt;&gt;"",$R10&lt;&gt;"",$S10&lt;&gt;"",$T10&lt;&gt;"",$U10&lt;&gt;"",$V10&lt;&gt;"")),"alcance",""))="",0,IF(IF(AND(INDEX('DADOS_FORMAS'!$BL$2:$BL$11,MAX(1,$AE10))="alcance",OR($W10&lt;&gt;"",$X10&lt;&gt;"",$Y10&lt;&gt;"",$Z10&lt;&gt;"",$AA10&lt;&gt;"",$AB10&lt;&gt;"",$AC10&lt;&gt;"")),"area",IF(AND(INDEX('DADOS_FORMAS'!$BL$2:$BL$11,MAX(1,$AE10))="area",OR($P10&lt;&gt;"",$Q10&lt;&gt;"",$R10&lt;&gt;"",$S10&lt;&gt;"",$T10&lt;&gt;"",$U10&lt;&gt;"",$V10&lt;&gt;"")),"alcance",""))="alcance",1,IF($O10="comprimento",3,2))),IF($AE10&gt;0,INDEX('DADOS_FORMAS'!$BS$2:$BS$11,MAX(1,$AE10)),IF($O10="comprimento",3,2)))</f>
        <v/>
      </c>
      <c r="DJ10">
        <f>IF(AND(ISTEXT($B10),$B10&lt;&gt;"",TRIM($B10)=$B10),"","NOME precisa ser texto sem espaços nas pontas")</f>
        <v/>
      </c>
      <c r="DK10">
        <f>IF(COUNTIF('DADOS_FORMAS'!$B$2:$B$11,SUBSTITUTE(SUBSTITUTE(SUBSTITUTE($B10,"~","~~"),"*","~*"),"?","~?"))+COUNTIF('DADOS_FORMAS'!$AH$2:$AH$11,SUBSTITUTE(SUBSTITUTE(SUBSTITUTE($B10,"~","~~"),"*","~*"),"?","~?"))=1,"","Nome repetido no livro ou custom")</f>
        <v/>
      </c>
      <c r="DL10">
        <f>IF($AE10&gt;=0,"","BASE DO LIVRO inválida para o grupo")</f>
        <v/>
      </c>
      <c r="DM10">
        <f>IF(OR($BV10="Forma"),"","TIPO inválido para o grupo")</f>
        <v/>
      </c>
      <c r="DN10">
        <f>IF(ISLOGICAL($BY10),"","MESTRE VIU precisa ser caixa de seleção")</f>
        <v/>
      </c>
      <c r="DO10">
        <f>IF(ISTEXT($CA10),"","EFEITO precisa ser texto")</f>
        <v/>
      </c>
      <c r="DP10">
        <f>IF(ISTEXT($BZ10),"","REQUISITOS precisa ser texto")</f>
        <v/>
      </c>
      <c r="DQ10">
        <f>IF(IFERROR(AND(ISNUMBER($CC10),NOT(ISLOGICAL($CC10)),$CC10=INT($CC10),$CC10&gt;=0,$CC10&lt;=3),FALSE),"","PESO exige 0/1/2/3")</f>
        <v/>
      </c>
      <c r="DR10">
        <f>IF(IFERROR(AND(ISNUMBER($CE10),NOT(ISLOGICAL($CE10)),$CE10=INT($CE10),$CE10&gt;=0,$CE10&lt;=3),FALSE),"","RESULTADO exige 0/1/2/3")</f>
        <v/>
      </c>
      <c r="DS10">
        <f>IF(ISLOGICAL($CF10),"","EXIGE_TR exige Sim/Não")</f>
        <v/>
      </c>
      <c r="DT10">
        <f>IF(ISLOGICAL($CG10),"","CLASSE_0 exige Sim/Não")</f>
        <v/>
      </c>
      <c r="DU10">
        <f>IF(OR($CD10="Acerto",$CD10="TR, metade",$CD10="Automático"),"","RESOLUÇÃO inválida")</f>
        <v/>
      </c>
      <c r="DV10">
        <f>IF(OR($CB10="",COUNTIF('DADOS_CRIACAO'!$H$2:$H$20,SUBSTITUTE(SUBSTITUTE(SUBSTITUTE($CB10,"~","~~"),"*","~*"),"?","~?"))&gt;0),"","FAMÍLIA não cadastrada ou inválida")</f>
        <v/>
      </c>
      <c r="DW10">
        <f>IF(OR($CH10="",IFERROR(MATCH(SUBSTITUTE(SUBSTITUTE(SUBSTITUTE($CH10,"~","~~"),"*","~*"),"?","~?"),INDEX('DADOS_RESTRICOES'!$M$2:$Q$54,0,1),0),0)&gt;0),"","RESTRIÇÃO EMBUTIDA inválida")</f>
        <v/>
      </c>
      <c r="DX10">
        <f>IF(OR($CI10="Fixo",$CI10="alcance"),"","ESCADA inválida para alcance")</f>
        <v/>
      </c>
      <c r="DY10">
        <f>IF(OR(NOT(AND($CG10,OR($DA10="alcance",$DE10="alcance"))),$CK10&lt;&gt;""),"","Base de alcance ausente: personagem/classe_0")</f>
        <v/>
      </c>
      <c r="DZ10">
        <f>IF(ISTEXT($CK10),"","Base precisa ser texto: alcance/personagem/classe_0")</f>
        <v/>
      </c>
      <c r="EA10">
        <f>IF(OR(NOT(AND($CG10,OR($DA10="alcance",$DE10="alcance"))),$CI10="Fixo",$CK10="",$CK10="—",AND(RIGHT($CK10,2)=" m",IFERROR(VALUE(SUBSTITUTE(LEFT($CK10,MAX(0,LEN($CK10)-2)),",",""))/10^IFERROR(LEN(LEFT($CK10,MAX(0,LEN($CK10)-2)))-FIND(",",LEFT($CK10,MAX(0,LEN($CK10)-2))),0),-1)&gt;0)),"","Base incompatível com escada: alcance/personagem/classe_0")</f>
        <v/>
      </c>
      <c r="EB10">
        <f>IF(OR(NOT(OR($DA10="alcance",$DE10="alcance")),$CL10&lt;&gt;""),"","Base de alcance ausente: personagem/classes_1_a_5")</f>
        <v/>
      </c>
      <c r="EC10">
        <f>IF(ISTEXT($CL10),"","Base precisa ser texto: alcance/personagem/classes_1_a_5")</f>
        <v/>
      </c>
      <c r="ED10">
        <f>IF(OR(NOT(OR($DA10="alcance",$DE10="alcance")),$CI10="Fixo",$CL10="",$CL10="—",AND(RIGHT($CL10,2)=" m",IFERROR(VALUE(SUBSTITUTE(LEFT($CL10,MAX(0,LEN($CL10)-2)),",",""))/10^IFERROR(LEN(LEFT($CL10,MAX(0,LEN($CL10)-2)))-FIND(",",LEFT($CL10,MAX(0,LEN($CL10)-2))),0),-1)&gt;0)),"","Base incompatível com escada: alcance/personagem/classes_1_a_5")</f>
        <v/>
      </c>
      <c r="EE10">
        <f>IF(OR(NOT(OR($DA10="alcance",$DE10="alcance")),$CM10&lt;&gt;""),"","Base de alcance ausente: personagem/classes_6_e_7")</f>
        <v/>
      </c>
      <c r="EF10">
        <f>IF(ISTEXT($CM10),"","Base precisa ser texto: alcance/personagem/classes_6_e_7")</f>
        <v/>
      </c>
      <c r="EG10">
        <f>IF(OR(NOT(OR($DA10="alcance",$DE10="alcance")),$CI10="Fixo",$CM10="",$CM10="—",AND(RIGHT($CM10,2)=" m",IFERROR(VALUE(SUBSTITUTE(LEFT($CM10,MAX(0,LEN($CM10)-2)),",",""))/10^IFERROR(LEN(LEFT($CM10,MAX(0,LEN($CM10)-2)))-FIND(",",LEFT($CM10,MAX(0,LEN($CM10)-2))),0),-1)&gt;0)),"","Base incompatível com escada: alcance/personagem/classes_6_e_7")</f>
        <v/>
      </c>
      <c r="EH10">
        <f>IF(OR(NOT(AND($CG10,OR($DA10="alcance",$DE10="alcance"))),$CN10&lt;&gt;""),"","Base de alcance ausente: entidade/classe_0")</f>
        <v/>
      </c>
      <c r="EI10">
        <f>IF(ISTEXT($CN10),"","Base precisa ser texto: alcance/entidade/classe_0")</f>
        <v/>
      </c>
      <c r="EJ10">
        <f>IF(OR(NOT(AND($CG10,OR($DA10="alcance",$DE10="alcance"))),$CI10="Fixo",$CN10="",$CN10="—",AND(RIGHT($CN10,2)=" m",IFERROR(VALUE(SUBSTITUTE(LEFT($CN10,MAX(0,LEN($CN10)-2)),",",""))/10^IFERROR(LEN(LEFT($CN10,MAX(0,LEN($CN10)-2)))-FIND(",",LEFT($CN10,MAX(0,LEN($CN10)-2))),0),-1)&gt;0)),"","Base incompatível com escada: alcance/entidade/classe_0")</f>
        <v/>
      </c>
      <c r="EK10">
        <f>IF(OR(NOT(OR($DA10="alcance",$DE10="alcance")),$CO10&lt;&gt;""),"","Base de alcance ausente: entidade/classes_1_a_5")</f>
        <v/>
      </c>
      <c r="EL10">
        <f>IF(ISTEXT($CO10),"","Base precisa ser texto: alcance/entidade/classes_1_a_5")</f>
        <v/>
      </c>
      <c r="EM10">
        <f>IF(OR(NOT(OR($DA10="alcance",$DE10="alcance")),$CI10="Fixo",$CO10="",$CO10="—",AND(RIGHT($CO10,2)=" m",IFERROR(VALUE(SUBSTITUTE(LEFT($CO10,MAX(0,LEN($CO10)-2)),",",""))/10^IFERROR(LEN(LEFT($CO10,MAX(0,LEN($CO10)-2)))-FIND(",",LEFT($CO10,MAX(0,LEN($CO10)-2))),0),-1)&gt;0)),"","Base incompatível com escada: alcance/entidade/classes_1_a_5")</f>
        <v/>
      </c>
      <c r="EN10">
        <f>IF(OR(NOT(OR($DA10="alcance",$DE10="alcance")),$CP10&lt;&gt;""),"","Base de alcance ausente: entidade/classe_6")</f>
        <v/>
      </c>
      <c r="EO10">
        <f>IF(ISTEXT($CP10),"","Base precisa ser texto: alcance/entidade/classe_6")</f>
        <v/>
      </c>
      <c r="EP10">
        <f>IF(OR(NOT(OR($DA10="alcance",$DE10="alcance")),$CI10="Fixo",$CP10="",$CP10="—",AND(RIGHT($CP10,2)=" m",IFERROR(VALUE(SUBSTITUTE(LEFT($CP10,MAX(0,LEN($CP10)-2)),",",""))/10^IFERROR(LEN(LEFT($CP10,MAX(0,LEN($CP10)-2)))-FIND(",",LEFT($CP10,MAX(0,LEN($CP10)-2))),0),-1)&gt;0)),"","Base incompatível com escada: alcance/entidade/classe_6")</f>
        <v/>
      </c>
      <c r="EQ10">
        <f>IF(OR(NOT(OR($DA10="alcance",$DE10="alcance")),$CQ10&lt;&gt;""),"","Base de alcance ausente: entidade/classe_7")</f>
        <v/>
      </c>
      <c r="ER10">
        <f>IF(ISTEXT($CQ10),"","Base precisa ser texto: alcance/entidade/classe_7")</f>
        <v/>
      </c>
      <c r="ES10">
        <f>IF(OR(NOT(OR($DA10="alcance",$DE10="alcance")),$CI10="Fixo",$CQ10="",$CQ10="—",AND(RIGHT($CQ10,2)=" m",IFERROR(VALUE(SUBSTITUTE(LEFT($CQ10,MAX(0,LEN($CQ10)-2)),",",""))/10^IFERROR(LEN(LEFT($CQ10,MAX(0,LEN($CQ10)-2)))-FIND(",",LEFT($CQ10,MAX(0,LEN($CQ10)-2))),0),-1)&gt;0)),"","Base incompatível com escada: alcance/entidade/classe_7")</f>
        <v/>
      </c>
      <c r="ET10">
        <f>IF(OR($CJ10="Fixo",$CJ10="raio",$CJ10="comprimento"),"","ESCADA inválida para area")</f>
        <v/>
      </c>
      <c r="EU10">
        <f>IF(ISTEXT($CR10),"","Base precisa ser texto: area/personagem/classe_0")</f>
        <v/>
      </c>
      <c r="EV10">
        <f>IF(OR(NOT(AND($CG10,OR($DA10="area",$DE10="area"))),$CJ10="Fixo",$CR10="",$CR10="—",AND(AND(AND(RIGHT($CR10,2)=" m",IFERROR(VALUE(SUBSTITUTE(LEFT($CR10,MAX(0,LEN($CR10)-2)),",",""))/10^IFERROR(LEN(LEFT($CR10,MAX(0,LEN($CR10)-2)))-FIND(",",LEFT($CR10,MAX(0,LEN($CR10)-2))),0),-1)&gt;0),OR($CJ10&lt;&gt;"raio",IFERROR(VALUE(SUBSTITUTE(LEFT($CR10,MAX(0,LEN($CR10)-2)),",",""))/10^IFERROR(LEN(LEFT($CR10,MAX(0,LEN($CR10)-2)))-FIND(",",LEFT($CR10,MAX(0,LEN($CR10)-2))),0),-1)&lt;=15.0)),OR($CJ10&lt;&gt;"comprimento",IFERROR(VALUE(SUBSTITUTE(LEFT($CR10,MAX(0,LEN($CR10)-2)),",",""))/10^IFERROR(LEN(LEFT($CR10,MAX(0,LEN($CR10)-2)))-FIND(",",LEFT($CR10,MAX(0,LEN($CR10)-2))),0),-1)&lt;=60.0))),"","Base incompatível com escada: area/personagem/classe_0")</f>
        <v/>
      </c>
      <c r="EW10">
        <f>IF(ISTEXT($CS10),"","Base precisa ser texto: area/personagem/classes_1_a_5")</f>
        <v/>
      </c>
      <c r="EX10">
        <f>IF(OR(NOT(OR($DA10="area",$DE10="area")),$CJ10="Fixo",$CS10="",$CS10="—",AND(AND(AND(RIGHT($CS10,2)=" m",IFERROR(VALUE(SUBSTITUTE(LEFT($CS10,MAX(0,LEN($CS10)-2)),",",""))/10^IFERROR(LEN(LEFT($CS10,MAX(0,LEN($CS10)-2)))-FIND(",",LEFT($CS10,MAX(0,LEN($CS10)-2))),0),-1)&gt;0),OR($CJ10&lt;&gt;"raio",IFERROR(VALUE(SUBSTITUTE(LEFT($CS10,MAX(0,LEN($CS10)-2)),",",""))/10^IFERROR(LEN(LEFT($CS10,MAX(0,LEN($CS10)-2)))-FIND(",",LEFT($CS10,MAX(0,LEN($CS10)-2))),0),-1)&lt;=15.0)),OR($CJ10&lt;&gt;"comprimento",IFERROR(VALUE(SUBSTITUTE(LEFT($CS10,MAX(0,LEN($CS10)-2)),",",""))/10^IFERROR(LEN(LEFT($CS10,MAX(0,LEN($CS10)-2)))-FIND(",",LEFT($CS10,MAX(0,LEN($CS10)-2))),0),-1)&lt;=60.0))),"","Base incompatível com escada: area/personagem/classes_1_a_5")</f>
        <v/>
      </c>
      <c r="EY10">
        <f>IF(ISTEXT($CT10),"","Base precisa ser texto: area/personagem/classes_6_e_7")</f>
        <v/>
      </c>
      <c r="EZ10">
        <f>IF(OR(NOT(OR($DA10="area",$DE10="area")),$CJ10="Fixo",$CT10="",$CT10="—",AND(AND(AND(RIGHT($CT10,2)=" m",IFERROR(VALUE(SUBSTITUTE(LEFT($CT10,MAX(0,LEN($CT10)-2)),",",""))/10^IFERROR(LEN(LEFT($CT10,MAX(0,LEN($CT10)-2)))-FIND(",",LEFT($CT10,MAX(0,LEN($CT10)-2))),0),-1)&gt;0),OR($CJ10&lt;&gt;"raio",IFERROR(VALUE(SUBSTITUTE(LEFT($CT10,MAX(0,LEN($CT10)-2)),",",""))/10^IFERROR(LEN(LEFT($CT10,MAX(0,LEN($CT10)-2)))-FIND(",",LEFT($CT10,MAX(0,LEN($CT10)-2))),0),-1)&lt;=15.0)),OR($CJ10&lt;&gt;"comprimento",IFERROR(VALUE(SUBSTITUTE(LEFT($CT10,MAX(0,LEN($CT10)-2)),",",""))/10^IFERROR(LEN(LEFT($CT10,MAX(0,LEN($CT10)-2)))-FIND(",",LEFT($CT10,MAX(0,LEN($CT10)-2))),0),-1)&lt;=60.0))),"","Base incompatível com escada: area/personagem/classes_6_e_7")</f>
        <v/>
      </c>
      <c r="FA10">
        <f>IF(ISTEXT($CU10),"","Base precisa ser texto: area/entidade/classe_0")</f>
        <v/>
      </c>
      <c r="FB10">
        <f>IF(OR(NOT(AND($CG10,OR($DA10="area",$DE10="area"))),$CJ10="Fixo",$CU10="",$CU10="—",AND(AND(AND(RIGHT($CU10,2)=" m",IFERROR(VALUE(SUBSTITUTE(LEFT($CU10,MAX(0,LEN($CU10)-2)),",",""))/10^IFERROR(LEN(LEFT($CU10,MAX(0,LEN($CU10)-2)))-FIND(",",LEFT($CU10,MAX(0,LEN($CU10)-2))),0),-1)&gt;0),OR($CJ10&lt;&gt;"raio",IFERROR(VALUE(SUBSTITUTE(LEFT($CU10,MAX(0,LEN($CU10)-2)),",",""))/10^IFERROR(LEN(LEFT($CU10,MAX(0,LEN($CU10)-2)))-FIND(",",LEFT($CU10,MAX(0,LEN($CU10)-2))),0),-1)&lt;=15.0)),OR($CJ10&lt;&gt;"comprimento",IFERROR(VALUE(SUBSTITUTE(LEFT($CU10,MAX(0,LEN($CU10)-2)),",",""))/10^IFERROR(LEN(LEFT($CU10,MAX(0,LEN($CU10)-2)))-FIND(",",LEFT($CU10,MAX(0,LEN($CU10)-2))),0),-1)&lt;=60.0))),"","Base incompatível com escada: area/entidade/classe_0")</f>
        <v/>
      </c>
      <c r="FC10">
        <f>IF(ISTEXT($CV10),"","Base precisa ser texto: area/entidade/classes_1_a_5")</f>
        <v/>
      </c>
      <c r="FD10">
        <f>IF(OR(NOT(OR($DA10="area",$DE10="area")),$CJ10="Fixo",$CV10="",$CV10="—",AND(AND(AND(RIGHT($CV10,2)=" m",IFERROR(VALUE(SUBSTITUTE(LEFT($CV10,MAX(0,LEN($CV10)-2)),",",""))/10^IFERROR(LEN(LEFT($CV10,MAX(0,LEN($CV10)-2)))-FIND(",",LEFT($CV10,MAX(0,LEN($CV10)-2))),0),-1)&gt;0),OR($CJ10&lt;&gt;"raio",IFERROR(VALUE(SUBSTITUTE(LEFT($CV10,MAX(0,LEN($CV10)-2)),",",""))/10^IFERROR(LEN(LEFT($CV10,MAX(0,LEN($CV10)-2)))-FIND(",",LEFT($CV10,MAX(0,LEN($CV10)-2))),0),-1)&lt;=15.0)),OR($CJ10&lt;&gt;"comprimento",IFERROR(VALUE(SUBSTITUTE(LEFT($CV10,MAX(0,LEN($CV10)-2)),",",""))/10^IFERROR(LEN(LEFT($CV10,MAX(0,LEN($CV10)-2)))-FIND(",",LEFT($CV10,MAX(0,LEN($CV10)-2))),0),-1)&lt;=60.0))),"","Base incompatível com escada: area/entidade/classes_1_a_5")</f>
        <v/>
      </c>
      <c r="FE10">
        <f>IF(ISTEXT($CW10),"","Base precisa ser texto: area/entidade/classe_6")</f>
        <v/>
      </c>
      <c r="FF10">
        <f>IF(OR(NOT(OR($DA10="area",$DE10="area")),$CJ10="Fixo",$CW10="",$CW10="—",AND(AND(AND(RIGHT($CW10,2)=" m",IFERROR(VALUE(SUBSTITUTE(LEFT($CW10,MAX(0,LEN($CW10)-2)),",",""))/10^IFERROR(LEN(LEFT($CW10,MAX(0,LEN($CW10)-2)))-FIND(",",LEFT($CW10,MAX(0,LEN($CW10)-2))),0),-1)&gt;0),OR($CJ10&lt;&gt;"raio",IFERROR(VALUE(SUBSTITUTE(LEFT($CW10,MAX(0,LEN($CW10)-2)),",",""))/10^IFERROR(LEN(LEFT($CW10,MAX(0,LEN($CW10)-2)))-FIND(",",LEFT($CW10,MAX(0,LEN($CW10)-2))),0),-1)&lt;=15.0)),OR($CJ10&lt;&gt;"comprimento",IFERROR(VALUE(SUBSTITUTE(LEFT($CW10,MAX(0,LEN($CW10)-2)),",",""))/10^IFERROR(LEN(LEFT($CW10,MAX(0,LEN($CW10)-2)))-FIND(",",LEFT($CW10,MAX(0,LEN($CW10)-2))),0),-1)&lt;=60.0))),"","Base incompatível com escada: area/entidade/classe_6")</f>
        <v/>
      </c>
      <c r="FG10">
        <f>IF(ISTEXT($CX10),"","Base precisa ser texto: area/entidade/classe_7")</f>
        <v/>
      </c>
      <c r="FH10">
        <f>IF(OR(NOT(OR($DA10="area",$DE10="area")),$CJ10="Fixo",$CX10="",$CX10="—",AND(AND(AND(RIGHT($CX10,2)=" m",IFERROR(VALUE(SUBSTITUTE(LEFT($CX10,MAX(0,LEN($CX10)-2)),",",""))/10^IFERROR(LEN(LEFT($CX10,MAX(0,LEN($CX10)-2)))-FIND(",",LEFT($CX10,MAX(0,LEN($CX10)-2))),0),-1)&gt;0),OR($CJ10&lt;&gt;"raio",IFERROR(VALUE(SUBSTITUTE(LEFT($CX10,MAX(0,LEN($CX10)-2)),",",""))/10^IFERROR(LEN(LEFT($CX10,MAX(0,LEN($CX10)-2)))-FIND(",",LEFT($CX10,MAX(0,LEN($CX10)-2))),0),-1)&lt;=15.0)),OR($CJ10&lt;&gt;"comprimento",IFERROR(VALUE(SUBSTITUTE(LEFT($CX10,MAX(0,LEN($CX10)-2)),",",""))/10^IFERROR(LEN(LEFT($CX10,MAX(0,LEN($CX10)-2)))-FIND(",",LEFT($CX10,MAX(0,LEN($CX10)-2))),0),-1)&lt;=60.0))),"","Base incompatível com escada: area/entidade/classe_7")</f>
        <v/>
      </c>
      <c r="FJ10">
        <f>'DADOS_FORMAS'!$AH10</f>
        <v/>
      </c>
      <c r="FK10">
        <f>'DADOS_FORMAS'!$AM10</f>
        <v/>
      </c>
      <c r="FL10">
        <f>'DADOS_FORMAS'!$AN10</f>
        <v/>
      </c>
      <c r="FM10">
        <f>IF('DADOS_FORMAS'!$AN10=0,0,'DADOS_FORMAS'!$AN10+3*IFERROR(VLOOKUP(SUBSTITUTE(SUBSTITUTE(SUBSTITUTE('DADOS_FORMAS'!$AM10,"~","~~"),"*","~*"),"?","~?"),'DADOS_CRIACAO'!$H$2:$K$20,3,FALSE),0))</f>
        <v/>
      </c>
      <c r="FN10">
        <f>IFERROR(VLOOKUP(SUBSTITUTE(SUBSTITUTE(SUBSTITUTE('DADOS_FORMAS'!$AM10,"~","~~"),"*","~*"),"?","~?"),'DADOS_CRIACAO'!$H$2:$K$20,4,FALSE),0)</f>
        <v/>
      </c>
      <c r="FO10">
        <f>IF('DADOS_FORMAS'!$AS10="",0,1)</f>
        <v/>
      </c>
      <c r="FP10">
        <f>'DADOS_FORMAS'!$AP10</f>
        <v/>
      </c>
      <c r="FQ10">
        <f>IF(AND('DADOS_FORMAS'!$AO10="Acerto",'DADOS_FORMAS'!$AQ10),"Acerto + TR",'DADOS_FORMAS'!$AO10)</f>
        <v/>
      </c>
      <c r="FR10">
        <f>N(OR('DADOS_FORMAS'!$AQ10,'DADOS_FORMAS'!$AO10="TR, metade"))</f>
        <v/>
      </c>
      <c r="FS10">
        <f>'DADOS_FORMAS'!$BO10</f>
        <v/>
      </c>
      <c r="FT10">
        <f>'DADOS_FORMAS'!$BS10</f>
        <v/>
      </c>
      <c r="FU10">
        <f>'DADOS_FORMAS'!$BK10</f>
        <v/>
      </c>
      <c r="FV10">
        <f>N('DADOS_FORMAS'!$AR10)</f>
        <v/>
      </c>
      <c r="FW10">
        <f>IF(IFERROR(VLOOKUP(SUBSTITUTE(SUBSTITUTE(SUBSTITUTE('DADOS_FORMAS'!$AM10,"~","~~"),"*","~*"),"?","~?"),'DADOS_CRIACAO'!$H$2:$K$20,4,FALSE),0)=1,"",'DADOS_FORMAS'!$AH10)</f>
        <v/>
      </c>
      <c r="FX10">
        <f>IF(AND('DADOS_FORMAS'!$AR10,IFERROR(VLOOKUP(SUBSTITUTE(SUBSTITUTE(SUBSTITUTE('DADOS_FORMAS'!$AM10,"~","~~"),"*","~*"),"?","~?"),'DADOS_CRIACAO'!$H$2:$K$20,4,FALSE),0)=0),'DADOS_FORMAS'!$AH10,"")</f>
        <v/>
      </c>
      <c r="FZ10">
        <f>'DADOS_FORMAS'!$AH10</f>
        <v/>
      </c>
      <c r="GA10">
        <f>'DADOS_FORMAS'!$AM10</f>
        <v/>
      </c>
      <c r="GB10">
        <f>'DADOS_FORMAS'!$AN10</f>
        <v/>
      </c>
      <c r="GC10">
        <f>IF('DADOS_FORMAS'!$AS10="",0,1)</f>
        <v/>
      </c>
      <c r="GD10">
        <f>'DADOS_FORMAS'!$AP10</f>
        <v/>
      </c>
      <c r="GE10">
        <f>IF('DADOS_FORMAS'!$AO10="Acerto","Ataque",IF('DADOS_FORMAS'!$AQ10,"TR","—"))</f>
        <v/>
      </c>
      <c r="GF10">
        <f>N(OR('DADOS_FORMAS'!$AQ10,'DADOS_FORMAS'!$AO10="TR, metade"))</f>
        <v/>
      </c>
      <c r="GG10">
        <f>'DADOS_FORMAS'!$BO10</f>
        <v/>
      </c>
      <c r="GH10">
        <f>'DADOS_FORMAS'!$BS10</f>
        <v/>
      </c>
      <c r="GI10">
        <f>'DADOS_FORMAS'!$BK10</f>
        <v/>
      </c>
      <c r="GJ10">
        <f>N('DADOS_FORMAS'!$AR10)</f>
        <v/>
      </c>
      <c r="GR10">
        <f>'DADOS_FORMAS'!$BL13</f>
        <v/>
      </c>
      <c r="GS10">
        <f>IF('DADOS_FORMAS'!$BL13="area",'DADOS_FORMAS'!$AU13,'DADOS_FORMAS'!$AT13)</f>
        <v/>
      </c>
      <c r="GT10">
        <f>IF('DADOS_FORMAS'!$BL13="area",'DADOS_FORMAS'!$BD13,'DADOS_FORMAS'!$AW13)</f>
        <v/>
      </c>
      <c r="GU10">
        <f>'DADOS_FORMAS'!$BM13</f>
        <v/>
      </c>
      <c r="GV10">
        <f>'DADOS_FORMAS'!$BN13</f>
        <v/>
      </c>
      <c r="GW10">
        <f>LET(base,'DADOS_FORMAS'!$GT10,escada,'DADOS_FORMAS'!$GS10,medida,LEFT(base,MAX(0,LEN(base)-2)),valor,IFERROR(VALUE(SUBSTITUTE(medida,",",""))/10^IFERROR(LEN(medida)-FIND(",",medida),0),1E99),IF(OR(escada="Fixo",base="—"),base,IF(escada="alcance",IFERROR(MATCH(base,{"1,5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0" t="inlineStr">
        <is>
          <t>Explosão · classes 6 e 7</t>
        </is>
      </c>
      <c r="GZ10" t="inlineStr">
        <is>
          <t>Raio 4,5 m</t>
        </is>
      </c>
      <c r="HA10" t="inlineStr">
        <is>
          <t>Raio 6 m</t>
        </is>
      </c>
      <c r="HB10" t="inlineStr">
        <is>
          <t>Raio 9 m</t>
        </is>
      </c>
      <c r="HC10" t="inlineStr">
        <is>
          <t>Raio 15 m</t>
        </is>
      </c>
      <c r="HD10" t="inlineStr">
        <is>
          <t>Raio 15 m</t>
        </is>
      </c>
      <c r="HE10" t="inlineStr">
        <is>
          <t>Raio 15 m</t>
        </is>
      </c>
      <c r="HF10" t="inlineStr">
        <is>
          <t>, a 36 m</t>
        </is>
      </c>
      <c r="HG10" t="inlineStr">
        <is>
          <t>, a 90 m</t>
        </is>
      </c>
      <c r="HH10" t="inlineStr">
        <is>
          <t>, a visão a olho nu</t>
        </is>
      </c>
      <c r="HI10" t="inlineStr">
        <is>
          <t>, a visão a olho nu</t>
        </is>
      </c>
      <c r="HJ10" t="inlineStr">
        <is>
          <t>, a visão a olho nu</t>
        </is>
      </c>
      <c r="HK10" t="inlineStr">
        <is>
          <t>, a visão a olho nu</t>
        </is>
      </c>
      <c r="HM10">
        <f>'DADOS_FORMAS'!$BL13</f>
        <v/>
      </c>
      <c r="HN10">
        <f>IF('DADOS_FORMAS'!$BL13="area",'DADOS_FORMAS'!$AU13,'DADOS_FORMAS'!$AT13)</f>
        <v/>
      </c>
      <c r="HO10">
        <f>IF('DADOS_FORMAS'!$BL13="area",'DADOS_FORMAS'!$BF13,'DADOS_FORMAS'!$AY13)</f>
        <v/>
      </c>
      <c r="HP10">
        <f>'DADOS_FORMAS'!$BM13</f>
        <v/>
      </c>
      <c r="HQ10">
        <f>'DADOS_FORMAS'!$BN13</f>
        <v/>
      </c>
      <c r="HR10">
        <f>LET(base,'DADOS_FORMAS'!$HO10,escada,'DADOS_FORMAS'!$HN10,medida,LEFT(base,MAX(0,LEN(base)-2)),valor,IFERROR(VALUE(SUBSTITUTE(medida,",",""))/10^IFERROR(LEN(medida)-FIND(",",medida),0),1E99),IF(OR(escada="Fixo",base="—"),base,IF(escada="alcance",IFERROR(MATCH(base,{"1,5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0" t="inlineStr">
        <is>
          <t>Explosão · classe 0</t>
        </is>
      </c>
      <c r="HU10" t="inlineStr">
        <is>
          <t>Raio 3 m</t>
        </is>
      </c>
      <c r="HV10" t="inlineStr">
        <is>
          <t>Raio 4,5 m</t>
        </is>
      </c>
      <c r="HW10" t="inlineStr">
        <is>
          <t>Raio 6 m</t>
        </is>
      </c>
      <c r="HX10" t="inlineStr">
        <is>
          <t>Raio 9 m</t>
        </is>
      </c>
      <c r="HY10" t="inlineStr">
        <is>
          <t>Raio 15 m</t>
        </is>
      </c>
      <c r="HZ10" t="inlineStr">
        <is>
          <t>Raio 15 m</t>
        </is>
      </c>
      <c r="IA10" t="inlineStr">
        <is>
          <t>, a 9 m</t>
        </is>
      </c>
      <c r="IB10" t="inlineStr">
        <is>
          <t>, a 18 m</t>
        </is>
      </c>
      <c r="IC10" t="inlineStr">
        <is>
          <t>, a 36 m</t>
        </is>
      </c>
      <c r="ID10" t="inlineStr">
        <is>
          <t>, a 90 m</t>
        </is>
      </c>
      <c r="IE10" t="inlineStr">
        <is>
          <t>, a visão a olho nu</t>
        </is>
      </c>
      <c r="IF10" t="inlineStr">
        <is>
          <t>, a visão a olho nu</t>
        </is>
      </c>
      <c r="IH10">
        <f>IF(OR('DADOS_FORMAS'!$AM10='INVOCAÇÕES'!$O$48,'DADOS_FORMAS'!$AM10='INVOCAÇÕES'!$P$48,'DADOS_FORMAS'!$AM10='INVOCAÇÕES'!$Q$48,'DADOS_FORMAS'!$AM10='INVOCAÇÕES'!$R$48,'DADOS_FORMAS'!$AM10='INVOCAÇÕES'!$S$48,'DADOS_FORMAS'!$AM10='INVOCAÇÕES'!$O$50,'DADOS_FORMAS'!$AM10='INVOCAÇÕES'!$P$50,'DADOS_FORMAS'!$AM10='INVOCAÇÕES'!$Q$50,'DADOS_FORMAS'!$AM10='INVOCAÇÕES'!$R$50,'DADOS_FORMAS'!$AM10=""),'DADOS_FORMAS'!$AH10,"")</f>
        <v/>
      </c>
      <c r="II10">
        <f>IF(AND(OR('DADOS_FORMAS'!$AM10='INVOCAÇÕES'!$O$48,'DADOS_FORMAS'!$AM10='INVOCAÇÕES'!$P$48,'DADOS_FORMAS'!$AM10='INVOCAÇÕES'!$Q$48,'DADOS_FORMAS'!$AM10='INVOCAÇÕES'!$R$48,'DADOS_FORMAS'!$AM10='INVOCAÇÕES'!$S$48,'DADOS_FORMAS'!$AM10='INVOCAÇÕES'!$O$50,'DADOS_FORMAS'!$AM10='INVOCAÇÕES'!$P$50,'DADOS_FORMAS'!$AM10='INVOCAÇÕES'!$Q$50,'DADOS_FORMAS'!$AM10='INVOCAÇÕES'!$R$50,'DADOS_FORMAS'!$AM10=""),'DADOS_FORMAS'!$AR10),'DADOS_FORMAS'!$AH10,"")</f>
        <v/>
      </c>
      <c r="IK10">
        <f>IF(OR('DADOS_FORMAS'!$AM10='INVOCAÇÕES'!$O$259,'DADOS_FORMAS'!$AM10='INVOCAÇÕES'!$P$259,'DADOS_FORMAS'!$AM10='INVOCAÇÕES'!$Q$259,'DADOS_FORMAS'!$AM10='INVOCAÇÕES'!$R$259,'DADOS_FORMAS'!$AM10='INVOCAÇÕES'!$S$259,'DADOS_FORMAS'!$AM10='INVOCAÇÕES'!$O$261,'DADOS_FORMAS'!$AM10='INVOCAÇÕES'!$P$261,'DADOS_FORMAS'!$AM10='INVOCAÇÕES'!$Q$261,'DADOS_FORMAS'!$AM10='INVOCAÇÕES'!$R$261,'DADOS_FORMAS'!$AM10=""),'DADOS_FORMAS'!$AH10,"")</f>
        <v/>
      </c>
      <c r="IL10">
        <f>IF(AND(OR('DADOS_FORMAS'!$AM10='INVOCAÇÕES'!$O$259,'DADOS_FORMAS'!$AM10='INVOCAÇÕES'!$P$259,'DADOS_FORMAS'!$AM10='INVOCAÇÕES'!$Q$259,'DADOS_FORMAS'!$AM10='INVOCAÇÕES'!$R$259,'DADOS_FORMAS'!$AM10='INVOCAÇÕES'!$S$259,'DADOS_FORMAS'!$AM10='INVOCAÇÕES'!$O$261,'DADOS_FORMAS'!$AM10='INVOCAÇÕES'!$P$261,'DADOS_FORMAS'!$AM10='INVOCAÇÕES'!$Q$261,'DADOS_FORMAS'!$AM10='INVOCAÇÕES'!$R$261,'DADOS_FORMAS'!$AM10=""),'DADOS_FORMAS'!$AR10),'DADOS_FORMAS'!$AH10,"")</f>
        <v/>
      </c>
      <c r="IN10">
        <f>IF(OR('DADOS_FORMAS'!$AM10='INVOCAÇÕES'!$O$470,'DADOS_FORMAS'!$AM10='INVOCAÇÕES'!$P$470,'DADOS_FORMAS'!$AM10='INVOCAÇÕES'!$Q$470,'DADOS_FORMAS'!$AM10='INVOCAÇÕES'!$R$470,'DADOS_FORMAS'!$AM10='INVOCAÇÕES'!$S$470,'DADOS_FORMAS'!$AM10='INVOCAÇÕES'!$O$472,'DADOS_FORMAS'!$AM10='INVOCAÇÕES'!$P$472,'DADOS_FORMAS'!$AM10='INVOCAÇÕES'!$Q$472,'DADOS_FORMAS'!$AM10='INVOCAÇÕES'!$R$472,'DADOS_FORMAS'!$AM10=""),'DADOS_FORMAS'!$AH10,"")</f>
        <v/>
      </c>
      <c r="IO10">
        <f>IF(AND(OR('DADOS_FORMAS'!$AM10='INVOCAÇÕES'!$O$470,'DADOS_FORMAS'!$AM10='INVOCAÇÕES'!$P$470,'DADOS_FORMAS'!$AM10='INVOCAÇÕES'!$Q$470,'DADOS_FORMAS'!$AM10='INVOCAÇÕES'!$R$470,'DADOS_FORMAS'!$AM10='INVOCAÇÕES'!$S$470,'DADOS_FORMAS'!$AM10='INVOCAÇÕES'!$O$472,'DADOS_FORMAS'!$AM10='INVOCAÇÕES'!$P$472,'DADOS_FORMAS'!$AM10='INVOCAÇÕES'!$Q$472,'DADOS_FORMAS'!$AM10='INVOCAÇÕES'!$R$472,'DADOS_FORMAS'!$AM10=""),'DADOS_FORMAS'!$AR10),'DADOS_FORMAS'!$AH10,"")</f>
        <v/>
      </c>
      <c r="IQ10">
        <f>IF(OR('DADOS_FORMAS'!$AM10='INVOCAÇÕES'!$O$681,'DADOS_FORMAS'!$AM10='INVOCAÇÕES'!$P$681,'DADOS_FORMAS'!$AM10='INVOCAÇÕES'!$Q$681,'DADOS_FORMAS'!$AM10='INVOCAÇÕES'!$R$681,'DADOS_FORMAS'!$AM10='INVOCAÇÕES'!$S$681,'DADOS_FORMAS'!$AM10='INVOCAÇÕES'!$O$683,'DADOS_FORMAS'!$AM10='INVOCAÇÕES'!$P$683,'DADOS_FORMAS'!$AM10='INVOCAÇÕES'!$Q$683,'DADOS_FORMAS'!$AM10='INVOCAÇÕES'!$R$683,'DADOS_FORMAS'!$AM10=""),'DADOS_FORMAS'!$AH10,"")</f>
        <v/>
      </c>
      <c r="IR10">
        <f>IF(AND(OR('DADOS_FORMAS'!$AM10='INVOCAÇÕES'!$O$681,'DADOS_FORMAS'!$AM10='INVOCAÇÕES'!$P$681,'DADOS_FORMAS'!$AM10='INVOCAÇÕES'!$Q$681,'DADOS_FORMAS'!$AM10='INVOCAÇÕES'!$R$681,'DADOS_FORMAS'!$AM10='INVOCAÇÕES'!$S$681,'DADOS_FORMAS'!$AM10='INVOCAÇÕES'!$O$683,'DADOS_FORMAS'!$AM10='INVOCAÇÕES'!$P$683,'DADOS_FORMAS'!$AM10='INVOCAÇÕES'!$Q$683,'DADOS_FORMAS'!$AM10='INVOCAÇÕES'!$R$683,'DADOS_FORMAS'!$AM10=""),'DADOS_FORMAS'!$AR10),'DADOS_FORMAS'!$AH10,"")</f>
        <v/>
      </c>
      <c r="IT10">
        <f>IF(OR('DADOS_FORMAS'!$AM10='INVOCAÇÕES'!$O$892,'DADOS_FORMAS'!$AM10='INVOCAÇÕES'!$P$892,'DADOS_FORMAS'!$AM10='INVOCAÇÕES'!$Q$892,'DADOS_FORMAS'!$AM10='INVOCAÇÕES'!$R$892,'DADOS_FORMAS'!$AM10='INVOCAÇÕES'!$S$892,'DADOS_FORMAS'!$AM10='INVOCAÇÕES'!$O$894,'DADOS_FORMAS'!$AM10='INVOCAÇÕES'!$P$894,'DADOS_FORMAS'!$AM10='INVOCAÇÕES'!$Q$894,'DADOS_FORMAS'!$AM10='INVOCAÇÕES'!$R$894,'DADOS_FORMAS'!$AM10=""),'DADOS_FORMAS'!$AH10,"")</f>
        <v/>
      </c>
      <c r="IU10">
        <f>IF(AND(OR('DADOS_FORMAS'!$AM10='INVOCAÇÕES'!$O$892,'DADOS_FORMAS'!$AM10='INVOCAÇÕES'!$P$892,'DADOS_FORMAS'!$AM10='INVOCAÇÕES'!$Q$892,'DADOS_FORMAS'!$AM10='INVOCAÇÕES'!$R$892,'DADOS_FORMAS'!$AM10='INVOCAÇÕES'!$S$892,'DADOS_FORMAS'!$AM10='INVOCAÇÕES'!$O$894,'DADOS_FORMAS'!$AM10='INVOCAÇÕES'!$P$894,'DADOS_FORMAS'!$AM10='INVOCAÇÕES'!$Q$894,'DADOS_FORMAS'!$AM10='INVOCAÇÕES'!$R$894,'DADOS_FORMAS'!$AM10=""),'DADOS_FORMAS'!$AR10),'DADOS_FORMAS'!$AH10,"")</f>
        <v/>
      </c>
      <c r="IW10">
        <f>IF(OR('DADOS_FORMAS'!$AM10='INVOCAÇÕES'!$O$1103,'DADOS_FORMAS'!$AM10='INVOCAÇÕES'!$P$1103,'DADOS_FORMAS'!$AM10='INVOCAÇÕES'!$Q$1103,'DADOS_FORMAS'!$AM10='INVOCAÇÕES'!$R$1103,'DADOS_FORMAS'!$AM10='INVOCAÇÕES'!$S$1103,'DADOS_FORMAS'!$AM10='INVOCAÇÕES'!$O$1105,'DADOS_FORMAS'!$AM10='INVOCAÇÕES'!$P$1105,'DADOS_FORMAS'!$AM10='INVOCAÇÕES'!$Q$1105,'DADOS_FORMAS'!$AM10='INVOCAÇÕES'!$R$1105,'DADOS_FORMAS'!$AM10=""),'DADOS_FORMAS'!$AH10,"")</f>
        <v/>
      </c>
      <c r="IX10">
        <f>IF(AND(OR('DADOS_FORMAS'!$AM10='INVOCAÇÕES'!$O$1103,'DADOS_FORMAS'!$AM10='INVOCAÇÕES'!$P$1103,'DADOS_FORMAS'!$AM10='INVOCAÇÕES'!$Q$1103,'DADOS_FORMAS'!$AM10='INVOCAÇÕES'!$R$1103,'DADOS_FORMAS'!$AM10='INVOCAÇÕES'!$S$1103,'DADOS_FORMAS'!$AM10='INVOCAÇÕES'!$O$1105,'DADOS_FORMAS'!$AM10='INVOCAÇÕES'!$P$1105,'DADOS_FORMAS'!$AM10='INVOCAÇÕES'!$Q$1105,'DADOS_FORMAS'!$AM10='INVOCAÇÕES'!$R$1105,'DADOS_FORMAS'!$AM10=""),'DADOS_FORMAS'!$AR10),'DADOS_FORMAS'!$AH10,"")</f>
        <v/>
      </c>
      <c r="IZ10">
        <f>IF(OR('DADOS_FORMAS'!$AM10='INVOCAÇÕES'!$AH$48,'DADOS_FORMAS'!$AM10='INVOCAÇÕES'!$AI$48,'DADOS_FORMAS'!$AM10='INVOCAÇÕES'!$AJ$48,'DADOS_FORMAS'!$AM10='INVOCAÇÕES'!$AK$48,'DADOS_FORMAS'!$AM10='INVOCAÇÕES'!$AL$48,'DADOS_FORMAS'!$AM10='INVOCAÇÕES'!$AH$50,'DADOS_FORMAS'!$AM10='INVOCAÇÕES'!$AI$50,'DADOS_FORMAS'!$AM10='INVOCAÇÕES'!$AJ$50,'DADOS_FORMAS'!$AM10='INVOCAÇÕES'!$AK$50,'DADOS_FORMAS'!$AM10=""),'DADOS_FORMAS'!$AH10,"")</f>
        <v/>
      </c>
      <c r="JA10">
        <f>IF(AND(OR('DADOS_FORMAS'!$AM10='INVOCAÇÕES'!$AH$48,'DADOS_FORMAS'!$AM10='INVOCAÇÕES'!$AI$48,'DADOS_FORMAS'!$AM10='INVOCAÇÕES'!$AJ$48,'DADOS_FORMAS'!$AM10='INVOCAÇÕES'!$AK$48,'DADOS_FORMAS'!$AM10='INVOCAÇÕES'!$AL$48,'DADOS_FORMAS'!$AM10='INVOCAÇÕES'!$AH$50,'DADOS_FORMAS'!$AM10='INVOCAÇÕES'!$AI$50,'DADOS_FORMAS'!$AM10='INVOCAÇÕES'!$AJ$50,'DADOS_FORMAS'!$AM10='INVOCAÇÕES'!$AK$50,'DADOS_FORMAS'!$AM10=""),'DADOS_FORMAS'!$AR10),'DADOS_FORMAS'!$AH10,"")</f>
        <v/>
      </c>
      <c r="JC10">
        <f>IF(OR('DADOS_FORMAS'!$AM10='INVOCAÇÕES'!$AH$259,'DADOS_FORMAS'!$AM10='INVOCAÇÕES'!$AI$259,'DADOS_FORMAS'!$AM10='INVOCAÇÕES'!$AJ$259,'DADOS_FORMAS'!$AM10='INVOCAÇÕES'!$AK$259,'DADOS_FORMAS'!$AM10='INVOCAÇÕES'!$AL$259,'DADOS_FORMAS'!$AM10='INVOCAÇÕES'!$AH$261,'DADOS_FORMAS'!$AM10='INVOCAÇÕES'!$AI$261,'DADOS_FORMAS'!$AM10='INVOCAÇÕES'!$AJ$261,'DADOS_FORMAS'!$AM10='INVOCAÇÕES'!$AK$261,'DADOS_FORMAS'!$AM10=""),'DADOS_FORMAS'!$AH10,"")</f>
        <v/>
      </c>
      <c r="JD10">
        <f>IF(AND(OR('DADOS_FORMAS'!$AM10='INVOCAÇÕES'!$AH$259,'DADOS_FORMAS'!$AM10='INVOCAÇÕES'!$AI$259,'DADOS_FORMAS'!$AM10='INVOCAÇÕES'!$AJ$259,'DADOS_FORMAS'!$AM10='INVOCAÇÕES'!$AK$259,'DADOS_FORMAS'!$AM10='INVOCAÇÕES'!$AL$259,'DADOS_FORMAS'!$AM10='INVOCAÇÕES'!$AH$261,'DADOS_FORMAS'!$AM10='INVOCAÇÕES'!$AI$261,'DADOS_FORMAS'!$AM10='INVOCAÇÕES'!$AJ$261,'DADOS_FORMAS'!$AM10='INVOCAÇÕES'!$AK$261,'DADOS_FORMAS'!$AM10=""),'DADOS_FORMAS'!$AR10),'DADOS_FORMAS'!$AH10,"")</f>
        <v/>
      </c>
      <c r="JF10">
        <f>IF(OR('DADOS_FORMAS'!$AM10='INVOCAÇÕES'!$AH$470,'DADOS_FORMAS'!$AM10='INVOCAÇÕES'!$AI$470,'DADOS_FORMAS'!$AM10='INVOCAÇÕES'!$AJ$470,'DADOS_FORMAS'!$AM10='INVOCAÇÕES'!$AK$470,'DADOS_FORMAS'!$AM10='INVOCAÇÕES'!$AL$470,'DADOS_FORMAS'!$AM10='INVOCAÇÕES'!$AH$472,'DADOS_FORMAS'!$AM10='INVOCAÇÕES'!$AI$472,'DADOS_FORMAS'!$AM10='INVOCAÇÕES'!$AJ$472,'DADOS_FORMAS'!$AM10='INVOCAÇÕES'!$AK$472,'DADOS_FORMAS'!$AM10=""),'DADOS_FORMAS'!$AH10,"")</f>
        <v/>
      </c>
      <c r="JG10">
        <f>IF(AND(OR('DADOS_FORMAS'!$AM10='INVOCAÇÕES'!$AH$470,'DADOS_FORMAS'!$AM10='INVOCAÇÕES'!$AI$470,'DADOS_FORMAS'!$AM10='INVOCAÇÕES'!$AJ$470,'DADOS_FORMAS'!$AM10='INVOCAÇÕES'!$AK$470,'DADOS_FORMAS'!$AM10='INVOCAÇÕES'!$AL$470,'DADOS_FORMAS'!$AM10='INVOCAÇÕES'!$AH$472,'DADOS_FORMAS'!$AM10='INVOCAÇÕES'!$AI$472,'DADOS_FORMAS'!$AM10='INVOCAÇÕES'!$AJ$472,'DADOS_FORMAS'!$AM10='INVOCAÇÕES'!$AK$472,'DADOS_FORMAS'!$AM10=""),'DADOS_FORMAS'!$AR10),'DADOS_FORMAS'!$AH10,"")</f>
        <v/>
      </c>
      <c r="JI10">
        <f>IF(OR('DADOS_FORMAS'!$AM10='INVOCAÇÕES'!$AH$681,'DADOS_FORMAS'!$AM10='INVOCAÇÕES'!$AI$681,'DADOS_FORMAS'!$AM10='INVOCAÇÕES'!$AJ$681,'DADOS_FORMAS'!$AM10='INVOCAÇÕES'!$AK$681,'DADOS_FORMAS'!$AM10='INVOCAÇÕES'!$AL$681,'DADOS_FORMAS'!$AM10='INVOCAÇÕES'!$AH$683,'DADOS_FORMAS'!$AM10='INVOCAÇÕES'!$AI$683,'DADOS_FORMAS'!$AM10='INVOCAÇÕES'!$AJ$683,'DADOS_FORMAS'!$AM10='INVOCAÇÕES'!$AK$683,'DADOS_FORMAS'!$AM10=""),'DADOS_FORMAS'!$AH10,"")</f>
        <v/>
      </c>
      <c r="JJ10">
        <f>IF(AND(OR('DADOS_FORMAS'!$AM10='INVOCAÇÕES'!$AH$681,'DADOS_FORMAS'!$AM10='INVOCAÇÕES'!$AI$681,'DADOS_FORMAS'!$AM10='INVOCAÇÕES'!$AJ$681,'DADOS_FORMAS'!$AM10='INVOCAÇÕES'!$AK$681,'DADOS_FORMAS'!$AM10='INVOCAÇÕES'!$AL$681,'DADOS_FORMAS'!$AM10='INVOCAÇÕES'!$AH$683,'DADOS_FORMAS'!$AM10='INVOCAÇÕES'!$AI$683,'DADOS_FORMAS'!$AM10='INVOCAÇÕES'!$AJ$683,'DADOS_FORMAS'!$AM10='INVOCAÇÕES'!$AK$683,'DADOS_FORMAS'!$AM10=""),'DADOS_FORMAS'!$AR10),'DADOS_FORMAS'!$AH10,"")</f>
        <v/>
      </c>
      <c r="JL10">
        <f>IF(OR('DADOS_FORMAS'!$AM10='INVOCAÇÕES'!$AH$892,'DADOS_FORMAS'!$AM10='INVOCAÇÕES'!$AI$892,'DADOS_FORMAS'!$AM10='INVOCAÇÕES'!$AJ$892,'DADOS_FORMAS'!$AM10='INVOCAÇÕES'!$AK$892,'DADOS_FORMAS'!$AM10='INVOCAÇÕES'!$AL$892,'DADOS_FORMAS'!$AM10='INVOCAÇÕES'!$AH$894,'DADOS_FORMAS'!$AM10='INVOCAÇÕES'!$AI$894,'DADOS_FORMAS'!$AM10='INVOCAÇÕES'!$AJ$894,'DADOS_FORMAS'!$AM10='INVOCAÇÕES'!$AK$894,'DADOS_FORMAS'!$AM10=""),'DADOS_FORMAS'!$AH10,"")</f>
        <v/>
      </c>
      <c r="JM10">
        <f>IF(AND(OR('DADOS_FORMAS'!$AM10='INVOCAÇÕES'!$AH$892,'DADOS_FORMAS'!$AM10='INVOCAÇÕES'!$AI$892,'DADOS_FORMAS'!$AM10='INVOCAÇÕES'!$AJ$892,'DADOS_FORMAS'!$AM10='INVOCAÇÕES'!$AK$892,'DADOS_FORMAS'!$AM10='INVOCAÇÕES'!$AL$892,'DADOS_FORMAS'!$AM10='INVOCAÇÕES'!$AH$894,'DADOS_FORMAS'!$AM10='INVOCAÇÕES'!$AI$894,'DADOS_FORMAS'!$AM10='INVOCAÇÕES'!$AJ$894,'DADOS_FORMAS'!$AM10='INVOCAÇÕES'!$AK$894,'DADOS_FORMAS'!$AM10=""),'DADOS_FORMAS'!$AR10),'DADOS_FORMAS'!$AH10,"")</f>
        <v/>
      </c>
      <c r="JO10">
        <f>IF(OR('DADOS_FORMAS'!$AM10='INVOCAÇÕES'!$AH$1103,'DADOS_FORMAS'!$AM10='INVOCAÇÕES'!$AI$1103,'DADOS_FORMAS'!$AM10='INVOCAÇÕES'!$AJ$1103,'DADOS_FORMAS'!$AM10='INVOCAÇÕES'!$AK$1103,'DADOS_FORMAS'!$AM10='INVOCAÇÕES'!$AL$1103,'DADOS_FORMAS'!$AM10='INVOCAÇÕES'!$AH$1105,'DADOS_FORMAS'!$AM10='INVOCAÇÕES'!$AI$1105,'DADOS_FORMAS'!$AM10='INVOCAÇÕES'!$AJ$1105,'DADOS_FORMAS'!$AM10='INVOCAÇÕES'!$AK$1105,'DADOS_FORMAS'!$AM10=""),'DADOS_FORMAS'!$AH10,"")</f>
        <v/>
      </c>
      <c r="JP10">
        <f>IF(AND(OR('DADOS_FORMAS'!$AM10='INVOCAÇÕES'!$AH$1103,'DADOS_FORMAS'!$AM10='INVOCAÇÕES'!$AI$1103,'DADOS_FORMAS'!$AM10='INVOCAÇÕES'!$AJ$1103,'DADOS_FORMAS'!$AM10='INVOCAÇÕES'!$AK$1103,'DADOS_FORMAS'!$AM10='INVOCAÇÕES'!$AL$1103,'DADOS_FORMAS'!$AM10='INVOCAÇÕES'!$AH$1105,'DADOS_FORMAS'!$AM10='INVOCAÇÕES'!$AI$1105,'DADOS_FORMAS'!$AM10='INVOCAÇÕES'!$AJ$1105,'DADOS_FORMAS'!$AM10='INVOCAÇÕES'!$AK$1105,'DADOS_FORMAS'!$AM10=""),'DADOS_FORMAS'!$AR10),'DADOS_FORMAS'!$AH10,"")</f>
        <v/>
      </c>
      <c r="JR10" t="inlineStr">
        <is>
          <t>Apoio</t>
        </is>
      </c>
      <c r="JZ10">
        <f>IFERROR(INDEX('DADOS_CRIACAO'!$H$2:$H$20,8),"")</f>
        <v/>
      </c>
      <c r="KA10">
        <f>IFERROR(INDEX(INDEX('DADOS_RESTRICOES'!$M$2:$Q$54,0,1),8),"")</f>
        <v/>
      </c>
    </row>
    <row r="11">
      <c r="A11">
        <f>IF(ISBLANK('CONFIGURAÇÃO'!$FH$198),"",'CONFIGURAÇÃO'!$FH$198)</f>
        <v/>
      </c>
      <c r="B11">
        <f>IF(ISBLANK('CONFIGURAÇÃO'!$FH$200),"",'CONFIGURAÇÃO'!$FH$200)</f>
        <v/>
      </c>
      <c r="C11">
        <f>IF(ISBLANK('CONFIGURAÇÃO'!$FK$201),"",'CONFIGURAÇÃO'!$FK$201)</f>
        <v/>
      </c>
      <c r="D11">
        <f>IF(ISBLANK('CONFIGURAÇÃO'!$FL$198),"",'CONFIGURAÇÃO'!$FL$198)</f>
        <v/>
      </c>
      <c r="E11">
        <f>IF(ISBLANK('CONFIGURAÇÃO'!$FH$227),"",'CONFIGURAÇÃO'!$FH$227)</f>
        <v/>
      </c>
      <c r="F11">
        <f>IF(ISBLANK('CONFIGURAÇÃO'!$FH$233),"",'CONFIGURAÇÃO'!$FH$233)</f>
        <v/>
      </c>
      <c r="G11">
        <f>IF(ISBLANK('CONFIGURAÇÃO'!$FK$202),"",'CONFIGURAÇÃO'!$FK$202)</f>
        <v/>
      </c>
      <c r="H11">
        <f>IF(ISBLANK('CONFIGURAÇÃO'!$FK$203),"",'CONFIGURAÇÃO'!$FK$203)</f>
        <v/>
      </c>
      <c r="I11">
        <f>IF(ISBLANK('CONFIGURAÇÃO'!$FK$204),"",'CONFIGURAÇÃO'!$FK$204)</f>
        <v/>
      </c>
      <c r="J11">
        <f>IF(ISBLANK('CONFIGURAÇÃO'!$FK$205),"",'CONFIGURAÇÃO'!$FK$205)</f>
        <v/>
      </c>
      <c r="K11">
        <f>IF(ISBLANK('CONFIGURAÇÃO'!$FK$206),"",'CONFIGURAÇÃO'!$FK$206)</f>
        <v/>
      </c>
      <c r="L11">
        <f>IF(ISBLANK('CONFIGURAÇÃO'!$FK$207),"",'CONFIGURAÇÃO'!$FK$207)</f>
        <v/>
      </c>
      <c r="M11">
        <f>IF(ISBLANK('CONFIGURAÇÃO'!$FK$208),"",'CONFIGURAÇÃO'!$FK$208)</f>
        <v/>
      </c>
      <c r="N11">
        <f>IF(ISBLANK('CONFIGURAÇÃO'!$FK$209),"",'CONFIGURAÇÃO'!$FK$209)</f>
        <v/>
      </c>
      <c r="O11">
        <f>IF(ISBLANK('CONFIGURAÇÃO'!$FK$210),"",'CONFIGURAÇÃO'!$FK$210)</f>
        <v/>
      </c>
      <c r="P11">
        <f>IF(ISBLANK('CONFIGURAÇÃO'!$FK$211),"",'CONFIGURAÇÃO'!$FK$211)</f>
        <v/>
      </c>
      <c r="Q11">
        <f>IF(ISBLANK('CONFIGURAÇÃO'!$FK$212),"",'CONFIGURAÇÃO'!$FK$212)</f>
        <v/>
      </c>
      <c r="R11">
        <f>IF(ISBLANK('CONFIGURAÇÃO'!$FK$213),"",'CONFIGURAÇÃO'!$FK$213)</f>
        <v/>
      </c>
      <c r="S11">
        <f>IF(ISBLANK('CONFIGURAÇÃO'!$FK$214),"",'CONFIGURAÇÃO'!$FK$214)</f>
        <v/>
      </c>
      <c r="T11">
        <f>IF(ISBLANK('CONFIGURAÇÃO'!$FK$215),"",'CONFIGURAÇÃO'!$FK$215)</f>
        <v/>
      </c>
      <c r="U11">
        <f>IF(ISBLANK('CONFIGURAÇÃO'!$FK$216),"",'CONFIGURAÇÃO'!$FK$216)</f>
        <v/>
      </c>
      <c r="V11">
        <f>IF(ISBLANK('CONFIGURAÇÃO'!$FK$217),"",'CONFIGURAÇÃO'!$FK$217)</f>
        <v/>
      </c>
      <c r="W11">
        <f>IF(ISBLANK('CONFIGURAÇÃO'!$FK$218),"",'CONFIGURAÇÃO'!$FK$218)</f>
        <v/>
      </c>
      <c r="X11">
        <f>IF(ISBLANK('CONFIGURAÇÃO'!$FK$219),"",'CONFIGURAÇÃO'!$FK$219)</f>
        <v/>
      </c>
      <c r="Y11">
        <f>IF(ISBLANK('CONFIGURAÇÃO'!$FK$220),"",'CONFIGURAÇÃO'!$FK$220)</f>
        <v/>
      </c>
      <c r="Z11">
        <f>IF(ISBLANK('CONFIGURAÇÃO'!$FK$221),"",'CONFIGURAÇÃO'!$FK$221)</f>
        <v/>
      </c>
      <c r="AA11">
        <f>IF(ISBLANK('CONFIGURAÇÃO'!$FK$222),"",'CONFIGURAÇÃO'!$FK$222)</f>
        <v/>
      </c>
      <c r="AB11">
        <f>IF(ISBLANK('CONFIGURAÇÃO'!$FK$223),"",'CONFIGURAÇÃO'!$FK$223)</f>
        <v/>
      </c>
      <c r="AC11">
        <f>IF(ISBLANK('CONFIGURAÇÃO'!$FK$224),"",'CONFIGURAÇÃO'!$FK$224)</f>
        <v/>
      </c>
      <c r="AD11">
        <f>IF($AF11,TEXTJOIN(" · ",TRUE,$DJ11:$FH11),"")</f>
        <v/>
      </c>
      <c r="AE11">
        <f>IF(OR($C11="",$C11="Nenhuma"),0,IFERROR(MATCH(SUBSTITUTE(SUBSTITUTE(SUBSTITUTE($C11,"~","~~"),"*","~*"),"?","~?"),'DADOS_FORMAS'!$AH$2:$AH$11,0),-1))</f>
        <v/>
      </c>
      <c r="AF11">
        <f>OR($B11&lt;&gt;"",$C11&lt;&gt;"",$E11&lt;&gt;"",$F11&lt;&gt;"",$G11&lt;&gt;"",$H11&lt;&gt;"",$I11&lt;&gt;"",$J11&lt;&gt;"",$K11&lt;&gt;"",$L11&lt;&gt;"",$M11&lt;&gt;"",$N11&lt;&gt;"",$O11&lt;&gt;"",$P11&lt;&gt;"",$Q11&lt;&gt;"",$R11&lt;&gt;"",$S11&lt;&gt;"",$T11&lt;&gt;"",$U11&lt;&gt;"",$V11&lt;&gt;"",$W11&lt;&gt;"",$X11&lt;&gt;"",$Y11&lt;&gt;"",$Z11&lt;&gt;"",$AA11&lt;&gt;"",$AB11&lt;&gt;"",$AC11&lt;&gt;"",AND($D11&lt;&gt;"",$D11&lt;&gt;FALSE),AND($A11&lt;&gt;"",$A11&lt;&gt;"Forma"))</f>
        <v/>
      </c>
      <c r="AG11" t="inlineStr">
        <is>
          <t>Forma</t>
        </is>
      </c>
      <c r="AH11" t="inlineStr">
        <is>
          <t>Efeito</t>
        </is>
      </c>
      <c r="AI11">
        <f>""</f>
        <v/>
      </c>
      <c r="AJ11" t="b">
        <v>0</v>
      </c>
      <c r="AK11">
        <f>""</f>
        <v/>
      </c>
      <c r="AL11" t="inlineStr">
        <is>
          <t>Uma aplicação fora de combate. Usa a escala de Efeitos fora de combate, sem dano ou vida temporária.</t>
        </is>
      </c>
      <c r="AM11">
        <f>""</f>
        <v/>
      </c>
      <c r="AN11" t="b">
        <v>0</v>
      </c>
      <c r="AO11" t="inlineStr">
        <is>
          <t>Automático</t>
        </is>
      </c>
      <c r="AP11" t="n">
        <v>3</v>
      </c>
      <c r="AQ11" t="b">
        <v>0</v>
      </c>
      <c r="AR11" t="b">
        <v>1</v>
      </c>
      <c r="AS11">
        <f>""</f>
        <v/>
      </c>
      <c r="AT11" t="inlineStr">
        <is>
          <t>Fixo</t>
        </is>
      </c>
      <c r="AU11" t="inlineStr">
        <is>
          <t>Fixo</t>
        </is>
      </c>
      <c r="AV11" t="inlineStr">
        <is>
          <t>fora de combate</t>
        </is>
      </c>
      <c r="AW11" t="inlineStr">
        <is>
          <t>fora de combate</t>
        </is>
      </c>
      <c r="AX11" t="inlineStr">
        <is>
          <t>fora de combate</t>
        </is>
      </c>
      <c r="AY11" t="inlineStr">
        <is>
          <t>fora de combate</t>
        </is>
      </c>
      <c r="AZ11" t="inlineStr">
        <is>
          <t>fora de combate</t>
        </is>
      </c>
      <c r="BA11" t="inlineStr">
        <is>
          <t>fora de combate</t>
        </is>
      </c>
      <c r="BB11" t="inlineStr">
        <is>
          <t>fora de combate</t>
        </is>
      </c>
      <c r="BC11">
        <f>""</f>
        <v/>
      </c>
      <c r="BD11">
        <f>""</f>
        <v/>
      </c>
      <c r="BE11">
        <f>""</f>
        <v/>
      </c>
      <c r="BF11">
        <f>""</f>
        <v/>
      </c>
      <c r="BG11">
        <f>""</f>
        <v/>
      </c>
      <c r="BH11">
        <f>""</f>
        <v/>
      </c>
      <c r="BI11">
        <f>""</f>
        <v/>
      </c>
      <c r="BJ11" t="inlineStr">
        <is>
          <t>Efeito</t>
        </is>
      </c>
      <c r="BK11" t="b">
        <v>0</v>
      </c>
      <c r="BL11" t="inlineStr">
        <is>
          <t>alcance</t>
        </is>
      </c>
      <c r="BM11">
        <f>""</f>
        <v/>
      </c>
      <c r="BN11">
        <f>""</f>
        <v/>
      </c>
      <c r="BO11" t="b">
        <v>0</v>
      </c>
      <c r="BP11">
        <f>""</f>
        <v/>
      </c>
      <c r="BQ11">
        <f>""</f>
        <v/>
      </c>
      <c r="BR11">
        <f>""</f>
        <v/>
      </c>
      <c r="BS11" t="b">
        <v>0</v>
      </c>
      <c r="BV11">
        <f>IF($A11="",IF($AE11&gt;0,INDEX('DADOS_FORMAS'!$AG$2:$AG$11,MAX(1,$AE11)),"Forma"),$A11)</f>
        <v/>
      </c>
      <c r="BW11">
        <f>IF($B11="",IF($AE11&gt;0,INDEX('DADOS_FORMAS'!$AH$2:$AH$11,MAX(1,$AE11)),""),$B11)</f>
        <v/>
      </c>
      <c r="BX11">
        <f>IF($C11="",IF($AE11&gt;0,INDEX('DADOS_FORMAS'!$AI$2:$AI$11,MAX(1,$AE11)),""),$C11)</f>
        <v/>
      </c>
      <c r="BY11">
        <f>IF($D11="",IF($AE11&gt;0,INDEX('DADOS_FORMAS'!$AJ$2:$AJ$11,MAX(1,$AE11)),FALSE),$D11)</f>
        <v/>
      </c>
      <c r="BZ11">
        <f>IF($E11="",IF($AE11&gt;0,INDEX('DADOS_FORMAS'!$AK$2:$AK$11,MAX(1,$AE11)),""),$E11)</f>
        <v/>
      </c>
      <c r="CA11">
        <f>IF($F11="",IF($AE11&gt;0,INDEX('DADOS_FORMAS'!$AL$2:$AL$11,MAX(1,$AE11)),""),$F11)</f>
        <v/>
      </c>
      <c r="CB11">
        <f>IF($G11="Nenhuma","",IF($G11="",IF($AE11&gt;0,INDEX('DADOS_FORMAS'!$AM$2:$AM$11,MAX(1,$AE11)),""),$G11))</f>
        <v/>
      </c>
      <c r="CC11">
        <f>IF($H11="",IF($AE11&gt;0,INDEX('DADOS_FORMAS'!$AN$2:$AN$11,MAX(1,$AE11)),""),IF($H11="Sem custo",0,IF($H11="Leve",1,IF($H11="Média",2,IF($H11="Pesada",3,$H11)))))</f>
        <v/>
      </c>
      <c r="CD11">
        <f>IF($I11="",IF($AE11&gt;0,INDEX('DADOS_FORMAS'!$AO$2:$AO$11,MAX(1,$AE11)),""),$I11)</f>
        <v/>
      </c>
      <c r="CE11">
        <f>IF($J11="",IF($AE11&gt;0,INDEX('DADOS_FORMAS'!$AP$2:$AP$11,MAX(1,$AE11)),""),IF($J11="Dano",0,IF($J11="Cura",1,IF($J11="Vida temporária",2,IF($J11="Efeito",3,$J11)))))</f>
        <v/>
      </c>
      <c r="CF11">
        <f>IF($K11="",IF($AE11&gt;0,INDEX('DADOS_FORMAS'!$AQ$2:$AQ$11,MAX(1,$AE11)),""),IF($K11="Sim",TRUE,IF($K11="Não",FALSE,$K11)))</f>
        <v/>
      </c>
      <c r="CG11">
        <f>IF($L11="",IF($AE11&gt;0,INDEX('DADOS_FORMAS'!$AR$2:$AR$11,MAX(1,$AE11)),""),IF($L11="Sim",TRUE,IF($L11="Não",FALSE,$L11)))</f>
        <v/>
      </c>
      <c r="CH11">
        <f>IF($M11="Nenhuma","",IF($M11="",IF($AE11&gt;0,INDEX('DADOS_FORMAS'!$AS$2:$AS$11,MAX(1,$AE11)),""),$M11))</f>
        <v/>
      </c>
      <c r="CI11">
        <f>IF($N11="",IF($AE11&gt;0,INDEX('DADOS_FORMAS'!$AT$2:$AT$11,MAX(1,$AE11)),"Fixo"),$N11)</f>
        <v/>
      </c>
      <c r="CJ11">
        <f>IF($O11="",IF($AE11&gt;0,INDEX('DADOS_FORMAS'!$AU$2:$AU$11,MAX(1,$AE11)),"Fixo"),$O11)</f>
        <v/>
      </c>
      <c r="CK11">
        <f>IF($P11="",IF($AE11&gt;0,INDEX('DADOS_FORMAS'!$AV$2:$AV$11,MAX(1,$AE11)),""),$P11)</f>
        <v/>
      </c>
      <c r="CL11">
        <f>IF($Q11="",IF($AE11&gt;0,INDEX('DADOS_FORMAS'!$AW$2:$AW$11,MAX(1,$AE11)),""),$Q11)</f>
        <v/>
      </c>
      <c r="CM11">
        <f>IF($R11="",IF($AE11&gt;0,INDEX('DADOS_FORMAS'!$AX$2:$AX$11,MAX(1,$AE11)),""),$R11)</f>
        <v/>
      </c>
      <c r="CN11">
        <f>IF($S11="",IF($AE11&gt;0,INDEX('DADOS_FORMAS'!$AY$2:$AY$11,MAX(1,$AE11)),""),$S11)</f>
        <v/>
      </c>
      <c r="CO11">
        <f>IF($T11="",IF($AE11&gt;0,INDEX('DADOS_FORMAS'!$AZ$2:$AZ$11,MAX(1,$AE11)),""),$T11)</f>
        <v/>
      </c>
      <c r="CP11">
        <f>IF($U11="",IF($AE11&gt;0,INDEX('DADOS_FORMAS'!$BA$2:$BA$11,MAX(1,$AE11)),""),$U11)</f>
        <v/>
      </c>
      <c r="CQ11">
        <f>IF($V11="",IF($AE11&gt;0,INDEX('DADOS_FORMAS'!$BB$2:$BB$11,MAX(1,$AE11)),""),$V11)</f>
        <v/>
      </c>
      <c r="CR11">
        <f>IF($W11="",IF($AE11&gt;0,INDEX('DADOS_FORMAS'!$BC$2:$BC$11,MAX(1,$AE11)),""),$W11)</f>
        <v/>
      </c>
      <c r="CS11">
        <f>IF($X11="",IF($AE11&gt;0,INDEX('DADOS_FORMAS'!$BD$2:$BD$11,MAX(1,$AE11)),""),$X11)</f>
        <v/>
      </c>
      <c r="CT11">
        <f>IF($Y11="",IF($AE11&gt;0,INDEX('DADOS_FORMAS'!$BE$2:$BE$11,MAX(1,$AE11)),""),$Y11)</f>
        <v/>
      </c>
      <c r="CU11">
        <f>IF($Z11="",IF($AE11&gt;0,INDEX('DADOS_FORMAS'!$BF$2:$BF$11,MAX(1,$AE11)),""),$Z11)</f>
        <v/>
      </c>
      <c r="CV11">
        <f>IF($AA11="",IF($AE11&gt;0,INDEX('DADOS_FORMAS'!$BG$2:$BG$11,MAX(1,$AE11)),""),$AA11)</f>
        <v/>
      </c>
      <c r="CW11">
        <f>IF($AB11="",IF($AE11&gt;0,INDEX('DADOS_FORMAS'!$BH$2:$BH$11,MAX(1,$AE11)),""),$AB11)</f>
        <v/>
      </c>
      <c r="CX11">
        <f>IF($AC11="",IF($AE11&gt;0,INDEX('DADOS_FORMAS'!$BI$2:$BI$11,MAX(1,$AE11)),""),$AC11)</f>
        <v/>
      </c>
      <c r="CY11">
        <f>IF($AE11&gt;0,INDEX('DADOS_FORMAS'!$BJ$2:$BJ$11,MAX(1,$AE11)),"")</f>
        <v/>
      </c>
      <c r="CZ11">
        <f>IF($AE11&gt;0,INDEX('DADOS_FORMAS'!$BK$2:$BK$11,MAX(1,$AE11)),0)</f>
        <v/>
      </c>
      <c r="DA11">
        <f>IF($AE11&gt;0,INDEX('DADOS_FORMAS'!$BL$2:$BL$11,MAX(1,$AE11)),"alcance")</f>
        <v/>
      </c>
      <c r="DB11">
        <f>IF($AE11&gt;0,INDEX('DADOS_FORMAS'!$BM$2:$BM$11,MAX(1,$AE11)),"")</f>
        <v/>
      </c>
      <c r="DC11">
        <f>IF($AE11&gt;0,INDEX('DADOS_FORMAS'!$BN$2:$BN$11,MAX(1,$AE11)),"")</f>
        <v/>
      </c>
      <c r="DD11">
        <f>IF($AE11&gt;0,INDEX('DADOS_FORMAS'!$BO$2:$BO$11,MAX(1,$AE11)),1)</f>
        <v/>
      </c>
      <c r="DE11">
        <f>IF(AND($AE11&gt;0,INDEX('DADOS_FORMAS'!$BP$2:$BP$11,MAX(1,$AE11))=""),IF(AND(INDEX('DADOS_FORMAS'!$BL$2:$BL$11,MAX(1,$AE11))="alcance",OR($W11&lt;&gt;"",$X11&lt;&gt;"",$Y11&lt;&gt;"",$Z11&lt;&gt;"",$AA11&lt;&gt;"",$AB11&lt;&gt;"",$AC11&lt;&gt;"")),"area",IF(AND(INDEX('DADOS_FORMAS'!$BL$2:$BL$11,MAX(1,$AE11))="area",OR($P11&lt;&gt;"",$Q11&lt;&gt;"",$R11&lt;&gt;"",$S11&lt;&gt;"",$T11&lt;&gt;"",$U11&lt;&gt;"",$V11&lt;&gt;"")),"alcance","")),IF($AE11&gt;0,INDEX('DADOS_FORMAS'!$BP$2:$BP$11,MAX(1,$AE11)),"area"))</f>
        <v/>
      </c>
      <c r="DF11">
        <f>IF(AND($AE11&gt;0,INDEX('DADOS_FORMAS'!$BP$2:$BP$11,MAX(1,$AE11))=""),IF(IF(AND(INDEX('DADOS_FORMAS'!$BL$2:$BL$11,MAX(1,$AE11))="alcance",OR($W11&lt;&gt;"",$X11&lt;&gt;"",$Y11&lt;&gt;"",$Z11&lt;&gt;"",$AA11&lt;&gt;"",$AB11&lt;&gt;"",$AC11&lt;&gt;"")),"area",IF(AND(INDEX('DADOS_FORMAS'!$BL$2:$BL$11,MAX(1,$AE11))="area",OR($P11&lt;&gt;"",$Q11&lt;&gt;"",$R11&lt;&gt;"",$S11&lt;&gt;"",$T11&lt;&gt;"",$U11&lt;&gt;"",$V11&lt;&gt;"")),"alcance",""))="alcance"," · alcance ",IF(IF(AND(INDEX('DADOS_FORMAS'!$BL$2:$BL$11,MAX(1,$AE11))="alcance",OR($W11&lt;&gt;"",$X11&lt;&gt;"",$Y11&lt;&gt;"",$Z11&lt;&gt;"",$AA11&lt;&gt;"",$AB11&lt;&gt;"",$AC11&lt;&gt;"")),"area",IF(AND(INDEX('DADOS_FORMAS'!$BL$2:$BL$11,MAX(1,$AE11))="area",OR($P11&lt;&gt;"",$Q11&lt;&gt;"",$R11&lt;&gt;"",$S11&lt;&gt;"",$T11&lt;&gt;"",$U11&lt;&gt;"",$V11&lt;&gt;"")),"alcance",""))="area"," · área ","")),IF($AE11&gt;0,INDEX('DADOS_FORMAS'!$BQ$2:$BQ$11,MAX(1,$AE11))," · área "))</f>
        <v/>
      </c>
      <c r="DG11">
        <f>IF(AND($AE11&gt;0,INDEX('DADOS_FORMAS'!$BP$2:$BP$11,MAX(1,$AE11))=""),"",IF($AE11&gt;0,INDEX('DADOS_FORMAS'!$BR$2:$BR$11,MAX(1,$AE11)),""))</f>
        <v/>
      </c>
      <c r="DH11">
        <f>IF(AND($AE11&gt;0,INDEX('DADOS_FORMAS'!$BP$2:$BP$11,MAX(1,$AE11))=""),IF(IF(AND(INDEX('DADOS_FORMAS'!$BL$2:$BL$11,MAX(1,$AE11))="alcance",OR($W11&lt;&gt;"",$X11&lt;&gt;"",$Y11&lt;&gt;"",$Z11&lt;&gt;"",$AA11&lt;&gt;"",$AB11&lt;&gt;"",$AC11&lt;&gt;"")),"area",IF(AND(INDEX('DADOS_FORMAS'!$BL$2:$BL$11,MAX(1,$AE11))="area",OR($P11&lt;&gt;"",$Q11&lt;&gt;"",$R11&lt;&gt;"",$S11&lt;&gt;"",$T11&lt;&gt;"",$U11&lt;&gt;"",$V11&lt;&gt;"")),"alcance",""))="",0,IF(IF(AND(INDEX('DADOS_FORMAS'!$BL$2:$BL$11,MAX(1,$AE11))="alcance",OR($W11&lt;&gt;"",$X11&lt;&gt;"",$Y11&lt;&gt;"",$Z11&lt;&gt;"",$AA11&lt;&gt;"",$AB11&lt;&gt;"",$AC11&lt;&gt;"")),"area",IF(AND(INDEX('DADOS_FORMAS'!$BL$2:$BL$11,MAX(1,$AE11))="area",OR($P11&lt;&gt;"",$Q11&lt;&gt;"",$R11&lt;&gt;"",$S11&lt;&gt;"",$T11&lt;&gt;"",$U11&lt;&gt;"",$V11&lt;&gt;"")),"alcance",""))="alcance",1,IF($O11="comprimento",3,2))),IF($AE11&gt;0,INDEX('DADOS_FORMAS'!$BS$2:$BS$11,MAX(1,$AE11)),IF($O11="comprimento",3,2)))</f>
        <v/>
      </c>
      <c r="DJ11">
        <f>IF(AND(ISTEXT($B11),$B11&lt;&gt;"",TRIM($B11)=$B11),"","NOME precisa ser texto sem espaços nas pontas")</f>
        <v/>
      </c>
      <c r="DK11">
        <f>IF(COUNTIF('DADOS_FORMAS'!$B$2:$B$11,SUBSTITUTE(SUBSTITUTE(SUBSTITUTE($B11,"~","~~"),"*","~*"),"?","~?"))+COUNTIF('DADOS_FORMAS'!$AH$2:$AH$11,SUBSTITUTE(SUBSTITUTE(SUBSTITUTE($B11,"~","~~"),"*","~*"),"?","~?"))=1,"","Nome repetido no livro ou custom")</f>
        <v/>
      </c>
      <c r="DL11">
        <f>IF($AE11&gt;=0,"","BASE DO LIVRO inválida para o grupo")</f>
        <v/>
      </c>
      <c r="DM11">
        <f>IF(OR($BV11="Forma"),"","TIPO inválido para o grupo")</f>
        <v/>
      </c>
      <c r="DN11">
        <f>IF(ISLOGICAL($BY11),"","MESTRE VIU precisa ser caixa de seleção")</f>
        <v/>
      </c>
      <c r="DO11">
        <f>IF(ISTEXT($CA11),"","EFEITO precisa ser texto")</f>
        <v/>
      </c>
      <c r="DP11">
        <f>IF(ISTEXT($BZ11),"","REQUISITOS precisa ser texto")</f>
        <v/>
      </c>
      <c r="DQ11">
        <f>IF(IFERROR(AND(ISNUMBER($CC11),NOT(ISLOGICAL($CC11)),$CC11=INT($CC11),$CC11&gt;=0,$CC11&lt;=3),FALSE),"","PESO exige 0/1/2/3")</f>
        <v/>
      </c>
      <c r="DR11">
        <f>IF(IFERROR(AND(ISNUMBER($CE11),NOT(ISLOGICAL($CE11)),$CE11=INT($CE11),$CE11&gt;=0,$CE11&lt;=3),FALSE),"","RESULTADO exige 0/1/2/3")</f>
        <v/>
      </c>
      <c r="DS11">
        <f>IF(ISLOGICAL($CF11),"","EXIGE_TR exige Sim/Não")</f>
        <v/>
      </c>
      <c r="DT11">
        <f>IF(ISLOGICAL($CG11),"","CLASSE_0 exige Sim/Não")</f>
        <v/>
      </c>
      <c r="DU11">
        <f>IF(OR($CD11="Acerto",$CD11="TR, metade",$CD11="Automático"),"","RESOLUÇÃO inválida")</f>
        <v/>
      </c>
      <c r="DV11">
        <f>IF(OR($CB11="",COUNTIF('DADOS_CRIACAO'!$H$2:$H$20,SUBSTITUTE(SUBSTITUTE(SUBSTITUTE($CB11,"~","~~"),"*","~*"),"?","~?"))&gt;0),"","FAMÍLIA não cadastrada ou inválida")</f>
        <v/>
      </c>
      <c r="DW11">
        <f>IF(OR($CH11="",IFERROR(MATCH(SUBSTITUTE(SUBSTITUTE(SUBSTITUTE($CH11,"~","~~"),"*","~*"),"?","~?"),INDEX('DADOS_RESTRICOES'!$M$2:$Q$54,0,1),0),0)&gt;0),"","RESTRIÇÃO EMBUTIDA inválida")</f>
        <v/>
      </c>
      <c r="DX11">
        <f>IF(OR($CI11="Fixo",$CI11="alcance"),"","ESCADA inválida para alcance")</f>
        <v/>
      </c>
      <c r="DY11">
        <f>IF(OR(NOT(AND($CG11,OR($DA11="alcance",$DE11="alcance"))),$CK11&lt;&gt;""),"","Base de alcance ausente: personagem/classe_0")</f>
        <v/>
      </c>
      <c r="DZ11">
        <f>IF(ISTEXT($CK11),"","Base precisa ser texto: alcance/personagem/classe_0")</f>
        <v/>
      </c>
      <c r="EA11">
        <f>IF(OR(NOT(AND($CG11,OR($DA11="alcance",$DE11="alcance"))),$CI11="Fixo",$CK11="",$CK11="—",AND(RIGHT($CK11,2)=" m",IFERROR(VALUE(SUBSTITUTE(LEFT($CK11,MAX(0,LEN($CK11)-2)),",",""))/10^IFERROR(LEN(LEFT($CK11,MAX(0,LEN($CK11)-2)))-FIND(",",LEFT($CK11,MAX(0,LEN($CK11)-2))),0),-1)&gt;0)),"","Base incompatível com escada: alcance/personagem/classe_0")</f>
        <v/>
      </c>
      <c r="EB11">
        <f>IF(OR(NOT(OR($DA11="alcance",$DE11="alcance")),$CL11&lt;&gt;""),"","Base de alcance ausente: personagem/classes_1_a_5")</f>
        <v/>
      </c>
      <c r="EC11">
        <f>IF(ISTEXT($CL11),"","Base precisa ser texto: alcance/personagem/classes_1_a_5")</f>
        <v/>
      </c>
      <c r="ED11">
        <f>IF(OR(NOT(OR($DA11="alcance",$DE11="alcance")),$CI11="Fixo",$CL11="",$CL11="—",AND(RIGHT($CL11,2)=" m",IFERROR(VALUE(SUBSTITUTE(LEFT($CL11,MAX(0,LEN($CL11)-2)),",",""))/10^IFERROR(LEN(LEFT($CL11,MAX(0,LEN($CL11)-2)))-FIND(",",LEFT($CL11,MAX(0,LEN($CL11)-2))),0),-1)&gt;0)),"","Base incompatível com escada: alcance/personagem/classes_1_a_5")</f>
        <v/>
      </c>
      <c r="EE11">
        <f>IF(OR(NOT(OR($DA11="alcance",$DE11="alcance")),$CM11&lt;&gt;""),"","Base de alcance ausente: personagem/classes_6_e_7")</f>
        <v/>
      </c>
      <c r="EF11">
        <f>IF(ISTEXT($CM11),"","Base precisa ser texto: alcance/personagem/classes_6_e_7")</f>
        <v/>
      </c>
      <c r="EG11">
        <f>IF(OR(NOT(OR($DA11="alcance",$DE11="alcance")),$CI11="Fixo",$CM11="",$CM11="—",AND(RIGHT($CM11,2)=" m",IFERROR(VALUE(SUBSTITUTE(LEFT($CM11,MAX(0,LEN($CM11)-2)),",",""))/10^IFERROR(LEN(LEFT($CM11,MAX(0,LEN($CM11)-2)))-FIND(",",LEFT($CM11,MAX(0,LEN($CM11)-2))),0),-1)&gt;0)),"","Base incompatível com escada: alcance/personagem/classes_6_e_7")</f>
        <v/>
      </c>
      <c r="EH11">
        <f>IF(OR(NOT(AND($CG11,OR($DA11="alcance",$DE11="alcance"))),$CN11&lt;&gt;""),"","Base de alcance ausente: entidade/classe_0")</f>
        <v/>
      </c>
      <c r="EI11">
        <f>IF(ISTEXT($CN11),"","Base precisa ser texto: alcance/entidade/classe_0")</f>
        <v/>
      </c>
      <c r="EJ11">
        <f>IF(OR(NOT(AND($CG11,OR($DA11="alcance",$DE11="alcance"))),$CI11="Fixo",$CN11="",$CN11="—",AND(RIGHT($CN11,2)=" m",IFERROR(VALUE(SUBSTITUTE(LEFT($CN11,MAX(0,LEN($CN11)-2)),",",""))/10^IFERROR(LEN(LEFT($CN11,MAX(0,LEN($CN11)-2)))-FIND(",",LEFT($CN11,MAX(0,LEN($CN11)-2))),0),-1)&gt;0)),"","Base incompatível com escada: alcance/entidade/classe_0")</f>
        <v/>
      </c>
      <c r="EK11">
        <f>IF(OR(NOT(OR($DA11="alcance",$DE11="alcance")),$CO11&lt;&gt;""),"","Base de alcance ausente: entidade/classes_1_a_5")</f>
        <v/>
      </c>
      <c r="EL11">
        <f>IF(ISTEXT($CO11),"","Base precisa ser texto: alcance/entidade/classes_1_a_5")</f>
        <v/>
      </c>
      <c r="EM11">
        <f>IF(OR(NOT(OR($DA11="alcance",$DE11="alcance")),$CI11="Fixo",$CO11="",$CO11="—",AND(RIGHT($CO11,2)=" m",IFERROR(VALUE(SUBSTITUTE(LEFT($CO11,MAX(0,LEN($CO11)-2)),",",""))/10^IFERROR(LEN(LEFT($CO11,MAX(0,LEN($CO11)-2)))-FIND(",",LEFT($CO11,MAX(0,LEN($CO11)-2))),0),-1)&gt;0)),"","Base incompatível com escada: alcance/entidade/classes_1_a_5")</f>
        <v/>
      </c>
      <c r="EN11">
        <f>IF(OR(NOT(OR($DA11="alcance",$DE11="alcance")),$CP11&lt;&gt;""),"","Base de alcance ausente: entidade/classe_6")</f>
        <v/>
      </c>
      <c r="EO11">
        <f>IF(ISTEXT($CP11),"","Base precisa ser texto: alcance/entidade/classe_6")</f>
        <v/>
      </c>
      <c r="EP11">
        <f>IF(OR(NOT(OR($DA11="alcance",$DE11="alcance")),$CI11="Fixo",$CP11="",$CP11="—",AND(RIGHT($CP11,2)=" m",IFERROR(VALUE(SUBSTITUTE(LEFT($CP11,MAX(0,LEN($CP11)-2)),",",""))/10^IFERROR(LEN(LEFT($CP11,MAX(0,LEN($CP11)-2)))-FIND(",",LEFT($CP11,MAX(0,LEN($CP11)-2))),0),-1)&gt;0)),"","Base incompatível com escada: alcance/entidade/classe_6")</f>
        <v/>
      </c>
      <c r="EQ11">
        <f>IF(OR(NOT(OR($DA11="alcance",$DE11="alcance")),$CQ11&lt;&gt;""),"","Base de alcance ausente: entidade/classe_7")</f>
        <v/>
      </c>
      <c r="ER11">
        <f>IF(ISTEXT($CQ11),"","Base precisa ser texto: alcance/entidade/classe_7")</f>
        <v/>
      </c>
      <c r="ES11">
        <f>IF(OR(NOT(OR($DA11="alcance",$DE11="alcance")),$CI11="Fixo",$CQ11="",$CQ11="—",AND(RIGHT($CQ11,2)=" m",IFERROR(VALUE(SUBSTITUTE(LEFT($CQ11,MAX(0,LEN($CQ11)-2)),",",""))/10^IFERROR(LEN(LEFT($CQ11,MAX(0,LEN($CQ11)-2)))-FIND(",",LEFT($CQ11,MAX(0,LEN($CQ11)-2))),0),-1)&gt;0)),"","Base incompatível com escada: alcance/entidade/classe_7")</f>
        <v/>
      </c>
      <c r="ET11">
        <f>IF(OR($CJ11="Fixo",$CJ11="raio",$CJ11="comprimento"),"","ESCADA inválida para area")</f>
        <v/>
      </c>
      <c r="EU11">
        <f>IF(ISTEXT($CR11),"","Base precisa ser texto: area/personagem/classe_0")</f>
        <v/>
      </c>
      <c r="EV11">
        <f>IF(OR(NOT(AND($CG11,OR($DA11="area",$DE11="area"))),$CJ11="Fixo",$CR11="",$CR11="—",AND(AND(AND(RIGHT($CR11,2)=" m",IFERROR(VALUE(SUBSTITUTE(LEFT($CR11,MAX(0,LEN($CR11)-2)),",",""))/10^IFERROR(LEN(LEFT($CR11,MAX(0,LEN($CR11)-2)))-FIND(",",LEFT($CR11,MAX(0,LEN($CR11)-2))),0),-1)&gt;0),OR($CJ11&lt;&gt;"raio",IFERROR(VALUE(SUBSTITUTE(LEFT($CR11,MAX(0,LEN($CR11)-2)),",",""))/10^IFERROR(LEN(LEFT($CR11,MAX(0,LEN($CR11)-2)))-FIND(",",LEFT($CR11,MAX(0,LEN($CR11)-2))),0),-1)&lt;=15.0)),OR($CJ11&lt;&gt;"comprimento",IFERROR(VALUE(SUBSTITUTE(LEFT($CR11,MAX(0,LEN($CR11)-2)),",",""))/10^IFERROR(LEN(LEFT($CR11,MAX(0,LEN($CR11)-2)))-FIND(",",LEFT($CR11,MAX(0,LEN($CR11)-2))),0),-1)&lt;=60.0))),"","Base incompatível com escada: area/personagem/classe_0")</f>
        <v/>
      </c>
      <c r="EW11">
        <f>IF(ISTEXT($CS11),"","Base precisa ser texto: area/personagem/classes_1_a_5")</f>
        <v/>
      </c>
      <c r="EX11">
        <f>IF(OR(NOT(OR($DA11="area",$DE11="area")),$CJ11="Fixo",$CS11="",$CS11="—",AND(AND(AND(RIGHT($CS11,2)=" m",IFERROR(VALUE(SUBSTITUTE(LEFT($CS11,MAX(0,LEN($CS11)-2)),",",""))/10^IFERROR(LEN(LEFT($CS11,MAX(0,LEN($CS11)-2)))-FIND(",",LEFT($CS11,MAX(0,LEN($CS11)-2))),0),-1)&gt;0),OR($CJ11&lt;&gt;"raio",IFERROR(VALUE(SUBSTITUTE(LEFT($CS11,MAX(0,LEN($CS11)-2)),",",""))/10^IFERROR(LEN(LEFT($CS11,MAX(0,LEN($CS11)-2)))-FIND(",",LEFT($CS11,MAX(0,LEN($CS11)-2))),0),-1)&lt;=15.0)),OR($CJ11&lt;&gt;"comprimento",IFERROR(VALUE(SUBSTITUTE(LEFT($CS11,MAX(0,LEN($CS11)-2)),",",""))/10^IFERROR(LEN(LEFT($CS11,MAX(0,LEN($CS11)-2)))-FIND(",",LEFT($CS11,MAX(0,LEN($CS11)-2))),0),-1)&lt;=60.0))),"","Base incompatível com escada: area/personagem/classes_1_a_5")</f>
        <v/>
      </c>
      <c r="EY11">
        <f>IF(ISTEXT($CT11),"","Base precisa ser texto: area/personagem/classes_6_e_7")</f>
        <v/>
      </c>
      <c r="EZ11">
        <f>IF(OR(NOT(OR($DA11="area",$DE11="area")),$CJ11="Fixo",$CT11="",$CT11="—",AND(AND(AND(RIGHT($CT11,2)=" m",IFERROR(VALUE(SUBSTITUTE(LEFT($CT11,MAX(0,LEN($CT11)-2)),",",""))/10^IFERROR(LEN(LEFT($CT11,MAX(0,LEN($CT11)-2)))-FIND(",",LEFT($CT11,MAX(0,LEN($CT11)-2))),0),-1)&gt;0),OR($CJ11&lt;&gt;"raio",IFERROR(VALUE(SUBSTITUTE(LEFT($CT11,MAX(0,LEN($CT11)-2)),",",""))/10^IFERROR(LEN(LEFT($CT11,MAX(0,LEN($CT11)-2)))-FIND(",",LEFT($CT11,MAX(0,LEN($CT11)-2))),0),-1)&lt;=15.0)),OR($CJ11&lt;&gt;"comprimento",IFERROR(VALUE(SUBSTITUTE(LEFT($CT11,MAX(0,LEN($CT11)-2)),",",""))/10^IFERROR(LEN(LEFT($CT11,MAX(0,LEN($CT11)-2)))-FIND(",",LEFT($CT11,MAX(0,LEN($CT11)-2))),0),-1)&lt;=60.0))),"","Base incompatível com escada: area/personagem/classes_6_e_7")</f>
        <v/>
      </c>
      <c r="FA11">
        <f>IF(ISTEXT($CU11),"","Base precisa ser texto: area/entidade/classe_0")</f>
        <v/>
      </c>
      <c r="FB11">
        <f>IF(OR(NOT(AND($CG11,OR($DA11="area",$DE11="area"))),$CJ11="Fixo",$CU11="",$CU11="—",AND(AND(AND(RIGHT($CU11,2)=" m",IFERROR(VALUE(SUBSTITUTE(LEFT($CU11,MAX(0,LEN($CU11)-2)),",",""))/10^IFERROR(LEN(LEFT($CU11,MAX(0,LEN($CU11)-2)))-FIND(",",LEFT($CU11,MAX(0,LEN($CU11)-2))),0),-1)&gt;0),OR($CJ11&lt;&gt;"raio",IFERROR(VALUE(SUBSTITUTE(LEFT($CU11,MAX(0,LEN($CU11)-2)),",",""))/10^IFERROR(LEN(LEFT($CU11,MAX(0,LEN($CU11)-2)))-FIND(",",LEFT($CU11,MAX(0,LEN($CU11)-2))),0),-1)&lt;=15.0)),OR($CJ11&lt;&gt;"comprimento",IFERROR(VALUE(SUBSTITUTE(LEFT($CU11,MAX(0,LEN($CU11)-2)),",",""))/10^IFERROR(LEN(LEFT($CU11,MAX(0,LEN($CU11)-2)))-FIND(",",LEFT($CU11,MAX(0,LEN($CU11)-2))),0),-1)&lt;=60.0))),"","Base incompatível com escada: area/entidade/classe_0")</f>
        <v/>
      </c>
      <c r="FC11">
        <f>IF(ISTEXT($CV11),"","Base precisa ser texto: area/entidade/classes_1_a_5")</f>
        <v/>
      </c>
      <c r="FD11">
        <f>IF(OR(NOT(OR($DA11="area",$DE11="area")),$CJ11="Fixo",$CV11="",$CV11="—",AND(AND(AND(RIGHT($CV11,2)=" m",IFERROR(VALUE(SUBSTITUTE(LEFT($CV11,MAX(0,LEN($CV11)-2)),",",""))/10^IFERROR(LEN(LEFT($CV11,MAX(0,LEN($CV11)-2)))-FIND(",",LEFT($CV11,MAX(0,LEN($CV11)-2))),0),-1)&gt;0),OR($CJ11&lt;&gt;"raio",IFERROR(VALUE(SUBSTITUTE(LEFT($CV11,MAX(0,LEN($CV11)-2)),",",""))/10^IFERROR(LEN(LEFT($CV11,MAX(0,LEN($CV11)-2)))-FIND(",",LEFT($CV11,MAX(0,LEN($CV11)-2))),0),-1)&lt;=15.0)),OR($CJ11&lt;&gt;"comprimento",IFERROR(VALUE(SUBSTITUTE(LEFT($CV11,MAX(0,LEN($CV11)-2)),",",""))/10^IFERROR(LEN(LEFT($CV11,MAX(0,LEN($CV11)-2)))-FIND(",",LEFT($CV11,MAX(0,LEN($CV11)-2))),0),-1)&lt;=60.0))),"","Base incompatível com escada: area/entidade/classes_1_a_5")</f>
        <v/>
      </c>
      <c r="FE11">
        <f>IF(ISTEXT($CW11),"","Base precisa ser texto: area/entidade/classe_6")</f>
        <v/>
      </c>
      <c r="FF11">
        <f>IF(OR(NOT(OR($DA11="area",$DE11="area")),$CJ11="Fixo",$CW11="",$CW11="—",AND(AND(AND(RIGHT($CW11,2)=" m",IFERROR(VALUE(SUBSTITUTE(LEFT($CW11,MAX(0,LEN($CW11)-2)),",",""))/10^IFERROR(LEN(LEFT($CW11,MAX(0,LEN($CW11)-2)))-FIND(",",LEFT($CW11,MAX(0,LEN($CW11)-2))),0),-1)&gt;0),OR($CJ11&lt;&gt;"raio",IFERROR(VALUE(SUBSTITUTE(LEFT($CW11,MAX(0,LEN($CW11)-2)),",",""))/10^IFERROR(LEN(LEFT($CW11,MAX(0,LEN($CW11)-2)))-FIND(",",LEFT($CW11,MAX(0,LEN($CW11)-2))),0),-1)&lt;=15.0)),OR($CJ11&lt;&gt;"comprimento",IFERROR(VALUE(SUBSTITUTE(LEFT($CW11,MAX(0,LEN($CW11)-2)),",",""))/10^IFERROR(LEN(LEFT($CW11,MAX(0,LEN($CW11)-2)))-FIND(",",LEFT($CW11,MAX(0,LEN($CW11)-2))),0),-1)&lt;=60.0))),"","Base incompatível com escada: area/entidade/classe_6")</f>
        <v/>
      </c>
      <c r="FG11">
        <f>IF(ISTEXT($CX11),"","Base precisa ser texto: area/entidade/classe_7")</f>
        <v/>
      </c>
      <c r="FH11">
        <f>IF(OR(NOT(OR($DA11="area",$DE11="area")),$CJ11="Fixo",$CX11="",$CX11="—",AND(AND(AND(RIGHT($CX11,2)=" m",IFERROR(VALUE(SUBSTITUTE(LEFT($CX11,MAX(0,LEN($CX11)-2)),",",""))/10^IFERROR(LEN(LEFT($CX11,MAX(0,LEN($CX11)-2)))-FIND(",",LEFT($CX11,MAX(0,LEN($CX11)-2))),0),-1)&gt;0),OR($CJ11&lt;&gt;"raio",IFERROR(VALUE(SUBSTITUTE(LEFT($CX11,MAX(0,LEN($CX11)-2)),",",""))/10^IFERROR(LEN(LEFT($CX11,MAX(0,LEN($CX11)-2)))-FIND(",",LEFT($CX11,MAX(0,LEN($CX11)-2))),0),-1)&lt;=15.0)),OR($CJ11&lt;&gt;"comprimento",IFERROR(VALUE(SUBSTITUTE(LEFT($CX11,MAX(0,LEN($CX11)-2)),",",""))/10^IFERROR(LEN(LEFT($CX11,MAX(0,LEN($CX11)-2)))-FIND(",",LEFT($CX11,MAX(0,LEN($CX11)-2))),0),-1)&lt;=60.0))),"","Base incompatível com escada: area/entidade/classe_7")</f>
        <v/>
      </c>
      <c r="FJ11">
        <f>'DADOS_FORMAS'!$AH11</f>
        <v/>
      </c>
      <c r="FK11">
        <f>'DADOS_FORMAS'!$AM11</f>
        <v/>
      </c>
      <c r="FL11">
        <f>'DADOS_FORMAS'!$AN11</f>
        <v/>
      </c>
      <c r="FM11">
        <f>IF('DADOS_FORMAS'!$AN11=0,0,'DADOS_FORMAS'!$AN11+3*IFERROR(VLOOKUP(SUBSTITUTE(SUBSTITUTE(SUBSTITUTE('DADOS_FORMAS'!$AM11,"~","~~"),"*","~*"),"?","~?"),'DADOS_CRIACAO'!$H$2:$K$20,3,FALSE),0))</f>
        <v/>
      </c>
      <c r="FN11">
        <f>IFERROR(VLOOKUP(SUBSTITUTE(SUBSTITUTE(SUBSTITUTE('DADOS_FORMAS'!$AM11,"~","~~"),"*","~*"),"?","~?"),'DADOS_CRIACAO'!$H$2:$K$20,4,FALSE),0)</f>
        <v/>
      </c>
      <c r="FO11">
        <f>IF('DADOS_FORMAS'!$AS11="",0,1)</f>
        <v/>
      </c>
      <c r="FP11">
        <f>'DADOS_FORMAS'!$AP11</f>
        <v/>
      </c>
      <c r="FQ11">
        <f>IF(AND('DADOS_FORMAS'!$AO11="Acerto",'DADOS_FORMAS'!$AQ11),"Acerto + TR",'DADOS_FORMAS'!$AO11)</f>
        <v/>
      </c>
      <c r="FR11">
        <f>N(OR('DADOS_FORMAS'!$AQ11,'DADOS_FORMAS'!$AO11="TR, metade"))</f>
        <v/>
      </c>
      <c r="FS11">
        <f>'DADOS_FORMAS'!$BO11</f>
        <v/>
      </c>
      <c r="FT11">
        <f>'DADOS_FORMAS'!$BS11</f>
        <v/>
      </c>
      <c r="FU11">
        <f>'DADOS_FORMAS'!$BK11</f>
        <v/>
      </c>
      <c r="FV11">
        <f>N('DADOS_FORMAS'!$AR11)</f>
        <v/>
      </c>
      <c r="FW11">
        <f>IF(IFERROR(VLOOKUP(SUBSTITUTE(SUBSTITUTE(SUBSTITUTE('DADOS_FORMAS'!$AM11,"~","~~"),"*","~*"),"?","~?"),'DADOS_CRIACAO'!$H$2:$K$20,4,FALSE),0)=1,"",'DADOS_FORMAS'!$AH11)</f>
        <v/>
      </c>
      <c r="FX11">
        <f>IF(AND('DADOS_FORMAS'!$AR11,IFERROR(VLOOKUP(SUBSTITUTE(SUBSTITUTE(SUBSTITUTE('DADOS_FORMAS'!$AM11,"~","~~"),"*","~*"),"?","~?"),'DADOS_CRIACAO'!$H$2:$K$20,4,FALSE),0)=0),'DADOS_FORMAS'!$AH11,"")</f>
        <v/>
      </c>
      <c r="FZ11">
        <f>'DADOS_FORMAS'!$AH11</f>
        <v/>
      </c>
      <c r="GA11">
        <f>'DADOS_FORMAS'!$AM11</f>
        <v/>
      </c>
      <c r="GB11">
        <f>'DADOS_FORMAS'!$AN11</f>
        <v/>
      </c>
      <c r="GC11">
        <f>IF('DADOS_FORMAS'!$AS11="",0,1)</f>
        <v/>
      </c>
      <c r="GD11">
        <f>'DADOS_FORMAS'!$AP11</f>
        <v/>
      </c>
      <c r="GE11">
        <f>IF('DADOS_FORMAS'!$AO11="Acerto","Ataque",IF('DADOS_FORMAS'!$AQ11,"TR","—"))</f>
        <v/>
      </c>
      <c r="GF11">
        <f>N(OR('DADOS_FORMAS'!$AQ11,'DADOS_FORMAS'!$AO11="TR, metade"))</f>
        <v/>
      </c>
      <c r="GG11">
        <f>'DADOS_FORMAS'!$BO11</f>
        <v/>
      </c>
      <c r="GH11">
        <f>'DADOS_FORMAS'!$BS11</f>
        <v/>
      </c>
      <c r="GI11">
        <f>'DADOS_FORMAS'!$BK11</f>
        <v/>
      </c>
      <c r="GJ11">
        <f>N('DADOS_FORMAS'!$AR11)</f>
        <v/>
      </c>
      <c r="GR11">
        <f>'DADOS_FORMAS'!$BP13</f>
        <v/>
      </c>
      <c r="GS11">
        <f>IF('DADOS_FORMAS'!$BP13="area",'DADOS_FORMAS'!$AU13,'DADOS_FORMAS'!$AT13)</f>
        <v/>
      </c>
      <c r="GT11">
        <f>IF('DADOS_FORMAS'!$BP13="area",'DADOS_FORMAS'!$BD13,'DADOS_FORMAS'!$AW13)</f>
        <v/>
      </c>
      <c r="GU11">
        <f>'DADOS_FORMAS'!$BQ13</f>
        <v/>
      </c>
      <c r="GV11">
        <f>'DADOS_FORMAS'!$BR13</f>
        <v/>
      </c>
      <c r="GW11">
        <f>LET(base,'DADOS_FORMAS'!$GT11,escada,'DADOS_FORMAS'!$GS11,medida,LEFT(base,MAX(0,LEN(base)-2)),valor,IFERROR(VALUE(SUBSTITUTE(medida,",",""))/10^IFERROR(LEN(medida)-FIND(",",medida),0),1E99),IF(OR(escada="Fixo",base="—"),base,IF(escada="alcance",IFERROR(MATCH(base,{"1,5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1" t="inlineStr">
        <is>
          <t>Aura · classe 0</t>
        </is>
      </c>
      <c r="GZ11" t="inlineStr">
        <is>
          <t>Raio 3 m, em você</t>
        </is>
      </c>
      <c r="HA11" t="inlineStr">
        <is>
          <t>Raio 4,5 m, em você</t>
        </is>
      </c>
      <c r="HB11" t="inlineStr">
        <is>
          <t>Raio 6 m, em você</t>
        </is>
      </c>
      <c r="HC11" t="inlineStr">
        <is>
          <t>Raio 9 m, em você</t>
        </is>
      </c>
      <c r="HD11" t="inlineStr">
        <is>
          <t>Raio 15 m, em você</t>
        </is>
      </c>
      <c r="HE11" t="inlineStr">
        <is>
          <t>Raio 15 m, em você</t>
        </is>
      </c>
      <c r="HF11" t="inlineStr"/>
      <c r="HG11" t="inlineStr"/>
      <c r="HH11" t="inlineStr"/>
      <c r="HI11" t="inlineStr"/>
      <c r="HJ11" t="inlineStr"/>
      <c r="HK11" t="inlineStr"/>
      <c r="HM11">
        <f>'DADOS_FORMAS'!$BP13</f>
        <v/>
      </c>
      <c r="HN11">
        <f>IF('DADOS_FORMAS'!$BP13="area",'DADOS_FORMAS'!$AU13,'DADOS_FORMAS'!$AT13)</f>
        <v/>
      </c>
      <c r="HO11">
        <f>IF('DADOS_FORMAS'!$BP13="area",'DADOS_FORMAS'!$BF13,'DADOS_FORMAS'!$AY13)</f>
        <v/>
      </c>
      <c r="HP11">
        <f>'DADOS_FORMAS'!$BQ13</f>
        <v/>
      </c>
      <c r="HQ11">
        <f>'DADOS_FORMAS'!$BR13</f>
        <v/>
      </c>
      <c r="HR11">
        <f>LET(base,'DADOS_FORMAS'!$HO11,escada,'DADOS_FORMAS'!$HN11,medida,LEFT(base,MAX(0,LEN(base)-2)),valor,IFERROR(VALUE(SUBSTITUTE(medida,",",""))/10^IFERROR(LEN(medida)-FIND(",",medida),0),1E99),IF(OR(escada="Fixo",base="—"),base,IF(escada="alcance",IFERROR(MATCH(base,{"1,5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1" t="inlineStr">
        <is>
          <t>Explosão · classes 1 a 5</t>
        </is>
      </c>
      <c r="HU11" t="inlineStr">
        <is>
          <t>Raio 3 m</t>
        </is>
      </c>
      <c r="HV11" t="inlineStr">
        <is>
          <t>Raio 4,5 m</t>
        </is>
      </c>
      <c r="HW11" t="inlineStr">
        <is>
          <t>Raio 6 m</t>
        </is>
      </c>
      <c r="HX11" t="inlineStr">
        <is>
          <t>Raio 9 m</t>
        </is>
      </c>
      <c r="HY11" t="inlineStr">
        <is>
          <t>Raio 15 m</t>
        </is>
      </c>
      <c r="HZ11" t="inlineStr">
        <is>
          <t>Raio 15 m</t>
        </is>
      </c>
      <c r="IA11" t="inlineStr">
        <is>
          <t>, a 18 m</t>
        </is>
      </c>
      <c r="IB11" t="inlineStr">
        <is>
          <t>, a 36 m</t>
        </is>
      </c>
      <c r="IC11" t="inlineStr">
        <is>
          <t>, a 90 m</t>
        </is>
      </c>
      <c r="ID11" t="inlineStr">
        <is>
          <t>, a visão a olho nu</t>
        </is>
      </c>
      <c r="IE11" t="inlineStr">
        <is>
          <t>, a visão a olho nu</t>
        </is>
      </c>
      <c r="IF11" t="inlineStr">
        <is>
          <t>, a visão a olho nu</t>
        </is>
      </c>
      <c r="IH11">
        <f>IF(OR('DADOS_FORMAS'!$AM11='INVOCAÇÕES'!$O$48,'DADOS_FORMAS'!$AM11='INVOCAÇÕES'!$P$48,'DADOS_FORMAS'!$AM11='INVOCAÇÕES'!$Q$48,'DADOS_FORMAS'!$AM11='INVOCAÇÕES'!$R$48,'DADOS_FORMAS'!$AM11='INVOCAÇÕES'!$S$48,'DADOS_FORMAS'!$AM11='INVOCAÇÕES'!$O$50,'DADOS_FORMAS'!$AM11='INVOCAÇÕES'!$P$50,'DADOS_FORMAS'!$AM11='INVOCAÇÕES'!$Q$50,'DADOS_FORMAS'!$AM11='INVOCAÇÕES'!$R$50,'DADOS_FORMAS'!$AM11=""),'DADOS_FORMAS'!$AH11,"")</f>
        <v/>
      </c>
      <c r="II11">
        <f>IF(AND(OR('DADOS_FORMAS'!$AM11='INVOCAÇÕES'!$O$48,'DADOS_FORMAS'!$AM11='INVOCAÇÕES'!$P$48,'DADOS_FORMAS'!$AM11='INVOCAÇÕES'!$Q$48,'DADOS_FORMAS'!$AM11='INVOCAÇÕES'!$R$48,'DADOS_FORMAS'!$AM11='INVOCAÇÕES'!$S$48,'DADOS_FORMAS'!$AM11='INVOCAÇÕES'!$O$50,'DADOS_FORMAS'!$AM11='INVOCAÇÕES'!$P$50,'DADOS_FORMAS'!$AM11='INVOCAÇÕES'!$Q$50,'DADOS_FORMAS'!$AM11='INVOCAÇÕES'!$R$50,'DADOS_FORMAS'!$AM11=""),'DADOS_FORMAS'!$AR11),'DADOS_FORMAS'!$AH11,"")</f>
        <v/>
      </c>
      <c r="IK11">
        <f>IF(OR('DADOS_FORMAS'!$AM11='INVOCAÇÕES'!$O$259,'DADOS_FORMAS'!$AM11='INVOCAÇÕES'!$P$259,'DADOS_FORMAS'!$AM11='INVOCAÇÕES'!$Q$259,'DADOS_FORMAS'!$AM11='INVOCAÇÕES'!$R$259,'DADOS_FORMAS'!$AM11='INVOCAÇÕES'!$S$259,'DADOS_FORMAS'!$AM11='INVOCAÇÕES'!$O$261,'DADOS_FORMAS'!$AM11='INVOCAÇÕES'!$P$261,'DADOS_FORMAS'!$AM11='INVOCAÇÕES'!$Q$261,'DADOS_FORMAS'!$AM11='INVOCAÇÕES'!$R$261,'DADOS_FORMAS'!$AM11=""),'DADOS_FORMAS'!$AH11,"")</f>
        <v/>
      </c>
      <c r="IL11">
        <f>IF(AND(OR('DADOS_FORMAS'!$AM11='INVOCAÇÕES'!$O$259,'DADOS_FORMAS'!$AM11='INVOCAÇÕES'!$P$259,'DADOS_FORMAS'!$AM11='INVOCAÇÕES'!$Q$259,'DADOS_FORMAS'!$AM11='INVOCAÇÕES'!$R$259,'DADOS_FORMAS'!$AM11='INVOCAÇÕES'!$S$259,'DADOS_FORMAS'!$AM11='INVOCAÇÕES'!$O$261,'DADOS_FORMAS'!$AM11='INVOCAÇÕES'!$P$261,'DADOS_FORMAS'!$AM11='INVOCAÇÕES'!$Q$261,'DADOS_FORMAS'!$AM11='INVOCAÇÕES'!$R$261,'DADOS_FORMAS'!$AM11=""),'DADOS_FORMAS'!$AR11),'DADOS_FORMAS'!$AH11,"")</f>
        <v/>
      </c>
      <c r="IN11">
        <f>IF(OR('DADOS_FORMAS'!$AM11='INVOCAÇÕES'!$O$470,'DADOS_FORMAS'!$AM11='INVOCAÇÕES'!$P$470,'DADOS_FORMAS'!$AM11='INVOCAÇÕES'!$Q$470,'DADOS_FORMAS'!$AM11='INVOCAÇÕES'!$R$470,'DADOS_FORMAS'!$AM11='INVOCAÇÕES'!$S$470,'DADOS_FORMAS'!$AM11='INVOCAÇÕES'!$O$472,'DADOS_FORMAS'!$AM11='INVOCAÇÕES'!$P$472,'DADOS_FORMAS'!$AM11='INVOCAÇÕES'!$Q$472,'DADOS_FORMAS'!$AM11='INVOCAÇÕES'!$R$472,'DADOS_FORMAS'!$AM11=""),'DADOS_FORMAS'!$AH11,"")</f>
        <v/>
      </c>
      <c r="IO11">
        <f>IF(AND(OR('DADOS_FORMAS'!$AM11='INVOCAÇÕES'!$O$470,'DADOS_FORMAS'!$AM11='INVOCAÇÕES'!$P$470,'DADOS_FORMAS'!$AM11='INVOCAÇÕES'!$Q$470,'DADOS_FORMAS'!$AM11='INVOCAÇÕES'!$R$470,'DADOS_FORMAS'!$AM11='INVOCAÇÕES'!$S$470,'DADOS_FORMAS'!$AM11='INVOCAÇÕES'!$O$472,'DADOS_FORMAS'!$AM11='INVOCAÇÕES'!$P$472,'DADOS_FORMAS'!$AM11='INVOCAÇÕES'!$Q$472,'DADOS_FORMAS'!$AM11='INVOCAÇÕES'!$R$472,'DADOS_FORMAS'!$AM11=""),'DADOS_FORMAS'!$AR11),'DADOS_FORMAS'!$AH11,"")</f>
        <v/>
      </c>
      <c r="IQ11">
        <f>IF(OR('DADOS_FORMAS'!$AM11='INVOCAÇÕES'!$O$681,'DADOS_FORMAS'!$AM11='INVOCAÇÕES'!$P$681,'DADOS_FORMAS'!$AM11='INVOCAÇÕES'!$Q$681,'DADOS_FORMAS'!$AM11='INVOCAÇÕES'!$R$681,'DADOS_FORMAS'!$AM11='INVOCAÇÕES'!$S$681,'DADOS_FORMAS'!$AM11='INVOCAÇÕES'!$O$683,'DADOS_FORMAS'!$AM11='INVOCAÇÕES'!$P$683,'DADOS_FORMAS'!$AM11='INVOCAÇÕES'!$Q$683,'DADOS_FORMAS'!$AM11='INVOCAÇÕES'!$R$683,'DADOS_FORMAS'!$AM11=""),'DADOS_FORMAS'!$AH11,"")</f>
        <v/>
      </c>
      <c r="IR11">
        <f>IF(AND(OR('DADOS_FORMAS'!$AM11='INVOCAÇÕES'!$O$681,'DADOS_FORMAS'!$AM11='INVOCAÇÕES'!$P$681,'DADOS_FORMAS'!$AM11='INVOCAÇÕES'!$Q$681,'DADOS_FORMAS'!$AM11='INVOCAÇÕES'!$R$681,'DADOS_FORMAS'!$AM11='INVOCAÇÕES'!$S$681,'DADOS_FORMAS'!$AM11='INVOCAÇÕES'!$O$683,'DADOS_FORMAS'!$AM11='INVOCAÇÕES'!$P$683,'DADOS_FORMAS'!$AM11='INVOCAÇÕES'!$Q$683,'DADOS_FORMAS'!$AM11='INVOCAÇÕES'!$R$683,'DADOS_FORMAS'!$AM11=""),'DADOS_FORMAS'!$AR11),'DADOS_FORMAS'!$AH11,"")</f>
        <v/>
      </c>
      <c r="IT11">
        <f>IF(OR('DADOS_FORMAS'!$AM11='INVOCAÇÕES'!$O$892,'DADOS_FORMAS'!$AM11='INVOCAÇÕES'!$P$892,'DADOS_FORMAS'!$AM11='INVOCAÇÕES'!$Q$892,'DADOS_FORMAS'!$AM11='INVOCAÇÕES'!$R$892,'DADOS_FORMAS'!$AM11='INVOCAÇÕES'!$S$892,'DADOS_FORMAS'!$AM11='INVOCAÇÕES'!$O$894,'DADOS_FORMAS'!$AM11='INVOCAÇÕES'!$P$894,'DADOS_FORMAS'!$AM11='INVOCAÇÕES'!$Q$894,'DADOS_FORMAS'!$AM11='INVOCAÇÕES'!$R$894,'DADOS_FORMAS'!$AM11=""),'DADOS_FORMAS'!$AH11,"")</f>
        <v/>
      </c>
      <c r="IU11">
        <f>IF(AND(OR('DADOS_FORMAS'!$AM11='INVOCAÇÕES'!$O$892,'DADOS_FORMAS'!$AM11='INVOCAÇÕES'!$P$892,'DADOS_FORMAS'!$AM11='INVOCAÇÕES'!$Q$892,'DADOS_FORMAS'!$AM11='INVOCAÇÕES'!$R$892,'DADOS_FORMAS'!$AM11='INVOCAÇÕES'!$S$892,'DADOS_FORMAS'!$AM11='INVOCAÇÕES'!$O$894,'DADOS_FORMAS'!$AM11='INVOCAÇÕES'!$P$894,'DADOS_FORMAS'!$AM11='INVOCAÇÕES'!$Q$894,'DADOS_FORMAS'!$AM11='INVOCAÇÕES'!$R$894,'DADOS_FORMAS'!$AM11=""),'DADOS_FORMAS'!$AR11),'DADOS_FORMAS'!$AH11,"")</f>
        <v/>
      </c>
      <c r="IW11">
        <f>IF(OR('DADOS_FORMAS'!$AM11='INVOCAÇÕES'!$O$1103,'DADOS_FORMAS'!$AM11='INVOCAÇÕES'!$P$1103,'DADOS_FORMAS'!$AM11='INVOCAÇÕES'!$Q$1103,'DADOS_FORMAS'!$AM11='INVOCAÇÕES'!$R$1103,'DADOS_FORMAS'!$AM11='INVOCAÇÕES'!$S$1103,'DADOS_FORMAS'!$AM11='INVOCAÇÕES'!$O$1105,'DADOS_FORMAS'!$AM11='INVOCAÇÕES'!$P$1105,'DADOS_FORMAS'!$AM11='INVOCAÇÕES'!$Q$1105,'DADOS_FORMAS'!$AM11='INVOCAÇÕES'!$R$1105,'DADOS_FORMAS'!$AM11=""),'DADOS_FORMAS'!$AH11,"")</f>
        <v/>
      </c>
      <c r="IX11">
        <f>IF(AND(OR('DADOS_FORMAS'!$AM11='INVOCAÇÕES'!$O$1103,'DADOS_FORMAS'!$AM11='INVOCAÇÕES'!$P$1103,'DADOS_FORMAS'!$AM11='INVOCAÇÕES'!$Q$1103,'DADOS_FORMAS'!$AM11='INVOCAÇÕES'!$R$1103,'DADOS_FORMAS'!$AM11='INVOCAÇÕES'!$S$1103,'DADOS_FORMAS'!$AM11='INVOCAÇÕES'!$O$1105,'DADOS_FORMAS'!$AM11='INVOCAÇÕES'!$P$1105,'DADOS_FORMAS'!$AM11='INVOCAÇÕES'!$Q$1105,'DADOS_FORMAS'!$AM11='INVOCAÇÕES'!$R$1105,'DADOS_FORMAS'!$AM11=""),'DADOS_FORMAS'!$AR11),'DADOS_FORMAS'!$AH11,"")</f>
        <v/>
      </c>
      <c r="IZ11">
        <f>IF(OR('DADOS_FORMAS'!$AM11='INVOCAÇÕES'!$AH$48,'DADOS_FORMAS'!$AM11='INVOCAÇÕES'!$AI$48,'DADOS_FORMAS'!$AM11='INVOCAÇÕES'!$AJ$48,'DADOS_FORMAS'!$AM11='INVOCAÇÕES'!$AK$48,'DADOS_FORMAS'!$AM11='INVOCAÇÕES'!$AL$48,'DADOS_FORMAS'!$AM11='INVOCAÇÕES'!$AH$50,'DADOS_FORMAS'!$AM11='INVOCAÇÕES'!$AI$50,'DADOS_FORMAS'!$AM11='INVOCAÇÕES'!$AJ$50,'DADOS_FORMAS'!$AM11='INVOCAÇÕES'!$AK$50,'DADOS_FORMAS'!$AM11=""),'DADOS_FORMAS'!$AH11,"")</f>
        <v/>
      </c>
      <c r="JA11">
        <f>IF(AND(OR('DADOS_FORMAS'!$AM11='INVOCAÇÕES'!$AH$48,'DADOS_FORMAS'!$AM11='INVOCAÇÕES'!$AI$48,'DADOS_FORMAS'!$AM11='INVOCAÇÕES'!$AJ$48,'DADOS_FORMAS'!$AM11='INVOCAÇÕES'!$AK$48,'DADOS_FORMAS'!$AM11='INVOCAÇÕES'!$AL$48,'DADOS_FORMAS'!$AM11='INVOCAÇÕES'!$AH$50,'DADOS_FORMAS'!$AM11='INVOCAÇÕES'!$AI$50,'DADOS_FORMAS'!$AM11='INVOCAÇÕES'!$AJ$50,'DADOS_FORMAS'!$AM11='INVOCAÇÕES'!$AK$50,'DADOS_FORMAS'!$AM11=""),'DADOS_FORMAS'!$AR11),'DADOS_FORMAS'!$AH11,"")</f>
        <v/>
      </c>
      <c r="JC11">
        <f>IF(OR('DADOS_FORMAS'!$AM11='INVOCAÇÕES'!$AH$259,'DADOS_FORMAS'!$AM11='INVOCAÇÕES'!$AI$259,'DADOS_FORMAS'!$AM11='INVOCAÇÕES'!$AJ$259,'DADOS_FORMAS'!$AM11='INVOCAÇÕES'!$AK$259,'DADOS_FORMAS'!$AM11='INVOCAÇÕES'!$AL$259,'DADOS_FORMAS'!$AM11='INVOCAÇÕES'!$AH$261,'DADOS_FORMAS'!$AM11='INVOCAÇÕES'!$AI$261,'DADOS_FORMAS'!$AM11='INVOCAÇÕES'!$AJ$261,'DADOS_FORMAS'!$AM11='INVOCAÇÕES'!$AK$261,'DADOS_FORMAS'!$AM11=""),'DADOS_FORMAS'!$AH11,"")</f>
        <v/>
      </c>
      <c r="JD11">
        <f>IF(AND(OR('DADOS_FORMAS'!$AM11='INVOCAÇÕES'!$AH$259,'DADOS_FORMAS'!$AM11='INVOCAÇÕES'!$AI$259,'DADOS_FORMAS'!$AM11='INVOCAÇÕES'!$AJ$259,'DADOS_FORMAS'!$AM11='INVOCAÇÕES'!$AK$259,'DADOS_FORMAS'!$AM11='INVOCAÇÕES'!$AL$259,'DADOS_FORMAS'!$AM11='INVOCAÇÕES'!$AH$261,'DADOS_FORMAS'!$AM11='INVOCAÇÕES'!$AI$261,'DADOS_FORMAS'!$AM11='INVOCAÇÕES'!$AJ$261,'DADOS_FORMAS'!$AM11='INVOCAÇÕES'!$AK$261,'DADOS_FORMAS'!$AM11=""),'DADOS_FORMAS'!$AR11),'DADOS_FORMAS'!$AH11,"")</f>
        <v/>
      </c>
      <c r="JF11">
        <f>IF(OR('DADOS_FORMAS'!$AM11='INVOCAÇÕES'!$AH$470,'DADOS_FORMAS'!$AM11='INVOCAÇÕES'!$AI$470,'DADOS_FORMAS'!$AM11='INVOCAÇÕES'!$AJ$470,'DADOS_FORMAS'!$AM11='INVOCAÇÕES'!$AK$470,'DADOS_FORMAS'!$AM11='INVOCAÇÕES'!$AL$470,'DADOS_FORMAS'!$AM11='INVOCAÇÕES'!$AH$472,'DADOS_FORMAS'!$AM11='INVOCAÇÕES'!$AI$472,'DADOS_FORMAS'!$AM11='INVOCAÇÕES'!$AJ$472,'DADOS_FORMAS'!$AM11='INVOCAÇÕES'!$AK$472,'DADOS_FORMAS'!$AM11=""),'DADOS_FORMAS'!$AH11,"")</f>
        <v/>
      </c>
      <c r="JG11">
        <f>IF(AND(OR('DADOS_FORMAS'!$AM11='INVOCAÇÕES'!$AH$470,'DADOS_FORMAS'!$AM11='INVOCAÇÕES'!$AI$470,'DADOS_FORMAS'!$AM11='INVOCAÇÕES'!$AJ$470,'DADOS_FORMAS'!$AM11='INVOCAÇÕES'!$AK$470,'DADOS_FORMAS'!$AM11='INVOCAÇÕES'!$AL$470,'DADOS_FORMAS'!$AM11='INVOCAÇÕES'!$AH$472,'DADOS_FORMAS'!$AM11='INVOCAÇÕES'!$AI$472,'DADOS_FORMAS'!$AM11='INVOCAÇÕES'!$AJ$472,'DADOS_FORMAS'!$AM11='INVOCAÇÕES'!$AK$472,'DADOS_FORMAS'!$AM11=""),'DADOS_FORMAS'!$AR11),'DADOS_FORMAS'!$AH11,"")</f>
        <v/>
      </c>
      <c r="JI11">
        <f>IF(OR('DADOS_FORMAS'!$AM11='INVOCAÇÕES'!$AH$681,'DADOS_FORMAS'!$AM11='INVOCAÇÕES'!$AI$681,'DADOS_FORMAS'!$AM11='INVOCAÇÕES'!$AJ$681,'DADOS_FORMAS'!$AM11='INVOCAÇÕES'!$AK$681,'DADOS_FORMAS'!$AM11='INVOCAÇÕES'!$AL$681,'DADOS_FORMAS'!$AM11='INVOCAÇÕES'!$AH$683,'DADOS_FORMAS'!$AM11='INVOCAÇÕES'!$AI$683,'DADOS_FORMAS'!$AM11='INVOCAÇÕES'!$AJ$683,'DADOS_FORMAS'!$AM11='INVOCAÇÕES'!$AK$683,'DADOS_FORMAS'!$AM11=""),'DADOS_FORMAS'!$AH11,"")</f>
        <v/>
      </c>
      <c r="JJ11">
        <f>IF(AND(OR('DADOS_FORMAS'!$AM11='INVOCAÇÕES'!$AH$681,'DADOS_FORMAS'!$AM11='INVOCAÇÕES'!$AI$681,'DADOS_FORMAS'!$AM11='INVOCAÇÕES'!$AJ$681,'DADOS_FORMAS'!$AM11='INVOCAÇÕES'!$AK$681,'DADOS_FORMAS'!$AM11='INVOCAÇÕES'!$AL$681,'DADOS_FORMAS'!$AM11='INVOCAÇÕES'!$AH$683,'DADOS_FORMAS'!$AM11='INVOCAÇÕES'!$AI$683,'DADOS_FORMAS'!$AM11='INVOCAÇÕES'!$AJ$683,'DADOS_FORMAS'!$AM11='INVOCAÇÕES'!$AK$683,'DADOS_FORMAS'!$AM11=""),'DADOS_FORMAS'!$AR11),'DADOS_FORMAS'!$AH11,"")</f>
        <v/>
      </c>
      <c r="JL11">
        <f>IF(OR('DADOS_FORMAS'!$AM11='INVOCAÇÕES'!$AH$892,'DADOS_FORMAS'!$AM11='INVOCAÇÕES'!$AI$892,'DADOS_FORMAS'!$AM11='INVOCAÇÕES'!$AJ$892,'DADOS_FORMAS'!$AM11='INVOCAÇÕES'!$AK$892,'DADOS_FORMAS'!$AM11='INVOCAÇÕES'!$AL$892,'DADOS_FORMAS'!$AM11='INVOCAÇÕES'!$AH$894,'DADOS_FORMAS'!$AM11='INVOCAÇÕES'!$AI$894,'DADOS_FORMAS'!$AM11='INVOCAÇÕES'!$AJ$894,'DADOS_FORMAS'!$AM11='INVOCAÇÕES'!$AK$894,'DADOS_FORMAS'!$AM11=""),'DADOS_FORMAS'!$AH11,"")</f>
        <v/>
      </c>
      <c r="JM11">
        <f>IF(AND(OR('DADOS_FORMAS'!$AM11='INVOCAÇÕES'!$AH$892,'DADOS_FORMAS'!$AM11='INVOCAÇÕES'!$AI$892,'DADOS_FORMAS'!$AM11='INVOCAÇÕES'!$AJ$892,'DADOS_FORMAS'!$AM11='INVOCAÇÕES'!$AK$892,'DADOS_FORMAS'!$AM11='INVOCAÇÕES'!$AL$892,'DADOS_FORMAS'!$AM11='INVOCAÇÕES'!$AH$894,'DADOS_FORMAS'!$AM11='INVOCAÇÕES'!$AI$894,'DADOS_FORMAS'!$AM11='INVOCAÇÕES'!$AJ$894,'DADOS_FORMAS'!$AM11='INVOCAÇÕES'!$AK$894,'DADOS_FORMAS'!$AM11=""),'DADOS_FORMAS'!$AR11),'DADOS_FORMAS'!$AH11,"")</f>
        <v/>
      </c>
      <c r="JO11">
        <f>IF(OR('DADOS_FORMAS'!$AM11='INVOCAÇÕES'!$AH$1103,'DADOS_FORMAS'!$AM11='INVOCAÇÕES'!$AI$1103,'DADOS_FORMAS'!$AM11='INVOCAÇÕES'!$AJ$1103,'DADOS_FORMAS'!$AM11='INVOCAÇÕES'!$AK$1103,'DADOS_FORMAS'!$AM11='INVOCAÇÕES'!$AL$1103,'DADOS_FORMAS'!$AM11='INVOCAÇÕES'!$AH$1105,'DADOS_FORMAS'!$AM11='INVOCAÇÕES'!$AI$1105,'DADOS_FORMAS'!$AM11='INVOCAÇÕES'!$AJ$1105,'DADOS_FORMAS'!$AM11='INVOCAÇÕES'!$AK$1105,'DADOS_FORMAS'!$AM11=""),'DADOS_FORMAS'!$AH11,"")</f>
        <v/>
      </c>
      <c r="JP11">
        <f>IF(AND(OR('DADOS_FORMAS'!$AM11='INVOCAÇÕES'!$AH$1103,'DADOS_FORMAS'!$AM11='INVOCAÇÕES'!$AI$1103,'DADOS_FORMAS'!$AM11='INVOCAÇÕES'!$AJ$1103,'DADOS_FORMAS'!$AM11='INVOCAÇÕES'!$AK$1103,'DADOS_FORMAS'!$AM11='INVOCAÇÕES'!$AL$1103,'DADOS_FORMAS'!$AM11='INVOCAÇÕES'!$AH$1105,'DADOS_FORMAS'!$AM11='INVOCAÇÕES'!$AI$1105,'DADOS_FORMAS'!$AM11='INVOCAÇÕES'!$AJ$1105,'DADOS_FORMAS'!$AM11='INVOCAÇÕES'!$AK$1105,'DADOS_FORMAS'!$AM11=""),'DADOS_FORMAS'!$AR11),'DADOS_FORMAS'!$AH11,"")</f>
        <v/>
      </c>
      <c r="JR11" t="inlineStr">
        <is>
          <t>Onda</t>
        </is>
      </c>
      <c r="JZ11">
        <f>IFERROR(INDEX('DADOS_CRIACAO'!$H$2:$H$20,9),"")</f>
        <v/>
      </c>
      <c r="KA11">
        <f>IFERROR(INDEX(INDEX('DADOS_RESTRICOES'!$M$2:$Q$54,0,1),9),"")</f>
        <v/>
      </c>
    </row>
    <row r="12">
      <c r="AG12">
        <f>IF(AND($AF2,$AD2=""),$BV2,"")</f>
        <v/>
      </c>
      <c r="AH12">
        <f>IF(AND($AF2,$AD2=""),$BW2,"")</f>
        <v/>
      </c>
      <c r="AI12">
        <f>IF(AND($AF2,$AD2=""),$BX2,"")</f>
        <v/>
      </c>
      <c r="AJ12">
        <f>IF(AND($AF2,$AD2=""),$BY2,FALSE)</f>
        <v/>
      </c>
      <c r="AK12">
        <f>IF(AND($AF2,$AD2=""),$BZ2,"")</f>
        <v/>
      </c>
      <c r="AL12">
        <f>IF(AND($AF2,$AD2=""),$CA2,"")</f>
        <v/>
      </c>
      <c r="AM12">
        <f>IF(AND($AF2,$AD2=""),$CB2,"")</f>
        <v/>
      </c>
      <c r="AN12">
        <f>IF(AND($AF2,$AD2=""),$CC2,0)</f>
        <v/>
      </c>
      <c r="AO12">
        <f>IF(AND($AF2,$AD2=""),$CD2,"")</f>
        <v/>
      </c>
      <c r="AP12">
        <f>IF(AND($AF2,$AD2=""),$CE2,0)</f>
        <v/>
      </c>
      <c r="AQ12">
        <f>IF(AND($AF2,$AD2=""),$CF2,FALSE)</f>
        <v/>
      </c>
      <c r="AR12">
        <f>IF(AND($AF2,$AD2=""),$CG2,FALSE)</f>
        <v/>
      </c>
      <c r="AS12">
        <f>IF(AND($AF2,$AD2=""),$CH2,"")</f>
        <v/>
      </c>
      <c r="AT12">
        <f>IF(AND($AF2,$AD2=""),$CI2,"")</f>
        <v/>
      </c>
      <c r="AU12">
        <f>IF(AND($AF2,$AD2=""),$CJ2,"")</f>
        <v/>
      </c>
      <c r="AV12">
        <f>IF(AND($AF2,$AD2=""),$CK2,"")</f>
        <v/>
      </c>
      <c r="AW12">
        <f>IF(AND($AF2,$AD2=""),$CL2,"")</f>
        <v/>
      </c>
      <c r="AX12">
        <f>IF(AND($AF2,$AD2=""),$CM2,"")</f>
        <v/>
      </c>
      <c r="AY12">
        <f>IF(AND($AF2,$AD2=""),$CN2,"")</f>
        <v/>
      </c>
      <c r="AZ12">
        <f>IF(AND($AF2,$AD2=""),$CO2,"")</f>
        <v/>
      </c>
      <c r="BA12">
        <f>IF(AND($AF2,$AD2=""),$CP2,"")</f>
        <v/>
      </c>
      <c r="BB12">
        <f>IF(AND($AF2,$AD2=""),$CQ2,"")</f>
        <v/>
      </c>
      <c r="BC12">
        <f>IF(AND($AF2,$AD2=""),$CR2,"")</f>
        <v/>
      </c>
      <c r="BD12">
        <f>IF(AND($AF2,$AD2=""),$CS2,"")</f>
        <v/>
      </c>
      <c r="BE12">
        <f>IF(AND($AF2,$AD2=""),$CT2,"")</f>
        <v/>
      </c>
      <c r="BF12">
        <f>IF(AND($AF2,$AD2=""),$CU2,"")</f>
        <v/>
      </c>
      <c r="BG12">
        <f>IF(AND($AF2,$AD2=""),$CV2,"")</f>
        <v/>
      </c>
      <c r="BH12">
        <f>IF(AND($AF2,$AD2=""),$CW2,"")</f>
        <v/>
      </c>
      <c r="BI12">
        <f>IF(AND($AF2,$AD2=""),$CX2,"")</f>
        <v/>
      </c>
      <c r="BJ12">
        <f>IF(AND($AF2,$AD2=""),$CY2,"")</f>
        <v/>
      </c>
      <c r="BK12">
        <f>IF(AND($AF2,$AD2=""),$CZ2,0)</f>
        <v/>
      </c>
      <c r="BL12">
        <f>IF(AND($AF2,$AD2=""),$DA2,"")</f>
        <v/>
      </c>
      <c r="BM12">
        <f>IF(AND($AF2,$AD2=""),$DB2,"")</f>
        <v/>
      </c>
      <c r="BN12">
        <f>IF(AND($AF2,$AD2=""),$DC2,"")</f>
        <v/>
      </c>
      <c r="BO12">
        <f>IF(AND($AF2,$AD2=""),$DD2,0)</f>
        <v/>
      </c>
      <c r="BP12">
        <f>IF(AND($AF2,$AD2=""),$DE2,"")</f>
        <v/>
      </c>
      <c r="BQ12">
        <f>IF(AND($AF2,$AD2=""),$DF2,"")</f>
        <v/>
      </c>
      <c r="BR12">
        <f>IF(AND($AF2,$AD2=""),$DG2,"")</f>
        <v/>
      </c>
      <c r="BS12">
        <f>IF(AND($AF2,$AD2=""),$DH2,0)</f>
        <v/>
      </c>
      <c r="FJ12">
        <f>'DADOS_FORMAS'!$AH12</f>
        <v/>
      </c>
      <c r="FK12">
        <f>'DADOS_FORMAS'!$AM12</f>
        <v/>
      </c>
      <c r="FL12">
        <f>'DADOS_FORMAS'!$AN12</f>
        <v/>
      </c>
      <c r="FM12">
        <f>IF('DADOS_FORMAS'!$AN12=0,0,'DADOS_FORMAS'!$AN12+3*IFERROR(VLOOKUP(SUBSTITUTE(SUBSTITUTE(SUBSTITUTE('DADOS_FORMAS'!$AM12,"~","~~"),"*","~*"),"?","~?"),'DADOS_CRIACAO'!$H$2:$K$20,3,FALSE),0))</f>
        <v/>
      </c>
      <c r="FN12">
        <f>IFERROR(VLOOKUP(SUBSTITUTE(SUBSTITUTE(SUBSTITUTE('DADOS_FORMAS'!$AM12,"~","~~"),"*","~*"),"?","~?"),'DADOS_CRIACAO'!$H$2:$K$20,4,FALSE),0)</f>
        <v/>
      </c>
      <c r="FO12">
        <f>IF('DADOS_FORMAS'!$AS12="",0,1)</f>
        <v/>
      </c>
      <c r="FP12">
        <f>'DADOS_FORMAS'!$AP12</f>
        <v/>
      </c>
      <c r="FQ12">
        <f>IF(AND('DADOS_FORMAS'!$AO12="Acerto",'DADOS_FORMAS'!$AQ12),"Acerto + TR",'DADOS_FORMAS'!$AO12)</f>
        <v/>
      </c>
      <c r="FR12">
        <f>N(OR('DADOS_FORMAS'!$AQ12,'DADOS_FORMAS'!$AO12="TR, metade"))</f>
        <v/>
      </c>
      <c r="FS12">
        <f>'DADOS_FORMAS'!$BO12</f>
        <v/>
      </c>
      <c r="FT12">
        <f>'DADOS_FORMAS'!$BS12</f>
        <v/>
      </c>
      <c r="FU12">
        <f>'DADOS_FORMAS'!$BK12</f>
        <v/>
      </c>
      <c r="FV12">
        <f>N('DADOS_FORMAS'!$AR12)</f>
        <v/>
      </c>
      <c r="FW12">
        <f>IF(IFERROR(VLOOKUP(SUBSTITUTE(SUBSTITUTE(SUBSTITUTE('DADOS_FORMAS'!$AM12,"~","~~"),"*","~*"),"?","~?"),'DADOS_CRIACAO'!$H$2:$K$20,4,FALSE),0)=1,"",'DADOS_FORMAS'!$AH12)</f>
        <v/>
      </c>
      <c r="FX12">
        <f>IF(AND('DADOS_FORMAS'!$AR12,IFERROR(VLOOKUP(SUBSTITUTE(SUBSTITUTE(SUBSTITUTE('DADOS_FORMAS'!$AM12,"~","~~"),"*","~*"),"?","~?"),'DADOS_CRIACAO'!$H$2:$K$20,4,FALSE),0)=0),'DADOS_FORMAS'!$AH12,"")</f>
        <v/>
      </c>
      <c r="FZ12">
        <f>'DADOS_FORMAS'!$AH12</f>
        <v/>
      </c>
      <c r="GA12">
        <f>'DADOS_FORMAS'!$AM12</f>
        <v/>
      </c>
      <c r="GB12">
        <f>'DADOS_FORMAS'!$AN12</f>
        <v/>
      </c>
      <c r="GC12">
        <f>IF('DADOS_FORMAS'!$AS12="",0,1)</f>
        <v/>
      </c>
      <c r="GD12">
        <f>'DADOS_FORMAS'!$AP12</f>
        <v/>
      </c>
      <c r="GE12">
        <f>IF('DADOS_FORMAS'!$AO12="Acerto","Ataque",IF('DADOS_FORMAS'!$AQ12,"TR","—"))</f>
        <v/>
      </c>
      <c r="GF12">
        <f>N(OR('DADOS_FORMAS'!$AQ12,'DADOS_FORMAS'!$AO12="TR, metade"))</f>
        <v/>
      </c>
      <c r="GG12">
        <f>'DADOS_FORMAS'!$BO12</f>
        <v/>
      </c>
      <c r="GH12">
        <f>'DADOS_FORMAS'!$BS12</f>
        <v/>
      </c>
      <c r="GI12">
        <f>'DADOS_FORMAS'!$BK12</f>
        <v/>
      </c>
      <c r="GJ12">
        <f>N('DADOS_FORMAS'!$AR12)</f>
        <v/>
      </c>
      <c r="GR12">
        <f>'DADOS_FORMAS'!$BL13</f>
        <v/>
      </c>
      <c r="GS12">
        <f>IF('DADOS_FORMAS'!$BL13="area",'DADOS_FORMAS'!$AU13,'DADOS_FORMAS'!$AT13)</f>
        <v/>
      </c>
      <c r="GT12">
        <f>IF('DADOS_FORMAS'!$BL13="area",'DADOS_FORMAS'!$BE13,'DADOS_FORMAS'!$AX13)</f>
        <v/>
      </c>
      <c r="GU12">
        <f>'DADOS_FORMAS'!$BM13</f>
        <v/>
      </c>
      <c r="GV12">
        <f>'DADOS_FORMAS'!$BN13</f>
        <v/>
      </c>
      <c r="GW12">
        <f>LET(base,'DADOS_FORMAS'!$GT12,escada,'DADOS_FORMAS'!$GS12,medida,LEFT(base,MAX(0,LEN(base)-2)),valor,IFERROR(VALUE(SUBSTITUTE(medida,",",""))/10^IFERROR(LEN(medida)-FIND(",",medida),0),1E99),IF(OR(escada="Fixo",base="—"),base,IF(escada="alcance",IFERROR(MATCH(base,{"1,5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2" t="inlineStr">
        <is>
          <t>Aura · classes 1 a 5</t>
        </is>
      </c>
      <c r="GZ12" t="inlineStr">
        <is>
          <t>Raio 3 m, em você</t>
        </is>
      </c>
      <c r="HA12" t="inlineStr">
        <is>
          <t>Raio 4,5 m, em você</t>
        </is>
      </c>
      <c r="HB12" t="inlineStr">
        <is>
          <t>Raio 6 m, em você</t>
        </is>
      </c>
      <c r="HC12" t="inlineStr">
        <is>
          <t>Raio 9 m, em você</t>
        </is>
      </c>
      <c r="HD12" t="inlineStr">
        <is>
          <t>Raio 15 m, em você</t>
        </is>
      </c>
      <c r="HE12" t="inlineStr">
        <is>
          <t>Raio 15 m, em você</t>
        </is>
      </c>
      <c r="HF12" t="inlineStr"/>
      <c r="HG12" t="inlineStr"/>
      <c r="HH12" t="inlineStr"/>
      <c r="HI12" t="inlineStr"/>
      <c r="HJ12" t="inlineStr"/>
      <c r="HK12" t="inlineStr"/>
      <c r="HM12">
        <f>'DADOS_FORMAS'!$BL13</f>
        <v/>
      </c>
      <c r="HN12">
        <f>IF('DADOS_FORMAS'!$BL13="area",'DADOS_FORMAS'!$AU13,'DADOS_FORMAS'!$AT13)</f>
        <v/>
      </c>
      <c r="HO12">
        <f>IF('DADOS_FORMAS'!$BL13="area",'DADOS_FORMAS'!$BG13,'DADOS_FORMAS'!$AZ13)</f>
        <v/>
      </c>
      <c r="HP12">
        <f>'DADOS_FORMAS'!$BM13</f>
        <v/>
      </c>
      <c r="HQ12">
        <f>'DADOS_FORMAS'!$BN13</f>
        <v/>
      </c>
      <c r="HR12">
        <f>LET(base,'DADOS_FORMAS'!$HO12,escada,'DADOS_FORMAS'!$HN12,medida,LEFT(base,MAX(0,LEN(base)-2)),valor,IFERROR(VALUE(SUBSTITUTE(medida,",",""))/10^IFERROR(LEN(medida)-FIND(",",medida),0),1E99),IF(OR(escada="Fixo",base="—"),base,IF(escada="alcance",IFERROR(MATCH(base,{"1,5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2" t="inlineStr">
        <is>
          <t>Explosão · classe 6</t>
        </is>
      </c>
      <c r="HU12" t="inlineStr">
        <is>
          <t>Raio 3 m</t>
        </is>
      </c>
      <c r="HV12" t="inlineStr">
        <is>
          <t>Raio 4,5 m</t>
        </is>
      </c>
      <c r="HW12" t="inlineStr">
        <is>
          <t>Raio 6 m</t>
        </is>
      </c>
      <c r="HX12" t="inlineStr">
        <is>
          <t>Raio 9 m</t>
        </is>
      </c>
      <c r="HY12" t="inlineStr">
        <is>
          <t>Raio 15 m</t>
        </is>
      </c>
      <c r="HZ12" t="inlineStr">
        <is>
          <t>Raio 15 m</t>
        </is>
      </c>
      <c r="IA12" t="inlineStr">
        <is>
          <t>, a 36 m</t>
        </is>
      </c>
      <c r="IB12" t="inlineStr">
        <is>
          <t>, a 90 m</t>
        </is>
      </c>
      <c r="IC12" t="inlineStr">
        <is>
          <t>, a visão a olho nu</t>
        </is>
      </c>
      <c r="ID12" t="inlineStr">
        <is>
          <t>, a visão a olho nu</t>
        </is>
      </c>
      <c r="IE12" t="inlineStr">
        <is>
          <t>, a visão a olho nu</t>
        </is>
      </c>
      <c r="IF12" t="inlineStr">
        <is>
          <t>, a visão a olho nu</t>
        </is>
      </c>
      <c r="IH12">
        <f>IF(OR('DADOS_FORMAS'!$AM12='INVOCAÇÕES'!$O$48,'DADOS_FORMAS'!$AM12='INVOCAÇÕES'!$P$48,'DADOS_FORMAS'!$AM12='INVOCAÇÕES'!$Q$48,'DADOS_FORMAS'!$AM12='INVOCAÇÕES'!$R$48,'DADOS_FORMAS'!$AM12='INVOCAÇÕES'!$S$48,'DADOS_FORMAS'!$AM12='INVOCAÇÕES'!$O$50,'DADOS_FORMAS'!$AM12='INVOCAÇÕES'!$P$50,'DADOS_FORMAS'!$AM12='INVOCAÇÕES'!$Q$50,'DADOS_FORMAS'!$AM12='INVOCAÇÕES'!$R$50,'DADOS_FORMAS'!$AM12=""),'DADOS_FORMAS'!$AH12,"")</f>
        <v/>
      </c>
      <c r="II12">
        <f>IF(AND(OR('DADOS_FORMAS'!$AM12='INVOCAÇÕES'!$O$48,'DADOS_FORMAS'!$AM12='INVOCAÇÕES'!$P$48,'DADOS_FORMAS'!$AM12='INVOCAÇÕES'!$Q$48,'DADOS_FORMAS'!$AM12='INVOCAÇÕES'!$R$48,'DADOS_FORMAS'!$AM12='INVOCAÇÕES'!$S$48,'DADOS_FORMAS'!$AM12='INVOCAÇÕES'!$O$50,'DADOS_FORMAS'!$AM12='INVOCAÇÕES'!$P$50,'DADOS_FORMAS'!$AM12='INVOCAÇÕES'!$Q$50,'DADOS_FORMAS'!$AM12='INVOCAÇÕES'!$R$50,'DADOS_FORMAS'!$AM12=""),'DADOS_FORMAS'!$AR12),'DADOS_FORMAS'!$AH12,"")</f>
        <v/>
      </c>
      <c r="IK12">
        <f>IF(OR('DADOS_FORMAS'!$AM12='INVOCAÇÕES'!$O$259,'DADOS_FORMAS'!$AM12='INVOCAÇÕES'!$P$259,'DADOS_FORMAS'!$AM12='INVOCAÇÕES'!$Q$259,'DADOS_FORMAS'!$AM12='INVOCAÇÕES'!$R$259,'DADOS_FORMAS'!$AM12='INVOCAÇÕES'!$S$259,'DADOS_FORMAS'!$AM12='INVOCAÇÕES'!$O$261,'DADOS_FORMAS'!$AM12='INVOCAÇÕES'!$P$261,'DADOS_FORMAS'!$AM12='INVOCAÇÕES'!$Q$261,'DADOS_FORMAS'!$AM12='INVOCAÇÕES'!$R$261,'DADOS_FORMAS'!$AM12=""),'DADOS_FORMAS'!$AH12,"")</f>
        <v/>
      </c>
      <c r="IL12">
        <f>IF(AND(OR('DADOS_FORMAS'!$AM12='INVOCAÇÕES'!$O$259,'DADOS_FORMAS'!$AM12='INVOCAÇÕES'!$P$259,'DADOS_FORMAS'!$AM12='INVOCAÇÕES'!$Q$259,'DADOS_FORMAS'!$AM12='INVOCAÇÕES'!$R$259,'DADOS_FORMAS'!$AM12='INVOCAÇÕES'!$S$259,'DADOS_FORMAS'!$AM12='INVOCAÇÕES'!$O$261,'DADOS_FORMAS'!$AM12='INVOCAÇÕES'!$P$261,'DADOS_FORMAS'!$AM12='INVOCAÇÕES'!$Q$261,'DADOS_FORMAS'!$AM12='INVOCAÇÕES'!$R$261,'DADOS_FORMAS'!$AM12=""),'DADOS_FORMAS'!$AR12),'DADOS_FORMAS'!$AH12,"")</f>
        <v/>
      </c>
      <c r="IN12">
        <f>IF(OR('DADOS_FORMAS'!$AM12='INVOCAÇÕES'!$O$470,'DADOS_FORMAS'!$AM12='INVOCAÇÕES'!$P$470,'DADOS_FORMAS'!$AM12='INVOCAÇÕES'!$Q$470,'DADOS_FORMAS'!$AM12='INVOCAÇÕES'!$R$470,'DADOS_FORMAS'!$AM12='INVOCAÇÕES'!$S$470,'DADOS_FORMAS'!$AM12='INVOCAÇÕES'!$O$472,'DADOS_FORMAS'!$AM12='INVOCAÇÕES'!$P$472,'DADOS_FORMAS'!$AM12='INVOCAÇÕES'!$Q$472,'DADOS_FORMAS'!$AM12='INVOCAÇÕES'!$R$472,'DADOS_FORMAS'!$AM12=""),'DADOS_FORMAS'!$AH12,"")</f>
        <v/>
      </c>
      <c r="IO12">
        <f>IF(AND(OR('DADOS_FORMAS'!$AM12='INVOCAÇÕES'!$O$470,'DADOS_FORMAS'!$AM12='INVOCAÇÕES'!$P$470,'DADOS_FORMAS'!$AM12='INVOCAÇÕES'!$Q$470,'DADOS_FORMAS'!$AM12='INVOCAÇÕES'!$R$470,'DADOS_FORMAS'!$AM12='INVOCAÇÕES'!$S$470,'DADOS_FORMAS'!$AM12='INVOCAÇÕES'!$O$472,'DADOS_FORMAS'!$AM12='INVOCAÇÕES'!$P$472,'DADOS_FORMAS'!$AM12='INVOCAÇÕES'!$Q$472,'DADOS_FORMAS'!$AM12='INVOCAÇÕES'!$R$472,'DADOS_FORMAS'!$AM12=""),'DADOS_FORMAS'!$AR12),'DADOS_FORMAS'!$AH12,"")</f>
        <v/>
      </c>
      <c r="IQ12">
        <f>IF(OR('DADOS_FORMAS'!$AM12='INVOCAÇÕES'!$O$681,'DADOS_FORMAS'!$AM12='INVOCAÇÕES'!$P$681,'DADOS_FORMAS'!$AM12='INVOCAÇÕES'!$Q$681,'DADOS_FORMAS'!$AM12='INVOCAÇÕES'!$R$681,'DADOS_FORMAS'!$AM12='INVOCAÇÕES'!$S$681,'DADOS_FORMAS'!$AM12='INVOCAÇÕES'!$O$683,'DADOS_FORMAS'!$AM12='INVOCAÇÕES'!$P$683,'DADOS_FORMAS'!$AM12='INVOCAÇÕES'!$Q$683,'DADOS_FORMAS'!$AM12='INVOCAÇÕES'!$R$683,'DADOS_FORMAS'!$AM12=""),'DADOS_FORMAS'!$AH12,"")</f>
        <v/>
      </c>
      <c r="IR12">
        <f>IF(AND(OR('DADOS_FORMAS'!$AM12='INVOCAÇÕES'!$O$681,'DADOS_FORMAS'!$AM12='INVOCAÇÕES'!$P$681,'DADOS_FORMAS'!$AM12='INVOCAÇÕES'!$Q$681,'DADOS_FORMAS'!$AM12='INVOCAÇÕES'!$R$681,'DADOS_FORMAS'!$AM12='INVOCAÇÕES'!$S$681,'DADOS_FORMAS'!$AM12='INVOCAÇÕES'!$O$683,'DADOS_FORMAS'!$AM12='INVOCAÇÕES'!$P$683,'DADOS_FORMAS'!$AM12='INVOCAÇÕES'!$Q$683,'DADOS_FORMAS'!$AM12='INVOCAÇÕES'!$R$683,'DADOS_FORMAS'!$AM12=""),'DADOS_FORMAS'!$AR12),'DADOS_FORMAS'!$AH12,"")</f>
        <v/>
      </c>
      <c r="IT12">
        <f>IF(OR('DADOS_FORMAS'!$AM12='INVOCAÇÕES'!$O$892,'DADOS_FORMAS'!$AM12='INVOCAÇÕES'!$P$892,'DADOS_FORMAS'!$AM12='INVOCAÇÕES'!$Q$892,'DADOS_FORMAS'!$AM12='INVOCAÇÕES'!$R$892,'DADOS_FORMAS'!$AM12='INVOCAÇÕES'!$S$892,'DADOS_FORMAS'!$AM12='INVOCAÇÕES'!$O$894,'DADOS_FORMAS'!$AM12='INVOCAÇÕES'!$P$894,'DADOS_FORMAS'!$AM12='INVOCAÇÕES'!$Q$894,'DADOS_FORMAS'!$AM12='INVOCAÇÕES'!$R$894,'DADOS_FORMAS'!$AM12=""),'DADOS_FORMAS'!$AH12,"")</f>
        <v/>
      </c>
      <c r="IU12">
        <f>IF(AND(OR('DADOS_FORMAS'!$AM12='INVOCAÇÕES'!$O$892,'DADOS_FORMAS'!$AM12='INVOCAÇÕES'!$P$892,'DADOS_FORMAS'!$AM12='INVOCAÇÕES'!$Q$892,'DADOS_FORMAS'!$AM12='INVOCAÇÕES'!$R$892,'DADOS_FORMAS'!$AM12='INVOCAÇÕES'!$S$892,'DADOS_FORMAS'!$AM12='INVOCAÇÕES'!$O$894,'DADOS_FORMAS'!$AM12='INVOCAÇÕES'!$P$894,'DADOS_FORMAS'!$AM12='INVOCAÇÕES'!$Q$894,'DADOS_FORMAS'!$AM12='INVOCAÇÕES'!$R$894,'DADOS_FORMAS'!$AM12=""),'DADOS_FORMAS'!$AR12),'DADOS_FORMAS'!$AH12,"")</f>
        <v/>
      </c>
      <c r="IW12">
        <f>IF(OR('DADOS_FORMAS'!$AM12='INVOCAÇÕES'!$O$1103,'DADOS_FORMAS'!$AM12='INVOCAÇÕES'!$P$1103,'DADOS_FORMAS'!$AM12='INVOCAÇÕES'!$Q$1103,'DADOS_FORMAS'!$AM12='INVOCAÇÕES'!$R$1103,'DADOS_FORMAS'!$AM12='INVOCAÇÕES'!$S$1103,'DADOS_FORMAS'!$AM12='INVOCAÇÕES'!$O$1105,'DADOS_FORMAS'!$AM12='INVOCAÇÕES'!$P$1105,'DADOS_FORMAS'!$AM12='INVOCAÇÕES'!$Q$1105,'DADOS_FORMAS'!$AM12='INVOCAÇÕES'!$R$1105,'DADOS_FORMAS'!$AM12=""),'DADOS_FORMAS'!$AH12,"")</f>
        <v/>
      </c>
      <c r="IX12">
        <f>IF(AND(OR('DADOS_FORMAS'!$AM12='INVOCAÇÕES'!$O$1103,'DADOS_FORMAS'!$AM12='INVOCAÇÕES'!$P$1103,'DADOS_FORMAS'!$AM12='INVOCAÇÕES'!$Q$1103,'DADOS_FORMAS'!$AM12='INVOCAÇÕES'!$R$1103,'DADOS_FORMAS'!$AM12='INVOCAÇÕES'!$S$1103,'DADOS_FORMAS'!$AM12='INVOCAÇÕES'!$O$1105,'DADOS_FORMAS'!$AM12='INVOCAÇÕES'!$P$1105,'DADOS_FORMAS'!$AM12='INVOCAÇÕES'!$Q$1105,'DADOS_FORMAS'!$AM12='INVOCAÇÕES'!$R$1105,'DADOS_FORMAS'!$AM12=""),'DADOS_FORMAS'!$AR12),'DADOS_FORMAS'!$AH12,"")</f>
        <v/>
      </c>
      <c r="IZ12">
        <f>IF(OR('DADOS_FORMAS'!$AM12='INVOCAÇÕES'!$AH$48,'DADOS_FORMAS'!$AM12='INVOCAÇÕES'!$AI$48,'DADOS_FORMAS'!$AM12='INVOCAÇÕES'!$AJ$48,'DADOS_FORMAS'!$AM12='INVOCAÇÕES'!$AK$48,'DADOS_FORMAS'!$AM12='INVOCAÇÕES'!$AL$48,'DADOS_FORMAS'!$AM12='INVOCAÇÕES'!$AH$50,'DADOS_FORMAS'!$AM12='INVOCAÇÕES'!$AI$50,'DADOS_FORMAS'!$AM12='INVOCAÇÕES'!$AJ$50,'DADOS_FORMAS'!$AM12='INVOCAÇÕES'!$AK$50,'DADOS_FORMAS'!$AM12=""),'DADOS_FORMAS'!$AH12,"")</f>
        <v/>
      </c>
      <c r="JA12">
        <f>IF(AND(OR('DADOS_FORMAS'!$AM12='INVOCAÇÕES'!$AH$48,'DADOS_FORMAS'!$AM12='INVOCAÇÕES'!$AI$48,'DADOS_FORMAS'!$AM12='INVOCAÇÕES'!$AJ$48,'DADOS_FORMAS'!$AM12='INVOCAÇÕES'!$AK$48,'DADOS_FORMAS'!$AM12='INVOCAÇÕES'!$AL$48,'DADOS_FORMAS'!$AM12='INVOCAÇÕES'!$AH$50,'DADOS_FORMAS'!$AM12='INVOCAÇÕES'!$AI$50,'DADOS_FORMAS'!$AM12='INVOCAÇÕES'!$AJ$50,'DADOS_FORMAS'!$AM12='INVOCAÇÕES'!$AK$50,'DADOS_FORMAS'!$AM12=""),'DADOS_FORMAS'!$AR12),'DADOS_FORMAS'!$AH12,"")</f>
        <v/>
      </c>
      <c r="JC12">
        <f>IF(OR('DADOS_FORMAS'!$AM12='INVOCAÇÕES'!$AH$259,'DADOS_FORMAS'!$AM12='INVOCAÇÕES'!$AI$259,'DADOS_FORMAS'!$AM12='INVOCAÇÕES'!$AJ$259,'DADOS_FORMAS'!$AM12='INVOCAÇÕES'!$AK$259,'DADOS_FORMAS'!$AM12='INVOCAÇÕES'!$AL$259,'DADOS_FORMAS'!$AM12='INVOCAÇÕES'!$AH$261,'DADOS_FORMAS'!$AM12='INVOCAÇÕES'!$AI$261,'DADOS_FORMAS'!$AM12='INVOCAÇÕES'!$AJ$261,'DADOS_FORMAS'!$AM12='INVOCAÇÕES'!$AK$261,'DADOS_FORMAS'!$AM12=""),'DADOS_FORMAS'!$AH12,"")</f>
        <v/>
      </c>
      <c r="JD12">
        <f>IF(AND(OR('DADOS_FORMAS'!$AM12='INVOCAÇÕES'!$AH$259,'DADOS_FORMAS'!$AM12='INVOCAÇÕES'!$AI$259,'DADOS_FORMAS'!$AM12='INVOCAÇÕES'!$AJ$259,'DADOS_FORMAS'!$AM12='INVOCAÇÕES'!$AK$259,'DADOS_FORMAS'!$AM12='INVOCAÇÕES'!$AL$259,'DADOS_FORMAS'!$AM12='INVOCAÇÕES'!$AH$261,'DADOS_FORMAS'!$AM12='INVOCAÇÕES'!$AI$261,'DADOS_FORMAS'!$AM12='INVOCAÇÕES'!$AJ$261,'DADOS_FORMAS'!$AM12='INVOCAÇÕES'!$AK$261,'DADOS_FORMAS'!$AM12=""),'DADOS_FORMAS'!$AR12),'DADOS_FORMAS'!$AH12,"")</f>
        <v/>
      </c>
      <c r="JF12">
        <f>IF(OR('DADOS_FORMAS'!$AM12='INVOCAÇÕES'!$AH$470,'DADOS_FORMAS'!$AM12='INVOCAÇÕES'!$AI$470,'DADOS_FORMAS'!$AM12='INVOCAÇÕES'!$AJ$470,'DADOS_FORMAS'!$AM12='INVOCAÇÕES'!$AK$470,'DADOS_FORMAS'!$AM12='INVOCAÇÕES'!$AL$470,'DADOS_FORMAS'!$AM12='INVOCAÇÕES'!$AH$472,'DADOS_FORMAS'!$AM12='INVOCAÇÕES'!$AI$472,'DADOS_FORMAS'!$AM12='INVOCAÇÕES'!$AJ$472,'DADOS_FORMAS'!$AM12='INVOCAÇÕES'!$AK$472,'DADOS_FORMAS'!$AM12=""),'DADOS_FORMAS'!$AH12,"")</f>
        <v/>
      </c>
      <c r="JG12">
        <f>IF(AND(OR('DADOS_FORMAS'!$AM12='INVOCAÇÕES'!$AH$470,'DADOS_FORMAS'!$AM12='INVOCAÇÕES'!$AI$470,'DADOS_FORMAS'!$AM12='INVOCAÇÕES'!$AJ$470,'DADOS_FORMAS'!$AM12='INVOCAÇÕES'!$AK$470,'DADOS_FORMAS'!$AM12='INVOCAÇÕES'!$AL$470,'DADOS_FORMAS'!$AM12='INVOCAÇÕES'!$AH$472,'DADOS_FORMAS'!$AM12='INVOCAÇÕES'!$AI$472,'DADOS_FORMAS'!$AM12='INVOCAÇÕES'!$AJ$472,'DADOS_FORMAS'!$AM12='INVOCAÇÕES'!$AK$472,'DADOS_FORMAS'!$AM12=""),'DADOS_FORMAS'!$AR12),'DADOS_FORMAS'!$AH12,"")</f>
        <v/>
      </c>
      <c r="JI12">
        <f>IF(OR('DADOS_FORMAS'!$AM12='INVOCAÇÕES'!$AH$681,'DADOS_FORMAS'!$AM12='INVOCAÇÕES'!$AI$681,'DADOS_FORMAS'!$AM12='INVOCAÇÕES'!$AJ$681,'DADOS_FORMAS'!$AM12='INVOCAÇÕES'!$AK$681,'DADOS_FORMAS'!$AM12='INVOCAÇÕES'!$AL$681,'DADOS_FORMAS'!$AM12='INVOCAÇÕES'!$AH$683,'DADOS_FORMAS'!$AM12='INVOCAÇÕES'!$AI$683,'DADOS_FORMAS'!$AM12='INVOCAÇÕES'!$AJ$683,'DADOS_FORMAS'!$AM12='INVOCAÇÕES'!$AK$683,'DADOS_FORMAS'!$AM12=""),'DADOS_FORMAS'!$AH12,"")</f>
        <v/>
      </c>
      <c r="JJ12">
        <f>IF(AND(OR('DADOS_FORMAS'!$AM12='INVOCAÇÕES'!$AH$681,'DADOS_FORMAS'!$AM12='INVOCAÇÕES'!$AI$681,'DADOS_FORMAS'!$AM12='INVOCAÇÕES'!$AJ$681,'DADOS_FORMAS'!$AM12='INVOCAÇÕES'!$AK$681,'DADOS_FORMAS'!$AM12='INVOCAÇÕES'!$AL$681,'DADOS_FORMAS'!$AM12='INVOCAÇÕES'!$AH$683,'DADOS_FORMAS'!$AM12='INVOCAÇÕES'!$AI$683,'DADOS_FORMAS'!$AM12='INVOCAÇÕES'!$AJ$683,'DADOS_FORMAS'!$AM12='INVOCAÇÕES'!$AK$683,'DADOS_FORMAS'!$AM12=""),'DADOS_FORMAS'!$AR12),'DADOS_FORMAS'!$AH12,"")</f>
        <v/>
      </c>
      <c r="JL12">
        <f>IF(OR('DADOS_FORMAS'!$AM12='INVOCAÇÕES'!$AH$892,'DADOS_FORMAS'!$AM12='INVOCAÇÕES'!$AI$892,'DADOS_FORMAS'!$AM12='INVOCAÇÕES'!$AJ$892,'DADOS_FORMAS'!$AM12='INVOCAÇÕES'!$AK$892,'DADOS_FORMAS'!$AM12='INVOCAÇÕES'!$AL$892,'DADOS_FORMAS'!$AM12='INVOCAÇÕES'!$AH$894,'DADOS_FORMAS'!$AM12='INVOCAÇÕES'!$AI$894,'DADOS_FORMAS'!$AM12='INVOCAÇÕES'!$AJ$894,'DADOS_FORMAS'!$AM12='INVOCAÇÕES'!$AK$894,'DADOS_FORMAS'!$AM12=""),'DADOS_FORMAS'!$AH12,"")</f>
        <v/>
      </c>
      <c r="JM12">
        <f>IF(AND(OR('DADOS_FORMAS'!$AM12='INVOCAÇÕES'!$AH$892,'DADOS_FORMAS'!$AM12='INVOCAÇÕES'!$AI$892,'DADOS_FORMAS'!$AM12='INVOCAÇÕES'!$AJ$892,'DADOS_FORMAS'!$AM12='INVOCAÇÕES'!$AK$892,'DADOS_FORMAS'!$AM12='INVOCAÇÕES'!$AL$892,'DADOS_FORMAS'!$AM12='INVOCAÇÕES'!$AH$894,'DADOS_FORMAS'!$AM12='INVOCAÇÕES'!$AI$894,'DADOS_FORMAS'!$AM12='INVOCAÇÕES'!$AJ$894,'DADOS_FORMAS'!$AM12='INVOCAÇÕES'!$AK$894,'DADOS_FORMAS'!$AM12=""),'DADOS_FORMAS'!$AR12),'DADOS_FORMAS'!$AH12,"")</f>
        <v/>
      </c>
      <c r="JO12">
        <f>IF(OR('DADOS_FORMAS'!$AM12='INVOCAÇÕES'!$AH$1103,'DADOS_FORMAS'!$AM12='INVOCAÇÕES'!$AI$1103,'DADOS_FORMAS'!$AM12='INVOCAÇÕES'!$AJ$1103,'DADOS_FORMAS'!$AM12='INVOCAÇÕES'!$AK$1103,'DADOS_FORMAS'!$AM12='INVOCAÇÕES'!$AL$1103,'DADOS_FORMAS'!$AM12='INVOCAÇÕES'!$AH$1105,'DADOS_FORMAS'!$AM12='INVOCAÇÕES'!$AI$1105,'DADOS_FORMAS'!$AM12='INVOCAÇÕES'!$AJ$1105,'DADOS_FORMAS'!$AM12='INVOCAÇÕES'!$AK$1105,'DADOS_FORMAS'!$AM12=""),'DADOS_FORMAS'!$AH12,"")</f>
        <v/>
      </c>
      <c r="JP12">
        <f>IF(AND(OR('DADOS_FORMAS'!$AM12='INVOCAÇÕES'!$AH$1103,'DADOS_FORMAS'!$AM12='INVOCAÇÕES'!$AI$1103,'DADOS_FORMAS'!$AM12='INVOCAÇÕES'!$AJ$1103,'DADOS_FORMAS'!$AM12='INVOCAÇÕES'!$AK$1103,'DADOS_FORMAS'!$AM12='INVOCAÇÕES'!$AL$1103,'DADOS_FORMAS'!$AM12='INVOCAÇÕES'!$AH$1105,'DADOS_FORMAS'!$AM12='INVOCAÇÕES'!$AI$1105,'DADOS_FORMAS'!$AM12='INVOCAÇÕES'!$AJ$1105,'DADOS_FORMAS'!$AM12='INVOCAÇÕES'!$AK$1105,'DADOS_FORMAS'!$AM12=""),'DADOS_FORMAS'!$AR12),'DADOS_FORMAS'!$AH12,"")</f>
        <v/>
      </c>
      <c r="JR12" t="inlineStr">
        <is>
          <t>Efeito</t>
        </is>
      </c>
      <c r="JZ12">
        <f>IFERROR(INDEX('DADOS_CRIACAO'!$H$2:$H$20,10),"")</f>
        <v/>
      </c>
      <c r="KA12">
        <f>IFERROR(INDEX(INDEX('DADOS_RESTRICOES'!$M$2:$Q$54,0,1),10),"")</f>
        <v/>
      </c>
    </row>
    <row r="13">
      <c r="AG13">
        <f>IF(AND($AF3,$AD3=""),$BV3,"")</f>
        <v/>
      </c>
      <c r="AH13">
        <f>IF(AND($AF3,$AD3=""),$BW3,"")</f>
        <v/>
      </c>
      <c r="AI13">
        <f>IF(AND($AF3,$AD3=""),$BX3,"")</f>
        <v/>
      </c>
      <c r="AJ13">
        <f>IF(AND($AF3,$AD3=""),$BY3,FALSE)</f>
        <v/>
      </c>
      <c r="AK13">
        <f>IF(AND($AF3,$AD3=""),$BZ3,"")</f>
        <v/>
      </c>
      <c r="AL13">
        <f>IF(AND($AF3,$AD3=""),$CA3,"")</f>
        <v/>
      </c>
      <c r="AM13">
        <f>IF(AND($AF3,$AD3=""),$CB3,"")</f>
        <v/>
      </c>
      <c r="AN13">
        <f>IF(AND($AF3,$AD3=""),$CC3,0)</f>
        <v/>
      </c>
      <c r="AO13">
        <f>IF(AND($AF3,$AD3=""),$CD3,"")</f>
        <v/>
      </c>
      <c r="AP13">
        <f>IF(AND($AF3,$AD3=""),$CE3,0)</f>
        <v/>
      </c>
      <c r="AQ13">
        <f>IF(AND($AF3,$AD3=""),$CF3,FALSE)</f>
        <v/>
      </c>
      <c r="AR13">
        <f>IF(AND($AF3,$AD3=""),$CG3,FALSE)</f>
        <v/>
      </c>
      <c r="AS13">
        <f>IF(AND($AF3,$AD3=""),$CH3,"")</f>
        <v/>
      </c>
      <c r="AT13">
        <f>IF(AND($AF3,$AD3=""),$CI3,"")</f>
        <v/>
      </c>
      <c r="AU13">
        <f>IF(AND($AF3,$AD3=""),$CJ3,"")</f>
        <v/>
      </c>
      <c r="AV13">
        <f>IF(AND($AF3,$AD3=""),$CK3,"")</f>
        <v/>
      </c>
      <c r="AW13">
        <f>IF(AND($AF3,$AD3=""),$CL3,"")</f>
        <v/>
      </c>
      <c r="AX13">
        <f>IF(AND($AF3,$AD3=""),$CM3,"")</f>
        <v/>
      </c>
      <c r="AY13">
        <f>IF(AND($AF3,$AD3=""),$CN3,"")</f>
        <v/>
      </c>
      <c r="AZ13">
        <f>IF(AND($AF3,$AD3=""),$CO3,"")</f>
        <v/>
      </c>
      <c r="BA13">
        <f>IF(AND($AF3,$AD3=""),$CP3,"")</f>
        <v/>
      </c>
      <c r="BB13">
        <f>IF(AND($AF3,$AD3=""),$CQ3,"")</f>
        <v/>
      </c>
      <c r="BC13">
        <f>IF(AND($AF3,$AD3=""),$CR3,"")</f>
        <v/>
      </c>
      <c r="BD13">
        <f>IF(AND($AF3,$AD3=""),$CS3,"")</f>
        <v/>
      </c>
      <c r="BE13">
        <f>IF(AND($AF3,$AD3=""),$CT3,"")</f>
        <v/>
      </c>
      <c r="BF13">
        <f>IF(AND($AF3,$AD3=""),$CU3,"")</f>
        <v/>
      </c>
      <c r="BG13">
        <f>IF(AND($AF3,$AD3=""),$CV3,"")</f>
        <v/>
      </c>
      <c r="BH13">
        <f>IF(AND($AF3,$AD3=""),$CW3,"")</f>
        <v/>
      </c>
      <c r="BI13">
        <f>IF(AND($AF3,$AD3=""),$CX3,"")</f>
        <v/>
      </c>
      <c r="BJ13">
        <f>IF(AND($AF3,$AD3=""),$CY3,"")</f>
        <v/>
      </c>
      <c r="BK13">
        <f>IF(AND($AF3,$AD3=""),$CZ3,0)</f>
        <v/>
      </c>
      <c r="BL13">
        <f>IF(AND($AF3,$AD3=""),$DA3,"")</f>
        <v/>
      </c>
      <c r="BM13">
        <f>IF(AND($AF3,$AD3=""),$DB3,"")</f>
        <v/>
      </c>
      <c r="BN13">
        <f>IF(AND($AF3,$AD3=""),$DC3,"")</f>
        <v/>
      </c>
      <c r="BO13">
        <f>IF(AND($AF3,$AD3=""),$DD3,0)</f>
        <v/>
      </c>
      <c r="BP13">
        <f>IF(AND($AF3,$AD3=""),$DE3,"")</f>
        <v/>
      </c>
      <c r="BQ13">
        <f>IF(AND($AF3,$AD3=""),$DF3,"")</f>
        <v/>
      </c>
      <c r="BR13">
        <f>IF(AND($AF3,$AD3=""),$DG3,"")</f>
        <v/>
      </c>
      <c r="BS13">
        <f>IF(AND($AF3,$AD3=""),$DH3,0)</f>
        <v/>
      </c>
      <c r="FJ13">
        <f>'DADOS_FORMAS'!$AH13</f>
        <v/>
      </c>
      <c r="FK13">
        <f>'DADOS_FORMAS'!$AM13</f>
        <v/>
      </c>
      <c r="FL13">
        <f>'DADOS_FORMAS'!$AN13</f>
        <v/>
      </c>
      <c r="FM13">
        <f>IF('DADOS_FORMAS'!$AN13=0,0,'DADOS_FORMAS'!$AN13+3*IFERROR(VLOOKUP(SUBSTITUTE(SUBSTITUTE(SUBSTITUTE('DADOS_FORMAS'!$AM13,"~","~~"),"*","~*"),"?","~?"),'DADOS_CRIACAO'!$H$2:$K$20,3,FALSE),0))</f>
        <v/>
      </c>
      <c r="FN13">
        <f>IFERROR(VLOOKUP(SUBSTITUTE(SUBSTITUTE(SUBSTITUTE('DADOS_FORMAS'!$AM13,"~","~~"),"*","~*"),"?","~?"),'DADOS_CRIACAO'!$H$2:$K$20,4,FALSE),0)</f>
        <v/>
      </c>
      <c r="FO13">
        <f>IF('DADOS_FORMAS'!$AS13="",0,1)</f>
        <v/>
      </c>
      <c r="FP13">
        <f>'DADOS_FORMAS'!$AP13</f>
        <v/>
      </c>
      <c r="FQ13">
        <f>IF(AND('DADOS_FORMAS'!$AO13="Acerto",'DADOS_FORMAS'!$AQ13),"Acerto + TR",'DADOS_FORMAS'!$AO13)</f>
        <v/>
      </c>
      <c r="FR13">
        <f>N(OR('DADOS_FORMAS'!$AQ13,'DADOS_FORMAS'!$AO13="TR, metade"))</f>
        <v/>
      </c>
      <c r="FS13">
        <f>'DADOS_FORMAS'!$BO13</f>
        <v/>
      </c>
      <c r="FT13">
        <f>'DADOS_FORMAS'!$BS13</f>
        <v/>
      </c>
      <c r="FU13">
        <f>'DADOS_FORMAS'!$BK13</f>
        <v/>
      </c>
      <c r="FV13">
        <f>N('DADOS_FORMAS'!$AR13)</f>
        <v/>
      </c>
      <c r="FW13">
        <f>IF(IFERROR(VLOOKUP(SUBSTITUTE(SUBSTITUTE(SUBSTITUTE('DADOS_FORMAS'!$AM13,"~","~~"),"*","~*"),"?","~?"),'DADOS_CRIACAO'!$H$2:$K$20,4,FALSE),0)=1,"",'DADOS_FORMAS'!$AH13)</f>
        <v/>
      </c>
      <c r="FX13">
        <f>IF(AND('DADOS_FORMAS'!$AR13,IFERROR(VLOOKUP(SUBSTITUTE(SUBSTITUTE(SUBSTITUTE('DADOS_FORMAS'!$AM13,"~","~~"),"*","~*"),"?","~?"),'DADOS_CRIACAO'!$H$2:$K$20,4,FALSE),0)=0),'DADOS_FORMAS'!$AH13,"")</f>
        <v/>
      </c>
      <c r="FZ13">
        <f>'DADOS_FORMAS'!$AH13</f>
        <v/>
      </c>
      <c r="GA13">
        <f>'DADOS_FORMAS'!$AM13</f>
        <v/>
      </c>
      <c r="GB13">
        <f>'DADOS_FORMAS'!$AN13</f>
        <v/>
      </c>
      <c r="GC13">
        <f>IF('DADOS_FORMAS'!$AS13="",0,1)</f>
        <v/>
      </c>
      <c r="GD13">
        <f>'DADOS_FORMAS'!$AP13</f>
        <v/>
      </c>
      <c r="GE13">
        <f>IF('DADOS_FORMAS'!$AO13="Acerto","Ataque",IF('DADOS_FORMAS'!$AQ13,"TR","—"))</f>
        <v/>
      </c>
      <c r="GF13">
        <f>N(OR('DADOS_FORMAS'!$AQ13,'DADOS_FORMAS'!$AO13="TR, metade"))</f>
        <v/>
      </c>
      <c r="GG13">
        <f>'DADOS_FORMAS'!$BO13</f>
        <v/>
      </c>
      <c r="GH13">
        <f>'DADOS_FORMAS'!$BS13</f>
        <v/>
      </c>
      <c r="GI13">
        <f>'DADOS_FORMAS'!$BK13</f>
        <v/>
      </c>
      <c r="GJ13">
        <f>N('DADOS_FORMAS'!$AR13)</f>
        <v/>
      </c>
      <c r="GR13">
        <f>'DADOS_FORMAS'!$BP13</f>
        <v/>
      </c>
      <c r="GS13">
        <f>IF('DADOS_FORMAS'!$BP13="area",'DADOS_FORMAS'!$AU13,'DADOS_FORMAS'!$AT13)</f>
        <v/>
      </c>
      <c r="GT13">
        <f>IF('DADOS_FORMAS'!$BP13="area",'DADOS_FORMAS'!$BE13,'DADOS_FORMAS'!$AX13)</f>
        <v/>
      </c>
      <c r="GU13">
        <f>'DADOS_FORMAS'!$BQ13</f>
        <v/>
      </c>
      <c r="GV13">
        <f>'DADOS_FORMAS'!$BR13</f>
        <v/>
      </c>
      <c r="GW13">
        <f>LET(base,'DADOS_FORMAS'!$GT13,escada,'DADOS_FORMAS'!$GS13,medida,LEFT(base,MAX(0,LEN(base)-2)),valor,IFERROR(VALUE(SUBSTITUTE(medida,",",""))/10^IFERROR(LEN(medida)-FIND(",",medida),0),1E99),IF(OR(escada="Fixo",base="—"),base,IF(escada="alcance",IFERROR(MATCH(base,{"1,5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3" t="inlineStr">
        <is>
          <t>Aura · classes 6 e 7</t>
        </is>
      </c>
      <c r="GZ13" t="inlineStr">
        <is>
          <t>Raio 4,5 m, em você</t>
        </is>
      </c>
      <c r="HA13" t="inlineStr">
        <is>
          <t>Raio 6 m, em você</t>
        </is>
      </c>
      <c r="HB13" t="inlineStr">
        <is>
          <t>Raio 9 m, em você</t>
        </is>
      </c>
      <c r="HC13" t="inlineStr">
        <is>
          <t>Raio 15 m, em você</t>
        </is>
      </c>
      <c r="HD13" t="inlineStr">
        <is>
          <t>Raio 15 m, em você</t>
        </is>
      </c>
      <c r="HE13" t="inlineStr">
        <is>
          <t>Raio 15 m, em você</t>
        </is>
      </c>
      <c r="HF13" t="inlineStr"/>
      <c r="HG13" t="inlineStr"/>
      <c r="HH13" t="inlineStr"/>
      <c r="HI13" t="inlineStr"/>
      <c r="HJ13" t="inlineStr"/>
      <c r="HK13" t="inlineStr"/>
      <c r="HM13">
        <f>'DADOS_FORMAS'!$BP13</f>
        <v/>
      </c>
      <c r="HN13">
        <f>IF('DADOS_FORMAS'!$BP13="area",'DADOS_FORMAS'!$AU13,'DADOS_FORMAS'!$AT13)</f>
        <v/>
      </c>
      <c r="HO13">
        <f>IF('DADOS_FORMAS'!$BP13="area",'DADOS_FORMAS'!$BG13,'DADOS_FORMAS'!$AZ13)</f>
        <v/>
      </c>
      <c r="HP13">
        <f>'DADOS_FORMAS'!$BQ13</f>
        <v/>
      </c>
      <c r="HQ13">
        <f>'DADOS_FORMAS'!$BR13</f>
        <v/>
      </c>
      <c r="HR13">
        <f>LET(base,'DADOS_FORMAS'!$HO13,escada,'DADOS_FORMAS'!$HN13,medida,LEFT(base,MAX(0,LEN(base)-2)),valor,IFERROR(VALUE(SUBSTITUTE(medida,",",""))/10^IFERROR(LEN(medida)-FIND(",",medida),0),1E99),IF(OR(escada="Fixo",base="—"),base,IF(escada="alcance",IFERROR(MATCH(base,{"1,5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3" t="inlineStr">
        <is>
          <t>Explosão · classe 7</t>
        </is>
      </c>
      <c r="HU13" t="inlineStr">
        <is>
          <t>Raio 4,5 m</t>
        </is>
      </c>
      <c r="HV13" t="inlineStr">
        <is>
          <t>Raio 6 m</t>
        </is>
      </c>
      <c r="HW13" t="inlineStr">
        <is>
          <t>Raio 9 m</t>
        </is>
      </c>
      <c r="HX13" t="inlineStr">
        <is>
          <t>Raio 15 m</t>
        </is>
      </c>
      <c r="HY13" t="inlineStr">
        <is>
          <t>Raio 15 m</t>
        </is>
      </c>
      <c r="HZ13" t="inlineStr">
        <is>
          <t>Raio 15 m</t>
        </is>
      </c>
      <c r="IA13" t="inlineStr">
        <is>
          <t>, a 36 m</t>
        </is>
      </c>
      <c r="IB13" t="inlineStr">
        <is>
          <t>, a 90 m</t>
        </is>
      </c>
      <c r="IC13" t="inlineStr">
        <is>
          <t>, a visão a olho nu</t>
        </is>
      </c>
      <c r="ID13" t="inlineStr">
        <is>
          <t>, a visão a olho nu</t>
        </is>
      </c>
      <c r="IE13" t="inlineStr">
        <is>
          <t>, a visão a olho nu</t>
        </is>
      </c>
      <c r="IF13" t="inlineStr">
        <is>
          <t>, a visão a olho nu</t>
        </is>
      </c>
      <c r="IH13">
        <f>IF(OR('DADOS_FORMAS'!$AM13='INVOCAÇÕES'!$O$48,'DADOS_FORMAS'!$AM13='INVOCAÇÕES'!$P$48,'DADOS_FORMAS'!$AM13='INVOCAÇÕES'!$Q$48,'DADOS_FORMAS'!$AM13='INVOCAÇÕES'!$R$48,'DADOS_FORMAS'!$AM13='INVOCAÇÕES'!$S$48,'DADOS_FORMAS'!$AM13='INVOCAÇÕES'!$O$50,'DADOS_FORMAS'!$AM13='INVOCAÇÕES'!$P$50,'DADOS_FORMAS'!$AM13='INVOCAÇÕES'!$Q$50,'DADOS_FORMAS'!$AM13='INVOCAÇÕES'!$R$50,'DADOS_FORMAS'!$AM13=""),'DADOS_FORMAS'!$AH13,"")</f>
        <v/>
      </c>
      <c r="II13">
        <f>IF(AND(OR('DADOS_FORMAS'!$AM13='INVOCAÇÕES'!$O$48,'DADOS_FORMAS'!$AM13='INVOCAÇÕES'!$P$48,'DADOS_FORMAS'!$AM13='INVOCAÇÕES'!$Q$48,'DADOS_FORMAS'!$AM13='INVOCAÇÕES'!$R$48,'DADOS_FORMAS'!$AM13='INVOCAÇÕES'!$S$48,'DADOS_FORMAS'!$AM13='INVOCAÇÕES'!$O$50,'DADOS_FORMAS'!$AM13='INVOCAÇÕES'!$P$50,'DADOS_FORMAS'!$AM13='INVOCAÇÕES'!$Q$50,'DADOS_FORMAS'!$AM13='INVOCAÇÕES'!$R$50,'DADOS_FORMAS'!$AM13=""),'DADOS_FORMAS'!$AR13),'DADOS_FORMAS'!$AH13,"")</f>
        <v/>
      </c>
      <c r="IK13">
        <f>IF(OR('DADOS_FORMAS'!$AM13='INVOCAÇÕES'!$O$259,'DADOS_FORMAS'!$AM13='INVOCAÇÕES'!$P$259,'DADOS_FORMAS'!$AM13='INVOCAÇÕES'!$Q$259,'DADOS_FORMAS'!$AM13='INVOCAÇÕES'!$R$259,'DADOS_FORMAS'!$AM13='INVOCAÇÕES'!$S$259,'DADOS_FORMAS'!$AM13='INVOCAÇÕES'!$O$261,'DADOS_FORMAS'!$AM13='INVOCAÇÕES'!$P$261,'DADOS_FORMAS'!$AM13='INVOCAÇÕES'!$Q$261,'DADOS_FORMAS'!$AM13='INVOCAÇÕES'!$R$261,'DADOS_FORMAS'!$AM13=""),'DADOS_FORMAS'!$AH13,"")</f>
        <v/>
      </c>
      <c r="IL13">
        <f>IF(AND(OR('DADOS_FORMAS'!$AM13='INVOCAÇÕES'!$O$259,'DADOS_FORMAS'!$AM13='INVOCAÇÕES'!$P$259,'DADOS_FORMAS'!$AM13='INVOCAÇÕES'!$Q$259,'DADOS_FORMAS'!$AM13='INVOCAÇÕES'!$R$259,'DADOS_FORMAS'!$AM13='INVOCAÇÕES'!$S$259,'DADOS_FORMAS'!$AM13='INVOCAÇÕES'!$O$261,'DADOS_FORMAS'!$AM13='INVOCAÇÕES'!$P$261,'DADOS_FORMAS'!$AM13='INVOCAÇÕES'!$Q$261,'DADOS_FORMAS'!$AM13='INVOCAÇÕES'!$R$261,'DADOS_FORMAS'!$AM13=""),'DADOS_FORMAS'!$AR13),'DADOS_FORMAS'!$AH13,"")</f>
        <v/>
      </c>
      <c r="IN13">
        <f>IF(OR('DADOS_FORMAS'!$AM13='INVOCAÇÕES'!$O$470,'DADOS_FORMAS'!$AM13='INVOCAÇÕES'!$P$470,'DADOS_FORMAS'!$AM13='INVOCAÇÕES'!$Q$470,'DADOS_FORMAS'!$AM13='INVOCAÇÕES'!$R$470,'DADOS_FORMAS'!$AM13='INVOCAÇÕES'!$S$470,'DADOS_FORMAS'!$AM13='INVOCAÇÕES'!$O$472,'DADOS_FORMAS'!$AM13='INVOCAÇÕES'!$P$472,'DADOS_FORMAS'!$AM13='INVOCAÇÕES'!$Q$472,'DADOS_FORMAS'!$AM13='INVOCAÇÕES'!$R$472,'DADOS_FORMAS'!$AM13=""),'DADOS_FORMAS'!$AH13,"")</f>
        <v/>
      </c>
      <c r="IO13">
        <f>IF(AND(OR('DADOS_FORMAS'!$AM13='INVOCAÇÕES'!$O$470,'DADOS_FORMAS'!$AM13='INVOCAÇÕES'!$P$470,'DADOS_FORMAS'!$AM13='INVOCAÇÕES'!$Q$470,'DADOS_FORMAS'!$AM13='INVOCAÇÕES'!$R$470,'DADOS_FORMAS'!$AM13='INVOCAÇÕES'!$S$470,'DADOS_FORMAS'!$AM13='INVOCAÇÕES'!$O$472,'DADOS_FORMAS'!$AM13='INVOCAÇÕES'!$P$472,'DADOS_FORMAS'!$AM13='INVOCAÇÕES'!$Q$472,'DADOS_FORMAS'!$AM13='INVOCAÇÕES'!$R$472,'DADOS_FORMAS'!$AM13=""),'DADOS_FORMAS'!$AR13),'DADOS_FORMAS'!$AH13,"")</f>
        <v/>
      </c>
      <c r="IQ13">
        <f>IF(OR('DADOS_FORMAS'!$AM13='INVOCAÇÕES'!$O$681,'DADOS_FORMAS'!$AM13='INVOCAÇÕES'!$P$681,'DADOS_FORMAS'!$AM13='INVOCAÇÕES'!$Q$681,'DADOS_FORMAS'!$AM13='INVOCAÇÕES'!$R$681,'DADOS_FORMAS'!$AM13='INVOCAÇÕES'!$S$681,'DADOS_FORMAS'!$AM13='INVOCAÇÕES'!$O$683,'DADOS_FORMAS'!$AM13='INVOCAÇÕES'!$P$683,'DADOS_FORMAS'!$AM13='INVOCAÇÕES'!$Q$683,'DADOS_FORMAS'!$AM13='INVOCAÇÕES'!$R$683,'DADOS_FORMAS'!$AM13=""),'DADOS_FORMAS'!$AH13,"")</f>
        <v/>
      </c>
      <c r="IR13">
        <f>IF(AND(OR('DADOS_FORMAS'!$AM13='INVOCAÇÕES'!$O$681,'DADOS_FORMAS'!$AM13='INVOCAÇÕES'!$P$681,'DADOS_FORMAS'!$AM13='INVOCAÇÕES'!$Q$681,'DADOS_FORMAS'!$AM13='INVOCAÇÕES'!$R$681,'DADOS_FORMAS'!$AM13='INVOCAÇÕES'!$S$681,'DADOS_FORMAS'!$AM13='INVOCAÇÕES'!$O$683,'DADOS_FORMAS'!$AM13='INVOCAÇÕES'!$P$683,'DADOS_FORMAS'!$AM13='INVOCAÇÕES'!$Q$683,'DADOS_FORMAS'!$AM13='INVOCAÇÕES'!$R$683,'DADOS_FORMAS'!$AM13=""),'DADOS_FORMAS'!$AR13),'DADOS_FORMAS'!$AH13,"")</f>
        <v/>
      </c>
      <c r="IT13">
        <f>IF(OR('DADOS_FORMAS'!$AM13='INVOCAÇÕES'!$O$892,'DADOS_FORMAS'!$AM13='INVOCAÇÕES'!$P$892,'DADOS_FORMAS'!$AM13='INVOCAÇÕES'!$Q$892,'DADOS_FORMAS'!$AM13='INVOCAÇÕES'!$R$892,'DADOS_FORMAS'!$AM13='INVOCAÇÕES'!$S$892,'DADOS_FORMAS'!$AM13='INVOCAÇÕES'!$O$894,'DADOS_FORMAS'!$AM13='INVOCAÇÕES'!$P$894,'DADOS_FORMAS'!$AM13='INVOCAÇÕES'!$Q$894,'DADOS_FORMAS'!$AM13='INVOCAÇÕES'!$R$894,'DADOS_FORMAS'!$AM13=""),'DADOS_FORMAS'!$AH13,"")</f>
        <v/>
      </c>
      <c r="IU13">
        <f>IF(AND(OR('DADOS_FORMAS'!$AM13='INVOCAÇÕES'!$O$892,'DADOS_FORMAS'!$AM13='INVOCAÇÕES'!$P$892,'DADOS_FORMAS'!$AM13='INVOCAÇÕES'!$Q$892,'DADOS_FORMAS'!$AM13='INVOCAÇÕES'!$R$892,'DADOS_FORMAS'!$AM13='INVOCAÇÕES'!$S$892,'DADOS_FORMAS'!$AM13='INVOCAÇÕES'!$O$894,'DADOS_FORMAS'!$AM13='INVOCAÇÕES'!$P$894,'DADOS_FORMAS'!$AM13='INVOCAÇÕES'!$Q$894,'DADOS_FORMAS'!$AM13='INVOCAÇÕES'!$R$894,'DADOS_FORMAS'!$AM13=""),'DADOS_FORMAS'!$AR13),'DADOS_FORMAS'!$AH13,"")</f>
        <v/>
      </c>
      <c r="IW13">
        <f>IF(OR('DADOS_FORMAS'!$AM13='INVOCAÇÕES'!$O$1103,'DADOS_FORMAS'!$AM13='INVOCAÇÕES'!$P$1103,'DADOS_FORMAS'!$AM13='INVOCAÇÕES'!$Q$1103,'DADOS_FORMAS'!$AM13='INVOCAÇÕES'!$R$1103,'DADOS_FORMAS'!$AM13='INVOCAÇÕES'!$S$1103,'DADOS_FORMAS'!$AM13='INVOCAÇÕES'!$O$1105,'DADOS_FORMAS'!$AM13='INVOCAÇÕES'!$P$1105,'DADOS_FORMAS'!$AM13='INVOCAÇÕES'!$Q$1105,'DADOS_FORMAS'!$AM13='INVOCAÇÕES'!$R$1105,'DADOS_FORMAS'!$AM13=""),'DADOS_FORMAS'!$AH13,"")</f>
        <v/>
      </c>
      <c r="IX13">
        <f>IF(AND(OR('DADOS_FORMAS'!$AM13='INVOCAÇÕES'!$O$1103,'DADOS_FORMAS'!$AM13='INVOCAÇÕES'!$P$1103,'DADOS_FORMAS'!$AM13='INVOCAÇÕES'!$Q$1103,'DADOS_FORMAS'!$AM13='INVOCAÇÕES'!$R$1103,'DADOS_FORMAS'!$AM13='INVOCAÇÕES'!$S$1103,'DADOS_FORMAS'!$AM13='INVOCAÇÕES'!$O$1105,'DADOS_FORMAS'!$AM13='INVOCAÇÕES'!$P$1105,'DADOS_FORMAS'!$AM13='INVOCAÇÕES'!$Q$1105,'DADOS_FORMAS'!$AM13='INVOCAÇÕES'!$R$1105,'DADOS_FORMAS'!$AM13=""),'DADOS_FORMAS'!$AR13),'DADOS_FORMAS'!$AH13,"")</f>
        <v/>
      </c>
      <c r="IZ13">
        <f>IF(OR('DADOS_FORMAS'!$AM13='INVOCAÇÕES'!$AH$48,'DADOS_FORMAS'!$AM13='INVOCAÇÕES'!$AI$48,'DADOS_FORMAS'!$AM13='INVOCAÇÕES'!$AJ$48,'DADOS_FORMAS'!$AM13='INVOCAÇÕES'!$AK$48,'DADOS_FORMAS'!$AM13='INVOCAÇÕES'!$AL$48,'DADOS_FORMAS'!$AM13='INVOCAÇÕES'!$AH$50,'DADOS_FORMAS'!$AM13='INVOCAÇÕES'!$AI$50,'DADOS_FORMAS'!$AM13='INVOCAÇÕES'!$AJ$50,'DADOS_FORMAS'!$AM13='INVOCAÇÕES'!$AK$50,'DADOS_FORMAS'!$AM13=""),'DADOS_FORMAS'!$AH13,"")</f>
        <v/>
      </c>
      <c r="JA13">
        <f>IF(AND(OR('DADOS_FORMAS'!$AM13='INVOCAÇÕES'!$AH$48,'DADOS_FORMAS'!$AM13='INVOCAÇÕES'!$AI$48,'DADOS_FORMAS'!$AM13='INVOCAÇÕES'!$AJ$48,'DADOS_FORMAS'!$AM13='INVOCAÇÕES'!$AK$48,'DADOS_FORMAS'!$AM13='INVOCAÇÕES'!$AL$48,'DADOS_FORMAS'!$AM13='INVOCAÇÕES'!$AH$50,'DADOS_FORMAS'!$AM13='INVOCAÇÕES'!$AI$50,'DADOS_FORMAS'!$AM13='INVOCAÇÕES'!$AJ$50,'DADOS_FORMAS'!$AM13='INVOCAÇÕES'!$AK$50,'DADOS_FORMAS'!$AM13=""),'DADOS_FORMAS'!$AR13),'DADOS_FORMAS'!$AH13,"")</f>
        <v/>
      </c>
      <c r="JC13">
        <f>IF(OR('DADOS_FORMAS'!$AM13='INVOCAÇÕES'!$AH$259,'DADOS_FORMAS'!$AM13='INVOCAÇÕES'!$AI$259,'DADOS_FORMAS'!$AM13='INVOCAÇÕES'!$AJ$259,'DADOS_FORMAS'!$AM13='INVOCAÇÕES'!$AK$259,'DADOS_FORMAS'!$AM13='INVOCAÇÕES'!$AL$259,'DADOS_FORMAS'!$AM13='INVOCAÇÕES'!$AH$261,'DADOS_FORMAS'!$AM13='INVOCAÇÕES'!$AI$261,'DADOS_FORMAS'!$AM13='INVOCAÇÕES'!$AJ$261,'DADOS_FORMAS'!$AM13='INVOCAÇÕES'!$AK$261,'DADOS_FORMAS'!$AM13=""),'DADOS_FORMAS'!$AH13,"")</f>
        <v/>
      </c>
      <c r="JD13">
        <f>IF(AND(OR('DADOS_FORMAS'!$AM13='INVOCAÇÕES'!$AH$259,'DADOS_FORMAS'!$AM13='INVOCAÇÕES'!$AI$259,'DADOS_FORMAS'!$AM13='INVOCAÇÕES'!$AJ$259,'DADOS_FORMAS'!$AM13='INVOCAÇÕES'!$AK$259,'DADOS_FORMAS'!$AM13='INVOCAÇÕES'!$AL$259,'DADOS_FORMAS'!$AM13='INVOCAÇÕES'!$AH$261,'DADOS_FORMAS'!$AM13='INVOCAÇÕES'!$AI$261,'DADOS_FORMAS'!$AM13='INVOCAÇÕES'!$AJ$261,'DADOS_FORMAS'!$AM13='INVOCAÇÕES'!$AK$261,'DADOS_FORMAS'!$AM13=""),'DADOS_FORMAS'!$AR13),'DADOS_FORMAS'!$AH13,"")</f>
        <v/>
      </c>
      <c r="JF13">
        <f>IF(OR('DADOS_FORMAS'!$AM13='INVOCAÇÕES'!$AH$470,'DADOS_FORMAS'!$AM13='INVOCAÇÕES'!$AI$470,'DADOS_FORMAS'!$AM13='INVOCAÇÕES'!$AJ$470,'DADOS_FORMAS'!$AM13='INVOCAÇÕES'!$AK$470,'DADOS_FORMAS'!$AM13='INVOCAÇÕES'!$AL$470,'DADOS_FORMAS'!$AM13='INVOCAÇÕES'!$AH$472,'DADOS_FORMAS'!$AM13='INVOCAÇÕES'!$AI$472,'DADOS_FORMAS'!$AM13='INVOCAÇÕES'!$AJ$472,'DADOS_FORMAS'!$AM13='INVOCAÇÕES'!$AK$472,'DADOS_FORMAS'!$AM13=""),'DADOS_FORMAS'!$AH13,"")</f>
        <v/>
      </c>
      <c r="JG13">
        <f>IF(AND(OR('DADOS_FORMAS'!$AM13='INVOCAÇÕES'!$AH$470,'DADOS_FORMAS'!$AM13='INVOCAÇÕES'!$AI$470,'DADOS_FORMAS'!$AM13='INVOCAÇÕES'!$AJ$470,'DADOS_FORMAS'!$AM13='INVOCAÇÕES'!$AK$470,'DADOS_FORMAS'!$AM13='INVOCAÇÕES'!$AL$470,'DADOS_FORMAS'!$AM13='INVOCAÇÕES'!$AH$472,'DADOS_FORMAS'!$AM13='INVOCAÇÕES'!$AI$472,'DADOS_FORMAS'!$AM13='INVOCAÇÕES'!$AJ$472,'DADOS_FORMAS'!$AM13='INVOCAÇÕES'!$AK$472,'DADOS_FORMAS'!$AM13=""),'DADOS_FORMAS'!$AR13),'DADOS_FORMAS'!$AH13,"")</f>
        <v/>
      </c>
      <c r="JI13">
        <f>IF(OR('DADOS_FORMAS'!$AM13='INVOCAÇÕES'!$AH$681,'DADOS_FORMAS'!$AM13='INVOCAÇÕES'!$AI$681,'DADOS_FORMAS'!$AM13='INVOCAÇÕES'!$AJ$681,'DADOS_FORMAS'!$AM13='INVOCAÇÕES'!$AK$681,'DADOS_FORMAS'!$AM13='INVOCAÇÕES'!$AL$681,'DADOS_FORMAS'!$AM13='INVOCAÇÕES'!$AH$683,'DADOS_FORMAS'!$AM13='INVOCAÇÕES'!$AI$683,'DADOS_FORMAS'!$AM13='INVOCAÇÕES'!$AJ$683,'DADOS_FORMAS'!$AM13='INVOCAÇÕES'!$AK$683,'DADOS_FORMAS'!$AM13=""),'DADOS_FORMAS'!$AH13,"")</f>
        <v/>
      </c>
      <c r="JJ13">
        <f>IF(AND(OR('DADOS_FORMAS'!$AM13='INVOCAÇÕES'!$AH$681,'DADOS_FORMAS'!$AM13='INVOCAÇÕES'!$AI$681,'DADOS_FORMAS'!$AM13='INVOCAÇÕES'!$AJ$681,'DADOS_FORMAS'!$AM13='INVOCAÇÕES'!$AK$681,'DADOS_FORMAS'!$AM13='INVOCAÇÕES'!$AL$681,'DADOS_FORMAS'!$AM13='INVOCAÇÕES'!$AH$683,'DADOS_FORMAS'!$AM13='INVOCAÇÕES'!$AI$683,'DADOS_FORMAS'!$AM13='INVOCAÇÕES'!$AJ$683,'DADOS_FORMAS'!$AM13='INVOCAÇÕES'!$AK$683,'DADOS_FORMAS'!$AM13=""),'DADOS_FORMAS'!$AR13),'DADOS_FORMAS'!$AH13,"")</f>
        <v/>
      </c>
      <c r="JL13">
        <f>IF(OR('DADOS_FORMAS'!$AM13='INVOCAÇÕES'!$AH$892,'DADOS_FORMAS'!$AM13='INVOCAÇÕES'!$AI$892,'DADOS_FORMAS'!$AM13='INVOCAÇÕES'!$AJ$892,'DADOS_FORMAS'!$AM13='INVOCAÇÕES'!$AK$892,'DADOS_FORMAS'!$AM13='INVOCAÇÕES'!$AL$892,'DADOS_FORMAS'!$AM13='INVOCAÇÕES'!$AH$894,'DADOS_FORMAS'!$AM13='INVOCAÇÕES'!$AI$894,'DADOS_FORMAS'!$AM13='INVOCAÇÕES'!$AJ$894,'DADOS_FORMAS'!$AM13='INVOCAÇÕES'!$AK$894,'DADOS_FORMAS'!$AM13=""),'DADOS_FORMAS'!$AH13,"")</f>
        <v/>
      </c>
      <c r="JM13">
        <f>IF(AND(OR('DADOS_FORMAS'!$AM13='INVOCAÇÕES'!$AH$892,'DADOS_FORMAS'!$AM13='INVOCAÇÕES'!$AI$892,'DADOS_FORMAS'!$AM13='INVOCAÇÕES'!$AJ$892,'DADOS_FORMAS'!$AM13='INVOCAÇÕES'!$AK$892,'DADOS_FORMAS'!$AM13='INVOCAÇÕES'!$AL$892,'DADOS_FORMAS'!$AM13='INVOCAÇÕES'!$AH$894,'DADOS_FORMAS'!$AM13='INVOCAÇÕES'!$AI$894,'DADOS_FORMAS'!$AM13='INVOCAÇÕES'!$AJ$894,'DADOS_FORMAS'!$AM13='INVOCAÇÕES'!$AK$894,'DADOS_FORMAS'!$AM13=""),'DADOS_FORMAS'!$AR13),'DADOS_FORMAS'!$AH13,"")</f>
        <v/>
      </c>
      <c r="JO13">
        <f>IF(OR('DADOS_FORMAS'!$AM13='INVOCAÇÕES'!$AH$1103,'DADOS_FORMAS'!$AM13='INVOCAÇÕES'!$AI$1103,'DADOS_FORMAS'!$AM13='INVOCAÇÕES'!$AJ$1103,'DADOS_FORMAS'!$AM13='INVOCAÇÕES'!$AK$1103,'DADOS_FORMAS'!$AM13='INVOCAÇÕES'!$AL$1103,'DADOS_FORMAS'!$AM13='INVOCAÇÕES'!$AH$1105,'DADOS_FORMAS'!$AM13='INVOCAÇÕES'!$AI$1105,'DADOS_FORMAS'!$AM13='INVOCAÇÕES'!$AJ$1105,'DADOS_FORMAS'!$AM13='INVOCAÇÕES'!$AK$1105,'DADOS_FORMAS'!$AM13=""),'DADOS_FORMAS'!$AH13,"")</f>
        <v/>
      </c>
      <c r="JP13">
        <f>IF(AND(OR('DADOS_FORMAS'!$AM13='INVOCAÇÕES'!$AH$1103,'DADOS_FORMAS'!$AM13='INVOCAÇÕES'!$AI$1103,'DADOS_FORMAS'!$AM13='INVOCAÇÕES'!$AJ$1103,'DADOS_FORMAS'!$AM13='INVOCAÇÕES'!$AK$1103,'DADOS_FORMAS'!$AM13='INVOCAÇÕES'!$AL$1103,'DADOS_FORMAS'!$AM13='INVOCAÇÕES'!$AH$1105,'DADOS_FORMAS'!$AM13='INVOCAÇÕES'!$AI$1105,'DADOS_FORMAS'!$AM13='INVOCAÇÕES'!$AJ$1105,'DADOS_FORMAS'!$AM13='INVOCAÇÕES'!$AK$1105,'DADOS_FORMAS'!$AM13=""),'DADOS_FORMAS'!$AR13),'DADOS_FORMAS'!$AH13,"")</f>
        <v/>
      </c>
      <c r="JZ13">
        <f>IFERROR(INDEX('DADOS_CRIACAO'!$H$2:$H$20,11),"")</f>
        <v/>
      </c>
      <c r="KA13">
        <f>IFERROR(INDEX(INDEX('DADOS_RESTRICOES'!$M$2:$Q$54,0,1),11),"")</f>
        <v/>
      </c>
    </row>
    <row r="14">
      <c r="AG14">
        <f>IF(AND($AF4,$AD4=""),$BV4,"")</f>
        <v/>
      </c>
      <c r="AH14">
        <f>IF(AND($AF4,$AD4=""),$BW4,"")</f>
        <v/>
      </c>
      <c r="AI14">
        <f>IF(AND($AF4,$AD4=""),$BX4,"")</f>
        <v/>
      </c>
      <c r="AJ14">
        <f>IF(AND($AF4,$AD4=""),$BY4,FALSE)</f>
        <v/>
      </c>
      <c r="AK14">
        <f>IF(AND($AF4,$AD4=""),$BZ4,"")</f>
        <v/>
      </c>
      <c r="AL14">
        <f>IF(AND($AF4,$AD4=""),$CA4,"")</f>
        <v/>
      </c>
      <c r="AM14">
        <f>IF(AND($AF4,$AD4=""),$CB4,"")</f>
        <v/>
      </c>
      <c r="AN14">
        <f>IF(AND($AF4,$AD4=""),$CC4,0)</f>
        <v/>
      </c>
      <c r="AO14">
        <f>IF(AND($AF4,$AD4=""),$CD4,"")</f>
        <v/>
      </c>
      <c r="AP14">
        <f>IF(AND($AF4,$AD4=""),$CE4,0)</f>
        <v/>
      </c>
      <c r="AQ14">
        <f>IF(AND($AF4,$AD4=""),$CF4,FALSE)</f>
        <v/>
      </c>
      <c r="AR14">
        <f>IF(AND($AF4,$AD4=""),$CG4,FALSE)</f>
        <v/>
      </c>
      <c r="AS14">
        <f>IF(AND($AF4,$AD4=""),$CH4,"")</f>
        <v/>
      </c>
      <c r="AT14">
        <f>IF(AND($AF4,$AD4=""),$CI4,"")</f>
        <v/>
      </c>
      <c r="AU14">
        <f>IF(AND($AF4,$AD4=""),$CJ4,"")</f>
        <v/>
      </c>
      <c r="AV14">
        <f>IF(AND($AF4,$AD4=""),$CK4,"")</f>
        <v/>
      </c>
      <c r="AW14">
        <f>IF(AND($AF4,$AD4=""),$CL4,"")</f>
        <v/>
      </c>
      <c r="AX14">
        <f>IF(AND($AF4,$AD4=""),$CM4,"")</f>
        <v/>
      </c>
      <c r="AY14">
        <f>IF(AND($AF4,$AD4=""),$CN4,"")</f>
        <v/>
      </c>
      <c r="AZ14">
        <f>IF(AND($AF4,$AD4=""),$CO4,"")</f>
        <v/>
      </c>
      <c r="BA14">
        <f>IF(AND($AF4,$AD4=""),$CP4,"")</f>
        <v/>
      </c>
      <c r="BB14">
        <f>IF(AND($AF4,$AD4=""),$CQ4,"")</f>
        <v/>
      </c>
      <c r="BC14">
        <f>IF(AND($AF4,$AD4=""),$CR4,"")</f>
        <v/>
      </c>
      <c r="BD14">
        <f>IF(AND($AF4,$AD4=""),$CS4,"")</f>
        <v/>
      </c>
      <c r="BE14">
        <f>IF(AND($AF4,$AD4=""),$CT4,"")</f>
        <v/>
      </c>
      <c r="BF14">
        <f>IF(AND($AF4,$AD4=""),$CU4,"")</f>
        <v/>
      </c>
      <c r="BG14">
        <f>IF(AND($AF4,$AD4=""),$CV4,"")</f>
        <v/>
      </c>
      <c r="BH14">
        <f>IF(AND($AF4,$AD4=""),$CW4,"")</f>
        <v/>
      </c>
      <c r="BI14">
        <f>IF(AND($AF4,$AD4=""),$CX4,"")</f>
        <v/>
      </c>
      <c r="BJ14">
        <f>IF(AND($AF4,$AD4=""),$CY4,"")</f>
        <v/>
      </c>
      <c r="BK14">
        <f>IF(AND($AF4,$AD4=""),$CZ4,0)</f>
        <v/>
      </c>
      <c r="BL14">
        <f>IF(AND($AF4,$AD4=""),$DA4,"")</f>
        <v/>
      </c>
      <c r="BM14">
        <f>IF(AND($AF4,$AD4=""),$DB4,"")</f>
        <v/>
      </c>
      <c r="BN14">
        <f>IF(AND($AF4,$AD4=""),$DC4,"")</f>
        <v/>
      </c>
      <c r="BO14">
        <f>IF(AND($AF4,$AD4=""),$DD4,0)</f>
        <v/>
      </c>
      <c r="BP14">
        <f>IF(AND($AF4,$AD4=""),$DE4,"")</f>
        <v/>
      </c>
      <c r="BQ14">
        <f>IF(AND($AF4,$AD4=""),$DF4,"")</f>
        <v/>
      </c>
      <c r="BR14">
        <f>IF(AND($AF4,$AD4=""),$DG4,"")</f>
        <v/>
      </c>
      <c r="BS14">
        <f>IF(AND($AF4,$AD4=""),$DH4,0)</f>
        <v/>
      </c>
      <c r="FJ14">
        <f>'DADOS_FORMAS'!$AH14</f>
        <v/>
      </c>
      <c r="FK14">
        <f>'DADOS_FORMAS'!$AM14</f>
        <v/>
      </c>
      <c r="FL14">
        <f>'DADOS_FORMAS'!$AN14</f>
        <v/>
      </c>
      <c r="FM14">
        <f>IF('DADOS_FORMAS'!$AN14=0,0,'DADOS_FORMAS'!$AN14+3*IFERROR(VLOOKUP(SUBSTITUTE(SUBSTITUTE(SUBSTITUTE('DADOS_FORMAS'!$AM14,"~","~~"),"*","~*"),"?","~?"),'DADOS_CRIACAO'!$H$2:$K$20,3,FALSE),0))</f>
        <v/>
      </c>
      <c r="FN14">
        <f>IFERROR(VLOOKUP(SUBSTITUTE(SUBSTITUTE(SUBSTITUTE('DADOS_FORMAS'!$AM14,"~","~~"),"*","~*"),"?","~?"),'DADOS_CRIACAO'!$H$2:$K$20,4,FALSE),0)</f>
        <v/>
      </c>
      <c r="FO14">
        <f>IF('DADOS_FORMAS'!$AS14="",0,1)</f>
        <v/>
      </c>
      <c r="FP14">
        <f>'DADOS_FORMAS'!$AP14</f>
        <v/>
      </c>
      <c r="FQ14">
        <f>IF(AND('DADOS_FORMAS'!$AO14="Acerto",'DADOS_FORMAS'!$AQ14),"Acerto + TR",'DADOS_FORMAS'!$AO14)</f>
        <v/>
      </c>
      <c r="FR14">
        <f>N(OR('DADOS_FORMAS'!$AQ14,'DADOS_FORMAS'!$AO14="TR, metade"))</f>
        <v/>
      </c>
      <c r="FS14">
        <f>'DADOS_FORMAS'!$BO14</f>
        <v/>
      </c>
      <c r="FT14">
        <f>'DADOS_FORMAS'!$BS14</f>
        <v/>
      </c>
      <c r="FU14">
        <f>'DADOS_FORMAS'!$BK14</f>
        <v/>
      </c>
      <c r="FV14">
        <f>N('DADOS_FORMAS'!$AR14)</f>
        <v/>
      </c>
      <c r="FW14">
        <f>IF(IFERROR(VLOOKUP(SUBSTITUTE(SUBSTITUTE(SUBSTITUTE('DADOS_FORMAS'!$AM14,"~","~~"),"*","~*"),"?","~?"),'DADOS_CRIACAO'!$H$2:$K$20,4,FALSE),0)=1,"",'DADOS_FORMAS'!$AH14)</f>
        <v/>
      </c>
      <c r="FX14">
        <f>IF(AND('DADOS_FORMAS'!$AR14,IFERROR(VLOOKUP(SUBSTITUTE(SUBSTITUTE(SUBSTITUTE('DADOS_FORMAS'!$AM14,"~","~~"),"*","~*"),"?","~?"),'DADOS_CRIACAO'!$H$2:$K$20,4,FALSE),0)=0),'DADOS_FORMAS'!$AH14,"")</f>
        <v/>
      </c>
      <c r="FZ14">
        <f>'DADOS_FORMAS'!$AH14</f>
        <v/>
      </c>
      <c r="GA14">
        <f>'DADOS_FORMAS'!$AM14</f>
        <v/>
      </c>
      <c r="GB14">
        <f>'DADOS_FORMAS'!$AN14</f>
        <v/>
      </c>
      <c r="GC14">
        <f>IF('DADOS_FORMAS'!$AS14="",0,1)</f>
        <v/>
      </c>
      <c r="GD14">
        <f>'DADOS_FORMAS'!$AP14</f>
        <v/>
      </c>
      <c r="GE14">
        <f>IF('DADOS_FORMAS'!$AO14="Acerto","Ataque",IF('DADOS_FORMAS'!$AQ14,"TR","—"))</f>
        <v/>
      </c>
      <c r="GF14">
        <f>N(OR('DADOS_FORMAS'!$AQ14,'DADOS_FORMAS'!$AO14="TR, metade"))</f>
        <v/>
      </c>
      <c r="GG14">
        <f>'DADOS_FORMAS'!$BO14</f>
        <v/>
      </c>
      <c r="GH14">
        <f>'DADOS_FORMAS'!$BS14</f>
        <v/>
      </c>
      <c r="GI14">
        <f>'DADOS_FORMAS'!$BK14</f>
        <v/>
      </c>
      <c r="GJ14">
        <f>N('DADOS_FORMAS'!$AR14)</f>
        <v/>
      </c>
      <c r="GR14">
        <f>'DADOS_FORMAS'!$BL14</f>
        <v/>
      </c>
      <c r="GS14">
        <f>IF('DADOS_FORMAS'!$BL14="area",'DADOS_FORMAS'!$AU14,'DADOS_FORMAS'!$AT14)</f>
        <v/>
      </c>
      <c r="GT14">
        <f>IF('DADOS_FORMAS'!$BL14="area",'DADOS_FORMAS'!$BC14,'DADOS_FORMAS'!$AV14)</f>
        <v/>
      </c>
      <c r="GU14">
        <f>'DADOS_FORMAS'!$BM14</f>
        <v/>
      </c>
      <c r="GV14">
        <f>'DADOS_FORMAS'!$BN14</f>
        <v/>
      </c>
      <c r="GW14">
        <f>LET(base,'DADOS_FORMAS'!$GT14,escada,'DADOS_FORMAS'!$GS14,medida,LEFT(base,MAX(0,LEN(base)-2)),valor,IFERROR(VALUE(SUBSTITUTE(medida,",",""))/10^IFERROR(LEN(medida)-FIND(",",medida),0),1E99),IF(OR(escada="Fixo",base="—"),base,IF(escada="alcance",IFERROR(MATCH(base,{"1,5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4" t="inlineStr">
        <is>
          <t>Cone · classe 0</t>
        </is>
      </c>
      <c r="GZ14" t="inlineStr">
        <is>
          <t>Cone de 3 m</t>
        </is>
      </c>
      <c r="HA14" t="inlineStr">
        <is>
          <t>Cone de 4,5 m</t>
        </is>
      </c>
      <c r="HB14" t="inlineStr">
        <is>
          <t>Cone de 9 m</t>
        </is>
      </c>
      <c r="HC14" t="inlineStr">
        <is>
          <t>Cone de 18 m</t>
        </is>
      </c>
      <c r="HD14" t="inlineStr">
        <is>
          <t>Cone de 30 m</t>
        </is>
      </c>
      <c r="HE14" t="inlineStr">
        <is>
          <t>Cone de 60 m</t>
        </is>
      </c>
      <c r="HF14" t="inlineStr"/>
      <c r="HG14" t="inlineStr"/>
      <c r="HH14" t="inlineStr"/>
      <c r="HI14" t="inlineStr"/>
      <c r="HJ14" t="inlineStr"/>
      <c r="HK14" t="inlineStr"/>
      <c r="HM14">
        <f>'DADOS_FORMAS'!$BL13</f>
        <v/>
      </c>
      <c r="HN14">
        <f>IF('DADOS_FORMAS'!$BL13="area",'DADOS_FORMAS'!$AU13,'DADOS_FORMAS'!$AT13)</f>
        <v/>
      </c>
      <c r="HO14">
        <f>IF('DADOS_FORMAS'!$BL13="area",'DADOS_FORMAS'!$BH13,'DADOS_FORMAS'!$BA13)</f>
        <v/>
      </c>
      <c r="HP14">
        <f>'DADOS_FORMAS'!$BM13</f>
        <v/>
      </c>
      <c r="HQ14">
        <f>'DADOS_FORMAS'!$BN13</f>
        <v/>
      </c>
      <c r="HR14">
        <f>LET(base,'DADOS_FORMAS'!$HO14,escada,'DADOS_FORMAS'!$HN14,medida,LEFT(base,MAX(0,LEN(base)-2)),valor,IFERROR(VALUE(SUBSTITUTE(medida,",",""))/10^IFERROR(LEN(medida)-FIND(",",medida),0),1E99),IF(OR(escada="Fixo",base="—"),base,IF(escada="alcance",IFERROR(MATCH(base,{"1,5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4" t="inlineStr">
        <is>
          <t>Aura · classe 0</t>
        </is>
      </c>
      <c r="HU14" t="inlineStr">
        <is>
          <t>Raio 3 m, nela</t>
        </is>
      </c>
      <c r="HV14" t="inlineStr">
        <is>
          <t>Raio 4,5 m, nela</t>
        </is>
      </c>
      <c r="HW14" t="inlineStr">
        <is>
          <t>Raio 6 m, nela</t>
        </is>
      </c>
      <c r="HX14" t="inlineStr">
        <is>
          <t>Raio 9 m, nela</t>
        </is>
      </c>
      <c r="HY14" t="inlineStr">
        <is>
          <t>Raio 15 m, nela</t>
        </is>
      </c>
      <c r="HZ14" t="inlineStr">
        <is>
          <t>Raio 15 m, nela</t>
        </is>
      </c>
      <c r="IA14" t="inlineStr"/>
      <c r="IB14" t="inlineStr"/>
      <c r="IC14" t="inlineStr"/>
      <c r="ID14" t="inlineStr"/>
      <c r="IE14" t="inlineStr"/>
      <c r="IF14" t="inlineStr"/>
      <c r="IH14">
        <f>IF(OR('DADOS_FORMAS'!$AM14='INVOCAÇÕES'!$O$48,'DADOS_FORMAS'!$AM14='INVOCAÇÕES'!$P$48,'DADOS_FORMAS'!$AM14='INVOCAÇÕES'!$Q$48,'DADOS_FORMAS'!$AM14='INVOCAÇÕES'!$R$48,'DADOS_FORMAS'!$AM14='INVOCAÇÕES'!$S$48,'DADOS_FORMAS'!$AM14='INVOCAÇÕES'!$O$50,'DADOS_FORMAS'!$AM14='INVOCAÇÕES'!$P$50,'DADOS_FORMAS'!$AM14='INVOCAÇÕES'!$Q$50,'DADOS_FORMAS'!$AM14='INVOCAÇÕES'!$R$50,'DADOS_FORMAS'!$AM14=""),'DADOS_FORMAS'!$AH14,"")</f>
        <v/>
      </c>
      <c r="II14">
        <f>IF(AND(OR('DADOS_FORMAS'!$AM14='INVOCAÇÕES'!$O$48,'DADOS_FORMAS'!$AM14='INVOCAÇÕES'!$P$48,'DADOS_FORMAS'!$AM14='INVOCAÇÕES'!$Q$48,'DADOS_FORMAS'!$AM14='INVOCAÇÕES'!$R$48,'DADOS_FORMAS'!$AM14='INVOCAÇÕES'!$S$48,'DADOS_FORMAS'!$AM14='INVOCAÇÕES'!$O$50,'DADOS_FORMAS'!$AM14='INVOCAÇÕES'!$P$50,'DADOS_FORMAS'!$AM14='INVOCAÇÕES'!$Q$50,'DADOS_FORMAS'!$AM14='INVOCAÇÕES'!$R$50,'DADOS_FORMAS'!$AM14=""),'DADOS_FORMAS'!$AR14),'DADOS_FORMAS'!$AH14,"")</f>
        <v/>
      </c>
      <c r="IK14">
        <f>IF(OR('DADOS_FORMAS'!$AM14='INVOCAÇÕES'!$O$259,'DADOS_FORMAS'!$AM14='INVOCAÇÕES'!$P$259,'DADOS_FORMAS'!$AM14='INVOCAÇÕES'!$Q$259,'DADOS_FORMAS'!$AM14='INVOCAÇÕES'!$R$259,'DADOS_FORMAS'!$AM14='INVOCAÇÕES'!$S$259,'DADOS_FORMAS'!$AM14='INVOCAÇÕES'!$O$261,'DADOS_FORMAS'!$AM14='INVOCAÇÕES'!$P$261,'DADOS_FORMAS'!$AM14='INVOCAÇÕES'!$Q$261,'DADOS_FORMAS'!$AM14='INVOCAÇÕES'!$R$261,'DADOS_FORMAS'!$AM14=""),'DADOS_FORMAS'!$AH14,"")</f>
        <v/>
      </c>
      <c r="IL14">
        <f>IF(AND(OR('DADOS_FORMAS'!$AM14='INVOCAÇÕES'!$O$259,'DADOS_FORMAS'!$AM14='INVOCAÇÕES'!$P$259,'DADOS_FORMAS'!$AM14='INVOCAÇÕES'!$Q$259,'DADOS_FORMAS'!$AM14='INVOCAÇÕES'!$R$259,'DADOS_FORMAS'!$AM14='INVOCAÇÕES'!$S$259,'DADOS_FORMAS'!$AM14='INVOCAÇÕES'!$O$261,'DADOS_FORMAS'!$AM14='INVOCAÇÕES'!$P$261,'DADOS_FORMAS'!$AM14='INVOCAÇÕES'!$Q$261,'DADOS_FORMAS'!$AM14='INVOCAÇÕES'!$R$261,'DADOS_FORMAS'!$AM14=""),'DADOS_FORMAS'!$AR14),'DADOS_FORMAS'!$AH14,"")</f>
        <v/>
      </c>
      <c r="IN14">
        <f>IF(OR('DADOS_FORMAS'!$AM14='INVOCAÇÕES'!$O$470,'DADOS_FORMAS'!$AM14='INVOCAÇÕES'!$P$470,'DADOS_FORMAS'!$AM14='INVOCAÇÕES'!$Q$470,'DADOS_FORMAS'!$AM14='INVOCAÇÕES'!$R$470,'DADOS_FORMAS'!$AM14='INVOCAÇÕES'!$S$470,'DADOS_FORMAS'!$AM14='INVOCAÇÕES'!$O$472,'DADOS_FORMAS'!$AM14='INVOCAÇÕES'!$P$472,'DADOS_FORMAS'!$AM14='INVOCAÇÕES'!$Q$472,'DADOS_FORMAS'!$AM14='INVOCAÇÕES'!$R$472,'DADOS_FORMAS'!$AM14=""),'DADOS_FORMAS'!$AH14,"")</f>
        <v/>
      </c>
      <c r="IO14">
        <f>IF(AND(OR('DADOS_FORMAS'!$AM14='INVOCAÇÕES'!$O$470,'DADOS_FORMAS'!$AM14='INVOCAÇÕES'!$P$470,'DADOS_FORMAS'!$AM14='INVOCAÇÕES'!$Q$470,'DADOS_FORMAS'!$AM14='INVOCAÇÕES'!$R$470,'DADOS_FORMAS'!$AM14='INVOCAÇÕES'!$S$470,'DADOS_FORMAS'!$AM14='INVOCAÇÕES'!$O$472,'DADOS_FORMAS'!$AM14='INVOCAÇÕES'!$P$472,'DADOS_FORMAS'!$AM14='INVOCAÇÕES'!$Q$472,'DADOS_FORMAS'!$AM14='INVOCAÇÕES'!$R$472,'DADOS_FORMAS'!$AM14=""),'DADOS_FORMAS'!$AR14),'DADOS_FORMAS'!$AH14,"")</f>
        <v/>
      </c>
      <c r="IQ14">
        <f>IF(OR('DADOS_FORMAS'!$AM14='INVOCAÇÕES'!$O$681,'DADOS_FORMAS'!$AM14='INVOCAÇÕES'!$P$681,'DADOS_FORMAS'!$AM14='INVOCAÇÕES'!$Q$681,'DADOS_FORMAS'!$AM14='INVOCAÇÕES'!$R$681,'DADOS_FORMAS'!$AM14='INVOCAÇÕES'!$S$681,'DADOS_FORMAS'!$AM14='INVOCAÇÕES'!$O$683,'DADOS_FORMAS'!$AM14='INVOCAÇÕES'!$P$683,'DADOS_FORMAS'!$AM14='INVOCAÇÕES'!$Q$683,'DADOS_FORMAS'!$AM14='INVOCAÇÕES'!$R$683,'DADOS_FORMAS'!$AM14=""),'DADOS_FORMAS'!$AH14,"")</f>
        <v/>
      </c>
      <c r="IR14">
        <f>IF(AND(OR('DADOS_FORMAS'!$AM14='INVOCAÇÕES'!$O$681,'DADOS_FORMAS'!$AM14='INVOCAÇÕES'!$P$681,'DADOS_FORMAS'!$AM14='INVOCAÇÕES'!$Q$681,'DADOS_FORMAS'!$AM14='INVOCAÇÕES'!$R$681,'DADOS_FORMAS'!$AM14='INVOCAÇÕES'!$S$681,'DADOS_FORMAS'!$AM14='INVOCAÇÕES'!$O$683,'DADOS_FORMAS'!$AM14='INVOCAÇÕES'!$P$683,'DADOS_FORMAS'!$AM14='INVOCAÇÕES'!$Q$683,'DADOS_FORMAS'!$AM14='INVOCAÇÕES'!$R$683,'DADOS_FORMAS'!$AM14=""),'DADOS_FORMAS'!$AR14),'DADOS_FORMAS'!$AH14,"")</f>
        <v/>
      </c>
      <c r="IT14">
        <f>IF(OR('DADOS_FORMAS'!$AM14='INVOCAÇÕES'!$O$892,'DADOS_FORMAS'!$AM14='INVOCAÇÕES'!$P$892,'DADOS_FORMAS'!$AM14='INVOCAÇÕES'!$Q$892,'DADOS_FORMAS'!$AM14='INVOCAÇÕES'!$R$892,'DADOS_FORMAS'!$AM14='INVOCAÇÕES'!$S$892,'DADOS_FORMAS'!$AM14='INVOCAÇÕES'!$O$894,'DADOS_FORMAS'!$AM14='INVOCAÇÕES'!$P$894,'DADOS_FORMAS'!$AM14='INVOCAÇÕES'!$Q$894,'DADOS_FORMAS'!$AM14='INVOCAÇÕES'!$R$894,'DADOS_FORMAS'!$AM14=""),'DADOS_FORMAS'!$AH14,"")</f>
        <v/>
      </c>
      <c r="IU14">
        <f>IF(AND(OR('DADOS_FORMAS'!$AM14='INVOCAÇÕES'!$O$892,'DADOS_FORMAS'!$AM14='INVOCAÇÕES'!$P$892,'DADOS_FORMAS'!$AM14='INVOCAÇÕES'!$Q$892,'DADOS_FORMAS'!$AM14='INVOCAÇÕES'!$R$892,'DADOS_FORMAS'!$AM14='INVOCAÇÕES'!$S$892,'DADOS_FORMAS'!$AM14='INVOCAÇÕES'!$O$894,'DADOS_FORMAS'!$AM14='INVOCAÇÕES'!$P$894,'DADOS_FORMAS'!$AM14='INVOCAÇÕES'!$Q$894,'DADOS_FORMAS'!$AM14='INVOCAÇÕES'!$R$894,'DADOS_FORMAS'!$AM14=""),'DADOS_FORMAS'!$AR14),'DADOS_FORMAS'!$AH14,"")</f>
        <v/>
      </c>
      <c r="IW14">
        <f>IF(OR('DADOS_FORMAS'!$AM14='INVOCAÇÕES'!$O$1103,'DADOS_FORMAS'!$AM14='INVOCAÇÕES'!$P$1103,'DADOS_FORMAS'!$AM14='INVOCAÇÕES'!$Q$1103,'DADOS_FORMAS'!$AM14='INVOCAÇÕES'!$R$1103,'DADOS_FORMAS'!$AM14='INVOCAÇÕES'!$S$1103,'DADOS_FORMAS'!$AM14='INVOCAÇÕES'!$O$1105,'DADOS_FORMAS'!$AM14='INVOCAÇÕES'!$P$1105,'DADOS_FORMAS'!$AM14='INVOCAÇÕES'!$Q$1105,'DADOS_FORMAS'!$AM14='INVOCAÇÕES'!$R$1105,'DADOS_FORMAS'!$AM14=""),'DADOS_FORMAS'!$AH14,"")</f>
        <v/>
      </c>
      <c r="IX14">
        <f>IF(AND(OR('DADOS_FORMAS'!$AM14='INVOCAÇÕES'!$O$1103,'DADOS_FORMAS'!$AM14='INVOCAÇÕES'!$P$1103,'DADOS_FORMAS'!$AM14='INVOCAÇÕES'!$Q$1103,'DADOS_FORMAS'!$AM14='INVOCAÇÕES'!$R$1103,'DADOS_FORMAS'!$AM14='INVOCAÇÕES'!$S$1103,'DADOS_FORMAS'!$AM14='INVOCAÇÕES'!$O$1105,'DADOS_FORMAS'!$AM14='INVOCAÇÕES'!$P$1105,'DADOS_FORMAS'!$AM14='INVOCAÇÕES'!$Q$1105,'DADOS_FORMAS'!$AM14='INVOCAÇÕES'!$R$1105,'DADOS_FORMAS'!$AM14=""),'DADOS_FORMAS'!$AR14),'DADOS_FORMAS'!$AH14,"")</f>
        <v/>
      </c>
      <c r="IZ14">
        <f>IF(OR('DADOS_FORMAS'!$AM14='INVOCAÇÕES'!$AH$48,'DADOS_FORMAS'!$AM14='INVOCAÇÕES'!$AI$48,'DADOS_FORMAS'!$AM14='INVOCAÇÕES'!$AJ$48,'DADOS_FORMAS'!$AM14='INVOCAÇÕES'!$AK$48,'DADOS_FORMAS'!$AM14='INVOCAÇÕES'!$AL$48,'DADOS_FORMAS'!$AM14='INVOCAÇÕES'!$AH$50,'DADOS_FORMAS'!$AM14='INVOCAÇÕES'!$AI$50,'DADOS_FORMAS'!$AM14='INVOCAÇÕES'!$AJ$50,'DADOS_FORMAS'!$AM14='INVOCAÇÕES'!$AK$50,'DADOS_FORMAS'!$AM14=""),'DADOS_FORMAS'!$AH14,"")</f>
        <v/>
      </c>
      <c r="JA14">
        <f>IF(AND(OR('DADOS_FORMAS'!$AM14='INVOCAÇÕES'!$AH$48,'DADOS_FORMAS'!$AM14='INVOCAÇÕES'!$AI$48,'DADOS_FORMAS'!$AM14='INVOCAÇÕES'!$AJ$48,'DADOS_FORMAS'!$AM14='INVOCAÇÕES'!$AK$48,'DADOS_FORMAS'!$AM14='INVOCAÇÕES'!$AL$48,'DADOS_FORMAS'!$AM14='INVOCAÇÕES'!$AH$50,'DADOS_FORMAS'!$AM14='INVOCAÇÕES'!$AI$50,'DADOS_FORMAS'!$AM14='INVOCAÇÕES'!$AJ$50,'DADOS_FORMAS'!$AM14='INVOCAÇÕES'!$AK$50,'DADOS_FORMAS'!$AM14=""),'DADOS_FORMAS'!$AR14),'DADOS_FORMAS'!$AH14,"")</f>
        <v/>
      </c>
      <c r="JC14">
        <f>IF(OR('DADOS_FORMAS'!$AM14='INVOCAÇÕES'!$AH$259,'DADOS_FORMAS'!$AM14='INVOCAÇÕES'!$AI$259,'DADOS_FORMAS'!$AM14='INVOCAÇÕES'!$AJ$259,'DADOS_FORMAS'!$AM14='INVOCAÇÕES'!$AK$259,'DADOS_FORMAS'!$AM14='INVOCAÇÕES'!$AL$259,'DADOS_FORMAS'!$AM14='INVOCAÇÕES'!$AH$261,'DADOS_FORMAS'!$AM14='INVOCAÇÕES'!$AI$261,'DADOS_FORMAS'!$AM14='INVOCAÇÕES'!$AJ$261,'DADOS_FORMAS'!$AM14='INVOCAÇÕES'!$AK$261,'DADOS_FORMAS'!$AM14=""),'DADOS_FORMAS'!$AH14,"")</f>
        <v/>
      </c>
      <c r="JD14">
        <f>IF(AND(OR('DADOS_FORMAS'!$AM14='INVOCAÇÕES'!$AH$259,'DADOS_FORMAS'!$AM14='INVOCAÇÕES'!$AI$259,'DADOS_FORMAS'!$AM14='INVOCAÇÕES'!$AJ$259,'DADOS_FORMAS'!$AM14='INVOCAÇÕES'!$AK$259,'DADOS_FORMAS'!$AM14='INVOCAÇÕES'!$AL$259,'DADOS_FORMAS'!$AM14='INVOCAÇÕES'!$AH$261,'DADOS_FORMAS'!$AM14='INVOCAÇÕES'!$AI$261,'DADOS_FORMAS'!$AM14='INVOCAÇÕES'!$AJ$261,'DADOS_FORMAS'!$AM14='INVOCAÇÕES'!$AK$261,'DADOS_FORMAS'!$AM14=""),'DADOS_FORMAS'!$AR14),'DADOS_FORMAS'!$AH14,"")</f>
        <v/>
      </c>
      <c r="JF14">
        <f>IF(OR('DADOS_FORMAS'!$AM14='INVOCAÇÕES'!$AH$470,'DADOS_FORMAS'!$AM14='INVOCAÇÕES'!$AI$470,'DADOS_FORMAS'!$AM14='INVOCAÇÕES'!$AJ$470,'DADOS_FORMAS'!$AM14='INVOCAÇÕES'!$AK$470,'DADOS_FORMAS'!$AM14='INVOCAÇÕES'!$AL$470,'DADOS_FORMAS'!$AM14='INVOCAÇÕES'!$AH$472,'DADOS_FORMAS'!$AM14='INVOCAÇÕES'!$AI$472,'DADOS_FORMAS'!$AM14='INVOCAÇÕES'!$AJ$472,'DADOS_FORMAS'!$AM14='INVOCAÇÕES'!$AK$472,'DADOS_FORMAS'!$AM14=""),'DADOS_FORMAS'!$AH14,"")</f>
        <v/>
      </c>
      <c r="JG14">
        <f>IF(AND(OR('DADOS_FORMAS'!$AM14='INVOCAÇÕES'!$AH$470,'DADOS_FORMAS'!$AM14='INVOCAÇÕES'!$AI$470,'DADOS_FORMAS'!$AM14='INVOCAÇÕES'!$AJ$470,'DADOS_FORMAS'!$AM14='INVOCAÇÕES'!$AK$470,'DADOS_FORMAS'!$AM14='INVOCAÇÕES'!$AL$470,'DADOS_FORMAS'!$AM14='INVOCAÇÕES'!$AH$472,'DADOS_FORMAS'!$AM14='INVOCAÇÕES'!$AI$472,'DADOS_FORMAS'!$AM14='INVOCAÇÕES'!$AJ$472,'DADOS_FORMAS'!$AM14='INVOCAÇÕES'!$AK$472,'DADOS_FORMAS'!$AM14=""),'DADOS_FORMAS'!$AR14),'DADOS_FORMAS'!$AH14,"")</f>
        <v/>
      </c>
      <c r="JI14">
        <f>IF(OR('DADOS_FORMAS'!$AM14='INVOCAÇÕES'!$AH$681,'DADOS_FORMAS'!$AM14='INVOCAÇÕES'!$AI$681,'DADOS_FORMAS'!$AM14='INVOCAÇÕES'!$AJ$681,'DADOS_FORMAS'!$AM14='INVOCAÇÕES'!$AK$681,'DADOS_FORMAS'!$AM14='INVOCAÇÕES'!$AL$681,'DADOS_FORMAS'!$AM14='INVOCAÇÕES'!$AH$683,'DADOS_FORMAS'!$AM14='INVOCAÇÕES'!$AI$683,'DADOS_FORMAS'!$AM14='INVOCAÇÕES'!$AJ$683,'DADOS_FORMAS'!$AM14='INVOCAÇÕES'!$AK$683,'DADOS_FORMAS'!$AM14=""),'DADOS_FORMAS'!$AH14,"")</f>
        <v/>
      </c>
      <c r="JJ14">
        <f>IF(AND(OR('DADOS_FORMAS'!$AM14='INVOCAÇÕES'!$AH$681,'DADOS_FORMAS'!$AM14='INVOCAÇÕES'!$AI$681,'DADOS_FORMAS'!$AM14='INVOCAÇÕES'!$AJ$681,'DADOS_FORMAS'!$AM14='INVOCAÇÕES'!$AK$681,'DADOS_FORMAS'!$AM14='INVOCAÇÕES'!$AL$681,'DADOS_FORMAS'!$AM14='INVOCAÇÕES'!$AH$683,'DADOS_FORMAS'!$AM14='INVOCAÇÕES'!$AI$683,'DADOS_FORMAS'!$AM14='INVOCAÇÕES'!$AJ$683,'DADOS_FORMAS'!$AM14='INVOCAÇÕES'!$AK$683,'DADOS_FORMAS'!$AM14=""),'DADOS_FORMAS'!$AR14),'DADOS_FORMAS'!$AH14,"")</f>
        <v/>
      </c>
      <c r="JL14">
        <f>IF(OR('DADOS_FORMAS'!$AM14='INVOCAÇÕES'!$AH$892,'DADOS_FORMAS'!$AM14='INVOCAÇÕES'!$AI$892,'DADOS_FORMAS'!$AM14='INVOCAÇÕES'!$AJ$892,'DADOS_FORMAS'!$AM14='INVOCAÇÕES'!$AK$892,'DADOS_FORMAS'!$AM14='INVOCAÇÕES'!$AL$892,'DADOS_FORMAS'!$AM14='INVOCAÇÕES'!$AH$894,'DADOS_FORMAS'!$AM14='INVOCAÇÕES'!$AI$894,'DADOS_FORMAS'!$AM14='INVOCAÇÕES'!$AJ$894,'DADOS_FORMAS'!$AM14='INVOCAÇÕES'!$AK$894,'DADOS_FORMAS'!$AM14=""),'DADOS_FORMAS'!$AH14,"")</f>
        <v/>
      </c>
      <c r="JM14">
        <f>IF(AND(OR('DADOS_FORMAS'!$AM14='INVOCAÇÕES'!$AH$892,'DADOS_FORMAS'!$AM14='INVOCAÇÕES'!$AI$892,'DADOS_FORMAS'!$AM14='INVOCAÇÕES'!$AJ$892,'DADOS_FORMAS'!$AM14='INVOCAÇÕES'!$AK$892,'DADOS_FORMAS'!$AM14='INVOCAÇÕES'!$AL$892,'DADOS_FORMAS'!$AM14='INVOCAÇÕES'!$AH$894,'DADOS_FORMAS'!$AM14='INVOCAÇÕES'!$AI$894,'DADOS_FORMAS'!$AM14='INVOCAÇÕES'!$AJ$894,'DADOS_FORMAS'!$AM14='INVOCAÇÕES'!$AK$894,'DADOS_FORMAS'!$AM14=""),'DADOS_FORMAS'!$AR14),'DADOS_FORMAS'!$AH14,"")</f>
        <v/>
      </c>
      <c r="JO14">
        <f>IF(OR('DADOS_FORMAS'!$AM14='INVOCAÇÕES'!$AH$1103,'DADOS_FORMAS'!$AM14='INVOCAÇÕES'!$AI$1103,'DADOS_FORMAS'!$AM14='INVOCAÇÕES'!$AJ$1103,'DADOS_FORMAS'!$AM14='INVOCAÇÕES'!$AK$1103,'DADOS_FORMAS'!$AM14='INVOCAÇÕES'!$AL$1103,'DADOS_FORMAS'!$AM14='INVOCAÇÕES'!$AH$1105,'DADOS_FORMAS'!$AM14='INVOCAÇÕES'!$AI$1105,'DADOS_FORMAS'!$AM14='INVOCAÇÕES'!$AJ$1105,'DADOS_FORMAS'!$AM14='INVOCAÇÕES'!$AK$1105,'DADOS_FORMAS'!$AM14=""),'DADOS_FORMAS'!$AH14,"")</f>
        <v/>
      </c>
      <c r="JP14">
        <f>IF(AND(OR('DADOS_FORMAS'!$AM14='INVOCAÇÕES'!$AH$1103,'DADOS_FORMAS'!$AM14='INVOCAÇÕES'!$AI$1103,'DADOS_FORMAS'!$AM14='INVOCAÇÕES'!$AJ$1103,'DADOS_FORMAS'!$AM14='INVOCAÇÕES'!$AK$1103,'DADOS_FORMAS'!$AM14='INVOCAÇÕES'!$AL$1103,'DADOS_FORMAS'!$AM14='INVOCAÇÕES'!$AH$1105,'DADOS_FORMAS'!$AM14='INVOCAÇÕES'!$AI$1105,'DADOS_FORMAS'!$AM14='INVOCAÇÕES'!$AJ$1105,'DADOS_FORMAS'!$AM14='INVOCAÇÕES'!$AK$1105,'DADOS_FORMAS'!$AM14=""),'DADOS_FORMAS'!$AR14),'DADOS_FORMAS'!$AH14,"")</f>
        <v/>
      </c>
      <c r="JZ14">
        <f>IFERROR(INDEX('DADOS_CRIACAO'!$H$2:$H$20,12),"")</f>
        <v/>
      </c>
      <c r="KA14">
        <f>IFERROR(INDEX(INDEX('DADOS_RESTRICOES'!$M$2:$Q$54,0,1),12),"")</f>
        <v/>
      </c>
    </row>
    <row r="15">
      <c r="AG15">
        <f>IF(AND($AF5,$AD5=""),$BV5,"")</f>
        <v/>
      </c>
      <c r="AH15">
        <f>IF(AND($AF5,$AD5=""),$BW5,"")</f>
        <v/>
      </c>
      <c r="AI15">
        <f>IF(AND($AF5,$AD5=""),$BX5,"")</f>
        <v/>
      </c>
      <c r="AJ15">
        <f>IF(AND($AF5,$AD5=""),$BY5,FALSE)</f>
        <v/>
      </c>
      <c r="AK15">
        <f>IF(AND($AF5,$AD5=""),$BZ5,"")</f>
        <v/>
      </c>
      <c r="AL15">
        <f>IF(AND($AF5,$AD5=""),$CA5,"")</f>
        <v/>
      </c>
      <c r="AM15">
        <f>IF(AND($AF5,$AD5=""),$CB5,"")</f>
        <v/>
      </c>
      <c r="AN15">
        <f>IF(AND($AF5,$AD5=""),$CC5,0)</f>
        <v/>
      </c>
      <c r="AO15">
        <f>IF(AND($AF5,$AD5=""),$CD5,"")</f>
        <v/>
      </c>
      <c r="AP15">
        <f>IF(AND($AF5,$AD5=""),$CE5,0)</f>
        <v/>
      </c>
      <c r="AQ15">
        <f>IF(AND($AF5,$AD5=""),$CF5,FALSE)</f>
        <v/>
      </c>
      <c r="AR15">
        <f>IF(AND($AF5,$AD5=""),$CG5,FALSE)</f>
        <v/>
      </c>
      <c r="AS15">
        <f>IF(AND($AF5,$AD5=""),$CH5,"")</f>
        <v/>
      </c>
      <c r="AT15">
        <f>IF(AND($AF5,$AD5=""),$CI5,"")</f>
        <v/>
      </c>
      <c r="AU15">
        <f>IF(AND($AF5,$AD5=""),$CJ5,"")</f>
        <v/>
      </c>
      <c r="AV15">
        <f>IF(AND($AF5,$AD5=""),$CK5,"")</f>
        <v/>
      </c>
      <c r="AW15">
        <f>IF(AND($AF5,$AD5=""),$CL5,"")</f>
        <v/>
      </c>
      <c r="AX15">
        <f>IF(AND($AF5,$AD5=""),$CM5,"")</f>
        <v/>
      </c>
      <c r="AY15">
        <f>IF(AND($AF5,$AD5=""),$CN5,"")</f>
        <v/>
      </c>
      <c r="AZ15">
        <f>IF(AND($AF5,$AD5=""),$CO5,"")</f>
        <v/>
      </c>
      <c r="BA15">
        <f>IF(AND($AF5,$AD5=""),$CP5,"")</f>
        <v/>
      </c>
      <c r="BB15">
        <f>IF(AND($AF5,$AD5=""),$CQ5,"")</f>
        <v/>
      </c>
      <c r="BC15">
        <f>IF(AND($AF5,$AD5=""),$CR5,"")</f>
        <v/>
      </c>
      <c r="BD15">
        <f>IF(AND($AF5,$AD5=""),$CS5,"")</f>
        <v/>
      </c>
      <c r="BE15">
        <f>IF(AND($AF5,$AD5=""),$CT5,"")</f>
        <v/>
      </c>
      <c r="BF15">
        <f>IF(AND($AF5,$AD5=""),$CU5,"")</f>
        <v/>
      </c>
      <c r="BG15">
        <f>IF(AND($AF5,$AD5=""),$CV5,"")</f>
        <v/>
      </c>
      <c r="BH15">
        <f>IF(AND($AF5,$AD5=""),$CW5,"")</f>
        <v/>
      </c>
      <c r="BI15">
        <f>IF(AND($AF5,$AD5=""),$CX5,"")</f>
        <v/>
      </c>
      <c r="BJ15">
        <f>IF(AND($AF5,$AD5=""),$CY5,"")</f>
        <v/>
      </c>
      <c r="BK15">
        <f>IF(AND($AF5,$AD5=""),$CZ5,0)</f>
        <v/>
      </c>
      <c r="BL15">
        <f>IF(AND($AF5,$AD5=""),$DA5,"")</f>
        <v/>
      </c>
      <c r="BM15">
        <f>IF(AND($AF5,$AD5=""),$DB5,"")</f>
        <v/>
      </c>
      <c r="BN15">
        <f>IF(AND($AF5,$AD5=""),$DC5,"")</f>
        <v/>
      </c>
      <c r="BO15">
        <f>IF(AND($AF5,$AD5=""),$DD5,0)</f>
        <v/>
      </c>
      <c r="BP15">
        <f>IF(AND($AF5,$AD5=""),$DE5,"")</f>
        <v/>
      </c>
      <c r="BQ15">
        <f>IF(AND($AF5,$AD5=""),$DF5,"")</f>
        <v/>
      </c>
      <c r="BR15">
        <f>IF(AND($AF5,$AD5=""),$DG5,"")</f>
        <v/>
      </c>
      <c r="BS15">
        <f>IF(AND($AF5,$AD5=""),$DH5,0)</f>
        <v/>
      </c>
      <c r="FJ15">
        <f>'DADOS_FORMAS'!$AH15</f>
        <v/>
      </c>
      <c r="FK15">
        <f>'DADOS_FORMAS'!$AM15</f>
        <v/>
      </c>
      <c r="FL15">
        <f>'DADOS_FORMAS'!$AN15</f>
        <v/>
      </c>
      <c r="FM15">
        <f>IF('DADOS_FORMAS'!$AN15=0,0,'DADOS_FORMAS'!$AN15+3*IFERROR(VLOOKUP(SUBSTITUTE(SUBSTITUTE(SUBSTITUTE('DADOS_FORMAS'!$AM15,"~","~~"),"*","~*"),"?","~?"),'DADOS_CRIACAO'!$H$2:$K$20,3,FALSE),0))</f>
        <v/>
      </c>
      <c r="FN15">
        <f>IFERROR(VLOOKUP(SUBSTITUTE(SUBSTITUTE(SUBSTITUTE('DADOS_FORMAS'!$AM15,"~","~~"),"*","~*"),"?","~?"),'DADOS_CRIACAO'!$H$2:$K$20,4,FALSE),0)</f>
        <v/>
      </c>
      <c r="FO15">
        <f>IF('DADOS_FORMAS'!$AS15="",0,1)</f>
        <v/>
      </c>
      <c r="FP15">
        <f>'DADOS_FORMAS'!$AP15</f>
        <v/>
      </c>
      <c r="FQ15">
        <f>IF(AND('DADOS_FORMAS'!$AO15="Acerto",'DADOS_FORMAS'!$AQ15),"Acerto + TR",'DADOS_FORMAS'!$AO15)</f>
        <v/>
      </c>
      <c r="FR15">
        <f>N(OR('DADOS_FORMAS'!$AQ15,'DADOS_FORMAS'!$AO15="TR, metade"))</f>
        <v/>
      </c>
      <c r="FS15">
        <f>'DADOS_FORMAS'!$BO15</f>
        <v/>
      </c>
      <c r="FT15">
        <f>'DADOS_FORMAS'!$BS15</f>
        <v/>
      </c>
      <c r="FU15">
        <f>'DADOS_FORMAS'!$BK15</f>
        <v/>
      </c>
      <c r="FV15">
        <f>N('DADOS_FORMAS'!$AR15)</f>
        <v/>
      </c>
      <c r="FW15">
        <f>IF(IFERROR(VLOOKUP(SUBSTITUTE(SUBSTITUTE(SUBSTITUTE('DADOS_FORMAS'!$AM15,"~","~~"),"*","~*"),"?","~?"),'DADOS_CRIACAO'!$H$2:$K$20,4,FALSE),0)=1,"",'DADOS_FORMAS'!$AH15)</f>
        <v/>
      </c>
      <c r="FX15">
        <f>IF(AND('DADOS_FORMAS'!$AR15,IFERROR(VLOOKUP(SUBSTITUTE(SUBSTITUTE(SUBSTITUTE('DADOS_FORMAS'!$AM15,"~","~~"),"*","~*"),"?","~?"),'DADOS_CRIACAO'!$H$2:$K$20,4,FALSE),0)=0),'DADOS_FORMAS'!$AH15,"")</f>
        <v/>
      </c>
      <c r="FZ15">
        <f>'DADOS_FORMAS'!$AH15</f>
        <v/>
      </c>
      <c r="GA15">
        <f>'DADOS_FORMAS'!$AM15</f>
        <v/>
      </c>
      <c r="GB15">
        <f>'DADOS_FORMAS'!$AN15</f>
        <v/>
      </c>
      <c r="GC15">
        <f>IF('DADOS_FORMAS'!$AS15="",0,1)</f>
        <v/>
      </c>
      <c r="GD15">
        <f>'DADOS_FORMAS'!$AP15</f>
        <v/>
      </c>
      <c r="GE15">
        <f>IF('DADOS_FORMAS'!$AO15="Acerto","Ataque",IF('DADOS_FORMAS'!$AQ15,"TR","—"))</f>
        <v/>
      </c>
      <c r="GF15">
        <f>N(OR('DADOS_FORMAS'!$AQ15,'DADOS_FORMAS'!$AO15="TR, metade"))</f>
        <v/>
      </c>
      <c r="GG15">
        <f>'DADOS_FORMAS'!$BO15</f>
        <v/>
      </c>
      <c r="GH15">
        <f>'DADOS_FORMAS'!$BS15</f>
        <v/>
      </c>
      <c r="GI15">
        <f>'DADOS_FORMAS'!$BK15</f>
        <v/>
      </c>
      <c r="GJ15">
        <f>N('DADOS_FORMAS'!$AR15)</f>
        <v/>
      </c>
      <c r="GR15">
        <f>'DADOS_FORMAS'!$BP14</f>
        <v/>
      </c>
      <c r="GS15">
        <f>IF('DADOS_FORMAS'!$BP14="area",'DADOS_FORMAS'!$AU14,'DADOS_FORMAS'!$AT14)</f>
        <v/>
      </c>
      <c r="GT15">
        <f>IF('DADOS_FORMAS'!$BP14="area",'DADOS_FORMAS'!$BC14,'DADOS_FORMAS'!$AV14)</f>
        <v/>
      </c>
      <c r="GU15">
        <f>'DADOS_FORMAS'!$BQ14</f>
        <v/>
      </c>
      <c r="GV15">
        <f>'DADOS_FORMAS'!$BR14</f>
        <v/>
      </c>
      <c r="GW15">
        <f>LET(base,'DADOS_FORMAS'!$GT15,escada,'DADOS_FORMAS'!$GS15,medida,LEFT(base,MAX(0,LEN(base)-2)),valor,IFERROR(VALUE(SUBSTITUTE(medida,",",""))/10^IFERROR(LEN(medida)-FIND(",",medida),0),1E99),IF(OR(escada="Fixo",base="—"),base,IF(escada="alcance",IFERROR(MATCH(base,{"1,5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5" t="inlineStr">
        <is>
          <t>Cone · classes 1 a 5</t>
        </is>
      </c>
      <c r="GZ15" t="inlineStr">
        <is>
          <t>Cone de 4,5 m</t>
        </is>
      </c>
      <c r="HA15" t="inlineStr">
        <is>
          <t>Cone de 9 m</t>
        </is>
      </c>
      <c r="HB15" t="inlineStr">
        <is>
          <t>Cone de 18 m</t>
        </is>
      </c>
      <c r="HC15" t="inlineStr">
        <is>
          <t>Cone de 30 m</t>
        </is>
      </c>
      <c r="HD15" t="inlineStr">
        <is>
          <t>Cone de 60 m</t>
        </is>
      </c>
      <c r="HE15" t="inlineStr">
        <is>
          <t>Cone de 60 m</t>
        </is>
      </c>
      <c r="HF15" t="inlineStr"/>
      <c r="HG15" t="inlineStr"/>
      <c r="HH15" t="inlineStr"/>
      <c r="HI15" t="inlineStr"/>
      <c r="HJ15" t="inlineStr"/>
      <c r="HK15" t="inlineStr"/>
      <c r="HM15">
        <f>'DADOS_FORMAS'!$BP13</f>
        <v/>
      </c>
      <c r="HN15">
        <f>IF('DADOS_FORMAS'!$BP13="area",'DADOS_FORMAS'!$AU13,'DADOS_FORMAS'!$AT13)</f>
        <v/>
      </c>
      <c r="HO15">
        <f>IF('DADOS_FORMAS'!$BP13="area",'DADOS_FORMAS'!$BH13,'DADOS_FORMAS'!$BA13)</f>
        <v/>
      </c>
      <c r="HP15">
        <f>'DADOS_FORMAS'!$BQ13</f>
        <v/>
      </c>
      <c r="HQ15">
        <f>'DADOS_FORMAS'!$BR13</f>
        <v/>
      </c>
      <c r="HR15">
        <f>LET(base,'DADOS_FORMAS'!$HO15,escada,'DADOS_FORMAS'!$HN15,medida,LEFT(base,MAX(0,LEN(base)-2)),valor,IFERROR(VALUE(SUBSTITUTE(medida,",",""))/10^IFERROR(LEN(medida)-FIND(",",medida),0),1E99),IF(OR(escada="Fixo",base="—"),base,IF(escada="alcance",IFERROR(MATCH(base,{"1,5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5" t="inlineStr">
        <is>
          <t>Aura · classes 1 a 5</t>
        </is>
      </c>
      <c r="HU15" t="inlineStr">
        <is>
          <t>Raio 3 m, nela</t>
        </is>
      </c>
      <c r="HV15" t="inlineStr">
        <is>
          <t>Raio 4,5 m, nela</t>
        </is>
      </c>
      <c r="HW15" t="inlineStr">
        <is>
          <t>Raio 6 m, nela</t>
        </is>
      </c>
      <c r="HX15" t="inlineStr">
        <is>
          <t>Raio 9 m, nela</t>
        </is>
      </c>
      <c r="HY15" t="inlineStr">
        <is>
          <t>Raio 15 m, nela</t>
        </is>
      </c>
      <c r="HZ15" t="inlineStr">
        <is>
          <t>Raio 15 m, nela</t>
        </is>
      </c>
      <c r="IA15" t="inlineStr"/>
      <c r="IB15" t="inlineStr"/>
      <c r="IC15" t="inlineStr"/>
      <c r="ID15" t="inlineStr"/>
      <c r="IE15" t="inlineStr"/>
      <c r="IF15" t="inlineStr"/>
      <c r="IH15">
        <f>IF(OR('DADOS_FORMAS'!$AM15='INVOCAÇÕES'!$O$48,'DADOS_FORMAS'!$AM15='INVOCAÇÕES'!$P$48,'DADOS_FORMAS'!$AM15='INVOCAÇÕES'!$Q$48,'DADOS_FORMAS'!$AM15='INVOCAÇÕES'!$R$48,'DADOS_FORMAS'!$AM15='INVOCAÇÕES'!$S$48,'DADOS_FORMAS'!$AM15='INVOCAÇÕES'!$O$50,'DADOS_FORMAS'!$AM15='INVOCAÇÕES'!$P$50,'DADOS_FORMAS'!$AM15='INVOCAÇÕES'!$Q$50,'DADOS_FORMAS'!$AM15='INVOCAÇÕES'!$R$50,'DADOS_FORMAS'!$AM15=""),'DADOS_FORMAS'!$AH15,"")</f>
        <v/>
      </c>
      <c r="II15">
        <f>IF(AND(OR('DADOS_FORMAS'!$AM15='INVOCAÇÕES'!$O$48,'DADOS_FORMAS'!$AM15='INVOCAÇÕES'!$P$48,'DADOS_FORMAS'!$AM15='INVOCAÇÕES'!$Q$48,'DADOS_FORMAS'!$AM15='INVOCAÇÕES'!$R$48,'DADOS_FORMAS'!$AM15='INVOCAÇÕES'!$S$48,'DADOS_FORMAS'!$AM15='INVOCAÇÕES'!$O$50,'DADOS_FORMAS'!$AM15='INVOCAÇÕES'!$P$50,'DADOS_FORMAS'!$AM15='INVOCAÇÕES'!$Q$50,'DADOS_FORMAS'!$AM15='INVOCAÇÕES'!$R$50,'DADOS_FORMAS'!$AM15=""),'DADOS_FORMAS'!$AR15),'DADOS_FORMAS'!$AH15,"")</f>
        <v/>
      </c>
      <c r="IK15">
        <f>IF(OR('DADOS_FORMAS'!$AM15='INVOCAÇÕES'!$O$259,'DADOS_FORMAS'!$AM15='INVOCAÇÕES'!$P$259,'DADOS_FORMAS'!$AM15='INVOCAÇÕES'!$Q$259,'DADOS_FORMAS'!$AM15='INVOCAÇÕES'!$R$259,'DADOS_FORMAS'!$AM15='INVOCAÇÕES'!$S$259,'DADOS_FORMAS'!$AM15='INVOCAÇÕES'!$O$261,'DADOS_FORMAS'!$AM15='INVOCAÇÕES'!$P$261,'DADOS_FORMAS'!$AM15='INVOCAÇÕES'!$Q$261,'DADOS_FORMAS'!$AM15='INVOCAÇÕES'!$R$261,'DADOS_FORMAS'!$AM15=""),'DADOS_FORMAS'!$AH15,"")</f>
        <v/>
      </c>
      <c r="IL15">
        <f>IF(AND(OR('DADOS_FORMAS'!$AM15='INVOCAÇÕES'!$O$259,'DADOS_FORMAS'!$AM15='INVOCAÇÕES'!$P$259,'DADOS_FORMAS'!$AM15='INVOCAÇÕES'!$Q$259,'DADOS_FORMAS'!$AM15='INVOCAÇÕES'!$R$259,'DADOS_FORMAS'!$AM15='INVOCAÇÕES'!$S$259,'DADOS_FORMAS'!$AM15='INVOCAÇÕES'!$O$261,'DADOS_FORMAS'!$AM15='INVOCAÇÕES'!$P$261,'DADOS_FORMAS'!$AM15='INVOCAÇÕES'!$Q$261,'DADOS_FORMAS'!$AM15='INVOCAÇÕES'!$R$261,'DADOS_FORMAS'!$AM15=""),'DADOS_FORMAS'!$AR15),'DADOS_FORMAS'!$AH15,"")</f>
        <v/>
      </c>
      <c r="IN15">
        <f>IF(OR('DADOS_FORMAS'!$AM15='INVOCAÇÕES'!$O$470,'DADOS_FORMAS'!$AM15='INVOCAÇÕES'!$P$470,'DADOS_FORMAS'!$AM15='INVOCAÇÕES'!$Q$470,'DADOS_FORMAS'!$AM15='INVOCAÇÕES'!$R$470,'DADOS_FORMAS'!$AM15='INVOCAÇÕES'!$S$470,'DADOS_FORMAS'!$AM15='INVOCAÇÕES'!$O$472,'DADOS_FORMAS'!$AM15='INVOCAÇÕES'!$P$472,'DADOS_FORMAS'!$AM15='INVOCAÇÕES'!$Q$472,'DADOS_FORMAS'!$AM15='INVOCAÇÕES'!$R$472,'DADOS_FORMAS'!$AM15=""),'DADOS_FORMAS'!$AH15,"")</f>
        <v/>
      </c>
      <c r="IO15">
        <f>IF(AND(OR('DADOS_FORMAS'!$AM15='INVOCAÇÕES'!$O$470,'DADOS_FORMAS'!$AM15='INVOCAÇÕES'!$P$470,'DADOS_FORMAS'!$AM15='INVOCAÇÕES'!$Q$470,'DADOS_FORMAS'!$AM15='INVOCAÇÕES'!$R$470,'DADOS_FORMAS'!$AM15='INVOCAÇÕES'!$S$470,'DADOS_FORMAS'!$AM15='INVOCAÇÕES'!$O$472,'DADOS_FORMAS'!$AM15='INVOCAÇÕES'!$P$472,'DADOS_FORMAS'!$AM15='INVOCAÇÕES'!$Q$472,'DADOS_FORMAS'!$AM15='INVOCAÇÕES'!$R$472,'DADOS_FORMAS'!$AM15=""),'DADOS_FORMAS'!$AR15),'DADOS_FORMAS'!$AH15,"")</f>
        <v/>
      </c>
      <c r="IQ15">
        <f>IF(OR('DADOS_FORMAS'!$AM15='INVOCAÇÕES'!$O$681,'DADOS_FORMAS'!$AM15='INVOCAÇÕES'!$P$681,'DADOS_FORMAS'!$AM15='INVOCAÇÕES'!$Q$681,'DADOS_FORMAS'!$AM15='INVOCAÇÕES'!$R$681,'DADOS_FORMAS'!$AM15='INVOCAÇÕES'!$S$681,'DADOS_FORMAS'!$AM15='INVOCAÇÕES'!$O$683,'DADOS_FORMAS'!$AM15='INVOCAÇÕES'!$P$683,'DADOS_FORMAS'!$AM15='INVOCAÇÕES'!$Q$683,'DADOS_FORMAS'!$AM15='INVOCAÇÕES'!$R$683,'DADOS_FORMAS'!$AM15=""),'DADOS_FORMAS'!$AH15,"")</f>
        <v/>
      </c>
      <c r="IR15">
        <f>IF(AND(OR('DADOS_FORMAS'!$AM15='INVOCAÇÕES'!$O$681,'DADOS_FORMAS'!$AM15='INVOCAÇÕES'!$P$681,'DADOS_FORMAS'!$AM15='INVOCAÇÕES'!$Q$681,'DADOS_FORMAS'!$AM15='INVOCAÇÕES'!$R$681,'DADOS_FORMAS'!$AM15='INVOCAÇÕES'!$S$681,'DADOS_FORMAS'!$AM15='INVOCAÇÕES'!$O$683,'DADOS_FORMAS'!$AM15='INVOCAÇÕES'!$P$683,'DADOS_FORMAS'!$AM15='INVOCAÇÕES'!$Q$683,'DADOS_FORMAS'!$AM15='INVOCAÇÕES'!$R$683,'DADOS_FORMAS'!$AM15=""),'DADOS_FORMAS'!$AR15),'DADOS_FORMAS'!$AH15,"")</f>
        <v/>
      </c>
      <c r="IT15">
        <f>IF(OR('DADOS_FORMAS'!$AM15='INVOCAÇÕES'!$O$892,'DADOS_FORMAS'!$AM15='INVOCAÇÕES'!$P$892,'DADOS_FORMAS'!$AM15='INVOCAÇÕES'!$Q$892,'DADOS_FORMAS'!$AM15='INVOCAÇÕES'!$R$892,'DADOS_FORMAS'!$AM15='INVOCAÇÕES'!$S$892,'DADOS_FORMAS'!$AM15='INVOCAÇÕES'!$O$894,'DADOS_FORMAS'!$AM15='INVOCAÇÕES'!$P$894,'DADOS_FORMAS'!$AM15='INVOCAÇÕES'!$Q$894,'DADOS_FORMAS'!$AM15='INVOCAÇÕES'!$R$894,'DADOS_FORMAS'!$AM15=""),'DADOS_FORMAS'!$AH15,"")</f>
        <v/>
      </c>
      <c r="IU15">
        <f>IF(AND(OR('DADOS_FORMAS'!$AM15='INVOCAÇÕES'!$O$892,'DADOS_FORMAS'!$AM15='INVOCAÇÕES'!$P$892,'DADOS_FORMAS'!$AM15='INVOCAÇÕES'!$Q$892,'DADOS_FORMAS'!$AM15='INVOCAÇÕES'!$R$892,'DADOS_FORMAS'!$AM15='INVOCAÇÕES'!$S$892,'DADOS_FORMAS'!$AM15='INVOCAÇÕES'!$O$894,'DADOS_FORMAS'!$AM15='INVOCAÇÕES'!$P$894,'DADOS_FORMAS'!$AM15='INVOCAÇÕES'!$Q$894,'DADOS_FORMAS'!$AM15='INVOCAÇÕES'!$R$894,'DADOS_FORMAS'!$AM15=""),'DADOS_FORMAS'!$AR15),'DADOS_FORMAS'!$AH15,"")</f>
        <v/>
      </c>
      <c r="IW15">
        <f>IF(OR('DADOS_FORMAS'!$AM15='INVOCAÇÕES'!$O$1103,'DADOS_FORMAS'!$AM15='INVOCAÇÕES'!$P$1103,'DADOS_FORMAS'!$AM15='INVOCAÇÕES'!$Q$1103,'DADOS_FORMAS'!$AM15='INVOCAÇÕES'!$R$1103,'DADOS_FORMAS'!$AM15='INVOCAÇÕES'!$S$1103,'DADOS_FORMAS'!$AM15='INVOCAÇÕES'!$O$1105,'DADOS_FORMAS'!$AM15='INVOCAÇÕES'!$P$1105,'DADOS_FORMAS'!$AM15='INVOCAÇÕES'!$Q$1105,'DADOS_FORMAS'!$AM15='INVOCAÇÕES'!$R$1105,'DADOS_FORMAS'!$AM15=""),'DADOS_FORMAS'!$AH15,"")</f>
        <v/>
      </c>
      <c r="IX15">
        <f>IF(AND(OR('DADOS_FORMAS'!$AM15='INVOCAÇÕES'!$O$1103,'DADOS_FORMAS'!$AM15='INVOCAÇÕES'!$P$1103,'DADOS_FORMAS'!$AM15='INVOCAÇÕES'!$Q$1103,'DADOS_FORMAS'!$AM15='INVOCAÇÕES'!$R$1103,'DADOS_FORMAS'!$AM15='INVOCAÇÕES'!$S$1103,'DADOS_FORMAS'!$AM15='INVOCAÇÕES'!$O$1105,'DADOS_FORMAS'!$AM15='INVOCAÇÕES'!$P$1105,'DADOS_FORMAS'!$AM15='INVOCAÇÕES'!$Q$1105,'DADOS_FORMAS'!$AM15='INVOCAÇÕES'!$R$1105,'DADOS_FORMAS'!$AM15=""),'DADOS_FORMAS'!$AR15),'DADOS_FORMAS'!$AH15,"")</f>
        <v/>
      </c>
      <c r="IZ15">
        <f>IF(OR('DADOS_FORMAS'!$AM15='INVOCAÇÕES'!$AH$48,'DADOS_FORMAS'!$AM15='INVOCAÇÕES'!$AI$48,'DADOS_FORMAS'!$AM15='INVOCAÇÕES'!$AJ$48,'DADOS_FORMAS'!$AM15='INVOCAÇÕES'!$AK$48,'DADOS_FORMAS'!$AM15='INVOCAÇÕES'!$AL$48,'DADOS_FORMAS'!$AM15='INVOCAÇÕES'!$AH$50,'DADOS_FORMAS'!$AM15='INVOCAÇÕES'!$AI$50,'DADOS_FORMAS'!$AM15='INVOCAÇÕES'!$AJ$50,'DADOS_FORMAS'!$AM15='INVOCAÇÕES'!$AK$50,'DADOS_FORMAS'!$AM15=""),'DADOS_FORMAS'!$AH15,"")</f>
        <v/>
      </c>
      <c r="JA15">
        <f>IF(AND(OR('DADOS_FORMAS'!$AM15='INVOCAÇÕES'!$AH$48,'DADOS_FORMAS'!$AM15='INVOCAÇÕES'!$AI$48,'DADOS_FORMAS'!$AM15='INVOCAÇÕES'!$AJ$48,'DADOS_FORMAS'!$AM15='INVOCAÇÕES'!$AK$48,'DADOS_FORMAS'!$AM15='INVOCAÇÕES'!$AL$48,'DADOS_FORMAS'!$AM15='INVOCAÇÕES'!$AH$50,'DADOS_FORMAS'!$AM15='INVOCAÇÕES'!$AI$50,'DADOS_FORMAS'!$AM15='INVOCAÇÕES'!$AJ$50,'DADOS_FORMAS'!$AM15='INVOCAÇÕES'!$AK$50,'DADOS_FORMAS'!$AM15=""),'DADOS_FORMAS'!$AR15),'DADOS_FORMAS'!$AH15,"")</f>
        <v/>
      </c>
      <c r="JC15">
        <f>IF(OR('DADOS_FORMAS'!$AM15='INVOCAÇÕES'!$AH$259,'DADOS_FORMAS'!$AM15='INVOCAÇÕES'!$AI$259,'DADOS_FORMAS'!$AM15='INVOCAÇÕES'!$AJ$259,'DADOS_FORMAS'!$AM15='INVOCAÇÕES'!$AK$259,'DADOS_FORMAS'!$AM15='INVOCAÇÕES'!$AL$259,'DADOS_FORMAS'!$AM15='INVOCAÇÕES'!$AH$261,'DADOS_FORMAS'!$AM15='INVOCAÇÕES'!$AI$261,'DADOS_FORMAS'!$AM15='INVOCAÇÕES'!$AJ$261,'DADOS_FORMAS'!$AM15='INVOCAÇÕES'!$AK$261,'DADOS_FORMAS'!$AM15=""),'DADOS_FORMAS'!$AH15,"")</f>
        <v/>
      </c>
      <c r="JD15">
        <f>IF(AND(OR('DADOS_FORMAS'!$AM15='INVOCAÇÕES'!$AH$259,'DADOS_FORMAS'!$AM15='INVOCAÇÕES'!$AI$259,'DADOS_FORMAS'!$AM15='INVOCAÇÕES'!$AJ$259,'DADOS_FORMAS'!$AM15='INVOCAÇÕES'!$AK$259,'DADOS_FORMAS'!$AM15='INVOCAÇÕES'!$AL$259,'DADOS_FORMAS'!$AM15='INVOCAÇÕES'!$AH$261,'DADOS_FORMAS'!$AM15='INVOCAÇÕES'!$AI$261,'DADOS_FORMAS'!$AM15='INVOCAÇÕES'!$AJ$261,'DADOS_FORMAS'!$AM15='INVOCAÇÕES'!$AK$261,'DADOS_FORMAS'!$AM15=""),'DADOS_FORMAS'!$AR15),'DADOS_FORMAS'!$AH15,"")</f>
        <v/>
      </c>
      <c r="JF15">
        <f>IF(OR('DADOS_FORMAS'!$AM15='INVOCAÇÕES'!$AH$470,'DADOS_FORMAS'!$AM15='INVOCAÇÕES'!$AI$470,'DADOS_FORMAS'!$AM15='INVOCAÇÕES'!$AJ$470,'DADOS_FORMAS'!$AM15='INVOCAÇÕES'!$AK$470,'DADOS_FORMAS'!$AM15='INVOCAÇÕES'!$AL$470,'DADOS_FORMAS'!$AM15='INVOCAÇÕES'!$AH$472,'DADOS_FORMAS'!$AM15='INVOCAÇÕES'!$AI$472,'DADOS_FORMAS'!$AM15='INVOCAÇÕES'!$AJ$472,'DADOS_FORMAS'!$AM15='INVOCAÇÕES'!$AK$472,'DADOS_FORMAS'!$AM15=""),'DADOS_FORMAS'!$AH15,"")</f>
        <v/>
      </c>
      <c r="JG15">
        <f>IF(AND(OR('DADOS_FORMAS'!$AM15='INVOCAÇÕES'!$AH$470,'DADOS_FORMAS'!$AM15='INVOCAÇÕES'!$AI$470,'DADOS_FORMAS'!$AM15='INVOCAÇÕES'!$AJ$470,'DADOS_FORMAS'!$AM15='INVOCAÇÕES'!$AK$470,'DADOS_FORMAS'!$AM15='INVOCAÇÕES'!$AL$470,'DADOS_FORMAS'!$AM15='INVOCAÇÕES'!$AH$472,'DADOS_FORMAS'!$AM15='INVOCAÇÕES'!$AI$472,'DADOS_FORMAS'!$AM15='INVOCAÇÕES'!$AJ$472,'DADOS_FORMAS'!$AM15='INVOCAÇÕES'!$AK$472,'DADOS_FORMAS'!$AM15=""),'DADOS_FORMAS'!$AR15),'DADOS_FORMAS'!$AH15,"")</f>
        <v/>
      </c>
      <c r="JI15">
        <f>IF(OR('DADOS_FORMAS'!$AM15='INVOCAÇÕES'!$AH$681,'DADOS_FORMAS'!$AM15='INVOCAÇÕES'!$AI$681,'DADOS_FORMAS'!$AM15='INVOCAÇÕES'!$AJ$681,'DADOS_FORMAS'!$AM15='INVOCAÇÕES'!$AK$681,'DADOS_FORMAS'!$AM15='INVOCAÇÕES'!$AL$681,'DADOS_FORMAS'!$AM15='INVOCAÇÕES'!$AH$683,'DADOS_FORMAS'!$AM15='INVOCAÇÕES'!$AI$683,'DADOS_FORMAS'!$AM15='INVOCAÇÕES'!$AJ$683,'DADOS_FORMAS'!$AM15='INVOCAÇÕES'!$AK$683,'DADOS_FORMAS'!$AM15=""),'DADOS_FORMAS'!$AH15,"")</f>
        <v/>
      </c>
      <c r="JJ15">
        <f>IF(AND(OR('DADOS_FORMAS'!$AM15='INVOCAÇÕES'!$AH$681,'DADOS_FORMAS'!$AM15='INVOCAÇÕES'!$AI$681,'DADOS_FORMAS'!$AM15='INVOCAÇÕES'!$AJ$681,'DADOS_FORMAS'!$AM15='INVOCAÇÕES'!$AK$681,'DADOS_FORMAS'!$AM15='INVOCAÇÕES'!$AL$681,'DADOS_FORMAS'!$AM15='INVOCAÇÕES'!$AH$683,'DADOS_FORMAS'!$AM15='INVOCAÇÕES'!$AI$683,'DADOS_FORMAS'!$AM15='INVOCAÇÕES'!$AJ$683,'DADOS_FORMAS'!$AM15='INVOCAÇÕES'!$AK$683,'DADOS_FORMAS'!$AM15=""),'DADOS_FORMAS'!$AR15),'DADOS_FORMAS'!$AH15,"")</f>
        <v/>
      </c>
      <c r="JL15">
        <f>IF(OR('DADOS_FORMAS'!$AM15='INVOCAÇÕES'!$AH$892,'DADOS_FORMAS'!$AM15='INVOCAÇÕES'!$AI$892,'DADOS_FORMAS'!$AM15='INVOCAÇÕES'!$AJ$892,'DADOS_FORMAS'!$AM15='INVOCAÇÕES'!$AK$892,'DADOS_FORMAS'!$AM15='INVOCAÇÕES'!$AL$892,'DADOS_FORMAS'!$AM15='INVOCAÇÕES'!$AH$894,'DADOS_FORMAS'!$AM15='INVOCAÇÕES'!$AI$894,'DADOS_FORMAS'!$AM15='INVOCAÇÕES'!$AJ$894,'DADOS_FORMAS'!$AM15='INVOCAÇÕES'!$AK$894,'DADOS_FORMAS'!$AM15=""),'DADOS_FORMAS'!$AH15,"")</f>
        <v/>
      </c>
      <c r="JM15">
        <f>IF(AND(OR('DADOS_FORMAS'!$AM15='INVOCAÇÕES'!$AH$892,'DADOS_FORMAS'!$AM15='INVOCAÇÕES'!$AI$892,'DADOS_FORMAS'!$AM15='INVOCAÇÕES'!$AJ$892,'DADOS_FORMAS'!$AM15='INVOCAÇÕES'!$AK$892,'DADOS_FORMAS'!$AM15='INVOCAÇÕES'!$AL$892,'DADOS_FORMAS'!$AM15='INVOCAÇÕES'!$AH$894,'DADOS_FORMAS'!$AM15='INVOCAÇÕES'!$AI$894,'DADOS_FORMAS'!$AM15='INVOCAÇÕES'!$AJ$894,'DADOS_FORMAS'!$AM15='INVOCAÇÕES'!$AK$894,'DADOS_FORMAS'!$AM15=""),'DADOS_FORMAS'!$AR15),'DADOS_FORMAS'!$AH15,"")</f>
        <v/>
      </c>
      <c r="JO15">
        <f>IF(OR('DADOS_FORMAS'!$AM15='INVOCAÇÕES'!$AH$1103,'DADOS_FORMAS'!$AM15='INVOCAÇÕES'!$AI$1103,'DADOS_FORMAS'!$AM15='INVOCAÇÕES'!$AJ$1103,'DADOS_FORMAS'!$AM15='INVOCAÇÕES'!$AK$1103,'DADOS_FORMAS'!$AM15='INVOCAÇÕES'!$AL$1103,'DADOS_FORMAS'!$AM15='INVOCAÇÕES'!$AH$1105,'DADOS_FORMAS'!$AM15='INVOCAÇÕES'!$AI$1105,'DADOS_FORMAS'!$AM15='INVOCAÇÕES'!$AJ$1105,'DADOS_FORMAS'!$AM15='INVOCAÇÕES'!$AK$1105,'DADOS_FORMAS'!$AM15=""),'DADOS_FORMAS'!$AH15,"")</f>
        <v/>
      </c>
      <c r="JP15">
        <f>IF(AND(OR('DADOS_FORMAS'!$AM15='INVOCAÇÕES'!$AH$1103,'DADOS_FORMAS'!$AM15='INVOCAÇÕES'!$AI$1103,'DADOS_FORMAS'!$AM15='INVOCAÇÕES'!$AJ$1103,'DADOS_FORMAS'!$AM15='INVOCAÇÕES'!$AK$1103,'DADOS_FORMAS'!$AM15='INVOCAÇÕES'!$AL$1103,'DADOS_FORMAS'!$AM15='INVOCAÇÕES'!$AH$1105,'DADOS_FORMAS'!$AM15='INVOCAÇÕES'!$AI$1105,'DADOS_FORMAS'!$AM15='INVOCAÇÕES'!$AJ$1105,'DADOS_FORMAS'!$AM15='INVOCAÇÕES'!$AK$1105,'DADOS_FORMAS'!$AM15=""),'DADOS_FORMAS'!$AR15),'DADOS_FORMAS'!$AH15,"")</f>
        <v/>
      </c>
      <c r="JZ15">
        <f>IFERROR(INDEX('DADOS_CRIACAO'!$H$2:$H$20,13),"")</f>
        <v/>
      </c>
      <c r="KA15">
        <f>IFERROR(INDEX(INDEX('DADOS_RESTRICOES'!$M$2:$Q$54,0,1),13),"")</f>
        <v/>
      </c>
    </row>
    <row r="16">
      <c r="AG16">
        <f>IF(AND($AF6,$AD6=""),$BV6,"")</f>
        <v/>
      </c>
      <c r="AH16">
        <f>IF(AND($AF6,$AD6=""),$BW6,"")</f>
        <v/>
      </c>
      <c r="AI16">
        <f>IF(AND($AF6,$AD6=""),$BX6,"")</f>
        <v/>
      </c>
      <c r="AJ16">
        <f>IF(AND($AF6,$AD6=""),$BY6,FALSE)</f>
        <v/>
      </c>
      <c r="AK16">
        <f>IF(AND($AF6,$AD6=""),$BZ6,"")</f>
        <v/>
      </c>
      <c r="AL16">
        <f>IF(AND($AF6,$AD6=""),$CA6,"")</f>
        <v/>
      </c>
      <c r="AM16">
        <f>IF(AND($AF6,$AD6=""),$CB6,"")</f>
        <v/>
      </c>
      <c r="AN16">
        <f>IF(AND($AF6,$AD6=""),$CC6,0)</f>
        <v/>
      </c>
      <c r="AO16">
        <f>IF(AND($AF6,$AD6=""),$CD6,"")</f>
        <v/>
      </c>
      <c r="AP16">
        <f>IF(AND($AF6,$AD6=""),$CE6,0)</f>
        <v/>
      </c>
      <c r="AQ16">
        <f>IF(AND($AF6,$AD6=""),$CF6,FALSE)</f>
        <v/>
      </c>
      <c r="AR16">
        <f>IF(AND($AF6,$AD6=""),$CG6,FALSE)</f>
        <v/>
      </c>
      <c r="AS16">
        <f>IF(AND($AF6,$AD6=""),$CH6,"")</f>
        <v/>
      </c>
      <c r="AT16">
        <f>IF(AND($AF6,$AD6=""),$CI6,"")</f>
        <v/>
      </c>
      <c r="AU16">
        <f>IF(AND($AF6,$AD6=""),$CJ6,"")</f>
        <v/>
      </c>
      <c r="AV16">
        <f>IF(AND($AF6,$AD6=""),$CK6,"")</f>
        <v/>
      </c>
      <c r="AW16">
        <f>IF(AND($AF6,$AD6=""),$CL6,"")</f>
        <v/>
      </c>
      <c r="AX16">
        <f>IF(AND($AF6,$AD6=""),$CM6,"")</f>
        <v/>
      </c>
      <c r="AY16">
        <f>IF(AND($AF6,$AD6=""),$CN6,"")</f>
        <v/>
      </c>
      <c r="AZ16">
        <f>IF(AND($AF6,$AD6=""),$CO6,"")</f>
        <v/>
      </c>
      <c r="BA16">
        <f>IF(AND($AF6,$AD6=""),$CP6,"")</f>
        <v/>
      </c>
      <c r="BB16">
        <f>IF(AND($AF6,$AD6=""),$CQ6,"")</f>
        <v/>
      </c>
      <c r="BC16">
        <f>IF(AND($AF6,$AD6=""),$CR6,"")</f>
        <v/>
      </c>
      <c r="BD16">
        <f>IF(AND($AF6,$AD6=""),$CS6,"")</f>
        <v/>
      </c>
      <c r="BE16">
        <f>IF(AND($AF6,$AD6=""),$CT6,"")</f>
        <v/>
      </c>
      <c r="BF16">
        <f>IF(AND($AF6,$AD6=""),$CU6,"")</f>
        <v/>
      </c>
      <c r="BG16">
        <f>IF(AND($AF6,$AD6=""),$CV6,"")</f>
        <v/>
      </c>
      <c r="BH16">
        <f>IF(AND($AF6,$AD6=""),$CW6,"")</f>
        <v/>
      </c>
      <c r="BI16">
        <f>IF(AND($AF6,$AD6=""),$CX6,"")</f>
        <v/>
      </c>
      <c r="BJ16">
        <f>IF(AND($AF6,$AD6=""),$CY6,"")</f>
        <v/>
      </c>
      <c r="BK16">
        <f>IF(AND($AF6,$AD6=""),$CZ6,0)</f>
        <v/>
      </c>
      <c r="BL16">
        <f>IF(AND($AF6,$AD6=""),$DA6,"")</f>
        <v/>
      </c>
      <c r="BM16">
        <f>IF(AND($AF6,$AD6=""),$DB6,"")</f>
        <v/>
      </c>
      <c r="BN16">
        <f>IF(AND($AF6,$AD6=""),$DC6,"")</f>
        <v/>
      </c>
      <c r="BO16">
        <f>IF(AND($AF6,$AD6=""),$DD6,0)</f>
        <v/>
      </c>
      <c r="BP16">
        <f>IF(AND($AF6,$AD6=""),$DE6,"")</f>
        <v/>
      </c>
      <c r="BQ16">
        <f>IF(AND($AF6,$AD6=""),$DF6,"")</f>
        <v/>
      </c>
      <c r="BR16">
        <f>IF(AND($AF6,$AD6=""),$DG6,"")</f>
        <v/>
      </c>
      <c r="BS16">
        <f>IF(AND($AF6,$AD6=""),$DH6,0)</f>
        <v/>
      </c>
      <c r="FJ16">
        <f>'DADOS_FORMAS'!$AH16</f>
        <v/>
      </c>
      <c r="FK16">
        <f>'DADOS_FORMAS'!$AM16</f>
        <v/>
      </c>
      <c r="FL16">
        <f>'DADOS_FORMAS'!$AN16</f>
        <v/>
      </c>
      <c r="FM16">
        <f>IF('DADOS_FORMAS'!$AN16=0,0,'DADOS_FORMAS'!$AN16+3*IFERROR(VLOOKUP(SUBSTITUTE(SUBSTITUTE(SUBSTITUTE('DADOS_FORMAS'!$AM16,"~","~~"),"*","~*"),"?","~?"),'DADOS_CRIACAO'!$H$2:$K$20,3,FALSE),0))</f>
        <v/>
      </c>
      <c r="FN16">
        <f>IFERROR(VLOOKUP(SUBSTITUTE(SUBSTITUTE(SUBSTITUTE('DADOS_FORMAS'!$AM16,"~","~~"),"*","~*"),"?","~?"),'DADOS_CRIACAO'!$H$2:$K$20,4,FALSE),0)</f>
        <v/>
      </c>
      <c r="FO16">
        <f>IF('DADOS_FORMAS'!$AS16="",0,1)</f>
        <v/>
      </c>
      <c r="FP16">
        <f>'DADOS_FORMAS'!$AP16</f>
        <v/>
      </c>
      <c r="FQ16">
        <f>IF(AND('DADOS_FORMAS'!$AO16="Acerto",'DADOS_FORMAS'!$AQ16),"Acerto + TR",'DADOS_FORMAS'!$AO16)</f>
        <v/>
      </c>
      <c r="FR16">
        <f>N(OR('DADOS_FORMAS'!$AQ16,'DADOS_FORMAS'!$AO16="TR, metade"))</f>
        <v/>
      </c>
      <c r="FS16">
        <f>'DADOS_FORMAS'!$BO16</f>
        <v/>
      </c>
      <c r="FT16">
        <f>'DADOS_FORMAS'!$BS16</f>
        <v/>
      </c>
      <c r="FU16">
        <f>'DADOS_FORMAS'!$BK16</f>
        <v/>
      </c>
      <c r="FV16">
        <f>N('DADOS_FORMAS'!$AR16)</f>
        <v/>
      </c>
      <c r="FW16">
        <f>IF(IFERROR(VLOOKUP(SUBSTITUTE(SUBSTITUTE(SUBSTITUTE('DADOS_FORMAS'!$AM16,"~","~~"),"*","~*"),"?","~?"),'DADOS_CRIACAO'!$H$2:$K$20,4,FALSE),0)=1,"",'DADOS_FORMAS'!$AH16)</f>
        <v/>
      </c>
      <c r="FX16">
        <f>IF(AND('DADOS_FORMAS'!$AR16,IFERROR(VLOOKUP(SUBSTITUTE(SUBSTITUTE(SUBSTITUTE('DADOS_FORMAS'!$AM16,"~","~~"),"*","~*"),"?","~?"),'DADOS_CRIACAO'!$H$2:$K$20,4,FALSE),0)=0),'DADOS_FORMAS'!$AH16,"")</f>
        <v/>
      </c>
      <c r="FZ16">
        <f>'DADOS_FORMAS'!$AH16</f>
        <v/>
      </c>
      <c r="GA16">
        <f>'DADOS_FORMAS'!$AM16</f>
        <v/>
      </c>
      <c r="GB16">
        <f>'DADOS_FORMAS'!$AN16</f>
        <v/>
      </c>
      <c r="GC16">
        <f>IF('DADOS_FORMAS'!$AS16="",0,1)</f>
        <v/>
      </c>
      <c r="GD16">
        <f>'DADOS_FORMAS'!$AP16</f>
        <v/>
      </c>
      <c r="GE16">
        <f>IF('DADOS_FORMAS'!$AO16="Acerto","Ataque",IF('DADOS_FORMAS'!$AQ16,"TR","—"))</f>
        <v/>
      </c>
      <c r="GF16">
        <f>N(OR('DADOS_FORMAS'!$AQ16,'DADOS_FORMAS'!$AO16="TR, metade"))</f>
        <v/>
      </c>
      <c r="GG16">
        <f>'DADOS_FORMAS'!$BO16</f>
        <v/>
      </c>
      <c r="GH16">
        <f>'DADOS_FORMAS'!$BS16</f>
        <v/>
      </c>
      <c r="GI16">
        <f>'DADOS_FORMAS'!$BK16</f>
        <v/>
      </c>
      <c r="GJ16">
        <f>N('DADOS_FORMAS'!$AR16)</f>
        <v/>
      </c>
      <c r="GR16">
        <f>'DADOS_FORMAS'!$BL14</f>
        <v/>
      </c>
      <c r="GS16">
        <f>IF('DADOS_FORMAS'!$BL14="area",'DADOS_FORMAS'!$AU14,'DADOS_FORMAS'!$AT14)</f>
        <v/>
      </c>
      <c r="GT16">
        <f>IF('DADOS_FORMAS'!$BL14="area",'DADOS_FORMAS'!$BD14,'DADOS_FORMAS'!$AW14)</f>
        <v/>
      </c>
      <c r="GU16">
        <f>'DADOS_FORMAS'!$BM14</f>
        <v/>
      </c>
      <c r="GV16">
        <f>'DADOS_FORMAS'!$BN14</f>
        <v/>
      </c>
      <c r="GW16">
        <f>LET(base,'DADOS_FORMAS'!$GT16,escada,'DADOS_FORMAS'!$GS16,medida,LEFT(base,MAX(0,LEN(base)-2)),valor,IFERROR(VALUE(SUBSTITUTE(medida,",",""))/10^IFERROR(LEN(medida)-FIND(",",medida),0),1E99),IF(OR(escada="Fixo",base="—"),base,IF(escada="alcance",IFERROR(MATCH(base,{"1,5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6" t="inlineStr">
        <is>
          <t>Cone · classes 6 e 7</t>
        </is>
      </c>
      <c r="GZ16" t="inlineStr">
        <is>
          <t>Cone de 9 m</t>
        </is>
      </c>
      <c r="HA16" t="inlineStr">
        <is>
          <t>Cone de 18 m</t>
        </is>
      </c>
      <c r="HB16" t="inlineStr">
        <is>
          <t>Cone de 30 m</t>
        </is>
      </c>
      <c r="HC16" t="inlineStr">
        <is>
          <t>Cone de 60 m</t>
        </is>
      </c>
      <c r="HD16" t="inlineStr">
        <is>
          <t>Cone de 60 m</t>
        </is>
      </c>
      <c r="HE16" t="inlineStr">
        <is>
          <t>Cone de 60 m</t>
        </is>
      </c>
      <c r="HF16" t="inlineStr"/>
      <c r="HG16" t="inlineStr"/>
      <c r="HH16" t="inlineStr"/>
      <c r="HI16" t="inlineStr"/>
      <c r="HJ16" t="inlineStr"/>
      <c r="HK16" t="inlineStr"/>
      <c r="HM16">
        <f>'DADOS_FORMAS'!$BL13</f>
        <v/>
      </c>
      <c r="HN16">
        <f>IF('DADOS_FORMAS'!$BL13="area",'DADOS_FORMAS'!$AU13,'DADOS_FORMAS'!$AT13)</f>
        <v/>
      </c>
      <c r="HO16">
        <f>IF('DADOS_FORMAS'!$BL13="area",'DADOS_FORMAS'!$BI13,'DADOS_FORMAS'!$BB13)</f>
        <v/>
      </c>
      <c r="HP16">
        <f>'DADOS_FORMAS'!$BM13</f>
        <v/>
      </c>
      <c r="HQ16">
        <f>'DADOS_FORMAS'!$BN13</f>
        <v/>
      </c>
      <c r="HR16">
        <f>LET(base,'DADOS_FORMAS'!$HO16,escada,'DADOS_FORMAS'!$HN16,medida,LEFT(base,MAX(0,LEN(base)-2)),valor,IFERROR(VALUE(SUBSTITUTE(medida,",",""))/10^IFERROR(LEN(medida)-FIND(",",medida),0),1E99),IF(OR(escada="Fixo",base="—"),base,IF(escada="alcance",IFERROR(MATCH(base,{"1,5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6" t="inlineStr">
        <is>
          <t>Aura · classe 6</t>
        </is>
      </c>
      <c r="HU16" t="inlineStr">
        <is>
          <t>Raio 3 m, nela</t>
        </is>
      </c>
      <c r="HV16" t="inlineStr">
        <is>
          <t>Raio 4,5 m, nela</t>
        </is>
      </c>
      <c r="HW16" t="inlineStr">
        <is>
          <t>Raio 6 m, nela</t>
        </is>
      </c>
      <c r="HX16" t="inlineStr">
        <is>
          <t>Raio 9 m, nela</t>
        </is>
      </c>
      <c r="HY16" t="inlineStr">
        <is>
          <t>Raio 15 m, nela</t>
        </is>
      </c>
      <c r="HZ16" t="inlineStr">
        <is>
          <t>Raio 15 m, nela</t>
        </is>
      </c>
      <c r="IA16" t="inlineStr"/>
      <c r="IB16" t="inlineStr"/>
      <c r="IC16" t="inlineStr"/>
      <c r="ID16" t="inlineStr"/>
      <c r="IE16" t="inlineStr"/>
      <c r="IF16" t="inlineStr"/>
      <c r="IH16">
        <f>IF(OR('DADOS_FORMAS'!$AM16='INVOCAÇÕES'!$O$48,'DADOS_FORMAS'!$AM16='INVOCAÇÕES'!$P$48,'DADOS_FORMAS'!$AM16='INVOCAÇÕES'!$Q$48,'DADOS_FORMAS'!$AM16='INVOCAÇÕES'!$R$48,'DADOS_FORMAS'!$AM16='INVOCAÇÕES'!$S$48,'DADOS_FORMAS'!$AM16='INVOCAÇÕES'!$O$50,'DADOS_FORMAS'!$AM16='INVOCAÇÕES'!$P$50,'DADOS_FORMAS'!$AM16='INVOCAÇÕES'!$Q$50,'DADOS_FORMAS'!$AM16='INVOCAÇÕES'!$R$50,'DADOS_FORMAS'!$AM16=""),'DADOS_FORMAS'!$AH16,"")</f>
        <v/>
      </c>
      <c r="II16">
        <f>IF(AND(OR('DADOS_FORMAS'!$AM16='INVOCAÇÕES'!$O$48,'DADOS_FORMAS'!$AM16='INVOCAÇÕES'!$P$48,'DADOS_FORMAS'!$AM16='INVOCAÇÕES'!$Q$48,'DADOS_FORMAS'!$AM16='INVOCAÇÕES'!$R$48,'DADOS_FORMAS'!$AM16='INVOCAÇÕES'!$S$48,'DADOS_FORMAS'!$AM16='INVOCAÇÕES'!$O$50,'DADOS_FORMAS'!$AM16='INVOCAÇÕES'!$P$50,'DADOS_FORMAS'!$AM16='INVOCAÇÕES'!$Q$50,'DADOS_FORMAS'!$AM16='INVOCAÇÕES'!$R$50,'DADOS_FORMAS'!$AM16=""),'DADOS_FORMAS'!$AR16),'DADOS_FORMAS'!$AH16,"")</f>
        <v/>
      </c>
      <c r="IK16">
        <f>IF(OR('DADOS_FORMAS'!$AM16='INVOCAÇÕES'!$O$259,'DADOS_FORMAS'!$AM16='INVOCAÇÕES'!$P$259,'DADOS_FORMAS'!$AM16='INVOCAÇÕES'!$Q$259,'DADOS_FORMAS'!$AM16='INVOCAÇÕES'!$R$259,'DADOS_FORMAS'!$AM16='INVOCAÇÕES'!$S$259,'DADOS_FORMAS'!$AM16='INVOCAÇÕES'!$O$261,'DADOS_FORMAS'!$AM16='INVOCAÇÕES'!$P$261,'DADOS_FORMAS'!$AM16='INVOCAÇÕES'!$Q$261,'DADOS_FORMAS'!$AM16='INVOCAÇÕES'!$R$261,'DADOS_FORMAS'!$AM16=""),'DADOS_FORMAS'!$AH16,"")</f>
        <v/>
      </c>
      <c r="IL16">
        <f>IF(AND(OR('DADOS_FORMAS'!$AM16='INVOCAÇÕES'!$O$259,'DADOS_FORMAS'!$AM16='INVOCAÇÕES'!$P$259,'DADOS_FORMAS'!$AM16='INVOCAÇÕES'!$Q$259,'DADOS_FORMAS'!$AM16='INVOCAÇÕES'!$R$259,'DADOS_FORMAS'!$AM16='INVOCAÇÕES'!$S$259,'DADOS_FORMAS'!$AM16='INVOCAÇÕES'!$O$261,'DADOS_FORMAS'!$AM16='INVOCAÇÕES'!$P$261,'DADOS_FORMAS'!$AM16='INVOCAÇÕES'!$Q$261,'DADOS_FORMAS'!$AM16='INVOCAÇÕES'!$R$261,'DADOS_FORMAS'!$AM16=""),'DADOS_FORMAS'!$AR16),'DADOS_FORMAS'!$AH16,"")</f>
        <v/>
      </c>
      <c r="IN16">
        <f>IF(OR('DADOS_FORMAS'!$AM16='INVOCAÇÕES'!$O$470,'DADOS_FORMAS'!$AM16='INVOCAÇÕES'!$P$470,'DADOS_FORMAS'!$AM16='INVOCAÇÕES'!$Q$470,'DADOS_FORMAS'!$AM16='INVOCAÇÕES'!$R$470,'DADOS_FORMAS'!$AM16='INVOCAÇÕES'!$S$470,'DADOS_FORMAS'!$AM16='INVOCAÇÕES'!$O$472,'DADOS_FORMAS'!$AM16='INVOCAÇÕES'!$P$472,'DADOS_FORMAS'!$AM16='INVOCAÇÕES'!$Q$472,'DADOS_FORMAS'!$AM16='INVOCAÇÕES'!$R$472,'DADOS_FORMAS'!$AM16=""),'DADOS_FORMAS'!$AH16,"")</f>
        <v/>
      </c>
      <c r="IO16">
        <f>IF(AND(OR('DADOS_FORMAS'!$AM16='INVOCAÇÕES'!$O$470,'DADOS_FORMAS'!$AM16='INVOCAÇÕES'!$P$470,'DADOS_FORMAS'!$AM16='INVOCAÇÕES'!$Q$470,'DADOS_FORMAS'!$AM16='INVOCAÇÕES'!$R$470,'DADOS_FORMAS'!$AM16='INVOCAÇÕES'!$S$470,'DADOS_FORMAS'!$AM16='INVOCAÇÕES'!$O$472,'DADOS_FORMAS'!$AM16='INVOCAÇÕES'!$P$472,'DADOS_FORMAS'!$AM16='INVOCAÇÕES'!$Q$472,'DADOS_FORMAS'!$AM16='INVOCAÇÕES'!$R$472,'DADOS_FORMAS'!$AM16=""),'DADOS_FORMAS'!$AR16),'DADOS_FORMAS'!$AH16,"")</f>
        <v/>
      </c>
      <c r="IQ16">
        <f>IF(OR('DADOS_FORMAS'!$AM16='INVOCAÇÕES'!$O$681,'DADOS_FORMAS'!$AM16='INVOCAÇÕES'!$P$681,'DADOS_FORMAS'!$AM16='INVOCAÇÕES'!$Q$681,'DADOS_FORMAS'!$AM16='INVOCAÇÕES'!$R$681,'DADOS_FORMAS'!$AM16='INVOCAÇÕES'!$S$681,'DADOS_FORMAS'!$AM16='INVOCAÇÕES'!$O$683,'DADOS_FORMAS'!$AM16='INVOCAÇÕES'!$P$683,'DADOS_FORMAS'!$AM16='INVOCAÇÕES'!$Q$683,'DADOS_FORMAS'!$AM16='INVOCAÇÕES'!$R$683,'DADOS_FORMAS'!$AM16=""),'DADOS_FORMAS'!$AH16,"")</f>
        <v/>
      </c>
      <c r="IR16">
        <f>IF(AND(OR('DADOS_FORMAS'!$AM16='INVOCAÇÕES'!$O$681,'DADOS_FORMAS'!$AM16='INVOCAÇÕES'!$P$681,'DADOS_FORMAS'!$AM16='INVOCAÇÕES'!$Q$681,'DADOS_FORMAS'!$AM16='INVOCAÇÕES'!$R$681,'DADOS_FORMAS'!$AM16='INVOCAÇÕES'!$S$681,'DADOS_FORMAS'!$AM16='INVOCAÇÕES'!$O$683,'DADOS_FORMAS'!$AM16='INVOCAÇÕES'!$P$683,'DADOS_FORMAS'!$AM16='INVOCAÇÕES'!$Q$683,'DADOS_FORMAS'!$AM16='INVOCAÇÕES'!$R$683,'DADOS_FORMAS'!$AM16=""),'DADOS_FORMAS'!$AR16),'DADOS_FORMAS'!$AH16,"")</f>
        <v/>
      </c>
      <c r="IT16">
        <f>IF(OR('DADOS_FORMAS'!$AM16='INVOCAÇÕES'!$O$892,'DADOS_FORMAS'!$AM16='INVOCAÇÕES'!$P$892,'DADOS_FORMAS'!$AM16='INVOCAÇÕES'!$Q$892,'DADOS_FORMAS'!$AM16='INVOCAÇÕES'!$R$892,'DADOS_FORMAS'!$AM16='INVOCAÇÕES'!$S$892,'DADOS_FORMAS'!$AM16='INVOCAÇÕES'!$O$894,'DADOS_FORMAS'!$AM16='INVOCAÇÕES'!$P$894,'DADOS_FORMAS'!$AM16='INVOCAÇÕES'!$Q$894,'DADOS_FORMAS'!$AM16='INVOCAÇÕES'!$R$894,'DADOS_FORMAS'!$AM16=""),'DADOS_FORMAS'!$AH16,"")</f>
        <v/>
      </c>
      <c r="IU16">
        <f>IF(AND(OR('DADOS_FORMAS'!$AM16='INVOCAÇÕES'!$O$892,'DADOS_FORMAS'!$AM16='INVOCAÇÕES'!$P$892,'DADOS_FORMAS'!$AM16='INVOCAÇÕES'!$Q$892,'DADOS_FORMAS'!$AM16='INVOCAÇÕES'!$R$892,'DADOS_FORMAS'!$AM16='INVOCAÇÕES'!$S$892,'DADOS_FORMAS'!$AM16='INVOCAÇÕES'!$O$894,'DADOS_FORMAS'!$AM16='INVOCAÇÕES'!$P$894,'DADOS_FORMAS'!$AM16='INVOCAÇÕES'!$Q$894,'DADOS_FORMAS'!$AM16='INVOCAÇÕES'!$R$894,'DADOS_FORMAS'!$AM16=""),'DADOS_FORMAS'!$AR16),'DADOS_FORMAS'!$AH16,"")</f>
        <v/>
      </c>
      <c r="IW16">
        <f>IF(OR('DADOS_FORMAS'!$AM16='INVOCAÇÕES'!$O$1103,'DADOS_FORMAS'!$AM16='INVOCAÇÕES'!$P$1103,'DADOS_FORMAS'!$AM16='INVOCAÇÕES'!$Q$1103,'DADOS_FORMAS'!$AM16='INVOCAÇÕES'!$R$1103,'DADOS_FORMAS'!$AM16='INVOCAÇÕES'!$S$1103,'DADOS_FORMAS'!$AM16='INVOCAÇÕES'!$O$1105,'DADOS_FORMAS'!$AM16='INVOCAÇÕES'!$P$1105,'DADOS_FORMAS'!$AM16='INVOCAÇÕES'!$Q$1105,'DADOS_FORMAS'!$AM16='INVOCAÇÕES'!$R$1105,'DADOS_FORMAS'!$AM16=""),'DADOS_FORMAS'!$AH16,"")</f>
        <v/>
      </c>
      <c r="IX16">
        <f>IF(AND(OR('DADOS_FORMAS'!$AM16='INVOCAÇÕES'!$O$1103,'DADOS_FORMAS'!$AM16='INVOCAÇÕES'!$P$1103,'DADOS_FORMAS'!$AM16='INVOCAÇÕES'!$Q$1103,'DADOS_FORMAS'!$AM16='INVOCAÇÕES'!$R$1103,'DADOS_FORMAS'!$AM16='INVOCAÇÕES'!$S$1103,'DADOS_FORMAS'!$AM16='INVOCAÇÕES'!$O$1105,'DADOS_FORMAS'!$AM16='INVOCAÇÕES'!$P$1105,'DADOS_FORMAS'!$AM16='INVOCAÇÕES'!$Q$1105,'DADOS_FORMAS'!$AM16='INVOCAÇÕES'!$R$1105,'DADOS_FORMAS'!$AM16=""),'DADOS_FORMAS'!$AR16),'DADOS_FORMAS'!$AH16,"")</f>
        <v/>
      </c>
      <c r="IZ16">
        <f>IF(OR('DADOS_FORMAS'!$AM16='INVOCAÇÕES'!$AH$48,'DADOS_FORMAS'!$AM16='INVOCAÇÕES'!$AI$48,'DADOS_FORMAS'!$AM16='INVOCAÇÕES'!$AJ$48,'DADOS_FORMAS'!$AM16='INVOCAÇÕES'!$AK$48,'DADOS_FORMAS'!$AM16='INVOCAÇÕES'!$AL$48,'DADOS_FORMAS'!$AM16='INVOCAÇÕES'!$AH$50,'DADOS_FORMAS'!$AM16='INVOCAÇÕES'!$AI$50,'DADOS_FORMAS'!$AM16='INVOCAÇÕES'!$AJ$50,'DADOS_FORMAS'!$AM16='INVOCAÇÕES'!$AK$50,'DADOS_FORMAS'!$AM16=""),'DADOS_FORMAS'!$AH16,"")</f>
        <v/>
      </c>
      <c r="JA16">
        <f>IF(AND(OR('DADOS_FORMAS'!$AM16='INVOCAÇÕES'!$AH$48,'DADOS_FORMAS'!$AM16='INVOCAÇÕES'!$AI$48,'DADOS_FORMAS'!$AM16='INVOCAÇÕES'!$AJ$48,'DADOS_FORMAS'!$AM16='INVOCAÇÕES'!$AK$48,'DADOS_FORMAS'!$AM16='INVOCAÇÕES'!$AL$48,'DADOS_FORMAS'!$AM16='INVOCAÇÕES'!$AH$50,'DADOS_FORMAS'!$AM16='INVOCAÇÕES'!$AI$50,'DADOS_FORMAS'!$AM16='INVOCAÇÕES'!$AJ$50,'DADOS_FORMAS'!$AM16='INVOCAÇÕES'!$AK$50,'DADOS_FORMAS'!$AM16=""),'DADOS_FORMAS'!$AR16),'DADOS_FORMAS'!$AH16,"")</f>
        <v/>
      </c>
      <c r="JC16">
        <f>IF(OR('DADOS_FORMAS'!$AM16='INVOCAÇÕES'!$AH$259,'DADOS_FORMAS'!$AM16='INVOCAÇÕES'!$AI$259,'DADOS_FORMAS'!$AM16='INVOCAÇÕES'!$AJ$259,'DADOS_FORMAS'!$AM16='INVOCAÇÕES'!$AK$259,'DADOS_FORMAS'!$AM16='INVOCAÇÕES'!$AL$259,'DADOS_FORMAS'!$AM16='INVOCAÇÕES'!$AH$261,'DADOS_FORMAS'!$AM16='INVOCAÇÕES'!$AI$261,'DADOS_FORMAS'!$AM16='INVOCAÇÕES'!$AJ$261,'DADOS_FORMAS'!$AM16='INVOCAÇÕES'!$AK$261,'DADOS_FORMAS'!$AM16=""),'DADOS_FORMAS'!$AH16,"")</f>
        <v/>
      </c>
      <c r="JD16">
        <f>IF(AND(OR('DADOS_FORMAS'!$AM16='INVOCAÇÕES'!$AH$259,'DADOS_FORMAS'!$AM16='INVOCAÇÕES'!$AI$259,'DADOS_FORMAS'!$AM16='INVOCAÇÕES'!$AJ$259,'DADOS_FORMAS'!$AM16='INVOCAÇÕES'!$AK$259,'DADOS_FORMAS'!$AM16='INVOCAÇÕES'!$AL$259,'DADOS_FORMAS'!$AM16='INVOCAÇÕES'!$AH$261,'DADOS_FORMAS'!$AM16='INVOCAÇÕES'!$AI$261,'DADOS_FORMAS'!$AM16='INVOCAÇÕES'!$AJ$261,'DADOS_FORMAS'!$AM16='INVOCAÇÕES'!$AK$261,'DADOS_FORMAS'!$AM16=""),'DADOS_FORMAS'!$AR16),'DADOS_FORMAS'!$AH16,"")</f>
        <v/>
      </c>
      <c r="JF16">
        <f>IF(OR('DADOS_FORMAS'!$AM16='INVOCAÇÕES'!$AH$470,'DADOS_FORMAS'!$AM16='INVOCAÇÕES'!$AI$470,'DADOS_FORMAS'!$AM16='INVOCAÇÕES'!$AJ$470,'DADOS_FORMAS'!$AM16='INVOCAÇÕES'!$AK$470,'DADOS_FORMAS'!$AM16='INVOCAÇÕES'!$AL$470,'DADOS_FORMAS'!$AM16='INVOCAÇÕES'!$AH$472,'DADOS_FORMAS'!$AM16='INVOCAÇÕES'!$AI$472,'DADOS_FORMAS'!$AM16='INVOCAÇÕES'!$AJ$472,'DADOS_FORMAS'!$AM16='INVOCAÇÕES'!$AK$472,'DADOS_FORMAS'!$AM16=""),'DADOS_FORMAS'!$AH16,"")</f>
        <v/>
      </c>
      <c r="JG16">
        <f>IF(AND(OR('DADOS_FORMAS'!$AM16='INVOCAÇÕES'!$AH$470,'DADOS_FORMAS'!$AM16='INVOCAÇÕES'!$AI$470,'DADOS_FORMAS'!$AM16='INVOCAÇÕES'!$AJ$470,'DADOS_FORMAS'!$AM16='INVOCAÇÕES'!$AK$470,'DADOS_FORMAS'!$AM16='INVOCAÇÕES'!$AL$470,'DADOS_FORMAS'!$AM16='INVOCAÇÕES'!$AH$472,'DADOS_FORMAS'!$AM16='INVOCAÇÕES'!$AI$472,'DADOS_FORMAS'!$AM16='INVOCAÇÕES'!$AJ$472,'DADOS_FORMAS'!$AM16='INVOCAÇÕES'!$AK$472,'DADOS_FORMAS'!$AM16=""),'DADOS_FORMAS'!$AR16),'DADOS_FORMAS'!$AH16,"")</f>
        <v/>
      </c>
      <c r="JI16">
        <f>IF(OR('DADOS_FORMAS'!$AM16='INVOCAÇÕES'!$AH$681,'DADOS_FORMAS'!$AM16='INVOCAÇÕES'!$AI$681,'DADOS_FORMAS'!$AM16='INVOCAÇÕES'!$AJ$681,'DADOS_FORMAS'!$AM16='INVOCAÇÕES'!$AK$681,'DADOS_FORMAS'!$AM16='INVOCAÇÕES'!$AL$681,'DADOS_FORMAS'!$AM16='INVOCAÇÕES'!$AH$683,'DADOS_FORMAS'!$AM16='INVOCAÇÕES'!$AI$683,'DADOS_FORMAS'!$AM16='INVOCAÇÕES'!$AJ$683,'DADOS_FORMAS'!$AM16='INVOCAÇÕES'!$AK$683,'DADOS_FORMAS'!$AM16=""),'DADOS_FORMAS'!$AH16,"")</f>
        <v/>
      </c>
      <c r="JJ16">
        <f>IF(AND(OR('DADOS_FORMAS'!$AM16='INVOCAÇÕES'!$AH$681,'DADOS_FORMAS'!$AM16='INVOCAÇÕES'!$AI$681,'DADOS_FORMAS'!$AM16='INVOCAÇÕES'!$AJ$681,'DADOS_FORMAS'!$AM16='INVOCAÇÕES'!$AK$681,'DADOS_FORMAS'!$AM16='INVOCAÇÕES'!$AL$681,'DADOS_FORMAS'!$AM16='INVOCAÇÕES'!$AH$683,'DADOS_FORMAS'!$AM16='INVOCAÇÕES'!$AI$683,'DADOS_FORMAS'!$AM16='INVOCAÇÕES'!$AJ$683,'DADOS_FORMAS'!$AM16='INVOCAÇÕES'!$AK$683,'DADOS_FORMAS'!$AM16=""),'DADOS_FORMAS'!$AR16),'DADOS_FORMAS'!$AH16,"")</f>
        <v/>
      </c>
      <c r="JL16">
        <f>IF(OR('DADOS_FORMAS'!$AM16='INVOCAÇÕES'!$AH$892,'DADOS_FORMAS'!$AM16='INVOCAÇÕES'!$AI$892,'DADOS_FORMAS'!$AM16='INVOCAÇÕES'!$AJ$892,'DADOS_FORMAS'!$AM16='INVOCAÇÕES'!$AK$892,'DADOS_FORMAS'!$AM16='INVOCAÇÕES'!$AL$892,'DADOS_FORMAS'!$AM16='INVOCAÇÕES'!$AH$894,'DADOS_FORMAS'!$AM16='INVOCAÇÕES'!$AI$894,'DADOS_FORMAS'!$AM16='INVOCAÇÕES'!$AJ$894,'DADOS_FORMAS'!$AM16='INVOCAÇÕES'!$AK$894,'DADOS_FORMAS'!$AM16=""),'DADOS_FORMAS'!$AH16,"")</f>
        <v/>
      </c>
      <c r="JM16">
        <f>IF(AND(OR('DADOS_FORMAS'!$AM16='INVOCAÇÕES'!$AH$892,'DADOS_FORMAS'!$AM16='INVOCAÇÕES'!$AI$892,'DADOS_FORMAS'!$AM16='INVOCAÇÕES'!$AJ$892,'DADOS_FORMAS'!$AM16='INVOCAÇÕES'!$AK$892,'DADOS_FORMAS'!$AM16='INVOCAÇÕES'!$AL$892,'DADOS_FORMAS'!$AM16='INVOCAÇÕES'!$AH$894,'DADOS_FORMAS'!$AM16='INVOCAÇÕES'!$AI$894,'DADOS_FORMAS'!$AM16='INVOCAÇÕES'!$AJ$894,'DADOS_FORMAS'!$AM16='INVOCAÇÕES'!$AK$894,'DADOS_FORMAS'!$AM16=""),'DADOS_FORMAS'!$AR16),'DADOS_FORMAS'!$AH16,"")</f>
        <v/>
      </c>
      <c r="JO16">
        <f>IF(OR('DADOS_FORMAS'!$AM16='INVOCAÇÕES'!$AH$1103,'DADOS_FORMAS'!$AM16='INVOCAÇÕES'!$AI$1103,'DADOS_FORMAS'!$AM16='INVOCAÇÕES'!$AJ$1103,'DADOS_FORMAS'!$AM16='INVOCAÇÕES'!$AK$1103,'DADOS_FORMAS'!$AM16='INVOCAÇÕES'!$AL$1103,'DADOS_FORMAS'!$AM16='INVOCAÇÕES'!$AH$1105,'DADOS_FORMAS'!$AM16='INVOCAÇÕES'!$AI$1105,'DADOS_FORMAS'!$AM16='INVOCAÇÕES'!$AJ$1105,'DADOS_FORMAS'!$AM16='INVOCAÇÕES'!$AK$1105,'DADOS_FORMAS'!$AM16=""),'DADOS_FORMAS'!$AH16,"")</f>
        <v/>
      </c>
      <c r="JP16">
        <f>IF(AND(OR('DADOS_FORMAS'!$AM16='INVOCAÇÕES'!$AH$1103,'DADOS_FORMAS'!$AM16='INVOCAÇÕES'!$AI$1103,'DADOS_FORMAS'!$AM16='INVOCAÇÕES'!$AJ$1103,'DADOS_FORMAS'!$AM16='INVOCAÇÕES'!$AK$1103,'DADOS_FORMAS'!$AM16='INVOCAÇÕES'!$AL$1103,'DADOS_FORMAS'!$AM16='INVOCAÇÕES'!$AH$1105,'DADOS_FORMAS'!$AM16='INVOCAÇÕES'!$AI$1105,'DADOS_FORMAS'!$AM16='INVOCAÇÕES'!$AJ$1105,'DADOS_FORMAS'!$AM16='INVOCAÇÕES'!$AK$1105,'DADOS_FORMAS'!$AM16=""),'DADOS_FORMAS'!$AR16),'DADOS_FORMAS'!$AH16,"")</f>
        <v/>
      </c>
      <c r="JZ16">
        <f>IFERROR(INDEX('DADOS_CRIACAO'!$H$2:$H$20,14),"")</f>
        <v/>
      </c>
      <c r="KA16">
        <f>IFERROR(INDEX(INDEX('DADOS_RESTRICOES'!$M$2:$Q$54,0,1),14),"")</f>
        <v/>
      </c>
    </row>
    <row r="17">
      <c r="AG17">
        <f>IF(AND($AF7,$AD7=""),$BV7,"")</f>
        <v/>
      </c>
      <c r="AH17">
        <f>IF(AND($AF7,$AD7=""),$BW7,"")</f>
        <v/>
      </c>
      <c r="AI17">
        <f>IF(AND($AF7,$AD7=""),$BX7,"")</f>
        <v/>
      </c>
      <c r="AJ17">
        <f>IF(AND($AF7,$AD7=""),$BY7,FALSE)</f>
        <v/>
      </c>
      <c r="AK17">
        <f>IF(AND($AF7,$AD7=""),$BZ7,"")</f>
        <v/>
      </c>
      <c r="AL17">
        <f>IF(AND($AF7,$AD7=""),$CA7,"")</f>
        <v/>
      </c>
      <c r="AM17">
        <f>IF(AND($AF7,$AD7=""),$CB7,"")</f>
        <v/>
      </c>
      <c r="AN17">
        <f>IF(AND($AF7,$AD7=""),$CC7,0)</f>
        <v/>
      </c>
      <c r="AO17">
        <f>IF(AND($AF7,$AD7=""),$CD7,"")</f>
        <v/>
      </c>
      <c r="AP17">
        <f>IF(AND($AF7,$AD7=""),$CE7,0)</f>
        <v/>
      </c>
      <c r="AQ17">
        <f>IF(AND($AF7,$AD7=""),$CF7,FALSE)</f>
        <v/>
      </c>
      <c r="AR17">
        <f>IF(AND($AF7,$AD7=""),$CG7,FALSE)</f>
        <v/>
      </c>
      <c r="AS17">
        <f>IF(AND($AF7,$AD7=""),$CH7,"")</f>
        <v/>
      </c>
      <c r="AT17">
        <f>IF(AND($AF7,$AD7=""),$CI7,"")</f>
        <v/>
      </c>
      <c r="AU17">
        <f>IF(AND($AF7,$AD7=""),$CJ7,"")</f>
        <v/>
      </c>
      <c r="AV17">
        <f>IF(AND($AF7,$AD7=""),$CK7,"")</f>
        <v/>
      </c>
      <c r="AW17">
        <f>IF(AND($AF7,$AD7=""),$CL7,"")</f>
        <v/>
      </c>
      <c r="AX17">
        <f>IF(AND($AF7,$AD7=""),$CM7,"")</f>
        <v/>
      </c>
      <c r="AY17">
        <f>IF(AND($AF7,$AD7=""),$CN7,"")</f>
        <v/>
      </c>
      <c r="AZ17">
        <f>IF(AND($AF7,$AD7=""),$CO7,"")</f>
        <v/>
      </c>
      <c r="BA17">
        <f>IF(AND($AF7,$AD7=""),$CP7,"")</f>
        <v/>
      </c>
      <c r="BB17">
        <f>IF(AND($AF7,$AD7=""),$CQ7,"")</f>
        <v/>
      </c>
      <c r="BC17">
        <f>IF(AND($AF7,$AD7=""),$CR7,"")</f>
        <v/>
      </c>
      <c r="BD17">
        <f>IF(AND($AF7,$AD7=""),$CS7,"")</f>
        <v/>
      </c>
      <c r="BE17">
        <f>IF(AND($AF7,$AD7=""),$CT7,"")</f>
        <v/>
      </c>
      <c r="BF17">
        <f>IF(AND($AF7,$AD7=""),$CU7,"")</f>
        <v/>
      </c>
      <c r="BG17">
        <f>IF(AND($AF7,$AD7=""),$CV7,"")</f>
        <v/>
      </c>
      <c r="BH17">
        <f>IF(AND($AF7,$AD7=""),$CW7,"")</f>
        <v/>
      </c>
      <c r="BI17">
        <f>IF(AND($AF7,$AD7=""),$CX7,"")</f>
        <v/>
      </c>
      <c r="BJ17">
        <f>IF(AND($AF7,$AD7=""),$CY7,"")</f>
        <v/>
      </c>
      <c r="BK17">
        <f>IF(AND($AF7,$AD7=""),$CZ7,0)</f>
        <v/>
      </c>
      <c r="BL17">
        <f>IF(AND($AF7,$AD7=""),$DA7,"")</f>
        <v/>
      </c>
      <c r="BM17">
        <f>IF(AND($AF7,$AD7=""),$DB7,"")</f>
        <v/>
      </c>
      <c r="BN17">
        <f>IF(AND($AF7,$AD7=""),$DC7,"")</f>
        <v/>
      </c>
      <c r="BO17">
        <f>IF(AND($AF7,$AD7=""),$DD7,0)</f>
        <v/>
      </c>
      <c r="BP17">
        <f>IF(AND($AF7,$AD7=""),$DE7,"")</f>
        <v/>
      </c>
      <c r="BQ17">
        <f>IF(AND($AF7,$AD7=""),$DF7,"")</f>
        <v/>
      </c>
      <c r="BR17">
        <f>IF(AND($AF7,$AD7=""),$DG7,"")</f>
        <v/>
      </c>
      <c r="BS17">
        <f>IF(AND($AF7,$AD7=""),$DH7,0)</f>
        <v/>
      </c>
      <c r="FJ17">
        <f>'DADOS_FORMAS'!$AH17</f>
        <v/>
      </c>
      <c r="FK17">
        <f>'DADOS_FORMAS'!$AM17</f>
        <v/>
      </c>
      <c r="FL17">
        <f>'DADOS_FORMAS'!$AN17</f>
        <v/>
      </c>
      <c r="FM17">
        <f>IF('DADOS_FORMAS'!$AN17=0,0,'DADOS_FORMAS'!$AN17+3*IFERROR(VLOOKUP(SUBSTITUTE(SUBSTITUTE(SUBSTITUTE('DADOS_FORMAS'!$AM17,"~","~~"),"*","~*"),"?","~?"),'DADOS_CRIACAO'!$H$2:$K$20,3,FALSE),0))</f>
        <v/>
      </c>
      <c r="FN17">
        <f>IFERROR(VLOOKUP(SUBSTITUTE(SUBSTITUTE(SUBSTITUTE('DADOS_FORMAS'!$AM17,"~","~~"),"*","~*"),"?","~?"),'DADOS_CRIACAO'!$H$2:$K$20,4,FALSE),0)</f>
        <v/>
      </c>
      <c r="FO17">
        <f>IF('DADOS_FORMAS'!$AS17="",0,1)</f>
        <v/>
      </c>
      <c r="FP17">
        <f>'DADOS_FORMAS'!$AP17</f>
        <v/>
      </c>
      <c r="FQ17">
        <f>IF(AND('DADOS_FORMAS'!$AO17="Acerto",'DADOS_FORMAS'!$AQ17),"Acerto + TR",'DADOS_FORMAS'!$AO17)</f>
        <v/>
      </c>
      <c r="FR17">
        <f>N(OR('DADOS_FORMAS'!$AQ17,'DADOS_FORMAS'!$AO17="TR, metade"))</f>
        <v/>
      </c>
      <c r="FS17">
        <f>'DADOS_FORMAS'!$BO17</f>
        <v/>
      </c>
      <c r="FT17">
        <f>'DADOS_FORMAS'!$BS17</f>
        <v/>
      </c>
      <c r="FU17">
        <f>'DADOS_FORMAS'!$BK17</f>
        <v/>
      </c>
      <c r="FV17">
        <f>N('DADOS_FORMAS'!$AR17)</f>
        <v/>
      </c>
      <c r="FW17">
        <f>IF(IFERROR(VLOOKUP(SUBSTITUTE(SUBSTITUTE(SUBSTITUTE('DADOS_FORMAS'!$AM17,"~","~~"),"*","~*"),"?","~?"),'DADOS_CRIACAO'!$H$2:$K$20,4,FALSE),0)=1,"",'DADOS_FORMAS'!$AH17)</f>
        <v/>
      </c>
      <c r="FX17">
        <f>IF(AND('DADOS_FORMAS'!$AR17,IFERROR(VLOOKUP(SUBSTITUTE(SUBSTITUTE(SUBSTITUTE('DADOS_FORMAS'!$AM17,"~","~~"),"*","~*"),"?","~?"),'DADOS_CRIACAO'!$H$2:$K$20,4,FALSE),0)=0),'DADOS_FORMAS'!$AH17,"")</f>
        <v/>
      </c>
      <c r="FZ17">
        <f>'DADOS_FORMAS'!$AH17</f>
        <v/>
      </c>
      <c r="GA17">
        <f>'DADOS_FORMAS'!$AM17</f>
        <v/>
      </c>
      <c r="GB17">
        <f>'DADOS_FORMAS'!$AN17</f>
        <v/>
      </c>
      <c r="GC17">
        <f>IF('DADOS_FORMAS'!$AS17="",0,1)</f>
        <v/>
      </c>
      <c r="GD17">
        <f>'DADOS_FORMAS'!$AP17</f>
        <v/>
      </c>
      <c r="GE17">
        <f>IF('DADOS_FORMAS'!$AO17="Acerto","Ataque",IF('DADOS_FORMAS'!$AQ17,"TR","—"))</f>
        <v/>
      </c>
      <c r="GF17">
        <f>N(OR('DADOS_FORMAS'!$AQ17,'DADOS_FORMAS'!$AO17="TR, metade"))</f>
        <v/>
      </c>
      <c r="GG17">
        <f>'DADOS_FORMAS'!$BO17</f>
        <v/>
      </c>
      <c r="GH17">
        <f>'DADOS_FORMAS'!$BS17</f>
        <v/>
      </c>
      <c r="GI17">
        <f>'DADOS_FORMAS'!$BK17</f>
        <v/>
      </c>
      <c r="GJ17">
        <f>N('DADOS_FORMAS'!$AR17)</f>
        <v/>
      </c>
      <c r="GR17">
        <f>'DADOS_FORMAS'!$BP14</f>
        <v/>
      </c>
      <c r="GS17">
        <f>IF('DADOS_FORMAS'!$BP14="area",'DADOS_FORMAS'!$AU14,'DADOS_FORMAS'!$AT14)</f>
        <v/>
      </c>
      <c r="GT17">
        <f>IF('DADOS_FORMAS'!$BP14="area",'DADOS_FORMAS'!$BD14,'DADOS_FORMAS'!$AW14)</f>
        <v/>
      </c>
      <c r="GU17">
        <f>'DADOS_FORMAS'!$BQ14</f>
        <v/>
      </c>
      <c r="GV17">
        <f>'DADOS_FORMAS'!$BR14</f>
        <v/>
      </c>
      <c r="GW17">
        <f>LET(base,'DADOS_FORMAS'!$GT17,escada,'DADOS_FORMAS'!$GS17,medida,LEFT(base,MAX(0,LEN(base)-2)),valor,IFERROR(VALUE(SUBSTITUTE(medida,",",""))/10^IFERROR(LEN(medida)-FIND(",",medida),0),1E99),IF(OR(escada="Fixo",base="—"),base,IF(escada="alcance",IFERROR(MATCH(base,{"1,5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7" t="inlineStr">
        <is>
          <t>Linha · classe 0</t>
        </is>
      </c>
      <c r="GZ17" t="inlineStr">
        <is>
          <t>Linha de 9 m por 1,5 m</t>
        </is>
      </c>
      <c r="HA17" t="inlineStr">
        <is>
          <t>Linha de 18 m por 1,5 m</t>
        </is>
      </c>
      <c r="HB17" t="inlineStr">
        <is>
          <t>Linha de 30 m por 1,5 m</t>
        </is>
      </c>
      <c r="HC17" t="inlineStr">
        <is>
          <t>Linha de 60 m por 1,5 m</t>
        </is>
      </c>
      <c r="HD17" t="inlineStr">
        <is>
          <t>Linha de 60 m por 1,5 m</t>
        </is>
      </c>
      <c r="HE17" t="inlineStr">
        <is>
          <t>Linha de 60 m por 1,5 m</t>
        </is>
      </c>
      <c r="HF17" t="inlineStr"/>
      <c r="HG17" t="inlineStr"/>
      <c r="HH17" t="inlineStr"/>
      <c r="HI17" t="inlineStr"/>
      <c r="HJ17" t="inlineStr"/>
      <c r="HK17" t="inlineStr"/>
      <c r="HM17">
        <f>'DADOS_FORMAS'!$BP13</f>
        <v/>
      </c>
      <c r="HN17">
        <f>IF('DADOS_FORMAS'!$BP13="area",'DADOS_FORMAS'!$AU13,'DADOS_FORMAS'!$AT13)</f>
        <v/>
      </c>
      <c r="HO17">
        <f>IF('DADOS_FORMAS'!$BP13="area",'DADOS_FORMAS'!$BI13,'DADOS_FORMAS'!$BB13)</f>
        <v/>
      </c>
      <c r="HP17">
        <f>'DADOS_FORMAS'!$BQ13</f>
        <v/>
      </c>
      <c r="HQ17">
        <f>'DADOS_FORMAS'!$BR13</f>
        <v/>
      </c>
      <c r="HR17">
        <f>LET(base,'DADOS_FORMAS'!$HO17,escada,'DADOS_FORMAS'!$HN17,medida,LEFT(base,MAX(0,LEN(base)-2)),valor,IFERROR(VALUE(SUBSTITUTE(medida,",",""))/10^IFERROR(LEN(medida)-FIND(",",medida),0),1E99),IF(OR(escada="Fixo",base="—"),base,IF(escada="alcance",IFERROR(MATCH(base,{"1,5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7" t="inlineStr">
        <is>
          <t>Aura · classe 7</t>
        </is>
      </c>
      <c r="HU17" t="inlineStr">
        <is>
          <t>Raio 4,5 m, nela</t>
        </is>
      </c>
      <c r="HV17" t="inlineStr">
        <is>
          <t>Raio 6 m, nela</t>
        </is>
      </c>
      <c r="HW17" t="inlineStr">
        <is>
          <t>Raio 9 m, nela</t>
        </is>
      </c>
      <c r="HX17" t="inlineStr">
        <is>
          <t>Raio 15 m, nela</t>
        </is>
      </c>
      <c r="HY17" t="inlineStr">
        <is>
          <t>Raio 15 m, nela</t>
        </is>
      </c>
      <c r="HZ17" t="inlineStr">
        <is>
          <t>Raio 15 m, nela</t>
        </is>
      </c>
      <c r="IA17" t="inlineStr"/>
      <c r="IB17" t="inlineStr"/>
      <c r="IC17" t="inlineStr"/>
      <c r="ID17" t="inlineStr"/>
      <c r="IE17" t="inlineStr"/>
      <c r="IF17" t="inlineStr"/>
      <c r="IH17">
        <f>IF(OR('DADOS_FORMAS'!$AM17='INVOCAÇÕES'!$O$48,'DADOS_FORMAS'!$AM17='INVOCAÇÕES'!$P$48,'DADOS_FORMAS'!$AM17='INVOCAÇÕES'!$Q$48,'DADOS_FORMAS'!$AM17='INVOCAÇÕES'!$R$48,'DADOS_FORMAS'!$AM17='INVOCAÇÕES'!$S$48,'DADOS_FORMAS'!$AM17='INVOCAÇÕES'!$O$50,'DADOS_FORMAS'!$AM17='INVOCAÇÕES'!$P$50,'DADOS_FORMAS'!$AM17='INVOCAÇÕES'!$Q$50,'DADOS_FORMAS'!$AM17='INVOCAÇÕES'!$R$50,'DADOS_FORMAS'!$AM17=""),'DADOS_FORMAS'!$AH17,"")</f>
        <v/>
      </c>
      <c r="II17">
        <f>IF(AND(OR('DADOS_FORMAS'!$AM17='INVOCAÇÕES'!$O$48,'DADOS_FORMAS'!$AM17='INVOCAÇÕES'!$P$48,'DADOS_FORMAS'!$AM17='INVOCAÇÕES'!$Q$48,'DADOS_FORMAS'!$AM17='INVOCAÇÕES'!$R$48,'DADOS_FORMAS'!$AM17='INVOCAÇÕES'!$S$48,'DADOS_FORMAS'!$AM17='INVOCAÇÕES'!$O$50,'DADOS_FORMAS'!$AM17='INVOCAÇÕES'!$P$50,'DADOS_FORMAS'!$AM17='INVOCAÇÕES'!$Q$50,'DADOS_FORMAS'!$AM17='INVOCAÇÕES'!$R$50,'DADOS_FORMAS'!$AM17=""),'DADOS_FORMAS'!$AR17),'DADOS_FORMAS'!$AH17,"")</f>
        <v/>
      </c>
      <c r="IK17">
        <f>IF(OR('DADOS_FORMAS'!$AM17='INVOCAÇÕES'!$O$259,'DADOS_FORMAS'!$AM17='INVOCAÇÕES'!$P$259,'DADOS_FORMAS'!$AM17='INVOCAÇÕES'!$Q$259,'DADOS_FORMAS'!$AM17='INVOCAÇÕES'!$R$259,'DADOS_FORMAS'!$AM17='INVOCAÇÕES'!$S$259,'DADOS_FORMAS'!$AM17='INVOCAÇÕES'!$O$261,'DADOS_FORMAS'!$AM17='INVOCAÇÕES'!$P$261,'DADOS_FORMAS'!$AM17='INVOCAÇÕES'!$Q$261,'DADOS_FORMAS'!$AM17='INVOCAÇÕES'!$R$261,'DADOS_FORMAS'!$AM17=""),'DADOS_FORMAS'!$AH17,"")</f>
        <v/>
      </c>
      <c r="IL17">
        <f>IF(AND(OR('DADOS_FORMAS'!$AM17='INVOCAÇÕES'!$O$259,'DADOS_FORMAS'!$AM17='INVOCAÇÕES'!$P$259,'DADOS_FORMAS'!$AM17='INVOCAÇÕES'!$Q$259,'DADOS_FORMAS'!$AM17='INVOCAÇÕES'!$R$259,'DADOS_FORMAS'!$AM17='INVOCAÇÕES'!$S$259,'DADOS_FORMAS'!$AM17='INVOCAÇÕES'!$O$261,'DADOS_FORMAS'!$AM17='INVOCAÇÕES'!$P$261,'DADOS_FORMAS'!$AM17='INVOCAÇÕES'!$Q$261,'DADOS_FORMAS'!$AM17='INVOCAÇÕES'!$R$261,'DADOS_FORMAS'!$AM17=""),'DADOS_FORMAS'!$AR17),'DADOS_FORMAS'!$AH17,"")</f>
        <v/>
      </c>
      <c r="IN17">
        <f>IF(OR('DADOS_FORMAS'!$AM17='INVOCAÇÕES'!$O$470,'DADOS_FORMAS'!$AM17='INVOCAÇÕES'!$P$470,'DADOS_FORMAS'!$AM17='INVOCAÇÕES'!$Q$470,'DADOS_FORMAS'!$AM17='INVOCAÇÕES'!$R$470,'DADOS_FORMAS'!$AM17='INVOCAÇÕES'!$S$470,'DADOS_FORMAS'!$AM17='INVOCAÇÕES'!$O$472,'DADOS_FORMAS'!$AM17='INVOCAÇÕES'!$P$472,'DADOS_FORMAS'!$AM17='INVOCAÇÕES'!$Q$472,'DADOS_FORMAS'!$AM17='INVOCAÇÕES'!$R$472,'DADOS_FORMAS'!$AM17=""),'DADOS_FORMAS'!$AH17,"")</f>
        <v/>
      </c>
      <c r="IO17">
        <f>IF(AND(OR('DADOS_FORMAS'!$AM17='INVOCAÇÕES'!$O$470,'DADOS_FORMAS'!$AM17='INVOCAÇÕES'!$P$470,'DADOS_FORMAS'!$AM17='INVOCAÇÕES'!$Q$470,'DADOS_FORMAS'!$AM17='INVOCAÇÕES'!$R$470,'DADOS_FORMAS'!$AM17='INVOCAÇÕES'!$S$470,'DADOS_FORMAS'!$AM17='INVOCAÇÕES'!$O$472,'DADOS_FORMAS'!$AM17='INVOCAÇÕES'!$P$472,'DADOS_FORMAS'!$AM17='INVOCAÇÕES'!$Q$472,'DADOS_FORMAS'!$AM17='INVOCAÇÕES'!$R$472,'DADOS_FORMAS'!$AM17=""),'DADOS_FORMAS'!$AR17),'DADOS_FORMAS'!$AH17,"")</f>
        <v/>
      </c>
      <c r="IQ17">
        <f>IF(OR('DADOS_FORMAS'!$AM17='INVOCAÇÕES'!$O$681,'DADOS_FORMAS'!$AM17='INVOCAÇÕES'!$P$681,'DADOS_FORMAS'!$AM17='INVOCAÇÕES'!$Q$681,'DADOS_FORMAS'!$AM17='INVOCAÇÕES'!$R$681,'DADOS_FORMAS'!$AM17='INVOCAÇÕES'!$S$681,'DADOS_FORMAS'!$AM17='INVOCAÇÕES'!$O$683,'DADOS_FORMAS'!$AM17='INVOCAÇÕES'!$P$683,'DADOS_FORMAS'!$AM17='INVOCAÇÕES'!$Q$683,'DADOS_FORMAS'!$AM17='INVOCAÇÕES'!$R$683,'DADOS_FORMAS'!$AM17=""),'DADOS_FORMAS'!$AH17,"")</f>
        <v/>
      </c>
      <c r="IR17">
        <f>IF(AND(OR('DADOS_FORMAS'!$AM17='INVOCAÇÕES'!$O$681,'DADOS_FORMAS'!$AM17='INVOCAÇÕES'!$P$681,'DADOS_FORMAS'!$AM17='INVOCAÇÕES'!$Q$681,'DADOS_FORMAS'!$AM17='INVOCAÇÕES'!$R$681,'DADOS_FORMAS'!$AM17='INVOCAÇÕES'!$S$681,'DADOS_FORMAS'!$AM17='INVOCAÇÕES'!$O$683,'DADOS_FORMAS'!$AM17='INVOCAÇÕES'!$P$683,'DADOS_FORMAS'!$AM17='INVOCAÇÕES'!$Q$683,'DADOS_FORMAS'!$AM17='INVOCAÇÕES'!$R$683,'DADOS_FORMAS'!$AM17=""),'DADOS_FORMAS'!$AR17),'DADOS_FORMAS'!$AH17,"")</f>
        <v/>
      </c>
      <c r="IT17">
        <f>IF(OR('DADOS_FORMAS'!$AM17='INVOCAÇÕES'!$O$892,'DADOS_FORMAS'!$AM17='INVOCAÇÕES'!$P$892,'DADOS_FORMAS'!$AM17='INVOCAÇÕES'!$Q$892,'DADOS_FORMAS'!$AM17='INVOCAÇÕES'!$R$892,'DADOS_FORMAS'!$AM17='INVOCAÇÕES'!$S$892,'DADOS_FORMAS'!$AM17='INVOCAÇÕES'!$O$894,'DADOS_FORMAS'!$AM17='INVOCAÇÕES'!$P$894,'DADOS_FORMAS'!$AM17='INVOCAÇÕES'!$Q$894,'DADOS_FORMAS'!$AM17='INVOCAÇÕES'!$R$894,'DADOS_FORMAS'!$AM17=""),'DADOS_FORMAS'!$AH17,"")</f>
        <v/>
      </c>
      <c r="IU17">
        <f>IF(AND(OR('DADOS_FORMAS'!$AM17='INVOCAÇÕES'!$O$892,'DADOS_FORMAS'!$AM17='INVOCAÇÕES'!$P$892,'DADOS_FORMAS'!$AM17='INVOCAÇÕES'!$Q$892,'DADOS_FORMAS'!$AM17='INVOCAÇÕES'!$R$892,'DADOS_FORMAS'!$AM17='INVOCAÇÕES'!$S$892,'DADOS_FORMAS'!$AM17='INVOCAÇÕES'!$O$894,'DADOS_FORMAS'!$AM17='INVOCAÇÕES'!$P$894,'DADOS_FORMAS'!$AM17='INVOCAÇÕES'!$Q$894,'DADOS_FORMAS'!$AM17='INVOCAÇÕES'!$R$894,'DADOS_FORMAS'!$AM17=""),'DADOS_FORMAS'!$AR17),'DADOS_FORMAS'!$AH17,"")</f>
        <v/>
      </c>
      <c r="IW17">
        <f>IF(OR('DADOS_FORMAS'!$AM17='INVOCAÇÕES'!$O$1103,'DADOS_FORMAS'!$AM17='INVOCAÇÕES'!$P$1103,'DADOS_FORMAS'!$AM17='INVOCAÇÕES'!$Q$1103,'DADOS_FORMAS'!$AM17='INVOCAÇÕES'!$R$1103,'DADOS_FORMAS'!$AM17='INVOCAÇÕES'!$S$1103,'DADOS_FORMAS'!$AM17='INVOCAÇÕES'!$O$1105,'DADOS_FORMAS'!$AM17='INVOCAÇÕES'!$P$1105,'DADOS_FORMAS'!$AM17='INVOCAÇÕES'!$Q$1105,'DADOS_FORMAS'!$AM17='INVOCAÇÕES'!$R$1105,'DADOS_FORMAS'!$AM17=""),'DADOS_FORMAS'!$AH17,"")</f>
        <v/>
      </c>
      <c r="IX17">
        <f>IF(AND(OR('DADOS_FORMAS'!$AM17='INVOCAÇÕES'!$O$1103,'DADOS_FORMAS'!$AM17='INVOCAÇÕES'!$P$1103,'DADOS_FORMAS'!$AM17='INVOCAÇÕES'!$Q$1103,'DADOS_FORMAS'!$AM17='INVOCAÇÕES'!$R$1103,'DADOS_FORMAS'!$AM17='INVOCAÇÕES'!$S$1103,'DADOS_FORMAS'!$AM17='INVOCAÇÕES'!$O$1105,'DADOS_FORMAS'!$AM17='INVOCAÇÕES'!$P$1105,'DADOS_FORMAS'!$AM17='INVOCAÇÕES'!$Q$1105,'DADOS_FORMAS'!$AM17='INVOCAÇÕES'!$R$1105,'DADOS_FORMAS'!$AM17=""),'DADOS_FORMAS'!$AR17),'DADOS_FORMAS'!$AH17,"")</f>
        <v/>
      </c>
      <c r="IZ17">
        <f>IF(OR('DADOS_FORMAS'!$AM17='INVOCAÇÕES'!$AH$48,'DADOS_FORMAS'!$AM17='INVOCAÇÕES'!$AI$48,'DADOS_FORMAS'!$AM17='INVOCAÇÕES'!$AJ$48,'DADOS_FORMAS'!$AM17='INVOCAÇÕES'!$AK$48,'DADOS_FORMAS'!$AM17='INVOCAÇÕES'!$AL$48,'DADOS_FORMAS'!$AM17='INVOCAÇÕES'!$AH$50,'DADOS_FORMAS'!$AM17='INVOCAÇÕES'!$AI$50,'DADOS_FORMAS'!$AM17='INVOCAÇÕES'!$AJ$50,'DADOS_FORMAS'!$AM17='INVOCAÇÕES'!$AK$50,'DADOS_FORMAS'!$AM17=""),'DADOS_FORMAS'!$AH17,"")</f>
        <v/>
      </c>
      <c r="JA17">
        <f>IF(AND(OR('DADOS_FORMAS'!$AM17='INVOCAÇÕES'!$AH$48,'DADOS_FORMAS'!$AM17='INVOCAÇÕES'!$AI$48,'DADOS_FORMAS'!$AM17='INVOCAÇÕES'!$AJ$48,'DADOS_FORMAS'!$AM17='INVOCAÇÕES'!$AK$48,'DADOS_FORMAS'!$AM17='INVOCAÇÕES'!$AL$48,'DADOS_FORMAS'!$AM17='INVOCAÇÕES'!$AH$50,'DADOS_FORMAS'!$AM17='INVOCAÇÕES'!$AI$50,'DADOS_FORMAS'!$AM17='INVOCAÇÕES'!$AJ$50,'DADOS_FORMAS'!$AM17='INVOCAÇÕES'!$AK$50,'DADOS_FORMAS'!$AM17=""),'DADOS_FORMAS'!$AR17),'DADOS_FORMAS'!$AH17,"")</f>
        <v/>
      </c>
      <c r="JC17">
        <f>IF(OR('DADOS_FORMAS'!$AM17='INVOCAÇÕES'!$AH$259,'DADOS_FORMAS'!$AM17='INVOCAÇÕES'!$AI$259,'DADOS_FORMAS'!$AM17='INVOCAÇÕES'!$AJ$259,'DADOS_FORMAS'!$AM17='INVOCAÇÕES'!$AK$259,'DADOS_FORMAS'!$AM17='INVOCAÇÕES'!$AL$259,'DADOS_FORMAS'!$AM17='INVOCAÇÕES'!$AH$261,'DADOS_FORMAS'!$AM17='INVOCAÇÕES'!$AI$261,'DADOS_FORMAS'!$AM17='INVOCAÇÕES'!$AJ$261,'DADOS_FORMAS'!$AM17='INVOCAÇÕES'!$AK$261,'DADOS_FORMAS'!$AM17=""),'DADOS_FORMAS'!$AH17,"")</f>
        <v/>
      </c>
      <c r="JD17">
        <f>IF(AND(OR('DADOS_FORMAS'!$AM17='INVOCAÇÕES'!$AH$259,'DADOS_FORMAS'!$AM17='INVOCAÇÕES'!$AI$259,'DADOS_FORMAS'!$AM17='INVOCAÇÕES'!$AJ$259,'DADOS_FORMAS'!$AM17='INVOCAÇÕES'!$AK$259,'DADOS_FORMAS'!$AM17='INVOCAÇÕES'!$AL$259,'DADOS_FORMAS'!$AM17='INVOCAÇÕES'!$AH$261,'DADOS_FORMAS'!$AM17='INVOCAÇÕES'!$AI$261,'DADOS_FORMAS'!$AM17='INVOCAÇÕES'!$AJ$261,'DADOS_FORMAS'!$AM17='INVOCAÇÕES'!$AK$261,'DADOS_FORMAS'!$AM17=""),'DADOS_FORMAS'!$AR17),'DADOS_FORMAS'!$AH17,"")</f>
        <v/>
      </c>
      <c r="JF17">
        <f>IF(OR('DADOS_FORMAS'!$AM17='INVOCAÇÕES'!$AH$470,'DADOS_FORMAS'!$AM17='INVOCAÇÕES'!$AI$470,'DADOS_FORMAS'!$AM17='INVOCAÇÕES'!$AJ$470,'DADOS_FORMAS'!$AM17='INVOCAÇÕES'!$AK$470,'DADOS_FORMAS'!$AM17='INVOCAÇÕES'!$AL$470,'DADOS_FORMAS'!$AM17='INVOCAÇÕES'!$AH$472,'DADOS_FORMAS'!$AM17='INVOCAÇÕES'!$AI$472,'DADOS_FORMAS'!$AM17='INVOCAÇÕES'!$AJ$472,'DADOS_FORMAS'!$AM17='INVOCAÇÕES'!$AK$472,'DADOS_FORMAS'!$AM17=""),'DADOS_FORMAS'!$AH17,"")</f>
        <v/>
      </c>
      <c r="JG17">
        <f>IF(AND(OR('DADOS_FORMAS'!$AM17='INVOCAÇÕES'!$AH$470,'DADOS_FORMAS'!$AM17='INVOCAÇÕES'!$AI$470,'DADOS_FORMAS'!$AM17='INVOCAÇÕES'!$AJ$470,'DADOS_FORMAS'!$AM17='INVOCAÇÕES'!$AK$470,'DADOS_FORMAS'!$AM17='INVOCAÇÕES'!$AL$470,'DADOS_FORMAS'!$AM17='INVOCAÇÕES'!$AH$472,'DADOS_FORMAS'!$AM17='INVOCAÇÕES'!$AI$472,'DADOS_FORMAS'!$AM17='INVOCAÇÕES'!$AJ$472,'DADOS_FORMAS'!$AM17='INVOCAÇÕES'!$AK$472,'DADOS_FORMAS'!$AM17=""),'DADOS_FORMAS'!$AR17),'DADOS_FORMAS'!$AH17,"")</f>
        <v/>
      </c>
      <c r="JI17">
        <f>IF(OR('DADOS_FORMAS'!$AM17='INVOCAÇÕES'!$AH$681,'DADOS_FORMAS'!$AM17='INVOCAÇÕES'!$AI$681,'DADOS_FORMAS'!$AM17='INVOCAÇÕES'!$AJ$681,'DADOS_FORMAS'!$AM17='INVOCAÇÕES'!$AK$681,'DADOS_FORMAS'!$AM17='INVOCAÇÕES'!$AL$681,'DADOS_FORMAS'!$AM17='INVOCAÇÕES'!$AH$683,'DADOS_FORMAS'!$AM17='INVOCAÇÕES'!$AI$683,'DADOS_FORMAS'!$AM17='INVOCAÇÕES'!$AJ$683,'DADOS_FORMAS'!$AM17='INVOCAÇÕES'!$AK$683,'DADOS_FORMAS'!$AM17=""),'DADOS_FORMAS'!$AH17,"")</f>
        <v/>
      </c>
      <c r="JJ17">
        <f>IF(AND(OR('DADOS_FORMAS'!$AM17='INVOCAÇÕES'!$AH$681,'DADOS_FORMAS'!$AM17='INVOCAÇÕES'!$AI$681,'DADOS_FORMAS'!$AM17='INVOCAÇÕES'!$AJ$681,'DADOS_FORMAS'!$AM17='INVOCAÇÕES'!$AK$681,'DADOS_FORMAS'!$AM17='INVOCAÇÕES'!$AL$681,'DADOS_FORMAS'!$AM17='INVOCAÇÕES'!$AH$683,'DADOS_FORMAS'!$AM17='INVOCAÇÕES'!$AI$683,'DADOS_FORMAS'!$AM17='INVOCAÇÕES'!$AJ$683,'DADOS_FORMAS'!$AM17='INVOCAÇÕES'!$AK$683,'DADOS_FORMAS'!$AM17=""),'DADOS_FORMAS'!$AR17),'DADOS_FORMAS'!$AH17,"")</f>
        <v/>
      </c>
      <c r="JL17">
        <f>IF(OR('DADOS_FORMAS'!$AM17='INVOCAÇÕES'!$AH$892,'DADOS_FORMAS'!$AM17='INVOCAÇÕES'!$AI$892,'DADOS_FORMAS'!$AM17='INVOCAÇÕES'!$AJ$892,'DADOS_FORMAS'!$AM17='INVOCAÇÕES'!$AK$892,'DADOS_FORMAS'!$AM17='INVOCAÇÕES'!$AL$892,'DADOS_FORMAS'!$AM17='INVOCAÇÕES'!$AH$894,'DADOS_FORMAS'!$AM17='INVOCAÇÕES'!$AI$894,'DADOS_FORMAS'!$AM17='INVOCAÇÕES'!$AJ$894,'DADOS_FORMAS'!$AM17='INVOCAÇÕES'!$AK$894,'DADOS_FORMAS'!$AM17=""),'DADOS_FORMAS'!$AH17,"")</f>
        <v/>
      </c>
      <c r="JM17">
        <f>IF(AND(OR('DADOS_FORMAS'!$AM17='INVOCAÇÕES'!$AH$892,'DADOS_FORMAS'!$AM17='INVOCAÇÕES'!$AI$892,'DADOS_FORMAS'!$AM17='INVOCAÇÕES'!$AJ$892,'DADOS_FORMAS'!$AM17='INVOCAÇÕES'!$AK$892,'DADOS_FORMAS'!$AM17='INVOCAÇÕES'!$AL$892,'DADOS_FORMAS'!$AM17='INVOCAÇÕES'!$AH$894,'DADOS_FORMAS'!$AM17='INVOCAÇÕES'!$AI$894,'DADOS_FORMAS'!$AM17='INVOCAÇÕES'!$AJ$894,'DADOS_FORMAS'!$AM17='INVOCAÇÕES'!$AK$894,'DADOS_FORMAS'!$AM17=""),'DADOS_FORMAS'!$AR17),'DADOS_FORMAS'!$AH17,"")</f>
        <v/>
      </c>
      <c r="JO17">
        <f>IF(OR('DADOS_FORMAS'!$AM17='INVOCAÇÕES'!$AH$1103,'DADOS_FORMAS'!$AM17='INVOCAÇÕES'!$AI$1103,'DADOS_FORMAS'!$AM17='INVOCAÇÕES'!$AJ$1103,'DADOS_FORMAS'!$AM17='INVOCAÇÕES'!$AK$1103,'DADOS_FORMAS'!$AM17='INVOCAÇÕES'!$AL$1103,'DADOS_FORMAS'!$AM17='INVOCAÇÕES'!$AH$1105,'DADOS_FORMAS'!$AM17='INVOCAÇÕES'!$AI$1105,'DADOS_FORMAS'!$AM17='INVOCAÇÕES'!$AJ$1105,'DADOS_FORMAS'!$AM17='INVOCAÇÕES'!$AK$1105,'DADOS_FORMAS'!$AM17=""),'DADOS_FORMAS'!$AH17,"")</f>
        <v/>
      </c>
      <c r="JP17">
        <f>IF(AND(OR('DADOS_FORMAS'!$AM17='INVOCAÇÕES'!$AH$1103,'DADOS_FORMAS'!$AM17='INVOCAÇÕES'!$AI$1103,'DADOS_FORMAS'!$AM17='INVOCAÇÕES'!$AJ$1103,'DADOS_FORMAS'!$AM17='INVOCAÇÕES'!$AK$1103,'DADOS_FORMAS'!$AM17='INVOCAÇÕES'!$AL$1103,'DADOS_FORMAS'!$AM17='INVOCAÇÕES'!$AH$1105,'DADOS_FORMAS'!$AM17='INVOCAÇÕES'!$AI$1105,'DADOS_FORMAS'!$AM17='INVOCAÇÕES'!$AJ$1105,'DADOS_FORMAS'!$AM17='INVOCAÇÕES'!$AK$1105,'DADOS_FORMAS'!$AM17=""),'DADOS_FORMAS'!$AR17),'DADOS_FORMAS'!$AH17,"")</f>
        <v/>
      </c>
      <c r="JZ17">
        <f>IFERROR(INDEX('DADOS_CRIACAO'!$H$2:$H$20,15),"")</f>
        <v/>
      </c>
      <c r="KA17">
        <f>IFERROR(INDEX(INDEX('DADOS_RESTRICOES'!$M$2:$Q$54,0,1),15),"")</f>
        <v/>
      </c>
    </row>
    <row r="18">
      <c r="AG18">
        <f>IF(AND($AF8,$AD8=""),$BV8,"")</f>
        <v/>
      </c>
      <c r="AH18">
        <f>IF(AND($AF8,$AD8=""),$BW8,"")</f>
        <v/>
      </c>
      <c r="AI18">
        <f>IF(AND($AF8,$AD8=""),$BX8,"")</f>
        <v/>
      </c>
      <c r="AJ18">
        <f>IF(AND($AF8,$AD8=""),$BY8,FALSE)</f>
        <v/>
      </c>
      <c r="AK18">
        <f>IF(AND($AF8,$AD8=""),$BZ8,"")</f>
        <v/>
      </c>
      <c r="AL18">
        <f>IF(AND($AF8,$AD8=""),$CA8,"")</f>
        <v/>
      </c>
      <c r="AM18">
        <f>IF(AND($AF8,$AD8=""),$CB8,"")</f>
        <v/>
      </c>
      <c r="AN18">
        <f>IF(AND($AF8,$AD8=""),$CC8,0)</f>
        <v/>
      </c>
      <c r="AO18">
        <f>IF(AND($AF8,$AD8=""),$CD8,"")</f>
        <v/>
      </c>
      <c r="AP18">
        <f>IF(AND($AF8,$AD8=""),$CE8,0)</f>
        <v/>
      </c>
      <c r="AQ18">
        <f>IF(AND($AF8,$AD8=""),$CF8,FALSE)</f>
        <v/>
      </c>
      <c r="AR18">
        <f>IF(AND($AF8,$AD8=""),$CG8,FALSE)</f>
        <v/>
      </c>
      <c r="AS18">
        <f>IF(AND($AF8,$AD8=""),$CH8,"")</f>
        <v/>
      </c>
      <c r="AT18">
        <f>IF(AND($AF8,$AD8=""),$CI8,"")</f>
        <v/>
      </c>
      <c r="AU18">
        <f>IF(AND($AF8,$AD8=""),$CJ8,"")</f>
        <v/>
      </c>
      <c r="AV18">
        <f>IF(AND($AF8,$AD8=""),$CK8,"")</f>
        <v/>
      </c>
      <c r="AW18">
        <f>IF(AND($AF8,$AD8=""),$CL8,"")</f>
        <v/>
      </c>
      <c r="AX18">
        <f>IF(AND($AF8,$AD8=""),$CM8,"")</f>
        <v/>
      </c>
      <c r="AY18">
        <f>IF(AND($AF8,$AD8=""),$CN8,"")</f>
        <v/>
      </c>
      <c r="AZ18">
        <f>IF(AND($AF8,$AD8=""),$CO8,"")</f>
        <v/>
      </c>
      <c r="BA18">
        <f>IF(AND($AF8,$AD8=""),$CP8,"")</f>
        <v/>
      </c>
      <c r="BB18">
        <f>IF(AND($AF8,$AD8=""),$CQ8,"")</f>
        <v/>
      </c>
      <c r="BC18">
        <f>IF(AND($AF8,$AD8=""),$CR8,"")</f>
        <v/>
      </c>
      <c r="BD18">
        <f>IF(AND($AF8,$AD8=""),$CS8,"")</f>
        <v/>
      </c>
      <c r="BE18">
        <f>IF(AND($AF8,$AD8=""),$CT8,"")</f>
        <v/>
      </c>
      <c r="BF18">
        <f>IF(AND($AF8,$AD8=""),$CU8,"")</f>
        <v/>
      </c>
      <c r="BG18">
        <f>IF(AND($AF8,$AD8=""),$CV8,"")</f>
        <v/>
      </c>
      <c r="BH18">
        <f>IF(AND($AF8,$AD8=""),$CW8,"")</f>
        <v/>
      </c>
      <c r="BI18">
        <f>IF(AND($AF8,$AD8=""),$CX8,"")</f>
        <v/>
      </c>
      <c r="BJ18">
        <f>IF(AND($AF8,$AD8=""),$CY8,"")</f>
        <v/>
      </c>
      <c r="BK18">
        <f>IF(AND($AF8,$AD8=""),$CZ8,0)</f>
        <v/>
      </c>
      <c r="BL18">
        <f>IF(AND($AF8,$AD8=""),$DA8,"")</f>
        <v/>
      </c>
      <c r="BM18">
        <f>IF(AND($AF8,$AD8=""),$DB8,"")</f>
        <v/>
      </c>
      <c r="BN18">
        <f>IF(AND($AF8,$AD8=""),$DC8,"")</f>
        <v/>
      </c>
      <c r="BO18">
        <f>IF(AND($AF8,$AD8=""),$DD8,0)</f>
        <v/>
      </c>
      <c r="BP18">
        <f>IF(AND($AF8,$AD8=""),$DE8,"")</f>
        <v/>
      </c>
      <c r="BQ18">
        <f>IF(AND($AF8,$AD8=""),$DF8,"")</f>
        <v/>
      </c>
      <c r="BR18">
        <f>IF(AND($AF8,$AD8=""),$DG8,"")</f>
        <v/>
      </c>
      <c r="BS18">
        <f>IF(AND($AF8,$AD8=""),$DH8,0)</f>
        <v/>
      </c>
      <c r="FJ18">
        <f>'DADOS_FORMAS'!$AH18</f>
        <v/>
      </c>
      <c r="FK18">
        <f>'DADOS_FORMAS'!$AM18</f>
        <v/>
      </c>
      <c r="FL18">
        <f>'DADOS_FORMAS'!$AN18</f>
        <v/>
      </c>
      <c r="FM18">
        <f>IF('DADOS_FORMAS'!$AN18=0,0,'DADOS_FORMAS'!$AN18+3*IFERROR(VLOOKUP(SUBSTITUTE(SUBSTITUTE(SUBSTITUTE('DADOS_FORMAS'!$AM18,"~","~~"),"*","~*"),"?","~?"),'DADOS_CRIACAO'!$H$2:$K$20,3,FALSE),0))</f>
        <v/>
      </c>
      <c r="FN18">
        <f>IFERROR(VLOOKUP(SUBSTITUTE(SUBSTITUTE(SUBSTITUTE('DADOS_FORMAS'!$AM18,"~","~~"),"*","~*"),"?","~?"),'DADOS_CRIACAO'!$H$2:$K$20,4,FALSE),0)</f>
        <v/>
      </c>
      <c r="FO18">
        <f>IF('DADOS_FORMAS'!$AS18="",0,1)</f>
        <v/>
      </c>
      <c r="FP18">
        <f>'DADOS_FORMAS'!$AP18</f>
        <v/>
      </c>
      <c r="FQ18">
        <f>IF(AND('DADOS_FORMAS'!$AO18="Acerto",'DADOS_FORMAS'!$AQ18),"Acerto + TR",'DADOS_FORMAS'!$AO18)</f>
        <v/>
      </c>
      <c r="FR18">
        <f>N(OR('DADOS_FORMAS'!$AQ18,'DADOS_FORMAS'!$AO18="TR, metade"))</f>
        <v/>
      </c>
      <c r="FS18">
        <f>'DADOS_FORMAS'!$BO18</f>
        <v/>
      </c>
      <c r="FT18">
        <f>'DADOS_FORMAS'!$BS18</f>
        <v/>
      </c>
      <c r="FU18">
        <f>'DADOS_FORMAS'!$BK18</f>
        <v/>
      </c>
      <c r="FV18">
        <f>N('DADOS_FORMAS'!$AR18)</f>
        <v/>
      </c>
      <c r="FW18">
        <f>IF(IFERROR(VLOOKUP(SUBSTITUTE(SUBSTITUTE(SUBSTITUTE('DADOS_FORMAS'!$AM18,"~","~~"),"*","~*"),"?","~?"),'DADOS_CRIACAO'!$H$2:$K$20,4,FALSE),0)=1,"",'DADOS_FORMAS'!$AH18)</f>
        <v/>
      </c>
      <c r="FX18">
        <f>IF(AND('DADOS_FORMAS'!$AR18,IFERROR(VLOOKUP(SUBSTITUTE(SUBSTITUTE(SUBSTITUTE('DADOS_FORMAS'!$AM18,"~","~~"),"*","~*"),"?","~?"),'DADOS_CRIACAO'!$H$2:$K$20,4,FALSE),0)=0),'DADOS_FORMAS'!$AH18,"")</f>
        <v/>
      </c>
      <c r="FZ18">
        <f>'DADOS_FORMAS'!$AH18</f>
        <v/>
      </c>
      <c r="GA18">
        <f>'DADOS_FORMAS'!$AM18</f>
        <v/>
      </c>
      <c r="GB18">
        <f>'DADOS_FORMAS'!$AN18</f>
        <v/>
      </c>
      <c r="GC18">
        <f>IF('DADOS_FORMAS'!$AS18="",0,1)</f>
        <v/>
      </c>
      <c r="GD18">
        <f>'DADOS_FORMAS'!$AP18</f>
        <v/>
      </c>
      <c r="GE18">
        <f>IF('DADOS_FORMAS'!$AO18="Acerto","Ataque",IF('DADOS_FORMAS'!$AQ18,"TR","—"))</f>
        <v/>
      </c>
      <c r="GF18">
        <f>N(OR('DADOS_FORMAS'!$AQ18,'DADOS_FORMAS'!$AO18="TR, metade"))</f>
        <v/>
      </c>
      <c r="GG18">
        <f>'DADOS_FORMAS'!$BO18</f>
        <v/>
      </c>
      <c r="GH18">
        <f>'DADOS_FORMAS'!$BS18</f>
        <v/>
      </c>
      <c r="GI18">
        <f>'DADOS_FORMAS'!$BK18</f>
        <v/>
      </c>
      <c r="GJ18">
        <f>N('DADOS_FORMAS'!$AR18)</f>
        <v/>
      </c>
      <c r="GR18">
        <f>'DADOS_FORMAS'!$BL14</f>
        <v/>
      </c>
      <c r="GS18">
        <f>IF('DADOS_FORMAS'!$BL14="area",'DADOS_FORMAS'!$AU14,'DADOS_FORMAS'!$AT14)</f>
        <v/>
      </c>
      <c r="GT18">
        <f>IF('DADOS_FORMAS'!$BL14="area",'DADOS_FORMAS'!$BE14,'DADOS_FORMAS'!$AX14)</f>
        <v/>
      </c>
      <c r="GU18">
        <f>'DADOS_FORMAS'!$BM14</f>
        <v/>
      </c>
      <c r="GV18">
        <f>'DADOS_FORMAS'!$BN14</f>
        <v/>
      </c>
      <c r="GW18">
        <f>LET(base,'DADOS_FORMAS'!$GT18,escada,'DADOS_FORMAS'!$GS18,medida,LEFT(base,MAX(0,LEN(base)-2)),valor,IFERROR(VALUE(SUBSTITUTE(medida,",",""))/10^IFERROR(LEN(medida)-FIND(",",medida),0),1E99),IF(OR(escada="Fixo",base="—"),base,IF(escada="alcance",IFERROR(MATCH(base,{"1,5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8" t="inlineStr">
        <is>
          <t>Linha · classes 1 a 5</t>
        </is>
      </c>
      <c r="GZ18" t="inlineStr">
        <is>
          <t>Linha de 18 m por 1,5 m</t>
        </is>
      </c>
      <c r="HA18" t="inlineStr">
        <is>
          <t>Linha de 30 m por 1,5 m</t>
        </is>
      </c>
      <c r="HB18" t="inlineStr">
        <is>
          <t>Linha de 60 m por 1,5 m</t>
        </is>
      </c>
      <c r="HC18" t="inlineStr">
        <is>
          <t>Linha de 60 m por 1,5 m</t>
        </is>
      </c>
      <c r="HD18" t="inlineStr">
        <is>
          <t>Linha de 60 m por 1,5 m</t>
        </is>
      </c>
      <c r="HE18" t="inlineStr">
        <is>
          <t>Linha de 60 m por 1,5 m</t>
        </is>
      </c>
      <c r="HF18" t="inlineStr"/>
      <c r="HG18" t="inlineStr"/>
      <c r="HH18" t="inlineStr"/>
      <c r="HI18" t="inlineStr"/>
      <c r="HJ18" t="inlineStr"/>
      <c r="HK18" t="inlineStr"/>
      <c r="HM18">
        <f>'DADOS_FORMAS'!$BL14</f>
        <v/>
      </c>
      <c r="HN18">
        <f>IF('DADOS_FORMAS'!$BL14="area",'DADOS_FORMAS'!$AU14,'DADOS_FORMAS'!$AT14)</f>
        <v/>
      </c>
      <c r="HO18">
        <f>IF('DADOS_FORMAS'!$BL14="area",'DADOS_FORMAS'!$BF14,'DADOS_FORMAS'!$AY14)</f>
        <v/>
      </c>
      <c r="HP18">
        <f>'DADOS_FORMAS'!$BM14</f>
        <v/>
      </c>
      <c r="HQ18">
        <f>'DADOS_FORMAS'!$BN14</f>
        <v/>
      </c>
      <c r="HR18">
        <f>LET(base,'DADOS_FORMAS'!$HO18,escada,'DADOS_FORMAS'!$HN18,medida,LEFT(base,MAX(0,LEN(base)-2)),valor,IFERROR(VALUE(SUBSTITUTE(medida,",",""))/10^IFERROR(LEN(medida)-FIND(",",medida),0),1E99),IF(OR(escada="Fixo",base="—"),base,IF(escada="alcance",IFERROR(MATCH(base,{"1,5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8" t="inlineStr">
        <is>
          <t>Cone · classe 0</t>
        </is>
      </c>
      <c r="HU18" t="inlineStr">
        <is>
          <t>Cone de 3 m</t>
        </is>
      </c>
      <c r="HV18" t="inlineStr">
        <is>
          <t>Cone de 4,5 m</t>
        </is>
      </c>
      <c r="HW18" t="inlineStr">
        <is>
          <t>Cone de 9 m</t>
        </is>
      </c>
      <c r="HX18" t="inlineStr">
        <is>
          <t>Cone de 18 m</t>
        </is>
      </c>
      <c r="HY18" t="inlineStr">
        <is>
          <t>Cone de 30 m</t>
        </is>
      </c>
      <c r="HZ18" t="inlineStr">
        <is>
          <t>Cone de 60 m</t>
        </is>
      </c>
      <c r="IA18" t="inlineStr"/>
      <c r="IB18" t="inlineStr"/>
      <c r="IC18" t="inlineStr"/>
      <c r="ID18" t="inlineStr"/>
      <c r="IE18" t="inlineStr"/>
      <c r="IF18" t="inlineStr"/>
      <c r="IH18">
        <f>IF(OR('DADOS_FORMAS'!$AM18='INVOCAÇÕES'!$O$48,'DADOS_FORMAS'!$AM18='INVOCAÇÕES'!$P$48,'DADOS_FORMAS'!$AM18='INVOCAÇÕES'!$Q$48,'DADOS_FORMAS'!$AM18='INVOCAÇÕES'!$R$48,'DADOS_FORMAS'!$AM18='INVOCAÇÕES'!$S$48,'DADOS_FORMAS'!$AM18='INVOCAÇÕES'!$O$50,'DADOS_FORMAS'!$AM18='INVOCAÇÕES'!$P$50,'DADOS_FORMAS'!$AM18='INVOCAÇÕES'!$Q$50,'DADOS_FORMAS'!$AM18='INVOCAÇÕES'!$R$50,'DADOS_FORMAS'!$AM18=""),'DADOS_FORMAS'!$AH18,"")</f>
        <v/>
      </c>
      <c r="II18">
        <f>IF(AND(OR('DADOS_FORMAS'!$AM18='INVOCAÇÕES'!$O$48,'DADOS_FORMAS'!$AM18='INVOCAÇÕES'!$P$48,'DADOS_FORMAS'!$AM18='INVOCAÇÕES'!$Q$48,'DADOS_FORMAS'!$AM18='INVOCAÇÕES'!$R$48,'DADOS_FORMAS'!$AM18='INVOCAÇÕES'!$S$48,'DADOS_FORMAS'!$AM18='INVOCAÇÕES'!$O$50,'DADOS_FORMAS'!$AM18='INVOCAÇÕES'!$P$50,'DADOS_FORMAS'!$AM18='INVOCAÇÕES'!$Q$50,'DADOS_FORMAS'!$AM18='INVOCAÇÕES'!$R$50,'DADOS_FORMAS'!$AM18=""),'DADOS_FORMAS'!$AR18),'DADOS_FORMAS'!$AH18,"")</f>
        <v/>
      </c>
      <c r="IK18">
        <f>IF(OR('DADOS_FORMAS'!$AM18='INVOCAÇÕES'!$O$259,'DADOS_FORMAS'!$AM18='INVOCAÇÕES'!$P$259,'DADOS_FORMAS'!$AM18='INVOCAÇÕES'!$Q$259,'DADOS_FORMAS'!$AM18='INVOCAÇÕES'!$R$259,'DADOS_FORMAS'!$AM18='INVOCAÇÕES'!$S$259,'DADOS_FORMAS'!$AM18='INVOCAÇÕES'!$O$261,'DADOS_FORMAS'!$AM18='INVOCAÇÕES'!$P$261,'DADOS_FORMAS'!$AM18='INVOCAÇÕES'!$Q$261,'DADOS_FORMAS'!$AM18='INVOCAÇÕES'!$R$261,'DADOS_FORMAS'!$AM18=""),'DADOS_FORMAS'!$AH18,"")</f>
        <v/>
      </c>
      <c r="IL18">
        <f>IF(AND(OR('DADOS_FORMAS'!$AM18='INVOCAÇÕES'!$O$259,'DADOS_FORMAS'!$AM18='INVOCAÇÕES'!$P$259,'DADOS_FORMAS'!$AM18='INVOCAÇÕES'!$Q$259,'DADOS_FORMAS'!$AM18='INVOCAÇÕES'!$R$259,'DADOS_FORMAS'!$AM18='INVOCAÇÕES'!$S$259,'DADOS_FORMAS'!$AM18='INVOCAÇÕES'!$O$261,'DADOS_FORMAS'!$AM18='INVOCAÇÕES'!$P$261,'DADOS_FORMAS'!$AM18='INVOCAÇÕES'!$Q$261,'DADOS_FORMAS'!$AM18='INVOCAÇÕES'!$R$261,'DADOS_FORMAS'!$AM18=""),'DADOS_FORMAS'!$AR18),'DADOS_FORMAS'!$AH18,"")</f>
        <v/>
      </c>
      <c r="IN18">
        <f>IF(OR('DADOS_FORMAS'!$AM18='INVOCAÇÕES'!$O$470,'DADOS_FORMAS'!$AM18='INVOCAÇÕES'!$P$470,'DADOS_FORMAS'!$AM18='INVOCAÇÕES'!$Q$470,'DADOS_FORMAS'!$AM18='INVOCAÇÕES'!$R$470,'DADOS_FORMAS'!$AM18='INVOCAÇÕES'!$S$470,'DADOS_FORMAS'!$AM18='INVOCAÇÕES'!$O$472,'DADOS_FORMAS'!$AM18='INVOCAÇÕES'!$P$472,'DADOS_FORMAS'!$AM18='INVOCAÇÕES'!$Q$472,'DADOS_FORMAS'!$AM18='INVOCAÇÕES'!$R$472,'DADOS_FORMAS'!$AM18=""),'DADOS_FORMAS'!$AH18,"")</f>
        <v/>
      </c>
      <c r="IO18">
        <f>IF(AND(OR('DADOS_FORMAS'!$AM18='INVOCAÇÕES'!$O$470,'DADOS_FORMAS'!$AM18='INVOCAÇÕES'!$P$470,'DADOS_FORMAS'!$AM18='INVOCAÇÕES'!$Q$470,'DADOS_FORMAS'!$AM18='INVOCAÇÕES'!$R$470,'DADOS_FORMAS'!$AM18='INVOCAÇÕES'!$S$470,'DADOS_FORMAS'!$AM18='INVOCAÇÕES'!$O$472,'DADOS_FORMAS'!$AM18='INVOCAÇÕES'!$P$472,'DADOS_FORMAS'!$AM18='INVOCAÇÕES'!$Q$472,'DADOS_FORMAS'!$AM18='INVOCAÇÕES'!$R$472,'DADOS_FORMAS'!$AM18=""),'DADOS_FORMAS'!$AR18),'DADOS_FORMAS'!$AH18,"")</f>
        <v/>
      </c>
      <c r="IQ18">
        <f>IF(OR('DADOS_FORMAS'!$AM18='INVOCAÇÕES'!$O$681,'DADOS_FORMAS'!$AM18='INVOCAÇÕES'!$P$681,'DADOS_FORMAS'!$AM18='INVOCAÇÕES'!$Q$681,'DADOS_FORMAS'!$AM18='INVOCAÇÕES'!$R$681,'DADOS_FORMAS'!$AM18='INVOCAÇÕES'!$S$681,'DADOS_FORMAS'!$AM18='INVOCAÇÕES'!$O$683,'DADOS_FORMAS'!$AM18='INVOCAÇÕES'!$P$683,'DADOS_FORMAS'!$AM18='INVOCAÇÕES'!$Q$683,'DADOS_FORMAS'!$AM18='INVOCAÇÕES'!$R$683,'DADOS_FORMAS'!$AM18=""),'DADOS_FORMAS'!$AH18,"")</f>
        <v/>
      </c>
      <c r="IR18">
        <f>IF(AND(OR('DADOS_FORMAS'!$AM18='INVOCAÇÕES'!$O$681,'DADOS_FORMAS'!$AM18='INVOCAÇÕES'!$P$681,'DADOS_FORMAS'!$AM18='INVOCAÇÕES'!$Q$681,'DADOS_FORMAS'!$AM18='INVOCAÇÕES'!$R$681,'DADOS_FORMAS'!$AM18='INVOCAÇÕES'!$S$681,'DADOS_FORMAS'!$AM18='INVOCAÇÕES'!$O$683,'DADOS_FORMAS'!$AM18='INVOCAÇÕES'!$P$683,'DADOS_FORMAS'!$AM18='INVOCAÇÕES'!$Q$683,'DADOS_FORMAS'!$AM18='INVOCAÇÕES'!$R$683,'DADOS_FORMAS'!$AM18=""),'DADOS_FORMAS'!$AR18),'DADOS_FORMAS'!$AH18,"")</f>
        <v/>
      </c>
      <c r="IT18">
        <f>IF(OR('DADOS_FORMAS'!$AM18='INVOCAÇÕES'!$O$892,'DADOS_FORMAS'!$AM18='INVOCAÇÕES'!$P$892,'DADOS_FORMAS'!$AM18='INVOCAÇÕES'!$Q$892,'DADOS_FORMAS'!$AM18='INVOCAÇÕES'!$R$892,'DADOS_FORMAS'!$AM18='INVOCAÇÕES'!$S$892,'DADOS_FORMAS'!$AM18='INVOCAÇÕES'!$O$894,'DADOS_FORMAS'!$AM18='INVOCAÇÕES'!$P$894,'DADOS_FORMAS'!$AM18='INVOCAÇÕES'!$Q$894,'DADOS_FORMAS'!$AM18='INVOCAÇÕES'!$R$894,'DADOS_FORMAS'!$AM18=""),'DADOS_FORMAS'!$AH18,"")</f>
        <v/>
      </c>
      <c r="IU18">
        <f>IF(AND(OR('DADOS_FORMAS'!$AM18='INVOCAÇÕES'!$O$892,'DADOS_FORMAS'!$AM18='INVOCAÇÕES'!$P$892,'DADOS_FORMAS'!$AM18='INVOCAÇÕES'!$Q$892,'DADOS_FORMAS'!$AM18='INVOCAÇÕES'!$R$892,'DADOS_FORMAS'!$AM18='INVOCAÇÕES'!$S$892,'DADOS_FORMAS'!$AM18='INVOCAÇÕES'!$O$894,'DADOS_FORMAS'!$AM18='INVOCAÇÕES'!$P$894,'DADOS_FORMAS'!$AM18='INVOCAÇÕES'!$Q$894,'DADOS_FORMAS'!$AM18='INVOCAÇÕES'!$R$894,'DADOS_FORMAS'!$AM18=""),'DADOS_FORMAS'!$AR18),'DADOS_FORMAS'!$AH18,"")</f>
        <v/>
      </c>
      <c r="IW18">
        <f>IF(OR('DADOS_FORMAS'!$AM18='INVOCAÇÕES'!$O$1103,'DADOS_FORMAS'!$AM18='INVOCAÇÕES'!$P$1103,'DADOS_FORMAS'!$AM18='INVOCAÇÕES'!$Q$1103,'DADOS_FORMAS'!$AM18='INVOCAÇÕES'!$R$1103,'DADOS_FORMAS'!$AM18='INVOCAÇÕES'!$S$1103,'DADOS_FORMAS'!$AM18='INVOCAÇÕES'!$O$1105,'DADOS_FORMAS'!$AM18='INVOCAÇÕES'!$P$1105,'DADOS_FORMAS'!$AM18='INVOCAÇÕES'!$Q$1105,'DADOS_FORMAS'!$AM18='INVOCAÇÕES'!$R$1105,'DADOS_FORMAS'!$AM18=""),'DADOS_FORMAS'!$AH18,"")</f>
        <v/>
      </c>
      <c r="IX18">
        <f>IF(AND(OR('DADOS_FORMAS'!$AM18='INVOCAÇÕES'!$O$1103,'DADOS_FORMAS'!$AM18='INVOCAÇÕES'!$P$1103,'DADOS_FORMAS'!$AM18='INVOCAÇÕES'!$Q$1103,'DADOS_FORMAS'!$AM18='INVOCAÇÕES'!$R$1103,'DADOS_FORMAS'!$AM18='INVOCAÇÕES'!$S$1103,'DADOS_FORMAS'!$AM18='INVOCAÇÕES'!$O$1105,'DADOS_FORMAS'!$AM18='INVOCAÇÕES'!$P$1105,'DADOS_FORMAS'!$AM18='INVOCAÇÕES'!$Q$1105,'DADOS_FORMAS'!$AM18='INVOCAÇÕES'!$R$1105,'DADOS_FORMAS'!$AM18=""),'DADOS_FORMAS'!$AR18),'DADOS_FORMAS'!$AH18,"")</f>
        <v/>
      </c>
      <c r="IZ18">
        <f>IF(OR('DADOS_FORMAS'!$AM18='INVOCAÇÕES'!$AH$48,'DADOS_FORMAS'!$AM18='INVOCAÇÕES'!$AI$48,'DADOS_FORMAS'!$AM18='INVOCAÇÕES'!$AJ$48,'DADOS_FORMAS'!$AM18='INVOCAÇÕES'!$AK$48,'DADOS_FORMAS'!$AM18='INVOCAÇÕES'!$AL$48,'DADOS_FORMAS'!$AM18='INVOCAÇÕES'!$AH$50,'DADOS_FORMAS'!$AM18='INVOCAÇÕES'!$AI$50,'DADOS_FORMAS'!$AM18='INVOCAÇÕES'!$AJ$50,'DADOS_FORMAS'!$AM18='INVOCAÇÕES'!$AK$50,'DADOS_FORMAS'!$AM18=""),'DADOS_FORMAS'!$AH18,"")</f>
        <v/>
      </c>
      <c r="JA18">
        <f>IF(AND(OR('DADOS_FORMAS'!$AM18='INVOCAÇÕES'!$AH$48,'DADOS_FORMAS'!$AM18='INVOCAÇÕES'!$AI$48,'DADOS_FORMAS'!$AM18='INVOCAÇÕES'!$AJ$48,'DADOS_FORMAS'!$AM18='INVOCAÇÕES'!$AK$48,'DADOS_FORMAS'!$AM18='INVOCAÇÕES'!$AL$48,'DADOS_FORMAS'!$AM18='INVOCAÇÕES'!$AH$50,'DADOS_FORMAS'!$AM18='INVOCAÇÕES'!$AI$50,'DADOS_FORMAS'!$AM18='INVOCAÇÕES'!$AJ$50,'DADOS_FORMAS'!$AM18='INVOCAÇÕES'!$AK$50,'DADOS_FORMAS'!$AM18=""),'DADOS_FORMAS'!$AR18),'DADOS_FORMAS'!$AH18,"")</f>
        <v/>
      </c>
      <c r="JC18">
        <f>IF(OR('DADOS_FORMAS'!$AM18='INVOCAÇÕES'!$AH$259,'DADOS_FORMAS'!$AM18='INVOCAÇÕES'!$AI$259,'DADOS_FORMAS'!$AM18='INVOCAÇÕES'!$AJ$259,'DADOS_FORMAS'!$AM18='INVOCAÇÕES'!$AK$259,'DADOS_FORMAS'!$AM18='INVOCAÇÕES'!$AL$259,'DADOS_FORMAS'!$AM18='INVOCAÇÕES'!$AH$261,'DADOS_FORMAS'!$AM18='INVOCAÇÕES'!$AI$261,'DADOS_FORMAS'!$AM18='INVOCAÇÕES'!$AJ$261,'DADOS_FORMAS'!$AM18='INVOCAÇÕES'!$AK$261,'DADOS_FORMAS'!$AM18=""),'DADOS_FORMAS'!$AH18,"")</f>
        <v/>
      </c>
      <c r="JD18">
        <f>IF(AND(OR('DADOS_FORMAS'!$AM18='INVOCAÇÕES'!$AH$259,'DADOS_FORMAS'!$AM18='INVOCAÇÕES'!$AI$259,'DADOS_FORMAS'!$AM18='INVOCAÇÕES'!$AJ$259,'DADOS_FORMAS'!$AM18='INVOCAÇÕES'!$AK$259,'DADOS_FORMAS'!$AM18='INVOCAÇÕES'!$AL$259,'DADOS_FORMAS'!$AM18='INVOCAÇÕES'!$AH$261,'DADOS_FORMAS'!$AM18='INVOCAÇÕES'!$AI$261,'DADOS_FORMAS'!$AM18='INVOCAÇÕES'!$AJ$261,'DADOS_FORMAS'!$AM18='INVOCAÇÕES'!$AK$261,'DADOS_FORMAS'!$AM18=""),'DADOS_FORMAS'!$AR18),'DADOS_FORMAS'!$AH18,"")</f>
        <v/>
      </c>
      <c r="JF18">
        <f>IF(OR('DADOS_FORMAS'!$AM18='INVOCAÇÕES'!$AH$470,'DADOS_FORMAS'!$AM18='INVOCAÇÕES'!$AI$470,'DADOS_FORMAS'!$AM18='INVOCAÇÕES'!$AJ$470,'DADOS_FORMAS'!$AM18='INVOCAÇÕES'!$AK$470,'DADOS_FORMAS'!$AM18='INVOCAÇÕES'!$AL$470,'DADOS_FORMAS'!$AM18='INVOCAÇÕES'!$AH$472,'DADOS_FORMAS'!$AM18='INVOCAÇÕES'!$AI$472,'DADOS_FORMAS'!$AM18='INVOCAÇÕES'!$AJ$472,'DADOS_FORMAS'!$AM18='INVOCAÇÕES'!$AK$472,'DADOS_FORMAS'!$AM18=""),'DADOS_FORMAS'!$AH18,"")</f>
        <v/>
      </c>
      <c r="JG18">
        <f>IF(AND(OR('DADOS_FORMAS'!$AM18='INVOCAÇÕES'!$AH$470,'DADOS_FORMAS'!$AM18='INVOCAÇÕES'!$AI$470,'DADOS_FORMAS'!$AM18='INVOCAÇÕES'!$AJ$470,'DADOS_FORMAS'!$AM18='INVOCAÇÕES'!$AK$470,'DADOS_FORMAS'!$AM18='INVOCAÇÕES'!$AL$470,'DADOS_FORMAS'!$AM18='INVOCAÇÕES'!$AH$472,'DADOS_FORMAS'!$AM18='INVOCAÇÕES'!$AI$472,'DADOS_FORMAS'!$AM18='INVOCAÇÕES'!$AJ$472,'DADOS_FORMAS'!$AM18='INVOCAÇÕES'!$AK$472,'DADOS_FORMAS'!$AM18=""),'DADOS_FORMAS'!$AR18),'DADOS_FORMAS'!$AH18,"")</f>
        <v/>
      </c>
      <c r="JI18">
        <f>IF(OR('DADOS_FORMAS'!$AM18='INVOCAÇÕES'!$AH$681,'DADOS_FORMAS'!$AM18='INVOCAÇÕES'!$AI$681,'DADOS_FORMAS'!$AM18='INVOCAÇÕES'!$AJ$681,'DADOS_FORMAS'!$AM18='INVOCAÇÕES'!$AK$681,'DADOS_FORMAS'!$AM18='INVOCAÇÕES'!$AL$681,'DADOS_FORMAS'!$AM18='INVOCAÇÕES'!$AH$683,'DADOS_FORMAS'!$AM18='INVOCAÇÕES'!$AI$683,'DADOS_FORMAS'!$AM18='INVOCAÇÕES'!$AJ$683,'DADOS_FORMAS'!$AM18='INVOCAÇÕES'!$AK$683,'DADOS_FORMAS'!$AM18=""),'DADOS_FORMAS'!$AH18,"")</f>
        <v/>
      </c>
      <c r="JJ18">
        <f>IF(AND(OR('DADOS_FORMAS'!$AM18='INVOCAÇÕES'!$AH$681,'DADOS_FORMAS'!$AM18='INVOCAÇÕES'!$AI$681,'DADOS_FORMAS'!$AM18='INVOCAÇÕES'!$AJ$681,'DADOS_FORMAS'!$AM18='INVOCAÇÕES'!$AK$681,'DADOS_FORMAS'!$AM18='INVOCAÇÕES'!$AL$681,'DADOS_FORMAS'!$AM18='INVOCAÇÕES'!$AH$683,'DADOS_FORMAS'!$AM18='INVOCAÇÕES'!$AI$683,'DADOS_FORMAS'!$AM18='INVOCAÇÕES'!$AJ$683,'DADOS_FORMAS'!$AM18='INVOCAÇÕES'!$AK$683,'DADOS_FORMAS'!$AM18=""),'DADOS_FORMAS'!$AR18),'DADOS_FORMAS'!$AH18,"")</f>
        <v/>
      </c>
      <c r="JL18">
        <f>IF(OR('DADOS_FORMAS'!$AM18='INVOCAÇÕES'!$AH$892,'DADOS_FORMAS'!$AM18='INVOCAÇÕES'!$AI$892,'DADOS_FORMAS'!$AM18='INVOCAÇÕES'!$AJ$892,'DADOS_FORMAS'!$AM18='INVOCAÇÕES'!$AK$892,'DADOS_FORMAS'!$AM18='INVOCAÇÕES'!$AL$892,'DADOS_FORMAS'!$AM18='INVOCAÇÕES'!$AH$894,'DADOS_FORMAS'!$AM18='INVOCAÇÕES'!$AI$894,'DADOS_FORMAS'!$AM18='INVOCAÇÕES'!$AJ$894,'DADOS_FORMAS'!$AM18='INVOCAÇÕES'!$AK$894,'DADOS_FORMAS'!$AM18=""),'DADOS_FORMAS'!$AH18,"")</f>
        <v/>
      </c>
      <c r="JM18">
        <f>IF(AND(OR('DADOS_FORMAS'!$AM18='INVOCAÇÕES'!$AH$892,'DADOS_FORMAS'!$AM18='INVOCAÇÕES'!$AI$892,'DADOS_FORMAS'!$AM18='INVOCAÇÕES'!$AJ$892,'DADOS_FORMAS'!$AM18='INVOCAÇÕES'!$AK$892,'DADOS_FORMAS'!$AM18='INVOCAÇÕES'!$AL$892,'DADOS_FORMAS'!$AM18='INVOCAÇÕES'!$AH$894,'DADOS_FORMAS'!$AM18='INVOCAÇÕES'!$AI$894,'DADOS_FORMAS'!$AM18='INVOCAÇÕES'!$AJ$894,'DADOS_FORMAS'!$AM18='INVOCAÇÕES'!$AK$894,'DADOS_FORMAS'!$AM18=""),'DADOS_FORMAS'!$AR18),'DADOS_FORMAS'!$AH18,"")</f>
        <v/>
      </c>
      <c r="JO18">
        <f>IF(OR('DADOS_FORMAS'!$AM18='INVOCAÇÕES'!$AH$1103,'DADOS_FORMAS'!$AM18='INVOCAÇÕES'!$AI$1103,'DADOS_FORMAS'!$AM18='INVOCAÇÕES'!$AJ$1103,'DADOS_FORMAS'!$AM18='INVOCAÇÕES'!$AK$1103,'DADOS_FORMAS'!$AM18='INVOCAÇÕES'!$AL$1103,'DADOS_FORMAS'!$AM18='INVOCAÇÕES'!$AH$1105,'DADOS_FORMAS'!$AM18='INVOCAÇÕES'!$AI$1105,'DADOS_FORMAS'!$AM18='INVOCAÇÕES'!$AJ$1105,'DADOS_FORMAS'!$AM18='INVOCAÇÕES'!$AK$1105,'DADOS_FORMAS'!$AM18=""),'DADOS_FORMAS'!$AH18,"")</f>
        <v/>
      </c>
      <c r="JP18">
        <f>IF(AND(OR('DADOS_FORMAS'!$AM18='INVOCAÇÕES'!$AH$1103,'DADOS_FORMAS'!$AM18='INVOCAÇÕES'!$AI$1103,'DADOS_FORMAS'!$AM18='INVOCAÇÕES'!$AJ$1103,'DADOS_FORMAS'!$AM18='INVOCAÇÕES'!$AK$1103,'DADOS_FORMAS'!$AM18='INVOCAÇÕES'!$AL$1103,'DADOS_FORMAS'!$AM18='INVOCAÇÕES'!$AH$1105,'DADOS_FORMAS'!$AM18='INVOCAÇÕES'!$AI$1105,'DADOS_FORMAS'!$AM18='INVOCAÇÕES'!$AJ$1105,'DADOS_FORMAS'!$AM18='INVOCAÇÕES'!$AK$1105,'DADOS_FORMAS'!$AM18=""),'DADOS_FORMAS'!$AR18),'DADOS_FORMAS'!$AH18,"")</f>
        <v/>
      </c>
      <c r="JZ18">
        <f>IFERROR(INDEX('DADOS_CRIACAO'!$H$2:$H$20,16),"")</f>
        <v/>
      </c>
      <c r="KA18">
        <f>IFERROR(INDEX(INDEX('DADOS_RESTRICOES'!$M$2:$Q$54,0,1),16),"")</f>
        <v/>
      </c>
    </row>
    <row r="19">
      <c r="AG19">
        <f>IF(AND($AF9,$AD9=""),$BV9,"")</f>
        <v/>
      </c>
      <c r="AH19">
        <f>IF(AND($AF9,$AD9=""),$BW9,"")</f>
        <v/>
      </c>
      <c r="AI19">
        <f>IF(AND($AF9,$AD9=""),$BX9,"")</f>
        <v/>
      </c>
      <c r="AJ19">
        <f>IF(AND($AF9,$AD9=""),$BY9,FALSE)</f>
        <v/>
      </c>
      <c r="AK19">
        <f>IF(AND($AF9,$AD9=""),$BZ9,"")</f>
        <v/>
      </c>
      <c r="AL19">
        <f>IF(AND($AF9,$AD9=""),$CA9,"")</f>
        <v/>
      </c>
      <c r="AM19">
        <f>IF(AND($AF9,$AD9=""),$CB9,"")</f>
        <v/>
      </c>
      <c r="AN19">
        <f>IF(AND($AF9,$AD9=""),$CC9,0)</f>
        <v/>
      </c>
      <c r="AO19">
        <f>IF(AND($AF9,$AD9=""),$CD9,"")</f>
        <v/>
      </c>
      <c r="AP19">
        <f>IF(AND($AF9,$AD9=""),$CE9,0)</f>
        <v/>
      </c>
      <c r="AQ19">
        <f>IF(AND($AF9,$AD9=""),$CF9,FALSE)</f>
        <v/>
      </c>
      <c r="AR19">
        <f>IF(AND($AF9,$AD9=""),$CG9,FALSE)</f>
        <v/>
      </c>
      <c r="AS19">
        <f>IF(AND($AF9,$AD9=""),$CH9,"")</f>
        <v/>
      </c>
      <c r="AT19">
        <f>IF(AND($AF9,$AD9=""),$CI9,"")</f>
        <v/>
      </c>
      <c r="AU19">
        <f>IF(AND($AF9,$AD9=""),$CJ9,"")</f>
        <v/>
      </c>
      <c r="AV19">
        <f>IF(AND($AF9,$AD9=""),$CK9,"")</f>
        <v/>
      </c>
      <c r="AW19">
        <f>IF(AND($AF9,$AD9=""),$CL9,"")</f>
        <v/>
      </c>
      <c r="AX19">
        <f>IF(AND($AF9,$AD9=""),$CM9,"")</f>
        <v/>
      </c>
      <c r="AY19">
        <f>IF(AND($AF9,$AD9=""),$CN9,"")</f>
        <v/>
      </c>
      <c r="AZ19">
        <f>IF(AND($AF9,$AD9=""),$CO9,"")</f>
        <v/>
      </c>
      <c r="BA19">
        <f>IF(AND($AF9,$AD9=""),$CP9,"")</f>
        <v/>
      </c>
      <c r="BB19">
        <f>IF(AND($AF9,$AD9=""),$CQ9,"")</f>
        <v/>
      </c>
      <c r="BC19">
        <f>IF(AND($AF9,$AD9=""),$CR9,"")</f>
        <v/>
      </c>
      <c r="BD19">
        <f>IF(AND($AF9,$AD9=""),$CS9,"")</f>
        <v/>
      </c>
      <c r="BE19">
        <f>IF(AND($AF9,$AD9=""),$CT9,"")</f>
        <v/>
      </c>
      <c r="BF19">
        <f>IF(AND($AF9,$AD9=""),$CU9,"")</f>
        <v/>
      </c>
      <c r="BG19">
        <f>IF(AND($AF9,$AD9=""),$CV9,"")</f>
        <v/>
      </c>
      <c r="BH19">
        <f>IF(AND($AF9,$AD9=""),$CW9,"")</f>
        <v/>
      </c>
      <c r="BI19">
        <f>IF(AND($AF9,$AD9=""),$CX9,"")</f>
        <v/>
      </c>
      <c r="BJ19">
        <f>IF(AND($AF9,$AD9=""),$CY9,"")</f>
        <v/>
      </c>
      <c r="BK19">
        <f>IF(AND($AF9,$AD9=""),$CZ9,0)</f>
        <v/>
      </c>
      <c r="BL19">
        <f>IF(AND($AF9,$AD9=""),$DA9,"")</f>
        <v/>
      </c>
      <c r="BM19">
        <f>IF(AND($AF9,$AD9=""),$DB9,"")</f>
        <v/>
      </c>
      <c r="BN19">
        <f>IF(AND($AF9,$AD9=""),$DC9,"")</f>
        <v/>
      </c>
      <c r="BO19">
        <f>IF(AND($AF9,$AD9=""),$DD9,0)</f>
        <v/>
      </c>
      <c r="BP19">
        <f>IF(AND($AF9,$AD9=""),$DE9,"")</f>
        <v/>
      </c>
      <c r="BQ19">
        <f>IF(AND($AF9,$AD9=""),$DF9,"")</f>
        <v/>
      </c>
      <c r="BR19">
        <f>IF(AND($AF9,$AD9=""),$DG9,"")</f>
        <v/>
      </c>
      <c r="BS19">
        <f>IF(AND($AF9,$AD9=""),$DH9,0)</f>
        <v/>
      </c>
      <c r="FJ19">
        <f>'DADOS_FORMAS'!$AH19</f>
        <v/>
      </c>
      <c r="FK19">
        <f>'DADOS_FORMAS'!$AM19</f>
        <v/>
      </c>
      <c r="FL19">
        <f>'DADOS_FORMAS'!$AN19</f>
        <v/>
      </c>
      <c r="FM19">
        <f>IF('DADOS_FORMAS'!$AN19=0,0,'DADOS_FORMAS'!$AN19+3*IFERROR(VLOOKUP(SUBSTITUTE(SUBSTITUTE(SUBSTITUTE('DADOS_FORMAS'!$AM19,"~","~~"),"*","~*"),"?","~?"),'DADOS_CRIACAO'!$H$2:$K$20,3,FALSE),0))</f>
        <v/>
      </c>
      <c r="FN19">
        <f>IFERROR(VLOOKUP(SUBSTITUTE(SUBSTITUTE(SUBSTITUTE('DADOS_FORMAS'!$AM19,"~","~~"),"*","~*"),"?","~?"),'DADOS_CRIACAO'!$H$2:$K$20,4,FALSE),0)</f>
        <v/>
      </c>
      <c r="FO19">
        <f>IF('DADOS_FORMAS'!$AS19="",0,1)</f>
        <v/>
      </c>
      <c r="FP19">
        <f>'DADOS_FORMAS'!$AP19</f>
        <v/>
      </c>
      <c r="FQ19">
        <f>IF(AND('DADOS_FORMAS'!$AO19="Acerto",'DADOS_FORMAS'!$AQ19),"Acerto + TR",'DADOS_FORMAS'!$AO19)</f>
        <v/>
      </c>
      <c r="FR19">
        <f>N(OR('DADOS_FORMAS'!$AQ19,'DADOS_FORMAS'!$AO19="TR, metade"))</f>
        <v/>
      </c>
      <c r="FS19">
        <f>'DADOS_FORMAS'!$BO19</f>
        <v/>
      </c>
      <c r="FT19">
        <f>'DADOS_FORMAS'!$BS19</f>
        <v/>
      </c>
      <c r="FU19">
        <f>'DADOS_FORMAS'!$BK19</f>
        <v/>
      </c>
      <c r="FV19">
        <f>N('DADOS_FORMAS'!$AR19)</f>
        <v/>
      </c>
      <c r="FW19">
        <f>IF(IFERROR(VLOOKUP(SUBSTITUTE(SUBSTITUTE(SUBSTITUTE('DADOS_FORMAS'!$AM19,"~","~~"),"*","~*"),"?","~?"),'DADOS_CRIACAO'!$H$2:$K$20,4,FALSE),0)=1,"",'DADOS_FORMAS'!$AH19)</f>
        <v/>
      </c>
      <c r="FX19">
        <f>IF(AND('DADOS_FORMAS'!$AR19,IFERROR(VLOOKUP(SUBSTITUTE(SUBSTITUTE(SUBSTITUTE('DADOS_FORMAS'!$AM19,"~","~~"),"*","~*"),"?","~?"),'DADOS_CRIACAO'!$H$2:$K$20,4,FALSE),0)=0),'DADOS_FORMAS'!$AH19,"")</f>
        <v/>
      </c>
      <c r="FZ19">
        <f>'DADOS_FORMAS'!$AH19</f>
        <v/>
      </c>
      <c r="GA19">
        <f>'DADOS_FORMAS'!$AM19</f>
        <v/>
      </c>
      <c r="GB19">
        <f>'DADOS_FORMAS'!$AN19</f>
        <v/>
      </c>
      <c r="GC19">
        <f>IF('DADOS_FORMAS'!$AS19="",0,1)</f>
        <v/>
      </c>
      <c r="GD19">
        <f>'DADOS_FORMAS'!$AP19</f>
        <v/>
      </c>
      <c r="GE19">
        <f>IF('DADOS_FORMAS'!$AO19="Acerto","Ataque",IF('DADOS_FORMAS'!$AQ19,"TR","—"))</f>
        <v/>
      </c>
      <c r="GF19">
        <f>N(OR('DADOS_FORMAS'!$AQ19,'DADOS_FORMAS'!$AO19="TR, metade"))</f>
        <v/>
      </c>
      <c r="GG19">
        <f>'DADOS_FORMAS'!$BO19</f>
        <v/>
      </c>
      <c r="GH19">
        <f>'DADOS_FORMAS'!$BS19</f>
        <v/>
      </c>
      <c r="GI19">
        <f>'DADOS_FORMAS'!$BK19</f>
        <v/>
      </c>
      <c r="GJ19">
        <f>N('DADOS_FORMAS'!$AR19)</f>
        <v/>
      </c>
      <c r="GR19">
        <f>'DADOS_FORMAS'!$BP14</f>
        <v/>
      </c>
      <c r="GS19">
        <f>IF('DADOS_FORMAS'!$BP14="area",'DADOS_FORMAS'!$AU14,'DADOS_FORMAS'!$AT14)</f>
        <v/>
      </c>
      <c r="GT19">
        <f>IF('DADOS_FORMAS'!$BP14="area",'DADOS_FORMAS'!$BE14,'DADOS_FORMAS'!$AX14)</f>
        <v/>
      </c>
      <c r="GU19">
        <f>'DADOS_FORMAS'!$BQ14</f>
        <v/>
      </c>
      <c r="GV19">
        <f>'DADOS_FORMAS'!$BR14</f>
        <v/>
      </c>
      <c r="GW19">
        <f>LET(base,'DADOS_FORMAS'!$GT19,escada,'DADOS_FORMAS'!$GS19,medida,LEFT(base,MAX(0,LEN(base)-2)),valor,IFERROR(VALUE(SUBSTITUTE(medida,",",""))/10^IFERROR(LEN(medida)-FIND(",",medida),0),1E99),IF(OR(escada="Fixo",base="—"),base,IF(escada="alcance",IFERROR(MATCH(base,{"1,5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19" t="inlineStr">
        <is>
          <t>Linha · classes 6 e 7</t>
        </is>
      </c>
      <c r="GZ19" t="inlineStr">
        <is>
          <t>Linha de 30 m por 1,5 m</t>
        </is>
      </c>
      <c r="HA19" t="inlineStr">
        <is>
          <t>Linha de 60 m por 1,5 m</t>
        </is>
      </c>
      <c r="HB19" t="inlineStr">
        <is>
          <t>Linha de 60 m por 1,5 m</t>
        </is>
      </c>
      <c r="HC19" t="inlineStr">
        <is>
          <t>Linha de 60 m por 1,5 m</t>
        </is>
      </c>
      <c r="HD19" t="inlineStr">
        <is>
          <t>Linha de 60 m por 1,5 m</t>
        </is>
      </c>
      <c r="HE19" t="inlineStr">
        <is>
          <t>Linha de 60 m por 1,5 m</t>
        </is>
      </c>
      <c r="HF19" t="inlineStr"/>
      <c r="HG19" t="inlineStr"/>
      <c r="HH19" t="inlineStr"/>
      <c r="HI19" t="inlineStr"/>
      <c r="HJ19" t="inlineStr"/>
      <c r="HK19" t="inlineStr"/>
      <c r="HM19">
        <f>'DADOS_FORMAS'!$BP14</f>
        <v/>
      </c>
      <c r="HN19">
        <f>IF('DADOS_FORMAS'!$BP14="area",'DADOS_FORMAS'!$AU14,'DADOS_FORMAS'!$AT14)</f>
        <v/>
      </c>
      <c r="HO19">
        <f>IF('DADOS_FORMAS'!$BP14="area",'DADOS_FORMAS'!$BF14,'DADOS_FORMAS'!$AY14)</f>
        <v/>
      </c>
      <c r="HP19">
        <f>'DADOS_FORMAS'!$BQ14</f>
        <v/>
      </c>
      <c r="HQ19">
        <f>'DADOS_FORMAS'!$BR14</f>
        <v/>
      </c>
      <c r="HR19">
        <f>LET(base,'DADOS_FORMAS'!$HO19,escada,'DADOS_FORMAS'!$HN19,medida,LEFT(base,MAX(0,LEN(base)-2)),valor,IFERROR(VALUE(SUBSTITUTE(medida,",",""))/10^IFERROR(LEN(medida)-FIND(",",medida),0),1E99),IF(OR(escada="Fixo",base="—"),base,IF(escada="alcance",IFERROR(MATCH(base,{"1,5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19" t="inlineStr">
        <is>
          <t>Cone · classes 1 a 5</t>
        </is>
      </c>
      <c r="HU19" t="inlineStr">
        <is>
          <t>Cone de 4,5 m</t>
        </is>
      </c>
      <c r="HV19" t="inlineStr">
        <is>
          <t>Cone de 9 m</t>
        </is>
      </c>
      <c r="HW19" t="inlineStr">
        <is>
          <t>Cone de 18 m</t>
        </is>
      </c>
      <c r="HX19" t="inlineStr">
        <is>
          <t>Cone de 30 m</t>
        </is>
      </c>
      <c r="HY19" t="inlineStr">
        <is>
          <t>Cone de 60 m</t>
        </is>
      </c>
      <c r="HZ19" t="inlineStr">
        <is>
          <t>Cone de 60 m</t>
        </is>
      </c>
      <c r="IA19" t="inlineStr"/>
      <c r="IB19" t="inlineStr"/>
      <c r="IC19" t="inlineStr"/>
      <c r="ID19" t="inlineStr"/>
      <c r="IE19" t="inlineStr"/>
      <c r="IF19" t="inlineStr"/>
      <c r="IH19">
        <f>IF(OR('DADOS_FORMAS'!$AM19='INVOCAÇÕES'!$O$48,'DADOS_FORMAS'!$AM19='INVOCAÇÕES'!$P$48,'DADOS_FORMAS'!$AM19='INVOCAÇÕES'!$Q$48,'DADOS_FORMAS'!$AM19='INVOCAÇÕES'!$R$48,'DADOS_FORMAS'!$AM19='INVOCAÇÕES'!$S$48,'DADOS_FORMAS'!$AM19='INVOCAÇÕES'!$O$50,'DADOS_FORMAS'!$AM19='INVOCAÇÕES'!$P$50,'DADOS_FORMAS'!$AM19='INVOCAÇÕES'!$Q$50,'DADOS_FORMAS'!$AM19='INVOCAÇÕES'!$R$50,'DADOS_FORMAS'!$AM19=""),'DADOS_FORMAS'!$AH19,"")</f>
        <v/>
      </c>
      <c r="II19">
        <f>IF(AND(OR('DADOS_FORMAS'!$AM19='INVOCAÇÕES'!$O$48,'DADOS_FORMAS'!$AM19='INVOCAÇÕES'!$P$48,'DADOS_FORMAS'!$AM19='INVOCAÇÕES'!$Q$48,'DADOS_FORMAS'!$AM19='INVOCAÇÕES'!$R$48,'DADOS_FORMAS'!$AM19='INVOCAÇÕES'!$S$48,'DADOS_FORMAS'!$AM19='INVOCAÇÕES'!$O$50,'DADOS_FORMAS'!$AM19='INVOCAÇÕES'!$P$50,'DADOS_FORMAS'!$AM19='INVOCAÇÕES'!$Q$50,'DADOS_FORMAS'!$AM19='INVOCAÇÕES'!$R$50,'DADOS_FORMAS'!$AM19=""),'DADOS_FORMAS'!$AR19),'DADOS_FORMAS'!$AH19,"")</f>
        <v/>
      </c>
      <c r="IK19">
        <f>IF(OR('DADOS_FORMAS'!$AM19='INVOCAÇÕES'!$O$259,'DADOS_FORMAS'!$AM19='INVOCAÇÕES'!$P$259,'DADOS_FORMAS'!$AM19='INVOCAÇÕES'!$Q$259,'DADOS_FORMAS'!$AM19='INVOCAÇÕES'!$R$259,'DADOS_FORMAS'!$AM19='INVOCAÇÕES'!$S$259,'DADOS_FORMAS'!$AM19='INVOCAÇÕES'!$O$261,'DADOS_FORMAS'!$AM19='INVOCAÇÕES'!$P$261,'DADOS_FORMAS'!$AM19='INVOCAÇÕES'!$Q$261,'DADOS_FORMAS'!$AM19='INVOCAÇÕES'!$R$261,'DADOS_FORMAS'!$AM19=""),'DADOS_FORMAS'!$AH19,"")</f>
        <v/>
      </c>
      <c r="IL19">
        <f>IF(AND(OR('DADOS_FORMAS'!$AM19='INVOCAÇÕES'!$O$259,'DADOS_FORMAS'!$AM19='INVOCAÇÕES'!$P$259,'DADOS_FORMAS'!$AM19='INVOCAÇÕES'!$Q$259,'DADOS_FORMAS'!$AM19='INVOCAÇÕES'!$R$259,'DADOS_FORMAS'!$AM19='INVOCAÇÕES'!$S$259,'DADOS_FORMAS'!$AM19='INVOCAÇÕES'!$O$261,'DADOS_FORMAS'!$AM19='INVOCAÇÕES'!$P$261,'DADOS_FORMAS'!$AM19='INVOCAÇÕES'!$Q$261,'DADOS_FORMAS'!$AM19='INVOCAÇÕES'!$R$261,'DADOS_FORMAS'!$AM19=""),'DADOS_FORMAS'!$AR19),'DADOS_FORMAS'!$AH19,"")</f>
        <v/>
      </c>
      <c r="IN19">
        <f>IF(OR('DADOS_FORMAS'!$AM19='INVOCAÇÕES'!$O$470,'DADOS_FORMAS'!$AM19='INVOCAÇÕES'!$P$470,'DADOS_FORMAS'!$AM19='INVOCAÇÕES'!$Q$470,'DADOS_FORMAS'!$AM19='INVOCAÇÕES'!$R$470,'DADOS_FORMAS'!$AM19='INVOCAÇÕES'!$S$470,'DADOS_FORMAS'!$AM19='INVOCAÇÕES'!$O$472,'DADOS_FORMAS'!$AM19='INVOCAÇÕES'!$P$472,'DADOS_FORMAS'!$AM19='INVOCAÇÕES'!$Q$472,'DADOS_FORMAS'!$AM19='INVOCAÇÕES'!$R$472,'DADOS_FORMAS'!$AM19=""),'DADOS_FORMAS'!$AH19,"")</f>
        <v/>
      </c>
      <c r="IO19">
        <f>IF(AND(OR('DADOS_FORMAS'!$AM19='INVOCAÇÕES'!$O$470,'DADOS_FORMAS'!$AM19='INVOCAÇÕES'!$P$470,'DADOS_FORMAS'!$AM19='INVOCAÇÕES'!$Q$470,'DADOS_FORMAS'!$AM19='INVOCAÇÕES'!$R$470,'DADOS_FORMAS'!$AM19='INVOCAÇÕES'!$S$470,'DADOS_FORMAS'!$AM19='INVOCAÇÕES'!$O$472,'DADOS_FORMAS'!$AM19='INVOCAÇÕES'!$P$472,'DADOS_FORMAS'!$AM19='INVOCAÇÕES'!$Q$472,'DADOS_FORMAS'!$AM19='INVOCAÇÕES'!$R$472,'DADOS_FORMAS'!$AM19=""),'DADOS_FORMAS'!$AR19),'DADOS_FORMAS'!$AH19,"")</f>
        <v/>
      </c>
      <c r="IQ19">
        <f>IF(OR('DADOS_FORMAS'!$AM19='INVOCAÇÕES'!$O$681,'DADOS_FORMAS'!$AM19='INVOCAÇÕES'!$P$681,'DADOS_FORMAS'!$AM19='INVOCAÇÕES'!$Q$681,'DADOS_FORMAS'!$AM19='INVOCAÇÕES'!$R$681,'DADOS_FORMAS'!$AM19='INVOCAÇÕES'!$S$681,'DADOS_FORMAS'!$AM19='INVOCAÇÕES'!$O$683,'DADOS_FORMAS'!$AM19='INVOCAÇÕES'!$P$683,'DADOS_FORMAS'!$AM19='INVOCAÇÕES'!$Q$683,'DADOS_FORMAS'!$AM19='INVOCAÇÕES'!$R$683,'DADOS_FORMAS'!$AM19=""),'DADOS_FORMAS'!$AH19,"")</f>
        <v/>
      </c>
      <c r="IR19">
        <f>IF(AND(OR('DADOS_FORMAS'!$AM19='INVOCAÇÕES'!$O$681,'DADOS_FORMAS'!$AM19='INVOCAÇÕES'!$P$681,'DADOS_FORMAS'!$AM19='INVOCAÇÕES'!$Q$681,'DADOS_FORMAS'!$AM19='INVOCAÇÕES'!$R$681,'DADOS_FORMAS'!$AM19='INVOCAÇÕES'!$S$681,'DADOS_FORMAS'!$AM19='INVOCAÇÕES'!$O$683,'DADOS_FORMAS'!$AM19='INVOCAÇÕES'!$P$683,'DADOS_FORMAS'!$AM19='INVOCAÇÕES'!$Q$683,'DADOS_FORMAS'!$AM19='INVOCAÇÕES'!$R$683,'DADOS_FORMAS'!$AM19=""),'DADOS_FORMAS'!$AR19),'DADOS_FORMAS'!$AH19,"")</f>
        <v/>
      </c>
      <c r="IT19">
        <f>IF(OR('DADOS_FORMAS'!$AM19='INVOCAÇÕES'!$O$892,'DADOS_FORMAS'!$AM19='INVOCAÇÕES'!$P$892,'DADOS_FORMAS'!$AM19='INVOCAÇÕES'!$Q$892,'DADOS_FORMAS'!$AM19='INVOCAÇÕES'!$R$892,'DADOS_FORMAS'!$AM19='INVOCAÇÕES'!$S$892,'DADOS_FORMAS'!$AM19='INVOCAÇÕES'!$O$894,'DADOS_FORMAS'!$AM19='INVOCAÇÕES'!$P$894,'DADOS_FORMAS'!$AM19='INVOCAÇÕES'!$Q$894,'DADOS_FORMAS'!$AM19='INVOCAÇÕES'!$R$894,'DADOS_FORMAS'!$AM19=""),'DADOS_FORMAS'!$AH19,"")</f>
        <v/>
      </c>
      <c r="IU19">
        <f>IF(AND(OR('DADOS_FORMAS'!$AM19='INVOCAÇÕES'!$O$892,'DADOS_FORMAS'!$AM19='INVOCAÇÕES'!$P$892,'DADOS_FORMAS'!$AM19='INVOCAÇÕES'!$Q$892,'DADOS_FORMAS'!$AM19='INVOCAÇÕES'!$R$892,'DADOS_FORMAS'!$AM19='INVOCAÇÕES'!$S$892,'DADOS_FORMAS'!$AM19='INVOCAÇÕES'!$O$894,'DADOS_FORMAS'!$AM19='INVOCAÇÕES'!$P$894,'DADOS_FORMAS'!$AM19='INVOCAÇÕES'!$Q$894,'DADOS_FORMAS'!$AM19='INVOCAÇÕES'!$R$894,'DADOS_FORMAS'!$AM19=""),'DADOS_FORMAS'!$AR19),'DADOS_FORMAS'!$AH19,"")</f>
        <v/>
      </c>
      <c r="IW19">
        <f>IF(OR('DADOS_FORMAS'!$AM19='INVOCAÇÕES'!$O$1103,'DADOS_FORMAS'!$AM19='INVOCAÇÕES'!$P$1103,'DADOS_FORMAS'!$AM19='INVOCAÇÕES'!$Q$1103,'DADOS_FORMAS'!$AM19='INVOCAÇÕES'!$R$1103,'DADOS_FORMAS'!$AM19='INVOCAÇÕES'!$S$1103,'DADOS_FORMAS'!$AM19='INVOCAÇÕES'!$O$1105,'DADOS_FORMAS'!$AM19='INVOCAÇÕES'!$P$1105,'DADOS_FORMAS'!$AM19='INVOCAÇÕES'!$Q$1105,'DADOS_FORMAS'!$AM19='INVOCAÇÕES'!$R$1105,'DADOS_FORMAS'!$AM19=""),'DADOS_FORMAS'!$AH19,"")</f>
        <v/>
      </c>
      <c r="IX19">
        <f>IF(AND(OR('DADOS_FORMAS'!$AM19='INVOCAÇÕES'!$O$1103,'DADOS_FORMAS'!$AM19='INVOCAÇÕES'!$P$1103,'DADOS_FORMAS'!$AM19='INVOCAÇÕES'!$Q$1103,'DADOS_FORMAS'!$AM19='INVOCAÇÕES'!$R$1103,'DADOS_FORMAS'!$AM19='INVOCAÇÕES'!$S$1103,'DADOS_FORMAS'!$AM19='INVOCAÇÕES'!$O$1105,'DADOS_FORMAS'!$AM19='INVOCAÇÕES'!$P$1105,'DADOS_FORMAS'!$AM19='INVOCAÇÕES'!$Q$1105,'DADOS_FORMAS'!$AM19='INVOCAÇÕES'!$R$1105,'DADOS_FORMAS'!$AM19=""),'DADOS_FORMAS'!$AR19),'DADOS_FORMAS'!$AH19,"")</f>
        <v/>
      </c>
      <c r="IZ19">
        <f>IF(OR('DADOS_FORMAS'!$AM19='INVOCAÇÕES'!$AH$48,'DADOS_FORMAS'!$AM19='INVOCAÇÕES'!$AI$48,'DADOS_FORMAS'!$AM19='INVOCAÇÕES'!$AJ$48,'DADOS_FORMAS'!$AM19='INVOCAÇÕES'!$AK$48,'DADOS_FORMAS'!$AM19='INVOCAÇÕES'!$AL$48,'DADOS_FORMAS'!$AM19='INVOCAÇÕES'!$AH$50,'DADOS_FORMAS'!$AM19='INVOCAÇÕES'!$AI$50,'DADOS_FORMAS'!$AM19='INVOCAÇÕES'!$AJ$50,'DADOS_FORMAS'!$AM19='INVOCAÇÕES'!$AK$50,'DADOS_FORMAS'!$AM19=""),'DADOS_FORMAS'!$AH19,"")</f>
        <v/>
      </c>
      <c r="JA19">
        <f>IF(AND(OR('DADOS_FORMAS'!$AM19='INVOCAÇÕES'!$AH$48,'DADOS_FORMAS'!$AM19='INVOCAÇÕES'!$AI$48,'DADOS_FORMAS'!$AM19='INVOCAÇÕES'!$AJ$48,'DADOS_FORMAS'!$AM19='INVOCAÇÕES'!$AK$48,'DADOS_FORMAS'!$AM19='INVOCAÇÕES'!$AL$48,'DADOS_FORMAS'!$AM19='INVOCAÇÕES'!$AH$50,'DADOS_FORMAS'!$AM19='INVOCAÇÕES'!$AI$50,'DADOS_FORMAS'!$AM19='INVOCAÇÕES'!$AJ$50,'DADOS_FORMAS'!$AM19='INVOCAÇÕES'!$AK$50,'DADOS_FORMAS'!$AM19=""),'DADOS_FORMAS'!$AR19),'DADOS_FORMAS'!$AH19,"")</f>
        <v/>
      </c>
      <c r="JC19">
        <f>IF(OR('DADOS_FORMAS'!$AM19='INVOCAÇÕES'!$AH$259,'DADOS_FORMAS'!$AM19='INVOCAÇÕES'!$AI$259,'DADOS_FORMAS'!$AM19='INVOCAÇÕES'!$AJ$259,'DADOS_FORMAS'!$AM19='INVOCAÇÕES'!$AK$259,'DADOS_FORMAS'!$AM19='INVOCAÇÕES'!$AL$259,'DADOS_FORMAS'!$AM19='INVOCAÇÕES'!$AH$261,'DADOS_FORMAS'!$AM19='INVOCAÇÕES'!$AI$261,'DADOS_FORMAS'!$AM19='INVOCAÇÕES'!$AJ$261,'DADOS_FORMAS'!$AM19='INVOCAÇÕES'!$AK$261,'DADOS_FORMAS'!$AM19=""),'DADOS_FORMAS'!$AH19,"")</f>
        <v/>
      </c>
      <c r="JD19">
        <f>IF(AND(OR('DADOS_FORMAS'!$AM19='INVOCAÇÕES'!$AH$259,'DADOS_FORMAS'!$AM19='INVOCAÇÕES'!$AI$259,'DADOS_FORMAS'!$AM19='INVOCAÇÕES'!$AJ$259,'DADOS_FORMAS'!$AM19='INVOCAÇÕES'!$AK$259,'DADOS_FORMAS'!$AM19='INVOCAÇÕES'!$AL$259,'DADOS_FORMAS'!$AM19='INVOCAÇÕES'!$AH$261,'DADOS_FORMAS'!$AM19='INVOCAÇÕES'!$AI$261,'DADOS_FORMAS'!$AM19='INVOCAÇÕES'!$AJ$261,'DADOS_FORMAS'!$AM19='INVOCAÇÕES'!$AK$261,'DADOS_FORMAS'!$AM19=""),'DADOS_FORMAS'!$AR19),'DADOS_FORMAS'!$AH19,"")</f>
        <v/>
      </c>
      <c r="JF19">
        <f>IF(OR('DADOS_FORMAS'!$AM19='INVOCAÇÕES'!$AH$470,'DADOS_FORMAS'!$AM19='INVOCAÇÕES'!$AI$470,'DADOS_FORMAS'!$AM19='INVOCAÇÕES'!$AJ$470,'DADOS_FORMAS'!$AM19='INVOCAÇÕES'!$AK$470,'DADOS_FORMAS'!$AM19='INVOCAÇÕES'!$AL$470,'DADOS_FORMAS'!$AM19='INVOCAÇÕES'!$AH$472,'DADOS_FORMAS'!$AM19='INVOCAÇÕES'!$AI$472,'DADOS_FORMAS'!$AM19='INVOCAÇÕES'!$AJ$472,'DADOS_FORMAS'!$AM19='INVOCAÇÕES'!$AK$472,'DADOS_FORMAS'!$AM19=""),'DADOS_FORMAS'!$AH19,"")</f>
        <v/>
      </c>
      <c r="JG19">
        <f>IF(AND(OR('DADOS_FORMAS'!$AM19='INVOCAÇÕES'!$AH$470,'DADOS_FORMAS'!$AM19='INVOCAÇÕES'!$AI$470,'DADOS_FORMAS'!$AM19='INVOCAÇÕES'!$AJ$470,'DADOS_FORMAS'!$AM19='INVOCAÇÕES'!$AK$470,'DADOS_FORMAS'!$AM19='INVOCAÇÕES'!$AL$470,'DADOS_FORMAS'!$AM19='INVOCAÇÕES'!$AH$472,'DADOS_FORMAS'!$AM19='INVOCAÇÕES'!$AI$472,'DADOS_FORMAS'!$AM19='INVOCAÇÕES'!$AJ$472,'DADOS_FORMAS'!$AM19='INVOCAÇÕES'!$AK$472,'DADOS_FORMAS'!$AM19=""),'DADOS_FORMAS'!$AR19),'DADOS_FORMAS'!$AH19,"")</f>
        <v/>
      </c>
      <c r="JI19">
        <f>IF(OR('DADOS_FORMAS'!$AM19='INVOCAÇÕES'!$AH$681,'DADOS_FORMAS'!$AM19='INVOCAÇÕES'!$AI$681,'DADOS_FORMAS'!$AM19='INVOCAÇÕES'!$AJ$681,'DADOS_FORMAS'!$AM19='INVOCAÇÕES'!$AK$681,'DADOS_FORMAS'!$AM19='INVOCAÇÕES'!$AL$681,'DADOS_FORMAS'!$AM19='INVOCAÇÕES'!$AH$683,'DADOS_FORMAS'!$AM19='INVOCAÇÕES'!$AI$683,'DADOS_FORMAS'!$AM19='INVOCAÇÕES'!$AJ$683,'DADOS_FORMAS'!$AM19='INVOCAÇÕES'!$AK$683,'DADOS_FORMAS'!$AM19=""),'DADOS_FORMAS'!$AH19,"")</f>
        <v/>
      </c>
      <c r="JJ19">
        <f>IF(AND(OR('DADOS_FORMAS'!$AM19='INVOCAÇÕES'!$AH$681,'DADOS_FORMAS'!$AM19='INVOCAÇÕES'!$AI$681,'DADOS_FORMAS'!$AM19='INVOCAÇÕES'!$AJ$681,'DADOS_FORMAS'!$AM19='INVOCAÇÕES'!$AK$681,'DADOS_FORMAS'!$AM19='INVOCAÇÕES'!$AL$681,'DADOS_FORMAS'!$AM19='INVOCAÇÕES'!$AH$683,'DADOS_FORMAS'!$AM19='INVOCAÇÕES'!$AI$683,'DADOS_FORMAS'!$AM19='INVOCAÇÕES'!$AJ$683,'DADOS_FORMAS'!$AM19='INVOCAÇÕES'!$AK$683,'DADOS_FORMAS'!$AM19=""),'DADOS_FORMAS'!$AR19),'DADOS_FORMAS'!$AH19,"")</f>
        <v/>
      </c>
      <c r="JL19">
        <f>IF(OR('DADOS_FORMAS'!$AM19='INVOCAÇÕES'!$AH$892,'DADOS_FORMAS'!$AM19='INVOCAÇÕES'!$AI$892,'DADOS_FORMAS'!$AM19='INVOCAÇÕES'!$AJ$892,'DADOS_FORMAS'!$AM19='INVOCAÇÕES'!$AK$892,'DADOS_FORMAS'!$AM19='INVOCAÇÕES'!$AL$892,'DADOS_FORMAS'!$AM19='INVOCAÇÕES'!$AH$894,'DADOS_FORMAS'!$AM19='INVOCAÇÕES'!$AI$894,'DADOS_FORMAS'!$AM19='INVOCAÇÕES'!$AJ$894,'DADOS_FORMAS'!$AM19='INVOCAÇÕES'!$AK$894,'DADOS_FORMAS'!$AM19=""),'DADOS_FORMAS'!$AH19,"")</f>
        <v/>
      </c>
      <c r="JM19">
        <f>IF(AND(OR('DADOS_FORMAS'!$AM19='INVOCAÇÕES'!$AH$892,'DADOS_FORMAS'!$AM19='INVOCAÇÕES'!$AI$892,'DADOS_FORMAS'!$AM19='INVOCAÇÕES'!$AJ$892,'DADOS_FORMAS'!$AM19='INVOCAÇÕES'!$AK$892,'DADOS_FORMAS'!$AM19='INVOCAÇÕES'!$AL$892,'DADOS_FORMAS'!$AM19='INVOCAÇÕES'!$AH$894,'DADOS_FORMAS'!$AM19='INVOCAÇÕES'!$AI$894,'DADOS_FORMAS'!$AM19='INVOCAÇÕES'!$AJ$894,'DADOS_FORMAS'!$AM19='INVOCAÇÕES'!$AK$894,'DADOS_FORMAS'!$AM19=""),'DADOS_FORMAS'!$AR19),'DADOS_FORMAS'!$AH19,"")</f>
        <v/>
      </c>
      <c r="JO19">
        <f>IF(OR('DADOS_FORMAS'!$AM19='INVOCAÇÕES'!$AH$1103,'DADOS_FORMAS'!$AM19='INVOCAÇÕES'!$AI$1103,'DADOS_FORMAS'!$AM19='INVOCAÇÕES'!$AJ$1103,'DADOS_FORMAS'!$AM19='INVOCAÇÕES'!$AK$1103,'DADOS_FORMAS'!$AM19='INVOCAÇÕES'!$AL$1103,'DADOS_FORMAS'!$AM19='INVOCAÇÕES'!$AH$1105,'DADOS_FORMAS'!$AM19='INVOCAÇÕES'!$AI$1105,'DADOS_FORMAS'!$AM19='INVOCAÇÕES'!$AJ$1105,'DADOS_FORMAS'!$AM19='INVOCAÇÕES'!$AK$1105,'DADOS_FORMAS'!$AM19=""),'DADOS_FORMAS'!$AH19,"")</f>
        <v/>
      </c>
      <c r="JP19">
        <f>IF(AND(OR('DADOS_FORMAS'!$AM19='INVOCAÇÕES'!$AH$1103,'DADOS_FORMAS'!$AM19='INVOCAÇÕES'!$AI$1103,'DADOS_FORMAS'!$AM19='INVOCAÇÕES'!$AJ$1103,'DADOS_FORMAS'!$AM19='INVOCAÇÕES'!$AK$1103,'DADOS_FORMAS'!$AM19='INVOCAÇÕES'!$AL$1103,'DADOS_FORMAS'!$AM19='INVOCAÇÕES'!$AH$1105,'DADOS_FORMAS'!$AM19='INVOCAÇÕES'!$AI$1105,'DADOS_FORMAS'!$AM19='INVOCAÇÕES'!$AJ$1105,'DADOS_FORMAS'!$AM19='INVOCAÇÕES'!$AK$1105,'DADOS_FORMAS'!$AM19=""),'DADOS_FORMAS'!$AR19),'DADOS_FORMAS'!$AH19,"")</f>
        <v/>
      </c>
      <c r="JZ19">
        <f>IFERROR(INDEX('DADOS_CRIACAO'!$H$2:$H$20,17),"")</f>
        <v/>
      </c>
      <c r="KA19">
        <f>IFERROR(INDEX(INDEX('DADOS_RESTRICOES'!$M$2:$Q$54,0,1),17),"")</f>
        <v/>
      </c>
    </row>
    <row r="20">
      <c r="AG20">
        <f>IF(AND($AF10,$AD10=""),$BV10,"")</f>
        <v/>
      </c>
      <c r="AH20">
        <f>IF(AND($AF10,$AD10=""),$BW10,"")</f>
        <v/>
      </c>
      <c r="AI20">
        <f>IF(AND($AF10,$AD10=""),$BX10,"")</f>
        <v/>
      </c>
      <c r="AJ20">
        <f>IF(AND($AF10,$AD10=""),$BY10,FALSE)</f>
        <v/>
      </c>
      <c r="AK20">
        <f>IF(AND($AF10,$AD10=""),$BZ10,"")</f>
        <v/>
      </c>
      <c r="AL20">
        <f>IF(AND($AF10,$AD10=""),$CA10,"")</f>
        <v/>
      </c>
      <c r="AM20">
        <f>IF(AND($AF10,$AD10=""),$CB10,"")</f>
        <v/>
      </c>
      <c r="AN20">
        <f>IF(AND($AF10,$AD10=""),$CC10,0)</f>
        <v/>
      </c>
      <c r="AO20">
        <f>IF(AND($AF10,$AD10=""),$CD10,"")</f>
        <v/>
      </c>
      <c r="AP20">
        <f>IF(AND($AF10,$AD10=""),$CE10,0)</f>
        <v/>
      </c>
      <c r="AQ20">
        <f>IF(AND($AF10,$AD10=""),$CF10,FALSE)</f>
        <v/>
      </c>
      <c r="AR20">
        <f>IF(AND($AF10,$AD10=""),$CG10,FALSE)</f>
        <v/>
      </c>
      <c r="AS20">
        <f>IF(AND($AF10,$AD10=""),$CH10,"")</f>
        <v/>
      </c>
      <c r="AT20">
        <f>IF(AND($AF10,$AD10=""),$CI10,"")</f>
        <v/>
      </c>
      <c r="AU20">
        <f>IF(AND($AF10,$AD10=""),$CJ10,"")</f>
        <v/>
      </c>
      <c r="AV20">
        <f>IF(AND($AF10,$AD10=""),$CK10,"")</f>
        <v/>
      </c>
      <c r="AW20">
        <f>IF(AND($AF10,$AD10=""),$CL10,"")</f>
        <v/>
      </c>
      <c r="AX20">
        <f>IF(AND($AF10,$AD10=""),$CM10,"")</f>
        <v/>
      </c>
      <c r="AY20">
        <f>IF(AND($AF10,$AD10=""),$CN10,"")</f>
        <v/>
      </c>
      <c r="AZ20">
        <f>IF(AND($AF10,$AD10=""),$CO10,"")</f>
        <v/>
      </c>
      <c r="BA20">
        <f>IF(AND($AF10,$AD10=""),$CP10,"")</f>
        <v/>
      </c>
      <c r="BB20">
        <f>IF(AND($AF10,$AD10=""),$CQ10,"")</f>
        <v/>
      </c>
      <c r="BC20">
        <f>IF(AND($AF10,$AD10=""),$CR10,"")</f>
        <v/>
      </c>
      <c r="BD20">
        <f>IF(AND($AF10,$AD10=""),$CS10,"")</f>
        <v/>
      </c>
      <c r="BE20">
        <f>IF(AND($AF10,$AD10=""),$CT10,"")</f>
        <v/>
      </c>
      <c r="BF20">
        <f>IF(AND($AF10,$AD10=""),$CU10,"")</f>
        <v/>
      </c>
      <c r="BG20">
        <f>IF(AND($AF10,$AD10=""),$CV10,"")</f>
        <v/>
      </c>
      <c r="BH20">
        <f>IF(AND($AF10,$AD10=""),$CW10,"")</f>
        <v/>
      </c>
      <c r="BI20">
        <f>IF(AND($AF10,$AD10=""),$CX10,"")</f>
        <v/>
      </c>
      <c r="BJ20">
        <f>IF(AND($AF10,$AD10=""),$CY10,"")</f>
        <v/>
      </c>
      <c r="BK20">
        <f>IF(AND($AF10,$AD10=""),$CZ10,0)</f>
        <v/>
      </c>
      <c r="BL20">
        <f>IF(AND($AF10,$AD10=""),$DA10,"")</f>
        <v/>
      </c>
      <c r="BM20">
        <f>IF(AND($AF10,$AD10=""),$DB10,"")</f>
        <v/>
      </c>
      <c r="BN20">
        <f>IF(AND($AF10,$AD10=""),$DC10,"")</f>
        <v/>
      </c>
      <c r="BO20">
        <f>IF(AND($AF10,$AD10=""),$DD10,0)</f>
        <v/>
      </c>
      <c r="BP20">
        <f>IF(AND($AF10,$AD10=""),$DE10,"")</f>
        <v/>
      </c>
      <c r="BQ20">
        <f>IF(AND($AF10,$AD10=""),$DF10,"")</f>
        <v/>
      </c>
      <c r="BR20">
        <f>IF(AND($AF10,$AD10=""),$DG10,"")</f>
        <v/>
      </c>
      <c r="BS20">
        <f>IF(AND($AF10,$AD10=""),$DH10,0)</f>
        <v/>
      </c>
      <c r="FJ20">
        <f>'DADOS_FORMAS'!$AH20</f>
        <v/>
      </c>
      <c r="FK20">
        <f>'DADOS_FORMAS'!$AM20</f>
        <v/>
      </c>
      <c r="FL20">
        <f>'DADOS_FORMAS'!$AN20</f>
        <v/>
      </c>
      <c r="FM20">
        <f>IF('DADOS_FORMAS'!$AN20=0,0,'DADOS_FORMAS'!$AN20+3*IFERROR(VLOOKUP(SUBSTITUTE(SUBSTITUTE(SUBSTITUTE('DADOS_FORMAS'!$AM20,"~","~~"),"*","~*"),"?","~?"),'DADOS_CRIACAO'!$H$2:$K$20,3,FALSE),0))</f>
        <v/>
      </c>
      <c r="FN20">
        <f>IFERROR(VLOOKUP(SUBSTITUTE(SUBSTITUTE(SUBSTITUTE('DADOS_FORMAS'!$AM20,"~","~~"),"*","~*"),"?","~?"),'DADOS_CRIACAO'!$H$2:$K$20,4,FALSE),0)</f>
        <v/>
      </c>
      <c r="FO20">
        <f>IF('DADOS_FORMAS'!$AS20="",0,1)</f>
        <v/>
      </c>
      <c r="FP20">
        <f>'DADOS_FORMAS'!$AP20</f>
        <v/>
      </c>
      <c r="FQ20">
        <f>IF(AND('DADOS_FORMAS'!$AO20="Acerto",'DADOS_FORMAS'!$AQ20),"Acerto + TR",'DADOS_FORMAS'!$AO20)</f>
        <v/>
      </c>
      <c r="FR20">
        <f>N(OR('DADOS_FORMAS'!$AQ20,'DADOS_FORMAS'!$AO20="TR, metade"))</f>
        <v/>
      </c>
      <c r="FS20">
        <f>'DADOS_FORMAS'!$BO20</f>
        <v/>
      </c>
      <c r="FT20">
        <f>'DADOS_FORMAS'!$BS20</f>
        <v/>
      </c>
      <c r="FU20">
        <f>'DADOS_FORMAS'!$BK20</f>
        <v/>
      </c>
      <c r="FV20">
        <f>N('DADOS_FORMAS'!$AR20)</f>
        <v/>
      </c>
      <c r="FW20">
        <f>IF(IFERROR(VLOOKUP(SUBSTITUTE(SUBSTITUTE(SUBSTITUTE('DADOS_FORMAS'!$AM20,"~","~~"),"*","~*"),"?","~?"),'DADOS_CRIACAO'!$H$2:$K$20,4,FALSE),0)=1,"",'DADOS_FORMAS'!$AH20)</f>
        <v/>
      </c>
      <c r="FX20">
        <f>IF(AND('DADOS_FORMAS'!$AR20,IFERROR(VLOOKUP(SUBSTITUTE(SUBSTITUTE(SUBSTITUTE('DADOS_FORMAS'!$AM20,"~","~~"),"*","~*"),"?","~?"),'DADOS_CRIACAO'!$H$2:$K$20,4,FALSE),0)=0),'DADOS_FORMAS'!$AH20,"")</f>
        <v/>
      </c>
      <c r="FZ20">
        <f>'DADOS_FORMAS'!$AH20</f>
        <v/>
      </c>
      <c r="GA20">
        <f>'DADOS_FORMAS'!$AM20</f>
        <v/>
      </c>
      <c r="GB20">
        <f>'DADOS_FORMAS'!$AN20</f>
        <v/>
      </c>
      <c r="GC20">
        <f>IF('DADOS_FORMAS'!$AS20="",0,1)</f>
        <v/>
      </c>
      <c r="GD20">
        <f>'DADOS_FORMAS'!$AP20</f>
        <v/>
      </c>
      <c r="GE20">
        <f>IF('DADOS_FORMAS'!$AO20="Acerto","Ataque",IF('DADOS_FORMAS'!$AQ20,"TR","—"))</f>
        <v/>
      </c>
      <c r="GF20">
        <f>N(OR('DADOS_FORMAS'!$AQ20,'DADOS_FORMAS'!$AO20="TR, metade"))</f>
        <v/>
      </c>
      <c r="GG20">
        <f>'DADOS_FORMAS'!$BO20</f>
        <v/>
      </c>
      <c r="GH20">
        <f>'DADOS_FORMAS'!$BS20</f>
        <v/>
      </c>
      <c r="GI20">
        <f>'DADOS_FORMAS'!$BK20</f>
        <v/>
      </c>
      <c r="GJ20">
        <f>N('DADOS_FORMAS'!$AR20)</f>
        <v/>
      </c>
      <c r="GR20">
        <f>'DADOS_FORMAS'!$BL15</f>
        <v/>
      </c>
      <c r="GS20">
        <f>IF('DADOS_FORMAS'!$BL15="area",'DADOS_FORMAS'!$AU15,'DADOS_FORMAS'!$AT15)</f>
        <v/>
      </c>
      <c r="GT20">
        <f>IF('DADOS_FORMAS'!$BL15="area",'DADOS_FORMAS'!$BC15,'DADOS_FORMAS'!$AV15)</f>
        <v/>
      </c>
      <c r="GU20">
        <f>'DADOS_FORMAS'!$BM15</f>
        <v/>
      </c>
      <c r="GV20">
        <f>'DADOS_FORMAS'!$BN15</f>
        <v/>
      </c>
      <c r="GW20">
        <f>LET(base,'DADOS_FORMAS'!$GT20,escada,'DADOS_FORMAS'!$GS20,medida,LEFT(base,MAX(0,LEN(base)-2)),valor,IFERROR(VALUE(SUBSTITUTE(medida,",",""))/10^IFERROR(LEN(medida)-FIND(",",medida),0),1E99),IF(OR(escada="Fixo",base="—"),base,IF(escada="alcance",IFERROR(MATCH(base,{"1,5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0" t="inlineStr">
        <is>
          <t>Cura · classe 0</t>
        </is>
      </c>
      <c r="GZ20" t="inlineStr">
        <is>
          <t>—</t>
        </is>
      </c>
      <c r="HA20" t="inlineStr">
        <is>
          <t>—</t>
        </is>
      </c>
      <c r="HB20" t="inlineStr">
        <is>
          <t>—</t>
        </is>
      </c>
      <c r="HC20" t="inlineStr">
        <is>
          <t>—</t>
        </is>
      </c>
      <c r="HD20" t="inlineStr">
        <is>
          <t>—</t>
        </is>
      </c>
      <c r="HE20" t="inlineStr">
        <is>
          <t>—</t>
        </is>
      </c>
      <c r="HF20" t="inlineStr"/>
      <c r="HG20" t="inlineStr"/>
      <c r="HH20" t="inlineStr"/>
      <c r="HI20" t="inlineStr"/>
      <c r="HJ20" t="inlineStr"/>
      <c r="HK20" t="inlineStr"/>
      <c r="HM20">
        <f>'DADOS_FORMAS'!$BL14</f>
        <v/>
      </c>
      <c r="HN20">
        <f>IF('DADOS_FORMAS'!$BL14="area",'DADOS_FORMAS'!$AU14,'DADOS_FORMAS'!$AT14)</f>
        <v/>
      </c>
      <c r="HO20">
        <f>IF('DADOS_FORMAS'!$BL14="area",'DADOS_FORMAS'!$BG14,'DADOS_FORMAS'!$AZ14)</f>
        <v/>
      </c>
      <c r="HP20">
        <f>'DADOS_FORMAS'!$BM14</f>
        <v/>
      </c>
      <c r="HQ20">
        <f>'DADOS_FORMAS'!$BN14</f>
        <v/>
      </c>
      <c r="HR20">
        <f>LET(base,'DADOS_FORMAS'!$HO20,escada,'DADOS_FORMAS'!$HN20,medida,LEFT(base,MAX(0,LEN(base)-2)),valor,IFERROR(VALUE(SUBSTITUTE(medida,",",""))/10^IFERROR(LEN(medida)-FIND(",",medida),0),1E99),IF(OR(escada="Fixo",base="—"),base,IF(escada="alcance",IFERROR(MATCH(base,{"1,5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0" t="inlineStr">
        <is>
          <t>Cone · classe 6</t>
        </is>
      </c>
      <c r="HU20" t="inlineStr">
        <is>
          <t>Cone de 4,5 m</t>
        </is>
      </c>
      <c r="HV20" t="inlineStr">
        <is>
          <t>Cone de 9 m</t>
        </is>
      </c>
      <c r="HW20" t="inlineStr">
        <is>
          <t>Cone de 18 m</t>
        </is>
      </c>
      <c r="HX20" t="inlineStr">
        <is>
          <t>Cone de 30 m</t>
        </is>
      </c>
      <c r="HY20" t="inlineStr">
        <is>
          <t>Cone de 60 m</t>
        </is>
      </c>
      <c r="HZ20" t="inlineStr">
        <is>
          <t>Cone de 60 m</t>
        </is>
      </c>
      <c r="IA20" t="inlineStr"/>
      <c r="IB20" t="inlineStr"/>
      <c r="IC20" t="inlineStr"/>
      <c r="ID20" t="inlineStr"/>
      <c r="IE20" t="inlineStr"/>
      <c r="IF20" t="inlineStr"/>
      <c r="IH20">
        <f>IF(OR('DADOS_FORMAS'!$AM20='INVOCAÇÕES'!$O$48,'DADOS_FORMAS'!$AM20='INVOCAÇÕES'!$P$48,'DADOS_FORMAS'!$AM20='INVOCAÇÕES'!$Q$48,'DADOS_FORMAS'!$AM20='INVOCAÇÕES'!$R$48,'DADOS_FORMAS'!$AM20='INVOCAÇÕES'!$S$48,'DADOS_FORMAS'!$AM20='INVOCAÇÕES'!$O$50,'DADOS_FORMAS'!$AM20='INVOCAÇÕES'!$P$50,'DADOS_FORMAS'!$AM20='INVOCAÇÕES'!$Q$50,'DADOS_FORMAS'!$AM20='INVOCAÇÕES'!$R$50,'DADOS_FORMAS'!$AM20=""),'DADOS_FORMAS'!$AH20,"")</f>
        <v/>
      </c>
      <c r="II20">
        <f>IF(AND(OR('DADOS_FORMAS'!$AM20='INVOCAÇÕES'!$O$48,'DADOS_FORMAS'!$AM20='INVOCAÇÕES'!$P$48,'DADOS_FORMAS'!$AM20='INVOCAÇÕES'!$Q$48,'DADOS_FORMAS'!$AM20='INVOCAÇÕES'!$R$48,'DADOS_FORMAS'!$AM20='INVOCAÇÕES'!$S$48,'DADOS_FORMAS'!$AM20='INVOCAÇÕES'!$O$50,'DADOS_FORMAS'!$AM20='INVOCAÇÕES'!$P$50,'DADOS_FORMAS'!$AM20='INVOCAÇÕES'!$Q$50,'DADOS_FORMAS'!$AM20='INVOCAÇÕES'!$R$50,'DADOS_FORMAS'!$AM20=""),'DADOS_FORMAS'!$AR20),'DADOS_FORMAS'!$AH20,"")</f>
        <v/>
      </c>
      <c r="IK20">
        <f>IF(OR('DADOS_FORMAS'!$AM20='INVOCAÇÕES'!$O$259,'DADOS_FORMAS'!$AM20='INVOCAÇÕES'!$P$259,'DADOS_FORMAS'!$AM20='INVOCAÇÕES'!$Q$259,'DADOS_FORMAS'!$AM20='INVOCAÇÕES'!$R$259,'DADOS_FORMAS'!$AM20='INVOCAÇÕES'!$S$259,'DADOS_FORMAS'!$AM20='INVOCAÇÕES'!$O$261,'DADOS_FORMAS'!$AM20='INVOCAÇÕES'!$P$261,'DADOS_FORMAS'!$AM20='INVOCAÇÕES'!$Q$261,'DADOS_FORMAS'!$AM20='INVOCAÇÕES'!$R$261,'DADOS_FORMAS'!$AM20=""),'DADOS_FORMAS'!$AH20,"")</f>
        <v/>
      </c>
      <c r="IL20">
        <f>IF(AND(OR('DADOS_FORMAS'!$AM20='INVOCAÇÕES'!$O$259,'DADOS_FORMAS'!$AM20='INVOCAÇÕES'!$P$259,'DADOS_FORMAS'!$AM20='INVOCAÇÕES'!$Q$259,'DADOS_FORMAS'!$AM20='INVOCAÇÕES'!$R$259,'DADOS_FORMAS'!$AM20='INVOCAÇÕES'!$S$259,'DADOS_FORMAS'!$AM20='INVOCAÇÕES'!$O$261,'DADOS_FORMAS'!$AM20='INVOCAÇÕES'!$P$261,'DADOS_FORMAS'!$AM20='INVOCAÇÕES'!$Q$261,'DADOS_FORMAS'!$AM20='INVOCAÇÕES'!$R$261,'DADOS_FORMAS'!$AM20=""),'DADOS_FORMAS'!$AR20),'DADOS_FORMAS'!$AH20,"")</f>
        <v/>
      </c>
      <c r="IN20">
        <f>IF(OR('DADOS_FORMAS'!$AM20='INVOCAÇÕES'!$O$470,'DADOS_FORMAS'!$AM20='INVOCAÇÕES'!$P$470,'DADOS_FORMAS'!$AM20='INVOCAÇÕES'!$Q$470,'DADOS_FORMAS'!$AM20='INVOCAÇÕES'!$R$470,'DADOS_FORMAS'!$AM20='INVOCAÇÕES'!$S$470,'DADOS_FORMAS'!$AM20='INVOCAÇÕES'!$O$472,'DADOS_FORMAS'!$AM20='INVOCAÇÕES'!$P$472,'DADOS_FORMAS'!$AM20='INVOCAÇÕES'!$Q$472,'DADOS_FORMAS'!$AM20='INVOCAÇÕES'!$R$472,'DADOS_FORMAS'!$AM20=""),'DADOS_FORMAS'!$AH20,"")</f>
        <v/>
      </c>
      <c r="IO20">
        <f>IF(AND(OR('DADOS_FORMAS'!$AM20='INVOCAÇÕES'!$O$470,'DADOS_FORMAS'!$AM20='INVOCAÇÕES'!$P$470,'DADOS_FORMAS'!$AM20='INVOCAÇÕES'!$Q$470,'DADOS_FORMAS'!$AM20='INVOCAÇÕES'!$R$470,'DADOS_FORMAS'!$AM20='INVOCAÇÕES'!$S$470,'DADOS_FORMAS'!$AM20='INVOCAÇÕES'!$O$472,'DADOS_FORMAS'!$AM20='INVOCAÇÕES'!$P$472,'DADOS_FORMAS'!$AM20='INVOCAÇÕES'!$Q$472,'DADOS_FORMAS'!$AM20='INVOCAÇÕES'!$R$472,'DADOS_FORMAS'!$AM20=""),'DADOS_FORMAS'!$AR20),'DADOS_FORMAS'!$AH20,"")</f>
        <v/>
      </c>
      <c r="IQ20">
        <f>IF(OR('DADOS_FORMAS'!$AM20='INVOCAÇÕES'!$O$681,'DADOS_FORMAS'!$AM20='INVOCAÇÕES'!$P$681,'DADOS_FORMAS'!$AM20='INVOCAÇÕES'!$Q$681,'DADOS_FORMAS'!$AM20='INVOCAÇÕES'!$R$681,'DADOS_FORMAS'!$AM20='INVOCAÇÕES'!$S$681,'DADOS_FORMAS'!$AM20='INVOCAÇÕES'!$O$683,'DADOS_FORMAS'!$AM20='INVOCAÇÕES'!$P$683,'DADOS_FORMAS'!$AM20='INVOCAÇÕES'!$Q$683,'DADOS_FORMAS'!$AM20='INVOCAÇÕES'!$R$683,'DADOS_FORMAS'!$AM20=""),'DADOS_FORMAS'!$AH20,"")</f>
        <v/>
      </c>
      <c r="IR20">
        <f>IF(AND(OR('DADOS_FORMAS'!$AM20='INVOCAÇÕES'!$O$681,'DADOS_FORMAS'!$AM20='INVOCAÇÕES'!$P$681,'DADOS_FORMAS'!$AM20='INVOCAÇÕES'!$Q$681,'DADOS_FORMAS'!$AM20='INVOCAÇÕES'!$R$681,'DADOS_FORMAS'!$AM20='INVOCAÇÕES'!$S$681,'DADOS_FORMAS'!$AM20='INVOCAÇÕES'!$O$683,'DADOS_FORMAS'!$AM20='INVOCAÇÕES'!$P$683,'DADOS_FORMAS'!$AM20='INVOCAÇÕES'!$Q$683,'DADOS_FORMAS'!$AM20='INVOCAÇÕES'!$R$683,'DADOS_FORMAS'!$AM20=""),'DADOS_FORMAS'!$AR20),'DADOS_FORMAS'!$AH20,"")</f>
        <v/>
      </c>
      <c r="IT20">
        <f>IF(OR('DADOS_FORMAS'!$AM20='INVOCAÇÕES'!$O$892,'DADOS_FORMAS'!$AM20='INVOCAÇÕES'!$P$892,'DADOS_FORMAS'!$AM20='INVOCAÇÕES'!$Q$892,'DADOS_FORMAS'!$AM20='INVOCAÇÕES'!$R$892,'DADOS_FORMAS'!$AM20='INVOCAÇÕES'!$S$892,'DADOS_FORMAS'!$AM20='INVOCAÇÕES'!$O$894,'DADOS_FORMAS'!$AM20='INVOCAÇÕES'!$P$894,'DADOS_FORMAS'!$AM20='INVOCAÇÕES'!$Q$894,'DADOS_FORMAS'!$AM20='INVOCAÇÕES'!$R$894,'DADOS_FORMAS'!$AM20=""),'DADOS_FORMAS'!$AH20,"")</f>
        <v/>
      </c>
      <c r="IU20">
        <f>IF(AND(OR('DADOS_FORMAS'!$AM20='INVOCAÇÕES'!$O$892,'DADOS_FORMAS'!$AM20='INVOCAÇÕES'!$P$892,'DADOS_FORMAS'!$AM20='INVOCAÇÕES'!$Q$892,'DADOS_FORMAS'!$AM20='INVOCAÇÕES'!$R$892,'DADOS_FORMAS'!$AM20='INVOCAÇÕES'!$S$892,'DADOS_FORMAS'!$AM20='INVOCAÇÕES'!$O$894,'DADOS_FORMAS'!$AM20='INVOCAÇÕES'!$P$894,'DADOS_FORMAS'!$AM20='INVOCAÇÕES'!$Q$894,'DADOS_FORMAS'!$AM20='INVOCAÇÕES'!$R$894,'DADOS_FORMAS'!$AM20=""),'DADOS_FORMAS'!$AR20),'DADOS_FORMAS'!$AH20,"")</f>
        <v/>
      </c>
      <c r="IW20">
        <f>IF(OR('DADOS_FORMAS'!$AM20='INVOCAÇÕES'!$O$1103,'DADOS_FORMAS'!$AM20='INVOCAÇÕES'!$P$1103,'DADOS_FORMAS'!$AM20='INVOCAÇÕES'!$Q$1103,'DADOS_FORMAS'!$AM20='INVOCAÇÕES'!$R$1103,'DADOS_FORMAS'!$AM20='INVOCAÇÕES'!$S$1103,'DADOS_FORMAS'!$AM20='INVOCAÇÕES'!$O$1105,'DADOS_FORMAS'!$AM20='INVOCAÇÕES'!$P$1105,'DADOS_FORMAS'!$AM20='INVOCAÇÕES'!$Q$1105,'DADOS_FORMAS'!$AM20='INVOCAÇÕES'!$R$1105,'DADOS_FORMAS'!$AM20=""),'DADOS_FORMAS'!$AH20,"")</f>
        <v/>
      </c>
      <c r="IX20">
        <f>IF(AND(OR('DADOS_FORMAS'!$AM20='INVOCAÇÕES'!$O$1103,'DADOS_FORMAS'!$AM20='INVOCAÇÕES'!$P$1103,'DADOS_FORMAS'!$AM20='INVOCAÇÕES'!$Q$1103,'DADOS_FORMAS'!$AM20='INVOCAÇÕES'!$R$1103,'DADOS_FORMAS'!$AM20='INVOCAÇÕES'!$S$1103,'DADOS_FORMAS'!$AM20='INVOCAÇÕES'!$O$1105,'DADOS_FORMAS'!$AM20='INVOCAÇÕES'!$P$1105,'DADOS_FORMAS'!$AM20='INVOCAÇÕES'!$Q$1105,'DADOS_FORMAS'!$AM20='INVOCAÇÕES'!$R$1105,'DADOS_FORMAS'!$AM20=""),'DADOS_FORMAS'!$AR20),'DADOS_FORMAS'!$AH20,"")</f>
        <v/>
      </c>
      <c r="IZ20">
        <f>IF(OR('DADOS_FORMAS'!$AM20='INVOCAÇÕES'!$AH$48,'DADOS_FORMAS'!$AM20='INVOCAÇÕES'!$AI$48,'DADOS_FORMAS'!$AM20='INVOCAÇÕES'!$AJ$48,'DADOS_FORMAS'!$AM20='INVOCAÇÕES'!$AK$48,'DADOS_FORMAS'!$AM20='INVOCAÇÕES'!$AL$48,'DADOS_FORMAS'!$AM20='INVOCAÇÕES'!$AH$50,'DADOS_FORMAS'!$AM20='INVOCAÇÕES'!$AI$50,'DADOS_FORMAS'!$AM20='INVOCAÇÕES'!$AJ$50,'DADOS_FORMAS'!$AM20='INVOCAÇÕES'!$AK$50,'DADOS_FORMAS'!$AM20=""),'DADOS_FORMAS'!$AH20,"")</f>
        <v/>
      </c>
      <c r="JA20">
        <f>IF(AND(OR('DADOS_FORMAS'!$AM20='INVOCAÇÕES'!$AH$48,'DADOS_FORMAS'!$AM20='INVOCAÇÕES'!$AI$48,'DADOS_FORMAS'!$AM20='INVOCAÇÕES'!$AJ$48,'DADOS_FORMAS'!$AM20='INVOCAÇÕES'!$AK$48,'DADOS_FORMAS'!$AM20='INVOCAÇÕES'!$AL$48,'DADOS_FORMAS'!$AM20='INVOCAÇÕES'!$AH$50,'DADOS_FORMAS'!$AM20='INVOCAÇÕES'!$AI$50,'DADOS_FORMAS'!$AM20='INVOCAÇÕES'!$AJ$50,'DADOS_FORMAS'!$AM20='INVOCAÇÕES'!$AK$50,'DADOS_FORMAS'!$AM20=""),'DADOS_FORMAS'!$AR20),'DADOS_FORMAS'!$AH20,"")</f>
        <v/>
      </c>
      <c r="JC20">
        <f>IF(OR('DADOS_FORMAS'!$AM20='INVOCAÇÕES'!$AH$259,'DADOS_FORMAS'!$AM20='INVOCAÇÕES'!$AI$259,'DADOS_FORMAS'!$AM20='INVOCAÇÕES'!$AJ$259,'DADOS_FORMAS'!$AM20='INVOCAÇÕES'!$AK$259,'DADOS_FORMAS'!$AM20='INVOCAÇÕES'!$AL$259,'DADOS_FORMAS'!$AM20='INVOCAÇÕES'!$AH$261,'DADOS_FORMAS'!$AM20='INVOCAÇÕES'!$AI$261,'DADOS_FORMAS'!$AM20='INVOCAÇÕES'!$AJ$261,'DADOS_FORMAS'!$AM20='INVOCAÇÕES'!$AK$261,'DADOS_FORMAS'!$AM20=""),'DADOS_FORMAS'!$AH20,"")</f>
        <v/>
      </c>
      <c r="JD20">
        <f>IF(AND(OR('DADOS_FORMAS'!$AM20='INVOCAÇÕES'!$AH$259,'DADOS_FORMAS'!$AM20='INVOCAÇÕES'!$AI$259,'DADOS_FORMAS'!$AM20='INVOCAÇÕES'!$AJ$259,'DADOS_FORMAS'!$AM20='INVOCAÇÕES'!$AK$259,'DADOS_FORMAS'!$AM20='INVOCAÇÕES'!$AL$259,'DADOS_FORMAS'!$AM20='INVOCAÇÕES'!$AH$261,'DADOS_FORMAS'!$AM20='INVOCAÇÕES'!$AI$261,'DADOS_FORMAS'!$AM20='INVOCAÇÕES'!$AJ$261,'DADOS_FORMAS'!$AM20='INVOCAÇÕES'!$AK$261,'DADOS_FORMAS'!$AM20=""),'DADOS_FORMAS'!$AR20),'DADOS_FORMAS'!$AH20,"")</f>
        <v/>
      </c>
      <c r="JF20">
        <f>IF(OR('DADOS_FORMAS'!$AM20='INVOCAÇÕES'!$AH$470,'DADOS_FORMAS'!$AM20='INVOCAÇÕES'!$AI$470,'DADOS_FORMAS'!$AM20='INVOCAÇÕES'!$AJ$470,'DADOS_FORMAS'!$AM20='INVOCAÇÕES'!$AK$470,'DADOS_FORMAS'!$AM20='INVOCAÇÕES'!$AL$470,'DADOS_FORMAS'!$AM20='INVOCAÇÕES'!$AH$472,'DADOS_FORMAS'!$AM20='INVOCAÇÕES'!$AI$472,'DADOS_FORMAS'!$AM20='INVOCAÇÕES'!$AJ$472,'DADOS_FORMAS'!$AM20='INVOCAÇÕES'!$AK$472,'DADOS_FORMAS'!$AM20=""),'DADOS_FORMAS'!$AH20,"")</f>
        <v/>
      </c>
      <c r="JG20">
        <f>IF(AND(OR('DADOS_FORMAS'!$AM20='INVOCAÇÕES'!$AH$470,'DADOS_FORMAS'!$AM20='INVOCAÇÕES'!$AI$470,'DADOS_FORMAS'!$AM20='INVOCAÇÕES'!$AJ$470,'DADOS_FORMAS'!$AM20='INVOCAÇÕES'!$AK$470,'DADOS_FORMAS'!$AM20='INVOCAÇÕES'!$AL$470,'DADOS_FORMAS'!$AM20='INVOCAÇÕES'!$AH$472,'DADOS_FORMAS'!$AM20='INVOCAÇÕES'!$AI$472,'DADOS_FORMAS'!$AM20='INVOCAÇÕES'!$AJ$472,'DADOS_FORMAS'!$AM20='INVOCAÇÕES'!$AK$472,'DADOS_FORMAS'!$AM20=""),'DADOS_FORMAS'!$AR20),'DADOS_FORMAS'!$AH20,"")</f>
        <v/>
      </c>
      <c r="JI20">
        <f>IF(OR('DADOS_FORMAS'!$AM20='INVOCAÇÕES'!$AH$681,'DADOS_FORMAS'!$AM20='INVOCAÇÕES'!$AI$681,'DADOS_FORMAS'!$AM20='INVOCAÇÕES'!$AJ$681,'DADOS_FORMAS'!$AM20='INVOCAÇÕES'!$AK$681,'DADOS_FORMAS'!$AM20='INVOCAÇÕES'!$AL$681,'DADOS_FORMAS'!$AM20='INVOCAÇÕES'!$AH$683,'DADOS_FORMAS'!$AM20='INVOCAÇÕES'!$AI$683,'DADOS_FORMAS'!$AM20='INVOCAÇÕES'!$AJ$683,'DADOS_FORMAS'!$AM20='INVOCAÇÕES'!$AK$683,'DADOS_FORMAS'!$AM20=""),'DADOS_FORMAS'!$AH20,"")</f>
        <v/>
      </c>
      <c r="JJ20">
        <f>IF(AND(OR('DADOS_FORMAS'!$AM20='INVOCAÇÕES'!$AH$681,'DADOS_FORMAS'!$AM20='INVOCAÇÕES'!$AI$681,'DADOS_FORMAS'!$AM20='INVOCAÇÕES'!$AJ$681,'DADOS_FORMAS'!$AM20='INVOCAÇÕES'!$AK$681,'DADOS_FORMAS'!$AM20='INVOCAÇÕES'!$AL$681,'DADOS_FORMAS'!$AM20='INVOCAÇÕES'!$AH$683,'DADOS_FORMAS'!$AM20='INVOCAÇÕES'!$AI$683,'DADOS_FORMAS'!$AM20='INVOCAÇÕES'!$AJ$683,'DADOS_FORMAS'!$AM20='INVOCAÇÕES'!$AK$683,'DADOS_FORMAS'!$AM20=""),'DADOS_FORMAS'!$AR20),'DADOS_FORMAS'!$AH20,"")</f>
        <v/>
      </c>
      <c r="JL20">
        <f>IF(OR('DADOS_FORMAS'!$AM20='INVOCAÇÕES'!$AH$892,'DADOS_FORMAS'!$AM20='INVOCAÇÕES'!$AI$892,'DADOS_FORMAS'!$AM20='INVOCAÇÕES'!$AJ$892,'DADOS_FORMAS'!$AM20='INVOCAÇÕES'!$AK$892,'DADOS_FORMAS'!$AM20='INVOCAÇÕES'!$AL$892,'DADOS_FORMAS'!$AM20='INVOCAÇÕES'!$AH$894,'DADOS_FORMAS'!$AM20='INVOCAÇÕES'!$AI$894,'DADOS_FORMAS'!$AM20='INVOCAÇÕES'!$AJ$894,'DADOS_FORMAS'!$AM20='INVOCAÇÕES'!$AK$894,'DADOS_FORMAS'!$AM20=""),'DADOS_FORMAS'!$AH20,"")</f>
        <v/>
      </c>
      <c r="JM20">
        <f>IF(AND(OR('DADOS_FORMAS'!$AM20='INVOCAÇÕES'!$AH$892,'DADOS_FORMAS'!$AM20='INVOCAÇÕES'!$AI$892,'DADOS_FORMAS'!$AM20='INVOCAÇÕES'!$AJ$892,'DADOS_FORMAS'!$AM20='INVOCAÇÕES'!$AK$892,'DADOS_FORMAS'!$AM20='INVOCAÇÕES'!$AL$892,'DADOS_FORMAS'!$AM20='INVOCAÇÕES'!$AH$894,'DADOS_FORMAS'!$AM20='INVOCAÇÕES'!$AI$894,'DADOS_FORMAS'!$AM20='INVOCAÇÕES'!$AJ$894,'DADOS_FORMAS'!$AM20='INVOCAÇÕES'!$AK$894,'DADOS_FORMAS'!$AM20=""),'DADOS_FORMAS'!$AR20),'DADOS_FORMAS'!$AH20,"")</f>
        <v/>
      </c>
      <c r="JO20">
        <f>IF(OR('DADOS_FORMAS'!$AM20='INVOCAÇÕES'!$AH$1103,'DADOS_FORMAS'!$AM20='INVOCAÇÕES'!$AI$1103,'DADOS_FORMAS'!$AM20='INVOCAÇÕES'!$AJ$1103,'DADOS_FORMAS'!$AM20='INVOCAÇÕES'!$AK$1103,'DADOS_FORMAS'!$AM20='INVOCAÇÕES'!$AL$1103,'DADOS_FORMAS'!$AM20='INVOCAÇÕES'!$AH$1105,'DADOS_FORMAS'!$AM20='INVOCAÇÕES'!$AI$1105,'DADOS_FORMAS'!$AM20='INVOCAÇÕES'!$AJ$1105,'DADOS_FORMAS'!$AM20='INVOCAÇÕES'!$AK$1105,'DADOS_FORMAS'!$AM20=""),'DADOS_FORMAS'!$AH20,"")</f>
        <v/>
      </c>
      <c r="JP20">
        <f>IF(AND(OR('DADOS_FORMAS'!$AM20='INVOCAÇÕES'!$AH$1103,'DADOS_FORMAS'!$AM20='INVOCAÇÕES'!$AI$1103,'DADOS_FORMAS'!$AM20='INVOCAÇÕES'!$AJ$1103,'DADOS_FORMAS'!$AM20='INVOCAÇÕES'!$AK$1103,'DADOS_FORMAS'!$AM20='INVOCAÇÕES'!$AL$1103,'DADOS_FORMAS'!$AM20='INVOCAÇÕES'!$AH$1105,'DADOS_FORMAS'!$AM20='INVOCAÇÕES'!$AI$1105,'DADOS_FORMAS'!$AM20='INVOCAÇÕES'!$AJ$1105,'DADOS_FORMAS'!$AM20='INVOCAÇÕES'!$AK$1105,'DADOS_FORMAS'!$AM20=""),'DADOS_FORMAS'!$AR20),'DADOS_FORMAS'!$AH20,"")</f>
        <v/>
      </c>
      <c r="JZ20">
        <f>IFERROR(INDEX('DADOS_CRIACAO'!$H$2:$H$20,18),"")</f>
        <v/>
      </c>
      <c r="KA20">
        <f>IFERROR(INDEX(INDEX('DADOS_RESTRICOES'!$M$2:$Q$54,0,1),18),"")</f>
        <v/>
      </c>
    </row>
    <row r="21">
      <c r="AG21">
        <f>IF(AND($AF11,$AD11=""),$BV11,"")</f>
        <v/>
      </c>
      <c r="AH21">
        <f>IF(AND($AF11,$AD11=""),$BW11,"")</f>
        <v/>
      </c>
      <c r="AI21">
        <f>IF(AND($AF11,$AD11=""),$BX11,"")</f>
        <v/>
      </c>
      <c r="AJ21">
        <f>IF(AND($AF11,$AD11=""),$BY11,FALSE)</f>
        <v/>
      </c>
      <c r="AK21">
        <f>IF(AND($AF11,$AD11=""),$BZ11,"")</f>
        <v/>
      </c>
      <c r="AL21">
        <f>IF(AND($AF11,$AD11=""),$CA11,"")</f>
        <v/>
      </c>
      <c r="AM21">
        <f>IF(AND($AF11,$AD11=""),$CB11,"")</f>
        <v/>
      </c>
      <c r="AN21">
        <f>IF(AND($AF11,$AD11=""),$CC11,0)</f>
        <v/>
      </c>
      <c r="AO21">
        <f>IF(AND($AF11,$AD11=""),$CD11,"")</f>
        <v/>
      </c>
      <c r="AP21">
        <f>IF(AND($AF11,$AD11=""),$CE11,0)</f>
        <v/>
      </c>
      <c r="AQ21">
        <f>IF(AND($AF11,$AD11=""),$CF11,FALSE)</f>
        <v/>
      </c>
      <c r="AR21">
        <f>IF(AND($AF11,$AD11=""),$CG11,FALSE)</f>
        <v/>
      </c>
      <c r="AS21">
        <f>IF(AND($AF11,$AD11=""),$CH11,"")</f>
        <v/>
      </c>
      <c r="AT21">
        <f>IF(AND($AF11,$AD11=""),$CI11,"")</f>
        <v/>
      </c>
      <c r="AU21">
        <f>IF(AND($AF11,$AD11=""),$CJ11,"")</f>
        <v/>
      </c>
      <c r="AV21">
        <f>IF(AND($AF11,$AD11=""),$CK11,"")</f>
        <v/>
      </c>
      <c r="AW21">
        <f>IF(AND($AF11,$AD11=""),$CL11,"")</f>
        <v/>
      </c>
      <c r="AX21">
        <f>IF(AND($AF11,$AD11=""),$CM11,"")</f>
        <v/>
      </c>
      <c r="AY21">
        <f>IF(AND($AF11,$AD11=""),$CN11,"")</f>
        <v/>
      </c>
      <c r="AZ21">
        <f>IF(AND($AF11,$AD11=""),$CO11,"")</f>
        <v/>
      </c>
      <c r="BA21">
        <f>IF(AND($AF11,$AD11=""),$CP11,"")</f>
        <v/>
      </c>
      <c r="BB21">
        <f>IF(AND($AF11,$AD11=""),$CQ11,"")</f>
        <v/>
      </c>
      <c r="BC21">
        <f>IF(AND($AF11,$AD11=""),$CR11,"")</f>
        <v/>
      </c>
      <c r="BD21">
        <f>IF(AND($AF11,$AD11=""),$CS11,"")</f>
        <v/>
      </c>
      <c r="BE21">
        <f>IF(AND($AF11,$AD11=""),$CT11,"")</f>
        <v/>
      </c>
      <c r="BF21">
        <f>IF(AND($AF11,$AD11=""),$CU11,"")</f>
        <v/>
      </c>
      <c r="BG21">
        <f>IF(AND($AF11,$AD11=""),$CV11,"")</f>
        <v/>
      </c>
      <c r="BH21">
        <f>IF(AND($AF11,$AD11=""),$CW11,"")</f>
        <v/>
      </c>
      <c r="BI21">
        <f>IF(AND($AF11,$AD11=""),$CX11,"")</f>
        <v/>
      </c>
      <c r="BJ21">
        <f>IF(AND($AF11,$AD11=""),$CY11,"")</f>
        <v/>
      </c>
      <c r="BK21">
        <f>IF(AND($AF11,$AD11=""),$CZ11,0)</f>
        <v/>
      </c>
      <c r="BL21">
        <f>IF(AND($AF11,$AD11=""),$DA11,"")</f>
        <v/>
      </c>
      <c r="BM21">
        <f>IF(AND($AF11,$AD11=""),$DB11,"")</f>
        <v/>
      </c>
      <c r="BN21">
        <f>IF(AND($AF11,$AD11=""),$DC11,"")</f>
        <v/>
      </c>
      <c r="BO21">
        <f>IF(AND($AF11,$AD11=""),$DD11,0)</f>
        <v/>
      </c>
      <c r="BP21">
        <f>IF(AND($AF11,$AD11=""),$DE11,"")</f>
        <v/>
      </c>
      <c r="BQ21">
        <f>IF(AND($AF11,$AD11=""),$DF11,"")</f>
        <v/>
      </c>
      <c r="BR21">
        <f>IF(AND($AF11,$AD11=""),$DG11,"")</f>
        <v/>
      </c>
      <c r="BS21">
        <f>IF(AND($AF11,$AD11=""),$DH11,0)</f>
        <v/>
      </c>
      <c r="FJ21">
        <f>'DADOS_FORMAS'!$AH21</f>
        <v/>
      </c>
      <c r="FK21">
        <f>'DADOS_FORMAS'!$AM21</f>
        <v/>
      </c>
      <c r="FL21">
        <f>'DADOS_FORMAS'!$AN21</f>
        <v/>
      </c>
      <c r="FM21">
        <f>IF('DADOS_FORMAS'!$AN21=0,0,'DADOS_FORMAS'!$AN21+3*IFERROR(VLOOKUP(SUBSTITUTE(SUBSTITUTE(SUBSTITUTE('DADOS_FORMAS'!$AM21,"~","~~"),"*","~*"),"?","~?"),'DADOS_CRIACAO'!$H$2:$K$20,3,FALSE),0))</f>
        <v/>
      </c>
      <c r="FN21">
        <f>IFERROR(VLOOKUP(SUBSTITUTE(SUBSTITUTE(SUBSTITUTE('DADOS_FORMAS'!$AM21,"~","~~"),"*","~*"),"?","~?"),'DADOS_CRIACAO'!$H$2:$K$20,4,FALSE),0)</f>
        <v/>
      </c>
      <c r="FO21">
        <f>IF('DADOS_FORMAS'!$AS21="",0,1)</f>
        <v/>
      </c>
      <c r="FP21">
        <f>'DADOS_FORMAS'!$AP21</f>
        <v/>
      </c>
      <c r="FQ21">
        <f>IF(AND('DADOS_FORMAS'!$AO21="Acerto",'DADOS_FORMAS'!$AQ21),"Acerto + TR",'DADOS_FORMAS'!$AO21)</f>
        <v/>
      </c>
      <c r="FR21">
        <f>N(OR('DADOS_FORMAS'!$AQ21,'DADOS_FORMAS'!$AO21="TR, metade"))</f>
        <v/>
      </c>
      <c r="FS21">
        <f>'DADOS_FORMAS'!$BO21</f>
        <v/>
      </c>
      <c r="FT21">
        <f>'DADOS_FORMAS'!$BS21</f>
        <v/>
      </c>
      <c r="FU21">
        <f>'DADOS_FORMAS'!$BK21</f>
        <v/>
      </c>
      <c r="FV21">
        <f>N('DADOS_FORMAS'!$AR21)</f>
        <v/>
      </c>
      <c r="FW21">
        <f>IF(IFERROR(VLOOKUP(SUBSTITUTE(SUBSTITUTE(SUBSTITUTE('DADOS_FORMAS'!$AM21,"~","~~"),"*","~*"),"?","~?"),'DADOS_CRIACAO'!$H$2:$K$20,4,FALSE),0)=1,"",'DADOS_FORMAS'!$AH21)</f>
        <v/>
      </c>
      <c r="FX21">
        <f>IF(AND('DADOS_FORMAS'!$AR21,IFERROR(VLOOKUP(SUBSTITUTE(SUBSTITUTE(SUBSTITUTE('DADOS_FORMAS'!$AM21,"~","~~"),"*","~*"),"?","~?"),'DADOS_CRIACAO'!$H$2:$K$20,4,FALSE),0)=0),'DADOS_FORMAS'!$AH21,"")</f>
        <v/>
      </c>
      <c r="FZ21">
        <f>'DADOS_FORMAS'!$AH21</f>
        <v/>
      </c>
      <c r="GA21">
        <f>'DADOS_FORMAS'!$AM21</f>
        <v/>
      </c>
      <c r="GB21">
        <f>'DADOS_FORMAS'!$AN21</f>
        <v/>
      </c>
      <c r="GC21">
        <f>IF('DADOS_FORMAS'!$AS21="",0,1)</f>
        <v/>
      </c>
      <c r="GD21">
        <f>'DADOS_FORMAS'!$AP21</f>
        <v/>
      </c>
      <c r="GE21">
        <f>IF('DADOS_FORMAS'!$AO21="Acerto","Ataque",IF('DADOS_FORMAS'!$AQ21,"TR","—"))</f>
        <v/>
      </c>
      <c r="GF21">
        <f>N(OR('DADOS_FORMAS'!$AQ21,'DADOS_FORMAS'!$AO21="TR, metade"))</f>
        <v/>
      </c>
      <c r="GG21">
        <f>'DADOS_FORMAS'!$BO21</f>
        <v/>
      </c>
      <c r="GH21">
        <f>'DADOS_FORMAS'!$BS21</f>
        <v/>
      </c>
      <c r="GI21">
        <f>'DADOS_FORMAS'!$BK21</f>
        <v/>
      </c>
      <c r="GJ21">
        <f>N('DADOS_FORMAS'!$AR21)</f>
        <v/>
      </c>
      <c r="GR21">
        <f>'DADOS_FORMAS'!$BP15</f>
        <v/>
      </c>
      <c r="GS21">
        <f>IF('DADOS_FORMAS'!$BP15="area",'DADOS_FORMAS'!$AU15,'DADOS_FORMAS'!$AT15)</f>
        <v/>
      </c>
      <c r="GT21">
        <f>IF('DADOS_FORMAS'!$BP15="area",'DADOS_FORMAS'!$BC15,'DADOS_FORMAS'!$AV15)</f>
        <v/>
      </c>
      <c r="GU21">
        <f>'DADOS_FORMAS'!$BQ15</f>
        <v/>
      </c>
      <c r="GV21">
        <f>'DADOS_FORMAS'!$BR15</f>
        <v/>
      </c>
      <c r="GW21">
        <f>LET(base,'DADOS_FORMAS'!$GT21,escada,'DADOS_FORMAS'!$GS21,medida,LEFT(base,MAX(0,LEN(base)-2)),valor,IFERROR(VALUE(SUBSTITUTE(medida,",",""))/10^IFERROR(LEN(medida)-FIND(",",medida),0),1E99),IF(OR(escada="Fixo",base="—"),base,IF(escada="alcance",IFERROR(MATCH(base,{"1,5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1" t="inlineStr">
        <is>
          <t>Cura · classes 1 a 5</t>
        </is>
      </c>
      <c r="GZ21" t="inlineStr">
        <is>
          <t>Um aliado a 9 m</t>
        </is>
      </c>
      <c r="HA21" t="inlineStr">
        <is>
          <t>Um aliado a 18 m</t>
        </is>
      </c>
      <c r="HB21" t="inlineStr">
        <is>
          <t>Um aliado a 36 m</t>
        </is>
      </c>
      <c r="HC21" t="inlineStr">
        <is>
          <t>Um aliado a 90 m</t>
        </is>
      </c>
      <c r="HD21" t="inlineStr">
        <is>
          <t>Um aliado a visão a olho nu</t>
        </is>
      </c>
      <c r="HE21" t="inlineStr">
        <is>
          <t>Um aliado a visão a olho nu</t>
        </is>
      </c>
      <c r="HF21" t="inlineStr"/>
      <c r="HG21" t="inlineStr"/>
      <c r="HH21" t="inlineStr"/>
      <c r="HI21" t="inlineStr"/>
      <c r="HJ21" t="inlineStr"/>
      <c r="HK21" t="inlineStr"/>
      <c r="HM21">
        <f>'DADOS_FORMAS'!$BP14</f>
        <v/>
      </c>
      <c r="HN21">
        <f>IF('DADOS_FORMAS'!$BP14="area",'DADOS_FORMAS'!$AU14,'DADOS_FORMAS'!$AT14)</f>
        <v/>
      </c>
      <c r="HO21">
        <f>IF('DADOS_FORMAS'!$BP14="area",'DADOS_FORMAS'!$BG14,'DADOS_FORMAS'!$AZ14)</f>
        <v/>
      </c>
      <c r="HP21">
        <f>'DADOS_FORMAS'!$BQ14</f>
        <v/>
      </c>
      <c r="HQ21">
        <f>'DADOS_FORMAS'!$BR14</f>
        <v/>
      </c>
      <c r="HR21">
        <f>LET(base,'DADOS_FORMAS'!$HO21,escada,'DADOS_FORMAS'!$HN21,medida,LEFT(base,MAX(0,LEN(base)-2)),valor,IFERROR(VALUE(SUBSTITUTE(medida,",",""))/10^IFERROR(LEN(medida)-FIND(",",medida),0),1E99),IF(OR(escada="Fixo",base="—"),base,IF(escada="alcance",IFERROR(MATCH(base,{"1,5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1" t="inlineStr">
        <is>
          <t>Cone · classe 7</t>
        </is>
      </c>
      <c r="HU21" t="inlineStr">
        <is>
          <t>Cone de 9 m</t>
        </is>
      </c>
      <c r="HV21" t="inlineStr">
        <is>
          <t>Cone de 18 m</t>
        </is>
      </c>
      <c r="HW21" t="inlineStr">
        <is>
          <t>Cone de 30 m</t>
        </is>
      </c>
      <c r="HX21" t="inlineStr">
        <is>
          <t>Cone de 60 m</t>
        </is>
      </c>
      <c r="HY21" t="inlineStr">
        <is>
          <t>Cone de 60 m</t>
        </is>
      </c>
      <c r="HZ21" t="inlineStr">
        <is>
          <t>Cone de 60 m</t>
        </is>
      </c>
      <c r="IA21" t="inlineStr"/>
      <c r="IB21" t="inlineStr"/>
      <c r="IC21" t="inlineStr"/>
      <c r="ID21" t="inlineStr"/>
      <c r="IE21" t="inlineStr"/>
      <c r="IF21" t="inlineStr"/>
      <c r="IH21">
        <f>IF(OR('DADOS_FORMAS'!$AM21='INVOCAÇÕES'!$O$48,'DADOS_FORMAS'!$AM21='INVOCAÇÕES'!$P$48,'DADOS_FORMAS'!$AM21='INVOCAÇÕES'!$Q$48,'DADOS_FORMAS'!$AM21='INVOCAÇÕES'!$R$48,'DADOS_FORMAS'!$AM21='INVOCAÇÕES'!$S$48,'DADOS_FORMAS'!$AM21='INVOCAÇÕES'!$O$50,'DADOS_FORMAS'!$AM21='INVOCAÇÕES'!$P$50,'DADOS_FORMAS'!$AM21='INVOCAÇÕES'!$Q$50,'DADOS_FORMAS'!$AM21='INVOCAÇÕES'!$R$50,'DADOS_FORMAS'!$AM21=""),'DADOS_FORMAS'!$AH21,"")</f>
        <v/>
      </c>
      <c r="II21">
        <f>IF(AND(OR('DADOS_FORMAS'!$AM21='INVOCAÇÕES'!$O$48,'DADOS_FORMAS'!$AM21='INVOCAÇÕES'!$P$48,'DADOS_FORMAS'!$AM21='INVOCAÇÕES'!$Q$48,'DADOS_FORMAS'!$AM21='INVOCAÇÕES'!$R$48,'DADOS_FORMAS'!$AM21='INVOCAÇÕES'!$S$48,'DADOS_FORMAS'!$AM21='INVOCAÇÕES'!$O$50,'DADOS_FORMAS'!$AM21='INVOCAÇÕES'!$P$50,'DADOS_FORMAS'!$AM21='INVOCAÇÕES'!$Q$50,'DADOS_FORMAS'!$AM21='INVOCAÇÕES'!$R$50,'DADOS_FORMAS'!$AM21=""),'DADOS_FORMAS'!$AR21),'DADOS_FORMAS'!$AH21,"")</f>
        <v/>
      </c>
      <c r="IK21">
        <f>IF(OR('DADOS_FORMAS'!$AM21='INVOCAÇÕES'!$O$259,'DADOS_FORMAS'!$AM21='INVOCAÇÕES'!$P$259,'DADOS_FORMAS'!$AM21='INVOCAÇÕES'!$Q$259,'DADOS_FORMAS'!$AM21='INVOCAÇÕES'!$R$259,'DADOS_FORMAS'!$AM21='INVOCAÇÕES'!$S$259,'DADOS_FORMAS'!$AM21='INVOCAÇÕES'!$O$261,'DADOS_FORMAS'!$AM21='INVOCAÇÕES'!$P$261,'DADOS_FORMAS'!$AM21='INVOCAÇÕES'!$Q$261,'DADOS_FORMAS'!$AM21='INVOCAÇÕES'!$R$261,'DADOS_FORMAS'!$AM21=""),'DADOS_FORMAS'!$AH21,"")</f>
        <v/>
      </c>
      <c r="IL21">
        <f>IF(AND(OR('DADOS_FORMAS'!$AM21='INVOCAÇÕES'!$O$259,'DADOS_FORMAS'!$AM21='INVOCAÇÕES'!$P$259,'DADOS_FORMAS'!$AM21='INVOCAÇÕES'!$Q$259,'DADOS_FORMAS'!$AM21='INVOCAÇÕES'!$R$259,'DADOS_FORMAS'!$AM21='INVOCAÇÕES'!$S$259,'DADOS_FORMAS'!$AM21='INVOCAÇÕES'!$O$261,'DADOS_FORMAS'!$AM21='INVOCAÇÕES'!$P$261,'DADOS_FORMAS'!$AM21='INVOCAÇÕES'!$Q$261,'DADOS_FORMAS'!$AM21='INVOCAÇÕES'!$R$261,'DADOS_FORMAS'!$AM21=""),'DADOS_FORMAS'!$AR21),'DADOS_FORMAS'!$AH21,"")</f>
        <v/>
      </c>
      <c r="IN21">
        <f>IF(OR('DADOS_FORMAS'!$AM21='INVOCAÇÕES'!$O$470,'DADOS_FORMAS'!$AM21='INVOCAÇÕES'!$P$470,'DADOS_FORMAS'!$AM21='INVOCAÇÕES'!$Q$470,'DADOS_FORMAS'!$AM21='INVOCAÇÕES'!$R$470,'DADOS_FORMAS'!$AM21='INVOCAÇÕES'!$S$470,'DADOS_FORMAS'!$AM21='INVOCAÇÕES'!$O$472,'DADOS_FORMAS'!$AM21='INVOCAÇÕES'!$P$472,'DADOS_FORMAS'!$AM21='INVOCAÇÕES'!$Q$472,'DADOS_FORMAS'!$AM21='INVOCAÇÕES'!$R$472,'DADOS_FORMAS'!$AM21=""),'DADOS_FORMAS'!$AH21,"")</f>
        <v/>
      </c>
      <c r="IO21">
        <f>IF(AND(OR('DADOS_FORMAS'!$AM21='INVOCAÇÕES'!$O$470,'DADOS_FORMAS'!$AM21='INVOCAÇÕES'!$P$470,'DADOS_FORMAS'!$AM21='INVOCAÇÕES'!$Q$470,'DADOS_FORMAS'!$AM21='INVOCAÇÕES'!$R$470,'DADOS_FORMAS'!$AM21='INVOCAÇÕES'!$S$470,'DADOS_FORMAS'!$AM21='INVOCAÇÕES'!$O$472,'DADOS_FORMAS'!$AM21='INVOCAÇÕES'!$P$472,'DADOS_FORMAS'!$AM21='INVOCAÇÕES'!$Q$472,'DADOS_FORMAS'!$AM21='INVOCAÇÕES'!$R$472,'DADOS_FORMAS'!$AM21=""),'DADOS_FORMAS'!$AR21),'DADOS_FORMAS'!$AH21,"")</f>
        <v/>
      </c>
      <c r="IQ21">
        <f>IF(OR('DADOS_FORMAS'!$AM21='INVOCAÇÕES'!$O$681,'DADOS_FORMAS'!$AM21='INVOCAÇÕES'!$P$681,'DADOS_FORMAS'!$AM21='INVOCAÇÕES'!$Q$681,'DADOS_FORMAS'!$AM21='INVOCAÇÕES'!$R$681,'DADOS_FORMAS'!$AM21='INVOCAÇÕES'!$S$681,'DADOS_FORMAS'!$AM21='INVOCAÇÕES'!$O$683,'DADOS_FORMAS'!$AM21='INVOCAÇÕES'!$P$683,'DADOS_FORMAS'!$AM21='INVOCAÇÕES'!$Q$683,'DADOS_FORMAS'!$AM21='INVOCAÇÕES'!$R$683,'DADOS_FORMAS'!$AM21=""),'DADOS_FORMAS'!$AH21,"")</f>
        <v/>
      </c>
      <c r="IR21">
        <f>IF(AND(OR('DADOS_FORMAS'!$AM21='INVOCAÇÕES'!$O$681,'DADOS_FORMAS'!$AM21='INVOCAÇÕES'!$P$681,'DADOS_FORMAS'!$AM21='INVOCAÇÕES'!$Q$681,'DADOS_FORMAS'!$AM21='INVOCAÇÕES'!$R$681,'DADOS_FORMAS'!$AM21='INVOCAÇÕES'!$S$681,'DADOS_FORMAS'!$AM21='INVOCAÇÕES'!$O$683,'DADOS_FORMAS'!$AM21='INVOCAÇÕES'!$P$683,'DADOS_FORMAS'!$AM21='INVOCAÇÕES'!$Q$683,'DADOS_FORMAS'!$AM21='INVOCAÇÕES'!$R$683,'DADOS_FORMAS'!$AM21=""),'DADOS_FORMAS'!$AR21),'DADOS_FORMAS'!$AH21,"")</f>
        <v/>
      </c>
      <c r="IT21">
        <f>IF(OR('DADOS_FORMAS'!$AM21='INVOCAÇÕES'!$O$892,'DADOS_FORMAS'!$AM21='INVOCAÇÕES'!$P$892,'DADOS_FORMAS'!$AM21='INVOCAÇÕES'!$Q$892,'DADOS_FORMAS'!$AM21='INVOCAÇÕES'!$R$892,'DADOS_FORMAS'!$AM21='INVOCAÇÕES'!$S$892,'DADOS_FORMAS'!$AM21='INVOCAÇÕES'!$O$894,'DADOS_FORMAS'!$AM21='INVOCAÇÕES'!$P$894,'DADOS_FORMAS'!$AM21='INVOCAÇÕES'!$Q$894,'DADOS_FORMAS'!$AM21='INVOCAÇÕES'!$R$894,'DADOS_FORMAS'!$AM21=""),'DADOS_FORMAS'!$AH21,"")</f>
        <v/>
      </c>
      <c r="IU21">
        <f>IF(AND(OR('DADOS_FORMAS'!$AM21='INVOCAÇÕES'!$O$892,'DADOS_FORMAS'!$AM21='INVOCAÇÕES'!$P$892,'DADOS_FORMAS'!$AM21='INVOCAÇÕES'!$Q$892,'DADOS_FORMAS'!$AM21='INVOCAÇÕES'!$R$892,'DADOS_FORMAS'!$AM21='INVOCAÇÕES'!$S$892,'DADOS_FORMAS'!$AM21='INVOCAÇÕES'!$O$894,'DADOS_FORMAS'!$AM21='INVOCAÇÕES'!$P$894,'DADOS_FORMAS'!$AM21='INVOCAÇÕES'!$Q$894,'DADOS_FORMAS'!$AM21='INVOCAÇÕES'!$R$894,'DADOS_FORMAS'!$AM21=""),'DADOS_FORMAS'!$AR21),'DADOS_FORMAS'!$AH21,"")</f>
        <v/>
      </c>
      <c r="IW21">
        <f>IF(OR('DADOS_FORMAS'!$AM21='INVOCAÇÕES'!$O$1103,'DADOS_FORMAS'!$AM21='INVOCAÇÕES'!$P$1103,'DADOS_FORMAS'!$AM21='INVOCAÇÕES'!$Q$1103,'DADOS_FORMAS'!$AM21='INVOCAÇÕES'!$R$1103,'DADOS_FORMAS'!$AM21='INVOCAÇÕES'!$S$1103,'DADOS_FORMAS'!$AM21='INVOCAÇÕES'!$O$1105,'DADOS_FORMAS'!$AM21='INVOCAÇÕES'!$P$1105,'DADOS_FORMAS'!$AM21='INVOCAÇÕES'!$Q$1105,'DADOS_FORMAS'!$AM21='INVOCAÇÕES'!$R$1105,'DADOS_FORMAS'!$AM21=""),'DADOS_FORMAS'!$AH21,"")</f>
        <v/>
      </c>
      <c r="IX21">
        <f>IF(AND(OR('DADOS_FORMAS'!$AM21='INVOCAÇÕES'!$O$1103,'DADOS_FORMAS'!$AM21='INVOCAÇÕES'!$P$1103,'DADOS_FORMAS'!$AM21='INVOCAÇÕES'!$Q$1103,'DADOS_FORMAS'!$AM21='INVOCAÇÕES'!$R$1103,'DADOS_FORMAS'!$AM21='INVOCAÇÕES'!$S$1103,'DADOS_FORMAS'!$AM21='INVOCAÇÕES'!$O$1105,'DADOS_FORMAS'!$AM21='INVOCAÇÕES'!$P$1105,'DADOS_FORMAS'!$AM21='INVOCAÇÕES'!$Q$1105,'DADOS_FORMAS'!$AM21='INVOCAÇÕES'!$R$1105,'DADOS_FORMAS'!$AM21=""),'DADOS_FORMAS'!$AR21),'DADOS_FORMAS'!$AH21,"")</f>
        <v/>
      </c>
      <c r="IZ21">
        <f>IF(OR('DADOS_FORMAS'!$AM21='INVOCAÇÕES'!$AH$48,'DADOS_FORMAS'!$AM21='INVOCAÇÕES'!$AI$48,'DADOS_FORMAS'!$AM21='INVOCAÇÕES'!$AJ$48,'DADOS_FORMAS'!$AM21='INVOCAÇÕES'!$AK$48,'DADOS_FORMAS'!$AM21='INVOCAÇÕES'!$AL$48,'DADOS_FORMAS'!$AM21='INVOCAÇÕES'!$AH$50,'DADOS_FORMAS'!$AM21='INVOCAÇÕES'!$AI$50,'DADOS_FORMAS'!$AM21='INVOCAÇÕES'!$AJ$50,'DADOS_FORMAS'!$AM21='INVOCAÇÕES'!$AK$50,'DADOS_FORMAS'!$AM21=""),'DADOS_FORMAS'!$AH21,"")</f>
        <v/>
      </c>
      <c r="JA21">
        <f>IF(AND(OR('DADOS_FORMAS'!$AM21='INVOCAÇÕES'!$AH$48,'DADOS_FORMAS'!$AM21='INVOCAÇÕES'!$AI$48,'DADOS_FORMAS'!$AM21='INVOCAÇÕES'!$AJ$48,'DADOS_FORMAS'!$AM21='INVOCAÇÕES'!$AK$48,'DADOS_FORMAS'!$AM21='INVOCAÇÕES'!$AL$48,'DADOS_FORMAS'!$AM21='INVOCAÇÕES'!$AH$50,'DADOS_FORMAS'!$AM21='INVOCAÇÕES'!$AI$50,'DADOS_FORMAS'!$AM21='INVOCAÇÕES'!$AJ$50,'DADOS_FORMAS'!$AM21='INVOCAÇÕES'!$AK$50,'DADOS_FORMAS'!$AM21=""),'DADOS_FORMAS'!$AR21),'DADOS_FORMAS'!$AH21,"")</f>
        <v/>
      </c>
      <c r="JC21">
        <f>IF(OR('DADOS_FORMAS'!$AM21='INVOCAÇÕES'!$AH$259,'DADOS_FORMAS'!$AM21='INVOCAÇÕES'!$AI$259,'DADOS_FORMAS'!$AM21='INVOCAÇÕES'!$AJ$259,'DADOS_FORMAS'!$AM21='INVOCAÇÕES'!$AK$259,'DADOS_FORMAS'!$AM21='INVOCAÇÕES'!$AL$259,'DADOS_FORMAS'!$AM21='INVOCAÇÕES'!$AH$261,'DADOS_FORMAS'!$AM21='INVOCAÇÕES'!$AI$261,'DADOS_FORMAS'!$AM21='INVOCAÇÕES'!$AJ$261,'DADOS_FORMAS'!$AM21='INVOCAÇÕES'!$AK$261,'DADOS_FORMAS'!$AM21=""),'DADOS_FORMAS'!$AH21,"")</f>
        <v/>
      </c>
      <c r="JD21">
        <f>IF(AND(OR('DADOS_FORMAS'!$AM21='INVOCAÇÕES'!$AH$259,'DADOS_FORMAS'!$AM21='INVOCAÇÕES'!$AI$259,'DADOS_FORMAS'!$AM21='INVOCAÇÕES'!$AJ$259,'DADOS_FORMAS'!$AM21='INVOCAÇÕES'!$AK$259,'DADOS_FORMAS'!$AM21='INVOCAÇÕES'!$AL$259,'DADOS_FORMAS'!$AM21='INVOCAÇÕES'!$AH$261,'DADOS_FORMAS'!$AM21='INVOCAÇÕES'!$AI$261,'DADOS_FORMAS'!$AM21='INVOCAÇÕES'!$AJ$261,'DADOS_FORMAS'!$AM21='INVOCAÇÕES'!$AK$261,'DADOS_FORMAS'!$AM21=""),'DADOS_FORMAS'!$AR21),'DADOS_FORMAS'!$AH21,"")</f>
        <v/>
      </c>
      <c r="JF21">
        <f>IF(OR('DADOS_FORMAS'!$AM21='INVOCAÇÕES'!$AH$470,'DADOS_FORMAS'!$AM21='INVOCAÇÕES'!$AI$470,'DADOS_FORMAS'!$AM21='INVOCAÇÕES'!$AJ$470,'DADOS_FORMAS'!$AM21='INVOCAÇÕES'!$AK$470,'DADOS_FORMAS'!$AM21='INVOCAÇÕES'!$AL$470,'DADOS_FORMAS'!$AM21='INVOCAÇÕES'!$AH$472,'DADOS_FORMAS'!$AM21='INVOCAÇÕES'!$AI$472,'DADOS_FORMAS'!$AM21='INVOCAÇÕES'!$AJ$472,'DADOS_FORMAS'!$AM21='INVOCAÇÕES'!$AK$472,'DADOS_FORMAS'!$AM21=""),'DADOS_FORMAS'!$AH21,"")</f>
        <v/>
      </c>
      <c r="JG21">
        <f>IF(AND(OR('DADOS_FORMAS'!$AM21='INVOCAÇÕES'!$AH$470,'DADOS_FORMAS'!$AM21='INVOCAÇÕES'!$AI$470,'DADOS_FORMAS'!$AM21='INVOCAÇÕES'!$AJ$470,'DADOS_FORMAS'!$AM21='INVOCAÇÕES'!$AK$470,'DADOS_FORMAS'!$AM21='INVOCAÇÕES'!$AL$470,'DADOS_FORMAS'!$AM21='INVOCAÇÕES'!$AH$472,'DADOS_FORMAS'!$AM21='INVOCAÇÕES'!$AI$472,'DADOS_FORMAS'!$AM21='INVOCAÇÕES'!$AJ$472,'DADOS_FORMAS'!$AM21='INVOCAÇÕES'!$AK$472,'DADOS_FORMAS'!$AM21=""),'DADOS_FORMAS'!$AR21),'DADOS_FORMAS'!$AH21,"")</f>
        <v/>
      </c>
      <c r="JI21">
        <f>IF(OR('DADOS_FORMAS'!$AM21='INVOCAÇÕES'!$AH$681,'DADOS_FORMAS'!$AM21='INVOCAÇÕES'!$AI$681,'DADOS_FORMAS'!$AM21='INVOCAÇÕES'!$AJ$681,'DADOS_FORMAS'!$AM21='INVOCAÇÕES'!$AK$681,'DADOS_FORMAS'!$AM21='INVOCAÇÕES'!$AL$681,'DADOS_FORMAS'!$AM21='INVOCAÇÕES'!$AH$683,'DADOS_FORMAS'!$AM21='INVOCAÇÕES'!$AI$683,'DADOS_FORMAS'!$AM21='INVOCAÇÕES'!$AJ$683,'DADOS_FORMAS'!$AM21='INVOCAÇÕES'!$AK$683,'DADOS_FORMAS'!$AM21=""),'DADOS_FORMAS'!$AH21,"")</f>
        <v/>
      </c>
      <c r="JJ21">
        <f>IF(AND(OR('DADOS_FORMAS'!$AM21='INVOCAÇÕES'!$AH$681,'DADOS_FORMAS'!$AM21='INVOCAÇÕES'!$AI$681,'DADOS_FORMAS'!$AM21='INVOCAÇÕES'!$AJ$681,'DADOS_FORMAS'!$AM21='INVOCAÇÕES'!$AK$681,'DADOS_FORMAS'!$AM21='INVOCAÇÕES'!$AL$681,'DADOS_FORMAS'!$AM21='INVOCAÇÕES'!$AH$683,'DADOS_FORMAS'!$AM21='INVOCAÇÕES'!$AI$683,'DADOS_FORMAS'!$AM21='INVOCAÇÕES'!$AJ$683,'DADOS_FORMAS'!$AM21='INVOCAÇÕES'!$AK$683,'DADOS_FORMAS'!$AM21=""),'DADOS_FORMAS'!$AR21),'DADOS_FORMAS'!$AH21,"")</f>
        <v/>
      </c>
      <c r="JL21">
        <f>IF(OR('DADOS_FORMAS'!$AM21='INVOCAÇÕES'!$AH$892,'DADOS_FORMAS'!$AM21='INVOCAÇÕES'!$AI$892,'DADOS_FORMAS'!$AM21='INVOCAÇÕES'!$AJ$892,'DADOS_FORMAS'!$AM21='INVOCAÇÕES'!$AK$892,'DADOS_FORMAS'!$AM21='INVOCAÇÕES'!$AL$892,'DADOS_FORMAS'!$AM21='INVOCAÇÕES'!$AH$894,'DADOS_FORMAS'!$AM21='INVOCAÇÕES'!$AI$894,'DADOS_FORMAS'!$AM21='INVOCAÇÕES'!$AJ$894,'DADOS_FORMAS'!$AM21='INVOCAÇÕES'!$AK$894,'DADOS_FORMAS'!$AM21=""),'DADOS_FORMAS'!$AH21,"")</f>
        <v/>
      </c>
      <c r="JM21">
        <f>IF(AND(OR('DADOS_FORMAS'!$AM21='INVOCAÇÕES'!$AH$892,'DADOS_FORMAS'!$AM21='INVOCAÇÕES'!$AI$892,'DADOS_FORMAS'!$AM21='INVOCAÇÕES'!$AJ$892,'DADOS_FORMAS'!$AM21='INVOCAÇÕES'!$AK$892,'DADOS_FORMAS'!$AM21='INVOCAÇÕES'!$AL$892,'DADOS_FORMAS'!$AM21='INVOCAÇÕES'!$AH$894,'DADOS_FORMAS'!$AM21='INVOCAÇÕES'!$AI$894,'DADOS_FORMAS'!$AM21='INVOCAÇÕES'!$AJ$894,'DADOS_FORMAS'!$AM21='INVOCAÇÕES'!$AK$894,'DADOS_FORMAS'!$AM21=""),'DADOS_FORMAS'!$AR21),'DADOS_FORMAS'!$AH21,"")</f>
        <v/>
      </c>
      <c r="JO21">
        <f>IF(OR('DADOS_FORMAS'!$AM21='INVOCAÇÕES'!$AH$1103,'DADOS_FORMAS'!$AM21='INVOCAÇÕES'!$AI$1103,'DADOS_FORMAS'!$AM21='INVOCAÇÕES'!$AJ$1103,'DADOS_FORMAS'!$AM21='INVOCAÇÕES'!$AK$1103,'DADOS_FORMAS'!$AM21='INVOCAÇÕES'!$AL$1103,'DADOS_FORMAS'!$AM21='INVOCAÇÕES'!$AH$1105,'DADOS_FORMAS'!$AM21='INVOCAÇÕES'!$AI$1105,'DADOS_FORMAS'!$AM21='INVOCAÇÕES'!$AJ$1105,'DADOS_FORMAS'!$AM21='INVOCAÇÕES'!$AK$1105,'DADOS_FORMAS'!$AM21=""),'DADOS_FORMAS'!$AH21,"")</f>
        <v/>
      </c>
      <c r="JP21">
        <f>IF(AND(OR('DADOS_FORMAS'!$AM21='INVOCAÇÕES'!$AH$1103,'DADOS_FORMAS'!$AM21='INVOCAÇÕES'!$AI$1103,'DADOS_FORMAS'!$AM21='INVOCAÇÕES'!$AJ$1103,'DADOS_FORMAS'!$AM21='INVOCAÇÕES'!$AK$1103,'DADOS_FORMAS'!$AM21='INVOCAÇÕES'!$AL$1103,'DADOS_FORMAS'!$AM21='INVOCAÇÕES'!$AH$1105,'DADOS_FORMAS'!$AM21='INVOCAÇÕES'!$AI$1105,'DADOS_FORMAS'!$AM21='INVOCAÇÕES'!$AJ$1105,'DADOS_FORMAS'!$AM21='INVOCAÇÕES'!$AK$1105,'DADOS_FORMAS'!$AM21=""),'DADOS_FORMAS'!$AR21),'DADOS_FORMAS'!$AH21,"")</f>
        <v/>
      </c>
      <c r="JZ21">
        <f>IFERROR(INDEX('DADOS_CRIACAO'!$H$2:$H$20,19),"")</f>
        <v/>
      </c>
      <c r="KA21">
        <f>IFERROR(INDEX(INDEX('DADOS_RESTRICOES'!$M$2:$Q$54,0,1),19),"")</f>
        <v/>
      </c>
    </row>
    <row r="22">
      <c r="GR22">
        <f>'DADOS_FORMAS'!$BL15</f>
        <v/>
      </c>
      <c r="GS22">
        <f>IF('DADOS_FORMAS'!$BL15="area",'DADOS_FORMAS'!$AU15,'DADOS_FORMAS'!$AT15)</f>
        <v/>
      </c>
      <c r="GT22">
        <f>IF('DADOS_FORMAS'!$BL15="area",'DADOS_FORMAS'!$BD15,'DADOS_FORMAS'!$AW15)</f>
        <v/>
      </c>
      <c r="GU22">
        <f>'DADOS_FORMAS'!$BM15</f>
        <v/>
      </c>
      <c r="GV22">
        <f>'DADOS_FORMAS'!$BN15</f>
        <v/>
      </c>
      <c r="GW22">
        <f>LET(base,'DADOS_FORMAS'!$GT22,escada,'DADOS_FORMAS'!$GS22,medida,LEFT(base,MAX(0,LEN(base)-2)),valor,IFERROR(VALUE(SUBSTITUTE(medida,",",""))/10^IFERROR(LEN(medida)-FIND(",",medida),0),1E99),IF(OR(escada="Fixo",base="—"),base,IF(escada="alcance",IFERROR(MATCH(base,{"1,5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2" t="inlineStr">
        <is>
          <t>Cura · classes 6 e 7</t>
        </is>
      </c>
      <c r="GZ22" t="inlineStr">
        <is>
          <t>Um aliado a 18 m</t>
        </is>
      </c>
      <c r="HA22" t="inlineStr">
        <is>
          <t>Um aliado a 36 m</t>
        </is>
      </c>
      <c r="HB22" t="inlineStr">
        <is>
          <t>Um aliado a 90 m</t>
        </is>
      </c>
      <c r="HC22" t="inlineStr">
        <is>
          <t>Um aliado a visão a olho nu</t>
        </is>
      </c>
      <c r="HD22" t="inlineStr">
        <is>
          <t>Um aliado a visão a olho nu</t>
        </is>
      </c>
      <c r="HE22" t="inlineStr">
        <is>
          <t>Um aliado a visão a olho nu</t>
        </is>
      </c>
      <c r="HF22" t="inlineStr"/>
      <c r="HG22" t="inlineStr"/>
      <c r="HH22" t="inlineStr"/>
      <c r="HI22" t="inlineStr"/>
      <c r="HJ22" t="inlineStr"/>
      <c r="HK22" t="inlineStr"/>
      <c r="HM22">
        <f>'DADOS_FORMAS'!$BL14</f>
        <v/>
      </c>
      <c r="HN22">
        <f>IF('DADOS_FORMAS'!$BL14="area",'DADOS_FORMAS'!$AU14,'DADOS_FORMAS'!$AT14)</f>
        <v/>
      </c>
      <c r="HO22">
        <f>IF('DADOS_FORMAS'!$BL14="area",'DADOS_FORMAS'!$BH14,'DADOS_FORMAS'!$BA14)</f>
        <v/>
      </c>
      <c r="HP22">
        <f>'DADOS_FORMAS'!$BM14</f>
        <v/>
      </c>
      <c r="HQ22">
        <f>'DADOS_FORMAS'!$BN14</f>
        <v/>
      </c>
      <c r="HR22">
        <f>LET(base,'DADOS_FORMAS'!$HO22,escada,'DADOS_FORMAS'!$HN22,medida,LEFT(base,MAX(0,LEN(base)-2)),valor,IFERROR(VALUE(SUBSTITUTE(medida,",",""))/10^IFERROR(LEN(medida)-FIND(",",medida),0),1E99),IF(OR(escada="Fixo",base="—"),base,IF(escada="alcance",IFERROR(MATCH(base,{"1,5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2" t="inlineStr">
        <is>
          <t>Linha · classe 0</t>
        </is>
      </c>
      <c r="HU22" t="inlineStr">
        <is>
          <t>Linha de 9 m por 1,5 m</t>
        </is>
      </c>
      <c r="HV22" t="inlineStr">
        <is>
          <t>Linha de 18 m por 1,5 m</t>
        </is>
      </c>
      <c r="HW22" t="inlineStr">
        <is>
          <t>Linha de 30 m por 1,5 m</t>
        </is>
      </c>
      <c r="HX22" t="inlineStr">
        <is>
          <t>Linha de 60 m por 1,5 m</t>
        </is>
      </c>
      <c r="HY22" t="inlineStr">
        <is>
          <t>Linha de 60 m por 1,5 m</t>
        </is>
      </c>
      <c r="HZ22" t="inlineStr">
        <is>
          <t>Linha de 60 m por 1,5 m</t>
        </is>
      </c>
      <c r="IA22" t="inlineStr"/>
      <c r="IB22" t="inlineStr"/>
      <c r="IC22" t="inlineStr"/>
      <c r="ID22" t="inlineStr"/>
      <c r="IE22" t="inlineStr"/>
      <c r="IF22" t="inlineStr"/>
      <c r="KA22">
        <f>IFERROR(INDEX(INDEX('DADOS_RESTRICOES'!$M$2:$Q$54,0,1),20),"")</f>
        <v/>
      </c>
    </row>
    <row r="23">
      <c r="GR23">
        <f>'DADOS_FORMAS'!$BP15</f>
        <v/>
      </c>
      <c r="GS23">
        <f>IF('DADOS_FORMAS'!$BP15="area",'DADOS_FORMAS'!$AU15,'DADOS_FORMAS'!$AT15)</f>
        <v/>
      </c>
      <c r="GT23">
        <f>IF('DADOS_FORMAS'!$BP15="area",'DADOS_FORMAS'!$BD15,'DADOS_FORMAS'!$AW15)</f>
        <v/>
      </c>
      <c r="GU23">
        <f>'DADOS_FORMAS'!$BQ15</f>
        <v/>
      </c>
      <c r="GV23">
        <f>'DADOS_FORMAS'!$BR15</f>
        <v/>
      </c>
      <c r="GW23">
        <f>LET(base,'DADOS_FORMAS'!$GT23,escada,'DADOS_FORMAS'!$GS23,medida,LEFT(base,MAX(0,LEN(base)-2)),valor,IFERROR(VALUE(SUBSTITUTE(medida,",",""))/10^IFERROR(LEN(medida)-FIND(",",medida),0),1E99),IF(OR(escada="Fixo",base="—"),base,IF(escada="alcance",IFERROR(MATCH(base,{"1,5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3" t="inlineStr">
        <is>
          <t>Apoio · classe 0</t>
        </is>
      </c>
      <c r="GZ23" t="inlineStr">
        <is>
          <t>Um aliado a 4,5 m</t>
        </is>
      </c>
      <c r="HA23" t="inlineStr">
        <is>
          <t>Um aliado a 9 m</t>
        </is>
      </c>
      <c r="HB23" t="inlineStr">
        <is>
          <t>Um aliado a 18 m</t>
        </is>
      </c>
      <c r="HC23" t="inlineStr">
        <is>
          <t>Um aliado a 36 m</t>
        </is>
      </c>
      <c r="HD23" t="inlineStr">
        <is>
          <t>Um aliado a 90 m</t>
        </is>
      </c>
      <c r="HE23" t="inlineStr">
        <is>
          <t>Um aliado a visão a olho nu</t>
        </is>
      </c>
      <c r="HF23" t="inlineStr"/>
      <c r="HG23" t="inlineStr"/>
      <c r="HH23" t="inlineStr"/>
      <c r="HI23" t="inlineStr"/>
      <c r="HJ23" t="inlineStr"/>
      <c r="HK23" t="inlineStr"/>
      <c r="HM23">
        <f>'DADOS_FORMAS'!$BP14</f>
        <v/>
      </c>
      <c r="HN23">
        <f>IF('DADOS_FORMAS'!$BP14="area",'DADOS_FORMAS'!$AU14,'DADOS_FORMAS'!$AT14)</f>
        <v/>
      </c>
      <c r="HO23">
        <f>IF('DADOS_FORMAS'!$BP14="area",'DADOS_FORMAS'!$BH14,'DADOS_FORMAS'!$BA14)</f>
        <v/>
      </c>
      <c r="HP23">
        <f>'DADOS_FORMAS'!$BQ14</f>
        <v/>
      </c>
      <c r="HQ23">
        <f>'DADOS_FORMAS'!$BR14</f>
        <v/>
      </c>
      <c r="HR23">
        <f>LET(base,'DADOS_FORMAS'!$HO23,escada,'DADOS_FORMAS'!$HN23,medida,LEFT(base,MAX(0,LEN(base)-2)),valor,IFERROR(VALUE(SUBSTITUTE(medida,",",""))/10^IFERROR(LEN(medida)-FIND(",",medida),0),1E99),IF(OR(escada="Fixo",base="—"),base,IF(escada="alcance",IFERROR(MATCH(base,{"1,5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3" t="inlineStr">
        <is>
          <t>Linha · classes 1 a 5</t>
        </is>
      </c>
      <c r="HU23" t="inlineStr">
        <is>
          <t>Linha de 18 m por 1,5 m</t>
        </is>
      </c>
      <c r="HV23" t="inlineStr">
        <is>
          <t>Linha de 30 m por 1,5 m</t>
        </is>
      </c>
      <c r="HW23" t="inlineStr">
        <is>
          <t>Linha de 60 m por 1,5 m</t>
        </is>
      </c>
      <c r="HX23" t="inlineStr">
        <is>
          <t>Linha de 60 m por 1,5 m</t>
        </is>
      </c>
      <c r="HY23" t="inlineStr">
        <is>
          <t>Linha de 60 m por 1,5 m</t>
        </is>
      </c>
      <c r="HZ23" t="inlineStr">
        <is>
          <t>Linha de 60 m por 1,5 m</t>
        </is>
      </c>
      <c r="IA23" t="inlineStr"/>
      <c r="IB23" t="inlineStr"/>
      <c r="IC23" t="inlineStr"/>
      <c r="ID23" t="inlineStr"/>
      <c r="IE23" t="inlineStr"/>
      <c r="IF23" t="inlineStr"/>
      <c r="KA23">
        <f>IFERROR(INDEX(INDEX('DADOS_RESTRICOES'!$M$2:$Q$54,0,1),21),"")</f>
        <v/>
      </c>
    </row>
    <row r="24">
      <c r="GR24">
        <f>'DADOS_FORMAS'!$BL15</f>
        <v/>
      </c>
      <c r="GS24">
        <f>IF('DADOS_FORMAS'!$BL15="area",'DADOS_FORMAS'!$AU15,'DADOS_FORMAS'!$AT15)</f>
        <v/>
      </c>
      <c r="GT24">
        <f>IF('DADOS_FORMAS'!$BL15="area",'DADOS_FORMAS'!$BE15,'DADOS_FORMAS'!$AX15)</f>
        <v/>
      </c>
      <c r="GU24">
        <f>'DADOS_FORMAS'!$BM15</f>
        <v/>
      </c>
      <c r="GV24">
        <f>'DADOS_FORMAS'!$BN15</f>
        <v/>
      </c>
      <c r="GW24">
        <f>LET(base,'DADOS_FORMAS'!$GT24,escada,'DADOS_FORMAS'!$GS24,medida,LEFT(base,MAX(0,LEN(base)-2)),valor,IFERROR(VALUE(SUBSTITUTE(medida,",",""))/10^IFERROR(LEN(medida)-FIND(",",medida),0),1E99),IF(OR(escada="Fixo",base="—"),base,IF(escada="alcance",IFERROR(MATCH(base,{"1,5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4" t="inlineStr">
        <is>
          <t>Apoio · classes 1 a 5</t>
        </is>
      </c>
      <c r="GZ24" t="inlineStr">
        <is>
          <t>Um aliado a 9 m</t>
        </is>
      </c>
      <c r="HA24" t="inlineStr">
        <is>
          <t>Um aliado a 18 m</t>
        </is>
      </c>
      <c r="HB24" t="inlineStr">
        <is>
          <t>Um aliado a 36 m</t>
        </is>
      </c>
      <c r="HC24" t="inlineStr">
        <is>
          <t>Um aliado a 90 m</t>
        </is>
      </c>
      <c r="HD24" t="inlineStr">
        <is>
          <t>Um aliado a visão a olho nu</t>
        </is>
      </c>
      <c r="HE24" t="inlineStr">
        <is>
          <t>Um aliado a visão a olho nu</t>
        </is>
      </c>
      <c r="HF24" t="inlineStr"/>
      <c r="HG24" t="inlineStr"/>
      <c r="HH24" t="inlineStr"/>
      <c r="HI24" t="inlineStr"/>
      <c r="HJ24" t="inlineStr"/>
      <c r="HK24" t="inlineStr"/>
      <c r="HM24">
        <f>'DADOS_FORMAS'!$BL14</f>
        <v/>
      </c>
      <c r="HN24">
        <f>IF('DADOS_FORMAS'!$BL14="area",'DADOS_FORMAS'!$AU14,'DADOS_FORMAS'!$AT14)</f>
        <v/>
      </c>
      <c r="HO24">
        <f>IF('DADOS_FORMAS'!$BL14="area",'DADOS_FORMAS'!$BI14,'DADOS_FORMAS'!$BB14)</f>
        <v/>
      </c>
      <c r="HP24">
        <f>'DADOS_FORMAS'!$BM14</f>
        <v/>
      </c>
      <c r="HQ24">
        <f>'DADOS_FORMAS'!$BN14</f>
        <v/>
      </c>
      <c r="HR24">
        <f>LET(base,'DADOS_FORMAS'!$HO24,escada,'DADOS_FORMAS'!$HN24,medida,LEFT(base,MAX(0,LEN(base)-2)),valor,IFERROR(VALUE(SUBSTITUTE(medida,",",""))/10^IFERROR(LEN(medida)-FIND(",",medida),0),1E99),IF(OR(escada="Fixo",base="—"),base,IF(escada="alcance",IFERROR(MATCH(base,{"1,5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4" t="inlineStr">
        <is>
          <t>Linha · classe 6</t>
        </is>
      </c>
      <c r="HU24" t="inlineStr">
        <is>
          <t>Linha de 18 m por 1,5 m</t>
        </is>
      </c>
      <c r="HV24" t="inlineStr">
        <is>
          <t>Linha de 30 m por 1,5 m</t>
        </is>
      </c>
      <c r="HW24" t="inlineStr">
        <is>
          <t>Linha de 60 m por 1,5 m</t>
        </is>
      </c>
      <c r="HX24" t="inlineStr">
        <is>
          <t>Linha de 60 m por 1,5 m</t>
        </is>
      </c>
      <c r="HY24" t="inlineStr">
        <is>
          <t>Linha de 60 m por 1,5 m</t>
        </is>
      </c>
      <c r="HZ24" t="inlineStr">
        <is>
          <t>Linha de 60 m por 1,5 m</t>
        </is>
      </c>
      <c r="IA24" t="inlineStr"/>
      <c r="IB24" t="inlineStr"/>
      <c r="IC24" t="inlineStr"/>
      <c r="ID24" t="inlineStr"/>
      <c r="IE24" t="inlineStr"/>
      <c r="IF24" t="inlineStr"/>
      <c r="KA24">
        <f>IFERROR(INDEX(INDEX('DADOS_RESTRICOES'!$M$2:$Q$54,0,1),22),"")</f>
        <v/>
      </c>
    </row>
    <row r="25">
      <c r="GR25">
        <f>'DADOS_FORMAS'!$BP15</f>
        <v/>
      </c>
      <c r="GS25">
        <f>IF('DADOS_FORMAS'!$BP15="area",'DADOS_FORMAS'!$AU15,'DADOS_FORMAS'!$AT15)</f>
        <v/>
      </c>
      <c r="GT25">
        <f>IF('DADOS_FORMAS'!$BP15="area",'DADOS_FORMAS'!$BE15,'DADOS_FORMAS'!$AX15)</f>
        <v/>
      </c>
      <c r="GU25">
        <f>'DADOS_FORMAS'!$BQ15</f>
        <v/>
      </c>
      <c r="GV25">
        <f>'DADOS_FORMAS'!$BR15</f>
        <v/>
      </c>
      <c r="GW25">
        <f>LET(base,'DADOS_FORMAS'!$GT25,escada,'DADOS_FORMAS'!$GS25,medida,LEFT(base,MAX(0,LEN(base)-2)),valor,IFERROR(VALUE(SUBSTITUTE(medida,",",""))/10^IFERROR(LEN(medida)-FIND(",",medida),0),1E99),IF(OR(escada="Fixo",base="—"),base,IF(escada="alcance",IFERROR(MATCH(base,{"1,5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5" t="inlineStr">
        <is>
          <t>Apoio · classes 6 e 7</t>
        </is>
      </c>
      <c r="GZ25" t="inlineStr">
        <is>
          <t>Um aliado a 18 m</t>
        </is>
      </c>
      <c r="HA25" t="inlineStr">
        <is>
          <t>Um aliado a 36 m</t>
        </is>
      </c>
      <c r="HB25" t="inlineStr">
        <is>
          <t>Um aliado a 90 m</t>
        </is>
      </c>
      <c r="HC25" t="inlineStr">
        <is>
          <t>Um aliado a visão a olho nu</t>
        </is>
      </c>
      <c r="HD25" t="inlineStr">
        <is>
          <t>Um aliado a visão a olho nu</t>
        </is>
      </c>
      <c r="HE25" t="inlineStr">
        <is>
          <t>Um aliado a visão a olho nu</t>
        </is>
      </c>
      <c r="HF25" t="inlineStr"/>
      <c r="HG25" t="inlineStr"/>
      <c r="HH25" t="inlineStr"/>
      <c r="HI25" t="inlineStr"/>
      <c r="HJ25" t="inlineStr"/>
      <c r="HK25" t="inlineStr"/>
      <c r="HM25">
        <f>'DADOS_FORMAS'!$BP14</f>
        <v/>
      </c>
      <c r="HN25">
        <f>IF('DADOS_FORMAS'!$BP14="area",'DADOS_FORMAS'!$AU14,'DADOS_FORMAS'!$AT14)</f>
        <v/>
      </c>
      <c r="HO25">
        <f>IF('DADOS_FORMAS'!$BP14="area",'DADOS_FORMAS'!$BI14,'DADOS_FORMAS'!$BB14)</f>
        <v/>
      </c>
      <c r="HP25">
        <f>'DADOS_FORMAS'!$BQ14</f>
        <v/>
      </c>
      <c r="HQ25">
        <f>'DADOS_FORMAS'!$BR14</f>
        <v/>
      </c>
      <c r="HR25">
        <f>LET(base,'DADOS_FORMAS'!$HO25,escada,'DADOS_FORMAS'!$HN25,medida,LEFT(base,MAX(0,LEN(base)-2)),valor,IFERROR(VALUE(SUBSTITUTE(medida,",",""))/10^IFERROR(LEN(medida)-FIND(",",medida),0),1E99),IF(OR(escada="Fixo",base="—"),base,IF(escada="alcance",IFERROR(MATCH(base,{"1,5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5" t="inlineStr">
        <is>
          <t>Linha · classe 7</t>
        </is>
      </c>
      <c r="HU25" t="inlineStr">
        <is>
          <t>Linha de 30 m por 1,5 m</t>
        </is>
      </c>
      <c r="HV25" t="inlineStr">
        <is>
          <t>Linha de 60 m por 1,5 m</t>
        </is>
      </c>
      <c r="HW25" t="inlineStr">
        <is>
          <t>Linha de 60 m por 1,5 m</t>
        </is>
      </c>
      <c r="HX25" t="inlineStr">
        <is>
          <t>Linha de 60 m por 1,5 m</t>
        </is>
      </c>
      <c r="HY25" t="inlineStr">
        <is>
          <t>Linha de 60 m por 1,5 m</t>
        </is>
      </c>
      <c r="HZ25" t="inlineStr">
        <is>
          <t>Linha de 60 m por 1,5 m</t>
        </is>
      </c>
      <c r="IA25" t="inlineStr"/>
      <c r="IB25" t="inlineStr"/>
      <c r="IC25" t="inlineStr"/>
      <c r="ID25" t="inlineStr"/>
      <c r="IE25" t="inlineStr"/>
      <c r="IF25" t="inlineStr"/>
      <c r="KA25">
        <f>IFERROR(INDEX(INDEX('DADOS_RESTRICOES'!$M$2:$Q$54,0,1),23),"")</f>
        <v/>
      </c>
    </row>
    <row r="26">
      <c r="GR26">
        <f>'DADOS_FORMAS'!$BL16</f>
        <v/>
      </c>
      <c r="GS26">
        <f>IF('DADOS_FORMAS'!$BL16="area",'DADOS_FORMAS'!$AU16,'DADOS_FORMAS'!$AT16)</f>
        <v/>
      </c>
      <c r="GT26">
        <f>IF('DADOS_FORMAS'!$BL16="area",'DADOS_FORMAS'!$BC16,'DADOS_FORMAS'!$AV16)</f>
        <v/>
      </c>
      <c r="GU26">
        <f>'DADOS_FORMAS'!$BM16</f>
        <v/>
      </c>
      <c r="GV26">
        <f>'DADOS_FORMAS'!$BN16</f>
        <v/>
      </c>
      <c r="GW26">
        <f>LET(base,'DADOS_FORMAS'!$GT26,escada,'DADOS_FORMAS'!$GS26,medida,LEFT(base,MAX(0,LEN(base)-2)),valor,IFERROR(VALUE(SUBSTITUTE(medida,",",""))/10^IFERROR(LEN(medida)-FIND(",",medida),0),1E99),IF(OR(escada="Fixo",base="—"),base,IF(escada="alcance",IFERROR(MATCH(base,{"1,5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6" t="inlineStr">
        <is>
          <t>Onda · classe 0</t>
        </is>
      </c>
      <c r="GZ26" t="inlineStr">
        <is>
          <t>—</t>
        </is>
      </c>
      <c r="HA26" t="inlineStr">
        <is>
          <t>—</t>
        </is>
      </c>
      <c r="HB26" t="inlineStr">
        <is>
          <t>—</t>
        </is>
      </c>
      <c r="HC26" t="inlineStr">
        <is>
          <t>—</t>
        </is>
      </c>
      <c r="HD26" t="inlineStr">
        <is>
          <t>—</t>
        </is>
      </c>
      <c r="HE26" t="inlineStr">
        <is>
          <t>—</t>
        </is>
      </c>
      <c r="HF26" t="inlineStr"/>
      <c r="HG26" t="inlineStr"/>
      <c r="HH26" t="inlineStr"/>
      <c r="HI26" t="inlineStr"/>
      <c r="HJ26" t="inlineStr"/>
      <c r="HK26" t="inlineStr"/>
      <c r="HM26">
        <f>'DADOS_FORMAS'!$BL15</f>
        <v/>
      </c>
      <c r="HN26">
        <f>IF('DADOS_FORMAS'!$BL15="area",'DADOS_FORMAS'!$AU15,'DADOS_FORMAS'!$AT15)</f>
        <v/>
      </c>
      <c r="HO26">
        <f>IF('DADOS_FORMAS'!$BL15="area",'DADOS_FORMAS'!$BF15,'DADOS_FORMAS'!$AY15)</f>
        <v/>
      </c>
      <c r="HP26">
        <f>'DADOS_FORMAS'!$BM15</f>
        <v/>
      </c>
      <c r="HQ26">
        <f>'DADOS_FORMAS'!$BN15</f>
        <v/>
      </c>
      <c r="HR26">
        <f>LET(base,'DADOS_FORMAS'!$HO26,escada,'DADOS_FORMAS'!$HN26,medida,LEFT(base,MAX(0,LEN(base)-2)),valor,IFERROR(VALUE(SUBSTITUTE(medida,",",""))/10^IFERROR(LEN(medida)-FIND(",",medida),0),1E99),IF(OR(escada="Fixo",base="—"),base,IF(escada="alcance",IFERROR(MATCH(base,{"1,5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6" t="inlineStr">
        <is>
          <t>Cura · classe 0</t>
        </is>
      </c>
      <c r="HU26" t="inlineStr">
        <is>
          <t>—</t>
        </is>
      </c>
      <c r="HV26" t="inlineStr">
        <is>
          <t>—</t>
        </is>
      </c>
      <c r="HW26" t="inlineStr">
        <is>
          <t>—</t>
        </is>
      </c>
      <c r="HX26" t="inlineStr">
        <is>
          <t>—</t>
        </is>
      </c>
      <c r="HY26" t="inlineStr">
        <is>
          <t>—</t>
        </is>
      </c>
      <c r="HZ26" t="inlineStr">
        <is>
          <t>—</t>
        </is>
      </c>
      <c r="IA26" t="inlineStr"/>
      <c r="IB26" t="inlineStr"/>
      <c r="IC26" t="inlineStr"/>
      <c r="ID26" t="inlineStr"/>
      <c r="IE26" t="inlineStr"/>
      <c r="IF26" t="inlineStr"/>
      <c r="KA26">
        <f>IFERROR(INDEX(INDEX('DADOS_RESTRICOES'!$M$2:$Q$54,0,1),24),"")</f>
        <v/>
      </c>
    </row>
    <row r="27">
      <c r="GR27">
        <f>'DADOS_FORMAS'!$BP16</f>
        <v/>
      </c>
      <c r="GS27">
        <f>IF('DADOS_FORMAS'!$BP16="area",'DADOS_FORMAS'!$AU16,'DADOS_FORMAS'!$AT16)</f>
        <v/>
      </c>
      <c r="GT27">
        <f>IF('DADOS_FORMAS'!$BP16="area",'DADOS_FORMAS'!$BC16,'DADOS_FORMAS'!$AV16)</f>
        <v/>
      </c>
      <c r="GU27">
        <f>'DADOS_FORMAS'!$BQ16</f>
        <v/>
      </c>
      <c r="GV27">
        <f>'DADOS_FORMAS'!$BR16</f>
        <v/>
      </c>
      <c r="GW27">
        <f>LET(base,'DADOS_FORMAS'!$GT27,escada,'DADOS_FORMAS'!$GS27,medida,LEFT(base,MAX(0,LEN(base)-2)),valor,IFERROR(VALUE(SUBSTITUTE(medida,",",""))/10^IFERROR(LEN(medida)-FIND(",",medida),0),1E99),IF(OR(escada="Fixo",base="—"),base,IF(escada="alcance",IFERROR(MATCH(base,{"1,5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7" t="inlineStr">
        <is>
          <t>Onda · classes 1 a 5</t>
        </is>
      </c>
      <c r="GZ27" t="inlineStr">
        <is>
          <t>Raio 3 m, em você</t>
        </is>
      </c>
      <c r="HA27" t="inlineStr">
        <is>
          <t>Raio 4,5 m, em você</t>
        </is>
      </c>
      <c r="HB27" t="inlineStr">
        <is>
          <t>Raio 6 m, em você</t>
        </is>
      </c>
      <c r="HC27" t="inlineStr">
        <is>
          <t>Raio 9 m, em você</t>
        </is>
      </c>
      <c r="HD27" t="inlineStr">
        <is>
          <t>Raio 15 m, em você</t>
        </is>
      </c>
      <c r="HE27" t="inlineStr">
        <is>
          <t>Raio 15 m, em você</t>
        </is>
      </c>
      <c r="HF27" t="inlineStr"/>
      <c r="HG27" t="inlineStr"/>
      <c r="HH27" t="inlineStr"/>
      <c r="HI27" t="inlineStr"/>
      <c r="HJ27" t="inlineStr"/>
      <c r="HK27" t="inlineStr"/>
      <c r="HM27">
        <f>'DADOS_FORMAS'!$BP15</f>
        <v/>
      </c>
      <c r="HN27">
        <f>IF('DADOS_FORMAS'!$BP15="area",'DADOS_FORMAS'!$AU15,'DADOS_FORMAS'!$AT15)</f>
        <v/>
      </c>
      <c r="HO27">
        <f>IF('DADOS_FORMAS'!$BP15="area",'DADOS_FORMAS'!$BF15,'DADOS_FORMAS'!$AY15)</f>
        <v/>
      </c>
      <c r="HP27">
        <f>'DADOS_FORMAS'!$BQ15</f>
        <v/>
      </c>
      <c r="HQ27">
        <f>'DADOS_FORMAS'!$BR15</f>
        <v/>
      </c>
      <c r="HR27">
        <f>LET(base,'DADOS_FORMAS'!$HO27,escada,'DADOS_FORMAS'!$HN27,medida,LEFT(base,MAX(0,LEN(base)-2)),valor,IFERROR(VALUE(SUBSTITUTE(medida,",",""))/10^IFERROR(LEN(medida)-FIND(",",medida),0),1E99),IF(OR(escada="Fixo",base="—"),base,IF(escada="alcance",IFERROR(MATCH(base,{"1,5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7" t="inlineStr">
        <is>
          <t>Cura · classes 1 a 5</t>
        </is>
      </c>
      <c r="HU27" t="inlineStr">
        <is>
          <t>Um aliado a 9 m</t>
        </is>
      </c>
      <c r="HV27" t="inlineStr">
        <is>
          <t>Um aliado a 18 m</t>
        </is>
      </c>
      <c r="HW27" t="inlineStr">
        <is>
          <t>Um aliado a 36 m</t>
        </is>
      </c>
      <c r="HX27" t="inlineStr">
        <is>
          <t>Um aliado a 90 m</t>
        </is>
      </c>
      <c r="HY27" t="inlineStr">
        <is>
          <t>Um aliado a visão a olho nu</t>
        </is>
      </c>
      <c r="HZ27" t="inlineStr">
        <is>
          <t>Um aliado a visão a olho nu</t>
        </is>
      </c>
      <c r="IA27" t="inlineStr"/>
      <c r="IB27" t="inlineStr"/>
      <c r="IC27" t="inlineStr"/>
      <c r="ID27" t="inlineStr"/>
      <c r="IE27" t="inlineStr"/>
      <c r="IF27" t="inlineStr"/>
      <c r="KA27">
        <f>IFERROR(INDEX(INDEX('DADOS_RESTRICOES'!$M$2:$Q$54,0,1),25),"")</f>
        <v/>
      </c>
    </row>
    <row r="28">
      <c r="GR28">
        <f>'DADOS_FORMAS'!$BL16</f>
        <v/>
      </c>
      <c r="GS28">
        <f>IF('DADOS_FORMAS'!$BL16="area",'DADOS_FORMAS'!$AU16,'DADOS_FORMAS'!$AT16)</f>
        <v/>
      </c>
      <c r="GT28">
        <f>IF('DADOS_FORMAS'!$BL16="area",'DADOS_FORMAS'!$BD16,'DADOS_FORMAS'!$AW16)</f>
        <v/>
      </c>
      <c r="GU28">
        <f>'DADOS_FORMAS'!$BM16</f>
        <v/>
      </c>
      <c r="GV28">
        <f>'DADOS_FORMAS'!$BN16</f>
        <v/>
      </c>
      <c r="GW28">
        <f>LET(base,'DADOS_FORMAS'!$GT28,escada,'DADOS_FORMAS'!$GS28,medida,LEFT(base,MAX(0,LEN(base)-2)),valor,IFERROR(VALUE(SUBSTITUTE(medida,",",""))/10^IFERROR(LEN(medida)-FIND(",",medida),0),1E99),IF(OR(escada="Fixo",base="—"),base,IF(escada="alcance",IFERROR(MATCH(base,{"1,5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8" t="inlineStr">
        <is>
          <t>Onda · classes 6 e 7</t>
        </is>
      </c>
      <c r="GZ28" t="inlineStr">
        <is>
          <t>Raio 4,5 m, em você</t>
        </is>
      </c>
      <c r="HA28" t="inlineStr">
        <is>
          <t>Raio 6 m, em você</t>
        </is>
      </c>
      <c r="HB28" t="inlineStr">
        <is>
          <t>Raio 9 m, em você</t>
        </is>
      </c>
      <c r="HC28" t="inlineStr">
        <is>
          <t>Raio 15 m, em você</t>
        </is>
      </c>
      <c r="HD28" t="inlineStr">
        <is>
          <t>Raio 15 m, em você</t>
        </is>
      </c>
      <c r="HE28" t="inlineStr">
        <is>
          <t>Raio 15 m, em você</t>
        </is>
      </c>
      <c r="HF28" t="inlineStr"/>
      <c r="HG28" t="inlineStr"/>
      <c r="HH28" t="inlineStr"/>
      <c r="HI28" t="inlineStr"/>
      <c r="HJ28" t="inlineStr"/>
      <c r="HK28" t="inlineStr"/>
      <c r="HM28">
        <f>'DADOS_FORMAS'!$BL15</f>
        <v/>
      </c>
      <c r="HN28">
        <f>IF('DADOS_FORMAS'!$BL15="area",'DADOS_FORMAS'!$AU15,'DADOS_FORMAS'!$AT15)</f>
        <v/>
      </c>
      <c r="HO28">
        <f>IF('DADOS_FORMAS'!$BL15="area",'DADOS_FORMAS'!$BG15,'DADOS_FORMAS'!$AZ15)</f>
        <v/>
      </c>
      <c r="HP28">
        <f>'DADOS_FORMAS'!$BM15</f>
        <v/>
      </c>
      <c r="HQ28">
        <f>'DADOS_FORMAS'!$BN15</f>
        <v/>
      </c>
      <c r="HR28">
        <f>LET(base,'DADOS_FORMAS'!$HO28,escada,'DADOS_FORMAS'!$HN28,medida,LEFT(base,MAX(0,LEN(base)-2)),valor,IFERROR(VALUE(SUBSTITUTE(medida,",",""))/10^IFERROR(LEN(medida)-FIND(",",medida),0),1E99),IF(OR(escada="Fixo",base="—"),base,IF(escada="alcance",IFERROR(MATCH(base,{"1,5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8" t="inlineStr">
        <is>
          <t>Cura · classe 6</t>
        </is>
      </c>
      <c r="HU28" t="inlineStr">
        <is>
          <t>Um aliado a 18 m</t>
        </is>
      </c>
      <c r="HV28" t="inlineStr">
        <is>
          <t>Um aliado a 36 m</t>
        </is>
      </c>
      <c r="HW28" t="inlineStr">
        <is>
          <t>Um aliado a 90 m</t>
        </is>
      </c>
      <c r="HX28" t="inlineStr">
        <is>
          <t>Um aliado a visão a olho nu</t>
        </is>
      </c>
      <c r="HY28" t="inlineStr">
        <is>
          <t>Um aliado a visão a olho nu</t>
        </is>
      </c>
      <c r="HZ28" t="inlineStr">
        <is>
          <t>Um aliado a visão a olho nu</t>
        </is>
      </c>
      <c r="IA28" t="inlineStr"/>
      <c r="IB28" t="inlineStr"/>
      <c r="IC28" t="inlineStr"/>
      <c r="ID28" t="inlineStr"/>
      <c r="IE28" t="inlineStr"/>
      <c r="IF28" t="inlineStr"/>
      <c r="KA28">
        <f>IFERROR(INDEX(INDEX('DADOS_RESTRICOES'!$M$2:$Q$54,0,1),26),"")</f>
        <v/>
      </c>
    </row>
    <row r="29">
      <c r="GR29">
        <f>'DADOS_FORMAS'!$BP16</f>
        <v/>
      </c>
      <c r="GS29">
        <f>IF('DADOS_FORMAS'!$BP16="area",'DADOS_FORMAS'!$AU16,'DADOS_FORMAS'!$AT16)</f>
        <v/>
      </c>
      <c r="GT29">
        <f>IF('DADOS_FORMAS'!$BP16="area",'DADOS_FORMAS'!$BD16,'DADOS_FORMAS'!$AW16)</f>
        <v/>
      </c>
      <c r="GU29">
        <f>'DADOS_FORMAS'!$BQ16</f>
        <v/>
      </c>
      <c r="GV29">
        <f>'DADOS_FORMAS'!$BR16</f>
        <v/>
      </c>
      <c r="GW29">
        <f>LET(base,'DADOS_FORMAS'!$GT29,escada,'DADOS_FORMAS'!$GS29,medida,LEFT(base,MAX(0,LEN(base)-2)),valor,IFERROR(VALUE(SUBSTITUTE(medida,",",""))/10^IFERROR(LEN(medida)-FIND(",",medida),0),1E99),IF(OR(escada="Fixo",base="—"),base,IF(escada="alcance",IFERROR(MATCH(base,{"1,5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29" t="inlineStr">
        <is>
          <t>Efeito · classe 0</t>
        </is>
      </c>
      <c r="GZ29" t="inlineStr">
        <is>
          <t>Fora de combate</t>
        </is>
      </c>
      <c r="HA29" t="inlineStr">
        <is>
          <t>Fora de combate</t>
        </is>
      </c>
      <c r="HB29" t="inlineStr">
        <is>
          <t>Fora de combate</t>
        </is>
      </c>
      <c r="HC29" t="inlineStr">
        <is>
          <t>Fora de combate</t>
        </is>
      </c>
      <c r="HD29" t="inlineStr">
        <is>
          <t>Fora de combate</t>
        </is>
      </c>
      <c r="HE29" t="inlineStr">
        <is>
          <t>Fora de combate</t>
        </is>
      </c>
      <c r="HF29" t="inlineStr"/>
      <c r="HG29" t="inlineStr"/>
      <c r="HH29" t="inlineStr"/>
      <c r="HI29" t="inlineStr"/>
      <c r="HJ29" t="inlineStr"/>
      <c r="HK29" t="inlineStr"/>
      <c r="HM29">
        <f>'DADOS_FORMAS'!$BP15</f>
        <v/>
      </c>
      <c r="HN29">
        <f>IF('DADOS_FORMAS'!$BP15="area",'DADOS_FORMAS'!$AU15,'DADOS_FORMAS'!$AT15)</f>
        <v/>
      </c>
      <c r="HO29">
        <f>IF('DADOS_FORMAS'!$BP15="area",'DADOS_FORMAS'!$BG15,'DADOS_FORMAS'!$AZ15)</f>
        <v/>
      </c>
      <c r="HP29">
        <f>'DADOS_FORMAS'!$BQ15</f>
        <v/>
      </c>
      <c r="HQ29">
        <f>'DADOS_FORMAS'!$BR15</f>
        <v/>
      </c>
      <c r="HR29">
        <f>LET(base,'DADOS_FORMAS'!$HO29,escada,'DADOS_FORMAS'!$HN29,medida,LEFT(base,MAX(0,LEN(base)-2)),valor,IFERROR(VALUE(SUBSTITUTE(medida,",",""))/10^IFERROR(LEN(medida)-FIND(",",medida),0),1E99),IF(OR(escada="Fixo",base="—"),base,IF(escada="alcance",IFERROR(MATCH(base,{"1,5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29" t="inlineStr">
        <is>
          <t>Cura · classe 7</t>
        </is>
      </c>
      <c r="HU29" t="inlineStr">
        <is>
          <t>Um aliado a 18 m</t>
        </is>
      </c>
      <c r="HV29" t="inlineStr">
        <is>
          <t>Um aliado a 36 m</t>
        </is>
      </c>
      <c r="HW29" t="inlineStr">
        <is>
          <t>Um aliado a 90 m</t>
        </is>
      </c>
      <c r="HX29" t="inlineStr">
        <is>
          <t>Um aliado a visão a olho nu</t>
        </is>
      </c>
      <c r="HY29" t="inlineStr">
        <is>
          <t>Um aliado a visão a olho nu</t>
        </is>
      </c>
      <c r="HZ29" t="inlineStr">
        <is>
          <t>Um aliado a visão a olho nu</t>
        </is>
      </c>
      <c r="IA29" t="inlineStr"/>
      <c r="IB29" t="inlineStr"/>
      <c r="IC29" t="inlineStr"/>
      <c r="ID29" t="inlineStr"/>
      <c r="IE29" t="inlineStr"/>
      <c r="IF29" t="inlineStr"/>
      <c r="KA29">
        <f>IFERROR(INDEX(INDEX('DADOS_RESTRICOES'!$M$2:$Q$54,0,1),27),"")</f>
        <v/>
      </c>
    </row>
    <row r="30">
      <c r="GR30">
        <f>'DADOS_FORMAS'!$BL16</f>
        <v/>
      </c>
      <c r="GS30">
        <f>IF('DADOS_FORMAS'!$BL16="area",'DADOS_FORMAS'!$AU16,'DADOS_FORMAS'!$AT16)</f>
        <v/>
      </c>
      <c r="GT30">
        <f>IF('DADOS_FORMAS'!$BL16="area",'DADOS_FORMAS'!$BE16,'DADOS_FORMAS'!$AX16)</f>
        <v/>
      </c>
      <c r="GU30">
        <f>'DADOS_FORMAS'!$BM16</f>
        <v/>
      </c>
      <c r="GV30">
        <f>'DADOS_FORMAS'!$BN16</f>
        <v/>
      </c>
      <c r="GW30">
        <f>LET(base,'DADOS_FORMAS'!$GT30,escada,'DADOS_FORMAS'!$GS30,medida,LEFT(base,MAX(0,LEN(base)-2)),valor,IFERROR(VALUE(SUBSTITUTE(medida,",",""))/10^IFERROR(LEN(medida)-FIND(",",medida),0),1E99),IF(OR(escada="Fixo",base="—"),base,IF(escada="alcance",IFERROR(MATCH(base,{"1,5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0" t="inlineStr">
        <is>
          <t>Efeito · classes 1 a 5</t>
        </is>
      </c>
      <c r="GZ30" t="inlineStr">
        <is>
          <t>Fora de combate</t>
        </is>
      </c>
      <c r="HA30" t="inlineStr">
        <is>
          <t>Fora de combate</t>
        </is>
      </c>
      <c r="HB30" t="inlineStr">
        <is>
          <t>Fora de combate</t>
        </is>
      </c>
      <c r="HC30" t="inlineStr">
        <is>
          <t>Fora de combate</t>
        </is>
      </c>
      <c r="HD30" t="inlineStr">
        <is>
          <t>Fora de combate</t>
        </is>
      </c>
      <c r="HE30" t="inlineStr">
        <is>
          <t>Fora de combate</t>
        </is>
      </c>
      <c r="HF30" t="inlineStr"/>
      <c r="HG30" t="inlineStr"/>
      <c r="HH30" t="inlineStr"/>
      <c r="HI30" t="inlineStr"/>
      <c r="HJ30" t="inlineStr"/>
      <c r="HK30" t="inlineStr"/>
      <c r="HM30">
        <f>'DADOS_FORMAS'!$BL15</f>
        <v/>
      </c>
      <c r="HN30">
        <f>IF('DADOS_FORMAS'!$BL15="area",'DADOS_FORMAS'!$AU15,'DADOS_FORMAS'!$AT15)</f>
        <v/>
      </c>
      <c r="HO30">
        <f>IF('DADOS_FORMAS'!$BL15="area",'DADOS_FORMAS'!$BH15,'DADOS_FORMAS'!$BA15)</f>
        <v/>
      </c>
      <c r="HP30">
        <f>'DADOS_FORMAS'!$BM15</f>
        <v/>
      </c>
      <c r="HQ30">
        <f>'DADOS_FORMAS'!$BN15</f>
        <v/>
      </c>
      <c r="HR30">
        <f>LET(base,'DADOS_FORMAS'!$HO30,escada,'DADOS_FORMAS'!$HN30,medida,LEFT(base,MAX(0,LEN(base)-2)),valor,IFERROR(VALUE(SUBSTITUTE(medida,",",""))/10^IFERROR(LEN(medida)-FIND(",",medida),0),1E99),IF(OR(escada="Fixo",base="—"),base,IF(escada="alcance",IFERROR(MATCH(base,{"1,5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0" t="inlineStr">
        <is>
          <t>Apoio · classe 0</t>
        </is>
      </c>
      <c r="HU30" t="inlineStr">
        <is>
          <t>Um aliado a 4,5 m</t>
        </is>
      </c>
      <c r="HV30" t="inlineStr">
        <is>
          <t>Um aliado a 9 m</t>
        </is>
      </c>
      <c r="HW30" t="inlineStr">
        <is>
          <t>Um aliado a 18 m</t>
        </is>
      </c>
      <c r="HX30" t="inlineStr">
        <is>
          <t>Um aliado a 36 m</t>
        </is>
      </c>
      <c r="HY30" t="inlineStr">
        <is>
          <t>Um aliado a 90 m</t>
        </is>
      </c>
      <c r="HZ30" t="inlineStr">
        <is>
          <t>Um aliado a visão a olho nu</t>
        </is>
      </c>
      <c r="IA30" t="inlineStr"/>
      <c r="IB30" t="inlineStr"/>
      <c r="IC30" t="inlineStr"/>
      <c r="ID30" t="inlineStr"/>
      <c r="IE30" t="inlineStr"/>
      <c r="IF30" t="inlineStr"/>
      <c r="KA30">
        <f>IFERROR(INDEX(INDEX('DADOS_RESTRICOES'!$M$2:$Q$54,0,1),28),"")</f>
        <v/>
      </c>
    </row>
    <row r="31">
      <c r="GR31">
        <f>'DADOS_FORMAS'!$BP16</f>
        <v/>
      </c>
      <c r="GS31">
        <f>IF('DADOS_FORMAS'!$BP16="area",'DADOS_FORMAS'!$AU16,'DADOS_FORMAS'!$AT16)</f>
        <v/>
      </c>
      <c r="GT31">
        <f>IF('DADOS_FORMAS'!$BP16="area",'DADOS_FORMAS'!$BE16,'DADOS_FORMAS'!$AX16)</f>
        <v/>
      </c>
      <c r="GU31">
        <f>'DADOS_FORMAS'!$BQ16</f>
        <v/>
      </c>
      <c r="GV31">
        <f>'DADOS_FORMAS'!$BR16</f>
        <v/>
      </c>
      <c r="GW31">
        <f>LET(base,'DADOS_FORMAS'!$GT31,escada,'DADOS_FORMAS'!$GS31,medida,LEFT(base,MAX(0,LEN(base)-2)),valor,IFERROR(VALUE(SUBSTITUTE(medida,",",""))/10^IFERROR(LEN(medida)-FIND(",",medida),0),1E99),IF(OR(escada="Fixo",base="—"),base,IF(escada="alcance",IFERROR(MATCH(base,{"1,5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1" t="inlineStr">
        <is>
          <t>Efeito · classes 6 e 7</t>
        </is>
      </c>
      <c r="GZ31" t="inlineStr">
        <is>
          <t>Fora de combate</t>
        </is>
      </c>
      <c r="HA31" t="inlineStr">
        <is>
          <t>Fora de combate</t>
        </is>
      </c>
      <c r="HB31" t="inlineStr">
        <is>
          <t>Fora de combate</t>
        </is>
      </c>
      <c r="HC31" t="inlineStr">
        <is>
          <t>Fora de combate</t>
        </is>
      </c>
      <c r="HD31" t="inlineStr">
        <is>
          <t>Fora de combate</t>
        </is>
      </c>
      <c r="HE31" t="inlineStr">
        <is>
          <t>Fora de combate</t>
        </is>
      </c>
      <c r="HF31" t="inlineStr"/>
      <c r="HG31" t="inlineStr"/>
      <c r="HH31" t="inlineStr"/>
      <c r="HI31" t="inlineStr"/>
      <c r="HJ31" t="inlineStr"/>
      <c r="HK31" t="inlineStr"/>
      <c r="HM31">
        <f>'DADOS_FORMAS'!$BP15</f>
        <v/>
      </c>
      <c r="HN31">
        <f>IF('DADOS_FORMAS'!$BP15="area",'DADOS_FORMAS'!$AU15,'DADOS_FORMAS'!$AT15)</f>
        <v/>
      </c>
      <c r="HO31">
        <f>IF('DADOS_FORMAS'!$BP15="area",'DADOS_FORMAS'!$BH15,'DADOS_FORMAS'!$BA15)</f>
        <v/>
      </c>
      <c r="HP31">
        <f>'DADOS_FORMAS'!$BQ15</f>
        <v/>
      </c>
      <c r="HQ31">
        <f>'DADOS_FORMAS'!$BR15</f>
        <v/>
      </c>
      <c r="HR31">
        <f>LET(base,'DADOS_FORMAS'!$HO31,escada,'DADOS_FORMAS'!$HN31,medida,LEFT(base,MAX(0,LEN(base)-2)),valor,IFERROR(VALUE(SUBSTITUTE(medida,",",""))/10^IFERROR(LEN(medida)-FIND(",",medida),0),1E99),IF(OR(escada="Fixo",base="—"),base,IF(escada="alcance",IFERROR(MATCH(base,{"1,5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1" t="inlineStr">
        <is>
          <t>Apoio · classes 1 a 5</t>
        </is>
      </c>
      <c r="HU31" t="inlineStr">
        <is>
          <t>Um aliado a 9 m</t>
        </is>
      </c>
      <c r="HV31" t="inlineStr">
        <is>
          <t>Um aliado a 18 m</t>
        </is>
      </c>
      <c r="HW31" t="inlineStr">
        <is>
          <t>Um aliado a 36 m</t>
        </is>
      </c>
      <c r="HX31" t="inlineStr">
        <is>
          <t>Um aliado a 90 m</t>
        </is>
      </c>
      <c r="HY31" t="inlineStr">
        <is>
          <t>Um aliado a visão a olho nu</t>
        </is>
      </c>
      <c r="HZ31" t="inlineStr">
        <is>
          <t>Um aliado a visão a olho nu</t>
        </is>
      </c>
      <c r="IA31" t="inlineStr"/>
      <c r="IB31" t="inlineStr"/>
      <c r="IC31" t="inlineStr"/>
      <c r="ID31" t="inlineStr"/>
      <c r="IE31" t="inlineStr"/>
      <c r="IF31" t="inlineStr"/>
      <c r="KA31">
        <f>IFERROR(INDEX(INDEX('DADOS_RESTRICOES'!$M$2:$Q$54,0,1),29),"")</f>
        <v/>
      </c>
    </row>
    <row r="32">
      <c r="GR32">
        <f>'DADOS_FORMAS'!$BL17</f>
        <v/>
      </c>
      <c r="GS32">
        <f>IF('DADOS_FORMAS'!$BL17="area",'DADOS_FORMAS'!$AU17,'DADOS_FORMAS'!$AT17)</f>
        <v/>
      </c>
      <c r="GT32">
        <f>IF('DADOS_FORMAS'!$BL17="area",'DADOS_FORMAS'!$BC17,'DADOS_FORMAS'!$AV17)</f>
        <v/>
      </c>
      <c r="GU32">
        <f>'DADOS_FORMAS'!$BM17</f>
        <v/>
      </c>
      <c r="GV32">
        <f>'DADOS_FORMAS'!$BN17</f>
        <v/>
      </c>
      <c r="GW32">
        <f>LET(base,'DADOS_FORMAS'!$GT32,escada,'DADOS_FORMAS'!$GS32,medida,LEFT(base,MAX(0,LEN(base)-2)),valor,IFERROR(VALUE(SUBSTITUTE(medida,",",""))/10^IFERROR(LEN(medida)-FIND(",",medida),0),1E99),IF(OR(escada="Fixo",base="—"),base,IF(escada="alcance",IFERROR(MATCH(base,{"1,5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2">
        <f>'DADOS_FORMAS'!$AH12&amp;" · classe 0"</f>
        <v/>
      </c>
      <c r="GZ32">
        <f>LET(trecho,IF(OR('DADOS_FORMAS'!$AH12="",'DADOS_FORMAS'!$GR2="",'DADOS_FORMAS'!$GT2=""),"",IF('DADOS_FORMAS'!$GT2="—","—",'DADOS_FORMAS'!$GU2&amp;'DADOS_FORMAS'!$GT2&amp;'DADOS_FORMAS'!$GV2)),UPPER(LEFT(trecho,1))&amp;MID(trecho,2,LEN(trecho)))</f>
        <v/>
      </c>
      <c r="HA32">
        <f>LET(trecho,IF(OR('DADOS_FORMAS'!$AH12="",'DADOS_FORMAS'!$GR2="",'DADOS_FORMAS'!$GT2=""),"",IF('DADOS_FORMAS'!$GT2="—","—",'DADOS_FORMAS'!$GU2&amp;IF('DADOS_FORMAS'!$GS2="alcance",INDEX('DADOS_FORMAS'!$GL$2:$GL$7,MIN(6,'DADOS_FORMAS'!$GW2+1)),IF('DADOS_FORMAS'!$GS2="raio",INDEX('DADOS_FORMAS'!$GN$2:$GN$6,MIN(5,'DADOS_FORMAS'!$GW2+1)),IF('DADOS_FORMAS'!$GS2="comprimento",INDEX('DADOS_FORMAS'!$GP$2:$GP$6,MIN(5,'DADOS_FORMAS'!$GW2+1)),'DADOS_FORMAS'!$GT2)))&amp;'DADOS_FORMAS'!$GV2)),UPPER(LEFT(trecho,1))&amp;MID(trecho,2,LEN(trecho)))</f>
        <v/>
      </c>
      <c r="HB32">
        <f>LET(trecho,IF(OR('DADOS_FORMAS'!$AH12="",'DADOS_FORMAS'!$GR2="",'DADOS_FORMAS'!$GT2=""),"",IF('DADOS_FORMAS'!$GT2="—","—",'DADOS_FORMAS'!$GU2&amp;IF('DADOS_FORMAS'!$GS2="alcance",INDEX('DADOS_FORMAS'!$GL$2:$GL$7,MIN(6,'DADOS_FORMAS'!$GW2+2)),IF('DADOS_FORMAS'!$GS2="raio",INDEX('DADOS_FORMAS'!$GN$2:$GN$6,MIN(5,'DADOS_FORMAS'!$GW2+2)),IF('DADOS_FORMAS'!$GS2="comprimento",INDEX('DADOS_FORMAS'!$GP$2:$GP$6,MIN(5,'DADOS_FORMAS'!$GW2+2)),'DADOS_FORMAS'!$GT2)))&amp;'DADOS_FORMAS'!$GV2)),UPPER(LEFT(trecho,1))&amp;MID(trecho,2,LEN(trecho)))</f>
        <v/>
      </c>
      <c r="HC32">
        <f>LET(trecho,IF(OR('DADOS_FORMAS'!$AH12="",'DADOS_FORMAS'!$GR2="",'DADOS_FORMAS'!$GT2=""),"",IF('DADOS_FORMAS'!$GT2="—","—",'DADOS_FORMAS'!$GU2&amp;IF('DADOS_FORMAS'!$GS2="alcance",INDEX('DADOS_FORMAS'!$GL$2:$GL$7,MIN(6,'DADOS_FORMAS'!$GW2+3)),IF('DADOS_FORMAS'!$GS2="raio",INDEX('DADOS_FORMAS'!$GN$2:$GN$6,MIN(5,'DADOS_FORMAS'!$GW2+3)),IF('DADOS_FORMAS'!$GS2="comprimento",INDEX('DADOS_FORMAS'!$GP$2:$GP$6,MIN(5,'DADOS_FORMAS'!$GW2+3)),'DADOS_FORMAS'!$GT2)))&amp;'DADOS_FORMAS'!$GV2)),UPPER(LEFT(trecho,1))&amp;MID(trecho,2,LEN(trecho)))</f>
        <v/>
      </c>
      <c r="HD32">
        <f>LET(trecho,IF(OR('DADOS_FORMAS'!$AH12="",'DADOS_FORMAS'!$GR2="",'DADOS_FORMAS'!$GT2=""),"",IF('DADOS_FORMAS'!$GT2="—","—",'DADOS_FORMAS'!$GU2&amp;IF('DADOS_FORMAS'!$GS2="alcance",INDEX('DADOS_FORMAS'!$GL$2:$GL$7,MIN(6,'DADOS_FORMAS'!$GW2+4)),IF('DADOS_FORMAS'!$GS2="raio",INDEX('DADOS_FORMAS'!$GN$2:$GN$6,MIN(5,'DADOS_FORMAS'!$GW2+4)),IF('DADOS_FORMAS'!$GS2="comprimento",INDEX('DADOS_FORMAS'!$GP$2:$GP$6,MIN(5,'DADOS_FORMAS'!$GW2+4)),'DADOS_FORMAS'!$GT2)))&amp;'DADOS_FORMAS'!$GV2)),UPPER(LEFT(trecho,1))&amp;MID(trecho,2,LEN(trecho)))</f>
        <v/>
      </c>
      <c r="HE32">
        <f>LET(trecho,IF(OR('DADOS_FORMAS'!$AH12="",'DADOS_FORMAS'!$GR2="",'DADOS_FORMAS'!$GT2=""),"",IF('DADOS_FORMAS'!$GT2="—","—",'DADOS_FORMAS'!$GU2&amp;IF('DADOS_FORMAS'!$GS2="alcance",INDEX('DADOS_FORMAS'!$GL$2:$GL$7,MIN(6,'DADOS_FORMAS'!$GW2+5)),IF('DADOS_FORMAS'!$GS2="raio",INDEX('DADOS_FORMAS'!$GN$2:$GN$6,MIN(5,'DADOS_FORMAS'!$GW2+5)),IF('DADOS_FORMAS'!$GS2="comprimento",INDEX('DADOS_FORMAS'!$GP$2:$GP$6,MIN(5,'DADOS_FORMAS'!$GW2+5)),'DADOS_FORMAS'!$GT2)))&amp;'DADOS_FORMAS'!$GV2)),UPPER(LEFT(trecho,1))&amp;MID(trecho,2,LEN(trecho)))</f>
        <v/>
      </c>
      <c r="HF32">
        <f>IF(OR('DADOS_FORMAS'!$AH12="",'DADOS_FORMAS'!$GR3="",'DADOS_FORMAS'!$GT3=""),"",IF('DADOS_FORMAS'!$GT3="—","—",'DADOS_FORMAS'!$GU3&amp;'DADOS_FORMAS'!$GT3&amp;'DADOS_FORMAS'!$GV3))</f>
        <v/>
      </c>
      <c r="HG32">
        <f>IF(OR('DADOS_FORMAS'!$AH12="",'DADOS_FORMAS'!$GR3="",'DADOS_FORMAS'!$GT3=""),"",IF('DADOS_FORMAS'!$GT3="—","—",'DADOS_FORMAS'!$GU3&amp;IF('DADOS_FORMAS'!$GS3="alcance",INDEX('DADOS_FORMAS'!$GL$2:$GL$7,MIN(6,'DADOS_FORMAS'!$GW3+1)),IF('DADOS_FORMAS'!$GS3="raio",INDEX('DADOS_FORMAS'!$GN$2:$GN$6,MIN(5,'DADOS_FORMAS'!$GW3+1)),IF('DADOS_FORMAS'!$GS3="comprimento",INDEX('DADOS_FORMAS'!$GP$2:$GP$6,MIN(5,'DADOS_FORMAS'!$GW3+1)),'DADOS_FORMAS'!$GT3)))&amp;'DADOS_FORMAS'!$GV3))</f>
        <v/>
      </c>
      <c r="HH32">
        <f>IF(OR('DADOS_FORMAS'!$AH12="",'DADOS_FORMAS'!$GR3="",'DADOS_FORMAS'!$GT3=""),"",IF('DADOS_FORMAS'!$GT3="—","—",'DADOS_FORMAS'!$GU3&amp;IF('DADOS_FORMAS'!$GS3="alcance",INDEX('DADOS_FORMAS'!$GL$2:$GL$7,MIN(6,'DADOS_FORMAS'!$GW3+2)),IF('DADOS_FORMAS'!$GS3="raio",INDEX('DADOS_FORMAS'!$GN$2:$GN$6,MIN(5,'DADOS_FORMAS'!$GW3+2)),IF('DADOS_FORMAS'!$GS3="comprimento",INDEX('DADOS_FORMAS'!$GP$2:$GP$6,MIN(5,'DADOS_FORMAS'!$GW3+2)),'DADOS_FORMAS'!$GT3)))&amp;'DADOS_FORMAS'!$GV3))</f>
        <v/>
      </c>
      <c r="HI32">
        <f>IF(OR('DADOS_FORMAS'!$AH12="",'DADOS_FORMAS'!$GR3="",'DADOS_FORMAS'!$GT3=""),"",IF('DADOS_FORMAS'!$GT3="—","—",'DADOS_FORMAS'!$GU3&amp;IF('DADOS_FORMAS'!$GS3="alcance",INDEX('DADOS_FORMAS'!$GL$2:$GL$7,MIN(6,'DADOS_FORMAS'!$GW3+3)),IF('DADOS_FORMAS'!$GS3="raio",INDEX('DADOS_FORMAS'!$GN$2:$GN$6,MIN(5,'DADOS_FORMAS'!$GW3+3)),IF('DADOS_FORMAS'!$GS3="comprimento",INDEX('DADOS_FORMAS'!$GP$2:$GP$6,MIN(5,'DADOS_FORMAS'!$GW3+3)),'DADOS_FORMAS'!$GT3)))&amp;'DADOS_FORMAS'!$GV3))</f>
        <v/>
      </c>
      <c r="HJ32">
        <f>IF(OR('DADOS_FORMAS'!$AH12="",'DADOS_FORMAS'!$GR3="",'DADOS_FORMAS'!$GT3=""),"",IF('DADOS_FORMAS'!$GT3="—","—",'DADOS_FORMAS'!$GU3&amp;IF('DADOS_FORMAS'!$GS3="alcance",INDEX('DADOS_FORMAS'!$GL$2:$GL$7,MIN(6,'DADOS_FORMAS'!$GW3+4)),IF('DADOS_FORMAS'!$GS3="raio",INDEX('DADOS_FORMAS'!$GN$2:$GN$6,MIN(5,'DADOS_FORMAS'!$GW3+4)),IF('DADOS_FORMAS'!$GS3="comprimento",INDEX('DADOS_FORMAS'!$GP$2:$GP$6,MIN(5,'DADOS_FORMAS'!$GW3+4)),'DADOS_FORMAS'!$GT3)))&amp;'DADOS_FORMAS'!$GV3))</f>
        <v/>
      </c>
      <c r="HK32">
        <f>IF(OR('DADOS_FORMAS'!$AH12="",'DADOS_FORMAS'!$GR3="",'DADOS_FORMAS'!$GT3=""),"",IF('DADOS_FORMAS'!$GT3="—","—",'DADOS_FORMAS'!$GU3&amp;IF('DADOS_FORMAS'!$GS3="alcance",INDEX('DADOS_FORMAS'!$GL$2:$GL$7,MIN(6,'DADOS_FORMAS'!$GW3+5)),IF('DADOS_FORMAS'!$GS3="raio",INDEX('DADOS_FORMAS'!$GN$2:$GN$6,MIN(5,'DADOS_FORMAS'!$GW3+5)),IF('DADOS_FORMAS'!$GS3="comprimento",INDEX('DADOS_FORMAS'!$GP$2:$GP$6,MIN(5,'DADOS_FORMAS'!$GW3+5)),'DADOS_FORMAS'!$GT3)))&amp;'DADOS_FORMAS'!$GV3))</f>
        <v/>
      </c>
      <c r="HM32">
        <f>'DADOS_FORMAS'!$BL15</f>
        <v/>
      </c>
      <c r="HN32">
        <f>IF('DADOS_FORMAS'!$BL15="area",'DADOS_FORMAS'!$AU15,'DADOS_FORMAS'!$AT15)</f>
        <v/>
      </c>
      <c r="HO32">
        <f>IF('DADOS_FORMAS'!$BL15="area",'DADOS_FORMAS'!$BI15,'DADOS_FORMAS'!$BB15)</f>
        <v/>
      </c>
      <c r="HP32">
        <f>'DADOS_FORMAS'!$BM15</f>
        <v/>
      </c>
      <c r="HQ32">
        <f>'DADOS_FORMAS'!$BN15</f>
        <v/>
      </c>
      <c r="HR32">
        <f>LET(base,'DADOS_FORMAS'!$HO32,escada,'DADOS_FORMAS'!$HN32,medida,LEFT(base,MAX(0,LEN(base)-2)),valor,IFERROR(VALUE(SUBSTITUTE(medida,",",""))/10^IFERROR(LEN(medida)-FIND(",",medida),0),1E99),IF(OR(escada="Fixo",base="—"),base,IF(escada="alcance",IFERROR(MATCH(base,{"1,5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2" t="inlineStr">
        <is>
          <t>Apoio · classe 6</t>
        </is>
      </c>
      <c r="HU32" t="inlineStr">
        <is>
          <t>Um aliado a 18 m</t>
        </is>
      </c>
      <c r="HV32" t="inlineStr">
        <is>
          <t>Um aliado a 36 m</t>
        </is>
      </c>
      <c r="HW32" t="inlineStr">
        <is>
          <t>Um aliado a 90 m</t>
        </is>
      </c>
      <c r="HX32" t="inlineStr">
        <is>
          <t>Um aliado a visão a olho nu</t>
        </is>
      </c>
      <c r="HY32" t="inlineStr">
        <is>
          <t>Um aliado a visão a olho nu</t>
        </is>
      </c>
      <c r="HZ32" t="inlineStr">
        <is>
          <t>Um aliado a visão a olho nu</t>
        </is>
      </c>
      <c r="IA32" t="inlineStr"/>
      <c r="IB32" t="inlineStr"/>
      <c r="IC32" t="inlineStr"/>
      <c r="ID32" t="inlineStr"/>
      <c r="IE32" t="inlineStr"/>
      <c r="IF32" t="inlineStr"/>
      <c r="KA32">
        <f>IFERROR(INDEX(INDEX('DADOS_RESTRICOES'!$M$2:$Q$54,0,1),30),"")</f>
        <v/>
      </c>
    </row>
    <row r="33">
      <c r="GR33">
        <f>'DADOS_FORMAS'!$BP17</f>
        <v/>
      </c>
      <c r="GS33">
        <f>IF('DADOS_FORMAS'!$BP17="area",'DADOS_FORMAS'!$AU17,'DADOS_FORMAS'!$AT17)</f>
        <v/>
      </c>
      <c r="GT33">
        <f>IF('DADOS_FORMAS'!$BP17="area",'DADOS_FORMAS'!$BC17,'DADOS_FORMAS'!$AV17)</f>
        <v/>
      </c>
      <c r="GU33">
        <f>'DADOS_FORMAS'!$BQ17</f>
        <v/>
      </c>
      <c r="GV33">
        <f>'DADOS_FORMAS'!$BR17</f>
        <v/>
      </c>
      <c r="GW33">
        <f>LET(base,'DADOS_FORMAS'!$GT33,escada,'DADOS_FORMAS'!$GS33,medida,LEFT(base,MAX(0,LEN(base)-2)),valor,IFERROR(VALUE(SUBSTITUTE(medida,",",""))/10^IFERROR(LEN(medida)-FIND(",",medida),0),1E99),IF(OR(escada="Fixo",base="—"),base,IF(escada="alcance",IFERROR(MATCH(base,{"1,5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3">
        <f>'DADOS_FORMAS'!$AH12&amp;" · classes 1 a 5"</f>
        <v/>
      </c>
      <c r="GZ33">
        <f>LET(trecho,IF(OR('DADOS_FORMAS'!$AH12="",'DADOS_FORMAS'!$GR4="",'DADOS_FORMAS'!$GT4=""),"",IF('DADOS_FORMAS'!$GT4="—","—",'DADOS_FORMAS'!$GU4&amp;'DADOS_FORMAS'!$GT4&amp;'DADOS_FORMAS'!$GV4)),UPPER(LEFT(trecho,1))&amp;MID(trecho,2,LEN(trecho)))</f>
        <v/>
      </c>
      <c r="HA33">
        <f>LET(trecho,IF(OR('DADOS_FORMAS'!$AH12="",'DADOS_FORMAS'!$GR4="",'DADOS_FORMAS'!$GT4=""),"",IF('DADOS_FORMAS'!$GT4="—","—",'DADOS_FORMAS'!$GU4&amp;IF('DADOS_FORMAS'!$GS4="alcance",INDEX('DADOS_FORMAS'!$GL$2:$GL$7,MIN(6,'DADOS_FORMAS'!$GW4+1)),IF('DADOS_FORMAS'!$GS4="raio",INDEX('DADOS_FORMAS'!$GN$2:$GN$6,MIN(5,'DADOS_FORMAS'!$GW4+1)),IF('DADOS_FORMAS'!$GS4="comprimento",INDEX('DADOS_FORMAS'!$GP$2:$GP$6,MIN(5,'DADOS_FORMAS'!$GW4+1)),'DADOS_FORMAS'!$GT4)))&amp;'DADOS_FORMAS'!$GV4)),UPPER(LEFT(trecho,1))&amp;MID(trecho,2,LEN(trecho)))</f>
        <v/>
      </c>
      <c r="HB33">
        <f>LET(trecho,IF(OR('DADOS_FORMAS'!$AH12="",'DADOS_FORMAS'!$GR4="",'DADOS_FORMAS'!$GT4=""),"",IF('DADOS_FORMAS'!$GT4="—","—",'DADOS_FORMAS'!$GU4&amp;IF('DADOS_FORMAS'!$GS4="alcance",INDEX('DADOS_FORMAS'!$GL$2:$GL$7,MIN(6,'DADOS_FORMAS'!$GW4+2)),IF('DADOS_FORMAS'!$GS4="raio",INDEX('DADOS_FORMAS'!$GN$2:$GN$6,MIN(5,'DADOS_FORMAS'!$GW4+2)),IF('DADOS_FORMAS'!$GS4="comprimento",INDEX('DADOS_FORMAS'!$GP$2:$GP$6,MIN(5,'DADOS_FORMAS'!$GW4+2)),'DADOS_FORMAS'!$GT4)))&amp;'DADOS_FORMAS'!$GV4)),UPPER(LEFT(trecho,1))&amp;MID(trecho,2,LEN(trecho)))</f>
        <v/>
      </c>
      <c r="HC33">
        <f>LET(trecho,IF(OR('DADOS_FORMAS'!$AH12="",'DADOS_FORMAS'!$GR4="",'DADOS_FORMAS'!$GT4=""),"",IF('DADOS_FORMAS'!$GT4="—","—",'DADOS_FORMAS'!$GU4&amp;IF('DADOS_FORMAS'!$GS4="alcance",INDEX('DADOS_FORMAS'!$GL$2:$GL$7,MIN(6,'DADOS_FORMAS'!$GW4+3)),IF('DADOS_FORMAS'!$GS4="raio",INDEX('DADOS_FORMAS'!$GN$2:$GN$6,MIN(5,'DADOS_FORMAS'!$GW4+3)),IF('DADOS_FORMAS'!$GS4="comprimento",INDEX('DADOS_FORMAS'!$GP$2:$GP$6,MIN(5,'DADOS_FORMAS'!$GW4+3)),'DADOS_FORMAS'!$GT4)))&amp;'DADOS_FORMAS'!$GV4)),UPPER(LEFT(trecho,1))&amp;MID(trecho,2,LEN(trecho)))</f>
        <v/>
      </c>
      <c r="HD33">
        <f>LET(trecho,IF(OR('DADOS_FORMAS'!$AH12="",'DADOS_FORMAS'!$GR4="",'DADOS_FORMAS'!$GT4=""),"",IF('DADOS_FORMAS'!$GT4="—","—",'DADOS_FORMAS'!$GU4&amp;IF('DADOS_FORMAS'!$GS4="alcance",INDEX('DADOS_FORMAS'!$GL$2:$GL$7,MIN(6,'DADOS_FORMAS'!$GW4+4)),IF('DADOS_FORMAS'!$GS4="raio",INDEX('DADOS_FORMAS'!$GN$2:$GN$6,MIN(5,'DADOS_FORMAS'!$GW4+4)),IF('DADOS_FORMAS'!$GS4="comprimento",INDEX('DADOS_FORMAS'!$GP$2:$GP$6,MIN(5,'DADOS_FORMAS'!$GW4+4)),'DADOS_FORMAS'!$GT4)))&amp;'DADOS_FORMAS'!$GV4)),UPPER(LEFT(trecho,1))&amp;MID(trecho,2,LEN(trecho)))</f>
        <v/>
      </c>
      <c r="HE33">
        <f>LET(trecho,IF(OR('DADOS_FORMAS'!$AH12="",'DADOS_FORMAS'!$GR4="",'DADOS_FORMAS'!$GT4=""),"",IF('DADOS_FORMAS'!$GT4="—","—",'DADOS_FORMAS'!$GU4&amp;IF('DADOS_FORMAS'!$GS4="alcance",INDEX('DADOS_FORMAS'!$GL$2:$GL$7,MIN(6,'DADOS_FORMAS'!$GW4+5)),IF('DADOS_FORMAS'!$GS4="raio",INDEX('DADOS_FORMAS'!$GN$2:$GN$6,MIN(5,'DADOS_FORMAS'!$GW4+5)),IF('DADOS_FORMAS'!$GS4="comprimento",INDEX('DADOS_FORMAS'!$GP$2:$GP$6,MIN(5,'DADOS_FORMAS'!$GW4+5)),'DADOS_FORMAS'!$GT4)))&amp;'DADOS_FORMAS'!$GV4)),UPPER(LEFT(trecho,1))&amp;MID(trecho,2,LEN(trecho)))</f>
        <v/>
      </c>
      <c r="HF33">
        <f>IF(OR('DADOS_FORMAS'!$AH12="",'DADOS_FORMAS'!$GR5="",'DADOS_FORMAS'!$GT5=""),"",IF('DADOS_FORMAS'!$GT5="—","—",'DADOS_FORMAS'!$GU5&amp;'DADOS_FORMAS'!$GT5&amp;'DADOS_FORMAS'!$GV5))</f>
        <v/>
      </c>
      <c r="HG33">
        <f>IF(OR('DADOS_FORMAS'!$AH12="",'DADOS_FORMAS'!$GR5="",'DADOS_FORMAS'!$GT5=""),"",IF('DADOS_FORMAS'!$GT5="—","—",'DADOS_FORMAS'!$GU5&amp;IF('DADOS_FORMAS'!$GS5="alcance",INDEX('DADOS_FORMAS'!$GL$2:$GL$7,MIN(6,'DADOS_FORMAS'!$GW5+1)),IF('DADOS_FORMAS'!$GS5="raio",INDEX('DADOS_FORMAS'!$GN$2:$GN$6,MIN(5,'DADOS_FORMAS'!$GW5+1)),IF('DADOS_FORMAS'!$GS5="comprimento",INDEX('DADOS_FORMAS'!$GP$2:$GP$6,MIN(5,'DADOS_FORMAS'!$GW5+1)),'DADOS_FORMAS'!$GT5)))&amp;'DADOS_FORMAS'!$GV5))</f>
        <v/>
      </c>
      <c r="HH33">
        <f>IF(OR('DADOS_FORMAS'!$AH12="",'DADOS_FORMAS'!$GR5="",'DADOS_FORMAS'!$GT5=""),"",IF('DADOS_FORMAS'!$GT5="—","—",'DADOS_FORMAS'!$GU5&amp;IF('DADOS_FORMAS'!$GS5="alcance",INDEX('DADOS_FORMAS'!$GL$2:$GL$7,MIN(6,'DADOS_FORMAS'!$GW5+2)),IF('DADOS_FORMAS'!$GS5="raio",INDEX('DADOS_FORMAS'!$GN$2:$GN$6,MIN(5,'DADOS_FORMAS'!$GW5+2)),IF('DADOS_FORMAS'!$GS5="comprimento",INDEX('DADOS_FORMAS'!$GP$2:$GP$6,MIN(5,'DADOS_FORMAS'!$GW5+2)),'DADOS_FORMAS'!$GT5)))&amp;'DADOS_FORMAS'!$GV5))</f>
        <v/>
      </c>
      <c r="HI33">
        <f>IF(OR('DADOS_FORMAS'!$AH12="",'DADOS_FORMAS'!$GR5="",'DADOS_FORMAS'!$GT5=""),"",IF('DADOS_FORMAS'!$GT5="—","—",'DADOS_FORMAS'!$GU5&amp;IF('DADOS_FORMAS'!$GS5="alcance",INDEX('DADOS_FORMAS'!$GL$2:$GL$7,MIN(6,'DADOS_FORMAS'!$GW5+3)),IF('DADOS_FORMAS'!$GS5="raio",INDEX('DADOS_FORMAS'!$GN$2:$GN$6,MIN(5,'DADOS_FORMAS'!$GW5+3)),IF('DADOS_FORMAS'!$GS5="comprimento",INDEX('DADOS_FORMAS'!$GP$2:$GP$6,MIN(5,'DADOS_FORMAS'!$GW5+3)),'DADOS_FORMAS'!$GT5)))&amp;'DADOS_FORMAS'!$GV5))</f>
        <v/>
      </c>
      <c r="HJ33">
        <f>IF(OR('DADOS_FORMAS'!$AH12="",'DADOS_FORMAS'!$GR5="",'DADOS_FORMAS'!$GT5=""),"",IF('DADOS_FORMAS'!$GT5="—","—",'DADOS_FORMAS'!$GU5&amp;IF('DADOS_FORMAS'!$GS5="alcance",INDEX('DADOS_FORMAS'!$GL$2:$GL$7,MIN(6,'DADOS_FORMAS'!$GW5+4)),IF('DADOS_FORMAS'!$GS5="raio",INDEX('DADOS_FORMAS'!$GN$2:$GN$6,MIN(5,'DADOS_FORMAS'!$GW5+4)),IF('DADOS_FORMAS'!$GS5="comprimento",INDEX('DADOS_FORMAS'!$GP$2:$GP$6,MIN(5,'DADOS_FORMAS'!$GW5+4)),'DADOS_FORMAS'!$GT5)))&amp;'DADOS_FORMAS'!$GV5))</f>
        <v/>
      </c>
      <c r="HK33">
        <f>IF(OR('DADOS_FORMAS'!$AH12="",'DADOS_FORMAS'!$GR5="",'DADOS_FORMAS'!$GT5=""),"",IF('DADOS_FORMAS'!$GT5="—","—",'DADOS_FORMAS'!$GU5&amp;IF('DADOS_FORMAS'!$GS5="alcance",INDEX('DADOS_FORMAS'!$GL$2:$GL$7,MIN(6,'DADOS_FORMAS'!$GW5+5)),IF('DADOS_FORMAS'!$GS5="raio",INDEX('DADOS_FORMAS'!$GN$2:$GN$6,MIN(5,'DADOS_FORMAS'!$GW5+5)),IF('DADOS_FORMAS'!$GS5="comprimento",INDEX('DADOS_FORMAS'!$GP$2:$GP$6,MIN(5,'DADOS_FORMAS'!$GW5+5)),'DADOS_FORMAS'!$GT5)))&amp;'DADOS_FORMAS'!$GV5))</f>
        <v/>
      </c>
      <c r="HM33">
        <f>'DADOS_FORMAS'!$BP15</f>
        <v/>
      </c>
      <c r="HN33">
        <f>IF('DADOS_FORMAS'!$BP15="area",'DADOS_FORMAS'!$AU15,'DADOS_FORMAS'!$AT15)</f>
        <v/>
      </c>
      <c r="HO33">
        <f>IF('DADOS_FORMAS'!$BP15="area",'DADOS_FORMAS'!$BI15,'DADOS_FORMAS'!$BB15)</f>
        <v/>
      </c>
      <c r="HP33">
        <f>'DADOS_FORMAS'!$BQ15</f>
        <v/>
      </c>
      <c r="HQ33">
        <f>'DADOS_FORMAS'!$BR15</f>
        <v/>
      </c>
      <c r="HR33">
        <f>LET(base,'DADOS_FORMAS'!$HO33,escada,'DADOS_FORMAS'!$HN33,medida,LEFT(base,MAX(0,LEN(base)-2)),valor,IFERROR(VALUE(SUBSTITUTE(medida,",",""))/10^IFERROR(LEN(medida)-FIND(",",medida),0),1E99),IF(OR(escada="Fixo",base="—"),base,IF(escada="alcance",IFERROR(MATCH(base,{"1,5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3" t="inlineStr">
        <is>
          <t>Apoio · classe 7</t>
        </is>
      </c>
      <c r="HU33" t="inlineStr">
        <is>
          <t>Um aliado a 18 m</t>
        </is>
      </c>
      <c r="HV33" t="inlineStr">
        <is>
          <t>Um aliado a 36 m</t>
        </is>
      </c>
      <c r="HW33" t="inlineStr">
        <is>
          <t>Um aliado a 90 m</t>
        </is>
      </c>
      <c r="HX33" t="inlineStr">
        <is>
          <t>Um aliado a visão a olho nu</t>
        </is>
      </c>
      <c r="HY33" t="inlineStr">
        <is>
          <t>Um aliado a visão a olho nu</t>
        </is>
      </c>
      <c r="HZ33" t="inlineStr">
        <is>
          <t>Um aliado a visão a olho nu</t>
        </is>
      </c>
      <c r="IA33" t="inlineStr"/>
      <c r="IB33" t="inlineStr"/>
      <c r="IC33" t="inlineStr"/>
      <c r="ID33" t="inlineStr"/>
      <c r="IE33" t="inlineStr"/>
      <c r="IF33" t="inlineStr"/>
      <c r="KA33">
        <f>IFERROR(INDEX(INDEX('DADOS_RESTRICOES'!$M$2:$Q$54,0,1),31),"")</f>
        <v/>
      </c>
    </row>
    <row r="34">
      <c r="GR34">
        <f>'DADOS_FORMAS'!$BL17</f>
        <v/>
      </c>
      <c r="GS34">
        <f>IF('DADOS_FORMAS'!$BL17="area",'DADOS_FORMAS'!$AU17,'DADOS_FORMAS'!$AT17)</f>
        <v/>
      </c>
      <c r="GT34">
        <f>IF('DADOS_FORMAS'!$BL17="area",'DADOS_FORMAS'!$BD17,'DADOS_FORMAS'!$AW17)</f>
        <v/>
      </c>
      <c r="GU34">
        <f>'DADOS_FORMAS'!$BM17</f>
        <v/>
      </c>
      <c r="GV34">
        <f>'DADOS_FORMAS'!$BN17</f>
        <v/>
      </c>
      <c r="GW34">
        <f>LET(base,'DADOS_FORMAS'!$GT34,escada,'DADOS_FORMAS'!$GS34,medida,LEFT(base,MAX(0,LEN(base)-2)),valor,IFERROR(VALUE(SUBSTITUTE(medida,",",""))/10^IFERROR(LEN(medida)-FIND(",",medida),0),1E99),IF(OR(escada="Fixo",base="—"),base,IF(escada="alcance",IFERROR(MATCH(base,{"1,5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4">
        <f>'DADOS_FORMAS'!$AH12&amp;" · classes 6 e 7"</f>
        <v/>
      </c>
      <c r="GZ34">
        <f>LET(trecho,IF(OR('DADOS_FORMAS'!$AH12="",'DADOS_FORMAS'!$GR6="",'DADOS_FORMAS'!$GT6=""),"",IF('DADOS_FORMAS'!$GT6="—","—",'DADOS_FORMAS'!$GU6&amp;'DADOS_FORMAS'!$GT6&amp;'DADOS_FORMAS'!$GV6)),UPPER(LEFT(trecho,1))&amp;MID(trecho,2,LEN(trecho)))</f>
        <v/>
      </c>
      <c r="HA34">
        <f>LET(trecho,IF(OR('DADOS_FORMAS'!$AH12="",'DADOS_FORMAS'!$GR6="",'DADOS_FORMAS'!$GT6=""),"",IF('DADOS_FORMAS'!$GT6="—","—",'DADOS_FORMAS'!$GU6&amp;IF('DADOS_FORMAS'!$GS6="alcance",INDEX('DADOS_FORMAS'!$GL$2:$GL$7,MIN(6,'DADOS_FORMAS'!$GW6+1)),IF('DADOS_FORMAS'!$GS6="raio",INDEX('DADOS_FORMAS'!$GN$2:$GN$6,MIN(5,'DADOS_FORMAS'!$GW6+1)),IF('DADOS_FORMAS'!$GS6="comprimento",INDEX('DADOS_FORMAS'!$GP$2:$GP$6,MIN(5,'DADOS_FORMAS'!$GW6+1)),'DADOS_FORMAS'!$GT6)))&amp;'DADOS_FORMAS'!$GV6)),UPPER(LEFT(trecho,1))&amp;MID(trecho,2,LEN(trecho)))</f>
        <v/>
      </c>
      <c r="HB34">
        <f>LET(trecho,IF(OR('DADOS_FORMAS'!$AH12="",'DADOS_FORMAS'!$GR6="",'DADOS_FORMAS'!$GT6=""),"",IF('DADOS_FORMAS'!$GT6="—","—",'DADOS_FORMAS'!$GU6&amp;IF('DADOS_FORMAS'!$GS6="alcance",INDEX('DADOS_FORMAS'!$GL$2:$GL$7,MIN(6,'DADOS_FORMAS'!$GW6+2)),IF('DADOS_FORMAS'!$GS6="raio",INDEX('DADOS_FORMAS'!$GN$2:$GN$6,MIN(5,'DADOS_FORMAS'!$GW6+2)),IF('DADOS_FORMAS'!$GS6="comprimento",INDEX('DADOS_FORMAS'!$GP$2:$GP$6,MIN(5,'DADOS_FORMAS'!$GW6+2)),'DADOS_FORMAS'!$GT6)))&amp;'DADOS_FORMAS'!$GV6)),UPPER(LEFT(trecho,1))&amp;MID(trecho,2,LEN(trecho)))</f>
        <v/>
      </c>
      <c r="HC34">
        <f>LET(trecho,IF(OR('DADOS_FORMAS'!$AH12="",'DADOS_FORMAS'!$GR6="",'DADOS_FORMAS'!$GT6=""),"",IF('DADOS_FORMAS'!$GT6="—","—",'DADOS_FORMAS'!$GU6&amp;IF('DADOS_FORMAS'!$GS6="alcance",INDEX('DADOS_FORMAS'!$GL$2:$GL$7,MIN(6,'DADOS_FORMAS'!$GW6+3)),IF('DADOS_FORMAS'!$GS6="raio",INDEX('DADOS_FORMAS'!$GN$2:$GN$6,MIN(5,'DADOS_FORMAS'!$GW6+3)),IF('DADOS_FORMAS'!$GS6="comprimento",INDEX('DADOS_FORMAS'!$GP$2:$GP$6,MIN(5,'DADOS_FORMAS'!$GW6+3)),'DADOS_FORMAS'!$GT6)))&amp;'DADOS_FORMAS'!$GV6)),UPPER(LEFT(trecho,1))&amp;MID(trecho,2,LEN(trecho)))</f>
        <v/>
      </c>
      <c r="HD34">
        <f>LET(trecho,IF(OR('DADOS_FORMAS'!$AH12="",'DADOS_FORMAS'!$GR6="",'DADOS_FORMAS'!$GT6=""),"",IF('DADOS_FORMAS'!$GT6="—","—",'DADOS_FORMAS'!$GU6&amp;IF('DADOS_FORMAS'!$GS6="alcance",INDEX('DADOS_FORMAS'!$GL$2:$GL$7,MIN(6,'DADOS_FORMAS'!$GW6+4)),IF('DADOS_FORMAS'!$GS6="raio",INDEX('DADOS_FORMAS'!$GN$2:$GN$6,MIN(5,'DADOS_FORMAS'!$GW6+4)),IF('DADOS_FORMAS'!$GS6="comprimento",INDEX('DADOS_FORMAS'!$GP$2:$GP$6,MIN(5,'DADOS_FORMAS'!$GW6+4)),'DADOS_FORMAS'!$GT6)))&amp;'DADOS_FORMAS'!$GV6)),UPPER(LEFT(trecho,1))&amp;MID(trecho,2,LEN(trecho)))</f>
        <v/>
      </c>
      <c r="HE34">
        <f>LET(trecho,IF(OR('DADOS_FORMAS'!$AH12="",'DADOS_FORMAS'!$GR6="",'DADOS_FORMAS'!$GT6=""),"",IF('DADOS_FORMAS'!$GT6="—","—",'DADOS_FORMAS'!$GU6&amp;IF('DADOS_FORMAS'!$GS6="alcance",INDEX('DADOS_FORMAS'!$GL$2:$GL$7,MIN(6,'DADOS_FORMAS'!$GW6+5)),IF('DADOS_FORMAS'!$GS6="raio",INDEX('DADOS_FORMAS'!$GN$2:$GN$6,MIN(5,'DADOS_FORMAS'!$GW6+5)),IF('DADOS_FORMAS'!$GS6="comprimento",INDEX('DADOS_FORMAS'!$GP$2:$GP$6,MIN(5,'DADOS_FORMAS'!$GW6+5)),'DADOS_FORMAS'!$GT6)))&amp;'DADOS_FORMAS'!$GV6)),UPPER(LEFT(trecho,1))&amp;MID(trecho,2,LEN(trecho)))</f>
        <v/>
      </c>
      <c r="HF34">
        <f>IF(OR('DADOS_FORMAS'!$AH12="",'DADOS_FORMAS'!$GR7="",'DADOS_FORMAS'!$GT7=""),"",IF('DADOS_FORMAS'!$GT7="—","—",'DADOS_FORMAS'!$GU7&amp;'DADOS_FORMAS'!$GT7&amp;'DADOS_FORMAS'!$GV7))</f>
        <v/>
      </c>
      <c r="HG34">
        <f>IF(OR('DADOS_FORMAS'!$AH12="",'DADOS_FORMAS'!$GR7="",'DADOS_FORMAS'!$GT7=""),"",IF('DADOS_FORMAS'!$GT7="—","—",'DADOS_FORMAS'!$GU7&amp;IF('DADOS_FORMAS'!$GS7="alcance",INDEX('DADOS_FORMAS'!$GL$2:$GL$7,MIN(6,'DADOS_FORMAS'!$GW7+1)),IF('DADOS_FORMAS'!$GS7="raio",INDEX('DADOS_FORMAS'!$GN$2:$GN$6,MIN(5,'DADOS_FORMAS'!$GW7+1)),IF('DADOS_FORMAS'!$GS7="comprimento",INDEX('DADOS_FORMAS'!$GP$2:$GP$6,MIN(5,'DADOS_FORMAS'!$GW7+1)),'DADOS_FORMAS'!$GT7)))&amp;'DADOS_FORMAS'!$GV7))</f>
        <v/>
      </c>
      <c r="HH34">
        <f>IF(OR('DADOS_FORMAS'!$AH12="",'DADOS_FORMAS'!$GR7="",'DADOS_FORMAS'!$GT7=""),"",IF('DADOS_FORMAS'!$GT7="—","—",'DADOS_FORMAS'!$GU7&amp;IF('DADOS_FORMAS'!$GS7="alcance",INDEX('DADOS_FORMAS'!$GL$2:$GL$7,MIN(6,'DADOS_FORMAS'!$GW7+2)),IF('DADOS_FORMAS'!$GS7="raio",INDEX('DADOS_FORMAS'!$GN$2:$GN$6,MIN(5,'DADOS_FORMAS'!$GW7+2)),IF('DADOS_FORMAS'!$GS7="comprimento",INDEX('DADOS_FORMAS'!$GP$2:$GP$6,MIN(5,'DADOS_FORMAS'!$GW7+2)),'DADOS_FORMAS'!$GT7)))&amp;'DADOS_FORMAS'!$GV7))</f>
        <v/>
      </c>
      <c r="HI34">
        <f>IF(OR('DADOS_FORMAS'!$AH12="",'DADOS_FORMAS'!$GR7="",'DADOS_FORMAS'!$GT7=""),"",IF('DADOS_FORMAS'!$GT7="—","—",'DADOS_FORMAS'!$GU7&amp;IF('DADOS_FORMAS'!$GS7="alcance",INDEX('DADOS_FORMAS'!$GL$2:$GL$7,MIN(6,'DADOS_FORMAS'!$GW7+3)),IF('DADOS_FORMAS'!$GS7="raio",INDEX('DADOS_FORMAS'!$GN$2:$GN$6,MIN(5,'DADOS_FORMAS'!$GW7+3)),IF('DADOS_FORMAS'!$GS7="comprimento",INDEX('DADOS_FORMAS'!$GP$2:$GP$6,MIN(5,'DADOS_FORMAS'!$GW7+3)),'DADOS_FORMAS'!$GT7)))&amp;'DADOS_FORMAS'!$GV7))</f>
        <v/>
      </c>
      <c r="HJ34">
        <f>IF(OR('DADOS_FORMAS'!$AH12="",'DADOS_FORMAS'!$GR7="",'DADOS_FORMAS'!$GT7=""),"",IF('DADOS_FORMAS'!$GT7="—","—",'DADOS_FORMAS'!$GU7&amp;IF('DADOS_FORMAS'!$GS7="alcance",INDEX('DADOS_FORMAS'!$GL$2:$GL$7,MIN(6,'DADOS_FORMAS'!$GW7+4)),IF('DADOS_FORMAS'!$GS7="raio",INDEX('DADOS_FORMAS'!$GN$2:$GN$6,MIN(5,'DADOS_FORMAS'!$GW7+4)),IF('DADOS_FORMAS'!$GS7="comprimento",INDEX('DADOS_FORMAS'!$GP$2:$GP$6,MIN(5,'DADOS_FORMAS'!$GW7+4)),'DADOS_FORMAS'!$GT7)))&amp;'DADOS_FORMAS'!$GV7))</f>
        <v/>
      </c>
      <c r="HK34">
        <f>IF(OR('DADOS_FORMAS'!$AH12="",'DADOS_FORMAS'!$GR7="",'DADOS_FORMAS'!$GT7=""),"",IF('DADOS_FORMAS'!$GT7="—","—",'DADOS_FORMAS'!$GU7&amp;IF('DADOS_FORMAS'!$GS7="alcance",INDEX('DADOS_FORMAS'!$GL$2:$GL$7,MIN(6,'DADOS_FORMAS'!$GW7+5)),IF('DADOS_FORMAS'!$GS7="raio",INDEX('DADOS_FORMAS'!$GN$2:$GN$6,MIN(5,'DADOS_FORMAS'!$GW7+5)),IF('DADOS_FORMAS'!$GS7="comprimento",INDEX('DADOS_FORMAS'!$GP$2:$GP$6,MIN(5,'DADOS_FORMAS'!$GW7+5)),'DADOS_FORMAS'!$GT7)))&amp;'DADOS_FORMAS'!$GV7))</f>
        <v/>
      </c>
      <c r="HM34">
        <f>'DADOS_FORMAS'!$BL16</f>
        <v/>
      </c>
      <c r="HN34">
        <f>IF('DADOS_FORMAS'!$BL16="area",'DADOS_FORMAS'!$AU16,'DADOS_FORMAS'!$AT16)</f>
        <v/>
      </c>
      <c r="HO34">
        <f>IF('DADOS_FORMAS'!$BL16="area",'DADOS_FORMAS'!$BF16,'DADOS_FORMAS'!$AY16)</f>
        <v/>
      </c>
      <c r="HP34">
        <f>'DADOS_FORMAS'!$BM16</f>
        <v/>
      </c>
      <c r="HQ34">
        <f>'DADOS_FORMAS'!$BN16</f>
        <v/>
      </c>
      <c r="HR34">
        <f>LET(base,'DADOS_FORMAS'!$HO34,escada,'DADOS_FORMAS'!$HN34,medida,LEFT(base,MAX(0,LEN(base)-2)),valor,IFERROR(VALUE(SUBSTITUTE(medida,",",""))/10^IFERROR(LEN(medida)-FIND(",",medida),0),1E99),IF(OR(escada="Fixo",base="—"),base,IF(escada="alcance",IFERROR(MATCH(base,{"1,5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4" t="inlineStr">
        <is>
          <t>Onda · classe 0</t>
        </is>
      </c>
      <c r="HU34" t="inlineStr">
        <is>
          <t>—</t>
        </is>
      </c>
      <c r="HV34" t="inlineStr">
        <is>
          <t>—</t>
        </is>
      </c>
      <c r="HW34" t="inlineStr">
        <is>
          <t>—</t>
        </is>
      </c>
      <c r="HX34" t="inlineStr">
        <is>
          <t>—</t>
        </is>
      </c>
      <c r="HY34" t="inlineStr">
        <is>
          <t>—</t>
        </is>
      </c>
      <c r="HZ34" t="inlineStr">
        <is>
          <t>—</t>
        </is>
      </c>
      <c r="IA34" t="inlineStr"/>
      <c r="IB34" t="inlineStr"/>
      <c r="IC34" t="inlineStr"/>
      <c r="ID34" t="inlineStr"/>
      <c r="IE34" t="inlineStr"/>
      <c r="IF34" t="inlineStr"/>
      <c r="KA34">
        <f>IFERROR(INDEX(INDEX('DADOS_RESTRICOES'!$M$2:$Q$54,0,1),32),"")</f>
        <v/>
      </c>
    </row>
    <row r="35">
      <c r="GR35">
        <f>'DADOS_FORMAS'!$BP17</f>
        <v/>
      </c>
      <c r="GS35">
        <f>IF('DADOS_FORMAS'!$BP17="area",'DADOS_FORMAS'!$AU17,'DADOS_FORMAS'!$AT17)</f>
        <v/>
      </c>
      <c r="GT35">
        <f>IF('DADOS_FORMAS'!$BP17="area",'DADOS_FORMAS'!$BD17,'DADOS_FORMAS'!$AW17)</f>
        <v/>
      </c>
      <c r="GU35">
        <f>'DADOS_FORMAS'!$BQ17</f>
        <v/>
      </c>
      <c r="GV35">
        <f>'DADOS_FORMAS'!$BR17</f>
        <v/>
      </c>
      <c r="GW35">
        <f>LET(base,'DADOS_FORMAS'!$GT35,escada,'DADOS_FORMAS'!$GS35,medida,LEFT(base,MAX(0,LEN(base)-2)),valor,IFERROR(VALUE(SUBSTITUTE(medida,",",""))/10^IFERROR(LEN(medida)-FIND(",",medida),0),1E99),IF(OR(escada="Fixo",base="—"),base,IF(escada="alcance",IFERROR(MATCH(base,{"1,5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5">
        <f>'DADOS_FORMAS'!$AH13&amp;" · classe 0"</f>
        <v/>
      </c>
      <c r="GZ35">
        <f>LET(trecho,IF(OR('DADOS_FORMAS'!$AH13="",'DADOS_FORMAS'!$GR8="",'DADOS_FORMAS'!$GT8=""),"",IF('DADOS_FORMAS'!$GT8="—","—",'DADOS_FORMAS'!$GU8&amp;'DADOS_FORMAS'!$GT8&amp;'DADOS_FORMAS'!$GV8)),UPPER(LEFT(trecho,1))&amp;MID(trecho,2,LEN(trecho)))</f>
        <v/>
      </c>
      <c r="HA35">
        <f>LET(trecho,IF(OR('DADOS_FORMAS'!$AH13="",'DADOS_FORMAS'!$GR8="",'DADOS_FORMAS'!$GT8=""),"",IF('DADOS_FORMAS'!$GT8="—","—",'DADOS_FORMAS'!$GU8&amp;IF('DADOS_FORMAS'!$GS8="alcance",INDEX('DADOS_FORMAS'!$GL$2:$GL$7,MIN(6,'DADOS_FORMAS'!$GW8+1)),IF('DADOS_FORMAS'!$GS8="raio",INDEX('DADOS_FORMAS'!$GN$2:$GN$6,MIN(5,'DADOS_FORMAS'!$GW8+1)),IF('DADOS_FORMAS'!$GS8="comprimento",INDEX('DADOS_FORMAS'!$GP$2:$GP$6,MIN(5,'DADOS_FORMAS'!$GW8+1)),'DADOS_FORMAS'!$GT8)))&amp;'DADOS_FORMAS'!$GV8)),UPPER(LEFT(trecho,1))&amp;MID(trecho,2,LEN(trecho)))</f>
        <v/>
      </c>
      <c r="HB35">
        <f>LET(trecho,IF(OR('DADOS_FORMAS'!$AH13="",'DADOS_FORMAS'!$GR8="",'DADOS_FORMAS'!$GT8=""),"",IF('DADOS_FORMAS'!$GT8="—","—",'DADOS_FORMAS'!$GU8&amp;IF('DADOS_FORMAS'!$GS8="alcance",INDEX('DADOS_FORMAS'!$GL$2:$GL$7,MIN(6,'DADOS_FORMAS'!$GW8+2)),IF('DADOS_FORMAS'!$GS8="raio",INDEX('DADOS_FORMAS'!$GN$2:$GN$6,MIN(5,'DADOS_FORMAS'!$GW8+2)),IF('DADOS_FORMAS'!$GS8="comprimento",INDEX('DADOS_FORMAS'!$GP$2:$GP$6,MIN(5,'DADOS_FORMAS'!$GW8+2)),'DADOS_FORMAS'!$GT8)))&amp;'DADOS_FORMAS'!$GV8)),UPPER(LEFT(trecho,1))&amp;MID(trecho,2,LEN(trecho)))</f>
        <v/>
      </c>
      <c r="HC35">
        <f>LET(trecho,IF(OR('DADOS_FORMAS'!$AH13="",'DADOS_FORMAS'!$GR8="",'DADOS_FORMAS'!$GT8=""),"",IF('DADOS_FORMAS'!$GT8="—","—",'DADOS_FORMAS'!$GU8&amp;IF('DADOS_FORMAS'!$GS8="alcance",INDEX('DADOS_FORMAS'!$GL$2:$GL$7,MIN(6,'DADOS_FORMAS'!$GW8+3)),IF('DADOS_FORMAS'!$GS8="raio",INDEX('DADOS_FORMAS'!$GN$2:$GN$6,MIN(5,'DADOS_FORMAS'!$GW8+3)),IF('DADOS_FORMAS'!$GS8="comprimento",INDEX('DADOS_FORMAS'!$GP$2:$GP$6,MIN(5,'DADOS_FORMAS'!$GW8+3)),'DADOS_FORMAS'!$GT8)))&amp;'DADOS_FORMAS'!$GV8)),UPPER(LEFT(trecho,1))&amp;MID(trecho,2,LEN(trecho)))</f>
        <v/>
      </c>
      <c r="HD35">
        <f>LET(trecho,IF(OR('DADOS_FORMAS'!$AH13="",'DADOS_FORMAS'!$GR8="",'DADOS_FORMAS'!$GT8=""),"",IF('DADOS_FORMAS'!$GT8="—","—",'DADOS_FORMAS'!$GU8&amp;IF('DADOS_FORMAS'!$GS8="alcance",INDEX('DADOS_FORMAS'!$GL$2:$GL$7,MIN(6,'DADOS_FORMAS'!$GW8+4)),IF('DADOS_FORMAS'!$GS8="raio",INDEX('DADOS_FORMAS'!$GN$2:$GN$6,MIN(5,'DADOS_FORMAS'!$GW8+4)),IF('DADOS_FORMAS'!$GS8="comprimento",INDEX('DADOS_FORMAS'!$GP$2:$GP$6,MIN(5,'DADOS_FORMAS'!$GW8+4)),'DADOS_FORMAS'!$GT8)))&amp;'DADOS_FORMAS'!$GV8)),UPPER(LEFT(trecho,1))&amp;MID(trecho,2,LEN(trecho)))</f>
        <v/>
      </c>
      <c r="HE35">
        <f>LET(trecho,IF(OR('DADOS_FORMAS'!$AH13="",'DADOS_FORMAS'!$GR8="",'DADOS_FORMAS'!$GT8=""),"",IF('DADOS_FORMAS'!$GT8="—","—",'DADOS_FORMAS'!$GU8&amp;IF('DADOS_FORMAS'!$GS8="alcance",INDEX('DADOS_FORMAS'!$GL$2:$GL$7,MIN(6,'DADOS_FORMAS'!$GW8+5)),IF('DADOS_FORMAS'!$GS8="raio",INDEX('DADOS_FORMAS'!$GN$2:$GN$6,MIN(5,'DADOS_FORMAS'!$GW8+5)),IF('DADOS_FORMAS'!$GS8="comprimento",INDEX('DADOS_FORMAS'!$GP$2:$GP$6,MIN(5,'DADOS_FORMAS'!$GW8+5)),'DADOS_FORMAS'!$GT8)))&amp;'DADOS_FORMAS'!$GV8)),UPPER(LEFT(trecho,1))&amp;MID(trecho,2,LEN(trecho)))</f>
        <v/>
      </c>
      <c r="HF35">
        <f>IF(OR('DADOS_FORMAS'!$AH13="",'DADOS_FORMAS'!$GR9="",'DADOS_FORMAS'!$GT9=""),"",IF('DADOS_FORMAS'!$GT9="—","—",'DADOS_FORMAS'!$GU9&amp;'DADOS_FORMAS'!$GT9&amp;'DADOS_FORMAS'!$GV9))</f>
        <v/>
      </c>
      <c r="HG35">
        <f>IF(OR('DADOS_FORMAS'!$AH13="",'DADOS_FORMAS'!$GR9="",'DADOS_FORMAS'!$GT9=""),"",IF('DADOS_FORMAS'!$GT9="—","—",'DADOS_FORMAS'!$GU9&amp;IF('DADOS_FORMAS'!$GS9="alcance",INDEX('DADOS_FORMAS'!$GL$2:$GL$7,MIN(6,'DADOS_FORMAS'!$GW9+1)),IF('DADOS_FORMAS'!$GS9="raio",INDEX('DADOS_FORMAS'!$GN$2:$GN$6,MIN(5,'DADOS_FORMAS'!$GW9+1)),IF('DADOS_FORMAS'!$GS9="comprimento",INDEX('DADOS_FORMAS'!$GP$2:$GP$6,MIN(5,'DADOS_FORMAS'!$GW9+1)),'DADOS_FORMAS'!$GT9)))&amp;'DADOS_FORMAS'!$GV9))</f>
        <v/>
      </c>
      <c r="HH35">
        <f>IF(OR('DADOS_FORMAS'!$AH13="",'DADOS_FORMAS'!$GR9="",'DADOS_FORMAS'!$GT9=""),"",IF('DADOS_FORMAS'!$GT9="—","—",'DADOS_FORMAS'!$GU9&amp;IF('DADOS_FORMAS'!$GS9="alcance",INDEX('DADOS_FORMAS'!$GL$2:$GL$7,MIN(6,'DADOS_FORMAS'!$GW9+2)),IF('DADOS_FORMAS'!$GS9="raio",INDEX('DADOS_FORMAS'!$GN$2:$GN$6,MIN(5,'DADOS_FORMAS'!$GW9+2)),IF('DADOS_FORMAS'!$GS9="comprimento",INDEX('DADOS_FORMAS'!$GP$2:$GP$6,MIN(5,'DADOS_FORMAS'!$GW9+2)),'DADOS_FORMAS'!$GT9)))&amp;'DADOS_FORMAS'!$GV9))</f>
        <v/>
      </c>
      <c r="HI35">
        <f>IF(OR('DADOS_FORMAS'!$AH13="",'DADOS_FORMAS'!$GR9="",'DADOS_FORMAS'!$GT9=""),"",IF('DADOS_FORMAS'!$GT9="—","—",'DADOS_FORMAS'!$GU9&amp;IF('DADOS_FORMAS'!$GS9="alcance",INDEX('DADOS_FORMAS'!$GL$2:$GL$7,MIN(6,'DADOS_FORMAS'!$GW9+3)),IF('DADOS_FORMAS'!$GS9="raio",INDEX('DADOS_FORMAS'!$GN$2:$GN$6,MIN(5,'DADOS_FORMAS'!$GW9+3)),IF('DADOS_FORMAS'!$GS9="comprimento",INDEX('DADOS_FORMAS'!$GP$2:$GP$6,MIN(5,'DADOS_FORMAS'!$GW9+3)),'DADOS_FORMAS'!$GT9)))&amp;'DADOS_FORMAS'!$GV9))</f>
        <v/>
      </c>
      <c r="HJ35">
        <f>IF(OR('DADOS_FORMAS'!$AH13="",'DADOS_FORMAS'!$GR9="",'DADOS_FORMAS'!$GT9=""),"",IF('DADOS_FORMAS'!$GT9="—","—",'DADOS_FORMAS'!$GU9&amp;IF('DADOS_FORMAS'!$GS9="alcance",INDEX('DADOS_FORMAS'!$GL$2:$GL$7,MIN(6,'DADOS_FORMAS'!$GW9+4)),IF('DADOS_FORMAS'!$GS9="raio",INDEX('DADOS_FORMAS'!$GN$2:$GN$6,MIN(5,'DADOS_FORMAS'!$GW9+4)),IF('DADOS_FORMAS'!$GS9="comprimento",INDEX('DADOS_FORMAS'!$GP$2:$GP$6,MIN(5,'DADOS_FORMAS'!$GW9+4)),'DADOS_FORMAS'!$GT9)))&amp;'DADOS_FORMAS'!$GV9))</f>
        <v/>
      </c>
      <c r="HK35">
        <f>IF(OR('DADOS_FORMAS'!$AH13="",'DADOS_FORMAS'!$GR9="",'DADOS_FORMAS'!$GT9=""),"",IF('DADOS_FORMAS'!$GT9="—","—",'DADOS_FORMAS'!$GU9&amp;IF('DADOS_FORMAS'!$GS9="alcance",INDEX('DADOS_FORMAS'!$GL$2:$GL$7,MIN(6,'DADOS_FORMAS'!$GW9+5)),IF('DADOS_FORMAS'!$GS9="raio",INDEX('DADOS_FORMAS'!$GN$2:$GN$6,MIN(5,'DADOS_FORMAS'!$GW9+5)),IF('DADOS_FORMAS'!$GS9="comprimento",INDEX('DADOS_FORMAS'!$GP$2:$GP$6,MIN(5,'DADOS_FORMAS'!$GW9+5)),'DADOS_FORMAS'!$GT9)))&amp;'DADOS_FORMAS'!$GV9))</f>
        <v/>
      </c>
      <c r="HM35">
        <f>'DADOS_FORMAS'!$BP16</f>
        <v/>
      </c>
      <c r="HN35">
        <f>IF('DADOS_FORMAS'!$BP16="area",'DADOS_FORMAS'!$AU16,'DADOS_FORMAS'!$AT16)</f>
        <v/>
      </c>
      <c r="HO35">
        <f>IF('DADOS_FORMAS'!$BP16="area",'DADOS_FORMAS'!$BF16,'DADOS_FORMAS'!$AY16)</f>
        <v/>
      </c>
      <c r="HP35">
        <f>'DADOS_FORMAS'!$BQ16</f>
        <v/>
      </c>
      <c r="HQ35">
        <f>'DADOS_FORMAS'!$BR16</f>
        <v/>
      </c>
      <c r="HR35">
        <f>LET(base,'DADOS_FORMAS'!$HO35,escada,'DADOS_FORMAS'!$HN35,medida,LEFT(base,MAX(0,LEN(base)-2)),valor,IFERROR(VALUE(SUBSTITUTE(medida,",",""))/10^IFERROR(LEN(medida)-FIND(",",medida),0),1E99),IF(OR(escada="Fixo",base="—"),base,IF(escada="alcance",IFERROR(MATCH(base,{"1,5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5" t="inlineStr">
        <is>
          <t>Onda · classes 1 a 5</t>
        </is>
      </c>
      <c r="HU35" t="inlineStr">
        <is>
          <t>Raio 3 m, nela</t>
        </is>
      </c>
      <c r="HV35" t="inlineStr">
        <is>
          <t>Raio 4,5 m, nela</t>
        </is>
      </c>
      <c r="HW35" t="inlineStr">
        <is>
          <t>Raio 6 m, nela</t>
        </is>
      </c>
      <c r="HX35" t="inlineStr">
        <is>
          <t>Raio 9 m, nela</t>
        </is>
      </c>
      <c r="HY35" t="inlineStr">
        <is>
          <t>Raio 15 m, nela</t>
        </is>
      </c>
      <c r="HZ35" t="inlineStr">
        <is>
          <t>Raio 15 m, nela</t>
        </is>
      </c>
      <c r="IA35" t="inlineStr"/>
      <c r="IB35" t="inlineStr"/>
      <c r="IC35" t="inlineStr"/>
      <c r="ID35" t="inlineStr"/>
      <c r="IE35" t="inlineStr"/>
      <c r="IF35" t="inlineStr"/>
      <c r="KA35">
        <f>IFERROR(INDEX(INDEX('DADOS_RESTRICOES'!$M$2:$Q$54,0,1),33),"")</f>
        <v/>
      </c>
    </row>
    <row r="36">
      <c r="GR36">
        <f>'DADOS_FORMAS'!$BL17</f>
        <v/>
      </c>
      <c r="GS36">
        <f>IF('DADOS_FORMAS'!$BL17="area",'DADOS_FORMAS'!$AU17,'DADOS_FORMAS'!$AT17)</f>
        <v/>
      </c>
      <c r="GT36">
        <f>IF('DADOS_FORMAS'!$BL17="area",'DADOS_FORMAS'!$BE17,'DADOS_FORMAS'!$AX17)</f>
        <v/>
      </c>
      <c r="GU36">
        <f>'DADOS_FORMAS'!$BM17</f>
        <v/>
      </c>
      <c r="GV36">
        <f>'DADOS_FORMAS'!$BN17</f>
        <v/>
      </c>
      <c r="GW36">
        <f>LET(base,'DADOS_FORMAS'!$GT36,escada,'DADOS_FORMAS'!$GS36,medida,LEFT(base,MAX(0,LEN(base)-2)),valor,IFERROR(VALUE(SUBSTITUTE(medida,",",""))/10^IFERROR(LEN(medida)-FIND(",",medida),0),1E99),IF(OR(escada="Fixo",base="—"),base,IF(escada="alcance",IFERROR(MATCH(base,{"1,5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6">
        <f>'DADOS_FORMAS'!$AH13&amp;" · classes 1 a 5"</f>
        <v/>
      </c>
      <c r="GZ36">
        <f>LET(trecho,IF(OR('DADOS_FORMAS'!$AH13="",'DADOS_FORMAS'!$GR10="",'DADOS_FORMAS'!$GT10=""),"",IF('DADOS_FORMAS'!$GT10="—","—",'DADOS_FORMAS'!$GU10&amp;'DADOS_FORMAS'!$GT10&amp;'DADOS_FORMAS'!$GV10)),UPPER(LEFT(trecho,1))&amp;MID(trecho,2,LEN(trecho)))</f>
        <v/>
      </c>
      <c r="HA36">
        <f>LET(trecho,IF(OR('DADOS_FORMAS'!$AH13="",'DADOS_FORMAS'!$GR10="",'DADOS_FORMAS'!$GT10=""),"",IF('DADOS_FORMAS'!$GT10="—","—",'DADOS_FORMAS'!$GU10&amp;IF('DADOS_FORMAS'!$GS10="alcance",INDEX('DADOS_FORMAS'!$GL$2:$GL$7,MIN(6,'DADOS_FORMAS'!$GW10+1)),IF('DADOS_FORMAS'!$GS10="raio",INDEX('DADOS_FORMAS'!$GN$2:$GN$6,MIN(5,'DADOS_FORMAS'!$GW10+1)),IF('DADOS_FORMAS'!$GS10="comprimento",INDEX('DADOS_FORMAS'!$GP$2:$GP$6,MIN(5,'DADOS_FORMAS'!$GW10+1)),'DADOS_FORMAS'!$GT10)))&amp;'DADOS_FORMAS'!$GV10)),UPPER(LEFT(trecho,1))&amp;MID(trecho,2,LEN(trecho)))</f>
        <v/>
      </c>
      <c r="HB36">
        <f>LET(trecho,IF(OR('DADOS_FORMAS'!$AH13="",'DADOS_FORMAS'!$GR10="",'DADOS_FORMAS'!$GT10=""),"",IF('DADOS_FORMAS'!$GT10="—","—",'DADOS_FORMAS'!$GU10&amp;IF('DADOS_FORMAS'!$GS10="alcance",INDEX('DADOS_FORMAS'!$GL$2:$GL$7,MIN(6,'DADOS_FORMAS'!$GW10+2)),IF('DADOS_FORMAS'!$GS10="raio",INDEX('DADOS_FORMAS'!$GN$2:$GN$6,MIN(5,'DADOS_FORMAS'!$GW10+2)),IF('DADOS_FORMAS'!$GS10="comprimento",INDEX('DADOS_FORMAS'!$GP$2:$GP$6,MIN(5,'DADOS_FORMAS'!$GW10+2)),'DADOS_FORMAS'!$GT10)))&amp;'DADOS_FORMAS'!$GV10)),UPPER(LEFT(trecho,1))&amp;MID(trecho,2,LEN(trecho)))</f>
        <v/>
      </c>
      <c r="HC36">
        <f>LET(trecho,IF(OR('DADOS_FORMAS'!$AH13="",'DADOS_FORMAS'!$GR10="",'DADOS_FORMAS'!$GT10=""),"",IF('DADOS_FORMAS'!$GT10="—","—",'DADOS_FORMAS'!$GU10&amp;IF('DADOS_FORMAS'!$GS10="alcance",INDEX('DADOS_FORMAS'!$GL$2:$GL$7,MIN(6,'DADOS_FORMAS'!$GW10+3)),IF('DADOS_FORMAS'!$GS10="raio",INDEX('DADOS_FORMAS'!$GN$2:$GN$6,MIN(5,'DADOS_FORMAS'!$GW10+3)),IF('DADOS_FORMAS'!$GS10="comprimento",INDEX('DADOS_FORMAS'!$GP$2:$GP$6,MIN(5,'DADOS_FORMAS'!$GW10+3)),'DADOS_FORMAS'!$GT10)))&amp;'DADOS_FORMAS'!$GV10)),UPPER(LEFT(trecho,1))&amp;MID(trecho,2,LEN(trecho)))</f>
        <v/>
      </c>
      <c r="HD36">
        <f>LET(trecho,IF(OR('DADOS_FORMAS'!$AH13="",'DADOS_FORMAS'!$GR10="",'DADOS_FORMAS'!$GT10=""),"",IF('DADOS_FORMAS'!$GT10="—","—",'DADOS_FORMAS'!$GU10&amp;IF('DADOS_FORMAS'!$GS10="alcance",INDEX('DADOS_FORMAS'!$GL$2:$GL$7,MIN(6,'DADOS_FORMAS'!$GW10+4)),IF('DADOS_FORMAS'!$GS10="raio",INDEX('DADOS_FORMAS'!$GN$2:$GN$6,MIN(5,'DADOS_FORMAS'!$GW10+4)),IF('DADOS_FORMAS'!$GS10="comprimento",INDEX('DADOS_FORMAS'!$GP$2:$GP$6,MIN(5,'DADOS_FORMAS'!$GW10+4)),'DADOS_FORMAS'!$GT10)))&amp;'DADOS_FORMAS'!$GV10)),UPPER(LEFT(trecho,1))&amp;MID(trecho,2,LEN(trecho)))</f>
        <v/>
      </c>
      <c r="HE36">
        <f>LET(trecho,IF(OR('DADOS_FORMAS'!$AH13="",'DADOS_FORMAS'!$GR10="",'DADOS_FORMAS'!$GT10=""),"",IF('DADOS_FORMAS'!$GT10="—","—",'DADOS_FORMAS'!$GU10&amp;IF('DADOS_FORMAS'!$GS10="alcance",INDEX('DADOS_FORMAS'!$GL$2:$GL$7,MIN(6,'DADOS_FORMAS'!$GW10+5)),IF('DADOS_FORMAS'!$GS10="raio",INDEX('DADOS_FORMAS'!$GN$2:$GN$6,MIN(5,'DADOS_FORMAS'!$GW10+5)),IF('DADOS_FORMAS'!$GS10="comprimento",INDEX('DADOS_FORMAS'!$GP$2:$GP$6,MIN(5,'DADOS_FORMAS'!$GW10+5)),'DADOS_FORMAS'!$GT10)))&amp;'DADOS_FORMAS'!$GV10)),UPPER(LEFT(trecho,1))&amp;MID(trecho,2,LEN(trecho)))</f>
        <v/>
      </c>
      <c r="HF36">
        <f>IF(OR('DADOS_FORMAS'!$AH13="",'DADOS_FORMAS'!$GR11="",'DADOS_FORMAS'!$GT11=""),"",IF('DADOS_FORMAS'!$GT11="—","—",'DADOS_FORMAS'!$GU11&amp;'DADOS_FORMAS'!$GT11&amp;'DADOS_FORMAS'!$GV11))</f>
        <v/>
      </c>
      <c r="HG36">
        <f>IF(OR('DADOS_FORMAS'!$AH13="",'DADOS_FORMAS'!$GR11="",'DADOS_FORMAS'!$GT11=""),"",IF('DADOS_FORMAS'!$GT11="—","—",'DADOS_FORMAS'!$GU11&amp;IF('DADOS_FORMAS'!$GS11="alcance",INDEX('DADOS_FORMAS'!$GL$2:$GL$7,MIN(6,'DADOS_FORMAS'!$GW11+1)),IF('DADOS_FORMAS'!$GS11="raio",INDEX('DADOS_FORMAS'!$GN$2:$GN$6,MIN(5,'DADOS_FORMAS'!$GW11+1)),IF('DADOS_FORMAS'!$GS11="comprimento",INDEX('DADOS_FORMAS'!$GP$2:$GP$6,MIN(5,'DADOS_FORMAS'!$GW11+1)),'DADOS_FORMAS'!$GT11)))&amp;'DADOS_FORMAS'!$GV11))</f>
        <v/>
      </c>
      <c r="HH36">
        <f>IF(OR('DADOS_FORMAS'!$AH13="",'DADOS_FORMAS'!$GR11="",'DADOS_FORMAS'!$GT11=""),"",IF('DADOS_FORMAS'!$GT11="—","—",'DADOS_FORMAS'!$GU11&amp;IF('DADOS_FORMAS'!$GS11="alcance",INDEX('DADOS_FORMAS'!$GL$2:$GL$7,MIN(6,'DADOS_FORMAS'!$GW11+2)),IF('DADOS_FORMAS'!$GS11="raio",INDEX('DADOS_FORMAS'!$GN$2:$GN$6,MIN(5,'DADOS_FORMAS'!$GW11+2)),IF('DADOS_FORMAS'!$GS11="comprimento",INDEX('DADOS_FORMAS'!$GP$2:$GP$6,MIN(5,'DADOS_FORMAS'!$GW11+2)),'DADOS_FORMAS'!$GT11)))&amp;'DADOS_FORMAS'!$GV11))</f>
        <v/>
      </c>
      <c r="HI36">
        <f>IF(OR('DADOS_FORMAS'!$AH13="",'DADOS_FORMAS'!$GR11="",'DADOS_FORMAS'!$GT11=""),"",IF('DADOS_FORMAS'!$GT11="—","—",'DADOS_FORMAS'!$GU11&amp;IF('DADOS_FORMAS'!$GS11="alcance",INDEX('DADOS_FORMAS'!$GL$2:$GL$7,MIN(6,'DADOS_FORMAS'!$GW11+3)),IF('DADOS_FORMAS'!$GS11="raio",INDEX('DADOS_FORMAS'!$GN$2:$GN$6,MIN(5,'DADOS_FORMAS'!$GW11+3)),IF('DADOS_FORMAS'!$GS11="comprimento",INDEX('DADOS_FORMAS'!$GP$2:$GP$6,MIN(5,'DADOS_FORMAS'!$GW11+3)),'DADOS_FORMAS'!$GT11)))&amp;'DADOS_FORMAS'!$GV11))</f>
        <v/>
      </c>
      <c r="HJ36">
        <f>IF(OR('DADOS_FORMAS'!$AH13="",'DADOS_FORMAS'!$GR11="",'DADOS_FORMAS'!$GT11=""),"",IF('DADOS_FORMAS'!$GT11="—","—",'DADOS_FORMAS'!$GU11&amp;IF('DADOS_FORMAS'!$GS11="alcance",INDEX('DADOS_FORMAS'!$GL$2:$GL$7,MIN(6,'DADOS_FORMAS'!$GW11+4)),IF('DADOS_FORMAS'!$GS11="raio",INDEX('DADOS_FORMAS'!$GN$2:$GN$6,MIN(5,'DADOS_FORMAS'!$GW11+4)),IF('DADOS_FORMAS'!$GS11="comprimento",INDEX('DADOS_FORMAS'!$GP$2:$GP$6,MIN(5,'DADOS_FORMAS'!$GW11+4)),'DADOS_FORMAS'!$GT11)))&amp;'DADOS_FORMAS'!$GV11))</f>
        <v/>
      </c>
      <c r="HK36">
        <f>IF(OR('DADOS_FORMAS'!$AH13="",'DADOS_FORMAS'!$GR11="",'DADOS_FORMAS'!$GT11=""),"",IF('DADOS_FORMAS'!$GT11="—","—",'DADOS_FORMAS'!$GU11&amp;IF('DADOS_FORMAS'!$GS11="alcance",INDEX('DADOS_FORMAS'!$GL$2:$GL$7,MIN(6,'DADOS_FORMAS'!$GW11+5)),IF('DADOS_FORMAS'!$GS11="raio",INDEX('DADOS_FORMAS'!$GN$2:$GN$6,MIN(5,'DADOS_FORMAS'!$GW11+5)),IF('DADOS_FORMAS'!$GS11="comprimento",INDEX('DADOS_FORMAS'!$GP$2:$GP$6,MIN(5,'DADOS_FORMAS'!$GW11+5)),'DADOS_FORMAS'!$GT11)))&amp;'DADOS_FORMAS'!$GV11))</f>
        <v/>
      </c>
      <c r="HM36">
        <f>'DADOS_FORMAS'!$BL16</f>
        <v/>
      </c>
      <c r="HN36">
        <f>IF('DADOS_FORMAS'!$BL16="area",'DADOS_FORMAS'!$AU16,'DADOS_FORMAS'!$AT16)</f>
        <v/>
      </c>
      <c r="HO36">
        <f>IF('DADOS_FORMAS'!$BL16="area",'DADOS_FORMAS'!$BG16,'DADOS_FORMAS'!$AZ16)</f>
        <v/>
      </c>
      <c r="HP36">
        <f>'DADOS_FORMAS'!$BM16</f>
        <v/>
      </c>
      <c r="HQ36">
        <f>'DADOS_FORMAS'!$BN16</f>
        <v/>
      </c>
      <c r="HR36">
        <f>LET(base,'DADOS_FORMAS'!$HO36,escada,'DADOS_FORMAS'!$HN36,medida,LEFT(base,MAX(0,LEN(base)-2)),valor,IFERROR(VALUE(SUBSTITUTE(medida,",",""))/10^IFERROR(LEN(medida)-FIND(",",medida),0),1E99),IF(OR(escada="Fixo",base="—"),base,IF(escada="alcance",IFERROR(MATCH(base,{"1,5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6" t="inlineStr">
        <is>
          <t>Onda · classe 6</t>
        </is>
      </c>
      <c r="HU36" t="inlineStr">
        <is>
          <t>Raio 3 m, nela</t>
        </is>
      </c>
      <c r="HV36" t="inlineStr">
        <is>
          <t>Raio 4,5 m, nela</t>
        </is>
      </c>
      <c r="HW36" t="inlineStr">
        <is>
          <t>Raio 6 m, nela</t>
        </is>
      </c>
      <c r="HX36" t="inlineStr">
        <is>
          <t>Raio 9 m, nela</t>
        </is>
      </c>
      <c r="HY36" t="inlineStr">
        <is>
          <t>Raio 15 m, nela</t>
        </is>
      </c>
      <c r="HZ36" t="inlineStr">
        <is>
          <t>Raio 15 m, nela</t>
        </is>
      </c>
      <c r="IA36" t="inlineStr"/>
      <c r="IB36" t="inlineStr"/>
      <c r="IC36" t="inlineStr"/>
      <c r="ID36" t="inlineStr"/>
      <c r="IE36" t="inlineStr"/>
      <c r="IF36" t="inlineStr"/>
      <c r="KA36">
        <f>IFERROR(INDEX(INDEX('DADOS_RESTRICOES'!$M$2:$Q$54,0,1),34),"")</f>
        <v/>
      </c>
    </row>
    <row r="37">
      <c r="GR37">
        <f>'DADOS_FORMAS'!$BP17</f>
        <v/>
      </c>
      <c r="GS37">
        <f>IF('DADOS_FORMAS'!$BP17="area",'DADOS_FORMAS'!$AU17,'DADOS_FORMAS'!$AT17)</f>
        <v/>
      </c>
      <c r="GT37">
        <f>IF('DADOS_FORMAS'!$BP17="area",'DADOS_FORMAS'!$BE17,'DADOS_FORMAS'!$AX17)</f>
        <v/>
      </c>
      <c r="GU37">
        <f>'DADOS_FORMAS'!$BQ17</f>
        <v/>
      </c>
      <c r="GV37">
        <f>'DADOS_FORMAS'!$BR17</f>
        <v/>
      </c>
      <c r="GW37">
        <f>LET(base,'DADOS_FORMAS'!$GT37,escada,'DADOS_FORMAS'!$GS37,medida,LEFT(base,MAX(0,LEN(base)-2)),valor,IFERROR(VALUE(SUBSTITUTE(medida,",",""))/10^IFERROR(LEN(medida)-FIND(",",medida),0),1E99),IF(OR(escada="Fixo",base="—"),base,IF(escada="alcance",IFERROR(MATCH(base,{"1,5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7">
        <f>'DADOS_FORMAS'!$AH13&amp;" · classes 6 e 7"</f>
        <v/>
      </c>
      <c r="GZ37">
        <f>LET(trecho,IF(OR('DADOS_FORMAS'!$AH13="",'DADOS_FORMAS'!$GR12="",'DADOS_FORMAS'!$GT12=""),"",IF('DADOS_FORMAS'!$GT12="—","—",'DADOS_FORMAS'!$GU12&amp;'DADOS_FORMAS'!$GT12&amp;'DADOS_FORMAS'!$GV12)),UPPER(LEFT(trecho,1))&amp;MID(trecho,2,LEN(trecho)))</f>
        <v/>
      </c>
      <c r="HA37">
        <f>LET(trecho,IF(OR('DADOS_FORMAS'!$AH13="",'DADOS_FORMAS'!$GR12="",'DADOS_FORMAS'!$GT12=""),"",IF('DADOS_FORMAS'!$GT12="—","—",'DADOS_FORMAS'!$GU12&amp;IF('DADOS_FORMAS'!$GS12="alcance",INDEX('DADOS_FORMAS'!$GL$2:$GL$7,MIN(6,'DADOS_FORMAS'!$GW12+1)),IF('DADOS_FORMAS'!$GS12="raio",INDEX('DADOS_FORMAS'!$GN$2:$GN$6,MIN(5,'DADOS_FORMAS'!$GW12+1)),IF('DADOS_FORMAS'!$GS12="comprimento",INDEX('DADOS_FORMAS'!$GP$2:$GP$6,MIN(5,'DADOS_FORMAS'!$GW12+1)),'DADOS_FORMAS'!$GT12)))&amp;'DADOS_FORMAS'!$GV12)),UPPER(LEFT(trecho,1))&amp;MID(trecho,2,LEN(trecho)))</f>
        <v/>
      </c>
      <c r="HB37">
        <f>LET(trecho,IF(OR('DADOS_FORMAS'!$AH13="",'DADOS_FORMAS'!$GR12="",'DADOS_FORMAS'!$GT12=""),"",IF('DADOS_FORMAS'!$GT12="—","—",'DADOS_FORMAS'!$GU12&amp;IF('DADOS_FORMAS'!$GS12="alcance",INDEX('DADOS_FORMAS'!$GL$2:$GL$7,MIN(6,'DADOS_FORMAS'!$GW12+2)),IF('DADOS_FORMAS'!$GS12="raio",INDEX('DADOS_FORMAS'!$GN$2:$GN$6,MIN(5,'DADOS_FORMAS'!$GW12+2)),IF('DADOS_FORMAS'!$GS12="comprimento",INDEX('DADOS_FORMAS'!$GP$2:$GP$6,MIN(5,'DADOS_FORMAS'!$GW12+2)),'DADOS_FORMAS'!$GT12)))&amp;'DADOS_FORMAS'!$GV12)),UPPER(LEFT(trecho,1))&amp;MID(trecho,2,LEN(trecho)))</f>
        <v/>
      </c>
      <c r="HC37">
        <f>LET(trecho,IF(OR('DADOS_FORMAS'!$AH13="",'DADOS_FORMAS'!$GR12="",'DADOS_FORMAS'!$GT12=""),"",IF('DADOS_FORMAS'!$GT12="—","—",'DADOS_FORMAS'!$GU12&amp;IF('DADOS_FORMAS'!$GS12="alcance",INDEX('DADOS_FORMAS'!$GL$2:$GL$7,MIN(6,'DADOS_FORMAS'!$GW12+3)),IF('DADOS_FORMAS'!$GS12="raio",INDEX('DADOS_FORMAS'!$GN$2:$GN$6,MIN(5,'DADOS_FORMAS'!$GW12+3)),IF('DADOS_FORMAS'!$GS12="comprimento",INDEX('DADOS_FORMAS'!$GP$2:$GP$6,MIN(5,'DADOS_FORMAS'!$GW12+3)),'DADOS_FORMAS'!$GT12)))&amp;'DADOS_FORMAS'!$GV12)),UPPER(LEFT(trecho,1))&amp;MID(trecho,2,LEN(trecho)))</f>
        <v/>
      </c>
      <c r="HD37">
        <f>LET(trecho,IF(OR('DADOS_FORMAS'!$AH13="",'DADOS_FORMAS'!$GR12="",'DADOS_FORMAS'!$GT12=""),"",IF('DADOS_FORMAS'!$GT12="—","—",'DADOS_FORMAS'!$GU12&amp;IF('DADOS_FORMAS'!$GS12="alcance",INDEX('DADOS_FORMAS'!$GL$2:$GL$7,MIN(6,'DADOS_FORMAS'!$GW12+4)),IF('DADOS_FORMAS'!$GS12="raio",INDEX('DADOS_FORMAS'!$GN$2:$GN$6,MIN(5,'DADOS_FORMAS'!$GW12+4)),IF('DADOS_FORMAS'!$GS12="comprimento",INDEX('DADOS_FORMAS'!$GP$2:$GP$6,MIN(5,'DADOS_FORMAS'!$GW12+4)),'DADOS_FORMAS'!$GT12)))&amp;'DADOS_FORMAS'!$GV12)),UPPER(LEFT(trecho,1))&amp;MID(trecho,2,LEN(trecho)))</f>
        <v/>
      </c>
      <c r="HE37">
        <f>LET(trecho,IF(OR('DADOS_FORMAS'!$AH13="",'DADOS_FORMAS'!$GR12="",'DADOS_FORMAS'!$GT12=""),"",IF('DADOS_FORMAS'!$GT12="—","—",'DADOS_FORMAS'!$GU12&amp;IF('DADOS_FORMAS'!$GS12="alcance",INDEX('DADOS_FORMAS'!$GL$2:$GL$7,MIN(6,'DADOS_FORMAS'!$GW12+5)),IF('DADOS_FORMAS'!$GS12="raio",INDEX('DADOS_FORMAS'!$GN$2:$GN$6,MIN(5,'DADOS_FORMAS'!$GW12+5)),IF('DADOS_FORMAS'!$GS12="comprimento",INDEX('DADOS_FORMAS'!$GP$2:$GP$6,MIN(5,'DADOS_FORMAS'!$GW12+5)),'DADOS_FORMAS'!$GT12)))&amp;'DADOS_FORMAS'!$GV12)),UPPER(LEFT(trecho,1))&amp;MID(trecho,2,LEN(trecho)))</f>
        <v/>
      </c>
      <c r="HF37">
        <f>IF(OR('DADOS_FORMAS'!$AH13="",'DADOS_FORMAS'!$GR13="",'DADOS_FORMAS'!$GT13=""),"",IF('DADOS_FORMAS'!$GT13="—","—",'DADOS_FORMAS'!$GU13&amp;'DADOS_FORMAS'!$GT13&amp;'DADOS_FORMAS'!$GV13))</f>
        <v/>
      </c>
      <c r="HG37">
        <f>IF(OR('DADOS_FORMAS'!$AH13="",'DADOS_FORMAS'!$GR13="",'DADOS_FORMAS'!$GT13=""),"",IF('DADOS_FORMAS'!$GT13="—","—",'DADOS_FORMAS'!$GU13&amp;IF('DADOS_FORMAS'!$GS13="alcance",INDEX('DADOS_FORMAS'!$GL$2:$GL$7,MIN(6,'DADOS_FORMAS'!$GW13+1)),IF('DADOS_FORMAS'!$GS13="raio",INDEX('DADOS_FORMAS'!$GN$2:$GN$6,MIN(5,'DADOS_FORMAS'!$GW13+1)),IF('DADOS_FORMAS'!$GS13="comprimento",INDEX('DADOS_FORMAS'!$GP$2:$GP$6,MIN(5,'DADOS_FORMAS'!$GW13+1)),'DADOS_FORMAS'!$GT13)))&amp;'DADOS_FORMAS'!$GV13))</f>
        <v/>
      </c>
      <c r="HH37">
        <f>IF(OR('DADOS_FORMAS'!$AH13="",'DADOS_FORMAS'!$GR13="",'DADOS_FORMAS'!$GT13=""),"",IF('DADOS_FORMAS'!$GT13="—","—",'DADOS_FORMAS'!$GU13&amp;IF('DADOS_FORMAS'!$GS13="alcance",INDEX('DADOS_FORMAS'!$GL$2:$GL$7,MIN(6,'DADOS_FORMAS'!$GW13+2)),IF('DADOS_FORMAS'!$GS13="raio",INDEX('DADOS_FORMAS'!$GN$2:$GN$6,MIN(5,'DADOS_FORMAS'!$GW13+2)),IF('DADOS_FORMAS'!$GS13="comprimento",INDEX('DADOS_FORMAS'!$GP$2:$GP$6,MIN(5,'DADOS_FORMAS'!$GW13+2)),'DADOS_FORMAS'!$GT13)))&amp;'DADOS_FORMAS'!$GV13))</f>
        <v/>
      </c>
      <c r="HI37">
        <f>IF(OR('DADOS_FORMAS'!$AH13="",'DADOS_FORMAS'!$GR13="",'DADOS_FORMAS'!$GT13=""),"",IF('DADOS_FORMAS'!$GT13="—","—",'DADOS_FORMAS'!$GU13&amp;IF('DADOS_FORMAS'!$GS13="alcance",INDEX('DADOS_FORMAS'!$GL$2:$GL$7,MIN(6,'DADOS_FORMAS'!$GW13+3)),IF('DADOS_FORMAS'!$GS13="raio",INDEX('DADOS_FORMAS'!$GN$2:$GN$6,MIN(5,'DADOS_FORMAS'!$GW13+3)),IF('DADOS_FORMAS'!$GS13="comprimento",INDEX('DADOS_FORMAS'!$GP$2:$GP$6,MIN(5,'DADOS_FORMAS'!$GW13+3)),'DADOS_FORMAS'!$GT13)))&amp;'DADOS_FORMAS'!$GV13))</f>
        <v/>
      </c>
      <c r="HJ37">
        <f>IF(OR('DADOS_FORMAS'!$AH13="",'DADOS_FORMAS'!$GR13="",'DADOS_FORMAS'!$GT13=""),"",IF('DADOS_FORMAS'!$GT13="—","—",'DADOS_FORMAS'!$GU13&amp;IF('DADOS_FORMAS'!$GS13="alcance",INDEX('DADOS_FORMAS'!$GL$2:$GL$7,MIN(6,'DADOS_FORMAS'!$GW13+4)),IF('DADOS_FORMAS'!$GS13="raio",INDEX('DADOS_FORMAS'!$GN$2:$GN$6,MIN(5,'DADOS_FORMAS'!$GW13+4)),IF('DADOS_FORMAS'!$GS13="comprimento",INDEX('DADOS_FORMAS'!$GP$2:$GP$6,MIN(5,'DADOS_FORMAS'!$GW13+4)),'DADOS_FORMAS'!$GT13)))&amp;'DADOS_FORMAS'!$GV13))</f>
        <v/>
      </c>
      <c r="HK37">
        <f>IF(OR('DADOS_FORMAS'!$AH13="",'DADOS_FORMAS'!$GR13="",'DADOS_FORMAS'!$GT13=""),"",IF('DADOS_FORMAS'!$GT13="—","—",'DADOS_FORMAS'!$GU13&amp;IF('DADOS_FORMAS'!$GS13="alcance",INDEX('DADOS_FORMAS'!$GL$2:$GL$7,MIN(6,'DADOS_FORMAS'!$GW13+5)),IF('DADOS_FORMAS'!$GS13="raio",INDEX('DADOS_FORMAS'!$GN$2:$GN$6,MIN(5,'DADOS_FORMAS'!$GW13+5)),IF('DADOS_FORMAS'!$GS13="comprimento",INDEX('DADOS_FORMAS'!$GP$2:$GP$6,MIN(5,'DADOS_FORMAS'!$GW13+5)),'DADOS_FORMAS'!$GT13)))&amp;'DADOS_FORMAS'!$GV13))</f>
        <v/>
      </c>
      <c r="HM37">
        <f>'DADOS_FORMAS'!$BP16</f>
        <v/>
      </c>
      <c r="HN37">
        <f>IF('DADOS_FORMAS'!$BP16="area",'DADOS_FORMAS'!$AU16,'DADOS_FORMAS'!$AT16)</f>
        <v/>
      </c>
      <c r="HO37">
        <f>IF('DADOS_FORMAS'!$BP16="area",'DADOS_FORMAS'!$BG16,'DADOS_FORMAS'!$AZ16)</f>
        <v/>
      </c>
      <c r="HP37">
        <f>'DADOS_FORMAS'!$BQ16</f>
        <v/>
      </c>
      <c r="HQ37">
        <f>'DADOS_FORMAS'!$BR16</f>
        <v/>
      </c>
      <c r="HR37">
        <f>LET(base,'DADOS_FORMAS'!$HO37,escada,'DADOS_FORMAS'!$HN37,medida,LEFT(base,MAX(0,LEN(base)-2)),valor,IFERROR(VALUE(SUBSTITUTE(medida,",",""))/10^IFERROR(LEN(medida)-FIND(",",medida),0),1E99),IF(OR(escada="Fixo",base="—"),base,IF(escada="alcance",IFERROR(MATCH(base,{"1,5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7" t="inlineStr">
        <is>
          <t>Onda · classe 7</t>
        </is>
      </c>
      <c r="HU37" t="inlineStr">
        <is>
          <t>Raio 4,5 m, nela</t>
        </is>
      </c>
      <c r="HV37" t="inlineStr">
        <is>
          <t>Raio 6 m, nela</t>
        </is>
      </c>
      <c r="HW37" t="inlineStr">
        <is>
          <t>Raio 9 m, nela</t>
        </is>
      </c>
      <c r="HX37" t="inlineStr">
        <is>
          <t>Raio 15 m, nela</t>
        </is>
      </c>
      <c r="HY37" t="inlineStr">
        <is>
          <t>Raio 15 m, nela</t>
        </is>
      </c>
      <c r="HZ37" t="inlineStr">
        <is>
          <t>Raio 15 m, nela</t>
        </is>
      </c>
      <c r="IA37" t="inlineStr"/>
      <c r="IB37" t="inlineStr"/>
      <c r="IC37" t="inlineStr"/>
      <c r="ID37" t="inlineStr"/>
      <c r="IE37" t="inlineStr"/>
      <c r="IF37" t="inlineStr"/>
      <c r="KA37">
        <f>IFERROR(INDEX(INDEX('DADOS_RESTRICOES'!$M$2:$Q$54,0,1),35),"")</f>
        <v/>
      </c>
    </row>
    <row r="38">
      <c r="GR38">
        <f>'DADOS_FORMAS'!$BL18</f>
        <v/>
      </c>
      <c r="GS38">
        <f>IF('DADOS_FORMAS'!$BL18="area",'DADOS_FORMAS'!$AU18,'DADOS_FORMAS'!$AT18)</f>
        <v/>
      </c>
      <c r="GT38">
        <f>IF('DADOS_FORMAS'!$BL18="area",'DADOS_FORMAS'!$BC18,'DADOS_FORMAS'!$AV18)</f>
        <v/>
      </c>
      <c r="GU38">
        <f>'DADOS_FORMAS'!$BM18</f>
        <v/>
      </c>
      <c r="GV38">
        <f>'DADOS_FORMAS'!$BN18</f>
        <v/>
      </c>
      <c r="GW38">
        <f>LET(base,'DADOS_FORMAS'!$GT38,escada,'DADOS_FORMAS'!$GS38,medida,LEFT(base,MAX(0,LEN(base)-2)),valor,IFERROR(VALUE(SUBSTITUTE(medida,",",""))/10^IFERROR(LEN(medida)-FIND(",",medida),0),1E99),IF(OR(escada="Fixo",base="—"),base,IF(escada="alcance",IFERROR(MATCH(base,{"1,5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8">
        <f>'DADOS_FORMAS'!$AH14&amp;" · classe 0"</f>
        <v/>
      </c>
      <c r="GZ38">
        <f>LET(trecho,IF(OR('DADOS_FORMAS'!$AH14="",'DADOS_FORMAS'!$GR14="",'DADOS_FORMAS'!$GT14=""),"",IF('DADOS_FORMAS'!$GT14="—","—",'DADOS_FORMAS'!$GU14&amp;'DADOS_FORMAS'!$GT14&amp;'DADOS_FORMAS'!$GV14)),UPPER(LEFT(trecho,1))&amp;MID(trecho,2,LEN(trecho)))</f>
        <v/>
      </c>
      <c r="HA38">
        <f>LET(trecho,IF(OR('DADOS_FORMAS'!$AH14="",'DADOS_FORMAS'!$GR14="",'DADOS_FORMAS'!$GT14=""),"",IF('DADOS_FORMAS'!$GT14="—","—",'DADOS_FORMAS'!$GU14&amp;IF('DADOS_FORMAS'!$GS14="alcance",INDEX('DADOS_FORMAS'!$GL$2:$GL$7,MIN(6,'DADOS_FORMAS'!$GW14+1)),IF('DADOS_FORMAS'!$GS14="raio",INDEX('DADOS_FORMAS'!$GN$2:$GN$6,MIN(5,'DADOS_FORMAS'!$GW14+1)),IF('DADOS_FORMAS'!$GS14="comprimento",INDEX('DADOS_FORMAS'!$GP$2:$GP$6,MIN(5,'DADOS_FORMAS'!$GW14+1)),'DADOS_FORMAS'!$GT14)))&amp;'DADOS_FORMAS'!$GV14)),UPPER(LEFT(trecho,1))&amp;MID(trecho,2,LEN(trecho)))</f>
        <v/>
      </c>
      <c r="HB38">
        <f>LET(trecho,IF(OR('DADOS_FORMAS'!$AH14="",'DADOS_FORMAS'!$GR14="",'DADOS_FORMAS'!$GT14=""),"",IF('DADOS_FORMAS'!$GT14="—","—",'DADOS_FORMAS'!$GU14&amp;IF('DADOS_FORMAS'!$GS14="alcance",INDEX('DADOS_FORMAS'!$GL$2:$GL$7,MIN(6,'DADOS_FORMAS'!$GW14+2)),IF('DADOS_FORMAS'!$GS14="raio",INDEX('DADOS_FORMAS'!$GN$2:$GN$6,MIN(5,'DADOS_FORMAS'!$GW14+2)),IF('DADOS_FORMAS'!$GS14="comprimento",INDEX('DADOS_FORMAS'!$GP$2:$GP$6,MIN(5,'DADOS_FORMAS'!$GW14+2)),'DADOS_FORMAS'!$GT14)))&amp;'DADOS_FORMAS'!$GV14)),UPPER(LEFT(trecho,1))&amp;MID(trecho,2,LEN(trecho)))</f>
        <v/>
      </c>
      <c r="HC38">
        <f>LET(trecho,IF(OR('DADOS_FORMAS'!$AH14="",'DADOS_FORMAS'!$GR14="",'DADOS_FORMAS'!$GT14=""),"",IF('DADOS_FORMAS'!$GT14="—","—",'DADOS_FORMAS'!$GU14&amp;IF('DADOS_FORMAS'!$GS14="alcance",INDEX('DADOS_FORMAS'!$GL$2:$GL$7,MIN(6,'DADOS_FORMAS'!$GW14+3)),IF('DADOS_FORMAS'!$GS14="raio",INDEX('DADOS_FORMAS'!$GN$2:$GN$6,MIN(5,'DADOS_FORMAS'!$GW14+3)),IF('DADOS_FORMAS'!$GS14="comprimento",INDEX('DADOS_FORMAS'!$GP$2:$GP$6,MIN(5,'DADOS_FORMAS'!$GW14+3)),'DADOS_FORMAS'!$GT14)))&amp;'DADOS_FORMAS'!$GV14)),UPPER(LEFT(trecho,1))&amp;MID(trecho,2,LEN(trecho)))</f>
        <v/>
      </c>
      <c r="HD38">
        <f>LET(trecho,IF(OR('DADOS_FORMAS'!$AH14="",'DADOS_FORMAS'!$GR14="",'DADOS_FORMAS'!$GT14=""),"",IF('DADOS_FORMAS'!$GT14="—","—",'DADOS_FORMAS'!$GU14&amp;IF('DADOS_FORMAS'!$GS14="alcance",INDEX('DADOS_FORMAS'!$GL$2:$GL$7,MIN(6,'DADOS_FORMAS'!$GW14+4)),IF('DADOS_FORMAS'!$GS14="raio",INDEX('DADOS_FORMAS'!$GN$2:$GN$6,MIN(5,'DADOS_FORMAS'!$GW14+4)),IF('DADOS_FORMAS'!$GS14="comprimento",INDEX('DADOS_FORMAS'!$GP$2:$GP$6,MIN(5,'DADOS_FORMAS'!$GW14+4)),'DADOS_FORMAS'!$GT14)))&amp;'DADOS_FORMAS'!$GV14)),UPPER(LEFT(trecho,1))&amp;MID(trecho,2,LEN(trecho)))</f>
        <v/>
      </c>
      <c r="HE38">
        <f>LET(trecho,IF(OR('DADOS_FORMAS'!$AH14="",'DADOS_FORMAS'!$GR14="",'DADOS_FORMAS'!$GT14=""),"",IF('DADOS_FORMAS'!$GT14="—","—",'DADOS_FORMAS'!$GU14&amp;IF('DADOS_FORMAS'!$GS14="alcance",INDEX('DADOS_FORMAS'!$GL$2:$GL$7,MIN(6,'DADOS_FORMAS'!$GW14+5)),IF('DADOS_FORMAS'!$GS14="raio",INDEX('DADOS_FORMAS'!$GN$2:$GN$6,MIN(5,'DADOS_FORMAS'!$GW14+5)),IF('DADOS_FORMAS'!$GS14="comprimento",INDEX('DADOS_FORMAS'!$GP$2:$GP$6,MIN(5,'DADOS_FORMAS'!$GW14+5)),'DADOS_FORMAS'!$GT14)))&amp;'DADOS_FORMAS'!$GV14)),UPPER(LEFT(trecho,1))&amp;MID(trecho,2,LEN(trecho)))</f>
        <v/>
      </c>
      <c r="HF38">
        <f>IF(OR('DADOS_FORMAS'!$AH14="",'DADOS_FORMAS'!$GR15="",'DADOS_FORMAS'!$GT15=""),"",IF('DADOS_FORMAS'!$GT15="—","—",'DADOS_FORMAS'!$GU15&amp;'DADOS_FORMAS'!$GT15&amp;'DADOS_FORMAS'!$GV15))</f>
        <v/>
      </c>
      <c r="HG38">
        <f>IF(OR('DADOS_FORMAS'!$AH14="",'DADOS_FORMAS'!$GR15="",'DADOS_FORMAS'!$GT15=""),"",IF('DADOS_FORMAS'!$GT15="—","—",'DADOS_FORMAS'!$GU15&amp;IF('DADOS_FORMAS'!$GS15="alcance",INDEX('DADOS_FORMAS'!$GL$2:$GL$7,MIN(6,'DADOS_FORMAS'!$GW15+1)),IF('DADOS_FORMAS'!$GS15="raio",INDEX('DADOS_FORMAS'!$GN$2:$GN$6,MIN(5,'DADOS_FORMAS'!$GW15+1)),IF('DADOS_FORMAS'!$GS15="comprimento",INDEX('DADOS_FORMAS'!$GP$2:$GP$6,MIN(5,'DADOS_FORMAS'!$GW15+1)),'DADOS_FORMAS'!$GT15)))&amp;'DADOS_FORMAS'!$GV15))</f>
        <v/>
      </c>
      <c r="HH38">
        <f>IF(OR('DADOS_FORMAS'!$AH14="",'DADOS_FORMAS'!$GR15="",'DADOS_FORMAS'!$GT15=""),"",IF('DADOS_FORMAS'!$GT15="—","—",'DADOS_FORMAS'!$GU15&amp;IF('DADOS_FORMAS'!$GS15="alcance",INDEX('DADOS_FORMAS'!$GL$2:$GL$7,MIN(6,'DADOS_FORMAS'!$GW15+2)),IF('DADOS_FORMAS'!$GS15="raio",INDEX('DADOS_FORMAS'!$GN$2:$GN$6,MIN(5,'DADOS_FORMAS'!$GW15+2)),IF('DADOS_FORMAS'!$GS15="comprimento",INDEX('DADOS_FORMAS'!$GP$2:$GP$6,MIN(5,'DADOS_FORMAS'!$GW15+2)),'DADOS_FORMAS'!$GT15)))&amp;'DADOS_FORMAS'!$GV15))</f>
        <v/>
      </c>
      <c r="HI38">
        <f>IF(OR('DADOS_FORMAS'!$AH14="",'DADOS_FORMAS'!$GR15="",'DADOS_FORMAS'!$GT15=""),"",IF('DADOS_FORMAS'!$GT15="—","—",'DADOS_FORMAS'!$GU15&amp;IF('DADOS_FORMAS'!$GS15="alcance",INDEX('DADOS_FORMAS'!$GL$2:$GL$7,MIN(6,'DADOS_FORMAS'!$GW15+3)),IF('DADOS_FORMAS'!$GS15="raio",INDEX('DADOS_FORMAS'!$GN$2:$GN$6,MIN(5,'DADOS_FORMAS'!$GW15+3)),IF('DADOS_FORMAS'!$GS15="comprimento",INDEX('DADOS_FORMAS'!$GP$2:$GP$6,MIN(5,'DADOS_FORMAS'!$GW15+3)),'DADOS_FORMAS'!$GT15)))&amp;'DADOS_FORMAS'!$GV15))</f>
        <v/>
      </c>
      <c r="HJ38">
        <f>IF(OR('DADOS_FORMAS'!$AH14="",'DADOS_FORMAS'!$GR15="",'DADOS_FORMAS'!$GT15=""),"",IF('DADOS_FORMAS'!$GT15="—","—",'DADOS_FORMAS'!$GU15&amp;IF('DADOS_FORMAS'!$GS15="alcance",INDEX('DADOS_FORMAS'!$GL$2:$GL$7,MIN(6,'DADOS_FORMAS'!$GW15+4)),IF('DADOS_FORMAS'!$GS15="raio",INDEX('DADOS_FORMAS'!$GN$2:$GN$6,MIN(5,'DADOS_FORMAS'!$GW15+4)),IF('DADOS_FORMAS'!$GS15="comprimento",INDEX('DADOS_FORMAS'!$GP$2:$GP$6,MIN(5,'DADOS_FORMAS'!$GW15+4)),'DADOS_FORMAS'!$GT15)))&amp;'DADOS_FORMAS'!$GV15))</f>
        <v/>
      </c>
      <c r="HK38">
        <f>IF(OR('DADOS_FORMAS'!$AH14="",'DADOS_FORMAS'!$GR15="",'DADOS_FORMAS'!$GT15=""),"",IF('DADOS_FORMAS'!$GT15="—","—",'DADOS_FORMAS'!$GU15&amp;IF('DADOS_FORMAS'!$GS15="alcance",INDEX('DADOS_FORMAS'!$GL$2:$GL$7,MIN(6,'DADOS_FORMAS'!$GW15+5)),IF('DADOS_FORMAS'!$GS15="raio",INDEX('DADOS_FORMAS'!$GN$2:$GN$6,MIN(5,'DADOS_FORMAS'!$GW15+5)),IF('DADOS_FORMAS'!$GS15="comprimento",INDEX('DADOS_FORMAS'!$GP$2:$GP$6,MIN(5,'DADOS_FORMAS'!$GW15+5)),'DADOS_FORMAS'!$GT15)))&amp;'DADOS_FORMAS'!$GV15))</f>
        <v/>
      </c>
      <c r="HM38">
        <f>'DADOS_FORMAS'!$BL16</f>
        <v/>
      </c>
      <c r="HN38">
        <f>IF('DADOS_FORMAS'!$BL16="area",'DADOS_FORMAS'!$AU16,'DADOS_FORMAS'!$AT16)</f>
        <v/>
      </c>
      <c r="HO38">
        <f>IF('DADOS_FORMAS'!$BL16="area",'DADOS_FORMAS'!$BH16,'DADOS_FORMAS'!$BA16)</f>
        <v/>
      </c>
      <c r="HP38">
        <f>'DADOS_FORMAS'!$BM16</f>
        <v/>
      </c>
      <c r="HQ38">
        <f>'DADOS_FORMAS'!$BN16</f>
        <v/>
      </c>
      <c r="HR38">
        <f>LET(base,'DADOS_FORMAS'!$HO38,escada,'DADOS_FORMAS'!$HN38,medida,LEFT(base,MAX(0,LEN(base)-2)),valor,IFERROR(VALUE(SUBSTITUTE(medida,",",""))/10^IFERROR(LEN(medida)-FIND(",",medida),0),1E99),IF(OR(escada="Fixo",base="—"),base,IF(escada="alcance",IFERROR(MATCH(base,{"1,5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8" t="inlineStr">
        <is>
          <t>Efeito · classe 0</t>
        </is>
      </c>
      <c r="HU38" t="inlineStr">
        <is>
          <t>Fora de combate</t>
        </is>
      </c>
      <c r="HV38" t="inlineStr">
        <is>
          <t>Fora de combate</t>
        </is>
      </c>
      <c r="HW38" t="inlineStr">
        <is>
          <t>Fora de combate</t>
        </is>
      </c>
      <c r="HX38" t="inlineStr">
        <is>
          <t>Fora de combate</t>
        </is>
      </c>
      <c r="HY38" t="inlineStr">
        <is>
          <t>Fora de combate</t>
        </is>
      </c>
      <c r="HZ38" t="inlineStr">
        <is>
          <t>Fora de combate</t>
        </is>
      </c>
      <c r="IA38" t="inlineStr"/>
      <c r="IB38" t="inlineStr"/>
      <c r="IC38" t="inlineStr"/>
      <c r="ID38" t="inlineStr"/>
      <c r="IE38" t="inlineStr"/>
      <c r="IF38" t="inlineStr"/>
      <c r="KA38">
        <f>IFERROR(INDEX(INDEX('DADOS_RESTRICOES'!$M$2:$Q$54,0,1),36),"")</f>
        <v/>
      </c>
    </row>
    <row r="39">
      <c r="GR39">
        <f>'DADOS_FORMAS'!$BP18</f>
        <v/>
      </c>
      <c r="GS39">
        <f>IF('DADOS_FORMAS'!$BP18="area",'DADOS_FORMAS'!$AU18,'DADOS_FORMAS'!$AT18)</f>
        <v/>
      </c>
      <c r="GT39">
        <f>IF('DADOS_FORMAS'!$BP18="area",'DADOS_FORMAS'!$BC18,'DADOS_FORMAS'!$AV18)</f>
        <v/>
      </c>
      <c r="GU39">
        <f>'DADOS_FORMAS'!$BQ18</f>
        <v/>
      </c>
      <c r="GV39">
        <f>'DADOS_FORMAS'!$BR18</f>
        <v/>
      </c>
      <c r="GW39">
        <f>LET(base,'DADOS_FORMAS'!$GT39,escada,'DADOS_FORMAS'!$GS39,medida,LEFT(base,MAX(0,LEN(base)-2)),valor,IFERROR(VALUE(SUBSTITUTE(medida,",",""))/10^IFERROR(LEN(medida)-FIND(",",medida),0),1E99),IF(OR(escada="Fixo",base="—"),base,IF(escada="alcance",IFERROR(MATCH(base,{"1,5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39">
        <f>'DADOS_FORMAS'!$AH14&amp;" · classes 1 a 5"</f>
        <v/>
      </c>
      <c r="GZ39">
        <f>LET(trecho,IF(OR('DADOS_FORMAS'!$AH14="",'DADOS_FORMAS'!$GR16="",'DADOS_FORMAS'!$GT16=""),"",IF('DADOS_FORMAS'!$GT16="—","—",'DADOS_FORMAS'!$GU16&amp;'DADOS_FORMAS'!$GT16&amp;'DADOS_FORMAS'!$GV16)),UPPER(LEFT(trecho,1))&amp;MID(trecho,2,LEN(trecho)))</f>
        <v/>
      </c>
      <c r="HA39">
        <f>LET(trecho,IF(OR('DADOS_FORMAS'!$AH14="",'DADOS_FORMAS'!$GR16="",'DADOS_FORMAS'!$GT16=""),"",IF('DADOS_FORMAS'!$GT16="—","—",'DADOS_FORMAS'!$GU16&amp;IF('DADOS_FORMAS'!$GS16="alcance",INDEX('DADOS_FORMAS'!$GL$2:$GL$7,MIN(6,'DADOS_FORMAS'!$GW16+1)),IF('DADOS_FORMAS'!$GS16="raio",INDEX('DADOS_FORMAS'!$GN$2:$GN$6,MIN(5,'DADOS_FORMAS'!$GW16+1)),IF('DADOS_FORMAS'!$GS16="comprimento",INDEX('DADOS_FORMAS'!$GP$2:$GP$6,MIN(5,'DADOS_FORMAS'!$GW16+1)),'DADOS_FORMAS'!$GT16)))&amp;'DADOS_FORMAS'!$GV16)),UPPER(LEFT(trecho,1))&amp;MID(trecho,2,LEN(trecho)))</f>
        <v/>
      </c>
      <c r="HB39">
        <f>LET(trecho,IF(OR('DADOS_FORMAS'!$AH14="",'DADOS_FORMAS'!$GR16="",'DADOS_FORMAS'!$GT16=""),"",IF('DADOS_FORMAS'!$GT16="—","—",'DADOS_FORMAS'!$GU16&amp;IF('DADOS_FORMAS'!$GS16="alcance",INDEX('DADOS_FORMAS'!$GL$2:$GL$7,MIN(6,'DADOS_FORMAS'!$GW16+2)),IF('DADOS_FORMAS'!$GS16="raio",INDEX('DADOS_FORMAS'!$GN$2:$GN$6,MIN(5,'DADOS_FORMAS'!$GW16+2)),IF('DADOS_FORMAS'!$GS16="comprimento",INDEX('DADOS_FORMAS'!$GP$2:$GP$6,MIN(5,'DADOS_FORMAS'!$GW16+2)),'DADOS_FORMAS'!$GT16)))&amp;'DADOS_FORMAS'!$GV16)),UPPER(LEFT(trecho,1))&amp;MID(trecho,2,LEN(trecho)))</f>
        <v/>
      </c>
      <c r="HC39">
        <f>LET(trecho,IF(OR('DADOS_FORMAS'!$AH14="",'DADOS_FORMAS'!$GR16="",'DADOS_FORMAS'!$GT16=""),"",IF('DADOS_FORMAS'!$GT16="—","—",'DADOS_FORMAS'!$GU16&amp;IF('DADOS_FORMAS'!$GS16="alcance",INDEX('DADOS_FORMAS'!$GL$2:$GL$7,MIN(6,'DADOS_FORMAS'!$GW16+3)),IF('DADOS_FORMAS'!$GS16="raio",INDEX('DADOS_FORMAS'!$GN$2:$GN$6,MIN(5,'DADOS_FORMAS'!$GW16+3)),IF('DADOS_FORMAS'!$GS16="comprimento",INDEX('DADOS_FORMAS'!$GP$2:$GP$6,MIN(5,'DADOS_FORMAS'!$GW16+3)),'DADOS_FORMAS'!$GT16)))&amp;'DADOS_FORMAS'!$GV16)),UPPER(LEFT(trecho,1))&amp;MID(trecho,2,LEN(trecho)))</f>
        <v/>
      </c>
      <c r="HD39">
        <f>LET(trecho,IF(OR('DADOS_FORMAS'!$AH14="",'DADOS_FORMAS'!$GR16="",'DADOS_FORMAS'!$GT16=""),"",IF('DADOS_FORMAS'!$GT16="—","—",'DADOS_FORMAS'!$GU16&amp;IF('DADOS_FORMAS'!$GS16="alcance",INDEX('DADOS_FORMAS'!$GL$2:$GL$7,MIN(6,'DADOS_FORMAS'!$GW16+4)),IF('DADOS_FORMAS'!$GS16="raio",INDEX('DADOS_FORMAS'!$GN$2:$GN$6,MIN(5,'DADOS_FORMAS'!$GW16+4)),IF('DADOS_FORMAS'!$GS16="comprimento",INDEX('DADOS_FORMAS'!$GP$2:$GP$6,MIN(5,'DADOS_FORMAS'!$GW16+4)),'DADOS_FORMAS'!$GT16)))&amp;'DADOS_FORMAS'!$GV16)),UPPER(LEFT(trecho,1))&amp;MID(trecho,2,LEN(trecho)))</f>
        <v/>
      </c>
      <c r="HE39">
        <f>LET(trecho,IF(OR('DADOS_FORMAS'!$AH14="",'DADOS_FORMAS'!$GR16="",'DADOS_FORMAS'!$GT16=""),"",IF('DADOS_FORMAS'!$GT16="—","—",'DADOS_FORMAS'!$GU16&amp;IF('DADOS_FORMAS'!$GS16="alcance",INDEX('DADOS_FORMAS'!$GL$2:$GL$7,MIN(6,'DADOS_FORMAS'!$GW16+5)),IF('DADOS_FORMAS'!$GS16="raio",INDEX('DADOS_FORMAS'!$GN$2:$GN$6,MIN(5,'DADOS_FORMAS'!$GW16+5)),IF('DADOS_FORMAS'!$GS16="comprimento",INDEX('DADOS_FORMAS'!$GP$2:$GP$6,MIN(5,'DADOS_FORMAS'!$GW16+5)),'DADOS_FORMAS'!$GT16)))&amp;'DADOS_FORMAS'!$GV16)),UPPER(LEFT(trecho,1))&amp;MID(trecho,2,LEN(trecho)))</f>
        <v/>
      </c>
      <c r="HF39">
        <f>IF(OR('DADOS_FORMAS'!$AH14="",'DADOS_FORMAS'!$GR17="",'DADOS_FORMAS'!$GT17=""),"",IF('DADOS_FORMAS'!$GT17="—","—",'DADOS_FORMAS'!$GU17&amp;'DADOS_FORMAS'!$GT17&amp;'DADOS_FORMAS'!$GV17))</f>
        <v/>
      </c>
      <c r="HG39">
        <f>IF(OR('DADOS_FORMAS'!$AH14="",'DADOS_FORMAS'!$GR17="",'DADOS_FORMAS'!$GT17=""),"",IF('DADOS_FORMAS'!$GT17="—","—",'DADOS_FORMAS'!$GU17&amp;IF('DADOS_FORMAS'!$GS17="alcance",INDEX('DADOS_FORMAS'!$GL$2:$GL$7,MIN(6,'DADOS_FORMAS'!$GW17+1)),IF('DADOS_FORMAS'!$GS17="raio",INDEX('DADOS_FORMAS'!$GN$2:$GN$6,MIN(5,'DADOS_FORMAS'!$GW17+1)),IF('DADOS_FORMAS'!$GS17="comprimento",INDEX('DADOS_FORMAS'!$GP$2:$GP$6,MIN(5,'DADOS_FORMAS'!$GW17+1)),'DADOS_FORMAS'!$GT17)))&amp;'DADOS_FORMAS'!$GV17))</f>
        <v/>
      </c>
      <c r="HH39">
        <f>IF(OR('DADOS_FORMAS'!$AH14="",'DADOS_FORMAS'!$GR17="",'DADOS_FORMAS'!$GT17=""),"",IF('DADOS_FORMAS'!$GT17="—","—",'DADOS_FORMAS'!$GU17&amp;IF('DADOS_FORMAS'!$GS17="alcance",INDEX('DADOS_FORMAS'!$GL$2:$GL$7,MIN(6,'DADOS_FORMAS'!$GW17+2)),IF('DADOS_FORMAS'!$GS17="raio",INDEX('DADOS_FORMAS'!$GN$2:$GN$6,MIN(5,'DADOS_FORMAS'!$GW17+2)),IF('DADOS_FORMAS'!$GS17="comprimento",INDEX('DADOS_FORMAS'!$GP$2:$GP$6,MIN(5,'DADOS_FORMAS'!$GW17+2)),'DADOS_FORMAS'!$GT17)))&amp;'DADOS_FORMAS'!$GV17))</f>
        <v/>
      </c>
      <c r="HI39">
        <f>IF(OR('DADOS_FORMAS'!$AH14="",'DADOS_FORMAS'!$GR17="",'DADOS_FORMAS'!$GT17=""),"",IF('DADOS_FORMAS'!$GT17="—","—",'DADOS_FORMAS'!$GU17&amp;IF('DADOS_FORMAS'!$GS17="alcance",INDEX('DADOS_FORMAS'!$GL$2:$GL$7,MIN(6,'DADOS_FORMAS'!$GW17+3)),IF('DADOS_FORMAS'!$GS17="raio",INDEX('DADOS_FORMAS'!$GN$2:$GN$6,MIN(5,'DADOS_FORMAS'!$GW17+3)),IF('DADOS_FORMAS'!$GS17="comprimento",INDEX('DADOS_FORMAS'!$GP$2:$GP$6,MIN(5,'DADOS_FORMAS'!$GW17+3)),'DADOS_FORMAS'!$GT17)))&amp;'DADOS_FORMAS'!$GV17))</f>
        <v/>
      </c>
      <c r="HJ39">
        <f>IF(OR('DADOS_FORMAS'!$AH14="",'DADOS_FORMAS'!$GR17="",'DADOS_FORMAS'!$GT17=""),"",IF('DADOS_FORMAS'!$GT17="—","—",'DADOS_FORMAS'!$GU17&amp;IF('DADOS_FORMAS'!$GS17="alcance",INDEX('DADOS_FORMAS'!$GL$2:$GL$7,MIN(6,'DADOS_FORMAS'!$GW17+4)),IF('DADOS_FORMAS'!$GS17="raio",INDEX('DADOS_FORMAS'!$GN$2:$GN$6,MIN(5,'DADOS_FORMAS'!$GW17+4)),IF('DADOS_FORMAS'!$GS17="comprimento",INDEX('DADOS_FORMAS'!$GP$2:$GP$6,MIN(5,'DADOS_FORMAS'!$GW17+4)),'DADOS_FORMAS'!$GT17)))&amp;'DADOS_FORMAS'!$GV17))</f>
        <v/>
      </c>
      <c r="HK39">
        <f>IF(OR('DADOS_FORMAS'!$AH14="",'DADOS_FORMAS'!$GR17="",'DADOS_FORMAS'!$GT17=""),"",IF('DADOS_FORMAS'!$GT17="—","—",'DADOS_FORMAS'!$GU17&amp;IF('DADOS_FORMAS'!$GS17="alcance",INDEX('DADOS_FORMAS'!$GL$2:$GL$7,MIN(6,'DADOS_FORMAS'!$GW17+5)),IF('DADOS_FORMAS'!$GS17="raio",INDEX('DADOS_FORMAS'!$GN$2:$GN$6,MIN(5,'DADOS_FORMAS'!$GW17+5)),IF('DADOS_FORMAS'!$GS17="comprimento",INDEX('DADOS_FORMAS'!$GP$2:$GP$6,MIN(5,'DADOS_FORMAS'!$GW17+5)),'DADOS_FORMAS'!$GT17)))&amp;'DADOS_FORMAS'!$GV17))</f>
        <v/>
      </c>
      <c r="HM39">
        <f>'DADOS_FORMAS'!$BP16</f>
        <v/>
      </c>
      <c r="HN39">
        <f>IF('DADOS_FORMAS'!$BP16="area",'DADOS_FORMAS'!$AU16,'DADOS_FORMAS'!$AT16)</f>
        <v/>
      </c>
      <c r="HO39">
        <f>IF('DADOS_FORMAS'!$BP16="area",'DADOS_FORMAS'!$BH16,'DADOS_FORMAS'!$BA16)</f>
        <v/>
      </c>
      <c r="HP39">
        <f>'DADOS_FORMAS'!$BQ16</f>
        <v/>
      </c>
      <c r="HQ39">
        <f>'DADOS_FORMAS'!$BR16</f>
        <v/>
      </c>
      <c r="HR39">
        <f>LET(base,'DADOS_FORMAS'!$HO39,escada,'DADOS_FORMAS'!$HN39,medida,LEFT(base,MAX(0,LEN(base)-2)),valor,IFERROR(VALUE(SUBSTITUTE(medida,",",""))/10^IFERROR(LEN(medida)-FIND(",",medida),0),1E99),IF(OR(escada="Fixo",base="—"),base,IF(escada="alcance",IFERROR(MATCH(base,{"1,5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39" t="inlineStr">
        <is>
          <t>Efeito · classes 1 a 5</t>
        </is>
      </c>
      <c r="HU39" t="inlineStr">
        <is>
          <t>Fora de combate</t>
        </is>
      </c>
      <c r="HV39" t="inlineStr">
        <is>
          <t>Fora de combate</t>
        </is>
      </c>
      <c r="HW39" t="inlineStr">
        <is>
          <t>Fora de combate</t>
        </is>
      </c>
      <c r="HX39" t="inlineStr">
        <is>
          <t>Fora de combate</t>
        </is>
      </c>
      <c r="HY39" t="inlineStr">
        <is>
          <t>Fora de combate</t>
        </is>
      </c>
      <c r="HZ39" t="inlineStr">
        <is>
          <t>Fora de combate</t>
        </is>
      </c>
      <c r="IA39" t="inlineStr"/>
      <c r="IB39" t="inlineStr"/>
      <c r="IC39" t="inlineStr"/>
      <c r="ID39" t="inlineStr"/>
      <c r="IE39" t="inlineStr"/>
      <c r="IF39" t="inlineStr"/>
      <c r="KA39">
        <f>IFERROR(INDEX(INDEX('DADOS_RESTRICOES'!$M$2:$Q$54,0,1),37),"")</f>
        <v/>
      </c>
    </row>
    <row r="40">
      <c r="GR40">
        <f>'DADOS_FORMAS'!$BL18</f>
        <v/>
      </c>
      <c r="GS40">
        <f>IF('DADOS_FORMAS'!$BL18="area",'DADOS_FORMAS'!$AU18,'DADOS_FORMAS'!$AT18)</f>
        <v/>
      </c>
      <c r="GT40">
        <f>IF('DADOS_FORMAS'!$BL18="area",'DADOS_FORMAS'!$BD18,'DADOS_FORMAS'!$AW18)</f>
        <v/>
      </c>
      <c r="GU40">
        <f>'DADOS_FORMAS'!$BM18</f>
        <v/>
      </c>
      <c r="GV40">
        <f>'DADOS_FORMAS'!$BN18</f>
        <v/>
      </c>
      <c r="GW40">
        <f>LET(base,'DADOS_FORMAS'!$GT40,escada,'DADOS_FORMAS'!$GS40,medida,LEFT(base,MAX(0,LEN(base)-2)),valor,IFERROR(VALUE(SUBSTITUTE(medida,",",""))/10^IFERROR(LEN(medida)-FIND(",",medida),0),1E99),IF(OR(escada="Fixo",base="—"),base,IF(escada="alcance",IFERROR(MATCH(base,{"1,5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0">
        <f>'DADOS_FORMAS'!$AH14&amp;" · classes 6 e 7"</f>
        <v/>
      </c>
      <c r="GZ40">
        <f>LET(trecho,IF(OR('DADOS_FORMAS'!$AH14="",'DADOS_FORMAS'!$GR18="",'DADOS_FORMAS'!$GT18=""),"",IF('DADOS_FORMAS'!$GT18="—","—",'DADOS_FORMAS'!$GU18&amp;'DADOS_FORMAS'!$GT18&amp;'DADOS_FORMAS'!$GV18)),UPPER(LEFT(trecho,1))&amp;MID(trecho,2,LEN(trecho)))</f>
        <v/>
      </c>
      <c r="HA40">
        <f>LET(trecho,IF(OR('DADOS_FORMAS'!$AH14="",'DADOS_FORMAS'!$GR18="",'DADOS_FORMAS'!$GT18=""),"",IF('DADOS_FORMAS'!$GT18="—","—",'DADOS_FORMAS'!$GU18&amp;IF('DADOS_FORMAS'!$GS18="alcance",INDEX('DADOS_FORMAS'!$GL$2:$GL$7,MIN(6,'DADOS_FORMAS'!$GW18+1)),IF('DADOS_FORMAS'!$GS18="raio",INDEX('DADOS_FORMAS'!$GN$2:$GN$6,MIN(5,'DADOS_FORMAS'!$GW18+1)),IF('DADOS_FORMAS'!$GS18="comprimento",INDEX('DADOS_FORMAS'!$GP$2:$GP$6,MIN(5,'DADOS_FORMAS'!$GW18+1)),'DADOS_FORMAS'!$GT18)))&amp;'DADOS_FORMAS'!$GV18)),UPPER(LEFT(trecho,1))&amp;MID(trecho,2,LEN(trecho)))</f>
        <v/>
      </c>
      <c r="HB40">
        <f>LET(trecho,IF(OR('DADOS_FORMAS'!$AH14="",'DADOS_FORMAS'!$GR18="",'DADOS_FORMAS'!$GT18=""),"",IF('DADOS_FORMAS'!$GT18="—","—",'DADOS_FORMAS'!$GU18&amp;IF('DADOS_FORMAS'!$GS18="alcance",INDEX('DADOS_FORMAS'!$GL$2:$GL$7,MIN(6,'DADOS_FORMAS'!$GW18+2)),IF('DADOS_FORMAS'!$GS18="raio",INDEX('DADOS_FORMAS'!$GN$2:$GN$6,MIN(5,'DADOS_FORMAS'!$GW18+2)),IF('DADOS_FORMAS'!$GS18="comprimento",INDEX('DADOS_FORMAS'!$GP$2:$GP$6,MIN(5,'DADOS_FORMAS'!$GW18+2)),'DADOS_FORMAS'!$GT18)))&amp;'DADOS_FORMAS'!$GV18)),UPPER(LEFT(trecho,1))&amp;MID(trecho,2,LEN(trecho)))</f>
        <v/>
      </c>
      <c r="HC40">
        <f>LET(trecho,IF(OR('DADOS_FORMAS'!$AH14="",'DADOS_FORMAS'!$GR18="",'DADOS_FORMAS'!$GT18=""),"",IF('DADOS_FORMAS'!$GT18="—","—",'DADOS_FORMAS'!$GU18&amp;IF('DADOS_FORMAS'!$GS18="alcance",INDEX('DADOS_FORMAS'!$GL$2:$GL$7,MIN(6,'DADOS_FORMAS'!$GW18+3)),IF('DADOS_FORMAS'!$GS18="raio",INDEX('DADOS_FORMAS'!$GN$2:$GN$6,MIN(5,'DADOS_FORMAS'!$GW18+3)),IF('DADOS_FORMAS'!$GS18="comprimento",INDEX('DADOS_FORMAS'!$GP$2:$GP$6,MIN(5,'DADOS_FORMAS'!$GW18+3)),'DADOS_FORMAS'!$GT18)))&amp;'DADOS_FORMAS'!$GV18)),UPPER(LEFT(trecho,1))&amp;MID(trecho,2,LEN(trecho)))</f>
        <v/>
      </c>
      <c r="HD40">
        <f>LET(trecho,IF(OR('DADOS_FORMAS'!$AH14="",'DADOS_FORMAS'!$GR18="",'DADOS_FORMAS'!$GT18=""),"",IF('DADOS_FORMAS'!$GT18="—","—",'DADOS_FORMAS'!$GU18&amp;IF('DADOS_FORMAS'!$GS18="alcance",INDEX('DADOS_FORMAS'!$GL$2:$GL$7,MIN(6,'DADOS_FORMAS'!$GW18+4)),IF('DADOS_FORMAS'!$GS18="raio",INDEX('DADOS_FORMAS'!$GN$2:$GN$6,MIN(5,'DADOS_FORMAS'!$GW18+4)),IF('DADOS_FORMAS'!$GS18="comprimento",INDEX('DADOS_FORMAS'!$GP$2:$GP$6,MIN(5,'DADOS_FORMAS'!$GW18+4)),'DADOS_FORMAS'!$GT18)))&amp;'DADOS_FORMAS'!$GV18)),UPPER(LEFT(trecho,1))&amp;MID(trecho,2,LEN(trecho)))</f>
        <v/>
      </c>
      <c r="HE40">
        <f>LET(trecho,IF(OR('DADOS_FORMAS'!$AH14="",'DADOS_FORMAS'!$GR18="",'DADOS_FORMAS'!$GT18=""),"",IF('DADOS_FORMAS'!$GT18="—","—",'DADOS_FORMAS'!$GU18&amp;IF('DADOS_FORMAS'!$GS18="alcance",INDEX('DADOS_FORMAS'!$GL$2:$GL$7,MIN(6,'DADOS_FORMAS'!$GW18+5)),IF('DADOS_FORMAS'!$GS18="raio",INDEX('DADOS_FORMAS'!$GN$2:$GN$6,MIN(5,'DADOS_FORMAS'!$GW18+5)),IF('DADOS_FORMAS'!$GS18="comprimento",INDEX('DADOS_FORMAS'!$GP$2:$GP$6,MIN(5,'DADOS_FORMAS'!$GW18+5)),'DADOS_FORMAS'!$GT18)))&amp;'DADOS_FORMAS'!$GV18)),UPPER(LEFT(trecho,1))&amp;MID(trecho,2,LEN(trecho)))</f>
        <v/>
      </c>
      <c r="HF40">
        <f>IF(OR('DADOS_FORMAS'!$AH14="",'DADOS_FORMAS'!$GR19="",'DADOS_FORMAS'!$GT19=""),"",IF('DADOS_FORMAS'!$GT19="—","—",'DADOS_FORMAS'!$GU19&amp;'DADOS_FORMAS'!$GT19&amp;'DADOS_FORMAS'!$GV19))</f>
        <v/>
      </c>
      <c r="HG40">
        <f>IF(OR('DADOS_FORMAS'!$AH14="",'DADOS_FORMAS'!$GR19="",'DADOS_FORMAS'!$GT19=""),"",IF('DADOS_FORMAS'!$GT19="—","—",'DADOS_FORMAS'!$GU19&amp;IF('DADOS_FORMAS'!$GS19="alcance",INDEX('DADOS_FORMAS'!$GL$2:$GL$7,MIN(6,'DADOS_FORMAS'!$GW19+1)),IF('DADOS_FORMAS'!$GS19="raio",INDEX('DADOS_FORMAS'!$GN$2:$GN$6,MIN(5,'DADOS_FORMAS'!$GW19+1)),IF('DADOS_FORMAS'!$GS19="comprimento",INDEX('DADOS_FORMAS'!$GP$2:$GP$6,MIN(5,'DADOS_FORMAS'!$GW19+1)),'DADOS_FORMAS'!$GT19)))&amp;'DADOS_FORMAS'!$GV19))</f>
        <v/>
      </c>
      <c r="HH40">
        <f>IF(OR('DADOS_FORMAS'!$AH14="",'DADOS_FORMAS'!$GR19="",'DADOS_FORMAS'!$GT19=""),"",IF('DADOS_FORMAS'!$GT19="—","—",'DADOS_FORMAS'!$GU19&amp;IF('DADOS_FORMAS'!$GS19="alcance",INDEX('DADOS_FORMAS'!$GL$2:$GL$7,MIN(6,'DADOS_FORMAS'!$GW19+2)),IF('DADOS_FORMAS'!$GS19="raio",INDEX('DADOS_FORMAS'!$GN$2:$GN$6,MIN(5,'DADOS_FORMAS'!$GW19+2)),IF('DADOS_FORMAS'!$GS19="comprimento",INDEX('DADOS_FORMAS'!$GP$2:$GP$6,MIN(5,'DADOS_FORMAS'!$GW19+2)),'DADOS_FORMAS'!$GT19)))&amp;'DADOS_FORMAS'!$GV19))</f>
        <v/>
      </c>
      <c r="HI40">
        <f>IF(OR('DADOS_FORMAS'!$AH14="",'DADOS_FORMAS'!$GR19="",'DADOS_FORMAS'!$GT19=""),"",IF('DADOS_FORMAS'!$GT19="—","—",'DADOS_FORMAS'!$GU19&amp;IF('DADOS_FORMAS'!$GS19="alcance",INDEX('DADOS_FORMAS'!$GL$2:$GL$7,MIN(6,'DADOS_FORMAS'!$GW19+3)),IF('DADOS_FORMAS'!$GS19="raio",INDEX('DADOS_FORMAS'!$GN$2:$GN$6,MIN(5,'DADOS_FORMAS'!$GW19+3)),IF('DADOS_FORMAS'!$GS19="comprimento",INDEX('DADOS_FORMAS'!$GP$2:$GP$6,MIN(5,'DADOS_FORMAS'!$GW19+3)),'DADOS_FORMAS'!$GT19)))&amp;'DADOS_FORMAS'!$GV19))</f>
        <v/>
      </c>
      <c r="HJ40">
        <f>IF(OR('DADOS_FORMAS'!$AH14="",'DADOS_FORMAS'!$GR19="",'DADOS_FORMAS'!$GT19=""),"",IF('DADOS_FORMAS'!$GT19="—","—",'DADOS_FORMAS'!$GU19&amp;IF('DADOS_FORMAS'!$GS19="alcance",INDEX('DADOS_FORMAS'!$GL$2:$GL$7,MIN(6,'DADOS_FORMAS'!$GW19+4)),IF('DADOS_FORMAS'!$GS19="raio",INDEX('DADOS_FORMAS'!$GN$2:$GN$6,MIN(5,'DADOS_FORMAS'!$GW19+4)),IF('DADOS_FORMAS'!$GS19="comprimento",INDEX('DADOS_FORMAS'!$GP$2:$GP$6,MIN(5,'DADOS_FORMAS'!$GW19+4)),'DADOS_FORMAS'!$GT19)))&amp;'DADOS_FORMAS'!$GV19))</f>
        <v/>
      </c>
      <c r="HK40">
        <f>IF(OR('DADOS_FORMAS'!$AH14="",'DADOS_FORMAS'!$GR19="",'DADOS_FORMAS'!$GT19=""),"",IF('DADOS_FORMAS'!$GT19="—","—",'DADOS_FORMAS'!$GU19&amp;IF('DADOS_FORMAS'!$GS19="alcance",INDEX('DADOS_FORMAS'!$GL$2:$GL$7,MIN(6,'DADOS_FORMAS'!$GW19+5)),IF('DADOS_FORMAS'!$GS19="raio",INDEX('DADOS_FORMAS'!$GN$2:$GN$6,MIN(5,'DADOS_FORMAS'!$GW19+5)),IF('DADOS_FORMAS'!$GS19="comprimento",INDEX('DADOS_FORMAS'!$GP$2:$GP$6,MIN(5,'DADOS_FORMAS'!$GW19+5)),'DADOS_FORMAS'!$GT19)))&amp;'DADOS_FORMAS'!$GV19))</f>
        <v/>
      </c>
      <c r="HM40">
        <f>'DADOS_FORMAS'!$BL16</f>
        <v/>
      </c>
      <c r="HN40">
        <f>IF('DADOS_FORMAS'!$BL16="area",'DADOS_FORMAS'!$AU16,'DADOS_FORMAS'!$AT16)</f>
        <v/>
      </c>
      <c r="HO40">
        <f>IF('DADOS_FORMAS'!$BL16="area",'DADOS_FORMAS'!$BI16,'DADOS_FORMAS'!$BB16)</f>
        <v/>
      </c>
      <c r="HP40">
        <f>'DADOS_FORMAS'!$BM16</f>
        <v/>
      </c>
      <c r="HQ40">
        <f>'DADOS_FORMAS'!$BN16</f>
        <v/>
      </c>
      <c r="HR40">
        <f>LET(base,'DADOS_FORMAS'!$HO40,escada,'DADOS_FORMAS'!$HN40,medida,LEFT(base,MAX(0,LEN(base)-2)),valor,IFERROR(VALUE(SUBSTITUTE(medida,",",""))/10^IFERROR(LEN(medida)-FIND(",",medida),0),1E99),IF(OR(escada="Fixo",base="—"),base,IF(escada="alcance",IFERROR(MATCH(base,{"1,5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0" t="inlineStr">
        <is>
          <t>Efeito · classe 6</t>
        </is>
      </c>
      <c r="HU40" t="inlineStr">
        <is>
          <t>Fora de combate</t>
        </is>
      </c>
      <c r="HV40" t="inlineStr">
        <is>
          <t>Fora de combate</t>
        </is>
      </c>
      <c r="HW40" t="inlineStr">
        <is>
          <t>Fora de combate</t>
        </is>
      </c>
      <c r="HX40" t="inlineStr">
        <is>
          <t>Fora de combate</t>
        </is>
      </c>
      <c r="HY40" t="inlineStr">
        <is>
          <t>Fora de combate</t>
        </is>
      </c>
      <c r="HZ40" t="inlineStr">
        <is>
          <t>Fora de combate</t>
        </is>
      </c>
      <c r="IA40" t="inlineStr"/>
      <c r="IB40" t="inlineStr"/>
      <c r="IC40" t="inlineStr"/>
      <c r="ID40" t="inlineStr"/>
      <c r="IE40" t="inlineStr"/>
      <c r="IF40" t="inlineStr"/>
      <c r="KA40">
        <f>IFERROR(INDEX(INDEX('DADOS_RESTRICOES'!$M$2:$Q$54,0,1),38),"")</f>
        <v/>
      </c>
    </row>
    <row r="41">
      <c r="GR41">
        <f>'DADOS_FORMAS'!$BP18</f>
        <v/>
      </c>
      <c r="GS41">
        <f>IF('DADOS_FORMAS'!$BP18="area",'DADOS_FORMAS'!$AU18,'DADOS_FORMAS'!$AT18)</f>
        <v/>
      </c>
      <c r="GT41">
        <f>IF('DADOS_FORMAS'!$BP18="area",'DADOS_FORMAS'!$BD18,'DADOS_FORMAS'!$AW18)</f>
        <v/>
      </c>
      <c r="GU41">
        <f>'DADOS_FORMAS'!$BQ18</f>
        <v/>
      </c>
      <c r="GV41">
        <f>'DADOS_FORMAS'!$BR18</f>
        <v/>
      </c>
      <c r="GW41">
        <f>LET(base,'DADOS_FORMAS'!$GT41,escada,'DADOS_FORMAS'!$GS41,medida,LEFT(base,MAX(0,LEN(base)-2)),valor,IFERROR(VALUE(SUBSTITUTE(medida,",",""))/10^IFERROR(LEN(medida)-FIND(",",medida),0),1E99),IF(OR(escada="Fixo",base="—"),base,IF(escada="alcance",IFERROR(MATCH(base,{"1,5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1">
        <f>'DADOS_FORMAS'!$AH15&amp;" · classe 0"</f>
        <v/>
      </c>
      <c r="GZ41">
        <f>LET(trecho,IF(OR('DADOS_FORMAS'!$AH15="",'DADOS_FORMAS'!$GR20="",'DADOS_FORMAS'!$GT20=""),"",IF('DADOS_FORMAS'!$GT20="—","—",'DADOS_FORMAS'!$GU20&amp;'DADOS_FORMAS'!$GT20&amp;'DADOS_FORMAS'!$GV20)),UPPER(LEFT(trecho,1))&amp;MID(trecho,2,LEN(trecho)))</f>
        <v/>
      </c>
      <c r="HA41">
        <f>LET(trecho,IF(OR('DADOS_FORMAS'!$AH15="",'DADOS_FORMAS'!$GR20="",'DADOS_FORMAS'!$GT20=""),"",IF('DADOS_FORMAS'!$GT20="—","—",'DADOS_FORMAS'!$GU20&amp;IF('DADOS_FORMAS'!$GS20="alcance",INDEX('DADOS_FORMAS'!$GL$2:$GL$7,MIN(6,'DADOS_FORMAS'!$GW20+1)),IF('DADOS_FORMAS'!$GS20="raio",INDEX('DADOS_FORMAS'!$GN$2:$GN$6,MIN(5,'DADOS_FORMAS'!$GW20+1)),IF('DADOS_FORMAS'!$GS20="comprimento",INDEX('DADOS_FORMAS'!$GP$2:$GP$6,MIN(5,'DADOS_FORMAS'!$GW20+1)),'DADOS_FORMAS'!$GT20)))&amp;'DADOS_FORMAS'!$GV20)),UPPER(LEFT(trecho,1))&amp;MID(trecho,2,LEN(trecho)))</f>
        <v/>
      </c>
      <c r="HB41">
        <f>LET(trecho,IF(OR('DADOS_FORMAS'!$AH15="",'DADOS_FORMAS'!$GR20="",'DADOS_FORMAS'!$GT20=""),"",IF('DADOS_FORMAS'!$GT20="—","—",'DADOS_FORMAS'!$GU20&amp;IF('DADOS_FORMAS'!$GS20="alcance",INDEX('DADOS_FORMAS'!$GL$2:$GL$7,MIN(6,'DADOS_FORMAS'!$GW20+2)),IF('DADOS_FORMAS'!$GS20="raio",INDEX('DADOS_FORMAS'!$GN$2:$GN$6,MIN(5,'DADOS_FORMAS'!$GW20+2)),IF('DADOS_FORMAS'!$GS20="comprimento",INDEX('DADOS_FORMAS'!$GP$2:$GP$6,MIN(5,'DADOS_FORMAS'!$GW20+2)),'DADOS_FORMAS'!$GT20)))&amp;'DADOS_FORMAS'!$GV20)),UPPER(LEFT(trecho,1))&amp;MID(trecho,2,LEN(trecho)))</f>
        <v/>
      </c>
      <c r="HC41">
        <f>LET(trecho,IF(OR('DADOS_FORMAS'!$AH15="",'DADOS_FORMAS'!$GR20="",'DADOS_FORMAS'!$GT20=""),"",IF('DADOS_FORMAS'!$GT20="—","—",'DADOS_FORMAS'!$GU20&amp;IF('DADOS_FORMAS'!$GS20="alcance",INDEX('DADOS_FORMAS'!$GL$2:$GL$7,MIN(6,'DADOS_FORMAS'!$GW20+3)),IF('DADOS_FORMAS'!$GS20="raio",INDEX('DADOS_FORMAS'!$GN$2:$GN$6,MIN(5,'DADOS_FORMAS'!$GW20+3)),IF('DADOS_FORMAS'!$GS20="comprimento",INDEX('DADOS_FORMAS'!$GP$2:$GP$6,MIN(5,'DADOS_FORMAS'!$GW20+3)),'DADOS_FORMAS'!$GT20)))&amp;'DADOS_FORMAS'!$GV20)),UPPER(LEFT(trecho,1))&amp;MID(trecho,2,LEN(trecho)))</f>
        <v/>
      </c>
      <c r="HD41">
        <f>LET(trecho,IF(OR('DADOS_FORMAS'!$AH15="",'DADOS_FORMAS'!$GR20="",'DADOS_FORMAS'!$GT20=""),"",IF('DADOS_FORMAS'!$GT20="—","—",'DADOS_FORMAS'!$GU20&amp;IF('DADOS_FORMAS'!$GS20="alcance",INDEX('DADOS_FORMAS'!$GL$2:$GL$7,MIN(6,'DADOS_FORMAS'!$GW20+4)),IF('DADOS_FORMAS'!$GS20="raio",INDEX('DADOS_FORMAS'!$GN$2:$GN$6,MIN(5,'DADOS_FORMAS'!$GW20+4)),IF('DADOS_FORMAS'!$GS20="comprimento",INDEX('DADOS_FORMAS'!$GP$2:$GP$6,MIN(5,'DADOS_FORMAS'!$GW20+4)),'DADOS_FORMAS'!$GT20)))&amp;'DADOS_FORMAS'!$GV20)),UPPER(LEFT(trecho,1))&amp;MID(trecho,2,LEN(trecho)))</f>
        <v/>
      </c>
      <c r="HE41">
        <f>LET(trecho,IF(OR('DADOS_FORMAS'!$AH15="",'DADOS_FORMAS'!$GR20="",'DADOS_FORMAS'!$GT20=""),"",IF('DADOS_FORMAS'!$GT20="—","—",'DADOS_FORMAS'!$GU20&amp;IF('DADOS_FORMAS'!$GS20="alcance",INDEX('DADOS_FORMAS'!$GL$2:$GL$7,MIN(6,'DADOS_FORMAS'!$GW20+5)),IF('DADOS_FORMAS'!$GS20="raio",INDEX('DADOS_FORMAS'!$GN$2:$GN$6,MIN(5,'DADOS_FORMAS'!$GW20+5)),IF('DADOS_FORMAS'!$GS20="comprimento",INDEX('DADOS_FORMAS'!$GP$2:$GP$6,MIN(5,'DADOS_FORMAS'!$GW20+5)),'DADOS_FORMAS'!$GT20)))&amp;'DADOS_FORMAS'!$GV20)),UPPER(LEFT(trecho,1))&amp;MID(trecho,2,LEN(trecho)))</f>
        <v/>
      </c>
      <c r="HF41">
        <f>IF(OR('DADOS_FORMAS'!$AH15="",'DADOS_FORMAS'!$GR21="",'DADOS_FORMAS'!$GT21=""),"",IF('DADOS_FORMAS'!$GT21="—","—",'DADOS_FORMAS'!$GU21&amp;'DADOS_FORMAS'!$GT21&amp;'DADOS_FORMAS'!$GV21))</f>
        <v/>
      </c>
      <c r="HG41">
        <f>IF(OR('DADOS_FORMAS'!$AH15="",'DADOS_FORMAS'!$GR21="",'DADOS_FORMAS'!$GT21=""),"",IF('DADOS_FORMAS'!$GT21="—","—",'DADOS_FORMAS'!$GU21&amp;IF('DADOS_FORMAS'!$GS21="alcance",INDEX('DADOS_FORMAS'!$GL$2:$GL$7,MIN(6,'DADOS_FORMAS'!$GW21+1)),IF('DADOS_FORMAS'!$GS21="raio",INDEX('DADOS_FORMAS'!$GN$2:$GN$6,MIN(5,'DADOS_FORMAS'!$GW21+1)),IF('DADOS_FORMAS'!$GS21="comprimento",INDEX('DADOS_FORMAS'!$GP$2:$GP$6,MIN(5,'DADOS_FORMAS'!$GW21+1)),'DADOS_FORMAS'!$GT21)))&amp;'DADOS_FORMAS'!$GV21))</f>
        <v/>
      </c>
      <c r="HH41">
        <f>IF(OR('DADOS_FORMAS'!$AH15="",'DADOS_FORMAS'!$GR21="",'DADOS_FORMAS'!$GT21=""),"",IF('DADOS_FORMAS'!$GT21="—","—",'DADOS_FORMAS'!$GU21&amp;IF('DADOS_FORMAS'!$GS21="alcance",INDEX('DADOS_FORMAS'!$GL$2:$GL$7,MIN(6,'DADOS_FORMAS'!$GW21+2)),IF('DADOS_FORMAS'!$GS21="raio",INDEX('DADOS_FORMAS'!$GN$2:$GN$6,MIN(5,'DADOS_FORMAS'!$GW21+2)),IF('DADOS_FORMAS'!$GS21="comprimento",INDEX('DADOS_FORMAS'!$GP$2:$GP$6,MIN(5,'DADOS_FORMAS'!$GW21+2)),'DADOS_FORMAS'!$GT21)))&amp;'DADOS_FORMAS'!$GV21))</f>
        <v/>
      </c>
      <c r="HI41">
        <f>IF(OR('DADOS_FORMAS'!$AH15="",'DADOS_FORMAS'!$GR21="",'DADOS_FORMAS'!$GT21=""),"",IF('DADOS_FORMAS'!$GT21="—","—",'DADOS_FORMAS'!$GU21&amp;IF('DADOS_FORMAS'!$GS21="alcance",INDEX('DADOS_FORMAS'!$GL$2:$GL$7,MIN(6,'DADOS_FORMAS'!$GW21+3)),IF('DADOS_FORMAS'!$GS21="raio",INDEX('DADOS_FORMAS'!$GN$2:$GN$6,MIN(5,'DADOS_FORMAS'!$GW21+3)),IF('DADOS_FORMAS'!$GS21="comprimento",INDEX('DADOS_FORMAS'!$GP$2:$GP$6,MIN(5,'DADOS_FORMAS'!$GW21+3)),'DADOS_FORMAS'!$GT21)))&amp;'DADOS_FORMAS'!$GV21))</f>
        <v/>
      </c>
      <c r="HJ41">
        <f>IF(OR('DADOS_FORMAS'!$AH15="",'DADOS_FORMAS'!$GR21="",'DADOS_FORMAS'!$GT21=""),"",IF('DADOS_FORMAS'!$GT21="—","—",'DADOS_FORMAS'!$GU21&amp;IF('DADOS_FORMAS'!$GS21="alcance",INDEX('DADOS_FORMAS'!$GL$2:$GL$7,MIN(6,'DADOS_FORMAS'!$GW21+4)),IF('DADOS_FORMAS'!$GS21="raio",INDEX('DADOS_FORMAS'!$GN$2:$GN$6,MIN(5,'DADOS_FORMAS'!$GW21+4)),IF('DADOS_FORMAS'!$GS21="comprimento",INDEX('DADOS_FORMAS'!$GP$2:$GP$6,MIN(5,'DADOS_FORMAS'!$GW21+4)),'DADOS_FORMAS'!$GT21)))&amp;'DADOS_FORMAS'!$GV21))</f>
        <v/>
      </c>
      <c r="HK41">
        <f>IF(OR('DADOS_FORMAS'!$AH15="",'DADOS_FORMAS'!$GR21="",'DADOS_FORMAS'!$GT21=""),"",IF('DADOS_FORMAS'!$GT21="—","—",'DADOS_FORMAS'!$GU21&amp;IF('DADOS_FORMAS'!$GS21="alcance",INDEX('DADOS_FORMAS'!$GL$2:$GL$7,MIN(6,'DADOS_FORMAS'!$GW21+5)),IF('DADOS_FORMAS'!$GS21="raio",INDEX('DADOS_FORMAS'!$GN$2:$GN$6,MIN(5,'DADOS_FORMAS'!$GW21+5)),IF('DADOS_FORMAS'!$GS21="comprimento",INDEX('DADOS_FORMAS'!$GP$2:$GP$6,MIN(5,'DADOS_FORMAS'!$GW21+5)),'DADOS_FORMAS'!$GT21)))&amp;'DADOS_FORMAS'!$GV21))</f>
        <v/>
      </c>
      <c r="HM41">
        <f>'DADOS_FORMAS'!$BP16</f>
        <v/>
      </c>
      <c r="HN41">
        <f>IF('DADOS_FORMAS'!$BP16="area",'DADOS_FORMAS'!$AU16,'DADOS_FORMAS'!$AT16)</f>
        <v/>
      </c>
      <c r="HO41">
        <f>IF('DADOS_FORMAS'!$BP16="area",'DADOS_FORMAS'!$BI16,'DADOS_FORMAS'!$BB16)</f>
        <v/>
      </c>
      <c r="HP41">
        <f>'DADOS_FORMAS'!$BQ16</f>
        <v/>
      </c>
      <c r="HQ41">
        <f>'DADOS_FORMAS'!$BR16</f>
        <v/>
      </c>
      <c r="HR41">
        <f>LET(base,'DADOS_FORMAS'!$HO41,escada,'DADOS_FORMAS'!$HN41,medida,LEFT(base,MAX(0,LEN(base)-2)),valor,IFERROR(VALUE(SUBSTITUTE(medida,",",""))/10^IFERROR(LEN(medida)-FIND(",",medida),0),1E99),IF(OR(escada="Fixo",base="—"),base,IF(escada="alcance",IFERROR(MATCH(base,{"1,5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1" t="inlineStr">
        <is>
          <t>Efeito · classe 7</t>
        </is>
      </c>
      <c r="HU41" t="inlineStr">
        <is>
          <t>Fora de combate</t>
        </is>
      </c>
      <c r="HV41" t="inlineStr">
        <is>
          <t>Fora de combate</t>
        </is>
      </c>
      <c r="HW41" t="inlineStr">
        <is>
          <t>Fora de combate</t>
        </is>
      </c>
      <c r="HX41" t="inlineStr">
        <is>
          <t>Fora de combate</t>
        </is>
      </c>
      <c r="HY41" t="inlineStr">
        <is>
          <t>Fora de combate</t>
        </is>
      </c>
      <c r="HZ41" t="inlineStr">
        <is>
          <t>Fora de combate</t>
        </is>
      </c>
      <c r="IA41" t="inlineStr"/>
      <c r="IB41" t="inlineStr"/>
      <c r="IC41" t="inlineStr"/>
      <c r="ID41" t="inlineStr"/>
      <c r="IE41" t="inlineStr"/>
      <c r="IF41" t="inlineStr"/>
      <c r="KA41">
        <f>IFERROR(INDEX(INDEX('DADOS_RESTRICOES'!$M$2:$Q$54,0,1),39),"")</f>
        <v/>
      </c>
    </row>
    <row r="42">
      <c r="GR42">
        <f>'DADOS_FORMAS'!$BL18</f>
        <v/>
      </c>
      <c r="GS42">
        <f>IF('DADOS_FORMAS'!$BL18="area",'DADOS_FORMAS'!$AU18,'DADOS_FORMAS'!$AT18)</f>
        <v/>
      </c>
      <c r="GT42">
        <f>IF('DADOS_FORMAS'!$BL18="area",'DADOS_FORMAS'!$BE18,'DADOS_FORMAS'!$AX18)</f>
        <v/>
      </c>
      <c r="GU42">
        <f>'DADOS_FORMAS'!$BM18</f>
        <v/>
      </c>
      <c r="GV42">
        <f>'DADOS_FORMAS'!$BN18</f>
        <v/>
      </c>
      <c r="GW42">
        <f>LET(base,'DADOS_FORMAS'!$GT42,escada,'DADOS_FORMAS'!$GS42,medida,LEFT(base,MAX(0,LEN(base)-2)),valor,IFERROR(VALUE(SUBSTITUTE(medida,",",""))/10^IFERROR(LEN(medida)-FIND(",",medida),0),1E99),IF(OR(escada="Fixo",base="—"),base,IF(escada="alcance",IFERROR(MATCH(base,{"1,5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2">
        <f>'DADOS_FORMAS'!$AH15&amp;" · classes 1 a 5"</f>
        <v/>
      </c>
      <c r="GZ42">
        <f>LET(trecho,IF(OR('DADOS_FORMAS'!$AH15="",'DADOS_FORMAS'!$GR22="",'DADOS_FORMAS'!$GT22=""),"",IF('DADOS_FORMAS'!$GT22="—","—",'DADOS_FORMAS'!$GU22&amp;'DADOS_FORMAS'!$GT22&amp;'DADOS_FORMAS'!$GV22)),UPPER(LEFT(trecho,1))&amp;MID(trecho,2,LEN(trecho)))</f>
        <v/>
      </c>
      <c r="HA42">
        <f>LET(trecho,IF(OR('DADOS_FORMAS'!$AH15="",'DADOS_FORMAS'!$GR22="",'DADOS_FORMAS'!$GT22=""),"",IF('DADOS_FORMAS'!$GT22="—","—",'DADOS_FORMAS'!$GU22&amp;IF('DADOS_FORMAS'!$GS22="alcance",INDEX('DADOS_FORMAS'!$GL$2:$GL$7,MIN(6,'DADOS_FORMAS'!$GW22+1)),IF('DADOS_FORMAS'!$GS22="raio",INDEX('DADOS_FORMAS'!$GN$2:$GN$6,MIN(5,'DADOS_FORMAS'!$GW22+1)),IF('DADOS_FORMAS'!$GS22="comprimento",INDEX('DADOS_FORMAS'!$GP$2:$GP$6,MIN(5,'DADOS_FORMAS'!$GW22+1)),'DADOS_FORMAS'!$GT22)))&amp;'DADOS_FORMAS'!$GV22)),UPPER(LEFT(trecho,1))&amp;MID(trecho,2,LEN(trecho)))</f>
        <v/>
      </c>
      <c r="HB42">
        <f>LET(trecho,IF(OR('DADOS_FORMAS'!$AH15="",'DADOS_FORMAS'!$GR22="",'DADOS_FORMAS'!$GT22=""),"",IF('DADOS_FORMAS'!$GT22="—","—",'DADOS_FORMAS'!$GU22&amp;IF('DADOS_FORMAS'!$GS22="alcance",INDEX('DADOS_FORMAS'!$GL$2:$GL$7,MIN(6,'DADOS_FORMAS'!$GW22+2)),IF('DADOS_FORMAS'!$GS22="raio",INDEX('DADOS_FORMAS'!$GN$2:$GN$6,MIN(5,'DADOS_FORMAS'!$GW22+2)),IF('DADOS_FORMAS'!$GS22="comprimento",INDEX('DADOS_FORMAS'!$GP$2:$GP$6,MIN(5,'DADOS_FORMAS'!$GW22+2)),'DADOS_FORMAS'!$GT22)))&amp;'DADOS_FORMAS'!$GV22)),UPPER(LEFT(trecho,1))&amp;MID(trecho,2,LEN(trecho)))</f>
        <v/>
      </c>
      <c r="HC42">
        <f>LET(trecho,IF(OR('DADOS_FORMAS'!$AH15="",'DADOS_FORMAS'!$GR22="",'DADOS_FORMAS'!$GT22=""),"",IF('DADOS_FORMAS'!$GT22="—","—",'DADOS_FORMAS'!$GU22&amp;IF('DADOS_FORMAS'!$GS22="alcance",INDEX('DADOS_FORMAS'!$GL$2:$GL$7,MIN(6,'DADOS_FORMAS'!$GW22+3)),IF('DADOS_FORMAS'!$GS22="raio",INDEX('DADOS_FORMAS'!$GN$2:$GN$6,MIN(5,'DADOS_FORMAS'!$GW22+3)),IF('DADOS_FORMAS'!$GS22="comprimento",INDEX('DADOS_FORMAS'!$GP$2:$GP$6,MIN(5,'DADOS_FORMAS'!$GW22+3)),'DADOS_FORMAS'!$GT22)))&amp;'DADOS_FORMAS'!$GV22)),UPPER(LEFT(trecho,1))&amp;MID(trecho,2,LEN(trecho)))</f>
        <v/>
      </c>
      <c r="HD42">
        <f>LET(trecho,IF(OR('DADOS_FORMAS'!$AH15="",'DADOS_FORMAS'!$GR22="",'DADOS_FORMAS'!$GT22=""),"",IF('DADOS_FORMAS'!$GT22="—","—",'DADOS_FORMAS'!$GU22&amp;IF('DADOS_FORMAS'!$GS22="alcance",INDEX('DADOS_FORMAS'!$GL$2:$GL$7,MIN(6,'DADOS_FORMAS'!$GW22+4)),IF('DADOS_FORMAS'!$GS22="raio",INDEX('DADOS_FORMAS'!$GN$2:$GN$6,MIN(5,'DADOS_FORMAS'!$GW22+4)),IF('DADOS_FORMAS'!$GS22="comprimento",INDEX('DADOS_FORMAS'!$GP$2:$GP$6,MIN(5,'DADOS_FORMAS'!$GW22+4)),'DADOS_FORMAS'!$GT22)))&amp;'DADOS_FORMAS'!$GV22)),UPPER(LEFT(trecho,1))&amp;MID(trecho,2,LEN(trecho)))</f>
        <v/>
      </c>
      <c r="HE42">
        <f>LET(trecho,IF(OR('DADOS_FORMAS'!$AH15="",'DADOS_FORMAS'!$GR22="",'DADOS_FORMAS'!$GT22=""),"",IF('DADOS_FORMAS'!$GT22="—","—",'DADOS_FORMAS'!$GU22&amp;IF('DADOS_FORMAS'!$GS22="alcance",INDEX('DADOS_FORMAS'!$GL$2:$GL$7,MIN(6,'DADOS_FORMAS'!$GW22+5)),IF('DADOS_FORMAS'!$GS22="raio",INDEX('DADOS_FORMAS'!$GN$2:$GN$6,MIN(5,'DADOS_FORMAS'!$GW22+5)),IF('DADOS_FORMAS'!$GS22="comprimento",INDEX('DADOS_FORMAS'!$GP$2:$GP$6,MIN(5,'DADOS_FORMAS'!$GW22+5)),'DADOS_FORMAS'!$GT22)))&amp;'DADOS_FORMAS'!$GV22)),UPPER(LEFT(trecho,1))&amp;MID(trecho,2,LEN(trecho)))</f>
        <v/>
      </c>
      <c r="HF42">
        <f>IF(OR('DADOS_FORMAS'!$AH15="",'DADOS_FORMAS'!$GR23="",'DADOS_FORMAS'!$GT23=""),"",IF('DADOS_FORMAS'!$GT23="—","—",'DADOS_FORMAS'!$GU23&amp;'DADOS_FORMAS'!$GT23&amp;'DADOS_FORMAS'!$GV23))</f>
        <v/>
      </c>
      <c r="HG42">
        <f>IF(OR('DADOS_FORMAS'!$AH15="",'DADOS_FORMAS'!$GR23="",'DADOS_FORMAS'!$GT23=""),"",IF('DADOS_FORMAS'!$GT23="—","—",'DADOS_FORMAS'!$GU23&amp;IF('DADOS_FORMAS'!$GS23="alcance",INDEX('DADOS_FORMAS'!$GL$2:$GL$7,MIN(6,'DADOS_FORMAS'!$GW23+1)),IF('DADOS_FORMAS'!$GS23="raio",INDEX('DADOS_FORMAS'!$GN$2:$GN$6,MIN(5,'DADOS_FORMAS'!$GW23+1)),IF('DADOS_FORMAS'!$GS23="comprimento",INDEX('DADOS_FORMAS'!$GP$2:$GP$6,MIN(5,'DADOS_FORMAS'!$GW23+1)),'DADOS_FORMAS'!$GT23)))&amp;'DADOS_FORMAS'!$GV23))</f>
        <v/>
      </c>
      <c r="HH42">
        <f>IF(OR('DADOS_FORMAS'!$AH15="",'DADOS_FORMAS'!$GR23="",'DADOS_FORMAS'!$GT23=""),"",IF('DADOS_FORMAS'!$GT23="—","—",'DADOS_FORMAS'!$GU23&amp;IF('DADOS_FORMAS'!$GS23="alcance",INDEX('DADOS_FORMAS'!$GL$2:$GL$7,MIN(6,'DADOS_FORMAS'!$GW23+2)),IF('DADOS_FORMAS'!$GS23="raio",INDEX('DADOS_FORMAS'!$GN$2:$GN$6,MIN(5,'DADOS_FORMAS'!$GW23+2)),IF('DADOS_FORMAS'!$GS23="comprimento",INDEX('DADOS_FORMAS'!$GP$2:$GP$6,MIN(5,'DADOS_FORMAS'!$GW23+2)),'DADOS_FORMAS'!$GT23)))&amp;'DADOS_FORMAS'!$GV23))</f>
        <v/>
      </c>
      <c r="HI42">
        <f>IF(OR('DADOS_FORMAS'!$AH15="",'DADOS_FORMAS'!$GR23="",'DADOS_FORMAS'!$GT23=""),"",IF('DADOS_FORMAS'!$GT23="—","—",'DADOS_FORMAS'!$GU23&amp;IF('DADOS_FORMAS'!$GS23="alcance",INDEX('DADOS_FORMAS'!$GL$2:$GL$7,MIN(6,'DADOS_FORMAS'!$GW23+3)),IF('DADOS_FORMAS'!$GS23="raio",INDEX('DADOS_FORMAS'!$GN$2:$GN$6,MIN(5,'DADOS_FORMAS'!$GW23+3)),IF('DADOS_FORMAS'!$GS23="comprimento",INDEX('DADOS_FORMAS'!$GP$2:$GP$6,MIN(5,'DADOS_FORMAS'!$GW23+3)),'DADOS_FORMAS'!$GT23)))&amp;'DADOS_FORMAS'!$GV23))</f>
        <v/>
      </c>
      <c r="HJ42">
        <f>IF(OR('DADOS_FORMAS'!$AH15="",'DADOS_FORMAS'!$GR23="",'DADOS_FORMAS'!$GT23=""),"",IF('DADOS_FORMAS'!$GT23="—","—",'DADOS_FORMAS'!$GU23&amp;IF('DADOS_FORMAS'!$GS23="alcance",INDEX('DADOS_FORMAS'!$GL$2:$GL$7,MIN(6,'DADOS_FORMAS'!$GW23+4)),IF('DADOS_FORMAS'!$GS23="raio",INDEX('DADOS_FORMAS'!$GN$2:$GN$6,MIN(5,'DADOS_FORMAS'!$GW23+4)),IF('DADOS_FORMAS'!$GS23="comprimento",INDEX('DADOS_FORMAS'!$GP$2:$GP$6,MIN(5,'DADOS_FORMAS'!$GW23+4)),'DADOS_FORMAS'!$GT23)))&amp;'DADOS_FORMAS'!$GV23))</f>
        <v/>
      </c>
      <c r="HK42">
        <f>IF(OR('DADOS_FORMAS'!$AH15="",'DADOS_FORMAS'!$GR23="",'DADOS_FORMAS'!$GT23=""),"",IF('DADOS_FORMAS'!$GT23="—","—",'DADOS_FORMAS'!$GU23&amp;IF('DADOS_FORMAS'!$GS23="alcance",INDEX('DADOS_FORMAS'!$GL$2:$GL$7,MIN(6,'DADOS_FORMAS'!$GW23+5)),IF('DADOS_FORMAS'!$GS23="raio",INDEX('DADOS_FORMAS'!$GN$2:$GN$6,MIN(5,'DADOS_FORMAS'!$GW23+5)),IF('DADOS_FORMAS'!$GS23="comprimento",INDEX('DADOS_FORMAS'!$GP$2:$GP$6,MIN(5,'DADOS_FORMAS'!$GW23+5)),'DADOS_FORMAS'!$GT23)))&amp;'DADOS_FORMAS'!$GV23))</f>
        <v/>
      </c>
      <c r="HM42">
        <f>'DADOS_FORMAS'!$BL17</f>
        <v/>
      </c>
      <c r="HN42">
        <f>IF('DADOS_FORMAS'!$BL17="area",'DADOS_FORMAS'!$AU17,'DADOS_FORMAS'!$AT17)</f>
        <v/>
      </c>
      <c r="HO42">
        <f>IF('DADOS_FORMAS'!$BL17="area",'DADOS_FORMAS'!$BF17,'DADOS_FORMAS'!$AY17)</f>
        <v/>
      </c>
      <c r="HP42">
        <f>'DADOS_FORMAS'!$BM17</f>
        <v/>
      </c>
      <c r="HQ42">
        <f>'DADOS_FORMAS'!$BN17</f>
        <v/>
      </c>
      <c r="HR42">
        <f>LET(base,'DADOS_FORMAS'!$HO42,escada,'DADOS_FORMAS'!$HN42,medida,LEFT(base,MAX(0,LEN(base)-2)),valor,IFERROR(VALUE(SUBSTITUTE(medida,",",""))/10^IFERROR(LEN(medida)-FIND(",",medida),0),1E99),IF(OR(escada="Fixo",base="—"),base,IF(escada="alcance",IFERROR(MATCH(base,{"1,5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2">
        <f>'DADOS_FORMAS'!$AH12&amp;" · classe 0"</f>
        <v/>
      </c>
      <c r="HU42">
        <f>LET(trecho,IF(OR('DADOS_FORMAS'!$AH12="",'DADOS_FORMAS'!$HM2="",'DADOS_FORMAS'!$HO2=""),"",IF('DADOS_FORMAS'!$HO2="—","—",'DADOS_FORMAS'!$HP2&amp;'DADOS_FORMAS'!$HO2&amp;SUBSTITUTE('DADOS_FORMAS'!$HQ2,"em você","nela"))),UPPER(LEFT(trecho,1))&amp;MID(trecho,2,LEN(trecho)))</f>
        <v/>
      </c>
      <c r="HV42">
        <f>LET(trecho,IF(OR('DADOS_FORMAS'!$AH12="",'DADOS_FORMAS'!$HM2="",'DADOS_FORMAS'!$HO2=""),"",IF('DADOS_FORMAS'!$HO2="—","—",'DADOS_FORMAS'!$HP2&amp;IF('DADOS_FORMAS'!$HN2="alcance",INDEX('DADOS_FORMAS'!$GL$2:$GL$7,MIN(6,'DADOS_FORMAS'!$HR2+1)),IF('DADOS_FORMAS'!$HN2="raio",INDEX('DADOS_FORMAS'!$GN$2:$GN$6,MIN(5,'DADOS_FORMAS'!$HR2+1)),IF('DADOS_FORMAS'!$HN2="comprimento",INDEX('DADOS_FORMAS'!$GP$2:$GP$6,MIN(5,'DADOS_FORMAS'!$HR2+1)),'DADOS_FORMAS'!$HO2)))&amp;SUBSTITUTE('DADOS_FORMAS'!$HQ2,"em você","nela"))),UPPER(LEFT(trecho,1))&amp;MID(trecho,2,LEN(trecho)))</f>
        <v/>
      </c>
      <c r="HW42">
        <f>LET(trecho,IF(OR('DADOS_FORMAS'!$AH12="",'DADOS_FORMAS'!$HM2="",'DADOS_FORMAS'!$HO2=""),"",IF('DADOS_FORMAS'!$HO2="—","—",'DADOS_FORMAS'!$HP2&amp;IF('DADOS_FORMAS'!$HN2="alcance",INDEX('DADOS_FORMAS'!$GL$2:$GL$7,MIN(6,'DADOS_FORMAS'!$HR2+2)),IF('DADOS_FORMAS'!$HN2="raio",INDEX('DADOS_FORMAS'!$GN$2:$GN$6,MIN(5,'DADOS_FORMAS'!$HR2+2)),IF('DADOS_FORMAS'!$HN2="comprimento",INDEX('DADOS_FORMAS'!$GP$2:$GP$6,MIN(5,'DADOS_FORMAS'!$HR2+2)),'DADOS_FORMAS'!$HO2)))&amp;SUBSTITUTE('DADOS_FORMAS'!$HQ2,"em você","nela"))),UPPER(LEFT(trecho,1))&amp;MID(trecho,2,LEN(trecho)))</f>
        <v/>
      </c>
      <c r="HX42">
        <f>LET(trecho,IF(OR('DADOS_FORMAS'!$AH12="",'DADOS_FORMAS'!$HM2="",'DADOS_FORMAS'!$HO2=""),"",IF('DADOS_FORMAS'!$HO2="—","—",'DADOS_FORMAS'!$HP2&amp;IF('DADOS_FORMAS'!$HN2="alcance",INDEX('DADOS_FORMAS'!$GL$2:$GL$7,MIN(6,'DADOS_FORMAS'!$HR2+3)),IF('DADOS_FORMAS'!$HN2="raio",INDEX('DADOS_FORMAS'!$GN$2:$GN$6,MIN(5,'DADOS_FORMAS'!$HR2+3)),IF('DADOS_FORMAS'!$HN2="comprimento",INDEX('DADOS_FORMAS'!$GP$2:$GP$6,MIN(5,'DADOS_FORMAS'!$HR2+3)),'DADOS_FORMAS'!$HO2)))&amp;SUBSTITUTE('DADOS_FORMAS'!$HQ2,"em você","nela"))),UPPER(LEFT(trecho,1))&amp;MID(trecho,2,LEN(trecho)))</f>
        <v/>
      </c>
      <c r="HY42">
        <f>LET(trecho,IF(OR('DADOS_FORMAS'!$AH12="",'DADOS_FORMAS'!$HM2="",'DADOS_FORMAS'!$HO2=""),"",IF('DADOS_FORMAS'!$HO2="—","—",'DADOS_FORMAS'!$HP2&amp;IF('DADOS_FORMAS'!$HN2="alcance",INDEX('DADOS_FORMAS'!$GL$2:$GL$7,MIN(6,'DADOS_FORMAS'!$HR2+4)),IF('DADOS_FORMAS'!$HN2="raio",INDEX('DADOS_FORMAS'!$GN$2:$GN$6,MIN(5,'DADOS_FORMAS'!$HR2+4)),IF('DADOS_FORMAS'!$HN2="comprimento",INDEX('DADOS_FORMAS'!$GP$2:$GP$6,MIN(5,'DADOS_FORMAS'!$HR2+4)),'DADOS_FORMAS'!$HO2)))&amp;SUBSTITUTE('DADOS_FORMAS'!$HQ2,"em você","nela"))),UPPER(LEFT(trecho,1))&amp;MID(trecho,2,LEN(trecho)))</f>
        <v/>
      </c>
      <c r="HZ42">
        <f>LET(trecho,IF(OR('DADOS_FORMAS'!$AH12="",'DADOS_FORMAS'!$HM2="",'DADOS_FORMAS'!$HO2=""),"",IF('DADOS_FORMAS'!$HO2="—","—",'DADOS_FORMAS'!$HP2&amp;IF('DADOS_FORMAS'!$HN2="alcance",INDEX('DADOS_FORMAS'!$GL$2:$GL$7,MIN(6,'DADOS_FORMAS'!$HR2+5)),IF('DADOS_FORMAS'!$HN2="raio",INDEX('DADOS_FORMAS'!$GN$2:$GN$6,MIN(5,'DADOS_FORMAS'!$HR2+5)),IF('DADOS_FORMAS'!$HN2="comprimento",INDEX('DADOS_FORMAS'!$GP$2:$GP$6,MIN(5,'DADOS_FORMAS'!$HR2+5)),'DADOS_FORMAS'!$HO2)))&amp;SUBSTITUTE('DADOS_FORMAS'!$HQ2,"em você","nela"))),UPPER(LEFT(trecho,1))&amp;MID(trecho,2,LEN(trecho)))</f>
        <v/>
      </c>
      <c r="IA42">
        <f>IF(OR('DADOS_FORMAS'!$AH12="",'DADOS_FORMAS'!$HM3="",'DADOS_FORMAS'!$HO3=""),"",IF('DADOS_FORMAS'!$HO3="—","—",'DADOS_FORMAS'!$HP3&amp;'DADOS_FORMAS'!$HO3&amp;SUBSTITUTE('DADOS_FORMAS'!$HQ3,"em você","nela")))</f>
        <v/>
      </c>
      <c r="IB42">
        <f>IF(OR('DADOS_FORMAS'!$AH12="",'DADOS_FORMAS'!$HM3="",'DADOS_FORMAS'!$HO3=""),"",IF('DADOS_FORMAS'!$HO3="—","—",'DADOS_FORMAS'!$HP3&amp;IF('DADOS_FORMAS'!$HN3="alcance",INDEX('DADOS_FORMAS'!$GL$2:$GL$7,MIN(6,'DADOS_FORMAS'!$HR3+1)),IF('DADOS_FORMAS'!$HN3="raio",INDEX('DADOS_FORMAS'!$GN$2:$GN$6,MIN(5,'DADOS_FORMAS'!$HR3+1)),IF('DADOS_FORMAS'!$HN3="comprimento",INDEX('DADOS_FORMAS'!$GP$2:$GP$6,MIN(5,'DADOS_FORMAS'!$HR3+1)),'DADOS_FORMAS'!$HO3)))&amp;SUBSTITUTE('DADOS_FORMAS'!$HQ3,"em você","nela")))</f>
        <v/>
      </c>
      <c r="IC42">
        <f>IF(OR('DADOS_FORMAS'!$AH12="",'DADOS_FORMAS'!$HM3="",'DADOS_FORMAS'!$HO3=""),"",IF('DADOS_FORMAS'!$HO3="—","—",'DADOS_FORMAS'!$HP3&amp;IF('DADOS_FORMAS'!$HN3="alcance",INDEX('DADOS_FORMAS'!$GL$2:$GL$7,MIN(6,'DADOS_FORMAS'!$HR3+2)),IF('DADOS_FORMAS'!$HN3="raio",INDEX('DADOS_FORMAS'!$GN$2:$GN$6,MIN(5,'DADOS_FORMAS'!$HR3+2)),IF('DADOS_FORMAS'!$HN3="comprimento",INDEX('DADOS_FORMAS'!$GP$2:$GP$6,MIN(5,'DADOS_FORMAS'!$HR3+2)),'DADOS_FORMAS'!$HO3)))&amp;SUBSTITUTE('DADOS_FORMAS'!$HQ3,"em você","nela")))</f>
        <v/>
      </c>
      <c r="ID42">
        <f>IF(OR('DADOS_FORMAS'!$AH12="",'DADOS_FORMAS'!$HM3="",'DADOS_FORMAS'!$HO3=""),"",IF('DADOS_FORMAS'!$HO3="—","—",'DADOS_FORMAS'!$HP3&amp;IF('DADOS_FORMAS'!$HN3="alcance",INDEX('DADOS_FORMAS'!$GL$2:$GL$7,MIN(6,'DADOS_FORMAS'!$HR3+3)),IF('DADOS_FORMAS'!$HN3="raio",INDEX('DADOS_FORMAS'!$GN$2:$GN$6,MIN(5,'DADOS_FORMAS'!$HR3+3)),IF('DADOS_FORMAS'!$HN3="comprimento",INDEX('DADOS_FORMAS'!$GP$2:$GP$6,MIN(5,'DADOS_FORMAS'!$HR3+3)),'DADOS_FORMAS'!$HO3)))&amp;SUBSTITUTE('DADOS_FORMAS'!$HQ3,"em você","nela")))</f>
        <v/>
      </c>
      <c r="IE42">
        <f>IF(OR('DADOS_FORMAS'!$AH12="",'DADOS_FORMAS'!$HM3="",'DADOS_FORMAS'!$HO3=""),"",IF('DADOS_FORMAS'!$HO3="—","—",'DADOS_FORMAS'!$HP3&amp;IF('DADOS_FORMAS'!$HN3="alcance",INDEX('DADOS_FORMAS'!$GL$2:$GL$7,MIN(6,'DADOS_FORMAS'!$HR3+4)),IF('DADOS_FORMAS'!$HN3="raio",INDEX('DADOS_FORMAS'!$GN$2:$GN$6,MIN(5,'DADOS_FORMAS'!$HR3+4)),IF('DADOS_FORMAS'!$HN3="comprimento",INDEX('DADOS_FORMAS'!$GP$2:$GP$6,MIN(5,'DADOS_FORMAS'!$HR3+4)),'DADOS_FORMAS'!$HO3)))&amp;SUBSTITUTE('DADOS_FORMAS'!$HQ3,"em você","nela")))</f>
        <v/>
      </c>
      <c r="IF42">
        <f>IF(OR('DADOS_FORMAS'!$AH12="",'DADOS_FORMAS'!$HM3="",'DADOS_FORMAS'!$HO3=""),"",IF('DADOS_FORMAS'!$HO3="—","—",'DADOS_FORMAS'!$HP3&amp;IF('DADOS_FORMAS'!$HN3="alcance",INDEX('DADOS_FORMAS'!$GL$2:$GL$7,MIN(6,'DADOS_FORMAS'!$HR3+5)),IF('DADOS_FORMAS'!$HN3="raio",INDEX('DADOS_FORMAS'!$GN$2:$GN$6,MIN(5,'DADOS_FORMAS'!$HR3+5)),IF('DADOS_FORMAS'!$HN3="comprimento",INDEX('DADOS_FORMAS'!$GP$2:$GP$6,MIN(5,'DADOS_FORMAS'!$HR3+5)),'DADOS_FORMAS'!$HO3)))&amp;SUBSTITUTE('DADOS_FORMAS'!$HQ3,"em você","nela")))</f>
        <v/>
      </c>
      <c r="KA42">
        <f>IFERROR(INDEX(INDEX('DADOS_RESTRICOES'!$M$2:$Q$54,0,1),40),"")</f>
        <v/>
      </c>
    </row>
    <row r="43">
      <c r="GR43">
        <f>'DADOS_FORMAS'!$BP18</f>
        <v/>
      </c>
      <c r="GS43">
        <f>IF('DADOS_FORMAS'!$BP18="area",'DADOS_FORMAS'!$AU18,'DADOS_FORMAS'!$AT18)</f>
        <v/>
      </c>
      <c r="GT43">
        <f>IF('DADOS_FORMAS'!$BP18="area",'DADOS_FORMAS'!$BE18,'DADOS_FORMAS'!$AX18)</f>
        <v/>
      </c>
      <c r="GU43">
        <f>'DADOS_FORMAS'!$BQ18</f>
        <v/>
      </c>
      <c r="GV43">
        <f>'DADOS_FORMAS'!$BR18</f>
        <v/>
      </c>
      <c r="GW43">
        <f>LET(base,'DADOS_FORMAS'!$GT43,escada,'DADOS_FORMAS'!$GS43,medida,LEFT(base,MAX(0,LEN(base)-2)),valor,IFERROR(VALUE(SUBSTITUTE(medida,",",""))/10^IFERROR(LEN(medida)-FIND(",",medida),0),1E99),IF(OR(escada="Fixo",base="—"),base,IF(escada="alcance",IFERROR(MATCH(base,{"1,5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3">
        <f>'DADOS_FORMAS'!$AH15&amp;" · classes 6 e 7"</f>
        <v/>
      </c>
      <c r="GZ43">
        <f>LET(trecho,IF(OR('DADOS_FORMAS'!$AH15="",'DADOS_FORMAS'!$GR24="",'DADOS_FORMAS'!$GT24=""),"",IF('DADOS_FORMAS'!$GT24="—","—",'DADOS_FORMAS'!$GU24&amp;'DADOS_FORMAS'!$GT24&amp;'DADOS_FORMAS'!$GV24)),UPPER(LEFT(trecho,1))&amp;MID(trecho,2,LEN(trecho)))</f>
        <v/>
      </c>
      <c r="HA43">
        <f>LET(trecho,IF(OR('DADOS_FORMAS'!$AH15="",'DADOS_FORMAS'!$GR24="",'DADOS_FORMAS'!$GT24=""),"",IF('DADOS_FORMAS'!$GT24="—","—",'DADOS_FORMAS'!$GU24&amp;IF('DADOS_FORMAS'!$GS24="alcance",INDEX('DADOS_FORMAS'!$GL$2:$GL$7,MIN(6,'DADOS_FORMAS'!$GW24+1)),IF('DADOS_FORMAS'!$GS24="raio",INDEX('DADOS_FORMAS'!$GN$2:$GN$6,MIN(5,'DADOS_FORMAS'!$GW24+1)),IF('DADOS_FORMAS'!$GS24="comprimento",INDEX('DADOS_FORMAS'!$GP$2:$GP$6,MIN(5,'DADOS_FORMAS'!$GW24+1)),'DADOS_FORMAS'!$GT24)))&amp;'DADOS_FORMAS'!$GV24)),UPPER(LEFT(trecho,1))&amp;MID(trecho,2,LEN(trecho)))</f>
        <v/>
      </c>
      <c r="HB43">
        <f>LET(trecho,IF(OR('DADOS_FORMAS'!$AH15="",'DADOS_FORMAS'!$GR24="",'DADOS_FORMAS'!$GT24=""),"",IF('DADOS_FORMAS'!$GT24="—","—",'DADOS_FORMAS'!$GU24&amp;IF('DADOS_FORMAS'!$GS24="alcance",INDEX('DADOS_FORMAS'!$GL$2:$GL$7,MIN(6,'DADOS_FORMAS'!$GW24+2)),IF('DADOS_FORMAS'!$GS24="raio",INDEX('DADOS_FORMAS'!$GN$2:$GN$6,MIN(5,'DADOS_FORMAS'!$GW24+2)),IF('DADOS_FORMAS'!$GS24="comprimento",INDEX('DADOS_FORMAS'!$GP$2:$GP$6,MIN(5,'DADOS_FORMAS'!$GW24+2)),'DADOS_FORMAS'!$GT24)))&amp;'DADOS_FORMAS'!$GV24)),UPPER(LEFT(trecho,1))&amp;MID(trecho,2,LEN(trecho)))</f>
        <v/>
      </c>
      <c r="HC43">
        <f>LET(trecho,IF(OR('DADOS_FORMAS'!$AH15="",'DADOS_FORMAS'!$GR24="",'DADOS_FORMAS'!$GT24=""),"",IF('DADOS_FORMAS'!$GT24="—","—",'DADOS_FORMAS'!$GU24&amp;IF('DADOS_FORMAS'!$GS24="alcance",INDEX('DADOS_FORMAS'!$GL$2:$GL$7,MIN(6,'DADOS_FORMAS'!$GW24+3)),IF('DADOS_FORMAS'!$GS24="raio",INDEX('DADOS_FORMAS'!$GN$2:$GN$6,MIN(5,'DADOS_FORMAS'!$GW24+3)),IF('DADOS_FORMAS'!$GS24="comprimento",INDEX('DADOS_FORMAS'!$GP$2:$GP$6,MIN(5,'DADOS_FORMAS'!$GW24+3)),'DADOS_FORMAS'!$GT24)))&amp;'DADOS_FORMAS'!$GV24)),UPPER(LEFT(trecho,1))&amp;MID(trecho,2,LEN(trecho)))</f>
        <v/>
      </c>
      <c r="HD43">
        <f>LET(trecho,IF(OR('DADOS_FORMAS'!$AH15="",'DADOS_FORMAS'!$GR24="",'DADOS_FORMAS'!$GT24=""),"",IF('DADOS_FORMAS'!$GT24="—","—",'DADOS_FORMAS'!$GU24&amp;IF('DADOS_FORMAS'!$GS24="alcance",INDEX('DADOS_FORMAS'!$GL$2:$GL$7,MIN(6,'DADOS_FORMAS'!$GW24+4)),IF('DADOS_FORMAS'!$GS24="raio",INDEX('DADOS_FORMAS'!$GN$2:$GN$6,MIN(5,'DADOS_FORMAS'!$GW24+4)),IF('DADOS_FORMAS'!$GS24="comprimento",INDEX('DADOS_FORMAS'!$GP$2:$GP$6,MIN(5,'DADOS_FORMAS'!$GW24+4)),'DADOS_FORMAS'!$GT24)))&amp;'DADOS_FORMAS'!$GV24)),UPPER(LEFT(trecho,1))&amp;MID(trecho,2,LEN(trecho)))</f>
        <v/>
      </c>
      <c r="HE43">
        <f>LET(trecho,IF(OR('DADOS_FORMAS'!$AH15="",'DADOS_FORMAS'!$GR24="",'DADOS_FORMAS'!$GT24=""),"",IF('DADOS_FORMAS'!$GT24="—","—",'DADOS_FORMAS'!$GU24&amp;IF('DADOS_FORMAS'!$GS24="alcance",INDEX('DADOS_FORMAS'!$GL$2:$GL$7,MIN(6,'DADOS_FORMAS'!$GW24+5)),IF('DADOS_FORMAS'!$GS24="raio",INDEX('DADOS_FORMAS'!$GN$2:$GN$6,MIN(5,'DADOS_FORMAS'!$GW24+5)),IF('DADOS_FORMAS'!$GS24="comprimento",INDEX('DADOS_FORMAS'!$GP$2:$GP$6,MIN(5,'DADOS_FORMAS'!$GW24+5)),'DADOS_FORMAS'!$GT24)))&amp;'DADOS_FORMAS'!$GV24)),UPPER(LEFT(trecho,1))&amp;MID(trecho,2,LEN(trecho)))</f>
        <v/>
      </c>
      <c r="HF43">
        <f>IF(OR('DADOS_FORMAS'!$AH15="",'DADOS_FORMAS'!$GR25="",'DADOS_FORMAS'!$GT25=""),"",IF('DADOS_FORMAS'!$GT25="—","—",'DADOS_FORMAS'!$GU25&amp;'DADOS_FORMAS'!$GT25&amp;'DADOS_FORMAS'!$GV25))</f>
        <v/>
      </c>
      <c r="HG43">
        <f>IF(OR('DADOS_FORMAS'!$AH15="",'DADOS_FORMAS'!$GR25="",'DADOS_FORMAS'!$GT25=""),"",IF('DADOS_FORMAS'!$GT25="—","—",'DADOS_FORMAS'!$GU25&amp;IF('DADOS_FORMAS'!$GS25="alcance",INDEX('DADOS_FORMAS'!$GL$2:$GL$7,MIN(6,'DADOS_FORMAS'!$GW25+1)),IF('DADOS_FORMAS'!$GS25="raio",INDEX('DADOS_FORMAS'!$GN$2:$GN$6,MIN(5,'DADOS_FORMAS'!$GW25+1)),IF('DADOS_FORMAS'!$GS25="comprimento",INDEX('DADOS_FORMAS'!$GP$2:$GP$6,MIN(5,'DADOS_FORMAS'!$GW25+1)),'DADOS_FORMAS'!$GT25)))&amp;'DADOS_FORMAS'!$GV25))</f>
        <v/>
      </c>
      <c r="HH43">
        <f>IF(OR('DADOS_FORMAS'!$AH15="",'DADOS_FORMAS'!$GR25="",'DADOS_FORMAS'!$GT25=""),"",IF('DADOS_FORMAS'!$GT25="—","—",'DADOS_FORMAS'!$GU25&amp;IF('DADOS_FORMAS'!$GS25="alcance",INDEX('DADOS_FORMAS'!$GL$2:$GL$7,MIN(6,'DADOS_FORMAS'!$GW25+2)),IF('DADOS_FORMAS'!$GS25="raio",INDEX('DADOS_FORMAS'!$GN$2:$GN$6,MIN(5,'DADOS_FORMAS'!$GW25+2)),IF('DADOS_FORMAS'!$GS25="comprimento",INDEX('DADOS_FORMAS'!$GP$2:$GP$6,MIN(5,'DADOS_FORMAS'!$GW25+2)),'DADOS_FORMAS'!$GT25)))&amp;'DADOS_FORMAS'!$GV25))</f>
        <v/>
      </c>
      <c r="HI43">
        <f>IF(OR('DADOS_FORMAS'!$AH15="",'DADOS_FORMAS'!$GR25="",'DADOS_FORMAS'!$GT25=""),"",IF('DADOS_FORMAS'!$GT25="—","—",'DADOS_FORMAS'!$GU25&amp;IF('DADOS_FORMAS'!$GS25="alcance",INDEX('DADOS_FORMAS'!$GL$2:$GL$7,MIN(6,'DADOS_FORMAS'!$GW25+3)),IF('DADOS_FORMAS'!$GS25="raio",INDEX('DADOS_FORMAS'!$GN$2:$GN$6,MIN(5,'DADOS_FORMAS'!$GW25+3)),IF('DADOS_FORMAS'!$GS25="comprimento",INDEX('DADOS_FORMAS'!$GP$2:$GP$6,MIN(5,'DADOS_FORMAS'!$GW25+3)),'DADOS_FORMAS'!$GT25)))&amp;'DADOS_FORMAS'!$GV25))</f>
        <v/>
      </c>
      <c r="HJ43">
        <f>IF(OR('DADOS_FORMAS'!$AH15="",'DADOS_FORMAS'!$GR25="",'DADOS_FORMAS'!$GT25=""),"",IF('DADOS_FORMAS'!$GT25="—","—",'DADOS_FORMAS'!$GU25&amp;IF('DADOS_FORMAS'!$GS25="alcance",INDEX('DADOS_FORMAS'!$GL$2:$GL$7,MIN(6,'DADOS_FORMAS'!$GW25+4)),IF('DADOS_FORMAS'!$GS25="raio",INDEX('DADOS_FORMAS'!$GN$2:$GN$6,MIN(5,'DADOS_FORMAS'!$GW25+4)),IF('DADOS_FORMAS'!$GS25="comprimento",INDEX('DADOS_FORMAS'!$GP$2:$GP$6,MIN(5,'DADOS_FORMAS'!$GW25+4)),'DADOS_FORMAS'!$GT25)))&amp;'DADOS_FORMAS'!$GV25))</f>
        <v/>
      </c>
      <c r="HK43">
        <f>IF(OR('DADOS_FORMAS'!$AH15="",'DADOS_FORMAS'!$GR25="",'DADOS_FORMAS'!$GT25=""),"",IF('DADOS_FORMAS'!$GT25="—","—",'DADOS_FORMAS'!$GU25&amp;IF('DADOS_FORMAS'!$GS25="alcance",INDEX('DADOS_FORMAS'!$GL$2:$GL$7,MIN(6,'DADOS_FORMAS'!$GW25+5)),IF('DADOS_FORMAS'!$GS25="raio",INDEX('DADOS_FORMAS'!$GN$2:$GN$6,MIN(5,'DADOS_FORMAS'!$GW25+5)),IF('DADOS_FORMAS'!$GS25="comprimento",INDEX('DADOS_FORMAS'!$GP$2:$GP$6,MIN(5,'DADOS_FORMAS'!$GW25+5)),'DADOS_FORMAS'!$GT25)))&amp;'DADOS_FORMAS'!$GV25))</f>
        <v/>
      </c>
      <c r="HM43">
        <f>'DADOS_FORMAS'!$BP17</f>
        <v/>
      </c>
      <c r="HN43">
        <f>IF('DADOS_FORMAS'!$BP17="area",'DADOS_FORMAS'!$AU17,'DADOS_FORMAS'!$AT17)</f>
        <v/>
      </c>
      <c r="HO43">
        <f>IF('DADOS_FORMAS'!$BP17="area",'DADOS_FORMAS'!$BF17,'DADOS_FORMAS'!$AY17)</f>
        <v/>
      </c>
      <c r="HP43">
        <f>'DADOS_FORMAS'!$BQ17</f>
        <v/>
      </c>
      <c r="HQ43">
        <f>'DADOS_FORMAS'!$BR17</f>
        <v/>
      </c>
      <c r="HR43">
        <f>LET(base,'DADOS_FORMAS'!$HO43,escada,'DADOS_FORMAS'!$HN43,medida,LEFT(base,MAX(0,LEN(base)-2)),valor,IFERROR(VALUE(SUBSTITUTE(medida,",",""))/10^IFERROR(LEN(medida)-FIND(",",medida),0),1E99),IF(OR(escada="Fixo",base="—"),base,IF(escada="alcance",IFERROR(MATCH(base,{"1,5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3">
        <f>'DADOS_FORMAS'!$AH12&amp;" · classes 1 a 5"</f>
        <v/>
      </c>
      <c r="HU43">
        <f>LET(trecho,IF(OR('DADOS_FORMAS'!$AH12="",'DADOS_FORMAS'!$HM4="",'DADOS_FORMAS'!$HO4=""),"",IF('DADOS_FORMAS'!$HO4="—","—",'DADOS_FORMAS'!$HP4&amp;'DADOS_FORMAS'!$HO4&amp;SUBSTITUTE('DADOS_FORMAS'!$HQ4,"em você","nela"))),UPPER(LEFT(trecho,1))&amp;MID(trecho,2,LEN(trecho)))</f>
        <v/>
      </c>
      <c r="HV43">
        <f>LET(trecho,IF(OR('DADOS_FORMAS'!$AH12="",'DADOS_FORMAS'!$HM4="",'DADOS_FORMAS'!$HO4=""),"",IF('DADOS_FORMAS'!$HO4="—","—",'DADOS_FORMAS'!$HP4&amp;IF('DADOS_FORMAS'!$HN4="alcance",INDEX('DADOS_FORMAS'!$GL$2:$GL$7,MIN(6,'DADOS_FORMAS'!$HR4+1)),IF('DADOS_FORMAS'!$HN4="raio",INDEX('DADOS_FORMAS'!$GN$2:$GN$6,MIN(5,'DADOS_FORMAS'!$HR4+1)),IF('DADOS_FORMAS'!$HN4="comprimento",INDEX('DADOS_FORMAS'!$GP$2:$GP$6,MIN(5,'DADOS_FORMAS'!$HR4+1)),'DADOS_FORMAS'!$HO4)))&amp;SUBSTITUTE('DADOS_FORMAS'!$HQ4,"em você","nela"))),UPPER(LEFT(trecho,1))&amp;MID(trecho,2,LEN(trecho)))</f>
        <v/>
      </c>
      <c r="HW43">
        <f>LET(trecho,IF(OR('DADOS_FORMAS'!$AH12="",'DADOS_FORMAS'!$HM4="",'DADOS_FORMAS'!$HO4=""),"",IF('DADOS_FORMAS'!$HO4="—","—",'DADOS_FORMAS'!$HP4&amp;IF('DADOS_FORMAS'!$HN4="alcance",INDEX('DADOS_FORMAS'!$GL$2:$GL$7,MIN(6,'DADOS_FORMAS'!$HR4+2)),IF('DADOS_FORMAS'!$HN4="raio",INDEX('DADOS_FORMAS'!$GN$2:$GN$6,MIN(5,'DADOS_FORMAS'!$HR4+2)),IF('DADOS_FORMAS'!$HN4="comprimento",INDEX('DADOS_FORMAS'!$GP$2:$GP$6,MIN(5,'DADOS_FORMAS'!$HR4+2)),'DADOS_FORMAS'!$HO4)))&amp;SUBSTITUTE('DADOS_FORMAS'!$HQ4,"em você","nela"))),UPPER(LEFT(trecho,1))&amp;MID(trecho,2,LEN(trecho)))</f>
        <v/>
      </c>
      <c r="HX43">
        <f>LET(trecho,IF(OR('DADOS_FORMAS'!$AH12="",'DADOS_FORMAS'!$HM4="",'DADOS_FORMAS'!$HO4=""),"",IF('DADOS_FORMAS'!$HO4="—","—",'DADOS_FORMAS'!$HP4&amp;IF('DADOS_FORMAS'!$HN4="alcance",INDEX('DADOS_FORMAS'!$GL$2:$GL$7,MIN(6,'DADOS_FORMAS'!$HR4+3)),IF('DADOS_FORMAS'!$HN4="raio",INDEX('DADOS_FORMAS'!$GN$2:$GN$6,MIN(5,'DADOS_FORMAS'!$HR4+3)),IF('DADOS_FORMAS'!$HN4="comprimento",INDEX('DADOS_FORMAS'!$GP$2:$GP$6,MIN(5,'DADOS_FORMAS'!$HR4+3)),'DADOS_FORMAS'!$HO4)))&amp;SUBSTITUTE('DADOS_FORMAS'!$HQ4,"em você","nela"))),UPPER(LEFT(trecho,1))&amp;MID(trecho,2,LEN(trecho)))</f>
        <v/>
      </c>
      <c r="HY43">
        <f>LET(trecho,IF(OR('DADOS_FORMAS'!$AH12="",'DADOS_FORMAS'!$HM4="",'DADOS_FORMAS'!$HO4=""),"",IF('DADOS_FORMAS'!$HO4="—","—",'DADOS_FORMAS'!$HP4&amp;IF('DADOS_FORMAS'!$HN4="alcance",INDEX('DADOS_FORMAS'!$GL$2:$GL$7,MIN(6,'DADOS_FORMAS'!$HR4+4)),IF('DADOS_FORMAS'!$HN4="raio",INDEX('DADOS_FORMAS'!$GN$2:$GN$6,MIN(5,'DADOS_FORMAS'!$HR4+4)),IF('DADOS_FORMAS'!$HN4="comprimento",INDEX('DADOS_FORMAS'!$GP$2:$GP$6,MIN(5,'DADOS_FORMAS'!$HR4+4)),'DADOS_FORMAS'!$HO4)))&amp;SUBSTITUTE('DADOS_FORMAS'!$HQ4,"em você","nela"))),UPPER(LEFT(trecho,1))&amp;MID(trecho,2,LEN(trecho)))</f>
        <v/>
      </c>
      <c r="HZ43">
        <f>LET(trecho,IF(OR('DADOS_FORMAS'!$AH12="",'DADOS_FORMAS'!$HM4="",'DADOS_FORMAS'!$HO4=""),"",IF('DADOS_FORMAS'!$HO4="—","—",'DADOS_FORMAS'!$HP4&amp;IF('DADOS_FORMAS'!$HN4="alcance",INDEX('DADOS_FORMAS'!$GL$2:$GL$7,MIN(6,'DADOS_FORMAS'!$HR4+5)),IF('DADOS_FORMAS'!$HN4="raio",INDEX('DADOS_FORMAS'!$GN$2:$GN$6,MIN(5,'DADOS_FORMAS'!$HR4+5)),IF('DADOS_FORMAS'!$HN4="comprimento",INDEX('DADOS_FORMAS'!$GP$2:$GP$6,MIN(5,'DADOS_FORMAS'!$HR4+5)),'DADOS_FORMAS'!$HO4)))&amp;SUBSTITUTE('DADOS_FORMAS'!$HQ4,"em você","nela"))),UPPER(LEFT(trecho,1))&amp;MID(trecho,2,LEN(trecho)))</f>
        <v/>
      </c>
      <c r="IA43">
        <f>IF(OR('DADOS_FORMAS'!$AH12="",'DADOS_FORMAS'!$HM5="",'DADOS_FORMAS'!$HO5=""),"",IF('DADOS_FORMAS'!$HO5="—","—",'DADOS_FORMAS'!$HP5&amp;'DADOS_FORMAS'!$HO5&amp;SUBSTITUTE('DADOS_FORMAS'!$HQ5,"em você","nela")))</f>
        <v/>
      </c>
      <c r="IB43">
        <f>IF(OR('DADOS_FORMAS'!$AH12="",'DADOS_FORMAS'!$HM5="",'DADOS_FORMAS'!$HO5=""),"",IF('DADOS_FORMAS'!$HO5="—","—",'DADOS_FORMAS'!$HP5&amp;IF('DADOS_FORMAS'!$HN5="alcance",INDEX('DADOS_FORMAS'!$GL$2:$GL$7,MIN(6,'DADOS_FORMAS'!$HR5+1)),IF('DADOS_FORMAS'!$HN5="raio",INDEX('DADOS_FORMAS'!$GN$2:$GN$6,MIN(5,'DADOS_FORMAS'!$HR5+1)),IF('DADOS_FORMAS'!$HN5="comprimento",INDEX('DADOS_FORMAS'!$GP$2:$GP$6,MIN(5,'DADOS_FORMAS'!$HR5+1)),'DADOS_FORMAS'!$HO5)))&amp;SUBSTITUTE('DADOS_FORMAS'!$HQ5,"em você","nela")))</f>
        <v/>
      </c>
      <c r="IC43">
        <f>IF(OR('DADOS_FORMAS'!$AH12="",'DADOS_FORMAS'!$HM5="",'DADOS_FORMAS'!$HO5=""),"",IF('DADOS_FORMAS'!$HO5="—","—",'DADOS_FORMAS'!$HP5&amp;IF('DADOS_FORMAS'!$HN5="alcance",INDEX('DADOS_FORMAS'!$GL$2:$GL$7,MIN(6,'DADOS_FORMAS'!$HR5+2)),IF('DADOS_FORMAS'!$HN5="raio",INDEX('DADOS_FORMAS'!$GN$2:$GN$6,MIN(5,'DADOS_FORMAS'!$HR5+2)),IF('DADOS_FORMAS'!$HN5="comprimento",INDEX('DADOS_FORMAS'!$GP$2:$GP$6,MIN(5,'DADOS_FORMAS'!$HR5+2)),'DADOS_FORMAS'!$HO5)))&amp;SUBSTITUTE('DADOS_FORMAS'!$HQ5,"em você","nela")))</f>
        <v/>
      </c>
      <c r="ID43">
        <f>IF(OR('DADOS_FORMAS'!$AH12="",'DADOS_FORMAS'!$HM5="",'DADOS_FORMAS'!$HO5=""),"",IF('DADOS_FORMAS'!$HO5="—","—",'DADOS_FORMAS'!$HP5&amp;IF('DADOS_FORMAS'!$HN5="alcance",INDEX('DADOS_FORMAS'!$GL$2:$GL$7,MIN(6,'DADOS_FORMAS'!$HR5+3)),IF('DADOS_FORMAS'!$HN5="raio",INDEX('DADOS_FORMAS'!$GN$2:$GN$6,MIN(5,'DADOS_FORMAS'!$HR5+3)),IF('DADOS_FORMAS'!$HN5="comprimento",INDEX('DADOS_FORMAS'!$GP$2:$GP$6,MIN(5,'DADOS_FORMAS'!$HR5+3)),'DADOS_FORMAS'!$HO5)))&amp;SUBSTITUTE('DADOS_FORMAS'!$HQ5,"em você","nela")))</f>
        <v/>
      </c>
      <c r="IE43">
        <f>IF(OR('DADOS_FORMAS'!$AH12="",'DADOS_FORMAS'!$HM5="",'DADOS_FORMAS'!$HO5=""),"",IF('DADOS_FORMAS'!$HO5="—","—",'DADOS_FORMAS'!$HP5&amp;IF('DADOS_FORMAS'!$HN5="alcance",INDEX('DADOS_FORMAS'!$GL$2:$GL$7,MIN(6,'DADOS_FORMAS'!$HR5+4)),IF('DADOS_FORMAS'!$HN5="raio",INDEX('DADOS_FORMAS'!$GN$2:$GN$6,MIN(5,'DADOS_FORMAS'!$HR5+4)),IF('DADOS_FORMAS'!$HN5="comprimento",INDEX('DADOS_FORMAS'!$GP$2:$GP$6,MIN(5,'DADOS_FORMAS'!$HR5+4)),'DADOS_FORMAS'!$HO5)))&amp;SUBSTITUTE('DADOS_FORMAS'!$HQ5,"em você","nela")))</f>
        <v/>
      </c>
      <c r="IF43">
        <f>IF(OR('DADOS_FORMAS'!$AH12="",'DADOS_FORMAS'!$HM5="",'DADOS_FORMAS'!$HO5=""),"",IF('DADOS_FORMAS'!$HO5="—","—",'DADOS_FORMAS'!$HP5&amp;IF('DADOS_FORMAS'!$HN5="alcance",INDEX('DADOS_FORMAS'!$GL$2:$GL$7,MIN(6,'DADOS_FORMAS'!$HR5+5)),IF('DADOS_FORMAS'!$HN5="raio",INDEX('DADOS_FORMAS'!$GN$2:$GN$6,MIN(5,'DADOS_FORMAS'!$HR5+5)),IF('DADOS_FORMAS'!$HN5="comprimento",INDEX('DADOS_FORMAS'!$GP$2:$GP$6,MIN(5,'DADOS_FORMAS'!$HR5+5)),'DADOS_FORMAS'!$HO5)))&amp;SUBSTITUTE('DADOS_FORMAS'!$HQ5,"em você","nela")))</f>
        <v/>
      </c>
      <c r="KA43">
        <f>IFERROR(INDEX(INDEX('DADOS_RESTRICOES'!$M$2:$Q$54,0,1),41),"")</f>
        <v/>
      </c>
    </row>
    <row r="44">
      <c r="GR44">
        <f>'DADOS_FORMAS'!$BL19</f>
        <v/>
      </c>
      <c r="GS44">
        <f>IF('DADOS_FORMAS'!$BL19="area",'DADOS_FORMAS'!$AU19,'DADOS_FORMAS'!$AT19)</f>
        <v/>
      </c>
      <c r="GT44">
        <f>IF('DADOS_FORMAS'!$BL19="area",'DADOS_FORMAS'!$BC19,'DADOS_FORMAS'!$AV19)</f>
        <v/>
      </c>
      <c r="GU44">
        <f>'DADOS_FORMAS'!$BM19</f>
        <v/>
      </c>
      <c r="GV44">
        <f>'DADOS_FORMAS'!$BN19</f>
        <v/>
      </c>
      <c r="GW44">
        <f>LET(base,'DADOS_FORMAS'!$GT44,escada,'DADOS_FORMAS'!$GS44,medida,LEFT(base,MAX(0,LEN(base)-2)),valor,IFERROR(VALUE(SUBSTITUTE(medida,",",""))/10^IFERROR(LEN(medida)-FIND(",",medida),0),1E99),IF(OR(escada="Fixo",base="—"),base,IF(escada="alcance",IFERROR(MATCH(base,{"1,5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4">
        <f>'DADOS_FORMAS'!$AH16&amp;" · classe 0"</f>
        <v/>
      </c>
      <c r="GZ44">
        <f>LET(trecho,IF(OR('DADOS_FORMAS'!$AH16="",'DADOS_FORMAS'!$GR26="",'DADOS_FORMAS'!$GT26=""),"",IF('DADOS_FORMAS'!$GT26="—","—",'DADOS_FORMAS'!$GU26&amp;'DADOS_FORMAS'!$GT26&amp;'DADOS_FORMAS'!$GV26)),UPPER(LEFT(trecho,1))&amp;MID(trecho,2,LEN(trecho)))</f>
        <v/>
      </c>
      <c r="HA44">
        <f>LET(trecho,IF(OR('DADOS_FORMAS'!$AH16="",'DADOS_FORMAS'!$GR26="",'DADOS_FORMAS'!$GT26=""),"",IF('DADOS_FORMAS'!$GT26="—","—",'DADOS_FORMAS'!$GU26&amp;IF('DADOS_FORMAS'!$GS26="alcance",INDEX('DADOS_FORMAS'!$GL$2:$GL$7,MIN(6,'DADOS_FORMAS'!$GW26+1)),IF('DADOS_FORMAS'!$GS26="raio",INDEX('DADOS_FORMAS'!$GN$2:$GN$6,MIN(5,'DADOS_FORMAS'!$GW26+1)),IF('DADOS_FORMAS'!$GS26="comprimento",INDEX('DADOS_FORMAS'!$GP$2:$GP$6,MIN(5,'DADOS_FORMAS'!$GW26+1)),'DADOS_FORMAS'!$GT26)))&amp;'DADOS_FORMAS'!$GV26)),UPPER(LEFT(trecho,1))&amp;MID(trecho,2,LEN(trecho)))</f>
        <v/>
      </c>
      <c r="HB44">
        <f>LET(trecho,IF(OR('DADOS_FORMAS'!$AH16="",'DADOS_FORMAS'!$GR26="",'DADOS_FORMAS'!$GT26=""),"",IF('DADOS_FORMAS'!$GT26="—","—",'DADOS_FORMAS'!$GU26&amp;IF('DADOS_FORMAS'!$GS26="alcance",INDEX('DADOS_FORMAS'!$GL$2:$GL$7,MIN(6,'DADOS_FORMAS'!$GW26+2)),IF('DADOS_FORMAS'!$GS26="raio",INDEX('DADOS_FORMAS'!$GN$2:$GN$6,MIN(5,'DADOS_FORMAS'!$GW26+2)),IF('DADOS_FORMAS'!$GS26="comprimento",INDEX('DADOS_FORMAS'!$GP$2:$GP$6,MIN(5,'DADOS_FORMAS'!$GW26+2)),'DADOS_FORMAS'!$GT26)))&amp;'DADOS_FORMAS'!$GV26)),UPPER(LEFT(trecho,1))&amp;MID(trecho,2,LEN(trecho)))</f>
        <v/>
      </c>
      <c r="HC44">
        <f>LET(trecho,IF(OR('DADOS_FORMAS'!$AH16="",'DADOS_FORMAS'!$GR26="",'DADOS_FORMAS'!$GT26=""),"",IF('DADOS_FORMAS'!$GT26="—","—",'DADOS_FORMAS'!$GU26&amp;IF('DADOS_FORMAS'!$GS26="alcance",INDEX('DADOS_FORMAS'!$GL$2:$GL$7,MIN(6,'DADOS_FORMAS'!$GW26+3)),IF('DADOS_FORMAS'!$GS26="raio",INDEX('DADOS_FORMAS'!$GN$2:$GN$6,MIN(5,'DADOS_FORMAS'!$GW26+3)),IF('DADOS_FORMAS'!$GS26="comprimento",INDEX('DADOS_FORMAS'!$GP$2:$GP$6,MIN(5,'DADOS_FORMAS'!$GW26+3)),'DADOS_FORMAS'!$GT26)))&amp;'DADOS_FORMAS'!$GV26)),UPPER(LEFT(trecho,1))&amp;MID(trecho,2,LEN(trecho)))</f>
        <v/>
      </c>
      <c r="HD44">
        <f>LET(trecho,IF(OR('DADOS_FORMAS'!$AH16="",'DADOS_FORMAS'!$GR26="",'DADOS_FORMAS'!$GT26=""),"",IF('DADOS_FORMAS'!$GT26="—","—",'DADOS_FORMAS'!$GU26&amp;IF('DADOS_FORMAS'!$GS26="alcance",INDEX('DADOS_FORMAS'!$GL$2:$GL$7,MIN(6,'DADOS_FORMAS'!$GW26+4)),IF('DADOS_FORMAS'!$GS26="raio",INDEX('DADOS_FORMAS'!$GN$2:$GN$6,MIN(5,'DADOS_FORMAS'!$GW26+4)),IF('DADOS_FORMAS'!$GS26="comprimento",INDEX('DADOS_FORMAS'!$GP$2:$GP$6,MIN(5,'DADOS_FORMAS'!$GW26+4)),'DADOS_FORMAS'!$GT26)))&amp;'DADOS_FORMAS'!$GV26)),UPPER(LEFT(trecho,1))&amp;MID(trecho,2,LEN(trecho)))</f>
        <v/>
      </c>
      <c r="HE44">
        <f>LET(trecho,IF(OR('DADOS_FORMAS'!$AH16="",'DADOS_FORMAS'!$GR26="",'DADOS_FORMAS'!$GT26=""),"",IF('DADOS_FORMAS'!$GT26="—","—",'DADOS_FORMAS'!$GU26&amp;IF('DADOS_FORMAS'!$GS26="alcance",INDEX('DADOS_FORMAS'!$GL$2:$GL$7,MIN(6,'DADOS_FORMAS'!$GW26+5)),IF('DADOS_FORMAS'!$GS26="raio",INDEX('DADOS_FORMAS'!$GN$2:$GN$6,MIN(5,'DADOS_FORMAS'!$GW26+5)),IF('DADOS_FORMAS'!$GS26="comprimento",INDEX('DADOS_FORMAS'!$GP$2:$GP$6,MIN(5,'DADOS_FORMAS'!$GW26+5)),'DADOS_FORMAS'!$GT26)))&amp;'DADOS_FORMAS'!$GV26)),UPPER(LEFT(trecho,1))&amp;MID(trecho,2,LEN(trecho)))</f>
        <v/>
      </c>
      <c r="HF44">
        <f>IF(OR('DADOS_FORMAS'!$AH16="",'DADOS_FORMAS'!$GR27="",'DADOS_FORMAS'!$GT27=""),"",IF('DADOS_FORMAS'!$GT27="—","—",'DADOS_FORMAS'!$GU27&amp;'DADOS_FORMAS'!$GT27&amp;'DADOS_FORMAS'!$GV27))</f>
        <v/>
      </c>
      <c r="HG44">
        <f>IF(OR('DADOS_FORMAS'!$AH16="",'DADOS_FORMAS'!$GR27="",'DADOS_FORMAS'!$GT27=""),"",IF('DADOS_FORMAS'!$GT27="—","—",'DADOS_FORMAS'!$GU27&amp;IF('DADOS_FORMAS'!$GS27="alcance",INDEX('DADOS_FORMAS'!$GL$2:$GL$7,MIN(6,'DADOS_FORMAS'!$GW27+1)),IF('DADOS_FORMAS'!$GS27="raio",INDEX('DADOS_FORMAS'!$GN$2:$GN$6,MIN(5,'DADOS_FORMAS'!$GW27+1)),IF('DADOS_FORMAS'!$GS27="comprimento",INDEX('DADOS_FORMAS'!$GP$2:$GP$6,MIN(5,'DADOS_FORMAS'!$GW27+1)),'DADOS_FORMAS'!$GT27)))&amp;'DADOS_FORMAS'!$GV27))</f>
        <v/>
      </c>
      <c r="HH44">
        <f>IF(OR('DADOS_FORMAS'!$AH16="",'DADOS_FORMAS'!$GR27="",'DADOS_FORMAS'!$GT27=""),"",IF('DADOS_FORMAS'!$GT27="—","—",'DADOS_FORMAS'!$GU27&amp;IF('DADOS_FORMAS'!$GS27="alcance",INDEX('DADOS_FORMAS'!$GL$2:$GL$7,MIN(6,'DADOS_FORMAS'!$GW27+2)),IF('DADOS_FORMAS'!$GS27="raio",INDEX('DADOS_FORMAS'!$GN$2:$GN$6,MIN(5,'DADOS_FORMAS'!$GW27+2)),IF('DADOS_FORMAS'!$GS27="comprimento",INDEX('DADOS_FORMAS'!$GP$2:$GP$6,MIN(5,'DADOS_FORMAS'!$GW27+2)),'DADOS_FORMAS'!$GT27)))&amp;'DADOS_FORMAS'!$GV27))</f>
        <v/>
      </c>
      <c r="HI44">
        <f>IF(OR('DADOS_FORMAS'!$AH16="",'DADOS_FORMAS'!$GR27="",'DADOS_FORMAS'!$GT27=""),"",IF('DADOS_FORMAS'!$GT27="—","—",'DADOS_FORMAS'!$GU27&amp;IF('DADOS_FORMAS'!$GS27="alcance",INDEX('DADOS_FORMAS'!$GL$2:$GL$7,MIN(6,'DADOS_FORMAS'!$GW27+3)),IF('DADOS_FORMAS'!$GS27="raio",INDEX('DADOS_FORMAS'!$GN$2:$GN$6,MIN(5,'DADOS_FORMAS'!$GW27+3)),IF('DADOS_FORMAS'!$GS27="comprimento",INDEX('DADOS_FORMAS'!$GP$2:$GP$6,MIN(5,'DADOS_FORMAS'!$GW27+3)),'DADOS_FORMAS'!$GT27)))&amp;'DADOS_FORMAS'!$GV27))</f>
        <v/>
      </c>
      <c r="HJ44">
        <f>IF(OR('DADOS_FORMAS'!$AH16="",'DADOS_FORMAS'!$GR27="",'DADOS_FORMAS'!$GT27=""),"",IF('DADOS_FORMAS'!$GT27="—","—",'DADOS_FORMAS'!$GU27&amp;IF('DADOS_FORMAS'!$GS27="alcance",INDEX('DADOS_FORMAS'!$GL$2:$GL$7,MIN(6,'DADOS_FORMAS'!$GW27+4)),IF('DADOS_FORMAS'!$GS27="raio",INDEX('DADOS_FORMAS'!$GN$2:$GN$6,MIN(5,'DADOS_FORMAS'!$GW27+4)),IF('DADOS_FORMAS'!$GS27="comprimento",INDEX('DADOS_FORMAS'!$GP$2:$GP$6,MIN(5,'DADOS_FORMAS'!$GW27+4)),'DADOS_FORMAS'!$GT27)))&amp;'DADOS_FORMAS'!$GV27))</f>
        <v/>
      </c>
      <c r="HK44">
        <f>IF(OR('DADOS_FORMAS'!$AH16="",'DADOS_FORMAS'!$GR27="",'DADOS_FORMAS'!$GT27=""),"",IF('DADOS_FORMAS'!$GT27="—","—",'DADOS_FORMAS'!$GU27&amp;IF('DADOS_FORMAS'!$GS27="alcance",INDEX('DADOS_FORMAS'!$GL$2:$GL$7,MIN(6,'DADOS_FORMAS'!$GW27+5)),IF('DADOS_FORMAS'!$GS27="raio",INDEX('DADOS_FORMAS'!$GN$2:$GN$6,MIN(5,'DADOS_FORMAS'!$GW27+5)),IF('DADOS_FORMAS'!$GS27="comprimento",INDEX('DADOS_FORMAS'!$GP$2:$GP$6,MIN(5,'DADOS_FORMAS'!$GW27+5)),'DADOS_FORMAS'!$GT27)))&amp;'DADOS_FORMAS'!$GV27))</f>
        <v/>
      </c>
      <c r="HM44">
        <f>'DADOS_FORMAS'!$BL17</f>
        <v/>
      </c>
      <c r="HN44">
        <f>IF('DADOS_FORMAS'!$BL17="area",'DADOS_FORMAS'!$AU17,'DADOS_FORMAS'!$AT17)</f>
        <v/>
      </c>
      <c r="HO44">
        <f>IF('DADOS_FORMAS'!$BL17="area",'DADOS_FORMAS'!$BG17,'DADOS_FORMAS'!$AZ17)</f>
        <v/>
      </c>
      <c r="HP44">
        <f>'DADOS_FORMAS'!$BM17</f>
        <v/>
      </c>
      <c r="HQ44">
        <f>'DADOS_FORMAS'!$BN17</f>
        <v/>
      </c>
      <c r="HR44">
        <f>LET(base,'DADOS_FORMAS'!$HO44,escada,'DADOS_FORMAS'!$HN44,medida,LEFT(base,MAX(0,LEN(base)-2)),valor,IFERROR(VALUE(SUBSTITUTE(medida,",",""))/10^IFERROR(LEN(medida)-FIND(",",medida),0),1E99),IF(OR(escada="Fixo",base="—"),base,IF(escada="alcance",IFERROR(MATCH(base,{"1,5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4">
        <f>'DADOS_FORMAS'!$AH12&amp;" · classe 6"</f>
        <v/>
      </c>
      <c r="HU44">
        <f>LET(trecho,IF(OR('DADOS_FORMAS'!$AH12="",'DADOS_FORMAS'!$HM6="",'DADOS_FORMAS'!$HO6=""),"",IF('DADOS_FORMAS'!$HO6="—","—",'DADOS_FORMAS'!$HP6&amp;'DADOS_FORMAS'!$HO6&amp;SUBSTITUTE('DADOS_FORMAS'!$HQ6,"em você","nela"))),UPPER(LEFT(trecho,1))&amp;MID(trecho,2,LEN(trecho)))</f>
        <v/>
      </c>
      <c r="HV44">
        <f>LET(trecho,IF(OR('DADOS_FORMAS'!$AH12="",'DADOS_FORMAS'!$HM6="",'DADOS_FORMAS'!$HO6=""),"",IF('DADOS_FORMAS'!$HO6="—","—",'DADOS_FORMAS'!$HP6&amp;IF('DADOS_FORMAS'!$HN6="alcance",INDEX('DADOS_FORMAS'!$GL$2:$GL$7,MIN(6,'DADOS_FORMAS'!$HR6+1)),IF('DADOS_FORMAS'!$HN6="raio",INDEX('DADOS_FORMAS'!$GN$2:$GN$6,MIN(5,'DADOS_FORMAS'!$HR6+1)),IF('DADOS_FORMAS'!$HN6="comprimento",INDEX('DADOS_FORMAS'!$GP$2:$GP$6,MIN(5,'DADOS_FORMAS'!$HR6+1)),'DADOS_FORMAS'!$HO6)))&amp;SUBSTITUTE('DADOS_FORMAS'!$HQ6,"em você","nela"))),UPPER(LEFT(trecho,1))&amp;MID(trecho,2,LEN(trecho)))</f>
        <v/>
      </c>
      <c r="HW44">
        <f>LET(trecho,IF(OR('DADOS_FORMAS'!$AH12="",'DADOS_FORMAS'!$HM6="",'DADOS_FORMAS'!$HO6=""),"",IF('DADOS_FORMAS'!$HO6="—","—",'DADOS_FORMAS'!$HP6&amp;IF('DADOS_FORMAS'!$HN6="alcance",INDEX('DADOS_FORMAS'!$GL$2:$GL$7,MIN(6,'DADOS_FORMAS'!$HR6+2)),IF('DADOS_FORMAS'!$HN6="raio",INDEX('DADOS_FORMAS'!$GN$2:$GN$6,MIN(5,'DADOS_FORMAS'!$HR6+2)),IF('DADOS_FORMAS'!$HN6="comprimento",INDEX('DADOS_FORMAS'!$GP$2:$GP$6,MIN(5,'DADOS_FORMAS'!$HR6+2)),'DADOS_FORMAS'!$HO6)))&amp;SUBSTITUTE('DADOS_FORMAS'!$HQ6,"em você","nela"))),UPPER(LEFT(trecho,1))&amp;MID(trecho,2,LEN(trecho)))</f>
        <v/>
      </c>
      <c r="HX44">
        <f>LET(trecho,IF(OR('DADOS_FORMAS'!$AH12="",'DADOS_FORMAS'!$HM6="",'DADOS_FORMAS'!$HO6=""),"",IF('DADOS_FORMAS'!$HO6="—","—",'DADOS_FORMAS'!$HP6&amp;IF('DADOS_FORMAS'!$HN6="alcance",INDEX('DADOS_FORMAS'!$GL$2:$GL$7,MIN(6,'DADOS_FORMAS'!$HR6+3)),IF('DADOS_FORMAS'!$HN6="raio",INDEX('DADOS_FORMAS'!$GN$2:$GN$6,MIN(5,'DADOS_FORMAS'!$HR6+3)),IF('DADOS_FORMAS'!$HN6="comprimento",INDEX('DADOS_FORMAS'!$GP$2:$GP$6,MIN(5,'DADOS_FORMAS'!$HR6+3)),'DADOS_FORMAS'!$HO6)))&amp;SUBSTITUTE('DADOS_FORMAS'!$HQ6,"em você","nela"))),UPPER(LEFT(trecho,1))&amp;MID(trecho,2,LEN(trecho)))</f>
        <v/>
      </c>
      <c r="HY44">
        <f>LET(trecho,IF(OR('DADOS_FORMAS'!$AH12="",'DADOS_FORMAS'!$HM6="",'DADOS_FORMAS'!$HO6=""),"",IF('DADOS_FORMAS'!$HO6="—","—",'DADOS_FORMAS'!$HP6&amp;IF('DADOS_FORMAS'!$HN6="alcance",INDEX('DADOS_FORMAS'!$GL$2:$GL$7,MIN(6,'DADOS_FORMAS'!$HR6+4)),IF('DADOS_FORMAS'!$HN6="raio",INDEX('DADOS_FORMAS'!$GN$2:$GN$6,MIN(5,'DADOS_FORMAS'!$HR6+4)),IF('DADOS_FORMAS'!$HN6="comprimento",INDEX('DADOS_FORMAS'!$GP$2:$GP$6,MIN(5,'DADOS_FORMAS'!$HR6+4)),'DADOS_FORMAS'!$HO6)))&amp;SUBSTITUTE('DADOS_FORMAS'!$HQ6,"em você","nela"))),UPPER(LEFT(trecho,1))&amp;MID(trecho,2,LEN(trecho)))</f>
        <v/>
      </c>
      <c r="HZ44">
        <f>LET(trecho,IF(OR('DADOS_FORMAS'!$AH12="",'DADOS_FORMAS'!$HM6="",'DADOS_FORMAS'!$HO6=""),"",IF('DADOS_FORMAS'!$HO6="—","—",'DADOS_FORMAS'!$HP6&amp;IF('DADOS_FORMAS'!$HN6="alcance",INDEX('DADOS_FORMAS'!$GL$2:$GL$7,MIN(6,'DADOS_FORMAS'!$HR6+5)),IF('DADOS_FORMAS'!$HN6="raio",INDEX('DADOS_FORMAS'!$GN$2:$GN$6,MIN(5,'DADOS_FORMAS'!$HR6+5)),IF('DADOS_FORMAS'!$HN6="comprimento",INDEX('DADOS_FORMAS'!$GP$2:$GP$6,MIN(5,'DADOS_FORMAS'!$HR6+5)),'DADOS_FORMAS'!$HO6)))&amp;SUBSTITUTE('DADOS_FORMAS'!$HQ6,"em você","nela"))),UPPER(LEFT(trecho,1))&amp;MID(trecho,2,LEN(trecho)))</f>
        <v/>
      </c>
      <c r="IA44">
        <f>IF(OR('DADOS_FORMAS'!$AH12="",'DADOS_FORMAS'!$HM7="",'DADOS_FORMAS'!$HO7=""),"",IF('DADOS_FORMAS'!$HO7="—","—",'DADOS_FORMAS'!$HP7&amp;'DADOS_FORMAS'!$HO7&amp;SUBSTITUTE('DADOS_FORMAS'!$HQ7,"em você","nela")))</f>
        <v/>
      </c>
      <c r="IB44">
        <f>IF(OR('DADOS_FORMAS'!$AH12="",'DADOS_FORMAS'!$HM7="",'DADOS_FORMAS'!$HO7=""),"",IF('DADOS_FORMAS'!$HO7="—","—",'DADOS_FORMAS'!$HP7&amp;IF('DADOS_FORMAS'!$HN7="alcance",INDEX('DADOS_FORMAS'!$GL$2:$GL$7,MIN(6,'DADOS_FORMAS'!$HR7+1)),IF('DADOS_FORMAS'!$HN7="raio",INDEX('DADOS_FORMAS'!$GN$2:$GN$6,MIN(5,'DADOS_FORMAS'!$HR7+1)),IF('DADOS_FORMAS'!$HN7="comprimento",INDEX('DADOS_FORMAS'!$GP$2:$GP$6,MIN(5,'DADOS_FORMAS'!$HR7+1)),'DADOS_FORMAS'!$HO7)))&amp;SUBSTITUTE('DADOS_FORMAS'!$HQ7,"em você","nela")))</f>
        <v/>
      </c>
      <c r="IC44">
        <f>IF(OR('DADOS_FORMAS'!$AH12="",'DADOS_FORMAS'!$HM7="",'DADOS_FORMAS'!$HO7=""),"",IF('DADOS_FORMAS'!$HO7="—","—",'DADOS_FORMAS'!$HP7&amp;IF('DADOS_FORMAS'!$HN7="alcance",INDEX('DADOS_FORMAS'!$GL$2:$GL$7,MIN(6,'DADOS_FORMAS'!$HR7+2)),IF('DADOS_FORMAS'!$HN7="raio",INDEX('DADOS_FORMAS'!$GN$2:$GN$6,MIN(5,'DADOS_FORMAS'!$HR7+2)),IF('DADOS_FORMAS'!$HN7="comprimento",INDEX('DADOS_FORMAS'!$GP$2:$GP$6,MIN(5,'DADOS_FORMAS'!$HR7+2)),'DADOS_FORMAS'!$HO7)))&amp;SUBSTITUTE('DADOS_FORMAS'!$HQ7,"em você","nela")))</f>
        <v/>
      </c>
      <c r="ID44">
        <f>IF(OR('DADOS_FORMAS'!$AH12="",'DADOS_FORMAS'!$HM7="",'DADOS_FORMAS'!$HO7=""),"",IF('DADOS_FORMAS'!$HO7="—","—",'DADOS_FORMAS'!$HP7&amp;IF('DADOS_FORMAS'!$HN7="alcance",INDEX('DADOS_FORMAS'!$GL$2:$GL$7,MIN(6,'DADOS_FORMAS'!$HR7+3)),IF('DADOS_FORMAS'!$HN7="raio",INDEX('DADOS_FORMAS'!$GN$2:$GN$6,MIN(5,'DADOS_FORMAS'!$HR7+3)),IF('DADOS_FORMAS'!$HN7="comprimento",INDEX('DADOS_FORMAS'!$GP$2:$GP$6,MIN(5,'DADOS_FORMAS'!$HR7+3)),'DADOS_FORMAS'!$HO7)))&amp;SUBSTITUTE('DADOS_FORMAS'!$HQ7,"em você","nela")))</f>
        <v/>
      </c>
      <c r="IE44">
        <f>IF(OR('DADOS_FORMAS'!$AH12="",'DADOS_FORMAS'!$HM7="",'DADOS_FORMAS'!$HO7=""),"",IF('DADOS_FORMAS'!$HO7="—","—",'DADOS_FORMAS'!$HP7&amp;IF('DADOS_FORMAS'!$HN7="alcance",INDEX('DADOS_FORMAS'!$GL$2:$GL$7,MIN(6,'DADOS_FORMAS'!$HR7+4)),IF('DADOS_FORMAS'!$HN7="raio",INDEX('DADOS_FORMAS'!$GN$2:$GN$6,MIN(5,'DADOS_FORMAS'!$HR7+4)),IF('DADOS_FORMAS'!$HN7="comprimento",INDEX('DADOS_FORMAS'!$GP$2:$GP$6,MIN(5,'DADOS_FORMAS'!$HR7+4)),'DADOS_FORMAS'!$HO7)))&amp;SUBSTITUTE('DADOS_FORMAS'!$HQ7,"em você","nela")))</f>
        <v/>
      </c>
      <c r="IF44">
        <f>IF(OR('DADOS_FORMAS'!$AH12="",'DADOS_FORMAS'!$HM7="",'DADOS_FORMAS'!$HO7=""),"",IF('DADOS_FORMAS'!$HO7="—","—",'DADOS_FORMAS'!$HP7&amp;IF('DADOS_FORMAS'!$HN7="alcance",INDEX('DADOS_FORMAS'!$GL$2:$GL$7,MIN(6,'DADOS_FORMAS'!$HR7+5)),IF('DADOS_FORMAS'!$HN7="raio",INDEX('DADOS_FORMAS'!$GN$2:$GN$6,MIN(5,'DADOS_FORMAS'!$HR7+5)),IF('DADOS_FORMAS'!$HN7="comprimento",INDEX('DADOS_FORMAS'!$GP$2:$GP$6,MIN(5,'DADOS_FORMAS'!$HR7+5)),'DADOS_FORMAS'!$HO7)))&amp;SUBSTITUTE('DADOS_FORMAS'!$HQ7,"em você","nela")))</f>
        <v/>
      </c>
      <c r="KA44">
        <f>IFERROR(INDEX(INDEX('DADOS_RESTRICOES'!$M$2:$Q$54,0,1),42),"")</f>
        <v/>
      </c>
    </row>
    <row r="45">
      <c r="GR45">
        <f>'DADOS_FORMAS'!$BP19</f>
        <v/>
      </c>
      <c r="GS45">
        <f>IF('DADOS_FORMAS'!$BP19="area",'DADOS_FORMAS'!$AU19,'DADOS_FORMAS'!$AT19)</f>
        <v/>
      </c>
      <c r="GT45">
        <f>IF('DADOS_FORMAS'!$BP19="area",'DADOS_FORMAS'!$BC19,'DADOS_FORMAS'!$AV19)</f>
        <v/>
      </c>
      <c r="GU45">
        <f>'DADOS_FORMAS'!$BQ19</f>
        <v/>
      </c>
      <c r="GV45">
        <f>'DADOS_FORMAS'!$BR19</f>
        <v/>
      </c>
      <c r="GW45">
        <f>LET(base,'DADOS_FORMAS'!$GT45,escada,'DADOS_FORMAS'!$GS45,medida,LEFT(base,MAX(0,LEN(base)-2)),valor,IFERROR(VALUE(SUBSTITUTE(medida,",",""))/10^IFERROR(LEN(medida)-FIND(",",medida),0),1E99),IF(OR(escada="Fixo",base="—"),base,IF(escada="alcance",IFERROR(MATCH(base,{"1,5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5">
        <f>'DADOS_FORMAS'!$AH16&amp;" · classes 1 a 5"</f>
        <v/>
      </c>
      <c r="GZ45">
        <f>LET(trecho,IF(OR('DADOS_FORMAS'!$AH16="",'DADOS_FORMAS'!$GR28="",'DADOS_FORMAS'!$GT28=""),"",IF('DADOS_FORMAS'!$GT28="—","—",'DADOS_FORMAS'!$GU28&amp;'DADOS_FORMAS'!$GT28&amp;'DADOS_FORMAS'!$GV28)),UPPER(LEFT(trecho,1))&amp;MID(trecho,2,LEN(trecho)))</f>
        <v/>
      </c>
      <c r="HA45">
        <f>LET(trecho,IF(OR('DADOS_FORMAS'!$AH16="",'DADOS_FORMAS'!$GR28="",'DADOS_FORMAS'!$GT28=""),"",IF('DADOS_FORMAS'!$GT28="—","—",'DADOS_FORMAS'!$GU28&amp;IF('DADOS_FORMAS'!$GS28="alcance",INDEX('DADOS_FORMAS'!$GL$2:$GL$7,MIN(6,'DADOS_FORMAS'!$GW28+1)),IF('DADOS_FORMAS'!$GS28="raio",INDEX('DADOS_FORMAS'!$GN$2:$GN$6,MIN(5,'DADOS_FORMAS'!$GW28+1)),IF('DADOS_FORMAS'!$GS28="comprimento",INDEX('DADOS_FORMAS'!$GP$2:$GP$6,MIN(5,'DADOS_FORMAS'!$GW28+1)),'DADOS_FORMAS'!$GT28)))&amp;'DADOS_FORMAS'!$GV28)),UPPER(LEFT(trecho,1))&amp;MID(trecho,2,LEN(trecho)))</f>
        <v/>
      </c>
      <c r="HB45">
        <f>LET(trecho,IF(OR('DADOS_FORMAS'!$AH16="",'DADOS_FORMAS'!$GR28="",'DADOS_FORMAS'!$GT28=""),"",IF('DADOS_FORMAS'!$GT28="—","—",'DADOS_FORMAS'!$GU28&amp;IF('DADOS_FORMAS'!$GS28="alcance",INDEX('DADOS_FORMAS'!$GL$2:$GL$7,MIN(6,'DADOS_FORMAS'!$GW28+2)),IF('DADOS_FORMAS'!$GS28="raio",INDEX('DADOS_FORMAS'!$GN$2:$GN$6,MIN(5,'DADOS_FORMAS'!$GW28+2)),IF('DADOS_FORMAS'!$GS28="comprimento",INDEX('DADOS_FORMAS'!$GP$2:$GP$6,MIN(5,'DADOS_FORMAS'!$GW28+2)),'DADOS_FORMAS'!$GT28)))&amp;'DADOS_FORMAS'!$GV28)),UPPER(LEFT(trecho,1))&amp;MID(trecho,2,LEN(trecho)))</f>
        <v/>
      </c>
      <c r="HC45">
        <f>LET(trecho,IF(OR('DADOS_FORMAS'!$AH16="",'DADOS_FORMAS'!$GR28="",'DADOS_FORMAS'!$GT28=""),"",IF('DADOS_FORMAS'!$GT28="—","—",'DADOS_FORMAS'!$GU28&amp;IF('DADOS_FORMAS'!$GS28="alcance",INDEX('DADOS_FORMAS'!$GL$2:$GL$7,MIN(6,'DADOS_FORMAS'!$GW28+3)),IF('DADOS_FORMAS'!$GS28="raio",INDEX('DADOS_FORMAS'!$GN$2:$GN$6,MIN(5,'DADOS_FORMAS'!$GW28+3)),IF('DADOS_FORMAS'!$GS28="comprimento",INDEX('DADOS_FORMAS'!$GP$2:$GP$6,MIN(5,'DADOS_FORMAS'!$GW28+3)),'DADOS_FORMAS'!$GT28)))&amp;'DADOS_FORMAS'!$GV28)),UPPER(LEFT(trecho,1))&amp;MID(trecho,2,LEN(trecho)))</f>
        <v/>
      </c>
      <c r="HD45">
        <f>LET(trecho,IF(OR('DADOS_FORMAS'!$AH16="",'DADOS_FORMAS'!$GR28="",'DADOS_FORMAS'!$GT28=""),"",IF('DADOS_FORMAS'!$GT28="—","—",'DADOS_FORMAS'!$GU28&amp;IF('DADOS_FORMAS'!$GS28="alcance",INDEX('DADOS_FORMAS'!$GL$2:$GL$7,MIN(6,'DADOS_FORMAS'!$GW28+4)),IF('DADOS_FORMAS'!$GS28="raio",INDEX('DADOS_FORMAS'!$GN$2:$GN$6,MIN(5,'DADOS_FORMAS'!$GW28+4)),IF('DADOS_FORMAS'!$GS28="comprimento",INDEX('DADOS_FORMAS'!$GP$2:$GP$6,MIN(5,'DADOS_FORMAS'!$GW28+4)),'DADOS_FORMAS'!$GT28)))&amp;'DADOS_FORMAS'!$GV28)),UPPER(LEFT(trecho,1))&amp;MID(trecho,2,LEN(trecho)))</f>
        <v/>
      </c>
      <c r="HE45">
        <f>LET(trecho,IF(OR('DADOS_FORMAS'!$AH16="",'DADOS_FORMAS'!$GR28="",'DADOS_FORMAS'!$GT28=""),"",IF('DADOS_FORMAS'!$GT28="—","—",'DADOS_FORMAS'!$GU28&amp;IF('DADOS_FORMAS'!$GS28="alcance",INDEX('DADOS_FORMAS'!$GL$2:$GL$7,MIN(6,'DADOS_FORMAS'!$GW28+5)),IF('DADOS_FORMAS'!$GS28="raio",INDEX('DADOS_FORMAS'!$GN$2:$GN$6,MIN(5,'DADOS_FORMAS'!$GW28+5)),IF('DADOS_FORMAS'!$GS28="comprimento",INDEX('DADOS_FORMAS'!$GP$2:$GP$6,MIN(5,'DADOS_FORMAS'!$GW28+5)),'DADOS_FORMAS'!$GT28)))&amp;'DADOS_FORMAS'!$GV28)),UPPER(LEFT(trecho,1))&amp;MID(trecho,2,LEN(trecho)))</f>
        <v/>
      </c>
      <c r="HF45">
        <f>IF(OR('DADOS_FORMAS'!$AH16="",'DADOS_FORMAS'!$GR29="",'DADOS_FORMAS'!$GT29=""),"",IF('DADOS_FORMAS'!$GT29="—","—",'DADOS_FORMAS'!$GU29&amp;'DADOS_FORMAS'!$GT29&amp;'DADOS_FORMAS'!$GV29))</f>
        <v/>
      </c>
      <c r="HG45">
        <f>IF(OR('DADOS_FORMAS'!$AH16="",'DADOS_FORMAS'!$GR29="",'DADOS_FORMAS'!$GT29=""),"",IF('DADOS_FORMAS'!$GT29="—","—",'DADOS_FORMAS'!$GU29&amp;IF('DADOS_FORMAS'!$GS29="alcance",INDEX('DADOS_FORMAS'!$GL$2:$GL$7,MIN(6,'DADOS_FORMAS'!$GW29+1)),IF('DADOS_FORMAS'!$GS29="raio",INDEX('DADOS_FORMAS'!$GN$2:$GN$6,MIN(5,'DADOS_FORMAS'!$GW29+1)),IF('DADOS_FORMAS'!$GS29="comprimento",INDEX('DADOS_FORMAS'!$GP$2:$GP$6,MIN(5,'DADOS_FORMAS'!$GW29+1)),'DADOS_FORMAS'!$GT29)))&amp;'DADOS_FORMAS'!$GV29))</f>
        <v/>
      </c>
      <c r="HH45">
        <f>IF(OR('DADOS_FORMAS'!$AH16="",'DADOS_FORMAS'!$GR29="",'DADOS_FORMAS'!$GT29=""),"",IF('DADOS_FORMAS'!$GT29="—","—",'DADOS_FORMAS'!$GU29&amp;IF('DADOS_FORMAS'!$GS29="alcance",INDEX('DADOS_FORMAS'!$GL$2:$GL$7,MIN(6,'DADOS_FORMAS'!$GW29+2)),IF('DADOS_FORMAS'!$GS29="raio",INDEX('DADOS_FORMAS'!$GN$2:$GN$6,MIN(5,'DADOS_FORMAS'!$GW29+2)),IF('DADOS_FORMAS'!$GS29="comprimento",INDEX('DADOS_FORMAS'!$GP$2:$GP$6,MIN(5,'DADOS_FORMAS'!$GW29+2)),'DADOS_FORMAS'!$GT29)))&amp;'DADOS_FORMAS'!$GV29))</f>
        <v/>
      </c>
      <c r="HI45">
        <f>IF(OR('DADOS_FORMAS'!$AH16="",'DADOS_FORMAS'!$GR29="",'DADOS_FORMAS'!$GT29=""),"",IF('DADOS_FORMAS'!$GT29="—","—",'DADOS_FORMAS'!$GU29&amp;IF('DADOS_FORMAS'!$GS29="alcance",INDEX('DADOS_FORMAS'!$GL$2:$GL$7,MIN(6,'DADOS_FORMAS'!$GW29+3)),IF('DADOS_FORMAS'!$GS29="raio",INDEX('DADOS_FORMAS'!$GN$2:$GN$6,MIN(5,'DADOS_FORMAS'!$GW29+3)),IF('DADOS_FORMAS'!$GS29="comprimento",INDEX('DADOS_FORMAS'!$GP$2:$GP$6,MIN(5,'DADOS_FORMAS'!$GW29+3)),'DADOS_FORMAS'!$GT29)))&amp;'DADOS_FORMAS'!$GV29))</f>
        <v/>
      </c>
      <c r="HJ45">
        <f>IF(OR('DADOS_FORMAS'!$AH16="",'DADOS_FORMAS'!$GR29="",'DADOS_FORMAS'!$GT29=""),"",IF('DADOS_FORMAS'!$GT29="—","—",'DADOS_FORMAS'!$GU29&amp;IF('DADOS_FORMAS'!$GS29="alcance",INDEX('DADOS_FORMAS'!$GL$2:$GL$7,MIN(6,'DADOS_FORMAS'!$GW29+4)),IF('DADOS_FORMAS'!$GS29="raio",INDEX('DADOS_FORMAS'!$GN$2:$GN$6,MIN(5,'DADOS_FORMAS'!$GW29+4)),IF('DADOS_FORMAS'!$GS29="comprimento",INDEX('DADOS_FORMAS'!$GP$2:$GP$6,MIN(5,'DADOS_FORMAS'!$GW29+4)),'DADOS_FORMAS'!$GT29)))&amp;'DADOS_FORMAS'!$GV29))</f>
        <v/>
      </c>
      <c r="HK45">
        <f>IF(OR('DADOS_FORMAS'!$AH16="",'DADOS_FORMAS'!$GR29="",'DADOS_FORMAS'!$GT29=""),"",IF('DADOS_FORMAS'!$GT29="—","—",'DADOS_FORMAS'!$GU29&amp;IF('DADOS_FORMAS'!$GS29="alcance",INDEX('DADOS_FORMAS'!$GL$2:$GL$7,MIN(6,'DADOS_FORMAS'!$GW29+5)),IF('DADOS_FORMAS'!$GS29="raio",INDEX('DADOS_FORMAS'!$GN$2:$GN$6,MIN(5,'DADOS_FORMAS'!$GW29+5)),IF('DADOS_FORMAS'!$GS29="comprimento",INDEX('DADOS_FORMAS'!$GP$2:$GP$6,MIN(5,'DADOS_FORMAS'!$GW29+5)),'DADOS_FORMAS'!$GT29)))&amp;'DADOS_FORMAS'!$GV29))</f>
        <v/>
      </c>
      <c r="HM45">
        <f>'DADOS_FORMAS'!$BP17</f>
        <v/>
      </c>
      <c r="HN45">
        <f>IF('DADOS_FORMAS'!$BP17="area",'DADOS_FORMAS'!$AU17,'DADOS_FORMAS'!$AT17)</f>
        <v/>
      </c>
      <c r="HO45">
        <f>IF('DADOS_FORMAS'!$BP17="area",'DADOS_FORMAS'!$BG17,'DADOS_FORMAS'!$AZ17)</f>
        <v/>
      </c>
      <c r="HP45">
        <f>'DADOS_FORMAS'!$BQ17</f>
        <v/>
      </c>
      <c r="HQ45">
        <f>'DADOS_FORMAS'!$BR17</f>
        <v/>
      </c>
      <c r="HR45">
        <f>LET(base,'DADOS_FORMAS'!$HO45,escada,'DADOS_FORMAS'!$HN45,medida,LEFT(base,MAX(0,LEN(base)-2)),valor,IFERROR(VALUE(SUBSTITUTE(medida,",",""))/10^IFERROR(LEN(medida)-FIND(",",medida),0),1E99),IF(OR(escada="Fixo",base="—"),base,IF(escada="alcance",IFERROR(MATCH(base,{"1,5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5">
        <f>'DADOS_FORMAS'!$AH12&amp;" · classe 7"</f>
        <v/>
      </c>
      <c r="HU45">
        <f>LET(trecho,IF(OR('DADOS_FORMAS'!$AH12="",'DADOS_FORMAS'!$HM8="",'DADOS_FORMAS'!$HO8=""),"",IF('DADOS_FORMAS'!$HO8="—","—",'DADOS_FORMAS'!$HP8&amp;'DADOS_FORMAS'!$HO8&amp;SUBSTITUTE('DADOS_FORMAS'!$HQ8,"em você","nela"))),UPPER(LEFT(trecho,1))&amp;MID(trecho,2,LEN(trecho)))</f>
        <v/>
      </c>
      <c r="HV45">
        <f>LET(trecho,IF(OR('DADOS_FORMAS'!$AH12="",'DADOS_FORMAS'!$HM8="",'DADOS_FORMAS'!$HO8=""),"",IF('DADOS_FORMAS'!$HO8="—","—",'DADOS_FORMAS'!$HP8&amp;IF('DADOS_FORMAS'!$HN8="alcance",INDEX('DADOS_FORMAS'!$GL$2:$GL$7,MIN(6,'DADOS_FORMAS'!$HR8+1)),IF('DADOS_FORMAS'!$HN8="raio",INDEX('DADOS_FORMAS'!$GN$2:$GN$6,MIN(5,'DADOS_FORMAS'!$HR8+1)),IF('DADOS_FORMAS'!$HN8="comprimento",INDEX('DADOS_FORMAS'!$GP$2:$GP$6,MIN(5,'DADOS_FORMAS'!$HR8+1)),'DADOS_FORMAS'!$HO8)))&amp;SUBSTITUTE('DADOS_FORMAS'!$HQ8,"em você","nela"))),UPPER(LEFT(trecho,1))&amp;MID(trecho,2,LEN(trecho)))</f>
        <v/>
      </c>
      <c r="HW45">
        <f>LET(trecho,IF(OR('DADOS_FORMAS'!$AH12="",'DADOS_FORMAS'!$HM8="",'DADOS_FORMAS'!$HO8=""),"",IF('DADOS_FORMAS'!$HO8="—","—",'DADOS_FORMAS'!$HP8&amp;IF('DADOS_FORMAS'!$HN8="alcance",INDEX('DADOS_FORMAS'!$GL$2:$GL$7,MIN(6,'DADOS_FORMAS'!$HR8+2)),IF('DADOS_FORMAS'!$HN8="raio",INDEX('DADOS_FORMAS'!$GN$2:$GN$6,MIN(5,'DADOS_FORMAS'!$HR8+2)),IF('DADOS_FORMAS'!$HN8="comprimento",INDEX('DADOS_FORMAS'!$GP$2:$GP$6,MIN(5,'DADOS_FORMAS'!$HR8+2)),'DADOS_FORMAS'!$HO8)))&amp;SUBSTITUTE('DADOS_FORMAS'!$HQ8,"em você","nela"))),UPPER(LEFT(trecho,1))&amp;MID(trecho,2,LEN(trecho)))</f>
        <v/>
      </c>
      <c r="HX45">
        <f>LET(trecho,IF(OR('DADOS_FORMAS'!$AH12="",'DADOS_FORMAS'!$HM8="",'DADOS_FORMAS'!$HO8=""),"",IF('DADOS_FORMAS'!$HO8="—","—",'DADOS_FORMAS'!$HP8&amp;IF('DADOS_FORMAS'!$HN8="alcance",INDEX('DADOS_FORMAS'!$GL$2:$GL$7,MIN(6,'DADOS_FORMAS'!$HR8+3)),IF('DADOS_FORMAS'!$HN8="raio",INDEX('DADOS_FORMAS'!$GN$2:$GN$6,MIN(5,'DADOS_FORMAS'!$HR8+3)),IF('DADOS_FORMAS'!$HN8="comprimento",INDEX('DADOS_FORMAS'!$GP$2:$GP$6,MIN(5,'DADOS_FORMAS'!$HR8+3)),'DADOS_FORMAS'!$HO8)))&amp;SUBSTITUTE('DADOS_FORMAS'!$HQ8,"em você","nela"))),UPPER(LEFT(trecho,1))&amp;MID(trecho,2,LEN(trecho)))</f>
        <v/>
      </c>
      <c r="HY45">
        <f>LET(trecho,IF(OR('DADOS_FORMAS'!$AH12="",'DADOS_FORMAS'!$HM8="",'DADOS_FORMAS'!$HO8=""),"",IF('DADOS_FORMAS'!$HO8="—","—",'DADOS_FORMAS'!$HP8&amp;IF('DADOS_FORMAS'!$HN8="alcance",INDEX('DADOS_FORMAS'!$GL$2:$GL$7,MIN(6,'DADOS_FORMAS'!$HR8+4)),IF('DADOS_FORMAS'!$HN8="raio",INDEX('DADOS_FORMAS'!$GN$2:$GN$6,MIN(5,'DADOS_FORMAS'!$HR8+4)),IF('DADOS_FORMAS'!$HN8="comprimento",INDEX('DADOS_FORMAS'!$GP$2:$GP$6,MIN(5,'DADOS_FORMAS'!$HR8+4)),'DADOS_FORMAS'!$HO8)))&amp;SUBSTITUTE('DADOS_FORMAS'!$HQ8,"em você","nela"))),UPPER(LEFT(trecho,1))&amp;MID(trecho,2,LEN(trecho)))</f>
        <v/>
      </c>
      <c r="HZ45">
        <f>LET(trecho,IF(OR('DADOS_FORMAS'!$AH12="",'DADOS_FORMAS'!$HM8="",'DADOS_FORMAS'!$HO8=""),"",IF('DADOS_FORMAS'!$HO8="—","—",'DADOS_FORMAS'!$HP8&amp;IF('DADOS_FORMAS'!$HN8="alcance",INDEX('DADOS_FORMAS'!$GL$2:$GL$7,MIN(6,'DADOS_FORMAS'!$HR8+5)),IF('DADOS_FORMAS'!$HN8="raio",INDEX('DADOS_FORMAS'!$GN$2:$GN$6,MIN(5,'DADOS_FORMAS'!$HR8+5)),IF('DADOS_FORMAS'!$HN8="comprimento",INDEX('DADOS_FORMAS'!$GP$2:$GP$6,MIN(5,'DADOS_FORMAS'!$HR8+5)),'DADOS_FORMAS'!$HO8)))&amp;SUBSTITUTE('DADOS_FORMAS'!$HQ8,"em você","nela"))),UPPER(LEFT(trecho,1))&amp;MID(trecho,2,LEN(trecho)))</f>
        <v/>
      </c>
      <c r="IA45">
        <f>IF(OR('DADOS_FORMAS'!$AH12="",'DADOS_FORMAS'!$HM9="",'DADOS_FORMAS'!$HO9=""),"",IF('DADOS_FORMAS'!$HO9="—","—",'DADOS_FORMAS'!$HP9&amp;'DADOS_FORMAS'!$HO9&amp;SUBSTITUTE('DADOS_FORMAS'!$HQ9,"em você","nela")))</f>
        <v/>
      </c>
      <c r="IB45">
        <f>IF(OR('DADOS_FORMAS'!$AH12="",'DADOS_FORMAS'!$HM9="",'DADOS_FORMAS'!$HO9=""),"",IF('DADOS_FORMAS'!$HO9="—","—",'DADOS_FORMAS'!$HP9&amp;IF('DADOS_FORMAS'!$HN9="alcance",INDEX('DADOS_FORMAS'!$GL$2:$GL$7,MIN(6,'DADOS_FORMAS'!$HR9+1)),IF('DADOS_FORMAS'!$HN9="raio",INDEX('DADOS_FORMAS'!$GN$2:$GN$6,MIN(5,'DADOS_FORMAS'!$HR9+1)),IF('DADOS_FORMAS'!$HN9="comprimento",INDEX('DADOS_FORMAS'!$GP$2:$GP$6,MIN(5,'DADOS_FORMAS'!$HR9+1)),'DADOS_FORMAS'!$HO9)))&amp;SUBSTITUTE('DADOS_FORMAS'!$HQ9,"em você","nela")))</f>
        <v/>
      </c>
      <c r="IC45">
        <f>IF(OR('DADOS_FORMAS'!$AH12="",'DADOS_FORMAS'!$HM9="",'DADOS_FORMAS'!$HO9=""),"",IF('DADOS_FORMAS'!$HO9="—","—",'DADOS_FORMAS'!$HP9&amp;IF('DADOS_FORMAS'!$HN9="alcance",INDEX('DADOS_FORMAS'!$GL$2:$GL$7,MIN(6,'DADOS_FORMAS'!$HR9+2)),IF('DADOS_FORMAS'!$HN9="raio",INDEX('DADOS_FORMAS'!$GN$2:$GN$6,MIN(5,'DADOS_FORMAS'!$HR9+2)),IF('DADOS_FORMAS'!$HN9="comprimento",INDEX('DADOS_FORMAS'!$GP$2:$GP$6,MIN(5,'DADOS_FORMAS'!$HR9+2)),'DADOS_FORMAS'!$HO9)))&amp;SUBSTITUTE('DADOS_FORMAS'!$HQ9,"em você","nela")))</f>
        <v/>
      </c>
      <c r="ID45">
        <f>IF(OR('DADOS_FORMAS'!$AH12="",'DADOS_FORMAS'!$HM9="",'DADOS_FORMAS'!$HO9=""),"",IF('DADOS_FORMAS'!$HO9="—","—",'DADOS_FORMAS'!$HP9&amp;IF('DADOS_FORMAS'!$HN9="alcance",INDEX('DADOS_FORMAS'!$GL$2:$GL$7,MIN(6,'DADOS_FORMAS'!$HR9+3)),IF('DADOS_FORMAS'!$HN9="raio",INDEX('DADOS_FORMAS'!$GN$2:$GN$6,MIN(5,'DADOS_FORMAS'!$HR9+3)),IF('DADOS_FORMAS'!$HN9="comprimento",INDEX('DADOS_FORMAS'!$GP$2:$GP$6,MIN(5,'DADOS_FORMAS'!$HR9+3)),'DADOS_FORMAS'!$HO9)))&amp;SUBSTITUTE('DADOS_FORMAS'!$HQ9,"em você","nela")))</f>
        <v/>
      </c>
      <c r="IE45">
        <f>IF(OR('DADOS_FORMAS'!$AH12="",'DADOS_FORMAS'!$HM9="",'DADOS_FORMAS'!$HO9=""),"",IF('DADOS_FORMAS'!$HO9="—","—",'DADOS_FORMAS'!$HP9&amp;IF('DADOS_FORMAS'!$HN9="alcance",INDEX('DADOS_FORMAS'!$GL$2:$GL$7,MIN(6,'DADOS_FORMAS'!$HR9+4)),IF('DADOS_FORMAS'!$HN9="raio",INDEX('DADOS_FORMAS'!$GN$2:$GN$6,MIN(5,'DADOS_FORMAS'!$HR9+4)),IF('DADOS_FORMAS'!$HN9="comprimento",INDEX('DADOS_FORMAS'!$GP$2:$GP$6,MIN(5,'DADOS_FORMAS'!$HR9+4)),'DADOS_FORMAS'!$HO9)))&amp;SUBSTITUTE('DADOS_FORMAS'!$HQ9,"em você","nela")))</f>
        <v/>
      </c>
      <c r="IF45">
        <f>IF(OR('DADOS_FORMAS'!$AH12="",'DADOS_FORMAS'!$HM9="",'DADOS_FORMAS'!$HO9=""),"",IF('DADOS_FORMAS'!$HO9="—","—",'DADOS_FORMAS'!$HP9&amp;IF('DADOS_FORMAS'!$HN9="alcance",INDEX('DADOS_FORMAS'!$GL$2:$GL$7,MIN(6,'DADOS_FORMAS'!$HR9+5)),IF('DADOS_FORMAS'!$HN9="raio",INDEX('DADOS_FORMAS'!$GN$2:$GN$6,MIN(5,'DADOS_FORMAS'!$HR9+5)),IF('DADOS_FORMAS'!$HN9="comprimento",INDEX('DADOS_FORMAS'!$GP$2:$GP$6,MIN(5,'DADOS_FORMAS'!$HR9+5)),'DADOS_FORMAS'!$HO9)))&amp;SUBSTITUTE('DADOS_FORMAS'!$HQ9,"em você","nela")))</f>
        <v/>
      </c>
      <c r="KA45">
        <f>IFERROR(INDEX(INDEX('DADOS_RESTRICOES'!$M$2:$Q$54,0,1),43),"")</f>
        <v/>
      </c>
    </row>
    <row r="46">
      <c r="GR46">
        <f>'DADOS_FORMAS'!$BL19</f>
        <v/>
      </c>
      <c r="GS46">
        <f>IF('DADOS_FORMAS'!$BL19="area",'DADOS_FORMAS'!$AU19,'DADOS_FORMAS'!$AT19)</f>
        <v/>
      </c>
      <c r="GT46">
        <f>IF('DADOS_FORMAS'!$BL19="area",'DADOS_FORMAS'!$BD19,'DADOS_FORMAS'!$AW19)</f>
        <v/>
      </c>
      <c r="GU46">
        <f>'DADOS_FORMAS'!$BM19</f>
        <v/>
      </c>
      <c r="GV46">
        <f>'DADOS_FORMAS'!$BN19</f>
        <v/>
      </c>
      <c r="GW46">
        <f>LET(base,'DADOS_FORMAS'!$GT46,escada,'DADOS_FORMAS'!$GS46,medida,LEFT(base,MAX(0,LEN(base)-2)),valor,IFERROR(VALUE(SUBSTITUTE(medida,",",""))/10^IFERROR(LEN(medida)-FIND(",",medida),0),1E99),IF(OR(escada="Fixo",base="—"),base,IF(escada="alcance",IFERROR(MATCH(base,{"1,5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6">
        <f>'DADOS_FORMAS'!$AH16&amp;" · classes 6 e 7"</f>
        <v/>
      </c>
      <c r="GZ46">
        <f>LET(trecho,IF(OR('DADOS_FORMAS'!$AH16="",'DADOS_FORMAS'!$GR30="",'DADOS_FORMAS'!$GT30=""),"",IF('DADOS_FORMAS'!$GT30="—","—",'DADOS_FORMAS'!$GU30&amp;'DADOS_FORMAS'!$GT30&amp;'DADOS_FORMAS'!$GV30)),UPPER(LEFT(trecho,1))&amp;MID(trecho,2,LEN(trecho)))</f>
        <v/>
      </c>
      <c r="HA46">
        <f>LET(trecho,IF(OR('DADOS_FORMAS'!$AH16="",'DADOS_FORMAS'!$GR30="",'DADOS_FORMAS'!$GT30=""),"",IF('DADOS_FORMAS'!$GT30="—","—",'DADOS_FORMAS'!$GU30&amp;IF('DADOS_FORMAS'!$GS30="alcance",INDEX('DADOS_FORMAS'!$GL$2:$GL$7,MIN(6,'DADOS_FORMAS'!$GW30+1)),IF('DADOS_FORMAS'!$GS30="raio",INDEX('DADOS_FORMAS'!$GN$2:$GN$6,MIN(5,'DADOS_FORMAS'!$GW30+1)),IF('DADOS_FORMAS'!$GS30="comprimento",INDEX('DADOS_FORMAS'!$GP$2:$GP$6,MIN(5,'DADOS_FORMAS'!$GW30+1)),'DADOS_FORMAS'!$GT30)))&amp;'DADOS_FORMAS'!$GV30)),UPPER(LEFT(trecho,1))&amp;MID(trecho,2,LEN(trecho)))</f>
        <v/>
      </c>
      <c r="HB46">
        <f>LET(trecho,IF(OR('DADOS_FORMAS'!$AH16="",'DADOS_FORMAS'!$GR30="",'DADOS_FORMAS'!$GT30=""),"",IF('DADOS_FORMAS'!$GT30="—","—",'DADOS_FORMAS'!$GU30&amp;IF('DADOS_FORMAS'!$GS30="alcance",INDEX('DADOS_FORMAS'!$GL$2:$GL$7,MIN(6,'DADOS_FORMAS'!$GW30+2)),IF('DADOS_FORMAS'!$GS30="raio",INDEX('DADOS_FORMAS'!$GN$2:$GN$6,MIN(5,'DADOS_FORMAS'!$GW30+2)),IF('DADOS_FORMAS'!$GS30="comprimento",INDEX('DADOS_FORMAS'!$GP$2:$GP$6,MIN(5,'DADOS_FORMAS'!$GW30+2)),'DADOS_FORMAS'!$GT30)))&amp;'DADOS_FORMAS'!$GV30)),UPPER(LEFT(trecho,1))&amp;MID(trecho,2,LEN(trecho)))</f>
        <v/>
      </c>
      <c r="HC46">
        <f>LET(trecho,IF(OR('DADOS_FORMAS'!$AH16="",'DADOS_FORMAS'!$GR30="",'DADOS_FORMAS'!$GT30=""),"",IF('DADOS_FORMAS'!$GT30="—","—",'DADOS_FORMAS'!$GU30&amp;IF('DADOS_FORMAS'!$GS30="alcance",INDEX('DADOS_FORMAS'!$GL$2:$GL$7,MIN(6,'DADOS_FORMAS'!$GW30+3)),IF('DADOS_FORMAS'!$GS30="raio",INDEX('DADOS_FORMAS'!$GN$2:$GN$6,MIN(5,'DADOS_FORMAS'!$GW30+3)),IF('DADOS_FORMAS'!$GS30="comprimento",INDEX('DADOS_FORMAS'!$GP$2:$GP$6,MIN(5,'DADOS_FORMAS'!$GW30+3)),'DADOS_FORMAS'!$GT30)))&amp;'DADOS_FORMAS'!$GV30)),UPPER(LEFT(trecho,1))&amp;MID(trecho,2,LEN(trecho)))</f>
        <v/>
      </c>
      <c r="HD46">
        <f>LET(trecho,IF(OR('DADOS_FORMAS'!$AH16="",'DADOS_FORMAS'!$GR30="",'DADOS_FORMAS'!$GT30=""),"",IF('DADOS_FORMAS'!$GT30="—","—",'DADOS_FORMAS'!$GU30&amp;IF('DADOS_FORMAS'!$GS30="alcance",INDEX('DADOS_FORMAS'!$GL$2:$GL$7,MIN(6,'DADOS_FORMAS'!$GW30+4)),IF('DADOS_FORMAS'!$GS30="raio",INDEX('DADOS_FORMAS'!$GN$2:$GN$6,MIN(5,'DADOS_FORMAS'!$GW30+4)),IF('DADOS_FORMAS'!$GS30="comprimento",INDEX('DADOS_FORMAS'!$GP$2:$GP$6,MIN(5,'DADOS_FORMAS'!$GW30+4)),'DADOS_FORMAS'!$GT30)))&amp;'DADOS_FORMAS'!$GV30)),UPPER(LEFT(trecho,1))&amp;MID(trecho,2,LEN(trecho)))</f>
        <v/>
      </c>
      <c r="HE46">
        <f>LET(trecho,IF(OR('DADOS_FORMAS'!$AH16="",'DADOS_FORMAS'!$GR30="",'DADOS_FORMAS'!$GT30=""),"",IF('DADOS_FORMAS'!$GT30="—","—",'DADOS_FORMAS'!$GU30&amp;IF('DADOS_FORMAS'!$GS30="alcance",INDEX('DADOS_FORMAS'!$GL$2:$GL$7,MIN(6,'DADOS_FORMAS'!$GW30+5)),IF('DADOS_FORMAS'!$GS30="raio",INDEX('DADOS_FORMAS'!$GN$2:$GN$6,MIN(5,'DADOS_FORMAS'!$GW30+5)),IF('DADOS_FORMAS'!$GS30="comprimento",INDEX('DADOS_FORMAS'!$GP$2:$GP$6,MIN(5,'DADOS_FORMAS'!$GW30+5)),'DADOS_FORMAS'!$GT30)))&amp;'DADOS_FORMAS'!$GV30)),UPPER(LEFT(trecho,1))&amp;MID(trecho,2,LEN(trecho)))</f>
        <v/>
      </c>
      <c r="HF46">
        <f>IF(OR('DADOS_FORMAS'!$AH16="",'DADOS_FORMAS'!$GR31="",'DADOS_FORMAS'!$GT31=""),"",IF('DADOS_FORMAS'!$GT31="—","—",'DADOS_FORMAS'!$GU31&amp;'DADOS_FORMAS'!$GT31&amp;'DADOS_FORMAS'!$GV31))</f>
        <v/>
      </c>
      <c r="HG46">
        <f>IF(OR('DADOS_FORMAS'!$AH16="",'DADOS_FORMAS'!$GR31="",'DADOS_FORMAS'!$GT31=""),"",IF('DADOS_FORMAS'!$GT31="—","—",'DADOS_FORMAS'!$GU31&amp;IF('DADOS_FORMAS'!$GS31="alcance",INDEX('DADOS_FORMAS'!$GL$2:$GL$7,MIN(6,'DADOS_FORMAS'!$GW31+1)),IF('DADOS_FORMAS'!$GS31="raio",INDEX('DADOS_FORMAS'!$GN$2:$GN$6,MIN(5,'DADOS_FORMAS'!$GW31+1)),IF('DADOS_FORMAS'!$GS31="comprimento",INDEX('DADOS_FORMAS'!$GP$2:$GP$6,MIN(5,'DADOS_FORMAS'!$GW31+1)),'DADOS_FORMAS'!$GT31)))&amp;'DADOS_FORMAS'!$GV31))</f>
        <v/>
      </c>
      <c r="HH46">
        <f>IF(OR('DADOS_FORMAS'!$AH16="",'DADOS_FORMAS'!$GR31="",'DADOS_FORMAS'!$GT31=""),"",IF('DADOS_FORMAS'!$GT31="—","—",'DADOS_FORMAS'!$GU31&amp;IF('DADOS_FORMAS'!$GS31="alcance",INDEX('DADOS_FORMAS'!$GL$2:$GL$7,MIN(6,'DADOS_FORMAS'!$GW31+2)),IF('DADOS_FORMAS'!$GS31="raio",INDEX('DADOS_FORMAS'!$GN$2:$GN$6,MIN(5,'DADOS_FORMAS'!$GW31+2)),IF('DADOS_FORMAS'!$GS31="comprimento",INDEX('DADOS_FORMAS'!$GP$2:$GP$6,MIN(5,'DADOS_FORMAS'!$GW31+2)),'DADOS_FORMAS'!$GT31)))&amp;'DADOS_FORMAS'!$GV31))</f>
        <v/>
      </c>
      <c r="HI46">
        <f>IF(OR('DADOS_FORMAS'!$AH16="",'DADOS_FORMAS'!$GR31="",'DADOS_FORMAS'!$GT31=""),"",IF('DADOS_FORMAS'!$GT31="—","—",'DADOS_FORMAS'!$GU31&amp;IF('DADOS_FORMAS'!$GS31="alcance",INDEX('DADOS_FORMAS'!$GL$2:$GL$7,MIN(6,'DADOS_FORMAS'!$GW31+3)),IF('DADOS_FORMAS'!$GS31="raio",INDEX('DADOS_FORMAS'!$GN$2:$GN$6,MIN(5,'DADOS_FORMAS'!$GW31+3)),IF('DADOS_FORMAS'!$GS31="comprimento",INDEX('DADOS_FORMAS'!$GP$2:$GP$6,MIN(5,'DADOS_FORMAS'!$GW31+3)),'DADOS_FORMAS'!$GT31)))&amp;'DADOS_FORMAS'!$GV31))</f>
        <v/>
      </c>
      <c r="HJ46">
        <f>IF(OR('DADOS_FORMAS'!$AH16="",'DADOS_FORMAS'!$GR31="",'DADOS_FORMAS'!$GT31=""),"",IF('DADOS_FORMAS'!$GT31="—","—",'DADOS_FORMAS'!$GU31&amp;IF('DADOS_FORMAS'!$GS31="alcance",INDEX('DADOS_FORMAS'!$GL$2:$GL$7,MIN(6,'DADOS_FORMAS'!$GW31+4)),IF('DADOS_FORMAS'!$GS31="raio",INDEX('DADOS_FORMAS'!$GN$2:$GN$6,MIN(5,'DADOS_FORMAS'!$GW31+4)),IF('DADOS_FORMAS'!$GS31="comprimento",INDEX('DADOS_FORMAS'!$GP$2:$GP$6,MIN(5,'DADOS_FORMAS'!$GW31+4)),'DADOS_FORMAS'!$GT31)))&amp;'DADOS_FORMAS'!$GV31))</f>
        <v/>
      </c>
      <c r="HK46">
        <f>IF(OR('DADOS_FORMAS'!$AH16="",'DADOS_FORMAS'!$GR31="",'DADOS_FORMAS'!$GT31=""),"",IF('DADOS_FORMAS'!$GT31="—","—",'DADOS_FORMAS'!$GU31&amp;IF('DADOS_FORMAS'!$GS31="alcance",INDEX('DADOS_FORMAS'!$GL$2:$GL$7,MIN(6,'DADOS_FORMAS'!$GW31+5)),IF('DADOS_FORMAS'!$GS31="raio",INDEX('DADOS_FORMAS'!$GN$2:$GN$6,MIN(5,'DADOS_FORMAS'!$GW31+5)),IF('DADOS_FORMAS'!$GS31="comprimento",INDEX('DADOS_FORMAS'!$GP$2:$GP$6,MIN(5,'DADOS_FORMAS'!$GW31+5)),'DADOS_FORMAS'!$GT31)))&amp;'DADOS_FORMAS'!$GV31))</f>
        <v/>
      </c>
      <c r="HM46">
        <f>'DADOS_FORMAS'!$BL17</f>
        <v/>
      </c>
      <c r="HN46">
        <f>IF('DADOS_FORMAS'!$BL17="area",'DADOS_FORMAS'!$AU17,'DADOS_FORMAS'!$AT17)</f>
        <v/>
      </c>
      <c r="HO46">
        <f>IF('DADOS_FORMAS'!$BL17="area",'DADOS_FORMAS'!$BH17,'DADOS_FORMAS'!$BA17)</f>
        <v/>
      </c>
      <c r="HP46">
        <f>'DADOS_FORMAS'!$BM17</f>
        <v/>
      </c>
      <c r="HQ46">
        <f>'DADOS_FORMAS'!$BN17</f>
        <v/>
      </c>
      <c r="HR46">
        <f>LET(base,'DADOS_FORMAS'!$HO46,escada,'DADOS_FORMAS'!$HN46,medida,LEFT(base,MAX(0,LEN(base)-2)),valor,IFERROR(VALUE(SUBSTITUTE(medida,",",""))/10^IFERROR(LEN(medida)-FIND(",",medida),0),1E99),IF(OR(escada="Fixo",base="—"),base,IF(escada="alcance",IFERROR(MATCH(base,{"1,5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6">
        <f>'DADOS_FORMAS'!$AH13&amp;" · classe 0"</f>
        <v/>
      </c>
      <c r="HU46">
        <f>LET(trecho,IF(OR('DADOS_FORMAS'!$AH13="",'DADOS_FORMAS'!$HM10="",'DADOS_FORMAS'!$HO10=""),"",IF('DADOS_FORMAS'!$HO10="—","—",'DADOS_FORMAS'!$HP10&amp;'DADOS_FORMAS'!$HO10&amp;SUBSTITUTE('DADOS_FORMAS'!$HQ10,"em você","nela"))),UPPER(LEFT(trecho,1))&amp;MID(trecho,2,LEN(trecho)))</f>
        <v/>
      </c>
      <c r="HV46">
        <f>LET(trecho,IF(OR('DADOS_FORMAS'!$AH13="",'DADOS_FORMAS'!$HM10="",'DADOS_FORMAS'!$HO10=""),"",IF('DADOS_FORMAS'!$HO10="—","—",'DADOS_FORMAS'!$HP10&amp;IF('DADOS_FORMAS'!$HN10="alcance",INDEX('DADOS_FORMAS'!$GL$2:$GL$7,MIN(6,'DADOS_FORMAS'!$HR10+1)),IF('DADOS_FORMAS'!$HN10="raio",INDEX('DADOS_FORMAS'!$GN$2:$GN$6,MIN(5,'DADOS_FORMAS'!$HR10+1)),IF('DADOS_FORMAS'!$HN10="comprimento",INDEX('DADOS_FORMAS'!$GP$2:$GP$6,MIN(5,'DADOS_FORMAS'!$HR10+1)),'DADOS_FORMAS'!$HO10)))&amp;SUBSTITUTE('DADOS_FORMAS'!$HQ10,"em você","nela"))),UPPER(LEFT(trecho,1))&amp;MID(trecho,2,LEN(trecho)))</f>
        <v/>
      </c>
      <c r="HW46">
        <f>LET(trecho,IF(OR('DADOS_FORMAS'!$AH13="",'DADOS_FORMAS'!$HM10="",'DADOS_FORMAS'!$HO10=""),"",IF('DADOS_FORMAS'!$HO10="—","—",'DADOS_FORMAS'!$HP10&amp;IF('DADOS_FORMAS'!$HN10="alcance",INDEX('DADOS_FORMAS'!$GL$2:$GL$7,MIN(6,'DADOS_FORMAS'!$HR10+2)),IF('DADOS_FORMAS'!$HN10="raio",INDEX('DADOS_FORMAS'!$GN$2:$GN$6,MIN(5,'DADOS_FORMAS'!$HR10+2)),IF('DADOS_FORMAS'!$HN10="comprimento",INDEX('DADOS_FORMAS'!$GP$2:$GP$6,MIN(5,'DADOS_FORMAS'!$HR10+2)),'DADOS_FORMAS'!$HO10)))&amp;SUBSTITUTE('DADOS_FORMAS'!$HQ10,"em você","nela"))),UPPER(LEFT(trecho,1))&amp;MID(trecho,2,LEN(trecho)))</f>
        <v/>
      </c>
      <c r="HX46">
        <f>LET(trecho,IF(OR('DADOS_FORMAS'!$AH13="",'DADOS_FORMAS'!$HM10="",'DADOS_FORMAS'!$HO10=""),"",IF('DADOS_FORMAS'!$HO10="—","—",'DADOS_FORMAS'!$HP10&amp;IF('DADOS_FORMAS'!$HN10="alcance",INDEX('DADOS_FORMAS'!$GL$2:$GL$7,MIN(6,'DADOS_FORMAS'!$HR10+3)),IF('DADOS_FORMAS'!$HN10="raio",INDEX('DADOS_FORMAS'!$GN$2:$GN$6,MIN(5,'DADOS_FORMAS'!$HR10+3)),IF('DADOS_FORMAS'!$HN10="comprimento",INDEX('DADOS_FORMAS'!$GP$2:$GP$6,MIN(5,'DADOS_FORMAS'!$HR10+3)),'DADOS_FORMAS'!$HO10)))&amp;SUBSTITUTE('DADOS_FORMAS'!$HQ10,"em você","nela"))),UPPER(LEFT(trecho,1))&amp;MID(trecho,2,LEN(trecho)))</f>
        <v/>
      </c>
      <c r="HY46">
        <f>LET(trecho,IF(OR('DADOS_FORMAS'!$AH13="",'DADOS_FORMAS'!$HM10="",'DADOS_FORMAS'!$HO10=""),"",IF('DADOS_FORMAS'!$HO10="—","—",'DADOS_FORMAS'!$HP10&amp;IF('DADOS_FORMAS'!$HN10="alcance",INDEX('DADOS_FORMAS'!$GL$2:$GL$7,MIN(6,'DADOS_FORMAS'!$HR10+4)),IF('DADOS_FORMAS'!$HN10="raio",INDEX('DADOS_FORMAS'!$GN$2:$GN$6,MIN(5,'DADOS_FORMAS'!$HR10+4)),IF('DADOS_FORMAS'!$HN10="comprimento",INDEX('DADOS_FORMAS'!$GP$2:$GP$6,MIN(5,'DADOS_FORMAS'!$HR10+4)),'DADOS_FORMAS'!$HO10)))&amp;SUBSTITUTE('DADOS_FORMAS'!$HQ10,"em você","nela"))),UPPER(LEFT(trecho,1))&amp;MID(trecho,2,LEN(trecho)))</f>
        <v/>
      </c>
      <c r="HZ46">
        <f>LET(trecho,IF(OR('DADOS_FORMAS'!$AH13="",'DADOS_FORMAS'!$HM10="",'DADOS_FORMAS'!$HO10=""),"",IF('DADOS_FORMAS'!$HO10="—","—",'DADOS_FORMAS'!$HP10&amp;IF('DADOS_FORMAS'!$HN10="alcance",INDEX('DADOS_FORMAS'!$GL$2:$GL$7,MIN(6,'DADOS_FORMAS'!$HR10+5)),IF('DADOS_FORMAS'!$HN10="raio",INDEX('DADOS_FORMAS'!$GN$2:$GN$6,MIN(5,'DADOS_FORMAS'!$HR10+5)),IF('DADOS_FORMAS'!$HN10="comprimento",INDEX('DADOS_FORMAS'!$GP$2:$GP$6,MIN(5,'DADOS_FORMAS'!$HR10+5)),'DADOS_FORMAS'!$HO10)))&amp;SUBSTITUTE('DADOS_FORMAS'!$HQ10,"em você","nela"))),UPPER(LEFT(trecho,1))&amp;MID(trecho,2,LEN(trecho)))</f>
        <v/>
      </c>
      <c r="IA46">
        <f>IF(OR('DADOS_FORMAS'!$AH13="",'DADOS_FORMAS'!$HM11="",'DADOS_FORMAS'!$HO11=""),"",IF('DADOS_FORMAS'!$HO11="—","—",'DADOS_FORMAS'!$HP11&amp;'DADOS_FORMAS'!$HO11&amp;SUBSTITUTE('DADOS_FORMAS'!$HQ11,"em você","nela")))</f>
        <v/>
      </c>
      <c r="IB46">
        <f>IF(OR('DADOS_FORMAS'!$AH13="",'DADOS_FORMAS'!$HM11="",'DADOS_FORMAS'!$HO11=""),"",IF('DADOS_FORMAS'!$HO11="—","—",'DADOS_FORMAS'!$HP11&amp;IF('DADOS_FORMAS'!$HN11="alcance",INDEX('DADOS_FORMAS'!$GL$2:$GL$7,MIN(6,'DADOS_FORMAS'!$HR11+1)),IF('DADOS_FORMAS'!$HN11="raio",INDEX('DADOS_FORMAS'!$GN$2:$GN$6,MIN(5,'DADOS_FORMAS'!$HR11+1)),IF('DADOS_FORMAS'!$HN11="comprimento",INDEX('DADOS_FORMAS'!$GP$2:$GP$6,MIN(5,'DADOS_FORMAS'!$HR11+1)),'DADOS_FORMAS'!$HO11)))&amp;SUBSTITUTE('DADOS_FORMAS'!$HQ11,"em você","nela")))</f>
        <v/>
      </c>
      <c r="IC46">
        <f>IF(OR('DADOS_FORMAS'!$AH13="",'DADOS_FORMAS'!$HM11="",'DADOS_FORMAS'!$HO11=""),"",IF('DADOS_FORMAS'!$HO11="—","—",'DADOS_FORMAS'!$HP11&amp;IF('DADOS_FORMAS'!$HN11="alcance",INDEX('DADOS_FORMAS'!$GL$2:$GL$7,MIN(6,'DADOS_FORMAS'!$HR11+2)),IF('DADOS_FORMAS'!$HN11="raio",INDEX('DADOS_FORMAS'!$GN$2:$GN$6,MIN(5,'DADOS_FORMAS'!$HR11+2)),IF('DADOS_FORMAS'!$HN11="comprimento",INDEX('DADOS_FORMAS'!$GP$2:$GP$6,MIN(5,'DADOS_FORMAS'!$HR11+2)),'DADOS_FORMAS'!$HO11)))&amp;SUBSTITUTE('DADOS_FORMAS'!$HQ11,"em você","nela")))</f>
        <v/>
      </c>
      <c r="ID46">
        <f>IF(OR('DADOS_FORMAS'!$AH13="",'DADOS_FORMAS'!$HM11="",'DADOS_FORMAS'!$HO11=""),"",IF('DADOS_FORMAS'!$HO11="—","—",'DADOS_FORMAS'!$HP11&amp;IF('DADOS_FORMAS'!$HN11="alcance",INDEX('DADOS_FORMAS'!$GL$2:$GL$7,MIN(6,'DADOS_FORMAS'!$HR11+3)),IF('DADOS_FORMAS'!$HN11="raio",INDEX('DADOS_FORMAS'!$GN$2:$GN$6,MIN(5,'DADOS_FORMAS'!$HR11+3)),IF('DADOS_FORMAS'!$HN11="comprimento",INDEX('DADOS_FORMAS'!$GP$2:$GP$6,MIN(5,'DADOS_FORMAS'!$HR11+3)),'DADOS_FORMAS'!$HO11)))&amp;SUBSTITUTE('DADOS_FORMAS'!$HQ11,"em você","nela")))</f>
        <v/>
      </c>
      <c r="IE46">
        <f>IF(OR('DADOS_FORMAS'!$AH13="",'DADOS_FORMAS'!$HM11="",'DADOS_FORMAS'!$HO11=""),"",IF('DADOS_FORMAS'!$HO11="—","—",'DADOS_FORMAS'!$HP11&amp;IF('DADOS_FORMAS'!$HN11="alcance",INDEX('DADOS_FORMAS'!$GL$2:$GL$7,MIN(6,'DADOS_FORMAS'!$HR11+4)),IF('DADOS_FORMAS'!$HN11="raio",INDEX('DADOS_FORMAS'!$GN$2:$GN$6,MIN(5,'DADOS_FORMAS'!$HR11+4)),IF('DADOS_FORMAS'!$HN11="comprimento",INDEX('DADOS_FORMAS'!$GP$2:$GP$6,MIN(5,'DADOS_FORMAS'!$HR11+4)),'DADOS_FORMAS'!$HO11)))&amp;SUBSTITUTE('DADOS_FORMAS'!$HQ11,"em você","nela")))</f>
        <v/>
      </c>
      <c r="IF46">
        <f>IF(OR('DADOS_FORMAS'!$AH13="",'DADOS_FORMAS'!$HM11="",'DADOS_FORMAS'!$HO11=""),"",IF('DADOS_FORMAS'!$HO11="—","—",'DADOS_FORMAS'!$HP11&amp;IF('DADOS_FORMAS'!$HN11="alcance",INDEX('DADOS_FORMAS'!$GL$2:$GL$7,MIN(6,'DADOS_FORMAS'!$HR11+5)),IF('DADOS_FORMAS'!$HN11="raio",INDEX('DADOS_FORMAS'!$GN$2:$GN$6,MIN(5,'DADOS_FORMAS'!$HR11+5)),IF('DADOS_FORMAS'!$HN11="comprimento",INDEX('DADOS_FORMAS'!$GP$2:$GP$6,MIN(5,'DADOS_FORMAS'!$HR11+5)),'DADOS_FORMAS'!$HO11)))&amp;SUBSTITUTE('DADOS_FORMAS'!$HQ11,"em você","nela")))</f>
        <v/>
      </c>
      <c r="KA46">
        <f>IFERROR(INDEX(INDEX('DADOS_RESTRICOES'!$M$2:$Q$54,0,1),44),"")</f>
        <v/>
      </c>
    </row>
    <row r="47">
      <c r="GR47">
        <f>'DADOS_FORMAS'!$BP19</f>
        <v/>
      </c>
      <c r="GS47">
        <f>IF('DADOS_FORMAS'!$BP19="area",'DADOS_FORMAS'!$AU19,'DADOS_FORMAS'!$AT19)</f>
        <v/>
      </c>
      <c r="GT47">
        <f>IF('DADOS_FORMAS'!$BP19="area",'DADOS_FORMAS'!$BD19,'DADOS_FORMAS'!$AW19)</f>
        <v/>
      </c>
      <c r="GU47">
        <f>'DADOS_FORMAS'!$BQ19</f>
        <v/>
      </c>
      <c r="GV47">
        <f>'DADOS_FORMAS'!$BR19</f>
        <v/>
      </c>
      <c r="GW47">
        <f>LET(base,'DADOS_FORMAS'!$GT47,escada,'DADOS_FORMAS'!$GS47,medida,LEFT(base,MAX(0,LEN(base)-2)),valor,IFERROR(VALUE(SUBSTITUTE(medida,",",""))/10^IFERROR(LEN(medida)-FIND(",",medida),0),1E99),IF(OR(escada="Fixo",base="—"),base,IF(escada="alcance",IFERROR(MATCH(base,{"1,5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7">
        <f>'DADOS_FORMAS'!$AH17&amp;" · classe 0"</f>
        <v/>
      </c>
      <c r="GZ47">
        <f>LET(trecho,IF(OR('DADOS_FORMAS'!$AH17="",'DADOS_FORMAS'!$GR32="",'DADOS_FORMAS'!$GT32=""),"",IF('DADOS_FORMAS'!$GT32="—","—",'DADOS_FORMAS'!$GU32&amp;'DADOS_FORMAS'!$GT32&amp;'DADOS_FORMAS'!$GV32)),UPPER(LEFT(trecho,1))&amp;MID(trecho,2,LEN(trecho)))</f>
        <v/>
      </c>
      <c r="HA47">
        <f>LET(trecho,IF(OR('DADOS_FORMAS'!$AH17="",'DADOS_FORMAS'!$GR32="",'DADOS_FORMAS'!$GT32=""),"",IF('DADOS_FORMAS'!$GT32="—","—",'DADOS_FORMAS'!$GU32&amp;IF('DADOS_FORMAS'!$GS32="alcance",INDEX('DADOS_FORMAS'!$GL$2:$GL$7,MIN(6,'DADOS_FORMAS'!$GW32+1)),IF('DADOS_FORMAS'!$GS32="raio",INDEX('DADOS_FORMAS'!$GN$2:$GN$6,MIN(5,'DADOS_FORMAS'!$GW32+1)),IF('DADOS_FORMAS'!$GS32="comprimento",INDEX('DADOS_FORMAS'!$GP$2:$GP$6,MIN(5,'DADOS_FORMAS'!$GW32+1)),'DADOS_FORMAS'!$GT32)))&amp;'DADOS_FORMAS'!$GV32)),UPPER(LEFT(trecho,1))&amp;MID(trecho,2,LEN(trecho)))</f>
        <v/>
      </c>
      <c r="HB47">
        <f>LET(trecho,IF(OR('DADOS_FORMAS'!$AH17="",'DADOS_FORMAS'!$GR32="",'DADOS_FORMAS'!$GT32=""),"",IF('DADOS_FORMAS'!$GT32="—","—",'DADOS_FORMAS'!$GU32&amp;IF('DADOS_FORMAS'!$GS32="alcance",INDEX('DADOS_FORMAS'!$GL$2:$GL$7,MIN(6,'DADOS_FORMAS'!$GW32+2)),IF('DADOS_FORMAS'!$GS32="raio",INDEX('DADOS_FORMAS'!$GN$2:$GN$6,MIN(5,'DADOS_FORMAS'!$GW32+2)),IF('DADOS_FORMAS'!$GS32="comprimento",INDEX('DADOS_FORMAS'!$GP$2:$GP$6,MIN(5,'DADOS_FORMAS'!$GW32+2)),'DADOS_FORMAS'!$GT32)))&amp;'DADOS_FORMAS'!$GV32)),UPPER(LEFT(trecho,1))&amp;MID(trecho,2,LEN(trecho)))</f>
        <v/>
      </c>
      <c r="HC47">
        <f>LET(trecho,IF(OR('DADOS_FORMAS'!$AH17="",'DADOS_FORMAS'!$GR32="",'DADOS_FORMAS'!$GT32=""),"",IF('DADOS_FORMAS'!$GT32="—","—",'DADOS_FORMAS'!$GU32&amp;IF('DADOS_FORMAS'!$GS32="alcance",INDEX('DADOS_FORMAS'!$GL$2:$GL$7,MIN(6,'DADOS_FORMAS'!$GW32+3)),IF('DADOS_FORMAS'!$GS32="raio",INDEX('DADOS_FORMAS'!$GN$2:$GN$6,MIN(5,'DADOS_FORMAS'!$GW32+3)),IF('DADOS_FORMAS'!$GS32="comprimento",INDEX('DADOS_FORMAS'!$GP$2:$GP$6,MIN(5,'DADOS_FORMAS'!$GW32+3)),'DADOS_FORMAS'!$GT32)))&amp;'DADOS_FORMAS'!$GV32)),UPPER(LEFT(trecho,1))&amp;MID(trecho,2,LEN(trecho)))</f>
        <v/>
      </c>
      <c r="HD47">
        <f>LET(trecho,IF(OR('DADOS_FORMAS'!$AH17="",'DADOS_FORMAS'!$GR32="",'DADOS_FORMAS'!$GT32=""),"",IF('DADOS_FORMAS'!$GT32="—","—",'DADOS_FORMAS'!$GU32&amp;IF('DADOS_FORMAS'!$GS32="alcance",INDEX('DADOS_FORMAS'!$GL$2:$GL$7,MIN(6,'DADOS_FORMAS'!$GW32+4)),IF('DADOS_FORMAS'!$GS32="raio",INDEX('DADOS_FORMAS'!$GN$2:$GN$6,MIN(5,'DADOS_FORMAS'!$GW32+4)),IF('DADOS_FORMAS'!$GS32="comprimento",INDEX('DADOS_FORMAS'!$GP$2:$GP$6,MIN(5,'DADOS_FORMAS'!$GW32+4)),'DADOS_FORMAS'!$GT32)))&amp;'DADOS_FORMAS'!$GV32)),UPPER(LEFT(trecho,1))&amp;MID(trecho,2,LEN(trecho)))</f>
        <v/>
      </c>
      <c r="HE47">
        <f>LET(trecho,IF(OR('DADOS_FORMAS'!$AH17="",'DADOS_FORMAS'!$GR32="",'DADOS_FORMAS'!$GT32=""),"",IF('DADOS_FORMAS'!$GT32="—","—",'DADOS_FORMAS'!$GU32&amp;IF('DADOS_FORMAS'!$GS32="alcance",INDEX('DADOS_FORMAS'!$GL$2:$GL$7,MIN(6,'DADOS_FORMAS'!$GW32+5)),IF('DADOS_FORMAS'!$GS32="raio",INDEX('DADOS_FORMAS'!$GN$2:$GN$6,MIN(5,'DADOS_FORMAS'!$GW32+5)),IF('DADOS_FORMAS'!$GS32="comprimento",INDEX('DADOS_FORMAS'!$GP$2:$GP$6,MIN(5,'DADOS_FORMAS'!$GW32+5)),'DADOS_FORMAS'!$GT32)))&amp;'DADOS_FORMAS'!$GV32)),UPPER(LEFT(trecho,1))&amp;MID(trecho,2,LEN(trecho)))</f>
        <v/>
      </c>
      <c r="HF47">
        <f>IF(OR('DADOS_FORMAS'!$AH17="",'DADOS_FORMAS'!$GR33="",'DADOS_FORMAS'!$GT33=""),"",IF('DADOS_FORMAS'!$GT33="—","—",'DADOS_FORMAS'!$GU33&amp;'DADOS_FORMAS'!$GT33&amp;'DADOS_FORMAS'!$GV33))</f>
        <v/>
      </c>
      <c r="HG47">
        <f>IF(OR('DADOS_FORMAS'!$AH17="",'DADOS_FORMAS'!$GR33="",'DADOS_FORMAS'!$GT33=""),"",IF('DADOS_FORMAS'!$GT33="—","—",'DADOS_FORMAS'!$GU33&amp;IF('DADOS_FORMAS'!$GS33="alcance",INDEX('DADOS_FORMAS'!$GL$2:$GL$7,MIN(6,'DADOS_FORMAS'!$GW33+1)),IF('DADOS_FORMAS'!$GS33="raio",INDEX('DADOS_FORMAS'!$GN$2:$GN$6,MIN(5,'DADOS_FORMAS'!$GW33+1)),IF('DADOS_FORMAS'!$GS33="comprimento",INDEX('DADOS_FORMAS'!$GP$2:$GP$6,MIN(5,'DADOS_FORMAS'!$GW33+1)),'DADOS_FORMAS'!$GT33)))&amp;'DADOS_FORMAS'!$GV33))</f>
        <v/>
      </c>
      <c r="HH47">
        <f>IF(OR('DADOS_FORMAS'!$AH17="",'DADOS_FORMAS'!$GR33="",'DADOS_FORMAS'!$GT33=""),"",IF('DADOS_FORMAS'!$GT33="—","—",'DADOS_FORMAS'!$GU33&amp;IF('DADOS_FORMAS'!$GS33="alcance",INDEX('DADOS_FORMAS'!$GL$2:$GL$7,MIN(6,'DADOS_FORMAS'!$GW33+2)),IF('DADOS_FORMAS'!$GS33="raio",INDEX('DADOS_FORMAS'!$GN$2:$GN$6,MIN(5,'DADOS_FORMAS'!$GW33+2)),IF('DADOS_FORMAS'!$GS33="comprimento",INDEX('DADOS_FORMAS'!$GP$2:$GP$6,MIN(5,'DADOS_FORMAS'!$GW33+2)),'DADOS_FORMAS'!$GT33)))&amp;'DADOS_FORMAS'!$GV33))</f>
        <v/>
      </c>
      <c r="HI47">
        <f>IF(OR('DADOS_FORMAS'!$AH17="",'DADOS_FORMAS'!$GR33="",'DADOS_FORMAS'!$GT33=""),"",IF('DADOS_FORMAS'!$GT33="—","—",'DADOS_FORMAS'!$GU33&amp;IF('DADOS_FORMAS'!$GS33="alcance",INDEX('DADOS_FORMAS'!$GL$2:$GL$7,MIN(6,'DADOS_FORMAS'!$GW33+3)),IF('DADOS_FORMAS'!$GS33="raio",INDEX('DADOS_FORMAS'!$GN$2:$GN$6,MIN(5,'DADOS_FORMAS'!$GW33+3)),IF('DADOS_FORMAS'!$GS33="comprimento",INDEX('DADOS_FORMAS'!$GP$2:$GP$6,MIN(5,'DADOS_FORMAS'!$GW33+3)),'DADOS_FORMAS'!$GT33)))&amp;'DADOS_FORMAS'!$GV33))</f>
        <v/>
      </c>
      <c r="HJ47">
        <f>IF(OR('DADOS_FORMAS'!$AH17="",'DADOS_FORMAS'!$GR33="",'DADOS_FORMAS'!$GT33=""),"",IF('DADOS_FORMAS'!$GT33="—","—",'DADOS_FORMAS'!$GU33&amp;IF('DADOS_FORMAS'!$GS33="alcance",INDEX('DADOS_FORMAS'!$GL$2:$GL$7,MIN(6,'DADOS_FORMAS'!$GW33+4)),IF('DADOS_FORMAS'!$GS33="raio",INDEX('DADOS_FORMAS'!$GN$2:$GN$6,MIN(5,'DADOS_FORMAS'!$GW33+4)),IF('DADOS_FORMAS'!$GS33="comprimento",INDEX('DADOS_FORMAS'!$GP$2:$GP$6,MIN(5,'DADOS_FORMAS'!$GW33+4)),'DADOS_FORMAS'!$GT33)))&amp;'DADOS_FORMAS'!$GV33))</f>
        <v/>
      </c>
      <c r="HK47">
        <f>IF(OR('DADOS_FORMAS'!$AH17="",'DADOS_FORMAS'!$GR33="",'DADOS_FORMAS'!$GT33=""),"",IF('DADOS_FORMAS'!$GT33="—","—",'DADOS_FORMAS'!$GU33&amp;IF('DADOS_FORMAS'!$GS33="alcance",INDEX('DADOS_FORMAS'!$GL$2:$GL$7,MIN(6,'DADOS_FORMAS'!$GW33+5)),IF('DADOS_FORMAS'!$GS33="raio",INDEX('DADOS_FORMAS'!$GN$2:$GN$6,MIN(5,'DADOS_FORMAS'!$GW33+5)),IF('DADOS_FORMAS'!$GS33="comprimento",INDEX('DADOS_FORMAS'!$GP$2:$GP$6,MIN(5,'DADOS_FORMAS'!$GW33+5)),'DADOS_FORMAS'!$GT33)))&amp;'DADOS_FORMAS'!$GV33))</f>
        <v/>
      </c>
      <c r="HM47">
        <f>'DADOS_FORMAS'!$BP17</f>
        <v/>
      </c>
      <c r="HN47">
        <f>IF('DADOS_FORMAS'!$BP17="area",'DADOS_FORMAS'!$AU17,'DADOS_FORMAS'!$AT17)</f>
        <v/>
      </c>
      <c r="HO47">
        <f>IF('DADOS_FORMAS'!$BP17="area",'DADOS_FORMAS'!$BH17,'DADOS_FORMAS'!$BA17)</f>
        <v/>
      </c>
      <c r="HP47">
        <f>'DADOS_FORMAS'!$BQ17</f>
        <v/>
      </c>
      <c r="HQ47">
        <f>'DADOS_FORMAS'!$BR17</f>
        <v/>
      </c>
      <c r="HR47">
        <f>LET(base,'DADOS_FORMAS'!$HO47,escada,'DADOS_FORMAS'!$HN47,medida,LEFT(base,MAX(0,LEN(base)-2)),valor,IFERROR(VALUE(SUBSTITUTE(medida,",",""))/10^IFERROR(LEN(medida)-FIND(",",medida),0),1E99),IF(OR(escada="Fixo",base="—"),base,IF(escada="alcance",IFERROR(MATCH(base,{"1,5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7">
        <f>'DADOS_FORMAS'!$AH13&amp;" · classes 1 a 5"</f>
        <v/>
      </c>
      <c r="HU47">
        <f>LET(trecho,IF(OR('DADOS_FORMAS'!$AH13="",'DADOS_FORMAS'!$HM12="",'DADOS_FORMAS'!$HO12=""),"",IF('DADOS_FORMAS'!$HO12="—","—",'DADOS_FORMAS'!$HP12&amp;'DADOS_FORMAS'!$HO12&amp;SUBSTITUTE('DADOS_FORMAS'!$HQ12,"em você","nela"))),UPPER(LEFT(trecho,1))&amp;MID(trecho,2,LEN(trecho)))</f>
        <v/>
      </c>
      <c r="HV47">
        <f>LET(trecho,IF(OR('DADOS_FORMAS'!$AH13="",'DADOS_FORMAS'!$HM12="",'DADOS_FORMAS'!$HO12=""),"",IF('DADOS_FORMAS'!$HO12="—","—",'DADOS_FORMAS'!$HP12&amp;IF('DADOS_FORMAS'!$HN12="alcance",INDEX('DADOS_FORMAS'!$GL$2:$GL$7,MIN(6,'DADOS_FORMAS'!$HR12+1)),IF('DADOS_FORMAS'!$HN12="raio",INDEX('DADOS_FORMAS'!$GN$2:$GN$6,MIN(5,'DADOS_FORMAS'!$HR12+1)),IF('DADOS_FORMAS'!$HN12="comprimento",INDEX('DADOS_FORMAS'!$GP$2:$GP$6,MIN(5,'DADOS_FORMAS'!$HR12+1)),'DADOS_FORMAS'!$HO12)))&amp;SUBSTITUTE('DADOS_FORMAS'!$HQ12,"em você","nela"))),UPPER(LEFT(trecho,1))&amp;MID(trecho,2,LEN(trecho)))</f>
        <v/>
      </c>
      <c r="HW47">
        <f>LET(trecho,IF(OR('DADOS_FORMAS'!$AH13="",'DADOS_FORMAS'!$HM12="",'DADOS_FORMAS'!$HO12=""),"",IF('DADOS_FORMAS'!$HO12="—","—",'DADOS_FORMAS'!$HP12&amp;IF('DADOS_FORMAS'!$HN12="alcance",INDEX('DADOS_FORMAS'!$GL$2:$GL$7,MIN(6,'DADOS_FORMAS'!$HR12+2)),IF('DADOS_FORMAS'!$HN12="raio",INDEX('DADOS_FORMAS'!$GN$2:$GN$6,MIN(5,'DADOS_FORMAS'!$HR12+2)),IF('DADOS_FORMAS'!$HN12="comprimento",INDEX('DADOS_FORMAS'!$GP$2:$GP$6,MIN(5,'DADOS_FORMAS'!$HR12+2)),'DADOS_FORMAS'!$HO12)))&amp;SUBSTITUTE('DADOS_FORMAS'!$HQ12,"em você","nela"))),UPPER(LEFT(trecho,1))&amp;MID(trecho,2,LEN(trecho)))</f>
        <v/>
      </c>
      <c r="HX47">
        <f>LET(trecho,IF(OR('DADOS_FORMAS'!$AH13="",'DADOS_FORMAS'!$HM12="",'DADOS_FORMAS'!$HO12=""),"",IF('DADOS_FORMAS'!$HO12="—","—",'DADOS_FORMAS'!$HP12&amp;IF('DADOS_FORMAS'!$HN12="alcance",INDEX('DADOS_FORMAS'!$GL$2:$GL$7,MIN(6,'DADOS_FORMAS'!$HR12+3)),IF('DADOS_FORMAS'!$HN12="raio",INDEX('DADOS_FORMAS'!$GN$2:$GN$6,MIN(5,'DADOS_FORMAS'!$HR12+3)),IF('DADOS_FORMAS'!$HN12="comprimento",INDEX('DADOS_FORMAS'!$GP$2:$GP$6,MIN(5,'DADOS_FORMAS'!$HR12+3)),'DADOS_FORMAS'!$HO12)))&amp;SUBSTITUTE('DADOS_FORMAS'!$HQ12,"em você","nela"))),UPPER(LEFT(trecho,1))&amp;MID(trecho,2,LEN(trecho)))</f>
        <v/>
      </c>
      <c r="HY47">
        <f>LET(trecho,IF(OR('DADOS_FORMAS'!$AH13="",'DADOS_FORMAS'!$HM12="",'DADOS_FORMAS'!$HO12=""),"",IF('DADOS_FORMAS'!$HO12="—","—",'DADOS_FORMAS'!$HP12&amp;IF('DADOS_FORMAS'!$HN12="alcance",INDEX('DADOS_FORMAS'!$GL$2:$GL$7,MIN(6,'DADOS_FORMAS'!$HR12+4)),IF('DADOS_FORMAS'!$HN12="raio",INDEX('DADOS_FORMAS'!$GN$2:$GN$6,MIN(5,'DADOS_FORMAS'!$HR12+4)),IF('DADOS_FORMAS'!$HN12="comprimento",INDEX('DADOS_FORMAS'!$GP$2:$GP$6,MIN(5,'DADOS_FORMAS'!$HR12+4)),'DADOS_FORMAS'!$HO12)))&amp;SUBSTITUTE('DADOS_FORMAS'!$HQ12,"em você","nela"))),UPPER(LEFT(trecho,1))&amp;MID(trecho,2,LEN(trecho)))</f>
        <v/>
      </c>
      <c r="HZ47">
        <f>LET(trecho,IF(OR('DADOS_FORMAS'!$AH13="",'DADOS_FORMAS'!$HM12="",'DADOS_FORMAS'!$HO12=""),"",IF('DADOS_FORMAS'!$HO12="—","—",'DADOS_FORMAS'!$HP12&amp;IF('DADOS_FORMAS'!$HN12="alcance",INDEX('DADOS_FORMAS'!$GL$2:$GL$7,MIN(6,'DADOS_FORMAS'!$HR12+5)),IF('DADOS_FORMAS'!$HN12="raio",INDEX('DADOS_FORMAS'!$GN$2:$GN$6,MIN(5,'DADOS_FORMAS'!$HR12+5)),IF('DADOS_FORMAS'!$HN12="comprimento",INDEX('DADOS_FORMAS'!$GP$2:$GP$6,MIN(5,'DADOS_FORMAS'!$HR12+5)),'DADOS_FORMAS'!$HO12)))&amp;SUBSTITUTE('DADOS_FORMAS'!$HQ12,"em você","nela"))),UPPER(LEFT(trecho,1))&amp;MID(trecho,2,LEN(trecho)))</f>
        <v/>
      </c>
      <c r="IA47">
        <f>IF(OR('DADOS_FORMAS'!$AH13="",'DADOS_FORMAS'!$HM13="",'DADOS_FORMAS'!$HO13=""),"",IF('DADOS_FORMAS'!$HO13="—","—",'DADOS_FORMAS'!$HP13&amp;'DADOS_FORMAS'!$HO13&amp;SUBSTITUTE('DADOS_FORMAS'!$HQ13,"em você","nela")))</f>
        <v/>
      </c>
      <c r="IB47">
        <f>IF(OR('DADOS_FORMAS'!$AH13="",'DADOS_FORMAS'!$HM13="",'DADOS_FORMAS'!$HO13=""),"",IF('DADOS_FORMAS'!$HO13="—","—",'DADOS_FORMAS'!$HP13&amp;IF('DADOS_FORMAS'!$HN13="alcance",INDEX('DADOS_FORMAS'!$GL$2:$GL$7,MIN(6,'DADOS_FORMAS'!$HR13+1)),IF('DADOS_FORMAS'!$HN13="raio",INDEX('DADOS_FORMAS'!$GN$2:$GN$6,MIN(5,'DADOS_FORMAS'!$HR13+1)),IF('DADOS_FORMAS'!$HN13="comprimento",INDEX('DADOS_FORMAS'!$GP$2:$GP$6,MIN(5,'DADOS_FORMAS'!$HR13+1)),'DADOS_FORMAS'!$HO13)))&amp;SUBSTITUTE('DADOS_FORMAS'!$HQ13,"em você","nela")))</f>
        <v/>
      </c>
      <c r="IC47">
        <f>IF(OR('DADOS_FORMAS'!$AH13="",'DADOS_FORMAS'!$HM13="",'DADOS_FORMAS'!$HO13=""),"",IF('DADOS_FORMAS'!$HO13="—","—",'DADOS_FORMAS'!$HP13&amp;IF('DADOS_FORMAS'!$HN13="alcance",INDEX('DADOS_FORMAS'!$GL$2:$GL$7,MIN(6,'DADOS_FORMAS'!$HR13+2)),IF('DADOS_FORMAS'!$HN13="raio",INDEX('DADOS_FORMAS'!$GN$2:$GN$6,MIN(5,'DADOS_FORMAS'!$HR13+2)),IF('DADOS_FORMAS'!$HN13="comprimento",INDEX('DADOS_FORMAS'!$GP$2:$GP$6,MIN(5,'DADOS_FORMAS'!$HR13+2)),'DADOS_FORMAS'!$HO13)))&amp;SUBSTITUTE('DADOS_FORMAS'!$HQ13,"em você","nela")))</f>
        <v/>
      </c>
      <c r="ID47">
        <f>IF(OR('DADOS_FORMAS'!$AH13="",'DADOS_FORMAS'!$HM13="",'DADOS_FORMAS'!$HO13=""),"",IF('DADOS_FORMAS'!$HO13="—","—",'DADOS_FORMAS'!$HP13&amp;IF('DADOS_FORMAS'!$HN13="alcance",INDEX('DADOS_FORMAS'!$GL$2:$GL$7,MIN(6,'DADOS_FORMAS'!$HR13+3)),IF('DADOS_FORMAS'!$HN13="raio",INDEX('DADOS_FORMAS'!$GN$2:$GN$6,MIN(5,'DADOS_FORMAS'!$HR13+3)),IF('DADOS_FORMAS'!$HN13="comprimento",INDEX('DADOS_FORMAS'!$GP$2:$GP$6,MIN(5,'DADOS_FORMAS'!$HR13+3)),'DADOS_FORMAS'!$HO13)))&amp;SUBSTITUTE('DADOS_FORMAS'!$HQ13,"em você","nela")))</f>
        <v/>
      </c>
      <c r="IE47">
        <f>IF(OR('DADOS_FORMAS'!$AH13="",'DADOS_FORMAS'!$HM13="",'DADOS_FORMAS'!$HO13=""),"",IF('DADOS_FORMAS'!$HO13="—","—",'DADOS_FORMAS'!$HP13&amp;IF('DADOS_FORMAS'!$HN13="alcance",INDEX('DADOS_FORMAS'!$GL$2:$GL$7,MIN(6,'DADOS_FORMAS'!$HR13+4)),IF('DADOS_FORMAS'!$HN13="raio",INDEX('DADOS_FORMAS'!$GN$2:$GN$6,MIN(5,'DADOS_FORMAS'!$HR13+4)),IF('DADOS_FORMAS'!$HN13="comprimento",INDEX('DADOS_FORMAS'!$GP$2:$GP$6,MIN(5,'DADOS_FORMAS'!$HR13+4)),'DADOS_FORMAS'!$HO13)))&amp;SUBSTITUTE('DADOS_FORMAS'!$HQ13,"em você","nela")))</f>
        <v/>
      </c>
      <c r="IF47">
        <f>IF(OR('DADOS_FORMAS'!$AH13="",'DADOS_FORMAS'!$HM13="",'DADOS_FORMAS'!$HO13=""),"",IF('DADOS_FORMAS'!$HO13="—","—",'DADOS_FORMAS'!$HP13&amp;IF('DADOS_FORMAS'!$HN13="alcance",INDEX('DADOS_FORMAS'!$GL$2:$GL$7,MIN(6,'DADOS_FORMAS'!$HR13+5)),IF('DADOS_FORMAS'!$HN13="raio",INDEX('DADOS_FORMAS'!$GN$2:$GN$6,MIN(5,'DADOS_FORMAS'!$HR13+5)),IF('DADOS_FORMAS'!$HN13="comprimento",INDEX('DADOS_FORMAS'!$GP$2:$GP$6,MIN(5,'DADOS_FORMAS'!$HR13+5)),'DADOS_FORMAS'!$HO13)))&amp;SUBSTITUTE('DADOS_FORMAS'!$HQ13,"em você","nela")))</f>
        <v/>
      </c>
      <c r="KA47">
        <f>IFERROR(INDEX(INDEX('DADOS_RESTRICOES'!$M$2:$Q$54,0,1),45),"")</f>
        <v/>
      </c>
    </row>
    <row r="48">
      <c r="GR48">
        <f>'DADOS_FORMAS'!$BL19</f>
        <v/>
      </c>
      <c r="GS48">
        <f>IF('DADOS_FORMAS'!$BL19="area",'DADOS_FORMAS'!$AU19,'DADOS_FORMAS'!$AT19)</f>
        <v/>
      </c>
      <c r="GT48">
        <f>IF('DADOS_FORMAS'!$BL19="area",'DADOS_FORMAS'!$BE19,'DADOS_FORMAS'!$AX19)</f>
        <v/>
      </c>
      <c r="GU48">
        <f>'DADOS_FORMAS'!$BM19</f>
        <v/>
      </c>
      <c r="GV48">
        <f>'DADOS_FORMAS'!$BN19</f>
        <v/>
      </c>
      <c r="GW48">
        <f>LET(base,'DADOS_FORMAS'!$GT48,escada,'DADOS_FORMAS'!$GS48,medida,LEFT(base,MAX(0,LEN(base)-2)),valor,IFERROR(VALUE(SUBSTITUTE(medida,",",""))/10^IFERROR(LEN(medida)-FIND(",",medida),0),1E99),IF(OR(escada="Fixo",base="—"),base,IF(escada="alcance",IFERROR(MATCH(base,{"1,5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8">
        <f>'DADOS_FORMAS'!$AH17&amp;" · classes 1 a 5"</f>
        <v/>
      </c>
      <c r="GZ48">
        <f>LET(trecho,IF(OR('DADOS_FORMAS'!$AH17="",'DADOS_FORMAS'!$GR34="",'DADOS_FORMAS'!$GT34=""),"",IF('DADOS_FORMAS'!$GT34="—","—",'DADOS_FORMAS'!$GU34&amp;'DADOS_FORMAS'!$GT34&amp;'DADOS_FORMAS'!$GV34)),UPPER(LEFT(trecho,1))&amp;MID(trecho,2,LEN(trecho)))</f>
        <v/>
      </c>
      <c r="HA48">
        <f>LET(trecho,IF(OR('DADOS_FORMAS'!$AH17="",'DADOS_FORMAS'!$GR34="",'DADOS_FORMAS'!$GT34=""),"",IF('DADOS_FORMAS'!$GT34="—","—",'DADOS_FORMAS'!$GU34&amp;IF('DADOS_FORMAS'!$GS34="alcance",INDEX('DADOS_FORMAS'!$GL$2:$GL$7,MIN(6,'DADOS_FORMAS'!$GW34+1)),IF('DADOS_FORMAS'!$GS34="raio",INDEX('DADOS_FORMAS'!$GN$2:$GN$6,MIN(5,'DADOS_FORMAS'!$GW34+1)),IF('DADOS_FORMAS'!$GS34="comprimento",INDEX('DADOS_FORMAS'!$GP$2:$GP$6,MIN(5,'DADOS_FORMAS'!$GW34+1)),'DADOS_FORMAS'!$GT34)))&amp;'DADOS_FORMAS'!$GV34)),UPPER(LEFT(trecho,1))&amp;MID(trecho,2,LEN(trecho)))</f>
        <v/>
      </c>
      <c r="HB48">
        <f>LET(trecho,IF(OR('DADOS_FORMAS'!$AH17="",'DADOS_FORMAS'!$GR34="",'DADOS_FORMAS'!$GT34=""),"",IF('DADOS_FORMAS'!$GT34="—","—",'DADOS_FORMAS'!$GU34&amp;IF('DADOS_FORMAS'!$GS34="alcance",INDEX('DADOS_FORMAS'!$GL$2:$GL$7,MIN(6,'DADOS_FORMAS'!$GW34+2)),IF('DADOS_FORMAS'!$GS34="raio",INDEX('DADOS_FORMAS'!$GN$2:$GN$6,MIN(5,'DADOS_FORMAS'!$GW34+2)),IF('DADOS_FORMAS'!$GS34="comprimento",INDEX('DADOS_FORMAS'!$GP$2:$GP$6,MIN(5,'DADOS_FORMAS'!$GW34+2)),'DADOS_FORMAS'!$GT34)))&amp;'DADOS_FORMAS'!$GV34)),UPPER(LEFT(trecho,1))&amp;MID(trecho,2,LEN(trecho)))</f>
        <v/>
      </c>
      <c r="HC48">
        <f>LET(trecho,IF(OR('DADOS_FORMAS'!$AH17="",'DADOS_FORMAS'!$GR34="",'DADOS_FORMAS'!$GT34=""),"",IF('DADOS_FORMAS'!$GT34="—","—",'DADOS_FORMAS'!$GU34&amp;IF('DADOS_FORMAS'!$GS34="alcance",INDEX('DADOS_FORMAS'!$GL$2:$GL$7,MIN(6,'DADOS_FORMAS'!$GW34+3)),IF('DADOS_FORMAS'!$GS34="raio",INDEX('DADOS_FORMAS'!$GN$2:$GN$6,MIN(5,'DADOS_FORMAS'!$GW34+3)),IF('DADOS_FORMAS'!$GS34="comprimento",INDEX('DADOS_FORMAS'!$GP$2:$GP$6,MIN(5,'DADOS_FORMAS'!$GW34+3)),'DADOS_FORMAS'!$GT34)))&amp;'DADOS_FORMAS'!$GV34)),UPPER(LEFT(trecho,1))&amp;MID(trecho,2,LEN(trecho)))</f>
        <v/>
      </c>
      <c r="HD48">
        <f>LET(trecho,IF(OR('DADOS_FORMAS'!$AH17="",'DADOS_FORMAS'!$GR34="",'DADOS_FORMAS'!$GT34=""),"",IF('DADOS_FORMAS'!$GT34="—","—",'DADOS_FORMAS'!$GU34&amp;IF('DADOS_FORMAS'!$GS34="alcance",INDEX('DADOS_FORMAS'!$GL$2:$GL$7,MIN(6,'DADOS_FORMAS'!$GW34+4)),IF('DADOS_FORMAS'!$GS34="raio",INDEX('DADOS_FORMAS'!$GN$2:$GN$6,MIN(5,'DADOS_FORMAS'!$GW34+4)),IF('DADOS_FORMAS'!$GS34="comprimento",INDEX('DADOS_FORMAS'!$GP$2:$GP$6,MIN(5,'DADOS_FORMAS'!$GW34+4)),'DADOS_FORMAS'!$GT34)))&amp;'DADOS_FORMAS'!$GV34)),UPPER(LEFT(trecho,1))&amp;MID(trecho,2,LEN(trecho)))</f>
        <v/>
      </c>
      <c r="HE48">
        <f>LET(trecho,IF(OR('DADOS_FORMAS'!$AH17="",'DADOS_FORMAS'!$GR34="",'DADOS_FORMAS'!$GT34=""),"",IF('DADOS_FORMAS'!$GT34="—","—",'DADOS_FORMAS'!$GU34&amp;IF('DADOS_FORMAS'!$GS34="alcance",INDEX('DADOS_FORMAS'!$GL$2:$GL$7,MIN(6,'DADOS_FORMAS'!$GW34+5)),IF('DADOS_FORMAS'!$GS34="raio",INDEX('DADOS_FORMAS'!$GN$2:$GN$6,MIN(5,'DADOS_FORMAS'!$GW34+5)),IF('DADOS_FORMAS'!$GS34="comprimento",INDEX('DADOS_FORMAS'!$GP$2:$GP$6,MIN(5,'DADOS_FORMAS'!$GW34+5)),'DADOS_FORMAS'!$GT34)))&amp;'DADOS_FORMAS'!$GV34)),UPPER(LEFT(trecho,1))&amp;MID(trecho,2,LEN(trecho)))</f>
        <v/>
      </c>
      <c r="HF48">
        <f>IF(OR('DADOS_FORMAS'!$AH17="",'DADOS_FORMAS'!$GR35="",'DADOS_FORMAS'!$GT35=""),"",IF('DADOS_FORMAS'!$GT35="—","—",'DADOS_FORMAS'!$GU35&amp;'DADOS_FORMAS'!$GT35&amp;'DADOS_FORMAS'!$GV35))</f>
        <v/>
      </c>
      <c r="HG48">
        <f>IF(OR('DADOS_FORMAS'!$AH17="",'DADOS_FORMAS'!$GR35="",'DADOS_FORMAS'!$GT35=""),"",IF('DADOS_FORMAS'!$GT35="—","—",'DADOS_FORMAS'!$GU35&amp;IF('DADOS_FORMAS'!$GS35="alcance",INDEX('DADOS_FORMAS'!$GL$2:$GL$7,MIN(6,'DADOS_FORMAS'!$GW35+1)),IF('DADOS_FORMAS'!$GS35="raio",INDEX('DADOS_FORMAS'!$GN$2:$GN$6,MIN(5,'DADOS_FORMAS'!$GW35+1)),IF('DADOS_FORMAS'!$GS35="comprimento",INDEX('DADOS_FORMAS'!$GP$2:$GP$6,MIN(5,'DADOS_FORMAS'!$GW35+1)),'DADOS_FORMAS'!$GT35)))&amp;'DADOS_FORMAS'!$GV35))</f>
        <v/>
      </c>
      <c r="HH48">
        <f>IF(OR('DADOS_FORMAS'!$AH17="",'DADOS_FORMAS'!$GR35="",'DADOS_FORMAS'!$GT35=""),"",IF('DADOS_FORMAS'!$GT35="—","—",'DADOS_FORMAS'!$GU35&amp;IF('DADOS_FORMAS'!$GS35="alcance",INDEX('DADOS_FORMAS'!$GL$2:$GL$7,MIN(6,'DADOS_FORMAS'!$GW35+2)),IF('DADOS_FORMAS'!$GS35="raio",INDEX('DADOS_FORMAS'!$GN$2:$GN$6,MIN(5,'DADOS_FORMAS'!$GW35+2)),IF('DADOS_FORMAS'!$GS35="comprimento",INDEX('DADOS_FORMAS'!$GP$2:$GP$6,MIN(5,'DADOS_FORMAS'!$GW35+2)),'DADOS_FORMAS'!$GT35)))&amp;'DADOS_FORMAS'!$GV35))</f>
        <v/>
      </c>
      <c r="HI48">
        <f>IF(OR('DADOS_FORMAS'!$AH17="",'DADOS_FORMAS'!$GR35="",'DADOS_FORMAS'!$GT35=""),"",IF('DADOS_FORMAS'!$GT35="—","—",'DADOS_FORMAS'!$GU35&amp;IF('DADOS_FORMAS'!$GS35="alcance",INDEX('DADOS_FORMAS'!$GL$2:$GL$7,MIN(6,'DADOS_FORMAS'!$GW35+3)),IF('DADOS_FORMAS'!$GS35="raio",INDEX('DADOS_FORMAS'!$GN$2:$GN$6,MIN(5,'DADOS_FORMAS'!$GW35+3)),IF('DADOS_FORMAS'!$GS35="comprimento",INDEX('DADOS_FORMAS'!$GP$2:$GP$6,MIN(5,'DADOS_FORMAS'!$GW35+3)),'DADOS_FORMAS'!$GT35)))&amp;'DADOS_FORMAS'!$GV35))</f>
        <v/>
      </c>
      <c r="HJ48">
        <f>IF(OR('DADOS_FORMAS'!$AH17="",'DADOS_FORMAS'!$GR35="",'DADOS_FORMAS'!$GT35=""),"",IF('DADOS_FORMAS'!$GT35="—","—",'DADOS_FORMAS'!$GU35&amp;IF('DADOS_FORMAS'!$GS35="alcance",INDEX('DADOS_FORMAS'!$GL$2:$GL$7,MIN(6,'DADOS_FORMAS'!$GW35+4)),IF('DADOS_FORMAS'!$GS35="raio",INDEX('DADOS_FORMAS'!$GN$2:$GN$6,MIN(5,'DADOS_FORMAS'!$GW35+4)),IF('DADOS_FORMAS'!$GS35="comprimento",INDEX('DADOS_FORMAS'!$GP$2:$GP$6,MIN(5,'DADOS_FORMAS'!$GW35+4)),'DADOS_FORMAS'!$GT35)))&amp;'DADOS_FORMAS'!$GV35))</f>
        <v/>
      </c>
      <c r="HK48">
        <f>IF(OR('DADOS_FORMAS'!$AH17="",'DADOS_FORMAS'!$GR35="",'DADOS_FORMAS'!$GT35=""),"",IF('DADOS_FORMAS'!$GT35="—","—",'DADOS_FORMAS'!$GU35&amp;IF('DADOS_FORMAS'!$GS35="alcance",INDEX('DADOS_FORMAS'!$GL$2:$GL$7,MIN(6,'DADOS_FORMAS'!$GW35+5)),IF('DADOS_FORMAS'!$GS35="raio",INDEX('DADOS_FORMAS'!$GN$2:$GN$6,MIN(5,'DADOS_FORMAS'!$GW35+5)),IF('DADOS_FORMAS'!$GS35="comprimento",INDEX('DADOS_FORMAS'!$GP$2:$GP$6,MIN(5,'DADOS_FORMAS'!$GW35+5)),'DADOS_FORMAS'!$GT35)))&amp;'DADOS_FORMAS'!$GV35))</f>
        <v/>
      </c>
      <c r="HM48">
        <f>'DADOS_FORMAS'!$BL17</f>
        <v/>
      </c>
      <c r="HN48">
        <f>IF('DADOS_FORMAS'!$BL17="area",'DADOS_FORMAS'!$AU17,'DADOS_FORMAS'!$AT17)</f>
        <v/>
      </c>
      <c r="HO48">
        <f>IF('DADOS_FORMAS'!$BL17="area",'DADOS_FORMAS'!$BI17,'DADOS_FORMAS'!$BB17)</f>
        <v/>
      </c>
      <c r="HP48">
        <f>'DADOS_FORMAS'!$BM17</f>
        <v/>
      </c>
      <c r="HQ48">
        <f>'DADOS_FORMAS'!$BN17</f>
        <v/>
      </c>
      <c r="HR48">
        <f>LET(base,'DADOS_FORMAS'!$HO48,escada,'DADOS_FORMAS'!$HN48,medida,LEFT(base,MAX(0,LEN(base)-2)),valor,IFERROR(VALUE(SUBSTITUTE(medida,",",""))/10^IFERROR(LEN(medida)-FIND(",",medida),0),1E99),IF(OR(escada="Fixo",base="—"),base,IF(escada="alcance",IFERROR(MATCH(base,{"1,5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8">
        <f>'DADOS_FORMAS'!$AH13&amp;" · classe 6"</f>
        <v/>
      </c>
      <c r="HU48">
        <f>LET(trecho,IF(OR('DADOS_FORMAS'!$AH13="",'DADOS_FORMAS'!$HM14="",'DADOS_FORMAS'!$HO14=""),"",IF('DADOS_FORMAS'!$HO14="—","—",'DADOS_FORMAS'!$HP14&amp;'DADOS_FORMAS'!$HO14&amp;SUBSTITUTE('DADOS_FORMAS'!$HQ14,"em você","nela"))),UPPER(LEFT(trecho,1))&amp;MID(trecho,2,LEN(trecho)))</f>
        <v/>
      </c>
      <c r="HV48">
        <f>LET(trecho,IF(OR('DADOS_FORMAS'!$AH13="",'DADOS_FORMAS'!$HM14="",'DADOS_FORMAS'!$HO14=""),"",IF('DADOS_FORMAS'!$HO14="—","—",'DADOS_FORMAS'!$HP14&amp;IF('DADOS_FORMAS'!$HN14="alcance",INDEX('DADOS_FORMAS'!$GL$2:$GL$7,MIN(6,'DADOS_FORMAS'!$HR14+1)),IF('DADOS_FORMAS'!$HN14="raio",INDEX('DADOS_FORMAS'!$GN$2:$GN$6,MIN(5,'DADOS_FORMAS'!$HR14+1)),IF('DADOS_FORMAS'!$HN14="comprimento",INDEX('DADOS_FORMAS'!$GP$2:$GP$6,MIN(5,'DADOS_FORMAS'!$HR14+1)),'DADOS_FORMAS'!$HO14)))&amp;SUBSTITUTE('DADOS_FORMAS'!$HQ14,"em você","nela"))),UPPER(LEFT(trecho,1))&amp;MID(trecho,2,LEN(trecho)))</f>
        <v/>
      </c>
      <c r="HW48">
        <f>LET(trecho,IF(OR('DADOS_FORMAS'!$AH13="",'DADOS_FORMAS'!$HM14="",'DADOS_FORMAS'!$HO14=""),"",IF('DADOS_FORMAS'!$HO14="—","—",'DADOS_FORMAS'!$HP14&amp;IF('DADOS_FORMAS'!$HN14="alcance",INDEX('DADOS_FORMAS'!$GL$2:$GL$7,MIN(6,'DADOS_FORMAS'!$HR14+2)),IF('DADOS_FORMAS'!$HN14="raio",INDEX('DADOS_FORMAS'!$GN$2:$GN$6,MIN(5,'DADOS_FORMAS'!$HR14+2)),IF('DADOS_FORMAS'!$HN14="comprimento",INDEX('DADOS_FORMAS'!$GP$2:$GP$6,MIN(5,'DADOS_FORMAS'!$HR14+2)),'DADOS_FORMAS'!$HO14)))&amp;SUBSTITUTE('DADOS_FORMAS'!$HQ14,"em você","nela"))),UPPER(LEFT(trecho,1))&amp;MID(trecho,2,LEN(trecho)))</f>
        <v/>
      </c>
      <c r="HX48">
        <f>LET(trecho,IF(OR('DADOS_FORMAS'!$AH13="",'DADOS_FORMAS'!$HM14="",'DADOS_FORMAS'!$HO14=""),"",IF('DADOS_FORMAS'!$HO14="—","—",'DADOS_FORMAS'!$HP14&amp;IF('DADOS_FORMAS'!$HN14="alcance",INDEX('DADOS_FORMAS'!$GL$2:$GL$7,MIN(6,'DADOS_FORMAS'!$HR14+3)),IF('DADOS_FORMAS'!$HN14="raio",INDEX('DADOS_FORMAS'!$GN$2:$GN$6,MIN(5,'DADOS_FORMAS'!$HR14+3)),IF('DADOS_FORMAS'!$HN14="comprimento",INDEX('DADOS_FORMAS'!$GP$2:$GP$6,MIN(5,'DADOS_FORMAS'!$HR14+3)),'DADOS_FORMAS'!$HO14)))&amp;SUBSTITUTE('DADOS_FORMAS'!$HQ14,"em você","nela"))),UPPER(LEFT(trecho,1))&amp;MID(trecho,2,LEN(trecho)))</f>
        <v/>
      </c>
      <c r="HY48">
        <f>LET(trecho,IF(OR('DADOS_FORMAS'!$AH13="",'DADOS_FORMAS'!$HM14="",'DADOS_FORMAS'!$HO14=""),"",IF('DADOS_FORMAS'!$HO14="—","—",'DADOS_FORMAS'!$HP14&amp;IF('DADOS_FORMAS'!$HN14="alcance",INDEX('DADOS_FORMAS'!$GL$2:$GL$7,MIN(6,'DADOS_FORMAS'!$HR14+4)),IF('DADOS_FORMAS'!$HN14="raio",INDEX('DADOS_FORMAS'!$GN$2:$GN$6,MIN(5,'DADOS_FORMAS'!$HR14+4)),IF('DADOS_FORMAS'!$HN14="comprimento",INDEX('DADOS_FORMAS'!$GP$2:$GP$6,MIN(5,'DADOS_FORMAS'!$HR14+4)),'DADOS_FORMAS'!$HO14)))&amp;SUBSTITUTE('DADOS_FORMAS'!$HQ14,"em você","nela"))),UPPER(LEFT(trecho,1))&amp;MID(trecho,2,LEN(trecho)))</f>
        <v/>
      </c>
      <c r="HZ48">
        <f>LET(trecho,IF(OR('DADOS_FORMAS'!$AH13="",'DADOS_FORMAS'!$HM14="",'DADOS_FORMAS'!$HO14=""),"",IF('DADOS_FORMAS'!$HO14="—","—",'DADOS_FORMAS'!$HP14&amp;IF('DADOS_FORMAS'!$HN14="alcance",INDEX('DADOS_FORMAS'!$GL$2:$GL$7,MIN(6,'DADOS_FORMAS'!$HR14+5)),IF('DADOS_FORMAS'!$HN14="raio",INDEX('DADOS_FORMAS'!$GN$2:$GN$6,MIN(5,'DADOS_FORMAS'!$HR14+5)),IF('DADOS_FORMAS'!$HN14="comprimento",INDEX('DADOS_FORMAS'!$GP$2:$GP$6,MIN(5,'DADOS_FORMAS'!$HR14+5)),'DADOS_FORMAS'!$HO14)))&amp;SUBSTITUTE('DADOS_FORMAS'!$HQ14,"em você","nela"))),UPPER(LEFT(trecho,1))&amp;MID(trecho,2,LEN(trecho)))</f>
        <v/>
      </c>
      <c r="IA48">
        <f>IF(OR('DADOS_FORMAS'!$AH13="",'DADOS_FORMAS'!$HM15="",'DADOS_FORMAS'!$HO15=""),"",IF('DADOS_FORMAS'!$HO15="—","—",'DADOS_FORMAS'!$HP15&amp;'DADOS_FORMAS'!$HO15&amp;SUBSTITUTE('DADOS_FORMAS'!$HQ15,"em você","nela")))</f>
        <v/>
      </c>
      <c r="IB48">
        <f>IF(OR('DADOS_FORMAS'!$AH13="",'DADOS_FORMAS'!$HM15="",'DADOS_FORMAS'!$HO15=""),"",IF('DADOS_FORMAS'!$HO15="—","—",'DADOS_FORMAS'!$HP15&amp;IF('DADOS_FORMAS'!$HN15="alcance",INDEX('DADOS_FORMAS'!$GL$2:$GL$7,MIN(6,'DADOS_FORMAS'!$HR15+1)),IF('DADOS_FORMAS'!$HN15="raio",INDEX('DADOS_FORMAS'!$GN$2:$GN$6,MIN(5,'DADOS_FORMAS'!$HR15+1)),IF('DADOS_FORMAS'!$HN15="comprimento",INDEX('DADOS_FORMAS'!$GP$2:$GP$6,MIN(5,'DADOS_FORMAS'!$HR15+1)),'DADOS_FORMAS'!$HO15)))&amp;SUBSTITUTE('DADOS_FORMAS'!$HQ15,"em você","nela")))</f>
        <v/>
      </c>
      <c r="IC48">
        <f>IF(OR('DADOS_FORMAS'!$AH13="",'DADOS_FORMAS'!$HM15="",'DADOS_FORMAS'!$HO15=""),"",IF('DADOS_FORMAS'!$HO15="—","—",'DADOS_FORMAS'!$HP15&amp;IF('DADOS_FORMAS'!$HN15="alcance",INDEX('DADOS_FORMAS'!$GL$2:$GL$7,MIN(6,'DADOS_FORMAS'!$HR15+2)),IF('DADOS_FORMAS'!$HN15="raio",INDEX('DADOS_FORMAS'!$GN$2:$GN$6,MIN(5,'DADOS_FORMAS'!$HR15+2)),IF('DADOS_FORMAS'!$HN15="comprimento",INDEX('DADOS_FORMAS'!$GP$2:$GP$6,MIN(5,'DADOS_FORMAS'!$HR15+2)),'DADOS_FORMAS'!$HO15)))&amp;SUBSTITUTE('DADOS_FORMAS'!$HQ15,"em você","nela")))</f>
        <v/>
      </c>
      <c r="ID48">
        <f>IF(OR('DADOS_FORMAS'!$AH13="",'DADOS_FORMAS'!$HM15="",'DADOS_FORMAS'!$HO15=""),"",IF('DADOS_FORMAS'!$HO15="—","—",'DADOS_FORMAS'!$HP15&amp;IF('DADOS_FORMAS'!$HN15="alcance",INDEX('DADOS_FORMAS'!$GL$2:$GL$7,MIN(6,'DADOS_FORMAS'!$HR15+3)),IF('DADOS_FORMAS'!$HN15="raio",INDEX('DADOS_FORMAS'!$GN$2:$GN$6,MIN(5,'DADOS_FORMAS'!$HR15+3)),IF('DADOS_FORMAS'!$HN15="comprimento",INDEX('DADOS_FORMAS'!$GP$2:$GP$6,MIN(5,'DADOS_FORMAS'!$HR15+3)),'DADOS_FORMAS'!$HO15)))&amp;SUBSTITUTE('DADOS_FORMAS'!$HQ15,"em você","nela")))</f>
        <v/>
      </c>
      <c r="IE48">
        <f>IF(OR('DADOS_FORMAS'!$AH13="",'DADOS_FORMAS'!$HM15="",'DADOS_FORMAS'!$HO15=""),"",IF('DADOS_FORMAS'!$HO15="—","—",'DADOS_FORMAS'!$HP15&amp;IF('DADOS_FORMAS'!$HN15="alcance",INDEX('DADOS_FORMAS'!$GL$2:$GL$7,MIN(6,'DADOS_FORMAS'!$HR15+4)),IF('DADOS_FORMAS'!$HN15="raio",INDEX('DADOS_FORMAS'!$GN$2:$GN$6,MIN(5,'DADOS_FORMAS'!$HR15+4)),IF('DADOS_FORMAS'!$HN15="comprimento",INDEX('DADOS_FORMAS'!$GP$2:$GP$6,MIN(5,'DADOS_FORMAS'!$HR15+4)),'DADOS_FORMAS'!$HO15)))&amp;SUBSTITUTE('DADOS_FORMAS'!$HQ15,"em você","nela")))</f>
        <v/>
      </c>
      <c r="IF48">
        <f>IF(OR('DADOS_FORMAS'!$AH13="",'DADOS_FORMAS'!$HM15="",'DADOS_FORMAS'!$HO15=""),"",IF('DADOS_FORMAS'!$HO15="—","—",'DADOS_FORMAS'!$HP15&amp;IF('DADOS_FORMAS'!$HN15="alcance",INDEX('DADOS_FORMAS'!$GL$2:$GL$7,MIN(6,'DADOS_FORMAS'!$HR15+5)),IF('DADOS_FORMAS'!$HN15="raio",INDEX('DADOS_FORMAS'!$GN$2:$GN$6,MIN(5,'DADOS_FORMAS'!$HR15+5)),IF('DADOS_FORMAS'!$HN15="comprimento",INDEX('DADOS_FORMAS'!$GP$2:$GP$6,MIN(5,'DADOS_FORMAS'!$HR15+5)),'DADOS_FORMAS'!$HO15)))&amp;SUBSTITUTE('DADOS_FORMAS'!$HQ15,"em você","nela")))</f>
        <v/>
      </c>
      <c r="KA48">
        <f>IFERROR(INDEX(INDEX('DADOS_RESTRICOES'!$M$2:$Q$54,0,1),46),"")</f>
        <v/>
      </c>
    </row>
    <row r="49">
      <c r="GR49">
        <f>'DADOS_FORMAS'!$BP19</f>
        <v/>
      </c>
      <c r="GS49">
        <f>IF('DADOS_FORMAS'!$BP19="area",'DADOS_FORMAS'!$AU19,'DADOS_FORMAS'!$AT19)</f>
        <v/>
      </c>
      <c r="GT49">
        <f>IF('DADOS_FORMAS'!$BP19="area",'DADOS_FORMAS'!$BE19,'DADOS_FORMAS'!$AX19)</f>
        <v/>
      </c>
      <c r="GU49">
        <f>'DADOS_FORMAS'!$BQ19</f>
        <v/>
      </c>
      <c r="GV49">
        <f>'DADOS_FORMAS'!$BR19</f>
        <v/>
      </c>
      <c r="GW49">
        <f>LET(base,'DADOS_FORMAS'!$GT49,escada,'DADOS_FORMAS'!$GS49,medida,LEFT(base,MAX(0,LEN(base)-2)),valor,IFERROR(VALUE(SUBSTITUTE(medida,",",""))/10^IFERROR(LEN(medida)-FIND(",",medida),0),1E99),IF(OR(escada="Fixo",base="—"),base,IF(escada="alcance",IFERROR(MATCH(base,{"1,5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49">
        <f>'DADOS_FORMAS'!$AH17&amp;" · classes 6 e 7"</f>
        <v/>
      </c>
      <c r="GZ49">
        <f>LET(trecho,IF(OR('DADOS_FORMAS'!$AH17="",'DADOS_FORMAS'!$GR36="",'DADOS_FORMAS'!$GT36=""),"",IF('DADOS_FORMAS'!$GT36="—","—",'DADOS_FORMAS'!$GU36&amp;'DADOS_FORMAS'!$GT36&amp;'DADOS_FORMAS'!$GV36)),UPPER(LEFT(trecho,1))&amp;MID(trecho,2,LEN(trecho)))</f>
        <v/>
      </c>
      <c r="HA49">
        <f>LET(trecho,IF(OR('DADOS_FORMAS'!$AH17="",'DADOS_FORMAS'!$GR36="",'DADOS_FORMAS'!$GT36=""),"",IF('DADOS_FORMAS'!$GT36="—","—",'DADOS_FORMAS'!$GU36&amp;IF('DADOS_FORMAS'!$GS36="alcance",INDEX('DADOS_FORMAS'!$GL$2:$GL$7,MIN(6,'DADOS_FORMAS'!$GW36+1)),IF('DADOS_FORMAS'!$GS36="raio",INDEX('DADOS_FORMAS'!$GN$2:$GN$6,MIN(5,'DADOS_FORMAS'!$GW36+1)),IF('DADOS_FORMAS'!$GS36="comprimento",INDEX('DADOS_FORMAS'!$GP$2:$GP$6,MIN(5,'DADOS_FORMAS'!$GW36+1)),'DADOS_FORMAS'!$GT36)))&amp;'DADOS_FORMAS'!$GV36)),UPPER(LEFT(trecho,1))&amp;MID(trecho,2,LEN(trecho)))</f>
        <v/>
      </c>
      <c r="HB49">
        <f>LET(trecho,IF(OR('DADOS_FORMAS'!$AH17="",'DADOS_FORMAS'!$GR36="",'DADOS_FORMAS'!$GT36=""),"",IF('DADOS_FORMAS'!$GT36="—","—",'DADOS_FORMAS'!$GU36&amp;IF('DADOS_FORMAS'!$GS36="alcance",INDEX('DADOS_FORMAS'!$GL$2:$GL$7,MIN(6,'DADOS_FORMAS'!$GW36+2)),IF('DADOS_FORMAS'!$GS36="raio",INDEX('DADOS_FORMAS'!$GN$2:$GN$6,MIN(5,'DADOS_FORMAS'!$GW36+2)),IF('DADOS_FORMAS'!$GS36="comprimento",INDEX('DADOS_FORMAS'!$GP$2:$GP$6,MIN(5,'DADOS_FORMAS'!$GW36+2)),'DADOS_FORMAS'!$GT36)))&amp;'DADOS_FORMAS'!$GV36)),UPPER(LEFT(trecho,1))&amp;MID(trecho,2,LEN(trecho)))</f>
        <v/>
      </c>
      <c r="HC49">
        <f>LET(trecho,IF(OR('DADOS_FORMAS'!$AH17="",'DADOS_FORMAS'!$GR36="",'DADOS_FORMAS'!$GT36=""),"",IF('DADOS_FORMAS'!$GT36="—","—",'DADOS_FORMAS'!$GU36&amp;IF('DADOS_FORMAS'!$GS36="alcance",INDEX('DADOS_FORMAS'!$GL$2:$GL$7,MIN(6,'DADOS_FORMAS'!$GW36+3)),IF('DADOS_FORMAS'!$GS36="raio",INDEX('DADOS_FORMAS'!$GN$2:$GN$6,MIN(5,'DADOS_FORMAS'!$GW36+3)),IF('DADOS_FORMAS'!$GS36="comprimento",INDEX('DADOS_FORMAS'!$GP$2:$GP$6,MIN(5,'DADOS_FORMAS'!$GW36+3)),'DADOS_FORMAS'!$GT36)))&amp;'DADOS_FORMAS'!$GV36)),UPPER(LEFT(trecho,1))&amp;MID(trecho,2,LEN(trecho)))</f>
        <v/>
      </c>
      <c r="HD49">
        <f>LET(trecho,IF(OR('DADOS_FORMAS'!$AH17="",'DADOS_FORMAS'!$GR36="",'DADOS_FORMAS'!$GT36=""),"",IF('DADOS_FORMAS'!$GT36="—","—",'DADOS_FORMAS'!$GU36&amp;IF('DADOS_FORMAS'!$GS36="alcance",INDEX('DADOS_FORMAS'!$GL$2:$GL$7,MIN(6,'DADOS_FORMAS'!$GW36+4)),IF('DADOS_FORMAS'!$GS36="raio",INDEX('DADOS_FORMAS'!$GN$2:$GN$6,MIN(5,'DADOS_FORMAS'!$GW36+4)),IF('DADOS_FORMAS'!$GS36="comprimento",INDEX('DADOS_FORMAS'!$GP$2:$GP$6,MIN(5,'DADOS_FORMAS'!$GW36+4)),'DADOS_FORMAS'!$GT36)))&amp;'DADOS_FORMAS'!$GV36)),UPPER(LEFT(trecho,1))&amp;MID(trecho,2,LEN(trecho)))</f>
        <v/>
      </c>
      <c r="HE49">
        <f>LET(trecho,IF(OR('DADOS_FORMAS'!$AH17="",'DADOS_FORMAS'!$GR36="",'DADOS_FORMAS'!$GT36=""),"",IF('DADOS_FORMAS'!$GT36="—","—",'DADOS_FORMAS'!$GU36&amp;IF('DADOS_FORMAS'!$GS36="alcance",INDEX('DADOS_FORMAS'!$GL$2:$GL$7,MIN(6,'DADOS_FORMAS'!$GW36+5)),IF('DADOS_FORMAS'!$GS36="raio",INDEX('DADOS_FORMAS'!$GN$2:$GN$6,MIN(5,'DADOS_FORMAS'!$GW36+5)),IF('DADOS_FORMAS'!$GS36="comprimento",INDEX('DADOS_FORMAS'!$GP$2:$GP$6,MIN(5,'DADOS_FORMAS'!$GW36+5)),'DADOS_FORMAS'!$GT36)))&amp;'DADOS_FORMAS'!$GV36)),UPPER(LEFT(trecho,1))&amp;MID(trecho,2,LEN(trecho)))</f>
        <v/>
      </c>
      <c r="HF49">
        <f>IF(OR('DADOS_FORMAS'!$AH17="",'DADOS_FORMAS'!$GR37="",'DADOS_FORMAS'!$GT37=""),"",IF('DADOS_FORMAS'!$GT37="—","—",'DADOS_FORMAS'!$GU37&amp;'DADOS_FORMAS'!$GT37&amp;'DADOS_FORMAS'!$GV37))</f>
        <v/>
      </c>
      <c r="HG49">
        <f>IF(OR('DADOS_FORMAS'!$AH17="",'DADOS_FORMAS'!$GR37="",'DADOS_FORMAS'!$GT37=""),"",IF('DADOS_FORMAS'!$GT37="—","—",'DADOS_FORMAS'!$GU37&amp;IF('DADOS_FORMAS'!$GS37="alcance",INDEX('DADOS_FORMAS'!$GL$2:$GL$7,MIN(6,'DADOS_FORMAS'!$GW37+1)),IF('DADOS_FORMAS'!$GS37="raio",INDEX('DADOS_FORMAS'!$GN$2:$GN$6,MIN(5,'DADOS_FORMAS'!$GW37+1)),IF('DADOS_FORMAS'!$GS37="comprimento",INDEX('DADOS_FORMAS'!$GP$2:$GP$6,MIN(5,'DADOS_FORMAS'!$GW37+1)),'DADOS_FORMAS'!$GT37)))&amp;'DADOS_FORMAS'!$GV37))</f>
        <v/>
      </c>
      <c r="HH49">
        <f>IF(OR('DADOS_FORMAS'!$AH17="",'DADOS_FORMAS'!$GR37="",'DADOS_FORMAS'!$GT37=""),"",IF('DADOS_FORMAS'!$GT37="—","—",'DADOS_FORMAS'!$GU37&amp;IF('DADOS_FORMAS'!$GS37="alcance",INDEX('DADOS_FORMAS'!$GL$2:$GL$7,MIN(6,'DADOS_FORMAS'!$GW37+2)),IF('DADOS_FORMAS'!$GS37="raio",INDEX('DADOS_FORMAS'!$GN$2:$GN$6,MIN(5,'DADOS_FORMAS'!$GW37+2)),IF('DADOS_FORMAS'!$GS37="comprimento",INDEX('DADOS_FORMAS'!$GP$2:$GP$6,MIN(5,'DADOS_FORMAS'!$GW37+2)),'DADOS_FORMAS'!$GT37)))&amp;'DADOS_FORMAS'!$GV37))</f>
        <v/>
      </c>
      <c r="HI49">
        <f>IF(OR('DADOS_FORMAS'!$AH17="",'DADOS_FORMAS'!$GR37="",'DADOS_FORMAS'!$GT37=""),"",IF('DADOS_FORMAS'!$GT37="—","—",'DADOS_FORMAS'!$GU37&amp;IF('DADOS_FORMAS'!$GS37="alcance",INDEX('DADOS_FORMAS'!$GL$2:$GL$7,MIN(6,'DADOS_FORMAS'!$GW37+3)),IF('DADOS_FORMAS'!$GS37="raio",INDEX('DADOS_FORMAS'!$GN$2:$GN$6,MIN(5,'DADOS_FORMAS'!$GW37+3)),IF('DADOS_FORMAS'!$GS37="comprimento",INDEX('DADOS_FORMAS'!$GP$2:$GP$6,MIN(5,'DADOS_FORMAS'!$GW37+3)),'DADOS_FORMAS'!$GT37)))&amp;'DADOS_FORMAS'!$GV37))</f>
        <v/>
      </c>
      <c r="HJ49">
        <f>IF(OR('DADOS_FORMAS'!$AH17="",'DADOS_FORMAS'!$GR37="",'DADOS_FORMAS'!$GT37=""),"",IF('DADOS_FORMAS'!$GT37="—","—",'DADOS_FORMAS'!$GU37&amp;IF('DADOS_FORMAS'!$GS37="alcance",INDEX('DADOS_FORMAS'!$GL$2:$GL$7,MIN(6,'DADOS_FORMAS'!$GW37+4)),IF('DADOS_FORMAS'!$GS37="raio",INDEX('DADOS_FORMAS'!$GN$2:$GN$6,MIN(5,'DADOS_FORMAS'!$GW37+4)),IF('DADOS_FORMAS'!$GS37="comprimento",INDEX('DADOS_FORMAS'!$GP$2:$GP$6,MIN(5,'DADOS_FORMAS'!$GW37+4)),'DADOS_FORMAS'!$GT37)))&amp;'DADOS_FORMAS'!$GV37))</f>
        <v/>
      </c>
      <c r="HK49">
        <f>IF(OR('DADOS_FORMAS'!$AH17="",'DADOS_FORMAS'!$GR37="",'DADOS_FORMAS'!$GT37=""),"",IF('DADOS_FORMAS'!$GT37="—","—",'DADOS_FORMAS'!$GU37&amp;IF('DADOS_FORMAS'!$GS37="alcance",INDEX('DADOS_FORMAS'!$GL$2:$GL$7,MIN(6,'DADOS_FORMAS'!$GW37+5)),IF('DADOS_FORMAS'!$GS37="raio",INDEX('DADOS_FORMAS'!$GN$2:$GN$6,MIN(5,'DADOS_FORMAS'!$GW37+5)),IF('DADOS_FORMAS'!$GS37="comprimento",INDEX('DADOS_FORMAS'!$GP$2:$GP$6,MIN(5,'DADOS_FORMAS'!$GW37+5)),'DADOS_FORMAS'!$GT37)))&amp;'DADOS_FORMAS'!$GV37))</f>
        <v/>
      </c>
      <c r="HM49">
        <f>'DADOS_FORMAS'!$BP17</f>
        <v/>
      </c>
      <c r="HN49">
        <f>IF('DADOS_FORMAS'!$BP17="area",'DADOS_FORMAS'!$AU17,'DADOS_FORMAS'!$AT17)</f>
        <v/>
      </c>
      <c r="HO49">
        <f>IF('DADOS_FORMAS'!$BP17="area",'DADOS_FORMAS'!$BI17,'DADOS_FORMAS'!$BB17)</f>
        <v/>
      </c>
      <c r="HP49">
        <f>'DADOS_FORMAS'!$BQ17</f>
        <v/>
      </c>
      <c r="HQ49">
        <f>'DADOS_FORMAS'!$BR17</f>
        <v/>
      </c>
      <c r="HR49">
        <f>LET(base,'DADOS_FORMAS'!$HO49,escada,'DADOS_FORMAS'!$HN49,medida,LEFT(base,MAX(0,LEN(base)-2)),valor,IFERROR(VALUE(SUBSTITUTE(medida,",",""))/10^IFERROR(LEN(medida)-FIND(",",medida),0),1E99),IF(OR(escada="Fixo",base="—"),base,IF(escada="alcance",IFERROR(MATCH(base,{"1,5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49">
        <f>'DADOS_FORMAS'!$AH13&amp;" · classe 7"</f>
        <v/>
      </c>
      <c r="HU49">
        <f>LET(trecho,IF(OR('DADOS_FORMAS'!$AH13="",'DADOS_FORMAS'!$HM16="",'DADOS_FORMAS'!$HO16=""),"",IF('DADOS_FORMAS'!$HO16="—","—",'DADOS_FORMAS'!$HP16&amp;'DADOS_FORMAS'!$HO16&amp;SUBSTITUTE('DADOS_FORMAS'!$HQ16,"em você","nela"))),UPPER(LEFT(trecho,1))&amp;MID(trecho,2,LEN(trecho)))</f>
        <v/>
      </c>
      <c r="HV49">
        <f>LET(trecho,IF(OR('DADOS_FORMAS'!$AH13="",'DADOS_FORMAS'!$HM16="",'DADOS_FORMAS'!$HO16=""),"",IF('DADOS_FORMAS'!$HO16="—","—",'DADOS_FORMAS'!$HP16&amp;IF('DADOS_FORMAS'!$HN16="alcance",INDEX('DADOS_FORMAS'!$GL$2:$GL$7,MIN(6,'DADOS_FORMAS'!$HR16+1)),IF('DADOS_FORMAS'!$HN16="raio",INDEX('DADOS_FORMAS'!$GN$2:$GN$6,MIN(5,'DADOS_FORMAS'!$HR16+1)),IF('DADOS_FORMAS'!$HN16="comprimento",INDEX('DADOS_FORMAS'!$GP$2:$GP$6,MIN(5,'DADOS_FORMAS'!$HR16+1)),'DADOS_FORMAS'!$HO16)))&amp;SUBSTITUTE('DADOS_FORMAS'!$HQ16,"em você","nela"))),UPPER(LEFT(trecho,1))&amp;MID(trecho,2,LEN(trecho)))</f>
        <v/>
      </c>
      <c r="HW49">
        <f>LET(trecho,IF(OR('DADOS_FORMAS'!$AH13="",'DADOS_FORMAS'!$HM16="",'DADOS_FORMAS'!$HO16=""),"",IF('DADOS_FORMAS'!$HO16="—","—",'DADOS_FORMAS'!$HP16&amp;IF('DADOS_FORMAS'!$HN16="alcance",INDEX('DADOS_FORMAS'!$GL$2:$GL$7,MIN(6,'DADOS_FORMAS'!$HR16+2)),IF('DADOS_FORMAS'!$HN16="raio",INDEX('DADOS_FORMAS'!$GN$2:$GN$6,MIN(5,'DADOS_FORMAS'!$HR16+2)),IF('DADOS_FORMAS'!$HN16="comprimento",INDEX('DADOS_FORMAS'!$GP$2:$GP$6,MIN(5,'DADOS_FORMAS'!$HR16+2)),'DADOS_FORMAS'!$HO16)))&amp;SUBSTITUTE('DADOS_FORMAS'!$HQ16,"em você","nela"))),UPPER(LEFT(trecho,1))&amp;MID(trecho,2,LEN(trecho)))</f>
        <v/>
      </c>
      <c r="HX49">
        <f>LET(trecho,IF(OR('DADOS_FORMAS'!$AH13="",'DADOS_FORMAS'!$HM16="",'DADOS_FORMAS'!$HO16=""),"",IF('DADOS_FORMAS'!$HO16="—","—",'DADOS_FORMAS'!$HP16&amp;IF('DADOS_FORMAS'!$HN16="alcance",INDEX('DADOS_FORMAS'!$GL$2:$GL$7,MIN(6,'DADOS_FORMAS'!$HR16+3)),IF('DADOS_FORMAS'!$HN16="raio",INDEX('DADOS_FORMAS'!$GN$2:$GN$6,MIN(5,'DADOS_FORMAS'!$HR16+3)),IF('DADOS_FORMAS'!$HN16="comprimento",INDEX('DADOS_FORMAS'!$GP$2:$GP$6,MIN(5,'DADOS_FORMAS'!$HR16+3)),'DADOS_FORMAS'!$HO16)))&amp;SUBSTITUTE('DADOS_FORMAS'!$HQ16,"em você","nela"))),UPPER(LEFT(trecho,1))&amp;MID(trecho,2,LEN(trecho)))</f>
        <v/>
      </c>
      <c r="HY49">
        <f>LET(trecho,IF(OR('DADOS_FORMAS'!$AH13="",'DADOS_FORMAS'!$HM16="",'DADOS_FORMAS'!$HO16=""),"",IF('DADOS_FORMAS'!$HO16="—","—",'DADOS_FORMAS'!$HP16&amp;IF('DADOS_FORMAS'!$HN16="alcance",INDEX('DADOS_FORMAS'!$GL$2:$GL$7,MIN(6,'DADOS_FORMAS'!$HR16+4)),IF('DADOS_FORMAS'!$HN16="raio",INDEX('DADOS_FORMAS'!$GN$2:$GN$6,MIN(5,'DADOS_FORMAS'!$HR16+4)),IF('DADOS_FORMAS'!$HN16="comprimento",INDEX('DADOS_FORMAS'!$GP$2:$GP$6,MIN(5,'DADOS_FORMAS'!$HR16+4)),'DADOS_FORMAS'!$HO16)))&amp;SUBSTITUTE('DADOS_FORMAS'!$HQ16,"em você","nela"))),UPPER(LEFT(trecho,1))&amp;MID(trecho,2,LEN(trecho)))</f>
        <v/>
      </c>
      <c r="HZ49">
        <f>LET(trecho,IF(OR('DADOS_FORMAS'!$AH13="",'DADOS_FORMAS'!$HM16="",'DADOS_FORMAS'!$HO16=""),"",IF('DADOS_FORMAS'!$HO16="—","—",'DADOS_FORMAS'!$HP16&amp;IF('DADOS_FORMAS'!$HN16="alcance",INDEX('DADOS_FORMAS'!$GL$2:$GL$7,MIN(6,'DADOS_FORMAS'!$HR16+5)),IF('DADOS_FORMAS'!$HN16="raio",INDEX('DADOS_FORMAS'!$GN$2:$GN$6,MIN(5,'DADOS_FORMAS'!$HR16+5)),IF('DADOS_FORMAS'!$HN16="comprimento",INDEX('DADOS_FORMAS'!$GP$2:$GP$6,MIN(5,'DADOS_FORMAS'!$HR16+5)),'DADOS_FORMAS'!$HO16)))&amp;SUBSTITUTE('DADOS_FORMAS'!$HQ16,"em você","nela"))),UPPER(LEFT(trecho,1))&amp;MID(trecho,2,LEN(trecho)))</f>
        <v/>
      </c>
      <c r="IA49">
        <f>IF(OR('DADOS_FORMAS'!$AH13="",'DADOS_FORMAS'!$HM17="",'DADOS_FORMAS'!$HO17=""),"",IF('DADOS_FORMAS'!$HO17="—","—",'DADOS_FORMAS'!$HP17&amp;'DADOS_FORMAS'!$HO17&amp;SUBSTITUTE('DADOS_FORMAS'!$HQ17,"em você","nela")))</f>
        <v/>
      </c>
      <c r="IB49">
        <f>IF(OR('DADOS_FORMAS'!$AH13="",'DADOS_FORMAS'!$HM17="",'DADOS_FORMAS'!$HO17=""),"",IF('DADOS_FORMAS'!$HO17="—","—",'DADOS_FORMAS'!$HP17&amp;IF('DADOS_FORMAS'!$HN17="alcance",INDEX('DADOS_FORMAS'!$GL$2:$GL$7,MIN(6,'DADOS_FORMAS'!$HR17+1)),IF('DADOS_FORMAS'!$HN17="raio",INDEX('DADOS_FORMAS'!$GN$2:$GN$6,MIN(5,'DADOS_FORMAS'!$HR17+1)),IF('DADOS_FORMAS'!$HN17="comprimento",INDEX('DADOS_FORMAS'!$GP$2:$GP$6,MIN(5,'DADOS_FORMAS'!$HR17+1)),'DADOS_FORMAS'!$HO17)))&amp;SUBSTITUTE('DADOS_FORMAS'!$HQ17,"em você","nela")))</f>
        <v/>
      </c>
      <c r="IC49">
        <f>IF(OR('DADOS_FORMAS'!$AH13="",'DADOS_FORMAS'!$HM17="",'DADOS_FORMAS'!$HO17=""),"",IF('DADOS_FORMAS'!$HO17="—","—",'DADOS_FORMAS'!$HP17&amp;IF('DADOS_FORMAS'!$HN17="alcance",INDEX('DADOS_FORMAS'!$GL$2:$GL$7,MIN(6,'DADOS_FORMAS'!$HR17+2)),IF('DADOS_FORMAS'!$HN17="raio",INDEX('DADOS_FORMAS'!$GN$2:$GN$6,MIN(5,'DADOS_FORMAS'!$HR17+2)),IF('DADOS_FORMAS'!$HN17="comprimento",INDEX('DADOS_FORMAS'!$GP$2:$GP$6,MIN(5,'DADOS_FORMAS'!$HR17+2)),'DADOS_FORMAS'!$HO17)))&amp;SUBSTITUTE('DADOS_FORMAS'!$HQ17,"em você","nela")))</f>
        <v/>
      </c>
      <c r="ID49">
        <f>IF(OR('DADOS_FORMAS'!$AH13="",'DADOS_FORMAS'!$HM17="",'DADOS_FORMAS'!$HO17=""),"",IF('DADOS_FORMAS'!$HO17="—","—",'DADOS_FORMAS'!$HP17&amp;IF('DADOS_FORMAS'!$HN17="alcance",INDEX('DADOS_FORMAS'!$GL$2:$GL$7,MIN(6,'DADOS_FORMAS'!$HR17+3)),IF('DADOS_FORMAS'!$HN17="raio",INDEX('DADOS_FORMAS'!$GN$2:$GN$6,MIN(5,'DADOS_FORMAS'!$HR17+3)),IF('DADOS_FORMAS'!$HN17="comprimento",INDEX('DADOS_FORMAS'!$GP$2:$GP$6,MIN(5,'DADOS_FORMAS'!$HR17+3)),'DADOS_FORMAS'!$HO17)))&amp;SUBSTITUTE('DADOS_FORMAS'!$HQ17,"em você","nela")))</f>
        <v/>
      </c>
      <c r="IE49">
        <f>IF(OR('DADOS_FORMAS'!$AH13="",'DADOS_FORMAS'!$HM17="",'DADOS_FORMAS'!$HO17=""),"",IF('DADOS_FORMAS'!$HO17="—","—",'DADOS_FORMAS'!$HP17&amp;IF('DADOS_FORMAS'!$HN17="alcance",INDEX('DADOS_FORMAS'!$GL$2:$GL$7,MIN(6,'DADOS_FORMAS'!$HR17+4)),IF('DADOS_FORMAS'!$HN17="raio",INDEX('DADOS_FORMAS'!$GN$2:$GN$6,MIN(5,'DADOS_FORMAS'!$HR17+4)),IF('DADOS_FORMAS'!$HN17="comprimento",INDEX('DADOS_FORMAS'!$GP$2:$GP$6,MIN(5,'DADOS_FORMAS'!$HR17+4)),'DADOS_FORMAS'!$HO17)))&amp;SUBSTITUTE('DADOS_FORMAS'!$HQ17,"em você","nela")))</f>
        <v/>
      </c>
      <c r="IF49">
        <f>IF(OR('DADOS_FORMAS'!$AH13="",'DADOS_FORMAS'!$HM17="",'DADOS_FORMAS'!$HO17=""),"",IF('DADOS_FORMAS'!$HO17="—","—",'DADOS_FORMAS'!$HP17&amp;IF('DADOS_FORMAS'!$HN17="alcance",INDEX('DADOS_FORMAS'!$GL$2:$GL$7,MIN(6,'DADOS_FORMAS'!$HR17+5)),IF('DADOS_FORMAS'!$HN17="raio",INDEX('DADOS_FORMAS'!$GN$2:$GN$6,MIN(5,'DADOS_FORMAS'!$HR17+5)),IF('DADOS_FORMAS'!$HN17="comprimento",INDEX('DADOS_FORMAS'!$GP$2:$GP$6,MIN(5,'DADOS_FORMAS'!$HR17+5)),'DADOS_FORMAS'!$HO17)))&amp;SUBSTITUTE('DADOS_FORMAS'!$HQ17,"em você","nela")))</f>
        <v/>
      </c>
      <c r="KA49">
        <f>IFERROR(INDEX(INDEX('DADOS_RESTRICOES'!$M$2:$Q$54,0,1),47),"")</f>
        <v/>
      </c>
    </row>
    <row r="50">
      <c r="GR50">
        <f>'DADOS_FORMAS'!$BL20</f>
        <v/>
      </c>
      <c r="GS50">
        <f>IF('DADOS_FORMAS'!$BL20="area",'DADOS_FORMAS'!$AU20,'DADOS_FORMAS'!$AT20)</f>
        <v/>
      </c>
      <c r="GT50">
        <f>IF('DADOS_FORMAS'!$BL20="area",'DADOS_FORMAS'!$BC20,'DADOS_FORMAS'!$AV20)</f>
        <v/>
      </c>
      <c r="GU50">
        <f>'DADOS_FORMAS'!$BM20</f>
        <v/>
      </c>
      <c r="GV50">
        <f>'DADOS_FORMAS'!$BN20</f>
        <v/>
      </c>
      <c r="GW50">
        <f>LET(base,'DADOS_FORMAS'!$GT50,escada,'DADOS_FORMAS'!$GS50,medida,LEFT(base,MAX(0,LEN(base)-2)),valor,IFERROR(VALUE(SUBSTITUTE(medida,",",""))/10^IFERROR(LEN(medida)-FIND(",",medida),0),1E99),IF(OR(escada="Fixo",base="—"),base,IF(escada="alcance",IFERROR(MATCH(base,{"1,5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0">
        <f>'DADOS_FORMAS'!$AH18&amp;" · classe 0"</f>
        <v/>
      </c>
      <c r="GZ50">
        <f>LET(trecho,IF(OR('DADOS_FORMAS'!$AH18="",'DADOS_FORMAS'!$GR38="",'DADOS_FORMAS'!$GT38=""),"",IF('DADOS_FORMAS'!$GT38="—","—",'DADOS_FORMAS'!$GU38&amp;'DADOS_FORMAS'!$GT38&amp;'DADOS_FORMAS'!$GV38)),UPPER(LEFT(trecho,1))&amp;MID(trecho,2,LEN(trecho)))</f>
        <v/>
      </c>
      <c r="HA50">
        <f>LET(trecho,IF(OR('DADOS_FORMAS'!$AH18="",'DADOS_FORMAS'!$GR38="",'DADOS_FORMAS'!$GT38=""),"",IF('DADOS_FORMAS'!$GT38="—","—",'DADOS_FORMAS'!$GU38&amp;IF('DADOS_FORMAS'!$GS38="alcance",INDEX('DADOS_FORMAS'!$GL$2:$GL$7,MIN(6,'DADOS_FORMAS'!$GW38+1)),IF('DADOS_FORMAS'!$GS38="raio",INDEX('DADOS_FORMAS'!$GN$2:$GN$6,MIN(5,'DADOS_FORMAS'!$GW38+1)),IF('DADOS_FORMAS'!$GS38="comprimento",INDEX('DADOS_FORMAS'!$GP$2:$GP$6,MIN(5,'DADOS_FORMAS'!$GW38+1)),'DADOS_FORMAS'!$GT38)))&amp;'DADOS_FORMAS'!$GV38)),UPPER(LEFT(trecho,1))&amp;MID(trecho,2,LEN(trecho)))</f>
        <v/>
      </c>
      <c r="HB50">
        <f>LET(trecho,IF(OR('DADOS_FORMAS'!$AH18="",'DADOS_FORMAS'!$GR38="",'DADOS_FORMAS'!$GT38=""),"",IF('DADOS_FORMAS'!$GT38="—","—",'DADOS_FORMAS'!$GU38&amp;IF('DADOS_FORMAS'!$GS38="alcance",INDEX('DADOS_FORMAS'!$GL$2:$GL$7,MIN(6,'DADOS_FORMAS'!$GW38+2)),IF('DADOS_FORMAS'!$GS38="raio",INDEX('DADOS_FORMAS'!$GN$2:$GN$6,MIN(5,'DADOS_FORMAS'!$GW38+2)),IF('DADOS_FORMAS'!$GS38="comprimento",INDEX('DADOS_FORMAS'!$GP$2:$GP$6,MIN(5,'DADOS_FORMAS'!$GW38+2)),'DADOS_FORMAS'!$GT38)))&amp;'DADOS_FORMAS'!$GV38)),UPPER(LEFT(trecho,1))&amp;MID(trecho,2,LEN(trecho)))</f>
        <v/>
      </c>
      <c r="HC50">
        <f>LET(trecho,IF(OR('DADOS_FORMAS'!$AH18="",'DADOS_FORMAS'!$GR38="",'DADOS_FORMAS'!$GT38=""),"",IF('DADOS_FORMAS'!$GT38="—","—",'DADOS_FORMAS'!$GU38&amp;IF('DADOS_FORMAS'!$GS38="alcance",INDEX('DADOS_FORMAS'!$GL$2:$GL$7,MIN(6,'DADOS_FORMAS'!$GW38+3)),IF('DADOS_FORMAS'!$GS38="raio",INDEX('DADOS_FORMAS'!$GN$2:$GN$6,MIN(5,'DADOS_FORMAS'!$GW38+3)),IF('DADOS_FORMAS'!$GS38="comprimento",INDEX('DADOS_FORMAS'!$GP$2:$GP$6,MIN(5,'DADOS_FORMAS'!$GW38+3)),'DADOS_FORMAS'!$GT38)))&amp;'DADOS_FORMAS'!$GV38)),UPPER(LEFT(trecho,1))&amp;MID(trecho,2,LEN(trecho)))</f>
        <v/>
      </c>
      <c r="HD50">
        <f>LET(trecho,IF(OR('DADOS_FORMAS'!$AH18="",'DADOS_FORMAS'!$GR38="",'DADOS_FORMAS'!$GT38=""),"",IF('DADOS_FORMAS'!$GT38="—","—",'DADOS_FORMAS'!$GU38&amp;IF('DADOS_FORMAS'!$GS38="alcance",INDEX('DADOS_FORMAS'!$GL$2:$GL$7,MIN(6,'DADOS_FORMAS'!$GW38+4)),IF('DADOS_FORMAS'!$GS38="raio",INDEX('DADOS_FORMAS'!$GN$2:$GN$6,MIN(5,'DADOS_FORMAS'!$GW38+4)),IF('DADOS_FORMAS'!$GS38="comprimento",INDEX('DADOS_FORMAS'!$GP$2:$GP$6,MIN(5,'DADOS_FORMAS'!$GW38+4)),'DADOS_FORMAS'!$GT38)))&amp;'DADOS_FORMAS'!$GV38)),UPPER(LEFT(trecho,1))&amp;MID(trecho,2,LEN(trecho)))</f>
        <v/>
      </c>
      <c r="HE50">
        <f>LET(trecho,IF(OR('DADOS_FORMAS'!$AH18="",'DADOS_FORMAS'!$GR38="",'DADOS_FORMAS'!$GT38=""),"",IF('DADOS_FORMAS'!$GT38="—","—",'DADOS_FORMAS'!$GU38&amp;IF('DADOS_FORMAS'!$GS38="alcance",INDEX('DADOS_FORMAS'!$GL$2:$GL$7,MIN(6,'DADOS_FORMAS'!$GW38+5)),IF('DADOS_FORMAS'!$GS38="raio",INDEX('DADOS_FORMAS'!$GN$2:$GN$6,MIN(5,'DADOS_FORMAS'!$GW38+5)),IF('DADOS_FORMAS'!$GS38="comprimento",INDEX('DADOS_FORMAS'!$GP$2:$GP$6,MIN(5,'DADOS_FORMAS'!$GW38+5)),'DADOS_FORMAS'!$GT38)))&amp;'DADOS_FORMAS'!$GV38)),UPPER(LEFT(trecho,1))&amp;MID(trecho,2,LEN(trecho)))</f>
        <v/>
      </c>
      <c r="HF50">
        <f>IF(OR('DADOS_FORMAS'!$AH18="",'DADOS_FORMAS'!$GR39="",'DADOS_FORMAS'!$GT39=""),"",IF('DADOS_FORMAS'!$GT39="—","—",'DADOS_FORMAS'!$GU39&amp;'DADOS_FORMAS'!$GT39&amp;'DADOS_FORMAS'!$GV39))</f>
        <v/>
      </c>
      <c r="HG50">
        <f>IF(OR('DADOS_FORMAS'!$AH18="",'DADOS_FORMAS'!$GR39="",'DADOS_FORMAS'!$GT39=""),"",IF('DADOS_FORMAS'!$GT39="—","—",'DADOS_FORMAS'!$GU39&amp;IF('DADOS_FORMAS'!$GS39="alcance",INDEX('DADOS_FORMAS'!$GL$2:$GL$7,MIN(6,'DADOS_FORMAS'!$GW39+1)),IF('DADOS_FORMAS'!$GS39="raio",INDEX('DADOS_FORMAS'!$GN$2:$GN$6,MIN(5,'DADOS_FORMAS'!$GW39+1)),IF('DADOS_FORMAS'!$GS39="comprimento",INDEX('DADOS_FORMAS'!$GP$2:$GP$6,MIN(5,'DADOS_FORMAS'!$GW39+1)),'DADOS_FORMAS'!$GT39)))&amp;'DADOS_FORMAS'!$GV39))</f>
        <v/>
      </c>
      <c r="HH50">
        <f>IF(OR('DADOS_FORMAS'!$AH18="",'DADOS_FORMAS'!$GR39="",'DADOS_FORMAS'!$GT39=""),"",IF('DADOS_FORMAS'!$GT39="—","—",'DADOS_FORMAS'!$GU39&amp;IF('DADOS_FORMAS'!$GS39="alcance",INDEX('DADOS_FORMAS'!$GL$2:$GL$7,MIN(6,'DADOS_FORMAS'!$GW39+2)),IF('DADOS_FORMAS'!$GS39="raio",INDEX('DADOS_FORMAS'!$GN$2:$GN$6,MIN(5,'DADOS_FORMAS'!$GW39+2)),IF('DADOS_FORMAS'!$GS39="comprimento",INDEX('DADOS_FORMAS'!$GP$2:$GP$6,MIN(5,'DADOS_FORMAS'!$GW39+2)),'DADOS_FORMAS'!$GT39)))&amp;'DADOS_FORMAS'!$GV39))</f>
        <v/>
      </c>
      <c r="HI50">
        <f>IF(OR('DADOS_FORMAS'!$AH18="",'DADOS_FORMAS'!$GR39="",'DADOS_FORMAS'!$GT39=""),"",IF('DADOS_FORMAS'!$GT39="—","—",'DADOS_FORMAS'!$GU39&amp;IF('DADOS_FORMAS'!$GS39="alcance",INDEX('DADOS_FORMAS'!$GL$2:$GL$7,MIN(6,'DADOS_FORMAS'!$GW39+3)),IF('DADOS_FORMAS'!$GS39="raio",INDEX('DADOS_FORMAS'!$GN$2:$GN$6,MIN(5,'DADOS_FORMAS'!$GW39+3)),IF('DADOS_FORMAS'!$GS39="comprimento",INDEX('DADOS_FORMAS'!$GP$2:$GP$6,MIN(5,'DADOS_FORMAS'!$GW39+3)),'DADOS_FORMAS'!$GT39)))&amp;'DADOS_FORMAS'!$GV39))</f>
        <v/>
      </c>
      <c r="HJ50">
        <f>IF(OR('DADOS_FORMAS'!$AH18="",'DADOS_FORMAS'!$GR39="",'DADOS_FORMAS'!$GT39=""),"",IF('DADOS_FORMAS'!$GT39="—","—",'DADOS_FORMAS'!$GU39&amp;IF('DADOS_FORMAS'!$GS39="alcance",INDEX('DADOS_FORMAS'!$GL$2:$GL$7,MIN(6,'DADOS_FORMAS'!$GW39+4)),IF('DADOS_FORMAS'!$GS39="raio",INDEX('DADOS_FORMAS'!$GN$2:$GN$6,MIN(5,'DADOS_FORMAS'!$GW39+4)),IF('DADOS_FORMAS'!$GS39="comprimento",INDEX('DADOS_FORMAS'!$GP$2:$GP$6,MIN(5,'DADOS_FORMAS'!$GW39+4)),'DADOS_FORMAS'!$GT39)))&amp;'DADOS_FORMAS'!$GV39))</f>
        <v/>
      </c>
      <c r="HK50">
        <f>IF(OR('DADOS_FORMAS'!$AH18="",'DADOS_FORMAS'!$GR39="",'DADOS_FORMAS'!$GT39=""),"",IF('DADOS_FORMAS'!$GT39="—","—",'DADOS_FORMAS'!$GU39&amp;IF('DADOS_FORMAS'!$GS39="alcance",INDEX('DADOS_FORMAS'!$GL$2:$GL$7,MIN(6,'DADOS_FORMAS'!$GW39+5)),IF('DADOS_FORMAS'!$GS39="raio",INDEX('DADOS_FORMAS'!$GN$2:$GN$6,MIN(5,'DADOS_FORMAS'!$GW39+5)),IF('DADOS_FORMAS'!$GS39="comprimento",INDEX('DADOS_FORMAS'!$GP$2:$GP$6,MIN(5,'DADOS_FORMAS'!$GW39+5)),'DADOS_FORMAS'!$GT39)))&amp;'DADOS_FORMAS'!$GV39))</f>
        <v/>
      </c>
      <c r="HM50">
        <f>'DADOS_FORMAS'!$BL18</f>
        <v/>
      </c>
      <c r="HN50">
        <f>IF('DADOS_FORMAS'!$BL18="area",'DADOS_FORMAS'!$AU18,'DADOS_FORMAS'!$AT18)</f>
        <v/>
      </c>
      <c r="HO50">
        <f>IF('DADOS_FORMAS'!$BL18="area",'DADOS_FORMAS'!$BF18,'DADOS_FORMAS'!$AY18)</f>
        <v/>
      </c>
      <c r="HP50">
        <f>'DADOS_FORMAS'!$BM18</f>
        <v/>
      </c>
      <c r="HQ50">
        <f>'DADOS_FORMAS'!$BN18</f>
        <v/>
      </c>
      <c r="HR50">
        <f>LET(base,'DADOS_FORMAS'!$HO50,escada,'DADOS_FORMAS'!$HN50,medida,LEFT(base,MAX(0,LEN(base)-2)),valor,IFERROR(VALUE(SUBSTITUTE(medida,",",""))/10^IFERROR(LEN(medida)-FIND(",",medida),0),1E99),IF(OR(escada="Fixo",base="—"),base,IF(escada="alcance",IFERROR(MATCH(base,{"1,5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0">
        <f>'DADOS_FORMAS'!$AH14&amp;" · classe 0"</f>
        <v/>
      </c>
      <c r="HU50">
        <f>LET(trecho,IF(OR('DADOS_FORMAS'!$AH14="",'DADOS_FORMAS'!$HM18="",'DADOS_FORMAS'!$HO18=""),"",IF('DADOS_FORMAS'!$HO18="—","—",'DADOS_FORMAS'!$HP18&amp;'DADOS_FORMAS'!$HO18&amp;SUBSTITUTE('DADOS_FORMAS'!$HQ18,"em você","nela"))),UPPER(LEFT(trecho,1))&amp;MID(trecho,2,LEN(trecho)))</f>
        <v/>
      </c>
      <c r="HV50">
        <f>LET(trecho,IF(OR('DADOS_FORMAS'!$AH14="",'DADOS_FORMAS'!$HM18="",'DADOS_FORMAS'!$HO18=""),"",IF('DADOS_FORMAS'!$HO18="—","—",'DADOS_FORMAS'!$HP18&amp;IF('DADOS_FORMAS'!$HN18="alcance",INDEX('DADOS_FORMAS'!$GL$2:$GL$7,MIN(6,'DADOS_FORMAS'!$HR18+1)),IF('DADOS_FORMAS'!$HN18="raio",INDEX('DADOS_FORMAS'!$GN$2:$GN$6,MIN(5,'DADOS_FORMAS'!$HR18+1)),IF('DADOS_FORMAS'!$HN18="comprimento",INDEX('DADOS_FORMAS'!$GP$2:$GP$6,MIN(5,'DADOS_FORMAS'!$HR18+1)),'DADOS_FORMAS'!$HO18)))&amp;SUBSTITUTE('DADOS_FORMAS'!$HQ18,"em você","nela"))),UPPER(LEFT(trecho,1))&amp;MID(trecho,2,LEN(trecho)))</f>
        <v/>
      </c>
      <c r="HW50">
        <f>LET(trecho,IF(OR('DADOS_FORMAS'!$AH14="",'DADOS_FORMAS'!$HM18="",'DADOS_FORMAS'!$HO18=""),"",IF('DADOS_FORMAS'!$HO18="—","—",'DADOS_FORMAS'!$HP18&amp;IF('DADOS_FORMAS'!$HN18="alcance",INDEX('DADOS_FORMAS'!$GL$2:$GL$7,MIN(6,'DADOS_FORMAS'!$HR18+2)),IF('DADOS_FORMAS'!$HN18="raio",INDEX('DADOS_FORMAS'!$GN$2:$GN$6,MIN(5,'DADOS_FORMAS'!$HR18+2)),IF('DADOS_FORMAS'!$HN18="comprimento",INDEX('DADOS_FORMAS'!$GP$2:$GP$6,MIN(5,'DADOS_FORMAS'!$HR18+2)),'DADOS_FORMAS'!$HO18)))&amp;SUBSTITUTE('DADOS_FORMAS'!$HQ18,"em você","nela"))),UPPER(LEFT(trecho,1))&amp;MID(trecho,2,LEN(trecho)))</f>
        <v/>
      </c>
      <c r="HX50">
        <f>LET(trecho,IF(OR('DADOS_FORMAS'!$AH14="",'DADOS_FORMAS'!$HM18="",'DADOS_FORMAS'!$HO18=""),"",IF('DADOS_FORMAS'!$HO18="—","—",'DADOS_FORMAS'!$HP18&amp;IF('DADOS_FORMAS'!$HN18="alcance",INDEX('DADOS_FORMAS'!$GL$2:$GL$7,MIN(6,'DADOS_FORMAS'!$HR18+3)),IF('DADOS_FORMAS'!$HN18="raio",INDEX('DADOS_FORMAS'!$GN$2:$GN$6,MIN(5,'DADOS_FORMAS'!$HR18+3)),IF('DADOS_FORMAS'!$HN18="comprimento",INDEX('DADOS_FORMAS'!$GP$2:$GP$6,MIN(5,'DADOS_FORMAS'!$HR18+3)),'DADOS_FORMAS'!$HO18)))&amp;SUBSTITUTE('DADOS_FORMAS'!$HQ18,"em você","nela"))),UPPER(LEFT(trecho,1))&amp;MID(trecho,2,LEN(trecho)))</f>
        <v/>
      </c>
      <c r="HY50">
        <f>LET(trecho,IF(OR('DADOS_FORMAS'!$AH14="",'DADOS_FORMAS'!$HM18="",'DADOS_FORMAS'!$HO18=""),"",IF('DADOS_FORMAS'!$HO18="—","—",'DADOS_FORMAS'!$HP18&amp;IF('DADOS_FORMAS'!$HN18="alcance",INDEX('DADOS_FORMAS'!$GL$2:$GL$7,MIN(6,'DADOS_FORMAS'!$HR18+4)),IF('DADOS_FORMAS'!$HN18="raio",INDEX('DADOS_FORMAS'!$GN$2:$GN$6,MIN(5,'DADOS_FORMAS'!$HR18+4)),IF('DADOS_FORMAS'!$HN18="comprimento",INDEX('DADOS_FORMAS'!$GP$2:$GP$6,MIN(5,'DADOS_FORMAS'!$HR18+4)),'DADOS_FORMAS'!$HO18)))&amp;SUBSTITUTE('DADOS_FORMAS'!$HQ18,"em você","nela"))),UPPER(LEFT(trecho,1))&amp;MID(trecho,2,LEN(trecho)))</f>
        <v/>
      </c>
      <c r="HZ50">
        <f>LET(trecho,IF(OR('DADOS_FORMAS'!$AH14="",'DADOS_FORMAS'!$HM18="",'DADOS_FORMAS'!$HO18=""),"",IF('DADOS_FORMAS'!$HO18="—","—",'DADOS_FORMAS'!$HP18&amp;IF('DADOS_FORMAS'!$HN18="alcance",INDEX('DADOS_FORMAS'!$GL$2:$GL$7,MIN(6,'DADOS_FORMAS'!$HR18+5)),IF('DADOS_FORMAS'!$HN18="raio",INDEX('DADOS_FORMAS'!$GN$2:$GN$6,MIN(5,'DADOS_FORMAS'!$HR18+5)),IF('DADOS_FORMAS'!$HN18="comprimento",INDEX('DADOS_FORMAS'!$GP$2:$GP$6,MIN(5,'DADOS_FORMAS'!$HR18+5)),'DADOS_FORMAS'!$HO18)))&amp;SUBSTITUTE('DADOS_FORMAS'!$HQ18,"em você","nela"))),UPPER(LEFT(trecho,1))&amp;MID(trecho,2,LEN(trecho)))</f>
        <v/>
      </c>
      <c r="IA50">
        <f>IF(OR('DADOS_FORMAS'!$AH14="",'DADOS_FORMAS'!$HM19="",'DADOS_FORMAS'!$HO19=""),"",IF('DADOS_FORMAS'!$HO19="—","—",'DADOS_FORMAS'!$HP19&amp;'DADOS_FORMAS'!$HO19&amp;SUBSTITUTE('DADOS_FORMAS'!$HQ19,"em você","nela")))</f>
        <v/>
      </c>
      <c r="IB50">
        <f>IF(OR('DADOS_FORMAS'!$AH14="",'DADOS_FORMAS'!$HM19="",'DADOS_FORMAS'!$HO19=""),"",IF('DADOS_FORMAS'!$HO19="—","—",'DADOS_FORMAS'!$HP19&amp;IF('DADOS_FORMAS'!$HN19="alcance",INDEX('DADOS_FORMAS'!$GL$2:$GL$7,MIN(6,'DADOS_FORMAS'!$HR19+1)),IF('DADOS_FORMAS'!$HN19="raio",INDEX('DADOS_FORMAS'!$GN$2:$GN$6,MIN(5,'DADOS_FORMAS'!$HR19+1)),IF('DADOS_FORMAS'!$HN19="comprimento",INDEX('DADOS_FORMAS'!$GP$2:$GP$6,MIN(5,'DADOS_FORMAS'!$HR19+1)),'DADOS_FORMAS'!$HO19)))&amp;SUBSTITUTE('DADOS_FORMAS'!$HQ19,"em você","nela")))</f>
        <v/>
      </c>
      <c r="IC50">
        <f>IF(OR('DADOS_FORMAS'!$AH14="",'DADOS_FORMAS'!$HM19="",'DADOS_FORMAS'!$HO19=""),"",IF('DADOS_FORMAS'!$HO19="—","—",'DADOS_FORMAS'!$HP19&amp;IF('DADOS_FORMAS'!$HN19="alcance",INDEX('DADOS_FORMAS'!$GL$2:$GL$7,MIN(6,'DADOS_FORMAS'!$HR19+2)),IF('DADOS_FORMAS'!$HN19="raio",INDEX('DADOS_FORMAS'!$GN$2:$GN$6,MIN(5,'DADOS_FORMAS'!$HR19+2)),IF('DADOS_FORMAS'!$HN19="comprimento",INDEX('DADOS_FORMAS'!$GP$2:$GP$6,MIN(5,'DADOS_FORMAS'!$HR19+2)),'DADOS_FORMAS'!$HO19)))&amp;SUBSTITUTE('DADOS_FORMAS'!$HQ19,"em você","nela")))</f>
        <v/>
      </c>
      <c r="ID50">
        <f>IF(OR('DADOS_FORMAS'!$AH14="",'DADOS_FORMAS'!$HM19="",'DADOS_FORMAS'!$HO19=""),"",IF('DADOS_FORMAS'!$HO19="—","—",'DADOS_FORMAS'!$HP19&amp;IF('DADOS_FORMAS'!$HN19="alcance",INDEX('DADOS_FORMAS'!$GL$2:$GL$7,MIN(6,'DADOS_FORMAS'!$HR19+3)),IF('DADOS_FORMAS'!$HN19="raio",INDEX('DADOS_FORMAS'!$GN$2:$GN$6,MIN(5,'DADOS_FORMAS'!$HR19+3)),IF('DADOS_FORMAS'!$HN19="comprimento",INDEX('DADOS_FORMAS'!$GP$2:$GP$6,MIN(5,'DADOS_FORMAS'!$HR19+3)),'DADOS_FORMAS'!$HO19)))&amp;SUBSTITUTE('DADOS_FORMAS'!$HQ19,"em você","nela")))</f>
        <v/>
      </c>
      <c r="IE50">
        <f>IF(OR('DADOS_FORMAS'!$AH14="",'DADOS_FORMAS'!$HM19="",'DADOS_FORMAS'!$HO19=""),"",IF('DADOS_FORMAS'!$HO19="—","—",'DADOS_FORMAS'!$HP19&amp;IF('DADOS_FORMAS'!$HN19="alcance",INDEX('DADOS_FORMAS'!$GL$2:$GL$7,MIN(6,'DADOS_FORMAS'!$HR19+4)),IF('DADOS_FORMAS'!$HN19="raio",INDEX('DADOS_FORMAS'!$GN$2:$GN$6,MIN(5,'DADOS_FORMAS'!$HR19+4)),IF('DADOS_FORMAS'!$HN19="comprimento",INDEX('DADOS_FORMAS'!$GP$2:$GP$6,MIN(5,'DADOS_FORMAS'!$HR19+4)),'DADOS_FORMAS'!$HO19)))&amp;SUBSTITUTE('DADOS_FORMAS'!$HQ19,"em você","nela")))</f>
        <v/>
      </c>
      <c r="IF50">
        <f>IF(OR('DADOS_FORMAS'!$AH14="",'DADOS_FORMAS'!$HM19="",'DADOS_FORMAS'!$HO19=""),"",IF('DADOS_FORMAS'!$HO19="—","—",'DADOS_FORMAS'!$HP19&amp;IF('DADOS_FORMAS'!$HN19="alcance",INDEX('DADOS_FORMAS'!$GL$2:$GL$7,MIN(6,'DADOS_FORMAS'!$HR19+5)),IF('DADOS_FORMAS'!$HN19="raio",INDEX('DADOS_FORMAS'!$GN$2:$GN$6,MIN(5,'DADOS_FORMAS'!$HR19+5)),IF('DADOS_FORMAS'!$HN19="comprimento",INDEX('DADOS_FORMAS'!$GP$2:$GP$6,MIN(5,'DADOS_FORMAS'!$HR19+5)),'DADOS_FORMAS'!$HO19)))&amp;SUBSTITUTE('DADOS_FORMAS'!$HQ19,"em você","nela")))</f>
        <v/>
      </c>
      <c r="KA50">
        <f>IFERROR(INDEX(INDEX('DADOS_RESTRICOES'!$M$2:$Q$54,0,1),48),"")</f>
        <v/>
      </c>
    </row>
    <row r="51">
      <c r="GR51">
        <f>'DADOS_FORMAS'!$BP20</f>
        <v/>
      </c>
      <c r="GS51">
        <f>IF('DADOS_FORMAS'!$BP20="area",'DADOS_FORMAS'!$AU20,'DADOS_FORMAS'!$AT20)</f>
        <v/>
      </c>
      <c r="GT51">
        <f>IF('DADOS_FORMAS'!$BP20="area",'DADOS_FORMAS'!$BC20,'DADOS_FORMAS'!$AV20)</f>
        <v/>
      </c>
      <c r="GU51">
        <f>'DADOS_FORMAS'!$BQ20</f>
        <v/>
      </c>
      <c r="GV51">
        <f>'DADOS_FORMAS'!$BR20</f>
        <v/>
      </c>
      <c r="GW51">
        <f>LET(base,'DADOS_FORMAS'!$GT51,escada,'DADOS_FORMAS'!$GS51,medida,LEFT(base,MAX(0,LEN(base)-2)),valor,IFERROR(VALUE(SUBSTITUTE(medida,",",""))/10^IFERROR(LEN(medida)-FIND(",",medida),0),1E99),IF(OR(escada="Fixo",base="—"),base,IF(escada="alcance",IFERROR(MATCH(base,{"1,5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1">
        <f>'DADOS_FORMAS'!$AH18&amp;" · classes 1 a 5"</f>
        <v/>
      </c>
      <c r="GZ51">
        <f>LET(trecho,IF(OR('DADOS_FORMAS'!$AH18="",'DADOS_FORMAS'!$GR40="",'DADOS_FORMAS'!$GT40=""),"",IF('DADOS_FORMAS'!$GT40="—","—",'DADOS_FORMAS'!$GU40&amp;'DADOS_FORMAS'!$GT40&amp;'DADOS_FORMAS'!$GV40)),UPPER(LEFT(trecho,1))&amp;MID(trecho,2,LEN(trecho)))</f>
        <v/>
      </c>
      <c r="HA51">
        <f>LET(trecho,IF(OR('DADOS_FORMAS'!$AH18="",'DADOS_FORMAS'!$GR40="",'DADOS_FORMAS'!$GT40=""),"",IF('DADOS_FORMAS'!$GT40="—","—",'DADOS_FORMAS'!$GU40&amp;IF('DADOS_FORMAS'!$GS40="alcance",INDEX('DADOS_FORMAS'!$GL$2:$GL$7,MIN(6,'DADOS_FORMAS'!$GW40+1)),IF('DADOS_FORMAS'!$GS40="raio",INDEX('DADOS_FORMAS'!$GN$2:$GN$6,MIN(5,'DADOS_FORMAS'!$GW40+1)),IF('DADOS_FORMAS'!$GS40="comprimento",INDEX('DADOS_FORMAS'!$GP$2:$GP$6,MIN(5,'DADOS_FORMAS'!$GW40+1)),'DADOS_FORMAS'!$GT40)))&amp;'DADOS_FORMAS'!$GV40)),UPPER(LEFT(trecho,1))&amp;MID(trecho,2,LEN(trecho)))</f>
        <v/>
      </c>
      <c r="HB51">
        <f>LET(trecho,IF(OR('DADOS_FORMAS'!$AH18="",'DADOS_FORMAS'!$GR40="",'DADOS_FORMAS'!$GT40=""),"",IF('DADOS_FORMAS'!$GT40="—","—",'DADOS_FORMAS'!$GU40&amp;IF('DADOS_FORMAS'!$GS40="alcance",INDEX('DADOS_FORMAS'!$GL$2:$GL$7,MIN(6,'DADOS_FORMAS'!$GW40+2)),IF('DADOS_FORMAS'!$GS40="raio",INDEX('DADOS_FORMAS'!$GN$2:$GN$6,MIN(5,'DADOS_FORMAS'!$GW40+2)),IF('DADOS_FORMAS'!$GS40="comprimento",INDEX('DADOS_FORMAS'!$GP$2:$GP$6,MIN(5,'DADOS_FORMAS'!$GW40+2)),'DADOS_FORMAS'!$GT40)))&amp;'DADOS_FORMAS'!$GV40)),UPPER(LEFT(trecho,1))&amp;MID(trecho,2,LEN(trecho)))</f>
        <v/>
      </c>
      <c r="HC51">
        <f>LET(trecho,IF(OR('DADOS_FORMAS'!$AH18="",'DADOS_FORMAS'!$GR40="",'DADOS_FORMAS'!$GT40=""),"",IF('DADOS_FORMAS'!$GT40="—","—",'DADOS_FORMAS'!$GU40&amp;IF('DADOS_FORMAS'!$GS40="alcance",INDEX('DADOS_FORMAS'!$GL$2:$GL$7,MIN(6,'DADOS_FORMAS'!$GW40+3)),IF('DADOS_FORMAS'!$GS40="raio",INDEX('DADOS_FORMAS'!$GN$2:$GN$6,MIN(5,'DADOS_FORMAS'!$GW40+3)),IF('DADOS_FORMAS'!$GS40="comprimento",INDEX('DADOS_FORMAS'!$GP$2:$GP$6,MIN(5,'DADOS_FORMAS'!$GW40+3)),'DADOS_FORMAS'!$GT40)))&amp;'DADOS_FORMAS'!$GV40)),UPPER(LEFT(trecho,1))&amp;MID(trecho,2,LEN(trecho)))</f>
        <v/>
      </c>
      <c r="HD51">
        <f>LET(trecho,IF(OR('DADOS_FORMAS'!$AH18="",'DADOS_FORMAS'!$GR40="",'DADOS_FORMAS'!$GT40=""),"",IF('DADOS_FORMAS'!$GT40="—","—",'DADOS_FORMAS'!$GU40&amp;IF('DADOS_FORMAS'!$GS40="alcance",INDEX('DADOS_FORMAS'!$GL$2:$GL$7,MIN(6,'DADOS_FORMAS'!$GW40+4)),IF('DADOS_FORMAS'!$GS40="raio",INDEX('DADOS_FORMAS'!$GN$2:$GN$6,MIN(5,'DADOS_FORMAS'!$GW40+4)),IF('DADOS_FORMAS'!$GS40="comprimento",INDEX('DADOS_FORMAS'!$GP$2:$GP$6,MIN(5,'DADOS_FORMAS'!$GW40+4)),'DADOS_FORMAS'!$GT40)))&amp;'DADOS_FORMAS'!$GV40)),UPPER(LEFT(trecho,1))&amp;MID(trecho,2,LEN(trecho)))</f>
        <v/>
      </c>
      <c r="HE51">
        <f>LET(trecho,IF(OR('DADOS_FORMAS'!$AH18="",'DADOS_FORMAS'!$GR40="",'DADOS_FORMAS'!$GT40=""),"",IF('DADOS_FORMAS'!$GT40="—","—",'DADOS_FORMAS'!$GU40&amp;IF('DADOS_FORMAS'!$GS40="alcance",INDEX('DADOS_FORMAS'!$GL$2:$GL$7,MIN(6,'DADOS_FORMAS'!$GW40+5)),IF('DADOS_FORMAS'!$GS40="raio",INDEX('DADOS_FORMAS'!$GN$2:$GN$6,MIN(5,'DADOS_FORMAS'!$GW40+5)),IF('DADOS_FORMAS'!$GS40="comprimento",INDEX('DADOS_FORMAS'!$GP$2:$GP$6,MIN(5,'DADOS_FORMAS'!$GW40+5)),'DADOS_FORMAS'!$GT40)))&amp;'DADOS_FORMAS'!$GV40)),UPPER(LEFT(trecho,1))&amp;MID(trecho,2,LEN(trecho)))</f>
        <v/>
      </c>
      <c r="HF51">
        <f>IF(OR('DADOS_FORMAS'!$AH18="",'DADOS_FORMAS'!$GR41="",'DADOS_FORMAS'!$GT41=""),"",IF('DADOS_FORMAS'!$GT41="—","—",'DADOS_FORMAS'!$GU41&amp;'DADOS_FORMAS'!$GT41&amp;'DADOS_FORMAS'!$GV41))</f>
        <v/>
      </c>
      <c r="HG51">
        <f>IF(OR('DADOS_FORMAS'!$AH18="",'DADOS_FORMAS'!$GR41="",'DADOS_FORMAS'!$GT41=""),"",IF('DADOS_FORMAS'!$GT41="—","—",'DADOS_FORMAS'!$GU41&amp;IF('DADOS_FORMAS'!$GS41="alcance",INDEX('DADOS_FORMAS'!$GL$2:$GL$7,MIN(6,'DADOS_FORMAS'!$GW41+1)),IF('DADOS_FORMAS'!$GS41="raio",INDEX('DADOS_FORMAS'!$GN$2:$GN$6,MIN(5,'DADOS_FORMAS'!$GW41+1)),IF('DADOS_FORMAS'!$GS41="comprimento",INDEX('DADOS_FORMAS'!$GP$2:$GP$6,MIN(5,'DADOS_FORMAS'!$GW41+1)),'DADOS_FORMAS'!$GT41)))&amp;'DADOS_FORMAS'!$GV41))</f>
        <v/>
      </c>
      <c r="HH51">
        <f>IF(OR('DADOS_FORMAS'!$AH18="",'DADOS_FORMAS'!$GR41="",'DADOS_FORMAS'!$GT41=""),"",IF('DADOS_FORMAS'!$GT41="—","—",'DADOS_FORMAS'!$GU41&amp;IF('DADOS_FORMAS'!$GS41="alcance",INDEX('DADOS_FORMAS'!$GL$2:$GL$7,MIN(6,'DADOS_FORMAS'!$GW41+2)),IF('DADOS_FORMAS'!$GS41="raio",INDEX('DADOS_FORMAS'!$GN$2:$GN$6,MIN(5,'DADOS_FORMAS'!$GW41+2)),IF('DADOS_FORMAS'!$GS41="comprimento",INDEX('DADOS_FORMAS'!$GP$2:$GP$6,MIN(5,'DADOS_FORMAS'!$GW41+2)),'DADOS_FORMAS'!$GT41)))&amp;'DADOS_FORMAS'!$GV41))</f>
        <v/>
      </c>
      <c r="HI51">
        <f>IF(OR('DADOS_FORMAS'!$AH18="",'DADOS_FORMAS'!$GR41="",'DADOS_FORMAS'!$GT41=""),"",IF('DADOS_FORMAS'!$GT41="—","—",'DADOS_FORMAS'!$GU41&amp;IF('DADOS_FORMAS'!$GS41="alcance",INDEX('DADOS_FORMAS'!$GL$2:$GL$7,MIN(6,'DADOS_FORMAS'!$GW41+3)),IF('DADOS_FORMAS'!$GS41="raio",INDEX('DADOS_FORMAS'!$GN$2:$GN$6,MIN(5,'DADOS_FORMAS'!$GW41+3)),IF('DADOS_FORMAS'!$GS41="comprimento",INDEX('DADOS_FORMAS'!$GP$2:$GP$6,MIN(5,'DADOS_FORMAS'!$GW41+3)),'DADOS_FORMAS'!$GT41)))&amp;'DADOS_FORMAS'!$GV41))</f>
        <v/>
      </c>
      <c r="HJ51">
        <f>IF(OR('DADOS_FORMAS'!$AH18="",'DADOS_FORMAS'!$GR41="",'DADOS_FORMAS'!$GT41=""),"",IF('DADOS_FORMAS'!$GT41="—","—",'DADOS_FORMAS'!$GU41&amp;IF('DADOS_FORMAS'!$GS41="alcance",INDEX('DADOS_FORMAS'!$GL$2:$GL$7,MIN(6,'DADOS_FORMAS'!$GW41+4)),IF('DADOS_FORMAS'!$GS41="raio",INDEX('DADOS_FORMAS'!$GN$2:$GN$6,MIN(5,'DADOS_FORMAS'!$GW41+4)),IF('DADOS_FORMAS'!$GS41="comprimento",INDEX('DADOS_FORMAS'!$GP$2:$GP$6,MIN(5,'DADOS_FORMAS'!$GW41+4)),'DADOS_FORMAS'!$GT41)))&amp;'DADOS_FORMAS'!$GV41))</f>
        <v/>
      </c>
      <c r="HK51">
        <f>IF(OR('DADOS_FORMAS'!$AH18="",'DADOS_FORMAS'!$GR41="",'DADOS_FORMAS'!$GT41=""),"",IF('DADOS_FORMAS'!$GT41="—","—",'DADOS_FORMAS'!$GU41&amp;IF('DADOS_FORMAS'!$GS41="alcance",INDEX('DADOS_FORMAS'!$GL$2:$GL$7,MIN(6,'DADOS_FORMAS'!$GW41+5)),IF('DADOS_FORMAS'!$GS41="raio",INDEX('DADOS_FORMAS'!$GN$2:$GN$6,MIN(5,'DADOS_FORMAS'!$GW41+5)),IF('DADOS_FORMAS'!$GS41="comprimento",INDEX('DADOS_FORMAS'!$GP$2:$GP$6,MIN(5,'DADOS_FORMAS'!$GW41+5)),'DADOS_FORMAS'!$GT41)))&amp;'DADOS_FORMAS'!$GV41))</f>
        <v/>
      </c>
      <c r="HM51">
        <f>'DADOS_FORMAS'!$BP18</f>
        <v/>
      </c>
      <c r="HN51">
        <f>IF('DADOS_FORMAS'!$BP18="area",'DADOS_FORMAS'!$AU18,'DADOS_FORMAS'!$AT18)</f>
        <v/>
      </c>
      <c r="HO51">
        <f>IF('DADOS_FORMAS'!$BP18="area",'DADOS_FORMAS'!$BF18,'DADOS_FORMAS'!$AY18)</f>
        <v/>
      </c>
      <c r="HP51">
        <f>'DADOS_FORMAS'!$BQ18</f>
        <v/>
      </c>
      <c r="HQ51">
        <f>'DADOS_FORMAS'!$BR18</f>
        <v/>
      </c>
      <c r="HR51">
        <f>LET(base,'DADOS_FORMAS'!$HO51,escada,'DADOS_FORMAS'!$HN51,medida,LEFT(base,MAX(0,LEN(base)-2)),valor,IFERROR(VALUE(SUBSTITUTE(medida,",",""))/10^IFERROR(LEN(medida)-FIND(",",medida),0),1E99),IF(OR(escada="Fixo",base="—"),base,IF(escada="alcance",IFERROR(MATCH(base,{"1,5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1">
        <f>'DADOS_FORMAS'!$AH14&amp;" · classes 1 a 5"</f>
        <v/>
      </c>
      <c r="HU51">
        <f>LET(trecho,IF(OR('DADOS_FORMAS'!$AH14="",'DADOS_FORMAS'!$HM20="",'DADOS_FORMAS'!$HO20=""),"",IF('DADOS_FORMAS'!$HO20="—","—",'DADOS_FORMAS'!$HP20&amp;'DADOS_FORMAS'!$HO20&amp;SUBSTITUTE('DADOS_FORMAS'!$HQ20,"em você","nela"))),UPPER(LEFT(trecho,1))&amp;MID(trecho,2,LEN(trecho)))</f>
        <v/>
      </c>
      <c r="HV51">
        <f>LET(trecho,IF(OR('DADOS_FORMAS'!$AH14="",'DADOS_FORMAS'!$HM20="",'DADOS_FORMAS'!$HO20=""),"",IF('DADOS_FORMAS'!$HO20="—","—",'DADOS_FORMAS'!$HP20&amp;IF('DADOS_FORMAS'!$HN20="alcance",INDEX('DADOS_FORMAS'!$GL$2:$GL$7,MIN(6,'DADOS_FORMAS'!$HR20+1)),IF('DADOS_FORMAS'!$HN20="raio",INDEX('DADOS_FORMAS'!$GN$2:$GN$6,MIN(5,'DADOS_FORMAS'!$HR20+1)),IF('DADOS_FORMAS'!$HN20="comprimento",INDEX('DADOS_FORMAS'!$GP$2:$GP$6,MIN(5,'DADOS_FORMAS'!$HR20+1)),'DADOS_FORMAS'!$HO20)))&amp;SUBSTITUTE('DADOS_FORMAS'!$HQ20,"em você","nela"))),UPPER(LEFT(trecho,1))&amp;MID(trecho,2,LEN(trecho)))</f>
        <v/>
      </c>
      <c r="HW51">
        <f>LET(trecho,IF(OR('DADOS_FORMAS'!$AH14="",'DADOS_FORMAS'!$HM20="",'DADOS_FORMAS'!$HO20=""),"",IF('DADOS_FORMAS'!$HO20="—","—",'DADOS_FORMAS'!$HP20&amp;IF('DADOS_FORMAS'!$HN20="alcance",INDEX('DADOS_FORMAS'!$GL$2:$GL$7,MIN(6,'DADOS_FORMAS'!$HR20+2)),IF('DADOS_FORMAS'!$HN20="raio",INDEX('DADOS_FORMAS'!$GN$2:$GN$6,MIN(5,'DADOS_FORMAS'!$HR20+2)),IF('DADOS_FORMAS'!$HN20="comprimento",INDEX('DADOS_FORMAS'!$GP$2:$GP$6,MIN(5,'DADOS_FORMAS'!$HR20+2)),'DADOS_FORMAS'!$HO20)))&amp;SUBSTITUTE('DADOS_FORMAS'!$HQ20,"em você","nela"))),UPPER(LEFT(trecho,1))&amp;MID(trecho,2,LEN(trecho)))</f>
        <v/>
      </c>
      <c r="HX51">
        <f>LET(trecho,IF(OR('DADOS_FORMAS'!$AH14="",'DADOS_FORMAS'!$HM20="",'DADOS_FORMAS'!$HO20=""),"",IF('DADOS_FORMAS'!$HO20="—","—",'DADOS_FORMAS'!$HP20&amp;IF('DADOS_FORMAS'!$HN20="alcance",INDEX('DADOS_FORMAS'!$GL$2:$GL$7,MIN(6,'DADOS_FORMAS'!$HR20+3)),IF('DADOS_FORMAS'!$HN20="raio",INDEX('DADOS_FORMAS'!$GN$2:$GN$6,MIN(5,'DADOS_FORMAS'!$HR20+3)),IF('DADOS_FORMAS'!$HN20="comprimento",INDEX('DADOS_FORMAS'!$GP$2:$GP$6,MIN(5,'DADOS_FORMAS'!$HR20+3)),'DADOS_FORMAS'!$HO20)))&amp;SUBSTITUTE('DADOS_FORMAS'!$HQ20,"em você","nela"))),UPPER(LEFT(trecho,1))&amp;MID(trecho,2,LEN(trecho)))</f>
        <v/>
      </c>
      <c r="HY51">
        <f>LET(trecho,IF(OR('DADOS_FORMAS'!$AH14="",'DADOS_FORMAS'!$HM20="",'DADOS_FORMAS'!$HO20=""),"",IF('DADOS_FORMAS'!$HO20="—","—",'DADOS_FORMAS'!$HP20&amp;IF('DADOS_FORMAS'!$HN20="alcance",INDEX('DADOS_FORMAS'!$GL$2:$GL$7,MIN(6,'DADOS_FORMAS'!$HR20+4)),IF('DADOS_FORMAS'!$HN20="raio",INDEX('DADOS_FORMAS'!$GN$2:$GN$6,MIN(5,'DADOS_FORMAS'!$HR20+4)),IF('DADOS_FORMAS'!$HN20="comprimento",INDEX('DADOS_FORMAS'!$GP$2:$GP$6,MIN(5,'DADOS_FORMAS'!$HR20+4)),'DADOS_FORMAS'!$HO20)))&amp;SUBSTITUTE('DADOS_FORMAS'!$HQ20,"em você","nela"))),UPPER(LEFT(trecho,1))&amp;MID(trecho,2,LEN(trecho)))</f>
        <v/>
      </c>
      <c r="HZ51">
        <f>LET(trecho,IF(OR('DADOS_FORMAS'!$AH14="",'DADOS_FORMAS'!$HM20="",'DADOS_FORMAS'!$HO20=""),"",IF('DADOS_FORMAS'!$HO20="—","—",'DADOS_FORMAS'!$HP20&amp;IF('DADOS_FORMAS'!$HN20="alcance",INDEX('DADOS_FORMAS'!$GL$2:$GL$7,MIN(6,'DADOS_FORMAS'!$HR20+5)),IF('DADOS_FORMAS'!$HN20="raio",INDEX('DADOS_FORMAS'!$GN$2:$GN$6,MIN(5,'DADOS_FORMAS'!$HR20+5)),IF('DADOS_FORMAS'!$HN20="comprimento",INDEX('DADOS_FORMAS'!$GP$2:$GP$6,MIN(5,'DADOS_FORMAS'!$HR20+5)),'DADOS_FORMAS'!$HO20)))&amp;SUBSTITUTE('DADOS_FORMAS'!$HQ20,"em você","nela"))),UPPER(LEFT(trecho,1))&amp;MID(trecho,2,LEN(trecho)))</f>
        <v/>
      </c>
      <c r="IA51">
        <f>IF(OR('DADOS_FORMAS'!$AH14="",'DADOS_FORMAS'!$HM21="",'DADOS_FORMAS'!$HO21=""),"",IF('DADOS_FORMAS'!$HO21="—","—",'DADOS_FORMAS'!$HP21&amp;'DADOS_FORMAS'!$HO21&amp;SUBSTITUTE('DADOS_FORMAS'!$HQ21,"em você","nela")))</f>
        <v/>
      </c>
      <c r="IB51">
        <f>IF(OR('DADOS_FORMAS'!$AH14="",'DADOS_FORMAS'!$HM21="",'DADOS_FORMAS'!$HO21=""),"",IF('DADOS_FORMAS'!$HO21="—","—",'DADOS_FORMAS'!$HP21&amp;IF('DADOS_FORMAS'!$HN21="alcance",INDEX('DADOS_FORMAS'!$GL$2:$GL$7,MIN(6,'DADOS_FORMAS'!$HR21+1)),IF('DADOS_FORMAS'!$HN21="raio",INDEX('DADOS_FORMAS'!$GN$2:$GN$6,MIN(5,'DADOS_FORMAS'!$HR21+1)),IF('DADOS_FORMAS'!$HN21="comprimento",INDEX('DADOS_FORMAS'!$GP$2:$GP$6,MIN(5,'DADOS_FORMAS'!$HR21+1)),'DADOS_FORMAS'!$HO21)))&amp;SUBSTITUTE('DADOS_FORMAS'!$HQ21,"em você","nela")))</f>
        <v/>
      </c>
      <c r="IC51">
        <f>IF(OR('DADOS_FORMAS'!$AH14="",'DADOS_FORMAS'!$HM21="",'DADOS_FORMAS'!$HO21=""),"",IF('DADOS_FORMAS'!$HO21="—","—",'DADOS_FORMAS'!$HP21&amp;IF('DADOS_FORMAS'!$HN21="alcance",INDEX('DADOS_FORMAS'!$GL$2:$GL$7,MIN(6,'DADOS_FORMAS'!$HR21+2)),IF('DADOS_FORMAS'!$HN21="raio",INDEX('DADOS_FORMAS'!$GN$2:$GN$6,MIN(5,'DADOS_FORMAS'!$HR21+2)),IF('DADOS_FORMAS'!$HN21="comprimento",INDEX('DADOS_FORMAS'!$GP$2:$GP$6,MIN(5,'DADOS_FORMAS'!$HR21+2)),'DADOS_FORMAS'!$HO21)))&amp;SUBSTITUTE('DADOS_FORMAS'!$HQ21,"em você","nela")))</f>
        <v/>
      </c>
      <c r="ID51">
        <f>IF(OR('DADOS_FORMAS'!$AH14="",'DADOS_FORMAS'!$HM21="",'DADOS_FORMAS'!$HO21=""),"",IF('DADOS_FORMAS'!$HO21="—","—",'DADOS_FORMAS'!$HP21&amp;IF('DADOS_FORMAS'!$HN21="alcance",INDEX('DADOS_FORMAS'!$GL$2:$GL$7,MIN(6,'DADOS_FORMAS'!$HR21+3)),IF('DADOS_FORMAS'!$HN21="raio",INDEX('DADOS_FORMAS'!$GN$2:$GN$6,MIN(5,'DADOS_FORMAS'!$HR21+3)),IF('DADOS_FORMAS'!$HN21="comprimento",INDEX('DADOS_FORMAS'!$GP$2:$GP$6,MIN(5,'DADOS_FORMAS'!$HR21+3)),'DADOS_FORMAS'!$HO21)))&amp;SUBSTITUTE('DADOS_FORMAS'!$HQ21,"em você","nela")))</f>
        <v/>
      </c>
      <c r="IE51">
        <f>IF(OR('DADOS_FORMAS'!$AH14="",'DADOS_FORMAS'!$HM21="",'DADOS_FORMAS'!$HO21=""),"",IF('DADOS_FORMAS'!$HO21="—","—",'DADOS_FORMAS'!$HP21&amp;IF('DADOS_FORMAS'!$HN21="alcance",INDEX('DADOS_FORMAS'!$GL$2:$GL$7,MIN(6,'DADOS_FORMAS'!$HR21+4)),IF('DADOS_FORMAS'!$HN21="raio",INDEX('DADOS_FORMAS'!$GN$2:$GN$6,MIN(5,'DADOS_FORMAS'!$HR21+4)),IF('DADOS_FORMAS'!$HN21="comprimento",INDEX('DADOS_FORMAS'!$GP$2:$GP$6,MIN(5,'DADOS_FORMAS'!$HR21+4)),'DADOS_FORMAS'!$HO21)))&amp;SUBSTITUTE('DADOS_FORMAS'!$HQ21,"em você","nela")))</f>
        <v/>
      </c>
      <c r="IF51">
        <f>IF(OR('DADOS_FORMAS'!$AH14="",'DADOS_FORMAS'!$HM21="",'DADOS_FORMAS'!$HO21=""),"",IF('DADOS_FORMAS'!$HO21="—","—",'DADOS_FORMAS'!$HP21&amp;IF('DADOS_FORMAS'!$HN21="alcance",INDEX('DADOS_FORMAS'!$GL$2:$GL$7,MIN(6,'DADOS_FORMAS'!$HR21+5)),IF('DADOS_FORMAS'!$HN21="raio",INDEX('DADOS_FORMAS'!$GN$2:$GN$6,MIN(5,'DADOS_FORMAS'!$HR21+5)),IF('DADOS_FORMAS'!$HN21="comprimento",INDEX('DADOS_FORMAS'!$GP$2:$GP$6,MIN(5,'DADOS_FORMAS'!$HR21+5)),'DADOS_FORMAS'!$HO21)))&amp;SUBSTITUTE('DADOS_FORMAS'!$HQ21,"em você","nela")))</f>
        <v/>
      </c>
      <c r="KA51">
        <f>IFERROR(INDEX(INDEX('DADOS_RESTRICOES'!$M$2:$Q$54,0,1),49),"")</f>
        <v/>
      </c>
    </row>
    <row r="52">
      <c r="GR52">
        <f>'DADOS_FORMAS'!$BL20</f>
        <v/>
      </c>
      <c r="GS52">
        <f>IF('DADOS_FORMAS'!$BL20="area",'DADOS_FORMAS'!$AU20,'DADOS_FORMAS'!$AT20)</f>
        <v/>
      </c>
      <c r="GT52">
        <f>IF('DADOS_FORMAS'!$BL20="area",'DADOS_FORMAS'!$BD20,'DADOS_FORMAS'!$AW20)</f>
        <v/>
      </c>
      <c r="GU52">
        <f>'DADOS_FORMAS'!$BM20</f>
        <v/>
      </c>
      <c r="GV52">
        <f>'DADOS_FORMAS'!$BN20</f>
        <v/>
      </c>
      <c r="GW52">
        <f>LET(base,'DADOS_FORMAS'!$GT52,escada,'DADOS_FORMAS'!$GS52,medida,LEFT(base,MAX(0,LEN(base)-2)),valor,IFERROR(VALUE(SUBSTITUTE(medida,",",""))/10^IFERROR(LEN(medida)-FIND(",",medida),0),1E99),IF(OR(escada="Fixo",base="—"),base,IF(escada="alcance",IFERROR(MATCH(base,{"1,5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2">
        <f>'DADOS_FORMAS'!$AH18&amp;" · classes 6 e 7"</f>
        <v/>
      </c>
      <c r="GZ52">
        <f>LET(trecho,IF(OR('DADOS_FORMAS'!$AH18="",'DADOS_FORMAS'!$GR42="",'DADOS_FORMAS'!$GT42=""),"",IF('DADOS_FORMAS'!$GT42="—","—",'DADOS_FORMAS'!$GU42&amp;'DADOS_FORMAS'!$GT42&amp;'DADOS_FORMAS'!$GV42)),UPPER(LEFT(trecho,1))&amp;MID(trecho,2,LEN(trecho)))</f>
        <v/>
      </c>
      <c r="HA52">
        <f>LET(trecho,IF(OR('DADOS_FORMAS'!$AH18="",'DADOS_FORMAS'!$GR42="",'DADOS_FORMAS'!$GT42=""),"",IF('DADOS_FORMAS'!$GT42="—","—",'DADOS_FORMAS'!$GU42&amp;IF('DADOS_FORMAS'!$GS42="alcance",INDEX('DADOS_FORMAS'!$GL$2:$GL$7,MIN(6,'DADOS_FORMAS'!$GW42+1)),IF('DADOS_FORMAS'!$GS42="raio",INDEX('DADOS_FORMAS'!$GN$2:$GN$6,MIN(5,'DADOS_FORMAS'!$GW42+1)),IF('DADOS_FORMAS'!$GS42="comprimento",INDEX('DADOS_FORMAS'!$GP$2:$GP$6,MIN(5,'DADOS_FORMAS'!$GW42+1)),'DADOS_FORMAS'!$GT42)))&amp;'DADOS_FORMAS'!$GV42)),UPPER(LEFT(trecho,1))&amp;MID(trecho,2,LEN(trecho)))</f>
        <v/>
      </c>
      <c r="HB52">
        <f>LET(trecho,IF(OR('DADOS_FORMAS'!$AH18="",'DADOS_FORMAS'!$GR42="",'DADOS_FORMAS'!$GT42=""),"",IF('DADOS_FORMAS'!$GT42="—","—",'DADOS_FORMAS'!$GU42&amp;IF('DADOS_FORMAS'!$GS42="alcance",INDEX('DADOS_FORMAS'!$GL$2:$GL$7,MIN(6,'DADOS_FORMAS'!$GW42+2)),IF('DADOS_FORMAS'!$GS42="raio",INDEX('DADOS_FORMAS'!$GN$2:$GN$6,MIN(5,'DADOS_FORMAS'!$GW42+2)),IF('DADOS_FORMAS'!$GS42="comprimento",INDEX('DADOS_FORMAS'!$GP$2:$GP$6,MIN(5,'DADOS_FORMAS'!$GW42+2)),'DADOS_FORMAS'!$GT42)))&amp;'DADOS_FORMAS'!$GV42)),UPPER(LEFT(trecho,1))&amp;MID(trecho,2,LEN(trecho)))</f>
        <v/>
      </c>
      <c r="HC52">
        <f>LET(trecho,IF(OR('DADOS_FORMAS'!$AH18="",'DADOS_FORMAS'!$GR42="",'DADOS_FORMAS'!$GT42=""),"",IF('DADOS_FORMAS'!$GT42="—","—",'DADOS_FORMAS'!$GU42&amp;IF('DADOS_FORMAS'!$GS42="alcance",INDEX('DADOS_FORMAS'!$GL$2:$GL$7,MIN(6,'DADOS_FORMAS'!$GW42+3)),IF('DADOS_FORMAS'!$GS42="raio",INDEX('DADOS_FORMAS'!$GN$2:$GN$6,MIN(5,'DADOS_FORMAS'!$GW42+3)),IF('DADOS_FORMAS'!$GS42="comprimento",INDEX('DADOS_FORMAS'!$GP$2:$GP$6,MIN(5,'DADOS_FORMAS'!$GW42+3)),'DADOS_FORMAS'!$GT42)))&amp;'DADOS_FORMAS'!$GV42)),UPPER(LEFT(trecho,1))&amp;MID(trecho,2,LEN(trecho)))</f>
        <v/>
      </c>
      <c r="HD52">
        <f>LET(trecho,IF(OR('DADOS_FORMAS'!$AH18="",'DADOS_FORMAS'!$GR42="",'DADOS_FORMAS'!$GT42=""),"",IF('DADOS_FORMAS'!$GT42="—","—",'DADOS_FORMAS'!$GU42&amp;IF('DADOS_FORMAS'!$GS42="alcance",INDEX('DADOS_FORMAS'!$GL$2:$GL$7,MIN(6,'DADOS_FORMAS'!$GW42+4)),IF('DADOS_FORMAS'!$GS42="raio",INDEX('DADOS_FORMAS'!$GN$2:$GN$6,MIN(5,'DADOS_FORMAS'!$GW42+4)),IF('DADOS_FORMAS'!$GS42="comprimento",INDEX('DADOS_FORMAS'!$GP$2:$GP$6,MIN(5,'DADOS_FORMAS'!$GW42+4)),'DADOS_FORMAS'!$GT42)))&amp;'DADOS_FORMAS'!$GV42)),UPPER(LEFT(trecho,1))&amp;MID(trecho,2,LEN(trecho)))</f>
        <v/>
      </c>
      <c r="HE52">
        <f>LET(trecho,IF(OR('DADOS_FORMAS'!$AH18="",'DADOS_FORMAS'!$GR42="",'DADOS_FORMAS'!$GT42=""),"",IF('DADOS_FORMAS'!$GT42="—","—",'DADOS_FORMAS'!$GU42&amp;IF('DADOS_FORMAS'!$GS42="alcance",INDEX('DADOS_FORMAS'!$GL$2:$GL$7,MIN(6,'DADOS_FORMAS'!$GW42+5)),IF('DADOS_FORMAS'!$GS42="raio",INDEX('DADOS_FORMAS'!$GN$2:$GN$6,MIN(5,'DADOS_FORMAS'!$GW42+5)),IF('DADOS_FORMAS'!$GS42="comprimento",INDEX('DADOS_FORMAS'!$GP$2:$GP$6,MIN(5,'DADOS_FORMAS'!$GW42+5)),'DADOS_FORMAS'!$GT42)))&amp;'DADOS_FORMAS'!$GV42)),UPPER(LEFT(trecho,1))&amp;MID(trecho,2,LEN(trecho)))</f>
        <v/>
      </c>
      <c r="HF52">
        <f>IF(OR('DADOS_FORMAS'!$AH18="",'DADOS_FORMAS'!$GR43="",'DADOS_FORMAS'!$GT43=""),"",IF('DADOS_FORMAS'!$GT43="—","—",'DADOS_FORMAS'!$GU43&amp;'DADOS_FORMAS'!$GT43&amp;'DADOS_FORMAS'!$GV43))</f>
        <v/>
      </c>
      <c r="HG52">
        <f>IF(OR('DADOS_FORMAS'!$AH18="",'DADOS_FORMAS'!$GR43="",'DADOS_FORMAS'!$GT43=""),"",IF('DADOS_FORMAS'!$GT43="—","—",'DADOS_FORMAS'!$GU43&amp;IF('DADOS_FORMAS'!$GS43="alcance",INDEX('DADOS_FORMAS'!$GL$2:$GL$7,MIN(6,'DADOS_FORMAS'!$GW43+1)),IF('DADOS_FORMAS'!$GS43="raio",INDEX('DADOS_FORMAS'!$GN$2:$GN$6,MIN(5,'DADOS_FORMAS'!$GW43+1)),IF('DADOS_FORMAS'!$GS43="comprimento",INDEX('DADOS_FORMAS'!$GP$2:$GP$6,MIN(5,'DADOS_FORMAS'!$GW43+1)),'DADOS_FORMAS'!$GT43)))&amp;'DADOS_FORMAS'!$GV43))</f>
        <v/>
      </c>
      <c r="HH52">
        <f>IF(OR('DADOS_FORMAS'!$AH18="",'DADOS_FORMAS'!$GR43="",'DADOS_FORMAS'!$GT43=""),"",IF('DADOS_FORMAS'!$GT43="—","—",'DADOS_FORMAS'!$GU43&amp;IF('DADOS_FORMAS'!$GS43="alcance",INDEX('DADOS_FORMAS'!$GL$2:$GL$7,MIN(6,'DADOS_FORMAS'!$GW43+2)),IF('DADOS_FORMAS'!$GS43="raio",INDEX('DADOS_FORMAS'!$GN$2:$GN$6,MIN(5,'DADOS_FORMAS'!$GW43+2)),IF('DADOS_FORMAS'!$GS43="comprimento",INDEX('DADOS_FORMAS'!$GP$2:$GP$6,MIN(5,'DADOS_FORMAS'!$GW43+2)),'DADOS_FORMAS'!$GT43)))&amp;'DADOS_FORMAS'!$GV43))</f>
        <v/>
      </c>
      <c r="HI52">
        <f>IF(OR('DADOS_FORMAS'!$AH18="",'DADOS_FORMAS'!$GR43="",'DADOS_FORMAS'!$GT43=""),"",IF('DADOS_FORMAS'!$GT43="—","—",'DADOS_FORMAS'!$GU43&amp;IF('DADOS_FORMAS'!$GS43="alcance",INDEX('DADOS_FORMAS'!$GL$2:$GL$7,MIN(6,'DADOS_FORMAS'!$GW43+3)),IF('DADOS_FORMAS'!$GS43="raio",INDEX('DADOS_FORMAS'!$GN$2:$GN$6,MIN(5,'DADOS_FORMAS'!$GW43+3)),IF('DADOS_FORMAS'!$GS43="comprimento",INDEX('DADOS_FORMAS'!$GP$2:$GP$6,MIN(5,'DADOS_FORMAS'!$GW43+3)),'DADOS_FORMAS'!$GT43)))&amp;'DADOS_FORMAS'!$GV43))</f>
        <v/>
      </c>
      <c r="HJ52">
        <f>IF(OR('DADOS_FORMAS'!$AH18="",'DADOS_FORMAS'!$GR43="",'DADOS_FORMAS'!$GT43=""),"",IF('DADOS_FORMAS'!$GT43="—","—",'DADOS_FORMAS'!$GU43&amp;IF('DADOS_FORMAS'!$GS43="alcance",INDEX('DADOS_FORMAS'!$GL$2:$GL$7,MIN(6,'DADOS_FORMAS'!$GW43+4)),IF('DADOS_FORMAS'!$GS43="raio",INDEX('DADOS_FORMAS'!$GN$2:$GN$6,MIN(5,'DADOS_FORMAS'!$GW43+4)),IF('DADOS_FORMAS'!$GS43="comprimento",INDEX('DADOS_FORMAS'!$GP$2:$GP$6,MIN(5,'DADOS_FORMAS'!$GW43+4)),'DADOS_FORMAS'!$GT43)))&amp;'DADOS_FORMAS'!$GV43))</f>
        <v/>
      </c>
      <c r="HK52">
        <f>IF(OR('DADOS_FORMAS'!$AH18="",'DADOS_FORMAS'!$GR43="",'DADOS_FORMAS'!$GT43=""),"",IF('DADOS_FORMAS'!$GT43="—","—",'DADOS_FORMAS'!$GU43&amp;IF('DADOS_FORMAS'!$GS43="alcance",INDEX('DADOS_FORMAS'!$GL$2:$GL$7,MIN(6,'DADOS_FORMAS'!$GW43+5)),IF('DADOS_FORMAS'!$GS43="raio",INDEX('DADOS_FORMAS'!$GN$2:$GN$6,MIN(5,'DADOS_FORMAS'!$GW43+5)),IF('DADOS_FORMAS'!$GS43="comprimento",INDEX('DADOS_FORMAS'!$GP$2:$GP$6,MIN(5,'DADOS_FORMAS'!$GW43+5)),'DADOS_FORMAS'!$GT43)))&amp;'DADOS_FORMAS'!$GV43))</f>
        <v/>
      </c>
      <c r="HM52">
        <f>'DADOS_FORMAS'!$BL18</f>
        <v/>
      </c>
      <c r="HN52">
        <f>IF('DADOS_FORMAS'!$BL18="area",'DADOS_FORMAS'!$AU18,'DADOS_FORMAS'!$AT18)</f>
        <v/>
      </c>
      <c r="HO52">
        <f>IF('DADOS_FORMAS'!$BL18="area",'DADOS_FORMAS'!$BG18,'DADOS_FORMAS'!$AZ18)</f>
        <v/>
      </c>
      <c r="HP52">
        <f>'DADOS_FORMAS'!$BM18</f>
        <v/>
      </c>
      <c r="HQ52">
        <f>'DADOS_FORMAS'!$BN18</f>
        <v/>
      </c>
      <c r="HR52">
        <f>LET(base,'DADOS_FORMAS'!$HO52,escada,'DADOS_FORMAS'!$HN52,medida,LEFT(base,MAX(0,LEN(base)-2)),valor,IFERROR(VALUE(SUBSTITUTE(medida,",",""))/10^IFERROR(LEN(medida)-FIND(",",medida),0),1E99),IF(OR(escada="Fixo",base="—"),base,IF(escada="alcance",IFERROR(MATCH(base,{"1,5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2">
        <f>'DADOS_FORMAS'!$AH14&amp;" · classe 6"</f>
        <v/>
      </c>
      <c r="HU52">
        <f>LET(trecho,IF(OR('DADOS_FORMAS'!$AH14="",'DADOS_FORMAS'!$HM22="",'DADOS_FORMAS'!$HO22=""),"",IF('DADOS_FORMAS'!$HO22="—","—",'DADOS_FORMAS'!$HP22&amp;'DADOS_FORMAS'!$HO22&amp;SUBSTITUTE('DADOS_FORMAS'!$HQ22,"em você","nela"))),UPPER(LEFT(trecho,1))&amp;MID(trecho,2,LEN(trecho)))</f>
        <v/>
      </c>
      <c r="HV52">
        <f>LET(trecho,IF(OR('DADOS_FORMAS'!$AH14="",'DADOS_FORMAS'!$HM22="",'DADOS_FORMAS'!$HO22=""),"",IF('DADOS_FORMAS'!$HO22="—","—",'DADOS_FORMAS'!$HP22&amp;IF('DADOS_FORMAS'!$HN22="alcance",INDEX('DADOS_FORMAS'!$GL$2:$GL$7,MIN(6,'DADOS_FORMAS'!$HR22+1)),IF('DADOS_FORMAS'!$HN22="raio",INDEX('DADOS_FORMAS'!$GN$2:$GN$6,MIN(5,'DADOS_FORMAS'!$HR22+1)),IF('DADOS_FORMAS'!$HN22="comprimento",INDEX('DADOS_FORMAS'!$GP$2:$GP$6,MIN(5,'DADOS_FORMAS'!$HR22+1)),'DADOS_FORMAS'!$HO22)))&amp;SUBSTITUTE('DADOS_FORMAS'!$HQ22,"em você","nela"))),UPPER(LEFT(trecho,1))&amp;MID(trecho,2,LEN(trecho)))</f>
        <v/>
      </c>
      <c r="HW52">
        <f>LET(trecho,IF(OR('DADOS_FORMAS'!$AH14="",'DADOS_FORMAS'!$HM22="",'DADOS_FORMAS'!$HO22=""),"",IF('DADOS_FORMAS'!$HO22="—","—",'DADOS_FORMAS'!$HP22&amp;IF('DADOS_FORMAS'!$HN22="alcance",INDEX('DADOS_FORMAS'!$GL$2:$GL$7,MIN(6,'DADOS_FORMAS'!$HR22+2)),IF('DADOS_FORMAS'!$HN22="raio",INDEX('DADOS_FORMAS'!$GN$2:$GN$6,MIN(5,'DADOS_FORMAS'!$HR22+2)),IF('DADOS_FORMAS'!$HN22="comprimento",INDEX('DADOS_FORMAS'!$GP$2:$GP$6,MIN(5,'DADOS_FORMAS'!$HR22+2)),'DADOS_FORMAS'!$HO22)))&amp;SUBSTITUTE('DADOS_FORMAS'!$HQ22,"em você","nela"))),UPPER(LEFT(trecho,1))&amp;MID(trecho,2,LEN(trecho)))</f>
        <v/>
      </c>
      <c r="HX52">
        <f>LET(trecho,IF(OR('DADOS_FORMAS'!$AH14="",'DADOS_FORMAS'!$HM22="",'DADOS_FORMAS'!$HO22=""),"",IF('DADOS_FORMAS'!$HO22="—","—",'DADOS_FORMAS'!$HP22&amp;IF('DADOS_FORMAS'!$HN22="alcance",INDEX('DADOS_FORMAS'!$GL$2:$GL$7,MIN(6,'DADOS_FORMAS'!$HR22+3)),IF('DADOS_FORMAS'!$HN22="raio",INDEX('DADOS_FORMAS'!$GN$2:$GN$6,MIN(5,'DADOS_FORMAS'!$HR22+3)),IF('DADOS_FORMAS'!$HN22="comprimento",INDEX('DADOS_FORMAS'!$GP$2:$GP$6,MIN(5,'DADOS_FORMAS'!$HR22+3)),'DADOS_FORMAS'!$HO22)))&amp;SUBSTITUTE('DADOS_FORMAS'!$HQ22,"em você","nela"))),UPPER(LEFT(trecho,1))&amp;MID(trecho,2,LEN(trecho)))</f>
        <v/>
      </c>
      <c r="HY52">
        <f>LET(trecho,IF(OR('DADOS_FORMAS'!$AH14="",'DADOS_FORMAS'!$HM22="",'DADOS_FORMAS'!$HO22=""),"",IF('DADOS_FORMAS'!$HO22="—","—",'DADOS_FORMAS'!$HP22&amp;IF('DADOS_FORMAS'!$HN22="alcance",INDEX('DADOS_FORMAS'!$GL$2:$GL$7,MIN(6,'DADOS_FORMAS'!$HR22+4)),IF('DADOS_FORMAS'!$HN22="raio",INDEX('DADOS_FORMAS'!$GN$2:$GN$6,MIN(5,'DADOS_FORMAS'!$HR22+4)),IF('DADOS_FORMAS'!$HN22="comprimento",INDEX('DADOS_FORMAS'!$GP$2:$GP$6,MIN(5,'DADOS_FORMAS'!$HR22+4)),'DADOS_FORMAS'!$HO22)))&amp;SUBSTITUTE('DADOS_FORMAS'!$HQ22,"em você","nela"))),UPPER(LEFT(trecho,1))&amp;MID(trecho,2,LEN(trecho)))</f>
        <v/>
      </c>
      <c r="HZ52">
        <f>LET(trecho,IF(OR('DADOS_FORMAS'!$AH14="",'DADOS_FORMAS'!$HM22="",'DADOS_FORMAS'!$HO22=""),"",IF('DADOS_FORMAS'!$HO22="—","—",'DADOS_FORMAS'!$HP22&amp;IF('DADOS_FORMAS'!$HN22="alcance",INDEX('DADOS_FORMAS'!$GL$2:$GL$7,MIN(6,'DADOS_FORMAS'!$HR22+5)),IF('DADOS_FORMAS'!$HN22="raio",INDEX('DADOS_FORMAS'!$GN$2:$GN$6,MIN(5,'DADOS_FORMAS'!$HR22+5)),IF('DADOS_FORMAS'!$HN22="comprimento",INDEX('DADOS_FORMAS'!$GP$2:$GP$6,MIN(5,'DADOS_FORMAS'!$HR22+5)),'DADOS_FORMAS'!$HO22)))&amp;SUBSTITUTE('DADOS_FORMAS'!$HQ22,"em você","nela"))),UPPER(LEFT(trecho,1))&amp;MID(trecho,2,LEN(trecho)))</f>
        <v/>
      </c>
      <c r="IA52">
        <f>IF(OR('DADOS_FORMAS'!$AH14="",'DADOS_FORMAS'!$HM23="",'DADOS_FORMAS'!$HO23=""),"",IF('DADOS_FORMAS'!$HO23="—","—",'DADOS_FORMAS'!$HP23&amp;'DADOS_FORMAS'!$HO23&amp;SUBSTITUTE('DADOS_FORMAS'!$HQ23,"em você","nela")))</f>
        <v/>
      </c>
      <c r="IB52">
        <f>IF(OR('DADOS_FORMAS'!$AH14="",'DADOS_FORMAS'!$HM23="",'DADOS_FORMAS'!$HO23=""),"",IF('DADOS_FORMAS'!$HO23="—","—",'DADOS_FORMAS'!$HP23&amp;IF('DADOS_FORMAS'!$HN23="alcance",INDEX('DADOS_FORMAS'!$GL$2:$GL$7,MIN(6,'DADOS_FORMAS'!$HR23+1)),IF('DADOS_FORMAS'!$HN23="raio",INDEX('DADOS_FORMAS'!$GN$2:$GN$6,MIN(5,'DADOS_FORMAS'!$HR23+1)),IF('DADOS_FORMAS'!$HN23="comprimento",INDEX('DADOS_FORMAS'!$GP$2:$GP$6,MIN(5,'DADOS_FORMAS'!$HR23+1)),'DADOS_FORMAS'!$HO23)))&amp;SUBSTITUTE('DADOS_FORMAS'!$HQ23,"em você","nela")))</f>
        <v/>
      </c>
      <c r="IC52">
        <f>IF(OR('DADOS_FORMAS'!$AH14="",'DADOS_FORMAS'!$HM23="",'DADOS_FORMAS'!$HO23=""),"",IF('DADOS_FORMAS'!$HO23="—","—",'DADOS_FORMAS'!$HP23&amp;IF('DADOS_FORMAS'!$HN23="alcance",INDEX('DADOS_FORMAS'!$GL$2:$GL$7,MIN(6,'DADOS_FORMAS'!$HR23+2)),IF('DADOS_FORMAS'!$HN23="raio",INDEX('DADOS_FORMAS'!$GN$2:$GN$6,MIN(5,'DADOS_FORMAS'!$HR23+2)),IF('DADOS_FORMAS'!$HN23="comprimento",INDEX('DADOS_FORMAS'!$GP$2:$GP$6,MIN(5,'DADOS_FORMAS'!$HR23+2)),'DADOS_FORMAS'!$HO23)))&amp;SUBSTITUTE('DADOS_FORMAS'!$HQ23,"em você","nela")))</f>
        <v/>
      </c>
      <c r="ID52">
        <f>IF(OR('DADOS_FORMAS'!$AH14="",'DADOS_FORMAS'!$HM23="",'DADOS_FORMAS'!$HO23=""),"",IF('DADOS_FORMAS'!$HO23="—","—",'DADOS_FORMAS'!$HP23&amp;IF('DADOS_FORMAS'!$HN23="alcance",INDEX('DADOS_FORMAS'!$GL$2:$GL$7,MIN(6,'DADOS_FORMAS'!$HR23+3)),IF('DADOS_FORMAS'!$HN23="raio",INDEX('DADOS_FORMAS'!$GN$2:$GN$6,MIN(5,'DADOS_FORMAS'!$HR23+3)),IF('DADOS_FORMAS'!$HN23="comprimento",INDEX('DADOS_FORMAS'!$GP$2:$GP$6,MIN(5,'DADOS_FORMAS'!$HR23+3)),'DADOS_FORMAS'!$HO23)))&amp;SUBSTITUTE('DADOS_FORMAS'!$HQ23,"em você","nela")))</f>
        <v/>
      </c>
      <c r="IE52">
        <f>IF(OR('DADOS_FORMAS'!$AH14="",'DADOS_FORMAS'!$HM23="",'DADOS_FORMAS'!$HO23=""),"",IF('DADOS_FORMAS'!$HO23="—","—",'DADOS_FORMAS'!$HP23&amp;IF('DADOS_FORMAS'!$HN23="alcance",INDEX('DADOS_FORMAS'!$GL$2:$GL$7,MIN(6,'DADOS_FORMAS'!$HR23+4)),IF('DADOS_FORMAS'!$HN23="raio",INDEX('DADOS_FORMAS'!$GN$2:$GN$6,MIN(5,'DADOS_FORMAS'!$HR23+4)),IF('DADOS_FORMAS'!$HN23="comprimento",INDEX('DADOS_FORMAS'!$GP$2:$GP$6,MIN(5,'DADOS_FORMAS'!$HR23+4)),'DADOS_FORMAS'!$HO23)))&amp;SUBSTITUTE('DADOS_FORMAS'!$HQ23,"em você","nela")))</f>
        <v/>
      </c>
      <c r="IF52">
        <f>IF(OR('DADOS_FORMAS'!$AH14="",'DADOS_FORMAS'!$HM23="",'DADOS_FORMAS'!$HO23=""),"",IF('DADOS_FORMAS'!$HO23="—","—",'DADOS_FORMAS'!$HP23&amp;IF('DADOS_FORMAS'!$HN23="alcance",INDEX('DADOS_FORMAS'!$GL$2:$GL$7,MIN(6,'DADOS_FORMAS'!$HR23+5)),IF('DADOS_FORMAS'!$HN23="raio",INDEX('DADOS_FORMAS'!$GN$2:$GN$6,MIN(5,'DADOS_FORMAS'!$HR23+5)),IF('DADOS_FORMAS'!$HN23="comprimento",INDEX('DADOS_FORMAS'!$GP$2:$GP$6,MIN(5,'DADOS_FORMAS'!$HR23+5)),'DADOS_FORMAS'!$HO23)))&amp;SUBSTITUTE('DADOS_FORMAS'!$HQ23,"em você","nela")))</f>
        <v/>
      </c>
      <c r="KA52">
        <f>IFERROR(INDEX(INDEX('DADOS_RESTRICOES'!$M$2:$Q$54,0,1),50),"")</f>
        <v/>
      </c>
    </row>
    <row r="53">
      <c r="GR53">
        <f>'DADOS_FORMAS'!$BP20</f>
        <v/>
      </c>
      <c r="GS53">
        <f>IF('DADOS_FORMAS'!$BP20="area",'DADOS_FORMAS'!$AU20,'DADOS_FORMAS'!$AT20)</f>
        <v/>
      </c>
      <c r="GT53">
        <f>IF('DADOS_FORMAS'!$BP20="area",'DADOS_FORMAS'!$BD20,'DADOS_FORMAS'!$AW20)</f>
        <v/>
      </c>
      <c r="GU53">
        <f>'DADOS_FORMAS'!$BQ20</f>
        <v/>
      </c>
      <c r="GV53">
        <f>'DADOS_FORMAS'!$BR20</f>
        <v/>
      </c>
      <c r="GW53">
        <f>LET(base,'DADOS_FORMAS'!$GT53,escada,'DADOS_FORMAS'!$GS53,medida,LEFT(base,MAX(0,LEN(base)-2)),valor,IFERROR(VALUE(SUBSTITUTE(medida,",",""))/10^IFERROR(LEN(medida)-FIND(",",medida),0),1E99),IF(OR(escada="Fixo",base="—"),base,IF(escada="alcance",IFERROR(MATCH(base,{"1,5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3">
        <f>'DADOS_FORMAS'!$AH19&amp;" · classe 0"</f>
        <v/>
      </c>
      <c r="GZ53">
        <f>LET(trecho,IF(OR('DADOS_FORMAS'!$AH19="",'DADOS_FORMAS'!$GR44="",'DADOS_FORMAS'!$GT44=""),"",IF('DADOS_FORMAS'!$GT44="—","—",'DADOS_FORMAS'!$GU44&amp;'DADOS_FORMAS'!$GT44&amp;'DADOS_FORMAS'!$GV44)),UPPER(LEFT(trecho,1))&amp;MID(trecho,2,LEN(trecho)))</f>
        <v/>
      </c>
      <c r="HA53">
        <f>LET(trecho,IF(OR('DADOS_FORMAS'!$AH19="",'DADOS_FORMAS'!$GR44="",'DADOS_FORMAS'!$GT44=""),"",IF('DADOS_FORMAS'!$GT44="—","—",'DADOS_FORMAS'!$GU44&amp;IF('DADOS_FORMAS'!$GS44="alcance",INDEX('DADOS_FORMAS'!$GL$2:$GL$7,MIN(6,'DADOS_FORMAS'!$GW44+1)),IF('DADOS_FORMAS'!$GS44="raio",INDEX('DADOS_FORMAS'!$GN$2:$GN$6,MIN(5,'DADOS_FORMAS'!$GW44+1)),IF('DADOS_FORMAS'!$GS44="comprimento",INDEX('DADOS_FORMAS'!$GP$2:$GP$6,MIN(5,'DADOS_FORMAS'!$GW44+1)),'DADOS_FORMAS'!$GT44)))&amp;'DADOS_FORMAS'!$GV44)),UPPER(LEFT(trecho,1))&amp;MID(trecho,2,LEN(trecho)))</f>
        <v/>
      </c>
      <c r="HB53">
        <f>LET(trecho,IF(OR('DADOS_FORMAS'!$AH19="",'DADOS_FORMAS'!$GR44="",'DADOS_FORMAS'!$GT44=""),"",IF('DADOS_FORMAS'!$GT44="—","—",'DADOS_FORMAS'!$GU44&amp;IF('DADOS_FORMAS'!$GS44="alcance",INDEX('DADOS_FORMAS'!$GL$2:$GL$7,MIN(6,'DADOS_FORMAS'!$GW44+2)),IF('DADOS_FORMAS'!$GS44="raio",INDEX('DADOS_FORMAS'!$GN$2:$GN$6,MIN(5,'DADOS_FORMAS'!$GW44+2)),IF('DADOS_FORMAS'!$GS44="comprimento",INDEX('DADOS_FORMAS'!$GP$2:$GP$6,MIN(5,'DADOS_FORMAS'!$GW44+2)),'DADOS_FORMAS'!$GT44)))&amp;'DADOS_FORMAS'!$GV44)),UPPER(LEFT(trecho,1))&amp;MID(trecho,2,LEN(trecho)))</f>
        <v/>
      </c>
      <c r="HC53">
        <f>LET(trecho,IF(OR('DADOS_FORMAS'!$AH19="",'DADOS_FORMAS'!$GR44="",'DADOS_FORMAS'!$GT44=""),"",IF('DADOS_FORMAS'!$GT44="—","—",'DADOS_FORMAS'!$GU44&amp;IF('DADOS_FORMAS'!$GS44="alcance",INDEX('DADOS_FORMAS'!$GL$2:$GL$7,MIN(6,'DADOS_FORMAS'!$GW44+3)),IF('DADOS_FORMAS'!$GS44="raio",INDEX('DADOS_FORMAS'!$GN$2:$GN$6,MIN(5,'DADOS_FORMAS'!$GW44+3)),IF('DADOS_FORMAS'!$GS44="comprimento",INDEX('DADOS_FORMAS'!$GP$2:$GP$6,MIN(5,'DADOS_FORMAS'!$GW44+3)),'DADOS_FORMAS'!$GT44)))&amp;'DADOS_FORMAS'!$GV44)),UPPER(LEFT(trecho,1))&amp;MID(trecho,2,LEN(trecho)))</f>
        <v/>
      </c>
      <c r="HD53">
        <f>LET(trecho,IF(OR('DADOS_FORMAS'!$AH19="",'DADOS_FORMAS'!$GR44="",'DADOS_FORMAS'!$GT44=""),"",IF('DADOS_FORMAS'!$GT44="—","—",'DADOS_FORMAS'!$GU44&amp;IF('DADOS_FORMAS'!$GS44="alcance",INDEX('DADOS_FORMAS'!$GL$2:$GL$7,MIN(6,'DADOS_FORMAS'!$GW44+4)),IF('DADOS_FORMAS'!$GS44="raio",INDEX('DADOS_FORMAS'!$GN$2:$GN$6,MIN(5,'DADOS_FORMAS'!$GW44+4)),IF('DADOS_FORMAS'!$GS44="comprimento",INDEX('DADOS_FORMAS'!$GP$2:$GP$6,MIN(5,'DADOS_FORMAS'!$GW44+4)),'DADOS_FORMAS'!$GT44)))&amp;'DADOS_FORMAS'!$GV44)),UPPER(LEFT(trecho,1))&amp;MID(trecho,2,LEN(trecho)))</f>
        <v/>
      </c>
      <c r="HE53">
        <f>LET(trecho,IF(OR('DADOS_FORMAS'!$AH19="",'DADOS_FORMAS'!$GR44="",'DADOS_FORMAS'!$GT44=""),"",IF('DADOS_FORMAS'!$GT44="—","—",'DADOS_FORMAS'!$GU44&amp;IF('DADOS_FORMAS'!$GS44="alcance",INDEX('DADOS_FORMAS'!$GL$2:$GL$7,MIN(6,'DADOS_FORMAS'!$GW44+5)),IF('DADOS_FORMAS'!$GS44="raio",INDEX('DADOS_FORMAS'!$GN$2:$GN$6,MIN(5,'DADOS_FORMAS'!$GW44+5)),IF('DADOS_FORMAS'!$GS44="comprimento",INDEX('DADOS_FORMAS'!$GP$2:$GP$6,MIN(5,'DADOS_FORMAS'!$GW44+5)),'DADOS_FORMAS'!$GT44)))&amp;'DADOS_FORMAS'!$GV44)),UPPER(LEFT(trecho,1))&amp;MID(trecho,2,LEN(trecho)))</f>
        <v/>
      </c>
      <c r="HF53">
        <f>IF(OR('DADOS_FORMAS'!$AH19="",'DADOS_FORMAS'!$GR45="",'DADOS_FORMAS'!$GT45=""),"",IF('DADOS_FORMAS'!$GT45="—","—",'DADOS_FORMAS'!$GU45&amp;'DADOS_FORMAS'!$GT45&amp;'DADOS_FORMAS'!$GV45))</f>
        <v/>
      </c>
      <c r="HG53">
        <f>IF(OR('DADOS_FORMAS'!$AH19="",'DADOS_FORMAS'!$GR45="",'DADOS_FORMAS'!$GT45=""),"",IF('DADOS_FORMAS'!$GT45="—","—",'DADOS_FORMAS'!$GU45&amp;IF('DADOS_FORMAS'!$GS45="alcance",INDEX('DADOS_FORMAS'!$GL$2:$GL$7,MIN(6,'DADOS_FORMAS'!$GW45+1)),IF('DADOS_FORMAS'!$GS45="raio",INDEX('DADOS_FORMAS'!$GN$2:$GN$6,MIN(5,'DADOS_FORMAS'!$GW45+1)),IF('DADOS_FORMAS'!$GS45="comprimento",INDEX('DADOS_FORMAS'!$GP$2:$GP$6,MIN(5,'DADOS_FORMAS'!$GW45+1)),'DADOS_FORMAS'!$GT45)))&amp;'DADOS_FORMAS'!$GV45))</f>
        <v/>
      </c>
      <c r="HH53">
        <f>IF(OR('DADOS_FORMAS'!$AH19="",'DADOS_FORMAS'!$GR45="",'DADOS_FORMAS'!$GT45=""),"",IF('DADOS_FORMAS'!$GT45="—","—",'DADOS_FORMAS'!$GU45&amp;IF('DADOS_FORMAS'!$GS45="alcance",INDEX('DADOS_FORMAS'!$GL$2:$GL$7,MIN(6,'DADOS_FORMAS'!$GW45+2)),IF('DADOS_FORMAS'!$GS45="raio",INDEX('DADOS_FORMAS'!$GN$2:$GN$6,MIN(5,'DADOS_FORMAS'!$GW45+2)),IF('DADOS_FORMAS'!$GS45="comprimento",INDEX('DADOS_FORMAS'!$GP$2:$GP$6,MIN(5,'DADOS_FORMAS'!$GW45+2)),'DADOS_FORMAS'!$GT45)))&amp;'DADOS_FORMAS'!$GV45))</f>
        <v/>
      </c>
      <c r="HI53">
        <f>IF(OR('DADOS_FORMAS'!$AH19="",'DADOS_FORMAS'!$GR45="",'DADOS_FORMAS'!$GT45=""),"",IF('DADOS_FORMAS'!$GT45="—","—",'DADOS_FORMAS'!$GU45&amp;IF('DADOS_FORMAS'!$GS45="alcance",INDEX('DADOS_FORMAS'!$GL$2:$GL$7,MIN(6,'DADOS_FORMAS'!$GW45+3)),IF('DADOS_FORMAS'!$GS45="raio",INDEX('DADOS_FORMAS'!$GN$2:$GN$6,MIN(5,'DADOS_FORMAS'!$GW45+3)),IF('DADOS_FORMAS'!$GS45="comprimento",INDEX('DADOS_FORMAS'!$GP$2:$GP$6,MIN(5,'DADOS_FORMAS'!$GW45+3)),'DADOS_FORMAS'!$GT45)))&amp;'DADOS_FORMAS'!$GV45))</f>
        <v/>
      </c>
      <c r="HJ53">
        <f>IF(OR('DADOS_FORMAS'!$AH19="",'DADOS_FORMAS'!$GR45="",'DADOS_FORMAS'!$GT45=""),"",IF('DADOS_FORMAS'!$GT45="—","—",'DADOS_FORMAS'!$GU45&amp;IF('DADOS_FORMAS'!$GS45="alcance",INDEX('DADOS_FORMAS'!$GL$2:$GL$7,MIN(6,'DADOS_FORMAS'!$GW45+4)),IF('DADOS_FORMAS'!$GS45="raio",INDEX('DADOS_FORMAS'!$GN$2:$GN$6,MIN(5,'DADOS_FORMAS'!$GW45+4)),IF('DADOS_FORMAS'!$GS45="comprimento",INDEX('DADOS_FORMAS'!$GP$2:$GP$6,MIN(5,'DADOS_FORMAS'!$GW45+4)),'DADOS_FORMAS'!$GT45)))&amp;'DADOS_FORMAS'!$GV45))</f>
        <v/>
      </c>
      <c r="HK53">
        <f>IF(OR('DADOS_FORMAS'!$AH19="",'DADOS_FORMAS'!$GR45="",'DADOS_FORMAS'!$GT45=""),"",IF('DADOS_FORMAS'!$GT45="—","—",'DADOS_FORMAS'!$GU45&amp;IF('DADOS_FORMAS'!$GS45="alcance",INDEX('DADOS_FORMAS'!$GL$2:$GL$7,MIN(6,'DADOS_FORMAS'!$GW45+5)),IF('DADOS_FORMAS'!$GS45="raio",INDEX('DADOS_FORMAS'!$GN$2:$GN$6,MIN(5,'DADOS_FORMAS'!$GW45+5)),IF('DADOS_FORMAS'!$GS45="comprimento",INDEX('DADOS_FORMAS'!$GP$2:$GP$6,MIN(5,'DADOS_FORMAS'!$GW45+5)),'DADOS_FORMAS'!$GT45)))&amp;'DADOS_FORMAS'!$GV45))</f>
        <v/>
      </c>
      <c r="HM53">
        <f>'DADOS_FORMAS'!$BP18</f>
        <v/>
      </c>
      <c r="HN53">
        <f>IF('DADOS_FORMAS'!$BP18="area",'DADOS_FORMAS'!$AU18,'DADOS_FORMAS'!$AT18)</f>
        <v/>
      </c>
      <c r="HO53">
        <f>IF('DADOS_FORMAS'!$BP18="area",'DADOS_FORMAS'!$BG18,'DADOS_FORMAS'!$AZ18)</f>
        <v/>
      </c>
      <c r="HP53">
        <f>'DADOS_FORMAS'!$BQ18</f>
        <v/>
      </c>
      <c r="HQ53">
        <f>'DADOS_FORMAS'!$BR18</f>
        <v/>
      </c>
      <c r="HR53">
        <f>LET(base,'DADOS_FORMAS'!$HO53,escada,'DADOS_FORMAS'!$HN53,medida,LEFT(base,MAX(0,LEN(base)-2)),valor,IFERROR(VALUE(SUBSTITUTE(medida,",",""))/10^IFERROR(LEN(medida)-FIND(",",medida),0),1E99),IF(OR(escada="Fixo",base="—"),base,IF(escada="alcance",IFERROR(MATCH(base,{"1,5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3">
        <f>'DADOS_FORMAS'!$AH14&amp;" · classe 7"</f>
        <v/>
      </c>
      <c r="HU53">
        <f>LET(trecho,IF(OR('DADOS_FORMAS'!$AH14="",'DADOS_FORMAS'!$HM24="",'DADOS_FORMAS'!$HO24=""),"",IF('DADOS_FORMAS'!$HO24="—","—",'DADOS_FORMAS'!$HP24&amp;'DADOS_FORMAS'!$HO24&amp;SUBSTITUTE('DADOS_FORMAS'!$HQ24,"em você","nela"))),UPPER(LEFT(trecho,1))&amp;MID(trecho,2,LEN(trecho)))</f>
        <v/>
      </c>
      <c r="HV53">
        <f>LET(trecho,IF(OR('DADOS_FORMAS'!$AH14="",'DADOS_FORMAS'!$HM24="",'DADOS_FORMAS'!$HO24=""),"",IF('DADOS_FORMAS'!$HO24="—","—",'DADOS_FORMAS'!$HP24&amp;IF('DADOS_FORMAS'!$HN24="alcance",INDEX('DADOS_FORMAS'!$GL$2:$GL$7,MIN(6,'DADOS_FORMAS'!$HR24+1)),IF('DADOS_FORMAS'!$HN24="raio",INDEX('DADOS_FORMAS'!$GN$2:$GN$6,MIN(5,'DADOS_FORMAS'!$HR24+1)),IF('DADOS_FORMAS'!$HN24="comprimento",INDEX('DADOS_FORMAS'!$GP$2:$GP$6,MIN(5,'DADOS_FORMAS'!$HR24+1)),'DADOS_FORMAS'!$HO24)))&amp;SUBSTITUTE('DADOS_FORMAS'!$HQ24,"em você","nela"))),UPPER(LEFT(trecho,1))&amp;MID(trecho,2,LEN(trecho)))</f>
        <v/>
      </c>
      <c r="HW53">
        <f>LET(trecho,IF(OR('DADOS_FORMAS'!$AH14="",'DADOS_FORMAS'!$HM24="",'DADOS_FORMAS'!$HO24=""),"",IF('DADOS_FORMAS'!$HO24="—","—",'DADOS_FORMAS'!$HP24&amp;IF('DADOS_FORMAS'!$HN24="alcance",INDEX('DADOS_FORMAS'!$GL$2:$GL$7,MIN(6,'DADOS_FORMAS'!$HR24+2)),IF('DADOS_FORMAS'!$HN24="raio",INDEX('DADOS_FORMAS'!$GN$2:$GN$6,MIN(5,'DADOS_FORMAS'!$HR24+2)),IF('DADOS_FORMAS'!$HN24="comprimento",INDEX('DADOS_FORMAS'!$GP$2:$GP$6,MIN(5,'DADOS_FORMAS'!$HR24+2)),'DADOS_FORMAS'!$HO24)))&amp;SUBSTITUTE('DADOS_FORMAS'!$HQ24,"em você","nela"))),UPPER(LEFT(trecho,1))&amp;MID(trecho,2,LEN(trecho)))</f>
        <v/>
      </c>
      <c r="HX53">
        <f>LET(trecho,IF(OR('DADOS_FORMAS'!$AH14="",'DADOS_FORMAS'!$HM24="",'DADOS_FORMAS'!$HO24=""),"",IF('DADOS_FORMAS'!$HO24="—","—",'DADOS_FORMAS'!$HP24&amp;IF('DADOS_FORMAS'!$HN24="alcance",INDEX('DADOS_FORMAS'!$GL$2:$GL$7,MIN(6,'DADOS_FORMAS'!$HR24+3)),IF('DADOS_FORMAS'!$HN24="raio",INDEX('DADOS_FORMAS'!$GN$2:$GN$6,MIN(5,'DADOS_FORMAS'!$HR24+3)),IF('DADOS_FORMAS'!$HN24="comprimento",INDEX('DADOS_FORMAS'!$GP$2:$GP$6,MIN(5,'DADOS_FORMAS'!$HR24+3)),'DADOS_FORMAS'!$HO24)))&amp;SUBSTITUTE('DADOS_FORMAS'!$HQ24,"em você","nela"))),UPPER(LEFT(trecho,1))&amp;MID(trecho,2,LEN(trecho)))</f>
        <v/>
      </c>
      <c r="HY53">
        <f>LET(trecho,IF(OR('DADOS_FORMAS'!$AH14="",'DADOS_FORMAS'!$HM24="",'DADOS_FORMAS'!$HO24=""),"",IF('DADOS_FORMAS'!$HO24="—","—",'DADOS_FORMAS'!$HP24&amp;IF('DADOS_FORMAS'!$HN24="alcance",INDEX('DADOS_FORMAS'!$GL$2:$GL$7,MIN(6,'DADOS_FORMAS'!$HR24+4)),IF('DADOS_FORMAS'!$HN24="raio",INDEX('DADOS_FORMAS'!$GN$2:$GN$6,MIN(5,'DADOS_FORMAS'!$HR24+4)),IF('DADOS_FORMAS'!$HN24="comprimento",INDEX('DADOS_FORMAS'!$GP$2:$GP$6,MIN(5,'DADOS_FORMAS'!$HR24+4)),'DADOS_FORMAS'!$HO24)))&amp;SUBSTITUTE('DADOS_FORMAS'!$HQ24,"em você","nela"))),UPPER(LEFT(trecho,1))&amp;MID(trecho,2,LEN(trecho)))</f>
        <v/>
      </c>
      <c r="HZ53">
        <f>LET(trecho,IF(OR('DADOS_FORMAS'!$AH14="",'DADOS_FORMAS'!$HM24="",'DADOS_FORMAS'!$HO24=""),"",IF('DADOS_FORMAS'!$HO24="—","—",'DADOS_FORMAS'!$HP24&amp;IF('DADOS_FORMAS'!$HN24="alcance",INDEX('DADOS_FORMAS'!$GL$2:$GL$7,MIN(6,'DADOS_FORMAS'!$HR24+5)),IF('DADOS_FORMAS'!$HN24="raio",INDEX('DADOS_FORMAS'!$GN$2:$GN$6,MIN(5,'DADOS_FORMAS'!$HR24+5)),IF('DADOS_FORMAS'!$HN24="comprimento",INDEX('DADOS_FORMAS'!$GP$2:$GP$6,MIN(5,'DADOS_FORMAS'!$HR24+5)),'DADOS_FORMAS'!$HO24)))&amp;SUBSTITUTE('DADOS_FORMAS'!$HQ24,"em você","nela"))),UPPER(LEFT(trecho,1))&amp;MID(trecho,2,LEN(trecho)))</f>
        <v/>
      </c>
      <c r="IA53">
        <f>IF(OR('DADOS_FORMAS'!$AH14="",'DADOS_FORMAS'!$HM25="",'DADOS_FORMAS'!$HO25=""),"",IF('DADOS_FORMAS'!$HO25="—","—",'DADOS_FORMAS'!$HP25&amp;'DADOS_FORMAS'!$HO25&amp;SUBSTITUTE('DADOS_FORMAS'!$HQ25,"em você","nela")))</f>
        <v/>
      </c>
      <c r="IB53">
        <f>IF(OR('DADOS_FORMAS'!$AH14="",'DADOS_FORMAS'!$HM25="",'DADOS_FORMAS'!$HO25=""),"",IF('DADOS_FORMAS'!$HO25="—","—",'DADOS_FORMAS'!$HP25&amp;IF('DADOS_FORMAS'!$HN25="alcance",INDEX('DADOS_FORMAS'!$GL$2:$GL$7,MIN(6,'DADOS_FORMAS'!$HR25+1)),IF('DADOS_FORMAS'!$HN25="raio",INDEX('DADOS_FORMAS'!$GN$2:$GN$6,MIN(5,'DADOS_FORMAS'!$HR25+1)),IF('DADOS_FORMAS'!$HN25="comprimento",INDEX('DADOS_FORMAS'!$GP$2:$GP$6,MIN(5,'DADOS_FORMAS'!$HR25+1)),'DADOS_FORMAS'!$HO25)))&amp;SUBSTITUTE('DADOS_FORMAS'!$HQ25,"em você","nela")))</f>
        <v/>
      </c>
      <c r="IC53">
        <f>IF(OR('DADOS_FORMAS'!$AH14="",'DADOS_FORMAS'!$HM25="",'DADOS_FORMAS'!$HO25=""),"",IF('DADOS_FORMAS'!$HO25="—","—",'DADOS_FORMAS'!$HP25&amp;IF('DADOS_FORMAS'!$HN25="alcance",INDEX('DADOS_FORMAS'!$GL$2:$GL$7,MIN(6,'DADOS_FORMAS'!$HR25+2)),IF('DADOS_FORMAS'!$HN25="raio",INDEX('DADOS_FORMAS'!$GN$2:$GN$6,MIN(5,'DADOS_FORMAS'!$HR25+2)),IF('DADOS_FORMAS'!$HN25="comprimento",INDEX('DADOS_FORMAS'!$GP$2:$GP$6,MIN(5,'DADOS_FORMAS'!$HR25+2)),'DADOS_FORMAS'!$HO25)))&amp;SUBSTITUTE('DADOS_FORMAS'!$HQ25,"em você","nela")))</f>
        <v/>
      </c>
      <c r="ID53">
        <f>IF(OR('DADOS_FORMAS'!$AH14="",'DADOS_FORMAS'!$HM25="",'DADOS_FORMAS'!$HO25=""),"",IF('DADOS_FORMAS'!$HO25="—","—",'DADOS_FORMAS'!$HP25&amp;IF('DADOS_FORMAS'!$HN25="alcance",INDEX('DADOS_FORMAS'!$GL$2:$GL$7,MIN(6,'DADOS_FORMAS'!$HR25+3)),IF('DADOS_FORMAS'!$HN25="raio",INDEX('DADOS_FORMAS'!$GN$2:$GN$6,MIN(5,'DADOS_FORMAS'!$HR25+3)),IF('DADOS_FORMAS'!$HN25="comprimento",INDEX('DADOS_FORMAS'!$GP$2:$GP$6,MIN(5,'DADOS_FORMAS'!$HR25+3)),'DADOS_FORMAS'!$HO25)))&amp;SUBSTITUTE('DADOS_FORMAS'!$HQ25,"em você","nela")))</f>
        <v/>
      </c>
      <c r="IE53">
        <f>IF(OR('DADOS_FORMAS'!$AH14="",'DADOS_FORMAS'!$HM25="",'DADOS_FORMAS'!$HO25=""),"",IF('DADOS_FORMAS'!$HO25="—","—",'DADOS_FORMAS'!$HP25&amp;IF('DADOS_FORMAS'!$HN25="alcance",INDEX('DADOS_FORMAS'!$GL$2:$GL$7,MIN(6,'DADOS_FORMAS'!$HR25+4)),IF('DADOS_FORMAS'!$HN25="raio",INDEX('DADOS_FORMAS'!$GN$2:$GN$6,MIN(5,'DADOS_FORMAS'!$HR25+4)),IF('DADOS_FORMAS'!$HN25="comprimento",INDEX('DADOS_FORMAS'!$GP$2:$GP$6,MIN(5,'DADOS_FORMAS'!$HR25+4)),'DADOS_FORMAS'!$HO25)))&amp;SUBSTITUTE('DADOS_FORMAS'!$HQ25,"em você","nela")))</f>
        <v/>
      </c>
      <c r="IF53">
        <f>IF(OR('DADOS_FORMAS'!$AH14="",'DADOS_FORMAS'!$HM25="",'DADOS_FORMAS'!$HO25=""),"",IF('DADOS_FORMAS'!$HO25="—","—",'DADOS_FORMAS'!$HP25&amp;IF('DADOS_FORMAS'!$HN25="alcance",INDEX('DADOS_FORMAS'!$GL$2:$GL$7,MIN(6,'DADOS_FORMAS'!$HR25+5)),IF('DADOS_FORMAS'!$HN25="raio",INDEX('DADOS_FORMAS'!$GN$2:$GN$6,MIN(5,'DADOS_FORMAS'!$HR25+5)),IF('DADOS_FORMAS'!$HN25="comprimento",INDEX('DADOS_FORMAS'!$GP$2:$GP$6,MIN(5,'DADOS_FORMAS'!$HR25+5)),'DADOS_FORMAS'!$HO25)))&amp;SUBSTITUTE('DADOS_FORMAS'!$HQ25,"em você","nela")))</f>
        <v/>
      </c>
      <c r="KA53">
        <f>IFERROR(INDEX(INDEX('DADOS_RESTRICOES'!$M$2:$Q$54,0,1),51),"")</f>
        <v/>
      </c>
    </row>
    <row r="54">
      <c r="GR54">
        <f>'DADOS_FORMAS'!$BL20</f>
        <v/>
      </c>
      <c r="GS54">
        <f>IF('DADOS_FORMAS'!$BL20="area",'DADOS_FORMAS'!$AU20,'DADOS_FORMAS'!$AT20)</f>
        <v/>
      </c>
      <c r="GT54">
        <f>IF('DADOS_FORMAS'!$BL20="area",'DADOS_FORMAS'!$BE20,'DADOS_FORMAS'!$AX20)</f>
        <v/>
      </c>
      <c r="GU54">
        <f>'DADOS_FORMAS'!$BM20</f>
        <v/>
      </c>
      <c r="GV54">
        <f>'DADOS_FORMAS'!$BN20</f>
        <v/>
      </c>
      <c r="GW54">
        <f>LET(base,'DADOS_FORMAS'!$GT54,escada,'DADOS_FORMAS'!$GS54,medida,LEFT(base,MAX(0,LEN(base)-2)),valor,IFERROR(VALUE(SUBSTITUTE(medida,",",""))/10^IFERROR(LEN(medida)-FIND(",",medida),0),1E99),IF(OR(escada="Fixo",base="—"),base,IF(escada="alcance",IFERROR(MATCH(base,{"1,5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4">
        <f>'DADOS_FORMAS'!$AH19&amp;" · classes 1 a 5"</f>
        <v/>
      </c>
      <c r="GZ54">
        <f>LET(trecho,IF(OR('DADOS_FORMAS'!$AH19="",'DADOS_FORMAS'!$GR46="",'DADOS_FORMAS'!$GT46=""),"",IF('DADOS_FORMAS'!$GT46="—","—",'DADOS_FORMAS'!$GU46&amp;'DADOS_FORMAS'!$GT46&amp;'DADOS_FORMAS'!$GV46)),UPPER(LEFT(trecho,1))&amp;MID(trecho,2,LEN(trecho)))</f>
        <v/>
      </c>
      <c r="HA54">
        <f>LET(trecho,IF(OR('DADOS_FORMAS'!$AH19="",'DADOS_FORMAS'!$GR46="",'DADOS_FORMAS'!$GT46=""),"",IF('DADOS_FORMAS'!$GT46="—","—",'DADOS_FORMAS'!$GU46&amp;IF('DADOS_FORMAS'!$GS46="alcance",INDEX('DADOS_FORMAS'!$GL$2:$GL$7,MIN(6,'DADOS_FORMAS'!$GW46+1)),IF('DADOS_FORMAS'!$GS46="raio",INDEX('DADOS_FORMAS'!$GN$2:$GN$6,MIN(5,'DADOS_FORMAS'!$GW46+1)),IF('DADOS_FORMAS'!$GS46="comprimento",INDEX('DADOS_FORMAS'!$GP$2:$GP$6,MIN(5,'DADOS_FORMAS'!$GW46+1)),'DADOS_FORMAS'!$GT46)))&amp;'DADOS_FORMAS'!$GV46)),UPPER(LEFT(trecho,1))&amp;MID(trecho,2,LEN(trecho)))</f>
        <v/>
      </c>
      <c r="HB54">
        <f>LET(trecho,IF(OR('DADOS_FORMAS'!$AH19="",'DADOS_FORMAS'!$GR46="",'DADOS_FORMAS'!$GT46=""),"",IF('DADOS_FORMAS'!$GT46="—","—",'DADOS_FORMAS'!$GU46&amp;IF('DADOS_FORMAS'!$GS46="alcance",INDEX('DADOS_FORMAS'!$GL$2:$GL$7,MIN(6,'DADOS_FORMAS'!$GW46+2)),IF('DADOS_FORMAS'!$GS46="raio",INDEX('DADOS_FORMAS'!$GN$2:$GN$6,MIN(5,'DADOS_FORMAS'!$GW46+2)),IF('DADOS_FORMAS'!$GS46="comprimento",INDEX('DADOS_FORMAS'!$GP$2:$GP$6,MIN(5,'DADOS_FORMAS'!$GW46+2)),'DADOS_FORMAS'!$GT46)))&amp;'DADOS_FORMAS'!$GV46)),UPPER(LEFT(trecho,1))&amp;MID(trecho,2,LEN(trecho)))</f>
        <v/>
      </c>
      <c r="HC54">
        <f>LET(trecho,IF(OR('DADOS_FORMAS'!$AH19="",'DADOS_FORMAS'!$GR46="",'DADOS_FORMAS'!$GT46=""),"",IF('DADOS_FORMAS'!$GT46="—","—",'DADOS_FORMAS'!$GU46&amp;IF('DADOS_FORMAS'!$GS46="alcance",INDEX('DADOS_FORMAS'!$GL$2:$GL$7,MIN(6,'DADOS_FORMAS'!$GW46+3)),IF('DADOS_FORMAS'!$GS46="raio",INDEX('DADOS_FORMAS'!$GN$2:$GN$6,MIN(5,'DADOS_FORMAS'!$GW46+3)),IF('DADOS_FORMAS'!$GS46="comprimento",INDEX('DADOS_FORMAS'!$GP$2:$GP$6,MIN(5,'DADOS_FORMAS'!$GW46+3)),'DADOS_FORMAS'!$GT46)))&amp;'DADOS_FORMAS'!$GV46)),UPPER(LEFT(trecho,1))&amp;MID(trecho,2,LEN(trecho)))</f>
        <v/>
      </c>
      <c r="HD54">
        <f>LET(trecho,IF(OR('DADOS_FORMAS'!$AH19="",'DADOS_FORMAS'!$GR46="",'DADOS_FORMAS'!$GT46=""),"",IF('DADOS_FORMAS'!$GT46="—","—",'DADOS_FORMAS'!$GU46&amp;IF('DADOS_FORMAS'!$GS46="alcance",INDEX('DADOS_FORMAS'!$GL$2:$GL$7,MIN(6,'DADOS_FORMAS'!$GW46+4)),IF('DADOS_FORMAS'!$GS46="raio",INDEX('DADOS_FORMAS'!$GN$2:$GN$6,MIN(5,'DADOS_FORMAS'!$GW46+4)),IF('DADOS_FORMAS'!$GS46="comprimento",INDEX('DADOS_FORMAS'!$GP$2:$GP$6,MIN(5,'DADOS_FORMAS'!$GW46+4)),'DADOS_FORMAS'!$GT46)))&amp;'DADOS_FORMAS'!$GV46)),UPPER(LEFT(trecho,1))&amp;MID(trecho,2,LEN(trecho)))</f>
        <v/>
      </c>
      <c r="HE54">
        <f>LET(trecho,IF(OR('DADOS_FORMAS'!$AH19="",'DADOS_FORMAS'!$GR46="",'DADOS_FORMAS'!$GT46=""),"",IF('DADOS_FORMAS'!$GT46="—","—",'DADOS_FORMAS'!$GU46&amp;IF('DADOS_FORMAS'!$GS46="alcance",INDEX('DADOS_FORMAS'!$GL$2:$GL$7,MIN(6,'DADOS_FORMAS'!$GW46+5)),IF('DADOS_FORMAS'!$GS46="raio",INDEX('DADOS_FORMAS'!$GN$2:$GN$6,MIN(5,'DADOS_FORMAS'!$GW46+5)),IF('DADOS_FORMAS'!$GS46="comprimento",INDEX('DADOS_FORMAS'!$GP$2:$GP$6,MIN(5,'DADOS_FORMAS'!$GW46+5)),'DADOS_FORMAS'!$GT46)))&amp;'DADOS_FORMAS'!$GV46)),UPPER(LEFT(trecho,1))&amp;MID(trecho,2,LEN(trecho)))</f>
        <v/>
      </c>
      <c r="HF54">
        <f>IF(OR('DADOS_FORMAS'!$AH19="",'DADOS_FORMAS'!$GR47="",'DADOS_FORMAS'!$GT47=""),"",IF('DADOS_FORMAS'!$GT47="—","—",'DADOS_FORMAS'!$GU47&amp;'DADOS_FORMAS'!$GT47&amp;'DADOS_FORMAS'!$GV47))</f>
        <v/>
      </c>
      <c r="HG54">
        <f>IF(OR('DADOS_FORMAS'!$AH19="",'DADOS_FORMAS'!$GR47="",'DADOS_FORMAS'!$GT47=""),"",IF('DADOS_FORMAS'!$GT47="—","—",'DADOS_FORMAS'!$GU47&amp;IF('DADOS_FORMAS'!$GS47="alcance",INDEX('DADOS_FORMAS'!$GL$2:$GL$7,MIN(6,'DADOS_FORMAS'!$GW47+1)),IF('DADOS_FORMAS'!$GS47="raio",INDEX('DADOS_FORMAS'!$GN$2:$GN$6,MIN(5,'DADOS_FORMAS'!$GW47+1)),IF('DADOS_FORMAS'!$GS47="comprimento",INDEX('DADOS_FORMAS'!$GP$2:$GP$6,MIN(5,'DADOS_FORMAS'!$GW47+1)),'DADOS_FORMAS'!$GT47)))&amp;'DADOS_FORMAS'!$GV47))</f>
        <v/>
      </c>
      <c r="HH54">
        <f>IF(OR('DADOS_FORMAS'!$AH19="",'DADOS_FORMAS'!$GR47="",'DADOS_FORMAS'!$GT47=""),"",IF('DADOS_FORMAS'!$GT47="—","—",'DADOS_FORMAS'!$GU47&amp;IF('DADOS_FORMAS'!$GS47="alcance",INDEX('DADOS_FORMAS'!$GL$2:$GL$7,MIN(6,'DADOS_FORMAS'!$GW47+2)),IF('DADOS_FORMAS'!$GS47="raio",INDEX('DADOS_FORMAS'!$GN$2:$GN$6,MIN(5,'DADOS_FORMAS'!$GW47+2)),IF('DADOS_FORMAS'!$GS47="comprimento",INDEX('DADOS_FORMAS'!$GP$2:$GP$6,MIN(5,'DADOS_FORMAS'!$GW47+2)),'DADOS_FORMAS'!$GT47)))&amp;'DADOS_FORMAS'!$GV47))</f>
        <v/>
      </c>
      <c r="HI54">
        <f>IF(OR('DADOS_FORMAS'!$AH19="",'DADOS_FORMAS'!$GR47="",'DADOS_FORMAS'!$GT47=""),"",IF('DADOS_FORMAS'!$GT47="—","—",'DADOS_FORMAS'!$GU47&amp;IF('DADOS_FORMAS'!$GS47="alcance",INDEX('DADOS_FORMAS'!$GL$2:$GL$7,MIN(6,'DADOS_FORMAS'!$GW47+3)),IF('DADOS_FORMAS'!$GS47="raio",INDEX('DADOS_FORMAS'!$GN$2:$GN$6,MIN(5,'DADOS_FORMAS'!$GW47+3)),IF('DADOS_FORMAS'!$GS47="comprimento",INDEX('DADOS_FORMAS'!$GP$2:$GP$6,MIN(5,'DADOS_FORMAS'!$GW47+3)),'DADOS_FORMAS'!$GT47)))&amp;'DADOS_FORMAS'!$GV47))</f>
        <v/>
      </c>
      <c r="HJ54">
        <f>IF(OR('DADOS_FORMAS'!$AH19="",'DADOS_FORMAS'!$GR47="",'DADOS_FORMAS'!$GT47=""),"",IF('DADOS_FORMAS'!$GT47="—","—",'DADOS_FORMAS'!$GU47&amp;IF('DADOS_FORMAS'!$GS47="alcance",INDEX('DADOS_FORMAS'!$GL$2:$GL$7,MIN(6,'DADOS_FORMAS'!$GW47+4)),IF('DADOS_FORMAS'!$GS47="raio",INDEX('DADOS_FORMAS'!$GN$2:$GN$6,MIN(5,'DADOS_FORMAS'!$GW47+4)),IF('DADOS_FORMAS'!$GS47="comprimento",INDEX('DADOS_FORMAS'!$GP$2:$GP$6,MIN(5,'DADOS_FORMAS'!$GW47+4)),'DADOS_FORMAS'!$GT47)))&amp;'DADOS_FORMAS'!$GV47))</f>
        <v/>
      </c>
      <c r="HK54">
        <f>IF(OR('DADOS_FORMAS'!$AH19="",'DADOS_FORMAS'!$GR47="",'DADOS_FORMAS'!$GT47=""),"",IF('DADOS_FORMAS'!$GT47="—","—",'DADOS_FORMAS'!$GU47&amp;IF('DADOS_FORMAS'!$GS47="alcance",INDEX('DADOS_FORMAS'!$GL$2:$GL$7,MIN(6,'DADOS_FORMAS'!$GW47+5)),IF('DADOS_FORMAS'!$GS47="raio",INDEX('DADOS_FORMAS'!$GN$2:$GN$6,MIN(5,'DADOS_FORMAS'!$GW47+5)),IF('DADOS_FORMAS'!$GS47="comprimento",INDEX('DADOS_FORMAS'!$GP$2:$GP$6,MIN(5,'DADOS_FORMAS'!$GW47+5)),'DADOS_FORMAS'!$GT47)))&amp;'DADOS_FORMAS'!$GV47))</f>
        <v/>
      </c>
      <c r="HM54">
        <f>'DADOS_FORMAS'!$BL18</f>
        <v/>
      </c>
      <c r="HN54">
        <f>IF('DADOS_FORMAS'!$BL18="area",'DADOS_FORMAS'!$AU18,'DADOS_FORMAS'!$AT18)</f>
        <v/>
      </c>
      <c r="HO54">
        <f>IF('DADOS_FORMAS'!$BL18="area",'DADOS_FORMAS'!$BH18,'DADOS_FORMAS'!$BA18)</f>
        <v/>
      </c>
      <c r="HP54">
        <f>'DADOS_FORMAS'!$BM18</f>
        <v/>
      </c>
      <c r="HQ54">
        <f>'DADOS_FORMAS'!$BN18</f>
        <v/>
      </c>
      <c r="HR54">
        <f>LET(base,'DADOS_FORMAS'!$HO54,escada,'DADOS_FORMAS'!$HN54,medida,LEFT(base,MAX(0,LEN(base)-2)),valor,IFERROR(VALUE(SUBSTITUTE(medida,",",""))/10^IFERROR(LEN(medida)-FIND(",",medida),0),1E99),IF(OR(escada="Fixo",base="—"),base,IF(escada="alcance",IFERROR(MATCH(base,{"1,5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4">
        <f>'DADOS_FORMAS'!$AH15&amp;" · classe 0"</f>
        <v/>
      </c>
      <c r="HU54">
        <f>LET(trecho,IF(OR('DADOS_FORMAS'!$AH15="",'DADOS_FORMAS'!$HM26="",'DADOS_FORMAS'!$HO26=""),"",IF('DADOS_FORMAS'!$HO26="—","—",'DADOS_FORMAS'!$HP26&amp;'DADOS_FORMAS'!$HO26&amp;SUBSTITUTE('DADOS_FORMAS'!$HQ26,"em você","nela"))),UPPER(LEFT(trecho,1))&amp;MID(trecho,2,LEN(trecho)))</f>
        <v/>
      </c>
      <c r="HV54">
        <f>LET(trecho,IF(OR('DADOS_FORMAS'!$AH15="",'DADOS_FORMAS'!$HM26="",'DADOS_FORMAS'!$HO26=""),"",IF('DADOS_FORMAS'!$HO26="—","—",'DADOS_FORMAS'!$HP26&amp;IF('DADOS_FORMAS'!$HN26="alcance",INDEX('DADOS_FORMAS'!$GL$2:$GL$7,MIN(6,'DADOS_FORMAS'!$HR26+1)),IF('DADOS_FORMAS'!$HN26="raio",INDEX('DADOS_FORMAS'!$GN$2:$GN$6,MIN(5,'DADOS_FORMAS'!$HR26+1)),IF('DADOS_FORMAS'!$HN26="comprimento",INDEX('DADOS_FORMAS'!$GP$2:$GP$6,MIN(5,'DADOS_FORMAS'!$HR26+1)),'DADOS_FORMAS'!$HO26)))&amp;SUBSTITUTE('DADOS_FORMAS'!$HQ26,"em você","nela"))),UPPER(LEFT(trecho,1))&amp;MID(trecho,2,LEN(trecho)))</f>
        <v/>
      </c>
      <c r="HW54">
        <f>LET(trecho,IF(OR('DADOS_FORMAS'!$AH15="",'DADOS_FORMAS'!$HM26="",'DADOS_FORMAS'!$HO26=""),"",IF('DADOS_FORMAS'!$HO26="—","—",'DADOS_FORMAS'!$HP26&amp;IF('DADOS_FORMAS'!$HN26="alcance",INDEX('DADOS_FORMAS'!$GL$2:$GL$7,MIN(6,'DADOS_FORMAS'!$HR26+2)),IF('DADOS_FORMAS'!$HN26="raio",INDEX('DADOS_FORMAS'!$GN$2:$GN$6,MIN(5,'DADOS_FORMAS'!$HR26+2)),IF('DADOS_FORMAS'!$HN26="comprimento",INDEX('DADOS_FORMAS'!$GP$2:$GP$6,MIN(5,'DADOS_FORMAS'!$HR26+2)),'DADOS_FORMAS'!$HO26)))&amp;SUBSTITUTE('DADOS_FORMAS'!$HQ26,"em você","nela"))),UPPER(LEFT(trecho,1))&amp;MID(trecho,2,LEN(trecho)))</f>
        <v/>
      </c>
      <c r="HX54">
        <f>LET(trecho,IF(OR('DADOS_FORMAS'!$AH15="",'DADOS_FORMAS'!$HM26="",'DADOS_FORMAS'!$HO26=""),"",IF('DADOS_FORMAS'!$HO26="—","—",'DADOS_FORMAS'!$HP26&amp;IF('DADOS_FORMAS'!$HN26="alcance",INDEX('DADOS_FORMAS'!$GL$2:$GL$7,MIN(6,'DADOS_FORMAS'!$HR26+3)),IF('DADOS_FORMAS'!$HN26="raio",INDEX('DADOS_FORMAS'!$GN$2:$GN$6,MIN(5,'DADOS_FORMAS'!$HR26+3)),IF('DADOS_FORMAS'!$HN26="comprimento",INDEX('DADOS_FORMAS'!$GP$2:$GP$6,MIN(5,'DADOS_FORMAS'!$HR26+3)),'DADOS_FORMAS'!$HO26)))&amp;SUBSTITUTE('DADOS_FORMAS'!$HQ26,"em você","nela"))),UPPER(LEFT(trecho,1))&amp;MID(trecho,2,LEN(trecho)))</f>
        <v/>
      </c>
      <c r="HY54">
        <f>LET(trecho,IF(OR('DADOS_FORMAS'!$AH15="",'DADOS_FORMAS'!$HM26="",'DADOS_FORMAS'!$HO26=""),"",IF('DADOS_FORMAS'!$HO26="—","—",'DADOS_FORMAS'!$HP26&amp;IF('DADOS_FORMAS'!$HN26="alcance",INDEX('DADOS_FORMAS'!$GL$2:$GL$7,MIN(6,'DADOS_FORMAS'!$HR26+4)),IF('DADOS_FORMAS'!$HN26="raio",INDEX('DADOS_FORMAS'!$GN$2:$GN$6,MIN(5,'DADOS_FORMAS'!$HR26+4)),IF('DADOS_FORMAS'!$HN26="comprimento",INDEX('DADOS_FORMAS'!$GP$2:$GP$6,MIN(5,'DADOS_FORMAS'!$HR26+4)),'DADOS_FORMAS'!$HO26)))&amp;SUBSTITUTE('DADOS_FORMAS'!$HQ26,"em você","nela"))),UPPER(LEFT(trecho,1))&amp;MID(trecho,2,LEN(trecho)))</f>
        <v/>
      </c>
      <c r="HZ54">
        <f>LET(trecho,IF(OR('DADOS_FORMAS'!$AH15="",'DADOS_FORMAS'!$HM26="",'DADOS_FORMAS'!$HO26=""),"",IF('DADOS_FORMAS'!$HO26="—","—",'DADOS_FORMAS'!$HP26&amp;IF('DADOS_FORMAS'!$HN26="alcance",INDEX('DADOS_FORMAS'!$GL$2:$GL$7,MIN(6,'DADOS_FORMAS'!$HR26+5)),IF('DADOS_FORMAS'!$HN26="raio",INDEX('DADOS_FORMAS'!$GN$2:$GN$6,MIN(5,'DADOS_FORMAS'!$HR26+5)),IF('DADOS_FORMAS'!$HN26="comprimento",INDEX('DADOS_FORMAS'!$GP$2:$GP$6,MIN(5,'DADOS_FORMAS'!$HR26+5)),'DADOS_FORMAS'!$HO26)))&amp;SUBSTITUTE('DADOS_FORMAS'!$HQ26,"em você","nela"))),UPPER(LEFT(trecho,1))&amp;MID(trecho,2,LEN(trecho)))</f>
        <v/>
      </c>
      <c r="IA54">
        <f>IF(OR('DADOS_FORMAS'!$AH15="",'DADOS_FORMAS'!$HM27="",'DADOS_FORMAS'!$HO27=""),"",IF('DADOS_FORMAS'!$HO27="—","—",'DADOS_FORMAS'!$HP27&amp;'DADOS_FORMAS'!$HO27&amp;SUBSTITUTE('DADOS_FORMAS'!$HQ27,"em você","nela")))</f>
        <v/>
      </c>
      <c r="IB54">
        <f>IF(OR('DADOS_FORMAS'!$AH15="",'DADOS_FORMAS'!$HM27="",'DADOS_FORMAS'!$HO27=""),"",IF('DADOS_FORMAS'!$HO27="—","—",'DADOS_FORMAS'!$HP27&amp;IF('DADOS_FORMAS'!$HN27="alcance",INDEX('DADOS_FORMAS'!$GL$2:$GL$7,MIN(6,'DADOS_FORMAS'!$HR27+1)),IF('DADOS_FORMAS'!$HN27="raio",INDEX('DADOS_FORMAS'!$GN$2:$GN$6,MIN(5,'DADOS_FORMAS'!$HR27+1)),IF('DADOS_FORMAS'!$HN27="comprimento",INDEX('DADOS_FORMAS'!$GP$2:$GP$6,MIN(5,'DADOS_FORMAS'!$HR27+1)),'DADOS_FORMAS'!$HO27)))&amp;SUBSTITUTE('DADOS_FORMAS'!$HQ27,"em você","nela")))</f>
        <v/>
      </c>
      <c r="IC54">
        <f>IF(OR('DADOS_FORMAS'!$AH15="",'DADOS_FORMAS'!$HM27="",'DADOS_FORMAS'!$HO27=""),"",IF('DADOS_FORMAS'!$HO27="—","—",'DADOS_FORMAS'!$HP27&amp;IF('DADOS_FORMAS'!$HN27="alcance",INDEX('DADOS_FORMAS'!$GL$2:$GL$7,MIN(6,'DADOS_FORMAS'!$HR27+2)),IF('DADOS_FORMAS'!$HN27="raio",INDEX('DADOS_FORMAS'!$GN$2:$GN$6,MIN(5,'DADOS_FORMAS'!$HR27+2)),IF('DADOS_FORMAS'!$HN27="comprimento",INDEX('DADOS_FORMAS'!$GP$2:$GP$6,MIN(5,'DADOS_FORMAS'!$HR27+2)),'DADOS_FORMAS'!$HO27)))&amp;SUBSTITUTE('DADOS_FORMAS'!$HQ27,"em você","nela")))</f>
        <v/>
      </c>
      <c r="ID54">
        <f>IF(OR('DADOS_FORMAS'!$AH15="",'DADOS_FORMAS'!$HM27="",'DADOS_FORMAS'!$HO27=""),"",IF('DADOS_FORMAS'!$HO27="—","—",'DADOS_FORMAS'!$HP27&amp;IF('DADOS_FORMAS'!$HN27="alcance",INDEX('DADOS_FORMAS'!$GL$2:$GL$7,MIN(6,'DADOS_FORMAS'!$HR27+3)),IF('DADOS_FORMAS'!$HN27="raio",INDEX('DADOS_FORMAS'!$GN$2:$GN$6,MIN(5,'DADOS_FORMAS'!$HR27+3)),IF('DADOS_FORMAS'!$HN27="comprimento",INDEX('DADOS_FORMAS'!$GP$2:$GP$6,MIN(5,'DADOS_FORMAS'!$HR27+3)),'DADOS_FORMAS'!$HO27)))&amp;SUBSTITUTE('DADOS_FORMAS'!$HQ27,"em você","nela")))</f>
        <v/>
      </c>
      <c r="IE54">
        <f>IF(OR('DADOS_FORMAS'!$AH15="",'DADOS_FORMAS'!$HM27="",'DADOS_FORMAS'!$HO27=""),"",IF('DADOS_FORMAS'!$HO27="—","—",'DADOS_FORMAS'!$HP27&amp;IF('DADOS_FORMAS'!$HN27="alcance",INDEX('DADOS_FORMAS'!$GL$2:$GL$7,MIN(6,'DADOS_FORMAS'!$HR27+4)),IF('DADOS_FORMAS'!$HN27="raio",INDEX('DADOS_FORMAS'!$GN$2:$GN$6,MIN(5,'DADOS_FORMAS'!$HR27+4)),IF('DADOS_FORMAS'!$HN27="comprimento",INDEX('DADOS_FORMAS'!$GP$2:$GP$6,MIN(5,'DADOS_FORMAS'!$HR27+4)),'DADOS_FORMAS'!$HO27)))&amp;SUBSTITUTE('DADOS_FORMAS'!$HQ27,"em você","nela")))</f>
        <v/>
      </c>
      <c r="IF54">
        <f>IF(OR('DADOS_FORMAS'!$AH15="",'DADOS_FORMAS'!$HM27="",'DADOS_FORMAS'!$HO27=""),"",IF('DADOS_FORMAS'!$HO27="—","—",'DADOS_FORMAS'!$HP27&amp;IF('DADOS_FORMAS'!$HN27="alcance",INDEX('DADOS_FORMAS'!$GL$2:$GL$7,MIN(6,'DADOS_FORMAS'!$HR27+5)),IF('DADOS_FORMAS'!$HN27="raio",INDEX('DADOS_FORMAS'!$GN$2:$GN$6,MIN(5,'DADOS_FORMAS'!$HR27+5)),IF('DADOS_FORMAS'!$HN27="comprimento",INDEX('DADOS_FORMAS'!$GP$2:$GP$6,MIN(5,'DADOS_FORMAS'!$HR27+5)),'DADOS_FORMAS'!$HO27)))&amp;SUBSTITUTE('DADOS_FORMAS'!$HQ27,"em você","nela")))</f>
        <v/>
      </c>
      <c r="KA54">
        <f>IFERROR(INDEX(INDEX('DADOS_RESTRICOES'!$M$2:$Q$54,0,1),52),"")</f>
        <v/>
      </c>
    </row>
    <row r="55">
      <c r="GR55">
        <f>'DADOS_FORMAS'!$BP20</f>
        <v/>
      </c>
      <c r="GS55">
        <f>IF('DADOS_FORMAS'!$BP20="area",'DADOS_FORMAS'!$AU20,'DADOS_FORMAS'!$AT20)</f>
        <v/>
      </c>
      <c r="GT55">
        <f>IF('DADOS_FORMAS'!$BP20="area",'DADOS_FORMAS'!$BE20,'DADOS_FORMAS'!$AX20)</f>
        <v/>
      </c>
      <c r="GU55">
        <f>'DADOS_FORMAS'!$BQ20</f>
        <v/>
      </c>
      <c r="GV55">
        <f>'DADOS_FORMAS'!$BR20</f>
        <v/>
      </c>
      <c r="GW55">
        <f>LET(base,'DADOS_FORMAS'!$GT55,escada,'DADOS_FORMAS'!$GS55,medida,LEFT(base,MAX(0,LEN(base)-2)),valor,IFERROR(VALUE(SUBSTITUTE(medida,",",""))/10^IFERROR(LEN(medida)-FIND(",",medida),0),1E99),IF(OR(escada="Fixo",base="—"),base,IF(escada="alcance",IFERROR(MATCH(base,{"1,5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5">
        <f>'DADOS_FORMAS'!$AH19&amp;" · classes 6 e 7"</f>
        <v/>
      </c>
      <c r="GZ55">
        <f>LET(trecho,IF(OR('DADOS_FORMAS'!$AH19="",'DADOS_FORMAS'!$GR48="",'DADOS_FORMAS'!$GT48=""),"",IF('DADOS_FORMAS'!$GT48="—","—",'DADOS_FORMAS'!$GU48&amp;'DADOS_FORMAS'!$GT48&amp;'DADOS_FORMAS'!$GV48)),UPPER(LEFT(trecho,1))&amp;MID(trecho,2,LEN(trecho)))</f>
        <v/>
      </c>
      <c r="HA55">
        <f>LET(trecho,IF(OR('DADOS_FORMAS'!$AH19="",'DADOS_FORMAS'!$GR48="",'DADOS_FORMAS'!$GT48=""),"",IF('DADOS_FORMAS'!$GT48="—","—",'DADOS_FORMAS'!$GU48&amp;IF('DADOS_FORMAS'!$GS48="alcance",INDEX('DADOS_FORMAS'!$GL$2:$GL$7,MIN(6,'DADOS_FORMAS'!$GW48+1)),IF('DADOS_FORMAS'!$GS48="raio",INDEX('DADOS_FORMAS'!$GN$2:$GN$6,MIN(5,'DADOS_FORMAS'!$GW48+1)),IF('DADOS_FORMAS'!$GS48="comprimento",INDEX('DADOS_FORMAS'!$GP$2:$GP$6,MIN(5,'DADOS_FORMAS'!$GW48+1)),'DADOS_FORMAS'!$GT48)))&amp;'DADOS_FORMAS'!$GV48)),UPPER(LEFT(trecho,1))&amp;MID(trecho,2,LEN(trecho)))</f>
        <v/>
      </c>
      <c r="HB55">
        <f>LET(trecho,IF(OR('DADOS_FORMAS'!$AH19="",'DADOS_FORMAS'!$GR48="",'DADOS_FORMAS'!$GT48=""),"",IF('DADOS_FORMAS'!$GT48="—","—",'DADOS_FORMAS'!$GU48&amp;IF('DADOS_FORMAS'!$GS48="alcance",INDEX('DADOS_FORMAS'!$GL$2:$GL$7,MIN(6,'DADOS_FORMAS'!$GW48+2)),IF('DADOS_FORMAS'!$GS48="raio",INDEX('DADOS_FORMAS'!$GN$2:$GN$6,MIN(5,'DADOS_FORMAS'!$GW48+2)),IF('DADOS_FORMAS'!$GS48="comprimento",INDEX('DADOS_FORMAS'!$GP$2:$GP$6,MIN(5,'DADOS_FORMAS'!$GW48+2)),'DADOS_FORMAS'!$GT48)))&amp;'DADOS_FORMAS'!$GV48)),UPPER(LEFT(trecho,1))&amp;MID(trecho,2,LEN(trecho)))</f>
        <v/>
      </c>
      <c r="HC55">
        <f>LET(trecho,IF(OR('DADOS_FORMAS'!$AH19="",'DADOS_FORMAS'!$GR48="",'DADOS_FORMAS'!$GT48=""),"",IF('DADOS_FORMAS'!$GT48="—","—",'DADOS_FORMAS'!$GU48&amp;IF('DADOS_FORMAS'!$GS48="alcance",INDEX('DADOS_FORMAS'!$GL$2:$GL$7,MIN(6,'DADOS_FORMAS'!$GW48+3)),IF('DADOS_FORMAS'!$GS48="raio",INDEX('DADOS_FORMAS'!$GN$2:$GN$6,MIN(5,'DADOS_FORMAS'!$GW48+3)),IF('DADOS_FORMAS'!$GS48="comprimento",INDEX('DADOS_FORMAS'!$GP$2:$GP$6,MIN(5,'DADOS_FORMAS'!$GW48+3)),'DADOS_FORMAS'!$GT48)))&amp;'DADOS_FORMAS'!$GV48)),UPPER(LEFT(trecho,1))&amp;MID(trecho,2,LEN(trecho)))</f>
        <v/>
      </c>
      <c r="HD55">
        <f>LET(trecho,IF(OR('DADOS_FORMAS'!$AH19="",'DADOS_FORMAS'!$GR48="",'DADOS_FORMAS'!$GT48=""),"",IF('DADOS_FORMAS'!$GT48="—","—",'DADOS_FORMAS'!$GU48&amp;IF('DADOS_FORMAS'!$GS48="alcance",INDEX('DADOS_FORMAS'!$GL$2:$GL$7,MIN(6,'DADOS_FORMAS'!$GW48+4)),IF('DADOS_FORMAS'!$GS48="raio",INDEX('DADOS_FORMAS'!$GN$2:$GN$6,MIN(5,'DADOS_FORMAS'!$GW48+4)),IF('DADOS_FORMAS'!$GS48="comprimento",INDEX('DADOS_FORMAS'!$GP$2:$GP$6,MIN(5,'DADOS_FORMAS'!$GW48+4)),'DADOS_FORMAS'!$GT48)))&amp;'DADOS_FORMAS'!$GV48)),UPPER(LEFT(trecho,1))&amp;MID(trecho,2,LEN(trecho)))</f>
        <v/>
      </c>
      <c r="HE55">
        <f>LET(trecho,IF(OR('DADOS_FORMAS'!$AH19="",'DADOS_FORMAS'!$GR48="",'DADOS_FORMAS'!$GT48=""),"",IF('DADOS_FORMAS'!$GT48="—","—",'DADOS_FORMAS'!$GU48&amp;IF('DADOS_FORMAS'!$GS48="alcance",INDEX('DADOS_FORMAS'!$GL$2:$GL$7,MIN(6,'DADOS_FORMAS'!$GW48+5)),IF('DADOS_FORMAS'!$GS48="raio",INDEX('DADOS_FORMAS'!$GN$2:$GN$6,MIN(5,'DADOS_FORMAS'!$GW48+5)),IF('DADOS_FORMAS'!$GS48="comprimento",INDEX('DADOS_FORMAS'!$GP$2:$GP$6,MIN(5,'DADOS_FORMAS'!$GW48+5)),'DADOS_FORMAS'!$GT48)))&amp;'DADOS_FORMAS'!$GV48)),UPPER(LEFT(trecho,1))&amp;MID(trecho,2,LEN(trecho)))</f>
        <v/>
      </c>
      <c r="HF55">
        <f>IF(OR('DADOS_FORMAS'!$AH19="",'DADOS_FORMAS'!$GR49="",'DADOS_FORMAS'!$GT49=""),"",IF('DADOS_FORMAS'!$GT49="—","—",'DADOS_FORMAS'!$GU49&amp;'DADOS_FORMAS'!$GT49&amp;'DADOS_FORMAS'!$GV49))</f>
        <v/>
      </c>
      <c r="HG55">
        <f>IF(OR('DADOS_FORMAS'!$AH19="",'DADOS_FORMAS'!$GR49="",'DADOS_FORMAS'!$GT49=""),"",IF('DADOS_FORMAS'!$GT49="—","—",'DADOS_FORMAS'!$GU49&amp;IF('DADOS_FORMAS'!$GS49="alcance",INDEX('DADOS_FORMAS'!$GL$2:$GL$7,MIN(6,'DADOS_FORMAS'!$GW49+1)),IF('DADOS_FORMAS'!$GS49="raio",INDEX('DADOS_FORMAS'!$GN$2:$GN$6,MIN(5,'DADOS_FORMAS'!$GW49+1)),IF('DADOS_FORMAS'!$GS49="comprimento",INDEX('DADOS_FORMAS'!$GP$2:$GP$6,MIN(5,'DADOS_FORMAS'!$GW49+1)),'DADOS_FORMAS'!$GT49)))&amp;'DADOS_FORMAS'!$GV49))</f>
        <v/>
      </c>
      <c r="HH55">
        <f>IF(OR('DADOS_FORMAS'!$AH19="",'DADOS_FORMAS'!$GR49="",'DADOS_FORMAS'!$GT49=""),"",IF('DADOS_FORMAS'!$GT49="—","—",'DADOS_FORMAS'!$GU49&amp;IF('DADOS_FORMAS'!$GS49="alcance",INDEX('DADOS_FORMAS'!$GL$2:$GL$7,MIN(6,'DADOS_FORMAS'!$GW49+2)),IF('DADOS_FORMAS'!$GS49="raio",INDEX('DADOS_FORMAS'!$GN$2:$GN$6,MIN(5,'DADOS_FORMAS'!$GW49+2)),IF('DADOS_FORMAS'!$GS49="comprimento",INDEX('DADOS_FORMAS'!$GP$2:$GP$6,MIN(5,'DADOS_FORMAS'!$GW49+2)),'DADOS_FORMAS'!$GT49)))&amp;'DADOS_FORMAS'!$GV49))</f>
        <v/>
      </c>
      <c r="HI55">
        <f>IF(OR('DADOS_FORMAS'!$AH19="",'DADOS_FORMAS'!$GR49="",'DADOS_FORMAS'!$GT49=""),"",IF('DADOS_FORMAS'!$GT49="—","—",'DADOS_FORMAS'!$GU49&amp;IF('DADOS_FORMAS'!$GS49="alcance",INDEX('DADOS_FORMAS'!$GL$2:$GL$7,MIN(6,'DADOS_FORMAS'!$GW49+3)),IF('DADOS_FORMAS'!$GS49="raio",INDEX('DADOS_FORMAS'!$GN$2:$GN$6,MIN(5,'DADOS_FORMAS'!$GW49+3)),IF('DADOS_FORMAS'!$GS49="comprimento",INDEX('DADOS_FORMAS'!$GP$2:$GP$6,MIN(5,'DADOS_FORMAS'!$GW49+3)),'DADOS_FORMAS'!$GT49)))&amp;'DADOS_FORMAS'!$GV49))</f>
        <v/>
      </c>
      <c r="HJ55">
        <f>IF(OR('DADOS_FORMAS'!$AH19="",'DADOS_FORMAS'!$GR49="",'DADOS_FORMAS'!$GT49=""),"",IF('DADOS_FORMAS'!$GT49="—","—",'DADOS_FORMAS'!$GU49&amp;IF('DADOS_FORMAS'!$GS49="alcance",INDEX('DADOS_FORMAS'!$GL$2:$GL$7,MIN(6,'DADOS_FORMAS'!$GW49+4)),IF('DADOS_FORMAS'!$GS49="raio",INDEX('DADOS_FORMAS'!$GN$2:$GN$6,MIN(5,'DADOS_FORMAS'!$GW49+4)),IF('DADOS_FORMAS'!$GS49="comprimento",INDEX('DADOS_FORMAS'!$GP$2:$GP$6,MIN(5,'DADOS_FORMAS'!$GW49+4)),'DADOS_FORMAS'!$GT49)))&amp;'DADOS_FORMAS'!$GV49))</f>
        <v/>
      </c>
      <c r="HK55">
        <f>IF(OR('DADOS_FORMAS'!$AH19="",'DADOS_FORMAS'!$GR49="",'DADOS_FORMAS'!$GT49=""),"",IF('DADOS_FORMAS'!$GT49="—","—",'DADOS_FORMAS'!$GU49&amp;IF('DADOS_FORMAS'!$GS49="alcance",INDEX('DADOS_FORMAS'!$GL$2:$GL$7,MIN(6,'DADOS_FORMAS'!$GW49+5)),IF('DADOS_FORMAS'!$GS49="raio",INDEX('DADOS_FORMAS'!$GN$2:$GN$6,MIN(5,'DADOS_FORMAS'!$GW49+5)),IF('DADOS_FORMAS'!$GS49="comprimento",INDEX('DADOS_FORMAS'!$GP$2:$GP$6,MIN(5,'DADOS_FORMAS'!$GW49+5)),'DADOS_FORMAS'!$GT49)))&amp;'DADOS_FORMAS'!$GV49))</f>
        <v/>
      </c>
      <c r="HM55">
        <f>'DADOS_FORMAS'!$BP18</f>
        <v/>
      </c>
      <c r="HN55">
        <f>IF('DADOS_FORMAS'!$BP18="area",'DADOS_FORMAS'!$AU18,'DADOS_FORMAS'!$AT18)</f>
        <v/>
      </c>
      <c r="HO55">
        <f>IF('DADOS_FORMAS'!$BP18="area",'DADOS_FORMAS'!$BH18,'DADOS_FORMAS'!$BA18)</f>
        <v/>
      </c>
      <c r="HP55">
        <f>'DADOS_FORMAS'!$BQ18</f>
        <v/>
      </c>
      <c r="HQ55">
        <f>'DADOS_FORMAS'!$BR18</f>
        <v/>
      </c>
      <c r="HR55">
        <f>LET(base,'DADOS_FORMAS'!$HO55,escada,'DADOS_FORMAS'!$HN55,medida,LEFT(base,MAX(0,LEN(base)-2)),valor,IFERROR(VALUE(SUBSTITUTE(medida,",",""))/10^IFERROR(LEN(medida)-FIND(",",medida),0),1E99),IF(OR(escada="Fixo",base="—"),base,IF(escada="alcance",IFERROR(MATCH(base,{"1,5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5">
        <f>'DADOS_FORMAS'!$AH15&amp;" · classes 1 a 5"</f>
        <v/>
      </c>
      <c r="HU55">
        <f>LET(trecho,IF(OR('DADOS_FORMAS'!$AH15="",'DADOS_FORMAS'!$HM28="",'DADOS_FORMAS'!$HO28=""),"",IF('DADOS_FORMAS'!$HO28="—","—",'DADOS_FORMAS'!$HP28&amp;'DADOS_FORMAS'!$HO28&amp;SUBSTITUTE('DADOS_FORMAS'!$HQ28,"em você","nela"))),UPPER(LEFT(trecho,1))&amp;MID(trecho,2,LEN(trecho)))</f>
        <v/>
      </c>
      <c r="HV55">
        <f>LET(trecho,IF(OR('DADOS_FORMAS'!$AH15="",'DADOS_FORMAS'!$HM28="",'DADOS_FORMAS'!$HO28=""),"",IF('DADOS_FORMAS'!$HO28="—","—",'DADOS_FORMAS'!$HP28&amp;IF('DADOS_FORMAS'!$HN28="alcance",INDEX('DADOS_FORMAS'!$GL$2:$GL$7,MIN(6,'DADOS_FORMAS'!$HR28+1)),IF('DADOS_FORMAS'!$HN28="raio",INDEX('DADOS_FORMAS'!$GN$2:$GN$6,MIN(5,'DADOS_FORMAS'!$HR28+1)),IF('DADOS_FORMAS'!$HN28="comprimento",INDEX('DADOS_FORMAS'!$GP$2:$GP$6,MIN(5,'DADOS_FORMAS'!$HR28+1)),'DADOS_FORMAS'!$HO28)))&amp;SUBSTITUTE('DADOS_FORMAS'!$HQ28,"em você","nela"))),UPPER(LEFT(trecho,1))&amp;MID(trecho,2,LEN(trecho)))</f>
        <v/>
      </c>
      <c r="HW55">
        <f>LET(trecho,IF(OR('DADOS_FORMAS'!$AH15="",'DADOS_FORMAS'!$HM28="",'DADOS_FORMAS'!$HO28=""),"",IF('DADOS_FORMAS'!$HO28="—","—",'DADOS_FORMAS'!$HP28&amp;IF('DADOS_FORMAS'!$HN28="alcance",INDEX('DADOS_FORMAS'!$GL$2:$GL$7,MIN(6,'DADOS_FORMAS'!$HR28+2)),IF('DADOS_FORMAS'!$HN28="raio",INDEX('DADOS_FORMAS'!$GN$2:$GN$6,MIN(5,'DADOS_FORMAS'!$HR28+2)),IF('DADOS_FORMAS'!$HN28="comprimento",INDEX('DADOS_FORMAS'!$GP$2:$GP$6,MIN(5,'DADOS_FORMAS'!$HR28+2)),'DADOS_FORMAS'!$HO28)))&amp;SUBSTITUTE('DADOS_FORMAS'!$HQ28,"em você","nela"))),UPPER(LEFT(trecho,1))&amp;MID(trecho,2,LEN(trecho)))</f>
        <v/>
      </c>
      <c r="HX55">
        <f>LET(trecho,IF(OR('DADOS_FORMAS'!$AH15="",'DADOS_FORMAS'!$HM28="",'DADOS_FORMAS'!$HO28=""),"",IF('DADOS_FORMAS'!$HO28="—","—",'DADOS_FORMAS'!$HP28&amp;IF('DADOS_FORMAS'!$HN28="alcance",INDEX('DADOS_FORMAS'!$GL$2:$GL$7,MIN(6,'DADOS_FORMAS'!$HR28+3)),IF('DADOS_FORMAS'!$HN28="raio",INDEX('DADOS_FORMAS'!$GN$2:$GN$6,MIN(5,'DADOS_FORMAS'!$HR28+3)),IF('DADOS_FORMAS'!$HN28="comprimento",INDEX('DADOS_FORMAS'!$GP$2:$GP$6,MIN(5,'DADOS_FORMAS'!$HR28+3)),'DADOS_FORMAS'!$HO28)))&amp;SUBSTITUTE('DADOS_FORMAS'!$HQ28,"em você","nela"))),UPPER(LEFT(trecho,1))&amp;MID(trecho,2,LEN(trecho)))</f>
        <v/>
      </c>
      <c r="HY55">
        <f>LET(trecho,IF(OR('DADOS_FORMAS'!$AH15="",'DADOS_FORMAS'!$HM28="",'DADOS_FORMAS'!$HO28=""),"",IF('DADOS_FORMAS'!$HO28="—","—",'DADOS_FORMAS'!$HP28&amp;IF('DADOS_FORMAS'!$HN28="alcance",INDEX('DADOS_FORMAS'!$GL$2:$GL$7,MIN(6,'DADOS_FORMAS'!$HR28+4)),IF('DADOS_FORMAS'!$HN28="raio",INDEX('DADOS_FORMAS'!$GN$2:$GN$6,MIN(5,'DADOS_FORMAS'!$HR28+4)),IF('DADOS_FORMAS'!$HN28="comprimento",INDEX('DADOS_FORMAS'!$GP$2:$GP$6,MIN(5,'DADOS_FORMAS'!$HR28+4)),'DADOS_FORMAS'!$HO28)))&amp;SUBSTITUTE('DADOS_FORMAS'!$HQ28,"em você","nela"))),UPPER(LEFT(trecho,1))&amp;MID(trecho,2,LEN(trecho)))</f>
        <v/>
      </c>
      <c r="HZ55">
        <f>LET(trecho,IF(OR('DADOS_FORMAS'!$AH15="",'DADOS_FORMAS'!$HM28="",'DADOS_FORMAS'!$HO28=""),"",IF('DADOS_FORMAS'!$HO28="—","—",'DADOS_FORMAS'!$HP28&amp;IF('DADOS_FORMAS'!$HN28="alcance",INDEX('DADOS_FORMAS'!$GL$2:$GL$7,MIN(6,'DADOS_FORMAS'!$HR28+5)),IF('DADOS_FORMAS'!$HN28="raio",INDEX('DADOS_FORMAS'!$GN$2:$GN$6,MIN(5,'DADOS_FORMAS'!$HR28+5)),IF('DADOS_FORMAS'!$HN28="comprimento",INDEX('DADOS_FORMAS'!$GP$2:$GP$6,MIN(5,'DADOS_FORMAS'!$HR28+5)),'DADOS_FORMAS'!$HO28)))&amp;SUBSTITUTE('DADOS_FORMAS'!$HQ28,"em você","nela"))),UPPER(LEFT(trecho,1))&amp;MID(trecho,2,LEN(trecho)))</f>
        <v/>
      </c>
      <c r="IA55">
        <f>IF(OR('DADOS_FORMAS'!$AH15="",'DADOS_FORMAS'!$HM29="",'DADOS_FORMAS'!$HO29=""),"",IF('DADOS_FORMAS'!$HO29="—","—",'DADOS_FORMAS'!$HP29&amp;'DADOS_FORMAS'!$HO29&amp;SUBSTITUTE('DADOS_FORMAS'!$HQ29,"em você","nela")))</f>
        <v/>
      </c>
      <c r="IB55">
        <f>IF(OR('DADOS_FORMAS'!$AH15="",'DADOS_FORMAS'!$HM29="",'DADOS_FORMAS'!$HO29=""),"",IF('DADOS_FORMAS'!$HO29="—","—",'DADOS_FORMAS'!$HP29&amp;IF('DADOS_FORMAS'!$HN29="alcance",INDEX('DADOS_FORMAS'!$GL$2:$GL$7,MIN(6,'DADOS_FORMAS'!$HR29+1)),IF('DADOS_FORMAS'!$HN29="raio",INDEX('DADOS_FORMAS'!$GN$2:$GN$6,MIN(5,'DADOS_FORMAS'!$HR29+1)),IF('DADOS_FORMAS'!$HN29="comprimento",INDEX('DADOS_FORMAS'!$GP$2:$GP$6,MIN(5,'DADOS_FORMAS'!$HR29+1)),'DADOS_FORMAS'!$HO29)))&amp;SUBSTITUTE('DADOS_FORMAS'!$HQ29,"em você","nela")))</f>
        <v/>
      </c>
      <c r="IC55">
        <f>IF(OR('DADOS_FORMAS'!$AH15="",'DADOS_FORMAS'!$HM29="",'DADOS_FORMAS'!$HO29=""),"",IF('DADOS_FORMAS'!$HO29="—","—",'DADOS_FORMAS'!$HP29&amp;IF('DADOS_FORMAS'!$HN29="alcance",INDEX('DADOS_FORMAS'!$GL$2:$GL$7,MIN(6,'DADOS_FORMAS'!$HR29+2)),IF('DADOS_FORMAS'!$HN29="raio",INDEX('DADOS_FORMAS'!$GN$2:$GN$6,MIN(5,'DADOS_FORMAS'!$HR29+2)),IF('DADOS_FORMAS'!$HN29="comprimento",INDEX('DADOS_FORMAS'!$GP$2:$GP$6,MIN(5,'DADOS_FORMAS'!$HR29+2)),'DADOS_FORMAS'!$HO29)))&amp;SUBSTITUTE('DADOS_FORMAS'!$HQ29,"em você","nela")))</f>
        <v/>
      </c>
      <c r="ID55">
        <f>IF(OR('DADOS_FORMAS'!$AH15="",'DADOS_FORMAS'!$HM29="",'DADOS_FORMAS'!$HO29=""),"",IF('DADOS_FORMAS'!$HO29="—","—",'DADOS_FORMAS'!$HP29&amp;IF('DADOS_FORMAS'!$HN29="alcance",INDEX('DADOS_FORMAS'!$GL$2:$GL$7,MIN(6,'DADOS_FORMAS'!$HR29+3)),IF('DADOS_FORMAS'!$HN29="raio",INDEX('DADOS_FORMAS'!$GN$2:$GN$6,MIN(5,'DADOS_FORMAS'!$HR29+3)),IF('DADOS_FORMAS'!$HN29="comprimento",INDEX('DADOS_FORMAS'!$GP$2:$GP$6,MIN(5,'DADOS_FORMAS'!$HR29+3)),'DADOS_FORMAS'!$HO29)))&amp;SUBSTITUTE('DADOS_FORMAS'!$HQ29,"em você","nela")))</f>
        <v/>
      </c>
      <c r="IE55">
        <f>IF(OR('DADOS_FORMAS'!$AH15="",'DADOS_FORMAS'!$HM29="",'DADOS_FORMAS'!$HO29=""),"",IF('DADOS_FORMAS'!$HO29="—","—",'DADOS_FORMAS'!$HP29&amp;IF('DADOS_FORMAS'!$HN29="alcance",INDEX('DADOS_FORMAS'!$GL$2:$GL$7,MIN(6,'DADOS_FORMAS'!$HR29+4)),IF('DADOS_FORMAS'!$HN29="raio",INDEX('DADOS_FORMAS'!$GN$2:$GN$6,MIN(5,'DADOS_FORMAS'!$HR29+4)),IF('DADOS_FORMAS'!$HN29="comprimento",INDEX('DADOS_FORMAS'!$GP$2:$GP$6,MIN(5,'DADOS_FORMAS'!$HR29+4)),'DADOS_FORMAS'!$HO29)))&amp;SUBSTITUTE('DADOS_FORMAS'!$HQ29,"em você","nela")))</f>
        <v/>
      </c>
      <c r="IF55">
        <f>IF(OR('DADOS_FORMAS'!$AH15="",'DADOS_FORMAS'!$HM29="",'DADOS_FORMAS'!$HO29=""),"",IF('DADOS_FORMAS'!$HO29="—","—",'DADOS_FORMAS'!$HP29&amp;IF('DADOS_FORMAS'!$HN29="alcance",INDEX('DADOS_FORMAS'!$GL$2:$GL$7,MIN(6,'DADOS_FORMAS'!$HR29+5)),IF('DADOS_FORMAS'!$HN29="raio",INDEX('DADOS_FORMAS'!$GN$2:$GN$6,MIN(5,'DADOS_FORMAS'!$HR29+5)),IF('DADOS_FORMAS'!$HN29="comprimento",INDEX('DADOS_FORMAS'!$GP$2:$GP$6,MIN(5,'DADOS_FORMAS'!$HR29+5)),'DADOS_FORMAS'!$HO29)))&amp;SUBSTITUTE('DADOS_FORMAS'!$HQ29,"em você","nela")))</f>
        <v/>
      </c>
      <c r="KA55">
        <f>IFERROR(INDEX(INDEX('DADOS_RESTRICOES'!$M$2:$Q$54,0,1),53),"")</f>
        <v/>
      </c>
    </row>
    <row r="56">
      <c r="GR56">
        <f>'DADOS_FORMAS'!$BL21</f>
        <v/>
      </c>
      <c r="GS56">
        <f>IF('DADOS_FORMAS'!$BL21="area",'DADOS_FORMAS'!$AU21,'DADOS_FORMAS'!$AT21)</f>
        <v/>
      </c>
      <c r="GT56">
        <f>IF('DADOS_FORMAS'!$BL21="area",'DADOS_FORMAS'!$BC21,'DADOS_FORMAS'!$AV21)</f>
        <v/>
      </c>
      <c r="GU56">
        <f>'DADOS_FORMAS'!$BM21</f>
        <v/>
      </c>
      <c r="GV56">
        <f>'DADOS_FORMAS'!$BN21</f>
        <v/>
      </c>
      <c r="GW56">
        <f>LET(base,'DADOS_FORMAS'!$GT56,escada,'DADOS_FORMAS'!$GS56,medida,LEFT(base,MAX(0,LEN(base)-2)),valor,IFERROR(VALUE(SUBSTITUTE(medida,",",""))/10^IFERROR(LEN(medida)-FIND(",",medida),0),1E99),IF(OR(escada="Fixo",base="—"),base,IF(escada="alcance",IFERROR(MATCH(base,{"1,5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6">
        <f>'DADOS_FORMAS'!$AH20&amp;" · classe 0"</f>
        <v/>
      </c>
      <c r="GZ56">
        <f>LET(trecho,IF(OR('DADOS_FORMAS'!$AH20="",'DADOS_FORMAS'!$GR50="",'DADOS_FORMAS'!$GT50=""),"",IF('DADOS_FORMAS'!$GT50="—","—",'DADOS_FORMAS'!$GU50&amp;'DADOS_FORMAS'!$GT50&amp;'DADOS_FORMAS'!$GV50)),UPPER(LEFT(trecho,1))&amp;MID(trecho,2,LEN(trecho)))</f>
        <v/>
      </c>
      <c r="HA56">
        <f>LET(trecho,IF(OR('DADOS_FORMAS'!$AH20="",'DADOS_FORMAS'!$GR50="",'DADOS_FORMAS'!$GT50=""),"",IF('DADOS_FORMAS'!$GT50="—","—",'DADOS_FORMAS'!$GU50&amp;IF('DADOS_FORMAS'!$GS50="alcance",INDEX('DADOS_FORMAS'!$GL$2:$GL$7,MIN(6,'DADOS_FORMAS'!$GW50+1)),IF('DADOS_FORMAS'!$GS50="raio",INDEX('DADOS_FORMAS'!$GN$2:$GN$6,MIN(5,'DADOS_FORMAS'!$GW50+1)),IF('DADOS_FORMAS'!$GS50="comprimento",INDEX('DADOS_FORMAS'!$GP$2:$GP$6,MIN(5,'DADOS_FORMAS'!$GW50+1)),'DADOS_FORMAS'!$GT50)))&amp;'DADOS_FORMAS'!$GV50)),UPPER(LEFT(trecho,1))&amp;MID(trecho,2,LEN(trecho)))</f>
        <v/>
      </c>
      <c r="HB56">
        <f>LET(trecho,IF(OR('DADOS_FORMAS'!$AH20="",'DADOS_FORMAS'!$GR50="",'DADOS_FORMAS'!$GT50=""),"",IF('DADOS_FORMAS'!$GT50="—","—",'DADOS_FORMAS'!$GU50&amp;IF('DADOS_FORMAS'!$GS50="alcance",INDEX('DADOS_FORMAS'!$GL$2:$GL$7,MIN(6,'DADOS_FORMAS'!$GW50+2)),IF('DADOS_FORMAS'!$GS50="raio",INDEX('DADOS_FORMAS'!$GN$2:$GN$6,MIN(5,'DADOS_FORMAS'!$GW50+2)),IF('DADOS_FORMAS'!$GS50="comprimento",INDEX('DADOS_FORMAS'!$GP$2:$GP$6,MIN(5,'DADOS_FORMAS'!$GW50+2)),'DADOS_FORMAS'!$GT50)))&amp;'DADOS_FORMAS'!$GV50)),UPPER(LEFT(trecho,1))&amp;MID(trecho,2,LEN(trecho)))</f>
        <v/>
      </c>
      <c r="HC56">
        <f>LET(trecho,IF(OR('DADOS_FORMAS'!$AH20="",'DADOS_FORMAS'!$GR50="",'DADOS_FORMAS'!$GT50=""),"",IF('DADOS_FORMAS'!$GT50="—","—",'DADOS_FORMAS'!$GU50&amp;IF('DADOS_FORMAS'!$GS50="alcance",INDEX('DADOS_FORMAS'!$GL$2:$GL$7,MIN(6,'DADOS_FORMAS'!$GW50+3)),IF('DADOS_FORMAS'!$GS50="raio",INDEX('DADOS_FORMAS'!$GN$2:$GN$6,MIN(5,'DADOS_FORMAS'!$GW50+3)),IF('DADOS_FORMAS'!$GS50="comprimento",INDEX('DADOS_FORMAS'!$GP$2:$GP$6,MIN(5,'DADOS_FORMAS'!$GW50+3)),'DADOS_FORMAS'!$GT50)))&amp;'DADOS_FORMAS'!$GV50)),UPPER(LEFT(trecho,1))&amp;MID(trecho,2,LEN(trecho)))</f>
        <v/>
      </c>
      <c r="HD56">
        <f>LET(trecho,IF(OR('DADOS_FORMAS'!$AH20="",'DADOS_FORMAS'!$GR50="",'DADOS_FORMAS'!$GT50=""),"",IF('DADOS_FORMAS'!$GT50="—","—",'DADOS_FORMAS'!$GU50&amp;IF('DADOS_FORMAS'!$GS50="alcance",INDEX('DADOS_FORMAS'!$GL$2:$GL$7,MIN(6,'DADOS_FORMAS'!$GW50+4)),IF('DADOS_FORMAS'!$GS50="raio",INDEX('DADOS_FORMAS'!$GN$2:$GN$6,MIN(5,'DADOS_FORMAS'!$GW50+4)),IF('DADOS_FORMAS'!$GS50="comprimento",INDEX('DADOS_FORMAS'!$GP$2:$GP$6,MIN(5,'DADOS_FORMAS'!$GW50+4)),'DADOS_FORMAS'!$GT50)))&amp;'DADOS_FORMAS'!$GV50)),UPPER(LEFT(trecho,1))&amp;MID(trecho,2,LEN(trecho)))</f>
        <v/>
      </c>
      <c r="HE56">
        <f>LET(trecho,IF(OR('DADOS_FORMAS'!$AH20="",'DADOS_FORMAS'!$GR50="",'DADOS_FORMAS'!$GT50=""),"",IF('DADOS_FORMAS'!$GT50="—","—",'DADOS_FORMAS'!$GU50&amp;IF('DADOS_FORMAS'!$GS50="alcance",INDEX('DADOS_FORMAS'!$GL$2:$GL$7,MIN(6,'DADOS_FORMAS'!$GW50+5)),IF('DADOS_FORMAS'!$GS50="raio",INDEX('DADOS_FORMAS'!$GN$2:$GN$6,MIN(5,'DADOS_FORMAS'!$GW50+5)),IF('DADOS_FORMAS'!$GS50="comprimento",INDEX('DADOS_FORMAS'!$GP$2:$GP$6,MIN(5,'DADOS_FORMAS'!$GW50+5)),'DADOS_FORMAS'!$GT50)))&amp;'DADOS_FORMAS'!$GV50)),UPPER(LEFT(trecho,1))&amp;MID(trecho,2,LEN(trecho)))</f>
        <v/>
      </c>
      <c r="HF56">
        <f>IF(OR('DADOS_FORMAS'!$AH20="",'DADOS_FORMAS'!$GR51="",'DADOS_FORMAS'!$GT51=""),"",IF('DADOS_FORMAS'!$GT51="—","—",'DADOS_FORMAS'!$GU51&amp;'DADOS_FORMAS'!$GT51&amp;'DADOS_FORMAS'!$GV51))</f>
        <v/>
      </c>
      <c r="HG56">
        <f>IF(OR('DADOS_FORMAS'!$AH20="",'DADOS_FORMAS'!$GR51="",'DADOS_FORMAS'!$GT51=""),"",IF('DADOS_FORMAS'!$GT51="—","—",'DADOS_FORMAS'!$GU51&amp;IF('DADOS_FORMAS'!$GS51="alcance",INDEX('DADOS_FORMAS'!$GL$2:$GL$7,MIN(6,'DADOS_FORMAS'!$GW51+1)),IF('DADOS_FORMAS'!$GS51="raio",INDEX('DADOS_FORMAS'!$GN$2:$GN$6,MIN(5,'DADOS_FORMAS'!$GW51+1)),IF('DADOS_FORMAS'!$GS51="comprimento",INDEX('DADOS_FORMAS'!$GP$2:$GP$6,MIN(5,'DADOS_FORMAS'!$GW51+1)),'DADOS_FORMAS'!$GT51)))&amp;'DADOS_FORMAS'!$GV51))</f>
        <v/>
      </c>
      <c r="HH56">
        <f>IF(OR('DADOS_FORMAS'!$AH20="",'DADOS_FORMAS'!$GR51="",'DADOS_FORMAS'!$GT51=""),"",IF('DADOS_FORMAS'!$GT51="—","—",'DADOS_FORMAS'!$GU51&amp;IF('DADOS_FORMAS'!$GS51="alcance",INDEX('DADOS_FORMAS'!$GL$2:$GL$7,MIN(6,'DADOS_FORMAS'!$GW51+2)),IF('DADOS_FORMAS'!$GS51="raio",INDEX('DADOS_FORMAS'!$GN$2:$GN$6,MIN(5,'DADOS_FORMAS'!$GW51+2)),IF('DADOS_FORMAS'!$GS51="comprimento",INDEX('DADOS_FORMAS'!$GP$2:$GP$6,MIN(5,'DADOS_FORMAS'!$GW51+2)),'DADOS_FORMAS'!$GT51)))&amp;'DADOS_FORMAS'!$GV51))</f>
        <v/>
      </c>
      <c r="HI56">
        <f>IF(OR('DADOS_FORMAS'!$AH20="",'DADOS_FORMAS'!$GR51="",'DADOS_FORMAS'!$GT51=""),"",IF('DADOS_FORMAS'!$GT51="—","—",'DADOS_FORMAS'!$GU51&amp;IF('DADOS_FORMAS'!$GS51="alcance",INDEX('DADOS_FORMAS'!$GL$2:$GL$7,MIN(6,'DADOS_FORMAS'!$GW51+3)),IF('DADOS_FORMAS'!$GS51="raio",INDEX('DADOS_FORMAS'!$GN$2:$GN$6,MIN(5,'DADOS_FORMAS'!$GW51+3)),IF('DADOS_FORMAS'!$GS51="comprimento",INDEX('DADOS_FORMAS'!$GP$2:$GP$6,MIN(5,'DADOS_FORMAS'!$GW51+3)),'DADOS_FORMAS'!$GT51)))&amp;'DADOS_FORMAS'!$GV51))</f>
        <v/>
      </c>
      <c r="HJ56">
        <f>IF(OR('DADOS_FORMAS'!$AH20="",'DADOS_FORMAS'!$GR51="",'DADOS_FORMAS'!$GT51=""),"",IF('DADOS_FORMAS'!$GT51="—","—",'DADOS_FORMAS'!$GU51&amp;IF('DADOS_FORMAS'!$GS51="alcance",INDEX('DADOS_FORMAS'!$GL$2:$GL$7,MIN(6,'DADOS_FORMAS'!$GW51+4)),IF('DADOS_FORMAS'!$GS51="raio",INDEX('DADOS_FORMAS'!$GN$2:$GN$6,MIN(5,'DADOS_FORMAS'!$GW51+4)),IF('DADOS_FORMAS'!$GS51="comprimento",INDEX('DADOS_FORMAS'!$GP$2:$GP$6,MIN(5,'DADOS_FORMAS'!$GW51+4)),'DADOS_FORMAS'!$GT51)))&amp;'DADOS_FORMAS'!$GV51))</f>
        <v/>
      </c>
      <c r="HK56">
        <f>IF(OR('DADOS_FORMAS'!$AH20="",'DADOS_FORMAS'!$GR51="",'DADOS_FORMAS'!$GT51=""),"",IF('DADOS_FORMAS'!$GT51="—","—",'DADOS_FORMAS'!$GU51&amp;IF('DADOS_FORMAS'!$GS51="alcance",INDEX('DADOS_FORMAS'!$GL$2:$GL$7,MIN(6,'DADOS_FORMAS'!$GW51+5)),IF('DADOS_FORMAS'!$GS51="raio",INDEX('DADOS_FORMAS'!$GN$2:$GN$6,MIN(5,'DADOS_FORMAS'!$GW51+5)),IF('DADOS_FORMAS'!$GS51="comprimento",INDEX('DADOS_FORMAS'!$GP$2:$GP$6,MIN(5,'DADOS_FORMAS'!$GW51+5)),'DADOS_FORMAS'!$GT51)))&amp;'DADOS_FORMAS'!$GV51))</f>
        <v/>
      </c>
      <c r="HM56">
        <f>'DADOS_FORMAS'!$BL18</f>
        <v/>
      </c>
      <c r="HN56">
        <f>IF('DADOS_FORMAS'!$BL18="area",'DADOS_FORMAS'!$AU18,'DADOS_FORMAS'!$AT18)</f>
        <v/>
      </c>
      <c r="HO56">
        <f>IF('DADOS_FORMAS'!$BL18="area",'DADOS_FORMAS'!$BI18,'DADOS_FORMAS'!$BB18)</f>
        <v/>
      </c>
      <c r="HP56">
        <f>'DADOS_FORMAS'!$BM18</f>
        <v/>
      </c>
      <c r="HQ56">
        <f>'DADOS_FORMAS'!$BN18</f>
        <v/>
      </c>
      <c r="HR56">
        <f>LET(base,'DADOS_FORMAS'!$HO56,escada,'DADOS_FORMAS'!$HN56,medida,LEFT(base,MAX(0,LEN(base)-2)),valor,IFERROR(VALUE(SUBSTITUTE(medida,",",""))/10^IFERROR(LEN(medida)-FIND(",",medida),0),1E99),IF(OR(escada="Fixo",base="—"),base,IF(escada="alcance",IFERROR(MATCH(base,{"1,5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6">
        <f>'DADOS_FORMAS'!$AH15&amp;" · classe 6"</f>
        <v/>
      </c>
      <c r="HU56">
        <f>LET(trecho,IF(OR('DADOS_FORMAS'!$AH15="",'DADOS_FORMAS'!$HM30="",'DADOS_FORMAS'!$HO30=""),"",IF('DADOS_FORMAS'!$HO30="—","—",'DADOS_FORMAS'!$HP30&amp;'DADOS_FORMAS'!$HO30&amp;SUBSTITUTE('DADOS_FORMAS'!$HQ30,"em você","nela"))),UPPER(LEFT(trecho,1))&amp;MID(trecho,2,LEN(trecho)))</f>
        <v/>
      </c>
      <c r="HV56">
        <f>LET(trecho,IF(OR('DADOS_FORMAS'!$AH15="",'DADOS_FORMAS'!$HM30="",'DADOS_FORMAS'!$HO30=""),"",IF('DADOS_FORMAS'!$HO30="—","—",'DADOS_FORMAS'!$HP30&amp;IF('DADOS_FORMAS'!$HN30="alcance",INDEX('DADOS_FORMAS'!$GL$2:$GL$7,MIN(6,'DADOS_FORMAS'!$HR30+1)),IF('DADOS_FORMAS'!$HN30="raio",INDEX('DADOS_FORMAS'!$GN$2:$GN$6,MIN(5,'DADOS_FORMAS'!$HR30+1)),IF('DADOS_FORMAS'!$HN30="comprimento",INDEX('DADOS_FORMAS'!$GP$2:$GP$6,MIN(5,'DADOS_FORMAS'!$HR30+1)),'DADOS_FORMAS'!$HO30)))&amp;SUBSTITUTE('DADOS_FORMAS'!$HQ30,"em você","nela"))),UPPER(LEFT(trecho,1))&amp;MID(trecho,2,LEN(trecho)))</f>
        <v/>
      </c>
      <c r="HW56">
        <f>LET(trecho,IF(OR('DADOS_FORMAS'!$AH15="",'DADOS_FORMAS'!$HM30="",'DADOS_FORMAS'!$HO30=""),"",IF('DADOS_FORMAS'!$HO30="—","—",'DADOS_FORMAS'!$HP30&amp;IF('DADOS_FORMAS'!$HN30="alcance",INDEX('DADOS_FORMAS'!$GL$2:$GL$7,MIN(6,'DADOS_FORMAS'!$HR30+2)),IF('DADOS_FORMAS'!$HN30="raio",INDEX('DADOS_FORMAS'!$GN$2:$GN$6,MIN(5,'DADOS_FORMAS'!$HR30+2)),IF('DADOS_FORMAS'!$HN30="comprimento",INDEX('DADOS_FORMAS'!$GP$2:$GP$6,MIN(5,'DADOS_FORMAS'!$HR30+2)),'DADOS_FORMAS'!$HO30)))&amp;SUBSTITUTE('DADOS_FORMAS'!$HQ30,"em você","nela"))),UPPER(LEFT(trecho,1))&amp;MID(trecho,2,LEN(trecho)))</f>
        <v/>
      </c>
      <c r="HX56">
        <f>LET(trecho,IF(OR('DADOS_FORMAS'!$AH15="",'DADOS_FORMAS'!$HM30="",'DADOS_FORMAS'!$HO30=""),"",IF('DADOS_FORMAS'!$HO30="—","—",'DADOS_FORMAS'!$HP30&amp;IF('DADOS_FORMAS'!$HN30="alcance",INDEX('DADOS_FORMAS'!$GL$2:$GL$7,MIN(6,'DADOS_FORMAS'!$HR30+3)),IF('DADOS_FORMAS'!$HN30="raio",INDEX('DADOS_FORMAS'!$GN$2:$GN$6,MIN(5,'DADOS_FORMAS'!$HR30+3)),IF('DADOS_FORMAS'!$HN30="comprimento",INDEX('DADOS_FORMAS'!$GP$2:$GP$6,MIN(5,'DADOS_FORMAS'!$HR30+3)),'DADOS_FORMAS'!$HO30)))&amp;SUBSTITUTE('DADOS_FORMAS'!$HQ30,"em você","nela"))),UPPER(LEFT(trecho,1))&amp;MID(trecho,2,LEN(trecho)))</f>
        <v/>
      </c>
      <c r="HY56">
        <f>LET(trecho,IF(OR('DADOS_FORMAS'!$AH15="",'DADOS_FORMAS'!$HM30="",'DADOS_FORMAS'!$HO30=""),"",IF('DADOS_FORMAS'!$HO30="—","—",'DADOS_FORMAS'!$HP30&amp;IF('DADOS_FORMAS'!$HN30="alcance",INDEX('DADOS_FORMAS'!$GL$2:$GL$7,MIN(6,'DADOS_FORMAS'!$HR30+4)),IF('DADOS_FORMAS'!$HN30="raio",INDEX('DADOS_FORMAS'!$GN$2:$GN$6,MIN(5,'DADOS_FORMAS'!$HR30+4)),IF('DADOS_FORMAS'!$HN30="comprimento",INDEX('DADOS_FORMAS'!$GP$2:$GP$6,MIN(5,'DADOS_FORMAS'!$HR30+4)),'DADOS_FORMAS'!$HO30)))&amp;SUBSTITUTE('DADOS_FORMAS'!$HQ30,"em você","nela"))),UPPER(LEFT(trecho,1))&amp;MID(trecho,2,LEN(trecho)))</f>
        <v/>
      </c>
      <c r="HZ56">
        <f>LET(trecho,IF(OR('DADOS_FORMAS'!$AH15="",'DADOS_FORMAS'!$HM30="",'DADOS_FORMAS'!$HO30=""),"",IF('DADOS_FORMAS'!$HO30="—","—",'DADOS_FORMAS'!$HP30&amp;IF('DADOS_FORMAS'!$HN30="alcance",INDEX('DADOS_FORMAS'!$GL$2:$GL$7,MIN(6,'DADOS_FORMAS'!$HR30+5)),IF('DADOS_FORMAS'!$HN30="raio",INDEX('DADOS_FORMAS'!$GN$2:$GN$6,MIN(5,'DADOS_FORMAS'!$HR30+5)),IF('DADOS_FORMAS'!$HN30="comprimento",INDEX('DADOS_FORMAS'!$GP$2:$GP$6,MIN(5,'DADOS_FORMAS'!$HR30+5)),'DADOS_FORMAS'!$HO30)))&amp;SUBSTITUTE('DADOS_FORMAS'!$HQ30,"em você","nela"))),UPPER(LEFT(trecho,1))&amp;MID(trecho,2,LEN(trecho)))</f>
        <v/>
      </c>
      <c r="IA56">
        <f>IF(OR('DADOS_FORMAS'!$AH15="",'DADOS_FORMAS'!$HM31="",'DADOS_FORMAS'!$HO31=""),"",IF('DADOS_FORMAS'!$HO31="—","—",'DADOS_FORMAS'!$HP31&amp;'DADOS_FORMAS'!$HO31&amp;SUBSTITUTE('DADOS_FORMAS'!$HQ31,"em você","nela")))</f>
        <v/>
      </c>
      <c r="IB56">
        <f>IF(OR('DADOS_FORMAS'!$AH15="",'DADOS_FORMAS'!$HM31="",'DADOS_FORMAS'!$HO31=""),"",IF('DADOS_FORMAS'!$HO31="—","—",'DADOS_FORMAS'!$HP31&amp;IF('DADOS_FORMAS'!$HN31="alcance",INDEX('DADOS_FORMAS'!$GL$2:$GL$7,MIN(6,'DADOS_FORMAS'!$HR31+1)),IF('DADOS_FORMAS'!$HN31="raio",INDEX('DADOS_FORMAS'!$GN$2:$GN$6,MIN(5,'DADOS_FORMAS'!$HR31+1)),IF('DADOS_FORMAS'!$HN31="comprimento",INDEX('DADOS_FORMAS'!$GP$2:$GP$6,MIN(5,'DADOS_FORMAS'!$HR31+1)),'DADOS_FORMAS'!$HO31)))&amp;SUBSTITUTE('DADOS_FORMAS'!$HQ31,"em você","nela")))</f>
        <v/>
      </c>
      <c r="IC56">
        <f>IF(OR('DADOS_FORMAS'!$AH15="",'DADOS_FORMAS'!$HM31="",'DADOS_FORMAS'!$HO31=""),"",IF('DADOS_FORMAS'!$HO31="—","—",'DADOS_FORMAS'!$HP31&amp;IF('DADOS_FORMAS'!$HN31="alcance",INDEX('DADOS_FORMAS'!$GL$2:$GL$7,MIN(6,'DADOS_FORMAS'!$HR31+2)),IF('DADOS_FORMAS'!$HN31="raio",INDEX('DADOS_FORMAS'!$GN$2:$GN$6,MIN(5,'DADOS_FORMAS'!$HR31+2)),IF('DADOS_FORMAS'!$HN31="comprimento",INDEX('DADOS_FORMAS'!$GP$2:$GP$6,MIN(5,'DADOS_FORMAS'!$HR31+2)),'DADOS_FORMAS'!$HO31)))&amp;SUBSTITUTE('DADOS_FORMAS'!$HQ31,"em você","nela")))</f>
        <v/>
      </c>
      <c r="ID56">
        <f>IF(OR('DADOS_FORMAS'!$AH15="",'DADOS_FORMAS'!$HM31="",'DADOS_FORMAS'!$HO31=""),"",IF('DADOS_FORMAS'!$HO31="—","—",'DADOS_FORMAS'!$HP31&amp;IF('DADOS_FORMAS'!$HN31="alcance",INDEX('DADOS_FORMAS'!$GL$2:$GL$7,MIN(6,'DADOS_FORMAS'!$HR31+3)),IF('DADOS_FORMAS'!$HN31="raio",INDEX('DADOS_FORMAS'!$GN$2:$GN$6,MIN(5,'DADOS_FORMAS'!$HR31+3)),IF('DADOS_FORMAS'!$HN31="comprimento",INDEX('DADOS_FORMAS'!$GP$2:$GP$6,MIN(5,'DADOS_FORMAS'!$HR31+3)),'DADOS_FORMAS'!$HO31)))&amp;SUBSTITUTE('DADOS_FORMAS'!$HQ31,"em você","nela")))</f>
        <v/>
      </c>
      <c r="IE56">
        <f>IF(OR('DADOS_FORMAS'!$AH15="",'DADOS_FORMAS'!$HM31="",'DADOS_FORMAS'!$HO31=""),"",IF('DADOS_FORMAS'!$HO31="—","—",'DADOS_FORMAS'!$HP31&amp;IF('DADOS_FORMAS'!$HN31="alcance",INDEX('DADOS_FORMAS'!$GL$2:$GL$7,MIN(6,'DADOS_FORMAS'!$HR31+4)),IF('DADOS_FORMAS'!$HN31="raio",INDEX('DADOS_FORMAS'!$GN$2:$GN$6,MIN(5,'DADOS_FORMAS'!$HR31+4)),IF('DADOS_FORMAS'!$HN31="comprimento",INDEX('DADOS_FORMAS'!$GP$2:$GP$6,MIN(5,'DADOS_FORMAS'!$HR31+4)),'DADOS_FORMAS'!$HO31)))&amp;SUBSTITUTE('DADOS_FORMAS'!$HQ31,"em você","nela")))</f>
        <v/>
      </c>
      <c r="IF56">
        <f>IF(OR('DADOS_FORMAS'!$AH15="",'DADOS_FORMAS'!$HM31="",'DADOS_FORMAS'!$HO31=""),"",IF('DADOS_FORMAS'!$HO31="—","—",'DADOS_FORMAS'!$HP31&amp;IF('DADOS_FORMAS'!$HN31="alcance",INDEX('DADOS_FORMAS'!$GL$2:$GL$7,MIN(6,'DADOS_FORMAS'!$HR31+5)),IF('DADOS_FORMAS'!$HN31="raio",INDEX('DADOS_FORMAS'!$GN$2:$GN$6,MIN(5,'DADOS_FORMAS'!$HR31+5)),IF('DADOS_FORMAS'!$HN31="comprimento",INDEX('DADOS_FORMAS'!$GP$2:$GP$6,MIN(5,'DADOS_FORMAS'!$HR31+5)),'DADOS_FORMAS'!$HO31)))&amp;SUBSTITUTE('DADOS_FORMAS'!$HQ31,"em você","nela")))</f>
        <v/>
      </c>
    </row>
    <row r="57">
      <c r="GR57">
        <f>'DADOS_FORMAS'!$BP21</f>
        <v/>
      </c>
      <c r="GS57">
        <f>IF('DADOS_FORMAS'!$BP21="area",'DADOS_FORMAS'!$AU21,'DADOS_FORMAS'!$AT21)</f>
        <v/>
      </c>
      <c r="GT57">
        <f>IF('DADOS_FORMAS'!$BP21="area",'DADOS_FORMAS'!$BC21,'DADOS_FORMAS'!$AV21)</f>
        <v/>
      </c>
      <c r="GU57">
        <f>'DADOS_FORMAS'!$BQ21</f>
        <v/>
      </c>
      <c r="GV57">
        <f>'DADOS_FORMAS'!$BR21</f>
        <v/>
      </c>
      <c r="GW57">
        <f>LET(base,'DADOS_FORMAS'!$GT57,escada,'DADOS_FORMAS'!$GS57,medida,LEFT(base,MAX(0,LEN(base)-2)),valor,IFERROR(VALUE(SUBSTITUTE(medida,",",""))/10^IFERROR(LEN(medida)-FIND(",",medida),0),1E99),IF(OR(escada="Fixo",base="—"),base,IF(escada="alcance",IFERROR(MATCH(base,{"1,5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7">
        <f>'DADOS_FORMAS'!$AH20&amp;" · classes 1 a 5"</f>
        <v/>
      </c>
      <c r="GZ57">
        <f>LET(trecho,IF(OR('DADOS_FORMAS'!$AH20="",'DADOS_FORMAS'!$GR52="",'DADOS_FORMAS'!$GT52=""),"",IF('DADOS_FORMAS'!$GT52="—","—",'DADOS_FORMAS'!$GU52&amp;'DADOS_FORMAS'!$GT52&amp;'DADOS_FORMAS'!$GV52)),UPPER(LEFT(trecho,1))&amp;MID(trecho,2,LEN(trecho)))</f>
        <v/>
      </c>
      <c r="HA57">
        <f>LET(trecho,IF(OR('DADOS_FORMAS'!$AH20="",'DADOS_FORMAS'!$GR52="",'DADOS_FORMAS'!$GT52=""),"",IF('DADOS_FORMAS'!$GT52="—","—",'DADOS_FORMAS'!$GU52&amp;IF('DADOS_FORMAS'!$GS52="alcance",INDEX('DADOS_FORMAS'!$GL$2:$GL$7,MIN(6,'DADOS_FORMAS'!$GW52+1)),IF('DADOS_FORMAS'!$GS52="raio",INDEX('DADOS_FORMAS'!$GN$2:$GN$6,MIN(5,'DADOS_FORMAS'!$GW52+1)),IF('DADOS_FORMAS'!$GS52="comprimento",INDEX('DADOS_FORMAS'!$GP$2:$GP$6,MIN(5,'DADOS_FORMAS'!$GW52+1)),'DADOS_FORMAS'!$GT52)))&amp;'DADOS_FORMAS'!$GV52)),UPPER(LEFT(trecho,1))&amp;MID(trecho,2,LEN(trecho)))</f>
        <v/>
      </c>
      <c r="HB57">
        <f>LET(trecho,IF(OR('DADOS_FORMAS'!$AH20="",'DADOS_FORMAS'!$GR52="",'DADOS_FORMAS'!$GT52=""),"",IF('DADOS_FORMAS'!$GT52="—","—",'DADOS_FORMAS'!$GU52&amp;IF('DADOS_FORMAS'!$GS52="alcance",INDEX('DADOS_FORMAS'!$GL$2:$GL$7,MIN(6,'DADOS_FORMAS'!$GW52+2)),IF('DADOS_FORMAS'!$GS52="raio",INDEX('DADOS_FORMAS'!$GN$2:$GN$6,MIN(5,'DADOS_FORMAS'!$GW52+2)),IF('DADOS_FORMAS'!$GS52="comprimento",INDEX('DADOS_FORMAS'!$GP$2:$GP$6,MIN(5,'DADOS_FORMAS'!$GW52+2)),'DADOS_FORMAS'!$GT52)))&amp;'DADOS_FORMAS'!$GV52)),UPPER(LEFT(trecho,1))&amp;MID(trecho,2,LEN(trecho)))</f>
        <v/>
      </c>
      <c r="HC57">
        <f>LET(trecho,IF(OR('DADOS_FORMAS'!$AH20="",'DADOS_FORMAS'!$GR52="",'DADOS_FORMAS'!$GT52=""),"",IF('DADOS_FORMAS'!$GT52="—","—",'DADOS_FORMAS'!$GU52&amp;IF('DADOS_FORMAS'!$GS52="alcance",INDEX('DADOS_FORMAS'!$GL$2:$GL$7,MIN(6,'DADOS_FORMAS'!$GW52+3)),IF('DADOS_FORMAS'!$GS52="raio",INDEX('DADOS_FORMAS'!$GN$2:$GN$6,MIN(5,'DADOS_FORMAS'!$GW52+3)),IF('DADOS_FORMAS'!$GS52="comprimento",INDEX('DADOS_FORMAS'!$GP$2:$GP$6,MIN(5,'DADOS_FORMAS'!$GW52+3)),'DADOS_FORMAS'!$GT52)))&amp;'DADOS_FORMAS'!$GV52)),UPPER(LEFT(trecho,1))&amp;MID(trecho,2,LEN(trecho)))</f>
        <v/>
      </c>
      <c r="HD57">
        <f>LET(trecho,IF(OR('DADOS_FORMAS'!$AH20="",'DADOS_FORMAS'!$GR52="",'DADOS_FORMAS'!$GT52=""),"",IF('DADOS_FORMAS'!$GT52="—","—",'DADOS_FORMAS'!$GU52&amp;IF('DADOS_FORMAS'!$GS52="alcance",INDEX('DADOS_FORMAS'!$GL$2:$GL$7,MIN(6,'DADOS_FORMAS'!$GW52+4)),IF('DADOS_FORMAS'!$GS52="raio",INDEX('DADOS_FORMAS'!$GN$2:$GN$6,MIN(5,'DADOS_FORMAS'!$GW52+4)),IF('DADOS_FORMAS'!$GS52="comprimento",INDEX('DADOS_FORMAS'!$GP$2:$GP$6,MIN(5,'DADOS_FORMAS'!$GW52+4)),'DADOS_FORMAS'!$GT52)))&amp;'DADOS_FORMAS'!$GV52)),UPPER(LEFT(trecho,1))&amp;MID(trecho,2,LEN(trecho)))</f>
        <v/>
      </c>
      <c r="HE57">
        <f>LET(trecho,IF(OR('DADOS_FORMAS'!$AH20="",'DADOS_FORMAS'!$GR52="",'DADOS_FORMAS'!$GT52=""),"",IF('DADOS_FORMAS'!$GT52="—","—",'DADOS_FORMAS'!$GU52&amp;IF('DADOS_FORMAS'!$GS52="alcance",INDEX('DADOS_FORMAS'!$GL$2:$GL$7,MIN(6,'DADOS_FORMAS'!$GW52+5)),IF('DADOS_FORMAS'!$GS52="raio",INDEX('DADOS_FORMAS'!$GN$2:$GN$6,MIN(5,'DADOS_FORMAS'!$GW52+5)),IF('DADOS_FORMAS'!$GS52="comprimento",INDEX('DADOS_FORMAS'!$GP$2:$GP$6,MIN(5,'DADOS_FORMAS'!$GW52+5)),'DADOS_FORMAS'!$GT52)))&amp;'DADOS_FORMAS'!$GV52)),UPPER(LEFT(trecho,1))&amp;MID(trecho,2,LEN(trecho)))</f>
        <v/>
      </c>
      <c r="HF57">
        <f>IF(OR('DADOS_FORMAS'!$AH20="",'DADOS_FORMAS'!$GR53="",'DADOS_FORMAS'!$GT53=""),"",IF('DADOS_FORMAS'!$GT53="—","—",'DADOS_FORMAS'!$GU53&amp;'DADOS_FORMAS'!$GT53&amp;'DADOS_FORMAS'!$GV53))</f>
        <v/>
      </c>
      <c r="HG57">
        <f>IF(OR('DADOS_FORMAS'!$AH20="",'DADOS_FORMAS'!$GR53="",'DADOS_FORMAS'!$GT53=""),"",IF('DADOS_FORMAS'!$GT53="—","—",'DADOS_FORMAS'!$GU53&amp;IF('DADOS_FORMAS'!$GS53="alcance",INDEX('DADOS_FORMAS'!$GL$2:$GL$7,MIN(6,'DADOS_FORMAS'!$GW53+1)),IF('DADOS_FORMAS'!$GS53="raio",INDEX('DADOS_FORMAS'!$GN$2:$GN$6,MIN(5,'DADOS_FORMAS'!$GW53+1)),IF('DADOS_FORMAS'!$GS53="comprimento",INDEX('DADOS_FORMAS'!$GP$2:$GP$6,MIN(5,'DADOS_FORMAS'!$GW53+1)),'DADOS_FORMAS'!$GT53)))&amp;'DADOS_FORMAS'!$GV53))</f>
        <v/>
      </c>
      <c r="HH57">
        <f>IF(OR('DADOS_FORMAS'!$AH20="",'DADOS_FORMAS'!$GR53="",'DADOS_FORMAS'!$GT53=""),"",IF('DADOS_FORMAS'!$GT53="—","—",'DADOS_FORMAS'!$GU53&amp;IF('DADOS_FORMAS'!$GS53="alcance",INDEX('DADOS_FORMAS'!$GL$2:$GL$7,MIN(6,'DADOS_FORMAS'!$GW53+2)),IF('DADOS_FORMAS'!$GS53="raio",INDEX('DADOS_FORMAS'!$GN$2:$GN$6,MIN(5,'DADOS_FORMAS'!$GW53+2)),IF('DADOS_FORMAS'!$GS53="comprimento",INDEX('DADOS_FORMAS'!$GP$2:$GP$6,MIN(5,'DADOS_FORMAS'!$GW53+2)),'DADOS_FORMAS'!$GT53)))&amp;'DADOS_FORMAS'!$GV53))</f>
        <v/>
      </c>
      <c r="HI57">
        <f>IF(OR('DADOS_FORMAS'!$AH20="",'DADOS_FORMAS'!$GR53="",'DADOS_FORMAS'!$GT53=""),"",IF('DADOS_FORMAS'!$GT53="—","—",'DADOS_FORMAS'!$GU53&amp;IF('DADOS_FORMAS'!$GS53="alcance",INDEX('DADOS_FORMAS'!$GL$2:$GL$7,MIN(6,'DADOS_FORMAS'!$GW53+3)),IF('DADOS_FORMAS'!$GS53="raio",INDEX('DADOS_FORMAS'!$GN$2:$GN$6,MIN(5,'DADOS_FORMAS'!$GW53+3)),IF('DADOS_FORMAS'!$GS53="comprimento",INDEX('DADOS_FORMAS'!$GP$2:$GP$6,MIN(5,'DADOS_FORMAS'!$GW53+3)),'DADOS_FORMAS'!$GT53)))&amp;'DADOS_FORMAS'!$GV53))</f>
        <v/>
      </c>
      <c r="HJ57">
        <f>IF(OR('DADOS_FORMAS'!$AH20="",'DADOS_FORMAS'!$GR53="",'DADOS_FORMAS'!$GT53=""),"",IF('DADOS_FORMAS'!$GT53="—","—",'DADOS_FORMAS'!$GU53&amp;IF('DADOS_FORMAS'!$GS53="alcance",INDEX('DADOS_FORMAS'!$GL$2:$GL$7,MIN(6,'DADOS_FORMAS'!$GW53+4)),IF('DADOS_FORMAS'!$GS53="raio",INDEX('DADOS_FORMAS'!$GN$2:$GN$6,MIN(5,'DADOS_FORMAS'!$GW53+4)),IF('DADOS_FORMAS'!$GS53="comprimento",INDEX('DADOS_FORMAS'!$GP$2:$GP$6,MIN(5,'DADOS_FORMAS'!$GW53+4)),'DADOS_FORMAS'!$GT53)))&amp;'DADOS_FORMAS'!$GV53))</f>
        <v/>
      </c>
      <c r="HK57">
        <f>IF(OR('DADOS_FORMAS'!$AH20="",'DADOS_FORMAS'!$GR53="",'DADOS_FORMAS'!$GT53=""),"",IF('DADOS_FORMAS'!$GT53="—","—",'DADOS_FORMAS'!$GU53&amp;IF('DADOS_FORMAS'!$GS53="alcance",INDEX('DADOS_FORMAS'!$GL$2:$GL$7,MIN(6,'DADOS_FORMAS'!$GW53+5)),IF('DADOS_FORMAS'!$GS53="raio",INDEX('DADOS_FORMAS'!$GN$2:$GN$6,MIN(5,'DADOS_FORMAS'!$GW53+5)),IF('DADOS_FORMAS'!$GS53="comprimento",INDEX('DADOS_FORMAS'!$GP$2:$GP$6,MIN(5,'DADOS_FORMAS'!$GW53+5)),'DADOS_FORMAS'!$GT53)))&amp;'DADOS_FORMAS'!$GV53))</f>
        <v/>
      </c>
      <c r="HM57">
        <f>'DADOS_FORMAS'!$BP18</f>
        <v/>
      </c>
      <c r="HN57">
        <f>IF('DADOS_FORMAS'!$BP18="area",'DADOS_FORMAS'!$AU18,'DADOS_FORMAS'!$AT18)</f>
        <v/>
      </c>
      <c r="HO57">
        <f>IF('DADOS_FORMAS'!$BP18="area",'DADOS_FORMAS'!$BI18,'DADOS_FORMAS'!$BB18)</f>
        <v/>
      </c>
      <c r="HP57">
        <f>'DADOS_FORMAS'!$BQ18</f>
        <v/>
      </c>
      <c r="HQ57">
        <f>'DADOS_FORMAS'!$BR18</f>
        <v/>
      </c>
      <c r="HR57">
        <f>LET(base,'DADOS_FORMAS'!$HO57,escada,'DADOS_FORMAS'!$HN57,medida,LEFT(base,MAX(0,LEN(base)-2)),valor,IFERROR(VALUE(SUBSTITUTE(medida,",",""))/10^IFERROR(LEN(medida)-FIND(",",medida),0),1E99),IF(OR(escada="Fixo",base="—"),base,IF(escada="alcance",IFERROR(MATCH(base,{"1,5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7">
        <f>'DADOS_FORMAS'!$AH15&amp;" · classe 7"</f>
        <v/>
      </c>
      <c r="HU57">
        <f>LET(trecho,IF(OR('DADOS_FORMAS'!$AH15="",'DADOS_FORMAS'!$HM32="",'DADOS_FORMAS'!$HO32=""),"",IF('DADOS_FORMAS'!$HO32="—","—",'DADOS_FORMAS'!$HP32&amp;'DADOS_FORMAS'!$HO32&amp;SUBSTITUTE('DADOS_FORMAS'!$HQ32,"em você","nela"))),UPPER(LEFT(trecho,1))&amp;MID(trecho,2,LEN(trecho)))</f>
        <v/>
      </c>
      <c r="HV57">
        <f>LET(trecho,IF(OR('DADOS_FORMAS'!$AH15="",'DADOS_FORMAS'!$HM32="",'DADOS_FORMAS'!$HO32=""),"",IF('DADOS_FORMAS'!$HO32="—","—",'DADOS_FORMAS'!$HP32&amp;IF('DADOS_FORMAS'!$HN32="alcance",INDEX('DADOS_FORMAS'!$GL$2:$GL$7,MIN(6,'DADOS_FORMAS'!$HR32+1)),IF('DADOS_FORMAS'!$HN32="raio",INDEX('DADOS_FORMAS'!$GN$2:$GN$6,MIN(5,'DADOS_FORMAS'!$HR32+1)),IF('DADOS_FORMAS'!$HN32="comprimento",INDEX('DADOS_FORMAS'!$GP$2:$GP$6,MIN(5,'DADOS_FORMAS'!$HR32+1)),'DADOS_FORMAS'!$HO32)))&amp;SUBSTITUTE('DADOS_FORMAS'!$HQ32,"em você","nela"))),UPPER(LEFT(trecho,1))&amp;MID(trecho,2,LEN(trecho)))</f>
        <v/>
      </c>
      <c r="HW57">
        <f>LET(trecho,IF(OR('DADOS_FORMAS'!$AH15="",'DADOS_FORMAS'!$HM32="",'DADOS_FORMAS'!$HO32=""),"",IF('DADOS_FORMAS'!$HO32="—","—",'DADOS_FORMAS'!$HP32&amp;IF('DADOS_FORMAS'!$HN32="alcance",INDEX('DADOS_FORMAS'!$GL$2:$GL$7,MIN(6,'DADOS_FORMAS'!$HR32+2)),IF('DADOS_FORMAS'!$HN32="raio",INDEX('DADOS_FORMAS'!$GN$2:$GN$6,MIN(5,'DADOS_FORMAS'!$HR32+2)),IF('DADOS_FORMAS'!$HN32="comprimento",INDEX('DADOS_FORMAS'!$GP$2:$GP$6,MIN(5,'DADOS_FORMAS'!$HR32+2)),'DADOS_FORMAS'!$HO32)))&amp;SUBSTITUTE('DADOS_FORMAS'!$HQ32,"em você","nela"))),UPPER(LEFT(trecho,1))&amp;MID(trecho,2,LEN(trecho)))</f>
        <v/>
      </c>
      <c r="HX57">
        <f>LET(trecho,IF(OR('DADOS_FORMAS'!$AH15="",'DADOS_FORMAS'!$HM32="",'DADOS_FORMAS'!$HO32=""),"",IF('DADOS_FORMAS'!$HO32="—","—",'DADOS_FORMAS'!$HP32&amp;IF('DADOS_FORMAS'!$HN32="alcance",INDEX('DADOS_FORMAS'!$GL$2:$GL$7,MIN(6,'DADOS_FORMAS'!$HR32+3)),IF('DADOS_FORMAS'!$HN32="raio",INDEX('DADOS_FORMAS'!$GN$2:$GN$6,MIN(5,'DADOS_FORMAS'!$HR32+3)),IF('DADOS_FORMAS'!$HN32="comprimento",INDEX('DADOS_FORMAS'!$GP$2:$GP$6,MIN(5,'DADOS_FORMAS'!$HR32+3)),'DADOS_FORMAS'!$HO32)))&amp;SUBSTITUTE('DADOS_FORMAS'!$HQ32,"em você","nela"))),UPPER(LEFT(trecho,1))&amp;MID(trecho,2,LEN(trecho)))</f>
        <v/>
      </c>
      <c r="HY57">
        <f>LET(trecho,IF(OR('DADOS_FORMAS'!$AH15="",'DADOS_FORMAS'!$HM32="",'DADOS_FORMAS'!$HO32=""),"",IF('DADOS_FORMAS'!$HO32="—","—",'DADOS_FORMAS'!$HP32&amp;IF('DADOS_FORMAS'!$HN32="alcance",INDEX('DADOS_FORMAS'!$GL$2:$GL$7,MIN(6,'DADOS_FORMAS'!$HR32+4)),IF('DADOS_FORMAS'!$HN32="raio",INDEX('DADOS_FORMAS'!$GN$2:$GN$6,MIN(5,'DADOS_FORMAS'!$HR32+4)),IF('DADOS_FORMAS'!$HN32="comprimento",INDEX('DADOS_FORMAS'!$GP$2:$GP$6,MIN(5,'DADOS_FORMAS'!$HR32+4)),'DADOS_FORMAS'!$HO32)))&amp;SUBSTITUTE('DADOS_FORMAS'!$HQ32,"em você","nela"))),UPPER(LEFT(trecho,1))&amp;MID(trecho,2,LEN(trecho)))</f>
        <v/>
      </c>
      <c r="HZ57">
        <f>LET(trecho,IF(OR('DADOS_FORMAS'!$AH15="",'DADOS_FORMAS'!$HM32="",'DADOS_FORMAS'!$HO32=""),"",IF('DADOS_FORMAS'!$HO32="—","—",'DADOS_FORMAS'!$HP32&amp;IF('DADOS_FORMAS'!$HN32="alcance",INDEX('DADOS_FORMAS'!$GL$2:$GL$7,MIN(6,'DADOS_FORMAS'!$HR32+5)),IF('DADOS_FORMAS'!$HN32="raio",INDEX('DADOS_FORMAS'!$GN$2:$GN$6,MIN(5,'DADOS_FORMAS'!$HR32+5)),IF('DADOS_FORMAS'!$HN32="comprimento",INDEX('DADOS_FORMAS'!$GP$2:$GP$6,MIN(5,'DADOS_FORMAS'!$HR32+5)),'DADOS_FORMAS'!$HO32)))&amp;SUBSTITUTE('DADOS_FORMAS'!$HQ32,"em você","nela"))),UPPER(LEFT(trecho,1))&amp;MID(trecho,2,LEN(trecho)))</f>
        <v/>
      </c>
      <c r="IA57">
        <f>IF(OR('DADOS_FORMAS'!$AH15="",'DADOS_FORMAS'!$HM33="",'DADOS_FORMAS'!$HO33=""),"",IF('DADOS_FORMAS'!$HO33="—","—",'DADOS_FORMAS'!$HP33&amp;'DADOS_FORMAS'!$HO33&amp;SUBSTITUTE('DADOS_FORMAS'!$HQ33,"em você","nela")))</f>
        <v/>
      </c>
      <c r="IB57">
        <f>IF(OR('DADOS_FORMAS'!$AH15="",'DADOS_FORMAS'!$HM33="",'DADOS_FORMAS'!$HO33=""),"",IF('DADOS_FORMAS'!$HO33="—","—",'DADOS_FORMAS'!$HP33&amp;IF('DADOS_FORMAS'!$HN33="alcance",INDEX('DADOS_FORMAS'!$GL$2:$GL$7,MIN(6,'DADOS_FORMAS'!$HR33+1)),IF('DADOS_FORMAS'!$HN33="raio",INDEX('DADOS_FORMAS'!$GN$2:$GN$6,MIN(5,'DADOS_FORMAS'!$HR33+1)),IF('DADOS_FORMAS'!$HN33="comprimento",INDEX('DADOS_FORMAS'!$GP$2:$GP$6,MIN(5,'DADOS_FORMAS'!$HR33+1)),'DADOS_FORMAS'!$HO33)))&amp;SUBSTITUTE('DADOS_FORMAS'!$HQ33,"em você","nela")))</f>
        <v/>
      </c>
      <c r="IC57">
        <f>IF(OR('DADOS_FORMAS'!$AH15="",'DADOS_FORMAS'!$HM33="",'DADOS_FORMAS'!$HO33=""),"",IF('DADOS_FORMAS'!$HO33="—","—",'DADOS_FORMAS'!$HP33&amp;IF('DADOS_FORMAS'!$HN33="alcance",INDEX('DADOS_FORMAS'!$GL$2:$GL$7,MIN(6,'DADOS_FORMAS'!$HR33+2)),IF('DADOS_FORMAS'!$HN33="raio",INDEX('DADOS_FORMAS'!$GN$2:$GN$6,MIN(5,'DADOS_FORMAS'!$HR33+2)),IF('DADOS_FORMAS'!$HN33="comprimento",INDEX('DADOS_FORMAS'!$GP$2:$GP$6,MIN(5,'DADOS_FORMAS'!$HR33+2)),'DADOS_FORMAS'!$HO33)))&amp;SUBSTITUTE('DADOS_FORMAS'!$HQ33,"em você","nela")))</f>
        <v/>
      </c>
      <c r="ID57">
        <f>IF(OR('DADOS_FORMAS'!$AH15="",'DADOS_FORMAS'!$HM33="",'DADOS_FORMAS'!$HO33=""),"",IF('DADOS_FORMAS'!$HO33="—","—",'DADOS_FORMAS'!$HP33&amp;IF('DADOS_FORMAS'!$HN33="alcance",INDEX('DADOS_FORMAS'!$GL$2:$GL$7,MIN(6,'DADOS_FORMAS'!$HR33+3)),IF('DADOS_FORMAS'!$HN33="raio",INDEX('DADOS_FORMAS'!$GN$2:$GN$6,MIN(5,'DADOS_FORMAS'!$HR33+3)),IF('DADOS_FORMAS'!$HN33="comprimento",INDEX('DADOS_FORMAS'!$GP$2:$GP$6,MIN(5,'DADOS_FORMAS'!$HR33+3)),'DADOS_FORMAS'!$HO33)))&amp;SUBSTITUTE('DADOS_FORMAS'!$HQ33,"em você","nela")))</f>
        <v/>
      </c>
      <c r="IE57">
        <f>IF(OR('DADOS_FORMAS'!$AH15="",'DADOS_FORMAS'!$HM33="",'DADOS_FORMAS'!$HO33=""),"",IF('DADOS_FORMAS'!$HO33="—","—",'DADOS_FORMAS'!$HP33&amp;IF('DADOS_FORMAS'!$HN33="alcance",INDEX('DADOS_FORMAS'!$GL$2:$GL$7,MIN(6,'DADOS_FORMAS'!$HR33+4)),IF('DADOS_FORMAS'!$HN33="raio",INDEX('DADOS_FORMAS'!$GN$2:$GN$6,MIN(5,'DADOS_FORMAS'!$HR33+4)),IF('DADOS_FORMAS'!$HN33="comprimento",INDEX('DADOS_FORMAS'!$GP$2:$GP$6,MIN(5,'DADOS_FORMAS'!$HR33+4)),'DADOS_FORMAS'!$HO33)))&amp;SUBSTITUTE('DADOS_FORMAS'!$HQ33,"em você","nela")))</f>
        <v/>
      </c>
      <c r="IF57">
        <f>IF(OR('DADOS_FORMAS'!$AH15="",'DADOS_FORMAS'!$HM33="",'DADOS_FORMAS'!$HO33=""),"",IF('DADOS_FORMAS'!$HO33="—","—",'DADOS_FORMAS'!$HP33&amp;IF('DADOS_FORMAS'!$HN33="alcance",INDEX('DADOS_FORMAS'!$GL$2:$GL$7,MIN(6,'DADOS_FORMAS'!$HR33+5)),IF('DADOS_FORMAS'!$HN33="raio",INDEX('DADOS_FORMAS'!$GN$2:$GN$6,MIN(5,'DADOS_FORMAS'!$HR33+5)),IF('DADOS_FORMAS'!$HN33="comprimento",INDEX('DADOS_FORMAS'!$GP$2:$GP$6,MIN(5,'DADOS_FORMAS'!$HR33+5)),'DADOS_FORMAS'!$HO33)))&amp;SUBSTITUTE('DADOS_FORMAS'!$HQ33,"em você","nela")))</f>
        <v/>
      </c>
    </row>
    <row r="58">
      <c r="GR58">
        <f>'DADOS_FORMAS'!$BL21</f>
        <v/>
      </c>
      <c r="GS58">
        <f>IF('DADOS_FORMAS'!$BL21="area",'DADOS_FORMAS'!$AU21,'DADOS_FORMAS'!$AT21)</f>
        <v/>
      </c>
      <c r="GT58">
        <f>IF('DADOS_FORMAS'!$BL21="area",'DADOS_FORMAS'!$BD21,'DADOS_FORMAS'!$AW21)</f>
        <v/>
      </c>
      <c r="GU58">
        <f>'DADOS_FORMAS'!$BM21</f>
        <v/>
      </c>
      <c r="GV58">
        <f>'DADOS_FORMAS'!$BN21</f>
        <v/>
      </c>
      <c r="GW58">
        <f>LET(base,'DADOS_FORMAS'!$GT58,escada,'DADOS_FORMAS'!$GS58,medida,LEFT(base,MAX(0,LEN(base)-2)),valor,IFERROR(VALUE(SUBSTITUTE(medida,",",""))/10^IFERROR(LEN(medida)-FIND(",",medida),0),1E99),IF(OR(escada="Fixo",base="—"),base,IF(escada="alcance",IFERROR(MATCH(base,{"1,5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8">
        <f>'DADOS_FORMAS'!$AH20&amp;" · classes 6 e 7"</f>
        <v/>
      </c>
      <c r="GZ58">
        <f>LET(trecho,IF(OR('DADOS_FORMAS'!$AH20="",'DADOS_FORMAS'!$GR54="",'DADOS_FORMAS'!$GT54=""),"",IF('DADOS_FORMAS'!$GT54="—","—",'DADOS_FORMAS'!$GU54&amp;'DADOS_FORMAS'!$GT54&amp;'DADOS_FORMAS'!$GV54)),UPPER(LEFT(trecho,1))&amp;MID(trecho,2,LEN(trecho)))</f>
        <v/>
      </c>
      <c r="HA58">
        <f>LET(trecho,IF(OR('DADOS_FORMAS'!$AH20="",'DADOS_FORMAS'!$GR54="",'DADOS_FORMAS'!$GT54=""),"",IF('DADOS_FORMAS'!$GT54="—","—",'DADOS_FORMAS'!$GU54&amp;IF('DADOS_FORMAS'!$GS54="alcance",INDEX('DADOS_FORMAS'!$GL$2:$GL$7,MIN(6,'DADOS_FORMAS'!$GW54+1)),IF('DADOS_FORMAS'!$GS54="raio",INDEX('DADOS_FORMAS'!$GN$2:$GN$6,MIN(5,'DADOS_FORMAS'!$GW54+1)),IF('DADOS_FORMAS'!$GS54="comprimento",INDEX('DADOS_FORMAS'!$GP$2:$GP$6,MIN(5,'DADOS_FORMAS'!$GW54+1)),'DADOS_FORMAS'!$GT54)))&amp;'DADOS_FORMAS'!$GV54)),UPPER(LEFT(trecho,1))&amp;MID(trecho,2,LEN(trecho)))</f>
        <v/>
      </c>
      <c r="HB58">
        <f>LET(trecho,IF(OR('DADOS_FORMAS'!$AH20="",'DADOS_FORMAS'!$GR54="",'DADOS_FORMAS'!$GT54=""),"",IF('DADOS_FORMAS'!$GT54="—","—",'DADOS_FORMAS'!$GU54&amp;IF('DADOS_FORMAS'!$GS54="alcance",INDEX('DADOS_FORMAS'!$GL$2:$GL$7,MIN(6,'DADOS_FORMAS'!$GW54+2)),IF('DADOS_FORMAS'!$GS54="raio",INDEX('DADOS_FORMAS'!$GN$2:$GN$6,MIN(5,'DADOS_FORMAS'!$GW54+2)),IF('DADOS_FORMAS'!$GS54="comprimento",INDEX('DADOS_FORMAS'!$GP$2:$GP$6,MIN(5,'DADOS_FORMAS'!$GW54+2)),'DADOS_FORMAS'!$GT54)))&amp;'DADOS_FORMAS'!$GV54)),UPPER(LEFT(trecho,1))&amp;MID(trecho,2,LEN(trecho)))</f>
        <v/>
      </c>
      <c r="HC58">
        <f>LET(trecho,IF(OR('DADOS_FORMAS'!$AH20="",'DADOS_FORMAS'!$GR54="",'DADOS_FORMAS'!$GT54=""),"",IF('DADOS_FORMAS'!$GT54="—","—",'DADOS_FORMAS'!$GU54&amp;IF('DADOS_FORMAS'!$GS54="alcance",INDEX('DADOS_FORMAS'!$GL$2:$GL$7,MIN(6,'DADOS_FORMAS'!$GW54+3)),IF('DADOS_FORMAS'!$GS54="raio",INDEX('DADOS_FORMAS'!$GN$2:$GN$6,MIN(5,'DADOS_FORMAS'!$GW54+3)),IF('DADOS_FORMAS'!$GS54="comprimento",INDEX('DADOS_FORMAS'!$GP$2:$GP$6,MIN(5,'DADOS_FORMAS'!$GW54+3)),'DADOS_FORMAS'!$GT54)))&amp;'DADOS_FORMAS'!$GV54)),UPPER(LEFT(trecho,1))&amp;MID(trecho,2,LEN(trecho)))</f>
        <v/>
      </c>
      <c r="HD58">
        <f>LET(trecho,IF(OR('DADOS_FORMAS'!$AH20="",'DADOS_FORMAS'!$GR54="",'DADOS_FORMAS'!$GT54=""),"",IF('DADOS_FORMAS'!$GT54="—","—",'DADOS_FORMAS'!$GU54&amp;IF('DADOS_FORMAS'!$GS54="alcance",INDEX('DADOS_FORMAS'!$GL$2:$GL$7,MIN(6,'DADOS_FORMAS'!$GW54+4)),IF('DADOS_FORMAS'!$GS54="raio",INDEX('DADOS_FORMAS'!$GN$2:$GN$6,MIN(5,'DADOS_FORMAS'!$GW54+4)),IF('DADOS_FORMAS'!$GS54="comprimento",INDEX('DADOS_FORMAS'!$GP$2:$GP$6,MIN(5,'DADOS_FORMAS'!$GW54+4)),'DADOS_FORMAS'!$GT54)))&amp;'DADOS_FORMAS'!$GV54)),UPPER(LEFT(trecho,1))&amp;MID(trecho,2,LEN(trecho)))</f>
        <v/>
      </c>
      <c r="HE58">
        <f>LET(trecho,IF(OR('DADOS_FORMAS'!$AH20="",'DADOS_FORMAS'!$GR54="",'DADOS_FORMAS'!$GT54=""),"",IF('DADOS_FORMAS'!$GT54="—","—",'DADOS_FORMAS'!$GU54&amp;IF('DADOS_FORMAS'!$GS54="alcance",INDEX('DADOS_FORMAS'!$GL$2:$GL$7,MIN(6,'DADOS_FORMAS'!$GW54+5)),IF('DADOS_FORMAS'!$GS54="raio",INDEX('DADOS_FORMAS'!$GN$2:$GN$6,MIN(5,'DADOS_FORMAS'!$GW54+5)),IF('DADOS_FORMAS'!$GS54="comprimento",INDEX('DADOS_FORMAS'!$GP$2:$GP$6,MIN(5,'DADOS_FORMAS'!$GW54+5)),'DADOS_FORMAS'!$GT54)))&amp;'DADOS_FORMAS'!$GV54)),UPPER(LEFT(trecho,1))&amp;MID(trecho,2,LEN(trecho)))</f>
        <v/>
      </c>
      <c r="HF58">
        <f>IF(OR('DADOS_FORMAS'!$AH20="",'DADOS_FORMAS'!$GR55="",'DADOS_FORMAS'!$GT55=""),"",IF('DADOS_FORMAS'!$GT55="—","—",'DADOS_FORMAS'!$GU55&amp;'DADOS_FORMAS'!$GT55&amp;'DADOS_FORMAS'!$GV55))</f>
        <v/>
      </c>
      <c r="HG58">
        <f>IF(OR('DADOS_FORMAS'!$AH20="",'DADOS_FORMAS'!$GR55="",'DADOS_FORMAS'!$GT55=""),"",IF('DADOS_FORMAS'!$GT55="—","—",'DADOS_FORMAS'!$GU55&amp;IF('DADOS_FORMAS'!$GS55="alcance",INDEX('DADOS_FORMAS'!$GL$2:$GL$7,MIN(6,'DADOS_FORMAS'!$GW55+1)),IF('DADOS_FORMAS'!$GS55="raio",INDEX('DADOS_FORMAS'!$GN$2:$GN$6,MIN(5,'DADOS_FORMAS'!$GW55+1)),IF('DADOS_FORMAS'!$GS55="comprimento",INDEX('DADOS_FORMAS'!$GP$2:$GP$6,MIN(5,'DADOS_FORMAS'!$GW55+1)),'DADOS_FORMAS'!$GT55)))&amp;'DADOS_FORMAS'!$GV55))</f>
        <v/>
      </c>
      <c r="HH58">
        <f>IF(OR('DADOS_FORMAS'!$AH20="",'DADOS_FORMAS'!$GR55="",'DADOS_FORMAS'!$GT55=""),"",IF('DADOS_FORMAS'!$GT55="—","—",'DADOS_FORMAS'!$GU55&amp;IF('DADOS_FORMAS'!$GS55="alcance",INDEX('DADOS_FORMAS'!$GL$2:$GL$7,MIN(6,'DADOS_FORMAS'!$GW55+2)),IF('DADOS_FORMAS'!$GS55="raio",INDEX('DADOS_FORMAS'!$GN$2:$GN$6,MIN(5,'DADOS_FORMAS'!$GW55+2)),IF('DADOS_FORMAS'!$GS55="comprimento",INDEX('DADOS_FORMAS'!$GP$2:$GP$6,MIN(5,'DADOS_FORMAS'!$GW55+2)),'DADOS_FORMAS'!$GT55)))&amp;'DADOS_FORMAS'!$GV55))</f>
        <v/>
      </c>
      <c r="HI58">
        <f>IF(OR('DADOS_FORMAS'!$AH20="",'DADOS_FORMAS'!$GR55="",'DADOS_FORMAS'!$GT55=""),"",IF('DADOS_FORMAS'!$GT55="—","—",'DADOS_FORMAS'!$GU55&amp;IF('DADOS_FORMAS'!$GS55="alcance",INDEX('DADOS_FORMAS'!$GL$2:$GL$7,MIN(6,'DADOS_FORMAS'!$GW55+3)),IF('DADOS_FORMAS'!$GS55="raio",INDEX('DADOS_FORMAS'!$GN$2:$GN$6,MIN(5,'DADOS_FORMAS'!$GW55+3)),IF('DADOS_FORMAS'!$GS55="comprimento",INDEX('DADOS_FORMAS'!$GP$2:$GP$6,MIN(5,'DADOS_FORMAS'!$GW55+3)),'DADOS_FORMAS'!$GT55)))&amp;'DADOS_FORMAS'!$GV55))</f>
        <v/>
      </c>
      <c r="HJ58">
        <f>IF(OR('DADOS_FORMAS'!$AH20="",'DADOS_FORMAS'!$GR55="",'DADOS_FORMAS'!$GT55=""),"",IF('DADOS_FORMAS'!$GT55="—","—",'DADOS_FORMAS'!$GU55&amp;IF('DADOS_FORMAS'!$GS55="alcance",INDEX('DADOS_FORMAS'!$GL$2:$GL$7,MIN(6,'DADOS_FORMAS'!$GW55+4)),IF('DADOS_FORMAS'!$GS55="raio",INDEX('DADOS_FORMAS'!$GN$2:$GN$6,MIN(5,'DADOS_FORMAS'!$GW55+4)),IF('DADOS_FORMAS'!$GS55="comprimento",INDEX('DADOS_FORMAS'!$GP$2:$GP$6,MIN(5,'DADOS_FORMAS'!$GW55+4)),'DADOS_FORMAS'!$GT55)))&amp;'DADOS_FORMAS'!$GV55))</f>
        <v/>
      </c>
      <c r="HK58">
        <f>IF(OR('DADOS_FORMAS'!$AH20="",'DADOS_FORMAS'!$GR55="",'DADOS_FORMAS'!$GT55=""),"",IF('DADOS_FORMAS'!$GT55="—","—",'DADOS_FORMAS'!$GU55&amp;IF('DADOS_FORMAS'!$GS55="alcance",INDEX('DADOS_FORMAS'!$GL$2:$GL$7,MIN(6,'DADOS_FORMAS'!$GW55+5)),IF('DADOS_FORMAS'!$GS55="raio",INDEX('DADOS_FORMAS'!$GN$2:$GN$6,MIN(5,'DADOS_FORMAS'!$GW55+5)),IF('DADOS_FORMAS'!$GS55="comprimento",INDEX('DADOS_FORMAS'!$GP$2:$GP$6,MIN(5,'DADOS_FORMAS'!$GW55+5)),'DADOS_FORMAS'!$GT55)))&amp;'DADOS_FORMAS'!$GV55))</f>
        <v/>
      </c>
      <c r="HM58">
        <f>'DADOS_FORMAS'!$BL19</f>
        <v/>
      </c>
      <c r="HN58">
        <f>IF('DADOS_FORMAS'!$BL19="area",'DADOS_FORMAS'!$AU19,'DADOS_FORMAS'!$AT19)</f>
        <v/>
      </c>
      <c r="HO58">
        <f>IF('DADOS_FORMAS'!$BL19="area",'DADOS_FORMAS'!$BF19,'DADOS_FORMAS'!$AY19)</f>
        <v/>
      </c>
      <c r="HP58">
        <f>'DADOS_FORMAS'!$BM19</f>
        <v/>
      </c>
      <c r="HQ58">
        <f>'DADOS_FORMAS'!$BN19</f>
        <v/>
      </c>
      <c r="HR58">
        <f>LET(base,'DADOS_FORMAS'!$HO58,escada,'DADOS_FORMAS'!$HN58,medida,LEFT(base,MAX(0,LEN(base)-2)),valor,IFERROR(VALUE(SUBSTITUTE(medida,",",""))/10^IFERROR(LEN(medida)-FIND(",",medida),0),1E99),IF(OR(escada="Fixo",base="—"),base,IF(escada="alcance",IFERROR(MATCH(base,{"1,5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8">
        <f>'DADOS_FORMAS'!$AH16&amp;" · classe 0"</f>
        <v/>
      </c>
      <c r="HU58">
        <f>LET(trecho,IF(OR('DADOS_FORMAS'!$AH16="",'DADOS_FORMAS'!$HM34="",'DADOS_FORMAS'!$HO34=""),"",IF('DADOS_FORMAS'!$HO34="—","—",'DADOS_FORMAS'!$HP34&amp;'DADOS_FORMAS'!$HO34&amp;SUBSTITUTE('DADOS_FORMAS'!$HQ34,"em você","nela"))),UPPER(LEFT(trecho,1))&amp;MID(trecho,2,LEN(trecho)))</f>
        <v/>
      </c>
      <c r="HV58">
        <f>LET(trecho,IF(OR('DADOS_FORMAS'!$AH16="",'DADOS_FORMAS'!$HM34="",'DADOS_FORMAS'!$HO34=""),"",IF('DADOS_FORMAS'!$HO34="—","—",'DADOS_FORMAS'!$HP34&amp;IF('DADOS_FORMAS'!$HN34="alcance",INDEX('DADOS_FORMAS'!$GL$2:$GL$7,MIN(6,'DADOS_FORMAS'!$HR34+1)),IF('DADOS_FORMAS'!$HN34="raio",INDEX('DADOS_FORMAS'!$GN$2:$GN$6,MIN(5,'DADOS_FORMAS'!$HR34+1)),IF('DADOS_FORMAS'!$HN34="comprimento",INDEX('DADOS_FORMAS'!$GP$2:$GP$6,MIN(5,'DADOS_FORMAS'!$HR34+1)),'DADOS_FORMAS'!$HO34)))&amp;SUBSTITUTE('DADOS_FORMAS'!$HQ34,"em você","nela"))),UPPER(LEFT(trecho,1))&amp;MID(trecho,2,LEN(trecho)))</f>
        <v/>
      </c>
      <c r="HW58">
        <f>LET(trecho,IF(OR('DADOS_FORMAS'!$AH16="",'DADOS_FORMAS'!$HM34="",'DADOS_FORMAS'!$HO34=""),"",IF('DADOS_FORMAS'!$HO34="—","—",'DADOS_FORMAS'!$HP34&amp;IF('DADOS_FORMAS'!$HN34="alcance",INDEX('DADOS_FORMAS'!$GL$2:$GL$7,MIN(6,'DADOS_FORMAS'!$HR34+2)),IF('DADOS_FORMAS'!$HN34="raio",INDEX('DADOS_FORMAS'!$GN$2:$GN$6,MIN(5,'DADOS_FORMAS'!$HR34+2)),IF('DADOS_FORMAS'!$HN34="comprimento",INDEX('DADOS_FORMAS'!$GP$2:$GP$6,MIN(5,'DADOS_FORMAS'!$HR34+2)),'DADOS_FORMAS'!$HO34)))&amp;SUBSTITUTE('DADOS_FORMAS'!$HQ34,"em você","nela"))),UPPER(LEFT(trecho,1))&amp;MID(trecho,2,LEN(trecho)))</f>
        <v/>
      </c>
      <c r="HX58">
        <f>LET(trecho,IF(OR('DADOS_FORMAS'!$AH16="",'DADOS_FORMAS'!$HM34="",'DADOS_FORMAS'!$HO34=""),"",IF('DADOS_FORMAS'!$HO34="—","—",'DADOS_FORMAS'!$HP34&amp;IF('DADOS_FORMAS'!$HN34="alcance",INDEX('DADOS_FORMAS'!$GL$2:$GL$7,MIN(6,'DADOS_FORMAS'!$HR34+3)),IF('DADOS_FORMAS'!$HN34="raio",INDEX('DADOS_FORMAS'!$GN$2:$GN$6,MIN(5,'DADOS_FORMAS'!$HR34+3)),IF('DADOS_FORMAS'!$HN34="comprimento",INDEX('DADOS_FORMAS'!$GP$2:$GP$6,MIN(5,'DADOS_FORMAS'!$HR34+3)),'DADOS_FORMAS'!$HO34)))&amp;SUBSTITUTE('DADOS_FORMAS'!$HQ34,"em você","nela"))),UPPER(LEFT(trecho,1))&amp;MID(trecho,2,LEN(trecho)))</f>
        <v/>
      </c>
      <c r="HY58">
        <f>LET(trecho,IF(OR('DADOS_FORMAS'!$AH16="",'DADOS_FORMAS'!$HM34="",'DADOS_FORMAS'!$HO34=""),"",IF('DADOS_FORMAS'!$HO34="—","—",'DADOS_FORMAS'!$HP34&amp;IF('DADOS_FORMAS'!$HN34="alcance",INDEX('DADOS_FORMAS'!$GL$2:$GL$7,MIN(6,'DADOS_FORMAS'!$HR34+4)),IF('DADOS_FORMAS'!$HN34="raio",INDEX('DADOS_FORMAS'!$GN$2:$GN$6,MIN(5,'DADOS_FORMAS'!$HR34+4)),IF('DADOS_FORMAS'!$HN34="comprimento",INDEX('DADOS_FORMAS'!$GP$2:$GP$6,MIN(5,'DADOS_FORMAS'!$HR34+4)),'DADOS_FORMAS'!$HO34)))&amp;SUBSTITUTE('DADOS_FORMAS'!$HQ34,"em você","nela"))),UPPER(LEFT(trecho,1))&amp;MID(trecho,2,LEN(trecho)))</f>
        <v/>
      </c>
      <c r="HZ58">
        <f>LET(trecho,IF(OR('DADOS_FORMAS'!$AH16="",'DADOS_FORMAS'!$HM34="",'DADOS_FORMAS'!$HO34=""),"",IF('DADOS_FORMAS'!$HO34="—","—",'DADOS_FORMAS'!$HP34&amp;IF('DADOS_FORMAS'!$HN34="alcance",INDEX('DADOS_FORMAS'!$GL$2:$GL$7,MIN(6,'DADOS_FORMAS'!$HR34+5)),IF('DADOS_FORMAS'!$HN34="raio",INDEX('DADOS_FORMAS'!$GN$2:$GN$6,MIN(5,'DADOS_FORMAS'!$HR34+5)),IF('DADOS_FORMAS'!$HN34="comprimento",INDEX('DADOS_FORMAS'!$GP$2:$GP$6,MIN(5,'DADOS_FORMAS'!$HR34+5)),'DADOS_FORMAS'!$HO34)))&amp;SUBSTITUTE('DADOS_FORMAS'!$HQ34,"em você","nela"))),UPPER(LEFT(trecho,1))&amp;MID(trecho,2,LEN(trecho)))</f>
        <v/>
      </c>
      <c r="IA58">
        <f>IF(OR('DADOS_FORMAS'!$AH16="",'DADOS_FORMAS'!$HM35="",'DADOS_FORMAS'!$HO35=""),"",IF('DADOS_FORMAS'!$HO35="—","—",'DADOS_FORMAS'!$HP35&amp;'DADOS_FORMAS'!$HO35&amp;SUBSTITUTE('DADOS_FORMAS'!$HQ35,"em você","nela")))</f>
        <v/>
      </c>
      <c r="IB58">
        <f>IF(OR('DADOS_FORMAS'!$AH16="",'DADOS_FORMAS'!$HM35="",'DADOS_FORMAS'!$HO35=""),"",IF('DADOS_FORMAS'!$HO35="—","—",'DADOS_FORMAS'!$HP35&amp;IF('DADOS_FORMAS'!$HN35="alcance",INDEX('DADOS_FORMAS'!$GL$2:$GL$7,MIN(6,'DADOS_FORMAS'!$HR35+1)),IF('DADOS_FORMAS'!$HN35="raio",INDEX('DADOS_FORMAS'!$GN$2:$GN$6,MIN(5,'DADOS_FORMAS'!$HR35+1)),IF('DADOS_FORMAS'!$HN35="comprimento",INDEX('DADOS_FORMAS'!$GP$2:$GP$6,MIN(5,'DADOS_FORMAS'!$HR35+1)),'DADOS_FORMAS'!$HO35)))&amp;SUBSTITUTE('DADOS_FORMAS'!$HQ35,"em você","nela")))</f>
        <v/>
      </c>
      <c r="IC58">
        <f>IF(OR('DADOS_FORMAS'!$AH16="",'DADOS_FORMAS'!$HM35="",'DADOS_FORMAS'!$HO35=""),"",IF('DADOS_FORMAS'!$HO35="—","—",'DADOS_FORMAS'!$HP35&amp;IF('DADOS_FORMAS'!$HN35="alcance",INDEX('DADOS_FORMAS'!$GL$2:$GL$7,MIN(6,'DADOS_FORMAS'!$HR35+2)),IF('DADOS_FORMAS'!$HN35="raio",INDEX('DADOS_FORMAS'!$GN$2:$GN$6,MIN(5,'DADOS_FORMAS'!$HR35+2)),IF('DADOS_FORMAS'!$HN35="comprimento",INDEX('DADOS_FORMAS'!$GP$2:$GP$6,MIN(5,'DADOS_FORMAS'!$HR35+2)),'DADOS_FORMAS'!$HO35)))&amp;SUBSTITUTE('DADOS_FORMAS'!$HQ35,"em você","nela")))</f>
        <v/>
      </c>
      <c r="ID58">
        <f>IF(OR('DADOS_FORMAS'!$AH16="",'DADOS_FORMAS'!$HM35="",'DADOS_FORMAS'!$HO35=""),"",IF('DADOS_FORMAS'!$HO35="—","—",'DADOS_FORMAS'!$HP35&amp;IF('DADOS_FORMAS'!$HN35="alcance",INDEX('DADOS_FORMAS'!$GL$2:$GL$7,MIN(6,'DADOS_FORMAS'!$HR35+3)),IF('DADOS_FORMAS'!$HN35="raio",INDEX('DADOS_FORMAS'!$GN$2:$GN$6,MIN(5,'DADOS_FORMAS'!$HR35+3)),IF('DADOS_FORMAS'!$HN35="comprimento",INDEX('DADOS_FORMAS'!$GP$2:$GP$6,MIN(5,'DADOS_FORMAS'!$HR35+3)),'DADOS_FORMAS'!$HO35)))&amp;SUBSTITUTE('DADOS_FORMAS'!$HQ35,"em você","nela")))</f>
        <v/>
      </c>
      <c r="IE58">
        <f>IF(OR('DADOS_FORMAS'!$AH16="",'DADOS_FORMAS'!$HM35="",'DADOS_FORMAS'!$HO35=""),"",IF('DADOS_FORMAS'!$HO35="—","—",'DADOS_FORMAS'!$HP35&amp;IF('DADOS_FORMAS'!$HN35="alcance",INDEX('DADOS_FORMAS'!$GL$2:$GL$7,MIN(6,'DADOS_FORMAS'!$HR35+4)),IF('DADOS_FORMAS'!$HN35="raio",INDEX('DADOS_FORMAS'!$GN$2:$GN$6,MIN(5,'DADOS_FORMAS'!$HR35+4)),IF('DADOS_FORMAS'!$HN35="comprimento",INDEX('DADOS_FORMAS'!$GP$2:$GP$6,MIN(5,'DADOS_FORMAS'!$HR35+4)),'DADOS_FORMAS'!$HO35)))&amp;SUBSTITUTE('DADOS_FORMAS'!$HQ35,"em você","nela")))</f>
        <v/>
      </c>
      <c r="IF58">
        <f>IF(OR('DADOS_FORMAS'!$AH16="",'DADOS_FORMAS'!$HM35="",'DADOS_FORMAS'!$HO35=""),"",IF('DADOS_FORMAS'!$HO35="—","—",'DADOS_FORMAS'!$HP35&amp;IF('DADOS_FORMAS'!$HN35="alcance",INDEX('DADOS_FORMAS'!$GL$2:$GL$7,MIN(6,'DADOS_FORMAS'!$HR35+5)),IF('DADOS_FORMAS'!$HN35="raio",INDEX('DADOS_FORMAS'!$GN$2:$GN$6,MIN(5,'DADOS_FORMAS'!$HR35+5)),IF('DADOS_FORMAS'!$HN35="comprimento",INDEX('DADOS_FORMAS'!$GP$2:$GP$6,MIN(5,'DADOS_FORMAS'!$HR35+5)),'DADOS_FORMAS'!$HO35)))&amp;SUBSTITUTE('DADOS_FORMAS'!$HQ35,"em você","nela")))</f>
        <v/>
      </c>
    </row>
    <row r="59">
      <c r="GR59">
        <f>'DADOS_FORMAS'!$BP21</f>
        <v/>
      </c>
      <c r="GS59">
        <f>IF('DADOS_FORMAS'!$BP21="area",'DADOS_FORMAS'!$AU21,'DADOS_FORMAS'!$AT21)</f>
        <v/>
      </c>
      <c r="GT59">
        <f>IF('DADOS_FORMAS'!$BP21="area",'DADOS_FORMAS'!$BD21,'DADOS_FORMAS'!$AW21)</f>
        <v/>
      </c>
      <c r="GU59">
        <f>'DADOS_FORMAS'!$BQ21</f>
        <v/>
      </c>
      <c r="GV59">
        <f>'DADOS_FORMAS'!$BR21</f>
        <v/>
      </c>
      <c r="GW59">
        <f>LET(base,'DADOS_FORMAS'!$GT59,escada,'DADOS_FORMAS'!$GS59,medida,LEFT(base,MAX(0,LEN(base)-2)),valor,IFERROR(VALUE(SUBSTITUTE(medida,",",""))/10^IFERROR(LEN(medida)-FIND(",",medida),0),1E99),IF(OR(escada="Fixo",base="—"),base,IF(escada="alcance",IFERROR(MATCH(base,{"1,5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59">
        <f>'DADOS_FORMAS'!$AH21&amp;" · classe 0"</f>
        <v/>
      </c>
      <c r="GZ59">
        <f>LET(trecho,IF(OR('DADOS_FORMAS'!$AH21="",'DADOS_FORMAS'!$GR56="",'DADOS_FORMAS'!$GT56=""),"",IF('DADOS_FORMAS'!$GT56="—","—",'DADOS_FORMAS'!$GU56&amp;'DADOS_FORMAS'!$GT56&amp;'DADOS_FORMAS'!$GV56)),UPPER(LEFT(trecho,1))&amp;MID(trecho,2,LEN(trecho)))</f>
        <v/>
      </c>
      <c r="HA59">
        <f>LET(trecho,IF(OR('DADOS_FORMAS'!$AH21="",'DADOS_FORMAS'!$GR56="",'DADOS_FORMAS'!$GT56=""),"",IF('DADOS_FORMAS'!$GT56="—","—",'DADOS_FORMAS'!$GU56&amp;IF('DADOS_FORMAS'!$GS56="alcance",INDEX('DADOS_FORMAS'!$GL$2:$GL$7,MIN(6,'DADOS_FORMAS'!$GW56+1)),IF('DADOS_FORMAS'!$GS56="raio",INDEX('DADOS_FORMAS'!$GN$2:$GN$6,MIN(5,'DADOS_FORMAS'!$GW56+1)),IF('DADOS_FORMAS'!$GS56="comprimento",INDEX('DADOS_FORMAS'!$GP$2:$GP$6,MIN(5,'DADOS_FORMAS'!$GW56+1)),'DADOS_FORMAS'!$GT56)))&amp;'DADOS_FORMAS'!$GV56)),UPPER(LEFT(trecho,1))&amp;MID(trecho,2,LEN(trecho)))</f>
        <v/>
      </c>
      <c r="HB59">
        <f>LET(trecho,IF(OR('DADOS_FORMAS'!$AH21="",'DADOS_FORMAS'!$GR56="",'DADOS_FORMAS'!$GT56=""),"",IF('DADOS_FORMAS'!$GT56="—","—",'DADOS_FORMAS'!$GU56&amp;IF('DADOS_FORMAS'!$GS56="alcance",INDEX('DADOS_FORMAS'!$GL$2:$GL$7,MIN(6,'DADOS_FORMAS'!$GW56+2)),IF('DADOS_FORMAS'!$GS56="raio",INDEX('DADOS_FORMAS'!$GN$2:$GN$6,MIN(5,'DADOS_FORMAS'!$GW56+2)),IF('DADOS_FORMAS'!$GS56="comprimento",INDEX('DADOS_FORMAS'!$GP$2:$GP$6,MIN(5,'DADOS_FORMAS'!$GW56+2)),'DADOS_FORMAS'!$GT56)))&amp;'DADOS_FORMAS'!$GV56)),UPPER(LEFT(trecho,1))&amp;MID(trecho,2,LEN(trecho)))</f>
        <v/>
      </c>
      <c r="HC59">
        <f>LET(trecho,IF(OR('DADOS_FORMAS'!$AH21="",'DADOS_FORMAS'!$GR56="",'DADOS_FORMAS'!$GT56=""),"",IF('DADOS_FORMAS'!$GT56="—","—",'DADOS_FORMAS'!$GU56&amp;IF('DADOS_FORMAS'!$GS56="alcance",INDEX('DADOS_FORMAS'!$GL$2:$GL$7,MIN(6,'DADOS_FORMAS'!$GW56+3)),IF('DADOS_FORMAS'!$GS56="raio",INDEX('DADOS_FORMAS'!$GN$2:$GN$6,MIN(5,'DADOS_FORMAS'!$GW56+3)),IF('DADOS_FORMAS'!$GS56="comprimento",INDEX('DADOS_FORMAS'!$GP$2:$GP$6,MIN(5,'DADOS_FORMAS'!$GW56+3)),'DADOS_FORMAS'!$GT56)))&amp;'DADOS_FORMAS'!$GV56)),UPPER(LEFT(trecho,1))&amp;MID(trecho,2,LEN(trecho)))</f>
        <v/>
      </c>
      <c r="HD59">
        <f>LET(trecho,IF(OR('DADOS_FORMAS'!$AH21="",'DADOS_FORMAS'!$GR56="",'DADOS_FORMAS'!$GT56=""),"",IF('DADOS_FORMAS'!$GT56="—","—",'DADOS_FORMAS'!$GU56&amp;IF('DADOS_FORMAS'!$GS56="alcance",INDEX('DADOS_FORMAS'!$GL$2:$GL$7,MIN(6,'DADOS_FORMAS'!$GW56+4)),IF('DADOS_FORMAS'!$GS56="raio",INDEX('DADOS_FORMAS'!$GN$2:$GN$6,MIN(5,'DADOS_FORMAS'!$GW56+4)),IF('DADOS_FORMAS'!$GS56="comprimento",INDEX('DADOS_FORMAS'!$GP$2:$GP$6,MIN(5,'DADOS_FORMAS'!$GW56+4)),'DADOS_FORMAS'!$GT56)))&amp;'DADOS_FORMAS'!$GV56)),UPPER(LEFT(trecho,1))&amp;MID(trecho,2,LEN(trecho)))</f>
        <v/>
      </c>
      <c r="HE59">
        <f>LET(trecho,IF(OR('DADOS_FORMAS'!$AH21="",'DADOS_FORMAS'!$GR56="",'DADOS_FORMAS'!$GT56=""),"",IF('DADOS_FORMAS'!$GT56="—","—",'DADOS_FORMAS'!$GU56&amp;IF('DADOS_FORMAS'!$GS56="alcance",INDEX('DADOS_FORMAS'!$GL$2:$GL$7,MIN(6,'DADOS_FORMAS'!$GW56+5)),IF('DADOS_FORMAS'!$GS56="raio",INDEX('DADOS_FORMAS'!$GN$2:$GN$6,MIN(5,'DADOS_FORMAS'!$GW56+5)),IF('DADOS_FORMAS'!$GS56="comprimento",INDEX('DADOS_FORMAS'!$GP$2:$GP$6,MIN(5,'DADOS_FORMAS'!$GW56+5)),'DADOS_FORMAS'!$GT56)))&amp;'DADOS_FORMAS'!$GV56)),UPPER(LEFT(trecho,1))&amp;MID(trecho,2,LEN(trecho)))</f>
        <v/>
      </c>
      <c r="HF59">
        <f>IF(OR('DADOS_FORMAS'!$AH21="",'DADOS_FORMAS'!$GR57="",'DADOS_FORMAS'!$GT57=""),"",IF('DADOS_FORMAS'!$GT57="—","—",'DADOS_FORMAS'!$GU57&amp;'DADOS_FORMAS'!$GT57&amp;'DADOS_FORMAS'!$GV57))</f>
        <v/>
      </c>
      <c r="HG59">
        <f>IF(OR('DADOS_FORMAS'!$AH21="",'DADOS_FORMAS'!$GR57="",'DADOS_FORMAS'!$GT57=""),"",IF('DADOS_FORMAS'!$GT57="—","—",'DADOS_FORMAS'!$GU57&amp;IF('DADOS_FORMAS'!$GS57="alcance",INDEX('DADOS_FORMAS'!$GL$2:$GL$7,MIN(6,'DADOS_FORMAS'!$GW57+1)),IF('DADOS_FORMAS'!$GS57="raio",INDEX('DADOS_FORMAS'!$GN$2:$GN$6,MIN(5,'DADOS_FORMAS'!$GW57+1)),IF('DADOS_FORMAS'!$GS57="comprimento",INDEX('DADOS_FORMAS'!$GP$2:$GP$6,MIN(5,'DADOS_FORMAS'!$GW57+1)),'DADOS_FORMAS'!$GT57)))&amp;'DADOS_FORMAS'!$GV57))</f>
        <v/>
      </c>
      <c r="HH59">
        <f>IF(OR('DADOS_FORMAS'!$AH21="",'DADOS_FORMAS'!$GR57="",'DADOS_FORMAS'!$GT57=""),"",IF('DADOS_FORMAS'!$GT57="—","—",'DADOS_FORMAS'!$GU57&amp;IF('DADOS_FORMAS'!$GS57="alcance",INDEX('DADOS_FORMAS'!$GL$2:$GL$7,MIN(6,'DADOS_FORMAS'!$GW57+2)),IF('DADOS_FORMAS'!$GS57="raio",INDEX('DADOS_FORMAS'!$GN$2:$GN$6,MIN(5,'DADOS_FORMAS'!$GW57+2)),IF('DADOS_FORMAS'!$GS57="comprimento",INDEX('DADOS_FORMAS'!$GP$2:$GP$6,MIN(5,'DADOS_FORMAS'!$GW57+2)),'DADOS_FORMAS'!$GT57)))&amp;'DADOS_FORMAS'!$GV57))</f>
        <v/>
      </c>
      <c r="HI59">
        <f>IF(OR('DADOS_FORMAS'!$AH21="",'DADOS_FORMAS'!$GR57="",'DADOS_FORMAS'!$GT57=""),"",IF('DADOS_FORMAS'!$GT57="—","—",'DADOS_FORMAS'!$GU57&amp;IF('DADOS_FORMAS'!$GS57="alcance",INDEX('DADOS_FORMAS'!$GL$2:$GL$7,MIN(6,'DADOS_FORMAS'!$GW57+3)),IF('DADOS_FORMAS'!$GS57="raio",INDEX('DADOS_FORMAS'!$GN$2:$GN$6,MIN(5,'DADOS_FORMAS'!$GW57+3)),IF('DADOS_FORMAS'!$GS57="comprimento",INDEX('DADOS_FORMAS'!$GP$2:$GP$6,MIN(5,'DADOS_FORMAS'!$GW57+3)),'DADOS_FORMAS'!$GT57)))&amp;'DADOS_FORMAS'!$GV57))</f>
        <v/>
      </c>
      <c r="HJ59">
        <f>IF(OR('DADOS_FORMAS'!$AH21="",'DADOS_FORMAS'!$GR57="",'DADOS_FORMAS'!$GT57=""),"",IF('DADOS_FORMAS'!$GT57="—","—",'DADOS_FORMAS'!$GU57&amp;IF('DADOS_FORMAS'!$GS57="alcance",INDEX('DADOS_FORMAS'!$GL$2:$GL$7,MIN(6,'DADOS_FORMAS'!$GW57+4)),IF('DADOS_FORMAS'!$GS57="raio",INDEX('DADOS_FORMAS'!$GN$2:$GN$6,MIN(5,'DADOS_FORMAS'!$GW57+4)),IF('DADOS_FORMAS'!$GS57="comprimento",INDEX('DADOS_FORMAS'!$GP$2:$GP$6,MIN(5,'DADOS_FORMAS'!$GW57+4)),'DADOS_FORMAS'!$GT57)))&amp;'DADOS_FORMAS'!$GV57))</f>
        <v/>
      </c>
      <c r="HK59">
        <f>IF(OR('DADOS_FORMAS'!$AH21="",'DADOS_FORMAS'!$GR57="",'DADOS_FORMAS'!$GT57=""),"",IF('DADOS_FORMAS'!$GT57="—","—",'DADOS_FORMAS'!$GU57&amp;IF('DADOS_FORMAS'!$GS57="alcance",INDEX('DADOS_FORMAS'!$GL$2:$GL$7,MIN(6,'DADOS_FORMAS'!$GW57+5)),IF('DADOS_FORMAS'!$GS57="raio",INDEX('DADOS_FORMAS'!$GN$2:$GN$6,MIN(5,'DADOS_FORMAS'!$GW57+5)),IF('DADOS_FORMAS'!$GS57="comprimento",INDEX('DADOS_FORMAS'!$GP$2:$GP$6,MIN(5,'DADOS_FORMAS'!$GW57+5)),'DADOS_FORMAS'!$GT57)))&amp;'DADOS_FORMAS'!$GV57))</f>
        <v/>
      </c>
      <c r="HM59">
        <f>'DADOS_FORMAS'!$BP19</f>
        <v/>
      </c>
      <c r="HN59">
        <f>IF('DADOS_FORMAS'!$BP19="area",'DADOS_FORMAS'!$AU19,'DADOS_FORMAS'!$AT19)</f>
        <v/>
      </c>
      <c r="HO59">
        <f>IF('DADOS_FORMAS'!$BP19="area",'DADOS_FORMAS'!$BF19,'DADOS_FORMAS'!$AY19)</f>
        <v/>
      </c>
      <c r="HP59">
        <f>'DADOS_FORMAS'!$BQ19</f>
        <v/>
      </c>
      <c r="HQ59">
        <f>'DADOS_FORMAS'!$BR19</f>
        <v/>
      </c>
      <c r="HR59">
        <f>LET(base,'DADOS_FORMAS'!$HO59,escada,'DADOS_FORMAS'!$HN59,medida,LEFT(base,MAX(0,LEN(base)-2)),valor,IFERROR(VALUE(SUBSTITUTE(medida,",",""))/10^IFERROR(LEN(medida)-FIND(",",medida),0),1E99),IF(OR(escada="Fixo",base="—"),base,IF(escada="alcance",IFERROR(MATCH(base,{"1,5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59">
        <f>'DADOS_FORMAS'!$AH16&amp;" · classes 1 a 5"</f>
        <v/>
      </c>
      <c r="HU59">
        <f>LET(trecho,IF(OR('DADOS_FORMAS'!$AH16="",'DADOS_FORMAS'!$HM36="",'DADOS_FORMAS'!$HO36=""),"",IF('DADOS_FORMAS'!$HO36="—","—",'DADOS_FORMAS'!$HP36&amp;'DADOS_FORMAS'!$HO36&amp;SUBSTITUTE('DADOS_FORMAS'!$HQ36,"em você","nela"))),UPPER(LEFT(trecho,1))&amp;MID(trecho,2,LEN(trecho)))</f>
        <v/>
      </c>
      <c r="HV59">
        <f>LET(trecho,IF(OR('DADOS_FORMAS'!$AH16="",'DADOS_FORMAS'!$HM36="",'DADOS_FORMAS'!$HO36=""),"",IF('DADOS_FORMAS'!$HO36="—","—",'DADOS_FORMAS'!$HP36&amp;IF('DADOS_FORMAS'!$HN36="alcance",INDEX('DADOS_FORMAS'!$GL$2:$GL$7,MIN(6,'DADOS_FORMAS'!$HR36+1)),IF('DADOS_FORMAS'!$HN36="raio",INDEX('DADOS_FORMAS'!$GN$2:$GN$6,MIN(5,'DADOS_FORMAS'!$HR36+1)),IF('DADOS_FORMAS'!$HN36="comprimento",INDEX('DADOS_FORMAS'!$GP$2:$GP$6,MIN(5,'DADOS_FORMAS'!$HR36+1)),'DADOS_FORMAS'!$HO36)))&amp;SUBSTITUTE('DADOS_FORMAS'!$HQ36,"em você","nela"))),UPPER(LEFT(trecho,1))&amp;MID(trecho,2,LEN(trecho)))</f>
        <v/>
      </c>
      <c r="HW59">
        <f>LET(trecho,IF(OR('DADOS_FORMAS'!$AH16="",'DADOS_FORMAS'!$HM36="",'DADOS_FORMAS'!$HO36=""),"",IF('DADOS_FORMAS'!$HO36="—","—",'DADOS_FORMAS'!$HP36&amp;IF('DADOS_FORMAS'!$HN36="alcance",INDEX('DADOS_FORMAS'!$GL$2:$GL$7,MIN(6,'DADOS_FORMAS'!$HR36+2)),IF('DADOS_FORMAS'!$HN36="raio",INDEX('DADOS_FORMAS'!$GN$2:$GN$6,MIN(5,'DADOS_FORMAS'!$HR36+2)),IF('DADOS_FORMAS'!$HN36="comprimento",INDEX('DADOS_FORMAS'!$GP$2:$GP$6,MIN(5,'DADOS_FORMAS'!$HR36+2)),'DADOS_FORMAS'!$HO36)))&amp;SUBSTITUTE('DADOS_FORMAS'!$HQ36,"em você","nela"))),UPPER(LEFT(trecho,1))&amp;MID(trecho,2,LEN(trecho)))</f>
        <v/>
      </c>
      <c r="HX59">
        <f>LET(trecho,IF(OR('DADOS_FORMAS'!$AH16="",'DADOS_FORMAS'!$HM36="",'DADOS_FORMAS'!$HO36=""),"",IF('DADOS_FORMAS'!$HO36="—","—",'DADOS_FORMAS'!$HP36&amp;IF('DADOS_FORMAS'!$HN36="alcance",INDEX('DADOS_FORMAS'!$GL$2:$GL$7,MIN(6,'DADOS_FORMAS'!$HR36+3)),IF('DADOS_FORMAS'!$HN36="raio",INDEX('DADOS_FORMAS'!$GN$2:$GN$6,MIN(5,'DADOS_FORMAS'!$HR36+3)),IF('DADOS_FORMAS'!$HN36="comprimento",INDEX('DADOS_FORMAS'!$GP$2:$GP$6,MIN(5,'DADOS_FORMAS'!$HR36+3)),'DADOS_FORMAS'!$HO36)))&amp;SUBSTITUTE('DADOS_FORMAS'!$HQ36,"em você","nela"))),UPPER(LEFT(trecho,1))&amp;MID(trecho,2,LEN(trecho)))</f>
        <v/>
      </c>
      <c r="HY59">
        <f>LET(trecho,IF(OR('DADOS_FORMAS'!$AH16="",'DADOS_FORMAS'!$HM36="",'DADOS_FORMAS'!$HO36=""),"",IF('DADOS_FORMAS'!$HO36="—","—",'DADOS_FORMAS'!$HP36&amp;IF('DADOS_FORMAS'!$HN36="alcance",INDEX('DADOS_FORMAS'!$GL$2:$GL$7,MIN(6,'DADOS_FORMAS'!$HR36+4)),IF('DADOS_FORMAS'!$HN36="raio",INDEX('DADOS_FORMAS'!$GN$2:$GN$6,MIN(5,'DADOS_FORMAS'!$HR36+4)),IF('DADOS_FORMAS'!$HN36="comprimento",INDEX('DADOS_FORMAS'!$GP$2:$GP$6,MIN(5,'DADOS_FORMAS'!$HR36+4)),'DADOS_FORMAS'!$HO36)))&amp;SUBSTITUTE('DADOS_FORMAS'!$HQ36,"em você","nela"))),UPPER(LEFT(trecho,1))&amp;MID(trecho,2,LEN(trecho)))</f>
        <v/>
      </c>
      <c r="HZ59">
        <f>LET(trecho,IF(OR('DADOS_FORMAS'!$AH16="",'DADOS_FORMAS'!$HM36="",'DADOS_FORMAS'!$HO36=""),"",IF('DADOS_FORMAS'!$HO36="—","—",'DADOS_FORMAS'!$HP36&amp;IF('DADOS_FORMAS'!$HN36="alcance",INDEX('DADOS_FORMAS'!$GL$2:$GL$7,MIN(6,'DADOS_FORMAS'!$HR36+5)),IF('DADOS_FORMAS'!$HN36="raio",INDEX('DADOS_FORMAS'!$GN$2:$GN$6,MIN(5,'DADOS_FORMAS'!$HR36+5)),IF('DADOS_FORMAS'!$HN36="comprimento",INDEX('DADOS_FORMAS'!$GP$2:$GP$6,MIN(5,'DADOS_FORMAS'!$HR36+5)),'DADOS_FORMAS'!$HO36)))&amp;SUBSTITUTE('DADOS_FORMAS'!$HQ36,"em você","nela"))),UPPER(LEFT(trecho,1))&amp;MID(trecho,2,LEN(trecho)))</f>
        <v/>
      </c>
      <c r="IA59">
        <f>IF(OR('DADOS_FORMAS'!$AH16="",'DADOS_FORMAS'!$HM37="",'DADOS_FORMAS'!$HO37=""),"",IF('DADOS_FORMAS'!$HO37="—","—",'DADOS_FORMAS'!$HP37&amp;'DADOS_FORMAS'!$HO37&amp;SUBSTITUTE('DADOS_FORMAS'!$HQ37,"em você","nela")))</f>
        <v/>
      </c>
      <c r="IB59">
        <f>IF(OR('DADOS_FORMAS'!$AH16="",'DADOS_FORMAS'!$HM37="",'DADOS_FORMAS'!$HO37=""),"",IF('DADOS_FORMAS'!$HO37="—","—",'DADOS_FORMAS'!$HP37&amp;IF('DADOS_FORMAS'!$HN37="alcance",INDEX('DADOS_FORMAS'!$GL$2:$GL$7,MIN(6,'DADOS_FORMAS'!$HR37+1)),IF('DADOS_FORMAS'!$HN37="raio",INDEX('DADOS_FORMAS'!$GN$2:$GN$6,MIN(5,'DADOS_FORMAS'!$HR37+1)),IF('DADOS_FORMAS'!$HN37="comprimento",INDEX('DADOS_FORMAS'!$GP$2:$GP$6,MIN(5,'DADOS_FORMAS'!$HR37+1)),'DADOS_FORMAS'!$HO37)))&amp;SUBSTITUTE('DADOS_FORMAS'!$HQ37,"em você","nela")))</f>
        <v/>
      </c>
      <c r="IC59">
        <f>IF(OR('DADOS_FORMAS'!$AH16="",'DADOS_FORMAS'!$HM37="",'DADOS_FORMAS'!$HO37=""),"",IF('DADOS_FORMAS'!$HO37="—","—",'DADOS_FORMAS'!$HP37&amp;IF('DADOS_FORMAS'!$HN37="alcance",INDEX('DADOS_FORMAS'!$GL$2:$GL$7,MIN(6,'DADOS_FORMAS'!$HR37+2)),IF('DADOS_FORMAS'!$HN37="raio",INDEX('DADOS_FORMAS'!$GN$2:$GN$6,MIN(5,'DADOS_FORMAS'!$HR37+2)),IF('DADOS_FORMAS'!$HN37="comprimento",INDEX('DADOS_FORMAS'!$GP$2:$GP$6,MIN(5,'DADOS_FORMAS'!$HR37+2)),'DADOS_FORMAS'!$HO37)))&amp;SUBSTITUTE('DADOS_FORMAS'!$HQ37,"em você","nela")))</f>
        <v/>
      </c>
      <c r="ID59">
        <f>IF(OR('DADOS_FORMAS'!$AH16="",'DADOS_FORMAS'!$HM37="",'DADOS_FORMAS'!$HO37=""),"",IF('DADOS_FORMAS'!$HO37="—","—",'DADOS_FORMAS'!$HP37&amp;IF('DADOS_FORMAS'!$HN37="alcance",INDEX('DADOS_FORMAS'!$GL$2:$GL$7,MIN(6,'DADOS_FORMAS'!$HR37+3)),IF('DADOS_FORMAS'!$HN37="raio",INDEX('DADOS_FORMAS'!$GN$2:$GN$6,MIN(5,'DADOS_FORMAS'!$HR37+3)),IF('DADOS_FORMAS'!$HN37="comprimento",INDEX('DADOS_FORMAS'!$GP$2:$GP$6,MIN(5,'DADOS_FORMAS'!$HR37+3)),'DADOS_FORMAS'!$HO37)))&amp;SUBSTITUTE('DADOS_FORMAS'!$HQ37,"em você","nela")))</f>
        <v/>
      </c>
      <c r="IE59">
        <f>IF(OR('DADOS_FORMAS'!$AH16="",'DADOS_FORMAS'!$HM37="",'DADOS_FORMAS'!$HO37=""),"",IF('DADOS_FORMAS'!$HO37="—","—",'DADOS_FORMAS'!$HP37&amp;IF('DADOS_FORMAS'!$HN37="alcance",INDEX('DADOS_FORMAS'!$GL$2:$GL$7,MIN(6,'DADOS_FORMAS'!$HR37+4)),IF('DADOS_FORMAS'!$HN37="raio",INDEX('DADOS_FORMAS'!$GN$2:$GN$6,MIN(5,'DADOS_FORMAS'!$HR37+4)),IF('DADOS_FORMAS'!$HN37="comprimento",INDEX('DADOS_FORMAS'!$GP$2:$GP$6,MIN(5,'DADOS_FORMAS'!$HR37+4)),'DADOS_FORMAS'!$HO37)))&amp;SUBSTITUTE('DADOS_FORMAS'!$HQ37,"em você","nela")))</f>
        <v/>
      </c>
      <c r="IF59">
        <f>IF(OR('DADOS_FORMAS'!$AH16="",'DADOS_FORMAS'!$HM37="",'DADOS_FORMAS'!$HO37=""),"",IF('DADOS_FORMAS'!$HO37="—","—",'DADOS_FORMAS'!$HP37&amp;IF('DADOS_FORMAS'!$HN37="alcance",INDEX('DADOS_FORMAS'!$GL$2:$GL$7,MIN(6,'DADOS_FORMAS'!$HR37+5)),IF('DADOS_FORMAS'!$HN37="raio",INDEX('DADOS_FORMAS'!$GN$2:$GN$6,MIN(5,'DADOS_FORMAS'!$HR37+5)),IF('DADOS_FORMAS'!$HN37="comprimento",INDEX('DADOS_FORMAS'!$GP$2:$GP$6,MIN(5,'DADOS_FORMAS'!$HR37+5)),'DADOS_FORMAS'!$HO37)))&amp;SUBSTITUTE('DADOS_FORMAS'!$HQ37,"em você","nela")))</f>
        <v/>
      </c>
    </row>
    <row r="60">
      <c r="GR60">
        <f>'DADOS_FORMAS'!$BL21</f>
        <v/>
      </c>
      <c r="GS60">
        <f>IF('DADOS_FORMAS'!$BL21="area",'DADOS_FORMAS'!$AU21,'DADOS_FORMAS'!$AT21)</f>
        <v/>
      </c>
      <c r="GT60">
        <f>IF('DADOS_FORMAS'!$BL21="area",'DADOS_FORMAS'!$BE21,'DADOS_FORMAS'!$AX21)</f>
        <v/>
      </c>
      <c r="GU60">
        <f>'DADOS_FORMAS'!$BM21</f>
        <v/>
      </c>
      <c r="GV60">
        <f>'DADOS_FORMAS'!$BN21</f>
        <v/>
      </c>
      <c r="GW60">
        <f>LET(base,'DADOS_FORMAS'!$GT60,escada,'DADOS_FORMAS'!$GS60,medida,LEFT(base,MAX(0,LEN(base)-2)),valor,IFERROR(VALUE(SUBSTITUTE(medida,",",""))/10^IFERROR(LEN(medida)-FIND(",",medida),0),1E99),IF(OR(escada="Fixo",base="—"),base,IF(escada="alcance",IFERROR(MATCH(base,{"1,5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60">
        <f>'DADOS_FORMAS'!$AH21&amp;" · classes 1 a 5"</f>
        <v/>
      </c>
      <c r="GZ60">
        <f>LET(trecho,IF(OR('DADOS_FORMAS'!$AH21="",'DADOS_FORMAS'!$GR58="",'DADOS_FORMAS'!$GT58=""),"",IF('DADOS_FORMAS'!$GT58="—","—",'DADOS_FORMAS'!$GU58&amp;'DADOS_FORMAS'!$GT58&amp;'DADOS_FORMAS'!$GV58)),UPPER(LEFT(trecho,1))&amp;MID(trecho,2,LEN(trecho)))</f>
        <v/>
      </c>
      <c r="HA60">
        <f>LET(trecho,IF(OR('DADOS_FORMAS'!$AH21="",'DADOS_FORMAS'!$GR58="",'DADOS_FORMAS'!$GT58=""),"",IF('DADOS_FORMAS'!$GT58="—","—",'DADOS_FORMAS'!$GU58&amp;IF('DADOS_FORMAS'!$GS58="alcance",INDEX('DADOS_FORMAS'!$GL$2:$GL$7,MIN(6,'DADOS_FORMAS'!$GW58+1)),IF('DADOS_FORMAS'!$GS58="raio",INDEX('DADOS_FORMAS'!$GN$2:$GN$6,MIN(5,'DADOS_FORMAS'!$GW58+1)),IF('DADOS_FORMAS'!$GS58="comprimento",INDEX('DADOS_FORMAS'!$GP$2:$GP$6,MIN(5,'DADOS_FORMAS'!$GW58+1)),'DADOS_FORMAS'!$GT58)))&amp;'DADOS_FORMAS'!$GV58)),UPPER(LEFT(trecho,1))&amp;MID(trecho,2,LEN(trecho)))</f>
        <v/>
      </c>
      <c r="HB60">
        <f>LET(trecho,IF(OR('DADOS_FORMAS'!$AH21="",'DADOS_FORMAS'!$GR58="",'DADOS_FORMAS'!$GT58=""),"",IF('DADOS_FORMAS'!$GT58="—","—",'DADOS_FORMAS'!$GU58&amp;IF('DADOS_FORMAS'!$GS58="alcance",INDEX('DADOS_FORMAS'!$GL$2:$GL$7,MIN(6,'DADOS_FORMAS'!$GW58+2)),IF('DADOS_FORMAS'!$GS58="raio",INDEX('DADOS_FORMAS'!$GN$2:$GN$6,MIN(5,'DADOS_FORMAS'!$GW58+2)),IF('DADOS_FORMAS'!$GS58="comprimento",INDEX('DADOS_FORMAS'!$GP$2:$GP$6,MIN(5,'DADOS_FORMAS'!$GW58+2)),'DADOS_FORMAS'!$GT58)))&amp;'DADOS_FORMAS'!$GV58)),UPPER(LEFT(trecho,1))&amp;MID(trecho,2,LEN(trecho)))</f>
        <v/>
      </c>
      <c r="HC60">
        <f>LET(trecho,IF(OR('DADOS_FORMAS'!$AH21="",'DADOS_FORMAS'!$GR58="",'DADOS_FORMAS'!$GT58=""),"",IF('DADOS_FORMAS'!$GT58="—","—",'DADOS_FORMAS'!$GU58&amp;IF('DADOS_FORMAS'!$GS58="alcance",INDEX('DADOS_FORMAS'!$GL$2:$GL$7,MIN(6,'DADOS_FORMAS'!$GW58+3)),IF('DADOS_FORMAS'!$GS58="raio",INDEX('DADOS_FORMAS'!$GN$2:$GN$6,MIN(5,'DADOS_FORMAS'!$GW58+3)),IF('DADOS_FORMAS'!$GS58="comprimento",INDEX('DADOS_FORMAS'!$GP$2:$GP$6,MIN(5,'DADOS_FORMAS'!$GW58+3)),'DADOS_FORMAS'!$GT58)))&amp;'DADOS_FORMAS'!$GV58)),UPPER(LEFT(trecho,1))&amp;MID(trecho,2,LEN(trecho)))</f>
        <v/>
      </c>
      <c r="HD60">
        <f>LET(trecho,IF(OR('DADOS_FORMAS'!$AH21="",'DADOS_FORMAS'!$GR58="",'DADOS_FORMAS'!$GT58=""),"",IF('DADOS_FORMAS'!$GT58="—","—",'DADOS_FORMAS'!$GU58&amp;IF('DADOS_FORMAS'!$GS58="alcance",INDEX('DADOS_FORMAS'!$GL$2:$GL$7,MIN(6,'DADOS_FORMAS'!$GW58+4)),IF('DADOS_FORMAS'!$GS58="raio",INDEX('DADOS_FORMAS'!$GN$2:$GN$6,MIN(5,'DADOS_FORMAS'!$GW58+4)),IF('DADOS_FORMAS'!$GS58="comprimento",INDEX('DADOS_FORMAS'!$GP$2:$GP$6,MIN(5,'DADOS_FORMAS'!$GW58+4)),'DADOS_FORMAS'!$GT58)))&amp;'DADOS_FORMAS'!$GV58)),UPPER(LEFT(trecho,1))&amp;MID(trecho,2,LEN(trecho)))</f>
        <v/>
      </c>
      <c r="HE60">
        <f>LET(trecho,IF(OR('DADOS_FORMAS'!$AH21="",'DADOS_FORMAS'!$GR58="",'DADOS_FORMAS'!$GT58=""),"",IF('DADOS_FORMAS'!$GT58="—","—",'DADOS_FORMAS'!$GU58&amp;IF('DADOS_FORMAS'!$GS58="alcance",INDEX('DADOS_FORMAS'!$GL$2:$GL$7,MIN(6,'DADOS_FORMAS'!$GW58+5)),IF('DADOS_FORMAS'!$GS58="raio",INDEX('DADOS_FORMAS'!$GN$2:$GN$6,MIN(5,'DADOS_FORMAS'!$GW58+5)),IF('DADOS_FORMAS'!$GS58="comprimento",INDEX('DADOS_FORMAS'!$GP$2:$GP$6,MIN(5,'DADOS_FORMAS'!$GW58+5)),'DADOS_FORMAS'!$GT58)))&amp;'DADOS_FORMAS'!$GV58)),UPPER(LEFT(trecho,1))&amp;MID(trecho,2,LEN(trecho)))</f>
        <v/>
      </c>
      <c r="HF60">
        <f>IF(OR('DADOS_FORMAS'!$AH21="",'DADOS_FORMAS'!$GR59="",'DADOS_FORMAS'!$GT59=""),"",IF('DADOS_FORMAS'!$GT59="—","—",'DADOS_FORMAS'!$GU59&amp;'DADOS_FORMAS'!$GT59&amp;'DADOS_FORMAS'!$GV59))</f>
        <v/>
      </c>
      <c r="HG60">
        <f>IF(OR('DADOS_FORMAS'!$AH21="",'DADOS_FORMAS'!$GR59="",'DADOS_FORMAS'!$GT59=""),"",IF('DADOS_FORMAS'!$GT59="—","—",'DADOS_FORMAS'!$GU59&amp;IF('DADOS_FORMAS'!$GS59="alcance",INDEX('DADOS_FORMAS'!$GL$2:$GL$7,MIN(6,'DADOS_FORMAS'!$GW59+1)),IF('DADOS_FORMAS'!$GS59="raio",INDEX('DADOS_FORMAS'!$GN$2:$GN$6,MIN(5,'DADOS_FORMAS'!$GW59+1)),IF('DADOS_FORMAS'!$GS59="comprimento",INDEX('DADOS_FORMAS'!$GP$2:$GP$6,MIN(5,'DADOS_FORMAS'!$GW59+1)),'DADOS_FORMAS'!$GT59)))&amp;'DADOS_FORMAS'!$GV59))</f>
        <v/>
      </c>
      <c r="HH60">
        <f>IF(OR('DADOS_FORMAS'!$AH21="",'DADOS_FORMAS'!$GR59="",'DADOS_FORMAS'!$GT59=""),"",IF('DADOS_FORMAS'!$GT59="—","—",'DADOS_FORMAS'!$GU59&amp;IF('DADOS_FORMAS'!$GS59="alcance",INDEX('DADOS_FORMAS'!$GL$2:$GL$7,MIN(6,'DADOS_FORMAS'!$GW59+2)),IF('DADOS_FORMAS'!$GS59="raio",INDEX('DADOS_FORMAS'!$GN$2:$GN$6,MIN(5,'DADOS_FORMAS'!$GW59+2)),IF('DADOS_FORMAS'!$GS59="comprimento",INDEX('DADOS_FORMAS'!$GP$2:$GP$6,MIN(5,'DADOS_FORMAS'!$GW59+2)),'DADOS_FORMAS'!$GT59)))&amp;'DADOS_FORMAS'!$GV59))</f>
        <v/>
      </c>
      <c r="HI60">
        <f>IF(OR('DADOS_FORMAS'!$AH21="",'DADOS_FORMAS'!$GR59="",'DADOS_FORMAS'!$GT59=""),"",IF('DADOS_FORMAS'!$GT59="—","—",'DADOS_FORMAS'!$GU59&amp;IF('DADOS_FORMAS'!$GS59="alcance",INDEX('DADOS_FORMAS'!$GL$2:$GL$7,MIN(6,'DADOS_FORMAS'!$GW59+3)),IF('DADOS_FORMAS'!$GS59="raio",INDEX('DADOS_FORMAS'!$GN$2:$GN$6,MIN(5,'DADOS_FORMAS'!$GW59+3)),IF('DADOS_FORMAS'!$GS59="comprimento",INDEX('DADOS_FORMAS'!$GP$2:$GP$6,MIN(5,'DADOS_FORMAS'!$GW59+3)),'DADOS_FORMAS'!$GT59)))&amp;'DADOS_FORMAS'!$GV59))</f>
        <v/>
      </c>
      <c r="HJ60">
        <f>IF(OR('DADOS_FORMAS'!$AH21="",'DADOS_FORMAS'!$GR59="",'DADOS_FORMAS'!$GT59=""),"",IF('DADOS_FORMAS'!$GT59="—","—",'DADOS_FORMAS'!$GU59&amp;IF('DADOS_FORMAS'!$GS59="alcance",INDEX('DADOS_FORMAS'!$GL$2:$GL$7,MIN(6,'DADOS_FORMAS'!$GW59+4)),IF('DADOS_FORMAS'!$GS59="raio",INDEX('DADOS_FORMAS'!$GN$2:$GN$6,MIN(5,'DADOS_FORMAS'!$GW59+4)),IF('DADOS_FORMAS'!$GS59="comprimento",INDEX('DADOS_FORMAS'!$GP$2:$GP$6,MIN(5,'DADOS_FORMAS'!$GW59+4)),'DADOS_FORMAS'!$GT59)))&amp;'DADOS_FORMAS'!$GV59))</f>
        <v/>
      </c>
      <c r="HK60">
        <f>IF(OR('DADOS_FORMAS'!$AH21="",'DADOS_FORMAS'!$GR59="",'DADOS_FORMAS'!$GT59=""),"",IF('DADOS_FORMAS'!$GT59="—","—",'DADOS_FORMAS'!$GU59&amp;IF('DADOS_FORMAS'!$GS59="alcance",INDEX('DADOS_FORMAS'!$GL$2:$GL$7,MIN(6,'DADOS_FORMAS'!$GW59+5)),IF('DADOS_FORMAS'!$GS59="raio",INDEX('DADOS_FORMAS'!$GN$2:$GN$6,MIN(5,'DADOS_FORMAS'!$GW59+5)),IF('DADOS_FORMAS'!$GS59="comprimento",INDEX('DADOS_FORMAS'!$GP$2:$GP$6,MIN(5,'DADOS_FORMAS'!$GW59+5)),'DADOS_FORMAS'!$GT59)))&amp;'DADOS_FORMAS'!$GV59))</f>
        <v/>
      </c>
      <c r="HM60">
        <f>'DADOS_FORMAS'!$BL19</f>
        <v/>
      </c>
      <c r="HN60">
        <f>IF('DADOS_FORMAS'!$BL19="area",'DADOS_FORMAS'!$AU19,'DADOS_FORMAS'!$AT19)</f>
        <v/>
      </c>
      <c r="HO60">
        <f>IF('DADOS_FORMAS'!$BL19="area",'DADOS_FORMAS'!$BG19,'DADOS_FORMAS'!$AZ19)</f>
        <v/>
      </c>
      <c r="HP60">
        <f>'DADOS_FORMAS'!$BM19</f>
        <v/>
      </c>
      <c r="HQ60">
        <f>'DADOS_FORMAS'!$BN19</f>
        <v/>
      </c>
      <c r="HR60">
        <f>LET(base,'DADOS_FORMAS'!$HO60,escada,'DADOS_FORMAS'!$HN60,medida,LEFT(base,MAX(0,LEN(base)-2)),valor,IFERROR(VALUE(SUBSTITUTE(medida,",",""))/10^IFERROR(LEN(medida)-FIND(",",medida),0),1E99),IF(OR(escada="Fixo",base="—"),base,IF(escada="alcance",IFERROR(MATCH(base,{"1,5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0">
        <f>'DADOS_FORMAS'!$AH16&amp;" · classe 6"</f>
        <v/>
      </c>
      <c r="HU60">
        <f>LET(trecho,IF(OR('DADOS_FORMAS'!$AH16="",'DADOS_FORMAS'!$HM38="",'DADOS_FORMAS'!$HO38=""),"",IF('DADOS_FORMAS'!$HO38="—","—",'DADOS_FORMAS'!$HP38&amp;'DADOS_FORMAS'!$HO38&amp;SUBSTITUTE('DADOS_FORMAS'!$HQ38,"em você","nela"))),UPPER(LEFT(trecho,1))&amp;MID(trecho,2,LEN(trecho)))</f>
        <v/>
      </c>
      <c r="HV60">
        <f>LET(trecho,IF(OR('DADOS_FORMAS'!$AH16="",'DADOS_FORMAS'!$HM38="",'DADOS_FORMAS'!$HO38=""),"",IF('DADOS_FORMAS'!$HO38="—","—",'DADOS_FORMAS'!$HP38&amp;IF('DADOS_FORMAS'!$HN38="alcance",INDEX('DADOS_FORMAS'!$GL$2:$GL$7,MIN(6,'DADOS_FORMAS'!$HR38+1)),IF('DADOS_FORMAS'!$HN38="raio",INDEX('DADOS_FORMAS'!$GN$2:$GN$6,MIN(5,'DADOS_FORMAS'!$HR38+1)),IF('DADOS_FORMAS'!$HN38="comprimento",INDEX('DADOS_FORMAS'!$GP$2:$GP$6,MIN(5,'DADOS_FORMAS'!$HR38+1)),'DADOS_FORMAS'!$HO38)))&amp;SUBSTITUTE('DADOS_FORMAS'!$HQ38,"em você","nela"))),UPPER(LEFT(trecho,1))&amp;MID(trecho,2,LEN(trecho)))</f>
        <v/>
      </c>
      <c r="HW60">
        <f>LET(trecho,IF(OR('DADOS_FORMAS'!$AH16="",'DADOS_FORMAS'!$HM38="",'DADOS_FORMAS'!$HO38=""),"",IF('DADOS_FORMAS'!$HO38="—","—",'DADOS_FORMAS'!$HP38&amp;IF('DADOS_FORMAS'!$HN38="alcance",INDEX('DADOS_FORMAS'!$GL$2:$GL$7,MIN(6,'DADOS_FORMAS'!$HR38+2)),IF('DADOS_FORMAS'!$HN38="raio",INDEX('DADOS_FORMAS'!$GN$2:$GN$6,MIN(5,'DADOS_FORMAS'!$HR38+2)),IF('DADOS_FORMAS'!$HN38="comprimento",INDEX('DADOS_FORMAS'!$GP$2:$GP$6,MIN(5,'DADOS_FORMAS'!$HR38+2)),'DADOS_FORMAS'!$HO38)))&amp;SUBSTITUTE('DADOS_FORMAS'!$HQ38,"em você","nela"))),UPPER(LEFT(trecho,1))&amp;MID(trecho,2,LEN(trecho)))</f>
        <v/>
      </c>
      <c r="HX60">
        <f>LET(trecho,IF(OR('DADOS_FORMAS'!$AH16="",'DADOS_FORMAS'!$HM38="",'DADOS_FORMAS'!$HO38=""),"",IF('DADOS_FORMAS'!$HO38="—","—",'DADOS_FORMAS'!$HP38&amp;IF('DADOS_FORMAS'!$HN38="alcance",INDEX('DADOS_FORMAS'!$GL$2:$GL$7,MIN(6,'DADOS_FORMAS'!$HR38+3)),IF('DADOS_FORMAS'!$HN38="raio",INDEX('DADOS_FORMAS'!$GN$2:$GN$6,MIN(5,'DADOS_FORMAS'!$HR38+3)),IF('DADOS_FORMAS'!$HN38="comprimento",INDEX('DADOS_FORMAS'!$GP$2:$GP$6,MIN(5,'DADOS_FORMAS'!$HR38+3)),'DADOS_FORMAS'!$HO38)))&amp;SUBSTITUTE('DADOS_FORMAS'!$HQ38,"em você","nela"))),UPPER(LEFT(trecho,1))&amp;MID(trecho,2,LEN(trecho)))</f>
        <v/>
      </c>
      <c r="HY60">
        <f>LET(trecho,IF(OR('DADOS_FORMAS'!$AH16="",'DADOS_FORMAS'!$HM38="",'DADOS_FORMAS'!$HO38=""),"",IF('DADOS_FORMAS'!$HO38="—","—",'DADOS_FORMAS'!$HP38&amp;IF('DADOS_FORMAS'!$HN38="alcance",INDEX('DADOS_FORMAS'!$GL$2:$GL$7,MIN(6,'DADOS_FORMAS'!$HR38+4)),IF('DADOS_FORMAS'!$HN38="raio",INDEX('DADOS_FORMAS'!$GN$2:$GN$6,MIN(5,'DADOS_FORMAS'!$HR38+4)),IF('DADOS_FORMAS'!$HN38="comprimento",INDEX('DADOS_FORMAS'!$GP$2:$GP$6,MIN(5,'DADOS_FORMAS'!$HR38+4)),'DADOS_FORMAS'!$HO38)))&amp;SUBSTITUTE('DADOS_FORMAS'!$HQ38,"em você","nela"))),UPPER(LEFT(trecho,1))&amp;MID(trecho,2,LEN(trecho)))</f>
        <v/>
      </c>
      <c r="HZ60">
        <f>LET(trecho,IF(OR('DADOS_FORMAS'!$AH16="",'DADOS_FORMAS'!$HM38="",'DADOS_FORMAS'!$HO38=""),"",IF('DADOS_FORMAS'!$HO38="—","—",'DADOS_FORMAS'!$HP38&amp;IF('DADOS_FORMAS'!$HN38="alcance",INDEX('DADOS_FORMAS'!$GL$2:$GL$7,MIN(6,'DADOS_FORMAS'!$HR38+5)),IF('DADOS_FORMAS'!$HN38="raio",INDEX('DADOS_FORMAS'!$GN$2:$GN$6,MIN(5,'DADOS_FORMAS'!$HR38+5)),IF('DADOS_FORMAS'!$HN38="comprimento",INDEX('DADOS_FORMAS'!$GP$2:$GP$6,MIN(5,'DADOS_FORMAS'!$HR38+5)),'DADOS_FORMAS'!$HO38)))&amp;SUBSTITUTE('DADOS_FORMAS'!$HQ38,"em você","nela"))),UPPER(LEFT(trecho,1))&amp;MID(trecho,2,LEN(trecho)))</f>
        <v/>
      </c>
      <c r="IA60">
        <f>IF(OR('DADOS_FORMAS'!$AH16="",'DADOS_FORMAS'!$HM39="",'DADOS_FORMAS'!$HO39=""),"",IF('DADOS_FORMAS'!$HO39="—","—",'DADOS_FORMAS'!$HP39&amp;'DADOS_FORMAS'!$HO39&amp;SUBSTITUTE('DADOS_FORMAS'!$HQ39,"em você","nela")))</f>
        <v/>
      </c>
      <c r="IB60">
        <f>IF(OR('DADOS_FORMAS'!$AH16="",'DADOS_FORMAS'!$HM39="",'DADOS_FORMAS'!$HO39=""),"",IF('DADOS_FORMAS'!$HO39="—","—",'DADOS_FORMAS'!$HP39&amp;IF('DADOS_FORMAS'!$HN39="alcance",INDEX('DADOS_FORMAS'!$GL$2:$GL$7,MIN(6,'DADOS_FORMAS'!$HR39+1)),IF('DADOS_FORMAS'!$HN39="raio",INDEX('DADOS_FORMAS'!$GN$2:$GN$6,MIN(5,'DADOS_FORMAS'!$HR39+1)),IF('DADOS_FORMAS'!$HN39="comprimento",INDEX('DADOS_FORMAS'!$GP$2:$GP$6,MIN(5,'DADOS_FORMAS'!$HR39+1)),'DADOS_FORMAS'!$HO39)))&amp;SUBSTITUTE('DADOS_FORMAS'!$HQ39,"em você","nela")))</f>
        <v/>
      </c>
      <c r="IC60">
        <f>IF(OR('DADOS_FORMAS'!$AH16="",'DADOS_FORMAS'!$HM39="",'DADOS_FORMAS'!$HO39=""),"",IF('DADOS_FORMAS'!$HO39="—","—",'DADOS_FORMAS'!$HP39&amp;IF('DADOS_FORMAS'!$HN39="alcance",INDEX('DADOS_FORMAS'!$GL$2:$GL$7,MIN(6,'DADOS_FORMAS'!$HR39+2)),IF('DADOS_FORMAS'!$HN39="raio",INDEX('DADOS_FORMAS'!$GN$2:$GN$6,MIN(5,'DADOS_FORMAS'!$HR39+2)),IF('DADOS_FORMAS'!$HN39="comprimento",INDEX('DADOS_FORMAS'!$GP$2:$GP$6,MIN(5,'DADOS_FORMAS'!$HR39+2)),'DADOS_FORMAS'!$HO39)))&amp;SUBSTITUTE('DADOS_FORMAS'!$HQ39,"em você","nela")))</f>
        <v/>
      </c>
      <c r="ID60">
        <f>IF(OR('DADOS_FORMAS'!$AH16="",'DADOS_FORMAS'!$HM39="",'DADOS_FORMAS'!$HO39=""),"",IF('DADOS_FORMAS'!$HO39="—","—",'DADOS_FORMAS'!$HP39&amp;IF('DADOS_FORMAS'!$HN39="alcance",INDEX('DADOS_FORMAS'!$GL$2:$GL$7,MIN(6,'DADOS_FORMAS'!$HR39+3)),IF('DADOS_FORMAS'!$HN39="raio",INDEX('DADOS_FORMAS'!$GN$2:$GN$6,MIN(5,'DADOS_FORMAS'!$HR39+3)),IF('DADOS_FORMAS'!$HN39="comprimento",INDEX('DADOS_FORMAS'!$GP$2:$GP$6,MIN(5,'DADOS_FORMAS'!$HR39+3)),'DADOS_FORMAS'!$HO39)))&amp;SUBSTITUTE('DADOS_FORMAS'!$HQ39,"em você","nela")))</f>
        <v/>
      </c>
      <c r="IE60">
        <f>IF(OR('DADOS_FORMAS'!$AH16="",'DADOS_FORMAS'!$HM39="",'DADOS_FORMAS'!$HO39=""),"",IF('DADOS_FORMAS'!$HO39="—","—",'DADOS_FORMAS'!$HP39&amp;IF('DADOS_FORMAS'!$HN39="alcance",INDEX('DADOS_FORMAS'!$GL$2:$GL$7,MIN(6,'DADOS_FORMAS'!$HR39+4)),IF('DADOS_FORMAS'!$HN39="raio",INDEX('DADOS_FORMAS'!$GN$2:$GN$6,MIN(5,'DADOS_FORMAS'!$HR39+4)),IF('DADOS_FORMAS'!$HN39="comprimento",INDEX('DADOS_FORMAS'!$GP$2:$GP$6,MIN(5,'DADOS_FORMAS'!$HR39+4)),'DADOS_FORMAS'!$HO39)))&amp;SUBSTITUTE('DADOS_FORMAS'!$HQ39,"em você","nela")))</f>
        <v/>
      </c>
      <c r="IF60">
        <f>IF(OR('DADOS_FORMAS'!$AH16="",'DADOS_FORMAS'!$HM39="",'DADOS_FORMAS'!$HO39=""),"",IF('DADOS_FORMAS'!$HO39="—","—",'DADOS_FORMAS'!$HP39&amp;IF('DADOS_FORMAS'!$HN39="alcance",INDEX('DADOS_FORMAS'!$GL$2:$GL$7,MIN(6,'DADOS_FORMAS'!$HR39+5)),IF('DADOS_FORMAS'!$HN39="raio",INDEX('DADOS_FORMAS'!$GN$2:$GN$6,MIN(5,'DADOS_FORMAS'!$HR39+5)),IF('DADOS_FORMAS'!$HN39="comprimento",INDEX('DADOS_FORMAS'!$GP$2:$GP$6,MIN(5,'DADOS_FORMAS'!$HR39+5)),'DADOS_FORMAS'!$HO39)))&amp;SUBSTITUTE('DADOS_FORMAS'!$HQ39,"em você","nela")))</f>
        <v/>
      </c>
    </row>
    <row r="61">
      <c r="GR61">
        <f>'DADOS_FORMAS'!$BP21</f>
        <v/>
      </c>
      <c r="GS61">
        <f>IF('DADOS_FORMAS'!$BP21="area",'DADOS_FORMAS'!$AU21,'DADOS_FORMAS'!$AT21)</f>
        <v/>
      </c>
      <c r="GT61">
        <f>IF('DADOS_FORMAS'!$BP21="area",'DADOS_FORMAS'!$BE21,'DADOS_FORMAS'!$AX21)</f>
        <v/>
      </c>
      <c r="GU61">
        <f>'DADOS_FORMAS'!$BQ21</f>
        <v/>
      </c>
      <c r="GV61">
        <f>'DADOS_FORMAS'!$BR21</f>
        <v/>
      </c>
      <c r="GW61">
        <f>LET(base,'DADOS_FORMAS'!$GT61,escada,'DADOS_FORMAS'!$GS61,medida,LEFT(base,MAX(0,LEN(base)-2)),valor,IFERROR(VALUE(SUBSTITUTE(medida,",",""))/10^IFERROR(LEN(medida)-FIND(",",medida),0),1E99),IF(OR(escada="Fixo",base="—"),base,IF(escada="alcance",IFERROR(MATCH(base,{"1,5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GY61">
        <f>'DADOS_FORMAS'!$AH21&amp;" · classes 6 e 7"</f>
        <v/>
      </c>
      <c r="GZ61">
        <f>LET(trecho,IF(OR('DADOS_FORMAS'!$AH21="",'DADOS_FORMAS'!$GR60="",'DADOS_FORMAS'!$GT60=""),"",IF('DADOS_FORMAS'!$GT60="—","—",'DADOS_FORMAS'!$GU60&amp;'DADOS_FORMAS'!$GT60&amp;'DADOS_FORMAS'!$GV60)),UPPER(LEFT(trecho,1))&amp;MID(trecho,2,LEN(trecho)))</f>
        <v/>
      </c>
      <c r="HA61">
        <f>LET(trecho,IF(OR('DADOS_FORMAS'!$AH21="",'DADOS_FORMAS'!$GR60="",'DADOS_FORMAS'!$GT60=""),"",IF('DADOS_FORMAS'!$GT60="—","—",'DADOS_FORMAS'!$GU60&amp;IF('DADOS_FORMAS'!$GS60="alcance",INDEX('DADOS_FORMAS'!$GL$2:$GL$7,MIN(6,'DADOS_FORMAS'!$GW60+1)),IF('DADOS_FORMAS'!$GS60="raio",INDEX('DADOS_FORMAS'!$GN$2:$GN$6,MIN(5,'DADOS_FORMAS'!$GW60+1)),IF('DADOS_FORMAS'!$GS60="comprimento",INDEX('DADOS_FORMAS'!$GP$2:$GP$6,MIN(5,'DADOS_FORMAS'!$GW60+1)),'DADOS_FORMAS'!$GT60)))&amp;'DADOS_FORMAS'!$GV60)),UPPER(LEFT(trecho,1))&amp;MID(trecho,2,LEN(trecho)))</f>
        <v/>
      </c>
      <c r="HB61">
        <f>LET(trecho,IF(OR('DADOS_FORMAS'!$AH21="",'DADOS_FORMAS'!$GR60="",'DADOS_FORMAS'!$GT60=""),"",IF('DADOS_FORMAS'!$GT60="—","—",'DADOS_FORMAS'!$GU60&amp;IF('DADOS_FORMAS'!$GS60="alcance",INDEX('DADOS_FORMAS'!$GL$2:$GL$7,MIN(6,'DADOS_FORMAS'!$GW60+2)),IF('DADOS_FORMAS'!$GS60="raio",INDEX('DADOS_FORMAS'!$GN$2:$GN$6,MIN(5,'DADOS_FORMAS'!$GW60+2)),IF('DADOS_FORMAS'!$GS60="comprimento",INDEX('DADOS_FORMAS'!$GP$2:$GP$6,MIN(5,'DADOS_FORMAS'!$GW60+2)),'DADOS_FORMAS'!$GT60)))&amp;'DADOS_FORMAS'!$GV60)),UPPER(LEFT(trecho,1))&amp;MID(trecho,2,LEN(trecho)))</f>
        <v/>
      </c>
      <c r="HC61">
        <f>LET(trecho,IF(OR('DADOS_FORMAS'!$AH21="",'DADOS_FORMAS'!$GR60="",'DADOS_FORMAS'!$GT60=""),"",IF('DADOS_FORMAS'!$GT60="—","—",'DADOS_FORMAS'!$GU60&amp;IF('DADOS_FORMAS'!$GS60="alcance",INDEX('DADOS_FORMAS'!$GL$2:$GL$7,MIN(6,'DADOS_FORMAS'!$GW60+3)),IF('DADOS_FORMAS'!$GS60="raio",INDEX('DADOS_FORMAS'!$GN$2:$GN$6,MIN(5,'DADOS_FORMAS'!$GW60+3)),IF('DADOS_FORMAS'!$GS60="comprimento",INDEX('DADOS_FORMAS'!$GP$2:$GP$6,MIN(5,'DADOS_FORMAS'!$GW60+3)),'DADOS_FORMAS'!$GT60)))&amp;'DADOS_FORMAS'!$GV60)),UPPER(LEFT(trecho,1))&amp;MID(trecho,2,LEN(trecho)))</f>
        <v/>
      </c>
      <c r="HD61">
        <f>LET(trecho,IF(OR('DADOS_FORMAS'!$AH21="",'DADOS_FORMAS'!$GR60="",'DADOS_FORMAS'!$GT60=""),"",IF('DADOS_FORMAS'!$GT60="—","—",'DADOS_FORMAS'!$GU60&amp;IF('DADOS_FORMAS'!$GS60="alcance",INDEX('DADOS_FORMAS'!$GL$2:$GL$7,MIN(6,'DADOS_FORMAS'!$GW60+4)),IF('DADOS_FORMAS'!$GS60="raio",INDEX('DADOS_FORMAS'!$GN$2:$GN$6,MIN(5,'DADOS_FORMAS'!$GW60+4)),IF('DADOS_FORMAS'!$GS60="comprimento",INDEX('DADOS_FORMAS'!$GP$2:$GP$6,MIN(5,'DADOS_FORMAS'!$GW60+4)),'DADOS_FORMAS'!$GT60)))&amp;'DADOS_FORMAS'!$GV60)),UPPER(LEFT(trecho,1))&amp;MID(trecho,2,LEN(trecho)))</f>
        <v/>
      </c>
      <c r="HE61">
        <f>LET(trecho,IF(OR('DADOS_FORMAS'!$AH21="",'DADOS_FORMAS'!$GR60="",'DADOS_FORMAS'!$GT60=""),"",IF('DADOS_FORMAS'!$GT60="—","—",'DADOS_FORMAS'!$GU60&amp;IF('DADOS_FORMAS'!$GS60="alcance",INDEX('DADOS_FORMAS'!$GL$2:$GL$7,MIN(6,'DADOS_FORMAS'!$GW60+5)),IF('DADOS_FORMAS'!$GS60="raio",INDEX('DADOS_FORMAS'!$GN$2:$GN$6,MIN(5,'DADOS_FORMAS'!$GW60+5)),IF('DADOS_FORMAS'!$GS60="comprimento",INDEX('DADOS_FORMAS'!$GP$2:$GP$6,MIN(5,'DADOS_FORMAS'!$GW60+5)),'DADOS_FORMAS'!$GT60)))&amp;'DADOS_FORMAS'!$GV60)),UPPER(LEFT(trecho,1))&amp;MID(trecho,2,LEN(trecho)))</f>
        <v/>
      </c>
      <c r="HF61">
        <f>IF(OR('DADOS_FORMAS'!$AH21="",'DADOS_FORMAS'!$GR61="",'DADOS_FORMAS'!$GT61=""),"",IF('DADOS_FORMAS'!$GT61="—","—",'DADOS_FORMAS'!$GU61&amp;'DADOS_FORMAS'!$GT61&amp;'DADOS_FORMAS'!$GV61))</f>
        <v/>
      </c>
      <c r="HG61">
        <f>IF(OR('DADOS_FORMAS'!$AH21="",'DADOS_FORMAS'!$GR61="",'DADOS_FORMAS'!$GT61=""),"",IF('DADOS_FORMAS'!$GT61="—","—",'DADOS_FORMAS'!$GU61&amp;IF('DADOS_FORMAS'!$GS61="alcance",INDEX('DADOS_FORMAS'!$GL$2:$GL$7,MIN(6,'DADOS_FORMAS'!$GW61+1)),IF('DADOS_FORMAS'!$GS61="raio",INDEX('DADOS_FORMAS'!$GN$2:$GN$6,MIN(5,'DADOS_FORMAS'!$GW61+1)),IF('DADOS_FORMAS'!$GS61="comprimento",INDEX('DADOS_FORMAS'!$GP$2:$GP$6,MIN(5,'DADOS_FORMAS'!$GW61+1)),'DADOS_FORMAS'!$GT61)))&amp;'DADOS_FORMAS'!$GV61))</f>
        <v/>
      </c>
      <c r="HH61">
        <f>IF(OR('DADOS_FORMAS'!$AH21="",'DADOS_FORMAS'!$GR61="",'DADOS_FORMAS'!$GT61=""),"",IF('DADOS_FORMAS'!$GT61="—","—",'DADOS_FORMAS'!$GU61&amp;IF('DADOS_FORMAS'!$GS61="alcance",INDEX('DADOS_FORMAS'!$GL$2:$GL$7,MIN(6,'DADOS_FORMAS'!$GW61+2)),IF('DADOS_FORMAS'!$GS61="raio",INDEX('DADOS_FORMAS'!$GN$2:$GN$6,MIN(5,'DADOS_FORMAS'!$GW61+2)),IF('DADOS_FORMAS'!$GS61="comprimento",INDEX('DADOS_FORMAS'!$GP$2:$GP$6,MIN(5,'DADOS_FORMAS'!$GW61+2)),'DADOS_FORMAS'!$GT61)))&amp;'DADOS_FORMAS'!$GV61))</f>
        <v/>
      </c>
      <c r="HI61">
        <f>IF(OR('DADOS_FORMAS'!$AH21="",'DADOS_FORMAS'!$GR61="",'DADOS_FORMAS'!$GT61=""),"",IF('DADOS_FORMAS'!$GT61="—","—",'DADOS_FORMAS'!$GU61&amp;IF('DADOS_FORMAS'!$GS61="alcance",INDEX('DADOS_FORMAS'!$GL$2:$GL$7,MIN(6,'DADOS_FORMAS'!$GW61+3)),IF('DADOS_FORMAS'!$GS61="raio",INDEX('DADOS_FORMAS'!$GN$2:$GN$6,MIN(5,'DADOS_FORMAS'!$GW61+3)),IF('DADOS_FORMAS'!$GS61="comprimento",INDEX('DADOS_FORMAS'!$GP$2:$GP$6,MIN(5,'DADOS_FORMAS'!$GW61+3)),'DADOS_FORMAS'!$GT61)))&amp;'DADOS_FORMAS'!$GV61))</f>
        <v/>
      </c>
      <c r="HJ61">
        <f>IF(OR('DADOS_FORMAS'!$AH21="",'DADOS_FORMAS'!$GR61="",'DADOS_FORMAS'!$GT61=""),"",IF('DADOS_FORMAS'!$GT61="—","—",'DADOS_FORMAS'!$GU61&amp;IF('DADOS_FORMAS'!$GS61="alcance",INDEX('DADOS_FORMAS'!$GL$2:$GL$7,MIN(6,'DADOS_FORMAS'!$GW61+4)),IF('DADOS_FORMAS'!$GS61="raio",INDEX('DADOS_FORMAS'!$GN$2:$GN$6,MIN(5,'DADOS_FORMAS'!$GW61+4)),IF('DADOS_FORMAS'!$GS61="comprimento",INDEX('DADOS_FORMAS'!$GP$2:$GP$6,MIN(5,'DADOS_FORMAS'!$GW61+4)),'DADOS_FORMAS'!$GT61)))&amp;'DADOS_FORMAS'!$GV61))</f>
        <v/>
      </c>
      <c r="HK61">
        <f>IF(OR('DADOS_FORMAS'!$AH21="",'DADOS_FORMAS'!$GR61="",'DADOS_FORMAS'!$GT61=""),"",IF('DADOS_FORMAS'!$GT61="—","—",'DADOS_FORMAS'!$GU61&amp;IF('DADOS_FORMAS'!$GS61="alcance",INDEX('DADOS_FORMAS'!$GL$2:$GL$7,MIN(6,'DADOS_FORMAS'!$GW61+5)),IF('DADOS_FORMAS'!$GS61="raio",INDEX('DADOS_FORMAS'!$GN$2:$GN$6,MIN(5,'DADOS_FORMAS'!$GW61+5)),IF('DADOS_FORMAS'!$GS61="comprimento",INDEX('DADOS_FORMAS'!$GP$2:$GP$6,MIN(5,'DADOS_FORMAS'!$GW61+5)),'DADOS_FORMAS'!$GT61)))&amp;'DADOS_FORMAS'!$GV61))</f>
        <v/>
      </c>
      <c r="HM61">
        <f>'DADOS_FORMAS'!$BP19</f>
        <v/>
      </c>
      <c r="HN61">
        <f>IF('DADOS_FORMAS'!$BP19="area",'DADOS_FORMAS'!$AU19,'DADOS_FORMAS'!$AT19)</f>
        <v/>
      </c>
      <c r="HO61">
        <f>IF('DADOS_FORMAS'!$BP19="area",'DADOS_FORMAS'!$BG19,'DADOS_FORMAS'!$AZ19)</f>
        <v/>
      </c>
      <c r="HP61">
        <f>'DADOS_FORMAS'!$BQ19</f>
        <v/>
      </c>
      <c r="HQ61">
        <f>'DADOS_FORMAS'!$BR19</f>
        <v/>
      </c>
      <c r="HR61">
        <f>LET(base,'DADOS_FORMAS'!$HO61,escada,'DADOS_FORMAS'!$HN61,medida,LEFT(base,MAX(0,LEN(base)-2)),valor,IFERROR(VALUE(SUBSTITUTE(medida,",",""))/10^IFERROR(LEN(medida)-FIND(",",medida),0),1E99),IF(OR(escada="Fixo",base="—"),base,IF(escada="alcance",IFERROR(MATCH(base,{"1,5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1">
        <f>'DADOS_FORMAS'!$AH16&amp;" · classe 7"</f>
        <v/>
      </c>
      <c r="HU61">
        <f>LET(trecho,IF(OR('DADOS_FORMAS'!$AH16="",'DADOS_FORMAS'!$HM40="",'DADOS_FORMAS'!$HO40=""),"",IF('DADOS_FORMAS'!$HO40="—","—",'DADOS_FORMAS'!$HP40&amp;'DADOS_FORMAS'!$HO40&amp;SUBSTITUTE('DADOS_FORMAS'!$HQ40,"em você","nela"))),UPPER(LEFT(trecho,1))&amp;MID(trecho,2,LEN(trecho)))</f>
        <v/>
      </c>
      <c r="HV61">
        <f>LET(trecho,IF(OR('DADOS_FORMAS'!$AH16="",'DADOS_FORMAS'!$HM40="",'DADOS_FORMAS'!$HO40=""),"",IF('DADOS_FORMAS'!$HO40="—","—",'DADOS_FORMAS'!$HP40&amp;IF('DADOS_FORMAS'!$HN40="alcance",INDEX('DADOS_FORMAS'!$GL$2:$GL$7,MIN(6,'DADOS_FORMAS'!$HR40+1)),IF('DADOS_FORMAS'!$HN40="raio",INDEX('DADOS_FORMAS'!$GN$2:$GN$6,MIN(5,'DADOS_FORMAS'!$HR40+1)),IF('DADOS_FORMAS'!$HN40="comprimento",INDEX('DADOS_FORMAS'!$GP$2:$GP$6,MIN(5,'DADOS_FORMAS'!$HR40+1)),'DADOS_FORMAS'!$HO40)))&amp;SUBSTITUTE('DADOS_FORMAS'!$HQ40,"em você","nela"))),UPPER(LEFT(trecho,1))&amp;MID(trecho,2,LEN(trecho)))</f>
        <v/>
      </c>
      <c r="HW61">
        <f>LET(trecho,IF(OR('DADOS_FORMAS'!$AH16="",'DADOS_FORMAS'!$HM40="",'DADOS_FORMAS'!$HO40=""),"",IF('DADOS_FORMAS'!$HO40="—","—",'DADOS_FORMAS'!$HP40&amp;IF('DADOS_FORMAS'!$HN40="alcance",INDEX('DADOS_FORMAS'!$GL$2:$GL$7,MIN(6,'DADOS_FORMAS'!$HR40+2)),IF('DADOS_FORMAS'!$HN40="raio",INDEX('DADOS_FORMAS'!$GN$2:$GN$6,MIN(5,'DADOS_FORMAS'!$HR40+2)),IF('DADOS_FORMAS'!$HN40="comprimento",INDEX('DADOS_FORMAS'!$GP$2:$GP$6,MIN(5,'DADOS_FORMAS'!$HR40+2)),'DADOS_FORMAS'!$HO40)))&amp;SUBSTITUTE('DADOS_FORMAS'!$HQ40,"em você","nela"))),UPPER(LEFT(trecho,1))&amp;MID(trecho,2,LEN(trecho)))</f>
        <v/>
      </c>
      <c r="HX61">
        <f>LET(trecho,IF(OR('DADOS_FORMAS'!$AH16="",'DADOS_FORMAS'!$HM40="",'DADOS_FORMAS'!$HO40=""),"",IF('DADOS_FORMAS'!$HO40="—","—",'DADOS_FORMAS'!$HP40&amp;IF('DADOS_FORMAS'!$HN40="alcance",INDEX('DADOS_FORMAS'!$GL$2:$GL$7,MIN(6,'DADOS_FORMAS'!$HR40+3)),IF('DADOS_FORMAS'!$HN40="raio",INDEX('DADOS_FORMAS'!$GN$2:$GN$6,MIN(5,'DADOS_FORMAS'!$HR40+3)),IF('DADOS_FORMAS'!$HN40="comprimento",INDEX('DADOS_FORMAS'!$GP$2:$GP$6,MIN(5,'DADOS_FORMAS'!$HR40+3)),'DADOS_FORMAS'!$HO40)))&amp;SUBSTITUTE('DADOS_FORMAS'!$HQ40,"em você","nela"))),UPPER(LEFT(trecho,1))&amp;MID(trecho,2,LEN(trecho)))</f>
        <v/>
      </c>
      <c r="HY61">
        <f>LET(trecho,IF(OR('DADOS_FORMAS'!$AH16="",'DADOS_FORMAS'!$HM40="",'DADOS_FORMAS'!$HO40=""),"",IF('DADOS_FORMAS'!$HO40="—","—",'DADOS_FORMAS'!$HP40&amp;IF('DADOS_FORMAS'!$HN40="alcance",INDEX('DADOS_FORMAS'!$GL$2:$GL$7,MIN(6,'DADOS_FORMAS'!$HR40+4)),IF('DADOS_FORMAS'!$HN40="raio",INDEX('DADOS_FORMAS'!$GN$2:$GN$6,MIN(5,'DADOS_FORMAS'!$HR40+4)),IF('DADOS_FORMAS'!$HN40="comprimento",INDEX('DADOS_FORMAS'!$GP$2:$GP$6,MIN(5,'DADOS_FORMAS'!$HR40+4)),'DADOS_FORMAS'!$HO40)))&amp;SUBSTITUTE('DADOS_FORMAS'!$HQ40,"em você","nela"))),UPPER(LEFT(trecho,1))&amp;MID(trecho,2,LEN(trecho)))</f>
        <v/>
      </c>
      <c r="HZ61">
        <f>LET(trecho,IF(OR('DADOS_FORMAS'!$AH16="",'DADOS_FORMAS'!$HM40="",'DADOS_FORMAS'!$HO40=""),"",IF('DADOS_FORMAS'!$HO40="—","—",'DADOS_FORMAS'!$HP40&amp;IF('DADOS_FORMAS'!$HN40="alcance",INDEX('DADOS_FORMAS'!$GL$2:$GL$7,MIN(6,'DADOS_FORMAS'!$HR40+5)),IF('DADOS_FORMAS'!$HN40="raio",INDEX('DADOS_FORMAS'!$GN$2:$GN$6,MIN(5,'DADOS_FORMAS'!$HR40+5)),IF('DADOS_FORMAS'!$HN40="comprimento",INDEX('DADOS_FORMAS'!$GP$2:$GP$6,MIN(5,'DADOS_FORMAS'!$HR40+5)),'DADOS_FORMAS'!$HO40)))&amp;SUBSTITUTE('DADOS_FORMAS'!$HQ40,"em você","nela"))),UPPER(LEFT(trecho,1))&amp;MID(trecho,2,LEN(trecho)))</f>
        <v/>
      </c>
      <c r="IA61">
        <f>IF(OR('DADOS_FORMAS'!$AH16="",'DADOS_FORMAS'!$HM41="",'DADOS_FORMAS'!$HO41=""),"",IF('DADOS_FORMAS'!$HO41="—","—",'DADOS_FORMAS'!$HP41&amp;'DADOS_FORMAS'!$HO41&amp;SUBSTITUTE('DADOS_FORMAS'!$HQ41,"em você","nela")))</f>
        <v/>
      </c>
      <c r="IB61">
        <f>IF(OR('DADOS_FORMAS'!$AH16="",'DADOS_FORMAS'!$HM41="",'DADOS_FORMAS'!$HO41=""),"",IF('DADOS_FORMAS'!$HO41="—","—",'DADOS_FORMAS'!$HP41&amp;IF('DADOS_FORMAS'!$HN41="alcance",INDEX('DADOS_FORMAS'!$GL$2:$GL$7,MIN(6,'DADOS_FORMAS'!$HR41+1)),IF('DADOS_FORMAS'!$HN41="raio",INDEX('DADOS_FORMAS'!$GN$2:$GN$6,MIN(5,'DADOS_FORMAS'!$HR41+1)),IF('DADOS_FORMAS'!$HN41="comprimento",INDEX('DADOS_FORMAS'!$GP$2:$GP$6,MIN(5,'DADOS_FORMAS'!$HR41+1)),'DADOS_FORMAS'!$HO41)))&amp;SUBSTITUTE('DADOS_FORMAS'!$HQ41,"em você","nela")))</f>
        <v/>
      </c>
      <c r="IC61">
        <f>IF(OR('DADOS_FORMAS'!$AH16="",'DADOS_FORMAS'!$HM41="",'DADOS_FORMAS'!$HO41=""),"",IF('DADOS_FORMAS'!$HO41="—","—",'DADOS_FORMAS'!$HP41&amp;IF('DADOS_FORMAS'!$HN41="alcance",INDEX('DADOS_FORMAS'!$GL$2:$GL$7,MIN(6,'DADOS_FORMAS'!$HR41+2)),IF('DADOS_FORMAS'!$HN41="raio",INDEX('DADOS_FORMAS'!$GN$2:$GN$6,MIN(5,'DADOS_FORMAS'!$HR41+2)),IF('DADOS_FORMAS'!$HN41="comprimento",INDEX('DADOS_FORMAS'!$GP$2:$GP$6,MIN(5,'DADOS_FORMAS'!$HR41+2)),'DADOS_FORMAS'!$HO41)))&amp;SUBSTITUTE('DADOS_FORMAS'!$HQ41,"em você","nela")))</f>
        <v/>
      </c>
      <c r="ID61">
        <f>IF(OR('DADOS_FORMAS'!$AH16="",'DADOS_FORMAS'!$HM41="",'DADOS_FORMAS'!$HO41=""),"",IF('DADOS_FORMAS'!$HO41="—","—",'DADOS_FORMAS'!$HP41&amp;IF('DADOS_FORMAS'!$HN41="alcance",INDEX('DADOS_FORMAS'!$GL$2:$GL$7,MIN(6,'DADOS_FORMAS'!$HR41+3)),IF('DADOS_FORMAS'!$HN41="raio",INDEX('DADOS_FORMAS'!$GN$2:$GN$6,MIN(5,'DADOS_FORMAS'!$HR41+3)),IF('DADOS_FORMAS'!$HN41="comprimento",INDEX('DADOS_FORMAS'!$GP$2:$GP$6,MIN(5,'DADOS_FORMAS'!$HR41+3)),'DADOS_FORMAS'!$HO41)))&amp;SUBSTITUTE('DADOS_FORMAS'!$HQ41,"em você","nela")))</f>
        <v/>
      </c>
      <c r="IE61">
        <f>IF(OR('DADOS_FORMAS'!$AH16="",'DADOS_FORMAS'!$HM41="",'DADOS_FORMAS'!$HO41=""),"",IF('DADOS_FORMAS'!$HO41="—","—",'DADOS_FORMAS'!$HP41&amp;IF('DADOS_FORMAS'!$HN41="alcance",INDEX('DADOS_FORMAS'!$GL$2:$GL$7,MIN(6,'DADOS_FORMAS'!$HR41+4)),IF('DADOS_FORMAS'!$HN41="raio",INDEX('DADOS_FORMAS'!$GN$2:$GN$6,MIN(5,'DADOS_FORMAS'!$HR41+4)),IF('DADOS_FORMAS'!$HN41="comprimento",INDEX('DADOS_FORMAS'!$GP$2:$GP$6,MIN(5,'DADOS_FORMAS'!$HR41+4)),'DADOS_FORMAS'!$HO41)))&amp;SUBSTITUTE('DADOS_FORMAS'!$HQ41,"em você","nela")))</f>
        <v/>
      </c>
      <c r="IF61">
        <f>IF(OR('DADOS_FORMAS'!$AH16="",'DADOS_FORMAS'!$HM41="",'DADOS_FORMAS'!$HO41=""),"",IF('DADOS_FORMAS'!$HO41="—","—",'DADOS_FORMAS'!$HP41&amp;IF('DADOS_FORMAS'!$HN41="alcance",INDEX('DADOS_FORMAS'!$GL$2:$GL$7,MIN(6,'DADOS_FORMAS'!$HR41+5)),IF('DADOS_FORMAS'!$HN41="raio",INDEX('DADOS_FORMAS'!$GN$2:$GN$6,MIN(5,'DADOS_FORMAS'!$HR41+5)),IF('DADOS_FORMAS'!$HN41="comprimento",INDEX('DADOS_FORMAS'!$GP$2:$GP$6,MIN(5,'DADOS_FORMAS'!$HR41+5)),'DADOS_FORMAS'!$HO41)))&amp;SUBSTITUTE('DADOS_FORMAS'!$HQ41,"em você","nela")))</f>
        <v/>
      </c>
    </row>
    <row r="62">
      <c r="HM62">
        <f>'DADOS_FORMAS'!$BL19</f>
        <v/>
      </c>
      <c r="HN62">
        <f>IF('DADOS_FORMAS'!$BL19="area",'DADOS_FORMAS'!$AU19,'DADOS_FORMAS'!$AT19)</f>
        <v/>
      </c>
      <c r="HO62">
        <f>IF('DADOS_FORMAS'!$BL19="area",'DADOS_FORMAS'!$BH19,'DADOS_FORMAS'!$BA19)</f>
        <v/>
      </c>
      <c r="HP62">
        <f>'DADOS_FORMAS'!$BM19</f>
        <v/>
      </c>
      <c r="HQ62">
        <f>'DADOS_FORMAS'!$BN19</f>
        <v/>
      </c>
      <c r="HR62">
        <f>LET(base,'DADOS_FORMAS'!$HO62,escada,'DADOS_FORMAS'!$HN62,medida,LEFT(base,MAX(0,LEN(base)-2)),valor,IFERROR(VALUE(SUBSTITUTE(medida,",",""))/10^IFERROR(LEN(medida)-FIND(",",medida),0),1E99),IF(OR(escada="Fixo",base="—"),base,IF(escada="alcance",IFERROR(MATCH(base,{"1,5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2">
        <f>'DADOS_FORMAS'!$AH17&amp;" · classe 0"</f>
        <v/>
      </c>
      <c r="HU62">
        <f>LET(trecho,IF(OR('DADOS_FORMAS'!$AH17="",'DADOS_FORMAS'!$HM42="",'DADOS_FORMAS'!$HO42=""),"",IF('DADOS_FORMAS'!$HO42="—","—",'DADOS_FORMAS'!$HP42&amp;'DADOS_FORMAS'!$HO42&amp;SUBSTITUTE('DADOS_FORMAS'!$HQ42,"em você","nela"))),UPPER(LEFT(trecho,1))&amp;MID(trecho,2,LEN(trecho)))</f>
        <v/>
      </c>
      <c r="HV62">
        <f>LET(trecho,IF(OR('DADOS_FORMAS'!$AH17="",'DADOS_FORMAS'!$HM42="",'DADOS_FORMAS'!$HO42=""),"",IF('DADOS_FORMAS'!$HO42="—","—",'DADOS_FORMAS'!$HP42&amp;IF('DADOS_FORMAS'!$HN42="alcance",INDEX('DADOS_FORMAS'!$GL$2:$GL$7,MIN(6,'DADOS_FORMAS'!$HR42+1)),IF('DADOS_FORMAS'!$HN42="raio",INDEX('DADOS_FORMAS'!$GN$2:$GN$6,MIN(5,'DADOS_FORMAS'!$HR42+1)),IF('DADOS_FORMAS'!$HN42="comprimento",INDEX('DADOS_FORMAS'!$GP$2:$GP$6,MIN(5,'DADOS_FORMAS'!$HR42+1)),'DADOS_FORMAS'!$HO42)))&amp;SUBSTITUTE('DADOS_FORMAS'!$HQ42,"em você","nela"))),UPPER(LEFT(trecho,1))&amp;MID(trecho,2,LEN(trecho)))</f>
        <v/>
      </c>
      <c r="HW62">
        <f>LET(trecho,IF(OR('DADOS_FORMAS'!$AH17="",'DADOS_FORMAS'!$HM42="",'DADOS_FORMAS'!$HO42=""),"",IF('DADOS_FORMAS'!$HO42="—","—",'DADOS_FORMAS'!$HP42&amp;IF('DADOS_FORMAS'!$HN42="alcance",INDEX('DADOS_FORMAS'!$GL$2:$GL$7,MIN(6,'DADOS_FORMAS'!$HR42+2)),IF('DADOS_FORMAS'!$HN42="raio",INDEX('DADOS_FORMAS'!$GN$2:$GN$6,MIN(5,'DADOS_FORMAS'!$HR42+2)),IF('DADOS_FORMAS'!$HN42="comprimento",INDEX('DADOS_FORMAS'!$GP$2:$GP$6,MIN(5,'DADOS_FORMAS'!$HR42+2)),'DADOS_FORMAS'!$HO42)))&amp;SUBSTITUTE('DADOS_FORMAS'!$HQ42,"em você","nela"))),UPPER(LEFT(trecho,1))&amp;MID(trecho,2,LEN(trecho)))</f>
        <v/>
      </c>
      <c r="HX62">
        <f>LET(trecho,IF(OR('DADOS_FORMAS'!$AH17="",'DADOS_FORMAS'!$HM42="",'DADOS_FORMAS'!$HO42=""),"",IF('DADOS_FORMAS'!$HO42="—","—",'DADOS_FORMAS'!$HP42&amp;IF('DADOS_FORMAS'!$HN42="alcance",INDEX('DADOS_FORMAS'!$GL$2:$GL$7,MIN(6,'DADOS_FORMAS'!$HR42+3)),IF('DADOS_FORMAS'!$HN42="raio",INDEX('DADOS_FORMAS'!$GN$2:$GN$6,MIN(5,'DADOS_FORMAS'!$HR42+3)),IF('DADOS_FORMAS'!$HN42="comprimento",INDEX('DADOS_FORMAS'!$GP$2:$GP$6,MIN(5,'DADOS_FORMAS'!$HR42+3)),'DADOS_FORMAS'!$HO42)))&amp;SUBSTITUTE('DADOS_FORMAS'!$HQ42,"em você","nela"))),UPPER(LEFT(trecho,1))&amp;MID(trecho,2,LEN(trecho)))</f>
        <v/>
      </c>
      <c r="HY62">
        <f>LET(trecho,IF(OR('DADOS_FORMAS'!$AH17="",'DADOS_FORMAS'!$HM42="",'DADOS_FORMAS'!$HO42=""),"",IF('DADOS_FORMAS'!$HO42="—","—",'DADOS_FORMAS'!$HP42&amp;IF('DADOS_FORMAS'!$HN42="alcance",INDEX('DADOS_FORMAS'!$GL$2:$GL$7,MIN(6,'DADOS_FORMAS'!$HR42+4)),IF('DADOS_FORMAS'!$HN42="raio",INDEX('DADOS_FORMAS'!$GN$2:$GN$6,MIN(5,'DADOS_FORMAS'!$HR42+4)),IF('DADOS_FORMAS'!$HN42="comprimento",INDEX('DADOS_FORMAS'!$GP$2:$GP$6,MIN(5,'DADOS_FORMAS'!$HR42+4)),'DADOS_FORMAS'!$HO42)))&amp;SUBSTITUTE('DADOS_FORMAS'!$HQ42,"em você","nela"))),UPPER(LEFT(trecho,1))&amp;MID(trecho,2,LEN(trecho)))</f>
        <v/>
      </c>
      <c r="HZ62">
        <f>LET(trecho,IF(OR('DADOS_FORMAS'!$AH17="",'DADOS_FORMAS'!$HM42="",'DADOS_FORMAS'!$HO42=""),"",IF('DADOS_FORMAS'!$HO42="—","—",'DADOS_FORMAS'!$HP42&amp;IF('DADOS_FORMAS'!$HN42="alcance",INDEX('DADOS_FORMAS'!$GL$2:$GL$7,MIN(6,'DADOS_FORMAS'!$HR42+5)),IF('DADOS_FORMAS'!$HN42="raio",INDEX('DADOS_FORMAS'!$GN$2:$GN$6,MIN(5,'DADOS_FORMAS'!$HR42+5)),IF('DADOS_FORMAS'!$HN42="comprimento",INDEX('DADOS_FORMAS'!$GP$2:$GP$6,MIN(5,'DADOS_FORMAS'!$HR42+5)),'DADOS_FORMAS'!$HO42)))&amp;SUBSTITUTE('DADOS_FORMAS'!$HQ42,"em você","nela"))),UPPER(LEFT(trecho,1))&amp;MID(trecho,2,LEN(trecho)))</f>
        <v/>
      </c>
      <c r="IA62">
        <f>IF(OR('DADOS_FORMAS'!$AH17="",'DADOS_FORMAS'!$HM43="",'DADOS_FORMAS'!$HO43=""),"",IF('DADOS_FORMAS'!$HO43="—","—",'DADOS_FORMAS'!$HP43&amp;'DADOS_FORMAS'!$HO43&amp;SUBSTITUTE('DADOS_FORMAS'!$HQ43,"em você","nela")))</f>
        <v/>
      </c>
      <c r="IB62">
        <f>IF(OR('DADOS_FORMAS'!$AH17="",'DADOS_FORMAS'!$HM43="",'DADOS_FORMAS'!$HO43=""),"",IF('DADOS_FORMAS'!$HO43="—","—",'DADOS_FORMAS'!$HP43&amp;IF('DADOS_FORMAS'!$HN43="alcance",INDEX('DADOS_FORMAS'!$GL$2:$GL$7,MIN(6,'DADOS_FORMAS'!$HR43+1)),IF('DADOS_FORMAS'!$HN43="raio",INDEX('DADOS_FORMAS'!$GN$2:$GN$6,MIN(5,'DADOS_FORMAS'!$HR43+1)),IF('DADOS_FORMAS'!$HN43="comprimento",INDEX('DADOS_FORMAS'!$GP$2:$GP$6,MIN(5,'DADOS_FORMAS'!$HR43+1)),'DADOS_FORMAS'!$HO43)))&amp;SUBSTITUTE('DADOS_FORMAS'!$HQ43,"em você","nela")))</f>
        <v/>
      </c>
      <c r="IC62">
        <f>IF(OR('DADOS_FORMAS'!$AH17="",'DADOS_FORMAS'!$HM43="",'DADOS_FORMAS'!$HO43=""),"",IF('DADOS_FORMAS'!$HO43="—","—",'DADOS_FORMAS'!$HP43&amp;IF('DADOS_FORMAS'!$HN43="alcance",INDEX('DADOS_FORMAS'!$GL$2:$GL$7,MIN(6,'DADOS_FORMAS'!$HR43+2)),IF('DADOS_FORMAS'!$HN43="raio",INDEX('DADOS_FORMAS'!$GN$2:$GN$6,MIN(5,'DADOS_FORMAS'!$HR43+2)),IF('DADOS_FORMAS'!$HN43="comprimento",INDEX('DADOS_FORMAS'!$GP$2:$GP$6,MIN(5,'DADOS_FORMAS'!$HR43+2)),'DADOS_FORMAS'!$HO43)))&amp;SUBSTITUTE('DADOS_FORMAS'!$HQ43,"em você","nela")))</f>
        <v/>
      </c>
      <c r="ID62">
        <f>IF(OR('DADOS_FORMAS'!$AH17="",'DADOS_FORMAS'!$HM43="",'DADOS_FORMAS'!$HO43=""),"",IF('DADOS_FORMAS'!$HO43="—","—",'DADOS_FORMAS'!$HP43&amp;IF('DADOS_FORMAS'!$HN43="alcance",INDEX('DADOS_FORMAS'!$GL$2:$GL$7,MIN(6,'DADOS_FORMAS'!$HR43+3)),IF('DADOS_FORMAS'!$HN43="raio",INDEX('DADOS_FORMAS'!$GN$2:$GN$6,MIN(5,'DADOS_FORMAS'!$HR43+3)),IF('DADOS_FORMAS'!$HN43="comprimento",INDEX('DADOS_FORMAS'!$GP$2:$GP$6,MIN(5,'DADOS_FORMAS'!$HR43+3)),'DADOS_FORMAS'!$HO43)))&amp;SUBSTITUTE('DADOS_FORMAS'!$HQ43,"em você","nela")))</f>
        <v/>
      </c>
      <c r="IE62">
        <f>IF(OR('DADOS_FORMAS'!$AH17="",'DADOS_FORMAS'!$HM43="",'DADOS_FORMAS'!$HO43=""),"",IF('DADOS_FORMAS'!$HO43="—","—",'DADOS_FORMAS'!$HP43&amp;IF('DADOS_FORMAS'!$HN43="alcance",INDEX('DADOS_FORMAS'!$GL$2:$GL$7,MIN(6,'DADOS_FORMAS'!$HR43+4)),IF('DADOS_FORMAS'!$HN43="raio",INDEX('DADOS_FORMAS'!$GN$2:$GN$6,MIN(5,'DADOS_FORMAS'!$HR43+4)),IF('DADOS_FORMAS'!$HN43="comprimento",INDEX('DADOS_FORMAS'!$GP$2:$GP$6,MIN(5,'DADOS_FORMAS'!$HR43+4)),'DADOS_FORMAS'!$HO43)))&amp;SUBSTITUTE('DADOS_FORMAS'!$HQ43,"em você","nela")))</f>
        <v/>
      </c>
      <c r="IF62">
        <f>IF(OR('DADOS_FORMAS'!$AH17="",'DADOS_FORMAS'!$HM43="",'DADOS_FORMAS'!$HO43=""),"",IF('DADOS_FORMAS'!$HO43="—","—",'DADOS_FORMAS'!$HP43&amp;IF('DADOS_FORMAS'!$HN43="alcance",INDEX('DADOS_FORMAS'!$GL$2:$GL$7,MIN(6,'DADOS_FORMAS'!$HR43+5)),IF('DADOS_FORMAS'!$HN43="raio",INDEX('DADOS_FORMAS'!$GN$2:$GN$6,MIN(5,'DADOS_FORMAS'!$HR43+5)),IF('DADOS_FORMAS'!$HN43="comprimento",INDEX('DADOS_FORMAS'!$GP$2:$GP$6,MIN(5,'DADOS_FORMAS'!$HR43+5)),'DADOS_FORMAS'!$HO43)))&amp;SUBSTITUTE('DADOS_FORMAS'!$HQ43,"em você","nela")))</f>
        <v/>
      </c>
    </row>
    <row r="63">
      <c r="HM63">
        <f>'DADOS_FORMAS'!$BP19</f>
        <v/>
      </c>
      <c r="HN63">
        <f>IF('DADOS_FORMAS'!$BP19="area",'DADOS_FORMAS'!$AU19,'DADOS_FORMAS'!$AT19)</f>
        <v/>
      </c>
      <c r="HO63">
        <f>IF('DADOS_FORMAS'!$BP19="area",'DADOS_FORMAS'!$BH19,'DADOS_FORMAS'!$BA19)</f>
        <v/>
      </c>
      <c r="HP63">
        <f>'DADOS_FORMAS'!$BQ19</f>
        <v/>
      </c>
      <c r="HQ63">
        <f>'DADOS_FORMAS'!$BR19</f>
        <v/>
      </c>
      <c r="HR63">
        <f>LET(base,'DADOS_FORMAS'!$HO63,escada,'DADOS_FORMAS'!$HN63,medida,LEFT(base,MAX(0,LEN(base)-2)),valor,IFERROR(VALUE(SUBSTITUTE(medida,",",""))/10^IFERROR(LEN(medida)-FIND(",",medida),0),1E99),IF(OR(escada="Fixo",base="—"),base,IF(escada="alcance",IFERROR(MATCH(base,{"1,5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3">
        <f>'DADOS_FORMAS'!$AH17&amp;" · classes 1 a 5"</f>
        <v/>
      </c>
      <c r="HU63">
        <f>LET(trecho,IF(OR('DADOS_FORMAS'!$AH17="",'DADOS_FORMAS'!$HM44="",'DADOS_FORMAS'!$HO44=""),"",IF('DADOS_FORMAS'!$HO44="—","—",'DADOS_FORMAS'!$HP44&amp;'DADOS_FORMAS'!$HO44&amp;SUBSTITUTE('DADOS_FORMAS'!$HQ44,"em você","nela"))),UPPER(LEFT(trecho,1))&amp;MID(trecho,2,LEN(trecho)))</f>
        <v/>
      </c>
      <c r="HV63">
        <f>LET(trecho,IF(OR('DADOS_FORMAS'!$AH17="",'DADOS_FORMAS'!$HM44="",'DADOS_FORMAS'!$HO44=""),"",IF('DADOS_FORMAS'!$HO44="—","—",'DADOS_FORMAS'!$HP44&amp;IF('DADOS_FORMAS'!$HN44="alcance",INDEX('DADOS_FORMAS'!$GL$2:$GL$7,MIN(6,'DADOS_FORMAS'!$HR44+1)),IF('DADOS_FORMAS'!$HN44="raio",INDEX('DADOS_FORMAS'!$GN$2:$GN$6,MIN(5,'DADOS_FORMAS'!$HR44+1)),IF('DADOS_FORMAS'!$HN44="comprimento",INDEX('DADOS_FORMAS'!$GP$2:$GP$6,MIN(5,'DADOS_FORMAS'!$HR44+1)),'DADOS_FORMAS'!$HO44)))&amp;SUBSTITUTE('DADOS_FORMAS'!$HQ44,"em você","nela"))),UPPER(LEFT(trecho,1))&amp;MID(trecho,2,LEN(trecho)))</f>
        <v/>
      </c>
      <c r="HW63">
        <f>LET(trecho,IF(OR('DADOS_FORMAS'!$AH17="",'DADOS_FORMAS'!$HM44="",'DADOS_FORMAS'!$HO44=""),"",IF('DADOS_FORMAS'!$HO44="—","—",'DADOS_FORMAS'!$HP44&amp;IF('DADOS_FORMAS'!$HN44="alcance",INDEX('DADOS_FORMAS'!$GL$2:$GL$7,MIN(6,'DADOS_FORMAS'!$HR44+2)),IF('DADOS_FORMAS'!$HN44="raio",INDEX('DADOS_FORMAS'!$GN$2:$GN$6,MIN(5,'DADOS_FORMAS'!$HR44+2)),IF('DADOS_FORMAS'!$HN44="comprimento",INDEX('DADOS_FORMAS'!$GP$2:$GP$6,MIN(5,'DADOS_FORMAS'!$HR44+2)),'DADOS_FORMAS'!$HO44)))&amp;SUBSTITUTE('DADOS_FORMAS'!$HQ44,"em você","nela"))),UPPER(LEFT(trecho,1))&amp;MID(trecho,2,LEN(trecho)))</f>
        <v/>
      </c>
      <c r="HX63">
        <f>LET(trecho,IF(OR('DADOS_FORMAS'!$AH17="",'DADOS_FORMAS'!$HM44="",'DADOS_FORMAS'!$HO44=""),"",IF('DADOS_FORMAS'!$HO44="—","—",'DADOS_FORMAS'!$HP44&amp;IF('DADOS_FORMAS'!$HN44="alcance",INDEX('DADOS_FORMAS'!$GL$2:$GL$7,MIN(6,'DADOS_FORMAS'!$HR44+3)),IF('DADOS_FORMAS'!$HN44="raio",INDEX('DADOS_FORMAS'!$GN$2:$GN$6,MIN(5,'DADOS_FORMAS'!$HR44+3)),IF('DADOS_FORMAS'!$HN44="comprimento",INDEX('DADOS_FORMAS'!$GP$2:$GP$6,MIN(5,'DADOS_FORMAS'!$HR44+3)),'DADOS_FORMAS'!$HO44)))&amp;SUBSTITUTE('DADOS_FORMAS'!$HQ44,"em você","nela"))),UPPER(LEFT(trecho,1))&amp;MID(trecho,2,LEN(trecho)))</f>
        <v/>
      </c>
      <c r="HY63">
        <f>LET(trecho,IF(OR('DADOS_FORMAS'!$AH17="",'DADOS_FORMAS'!$HM44="",'DADOS_FORMAS'!$HO44=""),"",IF('DADOS_FORMAS'!$HO44="—","—",'DADOS_FORMAS'!$HP44&amp;IF('DADOS_FORMAS'!$HN44="alcance",INDEX('DADOS_FORMAS'!$GL$2:$GL$7,MIN(6,'DADOS_FORMAS'!$HR44+4)),IF('DADOS_FORMAS'!$HN44="raio",INDEX('DADOS_FORMAS'!$GN$2:$GN$6,MIN(5,'DADOS_FORMAS'!$HR44+4)),IF('DADOS_FORMAS'!$HN44="comprimento",INDEX('DADOS_FORMAS'!$GP$2:$GP$6,MIN(5,'DADOS_FORMAS'!$HR44+4)),'DADOS_FORMAS'!$HO44)))&amp;SUBSTITUTE('DADOS_FORMAS'!$HQ44,"em você","nela"))),UPPER(LEFT(trecho,1))&amp;MID(trecho,2,LEN(trecho)))</f>
        <v/>
      </c>
      <c r="HZ63">
        <f>LET(trecho,IF(OR('DADOS_FORMAS'!$AH17="",'DADOS_FORMAS'!$HM44="",'DADOS_FORMAS'!$HO44=""),"",IF('DADOS_FORMAS'!$HO44="—","—",'DADOS_FORMAS'!$HP44&amp;IF('DADOS_FORMAS'!$HN44="alcance",INDEX('DADOS_FORMAS'!$GL$2:$GL$7,MIN(6,'DADOS_FORMAS'!$HR44+5)),IF('DADOS_FORMAS'!$HN44="raio",INDEX('DADOS_FORMAS'!$GN$2:$GN$6,MIN(5,'DADOS_FORMAS'!$HR44+5)),IF('DADOS_FORMAS'!$HN44="comprimento",INDEX('DADOS_FORMAS'!$GP$2:$GP$6,MIN(5,'DADOS_FORMAS'!$HR44+5)),'DADOS_FORMAS'!$HO44)))&amp;SUBSTITUTE('DADOS_FORMAS'!$HQ44,"em você","nela"))),UPPER(LEFT(trecho,1))&amp;MID(trecho,2,LEN(trecho)))</f>
        <v/>
      </c>
      <c r="IA63">
        <f>IF(OR('DADOS_FORMAS'!$AH17="",'DADOS_FORMAS'!$HM45="",'DADOS_FORMAS'!$HO45=""),"",IF('DADOS_FORMAS'!$HO45="—","—",'DADOS_FORMAS'!$HP45&amp;'DADOS_FORMAS'!$HO45&amp;SUBSTITUTE('DADOS_FORMAS'!$HQ45,"em você","nela")))</f>
        <v/>
      </c>
      <c r="IB63">
        <f>IF(OR('DADOS_FORMAS'!$AH17="",'DADOS_FORMAS'!$HM45="",'DADOS_FORMAS'!$HO45=""),"",IF('DADOS_FORMAS'!$HO45="—","—",'DADOS_FORMAS'!$HP45&amp;IF('DADOS_FORMAS'!$HN45="alcance",INDEX('DADOS_FORMAS'!$GL$2:$GL$7,MIN(6,'DADOS_FORMAS'!$HR45+1)),IF('DADOS_FORMAS'!$HN45="raio",INDEX('DADOS_FORMAS'!$GN$2:$GN$6,MIN(5,'DADOS_FORMAS'!$HR45+1)),IF('DADOS_FORMAS'!$HN45="comprimento",INDEX('DADOS_FORMAS'!$GP$2:$GP$6,MIN(5,'DADOS_FORMAS'!$HR45+1)),'DADOS_FORMAS'!$HO45)))&amp;SUBSTITUTE('DADOS_FORMAS'!$HQ45,"em você","nela")))</f>
        <v/>
      </c>
      <c r="IC63">
        <f>IF(OR('DADOS_FORMAS'!$AH17="",'DADOS_FORMAS'!$HM45="",'DADOS_FORMAS'!$HO45=""),"",IF('DADOS_FORMAS'!$HO45="—","—",'DADOS_FORMAS'!$HP45&amp;IF('DADOS_FORMAS'!$HN45="alcance",INDEX('DADOS_FORMAS'!$GL$2:$GL$7,MIN(6,'DADOS_FORMAS'!$HR45+2)),IF('DADOS_FORMAS'!$HN45="raio",INDEX('DADOS_FORMAS'!$GN$2:$GN$6,MIN(5,'DADOS_FORMAS'!$HR45+2)),IF('DADOS_FORMAS'!$HN45="comprimento",INDEX('DADOS_FORMAS'!$GP$2:$GP$6,MIN(5,'DADOS_FORMAS'!$HR45+2)),'DADOS_FORMAS'!$HO45)))&amp;SUBSTITUTE('DADOS_FORMAS'!$HQ45,"em você","nela")))</f>
        <v/>
      </c>
      <c r="ID63">
        <f>IF(OR('DADOS_FORMAS'!$AH17="",'DADOS_FORMAS'!$HM45="",'DADOS_FORMAS'!$HO45=""),"",IF('DADOS_FORMAS'!$HO45="—","—",'DADOS_FORMAS'!$HP45&amp;IF('DADOS_FORMAS'!$HN45="alcance",INDEX('DADOS_FORMAS'!$GL$2:$GL$7,MIN(6,'DADOS_FORMAS'!$HR45+3)),IF('DADOS_FORMAS'!$HN45="raio",INDEX('DADOS_FORMAS'!$GN$2:$GN$6,MIN(5,'DADOS_FORMAS'!$HR45+3)),IF('DADOS_FORMAS'!$HN45="comprimento",INDEX('DADOS_FORMAS'!$GP$2:$GP$6,MIN(5,'DADOS_FORMAS'!$HR45+3)),'DADOS_FORMAS'!$HO45)))&amp;SUBSTITUTE('DADOS_FORMAS'!$HQ45,"em você","nela")))</f>
        <v/>
      </c>
      <c r="IE63">
        <f>IF(OR('DADOS_FORMAS'!$AH17="",'DADOS_FORMAS'!$HM45="",'DADOS_FORMAS'!$HO45=""),"",IF('DADOS_FORMAS'!$HO45="—","—",'DADOS_FORMAS'!$HP45&amp;IF('DADOS_FORMAS'!$HN45="alcance",INDEX('DADOS_FORMAS'!$GL$2:$GL$7,MIN(6,'DADOS_FORMAS'!$HR45+4)),IF('DADOS_FORMAS'!$HN45="raio",INDEX('DADOS_FORMAS'!$GN$2:$GN$6,MIN(5,'DADOS_FORMAS'!$HR45+4)),IF('DADOS_FORMAS'!$HN45="comprimento",INDEX('DADOS_FORMAS'!$GP$2:$GP$6,MIN(5,'DADOS_FORMAS'!$HR45+4)),'DADOS_FORMAS'!$HO45)))&amp;SUBSTITUTE('DADOS_FORMAS'!$HQ45,"em você","nela")))</f>
        <v/>
      </c>
      <c r="IF63">
        <f>IF(OR('DADOS_FORMAS'!$AH17="",'DADOS_FORMAS'!$HM45="",'DADOS_FORMAS'!$HO45=""),"",IF('DADOS_FORMAS'!$HO45="—","—",'DADOS_FORMAS'!$HP45&amp;IF('DADOS_FORMAS'!$HN45="alcance",INDEX('DADOS_FORMAS'!$GL$2:$GL$7,MIN(6,'DADOS_FORMAS'!$HR45+5)),IF('DADOS_FORMAS'!$HN45="raio",INDEX('DADOS_FORMAS'!$GN$2:$GN$6,MIN(5,'DADOS_FORMAS'!$HR45+5)),IF('DADOS_FORMAS'!$HN45="comprimento",INDEX('DADOS_FORMAS'!$GP$2:$GP$6,MIN(5,'DADOS_FORMAS'!$HR45+5)),'DADOS_FORMAS'!$HO45)))&amp;SUBSTITUTE('DADOS_FORMAS'!$HQ45,"em você","nela")))</f>
        <v/>
      </c>
    </row>
    <row r="64">
      <c r="HM64">
        <f>'DADOS_FORMAS'!$BL19</f>
        <v/>
      </c>
      <c r="HN64">
        <f>IF('DADOS_FORMAS'!$BL19="area",'DADOS_FORMAS'!$AU19,'DADOS_FORMAS'!$AT19)</f>
        <v/>
      </c>
      <c r="HO64">
        <f>IF('DADOS_FORMAS'!$BL19="area",'DADOS_FORMAS'!$BI19,'DADOS_FORMAS'!$BB19)</f>
        <v/>
      </c>
      <c r="HP64">
        <f>'DADOS_FORMAS'!$BM19</f>
        <v/>
      </c>
      <c r="HQ64">
        <f>'DADOS_FORMAS'!$BN19</f>
        <v/>
      </c>
      <c r="HR64">
        <f>LET(base,'DADOS_FORMAS'!$HO64,escada,'DADOS_FORMAS'!$HN64,medida,LEFT(base,MAX(0,LEN(base)-2)),valor,IFERROR(VALUE(SUBSTITUTE(medida,",",""))/10^IFERROR(LEN(medida)-FIND(",",medida),0),1E99),IF(OR(escada="Fixo",base="—"),base,IF(escada="alcance",IFERROR(MATCH(base,{"1,5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4">
        <f>'DADOS_FORMAS'!$AH17&amp;" · classe 6"</f>
        <v/>
      </c>
      <c r="HU64">
        <f>LET(trecho,IF(OR('DADOS_FORMAS'!$AH17="",'DADOS_FORMAS'!$HM46="",'DADOS_FORMAS'!$HO46=""),"",IF('DADOS_FORMAS'!$HO46="—","—",'DADOS_FORMAS'!$HP46&amp;'DADOS_FORMAS'!$HO46&amp;SUBSTITUTE('DADOS_FORMAS'!$HQ46,"em você","nela"))),UPPER(LEFT(trecho,1))&amp;MID(trecho,2,LEN(trecho)))</f>
        <v/>
      </c>
      <c r="HV64">
        <f>LET(trecho,IF(OR('DADOS_FORMAS'!$AH17="",'DADOS_FORMAS'!$HM46="",'DADOS_FORMAS'!$HO46=""),"",IF('DADOS_FORMAS'!$HO46="—","—",'DADOS_FORMAS'!$HP46&amp;IF('DADOS_FORMAS'!$HN46="alcance",INDEX('DADOS_FORMAS'!$GL$2:$GL$7,MIN(6,'DADOS_FORMAS'!$HR46+1)),IF('DADOS_FORMAS'!$HN46="raio",INDEX('DADOS_FORMAS'!$GN$2:$GN$6,MIN(5,'DADOS_FORMAS'!$HR46+1)),IF('DADOS_FORMAS'!$HN46="comprimento",INDEX('DADOS_FORMAS'!$GP$2:$GP$6,MIN(5,'DADOS_FORMAS'!$HR46+1)),'DADOS_FORMAS'!$HO46)))&amp;SUBSTITUTE('DADOS_FORMAS'!$HQ46,"em você","nela"))),UPPER(LEFT(trecho,1))&amp;MID(trecho,2,LEN(trecho)))</f>
        <v/>
      </c>
      <c r="HW64">
        <f>LET(trecho,IF(OR('DADOS_FORMAS'!$AH17="",'DADOS_FORMAS'!$HM46="",'DADOS_FORMAS'!$HO46=""),"",IF('DADOS_FORMAS'!$HO46="—","—",'DADOS_FORMAS'!$HP46&amp;IF('DADOS_FORMAS'!$HN46="alcance",INDEX('DADOS_FORMAS'!$GL$2:$GL$7,MIN(6,'DADOS_FORMAS'!$HR46+2)),IF('DADOS_FORMAS'!$HN46="raio",INDEX('DADOS_FORMAS'!$GN$2:$GN$6,MIN(5,'DADOS_FORMAS'!$HR46+2)),IF('DADOS_FORMAS'!$HN46="comprimento",INDEX('DADOS_FORMAS'!$GP$2:$GP$6,MIN(5,'DADOS_FORMAS'!$HR46+2)),'DADOS_FORMAS'!$HO46)))&amp;SUBSTITUTE('DADOS_FORMAS'!$HQ46,"em você","nela"))),UPPER(LEFT(trecho,1))&amp;MID(trecho,2,LEN(trecho)))</f>
        <v/>
      </c>
      <c r="HX64">
        <f>LET(trecho,IF(OR('DADOS_FORMAS'!$AH17="",'DADOS_FORMAS'!$HM46="",'DADOS_FORMAS'!$HO46=""),"",IF('DADOS_FORMAS'!$HO46="—","—",'DADOS_FORMAS'!$HP46&amp;IF('DADOS_FORMAS'!$HN46="alcance",INDEX('DADOS_FORMAS'!$GL$2:$GL$7,MIN(6,'DADOS_FORMAS'!$HR46+3)),IF('DADOS_FORMAS'!$HN46="raio",INDEX('DADOS_FORMAS'!$GN$2:$GN$6,MIN(5,'DADOS_FORMAS'!$HR46+3)),IF('DADOS_FORMAS'!$HN46="comprimento",INDEX('DADOS_FORMAS'!$GP$2:$GP$6,MIN(5,'DADOS_FORMAS'!$HR46+3)),'DADOS_FORMAS'!$HO46)))&amp;SUBSTITUTE('DADOS_FORMAS'!$HQ46,"em você","nela"))),UPPER(LEFT(trecho,1))&amp;MID(trecho,2,LEN(trecho)))</f>
        <v/>
      </c>
      <c r="HY64">
        <f>LET(trecho,IF(OR('DADOS_FORMAS'!$AH17="",'DADOS_FORMAS'!$HM46="",'DADOS_FORMAS'!$HO46=""),"",IF('DADOS_FORMAS'!$HO46="—","—",'DADOS_FORMAS'!$HP46&amp;IF('DADOS_FORMAS'!$HN46="alcance",INDEX('DADOS_FORMAS'!$GL$2:$GL$7,MIN(6,'DADOS_FORMAS'!$HR46+4)),IF('DADOS_FORMAS'!$HN46="raio",INDEX('DADOS_FORMAS'!$GN$2:$GN$6,MIN(5,'DADOS_FORMAS'!$HR46+4)),IF('DADOS_FORMAS'!$HN46="comprimento",INDEX('DADOS_FORMAS'!$GP$2:$GP$6,MIN(5,'DADOS_FORMAS'!$HR46+4)),'DADOS_FORMAS'!$HO46)))&amp;SUBSTITUTE('DADOS_FORMAS'!$HQ46,"em você","nela"))),UPPER(LEFT(trecho,1))&amp;MID(trecho,2,LEN(trecho)))</f>
        <v/>
      </c>
      <c r="HZ64">
        <f>LET(trecho,IF(OR('DADOS_FORMAS'!$AH17="",'DADOS_FORMAS'!$HM46="",'DADOS_FORMAS'!$HO46=""),"",IF('DADOS_FORMAS'!$HO46="—","—",'DADOS_FORMAS'!$HP46&amp;IF('DADOS_FORMAS'!$HN46="alcance",INDEX('DADOS_FORMAS'!$GL$2:$GL$7,MIN(6,'DADOS_FORMAS'!$HR46+5)),IF('DADOS_FORMAS'!$HN46="raio",INDEX('DADOS_FORMAS'!$GN$2:$GN$6,MIN(5,'DADOS_FORMAS'!$HR46+5)),IF('DADOS_FORMAS'!$HN46="comprimento",INDEX('DADOS_FORMAS'!$GP$2:$GP$6,MIN(5,'DADOS_FORMAS'!$HR46+5)),'DADOS_FORMAS'!$HO46)))&amp;SUBSTITUTE('DADOS_FORMAS'!$HQ46,"em você","nela"))),UPPER(LEFT(trecho,1))&amp;MID(trecho,2,LEN(trecho)))</f>
        <v/>
      </c>
      <c r="IA64">
        <f>IF(OR('DADOS_FORMAS'!$AH17="",'DADOS_FORMAS'!$HM47="",'DADOS_FORMAS'!$HO47=""),"",IF('DADOS_FORMAS'!$HO47="—","—",'DADOS_FORMAS'!$HP47&amp;'DADOS_FORMAS'!$HO47&amp;SUBSTITUTE('DADOS_FORMAS'!$HQ47,"em você","nela")))</f>
        <v/>
      </c>
      <c r="IB64">
        <f>IF(OR('DADOS_FORMAS'!$AH17="",'DADOS_FORMAS'!$HM47="",'DADOS_FORMAS'!$HO47=""),"",IF('DADOS_FORMAS'!$HO47="—","—",'DADOS_FORMAS'!$HP47&amp;IF('DADOS_FORMAS'!$HN47="alcance",INDEX('DADOS_FORMAS'!$GL$2:$GL$7,MIN(6,'DADOS_FORMAS'!$HR47+1)),IF('DADOS_FORMAS'!$HN47="raio",INDEX('DADOS_FORMAS'!$GN$2:$GN$6,MIN(5,'DADOS_FORMAS'!$HR47+1)),IF('DADOS_FORMAS'!$HN47="comprimento",INDEX('DADOS_FORMAS'!$GP$2:$GP$6,MIN(5,'DADOS_FORMAS'!$HR47+1)),'DADOS_FORMAS'!$HO47)))&amp;SUBSTITUTE('DADOS_FORMAS'!$HQ47,"em você","nela")))</f>
        <v/>
      </c>
      <c r="IC64">
        <f>IF(OR('DADOS_FORMAS'!$AH17="",'DADOS_FORMAS'!$HM47="",'DADOS_FORMAS'!$HO47=""),"",IF('DADOS_FORMAS'!$HO47="—","—",'DADOS_FORMAS'!$HP47&amp;IF('DADOS_FORMAS'!$HN47="alcance",INDEX('DADOS_FORMAS'!$GL$2:$GL$7,MIN(6,'DADOS_FORMAS'!$HR47+2)),IF('DADOS_FORMAS'!$HN47="raio",INDEX('DADOS_FORMAS'!$GN$2:$GN$6,MIN(5,'DADOS_FORMAS'!$HR47+2)),IF('DADOS_FORMAS'!$HN47="comprimento",INDEX('DADOS_FORMAS'!$GP$2:$GP$6,MIN(5,'DADOS_FORMAS'!$HR47+2)),'DADOS_FORMAS'!$HO47)))&amp;SUBSTITUTE('DADOS_FORMAS'!$HQ47,"em você","nela")))</f>
        <v/>
      </c>
      <c r="ID64">
        <f>IF(OR('DADOS_FORMAS'!$AH17="",'DADOS_FORMAS'!$HM47="",'DADOS_FORMAS'!$HO47=""),"",IF('DADOS_FORMAS'!$HO47="—","—",'DADOS_FORMAS'!$HP47&amp;IF('DADOS_FORMAS'!$HN47="alcance",INDEX('DADOS_FORMAS'!$GL$2:$GL$7,MIN(6,'DADOS_FORMAS'!$HR47+3)),IF('DADOS_FORMAS'!$HN47="raio",INDEX('DADOS_FORMAS'!$GN$2:$GN$6,MIN(5,'DADOS_FORMAS'!$HR47+3)),IF('DADOS_FORMAS'!$HN47="comprimento",INDEX('DADOS_FORMAS'!$GP$2:$GP$6,MIN(5,'DADOS_FORMAS'!$HR47+3)),'DADOS_FORMAS'!$HO47)))&amp;SUBSTITUTE('DADOS_FORMAS'!$HQ47,"em você","nela")))</f>
        <v/>
      </c>
      <c r="IE64">
        <f>IF(OR('DADOS_FORMAS'!$AH17="",'DADOS_FORMAS'!$HM47="",'DADOS_FORMAS'!$HO47=""),"",IF('DADOS_FORMAS'!$HO47="—","—",'DADOS_FORMAS'!$HP47&amp;IF('DADOS_FORMAS'!$HN47="alcance",INDEX('DADOS_FORMAS'!$GL$2:$GL$7,MIN(6,'DADOS_FORMAS'!$HR47+4)),IF('DADOS_FORMAS'!$HN47="raio",INDEX('DADOS_FORMAS'!$GN$2:$GN$6,MIN(5,'DADOS_FORMAS'!$HR47+4)),IF('DADOS_FORMAS'!$HN47="comprimento",INDEX('DADOS_FORMAS'!$GP$2:$GP$6,MIN(5,'DADOS_FORMAS'!$HR47+4)),'DADOS_FORMAS'!$HO47)))&amp;SUBSTITUTE('DADOS_FORMAS'!$HQ47,"em você","nela")))</f>
        <v/>
      </c>
      <c r="IF64">
        <f>IF(OR('DADOS_FORMAS'!$AH17="",'DADOS_FORMAS'!$HM47="",'DADOS_FORMAS'!$HO47=""),"",IF('DADOS_FORMAS'!$HO47="—","—",'DADOS_FORMAS'!$HP47&amp;IF('DADOS_FORMAS'!$HN47="alcance",INDEX('DADOS_FORMAS'!$GL$2:$GL$7,MIN(6,'DADOS_FORMAS'!$HR47+5)),IF('DADOS_FORMAS'!$HN47="raio",INDEX('DADOS_FORMAS'!$GN$2:$GN$6,MIN(5,'DADOS_FORMAS'!$HR47+5)),IF('DADOS_FORMAS'!$HN47="comprimento",INDEX('DADOS_FORMAS'!$GP$2:$GP$6,MIN(5,'DADOS_FORMAS'!$HR47+5)),'DADOS_FORMAS'!$HO47)))&amp;SUBSTITUTE('DADOS_FORMAS'!$HQ47,"em você","nela")))</f>
        <v/>
      </c>
    </row>
    <row r="65">
      <c r="HM65">
        <f>'DADOS_FORMAS'!$BP19</f>
        <v/>
      </c>
      <c r="HN65">
        <f>IF('DADOS_FORMAS'!$BP19="area",'DADOS_FORMAS'!$AU19,'DADOS_FORMAS'!$AT19)</f>
        <v/>
      </c>
      <c r="HO65">
        <f>IF('DADOS_FORMAS'!$BP19="area",'DADOS_FORMAS'!$BI19,'DADOS_FORMAS'!$BB19)</f>
        <v/>
      </c>
      <c r="HP65">
        <f>'DADOS_FORMAS'!$BQ19</f>
        <v/>
      </c>
      <c r="HQ65">
        <f>'DADOS_FORMAS'!$BR19</f>
        <v/>
      </c>
      <c r="HR65">
        <f>LET(base,'DADOS_FORMAS'!$HO65,escada,'DADOS_FORMAS'!$HN65,medida,LEFT(base,MAX(0,LEN(base)-2)),valor,IFERROR(VALUE(SUBSTITUTE(medida,",",""))/10^IFERROR(LEN(medida)-FIND(",",medida),0),1E99),IF(OR(escada="Fixo",base="—"),base,IF(escada="alcance",IFERROR(MATCH(base,{"1,5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5">
        <f>'DADOS_FORMAS'!$AH17&amp;" · classe 7"</f>
        <v/>
      </c>
      <c r="HU65">
        <f>LET(trecho,IF(OR('DADOS_FORMAS'!$AH17="",'DADOS_FORMAS'!$HM48="",'DADOS_FORMAS'!$HO48=""),"",IF('DADOS_FORMAS'!$HO48="—","—",'DADOS_FORMAS'!$HP48&amp;'DADOS_FORMAS'!$HO48&amp;SUBSTITUTE('DADOS_FORMAS'!$HQ48,"em você","nela"))),UPPER(LEFT(trecho,1))&amp;MID(trecho,2,LEN(trecho)))</f>
        <v/>
      </c>
      <c r="HV65">
        <f>LET(trecho,IF(OR('DADOS_FORMAS'!$AH17="",'DADOS_FORMAS'!$HM48="",'DADOS_FORMAS'!$HO48=""),"",IF('DADOS_FORMAS'!$HO48="—","—",'DADOS_FORMAS'!$HP48&amp;IF('DADOS_FORMAS'!$HN48="alcance",INDEX('DADOS_FORMAS'!$GL$2:$GL$7,MIN(6,'DADOS_FORMAS'!$HR48+1)),IF('DADOS_FORMAS'!$HN48="raio",INDEX('DADOS_FORMAS'!$GN$2:$GN$6,MIN(5,'DADOS_FORMAS'!$HR48+1)),IF('DADOS_FORMAS'!$HN48="comprimento",INDEX('DADOS_FORMAS'!$GP$2:$GP$6,MIN(5,'DADOS_FORMAS'!$HR48+1)),'DADOS_FORMAS'!$HO48)))&amp;SUBSTITUTE('DADOS_FORMAS'!$HQ48,"em você","nela"))),UPPER(LEFT(trecho,1))&amp;MID(trecho,2,LEN(trecho)))</f>
        <v/>
      </c>
      <c r="HW65">
        <f>LET(trecho,IF(OR('DADOS_FORMAS'!$AH17="",'DADOS_FORMAS'!$HM48="",'DADOS_FORMAS'!$HO48=""),"",IF('DADOS_FORMAS'!$HO48="—","—",'DADOS_FORMAS'!$HP48&amp;IF('DADOS_FORMAS'!$HN48="alcance",INDEX('DADOS_FORMAS'!$GL$2:$GL$7,MIN(6,'DADOS_FORMAS'!$HR48+2)),IF('DADOS_FORMAS'!$HN48="raio",INDEX('DADOS_FORMAS'!$GN$2:$GN$6,MIN(5,'DADOS_FORMAS'!$HR48+2)),IF('DADOS_FORMAS'!$HN48="comprimento",INDEX('DADOS_FORMAS'!$GP$2:$GP$6,MIN(5,'DADOS_FORMAS'!$HR48+2)),'DADOS_FORMAS'!$HO48)))&amp;SUBSTITUTE('DADOS_FORMAS'!$HQ48,"em você","nela"))),UPPER(LEFT(trecho,1))&amp;MID(trecho,2,LEN(trecho)))</f>
        <v/>
      </c>
      <c r="HX65">
        <f>LET(trecho,IF(OR('DADOS_FORMAS'!$AH17="",'DADOS_FORMAS'!$HM48="",'DADOS_FORMAS'!$HO48=""),"",IF('DADOS_FORMAS'!$HO48="—","—",'DADOS_FORMAS'!$HP48&amp;IF('DADOS_FORMAS'!$HN48="alcance",INDEX('DADOS_FORMAS'!$GL$2:$GL$7,MIN(6,'DADOS_FORMAS'!$HR48+3)),IF('DADOS_FORMAS'!$HN48="raio",INDEX('DADOS_FORMAS'!$GN$2:$GN$6,MIN(5,'DADOS_FORMAS'!$HR48+3)),IF('DADOS_FORMAS'!$HN48="comprimento",INDEX('DADOS_FORMAS'!$GP$2:$GP$6,MIN(5,'DADOS_FORMAS'!$HR48+3)),'DADOS_FORMAS'!$HO48)))&amp;SUBSTITUTE('DADOS_FORMAS'!$HQ48,"em você","nela"))),UPPER(LEFT(trecho,1))&amp;MID(trecho,2,LEN(trecho)))</f>
        <v/>
      </c>
      <c r="HY65">
        <f>LET(trecho,IF(OR('DADOS_FORMAS'!$AH17="",'DADOS_FORMAS'!$HM48="",'DADOS_FORMAS'!$HO48=""),"",IF('DADOS_FORMAS'!$HO48="—","—",'DADOS_FORMAS'!$HP48&amp;IF('DADOS_FORMAS'!$HN48="alcance",INDEX('DADOS_FORMAS'!$GL$2:$GL$7,MIN(6,'DADOS_FORMAS'!$HR48+4)),IF('DADOS_FORMAS'!$HN48="raio",INDEX('DADOS_FORMAS'!$GN$2:$GN$6,MIN(5,'DADOS_FORMAS'!$HR48+4)),IF('DADOS_FORMAS'!$HN48="comprimento",INDEX('DADOS_FORMAS'!$GP$2:$GP$6,MIN(5,'DADOS_FORMAS'!$HR48+4)),'DADOS_FORMAS'!$HO48)))&amp;SUBSTITUTE('DADOS_FORMAS'!$HQ48,"em você","nela"))),UPPER(LEFT(trecho,1))&amp;MID(trecho,2,LEN(trecho)))</f>
        <v/>
      </c>
      <c r="HZ65">
        <f>LET(trecho,IF(OR('DADOS_FORMAS'!$AH17="",'DADOS_FORMAS'!$HM48="",'DADOS_FORMAS'!$HO48=""),"",IF('DADOS_FORMAS'!$HO48="—","—",'DADOS_FORMAS'!$HP48&amp;IF('DADOS_FORMAS'!$HN48="alcance",INDEX('DADOS_FORMAS'!$GL$2:$GL$7,MIN(6,'DADOS_FORMAS'!$HR48+5)),IF('DADOS_FORMAS'!$HN48="raio",INDEX('DADOS_FORMAS'!$GN$2:$GN$6,MIN(5,'DADOS_FORMAS'!$HR48+5)),IF('DADOS_FORMAS'!$HN48="comprimento",INDEX('DADOS_FORMAS'!$GP$2:$GP$6,MIN(5,'DADOS_FORMAS'!$HR48+5)),'DADOS_FORMAS'!$HO48)))&amp;SUBSTITUTE('DADOS_FORMAS'!$HQ48,"em você","nela"))),UPPER(LEFT(trecho,1))&amp;MID(trecho,2,LEN(trecho)))</f>
        <v/>
      </c>
      <c r="IA65">
        <f>IF(OR('DADOS_FORMAS'!$AH17="",'DADOS_FORMAS'!$HM49="",'DADOS_FORMAS'!$HO49=""),"",IF('DADOS_FORMAS'!$HO49="—","—",'DADOS_FORMAS'!$HP49&amp;'DADOS_FORMAS'!$HO49&amp;SUBSTITUTE('DADOS_FORMAS'!$HQ49,"em você","nela")))</f>
        <v/>
      </c>
      <c r="IB65">
        <f>IF(OR('DADOS_FORMAS'!$AH17="",'DADOS_FORMAS'!$HM49="",'DADOS_FORMAS'!$HO49=""),"",IF('DADOS_FORMAS'!$HO49="—","—",'DADOS_FORMAS'!$HP49&amp;IF('DADOS_FORMAS'!$HN49="alcance",INDEX('DADOS_FORMAS'!$GL$2:$GL$7,MIN(6,'DADOS_FORMAS'!$HR49+1)),IF('DADOS_FORMAS'!$HN49="raio",INDEX('DADOS_FORMAS'!$GN$2:$GN$6,MIN(5,'DADOS_FORMAS'!$HR49+1)),IF('DADOS_FORMAS'!$HN49="comprimento",INDEX('DADOS_FORMAS'!$GP$2:$GP$6,MIN(5,'DADOS_FORMAS'!$HR49+1)),'DADOS_FORMAS'!$HO49)))&amp;SUBSTITUTE('DADOS_FORMAS'!$HQ49,"em você","nela")))</f>
        <v/>
      </c>
      <c r="IC65">
        <f>IF(OR('DADOS_FORMAS'!$AH17="",'DADOS_FORMAS'!$HM49="",'DADOS_FORMAS'!$HO49=""),"",IF('DADOS_FORMAS'!$HO49="—","—",'DADOS_FORMAS'!$HP49&amp;IF('DADOS_FORMAS'!$HN49="alcance",INDEX('DADOS_FORMAS'!$GL$2:$GL$7,MIN(6,'DADOS_FORMAS'!$HR49+2)),IF('DADOS_FORMAS'!$HN49="raio",INDEX('DADOS_FORMAS'!$GN$2:$GN$6,MIN(5,'DADOS_FORMAS'!$HR49+2)),IF('DADOS_FORMAS'!$HN49="comprimento",INDEX('DADOS_FORMAS'!$GP$2:$GP$6,MIN(5,'DADOS_FORMAS'!$HR49+2)),'DADOS_FORMAS'!$HO49)))&amp;SUBSTITUTE('DADOS_FORMAS'!$HQ49,"em você","nela")))</f>
        <v/>
      </c>
      <c r="ID65">
        <f>IF(OR('DADOS_FORMAS'!$AH17="",'DADOS_FORMAS'!$HM49="",'DADOS_FORMAS'!$HO49=""),"",IF('DADOS_FORMAS'!$HO49="—","—",'DADOS_FORMAS'!$HP49&amp;IF('DADOS_FORMAS'!$HN49="alcance",INDEX('DADOS_FORMAS'!$GL$2:$GL$7,MIN(6,'DADOS_FORMAS'!$HR49+3)),IF('DADOS_FORMAS'!$HN49="raio",INDEX('DADOS_FORMAS'!$GN$2:$GN$6,MIN(5,'DADOS_FORMAS'!$HR49+3)),IF('DADOS_FORMAS'!$HN49="comprimento",INDEX('DADOS_FORMAS'!$GP$2:$GP$6,MIN(5,'DADOS_FORMAS'!$HR49+3)),'DADOS_FORMAS'!$HO49)))&amp;SUBSTITUTE('DADOS_FORMAS'!$HQ49,"em você","nela")))</f>
        <v/>
      </c>
      <c r="IE65">
        <f>IF(OR('DADOS_FORMAS'!$AH17="",'DADOS_FORMAS'!$HM49="",'DADOS_FORMAS'!$HO49=""),"",IF('DADOS_FORMAS'!$HO49="—","—",'DADOS_FORMAS'!$HP49&amp;IF('DADOS_FORMAS'!$HN49="alcance",INDEX('DADOS_FORMAS'!$GL$2:$GL$7,MIN(6,'DADOS_FORMAS'!$HR49+4)),IF('DADOS_FORMAS'!$HN49="raio",INDEX('DADOS_FORMAS'!$GN$2:$GN$6,MIN(5,'DADOS_FORMAS'!$HR49+4)),IF('DADOS_FORMAS'!$HN49="comprimento",INDEX('DADOS_FORMAS'!$GP$2:$GP$6,MIN(5,'DADOS_FORMAS'!$HR49+4)),'DADOS_FORMAS'!$HO49)))&amp;SUBSTITUTE('DADOS_FORMAS'!$HQ49,"em você","nela")))</f>
        <v/>
      </c>
      <c r="IF65">
        <f>IF(OR('DADOS_FORMAS'!$AH17="",'DADOS_FORMAS'!$HM49="",'DADOS_FORMAS'!$HO49=""),"",IF('DADOS_FORMAS'!$HO49="—","—",'DADOS_FORMAS'!$HP49&amp;IF('DADOS_FORMAS'!$HN49="alcance",INDEX('DADOS_FORMAS'!$GL$2:$GL$7,MIN(6,'DADOS_FORMAS'!$HR49+5)),IF('DADOS_FORMAS'!$HN49="raio",INDEX('DADOS_FORMAS'!$GN$2:$GN$6,MIN(5,'DADOS_FORMAS'!$HR49+5)),IF('DADOS_FORMAS'!$HN49="comprimento",INDEX('DADOS_FORMAS'!$GP$2:$GP$6,MIN(5,'DADOS_FORMAS'!$HR49+5)),'DADOS_FORMAS'!$HO49)))&amp;SUBSTITUTE('DADOS_FORMAS'!$HQ49,"em você","nela")))</f>
        <v/>
      </c>
    </row>
    <row r="66">
      <c r="HM66">
        <f>'DADOS_FORMAS'!$BL20</f>
        <v/>
      </c>
      <c r="HN66">
        <f>IF('DADOS_FORMAS'!$BL20="area",'DADOS_FORMAS'!$AU20,'DADOS_FORMAS'!$AT20)</f>
        <v/>
      </c>
      <c r="HO66">
        <f>IF('DADOS_FORMAS'!$BL20="area",'DADOS_FORMAS'!$BF20,'DADOS_FORMAS'!$AY20)</f>
        <v/>
      </c>
      <c r="HP66">
        <f>'DADOS_FORMAS'!$BM20</f>
        <v/>
      </c>
      <c r="HQ66">
        <f>'DADOS_FORMAS'!$BN20</f>
        <v/>
      </c>
      <c r="HR66">
        <f>LET(base,'DADOS_FORMAS'!$HO66,escada,'DADOS_FORMAS'!$HN66,medida,LEFT(base,MAX(0,LEN(base)-2)),valor,IFERROR(VALUE(SUBSTITUTE(medida,",",""))/10^IFERROR(LEN(medida)-FIND(",",medida),0),1E99),IF(OR(escada="Fixo",base="—"),base,IF(escada="alcance",IFERROR(MATCH(base,{"1,5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6">
        <f>'DADOS_FORMAS'!$AH18&amp;" · classe 0"</f>
        <v/>
      </c>
      <c r="HU66">
        <f>LET(trecho,IF(OR('DADOS_FORMAS'!$AH18="",'DADOS_FORMAS'!$HM50="",'DADOS_FORMAS'!$HO50=""),"",IF('DADOS_FORMAS'!$HO50="—","—",'DADOS_FORMAS'!$HP50&amp;'DADOS_FORMAS'!$HO50&amp;SUBSTITUTE('DADOS_FORMAS'!$HQ50,"em você","nela"))),UPPER(LEFT(trecho,1))&amp;MID(trecho,2,LEN(trecho)))</f>
        <v/>
      </c>
      <c r="HV66">
        <f>LET(trecho,IF(OR('DADOS_FORMAS'!$AH18="",'DADOS_FORMAS'!$HM50="",'DADOS_FORMAS'!$HO50=""),"",IF('DADOS_FORMAS'!$HO50="—","—",'DADOS_FORMAS'!$HP50&amp;IF('DADOS_FORMAS'!$HN50="alcance",INDEX('DADOS_FORMAS'!$GL$2:$GL$7,MIN(6,'DADOS_FORMAS'!$HR50+1)),IF('DADOS_FORMAS'!$HN50="raio",INDEX('DADOS_FORMAS'!$GN$2:$GN$6,MIN(5,'DADOS_FORMAS'!$HR50+1)),IF('DADOS_FORMAS'!$HN50="comprimento",INDEX('DADOS_FORMAS'!$GP$2:$GP$6,MIN(5,'DADOS_FORMAS'!$HR50+1)),'DADOS_FORMAS'!$HO50)))&amp;SUBSTITUTE('DADOS_FORMAS'!$HQ50,"em você","nela"))),UPPER(LEFT(trecho,1))&amp;MID(trecho,2,LEN(trecho)))</f>
        <v/>
      </c>
      <c r="HW66">
        <f>LET(trecho,IF(OR('DADOS_FORMAS'!$AH18="",'DADOS_FORMAS'!$HM50="",'DADOS_FORMAS'!$HO50=""),"",IF('DADOS_FORMAS'!$HO50="—","—",'DADOS_FORMAS'!$HP50&amp;IF('DADOS_FORMAS'!$HN50="alcance",INDEX('DADOS_FORMAS'!$GL$2:$GL$7,MIN(6,'DADOS_FORMAS'!$HR50+2)),IF('DADOS_FORMAS'!$HN50="raio",INDEX('DADOS_FORMAS'!$GN$2:$GN$6,MIN(5,'DADOS_FORMAS'!$HR50+2)),IF('DADOS_FORMAS'!$HN50="comprimento",INDEX('DADOS_FORMAS'!$GP$2:$GP$6,MIN(5,'DADOS_FORMAS'!$HR50+2)),'DADOS_FORMAS'!$HO50)))&amp;SUBSTITUTE('DADOS_FORMAS'!$HQ50,"em você","nela"))),UPPER(LEFT(trecho,1))&amp;MID(trecho,2,LEN(trecho)))</f>
        <v/>
      </c>
      <c r="HX66">
        <f>LET(trecho,IF(OR('DADOS_FORMAS'!$AH18="",'DADOS_FORMAS'!$HM50="",'DADOS_FORMAS'!$HO50=""),"",IF('DADOS_FORMAS'!$HO50="—","—",'DADOS_FORMAS'!$HP50&amp;IF('DADOS_FORMAS'!$HN50="alcance",INDEX('DADOS_FORMAS'!$GL$2:$GL$7,MIN(6,'DADOS_FORMAS'!$HR50+3)),IF('DADOS_FORMAS'!$HN50="raio",INDEX('DADOS_FORMAS'!$GN$2:$GN$6,MIN(5,'DADOS_FORMAS'!$HR50+3)),IF('DADOS_FORMAS'!$HN50="comprimento",INDEX('DADOS_FORMAS'!$GP$2:$GP$6,MIN(5,'DADOS_FORMAS'!$HR50+3)),'DADOS_FORMAS'!$HO50)))&amp;SUBSTITUTE('DADOS_FORMAS'!$HQ50,"em você","nela"))),UPPER(LEFT(trecho,1))&amp;MID(trecho,2,LEN(trecho)))</f>
        <v/>
      </c>
      <c r="HY66">
        <f>LET(trecho,IF(OR('DADOS_FORMAS'!$AH18="",'DADOS_FORMAS'!$HM50="",'DADOS_FORMAS'!$HO50=""),"",IF('DADOS_FORMAS'!$HO50="—","—",'DADOS_FORMAS'!$HP50&amp;IF('DADOS_FORMAS'!$HN50="alcance",INDEX('DADOS_FORMAS'!$GL$2:$GL$7,MIN(6,'DADOS_FORMAS'!$HR50+4)),IF('DADOS_FORMAS'!$HN50="raio",INDEX('DADOS_FORMAS'!$GN$2:$GN$6,MIN(5,'DADOS_FORMAS'!$HR50+4)),IF('DADOS_FORMAS'!$HN50="comprimento",INDEX('DADOS_FORMAS'!$GP$2:$GP$6,MIN(5,'DADOS_FORMAS'!$HR50+4)),'DADOS_FORMAS'!$HO50)))&amp;SUBSTITUTE('DADOS_FORMAS'!$HQ50,"em você","nela"))),UPPER(LEFT(trecho,1))&amp;MID(trecho,2,LEN(trecho)))</f>
        <v/>
      </c>
      <c r="HZ66">
        <f>LET(trecho,IF(OR('DADOS_FORMAS'!$AH18="",'DADOS_FORMAS'!$HM50="",'DADOS_FORMAS'!$HO50=""),"",IF('DADOS_FORMAS'!$HO50="—","—",'DADOS_FORMAS'!$HP50&amp;IF('DADOS_FORMAS'!$HN50="alcance",INDEX('DADOS_FORMAS'!$GL$2:$GL$7,MIN(6,'DADOS_FORMAS'!$HR50+5)),IF('DADOS_FORMAS'!$HN50="raio",INDEX('DADOS_FORMAS'!$GN$2:$GN$6,MIN(5,'DADOS_FORMAS'!$HR50+5)),IF('DADOS_FORMAS'!$HN50="comprimento",INDEX('DADOS_FORMAS'!$GP$2:$GP$6,MIN(5,'DADOS_FORMAS'!$HR50+5)),'DADOS_FORMAS'!$HO50)))&amp;SUBSTITUTE('DADOS_FORMAS'!$HQ50,"em você","nela"))),UPPER(LEFT(trecho,1))&amp;MID(trecho,2,LEN(trecho)))</f>
        <v/>
      </c>
      <c r="IA66">
        <f>IF(OR('DADOS_FORMAS'!$AH18="",'DADOS_FORMAS'!$HM51="",'DADOS_FORMAS'!$HO51=""),"",IF('DADOS_FORMAS'!$HO51="—","—",'DADOS_FORMAS'!$HP51&amp;'DADOS_FORMAS'!$HO51&amp;SUBSTITUTE('DADOS_FORMAS'!$HQ51,"em você","nela")))</f>
        <v/>
      </c>
      <c r="IB66">
        <f>IF(OR('DADOS_FORMAS'!$AH18="",'DADOS_FORMAS'!$HM51="",'DADOS_FORMAS'!$HO51=""),"",IF('DADOS_FORMAS'!$HO51="—","—",'DADOS_FORMAS'!$HP51&amp;IF('DADOS_FORMAS'!$HN51="alcance",INDEX('DADOS_FORMAS'!$GL$2:$GL$7,MIN(6,'DADOS_FORMAS'!$HR51+1)),IF('DADOS_FORMAS'!$HN51="raio",INDEX('DADOS_FORMAS'!$GN$2:$GN$6,MIN(5,'DADOS_FORMAS'!$HR51+1)),IF('DADOS_FORMAS'!$HN51="comprimento",INDEX('DADOS_FORMAS'!$GP$2:$GP$6,MIN(5,'DADOS_FORMAS'!$HR51+1)),'DADOS_FORMAS'!$HO51)))&amp;SUBSTITUTE('DADOS_FORMAS'!$HQ51,"em você","nela")))</f>
        <v/>
      </c>
      <c r="IC66">
        <f>IF(OR('DADOS_FORMAS'!$AH18="",'DADOS_FORMAS'!$HM51="",'DADOS_FORMAS'!$HO51=""),"",IF('DADOS_FORMAS'!$HO51="—","—",'DADOS_FORMAS'!$HP51&amp;IF('DADOS_FORMAS'!$HN51="alcance",INDEX('DADOS_FORMAS'!$GL$2:$GL$7,MIN(6,'DADOS_FORMAS'!$HR51+2)),IF('DADOS_FORMAS'!$HN51="raio",INDEX('DADOS_FORMAS'!$GN$2:$GN$6,MIN(5,'DADOS_FORMAS'!$HR51+2)),IF('DADOS_FORMAS'!$HN51="comprimento",INDEX('DADOS_FORMAS'!$GP$2:$GP$6,MIN(5,'DADOS_FORMAS'!$HR51+2)),'DADOS_FORMAS'!$HO51)))&amp;SUBSTITUTE('DADOS_FORMAS'!$HQ51,"em você","nela")))</f>
        <v/>
      </c>
      <c r="ID66">
        <f>IF(OR('DADOS_FORMAS'!$AH18="",'DADOS_FORMAS'!$HM51="",'DADOS_FORMAS'!$HO51=""),"",IF('DADOS_FORMAS'!$HO51="—","—",'DADOS_FORMAS'!$HP51&amp;IF('DADOS_FORMAS'!$HN51="alcance",INDEX('DADOS_FORMAS'!$GL$2:$GL$7,MIN(6,'DADOS_FORMAS'!$HR51+3)),IF('DADOS_FORMAS'!$HN51="raio",INDEX('DADOS_FORMAS'!$GN$2:$GN$6,MIN(5,'DADOS_FORMAS'!$HR51+3)),IF('DADOS_FORMAS'!$HN51="comprimento",INDEX('DADOS_FORMAS'!$GP$2:$GP$6,MIN(5,'DADOS_FORMAS'!$HR51+3)),'DADOS_FORMAS'!$HO51)))&amp;SUBSTITUTE('DADOS_FORMAS'!$HQ51,"em você","nela")))</f>
        <v/>
      </c>
      <c r="IE66">
        <f>IF(OR('DADOS_FORMAS'!$AH18="",'DADOS_FORMAS'!$HM51="",'DADOS_FORMAS'!$HO51=""),"",IF('DADOS_FORMAS'!$HO51="—","—",'DADOS_FORMAS'!$HP51&amp;IF('DADOS_FORMAS'!$HN51="alcance",INDEX('DADOS_FORMAS'!$GL$2:$GL$7,MIN(6,'DADOS_FORMAS'!$HR51+4)),IF('DADOS_FORMAS'!$HN51="raio",INDEX('DADOS_FORMAS'!$GN$2:$GN$6,MIN(5,'DADOS_FORMAS'!$HR51+4)),IF('DADOS_FORMAS'!$HN51="comprimento",INDEX('DADOS_FORMAS'!$GP$2:$GP$6,MIN(5,'DADOS_FORMAS'!$HR51+4)),'DADOS_FORMAS'!$HO51)))&amp;SUBSTITUTE('DADOS_FORMAS'!$HQ51,"em você","nela")))</f>
        <v/>
      </c>
      <c r="IF66">
        <f>IF(OR('DADOS_FORMAS'!$AH18="",'DADOS_FORMAS'!$HM51="",'DADOS_FORMAS'!$HO51=""),"",IF('DADOS_FORMAS'!$HO51="—","—",'DADOS_FORMAS'!$HP51&amp;IF('DADOS_FORMAS'!$HN51="alcance",INDEX('DADOS_FORMAS'!$GL$2:$GL$7,MIN(6,'DADOS_FORMAS'!$HR51+5)),IF('DADOS_FORMAS'!$HN51="raio",INDEX('DADOS_FORMAS'!$GN$2:$GN$6,MIN(5,'DADOS_FORMAS'!$HR51+5)),IF('DADOS_FORMAS'!$HN51="comprimento",INDEX('DADOS_FORMAS'!$GP$2:$GP$6,MIN(5,'DADOS_FORMAS'!$HR51+5)),'DADOS_FORMAS'!$HO51)))&amp;SUBSTITUTE('DADOS_FORMAS'!$HQ51,"em você","nela")))</f>
        <v/>
      </c>
    </row>
    <row r="67">
      <c r="HM67">
        <f>'DADOS_FORMAS'!$BP20</f>
        <v/>
      </c>
      <c r="HN67">
        <f>IF('DADOS_FORMAS'!$BP20="area",'DADOS_FORMAS'!$AU20,'DADOS_FORMAS'!$AT20)</f>
        <v/>
      </c>
      <c r="HO67">
        <f>IF('DADOS_FORMAS'!$BP20="area",'DADOS_FORMAS'!$BF20,'DADOS_FORMAS'!$AY20)</f>
        <v/>
      </c>
      <c r="HP67">
        <f>'DADOS_FORMAS'!$BQ20</f>
        <v/>
      </c>
      <c r="HQ67">
        <f>'DADOS_FORMAS'!$BR20</f>
        <v/>
      </c>
      <c r="HR67">
        <f>LET(base,'DADOS_FORMAS'!$HO67,escada,'DADOS_FORMAS'!$HN67,medida,LEFT(base,MAX(0,LEN(base)-2)),valor,IFERROR(VALUE(SUBSTITUTE(medida,",",""))/10^IFERROR(LEN(medida)-FIND(",",medida),0),1E99),IF(OR(escada="Fixo",base="—"),base,IF(escada="alcance",IFERROR(MATCH(base,{"1,5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7">
        <f>'DADOS_FORMAS'!$AH18&amp;" · classes 1 a 5"</f>
        <v/>
      </c>
      <c r="HU67">
        <f>LET(trecho,IF(OR('DADOS_FORMAS'!$AH18="",'DADOS_FORMAS'!$HM52="",'DADOS_FORMAS'!$HO52=""),"",IF('DADOS_FORMAS'!$HO52="—","—",'DADOS_FORMAS'!$HP52&amp;'DADOS_FORMAS'!$HO52&amp;SUBSTITUTE('DADOS_FORMAS'!$HQ52,"em você","nela"))),UPPER(LEFT(trecho,1))&amp;MID(trecho,2,LEN(trecho)))</f>
        <v/>
      </c>
      <c r="HV67">
        <f>LET(trecho,IF(OR('DADOS_FORMAS'!$AH18="",'DADOS_FORMAS'!$HM52="",'DADOS_FORMAS'!$HO52=""),"",IF('DADOS_FORMAS'!$HO52="—","—",'DADOS_FORMAS'!$HP52&amp;IF('DADOS_FORMAS'!$HN52="alcance",INDEX('DADOS_FORMAS'!$GL$2:$GL$7,MIN(6,'DADOS_FORMAS'!$HR52+1)),IF('DADOS_FORMAS'!$HN52="raio",INDEX('DADOS_FORMAS'!$GN$2:$GN$6,MIN(5,'DADOS_FORMAS'!$HR52+1)),IF('DADOS_FORMAS'!$HN52="comprimento",INDEX('DADOS_FORMAS'!$GP$2:$GP$6,MIN(5,'DADOS_FORMAS'!$HR52+1)),'DADOS_FORMAS'!$HO52)))&amp;SUBSTITUTE('DADOS_FORMAS'!$HQ52,"em você","nela"))),UPPER(LEFT(trecho,1))&amp;MID(trecho,2,LEN(trecho)))</f>
        <v/>
      </c>
      <c r="HW67">
        <f>LET(trecho,IF(OR('DADOS_FORMAS'!$AH18="",'DADOS_FORMAS'!$HM52="",'DADOS_FORMAS'!$HO52=""),"",IF('DADOS_FORMAS'!$HO52="—","—",'DADOS_FORMAS'!$HP52&amp;IF('DADOS_FORMAS'!$HN52="alcance",INDEX('DADOS_FORMAS'!$GL$2:$GL$7,MIN(6,'DADOS_FORMAS'!$HR52+2)),IF('DADOS_FORMAS'!$HN52="raio",INDEX('DADOS_FORMAS'!$GN$2:$GN$6,MIN(5,'DADOS_FORMAS'!$HR52+2)),IF('DADOS_FORMAS'!$HN52="comprimento",INDEX('DADOS_FORMAS'!$GP$2:$GP$6,MIN(5,'DADOS_FORMAS'!$HR52+2)),'DADOS_FORMAS'!$HO52)))&amp;SUBSTITUTE('DADOS_FORMAS'!$HQ52,"em você","nela"))),UPPER(LEFT(trecho,1))&amp;MID(trecho,2,LEN(trecho)))</f>
        <v/>
      </c>
      <c r="HX67">
        <f>LET(trecho,IF(OR('DADOS_FORMAS'!$AH18="",'DADOS_FORMAS'!$HM52="",'DADOS_FORMAS'!$HO52=""),"",IF('DADOS_FORMAS'!$HO52="—","—",'DADOS_FORMAS'!$HP52&amp;IF('DADOS_FORMAS'!$HN52="alcance",INDEX('DADOS_FORMAS'!$GL$2:$GL$7,MIN(6,'DADOS_FORMAS'!$HR52+3)),IF('DADOS_FORMAS'!$HN52="raio",INDEX('DADOS_FORMAS'!$GN$2:$GN$6,MIN(5,'DADOS_FORMAS'!$HR52+3)),IF('DADOS_FORMAS'!$HN52="comprimento",INDEX('DADOS_FORMAS'!$GP$2:$GP$6,MIN(5,'DADOS_FORMAS'!$HR52+3)),'DADOS_FORMAS'!$HO52)))&amp;SUBSTITUTE('DADOS_FORMAS'!$HQ52,"em você","nela"))),UPPER(LEFT(trecho,1))&amp;MID(trecho,2,LEN(trecho)))</f>
        <v/>
      </c>
      <c r="HY67">
        <f>LET(trecho,IF(OR('DADOS_FORMAS'!$AH18="",'DADOS_FORMAS'!$HM52="",'DADOS_FORMAS'!$HO52=""),"",IF('DADOS_FORMAS'!$HO52="—","—",'DADOS_FORMAS'!$HP52&amp;IF('DADOS_FORMAS'!$HN52="alcance",INDEX('DADOS_FORMAS'!$GL$2:$GL$7,MIN(6,'DADOS_FORMAS'!$HR52+4)),IF('DADOS_FORMAS'!$HN52="raio",INDEX('DADOS_FORMAS'!$GN$2:$GN$6,MIN(5,'DADOS_FORMAS'!$HR52+4)),IF('DADOS_FORMAS'!$HN52="comprimento",INDEX('DADOS_FORMAS'!$GP$2:$GP$6,MIN(5,'DADOS_FORMAS'!$HR52+4)),'DADOS_FORMAS'!$HO52)))&amp;SUBSTITUTE('DADOS_FORMAS'!$HQ52,"em você","nela"))),UPPER(LEFT(trecho,1))&amp;MID(trecho,2,LEN(trecho)))</f>
        <v/>
      </c>
      <c r="HZ67">
        <f>LET(trecho,IF(OR('DADOS_FORMAS'!$AH18="",'DADOS_FORMAS'!$HM52="",'DADOS_FORMAS'!$HO52=""),"",IF('DADOS_FORMAS'!$HO52="—","—",'DADOS_FORMAS'!$HP52&amp;IF('DADOS_FORMAS'!$HN52="alcance",INDEX('DADOS_FORMAS'!$GL$2:$GL$7,MIN(6,'DADOS_FORMAS'!$HR52+5)),IF('DADOS_FORMAS'!$HN52="raio",INDEX('DADOS_FORMAS'!$GN$2:$GN$6,MIN(5,'DADOS_FORMAS'!$HR52+5)),IF('DADOS_FORMAS'!$HN52="comprimento",INDEX('DADOS_FORMAS'!$GP$2:$GP$6,MIN(5,'DADOS_FORMAS'!$HR52+5)),'DADOS_FORMAS'!$HO52)))&amp;SUBSTITUTE('DADOS_FORMAS'!$HQ52,"em você","nela"))),UPPER(LEFT(trecho,1))&amp;MID(trecho,2,LEN(trecho)))</f>
        <v/>
      </c>
      <c r="IA67">
        <f>IF(OR('DADOS_FORMAS'!$AH18="",'DADOS_FORMAS'!$HM53="",'DADOS_FORMAS'!$HO53=""),"",IF('DADOS_FORMAS'!$HO53="—","—",'DADOS_FORMAS'!$HP53&amp;'DADOS_FORMAS'!$HO53&amp;SUBSTITUTE('DADOS_FORMAS'!$HQ53,"em você","nela")))</f>
        <v/>
      </c>
      <c r="IB67">
        <f>IF(OR('DADOS_FORMAS'!$AH18="",'DADOS_FORMAS'!$HM53="",'DADOS_FORMAS'!$HO53=""),"",IF('DADOS_FORMAS'!$HO53="—","—",'DADOS_FORMAS'!$HP53&amp;IF('DADOS_FORMAS'!$HN53="alcance",INDEX('DADOS_FORMAS'!$GL$2:$GL$7,MIN(6,'DADOS_FORMAS'!$HR53+1)),IF('DADOS_FORMAS'!$HN53="raio",INDEX('DADOS_FORMAS'!$GN$2:$GN$6,MIN(5,'DADOS_FORMAS'!$HR53+1)),IF('DADOS_FORMAS'!$HN53="comprimento",INDEX('DADOS_FORMAS'!$GP$2:$GP$6,MIN(5,'DADOS_FORMAS'!$HR53+1)),'DADOS_FORMAS'!$HO53)))&amp;SUBSTITUTE('DADOS_FORMAS'!$HQ53,"em você","nela")))</f>
        <v/>
      </c>
      <c r="IC67">
        <f>IF(OR('DADOS_FORMAS'!$AH18="",'DADOS_FORMAS'!$HM53="",'DADOS_FORMAS'!$HO53=""),"",IF('DADOS_FORMAS'!$HO53="—","—",'DADOS_FORMAS'!$HP53&amp;IF('DADOS_FORMAS'!$HN53="alcance",INDEX('DADOS_FORMAS'!$GL$2:$GL$7,MIN(6,'DADOS_FORMAS'!$HR53+2)),IF('DADOS_FORMAS'!$HN53="raio",INDEX('DADOS_FORMAS'!$GN$2:$GN$6,MIN(5,'DADOS_FORMAS'!$HR53+2)),IF('DADOS_FORMAS'!$HN53="comprimento",INDEX('DADOS_FORMAS'!$GP$2:$GP$6,MIN(5,'DADOS_FORMAS'!$HR53+2)),'DADOS_FORMAS'!$HO53)))&amp;SUBSTITUTE('DADOS_FORMAS'!$HQ53,"em você","nela")))</f>
        <v/>
      </c>
      <c r="ID67">
        <f>IF(OR('DADOS_FORMAS'!$AH18="",'DADOS_FORMAS'!$HM53="",'DADOS_FORMAS'!$HO53=""),"",IF('DADOS_FORMAS'!$HO53="—","—",'DADOS_FORMAS'!$HP53&amp;IF('DADOS_FORMAS'!$HN53="alcance",INDEX('DADOS_FORMAS'!$GL$2:$GL$7,MIN(6,'DADOS_FORMAS'!$HR53+3)),IF('DADOS_FORMAS'!$HN53="raio",INDEX('DADOS_FORMAS'!$GN$2:$GN$6,MIN(5,'DADOS_FORMAS'!$HR53+3)),IF('DADOS_FORMAS'!$HN53="comprimento",INDEX('DADOS_FORMAS'!$GP$2:$GP$6,MIN(5,'DADOS_FORMAS'!$HR53+3)),'DADOS_FORMAS'!$HO53)))&amp;SUBSTITUTE('DADOS_FORMAS'!$HQ53,"em você","nela")))</f>
        <v/>
      </c>
      <c r="IE67">
        <f>IF(OR('DADOS_FORMAS'!$AH18="",'DADOS_FORMAS'!$HM53="",'DADOS_FORMAS'!$HO53=""),"",IF('DADOS_FORMAS'!$HO53="—","—",'DADOS_FORMAS'!$HP53&amp;IF('DADOS_FORMAS'!$HN53="alcance",INDEX('DADOS_FORMAS'!$GL$2:$GL$7,MIN(6,'DADOS_FORMAS'!$HR53+4)),IF('DADOS_FORMAS'!$HN53="raio",INDEX('DADOS_FORMAS'!$GN$2:$GN$6,MIN(5,'DADOS_FORMAS'!$HR53+4)),IF('DADOS_FORMAS'!$HN53="comprimento",INDEX('DADOS_FORMAS'!$GP$2:$GP$6,MIN(5,'DADOS_FORMAS'!$HR53+4)),'DADOS_FORMAS'!$HO53)))&amp;SUBSTITUTE('DADOS_FORMAS'!$HQ53,"em você","nela")))</f>
        <v/>
      </c>
      <c r="IF67">
        <f>IF(OR('DADOS_FORMAS'!$AH18="",'DADOS_FORMAS'!$HM53="",'DADOS_FORMAS'!$HO53=""),"",IF('DADOS_FORMAS'!$HO53="—","—",'DADOS_FORMAS'!$HP53&amp;IF('DADOS_FORMAS'!$HN53="alcance",INDEX('DADOS_FORMAS'!$GL$2:$GL$7,MIN(6,'DADOS_FORMAS'!$HR53+5)),IF('DADOS_FORMAS'!$HN53="raio",INDEX('DADOS_FORMAS'!$GN$2:$GN$6,MIN(5,'DADOS_FORMAS'!$HR53+5)),IF('DADOS_FORMAS'!$HN53="comprimento",INDEX('DADOS_FORMAS'!$GP$2:$GP$6,MIN(5,'DADOS_FORMAS'!$HR53+5)),'DADOS_FORMAS'!$HO53)))&amp;SUBSTITUTE('DADOS_FORMAS'!$HQ53,"em você","nela")))</f>
        <v/>
      </c>
    </row>
    <row r="68">
      <c r="HM68">
        <f>'DADOS_FORMAS'!$BL20</f>
        <v/>
      </c>
      <c r="HN68">
        <f>IF('DADOS_FORMAS'!$BL20="area",'DADOS_FORMAS'!$AU20,'DADOS_FORMAS'!$AT20)</f>
        <v/>
      </c>
      <c r="HO68">
        <f>IF('DADOS_FORMAS'!$BL20="area",'DADOS_FORMAS'!$BG20,'DADOS_FORMAS'!$AZ20)</f>
        <v/>
      </c>
      <c r="HP68">
        <f>'DADOS_FORMAS'!$BM20</f>
        <v/>
      </c>
      <c r="HQ68">
        <f>'DADOS_FORMAS'!$BN20</f>
        <v/>
      </c>
      <c r="HR68">
        <f>LET(base,'DADOS_FORMAS'!$HO68,escada,'DADOS_FORMAS'!$HN68,medida,LEFT(base,MAX(0,LEN(base)-2)),valor,IFERROR(VALUE(SUBSTITUTE(medida,",",""))/10^IFERROR(LEN(medida)-FIND(",",medida),0),1E99),IF(OR(escada="Fixo",base="—"),base,IF(escada="alcance",IFERROR(MATCH(base,{"1,5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8">
        <f>'DADOS_FORMAS'!$AH18&amp;" · classe 6"</f>
        <v/>
      </c>
      <c r="HU68">
        <f>LET(trecho,IF(OR('DADOS_FORMAS'!$AH18="",'DADOS_FORMAS'!$HM54="",'DADOS_FORMAS'!$HO54=""),"",IF('DADOS_FORMAS'!$HO54="—","—",'DADOS_FORMAS'!$HP54&amp;'DADOS_FORMAS'!$HO54&amp;SUBSTITUTE('DADOS_FORMAS'!$HQ54,"em você","nela"))),UPPER(LEFT(trecho,1))&amp;MID(trecho,2,LEN(trecho)))</f>
        <v/>
      </c>
      <c r="HV68">
        <f>LET(trecho,IF(OR('DADOS_FORMAS'!$AH18="",'DADOS_FORMAS'!$HM54="",'DADOS_FORMAS'!$HO54=""),"",IF('DADOS_FORMAS'!$HO54="—","—",'DADOS_FORMAS'!$HP54&amp;IF('DADOS_FORMAS'!$HN54="alcance",INDEX('DADOS_FORMAS'!$GL$2:$GL$7,MIN(6,'DADOS_FORMAS'!$HR54+1)),IF('DADOS_FORMAS'!$HN54="raio",INDEX('DADOS_FORMAS'!$GN$2:$GN$6,MIN(5,'DADOS_FORMAS'!$HR54+1)),IF('DADOS_FORMAS'!$HN54="comprimento",INDEX('DADOS_FORMAS'!$GP$2:$GP$6,MIN(5,'DADOS_FORMAS'!$HR54+1)),'DADOS_FORMAS'!$HO54)))&amp;SUBSTITUTE('DADOS_FORMAS'!$HQ54,"em você","nela"))),UPPER(LEFT(trecho,1))&amp;MID(trecho,2,LEN(trecho)))</f>
        <v/>
      </c>
      <c r="HW68">
        <f>LET(trecho,IF(OR('DADOS_FORMAS'!$AH18="",'DADOS_FORMAS'!$HM54="",'DADOS_FORMAS'!$HO54=""),"",IF('DADOS_FORMAS'!$HO54="—","—",'DADOS_FORMAS'!$HP54&amp;IF('DADOS_FORMAS'!$HN54="alcance",INDEX('DADOS_FORMAS'!$GL$2:$GL$7,MIN(6,'DADOS_FORMAS'!$HR54+2)),IF('DADOS_FORMAS'!$HN54="raio",INDEX('DADOS_FORMAS'!$GN$2:$GN$6,MIN(5,'DADOS_FORMAS'!$HR54+2)),IF('DADOS_FORMAS'!$HN54="comprimento",INDEX('DADOS_FORMAS'!$GP$2:$GP$6,MIN(5,'DADOS_FORMAS'!$HR54+2)),'DADOS_FORMAS'!$HO54)))&amp;SUBSTITUTE('DADOS_FORMAS'!$HQ54,"em você","nela"))),UPPER(LEFT(trecho,1))&amp;MID(trecho,2,LEN(trecho)))</f>
        <v/>
      </c>
      <c r="HX68">
        <f>LET(trecho,IF(OR('DADOS_FORMAS'!$AH18="",'DADOS_FORMAS'!$HM54="",'DADOS_FORMAS'!$HO54=""),"",IF('DADOS_FORMAS'!$HO54="—","—",'DADOS_FORMAS'!$HP54&amp;IF('DADOS_FORMAS'!$HN54="alcance",INDEX('DADOS_FORMAS'!$GL$2:$GL$7,MIN(6,'DADOS_FORMAS'!$HR54+3)),IF('DADOS_FORMAS'!$HN54="raio",INDEX('DADOS_FORMAS'!$GN$2:$GN$6,MIN(5,'DADOS_FORMAS'!$HR54+3)),IF('DADOS_FORMAS'!$HN54="comprimento",INDEX('DADOS_FORMAS'!$GP$2:$GP$6,MIN(5,'DADOS_FORMAS'!$HR54+3)),'DADOS_FORMAS'!$HO54)))&amp;SUBSTITUTE('DADOS_FORMAS'!$HQ54,"em você","nela"))),UPPER(LEFT(trecho,1))&amp;MID(trecho,2,LEN(trecho)))</f>
        <v/>
      </c>
      <c r="HY68">
        <f>LET(trecho,IF(OR('DADOS_FORMAS'!$AH18="",'DADOS_FORMAS'!$HM54="",'DADOS_FORMAS'!$HO54=""),"",IF('DADOS_FORMAS'!$HO54="—","—",'DADOS_FORMAS'!$HP54&amp;IF('DADOS_FORMAS'!$HN54="alcance",INDEX('DADOS_FORMAS'!$GL$2:$GL$7,MIN(6,'DADOS_FORMAS'!$HR54+4)),IF('DADOS_FORMAS'!$HN54="raio",INDEX('DADOS_FORMAS'!$GN$2:$GN$6,MIN(5,'DADOS_FORMAS'!$HR54+4)),IF('DADOS_FORMAS'!$HN54="comprimento",INDEX('DADOS_FORMAS'!$GP$2:$GP$6,MIN(5,'DADOS_FORMAS'!$HR54+4)),'DADOS_FORMAS'!$HO54)))&amp;SUBSTITUTE('DADOS_FORMAS'!$HQ54,"em você","nela"))),UPPER(LEFT(trecho,1))&amp;MID(trecho,2,LEN(trecho)))</f>
        <v/>
      </c>
      <c r="HZ68">
        <f>LET(trecho,IF(OR('DADOS_FORMAS'!$AH18="",'DADOS_FORMAS'!$HM54="",'DADOS_FORMAS'!$HO54=""),"",IF('DADOS_FORMAS'!$HO54="—","—",'DADOS_FORMAS'!$HP54&amp;IF('DADOS_FORMAS'!$HN54="alcance",INDEX('DADOS_FORMAS'!$GL$2:$GL$7,MIN(6,'DADOS_FORMAS'!$HR54+5)),IF('DADOS_FORMAS'!$HN54="raio",INDEX('DADOS_FORMAS'!$GN$2:$GN$6,MIN(5,'DADOS_FORMAS'!$HR54+5)),IF('DADOS_FORMAS'!$HN54="comprimento",INDEX('DADOS_FORMAS'!$GP$2:$GP$6,MIN(5,'DADOS_FORMAS'!$HR54+5)),'DADOS_FORMAS'!$HO54)))&amp;SUBSTITUTE('DADOS_FORMAS'!$HQ54,"em você","nela"))),UPPER(LEFT(trecho,1))&amp;MID(trecho,2,LEN(trecho)))</f>
        <v/>
      </c>
      <c r="IA68">
        <f>IF(OR('DADOS_FORMAS'!$AH18="",'DADOS_FORMAS'!$HM55="",'DADOS_FORMAS'!$HO55=""),"",IF('DADOS_FORMAS'!$HO55="—","—",'DADOS_FORMAS'!$HP55&amp;'DADOS_FORMAS'!$HO55&amp;SUBSTITUTE('DADOS_FORMAS'!$HQ55,"em você","nela")))</f>
        <v/>
      </c>
      <c r="IB68">
        <f>IF(OR('DADOS_FORMAS'!$AH18="",'DADOS_FORMAS'!$HM55="",'DADOS_FORMAS'!$HO55=""),"",IF('DADOS_FORMAS'!$HO55="—","—",'DADOS_FORMAS'!$HP55&amp;IF('DADOS_FORMAS'!$HN55="alcance",INDEX('DADOS_FORMAS'!$GL$2:$GL$7,MIN(6,'DADOS_FORMAS'!$HR55+1)),IF('DADOS_FORMAS'!$HN55="raio",INDEX('DADOS_FORMAS'!$GN$2:$GN$6,MIN(5,'DADOS_FORMAS'!$HR55+1)),IF('DADOS_FORMAS'!$HN55="comprimento",INDEX('DADOS_FORMAS'!$GP$2:$GP$6,MIN(5,'DADOS_FORMAS'!$HR55+1)),'DADOS_FORMAS'!$HO55)))&amp;SUBSTITUTE('DADOS_FORMAS'!$HQ55,"em você","nela")))</f>
        <v/>
      </c>
      <c r="IC68">
        <f>IF(OR('DADOS_FORMAS'!$AH18="",'DADOS_FORMAS'!$HM55="",'DADOS_FORMAS'!$HO55=""),"",IF('DADOS_FORMAS'!$HO55="—","—",'DADOS_FORMAS'!$HP55&amp;IF('DADOS_FORMAS'!$HN55="alcance",INDEX('DADOS_FORMAS'!$GL$2:$GL$7,MIN(6,'DADOS_FORMAS'!$HR55+2)),IF('DADOS_FORMAS'!$HN55="raio",INDEX('DADOS_FORMAS'!$GN$2:$GN$6,MIN(5,'DADOS_FORMAS'!$HR55+2)),IF('DADOS_FORMAS'!$HN55="comprimento",INDEX('DADOS_FORMAS'!$GP$2:$GP$6,MIN(5,'DADOS_FORMAS'!$HR55+2)),'DADOS_FORMAS'!$HO55)))&amp;SUBSTITUTE('DADOS_FORMAS'!$HQ55,"em você","nela")))</f>
        <v/>
      </c>
      <c r="ID68">
        <f>IF(OR('DADOS_FORMAS'!$AH18="",'DADOS_FORMAS'!$HM55="",'DADOS_FORMAS'!$HO55=""),"",IF('DADOS_FORMAS'!$HO55="—","—",'DADOS_FORMAS'!$HP55&amp;IF('DADOS_FORMAS'!$HN55="alcance",INDEX('DADOS_FORMAS'!$GL$2:$GL$7,MIN(6,'DADOS_FORMAS'!$HR55+3)),IF('DADOS_FORMAS'!$HN55="raio",INDEX('DADOS_FORMAS'!$GN$2:$GN$6,MIN(5,'DADOS_FORMAS'!$HR55+3)),IF('DADOS_FORMAS'!$HN55="comprimento",INDEX('DADOS_FORMAS'!$GP$2:$GP$6,MIN(5,'DADOS_FORMAS'!$HR55+3)),'DADOS_FORMAS'!$HO55)))&amp;SUBSTITUTE('DADOS_FORMAS'!$HQ55,"em você","nela")))</f>
        <v/>
      </c>
      <c r="IE68">
        <f>IF(OR('DADOS_FORMAS'!$AH18="",'DADOS_FORMAS'!$HM55="",'DADOS_FORMAS'!$HO55=""),"",IF('DADOS_FORMAS'!$HO55="—","—",'DADOS_FORMAS'!$HP55&amp;IF('DADOS_FORMAS'!$HN55="alcance",INDEX('DADOS_FORMAS'!$GL$2:$GL$7,MIN(6,'DADOS_FORMAS'!$HR55+4)),IF('DADOS_FORMAS'!$HN55="raio",INDEX('DADOS_FORMAS'!$GN$2:$GN$6,MIN(5,'DADOS_FORMAS'!$HR55+4)),IF('DADOS_FORMAS'!$HN55="comprimento",INDEX('DADOS_FORMAS'!$GP$2:$GP$6,MIN(5,'DADOS_FORMAS'!$HR55+4)),'DADOS_FORMAS'!$HO55)))&amp;SUBSTITUTE('DADOS_FORMAS'!$HQ55,"em você","nela")))</f>
        <v/>
      </c>
      <c r="IF68">
        <f>IF(OR('DADOS_FORMAS'!$AH18="",'DADOS_FORMAS'!$HM55="",'DADOS_FORMAS'!$HO55=""),"",IF('DADOS_FORMAS'!$HO55="—","—",'DADOS_FORMAS'!$HP55&amp;IF('DADOS_FORMAS'!$HN55="alcance",INDEX('DADOS_FORMAS'!$GL$2:$GL$7,MIN(6,'DADOS_FORMAS'!$HR55+5)),IF('DADOS_FORMAS'!$HN55="raio",INDEX('DADOS_FORMAS'!$GN$2:$GN$6,MIN(5,'DADOS_FORMAS'!$HR55+5)),IF('DADOS_FORMAS'!$HN55="comprimento",INDEX('DADOS_FORMAS'!$GP$2:$GP$6,MIN(5,'DADOS_FORMAS'!$HR55+5)),'DADOS_FORMAS'!$HO55)))&amp;SUBSTITUTE('DADOS_FORMAS'!$HQ55,"em você","nela")))</f>
        <v/>
      </c>
    </row>
    <row r="69">
      <c r="HM69">
        <f>'DADOS_FORMAS'!$BP20</f>
        <v/>
      </c>
      <c r="HN69">
        <f>IF('DADOS_FORMAS'!$BP20="area",'DADOS_FORMAS'!$AU20,'DADOS_FORMAS'!$AT20)</f>
        <v/>
      </c>
      <c r="HO69">
        <f>IF('DADOS_FORMAS'!$BP20="area",'DADOS_FORMAS'!$BG20,'DADOS_FORMAS'!$AZ20)</f>
        <v/>
      </c>
      <c r="HP69">
        <f>'DADOS_FORMAS'!$BQ20</f>
        <v/>
      </c>
      <c r="HQ69">
        <f>'DADOS_FORMAS'!$BR20</f>
        <v/>
      </c>
      <c r="HR69">
        <f>LET(base,'DADOS_FORMAS'!$HO69,escada,'DADOS_FORMAS'!$HN69,medida,LEFT(base,MAX(0,LEN(base)-2)),valor,IFERROR(VALUE(SUBSTITUTE(medida,",",""))/10^IFERROR(LEN(medida)-FIND(",",medida),0),1E99),IF(OR(escada="Fixo",base="—"),base,IF(escada="alcance",IFERROR(MATCH(base,{"1,5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69">
        <f>'DADOS_FORMAS'!$AH18&amp;" · classe 7"</f>
        <v/>
      </c>
      <c r="HU69">
        <f>LET(trecho,IF(OR('DADOS_FORMAS'!$AH18="",'DADOS_FORMAS'!$HM56="",'DADOS_FORMAS'!$HO56=""),"",IF('DADOS_FORMAS'!$HO56="—","—",'DADOS_FORMAS'!$HP56&amp;'DADOS_FORMAS'!$HO56&amp;SUBSTITUTE('DADOS_FORMAS'!$HQ56,"em você","nela"))),UPPER(LEFT(trecho,1))&amp;MID(trecho,2,LEN(trecho)))</f>
        <v/>
      </c>
      <c r="HV69">
        <f>LET(trecho,IF(OR('DADOS_FORMAS'!$AH18="",'DADOS_FORMAS'!$HM56="",'DADOS_FORMAS'!$HO56=""),"",IF('DADOS_FORMAS'!$HO56="—","—",'DADOS_FORMAS'!$HP56&amp;IF('DADOS_FORMAS'!$HN56="alcance",INDEX('DADOS_FORMAS'!$GL$2:$GL$7,MIN(6,'DADOS_FORMAS'!$HR56+1)),IF('DADOS_FORMAS'!$HN56="raio",INDEX('DADOS_FORMAS'!$GN$2:$GN$6,MIN(5,'DADOS_FORMAS'!$HR56+1)),IF('DADOS_FORMAS'!$HN56="comprimento",INDEX('DADOS_FORMAS'!$GP$2:$GP$6,MIN(5,'DADOS_FORMAS'!$HR56+1)),'DADOS_FORMAS'!$HO56)))&amp;SUBSTITUTE('DADOS_FORMAS'!$HQ56,"em você","nela"))),UPPER(LEFT(trecho,1))&amp;MID(trecho,2,LEN(trecho)))</f>
        <v/>
      </c>
      <c r="HW69">
        <f>LET(trecho,IF(OR('DADOS_FORMAS'!$AH18="",'DADOS_FORMAS'!$HM56="",'DADOS_FORMAS'!$HO56=""),"",IF('DADOS_FORMAS'!$HO56="—","—",'DADOS_FORMAS'!$HP56&amp;IF('DADOS_FORMAS'!$HN56="alcance",INDEX('DADOS_FORMAS'!$GL$2:$GL$7,MIN(6,'DADOS_FORMAS'!$HR56+2)),IF('DADOS_FORMAS'!$HN56="raio",INDEX('DADOS_FORMAS'!$GN$2:$GN$6,MIN(5,'DADOS_FORMAS'!$HR56+2)),IF('DADOS_FORMAS'!$HN56="comprimento",INDEX('DADOS_FORMAS'!$GP$2:$GP$6,MIN(5,'DADOS_FORMAS'!$HR56+2)),'DADOS_FORMAS'!$HO56)))&amp;SUBSTITUTE('DADOS_FORMAS'!$HQ56,"em você","nela"))),UPPER(LEFT(trecho,1))&amp;MID(trecho,2,LEN(trecho)))</f>
        <v/>
      </c>
      <c r="HX69">
        <f>LET(trecho,IF(OR('DADOS_FORMAS'!$AH18="",'DADOS_FORMAS'!$HM56="",'DADOS_FORMAS'!$HO56=""),"",IF('DADOS_FORMAS'!$HO56="—","—",'DADOS_FORMAS'!$HP56&amp;IF('DADOS_FORMAS'!$HN56="alcance",INDEX('DADOS_FORMAS'!$GL$2:$GL$7,MIN(6,'DADOS_FORMAS'!$HR56+3)),IF('DADOS_FORMAS'!$HN56="raio",INDEX('DADOS_FORMAS'!$GN$2:$GN$6,MIN(5,'DADOS_FORMAS'!$HR56+3)),IF('DADOS_FORMAS'!$HN56="comprimento",INDEX('DADOS_FORMAS'!$GP$2:$GP$6,MIN(5,'DADOS_FORMAS'!$HR56+3)),'DADOS_FORMAS'!$HO56)))&amp;SUBSTITUTE('DADOS_FORMAS'!$HQ56,"em você","nela"))),UPPER(LEFT(trecho,1))&amp;MID(trecho,2,LEN(trecho)))</f>
        <v/>
      </c>
      <c r="HY69">
        <f>LET(trecho,IF(OR('DADOS_FORMAS'!$AH18="",'DADOS_FORMAS'!$HM56="",'DADOS_FORMAS'!$HO56=""),"",IF('DADOS_FORMAS'!$HO56="—","—",'DADOS_FORMAS'!$HP56&amp;IF('DADOS_FORMAS'!$HN56="alcance",INDEX('DADOS_FORMAS'!$GL$2:$GL$7,MIN(6,'DADOS_FORMAS'!$HR56+4)),IF('DADOS_FORMAS'!$HN56="raio",INDEX('DADOS_FORMAS'!$GN$2:$GN$6,MIN(5,'DADOS_FORMAS'!$HR56+4)),IF('DADOS_FORMAS'!$HN56="comprimento",INDEX('DADOS_FORMAS'!$GP$2:$GP$6,MIN(5,'DADOS_FORMAS'!$HR56+4)),'DADOS_FORMAS'!$HO56)))&amp;SUBSTITUTE('DADOS_FORMAS'!$HQ56,"em você","nela"))),UPPER(LEFT(trecho,1))&amp;MID(trecho,2,LEN(trecho)))</f>
        <v/>
      </c>
      <c r="HZ69">
        <f>LET(trecho,IF(OR('DADOS_FORMAS'!$AH18="",'DADOS_FORMAS'!$HM56="",'DADOS_FORMAS'!$HO56=""),"",IF('DADOS_FORMAS'!$HO56="—","—",'DADOS_FORMAS'!$HP56&amp;IF('DADOS_FORMAS'!$HN56="alcance",INDEX('DADOS_FORMAS'!$GL$2:$GL$7,MIN(6,'DADOS_FORMAS'!$HR56+5)),IF('DADOS_FORMAS'!$HN56="raio",INDEX('DADOS_FORMAS'!$GN$2:$GN$6,MIN(5,'DADOS_FORMAS'!$HR56+5)),IF('DADOS_FORMAS'!$HN56="comprimento",INDEX('DADOS_FORMAS'!$GP$2:$GP$6,MIN(5,'DADOS_FORMAS'!$HR56+5)),'DADOS_FORMAS'!$HO56)))&amp;SUBSTITUTE('DADOS_FORMAS'!$HQ56,"em você","nela"))),UPPER(LEFT(trecho,1))&amp;MID(trecho,2,LEN(trecho)))</f>
        <v/>
      </c>
      <c r="IA69">
        <f>IF(OR('DADOS_FORMAS'!$AH18="",'DADOS_FORMAS'!$HM57="",'DADOS_FORMAS'!$HO57=""),"",IF('DADOS_FORMAS'!$HO57="—","—",'DADOS_FORMAS'!$HP57&amp;'DADOS_FORMAS'!$HO57&amp;SUBSTITUTE('DADOS_FORMAS'!$HQ57,"em você","nela")))</f>
        <v/>
      </c>
      <c r="IB69">
        <f>IF(OR('DADOS_FORMAS'!$AH18="",'DADOS_FORMAS'!$HM57="",'DADOS_FORMAS'!$HO57=""),"",IF('DADOS_FORMAS'!$HO57="—","—",'DADOS_FORMAS'!$HP57&amp;IF('DADOS_FORMAS'!$HN57="alcance",INDEX('DADOS_FORMAS'!$GL$2:$GL$7,MIN(6,'DADOS_FORMAS'!$HR57+1)),IF('DADOS_FORMAS'!$HN57="raio",INDEX('DADOS_FORMAS'!$GN$2:$GN$6,MIN(5,'DADOS_FORMAS'!$HR57+1)),IF('DADOS_FORMAS'!$HN57="comprimento",INDEX('DADOS_FORMAS'!$GP$2:$GP$6,MIN(5,'DADOS_FORMAS'!$HR57+1)),'DADOS_FORMAS'!$HO57)))&amp;SUBSTITUTE('DADOS_FORMAS'!$HQ57,"em você","nela")))</f>
        <v/>
      </c>
      <c r="IC69">
        <f>IF(OR('DADOS_FORMAS'!$AH18="",'DADOS_FORMAS'!$HM57="",'DADOS_FORMAS'!$HO57=""),"",IF('DADOS_FORMAS'!$HO57="—","—",'DADOS_FORMAS'!$HP57&amp;IF('DADOS_FORMAS'!$HN57="alcance",INDEX('DADOS_FORMAS'!$GL$2:$GL$7,MIN(6,'DADOS_FORMAS'!$HR57+2)),IF('DADOS_FORMAS'!$HN57="raio",INDEX('DADOS_FORMAS'!$GN$2:$GN$6,MIN(5,'DADOS_FORMAS'!$HR57+2)),IF('DADOS_FORMAS'!$HN57="comprimento",INDEX('DADOS_FORMAS'!$GP$2:$GP$6,MIN(5,'DADOS_FORMAS'!$HR57+2)),'DADOS_FORMAS'!$HO57)))&amp;SUBSTITUTE('DADOS_FORMAS'!$HQ57,"em você","nela")))</f>
        <v/>
      </c>
      <c r="ID69">
        <f>IF(OR('DADOS_FORMAS'!$AH18="",'DADOS_FORMAS'!$HM57="",'DADOS_FORMAS'!$HO57=""),"",IF('DADOS_FORMAS'!$HO57="—","—",'DADOS_FORMAS'!$HP57&amp;IF('DADOS_FORMAS'!$HN57="alcance",INDEX('DADOS_FORMAS'!$GL$2:$GL$7,MIN(6,'DADOS_FORMAS'!$HR57+3)),IF('DADOS_FORMAS'!$HN57="raio",INDEX('DADOS_FORMAS'!$GN$2:$GN$6,MIN(5,'DADOS_FORMAS'!$HR57+3)),IF('DADOS_FORMAS'!$HN57="comprimento",INDEX('DADOS_FORMAS'!$GP$2:$GP$6,MIN(5,'DADOS_FORMAS'!$HR57+3)),'DADOS_FORMAS'!$HO57)))&amp;SUBSTITUTE('DADOS_FORMAS'!$HQ57,"em você","nela")))</f>
        <v/>
      </c>
      <c r="IE69">
        <f>IF(OR('DADOS_FORMAS'!$AH18="",'DADOS_FORMAS'!$HM57="",'DADOS_FORMAS'!$HO57=""),"",IF('DADOS_FORMAS'!$HO57="—","—",'DADOS_FORMAS'!$HP57&amp;IF('DADOS_FORMAS'!$HN57="alcance",INDEX('DADOS_FORMAS'!$GL$2:$GL$7,MIN(6,'DADOS_FORMAS'!$HR57+4)),IF('DADOS_FORMAS'!$HN57="raio",INDEX('DADOS_FORMAS'!$GN$2:$GN$6,MIN(5,'DADOS_FORMAS'!$HR57+4)),IF('DADOS_FORMAS'!$HN57="comprimento",INDEX('DADOS_FORMAS'!$GP$2:$GP$6,MIN(5,'DADOS_FORMAS'!$HR57+4)),'DADOS_FORMAS'!$HO57)))&amp;SUBSTITUTE('DADOS_FORMAS'!$HQ57,"em você","nela")))</f>
        <v/>
      </c>
      <c r="IF69">
        <f>IF(OR('DADOS_FORMAS'!$AH18="",'DADOS_FORMAS'!$HM57="",'DADOS_FORMAS'!$HO57=""),"",IF('DADOS_FORMAS'!$HO57="—","—",'DADOS_FORMAS'!$HP57&amp;IF('DADOS_FORMAS'!$HN57="alcance",INDEX('DADOS_FORMAS'!$GL$2:$GL$7,MIN(6,'DADOS_FORMAS'!$HR57+5)),IF('DADOS_FORMAS'!$HN57="raio",INDEX('DADOS_FORMAS'!$GN$2:$GN$6,MIN(5,'DADOS_FORMAS'!$HR57+5)),IF('DADOS_FORMAS'!$HN57="comprimento",INDEX('DADOS_FORMAS'!$GP$2:$GP$6,MIN(5,'DADOS_FORMAS'!$HR57+5)),'DADOS_FORMAS'!$HO57)))&amp;SUBSTITUTE('DADOS_FORMAS'!$HQ57,"em você","nela")))</f>
        <v/>
      </c>
    </row>
    <row r="70">
      <c r="HM70">
        <f>'DADOS_FORMAS'!$BL20</f>
        <v/>
      </c>
      <c r="HN70">
        <f>IF('DADOS_FORMAS'!$BL20="area",'DADOS_FORMAS'!$AU20,'DADOS_FORMAS'!$AT20)</f>
        <v/>
      </c>
      <c r="HO70">
        <f>IF('DADOS_FORMAS'!$BL20="area",'DADOS_FORMAS'!$BH20,'DADOS_FORMAS'!$BA20)</f>
        <v/>
      </c>
      <c r="HP70">
        <f>'DADOS_FORMAS'!$BM20</f>
        <v/>
      </c>
      <c r="HQ70">
        <f>'DADOS_FORMAS'!$BN20</f>
        <v/>
      </c>
      <c r="HR70">
        <f>LET(base,'DADOS_FORMAS'!$HO70,escada,'DADOS_FORMAS'!$HN70,medida,LEFT(base,MAX(0,LEN(base)-2)),valor,IFERROR(VALUE(SUBSTITUTE(medida,",",""))/10^IFERROR(LEN(medida)-FIND(",",medida),0),1E99),IF(OR(escada="Fixo",base="—"),base,IF(escada="alcance",IFERROR(MATCH(base,{"1,5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0">
        <f>'DADOS_FORMAS'!$AH19&amp;" · classe 0"</f>
        <v/>
      </c>
      <c r="HU70">
        <f>LET(trecho,IF(OR('DADOS_FORMAS'!$AH19="",'DADOS_FORMAS'!$HM58="",'DADOS_FORMAS'!$HO58=""),"",IF('DADOS_FORMAS'!$HO58="—","—",'DADOS_FORMAS'!$HP58&amp;'DADOS_FORMAS'!$HO58&amp;SUBSTITUTE('DADOS_FORMAS'!$HQ58,"em você","nela"))),UPPER(LEFT(trecho,1))&amp;MID(trecho,2,LEN(trecho)))</f>
        <v/>
      </c>
      <c r="HV70">
        <f>LET(trecho,IF(OR('DADOS_FORMAS'!$AH19="",'DADOS_FORMAS'!$HM58="",'DADOS_FORMAS'!$HO58=""),"",IF('DADOS_FORMAS'!$HO58="—","—",'DADOS_FORMAS'!$HP58&amp;IF('DADOS_FORMAS'!$HN58="alcance",INDEX('DADOS_FORMAS'!$GL$2:$GL$7,MIN(6,'DADOS_FORMAS'!$HR58+1)),IF('DADOS_FORMAS'!$HN58="raio",INDEX('DADOS_FORMAS'!$GN$2:$GN$6,MIN(5,'DADOS_FORMAS'!$HR58+1)),IF('DADOS_FORMAS'!$HN58="comprimento",INDEX('DADOS_FORMAS'!$GP$2:$GP$6,MIN(5,'DADOS_FORMAS'!$HR58+1)),'DADOS_FORMAS'!$HO58)))&amp;SUBSTITUTE('DADOS_FORMAS'!$HQ58,"em você","nela"))),UPPER(LEFT(trecho,1))&amp;MID(trecho,2,LEN(trecho)))</f>
        <v/>
      </c>
      <c r="HW70">
        <f>LET(trecho,IF(OR('DADOS_FORMAS'!$AH19="",'DADOS_FORMAS'!$HM58="",'DADOS_FORMAS'!$HO58=""),"",IF('DADOS_FORMAS'!$HO58="—","—",'DADOS_FORMAS'!$HP58&amp;IF('DADOS_FORMAS'!$HN58="alcance",INDEX('DADOS_FORMAS'!$GL$2:$GL$7,MIN(6,'DADOS_FORMAS'!$HR58+2)),IF('DADOS_FORMAS'!$HN58="raio",INDEX('DADOS_FORMAS'!$GN$2:$GN$6,MIN(5,'DADOS_FORMAS'!$HR58+2)),IF('DADOS_FORMAS'!$HN58="comprimento",INDEX('DADOS_FORMAS'!$GP$2:$GP$6,MIN(5,'DADOS_FORMAS'!$HR58+2)),'DADOS_FORMAS'!$HO58)))&amp;SUBSTITUTE('DADOS_FORMAS'!$HQ58,"em você","nela"))),UPPER(LEFT(trecho,1))&amp;MID(trecho,2,LEN(trecho)))</f>
        <v/>
      </c>
      <c r="HX70">
        <f>LET(trecho,IF(OR('DADOS_FORMAS'!$AH19="",'DADOS_FORMAS'!$HM58="",'DADOS_FORMAS'!$HO58=""),"",IF('DADOS_FORMAS'!$HO58="—","—",'DADOS_FORMAS'!$HP58&amp;IF('DADOS_FORMAS'!$HN58="alcance",INDEX('DADOS_FORMAS'!$GL$2:$GL$7,MIN(6,'DADOS_FORMAS'!$HR58+3)),IF('DADOS_FORMAS'!$HN58="raio",INDEX('DADOS_FORMAS'!$GN$2:$GN$6,MIN(5,'DADOS_FORMAS'!$HR58+3)),IF('DADOS_FORMAS'!$HN58="comprimento",INDEX('DADOS_FORMAS'!$GP$2:$GP$6,MIN(5,'DADOS_FORMAS'!$HR58+3)),'DADOS_FORMAS'!$HO58)))&amp;SUBSTITUTE('DADOS_FORMAS'!$HQ58,"em você","nela"))),UPPER(LEFT(trecho,1))&amp;MID(trecho,2,LEN(trecho)))</f>
        <v/>
      </c>
      <c r="HY70">
        <f>LET(trecho,IF(OR('DADOS_FORMAS'!$AH19="",'DADOS_FORMAS'!$HM58="",'DADOS_FORMAS'!$HO58=""),"",IF('DADOS_FORMAS'!$HO58="—","—",'DADOS_FORMAS'!$HP58&amp;IF('DADOS_FORMAS'!$HN58="alcance",INDEX('DADOS_FORMAS'!$GL$2:$GL$7,MIN(6,'DADOS_FORMAS'!$HR58+4)),IF('DADOS_FORMAS'!$HN58="raio",INDEX('DADOS_FORMAS'!$GN$2:$GN$6,MIN(5,'DADOS_FORMAS'!$HR58+4)),IF('DADOS_FORMAS'!$HN58="comprimento",INDEX('DADOS_FORMAS'!$GP$2:$GP$6,MIN(5,'DADOS_FORMAS'!$HR58+4)),'DADOS_FORMAS'!$HO58)))&amp;SUBSTITUTE('DADOS_FORMAS'!$HQ58,"em você","nela"))),UPPER(LEFT(trecho,1))&amp;MID(trecho,2,LEN(trecho)))</f>
        <v/>
      </c>
      <c r="HZ70">
        <f>LET(trecho,IF(OR('DADOS_FORMAS'!$AH19="",'DADOS_FORMAS'!$HM58="",'DADOS_FORMAS'!$HO58=""),"",IF('DADOS_FORMAS'!$HO58="—","—",'DADOS_FORMAS'!$HP58&amp;IF('DADOS_FORMAS'!$HN58="alcance",INDEX('DADOS_FORMAS'!$GL$2:$GL$7,MIN(6,'DADOS_FORMAS'!$HR58+5)),IF('DADOS_FORMAS'!$HN58="raio",INDEX('DADOS_FORMAS'!$GN$2:$GN$6,MIN(5,'DADOS_FORMAS'!$HR58+5)),IF('DADOS_FORMAS'!$HN58="comprimento",INDEX('DADOS_FORMAS'!$GP$2:$GP$6,MIN(5,'DADOS_FORMAS'!$HR58+5)),'DADOS_FORMAS'!$HO58)))&amp;SUBSTITUTE('DADOS_FORMAS'!$HQ58,"em você","nela"))),UPPER(LEFT(trecho,1))&amp;MID(trecho,2,LEN(trecho)))</f>
        <v/>
      </c>
      <c r="IA70">
        <f>IF(OR('DADOS_FORMAS'!$AH19="",'DADOS_FORMAS'!$HM59="",'DADOS_FORMAS'!$HO59=""),"",IF('DADOS_FORMAS'!$HO59="—","—",'DADOS_FORMAS'!$HP59&amp;'DADOS_FORMAS'!$HO59&amp;SUBSTITUTE('DADOS_FORMAS'!$HQ59,"em você","nela")))</f>
        <v/>
      </c>
      <c r="IB70">
        <f>IF(OR('DADOS_FORMAS'!$AH19="",'DADOS_FORMAS'!$HM59="",'DADOS_FORMAS'!$HO59=""),"",IF('DADOS_FORMAS'!$HO59="—","—",'DADOS_FORMAS'!$HP59&amp;IF('DADOS_FORMAS'!$HN59="alcance",INDEX('DADOS_FORMAS'!$GL$2:$GL$7,MIN(6,'DADOS_FORMAS'!$HR59+1)),IF('DADOS_FORMAS'!$HN59="raio",INDEX('DADOS_FORMAS'!$GN$2:$GN$6,MIN(5,'DADOS_FORMAS'!$HR59+1)),IF('DADOS_FORMAS'!$HN59="comprimento",INDEX('DADOS_FORMAS'!$GP$2:$GP$6,MIN(5,'DADOS_FORMAS'!$HR59+1)),'DADOS_FORMAS'!$HO59)))&amp;SUBSTITUTE('DADOS_FORMAS'!$HQ59,"em você","nela")))</f>
        <v/>
      </c>
      <c r="IC70">
        <f>IF(OR('DADOS_FORMAS'!$AH19="",'DADOS_FORMAS'!$HM59="",'DADOS_FORMAS'!$HO59=""),"",IF('DADOS_FORMAS'!$HO59="—","—",'DADOS_FORMAS'!$HP59&amp;IF('DADOS_FORMAS'!$HN59="alcance",INDEX('DADOS_FORMAS'!$GL$2:$GL$7,MIN(6,'DADOS_FORMAS'!$HR59+2)),IF('DADOS_FORMAS'!$HN59="raio",INDEX('DADOS_FORMAS'!$GN$2:$GN$6,MIN(5,'DADOS_FORMAS'!$HR59+2)),IF('DADOS_FORMAS'!$HN59="comprimento",INDEX('DADOS_FORMAS'!$GP$2:$GP$6,MIN(5,'DADOS_FORMAS'!$HR59+2)),'DADOS_FORMAS'!$HO59)))&amp;SUBSTITUTE('DADOS_FORMAS'!$HQ59,"em você","nela")))</f>
        <v/>
      </c>
      <c r="ID70">
        <f>IF(OR('DADOS_FORMAS'!$AH19="",'DADOS_FORMAS'!$HM59="",'DADOS_FORMAS'!$HO59=""),"",IF('DADOS_FORMAS'!$HO59="—","—",'DADOS_FORMAS'!$HP59&amp;IF('DADOS_FORMAS'!$HN59="alcance",INDEX('DADOS_FORMAS'!$GL$2:$GL$7,MIN(6,'DADOS_FORMAS'!$HR59+3)),IF('DADOS_FORMAS'!$HN59="raio",INDEX('DADOS_FORMAS'!$GN$2:$GN$6,MIN(5,'DADOS_FORMAS'!$HR59+3)),IF('DADOS_FORMAS'!$HN59="comprimento",INDEX('DADOS_FORMAS'!$GP$2:$GP$6,MIN(5,'DADOS_FORMAS'!$HR59+3)),'DADOS_FORMAS'!$HO59)))&amp;SUBSTITUTE('DADOS_FORMAS'!$HQ59,"em você","nela")))</f>
        <v/>
      </c>
      <c r="IE70">
        <f>IF(OR('DADOS_FORMAS'!$AH19="",'DADOS_FORMAS'!$HM59="",'DADOS_FORMAS'!$HO59=""),"",IF('DADOS_FORMAS'!$HO59="—","—",'DADOS_FORMAS'!$HP59&amp;IF('DADOS_FORMAS'!$HN59="alcance",INDEX('DADOS_FORMAS'!$GL$2:$GL$7,MIN(6,'DADOS_FORMAS'!$HR59+4)),IF('DADOS_FORMAS'!$HN59="raio",INDEX('DADOS_FORMAS'!$GN$2:$GN$6,MIN(5,'DADOS_FORMAS'!$HR59+4)),IF('DADOS_FORMAS'!$HN59="comprimento",INDEX('DADOS_FORMAS'!$GP$2:$GP$6,MIN(5,'DADOS_FORMAS'!$HR59+4)),'DADOS_FORMAS'!$HO59)))&amp;SUBSTITUTE('DADOS_FORMAS'!$HQ59,"em você","nela")))</f>
        <v/>
      </c>
      <c r="IF70">
        <f>IF(OR('DADOS_FORMAS'!$AH19="",'DADOS_FORMAS'!$HM59="",'DADOS_FORMAS'!$HO59=""),"",IF('DADOS_FORMAS'!$HO59="—","—",'DADOS_FORMAS'!$HP59&amp;IF('DADOS_FORMAS'!$HN59="alcance",INDEX('DADOS_FORMAS'!$GL$2:$GL$7,MIN(6,'DADOS_FORMAS'!$HR59+5)),IF('DADOS_FORMAS'!$HN59="raio",INDEX('DADOS_FORMAS'!$GN$2:$GN$6,MIN(5,'DADOS_FORMAS'!$HR59+5)),IF('DADOS_FORMAS'!$HN59="comprimento",INDEX('DADOS_FORMAS'!$GP$2:$GP$6,MIN(5,'DADOS_FORMAS'!$HR59+5)),'DADOS_FORMAS'!$HO59)))&amp;SUBSTITUTE('DADOS_FORMAS'!$HQ59,"em você","nela")))</f>
        <v/>
      </c>
    </row>
    <row r="71">
      <c r="HM71">
        <f>'DADOS_FORMAS'!$BP20</f>
        <v/>
      </c>
      <c r="HN71">
        <f>IF('DADOS_FORMAS'!$BP20="area",'DADOS_FORMAS'!$AU20,'DADOS_FORMAS'!$AT20)</f>
        <v/>
      </c>
      <c r="HO71">
        <f>IF('DADOS_FORMAS'!$BP20="area",'DADOS_FORMAS'!$BH20,'DADOS_FORMAS'!$BA20)</f>
        <v/>
      </c>
      <c r="HP71">
        <f>'DADOS_FORMAS'!$BQ20</f>
        <v/>
      </c>
      <c r="HQ71">
        <f>'DADOS_FORMAS'!$BR20</f>
        <v/>
      </c>
      <c r="HR71">
        <f>LET(base,'DADOS_FORMAS'!$HO71,escada,'DADOS_FORMAS'!$HN71,medida,LEFT(base,MAX(0,LEN(base)-2)),valor,IFERROR(VALUE(SUBSTITUTE(medida,",",""))/10^IFERROR(LEN(medida)-FIND(",",medida),0),1E99),IF(OR(escada="Fixo",base="—"),base,IF(escada="alcance",IFERROR(MATCH(base,{"1,5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1">
        <f>'DADOS_FORMAS'!$AH19&amp;" · classes 1 a 5"</f>
        <v/>
      </c>
      <c r="HU71">
        <f>LET(trecho,IF(OR('DADOS_FORMAS'!$AH19="",'DADOS_FORMAS'!$HM60="",'DADOS_FORMAS'!$HO60=""),"",IF('DADOS_FORMAS'!$HO60="—","—",'DADOS_FORMAS'!$HP60&amp;'DADOS_FORMAS'!$HO60&amp;SUBSTITUTE('DADOS_FORMAS'!$HQ60,"em você","nela"))),UPPER(LEFT(trecho,1))&amp;MID(trecho,2,LEN(trecho)))</f>
        <v/>
      </c>
      <c r="HV71">
        <f>LET(trecho,IF(OR('DADOS_FORMAS'!$AH19="",'DADOS_FORMAS'!$HM60="",'DADOS_FORMAS'!$HO60=""),"",IF('DADOS_FORMAS'!$HO60="—","—",'DADOS_FORMAS'!$HP60&amp;IF('DADOS_FORMAS'!$HN60="alcance",INDEX('DADOS_FORMAS'!$GL$2:$GL$7,MIN(6,'DADOS_FORMAS'!$HR60+1)),IF('DADOS_FORMAS'!$HN60="raio",INDEX('DADOS_FORMAS'!$GN$2:$GN$6,MIN(5,'DADOS_FORMAS'!$HR60+1)),IF('DADOS_FORMAS'!$HN60="comprimento",INDEX('DADOS_FORMAS'!$GP$2:$GP$6,MIN(5,'DADOS_FORMAS'!$HR60+1)),'DADOS_FORMAS'!$HO60)))&amp;SUBSTITUTE('DADOS_FORMAS'!$HQ60,"em você","nela"))),UPPER(LEFT(trecho,1))&amp;MID(trecho,2,LEN(trecho)))</f>
        <v/>
      </c>
      <c r="HW71">
        <f>LET(trecho,IF(OR('DADOS_FORMAS'!$AH19="",'DADOS_FORMAS'!$HM60="",'DADOS_FORMAS'!$HO60=""),"",IF('DADOS_FORMAS'!$HO60="—","—",'DADOS_FORMAS'!$HP60&amp;IF('DADOS_FORMAS'!$HN60="alcance",INDEX('DADOS_FORMAS'!$GL$2:$GL$7,MIN(6,'DADOS_FORMAS'!$HR60+2)),IF('DADOS_FORMAS'!$HN60="raio",INDEX('DADOS_FORMAS'!$GN$2:$GN$6,MIN(5,'DADOS_FORMAS'!$HR60+2)),IF('DADOS_FORMAS'!$HN60="comprimento",INDEX('DADOS_FORMAS'!$GP$2:$GP$6,MIN(5,'DADOS_FORMAS'!$HR60+2)),'DADOS_FORMAS'!$HO60)))&amp;SUBSTITUTE('DADOS_FORMAS'!$HQ60,"em você","nela"))),UPPER(LEFT(trecho,1))&amp;MID(trecho,2,LEN(trecho)))</f>
        <v/>
      </c>
      <c r="HX71">
        <f>LET(trecho,IF(OR('DADOS_FORMAS'!$AH19="",'DADOS_FORMAS'!$HM60="",'DADOS_FORMAS'!$HO60=""),"",IF('DADOS_FORMAS'!$HO60="—","—",'DADOS_FORMAS'!$HP60&amp;IF('DADOS_FORMAS'!$HN60="alcance",INDEX('DADOS_FORMAS'!$GL$2:$GL$7,MIN(6,'DADOS_FORMAS'!$HR60+3)),IF('DADOS_FORMAS'!$HN60="raio",INDEX('DADOS_FORMAS'!$GN$2:$GN$6,MIN(5,'DADOS_FORMAS'!$HR60+3)),IF('DADOS_FORMAS'!$HN60="comprimento",INDEX('DADOS_FORMAS'!$GP$2:$GP$6,MIN(5,'DADOS_FORMAS'!$HR60+3)),'DADOS_FORMAS'!$HO60)))&amp;SUBSTITUTE('DADOS_FORMAS'!$HQ60,"em você","nela"))),UPPER(LEFT(trecho,1))&amp;MID(trecho,2,LEN(trecho)))</f>
        <v/>
      </c>
      <c r="HY71">
        <f>LET(trecho,IF(OR('DADOS_FORMAS'!$AH19="",'DADOS_FORMAS'!$HM60="",'DADOS_FORMAS'!$HO60=""),"",IF('DADOS_FORMAS'!$HO60="—","—",'DADOS_FORMAS'!$HP60&amp;IF('DADOS_FORMAS'!$HN60="alcance",INDEX('DADOS_FORMAS'!$GL$2:$GL$7,MIN(6,'DADOS_FORMAS'!$HR60+4)),IF('DADOS_FORMAS'!$HN60="raio",INDEX('DADOS_FORMAS'!$GN$2:$GN$6,MIN(5,'DADOS_FORMAS'!$HR60+4)),IF('DADOS_FORMAS'!$HN60="comprimento",INDEX('DADOS_FORMAS'!$GP$2:$GP$6,MIN(5,'DADOS_FORMAS'!$HR60+4)),'DADOS_FORMAS'!$HO60)))&amp;SUBSTITUTE('DADOS_FORMAS'!$HQ60,"em você","nela"))),UPPER(LEFT(trecho,1))&amp;MID(trecho,2,LEN(trecho)))</f>
        <v/>
      </c>
      <c r="HZ71">
        <f>LET(trecho,IF(OR('DADOS_FORMAS'!$AH19="",'DADOS_FORMAS'!$HM60="",'DADOS_FORMAS'!$HO60=""),"",IF('DADOS_FORMAS'!$HO60="—","—",'DADOS_FORMAS'!$HP60&amp;IF('DADOS_FORMAS'!$HN60="alcance",INDEX('DADOS_FORMAS'!$GL$2:$GL$7,MIN(6,'DADOS_FORMAS'!$HR60+5)),IF('DADOS_FORMAS'!$HN60="raio",INDEX('DADOS_FORMAS'!$GN$2:$GN$6,MIN(5,'DADOS_FORMAS'!$HR60+5)),IF('DADOS_FORMAS'!$HN60="comprimento",INDEX('DADOS_FORMAS'!$GP$2:$GP$6,MIN(5,'DADOS_FORMAS'!$HR60+5)),'DADOS_FORMAS'!$HO60)))&amp;SUBSTITUTE('DADOS_FORMAS'!$HQ60,"em você","nela"))),UPPER(LEFT(trecho,1))&amp;MID(trecho,2,LEN(trecho)))</f>
        <v/>
      </c>
      <c r="IA71">
        <f>IF(OR('DADOS_FORMAS'!$AH19="",'DADOS_FORMAS'!$HM61="",'DADOS_FORMAS'!$HO61=""),"",IF('DADOS_FORMAS'!$HO61="—","—",'DADOS_FORMAS'!$HP61&amp;'DADOS_FORMAS'!$HO61&amp;SUBSTITUTE('DADOS_FORMAS'!$HQ61,"em você","nela")))</f>
        <v/>
      </c>
      <c r="IB71">
        <f>IF(OR('DADOS_FORMAS'!$AH19="",'DADOS_FORMAS'!$HM61="",'DADOS_FORMAS'!$HO61=""),"",IF('DADOS_FORMAS'!$HO61="—","—",'DADOS_FORMAS'!$HP61&amp;IF('DADOS_FORMAS'!$HN61="alcance",INDEX('DADOS_FORMAS'!$GL$2:$GL$7,MIN(6,'DADOS_FORMAS'!$HR61+1)),IF('DADOS_FORMAS'!$HN61="raio",INDEX('DADOS_FORMAS'!$GN$2:$GN$6,MIN(5,'DADOS_FORMAS'!$HR61+1)),IF('DADOS_FORMAS'!$HN61="comprimento",INDEX('DADOS_FORMAS'!$GP$2:$GP$6,MIN(5,'DADOS_FORMAS'!$HR61+1)),'DADOS_FORMAS'!$HO61)))&amp;SUBSTITUTE('DADOS_FORMAS'!$HQ61,"em você","nela")))</f>
        <v/>
      </c>
      <c r="IC71">
        <f>IF(OR('DADOS_FORMAS'!$AH19="",'DADOS_FORMAS'!$HM61="",'DADOS_FORMAS'!$HO61=""),"",IF('DADOS_FORMAS'!$HO61="—","—",'DADOS_FORMAS'!$HP61&amp;IF('DADOS_FORMAS'!$HN61="alcance",INDEX('DADOS_FORMAS'!$GL$2:$GL$7,MIN(6,'DADOS_FORMAS'!$HR61+2)),IF('DADOS_FORMAS'!$HN61="raio",INDEX('DADOS_FORMAS'!$GN$2:$GN$6,MIN(5,'DADOS_FORMAS'!$HR61+2)),IF('DADOS_FORMAS'!$HN61="comprimento",INDEX('DADOS_FORMAS'!$GP$2:$GP$6,MIN(5,'DADOS_FORMAS'!$HR61+2)),'DADOS_FORMAS'!$HO61)))&amp;SUBSTITUTE('DADOS_FORMAS'!$HQ61,"em você","nela")))</f>
        <v/>
      </c>
      <c r="ID71">
        <f>IF(OR('DADOS_FORMAS'!$AH19="",'DADOS_FORMAS'!$HM61="",'DADOS_FORMAS'!$HO61=""),"",IF('DADOS_FORMAS'!$HO61="—","—",'DADOS_FORMAS'!$HP61&amp;IF('DADOS_FORMAS'!$HN61="alcance",INDEX('DADOS_FORMAS'!$GL$2:$GL$7,MIN(6,'DADOS_FORMAS'!$HR61+3)),IF('DADOS_FORMAS'!$HN61="raio",INDEX('DADOS_FORMAS'!$GN$2:$GN$6,MIN(5,'DADOS_FORMAS'!$HR61+3)),IF('DADOS_FORMAS'!$HN61="comprimento",INDEX('DADOS_FORMAS'!$GP$2:$GP$6,MIN(5,'DADOS_FORMAS'!$HR61+3)),'DADOS_FORMAS'!$HO61)))&amp;SUBSTITUTE('DADOS_FORMAS'!$HQ61,"em você","nela")))</f>
        <v/>
      </c>
      <c r="IE71">
        <f>IF(OR('DADOS_FORMAS'!$AH19="",'DADOS_FORMAS'!$HM61="",'DADOS_FORMAS'!$HO61=""),"",IF('DADOS_FORMAS'!$HO61="—","—",'DADOS_FORMAS'!$HP61&amp;IF('DADOS_FORMAS'!$HN61="alcance",INDEX('DADOS_FORMAS'!$GL$2:$GL$7,MIN(6,'DADOS_FORMAS'!$HR61+4)),IF('DADOS_FORMAS'!$HN61="raio",INDEX('DADOS_FORMAS'!$GN$2:$GN$6,MIN(5,'DADOS_FORMAS'!$HR61+4)),IF('DADOS_FORMAS'!$HN61="comprimento",INDEX('DADOS_FORMAS'!$GP$2:$GP$6,MIN(5,'DADOS_FORMAS'!$HR61+4)),'DADOS_FORMAS'!$HO61)))&amp;SUBSTITUTE('DADOS_FORMAS'!$HQ61,"em você","nela")))</f>
        <v/>
      </c>
      <c r="IF71">
        <f>IF(OR('DADOS_FORMAS'!$AH19="",'DADOS_FORMAS'!$HM61="",'DADOS_FORMAS'!$HO61=""),"",IF('DADOS_FORMAS'!$HO61="—","—",'DADOS_FORMAS'!$HP61&amp;IF('DADOS_FORMAS'!$HN61="alcance",INDEX('DADOS_FORMAS'!$GL$2:$GL$7,MIN(6,'DADOS_FORMAS'!$HR61+5)),IF('DADOS_FORMAS'!$HN61="raio",INDEX('DADOS_FORMAS'!$GN$2:$GN$6,MIN(5,'DADOS_FORMAS'!$HR61+5)),IF('DADOS_FORMAS'!$HN61="comprimento",INDEX('DADOS_FORMAS'!$GP$2:$GP$6,MIN(5,'DADOS_FORMAS'!$HR61+5)),'DADOS_FORMAS'!$HO61)))&amp;SUBSTITUTE('DADOS_FORMAS'!$HQ61,"em você","nela")))</f>
        <v/>
      </c>
    </row>
    <row r="72">
      <c r="HM72">
        <f>'DADOS_FORMAS'!$BL20</f>
        <v/>
      </c>
      <c r="HN72">
        <f>IF('DADOS_FORMAS'!$BL20="area",'DADOS_FORMAS'!$AU20,'DADOS_FORMAS'!$AT20)</f>
        <v/>
      </c>
      <c r="HO72">
        <f>IF('DADOS_FORMAS'!$BL20="area",'DADOS_FORMAS'!$BI20,'DADOS_FORMAS'!$BB20)</f>
        <v/>
      </c>
      <c r="HP72">
        <f>'DADOS_FORMAS'!$BM20</f>
        <v/>
      </c>
      <c r="HQ72">
        <f>'DADOS_FORMAS'!$BN20</f>
        <v/>
      </c>
      <c r="HR72">
        <f>LET(base,'DADOS_FORMAS'!$HO72,escada,'DADOS_FORMAS'!$HN72,medida,LEFT(base,MAX(0,LEN(base)-2)),valor,IFERROR(VALUE(SUBSTITUTE(medida,",",""))/10^IFERROR(LEN(medida)-FIND(",",medida),0),1E99),IF(OR(escada="Fixo",base="—"),base,IF(escada="alcance",IFERROR(MATCH(base,{"1,5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2">
        <f>'DADOS_FORMAS'!$AH19&amp;" · classe 6"</f>
        <v/>
      </c>
      <c r="HU72">
        <f>LET(trecho,IF(OR('DADOS_FORMAS'!$AH19="",'DADOS_FORMAS'!$HM62="",'DADOS_FORMAS'!$HO62=""),"",IF('DADOS_FORMAS'!$HO62="—","—",'DADOS_FORMAS'!$HP62&amp;'DADOS_FORMAS'!$HO62&amp;SUBSTITUTE('DADOS_FORMAS'!$HQ62,"em você","nela"))),UPPER(LEFT(trecho,1))&amp;MID(trecho,2,LEN(trecho)))</f>
        <v/>
      </c>
      <c r="HV72">
        <f>LET(trecho,IF(OR('DADOS_FORMAS'!$AH19="",'DADOS_FORMAS'!$HM62="",'DADOS_FORMAS'!$HO62=""),"",IF('DADOS_FORMAS'!$HO62="—","—",'DADOS_FORMAS'!$HP62&amp;IF('DADOS_FORMAS'!$HN62="alcance",INDEX('DADOS_FORMAS'!$GL$2:$GL$7,MIN(6,'DADOS_FORMAS'!$HR62+1)),IF('DADOS_FORMAS'!$HN62="raio",INDEX('DADOS_FORMAS'!$GN$2:$GN$6,MIN(5,'DADOS_FORMAS'!$HR62+1)),IF('DADOS_FORMAS'!$HN62="comprimento",INDEX('DADOS_FORMAS'!$GP$2:$GP$6,MIN(5,'DADOS_FORMAS'!$HR62+1)),'DADOS_FORMAS'!$HO62)))&amp;SUBSTITUTE('DADOS_FORMAS'!$HQ62,"em você","nela"))),UPPER(LEFT(trecho,1))&amp;MID(trecho,2,LEN(trecho)))</f>
        <v/>
      </c>
      <c r="HW72">
        <f>LET(trecho,IF(OR('DADOS_FORMAS'!$AH19="",'DADOS_FORMAS'!$HM62="",'DADOS_FORMAS'!$HO62=""),"",IF('DADOS_FORMAS'!$HO62="—","—",'DADOS_FORMAS'!$HP62&amp;IF('DADOS_FORMAS'!$HN62="alcance",INDEX('DADOS_FORMAS'!$GL$2:$GL$7,MIN(6,'DADOS_FORMAS'!$HR62+2)),IF('DADOS_FORMAS'!$HN62="raio",INDEX('DADOS_FORMAS'!$GN$2:$GN$6,MIN(5,'DADOS_FORMAS'!$HR62+2)),IF('DADOS_FORMAS'!$HN62="comprimento",INDEX('DADOS_FORMAS'!$GP$2:$GP$6,MIN(5,'DADOS_FORMAS'!$HR62+2)),'DADOS_FORMAS'!$HO62)))&amp;SUBSTITUTE('DADOS_FORMAS'!$HQ62,"em você","nela"))),UPPER(LEFT(trecho,1))&amp;MID(trecho,2,LEN(trecho)))</f>
        <v/>
      </c>
      <c r="HX72">
        <f>LET(trecho,IF(OR('DADOS_FORMAS'!$AH19="",'DADOS_FORMAS'!$HM62="",'DADOS_FORMAS'!$HO62=""),"",IF('DADOS_FORMAS'!$HO62="—","—",'DADOS_FORMAS'!$HP62&amp;IF('DADOS_FORMAS'!$HN62="alcance",INDEX('DADOS_FORMAS'!$GL$2:$GL$7,MIN(6,'DADOS_FORMAS'!$HR62+3)),IF('DADOS_FORMAS'!$HN62="raio",INDEX('DADOS_FORMAS'!$GN$2:$GN$6,MIN(5,'DADOS_FORMAS'!$HR62+3)),IF('DADOS_FORMAS'!$HN62="comprimento",INDEX('DADOS_FORMAS'!$GP$2:$GP$6,MIN(5,'DADOS_FORMAS'!$HR62+3)),'DADOS_FORMAS'!$HO62)))&amp;SUBSTITUTE('DADOS_FORMAS'!$HQ62,"em você","nela"))),UPPER(LEFT(trecho,1))&amp;MID(trecho,2,LEN(trecho)))</f>
        <v/>
      </c>
      <c r="HY72">
        <f>LET(trecho,IF(OR('DADOS_FORMAS'!$AH19="",'DADOS_FORMAS'!$HM62="",'DADOS_FORMAS'!$HO62=""),"",IF('DADOS_FORMAS'!$HO62="—","—",'DADOS_FORMAS'!$HP62&amp;IF('DADOS_FORMAS'!$HN62="alcance",INDEX('DADOS_FORMAS'!$GL$2:$GL$7,MIN(6,'DADOS_FORMAS'!$HR62+4)),IF('DADOS_FORMAS'!$HN62="raio",INDEX('DADOS_FORMAS'!$GN$2:$GN$6,MIN(5,'DADOS_FORMAS'!$HR62+4)),IF('DADOS_FORMAS'!$HN62="comprimento",INDEX('DADOS_FORMAS'!$GP$2:$GP$6,MIN(5,'DADOS_FORMAS'!$HR62+4)),'DADOS_FORMAS'!$HO62)))&amp;SUBSTITUTE('DADOS_FORMAS'!$HQ62,"em você","nela"))),UPPER(LEFT(trecho,1))&amp;MID(trecho,2,LEN(trecho)))</f>
        <v/>
      </c>
      <c r="HZ72">
        <f>LET(trecho,IF(OR('DADOS_FORMAS'!$AH19="",'DADOS_FORMAS'!$HM62="",'DADOS_FORMAS'!$HO62=""),"",IF('DADOS_FORMAS'!$HO62="—","—",'DADOS_FORMAS'!$HP62&amp;IF('DADOS_FORMAS'!$HN62="alcance",INDEX('DADOS_FORMAS'!$GL$2:$GL$7,MIN(6,'DADOS_FORMAS'!$HR62+5)),IF('DADOS_FORMAS'!$HN62="raio",INDEX('DADOS_FORMAS'!$GN$2:$GN$6,MIN(5,'DADOS_FORMAS'!$HR62+5)),IF('DADOS_FORMAS'!$HN62="comprimento",INDEX('DADOS_FORMAS'!$GP$2:$GP$6,MIN(5,'DADOS_FORMAS'!$HR62+5)),'DADOS_FORMAS'!$HO62)))&amp;SUBSTITUTE('DADOS_FORMAS'!$HQ62,"em você","nela"))),UPPER(LEFT(trecho,1))&amp;MID(trecho,2,LEN(trecho)))</f>
        <v/>
      </c>
      <c r="IA72">
        <f>IF(OR('DADOS_FORMAS'!$AH19="",'DADOS_FORMAS'!$HM63="",'DADOS_FORMAS'!$HO63=""),"",IF('DADOS_FORMAS'!$HO63="—","—",'DADOS_FORMAS'!$HP63&amp;'DADOS_FORMAS'!$HO63&amp;SUBSTITUTE('DADOS_FORMAS'!$HQ63,"em você","nela")))</f>
        <v/>
      </c>
      <c r="IB72">
        <f>IF(OR('DADOS_FORMAS'!$AH19="",'DADOS_FORMAS'!$HM63="",'DADOS_FORMAS'!$HO63=""),"",IF('DADOS_FORMAS'!$HO63="—","—",'DADOS_FORMAS'!$HP63&amp;IF('DADOS_FORMAS'!$HN63="alcance",INDEX('DADOS_FORMAS'!$GL$2:$GL$7,MIN(6,'DADOS_FORMAS'!$HR63+1)),IF('DADOS_FORMAS'!$HN63="raio",INDEX('DADOS_FORMAS'!$GN$2:$GN$6,MIN(5,'DADOS_FORMAS'!$HR63+1)),IF('DADOS_FORMAS'!$HN63="comprimento",INDEX('DADOS_FORMAS'!$GP$2:$GP$6,MIN(5,'DADOS_FORMAS'!$HR63+1)),'DADOS_FORMAS'!$HO63)))&amp;SUBSTITUTE('DADOS_FORMAS'!$HQ63,"em você","nela")))</f>
        <v/>
      </c>
      <c r="IC72">
        <f>IF(OR('DADOS_FORMAS'!$AH19="",'DADOS_FORMAS'!$HM63="",'DADOS_FORMAS'!$HO63=""),"",IF('DADOS_FORMAS'!$HO63="—","—",'DADOS_FORMAS'!$HP63&amp;IF('DADOS_FORMAS'!$HN63="alcance",INDEX('DADOS_FORMAS'!$GL$2:$GL$7,MIN(6,'DADOS_FORMAS'!$HR63+2)),IF('DADOS_FORMAS'!$HN63="raio",INDEX('DADOS_FORMAS'!$GN$2:$GN$6,MIN(5,'DADOS_FORMAS'!$HR63+2)),IF('DADOS_FORMAS'!$HN63="comprimento",INDEX('DADOS_FORMAS'!$GP$2:$GP$6,MIN(5,'DADOS_FORMAS'!$HR63+2)),'DADOS_FORMAS'!$HO63)))&amp;SUBSTITUTE('DADOS_FORMAS'!$HQ63,"em você","nela")))</f>
        <v/>
      </c>
      <c r="ID72">
        <f>IF(OR('DADOS_FORMAS'!$AH19="",'DADOS_FORMAS'!$HM63="",'DADOS_FORMAS'!$HO63=""),"",IF('DADOS_FORMAS'!$HO63="—","—",'DADOS_FORMAS'!$HP63&amp;IF('DADOS_FORMAS'!$HN63="alcance",INDEX('DADOS_FORMAS'!$GL$2:$GL$7,MIN(6,'DADOS_FORMAS'!$HR63+3)),IF('DADOS_FORMAS'!$HN63="raio",INDEX('DADOS_FORMAS'!$GN$2:$GN$6,MIN(5,'DADOS_FORMAS'!$HR63+3)),IF('DADOS_FORMAS'!$HN63="comprimento",INDEX('DADOS_FORMAS'!$GP$2:$GP$6,MIN(5,'DADOS_FORMAS'!$HR63+3)),'DADOS_FORMAS'!$HO63)))&amp;SUBSTITUTE('DADOS_FORMAS'!$HQ63,"em você","nela")))</f>
        <v/>
      </c>
      <c r="IE72">
        <f>IF(OR('DADOS_FORMAS'!$AH19="",'DADOS_FORMAS'!$HM63="",'DADOS_FORMAS'!$HO63=""),"",IF('DADOS_FORMAS'!$HO63="—","—",'DADOS_FORMAS'!$HP63&amp;IF('DADOS_FORMAS'!$HN63="alcance",INDEX('DADOS_FORMAS'!$GL$2:$GL$7,MIN(6,'DADOS_FORMAS'!$HR63+4)),IF('DADOS_FORMAS'!$HN63="raio",INDEX('DADOS_FORMAS'!$GN$2:$GN$6,MIN(5,'DADOS_FORMAS'!$HR63+4)),IF('DADOS_FORMAS'!$HN63="comprimento",INDEX('DADOS_FORMAS'!$GP$2:$GP$6,MIN(5,'DADOS_FORMAS'!$HR63+4)),'DADOS_FORMAS'!$HO63)))&amp;SUBSTITUTE('DADOS_FORMAS'!$HQ63,"em você","nela")))</f>
        <v/>
      </c>
      <c r="IF72">
        <f>IF(OR('DADOS_FORMAS'!$AH19="",'DADOS_FORMAS'!$HM63="",'DADOS_FORMAS'!$HO63=""),"",IF('DADOS_FORMAS'!$HO63="—","—",'DADOS_FORMAS'!$HP63&amp;IF('DADOS_FORMAS'!$HN63="alcance",INDEX('DADOS_FORMAS'!$GL$2:$GL$7,MIN(6,'DADOS_FORMAS'!$HR63+5)),IF('DADOS_FORMAS'!$HN63="raio",INDEX('DADOS_FORMAS'!$GN$2:$GN$6,MIN(5,'DADOS_FORMAS'!$HR63+5)),IF('DADOS_FORMAS'!$HN63="comprimento",INDEX('DADOS_FORMAS'!$GP$2:$GP$6,MIN(5,'DADOS_FORMAS'!$HR63+5)),'DADOS_FORMAS'!$HO63)))&amp;SUBSTITUTE('DADOS_FORMAS'!$HQ63,"em você","nela")))</f>
        <v/>
      </c>
    </row>
    <row r="73">
      <c r="HM73">
        <f>'DADOS_FORMAS'!$BP20</f>
        <v/>
      </c>
      <c r="HN73">
        <f>IF('DADOS_FORMAS'!$BP20="area",'DADOS_FORMAS'!$AU20,'DADOS_FORMAS'!$AT20)</f>
        <v/>
      </c>
      <c r="HO73">
        <f>IF('DADOS_FORMAS'!$BP20="area",'DADOS_FORMAS'!$BI20,'DADOS_FORMAS'!$BB20)</f>
        <v/>
      </c>
      <c r="HP73">
        <f>'DADOS_FORMAS'!$BQ20</f>
        <v/>
      </c>
      <c r="HQ73">
        <f>'DADOS_FORMAS'!$BR20</f>
        <v/>
      </c>
      <c r="HR73">
        <f>LET(base,'DADOS_FORMAS'!$HO73,escada,'DADOS_FORMAS'!$HN73,medida,LEFT(base,MAX(0,LEN(base)-2)),valor,IFERROR(VALUE(SUBSTITUTE(medida,",",""))/10^IFERROR(LEN(medida)-FIND(",",medida),0),1E99),IF(OR(escada="Fixo",base="—"),base,IF(escada="alcance",IFERROR(MATCH(base,{"1,5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3">
        <f>'DADOS_FORMAS'!$AH19&amp;" · classe 7"</f>
        <v/>
      </c>
      <c r="HU73">
        <f>LET(trecho,IF(OR('DADOS_FORMAS'!$AH19="",'DADOS_FORMAS'!$HM64="",'DADOS_FORMAS'!$HO64=""),"",IF('DADOS_FORMAS'!$HO64="—","—",'DADOS_FORMAS'!$HP64&amp;'DADOS_FORMAS'!$HO64&amp;SUBSTITUTE('DADOS_FORMAS'!$HQ64,"em você","nela"))),UPPER(LEFT(trecho,1))&amp;MID(trecho,2,LEN(trecho)))</f>
        <v/>
      </c>
      <c r="HV73">
        <f>LET(trecho,IF(OR('DADOS_FORMAS'!$AH19="",'DADOS_FORMAS'!$HM64="",'DADOS_FORMAS'!$HO64=""),"",IF('DADOS_FORMAS'!$HO64="—","—",'DADOS_FORMAS'!$HP64&amp;IF('DADOS_FORMAS'!$HN64="alcance",INDEX('DADOS_FORMAS'!$GL$2:$GL$7,MIN(6,'DADOS_FORMAS'!$HR64+1)),IF('DADOS_FORMAS'!$HN64="raio",INDEX('DADOS_FORMAS'!$GN$2:$GN$6,MIN(5,'DADOS_FORMAS'!$HR64+1)),IF('DADOS_FORMAS'!$HN64="comprimento",INDEX('DADOS_FORMAS'!$GP$2:$GP$6,MIN(5,'DADOS_FORMAS'!$HR64+1)),'DADOS_FORMAS'!$HO64)))&amp;SUBSTITUTE('DADOS_FORMAS'!$HQ64,"em você","nela"))),UPPER(LEFT(trecho,1))&amp;MID(trecho,2,LEN(trecho)))</f>
        <v/>
      </c>
      <c r="HW73">
        <f>LET(trecho,IF(OR('DADOS_FORMAS'!$AH19="",'DADOS_FORMAS'!$HM64="",'DADOS_FORMAS'!$HO64=""),"",IF('DADOS_FORMAS'!$HO64="—","—",'DADOS_FORMAS'!$HP64&amp;IF('DADOS_FORMAS'!$HN64="alcance",INDEX('DADOS_FORMAS'!$GL$2:$GL$7,MIN(6,'DADOS_FORMAS'!$HR64+2)),IF('DADOS_FORMAS'!$HN64="raio",INDEX('DADOS_FORMAS'!$GN$2:$GN$6,MIN(5,'DADOS_FORMAS'!$HR64+2)),IF('DADOS_FORMAS'!$HN64="comprimento",INDEX('DADOS_FORMAS'!$GP$2:$GP$6,MIN(5,'DADOS_FORMAS'!$HR64+2)),'DADOS_FORMAS'!$HO64)))&amp;SUBSTITUTE('DADOS_FORMAS'!$HQ64,"em você","nela"))),UPPER(LEFT(trecho,1))&amp;MID(trecho,2,LEN(trecho)))</f>
        <v/>
      </c>
      <c r="HX73">
        <f>LET(trecho,IF(OR('DADOS_FORMAS'!$AH19="",'DADOS_FORMAS'!$HM64="",'DADOS_FORMAS'!$HO64=""),"",IF('DADOS_FORMAS'!$HO64="—","—",'DADOS_FORMAS'!$HP64&amp;IF('DADOS_FORMAS'!$HN64="alcance",INDEX('DADOS_FORMAS'!$GL$2:$GL$7,MIN(6,'DADOS_FORMAS'!$HR64+3)),IF('DADOS_FORMAS'!$HN64="raio",INDEX('DADOS_FORMAS'!$GN$2:$GN$6,MIN(5,'DADOS_FORMAS'!$HR64+3)),IF('DADOS_FORMAS'!$HN64="comprimento",INDEX('DADOS_FORMAS'!$GP$2:$GP$6,MIN(5,'DADOS_FORMAS'!$HR64+3)),'DADOS_FORMAS'!$HO64)))&amp;SUBSTITUTE('DADOS_FORMAS'!$HQ64,"em você","nela"))),UPPER(LEFT(trecho,1))&amp;MID(trecho,2,LEN(trecho)))</f>
        <v/>
      </c>
      <c r="HY73">
        <f>LET(trecho,IF(OR('DADOS_FORMAS'!$AH19="",'DADOS_FORMAS'!$HM64="",'DADOS_FORMAS'!$HO64=""),"",IF('DADOS_FORMAS'!$HO64="—","—",'DADOS_FORMAS'!$HP64&amp;IF('DADOS_FORMAS'!$HN64="alcance",INDEX('DADOS_FORMAS'!$GL$2:$GL$7,MIN(6,'DADOS_FORMAS'!$HR64+4)),IF('DADOS_FORMAS'!$HN64="raio",INDEX('DADOS_FORMAS'!$GN$2:$GN$6,MIN(5,'DADOS_FORMAS'!$HR64+4)),IF('DADOS_FORMAS'!$HN64="comprimento",INDEX('DADOS_FORMAS'!$GP$2:$GP$6,MIN(5,'DADOS_FORMAS'!$HR64+4)),'DADOS_FORMAS'!$HO64)))&amp;SUBSTITUTE('DADOS_FORMAS'!$HQ64,"em você","nela"))),UPPER(LEFT(trecho,1))&amp;MID(trecho,2,LEN(trecho)))</f>
        <v/>
      </c>
      <c r="HZ73">
        <f>LET(trecho,IF(OR('DADOS_FORMAS'!$AH19="",'DADOS_FORMAS'!$HM64="",'DADOS_FORMAS'!$HO64=""),"",IF('DADOS_FORMAS'!$HO64="—","—",'DADOS_FORMAS'!$HP64&amp;IF('DADOS_FORMAS'!$HN64="alcance",INDEX('DADOS_FORMAS'!$GL$2:$GL$7,MIN(6,'DADOS_FORMAS'!$HR64+5)),IF('DADOS_FORMAS'!$HN64="raio",INDEX('DADOS_FORMAS'!$GN$2:$GN$6,MIN(5,'DADOS_FORMAS'!$HR64+5)),IF('DADOS_FORMAS'!$HN64="comprimento",INDEX('DADOS_FORMAS'!$GP$2:$GP$6,MIN(5,'DADOS_FORMAS'!$HR64+5)),'DADOS_FORMAS'!$HO64)))&amp;SUBSTITUTE('DADOS_FORMAS'!$HQ64,"em você","nela"))),UPPER(LEFT(trecho,1))&amp;MID(trecho,2,LEN(trecho)))</f>
        <v/>
      </c>
      <c r="IA73">
        <f>IF(OR('DADOS_FORMAS'!$AH19="",'DADOS_FORMAS'!$HM65="",'DADOS_FORMAS'!$HO65=""),"",IF('DADOS_FORMAS'!$HO65="—","—",'DADOS_FORMAS'!$HP65&amp;'DADOS_FORMAS'!$HO65&amp;SUBSTITUTE('DADOS_FORMAS'!$HQ65,"em você","nela")))</f>
        <v/>
      </c>
      <c r="IB73">
        <f>IF(OR('DADOS_FORMAS'!$AH19="",'DADOS_FORMAS'!$HM65="",'DADOS_FORMAS'!$HO65=""),"",IF('DADOS_FORMAS'!$HO65="—","—",'DADOS_FORMAS'!$HP65&amp;IF('DADOS_FORMAS'!$HN65="alcance",INDEX('DADOS_FORMAS'!$GL$2:$GL$7,MIN(6,'DADOS_FORMAS'!$HR65+1)),IF('DADOS_FORMAS'!$HN65="raio",INDEX('DADOS_FORMAS'!$GN$2:$GN$6,MIN(5,'DADOS_FORMAS'!$HR65+1)),IF('DADOS_FORMAS'!$HN65="comprimento",INDEX('DADOS_FORMAS'!$GP$2:$GP$6,MIN(5,'DADOS_FORMAS'!$HR65+1)),'DADOS_FORMAS'!$HO65)))&amp;SUBSTITUTE('DADOS_FORMAS'!$HQ65,"em você","nela")))</f>
        <v/>
      </c>
      <c r="IC73">
        <f>IF(OR('DADOS_FORMAS'!$AH19="",'DADOS_FORMAS'!$HM65="",'DADOS_FORMAS'!$HO65=""),"",IF('DADOS_FORMAS'!$HO65="—","—",'DADOS_FORMAS'!$HP65&amp;IF('DADOS_FORMAS'!$HN65="alcance",INDEX('DADOS_FORMAS'!$GL$2:$GL$7,MIN(6,'DADOS_FORMAS'!$HR65+2)),IF('DADOS_FORMAS'!$HN65="raio",INDEX('DADOS_FORMAS'!$GN$2:$GN$6,MIN(5,'DADOS_FORMAS'!$HR65+2)),IF('DADOS_FORMAS'!$HN65="comprimento",INDEX('DADOS_FORMAS'!$GP$2:$GP$6,MIN(5,'DADOS_FORMAS'!$HR65+2)),'DADOS_FORMAS'!$HO65)))&amp;SUBSTITUTE('DADOS_FORMAS'!$HQ65,"em você","nela")))</f>
        <v/>
      </c>
      <c r="ID73">
        <f>IF(OR('DADOS_FORMAS'!$AH19="",'DADOS_FORMAS'!$HM65="",'DADOS_FORMAS'!$HO65=""),"",IF('DADOS_FORMAS'!$HO65="—","—",'DADOS_FORMAS'!$HP65&amp;IF('DADOS_FORMAS'!$HN65="alcance",INDEX('DADOS_FORMAS'!$GL$2:$GL$7,MIN(6,'DADOS_FORMAS'!$HR65+3)),IF('DADOS_FORMAS'!$HN65="raio",INDEX('DADOS_FORMAS'!$GN$2:$GN$6,MIN(5,'DADOS_FORMAS'!$HR65+3)),IF('DADOS_FORMAS'!$HN65="comprimento",INDEX('DADOS_FORMAS'!$GP$2:$GP$6,MIN(5,'DADOS_FORMAS'!$HR65+3)),'DADOS_FORMAS'!$HO65)))&amp;SUBSTITUTE('DADOS_FORMAS'!$HQ65,"em você","nela")))</f>
        <v/>
      </c>
      <c r="IE73">
        <f>IF(OR('DADOS_FORMAS'!$AH19="",'DADOS_FORMAS'!$HM65="",'DADOS_FORMAS'!$HO65=""),"",IF('DADOS_FORMAS'!$HO65="—","—",'DADOS_FORMAS'!$HP65&amp;IF('DADOS_FORMAS'!$HN65="alcance",INDEX('DADOS_FORMAS'!$GL$2:$GL$7,MIN(6,'DADOS_FORMAS'!$HR65+4)),IF('DADOS_FORMAS'!$HN65="raio",INDEX('DADOS_FORMAS'!$GN$2:$GN$6,MIN(5,'DADOS_FORMAS'!$HR65+4)),IF('DADOS_FORMAS'!$HN65="comprimento",INDEX('DADOS_FORMAS'!$GP$2:$GP$6,MIN(5,'DADOS_FORMAS'!$HR65+4)),'DADOS_FORMAS'!$HO65)))&amp;SUBSTITUTE('DADOS_FORMAS'!$HQ65,"em você","nela")))</f>
        <v/>
      </c>
      <c r="IF73">
        <f>IF(OR('DADOS_FORMAS'!$AH19="",'DADOS_FORMAS'!$HM65="",'DADOS_FORMAS'!$HO65=""),"",IF('DADOS_FORMAS'!$HO65="—","—",'DADOS_FORMAS'!$HP65&amp;IF('DADOS_FORMAS'!$HN65="alcance",INDEX('DADOS_FORMAS'!$GL$2:$GL$7,MIN(6,'DADOS_FORMAS'!$HR65+5)),IF('DADOS_FORMAS'!$HN65="raio",INDEX('DADOS_FORMAS'!$GN$2:$GN$6,MIN(5,'DADOS_FORMAS'!$HR65+5)),IF('DADOS_FORMAS'!$HN65="comprimento",INDEX('DADOS_FORMAS'!$GP$2:$GP$6,MIN(5,'DADOS_FORMAS'!$HR65+5)),'DADOS_FORMAS'!$HO65)))&amp;SUBSTITUTE('DADOS_FORMAS'!$HQ65,"em você","nela")))</f>
        <v/>
      </c>
    </row>
    <row r="74">
      <c r="HM74">
        <f>'DADOS_FORMAS'!$BL21</f>
        <v/>
      </c>
      <c r="HN74">
        <f>IF('DADOS_FORMAS'!$BL21="area",'DADOS_FORMAS'!$AU21,'DADOS_FORMAS'!$AT21)</f>
        <v/>
      </c>
      <c r="HO74">
        <f>IF('DADOS_FORMAS'!$BL21="area",'DADOS_FORMAS'!$BF21,'DADOS_FORMAS'!$AY21)</f>
        <v/>
      </c>
      <c r="HP74">
        <f>'DADOS_FORMAS'!$BM21</f>
        <v/>
      </c>
      <c r="HQ74">
        <f>'DADOS_FORMAS'!$BN21</f>
        <v/>
      </c>
      <c r="HR74">
        <f>LET(base,'DADOS_FORMAS'!$HO74,escada,'DADOS_FORMAS'!$HN74,medida,LEFT(base,MAX(0,LEN(base)-2)),valor,IFERROR(VALUE(SUBSTITUTE(medida,",",""))/10^IFERROR(LEN(medida)-FIND(",",medida),0),1E99),IF(OR(escada="Fixo",base="—"),base,IF(escada="alcance",IFERROR(MATCH(base,{"1,5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4">
        <f>'DADOS_FORMAS'!$AH20&amp;" · classe 0"</f>
        <v/>
      </c>
      <c r="HU74">
        <f>LET(trecho,IF(OR('DADOS_FORMAS'!$AH20="",'DADOS_FORMAS'!$HM66="",'DADOS_FORMAS'!$HO66=""),"",IF('DADOS_FORMAS'!$HO66="—","—",'DADOS_FORMAS'!$HP66&amp;'DADOS_FORMAS'!$HO66&amp;SUBSTITUTE('DADOS_FORMAS'!$HQ66,"em você","nela"))),UPPER(LEFT(trecho,1))&amp;MID(trecho,2,LEN(trecho)))</f>
        <v/>
      </c>
      <c r="HV74">
        <f>LET(trecho,IF(OR('DADOS_FORMAS'!$AH20="",'DADOS_FORMAS'!$HM66="",'DADOS_FORMAS'!$HO66=""),"",IF('DADOS_FORMAS'!$HO66="—","—",'DADOS_FORMAS'!$HP66&amp;IF('DADOS_FORMAS'!$HN66="alcance",INDEX('DADOS_FORMAS'!$GL$2:$GL$7,MIN(6,'DADOS_FORMAS'!$HR66+1)),IF('DADOS_FORMAS'!$HN66="raio",INDEX('DADOS_FORMAS'!$GN$2:$GN$6,MIN(5,'DADOS_FORMAS'!$HR66+1)),IF('DADOS_FORMAS'!$HN66="comprimento",INDEX('DADOS_FORMAS'!$GP$2:$GP$6,MIN(5,'DADOS_FORMAS'!$HR66+1)),'DADOS_FORMAS'!$HO66)))&amp;SUBSTITUTE('DADOS_FORMAS'!$HQ66,"em você","nela"))),UPPER(LEFT(trecho,1))&amp;MID(trecho,2,LEN(trecho)))</f>
        <v/>
      </c>
      <c r="HW74">
        <f>LET(trecho,IF(OR('DADOS_FORMAS'!$AH20="",'DADOS_FORMAS'!$HM66="",'DADOS_FORMAS'!$HO66=""),"",IF('DADOS_FORMAS'!$HO66="—","—",'DADOS_FORMAS'!$HP66&amp;IF('DADOS_FORMAS'!$HN66="alcance",INDEX('DADOS_FORMAS'!$GL$2:$GL$7,MIN(6,'DADOS_FORMAS'!$HR66+2)),IF('DADOS_FORMAS'!$HN66="raio",INDEX('DADOS_FORMAS'!$GN$2:$GN$6,MIN(5,'DADOS_FORMAS'!$HR66+2)),IF('DADOS_FORMAS'!$HN66="comprimento",INDEX('DADOS_FORMAS'!$GP$2:$GP$6,MIN(5,'DADOS_FORMAS'!$HR66+2)),'DADOS_FORMAS'!$HO66)))&amp;SUBSTITUTE('DADOS_FORMAS'!$HQ66,"em você","nela"))),UPPER(LEFT(trecho,1))&amp;MID(trecho,2,LEN(trecho)))</f>
        <v/>
      </c>
      <c r="HX74">
        <f>LET(trecho,IF(OR('DADOS_FORMAS'!$AH20="",'DADOS_FORMAS'!$HM66="",'DADOS_FORMAS'!$HO66=""),"",IF('DADOS_FORMAS'!$HO66="—","—",'DADOS_FORMAS'!$HP66&amp;IF('DADOS_FORMAS'!$HN66="alcance",INDEX('DADOS_FORMAS'!$GL$2:$GL$7,MIN(6,'DADOS_FORMAS'!$HR66+3)),IF('DADOS_FORMAS'!$HN66="raio",INDEX('DADOS_FORMAS'!$GN$2:$GN$6,MIN(5,'DADOS_FORMAS'!$HR66+3)),IF('DADOS_FORMAS'!$HN66="comprimento",INDEX('DADOS_FORMAS'!$GP$2:$GP$6,MIN(5,'DADOS_FORMAS'!$HR66+3)),'DADOS_FORMAS'!$HO66)))&amp;SUBSTITUTE('DADOS_FORMAS'!$HQ66,"em você","nela"))),UPPER(LEFT(trecho,1))&amp;MID(trecho,2,LEN(trecho)))</f>
        <v/>
      </c>
      <c r="HY74">
        <f>LET(trecho,IF(OR('DADOS_FORMAS'!$AH20="",'DADOS_FORMAS'!$HM66="",'DADOS_FORMAS'!$HO66=""),"",IF('DADOS_FORMAS'!$HO66="—","—",'DADOS_FORMAS'!$HP66&amp;IF('DADOS_FORMAS'!$HN66="alcance",INDEX('DADOS_FORMAS'!$GL$2:$GL$7,MIN(6,'DADOS_FORMAS'!$HR66+4)),IF('DADOS_FORMAS'!$HN66="raio",INDEX('DADOS_FORMAS'!$GN$2:$GN$6,MIN(5,'DADOS_FORMAS'!$HR66+4)),IF('DADOS_FORMAS'!$HN66="comprimento",INDEX('DADOS_FORMAS'!$GP$2:$GP$6,MIN(5,'DADOS_FORMAS'!$HR66+4)),'DADOS_FORMAS'!$HO66)))&amp;SUBSTITUTE('DADOS_FORMAS'!$HQ66,"em você","nela"))),UPPER(LEFT(trecho,1))&amp;MID(trecho,2,LEN(trecho)))</f>
        <v/>
      </c>
      <c r="HZ74">
        <f>LET(trecho,IF(OR('DADOS_FORMAS'!$AH20="",'DADOS_FORMAS'!$HM66="",'DADOS_FORMAS'!$HO66=""),"",IF('DADOS_FORMAS'!$HO66="—","—",'DADOS_FORMAS'!$HP66&amp;IF('DADOS_FORMAS'!$HN66="alcance",INDEX('DADOS_FORMAS'!$GL$2:$GL$7,MIN(6,'DADOS_FORMAS'!$HR66+5)),IF('DADOS_FORMAS'!$HN66="raio",INDEX('DADOS_FORMAS'!$GN$2:$GN$6,MIN(5,'DADOS_FORMAS'!$HR66+5)),IF('DADOS_FORMAS'!$HN66="comprimento",INDEX('DADOS_FORMAS'!$GP$2:$GP$6,MIN(5,'DADOS_FORMAS'!$HR66+5)),'DADOS_FORMAS'!$HO66)))&amp;SUBSTITUTE('DADOS_FORMAS'!$HQ66,"em você","nela"))),UPPER(LEFT(trecho,1))&amp;MID(trecho,2,LEN(trecho)))</f>
        <v/>
      </c>
      <c r="IA74">
        <f>IF(OR('DADOS_FORMAS'!$AH20="",'DADOS_FORMAS'!$HM67="",'DADOS_FORMAS'!$HO67=""),"",IF('DADOS_FORMAS'!$HO67="—","—",'DADOS_FORMAS'!$HP67&amp;'DADOS_FORMAS'!$HO67&amp;SUBSTITUTE('DADOS_FORMAS'!$HQ67,"em você","nela")))</f>
        <v/>
      </c>
      <c r="IB74">
        <f>IF(OR('DADOS_FORMAS'!$AH20="",'DADOS_FORMAS'!$HM67="",'DADOS_FORMAS'!$HO67=""),"",IF('DADOS_FORMAS'!$HO67="—","—",'DADOS_FORMAS'!$HP67&amp;IF('DADOS_FORMAS'!$HN67="alcance",INDEX('DADOS_FORMAS'!$GL$2:$GL$7,MIN(6,'DADOS_FORMAS'!$HR67+1)),IF('DADOS_FORMAS'!$HN67="raio",INDEX('DADOS_FORMAS'!$GN$2:$GN$6,MIN(5,'DADOS_FORMAS'!$HR67+1)),IF('DADOS_FORMAS'!$HN67="comprimento",INDEX('DADOS_FORMAS'!$GP$2:$GP$6,MIN(5,'DADOS_FORMAS'!$HR67+1)),'DADOS_FORMAS'!$HO67)))&amp;SUBSTITUTE('DADOS_FORMAS'!$HQ67,"em você","nela")))</f>
        <v/>
      </c>
      <c r="IC74">
        <f>IF(OR('DADOS_FORMAS'!$AH20="",'DADOS_FORMAS'!$HM67="",'DADOS_FORMAS'!$HO67=""),"",IF('DADOS_FORMAS'!$HO67="—","—",'DADOS_FORMAS'!$HP67&amp;IF('DADOS_FORMAS'!$HN67="alcance",INDEX('DADOS_FORMAS'!$GL$2:$GL$7,MIN(6,'DADOS_FORMAS'!$HR67+2)),IF('DADOS_FORMAS'!$HN67="raio",INDEX('DADOS_FORMAS'!$GN$2:$GN$6,MIN(5,'DADOS_FORMAS'!$HR67+2)),IF('DADOS_FORMAS'!$HN67="comprimento",INDEX('DADOS_FORMAS'!$GP$2:$GP$6,MIN(5,'DADOS_FORMAS'!$HR67+2)),'DADOS_FORMAS'!$HO67)))&amp;SUBSTITUTE('DADOS_FORMAS'!$HQ67,"em você","nela")))</f>
        <v/>
      </c>
      <c r="ID74">
        <f>IF(OR('DADOS_FORMAS'!$AH20="",'DADOS_FORMAS'!$HM67="",'DADOS_FORMAS'!$HO67=""),"",IF('DADOS_FORMAS'!$HO67="—","—",'DADOS_FORMAS'!$HP67&amp;IF('DADOS_FORMAS'!$HN67="alcance",INDEX('DADOS_FORMAS'!$GL$2:$GL$7,MIN(6,'DADOS_FORMAS'!$HR67+3)),IF('DADOS_FORMAS'!$HN67="raio",INDEX('DADOS_FORMAS'!$GN$2:$GN$6,MIN(5,'DADOS_FORMAS'!$HR67+3)),IF('DADOS_FORMAS'!$HN67="comprimento",INDEX('DADOS_FORMAS'!$GP$2:$GP$6,MIN(5,'DADOS_FORMAS'!$HR67+3)),'DADOS_FORMAS'!$HO67)))&amp;SUBSTITUTE('DADOS_FORMAS'!$HQ67,"em você","nela")))</f>
        <v/>
      </c>
      <c r="IE74">
        <f>IF(OR('DADOS_FORMAS'!$AH20="",'DADOS_FORMAS'!$HM67="",'DADOS_FORMAS'!$HO67=""),"",IF('DADOS_FORMAS'!$HO67="—","—",'DADOS_FORMAS'!$HP67&amp;IF('DADOS_FORMAS'!$HN67="alcance",INDEX('DADOS_FORMAS'!$GL$2:$GL$7,MIN(6,'DADOS_FORMAS'!$HR67+4)),IF('DADOS_FORMAS'!$HN67="raio",INDEX('DADOS_FORMAS'!$GN$2:$GN$6,MIN(5,'DADOS_FORMAS'!$HR67+4)),IF('DADOS_FORMAS'!$HN67="comprimento",INDEX('DADOS_FORMAS'!$GP$2:$GP$6,MIN(5,'DADOS_FORMAS'!$HR67+4)),'DADOS_FORMAS'!$HO67)))&amp;SUBSTITUTE('DADOS_FORMAS'!$HQ67,"em você","nela")))</f>
        <v/>
      </c>
      <c r="IF74">
        <f>IF(OR('DADOS_FORMAS'!$AH20="",'DADOS_FORMAS'!$HM67="",'DADOS_FORMAS'!$HO67=""),"",IF('DADOS_FORMAS'!$HO67="—","—",'DADOS_FORMAS'!$HP67&amp;IF('DADOS_FORMAS'!$HN67="alcance",INDEX('DADOS_FORMAS'!$GL$2:$GL$7,MIN(6,'DADOS_FORMAS'!$HR67+5)),IF('DADOS_FORMAS'!$HN67="raio",INDEX('DADOS_FORMAS'!$GN$2:$GN$6,MIN(5,'DADOS_FORMAS'!$HR67+5)),IF('DADOS_FORMAS'!$HN67="comprimento",INDEX('DADOS_FORMAS'!$GP$2:$GP$6,MIN(5,'DADOS_FORMAS'!$HR67+5)),'DADOS_FORMAS'!$HO67)))&amp;SUBSTITUTE('DADOS_FORMAS'!$HQ67,"em você","nela")))</f>
        <v/>
      </c>
    </row>
    <row r="75">
      <c r="HM75">
        <f>'DADOS_FORMAS'!$BP21</f>
        <v/>
      </c>
      <c r="HN75">
        <f>IF('DADOS_FORMAS'!$BP21="area",'DADOS_FORMAS'!$AU21,'DADOS_FORMAS'!$AT21)</f>
        <v/>
      </c>
      <c r="HO75">
        <f>IF('DADOS_FORMAS'!$BP21="area",'DADOS_FORMAS'!$BF21,'DADOS_FORMAS'!$AY21)</f>
        <v/>
      </c>
      <c r="HP75">
        <f>'DADOS_FORMAS'!$BQ21</f>
        <v/>
      </c>
      <c r="HQ75">
        <f>'DADOS_FORMAS'!$BR21</f>
        <v/>
      </c>
      <c r="HR75">
        <f>LET(base,'DADOS_FORMAS'!$HO75,escada,'DADOS_FORMAS'!$HN75,medida,LEFT(base,MAX(0,LEN(base)-2)),valor,IFERROR(VALUE(SUBSTITUTE(medida,",",""))/10^IFERROR(LEN(medida)-FIND(",",medida),0),1E99),IF(OR(escada="Fixo",base="—"),base,IF(escada="alcance",IFERROR(MATCH(base,{"1,5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5">
        <f>'DADOS_FORMAS'!$AH20&amp;" · classes 1 a 5"</f>
        <v/>
      </c>
      <c r="HU75">
        <f>LET(trecho,IF(OR('DADOS_FORMAS'!$AH20="",'DADOS_FORMAS'!$HM68="",'DADOS_FORMAS'!$HO68=""),"",IF('DADOS_FORMAS'!$HO68="—","—",'DADOS_FORMAS'!$HP68&amp;'DADOS_FORMAS'!$HO68&amp;SUBSTITUTE('DADOS_FORMAS'!$HQ68,"em você","nela"))),UPPER(LEFT(trecho,1))&amp;MID(trecho,2,LEN(trecho)))</f>
        <v/>
      </c>
      <c r="HV75">
        <f>LET(trecho,IF(OR('DADOS_FORMAS'!$AH20="",'DADOS_FORMAS'!$HM68="",'DADOS_FORMAS'!$HO68=""),"",IF('DADOS_FORMAS'!$HO68="—","—",'DADOS_FORMAS'!$HP68&amp;IF('DADOS_FORMAS'!$HN68="alcance",INDEX('DADOS_FORMAS'!$GL$2:$GL$7,MIN(6,'DADOS_FORMAS'!$HR68+1)),IF('DADOS_FORMAS'!$HN68="raio",INDEX('DADOS_FORMAS'!$GN$2:$GN$6,MIN(5,'DADOS_FORMAS'!$HR68+1)),IF('DADOS_FORMAS'!$HN68="comprimento",INDEX('DADOS_FORMAS'!$GP$2:$GP$6,MIN(5,'DADOS_FORMAS'!$HR68+1)),'DADOS_FORMAS'!$HO68)))&amp;SUBSTITUTE('DADOS_FORMAS'!$HQ68,"em você","nela"))),UPPER(LEFT(trecho,1))&amp;MID(trecho,2,LEN(trecho)))</f>
        <v/>
      </c>
      <c r="HW75">
        <f>LET(trecho,IF(OR('DADOS_FORMAS'!$AH20="",'DADOS_FORMAS'!$HM68="",'DADOS_FORMAS'!$HO68=""),"",IF('DADOS_FORMAS'!$HO68="—","—",'DADOS_FORMAS'!$HP68&amp;IF('DADOS_FORMAS'!$HN68="alcance",INDEX('DADOS_FORMAS'!$GL$2:$GL$7,MIN(6,'DADOS_FORMAS'!$HR68+2)),IF('DADOS_FORMAS'!$HN68="raio",INDEX('DADOS_FORMAS'!$GN$2:$GN$6,MIN(5,'DADOS_FORMAS'!$HR68+2)),IF('DADOS_FORMAS'!$HN68="comprimento",INDEX('DADOS_FORMAS'!$GP$2:$GP$6,MIN(5,'DADOS_FORMAS'!$HR68+2)),'DADOS_FORMAS'!$HO68)))&amp;SUBSTITUTE('DADOS_FORMAS'!$HQ68,"em você","nela"))),UPPER(LEFT(trecho,1))&amp;MID(trecho,2,LEN(trecho)))</f>
        <v/>
      </c>
      <c r="HX75">
        <f>LET(trecho,IF(OR('DADOS_FORMAS'!$AH20="",'DADOS_FORMAS'!$HM68="",'DADOS_FORMAS'!$HO68=""),"",IF('DADOS_FORMAS'!$HO68="—","—",'DADOS_FORMAS'!$HP68&amp;IF('DADOS_FORMAS'!$HN68="alcance",INDEX('DADOS_FORMAS'!$GL$2:$GL$7,MIN(6,'DADOS_FORMAS'!$HR68+3)),IF('DADOS_FORMAS'!$HN68="raio",INDEX('DADOS_FORMAS'!$GN$2:$GN$6,MIN(5,'DADOS_FORMAS'!$HR68+3)),IF('DADOS_FORMAS'!$HN68="comprimento",INDEX('DADOS_FORMAS'!$GP$2:$GP$6,MIN(5,'DADOS_FORMAS'!$HR68+3)),'DADOS_FORMAS'!$HO68)))&amp;SUBSTITUTE('DADOS_FORMAS'!$HQ68,"em você","nela"))),UPPER(LEFT(trecho,1))&amp;MID(trecho,2,LEN(trecho)))</f>
        <v/>
      </c>
      <c r="HY75">
        <f>LET(trecho,IF(OR('DADOS_FORMAS'!$AH20="",'DADOS_FORMAS'!$HM68="",'DADOS_FORMAS'!$HO68=""),"",IF('DADOS_FORMAS'!$HO68="—","—",'DADOS_FORMAS'!$HP68&amp;IF('DADOS_FORMAS'!$HN68="alcance",INDEX('DADOS_FORMAS'!$GL$2:$GL$7,MIN(6,'DADOS_FORMAS'!$HR68+4)),IF('DADOS_FORMAS'!$HN68="raio",INDEX('DADOS_FORMAS'!$GN$2:$GN$6,MIN(5,'DADOS_FORMAS'!$HR68+4)),IF('DADOS_FORMAS'!$HN68="comprimento",INDEX('DADOS_FORMAS'!$GP$2:$GP$6,MIN(5,'DADOS_FORMAS'!$HR68+4)),'DADOS_FORMAS'!$HO68)))&amp;SUBSTITUTE('DADOS_FORMAS'!$HQ68,"em você","nela"))),UPPER(LEFT(trecho,1))&amp;MID(trecho,2,LEN(trecho)))</f>
        <v/>
      </c>
      <c r="HZ75">
        <f>LET(trecho,IF(OR('DADOS_FORMAS'!$AH20="",'DADOS_FORMAS'!$HM68="",'DADOS_FORMAS'!$HO68=""),"",IF('DADOS_FORMAS'!$HO68="—","—",'DADOS_FORMAS'!$HP68&amp;IF('DADOS_FORMAS'!$HN68="alcance",INDEX('DADOS_FORMAS'!$GL$2:$GL$7,MIN(6,'DADOS_FORMAS'!$HR68+5)),IF('DADOS_FORMAS'!$HN68="raio",INDEX('DADOS_FORMAS'!$GN$2:$GN$6,MIN(5,'DADOS_FORMAS'!$HR68+5)),IF('DADOS_FORMAS'!$HN68="comprimento",INDEX('DADOS_FORMAS'!$GP$2:$GP$6,MIN(5,'DADOS_FORMAS'!$HR68+5)),'DADOS_FORMAS'!$HO68)))&amp;SUBSTITUTE('DADOS_FORMAS'!$HQ68,"em você","nela"))),UPPER(LEFT(trecho,1))&amp;MID(trecho,2,LEN(trecho)))</f>
        <v/>
      </c>
      <c r="IA75">
        <f>IF(OR('DADOS_FORMAS'!$AH20="",'DADOS_FORMAS'!$HM69="",'DADOS_FORMAS'!$HO69=""),"",IF('DADOS_FORMAS'!$HO69="—","—",'DADOS_FORMAS'!$HP69&amp;'DADOS_FORMAS'!$HO69&amp;SUBSTITUTE('DADOS_FORMAS'!$HQ69,"em você","nela")))</f>
        <v/>
      </c>
      <c r="IB75">
        <f>IF(OR('DADOS_FORMAS'!$AH20="",'DADOS_FORMAS'!$HM69="",'DADOS_FORMAS'!$HO69=""),"",IF('DADOS_FORMAS'!$HO69="—","—",'DADOS_FORMAS'!$HP69&amp;IF('DADOS_FORMAS'!$HN69="alcance",INDEX('DADOS_FORMAS'!$GL$2:$GL$7,MIN(6,'DADOS_FORMAS'!$HR69+1)),IF('DADOS_FORMAS'!$HN69="raio",INDEX('DADOS_FORMAS'!$GN$2:$GN$6,MIN(5,'DADOS_FORMAS'!$HR69+1)),IF('DADOS_FORMAS'!$HN69="comprimento",INDEX('DADOS_FORMAS'!$GP$2:$GP$6,MIN(5,'DADOS_FORMAS'!$HR69+1)),'DADOS_FORMAS'!$HO69)))&amp;SUBSTITUTE('DADOS_FORMAS'!$HQ69,"em você","nela")))</f>
        <v/>
      </c>
      <c r="IC75">
        <f>IF(OR('DADOS_FORMAS'!$AH20="",'DADOS_FORMAS'!$HM69="",'DADOS_FORMAS'!$HO69=""),"",IF('DADOS_FORMAS'!$HO69="—","—",'DADOS_FORMAS'!$HP69&amp;IF('DADOS_FORMAS'!$HN69="alcance",INDEX('DADOS_FORMAS'!$GL$2:$GL$7,MIN(6,'DADOS_FORMAS'!$HR69+2)),IF('DADOS_FORMAS'!$HN69="raio",INDEX('DADOS_FORMAS'!$GN$2:$GN$6,MIN(5,'DADOS_FORMAS'!$HR69+2)),IF('DADOS_FORMAS'!$HN69="comprimento",INDEX('DADOS_FORMAS'!$GP$2:$GP$6,MIN(5,'DADOS_FORMAS'!$HR69+2)),'DADOS_FORMAS'!$HO69)))&amp;SUBSTITUTE('DADOS_FORMAS'!$HQ69,"em você","nela")))</f>
        <v/>
      </c>
      <c r="ID75">
        <f>IF(OR('DADOS_FORMAS'!$AH20="",'DADOS_FORMAS'!$HM69="",'DADOS_FORMAS'!$HO69=""),"",IF('DADOS_FORMAS'!$HO69="—","—",'DADOS_FORMAS'!$HP69&amp;IF('DADOS_FORMAS'!$HN69="alcance",INDEX('DADOS_FORMAS'!$GL$2:$GL$7,MIN(6,'DADOS_FORMAS'!$HR69+3)),IF('DADOS_FORMAS'!$HN69="raio",INDEX('DADOS_FORMAS'!$GN$2:$GN$6,MIN(5,'DADOS_FORMAS'!$HR69+3)),IF('DADOS_FORMAS'!$HN69="comprimento",INDEX('DADOS_FORMAS'!$GP$2:$GP$6,MIN(5,'DADOS_FORMAS'!$HR69+3)),'DADOS_FORMAS'!$HO69)))&amp;SUBSTITUTE('DADOS_FORMAS'!$HQ69,"em você","nela")))</f>
        <v/>
      </c>
      <c r="IE75">
        <f>IF(OR('DADOS_FORMAS'!$AH20="",'DADOS_FORMAS'!$HM69="",'DADOS_FORMAS'!$HO69=""),"",IF('DADOS_FORMAS'!$HO69="—","—",'DADOS_FORMAS'!$HP69&amp;IF('DADOS_FORMAS'!$HN69="alcance",INDEX('DADOS_FORMAS'!$GL$2:$GL$7,MIN(6,'DADOS_FORMAS'!$HR69+4)),IF('DADOS_FORMAS'!$HN69="raio",INDEX('DADOS_FORMAS'!$GN$2:$GN$6,MIN(5,'DADOS_FORMAS'!$HR69+4)),IF('DADOS_FORMAS'!$HN69="comprimento",INDEX('DADOS_FORMAS'!$GP$2:$GP$6,MIN(5,'DADOS_FORMAS'!$HR69+4)),'DADOS_FORMAS'!$HO69)))&amp;SUBSTITUTE('DADOS_FORMAS'!$HQ69,"em você","nela")))</f>
        <v/>
      </c>
      <c r="IF75">
        <f>IF(OR('DADOS_FORMAS'!$AH20="",'DADOS_FORMAS'!$HM69="",'DADOS_FORMAS'!$HO69=""),"",IF('DADOS_FORMAS'!$HO69="—","—",'DADOS_FORMAS'!$HP69&amp;IF('DADOS_FORMAS'!$HN69="alcance",INDEX('DADOS_FORMAS'!$GL$2:$GL$7,MIN(6,'DADOS_FORMAS'!$HR69+5)),IF('DADOS_FORMAS'!$HN69="raio",INDEX('DADOS_FORMAS'!$GN$2:$GN$6,MIN(5,'DADOS_FORMAS'!$HR69+5)),IF('DADOS_FORMAS'!$HN69="comprimento",INDEX('DADOS_FORMAS'!$GP$2:$GP$6,MIN(5,'DADOS_FORMAS'!$HR69+5)),'DADOS_FORMAS'!$HO69)))&amp;SUBSTITUTE('DADOS_FORMAS'!$HQ69,"em você","nela")))</f>
        <v/>
      </c>
    </row>
    <row r="76">
      <c r="HM76">
        <f>'DADOS_FORMAS'!$BL21</f>
        <v/>
      </c>
      <c r="HN76">
        <f>IF('DADOS_FORMAS'!$BL21="area",'DADOS_FORMAS'!$AU21,'DADOS_FORMAS'!$AT21)</f>
        <v/>
      </c>
      <c r="HO76">
        <f>IF('DADOS_FORMAS'!$BL21="area",'DADOS_FORMAS'!$BG21,'DADOS_FORMAS'!$AZ21)</f>
        <v/>
      </c>
      <c r="HP76">
        <f>'DADOS_FORMAS'!$BM21</f>
        <v/>
      </c>
      <c r="HQ76">
        <f>'DADOS_FORMAS'!$BN21</f>
        <v/>
      </c>
      <c r="HR76">
        <f>LET(base,'DADOS_FORMAS'!$HO76,escada,'DADOS_FORMAS'!$HN76,medida,LEFT(base,MAX(0,LEN(base)-2)),valor,IFERROR(VALUE(SUBSTITUTE(medida,",",""))/10^IFERROR(LEN(medida)-FIND(",",medida),0),1E99),IF(OR(escada="Fixo",base="—"),base,IF(escada="alcance",IFERROR(MATCH(base,{"1,5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6">
        <f>'DADOS_FORMAS'!$AH20&amp;" · classe 6"</f>
        <v/>
      </c>
      <c r="HU76">
        <f>LET(trecho,IF(OR('DADOS_FORMAS'!$AH20="",'DADOS_FORMAS'!$HM70="",'DADOS_FORMAS'!$HO70=""),"",IF('DADOS_FORMAS'!$HO70="—","—",'DADOS_FORMAS'!$HP70&amp;'DADOS_FORMAS'!$HO70&amp;SUBSTITUTE('DADOS_FORMAS'!$HQ70,"em você","nela"))),UPPER(LEFT(trecho,1))&amp;MID(trecho,2,LEN(trecho)))</f>
        <v/>
      </c>
      <c r="HV76">
        <f>LET(trecho,IF(OR('DADOS_FORMAS'!$AH20="",'DADOS_FORMAS'!$HM70="",'DADOS_FORMAS'!$HO70=""),"",IF('DADOS_FORMAS'!$HO70="—","—",'DADOS_FORMAS'!$HP70&amp;IF('DADOS_FORMAS'!$HN70="alcance",INDEX('DADOS_FORMAS'!$GL$2:$GL$7,MIN(6,'DADOS_FORMAS'!$HR70+1)),IF('DADOS_FORMAS'!$HN70="raio",INDEX('DADOS_FORMAS'!$GN$2:$GN$6,MIN(5,'DADOS_FORMAS'!$HR70+1)),IF('DADOS_FORMAS'!$HN70="comprimento",INDEX('DADOS_FORMAS'!$GP$2:$GP$6,MIN(5,'DADOS_FORMAS'!$HR70+1)),'DADOS_FORMAS'!$HO70)))&amp;SUBSTITUTE('DADOS_FORMAS'!$HQ70,"em você","nela"))),UPPER(LEFT(trecho,1))&amp;MID(trecho,2,LEN(trecho)))</f>
        <v/>
      </c>
      <c r="HW76">
        <f>LET(trecho,IF(OR('DADOS_FORMAS'!$AH20="",'DADOS_FORMAS'!$HM70="",'DADOS_FORMAS'!$HO70=""),"",IF('DADOS_FORMAS'!$HO70="—","—",'DADOS_FORMAS'!$HP70&amp;IF('DADOS_FORMAS'!$HN70="alcance",INDEX('DADOS_FORMAS'!$GL$2:$GL$7,MIN(6,'DADOS_FORMAS'!$HR70+2)),IF('DADOS_FORMAS'!$HN70="raio",INDEX('DADOS_FORMAS'!$GN$2:$GN$6,MIN(5,'DADOS_FORMAS'!$HR70+2)),IF('DADOS_FORMAS'!$HN70="comprimento",INDEX('DADOS_FORMAS'!$GP$2:$GP$6,MIN(5,'DADOS_FORMAS'!$HR70+2)),'DADOS_FORMAS'!$HO70)))&amp;SUBSTITUTE('DADOS_FORMAS'!$HQ70,"em você","nela"))),UPPER(LEFT(trecho,1))&amp;MID(trecho,2,LEN(trecho)))</f>
        <v/>
      </c>
      <c r="HX76">
        <f>LET(trecho,IF(OR('DADOS_FORMAS'!$AH20="",'DADOS_FORMAS'!$HM70="",'DADOS_FORMAS'!$HO70=""),"",IF('DADOS_FORMAS'!$HO70="—","—",'DADOS_FORMAS'!$HP70&amp;IF('DADOS_FORMAS'!$HN70="alcance",INDEX('DADOS_FORMAS'!$GL$2:$GL$7,MIN(6,'DADOS_FORMAS'!$HR70+3)),IF('DADOS_FORMAS'!$HN70="raio",INDEX('DADOS_FORMAS'!$GN$2:$GN$6,MIN(5,'DADOS_FORMAS'!$HR70+3)),IF('DADOS_FORMAS'!$HN70="comprimento",INDEX('DADOS_FORMAS'!$GP$2:$GP$6,MIN(5,'DADOS_FORMAS'!$HR70+3)),'DADOS_FORMAS'!$HO70)))&amp;SUBSTITUTE('DADOS_FORMAS'!$HQ70,"em você","nela"))),UPPER(LEFT(trecho,1))&amp;MID(trecho,2,LEN(trecho)))</f>
        <v/>
      </c>
      <c r="HY76">
        <f>LET(trecho,IF(OR('DADOS_FORMAS'!$AH20="",'DADOS_FORMAS'!$HM70="",'DADOS_FORMAS'!$HO70=""),"",IF('DADOS_FORMAS'!$HO70="—","—",'DADOS_FORMAS'!$HP70&amp;IF('DADOS_FORMAS'!$HN70="alcance",INDEX('DADOS_FORMAS'!$GL$2:$GL$7,MIN(6,'DADOS_FORMAS'!$HR70+4)),IF('DADOS_FORMAS'!$HN70="raio",INDEX('DADOS_FORMAS'!$GN$2:$GN$6,MIN(5,'DADOS_FORMAS'!$HR70+4)),IF('DADOS_FORMAS'!$HN70="comprimento",INDEX('DADOS_FORMAS'!$GP$2:$GP$6,MIN(5,'DADOS_FORMAS'!$HR70+4)),'DADOS_FORMAS'!$HO70)))&amp;SUBSTITUTE('DADOS_FORMAS'!$HQ70,"em você","nela"))),UPPER(LEFT(trecho,1))&amp;MID(trecho,2,LEN(trecho)))</f>
        <v/>
      </c>
      <c r="HZ76">
        <f>LET(trecho,IF(OR('DADOS_FORMAS'!$AH20="",'DADOS_FORMAS'!$HM70="",'DADOS_FORMAS'!$HO70=""),"",IF('DADOS_FORMAS'!$HO70="—","—",'DADOS_FORMAS'!$HP70&amp;IF('DADOS_FORMAS'!$HN70="alcance",INDEX('DADOS_FORMAS'!$GL$2:$GL$7,MIN(6,'DADOS_FORMAS'!$HR70+5)),IF('DADOS_FORMAS'!$HN70="raio",INDEX('DADOS_FORMAS'!$GN$2:$GN$6,MIN(5,'DADOS_FORMAS'!$HR70+5)),IF('DADOS_FORMAS'!$HN70="comprimento",INDEX('DADOS_FORMAS'!$GP$2:$GP$6,MIN(5,'DADOS_FORMAS'!$HR70+5)),'DADOS_FORMAS'!$HO70)))&amp;SUBSTITUTE('DADOS_FORMAS'!$HQ70,"em você","nela"))),UPPER(LEFT(trecho,1))&amp;MID(trecho,2,LEN(trecho)))</f>
        <v/>
      </c>
      <c r="IA76">
        <f>IF(OR('DADOS_FORMAS'!$AH20="",'DADOS_FORMAS'!$HM71="",'DADOS_FORMAS'!$HO71=""),"",IF('DADOS_FORMAS'!$HO71="—","—",'DADOS_FORMAS'!$HP71&amp;'DADOS_FORMAS'!$HO71&amp;SUBSTITUTE('DADOS_FORMAS'!$HQ71,"em você","nela")))</f>
        <v/>
      </c>
      <c r="IB76">
        <f>IF(OR('DADOS_FORMAS'!$AH20="",'DADOS_FORMAS'!$HM71="",'DADOS_FORMAS'!$HO71=""),"",IF('DADOS_FORMAS'!$HO71="—","—",'DADOS_FORMAS'!$HP71&amp;IF('DADOS_FORMAS'!$HN71="alcance",INDEX('DADOS_FORMAS'!$GL$2:$GL$7,MIN(6,'DADOS_FORMAS'!$HR71+1)),IF('DADOS_FORMAS'!$HN71="raio",INDEX('DADOS_FORMAS'!$GN$2:$GN$6,MIN(5,'DADOS_FORMAS'!$HR71+1)),IF('DADOS_FORMAS'!$HN71="comprimento",INDEX('DADOS_FORMAS'!$GP$2:$GP$6,MIN(5,'DADOS_FORMAS'!$HR71+1)),'DADOS_FORMAS'!$HO71)))&amp;SUBSTITUTE('DADOS_FORMAS'!$HQ71,"em você","nela")))</f>
        <v/>
      </c>
      <c r="IC76">
        <f>IF(OR('DADOS_FORMAS'!$AH20="",'DADOS_FORMAS'!$HM71="",'DADOS_FORMAS'!$HO71=""),"",IF('DADOS_FORMAS'!$HO71="—","—",'DADOS_FORMAS'!$HP71&amp;IF('DADOS_FORMAS'!$HN71="alcance",INDEX('DADOS_FORMAS'!$GL$2:$GL$7,MIN(6,'DADOS_FORMAS'!$HR71+2)),IF('DADOS_FORMAS'!$HN71="raio",INDEX('DADOS_FORMAS'!$GN$2:$GN$6,MIN(5,'DADOS_FORMAS'!$HR71+2)),IF('DADOS_FORMAS'!$HN71="comprimento",INDEX('DADOS_FORMAS'!$GP$2:$GP$6,MIN(5,'DADOS_FORMAS'!$HR71+2)),'DADOS_FORMAS'!$HO71)))&amp;SUBSTITUTE('DADOS_FORMAS'!$HQ71,"em você","nela")))</f>
        <v/>
      </c>
      <c r="ID76">
        <f>IF(OR('DADOS_FORMAS'!$AH20="",'DADOS_FORMAS'!$HM71="",'DADOS_FORMAS'!$HO71=""),"",IF('DADOS_FORMAS'!$HO71="—","—",'DADOS_FORMAS'!$HP71&amp;IF('DADOS_FORMAS'!$HN71="alcance",INDEX('DADOS_FORMAS'!$GL$2:$GL$7,MIN(6,'DADOS_FORMAS'!$HR71+3)),IF('DADOS_FORMAS'!$HN71="raio",INDEX('DADOS_FORMAS'!$GN$2:$GN$6,MIN(5,'DADOS_FORMAS'!$HR71+3)),IF('DADOS_FORMAS'!$HN71="comprimento",INDEX('DADOS_FORMAS'!$GP$2:$GP$6,MIN(5,'DADOS_FORMAS'!$HR71+3)),'DADOS_FORMAS'!$HO71)))&amp;SUBSTITUTE('DADOS_FORMAS'!$HQ71,"em você","nela")))</f>
        <v/>
      </c>
      <c r="IE76">
        <f>IF(OR('DADOS_FORMAS'!$AH20="",'DADOS_FORMAS'!$HM71="",'DADOS_FORMAS'!$HO71=""),"",IF('DADOS_FORMAS'!$HO71="—","—",'DADOS_FORMAS'!$HP71&amp;IF('DADOS_FORMAS'!$HN71="alcance",INDEX('DADOS_FORMAS'!$GL$2:$GL$7,MIN(6,'DADOS_FORMAS'!$HR71+4)),IF('DADOS_FORMAS'!$HN71="raio",INDEX('DADOS_FORMAS'!$GN$2:$GN$6,MIN(5,'DADOS_FORMAS'!$HR71+4)),IF('DADOS_FORMAS'!$HN71="comprimento",INDEX('DADOS_FORMAS'!$GP$2:$GP$6,MIN(5,'DADOS_FORMAS'!$HR71+4)),'DADOS_FORMAS'!$HO71)))&amp;SUBSTITUTE('DADOS_FORMAS'!$HQ71,"em você","nela")))</f>
        <v/>
      </c>
      <c r="IF76">
        <f>IF(OR('DADOS_FORMAS'!$AH20="",'DADOS_FORMAS'!$HM71="",'DADOS_FORMAS'!$HO71=""),"",IF('DADOS_FORMAS'!$HO71="—","—",'DADOS_FORMAS'!$HP71&amp;IF('DADOS_FORMAS'!$HN71="alcance",INDEX('DADOS_FORMAS'!$GL$2:$GL$7,MIN(6,'DADOS_FORMAS'!$HR71+5)),IF('DADOS_FORMAS'!$HN71="raio",INDEX('DADOS_FORMAS'!$GN$2:$GN$6,MIN(5,'DADOS_FORMAS'!$HR71+5)),IF('DADOS_FORMAS'!$HN71="comprimento",INDEX('DADOS_FORMAS'!$GP$2:$GP$6,MIN(5,'DADOS_FORMAS'!$HR71+5)),'DADOS_FORMAS'!$HO71)))&amp;SUBSTITUTE('DADOS_FORMAS'!$HQ71,"em você","nela")))</f>
        <v/>
      </c>
    </row>
    <row r="77">
      <c r="HM77">
        <f>'DADOS_FORMAS'!$BP21</f>
        <v/>
      </c>
      <c r="HN77">
        <f>IF('DADOS_FORMAS'!$BP21="area",'DADOS_FORMAS'!$AU21,'DADOS_FORMAS'!$AT21)</f>
        <v/>
      </c>
      <c r="HO77">
        <f>IF('DADOS_FORMAS'!$BP21="area",'DADOS_FORMAS'!$BG21,'DADOS_FORMAS'!$AZ21)</f>
        <v/>
      </c>
      <c r="HP77">
        <f>'DADOS_FORMAS'!$BQ21</f>
        <v/>
      </c>
      <c r="HQ77">
        <f>'DADOS_FORMAS'!$BR21</f>
        <v/>
      </c>
      <c r="HR77">
        <f>LET(base,'DADOS_FORMAS'!$HO77,escada,'DADOS_FORMAS'!$HN77,medida,LEFT(base,MAX(0,LEN(base)-2)),valor,IFERROR(VALUE(SUBSTITUTE(medida,",",""))/10^IFERROR(LEN(medida)-FIND(",",medida),0),1E99),IF(OR(escada="Fixo",base="—"),base,IF(escada="alcance",IFERROR(MATCH(base,{"1,5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7">
        <f>'DADOS_FORMAS'!$AH20&amp;" · classe 7"</f>
        <v/>
      </c>
      <c r="HU77">
        <f>LET(trecho,IF(OR('DADOS_FORMAS'!$AH20="",'DADOS_FORMAS'!$HM72="",'DADOS_FORMAS'!$HO72=""),"",IF('DADOS_FORMAS'!$HO72="—","—",'DADOS_FORMAS'!$HP72&amp;'DADOS_FORMAS'!$HO72&amp;SUBSTITUTE('DADOS_FORMAS'!$HQ72,"em você","nela"))),UPPER(LEFT(trecho,1))&amp;MID(trecho,2,LEN(trecho)))</f>
        <v/>
      </c>
      <c r="HV77">
        <f>LET(trecho,IF(OR('DADOS_FORMAS'!$AH20="",'DADOS_FORMAS'!$HM72="",'DADOS_FORMAS'!$HO72=""),"",IF('DADOS_FORMAS'!$HO72="—","—",'DADOS_FORMAS'!$HP72&amp;IF('DADOS_FORMAS'!$HN72="alcance",INDEX('DADOS_FORMAS'!$GL$2:$GL$7,MIN(6,'DADOS_FORMAS'!$HR72+1)),IF('DADOS_FORMAS'!$HN72="raio",INDEX('DADOS_FORMAS'!$GN$2:$GN$6,MIN(5,'DADOS_FORMAS'!$HR72+1)),IF('DADOS_FORMAS'!$HN72="comprimento",INDEX('DADOS_FORMAS'!$GP$2:$GP$6,MIN(5,'DADOS_FORMAS'!$HR72+1)),'DADOS_FORMAS'!$HO72)))&amp;SUBSTITUTE('DADOS_FORMAS'!$HQ72,"em você","nela"))),UPPER(LEFT(trecho,1))&amp;MID(trecho,2,LEN(trecho)))</f>
        <v/>
      </c>
      <c r="HW77">
        <f>LET(trecho,IF(OR('DADOS_FORMAS'!$AH20="",'DADOS_FORMAS'!$HM72="",'DADOS_FORMAS'!$HO72=""),"",IF('DADOS_FORMAS'!$HO72="—","—",'DADOS_FORMAS'!$HP72&amp;IF('DADOS_FORMAS'!$HN72="alcance",INDEX('DADOS_FORMAS'!$GL$2:$GL$7,MIN(6,'DADOS_FORMAS'!$HR72+2)),IF('DADOS_FORMAS'!$HN72="raio",INDEX('DADOS_FORMAS'!$GN$2:$GN$6,MIN(5,'DADOS_FORMAS'!$HR72+2)),IF('DADOS_FORMAS'!$HN72="comprimento",INDEX('DADOS_FORMAS'!$GP$2:$GP$6,MIN(5,'DADOS_FORMAS'!$HR72+2)),'DADOS_FORMAS'!$HO72)))&amp;SUBSTITUTE('DADOS_FORMAS'!$HQ72,"em você","nela"))),UPPER(LEFT(trecho,1))&amp;MID(trecho,2,LEN(trecho)))</f>
        <v/>
      </c>
      <c r="HX77">
        <f>LET(trecho,IF(OR('DADOS_FORMAS'!$AH20="",'DADOS_FORMAS'!$HM72="",'DADOS_FORMAS'!$HO72=""),"",IF('DADOS_FORMAS'!$HO72="—","—",'DADOS_FORMAS'!$HP72&amp;IF('DADOS_FORMAS'!$HN72="alcance",INDEX('DADOS_FORMAS'!$GL$2:$GL$7,MIN(6,'DADOS_FORMAS'!$HR72+3)),IF('DADOS_FORMAS'!$HN72="raio",INDEX('DADOS_FORMAS'!$GN$2:$GN$6,MIN(5,'DADOS_FORMAS'!$HR72+3)),IF('DADOS_FORMAS'!$HN72="comprimento",INDEX('DADOS_FORMAS'!$GP$2:$GP$6,MIN(5,'DADOS_FORMAS'!$HR72+3)),'DADOS_FORMAS'!$HO72)))&amp;SUBSTITUTE('DADOS_FORMAS'!$HQ72,"em você","nela"))),UPPER(LEFT(trecho,1))&amp;MID(trecho,2,LEN(trecho)))</f>
        <v/>
      </c>
      <c r="HY77">
        <f>LET(trecho,IF(OR('DADOS_FORMAS'!$AH20="",'DADOS_FORMAS'!$HM72="",'DADOS_FORMAS'!$HO72=""),"",IF('DADOS_FORMAS'!$HO72="—","—",'DADOS_FORMAS'!$HP72&amp;IF('DADOS_FORMAS'!$HN72="alcance",INDEX('DADOS_FORMAS'!$GL$2:$GL$7,MIN(6,'DADOS_FORMAS'!$HR72+4)),IF('DADOS_FORMAS'!$HN72="raio",INDEX('DADOS_FORMAS'!$GN$2:$GN$6,MIN(5,'DADOS_FORMAS'!$HR72+4)),IF('DADOS_FORMAS'!$HN72="comprimento",INDEX('DADOS_FORMAS'!$GP$2:$GP$6,MIN(5,'DADOS_FORMAS'!$HR72+4)),'DADOS_FORMAS'!$HO72)))&amp;SUBSTITUTE('DADOS_FORMAS'!$HQ72,"em você","nela"))),UPPER(LEFT(trecho,1))&amp;MID(trecho,2,LEN(trecho)))</f>
        <v/>
      </c>
      <c r="HZ77">
        <f>LET(trecho,IF(OR('DADOS_FORMAS'!$AH20="",'DADOS_FORMAS'!$HM72="",'DADOS_FORMAS'!$HO72=""),"",IF('DADOS_FORMAS'!$HO72="—","—",'DADOS_FORMAS'!$HP72&amp;IF('DADOS_FORMAS'!$HN72="alcance",INDEX('DADOS_FORMAS'!$GL$2:$GL$7,MIN(6,'DADOS_FORMAS'!$HR72+5)),IF('DADOS_FORMAS'!$HN72="raio",INDEX('DADOS_FORMAS'!$GN$2:$GN$6,MIN(5,'DADOS_FORMAS'!$HR72+5)),IF('DADOS_FORMAS'!$HN72="comprimento",INDEX('DADOS_FORMAS'!$GP$2:$GP$6,MIN(5,'DADOS_FORMAS'!$HR72+5)),'DADOS_FORMAS'!$HO72)))&amp;SUBSTITUTE('DADOS_FORMAS'!$HQ72,"em você","nela"))),UPPER(LEFT(trecho,1))&amp;MID(trecho,2,LEN(trecho)))</f>
        <v/>
      </c>
      <c r="IA77">
        <f>IF(OR('DADOS_FORMAS'!$AH20="",'DADOS_FORMAS'!$HM73="",'DADOS_FORMAS'!$HO73=""),"",IF('DADOS_FORMAS'!$HO73="—","—",'DADOS_FORMAS'!$HP73&amp;'DADOS_FORMAS'!$HO73&amp;SUBSTITUTE('DADOS_FORMAS'!$HQ73,"em você","nela")))</f>
        <v/>
      </c>
      <c r="IB77">
        <f>IF(OR('DADOS_FORMAS'!$AH20="",'DADOS_FORMAS'!$HM73="",'DADOS_FORMAS'!$HO73=""),"",IF('DADOS_FORMAS'!$HO73="—","—",'DADOS_FORMAS'!$HP73&amp;IF('DADOS_FORMAS'!$HN73="alcance",INDEX('DADOS_FORMAS'!$GL$2:$GL$7,MIN(6,'DADOS_FORMAS'!$HR73+1)),IF('DADOS_FORMAS'!$HN73="raio",INDEX('DADOS_FORMAS'!$GN$2:$GN$6,MIN(5,'DADOS_FORMAS'!$HR73+1)),IF('DADOS_FORMAS'!$HN73="comprimento",INDEX('DADOS_FORMAS'!$GP$2:$GP$6,MIN(5,'DADOS_FORMAS'!$HR73+1)),'DADOS_FORMAS'!$HO73)))&amp;SUBSTITUTE('DADOS_FORMAS'!$HQ73,"em você","nela")))</f>
        <v/>
      </c>
      <c r="IC77">
        <f>IF(OR('DADOS_FORMAS'!$AH20="",'DADOS_FORMAS'!$HM73="",'DADOS_FORMAS'!$HO73=""),"",IF('DADOS_FORMAS'!$HO73="—","—",'DADOS_FORMAS'!$HP73&amp;IF('DADOS_FORMAS'!$HN73="alcance",INDEX('DADOS_FORMAS'!$GL$2:$GL$7,MIN(6,'DADOS_FORMAS'!$HR73+2)),IF('DADOS_FORMAS'!$HN73="raio",INDEX('DADOS_FORMAS'!$GN$2:$GN$6,MIN(5,'DADOS_FORMAS'!$HR73+2)),IF('DADOS_FORMAS'!$HN73="comprimento",INDEX('DADOS_FORMAS'!$GP$2:$GP$6,MIN(5,'DADOS_FORMAS'!$HR73+2)),'DADOS_FORMAS'!$HO73)))&amp;SUBSTITUTE('DADOS_FORMAS'!$HQ73,"em você","nela")))</f>
        <v/>
      </c>
      <c r="ID77">
        <f>IF(OR('DADOS_FORMAS'!$AH20="",'DADOS_FORMAS'!$HM73="",'DADOS_FORMAS'!$HO73=""),"",IF('DADOS_FORMAS'!$HO73="—","—",'DADOS_FORMAS'!$HP73&amp;IF('DADOS_FORMAS'!$HN73="alcance",INDEX('DADOS_FORMAS'!$GL$2:$GL$7,MIN(6,'DADOS_FORMAS'!$HR73+3)),IF('DADOS_FORMAS'!$HN73="raio",INDEX('DADOS_FORMAS'!$GN$2:$GN$6,MIN(5,'DADOS_FORMAS'!$HR73+3)),IF('DADOS_FORMAS'!$HN73="comprimento",INDEX('DADOS_FORMAS'!$GP$2:$GP$6,MIN(5,'DADOS_FORMAS'!$HR73+3)),'DADOS_FORMAS'!$HO73)))&amp;SUBSTITUTE('DADOS_FORMAS'!$HQ73,"em você","nela")))</f>
        <v/>
      </c>
      <c r="IE77">
        <f>IF(OR('DADOS_FORMAS'!$AH20="",'DADOS_FORMAS'!$HM73="",'DADOS_FORMAS'!$HO73=""),"",IF('DADOS_FORMAS'!$HO73="—","—",'DADOS_FORMAS'!$HP73&amp;IF('DADOS_FORMAS'!$HN73="alcance",INDEX('DADOS_FORMAS'!$GL$2:$GL$7,MIN(6,'DADOS_FORMAS'!$HR73+4)),IF('DADOS_FORMAS'!$HN73="raio",INDEX('DADOS_FORMAS'!$GN$2:$GN$6,MIN(5,'DADOS_FORMAS'!$HR73+4)),IF('DADOS_FORMAS'!$HN73="comprimento",INDEX('DADOS_FORMAS'!$GP$2:$GP$6,MIN(5,'DADOS_FORMAS'!$HR73+4)),'DADOS_FORMAS'!$HO73)))&amp;SUBSTITUTE('DADOS_FORMAS'!$HQ73,"em você","nela")))</f>
        <v/>
      </c>
      <c r="IF77">
        <f>IF(OR('DADOS_FORMAS'!$AH20="",'DADOS_FORMAS'!$HM73="",'DADOS_FORMAS'!$HO73=""),"",IF('DADOS_FORMAS'!$HO73="—","—",'DADOS_FORMAS'!$HP73&amp;IF('DADOS_FORMAS'!$HN73="alcance",INDEX('DADOS_FORMAS'!$GL$2:$GL$7,MIN(6,'DADOS_FORMAS'!$HR73+5)),IF('DADOS_FORMAS'!$HN73="raio",INDEX('DADOS_FORMAS'!$GN$2:$GN$6,MIN(5,'DADOS_FORMAS'!$HR73+5)),IF('DADOS_FORMAS'!$HN73="comprimento",INDEX('DADOS_FORMAS'!$GP$2:$GP$6,MIN(5,'DADOS_FORMAS'!$HR73+5)),'DADOS_FORMAS'!$HO73)))&amp;SUBSTITUTE('DADOS_FORMAS'!$HQ73,"em você","nela")))</f>
        <v/>
      </c>
    </row>
    <row r="78">
      <c r="HM78">
        <f>'DADOS_FORMAS'!$BL21</f>
        <v/>
      </c>
      <c r="HN78">
        <f>IF('DADOS_FORMAS'!$BL21="area",'DADOS_FORMAS'!$AU21,'DADOS_FORMAS'!$AT21)</f>
        <v/>
      </c>
      <c r="HO78">
        <f>IF('DADOS_FORMAS'!$BL21="area",'DADOS_FORMAS'!$BH21,'DADOS_FORMAS'!$BA21)</f>
        <v/>
      </c>
      <c r="HP78">
        <f>'DADOS_FORMAS'!$BM21</f>
        <v/>
      </c>
      <c r="HQ78">
        <f>'DADOS_FORMAS'!$BN21</f>
        <v/>
      </c>
      <c r="HR78">
        <f>LET(base,'DADOS_FORMAS'!$HO78,escada,'DADOS_FORMAS'!$HN78,medida,LEFT(base,MAX(0,LEN(base)-2)),valor,IFERROR(VALUE(SUBSTITUTE(medida,",",""))/10^IFERROR(LEN(medida)-FIND(",",medida),0),1E99),IF(OR(escada="Fixo",base="—"),base,IF(escada="alcance",IFERROR(MATCH(base,{"1,5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8">
        <f>'DADOS_FORMAS'!$AH21&amp;" · classe 0"</f>
        <v/>
      </c>
      <c r="HU78">
        <f>LET(trecho,IF(OR('DADOS_FORMAS'!$AH21="",'DADOS_FORMAS'!$HM74="",'DADOS_FORMAS'!$HO74=""),"",IF('DADOS_FORMAS'!$HO74="—","—",'DADOS_FORMAS'!$HP74&amp;'DADOS_FORMAS'!$HO74&amp;SUBSTITUTE('DADOS_FORMAS'!$HQ74,"em você","nela"))),UPPER(LEFT(trecho,1))&amp;MID(trecho,2,LEN(trecho)))</f>
        <v/>
      </c>
      <c r="HV78">
        <f>LET(trecho,IF(OR('DADOS_FORMAS'!$AH21="",'DADOS_FORMAS'!$HM74="",'DADOS_FORMAS'!$HO74=""),"",IF('DADOS_FORMAS'!$HO74="—","—",'DADOS_FORMAS'!$HP74&amp;IF('DADOS_FORMAS'!$HN74="alcance",INDEX('DADOS_FORMAS'!$GL$2:$GL$7,MIN(6,'DADOS_FORMAS'!$HR74+1)),IF('DADOS_FORMAS'!$HN74="raio",INDEX('DADOS_FORMAS'!$GN$2:$GN$6,MIN(5,'DADOS_FORMAS'!$HR74+1)),IF('DADOS_FORMAS'!$HN74="comprimento",INDEX('DADOS_FORMAS'!$GP$2:$GP$6,MIN(5,'DADOS_FORMAS'!$HR74+1)),'DADOS_FORMAS'!$HO74)))&amp;SUBSTITUTE('DADOS_FORMAS'!$HQ74,"em você","nela"))),UPPER(LEFT(trecho,1))&amp;MID(trecho,2,LEN(trecho)))</f>
        <v/>
      </c>
      <c r="HW78">
        <f>LET(trecho,IF(OR('DADOS_FORMAS'!$AH21="",'DADOS_FORMAS'!$HM74="",'DADOS_FORMAS'!$HO74=""),"",IF('DADOS_FORMAS'!$HO74="—","—",'DADOS_FORMAS'!$HP74&amp;IF('DADOS_FORMAS'!$HN74="alcance",INDEX('DADOS_FORMAS'!$GL$2:$GL$7,MIN(6,'DADOS_FORMAS'!$HR74+2)),IF('DADOS_FORMAS'!$HN74="raio",INDEX('DADOS_FORMAS'!$GN$2:$GN$6,MIN(5,'DADOS_FORMAS'!$HR74+2)),IF('DADOS_FORMAS'!$HN74="comprimento",INDEX('DADOS_FORMAS'!$GP$2:$GP$6,MIN(5,'DADOS_FORMAS'!$HR74+2)),'DADOS_FORMAS'!$HO74)))&amp;SUBSTITUTE('DADOS_FORMAS'!$HQ74,"em você","nela"))),UPPER(LEFT(trecho,1))&amp;MID(trecho,2,LEN(trecho)))</f>
        <v/>
      </c>
      <c r="HX78">
        <f>LET(trecho,IF(OR('DADOS_FORMAS'!$AH21="",'DADOS_FORMAS'!$HM74="",'DADOS_FORMAS'!$HO74=""),"",IF('DADOS_FORMAS'!$HO74="—","—",'DADOS_FORMAS'!$HP74&amp;IF('DADOS_FORMAS'!$HN74="alcance",INDEX('DADOS_FORMAS'!$GL$2:$GL$7,MIN(6,'DADOS_FORMAS'!$HR74+3)),IF('DADOS_FORMAS'!$HN74="raio",INDEX('DADOS_FORMAS'!$GN$2:$GN$6,MIN(5,'DADOS_FORMAS'!$HR74+3)),IF('DADOS_FORMAS'!$HN74="comprimento",INDEX('DADOS_FORMAS'!$GP$2:$GP$6,MIN(5,'DADOS_FORMAS'!$HR74+3)),'DADOS_FORMAS'!$HO74)))&amp;SUBSTITUTE('DADOS_FORMAS'!$HQ74,"em você","nela"))),UPPER(LEFT(trecho,1))&amp;MID(trecho,2,LEN(trecho)))</f>
        <v/>
      </c>
      <c r="HY78">
        <f>LET(trecho,IF(OR('DADOS_FORMAS'!$AH21="",'DADOS_FORMAS'!$HM74="",'DADOS_FORMAS'!$HO74=""),"",IF('DADOS_FORMAS'!$HO74="—","—",'DADOS_FORMAS'!$HP74&amp;IF('DADOS_FORMAS'!$HN74="alcance",INDEX('DADOS_FORMAS'!$GL$2:$GL$7,MIN(6,'DADOS_FORMAS'!$HR74+4)),IF('DADOS_FORMAS'!$HN74="raio",INDEX('DADOS_FORMAS'!$GN$2:$GN$6,MIN(5,'DADOS_FORMAS'!$HR74+4)),IF('DADOS_FORMAS'!$HN74="comprimento",INDEX('DADOS_FORMAS'!$GP$2:$GP$6,MIN(5,'DADOS_FORMAS'!$HR74+4)),'DADOS_FORMAS'!$HO74)))&amp;SUBSTITUTE('DADOS_FORMAS'!$HQ74,"em você","nela"))),UPPER(LEFT(trecho,1))&amp;MID(trecho,2,LEN(trecho)))</f>
        <v/>
      </c>
      <c r="HZ78">
        <f>LET(trecho,IF(OR('DADOS_FORMAS'!$AH21="",'DADOS_FORMAS'!$HM74="",'DADOS_FORMAS'!$HO74=""),"",IF('DADOS_FORMAS'!$HO74="—","—",'DADOS_FORMAS'!$HP74&amp;IF('DADOS_FORMAS'!$HN74="alcance",INDEX('DADOS_FORMAS'!$GL$2:$GL$7,MIN(6,'DADOS_FORMAS'!$HR74+5)),IF('DADOS_FORMAS'!$HN74="raio",INDEX('DADOS_FORMAS'!$GN$2:$GN$6,MIN(5,'DADOS_FORMAS'!$HR74+5)),IF('DADOS_FORMAS'!$HN74="comprimento",INDEX('DADOS_FORMAS'!$GP$2:$GP$6,MIN(5,'DADOS_FORMAS'!$HR74+5)),'DADOS_FORMAS'!$HO74)))&amp;SUBSTITUTE('DADOS_FORMAS'!$HQ74,"em você","nela"))),UPPER(LEFT(trecho,1))&amp;MID(trecho,2,LEN(trecho)))</f>
        <v/>
      </c>
      <c r="IA78">
        <f>IF(OR('DADOS_FORMAS'!$AH21="",'DADOS_FORMAS'!$HM75="",'DADOS_FORMAS'!$HO75=""),"",IF('DADOS_FORMAS'!$HO75="—","—",'DADOS_FORMAS'!$HP75&amp;'DADOS_FORMAS'!$HO75&amp;SUBSTITUTE('DADOS_FORMAS'!$HQ75,"em você","nela")))</f>
        <v/>
      </c>
      <c r="IB78">
        <f>IF(OR('DADOS_FORMAS'!$AH21="",'DADOS_FORMAS'!$HM75="",'DADOS_FORMAS'!$HO75=""),"",IF('DADOS_FORMAS'!$HO75="—","—",'DADOS_FORMAS'!$HP75&amp;IF('DADOS_FORMAS'!$HN75="alcance",INDEX('DADOS_FORMAS'!$GL$2:$GL$7,MIN(6,'DADOS_FORMAS'!$HR75+1)),IF('DADOS_FORMAS'!$HN75="raio",INDEX('DADOS_FORMAS'!$GN$2:$GN$6,MIN(5,'DADOS_FORMAS'!$HR75+1)),IF('DADOS_FORMAS'!$HN75="comprimento",INDEX('DADOS_FORMAS'!$GP$2:$GP$6,MIN(5,'DADOS_FORMAS'!$HR75+1)),'DADOS_FORMAS'!$HO75)))&amp;SUBSTITUTE('DADOS_FORMAS'!$HQ75,"em você","nela")))</f>
        <v/>
      </c>
      <c r="IC78">
        <f>IF(OR('DADOS_FORMAS'!$AH21="",'DADOS_FORMAS'!$HM75="",'DADOS_FORMAS'!$HO75=""),"",IF('DADOS_FORMAS'!$HO75="—","—",'DADOS_FORMAS'!$HP75&amp;IF('DADOS_FORMAS'!$HN75="alcance",INDEX('DADOS_FORMAS'!$GL$2:$GL$7,MIN(6,'DADOS_FORMAS'!$HR75+2)),IF('DADOS_FORMAS'!$HN75="raio",INDEX('DADOS_FORMAS'!$GN$2:$GN$6,MIN(5,'DADOS_FORMAS'!$HR75+2)),IF('DADOS_FORMAS'!$HN75="comprimento",INDEX('DADOS_FORMAS'!$GP$2:$GP$6,MIN(5,'DADOS_FORMAS'!$HR75+2)),'DADOS_FORMAS'!$HO75)))&amp;SUBSTITUTE('DADOS_FORMAS'!$HQ75,"em você","nela")))</f>
        <v/>
      </c>
      <c r="ID78">
        <f>IF(OR('DADOS_FORMAS'!$AH21="",'DADOS_FORMAS'!$HM75="",'DADOS_FORMAS'!$HO75=""),"",IF('DADOS_FORMAS'!$HO75="—","—",'DADOS_FORMAS'!$HP75&amp;IF('DADOS_FORMAS'!$HN75="alcance",INDEX('DADOS_FORMAS'!$GL$2:$GL$7,MIN(6,'DADOS_FORMAS'!$HR75+3)),IF('DADOS_FORMAS'!$HN75="raio",INDEX('DADOS_FORMAS'!$GN$2:$GN$6,MIN(5,'DADOS_FORMAS'!$HR75+3)),IF('DADOS_FORMAS'!$HN75="comprimento",INDEX('DADOS_FORMAS'!$GP$2:$GP$6,MIN(5,'DADOS_FORMAS'!$HR75+3)),'DADOS_FORMAS'!$HO75)))&amp;SUBSTITUTE('DADOS_FORMAS'!$HQ75,"em você","nela")))</f>
        <v/>
      </c>
      <c r="IE78">
        <f>IF(OR('DADOS_FORMAS'!$AH21="",'DADOS_FORMAS'!$HM75="",'DADOS_FORMAS'!$HO75=""),"",IF('DADOS_FORMAS'!$HO75="—","—",'DADOS_FORMAS'!$HP75&amp;IF('DADOS_FORMAS'!$HN75="alcance",INDEX('DADOS_FORMAS'!$GL$2:$GL$7,MIN(6,'DADOS_FORMAS'!$HR75+4)),IF('DADOS_FORMAS'!$HN75="raio",INDEX('DADOS_FORMAS'!$GN$2:$GN$6,MIN(5,'DADOS_FORMAS'!$HR75+4)),IF('DADOS_FORMAS'!$HN75="comprimento",INDEX('DADOS_FORMAS'!$GP$2:$GP$6,MIN(5,'DADOS_FORMAS'!$HR75+4)),'DADOS_FORMAS'!$HO75)))&amp;SUBSTITUTE('DADOS_FORMAS'!$HQ75,"em você","nela")))</f>
        <v/>
      </c>
      <c r="IF78">
        <f>IF(OR('DADOS_FORMAS'!$AH21="",'DADOS_FORMAS'!$HM75="",'DADOS_FORMAS'!$HO75=""),"",IF('DADOS_FORMAS'!$HO75="—","—",'DADOS_FORMAS'!$HP75&amp;IF('DADOS_FORMAS'!$HN75="alcance",INDEX('DADOS_FORMAS'!$GL$2:$GL$7,MIN(6,'DADOS_FORMAS'!$HR75+5)),IF('DADOS_FORMAS'!$HN75="raio",INDEX('DADOS_FORMAS'!$GN$2:$GN$6,MIN(5,'DADOS_FORMAS'!$HR75+5)),IF('DADOS_FORMAS'!$HN75="comprimento",INDEX('DADOS_FORMAS'!$GP$2:$GP$6,MIN(5,'DADOS_FORMAS'!$HR75+5)),'DADOS_FORMAS'!$HO75)))&amp;SUBSTITUTE('DADOS_FORMAS'!$HQ75,"em você","nela")))</f>
        <v/>
      </c>
    </row>
    <row r="79">
      <c r="HM79">
        <f>'DADOS_FORMAS'!$BP21</f>
        <v/>
      </c>
      <c r="HN79">
        <f>IF('DADOS_FORMAS'!$BP21="area",'DADOS_FORMAS'!$AU21,'DADOS_FORMAS'!$AT21)</f>
        <v/>
      </c>
      <c r="HO79">
        <f>IF('DADOS_FORMAS'!$BP21="area",'DADOS_FORMAS'!$BH21,'DADOS_FORMAS'!$BA21)</f>
        <v/>
      </c>
      <c r="HP79">
        <f>'DADOS_FORMAS'!$BQ21</f>
        <v/>
      </c>
      <c r="HQ79">
        <f>'DADOS_FORMAS'!$BR21</f>
        <v/>
      </c>
      <c r="HR79">
        <f>LET(base,'DADOS_FORMAS'!$HO79,escada,'DADOS_FORMAS'!$HN79,medida,LEFT(base,MAX(0,LEN(base)-2)),valor,IFERROR(VALUE(SUBSTITUTE(medida,",",""))/10^IFERROR(LEN(medida)-FIND(",",medida),0),1E99),IF(OR(escada="Fixo",base="—"),base,IF(escada="alcance",IFERROR(MATCH(base,{"1,5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79">
        <f>'DADOS_FORMAS'!$AH21&amp;" · classes 1 a 5"</f>
        <v/>
      </c>
      <c r="HU79">
        <f>LET(trecho,IF(OR('DADOS_FORMAS'!$AH21="",'DADOS_FORMAS'!$HM76="",'DADOS_FORMAS'!$HO76=""),"",IF('DADOS_FORMAS'!$HO76="—","—",'DADOS_FORMAS'!$HP76&amp;'DADOS_FORMAS'!$HO76&amp;SUBSTITUTE('DADOS_FORMAS'!$HQ76,"em você","nela"))),UPPER(LEFT(trecho,1))&amp;MID(trecho,2,LEN(trecho)))</f>
        <v/>
      </c>
      <c r="HV79">
        <f>LET(trecho,IF(OR('DADOS_FORMAS'!$AH21="",'DADOS_FORMAS'!$HM76="",'DADOS_FORMAS'!$HO76=""),"",IF('DADOS_FORMAS'!$HO76="—","—",'DADOS_FORMAS'!$HP76&amp;IF('DADOS_FORMAS'!$HN76="alcance",INDEX('DADOS_FORMAS'!$GL$2:$GL$7,MIN(6,'DADOS_FORMAS'!$HR76+1)),IF('DADOS_FORMAS'!$HN76="raio",INDEX('DADOS_FORMAS'!$GN$2:$GN$6,MIN(5,'DADOS_FORMAS'!$HR76+1)),IF('DADOS_FORMAS'!$HN76="comprimento",INDEX('DADOS_FORMAS'!$GP$2:$GP$6,MIN(5,'DADOS_FORMAS'!$HR76+1)),'DADOS_FORMAS'!$HO76)))&amp;SUBSTITUTE('DADOS_FORMAS'!$HQ76,"em você","nela"))),UPPER(LEFT(trecho,1))&amp;MID(trecho,2,LEN(trecho)))</f>
        <v/>
      </c>
      <c r="HW79">
        <f>LET(trecho,IF(OR('DADOS_FORMAS'!$AH21="",'DADOS_FORMAS'!$HM76="",'DADOS_FORMAS'!$HO76=""),"",IF('DADOS_FORMAS'!$HO76="—","—",'DADOS_FORMAS'!$HP76&amp;IF('DADOS_FORMAS'!$HN76="alcance",INDEX('DADOS_FORMAS'!$GL$2:$GL$7,MIN(6,'DADOS_FORMAS'!$HR76+2)),IF('DADOS_FORMAS'!$HN76="raio",INDEX('DADOS_FORMAS'!$GN$2:$GN$6,MIN(5,'DADOS_FORMAS'!$HR76+2)),IF('DADOS_FORMAS'!$HN76="comprimento",INDEX('DADOS_FORMAS'!$GP$2:$GP$6,MIN(5,'DADOS_FORMAS'!$HR76+2)),'DADOS_FORMAS'!$HO76)))&amp;SUBSTITUTE('DADOS_FORMAS'!$HQ76,"em você","nela"))),UPPER(LEFT(trecho,1))&amp;MID(trecho,2,LEN(trecho)))</f>
        <v/>
      </c>
      <c r="HX79">
        <f>LET(trecho,IF(OR('DADOS_FORMAS'!$AH21="",'DADOS_FORMAS'!$HM76="",'DADOS_FORMAS'!$HO76=""),"",IF('DADOS_FORMAS'!$HO76="—","—",'DADOS_FORMAS'!$HP76&amp;IF('DADOS_FORMAS'!$HN76="alcance",INDEX('DADOS_FORMAS'!$GL$2:$GL$7,MIN(6,'DADOS_FORMAS'!$HR76+3)),IF('DADOS_FORMAS'!$HN76="raio",INDEX('DADOS_FORMAS'!$GN$2:$GN$6,MIN(5,'DADOS_FORMAS'!$HR76+3)),IF('DADOS_FORMAS'!$HN76="comprimento",INDEX('DADOS_FORMAS'!$GP$2:$GP$6,MIN(5,'DADOS_FORMAS'!$HR76+3)),'DADOS_FORMAS'!$HO76)))&amp;SUBSTITUTE('DADOS_FORMAS'!$HQ76,"em você","nela"))),UPPER(LEFT(trecho,1))&amp;MID(trecho,2,LEN(trecho)))</f>
        <v/>
      </c>
      <c r="HY79">
        <f>LET(trecho,IF(OR('DADOS_FORMAS'!$AH21="",'DADOS_FORMAS'!$HM76="",'DADOS_FORMAS'!$HO76=""),"",IF('DADOS_FORMAS'!$HO76="—","—",'DADOS_FORMAS'!$HP76&amp;IF('DADOS_FORMAS'!$HN76="alcance",INDEX('DADOS_FORMAS'!$GL$2:$GL$7,MIN(6,'DADOS_FORMAS'!$HR76+4)),IF('DADOS_FORMAS'!$HN76="raio",INDEX('DADOS_FORMAS'!$GN$2:$GN$6,MIN(5,'DADOS_FORMAS'!$HR76+4)),IF('DADOS_FORMAS'!$HN76="comprimento",INDEX('DADOS_FORMAS'!$GP$2:$GP$6,MIN(5,'DADOS_FORMAS'!$HR76+4)),'DADOS_FORMAS'!$HO76)))&amp;SUBSTITUTE('DADOS_FORMAS'!$HQ76,"em você","nela"))),UPPER(LEFT(trecho,1))&amp;MID(trecho,2,LEN(trecho)))</f>
        <v/>
      </c>
      <c r="HZ79">
        <f>LET(trecho,IF(OR('DADOS_FORMAS'!$AH21="",'DADOS_FORMAS'!$HM76="",'DADOS_FORMAS'!$HO76=""),"",IF('DADOS_FORMAS'!$HO76="—","—",'DADOS_FORMAS'!$HP76&amp;IF('DADOS_FORMAS'!$HN76="alcance",INDEX('DADOS_FORMAS'!$GL$2:$GL$7,MIN(6,'DADOS_FORMAS'!$HR76+5)),IF('DADOS_FORMAS'!$HN76="raio",INDEX('DADOS_FORMAS'!$GN$2:$GN$6,MIN(5,'DADOS_FORMAS'!$HR76+5)),IF('DADOS_FORMAS'!$HN76="comprimento",INDEX('DADOS_FORMAS'!$GP$2:$GP$6,MIN(5,'DADOS_FORMAS'!$HR76+5)),'DADOS_FORMAS'!$HO76)))&amp;SUBSTITUTE('DADOS_FORMAS'!$HQ76,"em você","nela"))),UPPER(LEFT(trecho,1))&amp;MID(trecho,2,LEN(trecho)))</f>
        <v/>
      </c>
      <c r="IA79">
        <f>IF(OR('DADOS_FORMAS'!$AH21="",'DADOS_FORMAS'!$HM77="",'DADOS_FORMAS'!$HO77=""),"",IF('DADOS_FORMAS'!$HO77="—","—",'DADOS_FORMAS'!$HP77&amp;'DADOS_FORMAS'!$HO77&amp;SUBSTITUTE('DADOS_FORMAS'!$HQ77,"em você","nela")))</f>
        <v/>
      </c>
      <c r="IB79">
        <f>IF(OR('DADOS_FORMAS'!$AH21="",'DADOS_FORMAS'!$HM77="",'DADOS_FORMAS'!$HO77=""),"",IF('DADOS_FORMAS'!$HO77="—","—",'DADOS_FORMAS'!$HP77&amp;IF('DADOS_FORMAS'!$HN77="alcance",INDEX('DADOS_FORMAS'!$GL$2:$GL$7,MIN(6,'DADOS_FORMAS'!$HR77+1)),IF('DADOS_FORMAS'!$HN77="raio",INDEX('DADOS_FORMAS'!$GN$2:$GN$6,MIN(5,'DADOS_FORMAS'!$HR77+1)),IF('DADOS_FORMAS'!$HN77="comprimento",INDEX('DADOS_FORMAS'!$GP$2:$GP$6,MIN(5,'DADOS_FORMAS'!$HR77+1)),'DADOS_FORMAS'!$HO77)))&amp;SUBSTITUTE('DADOS_FORMAS'!$HQ77,"em você","nela")))</f>
        <v/>
      </c>
      <c r="IC79">
        <f>IF(OR('DADOS_FORMAS'!$AH21="",'DADOS_FORMAS'!$HM77="",'DADOS_FORMAS'!$HO77=""),"",IF('DADOS_FORMAS'!$HO77="—","—",'DADOS_FORMAS'!$HP77&amp;IF('DADOS_FORMAS'!$HN77="alcance",INDEX('DADOS_FORMAS'!$GL$2:$GL$7,MIN(6,'DADOS_FORMAS'!$HR77+2)),IF('DADOS_FORMAS'!$HN77="raio",INDEX('DADOS_FORMAS'!$GN$2:$GN$6,MIN(5,'DADOS_FORMAS'!$HR77+2)),IF('DADOS_FORMAS'!$HN77="comprimento",INDEX('DADOS_FORMAS'!$GP$2:$GP$6,MIN(5,'DADOS_FORMAS'!$HR77+2)),'DADOS_FORMAS'!$HO77)))&amp;SUBSTITUTE('DADOS_FORMAS'!$HQ77,"em você","nela")))</f>
        <v/>
      </c>
      <c r="ID79">
        <f>IF(OR('DADOS_FORMAS'!$AH21="",'DADOS_FORMAS'!$HM77="",'DADOS_FORMAS'!$HO77=""),"",IF('DADOS_FORMAS'!$HO77="—","—",'DADOS_FORMAS'!$HP77&amp;IF('DADOS_FORMAS'!$HN77="alcance",INDEX('DADOS_FORMAS'!$GL$2:$GL$7,MIN(6,'DADOS_FORMAS'!$HR77+3)),IF('DADOS_FORMAS'!$HN77="raio",INDEX('DADOS_FORMAS'!$GN$2:$GN$6,MIN(5,'DADOS_FORMAS'!$HR77+3)),IF('DADOS_FORMAS'!$HN77="comprimento",INDEX('DADOS_FORMAS'!$GP$2:$GP$6,MIN(5,'DADOS_FORMAS'!$HR77+3)),'DADOS_FORMAS'!$HO77)))&amp;SUBSTITUTE('DADOS_FORMAS'!$HQ77,"em você","nela")))</f>
        <v/>
      </c>
      <c r="IE79">
        <f>IF(OR('DADOS_FORMAS'!$AH21="",'DADOS_FORMAS'!$HM77="",'DADOS_FORMAS'!$HO77=""),"",IF('DADOS_FORMAS'!$HO77="—","—",'DADOS_FORMAS'!$HP77&amp;IF('DADOS_FORMAS'!$HN77="alcance",INDEX('DADOS_FORMAS'!$GL$2:$GL$7,MIN(6,'DADOS_FORMAS'!$HR77+4)),IF('DADOS_FORMAS'!$HN77="raio",INDEX('DADOS_FORMAS'!$GN$2:$GN$6,MIN(5,'DADOS_FORMAS'!$HR77+4)),IF('DADOS_FORMAS'!$HN77="comprimento",INDEX('DADOS_FORMAS'!$GP$2:$GP$6,MIN(5,'DADOS_FORMAS'!$HR77+4)),'DADOS_FORMAS'!$HO77)))&amp;SUBSTITUTE('DADOS_FORMAS'!$HQ77,"em você","nela")))</f>
        <v/>
      </c>
      <c r="IF79">
        <f>IF(OR('DADOS_FORMAS'!$AH21="",'DADOS_FORMAS'!$HM77="",'DADOS_FORMAS'!$HO77=""),"",IF('DADOS_FORMAS'!$HO77="—","—",'DADOS_FORMAS'!$HP77&amp;IF('DADOS_FORMAS'!$HN77="alcance",INDEX('DADOS_FORMAS'!$GL$2:$GL$7,MIN(6,'DADOS_FORMAS'!$HR77+5)),IF('DADOS_FORMAS'!$HN77="raio",INDEX('DADOS_FORMAS'!$GN$2:$GN$6,MIN(5,'DADOS_FORMAS'!$HR77+5)),IF('DADOS_FORMAS'!$HN77="comprimento",INDEX('DADOS_FORMAS'!$GP$2:$GP$6,MIN(5,'DADOS_FORMAS'!$HR77+5)),'DADOS_FORMAS'!$HO77)))&amp;SUBSTITUTE('DADOS_FORMAS'!$HQ77,"em você","nela")))</f>
        <v/>
      </c>
    </row>
    <row r="80">
      <c r="HM80">
        <f>'DADOS_FORMAS'!$BL21</f>
        <v/>
      </c>
      <c r="HN80">
        <f>IF('DADOS_FORMAS'!$BL21="area",'DADOS_FORMAS'!$AU21,'DADOS_FORMAS'!$AT21)</f>
        <v/>
      </c>
      <c r="HO80">
        <f>IF('DADOS_FORMAS'!$BL21="area",'DADOS_FORMAS'!$BI21,'DADOS_FORMAS'!$BB21)</f>
        <v/>
      </c>
      <c r="HP80">
        <f>'DADOS_FORMAS'!$BM21</f>
        <v/>
      </c>
      <c r="HQ80">
        <f>'DADOS_FORMAS'!$BN21</f>
        <v/>
      </c>
      <c r="HR80">
        <f>LET(base,'DADOS_FORMAS'!$HO80,escada,'DADOS_FORMAS'!$HN80,medida,LEFT(base,MAX(0,LEN(base)-2)),valor,IFERROR(VALUE(SUBSTITUTE(medida,",",""))/10^IFERROR(LEN(medida)-FIND(",",medida),0),1E99),IF(OR(escada="Fixo",base="—"),base,IF(escada="alcance",IFERROR(MATCH(base,{"1,5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80">
        <f>'DADOS_FORMAS'!$AH21&amp;" · classe 6"</f>
        <v/>
      </c>
      <c r="HU80">
        <f>LET(trecho,IF(OR('DADOS_FORMAS'!$AH21="",'DADOS_FORMAS'!$HM78="",'DADOS_FORMAS'!$HO78=""),"",IF('DADOS_FORMAS'!$HO78="—","—",'DADOS_FORMAS'!$HP78&amp;'DADOS_FORMAS'!$HO78&amp;SUBSTITUTE('DADOS_FORMAS'!$HQ78,"em você","nela"))),UPPER(LEFT(trecho,1))&amp;MID(trecho,2,LEN(trecho)))</f>
        <v/>
      </c>
      <c r="HV80">
        <f>LET(trecho,IF(OR('DADOS_FORMAS'!$AH21="",'DADOS_FORMAS'!$HM78="",'DADOS_FORMAS'!$HO78=""),"",IF('DADOS_FORMAS'!$HO78="—","—",'DADOS_FORMAS'!$HP78&amp;IF('DADOS_FORMAS'!$HN78="alcance",INDEX('DADOS_FORMAS'!$GL$2:$GL$7,MIN(6,'DADOS_FORMAS'!$HR78+1)),IF('DADOS_FORMAS'!$HN78="raio",INDEX('DADOS_FORMAS'!$GN$2:$GN$6,MIN(5,'DADOS_FORMAS'!$HR78+1)),IF('DADOS_FORMAS'!$HN78="comprimento",INDEX('DADOS_FORMAS'!$GP$2:$GP$6,MIN(5,'DADOS_FORMAS'!$HR78+1)),'DADOS_FORMAS'!$HO78)))&amp;SUBSTITUTE('DADOS_FORMAS'!$HQ78,"em você","nela"))),UPPER(LEFT(trecho,1))&amp;MID(trecho,2,LEN(trecho)))</f>
        <v/>
      </c>
      <c r="HW80">
        <f>LET(trecho,IF(OR('DADOS_FORMAS'!$AH21="",'DADOS_FORMAS'!$HM78="",'DADOS_FORMAS'!$HO78=""),"",IF('DADOS_FORMAS'!$HO78="—","—",'DADOS_FORMAS'!$HP78&amp;IF('DADOS_FORMAS'!$HN78="alcance",INDEX('DADOS_FORMAS'!$GL$2:$GL$7,MIN(6,'DADOS_FORMAS'!$HR78+2)),IF('DADOS_FORMAS'!$HN78="raio",INDEX('DADOS_FORMAS'!$GN$2:$GN$6,MIN(5,'DADOS_FORMAS'!$HR78+2)),IF('DADOS_FORMAS'!$HN78="comprimento",INDEX('DADOS_FORMAS'!$GP$2:$GP$6,MIN(5,'DADOS_FORMAS'!$HR78+2)),'DADOS_FORMAS'!$HO78)))&amp;SUBSTITUTE('DADOS_FORMAS'!$HQ78,"em você","nela"))),UPPER(LEFT(trecho,1))&amp;MID(trecho,2,LEN(trecho)))</f>
        <v/>
      </c>
      <c r="HX80">
        <f>LET(trecho,IF(OR('DADOS_FORMAS'!$AH21="",'DADOS_FORMAS'!$HM78="",'DADOS_FORMAS'!$HO78=""),"",IF('DADOS_FORMAS'!$HO78="—","—",'DADOS_FORMAS'!$HP78&amp;IF('DADOS_FORMAS'!$HN78="alcance",INDEX('DADOS_FORMAS'!$GL$2:$GL$7,MIN(6,'DADOS_FORMAS'!$HR78+3)),IF('DADOS_FORMAS'!$HN78="raio",INDEX('DADOS_FORMAS'!$GN$2:$GN$6,MIN(5,'DADOS_FORMAS'!$HR78+3)),IF('DADOS_FORMAS'!$HN78="comprimento",INDEX('DADOS_FORMAS'!$GP$2:$GP$6,MIN(5,'DADOS_FORMAS'!$HR78+3)),'DADOS_FORMAS'!$HO78)))&amp;SUBSTITUTE('DADOS_FORMAS'!$HQ78,"em você","nela"))),UPPER(LEFT(trecho,1))&amp;MID(trecho,2,LEN(trecho)))</f>
        <v/>
      </c>
      <c r="HY80">
        <f>LET(trecho,IF(OR('DADOS_FORMAS'!$AH21="",'DADOS_FORMAS'!$HM78="",'DADOS_FORMAS'!$HO78=""),"",IF('DADOS_FORMAS'!$HO78="—","—",'DADOS_FORMAS'!$HP78&amp;IF('DADOS_FORMAS'!$HN78="alcance",INDEX('DADOS_FORMAS'!$GL$2:$GL$7,MIN(6,'DADOS_FORMAS'!$HR78+4)),IF('DADOS_FORMAS'!$HN78="raio",INDEX('DADOS_FORMAS'!$GN$2:$GN$6,MIN(5,'DADOS_FORMAS'!$HR78+4)),IF('DADOS_FORMAS'!$HN78="comprimento",INDEX('DADOS_FORMAS'!$GP$2:$GP$6,MIN(5,'DADOS_FORMAS'!$HR78+4)),'DADOS_FORMAS'!$HO78)))&amp;SUBSTITUTE('DADOS_FORMAS'!$HQ78,"em você","nela"))),UPPER(LEFT(trecho,1))&amp;MID(trecho,2,LEN(trecho)))</f>
        <v/>
      </c>
      <c r="HZ80">
        <f>LET(trecho,IF(OR('DADOS_FORMAS'!$AH21="",'DADOS_FORMAS'!$HM78="",'DADOS_FORMAS'!$HO78=""),"",IF('DADOS_FORMAS'!$HO78="—","—",'DADOS_FORMAS'!$HP78&amp;IF('DADOS_FORMAS'!$HN78="alcance",INDEX('DADOS_FORMAS'!$GL$2:$GL$7,MIN(6,'DADOS_FORMAS'!$HR78+5)),IF('DADOS_FORMAS'!$HN78="raio",INDEX('DADOS_FORMAS'!$GN$2:$GN$6,MIN(5,'DADOS_FORMAS'!$HR78+5)),IF('DADOS_FORMAS'!$HN78="comprimento",INDEX('DADOS_FORMAS'!$GP$2:$GP$6,MIN(5,'DADOS_FORMAS'!$HR78+5)),'DADOS_FORMAS'!$HO78)))&amp;SUBSTITUTE('DADOS_FORMAS'!$HQ78,"em você","nela"))),UPPER(LEFT(trecho,1))&amp;MID(trecho,2,LEN(trecho)))</f>
        <v/>
      </c>
      <c r="IA80">
        <f>IF(OR('DADOS_FORMAS'!$AH21="",'DADOS_FORMAS'!$HM79="",'DADOS_FORMAS'!$HO79=""),"",IF('DADOS_FORMAS'!$HO79="—","—",'DADOS_FORMAS'!$HP79&amp;'DADOS_FORMAS'!$HO79&amp;SUBSTITUTE('DADOS_FORMAS'!$HQ79,"em você","nela")))</f>
        <v/>
      </c>
      <c r="IB80">
        <f>IF(OR('DADOS_FORMAS'!$AH21="",'DADOS_FORMAS'!$HM79="",'DADOS_FORMAS'!$HO79=""),"",IF('DADOS_FORMAS'!$HO79="—","—",'DADOS_FORMAS'!$HP79&amp;IF('DADOS_FORMAS'!$HN79="alcance",INDEX('DADOS_FORMAS'!$GL$2:$GL$7,MIN(6,'DADOS_FORMAS'!$HR79+1)),IF('DADOS_FORMAS'!$HN79="raio",INDEX('DADOS_FORMAS'!$GN$2:$GN$6,MIN(5,'DADOS_FORMAS'!$HR79+1)),IF('DADOS_FORMAS'!$HN79="comprimento",INDEX('DADOS_FORMAS'!$GP$2:$GP$6,MIN(5,'DADOS_FORMAS'!$HR79+1)),'DADOS_FORMAS'!$HO79)))&amp;SUBSTITUTE('DADOS_FORMAS'!$HQ79,"em você","nela")))</f>
        <v/>
      </c>
      <c r="IC80">
        <f>IF(OR('DADOS_FORMAS'!$AH21="",'DADOS_FORMAS'!$HM79="",'DADOS_FORMAS'!$HO79=""),"",IF('DADOS_FORMAS'!$HO79="—","—",'DADOS_FORMAS'!$HP79&amp;IF('DADOS_FORMAS'!$HN79="alcance",INDEX('DADOS_FORMAS'!$GL$2:$GL$7,MIN(6,'DADOS_FORMAS'!$HR79+2)),IF('DADOS_FORMAS'!$HN79="raio",INDEX('DADOS_FORMAS'!$GN$2:$GN$6,MIN(5,'DADOS_FORMAS'!$HR79+2)),IF('DADOS_FORMAS'!$HN79="comprimento",INDEX('DADOS_FORMAS'!$GP$2:$GP$6,MIN(5,'DADOS_FORMAS'!$HR79+2)),'DADOS_FORMAS'!$HO79)))&amp;SUBSTITUTE('DADOS_FORMAS'!$HQ79,"em você","nela")))</f>
        <v/>
      </c>
      <c r="ID80">
        <f>IF(OR('DADOS_FORMAS'!$AH21="",'DADOS_FORMAS'!$HM79="",'DADOS_FORMAS'!$HO79=""),"",IF('DADOS_FORMAS'!$HO79="—","—",'DADOS_FORMAS'!$HP79&amp;IF('DADOS_FORMAS'!$HN79="alcance",INDEX('DADOS_FORMAS'!$GL$2:$GL$7,MIN(6,'DADOS_FORMAS'!$HR79+3)),IF('DADOS_FORMAS'!$HN79="raio",INDEX('DADOS_FORMAS'!$GN$2:$GN$6,MIN(5,'DADOS_FORMAS'!$HR79+3)),IF('DADOS_FORMAS'!$HN79="comprimento",INDEX('DADOS_FORMAS'!$GP$2:$GP$6,MIN(5,'DADOS_FORMAS'!$HR79+3)),'DADOS_FORMAS'!$HO79)))&amp;SUBSTITUTE('DADOS_FORMAS'!$HQ79,"em você","nela")))</f>
        <v/>
      </c>
      <c r="IE80">
        <f>IF(OR('DADOS_FORMAS'!$AH21="",'DADOS_FORMAS'!$HM79="",'DADOS_FORMAS'!$HO79=""),"",IF('DADOS_FORMAS'!$HO79="—","—",'DADOS_FORMAS'!$HP79&amp;IF('DADOS_FORMAS'!$HN79="alcance",INDEX('DADOS_FORMAS'!$GL$2:$GL$7,MIN(6,'DADOS_FORMAS'!$HR79+4)),IF('DADOS_FORMAS'!$HN79="raio",INDEX('DADOS_FORMAS'!$GN$2:$GN$6,MIN(5,'DADOS_FORMAS'!$HR79+4)),IF('DADOS_FORMAS'!$HN79="comprimento",INDEX('DADOS_FORMAS'!$GP$2:$GP$6,MIN(5,'DADOS_FORMAS'!$HR79+4)),'DADOS_FORMAS'!$HO79)))&amp;SUBSTITUTE('DADOS_FORMAS'!$HQ79,"em você","nela")))</f>
        <v/>
      </c>
      <c r="IF80">
        <f>IF(OR('DADOS_FORMAS'!$AH21="",'DADOS_FORMAS'!$HM79="",'DADOS_FORMAS'!$HO79=""),"",IF('DADOS_FORMAS'!$HO79="—","—",'DADOS_FORMAS'!$HP79&amp;IF('DADOS_FORMAS'!$HN79="alcance",INDEX('DADOS_FORMAS'!$GL$2:$GL$7,MIN(6,'DADOS_FORMAS'!$HR79+5)),IF('DADOS_FORMAS'!$HN79="raio",INDEX('DADOS_FORMAS'!$GN$2:$GN$6,MIN(5,'DADOS_FORMAS'!$HR79+5)),IF('DADOS_FORMAS'!$HN79="comprimento",INDEX('DADOS_FORMAS'!$GP$2:$GP$6,MIN(5,'DADOS_FORMAS'!$HR79+5)),'DADOS_FORMAS'!$HO79)))&amp;SUBSTITUTE('DADOS_FORMAS'!$HQ79,"em você","nela")))</f>
        <v/>
      </c>
    </row>
    <row r="81">
      <c r="HM81">
        <f>'DADOS_FORMAS'!$BP21</f>
        <v/>
      </c>
      <c r="HN81">
        <f>IF('DADOS_FORMAS'!$BP21="area",'DADOS_FORMAS'!$AU21,'DADOS_FORMAS'!$AT21)</f>
        <v/>
      </c>
      <c r="HO81">
        <f>IF('DADOS_FORMAS'!$BP21="area",'DADOS_FORMAS'!$BI21,'DADOS_FORMAS'!$BB21)</f>
        <v/>
      </c>
      <c r="HP81">
        <f>'DADOS_FORMAS'!$BQ21</f>
        <v/>
      </c>
      <c r="HQ81">
        <f>'DADOS_FORMAS'!$BR21</f>
        <v/>
      </c>
      <c r="HR81">
        <f>LET(base,'DADOS_FORMAS'!$HO81,escada,'DADOS_FORMAS'!$HN81,medida,LEFT(base,MAX(0,LEN(base)-2)),valor,IFERROR(VALUE(SUBSTITUTE(medida,",",""))/10^IFERROR(LEN(medida)-FIND(",",medida),0),1E99),IF(OR(escada="Fixo",base="—"),base,IF(escada="alcance",IFERROR(MATCH(base,{"1,5 m";"9 m";"18 m";"36 m";"90 m";"visão a olho nu"},0),IFERROR(MATCH(valor,{1.5;9.0;18.0;36.0;90.0;1E99},1),0)),IF(escada="raio",IFERROR(MATCH(base,{"3 m";"4,5 m";"6 m";"9 m";"15 m"},0),IFERROR(MATCH(valor,{3.0;4.5;6.0;9.0;15.0},1),0)),IF(escada="comprimento",IFERROR(MATCH(base,{"4,5 m";"9 m";"18 m";"30 m";"60 m"},0),IFERROR(MATCH(valor,{4.5;9.0;18.0;30.0;60.0},1),0)),0)))))</f>
        <v/>
      </c>
      <c r="HT81">
        <f>'DADOS_FORMAS'!$AH21&amp;" · classe 7"</f>
        <v/>
      </c>
      <c r="HU81">
        <f>LET(trecho,IF(OR('DADOS_FORMAS'!$AH21="",'DADOS_FORMAS'!$HM80="",'DADOS_FORMAS'!$HO80=""),"",IF('DADOS_FORMAS'!$HO80="—","—",'DADOS_FORMAS'!$HP80&amp;'DADOS_FORMAS'!$HO80&amp;SUBSTITUTE('DADOS_FORMAS'!$HQ80,"em você","nela"))),UPPER(LEFT(trecho,1))&amp;MID(trecho,2,LEN(trecho)))</f>
        <v/>
      </c>
      <c r="HV81">
        <f>LET(trecho,IF(OR('DADOS_FORMAS'!$AH21="",'DADOS_FORMAS'!$HM80="",'DADOS_FORMAS'!$HO80=""),"",IF('DADOS_FORMAS'!$HO80="—","—",'DADOS_FORMAS'!$HP80&amp;IF('DADOS_FORMAS'!$HN80="alcance",INDEX('DADOS_FORMAS'!$GL$2:$GL$7,MIN(6,'DADOS_FORMAS'!$HR80+1)),IF('DADOS_FORMAS'!$HN80="raio",INDEX('DADOS_FORMAS'!$GN$2:$GN$6,MIN(5,'DADOS_FORMAS'!$HR80+1)),IF('DADOS_FORMAS'!$HN80="comprimento",INDEX('DADOS_FORMAS'!$GP$2:$GP$6,MIN(5,'DADOS_FORMAS'!$HR80+1)),'DADOS_FORMAS'!$HO80)))&amp;SUBSTITUTE('DADOS_FORMAS'!$HQ80,"em você","nela"))),UPPER(LEFT(trecho,1))&amp;MID(trecho,2,LEN(trecho)))</f>
        <v/>
      </c>
      <c r="HW81">
        <f>LET(trecho,IF(OR('DADOS_FORMAS'!$AH21="",'DADOS_FORMAS'!$HM80="",'DADOS_FORMAS'!$HO80=""),"",IF('DADOS_FORMAS'!$HO80="—","—",'DADOS_FORMAS'!$HP80&amp;IF('DADOS_FORMAS'!$HN80="alcance",INDEX('DADOS_FORMAS'!$GL$2:$GL$7,MIN(6,'DADOS_FORMAS'!$HR80+2)),IF('DADOS_FORMAS'!$HN80="raio",INDEX('DADOS_FORMAS'!$GN$2:$GN$6,MIN(5,'DADOS_FORMAS'!$HR80+2)),IF('DADOS_FORMAS'!$HN80="comprimento",INDEX('DADOS_FORMAS'!$GP$2:$GP$6,MIN(5,'DADOS_FORMAS'!$HR80+2)),'DADOS_FORMAS'!$HO80)))&amp;SUBSTITUTE('DADOS_FORMAS'!$HQ80,"em você","nela"))),UPPER(LEFT(trecho,1))&amp;MID(trecho,2,LEN(trecho)))</f>
        <v/>
      </c>
      <c r="HX81">
        <f>LET(trecho,IF(OR('DADOS_FORMAS'!$AH21="",'DADOS_FORMAS'!$HM80="",'DADOS_FORMAS'!$HO80=""),"",IF('DADOS_FORMAS'!$HO80="—","—",'DADOS_FORMAS'!$HP80&amp;IF('DADOS_FORMAS'!$HN80="alcance",INDEX('DADOS_FORMAS'!$GL$2:$GL$7,MIN(6,'DADOS_FORMAS'!$HR80+3)),IF('DADOS_FORMAS'!$HN80="raio",INDEX('DADOS_FORMAS'!$GN$2:$GN$6,MIN(5,'DADOS_FORMAS'!$HR80+3)),IF('DADOS_FORMAS'!$HN80="comprimento",INDEX('DADOS_FORMAS'!$GP$2:$GP$6,MIN(5,'DADOS_FORMAS'!$HR80+3)),'DADOS_FORMAS'!$HO80)))&amp;SUBSTITUTE('DADOS_FORMAS'!$HQ80,"em você","nela"))),UPPER(LEFT(trecho,1))&amp;MID(trecho,2,LEN(trecho)))</f>
        <v/>
      </c>
      <c r="HY81">
        <f>LET(trecho,IF(OR('DADOS_FORMAS'!$AH21="",'DADOS_FORMAS'!$HM80="",'DADOS_FORMAS'!$HO80=""),"",IF('DADOS_FORMAS'!$HO80="—","—",'DADOS_FORMAS'!$HP80&amp;IF('DADOS_FORMAS'!$HN80="alcance",INDEX('DADOS_FORMAS'!$GL$2:$GL$7,MIN(6,'DADOS_FORMAS'!$HR80+4)),IF('DADOS_FORMAS'!$HN80="raio",INDEX('DADOS_FORMAS'!$GN$2:$GN$6,MIN(5,'DADOS_FORMAS'!$HR80+4)),IF('DADOS_FORMAS'!$HN80="comprimento",INDEX('DADOS_FORMAS'!$GP$2:$GP$6,MIN(5,'DADOS_FORMAS'!$HR80+4)),'DADOS_FORMAS'!$HO80)))&amp;SUBSTITUTE('DADOS_FORMAS'!$HQ80,"em você","nela"))),UPPER(LEFT(trecho,1))&amp;MID(trecho,2,LEN(trecho)))</f>
        <v/>
      </c>
      <c r="HZ81">
        <f>LET(trecho,IF(OR('DADOS_FORMAS'!$AH21="",'DADOS_FORMAS'!$HM80="",'DADOS_FORMAS'!$HO80=""),"",IF('DADOS_FORMAS'!$HO80="—","—",'DADOS_FORMAS'!$HP80&amp;IF('DADOS_FORMAS'!$HN80="alcance",INDEX('DADOS_FORMAS'!$GL$2:$GL$7,MIN(6,'DADOS_FORMAS'!$HR80+5)),IF('DADOS_FORMAS'!$HN80="raio",INDEX('DADOS_FORMAS'!$GN$2:$GN$6,MIN(5,'DADOS_FORMAS'!$HR80+5)),IF('DADOS_FORMAS'!$HN80="comprimento",INDEX('DADOS_FORMAS'!$GP$2:$GP$6,MIN(5,'DADOS_FORMAS'!$HR80+5)),'DADOS_FORMAS'!$HO80)))&amp;SUBSTITUTE('DADOS_FORMAS'!$HQ80,"em você","nela"))),UPPER(LEFT(trecho,1))&amp;MID(trecho,2,LEN(trecho)))</f>
        <v/>
      </c>
      <c r="IA81">
        <f>IF(OR('DADOS_FORMAS'!$AH21="",'DADOS_FORMAS'!$HM81="",'DADOS_FORMAS'!$HO81=""),"",IF('DADOS_FORMAS'!$HO81="—","—",'DADOS_FORMAS'!$HP81&amp;'DADOS_FORMAS'!$HO81&amp;SUBSTITUTE('DADOS_FORMAS'!$HQ81,"em você","nela")))</f>
        <v/>
      </c>
      <c r="IB81">
        <f>IF(OR('DADOS_FORMAS'!$AH21="",'DADOS_FORMAS'!$HM81="",'DADOS_FORMAS'!$HO81=""),"",IF('DADOS_FORMAS'!$HO81="—","—",'DADOS_FORMAS'!$HP81&amp;IF('DADOS_FORMAS'!$HN81="alcance",INDEX('DADOS_FORMAS'!$GL$2:$GL$7,MIN(6,'DADOS_FORMAS'!$HR81+1)),IF('DADOS_FORMAS'!$HN81="raio",INDEX('DADOS_FORMAS'!$GN$2:$GN$6,MIN(5,'DADOS_FORMAS'!$HR81+1)),IF('DADOS_FORMAS'!$HN81="comprimento",INDEX('DADOS_FORMAS'!$GP$2:$GP$6,MIN(5,'DADOS_FORMAS'!$HR81+1)),'DADOS_FORMAS'!$HO81)))&amp;SUBSTITUTE('DADOS_FORMAS'!$HQ81,"em você","nela")))</f>
        <v/>
      </c>
      <c r="IC81">
        <f>IF(OR('DADOS_FORMAS'!$AH21="",'DADOS_FORMAS'!$HM81="",'DADOS_FORMAS'!$HO81=""),"",IF('DADOS_FORMAS'!$HO81="—","—",'DADOS_FORMAS'!$HP81&amp;IF('DADOS_FORMAS'!$HN81="alcance",INDEX('DADOS_FORMAS'!$GL$2:$GL$7,MIN(6,'DADOS_FORMAS'!$HR81+2)),IF('DADOS_FORMAS'!$HN81="raio",INDEX('DADOS_FORMAS'!$GN$2:$GN$6,MIN(5,'DADOS_FORMAS'!$HR81+2)),IF('DADOS_FORMAS'!$HN81="comprimento",INDEX('DADOS_FORMAS'!$GP$2:$GP$6,MIN(5,'DADOS_FORMAS'!$HR81+2)),'DADOS_FORMAS'!$HO81)))&amp;SUBSTITUTE('DADOS_FORMAS'!$HQ81,"em você","nela")))</f>
        <v/>
      </c>
      <c r="ID81">
        <f>IF(OR('DADOS_FORMAS'!$AH21="",'DADOS_FORMAS'!$HM81="",'DADOS_FORMAS'!$HO81=""),"",IF('DADOS_FORMAS'!$HO81="—","—",'DADOS_FORMAS'!$HP81&amp;IF('DADOS_FORMAS'!$HN81="alcance",INDEX('DADOS_FORMAS'!$GL$2:$GL$7,MIN(6,'DADOS_FORMAS'!$HR81+3)),IF('DADOS_FORMAS'!$HN81="raio",INDEX('DADOS_FORMAS'!$GN$2:$GN$6,MIN(5,'DADOS_FORMAS'!$HR81+3)),IF('DADOS_FORMAS'!$HN81="comprimento",INDEX('DADOS_FORMAS'!$GP$2:$GP$6,MIN(5,'DADOS_FORMAS'!$HR81+3)),'DADOS_FORMAS'!$HO81)))&amp;SUBSTITUTE('DADOS_FORMAS'!$HQ81,"em você","nela")))</f>
        <v/>
      </c>
      <c r="IE81">
        <f>IF(OR('DADOS_FORMAS'!$AH21="",'DADOS_FORMAS'!$HM81="",'DADOS_FORMAS'!$HO81=""),"",IF('DADOS_FORMAS'!$HO81="—","—",'DADOS_FORMAS'!$HP81&amp;IF('DADOS_FORMAS'!$HN81="alcance",INDEX('DADOS_FORMAS'!$GL$2:$GL$7,MIN(6,'DADOS_FORMAS'!$HR81+4)),IF('DADOS_FORMAS'!$HN81="raio",INDEX('DADOS_FORMAS'!$GN$2:$GN$6,MIN(5,'DADOS_FORMAS'!$HR81+4)),IF('DADOS_FORMAS'!$HN81="comprimento",INDEX('DADOS_FORMAS'!$GP$2:$GP$6,MIN(5,'DADOS_FORMAS'!$HR81+4)),'DADOS_FORMAS'!$HO81)))&amp;SUBSTITUTE('DADOS_FORMAS'!$HQ81,"em você","nela")))</f>
        <v/>
      </c>
      <c r="IF81">
        <f>IF(OR('DADOS_FORMAS'!$AH21="",'DADOS_FORMAS'!$HM81="",'DADOS_FORMAS'!$HO81=""),"",IF('DADOS_FORMAS'!$HO81="—","—",'DADOS_FORMAS'!$HP81&amp;IF('DADOS_FORMAS'!$HN81="alcance",INDEX('DADOS_FORMAS'!$GL$2:$GL$7,MIN(6,'DADOS_FORMAS'!$HR81+5)),IF('DADOS_FORMAS'!$HN81="raio",INDEX('DADOS_FORMAS'!$GN$2:$GN$6,MIN(5,'DADOS_FORMAS'!$HR81+5)),IF('DADOS_FORMAS'!$HN81="comprimento",INDEX('DADOS_FORMAS'!$GP$2:$GP$6,MIN(5,'DADOS_FORMAS'!$HR81+5)),'DADOS_FORMAS'!$HO81)))&amp;SUBSTITUTE('DADOS_FORMAS'!$HQ81,"em você","nela")))</f>
        <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U45"/>
  <sheetViews>
    <sheetView showGridLines="0" workbookViewId="0">
      <selection activeCell="A1" sqref="A1"/>
    </sheetView>
  </sheetViews>
  <sheetFormatPr baseColWidth="8" defaultRowHeight="15.75" customHeight="1"/>
  <sheetData>
    <row r="1">
      <c r="A1" t="inlineStr">
        <is>
          <t>entrada.tipo</t>
        </is>
      </c>
      <c r="B1" t="inlineStr">
        <is>
          <t>entrada.nome</t>
        </is>
      </c>
      <c r="C1" t="inlineStr">
        <is>
          <t>entrada.base</t>
        </is>
      </c>
      <c r="D1" t="inlineStr">
        <is>
          <t>entrada.mestre_viu</t>
        </is>
      </c>
      <c r="E1" t="inlineStr">
        <is>
          <t>entrada.requisitos</t>
        </is>
      </c>
      <c r="F1" t="inlineStr">
        <is>
          <t>entrada.efeito</t>
        </is>
      </c>
      <c r="G1" t="inlineStr">
        <is>
          <t>entrada.ce</t>
        </is>
      </c>
      <c r="H1" t="inlineStr">
        <is>
          <t>entrada.nivel_minimo</t>
        </is>
      </c>
      <c r="I1" t="inlineStr">
        <is>
          <t>entrada.refino_minimo</t>
        </is>
      </c>
      <c r="J1" t="inlineStr">
        <is>
          <t>entrada.escolha</t>
        </is>
      </c>
      <c r="K1" t="inlineStr">
        <is>
          <t>aviso</t>
        </is>
      </c>
      <c r="L1" t="inlineStr">
        <is>
          <t>linha_base</t>
        </is>
      </c>
      <c r="M1" t="inlineStr">
        <is>
          <t>ativo</t>
        </is>
      </c>
      <c r="N1" t="inlineStr">
        <is>
          <t>tipo</t>
        </is>
      </c>
      <c r="O1" t="inlineStr">
        <is>
          <t>nome</t>
        </is>
      </c>
      <c r="P1" t="inlineStr">
        <is>
          <t>base</t>
        </is>
      </c>
      <c r="Q1" t="inlineStr">
        <is>
          <t>mestre_viu</t>
        </is>
      </c>
      <c r="R1" t="inlineStr">
        <is>
          <t>requisitos</t>
        </is>
      </c>
      <c r="S1" t="inlineStr">
        <is>
          <t>efeito</t>
        </is>
      </c>
      <c r="T1" t="inlineStr">
        <is>
          <t>ce</t>
        </is>
      </c>
      <c r="U1" t="inlineStr">
        <is>
          <t>nivel_minimo</t>
        </is>
      </c>
      <c r="V1" t="inlineStr">
        <is>
          <t>refino_minimo</t>
        </is>
      </c>
      <c r="W1" t="inlineStr">
        <is>
          <t>escolha</t>
        </is>
      </c>
      <c r="X1" t="inlineStr">
        <is>
          <t>identidade</t>
        </is>
      </c>
      <c r="Y1" t="inlineStr">
        <is>
          <t>extensao</t>
        </is>
      </c>
      <c r="Z1" t="inlineStr">
        <is>
          <t>escala</t>
        </is>
      </c>
      <c r="AA1" t="inlineStr">
        <is>
          <t>automatica</t>
        </is>
      </c>
      <c r="BF1" t="inlineStr">
        <is>
          <t>aptidoes.0</t>
        </is>
      </c>
      <c r="BG1" t="inlineStr">
        <is>
          <t>aptidoes.1</t>
        </is>
      </c>
      <c r="BH1" t="inlineStr">
        <is>
          <t>aptidoes.2</t>
        </is>
      </c>
      <c r="BI1" t="inlineStr">
        <is>
          <t>aptidoes.3</t>
        </is>
      </c>
      <c r="BJ1" t="inlineStr">
        <is>
          <t>aptidoes.4</t>
        </is>
      </c>
      <c r="BK1" t="inlineStr">
        <is>
          <t>aptidoes.5</t>
        </is>
      </c>
      <c r="BL1" t="inlineStr">
        <is>
          <t>aptidoes.6</t>
        </is>
      </c>
      <c r="BM1" t="inlineStr">
        <is>
          <t>aptidoes.7</t>
        </is>
      </c>
      <c r="BN1" t="inlineStr">
        <is>
          <t>aptidoes.8</t>
        </is>
      </c>
      <c r="BO1" t="inlineStr">
        <is>
          <t>aptidoes.9</t>
        </is>
      </c>
    </row>
    <row r="2">
      <c r="A2">
        <f>IF(ISBLANK('CONFIGURAÇÃO'!$FQ$14),"",'CONFIGURAÇÃO'!$FQ$14)</f>
        <v/>
      </c>
      <c r="B2">
        <f>IF(ISBLANK('CONFIGURAÇÃO'!$FQ$16),"",'CONFIGURAÇÃO'!$FQ$16)</f>
        <v/>
      </c>
      <c r="C2">
        <f>IF(ISBLANK('CONFIGURAÇÃO'!$FT$17),"",'CONFIGURAÇÃO'!$FT$17)</f>
        <v/>
      </c>
      <c r="D2">
        <f>IF(ISBLANK('CONFIGURAÇÃO'!$FU$14),"",'CONFIGURAÇÃO'!$FU$14)</f>
        <v/>
      </c>
      <c r="E2">
        <f>IF(ISBLANK('CONFIGURAÇÃO'!$FQ$24),"",'CONFIGURAÇÃO'!$FQ$24)</f>
        <v/>
      </c>
      <c r="F2">
        <f>IF(ISBLANK('CONFIGURAÇÃO'!$FQ$30),"",'CONFIGURAÇÃO'!$FQ$30)</f>
        <v/>
      </c>
      <c r="G2">
        <f>IF(ISBLANK('CONFIGURAÇÃO'!$FT$18),"",'CONFIGURAÇÃO'!$FT$18)</f>
        <v/>
      </c>
      <c r="H2">
        <f>IF(ISBLANK('CONFIGURAÇÃO'!$FT$19),"",'CONFIGURAÇÃO'!$FT$19)</f>
        <v/>
      </c>
      <c r="I2">
        <f>IF(ISBLANK('CONFIGURAÇÃO'!$FT$20),"",'CONFIGURAÇÃO'!$FT$20)</f>
        <v/>
      </c>
      <c r="J2">
        <f>IF(ISBLANK('CONFIGURAÇÃO'!$FT$21),"",'CONFIGURAÇÃO'!$FT$21)</f>
        <v/>
      </c>
      <c r="K2">
        <f>IF($M2,TEXTJOIN(" · ",TRUE,$AS2:$BD2),"")</f>
        <v/>
      </c>
      <c r="L2">
        <f>IF(OR($C2="",$C2="Nenhuma"),0,IFERROR(MATCH(SUBSTITUTE(SUBSTITUTE(SUBSTITUTE($C2,"~","~~"),"*","~*"),"?","~?"),'DADOS_APTIDOES'!$O$2:$O$35,0),-1))</f>
        <v/>
      </c>
      <c r="M2">
        <f>OR($B2&lt;&gt;"",$C2&lt;&gt;"",$E2&lt;&gt;"",$F2&lt;&gt;"",$G2&lt;&gt;"",$H2&lt;&gt;"",$I2&lt;&gt;"",$J2&lt;&gt;"",AND($D2&lt;&gt;"",$D2&lt;&gt;FALSE),AND($A2&lt;&gt;"",$A2&lt;&gt;"Aptidão",$A2&lt;&gt;"Bênção"))</f>
        <v/>
      </c>
      <c r="N2" t="inlineStr">
        <is>
          <t>Aptidão</t>
        </is>
      </c>
      <c r="O2" t="inlineStr">
        <is>
          <t>Cobrir-se de Energia</t>
        </is>
      </c>
      <c r="P2">
        <f>""</f>
        <v/>
      </c>
      <c r="Q2" t="b">
        <v>0</v>
      </c>
      <c r="R2" t="inlineStr">
        <is>
          <t>Gratuita no Refino 1</t>
        </is>
      </c>
      <c r="S2" t="inlineStr">
        <is>
          <t>A energia que envolve seu corpo concede proteção e pode ser concentrada para amortecer um golpe. Sem Traje e sem Revestimento, sua proteção é 1 + um terço do Refino, arredondado para baixo. Escudo soma com essa proteção. Vestir Traje ou Revestimento faz você usar a proteção do equipamento, em vez da proteção passiva desta aptidão. Depois de determinar o dano de um golpe contra você, antes de descontá-lo, pode gastar Reação e 2 PE. Reduza esse dano em 1,5 × Refino, arredondado para baixo. A redução pode zerar o dano. Você perde somente a proteção passiva desta aptidão até o fim do seu próximo turno. Traje, Revestimento e escudo continuam dando sua proteção. Conserve os demais componentes da Defesa. Se perder a proteção passiva, atualize também a base de Bloquear para os ataques seguintes. O acerto já resolvido não é recalculado. Esta Reação pode ser usada mesmo vestindo proteção; nesse caso, você paga somente a Reação e os 2 PE. Ela não devolve uma Reação já gasta.</t>
        </is>
      </c>
      <c r="T2" t="inlineStr">
        <is>
          <t>—</t>
        </is>
      </c>
      <c r="U2" t="n">
        <v>1</v>
      </c>
      <c r="V2" t="n">
        <v>1</v>
      </c>
      <c r="W2" t="inlineStr">
        <is>
          <t>Gratuita</t>
        </is>
      </c>
      <c r="X2" t="inlineStr">
        <is>
          <t>Cobrir-se de Energia</t>
        </is>
      </c>
      <c r="Y2" t="b">
        <v>0</v>
      </c>
      <c r="Z2" t="inlineStr">
        <is>
          <t>Proteção e Redução de Dano da Reação</t>
        </is>
      </c>
      <c r="AA2" t="n">
        <v>1</v>
      </c>
      <c r="AD2">
        <f>IF($A2="",IF($L2&gt;0,INDEX('DADOS_APTIDOES'!$N$2:$N$35,MAX(1,$L2)),""),$A2)</f>
        <v/>
      </c>
      <c r="AE2">
        <f>IF($B2="",IF($L2&gt;0,INDEX('DADOS_APTIDOES'!$O$2:$O$35,MAX(1,$L2)),""),$B2)</f>
        <v/>
      </c>
      <c r="AF2">
        <f>IF($C2="",IF($L2&gt;0,INDEX('DADOS_APTIDOES'!$P$2:$P$35,MAX(1,$L2)),""),$C2)</f>
        <v/>
      </c>
      <c r="AG2">
        <f>IF($D2="",IF($L2&gt;0,INDEX('DADOS_APTIDOES'!$Q$2:$Q$35,MAX(1,$L2)),FALSE),$D2)</f>
        <v/>
      </c>
      <c r="AH2">
        <f>IF($E2="",IF($L2&gt;0,INDEX('DADOS_APTIDOES'!$R$2:$R$35,MAX(1,$L2)),""),$E2)</f>
        <v/>
      </c>
      <c r="AI2">
        <f>IF($F2="",IF($L2&gt;0,INDEX('DADOS_APTIDOES'!$S$2:$S$35,MAX(1,$L2)),""),$F2)</f>
        <v/>
      </c>
      <c r="AJ2">
        <f>IF($G2="",IF($L2&gt;0,INDEX('DADOS_APTIDOES'!$T$2:$T$35,MAX(1,$L2)),"—"),$G2)</f>
        <v/>
      </c>
      <c r="AK2">
        <f>IF($H2="",IF($L2&gt;0,INDEX('DADOS_APTIDOES'!$U$2:$U$35,MAX(1,$L2)),1),$H2)</f>
        <v/>
      </c>
      <c r="AL2">
        <f>IF($I2="",IF($L2&gt;0,INDEX('DADOS_APTIDOES'!$V$2:$V$35,MAX(1,$L2)),1),$I2)</f>
        <v/>
      </c>
      <c r="AM2">
        <f>IF($J2="",IF($L2&gt;0,INDEX('DADOS_APTIDOES'!$W$2:$W$35,MAX(1,$L2)),"Consome uma escolha"),$J2)</f>
        <v/>
      </c>
      <c r="AN2">
        <f>IF($L2&gt;0,INDEX('DADOS_APTIDOES'!$X$2:$X$35,MAX(1,$L2)),"")</f>
        <v/>
      </c>
      <c r="AO2">
        <f>IF($L2&gt;0,INDEX('DADOS_APTIDOES'!$Y$2:$Y$35,MAX(1,$L2)),0)</f>
        <v/>
      </c>
      <c r="AP2">
        <f>IF($L2&gt;0,INDEX('DADOS_APTIDOES'!$Z$2:$Z$35,MAX(1,$L2)),"")</f>
        <v/>
      </c>
      <c r="AQ2">
        <f>FALSE</f>
        <v/>
      </c>
      <c r="AS2">
        <f>IF(AND(ISTEXT($B2),$B2&lt;&gt;"",TRIM($B2)=$B2),"","NOME precisa ser texto sem espaços nas pontas")</f>
        <v/>
      </c>
      <c r="AT2">
        <f>IF(COUNTIF('DADOS_APTIDOES'!$B$2:$B$11,SUBSTITUTE(SUBSTITUTE(SUBSTITUTE($B2,"~","~~"),"*","~*"),"?","~?"))+COUNTIF('DADOS_APTIDOES'!$O$2:$O$35,SUBSTITUTE(SUBSTITUTE(SUBSTITUTE($B2,"~","~~"),"*","~*"),"?","~?"))=1,"","Nome repetido no livro ou custom")</f>
        <v/>
      </c>
      <c r="AU2">
        <f>IF($L2&gt;=0,"","BASE DO LIVRO inválida para o grupo")</f>
        <v/>
      </c>
      <c r="AV2">
        <f>IF(OR($AD2="Aptidão",$AD2="Bênção"),"","TIPO inválido para o grupo")</f>
        <v/>
      </c>
      <c r="AW2">
        <f>IF(ISLOGICAL($AG2),"","MESTRE VIU precisa ser caixa de seleção")</f>
        <v/>
      </c>
      <c r="AX2">
        <f>IF(ISTEXT($AI2),"","EFEITO precisa ser texto")</f>
        <v/>
      </c>
      <c r="AY2">
        <f>IF(ISTEXT($AH2),"","REQUISITOS precisa ser texto")</f>
        <v/>
      </c>
      <c r="AZ2">
        <f>IF(OR($AJ2="—",IFERROR(AND(ISNUMBER($AJ2),NOT(ISLOGICAL($AJ2)),$AJ2=INT($AJ2),$AJ2&gt;=1,$AJ2&lt;=3),FALSE)),"","CE inválida")</f>
        <v/>
      </c>
      <c r="BA2">
        <f>IF(OR($L2&lt;=0,$AD2=INDEX('DADOS_APTIDOES'!$N$2:$N$35,MAX(1,$L2))),"","TIPO deve preservar a rota da base")</f>
        <v/>
      </c>
      <c r="BB2">
        <f>IF(IFERROR(AND(ISNUMBER($AK2),NOT(ISLOGICAL($AK2)),$AK2=INT($AK2),$AK2&gt;=1,$AK2&lt;=30),FALSE),"","nivel_minimo fora do limite")</f>
        <v/>
      </c>
      <c r="BC2">
        <f>IF(IFERROR(AND(ISNUMBER($AL2),NOT(ISLOGICAL($AL2)),$AL2=INT($AL2),$AL2&gt;=1,$AL2&lt;=10),FALSE),"","refino_minimo fora do limite")</f>
        <v/>
      </c>
      <c r="BD2">
        <f>IF(OR($AM2="Gratuita",$AM2="Consome uma escolha"),"","ESCOLHA inválida")</f>
        <v/>
      </c>
      <c r="BF2">
        <f>'DADOS_APTIDOES'!$O2</f>
        <v/>
      </c>
      <c r="BG2">
        <f>'DADOS_APTIDOES'!$R2</f>
        <v/>
      </c>
      <c r="BH2">
        <f>'DADOS_APTIDOES'!$T2</f>
        <v/>
      </c>
      <c r="BI2">
        <f>'DADOS_APTIDOES'!$Z2</f>
        <v/>
      </c>
      <c r="BJ2">
        <f>'DADOS_APTIDOES'!$S2</f>
        <v/>
      </c>
      <c r="BK2">
        <f>IF(AND(NOT('DADOS_APTIDOES'!$AA2),IF(DADOS_AM!$A$2=4,'DADOS_APTIDOES'!$N2="Bênção",AND(NOT('DADOS_APTIDOES'!$N2="Bênção"),NOT(AND(DADOS_AM!$A$2=3,'DADOS_APTIDOES'!$Y2))))),'DADOS_APTIDOES'!$O2,"")</f>
        <v/>
      </c>
      <c r="BL2">
        <f>N('DADOS_APTIDOES'!$N2="Bênção")</f>
        <v/>
      </c>
      <c r="BM2">
        <f>N('DADOS_APTIDOES'!$Y2)</f>
        <v/>
      </c>
      <c r="BN2">
        <f>IF('DADOS_APTIDOES'!$W2="Gratuita",1,0)</f>
        <v/>
      </c>
      <c r="BO2" t="inlineStr">
        <is>
          <t>A energia que envolve seu corpo concede proteção e pode ser concentrada para amortecer um golpe.</t>
        </is>
      </c>
      <c r="BP2" t="inlineStr">
        <is>
          <t>Aptidão</t>
        </is>
      </c>
      <c r="BQ2" t="inlineStr">
        <is>
          <t>Nenhuma</t>
        </is>
      </c>
      <c r="BR2" t="inlineStr">
        <is>
          <t>—</t>
        </is>
      </c>
      <c r="BS2" t="n">
        <v>1</v>
      </c>
      <c r="BT2" t="n">
        <v>1</v>
      </c>
      <c r="BU2" t="inlineStr">
        <is>
          <t>Consome uma escolha</t>
        </is>
      </c>
    </row>
    <row r="3">
      <c r="A3">
        <f>IF(ISBLANK('CONFIGURAÇÃO'!$FY$14),"",'CONFIGURAÇÃO'!$FY$14)</f>
        <v/>
      </c>
      <c r="B3">
        <f>IF(ISBLANK('CONFIGURAÇÃO'!$FY$16),"",'CONFIGURAÇÃO'!$FY$16)</f>
        <v/>
      </c>
      <c r="C3">
        <f>IF(ISBLANK('CONFIGURAÇÃO'!$GB$17),"",'CONFIGURAÇÃO'!$GB$17)</f>
        <v/>
      </c>
      <c r="D3">
        <f>IF(ISBLANK('CONFIGURAÇÃO'!$GC$14),"",'CONFIGURAÇÃO'!$GC$14)</f>
        <v/>
      </c>
      <c r="E3">
        <f>IF(ISBLANK('CONFIGURAÇÃO'!$FY$24),"",'CONFIGURAÇÃO'!$FY$24)</f>
        <v/>
      </c>
      <c r="F3">
        <f>IF(ISBLANK('CONFIGURAÇÃO'!$FY$30),"",'CONFIGURAÇÃO'!$FY$30)</f>
        <v/>
      </c>
      <c r="G3">
        <f>IF(ISBLANK('CONFIGURAÇÃO'!$GB$18),"",'CONFIGURAÇÃO'!$GB$18)</f>
        <v/>
      </c>
      <c r="H3">
        <f>IF(ISBLANK('CONFIGURAÇÃO'!$GB$19),"",'CONFIGURAÇÃO'!$GB$19)</f>
        <v/>
      </c>
      <c r="I3">
        <f>IF(ISBLANK('CONFIGURAÇÃO'!$GB$20),"",'CONFIGURAÇÃO'!$GB$20)</f>
        <v/>
      </c>
      <c r="J3">
        <f>IF(ISBLANK('CONFIGURAÇÃO'!$GB$21),"",'CONFIGURAÇÃO'!$GB$21)</f>
        <v/>
      </c>
      <c r="K3">
        <f>IF($M3,TEXTJOIN(" · ",TRUE,$AS3:$BD3),"")</f>
        <v/>
      </c>
      <c r="L3">
        <f>IF(OR($C3="",$C3="Nenhuma"),0,IFERROR(MATCH(SUBSTITUTE(SUBSTITUTE(SUBSTITUTE($C3,"~","~~"),"*","~*"),"?","~?"),'DADOS_APTIDOES'!$O$2:$O$35,0),-1))</f>
        <v/>
      </c>
      <c r="M3">
        <f>OR($B3&lt;&gt;"",$C3&lt;&gt;"",$E3&lt;&gt;"",$F3&lt;&gt;"",$G3&lt;&gt;"",$H3&lt;&gt;"",$I3&lt;&gt;"",$J3&lt;&gt;"",AND($D3&lt;&gt;"",$D3&lt;&gt;FALSE),AND($A3&lt;&gt;"",$A3&lt;&gt;"Aptidão",$A3&lt;&gt;"Bênção"))</f>
        <v/>
      </c>
      <c r="N3" t="inlineStr">
        <is>
          <t>Aptidão</t>
        </is>
      </c>
      <c r="O3" t="inlineStr">
        <is>
          <t>Canalizar Energia</t>
        </is>
      </c>
      <c r="P3">
        <f>""</f>
        <v/>
      </c>
      <c r="Q3" t="b">
        <v>0</v>
      </c>
      <c r="R3" t="inlineStr">
        <is>
          <t>Gratuita no Refino 1</t>
        </is>
      </c>
      <c r="S3" t="inlineStr">
        <is>
          <t>Você envolve seus golpes em energia amaldiçoada. Atacar com uma arma mundana ou desarmado passa a poder ferir maldições. Esse revestimento não cobra PE nem uma ação separada. Canalizar em Golpe é o dano adicional desta aptidão. Acrescente os dados da tabela a cada ataque com arma ou desarmado que acertar e puder receber esse dano. Esses dados acompanham o tipo de dano do ataque. Revestir uma espada não troca automaticamente Cortante por Força. O revestimento também não muda o alcance, o atributo ou a quantidade de ataques que você pode fazer. Não acrescente esses dados a feitiços, Manejos ou Katas. Se uma habilidade fizer um ataque carregar um feitiço de dano, inclusive de Classe 0, aquele ataque não recebe Canalizar em Golpe. Outro ataque permanece sujeito às próprias regras. Conjurar em outro momento do turno ou da rodada não apaga esse dano dos demais ataques. Ações disponíveis e limites de conjuração continuam valendo. No crítico, dobre os dados básicos da arma ou do ataque desarmado. Os dados adicionais de Canalizar não dobram, salvo uma habilidade que autorize expressamente.</t>
        </is>
      </c>
      <c r="T3" t="inlineStr">
        <is>
          <t>—</t>
        </is>
      </c>
      <c r="U3" t="n">
        <v>1</v>
      </c>
      <c r="V3" t="n">
        <v>1</v>
      </c>
      <c r="W3" t="inlineStr">
        <is>
          <t>Gratuita</t>
        </is>
      </c>
      <c r="X3" t="inlineStr">
        <is>
          <t>Canalizar Energia</t>
        </is>
      </c>
      <c r="Y3" t="b">
        <v>0</v>
      </c>
      <c r="Z3" t="inlineStr">
        <is>
          <t>Dados adicionais</t>
        </is>
      </c>
      <c r="AA3" t="n">
        <v>1</v>
      </c>
      <c r="AD3">
        <f>IF($A3="",IF($L3&gt;0,INDEX('DADOS_APTIDOES'!$N$2:$N$35,MAX(1,$L3)),""),$A3)</f>
        <v/>
      </c>
      <c r="AE3">
        <f>IF($B3="",IF($L3&gt;0,INDEX('DADOS_APTIDOES'!$O$2:$O$35,MAX(1,$L3)),""),$B3)</f>
        <v/>
      </c>
      <c r="AF3">
        <f>IF($C3="",IF($L3&gt;0,INDEX('DADOS_APTIDOES'!$P$2:$P$35,MAX(1,$L3)),""),$C3)</f>
        <v/>
      </c>
      <c r="AG3">
        <f>IF($D3="",IF($L3&gt;0,INDEX('DADOS_APTIDOES'!$Q$2:$Q$35,MAX(1,$L3)),FALSE),$D3)</f>
        <v/>
      </c>
      <c r="AH3">
        <f>IF($E3="",IF($L3&gt;0,INDEX('DADOS_APTIDOES'!$R$2:$R$35,MAX(1,$L3)),""),$E3)</f>
        <v/>
      </c>
      <c r="AI3">
        <f>IF($F3="",IF($L3&gt;0,INDEX('DADOS_APTIDOES'!$S$2:$S$35,MAX(1,$L3)),""),$F3)</f>
        <v/>
      </c>
      <c r="AJ3">
        <f>IF($G3="",IF($L3&gt;0,INDEX('DADOS_APTIDOES'!$T$2:$T$35,MAX(1,$L3)),"—"),$G3)</f>
        <v/>
      </c>
      <c r="AK3">
        <f>IF($H3="",IF($L3&gt;0,INDEX('DADOS_APTIDOES'!$U$2:$U$35,MAX(1,$L3)),1),$H3)</f>
        <v/>
      </c>
      <c r="AL3">
        <f>IF($I3="",IF($L3&gt;0,INDEX('DADOS_APTIDOES'!$V$2:$V$35,MAX(1,$L3)),1),$I3)</f>
        <v/>
      </c>
      <c r="AM3">
        <f>IF($J3="",IF($L3&gt;0,INDEX('DADOS_APTIDOES'!$W$2:$W$35,MAX(1,$L3)),"Consome uma escolha"),$J3)</f>
        <v/>
      </c>
      <c r="AN3">
        <f>IF($L3&gt;0,INDEX('DADOS_APTIDOES'!$X$2:$X$35,MAX(1,$L3)),"")</f>
        <v/>
      </c>
      <c r="AO3">
        <f>IF($L3&gt;0,INDEX('DADOS_APTIDOES'!$Y$2:$Y$35,MAX(1,$L3)),0)</f>
        <v/>
      </c>
      <c r="AP3">
        <f>IF($L3&gt;0,INDEX('DADOS_APTIDOES'!$Z$2:$Z$35,MAX(1,$L3)),"")</f>
        <v/>
      </c>
      <c r="AQ3">
        <f>FALSE</f>
        <v/>
      </c>
      <c r="AS3">
        <f>IF(AND(ISTEXT($B3),$B3&lt;&gt;"",TRIM($B3)=$B3),"","NOME precisa ser texto sem espaços nas pontas")</f>
        <v/>
      </c>
      <c r="AT3">
        <f>IF(COUNTIF('DADOS_APTIDOES'!$B$2:$B$11,SUBSTITUTE(SUBSTITUTE(SUBSTITUTE($B3,"~","~~"),"*","~*"),"?","~?"))+COUNTIF('DADOS_APTIDOES'!$O$2:$O$35,SUBSTITUTE(SUBSTITUTE(SUBSTITUTE($B3,"~","~~"),"*","~*"),"?","~?"))=1,"","Nome repetido no livro ou custom")</f>
        <v/>
      </c>
      <c r="AU3">
        <f>IF($L3&gt;=0,"","BASE DO LIVRO inválida para o grupo")</f>
        <v/>
      </c>
      <c r="AV3">
        <f>IF(OR($AD3="Aptidão",$AD3="Bênção"),"","TIPO inválido para o grupo")</f>
        <v/>
      </c>
      <c r="AW3">
        <f>IF(ISLOGICAL($AG3),"","MESTRE VIU precisa ser caixa de seleção")</f>
        <v/>
      </c>
      <c r="AX3">
        <f>IF(ISTEXT($AI3),"","EFEITO precisa ser texto")</f>
        <v/>
      </c>
      <c r="AY3">
        <f>IF(ISTEXT($AH3),"","REQUISITOS precisa ser texto")</f>
        <v/>
      </c>
      <c r="AZ3">
        <f>IF(OR($AJ3="—",IFERROR(AND(ISNUMBER($AJ3),NOT(ISLOGICAL($AJ3)),$AJ3=INT($AJ3),$AJ3&gt;=1,$AJ3&lt;=3),FALSE)),"","CE inválida")</f>
        <v/>
      </c>
      <c r="BA3">
        <f>IF(OR($L3&lt;=0,$AD3=INDEX('DADOS_APTIDOES'!$N$2:$N$35,MAX(1,$L3))),"","TIPO deve preservar a rota da base")</f>
        <v/>
      </c>
      <c r="BB3">
        <f>IF(IFERROR(AND(ISNUMBER($AK3),NOT(ISLOGICAL($AK3)),$AK3=INT($AK3),$AK3&gt;=1,$AK3&lt;=30),FALSE),"","nivel_minimo fora do limite")</f>
        <v/>
      </c>
      <c r="BC3">
        <f>IF(IFERROR(AND(ISNUMBER($AL3),NOT(ISLOGICAL($AL3)),$AL3=INT($AL3),$AL3&gt;=1,$AL3&lt;=10),FALSE),"","refino_minimo fora do limite")</f>
        <v/>
      </c>
      <c r="BD3">
        <f>IF(OR($AM3="Gratuita",$AM3="Consome uma escolha"),"","ESCOLHA inválida")</f>
        <v/>
      </c>
      <c r="BF3">
        <f>'DADOS_APTIDOES'!$O3</f>
        <v/>
      </c>
      <c r="BG3">
        <f>'DADOS_APTIDOES'!$R3</f>
        <v/>
      </c>
      <c r="BH3">
        <f>'DADOS_APTIDOES'!$T3</f>
        <v/>
      </c>
      <c r="BI3">
        <f>'DADOS_APTIDOES'!$Z3</f>
        <v/>
      </c>
      <c r="BJ3">
        <f>'DADOS_APTIDOES'!$S3</f>
        <v/>
      </c>
      <c r="BK3">
        <f>IF(AND(NOT('DADOS_APTIDOES'!$AA3),IF(DADOS_AM!$A$2=4,'DADOS_APTIDOES'!$N3="Bênção",AND(NOT('DADOS_APTIDOES'!$N3="Bênção"),NOT(AND(DADOS_AM!$A$2=3,'DADOS_APTIDOES'!$Y3))))),'DADOS_APTIDOES'!$O3,"")</f>
        <v/>
      </c>
      <c r="BL3">
        <f>N('DADOS_APTIDOES'!$N3="Bênção")</f>
        <v/>
      </c>
      <c r="BM3">
        <f>N('DADOS_APTIDOES'!$Y3)</f>
        <v/>
      </c>
      <c r="BN3">
        <f>IF('DADOS_APTIDOES'!$W3="Gratuita",1,0)</f>
        <v/>
      </c>
      <c r="BO3" t="inlineStr">
        <is>
          <t>Você envolve seus golpes em energia amaldiçoada.</t>
        </is>
      </c>
      <c r="BP3" t="inlineStr">
        <is>
          <t>Bênção</t>
        </is>
      </c>
      <c r="BQ3" t="inlineStr">
        <is>
          <t>Cobrir-se de Energia</t>
        </is>
      </c>
      <c r="BR3" t="n">
        <v>1</v>
      </c>
      <c r="BS3" t="n">
        <v>2</v>
      </c>
      <c r="BT3" t="n">
        <v>2</v>
      </c>
      <c r="BU3" t="inlineStr">
        <is>
          <t>Gratuita</t>
        </is>
      </c>
    </row>
    <row r="4">
      <c r="A4">
        <f>IF(ISBLANK('CONFIGURAÇÃO'!$FQ$41),"",'CONFIGURAÇÃO'!$FQ$41)</f>
        <v/>
      </c>
      <c r="B4">
        <f>IF(ISBLANK('CONFIGURAÇÃO'!$FQ$43),"",'CONFIGURAÇÃO'!$FQ$43)</f>
        <v/>
      </c>
      <c r="C4">
        <f>IF(ISBLANK('CONFIGURAÇÃO'!$FT$44),"",'CONFIGURAÇÃO'!$FT$44)</f>
        <v/>
      </c>
      <c r="D4">
        <f>IF(ISBLANK('CONFIGURAÇÃO'!$FU$41),"",'CONFIGURAÇÃO'!$FU$41)</f>
        <v/>
      </c>
      <c r="E4">
        <f>IF(ISBLANK('CONFIGURAÇÃO'!$FQ$51),"",'CONFIGURAÇÃO'!$FQ$51)</f>
        <v/>
      </c>
      <c r="F4">
        <f>IF(ISBLANK('CONFIGURAÇÃO'!$FQ$57),"",'CONFIGURAÇÃO'!$FQ$57)</f>
        <v/>
      </c>
      <c r="G4">
        <f>IF(ISBLANK('CONFIGURAÇÃO'!$FT$45),"",'CONFIGURAÇÃO'!$FT$45)</f>
        <v/>
      </c>
      <c r="H4">
        <f>IF(ISBLANK('CONFIGURAÇÃO'!$FT$46),"",'CONFIGURAÇÃO'!$FT$46)</f>
        <v/>
      </c>
      <c r="I4">
        <f>IF(ISBLANK('CONFIGURAÇÃO'!$FT$47),"",'CONFIGURAÇÃO'!$FT$47)</f>
        <v/>
      </c>
      <c r="J4">
        <f>IF(ISBLANK('CONFIGURAÇÃO'!$FT$48),"",'CONFIGURAÇÃO'!$FT$48)</f>
        <v/>
      </c>
      <c r="K4">
        <f>IF($M4,TEXTJOIN(" · ",TRUE,$AS4:$BD4),"")</f>
        <v/>
      </c>
      <c r="L4">
        <f>IF(OR($C4="",$C4="Nenhuma"),0,IFERROR(MATCH(SUBSTITUTE(SUBSTITUTE(SUBSTITUTE($C4,"~","~~"),"*","~*"),"?","~?"),'DADOS_APTIDOES'!$O$2:$O$35,0),-1))</f>
        <v/>
      </c>
      <c r="M4">
        <f>OR($B4&lt;&gt;"",$C4&lt;&gt;"",$E4&lt;&gt;"",$F4&lt;&gt;"",$G4&lt;&gt;"",$H4&lt;&gt;"",$I4&lt;&gt;"",$J4&lt;&gt;"",AND($D4&lt;&gt;"",$D4&lt;&gt;FALSE),AND($A4&lt;&gt;"",$A4&lt;&gt;"Aptidão",$A4&lt;&gt;"Bênção"))</f>
        <v/>
      </c>
      <c r="N4" t="inlineStr">
        <is>
          <t>Aptidão</t>
        </is>
      </c>
      <c r="O4" t="inlineStr">
        <is>
          <t>Projetar Energia</t>
        </is>
      </c>
      <c r="P4">
        <f>""</f>
        <v/>
      </c>
      <c r="Q4" t="b">
        <v>0</v>
      </c>
      <c r="R4" t="inlineStr">
        <is>
          <t>Uma escolha de aptidão</t>
        </is>
      </c>
      <c r="S4" t="inlineStr">
        <is>
          <t>Você dispara energia amaldiçoada pura contra um alvo. Ação Padrão. Escolha quanto gastar, de 1 PE até metade do seu Refino, para baixo, mínimo 1, e pague antes da rolagem. Faça um ataque de conjuração: d20 + atributo de conjuração da ficha + maestria, contra a Defesa. O atributo é o já definido pela técnica ou pelo estilo que você usa para criar suas aplicações. Escolha um alvo que você enxergue, com caminho desimpedido dentro do alcance. No acerto, cause 2d6 de Força por PE gasto. No erro, não cause dano. Os PE ficam gastos em ambos os casos. Projetar é um uso de aptidão, com sua própria Ação Padrão. Não ocupa espaço conhecido, não exige o Selo da técnica e não aceita Melhorias ou Restrições. Ter ataques adicionais na Ação Atacar não acrescenta disparos a esse uso. Os d6 são os dados básicos deste ataque. Em um crítico, eles dobram. Não some Canalizar em Golpe nem o dano de uma arma. Como o ataque é à distância, ele não provoca Kokusen. Sem PE suficiente para pagar ao menos 1, você não pode usar Projetar Energia.</t>
        </is>
      </c>
      <c r="T4" t="inlineStr">
        <is>
          <t>—</t>
        </is>
      </c>
      <c r="U4" t="n">
        <v>1</v>
      </c>
      <c r="V4" t="n">
        <v>1</v>
      </c>
      <c r="W4" t="inlineStr">
        <is>
          <t>Consome uma escolha</t>
        </is>
      </c>
      <c r="X4" t="inlineStr">
        <is>
          <t>Projetar Energia</t>
        </is>
      </c>
      <c r="Y4" t="b">
        <v>0</v>
      </c>
      <c r="Z4" t="inlineStr">
        <is>
          <t>—</t>
        </is>
      </c>
      <c r="AA4" t="b">
        <v>0</v>
      </c>
      <c r="AD4">
        <f>IF($A4="",IF($L4&gt;0,INDEX('DADOS_APTIDOES'!$N$2:$N$35,MAX(1,$L4)),""),$A4)</f>
        <v/>
      </c>
      <c r="AE4">
        <f>IF($B4="",IF($L4&gt;0,INDEX('DADOS_APTIDOES'!$O$2:$O$35,MAX(1,$L4)),""),$B4)</f>
        <v/>
      </c>
      <c r="AF4">
        <f>IF($C4="",IF($L4&gt;0,INDEX('DADOS_APTIDOES'!$P$2:$P$35,MAX(1,$L4)),""),$C4)</f>
        <v/>
      </c>
      <c r="AG4">
        <f>IF($D4="",IF($L4&gt;0,INDEX('DADOS_APTIDOES'!$Q$2:$Q$35,MAX(1,$L4)),FALSE),$D4)</f>
        <v/>
      </c>
      <c r="AH4">
        <f>IF($E4="",IF($L4&gt;0,INDEX('DADOS_APTIDOES'!$R$2:$R$35,MAX(1,$L4)),""),$E4)</f>
        <v/>
      </c>
      <c r="AI4">
        <f>IF($F4="",IF($L4&gt;0,INDEX('DADOS_APTIDOES'!$S$2:$S$35,MAX(1,$L4)),""),$F4)</f>
        <v/>
      </c>
      <c r="AJ4">
        <f>IF($G4="",IF($L4&gt;0,INDEX('DADOS_APTIDOES'!$T$2:$T$35,MAX(1,$L4)),"—"),$G4)</f>
        <v/>
      </c>
      <c r="AK4">
        <f>IF($H4="",IF($L4&gt;0,INDEX('DADOS_APTIDOES'!$U$2:$U$35,MAX(1,$L4)),1),$H4)</f>
        <v/>
      </c>
      <c r="AL4">
        <f>IF($I4="",IF($L4&gt;0,INDEX('DADOS_APTIDOES'!$V$2:$V$35,MAX(1,$L4)),1),$I4)</f>
        <v/>
      </c>
      <c r="AM4">
        <f>IF($J4="",IF($L4&gt;0,INDEX('DADOS_APTIDOES'!$W$2:$W$35,MAX(1,$L4)),"Consome uma escolha"),$J4)</f>
        <v/>
      </c>
      <c r="AN4">
        <f>IF($L4&gt;0,INDEX('DADOS_APTIDOES'!$X$2:$X$35,MAX(1,$L4)),"")</f>
        <v/>
      </c>
      <c r="AO4">
        <f>IF($L4&gt;0,INDEX('DADOS_APTIDOES'!$Y$2:$Y$35,MAX(1,$L4)),0)</f>
        <v/>
      </c>
      <c r="AP4">
        <f>IF($L4&gt;0,INDEX('DADOS_APTIDOES'!$Z$2:$Z$35,MAX(1,$L4)),"")</f>
        <v/>
      </c>
      <c r="AQ4">
        <f>FALSE</f>
        <v/>
      </c>
      <c r="AS4">
        <f>IF(AND(ISTEXT($B4),$B4&lt;&gt;"",TRIM($B4)=$B4),"","NOME precisa ser texto sem espaços nas pontas")</f>
        <v/>
      </c>
      <c r="AT4">
        <f>IF(COUNTIF('DADOS_APTIDOES'!$B$2:$B$11,SUBSTITUTE(SUBSTITUTE(SUBSTITUTE($B4,"~","~~"),"*","~*"),"?","~?"))+COUNTIF('DADOS_APTIDOES'!$O$2:$O$35,SUBSTITUTE(SUBSTITUTE(SUBSTITUTE($B4,"~","~~"),"*","~*"),"?","~?"))=1,"","Nome repetido no livro ou custom")</f>
        <v/>
      </c>
      <c r="AU4">
        <f>IF($L4&gt;=0,"","BASE DO LIVRO inválida para o grupo")</f>
        <v/>
      </c>
      <c r="AV4">
        <f>IF(OR($AD4="Aptidão",$AD4="Bênção"),"","TIPO inválido para o grupo")</f>
        <v/>
      </c>
      <c r="AW4">
        <f>IF(ISLOGICAL($AG4),"","MESTRE VIU precisa ser caixa de seleção")</f>
        <v/>
      </c>
      <c r="AX4">
        <f>IF(ISTEXT($AI4),"","EFEITO precisa ser texto")</f>
        <v/>
      </c>
      <c r="AY4">
        <f>IF(ISTEXT($AH4),"","REQUISITOS precisa ser texto")</f>
        <v/>
      </c>
      <c r="AZ4">
        <f>IF(OR($AJ4="—",IFERROR(AND(ISNUMBER($AJ4),NOT(ISLOGICAL($AJ4)),$AJ4=INT($AJ4),$AJ4&gt;=1,$AJ4&lt;=3),FALSE)),"","CE inválida")</f>
        <v/>
      </c>
      <c r="BA4">
        <f>IF(OR($L4&lt;=0,$AD4=INDEX('DADOS_APTIDOES'!$N$2:$N$35,MAX(1,$L4))),"","TIPO deve preservar a rota da base")</f>
        <v/>
      </c>
      <c r="BB4">
        <f>IF(IFERROR(AND(ISNUMBER($AK4),NOT(ISLOGICAL($AK4)),$AK4=INT($AK4),$AK4&gt;=1,$AK4&lt;=30),FALSE),"","nivel_minimo fora do limite")</f>
        <v/>
      </c>
      <c r="BC4">
        <f>IF(IFERROR(AND(ISNUMBER($AL4),NOT(ISLOGICAL($AL4)),$AL4=INT($AL4),$AL4&gt;=1,$AL4&lt;=10),FALSE),"","refino_minimo fora do limite")</f>
        <v/>
      </c>
      <c r="BD4">
        <f>IF(OR($AM4="Gratuita",$AM4="Consome uma escolha"),"","ESCOLHA inválida")</f>
        <v/>
      </c>
      <c r="BF4">
        <f>'DADOS_APTIDOES'!$O4</f>
        <v/>
      </c>
      <c r="BG4">
        <f>'DADOS_APTIDOES'!$R4</f>
        <v/>
      </c>
      <c r="BH4">
        <f>'DADOS_APTIDOES'!$T4</f>
        <v/>
      </c>
      <c r="BI4">
        <f>'DADOS_APTIDOES'!$Z4</f>
        <v/>
      </c>
      <c r="BJ4">
        <f>'DADOS_APTIDOES'!$S4</f>
        <v/>
      </c>
      <c r="BK4">
        <f>IF(AND(NOT('DADOS_APTIDOES'!$AA4),IF(DADOS_AM!$A$2=4,'DADOS_APTIDOES'!$N4="Bênção",AND(NOT('DADOS_APTIDOES'!$N4="Bênção"),NOT(AND(DADOS_AM!$A$2=3,'DADOS_APTIDOES'!$Y4))))),'DADOS_APTIDOES'!$O4,"")</f>
        <v/>
      </c>
      <c r="BL4">
        <f>N('DADOS_APTIDOES'!$N4="Bênção")</f>
        <v/>
      </c>
      <c r="BM4">
        <f>N('DADOS_APTIDOES'!$Y4)</f>
        <v/>
      </c>
      <c r="BN4">
        <f>IF('DADOS_APTIDOES'!$W4="Gratuita",1,0)</f>
        <v/>
      </c>
      <c r="BO4" t="inlineStr">
        <is>
          <t>Você dispara energia amaldiçoada pura contra um alvo.</t>
        </is>
      </c>
      <c r="BQ4" t="inlineStr">
        <is>
          <t>Canalizar Energia</t>
        </is>
      </c>
      <c r="BR4" t="n">
        <v>2</v>
      </c>
      <c r="BS4" t="n">
        <v>3</v>
      </c>
      <c r="BT4" t="n">
        <v>3</v>
      </c>
    </row>
    <row r="5">
      <c r="A5">
        <f>IF(ISBLANK('CONFIGURAÇÃO'!$FY$41),"",'CONFIGURAÇÃO'!$FY$41)</f>
        <v/>
      </c>
      <c r="B5">
        <f>IF(ISBLANK('CONFIGURAÇÃO'!$FY$43),"",'CONFIGURAÇÃO'!$FY$43)</f>
        <v/>
      </c>
      <c r="C5">
        <f>IF(ISBLANK('CONFIGURAÇÃO'!$GB$44),"",'CONFIGURAÇÃO'!$GB$44)</f>
        <v/>
      </c>
      <c r="D5">
        <f>IF(ISBLANK('CONFIGURAÇÃO'!$GC$41),"",'CONFIGURAÇÃO'!$GC$41)</f>
        <v/>
      </c>
      <c r="E5">
        <f>IF(ISBLANK('CONFIGURAÇÃO'!$FY$51),"",'CONFIGURAÇÃO'!$FY$51)</f>
        <v/>
      </c>
      <c r="F5">
        <f>IF(ISBLANK('CONFIGURAÇÃO'!$FY$57),"",'CONFIGURAÇÃO'!$FY$57)</f>
        <v/>
      </c>
      <c r="G5">
        <f>IF(ISBLANK('CONFIGURAÇÃO'!$GB$45),"",'CONFIGURAÇÃO'!$GB$45)</f>
        <v/>
      </c>
      <c r="H5">
        <f>IF(ISBLANK('CONFIGURAÇÃO'!$GB$46),"",'CONFIGURAÇÃO'!$GB$46)</f>
        <v/>
      </c>
      <c r="I5">
        <f>IF(ISBLANK('CONFIGURAÇÃO'!$GB$47),"",'CONFIGURAÇÃO'!$GB$47)</f>
        <v/>
      </c>
      <c r="J5">
        <f>IF(ISBLANK('CONFIGURAÇÃO'!$GB$48),"",'CONFIGURAÇÃO'!$GB$48)</f>
        <v/>
      </c>
      <c r="K5">
        <f>IF($M5,TEXTJOIN(" · ",TRUE,$AS5:$BD5),"")</f>
        <v/>
      </c>
      <c r="L5">
        <f>IF(OR($C5="",$C5="Nenhuma"),0,IFERROR(MATCH(SUBSTITUTE(SUBSTITUTE(SUBSTITUTE($C5,"~","~~"),"*","~*"),"?","~?"),'DADOS_APTIDOES'!$O$2:$O$35,0),-1))</f>
        <v/>
      </c>
      <c r="M5">
        <f>OR($B5&lt;&gt;"",$C5&lt;&gt;"",$E5&lt;&gt;"",$F5&lt;&gt;"",$G5&lt;&gt;"",$H5&lt;&gt;"",$I5&lt;&gt;"",$J5&lt;&gt;"",AND($D5&lt;&gt;"",$D5&lt;&gt;FALSE),AND($A5&lt;&gt;"",$A5&lt;&gt;"Aptidão",$A5&lt;&gt;"Bênção"))</f>
        <v/>
      </c>
      <c r="N5" t="inlineStr">
        <is>
          <t>Aptidão</t>
        </is>
      </c>
      <c r="O5" t="inlineStr">
        <is>
          <t>Energia Reversa</t>
        </is>
      </c>
      <c r="P5">
        <f>""</f>
        <v/>
      </c>
      <c r="Q5" t="b">
        <v>0</v>
      </c>
      <c r="R5" t="inlineStr">
        <is>
          <t>Refino 7 e nível 14</t>
        </is>
      </c>
      <c r="S5" t="inlineStr">
        <is>
          <t>Você usa energia reversa para restaurar seu próprio corpo. Ação Padrão. Gaste de 1 PE até sua maior Classe e recupere 1d8 de vida por PE gasto. Escolha e pague antes de rolar. A cura não ultrapassa sua vida máxima e não gera vida temporária. As primeiras faixas atendem às concessões específicas que permitem aprender a aptidão antes dos requisitos comuns. A aptidão cura você. Para aplicá-la diretamente a outra criatura, você precisa de uma permissão que altere esse alvo. Aprendê-la não aumenta o alcance de um feitiço de Cura nem substitui sua montagem. O Corpo Amaldiçoado não recupera vida com Energia Reversa nem com cura construída a partir dela. Suas formas de recuperação estão na Origem, com o procedimento compartilhado em Cura e reparo. Outras incompatibilidades de alvo também continuam valendo. Energia Reversa é requisito para usar um feitiço da Forma Cura ofensivamente contra uma maldição. A exceção está em Ferir maldições. A aptidão de autocura, sozinha, não concede um ataque. Requisito: Energia Reversa. Você pode usar um feitiço da Forma Cura contra uma maldição hostil. Essa aplicação usa energia positiva para feri-la, em vez de recuperar vida.</t>
        </is>
      </c>
      <c r="T5" t="n">
        <v>3</v>
      </c>
      <c r="U5" t="n">
        <v>14</v>
      </c>
      <c r="V5" t="n">
        <v>7</v>
      </c>
      <c r="W5" t="inlineStr">
        <is>
          <t>Consome uma escolha</t>
        </is>
      </c>
      <c r="X5" t="inlineStr">
        <is>
          <t>Energia Reversa</t>
        </is>
      </c>
      <c r="Y5" t="b">
        <v>0</v>
      </c>
      <c r="Z5" t="inlineStr">
        <is>
          <t>—</t>
        </is>
      </c>
      <c r="AA5" t="b">
        <v>0</v>
      </c>
      <c r="AD5">
        <f>IF($A5="",IF($L5&gt;0,INDEX('DADOS_APTIDOES'!$N$2:$N$35,MAX(1,$L5)),""),$A5)</f>
        <v/>
      </c>
      <c r="AE5">
        <f>IF($B5="",IF($L5&gt;0,INDEX('DADOS_APTIDOES'!$O$2:$O$35,MAX(1,$L5)),""),$B5)</f>
        <v/>
      </c>
      <c r="AF5">
        <f>IF($C5="",IF($L5&gt;0,INDEX('DADOS_APTIDOES'!$P$2:$P$35,MAX(1,$L5)),""),$C5)</f>
        <v/>
      </c>
      <c r="AG5">
        <f>IF($D5="",IF($L5&gt;0,INDEX('DADOS_APTIDOES'!$Q$2:$Q$35,MAX(1,$L5)),FALSE),$D5)</f>
        <v/>
      </c>
      <c r="AH5">
        <f>IF($E5="",IF($L5&gt;0,INDEX('DADOS_APTIDOES'!$R$2:$R$35,MAX(1,$L5)),""),$E5)</f>
        <v/>
      </c>
      <c r="AI5">
        <f>IF($F5="",IF($L5&gt;0,INDEX('DADOS_APTIDOES'!$S$2:$S$35,MAX(1,$L5)),""),$F5)</f>
        <v/>
      </c>
      <c r="AJ5">
        <f>IF($G5="",IF($L5&gt;0,INDEX('DADOS_APTIDOES'!$T$2:$T$35,MAX(1,$L5)),"—"),$G5)</f>
        <v/>
      </c>
      <c r="AK5">
        <f>IF($H5="",IF($L5&gt;0,INDEX('DADOS_APTIDOES'!$U$2:$U$35,MAX(1,$L5)),1),$H5)</f>
        <v/>
      </c>
      <c r="AL5">
        <f>IF($I5="",IF($L5&gt;0,INDEX('DADOS_APTIDOES'!$V$2:$V$35,MAX(1,$L5)),1),$I5)</f>
        <v/>
      </c>
      <c r="AM5">
        <f>IF($J5="",IF($L5&gt;0,INDEX('DADOS_APTIDOES'!$W$2:$W$35,MAX(1,$L5)),"Consome uma escolha"),$J5)</f>
        <v/>
      </c>
      <c r="AN5">
        <f>IF($L5&gt;0,INDEX('DADOS_APTIDOES'!$X$2:$X$35,MAX(1,$L5)),"")</f>
        <v/>
      </c>
      <c r="AO5">
        <f>IF($L5&gt;0,INDEX('DADOS_APTIDOES'!$Y$2:$Y$35,MAX(1,$L5)),0)</f>
        <v/>
      </c>
      <c r="AP5">
        <f>IF($L5&gt;0,INDEX('DADOS_APTIDOES'!$Z$2:$Z$35,MAX(1,$L5)),"")</f>
        <v/>
      </c>
      <c r="AQ5">
        <f>FALSE</f>
        <v/>
      </c>
      <c r="AS5">
        <f>IF(AND(ISTEXT($B5),$B5&lt;&gt;"",TRIM($B5)=$B5),"","NOME precisa ser texto sem espaços nas pontas")</f>
        <v/>
      </c>
      <c r="AT5">
        <f>IF(COUNTIF('DADOS_APTIDOES'!$B$2:$B$11,SUBSTITUTE(SUBSTITUTE(SUBSTITUTE($B5,"~","~~"),"*","~*"),"?","~?"))+COUNTIF('DADOS_APTIDOES'!$O$2:$O$35,SUBSTITUTE(SUBSTITUTE(SUBSTITUTE($B5,"~","~~"),"*","~*"),"?","~?"))=1,"","Nome repetido no livro ou custom")</f>
        <v/>
      </c>
      <c r="AU5">
        <f>IF($L5&gt;=0,"","BASE DO LIVRO inválida para o grupo")</f>
        <v/>
      </c>
      <c r="AV5">
        <f>IF(OR($AD5="Aptidão",$AD5="Bênção"),"","TIPO inválido para o grupo")</f>
        <v/>
      </c>
      <c r="AW5">
        <f>IF(ISLOGICAL($AG5),"","MESTRE VIU precisa ser caixa de seleção")</f>
        <v/>
      </c>
      <c r="AX5">
        <f>IF(ISTEXT($AI5),"","EFEITO precisa ser texto")</f>
        <v/>
      </c>
      <c r="AY5">
        <f>IF(ISTEXT($AH5),"","REQUISITOS precisa ser texto")</f>
        <v/>
      </c>
      <c r="AZ5">
        <f>IF(OR($AJ5="—",IFERROR(AND(ISNUMBER($AJ5),NOT(ISLOGICAL($AJ5)),$AJ5=INT($AJ5),$AJ5&gt;=1,$AJ5&lt;=3),FALSE)),"","CE inválida")</f>
        <v/>
      </c>
      <c r="BA5">
        <f>IF(OR($L5&lt;=0,$AD5=INDEX('DADOS_APTIDOES'!$N$2:$N$35,MAX(1,$L5))),"","TIPO deve preservar a rota da base")</f>
        <v/>
      </c>
      <c r="BB5">
        <f>IF(IFERROR(AND(ISNUMBER($AK5),NOT(ISLOGICAL($AK5)),$AK5=INT($AK5),$AK5&gt;=1,$AK5&lt;=30),FALSE),"","nivel_minimo fora do limite")</f>
        <v/>
      </c>
      <c r="BC5">
        <f>IF(IFERROR(AND(ISNUMBER($AL5),NOT(ISLOGICAL($AL5)),$AL5=INT($AL5),$AL5&gt;=1,$AL5&lt;=10),FALSE),"","refino_minimo fora do limite")</f>
        <v/>
      </c>
      <c r="BD5">
        <f>IF(OR($AM5="Gratuita",$AM5="Consome uma escolha"),"","ESCOLHA inválida")</f>
        <v/>
      </c>
      <c r="BF5">
        <f>'DADOS_APTIDOES'!$O5</f>
        <v/>
      </c>
      <c r="BG5">
        <f>'DADOS_APTIDOES'!$R5</f>
        <v/>
      </c>
      <c r="BH5">
        <f>'DADOS_APTIDOES'!$T5</f>
        <v/>
      </c>
      <c r="BI5">
        <f>'DADOS_APTIDOES'!$Z5</f>
        <v/>
      </c>
      <c r="BJ5">
        <f>'DADOS_APTIDOES'!$S5</f>
        <v/>
      </c>
      <c r="BK5">
        <f>IF(AND(NOT('DADOS_APTIDOES'!$AA5),IF(DADOS_AM!$A$2=4,'DADOS_APTIDOES'!$N5="Bênção",AND(NOT('DADOS_APTIDOES'!$N5="Bênção"),NOT(AND(DADOS_AM!$A$2=3,'DADOS_APTIDOES'!$Y5))))),'DADOS_APTIDOES'!$O5,"")</f>
        <v/>
      </c>
      <c r="BL5">
        <f>N('DADOS_APTIDOES'!$N5="Bênção")</f>
        <v/>
      </c>
      <c r="BM5">
        <f>N('DADOS_APTIDOES'!$Y5)</f>
        <v/>
      </c>
      <c r="BN5">
        <f>IF('DADOS_APTIDOES'!$W5="Gratuita",1,0)</f>
        <v/>
      </c>
      <c r="BO5" t="inlineStr">
        <is>
          <t>Você usa energia reversa para restaurar seu próprio corpo.</t>
        </is>
      </c>
      <c r="BQ5" t="inlineStr">
        <is>
          <t>Projetar Energia</t>
        </is>
      </c>
      <c r="BR5" t="n">
        <v>3</v>
      </c>
      <c r="BS5" t="n">
        <v>4</v>
      </c>
      <c r="BT5" t="n">
        <v>4</v>
      </c>
    </row>
    <row r="6">
      <c r="A6">
        <f>IF(ISBLANK('CONFIGURAÇÃO'!$FQ$68),"",'CONFIGURAÇÃO'!$FQ$68)</f>
        <v/>
      </c>
      <c r="B6">
        <f>IF(ISBLANK('CONFIGURAÇÃO'!$FQ$70),"",'CONFIGURAÇÃO'!$FQ$70)</f>
        <v/>
      </c>
      <c r="C6">
        <f>IF(ISBLANK('CONFIGURAÇÃO'!$FT$71),"",'CONFIGURAÇÃO'!$FT$71)</f>
        <v/>
      </c>
      <c r="D6">
        <f>IF(ISBLANK('CONFIGURAÇÃO'!$FU$68),"",'CONFIGURAÇÃO'!$FU$68)</f>
        <v/>
      </c>
      <c r="E6">
        <f>IF(ISBLANK('CONFIGURAÇÃO'!$FQ$78),"",'CONFIGURAÇÃO'!$FQ$78)</f>
        <v/>
      </c>
      <c r="F6">
        <f>IF(ISBLANK('CONFIGURAÇÃO'!$FQ$84),"",'CONFIGURAÇÃO'!$FQ$84)</f>
        <v/>
      </c>
      <c r="G6">
        <f>IF(ISBLANK('CONFIGURAÇÃO'!$FT$72),"",'CONFIGURAÇÃO'!$FT$72)</f>
        <v/>
      </c>
      <c r="H6">
        <f>IF(ISBLANK('CONFIGURAÇÃO'!$FT$73),"",'CONFIGURAÇÃO'!$FT$73)</f>
        <v/>
      </c>
      <c r="I6">
        <f>IF(ISBLANK('CONFIGURAÇÃO'!$FT$74),"",'CONFIGURAÇÃO'!$FT$74)</f>
        <v/>
      </c>
      <c r="J6">
        <f>IF(ISBLANK('CONFIGURAÇÃO'!$FT$75),"",'CONFIGURAÇÃO'!$FT$75)</f>
        <v/>
      </c>
      <c r="K6">
        <f>IF($M6,TEXTJOIN(" · ",TRUE,$AS6:$BD6),"")</f>
        <v/>
      </c>
      <c r="L6">
        <f>IF(OR($C6="",$C6="Nenhuma"),0,IFERROR(MATCH(SUBSTITUTE(SUBSTITUTE(SUBSTITUTE($C6,"~","~~"),"*","~*"),"?","~?"),'DADOS_APTIDOES'!$O$2:$O$35,0),-1))</f>
        <v/>
      </c>
      <c r="M6">
        <f>OR($B6&lt;&gt;"",$C6&lt;&gt;"",$E6&lt;&gt;"",$F6&lt;&gt;"",$G6&lt;&gt;"",$H6&lt;&gt;"",$I6&lt;&gt;"",$J6&lt;&gt;"",AND($D6&lt;&gt;"",$D6&lt;&gt;FALSE),AND($A6&lt;&gt;"",$A6&lt;&gt;"Aptidão",$A6&lt;&gt;"Bênção"))</f>
        <v/>
      </c>
      <c r="N6" t="inlineStr">
        <is>
          <t>Aptidão</t>
        </is>
      </c>
      <c r="O6" t="inlineStr">
        <is>
          <t>Circulação</t>
        </is>
      </c>
      <c r="P6">
        <f>""</f>
        <v/>
      </c>
      <c r="Q6" t="b">
        <v>0</v>
      </c>
      <c r="R6" t="inlineStr">
        <is>
          <t>Energia Reversa e Refino 8</t>
        </is>
      </c>
      <c r="S6" t="inlineStr">
        <is>
          <t>Você melhora o uso de Energia Reversa e aprende a reconstruir partes perdidas do corpo. O limite de PE por uso de sua Energia Reversa passa a ser 1,5 × sua maior Classe, arredondado para baixo. Você ainda escolhe quanto gastar antes de rolar. Você pode usar Energia Reversa como Ação Bônus. Nesse uso, cada PE cura 1d4, em vez de 1d8. A mudança de ação não aumenta os alvos permitidos. Como Ação Padrão, gaste o limite inteiro de PE de um uso para recompor uma parte perdida do seu corpo, como um braço ou um olho. Esse uso não recupera pontos de vida. A opção de Ação Bônus serve à cura em d4, não a essa reconstrução. Esta regra desfaz a perda registrada pela mesa. Não cria um procedimento para amputar oponentes nem remove, por si só, uma condição com outra causa. As incompatibilidades de alvo da Energia Reversa continuam valendo.</t>
        </is>
      </c>
      <c r="T6" t="n">
        <v>3</v>
      </c>
      <c r="U6" t="n">
        <v>1</v>
      </c>
      <c r="V6" t="n">
        <v>8</v>
      </c>
      <c r="W6" t="inlineStr">
        <is>
          <t>Consome uma escolha</t>
        </is>
      </c>
      <c r="X6" t="inlineStr">
        <is>
          <t>Circulação</t>
        </is>
      </c>
      <c r="Y6" t="b">
        <v>0</v>
      </c>
      <c r="Z6" t="inlineStr">
        <is>
          <t>—</t>
        </is>
      </c>
      <c r="AA6" t="b">
        <v>0</v>
      </c>
      <c r="AD6">
        <f>IF($A6="",IF($L6&gt;0,INDEX('DADOS_APTIDOES'!$N$2:$N$35,MAX(1,$L6)),""),$A6)</f>
        <v/>
      </c>
      <c r="AE6">
        <f>IF($B6="",IF($L6&gt;0,INDEX('DADOS_APTIDOES'!$O$2:$O$35,MAX(1,$L6)),""),$B6)</f>
        <v/>
      </c>
      <c r="AF6">
        <f>IF($C6="",IF($L6&gt;0,INDEX('DADOS_APTIDOES'!$P$2:$P$35,MAX(1,$L6)),""),$C6)</f>
        <v/>
      </c>
      <c r="AG6">
        <f>IF($D6="",IF($L6&gt;0,INDEX('DADOS_APTIDOES'!$Q$2:$Q$35,MAX(1,$L6)),FALSE),$D6)</f>
        <v/>
      </c>
      <c r="AH6">
        <f>IF($E6="",IF($L6&gt;0,INDEX('DADOS_APTIDOES'!$R$2:$R$35,MAX(1,$L6)),""),$E6)</f>
        <v/>
      </c>
      <c r="AI6">
        <f>IF($F6="",IF($L6&gt;0,INDEX('DADOS_APTIDOES'!$S$2:$S$35,MAX(1,$L6)),""),$F6)</f>
        <v/>
      </c>
      <c r="AJ6">
        <f>IF($G6="",IF($L6&gt;0,INDEX('DADOS_APTIDOES'!$T$2:$T$35,MAX(1,$L6)),"—"),$G6)</f>
        <v/>
      </c>
      <c r="AK6">
        <f>IF($H6="",IF($L6&gt;0,INDEX('DADOS_APTIDOES'!$U$2:$U$35,MAX(1,$L6)),1),$H6)</f>
        <v/>
      </c>
      <c r="AL6">
        <f>IF($I6="",IF($L6&gt;0,INDEX('DADOS_APTIDOES'!$V$2:$V$35,MAX(1,$L6)),1),$I6)</f>
        <v/>
      </c>
      <c r="AM6">
        <f>IF($J6="",IF($L6&gt;0,INDEX('DADOS_APTIDOES'!$W$2:$W$35,MAX(1,$L6)),"Consome uma escolha"),$J6)</f>
        <v/>
      </c>
      <c r="AN6">
        <f>IF($L6&gt;0,INDEX('DADOS_APTIDOES'!$X$2:$X$35,MAX(1,$L6)),"")</f>
        <v/>
      </c>
      <c r="AO6">
        <f>IF($L6&gt;0,INDEX('DADOS_APTIDOES'!$Y$2:$Y$35,MAX(1,$L6)),0)</f>
        <v/>
      </c>
      <c r="AP6">
        <f>IF($L6&gt;0,INDEX('DADOS_APTIDOES'!$Z$2:$Z$35,MAX(1,$L6)),"")</f>
        <v/>
      </c>
      <c r="AQ6">
        <f>FALSE</f>
        <v/>
      </c>
      <c r="AS6">
        <f>IF(AND(ISTEXT($B6),$B6&lt;&gt;"",TRIM($B6)=$B6),"","NOME precisa ser texto sem espaços nas pontas")</f>
        <v/>
      </c>
      <c r="AT6">
        <f>IF(COUNTIF('DADOS_APTIDOES'!$B$2:$B$11,SUBSTITUTE(SUBSTITUTE(SUBSTITUTE($B6,"~","~~"),"*","~*"),"?","~?"))+COUNTIF('DADOS_APTIDOES'!$O$2:$O$35,SUBSTITUTE(SUBSTITUTE(SUBSTITUTE($B6,"~","~~"),"*","~*"),"?","~?"))=1,"","Nome repetido no livro ou custom")</f>
        <v/>
      </c>
      <c r="AU6">
        <f>IF($L6&gt;=0,"","BASE DO LIVRO inválida para o grupo")</f>
        <v/>
      </c>
      <c r="AV6">
        <f>IF(OR($AD6="Aptidão",$AD6="Bênção"),"","TIPO inválido para o grupo")</f>
        <v/>
      </c>
      <c r="AW6">
        <f>IF(ISLOGICAL($AG6),"","MESTRE VIU precisa ser caixa de seleção")</f>
        <v/>
      </c>
      <c r="AX6">
        <f>IF(ISTEXT($AI6),"","EFEITO precisa ser texto")</f>
        <v/>
      </c>
      <c r="AY6">
        <f>IF(ISTEXT($AH6),"","REQUISITOS precisa ser texto")</f>
        <v/>
      </c>
      <c r="AZ6">
        <f>IF(OR($AJ6="—",IFERROR(AND(ISNUMBER($AJ6),NOT(ISLOGICAL($AJ6)),$AJ6=INT($AJ6),$AJ6&gt;=1,$AJ6&lt;=3),FALSE)),"","CE inválida")</f>
        <v/>
      </c>
      <c r="BA6">
        <f>IF(OR($L6&lt;=0,$AD6=INDEX('DADOS_APTIDOES'!$N$2:$N$35,MAX(1,$L6))),"","TIPO deve preservar a rota da base")</f>
        <v/>
      </c>
      <c r="BB6">
        <f>IF(IFERROR(AND(ISNUMBER($AK6),NOT(ISLOGICAL($AK6)),$AK6=INT($AK6),$AK6&gt;=1,$AK6&lt;=30),FALSE),"","nivel_minimo fora do limite")</f>
        <v/>
      </c>
      <c r="BC6">
        <f>IF(IFERROR(AND(ISNUMBER($AL6),NOT(ISLOGICAL($AL6)),$AL6=INT($AL6),$AL6&gt;=1,$AL6&lt;=10),FALSE),"","refino_minimo fora do limite")</f>
        <v/>
      </c>
      <c r="BD6">
        <f>IF(OR($AM6="Gratuita",$AM6="Consome uma escolha"),"","ESCOLHA inválida")</f>
        <v/>
      </c>
      <c r="BF6">
        <f>'DADOS_APTIDOES'!$O6</f>
        <v/>
      </c>
      <c r="BG6">
        <f>'DADOS_APTIDOES'!$R6</f>
        <v/>
      </c>
      <c r="BH6">
        <f>'DADOS_APTIDOES'!$T6</f>
        <v/>
      </c>
      <c r="BI6">
        <f>'DADOS_APTIDOES'!$Z6</f>
        <v/>
      </c>
      <c r="BJ6">
        <f>'DADOS_APTIDOES'!$S6</f>
        <v/>
      </c>
      <c r="BK6">
        <f>IF(AND(NOT('DADOS_APTIDOES'!$AA6),IF(DADOS_AM!$A$2=4,'DADOS_APTIDOES'!$N6="Bênção",AND(NOT('DADOS_APTIDOES'!$N6="Bênção"),NOT(AND(DADOS_AM!$A$2=3,'DADOS_APTIDOES'!$Y6))))),'DADOS_APTIDOES'!$O6,"")</f>
        <v/>
      </c>
      <c r="BL6">
        <f>N('DADOS_APTIDOES'!$N6="Bênção")</f>
        <v/>
      </c>
      <c r="BM6">
        <f>N('DADOS_APTIDOES'!$Y6)</f>
        <v/>
      </c>
      <c r="BN6">
        <f>IF('DADOS_APTIDOES'!$W6="Gratuita",1,0)</f>
        <v/>
      </c>
      <c r="BO6" t="inlineStr">
        <is>
          <t>Você melhora o uso de Energia Reversa e aprende a reconstruir partes perdidas do corpo.</t>
        </is>
      </c>
      <c r="BQ6" t="inlineStr">
        <is>
          <t>Energia Reversa</t>
        </is>
      </c>
      <c r="BS6" t="n">
        <v>5</v>
      </c>
      <c r="BT6" t="n">
        <v>5</v>
      </c>
    </row>
    <row r="7">
      <c r="A7">
        <f>IF(ISBLANK('CONFIGURAÇÃO'!$FY$68),"",'CONFIGURAÇÃO'!$FY$68)</f>
        <v/>
      </c>
      <c r="B7">
        <f>IF(ISBLANK('CONFIGURAÇÃO'!$FY$70),"",'CONFIGURAÇÃO'!$FY$70)</f>
        <v/>
      </c>
      <c r="C7">
        <f>IF(ISBLANK('CONFIGURAÇÃO'!$GB$71),"",'CONFIGURAÇÃO'!$GB$71)</f>
        <v/>
      </c>
      <c r="D7">
        <f>IF(ISBLANK('CONFIGURAÇÃO'!$GC$68),"",'CONFIGURAÇÃO'!$GC$68)</f>
        <v/>
      </c>
      <c r="E7">
        <f>IF(ISBLANK('CONFIGURAÇÃO'!$FY$78),"",'CONFIGURAÇÃO'!$FY$78)</f>
        <v/>
      </c>
      <c r="F7">
        <f>IF(ISBLANK('CONFIGURAÇÃO'!$FY$84),"",'CONFIGURAÇÃO'!$FY$84)</f>
        <v/>
      </c>
      <c r="G7">
        <f>IF(ISBLANK('CONFIGURAÇÃO'!$GB$72),"",'CONFIGURAÇÃO'!$GB$72)</f>
        <v/>
      </c>
      <c r="H7">
        <f>IF(ISBLANK('CONFIGURAÇÃO'!$GB$73),"",'CONFIGURAÇÃO'!$GB$73)</f>
        <v/>
      </c>
      <c r="I7">
        <f>IF(ISBLANK('CONFIGURAÇÃO'!$GB$74),"",'CONFIGURAÇÃO'!$GB$74)</f>
        <v/>
      </c>
      <c r="J7">
        <f>IF(ISBLANK('CONFIGURAÇÃO'!$GB$75),"",'CONFIGURAÇÃO'!$GB$75)</f>
        <v/>
      </c>
      <c r="K7">
        <f>IF($M7,TEXTJOIN(" · ",TRUE,$AS7:$BD7),"")</f>
        <v/>
      </c>
      <c r="L7">
        <f>IF(OR($C7="",$C7="Nenhuma"),0,IFERROR(MATCH(SUBSTITUTE(SUBSTITUTE(SUBSTITUTE($C7,"~","~~"),"*","~*"),"?","~?"),'DADOS_APTIDOES'!$O$2:$O$35,0),-1))</f>
        <v/>
      </c>
      <c r="M7">
        <f>OR($B7&lt;&gt;"",$C7&lt;&gt;"",$E7&lt;&gt;"",$F7&lt;&gt;"",$G7&lt;&gt;"",$H7&lt;&gt;"",$I7&lt;&gt;"",$J7&lt;&gt;"",AND($D7&lt;&gt;"",$D7&lt;&gt;FALSE),AND($A7&lt;&gt;"",$A7&lt;&gt;"Aptidão",$A7&lt;&gt;"Bênção"))</f>
        <v/>
      </c>
      <c r="N7" t="inlineStr">
        <is>
          <t>Aptidão</t>
        </is>
      </c>
      <c r="O7" t="inlineStr">
        <is>
          <t>Regravação</t>
        </is>
      </c>
      <c r="P7">
        <f>""</f>
        <v/>
      </c>
      <c r="Q7" t="b">
        <v>0</v>
      </c>
      <c r="R7" t="inlineStr">
        <is>
          <t>Circulação</t>
        </is>
      </c>
      <c r="S7" t="inlineStr">
        <is>
          <t>Você pode encerrar o Rescaldo de sua técnica antes do fim da cena, mas usos repetidos impedem novas Expansões de Domínio naquele dia. Ação Bônus, durante seu Rescaldo. Gaste o limite inteiro de PE de sua Energia Reversa, considerando Circulação. O Rescaldo termina e sua técnica volta a responder. Esse uso não cura vida nem recompõe outra parte do corpo. Cada uso acrescenta uma marca de Regravação. As marcas desaparecem no descanso longo. Seu limite é: Metade de Inteligência + metade da maestria, arredondando cada metade para baixo separadamente. Ao alcançar ou ultrapassar esse limite, você não pode abrir uma Expansão de Domínio enquanto as marcas permanecerem. O uso que alcançou o limite ainda encerra o Rescaldo normalmente. Esperar o Rescaldo terminar normalmente não acrescenta marcas e não apaga as existentes. Regravar também não devolve PE, ações ou recursos gastos para abrir a Expansão anterior.</t>
        </is>
      </c>
      <c r="T7" t="n">
        <v>3</v>
      </c>
      <c r="U7" t="n">
        <v>1</v>
      </c>
      <c r="V7" t="n">
        <v>1</v>
      </c>
      <c r="W7" t="inlineStr">
        <is>
          <t>Consome uma escolha</t>
        </is>
      </c>
      <c r="X7" t="inlineStr">
        <is>
          <t>Regravação</t>
        </is>
      </c>
      <c r="Y7" t="b">
        <v>0</v>
      </c>
      <c r="Z7" t="inlineStr">
        <is>
          <t>—</t>
        </is>
      </c>
      <c r="AA7" t="b">
        <v>0</v>
      </c>
      <c r="AD7">
        <f>IF($A7="",IF($L7&gt;0,INDEX('DADOS_APTIDOES'!$N$2:$N$35,MAX(1,$L7)),""),$A7)</f>
        <v/>
      </c>
      <c r="AE7">
        <f>IF($B7="",IF($L7&gt;0,INDEX('DADOS_APTIDOES'!$O$2:$O$35,MAX(1,$L7)),""),$B7)</f>
        <v/>
      </c>
      <c r="AF7">
        <f>IF($C7="",IF($L7&gt;0,INDEX('DADOS_APTIDOES'!$P$2:$P$35,MAX(1,$L7)),""),$C7)</f>
        <v/>
      </c>
      <c r="AG7">
        <f>IF($D7="",IF($L7&gt;0,INDEX('DADOS_APTIDOES'!$Q$2:$Q$35,MAX(1,$L7)),FALSE),$D7)</f>
        <v/>
      </c>
      <c r="AH7">
        <f>IF($E7="",IF($L7&gt;0,INDEX('DADOS_APTIDOES'!$R$2:$R$35,MAX(1,$L7)),""),$E7)</f>
        <v/>
      </c>
      <c r="AI7">
        <f>IF($F7="",IF($L7&gt;0,INDEX('DADOS_APTIDOES'!$S$2:$S$35,MAX(1,$L7)),""),$F7)</f>
        <v/>
      </c>
      <c r="AJ7">
        <f>IF($G7="",IF($L7&gt;0,INDEX('DADOS_APTIDOES'!$T$2:$T$35,MAX(1,$L7)),"—"),$G7)</f>
        <v/>
      </c>
      <c r="AK7">
        <f>IF($H7="",IF($L7&gt;0,INDEX('DADOS_APTIDOES'!$U$2:$U$35,MAX(1,$L7)),1),$H7)</f>
        <v/>
      </c>
      <c r="AL7">
        <f>IF($I7="",IF($L7&gt;0,INDEX('DADOS_APTIDOES'!$V$2:$V$35,MAX(1,$L7)),1),$I7)</f>
        <v/>
      </c>
      <c r="AM7">
        <f>IF($J7="",IF($L7&gt;0,INDEX('DADOS_APTIDOES'!$W$2:$W$35,MAX(1,$L7)),"Consome uma escolha"),$J7)</f>
        <v/>
      </c>
      <c r="AN7">
        <f>IF($L7&gt;0,INDEX('DADOS_APTIDOES'!$X$2:$X$35,MAX(1,$L7)),"")</f>
        <v/>
      </c>
      <c r="AO7">
        <f>IF($L7&gt;0,INDEX('DADOS_APTIDOES'!$Y$2:$Y$35,MAX(1,$L7)),0)</f>
        <v/>
      </c>
      <c r="AP7">
        <f>IF($L7&gt;0,INDEX('DADOS_APTIDOES'!$Z$2:$Z$35,MAX(1,$L7)),"")</f>
        <v/>
      </c>
      <c r="AQ7">
        <f>FALSE</f>
        <v/>
      </c>
      <c r="AS7">
        <f>IF(AND(ISTEXT($B7),$B7&lt;&gt;"",TRIM($B7)=$B7),"","NOME precisa ser texto sem espaços nas pontas")</f>
        <v/>
      </c>
      <c r="AT7">
        <f>IF(COUNTIF('DADOS_APTIDOES'!$B$2:$B$11,SUBSTITUTE(SUBSTITUTE(SUBSTITUTE($B7,"~","~~"),"*","~*"),"?","~?"))+COUNTIF('DADOS_APTIDOES'!$O$2:$O$35,SUBSTITUTE(SUBSTITUTE(SUBSTITUTE($B7,"~","~~"),"*","~*"),"?","~?"))=1,"","Nome repetido no livro ou custom")</f>
        <v/>
      </c>
      <c r="AU7">
        <f>IF($L7&gt;=0,"","BASE DO LIVRO inválida para o grupo")</f>
        <v/>
      </c>
      <c r="AV7">
        <f>IF(OR($AD7="Aptidão",$AD7="Bênção"),"","TIPO inválido para o grupo")</f>
        <v/>
      </c>
      <c r="AW7">
        <f>IF(ISLOGICAL($AG7),"","MESTRE VIU precisa ser caixa de seleção")</f>
        <v/>
      </c>
      <c r="AX7">
        <f>IF(ISTEXT($AI7),"","EFEITO precisa ser texto")</f>
        <v/>
      </c>
      <c r="AY7">
        <f>IF(ISTEXT($AH7),"","REQUISITOS precisa ser texto")</f>
        <v/>
      </c>
      <c r="AZ7">
        <f>IF(OR($AJ7="—",IFERROR(AND(ISNUMBER($AJ7),NOT(ISLOGICAL($AJ7)),$AJ7=INT($AJ7),$AJ7&gt;=1,$AJ7&lt;=3),FALSE)),"","CE inválida")</f>
        <v/>
      </c>
      <c r="BA7">
        <f>IF(OR($L7&lt;=0,$AD7=INDEX('DADOS_APTIDOES'!$N$2:$N$35,MAX(1,$L7))),"","TIPO deve preservar a rota da base")</f>
        <v/>
      </c>
      <c r="BB7">
        <f>IF(IFERROR(AND(ISNUMBER($AK7),NOT(ISLOGICAL($AK7)),$AK7=INT($AK7),$AK7&gt;=1,$AK7&lt;=30),FALSE),"","nivel_minimo fora do limite")</f>
        <v/>
      </c>
      <c r="BC7">
        <f>IF(IFERROR(AND(ISNUMBER($AL7),NOT(ISLOGICAL($AL7)),$AL7=INT($AL7),$AL7&gt;=1,$AL7&lt;=10),FALSE),"","refino_minimo fora do limite")</f>
        <v/>
      </c>
      <c r="BD7">
        <f>IF(OR($AM7="Gratuita",$AM7="Consome uma escolha"),"","ESCOLHA inválida")</f>
        <v/>
      </c>
      <c r="BF7">
        <f>'DADOS_APTIDOES'!$O7</f>
        <v/>
      </c>
      <c r="BG7">
        <f>'DADOS_APTIDOES'!$R7</f>
        <v/>
      </c>
      <c r="BH7">
        <f>'DADOS_APTIDOES'!$T7</f>
        <v/>
      </c>
      <c r="BI7">
        <f>'DADOS_APTIDOES'!$Z7</f>
        <v/>
      </c>
      <c r="BJ7">
        <f>'DADOS_APTIDOES'!$S7</f>
        <v/>
      </c>
      <c r="BK7">
        <f>IF(AND(NOT('DADOS_APTIDOES'!$AA7),IF(DADOS_AM!$A$2=4,'DADOS_APTIDOES'!$N7="Bênção",AND(NOT('DADOS_APTIDOES'!$N7="Bênção"),NOT(AND(DADOS_AM!$A$2=3,'DADOS_APTIDOES'!$Y7))))),'DADOS_APTIDOES'!$O7,"")</f>
        <v/>
      </c>
      <c r="BL7">
        <f>N('DADOS_APTIDOES'!$N7="Bênção")</f>
        <v/>
      </c>
      <c r="BM7">
        <f>N('DADOS_APTIDOES'!$Y7)</f>
        <v/>
      </c>
      <c r="BN7">
        <f>IF('DADOS_APTIDOES'!$W7="Gratuita",1,0)</f>
        <v/>
      </c>
      <c r="BO7" t="inlineStr">
        <is>
          <t>Você pode encerrar o Rescaldo de sua técnica antes do fim da cena, mas usos repetidos impedem novas Expansões de Domínio naquele dia.</t>
        </is>
      </c>
      <c r="BQ7" t="inlineStr">
        <is>
          <t>Circulação</t>
        </is>
      </c>
      <c r="BS7" t="n">
        <v>6</v>
      </c>
      <c r="BT7" t="n">
        <v>6</v>
      </c>
    </row>
    <row r="8">
      <c r="A8">
        <f>IF(ISBLANK('CONFIGURAÇÃO'!$FQ$95),"",'CONFIGURAÇÃO'!$FQ$95)</f>
        <v/>
      </c>
      <c r="B8">
        <f>IF(ISBLANK('CONFIGURAÇÃO'!$FQ$97),"",'CONFIGURAÇÃO'!$FQ$97)</f>
        <v/>
      </c>
      <c r="C8">
        <f>IF(ISBLANK('CONFIGURAÇÃO'!$FT$98),"",'CONFIGURAÇÃO'!$FT$98)</f>
        <v/>
      </c>
      <c r="D8">
        <f>IF(ISBLANK('CONFIGURAÇÃO'!$FU$95),"",'CONFIGURAÇÃO'!$FU$95)</f>
        <v/>
      </c>
      <c r="E8">
        <f>IF(ISBLANK('CONFIGURAÇÃO'!$FQ$105),"",'CONFIGURAÇÃO'!$FQ$105)</f>
        <v/>
      </c>
      <c r="F8">
        <f>IF(ISBLANK('CONFIGURAÇÃO'!$FQ$111),"",'CONFIGURAÇÃO'!$FQ$111)</f>
        <v/>
      </c>
      <c r="G8">
        <f>IF(ISBLANK('CONFIGURAÇÃO'!$FT$99),"",'CONFIGURAÇÃO'!$FT$99)</f>
        <v/>
      </c>
      <c r="H8">
        <f>IF(ISBLANK('CONFIGURAÇÃO'!$FT$100),"",'CONFIGURAÇÃO'!$FT$100)</f>
        <v/>
      </c>
      <c r="I8">
        <f>IF(ISBLANK('CONFIGURAÇÃO'!$FT$101),"",'CONFIGURAÇÃO'!$FT$101)</f>
        <v/>
      </c>
      <c r="J8">
        <f>IF(ISBLANK('CONFIGURAÇÃO'!$FT$102),"",'CONFIGURAÇÃO'!$FT$102)</f>
        <v/>
      </c>
      <c r="K8">
        <f>IF($M8,TEXTJOIN(" · ",TRUE,$AS8:$BD8),"")</f>
        <v/>
      </c>
      <c r="L8">
        <f>IF(OR($C8="",$C8="Nenhuma"),0,IFERROR(MATCH(SUBSTITUTE(SUBSTITUTE(SUBSTITUTE($C8,"~","~~"),"*","~*"),"?","~?"),'DADOS_APTIDOES'!$O$2:$O$35,0),-1))</f>
        <v/>
      </c>
      <c r="M8">
        <f>OR($B8&lt;&gt;"",$C8&lt;&gt;"",$E8&lt;&gt;"",$F8&lt;&gt;"",$G8&lt;&gt;"",$H8&lt;&gt;"",$I8&lt;&gt;"",$J8&lt;&gt;"",AND($D8&lt;&gt;"",$D8&lt;&gt;FALSE),AND($A8&lt;&gt;"",$A8&lt;&gt;"Aptidão",$A8&lt;&gt;"Bênção"))</f>
        <v/>
      </c>
      <c r="N8" t="inlineStr">
        <is>
          <t>Aptidão</t>
        </is>
      </c>
      <c r="O8" t="inlineStr">
        <is>
          <t>Kokusen Melhorado</t>
        </is>
      </c>
      <c r="P8">
        <f>""</f>
        <v/>
      </c>
      <c r="Q8" t="b">
        <v>0</v>
      </c>
      <c r="R8" t="inlineStr">
        <is>
          <t>Refino 5 e nível 14</t>
        </is>
      </c>
      <c r="S8" t="inlineStr">
        <is>
          <t>Em cada teste de Kokusen, role dois d100 e use o menor. Se os dois resultados falharem, acrescente +2 ao bônus acumulado uma vez, não duas.</t>
        </is>
      </c>
      <c r="T8" t="inlineStr">
        <is>
          <t>—</t>
        </is>
      </c>
      <c r="U8" t="n">
        <v>14</v>
      </c>
      <c r="V8" t="n">
        <v>5</v>
      </c>
      <c r="W8" t="inlineStr">
        <is>
          <t>Consome uma escolha</t>
        </is>
      </c>
      <c r="X8" t="inlineStr">
        <is>
          <t>Kokusen Melhorado</t>
        </is>
      </c>
      <c r="Y8" t="b">
        <v>0</v>
      </c>
      <c r="Z8" t="inlineStr">
        <is>
          <t>—</t>
        </is>
      </c>
      <c r="AA8" t="b">
        <v>0</v>
      </c>
      <c r="AD8">
        <f>IF($A8="",IF($L8&gt;0,INDEX('DADOS_APTIDOES'!$N$2:$N$35,MAX(1,$L8)),""),$A8)</f>
        <v/>
      </c>
      <c r="AE8">
        <f>IF($B8="",IF($L8&gt;0,INDEX('DADOS_APTIDOES'!$O$2:$O$35,MAX(1,$L8)),""),$B8)</f>
        <v/>
      </c>
      <c r="AF8">
        <f>IF($C8="",IF($L8&gt;0,INDEX('DADOS_APTIDOES'!$P$2:$P$35,MAX(1,$L8)),""),$C8)</f>
        <v/>
      </c>
      <c r="AG8">
        <f>IF($D8="",IF($L8&gt;0,INDEX('DADOS_APTIDOES'!$Q$2:$Q$35,MAX(1,$L8)),FALSE),$D8)</f>
        <v/>
      </c>
      <c r="AH8">
        <f>IF($E8="",IF($L8&gt;0,INDEX('DADOS_APTIDOES'!$R$2:$R$35,MAX(1,$L8)),""),$E8)</f>
        <v/>
      </c>
      <c r="AI8">
        <f>IF($F8="",IF($L8&gt;0,INDEX('DADOS_APTIDOES'!$S$2:$S$35,MAX(1,$L8)),""),$F8)</f>
        <v/>
      </c>
      <c r="AJ8">
        <f>IF($G8="",IF($L8&gt;0,INDEX('DADOS_APTIDOES'!$T$2:$T$35,MAX(1,$L8)),"—"),$G8)</f>
        <v/>
      </c>
      <c r="AK8">
        <f>IF($H8="",IF($L8&gt;0,INDEX('DADOS_APTIDOES'!$U$2:$U$35,MAX(1,$L8)),1),$H8)</f>
        <v/>
      </c>
      <c r="AL8">
        <f>IF($I8="",IF($L8&gt;0,INDEX('DADOS_APTIDOES'!$V$2:$V$35,MAX(1,$L8)),1),$I8)</f>
        <v/>
      </c>
      <c r="AM8">
        <f>IF($J8="",IF($L8&gt;0,INDEX('DADOS_APTIDOES'!$W$2:$W$35,MAX(1,$L8)),"Consome uma escolha"),$J8)</f>
        <v/>
      </c>
      <c r="AN8">
        <f>IF($L8&gt;0,INDEX('DADOS_APTIDOES'!$X$2:$X$35,MAX(1,$L8)),"")</f>
        <v/>
      </c>
      <c r="AO8">
        <f>IF($L8&gt;0,INDEX('DADOS_APTIDOES'!$Y$2:$Y$35,MAX(1,$L8)),0)</f>
        <v/>
      </c>
      <c r="AP8">
        <f>IF($L8&gt;0,INDEX('DADOS_APTIDOES'!$Z$2:$Z$35,MAX(1,$L8)),"")</f>
        <v/>
      </c>
      <c r="AQ8">
        <f>FALSE</f>
        <v/>
      </c>
      <c r="AS8">
        <f>IF(AND(ISTEXT($B8),$B8&lt;&gt;"",TRIM($B8)=$B8),"","NOME precisa ser texto sem espaços nas pontas")</f>
        <v/>
      </c>
      <c r="AT8">
        <f>IF(COUNTIF('DADOS_APTIDOES'!$B$2:$B$11,SUBSTITUTE(SUBSTITUTE(SUBSTITUTE($B8,"~","~~"),"*","~*"),"?","~?"))+COUNTIF('DADOS_APTIDOES'!$O$2:$O$35,SUBSTITUTE(SUBSTITUTE(SUBSTITUTE($B8,"~","~~"),"*","~*"),"?","~?"))=1,"","Nome repetido no livro ou custom")</f>
        <v/>
      </c>
      <c r="AU8">
        <f>IF($L8&gt;=0,"","BASE DO LIVRO inválida para o grupo")</f>
        <v/>
      </c>
      <c r="AV8">
        <f>IF(OR($AD8="Aptidão",$AD8="Bênção"),"","TIPO inválido para o grupo")</f>
        <v/>
      </c>
      <c r="AW8">
        <f>IF(ISLOGICAL($AG8),"","MESTRE VIU precisa ser caixa de seleção")</f>
        <v/>
      </c>
      <c r="AX8">
        <f>IF(ISTEXT($AI8),"","EFEITO precisa ser texto")</f>
        <v/>
      </c>
      <c r="AY8">
        <f>IF(ISTEXT($AH8),"","REQUISITOS precisa ser texto")</f>
        <v/>
      </c>
      <c r="AZ8">
        <f>IF(OR($AJ8="—",IFERROR(AND(ISNUMBER($AJ8),NOT(ISLOGICAL($AJ8)),$AJ8=INT($AJ8),$AJ8&gt;=1,$AJ8&lt;=3),FALSE)),"","CE inválida")</f>
        <v/>
      </c>
      <c r="BA8">
        <f>IF(OR($L8&lt;=0,$AD8=INDEX('DADOS_APTIDOES'!$N$2:$N$35,MAX(1,$L8))),"","TIPO deve preservar a rota da base")</f>
        <v/>
      </c>
      <c r="BB8">
        <f>IF(IFERROR(AND(ISNUMBER($AK8),NOT(ISLOGICAL($AK8)),$AK8=INT($AK8),$AK8&gt;=1,$AK8&lt;=30),FALSE),"","nivel_minimo fora do limite")</f>
        <v/>
      </c>
      <c r="BC8">
        <f>IF(IFERROR(AND(ISNUMBER($AL8),NOT(ISLOGICAL($AL8)),$AL8=INT($AL8),$AL8&gt;=1,$AL8&lt;=10),FALSE),"","refino_minimo fora do limite")</f>
        <v/>
      </c>
      <c r="BD8">
        <f>IF(OR($AM8="Gratuita",$AM8="Consome uma escolha"),"","ESCOLHA inválida")</f>
        <v/>
      </c>
      <c r="BF8">
        <f>'DADOS_APTIDOES'!$O8</f>
        <v/>
      </c>
      <c r="BG8">
        <f>'DADOS_APTIDOES'!$R8</f>
        <v/>
      </c>
      <c r="BH8">
        <f>'DADOS_APTIDOES'!$T8</f>
        <v/>
      </c>
      <c r="BI8">
        <f>'DADOS_APTIDOES'!$Z8</f>
        <v/>
      </c>
      <c r="BJ8">
        <f>'DADOS_APTIDOES'!$S8</f>
        <v/>
      </c>
      <c r="BK8">
        <f>IF(AND(NOT('DADOS_APTIDOES'!$AA8),IF(DADOS_AM!$A$2=4,'DADOS_APTIDOES'!$N8="Bênção",AND(NOT('DADOS_APTIDOES'!$N8="Bênção"),NOT(AND(DADOS_AM!$A$2=3,'DADOS_APTIDOES'!$Y8))))),'DADOS_APTIDOES'!$O8,"")</f>
        <v/>
      </c>
      <c r="BL8">
        <f>N('DADOS_APTIDOES'!$N8="Bênção")</f>
        <v/>
      </c>
      <c r="BM8">
        <f>N('DADOS_APTIDOES'!$Y8)</f>
        <v/>
      </c>
      <c r="BN8">
        <f>IF('DADOS_APTIDOES'!$W8="Gratuita",1,0)</f>
        <v/>
      </c>
      <c r="BO8" t="inlineStr">
        <is>
          <t>Em cada teste de Kokusen, role dois d100 e use o menor. Se os dois resultados falharem, acrescente +2 ao bônus acumulado uma vez, não duas.</t>
        </is>
      </c>
      <c r="BQ8" t="inlineStr">
        <is>
          <t>Regravação</t>
        </is>
      </c>
      <c r="BS8" t="n">
        <v>7</v>
      </c>
      <c r="BT8" t="n">
        <v>7</v>
      </c>
    </row>
    <row r="9">
      <c r="A9">
        <f>IF(ISBLANK('CONFIGURAÇÃO'!$FY$95),"",'CONFIGURAÇÃO'!$FY$95)</f>
        <v/>
      </c>
      <c r="B9">
        <f>IF(ISBLANK('CONFIGURAÇÃO'!$FY$97),"",'CONFIGURAÇÃO'!$FY$97)</f>
        <v/>
      </c>
      <c r="C9">
        <f>IF(ISBLANK('CONFIGURAÇÃO'!$GB$98),"",'CONFIGURAÇÃO'!$GB$98)</f>
        <v/>
      </c>
      <c r="D9">
        <f>IF(ISBLANK('CONFIGURAÇÃO'!$GC$95),"",'CONFIGURAÇÃO'!$GC$95)</f>
        <v/>
      </c>
      <c r="E9">
        <f>IF(ISBLANK('CONFIGURAÇÃO'!$FY$105),"",'CONFIGURAÇÃO'!$FY$105)</f>
        <v/>
      </c>
      <c r="F9">
        <f>IF(ISBLANK('CONFIGURAÇÃO'!$FY$111),"",'CONFIGURAÇÃO'!$FY$111)</f>
        <v/>
      </c>
      <c r="G9">
        <f>IF(ISBLANK('CONFIGURAÇÃO'!$GB$99),"",'CONFIGURAÇÃO'!$GB$99)</f>
        <v/>
      </c>
      <c r="H9">
        <f>IF(ISBLANK('CONFIGURAÇÃO'!$GB$100),"",'CONFIGURAÇÃO'!$GB$100)</f>
        <v/>
      </c>
      <c r="I9">
        <f>IF(ISBLANK('CONFIGURAÇÃO'!$GB$101),"",'CONFIGURAÇÃO'!$GB$101)</f>
        <v/>
      </c>
      <c r="J9">
        <f>IF(ISBLANK('CONFIGURAÇÃO'!$GB$102),"",'CONFIGURAÇÃO'!$GB$102)</f>
        <v/>
      </c>
      <c r="K9">
        <f>IF($M9,TEXTJOIN(" · ",TRUE,$AS9:$BD9),"")</f>
        <v/>
      </c>
      <c r="L9">
        <f>IF(OR($C9="",$C9="Nenhuma"),0,IFERROR(MATCH(SUBSTITUTE(SUBSTITUTE(SUBSTITUTE($C9,"~","~~"),"*","~*"),"?","~?"),'DADOS_APTIDOES'!$O$2:$O$35,0),-1))</f>
        <v/>
      </c>
      <c r="M9">
        <f>OR($B9&lt;&gt;"",$C9&lt;&gt;"",$E9&lt;&gt;"",$F9&lt;&gt;"",$G9&lt;&gt;"",$H9&lt;&gt;"",$I9&lt;&gt;"",$J9&lt;&gt;"",AND($D9&lt;&gt;"",$D9&lt;&gt;FALSE),AND($A9&lt;&gt;"",$A9&lt;&gt;"Aptidão",$A9&lt;&gt;"Bênção"))</f>
        <v/>
      </c>
      <c r="N9" t="inlineStr">
        <is>
          <t>Aptidão</t>
        </is>
      </c>
      <c r="O9" t="inlineStr">
        <is>
          <t>Kokusen Constante</t>
        </is>
      </c>
      <c r="P9">
        <f>""</f>
        <v/>
      </c>
      <c r="Q9" t="b">
        <v>0</v>
      </c>
      <c r="R9" t="inlineStr">
        <is>
          <t>Refino 5</t>
        </is>
      </c>
      <c r="S9" t="inlineStr">
        <is>
          <t>O limite básico do teste passa a ser 3 × Refino, antes do bônus por tentativas falhadas. As duas melhorias funcionam juntas. Com Refino 10 e sem bônus acumulado, o limite normal é 20. Constante o leva a 30. Com Melhorado também, basta um dos dois d100 resultar em 30 ou menos.</t>
        </is>
      </c>
      <c r="T9" t="inlineStr">
        <is>
          <t>—</t>
        </is>
      </c>
      <c r="U9" t="n">
        <v>1</v>
      </c>
      <c r="V9" t="n">
        <v>5</v>
      </c>
      <c r="W9" t="inlineStr">
        <is>
          <t>Consome uma escolha</t>
        </is>
      </c>
      <c r="X9" t="inlineStr">
        <is>
          <t>Kokusen Constante</t>
        </is>
      </c>
      <c r="Y9" t="b">
        <v>0</v>
      </c>
      <c r="Z9" t="inlineStr">
        <is>
          <t>—</t>
        </is>
      </c>
      <c r="AA9" t="b">
        <v>0</v>
      </c>
      <c r="AD9">
        <f>IF($A9="",IF($L9&gt;0,INDEX('DADOS_APTIDOES'!$N$2:$N$35,MAX(1,$L9)),""),$A9)</f>
        <v/>
      </c>
      <c r="AE9">
        <f>IF($B9="",IF($L9&gt;0,INDEX('DADOS_APTIDOES'!$O$2:$O$35,MAX(1,$L9)),""),$B9)</f>
        <v/>
      </c>
      <c r="AF9">
        <f>IF($C9="",IF($L9&gt;0,INDEX('DADOS_APTIDOES'!$P$2:$P$35,MAX(1,$L9)),""),$C9)</f>
        <v/>
      </c>
      <c r="AG9">
        <f>IF($D9="",IF($L9&gt;0,INDEX('DADOS_APTIDOES'!$Q$2:$Q$35,MAX(1,$L9)),FALSE),$D9)</f>
        <v/>
      </c>
      <c r="AH9">
        <f>IF($E9="",IF($L9&gt;0,INDEX('DADOS_APTIDOES'!$R$2:$R$35,MAX(1,$L9)),""),$E9)</f>
        <v/>
      </c>
      <c r="AI9">
        <f>IF($F9="",IF($L9&gt;0,INDEX('DADOS_APTIDOES'!$S$2:$S$35,MAX(1,$L9)),""),$F9)</f>
        <v/>
      </c>
      <c r="AJ9">
        <f>IF($G9="",IF($L9&gt;0,INDEX('DADOS_APTIDOES'!$T$2:$T$35,MAX(1,$L9)),"—"),$G9)</f>
        <v/>
      </c>
      <c r="AK9">
        <f>IF($H9="",IF($L9&gt;0,INDEX('DADOS_APTIDOES'!$U$2:$U$35,MAX(1,$L9)),1),$H9)</f>
        <v/>
      </c>
      <c r="AL9">
        <f>IF($I9="",IF($L9&gt;0,INDEX('DADOS_APTIDOES'!$V$2:$V$35,MAX(1,$L9)),1),$I9)</f>
        <v/>
      </c>
      <c r="AM9">
        <f>IF($J9="",IF($L9&gt;0,INDEX('DADOS_APTIDOES'!$W$2:$W$35,MAX(1,$L9)),"Consome uma escolha"),$J9)</f>
        <v/>
      </c>
      <c r="AN9">
        <f>IF($L9&gt;0,INDEX('DADOS_APTIDOES'!$X$2:$X$35,MAX(1,$L9)),"")</f>
        <v/>
      </c>
      <c r="AO9">
        <f>IF($L9&gt;0,INDEX('DADOS_APTIDOES'!$Y$2:$Y$35,MAX(1,$L9)),0)</f>
        <v/>
      </c>
      <c r="AP9">
        <f>IF($L9&gt;0,INDEX('DADOS_APTIDOES'!$Z$2:$Z$35,MAX(1,$L9)),"")</f>
        <v/>
      </c>
      <c r="AQ9">
        <f>FALSE</f>
        <v/>
      </c>
      <c r="AS9">
        <f>IF(AND(ISTEXT($B9),$B9&lt;&gt;"",TRIM($B9)=$B9),"","NOME precisa ser texto sem espaços nas pontas")</f>
        <v/>
      </c>
      <c r="AT9">
        <f>IF(COUNTIF('DADOS_APTIDOES'!$B$2:$B$11,SUBSTITUTE(SUBSTITUTE(SUBSTITUTE($B9,"~","~~"),"*","~*"),"?","~?"))+COUNTIF('DADOS_APTIDOES'!$O$2:$O$35,SUBSTITUTE(SUBSTITUTE(SUBSTITUTE($B9,"~","~~"),"*","~*"),"?","~?"))=1,"","Nome repetido no livro ou custom")</f>
        <v/>
      </c>
      <c r="AU9">
        <f>IF($L9&gt;=0,"","BASE DO LIVRO inválida para o grupo")</f>
        <v/>
      </c>
      <c r="AV9">
        <f>IF(OR($AD9="Aptidão",$AD9="Bênção"),"","TIPO inválido para o grupo")</f>
        <v/>
      </c>
      <c r="AW9">
        <f>IF(ISLOGICAL($AG9),"","MESTRE VIU precisa ser caixa de seleção")</f>
        <v/>
      </c>
      <c r="AX9">
        <f>IF(ISTEXT($AI9),"","EFEITO precisa ser texto")</f>
        <v/>
      </c>
      <c r="AY9">
        <f>IF(ISTEXT($AH9),"","REQUISITOS precisa ser texto")</f>
        <v/>
      </c>
      <c r="AZ9">
        <f>IF(OR($AJ9="—",IFERROR(AND(ISNUMBER($AJ9),NOT(ISLOGICAL($AJ9)),$AJ9=INT($AJ9),$AJ9&gt;=1,$AJ9&lt;=3),FALSE)),"","CE inválida")</f>
        <v/>
      </c>
      <c r="BA9">
        <f>IF(OR($L9&lt;=0,$AD9=INDEX('DADOS_APTIDOES'!$N$2:$N$35,MAX(1,$L9))),"","TIPO deve preservar a rota da base")</f>
        <v/>
      </c>
      <c r="BB9">
        <f>IF(IFERROR(AND(ISNUMBER($AK9),NOT(ISLOGICAL($AK9)),$AK9=INT($AK9),$AK9&gt;=1,$AK9&lt;=30),FALSE),"","nivel_minimo fora do limite")</f>
        <v/>
      </c>
      <c r="BC9">
        <f>IF(IFERROR(AND(ISNUMBER($AL9),NOT(ISLOGICAL($AL9)),$AL9=INT($AL9),$AL9&gt;=1,$AL9&lt;=10),FALSE),"","refino_minimo fora do limite")</f>
        <v/>
      </c>
      <c r="BD9">
        <f>IF(OR($AM9="Gratuita",$AM9="Consome uma escolha"),"","ESCOLHA inválida")</f>
        <v/>
      </c>
      <c r="BF9">
        <f>'DADOS_APTIDOES'!$O9</f>
        <v/>
      </c>
      <c r="BG9">
        <f>'DADOS_APTIDOES'!$R9</f>
        <v/>
      </c>
      <c r="BH9">
        <f>'DADOS_APTIDOES'!$T9</f>
        <v/>
      </c>
      <c r="BI9">
        <f>'DADOS_APTIDOES'!$Z9</f>
        <v/>
      </c>
      <c r="BJ9">
        <f>'DADOS_APTIDOES'!$S9</f>
        <v/>
      </c>
      <c r="BK9">
        <f>IF(AND(NOT('DADOS_APTIDOES'!$AA9),IF(DADOS_AM!$A$2=4,'DADOS_APTIDOES'!$N9="Bênção",AND(NOT('DADOS_APTIDOES'!$N9="Bênção"),NOT(AND(DADOS_AM!$A$2=3,'DADOS_APTIDOES'!$Y9))))),'DADOS_APTIDOES'!$O9,"")</f>
        <v/>
      </c>
      <c r="BL9">
        <f>N('DADOS_APTIDOES'!$N9="Bênção")</f>
        <v/>
      </c>
      <c r="BM9">
        <f>N('DADOS_APTIDOES'!$Y9)</f>
        <v/>
      </c>
      <c r="BN9">
        <f>IF('DADOS_APTIDOES'!$W9="Gratuita",1,0)</f>
        <v/>
      </c>
      <c r="BO9" t="inlineStr">
        <is>
          <t>O limite básico do teste passa a ser 3 × Refino, antes do bônus por tentativas falhadas. As duas melhorias funcionam juntas. Com Refino 10 e sem bônus acumulado, o limite normal é 20. Constante o leva a 30. Com Melhorado também, basta um dos dois d100 resultar em 30 ou menos.</t>
        </is>
      </c>
      <c r="BQ9" t="inlineStr">
        <is>
          <t>Kokusen Melhorado</t>
        </is>
      </c>
      <c r="BS9" t="n">
        <v>8</v>
      </c>
      <c r="BT9" t="n">
        <v>8</v>
      </c>
    </row>
    <row r="10">
      <c r="A10">
        <f>IF(ISBLANK('CONFIGURAÇÃO'!$FQ$122),"",'CONFIGURAÇÃO'!$FQ$122)</f>
        <v/>
      </c>
      <c r="B10">
        <f>IF(ISBLANK('CONFIGURAÇÃO'!$FQ$124),"",'CONFIGURAÇÃO'!$FQ$124)</f>
        <v/>
      </c>
      <c r="C10">
        <f>IF(ISBLANK('CONFIGURAÇÃO'!$FT$125),"",'CONFIGURAÇÃO'!$FT$125)</f>
        <v/>
      </c>
      <c r="D10">
        <f>IF(ISBLANK('CONFIGURAÇÃO'!$FU$122),"",'CONFIGURAÇÃO'!$FU$122)</f>
        <v/>
      </c>
      <c r="E10">
        <f>IF(ISBLANK('CONFIGURAÇÃO'!$FQ$132),"",'CONFIGURAÇÃO'!$FQ$132)</f>
        <v/>
      </c>
      <c r="F10">
        <f>IF(ISBLANK('CONFIGURAÇÃO'!$FQ$138),"",'CONFIGURAÇÃO'!$FQ$138)</f>
        <v/>
      </c>
      <c r="G10">
        <f>IF(ISBLANK('CONFIGURAÇÃO'!$FT$126),"",'CONFIGURAÇÃO'!$FT$126)</f>
        <v/>
      </c>
      <c r="H10">
        <f>IF(ISBLANK('CONFIGURAÇÃO'!$FT$127),"",'CONFIGURAÇÃO'!$FT$127)</f>
        <v/>
      </c>
      <c r="I10">
        <f>IF(ISBLANK('CONFIGURAÇÃO'!$FT$128),"",'CONFIGURAÇÃO'!$FT$128)</f>
        <v/>
      </c>
      <c r="J10">
        <f>IF(ISBLANK('CONFIGURAÇÃO'!$FT$129),"",'CONFIGURAÇÃO'!$FT$129)</f>
        <v/>
      </c>
      <c r="K10">
        <f>IF($M10,TEXTJOIN(" · ",TRUE,$AS10:$BD10),"")</f>
        <v/>
      </c>
      <c r="L10">
        <f>IF(OR($C10="",$C10="Nenhuma"),0,IFERROR(MATCH(SUBSTITUTE(SUBSTITUTE(SUBSTITUTE($C10,"~","~~"),"*","~*"),"?","~?"),'DADOS_APTIDOES'!$O$2:$O$35,0),-1))</f>
        <v/>
      </c>
      <c r="M10">
        <f>OR($B10&lt;&gt;"",$C10&lt;&gt;"",$E10&lt;&gt;"",$F10&lt;&gt;"",$G10&lt;&gt;"",$H10&lt;&gt;"",$I10&lt;&gt;"",$J10&lt;&gt;"",AND($D10&lt;&gt;"",$D10&lt;&gt;FALSE),AND($A10&lt;&gt;"",$A10&lt;&gt;"Aptidão",$A10&lt;&gt;"Bênção"))</f>
        <v/>
      </c>
      <c r="N10" t="inlineStr">
        <is>
          <t>Aptidão</t>
        </is>
      </c>
      <c r="O10" t="inlineStr">
        <is>
          <t>Cesta Oca de Vime</t>
        </is>
      </c>
      <c r="P10">
        <f>""</f>
        <v/>
      </c>
      <c r="Q10" t="b">
        <v>0</v>
      </c>
      <c r="R10" t="inlineStr">
        <is>
          <t>Ser Encarnado ou treinado em História</t>
        </is>
      </c>
      <c r="S10" t="inlineStr">
        <is>
          <t>Você forma um símbolo com as duas mãos e cria uma barreira em volta de si. Use a ativação de Proteção contra domínios. A Cesta não cobra manutenção. Ela anula o Acerto garantido contra você, mas não o Efeito da Expansão. Enquanto mantém as duas mãos no símbolo, pode agir, mover-se e atacar com partes livres do corpo. Não pode usar essas mãos para empunhar arma ou escudo, agarrar ou realizar um gesto exigido por outra ação. Soltar o símbolo libera suas mãos e não encerra imediatamente a Cesta. Enquanto o símbolo estiver solto, cada Acerto de dano impedido pela Cesta acrescenta uma falha, no máximo uma dessas falhas por rodada. Um Acerto que não causa dano não acrescenta essa falha automática. Retomar o símbolo interrompe esse desgaste, sem apagar as falhas anteriores. Cada golpe que acertar você exige TR Espírito contra a CD de quem o atingiu, mesmo se o dano for reduzido a zero. Uma falha acrescenta uma falha à Cesta. O Acerto já anulado pela própria Cesta não é um golpe recebido para esse teste. Ela cai quando acumula metade de sua Essência em falhas, arredondada para baixo, mínimo 1. O teste é próprio da Cesta: não ocupa Concentração e não recebe a dispensa de Mão Firme.</t>
        </is>
      </c>
      <c r="T10" t="n">
        <v>1</v>
      </c>
      <c r="U10" t="n">
        <v>1</v>
      </c>
      <c r="V10" t="n">
        <v>1</v>
      </c>
      <c r="W10" t="inlineStr">
        <is>
          <t>Consome uma escolha</t>
        </is>
      </c>
      <c r="X10" t="inlineStr">
        <is>
          <t>Cesta Oca de Vime</t>
        </is>
      </c>
      <c r="Y10" t="b">
        <v>0</v>
      </c>
      <c r="Z10" t="inlineStr">
        <is>
          <t>—</t>
        </is>
      </c>
      <c r="AA10" t="b">
        <v>0</v>
      </c>
      <c r="AD10">
        <f>IF($A10="",IF($L10&gt;0,INDEX('DADOS_APTIDOES'!$N$2:$N$35,MAX(1,$L10)),""),$A10)</f>
        <v/>
      </c>
      <c r="AE10">
        <f>IF($B10="",IF($L10&gt;0,INDEX('DADOS_APTIDOES'!$O$2:$O$35,MAX(1,$L10)),""),$B10)</f>
        <v/>
      </c>
      <c r="AF10">
        <f>IF($C10="",IF($L10&gt;0,INDEX('DADOS_APTIDOES'!$P$2:$P$35,MAX(1,$L10)),""),$C10)</f>
        <v/>
      </c>
      <c r="AG10">
        <f>IF($D10="",IF($L10&gt;0,INDEX('DADOS_APTIDOES'!$Q$2:$Q$35,MAX(1,$L10)),FALSE),$D10)</f>
        <v/>
      </c>
      <c r="AH10">
        <f>IF($E10="",IF($L10&gt;0,INDEX('DADOS_APTIDOES'!$R$2:$R$35,MAX(1,$L10)),""),$E10)</f>
        <v/>
      </c>
      <c r="AI10">
        <f>IF($F10="",IF($L10&gt;0,INDEX('DADOS_APTIDOES'!$S$2:$S$35,MAX(1,$L10)),""),$F10)</f>
        <v/>
      </c>
      <c r="AJ10">
        <f>IF($G10="",IF($L10&gt;0,INDEX('DADOS_APTIDOES'!$T$2:$T$35,MAX(1,$L10)),"—"),$G10)</f>
        <v/>
      </c>
      <c r="AK10">
        <f>IF($H10="",IF($L10&gt;0,INDEX('DADOS_APTIDOES'!$U$2:$U$35,MAX(1,$L10)),1),$H10)</f>
        <v/>
      </c>
      <c r="AL10">
        <f>IF($I10="",IF($L10&gt;0,INDEX('DADOS_APTIDOES'!$V$2:$V$35,MAX(1,$L10)),1),$I10)</f>
        <v/>
      </c>
      <c r="AM10">
        <f>IF($J10="",IF($L10&gt;0,INDEX('DADOS_APTIDOES'!$W$2:$W$35,MAX(1,$L10)),"Consome uma escolha"),$J10)</f>
        <v/>
      </c>
      <c r="AN10">
        <f>IF($L10&gt;0,INDEX('DADOS_APTIDOES'!$X$2:$X$35,MAX(1,$L10)),"")</f>
        <v/>
      </c>
      <c r="AO10">
        <f>IF($L10&gt;0,INDEX('DADOS_APTIDOES'!$Y$2:$Y$35,MAX(1,$L10)),0)</f>
        <v/>
      </c>
      <c r="AP10">
        <f>IF($L10&gt;0,INDEX('DADOS_APTIDOES'!$Z$2:$Z$35,MAX(1,$L10)),"")</f>
        <v/>
      </c>
      <c r="AQ10">
        <f>FALSE</f>
        <v/>
      </c>
      <c r="AS10">
        <f>IF(AND(ISTEXT($B10),$B10&lt;&gt;"",TRIM($B10)=$B10),"","NOME precisa ser texto sem espaços nas pontas")</f>
        <v/>
      </c>
      <c r="AT10">
        <f>IF(COUNTIF('DADOS_APTIDOES'!$B$2:$B$11,SUBSTITUTE(SUBSTITUTE(SUBSTITUTE($B10,"~","~~"),"*","~*"),"?","~?"))+COUNTIF('DADOS_APTIDOES'!$O$2:$O$35,SUBSTITUTE(SUBSTITUTE(SUBSTITUTE($B10,"~","~~"),"*","~*"),"?","~?"))=1,"","Nome repetido no livro ou custom")</f>
        <v/>
      </c>
      <c r="AU10">
        <f>IF($L10&gt;=0,"","BASE DO LIVRO inválida para o grupo")</f>
        <v/>
      </c>
      <c r="AV10">
        <f>IF(OR($AD10="Aptidão",$AD10="Bênção"),"","TIPO inválido para o grupo")</f>
        <v/>
      </c>
      <c r="AW10">
        <f>IF(ISLOGICAL($AG10),"","MESTRE VIU precisa ser caixa de seleção")</f>
        <v/>
      </c>
      <c r="AX10">
        <f>IF(ISTEXT($AI10),"","EFEITO precisa ser texto")</f>
        <v/>
      </c>
      <c r="AY10">
        <f>IF(ISTEXT($AH10),"","REQUISITOS precisa ser texto")</f>
        <v/>
      </c>
      <c r="AZ10">
        <f>IF(OR($AJ10="—",IFERROR(AND(ISNUMBER($AJ10),NOT(ISLOGICAL($AJ10)),$AJ10=INT($AJ10),$AJ10&gt;=1,$AJ10&lt;=3),FALSE)),"","CE inválida")</f>
        <v/>
      </c>
      <c r="BA10">
        <f>IF(OR($L10&lt;=0,$AD10=INDEX('DADOS_APTIDOES'!$N$2:$N$35,MAX(1,$L10))),"","TIPO deve preservar a rota da base")</f>
        <v/>
      </c>
      <c r="BB10">
        <f>IF(IFERROR(AND(ISNUMBER($AK10),NOT(ISLOGICAL($AK10)),$AK10=INT($AK10),$AK10&gt;=1,$AK10&lt;=30),FALSE),"","nivel_minimo fora do limite")</f>
        <v/>
      </c>
      <c r="BC10">
        <f>IF(IFERROR(AND(ISNUMBER($AL10),NOT(ISLOGICAL($AL10)),$AL10=INT($AL10),$AL10&gt;=1,$AL10&lt;=10),FALSE),"","refino_minimo fora do limite")</f>
        <v/>
      </c>
      <c r="BD10">
        <f>IF(OR($AM10="Gratuita",$AM10="Consome uma escolha"),"","ESCOLHA inválida")</f>
        <v/>
      </c>
      <c r="BF10">
        <f>'DADOS_APTIDOES'!$O10</f>
        <v/>
      </c>
      <c r="BG10">
        <f>'DADOS_APTIDOES'!$R10</f>
        <v/>
      </c>
      <c r="BH10">
        <f>'DADOS_APTIDOES'!$T10</f>
        <v/>
      </c>
      <c r="BI10">
        <f>'DADOS_APTIDOES'!$Z10</f>
        <v/>
      </c>
      <c r="BJ10">
        <f>'DADOS_APTIDOES'!$S10</f>
        <v/>
      </c>
      <c r="BK10">
        <f>IF(AND(NOT('DADOS_APTIDOES'!$AA10),IF(DADOS_AM!$A$2=4,'DADOS_APTIDOES'!$N10="Bênção",AND(NOT('DADOS_APTIDOES'!$N10="Bênção"),NOT(AND(DADOS_AM!$A$2=3,'DADOS_APTIDOES'!$Y10))))),'DADOS_APTIDOES'!$O10,"")</f>
        <v/>
      </c>
      <c r="BL10">
        <f>N('DADOS_APTIDOES'!$N10="Bênção")</f>
        <v/>
      </c>
      <c r="BM10">
        <f>N('DADOS_APTIDOES'!$Y10)</f>
        <v/>
      </c>
      <c r="BN10">
        <f>IF('DADOS_APTIDOES'!$W10="Gratuita",1,0)</f>
        <v/>
      </c>
      <c r="BO10" t="inlineStr">
        <is>
          <t>Você forma um símbolo com as duas mãos e cria uma barreira em volta de si.</t>
        </is>
      </c>
      <c r="BQ10" t="inlineStr">
        <is>
          <t>Kokusen Constante</t>
        </is>
      </c>
      <c r="BS10" t="n">
        <v>9</v>
      </c>
      <c r="BT10" t="n">
        <v>9</v>
      </c>
    </row>
    <row r="11">
      <c r="A11">
        <f>IF(ISBLANK('CONFIGURAÇÃO'!$FY$122),"",'CONFIGURAÇÃO'!$FY$122)</f>
        <v/>
      </c>
      <c r="B11">
        <f>IF(ISBLANK('CONFIGURAÇÃO'!$FY$124),"",'CONFIGURAÇÃO'!$FY$124)</f>
        <v/>
      </c>
      <c r="C11">
        <f>IF(ISBLANK('CONFIGURAÇÃO'!$GB$125),"",'CONFIGURAÇÃO'!$GB$125)</f>
        <v/>
      </c>
      <c r="D11">
        <f>IF(ISBLANK('CONFIGURAÇÃO'!$GC$122),"",'CONFIGURAÇÃO'!$GC$122)</f>
        <v/>
      </c>
      <c r="E11">
        <f>IF(ISBLANK('CONFIGURAÇÃO'!$FY$132),"",'CONFIGURAÇÃO'!$FY$132)</f>
        <v/>
      </c>
      <c r="F11">
        <f>IF(ISBLANK('CONFIGURAÇÃO'!$FY$138),"",'CONFIGURAÇÃO'!$FY$138)</f>
        <v/>
      </c>
      <c r="G11">
        <f>IF(ISBLANK('CONFIGURAÇÃO'!$GB$126),"",'CONFIGURAÇÃO'!$GB$126)</f>
        <v/>
      </c>
      <c r="H11">
        <f>IF(ISBLANK('CONFIGURAÇÃO'!$GB$127),"",'CONFIGURAÇÃO'!$GB$127)</f>
        <v/>
      </c>
      <c r="I11">
        <f>IF(ISBLANK('CONFIGURAÇÃO'!$GB$128),"",'CONFIGURAÇÃO'!$GB$128)</f>
        <v/>
      </c>
      <c r="J11">
        <f>IF(ISBLANK('CONFIGURAÇÃO'!$GB$129),"",'CONFIGURAÇÃO'!$GB$129)</f>
        <v/>
      </c>
      <c r="K11">
        <f>IF($M11,TEXTJOIN(" · ",TRUE,$AS11:$BD11),"")</f>
        <v/>
      </c>
      <c r="L11">
        <f>IF(OR($C11="",$C11="Nenhuma"),0,IFERROR(MATCH(SUBSTITUTE(SUBSTITUTE(SUBSTITUTE($C11,"~","~~"),"*","~*"),"?","~?"),'DADOS_APTIDOES'!$O$2:$O$35,0),-1))</f>
        <v/>
      </c>
      <c r="M11">
        <f>OR($B11&lt;&gt;"",$C11&lt;&gt;"",$E11&lt;&gt;"",$F11&lt;&gt;"",$G11&lt;&gt;"",$H11&lt;&gt;"",$I11&lt;&gt;"",$J11&lt;&gt;"",AND($D11&lt;&gt;"",$D11&lt;&gt;FALSE),AND($A11&lt;&gt;"",$A11&lt;&gt;"Aptidão",$A11&lt;&gt;"Bênção"))</f>
        <v/>
      </c>
      <c r="N11" t="inlineStr">
        <is>
          <t>Aptidão</t>
        </is>
      </c>
      <c r="O11" t="inlineStr">
        <is>
          <t>Domínio Simples</t>
        </is>
      </c>
      <c r="P11">
        <f>""</f>
        <v/>
      </c>
      <c r="Q11" t="b">
        <v>0</v>
      </c>
      <c r="R11" t="inlineStr">
        <is>
          <t>Refino 5, ou 4 com o voto do iniciante; aprendizado registrado</t>
        </is>
      </c>
      <c r="S11" t="inlineStr">
        <is>
          <t>Você precisa ter visto um Domínio Simples sendo usado ou ter aprendido com alguém. Registre essa origem do aprendizado. Você cria uma área ao seu redor que protege quem estiver nela. Ative conforme Proteção contra domínios e pague 2 PE de manutenção. As faixas inferiores servem a concessões específicas da criação. O raio acompanha você, salvo o voto abaixo. A proteção alcança todas as criaturas dentro dele, sem uma lista escolhida de aliados. Dentro do raio, uma Expansão com Acerto garantido não aplica seu Acerto nem seu Efeito às criaturas ou ao lugar protegido. Os benefícios do dono continuam com ele. Seus ataques e feitiços comuns ainda podem entrar na área, usando suas resoluções normais. Com Refino abaixo de 5, quando uma regra permitir adquirir esta aptidão, o Domínio Simples fica fixo no ponto de ativação. Se seus dois pés saírem desse ponto, por movimento próprio ou imposto, ele termina. Ao chegar a Refino 5, você pode abandonar esse voto. Se terminar pelo voto, por encerramento voluntário, falta de manutenção ou inconsciência enquanto segurava uma Expansão, quem perdeu essa proteção recebe um Acerto adicional imediatamente, além dos Acertos normais que ainda virão. O fim por esgotar a capacidade segue Duração do Domínio Simples.</t>
        </is>
      </c>
      <c r="T11" t="n">
        <v>2</v>
      </c>
      <c r="U11" t="n">
        <v>1</v>
      </c>
      <c r="V11" t="n">
        <v>5</v>
      </c>
      <c r="W11" t="inlineStr">
        <is>
          <t>Consome uma escolha</t>
        </is>
      </c>
      <c r="X11" t="inlineStr">
        <is>
          <t>Domínio Simples</t>
        </is>
      </c>
      <c r="Y11" t="b">
        <v>0</v>
      </c>
      <c r="Z11" t="inlineStr">
        <is>
          <t>Raio</t>
        </is>
      </c>
      <c r="AA11" t="b">
        <v>0</v>
      </c>
      <c r="AD11">
        <f>IF($A11="",IF($L11&gt;0,INDEX('DADOS_APTIDOES'!$N$2:$N$35,MAX(1,$L11)),""),$A11)</f>
        <v/>
      </c>
      <c r="AE11">
        <f>IF($B11="",IF($L11&gt;0,INDEX('DADOS_APTIDOES'!$O$2:$O$35,MAX(1,$L11)),""),$B11)</f>
        <v/>
      </c>
      <c r="AF11">
        <f>IF($C11="",IF($L11&gt;0,INDEX('DADOS_APTIDOES'!$P$2:$P$35,MAX(1,$L11)),""),$C11)</f>
        <v/>
      </c>
      <c r="AG11">
        <f>IF($D11="",IF($L11&gt;0,INDEX('DADOS_APTIDOES'!$Q$2:$Q$35,MAX(1,$L11)),FALSE),$D11)</f>
        <v/>
      </c>
      <c r="AH11">
        <f>IF($E11="",IF($L11&gt;0,INDEX('DADOS_APTIDOES'!$R$2:$R$35,MAX(1,$L11)),""),$E11)</f>
        <v/>
      </c>
      <c r="AI11">
        <f>IF($F11="",IF($L11&gt;0,INDEX('DADOS_APTIDOES'!$S$2:$S$35,MAX(1,$L11)),""),$F11)</f>
        <v/>
      </c>
      <c r="AJ11">
        <f>IF($G11="",IF($L11&gt;0,INDEX('DADOS_APTIDOES'!$T$2:$T$35,MAX(1,$L11)),"—"),$G11)</f>
        <v/>
      </c>
      <c r="AK11">
        <f>IF($H11="",IF($L11&gt;0,INDEX('DADOS_APTIDOES'!$U$2:$U$35,MAX(1,$L11)),1),$H11)</f>
        <v/>
      </c>
      <c r="AL11">
        <f>IF($I11="",IF($L11&gt;0,INDEX('DADOS_APTIDOES'!$V$2:$V$35,MAX(1,$L11)),1),$I11)</f>
        <v/>
      </c>
      <c r="AM11">
        <f>IF($J11="",IF($L11&gt;0,INDEX('DADOS_APTIDOES'!$W$2:$W$35,MAX(1,$L11)),"Consome uma escolha"),$J11)</f>
        <v/>
      </c>
      <c r="AN11">
        <f>IF($L11&gt;0,INDEX('DADOS_APTIDOES'!$X$2:$X$35,MAX(1,$L11)),"")</f>
        <v/>
      </c>
      <c r="AO11">
        <f>IF($L11&gt;0,INDEX('DADOS_APTIDOES'!$Y$2:$Y$35,MAX(1,$L11)),0)</f>
        <v/>
      </c>
      <c r="AP11">
        <f>IF($L11&gt;0,INDEX('DADOS_APTIDOES'!$Z$2:$Z$35,MAX(1,$L11)),"")</f>
        <v/>
      </c>
      <c r="AQ11">
        <f>FALSE</f>
        <v/>
      </c>
      <c r="AS11">
        <f>IF(AND(ISTEXT($B11),$B11&lt;&gt;"",TRIM($B11)=$B11),"","NOME precisa ser texto sem espaços nas pontas")</f>
        <v/>
      </c>
      <c r="AT11">
        <f>IF(COUNTIF('DADOS_APTIDOES'!$B$2:$B$11,SUBSTITUTE(SUBSTITUTE(SUBSTITUTE($B11,"~","~~"),"*","~*"),"?","~?"))+COUNTIF('DADOS_APTIDOES'!$O$2:$O$35,SUBSTITUTE(SUBSTITUTE(SUBSTITUTE($B11,"~","~~"),"*","~*"),"?","~?"))=1,"","Nome repetido no livro ou custom")</f>
        <v/>
      </c>
      <c r="AU11">
        <f>IF($L11&gt;=0,"","BASE DO LIVRO inválida para o grupo")</f>
        <v/>
      </c>
      <c r="AV11">
        <f>IF(OR($AD11="Aptidão",$AD11="Bênção"),"","TIPO inválido para o grupo")</f>
        <v/>
      </c>
      <c r="AW11">
        <f>IF(ISLOGICAL($AG11),"","MESTRE VIU precisa ser caixa de seleção")</f>
        <v/>
      </c>
      <c r="AX11">
        <f>IF(ISTEXT($AI11),"","EFEITO precisa ser texto")</f>
        <v/>
      </c>
      <c r="AY11">
        <f>IF(ISTEXT($AH11),"","REQUISITOS precisa ser texto")</f>
        <v/>
      </c>
      <c r="AZ11">
        <f>IF(OR($AJ11="—",IFERROR(AND(ISNUMBER($AJ11),NOT(ISLOGICAL($AJ11)),$AJ11=INT($AJ11),$AJ11&gt;=1,$AJ11&lt;=3),FALSE)),"","CE inválida")</f>
        <v/>
      </c>
      <c r="BA11">
        <f>IF(OR($L11&lt;=0,$AD11=INDEX('DADOS_APTIDOES'!$N$2:$N$35,MAX(1,$L11))),"","TIPO deve preservar a rota da base")</f>
        <v/>
      </c>
      <c r="BB11">
        <f>IF(IFERROR(AND(ISNUMBER($AK11),NOT(ISLOGICAL($AK11)),$AK11=INT($AK11),$AK11&gt;=1,$AK11&lt;=30),FALSE),"","nivel_minimo fora do limite")</f>
        <v/>
      </c>
      <c r="BC11">
        <f>IF(IFERROR(AND(ISNUMBER($AL11),NOT(ISLOGICAL($AL11)),$AL11=INT($AL11),$AL11&gt;=1,$AL11&lt;=10),FALSE),"","refino_minimo fora do limite")</f>
        <v/>
      </c>
      <c r="BD11">
        <f>IF(OR($AM11="Gratuita",$AM11="Consome uma escolha"),"","ESCOLHA inválida")</f>
        <v/>
      </c>
      <c r="BF11">
        <f>'DADOS_APTIDOES'!$O11</f>
        <v/>
      </c>
      <c r="BG11">
        <f>'DADOS_APTIDOES'!$R11</f>
        <v/>
      </c>
      <c r="BH11">
        <f>'DADOS_APTIDOES'!$T11</f>
        <v/>
      </c>
      <c r="BI11">
        <f>'DADOS_APTIDOES'!$Z11</f>
        <v/>
      </c>
      <c r="BJ11">
        <f>'DADOS_APTIDOES'!$S11</f>
        <v/>
      </c>
      <c r="BK11">
        <f>IF(AND(NOT('DADOS_APTIDOES'!$AA11),IF(DADOS_AM!$A$2=4,'DADOS_APTIDOES'!$N11="Bênção",AND(NOT('DADOS_APTIDOES'!$N11="Bênção"),NOT(AND(DADOS_AM!$A$2=3,'DADOS_APTIDOES'!$Y11))))),'DADOS_APTIDOES'!$O11,"")</f>
        <v/>
      </c>
      <c r="BL11">
        <f>N('DADOS_APTIDOES'!$N11="Bênção")</f>
        <v/>
      </c>
      <c r="BM11">
        <f>N('DADOS_APTIDOES'!$Y11)</f>
        <v/>
      </c>
      <c r="BN11">
        <f>IF('DADOS_APTIDOES'!$W11="Gratuita",1,0)</f>
        <v/>
      </c>
      <c r="BO11" t="inlineStr">
        <is>
          <t>Você precisa ter visto um Domínio Simples sendo usado ou ter aprendido com alguém.</t>
        </is>
      </c>
      <c r="BQ11" t="inlineStr">
        <is>
          <t>Cesta Oca de Vime</t>
        </is>
      </c>
      <c r="BS11" t="n">
        <v>10</v>
      </c>
      <c r="BT11" t="n">
        <v>10</v>
      </c>
    </row>
    <row r="12">
      <c r="N12" t="inlineStr">
        <is>
          <t>Aptidão</t>
        </is>
      </c>
      <c r="O12" t="inlineStr">
        <is>
          <t>Pétala</t>
        </is>
      </c>
      <c r="P12">
        <f>""</f>
        <v/>
      </c>
      <c r="Q12" t="b">
        <v>0</v>
      </c>
      <c r="R12" t="inlineStr">
        <is>
          <t>Refino 4 e nível 10; ser Descendente ou aprendizado com alguém de um clã</t>
        </is>
      </c>
      <c r="S12" t="inlineStr">
        <is>
          <t>Sua energia reage ao contato do Acerto de uma Expansão. Ative conforme Proteção contra domínios. A manutenção custa 1 PE. Quando o Acerto garantido chega ao seu corpo por contato, compare sua Essência com a do dono da Expansão. Cortes, chamas ou criaturas que atingem seu corpo são formas de contato. Uma informação ou regra aplicada sem contato não é impedida por Pétala. Os efeitos do Acerto por contato que não sejam dano, como uma condição ou marca, são anulados nos três casos. A fração da tabela é o dano que passa. Aplique as demais defesas e o arredondamento pelas regras de Dano. A proteção não reduz um golpe comum só porque ele foi realizado dentro de uma Expansão. Cada golpe que acertar você exige TR Espírito contra a CD de quem o atingiu. Isso inclui um Acerto por contato que ainda lhe cause dano após Pétala. Um Acerto inteiramente anulado por ela não exige o teste. Acumule as falhas. Com metade de sua Essência em falhas, para baixo, mínimo 1, Pétala termina. Esse teste não ocupa Concentração e não é dispensado por Mão Firme. Sua queda não causa um Acerto adicional. Você pode erguer novamente com Ação Bônus e novo pagamento, zerando as falhas.</t>
        </is>
      </c>
      <c r="T12" t="n">
        <v>2</v>
      </c>
      <c r="U12" t="n">
        <v>10</v>
      </c>
      <c r="V12" t="n">
        <v>4</v>
      </c>
      <c r="W12" t="inlineStr">
        <is>
          <t>Consome uma escolha</t>
        </is>
      </c>
      <c r="X12" t="inlineStr">
        <is>
          <t>Pétala</t>
        </is>
      </c>
      <c r="Y12" t="b">
        <v>0</v>
      </c>
      <c r="Z12" t="inlineStr">
        <is>
          <t>—</t>
        </is>
      </c>
      <c r="AA12" t="b">
        <v>0</v>
      </c>
      <c r="BF12">
        <f>'DADOS_APTIDOES'!$O12</f>
        <v/>
      </c>
      <c r="BG12">
        <f>'DADOS_APTIDOES'!$R12</f>
        <v/>
      </c>
      <c r="BH12">
        <f>'DADOS_APTIDOES'!$T12</f>
        <v/>
      </c>
      <c r="BI12">
        <f>'DADOS_APTIDOES'!$Z12</f>
        <v/>
      </c>
      <c r="BJ12">
        <f>'DADOS_APTIDOES'!$S12</f>
        <v/>
      </c>
      <c r="BK12">
        <f>IF(AND(NOT('DADOS_APTIDOES'!$AA12),IF(DADOS_AM!$A$2=4,'DADOS_APTIDOES'!$N12="Bênção",AND(NOT('DADOS_APTIDOES'!$N12="Bênção"),NOT(AND(DADOS_AM!$A$2=3,'DADOS_APTIDOES'!$Y12))))),'DADOS_APTIDOES'!$O12,"")</f>
        <v/>
      </c>
      <c r="BL12">
        <f>N('DADOS_APTIDOES'!$N12="Bênção")</f>
        <v/>
      </c>
      <c r="BM12">
        <f>N('DADOS_APTIDOES'!$Y12)</f>
        <v/>
      </c>
      <c r="BN12">
        <f>IF('DADOS_APTIDOES'!$W12="Gratuita",1,0)</f>
        <v/>
      </c>
      <c r="BO12" t="inlineStr">
        <is>
          <t>Sua energia reage ao contato do Acerto de uma Expansão.</t>
        </is>
      </c>
      <c r="BQ12" t="inlineStr">
        <is>
          <t>Domínio Simples</t>
        </is>
      </c>
      <c r="BS12" t="n">
        <v>11</v>
      </c>
    </row>
    <row r="13">
      <c r="N13" t="inlineStr">
        <is>
          <t>Aptidão</t>
        </is>
      </c>
      <c r="O13" t="inlineStr">
        <is>
          <t>Extensão de Domínio</t>
        </is>
      </c>
      <c r="P13">
        <f>""</f>
        <v/>
      </c>
      <c r="Q13" t="b">
        <v>0</v>
      </c>
      <c r="R13" t="inlineStr">
        <is>
          <t>Refino 7 e nível 18; aprendizado registrado; indisponível ao Corpo Amaldiçoado</t>
        </is>
      </c>
      <c r="S13" t="inlineStr">
        <is>
          <t>Você precisa ter visto uma Extensão em uso, estudado seu funcionamento ou aprendido com alguém. Registre isso na ficha. Corpo Amaldiçoado não pode adquirir esta aptidão. Você se envolve em uma camada de domínio que neutraliza técnicas. Ative conforme Proteção contra domínios. A manutenção custa 1,5 × sua maior Classe em PE, arredondado para cima. A ativação e sua primeira manutenção cobrem o período até o começo do seu próximo turno. Depois, você pode pagar até Refino − 1 manutenções adicionais, uma no começo de cada turno. A Extensão termina no começo do turno seguinte à última manutenção, ou antes se for encerrada. Golpes não a derrubam. Enquanto ativa, ela impede que o Acerto e o Efeito de qualquer Expansão atinjam você, inclusive incompleta ou sem barreiras. A barreira ainda prende você, e os benefícios do dono permanecem. Uma técnica que encostar na Extensão é anulada, naquele contato, se sua Classe, Categoria de Efeito ou escala de Regra Própria for de até 1 + um terço de seu Refino, para baixo. O limite é 3 com Refino 7–8 e 4 com Refino 9–10. Isso não apaga a técnica de quem a criou nem seus efeitos longe de você.</t>
        </is>
      </c>
      <c r="T13" t="n">
        <v>3</v>
      </c>
      <c r="U13" t="n">
        <v>18</v>
      </c>
      <c r="V13" t="n">
        <v>7</v>
      </c>
      <c r="W13" t="inlineStr">
        <is>
          <t>Consome uma escolha</t>
        </is>
      </c>
      <c r="X13" t="inlineStr">
        <is>
          <t>Extensão de Domínio</t>
        </is>
      </c>
      <c r="Y13" t="n">
        <v>1</v>
      </c>
      <c r="Z13" t="inlineStr">
        <is>
          <t>—</t>
        </is>
      </c>
      <c r="AA13" t="b">
        <v>0</v>
      </c>
      <c r="BF13">
        <f>'DADOS_APTIDOES'!$O13</f>
        <v/>
      </c>
      <c r="BG13">
        <f>'DADOS_APTIDOES'!$R13</f>
        <v/>
      </c>
      <c r="BH13">
        <f>'DADOS_APTIDOES'!$T13</f>
        <v/>
      </c>
      <c r="BI13">
        <f>'DADOS_APTIDOES'!$Z13</f>
        <v/>
      </c>
      <c r="BJ13">
        <f>'DADOS_APTIDOES'!$S13</f>
        <v/>
      </c>
      <c r="BK13">
        <f>IF(AND(NOT('DADOS_APTIDOES'!$AA13),IF(DADOS_AM!$A$2=4,'DADOS_APTIDOES'!$N13="Bênção",AND(NOT('DADOS_APTIDOES'!$N13="Bênção"),NOT(AND(DADOS_AM!$A$2=3,'DADOS_APTIDOES'!$Y13))))),'DADOS_APTIDOES'!$O13,"")</f>
        <v/>
      </c>
      <c r="BL13">
        <f>N('DADOS_APTIDOES'!$N13="Bênção")</f>
        <v/>
      </c>
      <c r="BM13">
        <f>N('DADOS_APTIDOES'!$Y13)</f>
        <v/>
      </c>
      <c r="BN13">
        <f>IF('DADOS_APTIDOES'!$W13="Gratuita",1,0)</f>
        <v/>
      </c>
      <c r="BO13" t="inlineStr">
        <is>
          <t>Você precisa ter visto uma Extensão em uso, estudado seu funcionamento ou aprendido com alguém.</t>
        </is>
      </c>
      <c r="BQ13" t="inlineStr">
        <is>
          <t>Pétala</t>
        </is>
      </c>
      <c r="BS13" t="n">
        <v>12</v>
      </c>
    </row>
    <row r="14">
      <c r="N14" t="inlineStr">
        <is>
          <t>Aptidão</t>
        </is>
      </c>
      <c r="O14" t="inlineStr">
        <is>
          <t>Barreira Simples</t>
        </is>
      </c>
      <c r="P14">
        <f>""</f>
        <v/>
      </c>
      <c r="Q14" t="b">
        <v>0</v>
      </c>
      <c r="R14" t="inlineStr">
        <is>
          <t>Uma escolha de aptidão</t>
        </is>
      </c>
      <c r="S14" t="inlineStr">
        <is>
          <t>Você ergue um domo fixo para impedir a passagem por um lugar. Permaneça no ponto escolhido enquanto prepara a barreira. Em combate, isso exige dez turnos consecutivos dedicando a Ação Padrão, sem usar outra Ação Padrão para tarefa diferente. Se deixar o ponto, não puder agir ou abandonar a preparação, recomece o minuto. Sofrer dano, sozinho, não interrompe esse trabalho. A barreira surge inteira ao terminar. Não empurra nem corta criaturas ou objetos. Pode se apoiar nos limites físicos do lugar para fechar uma passagem, sem destruir o que já existia ali. O solo ou a estrutura de apoio fecha a base protegida. O domo permanece no lugar. Você pode se afastar e agir normalmente. Ele não ocupa Concentração. Uma única reserva de vida vale para toda a barreira: destruir um trecho desfaz o domo inteiro. Ela não recupera vida com cura destinada a criaturas. Um ataque capaz de alcançar sua superfície acerta automaticamente, sem crítico, pagando suas ações e recursos normais. Se um efeito que possa ferir barreiras exigir TR, ela falha automaticamente. Não recebe condições de criaturas. Ataques que não possam afetar uma barreira não ganham essa capacidade por acertar.</t>
        </is>
      </c>
      <c r="T14" t="inlineStr">
        <is>
          <t>—</t>
        </is>
      </c>
      <c r="U14" t="n">
        <v>1</v>
      </c>
      <c r="V14" t="n">
        <v>1</v>
      </c>
      <c r="W14" t="inlineStr">
        <is>
          <t>Consome uma escolha</t>
        </is>
      </c>
      <c r="X14" t="inlineStr">
        <is>
          <t>Barreira Simples</t>
        </is>
      </c>
      <c r="Y14" t="b">
        <v>0</v>
      </c>
      <c r="Z14" t="inlineStr">
        <is>
          <t>—</t>
        </is>
      </c>
      <c r="AA14" t="b">
        <v>0</v>
      </c>
      <c r="BF14">
        <f>'DADOS_APTIDOES'!$O14</f>
        <v/>
      </c>
      <c r="BG14">
        <f>'DADOS_APTIDOES'!$R14</f>
        <v/>
      </c>
      <c r="BH14">
        <f>'DADOS_APTIDOES'!$T14</f>
        <v/>
      </c>
      <c r="BI14">
        <f>'DADOS_APTIDOES'!$Z14</f>
        <v/>
      </c>
      <c r="BJ14">
        <f>'DADOS_APTIDOES'!$S14</f>
        <v/>
      </c>
      <c r="BK14">
        <f>IF(AND(NOT('DADOS_APTIDOES'!$AA14),IF(DADOS_AM!$A$2=4,'DADOS_APTIDOES'!$N14="Bênção",AND(NOT('DADOS_APTIDOES'!$N14="Bênção"),NOT(AND(DADOS_AM!$A$2=3,'DADOS_APTIDOES'!$Y14))))),'DADOS_APTIDOES'!$O14,"")</f>
        <v/>
      </c>
      <c r="BL14">
        <f>N('DADOS_APTIDOES'!$N14="Bênção")</f>
        <v/>
      </c>
      <c r="BM14">
        <f>N('DADOS_APTIDOES'!$Y14)</f>
        <v/>
      </c>
      <c r="BN14">
        <f>IF('DADOS_APTIDOES'!$W14="Gratuita",1,0)</f>
        <v/>
      </c>
      <c r="BO14" t="inlineStr">
        <is>
          <t>Você ergue um domo fixo para impedir a passagem por um lugar.</t>
        </is>
      </c>
      <c r="BQ14" t="inlineStr">
        <is>
          <t>Extensão de Domínio</t>
        </is>
      </c>
      <c r="BS14" t="n">
        <v>13</v>
      </c>
    </row>
    <row r="15">
      <c r="N15" t="inlineStr">
        <is>
          <t>Aptidão</t>
        </is>
      </c>
      <c r="O15" t="inlineStr">
        <is>
          <t>Cortina</t>
        </is>
      </c>
      <c r="P15">
        <f>""</f>
        <v/>
      </c>
      <c r="Q15" t="b">
        <v>0</v>
      </c>
      <c r="R15" t="inlineStr">
        <is>
          <t>Barreira Simples</t>
        </is>
      </c>
      <c r="S15" t="inlineStr">
        <is>
          <t>Você delimita uma área para esconder seu interior de pessoas que não são feiticeiras e controlar a passagem por suas bordas. A preparação segue Barreira Simples: 1 minuto, sem custo em PE. Antes de começar, registre o lugar e suas bordas: um prédio, uma escola, uma quadra ou outro local contínuo. Ao concluir, a distância de você até o ponto mais distante da borda não pode ultrapassar o teto do seu Refino. O lugar e as bordas continuam definidos pela descrição; a medida limita a Cortina inteira, não cada trecho isolado. A Cortina tem 40 × Refino pontos de vida, compartilhados por toda a superfície. Sofre ataques e TRs pelo procedimento de Barreira Simples. Fica ancorada no lugar e termina com vida zero, se você ficar Inconsciente ou se decidir encerrá-la. Ela compartilha o limite de uma barreira mantida com Barreira Simples: concluir uma substitui a outra. Ao preparar, escreva uma condição verificável sobre quem pode atravessar e em qual sentido. Ela vale até a Cortina terminar. As bordas escolhidas não se movem. A condição regula a travessia das criaturas que ela identifica. Não cria a vedação completa da Barreira Simples: ataques e efeitos ainda seguem seu alcance, sua trajetória e a visibilidade disponível. Uma criatura impedida de atravessar pode tentar destruir a Cortina.</t>
        </is>
      </c>
      <c r="T15" t="inlineStr">
        <is>
          <t>—</t>
        </is>
      </c>
      <c r="U15" t="n">
        <v>1</v>
      </c>
      <c r="V15" t="n">
        <v>1</v>
      </c>
      <c r="W15" t="inlineStr">
        <is>
          <t>Consome uma escolha</t>
        </is>
      </c>
      <c r="X15" t="inlineStr">
        <is>
          <t>Cortina</t>
        </is>
      </c>
      <c r="Y15" t="b">
        <v>0</v>
      </c>
      <c r="Z15" t="inlineStr">
        <is>
          <t>Teto de 150 m no 1 a 3 · 300 m no 4 a 6 · 400 m no 7 ou mais</t>
        </is>
      </c>
      <c r="AA15" t="b">
        <v>0</v>
      </c>
      <c r="BF15">
        <f>'DADOS_APTIDOES'!$O15</f>
        <v/>
      </c>
      <c r="BG15">
        <f>'DADOS_APTIDOES'!$R15</f>
        <v/>
      </c>
      <c r="BH15">
        <f>'DADOS_APTIDOES'!$T15</f>
        <v/>
      </c>
      <c r="BI15">
        <f>'DADOS_APTIDOES'!$Z15</f>
        <v/>
      </c>
      <c r="BJ15">
        <f>'DADOS_APTIDOES'!$S15</f>
        <v/>
      </c>
      <c r="BK15">
        <f>IF(AND(NOT('DADOS_APTIDOES'!$AA15),IF(DADOS_AM!$A$2=4,'DADOS_APTIDOES'!$N15="Bênção",AND(NOT('DADOS_APTIDOES'!$N15="Bênção"),NOT(AND(DADOS_AM!$A$2=3,'DADOS_APTIDOES'!$Y15))))),'DADOS_APTIDOES'!$O15,"")</f>
        <v/>
      </c>
      <c r="BL15">
        <f>N('DADOS_APTIDOES'!$N15="Bênção")</f>
        <v/>
      </c>
      <c r="BM15">
        <f>N('DADOS_APTIDOES'!$Y15)</f>
        <v/>
      </c>
      <c r="BN15">
        <f>IF('DADOS_APTIDOES'!$W15="Gratuita",1,0)</f>
        <v/>
      </c>
      <c r="BO15" t="inlineStr">
        <is>
          <t>Você delimita uma área para esconder seu interior de pessoas que não são feiticeiras e controlar a passagem por suas bordas.</t>
        </is>
      </c>
      <c r="BQ15" t="inlineStr">
        <is>
          <t>Barreira Simples</t>
        </is>
      </c>
      <c r="BS15" t="n">
        <v>14</v>
      </c>
    </row>
    <row r="16">
      <c r="N16" t="inlineStr">
        <is>
          <t>Aptidão</t>
        </is>
      </c>
      <c r="O16" t="inlineStr">
        <is>
          <t>Ritual</t>
        </is>
      </c>
      <c r="P16">
        <f>""</f>
        <v/>
      </c>
      <c r="Q16" t="b">
        <v>0</v>
      </c>
      <c r="R16" t="inlineStr">
        <is>
          <t>Inteligência 5, nível 10 e Técnica Inata. Regras em Ritual e Pactos</t>
        </is>
      </c>
      <c r="S16" t="inlineStr">
        <is>
          <t>Um Ritual reforça um feitiço com gestos e recitação. Você escolhe quanto tempo dedicar à conjuração e quais benefícios procura. O feitiço continua sendo aquele registrado na ficha, com seus alvos, efeito e custo de energia. Ritual é uma aptidão. Requisitos: Inteligência 5, nível 10 e Técnica Inata. Ela usa uma escolha de aptidão. Técnica Marcial e Sem Técnica não podem adquiri-la nem auxiliar um Ritual. A rota sem energia amaldiçoada também não tem acesso. Escolha um feitiço de Classe 1 ou maior, a modalidade de Ritual e as Melhorias de Ritual antes de fazer qualquer rolagem. Confira se consegue cumprir todos os gestos, recitar e pagar o custo normal. Cada conjuração recebe apenas um Ritual. Você precisa falar, ter pelo menos uma mão livre para os gestos e cumprir qualquer exigência adicional de mãos da sua técnica. Calado impede Ritual. Silencioso não dispensa seus gestos ou sua voz. Um Selo mais discreto também não esconde a recitação. Atacar sem revelar sua posição exige outra capacidade que expressamente inclua essas circunstâncias. Ação Completa compromete a Padrão, a Bônus e o Movimento do turno, conservando a Reação. O Ritual breve só pode ser usado se a ficha do feitiço permitir Ação Padrão. Ele não abrevia uma Liberação ou Técnica Máxima.</t>
        </is>
      </c>
      <c r="T16" t="inlineStr">
        <is>
          <t>—</t>
        </is>
      </c>
      <c r="U16" t="n">
        <v>10</v>
      </c>
      <c r="V16" t="n">
        <v>1</v>
      </c>
      <c r="W16" t="inlineStr">
        <is>
          <t>Consome uma escolha</t>
        </is>
      </c>
      <c r="X16" t="inlineStr">
        <is>
          <t>Ritual</t>
        </is>
      </c>
      <c r="Y16" t="b">
        <v>0</v>
      </c>
      <c r="Z16" t="inlineStr">
        <is>
          <t>—</t>
        </is>
      </c>
      <c r="AA16" t="b">
        <v>0</v>
      </c>
      <c r="BF16">
        <f>'DADOS_APTIDOES'!$O16</f>
        <v/>
      </c>
      <c r="BG16">
        <f>'DADOS_APTIDOES'!$R16</f>
        <v/>
      </c>
      <c r="BH16">
        <f>'DADOS_APTIDOES'!$T16</f>
        <v/>
      </c>
      <c r="BI16">
        <f>'DADOS_APTIDOES'!$Z16</f>
        <v/>
      </c>
      <c r="BJ16">
        <f>'DADOS_APTIDOES'!$S16</f>
        <v/>
      </c>
      <c r="BK16">
        <f>IF(AND(NOT('DADOS_APTIDOES'!$AA16),IF(DADOS_AM!$A$2=4,'DADOS_APTIDOES'!$N16="Bênção",AND(NOT('DADOS_APTIDOES'!$N16="Bênção"),NOT(AND(DADOS_AM!$A$2=3,'DADOS_APTIDOES'!$Y16))))),'DADOS_APTIDOES'!$O16,"")</f>
        <v/>
      </c>
      <c r="BL16">
        <f>N('DADOS_APTIDOES'!$N16="Bênção")</f>
        <v/>
      </c>
      <c r="BM16">
        <f>N('DADOS_APTIDOES'!$Y16)</f>
        <v/>
      </c>
      <c r="BN16">
        <f>IF('DADOS_APTIDOES'!$W16="Gratuita",1,0)</f>
        <v/>
      </c>
      <c r="BO16" t="inlineStr">
        <is>
          <t>Um Ritual reforça um feitiço com gestos e recitação.</t>
        </is>
      </c>
      <c r="BQ16" t="inlineStr">
        <is>
          <t>Cortina</t>
        </is>
      </c>
      <c r="BS16" t="n">
        <v>15</v>
      </c>
    </row>
    <row r="17">
      <c r="N17" t="inlineStr">
        <is>
          <t>Aptidão</t>
        </is>
      </c>
      <c r="O17" t="inlineStr">
        <is>
          <t>Aptidão Própria (CE 1)</t>
        </is>
      </c>
      <c r="P17">
        <f>""</f>
        <v/>
      </c>
      <c r="Q17" t="b">
        <v>0</v>
      </c>
      <c r="R17" t="inlineStr">
        <is>
          <t>Uma única vez na ficha</t>
        </is>
      </c>
      <c r="S17" t="inlineStr">
        <is>
          <t>Você cria uma aptidão com o mestre antes da sessão; ele define o tamanho do efeito. Ela representa um aprendizado específico de energia que o catálogo ainda não cobre. Escreva uma frase de regra. Ela precisa dizer quando funciona, quem afeta e o que permite fazer. Acrescente ação, custo, distância e encerramento quando forem necessários. A descrição pode ser curta, mas deve bastar para outra mesa aplicar a mesma regra. A proposta não pode copiar uma aptidão existente com outro nome, dispensar seus requisitos ou acrescentar dados de dano. Aptidão Própria de Categoria de Efeito 2 também precisa de um limite por cena. Avalie a frequência real de uso no tipo de missão da campanha. Compare também a magnitude, o custo de ação, os alvos e o alcance com os Talentos da mesma Categoria de Efeito. Efeitos pequenos ou de informação costumam caber na Categoria 1. Intervenções mais relevantes podem exigir Categoria 2 e seu limite por cena. Permanência, sozinha, não transforma um benefício pequeno em Categoria 3. Efeitos que precisem dessa terceira Categoria ficam fora desta opção. A comparação abaixo serve como apoio. Quem define o tamanho da Aptidão Própria é o mestre. Escreva a sua na caixa de baixo.</t>
        </is>
      </c>
      <c r="T17" t="n">
        <v>1</v>
      </c>
      <c r="U17" t="n">
        <v>1</v>
      </c>
      <c r="V17" t="n">
        <v>1</v>
      </c>
      <c r="W17" t="inlineStr">
        <is>
          <t>Consome uma escolha</t>
        </is>
      </c>
      <c r="X17" t="inlineStr">
        <is>
          <t>Aptidão Própria (CE 1)</t>
        </is>
      </c>
      <c r="Y17" t="b">
        <v>0</v>
      </c>
      <c r="Z17" t="inlineStr">
        <is>
          <t>—</t>
        </is>
      </c>
      <c r="AA17" t="b">
        <v>0</v>
      </c>
      <c r="BF17">
        <f>'DADOS_APTIDOES'!$O17</f>
        <v/>
      </c>
      <c r="BG17">
        <f>'DADOS_APTIDOES'!$R17</f>
        <v/>
      </c>
      <c r="BH17">
        <f>'DADOS_APTIDOES'!$T17</f>
        <v/>
      </c>
      <c r="BI17">
        <f>'DADOS_APTIDOES'!$Z17</f>
        <v/>
      </c>
      <c r="BJ17">
        <f>'DADOS_APTIDOES'!$S17</f>
        <v/>
      </c>
      <c r="BK17">
        <f>IF(AND(NOT('DADOS_APTIDOES'!$AA17),IF(DADOS_AM!$A$2=4,'DADOS_APTIDOES'!$N17="Bênção",AND(NOT('DADOS_APTIDOES'!$N17="Bênção"),NOT(AND(DADOS_AM!$A$2=3,'DADOS_APTIDOES'!$Y17))))),'DADOS_APTIDOES'!$O17,"")</f>
        <v/>
      </c>
      <c r="BL17">
        <f>N('DADOS_APTIDOES'!$N17="Bênção")</f>
        <v/>
      </c>
      <c r="BM17">
        <f>N('DADOS_APTIDOES'!$Y17)</f>
        <v/>
      </c>
      <c r="BN17">
        <f>IF('DADOS_APTIDOES'!$W17="Gratuita",1,0)</f>
        <v/>
      </c>
      <c r="BO17" t="inlineStr">
        <is>
          <t>Você cria uma aptidão com o mestre antes da sessão; ele define o tamanho do efeito.</t>
        </is>
      </c>
      <c r="BQ17" t="inlineStr">
        <is>
          <t>Ritual</t>
        </is>
      </c>
      <c r="BS17" t="n">
        <v>16</v>
      </c>
    </row>
    <row r="18">
      <c r="N18" t="inlineStr">
        <is>
          <t>Aptidão</t>
        </is>
      </c>
      <c r="O18" t="inlineStr">
        <is>
          <t>Aptidão Própria (CE 2)</t>
        </is>
      </c>
      <c r="P18">
        <f>""</f>
        <v/>
      </c>
      <c r="Q18" t="b">
        <v>0</v>
      </c>
      <c r="R18" t="inlineStr">
        <is>
          <t>Uma única vez na ficha</t>
        </is>
      </c>
      <c r="S18" t="inlineStr">
        <is>
          <t>Você cria uma aptidão com o mestre antes da sessão; ele define o tamanho do efeito. Ela representa um aprendizado específico de energia que o catálogo ainda não cobre. Escreva uma frase de regra. Ela precisa dizer quando funciona, quem afeta e o que permite fazer. Acrescente ação, custo, distância e encerramento quando forem necessários. A descrição pode ser curta, mas deve bastar para outra mesa aplicar a mesma regra. A proposta não pode copiar uma aptidão existente com outro nome, dispensar seus requisitos ou acrescentar dados de dano. Aptidão Própria de Categoria de Efeito 2 também precisa de um limite por cena. Avalie a frequência real de uso no tipo de missão da campanha. Compare também a magnitude, o custo de ação, os alvos e o alcance com os Talentos da mesma Categoria de Efeito. Efeitos pequenos ou de informação costumam caber na Categoria 1. Intervenções mais relevantes podem exigir Categoria 2 e seu limite por cena. Permanência, sozinha, não transforma um benefício pequeno em Categoria 3. Efeitos que precisem dessa terceira Categoria ficam fora desta opção. A comparação abaixo serve como apoio. Quem define o tamanho da Aptidão Própria é o mestre. Escreva a sua na caixa de baixo.</t>
        </is>
      </c>
      <c r="T18" t="n">
        <v>2</v>
      </c>
      <c r="U18" t="n">
        <v>1</v>
      </c>
      <c r="V18" t="n">
        <v>1</v>
      </c>
      <c r="W18" t="inlineStr">
        <is>
          <t>Consome uma escolha</t>
        </is>
      </c>
      <c r="X18" t="inlineStr">
        <is>
          <t>Aptidão Própria (CE 2)</t>
        </is>
      </c>
      <c r="Y18" t="b">
        <v>0</v>
      </c>
      <c r="Z18" t="inlineStr">
        <is>
          <t>—</t>
        </is>
      </c>
      <c r="AA18" t="b">
        <v>0</v>
      </c>
      <c r="BF18">
        <f>'DADOS_APTIDOES'!$O18</f>
        <v/>
      </c>
      <c r="BG18">
        <f>'DADOS_APTIDOES'!$R18</f>
        <v/>
      </c>
      <c r="BH18">
        <f>'DADOS_APTIDOES'!$T18</f>
        <v/>
      </c>
      <c r="BI18">
        <f>'DADOS_APTIDOES'!$Z18</f>
        <v/>
      </c>
      <c r="BJ18">
        <f>'DADOS_APTIDOES'!$S18</f>
        <v/>
      </c>
      <c r="BK18">
        <f>IF(AND(NOT('DADOS_APTIDOES'!$AA18),IF(DADOS_AM!$A$2=4,'DADOS_APTIDOES'!$N18="Bênção",AND(NOT('DADOS_APTIDOES'!$N18="Bênção"),NOT(AND(DADOS_AM!$A$2=3,'DADOS_APTIDOES'!$Y18))))),'DADOS_APTIDOES'!$O18,"")</f>
        <v/>
      </c>
      <c r="BL18">
        <f>N('DADOS_APTIDOES'!$N18="Bênção")</f>
        <v/>
      </c>
      <c r="BM18">
        <f>N('DADOS_APTIDOES'!$Y18)</f>
        <v/>
      </c>
      <c r="BN18">
        <f>IF('DADOS_APTIDOES'!$W18="Gratuita",1,0)</f>
        <v/>
      </c>
      <c r="BO18" t="inlineStr">
        <is>
          <t>Você cria uma aptidão com o mestre antes da sessão; ele define o tamanho do efeito.</t>
        </is>
      </c>
      <c r="BQ18" t="inlineStr">
        <is>
          <t>Aptidão Própria (CE 1)</t>
        </is>
      </c>
      <c r="BS18" t="n">
        <v>17</v>
      </c>
    </row>
    <row r="19">
      <c r="N19" t="inlineStr">
        <is>
          <t>Bênção</t>
        </is>
      </c>
      <c r="O19" t="inlineStr">
        <is>
          <t>Defesa sem Armadura</t>
        </is>
      </c>
      <c r="P19">
        <f>""</f>
        <v/>
      </c>
      <c r="Q19" t="b">
        <v>0</v>
      </c>
      <c r="R19" t="inlineStr">
        <is>
          <t>Gratuita na Lapidação 1</t>
        </is>
      </c>
      <c r="S19" t="inlineStr">
        <is>
          <t>Enquanto não usar Traje nem Revestimento, você recebe proteção igual a um terço da Lapidação, arredondado para baixo, +1. Um escudo pode ser somado conforme suas regras. Quando sofrer dano de um golpe, depois das defesas aplicáveis e antes de descontar vida, você pode gastar sua Reação e 2 PE para reduzi-lo em 1,5 × Lapidação, arredondado para baixo. Depois, perde somente a proteção passiva desta Bênção até o fim do seu próximo turno. Traje, Revestimento e escudo continuam dando sua proteção. Você pode usar essa redução mesmo com equipamento de proteção ou enquanto estiver sem proteção, pagando somente a Reação e os 2 PE em cada uso. O novo uso mantém a perda da proteção passiva até o fim do próximo turno correspondente. Outros valores da Defesa seguem suas regras. Pelas regras desta Origem, Barreira Simples e Cortina não reconhecem nem impedem seu corpo pela energia amaldiçoada. O Acerto garantido de uma Expansão completa também não seleciona você por esse critério. Os efeitos que acontecem no ambiente e os ataques de uma Expansão incompleta continuam usando suas regras.</t>
        </is>
      </c>
      <c r="T19" t="inlineStr">
        <is>
          <t>—</t>
        </is>
      </c>
      <c r="U19" t="n">
        <v>1</v>
      </c>
      <c r="V19" t="n">
        <v>1</v>
      </c>
      <c r="W19" t="inlineStr">
        <is>
          <t>Gratuita</t>
        </is>
      </c>
      <c r="X19" t="inlineStr">
        <is>
          <t>Defesa sem Armadura</t>
        </is>
      </c>
      <c r="Y19" t="b">
        <v>0</v>
      </c>
      <c r="Z19" t="inlineStr">
        <is>
          <t>Proteção</t>
        </is>
      </c>
      <c r="AA19" t="n">
        <v>1</v>
      </c>
      <c r="BF19">
        <f>'DADOS_APTIDOES'!$O19</f>
        <v/>
      </c>
      <c r="BG19">
        <f>'DADOS_APTIDOES'!$R19</f>
        <v/>
      </c>
      <c r="BH19">
        <f>'DADOS_APTIDOES'!$T19</f>
        <v/>
      </c>
      <c r="BI19">
        <f>'DADOS_APTIDOES'!$Z19</f>
        <v/>
      </c>
      <c r="BJ19">
        <f>'DADOS_APTIDOES'!$S19</f>
        <v/>
      </c>
      <c r="BK19">
        <f>IF(AND(NOT('DADOS_APTIDOES'!$AA19),IF(DADOS_AM!$A$2=4,'DADOS_APTIDOES'!$N19="Bênção",AND(NOT('DADOS_APTIDOES'!$N19="Bênção"),NOT(AND(DADOS_AM!$A$2=3,'DADOS_APTIDOES'!$Y19))))),'DADOS_APTIDOES'!$O19,"")</f>
        <v/>
      </c>
      <c r="BL19">
        <f>N('DADOS_APTIDOES'!$N19="Bênção")</f>
        <v/>
      </c>
      <c r="BM19">
        <f>N('DADOS_APTIDOES'!$Y19)</f>
        <v/>
      </c>
      <c r="BN19">
        <f>IF('DADOS_APTIDOES'!$W19="Gratuita",1,0)</f>
        <v/>
      </c>
      <c r="BO19" t="inlineStr">
        <is>
          <t>Enquanto não usar Traje nem Revestimento, você recebe proteção igual a um terço da Lapidação, arredondado para baixo, +1.</t>
        </is>
      </c>
      <c r="BQ19" t="inlineStr">
        <is>
          <t>Aptidão Própria (CE 2)</t>
        </is>
      </c>
      <c r="BS19" t="n">
        <v>18</v>
      </c>
    </row>
    <row r="20">
      <c r="N20" t="inlineStr">
        <is>
          <t>Bênção</t>
        </is>
      </c>
      <c r="O20" t="inlineStr">
        <is>
          <t>Estímulo Muscular</t>
        </is>
      </c>
      <c r="P20">
        <f>""</f>
        <v/>
      </c>
      <c r="Q20" t="b">
        <v>0</v>
      </c>
      <c r="R20" t="inlineStr">
        <is>
          <t>Gratuita na Lapidação 1</t>
        </is>
      </c>
      <c r="S20" t="inlineStr">
        <is>
          <t>Escolha uma perícia e um Teste de Resistência na criação. As escolhas são permanentes. Uma vez por cena, antes de rolar um deles, você pode receber vantagem naquela rolagem. No máximo de Lapidação 10, passa a ter dois usos por cena, compartilhados entre a perícia e o TR escolhidos. A perícia não precisa usar Força ou Destreza. Você pode escolher Ocultismo e TR de Intelecto, por exemplo. A Bênção não fornece treinamento nem muda o atributo utilizado nesses testes. Seus ataques com arma ou desarmados recebem os dados abaixo. Cada ataque válido aplica esse adicional uma vez, do mesmo tipo de dano do golpe. Os dados adicionais não são dobrados por crítico, salvo uma habilidade que permita isso expressamente. O adicional não entra no dano de Katas. Se o mesmo ataque transportar uma Kata de dano de Classe 0 ou maior, use a montagem dela sem acrescentar estes dados. Outro ataque da rodada que não transporte essa Kata continua elegível. Uma manobra que substitui um ataque sem causar dano não recebe o adicional. Empurrar alguém ou agarrá-lo não se transforma num golpe com dados por causa da Bênção.</t>
        </is>
      </c>
      <c r="T20" t="inlineStr">
        <is>
          <t>—</t>
        </is>
      </c>
      <c r="U20" t="n">
        <v>1</v>
      </c>
      <c r="V20" t="n">
        <v>1</v>
      </c>
      <c r="W20" t="inlineStr">
        <is>
          <t>Gratuita</t>
        </is>
      </c>
      <c r="X20" t="inlineStr">
        <is>
          <t>Estímulo Muscular</t>
        </is>
      </c>
      <c r="Y20" t="b">
        <v>0</v>
      </c>
      <c r="Z20" t="inlineStr">
        <is>
          <t>Dano adicional</t>
        </is>
      </c>
      <c r="AA20" t="n">
        <v>1</v>
      </c>
      <c r="BF20">
        <f>'DADOS_APTIDOES'!$O20</f>
        <v/>
      </c>
      <c r="BG20">
        <f>'DADOS_APTIDOES'!$R20</f>
        <v/>
      </c>
      <c r="BH20">
        <f>'DADOS_APTIDOES'!$T20</f>
        <v/>
      </c>
      <c r="BI20">
        <f>'DADOS_APTIDOES'!$Z20</f>
        <v/>
      </c>
      <c r="BJ20">
        <f>'DADOS_APTIDOES'!$S20</f>
        <v/>
      </c>
      <c r="BK20">
        <f>IF(AND(NOT('DADOS_APTIDOES'!$AA20),IF(DADOS_AM!$A$2=4,'DADOS_APTIDOES'!$N20="Bênção",AND(NOT('DADOS_APTIDOES'!$N20="Bênção"),NOT(AND(DADOS_AM!$A$2=3,'DADOS_APTIDOES'!$Y20))))),'DADOS_APTIDOES'!$O20,"")</f>
        <v/>
      </c>
      <c r="BL20">
        <f>N('DADOS_APTIDOES'!$N20="Bênção")</f>
        <v/>
      </c>
      <c r="BM20">
        <f>N('DADOS_APTIDOES'!$Y20)</f>
        <v/>
      </c>
      <c r="BN20">
        <f>IF('DADOS_APTIDOES'!$W20="Gratuita",1,0)</f>
        <v/>
      </c>
      <c r="BO20" t="inlineStr">
        <is>
          <t>Escolha uma perícia e um Teste de Resistência na criação.</t>
        </is>
      </c>
      <c r="BQ20" t="inlineStr">
        <is>
          <t>Defesa sem Armadura</t>
        </is>
      </c>
      <c r="BS20" t="n">
        <v>19</v>
      </c>
    </row>
    <row r="21">
      <c r="N21" t="inlineStr">
        <is>
          <t>Bênção</t>
        </is>
      </c>
      <c r="O21" t="inlineStr">
        <is>
          <t>Ímpeto</t>
        </is>
      </c>
      <c r="P21">
        <f>""</f>
        <v/>
      </c>
      <c r="Q21" t="b">
        <v>0</v>
      </c>
      <c r="R21" t="inlineStr">
        <is>
          <t>Lapidação 4 e Destreza 4</t>
        </is>
      </c>
      <c r="S21" t="inlineStr">
        <is>
          <t>Como Ação Bônus, mova-se até seu deslocamento sem provocar ataques de oportunidade. Durante esse movimento, você pode percorrer paredes, líquidos e o ar. Ao terminar o movimento sem um apoio que o sustente, você cai. Essa travessia não concede permanência no ar. Carga, terreno e condições que alterem seu deslocamento continuam valendo. Você precisa dispor da Ação Bônus para iniciar cada uso.</t>
        </is>
      </c>
      <c r="T21" t="n">
        <v>2</v>
      </c>
      <c r="U21" t="n">
        <v>1</v>
      </c>
      <c r="V21" t="n">
        <v>1</v>
      </c>
      <c r="W21" t="inlineStr">
        <is>
          <t>Consome uma escolha</t>
        </is>
      </c>
      <c r="X21" t="inlineStr">
        <is>
          <t>Ímpeto</t>
        </is>
      </c>
      <c r="Y21" t="b">
        <v>0</v>
      </c>
      <c r="Z21" t="inlineStr">
        <is>
          <t>—</t>
        </is>
      </c>
      <c r="AA21" t="b">
        <v>0</v>
      </c>
      <c r="BF21">
        <f>'DADOS_APTIDOES'!$O21</f>
        <v/>
      </c>
      <c r="BG21">
        <f>'DADOS_APTIDOES'!$R21</f>
        <v/>
      </c>
      <c r="BH21">
        <f>'DADOS_APTIDOES'!$T21</f>
        <v/>
      </c>
      <c r="BI21">
        <f>'DADOS_APTIDOES'!$Z21</f>
        <v/>
      </c>
      <c r="BJ21">
        <f>'DADOS_APTIDOES'!$S21</f>
        <v/>
      </c>
      <c r="BK21">
        <f>IF(AND(NOT('DADOS_APTIDOES'!$AA21),IF(DADOS_AM!$A$2=4,'DADOS_APTIDOES'!$N21="Bênção",AND(NOT('DADOS_APTIDOES'!$N21="Bênção"),NOT(AND(DADOS_AM!$A$2=3,'DADOS_APTIDOES'!$Y21))))),'DADOS_APTIDOES'!$O21,"")</f>
        <v/>
      </c>
      <c r="BL21">
        <f>N('DADOS_APTIDOES'!$N21="Bênção")</f>
        <v/>
      </c>
      <c r="BM21">
        <f>N('DADOS_APTIDOES'!$Y21)</f>
        <v/>
      </c>
      <c r="BN21">
        <f>IF('DADOS_APTIDOES'!$W21="Gratuita",1,0)</f>
        <v/>
      </c>
      <c r="BO21" t="inlineStr">
        <is>
          <t>Como Ação Bônus, mova-se até seu deslocamento sem provocar ataques de oportunidade.</t>
        </is>
      </c>
      <c r="BQ21" t="inlineStr">
        <is>
          <t>Estímulo Muscular</t>
        </is>
      </c>
      <c r="BS21" t="n">
        <v>20</v>
      </c>
    </row>
    <row r="22">
      <c r="N22" t="inlineStr">
        <is>
          <t>Bênção</t>
        </is>
      </c>
      <c r="O22" t="inlineStr">
        <is>
          <t>Casco</t>
        </is>
      </c>
      <c r="P22">
        <f>""</f>
        <v/>
      </c>
      <c r="Q22" t="b">
        <v>0</v>
      </c>
      <c r="R22" t="inlineStr">
        <is>
          <t>Lapidação 7 e Constituição 4</t>
        </is>
      </c>
      <c r="S22" t="inlineStr">
        <is>
          <t>Seu máximo de pontos de vida aumenta em metade do seu nível, arredondada para baixo. Recalcule ao subir de nível. Você também recebe +1 nos TRs de Vigor. No nível 14, o aumento é 7 pontos de vida. No nível 30, é 15. O benefício não recupera vida perdida por si só nem aumenta Integridade.</t>
        </is>
      </c>
      <c r="T22" t="n">
        <v>3</v>
      </c>
      <c r="U22" t="n">
        <v>1</v>
      </c>
      <c r="V22" t="n">
        <v>1</v>
      </c>
      <c r="W22" t="inlineStr">
        <is>
          <t>Consome uma escolha</t>
        </is>
      </c>
      <c r="X22" t="inlineStr">
        <is>
          <t>Casco</t>
        </is>
      </c>
      <c r="Y22" t="b">
        <v>0</v>
      </c>
      <c r="Z22" t="inlineStr">
        <is>
          <t>—</t>
        </is>
      </c>
      <c r="AA22" t="b">
        <v>0</v>
      </c>
      <c r="BF22">
        <f>'DADOS_APTIDOES'!$O22</f>
        <v/>
      </c>
      <c r="BG22">
        <f>'DADOS_APTIDOES'!$R22</f>
        <v/>
      </c>
      <c r="BH22">
        <f>'DADOS_APTIDOES'!$T22</f>
        <v/>
      </c>
      <c r="BI22">
        <f>'DADOS_APTIDOES'!$Z22</f>
        <v/>
      </c>
      <c r="BJ22">
        <f>'DADOS_APTIDOES'!$S22</f>
        <v/>
      </c>
      <c r="BK22">
        <f>IF(AND(NOT('DADOS_APTIDOES'!$AA22),IF(DADOS_AM!$A$2=4,'DADOS_APTIDOES'!$N22="Bênção",AND(NOT('DADOS_APTIDOES'!$N22="Bênção"),NOT(AND(DADOS_AM!$A$2=3,'DADOS_APTIDOES'!$Y22))))),'DADOS_APTIDOES'!$O22,"")</f>
        <v/>
      </c>
      <c r="BL22">
        <f>N('DADOS_APTIDOES'!$N22="Bênção")</f>
        <v/>
      </c>
      <c r="BM22">
        <f>N('DADOS_APTIDOES'!$Y22)</f>
        <v/>
      </c>
      <c r="BN22">
        <f>IF('DADOS_APTIDOES'!$W22="Gratuita",1,0)</f>
        <v/>
      </c>
      <c r="BO22" t="inlineStr">
        <is>
          <t>Seu máximo de pontos de vida aumenta em metade do seu nível, arredondada para baixo. Recalcule ao subir de nível. Você também recebe +1 nos TRs de Vigor. No nível 14, o aumento é 7 pontos de vida. No nível 30, é 15. O benefício não recupera vida perdida por si só nem aumenta Integridade.</t>
        </is>
      </c>
      <c r="BQ22" t="inlineStr">
        <is>
          <t>Ímpeto</t>
        </is>
      </c>
      <c r="BS22" t="n">
        <v>21</v>
      </c>
    </row>
    <row r="23">
      <c r="N23" t="inlineStr">
        <is>
          <t>Bênção</t>
        </is>
      </c>
      <c r="O23" t="inlineStr">
        <is>
          <t>Presilha</t>
        </is>
      </c>
      <c r="P23">
        <f>""</f>
        <v/>
      </c>
      <c r="Q23" t="b">
        <v>0</v>
      </c>
      <c r="R23" t="inlineStr">
        <is>
          <t>Lapidação 4 e Força 4</t>
        </is>
      </c>
      <c r="S23" t="inlineStr">
        <is>
          <t>Uma vez por rodada, quando uma criatura passar num TR para evitar que você a agarre, derrube ou mova à força, pode obrigá-la a repetir esse TR. Use o novo resultado. Faça a repetição antes de resolver as consequências daquele TR, sem gastar outra ação. Preserve a mesma CD e os modificadores. O benefício não permite uma tentativa proibida por tamanho, alcance ou imunidade. Se um único TR também decidir o dano, mantenha o resultado original para o dano e use a repetição somente para a manobra ou o deslocamento.</t>
        </is>
      </c>
      <c r="T23" t="n">
        <v>2</v>
      </c>
      <c r="U23" t="n">
        <v>1</v>
      </c>
      <c r="V23" t="n">
        <v>1</v>
      </c>
      <c r="W23" t="inlineStr">
        <is>
          <t>Consome uma escolha</t>
        </is>
      </c>
      <c r="X23" t="inlineStr">
        <is>
          <t>Presilha</t>
        </is>
      </c>
      <c r="Y23" t="b">
        <v>0</v>
      </c>
      <c r="Z23" t="inlineStr">
        <is>
          <t>—</t>
        </is>
      </c>
      <c r="AA23" t="b">
        <v>0</v>
      </c>
      <c r="BF23">
        <f>'DADOS_APTIDOES'!$O23</f>
        <v/>
      </c>
      <c r="BG23">
        <f>'DADOS_APTIDOES'!$R23</f>
        <v/>
      </c>
      <c r="BH23">
        <f>'DADOS_APTIDOES'!$T23</f>
        <v/>
      </c>
      <c r="BI23">
        <f>'DADOS_APTIDOES'!$Z23</f>
        <v/>
      </c>
      <c r="BJ23">
        <f>'DADOS_APTIDOES'!$S23</f>
        <v/>
      </c>
      <c r="BK23">
        <f>IF(AND(NOT('DADOS_APTIDOES'!$AA23),IF(DADOS_AM!$A$2=4,'DADOS_APTIDOES'!$N23="Bênção",AND(NOT('DADOS_APTIDOES'!$N23="Bênção"),NOT(AND(DADOS_AM!$A$2=3,'DADOS_APTIDOES'!$Y23))))),'DADOS_APTIDOES'!$O23,"")</f>
        <v/>
      </c>
      <c r="BL23">
        <f>N('DADOS_APTIDOES'!$N23="Bênção")</f>
        <v/>
      </c>
      <c r="BM23">
        <f>N('DADOS_APTIDOES'!$Y23)</f>
        <v/>
      </c>
      <c r="BN23">
        <f>IF('DADOS_APTIDOES'!$W23="Gratuita",1,0)</f>
        <v/>
      </c>
      <c r="BO23" t="inlineStr">
        <is>
          <t>Uma vez por rodada, quando uma criatura passar num TR para evitar que você a agarre, derrube ou mova à força, pode obrigá-la a repetir esse TR.</t>
        </is>
      </c>
      <c r="BQ23" t="inlineStr">
        <is>
          <t>Casco</t>
        </is>
      </c>
      <c r="BS23" t="n">
        <v>22</v>
      </c>
    </row>
    <row r="24">
      <c r="N24" t="inlineStr">
        <is>
          <t>Bênção</t>
        </is>
      </c>
      <c r="O24" t="inlineStr">
        <is>
          <t>Vigília</t>
        </is>
      </c>
      <c r="P24">
        <f>""</f>
        <v/>
      </c>
      <c r="Q24" t="b">
        <v>0</v>
      </c>
      <c r="R24" t="inlineStr">
        <is>
          <t>Lapidação 4</t>
        </is>
      </c>
      <c r="S24" t="inlineStr">
        <is>
          <t>Ao aplicar as consequências de Exaustão, conte um estágio a menos, até o mínimo de zero. Mantenha na ficha o estágio real: ganhar nova Exaustão e removê-la pelo descanso continua usando esse valor. Ter Exaustão 1 elimina suas consequências enquanto a Bênção estiver ativa. Ter Exaustão 3 aplica as consequências do estágio 2. A Bênção não remove o estágio marcado.</t>
        </is>
      </c>
      <c r="T24" t="n">
        <v>2</v>
      </c>
      <c r="U24" t="n">
        <v>1</v>
      </c>
      <c r="V24" t="n">
        <v>1</v>
      </c>
      <c r="W24" t="inlineStr">
        <is>
          <t>Consome uma escolha</t>
        </is>
      </c>
      <c r="X24" t="inlineStr">
        <is>
          <t>Vigília</t>
        </is>
      </c>
      <c r="Y24" t="b">
        <v>0</v>
      </c>
      <c r="Z24" t="inlineStr">
        <is>
          <t>—</t>
        </is>
      </c>
      <c r="AA24" t="b">
        <v>0</v>
      </c>
      <c r="BF24">
        <f>'DADOS_APTIDOES'!$O24</f>
        <v/>
      </c>
      <c r="BG24">
        <f>'DADOS_APTIDOES'!$R24</f>
        <v/>
      </c>
      <c r="BH24">
        <f>'DADOS_APTIDOES'!$T24</f>
        <v/>
      </c>
      <c r="BI24">
        <f>'DADOS_APTIDOES'!$Z24</f>
        <v/>
      </c>
      <c r="BJ24">
        <f>'DADOS_APTIDOES'!$S24</f>
        <v/>
      </c>
      <c r="BK24">
        <f>IF(AND(NOT('DADOS_APTIDOES'!$AA24),IF(DADOS_AM!$A$2=4,'DADOS_APTIDOES'!$N24="Bênção",AND(NOT('DADOS_APTIDOES'!$N24="Bênção"),NOT(AND(DADOS_AM!$A$2=3,'DADOS_APTIDOES'!$Y24))))),'DADOS_APTIDOES'!$O24,"")</f>
        <v/>
      </c>
      <c r="BL24">
        <f>N('DADOS_APTIDOES'!$N24="Bênção")</f>
        <v/>
      </c>
      <c r="BM24">
        <f>N('DADOS_APTIDOES'!$Y24)</f>
        <v/>
      </c>
      <c r="BN24">
        <f>IF('DADOS_APTIDOES'!$W24="Gratuita",1,0)</f>
        <v/>
      </c>
      <c r="BO24" t="inlineStr">
        <is>
          <t>Ao aplicar as consequências de Exaustão, conte um estágio a menos, até o mínimo de zero.</t>
        </is>
      </c>
      <c r="BQ24" t="inlineStr">
        <is>
          <t>Presilha</t>
        </is>
      </c>
      <c r="BS24" t="n">
        <v>23</v>
      </c>
    </row>
    <row r="25">
      <c r="N25" t="inlineStr">
        <is>
          <t>Bênção</t>
        </is>
      </c>
      <c r="O25" t="inlineStr">
        <is>
          <t>Faro</t>
        </is>
      </c>
      <c r="P25">
        <f>""</f>
        <v/>
      </c>
      <c r="Q25" t="b">
        <v>0</v>
      </c>
      <c r="R25" t="inlineStr">
        <is>
          <t>Lapidação 1</t>
        </is>
      </c>
      <c r="S25" t="inlineStr">
        <is>
          <t>Você pode seguir feiticeiros e maldições pelos vestígios físicos que deixaram: cheiro, marcas e objetos fora do lugar. A Bênção permite perceber essas pistas sem Sentir Energia. Ao tocar uma marca deixada por uma técnica, reconhece superficialmente o que aconteceu ali, como um corte, um impacto ou a deformação de um material. Não identifica o autor, sua localização atual, a montagem da técnica ou detalhes ausentes no vestígio.</t>
        </is>
      </c>
      <c r="T25" t="n">
        <v>1</v>
      </c>
      <c r="U25" t="n">
        <v>1</v>
      </c>
      <c r="V25" t="n">
        <v>1</v>
      </c>
      <c r="W25" t="inlineStr">
        <is>
          <t>Consome uma escolha</t>
        </is>
      </c>
      <c r="X25" t="inlineStr">
        <is>
          <t>Faro</t>
        </is>
      </c>
      <c r="Y25" t="b">
        <v>0</v>
      </c>
      <c r="Z25" t="inlineStr">
        <is>
          <t>—</t>
        </is>
      </c>
      <c r="AA25" t="b">
        <v>0</v>
      </c>
      <c r="BF25">
        <f>'DADOS_APTIDOES'!$O25</f>
        <v/>
      </c>
      <c r="BG25">
        <f>'DADOS_APTIDOES'!$R25</f>
        <v/>
      </c>
      <c r="BH25">
        <f>'DADOS_APTIDOES'!$T25</f>
        <v/>
      </c>
      <c r="BI25">
        <f>'DADOS_APTIDOES'!$Z25</f>
        <v/>
      </c>
      <c r="BJ25">
        <f>'DADOS_APTIDOES'!$S25</f>
        <v/>
      </c>
      <c r="BK25">
        <f>IF(AND(NOT('DADOS_APTIDOES'!$AA25),IF(DADOS_AM!$A$2=4,'DADOS_APTIDOES'!$N25="Bênção",AND(NOT('DADOS_APTIDOES'!$N25="Bênção"),NOT(AND(DADOS_AM!$A$2=3,'DADOS_APTIDOES'!$Y25))))),'DADOS_APTIDOES'!$O25,"")</f>
        <v/>
      </c>
      <c r="BL25">
        <f>N('DADOS_APTIDOES'!$N25="Bênção")</f>
        <v/>
      </c>
      <c r="BM25">
        <f>N('DADOS_APTIDOES'!$Y25)</f>
        <v/>
      </c>
      <c r="BN25">
        <f>IF('DADOS_APTIDOES'!$W25="Gratuita",1,0)</f>
        <v/>
      </c>
      <c r="BO25" t="inlineStr">
        <is>
          <t>Você pode seguir feiticeiros e maldições pelos vestígios físicos que deixaram: cheiro, marcas e objetos fora do lugar.</t>
        </is>
      </c>
      <c r="BQ25" t="inlineStr">
        <is>
          <t>Vigília</t>
        </is>
      </c>
      <c r="BS25" t="n">
        <v>24</v>
      </c>
    </row>
    <row r="26">
      <c r="N26" t="inlineStr">
        <is>
          <t>Bênção</t>
        </is>
      </c>
      <c r="O26" t="inlineStr">
        <is>
          <t>Sem Pegada</t>
        </is>
      </c>
      <c r="P26">
        <f>""</f>
        <v/>
      </c>
      <c r="Q26" t="b">
        <v>0</v>
      </c>
      <c r="R26" t="inlineStr">
        <is>
          <t>Lapidação 1</t>
        </is>
      </c>
      <c r="S26" t="inlineStr">
        <is>
          <t>Sua passagem não deixa pegadas, cheiro, marcas ou som de passos que possam servir de rastro. Faro, animais e técnicas que dependam desses vestígios não conseguem seguir seu caminho por eles. Uma testemunha ainda pode enxergar você. Voz, armas e objetos que você manipule continuam produzindo seus próprios sons. Esconder-se segue a ação e os requisitos de Furtividade. A Bênção não concede um teste gratuito para se ocultar nem mantém oculto um ataque que revele sua posição.</t>
        </is>
      </c>
      <c r="T26" t="n">
        <v>1</v>
      </c>
      <c r="U26" t="n">
        <v>1</v>
      </c>
      <c r="V26" t="n">
        <v>1</v>
      </c>
      <c r="W26" t="inlineStr">
        <is>
          <t>Consome uma escolha</t>
        </is>
      </c>
      <c r="X26" t="inlineStr">
        <is>
          <t>Sem Pegada</t>
        </is>
      </c>
      <c r="Y26" t="b">
        <v>0</v>
      </c>
      <c r="Z26" t="inlineStr">
        <is>
          <t>—</t>
        </is>
      </c>
      <c r="AA26" t="b">
        <v>0</v>
      </c>
      <c r="BF26">
        <f>'DADOS_APTIDOES'!$O26</f>
        <v/>
      </c>
      <c r="BG26">
        <f>'DADOS_APTIDOES'!$R26</f>
        <v/>
      </c>
      <c r="BH26">
        <f>'DADOS_APTIDOES'!$T26</f>
        <v/>
      </c>
      <c r="BI26">
        <f>'DADOS_APTIDOES'!$Z26</f>
        <v/>
      </c>
      <c r="BJ26">
        <f>'DADOS_APTIDOES'!$S26</f>
        <v/>
      </c>
      <c r="BK26">
        <f>IF(AND(NOT('DADOS_APTIDOES'!$AA26),IF(DADOS_AM!$A$2=4,'DADOS_APTIDOES'!$N26="Bênção",AND(NOT('DADOS_APTIDOES'!$N26="Bênção"),NOT(AND(DADOS_AM!$A$2=3,'DADOS_APTIDOES'!$Y26))))),'DADOS_APTIDOES'!$O26,"")</f>
        <v/>
      </c>
      <c r="BL26">
        <f>N('DADOS_APTIDOES'!$N26="Bênção")</f>
        <v/>
      </c>
      <c r="BM26">
        <f>N('DADOS_APTIDOES'!$Y26)</f>
        <v/>
      </c>
      <c r="BN26">
        <f>IF('DADOS_APTIDOES'!$W26="Gratuita",1,0)</f>
        <v/>
      </c>
      <c r="BO26" t="inlineStr">
        <is>
          <t>Sua passagem não deixa pegadas, cheiro, marcas ou som de passos que possam servir de rastro.</t>
        </is>
      </c>
      <c r="BQ26" t="inlineStr">
        <is>
          <t>Faro</t>
        </is>
      </c>
      <c r="BS26" t="n">
        <v>25</v>
      </c>
    </row>
    <row r="27">
      <c r="N27" t="inlineStr">
        <is>
          <t>Bênção</t>
        </is>
      </c>
      <c r="O27" t="inlineStr">
        <is>
          <t>Vulto</t>
        </is>
      </c>
      <c r="P27">
        <f>""</f>
        <v/>
      </c>
      <c r="Q27" t="b">
        <v>0</v>
      </c>
      <c r="R27" t="inlineStr">
        <is>
          <t>Lapidação 4</t>
        </is>
      </c>
      <c r="S27" t="inlineStr">
        <is>
          <t>Você possui visão às cegas a até 1,5 m × metade da Lapidação, arredondada para baixo. Percebe criaturas e objetos nessa área por som e movimento, mesmo sem usar os olhos. Um obstáculo sólido bloqueia essa percepção. Vulto não revela o interior de uma sala fechada. Se a cena impedir tanto som quanto sinais de movimento de chegarem até você, esses sinais deixam de fornecer percepção. Com Lapidação 4 ou 5, o alcance é 3 m. Com Lapidação 10, é 7,5 m. Fora dessa distância, use seus outros sentidos normalmente. A percepção não altera o alcance de seus ataques ou Katas.</t>
        </is>
      </c>
      <c r="T27" t="n">
        <v>2</v>
      </c>
      <c r="U27" t="n">
        <v>1</v>
      </c>
      <c r="V27" t="n">
        <v>1</v>
      </c>
      <c r="W27" t="inlineStr">
        <is>
          <t>Consome uma escolha</t>
        </is>
      </c>
      <c r="X27" t="inlineStr">
        <is>
          <t>Vulto</t>
        </is>
      </c>
      <c r="Y27" t="b">
        <v>0</v>
      </c>
      <c r="Z27" t="inlineStr">
        <is>
          <t>—</t>
        </is>
      </c>
      <c r="AA27" t="b">
        <v>0</v>
      </c>
      <c r="BF27">
        <f>'DADOS_APTIDOES'!$O27</f>
        <v/>
      </c>
      <c r="BG27">
        <f>'DADOS_APTIDOES'!$R27</f>
        <v/>
      </c>
      <c r="BH27">
        <f>'DADOS_APTIDOES'!$T27</f>
        <v/>
      </c>
      <c r="BI27">
        <f>'DADOS_APTIDOES'!$Z27</f>
        <v/>
      </c>
      <c r="BJ27">
        <f>'DADOS_APTIDOES'!$S27</f>
        <v/>
      </c>
      <c r="BK27">
        <f>IF(AND(NOT('DADOS_APTIDOES'!$AA27),IF(DADOS_AM!$A$2=4,'DADOS_APTIDOES'!$N27="Bênção",AND(NOT('DADOS_APTIDOES'!$N27="Bênção"),NOT(AND(DADOS_AM!$A$2=3,'DADOS_APTIDOES'!$Y27))))),'DADOS_APTIDOES'!$O27,"")</f>
        <v/>
      </c>
      <c r="BL27">
        <f>N('DADOS_APTIDOES'!$N27="Bênção")</f>
        <v/>
      </c>
      <c r="BM27">
        <f>N('DADOS_APTIDOES'!$Y27)</f>
        <v/>
      </c>
      <c r="BN27">
        <f>IF('DADOS_APTIDOES'!$W27="Gratuita",1,0)</f>
        <v/>
      </c>
      <c r="BO27" t="inlineStr">
        <is>
          <t>Você possui visão às cegas a até 1,5 m × metade da Lapidação, arredondada para baixo.</t>
        </is>
      </c>
      <c r="BQ27" t="inlineStr">
        <is>
          <t>Sem Pegada</t>
        </is>
      </c>
      <c r="BS27" t="n">
        <v>26</v>
      </c>
    </row>
    <row r="28">
      <c r="N28" t="inlineStr">
        <is>
          <t>Bênção</t>
        </is>
      </c>
      <c r="O28" t="inlineStr">
        <is>
          <t>Esteio</t>
        </is>
      </c>
      <c r="P28">
        <f>""</f>
        <v/>
      </c>
      <c r="Q28" t="b">
        <v>0</v>
      </c>
      <c r="R28" t="inlineStr">
        <is>
          <t>Lapidação 7</t>
        </is>
      </c>
      <c r="S28" t="inlineStr">
        <is>
          <t>Ao adquirir a Bênção, escolha um TR: Físico, Vigor, Intelecto ou Espírito. O menor resultado do d20 nesse TR passa a ser sua Lapidação, limitada ao atributo do TR +2. No Físico, use Força ou Destreza conforme a escolha fixa da sua ficha. Vigor usa Constituição, Intelecto usa Inteligência e Espírito usa Essência. Some os modificadores normais depois de aplicar o piso. O piso não modifica o número efetivamente rolado para uma regra que exija um resultado natural. Com Lapidação 7 e atributo 4, o piso é 6. Com Lapidação 10 e atributo 6, é 8. Um resultado maior permanece como foi rolado.</t>
        </is>
      </c>
      <c r="T28" t="n">
        <v>3</v>
      </c>
      <c r="U28" t="n">
        <v>1</v>
      </c>
      <c r="V28" t="n">
        <v>1</v>
      </c>
      <c r="W28" t="inlineStr">
        <is>
          <t>Consome uma escolha</t>
        </is>
      </c>
      <c r="X28" t="inlineStr">
        <is>
          <t>Esteio</t>
        </is>
      </c>
      <c r="Y28" t="b">
        <v>0</v>
      </c>
      <c r="Z28" t="inlineStr">
        <is>
          <t>—</t>
        </is>
      </c>
      <c r="AA28" t="b">
        <v>0</v>
      </c>
      <c r="BF28">
        <f>'DADOS_APTIDOES'!$O28</f>
        <v/>
      </c>
      <c r="BG28">
        <f>'DADOS_APTIDOES'!$R28</f>
        <v/>
      </c>
      <c r="BH28">
        <f>'DADOS_APTIDOES'!$T28</f>
        <v/>
      </c>
      <c r="BI28">
        <f>'DADOS_APTIDOES'!$Z28</f>
        <v/>
      </c>
      <c r="BJ28">
        <f>'DADOS_APTIDOES'!$S28</f>
        <v/>
      </c>
      <c r="BK28">
        <f>IF(AND(NOT('DADOS_APTIDOES'!$AA28),IF(DADOS_AM!$A$2=4,'DADOS_APTIDOES'!$N28="Bênção",AND(NOT('DADOS_APTIDOES'!$N28="Bênção"),NOT(AND(DADOS_AM!$A$2=3,'DADOS_APTIDOES'!$Y28))))),'DADOS_APTIDOES'!$O28,"")</f>
        <v/>
      </c>
      <c r="BL28">
        <f>N('DADOS_APTIDOES'!$N28="Bênção")</f>
        <v/>
      </c>
      <c r="BM28">
        <f>N('DADOS_APTIDOES'!$Y28)</f>
        <v/>
      </c>
      <c r="BN28">
        <f>IF('DADOS_APTIDOES'!$W28="Gratuita",1,0)</f>
        <v/>
      </c>
      <c r="BO28" t="inlineStr">
        <is>
          <t>Ao adquirir a Bênção, escolha um TR: Físico, Vigor, Intelecto ou Espírito.</t>
        </is>
      </c>
      <c r="BQ28" t="inlineStr">
        <is>
          <t>Vulto</t>
        </is>
      </c>
      <c r="BS28" t="n">
        <v>27</v>
      </c>
    </row>
    <row r="29">
      <c r="N29" t="inlineStr">
        <is>
          <t>Bênção</t>
        </is>
      </c>
      <c r="O29" t="inlineStr">
        <is>
          <t>Antecipar</t>
        </is>
      </c>
      <c r="P29">
        <f>""</f>
        <v/>
      </c>
      <c r="Q29" t="b">
        <v>0</v>
      </c>
      <c r="R29" t="inlineStr">
        <is>
          <t>Lapidação 4 e Inteligência 4</t>
        </is>
      </c>
      <c r="S29" t="inlineStr">
        <is>
          <t>Depois de falhar num TR contra um efeito, você recebe vantagem nos próximos TRs contra esse mesmo efeito, produzido pela mesma fonte, até o fim da cena. Uma nova aplicação daquela mesma capacidade pela mesma criatura mantém o benefício. Um efeito diferente, outra criatura ou outra fonte exige sua própria falha anterior. A vantagem não refaz o TR que ativou a Bênção.</t>
        </is>
      </c>
      <c r="T29" t="n">
        <v>2</v>
      </c>
      <c r="U29" t="n">
        <v>1</v>
      </c>
      <c r="V29" t="n">
        <v>1</v>
      </c>
      <c r="W29" t="inlineStr">
        <is>
          <t>Consome uma escolha</t>
        </is>
      </c>
      <c r="X29" t="inlineStr">
        <is>
          <t>Antecipar</t>
        </is>
      </c>
      <c r="Y29" t="b">
        <v>0</v>
      </c>
      <c r="Z29" t="inlineStr">
        <is>
          <t>—</t>
        </is>
      </c>
      <c r="AA29" t="b">
        <v>0</v>
      </c>
      <c r="BF29">
        <f>'DADOS_APTIDOES'!$O29</f>
        <v/>
      </c>
      <c r="BG29">
        <f>'DADOS_APTIDOES'!$R29</f>
        <v/>
      </c>
      <c r="BH29">
        <f>'DADOS_APTIDOES'!$T29</f>
        <v/>
      </c>
      <c r="BI29">
        <f>'DADOS_APTIDOES'!$Z29</f>
        <v/>
      </c>
      <c r="BJ29">
        <f>'DADOS_APTIDOES'!$S29</f>
        <v/>
      </c>
      <c r="BK29">
        <f>IF(AND(NOT('DADOS_APTIDOES'!$AA29),IF(DADOS_AM!$A$2=4,'DADOS_APTIDOES'!$N29="Bênção",AND(NOT('DADOS_APTIDOES'!$N29="Bênção"),NOT(AND(DADOS_AM!$A$2=3,'DADOS_APTIDOES'!$Y29))))),'DADOS_APTIDOES'!$O29,"")</f>
        <v/>
      </c>
      <c r="BL29">
        <f>N('DADOS_APTIDOES'!$N29="Bênção")</f>
        <v/>
      </c>
      <c r="BM29">
        <f>N('DADOS_APTIDOES'!$Y29)</f>
        <v/>
      </c>
      <c r="BN29">
        <f>IF('DADOS_APTIDOES'!$W29="Gratuita",1,0)</f>
        <v/>
      </c>
      <c r="BO29" t="inlineStr">
        <is>
          <t>Depois de falhar num TR contra um efeito, você recebe vantagem nos próximos TRs contra esse mesmo efeito, produzido pela mesma fonte, até o fim da cena.</t>
        </is>
      </c>
      <c r="BQ29" t="inlineStr">
        <is>
          <t>Esteio</t>
        </is>
      </c>
      <c r="BS29" t="n">
        <v>28</v>
      </c>
    </row>
    <row r="30">
      <c r="N30" t="inlineStr">
        <is>
          <t>Bênção</t>
        </is>
      </c>
      <c r="O30" t="inlineStr">
        <is>
          <t>Represália</t>
        </is>
      </c>
      <c r="P30">
        <f>""</f>
        <v/>
      </c>
      <c r="Q30" t="b">
        <v>0</v>
      </c>
      <c r="R30" t="inlineStr">
        <is>
          <t>Lapidação 4 e Força 4 ou Destreza 4</t>
        </is>
      </c>
      <c r="S30" t="inlineStr">
        <is>
          <t>Fora do seu turno, quando uma criatura que você enxerga ou acompanha por um sentido equivalente à visão usa uma aptidão que custe ação ou Reação, ou conjura um feitiço a até 1,5 m de você, pode gastar sua Reação para realizar um ataque corpo a corpo com arma ou desarmado contra ela. Aptidões e benefícios passivos não contam. Resolva o ataque depois do uso que provocou a resposta. A criatura precisa continuar a até 1,5 m e ao alcance do ataque escolhido. A Reação não interrompe nem desfaz a aptidão ou o feitiço. Manter um efeito já ativo não oferece um novo gatilho. Abrir ou manter uma Expansão de Domínio e o Acerto de uma Expansão incompleta não ativam esta Bênção; feitiços conjurados dentro de um domínio continuam contando normalmente.</t>
        </is>
      </c>
      <c r="T30" t="n">
        <v>2</v>
      </c>
      <c r="U30" t="n">
        <v>1</v>
      </c>
      <c r="V30" t="n">
        <v>1</v>
      </c>
      <c r="W30" t="inlineStr">
        <is>
          <t>Consome uma escolha</t>
        </is>
      </c>
      <c r="X30" t="inlineStr">
        <is>
          <t>Represália</t>
        </is>
      </c>
      <c r="Y30" t="b">
        <v>0</v>
      </c>
      <c r="Z30" t="inlineStr">
        <is>
          <t>—</t>
        </is>
      </c>
      <c r="AA30" t="b">
        <v>0</v>
      </c>
      <c r="BF30">
        <f>'DADOS_APTIDOES'!$O30</f>
        <v/>
      </c>
      <c r="BG30">
        <f>'DADOS_APTIDOES'!$R30</f>
        <v/>
      </c>
      <c r="BH30">
        <f>'DADOS_APTIDOES'!$T30</f>
        <v/>
      </c>
      <c r="BI30">
        <f>'DADOS_APTIDOES'!$Z30</f>
        <v/>
      </c>
      <c r="BJ30">
        <f>'DADOS_APTIDOES'!$S30</f>
        <v/>
      </c>
      <c r="BK30">
        <f>IF(AND(NOT('DADOS_APTIDOES'!$AA30),IF(DADOS_AM!$A$2=4,'DADOS_APTIDOES'!$N30="Bênção",AND(NOT('DADOS_APTIDOES'!$N30="Bênção"),NOT(AND(DADOS_AM!$A$2=3,'DADOS_APTIDOES'!$Y30))))),'DADOS_APTIDOES'!$O30,"")</f>
        <v/>
      </c>
      <c r="BL30">
        <f>N('DADOS_APTIDOES'!$N30="Bênção")</f>
        <v/>
      </c>
      <c r="BM30">
        <f>N('DADOS_APTIDOES'!$Y30)</f>
        <v/>
      </c>
      <c r="BN30">
        <f>IF('DADOS_APTIDOES'!$W30="Gratuita",1,0)</f>
        <v/>
      </c>
      <c r="BO30" t="inlineStr">
        <is>
          <t>Fora do seu turno, quando uma criatura que você enxerga ou acompanha por um sentido equivalente à visão usa uma aptidão que custe ação ou Reação, ou conjura um feitiço a até 1,5 m de você, pode gastar sua Reação para realizar um ataque corpo a corpo com arma ou desarmado contra ela.</t>
        </is>
      </c>
      <c r="BQ30" t="inlineStr">
        <is>
          <t>Antecipar</t>
        </is>
      </c>
      <c r="BS30" t="n">
        <v>29</v>
      </c>
    </row>
    <row r="31">
      <c r="N31" t="inlineStr">
        <is>
          <t>Bênção</t>
        </is>
      </c>
      <c r="O31" t="inlineStr">
        <is>
          <t>Sangue Frio</t>
        </is>
      </c>
      <c r="P31">
        <f>""</f>
        <v/>
      </c>
      <c r="Q31" t="b">
        <v>0</v>
      </c>
      <c r="R31" t="inlineStr">
        <is>
          <t>Lapidação 7 e Constituição 4</t>
        </is>
      </c>
      <c r="S31" t="inlineStr">
        <is>
          <t>Você tem vantagem nos TRs contra feitiços e contra aptidões que custem ação ou Reação produzidos por uma criatura a até 3 m de você. Confira a distância até essa criatura no momento de cada TR. Aptidões e benefícios passivos não contam. Uma vez por cena, depois de falhar em um desses TRs e antes de sofrer suas consequências, pode repetir a rolagem, sem gastar ação. Role um único d20, sem a vantagem desta Bênção, e mantenha a CD e os modificadores. O novo resultado é obrigatório. A repetição também exige que a criatura esteja a até 3 m. A vantagem e a repetição não se aplicam à abertura ou manutenção de uma Expansão de Domínio, nem ao Acerto de uma Expansão incompleta; feitiços conjurados dentro de um domínio continuam contando normalmente.</t>
        </is>
      </c>
      <c r="T31" t="n">
        <v>3</v>
      </c>
      <c r="U31" t="n">
        <v>1</v>
      </c>
      <c r="V31" t="n">
        <v>1</v>
      </c>
      <c r="W31" t="inlineStr">
        <is>
          <t>Consome uma escolha</t>
        </is>
      </c>
      <c r="X31" t="inlineStr">
        <is>
          <t>Sangue Frio</t>
        </is>
      </c>
      <c r="Y31" t="b">
        <v>0</v>
      </c>
      <c r="Z31" t="inlineStr">
        <is>
          <t>—</t>
        </is>
      </c>
      <c r="AA31" t="b">
        <v>0</v>
      </c>
      <c r="BF31">
        <f>'DADOS_APTIDOES'!$O31</f>
        <v/>
      </c>
      <c r="BG31">
        <f>'DADOS_APTIDOES'!$R31</f>
        <v/>
      </c>
      <c r="BH31">
        <f>'DADOS_APTIDOES'!$T31</f>
        <v/>
      </c>
      <c r="BI31">
        <f>'DADOS_APTIDOES'!$Z31</f>
        <v/>
      </c>
      <c r="BJ31">
        <f>'DADOS_APTIDOES'!$S31</f>
        <v/>
      </c>
      <c r="BK31">
        <f>IF(AND(NOT('DADOS_APTIDOES'!$AA31),IF(DADOS_AM!$A$2=4,'DADOS_APTIDOES'!$N31="Bênção",AND(NOT('DADOS_APTIDOES'!$N31="Bênção"),NOT(AND(DADOS_AM!$A$2=3,'DADOS_APTIDOES'!$Y31))))),'DADOS_APTIDOES'!$O31,"")</f>
        <v/>
      </c>
      <c r="BL31">
        <f>N('DADOS_APTIDOES'!$N31="Bênção")</f>
        <v/>
      </c>
      <c r="BM31">
        <f>N('DADOS_APTIDOES'!$Y31)</f>
        <v/>
      </c>
      <c r="BN31">
        <f>IF('DADOS_APTIDOES'!$W31="Gratuita",1,0)</f>
        <v/>
      </c>
      <c r="BO31" t="inlineStr">
        <is>
          <t>Você tem vantagem nos TRs contra feitiços e contra aptidões que custem ação ou Reação produzidos por uma criatura a até 3 m de você.</t>
        </is>
      </c>
      <c r="BQ31" t="inlineStr">
        <is>
          <t>Represália</t>
        </is>
      </c>
      <c r="BS31" t="n">
        <v>30</v>
      </c>
    </row>
    <row r="32">
      <c r="N32" t="inlineStr">
        <is>
          <t>Bênção</t>
        </is>
      </c>
      <c r="O32" t="inlineStr">
        <is>
          <t>Campo</t>
        </is>
      </c>
      <c r="P32">
        <f>""</f>
        <v/>
      </c>
      <c r="Q32" t="b">
        <v>0</v>
      </c>
      <c r="R32" t="inlineStr">
        <is>
          <t>Lapidação 1</t>
        </is>
      </c>
      <c r="S32" t="inlineStr">
        <is>
          <t>Uma vez por cena, você pode realizar Estudar como Ação Bônus, em vez de Ação Padrão. Use a ação descrita em Ações — Estudar, com seus alvos, testes e informações disponíveis.</t>
        </is>
      </c>
      <c r="T32" t="n">
        <v>1</v>
      </c>
      <c r="U32" t="n">
        <v>1</v>
      </c>
      <c r="V32" t="n">
        <v>1</v>
      </c>
      <c r="W32" t="inlineStr">
        <is>
          <t>Consome uma escolha</t>
        </is>
      </c>
      <c r="X32" t="inlineStr">
        <is>
          <t>Campo</t>
        </is>
      </c>
      <c r="Y32" t="b">
        <v>0</v>
      </c>
      <c r="Z32" t="inlineStr">
        <is>
          <t>—</t>
        </is>
      </c>
      <c r="AA32" t="b">
        <v>0</v>
      </c>
      <c r="BF32">
        <f>'DADOS_APTIDOES'!$O32</f>
        <v/>
      </c>
      <c r="BG32">
        <f>'DADOS_APTIDOES'!$R32</f>
        <v/>
      </c>
      <c r="BH32">
        <f>'DADOS_APTIDOES'!$T32</f>
        <v/>
      </c>
      <c r="BI32">
        <f>'DADOS_APTIDOES'!$Z32</f>
        <v/>
      </c>
      <c r="BJ32">
        <f>'DADOS_APTIDOES'!$S32</f>
        <v/>
      </c>
      <c r="BK32">
        <f>IF(AND(NOT('DADOS_APTIDOES'!$AA32),IF(DADOS_AM!$A$2=4,'DADOS_APTIDOES'!$N32="Bênção",AND(NOT('DADOS_APTIDOES'!$N32="Bênção"),NOT(AND(DADOS_AM!$A$2=3,'DADOS_APTIDOES'!$Y32))))),'DADOS_APTIDOES'!$O32,"")</f>
        <v/>
      </c>
      <c r="BL32">
        <f>N('DADOS_APTIDOES'!$N32="Bênção")</f>
        <v/>
      </c>
      <c r="BM32">
        <f>N('DADOS_APTIDOES'!$Y32)</f>
        <v/>
      </c>
      <c r="BN32">
        <f>IF('DADOS_APTIDOES'!$W32="Gratuita",1,0)</f>
        <v/>
      </c>
      <c r="BO32" t="inlineStr">
        <is>
          <t>Uma vez por cena, você pode realizar Estudar como Ação Bônus, em vez de Ação Padrão. Use a ação descrita em Ações — Estudar, com seus alvos, testes e informações disponíveis.</t>
        </is>
      </c>
      <c r="BQ32" t="inlineStr">
        <is>
          <t>Sangue Frio</t>
        </is>
      </c>
    </row>
    <row r="33">
      <c r="N33" t="inlineStr">
        <is>
          <t>Bênção</t>
        </is>
      </c>
      <c r="O33" t="inlineStr">
        <is>
          <t>Assombro</t>
        </is>
      </c>
      <c r="P33">
        <f>""</f>
        <v/>
      </c>
      <c r="Q33" t="b">
        <v>0</v>
      </c>
      <c r="R33" t="inlineStr">
        <is>
          <t>Lapidação 1 e Essência 4</t>
        </is>
      </c>
      <c r="S33" t="inlineStr">
        <is>
          <t>Uma vez por cena, ao entrar nela ou ser visto pela primeira vez, escolha até metade de sua Lapidação, arredondada para baixo, mínimo 1, entre as criaturas presentes que enxerguem você. Cada uma faz TR de Espírito contra CD 8 + sua Essência + sua maestria. Na falha, fica Amedrontada até o fim do próximo turno dela. A presença do personagem provoca o efeito, sem exigir arma ou ferramenta em uso. Essência entra uma única vez na CD. O requisito de acesso não acrescenta um segundo bônus.</t>
        </is>
      </c>
      <c r="T33" t="n">
        <v>1</v>
      </c>
      <c r="U33" t="n">
        <v>1</v>
      </c>
      <c r="V33" t="n">
        <v>1</v>
      </c>
      <c r="W33" t="inlineStr">
        <is>
          <t>Consome uma escolha</t>
        </is>
      </c>
      <c r="X33" t="inlineStr">
        <is>
          <t>Assombro</t>
        </is>
      </c>
      <c r="Y33" t="b">
        <v>0</v>
      </c>
      <c r="Z33" t="inlineStr">
        <is>
          <t>—</t>
        </is>
      </c>
      <c r="AA33" t="b">
        <v>0</v>
      </c>
      <c r="BF33">
        <f>'DADOS_APTIDOES'!$O33</f>
        <v/>
      </c>
      <c r="BG33">
        <f>'DADOS_APTIDOES'!$R33</f>
        <v/>
      </c>
      <c r="BH33">
        <f>'DADOS_APTIDOES'!$T33</f>
        <v/>
      </c>
      <c r="BI33">
        <f>'DADOS_APTIDOES'!$Z33</f>
        <v/>
      </c>
      <c r="BJ33">
        <f>'DADOS_APTIDOES'!$S33</f>
        <v/>
      </c>
      <c r="BK33">
        <f>IF(AND(NOT('DADOS_APTIDOES'!$AA33),IF(DADOS_AM!$A$2=4,'DADOS_APTIDOES'!$N33="Bênção",AND(NOT('DADOS_APTIDOES'!$N33="Bênção"),NOT(AND(DADOS_AM!$A$2=3,'DADOS_APTIDOES'!$Y33))))),'DADOS_APTIDOES'!$O33,"")</f>
        <v/>
      </c>
      <c r="BL33">
        <f>N('DADOS_APTIDOES'!$N33="Bênção")</f>
        <v/>
      </c>
      <c r="BM33">
        <f>N('DADOS_APTIDOES'!$Y33)</f>
        <v/>
      </c>
      <c r="BN33">
        <f>IF('DADOS_APTIDOES'!$W33="Gratuita",1,0)</f>
        <v/>
      </c>
      <c r="BO33" t="inlineStr">
        <is>
          <t>Uma vez por cena, ao entrar nela ou ser visto pela primeira vez, escolha até metade de sua Lapidação, arredondada para baixo, mínimo 1, entre as criaturas presentes que enxerguem você.</t>
        </is>
      </c>
      <c r="BQ33" t="inlineStr">
        <is>
          <t>Campo</t>
        </is>
      </c>
    </row>
    <row r="34">
      <c r="N34" t="inlineStr">
        <is>
          <t>Bênção</t>
        </is>
      </c>
      <c r="O34" t="inlineStr">
        <is>
          <t>Bênção Própria (CE 1)</t>
        </is>
      </c>
      <c r="P34">
        <f>""</f>
        <v/>
      </c>
      <c r="Q34" t="b">
        <v>0</v>
      </c>
      <c r="R34" t="inlineStr">
        <is>
          <t>Uma por personagem</t>
        </is>
      </c>
      <c r="S34" t="inlineStr">
        <is>
          <t>Você pode desenvolver uma Bênção Própria por personagem, de Categoria de Efeito 1 ou 2. Crie-a com o mestre antes da sessão e adquira-a por uma escolha de Bênção, respeitando a Lapidação mínima da Categoria de Efeito. Escreva primeiro uma frase que diga o que o corpo consegue fazer. Depois, registre gatilho, alcance, duração e limites necessários. A mesa deve conseguir decidir quando o efeito aconteceu sem discutir novamente a proposta a cada uso. A Bênção segue a orientação de Aptidões e Refino — Aptidão Própria. Ela não acrescenta dados de dano. Se for Categoria de Efeito 2, precisa de um limite por cena. Não pode copiar uma Bênção existente ou fornecer uma capacidade cujo requisito você não alcançou. Uma proposta com requisito de Força ou Constituição deve conceder um feito corporal específico, ligado à sobrevivência, à recuperação ou a outra capacidade física. Bônus, vantagem ou repetição de uma perícia não bastam para representar esse feito. Efeitos de Categoria de Efeito 3 ficam fora desta opção. Se a mesa não conseguir limitar a proposta à Categoria de Efeito 1 ou 2, reduza seu alcance ou escolha outra ideia. Escreva a sua na caixa de baixo.</t>
        </is>
      </c>
      <c r="T34" t="n">
        <v>1</v>
      </c>
      <c r="U34" t="n">
        <v>1</v>
      </c>
      <c r="V34" t="n">
        <v>1</v>
      </c>
      <c r="W34" t="inlineStr">
        <is>
          <t>Consome uma escolha</t>
        </is>
      </c>
      <c r="X34" t="inlineStr">
        <is>
          <t>Bênção Própria (CE 1)</t>
        </is>
      </c>
      <c r="Y34" t="b">
        <v>0</v>
      </c>
      <c r="Z34" t="inlineStr">
        <is>
          <t>—</t>
        </is>
      </c>
      <c r="AA34" t="b">
        <v>0</v>
      </c>
      <c r="BF34">
        <f>'DADOS_APTIDOES'!$O34</f>
        <v/>
      </c>
      <c r="BG34">
        <f>'DADOS_APTIDOES'!$R34</f>
        <v/>
      </c>
      <c r="BH34">
        <f>'DADOS_APTIDOES'!$T34</f>
        <v/>
      </c>
      <c r="BI34">
        <f>'DADOS_APTIDOES'!$Z34</f>
        <v/>
      </c>
      <c r="BJ34">
        <f>'DADOS_APTIDOES'!$S34</f>
        <v/>
      </c>
      <c r="BK34">
        <f>IF(AND(NOT('DADOS_APTIDOES'!$AA34),IF(DADOS_AM!$A$2=4,'DADOS_APTIDOES'!$N34="Bênção",AND(NOT('DADOS_APTIDOES'!$N34="Bênção"),NOT(AND(DADOS_AM!$A$2=3,'DADOS_APTIDOES'!$Y34))))),'DADOS_APTIDOES'!$O34,"")</f>
        <v/>
      </c>
      <c r="BL34">
        <f>N('DADOS_APTIDOES'!$N34="Bênção")</f>
        <v/>
      </c>
      <c r="BM34">
        <f>N('DADOS_APTIDOES'!$Y34)</f>
        <v/>
      </c>
      <c r="BN34">
        <f>IF('DADOS_APTIDOES'!$W34="Gratuita",1,0)</f>
        <v/>
      </c>
      <c r="BO34" t="inlineStr">
        <is>
          <t>Você pode desenvolver uma Bênção Própria por personagem, de Categoria de Efeito 1 ou 2.</t>
        </is>
      </c>
      <c r="BQ34" t="inlineStr">
        <is>
          <t>Assombro</t>
        </is>
      </c>
    </row>
    <row r="35">
      <c r="N35" t="inlineStr">
        <is>
          <t>Bênção</t>
        </is>
      </c>
      <c r="O35" t="inlineStr">
        <is>
          <t>Bênção Própria (CE 2)</t>
        </is>
      </c>
      <c r="P35">
        <f>""</f>
        <v/>
      </c>
      <c r="Q35" t="b">
        <v>0</v>
      </c>
      <c r="R35" t="inlineStr">
        <is>
          <t>Uma por personagem</t>
        </is>
      </c>
      <c r="S35" t="inlineStr">
        <is>
          <t>Você pode desenvolver uma Bênção Própria por personagem, de Categoria de Efeito 1 ou 2. Crie-a com o mestre antes da sessão e adquira-a por uma escolha de Bênção, respeitando a Lapidação mínima da Categoria de Efeito. Escreva primeiro uma frase que diga o que o corpo consegue fazer. Depois, registre gatilho, alcance, duração e limites necessários. A mesa deve conseguir decidir quando o efeito aconteceu sem discutir novamente a proposta a cada uso. A Bênção segue a orientação de Aptidões e Refino — Aptidão Própria. Ela não acrescenta dados de dano. Se for Categoria de Efeito 2, precisa de um limite por cena. Não pode copiar uma Bênção existente ou fornecer uma capacidade cujo requisito você não alcançou. Uma proposta com requisito de Força ou Constituição deve conceder um feito corporal específico, ligado à sobrevivência, à recuperação ou a outra capacidade física. Bônus, vantagem ou repetição de uma perícia não bastam para representar esse feito. Efeitos de Categoria de Efeito 3 ficam fora desta opção. Se a mesa não conseguir limitar a proposta à Categoria de Efeito 1 ou 2, reduza seu alcance ou escolha outra ideia. Escreva a sua na caixa de baixo.</t>
        </is>
      </c>
      <c r="T35" t="n">
        <v>2</v>
      </c>
      <c r="U35" t="n">
        <v>1</v>
      </c>
      <c r="V35" t="n">
        <v>1</v>
      </c>
      <c r="W35" t="inlineStr">
        <is>
          <t>Consome uma escolha</t>
        </is>
      </c>
      <c r="X35" t="inlineStr">
        <is>
          <t>Bênção Própria (CE 2)</t>
        </is>
      </c>
      <c r="Y35" t="b">
        <v>0</v>
      </c>
      <c r="Z35" t="inlineStr">
        <is>
          <t>—</t>
        </is>
      </c>
      <c r="AA35" t="b">
        <v>0</v>
      </c>
      <c r="BF35">
        <f>'DADOS_APTIDOES'!$O35</f>
        <v/>
      </c>
      <c r="BG35">
        <f>'DADOS_APTIDOES'!$R35</f>
        <v/>
      </c>
      <c r="BH35">
        <f>'DADOS_APTIDOES'!$T35</f>
        <v/>
      </c>
      <c r="BI35">
        <f>'DADOS_APTIDOES'!$Z35</f>
        <v/>
      </c>
      <c r="BJ35">
        <f>'DADOS_APTIDOES'!$S35</f>
        <v/>
      </c>
      <c r="BK35">
        <f>IF(AND(NOT('DADOS_APTIDOES'!$AA35),IF(DADOS_AM!$A$2=4,'DADOS_APTIDOES'!$N35="Bênção",AND(NOT('DADOS_APTIDOES'!$N35="Bênção"),NOT(AND(DADOS_AM!$A$2=3,'DADOS_APTIDOES'!$Y35))))),'DADOS_APTIDOES'!$O35,"")</f>
        <v/>
      </c>
      <c r="BL35">
        <f>N('DADOS_APTIDOES'!$N35="Bênção")</f>
        <v/>
      </c>
      <c r="BM35">
        <f>N('DADOS_APTIDOES'!$Y35)</f>
        <v/>
      </c>
      <c r="BN35">
        <f>IF('DADOS_APTIDOES'!$W35="Gratuita",1,0)</f>
        <v/>
      </c>
      <c r="BO35" t="inlineStr">
        <is>
          <t>Você pode desenvolver uma Bênção Própria por personagem, de Categoria de Efeito 1 ou 2.</t>
        </is>
      </c>
      <c r="BQ35" t="inlineStr">
        <is>
          <t>Bênção Própria (CE 1)</t>
        </is>
      </c>
    </row>
    <row r="36">
      <c r="N36">
        <f>IF(AND($M2,$K2=""),$AD2,"")</f>
        <v/>
      </c>
      <c r="O36">
        <f>IF(AND($M2,$K2=""),$AE2,"")</f>
        <v/>
      </c>
      <c r="P36">
        <f>IF(AND($M2,$K2=""),$AF2,"")</f>
        <v/>
      </c>
      <c r="Q36">
        <f>IF(AND($M2,$K2=""),$AG2,FALSE)</f>
        <v/>
      </c>
      <c r="R36">
        <f>IF(AND($M2,$K2=""),$AH2,"")</f>
        <v/>
      </c>
      <c r="S36">
        <f>IF(AND($M2,$K2=""),$AI2,"")</f>
        <v/>
      </c>
      <c r="T36">
        <f>IF(AND($M2,$K2=""),$AJ2,0)</f>
        <v/>
      </c>
      <c r="U36">
        <f>IF(AND($M2,$K2=""),$AK2,0)</f>
        <v/>
      </c>
      <c r="V36">
        <f>IF(AND($M2,$K2=""),$AL2,0)</f>
        <v/>
      </c>
      <c r="W36">
        <f>IF(AND($M2,$K2=""),$AM2,"")</f>
        <v/>
      </c>
      <c r="X36">
        <f>IF(AND($M2,$K2=""),$AN2,"")</f>
        <v/>
      </c>
      <c r="Y36">
        <f>IF(AND($M2,$K2=""),$AO2,FALSE)</f>
        <v/>
      </c>
      <c r="Z36">
        <f>IF(AND($M2,$K2=""),$AP2,"")</f>
        <v/>
      </c>
      <c r="AA36">
        <f>IF(AND($M2,$K2=""),$AQ2,FALSE)</f>
        <v/>
      </c>
      <c r="BF36">
        <f>'DADOS_APTIDOES'!$O36</f>
        <v/>
      </c>
      <c r="BG36">
        <f>'DADOS_APTIDOES'!$R36</f>
        <v/>
      </c>
      <c r="BH36">
        <f>'DADOS_APTIDOES'!$T36</f>
        <v/>
      </c>
      <c r="BI36">
        <f>'DADOS_APTIDOES'!$Z36</f>
        <v/>
      </c>
      <c r="BJ36">
        <f>'DADOS_APTIDOES'!$S36</f>
        <v/>
      </c>
      <c r="BK36">
        <f>IF(AND(NOT('DADOS_APTIDOES'!$AA36),IF(DADOS_AM!$A$2=4,'DADOS_APTIDOES'!$N36="Bênção",AND(NOT('DADOS_APTIDOES'!$N36="Bênção"),NOT(AND(DADOS_AM!$A$2=3,'DADOS_APTIDOES'!$Y36))))),'DADOS_APTIDOES'!$O36,"")</f>
        <v/>
      </c>
      <c r="BL36">
        <f>N('DADOS_APTIDOES'!$N36="Bênção")</f>
        <v/>
      </c>
      <c r="BM36">
        <f>N('DADOS_APTIDOES'!$Y36)</f>
        <v/>
      </c>
      <c r="BN36">
        <f>IF('DADOS_APTIDOES'!$W36="Gratuita",1,0)</f>
        <v/>
      </c>
      <c r="BO36">
        <f>'DADOS_APTIDOES'!$S36</f>
        <v/>
      </c>
      <c r="BQ36" t="inlineStr">
        <is>
          <t>Bênção Própria (CE 2)</t>
        </is>
      </c>
    </row>
    <row r="37">
      <c r="N37">
        <f>IF(AND($M3,$K3=""),$AD3,"")</f>
        <v/>
      </c>
      <c r="O37">
        <f>IF(AND($M3,$K3=""),$AE3,"")</f>
        <v/>
      </c>
      <c r="P37">
        <f>IF(AND($M3,$K3=""),$AF3,"")</f>
        <v/>
      </c>
      <c r="Q37">
        <f>IF(AND($M3,$K3=""),$AG3,FALSE)</f>
        <v/>
      </c>
      <c r="R37">
        <f>IF(AND($M3,$K3=""),$AH3,"")</f>
        <v/>
      </c>
      <c r="S37">
        <f>IF(AND($M3,$K3=""),$AI3,"")</f>
        <v/>
      </c>
      <c r="T37">
        <f>IF(AND($M3,$K3=""),$AJ3,0)</f>
        <v/>
      </c>
      <c r="U37">
        <f>IF(AND($M3,$K3=""),$AK3,0)</f>
        <v/>
      </c>
      <c r="V37">
        <f>IF(AND($M3,$K3=""),$AL3,0)</f>
        <v/>
      </c>
      <c r="W37">
        <f>IF(AND($M3,$K3=""),$AM3,"")</f>
        <v/>
      </c>
      <c r="X37">
        <f>IF(AND($M3,$K3=""),$AN3,"")</f>
        <v/>
      </c>
      <c r="Y37">
        <f>IF(AND($M3,$K3=""),$AO3,FALSE)</f>
        <v/>
      </c>
      <c r="Z37">
        <f>IF(AND($M3,$K3=""),$AP3,"")</f>
        <v/>
      </c>
      <c r="AA37">
        <f>IF(AND($M3,$K3=""),$AQ3,FALSE)</f>
        <v/>
      </c>
      <c r="BF37">
        <f>'DADOS_APTIDOES'!$O37</f>
        <v/>
      </c>
      <c r="BG37">
        <f>'DADOS_APTIDOES'!$R37</f>
        <v/>
      </c>
      <c r="BH37">
        <f>'DADOS_APTIDOES'!$T37</f>
        <v/>
      </c>
      <c r="BI37">
        <f>'DADOS_APTIDOES'!$Z37</f>
        <v/>
      </c>
      <c r="BJ37">
        <f>'DADOS_APTIDOES'!$S37</f>
        <v/>
      </c>
      <c r="BK37">
        <f>IF(AND(NOT('DADOS_APTIDOES'!$AA37),IF(DADOS_AM!$A$2=4,'DADOS_APTIDOES'!$N37="Bênção",AND(NOT('DADOS_APTIDOES'!$N37="Bênção"),NOT(AND(DADOS_AM!$A$2=3,'DADOS_APTIDOES'!$Y37))))),'DADOS_APTIDOES'!$O37,"")</f>
        <v/>
      </c>
      <c r="BL37">
        <f>N('DADOS_APTIDOES'!$N37="Bênção")</f>
        <v/>
      </c>
      <c r="BM37">
        <f>N('DADOS_APTIDOES'!$Y37)</f>
        <v/>
      </c>
      <c r="BN37">
        <f>IF('DADOS_APTIDOES'!$W37="Gratuita",1,0)</f>
        <v/>
      </c>
      <c r="BO37">
        <f>'DADOS_APTIDOES'!$S37</f>
        <v/>
      </c>
    </row>
    <row r="38">
      <c r="N38">
        <f>IF(AND($M4,$K4=""),$AD4,"")</f>
        <v/>
      </c>
      <c r="O38">
        <f>IF(AND($M4,$K4=""),$AE4,"")</f>
        <v/>
      </c>
      <c r="P38">
        <f>IF(AND($M4,$K4=""),$AF4,"")</f>
        <v/>
      </c>
      <c r="Q38">
        <f>IF(AND($M4,$K4=""),$AG4,FALSE)</f>
        <v/>
      </c>
      <c r="R38">
        <f>IF(AND($M4,$K4=""),$AH4,"")</f>
        <v/>
      </c>
      <c r="S38">
        <f>IF(AND($M4,$K4=""),$AI4,"")</f>
        <v/>
      </c>
      <c r="T38">
        <f>IF(AND($M4,$K4=""),$AJ4,0)</f>
        <v/>
      </c>
      <c r="U38">
        <f>IF(AND($M4,$K4=""),$AK4,0)</f>
        <v/>
      </c>
      <c r="V38">
        <f>IF(AND($M4,$K4=""),$AL4,0)</f>
        <v/>
      </c>
      <c r="W38">
        <f>IF(AND($M4,$K4=""),$AM4,"")</f>
        <v/>
      </c>
      <c r="X38">
        <f>IF(AND($M4,$K4=""),$AN4,"")</f>
        <v/>
      </c>
      <c r="Y38">
        <f>IF(AND($M4,$K4=""),$AO4,FALSE)</f>
        <v/>
      </c>
      <c r="Z38">
        <f>IF(AND($M4,$K4=""),$AP4,"")</f>
        <v/>
      </c>
      <c r="AA38">
        <f>IF(AND($M4,$K4=""),$AQ4,FALSE)</f>
        <v/>
      </c>
      <c r="BF38">
        <f>'DADOS_APTIDOES'!$O38</f>
        <v/>
      </c>
      <c r="BG38">
        <f>'DADOS_APTIDOES'!$R38</f>
        <v/>
      </c>
      <c r="BH38">
        <f>'DADOS_APTIDOES'!$T38</f>
        <v/>
      </c>
      <c r="BI38">
        <f>'DADOS_APTIDOES'!$Z38</f>
        <v/>
      </c>
      <c r="BJ38">
        <f>'DADOS_APTIDOES'!$S38</f>
        <v/>
      </c>
      <c r="BK38">
        <f>IF(AND(NOT('DADOS_APTIDOES'!$AA38),IF(DADOS_AM!$A$2=4,'DADOS_APTIDOES'!$N38="Bênção",AND(NOT('DADOS_APTIDOES'!$N38="Bênção"),NOT(AND(DADOS_AM!$A$2=3,'DADOS_APTIDOES'!$Y38))))),'DADOS_APTIDOES'!$O38,"")</f>
        <v/>
      </c>
      <c r="BL38">
        <f>N('DADOS_APTIDOES'!$N38="Bênção")</f>
        <v/>
      </c>
      <c r="BM38">
        <f>N('DADOS_APTIDOES'!$Y38)</f>
        <v/>
      </c>
      <c r="BN38">
        <f>IF('DADOS_APTIDOES'!$W38="Gratuita",1,0)</f>
        <v/>
      </c>
      <c r="BO38">
        <f>'DADOS_APTIDOES'!$S38</f>
        <v/>
      </c>
    </row>
    <row r="39">
      <c r="N39">
        <f>IF(AND($M5,$K5=""),$AD5,"")</f>
        <v/>
      </c>
      <c r="O39">
        <f>IF(AND($M5,$K5=""),$AE5,"")</f>
        <v/>
      </c>
      <c r="P39">
        <f>IF(AND($M5,$K5=""),$AF5,"")</f>
        <v/>
      </c>
      <c r="Q39">
        <f>IF(AND($M5,$K5=""),$AG5,FALSE)</f>
        <v/>
      </c>
      <c r="R39">
        <f>IF(AND($M5,$K5=""),$AH5,"")</f>
        <v/>
      </c>
      <c r="S39">
        <f>IF(AND($M5,$K5=""),$AI5,"")</f>
        <v/>
      </c>
      <c r="T39">
        <f>IF(AND($M5,$K5=""),$AJ5,0)</f>
        <v/>
      </c>
      <c r="U39">
        <f>IF(AND($M5,$K5=""),$AK5,0)</f>
        <v/>
      </c>
      <c r="V39">
        <f>IF(AND($M5,$K5=""),$AL5,0)</f>
        <v/>
      </c>
      <c r="W39">
        <f>IF(AND($M5,$K5=""),$AM5,"")</f>
        <v/>
      </c>
      <c r="X39">
        <f>IF(AND($M5,$K5=""),$AN5,"")</f>
        <v/>
      </c>
      <c r="Y39">
        <f>IF(AND($M5,$K5=""),$AO5,FALSE)</f>
        <v/>
      </c>
      <c r="Z39">
        <f>IF(AND($M5,$K5=""),$AP5,"")</f>
        <v/>
      </c>
      <c r="AA39">
        <f>IF(AND($M5,$K5=""),$AQ5,FALSE)</f>
        <v/>
      </c>
      <c r="BF39">
        <f>'DADOS_APTIDOES'!$O39</f>
        <v/>
      </c>
      <c r="BG39">
        <f>'DADOS_APTIDOES'!$R39</f>
        <v/>
      </c>
      <c r="BH39">
        <f>'DADOS_APTIDOES'!$T39</f>
        <v/>
      </c>
      <c r="BI39">
        <f>'DADOS_APTIDOES'!$Z39</f>
        <v/>
      </c>
      <c r="BJ39">
        <f>'DADOS_APTIDOES'!$S39</f>
        <v/>
      </c>
      <c r="BK39">
        <f>IF(AND(NOT('DADOS_APTIDOES'!$AA39),IF(DADOS_AM!$A$2=4,'DADOS_APTIDOES'!$N39="Bênção",AND(NOT('DADOS_APTIDOES'!$N39="Bênção"),NOT(AND(DADOS_AM!$A$2=3,'DADOS_APTIDOES'!$Y39))))),'DADOS_APTIDOES'!$O39,"")</f>
        <v/>
      </c>
      <c r="BL39">
        <f>N('DADOS_APTIDOES'!$N39="Bênção")</f>
        <v/>
      </c>
      <c r="BM39">
        <f>N('DADOS_APTIDOES'!$Y39)</f>
        <v/>
      </c>
      <c r="BN39">
        <f>IF('DADOS_APTIDOES'!$W39="Gratuita",1,0)</f>
        <v/>
      </c>
      <c r="BO39">
        <f>'DADOS_APTIDOES'!$S39</f>
        <v/>
      </c>
    </row>
    <row r="40">
      <c r="N40">
        <f>IF(AND($M6,$K6=""),$AD6,"")</f>
        <v/>
      </c>
      <c r="O40">
        <f>IF(AND($M6,$K6=""),$AE6,"")</f>
        <v/>
      </c>
      <c r="P40">
        <f>IF(AND($M6,$K6=""),$AF6,"")</f>
        <v/>
      </c>
      <c r="Q40">
        <f>IF(AND($M6,$K6=""),$AG6,FALSE)</f>
        <v/>
      </c>
      <c r="R40">
        <f>IF(AND($M6,$K6=""),$AH6,"")</f>
        <v/>
      </c>
      <c r="S40">
        <f>IF(AND($M6,$K6=""),$AI6,"")</f>
        <v/>
      </c>
      <c r="T40">
        <f>IF(AND($M6,$K6=""),$AJ6,0)</f>
        <v/>
      </c>
      <c r="U40">
        <f>IF(AND($M6,$K6=""),$AK6,0)</f>
        <v/>
      </c>
      <c r="V40">
        <f>IF(AND($M6,$K6=""),$AL6,0)</f>
        <v/>
      </c>
      <c r="W40">
        <f>IF(AND($M6,$K6=""),$AM6,"")</f>
        <v/>
      </c>
      <c r="X40">
        <f>IF(AND($M6,$K6=""),$AN6,"")</f>
        <v/>
      </c>
      <c r="Y40">
        <f>IF(AND($M6,$K6=""),$AO6,FALSE)</f>
        <v/>
      </c>
      <c r="Z40">
        <f>IF(AND($M6,$K6=""),$AP6,"")</f>
        <v/>
      </c>
      <c r="AA40">
        <f>IF(AND($M6,$K6=""),$AQ6,FALSE)</f>
        <v/>
      </c>
      <c r="BF40">
        <f>'DADOS_APTIDOES'!$O40</f>
        <v/>
      </c>
      <c r="BG40">
        <f>'DADOS_APTIDOES'!$R40</f>
        <v/>
      </c>
      <c r="BH40">
        <f>'DADOS_APTIDOES'!$T40</f>
        <v/>
      </c>
      <c r="BI40">
        <f>'DADOS_APTIDOES'!$Z40</f>
        <v/>
      </c>
      <c r="BJ40">
        <f>'DADOS_APTIDOES'!$S40</f>
        <v/>
      </c>
      <c r="BK40">
        <f>IF(AND(NOT('DADOS_APTIDOES'!$AA40),IF(DADOS_AM!$A$2=4,'DADOS_APTIDOES'!$N40="Bênção",AND(NOT('DADOS_APTIDOES'!$N40="Bênção"),NOT(AND(DADOS_AM!$A$2=3,'DADOS_APTIDOES'!$Y40))))),'DADOS_APTIDOES'!$O40,"")</f>
        <v/>
      </c>
      <c r="BL40">
        <f>N('DADOS_APTIDOES'!$N40="Bênção")</f>
        <v/>
      </c>
      <c r="BM40">
        <f>N('DADOS_APTIDOES'!$Y40)</f>
        <v/>
      </c>
      <c r="BN40">
        <f>IF('DADOS_APTIDOES'!$W40="Gratuita",1,0)</f>
        <v/>
      </c>
      <c r="BO40">
        <f>'DADOS_APTIDOES'!$S40</f>
        <v/>
      </c>
    </row>
    <row r="41">
      <c r="N41">
        <f>IF(AND($M7,$K7=""),$AD7,"")</f>
        <v/>
      </c>
      <c r="O41">
        <f>IF(AND($M7,$K7=""),$AE7,"")</f>
        <v/>
      </c>
      <c r="P41">
        <f>IF(AND($M7,$K7=""),$AF7,"")</f>
        <v/>
      </c>
      <c r="Q41">
        <f>IF(AND($M7,$K7=""),$AG7,FALSE)</f>
        <v/>
      </c>
      <c r="R41">
        <f>IF(AND($M7,$K7=""),$AH7,"")</f>
        <v/>
      </c>
      <c r="S41">
        <f>IF(AND($M7,$K7=""),$AI7,"")</f>
        <v/>
      </c>
      <c r="T41">
        <f>IF(AND($M7,$K7=""),$AJ7,0)</f>
        <v/>
      </c>
      <c r="U41">
        <f>IF(AND($M7,$K7=""),$AK7,0)</f>
        <v/>
      </c>
      <c r="V41">
        <f>IF(AND($M7,$K7=""),$AL7,0)</f>
        <v/>
      </c>
      <c r="W41">
        <f>IF(AND($M7,$K7=""),$AM7,"")</f>
        <v/>
      </c>
      <c r="X41">
        <f>IF(AND($M7,$K7=""),$AN7,"")</f>
        <v/>
      </c>
      <c r="Y41">
        <f>IF(AND($M7,$K7=""),$AO7,FALSE)</f>
        <v/>
      </c>
      <c r="Z41">
        <f>IF(AND($M7,$K7=""),$AP7,"")</f>
        <v/>
      </c>
      <c r="AA41">
        <f>IF(AND($M7,$K7=""),$AQ7,FALSE)</f>
        <v/>
      </c>
      <c r="BF41">
        <f>'DADOS_APTIDOES'!$O41</f>
        <v/>
      </c>
      <c r="BG41">
        <f>'DADOS_APTIDOES'!$R41</f>
        <v/>
      </c>
      <c r="BH41">
        <f>'DADOS_APTIDOES'!$T41</f>
        <v/>
      </c>
      <c r="BI41">
        <f>'DADOS_APTIDOES'!$Z41</f>
        <v/>
      </c>
      <c r="BJ41">
        <f>'DADOS_APTIDOES'!$S41</f>
        <v/>
      </c>
      <c r="BK41">
        <f>IF(AND(NOT('DADOS_APTIDOES'!$AA41),IF(DADOS_AM!$A$2=4,'DADOS_APTIDOES'!$N41="Bênção",AND(NOT('DADOS_APTIDOES'!$N41="Bênção"),NOT(AND(DADOS_AM!$A$2=3,'DADOS_APTIDOES'!$Y41))))),'DADOS_APTIDOES'!$O41,"")</f>
        <v/>
      </c>
      <c r="BL41">
        <f>N('DADOS_APTIDOES'!$N41="Bênção")</f>
        <v/>
      </c>
      <c r="BM41">
        <f>N('DADOS_APTIDOES'!$Y41)</f>
        <v/>
      </c>
      <c r="BN41">
        <f>IF('DADOS_APTIDOES'!$W41="Gratuita",1,0)</f>
        <v/>
      </c>
      <c r="BO41">
        <f>'DADOS_APTIDOES'!$S41</f>
        <v/>
      </c>
    </row>
    <row r="42">
      <c r="N42">
        <f>IF(AND($M8,$K8=""),$AD8,"")</f>
        <v/>
      </c>
      <c r="O42">
        <f>IF(AND($M8,$K8=""),$AE8,"")</f>
        <v/>
      </c>
      <c r="P42">
        <f>IF(AND($M8,$K8=""),$AF8,"")</f>
        <v/>
      </c>
      <c r="Q42">
        <f>IF(AND($M8,$K8=""),$AG8,FALSE)</f>
        <v/>
      </c>
      <c r="R42">
        <f>IF(AND($M8,$K8=""),$AH8,"")</f>
        <v/>
      </c>
      <c r="S42">
        <f>IF(AND($M8,$K8=""),$AI8,"")</f>
        <v/>
      </c>
      <c r="T42">
        <f>IF(AND($M8,$K8=""),$AJ8,0)</f>
        <v/>
      </c>
      <c r="U42">
        <f>IF(AND($M8,$K8=""),$AK8,0)</f>
        <v/>
      </c>
      <c r="V42">
        <f>IF(AND($M8,$K8=""),$AL8,0)</f>
        <v/>
      </c>
      <c r="W42">
        <f>IF(AND($M8,$K8=""),$AM8,"")</f>
        <v/>
      </c>
      <c r="X42">
        <f>IF(AND($M8,$K8=""),$AN8,"")</f>
        <v/>
      </c>
      <c r="Y42">
        <f>IF(AND($M8,$K8=""),$AO8,FALSE)</f>
        <v/>
      </c>
      <c r="Z42">
        <f>IF(AND($M8,$K8=""),$AP8,"")</f>
        <v/>
      </c>
      <c r="AA42">
        <f>IF(AND($M8,$K8=""),$AQ8,FALSE)</f>
        <v/>
      </c>
      <c r="BF42">
        <f>'DADOS_APTIDOES'!$O42</f>
        <v/>
      </c>
      <c r="BG42">
        <f>'DADOS_APTIDOES'!$R42</f>
        <v/>
      </c>
      <c r="BH42">
        <f>'DADOS_APTIDOES'!$T42</f>
        <v/>
      </c>
      <c r="BI42">
        <f>'DADOS_APTIDOES'!$Z42</f>
        <v/>
      </c>
      <c r="BJ42">
        <f>'DADOS_APTIDOES'!$S42</f>
        <v/>
      </c>
      <c r="BK42">
        <f>IF(AND(NOT('DADOS_APTIDOES'!$AA42),IF(DADOS_AM!$A$2=4,'DADOS_APTIDOES'!$N42="Bênção",AND(NOT('DADOS_APTIDOES'!$N42="Bênção"),NOT(AND(DADOS_AM!$A$2=3,'DADOS_APTIDOES'!$Y42))))),'DADOS_APTIDOES'!$O42,"")</f>
        <v/>
      </c>
      <c r="BL42">
        <f>N('DADOS_APTIDOES'!$N42="Bênção")</f>
        <v/>
      </c>
      <c r="BM42">
        <f>N('DADOS_APTIDOES'!$Y42)</f>
        <v/>
      </c>
      <c r="BN42">
        <f>IF('DADOS_APTIDOES'!$W42="Gratuita",1,0)</f>
        <v/>
      </c>
      <c r="BO42">
        <f>'DADOS_APTIDOES'!$S42</f>
        <v/>
      </c>
    </row>
    <row r="43">
      <c r="N43">
        <f>IF(AND($M9,$K9=""),$AD9,"")</f>
        <v/>
      </c>
      <c r="O43">
        <f>IF(AND($M9,$K9=""),$AE9,"")</f>
        <v/>
      </c>
      <c r="P43">
        <f>IF(AND($M9,$K9=""),$AF9,"")</f>
        <v/>
      </c>
      <c r="Q43">
        <f>IF(AND($M9,$K9=""),$AG9,FALSE)</f>
        <v/>
      </c>
      <c r="R43">
        <f>IF(AND($M9,$K9=""),$AH9,"")</f>
        <v/>
      </c>
      <c r="S43">
        <f>IF(AND($M9,$K9=""),$AI9,"")</f>
        <v/>
      </c>
      <c r="T43">
        <f>IF(AND($M9,$K9=""),$AJ9,0)</f>
        <v/>
      </c>
      <c r="U43">
        <f>IF(AND($M9,$K9=""),$AK9,0)</f>
        <v/>
      </c>
      <c r="V43">
        <f>IF(AND($M9,$K9=""),$AL9,0)</f>
        <v/>
      </c>
      <c r="W43">
        <f>IF(AND($M9,$K9=""),$AM9,"")</f>
        <v/>
      </c>
      <c r="X43">
        <f>IF(AND($M9,$K9=""),$AN9,"")</f>
        <v/>
      </c>
      <c r="Y43">
        <f>IF(AND($M9,$K9=""),$AO9,FALSE)</f>
        <v/>
      </c>
      <c r="Z43">
        <f>IF(AND($M9,$K9=""),$AP9,"")</f>
        <v/>
      </c>
      <c r="AA43">
        <f>IF(AND($M9,$K9=""),$AQ9,FALSE)</f>
        <v/>
      </c>
      <c r="BF43">
        <f>'DADOS_APTIDOES'!$O43</f>
        <v/>
      </c>
      <c r="BG43">
        <f>'DADOS_APTIDOES'!$R43</f>
        <v/>
      </c>
      <c r="BH43">
        <f>'DADOS_APTIDOES'!$T43</f>
        <v/>
      </c>
      <c r="BI43">
        <f>'DADOS_APTIDOES'!$Z43</f>
        <v/>
      </c>
      <c r="BJ43">
        <f>'DADOS_APTIDOES'!$S43</f>
        <v/>
      </c>
      <c r="BK43">
        <f>IF(AND(NOT('DADOS_APTIDOES'!$AA43),IF(DADOS_AM!$A$2=4,'DADOS_APTIDOES'!$N43="Bênção",AND(NOT('DADOS_APTIDOES'!$N43="Bênção"),NOT(AND(DADOS_AM!$A$2=3,'DADOS_APTIDOES'!$Y43))))),'DADOS_APTIDOES'!$O43,"")</f>
        <v/>
      </c>
      <c r="BL43">
        <f>N('DADOS_APTIDOES'!$N43="Bênção")</f>
        <v/>
      </c>
      <c r="BM43">
        <f>N('DADOS_APTIDOES'!$Y43)</f>
        <v/>
      </c>
      <c r="BN43">
        <f>IF('DADOS_APTIDOES'!$W43="Gratuita",1,0)</f>
        <v/>
      </c>
      <c r="BO43">
        <f>'DADOS_APTIDOES'!$S43</f>
        <v/>
      </c>
    </row>
    <row r="44">
      <c r="N44">
        <f>IF(AND($M10,$K10=""),$AD10,"")</f>
        <v/>
      </c>
      <c r="O44">
        <f>IF(AND($M10,$K10=""),$AE10,"")</f>
        <v/>
      </c>
      <c r="P44">
        <f>IF(AND($M10,$K10=""),$AF10,"")</f>
        <v/>
      </c>
      <c r="Q44">
        <f>IF(AND($M10,$K10=""),$AG10,FALSE)</f>
        <v/>
      </c>
      <c r="R44">
        <f>IF(AND($M10,$K10=""),$AH10,"")</f>
        <v/>
      </c>
      <c r="S44">
        <f>IF(AND($M10,$K10=""),$AI10,"")</f>
        <v/>
      </c>
      <c r="T44">
        <f>IF(AND($M10,$K10=""),$AJ10,0)</f>
        <v/>
      </c>
      <c r="U44">
        <f>IF(AND($M10,$K10=""),$AK10,0)</f>
        <v/>
      </c>
      <c r="V44">
        <f>IF(AND($M10,$K10=""),$AL10,0)</f>
        <v/>
      </c>
      <c r="W44">
        <f>IF(AND($M10,$K10=""),$AM10,"")</f>
        <v/>
      </c>
      <c r="X44">
        <f>IF(AND($M10,$K10=""),$AN10,"")</f>
        <v/>
      </c>
      <c r="Y44">
        <f>IF(AND($M10,$K10=""),$AO10,FALSE)</f>
        <v/>
      </c>
      <c r="Z44">
        <f>IF(AND($M10,$K10=""),$AP10,"")</f>
        <v/>
      </c>
      <c r="AA44">
        <f>IF(AND($M10,$K10=""),$AQ10,FALSE)</f>
        <v/>
      </c>
      <c r="BF44">
        <f>'DADOS_APTIDOES'!$O44</f>
        <v/>
      </c>
      <c r="BG44">
        <f>'DADOS_APTIDOES'!$R44</f>
        <v/>
      </c>
      <c r="BH44">
        <f>'DADOS_APTIDOES'!$T44</f>
        <v/>
      </c>
      <c r="BI44">
        <f>'DADOS_APTIDOES'!$Z44</f>
        <v/>
      </c>
      <c r="BJ44">
        <f>'DADOS_APTIDOES'!$S44</f>
        <v/>
      </c>
      <c r="BK44">
        <f>IF(AND(NOT('DADOS_APTIDOES'!$AA44),IF(DADOS_AM!$A$2=4,'DADOS_APTIDOES'!$N44="Bênção",AND(NOT('DADOS_APTIDOES'!$N44="Bênção"),NOT(AND(DADOS_AM!$A$2=3,'DADOS_APTIDOES'!$Y44))))),'DADOS_APTIDOES'!$O44,"")</f>
        <v/>
      </c>
      <c r="BL44">
        <f>N('DADOS_APTIDOES'!$N44="Bênção")</f>
        <v/>
      </c>
      <c r="BM44">
        <f>N('DADOS_APTIDOES'!$Y44)</f>
        <v/>
      </c>
      <c r="BN44">
        <f>IF('DADOS_APTIDOES'!$W44="Gratuita",1,0)</f>
        <v/>
      </c>
      <c r="BO44">
        <f>'DADOS_APTIDOES'!$S44</f>
        <v/>
      </c>
    </row>
    <row r="45">
      <c r="N45">
        <f>IF(AND($M11,$K11=""),$AD11,"")</f>
        <v/>
      </c>
      <c r="O45">
        <f>IF(AND($M11,$K11=""),$AE11,"")</f>
        <v/>
      </c>
      <c r="P45">
        <f>IF(AND($M11,$K11=""),$AF11,"")</f>
        <v/>
      </c>
      <c r="Q45">
        <f>IF(AND($M11,$K11=""),$AG11,FALSE)</f>
        <v/>
      </c>
      <c r="R45">
        <f>IF(AND($M11,$K11=""),$AH11,"")</f>
        <v/>
      </c>
      <c r="S45">
        <f>IF(AND($M11,$K11=""),$AI11,"")</f>
        <v/>
      </c>
      <c r="T45">
        <f>IF(AND($M11,$K11=""),$AJ11,0)</f>
        <v/>
      </c>
      <c r="U45">
        <f>IF(AND($M11,$K11=""),$AK11,0)</f>
        <v/>
      </c>
      <c r="V45">
        <f>IF(AND($M11,$K11=""),$AL11,0)</f>
        <v/>
      </c>
      <c r="W45">
        <f>IF(AND($M11,$K11=""),$AM11,"")</f>
        <v/>
      </c>
      <c r="X45">
        <f>IF(AND($M11,$K11=""),$AN11,"")</f>
        <v/>
      </c>
      <c r="Y45">
        <f>IF(AND($M11,$K11=""),$AO11,FALSE)</f>
        <v/>
      </c>
      <c r="Z45">
        <f>IF(AND($M11,$K11=""),$AP11,"")</f>
        <v/>
      </c>
      <c r="AA45">
        <f>IF(AND($M11,$K11=""),$AQ11,FALSE)</f>
        <v/>
      </c>
      <c r="BF45">
        <f>'DADOS_APTIDOES'!$O45</f>
        <v/>
      </c>
      <c r="BG45">
        <f>'DADOS_APTIDOES'!$R45</f>
        <v/>
      </c>
      <c r="BH45">
        <f>'DADOS_APTIDOES'!$T45</f>
        <v/>
      </c>
      <c r="BI45">
        <f>'DADOS_APTIDOES'!$Z45</f>
        <v/>
      </c>
      <c r="BJ45">
        <f>'DADOS_APTIDOES'!$S45</f>
        <v/>
      </c>
      <c r="BK45">
        <f>IF(AND(NOT('DADOS_APTIDOES'!$AA45),IF(DADOS_AM!$A$2=4,'DADOS_APTIDOES'!$N45="Bênção",AND(NOT('DADOS_APTIDOES'!$N45="Bênção"),NOT(AND(DADOS_AM!$A$2=3,'DADOS_APTIDOES'!$Y45))))),'DADOS_APTIDOES'!$O45,"")</f>
        <v/>
      </c>
      <c r="BL45">
        <f>N('DADOS_APTIDOES'!$N45="Bênção")</f>
        <v/>
      </c>
      <c r="BM45">
        <f>N('DADOS_APTIDOES'!$Y45)</f>
        <v/>
      </c>
      <c r="BN45">
        <f>IF('DADOS_APTIDOES'!$W45="Gratuita",1,0)</f>
        <v/>
      </c>
      <c r="BO45">
        <f>'DADOS_APTIDOES'!$S45</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34"/>
  <sheetViews>
    <sheetView showGridLines="0" workbookViewId="0">
      <selection activeCell="A1" sqref="A1"/>
    </sheetView>
  </sheetViews>
  <sheetFormatPr baseColWidth="8" defaultRowHeight="15.75" customHeight="1"/>
  <sheetData>
    <row r="1">
      <c r="A1" t="inlineStr">
        <is>
          <t>entrada.tipo</t>
        </is>
      </c>
      <c r="B1" t="inlineStr">
        <is>
          <t>entrada.nome</t>
        </is>
      </c>
      <c r="C1" t="inlineStr">
        <is>
          <t>entrada.base</t>
        </is>
      </c>
      <c r="D1" t="inlineStr">
        <is>
          <t>entrada.mestre_viu</t>
        </is>
      </c>
      <c r="E1" t="inlineStr">
        <is>
          <t>entrada.requisitos</t>
        </is>
      </c>
      <c r="F1" t="inlineStr">
        <is>
          <t>entrada.efeito</t>
        </is>
      </c>
      <c r="G1" t="inlineStr">
        <is>
          <t>entrada.ce</t>
        </is>
      </c>
      <c r="H1" t="inlineStr">
        <is>
          <t>entrada.rota</t>
        </is>
      </c>
      <c r="I1" t="inlineStr">
        <is>
          <t>aviso</t>
        </is>
      </c>
      <c r="J1" t="inlineStr">
        <is>
          <t>linha_base</t>
        </is>
      </c>
      <c r="K1" t="inlineStr">
        <is>
          <t>ativo</t>
        </is>
      </c>
      <c r="L1" t="inlineStr">
        <is>
          <t>tipo</t>
        </is>
      </c>
      <c r="M1" t="inlineStr">
        <is>
          <t>nome</t>
        </is>
      </c>
      <c r="N1" t="inlineStr">
        <is>
          <t>base</t>
        </is>
      </c>
      <c r="O1" t="inlineStr">
        <is>
          <t>mestre_viu</t>
        </is>
      </c>
      <c r="P1" t="inlineStr">
        <is>
          <t>requisitos</t>
        </is>
      </c>
      <c r="Q1" t="inlineStr">
        <is>
          <t>efeito</t>
        </is>
      </c>
      <c r="R1" t="inlineStr">
        <is>
          <t>ce</t>
        </is>
      </c>
      <c r="S1" t="inlineStr">
        <is>
          <t>rota</t>
        </is>
      </c>
      <c r="T1" t="inlineStr">
        <is>
          <t>identidade</t>
        </is>
      </c>
      <c r="AQ1" t="inlineStr">
        <is>
          <t>passivas.0</t>
        </is>
      </c>
      <c r="AR1" t="inlineStr">
        <is>
          <t>passivas.1</t>
        </is>
      </c>
      <c r="AS1" t="inlineStr">
        <is>
          <t>passivas.2</t>
        </is>
      </c>
      <c r="AT1" t="inlineStr">
        <is>
          <t>passivas.3</t>
        </is>
      </c>
      <c r="AU1" t="inlineStr">
        <is>
          <t>passivas.4</t>
        </is>
      </c>
      <c r="AV1" t="inlineStr">
        <is>
          <t>passivas.5</t>
        </is>
      </c>
      <c r="AW1" t="inlineStr">
        <is>
          <t>passivas.6</t>
        </is>
      </c>
    </row>
    <row r="2">
      <c r="A2">
        <f>IF(ISBLANK('CONFIGURAÇÃO'!$GH$14),"",'CONFIGURAÇÃO'!$GH$14)</f>
        <v/>
      </c>
      <c r="B2">
        <f>IF(ISBLANK('CONFIGURAÇÃO'!$GH$16),"",'CONFIGURAÇÃO'!$GH$16)</f>
        <v/>
      </c>
      <c r="C2">
        <f>IF(ISBLANK('CONFIGURAÇÃO'!$GK$17),"",'CONFIGURAÇÃO'!$GK$17)</f>
        <v/>
      </c>
      <c r="D2">
        <f>IF(ISBLANK('CONFIGURAÇÃO'!$GL$14),"",'CONFIGURAÇÃO'!$GL$14)</f>
        <v/>
      </c>
      <c r="E2">
        <f>IF(ISBLANK('CONFIGURAÇÃO'!$GH$22),"",'CONFIGURAÇÃO'!$GH$22)</f>
        <v/>
      </c>
      <c r="F2">
        <f>IF(ISBLANK('CONFIGURAÇÃO'!$GH$28),"",'CONFIGURAÇÃO'!$GH$28)</f>
        <v/>
      </c>
      <c r="G2">
        <f>IF(ISBLANK('CONFIGURAÇÃO'!$GK$18),"",'CONFIGURAÇÃO'!$GK$18)</f>
        <v/>
      </c>
      <c r="H2">
        <f>IF(ISBLANK('CONFIGURAÇÃO'!$GK$19),"",'CONFIGURAÇÃO'!$GK$19)</f>
        <v/>
      </c>
      <c r="I2">
        <f>IF($K2,TEXTJOIN(" · ",TRUE,$AG2:$AO2),"")</f>
        <v/>
      </c>
      <c r="J2">
        <f>IF(OR($C2="",$C2="Nenhuma"),0,IFERROR(MATCH(SUBSTITUTE(SUBSTITUTE(SUBSTITUTE($C2,"~","~~"),"*","~*"),"?","~?"),'DADOS_TALENTOS'!$M$2:$M$24,0),-1))</f>
        <v/>
      </c>
      <c r="K2">
        <f>OR($B2&lt;&gt;"",$C2&lt;&gt;"",$E2&lt;&gt;"",$F2&lt;&gt;"",$G2&lt;&gt;"",$H2&lt;&gt;"",AND($D2&lt;&gt;"",$D2&lt;&gt;FALSE),AND($A2&lt;&gt;"",$A2&lt;&gt;"Talento"))</f>
        <v/>
      </c>
      <c r="L2" t="inlineStr">
        <is>
          <t>Talento</t>
        </is>
      </c>
      <c r="M2" t="inlineStr">
        <is>
          <t>Leitura</t>
        </is>
      </c>
      <c r="N2">
        <f>""</f>
        <v/>
      </c>
      <c r="O2" t="b">
        <v>0</v>
      </c>
      <c r="P2">
        <f>""</f>
        <v/>
      </c>
      <c r="Q2" t="inlineStr">
        <is>
          <t>Você identifica a Classe e a Forma de qualquer feitiço conjurado a até 18 m de você. A informação não fornece a montagem completa, o custo de cada peça ou a localização de um alvo oculto.</t>
        </is>
      </c>
      <c r="R2" t="n">
        <v>1</v>
      </c>
      <c r="S2" t="inlineStr">
        <is>
          <t>Todas</t>
        </is>
      </c>
      <c r="T2" t="inlineStr">
        <is>
          <t>Leitura</t>
        </is>
      </c>
      <c r="W2">
        <f>IF($A2="",IF($J2&gt;0,INDEX('DADOS_TALENTOS'!$L$2:$L$24,MAX(1,$J2)),"Talento"),$A2)</f>
        <v/>
      </c>
      <c r="X2">
        <f>IF($B2="",IF($J2&gt;0,INDEX('DADOS_TALENTOS'!$M$2:$M$24,MAX(1,$J2)),""),$B2)</f>
        <v/>
      </c>
      <c r="Y2">
        <f>IF($C2="",IF($J2&gt;0,INDEX('DADOS_TALENTOS'!$N$2:$N$24,MAX(1,$J2)),""),$C2)</f>
        <v/>
      </c>
      <c r="Z2">
        <f>IF($D2="",IF($J2&gt;0,INDEX('DADOS_TALENTOS'!$O$2:$O$24,MAX(1,$J2)),FALSE),$D2)</f>
        <v/>
      </c>
      <c r="AA2">
        <f>IF($E2="",IF($J2&gt;0,INDEX('DADOS_TALENTOS'!$P$2:$P$24,MAX(1,$J2)),""),$E2)</f>
        <v/>
      </c>
      <c r="AB2">
        <f>IF($F2="",IF($J2&gt;0,INDEX('DADOS_TALENTOS'!$Q$2:$Q$24,MAX(1,$J2)),""),$F2)</f>
        <v/>
      </c>
      <c r="AC2">
        <f>IF($G2="",IF($J2&gt;0,INDEX('DADOS_TALENTOS'!$R$2:$R$24,MAX(1,$J2)),""),$G2)</f>
        <v/>
      </c>
      <c r="AD2">
        <f>IF($H2="",IF($J2&gt;0,INDEX('DADOS_TALENTOS'!$S$2:$S$24,MAX(1,$J2)),"Todas"),$H2)</f>
        <v/>
      </c>
      <c r="AE2">
        <f>IF($J2&gt;0,INDEX('DADOS_TALENTOS'!$T$2:$T$24,MAX(1,$J2)),"")</f>
        <v/>
      </c>
      <c r="AG2">
        <f>IF(AND(ISTEXT($B2),$B2&lt;&gt;"",TRIM($B2)=$B2),"","NOME precisa ser texto sem espaços nas pontas")</f>
        <v/>
      </c>
      <c r="AH2">
        <f>IF(COUNTIF('DADOS_TALENTOS'!$B$2:$B$11,SUBSTITUTE(SUBSTITUTE(SUBSTITUTE($B2,"~","~~"),"*","~*"),"?","~?"))+COUNTIF('DADOS_TALENTOS'!$M$2:$M$24,SUBSTITUTE(SUBSTITUTE(SUBSTITUTE($B2,"~","~~"),"*","~*"),"?","~?"))=1,"","Nome repetido no livro ou custom")</f>
        <v/>
      </c>
      <c r="AI2">
        <f>IF($J2&gt;=0,"","BASE DO LIVRO inválida para o grupo")</f>
        <v/>
      </c>
      <c r="AJ2">
        <f>IF(OR($W2="Talento"),"","TIPO inválido para o grupo")</f>
        <v/>
      </c>
      <c r="AK2">
        <f>IF(ISLOGICAL($Z2),"","MESTRE VIU precisa ser caixa de seleção")</f>
        <v/>
      </c>
      <c r="AL2">
        <f>IF(ISTEXT($AB2),"","EFEITO precisa ser texto")</f>
        <v/>
      </c>
      <c r="AM2">
        <f>IF(ISTEXT($AA2),"","REQUISITOS precisa ser texto")</f>
        <v/>
      </c>
      <c r="AN2">
        <f>IF(IFERROR(AND(ISNUMBER($AC2),NOT(ISLOGICAL($AC2)),$AC2=INT($AC2),$AC2&gt;=1,$AC2&lt;=3),FALSE),"","CE inválida")</f>
        <v/>
      </c>
      <c r="AO2">
        <f>IF(OR($AD2="Todas",$AD2="Fundamento / Manejos",$AD2="Técnica Marcial"),"","ROTA inválida")</f>
        <v/>
      </c>
      <c r="AQ2">
        <f>'DADOS_TALENTOS'!$M2</f>
        <v/>
      </c>
      <c r="AR2">
        <f>'DADOS_TALENTOS'!$R2</f>
        <v/>
      </c>
      <c r="AS2">
        <f>'DADOS_TALENTOS'!$Q2&amp;IF('DADOS_TALENTOS'!$P2="","",CHAR(10)&amp;"Requisitos: "&amp;'DADOS_TALENTOS'!$P2)</f>
        <v/>
      </c>
      <c r="AT2">
        <f>N(OR('DADOS_TALENTOS'!$S2="Todas",'DADOS_TALENTOS'!$S2="Fundamento / Manejos"))</f>
        <v/>
      </c>
      <c r="AU2">
        <f>N(OR('DADOS_TALENTOS'!$S2="Todas",'DADOS_TALENTOS'!$S2="Técnica Marcial"))</f>
        <v/>
      </c>
      <c r="AV2">
        <f>IF(OR(AND(DADOS_AM!$A$2&lt;=2,OR('DADOS_TALENTOS'!$S2="Todas",'DADOS_TALENTOS'!$S2="Fundamento / Manejos")),AND(DADOS_AM!$A$2&gt;=2,OR('DADOS_TALENTOS'!$S2="Todas",'DADOS_TALENTOS'!$S2="Técnica Marcial"))),'DADOS_TALENTOS'!$M2,"")</f>
        <v/>
      </c>
      <c r="AW2" t="inlineStr">
        <is>
          <t>Você identifica a Classe e a Forma de qualquer feitiço conjurado a até 18 m de você. A informação não fornece a montagem completa, o custo de cada peça ou a localização de um alvo oculto.</t>
        </is>
      </c>
      <c r="AX2" t="inlineStr">
        <is>
          <t>Talento</t>
        </is>
      </c>
      <c r="AY2" t="inlineStr">
        <is>
          <t>Nenhuma</t>
        </is>
      </c>
      <c r="AZ2" t="n">
        <v>1</v>
      </c>
      <c r="BA2" t="inlineStr">
        <is>
          <t>Todas</t>
        </is>
      </c>
    </row>
    <row r="3">
      <c r="A3">
        <f>IF(ISBLANK('CONFIGURAÇÃO'!$GP$14),"",'CONFIGURAÇÃO'!$GP$14)</f>
        <v/>
      </c>
      <c r="B3">
        <f>IF(ISBLANK('CONFIGURAÇÃO'!$GP$16),"",'CONFIGURAÇÃO'!$GP$16)</f>
        <v/>
      </c>
      <c r="C3">
        <f>IF(ISBLANK('CONFIGURAÇÃO'!$GS$17),"",'CONFIGURAÇÃO'!$GS$17)</f>
        <v/>
      </c>
      <c r="D3">
        <f>IF(ISBLANK('CONFIGURAÇÃO'!$GT$14),"",'CONFIGURAÇÃO'!$GT$14)</f>
        <v/>
      </c>
      <c r="E3">
        <f>IF(ISBLANK('CONFIGURAÇÃO'!$GP$22),"",'CONFIGURAÇÃO'!$GP$22)</f>
        <v/>
      </c>
      <c r="F3">
        <f>IF(ISBLANK('CONFIGURAÇÃO'!$GP$28),"",'CONFIGURAÇÃO'!$GP$28)</f>
        <v/>
      </c>
      <c r="G3">
        <f>IF(ISBLANK('CONFIGURAÇÃO'!$GS$18),"",'CONFIGURAÇÃO'!$GS$18)</f>
        <v/>
      </c>
      <c r="H3">
        <f>IF(ISBLANK('CONFIGURAÇÃO'!$GS$19),"",'CONFIGURAÇÃO'!$GS$19)</f>
        <v/>
      </c>
      <c r="I3">
        <f>IF($K3,TEXTJOIN(" · ",TRUE,$AG3:$AO3),"")</f>
        <v/>
      </c>
      <c r="J3">
        <f>IF(OR($C3="",$C3="Nenhuma"),0,IFERROR(MATCH(SUBSTITUTE(SUBSTITUTE(SUBSTITUTE($C3,"~","~~"),"*","~*"),"?","~?"),'DADOS_TALENTOS'!$M$2:$M$24,0),-1))</f>
        <v/>
      </c>
      <c r="K3">
        <f>OR($B3&lt;&gt;"",$C3&lt;&gt;"",$E3&lt;&gt;"",$F3&lt;&gt;"",$G3&lt;&gt;"",$H3&lt;&gt;"",AND($D3&lt;&gt;"",$D3&lt;&gt;FALSE),AND($A3&lt;&gt;"",$A3&lt;&gt;"Talento"))</f>
        <v/>
      </c>
      <c r="L3" t="inlineStr">
        <is>
          <t>Talento</t>
        </is>
      </c>
      <c r="M3" t="inlineStr">
        <is>
          <t>Instinto</t>
        </is>
      </c>
      <c r="N3">
        <f>""</f>
        <v/>
      </c>
      <c r="O3" t="b">
        <v>0</v>
      </c>
      <c r="P3">
        <f>""</f>
        <v/>
      </c>
      <c r="Q3" t="inlineStr">
        <is>
          <t>Você não é pego de surpresa enquanto estiver acordado. Isso não revela criaturas escondidas, não muda sua posição na iniciativa e não concede uma ação adicional.</t>
        </is>
      </c>
      <c r="R3" t="n">
        <v>1</v>
      </c>
      <c r="S3" t="inlineStr">
        <is>
          <t>Fundamento / Manejos</t>
        </is>
      </c>
      <c r="T3" t="inlineStr">
        <is>
          <t>Instinto</t>
        </is>
      </c>
      <c r="W3">
        <f>IF($A3="",IF($J3&gt;0,INDEX('DADOS_TALENTOS'!$L$2:$L$24,MAX(1,$J3)),"Talento"),$A3)</f>
        <v/>
      </c>
      <c r="X3">
        <f>IF($B3="",IF($J3&gt;0,INDEX('DADOS_TALENTOS'!$M$2:$M$24,MAX(1,$J3)),""),$B3)</f>
        <v/>
      </c>
      <c r="Y3">
        <f>IF($C3="",IF($J3&gt;0,INDEX('DADOS_TALENTOS'!$N$2:$N$24,MAX(1,$J3)),""),$C3)</f>
        <v/>
      </c>
      <c r="Z3">
        <f>IF($D3="",IF($J3&gt;0,INDEX('DADOS_TALENTOS'!$O$2:$O$24,MAX(1,$J3)),FALSE),$D3)</f>
        <v/>
      </c>
      <c r="AA3">
        <f>IF($E3="",IF($J3&gt;0,INDEX('DADOS_TALENTOS'!$P$2:$P$24,MAX(1,$J3)),""),$E3)</f>
        <v/>
      </c>
      <c r="AB3">
        <f>IF($F3="",IF($J3&gt;0,INDEX('DADOS_TALENTOS'!$Q$2:$Q$24,MAX(1,$J3)),""),$F3)</f>
        <v/>
      </c>
      <c r="AC3">
        <f>IF($G3="",IF($J3&gt;0,INDEX('DADOS_TALENTOS'!$R$2:$R$24,MAX(1,$J3)),""),$G3)</f>
        <v/>
      </c>
      <c r="AD3">
        <f>IF($H3="",IF($J3&gt;0,INDEX('DADOS_TALENTOS'!$S$2:$S$24,MAX(1,$J3)),"Todas"),$H3)</f>
        <v/>
      </c>
      <c r="AE3">
        <f>IF($J3&gt;0,INDEX('DADOS_TALENTOS'!$T$2:$T$24,MAX(1,$J3)),"")</f>
        <v/>
      </c>
      <c r="AG3">
        <f>IF(AND(ISTEXT($B3),$B3&lt;&gt;"",TRIM($B3)=$B3),"","NOME precisa ser texto sem espaços nas pontas")</f>
        <v/>
      </c>
      <c r="AH3">
        <f>IF(COUNTIF('DADOS_TALENTOS'!$B$2:$B$11,SUBSTITUTE(SUBSTITUTE(SUBSTITUTE($B3,"~","~~"),"*","~*"),"?","~?"))+COUNTIF('DADOS_TALENTOS'!$M$2:$M$24,SUBSTITUTE(SUBSTITUTE(SUBSTITUTE($B3,"~","~~"),"*","~*"),"?","~?"))=1,"","Nome repetido no livro ou custom")</f>
        <v/>
      </c>
      <c r="AI3">
        <f>IF($J3&gt;=0,"","BASE DO LIVRO inválida para o grupo")</f>
        <v/>
      </c>
      <c r="AJ3">
        <f>IF(OR($W3="Talento"),"","TIPO inválido para o grupo")</f>
        <v/>
      </c>
      <c r="AK3">
        <f>IF(ISLOGICAL($Z3),"","MESTRE VIU precisa ser caixa de seleção")</f>
        <v/>
      </c>
      <c r="AL3">
        <f>IF(ISTEXT($AB3),"","EFEITO precisa ser texto")</f>
        <v/>
      </c>
      <c r="AM3">
        <f>IF(ISTEXT($AA3),"","REQUISITOS precisa ser texto")</f>
        <v/>
      </c>
      <c r="AN3">
        <f>IF(IFERROR(AND(ISNUMBER($AC3),NOT(ISLOGICAL($AC3)),$AC3=INT($AC3),$AC3&gt;=1,$AC3&lt;=3),FALSE),"","CE inválida")</f>
        <v/>
      </c>
      <c r="AO3">
        <f>IF(OR($AD3="Todas",$AD3="Fundamento / Manejos",$AD3="Técnica Marcial"),"","ROTA inválida")</f>
        <v/>
      </c>
      <c r="AQ3">
        <f>'DADOS_TALENTOS'!$M3</f>
        <v/>
      </c>
      <c r="AR3">
        <f>'DADOS_TALENTOS'!$R3</f>
        <v/>
      </c>
      <c r="AS3">
        <f>'DADOS_TALENTOS'!$Q3&amp;IF('DADOS_TALENTOS'!$P3="","",CHAR(10)&amp;"Requisitos: "&amp;'DADOS_TALENTOS'!$P3)</f>
        <v/>
      </c>
      <c r="AT3">
        <f>N(OR('DADOS_TALENTOS'!$S3="Todas",'DADOS_TALENTOS'!$S3="Fundamento / Manejos"))</f>
        <v/>
      </c>
      <c r="AU3">
        <f>N(OR('DADOS_TALENTOS'!$S3="Todas",'DADOS_TALENTOS'!$S3="Técnica Marcial"))</f>
        <v/>
      </c>
      <c r="AV3">
        <f>IF(OR(AND(DADOS_AM!$A$2&lt;=2,OR('DADOS_TALENTOS'!$S3="Todas",'DADOS_TALENTOS'!$S3="Fundamento / Manejos")),AND(DADOS_AM!$A$2&gt;=2,OR('DADOS_TALENTOS'!$S3="Todas",'DADOS_TALENTOS'!$S3="Técnica Marcial"))),'DADOS_TALENTOS'!$M3,"")</f>
        <v/>
      </c>
      <c r="AW3" t="inlineStr">
        <is>
          <t>Você não é pego de surpresa enquanto estiver acordado. Isso não revela criaturas escondidas, não muda sua posição na iniciativa e não concede uma ação adicional.</t>
        </is>
      </c>
      <c r="AY3" t="inlineStr">
        <is>
          <t>Leitura</t>
        </is>
      </c>
      <c r="AZ3" t="n">
        <v>2</v>
      </c>
      <c r="BA3" t="inlineStr">
        <is>
          <t>Fundamento / Manejos</t>
        </is>
      </c>
    </row>
    <row r="4">
      <c r="A4">
        <f>IF(ISBLANK('CONFIGURAÇÃO'!$GH$39),"",'CONFIGURAÇÃO'!$GH$39)</f>
        <v/>
      </c>
      <c r="B4">
        <f>IF(ISBLANK('CONFIGURAÇÃO'!$GH$41),"",'CONFIGURAÇÃO'!$GH$41)</f>
        <v/>
      </c>
      <c r="C4">
        <f>IF(ISBLANK('CONFIGURAÇÃO'!$GK$42),"",'CONFIGURAÇÃO'!$GK$42)</f>
        <v/>
      </c>
      <c r="D4">
        <f>IF(ISBLANK('CONFIGURAÇÃO'!$GL$39),"",'CONFIGURAÇÃO'!$GL$39)</f>
        <v/>
      </c>
      <c r="E4">
        <f>IF(ISBLANK('CONFIGURAÇÃO'!$GH$47),"",'CONFIGURAÇÃO'!$GH$47)</f>
        <v/>
      </c>
      <c r="F4">
        <f>IF(ISBLANK('CONFIGURAÇÃO'!$GH$53),"",'CONFIGURAÇÃO'!$GH$53)</f>
        <v/>
      </c>
      <c r="G4">
        <f>IF(ISBLANK('CONFIGURAÇÃO'!$GK$43),"",'CONFIGURAÇÃO'!$GK$43)</f>
        <v/>
      </c>
      <c r="H4">
        <f>IF(ISBLANK('CONFIGURAÇÃO'!$GK$44),"",'CONFIGURAÇÃO'!$GK$44)</f>
        <v/>
      </c>
      <c r="I4">
        <f>IF($K4,TEXTJOIN(" · ",TRUE,$AG4:$AO4),"")</f>
        <v/>
      </c>
      <c r="J4">
        <f>IF(OR($C4="",$C4="Nenhuma"),0,IFERROR(MATCH(SUBSTITUTE(SUBSTITUTE(SUBSTITUTE($C4,"~","~~"),"*","~*"),"?","~?"),'DADOS_TALENTOS'!$M$2:$M$24,0),-1))</f>
        <v/>
      </c>
      <c r="K4">
        <f>OR($B4&lt;&gt;"",$C4&lt;&gt;"",$E4&lt;&gt;"",$F4&lt;&gt;"",$G4&lt;&gt;"",$H4&lt;&gt;"",AND($D4&lt;&gt;"",$D4&lt;&gt;FALSE),AND($A4&lt;&gt;"",$A4&lt;&gt;"Talento"))</f>
        <v/>
      </c>
      <c r="L4" t="inlineStr">
        <is>
          <t>Talento</t>
        </is>
      </c>
      <c r="M4" t="inlineStr">
        <is>
          <t>Raiz</t>
        </is>
      </c>
      <c r="N4">
        <f>""</f>
        <v/>
      </c>
      <c r="O4" t="b">
        <v>0</v>
      </c>
      <c r="P4">
        <f>""</f>
        <v/>
      </c>
      <c r="Q4" t="inlineStr">
        <is>
          <t>Você não é movido à força nem fica Derrubado contra a sua vontade. Pode aceitar um deslocamento ou se deitar por escolha própria. O Talento não impede o dano de um efeito que também empurre ou derrube.</t>
        </is>
      </c>
      <c r="R4" t="n">
        <v>1</v>
      </c>
      <c r="S4" t="inlineStr">
        <is>
          <t>Fundamento / Manejos</t>
        </is>
      </c>
      <c r="T4" t="inlineStr">
        <is>
          <t>Raiz</t>
        </is>
      </c>
      <c r="W4">
        <f>IF($A4="",IF($J4&gt;0,INDEX('DADOS_TALENTOS'!$L$2:$L$24,MAX(1,$J4)),"Talento"),$A4)</f>
        <v/>
      </c>
      <c r="X4">
        <f>IF($B4="",IF($J4&gt;0,INDEX('DADOS_TALENTOS'!$M$2:$M$24,MAX(1,$J4)),""),$B4)</f>
        <v/>
      </c>
      <c r="Y4">
        <f>IF($C4="",IF($J4&gt;0,INDEX('DADOS_TALENTOS'!$N$2:$N$24,MAX(1,$J4)),""),$C4)</f>
        <v/>
      </c>
      <c r="Z4">
        <f>IF($D4="",IF($J4&gt;0,INDEX('DADOS_TALENTOS'!$O$2:$O$24,MAX(1,$J4)),FALSE),$D4)</f>
        <v/>
      </c>
      <c r="AA4">
        <f>IF($E4="",IF($J4&gt;0,INDEX('DADOS_TALENTOS'!$P$2:$P$24,MAX(1,$J4)),""),$E4)</f>
        <v/>
      </c>
      <c r="AB4">
        <f>IF($F4="",IF($J4&gt;0,INDEX('DADOS_TALENTOS'!$Q$2:$Q$24,MAX(1,$J4)),""),$F4)</f>
        <v/>
      </c>
      <c r="AC4">
        <f>IF($G4="",IF($J4&gt;0,INDEX('DADOS_TALENTOS'!$R$2:$R$24,MAX(1,$J4)),""),$G4)</f>
        <v/>
      </c>
      <c r="AD4">
        <f>IF($H4="",IF($J4&gt;0,INDEX('DADOS_TALENTOS'!$S$2:$S$24,MAX(1,$J4)),"Todas"),$H4)</f>
        <v/>
      </c>
      <c r="AE4">
        <f>IF($J4&gt;0,INDEX('DADOS_TALENTOS'!$T$2:$T$24,MAX(1,$J4)),"")</f>
        <v/>
      </c>
      <c r="AG4">
        <f>IF(AND(ISTEXT($B4),$B4&lt;&gt;"",TRIM($B4)=$B4),"","NOME precisa ser texto sem espaços nas pontas")</f>
        <v/>
      </c>
      <c r="AH4">
        <f>IF(COUNTIF('DADOS_TALENTOS'!$B$2:$B$11,SUBSTITUTE(SUBSTITUTE(SUBSTITUTE($B4,"~","~~"),"*","~*"),"?","~?"))+COUNTIF('DADOS_TALENTOS'!$M$2:$M$24,SUBSTITUTE(SUBSTITUTE(SUBSTITUTE($B4,"~","~~"),"*","~*"),"?","~?"))=1,"","Nome repetido no livro ou custom")</f>
        <v/>
      </c>
      <c r="AI4">
        <f>IF($J4&gt;=0,"","BASE DO LIVRO inválida para o grupo")</f>
        <v/>
      </c>
      <c r="AJ4">
        <f>IF(OR($W4="Talento"),"","TIPO inválido para o grupo")</f>
        <v/>
      </c>
      <c r="AK4">
        <f>IF(ISLOGICAL($Z4),"","MESTRE VIU precisa ser caixa de seleção")</f>
        <v/>
      </c>
      <c r="AL4">
        <f>IF(ISTEXT($AB4),"","EFEITO precisa ser texto")</f>
        <v/>
      </c>
      <c r="AM4">
        <f>IF(ISTEXT($AA4),"","REQUISITOS precisa ser texto")</f>
        <v/>
      </c>
      <c r="AN4">
        <f>IF(IFERROR(AND(ISNUMBER($AC4),NOT(ISLOGICAL($AC4)),$AC4=INT($AC4),$AC4&gt;=1,$AC4&lt;=3),FALSE),"","CE inválida")</f>
        <v/>
      </c>
      <c r="AO4">
        <f>IF(OR($AD4="Todas",$AD4="Fundamento / Manejos",$AD4="Técnica Marcial"),"","ROTA inválida")</f>
        <v/>
      </c>
      <c r="AQ4">
        <f>'DADOS_TALENTOS'!$M4</f>
        <v/>
      </c>
      <c r="AR4">
        <f>'DADOS_TALENTOS'!$R4</f>
        <v/>
      </c>
      <c r="AS4">
        <f>'DADOS_TALENTOS'!$Q4&amp;IF('DADOS_TALENTOS'!$P4="","",CHAR(10)&amp;"Requisitos: "&amp;'DADOS_TALENTOS'!$P4)</f>
        <v/>
      </c>
      <c r="AT4">
        <f>N(OR('DADOS_TALENTOS'!$S4="Todas",'DADOS_TALENTOS'!$S4="Fundamento / Manejos"))</f>
        <v/>
      </c>
      <c r="AU4">
        <f>N(OR('DADOS_TALENTOS'!$S4="Todas",'DADOS_TALENTOS'!$S4="Técnica Marcial"))</f>
        <v/>
      </c>
      <c r="AV4">
        <f>IF(OR(AND(DADOS_AM!$A$2&lt;=2,OR('DADOS_TALENTOS'!$S4="Todas",'DADOS_TALENTOS'!$S4="Fundamento / Manejos")),AND(DADOS_AM!$A$2&gt;=2,OR('DADOS_TALENTOS'!$S4="Todas",'DADOS_TALENTOS'!$S4="Técnica Marcial"))),'DADOS_TALENTOS'!$M4,"")</f>
        <v/>
      </c>
      <c r="AW4" t="inlineStr">
        <is>
          <t>Você não é movido à força nem fica Derrubado contra a sua vontade. Pode aceitar um deslocamento ou se deitar por escolha própria. O Talento não impede o dano de um efeito que também empurre ou derrube.</t>
        </is>
      </c>
      <c r="AY4" t="inlineStr">
        <is>
          <t>Instinto</t>
        </is>
      </c>
      <c r="AZ4" t="n">
        <v>3</v>
      </c>
      <c r="BA4" t="inlineStr">
        <is>
          <t>Técnica Marcial</t>
        </is>
      </c>
    </row>
    <row r="5">
      <c r="A5">
        <f>IF(ISBLANK('CONFIGURAÇÃO'!$GP$39),"",'CONFIGURAÇÃO'!$GP$39)</f>
        <v/>
      </c>
      <c r="B5">
        <f>IF(ISBLANK('CONFIGURAÇÃO'!$GP$41),"",'CONFIGURAÇÃO'!$GP$41)</f>
        <v/>
      </c>
      <c r="C5">
        <f>IF(ISBLANK('CONFIGURAÇÃO'!$GS$42),"",'CONFIGURAÇÃO'!$GS$42)</f>
        <v/>
      </c>
      <c r="D5">
        <f>IF(ISBLANK('CONFIGURAÇÃO'!$GT$39),"",'CONFIGURAÇÃO'!$GT$39)</f>
        <v/>
      </c>
      <c r="E5">
        <f>IF(ISBLANK('CONFIGURAÇÃO'!$GP$47),"",'CONFIGURAÇÃO'!$GP$47)</f>
        <v/>
      </c>
      <c r="F5">
        <f>IF(ISBLANK('CONFIGURAÇÃO'!$GP$53),"",'CONFIGURAÇÃO'!$GP$53)</f>
        <v/>
      </c>
      <c r="G5">
        <f>IF(ISBLANK('CONFIGURAÇÃO'!$GS$43),"",'CONFIGURAÇÃO'!$GS$43)</f>
        <v/>
      </c>
      <c r="H5">
        <f>IF(ISBLANK('CONFIGURAÇÃO'!$GS$44),"",'CONFIGURAÇÃO'!$GS$44)</f>
        <v/>
      </c>
      <c r="I5">
        <f>IF($K5,TEXTJOIN(" · ",TRUE,$AG5:$AO5),"")</f>
        <v/>
      </c>
      <c r="J5">
        <f>IF(OR($C5="",$C5="Nenhuma"),0,IFERROR(MATCH(SUBSTITUTE(SUBSTITUTE(SUBSTITUTE($C5,"~","~~"),"*","~*"),"?","~?"),'DADOS_TALENTOS'!$M$2:$M$24,0),-1))</f>
        <v/>
      </c>
      <c r="K5">
        <f>OR($B5&lt;&gt;"",$C5&lt;&gt;"",$E5&lt;&gt;"",$F5&lt;&gt;"",$G5&lt;&gt;"",$H5&lt;&gt;"",AND($D5&lt;&gt;"",$D5&lt;&gt;FALSE),AND($A5&lt;&gt;"",$A5&lt;&gt;"Talento"))</f>
        <v/>
      </c>
      <c r="L5" t="inlineStr">
        <is>
          <t>Talento</t>
        </is>
      </c>
      <c r="M5" t="inlineStr">
        <is>
          <t>Mão Firme</t>
        </is>
      </c>
      <c r="N5">
        <f>""</f>
        <v/>
      </c>
      <c r="O5" t="b">
        <v>0</v>
      </c>
      <c r="P5">
        <f>""</f>
        <v/>
      </c>
      <c r="Q5" t="inlineStr">
        <is>
          <t>Quando uma ocorrência de dano causar 10 pontos ou menos, você não precisa fazer o teste para manter Concentração ou Carregar. Confira o dano de cada ocorrência depois das reduções aplicáveis. Não some todos os golpes da rodada.</t>
        </is>
      </c>
      <c r="R5" t="n">
        <v>1</v>
      </c>
      <c r="S5" t="inlineStr">
        <is>
          <t>Fundamento / Manejos</t>
        </is>
      </c>
      <c r="T5" t="inlineStr">
        <is>
          <t>Mão Firme</t>
        </is>
      </c>
      <c r="W5">
        <f>IF($A5="",IF($J5&gt;0,INDEX('DADOS_TALENTOS'!$L$2:$L$24,MAX(1,$J5)),"Talento"),$A5)</f>
        <v/>
      </c>
      <c r="X5">
        <f>IF($B5="",IF($J5&gt;0,INDEX('DADOS_TALENTOS'!$M$2:$M$24,MAX(1,$J5)),""),$B5)</f>
        <v/>
      </c>
      <c r="Y5">
        <f>IF($C5="",IF($J5&gt;0,INDEX('DADOS_TALENTOS'!$N$2:$N$24,MAX(1,$J5)),""),$C5)</f>
        <v/>
      </c>
      <c r="Z5">
        <f>IF($D5="",IF($J5&gt;0,INDEX('DADOS_TALENTOS'!$O$2:$O$24,MAX(1,$J5)),FALSE),$D5)</f>
        <v/>
      </c>
      <c r="AA5">
        <f>IF($E5="",IF($J5&gt;0,INDEX('DADOS_TALENTOS'!$P$2:$P$24,MAX(1,$J5)),""),$E5)</f>
        <v/>
      </c>
      <c r="AB5">
        <f>IF($F5="",IF($J5&gt;0,INDEX('DADOS_TALENTOS'!$Q$2:$Q$24,MAX(1,$J5)),""),$F5)</f>
        <v/>
      </c>
      <c r="AC5">
        <f>IF($G5="",IF($J5&gt;0,INDEX('DADOS_TALENTOS'!$R$2:$R$24,MAX(1,$J5)),""),$G5)</f>
        <v/>
      </c>
      <c r="AD5">
        <f>IF($H5="",IF($J5&gt;0,INDEX('DADOS_TALENTOS'!$S$2:$S$24,MAX(1,$J5)),"Todas"),$H5)</f>
        <v/>
      </c>
      <c r="AE5">
        <f>IF($J5&gt;0,INDEX('DADOS_TALENTOS'!$T$2:$T$24,MAX(1,$J5)),"")</f>
        <v/>
      </c>
      <c r="AG5">
        <f>IF(AND(ISTEXT($B5),$B5&lt;&gt;"",TRIM($B5)=$B5),"","NOME precisa ser texto sem espaços nas pontas")</f>
        <v/>
      </c>
      <c r="AH5">
        <f>IF(COUNTIF('DADOS_TALENTOS'!$B$2:$B$11,SUBSTITUTE(SUBSTITUTE(SUBSTITUTE($B5,"~","~~"),"*","~*"),"?","~?"))+COUNTIF('DADOS_TALENTOS'!$M$2:$M$24,SUBSTITUTE(SUBSTITUTE(SUBSTITUTE($B5,"~","~~"),"*","~*"),"?","~?"))=1,"","Nome repetido no livro ou custom")</f>
        <v/>
      </c>
      <c r="AI5">
        <f>IF($J5&gt;=0,"","BASE DO LIVRO inválida para o grupo")</f>
        <v/>
      </c>
      <c r="AJ5">
        <f>IF(OR($W5="Talento"),"","TIPO inválido para o grupo")</f>
        <v/>
      </c>
      <c r="AK5">
        <f>IF(ISLOGICAL($Z5),"","MESTRE VIU precisa ser caixa de seleção")</f>
        <v/>
      </c>
      <c r="AL5">
        <f>IF(ISTEXT($AB5),"","EFEITO precisa ser texto")</f>
        <v/>
      </c>
      <c r="AM5">
        <f>IF(ISTEXT($AA5),"","REQUISITOS precisa ser texto")</f>
        <v/>
      </c>
      <c r="AN5">
        <f>IF(IFERROR(AND(ISNUMBER($AC5),NOT(ISLOGICAL($AC5)),$AC5=INT($AC5),$AC5&gt;=1,$AC5&lt;=3),FALSE),"","CE inválida")</f>
        <v/>
      </c>
      <c r="AO5">
        <f>IF(OR($AD5="Todas",$AD5="Fundamento / Manejos",$AD5="Técnica Marcial"),"","ROTA inválida")</f>
        <v/>
      </c>
      <c r="AQ5">
        <f>'DADOS_TALENTOS'!$M5</f>
        <v/>
      </c>
      <c r="AR5">
        <f>'DADOS_TALENTOS'!$R5</f>
        <v/>
      </c>
      <c r="AS5">
        <f>'DADOS_TALENTOS'!$Q5&amp;IF('DADOS_TALENTOS'!$P5="","",CHAR(10)&amp;"Requisitos: "&amp;'DADOS_TALENTOS'!$P5)</f>
        <v/>
      </c>
      <c r="AT5">
        <f>N(OR('DADOS_TALENTOS'!$S5="Todas",'DADOS_TALENTOS'!$S5="Fundamento / Manejos"))</f>
        <v/>
      </c>
      <c r="AU5">
        <f>N(OR('DADOS_TALENTOS'!$S5="Todas",'DADOS_TALENTOS'!$S5="Técnica Marcial"))</f>
        <v/>
      </c>
      <c r="AV5">
        <f>IF(OR(AND(DADOS_AM!$A$2&lt;=2,OR('DADOS_TALENTOS'!$S5="Todas",'DADOS_TALENTOS'!$S5="Fundamento / Manejos")),AND(DADOS_AM!$A$2&gt;=2,OR('DADOS_TALENTOS'!$S5="Todas",'DADOS_TALENTOS'!$S5="Técnica Marcial"))),'DADOS_TALENTOS'!$M5,"")</f>
        <v/>
      </c>
      <c r="AW5" t="inlineStr">
        <is>
          <t>Quando uma ocorrência de dano causar 10 pontos ou menos, você não precisa fazer o teste para manter Concentração ou Carregar. Confira o dano de cada ocorrência depois das reduções aplicáveis. Não some todos os golpes da rodada.</t>
        </is>
      </c>
      <c r="AY5" t="inlineStr">
        <is>
          <t>Raiz</t>
        </is>
      </c>
    </row>
    <row r="6">
      <c r="A6">
        <f>IF(ISBLANK('CONFIGURAÇÃO'!$GH$64),"",'CONFIGURAÇÃO'!$GH$64)</f>
        <v/>
      </c>
      <c r="B6">
        <f>IF(ISBLANK('CONFIGURAÇÃO'!$GH$66),"",'CONFIGURAÇÃO'!$GH$66)</f>
        <v/>
      </c>
      <c r="C6">
        <f>IF(ISBLANK('CONFIGURAÇÃO'!$GK$67),"",'CONFIGURAÇÃO'!$GK$67)</f>
        <v/>
      </c>
      <c r="D6">
        <f>IF(ISBLANK('CONFIGURAÇÃO'!$GL$64),"",'CONFIGURAÇÃO'!$GL$64)</f>
        <v/>
      </c>
      <c r="E6">
        <f>IF(ISBLANK('CONFIGURAÇÃO'!$GH$72),"",'CONFIGURAÇÃO'!$GH$72)</f>
        <v/>
      </c>
      <c r="F6">
        <f>IF(ISBLANK('CONFIGURAÇÃO'!$GH$78),"",'CONFIGURAÇÃO'!$GH$78)</f>
        <v/>
      </c>
      <c r="G6">
        <f>IF(ISBLANK('CONFIGURAÇÃO'!$GK$68),"",'CONFIGURAÇÃO'!$GK$68)</f>
        <v/>
      </c>
      <c r="H6">
        <f>IF(ISBLANK('CONFIGURAÇÃO'!$GK$69),"",'CONFIGURAÇÃO'!$GK$69)</f>
        <v/>
      </c>
      <c r="I6">
        <f>IF($K6,TEXTJOIN(" · ",TRUE,$AG6:$AO6),"")</f>
        <v/>
      </c>
      <c r="J6">
        <f>IF(OR($C6="",$C6="Nenhuma"),0,IFERROR(MATCH(SUBSTITUTE(SUBSTITUTE(SUBSTITUTE($C6,"~","~~"),"*","~*"),"?","~?"),'DADOS_TALENTOS'!$M$2:$M$24,0),-1))</f>
        <v/>
      </c>
      <c r="K6">
        <f>OR($B6&lt;&gt;"",$C6&lt;&gt;"",$E6&lt;&gt;"",$F6&lt;&gt;"",$G6&lt;&gt;"",$H6&lt;&gt;"",AND($D6&lt;&gt;"",$D6&lt;&gt;FALSE),AND($A6&lt;&gt;"",$A6&lt;&gt;"Talento"))</f>
        <v/>
      </c>
      <c r="L6" t="inlineStr">
        <is>
          <t>Talento</t>
        </is>
      </c>
      <c r="M6" t="inlineStr">
        <is>
          <t>Farejador</t>
        </is>
      </c>
      <c r="N6">
        <f>""</f>
        <v/>
      </c>
      <c r="O6" t="b">
        <v>0</v>
      </c>
      <c r="P6">
        <f>""</f>
        <v/>
      </c>
      <c r="Q6" t="inlineStr">
        <is>
          <t>Você sente se houve uma conjuração no local onde está nas últimas 24 horas, e identifica a Classe deixada por ela. Se houver vestígios de mais de uma Classe, reconhece essas Classes.</t>
        </is>
      </c>
      <c r="R6" t="n">
        <v>1</v>
      </c>
      <c r="S6" t="inlineStr">
        <is>
          <t>Fundamento / Manejos</t>
        </is>
      </c>
      <c r="T6" t="inlineStr">
        <is>
          <t>Farejador</t>
        </is>
      </c>
      <c r="W6">
        <f>IF($A6="",IF($J6&gt;0,INDEX('DADOS_TALENTOS'!$L$2:$L$24,MAX(1,$J6)),"Talento"),$A6)</f>
        <v/>
      </c>
      <c r="X6">
        <f>IF($B6="",IF($J6&gt;0,INDEX('DADOS_TALENTOS'!$M$2:$M$24,MAX(1,$J6)),""),$B6)</f>
        <v/>
      </c>
      <c r="Y6">
        <f>IF($C6="",IF($J6&gt;0,INDEX('DADOS_TALENTOS'!$N$2:$N$24,MAX(1,$J6)),""),$C6)</f>
        <v/>
      </c>
      <c r="Z6">
        <f>IF($D6="",IF($J6&gt;0,INDEX('DADOS_TALENTOS'!$O$2:$O$24,MAX(1,$J6)),FALSE),$D6)</f>
        <v/>
      </c>
      <c r="AA6">
        <f>IF($E6="",IF($J6&gt;0,INDEX('DADOS_TALENTOS'!$P$2:$P$24,MAX(1,$J6)),""),$E6)</f>
        <v/>
      </c>
      <c r="AB6">
        <f>IF($F6="",IF($J6&gt;0,INDEX('DADOS_TALENTOS'!$Q$2:$Q$24,MAX(1,$J6)),""),$F6)</f>
        <v/>
      </c>
      <c r="AC6">
        <f>IF($G6="",IF($J6&gt;0,INDEX('DADOS_TALENTOS'!$R$2:$R$24,MAX(1,$J6)),""),$G6)</f>
        <v/>
      </c>
      <c r="AD6">
        <f>IF($H6="",IF($J6&gt;0,INDEX('DADOS_TALENTOS'!$S$2:$S$24,MAX(1,$J6)),"Todas"),$H6)</f>
        <v/>
      </c>
      <c r="AE6">
        <f>IF($J6&gt;0,INDEX('DADOS_TALENTOS'!$T$2:$T$24,MAX(1,$J6)),"")</f>
        <v/>
      </c>
      <c r="AG6">
        <f>IF(AND(ISTEXT($B6),$B6&lt;&gt;"",TRIM($B6)=$B6),"","NOME precisa ser texto sem espaços nas pontas")</f>
        <v/>
      </c>
      <c r="AH6">
        <f>IF(COUNTIF('DADOS_TALENTOS'!$B$2:$B$11,SUBSTITUTE(SUBSTITUTE(SUBSTITUTE($B6,"~","~~"),"*","~*"),"?","~?"))+COUNTIF('DADOS_TALENTOS'!$M$2:$M$24,SUBSTITUTE(SUBSTITUTE(SUBSTITUTE($B6,"~","~~"),"*","~*"),"?","~?"))=1,"","Nome repetido no livro ou custom")</f>
        <v/>
      </c>
      <c r="AI6">
        <f>IF($J6&gt;=0,"","BASE DO LIVRO inválida para o grupo")</f>
        <v/>
      </c>
      <c r="AJ6">
        <f>IF(OR($W6="Talento"),"","TIPO inválido para o grupo")</f>
        <v/>
      </c>
      <c r="AK6">
        <f>IF(ISLOGICAL($Z6),"","MESTRE VIU precisa ser caixa de seleção")</f>
        <v/>
      </c>
      <c r="AL6">
        <f>IF(ISTEXT($AB6),"","EFEITO precisa ser texto")</f>
        <v/>
      </c>
      <c r="AM6">
        <f>IF(ISTEXT($AA6),"","REQUISITOS precisa ser texto")</f>
        <v/>
      </c>
      <c r="AN6">
        <f>IF(IFERROR(AND(ISNUMBER($AC6),NOT(ISLOGICAL($AC6)),$AC6=INT($AC6),$AC6&gt;=1,$AC6&lt;=3),FALSE),"","CE inválida")</f>
        <v/>
      </c>
      <c r="AO6">
        <f>IF(OR($AD6="Todas",$AD6="Fundamento / Manejos",$AD6="Técnica Marcial"),"","ROTA inválida")</f>
        <v/>
      </c>
      <c r="AQ6">
        <f>'DADOS_TALENTOS'!$M6</f>
        <v/>
      </c>
      <c r="AR6">
        <f>'DADOS_TALENTOS'!$R6</f>
        <v/>
      </c>
      <c r="AS6">
        <f>'DADOS_TALENTOS'!$Q6&amp;IF('DADOS_TALENTOS'!$P6="","",CHAR(10)&amp;"Requisitos: "&amp;'DADOS_TALENTOS'!$P6)</f>
        <v/>
      </c>
      <c r="AT6">
        <f>N(OR('DADOS_TALENTOS'!$S6="Todas",'DADOS_TALENTOS'!$S6="Fundamento / Manejos"))</f>
        <v/>
      </c>
      <c r="AU6">
        <f>N(OR('DADOS_TALENTOS'!$S6="Todas",'DADOS_TALENTOS'!$S6="Técnica Marcial"))</f>
        <v/>
      </c>
      <c r="AV6">
        <f>IF(OR(AND(DADOS_AM!$A$2&lt;=2,OR('DADOS_TALENTOS'!$S6="Todas",'DADOS_TALENTOS'!$S6="Fundamento / Manejos")),AND(DADOS_AM!$A$2&gt;=2,OR('DADOS_TALENTOS'!$S6="Todas",'DADOS_TALENTOS'!$S6="Técnica Marcial"))),'DADOS_TALENTOS'!$M6,"")</f>
        <v/>
      </c>
      <c r="AW6" t="inlineStr">
        <is>
          <t>Você sente se houve uma conjuração no local onde está nas últimas 24 horas, e identifica a Classe deixada por ela. Se houver vestígios de mais de uma Classe, reconhece essas Classes.</t>
        </is>
      </c>
      <c r="AY6" t="inlineStr">
        <is>
          <t>Mão Firme</t>
        </is>
      </c>
    </row>
    <row r="7">
      <c r="A7">
        <f>IF(ISBLANK('CONFIGURAÇÃO'!$GP$64),"",'CONFIGURAÇÃO'!$GP$64)</f>
        <v/>
      </c>
      <c r="B7">
        <f>IF(ISBLANK('CONFIGURAÇÃO'!$GP$66),"",'CONFIGURAÇÃO'!$GP$66)</f>
        <v/>
      </c>
      <c r="C7">
        <f>IF(ISBLANK('CONFIGURAÇÃO'!$GS$67),"",'CONFIGURAÇÃO'!$GS$67)</f>
        <v/>
      </c>
      <c r="D7">
        <f>IF(ISBLANK('CONFIGURAÇÃO'!$GT$64),"",'CONFIGURAÇÃO'!$GT$64)</f>
        <v/>
      </c>
      <c r="E7">
        <f>IF(ISBLANK('CONFIGURAÇÃO'!$GP$72),"",'CONFIGURAÇÃO'!$GP$72)</f>
        <v/>
      </c>
      <c r="F7">
        <f>IF(ISBLANK('CONFIGURAÇÃO'!$GP$78),"",'CONFIGURAÇÃO'!$GP$78)</f>
        <v/>
      </c>
      <c r="G7">
        <f>IF(ISBLANK('CONFIGURAÇÃO'!$GS$68),"",'CONFIGURAÇÃO'!$GS$68)</f>
        <v/>
      </c>
      <c r="H7">
        <f>IF(ISBLANK('CONFIGURAÇÃO'!$GS$69),"",'CONFIGURAÇÃO'!$GS$69)</f>
        <v/>
      </c>
      <c r="I7">
        <f>IF($K7,TEXTJOIN(" · ",TRUE,$AG7:$AO7),"")</f>
        <v/>
      </c>
      <c r="J7">
        <f>IF(OR($C7="",$C7="Nenhuma"),0,IFERROR(MATCH(SUBSTITUTE(SUBSTITUTE(SUBSTITUTE($C7,"~","~~"),"*","~*"),"?","~?"),'DADOS_TALENTOS'!$M$2:$M$24,0),-1))</f>
        <v/>
      </c>
      <c r="K7">
        <f>OR($B7&lt;&gt;"",$C7&lt;&gt;"",$E7&lt;&gt;"",$F7&lt;&gt;"",$G7&lt;&gt;"",$H7&lt;&gt;"",AND($D7&lt;&gt;"",$D7&lt;&gt;FALSE),AND($A7&lt;&gt;"",$A7&lt;&gt;"Talento"))</f>
        <v/>
      </c>
      <c r="L7" t="inlineStr">
        <is>
          <t>Talento</t>
        </is>
      </c>
      <c r="M7" t="inlineStr">
        <is>
          <t>Leitura de Feitiços</t>
        </is>
      </c>
      <c r="N7">
        <f>""</f>
        <v/>
      </c>
      <c r="O7" t="b">
        <v>0</v>
      </c>
      <c r="P7">
        <f>""</f>
        <v/>
      </c>
      <c r="Q7" t="inlineStr">
        <is>
          <t>Ao ter um inimigo à vista, você sabe qual foi o último feitiço que ele usou, mesmo que não tenha presenciado aquela conjuração. Recebe o nome ou uma descrição suficiente para reconhecer a aplicação, não sua ficha completa.</t>
        </is>
      </c>
      <c r="R7" t="n">
        <v>1</v>
      </c>
      <c r="S7" t="inlineStr">
        <is>
          <t>Fundamento / Manejos</t>
        </is>
      </c>
      <c r="T7" t="inlineStr">
        <is>
          <t>Leitura de Feitiços</t>
        </is>
      </c>
      <c r="W7">
        <f>IF($A7="",IF($J7&gt;0,INDEX('DADOS_TALENTOS'!$L$2:$L$24,MAX(1,$J7)),"Talento"),$A7)</f>
        <v/>
      </c>
      <c r="X7">
        <f>IF($B7="",IF($J7&gt;0,INDEX('DADOS_TALENTOS'!$M$2:$M$24,MAX(1,$J7)),""),$B7)</f>
        <v/>
      </c>
      <c r="Y7">
        <f>IF($C7="",IF($J7&gt;0,INDEX('DADOS_TALENTOS'!$N$2:$N$24,MAX(1,$J7)),""),$C7)</f>
        <v/>
      </c>
      <c r="Z7">
        <f>IF($D7="",IF($J7&gt;0,INDEX('DADOS_TALENTOS'!$O$2:$O$24,MAX(1,$J7)),FALSE),$D7)</f>
        <v/>
      </c>
      <c r="AA7">
        <f>IF($E7="",IF($J7&gt;0,INDEX('DADOS_TALENTOS'!$P$2:$P$24,MAX(1,$J7)),""),$E7)</f>
        <v/>
      </c>
      <c r="AB7">
        <f>IF($F7="",IF($J7&gt;0,INDEX('DADOS_TALENTOS'!$Q$2:$Q$24,MAX(1,$J7)),""),$F7)</f>
        <v/>
      </c>
      <c r="AC7">
        <f>IF($G7="",IF($J7&gt;0,INDEX('DADOS_TALENTOS'!$R$2:$R$24,MAX(1,$J7)),""),$G7)</f>
        <v/>
      </c>
      <c r="AD7">
        <f>IF($H7="",IF($J7&gt;0,INDEX('DADOS_TALENTOS'!$S$2:$S$24,MAX(1,$J7)),"Todas"),$H7)</f>
        <v/>
      </c>
      <c r="AE7">
        <f>IF($J7&gt;0,INDEX('DADOS_TALENTOS'!$T$2:$T$24,MAX(1,$J7)),"")</f>
        <v/>
      </c>
      <c r="AG7">
        <f>IF(AND(ISTEXT($B7),$B7&lt;&gt;"",TRIM($B7)=$B7),"","NOME precisa ser texto sem espaços nas pontas")</f>
        <v/>
      </c>
      <c r="AH7">
        <f>IF(COUNTIF('DADOS_TALENTOS'!$B$2:$B$11,SUBSTITUTE(SUBSTITUTE(SUBSTITUTE($B7,"~","~~"),"*","~*"),"?","~?"))+COUNTIF('DADOS_TALENTOS'!$M$2:$M$24,SUBSTITUTE(SUBSTITUTE(SUBSTITUTE($B7,"~","~~"),"*","~*"),"?","~?"))=1,"","Nome repetido no livro ou custom")</f>
        <v/>
      </c>
      <c r="AI7">
        <f>IF($J7&gt;=0,"","BASE DO LIVRO inválida para o grupo")</f>
        <v/>
      </c>
      <c r="AJ7">
        <f>IF(OR($W7="Talento"),"","TIPO inválido para o grupo")</f>
        <v/>
      </c>
      <c r="AK7">
        <f>IF(ISLOGICAL($Z7),"","MESTRE VIU precisa ser caixa de seleção")</f>
        <v/>
      </c>
      <c r="AL7">
        <f>IF(ISTEXT($AB7),"","EFEITO precisa ser texto")</f>
        <v/>
      </c>
      <c r="AM7">
        <f>IF(ISTEXT($AA7),"","REQUISITOS precisa ser texto")</f>
        <v/>
      </c>
      <c r="AN7">
        <f>IF(IFERROR(AND(ISNUMBER($AC7),NOT(ISLOGICAL($AC7)),$AC7=INT($AC7),$AC7&gt;=1,$AC7&lt;=3),FALSE),"","CE inválida")</f>
        <v/>
      </c>
      <c r="AO7">
        <f>IF(OR($AD7="Todas",$AD7="Fundamento / Manejos",$AD7="Técnica Marcial"),"","ROTA inválida")</f>
        <v/>
      </c>
      <c r="AQ7">
        <f>'DADOS_TALENTOS'!$M7</f>
        <v/>
      </c>
      <c r="AR7">
        <f>'DADOS_TALENTOS'!$R7</f>
        <v/>
      </c>
      <c r="AS7">
        <f>'DADOS_TALENTOS'!$Q7&amp;IF('DADOS_TALENTOS'!$P7="","",CHAR(10)&amp;"Requisitos: "&amp;'DADOS_TALENTOS'!$P7)</f>
        <v/>
      </c>
      <c r="AT7">
        <f>N(OR('DADOS_TALENTOS'!$S7="Todas",'DADOS_TALENTOS'!$S7="Fundamento / Manejos"))</f>
        <v/>
      </c>
      <c r="AU7">
        <f>N(OR('DADOS_TALENTOS'!$S7="Todas",'DADOS_TALENTOS'!$S7="Técnica Marcial"))</f>
        <v/>
      </c>
      <c r="AV7">
        <f>IF(OR(AND(DADOS_AM!$A$2&lt;=2,OR('DADOS_TALENTOS'!$S7="Todas",'DADOS_TALENTOS'!$S7="Fundamento / Manejos")),AND(DADOS_AM!$A$2&gt;=2,OR('DADOS_TALENTOS'!$S7="Todas",'DADOS_TALENTOS'!$S7="Técnica Marcial"))),'DADOS_TALENTOS'!$M7,"")</f>
        <v/>
      </c>
      <c r="AW7" t="inlineStr">
        <is>
          <t>Ao ter um inimigo à vista, você sabe qual foi o último feitiço que ele usou, mesmo que não tenha presenciado aquela conjuração. Recebe o nome ou uma descrição suficiente para reconhecer a aplicação, não sua ficha completa.</t>
        </is>
      </c>
      <c r="AY7" t="inlineStr">
        <is>
          <t>Farejador</t>
        </is>
      </c>
    </row>
    <row r="8">
      <c r="A8">
        <f>IF(ISBLANK('CONFIGURAÇÃO'!$GH$89),"",'CONFIGURAÇÃO'!$GH$89)</f>
        <v/>
      </c>
      <c r="B8">
        <f>IF(ISBLANK('CONFIGURAÇÃO'!$GH$91),"",'CONFIGURAÇÃO'!$GH$91)</f>
        <v/>
      </c>
      <c r="C8">
        <f>IF(ISBLANK('CONFIGURAÇÃO'!$GK$92),"",'CONFIGURAÇÃO'!$GK$92)</f>
        <v/>
      </c>
      <c r="D8">
        <f>IF(ISBLANK('CONFIGURAÇÃO'!$GL$89),"",'CONFIGURAÇÃO'!$GL$89)</f>
        <v/>
      </c>
      <c r="E8">
        <f>IF(ISBLANK('CONFIGURAÇÃO'!$GH$97),"",'CONFIGURAÇÃO'!$GH$97)</f>
        <v/>
      </c>
      <c r="F8">
        <f>IF(ISBLANK('CONFIGURAÇÃO'!$GH$103),"",'CONFIGURAÇÃO'!$GH$103)</f>
        <v/>
      </c>
      <c r="G8">
        <f>IF(ISBLANK('CONFIGURAÇÃO'!$GK$93),"",'CONFIGURAÇÃO'!$GK$93)</f>
        <v/>
      </c>
      <c r="H8">
        <f>IF(ISBLANK('CONFIGURAÇÃO'!$GK$94),"",'CONFIGURAÇÃO'!$GK$94)</f>
        <v/>
      </c>
      <c r="I8">
        <f>IF($K8,TEXTJOIN(" · ",TRUE,$AG8:$AO8),"")</f>
        <v/>
      </c>
      <c r="J8">
        <f>IF(OR($C8="",$C8="Nenhuma"),0,IFERROR(MATCH(SUBSTITUTE(SUBSTITUTE(SUBSTITUTE($C8,"~","~~"),"*","~*"),"?","~?"),'DADOS_TALENTOS'!$M$2:$M$24,0),-1))</f>
        <v/>
      </c>
      <c r="K8">
        <f>OR($B8&lt;&gt;"",$C8&lt;&gt;"",$E8&lt;&gt;"",$F8&lt;&gt;"",$G8&lt;&gt;"",$H8&lt;&gt;"",AND($D8&lt;&gt;"",$D8&lt;&gt;FALSE),AND($A8&lt;&gt;"",$A8&lt;&gt;"Talento"))</f>
        <v/>
      </c>
      <c r="L8" t="inlineStr">
        <is>
          <t>Talento</t>
        </is>
      </c>
      <c r="M8" t="inlineStr">
        <is>
          <t>Fluxo</t>
        </is>
      </c>
      <c r="N8">
        <f>""</f>
        <v/>
      </c>
      <c r="O8" t="b">
        <v>0</v>
      </c>
      <c r="P8">
        <f>""</f>
        <v/>
      </c>
      <c r="Q8" t="inlineStr">
        <is>
          <t>Ao conjurar um feitiço de Classe 3 ou maior, você recebe 2 × a Classe usada em pontos de vida temporária. Uma conjuração concede a reserva uma vez, mesmo que alcance vários alvos ou produza vários ataques.</t>
        </is>
      </c>
      <c r="R8" t="n">
        <v>2</v>
      </c>
      <c r="S8" t="inlineStr">
        <is>
          <t>Fundamento / Manejos</t>
        </is>
      </c>
      <c r="T8" t="inlineStr">
        <is>
          <t>Fluxo</t>
        </is>
      </c>
      <c r="W8">
        <f>IF($A8="",IF($J8&gt;0,INDEX('DADOS_TALENTOS'!$L$2:$L$24,MAX(1,$J8)),"Talento"),$A8)</f>
        <v/>
      </c>
      <c r="X8">
        <f>IF($B8="",IF($J8&gt;0,INDEX('DADOS_TALENTOS'!$M$2:$M$24,MAX(1,$J8)),""),$B8)</f>
        <v/>
      </c>
      <c r="Y8">
        <f>IF($C8="",IF($J8&gt;0,INDEX('DADOS_TALENTOS'!$N$2:$N$24,MAX(1,$J8)),""),$C8)</f>
        <v/>
      </c>
      <c r="Z8">
        <f>IF($D8="",IF($J8&gt;0,INDEX('DADOS_TALENTOS'!$O$2:$O$24,MAX(1,$J8)),FALSE),$D8)</f>
        <v/>
      </c>
      <c r="AA8">
        <f>IF($E8="",IF($J8&gt;0,INDEX('DADOS_TALENTOS'!$P$2:$P$24,MAX(1,$J8)),""),$E8)</f>
        <v/>
      </c>
      <c r="AB8">
        <f>IF($F8="",IF($J8&gt;0,INDEX('DADOS_TALENTOS'!$Q$2:$Q$24,MAX(1,$J8)),""),$F8)</f>
        <v/>
      </c>
      <c r="AC8">
        <f>IF($G8="",IF($J8&gt;0,INDEX('DADOS_TALENTOS'!$R$2:$R$24,MAX(1,$J8)),""),$G8)</f>
        <v/>
      </c>
      <c r="AD8">
        <f>IF($H8="",IF($J8&gt;0,INDEX('DADOS_TALENTOS'!$S$2:$S$24,MAX(1,$J8)),"Todas"),$H8)</f>
        <v/>
      </c>
      <c r="AE8">
        <f>IF($J8&gt;0,INDEX('DADOS_TALENTOS'!$T$2:$T$24,MAX(1,$J8)),"")</f>
        <v/>
      </c>
      <c r="AG8">
        <f>IF(AND(ISTEXT($B8),$B8&lt;&gt;"",TRIM($B8)=$B8),"","NOME precisa ser texto sem espaços nas pontas")</f>
        <v/>
      </c>
      <c r="AH8">
        <f>IF(COUNTIF('DADOS_TALENTOS'!$B$2:$B$11,SUBSTITUTE(SUBSTITUTE(SUBSTITUTE($B8,"~","~~"),"*","~*"),"?","~?"))+COUNTIF('DADOS_TALENTOS'!$M$2:$M$24,SUBSTITUTE(SUBSTITUTE(SUBSTITUTE($B8,"~","~~"),"*","~*"),"?","~?"))=1,"","Nome repetido no livro ou custom")</f>
        <v/>
      </c>
      <c r="AI8">
        <f>IF($J8&gt;=0,"","BASE DO LIVRO inválida para o grupo")</f>
        <v/>
      </c>
      <c r="AJ8">
        <f>IF(OR($W8="Talento"),"","TIPO inválido para o grupo")</f>
        <v/>
      </c>
      <c r="AK8">
        <f>IF(ISLOGICAL($Z8),"","MESTRE VIU precisa ser caixa de seleção")</f>
        <v/>
      </c>
      <c r="AL8">
        <f>IF(ISTEXT($AB8),"","EFEITO precisa ser texto")</f>
        <v/>
      </c>
      <c r="AM8">
        <f>IF(ISTEXT($AA8),"","REQUISITOS precisa ser texto")</f>
        <v/>
      </c>
      <c r="AN8">
        <f>IF(IFERROR(AND(ISNUMBER($AC8),NOT(ISLOGICAL($AC8)),$AC8=INT($AC8),$AC8&gt;=1,$AC8&lt;=3),FALSE),"","CE inválida")</f>
        <v/>
      </c>
      <c r="AO8">
        <f>IF(OR($AD8="Todas",$AD8="Fundamento / Manejos",$AD8="Técnica Marcial"),"","ROTA inválida")</f>
        <v/>
      </c>
      <c r="AQ8">
        <f>'DADOS_TALENTOS'!$M8</f>
        <v/>
      </c>
      <c r="AR8">
        <f>'DADOS_TALENTOS'!$R8</f>
        <v/>
      </c>
      <c r="AS8">
        <f>'DADOS_TALENTOS'!$Q8&amp;IF('DADOS_TALENTOS'!$P8="","",CHAR(10)&amp;"Requisitos: "&amp;'DADOS_TALENTOS'!$P8)</f>
        <v/>
      </c>
      <c r="AT8">
        <f>N(OR('DADOS_TALENTOS'!$S8="Todas",'DADOS_TALENTOS'!$S8="Fundamento / Manejos"))</f>
        <v/>
      </c>
      <c r="AU8">
        <f>N(OR('DADOS_TALENTOS'!$S8="Todas",'DADOS_TALENTOS'!$S8="Técnica Marcial"))</f>
        <v/>
      </c>
      <c r="AV8">
        <f>IF(OR(AND(DADOS_AM!$A$2&lt;=2,OR('DADOS_TALENTOS'!$S8="Todas",'DADOS_TALENTOS'!$S8="Fundamento / Manejos")),AND(DADOS_AM!$A$2&gt;=2,OR('DADOS_TALENTOS'!$S8="Todas",'DADOS_TALENTOS'!$S8="Técnica Marcial"))),'DADOS_TALENTOS'!$M8,"")</f>
        <v/>
      </c>
      <c r="AW8" t="inlineStr">
        <is>
          <t>Ao conjurar um feitiço de Classe 3 ou maior, você recebe 2 × a Classe usada em pontos de vida temporária. Uma conjuração concede a reserva uma vez, mesmo que alcance vários alvos ou produza vários ataques.</t>
        </is>
      </c>
      <c r="AY8" t="inlineStr">
        <is>
          <t>Leitura de Feitiços</t>
        </is>
      </c>
    </row>
    <row r="9">
      <c r="A9">
        <f>IF(ISBLANK('CONFIGURAÇÃO'!$GP$89),"",'CONFIGURAÇÃO'!$GP$89)</f>
        <v/>
      </c>
      <c r="B9">
        <f>IF(ISBLANK('CONFIGURAÇÃO'!$GP$91),"",'CONFIGURAÇÃO'!$GP$91)</f>
        <v/>
      </c>
      <c r="C9">
        <f>IF(ISBLANK('CONFIGURAÇÃO'!$GS$92),"",'CONFIGURAÇÃO'!$GS$92)</f>
        <v/>
      </c>
      <c r="D9">
        <f>IF(ISBLANK('CONFIGURAÇÃO'!$GT$89),"",'CONFIGURAÇÃO'!$GT$89)</f>
        <v/>
      </c>
      <c r="E9">
        <f>IF(ISBLANK('CONFIGURAÇÃO'!$GP$97),"",'CONFIGURAÇÃO'!$GP$97)</f>
        <v/>
      </c>
      <c r="F9">
        <f>IF(ISBLANK('CONFIGURAÇÃO'!$GP$103),"",'CONFIGURAÇÃO'!$GP$103)</f>
        <v/>
      </c>
      <c r="G9">
        <f>IF(ISBLANK('CONFIGURAÇÃO'!$GS$93),"",'CONFIGURAÇÃO'!$GS$93)</f>
        <v/>
      </c>
      <c r="H9">
        <f>IF(ISBLANK('CONFIGURAÇÃO'!$GS$94),"",'CONFIGURAÇÃO'!$GS$94)</f>
        <v/>
      </c>
      <c r="I9">
        <f>IF($K9,TEXTJOIN(" · ",TRUE,$AG9:$AO9),"")</f>
        <v/>
      </c>
      <c r="J9">
        <f>IF(OR($C9="",$C9="Nenhuma"),0,IFERROR(MATCH(SUBSTITUTE(SUBSTITUTE(SUBSTITUTE($C9,"~","~~"),"*","~*"),"?","~?"),'DADOS_TALENTOS'!$M$2:$M$24,0),-1))</f>
        <v/>
      </c>
      <c r="K9">
        <f>OR($B9&lt;&gt;"",$C9&lt;&gt;"",$E9&lt;&gt;"",$F9&lt;&gt;"",$G9&lt;&gt;"",$H9&lt;&gt;"",AND($D9&lt;&gt;"",$D9&lt;&gt;FALSE),AND($A9&lt;&gt;"",$A9&lt;&gt;"Talento"))</f>
        <v/>
      </c>
      <c r="L9" t="inlineStr">
        <is>
          <t>Talento</t>
        </is>
      </c>
      <c r="M9" t="inlineStr">
        <is>
          <t>Recomposição</t>
        </is>
      </c>
      <c r="N9">
        <f>""</f>
        <v/>
      </c>
      <c r="O9" t="b">
        <v>0</v>
      </c>
      <c r="P9">
        <f>""</f>
        <v/>
      </c>
      <c r="Q9" t="inlineStr">
        <is>
          <t>Uma vez por descanso curto, use Ação Padrão para recuperar 4 × sua maior Classe em pontos de vida, até sua vida máxima. Não gasta PE. Recuperar vida não remove condições por conta própria.</t>
        </is>
      </c>
      <c r="R9" t="n">
        <v>2</v>
      </c>
      <c r="S9" t="inlineStr">
        <is>
          <t>Fundamento / Manejos</t>
        </is>
      </c>
      <c r="T9" t="inlineStr">
        <is>
          <t>Recomposição</t>
        </is>
      </c>
      <c r="W9">
        <f>IF($A9="",IF($J9&gt;0,INDEX('DADOS_TALENTOS'!$L$2:$L$24,MAX(1,$J9)),"Talento"),$A9)</f>
        <v/>
      </c>
      <c r="X9">
        <f>IF($B9="",IF($J9&gt;0,INDEX('DADOS_TALENTOS'!$M$2:$M$24,MAX(1,$J9)),""),$B9)</f>
        <v/>
      </c>
      <c r="Y9">
        <f>IF($C9="",IF($J9&gt;0,INDEX('DADOS_TALENTOS'!$N$2:$N$24,MAX(1,$J9)),""),$C9)</f>
        <v/>
      </c>
      <c r="Z9">
        <f>IF($D9="",IF($J9&gt;0,INDEX('DADOS_TALENTOS'!$O$2:$O$24,MAX(1,$J9)),FALSE),$D9)</f>
        <v/>
      </c>
      <c r="AA9">
        <f>IF($E9="",IF($J9&gt;0,INDEX('DADOS_TALENTOS'!$P$2:$P$24,MAX(1,$J9)),""),$E9)</f>
        <v/>
      </c>
      <c r="AB9">
        <f>IF($F9="",IF($J9&gt;0,INDEX('DADOS_TALENTOS'!$Q$2:$Q$24,MAX(1,$J9)),""),$F9)</f>
        <v/>
      </c>
      <c r="AC9">
        <f>IF($G9="",IF($J9&gt;0,INDEX('DADOS_TALENTOS'!$R$2:$R$24,MAX(1,$J9)),""),$G9)</f>
        <v/>
      </c>
      <c r="AD9">
        <f>IF($H9="",IF($J9&gt;0,INDEX('DADOS_TALENTOS'!$S$2:$S$24,MAX(1,$J9)),"Todas"),$H9)</f>
        <v/>
      </c>
      <c r="AE9">
        <f>IF($J9&gt;0,INDEX('DADOS_TALENTOS'!$T$2:$T$24,MAX(1,$J9)),"")</f>
        <v/>
      </c>
      <c r="AG9">
        <f>IF(AND(ISTEXT($B9),$B9&lt;&gt;"",TRIM($B9)=$B9),"","NOME precisa ser texto sem espaços nas pontas")</f>
        <v/>
      </c>
      <c r="AH9">
        <f>IF(COUNTIF('DADOS_TALENTOS'!$B$2:$B$11,SUBSTITUTE(SUBSTITUTE(SUBSTITUTE($B9,"~","~~"),"*","~*"),"?","~?"))+COUNTIF('DADOS_TALENTOS'!$M$2:$M$24,SUBSTITUTE(SUBSTITUTE(SUBSTITUTE($B9,"~","~~"),"*","~*"),"?","~?"))=1,"","Nome repetido no livro ou custom")</f>
        <v/>
      </c>
      <c r="AI9">
        <f>IF($J9&gt;=0,"","BASE DO LIVRO inválida para o grupo")</f>
        <v/>
      </c>
      <c r="AJ9">
        <f>IF(OR($W9="Talento"),"","TIPO inválido para o grupo")</f>
        <v/>
      </c>
      <c r="AK9">
        <f>IF(ISLOGICAL($Z9),"","MESTRE VIU precisa ser caixa de seleção")</f>
        <v/>
      </c>
      <c r="AL9">
        <f>IF(ISTEXT($AB9),"","EFEITO precisa ser texto")</f>
        <v/>
      </c>
      <c r="AM9">
        <f>IF(ISTEXT($AA9),"","REQUISITOS precisa ser texto")</f>
        <v/>
      </c>
      <c r="AN9">
        <f>IF(IFERROR(AND(ISNUMBER($AC9),NOT(ISLOGICAL($AC9)),$AC9=INT($AC9),$AC9&gt;=1,$AC9&lt;=3),FALSE),"","CE inválida")</f>
        <v/>
      </c>
      <c r="AO9">
        <f>IF(OR($AD9="Todas",$AD9="Fundamento / Manejos",$AD9="Técnica Marcial"),"","ROTA inválida")</f>
        <v/>
      </c>
      <c r="AQ9">
        <f>'DADOS_TALENTOS'!$M9</f>
        <v/>
      </c>
      <c r="AR9">
        <f>'DADOS_TALENTOS'!$R9</f>
        <v/>
      </c>
      <c r="AS9">
        <f>'DADOS_TALENTOS'!$Q9&amp;IF('DADOS_TALENTOS'!$P9="","",CHAR(10)&amp;"Requisitos: "&amp;'DADOS_TALENTOS'!$P9)</f>
        <v/>
      </c>
      <c r="AT9">
        <f>N(OR('DADOS_TALENTOS'!$S9="Todas",'DADOS_TALENTOS'!$S9="Fundamento / Manejos"))</f>
        <v/>
      </c>
      <c r="AU9">
        <f>N(OR('DADOS_TALENTOS'!$S9="Todas",'DADOS_TALENTOS'!$S9="Técnica Marcial"))</f>
        <v/>
      </c>
      <c r="AV9">
        <f>IF(OR(AND(DADOS_AM!$A$2&lt;=2,OR('DADOS_TALENTOS'!$S9="Todas",'DADOS_TALENTOS'!$S9="Fundamento / Manejos")),AND(DADOS_AM!$A$2&gt;=2,OR('DADOS_TALENTOS'!$S9="Todas",'DADOS_TALENTOS'!$S9="Técnica Marcial"))),'DADOS_TALENTOS'!$M9,"")</f>
        <v/>
      </c>
      <c r="AW9" t="inlineStr">
        <is>
          <t>Uma vez por descanso curto, use Ação Padrão para recuperar 4 × sua maior Classe em pontos de vida, até sua vida máxima. Não gasta PE. Recuperar vida não remove condições por conta própria.</t>
        </is>
      </c>
      <c r="AY9" t="inlineStr">
        <is>
          <t>Fluxo</t>
        </is>
      </c>
    </row>
    <row r="10">
      <c r="A10">
        <f>IF(ISBLANK('CONFIGURAÇÃO'!$GH$114),"",'CONFIGURAÇÃO'!$GH$114)</f>
        <v/>
      </c>
      <c r="B10">
        <f>IF(ISBLANK('CONFIGURAÇÃO'!$GH$116),"",'CONFIGURAÇÃO'!$GH$116)</f>
        <v/>
      </c>
      <c r="C10">
        <f>IF(ISBLANK('CONFIGURAÇÃO'!$GK$117),"",'CONFIGURAÇÃO'!$GK$117)</f>
        <v/>
      </c>
      <c r="D10">
        <f>IF(ISBLANK('CONFIGURAÇÃO'!$GL$114),"",'CONFIGURAÇÃO'!$GL$114)</f>
        <v/>
      </c>
      <c r="E10">
        <f>IF(ISBLANK('CONFIGURAÇÃO'!$GH$122),"",'CONFIGURAÇÃO'!$GH$122)</f>
        <v/>
      </c>
      <c r="F10">
        <f>IF(ISBLANK('CONFIGURAÇÃO'!$GH$128),"",'CONFIGURAÇÃO'!$GH$128)</f>
        <v/>
      </c>
      <c r="G10">
        <f>IF(ISBLANK('CONFIGURAÇÃO'!$GK$118),"",'CONFIGURAÇÃO'!$GK$118)</f>
        <v/>
      </c>
      <c r="H10">
        <f>IF(ISBLANK('CONFIGURAÇÃO'!$GK$119),"",'CONFIGURAÇÃO'!$GK$119)</f>
        <v/>
      </c>
      <c r="I10">
        <f>IF($K10,TEXTJOIN(" · ",TRUE,$AG10:$AO10),"")</f>
        <v/>
      </c>
      <c r="J10">
        <f>IF(OR($C10="",$C10="Nenhuma"),0,IFERROR(MATCH(SUBSTITUTE(SUBSTITUTE(SUBSTITUTE($C10,"~","~~"),"*","~*"),"?","~?"),'DADOS_TALENTOS'!$M$2:$M$24,0),-1))</f>
        <v/>
      </c>
      <c r="K10">
        <f>OR($B10&lt;&gt;"",$C10&lt;&gt;"",$E10&lt;&gt;"",$F10&lt;&gt;"",$G10&lt;&gt;"",$H10&lt;&gt;"",AND($D10&lt;&gt;"",$D10&lt;&gt;FALSE),AND($A10&lt;&gt;"",$A10&lt;&gt;"Talento"))</f>
        <v/>
      </c>
      <c r="L10" t="inlineStr">
        <is>
          <t>Talento</t>
        </is>
      </c>
      <c r="M10" t="inlineStr">
        <is>
          <t>Segunda Natureza</t>
        </is>
      </c>
      <c r="N10">
        <f>""</f>
        <v/>
      </c>
      <c r="O10" t="b">
        <v>0</v>
      </c>
      <c r="P10">
        <f>""</f>
        <v/>
      </c>
      <c r="Q10" t="inlineStr">
        <is>
          <t>Uma vez por dia, você pode conjurar um feitiço conhecido de Classe até metade da sua maior Classe, arredondada para baixo, sem pagar seu custo normal de PE. Declare o uso antes de conjurar.</t>
        </is>
      </c>
      <c r="R10" t="n">
        <v>2</v>
      </c>
      <c r="S10" t="inlineStr">
        <is>
          <t>Fundamento / Manejos</t>
        </is>
      </c>
      <c r="T10" t="inlineStr">
        <is>
          <t>Segunda Natureza</t>
        </is>
      </c>
      <c r="W10">
        <f>IF($A10="",IF($J10&gt;0,INDEX('DADOS_TALENTOS'!$L$2:$L$24,MAX(1,$J10)),"Talento"),$A10)</f>
        <v/>
      </c>
      <c r="X10">
        <f>IF($B10="",IF($J10&gt;0,INDEX('DADOS_TALENTOS'!$M$2:$M$24,MAX(1,$J10)),""),$B10)</f>
        <v/>
      </c>
      <c r="Y10">
        <f>IF($C10="",IF($J10&gt;0,INDEX('DADOS_TALENTOS'!$N$2:$N$24,MAX(1,$J10)),""),$C10)</f>
        <v/>
      </c>
      <c r="Z10">
        <f>IF($D10="",IF($J10&gt;0,INDEX('DADOS_TALENTOS'!$O$2:$O$24,MAX(1,$J10)),FALSE),$D10)</f>
        <v/>
      </c>
      <c r="AA10">
        <f>IF($E10="",IF($J10&gt;0,INDEX('DADOS_TALENTOS'!$P$2:$P$24,MAX(1,$J10)),""),$E10)</f>
        <v/>
      </c>
      <c r="AB10">
        <f>IF($F10="",IF($J10&gt;0,INDEX('DADOS_TALENTOS'!$Q$2:$Q$24,MAX(1,$J10)),""),$F10)</f>
        <v/>
      </c>
      <c r="AC10">
        <f>IF($G10="",IF($J10&gt;0,INDEX('DADOS_TALENTOS'!$R$2:$R$24,MAX(1,$J10)),""),$G10)</f>
        <v/>
      </c>
      <c r="AD10">
        <f>IF($H10="",IF($J10&gt;0,INDEX('DADOS_TALENTOS'!$S$2:$S$24,MAX(1,$J10)),"Todas"),$H10)</f>
        <v/>
      </c>
      <c r="AE10">
        <f>IF($J10&gt;0,INDEX('DADOS_TALENTOS'!$T$2:$T$24,MAX(1,$J10)),"")</f>
        <v/>
      </c>
      <c r="AG10">
        <f>IF(AND(ISTEXT($B10),$B10&lt;&gt;"",TRIM($B10)=$B10),"","NOME precisa ser texto sem espaços nas pontas")</f>
        <v/>
      </c>
      <c r="AH10">
        <f>IF(COUNTIF('DADOS_TALENTOS'!$B$2:$B$11,SUBSTITUTE(SUBSTITUTE(SUBSTITUTE($B10,"~","~~"),"*","~*"),"?","~?"))+COUNTIF('DADOS_TALENTOS'!$M$2:$M$24,SUBSTITUTE(SUBSTITUTE(SUBSTITUTE($B10,"~","~~"),"*","~*"),"?","~?"))=1,"","Nome repetido no livro ou custom")</f>
        <v/>
      </c>
      <c r="AI10">
        <f>IF($J10&gt;=0,"","BASE DO LIVRO inválida para o grupo")</f>
        <v/>
      </c>
      <c r="AJ10">
        <f>IF(OR($W10="Talento"),"","TIPO inválido para o grupo")</f>
        <v/>
      </c>
      <c r="AK10">
        <f>IF(ISLOGICAL($Z10),"","MESTRE VIU precisa ser caixa de seleção")</f>
        <v/>
      </c>
      <c r="AL10">
        <f>IF(ISTEXT($AB10),"","EFEITO precisa ser texto")</f>
        <v/>
      </c>
      <c r="AM10">
        <f>IF(ISTEXT($AA10),"","REQUISITOS precisa ser texto")</f>
        <v/>
      </c>
      <c r="AN10">
        <f>IF(IFERROR(AND(ISNUMBER($AC10),NOT(ISLOGICAL($AC10)),$AC10=INT($AC10),$AC10&gt;=1,$AC10&lt;=3),FALSE),"","CE inválida")</f>
        <v/>
      </c>
      <c r="AO10">
        <f>IF(OR($AD10="Todas",$AD10="Fundamento / Manejos",$AD10="Técnica Marcial"),"","ROTA inválida")</f>
        <v/>
      </c>
      <c r="AQ10">
        <f>'DADOS_TALENTOS'!$M10</f>
        <v/>
      </c>
      <c r="AR10">
        <f>'DADOS_TALENTOS'!$R10</f>
        <v/>
      </c>
      <c r="AS10">
        <f>'DADOS_TALENTOS'!$Q10&amp;IF('DADOS_TALENTOS'!$P10="","",CHAR(10)&amp;"Requisitos: "&amp;'DADOS_TALENTOS'!$P10)</f>
        <v/>
      </c>
      <c r="AT10">
        <f>N(OR('DADOS_TALENTOS'!$S10="Todas",'DADOS_TALENTOS'!$S10="Fundamento / Manejos"))</f>
        <v/>
      </c>
      <c r="AU10">
        <f>N(OR('DADOS_TALENTOS'!$S10="Todas",'DADOS_TALENTOS'!$S10="Técnica Marcial"))</f>
        <v/>
      </c>
      <c r="AV10">
        <f>IF(OR(AND(DADOS_AM!$A$2&lt;=2,OR('DADOS_TALENTOS'!$S10="Todas",'DADOS_TALENTOS'!$S10="Fundamento / Manejos")),AND(DADOS_AM!$A$2&gt;=2,OR('DADOS_TALENTOS'!$S10="Todas",'DADOS_TALENTOS'!$S10="Técnica Marcial"))),'DADOS_TALENTOS'!$M10,"")</f>
        <v/>
      </c>
      <c r="AW10" t="inlineStr">
        <is>
          <t>Uma vez por dia, você pode conjurar um feitiço conhecido de Classe até metade da sua maior Classe, arredondada para baixo, sem pagar seu custo normal de PE. Declare o uso antes de conjurar.</t>
        </is>
      </c>
      <c r="AY10" t="inlineStr">
        <is>
          <t>Recomposição</t>
        </is>
      </c>
    </row>
    <row r="11">
      <c r="A11">
        <f>IF(ISBLANK('CONFIGURAÇÃO'!$GP$114),"",'CONFIGURAÇÃO'!$GP$114)</f>
        <v/>
      </c>
      <c r="B11">
        <f>IF(ISBLANK('CONFIGURAÇÃO'!$GP$116),"",'CONFIGURAÇÃO'!$GP$116)</f>
        <v/>
      </c>
      <c r="C11">
        <f>IF(ISBLANK('CONFIGURAÇÃO'!$GS$117),"",'CONFIGURAÇÃO'!$GS$117)</f>
        <v/>
      </c>
      <c r="D11">
        <f>IF(ISBLANK('CONFIGURAÇÃO'!$GT$114),"",'CONFIGURAÇÃO'!$GT$114)</f>
        <v/>
      </c>
      <c r="E11">
        <f>IF(ISBLANK('CONFIGURAÇÃO'!$GP$122),"",'CONFIGURAÇÃO'!$GP$122)</f>
        <v/>
      </c>
      <c r="F11">
        <f>IF(ISBLANK('CONFIGURAÇÃO'!$GP$128),"",'CONFIGURAÇÃO'!$GP$128)</f>
        <v/>
      </c>
      <c r="G11">
        <f>IF(ISBLANK('CONFIGURAÇÃO'!$GS$118),"",'CONFIGURAÇÃO'!$GS$118)</f>
        <v/>
      </c>
      <c r="H11">
        <f>IF(ISBLANK('CONFIGURAÇÃO'!$GS$119),"",'CONFIGURAÇÃO'!$GS$119)</f>
        <v/>
      </c>
      <c r="I11">
        <f>IF($K11,TEXTJOIN(" · ",TRUE,$AG11:$AO11),"")</f>
        <v/>
      </c>
      <c r="J11">
        <f>IF(OR($C11="",$C11="Nenhuma"),0,IFERROR(MATCH(SUBSTITUTE(SUBSTITUTE(SUBSTITUTE($C11,"~","~~"),"*","~*"),"?","~?"),'DADOS_TALENTOS'!$M$2:$M$24,0),-1))</f>
        <v/>
      </c>
      <c r="K11">
        <f>OR($B11&lt;&gt;"",$C11&lt;&gt;"",$E11&lt;&gt;"",$F11&lt;&gt;"",$G11&lt;&gt;"",$H11&lt;&gt;"",AND($D11&lt;&gt;"",$D11&lt;&gt;FALSE),AND($A11&lt;&gt;"",$A11&lt;&gt;"Talento"))</f>
        <v/>
      </c>
      <c r="L11" t="inlineStr">
        <is>
          <t>Talento</t>
        </is>
      </c>
      <c r="M11" t="inlineStr">
        <is>
          <t>Eco</t>
        </is>
      </c>
      <c r="N11">
        <f>""</f>
        <v/>
      </c>
      <c r="O11" t="b">
        <v>0</v>
      </c>
      <c r="P11">
        <f>""</f>
        <v/>
      </c>
      <c r="Q11" t="inlineStr">
        <is>
          <t>Quando um feitiço seu reduzir um inimigo a 0 pontos de vida, o próximo feitiço que você conjurar nesta cena custa metade do seu PE normal, arredondada para cima. Derrubado, a condição, não ativa Eco.</t>
        </is>
      </c>
      <c r="R11" t="n">
        <v>2</v>
      </c>
      <c r="S11" t="inlineStr">
        <is>
          <t>Fundamento / Manejos</t>
        </is>
      </c>
      <c r="T11" t="inlineStr">
        <is>
          <t>Eco</t>
        </is>
      </c>
      <c r="W11">
        <f>IF($A11="",IF($J11&gt;0,INDEX('DADOS_TALENTOS'!$L$2:$L$24,MAX(1,$J11)),"Talento"),$A11)</f>
        <v/>
      </c>
      <c r="X11">
        <f>IF($B11="",IF($J11&gt;0,INDEX('DADOS_TALENTOS'!$M$2:$M$24,MAX(1,$J11)),""),$B11)</f>
        <v/>
      </c>
      <c r="Y11">
        <f>IF($C11="",IF($J11&gt;0,INDEX('DADOS_TALENTOS'!$N$2:$N$24,MAX(1,$J11)),""),$C11)</f>
        <v/>
      </c>
      <c r="Z11">
        <f>IF($D11="",IF($J11&gt;0,INDEX('DADOS_TALENTOS'!$O$2:$O$24,MAX(1,$J11)),FALSE),$D11)</f>
        <v/>
      </c>
      <c r="AA11">
        <f>IF($E11="",IF($J11&gt;0,INDEX('DADOS_TALENTOS'!$P$2:$P$24,MAX(1,$J11)),""),$E11)</f>
        <v/>
      </c>
      <c r="AB11">
        <f>IF($F11="",IF($J11&gt;0,INDEX('DADOS_TALENTOS'!$Q$2:$Q$24,MAX(1,$J11)),""),$F11)</f>
        <v/>
      </c>
      <c r="AC11">
        <f>IF($G11="",IF($J11&gt;0,INDEX('DADOS_TALENTOS'!$R$2:$R$24,MAX(1,$J11)),""),$G11)</f>
        <v/>
      </c>
      <c r="AD11">
        <f>IF($H11="",IF($J11&gt;0,INDEX('DADOS_TALENTOS'!$S$2:$S$24,MAX(1,$J11)),"Todas"),$H11)</f>
        <v/>
      </c>
      <c r="AE11">
        <f>IF($J11&gt;0,INDEX('DADOS_TALENTOS'!$T$2:$T$24,MAX(1,$J11)),"")</f>
        <v/>
      </c>
      <c r="AG11">
        <f>IF(AND(ISTEXT($B11),$B11&lt;&gt;"",TRIM($B11)=$B11),"","NOME precisa ser texto sem espaços nas pontas")</f>
        <v/>
      </c>
      <c r="AH11">
        <f>IF(COUNTIF('DADOS_TALENTOS'!$B$2:$B$11,SUBSTITUTE(SUBSTITUTE(SUBSTITUTE($B11,"~","~~"),"*","~*"),"?","~?"))+COUNTIF('DADOS_TALENTOS'!$M$2:$M$24,SUBSTITUTE(SUBSTITUTE(SUBSTITUTE($B11,"~","~~"),"*","~*"),"?","~?"))=1,"","Nome repetido no livro ou custom")</f>
        <v/>
      </c>
      <c r="AI11">
        <f>IF($J11&gt;=0,"","BASE DO LIVRO inválida para o grupo")</f>
        <v/>
      </c>
      <c r="AJ11">
        <f>IF(OR($W11="Talento"),"","TIPO inválido para o grupo")</f>
        <v/>
      </c>
      <c r="AK11">
        <f>IF(ISLOGICAL($Z11),"","MESTRE VIU precisa ser caixa de seleção")</f>
        <v/>
      </c>
      <c r="AL11">
        <f>IF(ISTEXT($AB11),"","EFEITO precisa ser texto")</f>
        <v/>
      </c>
      <c r="AM11">
        <f>IF(ISTEXT($AA11),"","REQUISITOS precisa ser texto")</f>
        <v/>
      </c>
      <c r="AN11">
        <f>IF(IFERROR(AND(ISNUMBER($AC11),NOT(ISLOGICAL($AC11)),$AC11=INT($AC11),$AC11&gt;=1,$AC11&lt;=3),FALSE),"","CE inválida")</f>
        <v/>
      </c>
      <c r="AO11">
        <f>IF(OR($AD11="Todas",$AD11="Fundamento / Manejos",$AD11="Técnica Marcial"),"","ROTA inválida")</f>
        <v/>
      </c>
      <c r="AQ11">
        <f>'DADOS_TALENTOS'!$M11</f>
        <v/>
      </c>
      <c r="AR11">
        <f>'DADOS_TALENTOS'!$R11</f>
        <v/>
      </c>
      <c r="AS11">
        <f>'DADOS_TALENTOS'!$Q11&amp;IF('DADOS_TALENTOS'!$P11="","",CHAR(10)&amp;"Requisitos: "&amp;'DADOS_TALENTOS'!$P11)</f>
        <v/>
      </c>
      <c r="AT11">
        <f>N(OR('DADOS_TALENTOS'!$S11="Todas",'DADOS_TALENTOS'!$S11="Fundamento / Manejos"))</f>
        <v/>
      </c>
      <c r="AU11">
        <f>N(OR('DADOS_TALENTOS'!$S11="Todas",'DADOS_TALENTOS'!$S11="Técnica Marcial"))</f>
        <v/>
      </c>
      <c r="AV11">
        <f>IF(OR(AND(DADOS_AM!$A$2&lt;=2,OR('DADOS_TALENTOS'!$S11="Todas",'DADOS_TALENTOS'!$S11="Fundamento / Manejos")),AND(DADOS_AM!$A$2&gt;=2,OR('DADOS_TALENTOS'!$S11="Todas",'DADOS_TALENTOS'!$S11="Técnica Marcial"))),'DADOS_TALENTOS'!$M11,"")</f>
        <v/>
      </c>
      <c r="AW11" t="inlineStr">
        <is>
          <t>Quando um feitiço seu reduzir um inimigo a 0 pontos de vida, o próximo feitiço que você conjurar nesta cena custa metade do seu PE normal, arredondada para cima. Derrubado, a condição, não ativa Eco.</t>
        </is>
      </c>
      <c r="AY11" t="inlineStr">
        <is>
          <t>Segunda Natureza</t>
        </is>
      </c>
    </row>
    <row r="12">
      <c r="L12" t="inlineStr">
        <is>
          <t>Talento</t>
        </is>
      </c>
      <c r="M12" t="inlineStr">
        <is>
          <t>Costura</t>
        </is>
      </c>
      <c r="N12">
        <f>""</f>
        <v/>
      </c>
      <c r="O12" t="b">
        <v>0</v>
      </c>
      <c r="P12">
        <f>""</f>
        <v/>
      </c>
      <c r="Q12" t="inlineStr">
        <is>
          <t>Uma vez por cena, quando um aliado a até 9 m sofreria uma redução de seus pontos de vida a 0, você pode fazer com que ele permaneça com 1 ponto de vida. Não exige ação nem Reação.</t>
        </is>
      </c>
      <c r="R12" t="n">
        <v>2</v>
      </c>
      <c r="S12" t="inlineStr">
        <is>
          <t>Fundamento / Manejos</t>
        </is>
      </c>
      <c r="T12" t="inlineStr">
        <is>
          <t>Costura</t>
        </is>
      </c>
      <c r="AQ12">
        <f>'DADOS_TALENTOS'!$M12</f>
        <v/>
      </c>
      <c r="AR12">
        <f>'DADOS_TALENTOS'!$R12</f>
        <v/>
      </c>
      <c r="AS12">
        <f>'DADOS_TALENTOS'!$Q12&amp;IF('DADOS_TALENTOS'!$P12="","",CHAR(10)&amp;"Requisitos: "&amp;'DADOS_TALENTOS'!$P12)</f>
        <v/>
      </c>
      <c r="AT12">
        <f>N(OR('DADOS_TALENTOS'!$S12="Todas",'DADOS_TALENTOS'!$S12="Fundamento / Manejos"))</f>
        <v/>
      </c>
      <c r="AU12">
        <f>N(OR('DADOS_TALENTOS'!$S12="Todas",'DADOS_TALENTOS'!$S12="Técnica Marcial"))</f>
        <v/>
      </c>
      <c r="AV12">
        <f>IF(OR(AND(DADOS_AM!$A$2&lt;=2,OR('DADOS_TALENTOS'!$S12="Todas",'DADOS_TALENTOS'!$S12="Fundamento / Manejos")),AND(DADOS_AM!$A$2&gt;=2,OR('DADOS_TALENTOS'!$S12="Todas",'DADOS_TALENTOS'!$S12="Técnica Marcial"))),'DADOS_TALENTOS'!$M12,"")</f>
        <v/>
      </c>
      <c r="AW12" t="inlineStr">
        <is>
          <t>Uma vez por cena, quando um aliado a até 9 m sofreria uma redução de seus pontos de vida a 0, você pode fazer com que ele permaneça com 1 ponto de vida. Não exige ação nem Reação.</t>
        </is>
      </c>
      <c r="AY12" t="inlineStr">
        <is>
          <t>Eco</t>
        </is>
      </c>
    </row>
    <row r="13">
      <c r="L13" t="inlineStr">
        <is>
          <t>Talento</t>
        </is>
      </c>
      <c r="M13" t="inlineStr">
        <is>
          <t>Contramedida</t>
        </is>
      </c>
      <c r="N13">
        <f>""</f>
        <v/>
      </c>
      <c r="O13" t="b">
        <v>0</v>
      </c>
      <c r="P13">
        <f>""</f>
        <v/>
      </c>
      <c r="Q13" t="inlineStr">
        <is>
          <t>Quando outra criatura a até 9 m conjurar um feitiço, você pode gastar sua Reação e 2 PE para aumentar a CD desse feitiço em 2. Declare depois que a conjuração for anunciada e antes dos TR. O aumento vale para os TR contra aquela aplicação enquanto ela durar.</t>
        </is>
      </c>
      <c r="R13" t="n">
        <v>2</v>
      </c>
      <c r="S13" t="inlineStr">
        <is>
          <t>Fundamento / Manejos</t>
        </is>
      </c>
      <c r="T13" t="inlineStr">
        <is>
          <t>Contramedida</t>
        </is>
      </c>
      <c r="AQ13">
        <f>'DADOS_TALENTOS'!$M13</f>
        <v/>
      </c>
      <c r="AR13">
        <f>'DADOS_TALENTOS'!$R13</f>
        <v/>
      </c>
      <c r="AS13">
        <f>'DADOS_TALENTOS'!$Q13&amp;IF('DADOS_TALENTOS'!$P13="","",CHAR(10)&amp;"Requisitos: "&amp;'DADOS_TALENTOS'!$P13)</f>
        <v/>
      </c>
      <c r="AT13">
        <f>N(OR('DADOS_TALENTOS'!$S13="Todas",'DADOS_TALENTOS'!$S13="Fundamento / Manejos"))</f>
        <v/>
      </c>
      <c r="AU13">
        <f>N(OR('DADOS_TALENTOS'!$S13="Todas",'DADOS_TALENTOS'!$S13="Técnica Marcial"))</f>
        <v/>
      </c>
      <c r="AV13">
        <f>IF(OR(AND(DADOS_AM!$A$2&lt;=2,OR('DADOS_TALENTOS'!$S13="Todas",'DADOS_TALENTOS'!$S13="Fundamento / Manejos")),AND(DADOS_AM!$A$2&gt;=2,OR('DADOS_TALENTOS'!$S13="Todas",'DADOS_TALENTOS'!$S13="Técnica Marcial"))),'DADOS_TALENTOS'!$M13,"")</f>
        <v/>
      </c>
      <c r="AW13" t="inlineStr">
        <is>
          <t>Quando outra criatura a até 9 m conjurar um feitiço, você pode gastar sua Reação e 2 PE para aumentar a CD desse feitiço em 2. Declare depois que a conjuração for anunciada e antes dos TR. O aumento vale para os TR contra aquela aplicação enquanto ela durar.</t>
        </is>
      </c>
      <c r="AY13" t="inlineStr">
        <is>
          <t>Costura</t>
        </is>
      </c>
    </row>
    <row r="14">
      <c r="L14" t="inlineStr">
        <is>
          <t>Talento</t>
        </is>
      </c>
      <c r="M14" t="inlineStr">
        <is>
          <t>Peso da Presença</t>
        </is>
      </c>
      <c r="N14">
        <f>""</f>
        <v/>
      </c>
      <c r="O14" t="b">
        <v>0</v>
      </c>
      <c r="P14">
        <f>""</f>
        <v/>
      </c>
      <c r="Q14" t="inlineStr">
        <is>
          <t>Um inimigo da categoria Capanga que comece o turno a até 6 m de você faz um TR Espírito contra a CD da sua técnica. Se falhar, fica Amedrontado por você até o começo do próximo turno dele. Como Amedrontado é uma condição Pesada, ele repete o TR no fim do turno e encerra essa aplicação se passar. Se permanecer na área, faz o teste do novo turno normalmente.</t>
        </is>
      </c>
      <c r="R14" t="n">
        <v>2</v>
      </c>
      <c r="S14" t="inlineStr">
        <is>
          <t>Fundamento / Manejos</t>
        </is>
      </c>
      <c r="T14" t="inlineStr">
        <is>
          <t>Peso da Presença</t>
        </is>
      </c>
      <c r="AQ14">
        <f>'DADOS_TALENTOS'!$M14</f>
        <v/>
      </c>
      <c r="AR14">
        <f>'DADOS_TALENTOS'!$R14</f>
        <v/>
      </c>
      <c r="AS14">
        <f>'DADOS_TALENTOS'!$Q14&amp;IF('DADOS_TALENTOS'!$P14="","",CHAR(10)&amp;"Requisitos: "&amp;'DADOS_TALENTOS'!$P14)</f>
        <v/>
      </c>
      <c r="AT14">
        <f>N(OR('DADOS_TALENTOS'!$S14="Todas",'DADOS_TALENTOS'!$S14="Fundamento / Manejos"))</f>
        <v/>
      </c>
      <c r="AU14">
        <f>N(OR('DADOS_TALENTOS'!$S14="Todas",'DADOS_TALENTOS'!$S14="Técnica Marcial"))</f>
        <v/>
      </c>
      <c r="AV14">
        <f>IF(OR(AND(DADOS_AM!$A$2&lt;=2,OR('DADOS_TALENTOS'!$S14="Todas",'DADOS_TALENTOS'!$S14="Fundamento / Manejos")),AND(DADOS_AM!$A$2&gt;=2,OR('DADOS_TALENTOS'!$S14="Todas",'DADOS_TALENTOS'!$S14="Técnica Marcial"))),'DADOS_TALENTOS'!$M14,"")</f>
        <v/>
      </c>
      <c r="AW14" t="inlineStr">
        <is>
          <t>Um inimigo da categoria Capanga que comece o turno a até 6 m de você faz um TR Espírito contra a CD da sua técnica.</t>
        </is>
      </c>
      <c r="AY14" t="inlineStr">
        <is>
          <t>Contramedida</t>
        </is>
      </c>
    </row>
    <row r="15">
      <c r="L15" t="inlineStr">
        <is>
          <t>Talento</t>
        </is>
      </c>
      <c r="M15" t="inlineStr">
        <is>
          <t>Escama</t>
        </is>
      </c>
      <c r="N15">
        <f>""</f>
        <v/>
      </c>
      <c r="O15" t="b">
        <v>0</v>
      </c>
      <c r="P15">
        <f>""</f>
        <v/>
      </c>
      <c r="Q15" t="inlineStr">
        <is>
          <t>Escolha um tipo de dano que a Regra da sua técnica justifique. Você tem resistência a esse tipo: sofre metade do dano, com o arredondamento das regras de dano.</t>
        </is>
      </c>
      <c r="R15" t="n">
        <v>3</v>
      </c>
      <c r="S15" t="inlineStr">
        <is>
          <t>Fundamento / Manejos</t>
        </is>
      </c>
      <c r="T15" t="inlineStr">
        <is>
          <t>Escama</t>
        </is>
      </c>
      <c r="AQ15">
        <f>'DADOS_TALENTOS'!$M15</f>
        <v/>
      </c>
      <c r="AR15">
        <f>'DADOS_TALENTOS'!$R15</f>
        <v/>
      </c>
      <c r="AS15">
        <f>'DADOS_TALENTOS'!$Q15&amp;IF('DADOS_TALENTOS'!$P15="","",CHAR(10)&amp;"Requisitos: "&amp;'DADOS_TALENTOS'!$P15)</f>
        <v/>
      </c>
      <c r="AT15">
        <f>N(OR('DADOS_TALENTOS'!$S15="Todas",'DADOS_TALENTOS'!$S15="Fundamento / Manejos"))</f>
        <v/>
      </c>
      <c r="AU15">
        <f>N(OR('DADOS_TALENTOS'!$S15="Todas",'DADOS_TALENTOS'!$S15="Técnica Marcial"))</f>
        <v/>
      </c>
      <c r="AV15">
        <f>IF(OR(AND(DADOS_AM!$A$2&lt;=2,OR('DADOS_TALENTOS'!$S15="Todas",'DADOS_TALENTOS'!$S15="Fundamento / Manejos")),AND(DADOS_AM!$A$2&gt;=2,OR('DADOS_TALENTOS'!$S15="Todas",'DADOS_TALENTOS'!$S15="Técnica Marcial"))),'DADOS_TALENTOS'!$M15,"")</f>
        <v/>
      </c>
      <c r="AW15" t="inlineStr">
        <is>
          <t>Escolha um tipo de dano que a Regra da sua técnica justifique. Você tem resistência a esse tipo: sofre metade do dano, com o arredondamento das regras de dano.</t>
        </is>
      </c>
      <c r="AY15" t="inlineStr">
        <is>
          <t>Peso da Presença</t>
        </is>
      </c>
    </row>
    <row r="16">
      <c r="L16" t="inlineStr">
        <is>
          <t>Talento</t>
        </is>
      </c>
      <c r="M16" t="inlineStr">
        <is>
          <t>Afinidade</t>
        </is>
      </c>
      <c r="N16">
        <f>""</f>
        <v/>
      </c>
      <c r="O16" t="b">
        <v>0</v>
      </c>
      <c r="P16">
        <f>""</f>
        <v/>
      </c>
      <c r="Q16" t="inlineStr">
        <is>
          <t>Escolha um tema presente na Regra da sua técnica. Seus feitiços desse tema ignoram cobertura Parcial e resistência ao tipo de dano que causam.</t>
        </is>
      </c>
      <c r="R16" t="n">
        <v>3</v>
      </c>
      <c r="S16" t="inlineStr">
        <is>
          <t>Fundamento / Manejos</t>
        </is>
      </c>
      <c r="T16" t="inlineStr">
        <is>
          <t>Afinidade</t>
        </is>
      </c>
      <c r="AQ16">
        <f>'DADOS_TALENTOS'!$M16</f>
        <v/>
      </c>
      <c r="AR16">
        <f>'DADOS_TALENTOS'!$R16</f>
        <v/>
      </c>
      <c r="AS16">
        <f>'DADOS_TALENTOS'!$Q16&amp;IF('DADOS_TALENTOS'!$P16="","",CHAR(10)&amp;"Requisitos: "&amp;'DADOS_TALENTOS'!$P16)</f>
        <v/>
      </c>
      <c r="AT16">
        <f>N(OR('DADOS_TALENTOS'!$S16="Todas",'DADOS_TALENTOS'!$S16="Fundamento / Manejos"))</f>
        <v/>
      </c>
      <c r="AU16">
        <f>N(OR('DADOS_TALENTOS'!$S16="Todas",'DADOS_TALENTOS'!$S16="Técnica Marcial"))</f>
        <v/>
      </c>
      <c r="AV16">
        <f>IF(OR(AND(DADOS_AM!$A$2&lt;=2,OR('DADOS_TALENTOS'!$S16="Todas",'DADOS_TALENTOS'!$S16="Fundamento / Manejos")),AND(DADOS_AM!$A$2&gt;=2,OR('DADOS_TALENTOS'!$S16="Todas",'DADOS_TALENTOS'!$S16="Técnica Marcial"))),'DADOS_TALENTOS'!$M16,"")</f>
        <v/>
      </c>
      <c r="AW16" t="inlineStr">
        <is>
          <t>Escolha um tema presente na Regra da sua técnica. Seus feitiços desse tema ignoram cobertura Parcial e resistência ao tipo de dano que causam.</t>
        </is>
      </c>
      <c r="AY16" t="inlineStr">
        <is>
          <t>Escama</t>
        </is>
      </c>
    </row>
    <row r="17">
      <c r="L17" t="inlineStr">
        <is>
          <t>Talento</t>
        </is>
      </c>
      <c r="M17" t="inlineStr">
        <is>
          <t>Reserva Profunda</t>
        </is>
      </c>
      <c r="N17">
        <f>""</f>
        <v/>
      </c>
      <c r="O17" t="b">
        <v>0</v>
      </c>
      <c r="P17">
        <f>""</f>
        <v/>
      </c>
      <c r="Q17" t="inlineStr">
        <is>
          <t>Seu PE máximo aumenta em 3 × sua maior Classe. Atualize esse acréscimo quando sua maior Classe aumentar.</t>
        </is>
      </c>
      <c r="R17" t="n">
        <v>3</v>
      </c>
      <c r="S17" t="inlineStr">
        <is>
          <t>Fundamento / Manejos</t>
        </is>
      </c>
      <c r="T17" t="inlineStr">
        <is>
          <t>Reserva Profunda</t>
        </is>
      </c>
      <c r="AQ17">
        <f>'DADOS_TALENTOS'!$M17</f>
        <v/>
      </c>
      <c r="AR17">
        <f>'DADOS_TALENTOS'!$R17</f>
        <v/>
      </c>
      <c r="AS17">
        <f>'DADOS_TALENTOS'!$Q17&amp;IF('DADOS_TALENTOS'!$P17="","",CHAR(10)&amp;"Requisitos: "&amp;'DADOS_TALENTOS'!$P17)</f>
        <v/>
      </c>
      <c r="AT17">
        <f>N(OR('DADOS_TALENTOS'!$S17="Todas",'DADOS_TALENTOS'!$S17="Fundamento / Manejos"))</f>
        <v/>
      </c>
      <c r="AU17">
        <f>N(OR('DADOS_TALENTOS'!$S17="Todas",'DADOS_TALENTOS'!$S17="Técnica Marcial"))</f>
        <v/>
      </c>
      <c r="AV17">
        <f>IF(OR(AND(DADOS_AM!$A$2&lt;=2,OR('DADOS_TALENTOS'!$S17="Todas",'DADOS_TALENTOS'!$S17="Fundamento / Manejos")),AND(DADOS_AM!$A$2&gt;=2,OR('DADOS_TALENTOS'!$S17="Todas",'DADOS_TALENTOS'!$S17="Técnica Marcial"))),'DADOS_TALENTOS'!$M17,"")</f>
        <v/>
      </c>
      <c r="AW17" t="inlineStr">
        <is>
          <t>Seu PE máximo aumenta em 3 × sua maior Classe. Atualize esse acréscimo quando sua maior Classe aumentar.</t>
        </is>
      </c>
      <c r="AY17" t="inlineStr">
        <is>
          <t>Afinidade</t>
        </is>
      </c>
    </row>
    <row r="18">
      <c r="L18" t="inlineStr">
        <is>
          <t>Talento</t>
        </is>
      </c>
      <c r="M18" t="inlineStr">
        <is>
          <t>Talento Próprio (CE 1)</t>
        </is>
      </c>
      <c r="N18">
        <f>""</f>
        <v/>
      </c>
      <c r="O18" t="b">
        <v>0</v>
      </c>
      <c r="P18">
        <f>""</f>
        <v/>
      </c>
      <c r="Q18"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R18" t="n">
        <v>1</v>
      </c>
      <c r="S18" t="inlineStr">
        <is>
          <t>Todas</t>
        </is>
      </c>
      <c r="T18" t="inlineStr">
        <is>
          <t>Talento Próprio (CE 1)</t>
        </is>
      </c>
      <c r="AQ18">
        <f>'DADOS_TALENTOS'!$M18</f>
        <v/>
      </c>
      <c r="AR18">
        <f>'DADOS_TALENTOS'!$R18</f>
        <v/>
      </c>
      <c r="AS18">
        <f>'DADOS_TALENTOS'!$Q18&amp;IF('DADOS_TALENTOS'!$P18="","",CHAR(10)&amp;"Requisitos: "&amp;'DADOS_TALENTOS'!$P18)</f>
        <v/>
      </c>
      <c r="AT18">
        <f>N(OR('DADOS_TALENTOS'!$S18="Todas",'DADOS_TALENTOS'!$S18="Fundamento / Manejos"))</f>
        <v/>
      </c>
      <c r="AU18">
        <f>N(OR('DADOS_TALENTOS'!$S18="Todas",'DADOS_TALENTOS'!$S18="Técnica Marcial"))</f>
        <v/>
      </c>
      <c r="AV18">
        <f>IF(OR(AND(DADOS_AM!$A$2&lt;=2,OR('DADOS_TALENTOS'!$S18="Todas",'DADOS_TALENTOS'!$S18="Fundamento / Manejos")),AND(DADOS_AM!$A$2&gt;=2,OR('DADOS_TALENTOS'!$S18="Todas",'DADOS_TALENTOS'!$S18="Técnica Marcial"))),'DADOS_TALENTOS'!$M18,"")</f>
        <v/>
      </c>
      <c r="AW18" t="inlineStr">
        <is>
          <t>Categoria de Efeito 1, 2 ou 3. Custos e níveis da Categoria escolhida. Se o catálogo não representar a ideia, escreva o efeito com o mestre antes da sessão. Ele ocupa os espaços correspondentes e conta no máximo de cinco Talentos pagos.</t>
        </is>
      </c>
      <c r="AY18" t="inlineStr">
        <is>
          <t>Reserva Profunda</t>
        </is>
      </c>
    </row>
    <row r="19">
      <c r="L19" t="inlineStr">
        <is>
          <t>Talento</t>
        </is>
      </c>
      <c r="M19" t="inlineStr">
        <is>
          <t>Talento Próprio (CE 2)</t>
        </is>
      </c>
      <c r="N19">
        <f>""</f>
        <v/>
      </c>
      <c r="O19" t="b">
        <v>0</v>
      </c>
      <c r="P19">
        <f>""</f>
        <v/>
      </c>
      <c r="Q19"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R19" t="n">
        <v>2</v>
      </c>
      <c r="S19" t="inlineStr">
        <is>
          <t>Todas</t>
        </is>
      </c>
      <c r="T19" t="inlineStr">
        <is>
          <t>Talento Próprio (CE 2)</t>
        </is>
      </c>
      <c r="AQ19">
        <f>'DADOS_TALENTOS'!$M19</f>
        <v/>
      </c>
      <c r="AR19">
        <f>'DADOS_TALENTOS'!$R19</f>
        <v/>
      </c>
      <c r="AS19">
        <f>'DADOS_TALENTOS'!$Q19&amp;IF('DADOS_TALENTOS'!$P19="","",CHAR(10)&amp;"Requisitos: "&amp;'DADOS_TALENTOS'!$P19)</f>
        <v/>
      </c>
      <c r="AT19">
        <f>N(OR('DADOS_TALENTOS'!$S19="Todas",'DADOS_TALENTOS'!$S19="Fundamento / Manejos"))</f>
        <v/>
      </c>
      <c r="AU19">
        <f>N(OR('DADOS_TALENTOS'!$S19="Todas",'DADOS_TALENTOS'!$S19="Técnica Marcial"))</f>
        <v/>
      </c>
      <c r="AV19">
        <f>IF(OR(AND(DADOS_AM!$A$2&lt;=2,OR('DADOS_TALENTOS'!$S19="Todas",'DADOS_TALENTOS'!$S19="Fundamento / Manejos")),AND(DADOS_AM!$A$2&gt;=2,OR('DADOS_TALENTOS'!$S19="Todas",'DADOS_TALENTOS'!$S19="Técnica Marcial"))),'DADOS_TALENTOS'!$M19,"")</f>
        <v/>
      </c>
      <c r="AW19" t="inlineStr">
        <is>
          <t>Categoria de Efeito 1, 2 ou 3. Custos e níveis da Categoria escolhida. Se o catálogo não representar a ideia, escreva o efeito com o mestre antes da sessão. Ele ocupa os espaços correspondentes e conta no máximo de cinco Talentos pagos.</t>
        </is>
      </c>
      <c r="AY19" t="inlineStr">
        <is>
          <t>Talento Próprio (CE 1)</t>
        </is>
      </c>
    </row>
    <row r="20">
      <c r="L20" t="inlineStr">
        <is>
          <t>Talento</t>
        </is>
      </c>
      <c r="M20" t="inlineStr">
        <is>
          <t>Talento Próprio (CE 3)</t>
        </is>
      </c>
      <c r="N20">
        <f>""</f>
        <v/>
      </c>
      <c r="O20" t="b">
        <v>0</v>
      </c>
      <c r="P20">
        <f>""</f>
        <v/>
      </c>
      <c r="Q20" t="inlineStr">
        <is>
          <t>Categoria de Efeito 1, 2 ou 3. Custos e níveis da Categoria escolhida. Se o catálogo não representar a ideia, escreva o efeito com o mestre antes da sessão. Ele ocupa os espaços correspondentes e conta no máximo de cinco Talentos pagos. Escreva a sua na caixa de baixo.</t>
        </is>
      </c>
      <c r="R20" t="n">
        <v>3</v>
      </c>
      <c r="S20" t="inlineStr">
        <is>
          <t>Todas</t>
        </is>
      </c>
      <c r="T20" t="inlineStr">
        <is>
          <t>Talento Próprio (CE 3)</t>
        </is>
      </c>
      <c r="AQ20">
        <f>'DADOS_TALENTOS'!$M20</f>
        <v/>
      </c>
      <c r="AR20">
        <f>'DADOS_TALENTOS'!$R20</f>
        <v/>
      </c>
      <c r="AS20">
        <f>'DADOS_TALENTOS'!$Q20&amp;IF('DADOS_TALENTOS'!$P20="","",CHAR(10)&amp;"Requisitos: "&amp;'DADOS_TALENTOS'!$P20)</f>
        <v/>
      </c>
      <c r="AT20">
        <f>N(OR('DADOS_TALENTOS'!$S20="Todas",'DADOS_TALENTOS'!$S20="Fundamento / Manejos"))</f>
        <v/>
      </c>
      <c r="AU20">
        <f>N(OR('DADOS_TALENTOS'!$S20="Todas",'DADOS_TALENTOS'!$S20="Técnica Marcial"))</f>
        <v/>
      </c>
      <c r="AV20">
        <f>IF(OR(AND(DADOS_AM!$A$2&lt;=2,OR('DADOS_TALENTOS'!$S20="Todas",'DADOS_TALENTOS'!$S20="Fundamento / Manejos")),AND(DADOS_AM!$A$2&gt;=2,OR('DADOS_TALENTOS'!$S20="Todas",'DADOS_TALENTOS'!$S20="Técnica Marcial"))),'DADOS_TALENTOS'!$M20,"")</f>
        <v/>
      </c>
      <c r="AW20" t="inlineStr">
        <is>
          <t>Categoria de Efeito 1, 2 ou 3. Custos e níveis da Categoria escolhida. Se o catálogo não representar a ideia, escreva o efeito com o mestre antes da sessão. Ele ocupa os espaços correspondentes e conta no máximo de cinco Talentos pagos.</t>
        </is>
      </c>
      <c r="AY20" t="inlineStr">
        <is>
          <t>Talento Próprio (CE 2)</t>
        </is>
      </c>
    </row>
    <row r="21">
      <c r="L21" t="inlineStr">
        <is>
          <t>Talento</t>
        </is>
      </c>
      <c r="M21" t="inlineStr">
        <is>
          <t>Maldição do Inventário</t>
        </is>
      </c>
      <c r="N21">
        <f>""</f>
        <v/>
      </c>
      <c r="O21" t="b">
        <v>0</v>
      </c>
      <c r="P21">
        <f>""</f>
        <v/>
      </c>
      <c r="Q21" t="inlineStr">
        <is>
          <t>Uma pequena maldição vinculada ao seu estilo guarda o equipamento entregue a ela. Pode encolher para ser abrigada em seu corpo. Você pode sacar ou guardar até dois itens gratuitamente por turno, em vez de um. Interações adicionais usam a ação normal.</t>
        </is>
      </c>
      <c r="R21" t="n">
        <v>1</v>
      </c>
      <c r="S21" t="inlineStr">
        <is>
          <t>Técnica Marcial</t>
        </is>
      </c>
      <c r="T21" t="inlineStr">
        <is>
          <t>Maldição do Inventário</t>
        </is>
      </c>
      <c r="AQ21">
        <f>'DADOS_TALENTOS'!$M21</f>
        <v/>
      </c>
      <c r="AR21">
        <f>'DADOS_TALENTOS'!$R21</f>
        <v/>
      </c>
      <c r="AS21">
        <f>'DADOS_TALENTOS'!$Q21&amp;IF('DADOS_TALENTOS'!$P21="","",CHAR(10)&amp;"Requisitos: "&amp;'DADOS_TALENTOS'!$P21)</f>
        <v/>
      </c>
      <c r="AT21">
        <f>N(OR('DADOS_TALENTOS'!$S21="Todas",'DADOS_TALENTOS'!$S21="Fundamento / Manejos"))</f>
        <v/>
      </c>
      <c r="AU21">
        <f>N(OR('DADOS_TALENTOS'!$S21="Todas",'DADOS_TALENTOS'!$S21="Técnica Marcial"))</f>
        <v/>
      </c>
      <c r="AV21">
        <f>IF(OR(AND(DADOS_AM!$A$2&lt;=2,OR('DADOS_TALENTOS'!$S21="Todas",'DADOS_TALENTOS'!$S21="Fundamento / Manejos")),AND(DADOS_AM!$A$2&gt;=2,OR('DADOS_TALENTOS'!$S21="Todas",'DADOS_TALENTOS'!$S21="Técnica Marcial"))),'DADOS_TALENTOS'!$M21,"")</f>
        <v/>
      </c>
      <c r="AW21" t="inlineStr">
        <is>
          <t>Uma pequena maldição vinculada ao seu estilo guarda o equipamento entregue a ela. Pode encolher para ser abrigada em seu corpo. Você pode sacar ou guardar até dois itens gratuitamente por turno, em vez de um. Interações adicionais usam a ação normal.</t>
        </is>
      </c>
      <c r="AY21" t="inlineStr">
        <is>
          <t>Talento Próprio (CE 3)</t>
        </is>
      </c>
    </row>
    <row r="22">
      <c r="L22" t="inlineStr">
        <is>
          <t>Talento</t>
        </is>
      </c>
      <c r="M22" t="inlineStr">
        <is>
          <t>Segundo Fôlego</t>
        </is>
      </c>
      <c r="N22">
        <f>""</f>
        <v/>
      </c>
      <c r="O22" t="b">
        <v>0</v>
      </c>
      <c r="P22">
        <f>""</f>
        <v/>
      </c>
      <c r="Q22" t="inlineStr">
        <is>
          <t>Uma vez por descanso longo, ao escolher Insistir, você pode usar 1/4 do máximo de referência, arredondado para cima, como tratamento necessário naquela queda, em vez do requisito normal de Insistir. Anuncie nessa escolha. O uso continua contando como uma escolha de Insistir na cena. O requisito de 1/4 permanece até a queda terminar, mesmo que depois passe a Aguentar.</t>
        </is>
      </c>
      <c r="R22" t="n">
        <v>2</v>
      </c>
      <c r="S22" t="inlineStr">
        <is>
          <t>Técnica Marcial</t>
        </is>
      </c>
      <c r="T22" t="inlineStr">
        <is>
          <t>Segundo Fôlego</t>
        </is>
      </c>
      <c r="AQ22">
        <f>'DADOS_TALENTOS'!$M22</f>
        <v/>
      </c>
      <c r="AR22">
        <f>'DADOS_TALENTOS'!$R22</f>
        <v/>
      </c>
      <c r="AS22">
        <f>'DADOS_TALENTOS'!$Q22&amp;IF('DADOS_TALENTOS'!$P22="","",CHAR(10)&amp;"Requisitos: "&amp;'DADOS_TALENTOS'!$P22)</f>
        <v/>
      </c>
      <c r="AT22">
        <f>N(OR('DADOS_TALENTOS'!$S22="Todas",'DADOS_TALENTOS'!$S22="Fundamento / Manejos"))</f>
        <v/>
      </c>
      <c r="AU22">
        <f>N(OR('DADOS_TALENTOS'!$S22="Todas",'DADOS_TALENTOS'!$S22="Técnica Marcial"))</f>
        <v/>
      </c>
      <c r="AV22">
        <f>IF(OR(AND(DADOS_AM!$A$2&lt;=2,OR('DADOS_TALENTOS'!$S22="Todas",'DADOS_TALENTOS'!$S22="Fundamento / Manejos")),AND(DADOS_AM!$A$2&gt;=2,OR('DADOS_TALENTOS'!$S22="Todas",'DADOS_TALENTOS'!$S22="Técnica Marcial"))),'DADOS_TALENTOS'!$M22,"")</f>
        <v/>
      </c>
      <c r="AW22" t="inlineStr">
        <is>
          <t>Uma vez por descanso longo, ao escolher Insistir, você pode usar 1/4 do máximo de referência, arredondado para cima, como tratamento necessário naquela queda, em vez do requisito normal de Insistir.</t>
        </is>
      </c>
      <c r="AY22" t="inlineStr">
        <is>
          <t>Maldição do Inventário</t>
        </is>
      </c>
    </row>
    <row r="23">
      <c r="L23" t="inlineStr">
        <is>
          <t>Talento</t>
        </is>
      </c>
      <c r="M23" t="inlineStr">
        <is>
          <t>Contragolpe</t>
        </is>
      </c>
      <c r="N23">
        <f>""</f>
        <v/>
      </c>
      <c r="O23" t="b">
        <v>0</v>
      </c>
      <c r="P23">
        <f>""</f>
        <v/>
      </c>
      <c r="Q23" t="inlineStr">
        <is>
          <t>Quando uma criatura errar um ataque corpo a corpo contra você, pode guardar uma resposta contra ela. Sua próxima rolagem de ataque de uma Kata contra essa criatura tem vantagem. O benefício termina depois dessa rolagem ou ao fim da cena.</t>
        </is>
      </c>
      <c r="R23" t="n">
        <v>2</v>
      </c>
      <c r="S23" t="inlineStr">
        <is>
          <t>Técnica Marcial</t>
        </is>
      </c>
      <c r="T23" t="inlineStr">
        <is>
          <t>Contragolpe</t>
        </is>
      </c>
      <c r="AQ23">
        <f>'DADOS_TALENTOS'!$M23</f>
        <v/>
      </c>
      <c r="AR23">
        <f>'DADOS_TALENTOS'!$R23</f>
        <v/>
      </c>
      <c r="AS23">
        <f>'DADOS_TALENTOS'!$Q23&amp;IF('DADOS_TALENTOS'!$P23="","",CHAR(10)&amp;"Requisitos: "&amp;'DADOS_TALENTOS'!$P23)</f>
        <v/>
      </c>
      <c r="AT23">
        <f>N(OR('DADOS_TALENTOS'!$S23="Todas",'DADOS_TALENTOS'!$S23="Fundamento / Manejos"))</f>
        <v/>
      </c>
      <c r="AU23">
        <f>N(OR('DADOS_TALENTOS'!$S23="Todas",'DADOS_TALENTOS'!$S23="Técnica Marcial"))</f>
        <v/>
      </c>
      <c r="AV23">
        <f>IF(OR(AND(DADOS_AM!$A$2&lt;=2,OR('DADOS_TALENTOS'!$S23="Todas",'DADOS_TALENTOS'!$S23="Fundamento / Manejos")),AND(DADOS_AM!$A$2&gt;=2,OR('DADOS_TALENTOS'!$S23="Todas",'DADOS_TALENTOS'!$S23="Técnica Marcial"))),'DADOS_TALENTOS'!$M23,"")</f>
        <v/>
      </c>
      <c r="AW23" t="inlineStr">
        <is>
          <t>Quando uma criatura errar um ataque corpo a corpo contra você, pode guardar uma resposta contra ela. Sua próxima rolagem de ataque de uma Kata contra essa criatura tem vantagem. O benefício termina depois dessa rolagem ou ao fim da cena.</t>
        </is>
      </c>
      <c r="AY23" t="inlineStr">
        <is>
          <t>Segundo Fôlego</t>
        </is>
      </c>
    </row>
    <row r="24">
      <c r="L24" t="inlineStr">
        <is>
          <t>Talento</t>
        </is>
      </c>
      <c r="M24" t="inlineStr">
        <is>
          <t>Aliança</t>
        </is>
      </c>
      <c r="N24">
        <f>""</f>
        <v/>
      </c>
      <c r="O24" t="b">
        <v>0</v>
      </c>
      <c r="P24">
        <f>""</f>
        <v/>
      </c>
      <c r="Q24" t="inlineStr">
        <is>
          <t>Escolha uma de suas armas ao adquirir este Talento. Ela não pode ser desarmada contra sua vontade e somente você pode empunhá-la para utilizá-la.</t>
        </is>
      </c>
      <c r="R24" t="n">
        <v>3</v>
      </c>
      <c r="S24" t="inlineStr">
        <is>
          <t>Técnica Marcial</t>
        </is>
      </c>
      <c r="T24" t="inlineStr">
        <is>
          <t>Aliança</t>
        </is>
      </c>
      <c r="AQ24">
        <f>'DADOS_TALENTOS'!$M24</f>
        <v/>
      </c>
      <c r="AR24">
        <f>'DADOS_TALENTOS'!$R24</f>
        <v/>
      </c>
      <c r="AS24">
        <f>'DADOS_TALENTOS'!$Q24&amp;IF('DADOS_TALENTOS'!$P24="","",CHAR(10)&amp;"Requisitos: "&amp;'DADOS_TALENTOS'!$P24)</f>
        <v/>
      </c>
      <c r="AT24">
        <f>N(OR('DADOS_TALENTOS'!$S24="Todas",'DADOS_TALENTOS'!$S24="Fundamento / Manejos"))</f>
        <v/>
      </c>
      <c r="AU24">
        <f>N(OR('DADOS_TALENTOS'!$S24="Todas",'DADOS_TALENTOS'!$S24="Técnica Marcial"))</f>
        <v/>
      </c>
      <c r="AV24">
        <f>IF(OR(AND(DADOS_AM!$A$2&lt;=2,OR('DADOS_TALENTOS'!$S24="Todas",'DADOS_TALENTOS'!$S24="Fundamento / Manejos")),AND(DADOS_AM!$A$2&gt;=2,OR('DADOS_TALENTOS'!$S24="Todas",'DADOS_TALENTOS'!$S24="Técnica Marcial"))),'DADOS_TALENTOS'!$M24,"")</f>
        <v/>
      </c>
      <c r="AW24" t="inlineStr">
        <is>
          <t>Escolha uma de suas armas ao adquirir este Talento. Ela não pode ser desarmada contra sua vontade e somente você pode empunhá-la para utilizá-la.</t>
        </is>
      </c>
      <c r="AY24" t="inlineStr">
        <is>
          <t>Contragolpe</t>
        </is>
      </c>
    </row>
    <row r="25">
      <c r="L25">
        <f>IF(AND($K2,$I2=""),$W2,"")</f>
        <v/>
      </c>
      <c r="M25">
        <f>IF(AND($K2,$I2=""),$X2,"")</f>
        <v/>
      </c>
      <c r="N25">
        <f>IF(AND($K2,$I2=""),$Y2,"")</f>
        <v/>
      </c>
      <c r="O25">
        <f>IF(AND($K2,$I2=""),$Z2,FALSE)</f>
        <v/>
      </c>
      <c r="P25">
        <f>IF(AND($K2,$I2=""),$AA2,"")</f>
        <v/>
      </c>
      <c r="Q25">
        <f>IF(AND($K2,$I2=""),$AB2,"")</f>
        <v/>
      </c>
      <c r="R25">
        <f>IF(AND($K2,$I2=""),$AC2,0)</f>
        <v/>
      </c>
      <c r="S25">
        <f>IF(AND($K2,$I2=""),$AD2,"")</f>
        <v/>
      </c>
      <c r="T25">
        <f>IF(AND($K2,$I2=""),$AE2,"")</f>
        <v/>
      </c>
      <c r="AQ25">
        <f>'DADOS_TALENTOS'!$M25</f>
        <v/>
      </c>
      <c r="AR25">
        <f>'DADOS_TALENTOS'!$R25</f>
        <v/>
      </c>
      <c r="AS25">
        <f>'DADOS_TALENTOS'!$Q25&amp;IF('DADOS_TALENTOS'!$P25="","",CHAR(10)&amp;"Requisitos: "&amp;'DADOS_TALENTOS'!$P25)</f>
        <v/>
      </c>
      <c r="AT25">
        <f>N(OR('DADOS_TALENTOS'!$S25="Todas",'DADOS_TALENTOS'!$S25="Fundamento / Manejos"))</f>
        <v/>
      </c>
      <c r="AU25">
        <f>N(OR('DADOS_TALENTOS'!$S25="Todas",'DADOS_TALENTOS'!$S25="Técnica Marcial"))</f>
        <v/>
      </c>
      <c r="AV25">
        <f>IF(OR(AND(DADOS_AM!$A$2&lt;=2,OR('DADOS_TALENTOS'!$S25="Todas",'DADOS_TALENTOS'!$S25="Fundamento / Manejos")),AND(DADOS_AM!$A$2&gt;=2,OR('DADOS_TALENTOS'!$S25="Todas",'DADOS_TALENTOS'!$S25="Técnica Marcial"))),'DADOS_TALENTOS'!$M25,"")</f>
        <v/>
      </c>
      <c r="AW25">
        <f>'DADOS_TALENTOS'!$Q25&amp;IF('DADOS_TALENTOS'!$P25="","",CHAR(10)&amp;"Requisitos: "&amp;'DADOS_TALENTOS'!$P25)</f>
        <v/>
      </c>
      <c r="AY25" t="inlineStr">
        <is>
          <t>Aliança</t>
        </is>
      </c>
    </row>
    <row r="26">
      <c r="L26">
        <f>IF(AND($K3,$I3=""),$W3,"")</f>
        <v/>
      </c>
      <c r="M26">
        <f>IF(AND($K3,$I3=""),$X3,"")</f>
        <v/>
      </c>
      <c r="N26">
        <f>IF(AND($K3,$I3=""),$Y3,"")</f>
        <v/>
      </c>
      <c r="O26">
        <f>IF(AND($K3,$I3=""),$Z3,FALSE)</f>
        <v/>
      </c>
      <c r="P26">
        <f>IF(AND($K3,$I3=""),$AA3,"")</f>
        <v/>
      </c>
      <c r="Q26">
        <f>IF(AND($K3,$I3=""),$AB3,"")</f>
        <v/>
      </c>
      <c r="R26">
        <f>IF(AND($K3,$I3=""),$AC3,0)</f>
        <v/>
      </c>
      <c r="S26">
        <f>IF(AND($K3,$I3=""),$AD3,"")</f>
        <v/>
      </c>
      <c r="T26">
        <f>IF(AND($K3,$I3=""),$AE3,"")</f>
        <v/>
      </c>
      <c r="AQ26">
        <f>'DADOS_TALENTOS'!$M26</f>
        <v/>
      </c>
      <c r="AR26">
        <f>'DADOS_TALENTOS'!$R26</f>
        <v/>
      </c>
      <c r="AS26">
        <f>'DADOS_TALENTOS'!$Q26&amp;IF('DADOS_TALENTOS'!$P26="","",CHAR(10)&amp;"Requisitos: "&amp;'DADOS_TALENTOS'!$P26)</f>
        <v/>
      </c>
      <c r="AT26">
        <f>N(OR('DADOS_TALENTOS'!$S26="Todas",'DADOS_TALENTOS'!$S26="Fundamento / Manejos"))</f>
        <v/>
      </c>
      <c r="AU26">
        <f>N(OR('DADOS_TALENTOS'!$S26="Todas",'DADOS_TALENTOS'!$S26="Técnica Marcial"))</f>
        <v/>
      </c>
      <c r="AV26">
        <f>IF(OR(AND(DADOS_AM!$A$2&lt;=2,OR('DADOS_TALENTOS'!$S26="Todas",'DADOS_TALENTOS'!$S26="Fundamento / Manejos")),AND(DADOS_AM!$A$2&gt;=2,OR('DADOS_TALENTOS'!$S26="Todas",'DADOS_TALENTOS'!$S26="Técnica Marcial"))),'DADOS_TALENTOS'!$M26,"")</f>
        <v/>
      </c>
      <c r="AW26">
        <f>'DADOS_TALENTOS'!$Q26&amp;IF('DADOS_TALENTOS'!$P26="","",CHAR(10)&amp;"Requisitos: "&amp;'DADOS_TALENTOS'!$P26)</f>
        <v/>
      </c>
    </row>
    <row r="27">
      <c r="L27">
        <f>IF(AND($K4,$I4=""),$W4,"")</f>
        <v/>
      </c>
      <c r="M27">
        <f>IF(AND($K4,$I4=""),$X4,"")</f>
        <v/>
      </c>
      <c r="N27">
        <f>IF(AND($K4,$I4=""),$Y4,"")</f>
        <v/>
      </c>
      <c r="O27">
        <f>IF(AND($K4,$I4=""),$Z4,FALSE)</f>
        <v/>
      </c>
      <c r="P27">
        <f>IF(AND($K4,$I4=""),$AA4,"")</f>
        <v/>
      </c>
      <c r="Q27">
        <f>IF(AND($K4,$I4=""),$AB4,"")</f>
        <v/>
      </c>
      <c r="R27">
        <f>IF(AND($K4,$I4=""),$AC4,0)</f>
        <v/>
      </c>
      <c r="S27">
        <f>IF(AND($K4,$I4=""),$AD4,"")</f>
        <v/>
      </c>
      <c r="T27">
        <f>IF(AND($K4,$I4=""),$AE4,"")</f>
        <v/>
      </c>
      <c r="AQ27">
        <f>'DADOS_TALENTOS'!$M27</f>
        <v/>
      </c>
      <c r="AR27">
        <f>'DADOS_TALENTOS'!$R27</f>
        <v/>
      </c>
      <c r="AS27">
        <f>'DADOS_TALENTOS'!$Q27&amp;IF('DADOS_TALENTOS'!$P27="","",CHAR(10)&amp;"Requisitos: "&amp;'DADOS_TALENTOS'!$P27)</f>
        <v/>
      </c>
      <c r="AT27">
        <f>N(OR('DADOS_TALENTOS'!$S27="Todas",'DADOS_TALENTOS'!$S27="Fundamento / Manejos"))</f>
        <v/>
      </c>
      <c r="AU27">
        <f>N(OR('DADOS_TALENTOS'!$S27="Todas",'DADOS_TALENTOS'!$S27="Técnica Marcial"))</f>
        <v/>
      </c>
      <c r="AV27">
        <f>IF(OR(AND(DADOS_AM!$A$2&lt;=2,OR('DADOS_TALENTOS'!$S27="Todas",'DADOS_TALENTOS'!$S27="Fundamento / Manejos")),AND(DADOS_AM!$A$2&gt;=2,OR('DADOS_TALENTOS'!$S27="Todas",'DADOS_TALENTOS'!$S27="Técnica Marcial"))),'DADOS_TALENTOS'!$M27,"")</f>
        <v/>
      </c>
      <c r="AW27">
        <f>'DADOS_TALENTOS'!$Q27&amp;IF('DADOS_TALENTOS'!$P27="","",CHAR(10)&amp;"Requisitos: "&amp;'DADOS_TALENTOS'!$P27)</f>
        <v/>
      </c>
    </row>
    <row r="28">
      <c r="L28">
        <f>IF(AND($K5,$I5=""),$W5,"")</f>
        <v/>
      </c>
      <c r="M28">
        <f>IF(AND($K5,$I5=""),$X5,"")</f>
        <v/>
      </c>
      <c r="N28">
        <f>IF(AND($K5,$I5=""),$Y5,"")</f>
        <v/>
      </c>
      <c r="O28">
        <f>IF(AND($K5,$I5=""),$Z5,FALSE)</f>
        <v/>
      </c>
      <c r="P28">
        <f>IF(AND($K5,$I5=""),$AA5,"")</f>
        <v/>
      </c>
      <c r="Q28">
        <f>IF(AND($K5,$I5=""),$AB5,"")</f>
        <v/>
      </c>
      <c r="R28">
        <f>IF(AND($K5,$I5=""),$AC5,0)</f>
        <v/>
      </c>
      <c r="S28">
        <f>IF(AND($K5,$I5=""),$AD5,"")</f>
        <v/>
      </c>
      <c r="T28">
        <f>IF(AND($K5,$I5=""),$AE5,"")</f>
        <v/>
      </c>
      <c r="AQ28">
        <f>'DADOS_TALENTOS'!$M28</f>
        <v/>
      </c>
      <c r="AR28">
        <f>'DADOS_TALENTOS'!$R28</f>
        <v/>
      </c>
      <c r="AS28">
        <f>'DADOS_TALENTOS'!$Q28&amp;IF('DADOS_TALENTOS'!$P28="","",CHAR(10)&amp;"Requisitos: "&amp;'DADOS_TALENTOS'!$P28)</f>
        <v/>
      </c>
      <c r="AT28">
        <f>N(OR('DADOS_TALENTOS'!$S28="Todas",'DADOS_TALENTOS'!$S28="Fundamento / Manejos"))</f>
        <v/>
      </c>
      <c r="AU28">
        <f>N(OR('DADOS_TALENTOS'!$S28="Todas",'DADOS_TALENTOS'!$S28="Técnica Marcial"))</f>
        <v/>
      </c>
      <c r="AV28">
        <f>IF(OR(AND(DADOS_AM!$A$2&lt;=2,OR('DADOS_TALENTOS'!$S28="Todas",'DADOS_TALENTOS'!$S28="Fundamento / Manejos")),AND(DADOS_AM!$A$2&gt;=2,OR('DADOS_TALENTOS'!$S28="Todas",'DADOS_TALENTOS'!$S28="Técnica Marcial"))),'DADOS_TALENTOS'!$M28,"")</f>
        <v/>
      </c>
      <c r="AW28">
        <f>'DADOS_TALENTOS'!$Q28&amp;IF('DADOS_TALENTOS'!$P28="","",CHAR(10)&amp;"Requisitos: "&amp;'DADOS_TALENTOS'!$P28)</f>
        <v/>
      </c>
    </row>
    <row r="29">
      <c r="L29">
        <f>IF(AND($K6,$I6=""),$W6,"")</f>
        <v/>
      </c>
      <c r="M29">
        <f>IF(AND($K6,$I6=""),$X6,"")</f>
        <v/>
      </c>
      <c r="N29">
        <f>IF(AND($K6,$I6=""),$Y6,"")</f>
        <v/>
      </c>
      <c r="O29">
        <f>IF(AND($K6,$I6=""),$Z6,FALSE)</f>
        <v/>
      </c>
      <c r="P29">
        <f>IF(AND($K6,$I6=""),$AA6,"")</f>
        <v/>
      </c>
      <c r="Q29">
        <f>IF(AND($K6,$I6=""),$AB6,"")</f>
        <v/>
      </c>
      <c r="R29">
        <f>IF(AND($K6,$I6=""),$AC6,0)</f>
        <v/>
      </c>
      <c r="S29">
        <f>IF(AND($K6,$I6=""),$AD6,"")</f>
        <v/>
      </c>
      <c r="T29">
        <f>IF(AND($K6,$I6=""),$AE6,"")</f>
        <v/>
      </c>
      <c r="AQ29">
        <f>'DADOS_TALENTOS'!$M29</f>
        <v/>
      </c>
      <c r="AR29">
        <f>'DADOS_TALENTOS'!$R29</f>
        <v/>
      </c>
      <c r="AS29">
        <f>'DADOS_TALENTOS'!$Q29&amp;IF('DADOS_TALENTOS'!$P29="","",CHAR(10)&amp;"Requisitos: "&amp;'DADOS_TALENTOS'!$P29)</f>
        <v/>
      </c>
      <c r="AT29">
        <f>N(OR('DADOS_TALENTOS'!$S29="Todas",'DADOS_TALENTOS'!$S29="Fundamento / Manejos"))</f>
        <v/>
      </c>
      <c r="AU29">
        <f>N(OR('DADOS_TALENTOS'!$S29="Todas",'DADOS_TALENTOS'!$S29="Técnica Marcial"))</f>
        <v/>
      </c>
      <c r="AV29">
        <f>IF(OR(AND(DADOS_AM!$A$2&lt;=2,OR('DADOS_TALENTOS'!$S29="Todas",'DADOS_TALENTOS'!$S29="Fundamento / Manejos")),AND(DADOS_AM!$A$2&gt;=2,OR('DADOS_TALENTOS'!$S29="Todas",'DADOS_TALENTOS'!$S29="Técnica Marcial"))),'DADOS_TALENTOS'!$M29,"")</f>
        <v/>
      </c>
      <c r="AW29">
        <f>'DADOS_TALENTOS'!$Q29&amp;IF('DADOS_TALENTOS'!$P29="","",CHAR(10)&amp;"Requisitos: "&amp;'DADOS_TALENTOS'!$P29)</f>
        <v/>
      </c>
    </row>
    <row r="30">
      <c r="L30">
        <f>IF(AND($K7,$I7=""),$W7,"")</f>
        <v/>
      </c>
      <c r="M30">
        <f>IF(AND($K7,$I7=""),$X7,"")</f>
        <v/>
      </c>
      <c r="N30">
        <f>IF(AND($K7,$I7=""),$Y7,"")</f>
        <v/>
      </c>
      <c r="O30">
        <f>IF(AND($K7,$I7=""),$Z7,FALSE)</f>
        <v/>
      </c>
      <c r="P30">
        <f>IF(AND($K7,$I7=""),$AA7,"")</f>
        <v/>
      </c>
      <c r="Q30">
        <f>IF(AND($K7,$I7=""),$AB7,"")</f>
        <v/>
      </c>
      <c r="R30">
        <f>IF(AND($K7,$I7=""),$AC7,0)</f>
        <v/>
      </c>
      <c r="S30">
        <f>IF(AND($K7,$I7=""),$AD7,"")</f>
        <v/>
      </c>
      <c r="T30">
        <f>IF(AND($K7,$I7=""),$AE7,"")</f>
        <v/>
      </c>
      <c r="AQ30">
        <f>'DADOS_TALENTOS'!$M30</f>
        <v/>
      </c>
      <c r="AR30">
        <f>'DADOS_TALENTOS'!$R30</f>
        <v/>
      </c>
      <c r="AS30">
        <f>'DADOS_TALENTOS'!$Q30&amp;IF('DADOS_TALENTOS'!$P30="","",CHAR(10)&amp;"Requisitos: "&amp;'DADOS_TALENTOS'!$P30)</f>
        <v/>
      </c>
      <c r="AT30">
        <f>N(OR('DADOS_TALENTOS'!$S30="Todas",'DADOS_TALENTOS'!$S30="Fundamento / Manejos"))</f>
        <v/>
      </c>
      <c r="AU30">
        <f>N(OR('DADOS_TALENTOS'!$S30="Todas",'DADOS_TALENTOS'!$S30="Técnica Marcial"))</f>
        <v/>
      </c>
      <c r="AV30">
        <f>IF(OR(AND(DADOS_AM!$A$2&lt;=2,OR('DADOS_TALENTOS'!$S30="Todas",'DADOS_TALENTOS'!$S30="Fundamento / Manejos")),AND(DADOS_AM!$A$2&gt;=2,OR('DADOS_TALENTOS'!$S30="Todas",'DADOS_TALENTOS'!$S30="Técnica Marcial"))),'DADOS_TALENTOS'!$M30,"")</f>
        <v/>
      </c>
      <c r="AW30">
        <f>'DADOS_TALENTOS'!$Q30&amp;IF('DADOS_TALENTOS'!$P30="","",CHAR(10)&amp;"Requisitos: "&amp;'DADOS_TALENTOS'!$P30)</f>
        <v/>
      </c>
    </row>
    <row r="31">
      <c r="L31">
        <f>IF(AND($K8,$I8=""),$W8,"")</f>
        <v/>
      </c>
      <c r="M31">
        <f>IF(AND($K8,$I8=""),$X8,"")</f>
        <v/>
      </c>
      <c r="N31">
        <f>IF(AND($K8,$I8=""),$Y8,"")</f>
        <v/>
      </c>
      <c r="O31">
        <f>IF(AND($K8,$I8=""),$Z8,FALSE)</f>
        <v/>
      </c>
      <c r="P31">
        <f>IF(AND($K8,$I8=""),$AA8,"")</f>
        <v/>
      </c>
      <c r="Q31">
        <f>IF(AND($K8,$I8=""),$AB8,"")</f>
        <v/>
      </c>
      <c r="R31">
        <f>IF(AND($K8,$I8=""),$AC8,0)</f>
        <v/>
      </c>
      <c r="S31">
        <f>IF(AND($K8,$I8=""),$AD8,"")</f>
        <v/>
      </c>
      <c r="T31">
        <f>IF(AND($K8,$I8=""),$AE8,"")</f>
        <v/>
      </c>
      <c r="AQ31">
        <f>'DADOS_TALENTOS'!$M31</f>
        <v/>
      </c>
      <c r="AR31">
        <f>'DADOS_TALENTOS'!$R31</f>
        <v/>
      </c>
      <c r="AS31">
        <f>'DADOS_TALENTOS'!$Q31&amp;IF('DADOS_TALENTOS'!$P31="","",CHAR(10)&amp;"Requisitos: "&amp;'DADOS_TALENTOS'!$P31)</f>
        <v/>
      </c>
      <c r="AT31">
        <f>N(OR('DADOS_TALENTOS'!$S31="Todas",'DADOS_TALENTOS'!$S31="Fundamento / Manejos"))</f>
        <v/>
      </c>
      <c r="AU31">
        <f>N(OR('DADOS_TALENTOS'!$S31="Todas",'DADOS_TALENTOS'!$S31="Técnica Marcial"))</f>
        <v/>
      </c>
      <c r="AV31">
        <f>IF(OR(AND(DADOS_AM!$A$2&lt;=2,OR('DADOS_TALENTOS'!$S31="Todas",'DADOS_TALENTOS'!$S31="Fundamento / Manejos")),AND(DADOS_AM!$A$2&gt;=2,OR('DADOS_TALENTOS'!$S31="Todas",'DADOS_TALENTOS'!$S31="Técnica Marcial"))),'DADOS_TALENTOS'!$M31,"")</f>
        <v/>
      </c>
      <c r="AW31">
        <f>'DADOS_TALENTOS'!$Q31&amp;IF('DADOS_TALENTOS'!$P31="","",CHAR(10)&amp;"Requisitos: "&amp;'DADOS_TALENTOS'!$P31)</f>
        <v/>
      </c>
    </row>
    <row r="32">
      <c r="L32">
        <f>IF(AND($K9,$I9=""),$W9,"")</f>
        <v/>
      </c>
      <c r="M32">
        <f>IF(AND($K9,$I9=""),$X9,"")</f>
        <v/>
      </c>
      <c r="N32">
        <f>IF(AND($K9,$I9=""),$Y9,"")</f>
        <v/>
      </c>
      <c r="O32">
        <f>IF(AND($K9,$I9=""),$Z9,FALSE)</f>
        <v/>
      </c>
      <c r="P32">
        <f>IF(AND($K9,$I9=""),$AA9,"")</f>
        <v/>
      </c>
      <c r="Q32">
        <f>IF(AND($K9,$I9=""),$AB9,"")</f>
        <v/>
      </c>
      <c r="R32">
        <f>IF(AND($K9,$I9=""),$AC9,0)</f>
        <v/>
      </c>
      <c r="S32">
        <f>IF(AND($K9,$I9=""),$AD9,"")</f>
        <v/>
      </c>
      <c r="T32">
        <f>IF(AND($K9,$I9=""),$AE9,"")</f>
        <v/>
      </c>
      <c r="AQ32">
        <f>'DADOS_TALENTOS'!$M32</f>
        <v/>
      </c>
      <c r="AR32">
        <f>'DADOS_TALENTOS'!$R32</f>
        <v/>
      </c>
      <c r="AS32">
        <f>'DADOS_TALENTOS'!$Q32&amp;IF('DADOS_TALENTOS'!$P32="","",CHAR(10)&amp;"Requisitos: "&amp;'DADOS_TALENTOS'!$P32)</f>
        <v/>
      </c>
      <c r="AT32">
        <f>N(OR('DADOS_TALENTOS'!$S32="Todas",'DADOS_TALENTOS'!$S32="Fundamento / Manejos"))</f>
        <v/>
      </c>
      <c r="AU32">
        <f>N(OR('DADOS_TALENTOS'!$S32="Todas",'DADOS_TALENTOS'!$S32="Técnica Marcial"))</f>
        <v/>
      </c>
      <c r="AV32">
        <f>IF(OR(AND(DADOS_AM!$A$2&lt;=2,OR('DADOS_TALENTOS'!$S32="Todas",'DADOS_TALENTOS'!$S32="Fundamento / Manejos")),AND(DADOS_AM!$A$2&gt;=2,OR('DADOS_TALENTOS'!$S32="Todas",'DADOS_TALENTOS'!$S32="Técnica Marcial"))),'DADOS_TALENTOS'!$M32,"")</f>
        <v/>
      </c>
      <c r="AW32">
        <f>'DADOS_TALENTOS'!$Q32&amp;IF('DADOS_TALENTOS'!$P32="","",CHAR(10)&amp;"Requisitos: "&amp;'DADOS_TALENTOS'!$P32)</f>
        <v/>
      </c>
    </row>
    <row r="33">
      <c r="L33">
        <f>IF(AND($K10,$I10=""),$W10,"")</f>
        <v/>
      </c>
      <c r="M33">
        <f>IF(AND($K10,$I10=""),$X10,"")</f>
        <v/>
      </c>
      <c r="N33">
        <f>IF(AND($K10,$I10=""),$Y10,"")</f>
        <v/>
      </c>
      <c r="O33">
        <f>IF(AND($K10,$I10=""),$Z10,FALSE)</f>
        <v/>
      </c>
      <c r="P33">
        <f>IF(AND($K10,$I10=""),$AA10,"")</f>
        <v/>
      </c>
      <c r="Q33">
        <f>IF(AND($K10,$I10=""),$AB10,"")</f>
        <v/>
      </c>
      <c r="R33">
        <f>IF(AND($K10,$I10=""),$AC10,0)</f>
        <v/>
      </c>
      <c r="S33">
        <f>IF(AND($K10,$I10=""),$AD10,"")</f>
        <v/>
      </c>
      <c r="T33">
        <f>IF(AND($K10,$I10=""),$AE10,"")</f>
        <v/>
      </c>
      <c r="AQ33">
        <f>'DADOS_TALENTOS'!$M33</f>
        <v/>
      </c>
      <c r="AR33">
        <f>'DADOS_TALENTOS'!$R33</f>
        <v/>
      </c>
      <c r="AS33">
        <f>'DADOS_TALENTOS'!$Q33&amp;IF('DADOS_TALENTOS'!$P33="","",CHAR(10)&amp;"Requisitos: "&amp;'DADOS_TALENTOS'!$P33)</f>
        <v/>
      </c>
      <c r="AT33">
        <f>N(OR('DADOS_TALENTOS'!$S33="Todas",'DADOS_TALENTOS'!$S33="Fundamento / Manejos"))</f>
        <v/>
      </c>
      <c r="AU33">
        <f>N(OR('DADOS_TALENTOS'!$S33="Todas",'DADOS_TALENTOS'!$S33="Técnica Marcial"))</f>
        <v/>
      </c>
      <c r="AV33">
        <f>IF(OR(AND(DADOS_AM!$A$2&lt;=2,OR('DADOS_TALENTOS'!$S33="Todas",'DADOS_TALENTOS'!$S33="Fundamento / Manejos")),AND(DADOS_AM!$A$2&gt;=2,OR('DADOS_TALENTOS'!$S33="Todas",'DADOS_TALENTOS'!$S33="Técnica Marcial"))),'DADOS_TALENTOS'!$M33,"")</f>
        <v/>
      </c>
      <c r="AW33">
        <f>'DADOS_TALENTOS'!$Q33&amp;IF('DADOS_TALENTOS'!$P33="","",CHAR(10)&amp;"Requisitos: "&amp;'DADOS_TALENTOS'!$P33)</f>
        <v/>
      </c>
    </row>
    <row r="34">
      <c r="L34">
        <f>IF(AND($K11,$I11=""),$W11,"")</f>
        <v/>
      </c>
      <c r="M34">
        <f>IF(AND($K11,$I11=""),$X11,"")</f>
        <v/>
      </c>
      <c r="N34">
        <f>IF(AND($K11,$I11=""),$Y11,"")</f>
        <v/>
      </c>
      <c r="O34">
        <f>IF(AND($K11,$I11=""),$Z11,FALSE)</f>
        <v/>
      </c>
      <c r="P34">
        <f>IF(AND($K11,$I11=""),$AA11,"")</f>
        <v/>
      </c>
      <c r="Q34">
        <f>IF(AND($K11,$I11=""),$AB11,"")</f>
        <v/>
      </c>
      <c r="R34">
        <f>IF(AND($K11,$I11=""),$AC11,0)</f>
        <v/>
      </c>
      <c r="S34">
        <f>IF(AND($K11,$I11=""),$AD11,"")</f>
        <v/>
      </c>
      <c r="T34">
        <f>IF(AND($K11,$I11=""),$AE11,"")</f>
        <v/>
      </c>
      <c r="AQ34">
        <f>'DADOS_TALENTOS'!$M34</f>
        <v/>
      </c>
      <c r="AR34">
        <f>'DADOS_TALENTOS'!$R34</f>
        <v/>
      </c>
      <c r="AS34">
        <f>'DADOS_TALENTOS'!$Q34&amp;IF('DADOS_TALENTOS'!$P34="","",CHAR(10)&amp;"Requisitos: "&amp;'DADOS_TALENTOS'!$P34)</f>
        <v/>
      </c>
      <c r="AT34">
        <f>N(OR('DADOS_TALENTOS'!$S34="Todas",'DADOS_TALENTOS'!$S34="Fundamento / Manejos"))</f>
        <v/>
      </c>
      <c r="AU34">
        <f>N(OR('DADOS_TALENTOS'!$S34="Todas",'DADOS_TALENTOS'!$S34="Técnica Marcial"))</f>
        <v/>
      </c>
      <c r="AV34">
        <f>IF(OR(AND(DADOS_AM!$A$2&lt;=2,OR('DADOS_TALENTOS'!$S34="Todas",'DADOS_TALENTOS'!$S34="Fundamento / Manejos")),AND(DADOS_AM!$A$2&gt;=2,OR('DADOS_TALENTOS'!$S34="Todas",'DADOS_TALENTOS'!$S34="Técnica Marcial"))),'DADOS_TALENTOS'!$M34,"")</f>
        <v/>
      </c>
      <c r="AW34">
        <f>'DADOS_TALENTOS'!$Q34&amp;IF('DADOS_TALENTOS'!$P34="","",CHAR(10)&amp;"Requisitos: "&amp;'DADOS_TALENTOS'!$P34)</f>
        <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R35"/>
  <sheetViews>
    <sheetView showGridLines="0" workbookViewId="0">
      <selection activeCell="A1" sqref="A1"/>
    </sheetView>
  </sheetViews>
  <sheetFormatPr baseColWidth="8" defaultRowHeight="15.75" customHeight="1"/>
  <sheetData>
    <row r="1">
      <c r="A1" t="inlineStr">
        <is>
          <t>registro</t>
        </is>
      </c>
      <c r="B1" t="inlineStr">
        <is>
          <t>nome</t>
        </is>
      </c>
      <c r="C1" t="inlineStr">
        <is>
          <t>base</t>
        </is>
      </c>
      <c r="D1" t="inlineStr">
        <is>
          <t>vida</t>
        </is>
      </c>
      <c r="E1" t="inlineStr">
        <is>
          <t>talismã</t>
        </is>
      </c>
      <c r="F1" t="inlineStr">
        <is>
          <t>reserva de PE</t>
        </is>
      </c>
      <c r="G1" t="inlineStr">
        <is>
          <t>mestre viu</t>
        </is>
      </c>
      <c r="H1" t="inlineStr">
        <is>
          <t>definição</t>
        </is>
      </c>
      <c r="I1" t="inlineStr">
        <is>
          <t>efeito e requisitos</t>
        </is>
      </c>
      <c r="J1" t="inlineStr">
        <is>
          <t>linha da base</t>
        </is>
      </c>
      <c r="K1" t="inlineStr">
        <is>
          <t>problema</t>
        </is>
      </c>
      <c r="M1" t="inlineStr">
        <is>
          <t>tipo de entidade</t>
        </is>
      </c>
      <c r="N1" t="inlineStr">
        <is>
          <t>vida de criação</t>
        </is>
      </c>
      <c r="O1" t="inlineStr">
        <is>
          <t>usa talismã</t>
        </is>
      </c>
      <c r="P1" t="inlineStr">
        <is>
          <t>reserva de domada</t>
        </is>
      </c>
      <c r="R1" t="inlineStr">
        <is>
          <t>opções vida</t>
        </is>
      </c>
      <c r="S1" t="inlineStr">
        <is>
          <t>opções talisma</t>
        </is>
      </c>
      <c r="T1" t="inlineStr">
        <is>
          <t>opções reserva_pe</t>
        </is>
      </c>
      <c r="U1" t="inlineStr">
        <is>
          <t>base do tipo</t>
        </is>
      </c>
      <c r="V1" t="inlineStr">
        <is>
          <t>opções categoria</t>
        </is>
      </c>
      <c r="W1" t="inlineStr">
        <is>
          <t>base do talento</t>
        </is>
      </c>
      <c r="Y1" t="inlineStr">
        <is>
          <t>registro</t>
        </is>
      </c>
      <c r="Z1" t="inlineStr">
        <is>
          <t>nome</t>
        </is>
      </c>
      <c r="AA1" t="inlineStr">
        <is>
          <t>base</t>
        </is>
      </c>
      <c r="AB1" t="inlineStr">
        <is>
          <t>categoria de efeito</t>
        </is>
      </c>
      <c r="AC1" t="inlineStr">
        <is>
          <t>requisitos</t>
        </is>
      </c>
      <c r="AD1" t="inlineStr">
        <is>
          <t>efeito</t>
        </is>
      </c>
      <c r="AE1" t="inlineStr">
        <is>
          <t>mestre viu</t>
        </is>
      </c>
      <c r="AF1" t="inlineStr">
        <is>
          <t>linha da base</t>
        </is>
      </c>
      <c r="AG1" t="inlineStr">
        <is>
          <t>problema</t>
        </is>
      </c>
      <c r="AI1" t="inlineStr">
        <is>
          <t>talento</t>
        </is>
      </c>
      <c r="AJ1" t="inlineStr">
        <is>
          <t>categoria de efeito</t>
        </is>
      </c>
      <c r="AK1" t="inlineStr">
        <is>
          <t>o que o talento faz</t>
        </is>
      </c>
      <c r="AL1" t="inlineStr">
        <is>
          <t>menu de talento da trilha</t>
        </is>
      </c>
      <c r="AM1" t="inlineStr">
        <is>
          <t>índice do tipo custom selecionado</t>
        </is>
      </c>
      <c r="AN1" t="inlineStr">
        <is>
          <t>definição do tipo selecionado</t>
        </is>
      </c>
      <c r="AO1" t="inlineStr">
        <is>
          <t>efeito do tipo selecionado</t>
        </is>
      </c>
      <c r="AP1" t="inlineStr">
        <is>
          <t>nota do tipo selecionado</t>
        </is>
      </c>
      <c r="AQ1" t="inlineStr">
        <is>
          <t>definição efetiva do tipo</t>
        </is>
      </c>
      <c r="AR1" t="inlineStr">
        <is>
          <t>efeito efetivo do tipo</t>
        </is>
      </c>
    </row>
    <row r="2">
      <c r="A2" t="n">
        <v>1</v>
      </c>
      <c r="B2">
        <f>IF(ISBLANK('CONFIGURAÇÃO'!$GY$13),"",'CONFIGURAÇÃO'!$GY$13)</f>
        <v/>
      </c>
      <c r="C2">
        <f>IF(ISBLANK('CONFIGURAÇÃO'!$HB$15),"",'CONFIGURAÇÃO'!$HB$15)</f>
        <v/>
      </c>
      <c r="D2">
        <f>IF(ISBLANK('CONFIGURAÇÃO'!$HB$16),"",'CONFIGURAÇÃO'!$HB$16)</f>
        <v/>
      </c>
      <c r="E2">
        <f>IF(ISBLANK('CONFIGURAÇÃO'!$HB$17),"",'CONFIGURAÇÃO'!$HB$17)</f>
        <v/>
      </c>
      <c r="F2">
        <f>IF(ISBLANK('CONFIGURAÇÃO'!$HB$19),"",'CONFIGURAÇÃO'!$HB$19)</f>
        <v/>
      </c>
      <c r="G2">
        <f>IF(ISBLANK('CONFIGURAÇÃO'!$HC$13),"",'CONFIGURAÇÃO'!$HC$13)</f>
        <v/>
      </c>
      <c r="H2">
        <f>IF(ISBLANK('CONFIGURAÇÃO'!$GY$23),"",'CONFIGURAÇÃO'!$GY$23)</f>
        <v/>
      </c>
      <c r="I2">
        <f>IF(ISBLANK('CONFIGURAÇÃO'!$GY$28),"",'CONFIGURAÇÃO'!$GY$28)</f>
        <v/>
      </c>
      <c r="J2">
        <f>IF(OR(C2="",C2="Nenhuma"),0,IFERROR(MATCH(SUBSTITUTE(SUBSTITUTE(SUBSTITUTE(C2,"~","~~"),"*","~*"),"?","~?"),'DADOS_ENTIDADES'!$M$2:$M$6,0),-1))</f>
        <v/>
      </c>
      <c r="K2">
        <f>IF(B2="",IF(OR(D2&lt;&gt;"",E2&lt;&gt;"",F2&lt;&gt;"",H2&lt;&gt;"",I2&lt;&gt;"",G2=TRUE,AND(C2&lt;&gt;"",C2&lt;&gt;"Nenhuma")),"Preencha NOME",""),TEXTJOIN(" · ",TRUE,IF(OR(NOT(ISTEXT(B2)),TRIM(B2)&lt;&gt;B2),"NOME precisa ser texto sem espaços nas pontas",""),IF(COUNTIF('DADOS_ENTIDADES'!$B$2:$B$11,SUBSTITUTE(SUBSTITUTE(SUBSTITUTE(B2,"~","~~"),"*","~*"),"?","~?"))+COUNTIF('DADOS_ENTIDADES'!$M$2:$M$6,SUBSTITUTE(SUBSTITUTE(SUBSTITUTE(B2,"~","~~"),"*","~*"),"?","~?"))&gt;1,"Nome repetido no livro ou custom",""),IF(J2&lt;0,"Escolha uma BASE DO LIVRO válida",""),IF(AND(D2&lt;&gt;"",NOT(OR(D2="Normal da entidade",D2="Corpo de criação"))),"VIDA inválida",""),IF(AND(E2&lt;&gt;"",NOT(OR(E2="Não usa",E2="Usa"))),"TALISMÃ inválida",""),IF(AND(F2&lt;&gt;"",NOT(OR(F2="Normal da entidade",F2="Maldição domada"))),"RESERVA DE PE inválida",""),IF(ISLOGICAL(G2),"","MESTRE VIU deve ser caixa de seleção")))</f>
        <v/>
      </c>
      <c r="M2">
        <f>IF(ISBLANK(DADOS_INVOC!$BN$2),"",DADOS_INVOC!$BN$2)</f>
        <v/>
      </c>
      <c r="N2" t="n">
        <v>0</v>
      </c>
      <c r="O2" t="n">
        <v>0</v>
      </c>
      <c r="P2" t="n">
        <v>0</v>
      </c>
      <c r="R2" t="inlineStr">
        <is>
          <t>Normal da entidade</t>
        </is>
      </c>
      <c r="S2" t="inlineStr">
        <is>
          <t>Não usa</t>
        </is>
      </c>
      <c r="T2" t="inlineStr">
        <is>
          <t>Normal da entidade</t>
        </is>
      </c>
      <c r="U2" t="inlineStr">
        <is>
          <t>Nenhuma</t>
        </is>
      </c>
      <c r="V2" t="n">
        <v>1</v>
      </c>
      <c r="W2" t="inlineStr">
        <is>
          <t>Nenhuma</t>
        </is>
      </c>
      <c r="Y2" t="n">
        <v>1</v>
      </c>
      <c r="Z2">
        <f>IF(ISBLANK('CONFIGURAÇÃO'!$HP$13),"",'CONFIGURAÇÃO'!$HP$13)</f>
        <v/>
      </c>
      <c r="AA2">
        <f>IF(ISBLANK('CONFIGURAÇÃO'!$HS$15),"",'CONFIGURAÇÃO'!$HS$15)</f>
        <v/>
      </c>
      <c r="AB2">
        <f>IF(ISBLANK('CONFIGURAÇÃO'!$HS$16),"",'CONFIGURAÇÃO'!$HS$16)</f>
        <v/>
      </c>
      <c r="AC2">
        <f>IF(ISBLANK('CONFIGURAÇÃO'!$HP$23),"",'CONFIGURAÇÃO'!$HP$23)</f>
        <v/>
      </c>
      <c r="AD2">
        <f>IF(ISBLANK('CONFIGURAÇÃO'!$HP$28),"",'CONFIGURAÇÃO'!$HP$28)</f>
        <v/>
      </c>
      <c r="AE2">
        <f>IF(ISBLANK('CONFIGURAÇÃO'!$HT$13),"",'CONFIGURAÇÃO'!$HT$13)</f>
        <v/>
      </c>
      <c r="AF2">
        <f>IF(OR(AA2="",AA2="Nenhuma"),0,IFERROR(MATCH(SUBSTITUTE(SUBSTITUTE(SUBSTITUTE(AA2,"~","~~"),"*","~*"),"?","~?"),'DADOS_ENTIDADES'!$AI$2:$AI$15,0),-1))</f>
        <v/>
      </c>
      <c r="AG2">
        <f>IF(Z2="",IF(OR(AB2&lt;&gt;"",AC2&lt;&gt;"",AD2&lt;&gt;"",AE2=TRUE,AND(AA2&lt;&gt;"",AA2&lt;&gt;"Nenhuma")),"Preencha NOME",""),TEXTJOIN(" · ",TRUE,IF(OR(NOT(ISTEXT(Z2)),TRIM(Z2)&lt;&gt;Z2),"NOME precisa ser texto sem espaços nas pontas",""),IF(COUNTIF('DADOS_ENTIDADES'!$Z$2:$Z$21,SUBSTITUTE(SUBSTITUTE(SUBSTITUTE(Z2,"~","~~"),"*","~*"),"?","~?"))+COUNTIF('DADOS_ENTIDADES'!$AI$2:$AI$15,SUBSTITUTE(SUBSTITUTE(SUBSTITUTE(Z2,"~","~~"),"*","~*"),"?","~?"))&gt;1,"Nome repetido no livro ou custom",""),IF(AF2&lt;0,"Escolha uma BASE DO LIVRO válida",""),IF(AND(AB2="",AF2&lt;=0),"Escolha CATEGORIA DE EFEITO",""),IF(AND(AB2&lt;&gt;"",NOT(IFERROR(AND(ISNUMBER(AB2),NOT(ISLOGICAL(AB2)),AB2=INT(AB2),AB2&gt;=1,AB2&lt;=3),FALSE))),"CATEGORIA DE EFEITO deve ser 1, 2 ou 3",""),IF(ISLOGICAL(AE2),"","MESTRE VIU deve ser caixa de seleção")))</f>
        <v/>
      </c>
      <c r="AI2">
        <f>IF(ISBLANK(DADOS_INVOC!$BI$2),"",DADOS_INVOC!$BI$2)</f>
        <v/>
      </c>
      <c r="AJ2">
        <f>IF(ISBLANK(DADOS_INVOC!$BJ$2),"",DADOS_INVOC!$BJ$2)</f>
        <v/>
      </c>
      <c r="AK2">
        <f>IF(ISBLANK(DADOS_INVOC!$BK$2),"",DADOS_INVOC!$BK$2)</f>
        <v/>
      </c>
      <c r="AL2">
        <f>IF(ISBLANK(DADOS_INVOC!$BL$2),"",DADOS_INVOC!$BL$2)</f>
        <v/>
      </c>
      <c r="AM2">
        <f>IF('INVOCAÇÕES'!$I$43="",0,IFERROR(MATCH(SUBSTITUTE(SUBSTITUTE(SUBSTITUTE('INVOCAÇÕES'!$I$43,"~","~~"),"*","~*"),"?","~?"),'DADOS_ENTIDADES'!$M$2:$M$16,0),0))</f>
        <v/>
      </c>
      <c r="AN2">
        <f>IF(AM2=0,"",IFERROR(INDEX('DADOS_ENTIDADES'!$AQ$2:$AQ$16,AM2)&amp;"",""))</f>
        <v/>
      </c>
      <c r="AO2">
        <f>IF(AM2=0,"",IFERROR(INDEX('DADOS_ENTIDADES'!$AR$2:$AR$16,AM2)&amp;"",""))</f>
        <v/>
      </c>
      <c r="AP2">
        <f>TEXTJOIN(CHAR(10)&amp;CHAR(10),TRUE,IF(AN2="","","DEFINIÇÃO"&amp;CHAR(10)&amp;AN2),IF(AO2="","","EFEITO E REQUISITOS"&amp;CHAR(10)&amp;AO2))</f>
        <v/>
      </c>
      <c r="AQ2" t="inlineStr">
        <is>
          <t>Criatura ligada à técnica.</t>
        </is>
      </c>
      <c r="AR2" t="inlineStr">
        <is>
          <t>Usa a ficha normal de entidade.</t>
        </is>
      </c>
    </row>
    <row r="3">
      <c r="A3" t="n">
        <v>2</v>
      </c>
      <c r="B3">
        <f>IF(ISBLANK('CONFIGURAÇÃO'!$HG$13),"",'CONFIGURAÇÃO'!$HG$13)</f>
        <v/>
      </c>
      <c r="C3">
        <f>IF(ISBLANK('CONFIGURAÇÃO'!$HJ$15),"",'CONFIGURAÇÃO'!$HJ$15)</f>
        <v/>
      </c>
      <c r="D3">
        <f>IF(ISBLANK('CONFIGURAÇÃO'!$HJ$16),"",'CONFIGURAÇÃO'!$HJ$16)</f>
        <v/>
      </c>
      <c r="E3">
        <f>IF(ISBLANK('CONFIGURAÇÃO'!$HJ$17),"",'CONFIGURAÇÃO'!$HJ$17)</f>
        <v/>
      </c>
      <c r="F3">
        <f>IF(ISBLANK('CONFIGURAÇÃO'!$HJ$19),"",'CONFIGURAÇÃO'!$HJ$19)</f>
        <v/>
      </c>
      <c r="G3">
        <f>IF(ISBLANK('CONFIGURAÇÃO'!$HK$13),"",'CONFIGURAÇÃO'!$HK$13)</f>
        <v/>
      </c>
      <c r="H3">
        <f>IF(ISBLANK('CONFIGURAÇÃO'!$HG$23),"",'CONFIGURAÇÃO'!$HG$23)</f>
        <v/>
      </c>
      <c r="I3">
        <f>IF(ISBLANK('CONFIGURAÇÃO'!$HG$28),"",'CONFIGURAÇÃO'!$HG$28)</f>
        <v/>
      </c>
      <c r="J3">
        <f>IF(OR(C3="",C3="Nenhuma"),0,IFERROR(MATCH(SUBSTITUTE(SUBSTITUTE(SUBSTITUTE(C3,"~","~~"),"*","~*"),"?","~?"),'DADOS_ENTIDADES'!$M$2:$M$6,0),-1))</f>
        <v/>
      </c>
      <c r="K3">
        <f>IF(B3="",IF(OR(D3&lt;&gt;"",E3&lt;&gt;"",F3&lt;&gt;"",H3&lt;&gt;"",I3&lt;&gt;"",G3=TRUE,AND(C3&lt;&gt;"",C3&lt;&gt;"Nenhuma")),"Preencha NOME",""),TEXTJOIN(" · ",TRUE,IF(OR(NOT(ISTEXT(B3)),TRIM(B3)&lt;&gt;B3),"NOME precisa ser texto sem espaços nas pontas",""),IF(COUNTIF('DADOS_ENTIDADES'!$B$2:$B$11,SUBSTITUTE(SUBSTITUTE(SUBSTITUTE(B3,"~","~~"),"*","~*"),"?","~?"))+COUNTIF('DADOS_ENTIDADES'!$M$2:$M$6,SUBSTITUTE(SUBSTITUTE(SUBSTITUTE(B3,"~","~~"),"*","~*"),"?","~?"))&gt;1,"Nome repetido no livro ou custom",""),IF(J3&lt;0,"Escolha uma BASE DO LIVRO válida",""),IF(AND(D3&lt;&gt;"",NOT(OR(D3="Normal da entidade",D3="Corpo de criação"))),"VIDA inválida",""),IF(AND(E3&lt;&gt;"",NOT(OR(E3="Não usa",E3="Usa"))),"TALISMÃ inválida",""),IF(AND(F3&lt;&gt;"",NOT(OR(F3="Normal da entidade",F3="Maldição domada"))),"RESERVA DE PE inválida",""),IF(ISLOGICAL(G3),"","MESTRE VIU deve ser caixa de seleção")))</f>
        <v/>
      </c>
      <c r="M3">
        <f>IF(ISBLANK(DADOS_INVOC!$BN$3),"",DADOS_INVOC!$BN$3)</f>
        <v/>
      </c>
      <c r="N3" t="n">
        <v>0</v>
      </c>
      <c r="O3" t="n">
        <v>0</v>
      </c>
      <c r="P3" t="n">
        <v>0</v>
      </c>
      <c r="R3" t="inlineStr">
        <is>
          <t>Corpo de criação</t>
        </is>
      </c>
      <c r="S3" t="inlineStr">
        <is>
          <t>Usa</t>
        </is>
      </c>
      <c r="T3" t="inlineStr">
        <is>
          <t>Maldição domada</t>
        </is>
      </c>
      <c r="U3">
        <f>M2</f>
        <v/>
      </c>
      <c r="V3" t="n">
        <v>2</v>
      </c>
      <c r="W3">
        <f>AI2</f>
        <v/>
      </c>
      <c r="Y3" t="n">
        <v>2</v>
      </c>
      <c r="Z3">
        <f>IF(ISBLANK('CONFIGURAÇÃO'!$HX$13),"",'CONFIGURAÇÃO'!$HX$13)</f>
        <v/>
      </c>
      <c r="AA3">
        <f>IF(ISBLANK('CONFIGURAÇÃO'!$IA$15),"",'CONFIGURAÇÃO'!$IA$15)</f>
        <v/>
      </c>
      <c r="AB3">
        <f>IF(ISBLANK('CONFIGURAÇÃO'!$IA$16),"",'CONFIGURAÇÃO'!$IA$16)</f>
        <v/>
      </c>
      <c r="AC3">
        <f>IF(ISBLANK('CONFIGURAÇÃO'!$HX$23),"",'CONFIGURAÇÃO'!$HX$23)</f>
        <v/>
      </c>
      <c r="AD3">
        <f>IF(ISBLANK('CONFIGURAÇÃO'!$HX$28),"",'CONFIGURAÇÃO'!$HX$28)</f>
        <v/>
      </c>
      <c r="AE3">
        <f>IF(ISBLANK('CONFIGURAÇÃO'!$IB$13),"",'CONFIGURAÇÃO'!$IB$13)</f>
        <v/>
      </c>
      <c r="AF3">
        <f>IF(OR(AA3="",AA3="Nenhuma"),0,IFERROR(MATCH(SUBSTITUTE(SUBSTITUTE(SUBSTITUTE(AA3,"~","~~"),"*","~*"),"?","~?"),'DADOS_ENTIDADES'!$AI$2:$AI$15,0),-1))</f>
        <v/>
      </c>
      <c r="AG3">
        <f>IF(Z3="",IF(OR(AB3&lt;&gt;"",AC3&lt;&gt;"",AD3&lt;&gt;"",AE3=TRUE,AND(AA3&lt;&gt;"",AA3&lt;&gt;"Nenhuma")),"Preencha NOME",""),TEXTJOIN(" · ",TRUE,IF(OR(NOT(ISTEXT(Z3)),TRIM(Z3)&lt;&gt;Z3),"NOME precisa ser texto sem espaços nas pontas",""),IF(COUNTIF('DADOS_ENTIDADES'!$Z$2:$Z$21,SUBSTITUTE(SUBSTITUTE(SUBSTITUTE(Z3,"~","~~"),"*","~*"),"?","~?"))+COUNTIF('DADOS_ENTIDADES'!$AI$2:$AI$15,SUBSTITUTE(SUBSTITUTE(SUBSTITUTE(Z3,"~","~~"),"*","~*"),"?","~?"))&gt;1,"Nome repetido no livro ou custom",""),IF(AF3&lt;0,"Escolha uma BASE DO LIVRO válida",""),IF(AND(AB3="",AF3&lt;=0),"Escolha CATEGORIA DE EFEITO",""),IF(AND(AB3&lt;&gt;"",NOT(IFERROR(AND(ISNUMBER(AB3),NOT(ISLOGICAL(AB3)),AB3=INT(AB3),AB3&gt;=1,AB3&lt;=3),FALSE))),"CATEGORIA DE EFEITO deve ser 1, 2 ou 3",""),IF(ISLOGICAL(AE3),"","MESTRE VIU deve ser caixa de seleção")))</f>
        <v/>
      </c>
      <c r="AI3">
        <f>IF(ISBLANK(DADOS_INVOC!$BI$3),"",DADOS_INVOC!$BI$3)</f>
        <v/>
      </c>
      <c r="AJ3">
        <f>IF(ISBLANK(DADOS_INVOC!$BJ$3),"",DADOS_INVOC!$BJ$3)</f>
        <v/>
      </c>
      <c r="AK3">
        <f>IF(ISBLANK(DADOS_INVOC!$BK$3),"",DADOS_INVOC!$BK$3)</f>
        <v/>
      </c>
      <c r="AL3">
        <f>IF(ISBLANK(DADOS_INVOC!$BL$3),"",DADOS_INVOC!$BL$3)</f>
        <v/>
      </c>
      <c r="AM3">
        <f>IF('INVOCAÇÕES'!$I$254="",0,IFERROR(MATCH(SUBSTITUTE(SUBSTITUTE(SUBSTITUTE('INVOCAÇÕES'!$I$254,"~","~~"),"*","~*"),"?","~?"),'DADOS_ENTIDADES'!$M$2:$M$16,0),0))</f>
        <v/>
      </c>
      <c r="AN3">
        <f>IF(AM3=0,"",IFERROR(INDEX('DADOS_ENTIDADES'!$AQ$2:$AQ$16,AM3)&amp;"",""))</f>
        <v/>
      </c>
      <c r="AO3">
        <f>IF(AM3=0,"",IFERROR(INDEX('DADOS_ENTIDADES'!$AR$2:$AR$16,AM3)&amp;"",""))</f>
        <v/>
      </c>
      <c r="AP3">
        <f>TEXTJOIN(CHAR(10)&amp;CHAR(10),TRUE,IF(AN3="","","DEFINIÇÃO"&amp;CHAR(10)&amp;AN3),IF(AO3="","","EFEITO E REQUISITOS"&amp;CHAR(10)&amp;AO3))</f>
        <v/>
      </c>
      <c r="AQ3" t="inlineStr">
        <is>
          <t>Corpo ligado à técnica.</t>
        </is>
      </c>
      <c r="AR3" t="inlineStr">
        <is>
          <t>Usa a vida normal e as regras de corpo amaldiçoado.</t>
        </is>
      </c>
    </row>
    <row r="4">
      <c r="A4" t="n">
        <v>3</v>
      </c>
      <c r="B4">
        <f>IF(ISBLANK('CONFIGURAÇÃO'!$GY$41),"",'CONFIGURAÇÃO'!$GY$41)</f>
        <v/>
      </c>
      <c r="C4">
        <f>IF(ISBLANK('CONFIGURAÇÃO'!$HB$43),"",'CONFIGURAÇÃO'!$HB$43)</f>
        <v/>
      </c>
      <c r="D4">
        <f>IF(ISBLANK('CONFIGURAÇÃO'!$HB$44),"",'CONFIGURAÇÃO'!$HB$44)</f>
        <v/>
      </c>
      <c r="E4">
        <f>IF(ISBLANK('CONFIGURAÇÃO'!$HB$45),"",'CONFIGURAÇÃO'!$HB$45)</f>
        <v/>
      </c>
      <c r="F4">
        <f>IF(ISBLANK('CONFIGURAÇÃO'!$HB$47),"",'CONFIGURAÇÃO'!$HB$47)</f>
        <v/>
      </c>
      <c r="G4">
        <f>IF(ISBLANK('CONFIGURAÇÃO'!$HC$41),"",'CONFIGURAÇÃO'!$HC$41)</f>
        <v/>
      </c>
      <c r="H4">
        <f>IF(ISBLANK('CONFIGURAÇÃO'!$GY$51),"",'CONFIGURAÇÃO'!$GY$51)</f>
        <v/>
      </c>
      <c r="I4">
        <f>IF(ISBLANK('CONFIGURAÇÃO'!$GY$56),"",'CONFIGURAÇÃO'!$GY$56)</f>
        <v/>
      </c>
      <c r="J4">
        <f>IF(OR(C4="",C4="Nenhuma"),0,IFERROR(MATCH(SUBSTITUTE(SUBSTITUTE(SUBSTITUTE(C4,"~","~~"),"*","~*"),"?","~?"),'DADOS_ENTIDADES'!$M$2:$M$6,0),-1))</f>
        <v/>
      </c>
      <c r="K4">
        <f>IF(B4="",IF(OR(D4&lt;&gt;"",E4&lt;&gt;"",F4&lt;&gt;"",H4&lt;&gt;"",I4&lt;&gt;"",G4=TRUE,AND(C4&lt;&gt;"",C4&lt;&gt;"Nenhuma")),"Preencha NOME",""),TEXTJOIN(" · ",TRUE,IF(OR(NOT(ISTEXT(B4)),TRIM(B4)&lt;&gt;B4),"NOME precisa ser texto sem espaços nas pontas",""),IF(COUNTIF('DADOS_ENTIDADES'!$B$2:$B$11,SUBSTITUTE(SUBSTITUTE(SUBSTITUTE(B4,"~","~~"),"*","~*"),"?","~?"))+COUNTIF('DADOS_ENTIDADES'!$M$2:$M$6,SUBSTITUTE(SUBSTITUTE(SUBSTITUTE(B4,"~","~~"),"*","~*"),"?","~?"))&gt;1,"Nome repetido no livro ou custom",""),IF(J4&lt;0,"Escolha uma BASE DO LIVRO válida",""),IF(AND(D4&lt;&gt;"",NOT(OR(D4="Normal da entidade",D4="Corpo de criação"))),"VIDA inválida",""),IF(AND(E4&lt;&gt;"",NOT(OR(E4="Não usa",E4="Usa"))),"TALISMÃ inválida",""),IF(AND(F4&lt;&gt;"",NOT(OR(F4="Normal da entidade",F4="Maldição domada"))),"RESERVA DE PE inválida",""),IF(ISLOGICAL(G4),"","MESTRE VIU deve ser caixa de seleção")))</f>
        <v/>
      </c>
      <c r="M4">
        <f>IF(ISBLANK(DADOS_INVOC!$BN$4),"",DADOS_INVOC!$BN$4)</f>
        <v/>
      </c>
      <c r="N4" t="n">
        <v>0</v>
      </c>
      <c r="O4" t="n">
        <v>1</v>
      </c>
      <c r="P4" t="n">
        <v>0</v>
      </c>
      <c r="U4">
        <f>M3</f>
        <v/>
      </c>
      <c r="V4" t="n">
        <v>3</v>
      </c>
      <c r="W4">
        <f>AI3</f>
        <v/>
      </c>
      <c r="Y4" t="n">
        <v>3</v>
      </c>
      <c r="Z4">
        <f>IF(ISBLANK('CONFIGURAÇÃO'!$HP$41),"",'CONFIGURAÇÃO'!$HP$41)</f>
        <v/>
      </c>
      <c r="AA4">
        <f>IF(ISBLANK('CONFIGURAÇÃO'!$HS$43),"",'CONFIGURAÇÃO'!$HS$43)</f>
        <v/>
      </c>
      <c r="AB4">
        <f>IF(ISBLANK('CONFIGURAÇÃO'!$HS$44),"",'CONFIGURAÇÃO'!$HS$44)</f>
        <v/>
      </c>
      <c r="AC4">
        <f>IF(ISBLANK('CONFIGURAÇÃO'!$HP$51),"",'CONFIGURAÇÃO'!$HP$51)</f>
        <v/>
      </c>
      <c r="AD4">
        <f>IF(ISBLANK('CONFIGURAÇÃO'!$HP$56),"",'CONFIGURAÇÃO'!$HP$56)</f>
        <v/>
      </c>
      <c r="AE4">
        <f>IF(ISBLANK('CONFIGURAÇÃO'!$HT$41),"",'CONFIGURAÇÃO'!$HT$41)</f>
        <v/>
      </c>
      <c r="AF4">
        <f>IF(OR(AA4="",AA4="Nenhuma"),0,IFERROR(MATCH(SUBSTITUTE(SUBSTITUTE(SUBSTITUTE(AA4,"~","~~"),"*","~*"),"?","~?"),'DADOS_ENTIDADES'!$AI$2:$AI$15,0),-1))</f>
        <v/>
      </c>
      <c r="AG4">
        <f>IF(Z4="",IF(OR(AB4&lt;&gt;"",AC4&lt;&gt;"",AD4&lt;&gt;"",AE4=TRUE,AND(AA4&lt;&gt;"",AA4&lt;&gt;"Nenhuma")),"Preencha NOME",""),TEXTJOIN(" · ",TRUE,IF(OR(NOT(ISTEXT(Z4)),TRIM(Z4)&lt;&gt;Z4),"NOME precisa ser texto sem espaços nas pontas",""),IF(COUNTIF('DADOS_ENTIDADES'!$Z$2:$Z$21,SUBSTITUTE(SUBSTITUTE(SUBSTITUTE(Z4,"~","~~"),"*","~*"),"?","~?"))+COUNTIF('DADOS_ENTIDADES'!$AI$2:$AI$15,SUBSTITUTE(SUBSTITUTE(SUBSTITUTE(Z4,"~","~~"),"*","~*"),"?","~?"))&gt;1,"Nome repetido no livro ou custom",""),IF(AF4&lt;0,"Escolha uma BASE DO LIVRO válida",""),IF(AND(AB4="",AF4&lt;=0),"Escolha CATEGORIA DE EFEITO",""),IF(AND(AB4&lt;&gt;"",NOT(IFERROR(AND(ISNUMBER(AB4),NOT(ISLOGICAL(AB4)),AB4=INT(AB4),AB4&gt;=1,AB4&lt;=3),FALSE))),"CATEGORIA DE EFEITO deve ser 1, 2 ou 3",""),IF(ISLOGICAL(AE4),"","MESTRE VIU deve ser caixa de seleção")))</f>
        <v/>
      </c>
      <c r="AI4">
        <f>IF(ISBLANK(DADOS_INVOC!$BI$4),"",DADOS_INVOC!$BI$4)</f>
        <v/>
      </c>
      <c r="AJ4">
        <f>IF(ISBLANK(DADOS_INVOC!$BJ$4),"",DADOS_INVOC!$BJ$4)</f>
        <v/>
      </c>
      <c r="AK4">
        <f>IF(ISBLANK(DADOS_INVOC!$BK$4),"",DADOS_INVOC!$BK$4)</f>
        <v/>
      </c>
      <c r="AL4">
        <f>IF(ISBLANK(DADOS_INVOC!$BL$4),"",DADOS_INVOC!$BL$4)</f>
        <v/>
      </c>
      <c r="AM4">
        <f>IF('INVOCAÇÕES'!$I$465="",0,IFERROR(MATCH(SUBSTITUTE(SUBSTITUTE(SUBSTITUTE('INVOCAÇÕES'!$I$465,"~","~~"),"*","~*"),"?","~?"),'DADOS_ENTIDADES'!$M$2:$M$16,0),0))</f>
        <v/>
      </c>
      <c r="AN4">
        <f>IF(AM4=0,"",IFERROR(INDEX('DADOS_ENTIDADES'!$AQ$2:$AQ$16,AM4)&amp;"",""))</f>
        <v/>
      </c>
      <c r="AO4">
        <f>IF(AM4=0,"",IFERROR(INDEX('DADOS_ENTIDADES'!$AR$2:$AR$16,AM4)&amp;"",""))</f>
        <v/>
      </c>
      <c r="AP4">
        <f>TEXTJOIN(CHAR(10)&amp;CHAR(10),TRUE,IF(AN4="","","DEFINIÇÃO"&amp;CHAR(10)&amp;AN4),IF(AO4="","","EFEITO E REQUISITOS"&amp;CHAR(10)&amp;AO4))</f>
        <v/>
      </c>
      <c r="AQ4" t="inlineStr">
        <is>
          <t>Criatura guardada em um talismã.</t>
        </is>
      </c>
      <c r="AR4" t="inlineStr">
        <is>
          <t>Registra o talismã e sua carga.</t>
        </is>
      </c>
    </row>
    <row r="5">
      <c r="A5" t="n">
        <v>4</v>
      </c>
      <c r="B5">
        <f>IF(ISBLANK('CONFIGURAÇÃO'!$HG$41),"",'CONFIGURAÇÃO'!$HG$41)</f>
        <v/>
      </c>
      <c r="C5">
        <f>IF(ISBLANK('CONFIGURAÇÃO'!$HJ$43),"",'CONFIGURAÇÃO'!$HJ$43)</f>
        <v/>
      </c>
      <c r="D5">
        <f>IF(ISBLANK('CONFIGURAÇÃO'!$HJ$44),"",'CONFIGURAÇÃO'!$HJ$44)</f>
        <v/>
      </c>
      <c r="E5">
        <f>IF(ISBLANK('CONFIGURAÇÃO'!$HJ$45),"",'CONFIGURAÇÃO'!$HJ$45)</f>
        <v/>
      </c>
      <c r="F5">
        <f>IF(ISBLANK('CONFIGURAÇÃO'!$HJ$47),"",'CONFIGURAÇÃO'!$HJ$47)</f>
        <v/>
      </c>
      <c r="G5">
        <f>IF(ISBLANK('CONFIGURAÇÃO'!$HK$41),"",'CONFIGURAÇÃO'!$HK$41)</f>
        <v/>
      </c>
      <c r="H5">
        <f>IF(ISBLANK('CONFIGURAÇÃO'!$HG$51),"",'CONFIGURAÇÃO'!$HG$51)</f>
        <v/>
      </c>
      <c r="I5">
        <f>IF(ISBLANK('CONFIGURAÇÃO'!$HG$56),"",'CONFIGURAÇÃO'!$HG$56)</f>
        <v/>
      </c>
      <c r="J5">
        <f>IF(OR(C5="",C5="Nenhuma"),0,IFERROR(MATCH(SUBSTITUTE(SUBSTITUTE(SUBSTITUTE(C5,"~","~~"),"*","~*"),"?","~?"),'DADOS_ENTIDADES'!$M$2:$M$6,0),-1))</f>
        <v/>
      </c>
      <c r="K5">
        <f>IF(B5="",IF(OR(D5&lt;&gt;"",E5&lt;&gt;"",F5&lt;&gt;"",H5&lt;&gt;"",I5&lt;&gt;"",G5=TRUE,AND(C5&lt;&gt;"",C5&lt;&gt;"Nenhuma")),"Preencha NOME",""),TEXTJOIN(" · ",TRUE,IF(OR(NOT(ISTEXT(B5)),TRIM(B5)&lt;&gt;B5),"NOME precisa ser texto sem espaços nas pontas",""),IF(COUNTIF('DADOS_ENTIDADES'!$B$2:$B$11,SUBSTITUTE(SUBSTITUTE(SUBSTITUTE(B5,"~","~~"),"*","~*"),"?","~?"))+COUNTIF('DADOS_ENTIDADES'!$M$2:$M$6,SUBSTITUTE(SUBSTITUTE(SUBSTITUTE(B5,"~","~~"),"*","~*"),"?","~?"))&gt;1,"Nome repetido no livro ou custom",""),IF(J5&lt;0,"Escolha uma BASE DO LIVRO válida",""),IF(AND(D5&lt;&gt;"",NOT(OR(D5="Normal da entidade",D5="Corpo de criação"))),"VIDA inválida",""),IF(AND(E5&lt;&gt;"",NOT(OR(E5="Não usa",E5="Usa"))),"TALISMÃ inválida",""),IF(AND(F5&lt;&gt;"",NOT(OR(F5="Normal da entidade",F5="Maldição domada"))),"RESERVA DE PE inválida",""),IF(ISLOGICAL(G5),"","MESTRE VIU deve ser caixa de seleção")))</f>
        <v/>
      </c>
      <c r="M5">
        <f>IF(ISBLANK(DADOS_INVOC!$BN$5),"",DADOS_INVOC!$BN$5)</f>
        <v/>
      </c>
      <c r="N5" t="n">
        <v>1</v>
      </c>
      <c r="O5" t="n">
        <v>0</v>
      </c>
      <c r="P5" t="n">
        <v>0</v>
      </c>
      <c r="U5">
        <f>M4</f>
        <v/>
      </c>
      <c r="W5">
        <f>AI4</f>
        <v/>
      </c>
      <c r="Y5" t="n">
        <v>4</v>
      </c>
      <c r="Z5">
        <f>IF(ISBLANK('CONFIGURAÇÃO'!$HX$41),"",'CONFIGURAÇÃO'!$HX$41)</f>
        <v/>
      </c>
      <c r="AA5">
        <f>IF(ISBLANK('CONFIGURAÇÃO'!$IA$43),"",'CONFIGURAÇÃO'!$IA$43)</f>
        <v/>
      </c>
      <c r="AB5">
        <f>IF(ISBLANK('CONFIGURAÇÃO'!$IA$44),"",'CONFIGURAÇÃO'!$IA$44)</f>
        <v/>
      </c>
      <c r="AC5">
        <f>IF(ISBLANK('CONFIGURAÇÃO'!$HX$51),"",'CONFIGURAÇÃO'!$HX$51)</f>
        <v/>
      </c>
      <c r="AD5">
        <f>IF(ISBLANK('CONFIGURAÇÃO'!$HX$56),"",'CONFIGURAÇÃO'!$HX$56)</f>
        <v/>
      </c>
      <c r="AE5">
        <f>IF(ISBLANK('CONFIGURAÇÃO'!$IB$41),"",'CONFIGURAÇÃO'!$IB$41)</f>
        <v/>
      </c>
      <c r="AF5">
        <f>IF(OR(AA5="",AA5="Nenhuma"),0,IFERROR(MATCH(SUBSTITUTE(SUBSTITUTE(SUBSTITUTE(AA5,"~","~~"),"*","~*"),"?","~?"),'DADOS_ENTIDADES'!$AI$2:$AI$15,0),-1))</f>
        <v/>
      </c>
      <c r="AG5">
        <f>IF(Z5="",IF(OR(AB5&lt;&gt;"",AC5&lt;&gt;"",AD5&lt;&gt;"",AE5=TRUE,AND(AA5&lt;&gt;"",AA5&lt;&gt;"Nenhuma")),"Preencha NOME",""),TEXTJOIN(" · ",TRUE,IF(OR(NOT(ISTEXT(Z5)),TRIM(Z5)&lt;&gt;Z5),"NOME precisa ser texto sem espaços nas pontas",""),IF(COUNTIF('DADOS_ENTIDADES'!$Z$2:$Z$21,SUBSTITUTE(SUBSTITUTE(SUBSTITUTE(Z5,"~","~~"),"*","~*"),"?","~?"))+COUNTIF('DADOS_ENTIDADES'!$AI$2:$AI$15,SUBSTITUTE(SUBSTITUTE(SUBSTITUTE(Z5,"~","~~"),"*","~*"),"?","~?"))&gt;1,"Nome repetido no livro ou custom",""),IF(AF5&lt;0,"Escolha uma BASE DO LIVRO válida",""),IF(AND(AB5="",AF5&lt;=0),"Escolha CATEGORIA DE EFEITO",""),IF(AND(AB5&lt;&gt;"",NOT(IFERROR(AND(ISNUMBER(AB5),NOT(ISLOGICAL(AB5)),AB5=INT(AB5),AB5&gt;=1,AB5&lt;=3),FALSE))),"CATEGORIA DE EFEITO deve ser 1, 2 ou 3",""),IF(ISLOGICAL(AE5),"","MESTRE VIU deve ser caixa de seleção")))</f>
        <v/>
      </c>
      <c r="AI5">
        <f>IF(ISBLANK(DADOS_INVOC!$BI$5),"",DADOS_INVOC!$BI$5)</f>
        <v/>
      </c>
      <c r="AJ5">
        <f>IF(ISBLANK(DADOS_INVOC!$BJ$5),"",DADOS_INVOC!$BJ$5)</f>
        <v/>
      </c>
      <c r="AK5">
        <f>IF(ISBLANK(DADOS_INVOC!$BK$5),"",DADOS_INVOC!$BK$5)</f>
        <v/>
      </c>
      <c r="AL5">
        <f>IF(ISBLANK(DADOS_INVOC!$BL$5),"",DADOS_INVOC!$BL$5)</f>
        <v/>
      </c>
      <c r="AM5">
        <f>IF('INVOCAÇÕES'!$I$676="",0,IFERROR(MATCH(SUBSTITUTE(SUBSTITUTE(SUBSTITUTE('INVOCAÇÕES'!$I$676,"~","~~"),"*","~*"),"?","~?"),'DADOS_ENTIDADES'!$M$2:$M$16,0),0))</f>
        <v/>
      </c>
      <c r="AN5">
        <f>IF(AM5=0,"",IFERROR(INDEX('DADOS_ENTIDADES'!$AQ$2:$AQ$16,AM5)&amp;"",""))</f>
        <v/>
      </c>
      <c r="AO5">
        <f>IF(AM5=0,"",IFERROR(INDEX('DADOS_ENTIDADES'!$AR$2:$AR$16,AM5)&amp;"",""))</f>
        <v/>
      </c>
      <c r="AP5">
        <f>TEXTJOIN(CHAR(10)&amp;CHAR(10),TRUE,IF(AN5="","","DEFINIÇÃO"&amp;CHAR(10)&amp;AN5),IF(AO5="","","EFEITO E REQUISITOS"&amp;CHAR(10)&amp;AO5))</f>
        <v/>
      </c>
      <c r="AQ5" t="inlineStr">
        <is>
          <t>Corpo fabricado.</t>
        </is>
      </c>
      <c r="AR5" t="inlineStr">
        <is>
          <t>Ganha 4 + Constituição por nível depois do primeiro.</t>
        </is>
      </c>
    </row>
    <row r="6">
      <c r="A6" t="n">
        <v>5</v>
      </c>
      <c r="B6">
        <f>IF(ISBLANK('CONFIGURAÇÃO'!$GY$69),"",'CONFIGURAÇÃO'!$GY$69)</f>
        <v/>
      </c>
      <c r="C6">
        <f>IF(ISBLANK('CONFIGURAÇÃO'!$HB$71),"",'CONFIGURAÇÃO'!$HB$71)</f>
        <v/>
      </c>
      <c r="D6">
        <f>IF(ISBLANK('CONFIGURAÇÃO'!$HB$72),"",'CONFIGURAÇÃO'!$HB$72)</f>
        <v/>
      </c>
      <c r="E6">
        <f>IF(ISBLANK('CONFIGURAÇÃO'!$HB$73),"",'CONFIGURAÇÃO'!$HB$73)</f>
        <v/>
      </c>
      <c r="F6">
        <f>IF(ISBLANK('CONFIGURAÇÃO'!$HB$75),"",'CONFIGURAÇÃO'!$HB$75)</f>
        <v/>
      </c>
      <c r="G6">
        <f>IF(ISBLANK('CONFIGURAÇÃO'!$HC$69),"",'CONFIGURAÇÃO'!$HC$69)</f>
        <v/>
      </c>
      <c r="H6">
        <f>IF(ISBLANK('CONFIGURAÇÃO'!$GY$79),"",'CONFIGURAÇÃO'!$GY$79)</f>
        <v/>
      </c>
      <c r="I6">
        <f>IF(ISBLANK('CONFIGURAÇÃO'!$GY$84),"",'CONFIGURAÇÃO'!$GY$84)</f>
        <v/>
      </c>
      <c r="J6">
        <f>IF(OR(C6="",C6="Nenhuma"),0,IFERROR(MATCH(SUBSTITUTE(SUBSTITUTE(SUBSTITUTE(C6,"~","~~"),"*","~*"),"?","~?"),'DADOS_ENTIDADES'!$M$2:$M$6,0),-1))</f>
        <v/>
      </c>
      <c r="K6">
        <f>IF(B6="",IF(OR(D6&lt;&gt;"",E6&lt;&gt;"",F6&lt;&gt;"",H6&lt;&gt;"",I6&lt;&gt;"",G6=TRUE,AND(C6&lt;&gt;"",C6&lt;&gt;"Nenhuma")),"Preencha NOME",""),TEXTJOIN(" · ",TRUE,IF(OR(NOT(ISTEXT(B6)),TRIM(B6)&lt;&gt;B6),"NOME precisa ser texto sem espaços nas pontas",""),IF(COUNTIF('DADOS_ENTIDADES'!$B$2:$B$11,SUBSTITUTE(SUBSTITUTE(SUBSTITUTE(B6,"~","~~"),"*","~*"),"?","~?"))+COUNTIF('DADOS_ENTIDADES'!$M$2:$M$6,SUBSTITUTE(SUBSTITUTE(SUBSTITUTE(B6,"~","~~"),"*","~*"),"?","~?"))&gt;1,"Nome repetido no livro ou custom",""),IF(J6&lt;0,"Escolha uma BASE DO LIVRO válida",""),IF(AND(D6&lt;&gt;"",NOT(OR(D6="Normal da entidade",D6="Corpo de criação"))),"VIDA inválida",""),IF(AND(E6&lt;&gt;"",NOT(OR(E6="Não usa",E6="Usa"))),"TALISMÃ inválida",""),IF(AND(F6&lt;&gt;"",NOT(OR(F6="Normal da entidade",F6="Maldição domada"))),"RESERVA DE PE inválida",""),IF(ISLOGICAL(G6),"","MESTRE VIU deve ser caixa de seleção")))</f>
        <v/>
      </c>
      <c r="M6">
        <f>IF(ISBLANK(DADOS_INVOC!$BN$6),"",DADOS_INVOC!$BN$6)</f>
        <v/>
      </c>
      <c r="N6" t="n">
        <v>0</v>
      </c>
      <c r="O6" t="n">
        <v>0</v>
      </c>
      <c r="P6" t="n">
        <v>1</v>
      </c>
      <c r="U6">
        <f>M5</f>
        <v/>
      </c>
      <c r="W6">
        <f>AI5</f>
        <v/>
      </c>
      <c r="Y6" t="n">
        <v>5</v>
      </c>
      <c r="Z6">
        <f>IF(ISBLANK('CONFIGURAÇÃO'!$HP$69),"",'CONFIGURAÇÃO'!$HP$69)</f>
        <v/>
      </c>
      <c r="AA6">
        <f>IF(ISBLANK('CONFIGURAÇÃO'!$HS$71),"",'CONFIGURAÇÃO'!$HS$71)</f>
        <v/>
      </c>
      <c r="AB6">
        <f>IF(ISBLANK('CONFIGURAÇÃO'!$HS$72),"",'CONFIGURAÇÃO'!$HS$72)</f>
        <v/>
      </c>
      <c r="AC6">
        <f>IF(ISBLANK('CONFIGURAÇÃO'!$HP$79),"",'CONFIGURAÇÃO'!$HP$79)</f>
        <v/>
      </c>
      <c r="AD6">
        <f>IF(ISBLANK('CONFIGURAÇÃO'!$HP$84),"",'CONFIGURAÇÃO'!$HP$84)</f>
        <v/>
      </c>
      <c r="AE6">
        <f>IF(ISBLANK('CONFIGURAÇÃO'!$HT$69),"",'CONFIGURAÇÃO'!$HT$69)</f>
        <v/>
      </c>
      <c r="AF6">
        <f>IF(OR(AA6="",AA6="Nenhuma"),0,IFERROR(MATCH(SUBSTITUTE(SUBSTITUTE(SUBSTITUTE(AA6,"~","~~"),"*","~*"),"?","~?"),'DADOS_ENTIDADES'!$AI$2:$AI$15,0),-1))</f>
        <v/>
      </c>
      <c r="AG6">
        <f>IF(Z6="",IF(OR(AB6&lt;&gt;"",AC6&lt;&gt;"",AD6&lt;&gt;"",AE6=TRUE,AND(AA6&lt;&gt;"",AA6&lt;&gt;"Nenhuma")),"Preencha NOME",""),TEXTJOIN(" · ",TRUE,IF(OR(NOT(ISTEXT(Z6)),TRIM(Z6)&lt;&gt;Z6),"NOME precisa ser texto sem espaços nas pontas",""),IF(COUNTIF('DADOS_ENTIDADES'!$Z$2:$Z$21,SUBSTITUTE(SUBSTITUTE(SUBSTITUTE(Z6,"~","~~"),"*","~*"),"?","~?"))+COUNTIF('DADOS_ENTIDADES'!$AI$2:$AI$15,SUBSTITUTE(SUBSTITUTE(SUBSTITUTE(Z6,"~","~~"),"*","~*"),"?","~?"))&gt;1,"Nome repetido no livro ou custom",""),IF(AF6&lt;0,"Escolha uma BASE DO LIVRO válida",""),IF(AND(AB6="",AF6&lt;=0),"Escolha CATEGORIA DE EFEITO",""),IF(AND(AB6&lt;&gt;"",NOT(IFERROR(AND(ISNUMBER(AB6),NOT(ISLOGICAL(AB6)),AB6=INT(AB6),AB6&gt;=1,AB6&lt;=3),FALSE))),"CATEGORIA DE EFEITO deve ser 1, 2 ou 3",""),IF(ISLOGICAL(AE6),"","MESTRE VIU deve ser caixa de seleção")))</f>
        <v/>
      </c>
      <c r="AI6">
        <f>IF(ISBLANK(DADOS_INVOC!$BI$6),"",DADOS_INVOC!$BI$6)</f>
        <v/>
      </c>
      <c r="AJ6">
        <f>IF(ISBLANK(DADOS_INVOC!$BJ$6),"",DADOS_INVOC!$BJ$6)</f>
        <v/>
      </c>
      <c r="AK6">
        <f>IF(ISBLANK(DADOS_INVOC!$BK$6),"",DADOS_INVOC!$BK$6)</f>
        <v/>
      </c>
      <c r="AL6">
        <f>IF(ISBLANK(DADOS_INVOC!$BL$6),"",DADOS_INVOC!$BL$6)</f>
        <v/>
      </c>
      <c r="AM6">
        <f>IF('INVOCAÇÕES'!$I$887="",0,IFERROR(MATCH(SUBSTITUTE(SUBSTITUTE(SUBSTITUTE('INVOCAÇÕES'!$I$887,"~","~~"),"*","~*"),"?","~?"),'DADOS_ENTIDADES'!$M$2:$M$16,0),0))</f>
        <v/>
      </c>
      <c r="AN6">
        <f>IF(AM6=0,"",IFERROR(INDEX('DADOS_ENTIDADES'!$AQ$2:$AQ$16,AM6)&amp;"",""))</f>
        <v/>
      </c>
      <c r="AO6">
        <f>IF(AM6=0,"",IFERROR(INDEX('DADOS_ENTIDADES'!$AR$2:$AR$16,AM6)&amp;"",""))</f>
        <v/>
      </c>
      <c r="AP6">
        <f>TEXTJOIN(CHAR(10)&amp;CHAR(10),TRUE,IF(AN6="","","DEFINIÇÃO"&amp;CHAR(10)&amp;AN6),IF(AO6="","","EFEITO E REQUISITOS"&amp;CHAR(10)&amp;AO6))</f>
        <v/>
      </c>
      <c r="AQ6" t="inlineStr">
        <is>
          <t>Maldição submetida.</t>
        </is>
      </c>
      <c r="AR6" t="inlineStr">
        <is>
          <t>Mantém seu nível e suas capacidades de origem.</t>
        </is>
      </c>
    </row>
    <row r="7">
      <c r="A7" t="n">
        <v>6</v>
      </c>
      <c r="B7">
        <f>IF(ISBLANK('CONFIGURAÇÃO'!$HG$69),"",'CONFIGURAÇÃO'!$HG$69)</f>
        <v/>
      </c>
      <c r="C7">
        <f>IF(ISBLANK('CONFIGURAÇÃO'!$HJ$71),"",'CONFIGURAÇÃO'!$HJ$71)</f>
        <v/>
      </c>
      <c r="D7">
        <f>IF(ISBLANK('CONFIGURAÇÃO'!$HJ$72),"",'CONFIGURAÇÃO'!$HJ$72)</f>
        <v/>
      </c>
      <c r="E7">
        <f>IF(ISBLANK('CONFIGURAÇÃO'!$HJ$73),"",'CONFIGURAÇÃO'!$HJ$73)</f>
        <v/>
      </c>
      <c r="F7">
        <f>IF(ISBLANK('CONFIGURAÇÃO'!$HJ$75),"",'CONFIGURAÇÃO'!$HJ$75)</f>
        <v/>
      </c>
      <c r="G7">
        <f>IF(ISBLANK('CONFIGURAÇÃO'!$HK$69),"",'CONFIGURAÇÃO'!$HK$69)</f>
        <v/>
      </c>
      <c r="H7">
        <f>IF(ISBLANK('CONFIGURAÇÃO'!$HG$79),"",'CONFIGURAÇÃO'!$HG$79)</f>
        <v/>
      </c>
      <c r="I7">
        <f>IF(ISBLANK('CONFIGURAÇÃO'!$HG$84),"",'CONFIGURAÇÃO'!$HG$84)</f>
        <v/>
      </c>
      <c r="J7">
        <f>IF(OR(C7="",C7="Nenhuma"),0,IFERROR(MATCH(SUBSTITUTE(SUBSTITUTE(SUBSTITUTE(C7,"~","~~"),"*","~*"),"?","~?"),'DADOS_ENTIDADES'!$M$2:$M$6,0),-1))</f>
        <v/>
      </c>
      <c r="K7">
        <f>IF(B7="",IF(OR(D7&lt;&gt;"",E7&lt;&gt;"",F7&lt;&gt;"",H7&lt;&gt;"",I7&lt;&gt;"",G7=TRUE,AND(C7&lt;&gt;"",C7&lt;&gt;"Nenhuma")),"Preencha NOME",""),TEXTJOIN(" · ",TRUE,IF(OR(NOT(ISTEXT(B7)),TRIM(B7)&lt;&gt;B7),"NOME precisa ser texto sem espaços nas pontas",""),IF(COUNTIF('DADOS_ENTIDADES'!$B$2:$B$11,SUBSTITUTE(SUBSTITUTE(SUBSTITUTE(B7,"~","~~"),"*","~*"),"?","~?"))+COUNTIF('DADOS_ENTIDADES'!$M$2:$M$6,SUBSTITUTE(SUBSTITUTE(SUBSTITUTE(B7,"~","~~"),"*","~*"),"?","~?"))&gt;1,"Nome repetido no livro ou custom",""),IF(J7&lt;0,"Escolha uma BASE DO LIVRO válida",""),IF(AND(D7&lt;&gt;"",NOT(OR(D7="Normal da entidade",D7="Corpo de criação"))),"VIDA inválida",""),IF(AND(E7&lt;&gt;"",NOT(OR(E7="Não usa",E7="Usa"))),"TALISMÃ inválida",""),IF(AND(F7&lt;&gt;"",NOT(OR(F7="Normal da entidade",F7="Maldição domada"))),"RESERVA DE PE inválida",""),IF(ISLOGICAL(G7),"","MESTRE VIU deve ser caixa de seleção")))</f>
        <v/>
      </c>
      <c r="M7">
        <f>IF(AND(B2&lt;&gt;"",K2=""),B2,"")</f>
        <v/>
      </c>
      <c r="N7">
        <f>IF(M7="",0,IF(D2="",IF(J2&gt;0,INDEX('DADOS_ENTIDADES'!$N$2:$N$6,J2),0),IF(D2="Corpo de criação",1,0)))</f>
        <v/>
      </c>
      <c r="O7">
        <f>IF(M7="",0,IF(E2="",IF(J2&gt;0,INDEX('DADOS_ENTIDADES'!$O$2:$O$6,J2),0),IF(E2="Usa",1,0)))</f>
        <v/>
      </c>
      <c r="P7">
        <f>IF(M7="",0,IF(F2="",IF(J2&gt;0,INDEX('DADOS_ENTIDADES'!$P$2:$P$6,J2),0),IF(F2="Maldição domada",1,0)))</f>
        <v/>
      </c>
      <c r="U7">
        <f>M6</f>
        <v/>
      </c>
      <c r="W7">
        <f>AI6</f>
        <v/>
      </c>
      <c r="Y7" t="n">
        <v>6</v>
      </c>
      <c r="Z7">
        <f>IF(ISBLANK('CONFIGURAÇÃO'!$HX$69),"",'CONFIGURAÇÃO'!$HX$69)</f>
        <v/>
      </c>
      <c r="AA7">
        <f>IF(ISBLANK('CONFIGURAÇÃO'!$IA$71),"",'CONFIGURAÇÃO'!$IA$71)</f>
        <v/>
      </c>
      <c r="AB7">
        <f>IF(ISBLANK('CONFIGURAÇÃO'!$IA$72),"",'CONFIGURAÇÃO'!$IA$72)</f>
        <v/>
      </c>
      <c r="AC7">
        <f>IF(ISBLANK('CONFIGURAÇÃO'!$HX$79),"",'CONFIGURAÇÃO'!$HX$79)</f>
        <v/>
      </c>
      <c r="AD7">
        <f>IF(ISBLANK('CONFIGURAÇÃO'!$HX$84),"",'CONFIGURAÇÃO'!$HX$84)</f>
        <v/>
      </c>
      <c r="AE7">
        <f>IF(ISBLANK('CONFIGURAÇÃO'!$IB$69),"",'CONFIGURAÇÃO'!$IB$69)</f>
        <v/>
      </c>
      <c r="AF7">
        <f>IF(OR(AA7="",AA7="Nenhuma"),0,IFERROR(MATCH(SUBSTITUTE(SUBSTITUTE(SUBSTITUTE(AA7,"~","~~"),"*","~*"),"?","~?"),'DADOS_ENTIDADES'!$AI$2:$AI$15,0),-1))</f>
        <v/>
      </c>
      <c r="AG7">
        <f>IF(Z7="",IF(OR(AB7&lt;&gt;"",AC7&lt;&gt;"",AD7&lt;&gt;"",AE7=TRUE,AND(AA7&lt;&gt;"",AA7&lt;&gt;"Nenhuma")),"Preencha NOME",""),TEXTJOIN(" · ",TRUE,IF(OR(NOT(ISTEXT(Z7)),TRIM(Z7)&lt;&gt;Z7),"NOME precisa ser texto sem espaços nas pontas",""),IF(COUNTIF('DADOS_ENTIDADES'!$Z$2:$Z$21,SUBSTITUTE(SUBSTITUTE(SUBSTITUTE(Z7,"~","~~"),"*","~*"),"?","~?"))+COUNTIF('DADOS_ENTIDADES'!$AI$2:$AI$15,SUBSTITUTE(SUBSTITUTE(SUBSTITUTE(Z7,"~","~~"),"*","~*"),"?","~?"))&gt;1,"Nome repetido no livro ou custom",""),IF(AF7&lt;0,"Escolha uma BASE DO LIVRO válida",""),IF(AND(AB7="",AF7&lt;=0),"Escolha CATEGORIA DE EFEITO",""),IF(AND(AB7&lt;&gt;"",NOT(IFERROR(AND(ISNUMBER(AB7),NOT(ISLOGICAL(AB7)),AB7=INT(AB7),AB7&gt;=1,AB7&lt;=3),FALSE))),"CATEGORIA DE EFEITO deve ser 1, 2 ou 3",""),IF(ISLOGICAL(AE7),"","MESTRE VIU deve ser caixa de seleção")))</f>
        <v/>
      </c>
      <c r="AI7">
        <f>IF(ISBLANK(DADOS_INVOC!$BI$7),"",DADOS_INVOC!$BI$7)</f>
        <v/>
      </c>
      <c r="AJ7">
        <f>IF(ISBLANK(DADOS_INVOC!$BJ$7),"",DADOS_INVOC!$BJ$7)</f>
        <v/>
      </c>
      <c r="AK7">
        <f>IF(ISBLANK(DADOS_INVOC!$BK$7),"",DADOS_INVOC!$BK$7)</f>
        <v/>
      </c>
      <c r="AL7">
        <f>IF(ISBLANK(DADOS_INVOC!$BL$7),"",DADOS_INVOC!$BL$7)</f>
        <v/>
      </c>
      <c r="AM7">
        <f>IF('INVOCAÇÕES'!$I$1098="",0,IFERROR(MATCH(SUBSTITUTE(SUBSTITUTE(SUBSTITUTE('INVOCAÇÕES'!$I$1098,"~","~~"),"*","~*"),"?","~?"),'DADOS_ENTIDADES'!$M$2:$M$16,0),0))</f>
        <v/>
      </c>
      <c r="AN7">
        <f>IF(AM7=0,"",IFERROR(INDEX('DADOS_ENTIDADES'!$AQ$2:$AQ$16,AM7)&amp;"",""))</f>
        <v/>
      </c>
      <c r="AO7">
        <f>IF(AM7=0,"",IFERROR(INDEX('DADOS_ENTIDADES'!$AR$2:$AR$16,AM7)&amp;"",""))</f>
        <v/>
      </c>
      <c r="AP7">
        <f>TEXTJOIN(CHAR(10)&amp;CHAR(10),TRUE,IF(AN7="","","DEFINIÇÃO"&amp;CHAR(10)&amp;AN7),IF(AO7="","","EFEITO E REQUISITOS"&amp;CHAR(10)&amp;AO7))</f>
        <v/>
      </c>
      <c r="AQ7">
        <f>IF(M7="","",IF(H2="",IF(J2&gt;0,INDEX('DADOS_ENTIDADES'!$AQ$2:$AQ$6,J2),""),H2))</f>
        <v/>
      </c>
      <c r="AR7">
        <f>IF(M7="","",IF(I2="",IF(J2&gt;0,INDEX('DADOS_ENTIDADES'!$AR$2:$AR$6,J2),""),I2))</f>
        <v/>
      </c>
    </row>
    <row r="8">
      <c r="A8" t="n">
        <v>7</v>
      </c>
      <c r="B8">
        <f>IF(ISBLANK('CONFIGURAÇÃO'!$GY$97),"",'CONFIGURAÇÃO'!$GY$97)</f>
        <v/>
      </c>
      <c r="C8">
        <f>IF(ISBLANK('CONFIGURAÇÃO'!$HB$99),"",'CONFIGURAÇÃO'!$HB$99)</f>
        <v/>
      </c>
      <c r="D8">
        <f>IF(ISBLANK('CONFIGURAÇÃO'!$HB$100),"",'CONFIGURAÇÃO'!$HB$100)</f>
        <v/>
      </c>
      <c r="E8">
        <f>IF(ISBLANK('CONFIGURAÇÃO'!$HB$101),"",'CONFIGURAÇÃO'!$HB$101)</f>
        <v/>
      </c>
      <c r="F8">
        <f>IF(ISBLANK('CONFIGURAÇÃO'!$HB$103),"",'CONFIGURAÇÃO'!$HB$103)</f>
        <v/>
      </c>
      <c r="G8">
        <f>IF(ISBLANK('CONFIGURAÇÃO'!$HC$97),"",'CONFIGURAÇÃO'!$HC$97)</f>
        <v/>
      </c>
      <c r="H8">
        <f>IF(ISBLANK('CONFIGURAÇÃO'!$GY$107),"",'CONFIGURAÇÃO'!$GY$107)</f>
        <v/>
      </c>
      <c r="I8">
        <f>IF(ISBLANK('CONFIGURAÇÃO'!$GY$112),"",'CONFIGURAÇÃO'!$GY$112)</f>
        <v/>
      </c>
      <c r="J8">
        <f>IF(OR(C8="",C8="Nenhuma"),0,IFERROR(MATCH(SUBSTITUTE(SUBSTITUTE(SUBSTITUTE(C8,"~","~~"),"*","~*"),"?","~?"),'DADOS_ENTIDADES'!$M$2:$M$6,0),-1))</f>
        <v/>
      </c>
      <c r="K8">
        <f>IF(B8="",IF(OR(D8&lt;&gt;"",E8&lt;&gt;"",F8&lt;&gt;"",H8&lt;&gt;"",I8&lt;&gt;"",G8=TRUE,AND(C8&lt;&gt;"",C8&lt;&gt;"Nenhuma")),"Preencha NOME",""),TEXTJOIN(" · ",TRUE,IF(OR(NOT(ISTEXT(B8)),TRIM(B8)&lt;&gt;B8),"NOME precisa ser texto sem espaços nas pontas",""),IF(COUNTIF('DADOS_ENTIDADES'!$B$2:$B$11,SUBSTITUTE(SUBSTITUTE(SUBSTITUTE(B8,"~","~~"),"*","~*"),"?","~?"))+COUNTIF('DADOS_ENTIDADES'!$M$2:$M$6,SUBSTITUTE(SUBSTITUTE(SUBSTITUTE(B8,"~","~~"),"*","~*"),"?","~?"))&gt;1,"Nome repetido no livro ou custom",""),IF(J8&lt;0,"Escolha uma BASE DO LIVRO válida",""),IF(AND(D8&lt;&gt;"",NOT(OR(D8="Normal da entidade",D8="Corpo de criação"))),"VIDA inválida",""),IF(AND(E8&lt;&gt;"",NOT(OR(E8="Não usa",E8="Usa"))),"TALISMÃ inválida",""),IF(AND(F8&lt;&gt;"",NOT(OR(F8="Normal da entidade",F8="Maldição domada"))),"RESERVA DE PE inválida",""),IF(ISLOGICAL(G8),"","MESTRE VIU deve ser caixa de seleção")))</f>
        <v/>
      </c>
      <c r="M8">
        <f>IF(AND(B3&lt;&gt;"",K3=""),B3,"")</f>
        <v/>
      </c>
      <c r="N8">
        <f>IF(M8="",0,IF(D3="",IF(J3&gt;0,INDEX('DADOS_ENTIDADES'!$N$2:$N$6,J3),0),IF(D3="Corpo de criação",1,0)))</f>
        <v/>
      </c>
      <c r="O8">
        <f>IF(M8="",0,IF(E3="",IF(J3&gt;0,INDEX('DADOS_ENTIDADES'!$O$2:$O$6,J3),0),IF(E3="Usa",1,0)))</f>
        <v/>
      </c>
      <c r="P8">
        <f>IF(M8="",0,IF(F3="",IF(J3&gt;0,INDEX('DADOS_ENTIDADES'!$P$2:$P$6,J3),0),IF(F3="Maldição domada",1,0)))</f>
        <v/>
      </c>
      <c r="W8">
        <f>AI7</f>
        <v/>
      </c>
      <c r="Y8" t="n">
        <v>7</v>
      </c>
      <c r="Z8">
        <f>IF(ISBLANK('CONFIGURAÇÃO'!$HP$97),"",'CONFIGURAÇÃO'!$HP$97)</f>
        <v/>
      </c>
      <c r="AA8">
        <f>IF(ISBLANK('CONFIGURAÇÃO'!$HS$99),"",'CONFIGURAÇÃO'!$HS$99)</f>
        <v/>
      </c>
      <c r="AB8">
        <f>IF(ISBLANK('CONFIGURAÇÃO'!$HS$100),"",'CONFIGURAÇÃO'!$HS$100)</f>
        <v/>
      </c>
      <c r="AC8">
        <f>IF(ISBLANK('CONFIGURAÇÃO'!$HP$107),"",'CONFIGURAÇÃO'!$HP$107)</f>
        <v/>
      </c>
      <c r="AD8">
        <f>IF(ISBLANK('CONFIGURAÇÃO'!$HP$112),"",'CONFIGURAÇÃO'!$HP$112)</f>
        <v/>
      </c>
      <c r="AE8">
        <f>IF(ISBLANK('CONFIGURAÇÃO'!$HT$97),"",'CONFIGURAÇÃO'!$HT$97)</f>
        <v/>
      </c>
      <c r="AF8">
        <f>IF(OR(AA8="",AA8="Nenhuma"),0,IFERROR(MATCH(SUBSTITUTE(SUBSTITUTE(SUBSTITUTE(AA8,"~","~~"),"*","~*"),"?","~?"),'DADOS_ENTIDADES'!$AI$2:$AI$15,0),-1))</f>
        <v/>
      </c>
      <c r="AG8">
        <f>IF(Z8="",IF(OR(AB8&lt;&gt;"",AC8&lt;&gt;"",AD8&lt;&gt;"",AE8=TRUE,AND(AA8&lt;&gt;"",AA8&lt;&gt;"Nenhuma")),"Preencha NOME",""),TEXTJOIN(" · ",TRUE,IF(OR(NOT(ISTEXT(Z8)),TRIM(Z8)&lt;&gt;Z8),"NOME precisa ser texto sem espaços nas pontas",""),IF(COUNTIF('DADOS_ENTIDADES'!$Z$2:$Z$21,SUBSTITUTE(SUBSTITUTE(SUBSTITUTE(Z8,"~","~~"),"*","~*"),"?","~?"))+COUNTIF('DADOS_ENTIDADES'!$AI$2:$AI$15,SUBSTITUTE(SUBSTITUTE(SUBSTITUTE(Z8,"~","~~"),"*","~*"),"?","~?"))&gt;1,"Nome repetido no livro ou custom",""),IF(AF8&lt;0,"Escolha uma BASE DO LIVRO válida",""),IF(AND(AB8="",AF8&lt;=0),"Escolha CATEGORIA DE EFEITO",""),IF(AND(AB8&lt;&gt;"",NOT(IFERROR(AND(ISNUMBER(AB8),NOT(ISLOGICAL(AB8)),AB8=INT(AB8),AB8&gt;=1,AB8&lt;=3),FALSE))),"CATEGORIA DE EFEITO deve ser 1, 2 ou 3",""),IF(ISLOGICAL(AE8),"","MESTRE VIU deve ser caixa de seleção")))</f>
        <v/>
      </c>
      <c r="AI8">
        <f>IF(ISBLANK(DADOS_INVOC!$BI$8),"",DADOS_INVOC!$BI$8)</f>
        <v/>
      </c>
      <c r="AJ8">
        <f>IF(ISBLANK(DADOS_INVOC!$BJ$8),"",DADOS_INVOC!$BJ$8)</f>
        <v/>
      </c>
      <c r="AK8">
        <f>IF(ISBLANK(DADOS_INVOC!$BK$8),"",DADOS_INVOC!$BK$8)</f>
        <v/>
      </c>
      <c r="AL8">
        <f>IF(ISBLANK(DADOS_INVOC!$BL$8),"",DADOS_INVOC!$BL$8)</f>
        <v/>
      </c>
      <c r="AM8">
        <f>IF('INVOCAÇÕES'!$AB$43="",0,IFERROR(MATCH(SUBSTITUTE(SUBSTITUTE(SUBSTITUTE('INVOCAÇÕES'!$AB$43,"~","~~"),"*","~*"),"?","~?"),'DADOS_ENTIDADES'!$M$2:$M$16,0),0))</f>
        <v/>
      </c>
      <c r="AN8">
        <f>IF(AM8=0,"",IFERROR(INDEX('DADOS_ENTIDADES'!$AQ$2:$AQ$16,AM8)&amp;"",""))</f>
        <v/>
      </c>
      <c r="AO8">
        <f>IF(AM8=0,"",IFERROR(INDEX('DADOS_ENTIDADES'!$AR$2:$AR$16,AM8)&amp;"",""))</f>
        <v/>
      </c>
      <c r="AP8">
        <f>TEXTJOIN(CHAR(10)&amp;CHAR(10),TRUE,IF(AN8="","","DEFINIÇÃO"&amp;CHAR(10)&amp;AN8),IF(AO8="","","EFEITO E REQUISITOS"&amp;CHAR(10)&amp;AO8))</f>
        <v/>
      </c>
      <c r="AQ8">
        <f>IF(M8="","",IF(H3="",IF(J3&gt;0,INDEX('DADOS_ENTIDADES'!$AQ$2:$AQ$6,J3),""),H3))</f>
        <v/>
      </c>
      <c r="AR8">
        <f>IF(M8="","",IF(I3="",IF(J3&gt;0,INDEX('DADOS_ENTIDADES'!$AR$2:$AR$6,J3),""),I3))</f>
        <v/>
      </c>
    </row>
    <row r="9">
      <c r="A9" t="n">
        <v>8</v>
      </c>
      <c r="B9">
        <f>IF(ISBLANK('CONFIGURAÇÃO'!$HG$97),"",'CONFIGURAÇÃO'!$HG$97)</f>
        <v/>
      </c>
      <c r="C9">
        <f>IF(ISBLANK('CONFIGURAÇÃO'!$HJ$99),"",'CONFIGURAÇÃO'!$HJ$99)</f>
        <v/>
      </c>
      <c r="D9">
        <f>IF(ISBLANK('CONFIGURAÇÃO'!$HJ$100),"",'CONFIGURAÇÃO'!$HJ$100)</f>
        <v/>
      </c>
      <c r="E9">
        <f>IF(ISBLANK('CONFIGURAÇÃO'!$HJ$101),"",'CONFIGURAÇÃO'!$HJ$101)</f>
        <v/>
      </c>
      <c r="F9">
        <f>IF(ISBLANK('CONFIGURAÇÃO'!$HJ$103),"",'CONFIGURAÇÃO'!$HJ$103)</f>
        <v/>
      </c>
      <c r="G9">
        <f>IF(ISBLANK('CONFIGURAÇÃO'!$HK$97),"",'CONFIGURAÇÃO'!$HK$97)</f>
        <v/>
      </c>
      <c r="H9">
        <f>IF(ISBLANK('CONFIGURAÇÃO'!$HG$107),"",'CONFIGURAÇÃO'!$HG$107)</f>
        <v/>
      </c>
      <c r="I9">
        <f>IF(ISBLANK('CONFIGURAÇÃO'!$HG$112),"",'CONFIGURAÇÃO'!$HG$112)</f>
        <v/>
      </c>
      <c r="J9">
        <f>IF(OR(C9="",C9="Nenhuma"),0,IFERROR(MATCH(SUBSTITUTE(SUBSTITUTE(SUBSTITUTE(C9,"~","~~"),"*","~*"),"?","~?"),'DADOS_ENTIDADES'!$M$2:$M$6,0),-1))</f>
        <v/>
      </c>
      <c r="K9">
        <f>IF(B9="",IF(OR(D9&lt;&gt;"",E9&lt;&gt;"",F9&lt;&gt;"",H9&lt;&gt;"",I9&lt;&gt;"",G9=TRUE,AND(C9&lt;&gt;"",C9&lt;&gt;"Nenhuma")),"Preencha NOME",""),TEXTJOIN(" · ",TRUE,IF(OR(NOT(ISTEXT(B9)),TRIM(B9)&lt;&gt;B9),"NOME precisa ser texto sem espaços nas pontas",""),IF(COUNTIF('DADOS_ENTIDADES'!$B$2:$B$11,SUBSTITUTE(SUBSTITUTE(SUBSTITUTE(B9,"~","~~"),"*","~*"),"?","~?"))+COUNTIF('DADOS_ENTIDADES'!$M$2:$M$6,SUBSTITUTE(SUBSTITUTE(SUBSTITUTE(B9,"~","~~"),"*","~*"),"?","~?"))&gt;1,"Nome repetido no livro ou custom",""),IF(J9&lt;0,"Escolha uma BASE DO LIVRO válida",""),IF(AND(D9&lt;&gt;"",NOT(OR(D9="Normal da entidade",D9="Corpo de criação"))),"VIDA inválida",""),IF(AND(E9&lt;&gt;"",NOT(OR(E9="Não usa",E9="Usa"))),"TALISMÃ inválida",""),IF(AND(F9&lt;&gt;"",NOT(OR(F9="Normal da entidade",F9="Maldição domada"))),"RESERVA DE PE inválida",""),IF(ISLOGICAL(G9),"","MESTRE VIU deve ser caixa de seleção")))</f>
        <v/>
      </c>
      <c r="M9">
        <f>IF(AND(B4&lt;&gt;"",K4=""),B4,"")</f>
        <v/>
      </c>
      <c r="N9">
        <f>IF(M9="",0,IF(D4="",IF(J4&gt;0,INDEX('DADOS_ENTIDADES'!$N$2:$N$6,J4),0),IF(D4="Corpo de criação",1,0)))</f>
        <v/>
      </c>
      <c r="O9">
        <f>IF(M9="",0,IF(E4="",IF(J4&gt;0,INDEX('DADOS_ENTIDADES'!$O$2:$O$6,J4),0),IF(E4="Usa",1,0)))</f>
        <v/>
      </c>
      <c r="P9">
        <f>IF(M9="",0,IF(F4="",IF(J4&gt;0,INDEX('DADOS_ENTIDADES'!$P$2:$P$6,J4),0),IF(F4="Maldição domada",1,0)))</f>
        <v/>
      </c>
      <c r="W9">
        <f>AI8</f>
        <v/>
      </c>
      <c r="Y9" t="n">
        <v>8</v>
      </c>
      <c r="Z9">
        <f>IF(ISBLANK('CONFIGURAÇÃO'!$HX$97),"",'CONFIGURAÇÃO'!$HX$97)</f>
        <v/>
      </c>
      <c r="AA9">
        <f>IF(ISBLANK('CONFIGURAÇÃO'!$IA$99),"",'CONFIGURAÇÃO'!$IA$99)</f>
        <v/>
      </c>
      <c r="AB9">
        <f>IF(ISBLANK('CONFIGURAÇÃO'!$IA$100),"",'CONFIGURAÇÃO'!$IA$100)</f>
        <v/>
      </c>
      <c r="AC9">
        <f>IF(ISBLANK('CONFIGURAÇÃO'!$HX$107),"",'CONFIGURAÇÃO'!$HX$107)</f>
        <v/>
      </c>
      <c r="AD9">
        <f>IF(ISBLANK('CONFIGURAÇÃO'!$HX$112),"",'CONFIGURAÇÃO'!$HX$112)</f>
        <v/>
      </c>
      <c r="AE9">
        <f>IF(ISBLANK('CONFIGURAÇÃO'!$IB$97),"",'CONFIGURAÇÃO'!$IB$97)</f>
        <v/>
      </c>
      <c r="AF9">
        <f>IF(OR(AA9="",AA9="Nenhuma"),0,IFERROR(MATCH(SUBSTITUTE(SUBSTITUTE(SUBSTITUTE(AA9,"~","~~"),"*","~*"),"?","~?"),'DADOS_ENTIDADES'!$AI$2:$AI$15,0),-1))</f>
        <v/>
      </c>
      <c r="AG9">
        <f>IF(Z9="",IF(OR(AB9&lt;&gt;"",AC9&lt;&gt;"",AD9&lt;&gt;"",AE9=TRUE,AND(AA9&lt;&gt;"",AA9&lt;&gt;"Nenhuma")),"Preencha NOME",""),TEXTJOIN(" · ",TRUE,IF(OR(NOT(ISTEXT(Z9)),TRIM(Z9)&lt;&gt;Z9),"NOME precisa ser texto sem espaços nas pontas",""),IF(COUNTIF('DADOS_ENTIDADES'!$Z$2:$Z$21,SUBSTITUTE(SUBSTITUTE(SUBSTITUTE(Z9,"~","~~"),"*","~*"),"?","~?"))+COUNTIF('DADOS_ENTIDADES'!$AI$2:$AI$15,SUBSTITUTE(SUBSTITUTE(SUBSTITUTE(Z9,"~","~~"),"*","~*"),"?","~?"))&gt;1,"Nome repetido no livro ou custom",""),IF(AF9&lt;0,"Escolha uma BASE DO LIVRO válida",""),IF(AND(AB9="",AF9&lt;=0),"Escolha CATEGORIA DE EFEITO",""),IF(AND(AB9&lt;&gt;"",NOT(IFERROR(AND(ISNUMBER(AB9),NOT(ISLOGICAL(AB9)),AB9=INT(AB9),AB9&gt;=1,AB9&lt;=3),FALSE))),"CATEGORIA DE EFEITO deve ser 1, 2 ou 3",""),IF(ISLOGICAL(AE9),"","MESTRE VIU deve ser caixa de seleção")))</f>
        <v/>
      </c>
      <c r="AI9">
        <f>IF(ISBLANK(DADOS_INVOC!$BI$9),"",DADOS_INVOC!$BI$9)</f>
        <v/>
      </c>
      <c r="AJ9">
        <f>IF(ISBLANK(DADOS_INVOC!$BJ$9),"",DADOS_INVOC!$BJ$9)</f>
        <v/>
      </c>
      <c r="AK9">
        <f>IF(ISBLANK(DADOS_INVOC!$BK$9),"",DADOS_INVOC!$BK$9)</f>
        <v/>
      </c>
      <c r="AL9">
        <f>IF(ISBLANK(DADOS_INVOC!$BL$9),"",DADOS_INVOC!$BL$9)</f>
        <v/>
      </c>
      <c r="AM9">
        <f>IF('INVOCAÇÕES'!$AB$254="",0,IFERROR(MATCH(SUBSTITUTE(SUBSTITUTE(SUBSTITUTE('INVOCAÇÕES'!$AB$254,"~","~~"),"*","~*"),"?","~?"),'DADOS_ENTIDADES'!$M$2:$M$16,0),0))</f>
        <v/>
      </c>
      <c r="AN9">
        <f>IF(AM9=0,"",IFERROR(INDEX('DADOS_ENTIDADES'!$AQ$2:$AQ$16,AM9)&amp;"",""))</f>
        <v/>
      </c>
      <c r="AO9">
        <f>IF(AM9=0,"",IFERROR(INDEX('DADOS_ENTIDADES'!$AR$2:$AR$16,AM9)&amp;"",""))</f>
        <v/>
      </c>
      <c r="AP9">
        <f>TEXTJOIN(CHAR(10)&amp;CHAR(10),TRUE,IF(AN9="","","DEFINIÇÃO"&amp;CHAR(10)&amp;AN9),IF(AO9="","","EFEITO E REQUISITOS"&amp;CHAR(10)&amp;AO9))</f>
        <v/>
      </c>
      <c r="AQ9">
        <f>IF(M9="","",IF(H4="",IF(J4&gt;0,INDEX('DADOS_ENTIDADES'!$AQ$2:$AQ$6,J4),""),H4))</f>
        <v/>
      </c>
      <c r="AR9">
        <f>IF(M9="","",IF(I4="",IF(J4&gt;0,INDEX('DADOS_ENTIDADES'!$AR$2:$AR$6,J4),""),I4))</f>
        <v/>
      </c>
    </row>
    <row r="10">
      <c r="A10" t="n">
        <v>9</v>
      </c>
      <c r="B10">
        <f>IF(ISBLANK('CONFIGURAÇÃO'!$GY$125),"",'CONFIGURAÇÃO'!$GY$125)</f>
        <v/>
      </c>
      <c r="C10">
        <f>IF(ISBLANK('CONFIGURAÇÃO'!$HB$127),"",'CONFIGURAÇÃO'!$HB$127)</f>
        <v/>
      </c>
      <c r="D10">
        <f>IF(ISBLANK('CONFIGURAÇÃO'!$HB$128),"",'CONFIGURAÇÃO'!$HB$128)</f>
        <v/>
      </c>
      <c r="E10">
        <f>IF(ISBLANK('CONFIGURAÇÃO'!$HB$129),"",'CONFIGURAÇÃO'!$HB$129)</f>
        <v/>
      </c>
      <c r="F10">
        <f>IF(ISBLANK('CONFIGURAÇÃO'!$HB$131),"",'CONFIGURAÇÃO'!$HB$131)</f>
        <v/>
      </c>
      <c r="G10">
        <f>IF(ISBLANK('CONFIGURAÇÃO'!$HC$125),"",'CONFIGURAÇÃO'!$HC$125)</f>
        <v/>
      </c>
      <c r="H10">
        <f>IF(ISBLANK('CONFIGURAÇÃO'!$GY$135),"",'CONFIGURAÇÃO'!$GY$135)</f>
        <v/>
      </c>
      <c r="I10">
        <f>IF(ISBLANK('CONFIGURAÇÃO'!$GY$140),"",'CONFIGURAÇÃO'!$GY$140)</f>
        <v/>
      </c>
      <c r="J10">
        <f>IF(OR(C10="",C10="Nenhuma"),0,IFERROR(MATCH(SUBSTITUTE(SUBSTITUTE(SUBSTITUTE(C10,"~","~~"),"*","~*"),"?","~?"),'DADOS_ENTIDADES'!$M$2:$M$6,0),-1))</f>
        <v/>
      </c>
      <c r="K10">
        <f>IF(B10="",IF(OR(D10&lt;&gt;"",E10&lt;&gt;"",F10&lt;&gt;"",H10&lt;&gt;"",I10&lt;&gt;"",G10=TRUE,AND(C10&lt;&gt;"",C10&lt;&gt;"Nenhuma")),"Preencha NOME",""),TEXTJOIN(" · ",TRUE,IF(OR(NOT(ISTEXT(B10)),TRIM(B10)&lt;&gt;B10),"NOME precisa ser texto sem espaços nas pontas",""),IF(COUNTIF('DADOS_ENTIDADES'!$B$2:$B$11,SUBSTITUTE(SUBSTITUTE(SUBSTITUTE(B10,"~","~~"),"*","~*"),"?","~?"))+COUNTIF('DADOS_ENTIDADES'!$M$2:$M$6,SUBSTITUTE(SUBSTITUTE(SUBSTITUTE(B10,"~","~~"),"*","~*"),"?","~?"))&gt;1,"Nome repetido no livro ou custom",""),IF(J10&lt;0,"Escolha uma BASE DO LIVRO válida",""),IF(AND(D10&lt;&gt;"",NOT(OR(D10="Normal da entidade",D10="Corpo de criação"))),"VIDA inválida",""),IF(AND(E10&lt;&gt;"",NOT(OR(E10="Não usa",E10="Usa"))),"TALISMÃ inválida",""),IF(AND(F10&lt;&gt;"",NOT(OR(F10="Normal da entidade",F10="Maldição domada"))),"RESERVA DE PE inválida",""),IF(ISLOGICAL(G10),"","MESTRE VIU deve ser caixa de seleção")))</f>
        <v/>
      </c>
      <c r="M10">
        <f>IF(AND(B5&lt;&gt;"",K5=""),B5,"")</f>
        <v/>
      </c>
      <c r="N10">
        <f>IF(M10="",0,IF(D5="",IF(J5&gt;0,INDEX('DADOS_ENTIDADES'!$N$2:$N$6,J5),0),IF(D5="Corpo de criação",1,0)))</f>
        <v/>
      </c>
      <c r="O10">
        <f>IF(M10="",0,IF(E5="",IF(J5&gt;0,INDEX('DADOS_ENTIDADES'!$O$2:$O$6,J5),0),IF(E5="Usa",1,0)))</f>
        <v/>
      </c>
      <c r="P10">
        <f>IF(M10="",0,IF(F5="",IF(J5&gt;0,INDEX('DADOS_ENTIDADES'!$P$2:$P$6,J5),0),IF(F5="Maldição domada",1,0)))</f>
        <v/>
      </c>
      <c r="W10">
        <f>AI9</f>
        <v/>
      </c>
      <c r="Y10" t="n">
        <v>9</v>
      </c>
      <c r="Z10">
        <f>IF(ISBLANK('CONFIGURAÇÃO'!$HP$125),"",'CONFIGURAÇÃO'!$HP$125)</f>
        <v/>
      </c>
      <c r="AA10">
        <f>IF(ISBLANK('CONFIGURAÇÃO'!$HS$127),"",'CONFIGURAÇÃO'!$HS$127)</f>
        <v/>
      </c>
      <c r="AB10">
        <f>IF(ISBLANK('CONFIGURAÇÃO'!$HS$128),"",'CONFIGURAÇÃO'!$HS$128)</f>
        <v/>
      </c>
      <c r="AC10">
        <f>IF(ISBLANK('CONFIGURAÇÃO'!$HP$135),"",'CONFIGURAÇÃO'!$HP$135)</f>
        <v/>
      </c>
      <c r="AD10">
        <f>IF(ISBLANK('CONFIGURAÇÃO'!$HP$140),"",'CONFIGURAÇÃO'!$HP$140)</f>
        <v/>
      </c>
      <c r="AE10">
        <f>IF(ISBLANK('CONFIGURAÇÃO'!$HT$125),"",'CONFIGURAÇÃO'!$HT$125)</f>
        <v/>
      </c>
      <c r="AF10">
        <f>IF(OR(AA10="",AA10="Nenhuma"),0,IFERROR(MATCH(SUBSTITUTE(SUBSTITUTE(SUBSTITUTE(AA10,"~","~~"),"*","~*"),"?","~?"),'DADOS_ENTIDADES'!$AI$2:$AI$15,0),-1))</f>
        <v/>
      </c>
      <c r="AG10">
        <f>IF(Z10="",IF(OR(AB10&lt;&gt;"",AC10&lt;&gt;"",AD10&lt;&gt;"",AE10=TRUE,AND(AA10&lt;&gt;"",AA10&lt;&gt;"Nenhuma")),"Preencha NOME",""),TEXTJOIN(" · ",TRUE,IF(OR(NOT(ISTEXT(Z10)),TRIM(Z10)&lt;&gt;Z10),"NOME precisa ser texto sem espaços nas pontas",""),IF(COUNTIF('DADOS_ENTIDADES'!$Z$2:$Z$21,SUBSTITUTE(SUBSTITUTE(SUBSTITUTE(Z10,"~","~~"),"*","~*"),"?","~?"))+COUNTIF('DADOS_ENTIDADES'!$AI$2:$AI$15,SUBSTITUTE(SUBSTITUTE(SUBSTITUTE(Z10,"~","~~"),"*","~*"),"?","~?"))&gt;1,"Nome repetido no livro ou custom",""),IF(AF10&lt;0,"Escolha uma BASE DO LIVRO válida",""),IF(AND(AB10="",AF10&lt;=0),"Escolha CATEGORIA DE EFEITO",""),IF(AND(AB10&lt;&gt;"",NOT(IFERROR(AND(ISNUMBER(AB10),NOT(ISLOGICAL(AB10)),AB10=INT(AB10),AB10&gt;=1,AB10&lt;=3),FALSE))),"CATEGORIA DE EFEITO deve ser 1, 2 ou 3",""),IF(ISLOGICAL(AE10),"","MESTRE VIU deve ser caixa de seleção")))</f>
        <v/>
      </c>
      <c r="AI10">
        <f>IF(ISBLANK(DADOS_INVOC!$BI$10),"",DADOS_INVOC!$BI$10)</f>
        <v/>
      </c>
      <c r="AJ10">
        <f>IF(ISBLANK(DADOS_INVOC!$BJ$10),"",DADOS_INVOC!$BJ$10)</f>
        <v/>
      </c>
      <c r="AK10">
        <f>IF(ISBLANK(DADOS_INVOC!$BK$10),"",DADOS_INVOC!$BK$10)</f>
        <v/>
      </c>
      <c r="AL10">
        <f>IF(ISBLANK(DADOS_INVOC!$BL$10),"",DADOS_INVOC!$BL$10)</f>
        <v/>
      </c>
      <c r="AM10">
        <f>IF('INVOCAÇÕES'!$AB$465="",0,IFERROR(MATCH(SUBSTITUTE(SUBSTITUTE(SUBSTITUTE('INVOCAÇÕES'!$AB$465,"~","~~"),"*","~*"),"?","~?"),'DADOS_ENTIDADES'!$M$2:$M$16,0),0))</f>
        <v/>
      </c>
      <c r="AN10">
        <f>IF(AM10=0,"",IFERROR(INDEX('DADOS_ENTIDADES'!$AQ$2:$AQ$16,AM10)&amp;"",""))</f>
        <v/>
      </c>
      <c r="AO10">
        <f>IF(AM10=0,"",IFERROR(INDEX('DADOS_ENTIDADES'!$AR$2:$AR$16,AM10)&amp;"",""))</f>
        <v/>
      </c>
      <c r="AP10">
        <f>TEXTJOIN(CHAR(10)&amp;CHAR(10),TRUE,IF(AN10="","","DEFINIÇÃO"&amp;CHAR(10)&amp;AN10),IF(AO10="","","EFEITO E REQUISITOS"&amp;CHAR(10)&amp;AO10))</f>
        <v/>
      </c>
      <c r="AQ10">
        <f>IF(M10="","",IF(H5="",IF(J5&gt;0,INDEX('DADOS_ENTIDADES'!$AQ$2:$AQ$6,J5),""),H5))</f>
        <v/>
      </c>
      <c r="AR10">
        <f>IF(M10="","",IF(I5="",IF(J5&gt;0,INDEX('DADOS_ENTIDADES'!$AR$2:$AR$6,J5),""),I5))</f>
        <v/>
      </c>
    </row>
    <row r="11">
      <c r="A11" t="n">
        <v>10</v>
      </c>
      <c r="B11">
        <f>IF(ISBLANK('CONFIGURAÇÃO'!$HG$125),"",'CONFIGURAÇÃO'!$HG$125)</f>
        <v/>
      </c>
      <c r="C11">
        <f>IF(ISBLANK('CONFIGURAÇÃO'!$HJ$127),"",'CONFIGURAÇÃO'!$HJ$127)</f>
        <v/>
      </c>
      <c r="D11">
        <f>IF(ISBLANK('CONFIGURAÇÃO'!$HJ$128),"",'CONFIGURAÇÃO'!$HJ$128)</f>
        <v/>
      </c>
      <c r="E11">
        <f>IF(ISBLANK('CONFIGURAÇÃO'!$HJ$129),"",'CONFIGURAÇÃO'!$HJ$129)</f>
        <v/>
      </c>
      <c r="F11">
        <f>IF(ISBLANK('CONFIGURAÇÃO'!$HJ$131),"",'CONFIGURAÇÃO'!$HJ$131)</f>
        <v/>
      </c>
      <c r="G11">
        <f>IF(ISBLANK('CONFIGURAÇÃO'!$HK$125),"",'CONFIGURAÇÃO'!$HK$125)</f>
        <v/>
      </c>
      <c r="H11">
        <f>IF(ISBLANK('CONFIGURAÇÃO'!$HG$135),"",'CONFIGURAÇÃO'!$HG$135)</f>
        <v/>
      </c>
      <c r="I11">
        <f>IF(ISBLANK('CONFIGURAÇÃO'!$HG$140),"",'CONFIGURAÇÃO'!$HG$140)</f>
        <v/>
      </c>
      <c r="J11">
        <f>IF(OR(C11="",C11="Nenhuma"),0,IFERROR(MATCH(SUBSTITUTE(SUBSTITUTE(SUBSTITUTE(C11,"~","~~"),"*","~*"),"?","~?"),'DADOS_ENTIDADES'!$M$2:$M$6,0),-1))</f>
        <v/>
      </c>
      <c r="K11">
        <f>IF(B11="",IF(OR(D11&lt;&gt;"",E11&lt;&gt;"",F11&lt;&gt;"",H11&lt;&gt;"",I11&lt;&gt;"",G11=TRUE,AND(C11&lt;&gt;"",C11&lt;&gt;"Nenhuma")),"Preencha NOME",""),TEXTJOIN(" · ",TRUE,IF(OR(NOT(ISTEXT(B11)),TRIM(B11)&lt;&gt;B11),"NOME precisa ser texto sem espaços nas pontas",""),IF(COUNTIF('DADOS_ENTIDADES'!$B$2:$B$11,SUBSTITUTE(SUBSTITUTE(SUBSTITUTE(B11,"~","~~"),"*","~*"),"?","~?"))+COUNTIF('DADOS_ENTIDADES'!$M$2:$M$6,SUBSTITUTE(SUBSTITUTE(SUBSTITUTE(B11,"~","~~"),"*","~*"),"?","~?"))&gt;1,"Nome repetido no livro ou custom",""),IF(J11&lt;0,"Escolha uma BASE DO LIVRO válida",""),IF(AND(D11&lt;&gt;"",NOT(OR(D11="Normal da entidade",D11="Corpo de criação"))),"VIDA inválida",""),IF(AND(E11&lt;&gt;"",NOT(OR(E11="Não usa",E11="Usa"))),"TALISMÃ inválida",""),IF(AND(F11&lt;&gt;"",NOT(OR(F11="Normal da entidade",F11="Maldição domada"))),"RESERVA DE PE inválida",""),IF(ISLOGICAL(G11),"","MESTRE VIU deve ser caixa de seleção")))</f>
        <v/>
      </c>
      <c r="M11">
        <f>IF(AND(B6&lt;&gt;"",K6=""),B6,"")</f>
        <v/>
      </c>
      <c r="N11">
        <f>IF(M11="",0,IF(D6="",IF(J6&gt;0,INDEX('DADOS_ENTIDADES'!$N$2:$N$6,J6),0),IF(D6="Corpo de criação",1,0)))</f>
        <v/>
      </c>
      <c r="O11">
        <f>IF(M11="",0,IF(E6="",IF(J6&gt;0,INDEX('DADOS_ENTIDADES'!$O$2:$O$6,J6),0),IF(E6="Usa",1,0)))</f>
        <v/>
      </c>
      <c r="P11">
        <f>IF(M11="",0,IF(F6="",IF(J6&gt;0,INDEX('DADOS_ENTIDADES'!$P$2:$P$6,J6),0),IF(F6="Maldição domada",1,0)))</f>
        <v/>
      </c>
      <c r="W11">
        <f>AI10</f>
        <v/>
      </c>
      <c r="Y11" t="n">
        <v>10</v>
      </c>
      <c r="Z11">
        <f>IF(ISBLANK('CONFIGURAÇÃO'!$HX$125),"",'CONFIGURAÇÃO'!$HX$125)</f>
        <v/>
      </c>
      <c r="AA11">
        <f>IF(ISBLANK('CONFIGURAÇÃO'!$IA$127),"",'CONFIGURAÇÃO'!$IA$127)</f>
        <v/>
      </c>
      <c r="AB11">
        <f>IF(ISBLANK('CONFIGURAÇÃO'!$IA$128),"",'CONFIGURAÇÃO'!$IA$128)</f>
        <v/>
      </c>
      <c r="AC11">
        <f>IF(ISBLANK('CONFIGURAÇÃO'!$HX$135),"",'CONFIGURAÇÃO'!$HX$135)</f>
        <v/>
      </c>
      <c r="AD11">
        <f>IF(ISBLANK('CONFIGURAÇÃO'!$HX$140),"",'CONFIGURAÇÃO'!$HX$140)</f>
        <v/>
      </c>
      <c r="AE11">
        <f>IF(ISBLANK('CONFIGURAÇÃO'!$IB$125),"",'CONFIGURAÇÃO'!$IB$125)</f>
        <v/>
      </c>
      <c r="AF11">
        <f>IF(OR(AA11="",AA11="Nenhuma"),0,IFERROR(MATCH(SUBSTITUTE(SUBSTITUTE(SUBSTITUTE(AA11,"~","~~"),"*","~*"),"?","~?"),'DADOS_ENTIDADES'!$AI$2:$AI$15,0),-1))</f>
        <v/>
      </c>
      <c r="AG11">
        <f>IF(Z11="",IF(OR(AB11&lt;&gt;"",AC11&lt;&gt;"",AD11&lt;&gt;"",AE11=TRUE,AND(AA11&lt;&gt;"",AA11&lt;&gt;"Nenhuma")),"Preencha NOME",""),TEXTJOIN(" · ",TRUE,IF(OR(NOT(ISTEXT(Z11)),TRIM(Z11)&lt;&gt;Z11),"NOME precisa ser texto sem espaços nas pontas",""),IF(COUNTIF('DADOS_ENTIDADES'!$Z$2:$Z$21,SUBSTITUTE(SUBSTITUTE(SUBSTITUTE(Z11,"~","~~"),"*","~*"),"?","~?"))+COUNTIF('DADOS_ENTIDADES'!$AI$2:$AI$15,SUBSTITUTE(SUBSTITUTE(SUBSTITUTE(Z11,"~","~~"),"*","~*"),"?","~?"))&gt;1,"Nome repetido no livro ou custom",""),IF(AF11&lt;0,"Escolha uma BASE DO LIVRO válida",""),IF(AND(AB11="",AF11&lt;=0),"Escolha CATEGORIA DE EFEITO",""),IF(AND(AB11&lt;&gt;"",NOT(IFERROR(AND(ISNUMBER(AB11),NOT(ISLOGICAL(AB11)),AB11=INT(AB11),AB11&gt;=1,AB11&lt;=3),FALSE))),"CATEGORIA DE EFEITO deve ser 1, 2 ou 3",""),IF(ISLOGICAL(AE11),"","MESTRE VIU deve ser caixa de seleção")))</f>
        <v/>
      </c>
      <c r="AI11">
        <f>IF(ISBLANK(DADOS_INVOC!$BI$11),"",DADOS_INVOC!$BI$11)</f>
        <v/>
      </c>
      <c r="AJ11">
        <f>IF(ISBLANK(DADOS_INVOC!$BJ$11),"",DADOS_INVOC!$BJ$11)</f>
        <v/>
      </c>
      <c r="AK11">
        <f>IF(ISBLANK(DADOS_INVOC!$BK$11),"",DADOS_INVOC!$BK$11)</f>
        <v/>
      </c>
      <c r="AL11">
        <f>IF(ISBLANK(DADOS_INVOC!$BL$11),"",DADOS_INVOC!$BL$11)</f>
        <v/>
      </c>
      <c r="AM11">
        <f>IF('INVOCAÇÕES'!$AB$676="",0,IFERROR(MATCH(SUBSTITUTE(SUBSTITUTE(SUBSTITUTE('INVOCAÇÕES'!$AB$676,"~","~~"),"*","~*"),"?","~?"),'DADOS_ENTIDADES'!$M$2:$M$16,0),0))</f>
        <v/>
      </c>
      <c r="AN11">
        <f>IF(AM11=0,"",IFERROR(INDEX('DADOS_ENTIDADES'!$AQ$2:$AQ$16,AM11)&amp;"",""))</f>
        <v/>
      </c>
      <c r="AO11">
        <f>IF(AM11=0,"",IFERROR(INDEX('DADOS_ENTIDADES'!$AR$2:$AR$16,AM11)&amp;"",""))</f>
        <v/>
      </c>
      <c r="AP11">
        <f>TEXTJOIN(CHAR(10)&amp;CHAR(10),TRUE,IF(AN11="","","DEFINIÇÃO"&amp;CHAR(10)&amp;AN11),IF(AO11="","","EFEITO E REQUISITOS"&amp;CHAR(10)&amp;AO11))</f>
        <v/>
      </c>
      <c r="AQ11">
        <f>IF(M11="","",IF(H6="",IF(J6&gt;0,INDEX('DADOS_ENTIDADES'!$AQ$2:$AQ$6,J6),""),H6))</f>
        <v/>
      </c>
      <c r="AR11">
        <f>IF(M11="","",IF(I6="",IF(J6&gt;0,INDEX('DADOS_ENTIDADES'!$AR$2:$AR$6,J6),""),I6))</f>
        <v/>
      </c>
    </row>
    <row r="12">
      <c r="M12">
        <f>IF(AND(B7&lt;&gt;"",K7=""),B7,"")</f>
        <v/>
      </c>
      <c r="N12">
        <f>IF(M12="",0,IF(D7="",IF(J7&gt;0,INDEX('DADOS_ENTIDADES'!$N$2:$N$6,J7),0),IF(D7="Corpo de criação",1,0)))</f>
        <v/>
      </c>
      <c r="O12">
        <f>IF(M12="",0,IF(E7="",IF(J7&gt;0,INDEX('DADOS_ENTIDADES'!$O$2:$O$6,J7),0),IF(E7="Usa",1,0)))</f>
        <v/>
      </c>
      <c r="P12">
        <f>IF(M12="",0,IF(F7="",IF(J7&gt;0,INDEX('DADOS_ENTIDADES'!$P$2:$P$6,J7),0),IF(F7="Maldição domada",1,0)))</f>
        <v/>
      </c>
      <c r="W12">
        <f>AI11</f>
        <v/>
      </c>
      <c r="Y12" t="n">
        <v>11</v>
      </c>
      <c r="Z12">
        <f>IF(ISBLANK('CONFIGURAÇÃO'!$HP$153),"",'CONFIGURAÇÃO'!$HP$153)</f>
        <v/>
      </c>
      <c r="AA12">
        <f>IF(ISBLANK('CONFIGURAÇÃO'!$HS$155),"",'CONFIGURAÇÃO'!$HS$155)</f>
        <v/>
      </c>
      <c r="AB12">
        <f>IF(ISBLANK('CONFIGURAÇÃO'!$HS$156),"",'CONFIGURAÇÃO'!$HS$156)</f>
        <v/>
      </c>
      <c r="AC12">
        <f>IF(ISBLANK('CONFIGURAÇÃO'!$HP$163),"",'CONFIGURAÇÃO'!$HP$163)</f>
        <v/>
      </c>
      <c r="AD12">
        <f>IF(ISBLANK('CONFIGURAÇÃO'!$HP$168),"",'CONFIGURAÇÃO'!$HP$168)</f>
        <v/>
      </c>
      <c r="AE12">
        <f>IF(ISBLANK('CONFIGURAÇÃO'!$HT$153),"",'CONFIGURAÇÃO'!$HT$153)</f>
        <v/>
      </c>
      <c r="AF12">
        <f>IF(OR(AA12="",AA12="Nenhuma"),0,IFERROR(MATCH(SUBSTITUTE(SUBSTITUTE(SUBSTITUTE(AA12,"~","~~"),"*","~*"),"?","~?"),'DADOS_ENTIDADES'!$AI$2:$AI$15,0),-1))</f>
        <v/>
      </c>
      <c r="AG12">
        <f>IF(Z12="",IF(OR(AB12&lt;&gt;"",AC12&lt;&gt;"",AD12&lt;&gt;"",AE12=TRUE,AND(AA12&lt;&gt;"",AA12&lt;&gt;"Nenhuma")),"Preencha NOME",""),TEXTJOIN(" · ",TRUE,IF(OR(NOT(ISTEXT(Z12)),TRIM(Z12)&lt;&gt;Z12),"NOME precisa ser texto sem espaços nas pontas",""),IF(COUNTIF('DADOS_ENTIDADES'!$Z$2:$Z$21,SUBSTITUTE(SUBSTITUTE(SUBSTITUTE(Z12,"~","~~"),"*","~*"),"?","~?"))+COUNTIF('DADOS_ENTIDADES'!$AI$2:$AI$15,SUBSTITUTE(SUBSTITUTE(SUBSTITUTE(Z12,"~","~~"),"*","~*"),"?","~?"))&gt;1,"Nome repetido no livro ou custom",""),IF(AF12&lt;0,"Escolha uma BASE DO LIVRO válida",""),IF(AND(AB12="",AF12&lt;=0),"Escolha CATEGORIA DE EFEITO",""),IF(AND(AB12&lt;&gt;"",NOT(IFERROR(AND(ISNUMBER(AB12),NOT(ISLOGICAL(AB12)),AB12=INT(AB12),AB12&gt;=1,AB12&lt;=3),FALSE))),"CATEGORIA DE EFEITO deve ser 1, 2 ou 3",""),IF(ISLOGICAL(AE12),"","MESTRE VIU deve ser caixa de seleção")))</f>
        <v/>
      </c>
      <c r="AI12">
        <f>IF(ISBLANK(DADOS_INVOC!$BI$12),"",DADOS_INVOC!$BI$12)</f>
        <v/>
      </c>
      <c r="AJ12">
        <f>IF(ISBLANK(DADOS_INVOC!$BJ$12),"",DADOS_INVOC!$BJ$12)</f>
        <v/>
      </c>
      <c r="AK12">
        <f>IF(ISBLANK(DADOS_INVOC!$BK$12),"",DADOS_INVOC!$BK$12)</f>
        <v/>
      </c>
      <c r="AL12">
        <f>IF(ISBLANK(DADOS_INVOC!$BL$12),"",DADOS_INVOC!$BL$12)</f>
        <v/>
      </c>
      <c r="AM12">
        <f>IF('INVOCAÇÕES'!$AB$887="",0,IFERROR(MATCH(SUBSTITUTE(SUBSTITUTE(SUBSTITUTE('INVOCAÇÕES'!$AB$887,"~","~~"),"*","~*"),"?","~?"),'DADOS_ENTIDADES'!$M$2:$M$16,0),0))</f>
        <v/>
      </c>
      <c r="AN12">
        <f>IF(AM12=0,"",IFERROR(INDEX('DADOS_ENTIDADES'!$AQ$2:$AQ$16,AM12)&amp;"",""))</f>
        <v/>
      </c>
      <c r="AO12">
        <f>IF(AM12=0,"",IFERROR(INDEX('DADOS_ENTIDADES'!$AR$2:$AR$16,AM12)&amp;"",""))</f>
        <v/>
      </c>
      <c r="AP12">
        <f>TEXTJOIN(CHAR(10)&amp;CHAR(10),TRUE,IF(AN12="","","DEFINIÇÃO"&amp;CHAR(10)&amp;AN12),IF(AO12="","","EFEITO E REQUISITOS"&amp;CHAR(10)&amp;AO12))</f>
        <v/>
      </c>
      <c r="AQ12">
        <f>IF(M12="","",IF(H7="",IF(J7&gt;0,INDEX('DADOS_ENTIDADES'!$AQ$2:$AQ$6,J7),""),H7))</f>
        <v/>
      </c>
      <c r="AR12">
        <f>IF(M12="","",IF(I7="",IF(J7&gt;0,INDEX('DADOS_ENTIDADES'!$AR$2:$AR$6,J7),""),I7))</f>
        <v/>
      </c>
    </row>
    <row r="13">
      <c r="M13">
        <f>IF(AND(B8&lt;&gt;"",K8=""),B8,"")</f>
        <v/>
      </c>
      <c r="N13">
        <f>IF(M13="",0,IF(D8="",IF(J8&gt;0,INDEX('DADOS_ENTIDADES'!$N$2:$N$6,J8),0),IF(D8="Corpo de criação",1,0)))</f>
        <v/>
      </c>
      <c r="O13">
        <f>IF(M13="",0,IF(E8="",IF(J8&gt;0,INDEX('DADOS_ENTIDADES'!$O$2:$O$6,J8),0),IF(E8="Usa",1,0)))</f>
        <v/>
      </c>
      <c r="P13">
        <f>IF(M13="",0,IF(F8="",IF(J8&gt;0,INDEX('DADOS_ENTIDADES'!$P$2:$P$6,J8),0),IF(F8="Maldição domada",1,0)))</f>
        <v/>
      </c>
      <c r="W13">
        <f>AI12</f>
        <v/>
      </c>
      <c r="Y13" t="n">
        <v>12</v>
      </c>
      <c r="Z13">
        <f>IF(ISBLANK('CONFIGURAÇÃO'!$HX$153),"",'CONFIGURAÇÃO'!$HX$153)</f>
        <v/>
      </c>
      <c r="AA13">
        <f>IF(ISBLANK('CONFIGURAÇÃO'!$IA$155),"",'CONFIGURAÇÃO'!$IA$155)</f>
        <v/>
      </c>
      <c r="AB13">
        <f>IF(ISBLANK('CONFIGURAÇÃO'!$IA$156),"",'CONFIGURAÇÃO'!$IA$156)</f>
        <v/>
      </c>
      <c r="AC13">
        <f>IF(ISBLANK('CONFIGURAÇÃO'!$HX$163),"",'CONFIGURAÇÃO'!$HX$163)</f>
        <v/>
      </c>
      <c r="AD13">
        <f>IF(ISBLANK('CONFIGURAÇÃO'!$HX$168),"",'CONFIGURAÇÃO'!$HX$168)</f>
        <v/>
      </c>
      <c r="AE13">
        <f>IF(ISBLANK('CONFIGURAÇÃO'!$IB$153),"",'CONFIGURAÇÃO'!$IB$153)</f>
        <v/>
      </c>
      <c r="AF13">
        <f>IF(OR(AA13="",AA13="Nenhuma"),0,IFERROR(MATCH(SUBSTITUTE(SUBSTITUTE(SUBSTITUTE(AA13,"~","~~"),"*","~*"),"?","~?"),'DADOS_ENTIDADES'!$AI$2:$AI$15,0),-1))</f>
        <v/>
      </c>
      <c r="AG13">
        <f>IF(Z13="",IF(OR(AB13&lt;&gt;"",AC13&lt;&gt;"",AD13&lt;&gt;"",AE13=TRUE,AND(AA13&lt;&gt;"",AA13&lt;&gt;"Nenhuma")),"Preencha NOME",""),TEXTJOIN(" · ",TRUE,IF(OR(NOT(ISTEXT(Z13)),TRIM(Z13)&lt;&gt;Z13),"NOME precisa ser texto sem espaços nas pontas",""),IF(COUNTIF('DADOS_ENTIDADES'!$Z$2:$Z$21,SUBSTITUTE(SUBSTITUTE(SUBSTITUTE(Z13,"~","~~"),"*","~*"),"?","~?"))+COUNTIF('DADOS_ENTIDADES'!$AI$2:$AI$15,SUBSTITUTE(SUBSTITUTE(SUBSTITUTE(Z13,"~","~~"),"*","~*"),"?","~?"))&gt;1,"Nome repetido no livro ou custom",""),IF(AF13&lt;0,"Escolha uma BASE DO LIVRO válida",""),IF(AND(AB13="",AF13&lt;=0),"Escolha CATEGORIA DE EFEITO",""),IF(AND(AB13&lt;&gt;"",NOT(IFERROR(AND(ISNUMBER(AB13),NOT(ISLOGICAL(AB13)),AB13=INT(AB13),AB13&gt;=1,AB13&lt;=3),FALSE))),"CATEGORIA DE EFEITO deve ser 1, 2 ou 3",""),IF(ISLOGICAL(AE13),"","MESTRE VIU deve ser caixa de seleção")))</f>
        <v/>
      </c>
      <c r="AI13">
        <f>IF(ISBLANK(DADOS_INVOC!$BI$13),"",DADOS_INVOC!$BI$13)</f>
        <v/>
      </c>
      <c r="AJ13">
        <f>IF(ISBLANK(DADOS_INVOC!$BJ$13),"",DADOS_INVOC!$BJ$13)</f>
        <v/>
      </c>
      <c r="AK13">
        <f>IF(ISBLANK(DADOS_INVOC!$BK$13),"",DADOS_INVOC!$BK$13)</f>
        <v/>
      </c>
      <c r="AL13">
        <f>IF(ISBLANK(DADOS_INVOC!$BL$13),"",DADOS_INVOC!$BL$13)</f>
        <v/>
      </c>
      <c r="AM13">
        <f>IF('INVOCAÇÕES'!$AB$1098="",0,IFERROR(MATCH(SUBSTITUTE(SUBSTITUTE(SUBSTITUTE('INVOCAÇÕES'!$AB$1098,"~","~~"),"*","~*"),"?","~?"),'DADOS_ENTIDADES'!$M$2:$M$16,0),0))</f>
        <v/>
      </c>
      <c r="AN13">
        <f>IF(AM13=0,"",IFERROR(INDEX('DADOS_ENTIDADES'!$AQ$2:$AQ$16,AM13)&amp;"",""))</f>
        <v/>
      </c>
      <c r="AO13">
        <f>IF(AM13=0,"",IFERROR(INDEX('DADOS_ENTIDADES'!$AR$2:$AR$16,AM13)&amp;"",""))</f>
        <v/>
      </c>
      <c r="AP13">
        <f>TEXTJOIN(CHAR(10)&amp;CHAR(10),TRUE,IF(AN13="","","DEFINIÇÃO"&amp;CHAR(10)&amp;AN13),IF(AO13="","","EFEITO E REQUISITOS"&amp;CHAR(10)&amp;AO13))</f>
        <v/>
      </c>
      <c r="AQ13">
        <f>IF(M13="","",IF(H8="",IF(J8&gt;0,INDEX('DADOS_ENTIDADES'!$AQ$2:$AQ$6,J8),""),H8))</f>
        <v/>
      </c>
      <c r="AR13">
        <f>IF(M13="","",IF(I8="",IF(J8&gt;0,INDEX('DADOS_ENTIDADES'!$AR$2:$AR$6,J8),""),I8))</f>
        <v/>
      </c>
    </row>
    <row r="14">
      <c r="M14">
        <f>IF(AND(B9&lt;&gt;"",K9=""),B9,"")</f>
        <v/>
      </c>
      <c r="N14">
        <f>IF(M14="",0,IF(D9="",IF(J9&gt;0,INDEX('DADOS_ENTIDADES'!$N$2:$N$6,J9),0),IF(D9="Corpo de criação",1,0)))</f>
        <v/>
      </c>
      <c r="O14">
        <f>IF(M14="",0,IF(E9="",IF(J9&gt;0,INDEX('DADOS_ENTIDADES'!$O$2:$O$6,J9),0),IF(E9="Usa",1,0)))</f>
        <v/>
      </c>
      <c r="P14">
        <f>IF(M14="",0,IF(F9="",IF(J9&gt;0,INDEX('DADOS_ENTIDADES'!$P$2:$P$6,J9),0),IF(F9="Maldição domada",1,0)))</f>
        <v/>
      </c>
      <c r="W14">
        <f>AI13</f>
        <v/>
      </c>
      <c r="Y14" t="n">
        <v>13</v>
      </c>
      <c r="Z14">
        <f>IF(ISBLANK('CONFIGURAÇÃO'!$HP$181),"",'CONFIGURAÇÃO'!$HP$181)</f>
        <v/>
      </c>
      <c r="AA14">
        <f>IF(ISBLANK('CONFIGURAÇÃO'!$HS$183),"",'CONFIGURAÇÃO'!$HS$183)</f>
        <v/>
      </c>
      <c r="AB14">
        <f>IF(ISBLANK('CONFIGURAÇÃO'!$HS$184),"",'CONFIGURAÇÃO'!$HS$184)</f>
        <v/>
      </c>
      <c r="AC14">
        <f>IF(ISBLANK('CONFIGURAÇÃO'!$HP$191),"",'CONFIGURAÇÃO'!$HP$191)</f>
        <v/>
      </c>
      <c r="AD14">
        <f>IF(ISBLANK('CONFIGURAÇÃO'!$HP$196),"",'CONFIGURAÇÃO'!$HP$196)</f>
        <v/>
      </c>
      <c r="AE14">
        <f>IF(ISBLANK('CONFIGURAÇÃO'!$HT$181),"",'CONFIGURAÇÃO'!$HT$181)</f>
        <v/>
      </c>
      <c r="AF14">
        <f>IF(OR(AA14="",AA14="Nenhuma"),0,IFERROR(MATCH(SUBSTITUTE(SUBSTITUTE(SUBSTITUTE(AA14,"~","~~"),"*","~*"),"?","~?"),'DADOS_ENTIDADES'!$AI$2:$AI$15,0),-1))</f>
        <v/>
      </c>
      <c r="AG14">
        <f>IF(Z14="",IF(OR(AB14&lt;&gt;"",AC14&lt;&gt;"",AD14&lt;&gt;"",AE14=TRUE,AND(AA14&lt;&gt;"",AA14&lt;&gt;"Nenhuma")),"Preencha NOME",""),TEXTJOIN(" · ",TRUE,IF(OR(NOT(ISTEXT(Z14)),TRIM(Z14)&lt;&gt;Z14),"NOME precisa ser texto sem espaços nas pontas",""),IF(COUNTIF('DADOS_ENTIDADES'!$Z$2:$Z$21,SUBSTITUTE(SUBSTITUTE(SUBSTITUTE(Z14,"~","~~"),"*","~*"),"?","~?"))+COUNTIF('DADOS_ENTIDADES'!$AI$2:$AI$15,SUBSTITUTE(SUBSTITUTE(SUBSTITUTE(Z14,"~","~~"),"*","~*"),"?","~?"))&gt;1,"Nome repetido no livro ou custom",""),IF(AF14&lt;0,"Escolha uma BASE DO LIVRO válida",""),IF(AND(AB14="",AF14&lt;=0),"Escolha CATEGORIA DE EFEITO",""),IF(AND(AB14&lt;&gt;"",NOT(IFERROR(AND(ISNUMBER(AB14),NOT(ISLOGICAL(AB14)),AB14=INT(AB14),AB14&gt;=1,AB14&lt;=3),FALSE))),"CATEGORIA DE EFEITO deve ser 1, 2 ou 3",""),IF(ISLOGICAL(AE14),"","MESTRE VIU deve ser caixa de seleção")))</f>
        <v/>
      </c>
      <c r="AI14">
        <f>IF(ISBLANK(DADOS_INVOC!$BI$14),"",DADOS_INVOC!$BI$14)</f>
        <v/>
      </c>
      <c r="AJ14">
        <f>IF(ISBLANK(DADOS_INVOC!$BJ$14),"",DADOS_INVOC!$BJ$14)</f>
        <v/>
      </c>
      <c r="AK14">
        <f>IF(ISBLANK(DADOS_INVOC!$BK$14),"",DADOS_INVOC!$BK$14)</f>
        <v/>
      </c>
      <c r="AL14">
        <f>IF(ISBLANK(DADOS_INVOC!$BL$14),"",DADOS_INVOC!$BL$14)</f>
        <v/>
      </c>
      <c r="AQ14">
        <f>IF(M14="","",IF(H9="",IF(J9&gt;0,INDEX('DADOS_ENTIDADES'!$AQ$2:$AQ$6,J9),""),H9))</f>
        <v/>
      </c>
      <c r="AR14">
        <f>IF(M14="","",IF(I9="",IF(J9&gt;0,INDEX('DADOS_ENTIDADES'!$AR$2:$AR$6,J9),""),I9))</f>
        <v/>
      </c>
    </row>
    <row r="15">
      <c r="M15">
        <f>IF(AND(B10&lt;&gt;"",K10=""),B10,"")</f>
        <v/>
      </c>
      <c r="N15">
        <f>IF(M15="",0,IF(D10="",IF(J10&gt;0,INDEX('DADOS_ENTIDADES'!$N$2:$N$6,J10),0),IF(D10="Corpo de criação",1,0)))</f>
        <v/>
      </c>
      <c r="O15">
        <f>IF(M15="",0,IF(E10="",IF(J10&gt;0,INDEX('DADOS_ENTIDADES'!$O$2:$O$6,J10),0),IF(E10="Usa",1,0)))</f>
        <v/>
      </c>
      <c r="P15">
        <f>IF(M15="",0,IF(F10="",IF(J10&gt;0,INDEX('DADOS_ENTIDADES'!$P$2:$P$6,J10),0),IF(F10="Maldição domada",1,0)))</f>
        <v/>
      </c>
      <c r="W15">
        <f>AI14</f>
        <v/>
      </c>
      <c r="Y15" t="n">
        <v>14</v>
      </c>
      <c r="Z15">
        <f>IF(ISBLANK('CONFIGURAÇÃO'!$HX$181),"",'CONFIGURAÇÃO'!$HX$181)</f>
        <v/>
      </c>
      <c r="AA15">
        <f>IF(ISBLANK('CONFIGURAÇÃO'!$IA$183),"",'CONFIGURAÇÃO'!$IA$183)</f>
        <v/>
      </c>
      <c r="AB15">
        <f>IF(ISBLANK('CONFIGURAÇÃO'!$IA$184),"",'CONFIGURAÇÃO'!$IA$184)</f>
        <v/>
      </c>
      <c r="AC15">
        <f>IF(ISBLANK('CONFIGURAÇÃO'!$HX$191),"",'CONFIGURAÇÃO'!$HX$191)</f>
        <v/>
      </c>
      <c r="AD15">
        <f>IF(ISBLANK('CONFIGURAÇÃO'!$HX$196),"",'CONFIGURAÇÃO'!$HX$196)</f>
        <v/>
      </c>
      <c r="AE15">
        <f>IF(ISBLANK('CONFIGURAÇÃO'!$IB$181),"",'CONFIGURAÇÃO'!$IB$181)</f>
        <v/>
      </c>
      <c r="AF15">
        <f>IF(OR(AA15="",AA15="Nenhuma"),0,IFERROR(MATCH(SUBSTITUTE(SUBSTITUTE(SUBSTITUTE(AA15,"~","~~"),"*","~*"),"?","~?"),'DADOS_ENTIDADES'!$AI$2:$AI$15,0),-1))</f>
        <v/>
      </c>
      <c r="AG15">
        <f>IF(Z15="",IF(OR(AB15&lt;&gt;"",AC15&lt;&gt;"",AD15&lt;&gt;"",AE15=TRUE,AND(AA15&lt;&gt;"",AA15&lt;&gt;"Nenhuma")),"Preencha NOME",""),TEXTJOIN(" · ",TRUE,IF(OR(NOT(ISTEXT(Z15)),TRIM(Z15)&lt;&gt;Z15),"NOME precisa ser texto sem espaços nas pontas",""),IF(COUNTIF('DADOS_ENTIDADES'!$Z$2:$Z$21,SUBSTITUTE(SUBSTITUTE(SUBSTITUTE(Z15,"~","~~"),"*","~*"),"?","~?"))+COUNTIF('DADOS_ENTIDADES'!$AI$2:$AI$15,SUBSTITUTE(SUBSTITUTE(SUBSTITUTE(Z15,"~","~~"),"*","~*"),"?","~?"))&gt;1,"Nome repetido no livro ou custom",""),IF(AF15&lt;0,"Escolha uma BASE DO LIVRO válida",""),IF(AND(AB15="",AF15&lt;=0),"Escolha CATEGORIA DE EFEITO",""),IF(AND(AB15&lt;&gt;"",NOT(IFERROR(AND(ISNUMBER(AB15),NOT(ISLOGICAL(AB15)),AB15=INT(AB15),AB15&gt;=1,AB15&lt;=3),FALSE))),"CATEGORIA DE EFEITO deve ser 1, 2 ou 3",""),IF(ISLOGICAL(AE15),"","MESTRE VIU deve ser caixa de seleção")))</f>
        <v/>
      </c>
      <c r="AI15">
        <f>IF(ISBLANK(DADOS_INVOC!$BI$15),"",DADOS_INVOC!$BI$15)</f>
        <v/>
      </c>
      <c r="AJ15">
        <f>IF(ISBLANK(DADOS_INVOC!$BJ$15),"",DADOS_INVOC!$BJ$15)</f>
        <v/>
      </c>
      <c r="AK15">
        <f>IF(ISBLANK(DADOS_INVOC!$BK$15),"",DADOS_INVOC!$BK$15)</f>
        <v/>
      </c>
      <c r="AL15">
        <f>IF(ISBLANK(DADOS_INVOC!$BL$15),"",DADOS_INVOC!$BL$15)</f>
        <v/>
      </c>
      <c r="AQ15">
        <f>IF(M15="","",IF(H10="",IF(J10&gt;0,INDEX('DADOS_ENTIDADES'!$AQ$2:$AQ$6,J10),""),H10))</f>
        <v/>
      </c>
      <c r="AR15">
        <f>IF(M15="","",IF(I10="",IF(J10&gt;0,INDEX('DADOS_ENTIDADES'!$AR$2:$AR$6,J10),""),I10))</f>
        <v/>
      </c>
    </row>
    <row r="16">
      <c r="M16">
        <f>IF(AND(B11&lt;&gt;"",K11=""),B11,"")</f>
        <v/>
      </c>
      <c r="N16">
        <f>IF(M16="",0,IF(D11="",IF(J11&gt;0,INDEX('DADOS_ENTIDADES'!$N$2:$N$6,J11),0),IF(D11="Corpo de criação",1,0)))</f>
        <v/>
      </c>
      <c r="O16">
        <f>IF(M16="",0,IF(E11="",IF(J11&gt;0,INDEX('DADOS_ENTIDADES'!$O$2:$O$6,J11),0),IF(E11="Usa",1,0)))</f>
        <v/>
      </c>
      <c r="P16">
        <f>IF(M16="",0,IF(F11="",IF(J11&gt;0,INDEX('DADOS_ENTIDADES'!$P$2:$P$6,J11),0),IF(F11="Maldição domada",1,0)))</f>
        <v/>
      </c>
      <c r="W16">
        <f>AI15</f>
        <v/>
      </c>
      <c r="Y16" t="n">
        <v>15</v>
      </c>
      <c r="Z16">
        <f>IF(ISBLANK('CONFIGURAÇÃO'!$HP$209),"",'CONFIGURAÇÃO'!$HP$209)</f>
        <v/>
      </c>
      <c r="AA16">
        <f>IF(ISBLANK('CONFIGURAÇÃO'!$HS$211),"",'CONFIGURAÇÃO'!$HS$211)</f>
        <v/>
      </c>
      <c r="AB16">
        <f>IF(ISBLANK('CONFIGURAÇÃO'!$HS$212),"",'CONFIGURAÇÃO'!$HS$212)</f>
        <v/>
      </c>
      <c r="AC16">
        <f>IF(ISBLANK('CONFIGURAÇÃO'!$HP$219),"",'CONFIGURAÇÃO'!$HP$219)</f>
        <v/>
      </c>
      <c r="AD16">
        <f>IF(ISBLANK('CONFIGURAÇÃO'!$HP$224),"",'CONFIGURAÇÃO'!$HP$224)</f>
        <v/>
      </c>
      <c r="AE16">
        <f>IF(ISBLANK('CONFIGURAÇÃO'!$HT$209),"",'CONFIGURAÇÃO'!$HT$209)</f>
        <v/>
      </c>
      <c r="AF16">
        <f>IF(OR(AA16="",AA16="Nenhuma"),0,IFERROR(MATCH(SUBSTITUTE(SUBSTITUTE(SUBSTITUTE(AA16,"~","~~"),"*","~*"),"?","~?"),'DADOS_ENTIDADES'!$AI$2:$AI$15,0),-1))</f>
        <v/>
      </c>
      <c r="AG16">
        <f>IF(Z16="",IF(OR(AB16&lt;&gt;"",AC16&lt;&gt;"",AD16&lt;&gt;"",AE16=TRUE,AND(AA16&lt;&gt;"",AA16&lt;&gt;"Nenhuma")),"Preencha NOME",""),TEXTJOIN(" · ",TRUE,IF(OR(NOT(ISTEXT(Z16)),TRIM(Z16)&lt;&gt;Z16),"NOME precisa ser texto sem espaços nas pontas",""),IF(COUNTIF('DADOS_ENTIDADES'!$Z$2:$Z$21,SUBSTITUTE(SUBSTITUTE(SUBSTITUTE(Z16,"~","~~"),"*","~*"),"?","~?"))+COUNTIF('DADOS_ENTIDADES'!$AI$2:$AI$15,SUBSTITUTE(SUBSTITUTE(SUBSTITUTE(Z16,"~","~~"),"*","~*"),"?","~?"))&gt;1,"Nome repetido no livro ou custom",""),IF(AF16&lt;0,"Escolha uma BASE DO LIVRO válida",""),IF(AND(AB16="",AF16&lt;=0),"Escolha CATEGORIA DE EFEITO",""),IF(AND(AB16&lt;&gt;"",NOT(IFERROR(AND(ISNUMBER(AB16),NOT(ISLOGICAL(AB16)),AB16=INT(AB16),AB16&gt;=1,AB16&lt;=3),FALSE))),"CATEGORIA DE EFEITO deve ser 1, 2 ou 3",""),IF(ISLOGICAL(AE16),"","MESTRE VIU deve ser caixa de seleção")))</f>
        <v/>
      </c>
      <c r="AI16">
        <f>IF(AND(Z2&lt;&gt;"",AG2=""),Z2,"")</f>
        <v/>
      </c>
      <c r="AJ16">
        <f>IF(AI16="",0,IF(AB2="",IF(AF2&gt;0,INDEX('DADOS_ENTIDADES'!$AJ$2:$AJ$15,AF2),0),VALUE(AB2&amp;"")))</f>
        <v/>
      </c>
      <c r="AK16">
        <f>IF(AI16="","",IF(AD2="",IF(AF2&gt;0,INDEX('DADOS_ENTIDADES'!$AK$2:$AK$15,AF2),""),AD2)&amp;IF(AC2="","",CHAR(10)&amp;"Requisitos: "&amp;AC2))</f>
        <v/>
      </c>
      <c r="AL16">
        <f>IF(AND(AI16&lt;&gt;"",AJ16=1),AI16,"")</f>
        <v/>
      </c>
      <c r="AQ16">
        <f>IF(M16="","",IF(H11="",IF(J11&gt;0,INDEX('DADOS_ENTIDADES'!$AQ$2:$AQ$6,J11),""),H11))</f>
        <v/>
      </c>
      <c r="AR16">
        <f>IF(M16="","",IF(I11="",IF(J11&gt;0,INDEX('DADOS_ENTIDADES'!$AR$2:$AR$6,J11),""),I11))</f>
        <v/>
      </c>
    </row>
    <row r="17">
      <c r="Y17" t="n">
        <v>16</v>
      </c>
      <c r="Z17">
        <f>IF(ISBLANK('CONFIGURAÇÃO'!$HX$209),"",'CONFIGURAÇÃO'!$HX$209)</f>
        <v/>
      </c>
      <c r="AA17">
        <f>IF(ISBLANK('CONFIGURAÇÃO'!$IA$211),"",'CONFIGURAÇÃO'!$IA$211)</f>
        <v/>
      </c>
      <c r="AB17">
        <f>IF(ISBLANK('CONFIGURAÇÃO'!$IA$212),"",'CONFIGURAÇÃO'!$IA$212)</f>
        <v/>
      </c>
      <c r="AC17">
        <f>IF(ISBLANK('CONFIGURAÇÃO'!$HX$219),"",'CONFIGURAÇÃO'!$HX$219)</f>
        <v/>
      </c>
      <c r="AD17">
        <f>IF(ISBLANK('CONFIGURAÇÃO'!$HX$224),"",'CONFIGURAÇÃO'!$HX$224)</f>
        <v/>
      </c>
      <c r="AE17">
        <f>IF(ISBLANK('CONFIGURAÇÃO'!$IB$209),"",'CONFIGURAÇÃO'!$IB$209)</f>
        <v/>
      </c>
      <c r="AF17">
        <f>IF(OR(AA17="",AA17="Nenhuma"),0,IFERROR(MATCH(SUBSTITUTE(SUBSTITUTE(SUBSTITUTE(AA17,"~","~~"),"*","~*"),"?","~?"),'DADOS_ENTIDADES'!$AI$2:$AI$15,0),-1))</f>
        <v/>
      </c>
      <c r="AG17">
        <f>IF(Z17="",IF(OR(AB17&lt;&gt;"",AC17&lt;&gt;"",AD17&lt;&gt;"",AE17=TRUE,AND(AA17&lt;&gt;"",AA17&lt;&gt;"Nenhuma")),"Preencha NOME",""),TEXTJOIN(" · ",TRUE,IF(OR(NOT(ISTEXT(Z17)),TRIM(Z17)&lt;&gt;Z17),"NOME precisa ser texto sem espaços nas pontas",""),IF(COUNTIF('DADOS_ENTIDADES'!$Z$2:$Z$21,SUBSTITUTE(SUBSTITUTE(SUBSTITUTE(Z17,"~","~~"),"*","~*"),"?","~?"))+COUNTIF('DADOS_ENTIDADES'!$AI$2:$AI$15,SUBSTITUTE(SUBSTITUTE(SUBSTITUTE(Z17,"~","~~"),"*","~*"),"?","~?"))&gt;1,"Nome repetido no livro ou custom",""),IF(AF17&lt;0,"Escolha uma BASE DO LIVRO válida",""),IF(AND(AB17="",AF17&lt;=0),"Escolha CATEGORIA DE EFEITO",""),IF(AND(AB17&lt;&gt;"",NOT(IFERROR(AND(ISNUMBER(AB17),NOT(ISLOGICAL(AB17)),AB17=INT(AB17),AB17&gt;=1,AB17&lt;=3),FALSE))),"CATEGORIA DE EFEITO deve ser 1, 2 ou 3",""),IF(ISLOGICAL(AE17),"","MESTRE VIU deve ser caixa de seleção")))</f>
        <v/>
      </c>
      <c r="AI17">
        <f>IF(AND(Z3&lt;&gt;"",AG3=""),Z3,"")</f>
        <v/>
      </c>
      <c r="AJ17">
        <f>IF(AI17="",0,IF(AB3="",IF(AF3&gt;0,INDEX('DADOS_ENTIDADES'!$AJ$2:$AJ$15,AF3),0),VALUE(AB3&amp;"")))</f>
        <v/>
      </c>
      <c r="AK17">
        <f>IF(AI17="","",IF(AD3="",IF(AF3&gt;0,INDEX('DADOS_ENTIDADES'!$AK$2:$AK$15,AF3),""),AD3)&amp;IF(AC3="","",CHAR(10)&amp;"Requisitos: "&amp;AC3))</f>
        <v/>
      </c>
      <c r="AL17">
        <f>IF(AND(AI17&lt;&gt;"",AJ17=1),AI17,"")</f>
        <v/>
      </c>
    </row>
    <row r="18">
      <c r="Y18" t="n">
        <v>17</v>
      </c>
      <c r="Z18">
        <f>IF(ISBLANK('CONFIGURAÇÃO'!$HP$237),"",'CONFIGURAÇÃO'!$HP$237)</f>
        <v/>
      </c>
      <c r="AA18">
        <f>IF(ISBLANK('CONFIGURAÇÃO'!$HS$239),"",'CONFIGURAÇÃO'!$HS$239)</f>
        <v/>
      </c>
      <c r="AB18">
        <f>IF(ISBLANK('CONFIGURAÇÃO'!$HS$240),"",'CONFIGURAÇÃO'!$HS$240)</f>
        <v/>
      </c>
      <c r="AC18">
        <f>IF(ISBLANK('CONFIGURAÇÃO'!$HP$247),"",'CONFIGURAÇÃO'!$HP$247)</f>
        <v/>
      </c>
      <c r="AD18">
        <f>IF(ISBLANK('CONFIGURAÇÃO'!$HP$252),"",'CONFIGURAÇÃO'!$HP$252)</f>
        <v/>
      </c>
      <c r="AE18">
        <f>IF(ISBLANK('CONFIGURAÇÃO'!$HT$237),"",'CONFIGURAÇÃO'!$HT$237)</f>
        <v/>
      </c>
      <c r="AF18">
        <f>IF(OR(AA18="",AA18="Nenhuma"),0,IFERROR(MATCH(SUBSTITUTE(SUBSTITUTE(SUBSTITUTE(AA18,"~","~~"),"*","~*"),"?","~?"),'DADOS_ENTIDADES'!$AI$2:$AI$15,0),-1))</f>
        <v/>
      </c>
      <c r="AG18">
        <f>IF(Z18="",IF(OR(AB18&lt;&gt;"",AC18&lt;&gt;"",AD18&lt;&gt;"",AE18=TRUE,AND(AA18&lt;&gt;"",AA18&lt;&gt;"Nenhuma")),"Preencha NOME",""),TEXTJOIN(" · ",TRUE,IF(OR(NOT(ISTEXT(Z18)),TRIM(Z18)&lt;&gt;Z18),"NOME precisa ser texto sem espaços nas pontas",""),IF(COUNTIF('DADOS_ENTIDADES'!$Z$2:$Z$21,SUBSTITUTE(SUBSTITUTE(SUBSTITUTE(Z18,"~","~~"),"*","~*"),"?","~?"))+COUNTIF('DADOS_ENTIDADES'!$AI$2:$AI$15,SUBSTITUTE(SUBSTITUTE(SUBSTITUTE(Z18,"~","~~"),"*","~*"),"?","~?"))&gt;1,"Nome repetido no livro ou custom",""),IF(AF18&lt;0,"Escolha uma BASE DO LIVRO válida",""),IF(AND(AB18="",AF18&lt;=0),"Escolha CATEGORIA DE EFEITO",""),IF(AND(AB18&lt;&gt;"",NOT(IFERROR(AND(ISNUMBER(AB18),NOT(ISLOGICAL(AB18)),AB18=INT(AB18),AB18&gt;=1,AB18&lt;=3),FALSE))),"CATEGORIA DE EFEITO deve ser 1, 2 ou 3",""),IF(ISLOGICAL(AE18),"","MESTRE VIU deve ser caixa de seleção")))</f>
        <v/>
      </c>
      <c r="AI18">
        <f>IF(AND(Z4&lt;&gt;"",AG4=""),Z4,"")</f>
        <v/>
      </c>
      <c r="AJ18">
        <f>IF(AI18="",0,IF(AB4="",IF(AF4&gt;0,INDEX('DADOS_ENTIDADES'!$AJ$2:$AJ$15,AF4),0),VALUE(AB4&amp;"")))</f>
        <v/>
      </c>
      <c r="AK18">
        <f>IF(AI18="","",IF(AD4="",IF(AF4&gt;0,INDEX('DADOS_ENTIDADES'!$AK$2:$AK$15,AF4),""),AD4)&amp;IF(AC4="","",CHAR(10)&amp;"Requisitos: "&amp;AC4))</f>
        <v/>
      </c>
      <c r="AL18">
        <f>IF(AND(AI18&lt;&gt;"",AJ18=1),AI18,"")</f>
        <v/>
      </c>
    </row>
    <row r="19">
      <c r="Y19" t="n">
        <v>18</v>
      </c>
      <c r="Z19">
        <f>IF(ISBLANK('CONFIGURAÇÃO'!$HX$237),"",'CONFIGURAÇÃO'!$HX$237)</f>
        <v/>
      </c>
      <c r="AA19">
        <f>IF(ISBLANK('CONFIGURAÇÃO'!$IA$239),"",'CONFIGURAÇÃO'!$IA$239)</f>
        <v/>
      </c>
      <c r="AB19">
        <f>IF(ISBLANK('CONFIGURAÇÃO'!$IA$240),"",'CONFIGURAÇÃO'!$IA$240)</f>
        <v/>
      </c>
      <c r="AC19">
        <f>IF(ISBLANK('CONFIGURAÇÃO'!$HX$247),"",'CONFIGURAÇÃO'!$HX$247)</f>
        <v/>
      </c>
      <c r="AD19">
        <f>IF(ISBLANK('CONFIGURAÇÃO'!$HX$252),"",'CONFIGURAÇÃO'!$HX$252)</f>
        <v/>
      </c>
      <c r="AE19">
        <f>IF(ISBLANK('CONFIGURAÇÃO'!$IB$237),"",'CONFIGURAÇÃO'!$IB$237)</f>
        <v/>
      </c>
      <c r="AF19">
        <f>IF(OR(AA19="",AA19="Nenhuma"),0,IFERROR(MATCH(SUBSTITUTE(SUBSTITUTE(SUBSTITUTE(AA19,"~","~~"),"*","~*"),"?","~?"),'DADOS_ENTIDADES'!$AI$2:$AI$15,0),-1))</f>
        <v/>
      </c>
      <c r="AG19">
        <f>IF(Z19="",IF(OR(AB19&lt;&gt;"",AC19&lt;&gt;"",AD19&lt;&gt;"",AE19=TRUE,AND(AA19&lt;&gt;"",AA19&lt;&gt;"Nenhuma")),"Preencha NOME",""),TEXTJOIN(" · ",TRUE,IF(OR(NOT(ISTEXT(Z19)),TRIM(Z19)&lt;&gt;Z19),"NOME precisa ser texto sem espaços nas pontas",""),IF(COUNTIF('DADOS_ENTIDADES'!$Z$2:$Z$21,SUBSTITUTE(SUBSTITUTE(SUBSTITUTE(Z19,"~","~~"),"*","~*"),"?","~?"))+COUNTIF('DADOS_ENTIDADES'!$AI$2:$AI$15,SUBSTITUTE(SUBSTITUTE(SUBSTITUTE(Z19,"~","~~"),"*","~*"),"?","~?"))&gt;1,"Nome repetido no livro ou custom",""),IF(AF19&lt;0,"Escolha uma BASE DO LIVRO válida",""),IF(AND(AB19="",AF19&lt;=0),"Escolha CATEGORIA DE EFEITO",""),IF(AND(AB19&lt;&gt;"",NOT(IFERROR(AND(ISNUMBER(AB19),NOT(ISLOGICAL(AB19)),AB19=INT(AB19),AB19&gt;=1,AB19&lt;=3),FALSE))),"CATEGORIA DE EFEITO deve ser 1, 2 ou 3",""),IF(ISLOGICAL(AE19),"","MESTRE VIU deve ser caixa de seleção")))</f>
        <v/>
      </c>
      <c r="AI19">
        <f>IF(AND(Z5&lt;&gt;"",AG5=""),Z5,"")</f>
        <v/>
      </c>
      <c r="AJ19">
        <f>IF(AI19="",0,IF(AB5="",IF(AF5&gt;0,INDEX('DADOS_ENTIDADES'!$AJ$2:$AJ$15,AF5),0),VALUE(AB5&amp;"")))</f>
        <v/>
      </c>
      <c r="AK19">
        <f>IF(AI19="","",IF(AD5="",IF(AF5&gt;0,INDEX('DADOS_ENTIDADES'!$AK$2:$AK$15,AF5),""),AD5)&amp;IF(AC5="","",CHAR(10)&amp;"Requisitos: "&amp;AC5))</f>
        <v/>
      </c>
      <c r="AL19">
        <f>IF(AND(AI19&lt;&gt;"",AJ19=1),AI19,"")</f>
        <v/>
      </c>
    </row>
    <row r="20">
      <c r="Y20" t="n">
        <v>19</v>
      </c>
      <c r="Z20">
        <f>IF(ISBLANK('CONFIGURAÇÃO'!$HP$265),"",'CONFIGURAÇÃO'!$HP$265)</f>
        <v/>
      </c>
      <c r="AA20">
        <f>IF(ISBLANK('CONFIGURAÇÃO'!$HS$267),"",'CONFIGURAÇÃO'!$HS$267)</f>
        <v/>
      </c>
      <c r="AB20">
        <f>IF(ISBLANK('CONFIGURAÇÃO'!$HS$268),"",'CONFIGURAÇÃO'!$HS$268)</f>
        <v/>
      </c>
      <c r="AC20">
        <f>IF(ISBLANK('CONFIGURAÇÃO'!$HP$275),"",'CONFIGURAÇÃO'!$HP$275)</f>
        <v/>
      </c>
      <c r="AD20">
        <f>IF(ISBLANK('CONFIGURAÇÃO'!$HP$280),"",'CONFIGURAÇÃO'!$HP$280)</f>
        <v/>
      </c>
      <c r="AE20">
        <f>IF(ISBLANK('CONFIGURAÇÃO'!$HT$265),"",'CONFIGURAÇÃO'!$HT$265)</f>
        <v/>
      </c>
      <c r="AF20">
        <f>IF(OR(AA20="",AA20="Nenhuma"),0,IFERROR(MATCH(SUBSTITUTE(SUBSTITUTE(SUBSTITUTE(AA20,"~","~~"),"*","~*"),"?","~?"),'DADOS_ENTIDADES'!$AI$2:$AI$15,0),-1))</f>
        <v/>
      </c>
      <c r="AG20">
        <f>IF(Z20="",IF(OR(AB20&lt;&gt;"",AC20&lt;&gt;"",AD20&lt;&gt;"",AE20=TRUE,AND(AA20&lt;&gt;"",AA20&lt;&gt;"Nenhuma")),"Preencha NOME",""),TEXTJOIN(" · ",TRUE,IF(OR(NOT(ISTEXT(Z20)),TRIM(Z20)&lt;&gt;Z20),"NOME precisa ser texto sem espaços nas pontas",""),IF(COUNTIF('DADOS_ENTIDADES'!$Z$2:$Z$21,SUBSTITUTE(SUBSTITUTE(SUBSTITUTE(Z20,"~","~~"),"*","~*"),"?","~?"))+COUNTIF('DADOS_ENTIDADES'!$AI$2:$AI$15,SUBSTITUTE(SUBSTITUTE(SUBSTITUTE(Z20,"~","~~"),"*","~*"),"?","~?"))&gt;1,"Nome repetido no livro ou custom",""),IF(AF20&lt;0,"Escolha uma BASE DO LIVRO válida",""),IF(AND(AB20="",AF20&lt;=0),"Escolha CATEGORIA DE EFEITO",""),IF(AND(AB20&lt;&gt;"",NOT(IFERROR(AND(ISNUMBER(AB20),NOT(ISLOGICAL(AB20)),AB20=INT(AB20),AB20&gt;=1,AB20&lt;=3),FALSE))),"CATEGORIA DE EFEITO deve ser 1, 2 ou 3",""),IF(ISLOGICAL(AE20),"","MESTRE VIU deve ser caixa de seleção")))</f>
        <v/>
      </c>
      <c r="AI20">
        <f>IF(AND(Z6&lt;&gt;"",AG6=""),Z6,"")</f>
        <v/>
      </c>
      <c r="AJ20">
        <f>IF(AI20="",0,IF(AB6="",IF(AF6&gt;0,INDEX('DADOS_ENTIDADES'!$AJ$2:$AJ$15,AF6),0),VALUE(AB6&amp;"")))</f>
        <v/>
      </c>
      <c r="AK20">
        <f>IF(AI20="","",IF(AD6="",IF(AF6&gt;0,INDEX('DADOS_ENTIDADES'!$AK$2:$AK$15,AF6),""),AD6)&amp;IF(AC6="","",CHAR(10)&amp;"Requisitos: "&amp;AC6))</f>
        <v/>
      </c>
      <c r="AL20">
        <f>IF(AND(AI20&lt;&gt;"",AJ20=1),AI20,"")</f>
        <v/>
      </c>
    </row>
    <row r="21">
      <c r="Y21" t="n">
        <v>20</v>
      </c>
      <c r="Z21">
        <f>IF(ISBLANK('CONFIGURAÇÃO'!$HX$265),"",'CONFIGURAÇÃO'!$HX$265)</f>
        <v/>
      </c>
      <c r="AA21">
        <f>IF(ISBLANK('CONFIGURAÇÃO'!$IA$267),"",'CONFIGURAÇÃO'!$IA$267)</f>
        <v/>
      </c>
      <c r="AB21">
        <f>IF(ISBLANK('CONFIGURAÇÃO'!$IA$268),"",'CONFIGURAÇÃO'!$IA$268)</f>
        <v/>
      </c>
      <c r="AC21">
        <f>IF(ISBLANK('CONFIGURAÇÃO'!$HX$275),"",'CONFIGURAÇÃO'!$HX$275)</f>
        <v/>
      </c>
      <c r="AD21">
        <f>IF(ISBLANK('CONFIGURAÇÃO'!$HX$280),"",'CONFIGURAÇÃO'!$HX$280)</f>
        <v/>
      </c>
      <c r="AE21">
        <f>IF(ISBLANK('CONFIGURAÇÃO'!$IB$265),"",'CONFIGURAÇÃO'!$IB$265)</f>
        <v/>
      </c>
      <c r="AF21">
        <f>IF(OR(AA21="",AA21="Nenhuma"),0,IFERROR(MATCH(SUBSTITUTE(SUBSTITUTE(SUBSTITUTE(AA21,"~","~~"),"*","~*"),"?","~?"),'DADOS_ENTIDADES'!$AI$2:$AI$15,0),-1))</f>
        <v/>
      </c>
      <c r="AG21">
        <f>IF(Z21="",IF(OR(AB21&lt;&gt;"",AC21&lt;&gt;"",AD21&lt;&gt;"",AE21=TRUE,AND(AA21&lt;&gt;"",AA21&lt;&gt;"Nenhuma")),"Preencha NOME",""),TEXTJOIN(" · ",TRUE,IF(OR(NOT(ISTEXT(Z21)),TRIM(Z21)&lt;&gt;Z21),"NOME precisa ser texto sem espaços nas pontas",""),IF(COUNTIF('DADOS_ENTIDADES'!$Z$2:$Z$21,SUBSTITUTE(SUBSTITUTE(SUBSTITUTE(Z21,"~","~~"),"*","~*"),"?","~?"))+COUNTIF('DADOS_ENTIDADES'!$AI$2:$AI$15,SUBSTITUTE(SUBSTITUTE(SUBSTITUTE(Z21,"~","~~"),"*","~*"),"?","~?"))&gt;1,"Nome repetido no livro ou custom",""),IF(AF21&lt;0,"Escolha uma BASE DO LIVRO válida",""),IF(AND(AB21="",AF21&lt;=0),"Escolha CATEGORIA DE EFEITO",""),IF(AND(AB21&lt;&gt;"",NOT(IFERROR(AND(ISNUMBER(AB21),NOT(ISLOGICAL(AB21)),AB21=INT(AB21),AB21&gt;=1,AB21&lt;=3),FALSE))),"CATEGORIA DE EFEITO deve ser 1, 2 ou 3",""),IF(ISLOGICAL(AE21),"","MESTRE VIU deve ser caixa de seleção")))</f>
        <v/>
      </c>
      <c r="AI21">
        <f>IF(AND(Z7&lt;&gt;"",AG7=""),Z7,"")</f>
        <v/>
      </c>
      <c r="AJ21">
        <f>IF(AI21="",0,IF(AB7="",IF(AF7&gt;0,INDEX('DADOS_ENTIDADES'!$AJ$2:$AJ$15,AF7),0),VALUE(AB7&amp;"")))</f>
        <v/>
      </c>
      <c r="AK21">
        <f>IF(AI21="","",IF(AD7="",IF(AF7&gt;0,INDEX('DADOS_ENTIDADES'!$AK$2:$AK$15,AF7),""),AD7)&amp;IF(AC7="","",CHAR(10)&amp;"Requisitos: "&amp;AC7))</f>
        <v/>
      </c>
      <c r="AL21">
        <f>IF(AND(AI21&lt;&gt;"",AJ21=1),AI21,"")</f>
        <v/>
      </c>
    </row>
    <row r="22">
      <c r="AI22">
        <f>IF(AND(Z8&lt;&gt;"",AG8=""),Z8,"")</f>
        <v/>
      </c>
      <c r="AJ22">
        <f>IF(AI22="",0,IF(AB8="",IF(AF8&gt;0,INDEX('DADOS_ENTIDADES'!$AJ$2:$AJ$15,AF8),0),VALUE(AB8&amp;"")))</f>
        <v/>
      </c>
      <c r="AK22">
        <f>IF(AI22="","",IF(AD8="",IF(AF8&gt;0,INDEX('DADOS_ENTIDADES'!$AK$2:$AK$15,AF8),""),AD8)&amp;IF(AC8="","",CHAR(10)&amp;"Requisitos: "&amp;AC8))</f>
        <v/>
      </c>
      <c r="AL22">
        <f>IF(AND(AI22&lt;&gt;"",AJ22=1),AI22,"")</f>
        <v/>
      </c>
    </row>
    <row r="23">
      <c r="AI23">
        <f>IF(AND(Z9&lt;&gt;"",AG9=""),Z9,"")</f>
        <v/>
      </c>
      <c r="AJ23">
        <f>IF(AI23="",0,IF(AB9="",IF(AF9&gt;0,INDEX('DADOS_ENTIDADES'!$AJ$2:$AJ$15,AF9),0),VALUE(AB9&amp;"")))</f>
        <v/>
      </c>
      <c r="AK23">
        <f>IF(AI23="","",IF(AD9="",IF(AF9&gt;0,INDEX('DADOS_ENTIDADES'!$AK$2:$AK$15,AF9),""),AD9)&amp;IF(AC9="","",CHAR(10)&amp;"Requisitos: "&amp;AC9))</f>
        <v/>
      </c>
      <c r="AL23">
        <f>IF(AND(AI23&lt;&gt;"",AJ23=1),AI23,"")</f>
        <v/>
      </c>
    </row>
    <row r="24">
      <c r="AI24">
        <f>IF(AND(Z10&lt;&gt;"",AG10=""),Z10,"")</f>
        <v/>
      </c>
      <c r="AJ24">
        <f>IF(AI24="",0,IF(AB10="",IF(AF10&gt;0,INDEX('DADOS_ENTIDADES'!$AJ$2:$AJ$15,AF10),0),VALUE(AB10&amp;"")))</f>
        <v/>
      </c>
      <c r="AK24">
        <f>IF(AI24="","",IF(AD10="",IF(AF10&gt;0,INDEX('DADOS_ENTIDADES'!$AK$2:$AK$15,AF10),""),AD10)&amp;IF(AC10="","",CHAR(10)&amp;"Requisitos: "&amp;AC10))</f>
        <v/>
      </c>
      <c r="AL24">
        <f>IF(AND(AI24&lt;&gt;"",AJ24=1),AI24,"")</f>
        <v/>
      </c>
    </row>
    <row r="25">
      <c r="AI25">
        <f>IF(AND(Z11&lt;&gt;"",AG11=""),Z11,"")</f>
        <v/>
      </c>
      <c r="AJ25">
        <f>IF(AI25="",0,IF(AB11="",IF(AF11&gt;0,INDEX('DADOS_ENTIDADES'!$AJ$2:$AJ$15,AF11),0),VALUE(AB11&amp;"")))</f>
        <v/>
      </c>
      <c r="AK25">
        <f>IF(AI25="","",IF(AD11="",IF(AF11&gt;0,INDEX('DADOS_ENTIDADES'!$AK$2:$AK$15,AF11),""),AD11)&amp;IF(AC11="","",CHAR(10)&amp;"Requisitos: "&amp;AC11))</f>
        <v/>
      </c>
      <c r="AL25">
        <f>IF(AND(AI25&lt;&gt;"",AJ25=1),AI25,"")</f>
        <v/>
      </c>
    </row>
    <row r="26">
      <c r="AI26">
        <f>IF(AND(Z12&lt;&gt;"",AG12=""),Z12,"")</f>
        <v/>
      </c>
      <c r="AJ26">
        <f>IF(AI26="",0,IF(AB12="",IF(AF12&gt;0,INDEX('DADOS_ENTIDADES'!$AJ$2:$AJ$15,AF12),0),VALUE(AB12&amp;"")))</f>
        <v/>
      </c>
      <c r="AK26">
        <f>IF(AI26="","",IF(AD12="",IF(AF12&gt;0,INDEX('DADOS_ENTIDADES'!$AK$2:$AK$15,AF12),""),AD12)&amp;IF(AC12="","",CHAR(10)&amp;"Requisitos: "&amp;AC12))</f>
        <v/>
      </c>
      <c r="AL26">
        <f>IF(AND(AI26&lt;&gt;"",AJ26=1),AI26,"")</f>
        <v/>
      </c>
    </row>
    <row r="27">
      <c r="AI27">
        <f>IF(AND(Z13&lt;&gt;"",AG13=""),Z13,"")</f>
        <v/>
      </c>
      <c r="AJ27">
        <f>IF(AI27="",0,IF(AB13="",IF(AF13&gt;0,INDEX('DADOS_ENTIDADES'!$AJ$2:$AJ$15,AF13),0),VALUE(AB13&amp;"")))</f>
        <v/>
      </c>
      <c r="AK27">
        <f>IF(AI27="","",IF(AD13="",IF(AF13&gt;0,INDEX('DADOS_ENTIDADES'!$AK$2:$AK$15,AF13),""),AD13)&amp;IF(AC13="","",CHAR(10)&amp;"Requisitos: "&amp;AC13))</f>
        <v/>
      </c>
      <c r="AL27">
        <f>IF(AND(AI27&lt;&gt;"",AJ27=1),AI27,"")</f>
        <v/>
      </c>
    </row>
    <row r="28">
      <c r="AI28">
        <f>IF(AND(Z14&lt;&gt;"",AG14=""),Z14,"")</f>
        <v/>
      </c>
      <c r="AJ28">
        <f>IF(AI28="",0,IF(AB14="",IF(AF14&gt;0,INDEX('DADOS_ENTIDADES'!$AJ$2:$AJ$15,AF14),0),VALUE(AB14&amp;"")))</f>
        <v/>
      </c>
      <c r="AK28">
        <f>IF(AI28="","",IF(AD14="",IF(AF14&gt;0,INDEX('DADOS_ENTIDADES'!$AK$2:$AK$15,AF14),""),AD14)&amp;IF(AC14="","",CHAR(10)&amp;"Requisitos: "&amp;AC14))</f>
        <v/>
      </c>
      <c r="AL28">
        <f>IF(AND(AI28&lt;&gt;"",AJ28=1),AI28,"")</f>
        <v/>
      </c>
    </row>
    <row r="29">
      <c r="AI29">
        <f>IF(AND(Z15&lt;&gt;"",AG15=""),Z15,"")</f>
        <v/>
      </c>
      <c r="AJ29">
        <f>IF(AI29="",0,IF(AB15="",IF(AF15&gt;0,INDEX('DADOS_ENTIDADES'!$AJ$2:$AJ$15,AF15),0),VALUE(AB15&amp;"")))</f>
        <v/>
      </c>
      <c r="AK29">
        <f>IF(AI29="","",IF(AD15="",IF(AF15&gt;0,INDEX('DADOS_ENTIDADES'!$AK$2:$AK$15,AF15),""),AD15)&amp;IF(AC15="","",CHAR(10)&amp;"Requisitos: "&amp;AC15))</f>
        <v/>
      </c>
      <c r="AL29">
        <f>IF(AND(AI29&lt;&gt;"",AJ29=1),AI29,"")</f>
        <v/>
      </c>
    </row>
    <row r="30">
      <c r="AI30">
        <f>IF(AND(Z16&lt;&gt;"",AG16=""),Z16,"")</f>
        <v/>
      </c>
      <c r="AJ30">
        <f>IF(AI30="",0,IF(AB16="",IF(AF16&gt;0,INDEX('DADOS_ENTIDADES'!$AJ$2:$AJ$15,AF16),0),VALUE(AB16&amp;"")))</f>
        <v/>
      </c>
      <c r="AK30">
        <f>IF(AI30="","",IF(AD16="",IF(AF16&gt;0,INDEX('DADOS_ENTIDADES'!$AK$2:$AK$15,AF16),""),AD16)&amp;IF(AC16="","",CHAR(10)&amp;"Requisitos: "&amp;AC16))</f>
        <v/>
      </c>
      <c r="AL30">
        <f>IF(AND(AI30&lt;&gt;"",AJ30=1),AI30,"")</f>
        <v/>
      </c>
    </row>
    <row r="31">
      <c r="AI31">
        <f>IF(AND(Z17&lt;&gt;"",AG17=""),Z17,"")</f>
        <v/>
      </c>
      <c r="AJ31">
        <f>IF(AI31="",0,IF(AB17="",IF(AF17&gt;0,INDEX('DADOS_ENTIDADES'!$AJ$2:$AJ$15,AF17),0),VALUE(AB17&amp;"")))</f>
        <v/>
      </c>
      <c r="AK31">
        <f>IF(AI31="","",IF(AD17="",IF(AF17&gt;0,INDEX('DADOS_ENTIDADES'!$AK$2:$AK$15,AF17),""),AD17)&amp;IF(AC17="","",CHAR(10)&amp;"Requisitos: "&amp;AC17))</f>
        <v/>
      </c>
      <c r="AL31">
        <f>IF(AND(AI31&lt;&gt;"",AJ31=1),AI31,"")</f>
        <v/>
      </c>
    </row>
    <row r="32">
      <c r="AI32">
        <f>IF(AND(Z18&lt;&gt;"",AG18=""),Z18,"")</f>
        <v/>
      </c>
      <c r="AJ32">
        <f>IF(AI32="",0,IF(AB18="",IF(AF18&gt;0,INDEX('DADOS_ENTIDADES'!$AJ$2:$AJ$15,AF18),0),VALUE(AB18&amp;"")))</f>
        <v/>
      </c>
      <c r="AK32">
        <f>IF(AI32="","",IF(AD18="",IF(AF18&gt;0,INDEX('DADOS_ENTIDADES'!$AK$2:$AK$15,AF18),""),AD18)&amp;IF(AC18="","",CHAR(10)&amp;"Requisitos: "&amp;AC18))</f>
        <v/>
      </c>
      <c r="AL32">
        <f>IF(AND(AI32&lt;&gt;"",AJ32=1),AI32,"")</f>
        <v/>
      </c>
    </row>
    <row r="33">
      <c r="AI33">
        <f>IF(AND(Z19&lt;&gt;"",AG19=""),Z19,"")</f>
        <v/>
      </c>
      <c r="AJ33">
        <f>IF(AI33="",0,IF(AB19="",IF(AF19&gt;0,INDEX('DADOS_ENTIDADES'!$AJ$2:$AJ$15,AF19),0),VALUE(AB19&amp;"")))</f>
        <v/>
      </c>
      <c r="AK33">
        <f>IF(AI33="","",IF(AD19="",IF(AF19&gt;0,INDEX('DADOS_ENTIDADES'!$AK$2:$AK$15,AF19),""),AD19)&amp;IF(AC19="","",CHAR(10)&amp;"Requisitos: "&amp;AC19))</f>
        <v/>
      </c>
      <c r="AL33">
        <f>IF(AND(AI33&lt;&gt;"",AJ33=1),AI33,"")</f>
        <v/>
      </c>
    </row>
    <row r="34">
      <c r="AI34">
        <f>IF(AND(Z20&lt;&gt;"",AG20=""),Z20,"")</f>
        <v/>
      </c>
      <c r="AJ34">
        <f>IF(AI34="",0,IF(AB20="",IF(AF20&gt;0,INDEX('DADOS_ENTIDADES'!$AJ$2:$AJ$15,AF20),0),VALUE(AB20&amp;"")))</f>
        <v/>
      </c>
      <c r="AK34">
        <f>IF(AI34="","",IF(AD20="",IF(AF20&gt;0,INDEX('DADOS_ENTIDADES'!$AK$2:$AK$15,AF20),""),AD20)&amp;IF(AC20="","",CHAR(10)&amp;"Requisitos: "&amp;AC20))</f>
        <v/>
      </c>
      <c r="AL34">
        <f>IF(AND(AI34&lt;&gt;"",AJ34=1),AI34,"")</f>
        <v/>
      </c>
    </row>
    <row r="35">
      <c r="AI35">
        <f>IF(AND(Z21&lt;&gt;"",AG21=""),Z21,"")</f>
        <v/>
      </c>
      <c r="AJ35">
        <f>IF(AI35="",0,IF(AB21="",IF(AF21&gt;0,INDEX('DADOS_ENTIDADES'!$AJ$2:$AJ$15,AF21),0),VALUE(AB21&amp;"")))</f>
        <v/>
      </c>
      <c r="AK35">
        <f>IF(AI35="","",IF(AD21="",IF(AF21&gt;0,INDEX('DADOS_ENTIDADES'!$AK$2:$AK$15,AF21),""),AD21)&amp;IF(AC21="","",CHAR(10)&amp;"Requisitos: "&amp;AC21))</f>
        <v/>
      </c>
      <c r="AL35">
        <f>IF(AND(AI35&lt;&gt;"",AJ35=1),AI35,"")</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191"/>
  <sheetViews>
    <sheetView showGridLines="1" workbookViewId="0">
      <selection activeCell="A1" sqref="A1"/>
    </sheetView>
  </sheetViews>
  <sheetFormatPr baseColWidth="8" defaultRowHeight="15.75" customHeight="1"/>
  <cols>
    <col width="34" customWidth="1" min="1" max="1"/>
    <col width="60" customWidth="1" min="2" max="2"/>
    <col width="34" customWidth="1" min="3" max="3"/>
    <col width="12" customWidth="1" min="4" max="4"/>
  </cols>
  <sheetData>
    <row r="1">
      <c r="A1" s="198" t="inlineStr">
        <is>
          <t>chave</t>
        </is>
      </c>
      <c r="B1" s="198" t="inlineStr">
        <is>
          <t>valor</t>
        </is>
      </c>
      <c r="C1" s="198" t="inlineStr">
        <is>
          <t>célula</t>
        </is>
      </c>
      <c r="D1" s="198" t="inlineStr">
        <is>
          <t>parte</t>
        </is>
      </c>
    </row>
    <row r="2">
      <c r="A2" s="198" t="inlineStr">
        <is>
          <t>formato.versao</t>
        </is>
      </c>
      <c r="B2" s="198" t="inlineStr">
        <is>
          <t>11</t>
        </is>
      </c>
      <c r="C2" s="198" t="inlineStr"/>
      <c r="D2" s="198" t="inlineStr">
        <is>
          <t>cabeçalho</t>
        </is>
      </c>
    </row>
    <row r="3">
      <c r="A3" s="198" t="inlineStr">
        <is>
          <t>ficha.versao</t>
        </is>
      </c>
      <c r="B3" s="198">
        <f>DADOS!$B$1&amp;""</f>
        <v/>
      </c>
      <c r="C3" s="198" t="inlineStr">
        <is>
          <t>DADOS!B1</t>
        </is>
      </c>
      <c r="D3" s="198" t="inlineStr">
        <is>
          <t>cabeçalho</t>
        </is>
      </c>
    </row>
    <row r="4">
      <c r="A4" s="198" t="inlineStr">
        <is>
          <t>ficha.sistema</t>
        </is>
      </c>
      <c r="B4" s="198">
        <f>DADOS!$F$1&amp;""</f>
        <v/>
      </c>
      <c r="C4" s="198" t="inlineStr">
        <is>
          <t>DADOS!F1</t>
        </is>
      </c>
      <c r="D4" s="198" t="inlineStr">
        <is>
          <t>cabeçalho</t>
        </is>
      </c>
    </row>
    <row r="5">
      <c r="A5" s="198" t="inlineStr">
        <is>
          <t>ficha.livro</t>
        </is>
      </c>
      <c r="B5" s="198" t="inlineStr">
        <is>
          <t>Ciclo Maldito R51</t>
        </is>
      </c>
      <c r="C5" s="198" t="inlineStr"/>
      <c r="D5" s="198" t="inlineStr">
        <is>
          <t>cabeçalho</t>
        </is>
      </c>
    </row>
    <row r="6">
      <c r="A6" s="198" t="inlineStr">
        <is>
          <t>nome</t>
        </is>
      </c>
      <c r="B6" s="198">
        <f>IF(ISBLANK(FICHA!$AB$2),"",FICHA!$AB$2&amp;"")</f>
        <v/>
      </c>
      <c r="C6" s="198" t="inlineStr">
        <is>
          <t>FICHA!AB2</t>
        </is>
      </c>
      <c r="D6" s="198" t="inlineStr">
        <is>
          <t>entrada</t>
        </is>
      </c>
    </row>
    <row r="7">
      <c r="A7" s="198" t="inlineStr">
        <is>
          <t>caminho</t>
        </is>
      </c>
      <c r="B7" s="198">
        <f>IF(ISBLANK(FICHA!$D$11),"",FICHA!$D$11&amp;"")</f>
        <v/>
      </c>
      <c r="C7" s="198" t="inlineStr">
        <is>
          <t>FICHA!D11</t>
        </is>
      </c>
      <c r="D7" s="198" t="inlineStr">
        <is>
          <t>entrada</t>
        </is>
      </c>
    </row>
    <row r="8">
      <c r="A8" s="198" t="inlineStr">
        <is>
          <t>trilha</t>
        </is>
      </c>
      <c r="B8" s="198">
        <f>IF(ISBLANK(FICHA!$N$11),"",FICHA!$N$11&amp;"")</f>
        <v/>
      </c>
      <c r="C8" s="198" t="inlineStr">
        <is>
          <t>FICHA!N11</t>
        </is>
      </c>
      <c r="D8" s="198" t="inlineStr">
        <is>
          <t>entrada</t>
        </is>
      </c>
    </row>
    <row r="9">
      <c r="A9" s="198" t="inlineStr">
        <is>
          <t>origem</t>
        </is>
      </c>
      <c r="B9" s="198">
        <f>IF(ISBLANK(FICHA!$X$11),"",FICHA!$X$11&amp;"")</f>
        <v/>
      </c>
      <c r="C9" s="198" t="inlineStr">
        <is>
          <t>FICHA!X11</t>
        </is>
      </c>
      <c r="D9" s="198" t="inlineStr">
        <is>
          <t>entrada</t>
        </is>
      </c>
    </row>
    <row r="10">
      <c r="A10" s="198" t="inlineStr">
        <is>
          <t>nivel</t>
        </is>
      </c>
      <c r="B10" s="198">
        <f>IF(ISBLANK(FICHA!$AH$11),"",FICHA!$AH$11&amp;"")</f>
        <v/>
      </c>
      <c r="C10" s="198" t="inlineStr">
        <is>
          <t>FICHA!AH11</t>
        </is>
      </c>
      <c r="D10" s="198" t="inlineStr">
        <is>
          <t>entrada</t>
        </is>
      </c>
    </row>
    <row r="11">
      <c r="A11" s="198" t="inlineStr">
        <is>
          <t>xp</t>
        </is>
      </c>
      <c r="B11" s="198">
        <f>IF(ISBLANK(FICHA!$AN$11),"",FICHA!$AN$11&amp;"")</f>
        <v/>
      </c>
      <c r="C11" s="198" t="inlineStr">
        <is>
          <t>FICHA!AN11</t>
        </is>
      </c>
      <c r="D11" s="198" t="inlineStr">
        <is>
          <t>entrada</t>
        </is>
      </c>
    </row>
    <row r="12">
      <c r="A12" s="198" t="inlineStr">
        <is>
          <t>atributo.forca.base</t>
        </is>
      </c>
      <c r="B12" s="198">
        <f>IF(ISBLANK(FICHA!$D$21),"",FICHA!$D$21&amp;"")</f>
        <v/>
      </c>
      <c r="C12" s="198" t="inlineStr">
        <is>
          <t>FICHA!D21</t>
        </is>
      </c>
      <c r="D12" s="198" t="inlineStr">
        <is>
          <t>entrada</t>
        </is>
      </c>
    </row>
    <row r="13">
      <c r="A13" s="198" t="inlineStr">
        <is>
          <t>atributo.forca.corpo</t>
        </is>
      </c>
      <c r="B13" s="198">
        <f>IF(ISBLANK(FICHA!$AK$15),"",FICHA!$AK$15&amp;"")</f>
        <v/>
      </c>
      <c r="C13" s="198" t="inlineStr">
        <is>
          <t>FICHA!AK15</t>
        </is>
      </c>
      <c r="D13" s="198" t="inlineStr">
        <is>
          <t>entrada</t>
        </is>
      </c>
    </row>
    <row r="14">
      <c r="A14" s="198" t="inlineStr">
        <is>
          <t>atributo.destreza.base</t>
        </is>
      </c>
      <c r="B14" s="198">
        <f>IF(ISBLANK(FICHA!$L$21),"",FICHA!$L$21&amp;"")</f>
        <v/>
      </c>
      <c r="C14" s="198" t="inlineStr">
        <is>
          <t>FICHA!L21</t>
        </is>
      </c>
      <c r="D14" s="198" t="inlineStr">
        <is>
          <t>entrada</t>
        </is>
      </c>
    </row>
    <row r="15">
      <c r="A15" s="198" t="inlineStr">
        <is>
          <t>atributo.destreza.corpo</t>
        </is>
      </c>
      <c r="B15" s="198">
        <f>IF(ISBLANK(FICHA!$AM$15),"",FICHA!$AM$15&amp;"")</f>
        <v/>
      </c>
      <c r="C15" s="198" t="inlineStr">
        <is>
          <t>FICHA!AM15</t>
        </is>
      </c>
      <c r="D15" s="198" t="inlineStr">
        <is>
          <t>entrada</t>
        </is>
      </c>
    </row>
    <row r="16">
      <c r="A16" s="198" t="inlineStr">
        <is>
          <t>atributo.constituicao.base</t>
        </is>
      </c>
      <c r="B16" s="198">
        <f>IF(ISBLANK(FICHA!$T$21),"",FICHA!$T$21&amp;"")</f>
        <v/>
      </c>
      <c r="C16" s="198" t="inlineStr">
        <is>
          <t>FICHA!T21</t>
        </is>
      </c>
      <c r="D16" s="198" t="inlineStr">
        <is>
          <t>entrada</t>
        </is>
      </c>
    </row>
    <row r="17">
      <c r="A17" s="198" t="inlineStr">
        <is>
          <t>atributo.constituicao.corpo</t>
        </is>
      </c>
      <c r="B17" s="198">
        <f>IF(ISBLANK(FICHA!$AO$15),"",FICHA!$AO$15&amp;"")</f>
        <v/>
      </c>
      <c r="C17" s="198" t="inlineStr">
        <is>
          <t>FICHA!AO15</t>
        </is>
      </c>
      <c r="D17" s="198" t="inlineStr">
        <is>
          <t>entrada</t>
        </is>
      </c>
    </row>
    <row r="18">
      <c r="A18" s="198" t="inlineStr">
        <is>
          <t>atributo.inteligencia.base</t>
        </is>
      </c>
      <c r="B18" s="198">
        <f>IF(ISBLANK(FICHA!$AB$21),"",FICHA!$AB$21&amp;"")</f>
        <v/>
      </c>
      <c r="C18" s="198" t="inlineStr">
        <is>
          <t>FICHA!AB21</t>
        </is>
      </c>
      <c r="D18" s="198" t="inlineStr">
        <is>
          <t>entrada</t>
        </is>
      </c>
    </row>
    <row r="19">
      <c r="A19" s="198" t="inlineStr">
        <is>
          <t>atributo.inteligencia.corpo</t>
        </is>
      </c>
      <c r="B19" s="198">
        <f>IF(ISBLANK(FICHA!$AQ$15),"",FICHA!$AQ$15&amp;"")</f>
        <v/>
      </c>
      <c r="C19" s="198" t="inlineStr">
        <is>
          <t>FICHA!AQ15</t>
        </is>
      </c>
      <c r="D19" s="198" t="inlineStr">
        <is>
          <t>entrada</t>
        </is>
      </c>
    </row>
    <row r="20">
      <c r="A20" s="198" t="inlineStr">
        <is>
          <t>atributo.essencia.base</t>
        </is>
      </c>
      <c r="B20" s="198">
        <f>IF(ISBLANK(FICHA!$AJ$21),"",FICHA!$AJ$21&amp;"")</f>
        <v/>
      </c>
      <c r="C20" s="198" t="inlineStr">
        <is>
          <t>FICHA!AJ21</t>
        </is>
      </c>
      <c r="D20" s="198" t="inlineStr">
        <is>
          <t>entrada</t>
        </is>
      </c>
    </row>
    <row r="21">
      <c r="A21" s="198" t="inlineStr">
        <is>
          <t>atributo.essencia.corpo</t>
        </is>
      </c>
      <c r="B21" s="198">
        <f>IF(ISBLANK(FICHA!$AS$15),"",FICHA!$AS$15&amp;"")</f>
        <v/>
      </c>
      <c r="C21" s="198" t="inlineStr">
        <is>
          <t>FICHA!AS15</t>
        </is>
      </c>
      <c r="D21" s="198" t="inlineStr">
        <is>
          <t>entrada</t>
        </is>
      </c>
    </row>
    <row r="22">
      <c r="A22" s="198" t="inlineStr">
        <is>
          <t>marco.refino</t>
        </is>
      </c>
      <c r="B22" s="198">
        <f>IF(ISBLANK(FICHA!$AO$56),"",FICHA!$AO$56&amp;"")</f>
        <v/>
      </c>
      <c r="C22" s="198" t="inlineStr">
        <is>
          <t>FICHA!AO56</t>
        </is>
      </c>
      <c r="D22" s="198" t="inlineStr">
        <is>
          <t>entrada</t>
        </is>
      </c>
    </row>
    <row r="23">
      <c r="A23" s="198" t="inlineStr">
        <is>
          <t>marco.corpo</t>
        </is>
      </c>
      <c r="B23" s="198">
        <f>IF(ISBLANK(FICHA!$AQ$56),"",FICHA!$AQ$56&amp;"")</f>
        <v/>
      </c>
      <c r="C23" s="198" t="inlineStr">
        <is>
          <t>FICHA!AQ56</t>
        </is>
      </c>
      <c r="D23" s="198" t="inlineStr">
        <is>
          <t>entrada</t>
        </is>
      </c>
    </row>
    <row r="24">
      <c r="A24" s="198" t="inlineStr">
        <is>
          <t>marco.leque</t>
        </is>
      </c>
      <c r="B24" s="198">
        <f>IF(ISBLANK(FICHA!$AS$56),"",FICHA!$AS$56&amp;"")</f>
        <v/>
      </c>
      <c r="C24" s="198" t="inlineStr">
        <is>
          <t>FICHA!AS56</t>
        </is>
      </c>
      <c r="D24" s="198" t="inlineStr">
        <is>
          <t>entrada</t>
        </is>
      </c>
    </row>
    <row r="25">
      <c r="A25" s="198" t="inlineStr">
        <is>
          <t>marcos.escolhidos</t>
        </is>
      </c>
      <c r="B25" s="198">
        <f>IF(ISBLANK(FICHA!$AK$56),"",FICHA!$AK$56&amp;"")</f>
        <v/>
      </c>
      <c r="C25" s="198" t="inlineStr">
        <is>
          <t>FICHA!AK56</t>
        </is>
      </c>
      <c r="D25" s="198" t="inlineStr">
        <is>
          <t>entrada</t>
        </is>
      </c>
    </row>
    <row r="26">
      <c r="A26" s="198" t="inlineStr">
        <is>
          <t>pericia.atletismo.treino</t>
        </is>
      </c>
      <c r="B26" s="198">
        <f>N(FICHA!$D$80)&amp;""</f>
        <v/>
      </c>
      <c r="C26" s="198" t="inlineStr">
        <is>
          <t>FICHA!D80</t>
        </is>
      </c>
      <c r="D26" s="198" t="inlineStr">
        <is>
          <t>entrada</t>
        </is>
      </c>
    </row>
    <row r="27">
      <c r="A27" s="198" t="inlineStr">
        <is>
          <t>pericia.atletismo.especialista</t>
        </is>
      </c>
      <c r="B27" s="198">
        <f>N(FICHA!$E$80)&amp;""</f>
        <v/>
      </c>
      <c r="C27" s="198" t="inlineStr">
        <is>
          <t>FICHA!E80</t>
        </is>
      </c>
      <c r="D27" s="198" t="inlineStr">
        <is>
          <t>entrada</t>
        </is>
      </c>
    </row>
    <row r="28">
      <c r="A28" s="198" t="inlineStr">
        <is>
          <t>pericia.acrobacia.treino</t>
        </is>
      </c>
      <c r="B28" s="198">
        <f>N(FICHA!$D$81)&amp;""</f>
        <v/>
      </c>
      <c r="C28" s="198" t="inlineStr">
        <is>
          <t>FICHA!D81</t>
        </is>
      </c>
      <c r="D28" s="198" t="inlineStr">
        <is>
          <t>entrada</t>
        </is>
      </c>
    </row>
    <row r="29">
      <c r="A29" s="198" t="inlineStr">
        <is>
          <t>pericia.acrobacia.especialista</t>
        </is>
      </c>
      <c r="B29" s="198">
        <f>N(FICHA!$E$81)&amp;""</f>
        <v/>
      </c>
      <c r="C29" s="198" t="inlineStr">
        <is>
          <t>FICHA!E81</t>
        </is>
      </c>
      <c r="D29" s="198" t="inlineStr">
        <is>
          <t>entrada</t>
        </is>
      </c>
    </row>
    <row r="30">
      <c r="A30" s="198" t="inlineStr">
        <is>
          <t>pericia.furtividade.treino</t>
        </is>
      </c>
      <c r="B30" s="198">
        <f>N(FICHA!$D$82)&amp;""</f>
        <v/>
      </c>
      <c r="C30" s="198" t="inlineStr">
        <is>
          <t>FICHA!D82</t>
        </is>
      </c>
      <c r="D30" s="198" t="inlineStr">
        <is>
          <t>entrada</t>
        </is>
      </c>
    </row>
    <row r="31">
      <c r="A31" s="198" t="inlineStr">
        <is>
          <t>pericia.furtividade.especialista</t>
        </is>
      </c>
      <c r="B31" s="198">
        <f>N(FICHA!$E$82)&amp;""</f>
        <v/>
      </c>
      <c r="C31" s="198" t="inlineStr">
        <is>
          <t>FICHA!E82</t>
        </is>
      </c>
      <c r="D31" s="198" t="inlineStr">
        <is>
          <t>entrada</t>
        </is>
      </c>
    </row>
    <row r="32">
      <c r="A32" s="198" t="inlineStr">
        <is>
          <t>pericia.pontaria.treino</t>
        </is>
      </c>
      <c r="B32" s="198">
        <f>N(FICHA!$D$83)&amp;""</f>
        <v/>
      </c>
      <c r="C32" s="198" t="inlineStr">
        <is>
          <t>FICHA!D83</t>
        </is>
      </c>
      <c r="D32" s="198" t="inlineStr">
        <is>
          <t>entrada</t>
        </is>
      </c>
    </row>
    <row r="33">
      <c r="A33" s="198" t="inlineStr">
        <is>
          <t>pericia.pontaria.especialista</t>
        </is>
      </c>
      <c r="B33" s="198">
        <f>N(FICHA!$E$83)&amp;""</f>
        <v/>
      </c>
      <c r="C33" s="198" t="inlineStr">
        <is>
          <t>FICHA!E83</t>
        </is>
      </c>
      <c r="D33" s="198" t="inlineStr">
        <is>
          <t>entrada</t>
        </is>
      </c>
    </row>
    <row r="34">
      <c r="A34" s="198" t="inlineStr">
        <is>
          <t>pericia.prestidigitacao.treino</t>
        </is>
      </c>
      <c r="B34" s="198">
        <f>N(FICHA!$D$84)&amp;""</f>
        <v/>
      </c>
      <c r="C34" s="198" t="inlineStr">
        <is>
          <t>FICHA!D84</t>
        </is>
      </c>
      <c r="D34" s="198" t="inlineStr">
        <is>
          <t>entrada</t>
        </is>
      </c>
    </row>
    <row r="35">
      <c r="A35" s="198" t="inlineStr">
        <is>
          <t>pericia.prestidigitacao.especialista</t>
        </is>
      </c>
      <c r="B35" s="198">
        <f>N(FICHA!$E$84)&amp;""</f>
        <v/>
      </c>
      <c r="C35" s="198" t="inlineStr">
        <is>
          <t>FICHA!E84</t>
        </is>
      </c>
      <c r="D35" s="198" t="inlineStr">
        <is>
          <t>entrada</t>
        </is>
      </c>
    </row>
    <row r="36">
      <c r="A36" s="198" t="inlineStr">
        <is>
          <t>pericia.investigacao.treino</t>
        </is>
      </c>
      <c r="B36" s="198">
        <f>N(FICHA!$D$85)&amp;""</f>
        <v/>
      </c>
      <c r="C36" s="198" t="inlineStr">
        <is>
          <t>FICHA!D85</t>
        </is>
      </c>
      <c r="D36" s="198" t="inlineStr">
        <is>
          <t>entrada</t>
        </is>
      </c>
    </row>
    <row r="37">
      <c r="A37" s="198" t="inlineStr">
        <is>
          <t>pericia.investigacao.especialista</t>
        </is>
      </c>
      <c r="B37" s="198">
        <f>N(FICHA!$E$85)&amp;""</f>
        <v/>
      </c>
      <c r="C37" s="198" t="inlineStr">
        <is>
          <t>FICHA!E85</t>
        </is>
      </c>
      <c r="D37" s="198" t="inlineStr">
        <is>
          <t>entrada</t>
        </is>
      </c>
    </row>
    <row r="38">
      <c r="A38" s="198" t="inlineStr">
        <is>
          <t>pericia.intuicao.treino</t>
        </is>
      </c>
      <c r="B38" s="198">
        <f>N(FICHA!$D$86)&amp;""</f>
        <v/>
      </c>
      <c r="C38" s="198" t="inlineStr">
        <is>
          <t>FICHA!D86</t>
        </is>
      </c>
      <c r="D38" s="198" t="inlineStr">
        <is>
          <t>entrada</t>
        </is>
      </c>
    </row>
    <row r="39">
      <c r="A39" s="198" t="inlineStr">
        <is>
          <t>pericia.intuicao.especialista</t>
        </is>
      </c>
      <c r="B39" s="198">
        <f>N(FICHA!$E$86)&amp;""</f>
        <v/>
      </c>
      <c r="C39" s="198" t="inlineStr">
        <is>
          <t>FICHA!E86</t>
        </is>
      </c>
      <c r="D39" s="198" t="inlineStr">
        <is>
          <t>entrada</t>
        </is>
      </c>
    </row>
    <row r="40">
      <c r="A40" s="198" t="inlineStr">
        <is>
          <t>pericia.ocultismo.treino</t>
        </is>
      </c>
      <c r="B40" s="198">
        <f>N(FICHA!$D$87)&amp;""</f>
        <v/>
      </c>
      <c r="C40" s="198" t="inlineStr">
        <is>
          <t>FICHA!D87</t>
        </is>
      </c>
      <c r="D40" s="198" t="inlineStr">
        <is>
          <t>entrada</t>
        </is>
      </c>
    </row>
    <row r="41">
      <c r="A41" s="198" t="inlineStr">
        <is>
          <t>pericia.ocultismo.especialista</t>
        </is>
      </c>
      <c r="B41" s="198">
        <f>N(FICHA!$E$87)&amp;""</f>
        <v/>
      </c>
      <c r="C41" s="198" t="inlineStr">
        <is>
          <t>FICHA!E87</t>
        </is>
      </c>
      <c r="D41" s="198" t="inlineStr">
        <is>
          <t>entrada</t>
        </is>
      </c>
    </row>
    <row r="42">
      <c r="A42" s="198" t="inlineStr">
        <is>
          <t>pericia.religiao.treino</t>
        </is>
      </c>
      <c r="B42" s="198">
        <f>N(FICHA!$D$88)&amp;""</f>
        <v/>
      </c>
      <c r="C42" s="198" t="inlineStr">
        <is>
          <t>FICHA!D88</t>
        </is>
      </c>
      <c r="D42" s="198" t="inlineStr">
        <is>
          <t>entrada</t>
        </is>
      </c>
    </row>
    <row r="43">
      <c r="A43" s="198" t="inlineStr">
        <is>
          <t>pericia.religiao.especialista</t>
        </is>
      </c>
      <c r="B43" s="198">
        <f>N(FICHA!$E$88)&amp;""</f>
        <v/>
      </c>
      <c r="C43" s="198" t="inlineStr">
        <is>
          <t>FICHA!E88</t>
        </is>
      </c>
      <c r="D43" s="198" t="inlineStr">
        <is>
          <t>entrada</t>
        </is>
      </c>
    </row>
    <row r="44">
      <c r="A44" s="198" t="inlineStr">
        <is>
          <t>pericia.historia.treino</t>
        </is>
      </c>
      <c r="B44" s="198">
        <f>N(FICHA!$D$89)&amp;""</f>
        <v/>
      </c>
      <c r="C44" s="198" t="inlineStr">
        <is>
          <t>FICHA!D89</t>
        </is>
      </c>
      <c r="D44" s="198" t="inlineStr">
        <is>
          <t>entrada</t>
        </is>
      </c>
    </row>
    <row r="45">
      <c r="A45" s="198" t="inlineStr">
        <is>
          <t>pericia.historia.especialista</t>
        </is>
      </c>
      <c r="B45" s="198">
        <f>N(FICHA!$E$89)&amp;""</f>
        <v/>
      </c>
      <c r="C45" s="198" t="inlineStr">
        <is>
          <t>FICHA!E89</t>
        </is>
      </c>
      <c r="D45" s="198" t="inlineStr">
        <is>
          <t>entrada</t>
        </is>
      </c>
    </row>
    <row r="46">
      <c r="A46" s="198" t="inlineStr">
        <is>
          <t>pericia.hierarquia.treino</t>
        </is>
      </c>
      <c r="B46" s="198">
        <f>N(FICHA!$D$90)&amp;""</f>
        <v/>
      </c>
      <c r="C46" s="198" t="inlineStr">
        <is>
          <t>FICHA!D90</t>
        </is>
      </c>
      <c r="D46" s="198" t="inlineStr">
        <is>
          <t>entrada</t>
        </is>
      </c>
    </row>
    <row r="47">
      <c r="A47" s="198" t="inlineStr">
        <is>
          <t>pericia.hierarquia.especialista</t>
        </is>
      </c>
      <c r="B47" s="198">
        <f>N(FICHA!$E$90)&amp;""</f>
        <v/>
      </c>
      <c r="C47" s="198" t="inlineStr">
        <is>
          <t>FICHA!E90</t>
        </is>
      </c>
      <c r="D47" s="198" t="inlineStr">
        <is>
          <t>entrada</t>
        </is>
      </c>
    </row>
    <row r="48">
      <c r="A48" s="198" t="inlineStr">
        <is>
          <t>pericia.medicina.treino</t>
        </is>
      </c>
      <c r="B48" s="198">
        <f>N(FICHA!$T$83)&amp;""</f>
        <v/>
      </c>
      <c r="C48" s="198" t="inlineStr">
        <is>
          <t>FICHA!T83</t>
        </is>
      </c>
      <c r="D48" s="198" t="inlineStr">
        <is>
          <t>entrada</t>
        </is>
      </c>
    </row>
    <row r="49">
      <c r="A49" s="198" t="inlineStr">
        <is>
          <t>pericia.medicina.especialista</t>
        </is>
      </c>
      <c r="B49" s="198">
        <f>N(FICHA!$U$83)&amp;""</f>
        <v/>
      </c>
      <c r="C49" s="198" t="inlineStr">
        <is>
          <t>FICHA!U83</t>
        </is>
      </c>
      <c r="D49" s="198" t="inlineStr">
        <is>
          <t>entrada</t>
        </is>
      </c>
    </row>
    <row r="50">
      <c r="A50" s="198" t="inlineStr">
        <is>
          <t>pericia.sobrevivencia.treino</t>
        </is>
      </c>
      <c r="B50" s="198">
        <f>N(FICHA!$T$79)&amp;""</f>
        <v/>
      </c>
      <c r="C50" s="198" t="inlineStr">
        <is>
          <t>FICHA!T79</t>
        </is>
      </c>
      <c r="D50" s="198" t="inlineStr">
        <is>
          <t>entrada</t>
        </is>
      </c>
    </row>
    <row r="51">
      <c r="A51" s="198" t="inlineStr">
        <is>
          <t>pericia.sobrevivencia.especialista</t>
        </is>
      </c>
      <c r="B51" s="198">
        <f>N(FICHA!$U$79)&amp;""</f>
        <v/>
      </c>
      <c r="C51" s="198" t="inlineStr">
        <is>
          <t>FICHA!U79</t>
        </is>
      </c>
      <c r="D51" s="198" t="inlineStr">
        <is>
          <t>entrada</t>
        </is>
      </c>
    </row>
    <row r="52">
      <c r="A52" s="198" t="inlineStr">
        <is>
          <t>pericia.natureza.treino</t>
        </is>
      </c>
      <c r="B52" s="198">
        <f>N(FICHA!$T$80)&amp;""</f>
        <v/>
      </c>
      <c r="C52" s="198" t="inlineStr">
        <is>
          <t>FICHA!T80</t>
        </is>
      </c>
      <c r="D52" s="198" t="inlineStr">
        <is>
          <t>entrada</t>
        </is>
      </c>
    </row>
    <row r="53">
      <c r="A53" s="198" t="inlineStr">
        <is>
          <t>pericia.natureza.especialista</t>
        </is>
      </c>
      <c r="B53" s="198">
        <f>N(FICHA!$U$80)&amp;""</f>
        <v/>
      </c>
      <c r="C53" s="198" t="inlineStr">
        <is>
          <t>FICHA!U80</t>
        </is>
      </c>
      <c r="D53" s="198" t="inlineStr">
        <is>
          <t>entrada</t>
        </is>
      </c>
    </row>
    <row r="54">
      <c r="A54" s="198" t="inlineStr">
        <is>
          <t>pericia.lidar_com_animais.treino</t>
        </is>
      </c>
      <c r="B54" s="198">
        <f>N(FICHA!$T$81)&amp;""</f>
        <v/>
      </c>
      <c r="C54" s="198" t="inlineStr">
        <is>
          <t>FICHA!T81</t>
        </is>
      </c>
      <c r="D54" s="198" t="inlineStr">
        <is>
          <t>entrada</t>
        </is>
      </c>
    </row>
    <row r="55">
      <c r="A55" s="198" t="inlineStr">
        <is>
          <t>pericia.lidar_com_animais.especialista</t>
        </is>
      </c>
      <c r="B55" s="198">
        <f>N(FICHA!$U$81)&amp;""</f>
        <v/>
      </c>
      <c r="C55" s="198" t="inlineStr">
        <is>
          <t>FICHA!U81</t>
        </is>
      </c>
      <c r="D55" s="198" t="inlineStr">
        <is>
          <t>entrada</t>
        </is>
      </c>
    </row>
    <row r="56">
      <c r="A56" s="198" t="inlineStr">
        <is>
          <t>pericia.tecnologia.treino</t>
        </is>
      </c>
      <c r="B56" s="198">
        <f>N(FICHA!$T$82)&amp;""</f>
        <v/>
      </c>
      <c r="C56" s="198" t="inlineStr">
        <is>
          <t>FICHA!T82</t>
        </is>
      </c>
      <c r="D56" s="198" t="inlineStr">
        <is>
          <t>entrada</t>
        </is>
      </c>
    </row>
    <row r="57">
      <c r="A57" s="198" t="inlineStr">
        <is>
          <t>pericia.tecnologia.especialista</t>
        </is>
      </c>
      <c r="B57" s="198">
        <f>N(FICHA!$U$82)&amp;""</f>
        <v/>
      </c>
      <c r="C57" s="198" t="inlineStr">
        <is>
          <t>FICHA!U82</t>
        </is>
      </c>
      <c r="D57" s="198" t="inlineStr">
        <is>
          <t>entrada</t>
        </is>
      </c>
    </row>
    <row r="58">
      <c r="A58" s="198" t="inlineStr">
        <is>
          <t>pericia.sentir_energia.treino</t>
        </is>
      </c>
      <c r="B58" s="198">
        <f>N(FICHA!$T$84)&amp;""</f>
        <v/>
      </c>
      <c r="C58" s="198" t="inlineStr">
        <is>
          <t>FICHA!T84</t>
        </is>
      </c>
      <c r="D58" s="198" t="inlineStr">
        <is>
          <t>entrada</t>
        </is>
      </c>
    </row>
    <row r="59">
      <c r="A59" s="198" t="inlineStr">
        <is>
          <t>pericia.sentir_energia.especialista</t>
        </is>
      </c>
      <c r="B59" s="198">
        <f>N(FICHA!$U$84)&amp;""</f>
        <v/>
      </c>
      <c r="C59" s="198" t="inlineStr">
        <is>
          <t>FICHA!U84</t>
        </is>
      </c>
      <c r="D59" s="198" t="inlineStr">
        <is>
          <t>entrada</t>
        </is>
      </c>
    </row>
    <row r="60">
      <c r="A60" s="198" t="inlineStr">
        <is>
          <t>pericia.percepcao.treino</t>
        </is>
      </c>
      <c r="B60" s="198">
        <f>N(FICHA!$T$85)&amp;""</f>
        <v/>
      </c>
      <c r="C60" s="198" t="inlineStr">
        <is>
          <t>FICHA!T85</t>
        </is>
      </c>
      <c r="D60" s="198" t="inlineStr">
        <is>
          <t>entrada</t>
        </is>
      </c>
    </row>
    <row r="61">
      <c r="A61" s="198" t="inlineStr">
        <is>
          <t>pericia.percepcao.especialista</t>
        </is>
      </c>
      <c r="B61" s="198">
        <f>N(FICHA!$U$85)&amp;""</f>
        <v/>
      </c>
      <c r="C61" s="198" t="inlineStr">
        <is>
          <t>FICHA!U85</t>
        </is>
      </c>
      <c r="D61" s="198" t="inlineStr">
        <is>
          <t>entrada</t>
        </is>
      </c>
    </row>
    <row r="62">
      <c r="A62" s="198" t="inlineStr">
        <is>
          <t>pericia.persuasao.treino</t>
        </is>
      </c>
      <c r="B62" s="198">
        <f>N(FICHA!$T$86)&amp;""</f>
        <v/>
      </c>
      <c r="C62" s="198" t="inlineStr">
        <is>
          <t>FICHA!T86</t>
        </is>
      </c>
      <c r="D62" s="198" t="inlineStr">
        <is>
          <t>entrada</t>
        </is>
      </c>
    </row>
    <row r="63">
      <c r="A63" s="198" t="inlineStr">
        <is>
          <t>pericia.persuasao.especialista</t>
        </is>
      </c>
      <c r="B63" s="198">
        <f>N(FICHA!$U$86)&amp;""</f>
        <v/>
      </c>
      <c r="C63" s="198" t="inlineStr">
        <is>
          <t>FICHA!U86</t>
        </is>
      </c>
      <c r="D63" s="198" t="inlineStr">
        <is>
          <t>entrada</t>
        </is>
      </c>
    </row>
    <row r="64">
      <c r="A64" s="198" t="inlineStr">
        <is>
          <t>pericia.enganacao.treino</t>
        </is>
      </c>
      <c r="B64" s="198">
        <f>N(FICHA!$T$87)&amp;""</f>
        <v/>
      </c>
      <c r="C64" s="198" t="inlineStr">
        <is>
          <t>FICHA!T87</t>
        </is>
      </c>
      <c r="D64" s="198" t="inlineStr">
        <is>
          <t>entrada</t>
        </is>
      </c>
    </row>
    <row r="65">
      <c r="A65" s="198" t="inlineStr">
        <is>
          <t>pericia.enganacao.especialista</t>
        </is>
      </c>
      <c r="B65" s="198">
        <f>N(FICHA!$U$87)&amp;""</f>
        <v/>
      </c>
      <c r="C65" s="198" t="inlineStr">
        <is>
          <t>FICHA!U87</t>
        </is>
      </c>
      <c r="D65" s="198" t="inlineStr">
        <is>
          <t>entrada</t>
        </is>
      </c>
    </row>
    <row r="66">
      <c r="A66" s="198" t="inlineStr">
        <is>
          <t>pericia.intimidacao.treino</t>
        </is>
      </c>
      <c r="B66" s="198">
        <f>N(FICHA!$T$88)&amp;""</f>
        <v/>
      </c>
      <c r="C66" s="198" t="inlineStr">
        <is>
          <t>FICHA!T88</t>
        </is>
      </c>
      <c r="D66" s="198" t="inlineStr">
        <is>
          <t>entrada</t>
        </is>
      </c>
    </row>
    <row r="67">
      <c r="A67" s="198" t="inlineStr">
        <is>
          <t>pericia.intimidacao.especialista</t>
        </is>
      </c>
      <c r="B67" s="198">
        <f>N(FICHA!$U$88)&amp;""</f>
        <v/>
      </c>
      <c r="C67" s="198" t="inlineStr">
        <is>
          <t>FICHA!U88</t>
        </is>
      </c>
      <c r="D67" s="198" t="inlineStr">
        <is>
          <t>entrada</t>
        </is>
      </c>
    </row>
    <row r="68">
      <c r="A68" s="198" t="inlineStr">
        <is>
          <t>pericia.atuacao.treino</t>
        </is>
      </c>
      <c r="B68" s="198">
        <f>N(FICHA!$T$89)&amp;""</f>
        <v/>
      </c>
      <c r="C68" s="198" t="inlineStr">
        <is>
          <t>FICHA!T89</t>
        </is>
      </c>
      <c r="D68" s="198" t="inlineStr">
        <is>
          <t>entrada</t>
        </is>
      </c>
    </row>
    <row r="69">
      <c r="A69" s="198" t="inlineStr">
        <is>
          <t>pericia.atuacao.especialista</t>
        </is>
      </c>
      <c r="B69" s="198">
        <f>N(FICHA!$U$89)&amp;""</f>
        <v/>
      </c>
      <c r="C69" s="198" t="inlineStr">
        <is>
          <t>FICHA!U89</t>
        </is>
      </c>
      <c r="D69" s="198" t="inlineStr">
        <is>
          <t>entrada</t>
        </is>
      </c>
    </row>
    <row r="70">
      <c r="A70" s="198" t="inlineStr">
        <is>
          <t>pericia.provocar.treino</t>
        </is>
      </c>
      <c r="B70" s="198">
        <f>N(FICHA!$T$90)&amp;""</f>
        <v/>
      </c>
      <c r="C70" s="198" t="inlineStr">
        <is>
          <t>FICHA!T90</t>
        </is>
      </c>
      <c r="D70" s="198" t="inlineStr">
        <is>
          <t>entrada</t>
        </is>
      </c>
    </row>
    <row r="71">
      <c r="A71" s="198" t="inlineStr">
        <is>
          <t>pericia.provocar.especialista</t>
        </is>
      </c>
      <c r="B71" s="198">
        <f>N(FICHA!$U$90)&amp;""</f>
        <v/>
      </c>
      <c r="C71" s="198" t="inlineStr">
        <is>
          <t>FICHA!U90</t>
        </is>
      </c>
      <c r="D71" s="198" t="inlineStr">
        <is>
          <t>entrada</t>
        </is>
      </c>
    </row>
    <row r="72">
      <c r="A72" s="198" t="inlineStr">
        <is>
          <t>oficio.conducao.treino</t>
        </is>
      </c>
      <c r="B72" s="198">
        <f>N(FICHA!$D$108)&amp;""</f>
        <v/>
      </c>
      <c r="C72" s="198" t="inlineStr">
        <is>
          <t>FICHA!D108</t>
        </is>
      </c>
      <c r="D72" s="198" t="inlineStr">
        <is>
          <t>entrada</t>
        </is>
      </c>
    </row>
    <row r="73">
      <c r="A73" s="198" t="inlineStr">
        <is>
          <t>oficio.conducao.especialista</t>
        </is>
      </c>
      <c r="B73" s="198">
        <f>N(FICHA!$E$108)&amp;""</f>
        <v/>
      </c>
      <c r="C73" s="198" t="inlineStr">
        <is>
          <t>FICHA!E108</t>
        </is>
      </c>
      <c r="D73" s="198" t="inlineStr">
        <is>
          <t>entrada</t>
        </is>
      </c>
    </row>
    <row r="74">
      <c r="A74" s="198" t="inlineStr">
        <is>
          <t>oficio.arrombamento.treino</t>
        </is>
      </c>
      <c r="B74" s="198">
        <f>N(FICHA!$D$109)&amp;""</f>
        <v/>
      </c>
      <c r="C74" s="198" t="inlineStr">
        <is>
          <t>FICHA!D109</t>
        </is>
      </c>
      <c r="D74" s="198" t="inlineStr">
        <is>
          <t>entrada</t>
        </is>
      </c>
    </row>
    <row r="75">
      <c r="A75" s="198" t="inlineStr">
        <is>
          <t>oficio.arrombamento.especialista</t>
        </is>
      </c>
      <c r="B75" s="198">
        <f>N(FICHA!$E$109)&amp;""</f>
        <v/>
      </c>
      <c r="C75" s="198" t="inlineStr">
        <is>
          <t>FICHA!E109</t>
        </is>
      </c>
      <c r="D75" s="198" t="inlineStr">
        <is>
          <t>entrada</t>
        </is>
      </c>
    </row>
    <row r="76">
      <c r="A76" s="198" t="inlineStr">
        <is>
          <t>oficio.herbalismo.treino</t>
        </is>
      </c>
      <c r="B76" s="198">
        <f>N(FICHA!$D$110)&amp;""</f>
        <v/>
      </c>
      <c r="C76" s="198" t="inlineStr">
        <is>
          <t>FICHA!D110</t>
        </is>
      </c>
      <c r="D76" s="198" t="inlineStr">
        <is>
          <t>entrada</t>
        </is>
      </c>
    </row>
    <row r="77">
      <c r="A77" s="198" t="inlineStr">
        <is>
          <t>oficio.herbalismo.especialista</t>
        </is>
      </c>
      <c r="B77" s="198">
        <f>N(FICHA!$E$110)&amp;""</f>
        <v/>
      </c>
      <c r="C77" s="198" t="inlineStr">
        <is>
          <t>FICHA!E110</t>
        </is>
      </c>
      <c r="D77" s="198" t="inlineStr">
        <is>
          <t>entrada</t>
        </is>
      </c>
    </row>
    <row r="78">
      <c r="A78" s="198" t="inlineStr">
        <is>
          <t>oficio.forja.treino</t>
        </is>
      </c>
      <c r="B78" s="198">
        <f>N(FICHA!$D$111)&amp;""</f>
        <v/>
      </c>
      <c r="C78" s="198" t="inlineStr">
        <is>
          <t>FICHA!D111</t>
        </is>
      </c>
      <c r="D78" s="198" t="inlineStr">
        <is>
          <t>entrada</t>
        </is>
      </c>
    </row>
    <row r="79">
      <c r="A79" s="198" t="inlineStr">
        <is>
          <t>oficio.forja.especialista</t>
        </is>
      </c>
      <c r="B79" s="198">
        <f>N(FICHA!$E$111)&amp;""</f>
        <v/>
      </c>
      <c r="C79" s="198" t="inlineStr">
        <is>
          <t>FICHA!E111</t>
        </is>
      </c>
      <c r="D79" s="198" t="inlineStr">
        <is>
          <t>entrada</t>
        </is>
      </c>
    </row>
    <row r="80">
      <c r="A80" s="198" t="inlineStr">
        <is>
          <t>oficio.caligrafia.treino</t>
        </is>
      </c>
      <c r="B80" s="198">
        <f>N(FICHA!$D$112)&amp;""</f>
        <v/>
      </c>
      <c r="C80" s="198" t="inlineStr">
        <is>
          <t>FICHA!D112</t>
        </is>
      </c>
      <c r="D80" s="198" t="inlineStr">
        <is>
          <t>entrada</t>
        </is>
      </c>
    </row>
    <row r="81">
      <c r="A81" s="198" t="inlineStr">
        <is>
          <t>oficio.caligrafia.especialista</t>
        </is>
      </c>
      <c r="B81" s="198">
        <f>N(FICHA!$E$112)&amp;""</f>
        <v/>
      </c>
      <c r="C81" s="198" t="inlineStr">
        <is>
          <t>FICHA!E112</t>
        </is>
      </c>
      <c r="D81" s="198" t="inlineStr">
        <is>
          <t>entrada</t>
        </is>
      </c>
    </row>
    <row r="82">
      <c r="A82" s="198" t="inlineStr">
        <is>
          <t>oficio.burocracia.treino</t>
        </is>
      </c>
      <c r="B82" s="198">
        <f>N(FICHA!$D$113)&amp;""</f>
        <v/>
      </c>
      <c r="C82" s="198" t="inlineStr">
        <is>
          <t>FICHA!D113</t>
        </is>
      </c>
      <c r="D82" s="198" t="inlineStr">
        <is>
          <t>entrada</t>
        </is>
      </c>
    </row>
    <row r="83">
      <c r="A83" s="198" t="inlineStr">
        <is>
          <t>oficio.burocracia.especialista</t>
        </is>
      </c>
      <c r="B83" s="198">
        <f>N(FICHA!$E$113)&amp;""</f>
        <v/>
      </c>
      <c r="C83" s="198" t="inlineStr">
        <is>
          <t>FICHA!E113</t>
        </is>
      </c>
      <c r="D83" s="198" t="inlineStr">
        <is>
          <t>entrada</t>
        </is>
      </c>
    </row>
    <row r="84">
      <c r="A84" s="198" t="inlineStr">
        <is>
          <t>oficio.entalhador.treino</t>
        </is>
      </c>
      <c r="B84" s="198">
        <f>N(FICHA!$Q$108)&amp;""</f>
        <v/>
      </c>
      <c r="C84" s="198" t="inlineStr">
        <is>
          <t>FICHA!Q108</t>
        </is>
      </c>
      <c r="D84" s="198" t="inlineStr">
        <is>
          <t>entrada</t>
        </is>
      </c>
    </row>
    <row r="85">
      <c r="A85" s="198" t="inlineStr">
        <is>
          <t>oficio.entalhador.especialista</t>
        </is>
      </c>
      <c r="B85" s="198">
        <f>N(FICHA!$R$108)&amp;""</f>
        <v/>
      </c>
      <c r="C85" s="198" t="inlineStr">
        <is>
          <t>FICHA!R108</t>
        </is>
      </c>
      <c r="D85" s="198" t="inlineStr">
        <is>
          <t>entrada</t>
        </is>
      </c>
    </row>
    <row r="86">
      <c r="A86" s="198" t="inlineStr">
        <is>
          <t>oficio.alfaiate.treino</t>
        </is>
      </c>
      <c r="B86" s="198">
        <f>N(FICHA!$Q$109)&amp;""</f>
        <v/>
      </c>
      <c r="C86" s="198" t="inlineStr">
        <is>
          <t>FICHA!Q109</t>
        </is>
      </c>
      <c r="D86" s="198" t="inlineStr">
        <is>
          <t>entrada</t>
        </is>
      </c>
    </row>
    <row r="87">
      <c r="A87" s="198" t="inlineStr">
        <is>
          <t>oficio.alfaiate.especialista</t>
        </is>
      </c>
      <c r="B87" s="198">
        <f>N(FICHA!$R$109)&amp;""</f>
        <v/>
      </c>
      <c r="C87" s="198" t="inlineStr">
        <is>
          <t>FICHA!R109</t>
        </is>
      </c>
      <c r="D87" s="198" t="inlineStr">
        <is>
          <t>entrada</t>
        </is>
      </c>
    </row>
    <row r="88">
      <c r="A88" s="198" t="inlineStr">
        <is>
          <t>oficio.culinaria.treino</t>
        </is>
      </c>
      <c r="B88" s="198">
        <f>N(FICHA!$Q$110)&amp;""</f>
        <v/>
      </c>
      <c r="C88" s="198" t="inlineStr">
        <is>
          <t>FICHA!Q110</t>
        </is>
      </c>
      <c r="D88" s="198" t="inlineStr">
        <is>
          <t>entrada</t>
        </is>
      </c>
    </row>
    <row r="89">
      <c r="A89" s="198" t="inlineStr">
        <is>
          <t>oficio.culinaria.especialista</t>
        </is>
      </c>
      <c r="B89" s="198">
        <f>N(FICHA!$R$110)&amp;""</f>
        <v/>
      </c>
      <c r="C89" s="198" t="inlineStr">
        <is>
          <t>FICHA!R110</t>
        </is>
      </c>
      <c r="D89" s="198" t="inlineStr">
        <is>
          <t>entrada</t>
        </is>
      </c>
    </row>
    <row r="90">
      <c r="A90" s="198" t="inlineStr">
        <is>
          <t>oficio.instrumento.treino</t>
        </is>
      </c>
      <c r="B90" s="198">
        <f>N(FICHA!$Q$112)&amp;""</f>
        <v/>
      </c>
      <c r="C90" s="198" t="inlineStr">
        <is>
          <t>FICHA!Q112</t>
        </is>
      </c>
      <c r="D90" s="198" t="inlineStr">
        <is>
          <t>entrada</t>
        </is>
      </c>
    </row>
    <row r="91">
      <c r="A91" s="198" t="inlineStr">
        <is>
          <t>oficio.instrumento.especialista</t>
        </is>
      </c>
      <c r="B91" s="198">
        <f>N(FICHA!$R$112)&amp;""</f>
        <v/>
      </c>
      <c r="C91" s="198" t="inlineStr">
        <is>
          <t>FICHA!R112</t>
        </is>
      </c>
      <c r="D91" s="198" t="inlineStr">
        <is>
          <t>entrada</t>
        </is>
      </c>
    </row>
    <row r="92">
      <c r="A92" s="198" t="inlineStr">
        <is>
          <t>oficio.jogatina.treino</t>
        </is>
      </c>
      <c r="B92" s="198">
        <f>N(FICHA!$Q$111)&amp;""</f>
        <v/>
      </c>
      <c r="C92" s="198" t="inlineStr">
        <is>
          <t>FICHA!Q111</t>
        </is>
      </c>
      <c r="D92" s="198" t="inlineStr">
        <is>
          <t>entrada</t>
        </is>
      </c>
    </row>
    <row r="93">
      <c r="A93" s="198" t="inlineStr">
        <is>
          <t>oficio.jogatina.especialista</t>
        </is>
      </c>
      <c r="B93" s="198">
        <f>N(FICHA!$R$111)&amp;""</f>
        <v/>
      </c>
      <c r="C93" s="198" t="inlineStr">
        <is>
          <t>FICHA!R111</t>
        </is>
      </c>
      <c r="D93" s="198" t="inlineStr">
        <is>
          <t>entrada</t>
        </is>
      </c>
    </row>
    <row r="94">
      <c r="A94" s="198" t="inlineStr">
        <is>
          <t>tr.fisico.treino</t>
        </is>
      </c>
      <c r="B94" s="198">
        <f>N(FICHA!$AF$108)&amp;""</f>
        <v/>
      </c>
      <c r="C94" s="198" t="inlineStr">
        <is>
          <t>FICHA!AF108</t>
        </is>
      </c>
      <c r="D94" s="198" t="inlineStr">
        <is>
          <t>entrada</t>
        </is>
      </c>
    </row>
    <row r="95">
      <c r="A95" s="198" t="inlineStr">
        <is>
          <t>tr.vigor.treino</t>
        </is>
      </c>
      <c r="B95" s="198">
        <f>N(FICHA!$AF$109)&amp;""</f>
        <v/>
      </c>
      <c r="C95" s="198" t="inlineStr">
        <is>
          <t>FICHA!AF109</t>
        </is>
      </c>
      <c r="D95" s="198" t="inlineStr">
        <is>
          <t>entrada</t>
        </is>
      </c>
    </row>
    <row r="96">
      <c r="A96" s="198" t="inlineStr">
        <is>
          <t>tr.intelecto.treino</t>
        </is>
      </c>
      <c r="B96" s="198">
        <f>N(FICHA!$AF$110)&amp;""</f>
        <v/>
      </c>
      <c r="C96" s="198" t="inlineStr">
        <is>
          <t>FICHA!AF110</t>
        </is>
      </c>
      <c r="D96" s="198" t="inlineStr">
        <is>
          <t>entrada</t>
        </is>
      </c>
    </row>
    <row r="97">
      <c r="A97" s="198" t="inlineStr">
        <is>
          <t>tr.espirito.treino</t>
        </is>
      </c>
      <c r="B97" s="198">
        <f>N(FICHA!$AF$111)&amp;""</f>
        <v/>
      </c>
      <c r="C97" s="198" t="inlineStr">
        <is>
          <t>FICHA!AF111</t>
        </is>
      </c>
      <c r="D97" s="198" t="inlineStr">
        <is>
          <t>entrada</t>
        </is>
      </c>
    </row>
    <row r="98">
      <c r="A98" s="198" t="inlineStr">
        <is>
          <t>sequela.1</t>
        </is>
      </c>
      <c r="B98" s="198">
        <f>N(FICHA!$F$48)&amp;""</f>
        <v/>
      </c>
      <c r="C98" s="198" t="inlineStr">
        <is>
          <t>FICHA!F48</t>
        </is>
      </c>
      <c r="D98" s="198" t="inlineStr">
        <is>
          <t>entrada</t>
        </is>
      </c>
    </row>
    <row r="99">
      <c r="A99" s="198" t="inlineStr">
        <is>
          <t>sequela.2</t>
        </is>
      </c>
      <c r="B99" s="198">
        <f>N(FICHA!$H$48)&amp;""</f>
        <v/>
      </c>
      <c r="C99" s="198" t="inlineStr">
        <is>
          <t>FICHA!H48</t>
        </is>
      </c>
      <c r="D99" s="198" t="inlineStr">
        <is>
          <t>entrada</t>
        </is>
      </c>
    </row>
    <row r="100">
      <c r="A100" s="198" t="inlineStr">
        <is>
          <t>sequela.3</t>
        </is>
      </c>
      <c r="B100" s="198">
        <f>N(FICHA!$J$48)&amp;""</f>
        <v/>
      </c>
      <c r="C100" s="198" t="inlineStr">
        <is>
          <t>FICHA!J48</t>
        </is>
      </c>
      <c r="D100" s="198" t="inlineStr">
        <is>
          <t>entrada</t>
        </is>
      </c>
    </row>
    <row r="101">
      <c r="A101" s="198" t="inlineStr">
        <is>
          <t>exaustao</t>
        </is>
      </c>
      <c r="B101" s="198">
        <f>IF(ISBLANK(FICHA!$O$48),"",FICHA!$O$48&amp;"")</f>
        <v/>
      </c>
      <c r="C101" s="198" t="inlineStr">
        <is>
          <t>FICHA!O48</t>
        </is>
      </c>
      <c r="D101" s="198" t="inlineStr">
        <is>
          <t>entrada</t>
        </is>
      </c>
    </row>
    <row r="102">
      <c r="A102" s="198" t="inlineStr">
        <is>
          <t>resistencias</t>
        </is>
      </c>
      <c r="B102" s="198">
        <f>IF(ISBLANK(FICHA!$Z$48),"",FICHA!$Z$48&amp;"")</f>
        <v/>
      </c>
      <c r="C102" s="198" t="inlineStr">
        <is>
          <t>FICHA!Z48</t>
        </is>
      </c>
      <c r="D102" s="198" t="inlineStr">
        <is>
          <t>entrada</t>
        </is>
      </c>
    </row>
    <row r="103">
      <c r="A103" s="198" t="inlineStr">
        <is>
          <t>imunidades</t>
        </is>
      </c>
      <c r="B103" s="198">
        <f>IF(ISBLANK(FICHA!$AK$48),"",FICHA!$AK$48&amp;"")</f>
        <v/>
      </c>
      <c r="C103" s="198" t="inlineStr">
        <is>
          <t>FICHA!AK48</t>
        </is>
      </c>
      <c r="D103" s="198" t="inlineStr">
        <is>
          <t>entrada</t>
        </is>
      </c>
    </row>
    <row r="104">
      <c r="A104" s="198" t="inlineStr">
        <is>
          <t>treinado_em_armas</t>
        </is>
      </c>
      <c r="B104" s="198">
        <f>IF(ISBLANK(FICHA!$AK$79),"",FICHA!$AK$79&amp;"")</f>
        <v/>
      </c>
      <c r="C104" s="198" t="inlineStr">
        <is>
          <t>FICHA!AK79</t>
        </is>
      </c>
      <c r="D104" s="198" t="inlineStr">
        <is>
          <t>entrada</t>
        </is>
      </c>
    </row>
    <row r="105">
      <c r="A105" s="198" t="inlineStr">
        <is>
          <t>trocou_por_arma</t>
        </is>
      </c>
      <c r="B105" s="198">
        <f>IF(ISBLANK(FICHA!$AK$81),"",FICHA!$AK$81&amp;"")</f>
        <v/>
      </c>
      <c r="C105" s="198" t="inlineStr">
        <is>
          <t>FICHA!AK81</t>
        </is>
      </c>
      <c r="D105" s="198" t="inlineStr">
        <is>
          <t>entrada</t>
        </is>
      </c>
    </row>
    <row r="106">
      <c r="A106" s="198" t="inlineStr">
        <is>
          <t>grupo_de_arma_da_trilha</t>
        </is>
      </c>
      <c r="B106" s="198">
        <f>IF(ISBLANK(FICHA!$AK$85),"",FICHA!$AK$85&amp;"")</f>
        <v/>
      </c>
      <c r="C106" s="198" t="inlineStr">
        <is>
          <t>FICHA!AK85</t>
        </is>
      </c>
      <c r="D106" s="198" t="inlineStr">
        <is>
          <t>entrada</t>
        </is>
      </c>
    </row>
    <row r="107">
      <c r="A107" s="198" t="inlineStr">
        <is>
          <t>buff.cd_de_feitico</t>
        </is>
      </c>
      <c r="B107" s="198">
        <f>IF(ISBLANK(FICHA!$L$63),"",FICHA!$L$63&amp;"")</f>
        <v/>
      </c>
      <c r="C107" s="198" t="inlineStr">
        <is>
          <t>FICHA!L63</t>
        </is>
      </c>
      <c r="D107" s="198" t="inlineStr">
        <is>
          <t>entrada</t>
        </is>
      </c>
    </row>
    <row r="108">
      <c r="A108" s="198" t="inlineStr">
        <is>
          <t>buff.conjuracao</t>
        </is>
      </c>
      <c r="B108" s="198">
        <f>IF(ISBLANK(FICHA!$W$63),"",FICHA!$W$63&amp;"")</f>
        <v/>
      </c>
      <c r="C108" s="198" t="inlineStr">
        <is>
          <t>FICHA!W63</t>
        </is>
      </c>
      <c r="D108" s="198" t="inlineStr">
        <is>
          <t>entrada</t>
        </is>
      </c>
    </row>
    <row r="109">
      <c r="A109" s="198" t="inlineStr">
        <is>
          <t>buff.corpo_a_corpo</t>
        </is>
      </c>
      <c r="B109" s="198">
        <f>IF(ISBLANK(FICHA!$AH$63),"",FICHA!$AH$63&amp;"")</f>
        <v/>
      </c>
      <c r="C109" s="198" t="inlineStr">
        <is>
          <t>FICHA!AH63</t>
        </is>
      </c>
      <c r="D109" s="198" t="inlineStr">
        <is>
          <t>entrada</t>
        </is>
      </c>
    </row>
    <row r="110">
      <c r="A110" s="198" t="inlineStr">
        <is>
          <t>buff.defesa</t>
        </is>
      </c>
      <c r="B110" s="198">
        <f>IF(ISBLANK(FICHA!$L$59),"",FICHA!$L$59&amp;"")</f>
        <v/>
      </c>
      <c r="C110" s="198" t="inlineStr">
        <is>
          <t>FICHA!L59</t>
        </is>
      </c>
      <c r="D110" s="198" t="inlineStr">
        <is>
          <t>entrada</t>
        </is>
      </c>
    </row>
    <row r="111">
      <c r="A111" s="198" t="inlineStr">
        <is>
          <t>buff.deslocamento</t>
        </is>
      </c>
      <c r="B111" s="198">
        <f>IF(ISBLANK(FICHA!$W$67),"",FICHA!$W$67&amp;"")</f>
        <v/>
      </c>
      <c r="C111" s="198" t="inlineStr">
        <is>
          <t>FICHA!W67</t>
        </is>
      </c>
      <c r="D111" s="198" t="inlineStr">
        <is>
          <t>entrada</t>
        </is>
      </c>
    </row>
    <row r="112">
      <c r="A112" s="198" t="inlineStr">
        <is>
          <t>buff.energia</t>
        </is>
      </c>
      <c r="B112" s="198">
        <f>IF(ISBLANK(FICHA!$P$30),"",FICHA!$P$30&amp;"")</f>
        <v/>
      </c>
      <c r="C112" s="198" t="inlineStr">
        <is>
          <t>FICHA!P30</t>
        </is>
      </c>
      <c r="D112" s="198" t="inlineStr">
        <is>
          <t>entrada</t>
        </is>
      </c>
    </row>
    <row r="113">
      <c r="A113" s="198" t="inlineStr">
        <is>
          <t>buff.iniciativa</t>
        </is>
      </c>
      <c r="B113" s="198">
        <f>IF(ISBLANK(FICHA!$AS$59),"",FICHA!$AS$59&amp;"")</f>
        <v/>
      </c>
      <c r="C113" s="198" t="inlineStr">
        <is>
          <t>FICHA!AS59</t>
        </is>
      </c>
      <c r="D113" s="198" t="inlineStr">
        <is>
          <t>entrada</t>
        </is>
      </c>
    </row>
    <row r="114">
      <c r="A114" s="198" t="inlineStr">
        <is>
          <t>buff.integridade</t>
        </is>
      </c>
      <c r="B114" s="198">
        <f>IF(ISBLANK(FICHA!$P$34),"",FICHA!$P$34&amp;"")</f>
        <v/>
      </c>
      <c r="C114" s="198" t="inlineStr">
        <is>
          <t>FICHA!P34</t>
        </is>
      </c>
      <c r="D114" s="198" t="inlineStr">
        <is>
          <t>entrada</t>
        </is>
      </c>
    </row>
    <row r="115">
      <c r="A115" s="198" t="inlineStr">
        <is>
          <t>buff.protecao</t>
        </is>
      </c>
      <c r="B115" s="198">
        <f>IF(ISBLANK(FICHA!$W$59),"",FICHA!$W$59&amp;"")</f>
        <v/>
      </c>
      <c r="C115" s="198" t="inlineStr">
        <is>
          <t>FICHA!W59</t>
        </is>
      </c>
      <c r="D115" s="198" t="inlineStr">
        <is>
          <t>entrada</t>
        </is>
      </c>
    </row>
    <row r="116">
      <c r="A116" s="198" t="inlineStr">
        <is>
          <t>buff.vida</t>
        </is>
      </c>
      <c r="B116" s="198">
        <f>IF(ISBLANK(FICHA!$P$26),"",FICHA!$P$26&amp;"")</f>
        <v/>
      </c>
      <c r="C116" s="198" t="inlineStr">
        <is>
          <t>FICHA!P26</t>
        </is>
      </c>
      <c r="D116" s="198" t="inlineStr">
        <is>
          <t>entrada</t>
        </is>
      </c>
    </row>
    <row r="117">
      <c r="A117" s="198" t="inlineStr">
        <is>
          <t>buff.a_distancia</t>
        </is>
      </c>
      <c r="B117" s="198">
        <f>IF(ISBLANK(FICHA!$AS$63),"",FICHA!$AS$63&amp;"")</f>
        <v/>
      </c>
      <c r="C117" s="198" t="inlineStr">
        <is>
          <t>FICHA!AS63</t>
        </is>
      </c>
      <c r="D117" s="198" t="inlineStr">
        <is>
          <t>entrada</t>
        </is>
      </c>
    </row>
    <row r="118">
      <c r="A118" s="198" t="inlineStr">
        <is>
          <t>grau</t>
        </is>
      </c>
      <c r="B118" s="198">
        <f>IF(ISBLANK('FICHA PESSOAL'!$AB$11),"",'FICHA PESSOAL'!$AB$11&amp;"")</f>
        <v/>
      </c>
      <c r="C118" s="198">
        <f>"'FICHA PESSOAL'!AB11"</f>
        <v/>
      </c>
      <c r="D118" s="198" t="inlineStr">
        <is>
          <t>entrada</t>
        </is>
      </c>
    </row>
    <row r="119">
      <c r="A119" s="198" t="inlineStr">
        <is>
          <t>em_uso.principal</t>
        </is>
      </c>
      <c r="B119" s="198">
        <f>IF(ISBLANK('FICHA PESSOAL'!$D$64),"",'FICHA PESSOAL'!$D$64&amp;"")</f>
        <v/>
      </c>
      <c r="C119" s="198">
        <f>"'FICHA PESSOAL'!D64"</f>
        <v/>
      </c>
      <c r="D119" s="198" t="inlineStr">
        <is>
          <t>entrada</t>
        </is>
      </c>
    </row>
    <row r="120">
      <c r="A120" s="198" t="inlineStr">
        <is>
          <t>em_uso.secundaria</t>
        </is>
      </c>
      <c r="B120" s="198">
        <f>IF(ISBLANK('FICHA PESSOAL'!$S$64),"",'FICHA PESSOAL'!$S$64&amp;"")</f>
        <v/>
      </c>
      <c r="C120" s="198">
        <f>"'FICHA PESSOAL'!S64"</f>
        <v/>
      </c>
      <c r="D120" s="198" t="inlineStr">
        <is>
          <t>entrada</t>
        </is>
      </c>
    </row>
    <row r="121">
      <c r="A121" s="198" t="inlineStr">
        <is>
          <t>em_uso.vestindo</t>
        </is>
      </c>
      <c r="B121" s="198">
        <f>IF(ISBLANK('FICHA PESSOAL'!$AH$64),"",'FICHA PESSOAL'!$AH$64&amp;"")</f>
        <v/>
      </c>
      <c r="C121" s="198">
        <f>"'FICHA PESSOAL'!AH64"</f>
        <v/>
      </c>
      <c r="D121" s="198" t="inlineStr">
        <is>
          <t>entrada</t>
        </is>
      </c>
    </row>
    <row r="122">
      <c r="A122" s="198" t="inlineStr">
        <is>
          <t>origem.legados</t>
        </is>
      </c>
      <c r="B122" s="198">
        <f>IF(ISBLANK('FICHA PESSOAL'!$D$54),"",'FICHA PESSOAL'!$D$54&amp;"")</f>
        <v/>
      </c>
      <c r="C122" s="198">
        <f>"'FICHA PESSOAL'!D54"</f>
        <v/>
      </c>
      <c r="D122" s="198" t="inlineStr">
        <is>
          <t>entrada</t>
        </is>
      </c>
    </row>
    <row r="123">
      <c r="A123" s="198" t="inlineStr">
        <is>
          <t>origem.oficio_compativel</t>
        </is>
      </c>
      <c r="B123" s="198">
        <f>IF(ISBLANK('FICHA PESSOAL'!$AH$54),"",'FICHA PESSOAL'!$AH$54&amp;"")</f>
        <v/>
      </c>
      <c r="C123" s="198">
        <f>"'FICHA PESSOAL'!AH54"</f>
        <v/>
      </c>
      <c r="D123" s="198" t="inlineStr">
        <is>
          <t>entrada</t>
        </is>
      </c>
    </row>
    <row r="124">
      <c r="A124" s="198" t="inlineStr">
        <is>
          <t>origem.ce4</t>
        </is>
      </c>
      <c r="B124" s="198">
        <f>IF(ISBLANK('FICHA PESSOAL'!$D$58),"",'FICHA PESSOAL'!$D$58&amp;"")</f>
        <v/>
      </c>
      <c r="C124" s="198">
        <f>"'FICHA PESSOAL'!D58"</f>
        <v/>
      </c>
      <c r="D124" s="198" t="inlineStr">
        <is>
          <t>entrada</t>
        </is>
      </c>
    </row>
    <row r="125">
      <c r="A125" s="198" t="inlineStr">
        <is>
          <t>origem.marcante</t>
        </is>
      </c>
      <c r="B125" s="198">
        <f>IF(ISBLANK('FICHA PESSOAL'!$D$44),"",'FICHA PESSOAL'!$D$44&amp;"")</f>
        <v/>
      </c>
      <c r="C125" s="198">
        <f>"'FICHA PESSOAL'!D44"</f>
        <v/>
      </c>
      <c r="D125" s="198" t="inlineStr">
        <is>
          <t>entrada</t>
        </is>
      </c>
    </row>
    <row r="126">
      <c r="A126" s="198" t="inlineStr">
        <is>
          <t>origem.marcante.texto</t>
        </is>
      </c>
      <c r="B126" s="198">
        <f>IF(ISBLANK('FICHA PESSOAL'!$D$45),"",'FICHA PESSOAL'!$D$45&amp;"")</f>
        <v/>
      </c>
      <c r="C126" s="198">
        <f>"'FICHA PESSOAL'!D45"</f>
        <v/>
      </c>
      <c r="D126" s="198" t="inlineStr">
        <is>
          <t>entrada</t>
        </is>
      </c>
    </row>
    <row r="127">
      <c r="A127" s="198" t="inlineStr">
        <is>
          <t>origem.menor_1</t>
        </is>
      </c>
      <c r="B127" s="198">
        <f>IF(ISBLANK('FICHA PESSOAL'!$R$44),"",'FICHA PESSOAL'!$R$44&amp;"")</f>
        <v/>
      </c>
      <c r="C127" s="198">
        <f>"'FICHA PESSOAL'!R44"</f>
        <v/>
      </c>
      <c r="D127" s="198" t="inlineStr">
        <is>
          <t>entrada</t>
        </is>
      </c>
    </row>
    <row r="128">
      <c r="A128" s="198" t="inlineStr">
        <is>
          <t>origem.menor_1.texto</t>
        </is>
      </c>
      <c r="B128" s="198">
        <f>IF(ISBLANK('FICHA PESSOAL'!$R$45),"",'FICHA PESSOAL'!$R$45&amp;"")</f>
        <v/>
      </c>
      <c r="C128" s="198">
        <f>"'FICHA PESSOAL'!R45"</f>
        <v/>
      </c>
      <c r="D128" s="198" t="inlineStr">
        <is>
          <t>entrada</t>
        </is>
      </c>
    </row>
    <row r="129">
      <c r="A129" s="198" t="inlineStr">
        <is>
          <t>origem.menor_2</t>
        </is>
      </c>
      <c r="B129" s="198">
        <f>IF(ISBLANK('FICHA PESSOAL'!$AH$44),"",'FICHA PESSOAL'!$AH$44&amp;"")</f>
        <v/>
      </c>
      <c r="C129" s="198">
        <f>"'FICHA PESSOAL'!AH44"</f>
        <v/>
      </c>
      <c r="D129" s="198" t="inlineStr">
        <is>
          <t>entrada</t>
        </is>
      </c>
    </row>
    <row r="130">
      <c r="A130" s="198" t="inlineStr">
        <is>
          <t>origem.menor_2.texto</t>
        </is>
      </c>
      <c r="B130" s="198">
        <f>IF(ISBLANK('FICHA PESSOAL'!$AH$45),"",'FICHA PESSOAL'!$AH$45&amp;"")</f>
        <v/>
      </c>
      <c r="C130" s="198">
        <f>"'FICHA PESSOAL'!AH45"</f>
        <v/>
      </c>
      <c r="D130" s="198" t="inlineStr">
        <is>
          <t>entrada</t>
        </is>
      </c>
    </row>
    <row r="131">
      <c r="A131" s="198" t="inlineStr">
        <is>
          <t>treino_arma.bastao</t>
        </is>
      </c>
      <c r="B131" s="198">
        <f>N('FICHA PESSOAL'!$V$72)&amp;""</f>
        <v/>
      </c>
      <c r="C131" s="198">
        <f>"'FICHA PESSOAL'!V72"</f>
        <v/>
      </c>
      <c r="D131" s="198" t="inlineStr">
        <is>
          <t>entrada</t>
        </is>
      </c>
    </row>
    <row r="132">
      <c r="A132" s="198" t="inlineStr">
        <is>
          <t>treino_arma.besta</t>
        </is>
      </c>
      <c r="B132" s="198">
        <f>N('FICHA PESSOAL'!$V$82)&amp;""</f>
        <v/>
      </c>
      <c r="C132" s="198">
        <f>"'FICHA PESSOAL'!V82"</f>
        <v/>
      </c>
      <c r="D132" s="198" t="inlineStr">
        <is>
          <t>entrada</t>
        </is>
      </c>
    </row>
    <row r="133">
      <c r="A133" s="198" t="inlineStr">
        <is>
          <t>treino_arma.besta_de_uma_mao</t>
        </is>
      </c>
      <c r="B133" s="198">
        <f>N('FICHA PESSOAL'!$V$83)&amp;""</f>
        <v/>
      </c>
      <c r="C133" s="198">
        <f>"'FICHA PESSOAL'!V83"</f>
        <v/>
      </c>
      <c r="D133" s="198" t="inlineStr">
        <is>
          <t>entrada</t>
        </is>
      </c>
    </row>
    <row r="134">
      <c r="A134" s="198" t="inlineStr">
        <is>
          <t>treino_arma.bo</t>
        </is>
      </c>
      <c r="B134" s="198">
        <f>N('FICHA PESSOAL'!$V$73)&amp;""</f>
        <v/>
      </c>
      <c r="C134" s="198">
        <f>"'FICHA PESSOAL'!V73"</f>
        <v/>
      </c>
      <c r="D134" s="198" t="inlineStr">
        <is>
          <t>entrada</t>
        </is>
      </c>
    </row>
    <row r="135">
      <c r="A135" s="198" t="inlineStr">
        <is>
          <t>treino_arma.canivete</t>
        </is>
      </c>
      <c r="B135" s="198">
        <f>N('FICHA PESSOAL'!$AE$72)&amp;""</f>
        <v/>
      </c>
      <c r="C135" s="198">
        <f>"'FICHA PESSOAL'!AE72"</f>
        <v/>
      </c>
      <c r="D135" s="198" t="inlineStr">
        <is>
          <t>entrada</t>
        </is>
      </c>
    </row>
    <row r="136">
      <c r="A136" s="198" t="inlineStr">
        <is>
          <t>treino_arma.cassetete</t>
        </is>
      </c>
      <c r="B136" s="198">
        <f>N('FICHA PESSOAL'!$V$74)&amp;""</f>
        <v/>
      </c>
      <c r="C136" s="198">
        <f>"'FICHA PESSOAL'!V74"</f>
        <v/>
      </c>
      <c r="D136" s="198" t="inlineStr">
        <is>
          <t>entrada</t>
        </is>
      </c>
    </row>
    <row r="137">
      <c r="A137" s="198" t="inlineStr">
        <is>
          <t>treino_arma.chakram</t>
        </is>
      </c>
      <c r="B137" s="198">
        <f>N('FICHA PESSOAL'!$M$80)&amp;""</f>
        <v/>
      </c>
      <c r="C137" s="198">
        <f>"'FICHA PESSOAL'!M80"</f>
        <v/>
      </c>
      <c r="D137" s="198" t="inlineStr">
        <is>
          <t>entrada</t>
        </is>
      </c>
    </row>
    <row r="138">
      <c r="A138" s="198" t="inlineStr">
        <is>
          <t>treino_arma.chicote</t>
        </is>
      </c>
      <c r="B138" s="198">
        <f>N('FICHA PESSOAL'!$AE$78)&amp;""</f>
        <v/>
      </c>
      <c r="C138" s="198">
        <f>"'FICHA PESSOAL'!AE78"</f>
        <v/>
      </c>
      <c r="D138" s="198" t="inlineStr">
        <is>
          <t>entrada</t>
        </is>
      </c>
    </row>
    <row r="139">
      <c r="A139" s="198" t="inlineStr">
        <is>
          <t>treino_arma.corrente</t>
        </is>
      </c>
      <c r="B139" s="198">
        <f>N('FICHA PESSOAL'!$AE$79)&amp;""</f>
        <v/>
      </c>
      <c r="C139" s="198">
        <f>"'FICHA PESSOAL'!AE79"</f>
        <v/>
      </c>
      <c r="D139" s="198" t="inlineStr">
        <is>
          <t>entrada</t>
        </is>
      </c>
    </row>
    <row r="140">
      <c r="A140" s="198" t="inlineStr">
        <is>
          <t>treino_arma.daikyu</t>
        </is>
      </c>
      <c r="B140" s="198">
        <f>N('FICHA PESSOAL'!$AM$82)&amp;""</f>
        <v/>
      </c>
      <c r="C140" s="198">
        <f>"'FICHA PESSOAL'!AM82"</f>
        <v/>
      </c>
      <c r="D140" s="198" t="inlineStr">
        <is>
          <t>entrada</t>
        </is>
      </c>
    </row>
    <row r="141">
      <c r="A141" s="198" t="inlineStr">
        <is>
          <t>treino_arma.espada_longa</t>
        </is>
      </c>
      <c r="B141" s="198">
        <f>N('FICHA PESSOAL'!$D$72)&amp;""</f>
        <v/>
      </c>
      <c r="C141" s="198">
        <f>"'FICHA PESSOAL'!D72"</f>
        <v/>
      </c>
      <c r="D141" s="198" t="inlineStr">
        <is>
          <t>entrada</t>
        </is>
      </c>
    </row>
    <row r="142">
      <c r="A142" s="198" t="inlineStr">
        <is>
          <t>treino_arma.espadao</t>
        </is>
      </c>
      <c r="B142" s="198">
        <f>N('FICHA PESSOAL'!$D$73)&amp;""</f>
        <v/>
      </c>
      <c r="C142" s="198">
        <f>"'FICHA PESSOAL'!D73"</f>
        <v/>
      </c>
      <c r="D142" s="198" t="inlineStr">
        <is>
          <t>entrada</t>
        </is>
      </c>
    </row>
    <row r="143">
      <c r="A143" s="198" t="inlineStr">
        <is>
          <t>treino_arma.espingarda</t>
        </is>
      </c>
      <c r="B143" s="198">
        <f>N('FICHA PESSOAL'!$M$72)&amp;""</f>
        <v/>
      </c>
      <c r="C143" s="198">
        <f>"'FICHA PESSOAL'!M72"</f>
        <v/>
      </c>
      <c r="D143" s="198" t="inlineStr">
        <is>
          <t>entrada</t>
        </is>
      </c>
    </row>
    <row r="144">
      <c r="A144" s="198" t="inlineStr">
        <is>
          <t>treino_arma.faca</t>
        </is>
      </c>
      <c r="B144" s="198">
        <f>N('FICHA PESSOAL'!$AE$73)&amp;""</f>
        <v/>
      </c>
      <c r="C144" s="198">
        <f>"'FICHA PESSOAL'!AE73"</f>
        <v/>
      </c>
      <c r="D144" s="198" t="inlineStr">
        <is>
          <t>entrada</t>
        </is>
      </c>
    </row>
    <row r="145">
      <c r="A145" s="198" t="inlineStr">
        <is>
          <t>treino_arma.foice</t>
        </is>
      </c>
      <c r="B145" s="198">
        <f>N('FICHA PESSOAL'!$V$78)&amp;""</f>
        <v/>
      </c>
      <c r="C145" s="198">
        <f>"'FICHA PESSOAL'!V78"</f>
        <v/>
      </c>
      <c r="D145" s="198" t="inlineStr">
        <is>
          <t>entrada</t>
        </is>
      </c>
    </row>
    <row r="146">
      <c r="A146" s="198" t="inlineStr">
        <is>
          <t>treino_arma.hankyu</t>
        </is>
      </c>
      <c r="B146" s="198">
        <f>N('FICHA PESSOAL'!$AM$83)&amp;""</f>
        <v/>
      </c>
      <c r="C146" s="198">
        <f>"'FICHA PESSOAL'!AM83"</f>
        <v/>
      </c>
      <c r="D146" s="198" t="inlineStr">
        <is>
          <t>entrada</t>
        </is>
      </c>
    </row>
    <row r="147">
      <c r="A147" s="198" t="inlineStr">
        <is>
          <t>treino_arma.kama</t>
        </is>
      </c>
      <c r="B147" s="198">
        <f>N('FICHA PESSOAL'!$V$79)&amp;""</f>
        <v/>
      </c>
      <c r="C147" s="198">
        <f>"'FICHA PESSOAL'!V79"</f>
        <v/>
      </c>
      <c r="D147" s="198" t="inlineStr">
        <is>
          <t>entrada</t>
        </is>
      </c>
    </row>
    <row r="148">
      <c r="A148" s="198" t="inlineStr">
        <is>
          <t>treino_arma.kanabo</t>
        </is>
      </c>
      <c r="B148" s="198">
        <f>N('FICHA PESSOAL'!$AM$72)&amp;""</f>
        <v/>
      </c>
      <c r="C148" s="198">
        <f>"'FICHA PESSOAL'!AM72"</f>
        <v/>
      </c>
      <c r="D148" s="198" t="inlineStr">
        <is>
          <t>entrada</t>
        </is>
      </c>
    </row>
    <row r="149">
      <c r="A149" s="198" t="inlineStr">
        <is>
          <t>treino_arma.katana</t>
        </is>
      </c>
      <c r="B149" s="198">
        <f>N('FICHA PESSOAL'!$D$74)&amp;""</f>
        <v/>
      </c>
      <c r="C149" s="198">
        <f>"'FICHA PESSOAL'!D74"</f>
        <v/>
      </c>
      <c r="D149" s="198" t="inlineStr">
        <is>
          <t>entrada</t>
        </is>
      </c>
    </row>
    <row r="150">
      <c r="A150" s="198" t="inlineStr">
        <is>
          <t>treino_arma.kunai</t>
        </is>
      </c>
      <c r="B150" s="198">
        <f>N('FICHA PESSOAL'!$M$81)&amp;""</f>
        <v/>
      </c>
      <c r="C150" s="198">
        <f>"'FICHA PESSOAL'!M81"</f>
        <v/>
      </c>
      <c r="D150" s="198" t="inlineStr">
        <is>
          <t>entrada</t>
        </is>
      </c>
    </row>
    <row r="151">
      <c r="A151" s="198" t="inlineStr">
        <is>
          <t>treino_arma.kusarigama</t>
        </is>
      </c>
      <c r="B151" s="198">
        <f>N('FICHA PESSOAL'!$V$80)&amp;""</f>
        <v/>
      </c>
      <c r="C151" s="198">
        <f>"'FICHA PESSOAL'!V80"</f>
        <v/>
      </c>
      <c r="D151" s="198" t="inlineStr">
        <is>
          <t>entrada</t>
        </is>
      </c>
    </row>
    <row r="152">
      <c r="A152" s="198" t="inlineStr">
        <is>
          <t>treino_arma.lanca</t>
        </is>
      </c>
      <c r="B152" s="198">
        <f>N('FICHA PESSOAL'!$AM$78)&amp;""</f>
        <v/>
      </c>
      <c r="C152" s="198">
        <f>"'FICHA PESSOAL'!AM78"</f>
        <v/>
      </c>
      <c r="D152" s="198" t="inlineStr">
        <is>
          <t>entrada</t>
        </is>
      </c>
    </row>
    <row r="153">
      <c r="A153" s="198" t="inlineStr">
        <is>
          <t>treino_arma.machadinha</t>
        </is>
      </c>
      <c r="B153" s="198">
        <f>N('FICHA PESSOAL'!$D$81)&amp;""</f>
        <v/>
      </c>
      <c r="C153" s="198">
        <f>"'FICHA PESSOAL'!D81"</f>
        <v/>
      </c>
      <c r="D153" s="198" t="inlineStr">
        <is>
          <t>entrada</t>
        </is>
      </c>
    </row>
    <row r="154">
      <c r="A154" s="198" t="inlineStr">
        <is>
          <t>treino_arma.machado</t>
        </is>
      </c>
      <c r="B154" s="198">
        <f>N('FICHA PESSOAL'!$D$82)&amp;""</f>
        <v/>
      </c>
      <c r="C154" s="198">
        <f>"'FICHA PESSOAL'!D82"</f>
        <v/>
      </c>
      <c r="D154" s="198" t="inlineStr">
        <is>
          <t>entrada</t>
        </is>
      </c>
    </row>
    <row r="155">
      <c r="A155" s="198" t="inlineStr">
        <is>
          <t>treino_arma.machado_de_guerra</t>
        </is>
      </c>
      <c r="B155" s="198">
        <f>N('FICHA PESSOAL'!$D$83)&amp;""</f>
        <v/>
      </c>
      <c r="C155" s="198">
        <f>"'FICHA PESSOAL'!D83"</f>
        <v/>
      </c>
      <c r="D155" s="198" t="inlineStr">
        <is>
          <t>entrada</t>
        </is>
      </c>
    </row>
    <row r="156">
      <c r="A156" s="198" t="inlineStr">
        <is>
          <t>treino_arma.machete</t>
        </is>
      </c>
      <c r="B156" s="198">
        <f>N('FICHA PESSOAL'!$D$75)&amp;""</f>
        <v/>
      </c>
      <c r="C156" s="198">
        <f>"'FICHA PESSOAL'!D75"</f>
        <v/>
      </c>
      <c r="D156" s="198" t="inlineStr">
        <is>
          <t>entrada</t>
        </is>
      </c>
    </row>
    <row r="157">
      <c r="A157" s="198" t="inlineStr">
        <is>
          <t>treino_arma.manriki</t>
        </is>
      </c>
      <c r="B157" s="198">
        <f>N('FICHA PESSOAL'!$AE$80)&amp;""</f>
        <v/>
      </c>
      <c r="C157" s="198">
        <f>"'FICHA PESSOAL'!AE80"</f>
        <v/>
      </c>
      <c r="D157" s="198" t="inlineStr">
        <is>
          <t>entrada</t>
        </is>
      </c>
    </row>
    <row r="158">
      <c r="A158" s="198" t="inlineStr">
        <is>
          <t>treino_arma.marreta</t>
        </is>
      </c>
      <c r="B158" s="198">
        <f>N('FICHA PESSOAL'!$AM$73)&amp;""</f>
        <v/>
      </c>
      <c r="C158" s="198">
        <f>"'FICHA PESSOAL'!AM73"</f>
        <v/>
      </c>
      <c r="D158" s="198" t="inlineStr">
        <is>
          <t>entrada</t>
        </is>
      </c>
    </row>
    <row r="159">
      <c r="A159" s="198" t="inlineStr">
        <is>
          <t>treino_arma.maul</t>
        </is>
      </c>
      <c r="B159" s="198">
        <f>N('FICHA PESSOAL'!$AM$74)&amp;""</f>
        <v/>
      </c>
      <c r="C159" s="198">
        <f>"'FICHA PESSOAL'!AM74"</f>
        <v/>
      </c>
      <c r="D159" s="198" t="inlineStr">
        <is>
          <t>entrada</t>
        </is>
      </c>
    </row>
    <row r="160">
      <c r="A160" s="198" t="inlineStr">
        <is>
          <t>treino_arma.maca</t>
        </is>
      </c>
      <c r="B160" s="198">
        <f>N('FICHA PESSOAL'!$AM$75)&amp;""</f>
        <v/>
      </c>
      <c r="C160" s="198">
        <f>"'FICHA PESSOAL'!AM75"</f>
        <v/>
      </c>
      <c r="D160" s="198" t="inlineStr">
        <is>
          <t>entrada</t>
        </is>
      </c>
    </row>
    <row r="161">
      <c r="A161" s="198" t="inlineStr">
        <is>
          <t>treino_arma.metralhadora_pesada</t>
        </is>
      </c>
      <c r="B161" s="198">
        <f>N('FICHA PESSOAL'!$M$73)&amp;""</f>
        <v/>
      </c>
      <c r="C161" s="198">
        <f>"'FICHA PESSOAL'!M73"</f>
        <v/>
      </c>
      <c r="D161" s="198" t="inlineStr">
        <is>
          <t>entrada</t>
        </is>
      </c>
    </row>
    <row r="162">
      <c r="A162" s="198" t="inlineStr">
        <is>
          <t>treino_arma.naginata</t>
        </is>
      </c>
      <c r="B162" s="198">
        <f>N('FICHA PESSOAL'!$AM$79)&amp;""</f>
        <v/>
      </c>
      <c r="C162" s="198">
        <f>"'FICHA PESSOAL'!AM79"</f>
        <v/>
      </c>
      <c r="D162" s="198" t="inlineStr">
        <is>
          <t>entrada</t>
        </is>
      </c>
    </row>
    <row r="163">
      <c r="A163" s="198" t="inlineStr">
        <is>
          <t>treino_arma.nodachi</t>
        </is>
      </c>
      <c r="B163" s="198">
        <f>N('FICHA PESSOAL'!$D$76)&amp;""</f>
        <v/>
      </c>
      <c r="C163" s="198">
        <f>"'FICHA PESSOAL'!D76"</f>
        <v/>
      </c>
      <c r="D163" s="198" t="inlineStr">
        <is>
          <t>entrada</t>
        </is>
      </c>
    </row>
    <row r="164">
      <c r="A164" s="198" t="inlineStr">
        <is>
          <t>treino_arma.nunchaku</t>
        </is>
      </c>
      <c r="B164" s="198">
        <f>N('FICHA PESSOAL'!$V$75)&amp;""</f>
        <v/>
      </c>
      <c r="C164" s="198">
        <f>"'FICHA PESSOAL'!V75"</f>
        <v/>
      </c>
      <c r="D164" s="198" t="inlineStr">
        <is>
          <t>entrada</t>
        </is>
      </c>
    </row>
    <row r="165">
      <c r="A165" s="198" t="inlineStr">
        <is>
          <t>treino_arma.odachi</t>
        </is>
      </c>
      <c r="B165" s="198">
        <f>N('FICHA PESSOAL'!$D$77)&amp;""</f>
        <v/>
      </c>
      <c r="C165" s="198">
        <f>"'FICHA PESSOAL'!D77"</f>
        <v/>
      </c>
      <c r="D165" s="198" t="inlineStr">
        <is>
          <t>entrada</t>
        </is>
      </c>
    </row>
    <row r="166">
      <c r="A166" s="198" t="inlineStr">
        <is>
          <t>treino_arma.pistola</t>
        </is>
      </c>
      <c r="B166" s="198">
        <f>N('FICHA PESSOAL'!$M$74)&amp;""</f>
        <v/>
      </c>
      <c r="C166" s="198">
        <f>"'FICHA PESSOAL'!M74"</f>
        <v/>
      </c>
      <c r="D166" s="198" t="inlineStr">
        <is>
          <t>entrada</t>
        </is>
      </c>
    </row>
    <row r="167">
      <c r="A167" s="198" t="inlineStr">
        <is>
          <t>treino_arma.punhal</t>
        </is>
      </c>
      <c r="B167" s="198">
        <f>N('FICHA PESSOAL'!$AE$74)&amp;""</f>
        <v/>
      </c>
      <c r="C167" s="198">
        <f>"'FICHA PESSOAL'!AE74"</f>
        <v/>
      </c>
      <c r="D167" s="198" t="inlineStr">
        <is>
          <t>entrada</t>
        </is>
      </c>
    </row>
    <row r="168">
      <c r="A168" s="198" t="inlineStr">
        <is>
          <t>treino_arma.rapieira</t>
        </is>
      </c>
      <c r="B168" s="198">
        <f>N('FICHA PESSOAL'!$D$78)&amp;""</f>
        <v/>
      </c>
      <c r="C168" s="198">
        <f>"'FICHA PESSOAL'!D78"</f>
        <v/>
      </c>
      <c r="D168" s="198" t="inlineStr">
        <is>
          <t>entrada</t>
        </is>
      </c>
    </row>
    <row r="169">
      <c r="A169" s="198" t="inlineStr">
        <is>
          <t>treino_arma.revolver</t>
        </is>
      </c>
      <c r="B169" s="198">
        <f>N('FICHA PESSOAL'!$M$75)&amp;""</f>
        <v/>
      </c>
      <c r="C169" s="198">
        <f>"'FICHA PESSOAL'!M75"</f>
        <v/>
      </c>
      <c r="D169" s="198" t="inlineStr">
        <is>
          <t>entrada</t>
        </is>
      </c>
    </row>
    <row r="170">
      <c r="A170" s="198" t="inlineStr">
        <is>
          <t>treino_arma.rifle</t>
        </is>
      </c>
      <c r="B170" s="198">
        <f>N('FICHA PESSOAL'!$M$76)&amp;""</f>
        <v/>
      </c>
      <c r="C170" s="198">
        <f>"'FICHA PESSOAL'!M76"</f>
        <v/>
      </c>
      <c r="D170" s="198" t="inlineStr">
        <is>
          <t>entrada</t>
        </is>
      </c>
    </row>
    <row r="171">
      <c r="A171" s="198" t="inlineStr">
        <is>
          <t>treino_arma.rifle_de_precisao</t>
        </is>
      </c>
      <c r="B171" s="198">
        <f>N('FICHA PESSOAL'!$M$77)&amp;""</f>
        <v/>
      </c>
      <c r="C171" s="198">
        <f>"'FICHA PESSOAL'!M77"</f>
        <v/>
      </c>
      <c r="D171" s="198" t="inlineStr">
        <is>
          <t>entrada</t>
        </is>
      </c>
    </row>
    <row r="172">
      <c r="A172" s="198" t="inlineStr">
        <is>
          <t>treino_arma.sai</t>
        </is>
      </c>
      <c r="B172" s="198">
        <f>N('FICHA PESSOAL'!$AE$75)&amp;""</f>
        <v/>
      </c>
      <c r="C172" s="198">
        <f>"'FICHA PESSOAL'!AE75"</f>
        <v/>
      </c>
      <c r="D172" s="198" t="inlineStr">
        <is>
          <t>entrada</t>
        </is>
      </c>
    </row>
    <row r="173">
      <c r="A173" s="198" t="inlineStr">
        <is>
          <t>treino_arma.shuriken</t>
        </is>
      </c>
      <c r="B173" s="198">
        <f>N('FICHA PESSOAL'!$M$82)&amp;""</f>
        <v/>
      </c>
      <c r="C173" s="198">
        <f>"'FICHA PESSOAL'!M82"</f>
        <v/>
      </c>
      <c r="D173" s="198" t="inlineStr">
        <is>
          <t>entrada</t>
        </is>
      </c>
    </row>
    <row r="174">
      <c r="A174" s="198" t="inlineStr">
        <is>
          <t>treino_arma.soqueira</t>
        </is>
      </c>
      <c r="B174" s="198">
        <f>N('FICHA PESSOAL'!$AE$82)&amp;""</f>
        <v/>
      </c>
      <c r="C174" s="198">
        <f>"'FICHA PESSOAL'!AE82"</f>
        <v/>
      </c>
      <c r="D174" s="198" t="inlineStr">
        <is>
          <t>entrada</t>
        </is>
      </c>
    </row>
    <row r="175">
      <c r="A175" s="198" t="inlineStr">
        <is>
          <t>treino_arma.submetralhadora</t>
        </is>
      </c>
      <c r="B175" s="198">
        <f>N('FICHA PESSOAL'!$M$78)&amp;""</f>
        <v/>
      </c>
      <c r="C175" s="198">
        <f>"'FICHA PESSOAL'!M78"</f>
        <v/>
      </c>
      <c r="D175" s="198" t="inlineStr">
        <is>
          <t>entrada</t>
        </is>
      </c>
    </row>
    <row r="176">
      <c r="A176" s="198" t="inlineStr">
        <is>
          <t>treino_arma.taco</t>
        </is>
      </c>
      <c r="B176" s="198">
        <f>N('FICHA PESSOAL'!$AM$76)&amp;""</f>
        <v/>
      </c>
      <c r="C176" s="198">
        <f>"'FICHA PESSOAL'!AM76"</f>
        <v/>
      </c>
      <c r="D176" s="198" t="inlineStr">
        <is>
          <t>entrada</t>
        </is>
      </c>
    </row>
    <row r="177">
      <c r="A177" s="198" t="inlineStr">
        <is>
          <t>treino_arma.tanto</t>
        </is>
      </c>
      <c r="B177" s="198">
        <f>N('FICHA PESSOAL'!$AE$76)&amp;""</f>
        <v/>
      </c>
      <c r="C177" s="198">
        <f>"'FICHA PESSOAL'!AE76"</f>
        <v/>
      </c>
      <c r="D177" s="198" t="inlineStr">
        <is>
          <t>entrada</t>
        </is>
      </c>
    </row>
    <row r="178">
      <c r="A178" s="198" t="inlineStr">
        <is>
          <t>treino_arma.tekko</t>
        </is>
      </c>
      <c r="B178" s="198">
        <f>N('FICHA PESSOAL'!$AE$83)&amp;""</f>
        <v/>
      </c>
      <c r="C178" s="198">
        <f>"'FICHA PESSOAL'!AE83"</f>
        <v/>
      </c>
      <c r="D178" s="198" t="inlineStr">
        <is>
          <t>entrada</t>
        </is>
      </c>
    </row>
    <row r="179">
      <c r="A179" s="198" t="inlineStr">
        <is>
          <t>treino_arma.tessen</t>
        </is>
      </c>
      <c r="B179" s="198">
        <f>N('FICHA PESSOAL'!$M$83)&amp;""</f>
        <v/>
      </c>
      <c r="C179" s="198">
        <f>"'FICHA PESSOAL'!M83"</f>
        <v/>
      </c>
      <c r="D179" s="198" t="inlineStr">
        <is>
          <t>entrada</t>
        </is>
      </c>
    </row>
    <row r="180">
      <c r="A180" s="198" t="inlineStr">
        <is>
          <t>treino_arma.tonfa</t>
        </is>
      </c>
      <c r="B180" s="198">
        <f>N('FICHA PESSOAL'!$V$76)&amp;""</f>
        <v/>
      </c>
      <c r="C180" s="198">
        <f>"'FICHA PESSOAL'!V76"</f>
        <v/>
      </c>
      <c r="D180" s="198" t="inlineStr">
        <is>
          <t>entrada</t>
        </is>
      </c>
    </row>
    <row r="181">
      <c r="A181" s="198" t="inlineStr">
        <is>
          <t>treino_arma.wakizashi</t>
        </is>
      </c>
      <c r="B181" s="198">
        <f>N('FICHA PESSOAL'!$D$79)&amp;""</f>
        <v/>
      </c>
      <c r="C181" s="198">
        <f>"'FICHA PESSOAL'!D79"</f>
        <v/>
      </c>
      <c r="D181" s="198" t="inlineStr">
        <is>
          <t>entrada</t>
        </is>
      </c>
    </row>
    <row r="182">
      <c r="A182" s="198" t="inlineStr">
        <is>
          <t>treino_arma.yari</t>
        </is>
      </c>
      <c r="B182" s="198">
        <f>N('FICHA PESSOAL'!$AM$80)&amp;""</f>
        <v/>
      </c>
      <c r="C182" s="198">
        <f>"'FICHA PESSOAL'!AM80"</f>
        <v/>
      </c>
      <c r="D182" s="198" t="inlineStr">
        <is>
          <t>entrada</t>
        </is>
      </c>
    </row>
    <row r="183">
      <c r="A183" s="198" t="inlineStr">
        <is>
          <t>equipavel.1</t>
        </is>
      </c>
      <c r="B183" s="198">
        <f>TEXTJOIN(" · ",TRUE,'FICHA PESSOAL'!$D$92,'FICHA PESSOAL'!$AI$92)</f>
        <v/>
      </c>
      <c r="C183" s="198">
        <f>"'FICHA PESSOAL'!D92 'FICHA PESSOAL'!AI92"</f>
        <v/>
      </c>
      <c r="D183" s="198" t="inlineStr">
        <is>
          <t>entrada</t>
        </is>
      </c>
    </row>
    <row r="184">
      <c r="A184" s="198" t="inlineStr">
        <is>
          <t>equipavel.2</t>
        </is>
      </c>
      <c r="B184" s="198">
        <f>TEXTJOIN(" · ",TRUE,'FICHA PESSOAL'!$D$93,'FICHA PESSOAL'!$AI$93)</f>
        <v/>
      </c>
      <c r="C184" s="198">
        <f>"'FICHA PESSOAL'!D93 'FICHA PESSOAL'!AI93"</f>
        <v/>
      </c>
      <c r="D184" s="198" t="inlineStr">
        <is>
          <t>entrada</t>
        </is>
      </c>
    </row>
    <row r="185">
      <c r="A185" s="198" t="inlineStr">
        <is>
          <t>equipavel.3</t>
        </is>
      </c>
      <c r="B185" s="198">
        <f>TEXTJOIN(" · ",TRUE,'FICHA PESSOAL'!$D$94,'FICHA PESSOAL'!$AI$94)</f>
        <v/>
      </c>
      <c r="C185" s="198">
        <f>"'FICHA PESSOAL'!D94 'FICHA PESSOAL'!AI94"</f>
        <v/>
      </c>
      <c r="D185" s="198" t="inlineStr">
        <is>
          <t>entrada</t>
        </is>
      </c>
    </row>
    <row r="186">
      <c r="A186" s="198" t="inlineStr">
        <is>
          <t>equipavel.4</t>
        </is>
      </c>
      <c r="B186" s="198">
        <f>TEXTJOIN(" · ",TRUE,'FICHA PESSOAL'!$D$95,'FICHA PESSOAL'!$AI$95)</f>
        <v/>
      </c>
      <c r="C186" s="198">
        <f>"'FICHA PESSOAL'!D95 'FICHA PESSOAL'!AI95"</f>
        <v/>
      </c>
      <c r="D186" s="198" t="inlineStr">
        <is>
          <t>entrada</t>
        </is>
      </c>
    </row>
    <row r="187">
      <c r="A187" s="198" t="inlineStr">
        <is>
          <t>equipavel.5</t>
        </is>
      </c>
      <c r="B187" s="198">
        <f>TEXTJOIN(" · ",TRUE,'FICHA PESSOAL'!$D$96,'FICHA PESSOAL'!$AI$96)</f>
        <v/>
      </c>
      <c r="C187" s="198">
        <f>"'FICHA PESSOAL'!D96 'FICHA PESSOAL'!AI96"</f>
        <v/>
      </c>
      <c r="D187" s="198" t="inlineStr">
        <is>
          <t>entrada</t>
        </is>
      </c>
    </row>
    <row r="188">
      <c r="A188" s="198" t="inlineStr">
        <is>
          <t>equipavel.6</t>
        </is>
      </c>
      <c r="B188" s="198">
        <f>TEXTJOIN(" · ",TRUE,'FICHA PESSOAL'!$D$97,'FICHA PESSOAL'!$AI$97)</f>
        <v/>
      </c>
      <c r="C188" s="198">
        <f>"'FICHA PESSOAL'!D97 'FICHA PESSOAL'!AI97"</f>
        <v/>
      </c>
      <c r="D188" s="198" t="inlineStr">
        <is>
          <t>entrada</t>
        </is>
      </c>
    </row>
    <row r="189">
      <c r="A189" s="198" t="inlineStr">
        <is>
          <t>equipavel.7</t>
        </is>
      </c>
      <c r="B189" s="198">
        <f>TEXTJOIN(" · ",TRUE,'FICHA PESSOAL'!$D$98,'FICHA PESSOAL'!$AI$98)</f>
        <v/>
      </c>
      <c r="C189" s="198">
        <f>"'FICHA PESSOAL'!D98 'FICHA PESSOAL'!AI98"</f>
        <v/>
      </c>
      <c r="D189" s="198" t="inlineStr">
        <is>
          <t>entrada</t>
        </is>
      </c>
    </row>
    <row r="190">
      <c r="A190" s="198" t="inlineStr">
        <is>
          <t>equipavel.8</t>
        </is>
      </c>
      <c r="B190" s="198">
        <f>TEXTJOIN(" · ",TRUE,'FICHA PESSOAL'!$D$99,'FICHA PESSOAL'!$AI$99)</f>
        <v/>
      </c>
      <c r="C190" s="198">
        <f>"'FICHA PESSOAL'!D99 'FICHA PESSOAL'!AI99"</f>
        <v/>
      </c>
      <c r="D190" s="198" t="inlineStr">
        <is>
          <t>entrada</t>
        </is>
      </c>
    </row>
    <row r="191">
      <c r="A191" s="198" t="inlineStr">
        <is>
          <t>item.1</t>
        </is>
      </c>
      <c r="B191" s="198">
        <f>TEXTJOIN(" · ",TRUE,'FICHA PESSOAL'!$D$104,'FICHA PESSOAL'!$T$104)</f>
        <v/>
      </c>
      <c r="C191" s="198">
        <f>"'FICHA PESSOAL'!D104 'FICHA PESSOAL'!T104"</f>
        <v/>
      </c>
      <c r="D191" s="198" t="inlineStr">
        <is>
          <t>entrada</t>
        </is>
      </c>
    </row>
    <row r="192">
      <c r="A192" s="198" t="inlineStr">
        <is>
          <t>item.7</t>
        </is>
      </c>
      <c r="B192" s="198">
        <f>TEXTJOIN(" · ",TRUE,'FICHA PESSOAL'!$Z$104,'FICHA PESSOAL'!$AP$104)</f>
        <v/>
      </c>
      <c r="C192" s="198">
        <f>"'FICHA PESSOAL'!Z104 'FICHA PESSOAL'!AP104"</f>
        <v/>
      </c>
      <c r="D192" s="198" t="inlineStr">
        <is>
          <t>entrada</t>
        </is>
      </c>
    </row>
    <row r="193">
      <c r="A193" s="198" t="inlineStr">
        <is>
          <t>item.2</t>
        </is>
      </c>
      <c r="B193" s="198">
        <f>TEXTJOIN(" · ",TRUE,'FICHA PESSOAL'!$D$105,'FICHA PESSOAL'!$T$105)</f>
        <v/>
      </c>
      <c r="C193" s="198">
        <f>"'FICHA PESSOAL'!D105 'FICHA PESSOAL'!T105"</f>
        <v/>
      </c>
      <c r="D193" s="198" t="inlineStr">
        <is>
          <t>entrada</t>
        </is>
      </c>
    </row>
    <row r="194">
      <c r="A194" s="198" t="inlineStr">
        <is>
          <t>item.8</t>
        </is>
      </c>
      <c r="B194" s="198">
        <f>TEXTJOIN(" · ",TRUE,'FICHA PESSOAL'!$Z$105,'FICHA PESSOAL'!$AP$105)</f>
        <v/>
      </c>
      <c r="C194" s="198">
        <f>"'FICHA PESSOAL'!Z105 'FICHA PESSOAL'!AP105"</f>
        <v/>
      </c>
      <c r="D194" s="198" t="inlineStr">
        <is>
          <t>entrada</t>
        </is>
      </c>
    </row>
    <row r="195">
      <c r="A195" s="198" t="inlineStr">
        <is>
          <t>item.3</t>
        </is>
      </c>
      <c r="B195" s="198">
        <f>TEXTJOIN(" · ",TRUE,'FICHA PESSOAL'!$D$106,'FICHA PESSOAL'!$T$106)</f>
        <v/>
      </c>
      <c r="C195" s="198">
        <f>"'FICHA PESSOAL'!D106 'FICHA PESSOAL'!T106"</f>
        <v/>
      </c>
      <c r="D195" s="198" t="inlineStr">
        <is>
          <t>entrada</t>
        </is>
      </c>
    </row>
    <row r="196">
      <c r="A196" s="198" t="inlineStr">
        <is>
          <t>item.9</t>
        </is>
      </c>
      <c r="B196" s="198">
        <f>TEXTJOIN(" · ",TRUE,'FICHA PESSOAL'!$Z$106,'FICHA PESSOAL'!$AP$106)</f>
        <v/>
      </c>
      <c r="C196" s="198">
        <f>"'FICHA PESSOAL'!Z106 'FICHA PESSOAL'!AP106"</f>
        <v/>
      </c>
      <c r="D196" s="198" t="inlineStr">
        <is>
          <t>entrada</t>
        </is>
      </c>
    </row>
    <row r="197">
      <c r="A197" s="198" t="inlineStr">
        <is>
          <t>item.4</t>
        </is>
      </c>
      <c r="B197" s="198">
        <f>TEXTJOIN(" · ",TRUE,'FICHA PESSOAL'!$D$107,'FICHA PESSOAL'!$T$107)</f>
        <v/>
      </c>
      <c r="C197" s="198">
        <f>"'FICHA PESSOAL'!D107 'FICHA PESSOAL'!T107"</f>
        <v/>
      </c>
      <c r="D197" s="198" t="inlineStr">
        <is>
          <t>entrada</t>
        </is>
      </c>
    </row>
    <row r="198">
      <c r="A198" s="198" t="inlineStr">
        <is>
          <t>item.10</t>
        </is>
      </c>
      <c r="B198" s="198">
        <f>TEXTJOIN(" · ",TRUE,'FICHA PESSOAL'!$Z$107,'FICHA PESSOAL'!$AP$107)</f>
        <v/>
      </c>
      <c r="C198" s="198">
        <f>"'FICHA PESSOAL'!Z107 'FICHA PESSOAL'!AP107"</f>
        <v/>
      </c>
      <c r="D198" s="198" t="inlineStr">
        <is>
          <t>entrada</t>
        </is>
      </c>
    </row>
    <row r="199">
      <c r="A199" s="198" t="inlineStr">
        <is>
          <t>item.5</t>
        </is>
      </c>
      <c r="B199" s="198">
        <f>TEXTJOIN(" · ",TRUE,'FICHA PESSOAL'!$D$108,'FICHA PESSOAL'!$T$108)</f>
        <v/>
      </c>
      <c r="C199" s="198">
        <f>"'FICHA PESSOAL'!D108 'FICHA PESSOAL'!T108"</f>
        <v/>
      </c>
      <c r="D199" s="198" t="inlineStr">
        <is>
          <t>entrada</t>
        </is>
      </c>
    </row>
    <row r="200">
      <c r="A200" s="198" t="inlineStr">
        <is>
          <t>item.11</t>
        </is>
      </c>
      <c r="B200" s="198">
        <f>TEXTJOIN(" · ",TRUE,'FICHA PESSOAL'!$Z$108,'FICHA PESSOAL'!$AP$108)</f>
        <v/>
      </c>
      <c r="C200" s="198">
        <f>"'FICHA PESSOAL'!Z108 'FICHA PESSOAL'!AP108"</f>
        <v/>
      </c>
      <c r="D200" s="198" t="inlineStr">
        <is>
          <t>entrada</t>
        </is>
      </c>
    </row>
    <row r="201">
      <c r="A201" s="198" t="inlineStr">
        <is>
          <t>item.6</t>
        </is>
      </c>
      <c r="B201" s="198">
        <f>TEXTJOIN(" · ",TRUE,'FICHA PESSOAL'!$D$109,'FICHA PESSOAL'!$T$109)</f>
        <v/>
      </c>
      <c r="C201" s="198">
        <f>"'FICHA PESSOAL'!D109 'FICHA PESSOAL'!T109"</f>
        <v/>
      </c>
      <c r="D201" s="198" t="inlineStr">
        <is>
          <t>entrada</t>
        </is>
      </c>
    </row>
    <row r="202">
      <c r="A202" s="198" t="inlineStr">
        <is>
          <t>item.12</t>
        </is>
      </c>
      <c r="B202" s="198">
        <f>TEXTJOIN(" · ",TRUE,'FICHA PESSOAL'!$Z$109,'FICHA PESSOAL'!$AP$109)</f>
        <v/>
      </c>
      <c r="C202" s="198">
        <f>"'FICHA PESSOAL'!Z109 'FICHA PESSOAL'!AP109"</f>
        <v/>
      </c>
      <c r="D202" s="198" t="inlineStr">
        <is>
          <t>entrada</t>
        </is>
      </c>
    </row>
    <row r="203">
      <c r="A203" s="198" t="inlineStr">
        <is>
          <t>missao.1.1</t>
        </is>
      </c>
      <c r="B203" s="198">
        <f>TEXTJOIN(" · ",TRUE,'FICHA PESSOAL'!$AW$15,'FICHA PESSOAL'!$AX$15,'FICHA PESSOAL'!$AY$15,'FICHA PESSOAL'!$AZ$15,'FICHA PESSOAL'!$BA$15)</f>
        <v/>
      </c>
      <c r="C203" s="198">
        <f>"'FICHA PESSOAL'!AW15 'FICHA PESSOAL'!AX15 'FICHA PESSOAL'!AY15 'FICHA PESSOAL'!AZ15 'FICHA PESSOAL'!BA15"</f>
        <v/>
      </c>
      <c r="D203" s="198" t="inlineStr">
        <is>
          <t>entrada</t>
        </is>
      </c>
    </row>
    <row r="204">
      <c r="A204" s="198" t="inlineStr">
        <is>
          <t>missao.1.2</t>
        </is>
      </c>
      <c r="B204" s="198">
        <f>TEXTJOIN(" · ",TRUE,'FICHA PESSOAL'!$AW$16,'FICHA PESSOAL'!$AX$16,'FICHA PESSOAL'!$AY$16,'FICHA PESSOAL'!$AZ$16,'FICHA PESSOAL'!$BA$16)</f>
        <v/>
      </c>
      <c r="C204" s="198">
        <f>"'FICHA PESSOAL'!AW16 'FICHA PESSOAL'!AX16 'FICHA PESSOAL'!AY16 'FICHA PESSOAL'!AZ16 'FICHA PESSOAL'!BA16"</f>
        <v/>
      </c>
      <c r="D204" s="198" t="inlineStr">
        <is>
          <t>entrada</t>
        </is>
      </c>
    </row>
    <row r="205">
      <c r="A205" s="198" t="inlineStr">
        <is>
          <t>missao.1.3</t>
        </is>
      </c>
      <c r="B205" s="198">
        <f>TEXTJOIN(" · ",TRUE,'FICHA PESSOAL'!$AW$17,'FICHA PESSOAL'!$AX$17,'FICHA PESSOAL'!$AY$17,'FICHA PESSOAL'!$AZ$17,'FICHA PESSOAL'!$BA$17)</f>
        <v/>
      </c>
      <c r="C205" s="198">
        <f>"'FICHA PESSOAL'!AW17 'FICHA PESSOAL'!AX17 'FICHA PESSOAL'!AY17 'FICHA PESSOAL'!AZ17 'FICHA PESSOAL'!BA17"</f>
        <v/>
      </c>
      <c r="D205" s="198" t="inlineStr">
        <is>
          <t>entrada</t>
        </is>
      </c>
    </row>
    <row r="206">
      <c r="A206" s="198" t="inlineStr">
        <is>
          <t>missao.1.4</t>
        </is>
      </c>
      <c r="B206" s="198">
        <f>TEXTJOIN(" · ",TRUE,'FICHA PESSOAL'!$AW$18,'FICHA PESSOAL'!$AX$18,'FICHA PESSOAL'!$AY$18,'FICHA PESSOAL'!$AZ$18,'FICHA PESSOAL'!$BA$18)</f>
        <v/>
      </c>
      <c r="C206" s="198">
        <f>"'FICHA PESSOAL'!AW18 'FICHA PESSOAL'!AX18 'FICHA PESSOAL'!AY18 'FICHA PESSOAL'!AZ18 'FICHA PESSOAL'!BA18"</f>
        <v/>
      </c>
      <c r="D206" s="198" t="inlineStr">
        <is>
          <t>entrada</t>
        </is>
      </c>
    </row>
    <row r="207">
      <c r="A207" s="198" t="inlineStr">
        <is>
          <t>missao.1.5</t>
        </is>
      </c>
      <c r="B207" s="198">
        <f>TEXTJOIN(" · ",TRUE,'FICHA PESSOAL'!$AW$19,'FICHA PESSOAL'!$AX$19,'FICHA PESSOAL'!$AY$19,'FICHA PESSOAL'!$AZ$19,'FICHA PESSOAL'!$BA$19)</f>
        <v/>
      </c>
      <c r="C207" s="198">
        <f>"'FICHA PESSOAL'!AW19 'FICHA PESSOAL'!AX19 'FICHA PESSOAL'!AY19 'FICHA PESSOAL'!AZ19 'FICHA PESSOAL'!BA19"</f>
        <v/>
      </c>
      <c r="D207" s="198" t="inlineStr">
        <is>
          <t>entrada</t>
        </is>
      </c>
    </row>
    <row r="208">
      <c r="A208" s="198" t="inlineStr">
        <is>
          <t>missao.1.6</t>
        </is>
      </c>
      <c r="B208" s="198">
        <f>TEXTJOIN(" · ",TRUE,'FICHA PESSOAL'!$AW$20,'FICHA PESSOAL'!$AX$20,'FICHA PESSOAL'!$AY$20,'FICHA PESSOAL'!$AZ$20,'FICHA PESSOAL'!$BA$20)</f>
        <v/>
      </c>
      <c r="C208" s="198">
        <f>"'FICHA PESSOAL'!AW20 'FICHA PESSOAL'!AX20 'FICHA PESSOAL'!AY20 'FICHA PESSOAL'!AZ20 'FICHA PESSOAL'!BA20"</f>
        <v/>
      </c>
      <c r="D208" s="198" t="inlineStr">
        <is>
          <t>entrada</t>
        </is>
      </c>
    </row>
    <row r="209">
      <c r="A209" s="198" t="inlineStr">
        <is>
          <t>missao.1.7</t>
        </is>
      </c>
      <c r="B209" s="198">
        <f>TEXTJOIN(" · ",TRUE,'FICHA PESSOAL'!$AW$21,'FICHA PESSOAL'!$AX$21,'FICHA PESSOAL'!$AY$21,'FICHA PESSOAL'!$AZ$21,'FICHA PESSOAL'!$BA$21)</f>
        <v/>
      </c>
      <c r="C209" s="198">
        <f>"'FICHA PESSOAL'!AW21 'FICHA PESSOAL'!AX21 'FICHA PESSOAL'!AY21 'FICHA PESSOAL'!AZ21 'FICHA PESSOAL'!BA21"</f>
        <v/>
      </c>
      <c r="D209" s="198" t="inlineStr">
        <is>
          <t>entrada</t>
        </is>
      </c>
    </row>
    <row r="210">
      <c r="A210" s="198" t="inlineStr">
        <is>
          <t>missao.1.8</t>
        </is>
      </c>
      <c r="B210" s="198">
        <f>TEXTJOIN(" · ",TRUE,'FICHA PESSOAL'!$AW$22,'FICHA PESSOAL'!$AX$22,'FICHA PESSOAL'!$AY$22,'FICHA PESSOAL'!$AZ$22,'FICHA PESSOAL'!$BA$22)</f>
        <v/>
      </c>
      <c r="C210" s="198">
        <f>"'FICHA PESSOAL'!AW22 'FICHA PESSOAL'!AX22 'FICHA PESSOAL'!AY22 'FICHA PESSOAL'!AZ22 'FICHA PESSOAL'!BA22"</f>
        <v/>
      </c>
      <c r="D210" s="198" t="inlineStr">
        <is>
          <t>entrada</t>
        </is>
      </c>
    </row>
    <row r="211">
      <c r="A211" s="198" t="inlineStr">
        <is>
          <t>missao.1.9</t>
        </is>
      </c>
      <c r="B211" s="198">
        <f>TEXTJOIN(" · ",TRUE,'FICHA PESSOAL'!$AW$23,'FICHA PESSOAL'!$AX$23,'FICHA PESSOAL'!$AY$23,'FICHA PESSOAL'!$AZ$23,'FICHA PESSOAL'!$BA$23)</f>
        <v/>
      </c>
      <c r="C211" s="198">
        <f>"'FICHA PESSOAL'!AW23 'FICHA PESSOAL'!AX23 'FICHA PESSOAL'!AY23 'FICHA PESSOAL'!AZ23 'FICHA PESSOAL'!BA23"</f>
        <v/>
      </c>
      <c r="D211" s="198" t="inlineStr">
        <is>
          <t>entrada</t>
        </is>
      </c>
    </row>
    <row r="212">
      <c r="A212" s="198" t="inlineStr">
        <is>
          <t>missao.1.10</t>
        </is>
      </c>
      <c r="B212" s="198">
        <f>TEXTJOIN(" · ",TRUE,'FICHA PESSOAL'!$AW$24,'FICHA PESSOAL'!$AX$24,'FICHA PESSOAL'!$AY$24,'FICHA PESSOAL'!$AZ$24,'FICHA PESSOAL'!$BA$24)</f>
        <v/>
      </c>
      <c r="C212" s="198">
        <f>"'FICHA PESSOAL'!AW24 'FICHA PESSOAL'!AX24 'FICHA PESSOAL'!AY24 'FICHA PESSOAL'!AZ24 'FICHA PESSOAL'!BA24"</f>
        <v/>
      </c>
      <c r="D212" s="198" t="inlineStr">
        <is>
          <t>entrada</t>
        </is>
      </c>
    </row>
    <row r="213">
      <c r="A213" s="198" t="inlineStr">
        <is>
          <t>missao.1.11</t>
        </is>
      </c>
      <c r="B213" s="198">
        <f>TEXTJOIN(" · ",TRUE,'FICHA PESSOAL'!$AW$25,'FICHA PESSOAL'!$AX$25,'FICHA PESSOAL'!$AY$25,'FICHA PESSOAL'!$AZ$25,'FICHA PESSOAL'!$BA$25)</f>
        <v/>
      </c>
      <c r="C213" s="198">
        <f>"'FICHA PESSOAL'!AW25 'FICHA PESSOAL'!AX25 'FICHA PESSOAL'!AY25 'FICHA PESSOAL'!AZ25 'FICHA PESSOAL'!BA25"</f>
        <v/>
      </c>
      <c r="D213" s="198" t="inlineStr">
        <is>
          <t>entrada</t>
        </is>
      </c>
    </row>
    <row r="214">
      <c r="A214" s="198" t="inlineStr">
        <is>
          <t>missao.1.12</t>
        </is>
      </c>
      <c r="B214" s="198">
        <f>TEXTJOIN(" · ",TRUE,'FICHA PESSOAL'!$AW$26,'FICHA PESSOAL'!$AX$26,'FICHA PESSOAL'!$AY$26,'FICHA PESSOAL'!$AZ$26,'FICHA PESSOAL'!$BA$26)</f>
        <v/>
      </c>
      <c r="C214" s="198">
        <f>"'FICHA PESSOAL'!AW26 'FICHA PESSOAL'!AX26 'FICHA PESSOAL'!AY26 'FICHA PESSOAL'!AZ26 'FICHA PESSOAL'!BA26"</f>
        <v/>
      </c>
      <c r="D214" s="198" t="inlineStr">
        <is>
          <t>entrada</t>
        </is>
      </c>
    </row>
    <row r="215">
      <c r="A215" s="198" t="inlineStr">
        <is>
          <t>missao.1.13</t>
        </is>
      </c>
      <c r="B215" s="198">
        <f>TEXTJOIN(" · ",TRUE,'FICHA PESSOAL'!$AW$27,'FICHA PESSOAL'!$AX$27,'FICHA PESSOAL'!$AY$27,'FICHA PESSOAL'!$AZ$27,'FICHA PESSOAL'!$BA$27)</f>
        <v/>
      </c>
      <c r="C215" s="198">
        <f>"'FICHA PESSOAL'!AW27 'FICHA PESSOAL'!AX27 'FICHA PESSOAL'!AY27 'FICHA PESSOAL'!AZ27 'FICHA PESSOAL'!BA27"</f>
        <v/>
      </c>
      <c r="D215" s="198" t="inlineStr">
        <is>
          <t>entrada</t>
        </is>
      </c>
    </row>
    <row r="216">
      <c r="A216" s="198" t="inlineStr">
        <is>
          <t>missao.1.14</t>
        </is>
      </c>
      <c r="B216" s="198">
        <f>TEXTJOIN(" · ",TRUE,'FICHA PESSOAL'!$AW$28,'FICHA PESSOAL'!$AX$28,'FICHA PESSOAL'!$AY$28,'FICHA PESSOAL'!$AZ$28,'FICHA PESSOAL'!$BA$28)</f>
        <v/>
      </c>
      <c r="C216" s="198">
        <f>"'FICHA PESSOAL'!AW28 'FICHA PESSOAL'!AX28 'FICHA PESSOAL'!AY28 'FICHA PESSOAL'!AZ28 'FICHA PESSOAL'!BA28"</f>
        <v/>
      </c>
      <c r="D216" s="198" t="inlineStr">
        <is>
          <t>entrada</t>
        </is>
      </c>
    </row>
    <row r="217">
      <c r="A217" s="198" t="inlineStr">
        <is>
          <t>missao.1.15</t>
        </is>
      </c>
      <c r="B217" s="198">
        <f>TEXTJOIN(" · ",TRUE,'FICHA PESSOAL'!$AW$29,'FICHA PESSOAL'!$AX$29,'FICHA PESSOAL'!$AY$29,'FICHA PESSOAL'!$AZ$29,'FICHA PESSOAL'!$BA$29)</f>
        <v/>
      </c>
      <c r="C217" s="198">
        <f>"'FICHA PESSOAL'!AW29 'FICHA PESSOAL'!AX29 'FICHA PESSOAL'!AY29 'FICHA PESSOAL'!AZ29 'FICHA PESSOAL'!BA29"</f>
        <v/>
      </c>
      <c r="D217" s="198" t="inlineStr">
        <is>
          <t>entrada</t>
        </is>
      </c>
    </row>
    <row r="218">
      <c r="A218" s="198" t="inlineStr">
        <is>
          <t>missao.1.16</t>
        </is>
      </c>
      <c r="B218" s="198">
        <f>TEXTJOIN(" · ",TRUE,'FICHA PESSOAL'!$AW$30,'FICHA PESSOAL'!$AX$30,'FICHA PESSOAL'!$AY$30,'FICHA PESSOAL'!$AZ$30,'FICHA PESSOAL'!$BA$30)</f>
        <v/>
      </c>
      <c r="C218" s="198">
        <f>"'FICHA PESSOAL'!AW30 'FICHA PESSOAL'!AX30 'FICHA PESSOAL'!AY30 'FICHA PESSOAL'!AZ30 'FICHA PESSOAL'!BA30"</f>
        <v/>
      </c>
      <c r="D218" s="198" t="inlineStr">
        <is>
          <t>entrada</t>
        </is>
      </c>
    </row>
    <row r="219">
      <c r="A219" s="198" t="inlineStr">
        <is>
          <t>missao.1.17</t>
        </is>
      </c>
      <c r="B219" s="198">
        <f>TEXTJOIN(" · ",TRUE,'FICHA PESSOAL'!$AW$31,'FICHA PESSOAL'!$AX$31,'FICHA PESSOAL'!$AY$31,'FICHA PESSOAL'!$AZ$31,'FICHA PESSOAL'!$BA$31)</f>
        <v/>
      </c>
      <c r="C219" s="198">
        <f>"'FICHA PESSOAL'!AW31 'FICHA PESSOAL'!AX31 'FICHA PESSOAL'!AY31 'FICHA PESSOAL'!AZ31 'FICHA PESSOAL'!BA31"</f>
        <v/>
      </c>
      <c r="D219" s="198" t="inlineStr">
        <is>
          <t>entrada</t>
        </is>
      </c>
    </row>
    <row r="220">
      <c r="A220" s="198" t="inlineStr">
        <is>
          <t>missao.1.18</t>
        </is>
      </c>
      <c r="B220" s="198">
        <f>TEXTJOIN(" · ",TRUE,'FICHA PESSOAL'!$AW$32,'FICHA PESSOAL'!$AX$32,'FICHA PESSOAL'!$AY$32,'FICHA PESSOAL'!$AZ$32,'FICHA PESSOAL'!$BA$32)</f>
        <v/>
      </c>
      <c r="C220" s="198">
        <f>"'FICHA PESSOAL'!AW32 'FICHA PESSOAL'!AX32 'FICHA PESSOAL'!AY32 'FICHA PESSOAL'!AZ32 'FICHA PESSOAL'!BA32"</f>
        <v/>
      </c>
      <c r="D220" s="198" t="inlineStr">
        <is>
          <t>entrada</t>
        </is>
      </c>
    </row>
    <row r="221">
      <c r="A221" s="198" t="inlineStr">
        <is>
          <t>missao.1.19</t>
        </is>
      </c>
      <c r="B221" s="198">
        <f>TEXTJOIN(" · ",TRUE,'FICHA PESSOAL'!$AW$33,'FICHA PESSOAL'!$AX$33,'FICHA PESSOAL'!$AY$33,'FICHA PESSOAL'!$AZ$33,'FICHA PESSOAL'!$BA$33)</f>
        <v/>
      </c>
      <c r="C221" s="198">
        <f>"'FICHA PESSOAL'!AW33 'FICHA PESSOAL'!AX33 'FICHA PESSOAL'!AY33 'FICHA PESSOAL'!AZ33 'FICHA PESSOAL'!BA33"</f>
        <v/>
      </c>
      <c r="D221" s="198" t="inlineStr">
        <is>
          <t>entrada</t>
        </is>
      </c>
    </row>
    <row r="222">
      <c r="A222" s="198" t="inlineStr">
        <is>
          <t>missao.1.20</t>
        </is>
      </c>
      <c r="B222" s="198">
        <f>TEXTJOIN(" · ",TRUE,'FICHA PESSOAL'!$AW$34,'FICHA PESSOAL'!$AX$34,'FICHA PESSOAL'!$AY$34,'FICHA PESSOAL'!$AZ$34,'FICHA PESSOAL'!$BA$34)</f>
        <v/>
      </c>
      <c r="C222" s="198">
        <f>"'FICHA PESSOAL'!AW34 'FICHA PESSOAL'!AX34 'FICHA PESSOAL'!AY34 'FICHA PESSOAL'!AZ34 'FICHA PESSOAL'!BA34"</f>
        <v/>
      </c>
      <c r="D222" s="198" t="inlineStr">
        <is>
          <t>entrada</t>
        </is>
      </c>
    </row>
    <row r="223">
      <c r="A223" s="198" t="inlineStr">
        <is>
          <t>missao.1.21</t>
        </is>
      </c>
      <c r="B223" s="198">
        <f>TEXTJOIN(" · ",TRUE,'FICHA PESSOAL'!$AW$35,'FICHA PESSOAL'!$AX$35,'FICHA PESSOAL'!$AY$35,'FICHA PESSOAL'!$AZ$35,'FICHA PESSOAL'!$BA$35)</f>
        <v/>
      </c>
      <c r="C223" s="198">
        <f>"'FICHA PESSOAL'!AW35 'FICHA PESSOAL'!AX35 'FICHA PESSOAL'!AY35 'FICHA PESSOAL'!AZ35 'FICHA PESSOAL'!BA35"</f>
        <v/>
      </c>
      <c r="D223" s="198" t="inlineStr">
        <is>
          <t>entrada</t>
        </is>
      </c>
    </row>
    <row r="224">
      <c r="A224" s="198" t="inlineStr">
        <is>
          <t>missao.1.22</t>
        </is>
      </c>
      <c r="B224" s="198">
        <f>TEXTJOIN(" · ",TRUE,'FICHA PESSOAL'!$AW$36,'FICHA PESSOAL'!$AX$36,'FICHA PESSOAL'!$AY$36,'FICHA PESSOAL'!$AZ$36,'FICHA PESSOAL'!$BA$36)</f>
        <v/>
      </c>
      <c r="C224" s="198">
        <f>"'FICHA PESSOAL'!AW36 'FICHA PESSOAL'!AX36 'FICHA PESSOAL'!AY36 'FICHA PESSOAL'!AZ36 'FICHA PESSOAL'!BA36"</f>
        <v/>
      </c>
      <c r="D224" s="198" t="inlineStr">
        <is>
          <t>entrada</t>
        </is>
      </c>
    </row>
    <row r="225">
      <c r="A225" s="198" t="inlineStr">
        <is>
          <t>missao.1.23</t>
        </is>
      </c>
      <c r="B225" s="198">
        <f>TEXTJOIN(" · ",TRUE,'FICHA PESSOAL'!$AW$37,'FICHA PESSOAL'!$AX$37,'FICHA PESSOAL'!$AY$37,'FICHA PESSOAL'!$AZ$37,'FICHA PESSOAL'!$BA$37)</f>
        <v/>
      </c>
      <c r="C225" s="198">
        <f>"'FICHA PESSOAL'!AW37 'FICHA PESSOAL'!AX37 'FICHA PESSOAL'!AY37 'FICHA PESSOAL'!AZ37 'FICHA PESSOAL'!BA37"</f>
        <v/>
      </c>
      <c r="D225" s="198" t="inlineStr">
        <is>
          <t>entrada</t>
        </is>
      </c>
    </row>
    <row r="226">
      <c r="A226" s="198" t="inlineStr">
        <is>
          <t>missao.1.24</t>
        </is>
      </c>
      <c r="B226" s="198">
        <f>TEXTJOIN(" · ",TRUE,'FICHA PESSOAL'!$AW$38,'FICHA PESSOAL'!$AX$38,'FICHA PESSOAL'!$AY$38,'FICHA PESSOAL'!$AZ$38,'FICHA PESSOAL'!$BA$38)</f>
        <v/>
      </c>
      <c r="C226" s="198">
        <f>"'FICHA PESSOAL'!AW38 'FICHA PESSOAL'!AX38 'FICHA PESSOAL'!AY38 'FICHA PESSOAL'!AZ38 'FICHA PESSOAL'!BA38"</f>
        <v/>
      </c>
      <c r="D226" s="198" t="inlineStr">
        <is>
          <t>entrada</t>
        </is>
      </c>
    </row>
    <row r="227">
      <c r="A227" s="198" t="inlineStr">
        <is>
          <t>missao.1.25</t>
        </is>
      </c>
      <c r="B227" s="198">
        <f>TEXTJOIN(" · ",TRUE,'FICHA PESSOAL'!$AW$39,'FICHA PESSOAL'!$AX$39,'FICHA PESSOAL'!$AY$39,'FICHA PESSOAL'!$AZ$39,'FICHA PESSOAL'!$BA$39)</f>
        <v/>
      </c>
      <c r="C227" s="198">
        <f>"'FICHA PESSOAL'!AW39 'FICHA PESSOAL'!AX39 'FICHA PESSOAL'!AY39 'FICHA PESSOAL'!AZ39 'FICHA PESSOAL'!BA39"</f>
        <v/>
      </c>
      <c r="D227" s="198" t="inlineStr">
        <is>
          <t>entrada</t>
        </is>
      </c>
    </row>
    <row r="228">
      <c r="A228" s="198" t="inlineStr">
        <is>
          <t>missao.1.26</t>
        </is>
      </c>
      <c r="B228" s="198">
        <f>TEXTJOIN(" · ",TRUE,'FICHA PESSOAL'!$AW$40,'FICHA PESSOAL'!$AX$40,'FICHA PESSOAL'!$AY$40,'FICHA PESSOAL'!$AZ$40,'FICHA PESSOAL'!$BA$40)</f>
        <v/>
      </c>
      <c r="C228" s="198">
        <f>"'FICHA PESSOAL'!AW40 'FICHA PESSOAL'!AX40 'FICHA PESSOAL'!AY40 'FICHA PESSOAL'!AZ40 'FICHA PESSOAL'!BA40"</f>
        <v/>
      </c>
      <c r="D228" s="198" t="inlineStr">
        <is>
          <t>entrada</t>
        </is>
      </c>
    </row>
    <row r="229">
      <c r="A229" s="198" t="inlineStr">
        <is>
          <t>missao.1.27</t>
        </is>
      </c>
      <c r="B229" s="198">
        <f>TEXTJOIN(" · ",TRUE,'FICHA PESSOAL'!$AW$41,'FICHA PESSOAL'!$AX$41,'FICHA PESSOAL'!$AY$41,'FICHA PESSOAL'!$AZ$41,'FICHA PESSOAL'!$BA$41)</f>
        <v/>
      </c>
      <c r="C229" s="198">
        <f>"'FICHA PESSOAL'!AW41 'FICHA PESSOAL'!AX41 'FICHA PESSOAL'!AY41 'FICHA PESSOAL'!AZ41 'FICHA PESSOAL'!BA41"</f>
        <v/>
      </c>
      <c r="D229" s="198" t="inlineStr">
        <is>
          <t>entrada</t>
        </is>
      </c>
    </row>
    <row r="230">
      <c r="A230" s="198" t="inlineStr">
        <is>
          <t>missao.1.28</t>
        </is>
      </c>
      <c r="B230" s="198">
        <f>TEXTJOIN(" · ",TRUE,'FICHA PESSOAL'!$AW$42,'FICHA PESSOAL'!$AX$42,'FICHA PESSOAL'!$AY$42,'FICHA PESSOAL'!$AZ$42,'FICHA PESSOAL'!$BA$42)</f>
        <v/>
      </c>
      <c r="C230" s="198">
        <f>"'FICHA PESSOAL'!AW42 'FICHA PESSOAL'!AX42 'FICHA PESSOAL'!AY42 'FICHA PESSOAL'!AZ42 'FICHA PESSOAL'!BA42"</f>
        <v/>
      </c>
      <c r="D230" s="198" t="inlineStr">
        <is>
          <t>entrada</t>
        </is>
      </c>
    </row>
    <row r="231">
      <c r="A231" s="198" t="inlineStr">
        <is>
          <t>missao.1.29</t>
        </is>
      </c>
      <c r="B231" s="198">
        <f>TEXTJOIN(" · ",TRUE,'FICHA PESSOAL'!$AW$43,'FICHA PESSOAL'!$AX$43,'FICHA PESSOAL'!$AY$43,'FICHA PESSOAL'!$AZ$43,'FICHA PESSOAL'!$BA$43)</f>
        <v/>
      </c>
      <c r="C231" s="198">
        <f>"'FICHA PESSOAL'!AW43 'FICHA PESSOAL'!AX43 'FICHA PESSOAL'!AY43 'FICHA PESSOAL'!AZ43 'FICHA PESSOAL'!BA43"</f>
        <v/>
      </c>
      <c r="D231" s="198" t="inlineStr">
        <is>
          <t>entrada</t>
        </is>
      </c>
    </row>
    <row r="232">
      <c r="A232" s="198" t="inlineStr">
        <is>
          <t>missao.1.30</t>
        </is>
      </c>
      <c r="B232" s="198">
        <f>TEXTJOIN(" · ",TRUE,'FICHA PESSOAL'!$AW$44,'FICHA PESSOAL'!$AX$44,'FICHA PESSOAL'!$AY$44,'FICHA PESSOAL'!$AZ$44,'FICHA PESSOAL'!$BA$44)</f>
        <v/>
      </c>
      <c r="C232" s="198">
        <f>"'FICHA PESSOAL'!AW44 'FICHA PESSOAL'!AX44 'FICHA PESSOAL'!AY44 'FICHA PESSOAL'!AZ44 'FICHA PESSOAL'!BA44"</f>
        <v/>
      </c>
      <c r="D232" s="198" t="inlineStr">
        <is>
          <t>entrada</t>
        </is>
      </c>
    </row>
    <row r="233">
      <c r="A233" s="198" t="inlineStr">
        <is>
          <t>missao.1.31</t>
        </is>
      </c>
      <c r="B233" s="198">
        <f>TEXTJOIN(" · ",TRUE,'FICHA PESSOAL'!$AW$45,'FICHA PESSOAL'!$AX$45,'FICHA PESSOAL'!$AY$45,'FICHA PESSOAL'!$AZ$45,'FICHA PESSOAL'!$BA$45)</f>
        <v/>
      </c>
      <c r="C233" s="198">
        <f>"'FICHA PESSOAL'!AW45 'FICHA PESSOAL'!AX45 'FICHA PESSOAL'!AY45 'FICHA PESSOAL'!AZ45 'FICHA PESSOAL'!BA45"</f>
        <v/>
      </c>
      <c r="D233" s="198" t="inlineStr">
        <is>
          <t>entrada</t>
        </is>
      </c>
    </row>
    <row r="234">
      <c r="A234" s="198" t="inlineStr">
        <is>
          <t>missao.1.32</t>
        </is>
      </c>
      <c r="B234" s="198">
        <f>TEXTJOIN(" · ",TRUE,'FICHA PESSOAL'!$AW$46,'FICHA PESSOAL'!$AX$46,'FICHA PESSOAL'!$AY$46,'FICHA PESSOAL'!$AZ$46,'FICHA PESSOAL'!$BA$46)</f>
        <v/>
      </c>
      <c r="C234" s="198">
        <f>"'FICHA PESSOAL'!AW46 'FICHA PESSOAL'!AX46 'FICHA PESSOAL'!AY46 'FICHA PESSOAL'!AZ46 'FICHA PESSOAL'!BA46"</f>
        <v/>
      </c>
      <c r="D234" s="198" t="inlineStr">
        <is>
          <t>entrada</t>
        </is>
      </c>
    </row>
    <row r="235">
      <c r="A235" s="198" t="inlineStr">
        <is>
          <t>missao.1.33</t>
        </is>
      </c>
      <c r="B235" s="198">
        <f>TEXTJOIN(" · ",TRUE,'FICHA PESSOAL'!$AW$47,'FICHA PESSOAL'!$AX$47,'FICHA PESSOAL'!$AY$47,'FICHA PESSOAL'!$AZ$47,'FICHA PESSOAL'!$BA$47)</f>
        <v/>
      </c>
      <c r="C235" s="198">
        <f>"'FICHA PESSOAL'!AW47 'FICHA PESSOAL'!AX47 'FICHA PESSOAL'!AY47 'FICHA PESSOAL'!AZ47 'FICHA PESSOAL'!BA47"</f>
        <v/>
      </c>
      <c r="D235" s="198" t="inlineStr">
        <is>
          <t>entrada</t>
        </is>
      </c>
    </row>
    <row r="236">
      <c r="A236" s="198" t="inlineStr">
        <is>
          <t>missao.1.34</t>
        </is>
      </c>
      <c r="B236" s="198">
        <f>TEXTJOIN(" · ",TRUE,'FICHA PESSOAL'!$AW$48,'FICHA PESSOAL'!$AX$48,'FICHA PESSOAL'!$AY$48,'FICHA PESSOAL'!$AZ$48,'FICHA PESSOAL'!$BA$48)</f>
        <v/>
      </c>
      <c r="C236" s="198">
        <f>"'FICHA PESSOAL'!AW48 'FICHA PESSOAL'!AX48 'FICHA PESSOAL'!AY48 'FICHA PESSOAL'!AZ48 'FICHA PESSOAL'!BA48"</f>
        <v/>
      </c>
      <c r="D236" s="198" t="inlineStr">
        <is>
          <t>entrada</t>
        </is>
      </c>
    </row>
    <row r="237">
      <c r="A237" s="198" t="inlineStr">
        <is>
          <t>missao.1.35</t>
        </is>
      </c>
      <c r="B237" s="198">
        <f>TEXTJOIN(" · ",TRUE,'FICHA PESSOAL'!$AW$49,'FICHA PESSOAL'!$AX$49,'FICHA PESSOAL'!$AY$49,'FICHA PESSOAL'!$AZ$49,'FICHA PESSOAL'!$BA$49)</f>
        <v/>
      </c>
      <c r="C237" s="198">
        <f>"'FICHA PESSOAL'!AW49 'FICHA PESSOAL'!AX49 'FICHA PESSOAL'!AY49 'FICHA PESSOAL'!AZ49 'FICHA PESSOAL'!BA49"</f>
        <v/>
      </c>
      <c r="D237" s="198" t="inlineStr">
        <is>
          <t>entrada</t>
        </is>
      </c>
    </row>
    <row r="238">
      <c r="A238" s="198" t="inlineStr">
        <is>
          <t>missao.1.36</t>
        </is>
      </c>
      <c r="B238" s="198">
        <f>TEXTJOIN(" · ",TRUE,'FICHA PESSOAL'!$AW$50,'FICHA PESSOAL'!$AX$50,'FICHA PESSOAL'!$AY$50,'FICHA PESSOAL'!$AZ$50,'FICHA PESSOAL'!$BA$50)</f>
        <v/>
      </c>
      <c r="C238" s="198">
        <f>"'FICHA PESSOAL'!AW50 'FICHA PESSOAL'!AX50 'FICHA PESSOAL'!AY50 'FICHA PESSOAL'!AZ50 'FICHA PESSOAL'!BA50"</f>
        <v/>
      </c>
      <c r="D238" s="198" t="inlineStr">
        <is>
          <t>entrada</t>
        </is>
      </c>
    </row>
    <row r="239">
      <c r="A239" s="198" t="inlineStr">
        <is>
          <t>missao.1.37</t>
        </is>
      </c>
      <c r="B239" s="198">
        <f>TEXTJOIN(" · ",TRUE,'FICHA PESSOAL'!$AW$51,'FICHA PESSOAL'!$AX$51,'FICHA PESSOAL'!$AY$51,'FICHA PESSOAL'!$AZ$51,'FICHA PESSOAL'!$BA$51)</f>
        <v/>
      </c>
      <c r="C239" s="198">
        <f>"'FICHA PESSOAL'!AW51 'FICHA PESSOAL'!AX51 'FICHA PESSOAL'!AY51 'FICHA PESSOAL'!AZ51 'FICHA PESSOAL'!BA51"</f>
        <v/>
      </c>
      <c r="D239" s="198" t="inlineStr">
        <is>
          <t>entrada</t>
        </is>
      </c>
    </row>
    <row r="240">
      <c r="A240" s="198" t="inlineStr">
        <is>
          <t>missao.1.38</t>
        </is>
      </c>
      <c r="B240" s="198">
        <f>TEXTJOIN(" · ",TRUE,'FICHA PESSOAL'!$AW$52,'FICHA PESSOAL'!$AX$52,'FICHA PESSOAL'!$AY$52,'FICHA PESSOAL'!$AZ$52,'FICHA PESSOAL'!$BA$52)</f>
        <v/>
      </c>
      <c r="C240" s="198">
        <f>"'FICHA PESSOAL'!AW52 'FICHA PESSOAL'!AX52 'FICHA PESSOAL'!AY52 'FICHA PESSOAL'!AZ52 'FICHA PESSOAL'!BA52"</f>
        <v/>
      </c>
      <c r="D240" s="198" t="inlineStr">
        <is>
          <t>entrada</t>
        </is>
      </c>
    </row>
    <row r="241">
      <c r="A241" s="198" t="inlineStr">
        <is>
          <t>missao.1.39</t>
        </is>
      </c>
      <c r="B241" s="198">
        <f>TEXTJOIN(" · ",TRUE,'FICHA PESSOAL'!$AW$53,'FICHA PESSOAL'!$AX$53,'FICHA PESSOAL'!$AY$53,'FICHA PESSOAL'!$AZ$53,'FICHA PESSOAL'!$BA$53)</f>
        <v/>
      </c>
      <c r="C241" s="198">
        <f>"'FICHA PESSOAL'!AW53 'FICHA PESSOAL'!AX53 'FICHA PESSOAL'!AY53 'FICHA PESSOAL'!AZ53 'FICHA PESSOAL'!BA53"</f>
        <v/>
      </c>
      <c r="D241" s="198" t="inlineStr">
        <is>
          <t>entrada</t>
        </is>
      </c>
    </row>
    <row r="242">
      <c r="A242" s="198" t="inlineStr">
        <is>
          <t>missao.1.40</t>
        </is>
      </c>
      <c r="B242" s="198">
        <f>TEXTJOIN(" · ",TRUE,'FICHA PESSOAL'!$AW$54,'FICHA PESSOAL'!$AX$54,'FICHA PESSOAL'!$AY$54,'FICHA PESSOAL'!$AZ$54,'FICHA PESSOAL'!$BA$54)</f>
        <v/>
      </c>
      <c r="C242" s="198">
        <f>"'FICHA PESSOAL'!AW54 'FICHA PESSOAL'!AX54 'FICHA PESSOAL'!AY54 'FICHA PESSOAL'!AZ54 'FICHA PESSOAL'!BA54"</f>
        <v/>
      </c>
      <c r="D242" s="198" t="inlineStr">
        <is>
          <t>entrada</t>
        </is>
      </c>
    </row>
    <row r="243">
      <c r="A243" s="198" t="inlineStr">
        <is>
          <t>missao.1.41</t>
        </is>
      </c>
      <c r="B243" s="198">
        <f>TEXTJOIN(" · ",TRUE,'FICHA PESSOAL'!$AW$55,'FICHA PESSOAL'!$AX$55,'FICHA PESSOAL'!$AY$55,'FICHA PESSOAL'!$AZ$55,'FICHA PESSOAL'!$BA$55)</f>
        <v/>
      </c>
      <c r="C243" s="198">
        <f>"'FICHA PESSOAL'!AW55 'FICHA PESSOAL'!AX55 'FICHA PESSOAL'!AY55 'FICHA PESSOAL'!AZ55 'FICHA PESSOAL'!BA55"</f>
        <v/>
      </c>
      <c r="D243" s="198" t="inlineStr">
        <is>
          <t>entrada</t>
        </is>
      </c>
    </row>
    <row r="244">
      <c r="A244" s="198" t="inlineStr">
        <is>
          <t>missao.1.42</t>
        </is>
      </c>
      <c r="B244" s="198">
        <f>TEXTJOIN(" · ",TRUE,'FICHA PESSOAL'!$AW$56,'FICHA PESSOAL'!$AX$56,'FICHA PESSOAL'!$AY$56,'FICHA PESSOAL'!$AZ$56,'FICHA PESSOAL'!$BA$56)</f>
        <v/>
      </c>
      <c r="C244" s="198">
        <f>"'FICHA PESSOAL'!AW56 'FICHA PESSOAL'!AX56 'FICHA PESSOAL'!AY56 'FICHA PESSOAL'!AZ56 'FICHA PESSOAL'!BA56"</f>
        <v/>
      </c>
      <c r="D244" s="198" t="inlineStr">
        <is>
          <t>entrada</t>
        </is>
      </c>
    </row>
    <row r="245">
      <c r="A245" s="198" t="inlineStr">
        <is>
          <t>missao.1.43</t>
        </is>
      </c>
      <c r="B245" s="198">
        <f>TEXTJOIN(" · ",TRUE,'FICHA PESSOAL'!$AW$57,'FICHA PESSOAL'!$AX$57,'FICHA PESSOAL'!$AY$57,'FICHA PESSOAL'!$AZ$57,'FICHA PESSOAL'!$BA$57)</f>
        <v/>
      </c>
      <c r="C245" s="198">
        <f>"'FICHA PESSOAL'!AW57 'FICHA PESSOAL'!AX57 'FICHA PESSOAL'!AY57 'FICHA PESSOAL'!AZ57 'FICHA PESSOAL'!BA57"</f>
        <v/>
      </c>
      <c r="D245" s="198" t="inlineStr">
        <is>
          <t>entrada</t>
        </is>
      </c>
    </row>
    <row r="246">
      <c r="A246" s="198" t="inlineStr">
        <is>
          <t>missao.1.44</t>
        </is>
      </c>
      <c r="B246" s="198">
        <f>TEXTJOIN(" · ",TRUE,'FICHA PESSOAL'!$AW$58,'FICHA PESSOAL'!$AX$58,'FICHA PESSOAL'!$AY$58,'FICHA PESSOAL'!$AZ$58,'FICHA PESSOAL'!$BA$58)</f>
        <v/>
      </c>
      <c r="C246" s="198">
        <f>"'FICHA PESSOAL'!AW58 'FICHA PESSOAL'!AX58 'FICHA PESSOAL'!AY58 'FICHA PESSOAL'!AZ58 'FICHA PESSOAL'!BA58"</f>
        <v/>
      </c>
      <c r="D246" s="198" t="inlineStr">
        <is>
          <t>entrada</t>
        </is>
      </c>
    </row>
    <row r="247">
      <c r="A247" s="198" t="inlineStr">
        <is>
          <t>missao.1.45</t>
        </is>
      </c>
      <c r="B247" s="198">
        <f>TEXTJOIN(" · ",TRUE,'FICHA PESSOAL'!$AW$59,'FICHA PESSOAL'!$AX$59,'FICHA PESSOAL'!$AY$59,'FICHA PESSOAL'!$AZ$59,'FICHA PESSOAL'!$BA$59)</f>
        <v/>
      </c>
      <c r="C247" s="198">
        <f>"'FICHA PESSOAL'!AW59 'FICHA PESSOAL'!AX59 'FICHA PESSOAL'!AY59 'FICHA PESSOAL'!AZ59 'FICHA PESSOAL'!BA59"</f>
        <v/>
      </c>
      <c r="D247" s="198" t="inlineStr">
        <is>
          <t>entrada</t>
        </is>
      </c>
    </row>
    <row r="248">
      <c r="A248" s="198" t="inlineStr">
        <is>
          <t>missao.1.46</t>
        </is>
      </c>
      <c r="B248" s="198">
        <f>TEXTJOIN(" · ",TRUE,'FICHA PESSOAL'!$AW$60,'FICHA PESSOAL'!$AX$60,'FICHA PESSOAL'!$AY$60,'FICHA PESSOAL'!$AZ$60,'FICHA PESSOAL'!$BA$60)</f>
        <v/>
      </c>
      <c r="C248" s="198">
        <f>"'FICHA PESSOAL'!AW60 'FICHA PESSOAL'!AX60 'FICHA PESSOAL'!AY60 'FICHA PESSOAL'!AZ60 'FICHA PESSOAL'!BA60"</f>
        <v/>
      </c>
      <c r="D248" s="198" t="inlineStr">
        <is>
          <t>entrada</t>
        </is>
      </c>
    </row>
    <row r="249">
      <c r="A249" s="198" t="inlineStr">
        <is>
          <t>missao.1.47</t>
        </is>
      </c>
      <c r="B249" s="198">
        <f>TEXTJOIN(" · ",TRUE,'FICHA PESSOAL'!$AW$61,'FICHA PESSOAL'!$AX$61,'FICHA PESSOAL'!$AY$61,'FICHA PESSOAL'!$AZ$61,'FICHA PESSOAL'!$BA$61)</f>
        <v/>
      </c>
      <c r="C249" s="198">
        <f>"'FICHA PESSOAL'!AW61 'FICHA PESSOAL'!AX61 'FICHA PESSOAL'!AY61 'FICHA PESSOAL'!AZ61 'FICHA PESSOAL'!BA61"</f>
        <v/>
      </c>
      <c r="D249" s="198" t="inlineStr">
        <is>
          <t>entrada</t>
        </is>
      </c>
    </row>
    <row r="250">
      <c r="A250" s="198" t="inlineStr">
        <is>
          <t>missao.1.48</t>
        </is>
      </c>
      <c r="B250" s="198">
        <f>TEXTJOIN(" · ",TRUE,'FICHA PESSOAL'!$AW$62,'FICHA PESSOAL'!$AX$62,'FICHA PESSOAL'!$AY$62,'FICHA PESSOAL'!$AZ$62,'FICHA PESSOAL'!$BA$62)</f>
        <v/>
      </c>
      <c r="C250" s="198">
        <f>"'FICHA PESSOAL'!AW62 'FICHA PESSOAL'!AX62 'FICHA PESSOAL'!AY62 'FICHA PESSOAL'!AZ62 'FICHA PESSOAL'!BA62"</f>
        <v/>
      </c>
      <c r="D250" s="198" t="inlineStr">
        <is>
          <t>entrada</t>
        </is>
      </c>
    </row>
    <row r="251">
      <c r="A251" s="198" t="inlineStr">
        <is>
          <t>missao.1.49</t>
        </is>
      </c>
      <c r="B251" s="198">
        <f>TEXTJOIN(" · ",TRUE,'FICHA PESSOAL'!$AW$63,'FICHA PESSOAL'!$AX$63,'FICHA PESSOAL'!$AY$63,'FICHA PESSOAL'!$AZ$63,'FICHA PESSOAL'!$BA$63)</f>
        <v/>
      </c>
      <c r="C251" s="198">
        <f>"'FICHA PESSOAL'!AW63 'FICHA PESSOAL'!AX63 'FICHA PESSOAL'!AY63 'FICHA PESSOAL'!AZ63 'FICHA PESSOAL'!BA63"</f>
        <v/>
      </c>
      <c r="D251" s="198" t="inlineStr">
        <is>
          <t>entrada</t>
        </is>
      </c>
    </row>
    <row r="252">
      <c r="A252" s="198" t="inlineStr">
        <is>
          <t>missao.1.50</t>
        </is>
      </c>
      <c r="B252" s="198">
        <f>TEXTJOIN(" · ",TRUE,'FICHA PESSOAL'!$AW$64,'FICHA PESSOAL'!$AX$64,'FICHA PESSOAL'!$AY$64,'FICHA PESSOAL'!$AZ$64,'FICHA PESSOAL'!$BA$64)</f>
        <v/>
      </c>
      <c r="C252" s="198">
        <f>"'FICHA PESSOAL'!AW64 'FICHA PESSOAL'!AX64 'FICHA PESSOAL'!AY64 'FICHA PESSOAL'!AZ64 'FICHA PESSOAL'!BA64"</f>
        <v/>
      </c>
      <c r="D252" s="198" t="inlineStr">
        <is>
          <t>entrada</t>
        </is>
      </c>
    </row>
    <row r="253">
      <c r="A253" s="198" t="inlineStr">
        <is>
          <t>missao.1.51</t>
        </is>
      </c>
      <c r="B253" s="198">
        <f>TEXTJOIN(" · ",TRUE,'FICHA PESSOAL'!$AW$65,'FICHA PESSOAL'!$AX$65,'FICHA PESSOAL'!$AY$65,'FICHA PESSOAL'!$AZ$65,'FICHA PESSOAL'!$BA$65)</f>
        <v/>
      </c>
      <c r="C253" s="198">
        <f>"'FICHA PESSOAL'!AW65 'FICHA PESSOAL'!AX65 'FICHA PESSOAL'!AY65 'FICHA PESSOAL'!AZ65 'FICHA PESSOAL'!BA65"</f>
        <v/>
      </c>
      <c r="D253" s="198" t="inlineStr">
        <is>
          <t>entrada</t>
        </is>
      </c>
    </row>
    <row r="254">
      <c r="A254" s="198" t="inlineStr">
        <is>
          <t>missao.1.52</t>
        </is>
      </c>
      <c r="B254" s="198">
        <f>TEXTJOIN(" · ",TRUE,'FICHA PESSOAL'!$AW$66,'FICHA PESSOAL'!$AX$66,'FICHA PESSOAL'!$AY$66,'FICHA PESSOAL'!$AZ$66,'FICHA PESSOAL'!$BA$66)</f>
        <v/>
      </c>
      <c r="C254" s="198">
        <f>"'FICHA PESSOAL'!AW66 'FICHA PESSOAL'!AX66 'FICHA PESSOAL'!AY66 'FICHA PESSOAL'!AZ66 'FICHA PESSOAL'!BA66"</f>
        <v/>
      </c>
      <c r="D254" s="198" t="inlineStr">
        <is>
          <t>entrada</t>
        </is>
      </c>
    </row>
    <row r="255">
      <c r="A255" s="198" t="inlineStr">
        <is>
          <t>missao.1.53</t>
        </is>
      </c>
      <c r="B255" s="198">
        <f>TEXTJOIN(" · ",TRUE,'FICHA PESSOAL'!$AW$67,'FICHA PESSOAL'!$AX$67,'FICHA PESSOAL'!$AY$67,'FICHA PESSOAL'!$AZ$67,'FICHA PESSOAL'!$BA$67)</f>
        <v/>
      </c>
      <c r="C255" s="198">
        <f>"'FICHA PESSOAL'!AW67 'FICHA PESSOAL'!AX67 'FICHA PESSOAL'!AY67 'FICHA PESSOAL'!AZ67 'FICHA PESSOAL'!BA67"</f>
        <v/>
      </c>
      <c r="D255" s="198" t="inlineStr">
        <is>
          <t>entrada</t>
        </is>
      </c>
    </row>
    <row r="256">
      <c r="A256" s="198" t="inlineStr">
        <is>
          <t>missao.1.54</t>
        </is>
      </c>
      <c r="B256" s="198">
        <f>TEXTJOIN(" · ",TRUE,'FICHA PESSOAL'!$AW$68,'FICHA PESSOAL'!$AX$68,'FICHA PESSOAL'!$AY$68,'FICHA PESSOAL'!$AZ$68,'FICHA PESSOAL'!$BA$68)</f>
        <v/>
      </c>
      <c r="C256" s="198">
        <f>"'FICHA PESSOAL'!AW68 'FICHA PESSOAL'!AX68 'FICHA PESSOAL'!AY68 'FICHA PESSOAL'!AZ68 'FICHA PESSOAL'!BA68"</f>
        <v/>
      </c>
      <c r="D256" s="198" t="inlineStr">
        <is>
          <t>entrada</t>
        </is>
      </c>
    </row>
    <row r="257">
      <c r="A257" s="198" t="inlineStr">
        <is>
          <t>missao.1.55</t>
        </is>
      </c>
      <c r="B257" s="198">
        <f>TEXTJOIN(" · ",TRUE,'FICHA PESSOAL'!$AW$69,'FICHA PESSOAL'!$AX$69,'FICHA PESSOAL'!$AY$69,'FICHA PESSOAL'!$AZ$69,'FICHA PESSOAL'!$BA$69)</f>
        <v/>
      </c>
      <c r="C257" s="198">
        <f>"'FICHA PESSOAL'!AW69 'FICHA PESSOAL'!AX69 'FICHA PESSOAL'!AY69 'FICHA PESSOAL'!AZ69 'FICHA PESSOAL'!BA69"</f>
        <v/>
      </c>
      <c r="D257" s="198" t="inlineStr">
        <is>
          <t>entrada</t>
        </is>
      </c>
    </row>
    <row r="258">
      <c r="A258" s="198" t="inlineStr">
        <is>
          <t>missao.1.56</t>
        </is>
      </c>
      <c r="B258" s="198">
        <f>TEXTJOIN(" · ",TRUE,'FICHA PESSOAL'!$AW$70,'FICHA PESSOAL'!$AX$70,'FICHA PESSOAL'!$AY$70,'FICHA PESSOAL'!$AZ$70,'FICHA PESSOAL'!$BA$70)</f>
        <v/>
      </c>
      <c r="C258" s="198">
        <f>"'FICHA PESSOAL'!AW70 'FICHA PESSOAL'!AX70 'FICHA PESSOAL'!AY70 'FICHA PESSOAL'!AZ70 'FICHA PESSOAL'!BA70"</f>
        <v/>
      </c>
      <c r="D258" s="198" t="inlineStr">
        <is>
          <t>entrada</t>
        </is>
      </c>
    </row>
    <row r="259">
      <c r="A259" s="198" t="inlineStr">
        <is>
          <t>missao.1.57</t>
        </is>
      </c>
      <c r="B259" s="198">
        <f>TEXTJOIN(" · ",TRUE,'FICHA PESSOAL'!$AW$71,'FICHA PESSOAL'!$AX$71,'FICHA PESSOAL'!$AY$71,'FICHA PESSOAL'!$AZ$71,'FICHA PESSOAL'!$BA$71)</f>
        <v/>
      </c>
      <c r="C259" s="198">
        <f>"'FICHA PESSOAL'!AW71 'FICHA PESSOAL'!AX71 'FICHA PESSOAL'!AY71 'FICHA PESSOAL'!AZ71 'FICHA PESSOAL'!BA71"</f>
        <v/>
      </c>
      <c r="D259" s="198" t="inlineStr">
        <is>
          <t>entrada</t>
        </is>
      </c>
    </row>
    <row r="260">
      <c r="A260" s="198" t="inlineStr">
        <is>
          <t>missao.1.58</t>
        </is>
      </c>
      <c r="B260" s="198">
        <f>TEXTJOIN(" · ",TRUE,'FICHA PESSOAL'!$AW$72,'FICHA PESSOAL'!$AX$72,'FICHA PESSOAL'!$AY$72,'FICHA PESSOAL'!$AZ$72,'FICHA PESSOAL'!$BA$72)</f>
        <v/>
      </c>
      <c r="C260" s="198">
        <f>"'FICHA PESSOAL'!AW72 'FICHA PESSOAL'!AX72 'FICHA PESSOAL'!AY72 'FICHA PESSOAL'!AZ72 'FICHA PESSOAL'!BA72"</f>
        <v/>
      </c>
      <c r="D260" s="198" t="inlineStr">
        <is>
          <t>entrada</t>
        </is>
      </c>
    </row>
    <row r="261">
      <c r="A261" s="198" t="inlineStr">
        <is>
          <t>missao.1.59</t>
        </is>
      </c>
      <c r="B261" s="198">
        <f>TEXTJOIN(" · ",TRUE,'FICHA PESSOAL'!$AW$73,'FICHA PESSOAL'!$AX$73,'FICHA PESSOAL'!$AY$73,'FICHA PESSOAL'!$AZ$73,'FICHA PESSOAL'!$BA$73)</f>
        <v/>
      </c>
      <c r="C261" s="198">
        <f>"'FICHA PESSOAL'!AW73 'FICHA PESSOAL'!AX73 'FICHA PESSOAL'!AY73 'FICHA PESSOAL'!AZ73 'FICHA PESSOAL'!BA73"</f>
        <v/>
      </c>
      <c r="D261" s="198" t="inlineStr">
        <is>
          <t>entrada</t>
        </is>
      </c>
    </row>
    <row r="262">
      <c r="A262" s="198" t="inlineStr">
        <is>
          <t>missao.1.60</t>
        </is>
      </c>
      <c r="B262" s="198">
        <f>TEXTJOIN(" · ",TRUE,'FICHA PESSOAL'!$AW$74,'FICHA PESSOAL'!$AX$74,'FICHA PESSOAL'!$AY$74,'FICHA PESSOAL'!$AZ$74,'FICHA PESSOAL'!$BA$74)</f>
        <v/>
      </c>
      <c r="C262" s="198">
        <f>"'FICHA PESSOAL'!AW74 'FICHA PESSOAL'!AX74 'FICHA PESSOAL'!AY74 'FICHA PESSOAL'!AZ74 'FICHA PESSOAL'!BA74"</f>
        <v/>
      </c>
      <c r="D262" s="198" t="inlineStr">
        <is>
          <t>entrada</t>
        </is>
      </c>
    </row>
    <row r="263">
      <c r="A263" s="198" t="inlineStr">
        <is>
          <t>missao.1.61</t>
        </is>
      </c>
      <c r="B263" s="198">
        <f>TEXTJOIN(" · ",TRUE,'FICHA PESSOAL'!$AW$75,'FICHA PESSOAL'!$AX$75,'FICHA PESSOAL'!$AY$75,'FICHA PESSOAL'!$AZ$75,'FICHA PESSOAL'!$BA$75)</f>
        <v/>
      </c>
      <c r="C263" s="198">
        <f>"'FICHA PESSOAL'!AW75 'FICHA PESSOAL'!AX75 'FICHA PESSOAL'!AY75 'FICHA PESSOAL'!AZ75 'FICHA PESSOAL'!BA75"</f>
        <v/>
      </c>
      <c r="D263" s="198" t="inlineStr">
        <is>
          <t>entrada</t>
        </is>
      </c>
    </row>
    <row r="264">
      <c r="A264" s="198" t="inlineStr">
        <is>
          <t>missao.1.62</t>
        </is>
      </c>
      <c r="B264" s="198">
        <f>TEXTJOIN(" · ",TRUE,'FICHA PESSOAL'!$AW$76,'FICHA PESSOAL'!$AX$76,'FICHA PESSOAL'!$AY$76,'FICHA PESSOAL'!$AZ$76,'FICHA PESSOAL'!$BA$76)</f>
        <v/>
      </c>
      <c r="C264" s="198">
        <f>"'FICHA PESSOAL'!AW76 'FICHA PESSOAL'!AX76 'FICHA PESSOAL'!AY76 'FICHA PESSOAL'!AZ76 'FICHA PESSOAL'!BA76"</f>
        <v/>
      </c>
      <c r="D264" s="198" t="inlineStr">
        <is>
          <t>entrada</t>
        </is>
      </c>
    </row>
    <row r="265">
      <c r="A265" s="198" t="inlineStr">
        <is>
          <t>missao.1.63</t>
        </is>
      </c>
      <c r="B265" s="198">
        <f>TEXTJOIN(" · ",TRUE,'FICHA PESSOAL'!$AW$77,'FICHA PESSOAL'!$AX$77,'FICHA PESSOAL'!$AY$77,'FICHA PESSOAL'!$AZ$77,'FICHA PESSOAL'!$BA$77)</f>
        <v/>
      </c>
      <c r="C265" s="198">
        <f>"'FICHA PESSOAL'!AW77 'FICHA PESSOAL'!AX77 'FICHA PESSOAL'!AY77 'FICHA PESSOAL'!AZ77 'FICHA PESSOAL'!BA77"</f>
        <v/>
      </c>
      <c r="D265" s="198" t="inlineStr">
        <is>
          <t>entrada</t>
        </is>
      </c>
    </row>
    <row r="266">
      <c r="A266" s="198" t="inlineStr">
        <is>
          <t>missao.1.64</t>
        </is>
      </c>
      <c r="B266" s="198">
        <f>TEXTJOIN(" · ",TRUE,'FICHA PESSOAL'!$AW$78,'FICHA PESSOAL'!$AX$78,'FICHA PESSOAL'!$AY$78,'FICHA PESSOAL'!$AZ$78,'FICHA PESSOAL'!$BA$78)</f>
        <v/>
      </c>
      <c r="C266" s="198">
        <f>"'FICHA PESSOAL'!AW78 'FICHA PESSOAL'!AX78 'FICHA PESSOAL'!AY78 'FICHA PESSOAL'!AZ78 'FICHA PESSOAL'!BA78"</f>
        <v/>
      </c>
      <c r="D266" s="198" t="inlineStr">
        <is>
          <t>entrada</t>
        </is>
      </c>
    </row>
    <row r="267">
      <c r="A267" s="198" t="inlineStr">
        <is>
          <t>missao.1.65</t>
        </is>
      </c>
      <c r="B267" s="198">
        <f>TEXTJOIN(" · ",TRUE,'FICHA PESSOAL'!$AW$79,'FICHA PESSOAL'!$AX$79,'FICHA PESSOAL'!$AY$79,'FICHA PESSOAL'!$AZ$79,'FICHA PESSOAL'!$BA$79)</f>
        <v/>
      </c>
      <c r="C267" s="198">
        <f>"'FICHA PESSOAL'!AW79 'FICHA PESSOAL'!AX79 'FICHA PESSOAL'!AY79 'FICHA PESSOAL'!AZ79 'FICHA PESSOAL'!BA79"</f>
        <v/>
      </c>
      <c r="D267" s="198" t="inlineStr">
        <is>
          <t>entrada</t>
        </is>
      </c>
    </row>
    <row r="268">
      <c r="A268" s="198" t="inlineStr">
        <is>
          <t>missao.1.66</t>
        </is>
      </c>
      <c r="B268" s="198">
        <f>TEXTJOIN(" · ",TRUE,'FICHA PESSOAL'!$AW$80,'FICHA PESSOAL'!$AX$80,'FICHA PESSOAL'!$AY$80,'FICHA PESSOAL'!$AZ$80,'FICHA PESSOAL'!$BA$80)</f>
        <v/>
      </c>
      <c r="C268" s="198">
        <f>"'FICHA PESSOAL'!AW80 'FICHA PESSOAL'!AX80 'FICHA PESSOAL'!AY80 'FICHA PESSOAL'!AZ80 'FICHA PESSOAL'!BA80"</f>
        <v/>
      </c>
      <c r="D268" s="198" t="inlineStr">
        <is>
          <t>entrada</t>
        </is>
      </c>
    </row>
    <row r="269">
      <c r="A269" s="198" t="inlineStr">
        <is>
          <t>missao.1.67</t>
        </is>
      </c>
      <c r="B269" s="198">
        <f>TEXTJOIN(" · ",TRUE,'FICHA PESSOAL'!$AW$81,'FICHA PESSOAL'!$AX$81,'FICHA PESSOAL'!$AY$81,'FICHA PESSOAL'!$AZ$81,'FICHA PESSOAL'!$BA$81)</f>
        <v/>
      </c>
      <c r="C269" s="198">
        <f>"'FICHA PESSOAL'!AW81 'FICHA PESSOAL'!AX81 'FICHA PESSOAL'!AY81 'FICHA PESSOAL'!AZ81 'FICHA PESSOAL'!BA81"</f>
        <v/>
      </c>
      <c r="D269" s="198" t="inlineStr">
        <is>
          <t>entrada</t>
        </is>
      </c>
    </row>
    <row r="270">
      <c r="A270" s="198" t="inlineStr">
        <is>
          <t>missao.1.68</t>
        </is>
      </c>
      <c r="B270" s="198">
        <f>TEXTJOIN(" · ",TRUE,'FICHA PESSOAL'!$AW$82,'FICHA PESSOAL'!$AX$82,'FICHA PESSOAL'!$AY$82,'FICHA PESSOAL'!$AZ$82,'FICHA PESSOAL'!$BA$82)</f>
        <v/>
      </c>
      <c r="C270" s="198">
        <f>"'FICHA PESSOAL'!AW82 'FICHA PESSOAL'!AX82 'FICHA PESSOAL'!AY82 'FICHA PESSOAL'!AZ82 'FICHA PESSOAL'!BA82"</f>
        <v/>
      </c>
      <c r="D270" s="198" t="inlineStr">
        <is>
          <t>entrada</t>
        </is>
      </c>
    </row>
    <row r="271">
      <c r="A271" s="198" t="inlineStr">
        <is>
          <t>missao.1.69</t>
        </is>
      </c>
      <c r="B271" s="198">
        <f>TEXTJOIN(" · ",TRUE,'FICHA PESSOAL'!$AW$83,'FICHA PESSOAL'!$AX$83,'FICHA PESSOAL'!$AY$83,'FICHA PESSOAL'!$AZ$83,'FICHA PESSOAL'!$BA$83)</f>
        <v/>
      </c>
      <c r="C271" s="198">
        <f>"'FICHA PESSOAL'!AW83 'FICHA PESSOAL'!AX83 'FICHA PESSOAL'!AY83 'FICHA PESSOAL'!AZ83 'FICHA PESSOAL'!BA83"</f>
        <v/>
      </c>
      <c r="D271" s="198" t="inlineStr">
        <is>
          <t>entrada</t>
        </is>
      </c>
    </row>
    <row r="272">
      <c r="A272" s="198" t="inlineStr">
        <is>
          <t>missao.1.70</t>
        </is>
      </c>
      <c r="B272" s="198">
        <f>TEXTJOIN(" · ",TRUE,'FICHA PESSOAL'!$AW$84,'FICHA PESSOAL'!$AX$84,'FICHA PESSOAL'!$AY$84,'FICHA PESSOAL'!$AZ$84,'FICHA PESSOAL'!$BA$84)</f>
        <v/>
      </c>
      <c r="C272" s="198">
        <f>"'FICHA PESSOAL'!AW84 'FICHA PESSOAL'!AX84 'FICHA PESSOAL'!AY84 'FICHA PESSOAL'!AZ84 'FICHA PESSOAL'!BA84"</f>
        <v/>
      </c>
      <c r="D272" s="198" t="inlineStr">
        <is>
          <t>entrada</t>
        </is>
      </c>
    </row>
    <row r="273">
      <c r="A273" s="198" t="inlineStr">
        <is>
          <t>missao.1.71</t>
        </is>
      </c>
      <c r="B273" s="198">
        <f>TEXTJOIN(" · ",TRUE,'FICHA PESSOAL'!$AW$85,'FICHA PESSOAL'!$AX$85,'FICHA PESSOAL'!$AY$85,'FICHA PESSOAL'!$AZ$85,'FICHA PESSOAL'!$BA$85)</f>
        <v/>
      </c>
      <c r="C273" s="198">
        <f>"'FICHA PESSOAL'!AW85 'FICHA PESSOAL'!AX85 'FICHA PESSOAL'!AY85 'FICHA PESSOAL'!AZ85 'FICHA PESSOAL'!BA85"</f>
        <v/>
      </c>
      <c r="D273" s="198" t="inlineStr">
        <is>
          <t>entrada</t>
        </is>
      </c>
    </row>
    <row r="274">
      <c r="A274" s="198" t="inlineStr">
        <is>
          <t>missao.1.72</t>
        </is>
      </c>
      <c r="B274" s="198">
        <f>TEXTJOIN(" · ",TRUE,'FICHA PESSOAL'!$AW$86,'FICHA PESSOAL'!$AX$86,'FICHA PESSOAL'!$AY$86,'FICHA PESSOAL'!$AZ$86,'FICHA PESSOAL'!$BA$86)</f>
        <v/>
      </c>
      <c r="C274" s="198">
        <f>"'FICHA PESSOAL'!AW86 'FICHA PESSOAL'!AX86 'FICHA PESSOAL'!AY86 'FICHA PESSOAL'!AZ86 'FICHA PESSOAL'!BA86"</f>
        <v/>
      </c>
      <c r="D274" s="198" t="inlineStr">
        <is>
          <t>entrada</t>
        </is>
      </c>
    </row>
    <row r="275">
      <c r="A275" s="198" t="inlineStr">
        <is>
          <t>missao.1.73</t>
        </is>
      </c>
      <c r="B275" s="198">
        <f>TEXTJOIN(" · ",TRUE,'FICHA PESSOAL'!$AW$87,'FICHA PESSOAL'!$AX$87,'FICHA PESSOAL'!$AY$87,'FICHA PESSOAL'!$AZ$87,'FICHA PESSOAL'!$BA$87)</f>
        <v/>
      </c>
      <c r="C275" s="198">
        <f>"'FICHA PESSOAL'!AW87 'FICHA PESSOAL'!AX87 'FICHA PESSOAL'!AY87 'FICHA PESSOAL'!AZ87 'FICHA PESSOAL'!BA87"</f>
        <v/>
      </c>
      <c r="D275" s="198" t="inlineStr">
        <is>
          <t>entrada</t>
        </is>
      </c>
    </row>
    <row r="276">
      <c r="A276" s="198" t="inlineStr">
        <is>
          <t>missao.2.1</t>
        </is>
      </c>
      <c r="B276" s="198">
        <f>TEXTJOIN(" · ",TRUE,'FICHA PESSOAL'!$BC$15,'FICHA PESSOAL'!$BD$15,'FICHA PESSOAL'!$BE$15,'FICHA PESSOAL'!$BF$15,'FICHA PESSOAL'!$BG$15)</f>
        <v/>
      </c>
      <c r="C276" s="198">
        <f>"'FICHA PESSOAL'!BC15 'FICHA PESSOAL'!BD15 'FICHA PESSOAL'!BE15 'FICHA PESSOAL'!BF15 'FICHA PESSOAL'!BG15"</f>
        <v/>
      </c>
      <c r="D276" s="198" t="inlineStr">
        <is>
          <t>entrada</t>
        </is>
      </c>
    </row>
    <row r="277">
      <c r="A277" s="198" t="inlineStr">
        <is>
          <t>missao.2.2</t>
        </is>
      </c>
      <c r="B277" s="198">
        <f>TEXTJOIN(" · ",TRUE,'FICHA PESSOAL'!$BC$16,'FICHA PESSOAL'!$BD$16,'FICHA PESSOAL'!$BE$16,'FICHA PESSOAL'!$BF$16,'FICHA PESSOAL'!$BG$16)</f>
        <v/>
      </c>
      <c r="C277" s="198">
        <f>"'FICHA PESSOAL'!BC16 'FICHA PESSOAL'!BD16 'FICHA PESSOAL'!BE16 'FICHA PESSOAL'!BF16 'FICHA PESSOAL'!BG16"</f>
        <v/>
      </c>
      <c r="D277" s="198" t="inlineStr">
        <is>
          <t>entrada</t>
        </is>
      </c>
    </row>
    <row r="278">
      <c r="A278" s="198" t="inlineStr">
        <is>
          <t>missao.2.3</t>
        </is>
      </c>
      <c r="B278" s="198">
        <f>TEXTJOIN(" · ",TRUE,'FICHA PESSOAL'!$BC$17,'FICHA PESSOAL'!$BD$17,'FICHA PESSOAL'!$BE$17,'FICHA PESSOAL'!$BF$17,'FICHA PESSOAL'!$BG$17)</f>
        <v/>
      </c>
      <c r="C278" s="198">
        <f>"'FICHA PESSOAL'!BC17 'FICHA PESSOAL'!BD17 'FICHA PESSOAL'!BE17 'FICHA PESSOAL'!BF17 'FICHA PESSOAL'!BG17"</f>
        <v/>
      </c>
      <c r="D278" s="198" t="inlineStr">
        <is>
          <t>entrada</t>
        </is>
      </c>
    </row>
    <row r="279">
      <c r="A279" s="198" t="inlineStr">
        <is>
          <t>missao.2.4</t>
        </is>
      </c>
      <c r="B279" s="198">
        <f>TEXTJOIN(" · ",TRUE,'FICHA PESSOAL'!$BC$18,'FICHA PESSOAL'!$BD$18,'FICHA PESSOAL'!$BE$18,'FICHA PESSOAL'!$BF$18,'FICHA PESSOAL'!$BG$18)</f>
        <v/>
      </c>
      <c r="C279" s="198">
        <f>"'FICHA PESSOAL'!BC18 'FICHA PESSOAL'!BD18 'FICHA PESSOAL'!BE18 'FICHA PESSOAL'!BF18 'FICHA PESSOAL'!BG18"</f>
        <v/>
      </c>
      <c r="D279" s="198" t="inlineStr">
        <is>
          <t>entrada</t>
        </is>
      </c>
    </row>
    <row r="280">
      <c r="A280" s="198" t="inlineStr">
        <is>
          <t>missao.2.5</t>
        </is>
      </c>
      <c r="B280" s="198">
        <f>TEXTJOIN(" · ",TRUE,'FICHA PESSOAL'!$BC$19,'FICHA PESSOAL'!$BD$19,'FICHA PESSOAL'!$BE$19,'FICHA PESSOAL'!$BF$19,'FICHA PESSOAL'!$BG$19)</f>
        <v/>
      </c>
      <c r="C280" s="198">
        <f>"'FICHA PESSOAL'!BC19 'FICHA PESSOAL'!BD19 'FICHA PESSOAL'!BE19 'FICHA PESSOAL'!BF19 'FICHA PESSOAL'!BG19"</f>
        <v/>
      </c>
      <c r="D280" s="198" t="inlineStr">
        <is>
          <t>entrada</t>
        </is>
      </c>
    </row>
    <row r="281">
      <c r="A281" s="198" t="inlineStr">
        <is>
          <t>missao.2.6</t>
        </is>
      </c>
      <c r="B281" s="198">
        <f>TEXTJOIN(" · ",TRUE,'FICHA PESSOAL'!$BC$20,'FICHA PESSOAL'!$BD$20,'FICHA PESSOAL'!$BE$20,'FICHA PESSOAL'!$BF$20,'FICHA PESSOAL'!$BG$20)</f>
        <v/>
      </c>
      <c r="C281" s="198">
        <f>"'FICHA PESSOAL'!BC20 'FICHA PESSOAL'!BD20 'FICHA PESSOAL'!BE20 'FICHA PESSOAL'!BF20 'FICHA PESSOAL'!BG20"</f>
        <v/>
      </c>
      <c r="D281" s="198" t="inlineStr">
        <is>
          <t>entrada</t>
        </is>
      </c>
    </row>
    <row r="282">
      <c r="A282" s="198" t="inlineStr">
        <is>
          <t>missao.2.7</t>
        </is>
      </c>
      <c r="B282" s="198">
        <f>TEXTJOIN(" · ",TRUE,'FICHA PESSOAL'!$BC$21,'FICHA PESSOAL'!$BD$21,'FICHA PESSOAL'!$BE$21,'FICHA PESSOAL'!$BF$21,'FICHA PESSOAL'!$BG$21)</f>
        <v/>
      </c>
      <c r="C282" s="198">
        <f>"'FICHA PESSOAL'!BC21 'FICHA PESSOAL'!BD21 'FICHA PESSOAL'!BE21 'FICHA PESSOAL'!BF21 'FICHA PESSOAL'!BG21"</f>
        <v/>
      </c>
      <c r="D282" s="198" t="inlineStr">
        <is>
          <t>entrada</t>
        </is>
      </c>
    </row>
    <row r="283">
      <c r="A283" s="198" t="inlineStr">
        <is>
          <t>missao.2.8</t>
        </is>
      </c>
      <c r="B283" s="198">
        <f>TEXTJOIN(" · ",TRUE,'FICHA PESSOAL'!$BC$22,'FICHA PESSOAL'!$BD$22,'FICHA PESSOAL'!$BE$22,'FICHA PESSOAL'!$BF$22,'FICHA PESSOAL'!$BG$22)</f>
        <v/>
      </c>
      <c r="C283" s="198">
        <f>"'FICHA PESSOAL'!BC22 'FICHA PESSOAL'!BD22 'FICHA PESSOAL'!BE22 'FICHA PESSOAL'!BF22 'FICHA PESSOAL'!BG22"</f>
        <v/>
      </c>
      <c r="D283" s="198" t="inlineStr">
        <is>
          <t>entrada</t>
        </is>
      </c>
    </row>
    <row r="284">
      <c r="A284" s="198" t="inlineStr">
        <is>
          <t>missao.2.9</t>
        </is>
      </c>
      <c r="B284" s="198">
        <f>TEXTJOIN(" · ",TRUE,'FICHA PESSOAL'!$BC$23,'FICHA PESSOAL'!$BD$23,'FICHA PESSOAL'!$BE$23,'FICHA PESSOAL'!$BF$23,'FICHA PESSOAL'!$BG$23)</f>
        <v/>
      </c>
      <c r="C284" s="198">
        <f>"'FICHA PESSOAL'!BC23 'FICHA PESSOAL'!BD23 'FICHA PESSOAL'!BE23 'FICHA PESSOAL'!BF23 'FICHA PESSOAL'!BG23"</f>
        <v/>
      </c>
      <c r="D284" s="198" t="inlineStr">
        <is>
          <t>entrada</t>
        </is>
      </c>
    </row>
    <row r="285">
      <c r="A285" s="198" t="inlineStr">
        <is>
          <t>missao.2.10</t>
        </is>
      </c>
      <c r="B285" s="198">
        <f>TEXTJOIN(" · ",TRUE,'FICHA PESSOAL'!$BC$24,'FICHA PESSOAL'!$BD$24,'FICHA PESSOAL'!$BE$24,'FICHA PESSOAL'!$BF$24,'FICHA PESSOAL'!$BG$24)</f>
        <v/>
      </c>
      <c r="C285" s="198">
        <f>"'FICHA PESSOAL'!BC24 'FICHA PESSOAL'!BD24 'FICHA PESSOAL'!BE24 'FICHA PESSOAL'!BF24 'FICHA PESSOAL'!BG24"</f>
        <v/>
      </c>
      <c r="D285" s="198" t="inlineStr">
        <is>
          <t>entrada</t>
        </is>
      </c>
    </row>
    <row r="286">
      <c r="A286" s="198" t="inlineStr">
        <is>
          <t>missao.2.11</t>
        </is>
      </c>
      <c r="B286" s="198">
        <f>TEXTJOIN(" · ",TRUE,'FICHA PESSOAL'!$BC$25,'FICHA PESSOAL'!$BD$25,'FICHA PESSOAL'!$BE$25,'FICHA PESSOAL'!$BF$25,'FICHA PESSOAL'!$BG$25)</f>
        <v/>
      </c>
      <c r="C286" s="198">
        <f>"'FICHA PESSOAL'!BC25 'FICHA PESSOAL'!BD25 'FICHA PESSOAL'!BE25 'FICHA PESSOAL'!BF25 'FICHA PESSOAL'!BG25"</f>
        <v/>
      </c>
      <c r="D286" s="198" t="inlineStr">
        <is>
          <t>entrada</t>
        </is>
      </c>
    </row>
    <row r="287">
      <c r="A287" s="198" t="inlineStr">
        <is>
          <t>missao.2.12</t>
        </is>
      </c>
      <c r="B287" s="198">
        <f>TEXTJOIN(" · ",TRUE,'FICHA PESSOAL'!$BC$26,'FICHA PESSOAL'!$BD$26,'FICHA PESSOAL'!$BE$26,'FICHA PESSOAL'!$BF$26,'FICHA PESSOAL'!$BG$26)</f>
        <v/>
      </c>
      <c r="C287" s="198">
        <f>"'FICHA PESSOAL'!BC26 'FICHA PESSOAL'!BD26 'FICHA PESSOAL'!BE26 'FICHA PESSOAL'!BF26 'FICHA PESSOAL'!BG26"</f>
        <v/>
      </c>
      <c r="D287" s="198" t="inlineStr">
        <is>
          <t>entrada</t>
        </is>
      </c>
    </row>
    <row r="288">
      <c r="A288" s="198" t="inlineStr">
        <is>
          <t>missao.2.13</t>
        </is>
      </c>
      <c r="B288" s="198">
        <f>TEXTJOIN(" · ",TRUE,'FICHA PESSOAL'!$BC$27,'FICHA PESSOAL'!$BD$27,'FICHA PESSOAL'!$BE$27,'FICHA PESSOAL'!$BF$27,'FICHA PESSOAL'!$BG$27)</f>
        <v/>
      </c>
      <c r="C288" s="198">
        <f>"'FICHA PESSOAL'!BC27 'FICHA PESSOAL'!BD27 'FICHA PESSOAL'!BE27 'FICHA PESSOAL'!BF27 'FICHA PESSOAL'!BG27"</f>
        <v/>
      </c>
      <c r="D288" s="198" t="inlineStr">
        <is>
          <t>entrada</t>
        </is>
      </c>
    </row>
    <row r="289">
      <c r="A289" s="198" t="inlineStr">
        <is>
          <t>missao.2.14</t>
        </is>
      </c>
      <c r="B289" s="198">
        <f>TEXTJOIN(" · ",TRUE,'FICHA PESSOAL'!$BC$28,'FICHA PESSOAL'!$BD$28,'FICHA PESSOAL'!$BE$28,'FICHA PESSOAL'!$BF$28,'FICHA PESSOAL'!$BG$28)</f>
        <v/>
      </c>
      <c r="C289" s="198">
        <f>"'FICHA PESSOAL'!BC28 'FICHA PESSOAL'!BD28 'FICHA PESSOAL'!BE28 'FICHA PESSOAL'!BF28 'FICHA PESSOAL'!BG28"</f>
        <v/>
      </c>
      <c r="D289" s="198" t="inlineStr">
        <is>
          <t>entrada</t>
        </is>
      </c>
    </row>
    <row r="290">
      <c r="A290" s="198" t="inlineStr">
        <is>
          <t>missao.2.15</t>
        </is>
      </c>
      <c r="B290" s="198">
        <f>TEXTJOIN(" · ",TRUE,'FICHA PESSOAL'!$BC$29,'FICHA PESSOAL'!$BD$29,'FICHA PESSOAL'!$BE$29,'FICHA PESSOAL'!$BF$29,'FICHA PESSOAL'!$BG$29)</f>
        <v/>
      </c>
      <c r="C290" s="198">
        <f>"'FICHA PESSOAL'!BC29 'FICHA PESSOAL'!BD29 'FICHA PESSOAL'!BE29 'FICHA PESSOAL'!BF29 'FICHA PESSOAL'!BG29"</f>
        <v/>
      </c>
      <c r="D290" s="198" t="inlineStr">
        <is>
          <t>entrada</t>
        </is>
      </c>
    </row>
    <row r="291">
      <c r="A291" s="198" t="inlineStr">
        <is>
          <t>missao.2.16</t>
        </is>
      </c>
      <c r="B291" s="198">
        <f>TEXTJOIN(" · ",TRUE,'FICHA PESSOAL'!$BC$30,'FICHA PESSOAL'!$BD$30,'FICHA PESSOAL'!$BE$30,'FICHA PESSOAL'!$BF$30,'FICHA PESSOAL'!$BG$30)</f>
        <v/>
      </c>
      <c r="C291" s="198">
        <f>"'FICHA PESSOAL'!BC30 'FICHA PESSOAL'!BD30 'FICHA PESSOAL'!BE30 'FICHA PESSOAL'!BF30 'FICHA PESSOAL'!BG30"</f>
        <v/>
      </c>
      <c r="D291" s="198" t="inlineStr">
        <is>
          <t>entrada</t>
        </is>
      </c>
    </row>
    <row r="292">
      <c r="A292" s="198" t="inlineStr">
        <is>
          <t>missao.2.17</t>
        </is>
      </c>
      <c r="B292" s="198">
        <f>TEXTJOIN(" · ",TRUE,'FICHA PESSOAL'!$BC$31,'FICHA PESSOAL'!$BD$31,'FICHA PESSOAL'!$BE$31,'FICHA PESSOAL'!$BF$31,'FICHA PESSOAL'!$BG$31)</f>
        <v/>
      </c>
      <c r="C292" s="198">
        <f>"'FICHA PESSOAL'!BC31 'FICHA PESSOAL'!BD31 'FICHA PESSOAL'!BE31 'FICHA PESSOAL'!BF31 'FICHA PESSOAL'!BG31"</f>
        <v/>
      </c>
      <c r="D292" s="198" t="inlineStr">
        <is>
          <t>entrada</t>
        </is>
      </c>
    </row>
    <row r="293">
      <c r="A293" s="198" t="inlineStr">
        <is>
          <t>missao.2.18</t>
        </is>
      </c>
      <c r="B293" s="198">
        <f>TEXTJOIN(" · ",TRUE,'FICHA PESSOAL'!$BC$32,'FICHA PESSOAL'!$BD$32,'FICHA PESSOAL'!$BE$32,'FICHA PESSOAL'!$BF$32,'FICHA PESSOAL'!$BG$32)</f>
        <v/>
      </c>
      <c r="C293" s="198">
        <f>"'FICHA PESSOAL'!BC32 'FICHA PESSOAL'!BD32 'FICHA PESSOAL'!BE32 'FICHA PESSOAL'!BF32 'FICHA PESSOAL'!BG32"</f>
        <v/>
      </c>
      <c r="D293" s="198" t="inlineStr">
        <is>
          <t>entrada</t>
        </is>
      </c>
    </row>
    <row r="294">
      <c r="A294" s="198" t="inlineStr">
        <is>
          <t>missao.2.19</t>
        </is>
      </c>
      <c r="B294" s="198">
        <f>TEXTJOIN(" · ",TRUE,'FICHA PESSOAL'!$BC$33,'FICHA PESSOAL'!$BD$33,'FICHA PESSOAL'!$BE$33,'FICHA PESSOAL'!$BF$33,'FICHA PESSOAL'!$BG$33)</f>
        <v/>
      </c>
      <c r="C294" s="198">
        <f>"'FICHA PESSOAL'!BC33 'FICHA PESSOAL'!BD33 'FICHA PESSOAL'!BE33 'FICHA PESSOAL'!BF33 'FICHA PESSOAL'!BG33"</f>
        <v/>
      </c>
      <c r="D294" s="198" t="inlineStr">
        <is>
          <t>entrada</t>
        </is>
      </c>
    </row>
    <row r="295">
      <c r="A295" s="198" t="inlineStr">
        <is>
          <t>missao.2.20</t>
        </is>
      </c>
      <c r="B295" s="198">
        <f>TEXTJOIN(" · ",TRUE,'FICHA PESSOAL'!$BC$34,'FICHA PESSOAL'!$BD$34,'FICHA PESSOAL'!$BE$34,'FICHA PESSOAL'!$BF$34,'FICHA PESSOAL'!$BG$34)</f>
        <v/>
      </c>
      <c r="C295" s="198">
        <f>"'FICHA PESSOAL'!BC34 'FICHA PESSOAL'!BD34 'FICHA PESSOAL'!BE34 'FICHA PESSOAL'!BF34 'FICHA PESSOAL'!BG34"</f>
        <v/>
      </c>
      <c r="D295" s="198" t="inlineStr">
        <is>
          <t>entrada</t>
        </is>
      </c>
    </row>
    <row r="296">
      <c r="A296" s="198" t="inlineStr">
        <is>
          <t>missao.2.21</t>
        </is>
      </c>
      <c r="B296" s="198">
        <f>TEXTJOIN(" · ",TRUE,'FICHA PESSOAL'!$BC$35,'FICHA PESSOAL'!$BD$35,'FICHA PESSOAL'!$BE$35,'FICHA PESSOAL'!$BF$35,'FICHA PESSOAL'!$BG$35)</f>
        <v/>
      </c>
      <c r="C296" s="198">
        <f>"'FICHA PESSOAL'!BC35 'FICHA PESSOAL'!BD35 'FICHA PESSOAL'!BE35 'FICHA PESSOAL'!BF35 'FICHA PESSOAL'!BG35"</f>
        <v/>
      </c>
      <c r="D296" s="198" t="inlineStr">
        <is>
          <t>entrada</t>
        </is>
      </c>
    </row>
    <row r="297">
      <c r="A297" s="198" t="inlineStr">
        <is>
          <t>missao.2.22</t>
        </is>
      </c>
      <c r="B297" s="198">
        <f>TEXTJOIN(" · ",TRUE,'FICHA PESSOAL'!$BC$36,'FICHA PESSOAL'!$BD$36,'FICHA PESSOAL'!$BE$36,'FICHA PESSOAL'!$BF$36,'FICHA PESSOAL'!$BG$36)</f>
        <v/>
      </c>
      <c r="C297" s="198">
        <f>"'FICHA PESSOAL'!BC36 'FICHA PESSOAL'!BD36 'FICHA PESSOAL'!BE36 'FICHA PESSOAL'!BF36 'FICHA PESSOAL'!BG36"</f>
        <v/>
      </c>
      <c r="D297" s="198" t="inlineStr">
        <is>
          <t>entrada</t>
        </is>
      </c>
    </row>
    <row r="298">
      <c r="A298" s="198" t="inlineStr">
        <is>
          <t>missao.2.23</t>
        </is>
      </c>
      <c r="B298" s="198">
        <f>TEXTJOIN(" · ",TRUE,'FICHA PESSOAL'!$BC$37,'FICHA PESSOAL'!$BD$37,'FICHA PESSOAL'!$BE$37,'FICHA PESSOAL'!$BF$37,'FICHA PESSOAL'!$BG$37)</f>
        <v/>
      </c>
      <c r="C298" s="198">
        <f>"'FICHA PESSOAL'!BC37 'FICHA PESSOAL'!BD37 'FICHA PESSOAL'!BE37 'FICHA PESSOAL'!BF37 'FICHA PESSOAL'!BG37"</f>
        <v/>
      </c>
      <c r="D298" s="198" t="inlineStr">
        <is>
          <t>entrada</t>
        </is>
      </c>
    </row>
    <row r="299">
      <c r="A299" s="198" t="inlineStr">
        <is>
          <t>missao.2.24</t>
        </is>
      </c>
      <c r="B299" s="198">
        <f>TEXTJOIN(" · ",TRUE,'FICHA PESSOAL'!$BC$38,'FICHA PESSOAL'!$BD$38,'FICHA PESSOAL'!$BE$38,'FICHA PESSOAL'!$BF$38,'FICHA PESSOAL'!$BG$38)</f>
        <v/>
      </c>
      <c r="C299" s="198">
        <f>"'FICHA PESSOAL'!BC38 'FICHA PESSOAL'!BD38 'FICHA PESSOAL'!BE38 'FICHA PESSOAL'!BF38 'FICHA PESSOAL'!BG38"</f>
        <v/>
      </c>
      <c r="D299" s="198" t="inlineStr">
        <is>
          <t>entrada</t>
        </is>
      </c>
    </row>
    <row r="300">
      <c r="A300" s="198" t="inlineStr">
        <is>
          <t>missao.2.25</t>
        </is>
      </c>
      <c r="B300" s="198">
        <f>TEXTJOIN(" · ",TRUE,'FICHA PESSOAL'!$BC$39,'FICHA PESSOAL'!$BD$39,'FICHA PESSOAL'!$BE$39,'FICHA PESSOAL'!$BF$39,'FICHA PESSOAL'!$BG$39)</f>
        <v/>
      </c>
      <c r="C300" s="198">
        <f>"'FICHA PESSOAL'!BC39 'FICHA PESSOAL'!BD39 'FICHA PESSOAL'!BE39 'FICHA PESSOAL'!BF39 'FICHA PESSOAL'!BG39"</f>
        <v/>
      </c>
      <c r="D300" s="198" t="inlineStr">
        <is>
          <t>entrada</t>
        </is>
      </c>
    </row>
    <row r="301">
      <c r="A301" s="198" t="inlineStr">
        <is>
          <t>missao.2.26</t>
        </is>
      </c>
      <c r="B301" s="198">
        <f>TEXTJOIN(" · ",TRUE,'FICHA PESSOAL'!$BC$40,'FICHA PESSOAL'!$BD$40,'FICHA PESSOAL'!$BE$40,'FICHA PESSOAL'!$BF$40,'FICHA PESSOAL'!$BG$40)</f>
        <v/>
      </c>
      <c r="C301" s="198">
        <f>"'FICHA PESSOAL'!BC40 'FICHA PESSOAL'!BD40 'FICHA PESSOAL'!BE40 'FICHA PESSOAL'!BF40 'FICHA PESSOAL'!BG40"</f>
        <v/>
      </c>
      <c r="D301" s="198" t="inlineStr">
        <is>
          <t>entrada</t>
        </is>
      </c>
    </row>
    <row r="302">
      <c r="A302" s="198" t="inlineStr">
        <is>
          <t>missao.2.27</t>
        </is>
      </c>
      <c r="B302" s="198">
        <f>TEXTJOIN(" · ",TRUE,'FICHA PESSOAL'!$BC$41,'FICHA PESSOAL'!$BD$41,'FICHA PESSOAL'!$BE$41,'FICHA PESSOAL'!$BF$41,'FICHA PESSOAL'!$BG$41)</f>
        <v/>
      </c>
      <c r="C302" s="198">
        <f>"'FICHA PESSOAL'!BC41 'FICHA PESSOAL'!BD41 'FICHA PESSOAL'!BE41 'FICHA PESSOAL'!BF41 'FICHA PESSOAL'!BG41"</f>
        <v/>
      </c>
      <c r="D302" s="198" t="inlineStr">
        <is>
          <t>entrada</t>
        </is>
      </c>
    </row>
    <row r="303">
      <c r="A303" s="198" t="inlineStr">
        <is>
          <t>missao.2.28</t>
        </is>
      </c>
      <c r="B303" s="198">
        <f>TEXTJOIN(" · ",TRUE,'FICHA PESSOAL'!$BC$42,'FICHA PESSOAL'!$BD$42,'FICHA PESSOAL'!$BE$42,'FICHA PESSOAL'!$BF$42,'FICHA PESSOAL'!$BG$42)</f>
        <v/>
      </c>
      <c r="C303" s="198">
        <f>"'FICHA PESSOAL'!BC42 'FICHA PESSOAL'!BD42 'FICHA PESSOAL'!BE42 'FICHA PESSOAL'!BF42 'FICHA PESSOAL'!BG42"</f>
        <v/>
      </c>
      <c r="D303" s="198" t="inlineStr">
        <is>
          <t>entrada</t>
        </is>
      </c>
    </row>
    <row r="304">
      <c r="A304" s="198" t="inlineStr">
        <is>
          <t>missao.2.29</t>
        </is>
      </c>
      <c r="B304" s="198">
        <f>TEXTJOIN(" · ",TRUE,'FICHA PESSOAL'!$BC$43,'FICHA PESSOAL'!$BD$43,'FICHA PESSOAL'!$BE$43,'FICHA PESSOAL'!$BF$43,'FICHA PESSOAL'!$BG$43)</f>
        <v/>
      </c>
      <c r="C304" s="198">
        <f>"'FICHA PESSOAL'!BC43 'FICHA PESSOAL'!BD43 'FICHA PESSOAL'!BE43 'FICHA PESSOAL'!BF43 'FICHA PESSOAL'!BG43"</f>
        <v/>
      </c>
      <c r="D304" s="198" t="inlineStr">
        <is>
          <t>entrada</t>
        </is>
      </c>
    </row>
    <row r="305">
      <c r="A305" s="198" t="inlineStr">
        <is>
          <t>missao.2.30</t>
        </is>
      </c>
      <c r="B305" s="198">
        <f>TEXTJOIN(" · ",TRUE,'FICHA PESSOAL'!$BC$44,'FICHA PESSOAL'!$BD$44,'FICHA PESSOAL'!$BE$44,'FICHA PESSOAL'!$BF$44,'FICHA PESSOAL'!$BG$44)</f>
        <v/>
      </c>
      <c r="C305" s="198">
        <f>"'FICHA PESSOAL'!BC44 'FICHA PESSOAL'!BD44 'FICHA PESSOAL'!BE44 'FICHA PESSOAL'!BF44 'FICHA PESSOAL'!BG44"</f>
        <v/>
      </c>
      <c r="D305" s="198" t="inlineStr">
        <is>
          <t>entrada</t>
        </is>
      </c>
    </row>
    <row r="306">
      <c r="A306" s="198" t="inlineStr">
        <is>
          <t>missao.2.31</t>
        </is>
      </c>
      <c r="B306" s="198">
        <f>TEXTJOIN(" · ",TRUE,'FICHA PESSOAL'!$BC$45,'FICHA PESSOAL'!$BD$45,'FICHA PESSOAL'!$BE$45,'FICHA PESSOAL'!$BF$45,'FICHA PESSOAL'!$BG$45)</f>
        <v/>
      </c>
      <c r="C306" s="198">
        <f>"'FICHA PESSOAL'!BC45 'FICHA PESSOAL'!BD45 'FICHA PESSOAL'!BE45 'FICHA PESSOAL'!BF45 'FICHA PESSOAL'!BG45"</f>
        <v/>
      </c>
      <c r="D306" s="198" t="inlineStr">
        <is>
          <t>entrada</t>
        </is>
      </c>
    </row>
    <row r="307">
      <c r="A307" s="198" t="inlineStr">
        <is>
          <t>missao.2.32</t>
        </is>
      </c>
      <c r="B307" s="198">
        <f>TEXTJOIN(" · ",TRUE,'FICHA PESSOAL'!$BC$46,'FICHA PESSOAL'!$BD$46,'FICHA PESSOAL'!$BE$46,'FICHA PESSOAL'!$BF$46,'FICHA PESSOAL'!$BG$46)</f>
        <v/>
      </c>
      <c r="C307" s="198">
        <f>"'FICHA PESSOAL'!BC46 'FICHA PESSOAL'!BD46 'FICHA PESSOAL'!BE46 'FICHA PESSOAL'!BF46 'FICHA PESSOAL'!BG46"</f>
        <v/>
      </c>
      <c r="D307" s="198" t="inlineStr">
        <is>
          <t>entrada</t>
        </is>
      </c>
    </row>
    <row r="308">
      <c r="A308" s="198" t="inlineStr">
        <is>
          <t>missao.2.33</t>
        </is>
      </c>
      <c r="B308" s="198">
        <f>TEXTJOIN(" · ",TRUE,'FICHA PESSOAL'!$BC$47,'FICHA PESSOAL'!$BD$47,'FICHA PESSOAL'!$BE$47,'FICHA PESSOAL'!$BF$47,'FICHA PESSOAL'!$BG$47)</f>
        <v/>
      </c>
      <c r="C308" s="198">
        <f>"'FICHA PESSOAL'!BC47 'FICHA PESSOAL'!BD47 'FICHA PESSOAL'!BE47 'FICHA PESSOAL'!BF47 'FICHA PESSOAL'!BG47"</f>
        <v/>
      </c>
      <c r="D308" s="198" t="inlineStr">
        <is>
          <t>entrada</t>
        </is>
      </c>
    </row>
    <row r="309">
      <c r="A309" s="198" t="inlineStr">
        <is>
          <t>missao.2.34</t>
        </is>
      </c>
      <c r="B309" s="198">
        <f>TEXTJOIN(" · ",TRUE,'FICHA PESSOAL'!$BC$48,'FICHA PESSOAL'!$BD$48,'FICHA PESSOAL'!$BE$48,'FICHA PESSOAL'!$BF$48,'FICHA PESSOAL'!$BG$48)</f>
        <v/>
      </c>
      <c r="C309" s="198">
        <f>"'FICHA PESSOAL'!BC48 'FICHA PESSOAL'!BD48 'FICHA PESSOAL'!BE48 'FICHA PESSOAL'!BF48 'FICHA PESSOAL'!BG48"</f>
        <v/>
      </c>
      <c r="D309" s="198" t="inlineStr">
        <is>
          <t>entrada</t>
        </is>
      </c>
    </row>
    <row r="310">
      <c r="A310" s="198" t="inlineStr">
        <is>
          <t>missao.2.35</t>
        </is>
      </c>
      <c r="B310" s="198">
        <f>TEXTJOIN(" · ",TRUE,'FICHA PESSOAL'!$BC$49,'FICHA PESSOAL'!$BD$49,'FICHA PESSOAL'!$BE$49,'FICHA PESSOAL'!$BF$49,'FICHA PESSOAL'!$BG$49)</f>
        <v/>
      </c>
      <c r="C310" s="198">
        <f>"'FICHA PESSOAL'!BC49 'FICHA PESSOAL'!BD49 'FICHA PESSOAL'!BE49 'FICHA PESSOAL'!BF49 'FICHA PESSOAL'!BG49"</f>
        <v/>
      </c>
      <c r="D310" s="198" t="inlineStr">
        <is>
          <t>entrada</t>
        </is>
      </c>
    </row>
    <row r="311">
      <c r="A311" s="198" t="inlineStr">
        <is>
          <t>missao.2.36</t>
        </is>
      </c>
      <c r="B311" s="198">
        <f>TEXTJOIN(" · ",TRUE,'FICHA PESSOAL'!$BC$50,'FICHA PESSOAL'!$BD$50,'FICHA PESSOAL'!$BE$50,'FICHA PESSOAL'!$BF$50,'FICHA PESSOAL'!$BG$50)</f>
        <v/>
      </c>
      <c r="C311" s="198">
        <f>"'FICHA PESSOAL'!BC50 'FICHA PESSOAL'!BD50 'FICHA PESSOAL'!BE50 'FICHA PESSOAL'!BF50 'FICHA PESSOAL'!BG50"</f>
        <v/>
      </c>
      <c r="D311" s="198" t="inlineStr">
        <is>
          <t>entrada</t>
        </is>
      </c>
    </row>
    <row r="312">
      <c r="A312" s="198" t="inlineStr">
        <is>
          <t>missao.2.37</t>
        </is>
      </c>
      <c r="B312" s="198">
        <f>TEXTJOIN(" · ",TRUE,'FICHA PESSOAL'!$BC$51,'FICHA PESSOAL'!$BD$51,'FICHA PESSOAL'!$BE$51,'FICHA PESSOAL'!$BF$51,'FICHA PESSOAL'!$BG$51)</f>
        <v/>
      </c>
      <c r="C312" s="198">
        <f>"'FICHA PESSOAL'!BC51 'FICHA PESSOAL'!BD51 'FICHA PESSOAL'!BE51 'FICHA PESSOAL'!BF51 'FICHA PESSOAL'!BG51"</f>
        <v/>
      </c>
      <c r="D312" s="198" t="inlineStr">
        <is>
          <t>entrada</t>
        </is>
      </c>
    </row>
    <row r="313">
      <c r="A313" s="198" t="inlineStr">
        <is>
          <t>missao.2.38</t>
        </is>
      </c>
      <c r="B313" s="198">
        <f>TEXTJOIN(" · ",TRUE,'FICHA PESSOAL'!$BC$52,'FICHA PESSOAL'!$BD$52,'FICHA PESSOAL'!$BE$52,'FICHA PESSOAL'!$BF$52,'FICHA PESSOAL'!$BG$52)</f>
        <v/>
      </c>
      <c r="C313" s="198">
        <f>"'FICHA PESSOAL'!BC52 'FICHA PESSOAL'!BD52 'FICHA PESSOAL'!BE52 'FICHA PESSOAL'!BF52 'FICHA PESSOAL'!BG52"</f>
        <v/>
      </c>
      <c r="D313" s="198" t="inlineStr">
        <is>
          <t>entrada</t>
        </is>
      </c>
    </row>
    <row r="314">
      <c r="A314" s="198" t="inlineStr">
        <is>
          <t>missao.2.39</t>
        </is>
      </c>
      <c r="B314" s="198">
        <f>TEXTJOIN(" · ",TRUE,'FICHA PESSOAL'!$BC$53,'FICHA PESSOAL'!$BD$53,'FICHA PESSOAL'!$BE$53,'FICHA PESSOAL'!$BF$53,'FICHA PESSOAL'!$BG$53)</f>
        <v/>
      </c>
      <c r="C314" s="198">
        <f>"'FICHA PESSOAL'!BC53 'FICHA PESSOAL'!BD53 'FICHA PESSOAL'!BE53 'FICHA PESSOAL'!BF53 'FICHA PESSOAL'!BG53"</f>
        <v/>
      </c>
      <c r="D314" s="198" t="inlineStr">
        <is>
          <t>entrada</t>
        </is>
      </c>
    </row>
    <row r="315">
      <c r="A315" s="198" t="inlineStr">
        <is>
          <t>missao.2.40</t>
        </is>
      </c>
      <c r="B315" s="198">
        <f>TEXTJOIN(" · ",TRUE,'FICHA PESSOAL'!$BC$54,'FICHA PESSOAL'!$BD$54,'FICHA PESSOAL'!$BE$54,'FICHA PESSOAL'!$BF$54,'FICHA PESSOAL'!$BG$54)</f>
        <v/>
      </c>
      <c r="C315" s="198">
        <f>"'FICHA PESSOAL'!BC54 'FICHA PESSOAL'!BD54 'FICHA PESSOAL'!BE54 'FICHA PESSOAL'!BF54 'FICHA PESSOAL'!BG54"</f>
        <v/>
      </c>
      <c r="D315" s="198" t="inlineStr">
        <is>
          <t>entrada</t>
        </is>
      </c>
    </row>
    <row r="316">
      <c r="A316" s="198" t="inlineStr">
        <is>
          <t>missao.2.41</t>
        </is>
      </c>
      <c r="B316" s="198">
        <f>TEXTJOIN(" · ",TRUE,'FICHA PESSOAL'!$BC$55,'FICHA PESSOAL'!$BD$55,'FICHA PESSOAL'!$BE$55,'FICHA PESSOAL'!$BF$55,'FICHA PESSOAL'!$BG$55)</f>
        <v/>
      </c>
      <c r="C316" s="198">
        <f>"'FICHA PESSOAL'!BC55 'FICHA PESSOAL'!BD55 'FICHA PESSOAL'!BE55 'FICHA PESSOAL'!BF55 'FICHA PESSOAL'!BG55"</f>
        <v/>
      </c>
      <c r="D316" s="198" t="inlineStr">
        <is>
          <t>entrada</t>
        </is>
      </c>
    </row>
    <row r="317">
      <c r="A317" s="198" t="inlineStr">
        <is>
          <t>missao.2.42</t>
        </is>
      </c>
      <c r="B317" s="198">
        <f>TEXTJOIN(" · ",TRUE,'FICHA PESSOAL'!$BC$56,'FICHA PESSOAL'!$BD$56,'FICHA PESSOAL'!$BE$56,'FICHA PESSOAL'!$BF$56,'FICHA PESSOAL'!$BG$56)</f>
        <v/>
      </c>
      <c r="C317" s="198">
        <f>"'FICHA PESSOAL'!BC56 'FICHA PESSOAL'!BD56 'FICHA PESSOAL'!BE56 'FICHA PESSOAL'!BF56 'FICHA PESSOAL'!BG56"</f>
        <v/>
      </c>
      <c r="D317" s="198" t="inlineStr">
        <is>
          <t>entrada</t>
        </is>
      </c>
    </row>
    <row r="318">
      <c r="A318" s="198" t="inlineStr">
        <is>
          <t>missao.2.43</t>
        </is>
      </c>
      <c r="B318" s="198">
        <f>TEXTJOIN(" · ",TRUE,'FICHA PESSOAL'!$BC$57,'FICHA PESSOAL'!$BD$57,'FICHA PESSOAL'!$BE$57,'FICHA PESSOAL'!$BF$57,'FICHA PESSOAL'!$BG$57)</f>
        <v/>
      </c>
      <c r="C318" s="198">
        <f>"'FICHA PESSOAL'!BC57 'FICHA PESSOAL'!BD57 'FICHA PESSOAL'!BE57 'FICHA PESSOAL'!BF57 'FICHA PESSOAL'!BG57"</f>
        <v/>
      </c>
      <c r="D318" s="198" t="inlineStr">
        <is>
          <t>entrada</t>
        </is>
      </c>
    </row>
    <row r="319">
      <c r="A319" s="198" t="inlineStr">
        <is>
          <t>missao.2.44</t>
        </is>
      </c>
      <c r="B319" s="198">
        <f>TEXTJOIN(" · ",TRUE,'FICHA PESSOAL'!$BC$58,'FICHA PESSOAL'!$BD$58,'FICHA PESSOAL'!$BE$58,'FICHA PESSOAL'!$BF$58,'FICHA PESSOAL'!$BG$58)</f>
        <v/>
      </c>
      <c r="C319" s="198">
        <f>"'FICHA PESSOAL'!BC58 'FICHA PESSOAL'!BD58 'FICHA PESSOAL'!BE58 'FICHA PESSOAL'!BF58 'FICHA PESSOAL'!BG58"</f>
        <v/>
      </c>
      <c r="D319" s="198" t="inlineStr">
        <is>
          <t>entrada</t>
        </is>
      </c>
    </row>
    <row r="320">
      <c r="A320" s="198" t="inlineStr">
        <is>
          <t>missao.2.45</t>
        </is>
      </c>
      <c r="B320" s="198">
        <f>TEXTJOIN(" · ",TRUE,'FICHA PESSOAL'!$BC$59,'FICHA PESSOAL'!$BD$59,'FICHA PESSOAL'!$BE$59,'FICHA PESSOAL'!$BF$59,'FICHA PESSOAL'!$BG$59)</f>
        <v/>
      </c>
      <c r="C320" s="198">
        <f>"'FICHA PESSOAL'!BC59 'FICHA PESSOAL'!BD59 'FICHA PESSOAL'!BE59 'FICHA PESSOAL'!BF59 'FICHA PESSOAL'!BG59"</f>
        <v/>
      </c>
      <c r="D320" s="198" t="inlineStr">
        <is>
          <t>entrada</t>
        </is>
      </c>
    </row>
    <row r="321">
      <c r="A321" s="198" t="inlineStr">
        <is>
          <t>missao.2.46</t>
        </is>
      </c>
      <c r="B321" s="198">
        <f>TEXTJOIN(" · ",TRUE,'FICHA PESSOAL'!$BC$60,'FICHA PESSOAL'!$BD$60,'FICHA PESSOAL'!$BE$60,'FICHA PESSOAL'!$BF$60,'FICHA PESSOAL'!$BG$60)</f>
        <v/>
      </c>
      <c r="C321" s="198">
        <f>"'FICHA PESSOAL'!BC60 'FICHA PESSOAL'!BD60 'FICHA PESSOAL'!BE60 'FICHA PESSOAL'!BF60 'FICHA PESSOAL'!BG60"</f>
        <v/>
      </c>
      <c r="D321" s="198" t="inlineStr">
        <is>
          <t>entrada</t>
        </is>
      </c>
    </row>
    <row r="322">
      <c r="A322" s="198" t="inlineStr">
        <is>
          <t>missao.2.47</t>
        </is>
      </c>
      <c r="B322" s="198">
        <f>TEXTJOIN(" · ",TRUE,'FICHA PESSOAL'!$BC$61,'FICHA PESSOAL'!$BD$61,'FICHA PESSOAL'!$BE$61,'FICHA PESSOAL'!$BF$61,'FICHA PESSOAL'!$BG$61)</f>
        <v/>
      </c>
      <c r="C322" s="198">
        <f>"'FICHA PESSOAL'!BC61 'FICHA PESSOAL'!BD61 'FICHA PESSOAL'!BE61 'FICHA PESSOAL'!BF61 'FICHA PESSOAL'!BG61"</f>
        <v/>
      </c>
      <c r="D322" s="198" t="inlineStr">
        <is>
          <t>entrada</t>
        </is>
      </c>
    </row>
    <row r="323">
      <c r="A323" s="198" t="inlineStr">
        <is>
          <t>missao.2.48</t>
        </is>
      </c>
      <c r="B323" s="198">
        <f>TEXTJOIN(" · ",TRUE,'FICHA PESSOAL'!$BC$62,'FICHA PESSOAL'!$BD$62,'FICHA PESSOAL'!$BE$62,'FICHA PESSOAL'!$BF$62,'FICHA PESSOAL'!$BG$62)</f>
        <v/>
      </c>
      <c r="C323" s="198">
        <f>"'FICHA PESSOAL'!BC62 'FICHA PESSOAL'!BD62 'FICHA PESSOAL'!BE62 'FICHA PESSOAL'!BF62 'FICHA PESSOAL'!BG62"</f>
        <v/>
      </c>
      <c r="D323" s="198" t="inlineStr">
        <is>
          <t>entrada</t>
        </is>
      </c>
    </row>
    <row r="324">
      <c r="A324" s="198" t="inlineStr">
        <is>
          <t>missao.2.49</t>
        </is>
      </c>
      <c r="B324" s="198">
        <f>TEXTJOIN(" · ",TRUE,'FICHA PESSOAL'!$BC$63,'FICHA PESSOAL'!$BD$63,'FICHA PESSOAL'!$BE$63,'FICHA PESSOAL'!$BF$63,'FICHA PESSOAL'!$BG$63)</f>
        <v/>
      </c>
      <c r="C324" s="198">
        <f>"'FICHA PESSOAL'!BC63 'FICHA PESSOAL'!BD63 'FICHA PESSOAL'!BE63 'FICHA PESSOAL'!BF63 'FICHA PESSOAL'!BG63"</f>
        <v/>
      </c>
      <c r="D324" s="198" t="inlineStr">
        <is>
          <t>entrada</t>
        </is>
      </c>
    </row>
    <row r="325">
      <c r="A325" s="198" t="inlineStr">
        <is>
          <t>missao.2.50</t>
        </is>
      </c>
      <c r="B325" s="198">
        <f>TEXTJOIN(" · ",TRUE,'FICHA PESSOAL'!$BC$64,'FICHA PESSOAL'!$BD$64,'FICHA PESSOAL'!$BE$64,'FICHA PESSOAL'!$BF$64,'FICHA PESSOAL'!$BG$64)</f>
        <v/>
      </c>
      <c r="C325" s="198">
        <f>"'FICHA PESSOAL'!BC64 'FICHA PESSOAL'!BD64 'FICHA PESSOAL'!BE64 'FICHA PESSOAL'!BF64 'FICHA PESSOAL'!BG64"</f>
        <v/>
      </c>
      <c r="D325" s="198" t="inlineStr">
        <is>
          <t>entrada</t>
        </is>
      </c>
    </row>
    <row r="326">
      <c r="A326" s="198" t="inlineStr">
        <is>
          <t>missao.2.51</t>
        </is>
      </c>
      <c r="B326" s="198">
        <f>TEXTJOIN(" · ",TRUE,'FICHA PESSOAL'!$BC$65,'FICHA PESSOAL'!$BD$65,'FICHA PESSOAL'!$BE$65,'FICHA PESSOAL'!$BF$65,'FICHA PESSOAL'!$BG$65)</f>
        <v/>
      </c>
      <c r="C326" s="198">
        <f>"'FICHA PESSOAL'!BC65 'FICHA PESSOAL'!BD65 'FICHA PESSOAL'!BE65 'FICHA PESSOAL'!BF65 'FICHA PESSOAL'!BG65"</f>
        <v/>
      </c>
      <c r="D326" s="198" t="inlineStr">
        <is>
          <t>entrada</t>
        </is>
      </c>
    </row>
    <row r="327">
      <c r="A327" s="198" t="inlineStr">
        <is>
          <t>missao.2.52</t>
        </is>
      </c>
      <c r="B327" s="198">
        <f>TEXTJOIN(" · ",TRUE,'FICHA PESSOAL'!$BC$66,'FICHA PESSOAL'!$BD$66,'FICHA PESSOAL'!$BE$66,'FICHA PESSOAL'!$BF$66,'FICHA PESSOAL'!$BG$66)</f>
        <v/>
      </c>
      <c r="C327" s="198">
        <f>"'FICHA PESSOAL'!BC66 'FICHA PESSOAL'!BD66 'FICHA PESSOAL'!BE66 'FICHA PESSOAL'!BF66 'FICHA PESSOAL'!BG66"</f>
        <v/>
      </c>
      <c r="D327" s="198" t="inlineStr">
        <is>
          <t>entrada</t>
        </is>
      </c>
    </row>
    <row r="328">
      <c r="A328" s="198" t="inlineStr">
        <is>
          <t>missao.2.53</t>
        </is>
      </c>
      <c r="B328" s="198">
        <f>TEXTJOIN(" · ",TRUE,'FICHA PESSOAL'!$BC$67,'FICHA PESSOAL'!$BD$67,'FICHA PESSOAL'!$BE$67,'FICHA PESSOAL'!$BF$67,'FICHA PESSOAL'!$BG$67)</f>
        <v/>
      </c>
      <c r="C328" s="198">
        <f>"'FICHA PESSOAL'!BC67 'FICHA PESSOAL'!BD67 'FICHA PESSOAL'!BE67 'FICHA PESSOAL'!BF67 'FICHA PESSOAL'!BG67"</f>
        <v/>
      </c>
      <c r="D328" s="198" t="inlineStr">
        <is>
          <t>entrada</t>
        </is>
      </c>
    </row>
    <row r="329">
      <c r="A329" s="198" t="inlineStr">
        <is>
          <t>missao.2.54</t>
        </is>
      </c>
      <c r="B329" s="198">
        <f>TEXTJOIN(" · ",TRUE,'FICHA PESSOAL'!$BC$68,'FICHA PESSOAL'!$BD$68,'FICHA PESSOAL'!$BE$68,'FICHA PESSOAL'!$BF$68,'FICHA PESSOAL'!$BG$68)</f>
        <v/>
      </c>
      <c r="C329" s="198">
        <f>"'FICHA PESSOAL'!BC68 'FICHA PESSOAL'!BD68 'FICHA PESSOAL'!BE68 'FICHA PESSOAL'!BF68 'FICHA PESSOAL'!BG68"</f>
        <v/>
      </c>
      <c r="D329" s="198" t="inlineStr">
        <is>
          <t>entrada</t>
        </is>
      </c>
    </row>
    <row r="330">
      <c r="A330" s="198" t="inlineStr">
        <is>
          <t>missao.2.55</t>
        </is>
      </c>
      <c r="B330" s="198">
        <f>TEXTJOIN(" · ",TRUE,'FICHA PESSOAL'!$BC$69,'FICHA PESSOAL'!$BD$69,'FICHA PESSOAL'!$BE$69,'FICHA PESSOAL'!$BF$69,'FICHA PESSOAL'!$BG$69)</f>
        <v/>
      </c>
      <c r="C330" s="198">
        <f>"'FICHA PESSOAL'!BC69 'FICHA PESSOAL'!BD69 'FICHA PESSOAL'!BE69 'FICHA PESSOAL'!BF69 'FICHA PESSOAL'!BG69"</f>
        <v/>
      </c>
      <c r="D330" s="198" t="inlineStr">
        <is>
          <t>entrada</t>
        </is>
      </c>
    </row>
    <row r="331">
      <c r="A331" s="198" t="inlineStr">
        <is>
          <t>missao.2.56</t>
        </is>
      </c>
      <c r="B331" s="198">
        <f>TEXTJOIN(" · ",TRUE,'FICHA PESSOAL'!$BC$70,'FICHA PESSOAL'!$BD$70,'FICHA PESSOAL'!$BE$70,'FICHA PESSOAL'!$BF$70,'FICHA PESSOAL'!$BG$70)</f>
        <v/>
      </c>
      <c r="C331" s="198">
        <f>"'FICHA PESSOAL'!BC70 'FICHA PESSOAL'!BD70 'FICHA PESSOAL'!BE70 'FICHA PESSOAL'!BF70 'FICHA PESSOAL'!BG70"</f>
        <v/>
      </c>
      <c r="D331" s="198" t="inlineStr">
        <is>
          <t>entrada</t>
        </is>
      </c>
    </row>
    <row r="332">
      <c r="A332" s="198" t="inlineStr">
        <is>
          <t>missao.2.57</t>
        </is>
      </c>
      <c r="B332" s="198">
        <f>TEXTJOIN(" · ",TRUE,'FICHA PESSOAL'!$BC$71,'FICHA PESSOAL'!$BD$71,'FICHA PESSOAL'!$BE$71,'FICHA PESSOAL'!$BF$71,'FICHA PESSOAL'!$BG$71)</f>
        <v/>
      </c>
      <c r="C332" s="198">
        <f>"'FICHA PESSOAL'!BC71 'FICHA PESSOAL'!BD71 'FICHA PESSOAL'!BE71 'FICHA PESSOAL'!BF71 'FICHA PESSOAL'!BG71"</f>
        <v/>
      </c>
      <c r="D332" s="198" t="inlineStr">
        <is>
          <t>entrada</t>
        </is>
      </c>
    </row>
    <row r="333">
      <c r="A333" s="198" t="inlineStr">
        <is>
          <t>missao.2.58</t>
        </is>
      </c>
      <c r="B333" s="198">
        <f>TEXTJOIN(" · ",TRUE,'FICHA PESSOAL'!$BC$72,'FICHA PESSOAL'!$BD$72,'FICHA PESSOAL'!$BE$72,'FICHA PESSOAL'!$BF$72,'FICHA PESSOAL'!$BG$72)</f>
        <v/>
      </c>
      <c r="C333" s="198">
        <f>"'FICHA PESSOAL'!BC72 'FICHA PESSOAL'!BD72 'FICHA PESSOAL'!BE72 'FICHA PESSOAL'!BF72 'FICHA PESSOAL'!BG72"</f>
        <v/>
      </c>
      <c r="D333" s="198" t="inlineStr">
        <is>
          <t>entrada</t>
        </is>
      </c>
    </row>
    <row r="334">
      <c r="A334" s="198" t="inlineStr">
        <is>
          <t>missao.2.59</t>
        </is>
      </c>
      <c r="B334" s="198">
        <f>TEXTJOIN(" · ",TRUE,'FICHA PESSOAL'!$BC$73,'FICHA PESSOAL'!$BD$73,'FICHA PESSOAL'!$BE$73,'FICHA PESSOAL'!$BF$73,'FICHA PESSOAL'!$BG$73)</f>
        <v/>
      </c>
      <c r="C334" s="198">
        <f>"'FICHA PESSOAL'!BC73 'FICHA PESSOAL'!BD73 'FICHA PESSOAL'!BE73 'FICHA PESSOAL'!BF73 'FICHA PESSOAL'!BG73"</f>
        <v/>
      </c>
      <c r="D334" s="198" t="inlineStr">
        <is>
          <t>entrada</t>
        </is>
      </c>
    </row>
    <row r="335">
      <c r="A335" s="198" t="inlineStr">
        <is>
          <t>missao.2.60</t>
        </is>
      </c>
      <c r="B335" s="198">
        <f>TEXTJOIN(" · ",TRUE,'FICHA PESSOAL'!$BC$74,'FICHA PESSOAL'!$BD$74,'FICHA PESSOAL'!$BE$74,'FICHA PESSOAL'!$BF$74,'FICHA PESSOAL'!$BG$74)</f>
        <v/>
      </c>
      <c r="C335" s="198">
        <f>"'FICHA PESSOAL'!BC74 'FICHA PESSOAL'!BD74 'FICHA PESSOAL'!BE74 'FICHA PESSOAL'!BF74 'FICHA PESSOAL'!BG74"</f>
        <v/>
      </c>
      <c r="D335" s="198" t="inlineStr">
        <is>
          <t>entrada</t>
        </is>
      </c>
    </row>
    <row r="336">
      <c r="A336" s="198" t="inlineStr">
        <is>
          <t>missao.2.61</t>
        </is>
      </c>
      <c r="B336" s="198">
        <f>TEXTJOIN(" · ",TRUE,'FICHA PESSOAL'!$BC$75,'FICHA PESSOAL'!$BD$75,'FICHA PESSOAL'!$BE$75,'FICHA PESSOAL'!$BF$75,'FICHA PESSOAL'!$BG$75)</f>
        <v/>
      </c>
      <c r="C336" s="198">
        <f>"'FICHA PESSOAL'!BC75 'FICHA PESSOAL'!BD75 'FICHA PESSOAL'!BE75 'FICHA PESSOAL'!BF75 'FICHA PESSOAL'!BG75"</f>
        <v/>
      </c>
      <c r="D336" s="198" t="inlineStr">
        <is>
          <t>entrada</t>
        </is>
      </c>
    </row>
    <row r="337">
      <c r="A337" s="198" t="inlineStr">
        <is>
          <t>missao.2.62</t>
        </is>
      </c>
      <c r="B337" s="198">
        <f>TEXTJOIN(" · ",TRUE,'FICHA PESSOAL'!$BC$76,'FICHA PESSOAL'!$BD$76,'FICHA PESSOAL'!$BE$76,'FICHA PESSOAL'!$BF$76,'FICHA PESSOAL'!$BG$76)</f>
        <v/>
      </c>
      <c r="C337" s="198">
        <f>"'FICHA PESSOAL'!BC76 'FICHA PESSOAL'!BD76 'FICHA PESSOAL'!BE76 'FICHA PESSOAL'!BF76 'FICHA PESSOAL'!BG76"</f>
        <v/>
      </c>
      <c r="D337" s="198" t="inlineStr">
        <is>
          <t>entrada</t>
        </is>
      </c>
    </row>
    <row r="338">
      <c r="A338" s="198" t="inlineStr">
        <is>
          <t>missao.2.63</t>
        </is>
      </c>
      <c r="B338" s="198">
        <f>TEXTJOIN(" · ",TRUE,'FICHA PESSOAL'!$BC$77,'FICHA PESSOAL'!$BD$77,'FICHA PESSOAL'!$BE$77,'FICHA PESSOAL'!$BF$77,'FICHA PESSOAL'!$BG$77)</f>
        <v/>
      </c>
      <c r="C338" s="198">
        <f>"'FICHA PESSOAL'!BC77 'FICHA PESSOAL'!BD77 'FICHA PESSOAL'!BE77 'FICHA PESSOAL'!BF77 'FICHA PESSOAL'!BG77"</f>
        <v/>
      </c>
      <c r="D338" s="198" t="inlineStr">
        <is>
          <t>entrada</t>
        </is>
      </c>
    </row>
    <row r="339">
      <c r="A339" s="198" t="inlineStr">
        <is>
          <t>missao.2.64</t>
        </is>
      </c>
      <c r="B339" s="198">
        <f>TEXTJOIN(" · ",TRUE,'FICHA PESSOAL'!$BC$78,'FICHA PESSOAL'!$BD$78,'FICHA PESSOAL'!$BE$78,'FICHA PESSOAL'!$BF$78,'FICHA PESSOAL'!$BG$78)</f>
        <v/>
      </c>
      <c r="C339" s="198">
        <f>"'FICHA PESSOAL'!BC78 'FICHA PESSOAL'!BD78 'FICHA PESSOAL'!BE78 'FICHA PESSOAL'!BF78 'FICHA PESSOAL'!BG78"</f>
        <v/>
      </c>
      <c r="D339" s="198" t="inlineStr">
        <is>
          <t>entrada</t>
        </is>
      </c>
    </row>
    <row r="340">
      <c r="A340" s="198" t="inlineStr">
        <is>
          <t>missao.2.65</t>
        </is>
      </c>
      <c r="B340" s="198">
        <f>TEXTJOIN(" · ",TRUE,'FICHA PESSOAL'!$BC$79,'FICHA PESSOAL'!$BD$79,'FICHA PESSOAL'!$BE$79,'FICHA PESSOAL'!$BF$79,'FICHA PESSOAL'!$BG$79)</f>
        <v/>
      </c>
      <c r="C340" s="198">
        <f>"'FICHA PESSOAL'!BC79 'FICHA PESSOAL'!BD79 'FICHA PESSOAL'!BE79 'FICHA PESSOAL'!BF79 'FICHA PESSOAL'!BG79"</f>
        <v/>
      </c>
      <c r="D340" s="198" t="inlineStr">
        <is>
          <t>entrada</t>
        </is>
      </c>
    </row>
    <row r="341">
      <c r="A341" s="198" t="inlineStr">
        <is>
          <t>missao.2.66</t>
        </is>
      </c>
      <c r="B341" s="198">
        <f>TEXTJOIN(" · ",TRUE,'FICHA PESSOAL'!$BC$80,'FICHA PESSOAL'!$BD$80,'FICHA PESSOAL'!$BE$80,'FICHA PESSOAL'!$BF$80,'FICHA PESSOAL'!$BG$80)</f>
        <v/>
      </c>
      <c r="C341" s="198">
        <f>"'FICHA PESSOAL'!BC80 'FICHA PESSOAL'!BD80 'FICHA PESSOAL'!BE80 'FICHA PESSOAL'!BF80 'FICHA PESSOAL'!BG80"</f>
        <v/>
      </c>
      <c r="D341" s="198" t="inlineStr">
        <is>
          <t>entrada</t>
        </is>
      </c>
    </row>
    <row r="342">
      <c r="A342" s="198" t="inlineStr">
        <is>
          <t>missao.2.67</t>
        </is>
      </c>
      <c r="B342" s="198">
        <f>TEXTJOIN(" · ",TRUE,'FICHA PESSOAL'!$BC$81,'FICHA PESSOAL'!$BD$81,'FICHA PESSOAL'!$BE$81,'FICHA PESSOAL'!$BF$81,'FICHA PESSOAL'!$BG$81)</f>
        <v/>
      </c>
      <c r="C342" s="198">
        <f>"'FICHA PESSOAL'!BC81 'FICHA PESSOAL'!BD81 'FICHA PESSOAL'!BE81 'FICHA PESSOAL'!BF81 'FICHA PESSOAL'!BG81"</f>
        <v/>
      </c>
      <c r="D342" s="198" t="inlineStr">
        <is>
          <t>entrada</t>
        </is>
      </c>
    </row>
    <row r="343">
      <c r="A343" s="198" t="inlineStr">
        <is>
          <t>missao.2.68</t>
        </is>
      </c>
      <c r="B343" s="198">
        <f>TEXTJOIN(" · ",TRUE,'FICHA PESSOAL'!$BC$82,'FICHA PESSOAL'!$BD$82,'FICHA PESSOAL'!$BE$82,'FICHA PESSOAL'!$BF$82,'FICHA PESSOAL'!$BG$82)</f>
        <v/>
      </c>
      <c r="C343" s="198">
        <f>"'FICHA PESSOAL'!BC82 'FICHA PESSOAL'!BD82 'FICHA PESSOAL'!BE82 'FICHA PESSOAL'!BF82 'FICHA PESSOAL'!BG82"</f>
        <v/>
      </c>
      <c r="D343" s="198" t="inlineStr">
        <is>
          <t>entrada</t>
        </is>
      </c>
    </row>
    <row r="344">
      <c r="A344" s="198" t="inlineStr">
        <is>
          <t>missao.2.69</t>
        </is>
      </c>
      <c r="B344" s="198">
        <f>TEXTJOIN(" · ",TRUE,'FICHA PESSOAL'!$BC$83,'FICHA PESSOAL'!$BD$83,'FICHA PESSOAL'!$BE$83,'FICHA PESSOAL'!$BF$83,'FICHA PESSOAL'!$BG$83)</f>
        <v/>
      </c>
      <c r="C344" s="198">
        <f>"'FICHA PESSOAL'!BC83 'FICHA PESSOAL'!BD83 'FICHA PESSOAL'!BE83 'FICHA PESSOAL'!BF83 'FICHA PESSOAL'!BG83"</f>
        <v/>
      </c>
      <c r="D344" s="198" t="inlineStr">
        <is>
          <t>entrada</t>
        </is>
      </c>
    </row>
    <row r="345">
      <c r="A345" s="198" t="inlineStr">
        <is>
          <t>missao.2.70</t>
        </is>
      </c>
      <c r="B345" s="198">
        <f>TEXTJOIN(" · ",TRUE,'FICHA PESSOAL'!$BC$84,'FICHA PESSOAL'!$BD$84,'FICHA PESSOAL'!$BE$84,'FICHA PESSOAL'!$BF$84,'FICHA PESSOAL'!$BG$84)</f>
        <v/>
      </c>
      <c r="C345" s="198">
        <f>"'FICHA PESSOAL'!BC84 'FICHA PESSOAL'!BD84 'FICHA PESSOAL'!BE84 'FICHA PESSOAL'!BF84 'FICHA PESSOAL'!BG84"</f>
        <v/>
      </c>
      <c r="D345" s="198" t="inlineStr">
        <is>
          <t>entrada</t>
        </is>
      </c>
    </row>
    <row r="346">
      <c r="A346" s="198" t="inlineStr">
        <is>
          <t>missao.2.71</t>
        </is>
      </c>
      <c r="B346" s="198">
        <f>TEXTJOIN(" · ",TRUE,'FICHA PESSOAL'!$BC$85,'FICHA PESSOAL'!$BD$85,'FICHA PESSOAL'!$BE$85,'FICHA PESSOAL'!$BF$85,'FICHA PESSOAL'!$BG$85)</f>
        <v/>
      </c>
      <c r="C346" s="198">
        <f>"'FICHA PESSOAL'!BC85 'FICHA PESSOAL'!BD85 'FICHA PESSOAL'!BE85 'FICHA PESSOAL'!BF85 'FICHA PESSOAL'!BG85"</f>
        <v/>
      </c>
      <c r="D346" s="198" t="inlineStr">
        <is>
          <t>entrada</t>
        </is>
      </c>
    </row>
    <row r="347">
      <c r="A347" s="198" t="inlineStr">
        <is>
          <t>missao.2.72</t>
        </is>
      </c>
      <c r="B347" s="198">
        <f>TEXTJOIN(" · ",TRUE,'FICHA PESSOAL'!$BC$86,'FICHA PESSOAL'!$BD$86,'FICHA PESSOAL'!$BE$86,'FICHA PESSOAL'!$BF$86,'FICHA PESSOAL'!$BG$86)</f>
        <v/>
      </c>
      <c r="C347" s="198">
        <f>"'FICHA PESSOAL'!BC86 'FICHA PESSOAL'!BD86 'FICHA PESSOAL'!BE86 'FICHA PESSOAL'!BF86 'FICHA PESSOAL'!BG86"</f>
        <v/>
      </c>
      <c r="D347" s="198" t="inlineStr">
        <is>
          <t>entrada</t>
        </is>
      </c>
    </row>
    <row r="348">
      <c r="A348" s="198" t="inlineStr">
        <is>
          <t>missao.2.73</t>
        </is>
      </c>
      <c r="B348" s="198">
        <f>TEXTJOIN(" · ",TRUE,'FICHA PESSOAL'!$BC$87,'FICHA PESSOAL'!$BD$87,'FICHA PESSOAL'!$BE$87,'FICHA PESSOAL'!$BF$87,'FICHA PESSOAL'!$BG$87)</f>
        <v/>
      </c>
      <c r="C348" s="198">
        <f>"'FICHA PESSOAL'!BC87 'FICHA PESSOAL'!BD87 'FICHA PESSOAL'!BE87 'FICHA PESSOAL'!BF87 'FICHA PESSOAL'!BG87"</f>
        <v/>
      </c>
      <c r="D348" s="198" t="inlineStr">
        <is>
          <t>entrada</t>
        </is>
      </c>
    </row>
    <row r="349">
      <c r="A349" s="198" t="inlineStr">
        <is>
          <t>missao.3.1</t>
        </is>
      </c>
      <c r="B349" s="198">
        <f>TEXTJOIN(" · ",TRUE,'FICHA PESSOAL'!$BI$15,'FICHA PESSOAL'!$BJ$15,'FICHA PESSOAL'!$BK$15,'FICHA PESSOAL'!$BL$15,'FICHA PESSOAL'!$BM$15)</f>
        <v/>
      </c>
      <c r="C349" s="198">
        <f>"'FICHA PESSOAL'!BI15 'FICHA PESSOAL'!BJ15 'FICHA PESSOAL'!BK15 'FICHA PESSOAL'!BL15 'FICHA PESSOAL'!BM15"</f>
        <v/>
      </c>
      <c r="D349" s="198" t="inlineStr">
        <is>
          <t>entrada</t>
        </is>
      </c>
    </row>
    <row r="350">
      <c r="A350" s="198" t="inlineStr">
        <is>
          <t>missao.3.2</t>
        </is>
      </c>
      <c r="B350" s="198">
        <f>TEXTJOIN(" · ",TRUE,'FICHA PESSOAL'!$BI$16,'FICHA PESSOAL'!$BJ$16,'FICHA PESSOAL'!$BK$16,'FICHA PESSOAL'!$BL$16,'FICHA PESSOAL'!$BM$16)</f>
        <v/>
      </c>
      <c r="C350" s="198">
        <f>"'FICHA PESSOAL'!BI16 'FICHA PESSOAL'!BJ16 'FICHA PESSOAL'!BK16 'FICHA PESSOAL'!BL16 'FICHA PESSOAL'!BM16"</f>
        <v/>
      </c>
      <c r="D350" s="198" t="inlineStr">
        <is>
          <t>entrada</t>
        </is>
      </c>
    </row>
    <row r="351">
      <c r="A351" s="198" t="inlineStr">
        <is>
          <t>missao.3.3</t>
        </is>
      </c>
      <c r="B351" s="198">
        <f>TEXTJOIN(" · ",TRUE,'FICHA PESSOAL'!$BI$17,'FICHA PESSOAL'!$BJ$17,'FICHA PESSOAL'!$BK$17,'FICHA PESSOAL'!$BL$17,'FICHA PESSOAL'!$BM$17)</f>
        <v/>
      </c>
      <c r="C351" s="198">
        <f>"'FICHA PESSOAL'!BI17 'FICHA PESSOAL'!BJ17 'FICHA PESSOAL'!BK17 'FICHA PESSOAL'!BL17 'FICHA PESSOAL'!BM17"</f>
        <v/>
      </c>
      <c r="D351" s="198" t="inlineStr">
        <is>
          <t>entrada</t>
        </is>
      </c>
    </row>
    <row r="352">
      <c r="A352" s="198" t="inlineStr">
        <is>
          <t>missao.3.4</t>
        </is>
      </c>
      <c r="B352" s="198">
        <f>TEXTJOIN(" · ",TRUE,'FICHA PESSOAL'!$BI$18,'FICHA PESSOAL'!$BJ$18,'FICHA PESSOAL'!$BK$18,'FICHA PESSOAL'!$BL$18,'FICHA PESSOAL'!$BM$18)</f>
        <v/>
      </c>
      <c r="C352" s="198">
        <f>"'FICHA PESSOAL'!BI18 'FICHA PESSOAL'!BJ18 'FICHA PESSOAL'!BK18 'FICHA PESSOAL'!BL18 'FICHA PESSOAL'!BM18"</f>
        <v/>
      </c>
      <c r="D352" s="198" t="inlineStr">
        <is>
          <t>entrada</t>
        </is>
      </c>
    </row>
    <row r="353">
      <c r="A353" s="198" t="inlineStr">
        <is>
          <t>missao.3.5</t>
        </is>
      </c>
      <c r="B353" s="198">
        <f>TEXTJOIN(" · ",TRUE,'FICHA PESSOAL'!$BI$19,'FICHA PESSOAL'!$BJ$19,'FICHA PESSOAL'!$BK$19,'FICHA PESSOAL'!$BL$19,'FICHA PESSOAL'!$BM$19)</f>
        <v/>
      </c>
      <c r="C353" s="198">
        <f>"'FICHA PESSOAL'!BI19 'FICHA PESSOAL'!BJ19 'FICHA PESSOAL'!BK19 'FICHA PESSOAL'!BL19 'FICHA PESSOAL'!BM19"</f>
        <v/>
      </c>
      <c r="D353" s="198" t="inlineStr">
        <is>
          <t>entrada</t>
        </is>
      </c>
    </row>
    <row r="354">
      <c r="A354" s="198" t="inlineStr">
        <is>
          <t>missao.3.6</t>
        </is>
      </c>
      <c r="B354" s="198">
        <f>TEXTJOIN(" · ",TRUE,'FICHA PESSOAL'!$BI$20,'FICHA PESSOAL'!$BJ$20,'FICHA PESSOAL'!$BK$20,'FICHA PESSOAL'!$BL$20,'FICHA PESSOAL'!$BM$20)</f>
        <v/>
      </c>
      <c r="C354" s="198">
        <f>"'FICHA PESSOAL'!BI20 'FICHA PESSOAL'!BJ20 'FICHA PESSOAL'!BK20 'FICHA PESSOAL'!BL20 'FICHA PESSOAL'!BM20"</f>
        <v/>
      </c>
      <c r="D354" s="198" t="inlineStr">
        <is>
          <t>entrada</t>
        </is>
      </c>
    </row>
    <row r="355">
      <c r="A355" s="198" t="inlineStr">
        <is>
          <t>missao.3.7</t>
        </is>
      </c>
      <c r="B355" s="198">
        <f>TEXTJOIN(" · ",TRUE,'FICHA PESSOAL'!$BI$21,'FICHA PESSOAL'!$BJ$21,'FICHA PESSOAL'!$BK$21,'FICHA PESSOAL'!$BL$21,'FICHA PESSOAL'!$BM$21)</f>
        <v/>
      </c>
      <c r="C355" s="198">
        <f>"'FICHA PESSOAL'!BI21 'FICHA PESSOAL'!BJ21 'FICHA PESSOAL'!BK21 'FICHA PESSOAL'!BL21 'FICHA PESSOAL'!BM21"</f>
        <v/>
      </c>
      <c r="D355" s="198" t="inlineStr">
        <is>
          <t>entrada</t>
        </is>
      </c>
    </row>
    <row r="356">
      <c r="A356" s="198" t="inlineStr">
        <is>
          <t>missao.3.8</t>
        </is>
      </c>
      <c r="B356" s="198">
        <f>TEXTJOIN(" · ",TRUE,'FICHA PESSOAL'!$BI$22,'FICHA PESSOAL'!$BJ$22,'FICHA PESSOAL'!$BK$22,'FICHA PESSOAL'!$BL$22,'FICHA PESSOAL'!$BM$22)</f>
        <v/>
      </c>
      <c r="C356" s="198">
        <f>"'FICHA PESSOAL'!BI22 'FICHA PESSOAL'!BJ22 'FICHA PESSOAL'!BK22 'FICHA PESSOAL'!BL22 'FICHA PESSOAL'!BM22"</f>
        <v/>
      </c>
      <c r="D356" s="198" t="inlineStr">
        <is>
          <t>entrada</t>
        </is>
      </c>
    </row>
    <row r="357">
      <c r="A357" s="198" t="inlineStr">
        <is>
          <t>missao.3.9</t>
        </is>
      </c>
      <c r="B357" s="198">
        <f>TEXTJOIN(" · ",TRUE,'FICHA PESSOAL'!$BI$23,'FICHA PESSOAL'!$BJ$23,'FICHA PESSOAL'!$BK$23,'FICHA PESSOAL'!$BL$23,'FICHA PESSOAL'!$BM$23)</f>
        <v/>
      </c>
      <c r="C357" s="198">
        <f>"'FICHA PESSOAL'!BI23 'FICHA PESSOAL'!BJ23 'FICHA PESSOAL'!BK23 'FICHA PESSOAL'!BL23 'FICHA PESSOAL'!BM23"</f>
        <v/>
      </c>
      <c r="D357" s="198" t="inlineStr">
        <is>
          <t>entrada</t>
        </is>
      </c>
    </row>
    <row r="358">
      <c r="A358" s="198" t="inlineStr">
        <is>
          <t>missao.3.10</t>
        </is>
      </c>
      <c r="B358" s="198">
        <f>TEXTJOIN(" · ",TRUE,'FICHA PESSOAL'!$BI$24,'FICHA PESSOAL'!$BJ$24,'FICHA PESSOAL'!$BK$24,'FICHA PESSOAL'!$BL$24,'FICHA PESSOAL'!$BM$24)</f>
        <v/>
      </c>
      <c r="C358" s="198">
        <f>"'FICHA PESSOAL'!BI24 'FICHA PESSOAL'!BJ24 'FICHA PESSOAL'!BK24 'FICHA PESSOAL'!BL24 'FICHA PESSOAL'!BM24"</f>
        <v/>
      </c>
      <c r="D358" s="198" t="inlineStr">
        <is>
          <t>entrada</t>
        </is>
      </c>
    </row>
    <row r="359">
      <c r="A359" s="198" t="inlineStr">
        <is>
          <t>missao.3.11</t>
        </is>
      </c>
      <c r="B359" s="198">
        <f>TEXTJOIN(" · ",TRUE,'FICHA PESSOAL'!$BI$25,'FICHA PESSOAL'!$BJ$25,'FICHA PESSOAL'!$BK$25,'FICHA PESSOAL'!$BL$25,'FICHA PESSOAL'!$BM$25)</f>
        <v/>
      </c>
      <c r="C359" s="198">
        <f>"'FICHA PESSOAL'!BI25 'FICHA PESSOAL'!BJ25 'FICHA PESSOAL'!BK25 'FICHA PESSOAL'!BL25 'FICHA PESSOAL'!BM25"</f>
        <v/>
      </c>
      <c r="D359" s="198" t="inlineStr">
        <is>
          <t>entrada</t>
        </is>
      </c>
    </row>
    <row r="360">
      <c r="A360" s="198" t="inlineStr">
        <is>
          <t>missao.3.12</t>
        </is>
      </c>
      <c r="B360" s="198">
        <f>TEXTJOIN(" · ",TRUE,'FICHA PESSOAL'!$BI$26,'FICHA PESSOAL'!$BJ$26,'FICHA PESSOAL'!$BK$26,'FICHA PESSOAL'!$BL$26,'FICHA PESSOAL'!$BM$26)</f>
        <v/>
      </c>
      <c r="C360" s="198">
        <f>"'FICHA PESSOAL'!BI26 'FICHA PESSOAL'!BJ26 'FICHA PESSOAL'!BK26 'FICHA PESSOAL'!BL26 'FICHA PESSOAL'!BM26"</f>
        <v/>
      </c>
      <c r="D360" s="198" t="inlineStr">
        <is>
          <t>entrada</t>
        </is>
      </c>
    </row>
    <row r="361">
      <c r="A361" s="198" t="inlineStr">
        <is>
          <t>missao.3.13</t>
        </is>
      </c>
      <c r="B361" s="198">
        <f>TEXTJOIN(" · ",TRUE,'FICHA PESSOAL'!$BI$27,'FICHA PESSOAL'!$BJ$27,'FICHA PESSOAL'!$BK$27,'FICHA PESSOAL'!$BL$27,'FICHA PESSOAL'!$BM$27)</f>
        <v/>
      </c>
      <c r="C361" s="198">
        <f>"'FICHA PESSOAL'!BI27 'FICHA PESSOAL'!BJ27 'FICHA PESSOAL'!BK27 'FICHA PESSOAL'!BL27 'FICHA PESSOAL'!BM27"</f>
        <v/>
      </c>
      <c r="D361" s="198" t="inlineStr">
        <is>
          <t>entrada</t>
        </is>
      </c>
    </row>
    <row r="362">
      <c r="A362" s="198" t="inlineStr">
        <is>
          <t>missao.3.14</t>
        </is>
      </c>
      <c r="B362" s="198">
        <f>TEXTJOIN(" · ",TRUE,'FICHA PESSOAL'!$BI$28,'FICHA PESSOAL'!$BJ$28,'FICHA PESSOAL'!$BK$28,'FICHA PESSOAL'!$BL$28,'FICHA PESSOAL'!$BM$28)</f>
        <v/>
      </c>
      <c r="C362" s="198">
        <f>"'FICHA PESSOAL'!BI28 'FICHA PESSOAL'!BJ28 'FICHA PESSOAL'!BK28 'FICHA PESSOAL'!BL28 'FICHA PESSOAL'!BM28"</f>
        <v/>
      </c>
      <c r="D362" s="198" t="inlineStr">
        <is>
          <t>entrada</t>
        </is>
      </c>
    </row>
    <row r="363">
      <c r="A363" s="198" t="inlineStr">
        <is>
          <t>missao.3.15</t>
        </is>
      </c>
      <c r="B363" s="198">
        <f>TEXTJOIN(" · ",TRUE,'FICHA PESSOAL'!$BI$29,'FICHA PESSOAL'!$BJ$29,'FICHA PESSOAL'!$BK$29,'FICHA PESSOAL'!$BL$29,'FICHA PESSOAL'!$BM$29)</f>
        <v/>
      </c>
      <c r="C363" s="198">
        <f>"'FICHA PESSOAL'!BI29 'FICHA PESSOAL'!BJ29 'FICHA PESSOAL'!BK29 'FICHA PESSOAL'!BL29 'FICHA PESSOAL'!BM29"</f>
        <v/>
      </c>
      <c r="D363" s="198" t="inlineStr">
        <is>
          <t>entrada</t>
        </is>
      </c>
    </row>
    <row r="364">
      <c r="A364" s="198" t="inlineStr">
        <is>
          <t>missao.3.16</t>
        </is>
      </c>
      <c r="B364" s="198">
        <f>TEXTJOIN(" · ",TRUE,'FICHA PESSOAL'!$BI$30,'FICHA PESSOAL'!$BJ$30,'FICHA PESSOAL'!$BK$30,'FICHA PESSOAL'!$BL$30,'FICHA PESSOAL'!$BM$30)</f>
        <v/>
      </c>
      <c r="C364" s="198">
        <f>"'FICHA PESSOAL'!BI30 'FICHA PESSOAL'!BJ30 'FICHA PESSOAL'!BK30 'FICHA PESSOAL'!BL30 'FICHA PESSOAL'!BM30"</f>
        <v/>
      </c>
      <c r="D364" s="198" t="inlineStr">
        <is>
          <t>entrada</t>
        </is>
      </c>
    </row>
    <row r="365">
      <c r="A365" s="198" t="inlineStr">
        <is>
          <t>missao.3.17</t>
        </is>
      </c>
      <c r="B365" s="198">
        <f>TEXTJOIN(" · ",TRUE,'FICHA PESSOAL'!$BI$31,'FICHA PESSOAL'!$BJ$31,'FICHA PESSOAL'!$BK$31,'FICHA PESSOAL'!$BL$31,'FICHA PESSOAL'!$BM$31)</f>
        <v/>
      </c>
      <c r="C365" s="198">
        <f>"'FICHA PESSOAL'!BI31 'FICHA PESSOAL'!BJ31 'FICHA PESSOAL'!BK31 'FICHA PESSOAL'!BL31 'FICHA PESSOAL'!BM31"</f>
        <v/>
      </c>
      <c r="D365" s="198" t="inlineStr">
        <is>
          <t>entrada</t>
        </is>
      </c>
    </row>
    <row r="366">
      <c r="A366" s="198" t="inlineStr">
        <is>
          <t>missao.3.18</t>
        </is>
      </c>
      <c r="B366" s="198">
        <f>TEXTJOIN(" · ",TRUE,'FICHA PESSOAL'!$BI$32,'FICHA PESSOAL'!$BJ$32,'FICHA PESSOAL'!$BK$32,'FICHA PESSOAL'!$BL$32,'FICHA PESSOAL'!$BM$32)</f>
        <v/>
      </c>
      <c r="C366" s="198">
        <f>"'FICHA PESSOAL'!BI32 'FICHA PESSOAL'!BJ32 'FICHA PESSOAL'!BK32 'FICHA PESSOAL'!BL32 'FICHA PESSOAL'!BM32"</f>
        <v/>
      </c>
      <c r="D366" s="198" t="inlineStr">
        <is>
          <t>entrada</t>
        </is>
      </c>
    </row>
    <row r="367">
      <c r="A367" s="198" t="inlineStr">
        <is>
          <t>missao.3.19</t>
        </is>
      </c>
      <c r="B367" s="198">
        <f>TEXTJOIN(" · ",TRUE,'FICHA PESSOAL'!$BI$33,'FICHA PESSOAL'!$BJ$33,'FICHA PESSOAL'!$BK$33,'FICHA PESSOAL'!$BL$33,'FICHA PESSOAL'!$BM$33)</f>
        <v/>
      </c>
      <c r="C367" s="198">
        <f>"'FICHA PESSOAL'!BI33 'FICHA PESSOAL'!BJ33 'FICHA PESSOAL'!BK33 'FICHA PESSOAL'!BL33 'FICHA PESSOAL'!BM33"</f>
        <v/>
      </c>
      <c r="D367" s="198" t="inlineStr">
        <is>
          <t>entrada</t>
        </is>
      </c>
    </row>
    <row r="368">
      <c r="A368" s="198" t="inlineStr">
        <is>
          <t>missao.3.20</t>
        </is>
      </c>
      <c r="B368" s="198">
        <f>TEXTJOIN(" · ",TRUE,'FICHA PESSOAL'!$BI$34,'FICHA PESSOAL'!$BJ$34,'FICHA PESSOAL'!$BK$34,'FICHA PESSOAL'!$BL$34,'FICHA PESSOAL'!$BM$34)</f>
        <v/>
      </c>
      <c r="C368" s="198">
        <f>"'FICHA PESSOAL'!BI34 'FICHA PESSOAL'!BJ34 'FICHA PESSOAL'!BK34 'FICHA PESSOAL'!BL34 'FICHA PESSOAL'!BM34"</f>
        <v/>
      </c>
      <c r="D368" s="198" t="inlineStr">
        <is>
          <t>entrada</t>
        </is>
      </c>
    </row>
    <row r="369">
      <c r="A369" s="198" t="inlineStr">
        <is>
          <t>missao.3.21</t>
        </is>
      </c>
      <c r="B369" s="198">
        <f>TEXTJOIN(" · ",TRUE,'FICHA PESSOAL'!$BI$35,'FICHA PESSOAL'!$BJ$35,'FICHA PESSOAL'!$BK$35,'FICHA PESSOAL'!$BL$35,'FICHA PESSOAL'!$BM$35)</f>
        <v/>
      </c>
      <c r="C369" s="198">
        <f>"'FICHA PESSOAL'!BI35 'FICHA PESSOAL'!BJ35 'FICHA PESSOAL'!BK35 'FICHA PESSOAL'!BL35 'FICHA PESSOAL'!BM35"</f>
        <v/>
      </c>
      <c r="D369" s="198" t="inlineStr">
        <is>
          <t>entrada</t>
        </is>
      </c>
    </row>
    <row r="370">
      <c r="A370" s="198" t="inlineStr">
        <is>
          <t>missao.3.22</t>
        </is>
      </c>
      <c r="B370" s="198">
        <f>TEXTJOIN(" · ",TRUE,'FICHA PESSOAL'!$BI$36,'FICHA PESSOAL'!$BJ$36,'FICHA PESSOAL'!$BK$36,'FICHA PESSOAL'!$BL$36,'FICHA PESSOAL'!$BM$36)</f>
        <v/>
      </c>
      <c r="C370" s="198">
        <f>"'FICHA PESSOAL'!BI36 'FICHA PESSOAL'!BJ36 'FICHA PESSOAL'!BK36 'FICHA PESSOAL'!BL36 'FICHA PESSOAL'!BM36"</f>
        <v/>
      </c>
      <c r="D370" s="198" t="inlineStr">
        <is>
          <t>entrada</t>
        </is>
      </c>
    </row>
    <row r="371">
      <c r="A371" s="198" t="inlineStr">
        <is>
          <t>missao.3.23</t>
        </is>
      </c>
      <c r="B371" s="198">
        <f>TEXTJOIN(" · ",TRUE,'FICHA PESSOAL'!$BI$37,'FICHA PESSOAL'!$BJ$37,'FICHA PESSOAL'!$BK$37,'FICHA PESSOAL'!$BL$37,'FICHA PESSOAL'!$BM$37)</f>
        <v/>
      </c>
      <c r="C371" s="198">
        <f>"'FICHA PESSOAL'!BI37 'FICHA PESSOAL'!BJ37 'FICHA PESSOAL'!BK37 'FICHA PESSOAL'!BL37 'FICHA PESSOAL'!BM37"</f>
        <v/>
      </c>
      <c r="D371" s="198" t="inlineStr">
        <is>
          <t>entrada</t>
        </is>
      </c>
    </row>
    <row r="372">
      <c r="A372" s="198" t="inlineStr">
        <is>
          <t>missao.3.24</t>
        </is>
      </c>
      <c r="B372" s="198">
        <f>TEXTJOIN(" · ",TRUE,'FICHA PESSOAL'!$BI$38,'FICHA PESSOAL'!$BJ$38,'FICHA PESSOAL'!$BK$38,'FICHA PESSOAL'!$BL$38,'FICHA PESSOAL'!$BM$38)</f>
        <v/>
      </c>
      <c r="C372" s="198">
        <f>"'FICHA PESSOAL'!BI38 'FICHA PESSOAL'!BJ38 'FICHA PESSOAL'!BK38 'FICHA PESSOAL'!BL38 'FICHA PESSOAL'!BM38"</f>
        <v/>
      </c>
      <c r="D372" s="198" t="inlineStr">
        <is>
          <t>entrada</t>
        </is>
      </c>
    </row>
    <row r="373">
      <c r="A373" s="198" t="inlineStr">
        <is>
          <t>missao.3.25</t>
        </is>
      </c>
      <c r="B373" s="198">
        <f>TEXTJOIN(" · ",TRUE,'FICHA PESSOAL'!$BI$39,'FICHA PESSOAL'!$BJ$39,'FICHA PESSOAL'!$BK$39,'FICHA PESSOAL'!$BL$39,'FICHA PESSOAL'!$BM$39)</f>
        <v/>
      </c>
      <c r="C373" s="198">
        <f>"'FICHA PESSOAL'!BI39 'FICHA PESSOAL'!BJ39 'FICHA PESSOAL'!BK39 'FICHA PESSOAL'!BL39 'FICHA PESSOAL'!BM39"</f>
        <v/>
      </c>
      <c r="D373" s="198" t="inlineStr">
        <is>
          <t>entrada</t>
        </is>
      </c>
    </row>
    <row r="374">
      <c r="A374" s="198" t="inlineStr">
        <is>
          <t>missao.3.26</t>
        </is>
      </c>
      <c r="B374" s="198">
        <f>TEXTJOIN(" · ",TRUE,'FICHA PESSOAL'!$BI$40,'FICHA PESSOAL'!$BJ$40,'FICHA PESSOAL'!$BK$40,'FICHA PESSOAL'!$BL$40,'FICHA PESSOAL'!$BM$40)</f>
        <v/>
      </c>
      <c r="C374" s="198">
        <f>"'FICHA PESSOAL'!BI40 'FICHA PESSOAL'!BJ40 'FICHA PESSOAL'!BK40 'FICHA PESSOAL'!BL40 'FICHA PESSOAL'!BM40"</f>
        <v/>
      </c>
      <c r="D374" s="198" t="inlineStr">
        <is>
          <t>entrada</t>
        </is>
      </c>
    </row>
    <row r="375">
      <c r="A375" s="198" t="inlineStr">
        <is>
          <t>missao.3.27</t>
        </is>
      </c>
      <c r="B375" s="198">
        <f>TEXTJOIN(" · ",TRUE,'FICHA PESSOAL'!$BI$41,'FICHA PESSOAL'!$BJ$41,'FICHA PESSOAL'!$BK$41,'FICHA PESSOAL'!$BL$41,'FICHA PESSOAL'!$BM$41)</f>
        <v/>
      </c>
      <c r="C375" s="198">
        <f>"'FICHA PESSOAL'!BI41 'FICHA PESSOAL'!BJ41 'FICHA PESSOAL'!BK41 'FICHA PESSOAL'!BL41 'FICHA PESSOAL'!BM41"</f>
        <v/>
      </c>
      <c r="D375" s="198" t="inlineStr">
        <is>
          <t>entrada</t>
        </is>
      </c>
    </row>
    <row r="376">
      <c r="A376" s="198" t="inlineStr">
        <is>
          <t>missao.3.28</t>
        </is>
      </c>
      <c r="B376" s="198">
        <f>TEXTJOIN(" · ",TRUE,'FICHA PESSOAL'!$BI$42,'FICHA PESSOAL'!$BJ$42,'FICHA PESSOAL'!$BK$42,'FICHA PESSOAL'!$BL$42,'FICHA PESSOAL'!$BM$42)</f>
        <v/>
      </c>
      <c r="C376" s="198">
        <f>"'FICHA PESSOAL'!BI42 'FICHA PESSOAL'!BJ42 'FICHA PESSOAL'!BK42 'FICHA PESSOAL'!BL42 'FICHA PESSOAL'!BM42"</f>
        <v/>
      </c>
      <c r="D376" s="198" t="inlineStr">
        <is>
          <t>entrada</t>
        </is>
      </c>
    </row>
    <row r="377">
      <c r="A377" s="198" t="inlineStr">
        <is>
          <t>missao.3.29</t>
        </is>
      </c>
      <c r="B377" s="198">
        <f>TEXTJOIN(" · ",TRUE,'FICHA PESSOAL'!$BI$43,'FICHA PESSOAL'!$BJ$43,'FICHA PESSOAL'!$BK$43,'FICHA PESSOAL'!$BL$43,'FICHA PESSOAL'!$BM$43)</f>
        <v/>
      </c>
      <c r="C377" s="198">
        <f>"'FICHA PESSOAL'!BI43 'FICHA PESSOAL'!BJ43 'FICHA PESSOAL'!BK43 'FICHA PESSOAL'!BL43 'FICHA PESSOAL'!BM43"</f>
        <v/>
      </c>
      <c r="D377" s="198" t="inlineStr">
        <is>
          <t>entrada</t>
        </is>
      </c>
    </row>
    <row r="378">
      <c r="A378" s="198" t="inlineStr">
        <is>
          <t>missao.3.30</t>
        </is>
      </c>
      <c r="B378" s="198">
        <f>TEXTJOIN(" · ",TRUE,'FICHA PESSOAL'!$BI$44,'FICHA PESSOAL'!$BJ$44,'FICHA PESSOAL'!$BK$44,'FICHA PESSOAL'!$BL$44,'FICHA PESSOAL'!$BM$44)</f>
        <v/>
      </c>
      <c r="C378" s="198">
        <f>"'FICHA PESSOAL'!BI44 'FICHA PESSOAL'!BJ44 'FICHA PESSOAL'!BK44 'FICHA PESSOAL'!BL44 'FICHA PESSOAL'!BM44"</f>
        <v/>
      </c>
      <c r="D378" s="198" t="inlineStr">
        <is>
          <t>entrada</t>
        </is>
      </c>
    </row>
    <row r="379">
      <c r="A379" s="198" t="inlineStr">
        <is>
          <t>missao.3.31</t>
        </is>
      </c>
      <c r="B379" s="198">
        <f>TEXTJOIN(" · ",TRUE,'FICHA PESSOAL'!$BI$45,'FICHA PESSOAL'!$BJ$45,'FICHA PESSOAL'!$BK$45,'FICHA PESSOAL'!$BL$45,'FICHA PESSOAL'!$BM$45)</f>
        <v/>
      </c>
      <c r="C379" s="198">
        <f>"'FICHA PESSOAL'!BI45 'FICHA PESSOAL'!BJ45 'FICHA PESSOAL'!BK45 'FICHA PESSOAL'!BL45 'FICHA PESSOAL'!BM45"</f>
        <v/>
      </c>
      <c r="D379" s="198" t="inlineStr">
        <is>
          <t>entrada</t>
        </is>
      </c>
    </row>
    <row r="380">
      <c r="A380" s="198" t="inlineStr">
        <is>
          <t>missao.3.32</t>
        </is>
      </c>
      <c r="B380" s="198">
        <f>TEXTJOIN(" · ",TRUE,'FICHA PESSOAL'!$BI$46,'FICHA PESSOAL'!$BJ$46,'FICHA PESSOAL'!$BK$46,'FICHA PESSOAL'!$BL$46,'FICHA PESSOAL'!$BM$46)</f>
        <v/>
      </c>
      <c r="C380" s="198">
        <f>"'FICHA PESSOAL'!BI46 'FICHA PESSOAL'!BJ46 'FICHA PESSOAL'!BK46 'FICHA PESSOAL'!BL46 'FICHA PESSOAL'!BM46"</f>
        <v/>
      </c>
      <c r="D380" s="198" t="inlineStr">
        <is>
          <t>entrada</t>
        </is>
      </c>
    </row>
    <row r="381">
      <c r="A381" s="198" t="inlineStr">
        <is>
          <t>missao.3.33</t>
        </is>
      </c>
      <c r="B381" s="198">
        <f>TEXTJOIN(" · ",TRUE,'FICHA PESSOAL'!$BI$47,'FICHA PESSOAL'!$BJ$47,'FICHA PESSOAL'!$BK$47,'FICHA PESSOAL'!$BL$47,'FICHA PESSOAL'!$BM$47)</f>
        <v/>
      </c>
      <c r="C381" s="198">
        <f>"'FICHA PESSOAL'!BI47 'FICHA PESSOAL'!BJ47 'FICHA PESSOAL'!BK47 'FICHA PESSOAL'!BL47 'FICHA PESSOAL'!BM47"</f>
        <v/>
      </c>
      <c r="D381" s="198" t="inlineStr">
        <is>
          <t>entrada</t>
        </is>
      </c>
    </row>
    <row r="382">
      <c r="A382" s="198" t="inlineStr">
        <is>
          <t>missao.3.34</t>
        </is>
      </c>
      <c r="B382" s="198">
        <f>TEXTJOIN(" · ",TRUE,'FICHA PESSOAL'!$BI$48,'FICHA PESSOAL'!$BJ$48,'FICHA PESSOAL'!$BK$48,'FICHA PESSOAL'!$BL$48,'FICHA PESSOAL'!$BM$48)</f>
        <v/>
      </c>
      <c r="C382" s="198">
        <f>"'FICHA PESSOAL'!BI48 'FICHA PESSOAL'!BJ48 'FICHA PESSOAL'!BK48 'FICHA PESSOAL'!BL48 'FICHA PESSOAL'!BM48"</f>
        <v/>
      </c>
      <c r="D382" s="198" t="inlineStr">
        <is>
          <t>entrada</t>
        </is>
      </c>
    </row>
    <row r="383">
      <c r="A383" s="198" t="inlineStr">
        <is>
          <t>missao.3.35</t>
        </is>
      </c>
      <c r="B383" s="198">
        <f>TEXTJOIN(" · ",TRUE,'FICHA PESSOAL'!$BI$49,'FICHA PESSOAL'!$BJ$49,'FICHA PESSOAL'!$BK$49,'FICHA PESSOAL'!$BL$49,'FICHA PESSOAL'!$BM$49)</f>
        <v/>
      </c>
      <c r="C383" s="198">
        <f>"'FICHA PESSOAL'!BI49 'FICHA PESSOAL'!BJ49 'FICHA PESSOAL'!BK49 'FICHA PESSOAL'!BL49 'FICHA PESSOAL'!BM49"</f>
        <v/>
      </c>
      <c r="D383" s="198" t="inlineStr">
        <is>
          <t>entrada</t>
        </is>
      </c>
    </row>
    <row r="384">
      <c r="A384" s="198" t="inlineStr">
        <is>
          <t>missao.3.36</t>
        </is>
      </c>
      <c r="B384" s="198">
        <f>TEXTJOIN(" · ",TRUE,'FICHA PESSOAL'!$BI$50,'FICHA PESSOAL'!$BJ$50,'FICHA PESSOAL'!$BK$50,'FICHA PESSOAL'!$BL$50,'FICHA PESSOAL'!$BM$50)</f>
        <v/>
      </c>
      <c r="C384" s="198">
        <f>"'FICHA PESSOAL'!BI50 'FICHA PESSOAL'!BJ50 'FICHA PESSOAL'!BK50 'FICHA PESSOAL'!BL50 'FICHA PESSOAL'!BM50"</f>
        <v/>
      </c>
      <c r="D384" s="198" t="inlineStr">
        <is>
          <t>entrada</t>
        </is>
      </c>
    </row>
    <row r="385">
      <c r="A385" s="198" t="inlineStr">
        <is>
          <t>missao.3.37</t>
        </is>
      </c>
      <c r="B385" s="198">
        <f>TEXTJOIN(" · ",TRUE,'FICHA PESSOAL'!$BI$51,'FICHA PESSOAL'!$BJ$51,'FICHA PESSOAL'!$BK$51,'FICHA PESSOAL'!$BL$51,'FICHA PESSOAL'!$BM$51)</f>
        <v/>
      </c>
      <c r="C385" s="198">
        <f>"'FICHA PESSOAL'!BI51 'FICHA PESSOAL'!BJ51 'FICHA PESSOAL'!BK51 'FICHA PESSOAL'!BL51 'FICHA PESSOAL'!BM51"</f>
        <v/>
      </c>
      <c r="D385" s="198" t="inlineStr">
        <is>
          <t>entrada</t>
        </is>
      </c>
    </row>
    <row r="386">
      <c r="A386" s="198" t="inlineStr">
        <is>
          <t>missao.3.38</t>
        </is>
      </c>
      <c r="B386" s="198">
        <f>TEXTJOIN(" · ",TRUE,'FICHA PESSOAL'!$BI$52,'FICHA PESSOAL'!$BJ$52,'FICHA PESSOAL'!$BK$52,'FICHA PESSOAL'!$BL$52,'FICHA PESSOAL'!$BM$52)</f>
        <v/>
      </c>
      <c r="C386" s="198">
        <f>"'FICHA PESSOAL'!BI52 'FICHA PESSOAL'!BJ52 'FICHA PESSOAL'!BK52 'FICHA PESSOAL'!BL52 'FICHA PESSOAL'!BM52"</f>
        <v/>
      </c>
      <c r="D386" s="198" t="inlineStr">
        <is>
          <t>entrada</t>
        </is>
      </c>
    </row>
    <row r="387">
      <c r="A387" s="198" t="inlineStr">
        <is>
          <t>missao.3.39</t>
        </is>
      </c>
      <c r="B387" s="198">
        <f>TEXTJOIN(" · ",TRUE,'FICHA PESSOAL'!$BI$53,'FICHA PESSOAL'!$BJ$53,'FICHA PESSOAL'!$BK$53,'FICHA PESSOAL'!$BL$53,'FICHA PESSOAL'!$BM$53)</f>
        <v/>
      </c>
      <c r="C387" s="198">
        <f>"'FICHA PESSOAL'!BI53 'FICHA PESSOAL'!BJ53 'FICHA PESSOAL'!BK53 'FICHA PESSOAL'!BL53 'FICHA PESSOAL'!BM53"</f>
        <v/>
      </c>
      <c r="D387" s="198" t="inlineStr">
        <is>
          <t>entrada</t>
        </is>
      </c>
    </row>
    <row r="388">
      <c r="A388" s="198" t="inlineStr">
        <is>
          <t>missao.3.40</t>
        </is>
      </c>
      <c r="B388" s="198">
        <f>TEXTJOIN(" · ",TRUE,'FICHA PESSOAL'!$BI$54,'FICHA PESSOAL'!$BJ$54,'FICHA PESSOAL'!$BK$54,'FICHA PESSOAL'!$BL$54,'FICHA PESSOAL'!$BM$54)</f>
        <v/>
      </c>
      <c r="C388" s="198">
        <f>"'FICHA PESSOAL'!BI54 'FICHA PESSOAL'!BJ54 'FICHA PESSOAL'!BK54 'FICHA PESSOAL'!BL54 'FICHA PESSOAL'!BM54"</f>
        <v/>
      </c>
      <c r="D388" s="198" t="inlineStr">
        <is>
          <t>entrada</t>
        </is>
      </c>
    </row>
    <row r="389">
      <c r="A389" s="198" t="inlineStr">
        <is>
          <t>missao.3.41</t>
        </is>
      </c>
      <c r="B389" s="198">
        <f>TEXTJOIN(" · ",TRUE,'FICHA PESSOAL'!$BI$55,'FICHA PESSOAL'!$BJ$55,'FICHA PESSOAL'!$BK$55,'FICHA PESSOAL'!$BL$55,'FICHA PESSOAL'!$BM$55)</f>
        <v/>
      </c>
      <c r="C389" s="198">
        <f>"'FICHA PESSOAL'!BI55 'FICHA PESSOAL'!BJ55 'FICHA PESSOAL'!BK55 'FICHA PESSOAL'!BL55 'FICHA PESSOAL'!BM55"</f>
        <v/>
      </c>
      <c r="D389" s="198" t="inlineStr">
        <is>
          <t>entrada</t>
        </is>
      </c>
    </row>
    <row r="390">
      <c r="A390" s="198" t="inlineStr">
        <is>
          <t>missao.3.42</t>
        </is>
      </c>
      <c r="B390" s="198">
        <f>TEXTJOIN(" · ",TRUE,'FICHA PESSOAL'!$BI$56,'FICHA PESSOAL'!$BJ$56,'FICHA PESSOAL'!$BK$56,'FICHA PESSOAL'!$BL$56,'FICHA PESSOAL'!$BM$56)</f>
        <v/>
      </c>
      <c r="C390" s="198">
        <f>"'FICHA PESSOAL'!BI56 'FICHA PESSOAL'!BJ56 'FICHA PESSOAL'!BK56 'FICHA PESSOAL'!BL56 'FICHA PESSOAL'!BM56"</f>
        <v/>
      </c>
      <c r="D390" s="198" t="inlineStr">
        <is>
          <t>entrada</t>
        </is>
      </c>
    </row>
    <row r="391">
      <c r="A391" s="198" t="inlineStr">
        <is>
          <t>missao.3.43</t>
        </is>
      </c>
      <c r="B391" s="198">
        <f>TEXTJOIN(" · ",TRUE,'FICHA PESSOAL'!$BI$57,'FICHA PESSOAL'!$BJ$57,'FICHA PESSOAL'!$BK$57,'FICHA PESSOAL'!$BL$57,'FICHA PESSOAL'!$BM$57)</f>
        <v/>
      </c>
      <c r="C391" s="198">
        <f>"'FICHA PESSOAL'!BI57 'FICHA PESSOAL'!BJ57 'FICHA PESSOAL'!BK57 'FICHA PESSOAL'!BL57 'FICHA PESSOAL'!BM57"</f>
        <v/>
      </c>
      <c r="D391" s="198" t="inlineStr">
        <is>
          <t>entrada</t>
        </is>
      </c>
    </row>
    <row r="392">
      <c r="A392" s="198" t="inlineStr">
        <is>
          <t>missao.3.44</t>
        </is>
      </c>
      <c r="B392" s="198">
        <f>TEXTJOIN(" · ",TRUE,'FICHA PESSOAL'!$BI$58,'FICHA PESSOAL'!$BJ$58,'FICHA PESSOAL'!$BK$58,'FICHA PESSOAL'!$BL$58,'FICHA PESSOAL'!$BM$58)</f>
        <v/>
      </c>
      <c r="C392" s="198">
        <f>"'FICHA PESSOAL'!BI58 'FICHA PESSOAL'!BJ58 'FICHA PESSOAL'!BK58 'FICHA PESSOAL'!BL58 'FICHA PESSOAL'!BM58"</f>
        <v/>
      </c>
      <c r="D392" s="198" t="inlineStr">
        <is>
          <t>entrada</t>
        </is>
      </c>
    </row>
    <row r="393">
      <c r="A393" s="198" t="inlineStr">
        <is>
          <t>missao.3.45</t>
        </is>
      </c>
      <c r="B393" s="198">
        <f>TEXTJOIN(" · ",TRUE,'FICHA PESSOAL'!$BI$59,'FICHA PESSOAL'!$BJ$59,'FICHA PESSOAL'!$BK$59,'FICHA PESSOAL'!$BL$59,'FICHA PESSOAL'!$BM$59)</f>
        <v/>
      </c>
      <c r="C393" s="198">
        <f>"'FICHA PESSOAL'!BI59 'FICHA PESSOAL'!BJ59 'FICHA PESSOAL'!BK59 'FICHA PESSOAL'!BL59 'FICHA PESSOAL'!BM59"</f>
        <v/>
      </c>
      <c r="D393" s="198" t="inlineStr">
        <is>
          <t>entrada</t>
        </is>
      </c>
    </row>
    <row r="394">
      <c r="A394" s="198" t="inlineStr">
        <is>
          <t>missao.3.46</t>
        </is>
      </c>
      <c r="B394" s="198">
        <f>TEXTJOIN(" · ",TRUE,'FICHA PESSOAL'!$BI$60,'FICHA PESSOAL'!$BJ$60,'FICHA PESSOAL'!$BK$60,'FICHA PESSOAL'!$BL$60,'FICHA PESSOAL'!$BM$60)</f>
        <v/>
      </c>
      <c r="C394" s="198">
        <f>"'FICHA PESSOAL'!BI60 'FICHA PESSOAL'!BJ60 'FICHA PESSOAL'!BK60 'FICHA PESSOAL'!BL60 'FICHA PESSOAL'!BM60"</f>
        <v/>
      </c>
      <c r="D394" s="198" t="inlineStr">
        <is>
          <t>entrada</t>
        </is>
      </c>
    </row>
    <row r="395">
      <c r="A395" s="198" t="inlineStr">
        <is>
          <t>missao.3.47</t>
        </is>
      </c>
      <c r="B395" s="198">
        <f>TEXTJOIN(" · ",TRUE,'FICHA PESSOAL'!$BI$61,'FICHA PESSOAL'!$BJ$61,'FICHA PESSOAL'!$BK$61,'FICHA PESSOAL'!$BL$61,'FICHA PESSOAL'!$BM$61)</f>
        <v/>
      </c>
      <c r="C395" s="198">
        <f>"'FICHA PESSOAL'!BI61 'FICHA PESSOAL'!BJ61 'FICHA PESSOAL'!BK61 'FICHA PESSOAL'!BL61 'FICHA PESSOAL'!BM61"</f>
        <v/>
      </c>
      <c r="D395" s="198" t="inlineStr">
        <is>
          <t>entrada</t>
        </is>
      </c>
    </row>
    <row r="396">
      <c r="A396" s="198" t="inlineStr">
        <is>
          <t>missao.3.48</t>
        </is>
      </c>
      <c r="B396" s="198">
        <f>TEXTJOIN(" · ",TRUE,'FICHA PESSOAL'!$BI$62,'FICHA PESSOAL'!$BJ$62,'FICHA PESSOAL'!$BK$62,'FICHA PESSOAL'!$BL$62,'FICHA PESSOAL'!$BM$62)</f>
        <v/>
      </c>
      <c r="C396" s="198">
        <f>"'FICHA PESSOAL'!BI62 'FICHA PESSOAL'!BJ62 'FICHA PESSOAL'!BK62 'FICHA PESSOAL'!BL62 'FICHA PESSOAL'!BM62"</f>
        <v/>
      </c>
      <c r="D396" s="198" t="inlineStr">
        <is>
          <t>entrada</t>
        </is>
      </c>
    </row>
    <row r="397">
      <c r="A397" s="198" t="inlineStr">
        <is>
          <t>missao.3.49</t>
        </is>
      </c>
      <c r="B397" s="198">
        <f>TEXTJOIN(" · ",TRUE,'FICHA PESSOAL'!$BI$63,'FICHA PESSOAL'!$BJ$63,'FICHA PESSOAL'!$BK$63,'FICHA PESSOAL'!$BL$63,'FICHA PESSOAL'!$BM$63)</f>
        <v/>
      </c>
      <c r="C397" s="198">
        <f>"'FICHA PESSOAL'!BI63 'FICHA PESSOAL'!BJ63 'FICHA PESSOAL'!BK63 'FICHA PESSOAL'!BL63 'FICHA PESSOAL'!BM63"</f>
        <v/>
      </c>
      <c r="D397" s="198" t="inlineStr">
        <is>
          <t>entrada</t>
        </is>
      </c>
    </row>
    <row r="398">
      <c r="A398" s="198" t="inlineStr">
        <is>
          <t>missao.3.50</t>
        </is>
      </c>
      <c r="B398" s="198">
        <f>TEXTJOIN(" · ",TRUE,'FICHA PESSOAL'!$BI$64,'FICHA PESSOAL'!$BJ$64,'FICHA PESSOAL'!$BK$64,'FICHA PESSOAL'!$BL$64,'FICHA PESSOAL'!$BM$64)</f>
        <v/>
      </c>
      <c r="C398" s="198">
        <f>"'FICHA PESSOAL'!BI64 'FICHA PESSOAL'!BJ64 'FICHA PESSOAL'!BK64 'FICHA PESSOAL'!BL64 'FICHA PESSOAL'!BM64"</f>
        <v/>
      </c>
      <c r="D398" s="198" t="inlineStr">
        <is>
          <t>entrada</t>
        </is>
      </c>
    </row>
    <row r="399">
      <c r="A399" s="198" t="inlineStr">
        <is>
          <t>missao.3.51</t>
        </is>
      </c>
      <c r="B399" s="198">
        <f>TEXTJOIN(" · ",TRUE,'FICHA PESSOAL'!$BI$65,'FICHA PESSOAL'!$BJ$65,'FICHA PESSOAL'!$BK$65,'FICHA PESSOAL'!$BL$65,'FICHA PESSOAL'!$BM$65)</f>
        <v/>
      </c>
      <c r="C399" s="198">
        <f>"'FICHA PESSOAL'!BI65 'FICHA PESSOAL'!BJ65 'FICHA PESSOAL'!BK65 'FICHA PESSOAL'!BL65 'FICHA PESSOAL'!BM65"</f>
        <v/>
      </c>
      <c r="D399" s="198" t="inlineStr">
        <is>
          <t>entrada</t>
        </is>
      </c>
    </row>
    <row r="400">
      <c r="A400" s="198" t="inlineStr">
        <is>
          <t>missao.3.52</t>
        </is>
      </c>
      <c r="B400" s="198">
        <f>TEXTJOIN(" · ",TRUE,'FICHA PESSOAL'!$BI$66,'FICHA PESSOAL'!$BJ$66,'FICHA PESSOAL'!$BK$66,'FICHA PESSOAL'!$BL$66,'FICHA PESSOAL'!$BM$66)</f>
        <v/>
      </c>
      <c r="C400" s="198">
        <f>"'FICHA PESSOAL'!BI66 'FICHA PESSOAL'!BJ66 'FICHA PESSOAL'!BK66 'FICHA PESSOAL'!BL66 'FICHA PESSOAL'!BM66"</f>
        <v/>
      </c>
      <c r="D400" s="198" t="inlineStr">
        <is>
          <t>entrada</t>
        </is>
      </c>
    </row>
    <row r="401">
      <c r="A401" s="198" t="inlineStr">
        <is>
          <t>missao.3.53</t>
        </is>
      </c>
      <c r="B401" s="198">
        <f>TEXTJOIN(" · ",TRUE,'FICHA PESSOAL'!$BI$67,'FICHA PESSOAL'!$BJ$67,'FICHA PESSOAL'!$BK$67,'FICHA PESSOAL'!$BL$67,'FICHA PESSOAL'!$BM$67)</f>
        <v/>
      </c>
      <c r="C401" s="198">
        <f>"'FICHA PESSOAL'!BI67 'FICHA PESSOAL'!BJ67 'FICHA PESSOAL'!BK67 'FICHA PESSOAL'!BL67 'FICHA PESSOAL'!BM67"</f>
        <v/>
      </c>
      <c r="D401" s="198" t="inlineStr">
        <is>
          <t>entrada</t>
        </is>
      </c>
    </row>
    <row r="402">
      <c r="A402" s="198" t="inlineStr">
        <is>
          <t>missao.3.54</t>
        </is>
      </c>
      <c r="B402" s="198">
        <f>TEXTJOIN(" · ",TRUE,'FICHA PESSOAL'!$BI$68,'FICHA PESSOAL'!$BJ$68,'FICHA PESSOAL'!$BK$68,'FICHA PESSOAL'!$BL$68,'FICHA PESSOAL'!$BM$68)</f>
        <v/>
      </c>
      <c r="C402" s="198">
        <f>"'FICHA PESSOAL'!BI68 'FICHA PESSOAL'!BJ68 'FICHA PESSOAL'!BK68 'FICHA PESSOAL'!BL68 'FICHA PESSOAL'!BM68"</f>
        <v/>
      </c>
      <c r="D402" s="198" t="inlineStr">
        <is>
          <t>entrada</t>
        </is>
      </c>
    </row>
    <row r="403">
      <c r="A403" s="198" t="inlineStr">
        <is>
          <t>missao.3.55</t>
        </is>
      </c>
      <c r="B403" s="198">
        <f>TEXTJOIN(" · ",TRUE,'FICHA PESSOAL'!$BI$69,'FICHA PESSOAL'!$BJ$69,'FICHA PESSOAL'!$BK$69,'FICHA PESSOAL'!$BL$69,'FICHA PESSOAL'!$BM$69)</f>
        <v/>
      </c>
      <c r="C403" s="198">
        <f>"'FICHA PESSOAL'!BI69 'FICHA PESSOAL'!BJ69 'FICHA PESSOAL'!BK69 'FICHA PESSOAL'!BL69 'FICHA PESSOAL'!BM69"</f>
        <v/>
      </c>
      <c r="D403" s="198" t="inlineStr">
        <is>
          <t>entrada</t>
        </is>
      </c>
    </row>
    <row r="404">
      <c r="A404" s="198" t="inlineStr">
        <is>
          <t>missao.3.56</t>
        </is>
      </c>
      <c r="B404" s="198">
        <f>TEXTJOIN(" · ",TRUE,'FICHA PESSOAL'!$BI$70,'FICHA PESSOAL'!$BJ$70,'FICHA PESSOAL'!$BK$70,'FICHA PESSOAL'!$BL$70,'FICHA PESSOAL'!$BM$70)</f>
        <v/>
      </c>
      <c r="C404" s="198">
        <f>"'FICHA PESSOAL'!BI70 'FICHA PESSOAL'!BJ70 'FICHA PESSOAL'!BK70 'FICHA PESSOAL'!BL70 'FICHA PESSOAL'!BM70"</f>
        <v/>
      </c>
      <c r="D404" s="198" t="inlineStr">
        <is>
          <t>entrada</t>
        </is>
      </c>
    </row>
    <row r="405">
      <c r="A405" s="198" t="inlineStr">
        <is>
          <t>missao.3.57</t>
        </is>
      </c>
      <c r="B405" s="198">
        <f>TEXTJOIN(" · ",TRUE,'FICHA PESSOAL'!$BI$71,'FICHA PESSOAL'!$BJ$71,'FICHA PESSOAL'!$BK$71,'FICHA PESSOAL'!$BL$71,'FICHA PESSOAL'!$BM$71)</f>
        <v/>
      </c>
      <c r="C405" s="198">
        <f>"'FICHA PESSOAL'!BI71 'FICHA PESSOAL'!BJ71 'FICHA PESSOAL'!BK71 'FICHA PESSOAL'!BL71 'FICHA PESSOAL'!BM71"</f>
        <v/>
      </c>
      <c r="D405" s="198" t="inlineStr">
        <is>
          <t>entrada</t>
        </is>
      </c>
    </row>
    <row r="406">
      <c r="A406" s="198" t="inlineStr">
        <is>
          <t>missao.3.58</t>
        </is>
      </c>
      <c r="B406" s="198">
        <f>TEXTJOIN(" · ",TRUE,'FICHA PESSOAL'!$BI$72,'FICHA PESSOAL'!$BJ$72,'FICHA PESSOAL'!$BK$72,'FICHA PESSOAL'!$BL$72,'FICHA PESSOAL'!$BM$72)</f>
        <v/>
      </c>
      <c r="C406" s="198">
        <f>"'FICHA PESSOAL'!BI72 'FICHA PESSOAL'!BJ72 'FICHA PESSOAL'!BK72 'FICHA PESSOAL'!BL72 'FICHA PESSOAL'!BM72"</f>
        <v/>
      </c>
      <c r="D406" s="198" t="inlineStr">
        <is>
          <t>entrada</t>
        </is>
      </c>
    </row>
    <row r="407">
      <c r="A407" s="198" t="inlineStr">
        <is>
          <t>missao.3.59</t>
        </is>
      </c>
      <c r="B407" s="198">
        <f>TEXTJOIN(" · ",TRUE,'FICHA PESSOAL'!$BI$73,'FICHA PESSOAL'!$BJ$73,'FICHA PESSOAL'!$BK$73,'FICHA PESSOAL'!$BL$73,'FICHA PESSOAL'!$BM$73)</f>
        <v/>
      </c>
      <c r="C407" s="198">
        <f>"'FICHA PESSOAL'!BI73 'FICHA PESSOAL'!BJ73 'FICHA PESSOAL'!BK73 'FICHA PESSOAL'!BL73 'FICHA PESSOAL'!BM73"</f>
        <v/>
      </c>
      <c r="D407" s="198" t="inlineStr">
        <is>
          <t>entrada</t>
        </is>
      </c>
    </row>
    <row r="408">
      <c r="A408" s="198" t="inlineStr">
        <is>
          <t>missao.3.60</t>
        </is>
      </c>
      <c r="B408" s="198">
        <f>TEXTJOIN(" · ",TRUE,'FICHA PESSOAL'!$BI$74,'FICHA PESSOAL'!$BJ$74,'FICHA PESSOAL'!$BK$74,'FICHA PESSOAL'!$BL$74,'FICHA PESSOAL'!$BM$74)</f>
        <v/>
      </c>
      <c r="C408" s="198">
        <f>"'FICHA PESSOAL'!BI74 'FICHA PESSOAL'!BJ74 'FICHA PESSOAL'!BK74 'FICHA PESSOAL'!BL74 'FICHA PESSOAL'!BM74"</f>
        <v/>
      </c>
      <c r="D408" s="198" t="inlineStr">
        <is>
          <t>entrada</t>
        </is>
      </c>
    </row>
    <row r="409">
      <c r="A409" s="198" t="inlineStr">
        <is>
          <t>missao.3.61</t>
        </is>
      </c>
      <c r="B409" s="198">
        <f>TEXTJOIN(" · ",TRUE,'FICHA PESSOAL'!$BI$75,'FICHA PESSOAL'!$BJ$75,'FICHA PESSOAL'!$BK$75,'FICHA PESSOAL'!$BL$75,'FICHA PESSOAL'!$BM$75)</f>
        <v/>
      </c>
      <c r="C409" s="198">
        <f>"'FICHA PESSOAL'!BI75 'FICHA PESSOAL'!BJ75 'FICHA PESSOAL'!BK75 'FICHA PESSOAL'!BL75 'FICHA PESSOAL'!BM75"</f>
        <v/>
      </c>
      <c r="D409" s="198" t="inlineStr">
        <is>
          <t>entrada</t>
        </is>
      </c>
    </row>
    <row r="410">
      <c r="A410" s="198" t="inlineStr">
        <is>
          <t>missao.3.62</t>
        </is>
      </c>
      <c r="B410" s="198">
        <f>TEXTJOIN(" · ",TRUE,'FICHA PESSOAL'!$BI$76,'FICHA PESSOAL'!$BJ$76,'FICHA PESSOAL'!$BK$76,'FICHA PESSOAL'!$BL$76,'FICHA PESSOAL'!$BM$76)</f>
        <v/>
      </c>
      <c r="C410" s="198">
        <f>"'FICHA PESSOAL'!BI76 'FICHA PESSOAL'!BJ76 'FICHA PESSOAL'!BK76 'FICHA PESSOAL'!BL76 'FICHA PESSOAL'!BM76"</f>
        <v/>
      </c>
      <c r="D410" s="198" t="inlineStr">
        <is>
          <t>entrada</t>
        </is>
      </c>
    </row>
    <row r="411">
      <c r="A411" s="198" t="inlineStr">
        <is>
          <t>missao.3.63</t>
        </is>
      </c>
      <c r="B411" s="198">
        <f>TEXTJOIN(" · ",TRUE,'FICHA PESSOAL'!$BI$77,'FICHA PESSOAL'!$BJ$77,'FICHA PESSOAL'!$BK$77,'FICHA PESSOAL'!$BL$77,'FICHA PESSOAL'!$BM$77)</f>
        <v/>
      </c>
      <c r="C411" s="198">
        <f>"'FICHA PESSOAL'!BI77 'FICHA PESSOAL'!BJ77 'FICHA PESSOAL'!BK77 'FICHA PESSOAL'!BL77 'FICHA PESSOAL'!BM77"</f>
        <v/>
      </c>
      <c r="D411" s="198" t="inlineStr">
        <is>
          <t>entrada</t>
        </is>
      </c>
    </row>
    <row r="412">
      <c r="A412" s="198" t="inlineStr">
        <is>
          <t>missao.3.64</t>
        </is>
      </c>
      <c r="B412" s="198">
        <f>TEXTJOIN(" · ",TRUE,'FICHA PESSOAL'!$BI$78,'FICHA PESSOAL'!$BJ$78,'FICHA PESSOAL'!$BK$78,'FICHA PESSOAL'!$BL$78,'FICHA PESSOAL'!$BM$78)</f>
        <v/>
      </c>
      <c r="C412" s="198">
        <f>"'FICHA PESSOAL'!BI78 'FICHA PESSOAL'!BJ78 'FICHA PESSOAL'!BK78 'FICHA PESSOAL'!BL78 'FICHA PESSOAL'!BM78"</f>
        <v/>
      </c>
      <c r="D412" s="198" t="inlineStr">
        <is>
          <t>entrada</t>
        </is>
      </c>
    </row>
    <row r="413">
      <c r="A413" s="198" t="inlineStr">
        <is>
          <t>missao.3.65</t>
        </is>
      </c>
      <c r="B413" s="198">
        <f>TEXTJOIN(" · ",TRUE,'FICHA PESSOAL'!$BI$79,'FICHA PESSOAL'!$BJ$79,'FICHA PESSOAL'!$BK$79,'FICHA PESSOAL'!$BL$79,'FICHA PESSOAL'!$BM$79)</f>
        <v/>
      </c>
      <c r="C413" s="198">
        <f>"'FICHA PESSOAL'!BI79 'FICHA PESSOAL'!BJ79 'FICHA PESSOAL'!BK79 'FICHA PESSOAL'!BL79 'FICHA PESSOAL'!BM79"</f>
        <v/>
      </c>
      <c r="D413" s="198" t="inlineStr">
        <is>
          <t>entrada</t>
        </is>
      </c>
    </row>
    <row r="414">
      <c r="A414" s="198" t="inlineStr">
        <is>
          <t>missao.3.66</t>
        </is>
      </c>
      <c r="B414" s="198">
        <f>TEXTJOIN(" · ",TRUE,'FICHA PESSOAL'!$BI$80,'FICHA PESSOAL'!$BJ$80,'FICHA PESSOAL'!$BK$80,'FICHA PESSOAL'!$BL$80,'FICHA PESSOAL'!$BM$80)</f>
        <v/>
      </c>
      <c r="C414" s="198">
        <f>"'FICHA PESSOAL'!BI80 'FICHA PESSOAL'!BJ80 'FICHA PESSOAL'!BK80 'FICHA PESSOAL'!BL80 'FICHA PESSOAL'!BM80"</f>
        <v/>
      </c>
      <c r="D414" s="198" t="inlineStr">
        <is>
          <t>entrada</t>
        </is>
      </c>
    </row>
    <row r="415">
      <c r="A415" s="198" t="inlineStr">
        <is>
          <t>missao.3.67</t>
        </is>
      </c>
      <c r="B415" s="198">
        <f>TEXTJOIN(" · ",TRUE,'FICHA PESSOAL'!$BI$81,'FICHA PESSOAL'!$BJ$81,'FICHA PESSOAL'!$BK$81,'FICHA PESSOAL'!$BL$81,'FICHA PESSOAL'!$BM$81)</f>
        <v/>
      </c>
      <c r="C415" s="198">
        <f>"'FICHA PESSOAL'!BI81 'FICHA PESSOAL'!BJ81 'FICHA PESSOAL'!BK81 'FICHA PESSOAL'!BL81 'FICHA PESSOAL'!BM81"</f>
        <v/>
      </c>
      <c r="D415" s="198" t="inlineStr">
        <is>
          <t>entrada</t>
        </is>
      </c>
    </row>
    <row r="416">
      <c r="A416" s="198" t="inlineStr">
        <is>
          <t>missao.3.68</t>
        </is>
      </c>
      <c r="B416" s="198">
        <f>TEXTJOIN(" · ",TRUE,'FICHA PESSOAL'!$BI$82,'FICHA PESSOAL'!$BJ$82,'FICHA PESSOAL'!$BK$82,'FICHA PESSOAL'!$BL$82,'FICHA PESSOAL'!$BM$82)</f>
        <v/>
      </c>
      <c r="C416" s="198">
        <f>"'FICHA PESSOAL'!BI82 'FICHA PESSOAL'!BJ82 'FICHA PESSOAL'!BK82 'FICHA PESSOAL'!BL82 'FICHA PESSOAL'!BM82"</f>
        <v/>
      </c>
      <c r="D416" s="198" t="inlineStr">
        <is>
          <t>entrada</t>
        </is>
      </c>
    </row>
    <row r="417">
      <c r="A417" s="198" t="inlineStr">
        <is>
          <t>missao.3.69</t>
        </is>
      </c>
      <c r="B417" s="198">
        <f>TEXTJOIN(" · ",TRUE,'FICHA PESSOAL'!$BI$83,'FICHA PESSOAL'!$BJ$83,'FICHA PESSOAL'!$BK$83,'FICHA PESSOAL'!$BL$83,'FICHA PESSOAL'!$BM$83)</f>
        <v/>
      </c>
      <c r="C417" s="198">
        <f>"'FICHA PESSOAL'!BI83 'FICHA PESSOAL'!BJ83 'FICHA PESSOAL'!BK83 'FICHA PESSOAL'!BL83 'FICHA PESSOAL'!BM83"</f>
        <v/>
      </c>
      <c r="D417" s="198" t="inlineStr">
        <is>
          <t>entrada</t>
        </is>
      </c>
    </row>
    <row r="418">
      <c r="A418" s="198" t="inlineStr">
        <is>
          <t>missao.3.70</t>
        </is>
      </c>
      <c r="B418" s="198">
        <f>TEXTJOIN(" · ",TRUE,'FICHA PESSOAL'!$BI$84,'FICHA PESSOAL'!$BJ$84,'FICHA PESSOAL'!$BK$84,'FICHA PESSOAL'!$BL$84,'FICHA PESSOAL'!$BM$84)</f>
        <v/>
      </c>
      <c r="C418" s="198">
        <f>"'FICHA PESSOAL'!BI84 'FICHA PESSOAL'!BJ84 'FICHA PESSOAL'!BK84 'FICHA PESSOAL'!BL84 'FICHA PESSOAL'!BM84"</f>
        <v/>
      </c>
      <c r="D418" s="198" t="inlineStr">
        <is>
          <t>entrada</t>
        </is>
      </c>
    </row>
    <row r="419">
      <c r="A419" s="198" t="inlineStr">
        <is>
          <t>missao.3.71</t>
        </is>
      </c>
      <c r="B419" s="198">
        <f>TEXTJOIN(" · ",TRUE,'FICHA PESSOAL'!$BI$85,'FICHA PESSOAL'!$BJ$85,'FICHA PESSOAL'!$BK$85,'FICHA PESSOAL'!$BL$85,'FICHA PESSOAL'!$BM$85)</f>
        <v/>
      </c>
      <c r="C419" s="198">
        <f>"'FICHA PESSOAL'!BI85 'FICHA PESSOAL'!BJ85 'FICHA PESSOAL'!BK85 'FICHA PESSOAL'!BL85 'FICHA PESSOAL'!BM85"</f>
        <v/>
      </c>
      <c r="D419" s="198" t="inlineStr">
        <is>
          <t>entrada</t>
        </is>
      </c>
    </row>
    <row r="420">
      <c r="A420" s="198" t="inlineStr">
        <is>
          <t>missao.3.72</t>
        </is>
      </c>
      <c r="B420" s="198">
        <f>TEXTJOIN(" · ",TRUE,'FICHA PESSOAL'!$BI$86,'FICHA PESSOAL'!$BJ$86,'FICHA PESSOAL'!$BK$86,'FICHA PESSOAL'!$BL$86,'FICHA PESSOAL'!$BM$86)</f>
        <v/>
      </c>
      <c r="C420" s="198">
        <f>"'FICHA PESSOAL'!BI86 'FICHA PESSOAL'!BJ86 'FICHA PESSOAL'!BK86 'FICHA PESSOAL'!BL86 'FICHA PESSOAL'!BM86"</f>
        <v/>
      </c>
      <c r="D420" s="198" t="inlineStr">
        <is>
          <t>entrada</t>
        </is>
      </c>
    </row>
    <row r="421">
      <c r="A421" s="198" t="inlineStr">
        <is>
          <t>missao.3.73</t>
        </is>
      </c>
      <c r="B421" s="198">
        <f>TEXTJOIN(" · ",TRUE,'FICHA PESSOAL'!$BI$87,'FICHA PESSOAL'!$BJ$87,'FICHA PESSOAL'!$BK$87,'FICHA PESSOAL'!$BL$87,'FICHA PESSOAL'!$BM$87)</f>
        <v/>
      </c>
      <c r="C421" s="198">
        <f>"'FICHA PESSOAL'!BI87 'FICHA PESSOAL'!BJ87 'FICHA PESSOAL'!BK87 'FICHA PESSOAL'!BL87 'FICHA PESSOAL'!BM87"</f>
        <v/>
      </c>
      <c r="D421" s="198" t="inlineStr">
        <is>
          <t>entrada</t>
        </is>
      </c>
    </row>
    <row r="422">
      <c r="A422" s="198" t="inlineStr">
        <is>
          <t>missao.4.1</t>
        </is>
      </c>
      <c r="B422" s="198">
        <f>TEXTJOIN(" · ",TRUE,'FICHA PESSOAL'!$BO$15,'FICHA PESSOAL'!$BP$15,'FICHA PESSOAL'!$BQ$15,'FICHA PESSOAL'!$BR$15,'FICHA PESSOAL'!$BS$15)</f>
        <v/>
      </c>
      <c r="C422" s="198">
        <f>"'FICHA PESSOAL'!BO15 'FICHA PESSOAL'!BP15 'FICHA PESSOAL'!BQ15 'FICHA PESSOAL'!BR15 'FICHA PESSOAL'!BS15"</f>
        <v/>
      </c>
      <c r="D422" s="198" t="inlineStr">
        <is>
          <t>entrada</t>
        </is>
      </c>
    </row>
    <row r="423">
      <c r="A423" s="198" t="inlineStr">
        <is>
          <t>missao.4.2</t>
        </is>
      </c>
      <c r="B423" s="198">
        <f>TEXTJOIN(" · ",TRUE,'FICHA PESSOAL'!$BO$16,'FICHA PESSOAL'!$BP$16,'FICHA PESSOAL'!$BQ$16,'FICHA PESSOAL'!$BR$16,'FICHA PESSOAL'!$BS$16)</f>
        <v/>
      </c>
      <c r="C423" s="198">
        <f>"'FICHA PESSOAL'!BO16 'FICHA PESSOAL'!BP16 'FICHA PESSOAL'!BQ16 'FICHA PESSOAL'!BR16 'FICHA PESSOAL'!BS16"</f>
        <v/>
      </c>
      <c r="D423" s="198" t="inlineStr">
        <is>
          <t>entrada</t>
        </is>
      </c>
    </row>
    <row r="424">
      <c r="A424" s="198" t="inlineStr">
        <is>
          <t>missao.4.3</t>
        </is>
      </c>
      <c r="B424" s="198">
        <f>TEXTJOIN(" · ",TRUE,'FICHA PESSOAL'!$BO$17,'FICHA PESSOAL'!$BP$17,'FICHA PESSOAL'!$BQ$17,'FICHA PESSOAL'!$BR$17,'FICHA PESSOAL'!$BS$17)</f>
        <v/>
      </c>
      <c r="C424" s="198">
        <f>"'FICHA PESSOAL'!BO17 'FICHA PESSOAL'!BP17 'FICHA PESSOAL'!BQ17 'FICHA PESSOAL'!BR17 'FICHA PESSOAL'!BS17"</f>
        <v/>
      </c>
      <c r="D424" s="198" t="inlineStr">
        <is>
          <t>entrada</t>
        </is>
      </c>
    </row>
    <row r="425">
      <c r="A425" s="198" t="inlineStr">
        <is>
          <t>missao.4.4</t>
        </is>
      </c>
      <c r="B425" s="198">
        <f>TEXTJOIN(" · ",TRUE,'FICHA PESSOAL'!$BO$18,'FICHA PESSOAL'!$BP$18,'FICHA PESSOAL'!$BQ$18,'FICHA PESSOAL'!$BR$18,'FICHA PESSOAL'!$BS$18)</f>
        <v/>
      </c>
      <c r="C425" s="198">
        <f>"'FICHA PESSOAL'!BO18 'FICHA PESSOAL'!BP18 'FICHA PESSOAL'!BQ18 'FICHA PESSOAL'!BR18 'FICHA PESSOAL'!BS18"</f>
        <v/>
      </c>
      <c r="D425" s="198" t="inlineStr">
        <is>
          <t>entrada</t>
        </is>
      </c>
    </row>
    <row r="426">
      <c r="A426" s="198" t="inlineStr">
        <is>
          <t>missao.4.5</t>
        </is>
      </c>
      <c r="B426" s="198">
        <f>TEXTJOIN(" · ",TRUE,'FICHA PESSOAL'!$BO$19,'FICHA PESSOAL'!$BP$19,'FICHA PESSOAL'!$BQ$19,'FICHA PESSOAL'!$BR$19,'FICHA PESSOAL'!$BS$19)</f>
        <v/>
      </c>
      <c r="C426" s="198">
        <f>"'FICHA PESSOAL'!BO19 'FICHA PESSOAL'!BP19 'FICHA PESSOAL'!BQ19 'FICHA PESSOAL'!BR19 'FICHA PESSOAL'!BS19"</f>
        <v/>
      </c>
      <c r="D426" s="198" t="inlineStr">
        <is>
          <t>entrada</t>
        </is>
      </c>
    </row>
    <row r="427">
      <c r="A427" s="198" t="inlineStr">
        <is>
          <t>missao.4.6</t>
        </is>
      </c>
      <c r="B427" s="198">
        <f>TEXTJOIN(" · ",TRUE,'FICHA PESSOAL'!$BO$20,'FICHA PESSOAL'!$BP$20,'FICHA PESSOAL'!$BQ$20,'FICHA PESSOAL'!$BR$20,'FICHA PESSOAL'!$BS$20)</f>
        <v/>
      </c>
      <c r="C427" s="198">
        <f>"'FICHA PESSOAL'!BO20 'FICHA PESSOAL'!BP20 'FICHA PESSOAL'!BQ20 'FICHA PESSOAL'!BR20 'FICHA PESSOAL'!BS20"</f>
        <v/>
      </c>
      <c r="D427" s="198" t="inlineStr">
        <is>
          <t>entrada</t>
        </is>
      </c>
    </row>
    <row r="428">
      <c r="A428" s="198" t="inlineStr">
        <is>
          <t>missao.4.7</t>
        </is>
      </c>
      <c r="B428" s="198">
        <f>TEXTJOIN(" · ",TRUE,'FICHA PESSOAL'!$BO$21,'FICHA PESSOAL'!$BP$21,'FICHA PESSOAL'!$BQ$21,'FICHA PESSOAL'!$BR$21,'FICHA PESSOAL'!$BS$21)</f>
        <v/>
      </c>
      <c r="C428" s="198">
        <f>"'FICHA PESSOAL'!BO21 'FICHA PESSOAL'!BP21 'FICHA PESSOAL'!BQ21 'FICHA PESSOAL'!BR21 'FICHA PESSOAL'!BS21"</f>
        <v/>
      </c>
      <c r="D428" s="198" t="inlineStr">
        <is>
          <t>entrada</t>
        </is>
      </c>
    </row>
    <row r="429">
      <c r="A429" s="198" t="inlineStr">
        <is>
          <t>missao.4.8</t>
        </is>
      </c>
      <c r="B429" s="198">
        <f>TEXTJOIN(" · ",TRUE,'FICHA PESSOAL'!$BO$22,'FICHA PESSOAL'!$BP$22,'FICHA PESSOAL'!$BQ$22,'FICHA PESSOAL'!$BR$22,'FICHA PESSOAL'!$BS$22)</f>
        <v/>
      </c>
      <c r="C429" s="198">
        <f>"'FICHA PESSOAL'!BO22 'FICHA PESSOAL'!BP22 'FICHA PESSOAL'!BQ22 'FICHA PESSOAL'!BR22 'FICHA PESSOAL'!BS22"</f>
        <v/>
      </c>
      <c r="D429" s="198" t="inlineStr">
        <is>
          <t>entrada</t>
        </is>
      </c>
    </row>
    <row r="430">
      <c r="A430" s="198" t="inlineStr">
        <is>
          <t>missao.4.9</t>
        </is>
      </c>
      <c r="B430" s="198">
        <f>TEXTJOIN(" · ",TRUE,'FICHA PESSOAL'!$BO$23,'FICHA PESSOAL'!$BP$23,'FICHA PESSOAL'!$BQ$23,'FICHA PESSOAL'!$BR$23,'FICHA PESSOAL'!$BS$23)</f>
        <v/>
      </c>
      <c r="C430" s="198">
        <f>"'FICHA PESSOAL'!BO23 'FICHA PESSOAL'!BP23 'FICHA PESSOAL'!BQ23 'FICHA PESSOAL'!BR23 'FICHA PESSOAL'!BS23"</f>
        <v/>
      </c>
      <c r="D430" s="198" t="inlineStr">
        <is>
          <t>entrada</t>
        </is>
      </c>
    </row>
    <row r="431">
      <c r="A431" s="198" t="inlineStr">
        <is>
          <t>missao.4.10</t>
        </is>
      </c>
      <c r="B431" s="198">
        <f>TEXTJOIN(" · ",TRUE,'FICHA PESSOAL'!$BO$24,'FICHA PESSOAL'!$BP$24,'FICHA PESSOAL'!$BQ$24,'FICHA PESSOAL'!$BR$24,'FICHA PESSOAL'!$BS$24)</f>
        <v/>
      </c>
      <c r="C431" s="198">
        <f>"'FICHA PESSOAL'!BO24 'FICHA PESSOAL'!BP24 'FICHA PESSOAL'!BQ24 'FICHA PESSOAL'!BR24 'FICHA PESSOAL'!BS24"</f>
        <v/>
      </c>
      <c r="D431" s="198" t="inlineStr">
        <is>
          <t>entrada</t>
        </is>
      </c>
    </row>
    <row r="432">
      <c r="A432" s="198" t="inlineStr">
        <is>
          <t>missao.4.11</t>
        </is>
      </c>
      <c r="B432" s="198">
        <f>TEXTJOIN(" · ",TRUE,'FICHA PESSOAL'!$BO$25,'FICHA PESSOAL'!$BP$25,'FICHA PESSOAL'!$BQ$25,'FICHA PESSOAL'!$BR$25,'FICHA PESSOAL'!$BS$25)</f>
        <v/>
      </c>
      <c r="C432" s="198">
        <f>"'FICHA PESSOAL'!BO25 'FICHA PESSOAL'!BP25 'FICHA PESSOAL'!BQ25 'FICHA PESSOAL'!BR25 'FICHA PESSOAL'!BS25"</f>
        <v/>
      </c>
      <c r="D432" s="198" t="inlineStr">
        <is>
          <t>entrada</t>
        </is>
      </c>
    </row>
    <row r="433">
      <c r="A433" s="198" t="inlineStr">
        <is>
          <t>missao.4.12</t>
        </is>
      </c>
      <c r="B433" s="198">
        <f>TEXTJOIN(" · ",TRUE,'FICHA PESSOAL'!$BO$26,'FICHA PESSOAL'!$BP$26,'FICHA PESSOAL'!$BQ$26,'FICHA PESSOAL'!$BR$26,'FICHA PESSOAL'!$BS$26)</f>
        <v/>
      </c>
      <c r="C433" s="198">
        <f>"'FICHA PESSOAL'!BO26 'FICHA PESSOAL'!BP26 'FICHA PESSOAL'!BQ26 'FICHA PESSOAL'!BR26 'FICHA PESSOAL'!BS26"</f>
        <v/>
      </c>
      <c r="D433" s="198" t="inlineStr">
        <is>
          <t>entrada</t>
        </is>
      </c>
    </row>
    <row r="434">
      <c r="A434" s="198" t="inlineStr">
        <is>
          <t>missao.4.13</t>
        </is>
      </c>
      <c r="B434" s="198">
        <f>TEXTJOIN(" · ",TRUE,'FICHA PESSOAL'!$BO$27,'FICHA PESSOAL'!$BP$27,'FICHA PESSOAL'!$BQ$27,'FICHA PESSOAL'!$BR$27,'FICHA PESSOAL'!$BS$27)</f>
        <v/>
      </c>
      <c r="C434" s="198">
        <f>"'FICHA PESSOAL'!BO27 'FICHA PESSOAL'!BP27 'FICHA PESSOAL'!BQ27 'FICHA PESSOAL'!BR27 'FICHA PESSOAL'!BS27"</f>
        <v/>
      </c>
      <c r="D434" s="198" t="inlineStr">
        <is>
          <t>entrada</t>
        </is>
      </c>
    </row>
    <row r="435">
      <c r="A435" s="198" t="inlineStr">
        <is>
          <t>missao.4.14</t>
        </is>
      </c>
      <c r="B435" s="198">
        <f>TEXTJOIN(" · ",TRUE,'FICHA PESSOAL'!$BO$28,'FICHA PESSOAL'!$BP$28,'FICHA PESSOAL'!$BQ$28,'FICHA PESSOAL'!$BR$28,'FICHA PESSOAL'!$BS$28)</f>
        <v/>
      </c>
      <c r="C435" s="198">
        <f>"'FICHA PESSOAL'!BO28 'FICHA PESSOAL'!BP28 'FICHA PESSOAL'!BQ28 'FICHA PESSOAL'!BR28 'FICHA PESSOAL'!BS28"</f>
        <v/>
      </c>
      <c r="D435" s="198" t="inlineStr">
        <is>
          <t>entrada</t>
        </is>
      </c>
    </row>
    <row r="436">
      <c r="A436" s="198" t="inlineStr">
        <is>
          <t>missao.4.15</t>
        </is>
      </c>
      <c r="B436" s="198">
        <f>TEXTJOIN(" · ",TRUE,'FICHA PESSOAL'!$BO$29,'FICHA PESSOAL'!$BP$29,'FICHA PESSOAL'!$BQ$29,'FICHA PESSOAL'!$BR$29,'FICHA PESSOAL'!$BS$29)</f>
        <v/>
      </c>
      <c r="C436" s="198">
        <f>"'FICHA PESSOAL'!BO29 'FICHA PESSOAL'!BP29 'FICHA PESSOAL'!BQ29 'FICHA PESSOAL'!BR29 'FICHA PESSOAL'!BS29"</f>
        <v/>
      </c>
      <c r="D436" s="198" t="inlineStr">
        <is>
          <t>entrada</t>
        </is>
      </c>
    </row>
    <row r="437">
      <c r="A437" s="198" t="inlineStr">
        <is>
          <t>missao.4.16</t>
        </is>
      </c>
      <c r="B437" s="198">
        <f>TEXTJOIN(" · ",TRUE,'FICHA PESSOAL'!$BO$30,'FICHA PESSOAL'!$BP$30,'FICHA PESSOAL'!$BQ$30,'FICHA PESSOAL'!$BR$30,'FICHA PESSOAL'!$BS$30)</f>
        <v/>
      </c>
      <c r="C437" s="198">
        <f>"'FICHA PESSOAL'!BO30 'FICHA PESSOAL'!BP30 'FICHA PESSOAL'!BQ30 'FICHA PESSOAL'!BR30 'FICHA PESSOAL'!BS30"</f>
        <v/>
      </c>
      <c r="D437" s="198" t="inlineStr">
        <is>
          <t>entrada</t>
        </is>
      </c>
    </row>
    <row r="438">
      <c r="A438" s="198" t="inlineStr">
        <is>
          <t>missao.4.17</t>
        </is>
      </c>
      <c r="B438" s="198">
        <f>TEXTJOIN(" · ",TRUE,'FICHA PESSOAL'!$BO$31,'FICHA PESSOAL'!$BP$31,'FICHA PESSOAL'!$BQ$31,'FICHA PESSOAL'!$BR$31,'FICHA PESSOAL'!$BS$31)</f>
        <v/>
      </c>
      <c r="C438" s="198">
        <f>"'FICHA PESSOAL'!BO31 'FICHA PESSOAL'!BP31 'FICHA PESSOAL'!BQ31 'FICHA PESSOAL'!BR31 'FICHA PESSOAL'!BS31"</f>
        <v/>
      </c>
      <c r="D438" s="198" t="inlineStr">
        <is>
          <t>entrada</t>
        </is>
      </c>
    </row>
    <row r="439">
      <c r="A439" s="198" t="inlineStr">
        <is>
          <t>missao.4.18</t>
        </is>
      </c>
      <c r="B439" s="198">
        <f>TEXTJOIN(" · ",TRUE,'FICHA PESSOAL'!$BO$32,'FICHA PESSOAL'!$BP$32,'FICHA PESSOAL'!$BQ$32,'FICHA PESSOAL'!$BR$32,'FICHA PESSOAL'!$BS$32)</f>
        <v/>
      </c>
      <c r="C439" s="198">
        <f>"'FICHA PESSOAL'!BO32 'FICHA PESSOAL'!BP32 'FICHA PESSOAL'!BQ32 'FICHA PESSOAL'!BR32 'FICHA PESSOAL'!BS32"</f>
        <v/>
      </c>
      <c r="D439" s="198" t="inlineStr">
        <is>
          <t>entrada</t>
        </is>
      </c>
    </row>
    <row r="440">
      <c r="A440" s="198" t="inlineStr">
        <is>
          <t>missao.4.19</t>
        </is>
      </c>
      <c r="B440" s="198">
        <f>TEXTJOIN(" · ",TRUE,'FICHA PESSOAL'!$BO$33,'FICHA PESSOAL'!$BP$33,'FICHA PESSOAL'!$BQ$33,'FICHA PESSOAL'!$BR$33,'FICHA PESSOAL'!$BS$33)</f>
        <v/>
      </c>
      <c r="C440" s="198">
        <f>"'FICHA PESSOAL'!BO33 'FICHA PESSOAL'!BP33 'FICHA PESSOAL'!BQ33 'FICHA PESSOAL'!BR33 'FICHA PESSOAL'!BS33"</f>
        <v/>
      </c>
      <c r="D440" s="198" t="inlineStr">
        <is>
          <t>entrada</t>
        </is>
      </c>
    </row>
    <row r="441">
      <c r="A441" s="198" t="inlineStr">
        <is>
          <t>missao.4.20</t>
        </is>
      </c>
      <c r="B441" s="198">
        <f>TEXTJOIN(" · ",TRUE,'FICHA PESSOAL'!$BO$34,'FICHA PESSOAL'!$BP$34,'FICHA PESSOAL'!$BQ$34,'FICHA PESSOAL'!$BR$34,'FICHA PESSOAL'!$BS$34)</f>
        <v/>
      </c>
      <c r="C441" s="198">
        <f>"'FICHA PESSOAL'!BO34 'FICHA PESSOAL'!BP34 'FICHA PESSOAL'!BQ34 'FICHA PESSOAL'!BR34 'FICHA PESSOAL'!BS34"</f>
        <v/>
      </c>
      <c r="D441" s="198" t="inlineStr">
        <is>
          <t>entrada</t>
        </is>
      </c>
    </row>
    <row r="442">
      <c r="A442" s="198" t="inlineStr">
        <is>
          <t>missao.4.21</t>
        </is>
      </c>
      <c r="B442" s="198">
        <f>TEXTJOIN(" · ",TRUE,'FICHA PESSOAL'!$BO$35,'FICHA PESSOAL'!$BP$35,'FICHA PESSOAL'!$BQ$35,'FICHA PESSOAL'!$BR$35,'FICHA PESSOAL'!$BS$35)</f>
        <v/>
      </c>
      <c r="C442" s="198">
        <f>"'FICHA PESSOAL'!BO35 'FICHA PESSOAL'!BP35 'FICHA PESSOAL'!BQ35 'FICHA PESSOAL'!BR35 'FICHA PESSOAL'!BS35"</f>
        <v/>
      </c>
      <c r="D442" s="198" t="inlineStr">
        <is>
          <t>entrada</t>
        </is>
      </c>
    </row>
    <row r="443">
      <c r="A443" s="198" t="inlineStr">
        <is>
          <t>missao.4.22</t>
        </is>
      </c>
      <c r="B443" s="198">
        <f>TEXTJOIN(" · ",TRUE,'FICHA PESSOAL'!$BO$36,'FICHA PESSOAL'!$BP$36,'FICHA PESSOAL'!$BQ$36,'FICHA PESSOAL'!$BR$36,'FICHA PESSOAL'!$BS$36)</f>
        <v/>
      </c>
      <c r="C443" s="198">
        <f>"'FICHA PESSOAL'!BO36 'FICHA PESSOAL'!BP36 'FICHA PESSOAL'!BQ36 'FICHA PESSOAL'!BR36 'FICHA PESSOAL'!BS36"</f>
        <v/>
      </c>
      <c r="D443" s="198" t="inlineStr">
        <is>
          <t>entrada</t>
        </is>
      </c>
    </row>
    <row r="444">
      <c r="A444" s="198" t="inlineStr">
        <is>
          <t>missao.4.23</t>
        </is>
      </c>
      <c r="B444" s="198">
        <f>TEXTJOIN(" · ",TRUE,'FICHA PESSOAL'!$BO$37,'FICHA PESSOAL'!$BP$37,'FICHA PESSOAL'!$BQ$37,'FICHA PESSOAL'!$BR$37,'FICHA PESSOAL'!$BS$37)</f>
        <v/>
      </c>
      <c r="C444" s="198">
        <f>"'FICHA PESSOAL'!BO37 'FICHA PESSOAL'!BP37 'FICHA PESSOAL'!BQ37 'FICHA PESSOAL'!BR37 'FICHA PESSOAL'!BS37"</f>
        <v/>
      </c>
      <c r="D444" s="198" t="inlineStr">
        <is>
          <t>entrada</t>
        </is>
      </c>
    </row>
    <row r="445">
      <c r="A445" s="198" t="inlineStr">
        <is>
          <t>missao.4.24</t>
        </is>
      </c>
      <c r="B445" s="198">
        <f>TEXTJOIN(" · ",TRUE,'FICHA PESSOAL'!$BO$38,'FICHA PESSOAL'!$BP$38,'FICHA PESSOAL'!$BQ$38,'FICHA PESSOAL'!$BR$38,'FICHA PESSOAL'!$BS$38)</f>
        <v/>
      </c>
      <c r="C445" s="198">
        <f>"'FICHA PESSOAL'!BO38 'FICHA PESSOAL'!BP38 'FICHA PESSOAL'!BQ38 'FICHA PESSOAL'!BR38 'FICHA PESSOAL'!BS38"</f>
        <v/>
      </c>
      <c r="D445" s="198" t="inlineStr">
        <is>
          <t>entrada</t>
        </is>
      </c>
    </row>
    <row r="446">
      <c r="A446" s="198" t="inlineStr">
        <is>
          <t>missao.4.25</t>
        </is>
      </c>
      <c r="B446" s="198">
        <f>TEXTJOIN(" · ",TRUE,'FICHA PESSOAL'!$BO$39,'FICHA PESSOAL'!$BP$39,'FICHA PESSOAL'!$BQ$39,'FICHA PESSOAL'!$BR$39,'FICHA PESSOAL'!$BS$39)</f>
        <v/>
      </c>
      <c r="C446" s="198">
        <f>"'FICHA PESSOAL'!BO39 'FICHA PESSOAL'!BP39 'FICHA PESSOAL'!BQ39 'FICHA PESSOAL'!BR39 'FICHA PESSOAL'!BS39"</f>
        <v/>
      </c>
      <c r="D446" s="198" t="inlineStr">
        <is>
          <t>entrada</t>
        </is>
      </c>
    </row>
    <row r="447">
      <c r="A447" s="198" t="inlineStr">
        <is>
          <t>missao.4.26</t>
        </is>
      </c>
      <c r="B447" s="198">
        <f>TEXTJOIN(" · ",TRUE,'FICHA PESSOAL'!$BO$40,'FICHA PESSOAL'!$BP$40,'FICHA PESSOAL'!$BQ$40,'FICHA PESSOAL'!$BR$40,'FICHA PESSOAL'!$BS$40)</f>
        <v/>
      </c>
      <c r="C447" s="198">
        <f>"'FICHA PESSOAL'!BO40 'FICHA PESSOAL'!BP40 'FICHA PESSOAL'!BQ40 'FICHA PESSOAL'!BR40 'FICHA PESSOAL'!BS40"</f>
        <v/>
      </c>
      <c r="D447" s="198" t="inlineStr">
        <is>
          <t>entrada</t>
        </is>
      </c>
    </row>
    <row r="448">
      <c r="A448" s="198" t="inlineStr">
        <is>
          <t>missao.4.27</t>
        </is>
      </c>
      <c r="B448" s="198">
        <f>TEXTJOIN(" · ",TRUE,'FICHA PESSOAL'!$BO$41,'FICHA PESSOAL'!$BP$41,'FICHA PESSOAL'!$BQ$41,'FICHA PESSOAL'!$BR$41,'FICHA PESSOAL'!$BS$41)</f>
        <v/>
      </c>
      <c r="C448" s="198">
        <f>"'FICHA PESSOAL'!BO41 'FICHA PESSOAL'!BP41 'FICHA PESSOAL'!BQ41 'FICHA PESSOAL'!BR41 'FICHA PESSOAL'!BS41"</f>
        <v/>
      </c>
      <c r="D448" s="198" t="inlineStr">
        <is>
          <t>entrada</t>
        </is>
      </c>
    </row>
    <row r="449">
      <c r="A449" s="198" t="inlineStr">
        <is>
          <t>missao.4.28</t>
        </is>
      </c>
      <c r="B449" s="198">
        <f>TEXTJOIN(" · ",TRUE,'FICHA PESSOAL'!$BO$42,'FICHA PESSOAL'!$BP$42,'FICHA PESSOAL'!$BQ$42,'FICHA PESSOAL'!$BR$42,'FICHA PESSOAL'!$BS$42)</f>
        <v/>
      </c>
      <c r="C449" s="198">
        <f>"'FICHA PESSOAL'!BO42 'FICHA PESSOAL'!BP42 'FICHA PESSOAL'!BQ42 'FICHA PESSOAL'!BR42 'FICHA PESSOAL'!BS42"</f>
        <v/>
      </c>
      <c r="D449" s="198" t="inlineStr">
        <is>
          <t>entrada</t>
        </is>
      </c>
    </row>
    <row r="450">
      <c r="A450" s="198" t="inlineStr">
        <is>
          <t>missao.4.29</t>
        </is>
      </c>
      <c r="B450" s="198">
        <f>TEXTJOIN(" · ",TRUE,'FICHA PESSOAL'!$BO$43,'FICHA PESSOAL'!$BP$43,'FICHA PESSOAL'!$BQ$43,'FICHA PESSOAL'!$BR$43,'FICHA PESSOAL'!$BS$43)</f>
        <v/>
      </c>
      <c r="C450" s="198">
        <f>"'FICHA PESSOAL'!BO43 'FICHA PESSOAL'!BP43 'FICHA PESSOAL'!BQ43 'FICHA PESSOAL'!BR43 'FICHA PESSOAL'!BS43"</f>
        <v/>
      </c>
      <c r="D450" s="198" t="inlineStr">
        <is>
          <t>entrada</t>
        </is>
      </c>
    </row>
    <row r="451">
      <c r="A451" s="198" t="inlineStr">
        <is>
          <t>missao.4.30</t>
        </is>
      </c>
      <c r="B451" s="198">
        <f>TEXTJOIN(" · ",TRUE,'FICHA PESSOAL'!$BO$44,'FICHA PESSOAL'!$BP$44,'FICHA PESSOAL'!$BQ$44,'FICHA PESSOAL'!$BR$44,'FICHA PESSOAL'!$BS$44)</f>
        <v/>
      </c>
      <c r="C451" s="198">
        <f>"'FICHA PESSOAL'!BO44 'FICHA PESSOAL'!BP44 'FICHA PESSOAL'!BQ44 'FICHA PESSOAL'!BR44 'FICHA PESSOAL'!BS44"</f>
        <v/>
      </c>
      <c r="D451" s="198" t="inlineStr">
        <is>
          <t>entrada</t>
        </is>
      </c>
    </row>
    <row r="452">
      <c r="A452" s="198" t="inlineStr">
        <is>
          <t>missao.4.31</t>
        </is>
      </c>
      <c r="B452" s="198">
        <f>TEXTJOIN(" · ",TRUE,'FICHA PESSOAL'!$BO$45,'FICHA PESSOAL'!$BP$45,'FICHA PESSOAL'!$BQ$45,'FICHA PESSOAL'!$BR$45,'FICHA PESSOAL'!$BS$45)</f>
        <v/>
      </c>
      <c r="C452" s="198">
        <f>"'FICHA PESSOAL'!BO45 'FICHA PESSOAL'!BP45 'FICHA PESSOAL'!BQ45 'FICHA PESSOAL'!BR45 'FICHA PESSOAL'!BS45"</f>
        <v/>
      </c>
      <c r="D452" s="198" t="inlineStr">
        <is>
          <t>entrada</t>
        </is>
      </c>
    </row>
    <row r="453">
      <c r="A453" s="198" t="inlineStr">
        <is>
          <t>missao.4.32</t>
        </is>
      </c>
      <c r="B453" s="198">
        <f>TEXTJOIN(" · ",TRUE,'FICHA PESSOAL'!$BO$46,'FICHA PESSOAL'!$BP$46,'FICHA PESSOAL'!$BQ$46,'FICHA PESSOAL'!$BR$46,'FICHA PESSOAL'!$BS$46)</f>
        <v/>
      </c>
      <c r="C453" s="198">
        <f>"'FICHA PESSOAL'!BO46 'FICHA PESSOAL'!BP46 'FICHA PESSOAL'!BQ46 'FICHA PESSOAL'!BR46 'FICHA PESSOAL'!BS46"</f>
        <v/>
      </c>
      <c r="D453" s="198" t="inlineStr">
        <is>
          <t>entrada</t>
        </is>
      </c>
    </row>
    <row r="454">
      <c r="A454" s="198" t="inlineStr">
        <is>
          <t>missao.4.33</t>
        </is>
      </c>
      <c r="B454" s="198">
        <f>TEXTJOIN(" · ",TRUE,'FICHA PESSOAL'!$BO$47,'FICHA PESSOAL'!$BP$47,'FICHA PESSOAL'!$BQ$47,'FICHA PESSOAL'!$BR$47,'FICHA PESSOAL'!$BS$47)</f>
        <v/>
      </c>
      <c r="C454" s="198">
        <f>"'FICHA PESSOAL'!BO47 'FICHA PESSOAL'!BP47 'FICHA PESSOAL'!BQ47 'FICHA PESSOAL'!BR47 'FICHA PESSOAL'!BS47"</f>
        <v/>
      </c>
      <c r="D454" s="198" t="inlineStr">
        <is>
          <t>entrada</t>
        </is>
      </c>
    </row>
    <row r="455">
      <c r="A455" s="198" t="inlineStr">
        <is>
          <t>missao.4.34</t>
        </is>
      </c>
      <c r="B455" s="198">
        <f>TEXTJOIN(" · ",TRUE,'FICHA PESSOAL'!$BO$48,'FICHA PESSOAL'!$BP$48,'FICHA PESSOAL'!$BQ$48,'FICHA PESSOAL'!$BR$48,'FICHA PESSOAL'!$BS$48)</f>
        <v/>
      </c>
      <c r="C455" s="198">
        <f>"'FICHA PESSOAL'!BO48 'FICHA PESSOAL'!BP48 'FICHA PESSOAL'!BQ48 'FICHA PESSOAL'!BR48 'FICHA PESSOAL'!BS48"</f>
        <v/>
      </c>
      <c r="D455" s="198" t="inlineStr">
        <is>
          <t>entrada</t>
        </is>
      </c>
    </row>
    <row r="456">
      <c r="A456" s="198" t="inlineStr">
        <is>
          <t>missao.4.35</t>
        </is>
      </c>
      <c r="B456" s="198">
        <f>TEXTJOIN(" · ",TRUE,'FICHA PESSOAL'!$BO$49,'FICHA PESSOAL'!$BP$49,'FICHA PESSOAL'!$BQ$49,'FICHA PESSOAL'!$BR$49,'FICHA PESSOAL'!$BS$49)</f>
        <v/>
      </c>
      <c r="C456" s="198">
        <f>"'FICHA PESSOAL'!BO49 'FICHA PESSOAL'!BP49 'FICHA PESSOAL'!BQ49 'FICHA PESSOAL'!BR49 'FICHA PESSOAL'!BS49"</f>
        <v/>
      </c>
      <c r="D456" s="198" t="inlineStr">
        <is>
          <t>entrada</t>
        </is>
      </c>
    </row>
    <row r="457">
      <c r="A457" s="198" t="inlineStr">
        <is>
          <t>missao.4.36</t>
        </is>
      </c>
      <c r="B457" s="198">
        <f>TEXTJOIN(" · ",TRUE,'FICHA PESSOAL'!$BO$50,'FICHA PESSOAL'!$BP$50,'FICHA PESSOAL'!$BQ$50,'FICHA PESSOAL'!$BR$50,'FICHA PESSOAL'!$BS$50)</f>
        <v/>
      </c>
      <c r="C457" s="198">
        <f>"'FICHA PESSOAL'!BO50 'FICHA PESSOAL'!BP50 'FICHA PESSOAL'!BQ50 'FICHA PESSOAL'!BR50 'FICHA PESSOAL'!BS50"</f>
        <v/>
      </c>
      <c r="D457" s="198" t="inlineStr">
        <is>
          <t>entrada</t>
        </is>
      </c>
    </row>
    <row r="458">
      <c r="A458" s="198" t="inlineStr">
        <is>
          <t>missao.4.37</t>
        </is>
      </c>
      <c r="B458" s="198">
        <f>TEXTJOIN(" · ",TRUE,'FICHA PESSOAL'!$BO$51,'FICHA PESSOAL'!$BP$51,'FICHA PESSOAL'!$BQ$51,'FICHA PESSOAL'!$BR$51,'FICHA PESSOAL'!$BS$51)</f>
        <v/>
      </c>
      <c r="C458" s="198">
        <f>"'FICHA PESSOAL'!BO51 'FICHA PESSOAL'!BP51 'FICHA PESSOAL'!BQ51 'FICHA PESSOAL'!BR51 'FICHA PESSOAL'!BS51"</f>
        <v/>
      </c>
      <c r="D458" s="198" t="inlineStr">
        <is>
          <t>entrada</t>
        </is>
      </c>
    </row>
    <row r="459">
      <c r="A459" s="198" t="inlineStr">
        <is>
          <t>missao.4.38</t>
        </is>
      </c>
      <c r="B459" s="198">
        <f>TEXTJOIN(" · ",TRUE,'FICHA PESSOAL'!$BO$52,'FICHA PESSOAL'!$BP$52,'FICHA PESSOAL'!$BQ$52,'FICHA PESSOAL'!$BR$52,'FICHA PESSOAL'!$BS$52)</f>
        <v/>
      </c>
      <c r="C459" s="198">
        <f>"'FICHA PESSOAL'!BO52 'FICHA PESSOAL'!BP52 'FICHA PESSOAL'!BQ52 'FICHA PESSOAL'!BR52 'FICHA PESSOAL'!BS52"</f>
        <v/>
      </c>
      <c r="D459" s="198" t="inlineStr">
        <is>
          <t>entrada</t>
        </is>
      </c>
    </row>
    <row r="460">
      <c r="A460" s="198" t="inlineStr">
        <is>
          <t>missao.4.39</t>
        </is>
      </c>
      <c r="B460" s="198">
        <f>TEXTJOIN(" · ",TRUE,'FICHA PESSOAL'!$BO$53,'FICHA PESSOAL'!$BP$53,'FICHA PESSOAL'!$BQ$53,'FICHA PESSOAL'!$BR$53,'FICHA PESSOAL'!$BS$53)</f>
        <v/>
      </c>
      <c r="C460" s="198">
        <f>"'FICHA PESSOAL'!BO53 'FICHA PESSOAL'!BP53 'FICHA PESSOAL'!BQ53 'FICHA PESSOAL'!BR53 'FICHA PESSOAL'!BS53"</f>
        <v/>
      </c>
      <c r="D460" s="198" t="inlineStr">
        <is>
          <t>entrada</t>
        </is>
      </c>
    </row>
    <row r="461">
      <c r="A461" s="198" t="inlineStr">
        <is>
          <t>missao.4.40</t>
        </is>
      </c>
      <c r="B461" s="198">
        <f>TEXTJOIN(" · ",TRUE,'FICHA PESSOAL'!$BO$54,'FICHA PESSOAL'!$BP$54,'FICHA PESSOAL'!$BQ$54,'FICHA PESSOAL'!$BR$54,'FICHA PESSOAL'!$BS$54)</f>
        <v/>
      </c>
      <c r="C461" s="198">
        <f>"'FICHA PESSOAL'!BO54 'FICHA PESSOAL'!BP54 'FICHA PESSOAL'!BQ54 'FICHA PESSOAL'!BR54 'FICHA PESSOAL'!BS54"</f>
        <v/>
      </c>
      <c r="D461" s="198" t="inlineStr">
        <is>
          <t>entrada</t>
        </is>
      </c>
    </row>
    <row r="462">
      <c r="A462" s="198" t="inlineStr">
        <is>
          <t>missao.4.41</t>
        </is>
      </c>
      <c r="B462" s="198">
        <f>TEXTJOIN(" · ",TRUE,'FICHA PESSOAL'!$BO$55,'FICHA PESSOAL'!$BP$55,'FICHA PESSOAL'!$BQ$55,'FICHA PESSOAL'!$BR$55,'FICHA PESSOAL'!$BS$55)</f>
        <v/>
      </c>
      <c r="C462" s="198">
        <f>"'FICHA PESSOAL'!BO55 'FICHA PESSOAL'!BP55 'FICHA PESSOAL'!BQ55 'FICHA PESSOAL'!BR55 'FICHA PESSOAL'!BS55"</f>
        <v/>
      </c>
      <c r="D462" s="198" t="inlineStr">
        <is>
          <t>entrada</t>
        </is>
      </c>
    </row>
    <row r="463">
      <c r="A463" s="198" t="inlineStr">
        <is>
          <t>missao.4.42</t>
        </is>
      </c>
      <c r="B463" s="198">
        <f>TEXTJOIN(" · ",TRUE,'FICHA PESSOAL'!$BO$56,'FICHA PESSOAL'!$BP$56,'FICHA PESSOAL'!$BQ$56,'FICHA PESSOAL'!$BR$56,'FICHA PESSOAL'!$BS$56)</f>
        <v/>
      </c>
      <c r="C463" s="198">
        <f>"'FICHA PESSOAL'!BO56 'FICHA PESSOAL'!BP56 'FICHA PESSOAL'!BQ56 'FICHA PESSOAL'!BR56 'FICHA PESSOAL'!BS56"</f>
        <v/>
      </c>
      <c r="D463" s="198" t="inlineStr">
        <is>
          <t>entrada</t>
        </is>
      </c>
    </row>
    <row r="464">
      <c r="A464" s="198" t="inlineStr">
        <is>
          <t>missao.4.43</t>
        </is>
      </c>
      <c r="B464" s="198">
        <f>TEXTJOIN(" · ",TRUE,'FICHA PESSOAL'!$BO$57,'FICHA PESSOAL'!$BP$57,'FICHA PESSOAL'!$BQ$57,'FICHA PESSOAL'!$BR$57,'FICHA PESSOAL'!$BS$57)</f>
        <v/>
      </c>
      <c r="C464" s="198">
        <f>"'FICHA PESSOAL'!BO57 'FICHA PESSOAL'!BP57 'FICHA PESSOAL'!BQ57 'FICHA PESSOAL'!BR57 'FICHA PESSOAL'!BS57"</f>
        <v/>
      </c>
      <c r="D464" s="198" t="inlineStr">
        <is>
          <t>entrada</t>
        </is>
      </c>
    </row>
    <row r="465">
      <c r="A465" s="198" t="inlineStr">
        <is>
          <t>missao.4.44</t>
        </is>
      </c>
      <c r="B465" s="198">
        <f>TEXTJOIN(" · ",TRUE,'FICHA PESSOAL'!$BO$58,'FICHA PESSOAL'!$BP$58,'FICHA PESSOAL'!$BQ$58,'FICHA PESSOAL'!$BR$58,'FICHA PESSOAL'!$BS$58)</f>
        <v/>
      </c>
      <c r="C465" s="198">
        <f>"'FICHA PESSOAL'!BO58 'FICHA PESSOAL'!BP58 'FICHA PESSOAL'!BQ58 'FICHA PESSOAL'!BR58 'FICHA PESSOAL'!BS58"</f>
        <v/>
      </c>
      <c r="D465" s="198" t="inlineStr">
        <is>
          <t>entrada</t>
        </is>
      </c>
    </row>
    <row r="466">
      <c r="A466" s="198" t="inlineStr">
        <is>
          <t>missao.4.45</t>
        </is>
      </c>
      <c r="B466" s="198">
        <f>TEXTJOIN(" · ",TRUE,'FICHA PESSOAL'!$BO$59,'FICHA PESSOAL'!$BP$59,'FICHA PESSOAL'!$BQ$59,'FICHA PESSOAL'!$BR$59,'FICHA PESSOAL'!$BS$59)</f>
        <v/>
      </c>
      <c r="C466" s="198">
        <f>"'FICHA PESSOAL'!BO59 'FICHA PESSOAL'!BP59 'FICHA PESSOAL'!BQ59 'FICHA PESSOAL'!BR59 'FICHA PESSOAL'!BS59"</f>
        <v/>
      </c>
      <c r="D466" s="198" t="inlineStr">
        <is>
          <t>entrada</t>
        </is>
      </c>
    </row>
    <row r="467">
      <c r="A467" s="198" t="inlineStr">
        <is>
          <t>missao.4.46</t>
        </is>
      </c>
      <c r="B467" s="198">
        <f>TEXTJOIN(" · ",TRUE,'FICHA PESSOAL'!$BO$60,'FICHA PESSOAL'!$BP$60,'FICHA PESSOAL'!$BQ$60,'FICHA PESSOAL'!$BR$60,'FICHA PESSOAL'!$BS$60)</f>
        <v/>
      </c>
      <c r="C467" s="198">
        <f>"'FICHA PESSOAL'!BO60 'FICHA PESSOAL'!BP60 'FICHA PESSOAL'!BQ60 'FICHA PESSOAL'!BR60 'FICHA PESSOAL'!BS60"</f>
        <v/>
      </c>
      <c r="D467" s="198" t="inlineStr">
        <is>
          <t>entrada</t>
        </is>
      </c>
    </row>
    <row r="468">
      <c r="A468" s="198" t="inlineStr">
        <is>
          <t>missao.4.47</t>
        </is>
      </c>
      <c r="B468" s="198">
        <f>TEXTJOIN(" · ",TRUE,'FICHA PESSOAL'!$BO$61,'FICHA PESSOAL'!$BP$61,'FICHA PESSOAL'!$BQ$61,'FICHA PESSOAL'!$BR$61,'FICHA PESSOAL'!$BS$61)</f>
        <v/>
      </c>
      <c r="C468" s="198">
        <f>"'FICHA PESSOAL'!BO61 'FICHA PESSOAL'!BP61 'FICHA PESSOAL'!BQ61 'FICHA PESSOAL'!BR61 'FICHA PESSOAL'!BS61"</f>
        <v/>
      </c>
      <c r="D468" s="198" t="inlineStr">
        <is>
          <t>entrada</t>
        </is>
      </c>
    </row>
    <row r="469">
      <c r="A469" s="198" t="inlineStr">
        <is>
          <t>missao.4.48</t>
        </is>
      </c>
      <c r="B469" s="198">
        <f>TEXTJOIN(" · ",TRUE,'FICHA PESSOAL'!$BO$62,'FICHA PESSOAL'!$BP$62,'FICHA PESSOAL'!$BQ$62,'FICHA PESSOAL'!$BR$62,'FICHA PESSOAL'!$BS$62)</f>
        <v/>
      </c>
      <c r="C469" s="198">
        <f>"'FICHA PESSOAL'!BO62 'FICHA PESSOAL'!BP62 'FICHA PESSOAL'!BQ62 'FICHA PESSOAL'!BR62 'FICHA PESSOAL'!BS62"</f>
        <v/>
      </c>
      <c r="D469" s="198" t="inlineStr">
        <is>
          <t>entrada</t>
        </is>
      </c>
    </row>
    <row r="470">
      <c r="A470" s="198" t="inlineStr">
        <is>
          <t>missao.4.49</t>
        </is>
      </c>
      <c r="B470" s="198">
        <f>TEXTJOIN(" · ",TRUE,'FICHA PESSOAL'!$BO$63,'FICHA PESSOAL'!$BP$63,'FICHA PESSOAL'!$BQ$63,'FICHA PESSOAL'!$BR$63,'FICHA PESSOAL'!$BS$63)</f>
        <v/>
      </c>
      <c r="C470" s="198">
        <f>"'FICHA PESSOAL'!BO63 'FICHA PESSOAL'!BP63 'FICHA PESSOAL'!BQ63 'FICHA PESSOAL'!BR63 'FICHA PESSOAL'!BS63"</f>
        <v/>
      </c>
      <c r="D470" s="198" t="inlineStr">
        <is>
          <t>entrada</t>
        </is>
      </c>
    </row>
    <row r="471">
      <c r="A471" s="198" t="inlineStr">
        <is>
          <t>missao.4.50</t>
        </is>
      </c>
      <c r="B471" s="198">
        <f>TEXTJOIN(" · ",TRUE,'FICHA PESSOAL'!$BO$64,'FICHA PESSOAL'!$BP$64,'FICHA PESSOAL'!$BQ$64,'FICHA PESSOAL'!$BR$64,'FICHA PESSOAL'!$BS$64)</f>
        <v/>
      </c>
      <c r="C471" s="198">
        <f>"'FICHA PESSOAL'!BO64 'FICHA PESSOAL'!BP64 'FICHA PESSOAL'!BQ64 'FICHA PESSOAL'!BR64 'FICHA PESSOAL'!BS64"</f>
        <v/>
      </c>
      <c r="D471" s="198" t="inlineStr">
        <is>
          <t>entrada</t>
        </is>
      </c>
    </row>
    <row r="472">
      <c r="A472" s="198" t="inlineStr">
        <is>
          <t>missao.4.51</t>
        </is>
      </c>
      <c r="B472" s="198">
        <f>TEXTJOIN(" · ",TRUE,'FICHA PESSOAL'!$BO$65,'FICHA PESSOAL'!$BP$65,'FICHA PESSOAL'!$BQ$65,'FICHA PESSOAL'!$BR$65,'FICHA PESSOAL'!$BS$65)</f>
        <v/>
      </c>
      <c r="C472" s="198">
        <f>"'FICHA PESSOAL'!BO65 'FICHA PESSOAL'!BP65 'FICHA PESSOAL'!BQ65 'FICHA PESSOAL'!BR65 'FICHA PESSOAL'!BS65"</f>
        <v/>
      </c>
      <c r="D472" s="198" t="inlineStr">
        <is>
          <t>entrada</t>
        </is>
      </c>
    </row>
    <row r="473">
      <c r="A473" s="198" t="inlineStr">
        <is>
          <t>missao.4.52</t>
        </is>
      </c>
      <c r="B473" s="198">
        <f>TEXTJOIN(" · ",TRUE,'FICHA PESSOAL'!$BO$66,'FICHA PESSOAL'!$BP$66,'FICHA PESSOAL'!$BQ$66,'FICHA PESSOAL'!$BR$66,'FICHA PESSOAL'!$BS$66)</f>
        <v/>
      </c>
      <c r="C473" s="198">
        <f>"'FICHA PESSOAL'!BO66 'FICHA PESSOAL'!BP66 'FICHA PESSOAL'!BQ66 'FICHA PESSOAL'!BR66 'FICHA PESSOAL'!BS66"</f>
        <v/>
      </c>
      <c r="D473" s="198" t="inlineStr">
        <is>
          <t>entrada</t>
        </is>
      </c>
    </row>
    <row r="474">
      <c r="A474" s="198" t="inlineStr">
        <is>
          <t>missao.4.53</t>
        </is>
      </c>
      <c r="B474" s="198">
        <f>TEXTJOIN(" · ",TRUE,'FICHA PESSOAL'!$BO$67,'FICHA PESSOAL'!$BP$67,'FICHA PESSOAL'!$BQ$67,'FICHA PESSOAL'!$BR$67,'FICHA PESSOAL'!$BS$67)</f>
        <v/>
      </c>
      <c r="C474" s="198">
        <f>"'FICHA PESSOAL'!BO67 'FICHA PESSOAL'!BP67 'FICHA PESSOAL'!BQ67 'FICHA PESSOAL'!BR67 'FICHA PESSOAL'!BS67"</f>
        <v/>
      </c>
      <c r="D474" s="198" t="inlineStr">
        <is>
          <t>entrada</t>
        </is>
      </c>
    </row>
    <row r="475">
      <c r="A475" s="198" t="inlineStr">
        <is>
          <t>missao.4.54</t>
        </is>
      </c>
      <c r="B475" s="198">
        <f>TEXTJOIN(" · ",TRUE,'FICHA PESSOAL'!$BO$68,'FICHA PESSOAL'!$BP$68,'FICHA PESSOAL'!$BQ$68,'FICHA PESSOAL'!$BR$68,'FICHA PESSOAL'!$BS$68)</f>
        <v/>
      </c>
      <c r="C475" s="198">
        <f>"'FICHA PESSOAL'!BO68 'FICHA PESSOAL'!BP68 'FICHA PESSOAL'!BQ68 'FICHA PESSOAL'!BR68 'FICHA PESSOAL'!BS68"</f>
        <v/>
      </c>
      <c r="D475" s="198" t="inlineStr">
        <is>
          <t>entrada</t>
        </is>
      </c>
    </row>
    <row r="476">
      <c r="A476" s="198" t="inlineStr">
        <is>
          <t>missao.4.55</t>
        </is>
      </c>
      <c r="B476" s="198">
        <f>TEXTJOIN(" · ",TRUE,'FICHA PESSOAL'!$BO$69,'FICHA PESSOAL'!$BP$69,'FICHA PESSOAL'!$BQ$69,'FICHA PESSOAL'!$BR$69,'FICHA PESSOAL'!$BS$69)</f>
        <v/>
      </c>
      <c r="C476" s="198">
        <f>"'FICHA PESSOAL'!BO69 'FICHA PESSOAL'!BP69 'FICHA PESSOAL'!BQ69 'FICHA PESSOAL'!BR69 'FICHA PESSOAL'!BS69"</f>
        <v/>
      </c>
      <c r="D476" s="198" t="inlineStr">
        <is>
          <t>entrada</t>
        </is>
      </c>
    </row>
    <row r="477">
      <c r="A477" s="198" t="inlineStr">
        <is>
          <t>missao.4.56</t>
        </is>
      </c>
      <c r="B477" s="198">
        <f>TEXTJOIN(" · ",TRUE,'FICHA PESSOAL'!$BO$70,'FICHA PESSOAL'!$BP$70,'FICHA PESSOAL'!$BQ$70,'FICHA PESSOAL'!$BR$70,'FICHA PESSOAL'!$BS$70)</f>
        <v/>
      </c>
      <c r="C477" s="198">
        <f>"'FICHA PESSOAL'!BO70 'FICHA PESSOAL'!BP70 'FICHA PESSOAL'!BQ70 'FICHA PESSOAL'!BR70 'FICHA PESSOAL'!BS70"</f>
        <v/>
      </c>
      <c r="D477" s="198" t="inlineStr">
        <is>
          <t>entrada</t>
        </is>
      </c>
    </row>
    <row r="478">
      <c r="A478" s="198" t="inlineStr">
        <is>
          <t>missao.4.57</t>
        </is>
      </c>
      <c r="B478" s="198">
        <f>TEXTJOIN(" · ",TRUE,'FICHA PESSOAL'!$BO$71,'FICHA PESSOAL'!$BP$71,'FICHA PESSOAL'!$BQ$71,'FICHA PESSOAL'!$BR$71,'FICHA PESSOAL'!$BS$71)</f>
        <v/>
      </c>
      <c r="C478" s="198">
        <f>"'FICHA PESSOAL'!BO71 'FICHA PESSOAL'!BP71 'FICHA PESSOAL'!BQ71 'FICHA PESSOAL'!BR71 'FICHA PESSOAL'!BS71"</f>
        <v/>
      </c>
      <c r="D478" s="198" t="inlineStr">
        <is>
          <t>entrada</t>
        </is>
      </c>
    </row>
    <row r="479">
      <c r="A479" s="198" t="inlineStr">
        <is>
          <t>missao.4.58</t>
        </is>
      </c>
      <c r="B479" s="198">
        <f>TEXTJOIN(" · ",TRUE,'FICHA PESSOAL'!$BO$72,'FICHA PESSOAL'!$BP$72,'FICHA PESSOAL'!$BQ$72,'FICHA PESSOAL'!$BR$72,'FICHA PESSOAL'!$BS$72)</f>
        <v/>
      </c>
      <c r="C479" s="198">
        <f>"'FICHA PESSOAL'!BO72 'FICHA PESSOAL'!BP72 'FICHA PESSOAL'!BQ72 'FICHA PESSOAL'!BR72 'FICHA PESSOAL'!BS72"</f>
        <v/>
      </c>
      <c r="D479" s="198" t="inlineStr">
        <is>
          <t>entrada</t>
        </is>
      </c>
    </row>
    <row r="480">
      <c r="A480" s="198" t="inlineStr">
        <is>
          <t>missao.4.59</t>
        </is>
      </c>
      <c r="B480" s="198">
        <f>TEXTJOIN(" · ",TRUE,'FICHA PESSOAL'!$BO$73,'FICHA PESSOAL'!$BP$73,'FICHA PESSOAL'!$BQ$73,'FICHA PESSOAL'!$BR$73,'FICHA PESSOAL'!$BS$73)</f>
        <v/>
      </c>
      <c r="C480" s="198">
        <f>"'FICHA PESSOAL'!BO73 'FICHA PESSOAL'!BP73 'FICHA PESSOAL'!BQ73 'FICHA PESSOAL'!BR73 'FICHA PESSOAL'!BS73"</f>
        <v/>
      </c>
      <c r="D480" s="198" t="inlineStr">
        <is>
          <t>entrada</t>
        </is>
      </c>
    </row>
    <row r="481">
      <c r="A481" s="198" t="inlineStr">
        <is>
          <t>missao.4.60</t>
        </is>
      </c>
      <c r="B481" s="198">
        <f>TEXTJOIN(" · ",TRUE,'FICHA PESSOAL'!$BO$74,'FICHA PESSOAL'!$BP$74,'FICHA PESSOAL'!$BQ$74,'FICHA PESSOAL'!$BR$74,'FICHA PESSOAL'!$BS$74)</f>
        <v/>
      </c>
      <c r="C481" s="198">
        <f>"'FICHA PESSOAL'!BO74 'FICHA PESSOAL'!BP74 'FICHA PESSOAL'!BQ74 'FICHA PESSOAL'!BR74 'FICHA PESSOAL'!BS74"</f>
        <v/>
      </c>
      <c r="D481" s="198" t="inlineStr">
        <is>
          <t>entrada</t>
        </is>
      </c>
    </row>
    <row r="482">
      <c r="A482" s="198" t="inlineStr">
        <is>
          <t>missao.4.61</t>
        </is>
      </c>
      <c r="B482" s="198">
        <f>TEXTJOIN(" · ",TRUE,'FICHA PESSOAL'!$BO$75,'FICHA PESSOAL'!$BP$75,'FICHA PESSOAL'!$BQ$75,'FICHA PESSOAL'!$BR$75,'FICHA PESSOAL'!$BS$75)</f>
        <v/>
      </c>
      <c r="C482" s="198">
        <f>"'FICHA PESSOAL'!BO75 'FICHA PESSOAL'!BP75 'FICHA PESSOAL'!BQ75 'FICHA PESSOAL'!BR75 'FICHA PESSOAL'!BS75"</f>
        <v/>
      </c>
      <c r="D482" s="198" t="inlineStr">
        <is>
          <t>entrada</t>
        </is>
      </c>
    </row>
    <row r="483">
      <c r="A483" s="198" t="inlineStr">
        <is>
          <t>missao.4.62</t>
        </is>
      </c>
      <c r="B483" s="198">
        <f>TEXTJOIN(" · ",TRUE,'FICHA PESSOAL'!$BO$76,'FICHA PESSOAL'!$BP$76,'FICHA PESSOAL'!$BQ$76,'FICHA PESSOAL'!$BR$76,'FICHA PESSOAL'!$BS$76)</f>
        <v/>
      </c>
      <c r="C483" s="198">
        <f>"'FICHA PESSOAL'!BO76 'FICHA PESSOAL'!BP76 'FICHA PESSOAL'!BQ76 'FICHA PESSOAL'!BR76 'FICHA PESSOAL'!BS76"</f>
        <v/>
      </c>
      <c r="D483" s="198" t="inlineStr">
        <is>
          <t>entrada</t>
        </is>
      </c>
    </row>
    <row r="484">
      <c r="A484" s="198" t="inlineStr">
        <is>
          <t>missao.4.63</t>
        </is>
      </c>
      <c r="B484" s="198">
        <f>TEXTJOIN(" · ",TRUE,'FICHA PESSOAL'!$BO$77,'FICHA PESSOAL'!$BP$77,'FICHA PESSOAL'!$BQ$77,'FICHA PESSOAL'!$BR$77,'FICHA PESSOAL'!$BS$77)</f>
        <v/>
      </c>
      <c r="C484" s="198">
        <f>"'FICHA PESSOAL'!BO77 'FICHA PESSOAL'!BP77 'FICHA PESSOAL'!BQ77 'FICHA PESSOAL'!BR77 'FICHA PESSOAL'!BS77"</f>
        <v/>
      </c>
      <c r="D484" s="198" t="inlineStr">
        <is>
          <t>entrada</t>
        </is>
      </c>
    </row>
    <row r="485">
      <c r="A485" s="198" t="inlineStr">
        <is>
          <t>missao.4.64</t>
        </is>
      </c>
      <c r="B485" s="198">
        <f>TEXTJOIN(" · ",TRUE,'FICHA PESSOAL'!$BO$78,'FICHA PESSOAL'!$BP$78,'FICHA PESSOAL'!$BQ$78,'FICHA PESSOAL'!$BR$78,'FICHA PESSOAL'!$BS$78)</f>
        <v/>
      </c>
      <c r="C485" s="198">
        <f>"'FICHA PESSOAL'!BO78 'FICHA PESSOAL'!BP78 'FICHA PESSOAL'!BQ78 'FICHA PESSOAL'!BR78 'FICHA PESSOAL'!BS78"</f>
        <v/>
      </c>
      <c r="D485" s="198" t="inlineStr">
        <is>
          <t>entrada</t>
        </is>
      </c>
    </row>
    <row r="486">
      <c r="A486" s="198" t="inlineStr">
        <is>
          <t>missao.4.65</t>
        </is>
      </c>
      <c r="B486" s="198">
        <f>TEXTJOIN(" · ",TRUE,'FICHA PESSOAL'!$BO$79,'FICHA PESSOAL'!$BP$79,'FICHA PESSOAL'!$BQ$79,'FICHA PESSOAL'!$BR$79,'FICHA PESSOAL'!$BS$79)</f>
        <v/>
      </c>
      <c r="C486" s="198">
        <f>"'FICHA PESSOAL'!BO79 'FICHA PESSOAL'!BP79 'FICHA PESSOAL'!BQ79 'FICHA PESSOAL'!BR79 'FICHA PESSOAL'!BS79"</f>
        <v/>
      </c>
      <c r="D486" s="198" t="inlineStr">
        <is>
          <t>entrada</t>
        </is>
      </c>
    </row>
    <row r="487">
      <c r="A487" s="198" t="inlineStr">
        <is>
          <t>missao.4.66</t>
        </is>
      </c>
      <c r="B487" s="198">
        <f>TEXTJOIN(" · ",TRUE,'FICHA PESSOAL'!$BO$80,'FICHA PESSOAL'!$BP$80,'FICHA PESSOAL'!$BQ$80,'FICHA PESSOAL'!$BR$80,'FICHA PESSOAL'!$BS$80)</f>
        <v/>
      </c>
      <c r="C487" s="198">
        <f>"'FICHA PESSOAL'!BO80 'FICHA PESSOAL'!BP80 'FICHA PESSOAL'!BQ80 'FICHA PESSOAL'!BR80 'FICHA PESSOAL'!BS80"</f>
        <v/>
      </c>
      <c r="D487" s="198" t="inlineStr">
        <is>
          <t>entrada</t>
        </is>
      </c>
    </row>
    <row r="488">
      <c r="A488" s="198" t="inlineStr">
        <is>
          <t>missao.4.67</t>
        </is>
      </c>
      <c r="B488" s="198">
        <f>TEXTJOIN(" · ",TRUE,'FICHA PESSOAL'!$BO$81,'FICHA PESSOAL'!$BP$81,'FICHA PESSOAL'!$BQ$81,'FICHA PESSOAL'!$BR$81,'FICHA PESSOAL'!$BS$81)</f>
        <v/>
      </c>
      <c r="C488" s="198">
        <f>"'FICHA PESSOAL'!BO81 'FICHA PESSOAL'!BP81 'FICHA PESSOAL'!BQ81 'FICHA PESSOAL'!BR81 'FICHA PESSOAL'!BS81"</f>
        <v/>
      </c>
      <c r="D488" s="198" t="inlineStr">
        <is>
          <t>entrada</t>
        </is>
      </c>
    </row>
    <row r="489">
      <c r="A489" s="198" t="inlineStr">
        <is>
          <t>missao.4.68</t>
        </is>
      </c>
      <c r="B489" s="198">
        <f>TEXTJOIN(" · ",TRUE,'FICHA PESSOAL'!$BO$82,'FICHA PESSOAL'!$BP$82,'FICHA PESSOAL'!$BQ$82,'FICHA PESSOAL'!$BR$82,'FICHA PESSOAL'!$BS$82)</f>
        <v/>
      </c>
      <c r="C489" s="198">
        <f>"'FICHA PESSOAL'!BO82 'FICHA PESSOAL'!BP82 'FICHA PESSOAL'!BQ82 'FICHA PESSOAL'!BR82 'FICHA PESSOAL'!BS82"</f>
        <v/>
      </c>
      <c r="D489" s="198" t="inlineStr">
        <is>
          <t>entrada</t>
        </is>
      </c>
    </row>
    <row r="490">
      <c r="A490" s="198" t="inlineStr">
        <is>
          <t>missao.4.69</t>
        </is>
      </c>
      <c r="B490" s="198">
        <f>TEXTJOIN(" · ",TRUE,'FICHA PESSOAL'!$BO$83,'FICHA PESSOAL'!$BP$83,'FICHA PESSOAL'!$BQ$83,'FICHA PESSOAL'!$BR$83,'FICHA PESSOAL'!$BS$83)</f>
        <v/>
      </c>
      <c r="C490" s="198">
        <f>"'FICHA PESSOAL'!BO83 'FICHA PESSOAL'!BP83 'FICHA PESSOAL'!BQ83 'FICHA PESSOAL'!BR83 'FICHA PESSOAL'!BS83"</f>
        <v/>
      </c>
      <c r="D490" s="198" t="inlineStr">
        <is>
          <t>entrada</t>
        </is>
      </c>
    </row>
    <row r="491">
      <c r="A491" s="198" t="inlineStr">
        <is>
          <t>missao.4.70</t>
        </is>
      </c>
      <c r="B491" s="198">
        <f>TEXTJOIN(" · ",TRUE,'FICHA PESSOAL'!$BO$84,'FICHA PESSOAL'!$BP$84,'FICHA PESSOAL'!$BQ$84,'FICHA PESSOAL'!$BR$84,'FICHA PESSOAL'!$BS$84)</f>
        <v/>
      </c>
      <c r="C491" s="198">
        <f>"'FICHA PESSOAL'!BO84 'FICHA PESSOAL'!BP84 'FICHA PESSOAL'!BQ84 'FICHA PESSOAL'!BR84 'FICHA PESSOAL'!BS84"</f>
        <v/>
      </c>
      <c r="D491" s="198" t="inlineStr">
        <is>
          <t>entrada</t>
        </is>
      </c>
    </row>
    <row r="492">
      <c r="A492" s="198" t="inlineStr">
        <is>
          <t>missao.4.71</t>
        </is>
      </c>
      <c r="B492" s="198">
        <f>TEXTJOIN(" · ",TRUE,'FICHA PESSOAL'!$BO$85,'FICHA PESSOAL'!$BP$85,'FICHA PESSOAL'!$BQ$85,'FICHA PESSOAL'!$BR$85,'FICHA PESSOAL'!$BS$85)</f>
        <v/>
      </c>
      <c r="C492" s="198">
        <f>"'FICHA PESSOAL'!BO85 'FICHA PESSOAL'!BP85 'FICHA PESSOAL'!BQ85 'FICHA PESSOAL'!BR85 'FICHA PESSOAL'!BS85"</f>
        <v/>
      </c>
      <c r="D492" s="198" t="inlineStr">
        <is>
          <t>entrada</t>
        </is>
      </c>
    </row>
    <row r="493">
      <c r="A493" s="198" t="inlineStr">
        <is>
          <t>missao.4.72</t>
        </is>
      </c>
      <c r="B493" s="198">
        <f>TEXTJOIN(" · ",TRUE,'FICHA PESSOAL'!$BO$86,'FICHA PESSOAL'!$BP$86,'FICHA PESSOAL'!$BQ$86,'FICHA PESSOAL'!$BR$86,'FICHA PESSOAL'!$BS$86)</f>
        <v/>
      </c>
      <c r="C493" s="198">
        <f>"'FICHA PESSOAL'!BO86 'FICHA PESSOAL'!BP86 'FICHA PESSOAL'!BQ86 'FICHA PESSOAL'!BR86 'FICHA PESSOAL'!BS86"</f>
        <v/>
      </c>
      <c r="D493" s="198" t="inlineStr">
        <is>
          <t>entrada</t>
        </is>
      </c>
    </row>
    <row r="494">
      <c r="A494" s="198" t="inlineStr">
        <is>
          <t>missao.4.73</t>
        </is>
      </c>
      <c r="B494" s="198">
        <f>TEXTJOIN(" · ",TRUE,'FICHA PESSOAL'!$BO$87,'FICHA PESSOAL'!$BP$87,'FICHA PESSOAL'!$BQ$87,'FICHA PESSOAL'!$BR$87,'FICHA PESSOAL'!$BS$87)</f>
        <v/>
      </c>
      <c r="C494" s="198">
        <f>"'FICHA PESSOAL'!BO87 'FICHA PESSOAL'!BP87 'FICHA PESSOAL'!BQ87 'FICHA PESSOAL'!BR87 'FICHA PESSOAL'!BS87"</f>
        <v/>
      </c>
      <c r="D494" s="198" t="inlineStr">
        <is>
          <t>entrada</t>
        </is>
      </c>
    </row>
    <row r="495">
      <c r="A495" s="198" t="inlineStr">
        <is>
          <t>feitico.1.classe</t>
        </is>
      </c>
      <c r="B495" s="198">
        <f>IF(ISBLANK(DADOS_AM!$EB$2),"",DADOS_AM!$EB$2&amp;"")</f>
        <v/>
      </c>
      <c r="C495" s="198" t="inlineStr">
        <is>
          <t>DADOS_AM!EB2</t>
        </is>
      </c>
      <c r="D495" s="198" t="inlineStr">
        <is>
          <t>entrada</t>
        </is>
      </c>
    </row>
    <row r="496">
      <c r="A496" s="198" t="inlineStr">
        <is>
          <t>feitico.1.nome</t>
        </is>
      </c>
      <c r="B496" s="198">
        <f>IF(ISBLANK(DADOS_AM!$EC$2),"",DADOS_AM!$EC$2&amp;"")</f>
        <v/>
      </c>
      <c r="C496" s="198" t="inlineStr">
        <is>
          <t>DADOS_AM!EC2</t>
        </is>
      </c>
      <c r="D496" s="198" t="inlineStr">
        <is>
          <t>entrada</t>
        </is>
      </c>
    </row>
    <row r="497">
      <c r="A497" s="198" t="inlineStr">
        <is>
          <t>feitico.1.forma</t>
        </is>
      </c>
      <c r="B497" s="198">
        <f>IF(ISBLANK(DADOS_AM!$ED$2),"",DADOS_AM!$ED$2&amp;"")</f>
        <v/>
      </c>
      <c r="C497" s="198" t="inlineStr">
        <is>
          <t>DADOS_AM!ED2</t>
        </is>
      </c>
      <c r="D497" s="198" t="inlineStr">
        <is>
          <t>entrada</t>
        </is>
      </c>
    </row>
    <row r="498">
      <c r="A498" s="198" t="inlineStr">
        <is>
          <t>feitico.1.pecas</t>
        </is>
      </c>
      <c r="B498" s="198">
        <f>TEXTJOIN(" · ",TRUE,DADOS_AM!$EE$2,DADOS_AM!$EF$2,DADOS_AM!$EG$2,DADOS_AM!$EH$2)</f>
        <v/>
      </c>
      <c r="C498" s="198" t="inlineStr">
        <is>
          <t>DADOS_AM!EE2 DADOS_AM!EF2 DADOS_AM!EG2 DADOS_AM!EH2</t>
        </is>
      </c>
      <c r="D498" s="198" t="inlineStr">
        <is>
          <t>entrada</t>
        </is>
      </c>
    </row>
    <row r="499">
      <c r="A499" s="198" t="inlineStr">
        <is>
          <t>feitico.1.restricoes</t>
        </is>
      </c>
      <c r="B499" s="198">
        <f>TEXTJOIN(" · ",TRUE,DADOS_AM!$EI$2,DADOS_AM!$EJ$2)</f>
        <v/>
      </c>
      <c r="C499" s="198" t="inlineStr">
        <is>
          <t>DADOS_AM!EI2 DADOS_AM!EJ2</t>
        </is>
      </c>
      <c r="D499" s="198" t="inlineStr">
        <is>
          <t>entrada</t>
        </is>
      </c>
    </row>
    <row r="500">
      <c r="A500" s="198" t="inlineStr">
        <is>
          <t>feitico.1.pe</t>
        </is>
      </c>
      <c r="B500" s="198">
        <f>IF(ISBLANK(DADOS_AM!$GR$2),"",DADOS_AM!$GR$2&amp;"")</f>
        <v/>
      </c>
      <c r="C500" s="198" t="inlineStr">
        <is>
          <t>DADOS_AM!GR2</t>
        </is>
      </c>
      <c r="D500" s="198" t="inlineStr">
        <is>
          <t>resultado</t>
        </is>
      </c>
    </row>
    <row r="501">
      <c r="A501" s="198" t="inlineStr">
        <is>
          <t>feitico.1.dano</t>
        </is>
      </c>
      <c r="B501" s="198">
        <f>IF(ISBLANK(DADOS_AM!$GU$2),"",DADOS_AM!$GU$2&amp;"")</f>
        <v/>
      </c>
      <c r="C501" s="198" t="inlineStr">
        <is>
          <t>DADOS_AM!GU2</t>
        </is>
      </c>
      <c r="D501" s="198" t="inlineStr">
        <is>
          <t>resultado</t>
        </is>
      </c>
    </row>
    <row r="502">
      <c r="A502" s="198" t="inlineStr">
        <is>
          <t>feitico.1.alcance</t>
        </is>
      </c>
      <c r="B502" s="198">
        <f>IF(ISBLANK(DADOS_AM!$GZ$2),"",DADOS_AM!$GZ$2&amp;"")</f>
        <v/>
      </c>
      <c r="C502" s="198" t="inlineStr">
        <is>
          <t>DADOS_AM!GZ2</t>
        </is>
      </c>
      <c r="D502" s="198" t="inlineStr">
        <is>
          <t>resultado</t>
        </is>
      </c>
    </row>
    <row r="503">
      <c r="A503" s="198" t="inlineStr">
        <is>
          <t>feitico.1.resolve</t>
        </is>
      </c>
      <c r="B503" s="198">
        <f>IF(ISBLANK(DADOS_AM!$GT$2),"",DADOS_AM!$GT$2&amp;"")</f>
        <v/>
      </c>
      <c r="C503" s="198" t="inlineStr">
        <is>
          <t>DADOS_AM!GT2</t>
        </is>
      </c>
      <c r="D503" s="198" t="inlineStr">
        <is>
          <t>resultado</t>
        </is>
      </c>
    </row>
    <row r="504">
      <c r="A504" s="198" t="inlineStr">
        <is>
          <t>feitico.1.erros</t>
        </is>
      </c>
      <c r="B504" s="198">
        <f>IF(ISBLANK(DADOS_AM!$GL$2),"",DADOS_AM!$GL$2&amp;"")</f>
        <v/>
      </c>
      <c r="C504" s="198" t="inlineStr">
        <is>
          <t>DADOS_AM!GL2</t>
        </is>
      </c>
      <c r="D504" s="198" t="inlineStr">
        <is>
          <t>aviso</t>
        </is>
      </c>
    </row>
    <row r="505">
      <c r="A505" s="198" t="inlineStr">
        <is>
          <t>feitico.1.avisos</t>
        </is>
      </c>
      <c r="B505" s="198">
        <f>IF(ISBLANK(DADOS_AM!$GN$2),"",DADOS_AM!$GN$2&amp;"")</f>
        <v/>
      </c>
      <c r="C505" s="198" t="inlineStr">
        <is>
          <t>DADOS_AM!GN2</t>
        </is>
      </c>
      <c r="D505" s="198" t="inlineStr">
        <is>
          <t>aviso</t>
        </is>
      </c>
    </row>
    <row r="506">
      <c r="A506" s="198" t="inlineStr">
        <is>
          <t>feitico.2.classe</t>
        </is>
      </c>
      <c r="B506" s="198">
        <f>IF(ISBLANK(DADOS_AM!$EB$3),"",DADOS_AM!$EB$3&amp;"")</f>
        <v/>
      </c>
      <c r="C506" s="198" t="inlineStr">
        <is>
          <t>DADOS_AM!EB3</t>
        </is>
      </c>
      <c r="D506" s="198" t="inlineStr">
        <is>
          <t>entrada</t>
        </is>
      </c>
    </row>
    <row r="507">
      <c r="A507" s="198" t="inlineStr">
        <is>
          <t>feitico.2.nome</t>
        </is>
      </c>
      <c r="B507" s="198">
        <f>IF(ISBLANK(DADOS_AM!$EC$3),"",DADOS_AM!$EC$3&amp;"")</f>
        <v/>
      </c>
      <c r="C507" s="198" t="inlineStr">
        <is>
          <t>DADOS_AM!EC3</t>
        </is>
      </c>
      <c r="D507" s="198" t="inlineStr">
        <is>
          <t>entrada</t>
        </is>
      </c>
    </row>
    <row r="508">
      <c r="A508" s="198" t="inlineStr">
        <is>
          <t>feitico.2.forma</t>
        </is>
      </c>
      <c r="B508" s="198">
        <f>IF(ISBLANK(DADOS_AM!$ED$3),"",DADOS_AM!$ED$3&amp;"")</f>
        <v/>
      </c>
      <c r="C508" s="198" t="inlineStr">
        <is>
          <t>DADOS_AM!ED3</t>
        </is>
      </c>
      <c r="D508" s="198" t="inlineStr">
        <is>
          <t>entrada</t>
        </is>
      </c>
    </row>
    <row r="509">
      <c r="A509" s="198" t="inlineStr">
        <is>
          <t>feitico.2.pecas</t>
        </is>
      </c>
      <c r="B509" s="198">
        <f>TEXTJOIN(" · ",TRUE,DADOS_AM!$EE$3,DADOS_AM!$EF$3,DADOS_AM!$EG$3,DADOS_AM!$EH$3)</f>
        <v/>
      </c>
      <c r="C509" s="198" t="inlineStr">
        <is>
          <t>DADOS_AM!EE3 DADOS_AM!EF3 DADOS_AM!EG3 DADOS_AM!EH3</t>
        </is>
      </c>
      <c r="D509" s="198" t="inlineStr">
        <is>
          <t>entrada</t>
        </is>
      </c>
    </row>
    <row r="510">
      <c r="A510" s="198" t="inlineStr">
        <is>
          <t>feitico.2.restricoes</t>
        </is>
      </c>
      <c r="B510" s="198">
        <f>TEXTJOIN(" · ",TRUE,DADOS_AM!$EI$3,DADOS_AM!$EJ$3)</f>
        <v/>
      </c>
      <c r="C510" s="198" t="inlineStr">
        <is>
          <t>DADOS_AM!EI3 DADOS_AM!EJ3</t>
        </is>
      </c>
      <c r="D510" s="198" t="inlineStr">
        <is>
          <t>entrada</t>
        </is>
      </c>
    </row>
    <row r="511">
      <c r="A511" s="198" t="inlineStr">
        <is>
          <t>feitico.2.pe</t>
        </is>
      </c>
      <c r="B511" s="198">
        <f>IF(ISBLANK(DADOS_AM!$GR$3),"",DADOS_AM!$GR$3&amp;"")</f>
        <v/>
      </c>
      <c r="C511" s="198" t="inlineStr">
        <is>
          <t>DADOS_AM!GR3</t>
        </is>
      </c>
      <c r="D511" s="198" t="inlineStr">
        <is>
          <t>resultado</t>
        </is>
      </c>
    </row>
    <row r="512">
      <c r="A512" s="198" t="inlineStr">
        <is>
          <t>feitico.2.dano</t>
        </is>
      </c>
      <c r="B512" s="198">
        <f>IF(ISBLANK(DADOS_AM!$GU$3),"",DADOS_AM!$GU$3&amp;"")</f>
        <v/>
      </c>
      <c r="C512" s="198" t="inlineStr">
        <is>
          <t>DADOS_AM!GU3</t>
        </is>
      </c>
      <c r="D512" s="198" t="inlineStr">
        <is>
          <t>resultado</t>
        </is>
      </c>
    </row>
    <row r="513">
      <c r="A513" s="198" t="inlineStr">
        <is>
          <t>feitico.2.alcance</t>
        </is>
      </c>
      <c r="B513" s="198">
        <f>IF(ISBLANK(DADOS_AM!$GZ$3),"",DADOS_AM!$GZ$3&amp;"")</f>
        <v/>
      </c>
      <c r="C513" s="198" t="inlineStr">
        <is>
          <t>DADOS_AM!GZ3</t>
        </is>
      </c>
      <c r="D513" s="198" t="inlineStr">
        <is>
          <t>resultado</t>
        </is>
      </c>
    </row>
    <row r="514">
      <c r="A514" s="198" t="inlineStr">
        <is>
          <t>feitico.2.resolve</t>
        </is>
      </c>
      <c r="B514" s="198">
        <f>IF(ISBLANK(DADOS_AM!$GT$3),"",DADOS_AM!$GT$3&amp;"")</f>
        <v/>
      </c>
      <c r="C514" s="198" t="inlineStr">
        <is>
          <t>DADOS_AM!GT3</t>
        </is>
      </c>
      <c r="D514" s="198" t="inlineStr">
        <is>
          <t>resultado</t>
        </is>
      </c>
    </row>
    <row r="515">
      <c r="A515" s="198" t="inlineStr">
        <is>
          <t>feitico.2.erros</t>
        </is>
      </c>
      <c r="B515" s="198">
        <f>IF(ISBLANK(DADOS_AM!$GL$3),"",DADOS_AM!$GL$3&amp;"")</f>
        <v/>
      </c>
      <c r="C515" s="198" t="inlineStr">
        <is>
          <t>DADOS_AM!GL3</t>
        </is>
      </c>
      <c r="D515" s="198" t="inlineStr">
        <is>
          <t>aviso</t>
        </is>
      </c>
    </row>
    <row r="516">
      <c r="A516" s="198" t="inlineStr">
        <is>
          <t>feitico.2.avisos</t>
        </is>
      </c>
      <c r="B516" s="198">
        <f>IF(ISBLANK(DADOS_AM!$GN$3),"",DADOS_AM!$GN$3&amp;"")</f>
        <v/>
      </c>
      <c r="C516" s="198" t="inlineStr">
        <is>
          <t>DADOS_AM!GN3</t>
        </is>
      </c>
      <c r="D516" s="198" t="inlineStr">
        <is>
          <t>aviso</t>
        </is>
      </c>
    </row>
    <row r="517">
      <c r="A517" s="198" t="inlineStr">
        <is>
          <t>feitico.3.classe</t>
        </is>
      </c>
      <c r="B517" s="198">
        <f>IF(ISBLANK(DADOS_AM!$EB$4),"",DADOS_AM!$EB$4&amp;"")</f>
        <v/>
      </c>
      <c r="C517" s="198" t="inlineStr">
        <is>
          <t>DADOS_AM!EB4</t>
        </is>
      </c>
      <c r="D517" s="198" t="inlineStr">
        <is>
          <t>entrada</t>
        </is>
      </c>
    </row>
    <row r="518">
      <c r="A518" s="198" t="inlineStr">
        <is>
          <t>feitico.3.nome</t>
        </is>
      </c>
      <c r="B518" s="198">
        <f>IF(ISBLANK(DADOS_AM!$EC$4),"",DADOS_AM!$EC$4&amp;"")</f>
        <v/>
      </c>
      <c r="C518" s="198" t="inlineStr">
        <is>
          <t>DADOS_AM!EC4</t>
        </is>
      </c>
      <c r="D518" s="198" t="inlineStr">
        <is>
          <t>entrada</t>
        </is>
      </c>
    </row>
    <row r="519">
      <c r="A519" s="198" t="inlineStr">
        <is>
          <t>feitico.3.forma</t>
        </is>
      </c>
      <c r="B519" s="198">
        <f>IF(ISBLANK(DADOS_AM!$ED$4),"",DADOS_AM!$ED$4&amp;"")</f>
        <v/>
      </c>
      <c r="C519" s="198" t="inlineStr">
        <is>
          <t>DADOS_AM!ED4</t>
        </is>
      </c>
      <c r="D519" s="198" t="inlineStr">
        <is>
          <t>entrada</t>
        </is>
      </c>
    </row>
    <row r="520">
      <c r="A520" s="198" t="inlineStr">
        <is>
          <t>feitico.3.pecas</t>
        </is>
      </c>
      <c r="B520" s="198">
        <f>TEXTJOIN(" · ",TRUE,DADOS_AM!$EE$4,DADOS_AM!$EF$4,DADOS_AM!$EG$4,DADOS_AM!$EH$4)</f>
        <v/>
      </c>
      <c r="C520" s="198" t="inlineStr">
        <is>
          <t>DADOS_AM!EE4 DADOS_AM!EF4 DADOS_AM!EG4 DADOS_AM!EH4</t>
        </is>
      </c>
      <c r="D520" s="198" t="inlineStr">
        <is>
          <t>entrada</t>
        </is>
      </c>
    </row>
    <row r="521">
      <c r="A521" s="198" t="inlineStr">
        <is>
          <t>feitico.3.restricoes</t>
        </is>
      </c>
      <c r="B521" s="198">
        <f>TEXTJOIN(" · ",TRUE,DADOS_AM!$EI$4,DADOS_AM!$EJ$4)</f>
        <v/>
      </c>
      <c r="C521" s="198" t="inlineStr">
        <is>
          <t>DADOS_AM!EI4 DADOS_AM!EJ4</t>
        </is>
      </c>
      <c r="D521" s="198" t="inlineStr">
        <is>
          <t>entrada</t>
        </is>
      </c>
    </row>
    <row r="522">
      <c r="A522" s="198" t="inlineStr">
        <is>
          <t>feitico.3.pe</t>
        </is>
      </c>
      <c r="B522" s="198">
        <f>IF(ISBLANK(DADOS_AM!$GR$4),"",DADOS_AM!$GR$4&amp;"")</f>
        <v/>
      </c>
      <c r="C522" s="198" t="inlineStr">
        <is>
          <t>DADOS_AM!GR4</t>
        </is>
      </c>
      <c r="D522" s="198" t="inlineStr">
        <is>
          <t>resultado</t>
        </is>
      </c>
    </row>
    <row r="523">
      <c r="A523" s="198" t="inlineStr">
        <is>
          <t>feitico.3.dano</t>
        </is>
      </c>
      <c r="B523" s="198">
        <f>IF(ISBLANK(DADOS_AM!$GU$4),"",DADOS_AM!$GU$4&amp;"")</f>
        <v/>
      </c>
      <c r="C523" s="198" t="inlineStr">
        <is>
          <t>DADOS_AM!GU4</t>
        </is>
      </c>
      <c r="D523" s="198" t="inlineStr">
        <is>
          <t>resultado</t>
        </is>
      </c>
    </row>
    <row r="524">
      <c r="A524" s="198" t="inlineStr">
        <is>
          <t>feitico.3.alcance</t>
        </is>
      </c>
      <c r="B524" s="198">
        <f>IF(ISBLANK(DADOS_AM!$GZ$4),"",DADOS_AM!$GZ$4&amp;"")</f>
        <v/>
      </c>
      <c r="C524" s="198" t="inlineStr">
        <is>
          <t>DADOS_AM!GZ4</t>
        </is>
      </c>
      <c r="D524" s="198" t="inlineStr">
        <is>
          <t>resultado</t>
        </is>
      </c>
    </row>
    <row r="525">
      <c r="A525" s="198" t="inlineStr">
        <is>
          <t>feitico.3.resolve</t>
        </is>
      </c>
      <c r="B525" s="198">
        <f>IF(ISBLANK(DADOS_AM!$GT$4),"",DADOS_AM!$GT$4&amp;"")</f>
        <v/>
      </c>
      <c r="C525" s="198" t="inlineStr">
        <is>
          <t>DADOS_AM!GT4</t>
        </is>
      </c>
      <c r="D525" s="198" t="inlineStr">
        <is>
          <t>resultado</t>
        </is>
      </c>
    </row>
    <row r="526">
      <c r="A526" s="198" t="inlineStr">
        <is>
          <t>feitico.3.erros</t>
        </is>
      </c>
      <c r="B526" s="198">
        <f>IF(ISBLANK(DADOS_AM!$GL$4),"",DADOS_AM!$GL$4&amp;"")</f>
        <v/>
      </c>
      <c r="C526" s="198" t="inlineStr">
        <is>
          <t>DADOS_AM!GL4</t>
        </is>
      </c>
      <c r="D526" s="198" t="inlineStr">
        <is>
          <t>aviso</t>
        </is>
      </c>
    </row>
    <row r="527">
      <c r="A527" s="198" t="inlineStr">
        <is>
          <t>feitico.3.avisos</t>
        </is>
      </c>
      <c r="B527" s="198">
        <f>IF(ISBLANK(DADOS_AM!$GN$4),"",DADOS_AM!$GN$4&amp;"")</f>
        <v/>
      </c>
      <c r="C527" s="198" t="inlineStr">
        <is>
          <t>DADOS_AM!GN4</t>
        </is>
      </c>
      <c r="D527" s="198" t="inlineStr">
        <is>
          <t>aviso</t>
        </is>
      </c>
    </row>
    <row r="528">
      <c r="A528" s="198" t="inlineStr">
        <is>
          <t>feitico.4.classe</t>
        </is>
      </c>
      <c r="B528" s="198">
        <f>IF(ISBLANK(DADOS_AM!$EB$5),"",DADOS_AM!$EB$5&amp;"")</f>
        <v/>
      </c>
      <c r="C528" s="198" t="inlineStr">
        <is>
          <t>DADOS_AM!EB5</t>
        </is>
      </c>
      <c r="D528" s="198" t="inlineStr">
        <is>
          <t>entrada</t>
        </is>
      </c>
    </row>
    <row r="529">
      <c r="A529" s="198" t="inlineStr">
        <is>
          <t>feitico.4.nome</t>
        </is>
      </c>
      <c r="B529" s="198">
        <f>IF(ISBLANK(DADOS_AM!$EC$5),"",DADOS_AM!$EC$5&amp;"")</f>
        <v/>
      </c>
      <c r="C529" s="198" t="inlineStr">
        <is>
          <t>DADOS_AM!EC5</t>
        </is>
      </c>
      <c r="D529" s="198" t="inlineStr">
        <is>
          <t>entrada</t>
        </is>
      </c>
    </row>
    <row r="530">
      <c r="A530" s="198" t="inlineStr">
        <is>
          <t>feitico.4.forma</t>
        </is>
      </c>
      <c r="B530" s="198">
        <f>IF(ISBLANK(DADOS_AM!$ED$5),"",DADOS_AM!$ED$5&amp;"")</f>
        <v/>
      </c>
      <c r="C530" s="198" t="inlineStr">
        <is>
          <t>DADOS_AM!ED5</t>
        </is>
      </c>
      <c r="D530" s="198" t="inlineStr">
        <is>
          <t>entrada</t>
        </is>
      </c>
    </row>
    <row r="531">
      <c r="A531" s="198" t="inlineStr">
        <is>
          <t>feitico.4.pecas</t>
        </is>
      </c>
      <c r="B531" s="198">
        <f>TEXTJOIN(" · ",TRUE,DADOS_AM!$EE$5,DADOS_AM!$EF$5,DADOS_AM!$EG$5,DADOS_AM!$EH$5)</f>
        <v/>
      </c>
      <c r="C531" s="198" t="inlineStr">
        <is>
          <t>DADOS_AM!EE5 DADOS_AM!EF5 DADOS_AM!EG5 DADOS_AM!EH5</t>
        </is>
      </c>
      <c r="D531" s="198" t="inlineStr">
        <is>
          <t>entrada</t>
        </is>
      </c>
    </row>
    <row r="532">
      <c r="A532" s="198" t="inlineStr">
        <is>
          <t>feitico.4.restricoes</t>
        </is>
      </c>
      <c r="B532" s="198">
        <f>TEXTJOIN(" · ",TRUE,DADOS_AM!$EI$5,DADOS_AM!$EJ$5)</f>
        <v/>
      </c>
      <c r="C532" s="198" t="inlineStr">
        <is>
          <t>DADOS_AM!EI5 DADOS_AM!EJ5</t>
        </is>
      </c>
      <c r="D532" s="198" t="inlineStr">
        <is>
          <t>entrada</t>
        </is>
      </c>
    </row>
    <row r="533">
      <c r="A533" s="198" t="inlineStr">
        <is>
          <t>feitico.4.pe</t>
        </is>
      </c>
      <c r="B533" s="198">
        <f>IF(ISBLANK(DADOS_AM!$GR$5),"",DADOS_AM!$GR$5&amp;"")</f>
        <v/>
      </c>
      <c r="C533" s="198" t="inlineStr">
        <is>
          <t>DADOS_AM!GR5</t>
        </is>
      </c>
      <c r="D533" s="198" t="inlineStr">
        <is>
          <t>resultado</t>
        </is>
      </c>
    </row>
    <row r="534">
      <c r="A534" s="198" t="inlineStr">
        <is>
          <t>feitico.4.dano</t>
        </is>
      </c>
      <c r="B534" s="198">
        <f>IF(ISBLANK(DADOS_AM!$GU$5),"",DADOS_AM!$GU$5&amp;"")</f>
        <v/>
      </c>
      <c r="C534" s="198" t="inlineStr">
        <is>
          <t>DADOS_AM!GU5</t>
        </is>
      </c>
      <c r="D534" s="198" t="inlineStr">
        <is>
          <t>resultado</t>
        </is>
      </c>
    </row>
    <row r="535">
      <c r="A535" s="198" t="inlineStr">
        <is>
          <t>feitico.4.alcance</t>
        </is>
      </c>
      <c r="B535" s="198">
        <f>IF(ISBLANK(DADOS_AM!$GZ$5),"",DADOS_AM!$GZ$5&amp;"")</f>
        <v/>
      </c>
      <c r="C535" s="198" t="inlineStr">
        <is>
          <t>DADOS_AM!GZ5</t>
        </is>
      </c>
      <c r="D535" s="198" t="inlineStr">
        <is>
          <t>resultado</t>
        </is>
      </c>
    </row>
    <row r="536">
      <c r="A536" s="198" t="inlineStr">
        <is>
          <t>feitico.4.resolve</t>
        </is>
      </c>
      <c r="B536" s="198">
        <f>IF(ISBLANK(DADOS_AM!$GT$5),"",DADOS_AM!$GT$5&amp;"")</f>
        <v/>
      </c>
      <c r="C536" s="198" t="inlineStr">
        <is>
          <t>DADOS_AM!GT5</t>
        </is>
      </c>
      <c r="D536" s="198" t="inlineStr">
        <is>
          <t>resultado</t>
        </is>
      </c>
    </row>
    <row r="537">
      <c r="A537" s="198" t="inlineStr">
        <is>
          <t>feitico.4.erros</t>
        </is>
      </c>
      <c r="B537" s="198">
        <f>IF(ISBLANK(DADOS_AM!$GL$5),"",DADOS_AM!$GL$5&amp;"")</f>
        <v/>
      </c>
      <c r="C537" s="198" t="inlineStr">
        <is>
          <t>DADOS_AM!GL5</t>
        </is>
      </c>
      <c r="D537" s="198" t="inlineStr">
        <is>
          <t>aviso</t>
        </is>
      </c>
    </row>
    <row r="538">
      <c r="A538" s="198" t="inlineStr">
        <is>
          <t>feitico.4.avisos</t>
        </is>
      </c>
      <c r="B538" s="198">
        <f>IF(ISBLANK(DADOS_AM!$GN$5),"",DADOS_AM!$GN$5&amp;"")</f>
        <v/>
      </c>
      <c r="C538" s="198" t="inlineStr">
        <is>
          <t>DADOS_AM!GN5</t>
        </is>
      </c>
      <c r="D538" s="198" t="inlineStr">
        <is>
          <t>aviso</t>
        </is>
      </c>
    </row>
    <row r="539">
      <c r="A539" s="198" t="inlineStr">
        <is>
          <t>feitico.5.classe</t>
        </is>
      </c>
      <c r="B539" s="198">
        <f>IF(ISBLANK(DADOS_AM!$EB$6),"",DADOS_AM!$EB$6&amp;"")</f>
        <v/>
      </c>
      <c r="C539" s="198" t="inlineStr">
        <is>
          <t>DADOS_AM!EB6</t>
        </is>
      </c>
      <c r="D539" s="198" t="inlineStr">
        <is>
          <t>entrada</t>
        </is>
      </c>
    </row>
    <row r="540">
      <c r="A540" s="198" t="inlineStr">
        <is>
          <t>feitico.5.nome</t>
        </is>
      </c>
      <c r="B540" s="198">
        <f>IF(ISBLANK(DADOS_AM!$EC$6),"",DADOS_AM!$EC$6&amp;"")</f>
        <v/>
      </c>
      <c r="C540" s="198" t="inlineStr">
        <is>
          <t>DADOS_AM!EC6</t>
        </is>
      </c>
      <c r="D540" s="198" t="inlineStr">
        <is>
          <t>entrada</t>
        </is>
      </c>
    </row>
    <row r="541">
      <c r="A541" s="198" t="inlineStr">
        <is>
          <t>feitico.5.forma</t>
        </is>
      </c>
      <c r="B541" s="198">
        <f>IF(ISBLANK(DADOS_AM!$ED$6),"",DADOS_AM!$ED$6&amp;"")</f>
        <v/>
      </c>
      <c r="C541" s="198" t="inlineStr">
        <is>
          <t>DADOS_AM!ED6</t>
        </is>
      </c>
      <c r="D541" s="198" t="inlineStr">
        <is>
          <t>entrada</t>
        </is>
      </c>
    </row>
    <row r="542">
      <c r="A542" s="198" t="inlineStr">
        <is>
          <t>feitico.5.pecas</t>
        </is>
      </c>
      <c r="B542" s="198">
        <f>TEXTJOIN(" · ",TRUE,DADOS_AM!$EE$6,DADOS_AM!$EF$6,DADOS_AM!$EG$6,DADOS_AM!$EH$6)</f>
        <v/>
      </c>
      <c r="C542" s="198" t="inlineStr">
        <is>
          <t>DADOS_AM!EE6 DADOS_AM!EF6 DADOS_AM!EG6 DADOS_AM!EH6</t>
        </is>
      </c>
      <c r="D542" s="198" t="inlineStr">
        <is>
          <t>entrada</t>
        </is>
      </c>
    </row>
    <row r="543">
      <c r="A543" s="198" t="inlineStr">
        <is>
          <t>feitico.5.restricoes</t>
        </is>
      </c>
      <c r="B543" s="198">
        <f>TEXTJOIN(" · ",TRUE,DADOS_AM!$EI$6,DADOS_AM!$EJ$6)</f>
        <v/>
      </c>
      <c r="C543" s="198" t="inlineStr">
        <is>
          <t>DADOS_AM!EI6 DADOS_AM!EJ6</t>
        </is>
      </c>
      <c r="D543" s="198" t="inlineStr">
        <is>
          <t>entrada</t>
        </is>
      </c>
    </row>
    <row r="544">
      <c r="A544" s="198" t="inlineStr">
        <is>
          <t>feitico.5.pe</t>
        </is>
      </c>
      <c r="B544" s="198">
        <f>IF(ISBLANK(DADOS_AM!$GR$6),"",DADOS_AM!$GR$6&amp;"")</f>
        <v/>
      </c>
      <c r="C544" s="198" t="inlineStr">
        <is>
          <t>DADOS_AM!GR6</t>
        </is>
      </c>
      <c r="D544" s="198" t="inlineStr">
        <is>
          <t>resultado</t>
        </is>
      </c>
    </row>
    <row r="545">
      <c r="A545" s="198" t="inlineStr">
        <is>
          <t>feitico.5.dano</t>
        </is>
      </c>
      <c r="B545" s="198">
        <f>IF(ISBLANK(DADOS_AM!$GU$6),"",DADOS_AM!$GU$6&amp;"")</f>
        <v/>
      </c>
      <c r="C545" s="198" t="inlineStr">
        <is>
          <t>DADOS_AM!GU6</t>
        </is>
      </c>
      <c r="D545" s="198" t="inlineStr">
        <is>
          <t>resultado</t>
        </is>
      </c>
    </row>
    <row r="546">
      <c r="A546" s="198" t="inlineStr">
        <is>
          <t>feitico.5.alcance</t>
        </is>
      </c>
      <c r="B546" s="198">
        <f>IF(ISBLANK(DADOS_AM!$GZ$6),"",DADOS_AM!$GZ$6&amp;"")</f>
        <v/>
      </c>
      <c r="C546" s="198" t="inlineStr">
        <is>
          <t>DADOS_AM!GZ6</t>
        </is>
      </c>
      <c r="D546" s="198" t="inlineStr">
        <is>
          <t>resultado</t>
        </is>
      </c>
    </row>
    <row r="547">
      <c r="A547" s="198" t="inlineStr">
        <is>
          <t>feitico.5.resolve</t>
        </is>
      </c>
      <c r="B547" s="198">
        <f>IF(ISBLANK(DADOS_AM!$GT$6),"",DADOS_AM!$GT$6&amp;"")</f>
        <v/>
      </c>
      <c r="C547" s="198" t="inlineStr">
        <is>
          <t>DADOS_AM!GT6</t>
        </is>
      </c>
      <c r="D547" s="198" t="inlineStr">
        <is>
          <t>resultado</t>
        </is>
      </c>
    </row>
    <row r="548">
      <c r="A548" s="198" t="inlineStr">
        <is>
          <t>feitico.5.erros</t>
        </is>
      </c>
      <c r="B548" s="198">
        <f>IF(ISBLANK(DADOS_AM!$GL$6),"",DADOS_AM!$GL$6&amp;"")</f>
        <v/>
      </c>
      <c r="C548" s="198" t="inlineStr">
        <is>
          <t>DADOS_AM!GL6</t>
        </is>
      </c>
      <c r="D548" s="198" t="inlineStr">
        <is>
          <t>aviso</t>
        </is>
      </c>
    </row>
    <row r="549">
      <c r="A549" s="198" t="inlineStr">
        <is>
          <t>feitico.5.avisos</t>
        </is>
      </c>
      <c r="B549" s="198">
        <f>IF(ISBLANK(DADOS_AM!$GN$6),"",DADOS_AM!$GN$6&amp;"")</f>
        <v/>
      </c>
      <c r="C549" s="198" t="inlineStr">
        <is>
          <t>DADOS_AM!GN6</t>
        </is>
      </c>
      <c r="D549" s="198" t="inlineStr">
        <is>
          <t>aviso</t>
        </is>
      </c>
    </row>
    <row r="550">
      <c r="A550" s="198" t="inlineStr">
        <is>
          <t>feitico.6.classe</t>
        </is>
      </c>
      <c r="B550" s="198">
        <f>IF(ISBLANK(DADOS_AM!$EB$7),"",DADOS_AM!$EB$7&amp;"")</f>
        <v/>
      </c>
      <c r="C550" s="198" t="inlineStr">
        <is>
          <t>DADOS_AM!EB7</t>
        </is>
      </c>
      <c r="D550" s="198" t="inlineStr">
        <is>
          <t>entrada</t>
        </is>
      </c>
    </row>
    <row r="551">
      <c r="A551" s="198" t="inlineStr">
        <is>
          <t>feitico.6.nome</t>
        </is>
      </c>
      <c r="B551" s="198">
        <f>IF(ISBLANK(DADOS_AM!$EC$7),"",DADOS_AM!$EC$7&amp;"")</f>
        <v/>
      </c>
      <c r="C551" s="198" t="inlineStr">
        <is>
          <t>DADOS_AM!EC7</t>
        </is>
      </c>
      <c r="D551" s="198" t="inlineStr">
        <is>
          <t>entrada</t>
        </is>
      </c>
    </row>
    <row r="552">
      <c r="A552" s="198" t="inlineStr">
        <is>
          <t>feitico.6.forma</t>
        </is>
      </c>
      <c r="B552" s="198">
        <f>IF(ISBLANK(DADOS_AM!$ED$7),"",DADOS_AM!$ED$7&amp;"")</f>
        <v/>
      </c>
      <c r="C552" s="198" t="inlineStr">
        <is>
          <t>DADOS_AM!ED7</t>
        </is>
      </c>
      <c r="D552" s="198" t="inlineStr">
        <is>
          <t>entrada</t>
        </is>
      </c>
    </row>
    <row r="553">
      <c r="A553" s="198" t="inlineStr">
        <is>
          <t>feitico.6.pecas</t>
        </is>
      </c>
      <c r="B553" s="198">
        <f>TEXTJOIN(" · ",TRUE,DADOS_AM!$EE$7,DADOS_AM!$EF$7,DADOS_AM!$EG$7,DADOS_AM!$EH$7)</f>
        <v/>
      </c>
      <c r="C553" s="198" t="inlineStr">
        <is>
          <t>DADOS_AM!EE7 DADOS_AM!EF7 DADOS_AM!EG7 DADOS_AM!EH7</t>
        </is>
      </c>
      <c r="D553" s="198" t="inlineStr">
        <is>
          <t>entrada</t>
        </is>
      </c>
    </row>
    <row r="554">
      <c r="A554" s="198" t="inlineStr">
        <is>
          <t>feitico.6.restricoes</t>
        </is>
      </c>
      <c r="B554" s="198">
        <f>TEXTJOIN(" · ",TRUE,DADOS_AM!$EI$7,DADOS_AM!$EJ$7)</f>
        <v/>
      </c>
      <c r="C554" s="198" t="inlineStr">
        <is>
          <t>DADOS_AM!EI7 DADOS_AM!EJ7</t>
        </is>
      </c>
      <c r="D554" s="198" t="inlineStr">
        <is>
          <t>entrada</t>
        </is>
      </c>
    </row>
    <row r="555">
      <c r="A555" s="198" t="inlineStr">
        <is>
          <t>feitico.6.pe</t>
        </is>
      </c>
      <c r="B555" s="198">
        <f>IF(ISBLANK(DADOS_AM!$GR$7),"",DADOS_AM!$GR$7&amp;"")</f>
        <v/>
      </c>
      <c r="C555" s="198" t="inlineStr">
        <is>
          <t>DADOS_AM!GR7</t>
        </is>
      </c>
      <c r="D555" s="198" t="inlineStr">
        <is>
          <t>resultado</t>
        </is>
      </c>
    </row>
    <row r="556">
      <c r="A556" s="198" t="inlineStr">
        <is>
          <t>feitico.6.dano</t>
        </is>
      </c>
      <c r="B556" s="198">
        <f>IF(ISBLANK(DADOS_AM!$GU$7),"",DADOS_AM!$GU$7&amp;"")</f>
        <v/>
      </c>
      <c r="C556" s="198" t="inlineStr">
        <is>
          <t>DADOS_AM!GU7</t>
        </is>
      </c>
      <c r="D556" s="198" t="inlineStr">
        <is>
          <t>resultado</t>
        </is>
      </c>
    </row>
    <row r="557">
      <c r="A557" s="198" t="inlineStr">
        <is>
          <t>feitico.6.alcance</t>
        </is>
      </c>
      <c r="B557" s="198">
        <f>IF(ISBLANK(DADOS_AM!$GZ$7),"",DADOS_AM!$GZ$7&amp;"")</f>
        <v/>
      </c>
      <c r="C557" s="198" t="inlineStr">
        <is>
          <t>DADOS_AM!GZ7</t>
        </is>
      </c>
      <c r="D557" s="198" t="inlineStr">
        <is>
          <t>resultado</t>
        </is>
      </c>
    </row>
    <row r="558">
      <c r="A558" s="198" t="inlineStr">
        <is>
          <t>feitico.6.resolve</t>
        </is>
      </c>
      <c r="B558" s="198">
        <f>IF(ISBLANK(DADOS_AM!$GT$7),"",DADOS_AM!$GT$7&amp;"")</f>
        <v/>
      </c>
      <c r="C558" s="198" t="inlineStr">
        <is>
          <t>DADOS_AM!GT7</t>
        </is>
      </c>
      <c r="D558" s="198" t="inlineStr">
        <is>
          <t>resultado</t>
        </is>
      </c>
    </row>
    <row r="559">
      <c r="A559" s="198" t="inlineStr">
        <is>
          <t>feitico.6.erros</t>
        </is>
      </c>
      <c r="B559" s="198">
        <f>IF(ISBLANK(DADOS_AM!$GL$7),"",DADOS_AM!$GL$7&amp;"")</f>
        <v/>
      </c>
      <c r="C559" s="198" t="inlineStr">
        <is>
          <t>DADOS_AM!GL7</t>
        </is>
      </c>
      <c r="D559" s="198" t="inlineStr">
        <is>
          <t>aviso</t>
        </is>
      </c>
    </row>
    <row r="560">
      <c r="A560" s="198" t="inlineStr">
        <is>
          <t>feitico.6.avisos</t>
        </is>
      </c>
      <c r="B560" s="198">
        <f>IF(ISBLANK(DADOS_AM!$GN$7),"",DADOS_AM!$GN$7&amp;"")</f>
        <v/>
      </c>
      <c r="C560" s="198" t="inlineStr">
        <is>
          <t>DADOS_AM!GN7</t>
        </is>
      </c>
      <c r="D560" s="198" t="inlineStr">
        <is>
          <t>aviso</t>
        </is>
      </c>
    </row>
    <row r="561">
      <c r="A561" s="198" t="inlineStr">
        <is>
          <t>feitico.7.classe</t>
        </is>
      </c>
      <c r="B561" s="198">
        <f>IF(ISBLANK(DADOS_AM!$EB$8),"",DADOS_AM!$EB$8&amp;"")</f>
        <v/>
      </c>
      <c r="C561" s="198" t="inlineStr">
        <is>
          <t>DADOS_AM!EB8</t>
        </is>
      </c>
      <c r="D561" s="198" t="inlineStr">
        <is>
          <t>entrada</t>
        </is>
      </c>
    </row>
    <row r="562">
      <c r="A562" s="198" t="inlineStr">
        <is>
          <t>feitico.7.nome</t>
        </is>
      </c>
      <c r="B562" s="198">
        <f>IF(ISBLANK(DADOS_AM!$EC$8),"",DADOS_AM!$EC$8&amp;"")</f>
        <v/>
      </c>
      <c r="C562" s="198" t="inlineStr">
        <is>
          <t>DADOS_AM!EC8</t>
        </is>
      </c>
      <c r="D562" s="198" t="inlineStr">
        <is>
          <t>entrada</t>
        </is>
      </c>
    </row>
    <row r="563">
      <c r="A563" s="198" t="inlineStr">
        <is>
          <t>feitico.7.forma</t>
        </is>
      </c>
      <c r="B563" s="198">
        <f>IF(ISBLANK(DADOS_AM!$ED$8),"",DADOS_AM!$ED$8&amp;"")</f>
        <v/>
      </c>
      <c r="C563" s="198" t="inlineStr">
        <is>
          <t>DADOS_AM!ED8</t>
        </is>
      </c>
      <c r="D563" s="198" t="inlineStr">
        <is>
          <t>entrada</t>
        </is>
      </c>
    </row>
    <row r="564">
      <c r="A564" s="198" t="inlineStr">
        <is>
          <t>feitico.7.pecas</t>
        </is>
      </c>
      <c r="B564" s="198">
        <f>TEXTJOIN(" · ",TRUE,DADOS_AM!$EE$8,DADOS_AM!$EF$8,DADOS_AM!$EG$8,DADOS_AM!$EH$8)</f>
        <v/>
      </c>
      <c r="C564" s="198" t="inlineStr">
        <is>
          <t>DADOS_AM!EE8 DADOS_AM!EF8 DADOS_AM!EG8 DADOS_AM!EH8</t>
        </is>
      </c>
      <c r="D564" s="198" t="inlineStr">
        <is>
          <t>entrada</t>
        </is>
      </c>
    </row>
    <row r="565">
      <c r="A565" s="198" t="inlineStr">
        <is>
          <t>feitico.7.restricoes</t>
        </is>
      </c>
      <c r="B565" s="198">
        <f>TEXTJOIN(" · ",TRUE,DADOS_AM!$EI$8,DADOS_AM!$EJ$8)</f>
        <v/>
      </c>
      <c r="C565" s="198" t="inlineStr">
        <is>
          <t>DADOS_AM!EI8 DADOS_AM!EJ8</t>
        </is>
      </c>
      <c r="D565" s="198" t="inlineStr">
        <is>
          <t>entrada</t>
        </is>
      </c>
    </row>
    <row r="566">
      <c r="A566" s="198" t="inlineStr">
        <is>
          <t>feitico.7.pe</t>
        </is>
      </c>
      <c r="B566" s="198">
        <f>IF(ISBLANK(DADOS_AM!$GR$8),"",DADOS_AM!$GR$8&amp;"")</f>
        <v/>
      </c>
      <c r="C566" s="198" t="inlineStr">
        <is>
          <t>DADOS_AM!GR8</t>
        </is>
      </c>
      <c r="D566" s="198" t="inlineStr">
        <is>
          <t>resultado</t>
        </is>
      </c>
    </row>
    <row r="567">
      <c r="A567" s="198" t="inlineStr">
        <is>
          <t>feitico.7.dano</t>
        </is>
      </c>
      <c r="B567" s="198">
        <f>IF(ISBLANK(DADOS_AM!$GU$8),"",DADOS_AM!$GU$8&amp;"")</f>
        <v/>
      </c>
      <c r="C567" s="198" t="inlineStr">
        <is>
          <t>DADOS_AM!GU8</t>
        </is>
      </c>
      <c r="D567" s="198" t="inlineStr">
        <is>
          <t>resultado</t>
        </is>
      </c>
    </row>
    <row r="568">
      <c r="A568" s="198" t="inlineStr">
        <is>
          <t>feitico.7.alcance</t>
        </is>
      </c>
      <c r="B568" s="198">
        <f>IF(ISBLANK(DADOS_AM!$GZ$8),"",DADOS_AM!$GZ$8&amp;"")</f>
        <v/>
      </c>
      <c r="C568" s="198" t="inlineStr">
        <is>
          <t>DADOS_AM!GZ8</t>
        </is>
      </c>
      <c r="D568" s="198" t="inlineStr">
        <is>
          <t>resultado</t>
        </is>
      </c>
    </row>
    <row r="569">
      <c r="A569" s="198" t="inlineStr">
        <is>
          <t>feitico.7.resolve</t>
        </is>
      </c>
      <c r="B569" s="198">
        <f>IF(ISBLANK(DADOS_AM!$GT$8),"",DADOS_AM!$GT$8&amp;"")</f>
        <v/>
      </c>
      <c r="C569" s="198" t="inlineStr">
        <is>
          <t>DADOS_AM!GT8</t>
        </is>
      </c>
      <c r="D569" s="198" t="inlineStr">
        <is>
          <t>resultado</t>
        </is>
      </c>
    </row>
    <row r="570">
      <c r="A570" s="198" t="inlineStr">
        <is>
          <t>feitico.7.erros</t>
        </is>
      </c>
      <c r="B570" s="198">
        <f>IF(ISBLANK(DADOS_AM!$GL$8),"",DADOS_AM!$GL$8&amp;"")</f>
        <v/>
      </c>
      <c r="C570" s="198" t="inlineStr">
        <is>
          <t>DADOS_AM!GL8</t>
        </is>
      </c>
      <c r="D570" s="198" t="inlineStr">
        <is>
          <t>aviso</t>
        </is>
      </c>
    </row>
    <row r="571">
      <c r="A571" s="198" t="inlineStr">
        <is>
          <t>feitico.7.avisos</t>
        </is>
      </c>
      <c r="B571" s="198">
        <f>IF(ISBLANK(DADOS_AM!$GN$8),"",DADOS_AM!$GN$8&amp;"")</f>
        <v/>
      </c>
      <c r="C571" s="198" t="inlineStr">
        <is>
          <t>DADOS_AM!GN8</t>
        </is>
      </c>
      <c r="D571" s="198" t="inlineStr">
        <is>
          <t>aviso</t>
        </is>
      </c>
    </row>
    <row r="572">
      <c r="A572" s="198" t="inlineStr">
        <is>
          <t>feitico.8.classe</t>
        </is>
      </c>
      <c r="B572" s="198">
        <f>IF(ISBLANK(DADOS_AM!$EB$9),"",DADOS_AM!$EB$9&amp;"")</f>
        <v/>
      </c>
      <c r="C572" s="198" t="inlineStr">
        <is>
          <t>DADOS_AM!EB9</t>
        </is>
      </c>
      <c r="D572" s="198" t="inlineStr">
        <is>
          <t>entrada</t>
        </is>
      </c>
    </row>
    <row r="573">
      <c r="A573" s="198" t="inlineStr">
        <is>
          <t>feitico.8.nome</t>
        </is>
      </c>
      <c r="B573" s="198">
        <f>IF(ISBLANK(DADOS_AM!$EC$9),"",DADOS_AM!$EC$9&amp;"")</f>
        <v/>
      </c>
      <c r="C573" s="198" t="inlineStr">
        <is>
          <t>DADOS_AM!EC9</t>
        </is>
      </c>
      <c r="D573" s="198" t="inlineStr">
        <is>
          <t>entrada</t>
        </is>
      </c>
    </row>
    <row r="574">
      <c r="A574" s="198" t="inlineStr">
        <is>
          <t>feitico.8.forma</t>
        </is>
      </c>
      <c r="B574" s="198">
        <f>IF(ISBLANK(DADOS_AM!$ED$9),"",DADOS_AM!$ED$9&amp;"")</f>
        <v/>
      </c>
      <c r="C574" s="198" t="inlineStr">
        <is>
          <t>DADOS_AM!ED9</t>
        </is>
      </c>
      <c r="D574" s="198" t="inlineStr">
        <is>
          <t>entrada</t>
        </is>
      </c>
    </row>
    <row r="575">
      <c r="A575" s="198" t="inlineStr">
        <is>
          <t>feitico.8.pecas</t>
        </is>
      </c>
      <c r="B575" s="198">
        <f>TEXTJOIN(" · ",TRUE,DADOS_AM!$EE$9,DADOS_AM!$EF$9,DADOS_AM!$EG$9,DADOS_AM!$EH$9)</f>
        <v/>
      </c>
      <c r="C575" s="198" t="inlineStr">
        <is>
          <t>DADOS_AM!EE9 DADOS_AM!EF9 DADOS_AM!EG9 DADOS_AM!EH9</t>
        </is>
      </c>
      <c r="D575" s="198" t="inlineStr">
        <is>
          <t>entrada</t>
        </is>
      </c>
    </row>
    <row r="576">
      <c r="A576" s="198" t="inlineStr">
        <is>
          <t>feitico.8.restricoes</t>
        </is>
      </c>
      <c r="B576" s="198">
        <f>TEXTJOIN(" · ",TRUE,DADOS_AM!$EI$9,DADOS_AM!$EJ$9)</f>
        <v/>
      </c>
      <c r="C576" s="198" t="inlineStr">
        <is>
          <t>DADOS_AM!EI9 DADOS_AM!EJ9</t>
        </is>
      </c>
      <c r="D576" s="198" t="inlineStr">
        <is>
          <t>entrada</t>
        </is>
      </c>
    </row>
    <row r="577">
      <c r="A577" s="198" t="inlineStr">
        <is>
          <t>feitico.8.pe</t>
        </is>
      </c>
      <c r="B577" s="198">
        <f>IF(ISBLANK(DADOS_AM!$GR$9),"",DADOS_AM!$GR$9&amp;"")</f>
        <v/>
      </c>
      <c r="C577" s="198" t="inlineStr">
        <is>
          <t>DADOS_AM!GR9</t>
        </is>
      </c>
      <c r="D577" s="198" t="inlineStr">
        <is>
          <t>resultado</t>
        </is>
      </c>
    </row>
    <row r="578">
      <c r="A578" s="198" t="inlineStr">
        <is>
          <t>feitico.8.dano</t>
        </is>
      </c>
      <c r="B578" s="198">
        <f>IF(ISBLANK(DADOS_AM!$GU$9),"",DADOS_AM!$GU$9&amp;"")</f>
        <v/>
      </c>
      <c r="C578" s="198" t="inlineStr">
        <is>
          <t>DADOS_AM!GU9</t>
        </is>
      </c>
      <c r="D578" s="198" t="inlineStr">
        <is>
          <t>resultado</t>
        </is>
      </c>
    </row>
    <row r="579">
      <c r="A579" s="198" t="inlineStr">
        <is>
          <t>feitico.8.alcance</t>
        </is>
      </c>
      <c r="B579" s="198">
        <f>IF(ISBLANK(DADOS_AM!$GZ$9),"",DADOS_AM!$GZ$9&amp;"")</f>
        <v/>
      </c>
      <c r="C579" s="198" t="inlineStr">
        <is>
          <t>DADOS_AM!GZ9</t>
        </is>
      </c>
      <c r="D579" s="198" t="inlineStr">
        <is>
          <t>resultado</t>
        </is>
      </c>
    </row>
    <row r="580">
      <c r="A580" s="198" t="inlineStr">
        <is>
          <t>feitico.8.resolve</t>
        </is>
      </c>
      <c r="B580" s="198">
        <f>IF(ISBLANK(DADOS_AM!$GT$9),"",DADOS_AM!$GT$9&amp;"")</f>
        <v/>
      </c>
      <c r="C580" s="198" t="inlineStr">
        <is>
          <t>DADOS_AM!GT9</t>
        </is>
      </c>
      <c r="D580" s="198" t="inlineStr">
        <is>
          <t>resultado</t>
        </is>
      </c>
    </row>
    <row r="581">
      <c r="A581" s="198" t="inlineStr">
        <is>
          <t>feitico.8.erros</t>
        </is>
      </c>
      <c r="B581" s="198">
        <f>IF(ISBLANK(DADOS_AM!$GL$9),"",DADOS_AM!$GL$9&amp;"")</f>
        <v/>
      </c>
      <c r="C581" s="198" t="inlineStr">
        <is>
          <t>DADOS_AM!GL9</t>
        </is>
      </c>
      <c r="D581" s="198" t="inlineStr">
        <is>
          <t>aviso</t>
        </is>
      </c>
    </row>
    <row r="582">
      <c r="A582" s="198" t="inlineStr">
        <is>
          <t>feitico.8.avisos</t>
        </is>
      </c>
      <c r="B582" s="198">
        <f>IF(ISBLANK(DADOS_AM!$GN$9),"",DADOS_AM!$GN$9&amp;"")</f>
        <v/>
      </c>
      <c r="C582" s="198" t="inlineStr">
        <is>
          <t>DADOS_AM!GN9</t>
        </is>
      </c>
      <c r="D582" s="198" t="inlineStr">
        <is>
          <t>aviso</t>
        </is>
      </c>
    </row>
    <row r="583">
      <c r="A583" s="198" t="inlineStr">
        <is>
          <t>feitico.9.classe</t>
        </is>
      </c>
      <c r="B583" s="198">
        <f>IF(ISBLANK(DADOS_AM!$EB$10),"",DADOS_AM!$EB$10&amp;"")</f>
        <v/>
      </c>
      <c r="C583" s="198" t="inlineStr">
        <is>
          <t>DADOS_AM!EB10</t>
        </is>
      </c>
      <c r="D583" s="198" t="inlineStr">
        <is>
          <t>entrada</t>
        </is>
      </c>
    </row>
    <row r="584">
      <c r="A584" s="198" t="inlineStr">
        <is>
          <t>feitico.9.nome</t>
        </is>
      </c>
      <c r="B584" s="198">
        <f>IF(ISBLANK(DADOS_AM!$EC$10),"",DADOS_AM!$EC$10&amp;"")</f>
        <v/>
      </c>
      <c r="C584" s="198" t="inlineStr">
        <is>
          <t>DADOS_AM!EC10</t>
        </is>
      </c>
      <c r="D584" s="198" t="inlineStr">
        <is>
          <t>entrada</t>
        </is>
      </c>
    </row>
    <row r="585">
      <c r="A585" s="198" t="inlineStr">
        <is>
          <t>feitico.9.forma</t>
        </is>
      </c>
      <c r="B585" s="198">
        <f>IF(ISBLANK(DADOS_AM!$ED$10),"",DADOS_AM!$ED$10&amp;"")</f>
        <v/>
      </c>
      <c r="C585" s="198" t="inlineStr">
        <is>
          <t>DADOS_AM!ED10</t>
        </is>
      </c>
      <c r="D585" s="198" t="inlineStr">
        <is>
          <t>entrada</t>
        </is>
      </c>
    </row>
    <row r="586">
      <c r="A586" s="198" t="inlineStr">
        <is>
          <t>feitico.9.pecas</t>
        </is>
      </c>
      <c r="B586" s="198">
        <f>TEXTJOIN(" · ",TRUE,DADOS_AM!$EE$10,DADOS_AM!$EF$10,DADOS_AM!$EG$10,DADOS_AM!$EH$10)</f>
        <v/>
      </c>
      <c r="C586" s="198" t="inlineStr">
        <is>
          <t>DADOS_AM!EE10 DADOS_AM!EF10 DADOS_AM!EG10 DADOS_AM!EH10</t>
        </is>
      </c>
      <c r="D586" s="198" t="inlineStr">
        <is>
          <t>entrada</t>
        </is>
      </c>
    </row>
    <row r="587">
      <c r="A587" s="198" t="inlineStr">
        <is>
          <t>feitico.9.restricoes</t>
        </is>
      </c>
      <c r="B587" s="198">
        <f>TEXTJOIN(" · ",TRUE,DADOS_AM!$EI$10,DADOS_AM!$EJ$10)</f>
        <v/>
      </c>
      <c r="C587" s="198" t="inlineStr">
        <is>
          <t>DADOS_AM!EI10 DADOS_AM!EJ10</t>
        </is>
      </c>
      <c r="D587" s="198" t="inlineStr">
        <is>
          <t>entrada</t>
        </is>
      </c>
    </row>
    <row r="588">
      <c r="A588" s="198" t="inlineStr">
        <is>
          <t>feitico.9.pe</t>
        </is>
      </c>
      <c r="B588" s="198">
        <f>IF(ISBLANK(DADOS_AM!$GR$10),"",DADOS_AM!$GR$10&amp;"")</f>
        <v/>
      </c>
      <c r="C588" s="198" t="inlineStr">
        <is>
          <t>DADOS_AM!GR10</t>
        </is>
      </c>
      <c r="D588" s="198" t="inlineStr">
        <is>
          <t>resultado</t>
        </is>
      </c>
    </row>
    <row r="589">
      <c r="A589" s="198" t="inlineStr">
        <is>
          <t>feitico.9.dano</t>
        </is>
      </c>
      <c r="B589" s="198">
        <f>IF(ISBLANK(DADOS_AM!$GU$10),"",DADOS_AM!$GU$10&amp;"")</f>
        <v/>
      </c>
      <c r="C589" s="198" t="inlineStr">
        <is>
          <t>DADOS_AM!GU10</t>
        </is>
      </c>
      <c r="D589" s="198" t="inlineStr">
        <is>
          <t>resultado</t>
        </is>
      </c>
    </row>
    <row r="590">
      <c r="A590" s="198" t="inlineStr">
        <is>
          <t>feitico.9.alcance</t>
        </is>
      </c>
      <c r="B590" s="198">
        <f>IF(ISBLANK(DADOS_AM!$GZ$10),"",DADOS_AM!$GZ$10&amp;"")</f>
        <v/>
      </c>
      <c r="C590" s="198" t="inlineStr">
        <is>
          <t>DADOS_AM!GZ10</t>
        </is>
      </c>
      <c r="D590" s="198" t="inlineStr">
        <is>
          <t>resultado</t>
        </is>
      </c>
    </row>
    <row r="591">
      <c r="A591" s="198" t="inlineStr">
        <is>
          <t>feitico.9.resolve</t>
        </is>
      </c>
      <c r="B591" s="198">
        <f>IF(ISBLANK(DADOS_AM!$GT$10),"",DADOS_AM!$GT$10&amp;"")</f>
        <v/>
      </c>
      <c r="C591" s="198" t="inlineStr">
        <is>
          <t>DADOS_AM!GT10</t>
        </is>
      </c>
      <c r="D591" s="198" t="inlineStr">
        <is>
          <t>resultado</t>
        </is>
      </c>
    </row>
    <row r="592">
      <c r="A592" s="198" t="inlineStr">
        <is>
          <t>feitico.9.erros</t>
        </is>
      </c>
      <c r="B592" s="198">
        <f>IF(ISBLANK(DADOS_AM!$GL$10),"",DADOS_AM!$GL$10&amp;"")</f>
        <v/>
      </c>
      <c r="C592" s="198" t="inlineStr">
        <is>
          <t>DADOS_AM!GL10</t>
        </is>
      </c>
      <c r="D592" s="198" t="inlineStr">
        <is>
          <t>aviso</t>
        </is>
      </c>
    </row>
    <row r="593">
      <c r="A593" s="198" t="inlineStr">
        <is>
          <t>feitico.9.avisos</t>
        </is>
      </c>
      <c r="B593" s="198">
        <f>IF(ISBLANK(DADOS_AM!$GN$10),"",DADOS_AM!$GN$10&amp;"")</f>
        <v/>
      </c>
      <c r="C593" s="198" t="inlineStr">
        <is>
          <t>DADOS_AM!GN10</t>
        </is>
      </c>
      <c r="D593" s="198" t="inlineStr">
        <is>
          <t>aviso</t>
        </is>
      </c>
    </row>
    <row r="594">
      <c r="A594" s="198" t="inlineStr">
        <is>
          <t>feitico.10.classe</t>
        </is>
      </c>
      <c r="B594" s="198">
        <f>IF(ISBLANK(DADOS_AM!$EB$11),"",DADOS_AM!$EB$11&amp;"")</f>
        <v/>
      </c>
      <c r="C594" s="198" t="inlineStr">
        <is>
          <t>DADOS_AM!EB11</t>
        </is>
      </c>
      <c r="D594" s="198" t="inlineStr">
        <is>
          <t>entrada</t>
        </is>
      </c>
    </row>
    <row r="595">
      <c r="A595" s="198" t="inlineStr">
        <is>
          <t>feitico.10.nome</t>
        </is>
      </c>
      <c r="B595" s="198">
        <f>IF(ISBLANK(DADOS_AM!$EC$11),"",DADOS_AM!$EC$11&amp;"")</f>
        <v/>
      </c>
      <c r="C595" s="198" t="inlineStr">
        <is>
          <t>DADOS_AM!EC11</t>
        </is>
      </c>
      <c r="D595" s="198" t="inlineStr">
        <is>
          <t>entrada</t>
        </is>
      </c>
    </row>
    <row r="596">
      <c r="A596" s="198" t="inlineStr">
        <is>
          <t>feitico.10.forma</t>
        </is>
      </c>
      <c r="B596" s="198">
        <f>IF(ISBLANK(DADOS_AM!$ED$11),"",DADOS_AM!$ED$11&amp;"")</f>
        <v/>
      </c>
      <c r="C596" s="198" t="inlineStr">
        <is>
          <t>DADOS_AM!ED11</t>
        </is>
      </c>
      <c r="D596" s="198" t="inlineStr">
        <is>
          <t>entrada</t>
        </is>
      </c>
    </row>
    <row r="597">
      <c r="A597" s="198" t="inlineStr">
        <is>
          <t>feitico.10.pecas</t>
        </is>
      </c>
      <c r="B597" s="198">
        <f>TEXTJOIN(" · ",TRUE,DADOS_AM!$EE$11,DADOS_AM!$EF$11,DADOS_AM!$EG$11,DADOS_AM!$EH$11)</f>
        <v/>
      </c>
      <c r="C597" s="198" t="inlineStr">
        <is>
          <t>DADOS_AM!EE11 DADOS_AM!EF11 DADOS_AM!EG11 DADOS_AM!EH11</t>
        </is>
      </c>
      <c r="D597" s="198" t="inlineStr">
        <is>
          <t>entrada</t>
        </is>
      </c>
    </row>
    <row r="598">
      <c r="A598" s="198" t="inlineStr">
        <is>
          <t>feitico.10.restricoes</t>
        </is>
      </c>
      <c r="B598" s="198">
        <f>TEXTJOIN(" · ",TRUE,DADOS_AM!$EI$11,DADOS_AM!$EJ$11)</f>
        <v/>
      </c>
      <c r="C598" s="198" t="inlineStr">
        <is>
          <t>DADOS_AM!EI11 DADOS_AM!EJ11</t>
        </is>
      </c>
      <c r="D598" s="198" t="inlineStr">
        <is>
          <t>entrada</t>
        </is>
      </c>
    </row>
    <row r="599">
      <c r="A599" s="198" t="inlineStr">
        <is>
          <t>feitico.10.pe</t>
        </is>
      </c>
      <c r="B599" s="198">
        <f>IF(ISBLANK(DADOS_AM!$GR$11),"",DADOS_AM!$GR$11&amp;"")</f>
        <v/>
      </c>
      <c r="C599" s="198" t="inlineStr">
        <is>
          <t>DADOS_AM!GR11</t>
        </is>
      </c>
      <c r="D599" s="198" t="inlineStr">
        <is>
          <t>resultado</t>
        </is>
      </c>
    </row>
    <row r="600">
      <c r="A600" s="198" t="inlineStr">
        <is>
          <t>feitico.10.dano</t>
        </is>
      </c>
      <c r="B600" s="198">
        <f>IF(ISBLANK(DADOS_AM!$GU$11),"",DADOS_AM!$GU$11&amp;"")</f>
        <v/>
      </c>
      <c r="C600" s="198" t="inlineStr">
        <is>
          <t>DADOS_AM!GU11</t>
        </is>
      </c>
      <c r="D600" s="198" t="inlineStr">
        <is>
          <t>resultado</t>
        </is>
      </c>
    </row>
    <row r="601">
      <c r="A601" s="198" t="inlineStr">
        <is>
          <t>feitico.10.alcance</t>
        </is>
      </c>
      <c r="B601" s="198">
        <f>IF(ISBLANK(DADOS_AM!$GZ$11),"",DADOS_AM!$GZ$11&amp;"")</f>
        <v/>
      </c>
      <c r="C601" s="198" t="inlineStr">
        <is>
          <t>DADOS_AM!GZ11</t>
        </is>
      </c>
      <c r="D601" s="198" t="inlineStr">
        <is>
          <t>resultado</t>
        </is>
      </c>
    </row>
    <row r="602">
      <c r="A602" s="198" t="inlineStr">
        <is>
          <t>feitico.10.resolve</t>
        </is>
      </c>
      <c r="B602" s="198">
        <f>IF(ISBLANK(DADOS_AM!$GT$11),"",DADOS_AM!$GT$11&amp;"")</f>
        <v/>
      </c>
      <c r="C602" s="198" t="inlineStr">
        <is>
          <t>DADOS_AM!GT11</t>
        </is>
      </c>
      <c r="D602" s="198" t="inlineStr">
        <is>
          <t>resultado</t>
        </is>
      </c>
    </row>
    <row r="603">
      <c r="A603" s="198" t="inlineStr">
        <is>
          <t>feitico.10.erros</t>
        </is>
      </c>
      <c r="B603" s="198">
        <f>IF(ISBLANK(DADOS_AM!$GL$11),"",DADOS_AM!$GL$11&amp;"")</f>
        <v/>
      </c>
      <c r="C603" s="198" t="inlineStr">
        <is>
          <t>DADOS_AM!GL11</t>
        </is>
      </c>
      <c r="D603" s="198" t="inlineStr">
        <is>
          <t>aviso</t>
        </is>
      </c>
    </row>
    <row r="604">
      <c r="A604" s="198" t="inlineStr">
        <is>
          <t>feitico.10.avisos</t>
        </is>
      </c>
      <c r="B604" s="198">
        <f>IF(ISBLANK(DADOS_AM!$GN$11),"",DADOS_AM!$GN$11&amp;"")</f>
        <v/>
      </c>
      <c r="C604" s="198" t="inlineStr">
        <is>
          <t>DADOS_AM!GN11</t>
        </is>
      </c>
      <c r="D604" s="198" t="inlineStr">
        <is>
          <t>aviso</t>
        </is>
      </c>
    </row>
    <row r="605">
      <c r="A605" s="198" t="inlineStr">
        <is>
          <t>feitico.11.classe</t>
        </is>
      </c>
      <c r="B605" s="198">
        <f>IF(ISBLANK(DADOS_AM!$EB$12),"",DADOS_AM!$EB$12&amp;"")</f>
        <v/>
      </c>
      <c r="C605" s="198" t="inlineStr">
        <is>
          <t>DADOS_AM!EB12</t>
        </is>
      </c>
      <c r="D605" s="198" t="inlineStr">
        <is>
          <t>entrada</t>
        </is>
      </c>
    </row>
    <row r="606">
      <c r="A606" s="198" t="inlineStr">
        <is>
          <t>feitico.11.nome</t>
        </is>
      </c>
      <c r="B606" s="198">
        <f>IF(ISBLANK(DADOS_AM!$EC$12),"",DADOS_AM!$EC$12&amp;"")</f>
        <v/>
      </c>
      <c r="C606" s="198" t="inlineStr">
        <is>
          <t>DADOS_AM!EC12</t>
        </is>
      </c>
      <c r="D606" s="198" t="inlineStr">
        <is>
          <t>entrada</t>
        </is>
      </c>
    </row>
    <row r="607">
      <c r="A607" s="198" t="inlineStr">
        <is>
          <t>feitico.11.forma</t>
        </is>
      </c>
      <c r="B607" s="198">
        <f>IF(ISBLANK(DADOS_AM!$ED$12),"",DADOS_AM!$ED$12&amp;"")</f>
        <v/>
      </c>
      <c r="C607" s="198" t="inlineStr">
        <is>
          <t>DADOS_AM!ED12</t>
        </is>
      </c>
      <c r="D607" s="198" t="inlineStr">
        <is>
          <t>entrada</t>
        </is>
      </c>
    </row>
    <row r="608">
      <c r="A608" s="198" t="inlineStr">
        <is>
          <t>feitico.11.pecas</t>
        </is>
      </c>
      <c r="B608" s="198">
        <f>TEXTJOIN(" · ",TRUE,DADOS_AM!$EE$12,DADOS_AM!$EF$12,DADOS_AM!$EG$12,DADOS_AM!$EH$12)</f>
        <v/>
      </c>
      <c r="C608" s="198" t="inlineStr">
        <is>
          <t>DADOS_AM!EE12 DADOS_AM!EF12 DADOS_AM!EG12 DADOS_AM!EH12</t>
        </is>
      </c>
      <c r="D608" s="198" t="inlineStr">
        <is>
          <t>entrada</t>
        </is>
      </c>
    </row>
    <row r="609">
      <c r="A609" s="198" t="inlineStr">
        <is>
          <t>feitico.11.restricoes</t>
        </is>
      </c>
      <c r="B609" s="198">
        <f>TEXTJOIN(" · ",TRUE,DADOS_AM!$EI$12,DADOS_AM!$EJ$12)</f>
        <v/>
      </c>
      <c r="C609" s="198" t="inlineStr">
        <is>
          <t>DADOS_AM!EI12 DADOS_AM!EJ12</t>
        </is>
      </c>
      <c r="D609" s="198" t="inlineStr">
        <is>
          <t>entrada</t>
        </is>
      </c>
    </row>
    <row r="610">
      <c r="A610" s="198" t="inlineStr">
        <is>
          <t>feitico.11.pe</t>
        </is>
      </c>
      <c r="B610" s="198">
        <f>IF(ISBLANK(DADOS_AM!$GR$12),"",DADOS_AM!$GR$12&amp;"")</f>
        <v/>
      </c>
      <c r="C610" s="198" t="inlineStr">
        <is>
          <t>DADOS_AM!GR12</t>
        </is>
      </c>
      <c r="D610" s="198" t="inlineStr">
        <is>
          <t>resultado</t>
        </is>
      </c>
    </row>
    <row r="611">
      <c r="A611" s="198" t="inlineStr">
        <is>
          <t>feitico.11.dano</t>
        </is>
      </c>
      <c r="B611" s="198">
        <f>IF(ISBLANK(DADOS_AM!$GU$12),"",DADOS_AM!$GU$12&amp;"")</f>
        <v/>
      </c>
      <c r="C611" s="198" t="inlineStr">
        <is>
          <t>DADOS_AM!GU12</t>
        </is>
      </c>
      <c r="D611" s="198" t="inlineStr">
        <is>
          <t>resultado</t>
        </is>
      </c>
    </row>
    <row r="612">
      <c r="A612" s="198" t="inlineStr">
        <is>
          <t>feitico.11.alcance</t>
        </is>
      </c>
      <c r="B612" s="198">
        <f>IF(ISBLANK(DADOS_AM!$GZ$12),"",DADOS_AM!$GZ$12&amp;"")</f>
        <v/>
      </c>
      <c r="C612" s="198" t="inlineStr">
        <is>
          <t>DADOS_AM!GZ12</t>
        </is>
      </c>
      <c r="D612" s="198" t="inlineStr">
        <is>
          <t>resultado</t>
        </is>
      </c>
    </row>
    <row r="613">
      <c r="A613" s="198" t="inlineStr">
        <is>
          <t>feitico.11.resolve</t>
        </is>
      </c>
      <c r="B613" s="198">
        <f>IF(ISBLANK(DADOS_AM!$GT$12),"",DADOS_AM!$GT$12&amp;"")</f>
        <v/>
      </c>
      <c r="C613" s="198" t="inlineStr">
        <is>
          <t>DADOS_AM!GT12</t>
        </is>
      </c>
      <c r="D613" s="198" t="inlineStr">
        <is>
          <t>resultado</t>
        </is>
      </c>
    </row>
    <row r="614">
      <c r="A614" s="198" t="inlineStr">
        <is>
          <t>feitico.11.erros</t>
        </is>
      </c>
      <c r="B614" s="198">
        <f>IF(ISBLANK(DADOS_AM!$GL$12),"",DADOS_AM!$GL$12&amp;"")</f>
        <v/>
      </c>
      <c r="C614" s="198" t="inlineStr">
        <is>
          <t>DADOS_AM!GL12</t>
        </is>
      </c>
      <c r="D614" s="198" t="inlineStr">
        <is>
          <t>aviso</t>
        </is>
      </c>
    </row>
    <row r="615">
      <c r="A615" s="198" t="inlineStr">
        <is>
          <t>feitico.11.avisos</t>
        </is>
      </c>
      <c r="B615" s="198">
        <f>IF(ISBLANK(DADOS_AM!$GN$12),"",DADOS_AM!$GN$12&amp;"")</f>
        <v/>
      </c>
      <c r="C615" s="198" t="inlineStr">
        <is>
          <t>DADOS_AM!GN12</t>
        </is>
      </c>
      <c r="D615" s="198" t="inlineStr">
        <is>
          <t>aviso</t>
        </is>
      </c>
    </row>
    <row r="616">
      <c r="A616" s="198" t="inlineStr">
        <is>
          <t>feitico.12.classe</t>
        </is>
      </c>
      <c r="B616" s="198">
        <f>IF(ISBLANK(DADOS_AM!$EB$13),"",DADOS_AM!$EB$13&amp;"")</f>
        <v/>
      </c>
      <c r="C616" s="198" t="inlineStr">
        <is>
          <t>DADOS_AM!EB13</t>
        </is>
      </c>
      <c r="D616" s="198" t="inlineStr">
        <is>
          <t>entrada</t>
        </is>
      </c>
    </row>
    <row r="617">
      <c r="A617" s="198" t="inlineStr">
        <is>
          <t>feitico.12.nome</t>
        </is>
      </c>
      <c r="B617" s="198">
        <f>IF(ISBLANK(DADOS_AM!$EC$13),"",DADOS_AM!$EC$13&amp;"")</f>
        <v/>
      </c>
      <c r="C617" s="198" t="inlineStr">
        <is>
          <t>DADOS_AM!EC13</t>
        </is>
      </c>
      <c r="D617" s="198" t="inlineStr">
        <is>
          <t>entrada</t>
        </is>
      </c>
    </row>
    <row r="618">
      <c r="A618" s="198" t="inlineStr">
        <is>
          <t>feitico.12.forma</t>
        </is>
      </c>
      <c r="B618" s="198">
        <f>IF(ISBLANK(DADOS_AM!$ED$13),"",DADOS_AM!$ED$13&amp;"")</f>
        <v/>
      </c>
      <c r="C618" s="198" t="inlineStr">
        <is>
          <t>DADOS_AM!ED13</t>
        </is>
      </c>
      <c r="D618" s="198" t="inlineStr">
        <is>
          <t>entrada</t>
        </is>
      </c>
    </row>
    <row r="619">
      <c r="A619" s="198" t="inlineStr">
        <is>
          <t>feitico.12.pecas</t>
        </is>
      </c>
      <c r="B619" s="198">
        <f>TEXTJOIN(" · ",TRUE,DADOS_AM!$EE$13,DADOS_AM!$EF$13,DADOS_AM!$EG$13,DADOS_AM!$EH$13)</f>
        <v/>
      </c>
      <c r="C619" s="198" t="inlineStr">
        <is>
          <t>DADOS_AM!EE13 DADOS_AM!EF13 DADOS_AM!EG13 DADOS_AM!EH13</t>
        </is>
      </c>
      <c r="D619" s="198" t="inlineStr">
        <is>
          <t>entrada</t>
        </is>
      </c>
    </row>
    <row r="620">
      <c r="A620" s="198" t="inlineStr">
        <is>
          <t>feitico.12.restricoes</t>
        </is>
      </c>
      <c r="B620" s="198">
        <f>TEXTJOIN(" · ",TRUE,DADOS_AM!$EI$13,DADOS_AM!$EJ$13)</f>
        <v/>
      </c>
      <c r="C620" s="198" t="inlineStr">
        <is>
          <t>DADOS_AM!EI13 DADOS_AM!EJ13</t>
        </is>
      </c>
      <c r="D620" s="198" t="inlineStr">
        <is>
          <t>entrada</t>
        </is>
      </c>
    </row>
    <row r="621">
      <c r="A621" s="198" t="inlineStr">
        <is>
          <t>feitico.12.pe</t>
        </is>
      </c>
      <c r="B621" s="198">
        <f>IF(ISBLANK(DADOS_AM!$GR$13),"",DADOS_AM!$GR$13&amp;"")</f>
        <v/>
      </c>
      <c r="C621" s="198" t="inlineStr">
        <is>
          <t>DADOS_AM!GR13</t>
        </is>
      </c>
      <c r="D621" s="198" t="inlineStr">
        <is>
          <t>resultado</t>
        </is>
      </c>
    </row>
    <row r="622">
      <c r="A622" s="198" t="inlineStr">
        <is>
          <t>feitico.12.dano</t>
        </is>
      </c>
      <c r="B622" s="198">
        <f>IF(ISBLANK(DADOS_AM!$GU$13),"",DADOS_AM!$GU$13&amp;"")</f>
        <v/>
      </c>
      <c r="C622" s="198" t="inlineStr">
        <is>
          <t>DADOS_AM!GU13</t>
        </is>
      </c>
      <c r="D622" s="198" t="inlineStr">
        <is>
          <t>resultado</t>
        </is>
      </c>
    </row>
    <row r="623">
      <c r="A623" s="198" t="inlineStr">
        <is>
          <t>feitico.12.alcance</t>
        </is>
      </c>
      <c r="B623" s="198">
        <f>IF(ISBLANK(DADOS_AM!$GZ$13),"",DADOS_AM!$GZ$13&amp;"")</f>
        <v/>
      </c>
      <c r="C623" s="198" t="inlineStr">
        <is>
          <t>DADOS_AM!GZ13</t>
        </is>
      </c>
      <c r="D623" s="198" t="inlineStr">
        <is>
          <t>resultado</t>
        </is>
      </c>
    </row>
    <row r="624">
      <c r="A624" s="198" t="inlineStr">
        <is>
          <t>feitico.12.resolve</t>
        </is>
      </c>
      <c r="B624" s="198">
        <f>IF(ISBLANK(DADOS_AM!$GT$13),"",DADOS_AM!$GT$13&amp;"")</f>
        <v/>
      </c>
      <c r="C624" s="198" t="inlineStr">
        <is>
          <t>DADOS_AM!GT13</t>
        </is>
      </c>
      <c r="D624" s="198" t="inlineStr">
        <is>
          <t>resultado</t>
        </is>
      </c>
    </row>
    <row r="625">
      <c r="A625" s="198" t="inlineStr">
        <is>
          <t>feitico.12.erros</t>
        </is>
      </c>
      <c r="B625" s="198">
        <f>IF(ISBLANK(DADOS_AM!$GL$13),"",DADOS_AM!$GL$13&amp;"")</f>
        <v/>
      </c>
      <c r="C625" s="198" t="inlineStr">
        <is>
          <t>DADOS_AM!GL13</t>
        </is>
      </c>
      <c r="D625" s="198" t="inlineStr">
        <is>
          <t>aviso</t>
        </is>
      </c>
    </row>
    <row r="626">
      <c r="A626" s="198" t="inlineStr">
        <is>
          <t>feitico.12.avisos</t>
        </is>
      </c>
      <c r="B626" s="198">
        <f>IF(ISBLANK(DADOS_AM!$GN$13),"",DADOS_AM!$GN$13&amp;"")</f>
        <v/>
      </c>
      <c r="C626" s="198" t="inlineStr">
        <is>
          <t>DADOS_AM!GN13</t>
        </is>
      </c>
      <c r="D626" s="198" t="inlineStr">
        <is>
          <t>aviso</t>
        </is>
      </c>
    </row>
    <row r="627">
      <c r="A627" s="198" t="inlineStr">
        <is>
          <t>feitico.13.classe</t>
        </is>
      </c>
      <c r="B627" s="198">
        <f>IF(ISBLANK(DADOS_AM!$EB$14),"",DADOS_AM!$EB$14&amp;"")</f>
        <v/>
      </c>
      <c r="C627" s="198" t="inlineStr">
        <is>
          <t>DADOS_AM!EB14</t>
        </is>
      </c>
      <c r="D627" s="198" t="inlineStr">
        <is>
          <t>entrada</t>
        </is>
      </c>
    </row>
    <row r="628">
      <c r="A628" s="198" t="inlineStr">
        <is>
          <t>feitico.13.nome</t>
        </is>
      </c>
      <c r="B628" s="198">
        <f>IF(ISBLANK(DADOS_AM!$EC$14),"",DADOS_AM!$EC$14&amp;"")</f>
        <v/>
      </c>
      <c r="C628" s="198" t="inlineStr">
        <is>
          <t>DADOS_AM!EC14</t>
        </is>
      </c>
      <c r="D628" s="198" t="inlineStr">
        <is>
          <t>entrada</t>
        </is>
      </c>
    </row>
    <row r="629">
      <c r="A629" s="198" t="inlineStr">
        <is>
          <t>feitico.13.forma</t>
        </is>
      </c>
      <c r="B629" s="198">
        <f>IF(ISBLANK(DADOS_AM!$ED$14),"",DADOS_AM!$ED$14&amp;"")</f>
        <v/>
      </c>
      <c r="C629" s="198" t="inlineStr">
        <is>
          <t>DADOS_AM!ED14</t>
        </is>
      </c>
      <c r="D629" s="198" t="inlineStr">
        <is>
          <t>entrada</t>
        </is>
      </c>
    </row>
    <row r="630">
      <c r="A630" s="198" t="inlineStr">
        <is>
          <t>feitico.13.pecas</t>
        </is>
      </c>
      <c r="B630" s="198">
        <f>TEXTJOIN(" · ",TRUE,DADOS_AM!$EE$14,DADOS_AM!$EF$14,DADOS_AM!$EG$14,DADOS_AM!$EH$14)</f>
        <v/>
      </c>
      <c r="C630" s="198" t="inlineStr">
        <is>
          <t>DADOS_AM!EE14 DADOS_AM!EF14 DADOS_AM!EG14 DADOS_AM!EH14</t>
        </is>
      </c>
      <c r="D630" s="198" t="inlineStr">
        <is>
          <t>entrada</t>
        </is>
      </c>
    </row>
    <row r="631">
      <c r="A631" s="198" t="inlineStr">
        <is>
          <t>feitico.13.restricoes</t>
        </is>
      </c>
      <c r="B631" s="198">
        <f>TEXTJOIN(" · ",TRUE,DADOS_AM!$EI$14,DADOS_AM!$EJ$14)</f>
        <v/>
      </c>
      <c r="C631" s="198" t="inlineStr">
        <is>
          <t>DADOS_AM!EI14 DADOS_AM!EJ14</t>
        </is>
      </c>
      <c r="D631" s="198" t="inlineStr">
        <is>
          <t>entrada</t>
        </is>
      </c>
    </row>
    <row r="632">
      <c r="A632" s="198" t="inlineStr">
        <is>
          <t>feitico.13.pe</t>
        </is>
      </c>
      <c r="B632" s="198">
        <f>IF(ISBLANK(DADOS_AM!$GR$14),"",DADOS_AM!$GR$14&amp;"")</f>
        <v/>
      </c>
      <c r="C632" s="198" t="inlineStr">
        <is>
          <t>DADOS_AM!GR14</t>
        </is>
      </c>
      <c r="D632" s="198" t="inlineStr">
        <is>
          <t>resultado</t>
        </is>
      </c>
    </row>
    <row r="633">
      <c r="A633" s="198" t="inlineStr">
        <is>
          <t>feitico.13.dano</t>
        </is>
      </c>
      <c r="B633" s="198">
        <f>IF(ISBLANK(DADOS_AM!$GU$14),"",DADOS_AM!$GU$14&amp;"")</f>
        <v/>
      </c>
      <c r="C633" s="198" t="inlineStr">
        <is>
          <t>DADOS_AM!GU14</t>
        </is>
      </c>
      <c r="D633" s="198" t="inlineStr">
        <is>
          <t>resultado</t>
        </is>
      </c>
    </row>
    <row r="634">
      <c r="A634" s="198" t="inlineStr">
        <is>
          <t>feitico.13.alcance</t>
        </is>
      </c>
      <c r="B634" s="198">
        <f>IF(ISBLANK(DADOS_AM!$GZ$14),"",DADOS_AM!$GZ$14&amp;"")</f>
        <v/>
      </c>
      <c r="C634" s="198" t="inlineStr">
        <is>
          <t>DADOS_AM!GZ14</t>
        </is>
      </c>
      <c r="D634" s="198" t="inlineStr">
        <is>
          <t>resultado</t>
        </is>
      </c>
    </row>
    <row r="635">
      <c r="A635" s="198" t="inlineStr">
        <is>
          <t>feitico.13.resolve</t>
        </is>
      </c>
      <c r="B635" s="198">
        <f>IF(ISBLANK(DADOS_AM!$GT$14),"",DADOS_AM!$GT$14&amp;"")</f>
        <v/>
      </c>
      <c r="C635" s="198" t="inlineStr">
        <is>
          <t>DADOS_AM!GT14</t>
        </is>
      </c>
      <c r="D635" s="198" t="inlineStr">
        <is>
          <t>resultado</t>
        </is>
      </c>
    </row>
    <row r="636">
      <c r="A636" s="198" t="inlineStr">
        <is>
          <t>feitico.13.erros</t>
        </is>
      </c>
      <c r="B636" s="198">
        <f>IF(ISBLANK(DADOS_AM!$GL$14),"",DADOS_AM!$GL$14&amp;"")</f>
        <v/>
      </c>
      <c r="C636" s="198" t="inlineStr">
        <is>
          <t>DADOS_AM!GL14</t>
        </is>
      </c>
      <c r="D636" s="198" t="inlineStr">
        <is>
          <t>aviso</t>
        </is>
      </c>
    </row>
    <row r="637">
      <c r="A637" s="198" t="inlineStr">
        <is>
          <t>feitico.13.avisos</t>
        </is>
      </c>
      <c r="B637" s="198">
        <f>IF(ISBLANK(DADOS_AM!$GN$14),"",DADOS_AM!$GN$14&amp;"")</f>
        <v/>
      </c>
      <c r="C637" s="198" t="inlineStr">
        <is>
          <t>DADOS_AM!GN14</t>
        </is>
      </c>
      <c r="D637" s="198" t="inlineStr">
        <is>
          <t>aviso</t>
        </is>
      </c>
    </row>
    <row r="638">
      <c r="A638" s="198" t="inlineStr">
        <is>
          <t>feitico.14.classe</t>
        </is>
      </c>
      <c r="B638" s="198">
        <f>IF(ISBLANK(DADOS_AM!$EB$15),"",DADOS_AM!$EB$15&amp;"")</f>
        <v/>
      </c>
      <c r="C638" s="198" t="inlineStr">
        <is>
          <t>DADOS_AM!EB15</t>
        </is>
      </c>
      <c r="D638" s="198" t="inlineStr">
        <is>
          <t>entrada</t>
        </is>
      </c>
    </row>
    <row r="639">
      <c r="A639" s="198" t="inlineStr">
        <is>
          <t>feitico.14.nome</t>
        </is>
      </c>
      <c r="B639" s="198">
        <f>IF(ISBLANK(DADOS_AM!$EC$15),"",DADOS_AM!$EC$15&amp;"")</f>
        <v/>
      </c>
      <c r="C639" s="198" t="inlineStr">
        <is>
          <t>DADOS_AM!EC15</t>
        </is>
      </c>
      <c r="D639" s="198" t="inlineStr">
        <is>
          <t>entrada</t>
        </is>
      </c>
    </row>
    <row r="640">
      <c r="A640" s="198" t="inlineStr">
        <is>
          <t>feitico.14.forma</t>
        </is>
      </c>
      <c r="B640" s="198">
        <f>IF(ISBLANK(DADOS_AM!$ED$15),"",DADOS_AM!$ED$15&amp;"")</f>
        <v/>
      </c>
      <c r="C640" s="198" t="inlineStr">
        <is>
          <t>DADOS_AM!ED15</t>
        </is>
      </c>
      <c r="D640" s="198" t="inlineStr">
        <is>
          <t>entrada</t>
        </is>
      </c>
    </row>
    <row r="641">
      <c r="A641" s="198" t="inlineStr">
        <is>
          <t>feitico.14.pecas</t>
        </is>
      </c>
      <c r="B641" s="198">
        <f>TEXTJOIN(" · ",TRUE,DADOS_AM!$EE$15,DADOS_AM!$EF$15,DADOS_AM!$EG$15,DADOS_AM!$EH$15)</f>
        <v/>
      </c>
      <c r="C641" s="198" t="inlineStr">
        <is>
          <t>DADOS_AM!EE15 DADOS_AM!EF15 DADOS_AM!EG15 DADOS_AM!EH15</t>
        </is>
      </c>
      <c r="D641" s="198" t="inlineStr">
        <is>
          <t>entrada</t>
        </is>
      </c>
    </row>
    <row r="642">
      <c r="A642" s="198" t="inlineStr">
        <is>
          <t>feitico.14.restricoes</t>
        </is>
      </c>
      <c r="B642" s="198">
        <f>TEXTJOIN(" · ",TRUE,DADOS_AM!$EI$15,DADOS_AM!$EJ$15)</f>
        <v/>
      </c>
      <c r="C642" s="198" t="inlineStr">
        <is>
          <t>DADOS_AM!EI15 DADOS_AM!EJ15</t>
        </is>
      </c>
      <c r="D642" s="198" t="inlineStr">
        <is>
          <t>entrada</t>
        </is>
      </c>
    </row>
    <row r="643">
      <c r="A643" s="198" t="inlineStr">
        <is>
          <t>feitico.14.pe</t>
        </is>
      </c>
      <c r="B643" s="198">
        <f>IF(ISBLANK(DADOS_AM!$GR$15),"",DADOS_AM!$GR$15&amp;"")</f>
        <v/>
      </c>
      <c r="C643" s="198" t="inlineStr">
        <is>
          <t>DADOS_AM!GR15</t>
        </is>
      </c>
      <c r="D643" s="198" t="inlineStr">
        <is>
          <t>resultado</t>
        </is>
      </c>
    </row>
    <row r="644">
      <c r="A644" s="198" t="inlineStr">
        <is>
          <t>feitico.14.dano</t>
        </is>
      </c>
      <c r="B644" s="198">
        <f>IF(ISBLANK(DADOS_AM!$GU$15),"",DADOS_AM!$GU$15&amp;"")</f>
        <v/>
      </c>
      <c r="C644" s="198" t="inlineStr">
        <is>
          <t>DADOS_AM!GU15</t>
        </is>
      </c>
      <c r="D644" s="198" t="inlineStr">
        <is>
          <t>resultado</t>
        </is>
      </c>
    </row>
    <row r="645">
      <c r="A645" s="198" t="inlineStr">
        <is>
          <t>feitico.14.alcance</t>
        </is>
      </c>
      <c r="B645" s="198">
        <f>IF(ISBLANK(DADOS_AM!$GZ$15),"",DADOS_AM!$GZ$15&amp;"")</f>
        <v/>
      </c>
      <c r="C645" s="198" t="inlineStr">
        <is>
          <t>DADOS_AM!GZ15</t>
        </is>
      </c>
      <c r="D645" s="198" t="inlineStr">
        <is>
          <t>resultado</t>
        </is>
      </c>
    </row>
    <row r="646">
      <c r="A646" s="198" t="inlineStr">
        <is>
          <t>feitico.14.resolve</t>
        </is>
      </c>
      <c r="B646" s="198">
        <f>IF(ISBLANK(DADOS_AM!$GT$15),"",DADOS_AM!$GT$15&amp;"")</f>
        <v/>
      </c>
      <c r="C646" s="198" t="inlineStr">
        <is>
          <t>DADOS_AM!GT15</t>
        </is>
      </c>
      <c r="D646" s="198" t="inlineStr">
        <is>
          <t>resultado</t>
        </is>
      </c>
    </row>
    <row r="647">
      <c r="A647" s="198" t="inlineStr">
        <is>
          <t>feitico.14.erros</t>
        </is>
      </c>
      <c r="B647" s="198">
        <f>IF(ISBLANK(DADOS_AM!$GL$15),"",DADOS_AM!$GL$15&amp;"")</f>
        <v/>
      </c>
      <c r="C647" s="198" t="inlineStr">
        <is>
          <t>DADOS_AM!GL15</t>
        </is>
      </c>
      <c r="D647" s="198" t="inlineStr">
        <is>
          <t>aviso</t>
        </is>
      </c>
    </row>
    <row r="648">
      <c r="A648" s="198" t="inlineStr">
        <is>
          <t>feitico.14.avisos</t>
        </is>
      </c>
      <c r="B648" s="198">
        <f>IF(ISBLANK(DADOS_AM!$GN$15),"",DADOS_AM!$GN$15&amp;"")</f>
        <v/>
      </c>
      <c r="C648" s="198" t="inlineStr">
        <is>
          <t>DADOS_AM!GN15</t>
        </is>
      </c>
      <c r="D648" s="198" t="inlineStr">
        <is>
          <t>aviso</t>
        </is>
      </c>
    </row>
    <row r="649">
      <c r="A649" s="198" t="inlineStr">
        <is>
          <t>feitico.15.classe</t>
        </is>
      </c>
      <c r="B649" s="198">
        <f>IF(ISBLANK(DADOS_AM!$EB$16),"",DADOS_AM!$EB$16&amp;"")</f>
        <v/>
      </c>
      <c r="C649" s="198" t="inlineStr">
        <is>
          <t>DADOS_AM!EB16</t>
        </is>
      </c>
      <c r="D649" s="198" t="inlineStr">
        <is>
          <t>entrada</t>
        </is>
      </c>
    </row>
    <row r="650">
      <c r="A650" s="198" t="inlineStr">
        <is>
          <t>feitico.15.nome</t>
        </is>
      </c>
      <c r="B650" s="198">
        <f>IF(ISBLANK(DADOS_AM!$EC$16),"",DADOS_AM!$EC$16&amp;"")</f>
        <v/>
      </c>
      <c r="C650" s="198" t="inlineStr">
        <is>
          <t>DADOS_AM!EC16</t>
        </is>
      </c>
      <c r="D650" s="198" t="inlineStr">
        <is>
          <t>entrada</t>
        </is>
      </c>
    </row>
    <row r="651">
      <c r="A651" s="198" t="inlineStr">
        <is>
          <t>feitico.15.forma</t>
        </is>
      </c>
      <c r="B651" s="198">
        <f>IF(ISBLANK(DADOS_AM!$ED$16),"",DADOS_AM!$ED$16&amp;"")</f>
        <v/>
      </c>
      <c r="C651" s="198" t="inlineStr">
        <is>
          <t>DADOS_AM!ED16</t>
        </is>
      </c>
      <c r="D651" s="198" t="inlineStr">
        <is>
          <t>entrada</t>
        </is>
      </c>
    </row>
    <row r="652">
      <c r="A652" s="198" t="inlineStr">
        <is>
          <t>feitico.15.pecas</t>
        </is>
      </c>
      <c r="B652" s="198">
        <f>TEXTJOIN(" · ",TRUE,DADOS_AM!$EE$16,DADOS_AM!$EF$16,DADOS_AM!$EG$16,DADOS_AM!$EH$16)</f>
        <v/>
      </c>
      <c r="C652" s="198" t="inlineStr">
        <is>
          <t>DADOS_AM!EE16 DADOS_AM!EF16 DADOS_AM!EG16 DADOS_AM!EH16</t>
        </is>
      </c>
      <c r="D652" s="198" t="inlineStr">
        <is>
          <t>entrada</t>
        </is>
      </c>
    </row>
    <row r="653">
      <c r="A653" s="198" t="inlineStr">
        <is>
          <t>feitico.15.restricoes</t>
        </is>
      </c>
      <c r="B653" s="198">
        <f>TEXTJOIN(" · ",TRUE,DADOS_AM!$EI$16,DADOS_AM!$EJ$16)</f>
        <v/>
      </c>
      <c r="C653" s="198" t="inlineStr">
        <is>
          <t>DADOS_AM!EI16 DADOS_AM!EJ16</t>
        </is>
      </c>
      <c r="D653" s="198" t="inlineStr">
        <is>
          <t>entrada</t>
        </is>
      </c>
    </row>
    <row r="654">
      <c r="A654" s="198" t="inlineStr">
        <is>
          <t>feitico.15.pe</t>
        </is>
      </c>
      <c r="B654" s="198">
        <f>IF(ISBLANK(DADOS_AM!$GR$16),"",DADOS_AM!$GR$16&amp;"")</f>
        <v/>
      </c>
      <c r="C654" s="198" t="inlineStr">
        <is>
          <t>DADOS_AM!GR16</t>
        </is>
      </c>
      <c r="D654" s="198" t="inlineStr">
        <is>
          <t>resultado</t>
        </is>
      </c>
    </row>
    <row r="655">
      <c r="A655" s="198" t="inlineStr">
        <is>
          <t>feitico.15.dano</t>
        </is>
      </c>
      <c r="B655" s="198">
        <f>IF(ISBLANK(DADOS_AM!$GU$16),"",DADOS_AM!$GU$16&amp;"")</f>
        <v/>
      </c>
      <c r="C655" s="198" t="inlineStr">
        <is>
          <t>DADOS_AM!GU16</t>
        </is>
      </c>
      <c r="D655" s="198" t="inlineStr">
        <is>
          <t>resultado</t>
        </is>
      </c>
    </row>
    <row r="656">
      <c r="A656" s="198" t="inlineStr">
        <is>
          <t>feitico.15.alcance</t>
        </is>
      </c>
      <c r="B656" s="198">
        <f>IF(ISBLANK(DADOS_AM!$GZ$16),"",DADOS_AM!$GZ$16&amp;"")</f>
        <v/>
      </c>
      <c r="C656" s="198" t="inlineStr">
        <is>
          <t>DADOS_AM!GZ16</t>
        </is>
      </c>
      <c r="D656" s="198" t="inlineStr">
        <is>
          <t>resultado</t>
        </is>
      </c>
    </row>
    <row r="657">
      <c r="A657" s="198" t="inlineStr">
        <is>
          <t>feitico.15.resolve</t>
        </is>
      </c>
      <c r="B657" s="198">
        <f>IF(ISBLANK(DADOS_AM!$GT$16),"",DADOS_AM!$GT$16&amp;"")</f>
        <v/>
      </c>
      <c r="C657" s="198" t="inlineStr">
        <is>
          <t>DADOS_AM!GT16</t>
        </is>
      </c>
      <c r="D657" s="198" t="inlineStr">
        <is>
          <t>resultado</t>
        </is>
      </c>
    </row>
    <row r="658">
      <c r="A658" s="198" t="inlineStr">
        <is>
          <t>feitico.15.erros</t>
        </is>
      </c>
      <c r="B658" s="198">
        <f>IF(ISBLANK(DADOS_AM!$GL$16),"",DADOS_AM!$GL$16&amp;"")</f>
        <v/>
      </c>
      <c r="C658" s="198" t="inlineStr">
        <is>
          <t>DADOS_AM!GL16</t>
        </is>
      </c>
      <c r="D658" s="198" t="inlineStr">
        <is>
          <t>aviso</t>
        </is>
      </c>
    </row>
    <row r="659">
      <c r="A659" s="198" t="inlineStr">
        <is>
          <t>feitico.15.avisos</t>
        </is>
      </c>
      <c r="B659" s="198">
        <f>IF(ISBLANK(DADOS_AM!$GN$16),"",DADOS_AM!$GN$16&amp;"")</f>
        <v/>
      </c>
      <c r="C659" s="198" t="inlineStr">
        <is>
          <t>DADOS_AM!GN16</t>
        </is>
      </c>
      <c r="D659" s="198" t="inlineStr">
        <is>
          <t>aviso</t>
        </is>
      </c>
    </row>
    <row r="660">
      <c r="A660" s="198" t="inlineStr">
        <is>
          <t>feitico.16.classe</t>
        </is>
      </c>
      <c r="B660" s="198">
        <f>IF(ISBLANK(DADOS_AM!$EB$17),"",DADOS_AM!$EB$17&amp;"")</f>
        <v/>
      </c>
      <c r="C660" s="198" t="inlineStr">
        <is>
          <t>DADOS_AM!EB17</t>
        </is>
      </c>
      <c r="D660" s="198" t="inlineStr">
        <is>
          <t>entrada</t>
        </is>
      </c>
    </row>
    <row r="661">
      <c r="A661" s="198" t="inlineStr">
        <is>
          <t>feitico.16.nome</t>
        </is>
      </c>
      <c r="B661" s="198">
        <f>IF(ISBLANK(DADOS_AM!$EC$17),"",DADOS_AM!$EC$17&amp;"")</f>
        <v/>
      </c>
      <c r="C661" s="198" t="inlineStr">
        <is>
          <t>DADOS_AM!EC17</t>
        </is>
      </c>
      <c r="D661" s="198" t="inlineStr">
        <is>
          <t>entrada</t>
        </is>
      </c>
    </row>
    <row r="662">
      <c r="A662" s="198" t="inlineStr">
        <is>
          <t>feitico.16.forma</t>
        </is>
      </c>
      <c r="B662" s="198">
        <f>IF(ISBLANK(DADOS_AM!$ED$17),"",DADOS_AM!$ED$17&amp;"")</f>
        <v/>
      </c>
      <c r="C662" s="198" t="inlineStr">
        <is>
          <t>DADOS_AM!ED17</t>
        </is>
      </c>
      <c r="D662" s="198" t="inlineStr">
        <is>
          <t>entrada</t>
        </is>
      </c>
    </row>
    <row r="663">
      <c r="A663" s="198" t="inlineStr">
        <is>
          <t>feitico.16.pecas</t>
        </is>
      </c>
      <c r="B663" s="198">
        <f>TEXTJOIN(" · ",TRUE,DADOS_AM!$EE$17,DADOS_AM!$EF$17,DADOS_AM!$EG$17,DADOS_AM!$EH$17)</f>
        <v/>
      </c>
      <c r="C663" s="198" t="inlineStr">
        <is>
          <t>DADOS_AM!EE17 DADOS_AM!EF17 DADOS_AM!EG17 DADOS_AM!EH17</t>
        </is>
      </c>
      <c r="D663" s="198" t="inlineStr">
        <is>
          <t>entrada</t>
        </is>
      </c>
    </row>
    <row r="664">
      <c r="A664" s="198" t="inlineStr">
        <is>
          <t>feitico.16.restricoes</t>
        </is>
      </c>
      <c r="B664" s="198">
        <f>TEXTJOIN(" · ",TRUE,DADOS_AM!$EI$17,DADOS_AM!$EJ$17)</f>
        <v/>
      </c>
      <c r="C664" s="198" t="inlineStr">
        <is>
          <t>DADOS_AM!EI17 DADOS_AM!EJ17</t>
        </is>
      </c>
      <c r="D664" s="198" t="inlineStr">
        <is>
          <t>entrada</t>
        </is>
      </c>
    </row>
    <row r="665">
      <c r="A665" s="198" t="inlineStr">
        <is>
          <t>feitico.16.pe</t>
        </is>
      </c>
      <c r="B665" s="198">
        <f>IF(ISBLANK(DADOS_AM!$GR$17),"",DADOS_AM!$GR$17&amp;"")</f>
        <v/>
      </c>
      <c r="C665" s="198" t="inlineStr">
        <is>
          <t>DADOS_AM!GR17</t>
        </is>
      </c>
      <c r="D665" s="198" t="inlineStr">
        <is>
          <t>resultado</t>
        </is>
      </c>
    </row>
    <row r="666">
      <c r="A666" s="198" t="inlineStr">
        <is>
          <t>feitico.16.dano</t>
        </is>
      </c>
      <c r="B666" s="198">
        <f>IF(ISBLANK(DADOS_AM!$GU$17),"",DADOS_AM!$GU$17&amp;"")</f>
        <v/>
      </c>
      <c r="C666" s="198" t="inlineStr">
        <is>
          <t>DADOS_AM!GU17</t>
        </is>
      </c>
      <c r="D666" s="198" t="inlineStr">
        <is>
          <t>resultado</t>
        </is>
      </c>
    </row>
    <row r="667">
      <c r="A667" s="198" t="inlineStr">
        <is>
          <t>feitico.16.alcance</t>
        </is>
      </c>
      <c r="B667" s="198">
        <f>IF(ISBLANK(DADOS_AM!$GZ$17),"",DADOS_AM!$GZ$17&amp;"")</f>
        <v/>
      </c>
      <c r="C667" s="198" t="inlineStr">
        <is>
          <t>DADOS_AM!GZ17</t>
        </is>
      </c>
      <c r="D667" s="198" t="inlineStr">
        <is>
          <t>resultado</t>
        </is>
      </c>
    </row>
    <row r="668">
      <c r="A668" s="198" t="inlineStr">
        <is>
          <t>feitico.16.resolve</t>
        </is>
      </c>
      <c r="B668" s="198">
        <f>IF(ISBLANK(DADOS_AM!$GT$17),"",DADOS_AM!$GT$17&amp;"")</f>
        <v/>
      </c>
      <c r="C668" s="198" t="inlineStr">
        <is>
          <t>DADOS_AM!GT17</t>
        </is>
      </c>
      <c r="D668" s="198" t="inlineStr">
        <is>
          <t>resultado</t>
        </is>
      </c>
    </row>
    <row r="669">
      <c r="A669" s="198" t="inlineStr">
        <is>
          <t>feitico.16.erros</t>
        </is>
      </c>
      <c r="B669" s="198">
        <f>IF(ISBLANK(DADOS_AM!$GL$17),"",DADOS_AM!$GL$17&amp;"")</f>
        <v/>
      </c>
      <c r="C669" s="198" t="inlineStr">
        <is>
          <t>DADOS_AM!GL17</t>
        </is>
      </c>
      <c r="D669" s="198" t="inlineStr">
        <is>
          <t>aviso</t>
        </is>
      </c>
    </row>
    <row r="670">
      <c r="A670" s="198" t="inlineStr">
        <is>
          <t>feitico.16.avisos</t>
        </is>
      </c>
      <c r="B670" s="198">
        <f>IF(ISBLANK(DADOS_AM!$GN$17),"",DADOS_AM!$GN$17&amp;"")</f>
        <v/>
      </c>
      <c r="C670" s="198" t="inlineStr">
        <is>
          <t>DADOS_AM!GN17</t>
        </is>
      </c>
      <c r="D670" s="198" t="inlineStr">
        <is>
          <t>aviso</t>
        </is>
      </c>
    </row>
    <row r="671">
      <c r="A671" s="198" t="inlineStr">
        <is>
          <t>feitico.17.classe</t>
        </is>
      </c>
      <c r="B671" s="198">
        <f>IF(ISBLANK(DADOS_AM!$EB$18),"",DADOS_AM!$EB$18&amp;"")</f>
        <v/>
      </c>
      <c r="C671" s="198" t="inlineStr">
        <is>
          <t>DADOS_AM!EB18</t>
        </is>
      </c>
      <c r="D671" s="198" t="inlineStr">
        <is>
          <t>entrada</t>
        </is>
      </c>
    </row>
    <row r="672">
      <c r="A672" s="198" t="inlineStr">
        <is>
          <t>feitico.17.nome</t>
        </is>
      </c>
      <c r="B672" s="198">
        <f>IF(ISBLANK(DADOS_AM!$EC$18),"",DADOS_AM!$EC$18&amp;"")</f>
        <v/>
      </c>
      <c r="C672" s="198" t="inlineStr">
        <is>
          <t>DADOS_AM!EC18</t>
        </is>
      </c>
      <c r="D672" s="198" t="inlineStr">
        <is>
          <t>entrada</t>
        </is>
      </c>
    </row>
    <row r="673">
      <c r="A673" s="198" t="inlineStr">
        <is>
          <t>feitico.17.forma</t>
        </is>
      </c>
      <c r="B673" s="198">
        <f>IF(ISBLANK(DADOS_AM!$ED$18),"",DADOS_AM!$ED$18&amp;"")</f>
        <v/>
      </c>
      <c r="C673" s="198" t="inlineStr">
        <is>
          <t>DADOS_AM!ED18</t>
        </is>
      </c>
      <c r="D673" s="198" t="inlineStr">
        <is>
          <t>entrada</t>
        </is>
      </c>
    </row>
    <row r="674">
      <c r="A674" s="198" t="inlineStr">
        <is>
          <t>feitico.17.pecas</t>
        </is>
      </c>
      <c r="B674" s="198">
        <f>TEXTJOIN(" · ",TRUE,DADOS_AM!$EE$18,DADOS_AM!$EF$18,DADOS_AM!$EG$18,DADOS_AM!$EH$18)</f>
        <v/>
      </c>
      <c r="C674" s="198" t="inlineStr">
        <is>
          <t>DADOS_AM!EE18 DADOS_AM!EF18 DADOS_AM!EG18 DADOS_AM!EH18</t>
        </is>
      </c>
      <c r="D674" s="198" t="inlineStr">
        <is>
          <t>entrada</t>
        </is>
      </c>
    </row>
    <row r="675">
      <c r="A675" s="198" t="inlineStr">
        <is>
          <t>feitico.17.restricoes</t>
        </is>
      </c>
      <c r="B675" s="198">
        <f>TEXTJOIN(" · ",TRUE,DADOS_AM!$EI$18,DADOS_AM!$EJ$18)</f>
        <v/>
      </c>
      <c r="C675" s="198" t="inlineStr">
        <is>
          <t>DADOS_AM!EI18 DADOS_AM!EJ18</t>
        </is>
      </c>
      <c r="D675" s="198" t="inlineStr">
        <is>
          <t>entrada</t>
        </is>
      </c>
    </row>
    <row r="676">
      <c r="A676" s="198" t="inlineStr">
        <is>
          <t>feitico.17.pe</t>
        </is>
      </c>
      <c r="B676" s="198">
        <f>IF(ISBLANK(DADOS_AM!$GR$18),"",DADOS_AM!$GR$18&amp;"")</f>
        <v/>
      </c>
      <c r="C676" s="198" t="inlineStr">
        <is>
          <t>DADOS_AM!GR18</t>
        </is>
      </c>
      <c r="D676" s="198" t="inlineStr">
        <is>
          <t>resultado</t>
        </is>
      </c>
    </row>
    <row r="677">
      <c r="A677" s="198" t="inlineStr">
        <is>
          <t>feitico.17.dano</t>
        </is>
      </c>
      <c r="B677" s="198">
        <f>IF(ISBLANK(DADOS_AM!$GU$18),"",DADOS_AM!$GU$18&amp;"")</f>
        <v/>
      </c>
      <c r="C677" s="198" t="inlineStr">
        <is>
          <t>DADOS_AM!GU18</t>
        </is>
      </c>
      <c r="D677" s="198" t="inlineStr">
        <is>
          <t>resultado</t>
        </is>
      </c>
    </row>
    <row r="678">
      <c r="A678" s="198" t="inlineStr">
        <is>
          <t>feitico.17.alcance</t>
        </is>
      </c>
      <c r="B678" s="198">
        <f>IF(ISBLANK(DADOS_AM!$GZ$18),"",DADOS_AM!$GZ$18&amp;"")</f>
        <v/>
      </c>
      <c r="C678" s="198" t="inlineStr">
        <is>
          <t>DADOS_AM!GZ18</t>
        </is>
      </c>
      <c r="D678" s="198" t="inlineStr">
        <is>
          <t>resultado</t>
        </is>
      </c>
    </row>
    <row r="679">
      <c r="A679" s="198" t="inlineStr">
        <is>
          <t>feitico.17.resolve</t>
        </is>
      </c>
      <c r="B679" s="198">
        <f>IF(ISBLANK(DADOS_AM!$GT$18),"",DADOS_AM!$GT$18&amp;"")</f>
        <v/>
      </c>
      <c r="C679" s="198" t="inlineStr">
        <is>
          <t>DADOS_AM!GT18</t>
        </is>
      </c>
      <c r="D679" s="198" t="inlineStr">
        <is>
          <t>resultado</t>
        </is>
      </c>
    </row>
    <row r="680">
      <c r="A680" s="198" t="inlineStr">
        <is>
          <t>feitico.17.erros</t>
        </is>
      </c>
      <c r="B680" s="198">
        <f>IF(ISBLANK(DADOS_AM!$GL$18),"",DADOS_AM!$GL$18&amp;"")</f>
        <v/>
      </c>
      <c r="C680" s="198" t="inlineStr">
        <is>
          <t>DADOS_AM!GL18</t>
        </is>
      </c>
      <c r="D680" s="198" t="inlineStr">
        <is>
          <t>aviso</t>
        </is>
      </c>
    </row>
    <row r="681">
      <c r="A681" s="198" t="inlineStr">
        <is>
          <t>feitico.17.avisos</t>
        </is>
      </c>
      <c r="B681" s="198">
        <f>IF(ISBLANK(DADOS_AM!$GN$18),"",DADOS_AM!$GN$18&amp;"")</f>
        <v/>
      </c>
      <c r="C681" s="198" t="inlineStr">
        <is>
          <t>DADOS_AM!GN18</t>
        </is>
      </c>
      <c r="D681" s="198" t="inlineStr">
        <is>
          <t>aviso</t>
        </is>
      </c>
    </row>
    <row r="682">
      <c r="A682" s="198" t="inlineStr">
        <is>
          <t>feitico.18.classe</t>
        </is>
      </c>
      <c r="B682" s="198">
        <f>IF(ISBLANK(DADOS_AM!$EB$19),"",DADOS_AM!$EB$19&amp;"")</f>
        <v/>
      </c>
      <c r="C682" s="198" t="inlineStr">
        <is>
          <t>DADOS_AM!EB19</t>
        </is>
      </c>
      <c r="D682" s="198" t="inlineStr">
        <is>
          <t>entrada</t>
        </is>
      </c>
    </row>
    <row r="683">
      <c r="A683" s="198" t="inlineStr">
        <is>
          <t>feitico.18.nome</t>
        </is>
      </c>
      <c r="B683" s="198">
        <f>IF(ISBLANK(DADOS_AM!$EC$19),"",DADOS_AM!$EC$19&amp;"")</f>
        <v/>
      </c>
      <c r="C683" s="198" t="inlineStr">
        <is>
          <t>DADOS_AM!EC19</t>
        </is>
      </c>
      <c r="D683" s="198" t="inlineStr">
        <is>
          <t>entrada</t>
        </is>
      </c>
    </row>
    <row r="684">
      <c r="A684" s="198" t="inlineStr">
        <is>
          <t>feitico.18.forma</t>
        </is>
      </c>
      <c r="B684" s="198">
        <f>IF(ISBLANK(DADOS_AM!$ED$19),"",DADOS_AM!$ED$19&amp;"")</f>
        <v/>
      </c>
      <c r="C684" s="198" t="inlineStr">
        <is>
          <t>DADOS_AM!ED19</t>
        </is>
      </c>
      <c r="D684" s="198" t="inlineStr">
        <is>
          <t>entrada</t>
        </is>
      </c>
    </row>
    <row r="685">
      <c r="A685" s="198" t="inlineStr">
        <is>
          <t>feitico.18.pecas</t>
        </is>
      </c>
      <c r="B685" s="198">
        <f>TEXTJOIN(" · ",TRUE,DADOS_AM!$EE$19,DADOS_AM!$EF$19,DADOS_AM!$EG$19,DADOS_AM!$EH$19)</f>
        <v/>
      </c>
      <c r="C685" s="198" t="inlineStr">
        <is>
          <t>DADOS_AM!EE19 DADOS_AM!EF19 DADOS_AM!EG19 DADOS_AM!EH19</t>
        </is>
      </c>
      <c r="D685" s="198" t="inlineStr">
        <is>
          <t>entrada</t>
        </is>
      </c>
    </row>
    <row r="686">
      <c r="A686" s="198" t="inlineStr">
        <is>
          <t>feitico.18.restricoes</t>
        </is>
      </c>
      <c r="B686" s="198">
        <f>TEXTJOIN(" · ",TRUE,DADOS_AM!$EI$19,DADOS_AM!$EJ$19)</f>
        <v/>
      </c>
      <c r="C686" s="198" t="inlineStr">
        <is>
          <t>DADOS_AM!EI19 DADOS_AM!EJ19</t>
        </is>
      </c>
      <c r="D686" s="198" t="inlineStr">
        <is>
          <t>entrada</t>
        </is>
      </c>
    </row>
    <row r="687">
      <c r="A687" s="198" t="inlineStr">
        <is>
          <t>feitico.18.pe</t>
        </is>
      </c>
      <c r="B687" s="198">
        <f>IF(ISBLANK(DADOS_AM!$GR$19),"",DADOS_AM!$GR$19&amp;"")</f>
        <v/>
      </c>
      <c r="C687" s="198" t="inlineStr">
        <is>
          <t>DADOS_AM!GR19</t>
        </is>
      </c>
      <c r="D687" s="198" t="inlineStr">
        <is>
          <t>resultado</t>
        </is>
      </c>
    </row>
    <row r="688">
      <c r="A688" s="198" t="inlineStr">
        <is>
          <t>feitico.18.dano</t>
        </is>
      </c>
      <c r="B688" s="198">
        <f>IF(ISBLANK(DADOS_AM!$GU$19),"",DADOS_AM!$GU$19&amp;"")</f>
        <v/>
      </c>
      <c r="C688" s="198" t="inlineStr">
        <is>
          <t>DADOS_AM!GU19</t>
        </is>
      </c>
      <c r="D688" s="198" t="inlineStr">
        <is>
          <t>resultado</t>
        </is>
      </c>
    </row>
    <row r="689">
      <c r="A689" s="198" t="inlineStr">
        <is>
          <t>feitico.18.alcance</t>
        </is>
      </c>
      <c r="B689" s="198">
        <f>IF(ISBLANK(DADOS_AM!$GZ$19),"",DADOS_AM!$GZ$19&amp;"")</f>
        <v/>
      </c>
      <c r="C689" s="198" t="inlineStr">
        <is>
          <t>DADOS_AM!GZ19</t>
        </is>
      </c>
      <c r="D689" s="198" t="inlineStr">
        <is>
          <t>resultado</t>
        </is>
      </c>
    </row>
    <row r="690">
      <c r="A690" s="198" t="inlineStr">
        <is>
          <t>feitico.18.resolve</t>
        </is>
      </c>
      <c r="B690" s="198">
        <f>IF(ISBLANK(DADOS_AM!$GT$19),"",DADOS_AM!$GT$19&amp;"")</f>
        <v/>
      </c>
      <c r="C690" s="198" t="inlineStr">
        <is>
          <t>DADOS_AM!GT19</t>
        </is>
      </c>
      <c r="D690" s="198" t="inlineStr">
        <is>
          <t>resultado</t>
        </is>
      </c>
    </row>
    <row r="691">
      <c r="A691" s="198" t="inlineStr">
        <is>
          <t>feitico.18.erros</t>
        </is>
      </c>
      <c r="B691" s="198">
        <f>IF(ISBLANK(DADOS_AM!$GL$19),"",DADOS_AM!$GL$19&amp;"")</f>
        <v/>
      </c>
      <c r="C691" s="198" t="inlineStr">
        <is>
          <t>DADOS_AM!GL19</t>
        </is>
      </c>
      <c r="D691" s="198" t="inlineStr">
        <is>
          <t>aviso</t>
        </is>
      </c>
    </row>
    <row r="692">
      <c r="A692" s="198" t="inlineStr">
        <is>
          <t>feitico.18.avisos</t>
        </is>
      </c>
      <c r="B692" s="198">
        <f>IF(ISBLANK(DADOS_AM!$GN$19),"",DADOS_AM!$GN$19&amp;"")</f>
        <v/>
      </c>
      <c r="C692" s="198" t="inlineStr">
        <is>
          <t>DADOS_AM!GN19</t>
        </is>
      </c>
      <c r="D692" s="198" t="inlineStr">
        <is>
          <t>aviso</t>
        </is>
      </c>
    </row>
    <row r="693">
      <c r="A693" s="198" t="inlineStr">
        <is>
          <t>feitico.19.classe</t>
        </is>
      </c>
      <c r="B693" s="198">
        <f>IF(ISBLANK(DADOS_AM!$EB$20),"",DADOS_AM!$EB$20&amp;"")</f>
        <v/>
      </c>
      <c r="C693" s="198" t="inlineStr">
        <is>
          <t>DADOS_AM!EB20</t>
        </is>
      </c>
      <c r="D693" s="198" t="inlineStr">
        <is>
          <t>entrada</t>
        </is>
      </c>
    </row>
    <row r="694">
      <c r="A694" s="198" t="inlineStr">
        <is>
          <t>feitico.19.nome</t>
        </is>
      </c>
      <c r="B694" s="198">
        <f>IF(ISBLANK(DADOS_AM!$EC$20),"",DADOS_AM!$EC$20&amp;"")</f>
        <v/>
      </c>
      <c r="C694" s="198" t="inlineStr">
        <is>
          <t>DADOS_AM!EC20</t>
        </is>
      </c>
      <c r="D694" s="198" t="inlineStr">
        <is>
          <t>entrada</t>
        </is>
      </c>
    </row>
    <row r="695">
      <c r="A695" s="198" t="inlineStr">
        <is>
          <t>feitico.19.forma</t>
        </is>
      </c>
      <c r="B695" s="198">
        <f>IF(ISBLANK(DADOS_AM!$ED$20),"",DADOS_AM!$ED$20&amp;"")</f>
        <v/>
      </c>
      <c r="C695" s="198" t="inlineStr">
        <is>
          <t>DADOS_AM!ED20</t>
        </is>
      </c>
      <c r="D695" s="198" t="inlineStr">
        <is>
          <t>entrada</t>
        </is>
      </c>
    </row>
    <row r="696">
      <c r="A696" s="198" t="inlineStr">
        <is>
          <t>feitico.19.pecas</t>
        </is>
      </c>
      <c r="B696" s="198">
        <f>TEXTJOIN(" · ",TRUE,DADOS_AM!$EE$20,DADOS_AM!$EF$20,DADOS_AM!$EG$20,DADOS_AM!$EH$20)</f>
        <v/>
      </c>
      <c r="C696" s="198" t="inlineStr">
        <is>
          <t>DADOS_AM!EE20 DADOS_AM!EF20 DADOS_AM!EG20 DADOS_AM!EH20</t>
        </is>
      </c>
      <c r="D696" s="198" t="inlineStr">
        <is>
          <t>entrada</t>
        </is>
      </c>
    </row>
    <row r="697">
      <c r="A697" s="198" t="inlineStr">
        <is>
          <t>feitico.19.restricoes</t>
        </is>
      </c>
      <c r="B697" s="198">
        <f>TEXTJOIN(" · ",TRUE,DADOS_AM!$EI$20,DADOS_AM!$EJ$20)</f>
        <v/>
      </c>
      <c r="C697" s="198" t="inlineStr">
        <is>
          <t>DADOS_AM!EI20 DADOS_AM!EJ20</t>
        </is>
      </c>
      <c r="D697" s="198" t="inlineStr">
        <is>
          <t>entrada</t>
        </is>
      </c>
    </row>
    <row r="698">
      <c r="A698" s="198" t="inlineStr">
        <is>
          <t>feitico.19.pe</t>
        </is>
      </c>
      <c r="B698" s="198">
        <f>IF(ISBLANK(DADOS_AM!$GR$20),"",DADOS_AM!$GR$20&amp;"")</f>
        <v/>
      </c>
      <c r="C698" s="198" t="inlineStr">
        <is>
          <t>DADOS_AM!GR20</t>
        </is>
      </c>
      <c r="D698" s="198" t="inlineStr">
        <is>
          <t>resultado</t>
        </is>
      </c>
    </row>
    <row r="699">
      <c r="A699" s="198" t="inlineStr">
        <is>
          <t>feitico.19.dano</t>
        </is>
      </c>
      <c r="B699" s="198">
        <f>IF(ISBLANK(DADOS_AM!$GU$20),"",DADOS_AM!$GU$20&amp;"")</f>
        <v/>
      </c>
      <c r="C699" s="198" t="inlineStr">
        <is>
          <t>DADOS_AM!GU20</t>
        </is>
      </c>
      <c r="D699" s="198" t="inlineStr">
        <is>
          <t>resultado</t>
        </is>
      </c>
    </row>
    <row r="700">
      <c r="A700" s="198" t="inlineStr">
        <is>
          <t>feitico.19.alcance</t>
        </is>
      </c>
      <c r="B700" s="198">
        <f>IF(ISBLANK(DADOS_AM!$GZ$20),"",DADOS_AM!$GZ$20&amp;"")</f>
        <v/>
      </c>
      <c r="C700" s="198" t="inlineStr">
        <is>
          <t>DADOS_AM!GZ20</t>
        </is>
      </c>
      <c r="D700" s="198" t="inlineStr">
        <is>
          <t>resultado</t>
        </is>
      </c>
    </row>
    <row r="701">
      <c r="A701" s="198" t="inlineStr">
        <is>
          <t>feitico.19.resolve</t>
        </is>
      </c>
      <c r="B701" s="198">
        <f>IF(ISBLANK(DADOS_AM!$GT$20),"",DADOS_AM!$GT$20&amp;"")</f>
        <v/>
      </c>
      <c r="C701" s="198" t="inlineStr">
        <is>
          <t>DADOS_AM!GT20</t>
        </is>
      </c>
      <c r="D701" s="198" t="inlineStr">
        <is>
          <t>resultado</t>
        </is>
      </c>
    </row>
    <row r="702">
      <c r="A702" s="198" t="inlineStr">
        <is>
          <t>feitico.19.erros</t>
        </is>
      </c>
      <c r="B702" s="198">
        <f>IF(ISBLANK(DADOS_AM!$GL$20),"",DADOS_AM!$GL$20&amp;"")</f>
        <v/>
      </c>
      <c r="C702" s="198" t="inlineStr">
        <is>
          <t>DADOS_AM!GL20</t>
        </is>
      </c>
      <c r="D702" s="198" t="inlineStr">
        <is>
          <t>aviso</t>
        </is>
      </c>
    </row>
    <row r="703">
      <c r="A703" s="198" t="inlineStr">
        <is>
          <t>feitico.19.avisos</t>
        </is>
      </c>
      <c r="B703" s="198">
        <f>IF(ISBLANK(DADOS_AM!$GN$20),"",DADOS_AM!$GN$20&amp;"")</f>
        <v/>
      </c>
      <c r="C703" s="198" t="inlineStr">
        <is>
          <t>DADOS_AM!GN20</t>
        </is>
      </c>
      <c r="D703" s="198" t="inlineStr">
        <is>
          <t>aviso</t>
        </is>
      </c>
    </row>
    <row r="704">
      <c r="A704" s="198" t="inlineStr">
        <is>
          <t>feitico.20.classe</t>
        </is>
      </c>
      <c r="B704" s="198">
        <f>IF(ISBLANK(DADOS_AM!$EB$21),"",DADOS_AM!$EB$21&amp;"")</f>
        <v/>
      </c>
      <c r="C704" s="198" t="inlineStr">
        <is>
          <t>DADOS_AM!EB21</t>
        </is>
      </c>
      <c r="D704" s="198" t="inlineStr">
        <is>
          <t>entrada</t>
        </is>
      </c>
    </row>
    <row r="705">
      <c r="A705" s="198" t="inlineStr">
        <is>
          <t>feitico.20.nome</t>
        </is>
      </c>
      <c r="B705" s="198">
        <f>IF(ISBLANK(DADOS_AM!$EC$21),"",DADOS_AM!$EC$21&amp;"")</f>
        <v/>
      </c>
      <c r="C705" s="198" t="inlineStr">
        <is>
          <t>DADOS_AM!EC21</t>
        </is>
      </c>
      <c r="D705" s="198" t="inlineStr">
        <is>
          <t>entrada</t>
        </is>
      </c>
    </row>
    <row r="706">
      <c r="A706" s="198" t="inlineStr">
        <is>
          <t>feitico.20.forma</t>
        </is>
      </c>
      <c r="B706" s="198">
        <f>IF(ISBLANK(DADOS_AM!$ED$21),"",DADOS_AM!$ED$21&amp;"")</f>
        <v/>
      </c>
      <c r="C706" s="198" t="inlineStr">
        <is>
          <t>DADOS_AM!ED21</t>
        </is>
      </c>
      <c r="D706" s="198" t="inlineStr">
        <is>
          <t>entrada</t>
        </is>
      </c>
    </row>
    <row r="707">
      <c r="A707" s="198" t="inlineStr">
        <is>
          <t>feitico.20.pecas</t>
        </is>
      </c>
      <c r="B707" s="198">
        <f>TEXTJOIN(" · ",TRUE,DADOS_AM!$EE$21,DADOS_AM!$EF$21,DADOS_AM!$EG$21,DADOS_AM!$EH$21)</f>
        <v/>
      </c>
      <c r="C707" s="198" t="inlineStr">
        <is>
          <t>DADOS_AM!EE21 DADOS_AM!EF21 DADOS_AM!EG21 DADOS_AM!EH21</t>
        </is>
      </c>
      <c r="D707" s="198" t="inlineStr">
        <is>
          <t>entrada</t>
        </is>
      </c>
    </row>
    <row r="708">
      <c r="A708" s="198" t="inlineStr">
        <is>
          <t>feitico.20.restricoes</t>
        </is>
      </c>
      <c r="B708" s="198">
        <f>TEXTJOIN(" · ",TRUE,DADOS_AM!$EI$21,DADOS_AM!$EJ$21)</f>
        <v/>
      </c>
      <c r="C708" s="198" t="inlineStr">
        <is>
          <t>DADOS_AM!EI21 DADOS_AM!EJ21</t>
        </is>
      </c>
      <c r="D708" s="198" t="inlineStr">
        <is>
          <t>entrada</t>
        </is>
      </c>
    </row>
    <row r="709">
      <c r="A709" s="198" t="inlineStr">
        <is>
          <t>feitico.20.pe</t>
        </is>
      </c>
      <c r="B709" s="198">
        <f>IF(ISBLANK(DADOS_AM!$GR$21),"",DADOS_AM!$GR$21&amp;"")</f>
        <v/>
      </c>
      <c r="C709" s="198" t="inlineStr">
        <is>
          <t>DADOS_AM!GR21</t>
        </is>
      </c>
      <c r="D709" s="198" t="inlineStr">
        <is>
          <t>resultado</t>
        </is>
      </c>
    </row>
    <row r="710">
      <c r="A710" s="198" t="inlineStr">
        <is>
          <t>feitico.20.dano</t>
        </is>
      </c>
      <c r="B710" s="198">
        <f>IF(ISBLANK(DADOS_AM!$GU$21),"",DADOS_AM!$GU$21&amp;"")</f>
        <v/>
      </c>
      <c r="C710" s="198" t="inlineStr">
        <is>
          <t>DADOS_AM!GU21</t>
        </is>
      </c>
      <c r="D710" s="198" t="inlineStr">
        <is>
          <t>resultado</t>
        </is>
      </c>
    </row>
    <row r="711">
      <c r="A711" s="198" t="inlineStr">
        <is>
          <t>feitico.20.alcance</t>
        </is>
      </c>
      <c r="B711" s="198">
        <f>IF(ISBLANK(DADOS_AM!$GZ$21),"",DADOS_AM!$GZ$21&amp;"")</f>
        <v/>
      </c>
      <c r="C711" s="198" t="inlineStr">
        <is>
          <t>DADOS_AM!GZ21</t>
        </is>
      </c>
      <c r="D711" s="198" t="inlineStr">
        <is>
          <t>resultado</t>
        </is>
      </c>
    </row>
    <row r="712">
      <c r="A712" s="198" t="inlineStr">
        <is>
          <t>feitico.20.resolve</t>
        </is>
      </c>
      <c r="B712" s="198">
        <f>IF(ISBLANK(DADOS_AM!$GT$21),"",DADOS_AM!$GT$21&amp;"")</f>
        <v/>
      </c>
      <c r="C712" s="198" t="inlineStr">
        <is>
          <t>DADOS_AM!GT21</t>
        </is>
      </c>
      <c r="D712" s="198" t="inlineStr">
        <is>
          <t>resultado</t>
        </is>
      </c>
    </row>
    <row r="713">
      <c r="A713" s="198" t="inlineStr">
        <is>
          <t>feitico.20.erros</t>
        </is>
      </c>
      <c r="B713" s="198">
        <f>IF(ISBLANK(DADOS_AM!$GL$21),"",DADOS_AM!$GL$21&amp;"")</f>
        <v/>
      </c>
      <c r="C713" s="198" t="inlineStr">
        <is>
          <t>DADOS_AM!GL21</t>
        </is>
      </c>
      <c r="D713" s="198" t="inlineStr">
        <is>
          <t>aviso</t>
        </is>
      </c>
    </row>
    <row r="714">
      <c r="A714" s="198" t="inlineStr">
        <is>
          <t>feitico.20.avisos</t>
        </is>
      </c>
      <c r="B714" s="198">
        <f>IF(ISBLANK(DADOS_AM!$GN$21),"",DADOS_AM!$GN$21&amp;"")</f>
        <v/>
      </c>
      <c r="C714" s="198" t="inlineStr">
        <is>
          <t>DADOS_AM!GN21</t>
        </is>
      </c>
      <c r="D714" s="198" t="inlineStr">
        <is>
          <t>aviso</t>
        </is>
      </c>
    </row>
    <row r="715">
      <c r="A715" s="198" t="inlineStr">
        <is>
          <t>feitico.21.classe</t>
        </is>
      </c>
      <c r="B715" s="198">
        <f>IF(ISBLANK(DADOS_AM!$EB$22),"",DADOS_AM!$EB$22&amp;"")</f>
        <v/>
      </c>
      <c r="C715" s="198" t="inlineStr">
        <is>
          <t>DADOS_AM!EB22</t>
        </is>
      </c>
      <c r="D715" s="198" t="inlineStr">
        <is>
          <t>entrada</t>
        </is>
      </c>
    </row>
    <row r="716">
      <c r="A716" s="198" t="inlineStr">
        <is>
          <t>feitico.21.nome</t>
        </is>
      </c>
      <c r="B716" s="198">
        <f>IF(ISBLANK(DADOS_AM!$EC$22),"",DADOS_AM!$EC$22&amp;"")</f>
        <v/>
      </c>
      <c r="C716" s="198" t="inlineStr">
        <is>
          <t>DADOS_AM!EC22</t>
        </is>
      </c>
      <c r="D716" s="198" t="inlineStr">
        <is>
          <t>entrada</t>
        </is>
      </c>
    </row>
    <row r="717">
      <c r="A717" s="198" t="inlineStr">
        <is>
          <t>feitico.21.forma</t>
        </is>
      </c>
      <c r="B717" s="198">
        <f>IF(ISBLANK(DADOS_AM!$ED$22),"",DADOS_AM!$ED$22&amp;"")</f>
        <v/>
      </c>
      <c r="C717" s="198" t="inlineStr">
        <is>
          <t>DADOS_AM!ED22</t>
        </is>
      </c>
      <c r="D717" s="198" t="inlineStr">
        <is>
          <t>entrada</t>
        </is>
      </c>
    </row>
    <row r="718">
      <c r="A718" s="198" t="inlineStr">
        <is>
          <t>feitico.21.pecas</t>
        </is>
      </c>
      <c r="B718" s="198">
        <f>TEXTJOIN(" · ",TRUE,DADOS_AM!$EE$22,DADOS_AM!$EF$22,DADOS_AM!$EG$22,DADOS_AM!$EH$22)</f>
        <v/>
      </c>
      <c r="C718" s="198" t="inlineStr">
        <is>
          <t>DADOS_AM!EE22 DADOS_AM!EF22 DADOS_AM!EG22 DADOS_AM!EH22</t>
        </is>
      </c>
      <c r="D718" s="198" t="inlineStr">
        <is>
          <t>entrada</t>
        </is>
      </c>
    </row>
    <row r="719">
      <c r="A719" s="198" t="inlineStr">
        <is>
          <t>feitico.21.restricoes</t>
        </is>
      </c>
      <c r="B719" s="198">
        <f>TEXTJOIN(" · ",TRUE,DADOS_AM!$EI$22,DADOS_AM!$EJ$22)</f>
        <v/>
      </c>
      <c r="C719" s="198" t="inlineStr">
        <is>
          <t>DADOS_AM!EI22 DADOS_AM!EJ22</t>
        </is>
      </c>
      <c r="D719" s="198" t="inlineStr">
        <is>
          <t>entrada</t>
        </is>
      </c>
    </row>
    <row r="720">
      <c r="A720" s="198" t="inlineStr">
        <is>
          <t>feitico.21.pe</t>
        </is>
      </c>
      <c r="B720" s="198">
        <f>IF(ISBLANK(DADOS_AM!$GR$22),"",DADOS_AM!$GR$22&amp;"")</f>
        <v/>
      </c>
      <c r="C720" s="198" t="inlineStr">
        <is>
          <t>DADOS_AM!GR22</t>
        </is>
      </c>
      <c r="D720" s="198" t="inlineStr">
        <is>
          <t>resultado</t>
        </is>
      </c>
    </row>
    <row r="721">
      <c r="A721" s="198" t="inlineStr">
        <is>
          <t>feitico.21.dano</t>
        </is>
      </c>
      <c r="B721" s="198">
        <f>IF(ISBLANK(DADOS_AM!$GU$22),"",DADOS_AM!$GU$22&amp;"")</f>
        <v/>
      </c>
      <c r="C721" s="198" t="inlineStr">
        <is>
          <t>DADOS_AM!GU22</t>
        </is>
      </c>
      <c r="D721" s="198" t="inlineStr">
        <is>
          <t>resultado</t>
        </is>
      </c>
    </row>
    <row r="722">
      <c r="A722" s="198" t="inlineStr">
        <is>
          <t>feitico.21.alcance</t>
        </is>
      </c>
      <c r="B722" s="198">
        <f>IF(ISBLANK(DADOS_AM!$GZ$22),"",DADOS_AM!$GZ$22&amp;"")</f>
        <v/>
      </c>
      <c r="C722" s="198" t="inlineStr">
        <is>
          <t>DADOS_AM!GZ22</t>
        </is>
      </c>
      <c r="D722" s="198" t="inlineStr">
        <is>
          <t>resultado</t>
        </is>
      </c>
    </row>
    <row r="723">
      <c r="A723" s="198" t="inlineStr">
        <is>
          <t>feitico.21.resolve</t>
        </is>
      </c>
      <c r="B723" s="198">
        <f>IF(ISBLANK(DADOS_AM!$GT$22),"",DADOS_AM!$GT$22&amp;"")</f>
        <v/>
      </c>
      <c r="C723" s="198" t="inlineStr">
        <is>
          <t>DADOS_AM!GT22</t>
        </is>
      </c>
      <c r="D723" s="198" t="inlineStr">
        <is>
          <t>resultado</t>
        </is>
      </c>
    </row>
    <row r="724">
      <c r="A724" s="198" t="inlineStr">
        <is>
          <t>feitico.21.erros</t>
        </is>
      </c>
      <c r="B724" s="198">
        <f>IF(ISBLANK(DADOS_AM!$GL$22),"",DADOS_AM!$GL$22&amp;"")</f>
        <v/>
      </c>
      <c r="C724" s="198" t="inlineStr">
        <is>
          <t>DADOS_AM!GL22</t>
        </is>
      </c>
      <c r="D724" s="198" t="inlineStr">
        <is>
          <t>aviso</t>
        </is>
      </c>
    </row>
    <row r="725">
      <c r="A725" s="198" t="inlineStr">
        <is>
          <t>feitico.21.avisos</t>
        </is>
      </c>
      <c r="B725" s="198">
        <f>IF(ISBLANK(DADOS_AM!$GN$22),"",DADOS_AM!$GN$22&amp;"")</f>
        <v/>
      </c>
      <c r="C725" s="198" t="inlineStr">
        <is>
          <t>DADOS_AM!GN22</t>
        </is>
      </c>
      <c r="D725" s="198" t="inlineStr">
        <is>
          <t>aviso</t>
        </is>
      </c>
    </row>
    <row r="726">
      <c r="A726" s="198" t="inlineStr">
        <is>
          <t>feitico.22.classe</t>
        </is>
      </c>
      <c r="B726" s="198">
        <f>IF(ISBLANK(DADOS_AM!$EB$23),"",DADOS_AM!$EB$23&amp;"")</f>
        <v/>
      </c>
      <c r="C726" s="198" t="inlineStr">
        <is>
          <t>DADOS_AM!EB23</t>
        </is>
      </c>
      <c r="D726" s="198" t="inlineStr">
        <is>
          <t>entrada</t>
        </is>
      </c>
    </row>
    <row r="727">
      <c r="A727" s="198" t="inlineStr">
        <is>
          <t>feitico.22.nome</t>
        </is>
      </c>
      <c r="B727" s="198">
        <f>IF(ISBLANK(DADOS_AM!$EC$23),"",DADOS_AM!$EC$23&amp;"")</f>
        <v/>
      </c>
      <c r="C727" s="198" t="inlineStr">
        <is>
          <t>DADOS_AM!EC23</t>
        </is>
      </c>
      <c r="D727" s="198" t="inlineStr">
        <is>
          <t>entrada</t>
        </is>
      </c>
    </row>
    <row r="728">
      <c r="A728" s="198" t="inlineStr">
        <is>
          <t>feitico.22.forma</t>
        </is>
      </c>
      <c r="B728" s="198">
        <f>IF(ISBLANK(DADOS_AM!$ED$23),"",DADOS_AM!$ED$23&amp;"")</f>
        <v/>
      </c>
      <c r="C728" s="198" t="inlineStr">
        <is>
          <t>DADOS_AM!ED23</t>
        </is>
      </c>
      <c r="D728" s="198" t="inlineStr">
        <is>
          <t>entrada</t>
        </is>
      </c>
    </row>
    <row r="729">
      <c r="A729" s="198" t="inlineStr">
        <is>
          <t>feitico.22.pecas</t>
        </is>
      </c>
      <c r="B729" s="198">
        <f>TEXTJOIN(" · ",TRUE,DADOS_AM!$EE$23,DADOS_AM!$EF$23,DADOS_AM!$EG$23,DADOS_AM!$EH$23)</f>
        <v/>
      </c>
      <c r="C729" s="198" t="inlineStr">
        <is>
          <t>DADOS_AM!EE23 DADOS_AM!EF23 DADOS_AM!EG23 DADOS_AM!EH23</t>
        </is>
      </c>
      <c r="D729" s="198" t="inlineStr">
        <is>
          <t>entrada</t>
        </is>
      </c>
    </row>
    <row r="730">
      <c r="A730" s="198" t="inlineStr">
        <is>
          <t>feitico.22.restricoes</t>
        </is>
      </c>
      <c r="B730" s="198">
        <f>TEXTJOIN(" · ",TRUE,DADOS_AM!$EI$23,DADOS_AM!$EJ$23)</f>
        <v/>
      </c>
      <c r="C730" s="198" t="inlineStr">
        <is>
          <t>DADOS_AM!EI23 DADOS_AM!EJ23</t>
        </is>
      </c>
      <c r="D730" s="198" t="inlineStr">
        <is>
          <t>entrada</t>
        </is>
      </c>
    </row>
    <row r="731">
      <c r="A731" s="198" t="inlineStr">
        <is>
          <t>feitico.22.pe</t>
        </is>
      </c>
      <c r="B731" s="198">
        <f>IF(ISBLANK(DADOS_AM!$GR$23),"",DADOS_AM!$GR$23&amp;"")</f>
        <v/>
      </c>
      <c r="C731" s="198" t="inlineStr">
        <is>
          <t>DADOS_AM!GR23</t>
        </is>
      </c>
      <c r="D731" s="198" t="inlineStr">
        <is>
          <t>resultado</t>
        </is>
      </c>
    </row>
    <row r="732">
      <c r="A732" s="198" t="inlineStr">
        <is>
          <t>feitico.22.dano</t>
        </is>
      </c>
      <c r="B732" s="198">
        <f>IF(ISBLANK(DADOS_AM!$GU$23),"",DADOS_AM!$GU$23&amp;"")</f>
        <v/>
      </c>
      <c r="C732" s="198" t="inlineStr">
        <is>
          <t>DADOS_AM!GU23</t>
        </is>
      </c>
      <c r="D732" s="198" t="inlineStr">
        <is>
          <t>resultado</t>
        </is>
      </c>
    </row>
    <row r="733">
      <c r="A733" s="198" t="inlineStr">
        <is>
          <t>feitico.22.alcance</t>
        </is>
      </c>
      <c r="B733" s="198">
        <f>IF(ISBLANK(DADOS_AM!$GZ$23),"",DADOS_AM!$GZ$23&amp;"")</f>
        <v/>
      </c>
      <c r="C733" s="198" t="inlineStr">
        <is>
          <t>DADOS_AM!GZ23</t>
        </is>
      </c>
      <c r="D733" s="198" t="inlineStr">
        <is>
          <t>resultado</t>
        </is>
      </c>
    </row>
    <row r="734">
      <c r="A734" s="198" t="inlineStr">
        <is>
          <t>feitico.22.resolve</t>
        </is>
      </c>
      <c r="B734" s="198">
        <f>IF(ISBLANK(DADOS_AM!$GT$23),"",DADOS_AM!$GT$23&amp;"")</f>
        <v/>
      </c>
      <c r="C734" s="198" t="inlineStr">
        <is>
          <t>DADOS_AM!GT23</t>
        </is>
      </c>
      <c r="D734" s="198" t="inlineStr">
        <is>
          <t>resultado</t>
        </is>
      </c>
    </row>
    <row r="735">
      <c r="A735" s="198" t="inlineStr">
        <is>
          <t>feitico.22.erros</t>
        </is>
      </c>
      <c r="B735" s="198">
        <f>IF(ISBLANK(DADOS_AM!$GL$23),"",DADOS_AM!$GL$23&amp;"")</f>
        <v/>
      </c>
      <c r="C735" s="198" t="inlineStr">
        <is>
          <t>DADOS_AM!GL23</t>
        </is>
      </c>
      <c r="D735" s="198" t="inlineStr">
        <is>
          <t>aviso</t>
        </is>
      </c>
    </row>
    <row r="736">
      <c r="A736" s="198" t="inlineStr">
        <is>
          <t>feitico.22.avisos</t>
        </is>
      </c>
      <c r="B736" s="198">
        <f>IF(ISBLANK(DADOS_AM!$GN$23),"",DADOS_AM!$GN$23&amp;"")</f>
        <v/>
      </c>
      <c r="C736" s="198" t="inlineStr">
        <is>
          <t>DADOS_AM!GN23</t>
        </is>
      </c>
      <c r="D736" s="198" t="inlineStr">
        <is>
          <t>aviso</t>
        </is>
      </c>
    </row>
    <row r="737">
      <c r="A737" s="198" t="inlineStr">
        <is>
          <t>feitico.23.classe</t>
        </is>
      </c>
      <c r="B737" s="198">
        <f>IF(ISBLANK(DADOS_AM!$EB$24),"",DADOS_AM!$EB$24&amp;"")</f>
        <v/>
      </c>
      <c r="C737" s="198" t="inlineStr">
        <is>
          <t>DADOS_AM!EB24</t>
        </is>
      </c>
      <c r="D737" s="198" t="inlineStr">
        <is>
          <t>entrada</t>
        </is>
      </c>
    </row>
    <row r="738">
      <c r="A738" s="198" t="inlineStr">
        <is>
          <t>feitico.23.nome</t>
        </is>
      </c>
      <c r="B738" s="198">
        <f>IF(ISBLANK(DADOS_AM!$EC$24),"",DADOS_AM!$EC$24&amp;"")</f>
        <v/>
      </c>
      <c r="C738" s="198" t="inlineStr">
        <is>
          <t>DADOS_AM!EC24</t>
        </is>
      </c>
      <c r="D738" s="198" t="inlineStr">
        <is>
          <t>entrada</t>
        </is>
      </c>
    </row>
    <row r="739">
      <c r="A739" s="198" t="inlineStr">
        <is>
          <t>feitico.23.forma</t>
        </is>
      </c>
      <c r="B739" s="198">
        <f>IF(ISBLANK(DADOS_AM!$ED$24),"",DADOS_AM!$ED$24&amp;"")</f>
        <v/>
      </c>
      <c r="C739" s="198" t="inlineStr">
        <is>
          <t>DADOS_AM!ED24</t>
        </is>
      </c>
      <c r="D739" s="198" t="inlineStr">
        <is>
          <t>entrada</t>
        </is>
      </c>
    </row>
    <row r="740">
      <c r="A740" s="198" t="inlineStr">
        <is>
          <t>feitico.23.pecas</t>
        </is>
      </c>
      <c r="B740" s="198">
        <f>TEXTJOIN(" · ",TRUE,DADOS_AM!$EE$24,DADOS_AM!$EF$24,DADOS_AM!$EG$24,DADOS_AM!$EH$24)</f>
        <v/>
      </c>
      <c r="C740" s="198" t="inlineStr">
        <is>
          <t>DADOS_AM!EE24 DADOS_AM!EF24 DADOS_AM!EG24 DADOS_AM!EH24</t>
        </is>
      </c>
      <c r="D740" s="198" t="inlineStr">
        <is>
          <t>entrada</t>
        </is>
      </c>
    </row>
    <row r="741">
      <c r="A741" s="198" t="inlineStr">
        <is>
          <t>feitico.23.restricoes</t>
        </is>
      </c>
      <c r="B741" s="198">
        <f>TEXTJOIN(" · ",TRUE,DADOS_AM!$EI$24,DADOS_AM!$EJ$24)</f>
        <v/>
      </c>
      <c r="C741" s="198" t="inlineStr">
        <is>
          <t>DADOS_AM!EI24 DADOS_AM!EJ24</t>
        </is>
      </c>
      <c r="D741" s="198" t="inlineStr">
        <is>
          <t>entrada</t>
        </is>
      </c>
    </row>
    <row r="742">
      <c r="A742" s="198" t="inlineStr">
        <is>
          <t>feitico.23.pe</t>
        </is>
      </c>
      <c r="B742" s="198">
        <f>IF(ISBLANK(DADOS_AM!$GR$24),"",DADOS_AM!$GR$24&amp;"")</f>
        <v/>
      </c>
      <c r="C742" s="198" t="inlineStr">
        <is>
          <t>DADOS_AM!GR24</t>
        </is>
      </c>
      <c r="D742" s="198" t="inlineStr">
        <is>
          <t>resultado</t>
        </is>
      </c>
    </row>
    <row r="743">
      <c r="A743" s="198" t="inlineStr">
        <is>
          <t>feitico.23.dano</t>
        </is>
      </c>
      <c r="B743" s="198">
        <f>IF(ISBLANK(DADOS_AM!$GU$24),"",DADOS_AM!$GU$24&amp;"")</f>
        <v/>
      </c>
      <c r="C743" s="198" t="inlineStr">
        <is>
          <t>DADOS_AM!GU24</t>
        </is>
      </c>
      <c r="D743" s="198" t="inlineStr">
        <is>
          <t>resultado</t>
        </is>
      </c>
    </row>
    <row r="744">
      <c r="A744" s="198" t="inlineStr">
        <is>
          <t>feitico.23.alcance</t>
        </is>
      </c>
      <c r="B744" s="198">
        <f>IF(ISBLANK(DADOS_AM!$GZ$24),"",DADOS_AM!$GZ$24&amp;"")</f>
        <v/>
      </c>
      <c r="C744" s="198" t="inlineStr">
        <is>
          <t>DADOS_AM!GZ24</t>
        </is>
      </c>
      <c r="D744" s="198" t="inlineStr">
        <is>
          <t>resultado</t>
        </is>
      </c>
    </row>
    <row r="745">
      <c r="A745" s="198" t="inlineStr">
        <is>
          <t>feitico.23.resolve</t>
        </is>
      </c>
      <c r="B745" s="198">
        <f>IF(ISBLANK(DADOS_AM!$GT$24),"",DADOS_AM!$GT$24&amp;"")</f>
        <v/>
      </c>
      <c r="C745" s="198" t="inlineStr">
        <is>
          <t>DADOS_AM!GT24</t>
        </is>
      </c>
      <c r="D745" s="198" t="inlineStr">
        <is>
          <t>resultado</t>
        </is>
      </c>
    </row>
    <row r="746">
      <c r="A746" s="198" t="inlineStr">
        <is>
          <t>feitico.23.erros</t>
        </is>
      </c>
      <c r="B746" s="198">
        <f>IF(ISBLANK(DADOS_AM!$GL$24),"",DADOS_AM!$GL$24&amp;"")</f>
        <v/>
      </c>
      <c r="C746" s="198" t="inlineStr">
        <is>
          <t>DADOS_AM!GL24</t>
        </is>
      </c>
      <c r="D746" s="198" t="inlineStr">
        <is>
          <t>aviso</t>
        </is>
      </c>
    </row>
    <row r="747">
      <c r="A747" s="198" t="inlineStr">
        <is>
          <t>feitico.23.avisos</t>
        </is>
      </c>
      <c r="B747" s="198">
        <f>IF(ISBLANK(DADOS_AM!$GN$24),"",DADOS_AM!$GN$24&amp;"")</f>
        <v/>
      </c>
      <c r="C747" s="198" t="inlineStr">
        <is>
          <t>DADOS_AM!GN24</t>
        </is>
      </c>
      <c r="D747" s="198" t="inlineStr">
        <is>
          <t>aviso</t>
        </is>
      </c>
    </row>
    <row r="748">
      <c r="A748" s="198" t="inlineStr">
        <is>
          <t>feitico.24.classe</t>
        </is>
      </c>
      <c r="B748" s="198">
        <f>IF(ISBLANK(DADOS_AM!$EB$25),"",DADOS_AM!$EB$25&amp;"")</f>
        <v/>
      </c>
      <c r="C748" s="198" t="inlineStr">
        <is>
          <t>DADOS_AM!EB25</t>
        </is>
      </c>
      <c r="D748" s="198" t="inlineStr">
        <is>
          <t>entrada</t>
        </is>
      </c>
    </row>
    <row r="749">
      <c r="A749" s="198" t="inlineStr">
        <is>
          <t>feitico.24.nome</t>
        </is>
      </c>
      <c r="B749" s="198">
        <f>IF(ISBLANK(DADOS_AM!$EC$25),"",DADOS_AM!$EC$25&amp;"")</f>
        <v/>
      </c>
      <c r="C749" s="198" t="inlineStr">
        <is>
          <t>DADOS_AM!EC25</t>
        </is>
      </c>
      <c r="D749" s="198" t="inlineStr">
        <is>
          <t>entrada</t>
        </is>
      </c>
    </row>
    <row r="750">
      <c r="A750" s="198" t="inlineStr">
        <is>
          <t>feitico.24.forma</t>
        </is>
      </c>
      <c r="B750" s="198">
        <f>IF(ISBLANK(DADOS_AM!$ED$25),"",DADOS_AM!$ED$25&amp;"")</f>
        <v/>
      </c>
      <c r="C750" s="198" t="inlineStr">
        <is>
          <t>DADOS_AM!ED25</t>
        </is>
      </c>
      <c r="D750" s="198" t="inlineStr">
        <is>
          <t>entrada</t>
        </is>
      </c>
    </row>
    <row r="751">
      <c r="A751" s="198" t="inlineStr">
        <is>
          <t>feitico.24.pecas</t>
        </is>
      </c>
      <c r="B751" s="198">
        <f>TEXTJOIN(" · ",TRUE,DADOS_AM!$EE$25,DADOS_AM!$EF$25,DADOS_AM!$EG$25,DADOS_AM!$EH$25)</f>
        <v/>
      </c>
      <c r="C751" s="198" t="inlineStr">
        <is>
          <t>DADOS_AM!EE25 DADOS_AM!EF25 DADOS_AM!EG25 DADOS_AM!EH25</t>
        </is>
      </c>
      <c r="D751" s="198" t="inlineStr">
        <is>
          <t>entrada</t>
        </is>
      </c>
    </row>
    <row r="752">
      <c r="A752" s="198" t="inlineStr">
        <is>
          <t>feitico.24.restricoes</t>
        </is>
      </c>
      <c r="B752" s="198">
        <f>TEXTJOIN(" · ",TRUE,DADOS_AM!$EI$25,DADOS_AM!$EJ$25)</f>
        <v/>
      </c>
      <c r="C752" s="198" t="inlineStr">
        <is>
          <t>DADOS_AM!EI25 DADOS_AM!EJ25</t>
        </is>
      </c>
      <c r="D752" s="198" t="inlineStr">
        <is>
          <t>entrada</t>
        </is>
      </c>
    </row>
    <row r="753">
      <c r="A753" s="198" t="inlineStr">
        <is>
          <t>feitico.24.pe</t>
        </is>
      </c>
      <c r="B753" s="198">
        <f>IF(ISBLANK(DADOS_AM!$GR$25),"",DADOS_AM!$GR$25&amp;"")</f>
        <v/>
      </c>
      <c r="C753" s="198" t="inlineStr">
        <is>
          <t>DADOS_AM!GR25</t>
        </is>
      </c>
      <c r="D753" s="198" t="inlineStr">
        <is>
          <t>resultado</t>
        </is>
      </c>
    </row>
    <row r="754">
      <c r="A754" s="198" t="inlineStr">
        <is>
          <t>feitico.24.dano</t>
        </is>
      </c>
      <c r="B754" s="198">
        <f>IF(ISBLANK(DADOS_AM!$GU$25),"",DADOS_AM!$GU$25&amp;"")</f>
        <v/>
      </c>
      <c r="C754" s="198" t="inlineStr">
        <is>
          <t>DADOS_AM!GU25</t>
        </is>
      </c>
      <c r="D754" s="198" t="inlineStr">
        <is>
          <t>resultado</t>
        </is>
      </c>
    </row>
    <row r="755">
      <c r="A755" s="198" t="inlineStr">
        <is>
          <t>feitico.24.alcance</t>
        </is>
      </c>
      <c r="B755" s="198">
        <f>IF(ISBLANK(DADOS_AM!$GZ$25),"",DADOS_AM!$GZ$25&amp;"")</f>
        <v/>
      </c>
      <c r="C755" s="198" t="inlineStr">
        <is>
          <t>DADOS_AM!GZ25</t>
        </is>
      </c>
      <c r="D755" s="198" t="inlineStr">
        <is>
          <t>resultado</t>
        </is>
      </c>
    </row>
    <row r="756">
      <c r="A756" s="198" t="inlineStr">
        <is>
          <t>feitico.24.resolve</t>
        </is>
      </c>
      <c r="B756" s="198">
        <f>IF(ISBLANK(DADOS_AM!$GT$25),"",DADOS_AM!$GT$25&amp;"")</f>
        <v/>
      </c>
      <c r="C756" s="198" t="inlineStr">
        <is>
          <t>DADOS_AM!GT25</t>
        </is>
      </c>
      <c r="D756" s="198" t="inlineStr">
        <is>
          <t>resultado</t>
        </is>
      </c>
    </row>
    <row r="757">
      <c r="A757" s="198" t="inlineStr">
        <is>
          <t>feitico.24.erros</t>
        </is>
      </c>
      <c r="B757" s="198">
        <f>IF(ISBLANK(DADOS_AM!$GL$25),"",DADOS_AM!$GL$25&amp;"")</f>
        <v/>
      </c>
      <c r="C757" s="198" t="inlineStr">
        <is>
          <t>DADOS_AM!GL25</t>
        </is>
      </c>
      <c r="D757" s="198" t="inlineStr">
        <is>
          <t>aviso</t>
        </is>
      </c>
    </row>
    <row r="758">
      <c r="A758" s="198" t="inlineStr">
        <is>
          <t>feitico.24.avisos</t>
        </is>
      </c>
      <c r="B758" s="198">
        <f>IF(ISBLANK(DADOS_AM!$GN$25),"",DADOS_AM!$GN$25&amp;"")</f>
        <v/>
      </c>
      <c r="C758" s="198" t="inlineStr">
        <is>
          <t>DADOS_AM!GN25</t>
        </is>
      </c>
      <c r="D758" s="198" t="inlineStr">
        <is>
          <t>aviso</t>
        </is>
      </c>
    </row>
    <row r="759">
      <c r="A759" s="198" t="inlineStr">
        <is>
          <t>feitico.25.classe</t>
        </is>
      </c>
      <c r="B759" s="198">
        <f>IF(ISBLANK(DADOS_AM!$EB$26),"",DADOS_AM!$EB$26&amp;"")</f>
        <v/>
      </c>
      <c r="C759" s="198" t="inlineStr">
        <is>
          <t>DADOS_AM!EB26</t>
        </is>
      </c>
      <c r="D759" s="198" t="inlineStr">
        <is>
          <t>entrada</t>
        </is>
      </c>
    </row>
    <row r="760">
      <c r="A760" s="198" t="inlineStr">
        <is>
          <t>feitico.25.nome</t>
        </is>
      </c>
      <c r="B760" s="198">
        <f>IF(ISBLANK(DADOS_AM!$EC$26),"",DADOS_AM!$EC$26&amp;"")</f>
        <v/>
      </c>
      <c r="C760" s="198" t="inlineStr">
        <is>
          <t>DADOS_AM!EC26</t>
        </is>
      </c>
      <c r="D760" s="198" t="inlineStr">
        <is>
          <t>entrada</t>
        </is>
      </c>
    </row>
    <row r="761">
      <c r="A761" s="198" t="inlineStr">
        <is>
          <t>feitico.25.forma</t>
        </is>
      </c>
      <c r="B761" s="198">
        <f>IF(ISBLANK(DADOS_AM!$ED$26),"",DADOS_AM!$ED$26&amp;"")</f>
        <v/>
      </c>
      <c r="C761" s="198" t="inlineStr">
        <is>
          <t>DADOS_AM!ED26</t>
        </is>
      </c>
      <c r="D761" s="198" t="inlineStr">
        <is>
          <t>entrada</t>
        </is>
      </c>
    </row>
    <row r="762">
      <c r="A762" s="198" t="inlineStr">
        <is>
          <t>feitico.25.pecas</t>
        </is>
      </c>
      <c r="B762" s="198">
        <f>TEXTJOIN(" · ",TRUE,DADOS_AM!$EE$26,DADOS_AM!$EF$26,DADOS_AM!$EG$26,DADOS_AM!$EH$26)</f>
        <v/>
      </c>
      <c r="C762" s="198" t="inlineStr">
        <is>
          <t>DADOS_AM!EE26 DADOS_AM!EF26 DADOS_AM!EG26 DADOS_AM!EH26</t>
        </is>
      </c>
      <c r="D762" s="198" t="inlineStr">
        <is>
          <t>entrada</t>
        </is>
      </c>
    </row>
    <row r="763">
      <c r="A763" s="198" t="inlineStr">
        <is>
          <t>feitico.25.restricoes</t>
        </is>
      </c>
      <c r="B763" s="198">
        <f>TEXTJOIN(" · ",TRUE,DADOS_AM!$EI$26,DADOS_AM!$EJ$26)</f>
        <v/>
      </c>
      <c r="C763" s="198" t="inlineStr">
        <is>
          <t>DADOS_AM!EI26 DADOS_AM!EJ26</t>
        </is>
      </c>
      <c r="D763" s="198" t="inlineStr">
        <is>
          <t>entrada</t>
        </is>
      </c>
    </row>
    <row r="764">
      <c r="A764" s="198" t="inlineStr">
        <is>
          <t>feitico.25.pe</t>
        </is>
      </c>
      <c r="B764" s="198">
        <f>IF(ISBLANK(DADOS_AM!$GR$26),"",DADOS_AM!$GR$26&amp;"")</f>
        <v/>
      </c>
      <c r="C764" s="198" t="inlineStr">
        <is>
          <t>DADOS_AM!GR26</t>
        </is>
      </c>
      <c r="D764" s="198" t="inlineStr">
        <is>
          <t>resultado</t>
        </is>
      </c>
    </row>
    <row r="765">
      <c r="A765" s="198" t="inlineStr">
        <is>
          <t>feitico.25.dano</t>
        </is>
      </c>
      <c r="B765" s="198">
        <f>IF(ISBLANK(DADOS_AM!$GU$26),"",DADOS_AM!$GU$26&amp;"")</f>
        <v/>
      </c>
      <c r="C765" s="198" t="inlineStr">
        <is>
          <t>DADOS_AM!GU26</t>
        </is>
      </c>
      <c r="D765" s="198" t="inlineStr">
        <is>
          <t>resultado</t>
        </is>
      </c>
    </row>
    <row r="766">
      <c r="A766" s="198" t="inlineStr">
        <is>
          <t>feitico.25.alcance</t>
        </is>
      </c>
      <c r="B766" s="198">
        <f>IF(ISBLANK(DADOS_AM!$GZ$26),"",DADOS_AM!$GZ$26&amp;"")</f>
        <v/>
      </c>
      <c r="C766" s="198" t="inlineStr">
        <is>
          <t>DADOS_AM!GZ26</t>
        </is>
      </c>
      <c r="D766" s="198" t="inlineStr">
        <is>
          <t>resultado</t>
        </is>
      </c>
    </row>
    <row r="767">
      <c r="A767" s="198" t="inlineStr">
        <is>
          <t>feitico.25.resolve</t>
        </is>
      </c>
      <c r="B767" s="198">
        <f>IF(ISBLANK(DADOS_AM!$GT$26),"",DADOS_AM!$GT$26&amp;"")</f>
        <v/>
      </c>
      <c r="C767" s="198" t="inlineStr">
        <is>
          <t>DADOS_AM!GT26</t>
        </is>
      </c>
      <c r="D767" s="198" t="inlineStr">
        <is>
          <t>resultado</t>
        </is>
      </c>
    </row>
    <row r="768">
      <c r="A768" s="198" t="inlineStr">
        <is>
          <t>feitico.25.erros</t>
        </is>
      </c>
      <c r="B768" s="198">
        <f>IF(ISBLANK(DADOS_AM!$GL$26),"",DADOS_AM!$GL$26&amp;"")</f>
        <v/>
      </c>
      <c r="C768" s="198" t="inlineStr">
        <is>
          <t>DADOS_AM!GL26</t>
        </is>
      </c>
      <c r="D768" s="198" t="inlineStr">
        <is>
          <t>aviso</t>
        </is>
      </c>
    </row>
    <row r="769">
      <c r="A769" s="198" t="inlineStr">
        <is>
          <t>feitico.25.avisos</t>
        </is>
      </c>
      <c r="B769" s="198">
        <f>IF(ISBLANK(DADOS_AM!$GN$26),"",DADOS_AM!$GN$26&amp;"")</f>
        <v/>
      </c>
      <c r="C769" s="198" t="inlineStr">
        <is>
          <t>DADOS_AM!GN26</t>
        </is>
      </c>
      <c r="D769" s="198" t="inlineStr">
        <is>
          <t>aviso</t>
        </is>
      </c>
    </row>
    <row r="770">
      <c r="A770" s="198" t="inlineStr">
        <is>
          <t>feitico.26.classe</t>
        </is>
      </c>
      <c r="B770" s="198">
        <f>IF(ISBLANK(DADOS_AM!$EB$27),"",DADOS_AM!$EB$27&amp;"")</f>
        <v/>
      </c>
      <c r="C770" s="198" t="inlineStr">
        <is>
          <t>DADOS_AM!EB27</t>
        </is>
      </c>
      <c r="D770" s="198" t="inlineStr">
        <is>
          <t>entrada</t>
        </is>
      </c>
    </row>
    <row r="771">
      <c r="A771" s="198" t="inlineStr">
        <is>
          <t>feitico.26.nome</t>
        </is>
      </c>
      <c r="B771" s="198">
        <f>IF(ISBLANK(DADOS_AM!$EC$27),"",DADOS_AM!$EC$27&amp;"")</f>
        <v/>
      </c>
      <c r="C771" s="198" t="inlineStr">
        <is>
          <t>DADOS_AM!EC27</t>
        </is>
      </c>
      <c r="D771" s="198" t="inlineStr">
        <is>
          <t>entrada</t>
        </is>
      </c>
    </row>
    <row r="772">
      <c r="A772" s="198" t="inlineStr">
        <is>
          <t>feitico.26.forma</t>
        </is>
      </c>
      <c r="B772" s="198">
        <f>IF(ISBLANK(DADOS_AM!$ED$27),"",DADOS_AM!$ED$27&amp;"")</f>
        <v/>
      </c>
      <c r="C772" s="198" t="inlineStr">
        <is>
          <t>DADOS_AM!ED27</t>
        </is>
      </c>
      <c r="D772" s="198" t="inlineStr">
        <is>
          <t>entrada</t>
        </is>
      </c>
    </row>
    <row r="773">
      <c r="A773" s="198" t="inlineStr">
        <is>
          <t>feitico.26.pecas</t>
        </is>
      </c>
      <c r="B773" s="198">
        <f>TEXTJOIN(" · ",TRUE,DADOS_AM!$EE$27,DADOS_AM!$EF$27,DADOS_AM!$EG$27,DADOS_AM!$EH$27)</f>
        <v/>
      </c>
      <c r="C773" s="198" t="inlineStr">
        <is>
          <t>DADOS_AM!EE27 DADOS_AM!EF27 DADOS_AM!EG27 DADOS_AM!EH27</t>
        </is>
      </c>
      <c r="D773" s="198" t="inlineStr">
        <is>
          <t>entrada</t>
        </is>
      </c>
    </row>
    <row r="774">
      <c r="A774" s="198" t="inlineStr">
        <is>
          <t>feitico.26.restricoes</t>
        </is>
      </c>
      <c r="B774" s="198">
        <f>TEXTJOIN(" · ",TRUE,DADOS_AM!$EI$27,DADOS_AM!$EJ$27)</f>
        <v/>
      </c>
      <c r="C774" s="198" t="inlineStr">
        <is>
          <t>DADOS_AM!EI27 DADOS_AM!EJ27</t>
        </is>
      </c>
      <c r="D774" s="198" t="inlineStr">
        <is>
          <t>entrada</t>
        </is>
      </c>
    </row>
    <row r="775">
      <c r="A775" s="198" t="inlineStr">
        <is>
          <t>feitico.26.pe</t>
        </is>
      </c>
      <c r="B775" s="198">
        <f>IF(ISBLANK(DADOS_AM!$GR$27),"",DADOS_AM!$GR$27&amp;"")</f>
        <v/>
      </c>
      <c r="C775" s="198" t="inlineStr">
        <is>
          <t>DADOS_AM!GR27</t>
        </is>
      </c>
      <c r="D775" s="198" t="inlineStr">
        <is>
          <t>resultado</t>
        </is>
      </c>
    </row>
    <row r="776">
      <c r="A776" s="198" t="inlineStr">
        <is>
          <t>feitico.26.dano</t>
        </is>
      </c>
      <c r="B776" s="198">
        <f>IF(ISBLANK(DADOS_AM!$GU$27),"",DADOS_AM!$GU$27&amp;"")</f>
        <v/>
      </c>
      <c r="C776" s="198" t="inlineStr">
        <is>
          <t>DADOS_AM!GU27</t>
        </is>
      </c>
      <c r="D776" s="198" t="inlineStr">
        <is>
          <t>resultado</t>
        </is>
      </c>
    </row>
    <row r="777">
      <c r="A777" s="198" t="inlineStr">
        <is>
          <t>feitico.26.alcance</t>
        </is>
      </c>
      <c r="B777" s="198">
        <f>IF(ISBLANK(DADOS_AM!$GZ$27),"",DADOS_AM!$GZ$27&amp;"")</f>
        <v/>
      </c>
      <c r="C777" s="198" t="inlineStr">
        <is>
          <t>DADOS_AM!GZ27</t>
        </is>
      </c>
      <c r="D777" s="198" t="inlineStr">
        <is>
          <t>resultado</t>
        </is>
      </c>
    </row>
    <row r="778">
      <c r="A778" s="198" t="inlineStr">
        <is>
          <t>feitico.26.resolve</t>
        </is>
      </c>
      <c r="B778" s="198">
        <f>IF(ISBLANK(DADOS_AM!$GT$27),"",DADOS_AM!$GT$27&amp;"")</f>
        <v/>
      </c>
      <c r="C778" s="198" t="inlineStr">
        <is>
          <t>DADOS_AM!GT27</t>
        </is>
      </c>
      <c r="D778" s="198" t="inlineStr">
        <is>
          <t>resultado</t>
        </is>
      </c>
    </row>
    <row r="779">
      <c r="A779" s="198" t="inlineStr">
        <is>
          <t>feitico.26.erros</t>
        </is>
      </c>
      <c r="B779" s="198">
        <f>IF(ISBLANK(DADOS_AM!$GL$27),"",DADOS_AM!$GL$27&amp;"")</f>
        <v/>
      </c>
      <c r="C779" s="198" t="inlineStr">
        <is>
          <t>DADOS_AM!GL27</t>
        </is>
      </c>
      <c r="D779" s="198" t="inlineStr">
        <is>
          <t>aviso</t>
        </is>
      </c>
    </row>
    <row r="780">
      <c r="A780" s="198" t="inlineStr">
        <is>
          <t>feitico.26.avisos</t>
        </is>
      </c>
      <c r="B780" s="198">
        <f>IF(ISBLANK(DADOS_AM!$GN$27),"",DADOS_AM!$GN$27&amp;"")</f>
        <v/>
      </c>
      <c r="C780" s="198" t="inlineStr">
        <is>
          <t>DADOS_AM!GN27</t>
        </is>
      </c>
      <c r="D780" s="198" t="inlineStr">
        <is>
          <t>aviso</t>
        </is>
      </c>
    </row>
    <row r="781">
      <c r="A781" s="198" t="inlineStr">
        <is>
          <t>feitico.27.classe</t>
        </is>
      </c>
      <c r="B781" s="198">
        <f>IF(ISBLANK(DADOS_AM!$EB$28),"",DADOS_AM!$EB$28&amp;"")</f>
        <v/>
      </c>
      <c r="C781" s="198" t="inlineStr">
        <is>
          <t>DADOS_AM!EB28</t>
        </is>
      </c>
      <c r="D781" s="198" t="inlineStr">
        <is>
          <t>entrada</t>
        </is>
      </c>
    </row>
    <row r="782">
      <c r="A782" s="198" t="inlineStr">
        <is>
          <t>feitico.27.nome</t>
        </is>
      </c>
      <c r="B782" s="198">
        <f>IF(ISBLANK(DADOS_AM!$EC$28),"",DADOS_AM!$EC$28&amp;"")</f>
        <v/>
      </c>
      <c r="C782" s="198" t="inlineStr">
        <is>
          <t>DADOS_AM!EC28</t>
        </is>
      </c>
      <c r="D782" s="198" t="inlineStr">
        <is>
          <t>entrada</t>
        </is>
      </c>
    </row>
    <row r="783">
      <c r="A783" s="198" t="inlineStr">
        <is>
          <t>feitico.27.forma</t>
        </is>
      </c>
      <c r="B783" s="198">
        <f>IF(ISBLANK(DADOS_AM!$ED$28),"",DADOS_AM!$ED$28&amp;"")</f>
        <v/>
      </c>
      <c r="C783" s="198" t="inlineStr">
        <is>
          <t>DADOS_AM!ED28</t>
        </is>
      </c>
      <c r="D783" s="198" t="inlineStr">
        <is>
          <t>entrada</t>
        </is>
      </c>
    </row>
    <row r="784">
      <c r="A784" s="198" t="inlineStr">
        <is>
          <t>feitico.27.pecas</t>
        </is>
      </c>
      <c r="B784" s="198">
        <f>TEXTJOIN(" · ",TRUE,DADOS_AM!$EE$28,DADOS_AM!$EF$28,DADOS_AM!$EG$28,DADOS_AM!$EH$28)</f>
        <v/>
      </c>
      <c r="C784" s="198" t="inlineStr">
        <is>
          <t>DADOS_AM!EE28 DADOS_AM!EF28 DADOS_AM!EG28 DADOS_AM!EH28</t>
        </is>
      </c>
      <c r="D784" s="198" t="inlineStr">
        <is>
          <t>entrada</t>
        </is>
      </c>
    </row>
    <row r="785">
      <c r="A785" s="198" t="inlineStr">
        <is>
          <t>feitico.27.restricoes</t>
        </is>
      </c>
      <c r="B785" s="198">
        <f>TEXTJOIN(" · ",TRUE,DADOS_AM!$EI$28,DADOS_AM!$EJ$28)</f>
        <v/>
      </c>
      <c r="C785" s="198" t="inlineStr">
        <is>
          <t>DADOS_AM!EI28 DADOS_AM!EJ28</t>
        </is>
      </c>
      <c r="D785" s="198" t="inlineStr">
        <is>
          <t>entrada</t>
        </is>
      </c>
    </row>
    <row r="786">
      <c r="A786" s="198" t="inlineStr">
        <is>
          <t>feitico.27.pe</t>
        </is>
      </c>
      <c r="B786" s="198">
        <f>IF(ISBLANK(DADOS_AM!$GR$28),"",DADOS_AM!$GR$28&amp;"")</f>
        <v/>
      </c>
      <c r="C786" s="198" t="inlineStr">
        <is>
          <t>DADOS_AM!GR28</t>
        </is>
      </c>
      <c r="D786" s="198" t="inlineStr">
        <is>
          <t>resultado</t>
        </is>
      </c>
    </row>
    <row r="787">
      <c r="A787" s="198" t="inlineStr">
        <is>
          <t>feitico.27.dano</t>
        </is>
      </c>
      <c r="B787" s="198">
        <f>IF(ISBLANK(DADOS_AM!$GU$28),"",DADOS_AM!$GU$28&amp;"")</f>
        <v/>
      </c>
      <c r="C787" s="198" t="inlineStr">
        <is>
          <t>DADOS_AM!GU28</t>
        </is>
      </c>
      <c r="D787" s="198" t="inlineStr">
        <is>
          <t>resultado</t>
        </is>
      </c>
    </row>
    <row r="788">
      <c r="A788" s="198" t="inlineStr">
        <is>
          <t>feitico.27.alcance</t>
        </is>
      </c>
      <c r="B788" s="198">
        <f>IF(ISBLANK(DADOS_AM!$GZ$28),"",DADOS_AM!$GZ$28&amp;"")</f>
        <v/>
      </c>
      <c r="C788" s="198" t="inlineStr">
        <is>
          <t>DADOS_AM!GZ28</t>
        </is>
      </c>
      <c r="D788" s="198" t="inlineStr">
        <is>
          <t>resultado</t>
        </is>
      </c>
    </row>
    <row r="789">
      <c r="A789" s="198" t="inlineStr">
        <is>
          <t>feitico.27.resolve</t>
        </is>
      </c>
      <c r="B789" s="198">
        <f>IF(ISBLANK(DADOS_AM!$GT$28),"",DADOS_AM!$GT$28&amp;"")</f>
        <v/>
      </c>
      <c r="C789" s="198" t="inlineStr">
        <is>
          <t>DADOS_AM!GT28</t>
        </is>
      </c>
      <c r="D789" s="198" t="inlineStr">
        <is>
          <t>resultado</t>
        </is>
      </c>
    </row>
    <row r="790">
      <c r="A790" s="198" t="inlineStr">
        <is>
          <t>feitico.27.erros</t>
        </is>
      </c>
      <c r="B790" s="198">
        <f>IF(ISBLANK(DADOS_AM!$GL$28),"",DADOS_AM!$GL$28&amp;"")</f>
        <v/>
      </c>
      <c r="C790" s="198" t="inlineStr">
        <is>
          <t>DADOS_AM!GL28</t>
        </is>
      </c>
      <c r="D790" s="198" t="inlineStr">
        <is>
          <t>aviso</t>
        </is>
      </c>
    </row>
    <row r="791">
      <c r="A791" s="198" t="inlineStr">
        <is>
          <t>feitico.27.avisos</t>
        </is>
      </c>
      <c r="B791" s="198">
        <f>IF(ISBLANK(DADOS_AM!$GN$28),"",DADOS_AM!$GN$28&amp;"")</f>
        <v/>
      </c>
      <c r="C791" s="198" t="inlineStr">
        <is>
          <t>DADOS_AM!GN28</t>
        </is>
      </c>
      <c r="D791" s="198" t="inlineStr">
        <is>
          <t>aviso</t>
        </is>
      </c>
    </row>
    <row r="792">
      <c r="A792" s="198" t="inlineStr">
        <is>
          <t>feitico.28.classe</t>
        </is>
      </c>
      <c r="B792" s="198">
        <f>IF(ISBLANK(DADOS_AM!$EB$29),"",DADOS_AM!$EB$29&amp;"")</f>
        <v/>
      </c>
      <c r="C792" s="198" t="inlineStr">
        <is>
          <t>DADOS_AM!EB29</t>
        </is>
      </c>
      <c r="D792" s="198" t="inlineStr">
        <is>
          <t>entrada</t>
        </is>
      </c>
    </row>
    <row r="793">
      <c r="A793" s="198" t="inlineStr">
        <is>
          <t>feitico.28.nome</t>
        </is>
      </c>
      <c r="B793" s="198">
        <f>IF(ISBLANK(DADOS_AM!$EC$29),"",DADOS_AM!$EC$29&amp;"")</f>
        <v/>
      </c>
      <c r="C793" s="198" t="inlineStr">
        <is>
          <t>DADOS_AM!EC29</t>
        </is>
      </c>
      <c r="D793" s="198" t="inlineStr">
        <is>
          <t>entrada</t>
        </is>
      </c>
    </row>
    <row r="794">
      <c r="A794" s="198" t="inlineStr">
        <is>
          <t>feitico.28.forma</t>
        </is>
      </c>
      <c r="B794" s="198">
        <f>IF(ISBLANK(DADOS_AM!$ED$29),"",DADOS_AM!$ED$29&amp;"")</f>
        <v/>
      </c>
      <c r="C794" s="198" t="inlineStr">
        <is>
          <t>DADOS_AM!ED29</t>
        </is>
      </c>
      <c r="D794" s="198" t="inlineStr">
        <is>
          <t>entrada</t>
        </is>
      </c>
    </row>
    <row r="795">
      <c r="A795" s="198" t="inlineStr">
        <is>
          <t>feitico.28.pecas</t>
        </is>
      </c>
      <c r="B795" s="198">
        <f>TEXTJOIN(" · ",TRUE,DADOS_AM!$EE$29,DADOS_AM!$EF$29,DADOS_AM!$EG$29,DADOS_AM!$EH$29)</f>
        <v/>
      </c>
      <c r="C795" s="198" t="inlineStr">
        <is>
          <t>DADOS_AM!EE29 DADOS_AM!EF29 DADOS_AM!EG29 DADOS_AM!EH29</t>
        </is>
      </c>
      <c r="D795" s="198" t="inlineStr">
        <is>
          <t>entrada</t>
        </is>
      </c>
    </row>
    <row r="796">
      <c r="A796" s="198" t="inlineStr">
        <is>
          <t>feitico.28.restricoes</t>
        </is>
      </c>
      <c r="B796" s="198">
        <f>TEXTJOIN(" · ",TRUE,DADOS_AM!$EI$29,DADOS_AM!$EJ$29)</f>
        <v/>
      </c>
      <c r="C796" s="198" t="inlineStr">
        <is>
          <t>DADOS_AM!EI29 DADOS_AM!EJ29</t>
        </is>
      </c>
      <c r="D796" s="198" t="inlineStr">
        <is>
          <t>entrada</t>
        </is>
      </c>
    </row>
    <row r="797">
      <c r="A797" s="198" t="inlineStr">
        <is>
          <t>feitico.28.pe</t>
        </is>
      </c>
      <c r="B797" s="198">
        <f>IF(ISBLANK(DADOS_AM!$GR$29),"",DADOS_AM!$GR$29&amp;"")</f>
        <v/>
      </c>
      <c r="C797" s="198" t="inlineStr">
        <is>
          <t>DADOS_AM!GR29</t>
        </is>
      </c>
      <c r="D797" s="198" t="inlineStr">
        <is>
          <t>resultado</t>
        </is>
      </c>
    </row>
    <row r="798">
      <c r="A798" s="198" t="inlineStr">
        <is>
          <t>feitico.28.dano</t>
        </is>
      </c>
      <c r="B798" s="198">
        <f>IF(ISBLANK(DADOS_AM!$GU$29),"",DADOS_AM!$GU$29&amp;"")</f>
        <v/>
      </c>
      <c r="C798" s="198" t="inlineStr">
        <is>
          <t>DADOS_AM!GU29</t>
        </is>
      </c>
      <c r="D798" s="198" t="inlineStr">
        <is>
          <t>resultado</t>
        </is>
      </c>
    </row>
    <row r="799">
      <c r="A799" s="198" t="inlineStr">
        <is>
          <t>feitico.28.alcance</t>
        </is>
      </c>
      <c r="B799" s="198">
        <f>IF(ISBLANK(DADOS_AM!$GZ$29),"",DADOS_AM!$GZ$29&amp;"")</f>
        <v/>
      </c>
      <c r="C799" s="198" t="inlineStr">
        <is>
          <t>DADOS_AM!GZ29</t>
        </is>
      </c>
      <c r="D799" s="198" t="inlineStr">
        <is>
          <t>resultado</t>
        </is>
      </c>
    </row>
    <row r="800">
      <c r="A800" s="198" t="inlineStr">
        <is>
          <t>feitico.28.resolve</t>
        </is>
      </c>
      <c r="B800" s="198">
        <f>IF(ISBLANK(DADOS_AM!$GT$29),"",DADOS_AM!$GT$29&amp;"")</f>
        <v/>
      </c>
      <c r="C800" s="198" t="inlineStr">
        <is>
          <t>DADOS_AM!GT29</t>
        </is>
      </c>
      <c r="D800" s="198" t="inlineStr">
        <is>
          <t>resultado</t>
        </is>
      </c>
    </row>
    <row r="801">
      <c r="A801" s="198" t="inlineStr">
        <is>
          <t>feitico.28.erros</t>
        </is>
      </c>
      <c r="B801" s="198">
        <f>IF(ISBLANK(DADOS_AM!$GL$29),"",DADOS_AM!$GL$29&amp;"")</f>
        <v/>
      </c>
      <c r="C801" s="198" t="inlineStr">
        <is>
          <t>DADOS_AM!GL29</t>
        </is>
      </c>
      <c r="D801" s="198" t="inlineStr">
        <is>
          <t>aviso</t>
        </is>
      </c>
    </row>
    <row r="802">
      <c r="A802" s="198" t="inlineStr">
        <is>
          <t>feitico.28.avisos</t>
        </is>
      </c>
      <c r="B802" s="198">
        <f>IF(ISBLANK(DADOS_AM!$GN$29),"",DADOS_AM!$GN$29&amp;"")</f>
        <v/>
      </c>
      <c r="C802" s="198" t="inlineStr">
        <is>
          <t>DADOS_AM!GN29</t>
        </is>
      </c>
      <c r="D802" s="198" t="inlineStr">
        <is>
          <t>aviso</t>
        </is>
      </c>
    </row>
    <row r="803">
      <c r="A803" s="198" t="inlineStr">
        <is>
          <t>feitico.29.classe</t>
        </is>
      </c>
      <c r="B803" s="198">
        <f>IF(ISBLANK(DADOS_AM!$EB$30),"",DADOS_AM!$EB$30&amp;"")</f>
        <v/>
      </c>
      <c r="C803" s="198" t="inlineStr">
        <is>
          <t>DADOS_AM!EB30</t>
        </is>
      </c>
      <c r="D803" s="198" t="inlineStr">
        <is>
          <t>entrada</t>
        </is>
      </c>
    </row>
    <row r="804">
      <c r="A804" s="198" t="inlineStr">
        <is>
          <t>feitico.29.nome</t>
        </is>
      </c>
      <c r="B804" s="198">
        <f>IF(ISBLANK(DADOS_AM!$EC$30),"",DADOS_AM!$EC$30&amp;"")</f>
        <v/>
      </c>
      <c r="C804" s="198" t="inlineStr">
        <is>
          <t>DADOS_AM!EC30</t>
        </is>
      </c>
      <c r="D804" s="198" t="inlineStr">
        <is>
          <t>entrada</t>
        </is>
      </c>
    </row>
    <row r="805">
      <c r="A805" s="198" t="inlineStr">
        <is>
          <t>feitico.29.forma</t>
        </is>
      </c>
      <c r="B805" s="198">
        <f>IF(ISBLANK(DADOS_AM!$ED$30),"",DADOS_AM!$ED$30&amp;"")</f>
        <v/>
      </c>
      <c r="C805" s="198" t="inlineStr">
        <is>
          <t>DADOS_AM!ED30</t>
        </is>
      </c>
      <c r="D805" s="198" t="inlineStr">
        <is>
          <t>entrada</t>
        </is>
      </c>
    </row>
    <row r="806">
      <c r="A806" s="198" t="inlineStr">
        <is>
          <t>feitico.29.pecas</t>
        </is>
      </c>
      <c r="B806" s="198">
        <f>TEXTJOIN(" · ",TRUE,DADOS_AM!$EE$30,DADOS_AM!$EF$30,DADOS_AM!$EG$30,DADOS_AM!$EH$30)</f>
        <v/>
      </c>
      <c r="C806" s="198" t="inlineStr">
        <is>
          <t>DADOS_AM!EE30 DADOS_AM!EF30 DADOS_AM!EG30 DADOS_AM!EH30</t>
        </is>
      </c>
      <c r="D806" s="198" t="inlineStr">
        <is>
          <t>entrada</t>
        </is>
      </c>
    </row>
    <row r="807">
      <c r="A807" s="198" t="inlineStr">
        <is>
          <t>feitico.29.restricoes</t>
        </is>
      </c>
      <c r="B807" s="198">
        <f>TEXTJOIN(" · ",TRUE,DADOS_AM!$EI$30,DADOS_AM!$EJ$30)</f>
        <v/>
      </c>
      <c r="C807" s="198" t="inlineStr">
        <is>
          <t>DADOS_AM!EI30 DADOS_AM!EJ30</t>
        </is>
      </c>
      <c r="D807" s="198" t="inlineStr">
        <is>
          <t>entrada</t>
        </is>
      </c>
    </row>
    <row r="808">
      <c r="A808" s="198" t="inlineStr">
        <is>
          <t>feitico.29.pe</t>
        </is>
      </c>
      <c r="B808" s="198">
        <f>IF(ISBLANK(DADOS_AM!$GR$30),"",DADOS_AM!$GR$30&amp;"")</f>
        <v/>
      </c>
      <c r="C808" s="198" t="inlineStr">
        <is>
          <t>DADOS_AM!GR30</t>
        </is>
      </c>
      <c r="D808" s="198" t="inlineStr">
        <is>
          <t>resultado</t>
        </is>
      </c>
    </row>
    <row r="809">
      <c r="A809" s="198" t="inlineStr">
        <is>
          <t>feitico.29.dano</t>
        </is>
      </c>
      <c r="B809" s="198">
        <f>IF(ISBLANK(DADOS_AM!$GU$30),"",DADOS_AM!$GU$30&amp;"")</f>
        <v/>
      </c>
      <c r="C809" s="198" t="inlineStr">
        <is>
          <t>DADOS_AM!GU30</t>
        </is>
      </c>
      <c r="D809" s="198" t="inlineStr">
        <is>
          <t>resultado</t>
        </is>
      </c>
    </row>
    <row r="810">
      <c r="A810" s="198" t="inlineStr">
        <is>
          <t>feitico.29.alcance</t>
        </is>
      </c>
      <c r="B810" s="198">
        <f>IF(ISBLANK(DADOS_AM!$GZ$30),"",DADOS_AM!$GZ$30&amp;"")</f>
        <v/>
      </c>
      <c r="C810" s="198" t="inlineStr">
        <is>
          <t>DADOS_AM!GZ30</t>
        </is>
      </c>
      <c r="D810" s="198" t="inlineStr">
        <is>
          <t>resultado</t>
        </is>
      </c>
    </row>
    <row r="811">
      <c r="A811" s="198" t="inlineStr">
        <is>
          <t>feitico.29.resolve</t>
        </is>
      </c>
      <c r="B811" s="198">
        <f>IF(ISBLANK(DADOS_AM!$GT$30),"",DADOS_AM!$GT$30&amp;"")</f>
        <v/>
      </c>
      <c r="C811" s="198" t="inlineStr">
        <is>
          <t>DADOS_AM!GT30</t>
        </is>
      </c>
      <c r="D811" s="198" t="inlineStr">
        <is>
          <t>resultado</t>
        </is>
      </c>
    </row>
    <row r="812">
      <c r="A812" s="198" t="inlineStr">
        <is>
          <t>feitico.29.erros</t>
        </is>
      </c>
      <c r="B812" s="198">
        <f>IF(ISBLANK(DADOS_AM!$GL$30),"",DADOS_AM!$GL$30&amp;"")</f>
        <v/>
      </c>
      <c r="C812" s="198" t="inlineStr">
        <is>
          <t>DADOS_AM!GL30</t>
        </is>
      </c>
      <c r="D812" s="198" t="inlineStr">
        <is>
          <t>aviso</t>
        </is>
      </c>
    </row>
    <row r="813">
      <c r="A813" s="198" t="inlineStr">
        <is>
          <t>feitico.29.avisos</t>
        </is>
      </c>
      <c r="B813" s="198">
        <f>IF(ISBLANK(DADOS_AM!$GN$30),"",DADOS_AM!$GN$30&amp;"")</f>
        <v/>
      </c>
      <c r="C813" s="198" t="inlineStr">
        <is>
          <t>DADOS_AM!GN30</t>
        </is>
      </c>
      <c r="D813" s="198" t="inlineStr">
        <is>
          <t>aviso</t>
        </is>
      </c>
    </row>
    <row r="814">
      <c r="A814" s="198" t="inlineStr">
        <is>
          <t>feitico.30.classe</t>
        </is>
      </c>
      <c r="B814" s="198">
        <f>IF(ISBLANK(DADOS_AM!$EB$31),"",DADOS_AM!$EB$31&amp;"")</f>
        <v/>
      </c>
      <c r="C814" s="198" t="inlineStr">
        <is>
          <t>DADOS_AM!EB31</t>
        </is>
      </c>
      <c r="D814" s="198" t="inlineStr">
        <is>
          <t>entrada</t>
        </is>
      </c>
    </row>
    <row r="815">
      <c r="A815" s="198" t="inlineStr">
        <is>
          <t>feitico.30.nome</t>
        </is>
      </c>
      <c r="B815" s="198">
        <f>IF(ISBLANK(DADOS_AM!$EC$31),"",DADOS_AM!$EC$31&amp;"")</f>
        <v/>
      </c>
      <c r="C815" s="198" t="inlineStr">
        <is>
          <t>DADOS_AM!EC31</t>
        </is>
      </c>
      <c r="D815" s="198" t="inlineStr">
        <is>
          <t>entrada</t>
        </is>
      </c>
    </row>
    <row r="816">
      <c r="A816" s="198" t="inlineStr">
        <is>
          <t>feitico.30.forma</t>
        </is>
      </c>
      <c r="B816" s="198">
        <f>IF(ISBLANK(DADOS_AM!$ED$31),"",DADOS_AM!$ED$31&amp;"")</f>
        <v/>
      </c>
      <c r="C816" s="198" t="inlineStr">
        <is>
          <t>DADOS_AM!ED31</t>
        </is>
      </c>
      <c r="D816" s="198" t="inlineStr">
        <is>
          <t>entrada</t>
        </is>
      </c>
    </row>
    <row r="817">
      <c r="A817" s="198" t="inlineStr">
        <is>
          <t>feitico.30.pecas</t>
        </is>
      </c>
      <c r="B817" s="198">
        <f>TEXTJOIN(" · ",TRUE,DADOS_AM!$EE$31,DADOS_AM!$EF$31,DADOS_AM!$EG$31,DADOS_AM!$EH$31)</f>
        <v/>
      </c>
      <c r="C817" s="198" t="inlineStr">
        <is>
          <t>DADOS_AM!EE31 DADOS_AM!EF31 DADOS_AM!EG31 DADOS_AM!EH31</t>
        </is>
      </c>
      <c r="D817" s="198" t="inlineStr">
        <is>
          <t>entrada</t>
        </is>
      </c>
    </row>
    <row r="818">
      <c r="A818" s="198" t="inlineStr">
        <is>
          <t>feitico.30.restricoes</t>
        </is>
      </c>
      <c r="B818" s="198">
        <f>TEXTJOIN(" · ",TRUE,DADOS_AM!$EI$31,DADOS_AM!$EJ$31)</f>
        <v/>
      </c>
      <c r="C818" s="198" t="inlineStr">
        <is>
          <t>DADOS_AM!EI31 DADOS_AM!EJ31</t>
        </is>
      </c>
      <c r="D818" s="198" t="inlineStr">
        <is>
          <t>entrada</t>
        </is>
      </c>
    </row>
    <row r="819">
      <c r="A819" s="198" t="inlineStr">
        <is>
          <t>feitico.30.pe</t>
        </is>
      </c>
      <c r="B819" s="198">
        <f>IF(ISBLANK(DADOS_AM!$GR$31),"",DADOS_AM!$GR$31&amp;"")</f>
        <v/>
      </c>
      <c r="C819" s="198" t="inlineStr">
        <is>
          <t>DADOS_AM!GR31</t>
        </is>
      </c>
      <c r="D819" s="198" t="inlineStr">
        <is>
          <t>resultado</t>
        </is>
      </c>
    </row>
    <row r="820">
      <c r="A820" s="198" t="inlineStr">
        <is>
          <t>feitico.30.dano</t>
        </is>
      </c>
      <c r="B820" s="198">
        <f>IF(ISBLANK(DADOS_AM!$GU$31),"",DADOS_AM!$GU$31&amp;"")</f>
        <v/>
      </c>
      <c r="C820" s="198" t="inlineStr">
        <is>
          <t>DADOS_AM!GU31</t>
        </is>
      </c>
      <c r="D820" s="198" t="inlineStr">
        <is>
          <t>resultado</t>
        </is>
      </c>
    </row>
    <row r="821">
      <c r="A821" s="198" t="inlineStr">
        <is>
          <t>feitico.30.alcance</t>
        </is>
      </c>
      <c r="B821" s="198">
        <f>IF(ISBLANK(DADOS_AM!$GZ$31),"",DADOS_AM!$GZ$31&amp;"")</f>
        <v/>
      </c>
      <c r="C821" s="198" t="inlineStr">
        <is>
          <t>DADOS_AM!GZ31</t>
        </is>
      </c>
      <c r="D821" s="198" t="inlineStr">
        <is>
          <t>resultado</t>
        </is>
      </c>
    </row>
    <row r="822">
      <c r="A822" s="198" t="inlineStr">
        <is>
          <t>feitico.30.resolve</t>
        </is>
      </c>
      <c r="B822" s="198">
        <f>IF(ISBLANK(DADOS_AM!$GT$31),"",DADOS_AM!$GT$31&amp;"")</f>
        <v/>
      </c>
      <c r="C822" s="198" t="inlineStr">
        <is>
          <t>DADOS_AM!GT31</t>
        </is>
      </c>
      <c r="D822" s="198" t="inlineStr">
        <is>
          <t>resultado</t>
        </is>
      </c>
    </row>
    <row r="823">
      <c r="A823" s="198" t="inlineStr">
        <is>
          <t>feitico.30.erros</t>
        </is>
      </c>
      <c r="B823" s="198">
        <f>IF(ISBLANK(DADOS_AM!$GL$31),"",DADOS_AM!$GL$31&amp;"")</f>
        <v/>
      </c>
      <c r="C823" s="198" t="inlineStr">
        <is>
          <t>DADOS_AM!GL31</t>
        </is>
      </c>
      <c r="D823" s="198" t="inlineStr">
        <is>
          <t>aviso</t>
        </is>
      </c>
    </row>
    <row r="824">
      <c r="A824" s="198" t="inlineStr">
        <is>
          <t>feitico.30.avisos</t>
        </is>
      </c>
      <c r="B824" s="198">
        <f>IF(ISBLANK(DADOS_AM!$GN$31),"",DADOS_AM!$GN$31&amp;"")</f>
        <v/>
      </c>
      <c r="C824" s="198" t="inlineStr">
        <is>
          <t>DADOS_AM!GN31</t>
        </is>
      </c>
      <c r="D824" s="198" t="inlineStr">
        <is>
          <t>aviso</t>
        </is>
      </c>
    </row>
    <row r="825">
      <c r="A825" s="198" t="inlineStr">
        <is>
          <t>feitico.31.classe</t>
        </is>
      </c>
      <c r="B825" s="198">
        <f>IF(ISBLANK(DADOS_AM!$EB$32),"",DADOS_AM!$EB$32&amp;"")</f>
        <v/>
      </c>
      <c r="C825" s="198" t="inlineStr">
        <is>
          <t>DADOS_AM!EB32</t>
        </is>
      </c>
      <c r="D825" s="198" t="inlineStr">
        <is>
          <t>entrada</t>
        </is>
      </c>
    </row>
    <row r="826">
      <c r="A826" s="198" t="inlineStr">
        <is>
          <t>feitico.31.nome</t>
        </is>
      </c>
      <c r="B826" s="198">
        <f>IF(ISBLANK(DADOS_AM!$EC$32),"",DADOS_AM!$EC$32&amp;"")</f>
        <v/>
      </c>
      <c r="C826" s="198" t="inlineStr">
        <is>
          <t>DADOS_AM!EC32</t>
        </is>
      </c>
      <c r="D826" s="198" t="inlineStr">
        <is>
          <t>entrada</t>
        </is>
      </c>
    </row>
    <row r="827">
      <c r="A827" s="198" t="inlineStr">
        <is>
          <t>feitico.31.forma</t>
        </is>
      </c>
      <c r="B827" s="198">
        <f>IF(ISBLANK(DADOS_AM!$ED$32),"",DADOS_AM!$ED$32&amp;"")</f>
        <v/>
      </c>
      <c r="C827" s="198" t="inlineStr">
        <is>
          <t>DADOS_AM!ED32</t>
        </is>
      </c>
      <c r="D827" s="198" t="inlineStr">
        <is>
          <t>entrada</t>
        </is>
      </c>
    </row>
    <row r="828">
      <c r="A828" s="198" t="inlineStr">
        <is>
          <t>feitico.31.pecas</t>
        </is>
      </c>
      <c r="B828" s="198">
        <f>TEXTJOIN(" · ",TRUE,DADOS_AM!$EE$32,DADOS_AM!$EF$32,DADOS_AM!$EG$32,DADOS_AM!$EH$32)</f>
        <v/>
      </c>
      <c r="C828" s="198" t="inlineStr">
        <is>
          <t>DADOS_AM!EE32 DADOS_AM!EF32 DADOS_AM!EG32 DADOS_AM!EH32</t>
        </is>
      </c>
      <c r="D828" s="198" t="inlineStr">
        <is>
          <t>entrada</t>
        </is>
      </c>
    </row>
    <row r="829">
      <c r="A829" s="198" t="inlineStr">
        <is>
          <t>feitico.31.restricoes</t>
        </is>
      </c>
      <c r="B829" s="198">
        <f>TEXTJOIN(" · ",TRUE,DADOS_AM!$EI$32,DADOS_AM!$EJ$32)</f>
        <v/>
      </c>
      <c r="C829" s="198" t="inlineStr">
        <is>
          <t>DADOS_AM!EI32 DADOS_AM!EJ32</t>
        </is>
      </c>
      <c r="D829" s="198" t="inlineStr">
        <is>
          <t>entrada</t>
        </is>
      </c>
    </row>
    <row r="830">
      <c r="A830" s="198" t="inlineStr">
        <is>
          <t>feitico.31.pe</t>
        </is>
      </c>
      <c r="B830" s="198">
        <f>IF(ISBLANK(DADOS_AM!$GR$32),"",DADOS_AM!$GR$32&amp;"")</f>
        <v/>
      </c>
      <c r="C830" s="198" t="inlineStr">
        <is>
          <t>DADOS_AM!GR32</t>
        </is>
      </c>
      <c r="D830" s="198" t="inlineStr">
        <is>
          <t>resultado</t>
        </is>
      </c>
    </row>
    <row r="831">
      <c r="A831" s="198" t="inlineStr">
        <is>
          <t>feitico.31.dano</t>
        </is>
      </c>
      <c r="B831" s="198">
        <f>IF(ISBLANK(DADOS_AM!$GU$32),"",DADOS_AM!$GU$32&amp;"")</f>
        <v/>
      </c>
      <c r="C831" s="198" t="inlineStr">
        <is>
          <t>DADOS_AM!GU32</t>
        </is>
      </c>
      <c r="D831" s="198" t="inlineStr">
        <is>
          <t>resultado</t>
        </is>
      </c>
    </row>
    <row r="832">
      <c r="A832" s="198" t="inlineStr">
        <is>
          <t>feitico.31.alcance</t>
        </is>
      </c>
      <c r="B832" s="198">
        <f>IF(ISBLANK(DADOS_AM!$GZ$32),"",DADOS_AM!$GZ$32&amp;"")</f>
        <v/>
      </c>
      <c r="C832" s="198" t="inlineStr">
        <is>
          <t>DADOS_AM!GZ32</t>
        </is>
      </c>
      <c r="D832" s="198" t="inlineStr">
        <is>
          <t>resultado</t>
        </is>
      </c>
    </row>
    <row r="833">
      <c r="A833" s="198" t="inlineStr">
        <is>
          <t>feitico.31.resolve</t>
        </is>
      </c>
      <c r="B833" s="198">
        <f>IF(ISBLANK(DADOS_AM!$GT$32),"",DADOS_AM!$GT$32&amp;"")</f>
        <v/>
      </c>
      <c r="C833" s="198" t="inlineStr">
        <is>
          <t>DADOS_AM!GT32</t>
        </is>
      </c>
      <c r="D833" s="198" t="inlineStr">
        <is>
          <t>resultado</t>
        </is>
      </c>
    </row>
    <row r="834">
      <c r="A834" s="198" t="inlineStr">
        <is>
          <t>feitico.31.erros</t>
        </is>
      </c>
      <c r="B834" s="198">
        <f>IF(ISBLANK(DADOS_AM!$GL$32),"",DADOS_AM!$GL$32&amp;"")</f>
        <v/>
      </c>
      <c r="C834" s="198" t="inlineStr">
        <is>
          <t>DADOS_AM!GL32</t>
        </is>
      </c>
      <c r="D834" s="198" t="inlineStr">
        <is>
          <t>aviso</t>
        </is>
      </c>
    </row>
    <row r="835">
      <c r="A835" s="198" t="inlineStr">
        <is>
          <t>feitico.31.avisos</t>
        </is>
      </c>
      <c r="B835" s="198">
        <f>IF(ISBLANK(DADOS_AM!$GN$32),"",DADOS_AM!$GN$32&amp;"")</f>
        <v/>
      </c>
      <c r="C835" s="198" t="inlineStr">
        <is>
          <t>DADOS_AM!GN32</t>
        </is>
      </c>
      <c r="D835" s="198" t="inlineStr">
        <is>
          <t>aviso</t>
        </is>
      </c>
    </row>
    <row r="836">
      <c r="A836" s="198" t="inlineStr">
        <is>
          <t>feitico.32.classe</t>
        </is>
      </c>
      <c r="B836" s="198">
        <f>IF(ISBLANK(DADOS_AM!$EB$33),"",DADOS_AM!$EB$33&amp;"")</f>
        <v/>
      </c>
      <c r="C836" s="198" t="inlineStr">
        <is>
          <t>DADOS_AM!EB33</t>
        </is>
      </c>
      <c r="D836" s="198" t="inlineStr">
        <is>
          <t>entrada</t>
        </is>
      </c>
    </row>
    <row r="837">
      <c r="A837" s="198" t="inlineStr">
        <is>
          <t>feitico.32.nome</t>
        </is>
      </c>
      <c r="B837" s="198">
        <f>IF(ISBLANK(DADOS_AM!$EC$33),"",DADOS_AM!$EC$33&amp;"")</f>
        <v/>
      </c>
      <c r="C837" s="198" t="inlineStr">
        <is>
          <t>DADOS_AM!EC33</t>
        </is>
      </c>
      <c r="D837" s="198" t="inlineStr">
        <is>
          <t>entrada</t>
        </is>
      </c>
    </row>
    <row r="838">
      <c r="A838" s="198" t="inlineStr">
        <is>
          <t>feitico.32.forma</t>
        </is>
      </c>
      <c r="B838" s="198">
        <f>IF(ISBLANK(DADOS_AM!$ED$33),"",DADOS_AM!$ED$33&amp;"")</f>
        <v/>
      </c>
      <c r="C838" s="198" t="inlineStr">
        <is>
          <t>DADOS_AM!ED33</t>
        </is>
      </c>
      <c r="D838" s="198" t="inlineStr">
        <is>
          <t>entrada</t>
        </is>
      </c>
    </row>
    <row r="839">
      <c r="A839" s="198" t="inlineStr">
        <is>
          <t>feitico.32.pecas</t>
        </is>
      </c>
      <c r="B839" s="198">
        <f>TEXTJOIN(" · ",TRUE,DADOS_AM!$EE$33,DADOS_AM!$EF$33,DADOS_AM!$EG$33,DADOS_AM!$EH$33)</f>
        <v/>
      </c>
      <c r="C839" s="198" t="inlineStr">
        <is>
          <t>DADOS_AM!EE33 DADOS_AM!EF33 DADOS_AM!EG33 DADOS_AM!EH33</t>
        </is>
      </c>
      <c r="D839" s="198" t="inlineStr">
        <is>
          <t>entrada</t>
        </is>
      </c>
    </row>
    <row r="840">
      <c r="A840" s="198" t="inlineStr">
        <is>
          <t>feitico.32.restricoes</t>
        </is>
      </c>
      <c r="B840" s="198">
        <f>TEXTJOIN(" · ",TRUE,DADOS_AM!$EI$33,DADOS_AM!$EJ$33)</f>
        <v/>
      </c>
      <c r="C840" s="198" t="inlineStr">
        <is>
          <t>DADOS_AM!EI33 DADOS_AM!EJ33</t>
        </is>
      </c>
      <c r="D840" s="198" t="inlineStr">
        <is>
          <t>entrada</t>
        </is>
      </c>
    </row>
    <row r="841">
      <c r="A841" s="198" t="inlineStr">
        <is>
          <t>feitico.32.pe</t>
        </is>
      </c>
      <c r="B841" s="198">
        <f>IF(ISBLANK(DADOS_AM!$GR$33),"",DADOS_AM!$GR$33&amp;"")</f>
        <v/>
      </c>
      <c r="C841" s="198" t="inlineStr">
        <is>
          <t>DADOS_AM!GR33</t>
        </is>
      </c>
      <c r="D841" s="198" t="inlineStr">
        <is>
          <t>resultado</t>
        </is>
      </c>
    </row>
    <row r="842">
      <c r="A842" s="198" t="inlineStr">
        <is>
          <t>feitico.32.dano</t>
        </is>
      </c>
      <c r="B842" s="198">
        <f>IF(ISBLANK(DADOS_AM!$GU$33),"",DADOS_AM!$GU$33&amp;"")</f>
        <v/>
      </c>
      <c r="C842" s="198" t="inlineStr">
        <is>
          <t>DADOS_AM!GU33</t>
        </is>
      </c>
      <c r="D842" s="198" t="inlineStr">
        <is>
          <t>resultado</t>
        </is>
      </c>
    </row>
    <row r="843">
      <c r="A843" s="198" t="inlineStr">
        <is>
          <t>feitico.32.alcance</t>
        </is>
      </c>
      <c r="B843" s="198">
        <f>IF(ISBLANK(DADOS_AM!$GZ$33),"",DADOS_AM!$GZ$33&amp;"")</f>
        <v/>
      </c>
      <c r="C843" s="198" t="inlineStr">
        <is>
          <t>DADOS_AM!GZ33</t>
        </is>
      </c>
      <c r="D843" s="198" t="inlineStr">
        <is>
          <t>resultado</t>
        </is>
      </c>
    </row>
    <row r="844">
      <c r="A844" s="198" t="inlineStr">
        <is>
          <t>feitico.32.resolve</t>
        </is>
      </c>
      <c r="B844" s="198">
        <f>IF(ISBLANK(DADOS_AM!$GT$33),"",DADOS_AM!$GT$33&amp;"")</f>
        <v/>
      </c>
      <c r="C844" s="198" t="inlineStr">
        <is>
          <t>DADOS_AM!GT33</t>
        </is>
      </c>
      <c r="D844" s="198" t="inlineStr">
        <is>
          <t>resultado</t>
        </is>
      </c>
    </row>
    <row r="845">
      <c r="A845" s="198" t="inlineStr">
        <is>
          <t>feitico.32.erros</t>
        </is>
      </c>
      <c r="B845" s="198">
        <f>IF(ISBLANK(DADOS_AM!$GL$33),"",DADOS_AM!$GL$33&amp;"")</f>
        <v/>
      </c>
      <c r="C845" s="198" t="inlineStr">
        <is>
          <t>DADOS_AM!GL33</t>
        </is>
      </c>
      <c r="D845" s="198" t="inlineStr">
        <is>
          <t>aviso</t>
        </is>
      </c>
    </row>
    <row r="846">
      <c r="A846" s="198" t="inlineStr">
        <is>
          <t>feitico.32.avisos</t>
        </is>
      </c>
      <c r="B846" s="198">
        <f>IF(ISBLANK(DADOS_AM!$GN$33),"",DADOS_AM!$GN$33&amp;"")</f>
        <v/>
      </c>
      <c r="C846" s="198" t="inlineStr">
        <is>
          <t>DADOS_AM!GN33</t>
        </is>
      </c>
      <c r="D846" s="198" t="inlineStr">
        <is>
          <t>aviso</t>
        </is>
      </c>
    </row>
    <row r="847">
      <c r="A847" s="198" t="inlineStr">
        <is>
          <t>feitico.33.classe</t>
        </is>
      </c>
      <c r="B847" s="198">
        <f>IF(ISBLANK(DADOS_AM!$EB$34),"",DADOS_AM!$EB$34&amp;"")</f>
        <v/>
      </c>
      <c r="C847" s="198" t="inlineStr">
        <is>
          <t>DADOS_AM!EB34</t>
        </is>
      </c>
      <c r="D847" s="198" t="inlineStr">
        <is>
          <t>entrada</t>
        </is>
      </c>
    </row>
    <row r="848">
      <c r="A848" s="198" t="inlineStr">
        <is>
          <t>feitico.33.nome</t>
        </is>
      </c>
      <c r="B848" s="198">
        <f>IF(ISBLANK(DADOS_AM!$EC$34),"",DADOS_AM!$EC$34&amp;"")</f>
        <v/>
      </c>
      <c r="C848" s="198" t="inlineStr">
        <is>
          <t>DADOS_AM!EC34</t>
        </is>
      </c>
      <c r="D848" s="198" t="inlineStr">
        <is>
          <t>entrada</t>
        </is>
      </c>
    </row>
    <row r="849">
      <c r="A849" s="198" t="inlineStr">
        <is>
          <t>feitico.33.forma</t>
        </is>
      </c>
      <c r="B849" s="198">
        <f>IF(ISBLANK(DADOS_AM!$ED$34),"",DADOS_AM!$ED$34&amp;"")</f>
        <v/>
      </c>
      <c r="C849" s="198" t="inlineStr">
        <is>
          <t>DADOS_AM!ED34</t>
        </is>
      </c>
      <c r="D849" s="198" t="inlineStr">
        <is>
          <t>entrada</t>
        </is>
      </c>
    </row>
    <row r="850">
      <c r="A850" s="198" t="inlineStr">
        <is>
          <t>feitico.33.pecas</t>
        </is>
      </c>
      <c r="B850" s="198">
        <f>TEXTJOIN(" · ",TRUE,DADOS_AM!$EE$34,DADOS_AM!$EF$34,DADOS_AM!$EG$34,DADOS_AM!$EH$34)</f>
        <v/>
      </c>
      <c r="C850" s="198" t="inlineStr">
        <is>
          <t>DADOS_AM!EE34 DADOS_AM!EF34 DADOS_AM!EG34 DADOS_AM!EH34</t>
        </is>
      </c>
      <c r="D850" s="198" t="inlineStr">
        <is>
          <t>entrada</t>
        </is>
      </c>
    </row>
    <row r="851">
      <c r="A851" s="198" t="inlineStr">
        <is>
          <t>feitico.33.restricoes</t>
        </is>
      </c>
      <c r="B851" s="198">
        <f>TEXTJOIN(" · ",TRUE,DADOS_AM!$EI$34,DADOS_AM!$EJ$34)</f>
        <v/>
      </c>
      <c r="C851" s="198" t="inlineStr">
        <is>
          <t>DADOS_AM!EI34 DADOS_AM!EJ34</t>
        </is>
      </c>
      <c r="D851" s="198" t="inlineStr">
        <is>
          <t>entrada</t>
        </is>
      </c>
    </row>
    <row r="852">
      <c r="A852" s="198" t="inlineStr">
        <is>
          <t>feitico.33.pe</t>
        </is>
      </c>
      <c r="B852" s="198">
        <f>IF(ISBLANK(DADOS_AM!$GR$34),"",DADOS_AM!$GR$34&amp;"")</f>
        <v/>
      </c>
      <c r="C852" s="198" t="inlineStr">
        <is>
          <t>DADOS_AM!GR34</t>
        </is>
      </c>
      <c r="D852" s="198" t="inlineStr">
        <is>
          <t>resultado</t>
        </is>
      </c>
    </row>
    <row r="853">
      <c r="A853" s="198" t="inlineStr">
        <is>
          <t>feitico.33.dano</t>
        </is>
      </c>
      <c r="B853" s="198">
        <f>IF(ISBLANK(DADOS_AM!$GU$34),"",DADOS_AM!$GU$34&amp;"")</f>
        <v/>
      </c>
      <c r="C853" s="198" t="inlineStr">
        <is>
          <t>DADOS_AM!GU34</t>
        </is>
      </c>
      <c r="D853" s="198" t="inlineStr">
        <is>
          <t>resultado</t>
        </is>
      </c>
    </row>
    <row r="854">
      <c r="A854" s="198" t="inlineStr">
        <is>
          <t>feitico.33.alcance</t>
        </is>
      </c>
      <c r="B854" s="198">
        <f>IF(ISBLANK(DADOS_AM!$GZ$34),"",DADOS_AM!$GZ$34&amp;"")</f>
        <v/>
      </c>
      <c r="C854" s="198" t="inlineStr">
        <is>
          <t>DADOS_AM!GZ34</t>
        </is>
      </c>
      <c r="D854" s="198" t="inlineStr">
        <is>
          <t>resultado</t>
        </is>
      </c>
    </row>
    <row r="855">
      <c r="A855" s="198" t="inlineStr">
        <is>
          <t>feitico.33.resolve</t>
        </is>
      </c>
      <c r="B855" s="198">
        <f>IF(ISBLANK(DADOS_AM!$GT$34),"",DADOS_AM!$GT$34&amp;"")</f>
        <v/>
      </c>
      <c r="C855" s="198" t="inlineStr">
        <is>
          <t>DADOS_AM!GT34</t>
        </is>
      </c>
      <c r="D855" s="198" t="inlineStr">
        <is>
          <t>resultado</t>
        </is>
      </c>
    </row>
    <row r="856">
      <c r="A856" s="198" t="inlineStr">
        <is>
          <t>feitico.33.erros</t>
        </is>
      </c>
      <c r="B856" s="198">
        <f>IF(ISBLANK(DADOS_AM!$GL$34),"",DADOS_AM!$GL$34&amp;"")</f>
        <v/>
      </c>
      <c r="C856" s="198" t="inlineStr">
        <is>
          <t>DADOS_AM!GL34</t>
        </is>
      </c>
      <c r="D856" s="198" t="inlineStr">
        <is>
          <t>aviso</t>
        </is>
      </c>
    </row>
    <row r="857">
      <c r="A857" s="198" t="inlineStr">
        <is>
          <t>feitico.33.avisos</t>
        </is>
      </c>
      <c r="B857" s="198">
        <f>IF(ISBLANK(DADOS_AM!$GN$34),"",DADOS_AM!$GN$34&amp;"")</f>
        <v/>
      </c>
      <c r="C857" s="198" t="inlineStr">
        <is>
          <t>DADOS_AM!GN34</t>
        </is>
      </c>
      <c r="D857" s="198" t="inlineStr">
        <is>
          <t>aviso</t>
        </is>
      </c>
    </row>
    <row r="858">
      <c r="A858" s="198" t="inlineStr">
        <is>
          <t>feitico.34.classe</t>
        </is>
      </c>
      <c r="B858" s="198">
        <f>IF(ISBLANK(DADOS_AM!$EB$35),"",DADOS_AM!$EB$35&amp;"")</f>
        <v/>
      </c>
      <c r="C858" s="198" t="inlineStr">
        <is>
          <t>DADOS_AM!EB35</t>
        </is>
      </c>
      <c r="D858" s="198" t="inlineStr">
        <is>
          <t>entrada</t>
        </is>
      </c>
    </row>
    <row r="859">
      <c r="A859" s="198" t="inlineStr">
        <is>
          <t>feitico.34.nome</t>
        </is>
      </c>
      <c r="B859" s="198">
        <f>IF(ISBLANK(DADOS_AM!$EC$35),"",DADOS_AM!$EC$35&amp;"")</f>
        <v/>
      </c>
      <c r="C859" s="198" t="inlineStr">
        <is>
          <t>DADOS_AM!EC35</t>
        </is>
      </c>
      <c r="D859" s="198" t="inlineStr">
        <is>
          <t>entrada</t>
        </is>
      </c>
    </row>
    <row r="860">
      <c r="A860" s="198" t="inlineStr">
        <is>
          <t>feitico.34.forma</t>
        </is>
      </c>
      <c r="B860" s="198">
        <f>IF(ISBLANK(DADOS_AM!$ED$35),"",DADOS_AM!$ED$35&amp;"")</f>
        <v/>
      </c>
      <c r="C860" s="198" t="inlineStr">
        <is>
          <t>DADOS_AM!ED35</t>
        </is>
      </c>
      <c r="D860" s="198" t="inlineStr">
        <is>
          <t>entrada</t>
        </is>
      </c>
    </row>
    <row r="861">
      <c r="A861" s="198" t="inlineStr">
        <is>
          <t>feitico.34.pecas</t>
        </is>
      </c>
      <c r="B861" s="198">
        <f>TEXTJOIN(" · ",TRUE,DADOS_AM!$EE$35,DADOS_AM!$EF$35,DADOS_AM!$EG$35,DADOS_AM!$EH$35)</f>
        <v/>
      </c>
      <c r="C861" s="198" t="inlineStr">
        <is>
          <t>DADOS_AM!EE35 DADOS_AM!EF35 DADOS_AM!EG35 DADOS_AM!EH35</t>
        </is>
      </c>
      <c r="D861" s="198" t="inlineStr">
        <is>
          <t>entrada</t>
        </is>
      </c>
    </row>
    <row r="862">
      <c r="A862" s="198" t="inlineStr">
        <is>
          <t>feitico.34.restricoes</t>
        </is>
      </c>
      <c r="B862" s="198">
        <f>TEXTJOIN(" · ",TRUE,DADOS_AM!$EI$35,DADOS_AM!$EJ$35)</f>
        <v/>
      </c>
      <c r="C862" s="198" t="inlineStr">
        <is>
          <t>DADOS_AM!EI35 DADOS_AM!EJ35</t>
        </is>
      </c>
      <c r="D862" s="198" t="inlineStr">
        <is>
          <t>entrada</t>
        </is>
      </c>
    </row>
    <row r="863">
      <c r="A863" s="198" t="inlineStr">
        <is>
          <t>feitico.34.pe</t>
        </is>
      </c>
      <c r="B863" s="198">
        <f>IF(ISBLANK(DADOS_AM!$GR$35),"",DADOS_AM!$GR$35&amp;"")</f>
        <v/>
      </c>
      <c r="C863" s="198" t="inlineStr">
        <is>
          <t>DADOS_AM!GR35</t>
        </is>
      </c>
      <c r="D863" s="198" t="inlineStr">
        <is>
          <t>resultado</t>
        </is>
      </c>
    </row>
    <row r="864">
      <c r="A864" s="198" t="inlineStr">
        <is>
          <t>feitico.34.dano</t>
        </is>
      </c>
      <c r="B864" s="198">
        <f>IF(ISBLANK(DADOS_AM!$GU$35),"",DADOS_AM!$GU$35&amp;"")</f>
        <v/>
      </c>
      <c r="C864" s="198" t="inlineStr">
        <is>
          <t>DADOS_AM!GU35</t>
        </is>
      </c>
      <c r="D864" s="198" t="inlineStr">
        <is>
          <t>resultado</t>
        </is>
      </c>
    </row>
    <row r="865">
      <c r="A865" s="198" t="inlineStr">
        <is>
          <t>feitico.34.alcance</t>
        </is>
      </c>
      <c r="B865" s="198">
        <f>IF(ISBLANK(DADOS_AM!$GZ$35),"",DADOS_AM!$GZ$35&amp;"")</f>
        <v/>
      </c>
      <c r="C865" s="198" t="inlineStr">
        <is>
          <t>DADOS_AM!GZ35</t>
        </is>
      </c>
      <c r="D865" s="198" t="inlineStr">
        <is>
          <t>resultado</t>
        </is>
      </c>
    </row>
    <row r="866">
      <c r="A866" s="198" t="inlineStr">
        <is>
          <t>feitico.34.resolve</t>
        </is>
      </c>
      <c r="B866" s="198">
        <f>IF(ISBLANK(DADOS_AM!$GT$35),"",DADOS_AM!$GT$35&amp;"")</f>
        <v/>
      </c>
      <c r="C866" s="198" t="inlineStr">
        <is>
          <t>DADOS_AM!GT35</t>
        </is>
      </c>
      <c r="D866" s="198" t="inlineStr">
        <is>
          <t>resultado</t>
        </is>
      </c>
    </row>
    <row r="867">
      <c r="A867" s="198" t="inlineStr">
        <is>
          <t>feitico.34.erros</t>
        </is>
      </c>
      <c r="B867" s="198">
        <f>IF(ISBLANK(DADOS_AM!$GL$35),"",DADOS_AM!$GL$35&amp;"")</f>
        <v/>
      </c>
      <c r="C867" s="198" t="inlineStr">
        <is>
          <t>DADOS_AM!GL35</t>
        </is>
      </c>
      <c r="D867" s="198" t="inlineStr">
        <is>
          <t>aviso</t>
        </is>
      </c>
    </row>
    <row r="868">
      <c r="A868" s="198" t="inlineStr">
        <is>
          <t>feitico.34.avisos</t>
        </is>
      </c>
      <c r="B868" s="198">
        <f>IF(ISBLANK(DADOS_AM!$GN$35),"",DADOS_AM!$GN$35&amp;"")</f>
        <v/>
      </c>
      <c r="C868" s="198" t="inlineStr">
        <is>
          <t>DADOS_AM!GN35</t>
        </is>
      </c>
      <c r="D868" s="198" t="inlineStr">
        <is>
          <t>aviso</t>
        </is>
      </c>
    </row>
    <row r="869">
      <c r="A869" s="198" t="inlineStr">
        <is>
          <t>feitico.35.classe</t>
        </is>
      </c>
      <c r="B869" s="198">
        <f>IF(ISBLANK(DADOS_AM!$EB$36),"",DADOS_AM!$EB$36&amp;"")</f>
        <v/>
      </c>
      <c r="C869" s="198" t="inlineStr">
        <is>
          <t>DADOS_AM!EB36</t>
        </is>
      </c>
      <c r="D869" s="198" t="inlineStr">
        <is>
          <t>entrada</t>
        </is>
      </c>
    </row>
    <row r="870">
      <c r="A870" s="198" t="inlineStr">
        <is>
          <t>feitico.35.nome</t>
        </is>
      </c>
      <c r="B870" s="198">
        <f>IF(ISBLANK(DADOS_AM!$EC$36),"",DADOS_AM!$EC$36&amp;"")</f>
        <v/>
      </c>
      <c r="C870" s="198" t="inlineStr">
        <is>
          <t>DADOS_AM!EC36</t>
        </is>
      </c>
      <c r="D870" s="198" t="inlineStr">
        <is>
          <t>entrada</t>
        </is>
      </c>
    </row>
    <row r="871">
      <c r="A871" s="198" t="inlineStr">
        <is>
          <t>feitico.35.forma</t>
        </is>
      </c>
      <c r="B871" s="198">
        <f>IF(ISBLANK(DADOS_AM!$ED$36),"",DADOS_AM!$ED$36&amp;"")</f>
        <v/>
      </c>
      <c r="C871" s="198" t="inlineStr">
        <is>
          <t>DADOS_AM!ED36</t>
        </is>
      </c>
      <c r="D871" s="198" t="inlineStr">
        <is>
          <t>entrada</t>
        </is>
      </c>
    </row>
    <row r="872">
      <c r="A872" s="198" t="inlineStr">
        <is>
          <t>feitico.35.pecas</t>
        </is>
      </c>
      <c r="B872" s="198">
        <f>TEXTJOIN(" · ",TRUE,DADOS_AM!$EE$36,DADOS_AM!$EF$36,DADOS_AM!$EG$36,DADOS_AM!$EH$36)</f>
        <v/>
      </c>
      <c r="C872" s="198" t="inlineStr">
        <is>
          <t>DADOS_AM!EE36 DADOS_AM!EF36 DADOS_AM!EG36 DADOS_AM!EH36</t>
        </is>
      </c>
      <c r="D872" s="198" t="inlineStr">
        <is>
          <t>entrada</t>
        </is>
      </c>
    </row>
    <row r="873">
      <c r="A873" s="198" t="inlineStr">
        <is>
          <t>feitico.35.restricoes</t>
        </is>
      </c>
      <c r="B873" s="198">
        <f>TEXTJOIN(" · ",TRUE,DADOS_AM!$EI$36,DADOS_AM!$EJ$36)</f>
        <v/>
      </c>
      <c r="C873" s="198" t="inlineStr">
        <is>
          <t>DADOS_AM!EI36 DADOS_AM!EJ36</t>
        </is>
      </c>
      <c r="D873" s="198" t="inlineStr">
        <is>
          <t>entrada</t>
        </is>
      </c>
    </row>
    <row r="874">
      <c r="A874" s="198" t="inlineStr">
        <is>
          <t>feitico.35.pe</t>
        </is>
      </c>
      <c r="B874" s="198">
        <f>IF(ISBLANK(DADOS_AM!$GR$36),"",DADOS_AM!$GR$36&amp;"")</f>
        <v/>
      </c>
      <c r="C874" s="198" t="inlineStr">
        <is>
          <t>DADOS_AM!GR36</t>
        </is>
      </c>
      <c r="D874" s="198" t="inlineStr">
        <is>
          <t>resultado</t>
        </is>
      </c>
    </row>
    <row r="875">
      <c r="A875" s="198" t="inlineStr">
        <is>
          <t>feitico.35.dano</t>
        </is>
      </c>
      <c r="B875" s="198">
        <f>IF(ISBLANK(DADOS_AM!$GU$36),"",DADOS_AM!$GU$36&amp;"")</f>
        <v/>
      </c>
      <c r="C875" s="198" t="inlineStr">
        <is>
          <t>DADOS_AM!GU36</t>
        </is>
      </c>
      <c r="D875" s="198" t="inlineStr">
        <is>
          <t>resultado</t>
        </is>
      </c>
    </row>
    <row r="876">
      <c r="A876" s="198" t="inlineStr">
        <is>
          <t>feitico.35.alcance</t>
        </is>
      </c>
      <c r="B876" s="198">
        <f>IF(ISBLANK(DADOS_AM!$GZ$36),"",DADOS_AM!$GZ$36&amp;"")</f>
        <v/>
      </c>
      <c r="C876" s="198" t="inlineStr">
        <is>
          <t>DADOS_AM!GZ36</t>
        </is>
      </c>
      <c r="D876" s="198" t="inlineStr">
        <is>
          <t>resultado</t>
        </is>
      </c>
    </row>
    <row r="877">
      <c r="A877" s="198" t="inlineStr">
        <is>
          <t>feitico.35.resolve</t>
        </is>
      </c>
      <c r="B877" s="198">
        <f>IF(ISBLANK(DADOS_AM!$GT$36),"",DADOS_AM!$GT$36&amp;"")</f>
        <v/>
      </c>
      <c r="C877" s="198" t="inlineStr">
        <is>
          <t>DADOS_AM!GT36</t>
        </is>
      </c>
      <c r="D877" s="198" t="inlineStr">
        <is>
          <t>resultado</t>
        </is>
      </c>
    </row>
    <row r="878">
      <c r="A878" s="198" t="inlineStr">
        <is>
          <t>feitico.35.erros</t>
        </is>
      </c>
      <c r="B878" s="198">
        <f>IF(ISBLANK(DADOS_AM!$GL$36),"",DADOS_AM!$GL$36&amp;"")</f>
        <v/>
      </c>
      <c r="C878" s="198" t="inlineStr">
        <is>
          <t>DADOS_AM!GL36</t>
        </is>
      </c>
      <c r="D878" s="198" t="inlineStr">
        <is>
          <t>aviso</t>
        </is>
      </c>
    </row>
    <row r="879">
      <c r="A879" s="198" t="inlineStr">
        <is>
          <t>feitico.35.avisos</t>
        </is>
      </c>
      <c r="B879" s="198">
        <f>IF(ISBLANK(DADOS_AM!$GN$36),"",DADOS_AM!$GN$36&amp;"")</f>
        <v/>
      </c>
      <c r="C879" s="198" t="inlineStr">
        <is>
          <t>DADOS_AM!GN36</t>
        </is>
      </c>
      <c r="D879" s="198" t="inlineStr">
        <is>
          <t>aviso</t>
        </is>
      </c>
    </row>
    <row r="880">
      <c r="A880" s="198" t="inlineStr">
        <is>
          <t>feitico.36.classe</t>
        </is>
      </c>
      <c r="B880" s="198">
        <f>IF(ISBLANK(DADOS_AM!$EB$37),"",DADOS_AM!$EB$37&amp;"")</f>
        <v/>
      </c>
      <c r="C880" s="198" t="inlineStr">
        <is>
          <t>DADOS_AM!EB37</t>
        </is>
      </c>
      <c r="D880" s="198" t="inlineStr">
        <is>
          <t>entrada</t>
        </is>
      </c>
    </row>
    <row r="881">
      <c r="A881" s="198" t="inlineStr">
        <is>
          <t>feitico.36.nome</t>
        </is>
      </c>
      <c r="B881" s="198">
        <f>IF(ISBLANK(DADOS_AM!$EC$37),"",DADOS_AM!$EC$37&amp;"")</f>
        <v/>
      </c>
      <c r="C881" s="198" t="inlineStr">
        <is>
          <t>DADOS_AM!EC37</t>
        </is>
      </c>
      <c r="D881" s="198" t="inlineStr">
        <is>
          <t>entrada</t>
        </is>
      </c>
    </row>
    <row r="882">
      <c r="A882" s="198" t="inlineStr">
        <is>
          <t>feitico.36.forma</t>
        </is>
      </c>
      <c r="B882" s="198">
        <f>IF(ISBLANK(DADOS_AM!$ED$37),"",DADOS_AM!$ED$37&amp;"")</f>
        <v/>
      </c>
      <c r="C882" s="198" t="inlineStr">
        <is>
          <t>DADOS_AM!ED37</t>
        </is>
      </c>
      <c r="D882" s="198" t="inlineStr">
        <is>
          <t>entrada</t>
        </is>
      </c>
    </row>
    <row r="883">
      <c r="A883" s="198" t="inlineStr">
        <is>
          <t>feitico.36.pecas</t>
        </is>
      </c>
      <c r="B883" s="198">
        <f>TEXTJOIN(" · ",TRUE,DADOS_AM!$EE$37,DADOS_AM!$EF$37,DADOS_AM!$EG$37,DADOS_AM!$EH$37)</f>
        <v/>
      </c>
      <c r="C883" s="198" t="inlineStr">
        <is>
          <t>DADOS_AM!EE37 DADOS_AM!EF37 DADOS_AM!EG37 DADOS_AM!EH37</t>
        </is>
      </c>
      <c r="D883" s="198" t="inlineStr">
        <is>
          <t>entrada</t>
        </is>
      </c>
    </row>
    <row r="884">
      <c r="A884" s="198" t="inlineStr">
        <is>
          <t>feitico.36.restricoes</t>
        </is>
      </c>
      <c r="B884" s="198">
        <f>TEXTJOIN(" · ",TRUE,DADOS_AM!$EI$37,DADOS_AM!$EJ$37)</f>
        <v/>
      </c>
      <c r="C884" s="198" t="inlineStr">
        <is>
          <t>DADOS_AM!EI37 DADOS_AM!EJ37</t>
        </is>
      </c>
      <c r="D884" s="198" t="inlineStr">
        <is>
          <t>entrada</t>
        </is>
      </c>
    </row>
    <row r="885">
      <c r="A885" s="198" t="inlineStr">
        <is>
          <t>feitico.36.pe</t>
        </is>
      </c>
      <c r="B885" s="198">
        <f>IF(ISBLANK(DADOS_AM!$GR$37),"",DADOS_AM!$GR$37&amp;"")</f>
        <v/>
      </c>
      <c r="C885" s="198" t="inlineStr">
        <is>
          <t>DADOS_AM!GR37</t>
        </is>
      </c>
      <c r="D885" s="198" t="inlineStr">
        <is>
          <t>resultado</t>
        </is>
      </c>
    </row>
    <row r="886">
      <c r="A886" s="198" t="inlineStr">
        <is>
          <t>feitico.36.dano</t>
        </is>
      </c>
      <c r="B886" s="198">
        <f>IF(ISBLANK(DADOS_AM!$GU$37),"",DADOS_AM!$GU$37&amp;"")</f>
        <v/>
      </c>
      <c r="C886" s="198" t="inlineStr">
        <is>
          <t>DADOS_AM!GU37</t>
        </is>
      </c>
      <c r="D886" s="198" t="inlineStr">
        <is>
          <t>resultado</t>
        </is>
      </c>
    </row>
    <row r="887">
      <c r="A887" s="198" t="inlineStr">
        <is>
          <t>feitico.36.alcance</t>
        </is>
      </c>
      <c r="B887" s="198">
        <f>IF(ISBLANK(DADOS_AM!$GZ$37),"",DADOS_AM!$GZ$37&amp;"")</f>
        <v/>
      </c>
      <c r="C887" s="198" t="inlineStr">
        <is>
          <t>DADOS_AM!GZ37</t>
        </is>
      </c>
      <c r="D887" s="198" t="inlineStr">
        <is>
          <t>resultado</t>
        </is>
      </c>
    </row>
    <row r="888">
      <c r="A888" s="198" t="inlineStr">
        <is>
          <t>feitico.36.resolve</t>
        </is>
      </c>
      <c r="B888" s="198">
        <f>IF(ISBLANK(DADOS_AM!$GT$37),"",DADOS_AM!$GT$37&amp;"")</f>
        <v/>
      </c>
      <c r="C888" s="198" t="inlineStr">
        <is>
          <t>DADOS_AM!GT37</t>
        </is>
      </c>
      <c r="D888" s="198" t="inlineStr">
        <is>
          <t>resultado</t>
        </is>
      </c>
    </row>
    <row r="889">
      <c r="A889" s="198" t="inlineStr">
        <is>
          <t>feitico.36.erros</t>
        </is>
      </c>
      <c r="B889" s="198">
        <f>IF(ISBLANK(DADOS_AM!$GL$37),"",DADOS_AM!$GL$37&amp;"")</f>
        <v/>
      </c>
      <c r="C889" s="198" t="inlineStr">
        <is>
          <t>DADOS_AM!GL37</t>
        </is>
      </c>
      <c r="D889" s="198" t="inlineStr">
        <is>
          <t>aviso</t>
        </is>
      </c>
    </row>
    <row r="890">
      <c r="A890" s="198" t="inlineStr">
        <is>
          <t>feitico.36.avisos</t>
        </is>
      </c>
      <c r="B890" s="198">
        <f>IF(ISBLANK(DADOS_AM!$GN$37),"",DADOS_AM!$GN$37&amp;"")</f>
        <v/>
      </c>
      <c r="C890" s="198" t="inlineStr">
        <is>
          <t>DADOS_AM!GN37</t>
        </is>
      </c>
      <c r="D890" s="198" t="inlineStr">
        <is>
          <t>aviso</t>
        </is>
      </c>
    </row>
    <row r="891">
      <c r="A891" s="198" t="inlineStr">
        <is>
          <t>liberacao.1.classe</t>
        </is>
      </c>
      <c r="B891" s="198">
        <f>IF(ISBLANK(DADOS_AM!$EB$38),"",DADOS_AM!$EB$38&amp;"")</f>
        <v/>
      </c>
      <c r="C891" s="198" t="inlineStr">
        <is>
          <t>DADOS_AM!EB38</t>
        </is>
      </c>
      <c r="D891" s="198" t="inlineStr">
        <is>
          <t>entrada</t>
        </is>
      </c>
    </row>
    <row r="892">
      <c r="A892" s="198" t="inlineStr">
        <is>
          <t>liberacao.1.nome</t>
        </is>
      </c>
      <c r="B892" s="198">
        <f>IF(ISBLANK(DADOS_AM!$EC$38),"",DADOS_AM!$EC$38&amp;"")</f>
        <v/>
      </c>
      <c r="C892" s="198" t="inlineStr">
        <is>
          <t>DADOS_AM!EC38</t>
        </is>
      </c>
      <c r="D892" s="198" t="inlineStr">
        <is>
          <t>entrada</t>
        </is>
      </c>
    </row>
    <row r="893">
      <c r="A893" s="198" t="inlineStr">
        <is>
          <t>liberacao.1.forma</t>
        </is>
      </c>
      <c r="B893" s="198">
        <f>IF(ISBLANK(DADOS_AM!$ED$38),"",DADOS_AM!$ED$38&amp;"")</f>
        <v/>
      </c>
      <c r="C893" s="198" t="inlineStr">
        <is>
          <t>DADOS_AM!ED38</t>
        </is>
      </c>
      <c r="D893" s="198" t="inlineStr">
        <is>
          <t>entrada</t>
        </is>
      </c>
    </row>
    <row r="894">
      <c r="A894" s="198" t="inlineStr">
        <is>
          <t>liberacao.1.pecas</t>
        </is>
      </c>
      <c r="B894" s="198">
        <f>TEXTJOIN(" · ",TRUE,DADOS_AM!$EE$38,DADOS_AM!$EF$38,DADOS_AM!$EG$38,DADOS_AM!$EH$38)</f>
        <v/>
      </c>
      <c r="C894" s="198" t="inlineStr">
        <is>
          <t>DADOS_AM!EE38 DADOS_AM!EF38 DADOS_AM!EG38 DADOS_AM!EH38</t>
        </is>
      </c>
      <c r="D894" s="198" t="inlineStr">
        <is>
          <t>entrada</t>
        </is>
      </c>
    </row>
    <row r="895">
      <c r="A895" s="198" t="inlineStr">
        <is>
          <t>liberacao.1.restricoes</t>
        </is>
      </c>
      <c r="B895" s="198">
        <f>TEXTJOIN(" · ",TRUE,DADOS_AM!$EI$38,DADOS_AM!$EJ$38)</f>
        <v/>
      </c>
      <c r="C895" s="198" t="inlineStr">
        <is>
          <t>DADOS_AM!EI38 DADOS_AM!EJ38</t>
        </is>
      </c>
      <c r="D895" s="198" t="inlineStr">
        <is>
          <t>entrada</t>
        </is>
      </c>
    </row>
    <row r="896">
      <c r="A896" s="198" t="inlineStr">
        <is>
          <t>liberacao.1.pe</t>
        </is>
      </c>
      <c r="B896" s="198">
        <f>IF(ISBLANK(DADOS_AM!$GR$38),"",DADOS_AM!$GR$38&amp;"")</f>
        <v/>
      </c>
      <c r="C896" s="198" t="inlineStr">
        <is>
          <t>DADOS_AM!GR38</t>
        </is>
      </c>
      <c r="D896" s="198" t="inlineStr">
        <is>
          <t>resultado</t>
        </is>
      </c>
    </row>
    <row r="897">
      <c r="A897" s="198" t="inlineStr">
        <is>
          <t>liberacao.1.dano</t>
        </is>
      </c>
      <c r="B897" s="198">
        <f>IF(ISBLANK(DADOS_AM!$GU$38),"",DADOS_AM!$GU$38&amp;"")</f>
        <v/>
      </c>
      <c r="C897" s="198" t="inlineStr">
        <is>
          <t>DADOS_AM!GU38</t>
        </is>
      </c>
      <c r="D897" s="198" t="inlineStr">
        <is>
          <t>resultado</t>
        </is>
      </c>
    </row>
    <row r="898">
      <c r="A898" s="198" t="inlineStr">
        <is>
          <t>liberacao.1.alcance</t>
        </is>
      </c>
      <c r="B898" s="198">
        <f>IF(ISBLANK(DADOS_AM!$GZ$38),"",DADOS_AM!$GZ$38&amp;"")</f>
        <v/>
      </c>
      <c r="C898" s="198" t="inlineStr">
        <is>
          <t>DADOS_AM!GZ38</t>
        </is>
      </c>
      <c r="D898" s="198" t="inlineStr">
        <is>
          <t>resultado</t>
        </is>
      </c>
    </row>
    <row r="899">
      <c r="A899" s="198" t="inlineStr">
        <is>
          <t>liberacao.1.resolve</t>
        </is>
      </c>
      <c r="B899" s="198">
        <f>IF(ISBLANK(DADOS_AM!$GT$38),"",DADOS_AM!$GT$38&amp;"")</f>
        <v/>
      </c>
      <c r="C899" s="198" t="inlineStr">
        <is>
          <t>DADOS_AM!GT38</t>
        </is>
      </c>
      <c r="D899" s="198" t="inlineStr">
        <is>
          <t>resultado</t>
        </is>
      </c>
    </row>
    <row r="900">
      <c r="A900" s="198" t="inlineStr">
        <is>
          <t>liberacao.1.erros</t>
        </is>
      </c>
      <c r="B900" s="198">
        <f>IF(ISBLANK(DADOS_AM!$GL$38),"",DADOS_AM!$GL$38&amp;"")</f>
        <v/>
      </c>
      <c r="C900" s="198" t="inlineStr">
        <is>
          <t>DADOS_AM!GL38</t>
        </is>
      </c>
      <c r="D900" s="198" t="inlineStr">
        <is>
          <t>aviso</t>
        </is>
      </c>
    </row>
    <row r="901">
      <c r="A901" s="198" t="inlineStr">
        <is>
          <t>liberacao.1.avisos</t>
        </is>
      </c>
      <c r="B901" s="198">
        <f>IF(ISBLANK(DADOS_AM!$GN$38),"",DADOS_AM!$GN$38&amp;"")</f>
        <v/>
      </c>
      <c r="C901" s="198" t="inlineStr">
        <is>
          <t>DADOS_AM!GN38</t>
        </is>
      </c>
      <c r="D901" s="198" t="inlineStr">
        <is>
          <t>aviso</t>
        </is>
      </c>
    </row>
    <row r="902">
      <c r="A902" s="198" t="inlineStr">
        <is>
          <t>liberacao.2.classe</t>
        </is>
      </c>
      <c r="B902" s="198">
        <f>IF(ISBLANK(DADOS_AM!$EB$39),"",DADOS_AM!$EB$39&amp;"")</f>
        <v/>
      </c>
      <c r="C902" s="198" t="inlineStr">
        <is>
          <t>DADOS_AM!EB39</t>
        </is>
      </c>
      <c r="D902" s="198" t="inlineStr">
        <is>
          <t>entrada</t>
        </is>
      </c>
    </row>
    <row r="903">
      <c r="A903" s="198" t="inlineStr">
        <is>
          <t>liberacao.2.nome</t>
        </is>
      </c>
      <c r="B903" s="198">
        <f>IF(ISBLANK(DADOS_AM!$EC$39),"",DADOS_AM!$EC$39&amp;"")</f>
        <v/>
      </c>
      <c r="C903" s="198" t="inlineStr">
        <is>
          <t>DADOS_AM!EC39</t>
        </is>
      </c>
      <c r="D903" s="198" t="inlineStr">
        <is>
          <t>entrada</t>
        </is>
      </c>
    </row>
    <row r="904">
      <c r="A904" s="198" t="inlineStr">
        <is>
          <t>liberacao.2.forma</t>
        </is>
      </c>
      <c r="B904" s="198">
        <f>IF(ISBLANK(DADOS_AM!$ED$39),"",DADOS_AM!$ED$39&amp;"")</f>
        <v/>
      </c>
      <c r="C904" s="198" t="inlineStr">
        <is>
          <t>DADOS_AM!ED39</t>
        </is>
      </c>
      <c r="D904" s="198" t="inlineStr">
        <is>
          <t>entrada</t>
        </is>
      </c>
    </row>
    <row r="905">
      <c r="A905" s="198" t="inlineStr">
        <is>
          <t>liberacao.2.pecas</t>
        </is>
      </c>
      <c r="B905" s="198">
        <f>TEXTJOIN(" · ",TRUE,DADOS_AM!$EE$39,DADOS_AM!$EF$39,DADOS_AM!$EG$39,DADOS_AM!$EH$39)</f>
        <v/>
      </c>
      <c r="C905" s="198" t="inlineStr">
        <is>
          <t>DADOS_AM!EE39 DADOS_AM!EF39 DADOS_AM!EG39 DADOS_AM!EH39</t>
        </is>
      </c>
      <c r="D905" s="198" t="inlineStr">
        <is>
          <t>entrada</t>
        </is>
      </c>
    </row>
    <row r="906">
      <c r="A906" s="198" t="inlineStr">
        <is>
          <t>liberacao.2.restricoes</t>
        </is>
      </c>
      <c r="B906" s="198">
        <f>TEXTJOIN(" · ",TRUE,DADOS_AM!$EI$39,DADOS_AM!$EJ$39)</f>
        <v/>
      </c>
      <c r="C906" s="198" t="inlineStr">
        <is>
          <t>DADOS_AM!EI39 DADOS_AM!EJ39</t>
        </is>
      </c>
      <c r="D906" s="198" t="inlineStr">
        <is>
          <t>entrada</t>
        </is>
      </c>
    </row>
    <row r="907">
      <c r="A907" s="198" t="inlineStr">
        <is>
          <t>liberacao.2.pe</t>
        </is>
      </c>
      <c r="B907" s="198">
        <f>IF(ISBLANK(DADOS_AM!$GR$39),"",DADOS_AM!$GR$39&amp;"")</f>
        <v/>
      </c>
      <c r="C907" s="198" t="inlineStr">
        <is>
          <t>DADOS_AM!GR39</t>
        </is>
      </c>
      <c r="D907" s="198" t="inlineStr">
        <is>
          <t>resultado</t>
        </is>
      </c>
    </row>
    <row r="908">
      <c r="A908" s="198" t="inlineStr">
        <is>
          <t>liberacao.2.dano</t>
        </is>
      </c>
      <c r="B908" s="198">
        <f>IF(ISBLANK(DADOS_AM!$GU$39),"",DADOS_AM!$GU$39&amp;"")</f>
        <v/>
      </c>
      <c r="C908" s="198" t="inlineStr">
        <is>
          <t>DADOS_AM!GU39</t>
        </is>
      </c>
      <c r="D908" s="198" t="inlineStr">
        <is>
          <t>resultado</t>
        </is>
      </c>
    </row>
    <row r="909">
      <c r="A909" s="198" t="inlineStr">
        <is>
          <t>liberacao.2.alcance</t>
        </is>
      </c>
      <c r="B909" s="198">
        <f>IF(ISBLANK(DADOS_AM!$GZ$39),"",DADOS_AM!$GZ$39&amp;"")</f>
        <v/>
      </c>
      <c r="C909" s="198" t="inlineStr">
        <is>
          <t>DADOS_AM!GZ39</t>
        </is>
      </c>
      <c r="D909" s="198" t="inlineStr">
        <is>
          <t>resultado</t>
        </is>
      </c>
    </row>
    <row r="910">
      <c r="A910" s="198" t="inlineStr">
        <is>
          <t>liberacao.2.resolve</t>
        </is>
      </c>
      <c r="B910" s="198">
        <f>IF(ISBLANK(DADOS_AM!$GT$39),"",DADOS_AM!$GT$39&amp;"")</f>
        <v/>
      </c>
      <c r="C910" s="198" t="inlineStr">
        <is>
          <t>DADOS_AM!GT39</t>
        </is>
      </c>
      <c r="D910" s="198" t="inlineStr">
        <is>
          <t>resultado</t>
        </is>
      </c>
    </row>
    <row r="911">
      <c r="A911" s="198" t="inlineStr">
        <is>
          <t>liberacao.2.erros</t>
        </is>
      </c>
      <c r="B911" s="198">
        <f>IF(ISBLANK(DADOS_AM!$GL$39),"",DADOS_AM!$GL$39&amp;"")</f>
        <v/>
      </c>
      <c r="C911" s="198" t="inlineStr">
        <is>
          <t>DADOS_AM!GL39</t>
        </is>
      </c>
      <c r="D911" s="198" t="inlineStr">
        <is>
          <t>aviso</t>
        </is>
      </c>
    </row>
    <row r="912">
      <c r="A912" s="198" t="inlineStr">
        <is>
          <t>liberacao.2.avisos</t>
        </is>
      </c>
      <c r="B912" s="198">
        <f>IF(ISBLANK(DADOS_AM!$GN$39),"",DADOS_AM!$GN$39&amp;"")</f>
        <v/>
      </c>
      <c r="C912" s="198" t="inlineStr">
        <is>
          <t>DADOS_AM!GN39</t>
        </is>
      </c>
      <c r="D912" s="198" t="inlineStr">
        <is>
          <t>aviso</t>
        </is>
      </c>
    </row>
    <row r="913">
      <c r="A913" s="198" t="inlineStr">
        <is>
          <t>liberacao.3.classe</t>
        </is>
      </c>
      <c r="B913" s="198">
        <f>IF(ISBLANK(DADOS_AM!$EB$40),"",DADOS_AM!$EB$40&amp;"")</f>
        <v/>
      </c>
      <c r="C913" s="198" t="inlineStr">
        <is>
          <t>DADOS_AM!EB40</t>
        </is>
      </c>
      <c r="D913" s="198" t="inlineStr">
        <is>
          <t>entrada</t>
        </is>
      </c>
    </row>
    <row r="914">
      <c r="A914" s="198" t="inlineStr">
        <is>
          <t>liberacao.3.nome</t>
        </is>
      </c>
      <c r="B914" s="198">
        <f>IF(ISBLANK(DADOS_AM!$EC$40),"",DADOS_AM!$EC$40&amp;"")</f>
        <v/>
      </c>
      <c r="C914" s="198" t="inlineStr">
        <is>
          <t>DADOS_AM!EC40</t>
        </is>
      </c>
      <c r="D914" s="198" t="inlineStr">
        <is>
          <t>entrada</t>
        </is>
      </c>
    </row>
    <row r="915">
      <c r="A915" s="198" t="inlineStr">
        <is>
          <t>liberacao.3.forma</t>
        </is>
      </c>
      <c r="B915" s="198">
        <f>IF(ISBLANK(DADOS_AM!$ED$40),"",DADOS_AM!$ED$40&amp;"")</f>
        <v/>
      </c>
      <c r="C915" s="198" t="inlineStr">
        <is>
          <t>DADOS_AM!ED40</t>
        </is>
      </c>
      <c r="D915" s="198" t="inlineStr">
        <is>
          <t>entrada</t>
        </is>
      </c>
    </row>
    <row r="916">
      <c r="A916" s="198" t="inlineStr">
        <is>
          <t>liberacao.3.pecas</t>
        </is>
      </c>
      <c r="B916" s="198">
        <f>TEXTJOIN(" · ",TRUE,DADOS_AM!$EE$40,DADOS_AM!$EF$40,DADOS_AM!$EG$40,DADOS_AM!$EH$40)</f>
        <v/>
      </c>
      <c r="C916" s="198" t="inlineStr">
        <is>
          <t>DADOS_AM!EE40 DADOS_AM!EF40 DADOS_AM!EG40 DADOS_AM!EH40</t>
        </is>
      </c>
      <c r="D916" s="198" t="inlineStr">
        <is>
          <t>entrada</t>
        </is>
      </c>
    </row>
    <row r="917">
      <c r="A917" s="198" t="inlineStr">
        <is>
          <t>liberacao.3.restricoes</t>
        </is>
      </c>
      <c r="B917" s="198">
        <f>TEXTJOIN(" · ",TRUE,DADOS_AM!$EI$40,DADOS_AM!$EJ$40)</f>
        <v/>
      </c>
      <c r="C917" s="198" t="inlineStr">
        <is>
          <t>DADOS_AM!EI40 DADOS_AM!EJ40</t>
        </is>
      </c>
      <c r="D917" s="198" t="inlineStr">
        <is>
          <t>entrada</t>
        </is>
      </c>
    </row>
    <row r="918">
      <c r="A918" s="198" t="inlineStr">
        <is>
          <t>liberacao.3.pe</t>
        </is>
      </c>
      <c r="B918" s="198">
        <f>IF(ISBLANK(DADOS_AM!$GR$40),"",DADOS_AM!$GR$40&amp;"")</f>
        <v/>
      </c>
      <c r="C918" s="198" t="inlineStr">
        <is>
          <t>DADOS_AM!GR40</t>
        </is>
      </c>
      <c r="D918" s="198" t="inlineStr">
        <is>
          <t>resultado</t>
        </is>
      </c>
    </row>
    <row r="919">
      <c r="A919" s="198" t="inlineStr">
        <is>
          <t>liberacao.3.dano</t>
        </is>
      </c>
      <c r="B919" s="198">
        <f>IF(ISBLANK(DADOS_AM!$GU$40),"",DADOS_AM!$GU$40&amp;"")</f>
        <v/>
      </c>
      <c r="C919" s="198" t="inlineStr">
        <is>
          <t>DADOS_AM!GU40</t>
        </is>
      </c>
      <c r="D919" s="198" t="inlineStr">
        <is>
          <t>resultado</t>
        </is>
      </c>
    </row>
    <row r="920">
      <c r="A920" s="198" t="inlineStr">
        <is>
          <t>liberacao.3.alcance</t>
        </is>
      </c>
      <c r="B920" s="198">
        <f>IF(ISBLANK(DADOS_AM!$GZ$40),"",DADOS_AM!$GZ$40&amp;"")</f>
        <v/>
      </c>
      <c r="C920" s="198" t="inlineStr">
        <is>
          <t>DADOS_AM!GZ40</t>
        </is>
      </c>
      <c r="D920" s="198" t="inlineStr">
        <is>
          <t>resultado</t>
        </is>
      </c>
    </row>
    <row r="921">
      <c r="A921" s="198" t="inlineStr">
        <is>
          <t>liberacao.3.resolve</t>
        </is>
      </c>
      <c r="B921" s="198">
        <f>IF(ISBLANK(DADOS_AM!$GT$40),"",DADOS_AM!$GT$40&amp;"")</f>
        <v/>
      </c>
      <c r="C921" s="198" t="inlineStr">
        <is>
          <t>DADOS_AM!GT40</t>
        </is>
      </c>
      <c r="D921" s="198" t="inlineStr">
        <is>
          <t>resultado</t>
        </is>
      </c>
    </row>
    <row r="922">
      <c r="A922" s="198" t="inlineStr">
        <is>
          <t>liberacao.3.erros</t>
        </is>
      </c>
      <c r="B922" s="198">
        <f>IF(ISBLANK(DADOS_AM!$GL$40),"",DADOS_AM!$GL$40&amp;"")</f>
        <v/>
      </c>
      <c r="C922" s="198" t="inlineStr">
        <is>
          <t>DADOS_AM!GL40</t>
        </is>
      </c>
      <c r="D922" s="198" t="inlineStr">
        <is>
          <t>aviso</t>
        </is>
      </c>
    </row>
    <row r="923">
      <c r="A923" s="198" t="inlineStr">
        <is>
          <t>liberacao.3.avisos</t>
        </is>
      </c>
      <c r="B923" s="198">
        <f>IF(ISBLANK(DADOS_AM!$GN$40),"",DADOS_AM!$GN$40&amp;"")</f>
        <v/>
      </c>
      <c r="C923" s="198" t="inlineStr">
        <is>
          <t>DADOS_AM!GN40</t>
        </is>
      </c>
      <c r="D923" s="198" t="inlineStr">
        <is>
          <t>aviso</t>
        </is>
      </c>
    </row>
    <row r="924">
      <c r="A924" s="198" t="inlineStr">
        <is>
          <t>passiva.1</t>
        </is>
      </c>
      <c r="B924" s="198">
        <f>IF(ISBLANK('FICHA AMALDIÇOADA'!$D$392),"",'FICHA AMALDIÇOADA'!$D$392&amp;"")</f>
        <v/>
      </c>
      <c r="C924" s="198">
        <f>"'FICHA AMALDIÇOADA'!D379"</f>
        <v/>
      </c>
      <c r="D924" s="198" t="inlineStr">
        <is>
          <t>entrada</t>
        </is>
      </c>
    </row>
    <row r="925">
      <c r="A925" s="198" t="inlineStr">
        <is>
          <t>passiva.2</t>
        </is>
      </c>
      <c r="B925" s="198">
        <f>IF(ISBLANK('FICHA AMALDIÇOADA'!$J$392),"",'FICHA AMALDIÇOADA'!$J$392&amp;"")</f>
        <v/>
      </c>
      <c r="C925" s="198">
        <f>"'FICHA AMALDIÇOADA'!J379"</f>
        <v/>
      </c>
      <c r="D925" s="198" t="inlineStr">
        <is>
          <t>entrada</t>
        </is>
      </c>
    </row>
    <row r="926">
      <c r="A926" s="198" t="inlineStr">
        <is>
          <t>passiva.3</t>
        </is>
      </c>
      <c r="B926" s="198">
        <f>IF(ISBLANK('FICHA AMALDIÇOADA'!$P$392),"",'FICHA AMALDIÇOADA'!$P$392&amp;"")</f>
        <v/>
      </c>
      <c r="C926" s="198">
        <f>"'FICHA AMALDIÇOADA'!P379"</f>
        <v/>
      </c>
      <c r="D926" s="198" t="inlineStr">
        <is>
          <t>entrada</t>
        </is>
      </c>
    </row>
    <row r="927">
      <c r="A927" s="198" t="inlineStr">
        <is>
          <t>passiva.4</t>
        </is>
      </c>
      <c r="B927" s="198">
        <f>IF(ISBLANK('FICHA AMALDIÇOADA'!$D$400),"",'FICHA AMALDIÇOADA'!$D$400&amp;"")</f>
        <v/>
      </c>
      <c r="C927" s="198">
        <f>"'FICHA AMALDIÇOADA'!D387"</f>
        <v/>
      </c>
      <c r="D927" s="198" t="inlineStr">
        <is>
          <t>entrada</t>
        </is>
      </c>
    </row>
    <row r="928">
      <c r="A928" s="198" t="inlineStr">
        <is>
          <t>passiva.5</t>
        </is>
      </c>
      <c r="B928" s="198">
        <f>IF(ISBLANK('FICHA AMALDIÇOADA'!$J$400),"",'FICHA AMALDIÇOADA'!$J$400&amp;"")</f>
        <v/>
      </c>
      <c r="C928" s="198">
        <f>"'FICHA AMALDIÇOADA'!J387"</f>
        <v/>
      </c>
      <c r="D928" s="198" t="inlineStr">
        <is>
          <t>entrada</t>
        </is>
      </c>
    </row>
    <row r="929">
      <c r="A929" s="198" t="inlineStr">
        <is>
          <t>passiva.6</t>
        </is>
      </c>
      <c r="B929" s="198">
        <f>IF(ISBLANK('FICHA AMALDIÇOADA'!$D$410),"",'FICHA AMALDIÇOADA'!$D$410&amp;"")</f>
        <v/>
      </c>
      <c r="C929" s="198">
        <f>"'FICHA AMALDIÇOADA'!D397"</f>
        <v/>
      </c>
      <c r="D929" s="198" t="inlineStr">
        <is>
          <t>entrada</t>
        </is>
      </c>
    </row>
    <row r="930">
      <c r="A930" s="198" t="inlineStr">
        <is>
          <t>passiva.7</t>
        </is>
      </c>
      <c r="B930" s="198">
        <f>IF(ISBLANK('FICHA AMALDIÇOADA'!$J$410),"",'FICHA AMALDIÇOADA'!$J$410&amp;"")</f>
        <v/>
      </c>
      <c r="C930" s="198">
        <f>"'FICHA AMALDIÇOADA'!J397"</f>
        <v/>
      </c>
      <c r="D930" s="198" t="inlineStr">
        <is>
          <t>entrada</t>
        </is>
      </c>
    </row>
    <row r="931">
      <c r="A931" s="198" t="inlineStr">
        <is>
          <t>passiva.8</t>
        </is>
      </c>
      <c r="B931" s="198">
        <f>IF(ISBLANK('FICHA AMALDIÇOADA'!$P$410),"",'FICHA AMALDIÇOADA'!$P$410&amp;"")</f>
        <v/>
      </c>
      <c r="C931" s="198">
        <f>"'FICHA AMALDIÇOADA'!P397"</f>
        <v/>
      </c>
      <c r="D931" s="198" t="inlineStr">
        <is>
          <t>entrada</t>
        </is>
      </c>
    </row>
    <row r="932">
      <c r="A932" s="198" t="inlineStr">
        <is>
          <t>passiva.9</t>
        </is>
      </c>
      <c r="B932" s="198">
        <f>IF(ISBLANK('FICHA AMALDIÇOADA'!$D$418),"",'FICHA AMALDIÇOADA'!$D$418&amp;"")</f>
        <v/>
      </c>
      <c r="C932" s="198">
        <f>"'FICHA AMALDIÇOADA'!D405"</f>
        <v/>
      </c>
      <c r="D932" s="198" t="inlineStr">
        <is>
          <t>entrada</t>
        </is>
      </c>
    </row>
    <row r="933">
      <c r="A933" s="198" t="inlineStr">
        <is>
          <t>passiva.10</t>
        </is>
      </c>
      <c r="B933" s="198">
        <f>IF(ISBLANK('FICHA AMALDIÇOADA'!$J$418),"",'FICHA AMALDIÇOADA'!$J$418&amp;"")</f>
        <v/>
      </c>
      <c r="C933" s="198">
        <f>"'FICHA AMALDIÇOADA'!J405"</f>
        <v/>
      </c>
      <c r="D933" s="198" t="inlineStr">
        <is>
          <t>entrada</t>
        </is>
      </c>
    </row>
    <row r="934">
      <c r="A934" s="198" t="inlineStr">
        <is>
          <t>passiva.11</t>
        </is>
      </c>
      <c r="B934" s="198">
        <f>IF(ISBLANK('FICHA AMALDIÇOADA'!$P$418),"",'FICHA AMALDIÇOADA'!$P$418&amp;"")</f>
        <v/>
      </c>
      <c r="C934" s="198">
        <f>"'FICHA AMALDIÇOADA'!P405"</f>
        <v/>
      </c>
      <c r="D934" s="198" t="inlineStr">
        <is>
          <t>entrada</t>
        </is>
      </c>
    </row>
    <row r="935">
      <c r="A935" s="198" t="inlineStr">
        <is>
          <t>passiva.12</t>
        </is>
      </c>
      <c r="B935" s="198">
        <f>IF(ISBLANK('FICHA AMALDIÇOADA'!$D$426),"",'FICHA AMALDIÇOADA'!$D$426&amp;"")</f>
        <v/>
      </c>
      <c r="C935" s="198">
        <f>"'FICHA AMALDIÇOADA'!D413"</f>
        <v/>
      </c>
      <c r="D935" s="198" t="inlineStr">
        <is>
          <t>entrada</t>
        </is>
      </c>
    </row>
    <row r="936">
      <c r="A936" s="198" t="inlineStr">
        <is>
          <t>aptidao.1</t>
        </is>
      </c>
      <c r="B936" s="198">
        <f>IF(ISBLANK('FICHA AMALDIÇOADA'!$D$443),"",'FICHA AMALDIÇOADA'!$D$443&amp;"")</f>
        <v/>
      </c>
      <c r="C936" s="198">
        <f>"'FICHA AMALDIÇOADA'!D430"</f>
        <v/>
      </c>
      <c r="D936" s="198" t="inlineStr">
        <is>
          <t>entrada</t>
        </is>
      </c>
    </row>
    <row r="937">
      <c r="A937" s="198" t="inlineStr">
        <is>
          <t>aptidao.2</t>
        </is>
      </c>
      <c r="B937" s="198">
        <f>IF(ISBLANK('FICHA AMALDIÇOADA'!$J$443),"",'FICHA AMALDIÇOADA'!$J$443&amp;"")</f>
        <v/>
      </c>
      <c r="C937" s="198">
        <f>"'FICHA AMALDIÇOADA'!J430"</f>
        <v/>
      </c>
      <c r="D937" s="198" t="inlineStr">
        <is>
          <t>entrada</t>
        </is>
      </c>
    </row>
    <row r="938">
      <c r="A938" s="198" t="inlineStr">
        <is>
          <t>aptidao.3</t>
        </is>
      </c>
      <c r="B938" s="198">
        <f>IF(ISBLANK('FICHA AMALDIÇOADA'!$P$443),"",'FICHA AMALDIÇOADA'!$P$443&amp;"")</f>
        <v/>
      </c>
      <c r="C938" s="198">
        <f>"'FICHA AMALDIÇOADA'!P430"</f>
        <v/>
      </c>
      <c r="D938" s="198" t="inlineStr">
        <is>
          <t>entrada</t>
        </is>
      </c>
    </row>
    <row r="939">
      <c r="A939" s="198" t="inlineStr">
        <is>
          <t>aptidao.4</t>
        </is>
      </c>
      <c r="B939" s="198">
        <f>IF(ISBLANK('FICHA AMALDIÇOADA'!$D$463),"",'FICHA AMALDIÇOADA'!$D$463&amp;"")</f>
        <v/>
      </c>
      <c r="C939" s="198">
        <f>"'FICHA AMALDIÇOADA'!D450"</f>
        <v/>
      </c>
      <c r="D939" s="198" t="inlineStr">
        <is>
          <t>entrada</t>
        </is>
      </c>
    </row>
    <row r="940">
      <c r="A940" s="198" t="inlineStr">
        <is>
          <t>aptidao.5</t>
        </is>
      </c>
      <c r="B940" s="198">
        <f>IF(ISBLANK('FICHA AMALDIÇOADA'!$J$463),"",'FICHA AMALDIÇOADA'!$J$463&amp;"")</f>
        <v/>
      </c>
      <c r="C940" s="198">
        <f>"'FICHA AMALDIÇOADA'!J450"</f>
        <v/>
      </c>
      <c r="D940" s="198" t="inlineStr">
        <is>
          <t>entrada</t>
        </is>
      </c>
    </row>
    <row r="941">
      <c r="A941" s="198" t="inlineStr">
        <is>
          <t>aptidao.6</t>
        </is>
      </c>
      <c r="B941" s="198">
        <f>IF(ISBLANK('FICHA AMALDIÇOADA'!$P$463),"",'FICHA AMALDIÇOADA'!$P$463&amp;"")</f>
        <v/>
      </c>
      <c r="C941" s="198">
        <f>"'FICHA AMALDIÇOADA'!P450"</f>
        <v/>
      </c>
      <c r="D941" s="198" t="inlineStr">
        <is>
          <t>entrada</t>
        </is>
      </c>
    </row>
    <row r="942">
      <c r="A942" s="198" t="inlineStr">
        <is>
          <t>aptidao.7</t>
        </is>
      </c>
      <c r="B942" s="198">
        <f>IF(ISBLANK('FICHA AMALDIÇOADA'!$D$485),"",'FICHA AMALDIÇOADA'!$D$485&amp;"")</f>
        <v/>
      </c>
      <c r="C942" s="198">
        <f>"'FICHA AMALDIÇOADA'!D472"</f>
        <v/>
      </c>
      <c r="D942" s="198" t="inlineStr">
        <is>
          <t>entrada</t>
        </is>
      </c>
    </row>
    <row r="943">
      <c r="A943" s="198" t="inlineStr">
        <is>
          <t>aptidao.8</t>
        </is>
      </c>
      <c r="B943" s="198">
        <f>IF(ISBLANK('FICHA AMALDIÇOADA'!$J$485),"",'FICHA AMALDIÇOADA'!$J$485&amp;"")</f>
        <v/>
      </c>
      <c r="C943" s="198">
        <f>"'FICHA AMALDIÇOADA'!J472"</f>
        <v/>
      </c>
      <c r="D943" s="198" t="inlineStr">
        <is>
          <t>entrada</t>
        </is>
      </c>
    </row>
    <row r="944">
      <c r="A944" s="198" t="inlineStr">
        <is>
          <t>aptidao.9</t>
        </is>
      </c>
      <c r="B944" s="198">
        <f>IF(ISBLANK('FICHA AMALDIÇOADA'!$P$485),"",'FICHA AMALDIÇOADA'!$P$485&amp;"")</f>
        <v/>
      </c>
      <c r="C944" s="198">
        <f>"'FICHA AMALDIÇOADA'!P472"</f>
        <v/>
      </c>
      <c r="D944" s="198" t="inlineStr">
        <is>
          <t>entrada</t>
        </is>
      </c>
    </row>
    <row r="945">
      <c r="A945" s="198" t="inlineStr">
        <is>
          <t>aptidao.10</t>
        </is>
      </c>
      <c r="B945" s="198">
        <f>IF(ISBLANK('FICHA AMALDIÇOADA'!$D$505),"",'FICHA AMALDIÇOADA'!$D$505&amp;"")</f>
        <v/>
      </c>
      <c r="C945" s="198">
        <f>"'FICHA AMALDIÇOADA'!D492"</f>
        <v/>
      </c>
      <c r="D945" s="198" t="inlineStr">
        <is>
          <t>entrada</t>
        </is>
      </c>
    </row>
    <row r="946">
      <c r="A946" s="198" t="inlineStr">
        <is>
          <t>aptidao.11</t>
        </is>
      </c>
      <c r="B946" s="198">
        <f>IF(ISBLANK('FICHA AMALDIÇOADA'!$J$505),"",'FICHA AMALDIÇOADA'!$J$505&amp;"")</f>
        <v/>
      </c>
      <c r="C946" s="198">
        <f>"'FICHA AMALDIÇOADA'!J492"</f>
        <v/>
      </c>
      <c r="D946" s="198" t="inlineStr">
        <is>
          <t>entrada</t>
        </is>
      </c>
    </row>
    <row r="947">
      <c r="A947" s="198" t="inlineStr">
        <is>
          <t>aptidao.12</t>
        </is>
      </c>
      <c r="B947" s="198">
        <f>IF(ISBLANK('FICHA AMALDIÇOADA'!$P$505),"",'FICHA AMALDIÇOADA'!$P$505&amp;"")</f>
        <v/>
      </c>
      <c r="C947" s="198">
        <f>"'FICHA AMALDIÇOADA'!P492"</f>
        <v/>
      </c>
      <c r="D947" s="198" t="inlineStr">
        <is>
          <t>entrada</t>
        </is>
      </c>
    </row>
    <row r="948">
      <c r="A948" s="198" t="inlineStr">
        <is>
          <t>pacto.1.nome</t>
        </is>
      </c>
      <c r="B948" s="198">
        <f>IF(ISBLANK('FICHA AMALDIÇOADA'!$E$531),"",'FICHA AMALDIÇOADA'!$E$531&amp;"")</f>
        <v/>
      </c>
      <c r="C948" s="198">
        <f>"'FICHA AMALDIÇOADA'!E518"</f>
        <v/>
      </c>
      <c r="D948" s="198" t="inlineStr">
        <is>
          <t>entrada</t>
        </is>
      </c>
    </row>
    <row r="949">
      <c r="A949" s="198" t="inlineStr">
        <is>
          <t>pacto.1.forma</t>
        </is>
      </c>
      <c r="B949" s="198">
        <f>IF(ISBLANK('FICHA AMALDIÇOADA'!$L$531),"",'FICHA AMALDIÇOADA'!$L$531&amp;"")</f>
        <v/>
      </c>
      <c r="C949" s="198">
        <f>"'FICHA AMALDIÇOADA'!L518"</f>
        <v/>
      </c>
      <c r="D949" s="198" t="inlineStr">
        <is>
          <t>entrada</t>
        </is>
      </c>
    </row>
    <row r="950">
      <c r="A950" s="198" t="inlineStr">
        <is>
          <t>pacto.1.modifica</t>
        </is>
      </c>
      <c r="B950" s="198">
        <f>IF(ISBLANK('FICHA AMALDIÇOADA'!$P$531),"",'FICHA AMALDIÇOADA'!$P$531&amp;"")</f>
        <v/>
      </c>
      <c r="C950" s="198">
        <f>"'FICHA AMALDIÇOADA'!P518"</f>
        <v/>
      </c>
      <c r="D950" s="198" t="inlineStr">
        <is>
          <t>entrada</t>
        </is>
      </c>
    </row>
    <row r="951">
      <c r="A951" s="198" t="inlineStr">
        <is>
          <t>pacto.1.tamanho</t>
        </is>
      </c>
      <c r="B951" s="198">
        <f>IF(ISBLANK('FICHA AMALDIÇOADA'!$P$536),"",'FICHA AMALDIÇOADA'!$P$536&amp;"")</f>
        <v/>
      </c>
      <c r="C951" s="198">
        <f>"'FICHA AMALDIÇOADA'!P523"</f>
        <v/>
      </c>
      <c r="D951" s="198" t="inlineStr">
        <is>
          <t>entrada</t>
        </is>
      </c>
    </row>
    <row r="952">
      <c r="A952" s="198" t="inlineStr">
        <is>
          <t>pacto.1.dou</t>
        </is>
      </c>
      <c r="B952" s="198">
        <f>IF(ISBLANK('FICHA AMALDIÇOADA'!$D$533),"",'FICHA AMALDIÇOADA'!$D$533&amp;"")</f>
        <v/>
      </c>
      <c r="C952" s="198">
        <f>"'FICHA AMALDIÇOADA'!D520"</f>
        <v/>
      </c>
      <c r="D952" s="198" t="inlineStr">
        <is>
          <t>entrada</t>
        </is>
      </c>
    </row>
    <row r="953">
      <c r="A953" s="198" t="inlineStr">
        <is>
          <t>pacto.1.recebo</t>
        </is>
      </c>
      <c r="B953" s="198">
        <f>IF(ISBLANK('FICHA AMALDIÇOADA'!$L$533),"",'FICHA AMALDIÇOADA'!$L$533&amp;"")</f>
        <v/>
      </c>
      <c r="C953" s="198">
        <f>"'FICHA AMALDIÇOADA'!L520"</f>
        <v/>
      </c>
      <c r="D953" s="198" t="inlineStr">
        <is>
          <t>entrada</t>
        </is>
      </c>
    </row>
    <row r="954">
      <c r="A954" s="198" t="inlineStr">
        <is>
          <t>pacto.1.clausula</t>
        </is>
      </c>
      <c r="B954" s="198">
        <f>IF(ISBLANK('FICHA AMALDIÇOADA'!$D$538),"",'FICHA AMALDIÇOADA'!$D$538&amp;"")</f>
        <v/>
      </c>
      <c r="C954" s="198">
        <f>"'FICHA AMALDIÇOADA'!D525"</f>
        <v/>
      </c>
      <c r="D954" s="198" t="inlineStr">
        <is>
          <t>entrada</t>
        </is>
      </c>
    </row>
    <row r="955">
      <c r="A955" s="198" t="inlineStr">
        <is>
          <t>pacto.2.nome</t>
        </is>
      </c>
      <c r="B955" s="198">
        <f>IF(ISBLANK('FICHA AMALDIÇOADA'!$E$541),"",'FICHA AMALDIÇOADA'!$E$541&amp;"")</f>
        <v/>
      </c>
      <c r="C955" s="198">
        <f>"'FICHA AMALDIÇOADA'!E528"</f>
        <v/>
      </c>
      <c r="D955" s="198" t="inlineStr">
        <is>
          <t>entrada</t>
        </is>
      </c>
    </row>
    <row r="956">
      <c r="A956" s="198" t="inlineStr">
        <is>
          <t>pacto.2.forma</t>
        </is>
      </c>
      <c r="B956" s="198">
        <f>IF(ISBLANK('FICHA AMALDIÇOADA'!$L$541),"",'FICHA AMALDIÇOADA'!$L$541&amp;"")</f>
        <v/>
      </c>
      <c r="C956" s="198">
        <f>"'FICHA AMALDIÇOADA'!L528"</f>
        <v/>
      </c>
      <c r="D956" s="198" t="inlineStr">
        <is>
          <t>entrada</t>
        </is>
      </c>
    </row>
    <row r="957">
      <c r="A957" s="198" t="inlineStr">
        <is>
          <t>pacto.2.modifica</t>
        </is>
      </c>
      <c r="B957" s="198">
        <f>IF(ISBLANK('FICHA AMALDIÇOADA'!$P$541),"",'FICHA AMALDIÇOADA'!$P$541&amp;"")</f>
        <v/>
      </c>
      <c r="C957" s="198">
        <f>"'FICHA AMALDIÇOADA'!P528"</f>
        <v/>
      </c>
      <c r="D957" s="198" t="inlineStr">
        <is>
          <t>entrada</t>
        </is>
      </c>
    </row>
    <row r="958">
      <c r="A958" s="198" t="inlineStr">
        <is>
          <t>pacto.2.tamanho</t>
        </is>
      </c>
      <c r="B958" s="198">
        <f>IF(ISBLANK('FICHA AMALDIÇOADA'!$P$546),"",'FICHA AMALDIÇOADA'!$P$546&amp;"")</f>
        <v/>
      </c>
      <c r="C958" s="198">
        <f>"'FICHA AMALDIÇOADA'!P533"</f>
        <v/>
      </c>
      <c r="D958" s="198" t="inlineStr">
        <is>
          <t>entrada</t>
        </is>
      </c>
    </row>
    <row r="959">
      <c r="A959" s="198" t="inlineStr">
        <is>
          <t>pacto.2.dou</t>
        </is>
      </c>
      <c r="B959" s="198">
        <f>IF(ISBLANK('FICHA AMALDIÇOADA'!$D$543),"",'FICHA AMALDIÇOADA'!$D$543&amp;"")</f>
        <v/>
      </c>
      <c r="C959" s="198">
        <f>"'FICHA AMALDIÇOADA'!D530"</f>
        <v/>
      </c>
      <c r="D959" s="198" t="inlineStr">
        <is>
          <t>entrada</t>
        </is>
      </c>
    </row>
    <row r="960">
      <c r="A960" s="198" t="inlineStr">
        <is>
          <t>pacto.2.recebo</t>
        </is>
      </c>
      <c r="B960" s="198">
        <f>IF(ISBLANK('FICHA AMALDIÇOADA'!$L$543),"",'FICHA AMALDIÇOADA'!$L$543&amp;"")</f>
        <v/>
      </c>
      <c r="C960" s="198">
        <f>"'FICHA AMALDIÇOADA'!L530"</f>
        <v/>
      </c>
      <c r="D960" s="198" t="inlineStr">
        <is>
          <t>entrada</t>
        </is>
      </c>
    </row>
    <row r="961">
      <c r="A961" s="198" t="inlineStr">
        <is>
          <t>pacto.2.clausula</t>
        </is>
      </c>
      <c r="B961" s="198">
        <f>IF(ISBLANK('FICHA AMALDIÇOADA'!$D$548),"",'FICHA AMALDIÇOADA'!$D$548&amp;"")</f>
        <v/>
      </c>
      <c r="C961" s="198">
        <f>"'FICHA AMALDIÇOADA'!D535"</f>
        <v/>
      </c>
      <c r="D961" s="198" t="inlineStr">
        <is>
          <t>entrada</t>
        </is>
      </c>
    </row>
    <row r="962">
      <c r="A962" s="198" t="inlineStr">
        <is>
          <t>pacto.3.nome</t>
        </is>
      </c>
      <c r="B962" s="198">
        <f>IF(ISBLANK('FICHA AMALDIÇOADA'!$E$551),"",'FICHA AMALDIÇOADA'!$E$551&amp;"")</f>
        <v/>
      </c>
      <c r="C962" s="198">
        <f>"'FICHA AMALDIÇOADA'!E538"</f>
        <v/>
      </c>
      <c r="D962" s="198" t="inlineStr">
        <is>
          <t>entrada</t>
        </is>
      </c>
    </row>
    <row r="963">
      <c r="A963" s="198" t="inlineStr">
        <is>
          <t>pacto.3.forma</t>
        </is>
      </c>
      <c r="B963" s="198">
        <f>IF(ISBLANK('FICHA AMALDIÇOADA'!$L$551),"",'FICHA AMALDIÇOADA'!$L$551&amp;"")</f>
        <v/>
      </c>
      <c r="C963" s="198">
        <f>"'FICHA AMALDIÇOADA'!L538"</f>
        <v/>
      </c>
      <c r="D963" s="198" t="inlineStr">
        <is>
          <t>entrada</t>
        </is>
      </c>
    </row>
    <row r="964">
      <c r="A964" s="198" t="inlineStr">
        <is>
          <t>pacto.3.modifica</t>
        </is>
      </c>
      <c r="B964" s="198">
        <f>IF(ISBLANK('FICHA AMALDIÇOADA'!$P$551),"",'FICHA AMALDIÇOADA'!$P$551&amp;"")</f>
        <v/>
      </c>
      <c r="C964" s="198">
        <f>"'FICHA AMALDIÇOADA'!P538"</f>
        <v/>
      </c>
      <c r="D964" s="198" t="inlineStr">
        <is>
          <t>entrada</t>
        </is>
      </c>
    </row>
    <row r="965">
      <c r="A965" s="198" t="inlineStr">
        <is>
          <t>pacto.3.tamanho</t>
        </is>
      </c>
      <c r="B965" s="198">
        <f>IF(ISBLANK('FICHA AMALDIÇOADA'!$P$556),"",'FICHA AMALDIÇOADA'!$P$556&amp;"")</f>
        <v/>
      </c>
      <c r="C965" s="198">
        <f>"'FICHA AMALDIÇOADA'!P543"</f>
        <v/>
      </c>
      <c r="D965" s="198" t="inlineStr">
        <is>
          <t>entrada</t>
        </is>
      </c>
    </row>
    <row r="966">
      <c r="A966" s="198" t="inlineStr">
        <is>
          <t>pacto.3.dou</t>
        </is>
      </c>
      <c r="B966" s="198">
        <f>IF(ISBLANK('FICHA AMALDIÇOADA'!$D$553),"",'FICHA AMALDIÇOADA'!$D$553&amp;"")</f>
        <v/>
      </c>
      <c r="C966" s="198">
        <f>"'FICHA AMALDIÇOADA'!D540"</f>
        <v/>
      </c>
      <c r="D966" s="198" t="inlineStr">
        <is>
          <t>entrada</t>
        </is>
      </c>
    </row>
    <row r="967">
      <c r="A967" s="198" t="inlineStr">
        <is>
          <t>pacto.3.recebo</t>
        </is>
      </c>
      <c r="B967" s="198">
        <f>IF(ISBLANK('FICHA AMALDIÇOADA'!$L$553),"",'FICHA AMALDIÇOADA'!$L$553&amp;"")</f>
        <v/>
      </c>
      <c r="C967" s="198">
        <f>"'FICHA AMALDIÇOADA'!L540"</f>
        <v/>
      </c>
      <c r="D967" s="198" t="inlineStr">
        <is>
          <t>entrada</t>
        </is>
      </c>
    </row>
    <row r="968">
      <c r="A968" s="198" t="inlineStr">
        <is>
          <t>pacto.3.clausula</t>
        </is>
      </c>
      <c r="B968" s="198">
        <f>IF(ISBLANK('FICHA AMALDIÇOADA'!$D$558),"",'FICHA AMALDIÇOADA'!$D$558&amp;"")</f>
        <v/>
      </c>
      <c r="C968" s="198">
        <f>"'FICHA AMALDIÇOADA'!D545"</f>
        <v/>
      </c>
      <c r="D968" s="198" t="inlineStr">
        <is>
          <t>entrada</t>
        </is>
      </c>
    </row>
    <row r="969">
      <c r="A969" s="198" t="inlineStr">
        <is>
          <t>aviso.vagas_de_pacto</t>
        </is>
      </c>
      <c r="B969" s="198">
        <f>IF(ISBLANK('FICHA AMALDIÇOADA'!$D$528),"",'FICHA AMALDIÇOADA'!$D$528&amp;"")</f>
        <v/>
      </c>
      <c r="C969" s="198">
        <f>"'FICHA AMALDIÇOADA'!D515"</f>
        <v/>
      </c>
      <c r="D969" s="198" t="inlineStr">
        <is>
          <t>aviso</t>
        </is>
      </c>
    </row>
    <row r="970">
      <c r="A970" s="198" t="inlineStr">
        <is>
          <t>invocacao.1.nome</t>
        </is>
      </c>
      <c r="B970" s="198">
        <f>IF(ISBLANK(DADOS_INVOC!$DE$2),"",DADOS_INVOC!$DE$2&amp;"")</f>
        <v/>
      </c>
      <c r="C970" s="198" t="inlineStr">
        <is>
          <t>DADOS_INVOC!DE2</t>
        </is>
      </c>
      <c r="D970" s="198" t="inlineStr">
        <is>
          <t>entrada</t>
        </is>
      </c>
    </row>
    <row r="971">
      <c r="A971" s="198" t="inlineStr">
        <is>
          <t>invocacao.1.tipo</t>
        </is>
      </c>
      <c r="B971" s="198">
        <f>IF(ISBLANK(DADOS_INVOC!$DF$2),"",DADOS_INVOC!$DF$2&amp;"")</f>
        <v/>
      </c>
      <c r="C971" s="198" t="inlineStr">
        <is>
          <t>DADOS_INVOC!DF2</t>
        </is>
      </c>
      <c r="D971" s="198" t="inlineStr">
        <is>
          <t>entrada</t>
        </is>
      </c>
    </row>
    <row r="972">
      <c r="A972" s="198" t="inlineStr">
        <is>
          <t>invocacao.1.aquisicao</t>
        </is>
      </c>
      <c r="B972" s="198">
        <f>IF(ISBLANK(DADOS_INVOC!$DG$2),"",DADOS_INVOC!$DG$2&amp;"")</f>
        <v/>
      </c>
      <c r="C972" s="198" t="inlineStr">
        <is>
          <t>DADOS_INVOC!DG2</t>
        </is>
      </c>
      <c r="D972" s="198" t="inlineStr">
        <is>
          <t>entrada</t>
        </is>
      </c>
    </row>
    <row r="973">
      <c r="A973" s="198" t="inlineStr">
        <is>
          <t>invocacao.1.nivel_fixo</t>
        </is>
      </c>
      <c r="B973" s="198">
        <f>IF(ISBLANK(DADOS_INVOC!$DH$2),"",DADOS_INVOC!$DH$2&amp;"")</f>
        <v/>
      </c>
      <c r="C973" s="198" t="inlineStr">
        <is>
          <t>DADOS_INVOC!DH2</t>
        </is>
      </c>
      <c r="D973" s="198" t="inlineStr">
        <is>
          <t>entrada</t>
        </is>
      </c>
    </row>
    <row r="974">
      <c r="A974" s="198" t="inlineStr">
        <is>
          <t>invocacao.1.talisma</t>
        </is>
      </c>
      <c r="B974" s="198">
        <f>IF(ISBLANK(DADOS_INVOC!$DI$2),"",DADOS_INVOC!$DI$2&amp;"")</f>
        <v/>
      </c>
      <c r="C974" s="198" t="inlineStr">
        <is>
          <t>DADOS_INVOC!DI2</t>
        </is>
      </c>
      <c r="D974" s="198" t="inlineStr">
        <is>
          <t>entrada</t>
        </is>
      </c>
    </row>
    <row r="975">
      <c r="A975" s="198" t="inlineStr">
        <is>
          <t>invocacao.1.oficio_compativel</t>
        </is>
      </c>
      <c r="B975" s="198">
        <f>IF(ISBLANK('INVOCAÇÕES'!$L$43),"",'INVOCAÇÕES'!$L$43&amp;"")</f>
        <v/>
      </c>
      <c r="C975" s="198">
        <f>"'INVOCAÇÕES'!L43"</f>
        <v/>
      </c>
      <c r="D975" s="198" t="inlineStr">
        <is>
          <t>entrada</t>
        </is>
      </c>
    </row>
    <row r="976">
      <c r="A976" s="198" t="inlineStr">
        <is>
          <t>invocacao.1.pontos</t>
        </is>
      </c>
      <c r="B976" s="198">
        <f>TEXTJOIN(" · ",TRUE,DADOS_INVOC!$DJ$2,DADOS_INVOC!$DK$2,DADOS_INVOC!$DL$2,DADOS_INVOC!$DM$2,DADOS_INVOC!$DN$2)</f>
        <v/>
      </c>
      <c r="C976" s="198" t="inlineStr">
        <is>
          <t>DADOS_INVOC!DJ2 DADOS_INVOC!DK2 DADOS_INVOC!DL2 DADOS_INVOC!DM2 DADOS_INVOC!DN2</t>
        </is>
      </c>
      <c r="D976" s="198" t="inlineStr">
        <is>
          <t>entrada</t>
        </is>
      </c>
    </row>
    <row r="977">
      <c r="A977" s="198" t="inlineStr">
        <is>
          <t>invocacao.1.familias</t>
        </is>
      </c>
      <c r="B977" s="198">
        <f>TEXTJOIN(" · ",TRUE,DADOS_INVOC!$EL$2,DADOS_INVOC!$EM$2,DADOS_INVOC!$EN$2,DADOS_INVOC!$EO$2,DADOS_INVOC!$EP$2,DADOS_INVOC!$QV$2,DADOS_INVOC!$QW$2,DADOS_INVOC!$QX$2,DADOS_INVOC!$QY$2)</f>
        <v/>
      </c>
      <c r="C977" s="198" t="inlineStr">
        <is>
          <t>DADOS_INVOC!EL2 DADOS_INVOC!EM2 DADOS_INVOC!EN2 DADOS_INVOC!EO2 DADOS_INVOC!EP2 DADOS_INVOC!QV2 DADOS_INVOC!QW2 DADOS_INVOC!QX2 DADOS_INVOC!QY2</t>
        </is>
      </c>
      <c r="D977" s="198" t="inlineStr">
        <is>
          <t>entrada</t>
        </is>
      </c>
    </row>
    <row r="978">
      <c r="A978" s="198" t="inlineStr">
        <is>
          <t>invocacao.1.pericias</t>
        </is>
      </c>
      <c r="B978" s="198">
        <f>TEXTJOIN(" · ",TRUE,DADOS_INVOC!$EQ$2,DADOS_INVOC!$ER$2,DADOS_INVOC!$ES$2,DADOS_INVOC!$ET$2,DADOS_INVOC!$EU$2,DADOS_INVOC!$EV$2,DADOS_INVOC!$EW$2)</f>
        <v/>
      </c>
      <c r="C978" s="198" t="inlineStr">
        <is>
          <t>DADOS_INVOC!EQ2 DADOS_INVOC!ER2 DADOS_INVOC!ES2 DADOS_INVOC!ET2 DADOS_INVOC!EU2 DADOS_INVOC!EV2 DADOS_INVOC!EW2</t>
        </is>
      </c>
      <c r="D978" s="198" t="inlineStr">
        <is>
          <t>entrada</t>
        </is>
      </c>
    </row>
    <row r="979">
      <c r="A979" s="198" t="inlineStr">
        <is>
          <t>invocacao.1.talentos</t>
        </is>
      </c>
      <c r="B979" s="198">
        <f>TEXTJOIN(" · ",TRUE,DADOS_INVOC!$EX$2,DADOS_INVOC!$EY$2,DADOS_INVOC!$EZ$2,DADOS_INVOC!$FA$2,DADOS_INVOC!$FB$2,DADOS_INVOC!$FC$2,DADOS_INVOC!$FD$2,DADOS_INVOC!$FE$2)</f>
        <v/>
      </c>
      <c r="C979" s="198" t="inlineStr">
        <is>
          <t>DADOS_INVOC!EX2 DADOS_INVOC!EY2 DADOS_INVOC!EZ2 DADOS_INVOC!FA2 DADOS_INVOC!FB2 DADOS_INVOC!FC2 DADOS_INVOC!FD2 DADOS_INVOC!FE2</t>
        </is>
      </c>
      <c r="D979" s="198" t="inlineStr">
        <is>
          <t>entrada</t>
        </is>
      </c>
    </row>
    <row r="980">
      <c r="A980" s="198" t="inlineStr">
        <is>
          <t>invocacao.1.nivel</t>
        </is>
      </c>
      <c r="B980" s="198">
        <f>IF(ISBLANK(DADOS_INVOC!$FO$2),"",DADOS_INVOC!$FO$2&amp;"")</f>
        <v/>
      </c>
      <c r="C980" s="198" t="inlineStr">
        <is>
          <t>DADOS_INVOC!FO2</t>
        </is>
      </c>
      <c r="D980" s="198" t="inlineStr">
        <is>
          <t>resultado</t>
        </is>
      </c>
    </row>
    <row r="981">
      <c r="A981" s="198" t="inlineStr">
        <is>
          <t>invocacao.1.classe</t>
        </is>
      </c>
      <c r="B981" s="198">
        <f>IF(ISBLANK(DADOS_INVOC!$FP$2),"",DADOS_INVOC!$FP$2&amp;"")</f>
        <v/>
      </c>
      <c r="C981" s="198" t="inlineStr">
        <is>
          <t>DADOS_INVOC!FP2</t>
        </is>
      </c>
      <c r="D981" s="198" t="inlineStr">
        <is>
          <t>resultado</t>
        </is>
      </c>
    </row>
    <row r="982">
      <c r="A982" s="198" t="inlineStr">
        <is>
          <t>invocacao.1.vida.max</t>
        </is>
      </c>
      <c r="B982" s="198">
        <f>IF(ISBLANK(DADOS_INVOC!$GF$2),"",DADOS_INVOC!$GF$2&amp;"")</f>
        <v/>
      </c>
      <c r="C982" s="198" t="inlineStr">
        <is>
          <t>DADOS_INVOC!GF2</t>
        </is>
      </c>
      <c r="D982" s="198" t="inlineStr">
        <is>
          <t>resultado</t>
        </is>
      </c>
    </row>
    <row r="983">
      <c r="A983" s="198" t="inlineStr">
        <is>
          <t>invocacao.1.entrada</t>
        </is>
      </c>
      <c r="B983" s="198">
        <f>IF(ISBLANK(DADOS_INVOC!$GZ$2),"",DADOS_INVOC!$GZ$2&amp;"")</f>
        <v/>
      </c>
      <c r="C983" s="198" t="inlineStr">
        <is>
          <t>DADOS_INVOC!GZ2</t>
        </is>
      </c>
      <c r="D983" s="198" t="inlineStr">
        <is>
          <t>resultado</t>
        </is>
      </c>
    </row>
    <row r="984">
      <c r="A984" s="198" t="inlineStr">
        <is>
          <t>invocacao.1.retorno</t>
        </is>
      </c>
      <c r="B984" s="198">
        <f>IF(ISBLANK(DADOS_INVOC!$HA$2),"",DADOS_INVOC!$HA$2&amp;"")</f>
        <v/>
      </c>
      <c r="C984" s="198" t="inlineStr">
        <is>
          <t>DADOS_INVOC!HA2</t>
        </is>
      </c>
      <c r="D984" s="198" t="inlineStr">
        <is>
          <t>resultado</t>
        </is>
      </c>
    </row>
    <row r="985">
      <c r="A985" s="198" t="inlineStr">
        <is>
          <t>invocacao.1.acerto</t>
        </is>
      </c>
      <c r="B985" s="198">
        <f>IF(ISBLANK(DADOS_INVOC!$GB$2),"",DADOS_INVOC!$GB$2&amp;"")</f>
        <v/>
      </c>
      <c r="C985" s="198" t="inlineStr">
        <is>
          <t>DADOS_INVOC!GB2</t>
        </is>
      </c>
      <c r="D985" s="198" t="inlineStr">
        <is>
          <t>resultado</t>
        </is>
      </c>
    </row>
    <row r="986">
      <c r="A986" s="198" t="inlineStr">
        <is>
          <t>invocacao.1.cd</t>
        </is>
      </c>
      <c r="B986" s="198">
        <f>IF(ISBLANK(DADOS_INVOC!$GC$2),"",DADOS_INVOC!$GC$2&amp;"")</f>
        <v/>
      </c>
      <c r="C986" s="198" t="inlineStr">
        <is>
          <t>DADOS_INVOC!GC2</t>
        </is>
      </c>
      <c r="D986" s="198" t="inlineStr">
        <is>
          <t>resultado</t>
        </is>
      </c>
    </row>
    <row r="987">
      <c r="A987" s="198" t="inlineStr">
        <is>
          <t>invocacao.1.defesa</t>
        </is>
      </c>
      <c r="B987" s="198">
        <f>IF(ISBLANK(DADOS_INVOC!$GD$2),"",DADOS_INVOC!$GD$2&amp;"")</f>
        <v/>
      </c>
      <c r="C987" s="198" t="inlineStr">
        <is>
          <t>DADOS_INVOC!GD2</t>
        </is>
      </c>
      <c r="D987" s="198" t="inlineStr">
        <is>
          <t>resultado</t>
        </is>
      </c>
    </row>
    <row r="988">
      <c r="A988" s="198" t="inlineStr">
        <is>
          <t>invocacao.1.deslocamento</t>
        </is>
      </c>
      <c r="B988" s="198">
        <f>IF(ISBLANK(DADOS_INVOC!$GN$2),"",DADOS_INVOC!$GN$2&amp;"")</f>
        <v/>
      </c>
      <c r="C988" s="198" t="inlineStr">
        <is>
          <t>DADOS_INVOC!GN2</t>
        </is>
      </c>
      <c r="D988" s="198" t="inlineStr">
        <is>
          <t>resultado</t>
        </is>
      </c>
    </row>
    <row r="989">
      <c r="A989" s="198" t="inlineStr">
        <is>
          <t>invocacao.1.pontos_acima</t>
        </is>
      </c>
      <c r="B989" s="198">
        <f>IF(ISBLANK(DADOS_INVOC!$FZ$2),"",DADOS_INVOC!$FZ$2&amp;"")</f>
        <v/>
      </c>
      <c r="C989" s="198" t="inlineStr">
        <is>
          <t>DADOS_INVOC!FZ2</t>
        </is>
      </c>
      <c r="D989" s="198" t="inlineStr">
        <is>
          <t>aviso</t>
        </is>
      </c>
    </row>
    <row r="990">
      <c r="A990" s="198" t="inlineStr">
        <is>
          <t>invocacao.2.nome</t>
        </is>
      </c>
      <c r="B990" s="198">
        <f>IF(ISBLANK(DADOS_INVOC!$DE$3),"",DADOS_INVOC!$DE$3&amp;"")</f>
        <v/>
      </c>
      <c r="C990" s="198" t="inlineStr">
        <is>
          <t>DADOS_INVOC!DE3</t>
        </is>
      </c>
      <c r="D990" s="198" t="inlineStr">
        <is>
          <t>entrada</t>
        </is>
      </c>
    </row>
    <row r="991">
      <c r="A991" s="198" t="inlineStr">
        <is>
          <t>invocacao.2.tipo</t>
        </is>
      </c>
      <c r="B991" s="198">
        <f>IF(ISBLANK(DADOS_INVOC!$DF$3),"",DADOS_INVOC!$DF$3&amp;"")</f>
        <v/>
      </c>
      <c r="C991" s="198" t="inlineStr">
        <is>
          <t>DADOS_INVOC!DF3</t>
        </is>
      </c>
      <c r="D991" s="198" t="inlineStr">
        <is>
          <t>entrada</t>
        </is>
      </c>
    </row>
    <row r="992">
      <c r="A992" s="198" t="inlineStr">
        <is>
          <t>invocacao.2.aquisicao</t>
        </is>
      </c>
      <c r="B992" s="198">
        <f>IF(ISBLANK(DADOS_INVOC!$DG$3),"",DADOS_INVOC!$DG$3&amp;"")</f>
        <v/>
      </c>
      <c r="C992" s="198" t="inlineStr">
        <is>
          <t>DADOS_INVOC!DG3</t>
        </is>
      </c>
      <c r="D992" s="198" t="inlineStr">
        <is>
          <t>entrada</t>
        </is>
      </c>
    </row>
    <row r="993">
      <c r="A993" s="198" t="inlineStr">
        <is>
          <t>invocacao.2.nivel_fixo</t>
        </is>
      </c>
      <c r="B993" s="198">
        <f>IF(ISBLANK(DADOS_INVOC!$DH$3),"",DADOS_INVOC!$DH$3&amp;"")</f>
        <v/>
      </c>
      <c r="C993" s="198" t="inlineStr">
        <is>
          <t>DADOS_INVOC!DH3</t>
        </is>
      </c>
      <c r="D993" s="198" t="inlineStr">
        <is>
          <t>entrada</t>
        </is>
      </c>
    </row>
    <row r="994">
      <c r="A994" s="198" t="inlineStr">
        <is>
          <t>invocacao.2.talisma</t>
        </is>
      </c>
      <c r="B994" s="198">
        <f>IF(ISBLANK(DADOS_INVOC!$DI$3),"",DADOS_INVOC!$DI$3&amp;"")</f>
        <v/>
      </c>
      <c r="C994" s="198" t="inlineStr">
        <is>
          <t>DADOS_INVOC!DI3</t>
        </is>
      </c>
      <c r="D994" s="198" t="inlineStr">
        <is>
          <t>entrada</t>
        </is>
      </c>
    </row>
    <row r="995">
      <c r="A995" s="198" t="inlineStr">
        <is>
          <t>invocacao.2.oficio_compativel</t>
        </is>
      </c>
      <c r="B995" s="198">
        <f>IF(ISBLANK('INVOCAÇÕES'!$L$254),"",'INVOCAÇÕES'!$L$254&amp;"")</f>
        <v/>
      </c>
      <c r="C995" s="198">
        <f>"'INVOCAÇÕES'!L241"</f>
        <v/>
      </c>
      <c r="D995" s="198" t="inlineStr">
        <is>
          <t>entrada</t>
        </is>
      </c>
    </row>
    <row r="996">
      <c r="A996" s="198" t="inlineStr">
        <is>
          <t>invocacao.2.pontos</t>
        </is>
      </c>
      <c r="B996" s="198">
        <f>TEXTJOIN(" · ",TRUE,DADOS_INVOC!$DJ$3,DADOS_INVOC!$DK$3,DADOS_INVOC!$DL$3,DADOS_INVOC!$DM$3,DADOS_INVOC!$DN$3)</f>
        <v/>
      </c>
      <c r="C996" s="198" t="inlineStr">
        <is>
          <t>DADOS_INVOC!DJ3 DADOS_INVOC!DK3 DADOS_INVOC!DL3 DADOS_INVOC!DM3 DADOS_INVOC!DN3</t>
        </is>
      </c>
      <c r="D996" s="198" t="inlineStr">
        <is>
          <t>entrada</t>
        </is>
      </c>
    </row>
    <row r="997">
      <c r="A997" s="198" t="inlineStr">
        <is>
          <t>invocacao.2.familias</t>
        </is>
      </c>
      <c r="B997" s="198">
        <f>TEXTJOIN(" · ",TRUE,DADOS_INVOC!$EL$3,DADOS_INVOC!$EM$3,DADOS_INVOC!$EN$3,DADOS_INVOC!$EO$3,DADOS_INVOC!$EP$3,DADOS_INVOC!$QV$3,DADOS_INVOC!$QW$3,DADOS_INVOC!$QX$3,DADOS_INVOC!$QY$3)</f>
        <v/>
      </c>
      <c r="C997" s="198" t="inlineStr">
        <is>
          <t>DADOS_INVOC!EL3 DADOS_INVOC!EM3 DADOS_INVOC!EN3 DADOS_INVOC!EO3 DADOS_INVOC!EP3 DADOS_INVOC!QV3 DADOS_INVOC!QW3 DADOS_INVOC!QX3 DADOS_INVOC!QY3</t>
        </is>
      </c>
      <c r="D997" s="198" t="inlineStr">
        <is>
          <t>entrada</t>
        </is>
      </c>
    </row>
    <row r="998">
      <c r="A998" s="198" t="inlineStr">
        <is>
          <t>invocacao.2.pericias</t>
        </is>
      </c>
      <c r="B998" s="198">
        <f>TEXTJOIN(" · ",TRUE,DADOS_INVOC!$EQ$3,DADOS_INVOC!$ER$3,DADOS_INVOC!$ES$3,DADOS_INVOC!$ET$3,DADOS_INVOC!$EU$3,DADOS_INVOC!$EV$3,DADOS_INVOC!$EW$3)</f>
        <v/>
      </c>
      <c r="C998" s="198" t="inlineStr">
        <is>
          <t>DADOS_INVOC!EQ3 DADOS_INVOC!ER3 DADOS_INVOC!ES3 DADOS_INVOC!ET3 DADOS_INVOC!EU3 DADOS_INVOC!EV3 DADOS_INVOC!EW3</t>
        </is>
      </c>
      <c r="D998" s="198" t="inlineStr">
        <is>
          <t>entrada</t>
        </is>
      </c>
    </row>
    <row r="999">
      <c r="A999" s="198" t="inlineStr">
        <is>
          <t>invocacao.2.talentos</t>
        </is>
      </c>
      <c r="B999" s="198">
        <f>TEXTJOIN(" · ",TRUE,DADOS_INVOC!$EX$3,DADOS_INVOC!$EY$3,DADOS_INVOC!$EZ$3,DADOS_INVOC!$FA$3,DADOS_INVOC!$FB$3,DADOS_INVOC!$FC$3,DADOS_INVOC!$FD$3,DADOS_INVOC!$FE$3)</f>
        <v/>
      </c>
      <c r="C999" s="198" t="inlineStr">
        <is>
          <t>DADOS_INVOC!EX3 DADOS_INVOC!EY3 DADOS_INVOC!EZ3 DADOS_INVOC!FA3 DADOS_INVOC!FB3 DADOS_INVOC!FC3 DADOS_INVOC!FD3 DADOS_INVOC!FE3</t>
        </is>
      </c>
      <c r="D999" s="198" t="inlineStr">
        <is>
          <t>entrada</t>
        </is>
      </c>
    </row>
    <row r="1000">
      <c r="A1000" s="198" t="inlineStr">
        <is>
          <t>invocacao.2.nivel</t>
        </is>
      </c>
      <c r="B1000" s="198">
        <f>IF(ISBLANK(DADOS_INVOC!$FO$3),"",DADOS_INVOC!$FO$3&amp;"")</f>
        <v/>
      </c>
      <c r="C1000" s="198" t="inlineStr">
        <is>
          <t>DADOS_INVOC!FO3</t>
        </is>
      </c>
      <c r="D1000" s="198" t="inlineStr">
        <is>
          <t>resultado</t>
        </is>
      </c>
    </row>
    <row r="1001">
      <c r="A1001" s="198" t="inlineStr">
        <is>
          <t>invocacao.2.classe</t>
        </is>
      </c>
      <c r="B1001" s="198">
        <f>IF(ISBLANK(DADOS_INVOC!$FP$3),"",DADOS_INVOC!$FP$3&amp;"")</f>
        <v/>
      </c>
      <c r="C1001" s="198" t="inlineStr">
        <is>
          <t>DADOS_INVOC!FP3</t>
        </is>
      </c>
      <c r="D1001" s="198" t="inlineStr">
        <is>
          <t>resultado</t>
        </is>
      </c>
    </row>
    <row r="1002">
      <c r="A1002" s="198" t="inlineStr">
        <is>
          <t>invocacao.2.vida.max</t>
        </is>
      </c>
      <c r="B1002" s="198">
        <f>IF(ISBLANK(DADOS_INVOC!$GF$3),"",DADOS_INVOC!$GF$3&amp;"")</f>
        <v/>
      </c>
      <c r="C1002" s="198" t="inlineStr">
        <is>
          <t>DADOS_INVOC!GF3</t>
        </is>
      </c>
      <c r="D1002" s="198" t="inlineStr">
        <is>
          <t>resultado</t>
        </is>
      </c>
    </row>
    <row r="1003">
      <c r="A1003" s="198" t="inlineStr">
        <is>
          <t>invocacao.2.entrada</t>
        </is>
      </c>
      <c r="B1003" s="198">
        <f>IF(ISBLANK(DADOS_INVOC!$GZ$3),"",DADOS_INVOC!$GZ$3&amp;"")</f>
        <v/>
      </c>
      <c r="C1003" s="198" t="inlineStr">
        <is>
          <t>DADOS_INVOC!GZ3</t>
        </is>
      </c>
      <c r="D1003" s="198" t="inlineStr">
        <is>
          <t>resultado</t>
        </is>
      </c>
    </row>
    <row r="1004">
      <c r="A1004" s="198" t="inlineStr">
        <is>
          <t>invocacao.2.retorno</t>
        </is>
      </c>
      <c r="B1004" s="198">
        <f>IF(ISBLANK(DADOS_INVOC!$HA$3),"",DADOS_INVOC!$HA$3&amp;"")</f>
        <v/>
      </c>
      <c r="C1004" s="198" t="inlineStr">
        <is>
          <t>DADOS_INVOC!HA3</t>
        </is>
      </c>
      <c r="D1004" s="198" t="inlineStr">
        <is>
          <t>resultado</t>
        </is>
      </c>
    </row>
    <row r="1005">
      <c r="A1005" s="198" t="inlineStr">
        <is>
          <t>invocacao.2.acerto</t>
        </is>
      </c>
      <c r="B1005" s="198">
        <f>IF(ISBLANK(DADOS_INVOC!$GB$3),"",DADOS_INVOC!$GB$3&amp;"")</f>
        <v/>
      </c>
      <c r="C1005" s="198" t="inlineStr">
        <is>
          <t>DADOS_INVOC!GB3</t>
        </is>
      </c>
      <c r="D1005" s="198" t="inlineStr">
        <is>
          <t>resultado</t>
        </is>
      </c>
    </row>
    <row r="1006">
      <c r="A1006" s="198" t="inlineStr">
        <is>
          <t>invocacao.2.cd</t>
        </is>
      </c>
      <c r="B1006" s="198">
        <f>IF(ISBLANK(DADOS_INVOC!$GC$3),"",DADOS_INVOC!$GC$3&amp;"")</f>
        <v/>
      </c>
      <c r="C1006" s="198" t="inlineStr">
        <is>
          <t>DADOS_INVOC!GC3</t>
        </is>
      </c>
      <c r="D1006" s="198" t="inlineStr">
        <is>
          <t>resultado</t>
        </is>
      </c>
    </row>
    <row r="1007">
      <c r="A1007" s="198" t="inlineStr">
        <is>
          <t>invocacao.2.defesa</t>
        </is>
      </c>
      <c r="B1007" s="198">
        <f>IF(ISBLANK(DADOS_INVOC!$GD$3),"",DADOS_INVOC!$GD$3&amp;"")</f>
        <v/>
      </c>
      <c r="C1007" s="198" t="inlineStr">
        <is>
          <t>DADOS_INVOC!GD3</t>
        </is>
      </c>
      <c r="D1007" s="198" t="inlineStr">
        <is>
          <t>resultado</t>
        </is>
      </c>
    </row>
    <row r="1008">
      <c r="A1008" s="198" t="inlineStr">
        <is>
          <t>invocacao.2.deslocamento</t>
        </is>
      </c>
      <c r="B1008" s="198">
        <f>IF(ISBLANK(DADOS_INVOC!$GN$3),"",DADOS_INVOC!$GN$3&amp;"")</f>
        <v/>
      </c>
      <c r="C1008" s="198" t="inlineStr">
        <is>
          <t>DADOS_INVOC!GN3</t>
        </is>
      </c>
      <c r="D1008" s="198" t="inlineStr">
        <is>
          <t>resultado</t>
        </is>
      </c>
    </row>
    <row r="1009">
      <c r="A1009" s="198" t="inlineStr">
        <is>
          <t>invocacao.2.pontos_acima</t>
        </is>
      </c>
      <c r="B1009" s="198">
        <f>IF(ISBLANK(DADOS_INVOC!$FZ$3),"",DADOS_INVOC!$FZ$3&amp;"")</f>
        <v/>
      </c>
      <c r="C1009" s="198" t="inlineStr">
        <is>
          <t>DADOS_INVOC!FZ3</t>
        </is>
      </c>
      <c r="D1009" s="198" t="inlineStr">
        <is>
          <t>aviso</t>
        </is>
      </c>
    </row>
    <row r="1010">
      <c r="A1010" s="198" t="inlineStr">
        <is>
          <t>invocacao.3.nome</t>
        </is>
      </c>
      <c r="B1010" s="198">
        <f>IF(ISBLANK(DADOS_INVOC!$DE$4),"",DADOS_INVOC!$DE$4&amp;"")</f>
        <v/>
      </c>
      <c r="C1010" s="198" t="inlineStr">
        <is>
          <t>DADOS_INVOC!DE4</t>
        </is>
      </c>
      <c r="D1010" s="198" t="inlineStr">
        <is>
          <t>entrada</t>
        </is>
      </c>
    </row>
    <row r="1011">
      <c r="A1011" s="198" t="inlineStr">
        <is>
          <t>invocacao.3.tipo</t>
        </is>
      </c>
      <c r="B1011" s="198">
        <f>IF(ISBLANK(DADOS_INVOC!$DF$4),"",DADOS_INVOC!$DF$4&amp;"")</f>
        <v/>
      </c>
      <c r="C1011" s="198" t="inlineStr">
        <is>
          <t>DADOS_INVOC!DF4</t>
        </is>
      </c>
      <c r="D1011" s="198" t="inlineStr">
        <is>
          <t>entrada</t>
        </is>
      </c>
    </row>
    <row r="1012">
      <c r="A1012" s="198" t="inlineStr">
        <is>
          <t>invocacao.3.aquisicao</t>
        </is>
      </c>
      <c r="B1012" s="198">
        <f>IF(ISBLANK(DADOS_INVOC!$DG$4),"",DADOS_INVOC!$DG$4&amp;"")</f>
        <v/>
      </c>
      <c r="C1012" s="198" t="inlineStr">
        <is>
          <t>DADOS_INVOC!DG4</t>
        </is>
      </c>
      <c r="D1012" s="198" t="inlineStr">
        <is>
          <t>entrada</t>
        </is>
      </c>
    </row>
    <row r="1013">
      <c r="A1013" s="198" t="inlineStr">
        <is>
          <t>invocacao.3.nivel_fixo</t>
        </is>
      </c>
      <c r="B1013" s="198">
        <f>IF(ISBLANK(DADOS_INVOC!$DH$4),"",DADOS_INVOC!$DH$4&amp;"")</f>
        <v/>
      </c>
      <c r="C1013" s="198" t="inlineStr">
        <is>
          <t>DADOS_INVOC!DH4</t>
        </is>
      </c>
      <c r="D1013" s="198" t="inlineStr">
        <is>
          <t>entrada</t>
        </is>
      </c>
    </row>
    <row r="1014">
      <c r="A1014" s="198" t="inlineStr">
        <is>
          <t>invocacao.3.talisma</t>
        </is>
      </c>
      <c r="B1014" s="198">
        <f>IF(ISBLANK(DADOS_INVOC!$DI$4),"",DADOS_INVOC!$DI$4&amp;"")</f>
        <v/>
      </c>
      <c r="C1014" s="198" t="inlineStr">
        <is>
          <t>DADOS_INVOC!DI4</t>
        </is>
      </c>
      <c r="D1014" s="198" t="inlineStr">
        <is>
          <t>entrada</t>
        </is>
      </c>
    </row>
    <row r="1015">
      <c r="A1015" s="198" t="inlineStr">
        <is>
          <t>invocacao.3.oficio_compativel</t>
        </is>
      </c>
      <c r="B1015" s="198">
        <f>IF(ISBLANK('INVOCAÇÕES'!$L$465),"",'INVOCAÇÕES'!$L$465&amp;"")</f>
        <v/>
      </c>
      <c r="C1015" s="198">
        <f>"'INVOCAÇÕES'!L439"</f>
        <v/>
      </c>
      <c r="D1015" s="198" t="inlineStr">
        <is>
          <t>entrada</t>
        </is>
      </c>
    </row>
    <row r="1016">
      <c r="A1016" s="198" t="inlineStr">
        <is>
          <t>invocacao.3.pontos</t>
        </is>
      </c>
      <c r="B1016" s="198">
        <f>TEXTJOIN(" · ",TRUE,DADOS_INVOC!$DJ$4,DADOS_INVOC!$DK$4,DADOS_INVOC!$DL$4,DADOS_INVOC!$DM$4,DADOS_INVOC!$DN$4)</f>
        <v/>
      </c>
      <c r="C1016" s="198" t="inlineStr">
        <is>
          <t>DADOS_INVOC!DJ4 DADOS_INVOC!DK4 DADOS_INVOC!DL4 DADOS_INVOC!DM4 DADOS_INVOC!DN4</t>
        </is>
      </c>
      <c r="D1016" s="198" t="inlineStr">
        <is>
          <t>entrada</t>
        </is>
      </c>
    </row>
    <row r="1017">
      <c r="A1017" s="198" t="inlineStr">
        <is>
          <t>invocacao.3.familias</t>
        </is>
      </c>
      <c r="B1017" s="198">
        <f>TEXTJOIN(" · ",TRUE,DADOS_INVOC!$EL$4,DADOS_INVOC!$EM$4,DADOS_INVOC!$EN$4,DADOS_INVOC!$EO$4,DADOS_INVOC!$EP$4,DADOS_INVOC!$QV$4,DADOS_INVOC!$QW$4,DADOS_INVOC!$QX$4,DADOS_INVOC!$QY$4)</f>
        <v/>
      </c>
      <c r="C1017" s="198" t="inlineStr">
        <is>
          <t>DADOS_INVOC!EL4 DADOS_INVOC!EM4 DADOS_INVOC!EN4 DADOS_INVOC!EO4 DADOS_INVOC!EP4 DADOS_INVOC!QV4 DADOS_INVOC!QW4 DADOS_INVOC!QX4 DADOS_INVOC!QY4</t>
        </is>
      </c>
      <c r="D1017" s="198" t="inlineStr">
        <is>
          <t>entrada</t>
        </is>
      </c>
    </row>
    <row r="1018">
      <c r="A1018" s="198" t="inlineStr">
        <is>
          <t>invocacao.3.pericias</t>
        </is>
      </c>
      <c r="B1018" s="198">
        <f>TEXTJOIN(" · ",TRUE,DADOS_INVOC!$EQ$4,DADOS_INVOC!$ER$4,DADOS_INVOC!$ES$4,DADOS_INVOC!$ET$4,DADOS_INVOC!$EU$4,DADOS_INVOC!$EV$4,DADOS_INVOC!$EW$4)</f>
        <v/>
      </c>
      <c r="C1018" s="198" t="inlineStr">
        <is>
          <t>DADOS_INVOC!EQ4 DADOS_INVOC!ER4 DADOS_INVOC!ES4 DADOS_INVOC!ET4 DADOS_INVOC!EU4 DADOS_INVOC!EV4 DADOS_INVOC!EW4</t>
        </is>
      </c>
      <c r="D1018" s="198" t="inlineStr">
        <is>
          <t>entrada</t>
        </is>
      </c>
    </row>
    <row r="1019">
      <c r="A1019" s="198" t="inlineStr">
        <is>
          <t>invocacao.3.talentos</t>
        </is>
      </c>
      <c r="B1019" s="198">
        <f>TEXTJOIN(" · ",TRUE,DADOS_INVOC!$EX$4,DADOS_INVOC!$EY$4,DADOS_INVOC!$EZ$4,DADOS_INVOC!$FA$4,DADOS_INVOC!$FB$4,DADOS_INVOC!$FC$4,DADOS_INVOC!$FD$4,DADOS_INVOC!$FE$4)</f>
        <v/>
      </c>
      <c r="C1019" s="198" t="inlineStr">
        <is>
          <t>DADOS_INVOC!EX4 DADOS_INVOC!EY4 DADOS_INVOC!EZ4 DADOS_INVOC!FA4 DADOS_INVOC!FB4 DADOS_INVOC!FC4 DADOS_INVOC!FD4 DADOS_INVOC!FE4</t>
        </is>
      </c>
      <c r="D1019" s="198" t="inlineStr">
        <is>
          <t>entrada</t>
        </is>
      </c>
    </row>
    <row r="1020">
      <c r="A1020" s="198" t="inlineStr">
        <is>
          <t>invocacao.3.nivel</t>
        </is>
      </c>
      <c r="B1020" s="198">
        <f>IF(ISBLANK(DADOS_INVOC!$FO$4),"",DADOS_INVOC!$FO$4&amp;"")</f>
        <v/>
      </c>
      <c r="C1020" s="198" t="inlineStr">
        <is>
          <t>DADOS_INVOC!FO4</t>
        </is>
      </c>
      <c r="D1020" s="198" t="inlineStr">
        <is>
          <t>resultado</t>
        </is>
      </c>
    </row>
    <row r="1021">
      <c r="A1021" s="198" t="inlineStr">
        <is>
          <t>invocacao.3.classe</t>
        </is>
      </c>
      <c r="B1021" s="198">
        <f>IF(ISBLANK(DADOS_INVOC!$FP$4),"",DADOS_INVOC!$FP$4&amp;"")</f>
        <v/>
      </c>
      <c r="C1021" s="198" t="inlineStr">
        <is>
          <t>DADOS_INVOC!FP4</t>
        </is>
      </c>
      <c r="D1021" s="198" t="inlineStr">
        <is>
          <t>resultado</t>
        </is>
      </c>
    </row>
    <row r="1022">
      <c r="A1022" s="198" t="inlineStr">
        <is>
          <t>invocacao.3.vida.max</t>
        </is>
      </c>
      <c r="B1022" s="198">
        <f>IF(ISBLANK(DADOS_INVOC!$GF$4),"",DADOS_INVOC!$GF$4&amp;"")</f>
        <v/>
      </c>
      <c r="C1022" s="198" t="inlineStr">
        <is>
          <t>DADOS_INVOC!GF4</t>
        </is>
      </c>
      <c r="D1022" s="198" t="inlineStr">
        <is>
          <t>resultado</t>
        </is>
      </c>
    </row>
    <row r="1023">
      <c r="A1023" s="198" t="inlineStr">
        <is>
          <t>invocacao.3.entrada</t>
        </is>
      </c>
      <c r="B1023" s="198">
        <f>IF(ISBLANK(DADOS_INVOC!$GZ$4),"",DADOS_INVOC!$GZ$4&amp;"")</f>
        <v/>
      </c>
      <c r="C1023" s="198" t="inlineStr">
        <is>
          <t>DADOS_INVOC!GZ4</t>
        </is>
      </c>
      <c r="D1023" s="198" t="inlineStr">
        <is>
          <t>resultado</t>
        </is>
      </c>
    </row>
    <row r="1024">
      <c r="A1024" s="198" t="inlineStr">
        <is>
          <t>invocacao.3.retorno</t>
        </is>
      </c>
      <c r="B1024" s="198">
        <f>IF(ISBLANK(DADOS_INVOC!$HA$4),"",DADOS_INVOC!$HA$4&amp;"")</f>
        <v/>
      </c>
      <c r="C1024" s="198" t="inlineStr">
        <is>
          <t>DADOS_INVOC!HA4</t>
        </is>
      </c>
      <c r="D1024" s="198" t="inlineStr">
        <is>
          <t>resultado</t>
        </is>
      </c>
    </row>
    <row r="1025">
      <c r="A1025" s="198" t="inlineStr">
        <is>
          <t>invocacao.3.acerto</t>
        </is>
      </c>
      <c r="B1025" s="198">
        <f>IF(ISBLANK(DADOS_INVOC!$GB$4),"",DADOS_INVOC!$GB$4&amp;"")</f>
        <v/>
      </c>
      <c r="C1025" s="198" t="inlineStr">
        <is>
          <t>DADOS_INVOC!GB4</t>
        </is>
      </c>
      <c r="D1025" s="198" t="inlineStr">
        <is>
          <t>resultado</t>
        </is>
      </c>
    </row>
    <row r="1026">
      <c r="A1026" s="198" t="inlineStr">
        <is>
          <t>invocacao.3.cd</t>
        </is>
      </c>
      <c r="B1026" s="198">
        <f>IF(ISBLANK(DADOS_INVOC!$GC$4),"",DADOS_INVOC!$GC$4&amp;"")</f>
        <v/>
      </c>
      <c r="C1026" s="198" t="inlineStr">
        <is>
          <t>DADOS_INVOC!GC4</t>
        </is>
      </c>
      <c r="D1026" s="198" t="inlineStr">
        <is>
          <t>resultado</t>
        </is>
      </c>
    </row>
    <row r="1027">
      <c r="A1027" s="198" t="inlineStr">
        <is>
          <t>invocacao.3.defesa</t>
        </is>
      </c>
      <c r="B1027" s="198">
        <f>IF(ISBLANK(DADOS_INVOC!$GD$4),"",DADOS_INVOC!$GD$4&amp;"")</f>
        <v/>
      </c>
      <c r="C1027" s="198" t="inlineStr">
        <is>
          <t>DADOS_INVOC!GD4</t>
        </is>
      </c>
      <c r="D1027" s="198" t="inlineStr">
        <is>
          <t>resultado</t>
        </is>
      </c>
    </row>
    <row r="1028">
      <c r="A1028" s="198" t="inlineStr">
        <is>
          <t>invocacao.3.deslocamento</t>
        </is>
      </c>
      <c r="B1028" s="198">
        <f>IF(ISBLANK(DADOS_INVOC!$GN$4),"",DADOS_INVOC!$GN$4&amp;"")</f>
        <v/>
      </c>
      <c r="C1028" s="198" t="inlineStr">
        <is>
          <t>DADOS_INVOC!GN4</t>
        </is>
      </c>
      <c r="D1028" s="198" t="inlineStr">
        <is>
          <t>resultado</t>
        </is>
      </c>
    </row>
    <row r="1029">
      <c r="A1029" s="198" t="inlineStr">
        <is>
          <t>invocacao.3.pontos_acima</t>
        </is>
      </c>
      <c r="B1029" s="198">
        <f>IF(ISBLANK(DADOS_INVOC!$FZ$4),"",DADOS_INVOC!$FZ$4&amp;"")</f>
        <v/>
      </c>
      <c r="C1029" s="198" t="inlineStr">
        <is>
          <t>DADOS_INVOC!FZ4</t>
        </is>
      </c>
      <c r="D1029" s="198" t="inlineStr">
        <is>
          <t>aviso</t>
        </is>
      </c>
    </row>
    <row r="1030">
      <c r="A1030" s="198" t="inlineStr">
        <is>
          <t>invocacao.4.nome</t>
        </is>
      </c>
      <c r="B1030" s="198">
        <f>IF(ISBLANK(DADOS_INVOC!$DE$5),"",DADOS_INVOC!$DE$5&amp;"")</f>
        <v/>
      </c>
      <c r="C1030" s="198" t="inlineStr">
        <is>
          <t>DADOS_INVOC!DE5</t>
        </is>
      </c>
      <c r="D1030" s="198" t="inlineStr">
        <is>
          <t>entrada</t>
        </is>
      </c>
    </row>
    <row r="1031">
      <c r="A1031" s="198" t="inlineStr">
        <is>
          <t>invocacao.4.tipo</t>
        </is>
      </c>
      <c r="B1031" s="198">
        <f>IF(ISBLANK(DADOS_INVOC!$DF$5),"",DADOS_INVOC!$DF$5&amp;"")</f>
        <v/>
      </c>
      <c r="C1031" s="198" t="inlineStr">
        <is>
          <t>DADOS_INVOC!DF5</t>
        </is>
      </c>
      <c r="D1031" s="198" t="inlineStr">
        <is>
          <t>entrada</t>
        </is>
      </c>
    </row>
    <row r="1032">
      <c r="A1032" s="198" t="inlineStr">
        <is>
          <t>invocacao.4.aquisicao</t>
        </is>
      </c>
      <c r="B1032" s="198">
        <f>IF(ISBLANK(DADOS_INVOC!$DG$5),"",DADOS_INVOC!$DG$5&amp;"")</f>
        <v/>
      </c>
      <c r="C1032" s="198" t="inlineStr">
        <is>
          <t>DADOS_INVOC!DG5</t>
        </is>
      </c>
      <c r="D1032" s="198" t="inlineStr">
        <is>
          <t>entrada</t>
        </is>
      </c>
    </row>
    <row r="1033">
      <c r="A1033" s="198" t="inlineStr">
        <is>
          <t>invocacao.4.nivel_fixo</t>
        </is>
      </c>
      <c r="B1033" s="198">
        <f>IF(ISBLANK(DADOS_INVOC!$DH$5),"",DADOS_INVOC!$DH$5&amp;"")</f>
        <v/>
      </c>
      <c r="C1033" s="198" t="inlineStr">
        <is>
          <t>DADOS_INVOC!DH5</t>
        </is>
      </c>
      <c r="D1033" s="198" t="inlineStr">
        <is>
          <t>entrada</t>
        </is>
      </c>
    </row>
    <row r="1034">
      <c r="A1034" s="198" t="inlineStr">
        <is>
          <t>invocacao.4.talisma</t>
        </is>
      </c>
      <c r="B1034" s="198">
        <f>IF(ISBLANK(DADOS_INVOC!$DI$5),"",DADOS_INVOC!$DI$5&amp;"")</f>
        <v/>
      </c>
      <c r="C1034" s="198" t="inlineStr">
        <is>
          <t>DADOS_INVOC!DI5</t>
        </is>
      </c>
      <c r="D1034" s="198" t="inlineStr">
        <is>
          <t>entrada</t>
        </is>
      </c>
    </row>
    <row r="1035">
      <c r="A1035" s="198" t="inlineStr">
        <is>
          <t>invocacao.4.oficio_compativel</t>
        </is>
      </c>
      <c r="B1035" s="198">
        <f>IF(ISBLANK('INVOCAÇÕES'!$L$676),"",'INVOCAÇÕES'!$L$676&amp;"")</f>
        <v/>
      </c>
      <c r="C1035" s="198">
        <f>"'INVOCAÇÕES'!L637"</f>
        <v/>
      </c>
      <c r="D1035" s="198" t="inlineStr">
        <is>
          <t>entrada</t>
        </is>
      </c>
    </row>
    <row r="1036">
      <c r="A1036" s="198" t="inlineStr">
        <is>
          <t>invocacao.4.pontos</t>
        </is>
      </c>
      <c r="B1036" s="198">
        <f>TEXTJOIN(" · ",TRUE,DADOS_INVOC!$DJ$5,DADOS_INVOC!$DK$5,DADOS_INVOC!$DL$5,DADOS_INVOC!$DM$5,DADOS_INVOC!$DN$5)</f>
        <v/>
      </c>
      <c r="C1036" s="198" t="inlineStr">
        <is>
          <t>DADOS_INVOC!DJ5 DADOS_INVOC!DK5 DADOS_INVOC!DL5 DADOS_INVOC!DM5 DADOS_INVOC!DN5</t>
        </is>
      </c>
      <c r="D1036" s="198" t="inlineStr">
        <is>
          <t>entrada</t>
        </is>
      </c>
    </row>
    <row r="1037">
      <c r="A1037" s="198" t="inlineStr">
        <is>
          <t>invocacao.4.familias</t>
        </is>
      </c>
      <c r="B1037" s="198">
        <f>TEXTJOIN(" · ",TRUE,DADOS_INVOC!$EL$5,DADOS_INVOC!$EM$5,DADOS_INVOC!$EN$5,DADOS_INVOC!$EO$5,DADOS_INVOC!$EP$5,DADOS_INVOC!$QV$5,DADOS_INVOC!$QW$5,DADOS_INVOC!$QX$5,DADOS_INVOC!$QY$5)</f>
        <v/>
      </c>
      <c r="C1037" s="198" t="inlineStr">
        <is>
          <t>DADOS_INVOC!EL5 DADOS_INVOC!EM5 DADOS_INVOC!EN5 DADOS_INVOC!EO5 DADOS_INVOC!EP5 DADOS_INVOC!QV5 DADOS_INVOC!QW5 DADOS_INVOC!QX5 DADOS_INVOC!QY5</t>
        </is>
      </c>
      <c r="D1037" s="198" t="inlineStr">
        <is>
          <t>entrada</t>
        </is>
      </c>
    </row>
    <row r="1038">
      <c r="A1038" s="198" t="inlineStr">
        <is>
          <t>invocacao.4.pericias</t>
        </is>
      </c>
      <c r="B1038" s="198">
        <f>TEXTJOIN(" · ",TRUE,DADOS_INVOC!$EQ$5,DADOS_INVOC!$ER$5,DADOS_INVOC!$ES$5,DADOS_INVOC!$ET$5,DADOS_INVOC!$EU$5,DADOS_INVOC!$EV$5,DADOS_INVOC!$EW$5)</f>
        <v/>
      </c>
      <c r="C1038" s="198" t="inlineStr">
        <is>
          <t>DADOS_INVOC!EQ5 DADOS_INVOC!ER5 DADOS_INVOC!ES5 DADOS_INVOC!ET5 DADOS_INVOC!EU5 DADOS_INVOC!EV5 DADOS_INVOC!EW5</t>
        </is>
      </c>
      <c r="D1038" s="198" t="inlineStr">
        <is>
          <t>entrada</t>
        </is>
      </c>
    </row>
    <row r="1039">
      <c r="A1039" s="198" t="inlineStr">
        <is>
          <t>invocacao.4.talentos</t>
        </is>
      </c>
      <c r="B1039" s="198">
        <f>TEXTJOIN(" · ",TRUE,DADOS_INVOC!$EX$5,DADOS_INVOC!$EY$5,DADOS_INVOC!$EZ$5,DADOS_INVOC!$FA$5,DADOS_INVOC!$FB$5,DADOS_INVOC!$FC$5,DADOS_INVOC!$FD$5,DADOS_INVOC!$FE$5)</f>
        <v/>
      </c>
      <c r="C1039" s="198" t="inlineStr">
        <is>
          <t>DADOS_INVOC!EX5 DADOS_INVOC!EY5 DADOS_INVOC!EZ5 DADOS_INVOC!FA5 DADOS_INVOC!FB5 DADOS_INVOC!FC5 DADOS_INVOC!FD5 DADOS_INVOC!FE5</t>
        </is>
      </c>
      <c r="D1039" s="198" t="inlineStr">
        <is>
          <t>entrada</t>
        </is>
      </c>
    </row>
    <row r="1040">
      <c r="A1040" s="198" t="inlineStr">
        <is>
          <t>invocacao.4.nivel</t>
        </is>
      </c>
      <c r="B1040" s="198">
        <f>IF(ISBLANK(DADOS_INVOC!$FO$5),"",DADOS_INVOC!$FO$5&amp;"")</f>
        <v/>
      </c>
      <c r="C1040" s="198" t="inlineStr">
        <is>
          <t>DADOS_INVOC!FO5</t>
        </is>
      </c>
      <c r="D1040" s="198" t="inlineStr">
        <is>
          <t>resultado</t>
        </is>
      </c>
    </row>
    <row r="1041">
      <c r="A1041" s="198" t="inlineStr">
        <is>
          <t>invocacao.4.classe</t>
        </is>
      </c>
      <c r="B1041" s="198">
        <f>IF(ISBLANK(DADOS_INVOC!$FP$5),"",DADOS_INVOC!$FP$5&amp;"")</f>
        <v/>
      </c>
      <c r="C1041" s="198" t="inlineStr">
        <is>
          <t>DADOS_INVOC!FP5</t>
        </is>
      </c>
      <c r="D1041" s="198" t="inlineStr">
        <is>
          <t>resultado</t>
        </is>
      </c>
    </row>
    <row r="1042">
      <c r="A1042" s="198" t="inlineStr">
        <is>
          <t>invocacao.4.vida.max</t>
        </is>
      </c>
      <c r="B1042" s="198">
        <f>IF(ISBLANK(DADOS_INVOC!$GF$5),"",DADOS_INVOC!$GF$5&amp;"")</f>
        <v/>
      </c>
      <c r="C1042" s="198" t="inlineStr">
        <is>
          <t>DADOS_INVOC!GF5</t>
        </is>
      </c>
      <c r="D1042" s="198" t="inlineStr">
        <is>
          <t>resultado</t>
        </is>
      </c>
    </row>
    <row r="1043">
      <c r="A1043" s="198" t="inlineStr">
        <is>
          <t>invocacao.4.entrada</t>
        </is>
      </c>
      <c r="B1043" s="198">
        <f>IF(ISBLANK(DADOS_INVOC!$GZ$5),"",DADOS_INVOC!$GZ$5&amp;"")</f>
        <v/>
      </c>
      <c r="C1043" s="198" t="inlineStr">
        <is>
          <t>DADOS_INVOC!GZ5</t>
        </is>
      </c>
      <c r="D1043" s="198" t="inlineStr">
        <is>
          <t>resultado</t>
        </is>
      </c>
    </row>
    <row r="1044">
      <c r="A1044" s="198" t="inlineStr">
        <is>
          <t>invocacao.4.retorno</t>
        </is>
      </c>
      <c r="B1044" s="198">
        <f>IF(ISBLANK(DADOS_INVOC!$HA$5),"",DADOS_INVOC!$HA$5&amp;"")</f>
        <v/>
      </c>
      <c r="C1044" s="198" t="inlineStr">
        <is>
          <t>DADOS_INVOC!HA5</t>
        </is>
      </c>
      <c r="D1044" s="198" t="inlineStr">
        <is>
          <t>resultado</t>
        </is>
      </c>
    </row>
    <row r="1045">
      <c r="A1045" s="198" t="inlineStr">
        <is>
          <t>invocacao.4.acerto</t>
        </is>
      </c>
      <c r="B1045" s="198">
        <f>IF(ISBLANK(DADOS_INVOC!$GB$5),"",DADOS_INVOC!$GB$5&amp;"")</f>
        <v/>
      </c>
      <c r="C1045" s="198" t="inlineStr">
        <is>
          <t>DADOS_INVOC!GB5</t>
        </is>
      </c>
      <c r="D1045" s="198" t="inlineStr">
        <is>
          <t>resultado</t>
        </is>
      </c>
    </row>
    <row r="1046">
      <c r="A1046" s="198" t="inlineStr">
        <is>
          <t>invocacao.4.cd</t>
        </is>
      </c>
      <c r="B1046" s="198">
        <f>IF(ISBLANK(DADOS_INVOC!$GC$5),"",DADOS_INVOC!$GC$5&amp;"")</f>
        <v/>
      </c>
      <c r="C1046" s="198" t="inlineStr">
        <is>
          <t>DADOS_INVOC!GC5</t>
        </is>
      </c>
      <c r="D1046" s="198" t="inlineStr">
        <is>
          <t>resultado</t>
        </is>
      </c>
    </row>
    <row r="1047">
      <c r="A1047" s="198" t="inlineStr">
        <is>
          <t>invocacao.4.defesa</t>
        </is>
      </c>
      <c r="B1047" s="198">
        <f>IF(ISBLANK(DADOS_INVOC!$GD$5),"",DADOS_INVOC!$GD$5&amp;"")</f>
        <v/>
      </c>
      <c r="C1047" s="198" t="inlineStr">
        <is>
          <t>DADOS_INVOC!GD5</t>
        </is>
      </c>
      <c r="D1047" s="198" t="inlineStr">
        <is>
          <t>resultado</t>
        </is>
      </c>
    </row>
    <row r="1048">
      <c r="A1048" s="198" t="inlineStr">
        <is>
          <t>invocacao.4.deslocamento</t>
        </is>
      </c>
      <c r="B1048" s="198">
        <f>IF(ISBLANK(DADOS_INVOC!$GN$5),"",DADOS_INVOC!$GN$5&amp;"")</f>
        <v/>
      </c>
      <c r="C1048" s="198" t="inlineStr">
        <is>
          <t>DADOS_INVOC!GN5</t>
        </is>
      </c>
      <c r="D1048" s="198" t="inlineStr">
        <is>
          <t>resultado</t>
        </is>
      </c>
    </row>
    <row r="1049">
      <c r="A1049" s="198" t="inlineStr">
        <is>
          <t>invocacao.4.pontos_acima</t>
        </is>
      </c>
      <c r="B1049" s="198">
        <f>IF(ISBLANK(DADOS_INVOC!$FZ$5),"",DADOS_INVOC!$FZ$5&amp;"")</f>
        <v/>
      </c>
      <c r="C1049" s="198" t="inlineStr">
        <is>
          <t>DADOS_INVOC!FZ5</t>
        </is>
      </c>
      <c r="D1049" s="198" t="inlineStr">
        <is>
          <t>aviso</t>
        </is>
      </c>
    </row>
    <row r="1050">
      <c r="A1050" s="198" t="inlineStr">
        <is>
          <t>invocacao.5.nome</t>
        </is>
      </c>
      <c r="B1050" s="198">
        <f>IF(ISBLANK(DADOS_INVOC!$DE$6),"",DADOS_INVOC!$DE$6&amp;"")</f>
        <v/>
      </c>
      <c r="C1050" s="198" t="inlineStr">
        <is>
          <t>DADOS_INVOC!DE6</t>
        </is>
      </c>
      <c r="D1050" s="198" t="inlineStr">
        <is>
          <t>entrada</t>
        </is>
      </c>
    </row>
    <row r="1051">
      <c r="A1051" s="198" t="inlineStr">
        <is>
          <t>invocacao.5.tipo</t>
        </is>
      </c>
      <c r="B1051" s="198">
        <f>IF(ISBLANK(DADOS_INVOC!$DF$6),"",DADOS_INVOC!$DF$6&amp;"")</f>
        <v/>
      </c>
      <c r="C1051" s="198" t="inlineStr">
        <is>
          <t>DADOS_INVOC!DF6</t>
        </is>
      </c>
      <c r="D1051" s="198" t="inlineStr">
        <is>
          <t>entrada</t>
        </is>
      </c>
    </row>
    <row r="1052">
      <c r="A1052" s="198" t="inlineStr">
        <is>
          <t>invocacao.5.aquisicao</t>
        </is>
      </c>
      <c r="B1052" s="198">
        <f>IF(ISBLANK(DADOS_INVOC!$DG$6),"",DADOS_INVOC!$DG$6&amp;"")</f>
        <v/>
      </c>
      <c r="C1052" s="198" t="inlineStr">
        <is>
          <t>DADOS_INVOC!DG6</t>
        </is>
      </c>
      <c r="D1052" s="198" t="inlineStr">
        <is>
          <t>entrada</t>
        </is>
      </c>
    </row>
    <row r="1053">
      <c r="A1053" s="198" t="inlineStr">
        <is>
          <t>invocacao.5.nivel_fixo</t>
        </is>
      </c>
      <c r="B1053" s="198">
        <f>IF(ISBLANK(DADOS_INVOC!$DH$6),"",DADOS_INVOC!$DH$6&amp;"")</f>
        <v/>
      </c>
      <c r="C1053" s="198" t="inlineStr">
        <is>
          <t>DADOS_INVOC!DH6</t>
        </is>
      </c>
      <c r="D1053" s="198" t="inlineStr">
        <is>
          <t>entrada</t>
        </is>
      </c>
    </row>
    <row r="1054">
      <c r="A1054" s="198" t="inlineStr">
        <is>
          <t>invocacao.5.talisma</t>
        </is>
      </c>
      <c r="B1054" s="198">
        <f>IF(ISBLANK(DADOS_INVOC!$DI$6),"",DADOS_INVOC!$DI$6&amp;"")</f>
        <v/>
      </c>
      <c r="C1054" s="198" t="inlineStr">
        <is>
          <t>DADOS_INVOC!DI6</t>
        </is>
      </c>
      <c r="D1054" s="198" t="inlineStr">
        <is>
          <t>entrada</t>
        </is>
      </c>
    </row>
    <row r="1055">
      <c r="A1055" s="198" t="inlineStr">
        <is>
          <t>invocacao.5.oficio_compativel</t>
        </is>
      </c>
      <c r="B1055" s="198">
        <f>IF(ISBLANK('INVOCAÇÕES'!$L$887),"",'INVOCAÇÕES'!$L$887&amp;"")</f>
        <v/>
      </c>
      <c r="C1055" s="198">
        <f>"'INVOCAÇÕES'!L835"</f>
        <v/>
      </c>
      <c r="D1055" s="198" t="inlineStr">
        <is>
          <t>entrada</t>
        </is>
      </c>
    </row>
    <row r="1056">
      <c r="A1056" s="198" t="inlineStr">
        <is>
          <t>invocacao.5.pontos</t>
        </is>
      </c>
      <c r="B1056" s="198">
        <f>TEXTJOIN(" · ",TRUE,DADOS_INVOC!$DJ$6,DADOS_INVOC!$DK$6,DADOS_INVOC!$DL$6,DADOS_INVOC!$DM$6,DADOS_INVOC!$DN$6)</f>
        <v/>
      </c>
      <c r="C1056" s="198" t="inlineStr">
        <is>
          <t>DADOS_INVOC!DJ6 DADOS_INVOC!DK6 DADOS_INVOC!DL6 DADOS_INVOC!DM6 DADOS_INVOC!DN6</t>
        </is>
      </c>
      <c r="D1056" s="198" t="inlineStr">
        <is>
          <t>entrada</t>
        </is>
      </c>
    </row>
    <row r="1057">
      <c r="A1057" s="198" t="inlineStr">
        <is>
          <t>invocacao.5.familias</t>
        </is>
      </c>
      <c r="B1057" s="198">
        <f>TEXTJOIN(" · ",TRUE,DADOS_INVOC!$EL$6,DADOS_INVOC!$EM$6,DADOS_INVOC!$EN$6,DADOS_INVOC!$EO$6,DADOS_INVOC!$EP$6,DADOS_INVOC!$QV$6,DADOS_INVOC!$QW$6,DADOS_INVOC!$QX$6,DADOS_INVOC!$QY$6)</f>
        <v/>
      </c>
      <c r="C1057" s="198" t="inlineStr">
        <is>
          <t>DADOS_INVOC!EL6 DADOS_INVOC!EM6 DADOS_INVOC!EN6 DADOS_INVOC!EO6 DADOS_INVOC!EP6 DADOS_INVOC!QV6 DADOS_INVOC!QW6 DADOS_INVOC!QX6 DADOS_INVOC!QY6</t>
        </is>
      </c>
      <c r="D1057" s="198" t="inlineStr">
        <is>
          <t>entrada</t>
        </is>
      </c>
    </row>
    <row r="1058">
      <c r="A1058" s="198" t="inlineStr">
        <is>
          <t>invocacao.5.pericias</t>
        </is>
      </c>
      <c r="B1058" s="198">
        <f>TEXTJOIN(" · ",TRUE,DADOS_INVOC!$EQ$6,DADOS_INVOC!$ER$6,DADOS_INVOC!$ES$6,DADOS_INVOC!$ET$6,DADOS_INVOC!$EU$6,DADOS_INVOC!$EV$6,DADOS_INVOC!$EW$6)</f>
        <v/>
      </c>
      <c r="C1058" s="198" t="inlineStr">
        <is>
          <t>DADOS_INVOC!EQ6 DADOS_INVOC!ER6 DADOS_INVOC!ES6 DADOS_INVOC!ET6 DADOS_INVOC!EU6 DADOS_INVOC!EV6 DADOS_INVOC!EW6</t>
        </is>
      </c>
      <c r="D1058" s="198" t="inlineStr">
        <is>
          <t>entrada</t>
        </is>
      </c>
    </row>
    <row r="1059">
      <c r="A1059" s="198" t="inlineStr">
        <is>
          <t>invocacao.5.talentos</t>
        </is>
      </c>
      <c r="B1059" s="198">
        <f>TEXTJOIN(" · ",TRUE,DADOS_INVOC!$EX$6,DADOS_INVOC!$EY$6,DADOS_INVOC!$EZ$6,DADOS_INVOC!$FA$6,DADOS_INVOC!$FB$6,DADOS_INVOC!$FC$6,DADOS_INVOC!$FD$6,DADOS_INVOC!$FE$6)</f>
        <v/>
      </c>
      <c r="C1059" s="198" t="inlineStr">
        <is>
          <t>DADOS_INVOC!EX6 DADOS_INVOC!EY6 DADOS_INVOC!EZ6 DADOS_INVOC!FA6 DADOS_INVOC!FB6 DADOS_INVOC!FC6 DADOS_INVOC!FD6 DADOS_INVOC!FE6</t>
        </is>
      </c>
      <c r="D1059" s="198" t="inlineStr">
        <is>
          <t>entrada</t>
        </is>
      </c>
    </row>
    <row r="1060">
      <c r="A1060" s="198" t="inlineStr">
        <is>
          <t>invocacao.5.nivel</t>
        </is>
      </c>
      <c r="B1060" s="198">
        <f>IF(ISBLANK(DADOS_INVOC!$FO$6),"",DADOS_INVOC!$FO$6&amp;"")</f>
        <v/>
      </c>
      <c r="C1060" s="198" t="inlineStr">
        <is>
          <t>DADOS_INVOC!FO6</t>
        </is>
      </c>
      <c r="D1060" s="198" t="inlineStr">
        <is>
          <t>resultado</t>
        </is>
      </c>
    </row>
    <row r="1061">
      <c r="A1061" s="198" t="inlineStr">
        <is>
          <t>invocacao.5.classe</t>
        </is>
      </c>
      <c r="B1061" s="198">
        <f>IF(ISBLANK(DADOS_INVOC!$FP$6),"",DADOS_INVOC!$FP$6&amp;"")</f>
        <v/>
      </c>
      <c r="C1061" s="198" t="inlineStr">
        <is>
          <t>DADOS_INVOC!FP6</t>
        </is>
      </c>
      <c r="D1061" s="198" t="inlineStr">
        <is>
          <t>resultado</t>
        </is>
      </c>
    </row>
    <row r="1062">
      <c r="A1062" s="198" t="inlineStr">
        <is>
          <t>invocacao.5.vida.max</t>
        </is>
      </c>
      <c r="B1062" s="198">
        <f>IF(ISBLANK(DADOS_INVOC!$GF$6),"",DADOS_INVOC!$GF$6&amp;"")</f>
        <v/>
      </c>
      <c r="C1062" s="198" t="inlineStr">
        <is>
          <t>DADOS_INVOC!GF6</t>
        </is>
      </c>
      <c r="D1062" s="198" t="inlineStr">
        <is>
          <t>resultado</t>
        </is>
      </c>
    </row>
    <row r="1063">
      <c r="A1063" s="198" t="inlineStr">
        <is>
          <t>invocacao.5.entrada</t>
        </is>
      </c>
      <c r="B1063" s="198">
        <f>IF(ISBLANK(DADOS_INVOC!$GZ$6),"",DADOS_INVOC!$GZ$6&amp;"")</f>
        <v/>
      </c>
      <c r="C1063" s="198" t="inlineStr">
        <is>
          <t>DADOS_INVOC!GZ6</t>
        </is>
      </c>
      <c r="D1063" s="198" t="inlineStr">
        <is>
          <t>resultado</t>
        </is>
      </c>
    </row>
    <row r="1064">
      <c r="A1064" s="198" t="inlineStr">
        <is>
          <t>invocacao.5.retorno</t>
        </is>
      </c>
      <c r="B1064" s="198">
        <f>IF(ISBLANK(DADOS_INVOC!$HA$6),"",DADOS_INVOC!$HA$6&amp;"")</f>
        <v/>
      </c>
      <c r="C1064" s="198" t="inlineStr">
        <is>
          <t>DADOS_INVOC!HA6</t>
        </is>
      </c>
      <c r="D1064" s="198" t="inlineStr">
        <is>
          <t>resultado</t>
        </is>
      </c>
    </row>
    <row r="1065">
      <c r="A1065" s="198" t="inlineStr">
        <is>
          <t>invocacao.5.acerto</t>
        </is>
      </c>
      <c r="B1065" s="198">
        <f>IF(ISBLANK(DADOS_INVOC!$GB$6),"",DADOS_INVOC!$GB$6&amp;"")</f>
        <v/>
      </c>
      <c r="C1065" s="198" t="inlineStr">
        <is>
          <t>DADOS_INVOC!GB6</t>
        </is>
      </c>
      <c r="D1065" s="198" t="inlineStr">
        <is>
          <t>resultado</t>
        </is>
      </c>
    </row>
    <row r="1066">
      <c r="A1066" s="198" t="inlineStr">
        <is>
          <t>invocacao.5.cd</t>
        </is>
      </c>
      <c r="B1066" s="198">
        <f>IF(ISBLANK(DADOS_INVOC!$GC$6),"",DADOS_INVOC!$GC$6&amp;"")</f>
        <v/>
      </c>
      <c r="C1066" s="198" t="inlineStr">
        <is>
          <t>DADOS_INVOC!GC6</t>
        </is>
      </c>
      <c r="D1066" s="198" t="inlineStr">
        <is>
          <t>resultado</t>
        </is>
      </c>
    </row>
    <row r="1067">
      <c r="A1067" s="198" t="inlineStr">
        <is>
          <t>invocacao.5.defesa</t>
        </is>
      </c>
      <c r="B1067" s="198">
        <f>IF(ISBLANK(DADOS_INVOC!$GD$6),"",DADOS_INVOC!$GD$6&amp;"")</f>
        <v/>
      </c>
      <c r="C1067" s="198" t="inlineStr">
        <is>
          <t>DADOS_INVOC!GD6</t>
        </is>
      </c>
      <c r="D1067" s="198" t="inlineStr">
        <is>
          <t>resultado</t>
        </is>
      </c>
    </row>
    <row r="1068">
      <c r="A1068" s="198" t="inlineStr">
        <is>
          <t>invocacao.5.deslocamento</t>
        </is>
      </c>
      <c r="B1068" s="198">
        <f>IF(ISBLANK(DADOS_INVOC!$GN$6),"",DADOS_INVOC!$GN$6&amp;"")</f>
        <v/>
      </c>
      <c r="C1068" s="198" t="inlineStr">
        <is>
          <t>DADOS_INVOC!GN6</t>
        </is>
      </c>
      <c r="D1068" s="198" t="inlineStr">
        <is>
          <t>resultado</t>
        </is>
      </c>
    </row>
    <row r="1069">
      <c r="A1069" s="198" t="inlineStr">
        <is>
          <t>invocacao.5.pontos_acima</t>
        </is>
      </c>
      <c r="B1069" s="198">
        <f>IF(ISBLANK(DADOS_INVOC!$FZ$6),"",DADOS_INVOC!$FZ$6&amp;"")</f>
        <v/>
      </c>
      <c r="C1069" s="198" t="inlineStr">
        <is>
          <t>DADOS_INVOC!FZ6</t>
        </is>
      </c>
      <c r="D1069" s="198" t="inlineStr">
        <is>
          <t>aviso</t>
        </is>
      </c>
    </row>
    <row r="1070">
      <c r="A1070" s="198" t="inlineStr">
        <is>
          <t>invocacao.6.nome</t>
        </is>
      </c>
      <c r="B1070" s="198">
        <f>IF(ISBLANK(DADOS_INVOC!$DE$7),"",DADOS_INVOC!$DE$7&amp;"")</f>
        <v/>
      </c>
      <c r="C1070" s="198" t="inlineStr">
        <is>
          <t>DADOS_INVOC!DE7</t>
        </is>
      </c>
      <c r="D1070" s="198" t="inlineStr">
        <is>
          <t>entrada</t>
        </is>
      </c>
    </row>
    <row r="1071">
      <c r="A1071" s="198" t="inlineStr">
        <is>
          <t>invocacao.6.tipo</t>
        </is>
      </c>
      <c r="B1071" s="198">
        <f>IF(ISBLANK(DADOS_INVOC!$DF$7),"",DADOS_INVOC!$DF$7&amp;"")</f>
        <v/>
      </c>
      <c r="C1071" s="198" t="inlineStr">
        <is>
          <t>DADOS_INVOC!DF7</t>
        </is>
      </c>
      <c r="D1071" s="198" t="inlineStr">
        <is>
          <t>entrada</t>
        </is>
      </c>
    </row>
    <row r="1072">
      <c r="A1072" s="198" t="inlineStr">
        <is>
          <t>invocacao.6.aquisicao</t>
        </is>
      </c>
      <c r="B1072" s="198">
        <f>IF(ISBLANK(DADOS_INVOC!$DG$7),"",DADOS_INVOC!$DG$7&amp;"")</f>
        <v/>
      </c>
      <c r="C1072" s="198" t="inlineStr">
        <is>
          <t>DADOS_INVOC!DG7</t>
        </is>
      </c>
      <c r="D1072" s="198" t="inlineStr">
        <is>
          <t>entrada</t>
        </is>
      </c>
    </row>
    <row r="1073">
      <c r="A1073" s="198" t="inlineStr">
        <is>
          <t>invocacao.6.nivel_fixo</t>
        </is>
      </c>
      <c r="B1073" s="198">
        <f>IF(ISBLANK(DADOS_INVOC!$DH$7),"",DADOS_INVOC!$DH$7&amp;"")</f>
        <v/>
      </c>
      <c r="C1073" s="198" t="inlineStr">
        <is>
          <t>DADOS_INVOC!DH7</t>
        </is>
      </c>
      <c r="D1073" s="198" t="inlineStr">
        <is>
          <t>entrada</t>
        </is>
      </c>
    </row>
    <row r="1074">
      <c r="A1074" s="198" t="inlineStr">
        <is>
          <t>invocacao.6.talisma</t>
        </is>
      </c>
      <c r="B1074" s="198">
        <f>IF(ISBLANK(DADOS_INVOC!$DI$7),"",DADOS_INVOC!$DI$7&amp;"")</f>
        <v/>
      </c>
      <c r="C1074" s="198" t="inlineStr">
        <is>
          <t>DADOS_INVOC!DI7</t>
        </is>
      </c>
      <c r="D1074" s="198" t="inlineStr">
        <is>
          <t>entrada</t>
        </is>
      </c>
    </row>
    <row r="1075">
      <c r="A1075" s="198" t="inlineStr">
        <is>
          <t>invocacao.6.oficio_compativel</t>
        </is>
      </c>
      <c r="B1075" s="198">
        <f>IF(ISBLANK('INVOCAÇÕES'!$L$1098),"",'INVOCAÇÕES'!$L$1098&amp;"")</f>
        <v/>
      </c>
      <c r="C1075" s="198">
        <f>"'INVOCAÇÕES'!L1033"</f>
        <v/>
      </c>
      <c r="D1075" s="198" t="inlineStr">
        <is>
          <t>entrada</t>
        </is>
      </c>
    </row>
    <row r="1076">
      <c r="A1076" s="198" t="inlineStr">
        <is>
          <t>invocacao.6.pontos</t>
        </is>
      </c>
      <c r="B1076" s="198">
        <f>TEXTJOIN(" · ",TRUE,DADOS_INVOC!$DJ$7,DADOS_INVOC!$DK$7,DADOS_INVOC!$DL$7,DADOS_INVOC!$DM$7,DADOS_INVOC!$DN$7)</f>
        <v/>
      </c>
      <c r="C1076" s="198" t="inlineStr">
        <is>
          <t>DADOS_INVOC!DJ7 DADOS_INVOC!DK7 DADOS_INVOC!DL7 DADOS_INVOC!DM7 DADOS_INVOC!DN7</t>
        </is>
      </c>
      <c r="D1076" s="198" t="inlineStr">
        <is>
          <t>entrada</t>
        </is>
      </c>
    </row>
    <row r="1077">
      <c r="A1077" s="198" t="inlineStr">
        <is>
          <t>invocacao.6.familias</t>
        </is>
      </c>
      <c r="B1077" s="198">
        <f>TEXTJOIN(" · ",TRUE,DADOS_INVOC!$EL$7,DADOS_INVOC!$EM$7,DADOS_INVOC!$EN$7,DADOS_INVOC!$EO$7,DADOS_INVOC!$EP$7,DADOS_INVOC!$QV$7,DADOS_INVOC!$QW$7,DADOS_INVOC!$QX$7,DADOS_INVOC!$QY$7)</f>
        <v/>
      </c>
      <c r="C1077" s="198" t="inlineStr">
        <is>
          <t>DADOS_INVOC!EL7 DADOS_INVOC!EM7 DADOS_INVOC!EN7 DADOS_INVOC!EO7 DADOS_INVOC!EP7 DADOS_INVOC!QV7 DADOS_INVOC!QW7 DADOS_INVOC!QX7 DADOS_INVOC!QY7</t>
        </is>
      </c>
      <c r="D1077" s="198" t="inlineStr">
        <is>
          <t>entrada</t>
        </is>
      </c>
    </row>
    <row r="1078">
      <c r="A1078" s="198" t="inlineStr">
        <is>
          <t>invocacao.6.pericias</t>
        </is>
      </c>
      <c r="B1078" s="198">
        <f>TEXTJOIN(" · ",TRUE,DADOS_INVOC!$EQ$7,DADOS_INVOC!$ER$7,DADOS_INVOC!$ES$7,DADOS_INVOC!$ET$7,DADOS_INVOC!$EU$7,DADOS_INVOC!$EV$7,DADOS_INVOC!$EW$7)</f>
        <v/>
      </c>
      <c r="C1078" s="198" t="inlineStr">
        <is>
          <t>DADOS_INVOC!EQ7 DADOS_INVOC!ER7 DADOS_INVOC!ES7 DADOS_INVOC!ET7 DADOS_INVOC!EU7 DADOS_INVOC!EV7 DADOS_INVOC!EW7</t>
        </is>
      </c>
      <c r="D1078" s="198" t="inlineStr">
        <is>
          <t>entrada</t>
        </is>
      </c>
    </row>
    <row r="1079">
      <c r="A1079" s="198" t="inlineStr">
        <is>
          <t>invocacao.6.talentos</t>
        </is>
      </c>
      <c r="B1079" s="198">
        <f>TEXTJOIN(" · ",TRUE,DADOS_INVOC!$EX$7,DADOS_INVOC!$EY$7,DADOS_INVOC!$EZ$7,DADOS_INVOC!$FA$7,DADOS_INVOC!$FB$7,DADOS_INVOC!$FC$7,DADOS_INVOC!$FD$7,DADOS_INVOC!$FE$7)</f>
        <v/>
      </c>
      <c r="C1079" s="198" t="inlineStr">
        <is>
          <t>DADOS_INVOC!EX7 DADOS_INVOC!EY7 DADOS_INVOC!EZ7 DADOS_INVOC!FA7 DADOS_INVOC!FB7 DADOS_INVOC!FC7 DADOS_INVOC!FD7 DADOS_INVOC!FE7</t>
        </is>
      </c>
      <c r="D1079" s="198" t="inlineStr">
        <is>
          <t>entrada</t>
        </is>
      </c>
    </row>
    <row r="1080">
      <c r="A1080" s="198" t="inlineStr">
        <is>
          <t>invocacao.6.nivel</t>
        </is>
      </c>
      <c r="B1080" s="198">
        <f>IF(ISBLANK(DADOS_INVOC!$FO$7),"",DADOS_INVOC!$FO$7&amp;"")</f>
        <v/>
      </c>
      <c r="C1080" s="198" t="inlineStr">
        <is>
          <t>DADOS_INVOC!FO7</t>
        </is>
      </c>
      <c r="D1080" s="198" t="inlineStr">
        <is>
          <t>resultado</t>
        </is>
      </c>
    </row>
    <row r="1081">
      <c r="A1081" s="198" t="inlineStr">
        <is>
          <t>invocacao.6.classe</t>
        </is>
      </c>
      <c r="B1081" s="198">
        <f>IF(ISBLANK(DADOS_INVOC!$FP$7),"",DADOS_INVOC!$FP$7&amp;"")</f>
        <v/>
      </c>
      <c r="C1081" s="198" t="inlineStr">
        <is>
          <t>DADOS_INVOC!FP7</t>
        </is>
      </c>
      <c r="D1081" s="198" t="inlineStr">
        <is>
          <t>resultado</t>
        </is>
      </c>
    </row>
    <row r="1082">
      <c r="A1082" s="198" t="inlineStr">
        <is>
          <t>invocacao.6.vida.max</t>
        </is>
      </c>
      <c r="B1082" s="198">
        <f>IF(ISBLANK(DADOS_INVOC!$GF$7),"",DADOS_INVOC!$GF$7&amp;"")</f>
        <v/>
      </c>
      <c r="C1082" s="198" t="inlineStr">
        <is>
          <t>DADOS_INVOC!GF7</t>
        </is>
      </c>
      <c r="D1082" s="198" t="inlineStr">
        <is>
          <t>resultado</t>
        </is>
      </c>
    </row>
    <row r="1083">
      <c r="A1083" s="198" t="inlineStr">
        <is>
          <t>invocacao.6.entrada</t>
        </is>
      </c>
      <c r="B1083" s="198">
        <f>IF(ISBLANK(DADOS_INVOC!$GZ$7),"",DADOS_INVOC!$GZ$7&amp;"")</f>
        <v/>
      </c>
      <c r="C1083" s="198" t="inlineStr">
        <is>
          <t>DADOS_INVOC!GZ7</t>
        </is>
      </c>
      <c r="D1083" s="198" t="inlineStr">
        <is>
          <t>resultado</t>
        </is>
      </c>
    </row>
    <row r="1084">
      <c r="A1084" s="198" t="inlineStr">
        <is>
          <t>invocacao.6.retorno</t>
        </is>
      </c>
      <c r="B1084" s="198">
        <f>IF(ISBLANK(DADOS_INVOC!$HA$7),"",DADOS_INVOC!$HA$7&amp;"")</f>
        <v/>
      </c>
      <c r="C1084" s="198" t="inlineStr">
        <is>
          <t>DADOS_INVOC!HA7</t>
        </is>
      </c>
      <c r="D1084" s="198" t="inlineStr">
        <is>
          <t>resultado</t>
        </is>
      </c>
    </row>
    <row r="1085">
      <c r="A1085" s="198" t="inlineStr">
        <is>
          <t>invocacao.6.acerto</t>
        </is>
      </c>
      <c r="B1085" s="198">
        <f>IF(ISBLANK(DADOS_INVOC!$GB$7),"",DADOS_INVOC!$GB$7&amp;"")</f>
        <v/>
      </c>
      <c r="C1085" s="198" t="inlineStr">
        <is>
          <t>DADOS_INVOC!GB7</t>
        </is>
      </c>
      <c r="D1085" s="198" t="inlineStr">
        <is>
          <t>resultado</t>
        </is>
      </c>
    </row>
    <row r="1086">
      <c r="A1086" s="198" t="inlineStr">
        <is>
          <t>invocacao.6.cd</t>
        </is>
      </c>
      <c r="B1086" s="198">
        <f>IF(ISBLANK(DADOS_INVOC!$GC$7),"",DADOS_INVOC!$GC$7&amp;"")</f>
        <v/>
      </c>
      <c r="C1086" s="198" t="inlineStr">
        <is>
          <t>DADOS_INVOC!GC7</t>
        </is>
      </c>
      <c r="D1086" s="198" t="inlineStr">
        <is>
          <t>resultado</t>
        </is>
      </c>
    </row>
    <row r="1087">
      <c r="A1087" s="198" t="inlineStr">
        <is>
          <t>invocacao.6.defesa</t>
        </is>
      </c>
      <c r="B1087" s="198">
        <f>IF(ISBLANK(DADOS_INVOC!$GD$7),"",DADOS_INVOC!$GD$7&amp;"")</f>
        <v/>
      </c>
      <c r="C1087" s="198" t="inlineStr">
        <is>
          <t>DADOS_INVOC!GD7</t>
        </is>
      </c>
      <c r="D1087" s="198" t="inlineStr">
        <is>
          <t>resultado</t>
        </is>
      </c>
    </row>
    <row r="1088">
      <c r="A1088" s="198" t="inlineStr">
        <is>
          <t>invocacao.6.deslocamento</t>
        </is>
      </c>
      <c r="B1088" s="198">
        <f>IF(ISBLANK(DADOS_INVOC!$GN$7),"",DADOS_INVOC!$GN$7&amp;"")</f>
        <v/>
      </c>
      <c r="C1088" s="198" t="inlineStr">
        <is>
          <t>DADOS_INVOC!GN7</t>
        </is>
      </c>
      <c r="D1088" s="198" t="inlineStr">
        <is>
          <t>resultado</t>
        </is>
      </c>
    </row>
    <row r="1089">
      <c r="A1089" s="198" t="inlineStr">
        <is>
          <t>invocacao.6.pontos_acima</t>
        </is>
      </c>
      <c r="B1089" s="198">
        <f>IF(ISBLANK(DADOS_INVOC!$FZ$7),"",DADOS_INVOC!$FZ$7&amp;"")</f>
        <v/>
      </c>
      <c r="C1089" s="198" t="inlineStr">
        <is>
          <t>DADOS_INVOC!FZ7</t>
        </is>
      </c>
      <c r="D1089" s="198" t="inlineStr">
        <is>
          <t>aviso</t>
        </is>
      </c>
    </row>
    <row r="1090">
      <c r="A1090" s="198" t="inlineStr">
        <is>
          <t>invocacao.7.nome</t>
        </is>
      </c>
      <c r="B1090" s="198">
        <f>IF(ISBLANK(DADOS_INVOC!$DE$8),"",DADOS_INVOC!$DE$8&amp;"")</f>
        <v/>
      </c>
      <c r="C1090" s="198" t="inlineStr">
        <is>
          <t>DADOS_INVOC!DE8</t>
        </is>
      </c>
      <c r="D1090" s="198" t="inlineStr">
        <is>
          <t>entrada</t>
        </is>
      </c>
    </row>
    <row r="1091">
      <c r="A1091" s="198" t="inlineStr">
        <is>
          <t>invocacao.7.tipo</t>
        </is>
      </c>
      <c r="B1091" s="198">
        <f>IF(ISBLANK(DADOS_INVOC!$DF$8),"",DADOS_INVOC!$DF$8&amp;"")</f>
        <v/>
      </c>
      <c r="C1091" s="198" t="inlineStr">
        <is>
          <t>DADOS_INVOC!DF8</t>
        </is>
      </c>
      <c r="D1091" s="198" t="inlineStr">
        <is>
          <t>entrada</t>
        </is>
      </c>
    </row>
    <row r="1092">
      <c r="A1092" s="198" t="inlineStr">
        <is>
          <t>invocacao.7.aquisicao</t>
        </is>
      </c>
      <c r="B1092" s="198">
        <f>IF(ISBLANK(DADOS_INVOC!$DG$8),"",DADOS_INVOC!$DG$8&amp;"")</f>
        <v/>
      </c>
      <c r="C1092" s="198" t="inlineStr">
        <is>
          <t>DADOS_INVOC!DG8</t>
        </is>
      </c>
      <c r="D1092" s="198" t="inlineStr">
        <is>
          <t>entrada</t>
        </is>
      </c>
    </row>
    <row r="1093">
      <c r="A1093" s="198" t="inlineStr">
        <is>
          <t>invocacao.7.nivel_fixo</t>
        </is>
      </c>
      <c r="B1093" s="198">
        <f>IF(ISBLANK(DADOS_INVOC!$DH$8),"",DADOS_INVOC!$DH$8&amp;"")</f>
        <v/>
      </c>
      <c r="C1093" s="198" t="inlineStr">
        <is>
          <t>DADOS_INVOC!DH8</t>
        </is>
      </c>
      <c r="D1093" s="198" t="inlineStr">
        <is>
          <t>entrada</t>
        </is>
      </c>
    </row>
    <row r="1094">
      <c r="A1094" s="198" t="inlineStr">
        <is>
          <t>invocacao.7.talisma</t>
        </is>
      </c>
      <c r="B1094" s="198">
        <f>IF(ISBLANK(DADOS_INVOC!$DI$8),"",DADOS_INVOC!$DI$8&amp;"")</f>
        <v/>
      </c>
      <c r="C1094" s="198" t="inlineStr">
        <is>
          <t>DADOS_INVOC!DI8</t>
        </is>
      </c>
      <c r="D1094" s="198" t="inlineStr">
        <is>
          <t>entrada</t>
        </is>
      </c>
    </row>
    <row r="1095">
      <c r="A1095" s="198" t="inlineStr">
        <is>
          <t>invocacao.7.oficio_compativel</t>
        </is>
      </c>
      <c r="B1095" s="198">
        <f>IF(ISBLANK('INVOCAÇÕES'!$AE$43),"",'INVOCAÇÕES'!$AE$43&amp;"")</f>
        <v/>
      </c>
      <c r="C1095" s="198">
        <f>"'INVOCAÇÕES'!AE43"</f>
        <v/>
      </c>
      <c r="D1095" s="198" t="inlineStr">
        <is>
          <t>entrada</t>
        </is>
      </c>
    </row>
    <row r="1096">
      <c r="A1096" s="198" t="inlineStr">
        <is>
          <t>invocacao.7.pontos</t>
        </is>
      </c>
      <c r="B1096" s="198">
        <f>TEXTJOIN(" · ",TRUE,DADOS_INVOC!$DJ$8,DADOS_INVOC!$DK$8,DADOS_INVOC!$DL$8,DADOS_INVOC!$DM$8,DADOS_INVOC!$DN$8)</f>
        <v/>
      </c>
      <c r="C1096" s="198" t="inlineStr">
        <is>
          <t>DADOS_INVOC!DJ8 DADOS_INVOC!DK8 DADOS_INVOC!DL8 DADOS_INVOC!DM8 DADOS_INVOC!DN8</t>
        </is>
      </c>
      <c r="D1096" s="198" t="inlineStr">
        <is>
          <t>entrada</t>
        </is>
      </c>
    </row>
    <row r="1097">
      <c r="A1097" s="198" t="inlineStr">
        <is>
          <t>invocacao.7.familias</t>
        </is>
      </c>
      <c r="B1097" s="198">
        <f>TEXTJOIN(" · ",TRUE,DADOS_INVOC!$EL$8,DADOS_INVOC!$EM$8,DADOS_INVOC!$EN$8,DADOS_INVOC!$EO$8,DADOS_INVOC!$EP$8,DADOS_INVOC!$QV$8,DADOS_INVOC!$QW$8,DADOS_INVOC!$QX$8,DADOS_INVOC!$QY$8)</f>
        <v/>
      </c>
      <c r="C1097" s="198" t="inlineStr">
        <is>
          <t>DADOS_INVOC!EL8 DADOS_INVOC!EM8 DADOS_INVOC!EN8 DADOS_INVOC!EO8 DADOS_INVOC!EP8 DADOS_INVOC!QV8 DADOS_INVOC!QW8 DADOS_INVOC!QX8 DADOS_INVOC!QY8</t>
        </is>
      </c>
      <c r="D1097" s="198" t="inlineStr">
        <is>
          <t>entrada</t>
        </is>
      </c>
    </row>
    <row r="1098">
      <c r="A1098" s="198" t="inlineStr">
        <is>
          <t>invocacao.7.pericias</t>
        </is>
      </c>
      <c r="B1098" s="198">
        <f>TEXTJOIN(" · ",TRUE,DADOS_INVOC!$EQ$8,DADOS_INVOC!$ER$8,DADOS_INVOC!$ES$8,DADOS_INVOC!$ET$8,DADOS_INVOC!$EU$8,DADOS_INVOC!$EV$8,DADOS_INVOC!$EW$8)</f>
        <v/>
      </c>
      <c r="C1098" s="198" t="inlineStr">
        <is>
          <t>DADOS_INVOC!EQ8 DADOS_INVOC!ER8 DADOS_INVOC!ES8 DADOS_INVOC!ET8 DADOS_INVOC!EU8 DADOS_INVOC!EV8 DADOS_INVOC!EW8</t>
        </is>
      </c>
      <c r="D1098" s="198" t="inlineStr">
        <is>
          <t>entrada</t>
        </is>
      </c>
    </row>
    <row r="1099">
      <c r="A1099" s="198" t="inlineStr">
        <is>
          <t>invocacao.7.talentos</t>
        </is>
      </c>
      <c r="B1099" s="198">
        <f>TEXTJOIN(" · ",TRUE,DADOS_INVOC!$EX$8,DADOS_INVOC!$EY$8,DADOS_INVOC!$EZ$8,DADOS_INVOC!$FA$8,DADOS_INVOC!$FB$8,DADOS_INVOC!$FC$8,DADOS_INVOC!$FD$8,DADOS_INVOC!$FE$8)</f>
        <v/>
      </c>
      <c r="C1099" s="198" t="inlineStr">
        <is>
          <t>DADOS_INVOC!EX8 DADOS_INVOC!EY8 DADOS_INVOC!EZ8 DADOS_INVOC!FA8 DADOS_INVOC!FB8 DADOS_INVOC!FC8 DADOS_INVOC!FD8 DADOS_INVOC!FE8</t>
        </is>
      </c>
      <c r="D1099" s="198" t="inlineStr">
        <is>
          <t>entrada</t>
        </is>
      </c>
    </row>
    <row r="1100">
      <c r="A1100" s="198" t="inlineStr">
        <is>
          <t>invocacao.7.nivel</t>
        </is>
      </c>
      <c r="B1100" s="198">
        <f>IF(ISBLANK(DADOS_INVOC!$FO$8),"",DADOS_INVOC!$FO$8&amp;"")</f>
        <v/>
      </c>
      <c r="C1100" s="198" t="inlineStr">
        <is>
          <t>DADOS_INVOC!FO8</t>
        </is>
      </c>
      <c r="D1100" s="198" t="inlineStr">
        <is>
          <t>resultado</t>
        </is>
      </c>
    </row>
    <row r="1101">
      <c r="A1101" s="198" t="inlineStr">
        <is>
          <t>invocacao.7.classe</t>
        </is>
      </c>
      <c r="B1101" s="198">
        <f>IF(ISBLANK(DADOS_INVOC!$FP$8),"",DADOS_INVOC!$FP$8&amp;"")</f>
        <v/>
      </c>
      <c r="C1101" s="198" t="inlineStr">
        <is>
          <t>DADOS_INVOC!FP8</t>
        </is>
      </c>
      <c r="D1101" s="198" t="inlineStr">
        <is>
          <t>resultado</t>
        </is>
      </c>
    </row>
    <row r="1102">
      <c r="A1102" s="198" t="inlineStr">
        <is>
          <t>invocacao.7.vida.max</t>
        </is>
      </c>
      <c r="B1102" s="198">
        <f>IF(ISBLANK(DADOS_INVOC!$GF$8),"",DADOS_INVOC!$GF$8&amp;"")</f>
        <v/>
      </c>
      <c r="C1102" s="198" t="inlineStr">
        <is>
          <t>DADOS_INVOC!GF8</t>
        </is>
      </c>
      <c r="D1102" s="198" t="inlineStr">
        <is>
          <t>resultado</t>
        </is>
      </c>
    </row>
    <row r="1103">
      <c r="A1103" s="198" t="inlineStr">
        <is>
          <t>invocacao.7.entrada</t>
        </is>
      </c>
      <c r="B1103" s="198">
        <f>IF(ISBLANK(DADOS_INVOC!$GZ$8),"",DADOS_INVOC!$GZ$8&amp;"")</f>
        <v/>
      </c>
      <c r="C1103" s="198" t="inlineStr">
        <is>
          <t>DADOS_INVOC!GZ8</t>
        </is>
      </c>
      <c r="D1103" s="198" t="inlineStr">
        <is>
          <t>resultado</t>
        </is>
      </c>
    </row>
    <row r="1104">
      <c r="A1104" s="198" t="inlineStr">
        <is>
          <t>invocacao.7.retorno</t>
        </is>
      </c>
      <c r="B1104" s="198">
        <f>IF(ISBLANK(DADOS_INVOC!$HA$8),"",DADOS_INVOC!$HA$8&amp;"")</f>
        <v/>
      </c>
      <c r="C1104" s="198" t="inlineStr">
        <is>
          <t>DADOS_INVOC!HA8</t>
        </is>
      </c>
      <c r="D1104" s="198" t="inlineStr">
        <is>
          <t>resultado</t>
        </is>
      </c>
    </row>
    <row r="1105">
      <c r="A1105" s="198" t="inlineStr">
        <is>
          <t>invocacao.7.acerto</t>
        </is>
      </c>
      <c r="B1105" s="198">
        <f>IF(ISBLANK(DADOS_INVOC!$GB$8),"",DADOS_INVOC!$GB$8&amp;"")</f>
        <v/>
      </c>
      <c r="C1105" s="198" t="inlineStr">
        <is>
          <t>DADOS_INVOC!GB8</t>
        </is>
      </c>
      <c r="D1105" s="198" t="inlineStr">
        <is>
          <t>resultado</t>
        </is>
      </c>
    </row>
    <row r="1106">
      <c r="A1106" s="198" t="inlineStr">
        <is>
          <t>invocacao.7.cd</t>
        </is>
      </c>
      <c r="B1106" s="198">
        <f>IF(ISBLANK(DADOS_INVOC!$GC$8),"",DADOS_INVOC!$GC$8&amp;"")</f>
        <v/>
      </c>
      <c r="C1106" s="198" t="inlineStr">
        <is>
          <t>DADOS_INVOC!GC8</t>
        </is>
      </c>
      <c r="D1106" s="198" t="inlineStr">
        <is>
          <t>resultado</t>
        </is>
      </c>
    </row>
    <row r="1107">
      <c r="A1107" s="198" t="inlineStr">
        <is>
          <t>invocacao.7.defesa</t>
        </is>
      </c>
      <c r="B1107" s="198">
        <f>IF(ISBLANK(DADOS_INVOC!$GD$8),"",DADOS_INVOC!$GD$8&amp;"")</f>
        <v/>
      </c>
      <c r="C1107" s="198" t="inlineStr">
        <is>
          <t>DADOS_INVOC!GD8</t>
        </is>
      </c>
      <c r="D1107" s="198" t="inlineStr">
        <is>
          <t>resultado</t>
        </is>
      </c>
    </row>
    <row r="1108">
      <c r="A1108" s="198" t="inlineStr">
        <is>
          <t>invocacao.7.deslocamento</t>
        </is>
      </c>
      <c r="B1108" s="198">
        <f>IF(ISBLANK(DADOS_INVOC!$GN$8),"",DADOS_INVOC!$GN$8&amp;"")</f>
        <v/>
      </c>
      <c r="C1108" s="198" t="inlineStr">
        <is>
          <t>DADOS_INVOC!GN8</t>
        </is>
      </c>
      <c r="D1108" s="198" t="inlineStr">
        <is>
          <t>resultado</t>
        </is>
      </c>
    </row>
    <row r="1109">
      <c r="A1109" s="198" t="inlineStr">
        <is>
          <t>invocacao.7.pontos_acima</t>
        </is>
      </c>
      <c r="B1109" s="198">
        <f>IF(ISBLANK(DADOS_INVOC!$FZ$8),"",DADOS_INVOC!$FZ$8&amp;"")</f>
        <v/>
      </c>
      <c r="C1109" s="198" t="inlineStr">
        <is>
          <t>DADOS_INVOC!FZ8</t>
        </is>
      </c>
      <c r="D1109" s="198" t="inlineStr">
        <is>
          <t>aviso</t>
        </is>
      </c>
    </row>
    <row r="1110">
      <c r="A1110" s="198" t="inlineStr">
        <is>
          <t>invocacao.8.nome</t>
        </is>
      </c>
      <c r="B1110" s="198">
        <f>IF(ISBLANK(DADOS_INVOC!$DE$9),"",DADOS_INVOC!$DE$9&amp;"")</f>
        <v/>
      </c>
      <c r="C1110" s="198" t="inlineStr">
        <is>
          <t>DADOS_INVOC!DE9</t>
        </is>
      </c>
      <c r="D1110" s="198" t="inlineStr">
        <is>
          <t>entrada</t>
        </is>
      </c>
    </row>
    <row r="1111">
      <c r="A1111" s="198" t="inlineStr">
        <is>
          <t>invocacao.8.tipo</t>
        </is>
      </c>
      <c r="B1111" s="198">
        <f>IF(ISBLANK(DADOS_INVOC!$DF$9),"",DADOS_INVOC!$DF$9&amp;"")</f>
        <v/>
      </c>
      <c r="C1111" s="198" t="inlineStr">
        <is>
          <t>DADOS_INVOC!DF9</t>
        </is>
      </c>
      <c r="D1111" s="198" t="inlineStr">
        <is>
          <t>entrada</t>
        </is>
      </c>
    </row>
    <row r="1112">
      <c r="A1112" s="198" t="inlineStr">
        <is>
          <t>invocacao.8.aquisicao</t>
        </is>
      </c>
      <c r="B1112" s="198">
        <f>IF(ISBLANK(DADOS_INVOC!$DG$9),"",DADOS_INVOC!$DG$9&amp;"")</f>
        <v/>
      </c>
      <c r="C1112" s="198" t="inlineStr">
        <is>
          <t>DADOS_INVOC!DG9</t>
        </is>
      </c>
      <c r="D1112" s="198" t="inlineStr">
        <is>
          <t>entrada</t>
        </is>
      </c>
    </row>
    <row r="1113">
      <c r="A1113" s="198" t="inlineStr">
        <is>
          <t>invocacao.8.nivel_fixo</t>
        </is>
      </c>
      <c r="B1113" s="198">
        <f>IF(ISBLANK(DADOS_INVOC!$DH$9),"",DADOS_INVOC!$DH$9&amp;"")</f>
        <v/>
      </c>
      <c r="C1113" s="198" t="inlineStr">
        <is>
          <t>DADOS_INVOC!DH9</t>
        </is>
      </c>
      <c r="D1113" s="198" t="inlineStr">
        <is>
          <t>entrada</t>
        </is>
      </c>
    </row>
    <row r="1114">
      <c r="A1114" s="198" t="inlineStr">
        <is>
          <t>invocacao.8.talisma</t>
        </is>
      </c>
      <c r="B1114" s="198">
        <f>IF(ISBLANK(DADOS_INVOC!$DI$9),"",DADOS_INVOC!$DI$9&amp;"")</f>
        <v/>
      </c>
      <c r="C1114" s="198" t="inlineStr">
        <is>
          <t>DADOS_INVOC!DI9</t>
        </is>
      </c>
      <c r="D1114" s="198" t="inlineStr">
        <is>
          <t>entrada</t>
        </is>
      </c>
    </row>
    <row r="1115">
      <c r="A1115" s="198" t="inlineStr">
        <is>
          <t>invocacao.8.oficio_compativel</t>
        </is>
      </c>
      <c r="B1115" s="198">
        <f>IF(ISBLANK('INVOCAÇÕES'!$AE$254),"",'INVOCAÇÕES'!$AE$254&amp;"")</f>
        <v/>
      </c>
      <c r="C1115" s="198">
        <f>"'INVOCAÇÕES'!AE241"</f>
        <v/>
      </c>
      <c r="D1115" s="198" t="inlineStr">
        <is>
          <t>entrada</t>
        </is>
      </c>
    </row>
    <row r="1116">
      <c r="A1116" s="198" t="inlineStr">
        <is>
          <t>invocacao.8.pontos</t>
        </is>
      </c>
      <c r="B1116" s="198">
        <f>TEXTJOIN(" · ",TRUE,DADOS_INVOC!$DJ$9,DADOS_INVOC!$DK$9,DADOS_INVOC!$DL$9,DADOS_INVOC!$DM$9,DADOS_INVOC!$DN$9)</f>
        <v/>
      </c>
      <c r="C1116" s="198" t="inlineStr">
        <is>
          <t>DADOS_INVOC!DJ9 DADOS_INVOC!DK9 DADOS_INVOC!DL9 DADOS_INVOC!DM9 DADOS_INVOC!DN9</t>
        </is>
      </c>
      <c r="D1116" s="198" t="inlineStr">
        <is>
          <t>entrada</t>
        </is>
      </c>
    </row>
    <row r="1117">
      <c r="A1117" s="198" t="inlineStr">
        <is>
          <t>invocacao.8.familias</t>
        </is>
      </c>
      <c r="B1117" s="198">
        <f>TEXTJOIN(" · ",TRUE,DADOS_INVOC!$EL$9,DADOS_INVOC!$EM$9,DADOS_INVOC!$EN$9,DADOS_INVOC!$EO$9,DADOS_INVOC!$EP$9,DADOS_INVOC!$QV$9,DADOS_INVOC!$QW$9,DADOS_INVOC!$QX$9,DADOS_INVOC!$QY$9)</f>
        <v/>
      </c>
      <c r="C1117" s="198" t="inlineStr">
        <is>
          <t>DADOS_INVOC!EL9 DADOS_INVOC!EM9 DADOS_INVOC!EN9 DADOS_INVOC!EO9 DADOS_INVOC!EP9 DADOS_INVOC!QV9 DADOS_INVOC!QW9 DADOS_INVOC!QX9 DADOS_INVOC!QY9</t>
        </is>
      </c>
      <c r="D1117" s="198" t="inlineStr">
        <is>
          <t>entrada</t>
        </is>
      </c>
    </row>
    <row r="1118">
      <c r="A1118" s="198" t="inlineStr">
        <is>
          <t>invocacao.8.pericias</t>
        </is>
      </c>
      <c r="B1118" s="198">
        <f>TEXTJOIN(" · ",TRUE,DADOS_INVOC!$EQ$9,DADOS_INVOC!$ER$9,DADOS_INVOC!$ES$9,DADOS_INVOC!$ET$9,DADOS_INVOC!$EU$9,DADOS_INVOC!$EV$9,DADOS_INVOC!$EW$9)</f>
        <v/>
      </c>
      <c r="C1118" s="198" t="inlineStr">
        <is>
          <t>DADOS_INVOC!EQ9 DADOS_INVOC!ER9 DADOS_INVOC!ES9 DADOS_INVOC!ET9 DADOS_INVOC!EU9 DADOS_INVOC!EV9 DADOS_INVOC!EW9</t>
        </is>
      </c>
      <c r="D1118" s="198" t="inlineStr">
        <is>
          <t>entrada</t>
        </is>
      </c>
    </row>
    <row r="1119">
      <c r="A1119" s="198" t="inlineStr">
        <is>
          <t>invocacao.8.talentos</t>
        </is>
      </c>
      <c r="B1119" s="198">
        <f>TEXTJOIN(" · ",TRUE,DADOS_INVOC!$EX$9,DADOS_INVOC!$EY$9,DADOS_INVOC!$EZ$9,DADOS_INVOC!$FA$9,DADOS_INVOC!$FB$9,DADOS_INVOC!$FC$9,DADOS_INVOC!$FD$9,DADOS_INVOC!$FE$9)</f>
        <v/>
      </c>
      <c r="C1119" s="198" t="inlineStr">
        <is>
          <t>DADOS_INVOC!EX9 DADOS_INVOC!EY9 DADOS_INVOC!EZ9 DADOS_INVOC!FA9 DADOS_INVOC!FB9 DADOS_INVOC!FC9 DADOS_INVOC!FD9 DADOS_INVOC!FE9</t>
        </is>
      </c>
      <c r="D1119" s="198" t="inlineStr">
        <is>
          <t>entrada</t>
        </is>
      </c>
    </row>
    <row r="1120">
      <c r="A1120" s="198" t="inlineStr">
        <is>
          <t>invocacao.8.nivel</t>
        </is>
      </c>
      <c r="B1120" s="198">
        <f>IF(ISBLANK(DADOS_INVOC!$FO$9),"",DADOS_INVOC!$FO$9&amp;"")</f>
        <v/>
      </c>
      <c r="C1120" s="198" t="inlineStr">
        <is>
          <t>DADOS_INVOC!FO9</t>
        </is>
      </c>
      <c r="D1120" s="198" t="inlineStr">
        <is>
          <t>resultado</t>
        </is>
      </c>
    </row>
    <row r="1121">
      <c r="A1121" s="198" t="inlineStr">
        <is>
          <t>invocacao.8.classe</t>
        </is>
      </c>
      <c r="B1121" s="198">
        <f>IF(ISBLANK(DADOS_INVOC!$FP$9),"",DADOS_INVOC!$FP$9&amp;"")</f>
        <v/>
      </c>
      <c r="C1121" s="198" t="inlineStr">
        <is>
          <t>DADOS_INVOC!FP9</t>
        </is>
      </c>
      <c r="D1121" s="198" t="inlineStr">
        <is>
          <t>resultado</t>
        </is>
      </c>
    </row>
    <row r="1122">
      <c r="A1122" s="198" t="inlineStr">
        <is>
          <t>invocacao.8.vida.max</t>
        </is>
      </c>
      <c r="B1122" s="198">
        <f>IF(ISBLANK(DADOS_INVOC!$GF$9),"",DADOS_INVOC!$GF$9&amp;"")</f>
        <v/>
      </c>
      <c r="C1122" s="198" t="inlineStr">
        <is>
          <t>DADOS_INVOC!GF9</t>
        </is>
      </c>
      <c r="D1122" s="198" t="inlineStr">
        <is>
          <t>resultado</t>
        </is>
      </c>
    </row>
    <row r="1123">
      <c r="A1123" s="198" t="inlineStr">
        <is>
          <t>invocacao.8.entrada</t>
        </is>
      </c>
      <c r="B1123" s="198">
        <f>IF(ISBLANK(DADOS_INVOC!$GZ$9),"",DADOS_INVOC!$GZ$9&amp;"")</f>
        <v/>
      </c>
      <c r="C1123" s="198" t="inlineStr">
        <is>
          <t>DADOS_INVOC!GZ9</t>
        </is>
      </c>
      <c r="D1123" s="198" t="inlineStr">
        <is>
          <t>resultado</t>
        </is>
      </c>
    </row>
    <row r="1124">
      <c r="A1124" s="198" t="inlineStr">
        <is>
          <t>invocacao.8.retorno</t>
        </is>
      </c>
      <c r="B1124" s="198">
        <f>IF(ISBLANK(DADOS_INVOC!$HA$9),"",DADOS_INVOC!$HA$9&amp;"")</f>
        <v/>
      </c>
      <c r="C1124" s="198" t="inlineStr">
        <is>
          <t>DADOS_INVOC!HA9</t>
        </is>
      </c>
      <c r="D1124" s="198" t="inlineStr">
        <is>
          <t>resultado</t>
        </is>
      </c>
    </row>
    <row r="1125">
      <c r="A1125" s="198" t="inlineStr">
        <is>
          <t>invocacao.8.acerto</t>
        </is>
      </c>
      <c r="B1125" s="198">
        <f>IF(ISBLANK(DADOS_INVOC!$GB$9),"",DADOS_INVOC!$GB$9&amp;"")</f>
        <v/>
      </c>
      <c r="C1125" s="198" t="inlineStr">
        <is>
          <t>DADOS_INVOC!GB9</t>
        </is>
      </c>
      <c r="D1125" s="198" t="inlineStr">
        <is>
          <t>resultado</t>
        </is>
      </c>
    </row>
    <row r="1126">
      <c r="A1126" s="198" t="inlineStr">
        <is>
          <t>invocacao.8.cd</t>
        </is>
      </c>
      <c r="B1126" s="198">
        <f>IF(ISBLANK(DADOS_INVOC!$GC$9),"",DADOS_INVOC!$GC$9&amp;"")</f>
        <v/>
      </c>
      <c r="C1126" s="198" t="inlineStr">
        <is>
          <t>DADOS_INVOC!GC9</t>
        </is>
      </c>
      <c r="D1126" s="198" t="inlineStr">
        <is>
          <t>resultado</t>
        </is>
      </c>
    </row>
    <row r="1127">
      <c r="A1127" s="198" t="inlineStr">
        <is>
          <t>invocacao.8.defesa</t>
        </is>
      </c>
      <c r="B1127" s="198">
        <f>IF(ISBLANK(DADOS_INVOC!$GD$9),"",DADOS_INVOC!$GD$9&amp;"")</f>
        <v/>
      </c>
      <c r="C1127" s="198" t="inlineStr">
        <is>
          <t>DADOS_INVOC!GD9</t>
        </is>
      </c>
      <c r="D1127" s="198" t="inlineStr">
        <is>
          <t>resultado</t>
        </is>
      </c>
    </row>
    <row r="1128">
      <c r="A1128" s="198" t="inlineStr">
        <is>
          <t>invocacao.8.deslocamento</t>
        </is>
      </c>
      <c r="B1128" s="198">
        <f>IF(ISBLANK(DADOS_INVOC!$GN$9),"",DADOS_INVOC!$GN$9&amp;"")</f>
        <v/>
      </c>
      <c r="C1128" s="198" t="inlineStr">
        <is>
          <t>DADOS_INVOC!GN9</t>
        </is>
      </c>
      <c r="D1128" s="198" t="inlineStr">
        <is>
          <t>resultado</t>
        </is>
      </c>
    </row>
    <row r="1129">
      <c r="A1129" s="198" t="inlineStr">
        <is>
          <t>invocacao.8.pontos_acima</t>
        </is>
      </c>
      <c r="B1129" s="198">
        <f>IF(ISBLANK(DADOS_INVOC!$FZ$9),"",DADOS_INVOC!$FZ$9&amp;"")</f>
        <v/>
      </c>
      <c r="C1129" s="198" t="inlineStr">
        <is>
          <t>DADOS_INVOC!FZ9</t>
        </is>
      </c>
      <c r="D1129" s="198" t="inlineStr">
        <is>
          <t>aviso</t>
        </is>
      </c>
    </row>
    <row r="1130">
      <c r="A1130" s="198" t="inlineStr">
        <is>
          <t>invocacao.9.nome</t>
        </is>
      </c>
      <c r="B1130" s="198">
        <f>IF(ISBLANK(DADOS_INVOC!$DE$10),"",DADOS_INVOC!$DE$10&amp;"")</f>
        <v/>
      </c>
      <c r="C1130" s="198" t="inlineStr">
        <is>
          <t>DADOS_INVOC!DE10</t>
        </is>
      </c>
      <c r="D1130" s="198" t="inlineStr">
        <is>
          <t>entrada</t>
        </is>
      </c>
    </row>
    <row r="1131">
      <c r="A1131" s="198" t="inlineStr">
        <is>
          <t>invocacao.9.tipo</t>
        </is>
      </c>
      <c r="B1131" s="198">
        <f>IF(ISBLANK(DADOS_INVOC!$DF$10),"",DADOS_INVOC!$DF$10&amp;"")</f>
        <v/>
      </c>
      <c r="C1131" s="198" t="inlineStr">
        <is>
          <t>DADOS_INVOC!DF10</t>
        </is>
      </c>
      <c r="D1131" s="198" t="inlineStr">
        <is>
          <t>entrada</t>
        </is>
      </c>
    </row>
    <row r="1132">
      <c r="A1132" s="198" t="inlineStr">
        <is>
          <t>invocacao.9.aquisicao</t>
        </is>
      </c>
      <c r="B1132" s="198">
        <f>IF(ISBLANK(DADOS_INVOC!$DG$10),"",DADOS_INVOC!$DG$10&amp;"")</f>
        <v/>
      </c>
      <c r="C1132" s="198" t="inlineStr">
        <is>
          <t>DADOS_INVOC!DG10</t>
        </is>
      </c>
      <c r="D1132" s="198" t="inlineStr">
        <is>
          <t>entrada</t>
        </is>
      </c>
    </row>
    <row r="1133">
      <c r="A1133" s="198" t="inlineStr">
        <is>
          <t>invocacao.9.nivel_fixo</t>
        </is>
      </c>
      <c r="B1133" s="198">
        <f>IF(ISBLANK(DADOS_INVOC!$DH$10),"",DADOS_INVOC!$DH$10&amp;"")</f>
        <v/>
      </c>
      <c r="C1133" s="198" t="inlineStr">
        <is>
          <t>DADOS_INVOC!DH10</t>
        </is>
      </c>
      <c r="D1133" s="198" t="inlineStr">
        <is>
          <t>entrada</t>
        </is>
      </c>
    </row>
    <row r="1134">
      <c r="A1134" s="198" t="inlineStr">
        <is>
          <t>invocacao.9.talisma</t>
        </is>
      </c>
      <c r="B1134" s="198">
        <f>IF(ISBLANK(DADOS_INVOC!$DI$10),"",DADOS_INVOC!$DI$10&amp;"")</f>
        <v/>
      </c>
      <c r="C1134" s="198" t="inlineStr">
        <is>
          <t>DADOS_INVOC!DI10</t>
        </is>
      </c>
      <c r="D1134" s="198" t="inlineStr">
        <is>
          <t>entrada</t>
        </is>
      </c>
    </row>
    <row r="1135">
      <c r="A1135" s="198" t="inlineStr">
        <is>
          <t>invocacao.9.oficio_compativel</t>
        </is>
      </c>
      <c r="B1135" s="198">
        <f>IF(ISBLANK('INVOCAÇÕES'!$AE$465),"",'INVOCAÇÕES'!$AE$465&amp;"")</f>
        <v/>
      </c>
      <c r="C1135" s="198">
        <f>"'INVOCAÇÕES'!AE439"</f>
        <v/>
      </c>
      <c r="D1135" s="198" t="inlineStr">
        <is>
          <t>entrada</t>
        </is>
      </c>
    </row>
    <row r="1136">
      <c r="A1136" s="198" t="inlineStr">
        <is>
          <t>invocacao.9.pontos</t>
        </is>
      </c>
      <c r="B1136" s="198">
        <f>TEXTJOIN(" · ",TRUE,DADOS_INVOC!$DJ$10,DADOS_INVOC!$DK$10,DADOS_INVOC!$DL$10,DADOS_INVOC!$DM$10,DADOS_INVOC!$DN$10)</f>
        <v/>
      </c>
      <c r="C1136" s="198" t="inlineStr">
        <is>
          <t>DADOS_INVOC!DJ10 DADOS_INVOC!DK10 DADOS_INVOC!DL10 DADOS_INVOC!DM10 DADOS_INVOC!DN10</t>
        </is>
      </c>
      <c r="D1136" s="198" t="inlineStr">
        <is>
          <t>entrada</t>
        </is>
      </c>
    </row>
    <row r="1137">
      <c r="A1137" s="198" t="inlineStr">
        <is>
          <t>invocacao.9.familias</t>
        </is>
      </c>
      <c r="B1137" s="198">
        <f>TEXTJOIN(" · ",TRUE,DADOS_INVOC!$EL$10,DADOS_INVOC!$EM$10,DADOS_INVOC!$EN$10,DADOS_INVOC!$EO$10,DADOS_INVOC!$EP$10,DADOS_INVOC!$QV$10,DADOS_INVOC!$QW$10,DADOS_INVOC!$QX$10,DADOS_INVOC!$QY$10)</f>
        <v/>
      </c>
      <c r="C1137" s="198" t="inlineStr">
        <is>
          <t>DADOS_INVOC!EL10 DADOS_INVOC!EM10 DADOS_INVOC!EN10 DADOS_INVOC!EO10 DADOS_INVOC!EP10 DADOS_INVOC!QV10 DADOS_INVOC!QW10 DADOS_INVOC!QX10 DADOS_INVOC!QY10</t>
        </is>
      </c>
      <c r="D1137" s="198" t="inlineStr">
        <is>
          <t>entrada</t>
        </is>
      </c>
    </row>
    <row r="1138">
      <c r="A1138" s="198" t="inlineStr">
        <is>
          <t>invocacao.9.pericias</t>
        </is>
      </c>
      <c r="B1138" s="198">
        <f>TEXTJOIN(" · ",TRUE,DADOS_INVOC!$EQ$10,DADOS_INVOC!$ER$10,DADOS_INVOC!$ES$10,DADOS_INVOC!$ET$10,DADOS_INVOC!$EU$10,DADOS_INVOC!$EV$10,DADOS_INVOC!$EW$10)</f>
        <v/>
      </c>
      <c r="C1138" s="198" t="inlineStr">
        <is>
          <t>DADOS_INVOC!EQ10 DADOS_INVOC!ER10 DADOS_INVOC!ES10 DADOS_INVOC!ET10 DADOS_INVOC!EU10 DADOS_INVOC!EV10 DADOS_INVOC!EW10</t>
        </is>
      </c>
      <c r="D1138" s="198" t="inlineStr">
        <is>
          <t>entrada</t>
        </is>
      </c>
    </row>
    <row r="1139">
      <c r="A1139" s="198" t="inlineStr">
        <is>
          <t>invocacao.9.talentos</t>
        </is>
      </c>
      <c r="B1139" s="198">
        <f>TEXTJOIN(" · ",TRUE,DADOS_INVOC!$EX$10,DADOS_INVOC!$EY$10,DADOS_INVOC!$EZ$10,DADOS_INVOC!$FA$10,DADOS_INVOC!$FB$10,DADOS_INVOC!$FC$10,DADOS_INVOC!$FD$10,DADOS_INVOC!$FE$10)</f>
        <v/>
      </c>
      <c r="C1139" s="198" t="inlineStr">
        <is>
          <t>DADOS_INVOC!EX10 DADOS_INVOC!EY10 DADOS_INVOC!EZ10 DADOS_INVOC!FA10 DADOS_INVOC!FB10 DADOS_INVOC!FC10 DADOS_INVOC!FD10 DADOS_INVOC!FE10</t>
        </is>
      </c>
      <c r="D1139" s="198" t="inlineStr">
        <is>
          <t>entrada</t>
        </is>
      </c>
    </row>
    <row r="1140">
      <c r="A1140" s="198" t="inlineStr">
        <is>
          <t>invocacao.9.nivel</t>
        </is>
      </c>
      <c r="B1140" s="198">
        <f>IF(ISBLANK(DADOS_INVOC!$FO$10),"",DADOS_INVOC!$FO$10&amp;"")</f>
        <v/>
      </c>
      <c r="C1140" s="198" t="inlineStr">
        <is>
          <t>DADOS_INVOC!FO10</t>
        </is>
      </c>
      <c r="D1140" s="198" t="inlineStr">
        <is>
          <t>resultado</t>
        </is>
      </c>
    </row>
    <row r="1141">
      <c r="A1141" s="198" t="inlineStr">
        <is>
          <t>invocacao.9.classe</t>
        </is>
      </c>
      <c r="B1141" s="198">
        <f>IF(ISBLANK(DADOS_INVOC!$FP$10),"",DADOS_INVOC!$FP$10&amp;"")</f>
        <v/>
      </c>
      <c r="C1141" s="198" t="inlineStr">
        <is>
          <t>DADOS_INVOC!FP10</t>
        </is>
      </c>
      <c r="D1141" s="198" t="inlineStr">
        <is>
          <t>resultado</t>
        </is>
      </c>
    </row>
    <row r="1142">
      <c r="A1142" s="198" t="inlineStr">
        <is>
          <t>invocacao.9.vida.max</t>
        </is>
      </c>
      <c r="B1142" s="198">
        <f>IF(ISBLANK(DADOS_INVOC!$GF$10),"",DADOS_INVOC!$GF$10&amp;"")</f>
        <v/>
      </c>
      <c r="C1142" s="198" t="inlineStr">
        <is>
          <t>DADOS_INVOC!GF10</t>
        </is>
      </c>
      <c r="D1142" s="198" t="inlineStr">
        <is>
          <t>resultado</t>
        </is>
      </c>
    </row>
    <row r="1143">
      <c r="A1143" s="198" t="inlineStr">
        <is>
          <t>invocacao.9.entrada</t>
        </is>
      </c>
      <c r="B1143" s="198">
        <f>IF(ISBLANK(DADOS_INVOC!$GZ$10),"",DADOS_INVOC!$GZ$10&amp;"")</f>
        <v/>
      </c>
      <c r="C1143" s="198" t="inlineStr">
        <is>
          <t>DADOS_INVOC!GZ10</t>
        </is>
      </c>
      <c r="D1143" s="198" t="inlineStr">
        <is>
          <t>resultado</t>
        </is>
      </c>
    </row>
    <row r="1144">
      <c r="A1144" s="198" t="inlineStr">
        <is>
          <t>invocacao.9.retorno</t>
        </is>
      </c>
      <c r="B1144" s="198">
        <f>IF(ISBLANK(DADOS_INVOC!$HA$10),"",DADOS_INVOC!$HA$10&amp;"")</f>
        <v/>
      </c>
      <c r="C1144" s="198" t="inlineStr">
        <is>
          <t>DADOS_INVOC!HA10</t>
        </is>
      </c>
      <c r="D1144" s="198" t="inlineStr">
        <is>
          <t>resultado</t>
        </is>
      </c>
    </row>
    <row r="1145">
      <c r="A1145" s="198" t="inlineStr">
        <is>
          <t>invocacao.9.acerto</t>
        </is>
      </c>
      <c r="B1145" s="198">
        <f>IF(ISBLANK(DADOS_INVOC!$GB$10),"",DADOS_INVOC!$GB$10&amp;"")</f>
        <v/>
      </c>
      <c r="C1145" s="198" t="inlineStr">
        <is>
          <t>DADOS_INVOC!GB10</t>
        </is>
      </c>
      <c r="D1145" s="198" t="inlineStr">
        <is>
          <t>resultado</t>
        </is>
      </c>
    </row>
    <row r="1146">
      <c r="A1146" s="198" t="inlineStr">
        <is>
          <t>invocacao.9.cd</t>
        </is>
      </c>
      <c r="B1146" s="198">
        <f>IF(ISBLANK(DADOS_INVOC!$GC$10),"",DADOS_INVOC!$GC$10&amp;"")</f>
        <v/>
      </c>
      <c r="C1146" s="198" t="inlineStr">
        <is>
          <t>DADOS_INVOC!GC10</t>
        </is>
      </c>
      <c r="D1146" s="198" t="inlineStr">
        <is>
          <t>resultado</t>
        </is>
      </c>
    </row>
    <row r="1147">
      <c r="A1147" s="198" t="inlineStr">
        <is>
          <t>invocacao.9.defesa</t>
        </is>
      </c>
      <c r="B1147" s="198">
        <f>IF(ISBLANK(DADOS_INVOC!$GD$10),"",DADOS_INVOC!$GD$10&amp;"")</f>
        <v/>
      </c>
      <c r="C1147" s="198" t="inlineStr">
        <is>
          <t>DADOS_INVOC!GD10</t>
        </is>
      </c>
      <c r="D1147" s="198" t="inlineStr">
        <is>
          <t>resultado</t>
        </is>
      </c>
    </row>
    <row r="1148">
      <c r="A1148" s="198" t="inlineStr">
        <is>
          <t>invocacao.9.deslocamento</t>
        </is>
      </c>
      <c r="B1148" s="198">
        <f>IF(ISBLANK(DADOS_INVOC!$GN$10),"",DADOS_INVOC!$GN$10&amp;"")</f>
        <v/>
      </c>
      <c r="C1148" s="198" t="inlineStr">
        <is>
          <t>DADOS_INVOC!GN10</t>
        </is>
      </c>
      <c r="D1148" s="198" t="inlineStr">
        <is>
          <t>resultado</t>
        </is>
      </c>
    </row>
    <row r="1149">
      <c r="A1149" s="198" t="inlineStr">
        <is>
          <t>invocacao.9.pontos_acima</t>
        </is>
      </c>
      <c r="B1149" s="198">
        <f>IF(ISBLANK(DADOS_INVOC!$FZ$10),"",DADOS_INVOC!$FZ$10&amp;"")</f>
        <v/>
      </c>
      <c r="C1149" s="198" t="inlineStr">
        <is>
          <t>DADOS_INVOC!FZ10</t>
        </is>
      </c>
      <c r="D1149" s="198" t="inlineStr">
        <is>
          <t>aviso</t>
        </is>
      </c>
    </row>
    <row r="1150">
      <c r="A1150" s="198" t="inlineStr">
        <is>
          <t>invocacao.10.nome</t>
        </is>
      </c>
      <c r="B1150" s="198">
        <f>IF(ISBLANK(DADOS_INVOC!$DE$11),"",DADOS_INVOC!$DE$11&amp;"")</f>
        <v/>
      </c>
      <c r="C1150" s="198" t="inlineStr">
        <is>
          <t>DADOS_INVOC!DE11</t>
        </is>
      </c>
      <c r="D1150" s="198" t="inlineStr">
        <is>
          <t>entrada</t>
        </is>
      </c>
    </row>
    <row r="1151">
      <c r="A1151" s="198" t="inlineStr">
        <is>
          <t>invocacao.10.tipo</t>
        </is>
      </c>
      <c r="B1151" s="198">
        <f>IF(ISBLANK(DADOS_INVOC!$DF$11),"",DADOS_INVOC!$DF$11&amp;"")</f>
        <v/>
      </c>
      <c r="C1151" s="198" t="inlineStr">
        <is>
          <t>DADOS_INVOC!DF11</t>
        </is>
      </c>
      <c r="D1151" s="198" t="inlineStr">
        <is>
          <t>entrada</t>
        </is>
      </c>
    </row>
    <row r="1152">
      <c r="A1152" s="198" t="inlineStr">
        <is>
          <t>invocacao.10.aquisicao</t>
        </is>
      </c>
      <c r="B1152" s="198">
        <f>IF(ISBLANK(DADOS_INVOC!$DG$11),"",DADOS_INVOC!$DG$11&amp;"")</f>
        <v/>
      </c>
      <c r="C1152" s="198" t="inlineStr">
        <is>
          <t>DADOS_INVOC!DG11</t>
        </is>
      </c>
      <c r="D1152" s="198" t="inlineStr">
        <is>
          <t>entrada</t>
        </is>
      </c>
    </row>
    <row r="1153">
      <c r="A1153" s="198" t="inlineStr">
        <is>
          <t>invocacao.10.nivel_fixo</t>
        </is>
      </c>
      <c r="B1153" s="198">
        <f>IF(ISBLANK(DADOS_INVOC!$DH$11),"",DADOS_INVOC!$DH$11&amp;"")</f>
        <v/>
      </c>
      <c r="C1153" s="198" t="inlineStr">
        <is>
          <t>DADOS_INVOC!DH11</t>
        </is>
      </c>
      <c r="D1153" s="198" t="inlineStr">
        <is>
          <t>entrada</t>
        </is>
      </c>
    </row>
    <row r="1154">
      <c r="A1154" s="198" t="inlineStr">
        <is>
          <t>invocacao.10.talisma</t>
        </is>
      </c>
      <c r="B1154" s="198">
        <f>IF(ISBLANK(DADOS_INVOC!$DI$11),"",DADOS_INVOC!$DI$11&amp;"")</f>
        <v/>
      </c>
      <c r="C1154" s="198" t="inlineStr">
        <is>
          <t>DADOS_INVOC!DI11</t>
        </is>
      </c>
      <c r="D1154" s="198" t="inlineStr">
        <is>
          <t>entrada</t>
        </is>
      </c>
    </row>
    <row r="1155">
      <c r="A1155" s="198" t="inlineStr">
        <is>
          <t>invocacao.10.oficio_compativel</t>
        </is>
      </c>
      <c r="B1155" s="198">
        <f>IF(ISBLANK('INVOCAÇÕES'!$AE$676),"",'INVOCAÇÕES'!$AE$676&amp;"")</f>
        <v/>
      </c>
      <c r="C1155" s="198">
        <f>"'INVOCAÇÕES'!AE637"</f>
        <v/>
      </c>
      <c r="D1155" s="198" t="inlineStr">
        <is>
          <t>entrada</t>
        </is>
      </c>
    </row>
    <row r="1156">
      <c r="A1156" s="198" t="inlineStr">
        <is>
          <t>invocacao.10.pontos</t>
        </is>
      </c>
      <c r="B1156" s="198">
        <f>TEXTJOIN(" · ",TRUE,DADOS_INVOC!$DJ$11,DADOS_INVOC!$DK$11,DADOS_INVOC!$DL$11,DADOS_INVOC!$DM$11,DADOS_INVOC!$DN$11)</f>
        <v/>
      </c>
      <c r="C1156" s="198" t="inlineStr">
        <is>
          <t>DADOS_INVOC!DJ11 DADOS_INVOC!DK11 DADOS_INVOC!DL11 DADOS_INVOC!DM11 DADOS_INVOC!DN11</t>
        </is>
      </c>
      <c r="D1156" s="198" t="inlineStr">
        <is>
          <t>entrada</t>
        </is>
      </c>
    </row>
    <row r="1157">
      <c r="A1157" s="198" t="inlineStr">
        <is>
          <t>invocacao.10.familias</t>
        </is>
      </c>
      <c r="B1157" s="198">
        <f>TEXTJOIN(" · ",TRUE,DADOS_INVOC!$EL$11,DADOS_INVOC!$EM$11,DADOS_INVOC!$EN$11,DADOS_INVOC!$EO$11,DADOS_INVOC!$EP$11,DADOS_INVOC!$QV$11,DADOS_INVOC!$QW$11,DADOS_INVOC!$QX$11,DADOS_INVOC!$QY$11)</f>
        <v/>
      </c>
      <c r="C1157" s="198" t="inlineStr">
        <is>
          <t>DADOS_INVOC!EL11 DADOS_INVOC!EM11 DADOS_INVOC!EN11 DADOS_INVOC!EO11 DADOS_INVOC!EP11 DADOS_INVOC!QV11 DADOS_INVOC!QW11 DADOS_INVOC!QX11 DADOS_INVOC!QY11</t>
        </is>
      </c>
      <c r="D1157" s="198" t="inlineStr">
        <is>
          <t>entrada</t>
        </is>
      </c>
    </row>
    <row r="1158">
      <c r="A1158" s="198" t="inlineStr">
        <is>
          <t>invocacao.10.pericias</t>
        </is>
      </c>
      <c r="B1158" s="198">
        <f>TEXTJOIN(" · ",TRUE,DADOS_INVOC!$EQ$11,DADOS_INVOC!$ER$11,DADOS_INVOC!$ES$11,DADOS_INVOC!$ET$11,DADOS_INVOC!$EU$11,DADOS_INVOC!$EV$11,DADOS_INVOC!$EW$11)</f>
        <v/>
      </c>
      <c r="C1158" s="198" t="inlineStr">
        <is>
          <t>DADOS_INVOC!EQ11 DADOS_INVOC!ER11 DADOS_INVOC!ES11 DADOS_INVOC!ET11 DADOS_INVOC!EU11 DADOS_INVOC!EV11 DADOS_INVOC!EW11</t>
        </is>
      </c>
      <c r="D1158" s="198" t="inlineStr">
        <is>
          <t>entrada</t>
        </is>
      </c>
    </row>
    <row r="1159">
      <c r="A1159" s="198" t="inlineStr">
        <is>
          <t>invocacao.10.talentos</t>
        </is>
      </c>
      <c r="B1159" s="198">
        <f>TEXTJOIN(" · ",TRUE,DADOS_INVOC!$EX$11,DADOS_INVOC!$EY$11,DADOS_INVOC!$EZ$11,DADOS_INVOC!$FA$11,DADOS_INVOC!$FB$11,DADOS_INVOC!$FC$11,DADOS_INVOC!$FD$11,DADOS_INVOC!$FE$11)</f>
        <v/>
      </c>
      <c r="C1159" s="198" t="inlineStr">
        <is>
          <t>DADOS_INVOC!EX11 DADOS_INVOC!EY11 DADOS_INVOC!EZ11 DADOS_INVOC!FA11 DADOS_INVOC!FB11 DADOS_INVOC!FC11 DADOS_INVOC!FD11 DADOS_INVOC!FE11</t>
        </is>
      </c>
      <c r="D1159" s="198" t="inlineStr">
        <is>
          <t>entrada</t>
        </is>
      </c>
    </row>
    <row r="1160">
      <c r="A1160" s="198" t="inlineStr">
        <is>
          <t>invocacao.10.nivel</t>
        </is>
      </c>
      <c r="B1160" s="198">
        <f>IF(ISBLANK(DADOS_INVOC!$FO$11),"",DADOS_INVOC!$FO$11&amp;"")</f>
        <v/>
      </c>
      <c r="C1160" s="198" t="inlineStr">
        <is>
          <t>DADOS_INVOC!FO11</t>
        </is>
      </c>
      <c r="D1160" s="198" t="inlineStr">
        <is>
          <t>resultado</t>
        </is>
      </c>
    </row>
    <row r="1161">
      <c r="A1161" s="198" t="inlineStr">
        <is>
          <t>invocacao.10.classe</t>
        </is>
      </c>
      <c r="B1161" s="198">
        <f>IF(ISBLANK(DADOS_INVOC!$FP$11),"",DADOS_INVOC!$FP$11&amp;"")</f>
        <v/>
      </c>
      <c r="C1161" s="198" t="inlineStr">
        <is>
          <t>DADOS_INVOC!FP11</t>
        </is>
      </c>
      <c r="D1161" s="198" t="inlineStr">
        <is>
          <t>resultado</t>
        </is>
      </c>
    </row>
    <row r="1162">
      <c r="A1162" s="198" t="inlineStr">
        <is>
          <t>invocacao.10.vida.max</t>
        </is>
      </c>
      <c r="B1162" s="198">
        <f>IF(ISBLANK(DADOS_INVOC!$GF$11),"",DADOS_INVOC!$GF$11&amp;"")</f>
        <v/>
      </c>
      <c r="C1162" s="198" t="inlineStr">
        <is>
          <t>DADOS_INVOC!GF11</t>
        </is>
      </c>
      <c r="D1162" s="198" t="inlineStr">
        <is>
          <t>resultado</t>
        </is>
      </c>
    </row>
    <row r="1163">
      <c r="A1163" s="198" t="inlineStr">
        <is>
          <t>invocacao.10.entrada</t>
        </is>
      </c>
      <c r="B1163" s="198">
        <f>IF(ISBLANK(DADOS_INVOC!$GZ$11),"",DADOS_INVOC!$GZ$11&amp;"")</f>
        <v/>
      </c>
      <c r="C1163" s="198" t="inlineStr">
        <is>
          <t>DADOS_INVOC!GZ11</t>
        </is>
      </c>
      <c r="D1163" s="198" t="inlineStr">
        <is>
          <t>resultado</t>
        </is>
      </c>
    </row>
    <row r="1164">
      <c r="A1164" s="198" t="inlineStr">
        <is>
          <t>invocacao.10.retorno</t>
        </is>
      </c>
      <c r="B1164" s="198">
        <f>IF(ISBLANK(DADOS_INVOC!$HA$11),"",DADOS_INVOC!$HA$11&amp;"")</f>
        <v/>
      </c>
      <c r="C1164" s="198" t="inlineStr">
        <is>
          <t>DADOS_INVOC!HA11</t>
        </is>
      </c>
      <c r="D1164" s="198" t="inlineStr">
        <is>
          <t>resultado</t>
        </is>
      </c>
    </row>
    <row r="1165">
      <c r="A1165" s="198" t="inlineStr">
        <is>
          <t>invocacao.10.acerto</t>
        </is>
      </c>
      <c r="B1165" s="198">
        <f>IF(ISBLANK(DADOS_INVOC!$GB$11),"",DADOS_INVOC!$GB$11&amp;"")</f>
        <v/>
      </c>
      <c r="C1165" s="198" t="inlineStr">
        <is>
          <t>DADOS_INVOC!GB11</t>
        </is>
      </c>
      <c r="D1165" s="198" t="inlineStr">
        <is>
          <t>resultado</t>
        </is>
      </c>
    </row>
    <row r="1166">
      <c r="A1166" s="198" t="inlineStr">
        <is>
          <t>invocacao.10.cd</t>
        </is>
      </c>
      <c r="B1166" s="198">
        <f>IF(ISBLANK(DADOS_INVOC!$GC$11),"",DADOS_INVOC!$GC$11&amp;"")</f>
        <v/>
      </c>
      <c r="C1166" s="198" t="inlineStr">
        <is>
          <t>DADOS_INVOC!GC11</t>
        </is>
      </c>
      <c r="D1166" s="198" t="inlineStr">
        <is>
          <t>resultado</t>
        </is>
      </c>
    </row>
    <row r="1167">
      <c r="A1167" s="198" t="inlineStr">
        <is>
          <t>invocacao.10.defesa</t>
        </is>
      </c>
      <c r="B1167" s="198">
        <f>IF(ISBLANK(DADOS_INVOC!$GD$11),"",DADOS_INVOC!$GD$11&amp;"")</f>
        <v/>
      </c>
      <c r="C1167" s="198" t="inlineStr">
        <is>
          <t>DADOS_INVOC!GD11</t>
        </is>
      </c>
      <c r="D1167" s="198" t="inlineStr">
        <is>
          <t>resultado</t>
        </is>
      </c>
    </row>
    <row r="1168">
      <c r="A1168" s="198" t="inlineStr">
        <is>
          <t>invocacao.10.deslocamento</t>
        </is>
      </c>
      <c r="B1168" s="198">
        <f>IF(ISBLANK(DADOS_INVOC!$GN$11),"",DADOS_INVOC!$GN$11&amp;"")</f>
        <v/>
      </c>
      <c r="C1168" s="198" t="inlineStr">
        <is>
          <t>DADOS_INVOC!GN11</t>
        </is>
      </c>
      <c r="D1168" s="198" t="inlineStr">
        <is>
          <t>resultado</t>
        </is>
      </c>
    </row>
    <row r="1169">
      <c r="A1169" s="198" t="inlineStr">
        <is>
          <t>invocacao.10.pontos_acima</t>
        </is>
      </c>
      <c r="B1169" s="198">
        <f>IF(ISBLANK(DADOS_INVOC!$FZ$11),"",DADOS_INVOC!$FZ$11&amp;"")</f>
        <v/>
      </c>
      <c r="C1169" s="198" t="inlineStr">
        <is>
          <t>DADOS_INVOC!FZ11</t>
        </is>
      </c>
      <c r="D1169" s="198" t="inlineStr">
        <is>
          <t>aviso</t>
        </is>
      </c>
    </row>
    <row r="1170">
      <c r="A1170" s="198" t="inlineStr">
        <is>
          <t>invocacao.11.nome</t>
        </is>
      </c>
      <c r="B1170" s="198">
        <f>IF(ISBLANK(DADOS_INVOC!$DE$12),"",DADOS_INVOC!$DE$12&amp;"")</f>
        <v/>
      </c>
      <c r="C1170" s="198" t="inlineStr">
        <is>
          <t>DADOS_INVOC!DE12</t>
        </is>
      </c>
      <c r="D1170" s="198" t="inlineStr">
        <is>
          <t>entrada</t>
        </is>
      </c>
    </row>
    <row r="1171">
      <c r="A1171" s="198" t="inlineStr">
        <is>
          <t>invocacao.11.tipo</t>
        </is>
      </c>
      <c r="B1171" s="198">
        <f>IF(ISBLANK(DADOS_INVOC!$DF$12),"",DADOS_INVOC!$DF$12&amp;"")</f>
        <v/>
      </c>
      <c r="C1171" s="198" t="inlineStr">
        <is>
          <t>DADOS_INVOC!DF12</t>
        </is>
      </c>
      <c r="D1171" s="198" t="inlineStr">
        <is>
          <t>entrada</t>
        </is>
      </c>
    </row>
    <row r="1172">
      <c r="A1172" s="198" t="inlineStr">
        <is>
          <t>invocacao.11.aquisicao</t>
        </is>
      </c>
      <c r="B1172" s="198">
        <f>IF(ISBLANK(DADOS_INVOC!$DG$12),"",DADOS_INVOC!$DG$12&amp;"")</f>
        <v/>
      </c>
      <c r="C1172" s="198" t="inlineStr">
        <is>
          <t>DADOS_INVOC!DG12</t>
        </is>
      </c>
      <c r="D1172" s="198" t="inlineStr">
        <is>
          <t>entrada</t>
        </is>
      </c>
    </row>
    <row r="1173">
      <c r="A1173" s="198" t="inlineStr">
        <is>
          <t>invocacao.11.nivel_fixo</t>
        </is>
      </c>
      <c r="B1173" s="198">
        <f>IF(ISBLANK(DADOS_INVOC!$DH$12),"",DADOS_INVOC!$DH$12&amp;"")</f>
        <v/>
      </c>
      <c r="C1173" s="198" t="inlineStr">
        <is>
          <t>DADOS_INVOC!DH12</t>
        </is>
      </c>
      <c r="D1173" s="198" t="inlineStr">
        <is>
          <t>entrada</t>
        </is>
      </c>
    </row>
    <row r="1174">
      <c r="A1174" s="198" t="inlineStr">
        <is>
          <t>invocacao.11.talisma</t>
        </is>
      </c>
      <c r="B1174" s="198">
        <f>IF(ISBLANK(DADOS_INVOC!$DI$12),"",DADOS_INVOC!$DI$12&amp;"")</f>
        <v/>
      </c>
      <c r="C1174" s="198" t="inlineStr">
        <is>
          <t>DADOS_INVOC!DI12</t>
        </is>
      </c>
      <c r="D1174" s="198" t="inlineStr">
        <is>
          <t>entrada</t>
        </is>
      </c>
    </row>
    <row r="1175">
      <c r="A1175" s="198" t="inlineStr">
        <is>
          <t>invocacao.11.oficio_compativel</t>
        </is>
      </c>
      <c r="B1175" s="198">
        <f>IF(ISBLANK('INVOCAÇÕES'!$AE$887),"",'INVOCAÇÕES'!$AE$887&amp;"")</f>
        <v/>
      </c>
      <c r="C1175" s="198">
        <f>"'INVOCAÇÕES'!AE835"</f>
        <v/>
      </c>
      <c r="D1175" s="198" t="inlineStr">
        <is>
          <t>entrada</t>
        </is>
      </c>
    </row>
    <row r="1176">
      <c r="A1176" s="198" t="inlineStr">
        <is>
          <t>invocacao.11.pontos</t>
        </is>
      </c>
      <c r="B1176" s="198">
        <f>TEXTJOIN(" · ",TRUE,DADOS_INVOC!$DJ$12,DADOS_INVOC!$DK$12,DADOS_INVOC!$DL$12,DADOS_INVOC!$DM$12,DADOS_INVOC!$DN$12)</f>
        <v/>
      </c>
      <c r="C1176" s="198" t="inlineStr">
        <is>
          <t>DADOS_INVOC!DJ12 DADOS_INVOC!DK12 DADOS_INVOC!DL12 DADOS_INVOC!DM12 DADOS_INVOC!DN12</t>
        </is>
      </c>
      <c r="D1176" s="198" t="inlineStr">
        <is>
          <t>entrada</t>
        </is>
      </c>
    </row>
    <row r="1177">
      <c r="A1177" s="198" t="inlineStr">
        <is>
          <t>invocacao.11.familias</t>
        </is>
      </c>
      <c r="B1177" s="198">
        <f>TEXTJOIN(" · ",TRUE,DADOS_INVOC!$EL$12,DADOS_INVOC!$EM$12,DADOS_INVOC!$EN$12,DADOS_INVOC!$EO$12,DADOS_INVOC!$EP$12,DADOS_INVOC!$QV$12,DADOS_INVOC!$QW$12,DADOS_INVOC!$QX$12,DADOS_INVOC!$QY$12)</f>
        <v/>
      </c>
      <c r="C1177" s="198" t="inlineStr">
        <is>
          <t>DADOS_INVOC!EL12 DADOS_INVOC!EM12 DADOS_INVOC!EN12 DADOS_INVOC!EO12 DADOS_INVOC!EP12 DADOS_INVOC!QV12 DADOS_INVOC!QW12 DADOS_INVOC!QX12 DADOS_INVOC!QY12</t>
        </is>
      </c>
      <c r="D1177" s="198" t="inlineStr">
        <is>
          <t>entrada</t>
        </is>
      </c>
    </row>
    <row r="1178">
      <c r="A1178" s="198" t="inlineStr">
        <is>
          <t>invocacao.11.pericias</t>
        </is>
      </c>
      <c r="B1178" s="198">
        <f>TEXTJOIN(" · ",TRUE,DADOS_INVOC!$EQ$12,DADOS_INVOC!$ER$12,DADOS_INVOC!$ES$12,DADOS_INVOC!$ET$12,DADOS_INVOC!$EU$12,DADOS_INVOC!$EV$12,DADOS_INVOC!$EW$12)</f>
        <v/>
      </c>
      <c r="C1178" s="198" t="inlineStr">
        <is>
          <t>DADOS_INVOC!EQ12 DADOS_INVOC!ER12 DADOS_INVOC!ES12 DADOS_INVOC!ET12 DADOS_INVOC!EU12 DADOS_INVOC!EV12 DADOS_INVOC!EW12</t>
        </is>
      </c>
      <c r="D1178" s="198" t="inlineStr">
        <is>
          <t>entrada</t>
        </is>
      </c>
    </row>
    <row r="1179">
      <c r="A1179" s="198" t="inlineStr">
        <is>
          <t>invocacao.11.talentos</t>
        </is>
      </c>
      <c r="B1179" s="198">
        <f>TEXTJOIN(" · ",TRUE,DADOS_INVOC!$EX$12,DADOS_INVOC!$EY$12,DADOS_INVOC!$EZ$12,DADOS_INVOC!$FA$12,DADOS_INVOC!$FB$12,DADOS_INVOC!$FC$12,DADOS_INVOC!$FD$12,DADOS_INVOC!$FE$12)</f>
        <v/>
      </c>
      <c r="C1179" s="198" t="inlineStr">
        <is>
          <t>DADOS_INVOC!EX12 DADOS_INVOC!EY12 DADOS_INVOC!EZ12 DADOS_INVOC!FA12 DADOS_INVOC!FB12 DADOS_INVOC!FC12 DADOS_INVOC!FD12 DADOS_INVOC!FE12</t>
        </is>
      </c>
      <c r="D1179" s="198" t="inlineStr">
        <is>
          <t>entrada</t>
        </is>
      </c>
    </row>
    <row r="1180">
      <c r="A1180" s="198" t="inlineStr">
        <is>
          <t>invocacao.11.nivel</t>
        </is>
      </c>
      <c r="B1180" s="198">
        <f>IF(ISBLANK(DADOS_INVOC!$FO$12),"",DADOS_INVOC!$FO$12&amp;"")</f>
        <v/>
      </c>
      <c r="C1180" s="198" t="inlineStr">
        <is>
          <t>DADOS_INVOC!FO12</t>
        </is>
      </c>
      <c r="D1180" s="198" t="inlineStr">
        <is>
          <t>resultado</t>
        </is>
      </c>
    </row>
    <row r="1181">
      <c r="A1181" s="198" t="inlineStr">
        <is>
          <t>invocacao.11.classe</t>
        </is>
      </c>
      <c r="B1181" s="198">
        <f>IF(ISBLANK(DADOS_INVOC!$FP$12),"",DADOS_INVOC!$FP$12&amp;"")</f>
        <v/>
      </c>
      <c r="C1181" s="198" t="inlineStr">
        <is>
          <t>DADOS_INVOC!FP12</t>
        </is>
      </c>
      <c r="D1181" s="198" t="inlineStr">
        <is>
          <t>resultado</t>
        </is>
      </c>
    </row>
    <row r="1182">
      <c r="A1182" s="198" t="inlineStr">
        <is>
          <t>invocacao.11.vida.max</t>
        </is>
      </c>
      <c r="B1182" s="198">
        <f>IF(ISBLANK(DADOS_INVOC!$GF$12),"",DADOS_INVOC!$GF$12&amp;"")</f>
        <v/>
      </c>
      <c r="C1182" s="198" t="inlineStr">
        <is>
          <t>DADOS_INVOC!GF12</t>
        </is>
      </c>
      <c r="D1182" s="198" t="inlineStr">
        <is>
          <t>resultado</t>
        </is>
      </c>
    </row>
    <row r="1183">
      <c r="A1183" s="198" t="inlineStr">
        <is>
          <t>invocacao.11.entrada</t>
        </is>
      </c>
      <c r="B1183" s="198">
        <f>IF(ISBLANK(DADOS_INVOC!$GZ$12),"",DADOS_INVOC!$GZ$12&amp;"")</f>
        <v/>
      </c>
      <c r="C1183" s="198" t="inlineStr">
        <is>
          <t>DADOS_INVOC!GZ12</t>
        </is>
      </c>
      <c r="D1183" s="198" t="inlineStr">
        <is>
          <t>resultado</t>
        </is>
      </c>
    </row>
    <row r="1184">
      <c r="A1184" s="198" t="inlineStr">
        <is>
          <t>invocacao.11.retorno</t>
        </is>
      </c>
      <c r="B1184" s="198">
        <f>IF(ISBLANK(DADOS_INVOC!$HA$12),"",DADOS_INVOC!$HA$12&amp;"")</f>
        <v/>
      </c>
      <c r="C1184" s="198" t="inlineStr">
        <is>
          <t>DADOS_INVOC!HA12</t>
        </is>
      </c>
      <c r="D1184" s="198" t="inlineStr">
        <is>
          <t>resultado</t>
        </is>
      </c>
    </row>
    <row r="1185">
      <c r="A1185" s="198" t="inlineStr">
        <is>
          <t>invocacao.11.acerto</t>
        </is>
      </c>
      <c r="B1185" s="198">
        <f>IF(ISBLANK(DADOS_INVOC!$GB$12),"",DADOS_INVOC!$GB$12&amp;"")</f>
        <v/>
      </c>
      <c r="C1185" s="198" t="inlineStr">
        <is>
          <t>DADOS_INVOC!GB12</t>
        </is>
      </c>
      <c r="D1185" s="198" t="inlineStr">
        <is>
          <t>resultado</t>
        </is>
      </c>
    </row>
    <row r="1186">
      <c r="A1186" s="198" t="inlineStr">
        <is>
          <t>invocacao.11.cd</t>
        </is>
      </c>
      <c r="B1186" s="198">
        <f>IF(ISBLANK(DADOS_INVOC!$GC$12),"",DADOS_INVOC!$GC$12&amp;"")</f>
        <v/>
      </c>
      <c r="C1186" s="198" t="inlineStr">
        <is>
          <t>DADOS_INVOC!GC12</t>
        </is>
      </c>
      <c r="D1186" s="198" t="inlineStr">
        <is>
          <t>resultado</t>
        </is>
      </c>
    </row>
    <row r="1187">
      <c r="A1187" s="198" t="inlineStr">
        <is>
          <t>invocacao.11.defesa</t>
        </is>
      </c>
      <c r="B1187" s="198">
        <f>IF(ISBLANK(DADOS_INVOC!$GD$12),"",DADOS_INVOC!$GD$12&amp;"")</f>
        <v/>
      </c>
      <c r="C1187" s="198" t="inlineStr">
        <is>
          <t>DADOS_INVOC!GD12</t>
        </is>
      </c>
      <c r="D1187" s="198" t="inlineStr">
        <is>
          <t>resultado</t>
        </is>
      </c>
    </row>
    <row r="1188">
      <c r="A1188" s="198" t="inlineStr">
        <is>
          <t>invocacao.11.deslocamento</t>
        </is>
      </c>
      <c r="B1188" s="198">
        <f>IF(ISBLANK(DADOS_INVOC!$GN$12),"",DADOS_INVOC!$GN$12&amp;"")</f>
        <v/>
      </c>
      <c r="C1188" s="198" t="inlineStr">
        <is>
          <t>DADOS_INVOC!GN12</t>
        </is>
      </c>
      <c r="D1188" s="198" t="inlineStr">
        <is>
          <t>resultado</t>
        </is>
      </c>
    </row>
    <row r="1189">
      <c r="A1189" s="198" t="inlineStr">
        <is>
          <t>invocacao.11.pontos_acima</t>
        </is>
      </c>
      <c r="B1189" s="198">
        <f>IF(ISBLANK(DADOS_INVOC!$FZ$12),"",DADOS_INVOC!$FZ$12&amp;"")</f>
        <v/>
      </c>
      <c r="C1189" s="198" t="inlineStr">
        <is>
          <t>DADOS_INVOC!FZ12</t>
        </is>
      </c>
      <c r="D1189" s="198" t="inlineStr">
        <is>
          <t>aviso</t>
        </is>
      </c>
    </row>
    <row r="1190">
      <c r="A1190" s="198" t="inlineStr">
        <is>
          <t>invocacao.12.nome</t>
        </is>
      </c>
      <c r="B1190" s="198">
        <f>IF(ISBLANK(DADOS_INVOC!$DE$13),"",DADOS_INVOC!$DE$13&amp;"")</f>
        <v/>
      </c>
      <c r="C1190" s="198" t="inlineStr">
        <is>
          <t>DADOS_INVOC!DE13</t>
        </is>
      </c>
      <c r="D1190" s="198" t="inlineStr">
        <is>
          <t>entrada</t>
        </is>
      </c>
    </row>
    <row r="1191">
      <c r="A1191" s="198" t="inlineStr">
        <is>
          <t>invocacao.12.tipo</t>
        </is>
      </c>
      <c r="B1191" s="198">
        <f>IF(ISBLANK(DADOS_INVOC!$DF$13),"",DADOS_INVOC!$DF$13&amp;"")</f>
        <v/>
      </c>
      <c r="C1191" s="198" t="inlineStr">
        <is>
          <t>DADOS_INVOC!DF13</t>
        </is>
      </c>
      <c r="D1191" s="198" t="inlineStr">
        <is>
          <t>entrada</t>
        </is>
      </c>
    </row>
    <row r="1192">
      <c r="A1192" s="198" t="inlineStr">
        <is>
          <t>invocacao.12.aquisicao</t>
        </is>
      </c>
      <c r="B1192" s="198">
        <f>IF(ISBLANK(DADOS_INVOC!$DG$13),"",DADOS_INVOC!$DG$13&amp;"")</f>
        <v/>
      </c>
      <c r="C1192" s="198" t="inlineStr">
        <is>
          <t>DADOS_INVOC!DG13</t>
        </is>
      </c>
      <c r="D1192" s="198" t="inlineStr">
        <is>
          <t>entrada</t>
        </is>
      </c>
    </row>
    <row r="1193">
      <c r="A1193" s="198" t="inlineStr">
        <is>
          <t>invocacao.12.nivel_fixo</t>
        </is>
      </c>
      <c r="B1193" s="198">
        <f>IF(ISBLANK(DADOS_INVOC!$DH$13),"",DADOS_INVOC!$DH$13&amp;"")</f>
        <v/>
      </c>
      <c r="C1193" s="198" t="inlineStr">
        <is>
          <t>DADOS_INVOC!DH13</t>
        </is>
      </c>
      <c r="D1193" s="198" t="inlineStr">
        <is>
          <t>entrada</t>
        </is>
      </c>
    </row>
    <row r="1194">
      <c r="A1194" s="198" t="inlineStr">
        <is>
          <t>invocacao.12.talisma</t>
        </is>
      </c>
      <c r="B1194" s="198">
        <f>IF(ISBLANK(DADOS_INVOC!$DI$13),"",DADOS_INVOC!$DI$13&amp;"")</f>
        <v/>
      </c>
      <c r="C1194" s="198" t="inlineStr">
        <is>
          <t>DADOS_INVOC!DI13</t>
        </is>
      </c>
      <c r="D1194" s="198" t="inlineStr">
        <is>
          <t>entrada</t>
        </is>
      </c>
    </row>
    <row r="1195">
      <c r="A1195" s="198" t="inlineStr">
        <is>
          <t>invocacao.12.oficio_compativel</t>
        </is>
      </c>
      <c r="B1195" s="198">
        <f>IF(ISBLANK('INVOCAÇÕES'!$AE$1098),"",'INVOCAÇÕES'!$AE$1098&amp;"")</f>
        <v/>
      </c>
      <c r="C1195" s="198">
        <f>"'INVOCAÇÕES'!AE1033"</f>
        <v/>
      </c>
      <c r="D1195" s="198" t="inlineStr">
        <is>
          <t>entrada</t>
        </is>
      </c>
    </row>
    <row r="1196">
      <c r="A1196" s="198" t="inlineStr">
        <is>
          <t>invocacao.12.pontos</t>
        </is>
      </c>
      <c r="B1196" s="198">
        <f>TEXTJOIN(" · ",TRUE,DADOS_INVOC!$DJ$13,DADOS_INVOC!$DK$13,DADOS_INVOC!$DL$13,DADOS_INVOC!$DM$13,DADOS_INVOC!$DN$13)</f>
        <v/>
      </c>
      <c r="C1196" s="198" t="inlineStr">
        <is>
          <t>DADOS_INVOC!DJ13 DADOS_INVOC!DK13 DADOS_INVOC!DL13 DADOS_INVOC!DM13 DADOS_INVOC!DN13</t>
        </is>
      </c>
      <c r="D1196" s="198" t="inlineStr">
        <is>
          <t>entrada</t>
        </is>
      </c>
    </row>
    <row r="1197">
      <c r="A1197" s="198" t="inlineStr">
        <is>
          <t>invocacao.12.familias</t>
        </is>
      </c>
      <c r="B1197" s="198">
        <f>TEXTJOIN(" · ",TRUE,DADOS_INVOC!$EL$13,DADOS_INVOC!$EM$13,DADOS_INVOC!$EN$13,DADOS_INVOC!$EO$13,DADOS_INVOC!$EP$13,DADOS_INVOC!$QV$13,DADOS_INVOC!$QW$13,DADOS_INVOC!$QX$13,DADOS_INVOC!$QY$13)</f>
        <v/>
      </c>
      <c r="C1197" s="198" t="inlineStr">
        <is>
          <t>DADOS_INVOC!EL13 DADOS_INVOC!EM13 DADOS_INVOC!EN13 DADOS_INVOC!EO13 DADOS_INVOC!EP13 DADOS_INVOC!QV13 DADOS_INVOC!QW13 DADOS_INVOC!QX13 DADOS_INVOC!QY13</t>
        </is>
      </c>
      <c r="D1197" s="198" t="inlineStr">
        <is>
          <t>entrada</t>
        </is>
      </c>
    </row>
    <row r="1198">
      <c r="A1198" s="198" t="inlineStr">
        <is>
          <t>invocacao.12.pericias</t>
        </is>
      </c>
      <c r="B1198" s="198">
        <f>TEXTJOIN(" · ",TRUE,DADOS_INVOC!$EQ$13,DADOS_INVOC!$ER$13,DADOS_INVOC!$ES$13,DADOS_INVOC!$ET$13,DADOS_INVOC!$EU$13,DADOS_INVOC!$EV$13,DADOS_INVOC!$EW$13)</f>
        <v/>
      </c>
      <c r="C1198" s="198" t="inlineStr">
        <is>
          <t>DADOS_INVOC!EQ13 DADOS_INVOC!ER13 DADOS_INVOC!ES13 DADOS_INVOC!ET13 DADOS_INVOC!EU13 DADOS_INVOC!EV13 DADOS_INVOC!EW13</t>
        </is>
      </c>
      <c r="D1198" s="198" t="inlineStr">
        <is>
          <t>entrada</t>
        </is>
      </c>
    </row>
    <row r="1199">
      <c r="A1199" s="198" t="inlineStr">
        <is>
          <t>invocacao.12.talentos</t>
        </is>
      </c>
      <c r="B1199" s="198">
        <f>TEXTJOIN(" · ",TRUE,DADOS_INVOC!$EX$13,DADOS_INVOC!$EY$13,DADOS_INVOC!$EZ$13,DADOS_INVOC!$FA$13,DADOS_INVOC!$FB$13,DADOS_INVOC!$FC$13,DADOS_INVOC!$FD$13,DADOS_INVOC!$FE$13)</f>
        <v/>
      </c>
      <c r="C1199" s="198" t="inlineStr">
        <is>
          <t>DADOS_INVOC!EX13 DADOS_INVOC!EY13 DADOS_INVOC!EZ13 DADOS_INVOC!FA13 DADOS_INVOC!FB13 DADOS_INVOC!FC13 DADOS_INVOC!FD13 DADOS_INVOC!FE13</t>
        </is>
      </c>
      <c r="D1199" s="198" t="inlineStr">
        <is>
          <t>entrada</t>
        </is>
      </c>
    </row>
    <row r="1200">
      <c r="A1200" s="198" t="inlineStr">
        <is>
          <t>invocacao.12.nivel</t>
        </is>
      </c>
      <c r="B1200" s="198">
        <f>IF(ISBLANK(DADOS_INVOC!$FO$13),"",DADOS_INVOC!$FO$13&amp;"")</f>
        <v/>
      </c>
      <c r="C1200" s="198" t="inlineStr">
        <is>
          <t>DADOS_INVOC!FO13</t>
        </is>
      </c>
      <c r="D1200" s="198" t="inlineStr">
        <is>
          <t>resultado</t>
        </is>
      </c>
    </row>
    <row r="1201">
      <c r="A1201" s="198" t="inlineStr">
        <is>
          <t>invocacao.12.classe</t>
        </is>
      </c>
      <c r="B1201" s="198">
        <f>IF(ISBLANK(DADOS_INVOC!$FP$13),"",DADOS_INVOC!$FP$13&amp;"")</f>
        <v/>
      </c>
      <c r="C1201" s="198" t="inlineStr">
        <is>
          <t>DADOS_INVOC!FP13</t>
        </is>
      </c>
      <c r="D1201" s="198" t="inlineStr">
        <is>
          <t>resultado</t>
        </is>
      </c>
    </row>
    <row r="1202">
      <c r="A1202" s="198" t="inlineStr">
        <is>
          <t>invocacao.12.vida.max</t>
        </is>
      </c>
      <c r="B1202" s="198">
        <f>IF(ISBLANK(DADOS_INVOC!$GF$13),"",DADOS_INVOC!$GF$13&amp;"")</f>
        <v/>
      </c>
      <c r="C1202" s="198" t="inlineStr">
        <is>
          <t>DADOS_INVOC!GF13</t>
        </is>
      </c>
      <c r="D1202" s="198" t="inlineStr">
        <is>
          <t>resultado</t>
        </is>
      </c>
    </row>
    <row r="1203">
      <c r="A1203" s="198" t="inlineStr">
        <is>
          <t>invocacao.12.entrada</t>
        </is>
      </c>
      <c r="B1203" s="198">
        <f>IF(ISBLANK(DADOS_INVOC!$GZ$13),"",DADOS_INVOC!$GZ$13&amp;"")</f>
        <v/>
      </c>
      <c r="C1203" s="198" t="inlineStr">
        <is>
          <t>DADOS_INVOC!GZ13</t>
        </is>
      </c>
      <c r="D1203" s="198" t="inlineStr">
        <is>
          <t>resultado</t>
        </is>
      </c>
    </row>
    <row r="1204">
      <c r="A1204" s="198" t="inlineStr">
        <is>
          <t>invocacao.12.retorno</t>
        </is>
      </c>
      <c r="B1204" s="198">
        <f>IF(ISBLANK(DADOS_INVOC!$HA$13),"",DADOS_INVOC!$HA$13&amp;"")</f>
        <v/>
      </c>
      <c r="C1204" s="198" t="inlineStr">
        <is>
          <t>DADOS_INVOC!HA13</t>
        </is>
      </c>
      <c r="D1204" s="198" t="inlineStr">
        <is>
          <t>resultado</t>
        </is>
      </c>
    </row>
    <row r="1205">
      <c r="A1205" s="198" t="inlineStr">
        <is>
          <t>invocacao.12.acerto</t>
        </is>
      </c>
      <c r="B1205" s="198">
        <f>IF(ISBLANK(DADOS_INVOC!$GB$13),"",DADOS_INVOC!$GB$13&amp;"")</f>
        <v/>
      </c>
      <c r="C1205" s="198" t="inlineStr">
        <is>
          <t>DADOS_INVOC!GB13</t>
        </is>
      </c>
      <c r="D1205" s="198" t="inlineStr">
        <is>
          <t>resultado</t>
        </is>
      </c>
    </row>
    <row r="1206">
      <c r="A1206" s="198" t="inlineStr">
        <is>
          <t>invocacao.12.cd</t>
        </is>
      </c>
      <c r="B1206" s="198">
        <f>IF(ISBLANK(DADOS_INVOC!$GC$13),"",DADOS_INVOC!$GC$13&amp;"")</f>
        <v/>
      </c>
      <c r="C1206" s="198" t="inlineStr">
        <is>
          <t>DADOS_INVOC!GC13</t>
        </is>
      </c>
      <c r="D1206" s="198" t="inlineStr">
        <is>
          <t>resultado</t>
        </is>
      </c>
    </row>
    <row r="1207">
      <c r="A1207" s="198" t="inlineStr">
        <is>
          <t>invocacao.12.defesa</t>
        </is>
      </c>
      <c r="B1207" s="198">
        <f>IF(ISBLANK(DADOS_INVOC!$GD$13),"",DADOS_INVOC!$GD$13&amp;"")</f>
        <v/>
      </c>
      <c r="C1207" s="198" t="inlineStr">
        <is>
          <t>DADOS_INVOC!GD13</t>
        </is>
      </c>
      <c r="D1207" s="198" t="inlineStr">
        <is>
          <t>resultado</t>
        </is>
      </c>
    </row>
    <row r="1208">
      <c r="A1208" s="198" t="inlineStr">
        <is>
          <t>invocacao.12.deslocamento</t>
        </is>
      </c>
      <c r="B1208" s="198">
        <f>IF(ISBLANK(DADOS_INVOC!$GN$13),"",DADOS_INVOC!$GN$13&amp;"")</f>
        <v/>
      </c>
      <c r="C1208" s="198" t="inlineStr">
        <is>
          <t>DADOS_INVOC!GN13</t>
        </is>
      </c>
      <c r="D1208" s="198" t="inlineStr">
        <is>
          <t>resultado</t>
        </is>
      </c>
    </row>
    <row r="1209">
      <c r="A1209" s="198" t="inlineStr">
        <is>
          <t>invocacao.12.pontos_acima</t>
        </is>
      </c>
      <c r="B1209" s="198">
        <f>IF(ISBLANK(DADOS_INVOC!$FZ$13),"",DADOS_INVOC!$FZ$13&amp;"")</f>
        <v/>
      </c>
      <c r="C1209" s="198" t="inlineStr">
        <is>
          <t>DADOS_INVOC!FZ13</t>
        </is>
      </c>
      <c r="D1209" s="198" t="inlineStr">
        <is>
          <t>aviso</t>
        </is>
      </c>
    </row>
    <row r="1210">
      <c r="A1210" s="198" t="inlineStr">
        <is>
          <t>invocacao.1.bas.1.classe</t>
        </is>
      </c>
      <c r="B1210" s="198">
        <f>IF(ISBLANK(DADOS_INVOC!$MS$2),"",DADOS_INVOC!$MS$2&amp;"")</f>
        <v/>
      </c>
      <c r="C1210" s="198" t="inlineStr">
        <is>
          <t>DADOS_INVOC!MS2</t>
        </is>
      </c>
      <c r="D1210" s="198" t="inlineStr">
        <is>
          <t>entrada</t>
        </is>
      </c>
    </row>
    <row r="1211">
      <c r="A1211" s="198" t="inlineStr">
        <is>
          <t>invocacao.1.bas.1.nome</t>
        </is>
      </c>
      <c r="B1211" s="198">
        <f>IF(ISBLANK(DADOS_INVOC!$MT$2),"",DADOS_INVOC!$MT$2&amp;"")</f>
        <v/>
      </c>
      <c r="C1211" s="198" t="inlineStr">
        <is>
          <t>DADOS_INVOC!MT2</t>
        </is>
      </c>
      <c r="D1211" s="198" t="inlineStr">
        <is>
          <t>entrada</t>
        </is>
      </c>
    </row>
    <row r="1212">
      <c r="A1212" s="198" t="inlineStr">
        <is>
          <t>invocacao.1.bas.1.forma</t>
        </is>
      </c>
      <c r="B1212" s="198">
        <f>IF(ISBLANK(DADOS_INVOC!$MU$2),"",DADOS_INVOC!$MU$2&amp;"")</f>
        <v/>
      </c>
      <c r="C1212" s="198" t="inlineStr">
        <is>
          <t>DADOS_INVOC!MU2</t>
        </is>
      </c>
      <c r="D1212" s="198" t="inlineStr">
        <is>
          <t>entrada</t>
        </is>
      </c>
    </row>
    <row r="1213">
      <c r="A1213" s="198" t="inlineStr">
        <is>
          <t>invocacao.1.bas.1.pecas</t>
        </is>
      </c>
      <c r="B1213" s="198">
        <f>TEXTJOIN(" · ",TRUE,DADOS_INVOC!$MX$2,DADOS_INVOC!$MY$2,DADOS_INVOC!$MZ$2,DADOS_INVOC!$NA$2)</f>
        <v/>
      </c>
      <c r="C1213" s="198" t="inlineStr">
        <is>
          <t>DADOS_INVOC!MX2 DADOS_INVOC!MY2 DADOS_INVOC!MZ2 DADOS_INVOC!NA2</t>
        </is>
      </c>
      <c r="D1213" s="198" t="inlineStr">
        <is>
          <t>entrada</t>
        </is>
      </c>
    </row>
    <row r="1214">
      <c r="A1214" s="198" t="inlineStr">
        <is>
          <t>invocacao.1.bas.1.restricoes</t>
        </is>
      </c>
      <c r="B1214" s="198">
        <f>TEXTJOIN(" · ",TRUE,DADOS_INVOC!$NB$2,DADOS_INVOC!$NC$2)</f>
        <v/>
      </c>
      <c r="C1214" s="198" t="inlineStr">
        <is>
          <t>DADOS_INVOC!NB2 DADOS_INVOC!NC2</t>
        </is>
      </c>
      <c r="D1214" s="198" t="inlineStr">
        <is>
          <t>entrada</t>
        </is>
      </c>
    </row>
    <row r="1215">
      <c r="A1215" s="198" t="inlineStr">
        <is>
          <t>invocacao.1.bas.1.pe</t>
        </is>
      </c>
      <c r="B1215" s="198">
        <f>IF(ISBLANK(DADOS_INVOC!$QA$2),"",DADOS_INVOC!$QA$2&amp;"")</f>
        <v/>
      </c>
      <c r="C1215" s="198" t="inlineStr">
        <is>
          <t>DADOS_INVOC!QA2</t>
        </is>
      </c>
      <c r="D1215" s="198" t="inlineStr">
        <is>
          <t>resultado</t>
        </is>
      </c>
    </row>
    <row r="1216">
      <c r="A1216" s="198" t="inlineStr">
        <is>
          <t>invocacao.1.bas.1.dano</t>
        </is>
      </c>
      <c r="B1216" s="198">
        <f>IF(ISBLANK(DADOS_INVOC!$QE$2),"",DADOS_INVOC!$QE$2&amp;"")</f>
        <v/>
      </c>
      <c r="C1216" s="198" t="inlineStr">
        <is>
          <t>DADOS_INVOC!QE2</t>
        </is>
      </c>
      <c r="D1216" s="198" t="inlineStr">
        <is>
          <t>resultado</t>
        </is>
      </c>
    </row>
    <row r="1217">
      <c r="A1217" s="198" t="inlineStr">
        <is>
          <t>invocacao.1.bas.1.erros</t>
        </is>
      </c>
      <c r="B1217" s="198">
        <f>IF(ISBLANK(DADOS_INVOC!$PT$2),"",DADOS_INVOC!$PT$2&amp;"")</f>
        <v/>
      </c>
      <c r="C1217" s="198" t="inlineStr">
        <is>
          <t>DADOS_INVOC!PT2</t>
        </is>
      </c>
      <c r="D1217" s="198" t="inlineStr">
        <is>
          <t>aviso</t>
        </is>
      </c>
    </row>
    <row r="1218">
      <c r="A1218" s="198" t="inlineStr">
        <is>
          <t>invocacao.1.bas.1.avisos</t>
        </is>
      </c>
      <c r="B1218" s="198">
        <f>IF(ISBLANK(DADOS_INVOC!$PV$2),"",DADOS_INVOC!$PV$2&amp;"")</f>
        <v/>
      </c>
      <c r="C1218" s="198" t="inlineStr">
        <is>
          <t>DADOS_INVOC!PV2</t>
        </is>
      </c>
      <c r="D1218" s="198" t="inlineStr">
        <is>
          <t>aviso</t>
        </is>
      </c>
    </row>
    <row r="1219">
      <c r="A1219" s="198" t="inlineStr">
        <is>
          <t>invocacao.1.esp.1.classe</t>
        </is>
      </c>
      <c r="B1219" s="198">
        <f>IF(ISBLANK(DADOS_INVOC!$MS$3),"",DADOS_INVOC!$MS$3&amp;"")</f>
        <v/>
      </c>
      <c r="C1219" s="198" t="inlineStr">
        <is>
          <t>DADOS_INVOC!MS3</t>
        </is>
      </c>
      <c r="D1219" s="198" t="inlineStr">
        <is>
          <t>entrada</t>
        </is>
      </c>
    </row>
    <row r="1220">
      <c r="A1220" s="198" t="inlineStr">
        <is>
          <t>invocacao.1.esp.1.nome</t>
        </is>
      </c>
      <c r="B1220" s="198">
        <f>IF(ISBLANK(DADOS_INVOC!$MT$3),"",DADOS_INVOC!$MT$3&amp;"")</f>
        <v/>
      </c>
      <c r="C1220" s="198" t="inlineStr">
        <is>
          <t>DADOS_INVOC!MT3</t>
        </is>
      </c>
      <c r="D1220" s="198" t="inlineStr">
        <is>
          <t>entrada</t>
        </is>
      </c>
    </row>
    <row r="1221">
      <c r="A1221" s="198" t="inlineStr">
        <is>
          <t>invocacao.1.esp.1.forma</t>
        </is>
      </c>
      <c r="B1221" s="198">
        <f>IF(ISBLANK(DADOS_INVOC!$MU$3),"",DADOS_INVOC!$MU$3&amp;"")</f>
        <v/>
      </c>
      <c r="C1221" s="198" t="inlineStr">
        <is>
          <t>DADOS_INVOC!MU3</t>
        </is>
      </c>
      <c r="D1221" s="198" t="inlineStr">
        <is>
          <t>entrada</t>
        </is>
      </c>
    </row>
    <row r="1222">
      <c r="A1222" s="198" t="inlineStr">
        <is>
          <t>invocacao.1.esp.1.pecas</t>
        </is>
      </c>
      <c r="B1222" s="198">
        <f>TEXTJOIN(" · ",TRUE,DADOS_INVOC!$MX$3,DADOS_INVOC!$MY$3,DADOS_INVOC!$MZ$3,DADOS_INVOC!$NA$3)</f>
        <v/>
      </c>
      <c r="C1222" s="198" t="inlineStr">
        <is>
          <t>DADOS_INVOC!MX3 DADOS_INVOC!MY3 DADOS_INVOC!MZ3 DADOS_INVOC!NA3</t>
        </is>
      </c>
      <c r="D1222" s="198" t="inlineStr">
        <is>
          <t>entrada</t>
        </is>
      </c>
    </row>
    <row r="1223">
      <c r="A1223" s="198" t="inlineStr">
        <is>
          <t>invocacao.1.esp.1.restricoes</t>
        </is>
      </c>
      <c r="B1223" s="198">
        <f>TEXTJOIN(" · ",TRUE,DADOS_INVOC!$NB$3,DADOS_INVOC!$NC$3)</f>
        <v/>
      </c>
      <c r="C1223" s="198" t="inlineStr">
        <is>
          <t>DADOS_INVOC!NB3 DADOS_INVOC!NC3</t>
        </is>
      </c>
      <c r="D1223" s="198" t="inlineStr">
        <is>
          <t>entrada</t>
        </is>
      </c>
    </row>
    <row r="1224">
      <c r="A1224" s="198" t="inlineStr">
        <is>
          <t>invocacao.1.esp.1.pe</t>
        </is>
      </c>
      <c r="B1224" s="198">
        <f>IF(ISBLANK(DADOS_INVOC!$QA$3),"",DADOS_INVOC!$QA$3&amp;"")</f>
        <v/>
      </c>
      <c r="C1224" s="198" t="inlineStr">
        <is>
          <t>DADOS_INVOC!QA3</t>
        </is>
      </c>
      <c r="D1224" s="198" t="inlineStr">
        <is>
          <t>resultado</t>
        </is>
      </c>
    </row>
    <row r="1225">
      <c r="A1225" s="198" t="inlineStr">
        <is>
          <t>invocacao.1.esp.1.dano</t>
        </is>
      </c>
      <c r="B1225" s="198">
        <f>IF(ISBLANK(DADOS_INVOC!$QE$3),"",DADOS_INVOC!$QE$3&amp;"")</f>
        <v/>
      </c>
      <c r="C1225" s="198" t="inlineStr">
        <is>
          <t>DADOS_INVOC!QE3</t>
        </is>
      </c>
      <c r="D1225" s="198" t="inlineStr">
        <is>
          <t>resultado</t>
        </is>
      </c>
    </row>
    <row r="1226">
      <c r="A1226" s="198" t="inlineStr">
        <is>
          <t>invocacao.1.esp.1.erros</t>
        </is>
      </c>
      <c r="B1226" s="198">
        <f>IF(ISBLANK(DADOS_INVOC!$PT$3),"",DADOS_INVOC!$PT$3&amp;"")</f>
        <v/>
      </c>
      <c r="C1226" s="198" t="inlineStr">
        <is>
          <t>DADOS_INVOC!PT3</t>
        </is>
      </c>
      <c r="D1226" s="198" t="inlineStr">
        <is>
          <t>aviso</t>
        </is>
      </c>
    </row>
    <row r="1227">
      <c r="A1227" s="198" t="inlineStr">
        <is>
          <t>invocacao.1.esp.1.avisos</t>
        </is>
      </c>
      <c r="B1227" s="198">
        <f>IF(ISBLANK(DADOS_INVOC!$PV$3),"",DADOS_INVOC!$PV$3&amp;"")</f>
        <v/>
      </c>
      <c r="C1227" s="198" t="inlineStr">
        <is>
          <t>DADOS_INVOC!PV3</t>
        </is>
      </c>
      <c r="D1227" s="198" t="inlineStr">
        <is>
          <t>aviso</t>
        </is>
      </c>
    </row>
    <row r="1228">
      <c r="A1228" s="198" t="inlineStr">
        <is>
          <t>invocacao.1.esp.2.classe</t>
        </is>
      </c>
      <c r="B1228" s="198">
        <f>IF(ISBLANK(DADOS_INVOC!$MS$4),"",DADOS_INVOC!$MS$4&amp;"")</f>
        <v/>
      </c>
      <c r="C1228" s="198" t="inlineStr">
        <is>
          <t>DADOS_INVOC!MS4</t>
        </is>
      </c>
      <c r="D1228" s="198" t="inlineStr">
        <is>
          <t>entrada</t>
        </is>
      </c>
    </row>
    <row r="1229">
      <c r="A1229" s="198" t="inlineStr">
        <is>
          <t>invocacao.1.esp.2.nome</t>
        </is>
      </c>
      <c r="B1229" s="198">
        <f>IF(ISBLANK(DADOS_INVOC!$MT$4),"",DADOS_INVOC!$MT$4&amp;"")</f>
        <v/>
      </c>
      <c r="C1229" s="198" t="inlineStr">
        <is>
          <t>DADOS_INVOC!MT4</t>
        </is>
      </c>
      <c r="D1229" s="198" t="inlineStr">
        <is>
          <t>entrada</t>
        </is>
      </c>
    </row>
    <row r="1230">
      <c r="A1230" s="198" t="inlineStr">
        <is>
          <t>invocacao.1.esp.2.forma</t>
        </is>
      </c>
      <c r="B1230" s="198">
        <f>IF(ISBLANK(DADOS_INVOC!$MU$4),"",DADOS_INVOC!$MU$4&amp;"")</f>
        <v/>
      </c>
      <c r="C1230" s="198" t="inlineStr">
        <is>
          <t>DADOS_INVOC!MU4</t>
        </is>
      </c>
      <c r="D1230" s="198" t="inlineStr">
        <is>
          <t>entrada</t>
        </is>
      </c>
    </row>
    <row r="1231">
      <c r="A1231" s="198" t="inlineStr">
        <is>
          <t>invocacao.1.esp.2.pecas</t>
        </is>
      </c>
      <c r="B1231" s="198">
        <f>TEXTJOIN(" · ",TRUE,DADOS_INVOC!$MX$4,DADOS_INVOC!$MY$4,DADOS_INVOC!$MZ$4,DADOS_INVOC!$NA$4)</f>
        <v/>
      </c>
      <c r="C1231" s="198" t="inlineStr">
        <is>
          <t>DADOS_INVOC!MX4 DADOS_INVOC!MY4 DADOS_INVOC!MZ4 DADOS_INVOC!NA4</t>
        </is>
      </c>
      <c r="D1231" s="198" t="inlineStr">
        <is>
          <t>entrada</t>
        </is>
      </c>
    </row>
    <row r="1232">
      <c r="A1232" s="198" t="inlineStr">
        <is>
          <t>invocacao.1.esp.2.restricoes</t>
        </is>
      </c>
      <c r="B1232" s="198">
        <f>TEXTJOIN(" · ",TRUE,DADOS_INVOC!$NB$4,DADOS_INVOC!$NC$4)</f>
        <v/>
      </c>
      <c r="C1232" s="198" t="inlineStr">
        <is>
          <t>DADOS_INVOC!NB4 DADOS_INVOC!NC4</t>
        </is>
      </c>
      <c r="D1232" s="198" t="inlineStr">
        <is>
          <t>entrada</t>
        </is>
      </c>
    </row>
    <row r="1233">
      <c r="A1233" s="198" t="inlineStr">
        <is>
          <t>invocacao.1.esp.2.pe</t>
        </is>
      </c>
      <c r="B1233" s="198">
        <f>IF(ISBLANK(DADOS_INVOC!$QA$4),"",DADOS_INVOC!$QA$4&amp;"")</f>
        <v/>
      </c>
      <c r="C1233" s="198" t="inlineStr">
        <is>
          <t>DADOS_INVOC!QA4</t>
        </is>
      </c>
      <c r="D1233" s="198" t="inlineStr">
        <is>
          <t>resultado</t>
        </is>
      </c>
    </row>
    <row r="1234">
      <c r="A1234" s="198" t="inlineStr">
        <is>
          <t>invocacao.1.esp.2.dano</t>
        </is>
      </c>
      <c r="B1234" s="198">
        <f>IF(ISBLANK(DADOS_INVOC!$QE$4),"",DADOS_INVOC!$QE$4&amp;"")</f>
        <v/>
      </c>
      <c r="C1234" s="198" t="inlineStr">
        <is>
          <t>DADOS_INVOC!QE4</t>
        </is>
      </c>
      <c r="D1234" s="198" t="inlineStr">
        <is>
          <t>resultado</t>
        </is>
      </c>
    </row>
    <row r="1235">
      <c r="A1235" s="198" t="inlineStr">
        <is>
          <t>invocacao.1.esp.2.erros</t>
        </is>
      </c>
      <c r="B1235" s="198">
        <f>IF(ISBLANK(DADOS_INVOC!$PT$4),"",DADOS_INVOC!$PT$4&amp;"")</f>
        <v/>
      </c>
      <c r="C1235" s="198" t="inlineStr">
        <is>
          <t>DADOS_INVOC!PT4</t>
        </is>
      </c>
      <c r="D1235" s="198" t="inlineStr">
        <is>
          <t>aviso</t>
        </is>
      </c>
    </row>
    <row r="1236">
      <c r="A1236" s="198" t="inlineStr">
        <is>
          <t>invocacao.1.esp.2.avisos</t>
        </is>
      </c>
      <c r="B1236" s="198">
        <f>IF(ISBLANK(DADOS_INVOC!$PV$4),"",DADOS_INVOC!$PV$4&amp;"")</f>
        <v/>
      </c>
      <c r="C1236" s="198" t="inlineStr">
        <is>
          <t>DADOS_INVOC!PV4</t>
        </is>
      </c>
      <c r="D1236" s="198" t="inlineStr">
        <is>
          <t>aviso</t>
        </is>
      </c>
    </row>
    <row r="1237">
      <c r="A1237" s="198" t="inlineStr">
        <is>
          <t>invocacao.1.bas.2.classe</t>
        </is>
      </c>
      <c r="B1237" s="198">
        <f>IF(ISBLANK(DADOS_INVOC!$MS$5),"",DADOS_INVOC!$MS$5&amp;"")</f>
        <v/>
      </c>
      <c r="C1237" s="198" t="inlineStr">
        <is>
          <t>DADOS_INVOC!MS5</t>
        </is>
      </c>
      <c r="D1237" s="198" t="inlineStr">
        <is>
          <t>entrada</t>
        </is>
      </c>
    </row>
    <row r="1238">
      <c r="A1238" s="198" t="inlineStr">
        <is>
          <t>invocacao.1.bas.2.nome</t>
        </is>
      </c>
      <c r="B1238" s="198">
        <f>IF(ISBLANK(DADOS_INVOC!$MT$5),"",DADOS_INVOC!$MT$5&amp;"")</f>
        <v/>
      </c>
      <c r="C1238" s="198" t="inlineStr">
        <is>
          <t>DADOS_INVOC!MT5</t>
        </is>
      </c>
      <c r="D1238" s="198" t="inlineStr">
        <is>
          <t>entrada</t>
        </is>
      </c>
    </row>
    <row r="1239">
      <c r="A1239" s="198" t="inlineStr">
        <is>
          <t>invocacao.1.bas.2.forma</t>
        </is>
      </c>
      <c r="B1239" s="198">
        <f>IF(ISBLANK(DADOS_INVOC!$MU$5),"",DADOS_INVOC!$MU$5&amp;"")</f>
        <v/>
      </c>
      <c r="C1239" s="198" t="inlineStr">
        <is>
          <t>DADOS_INVOC!MU5</t>
        </is>
      </c>
      <c r="D1239" s="198" t="inlineStr">
        <is>
          <t>entrada</t>
        </is>
      </c>
    </row>
    <row r="1240">
      <c r="A1240" s="198" t="inlineStr">
        <is>
          <t>invocacao.1.bas.2.pecas</t>
        </is>
      </c>
      <c r="B1240" s="198">
        <f>TEXTJOIN(" · ",TRUE,DADOS_INVOC!$MX$5,DADOS_INVOC!$MY$5,DADOS_INVOC!$MZ$5,DADOS_INVOC!$NA$5)</f>
        <v/>
      </c>
      <c r="C1240" s="198" t="inlineStr">
        <is>
          <t>DADOS_INVOC!MX5 DADOS_INVOC!MY5 DADOS_INVOC!MZ5 DADOS_INVOC!NA5</t>
        </is>
      </c>
      <c r="D1240" s="198" t="inlineStr">
        <is>
          <t>entrada</t>
        </is>
      </c>
    </row>
    <row r="1241">
      <c r="A1241" s="198" t="inlineStr">
        <is>
          <t>invocacao.1.bas.2.restricoes</t>
        </is>
      </c>
      <c r="B1241" s="198">
        <f>TEXTJOIN(" · ",TRUE,DADOS_INVOC!$NB$5,DADOS_INVOC!$NC$5)</f>
        <v/>
      </c>
      <c r="C1241" s="198" t="inlineStr">
        <is>
          <t>DADOS_INVOC!NB5 DADOS_INVOC!NC5</t>
        </is>
      </c>
      <c r="D1241" s="198" t="inlineStr">
        <is>
          <t>entrada</t>
        </is>
      </c>
    </row>
    <row r="1242">
      <c r="A1242" s="198" t="inlineStr">
        <is>
          <t>invocacao.1.bas.2.pe</t>
        </is>
      </c>
      <c r="B1242" s="198">
        <f>IF(ISBLANK(DADOS_INVOC!$QA$5),"",DADOS_INVOC!$QA$5&amp;"")</f>
        <v/>
      </c>
      <c r="C1242" s="198" t="inlineStr">
        <is>
          <t>DADOS_INVOC!QA5</t>
        </is>
      </c>
      <c r="D1242" s="198" t="inlineStr">
        <is>
          <t>resultado</t>
        </is>
      </c>
    </row>
    <row r="1243">
      <c r="A1243" s="198" t="inlineStr">
        <is>
          <t>invocacao.1.bas.2.dano</t>
        </is>
      </c>
      <c r="B1243" s="198">
        <f>IF(ISBLANK(DADOS_INVOC!$QE$5),"",DADOS_INVOC!$QE$5&amp;"")</f>
        <v/>
      </c>
      <c r="C1243" s="198" t="inlineStr">
        <is>
          <t>DADOS_INVOC!QE5</t>
        </is>
      </c>
      <c r="D1243" s="198" t="inlineStr">
        <is>
          <t>resultado</t>
        </is>
      </c>
    </row>
    <row r="1244">
      <c r="A1244" s="198" t="inlineStr">
        <is>
          <t>invocacao.1.bas.2.erros</t>
        </is>
      </c>
      <c r="B1244" s="198">
        <f>IF(ISBLANK(DADOS_INVOC!$PT$5),"",DADOS_INVOC!$PT$5&amp;"")</f>
        <v/>
      </c>
      <c r="C1244" s="198" t="inlineStr">
        <is>
          <t>DADOS_INVOC!PT5</t>
        </is>
      </c>
      <c r="D1244" s="198" t="inlineStr">
        <is>
          <t>aviso</t>
        </is>
      </c>
    </row>
    <row r="1245">
      <c r="A1245" s="198" t="inlineStr">
        <is>
          <t>invocacao.1.bas.2.avisos</t>
        </is>
      </c>
      <c r="B1245" s="198">
        <f>IF(ISBLANK(DADOS_INVOC!$PV$5),"",DADOS_INVOC!$PV$5&amp;"")</f>
        <v/>
      </c>
      <c r="C1245" s="198" t="inlineStr">
        <is>
          <t>DADOS_INVOC!PV5</t>
        </is>
      </c>
      <c r="D1245" s="198" t="inlineStr">
        <is>
          <t>aviso</t>
        </is>
      </c>
    </row>
    <row r="1246">
      <c r="A1246" s="198" t="inlineStr">
        <is>
          <t>invocacao.1.esp.3.classe</t>
        </is>
      </c>
      <c r="B1246" s="198">
        <f>IF(ISBLANK(DADOS_INVOC!$MS$6),"",DADOS_INVOC!$MS$6&amp;"")</f>
        <v/>
      </c>
      <c r="C1246" s="198" t="inlineStr">
        <is>
          <t>DADOS_INVOC!MS6</t>
        </is>
      </c>
      <c r="D1246" s="198" t="inlineStr">
        <is>
          <t>entrada</t>
        </is>
      </c>
    </row>
    <row r="1247">
      <c r="A1247" s="198" t="inlineStr">
        <is>
          <t>invocacao.1.esp.3.nome</t>
        </is>
      </c>
      <c r="B1247" s="198">
        <f>IF(ISBLANK(DADOS_INVOC!$MT$6),"",DADOS_INVOC!$MT$6&amp;"")</f>
        <v/>
      </c>
      <c r="C1247" s="198" t="inlineStr">
        <is>
          <t>DADOS_INVOC!MT6</t>
        </is>
      </c>
      <c r="D1247" s="198" t="inlineStr">
        <is>
          <t>entrada</t>
        </is>
      </c>
    </row>
    <row r="1248">
      <c r="A1248" s="198" t="inlineStr">
        <is>
          <t>invocacao.1.esp.3.forma</t>
        </is>
      </c>
      <c r="B1248" s="198">
        <f>IF(ISBLANK(DADOS_INVOC!$MU$6),"",DADOS_INVOC!$MU$6&amp;"")</f>
        <v/>
      </c>
      <c r="C1248" s="198" t="inlineStr">
        <is>
          <t>DADOS_INVOC!MU6</t>
        </is>
      </c>
      <c r="D1248" s="198" t="inlineStr">
        <is>
          <t>entrada</t>
        </is>
      </c>
    </row>
    <row r="1249">
      <c r="A1249" s="198" t="inlineStr">
        <is>
          <t>invocacao.1.esp.3.pecas</t>
        </is>
      </c>
      <c r="B1249" s="198">
        <f>TEXTJOIN(" · ",TRUE,DADOS_INVOC!$MX$6,DADOS_INVOC!$MY$6,DADOS_INVOC!$MZ$6,DADOS_INVOC!$NA$6)</f>
        <v/>
      </c>
      <c r="C1249" s="198" t="inlineStr">
        <is>
          <t>DADOS_INVOC!MX6 DADOS_INVOC!MY6 DADOS_INVOC!MZ6 DADOS_INVOC!NA6</t>
        </is>
      </c>
      <c r="D1249" s="198" t="inlineStr">
        <is>
          <t>entrada</t>
        </is>
      </c>
    </row>
    <row r="1250">
      <c r="A1250" s="198" t="inlineStr">
        <is>
          <t>invocacao.1.esp.3.restricoes</t>
        </is>
      </c>
      <c r="B1250" s="198">
        <f>TEXTJOIN(" · ",TRUE,DADOS_INVOC!$NB$6,DADOS_INVOC!$NC$6)</f>
        <v/>
      </c>
      <c r="C1250" s="198" t="inlineStr">
        <is>
          <t>DADOS_INVOC!NB6 DADOS_INVOC!NC6</t>
        </is>
      </c>
      <c r="D1250" s="198" t="inlineStr">
        <is>
          <t>entrada</t>
        </is>
      </c>
    </row>
    <row r="1251">
      <c r="A1251" s="198" t="inlineStr">
        <is>
          <t>invocacao.1.esp.3.pe</t>
        </is>
      </c>
      <c r="B1251" s="198">
        <f>IF(ISBLANK(DADOS_INVOC!$QA$6),"",DADOS_INVOC!$QA$6&amp;"")</f>
        <v/>
      </c>
      <c r="C1251" s="198" t="inlineStr">
        <is>
          <t>DADOS_INVOC!QA6</t>
        </is>
      </c>
      <c r="D1251" s="198" t="inlineStr">
        <is>
          <t>resultado</t>
        </is>
      </c>
    </row>
    <row r="1252">
      <c r="A1252" s="198" t="inlineStr">
        <is>
          <t>invocacao.1.esp.3.dano</t>
        </is>
      </c>
      <c r="B1252" s="198">
        <f>IF(ISBLANK(DADOS_INVOC!$QE$6),"",DADOS_INVOC!$QE$6&amp;"")</f>
        <v/>
      </c>
      <c r="C1252" s="198" t="inlineStr">
        <is>
          <t>DADOS_INVOC!QE6</t>
        </is>
      </c>
      <c r="D1252" s="198" t="inlineStr">
        <is>
          <t>resultado</t>
        </is>
      </c>
    </row>
    <row r="1253">
      <c r="A1253" s="198" t="inlineStr">
        <is>
          <t>invocacao.1.esp.3.erros</t>
        </is>
      </c>
      <c r="B1253" s="198">
        <f>IF(ISBLANK(DADOS_INVOC!$PT$6),"",DADOS_INVOC!$PT$6&amp;"")</f>
        <v/>
      </c>
      <c r="C1253" s="198" t="inlineStr">
        <is>
          <t>DADOS_INVOC!PT6</t>
        </is>
      </c>
      <c r="D1253" s="198" t="inlineStr">
        <is>
          <t>aviso</t>
        </is>
      </c>
    </row>
    <row r="1254">
      <c r="A1254" s="198" t="inlineStr">
        <is>
          <t>invocacao.1.esp.3.avisos</t>
        </is>
      </c>
      <c r="B1254" s="198">
        <f>IF(ISBLANK(DADOS_INVOC!$PV$6),"",DADOS_INVOC!$PV$6&amp;"")</f>
        <v/>
      </c>
      <c r="C1254" s="198" t="inlineStr">
        <is>
          <t>DADOS_INVOC!PV6</t>
        </is>
      </c>
      <c r="D1254" s="198" t="inlineStr">
        <is>
          <t>aviso</t>
        </is>
      </c>
    </row>
    <row r="1255">
      <c r="A1255" s="198" t="inlineStr">
        <is>
          <t>invocacao.1.esp.4.classe</t>
        </is>
      </c>
      <c r="B1255" s="198">
        <f>IF(ISBLANK(DADOS_INVOC!$MS$7),"",DADOS_INVOC!$MS$7&amp;"")</f>
        <v/>
      </c>
      <c r="C1255" s="198" t="inlineStr">
        <is>
          <t>DADOS_INVOC!MS7</t>
        </is>
      </c>
      <c r="D1255" s="198" t="inlineStr">
        <is>
          <t>entrada</t>
        </is>
      </c>
    </row>
    <row r="1256">
      <c r="A1256" s="198" t="inlineStr">
        <is>
          <t>invocacao.1.esp.4.nome</t>
        </is>
      </c>
      <c r="B1256" s="198">
        <f>IF(ISBLANK(DADOS_INVOC!$MT$7),"",DADOS_INVOC!$MT$7&amp;"")</f>
        <v/>
      </c>
      <c r="C1256" s="198" t="inlineStr">
        <is>
          <t>DADOS_INVOC!MT7</t>
        </is>
      </c>
      <c r="D1256" s="198" t="inlineStr">
        <is>
          <t>entrada</t>
        </is>
      </c>
    </row>
    <row r="1257">
      <c r="A1257" s="198" t="inlineStr">
        <is>
          <t>invocacao.1.esp.4.forma</t>
        </is>
      </c>
      <c r="B1257" s="198">
        <f>IF(ISBLANK(DADOS_INVOC!$MU$7),"",DADOS_INVOC!$MU$7&amp;"")</f>
        <v/>
      </c>
      <c r="C1257" s="198" t="inlineStr">
        <is>
          <t>DADOS_INVOC!MU7</t>
        </is>
      </c>
      <c r="D1257" s="198" t="inlineStr">
        <is>
          <t>entrada</t>
        </is>
      </c>
    </row>
    <row r="1258">
      <c r="A1258" s="198" t="inlineStr">
        <is>
          <t>invocacao.1.esp.4.pecas</t>
        </is>
      </c>
      <c r="B1258" s="198">
        <f>TEXTJOIN(" · ",TRUE,DADOS_INVOC!$MX$7,DADOS_INVOC!$MY$7,DADOS_INVOC!$MZ$7,DADOS_INVOC!$NA$7)</f>
        <v/>
      </c>
      <c r="C1258" s="198" t="inlineStr">
        <is>
          <t>DADOS_INVOC!MX7 DADOS_INVOC!MY7 DADOS_INVOC!MZ7 DADOS_INVOC!NA7</t>
        </is>
      </c>
      <c r="D1258" s="198" t="inlineStr">
        <is>
          <t>entrada</t>
        </is>
      </c>
    </row>
    <row r="1259">
      <c r="A1259" s="198" t="inlineStr">
        <is>
          <t>invocacao.1.esp.4.restricoes</t>
        </is>
      </c>
      <c r="B1259" s="198">
        <f>TEXTJOIN(" · ",TRUE,DADOS_INVOC!$NB$7,DADOS_INVOC!$NC$7)</f>
        <v/>
      </c>
      <c r="C1259" s="198" t="inlineStr">
        <is>
          <t>DADOS_INVOC!NB7 DADOS_INVOC!NC7</t>
        </is>
      </c>
      <c r="D1259" s="198" t="inlineStr">
        <is>
          <t>entrada</t>
        </is>
      </c>
    </row>
    <row r="1260">
      <c r="A1260" s="198" t="inlineStr">
        <is>
          <t>invocacao.1.esp.4.pe</t>
        </is>
      </c>
      <c r="B1260" s="198">
        <f>IF(ISBLANK(DADOS_INVOC!$QA$7),"",DADOS_INVOC!$QA$7&amp;"")</f>
        <v/>
      </c>
      <c r="C1260" s="198" t="inlineStr">
        <is>
          <t>DADOS_INVOC!QA7</t>
        </is>
      </c>
      <c r="D1260" s="198" t="inlineStr">
        <is>
          <t>resultado</t>
        </is>
      </c>
    </row>
    <row r="1261">
      <c r="A1261" s="198" t="inlineStr">
        <is>
          <t>invocacao.1.esp.4.dano</t>
        </is>
      </c>
      <c r="B1261" s="198">
        <f>IF(ISBLANK(DADOS_INVOC!$QE$7),"",DADOS_INVOC!$QE$7&amp;"")</f>
        <v/>
      </c>
      <c r="C1261" s="198" t="inlineStr">
        <is>
          <t>DADOS_INVOC!QE7</t>
        </is>
      </c>
      <c r="D1261" s="198" t="inlineStr">
        <is>
          <t>resultado</t>
        </is>
      </c>
    </row>
    <row r="1262">
      <c r="A1262" s="198" t="inlineStr">
        <is>
          <t>invocacao.1.esp.4.erros</t>
        </is>
      </c>
      <c r="B1262" s="198">
        <f>IF(ISBLANK(DADOS_INVOC!$PT$7),"",DADOS_INVOC!$PT$7&amp;"")</f>
        <v/>
      </c>
      <c r="C1262" s="198" t="inlineStr">
        <is>
          <t>DADOS_INVOC!PT7</t>
        </is>
      </c>
      <c r="D1262" s="198" t="inlineStr">
        <is>
          <t>aviso</t>
        </is>
      </c>
    </row>
    <row r="1263">
      <c r="A1263" s="198" t="inlineStr">
        <is>
          <t>invocacao.1.esp.4.avisos</t>
        </is>
      </c>
      <c r="B1263" s="198">
        <f>IF(ISBLANK(DADOS_INVOC!$PV$7),"",DADOS_INVOC!$PV$7&amp;"")</f>
        <v/>
      </c>
      <c r="C1263" s="198" t="inlineStr">
        <is>
          <t>DADOS_INVOC!PV7</t>
        </is>
      </c>
      <c r="D1263" s="198" t="inlineStr">
        <is>
          <t>aviso</t>
        </is>
      </c>
    </row>
    <row r="1264">
      <c r="A1264" s="198" t="inlineStr">
        <is>
          <t>invocacao.1.esp.5.classe</t>
        </is>
      </c>
      <c r="B1264" s="198">
        <f>IF(ISBLANK(DADOS_INVOC!$MS$8),"",DADOS_INVOC!$MS$8&amp;"")</f>
        <v/>
      </c>
      <c r="C1264" s="198" t="inlineStr">
        <is>
          <t>DADOS_INVOC!MS8</t>
        </is>
      </c>
      <c r="D1264" s="198" t="inlineStr">
        <is>
          <t>entrada</t>
        </is>
      </c>
    </row>
    <row r="1265">
      <c r="A1265" s="198" t="inlineStr">
        <is>
          <t>invocacao.1.esp.5.nome</t>
        </is>
      </c>
      <c r="B1265" s="198">
        <f>IF(ISBLANK(DADOS_INVOC!$MT$8),"",DADOS_INVOC!$MT$8&amp;"")</f>
        <v/>
      </c>
      <c r="C1265" s="198" t="inlineStr">
        <is>
          <t>DADOS_INVOC!MT8</t>
        </is>
      </c>
      <c r="D1265" s="198" t="inlineStr">
        <is>
          <t>entrada</t>
        </is>
      </c>
    </row>
    <row r="1266">
      <c r="A1266" s="198" t="inlineStr">
        <is>
          <t>invocacao.1.esp.5.forma</t>
        </is>
      </c>
      <c r="B1266" s="198">
        <f>IF(ISBLANK(DADOS_INVOC!$MU$8),"",DADOS_INVOC!$MU$8&amp;"")</f>
        <v/>
      </c>
      <c r="C1266" s="198" t="inlineStr">
        <is>
          <t>DADOS_INVOC!MU8</t>
        </is>
      </c>
      <c r="D1266" s="198" t="inlineStr">
        <is>
          <t>entrada</t>
        </is>
      </c>
    </row>
    <row r="1267">
      <c r="A1267" s="198" t="inlineStr">
        <is>
          <t>invocacao.1.esp.5.pecas</t>
        </is>
      </c>
      <c r="B1267" s="198">
        <f>TEXTJOIN(" · ",TRUE,DADOS_INVOC!$MX$8,DADOS_INVOC!$MY$8,DADOS_INVOC!$MZ$8,DADOS_INVOC!$NA$8)</f>
        <v/>
      </c>
      <c r="C1267" s="198" t="inlineStr">
        <is>
          <t>DADOS_INVOC!MX8 DADOS_INVOC!MY8 DADOS_INVOC!MZ8 DADOS_INVOC!NA8</t>
        </is>
      </c>
      <c r="D1267" s="198" t="inlineStr">
        <is>
          <t>entrada</t>
        </is>
      </c>
    </row>
    <row r="1268">
      <c r="A1268" s="198" t="inlineStr">
        <is>
          <t>invocacao.1.esp.5.restricoes</t>
        </is>
      </c>
      <c r="B1268" s="198">
        <f>TEXTJOIN(" · ",TRUE,DADOS_INVOC!$NB$8,DADOS_INVOC!$NC$8)</f>
        <v/>
      </c>
      <c r="C1268" s="198" t="inlineStr">
        <is>
          <t>DADOS_INVOC!NB8 DADOS_INVOC!NC8</t>
        </is>
      </c>
      <c r="D1268" s="198" t="inlineStr">
        <is>
          <t>entrada</t>
        </is>
      </c>
    </row>
    <row r="1269">
      <c r="A1269" s="198" t="inlineStr">
        <is>
          <t>invocacao.1.esp.5.pe</t>
        </is>
      </c>
      <c r="B1269" s="198">
        <f>IF(ISBLANK(DADOS_INVOC!$QA$8),"",DADOS_INVOC!$QA$8&amp;"")</f>
        <v/>
      </c>
      <c r="C1269" s="198" t="inlineStr">
        <is>
          <t>DADOS_INVOC!QA8</t>
        </is>
      </c>
      <c r="D1269" s="198" t="inlineStr">
        <is>
          <t>resultado</t>
        </is>
      </c>
    </row>
    <row r="1270">
      <c r="A1270" s="198" t="inlineStr">
        <is>
          <t>invocacao.1.esp.5.dano</t>
        </is>
      </c>
      <c r="B1270" s="198">
        <f>IF(ISBLANK(DADOS_INVOC!$QE$8),"",DADOS_INVOC!$QE$8&amp;"")</f>
        <v/>
      </c>
      <c r="C1270" s="198" t="inlineStr">
        <is>
          <t>DADOS_INVOC!QE8</t>
        </is>
      </c>
      <c r="D1270" s="198" t="inlineStr">
        <is>
          <t>resultado</t>
        </is>
      </c>
    </row>
    <row r="1271">
      <c r="A1271" s="198" t="inlineStr">
        <is>
          <t>invocacao.1.esp.5.erros</t>
        </is>
      </c>
      <c r="B1271" s="198">
        <f>IF(ISBLANK(DADOS_INVOC!$PT$8),"",DADOS_INVOC!$PT$8&amp;"")</f>
        <v/>
      </c>
      <c r="C1271" s="198" t="inlineStr">
        <is>
          <t>DADOS_INVOC!PT8</t>
        </is>
      </c>
      <c r="D1271" s="198" t="inlineStr">
        <is>
          <t>aviso</t>
        </is>
      </c>
    </row>
    <row r="1272">
      <c r="A1272" s="198" t="inlineStr">
        <is>
          <t>invocacao.1.esp.5.avisos</t>
        </is>
      </c>
      <c r="B1272" s="198">
        <f>IF(ISBLANK(DADOS_INVOC!$PV$8),"",DADOS_INVOC!$PV$8&amp;"")</f>
        <v/>
      </c>
      <c r="C1272" s="198" t="inlineStr">
        <is>
          <t>DADOS_INVOC!PV8</t>
        </is>
      </c>
      <c r="D1272" s="198" t="inlineStr">
        <is>
          <t>aviso</t>
        </is>
      </c>
    </row>
    <row r="1273">
      <c r="A1273" s="198" t="inlineStr">
        <is>
          <t>invocacao.1.esp.6.classe</t>
        </is>
      </c>
      <c r="B1273" s="198">
        <f>IF(ISBLANK(DADOS_INVOC!$MS$9),"",DADOS_INVOC!$MS$9&amp;"")</f>
        <v/>
      </c>
      <c r="C1273" s="198" t="inlineStr">
        <is>
          <t>DADOS_INVOC!MS9</t>
        </is>
      </c>
      <c r="D1273" s="198" t="inlineStr">
        <is>
          <t>entrada</t>
        </is>
      </c>
    </row>
    <row r="1274">
      <c r="A1274" s="198" t="inlineStr">
        <is>
          <t>invocacao.1.esp.6.nome</t>
        </is>
      </c>
      <c r="B1274" s="198">
        <f>IF(ISBLANK(DADOS_INVOC!$MT$9),"",DADOS_INVOC!$MT$9&amp;"")</f>
        <v/>
      </c>
      <c r="C1274" s="198" t="inlineStr">
        <is>
          <t>DADOS_INVOC!MT9</t>
        </is>
      </c>
      <c r="D1274" s="198" t="inlineStr">
        <is>
          <t>entrada</t>
        </is>
      </c>
    </row>
    <row r="1275">
      <c r="A1275" s="198" t="inlineStr">
        <is>
          <t>invocacao.1.esp.6.forma</t>
        </is>
      </c>
      <c r="B1275" s="198">
        <f>IF(ISBLANK(DADOS_INVOC!$MU$9),"",DADOS_INVOC!$MU$9&amp;"")</f>
        <v/>
      </c>
      <c r="C1275" s="198" t="inlineStr">
        <is>
          <t>DADOS_INVOC!MU9</t>
        </is>
      </c>
      <c r="D1275" s="198" t="inlineStr">
        <is>
          <t>entrada</t>
        </is>
      </c>
    </row>
    <row r="1276">
      <c r="A1276" s="198" t="inlineStr">
        <is>
          <t>invocacao.1.esp.6.pecas</t>
        </is>
      </c>
      <c r="B1276" s="198">
        <f>TEXTJOIN(" · ",TRUE,DADOS_INVOC!$MX$9,DADOS_INVOC!$MY$9,DADOS_INVOC!$MZ$9,DADOS_INVOC!$NA$9)</f>
        <v/>
      </c>
      <c r="C1276" s="198" t="inlineStr">
        <is>
          <t>DADOS_INVOC!MX9 DADOS_INVOC!MY9 DADOS_INVOC!MZ9 DADOS_INVOC!NA9</t>
        </is>
      </c>
      <c r="D1276" s="198" t="inlineStr">
        <is>
          <t>entrada</t>
        </is>
      </c>
    </row>
    <row r="1277">
      <c r="A1277" s="198" t="inlineStr">
        <is>
          <t>invocacao.1.esp.6.restricoes</t>
        </is>
      </c>
      <c r="B1277" s="198">
        <f>TEXTJOIN(" · ",TRUE,DADOS_INVOC!$NB$9,DADOS_INVOC!$NC$9)</f>
        <v/>
      </c>
      <c r="C1277" s="198" t="inlineStr">
        <is>
          <t>DADOS_INVOC!NB9 DADOS_INVOC!NC9</t>
        </is>
      </c>
      <c r="D1277" s="198" t="inlineStr">
        <is>
          <t>entrada</t>
        </is>
      </c>
    </row>
    <row r="1278">
      <c r="A1278" s="198" t="inlineStr">
        <is>
          <t>invocacao.1.esp.6.pe</t>
        </is>
      </c>
      <c r="B1278" s="198">
        <f>IF(ISBLANK(DADOS_INVOC!$QA$9),"",DADOS_INVOC!$QA$9&amp;"")</f>
        <v/>
      </c>
      <c r="C1278" s="198" t="inlineStr">
        <is>
          <t>DADOS_INVOC!QA9</t>
        </is>
      </c>
      <c r="D1278" s="198" t="inlineStr">
        <is>
          <t>resultado</t>
        </is>
      </c>
    </row>
    <row r="1279">
      <c r="A1279" s="198" t="inlineStr">
        <is>
          <t>invocacao.1.esp.6.dano</t>
        </is>
      </c>
      <c r="B1279" s="198">
        <f>IF(ISBLANK(DADOS_INVOC!$QE$9),"",DADOS_INVOC!$QE$9&amp;"")</f>
        <v/>
      </c>
      <c r="C1279" s="198" t="inlineStr">
        <is>
          <t>DADOS_INVOC!QE9</t>
        </is>
      </c>
      <c r="D1279" s="198" t="inlineStr">
        <is>
          <t>resultado</t>
        </is>
      </c>
    </row>
    <row r="1280">
      <c r="A1280" s="198" t="inlineStr">
        <is>
          <t>invocacao.1.esp.6.erros</t>
        </is>
      </c>
      <c r="B1280" s="198">
        <f>IF(ISBLANK(DADOS_INVOC!$PT$9),"",DADOS_INVOC!$PT$9&amp;"")</f>
        <v/>
      </c>
      <c r="C1280" s="198" t="inlineStr">
        <is>
          <t>DADOS_INVOC!PT9</t>
        </is>
      </c>
      <c r="D1280" s="198" t="inlineStr">
        <is>
          <t>aviso</t>
        </is>
      </c>
    </row>
    <row r="1281">
      <c r="A1281" s="198" t="inlineStr">
        <is>
          <t>invocacao.1.esp.6.avisos</t>
        </is>
      </c>
      <c r="B1281" s="198">
        <f>IF(ISBLANK(DADOS_INVOC!$PV$9),"",DADOS_INVOC!$PV$9&amp;"")</f>
        <v/>
      </c>
      <c r="C1281" s="198" t="inlineStr">
        <is>
          <t>DADOS_INVOC!PV9</t>
        </is>
      </c>
      <c r="D1281" s="198" t="inlineStr">
        <is>
          <t>aviso</t>
        </is>
      </c>
    </row>
    <row r="1282">
      <c r="A1282" s="198" t="inlineStr">
        <is>
          <t>invocacao.1.esp.7.classe</t>
        </is>
      </c>
      <c r="B1282" s="198">
        <f>IF(ISBLANK(DADOS_INVOC!$MS$10),"",DADOS_INVOC!$MS$10&amp;"")</f>
        <v/>
      </c>
      <c r="C1282" s="198" t="inlineStr">
        <is>
          <t>DADOS_INVOC!MS10</t>
        </is>
      </c>
      <c r="D1282" s="198" t="inlineStr">
        <is>
          <t>entrada</t>
        </is>
      </c>
    </row>
    <row r="1283">
      <c r="A1283" s="198" t="inlineStr">
        <is>
          <t>invocacao.1.esp.7.nome</t>
        </is>
      </c>
      <c r="B1283" s="198">
        <f>IF(ISBLANK(DADOS_INVOC!$MT$10),"",DADOS_INVOC!$MT$10&amp;"")</f>
        <v/>
      </c>
      <c r="C1283" s="198" t="inlineStr">
        <is>
          <t>DADOS_INVOC!MT10</t>
        </is>
      </c>
      <c r="D1283" s="198" t="inlineStr">
        <is>
          <t>entrada</t>
        </is>
      </c>
    </row>
    <row r="1284">
      <c r="A1284" s="198" t="inlineStr">
        <is>
          <t>invocacao.1.esp.7.forma</t>
        </is>
      </c>
      <c r="B1284" s="198">
        <f>IF(ISBLANK(DADOS_INVOC!$MU$10),"",DADOS_INVOC!$MU$10&amp;"")</f>
        <v/>
      </c>
      <c r="C1284" s="198" t="inlineStr">
        <is>
          <t>DADOS_INVOC!MU10</t>
        </is>
      </c>
      <c r="D1284" s="198" t="inlineStr">
        <is>
          <t>entrada</t>
        </is>
      </c>
    </row>
    <row r="1285">
      <c r="A1285" s="198" t="inlineStr">
        <is>
          <t>invocacao.1.esp.7.pecas</t>
        </is>
      </c>
      <c r="B1285" s="198">
        <f>TEXTJOIN(" · ",TRUE,DADOS_INVOC!$MX$10,DADOS_INVOC!$MY$10,DADOS_INVOC!$MZ$10,DADOS_INVOC!$NA$10)</f>
        <v/>
      </c>
      <c r="C1285" s="198" t="inlineStr">
        <is>
          <t>DADOS_INVOC!MX10 DADOS_INVOC!MY10 DADOS_INVOC!MZ10 DADOS_INVOC!NA10</t>
        </is>
      </c>
      <c r="D1285" s="198" t="inlineStr">
        <is>
          <t>entrada</t>
        </is>
      </c>
    </row>
    <row r="1286">
      <c r="A1286" s="198" t="inlineStr">
        <is>
          <t>invocacao.1.esp.7.restricoes</t>
        </is>
      </c>
      <c r="B1286" s="198">
        <f>TEXTJOIN(" · ",TRUE,DADOS_INVOC!$NB$10,DADOS_INVOC!$NC$10)</f>
        <v/>
      </c>
      <c r="C1286" s="198" t="inlineStr">
        <is>
          <t>DADOS_INVOC!NB10 DADOS_INVOC!NC10</t>
        </is>
      </c>
      <c r="D1286" s="198" t="inlineStr">
        <is>
          <t>entrada</t>
        </is>
      </c>
    </row>
    <row r="1287">
      <c r="A1287" s="198" t="inlineStr">
        <is>
          <t>invocacao.1.esp.7.pe</t>
        </is>
      </c>
      <c r="B1287" s="198">
        <f>IF(ISBLANK(DADOS_INVOC!$QA$10),"",DADOS_INVOC!$QA$10&amp;"")</f>
        <v/>
      </c>
      <c r="C1287" s="198" t="inlineStr">
        <is>
          <t>DADOS_INVOC!QA10</t>
        </is>
      </c>
      <c r="D1287" s="198" t="inlineStr">
        <is>
          <t>resultado</t>
        </is>
      </c>
    </row>
    <row r="1288">
      <c r="A1288" s="198" t="inlineStr">
        <is>
          <t>invocacao.1.esp.7.dano</t>
        </is>
      </c>
      <c r="B1288" s="198">
        <f>IF(ISBLANK(DADOS_INVOC!$QE$10),"",DADOS_INVOC!$QE$10&amp;"")</f>
        <v/>
      </c>
      <c r="C1288" s="198" t="inlineStr">
        <is>
          <t>DADOS_INVOC!QE10</t>
        </is>
      </c>
      <c r="D1288" s="198" t="inlineStr">
        <is>
          <t>resultado</t>
        </is>
      </c>
    </row>
    <row r="1289">
      <c r="A1289" s="198" t="inlineStr">
        <is>
          <t>invocacao.1.esp.7.erros</t>
        </is>
      </c>
      <c r="B1289" s="198">
        <f>IF(ISBLANK(DADOS_INVOC!$PT$10),"",DADOS_INVOC!$PT$10&amp;"")</f>
        <v/>
      </c>
      <c r="C1289" s="198" t="inlineStr">
        <is>
          <t>DADOS_INVOC!PT10</t>
        </is>
      </c>
      <c r="D1289" s="198" t="inlineStr">
        <is>
          <t>aviso</t>
        </is>
      </c>
    </row>
    <row r="1290">
      <c r="A1290" s="198" t="inlineStr">
        <is>
          <t>invocacao.1.esp.7.avisos</t>
        </is>
      </c>
      <c r="B1290" s="198">
        <f>IF(ISBLANK(DADOS_INVOC!$PV$10),"",DADOS_INVOC!$PV$10&amp;"")</f>
        <v/>
      </c>
      <c r="C1290" s="198" t="inlineStr">
        <is>
          <t>DADOS_INVOC!PV10</t>
        </is>
      </c>
      <c r="D1290" s="198" t="inlineStr">
        <is>
          <t>aviso</t>
        </is>
      </c>
    </row>
    <row r="1291">
      <c r="A1291" s="198" t="inlineStr">
        <is>
          <t>invocacao.1.esp.8.classe</t>
        </is>
      </c>
      <c r="B1291" s="198">
        <f>IF(ISBLANK(DADOS_INVOC!$MS$11),"",DADOS_INVOC!$MS$11&amp;"")</f>
        <v/>
      </c>
      <c r="C1291" s="198" t="inlineStr">
        <is>
          <t>DADOS_INVOC!MS11</t>
        </is>
      </c>
      <c r="D1291" s="198" t="inlineStr">
        <is>
          <t>entrada</t>
        </is>
      </c>
    </row>
    <row r="1292">
      <c r="A1292" s="198" t="inlineStr">
        <is>
          <t>invocacao.1.esp.8.nome</t>
        </is>
      </c>
      <c r="B1292" s="198">
        <f>IF(ISBLANK(DADOS_INVOC!$MT$11),"",DADOS_INVOC!$MT$11&amp;"")</f>
        <v/>
      </c>
      <c r="C1292" s="198" t="inlineStr">
        <is>
          <t>DADOS_INVOC!MT11</t>
        </is>
      </c>
      <c r="D1292" s="198" t="inlineStr">
        <is>
          <t>entrada</t>
        </is>
      </c>
    </row>
    <row r="1293">
      <c r="A1293" s="198" t="inlineStr">
        <is>
          <t>invocacao.1.esp.8.forma</t>
        </is>
      </c>
      <c r="B1293" s="198">
        <f>IF(ISBLANK(DADOS_INVOC!$MU$11),"",DADOS_INVOC!$MU$11&amp;"")</f>
        <v/>
      </c>
      <c r="C1293" s="198" t="inlineStr">
        <is>
          <t>DADOS_INVOC!MU11</t>
        </is>
      </c>
      <c r="D1293" s="198" t="inlineStr">
        <is>
          <t>entrada</t>
        </is>
      </c>
    </row>
    <row r="1294">
      <c r="A1294" s="198" t="inlineStr">
        <is>
          <t>invocacao.1.esp.8.pecas</t>
        </is>
      </c>
      <c r="B1294" s="198">
        <f>TEXTJOIN(" · ",TRUE,DADOS_INVOC!$MX$11,DADOS_INVOC!$MY$11,DADOS_INVOC!$MZ$11,DADOS_INVOC!$NA$11)</f>
        <v/>
      </c>
      <c r="C1294" s="198" t="inlineStr">
        <is>
          <t>DADOS_INVOC!MX11 DADOS_INVOC!MY11 DADOS_INVOC!MZ11 DADOS_INVOC!NA11</t>
        </is>
      </c>
      <c r="D1294" s="198" t="inlineStr">
        <is>
          <t>entrada</t>
        </is>
      </c>
    </row>
    <row r="1295">
      <c r="A1295" s="198" t="inlineStr">
        <is>
          <t>invocacao.1.esp.8.restricoes</t>
        </is>
      </c>
      <c r="B1295" s="198">
        <f>TEXTJOIN(" · ",TRUE,DADOS_INVOC!$NB$11,DADOS_INVOC!$NC$11)</f>
        <v/>
      </c>
      <c r="C1295" s="198" t="inlineStr">
        <is>
          <t>DADOS_INVOC!NB11 DADOS_INVOC!NC11</t>
        </is>
      </c>
      <c r="D1295" s="198" t="inlineStr">
        <is>
          <t>entrada</t>
        </is>
      </c>
    </row>
    <row r="1296">
      <c r="A1296" s="198" t="inlineStr">
        <is>
          <t>invocacao.1.esp.8.pe</t>
        </is>
      </c>
      <c r="B1296" s="198">
        <f>IF(ISBLANK(DADOS_INVOC!$QA$11),"",DADOS_INVOC!$QA$11&amp;"")</f>
        <v/>
      </c>
      <c r="C1296" s="198" t="inlineStr">
        <is>
          <t>DADOS_INVOC!QA11</t>
        </is>
      </c>
      <c r="D1296" s="198" t="inlineStr">
        <is>
          <t>resultado</t>
        </is>
      </c>
    </row>
    <row r="1297">
      <c r="A1297" s="198" t="inlineStr">
        <is>
          <t>invocacao.1.esp.8.dano</t>
        </is>
      </c>
      <c r="B1297" s="198">
        <f>IF(ISBLANK(DADOS_INVOC!$QE$11),"",DADOS_INVOC!$QE$11&amp;"")</f>
        <v/>
      </c>
      <c r="C1297" s="198" t="inlineStr">
        <is>
          <t>DADOS_INVOC!QE11</t>
        </is>
      </c>
      <c r="D1297" s="198" t="inlineStr">
        <is>
          <t>resultado</t>
        </is>
      </c>
    </row>
    <row r="1298">
      <c r="A1298" s="198" t="inlineStr">
        <is>
          <t>invocacao.1.esp.8.erros</t>
        </is>
      </c>
      <c r="B1298" s="198">
        <f>IF(ISBLANK(DADOS_INVOC!$PT$11),"",DADOS_INVOC!$PT$11&amp;"")</f>
        <v/>
      </c>
      <c r="C1298" s="198" t="inlineStr">
        <is>
          <t>DADOS_INVOC!PT11</t>
        </is>
      </c>
      <c r="D1298" s="198" t="inlineStr">
        <is>
          <t>aviso</t>
        </is>
      </c>
    </row>
    <row r="1299">
      <c r="A1299" s="198" t="inlineStr">
        <is>
          <t>invocacao.1.esp.8.avisos</t>
        </is>
      </c>
      <c r="B1299" s="198">
        <f>IF(ISBLANK(DADOS_INVOC!$PV$11),"",DADOS_INVOC!$PV$11&amp;"")</f>
        <v/>
      </c>
      <c r="C1299" s="198" t="inlineStr">
        <is>
          <t>DADOS_INVOC!PV11</t>
        </is>
      </c>
      <c r="D1299" s="198" t="inlineStr">
        <is>
          <t>aviso</t>
        </is>
      </c>
    </row>
    <row r="1300">
      <c r="A1300" s="198" t="inlineStr">
        <is>
          <t>invocacao.1.ext.1.classe</t>
        </is>
      </c>
      <c r="B1300" s="198">
        <f>IF(ISBLANK(DADOS_INVOC!$MS$12),"",DADOS_INVOC!$MS$12&amp;"")</f>
        <v/>
      </c>
      <c r="C1300" s="198" t="inlineStr">
        <is>
          <t>DADOS_INVOC!MS12</t>
        </is>
      </c>
      <c r="D1300" s="198" t="inlineStr">
        <is>
          <t>entrada</t>
        </is>
      </c>
    </row>
    <row r="1301">
      <c r="A1301" s="198" t="inlineStr">
        <is>
          <t>invocacao.1.ext.1.nome</t>
        </is>
      </c>
      <c r="B1301" s="198">
        <f>IF(ISBLANK(DADOS_INVOC!$MT$12),"",DADOS_INVOC!$MT$12&amp;"")</f>
        <v/>
      </c>
      <c r="C1301" s="198" t="inlineStr">
        <is>
          <t>DADOS_INVOC!MT12</t>
        </is>
      </c>
      <c r="D1301" s="198" t="inlineStr">
        <is>
          <t>entrada</t>
        </is>
      </c>
    </row>
    <row r="1302">
      <c r="A1302" s="198" t="inlineStr">
        <is>
          <t>invocacao.1.ext.1.forma</t>
        </is>
      </c>
      <c r="B1302" s="198">
        <f>IF(ISBLANK(DADOS_INVOC!$MU$12),"",DADOS_INVOC!$MU$12&amp;"")</f>
        <v/>
      </c>
      <c r="C1302" s="198" t="inlineStr">
        <is>
          <t>DADOS_INVOC!MU12</t>
        </is>
      </c>
      <c r="D1302" s="198" t="inlineStr">
        <is>
          <t>entrada</t>
        </is>
      </c>
    </row>
    <row r="1303">
      <c r="A1303" s="198" t="inlineStr">
        <is>
          <t>invocacao.1.ext.1.pecas</t>
        </is>
      </c>
      <c r="B1303" s="198">
        <f>TEXTJOIN(" · ",TRUE,DADOS_INVOC!$MX$12,DADOS_INVOC!$MY$12,DADOS_INVOC!$MZ$12,DADOS_INVOC!$NA$12)</f>
        <v/>
      </c>
      <c r="C1303" s="198" t="inlineStr">
        <is>
          <t>DADOS_INVOC!MX12 DADOS_INVOC!MY12 DADOS_INVOC!MZ12 DADOS_INVOC!NA12</t>
        </is>
      </c>
      <c r="D1303" s="198" t="inlineStr">
        <is>
          <t>entrada</t>
        </is>
      </c>
    </row>
    <row r="1304">
      <c r="A1304" s="198" t="inlineStr">
        <is>
          <t>invocacao.1.ext.1.restricoes</t>
        </is>
      </c>
      <c r="B1304" s="198">
        <f>TEXTJOIN(" · ",TRUE,DADOS_INVOC!$NB$12,DADOS_INVOC!$NC$12)</f>
        <v/>
      </c>
      <c r="C1304" s="198" t="inlineStr">
        <is>
          <t>DADOS_INVOC!NB12 DADOS_INVOC!NC12</t>
        </is>
      </c>
      <c r="D1304" s="198" t="inlineStr">
        <is>
          <t>entrada</t>
        </is>
      </c>
    </row>
    <row r="1305">
      <c r="A1305" s="198" t="inlineStr">
        <is>
          <t>invocacao.1.ext.1.pe</t>
        </is>
      </c>
      <c r="B1305" s="198">
        <f>IF(ISBLANK(DADOS_INVOC!$QA$12),"",DADOS_INVOC!$QA$12&amp;"")</f>
        <v/>
      </c>
      <c r="C1305" s="198" t="inlineStr">
        <is>
          <t>DADOS_INVOC!QA12</t>
        </is>
      </c>
      <c r="D1305" s="198" t="inlineStr">
        <is>
          <t>resultado</t>
        </is>
      </c>
    </row>
    <row r="1306">
      <c r="A1306" s="198" t="inlineStr">
        <is>
          <t>invocacao.1.ext.1.dano</t>
        </is>
      </c>
      <c r="B1306" s="198">
        <f>IF(ISBLANK(DADOS_INVOC!$QE$12),"",DADOS_INVOC!$QE$12&amp;"")</f>
        <v/>
      </c>
      <c r="C1306" s="198" t="inlineStr">
        <is>
          <t>DADOS_INVOC!QE12</t>
        </is>
      </c>
      <c r="D1306" s="198" t="inlineStr">
        <is>
          <t>resultado</t>
        </is>
      </c>
    </row>
    <row r="1307">
      <c r="A1307" s="198" t="inlineStr">
        <is>
          <t>invocacao.1.ext.1.erros</t>
        </is>
      </c>
      <c r="B1307" s="198">
        <f>IF(ISBLANK(DADOS_INVOC!$PT$12),"",DADOS_INVOC!$PT$12&amp;"")</f>
        <v/>
      </c>
      <c r="C1307" s="198" t="inlineStr">
        <is>
          <t>DADOS_INVOC!PT12</t>
        </is>
      </c>
      <c r="D1307" s="198" t="inlineStr">
        <is>
          <t>aviso</t>
        </is>
      </c>
    </row>
    <row r="1308">
      <c r="A1308" s="198" t="inlineStr">
        <is>
          <t>invocacao.1.ext.1.avisos</t>
        </is>
      </c>
      <c r="B1308" s="198">
        <f>IF(ISBLANK(DADOS_INVOC!$PV$12),"",DADOS_INVOC!$PV$12&amp;"")</f>
        <v/>
      </c>
      <c r="C1308" s="198" t="inlineStr">
        <is>
          <t>DADOS_INVOC!PV12</t>
        </is>
      </c>
      <c r="D1308" s="198" t="inlineStr">
        <is>
          <t>aviso</t>
        </is>
      </c>
    </row>
    <row r="1309">
      <c r="A1309" s="198" t="inlineStr">
        <is>
          <t>invocacao.1.ext.2.classe</t>
        </is>
      </c>
      <c r="B1309" s="198">
        <f>IF(ISBLANK(DADOS_INVOC!$MS$13),"",DADOS_INVOC!$MS$13&amp;"")</f>
        <v/>
      </c>
      <c r="C1309" s="198" t="inlineStr">
        <is>
          <t>DADOS_INVOC!MS13</t>
        </is>
      </c>
      <c r="D1309" s="198" t="inlineStr">
        <is>
          <t>entrada</t>
        </is>
      </c>
    </row>
    <row r="1310">
      <c r="A1310" s="198" t="inlineStr">
        <is>
          <t>invocacao.1.ext.2.nome</t>
        </is>
      </c>
      <c r="B1310" s="198">
        <f>IF(ISBLANK(DADOS_INVOC!$MT$13),"",DADOS_INVOC!$MT$13&amp;"")</f>
        <v/>
      </c>
      <c r="C1310" s="198" t="inlineStr">
        <is>
          <t>DADOS_INVOC!MT13</t>
        </is>
      </c>
      <c r="D1310" s="198" t="inlineStr">
        <is>
          <t>entrada</t>
        </is>
      </c>
    </row>
    <row r="1311">
      <c r="A1311" s="198" t="inlineStr">
        <is>
          <t>invocacao.1.ext.2.forma</t>
        </is>
      </c>
      <c r="B1311" s="198">
        <f>IF(ISBLANK(DADOS_INVOC!$MU$13),"",DADOS_INVOC!$MU$13&amp;"")</f>
        <v/>
      </c>
      <c r="C1311" s="198" t="inlineStr">
        <is>
          <t>DADOS_INVOC!MU13</t>
        </is>
      </c>
      <c r="D1311" s="198" t="inlineStr">
        <is>
          <t>entrada</t>
        </is>
      </c>
    </row>
    <row r="1312">
      <c r="A1312" s="198" t="inlineStr">
        <is>
          <t>invocacao.1.ext.2.pecas</t>
        </is>
      </c>
      <c r="B1312" s="198">
        <f>TEXTJOIN(" · ",TRUE,DADOS_INVOC!$MX$13,DADOS_INVOC!$MY$13,DADOS_INVOC!$MZ$13,DADOS_INVOC!$NA$13)</f>
        <v/>
      </c>
      <c r="C1312" s="198" t="inlineStr">
        <is>
          <t>DADOS_INVOC!MX13 DADOS_INVOC!MY13 DADOS_INVOC!MZ13 DADOS_INVOC!NA13</t>
        </is>
      </c>
      <c r="D1312" s="198" t="inlineStr">
        <is>
          <t>entrada</t>
        </is>
      </c>
    </row>
    <row r="1313">
      <c r="A1313" s="198" t="inlineStr">
        <is>
          <t>invocacao.1.ext.2.restricoes</t>
        </is>
      </c>
      <c r="B1313" s="198">
        <f>TEXTJOIN(" · ",TRUE,DADOS_INVOC!$NB$13,DADOS_INVOC!$NC$13)</f>
        <v/>
      </c>
      <c r="C1313" s="198" t="inlineStr">
        <is>
          <t>DADOS_INVOC!NB13 DADOS_INVOC!NC13</t>
        </is>
      </c>
      <c r="D1313" s="198" t="inlineStr">
        <is>
          <t>entrada</t>
        </is>
      </c>
    </row>
    <row r="1314">
      <c r="A1314" s="198" t="inlineStr">
        <is>
          <t>invocacao.1.ext.2.pe</t>
        </is>
      </c>
      <c r="B1314" s="198">
        <f>IF(ISBLANK(DADOS_INVOC!$QA$13),"",DADOS_INVOC!$QA$13&amp;"")</f>
        <v/>
      </c>
      <c r="C1314" s="198" t="inlineStr">
        <is>
          <t>DADOS_INVOC!QA13</t>
        </is>
      </c>
      <c r="D1314" s="198" t="inlineStr">
        <is>
          <t>resultado</t>
        </is>
      </c>
    </row>
    <row r="1315">
      <c r="A1315" s="198" t="inlineStr">
        <is>
          <t>invocacao.1.ext.2.dano</t>
        </is>
      </c>
      <c r="B1315" s="198">
        <f>IF(ISBLANK(DADOS_INVOC!$QE$13),"",DADOS_INVOC!$QE$13&amp;"")</f>
        <v/>
      </c>
      <c r="C1315" s="198" t="inlineStr">
        <is>
          <t>DADOS_INVOC!QE13</t>
        </is>
      </c>
      <c r="D1315" s="198" t="inlineStr">
        <is>
          <t>resultado</t>
        </is>
      </c>
    </row>
    <row r="1316">
      <c r="A1316" s="198" t="inlineStr">
        <is>
          <t>invocacao.1.ext.2.erros</t>
        </is>
      </c>
      <c r="B1316" s="198">
        <f>IF(ISBLANK(DADOS_INVOC!$PT$13),"",DADOS_INVOC!$PT$13&amp;"")</f>
        <v/>
      </c>
      <c r="C1316" s="198" t="inlineStr">
        <is>
          <t>DADOS_INVOC!PT13</t>
        </is>
      </c>
      <c r="D1316" s="198" t="inlineStr">
        <is>
          <t>aviso</t>
        </is>
      </c>
    </row>
    <row r="1317">
      <c r="A1317" s="198" t="inlineStr">
        <is>
          <t>invocacao.1.ext.2.avisos</t>
        </is>
      </c>
      <c r="B1317" s="198">
        <f>IF(ISBLANK(DADOS_INVOC!$PV$13),"",DADOS_INVOC!$PV$13&amp;"")</f>
        <v/>
      </c>
      <c r="C1317" s="198" t="inlineStr">
        <is>
          <t>DADOS_INVOC!PV13</t>
        </is>
      </c>
      <c r="D1317" s="198" t="inlineStr">
        <is>
          <t>aviso</t>
        </is>
      </c>
    </row>
    <row r="1318">
      <c r="A1318" s="198" t="inlineStr">
        <is>
          <t>invocacao.1.ext.3.classe</t>
        </is>
      </c>
      <c r="B1318" s="198">
        <f>IF(ISBLANK(DADOS_INVOC!$MS$14),"",DADOS_INVOC!$MS$14&amp;"")</f>
        <v/>
      </c>
      <c r="C1318" s="198" t="inlineStr">
        <is>
          <t>DADOS_INVOC!MS14</t>
        </is>
      </c>
      <c r="D1318" s="198" t="inlineStr">
        <is>
          <t>entrada</t>
        </is>
      </c>
    </row>
    <row r="1319">
      <c r="A1319" s="198" t="inlineStr">
        <is>
          <t>invocacao.1.ext.3.nome</t>
        </is>
      </c>
      <c r="B1319" s="198">
        <f>IF(ISBLANK(DADOS_INVOC!$MT$14),"",DADOS_INVOC!$MT$14&amp;"")</f>
        <v/>
      </c>
      <c r="C1319" s="198" t="inlineStr">
        <is>
          <t>DADOS_INVOC!MT14</t>
        </is>
      </c>
      <c r="D1319" s="198" t="inlineStr">
        <is>
          <t>entrada</t>
        </is>
      </c>
    </row>
    <row r="1320">
      <c r="A1320" s="198" t="inlineStr">
        <is>
          <t>invocacao.1.ext.3.forma</t>
        </is>
      </c>
      <c r="B1320" s="198">
        <f>IF(ISBLANK(DADOS_INVOC!$MU$14),"",DADOS_INVOC!$MU$14&amp;"")</f>
        <v/>
      </c>
      <c r="C1320" s="198" t="inlineStr">
        <is>
          <t>DADOS_INVOC!MU14</t>
        </is>
      </c>
      <c r="D1320" s="198" t="inlineStr">
        <is>
          <t>entrada</t>
        </is>
      </c>
    </row>
    <row r="1321">
      <c r="A1321" s="198" t="inlineStr">
        <is>
          <t>invocacao.1.ext.3.pecas</t>
        </is>
      </c>
      <c r="B1321" s="198">
        <f>TEXTJOIN(" · ",TRUE,DADOS_INVOC!$MX$14,DADOS_INVOC!$MY$14,DADOS_INVOC!$MZ$14,DADOS_INVOC!$NA$14)</f>
        <v/>
      </c>
      <c r="C1321" s="198" t="inlineStr">
        <is>
          <t>DADOS_INVOC!MX14 DADOS_INVOC!MY14 DADOS_INVOC!MZ14 DADOS_INVOC!NA14</t>
        </is>
      </c>
      <c r="D1321" s="198" t="inlineStr">
        <is>
          <t>entrada</t>
        </is>
      </c>
    </row>
    <row r="1322">
      <c r="A1322" s="198" t="inlineStr">
        <is>
          <t>invocacao.1.ext.3.restricoes</t>
        </is>
      </c>
      <c r="B1322" s="198">
        <f>TEXTJOIN(" · ",TRUE,DADOS_INVOC!$NB$14,DADOS_INVOC!$NC$14)</f>
        <v/>
      </c>
      <c r="C1322" s="198" t="inlineStr">
        <is>
          <t>DADOS_INVOC!NB14 DADOS_INVOC!NC14</t>
        </is>
      </c>
      <c r="D1322" s="198" t="inlineStr">
        <is>
          <t>entrada</t>
        </is>
      </c>
    </row>
    <row r="1323">
      <c r="A1323" s="198" t="inlineStr">
        <is>
          <t>invocacao.1.ext.3.pe</t>
        </is>
      </c>
      <c r="B1323" s="198">
        <f>IF(ISBLANK(DADOS_INVOC!$QA$14),"",DADOS_INVOC!$QA$14&amp;"")</f>
        <v/>
      </c>
      <c r="C1323" s="198" t="inlineStr">
        <is>
          <t>DADOS_INVOC!QA14</t>
        </is>
      </c>
      <c r="D1323" s="198" t="inlineStr">
        <is>
          <t>resultado</t>
        </is>
      </c>
    </row>
    <row r="1324">
      <c r="A1324" s="198" t="inlineStr">
        <is>
          <t>invocacao.1.ext.3.dano</t>
        </is>
      </c>
      <c r="B1324" s="198">
        <f>IF(ISBLANK(DADOS_INVOC!$QE$14),"",DADOS_INVOC!$QE$14&amp;"")</f>
        <v/>
      </c>
      <c r="C1324" s="198" t="inlineStr">
        <is>
          <t>DADOS_INVOC!QE14</t>
        </is>
      </c>
      <c r="D1324" s="198" t="inlineStr">
        <is>
          <t>resultado</t>
        </is>
      </c>
    </row>
    <row r="1325">
      <c r="A1325" s="198" t="inlineStr">
        <is>
          <t>invocacao.1.ext.3.erros</t>
        </is>
      </c>
      <c r="B1325" s="198">
        <f>IF(ISBLANK(DADOS_INVOC!$PT$14),"",DADOS_INVOC!$PT$14&amp;"")</f>
        <v/>
      </c>
      <c r="C1325" s="198" t="inlineStr">
        <is>
          <t>DADOS_INVOC!PT14</t>
        </is>
      </c>
      <c r="D1325" s="198" t="inlineStr">
        <is>
          <t>aviso</t>
        </is>
      </c>
    </row>
    <row r="1326">
      <c r="A1326" s="198" t="inlineStr">
        <is>
          <t>invocacao.1.ext.3.avisos</t>
        </is>
      </c>
      <c r="B1326" s="198">
        <f>IF(ISBLANK(DADOS_INVOC!$PV$14),"",DADOS_INVOC!$PV$14&amp;"")</f>
        <v/>
      </c>
      <c r="C1326" s="198" t="inlineStr">
        <is>
          <t>DADOS_INVOC!PV14</t>
        </is>
      </c>
      <c r="D1326" s="198" t="inlineStr">
        <is>
          <t>aviso</t>
        </is>
      </c>
    </row>
    <row r="1327">
      <c r="A1327" s="198" t="inlineStr">
        <is>
          <t>invocacao.2.bas.1.classe</t>
        </is>
      </c>
      <c r="B1327" s="198">
        <f>IF(ISBLANK(DADOS_INVOC!$MS$15),"",DADOS_INVOC!$MS$15&amp;"")</f>
        <v/>
      </c>
      <c r="C1327" s="198" t="inlineStr">
        <is>
          <t>DADOS_INVOC!MS15</t>
        </is>
      </c>
      <c r="D1327" s="198" t="inlineStr">
        <is>
          <t>entrada</t>
        </is>
      </c>
    </row>
    <row r="1328">
      <c r="A1328" s="198" t="inlineStr">
        <is>
          <t>invocacao.2.bas.1.nome</t>
        </is>
      </c>
      <c r="B1328" s="198">
        <f>IF(ISBLANK(DADOS_INVOC!$MT$15),"",DADOS_INVOC!$MT$15&amp;"")</f>
        <v/>
      </c>
      <c r="C1328" s="198" t="inlineStr">
        <is>
          <t>DADOS_INVOC!MT15</t>
        </is>
      </c>
      <c r="D1328" s="198" t="inlineStr">
        <is>
          <t>entrada</t>
        </is>
      </c>
    </row>
    <row r="1329">
      <c r="A1329" s="198" t="inlineStr">
        <is>
          <t>invocacao.2.bas.1.forma</t>
        </is>
      </c>
      <c r="B1329" s="198">
        <f>IF(ISBLANK(DADOS_INVOC!$MU$15),"",DADOS_INVOC!$MU$15&amp;"")</f>
        <v/>
      </c>
      <c r="C1329" s="198" t="inlineStr">
        <is>
          <t>DADOS_INVOC!MU15</t>
        </is>
      </c>
      <c r="D1329" s="198" t="inlineStr">
        <is>
          <t>entrada</t>
        </is>
      </c>
    </row>
    <row r="1330">
      <c r="A1330" s="198" t="inlineStr">
        <is>
          <t>invocacao.2.bas.1.pecas</t>
        </is>
      </c>
      <c r="B1330" s="198">
        <f>TEXTJOIN(" · ",TRUE,DADOS_INVOC!$MX$15,DADOS_INVOC!$MY$15,DADOS_INVOC!$MZ$15,DADOS_INVOC!$NA$15)</f>
        <v/>
      </c>
      <c r="C1330" s="198" t="inlineStr">
        <is>
          <t>DADOS_INVOC!MX15 DADOS_INVOC!MY15 DADOS_INVOC!MZ15 DADOS_INVOC!NA15</t>
        </is>
      </c>
      <c r="D1330" s="198" t="inlineStr">
        <is>
          <t>entrada</t>
        </is>
      </c>
    </row>
    <row r="1331">
      <c r="A1331" s="198" t="inlineStr">
        <is>
          <t>invocacao.2.bas.1.restricoes</t>
        </is>
      </c>
      <c r="B1331" s="198">
        <f>TEXTJOIN(" · ",TRUE,DADOS_INVOC!$NB$15,DADOS_INVOC!$NC$15)</f>
        <v/>
      </c>
      <c r="C1331" s="198" t="inlineStr">
        <is>
          <t>DADOS_INVOC!NB15 DADOS_INVOC!NC15</t>
        </is>
      </c>
      <c r="D1331" s="198" t="inlineStr">
        <is>
          <t>entrada</t>
        </is>
      </c>
    </row>
    <row r="1332">
      <c r="A1332" s="198" t="inlineStr">
        <is>
          <t>invocacao.2.bas.1.pe</t>
        </is>
      </c>
      <c r="B1332" s="198">
        <f>IF(ISBLANK(DADOS_INVOC!$QA$15),"",DADOS_INVOC!$QA$15&amp;"")</f>
        <v/>
      </c>
      <c r="C1332" s="198" t="inlineStr">
        <is>
          <t>DADOS_INVOC!QA15</t>
        </is>
      </c>
      <c r="D1332" s="198" t="inlineStr">
        <is>
          <t>resultado</t>
        </is>
      </c>
    </row>
    <row r="1333">
      <c r="A1333" s="198" t="inlineStr">
        <is>
          <t>invocacao.2.bas.1.dano</t>
        </is>
      </c>
      <c r="B1333" s="198">
        <f>IF(ISBLANK(DADOS_INVOC!$QE$15),"",DADOS_INVOC!$QE$15&amp;"")</f>
        <v/>
      </c>
      <c r="C1333" s="198" t="inlineStr">
        <is>
          <t>DADOS_INVOC!QE15</t>
        </is>
      </c>
      <c r="D1333" s="198" t="inlineStr">
        <is>
          <t>resultado</t>
        </is>
      </c>
    </row>
    <row r="1334">
      <c r="A1334" s="198" t="inlineStr">
        <is>
          <t>invocacao.2.bas.1.erros</t>
        </is>
      </c>
      <c r="B1334" s="198">
        <f>IF(ISBLANK(DADOS_INVOC!$PT$15),"",DADOS_INVOC!$PT$15&amp;"")</f>
        <v/>
      </c>
      <c r="C1334" s="198" t="inlineStr">
        <is>
          <t>DADOS_INVOC!PT15</t>
        </is>
      </c>
      <c r="D1334" s="198" t="inlineStr">
        <is>
          <t>aviso</t>
        </is>
      </c>
    </row>
    <row r="1335">
      <c r="A1335" s="198" t="inlineStr">
        <is>
          <t>invocacao.2.bas.1.avisos</t>
        </is>
      </c>
      <c r="B1335" s="198">
        <f>IF(ISBLANK(DADOS_INVOC!$PV$15),"",DADOS_INVOC!$PV$15&amp;"")</f>
        <v/>
      </c>
      <c r="C1335" s="198" t="inlineStr">
        <is>
          <t>DADOS_INVOC!PV15</t>
        </is>
      </c>
      <c r="D1335" s="198" t="inlineStr">
        <is>
          <t>aviso</t>
        </is>
      </c>
    </row>
    <row r="1336">
      <c r="A1336" s="198" t="inlineStr">
        <is>
          <t>invocacao.2.esp.1.classe</t>
        </is>
      </c>
      <c r="B1336" s="198">
        <f>IF(ISBLANK(DADOS_INVOC!$MS$16),"",DADOS_INVOC!$MS$16&amp;"")</f>
        <v/>
      </c>
      <c r="C1336" s="198" t="inlineStr">
        <is>
          <t>DADOS_INVOC!MS16</t>
        </is>
      </c>
      <c r="D1336" s="198" t="inlineStr">
        <is>
          <t>entrada</t>
        </is>
      </c>
    </row>
    <row r="1337">
      <c r="A1337" s="198" t="inlineStr">
        <is>
          <t>invocacao.2.esp.1.nome</t>
        </is>
      </c>
      <c r="B1337" s="198">
        <f>IF(ISBLANK(DADOS_INVOC!$MT$16),"",DADOS_INVOC!$MT$16&amp;"")</f>
        <v/>
      </c>
      <c r="C1337" s="198" t="inlineStr">
        <is>
          <t>DADOS_INVOC!MT16</t>
        </is>
      </c>
      <c r="D1337" s="198" t="inlineStr">
        <is>
          <t>entrada</t>
        </is>
      </c>
    </row>
    <row r="1338">
      <c r="A1338" s="198" t="inlineStr">
        <is>
          <t>invocacao.2.esp.1.forma</t>
        </is>
      </c>
      <c r="B1338" s="198">
        <f>IF(ISBLANK(DADOS_INVOC!$MU$16),"",DADOS_INVOC!$MU$16&amp;"")</f>
        <v/>
      </c>
      <c r="C1338" s="198" t="inlineStr">
        <is>
          <t>DADOS_INVOC!MU16</t>
        </is>
      </c>
      <c r="D1338" s="198" t="inlineStr">
        <is>
          <t>entrada</t>
        </is>
      </c>
    </row>
    <row r="1339">
      <c r="A1339" s="198" t="inlineStr">
        <is>
          <t>invocacao.2.esp.1.pecas</t>
        </is>
      </c>
      <c r="B1339" s="198">
        <f>TEXTJOIN(" · ",TRUE,DADOS_INVOC!$MX$16,DADOS_INVOC!$MY$16,DADOS_INVOC!$MZ$16,DADOS_INVOC!$NA$16)</f>
        <v/>
      </c>
      <c r="C1339" s="198" t="inlineStr">
        <is>
          <t>DADOS_INVOC!MX16 DADOS_INVOC!MY16 DADOS_INVOC!MZ16 DADOS_INVOC!NA16</t>
        </is>
      </c>
      <c r="D1339" s="198" t="inlineStr">
        <is>
          <t>entrada</t>
        </is>
      </c>
    </row>
    <row r="1340">
      <c r="A1340" s="198" t="inlineStr">
        <is>
          <t>invocacao.2.esp.1.restricoes</t>
        </is>
      </c>
      <c r="B1340" s="198">
        <f>TEXTJOIN(" · ",TRUE,DADOS_INVOC!$NB$16,DADOS_INVOC!$NC$16)</f>
        <v/>
      </c>
      <c r="C1340" s="198" t="inlineStr">
        <is>
          <t>DADOS_INVOC!NB16 DADOS_INVOC!NC16</t>
        </is>
      </c>
      <c r="D1340" s="198" t="inlineStr">
        <is>
          <t>entrada</t>
        </is>
      </c>
    </row>
    <row r="1341">
      <c r="A1341" s="198" t="inlineStr">
        <is>
          <t>invocacao.2.esp.1.pe</t>
        </is>
      </c>
      <c r="B1341" s="198">
        <f>IF(ISBLANK(DADOS_INVOC!$QA$16),"",DADOS_INVOC!$QA$16&amp;"")</f>
        <v/>
      </c>
      <c r="C1341" s="198" t="inlineStr">
        <is>
          <t>DADOS_INVOC!QA16</t>
        </is>
      </c>
      <c r="D1341" s="198" t="inlineStr">
        <is>
          <t>resultado</t>
        </is>
      </c>
    </row>
    <row r="1342">
      <c r="A1342" s="198" t="inlineStr">
        <is>
          <t>invocacao.2.esp.1.dano</t>
        </is>
      </c>
      <c r="B1342" s="198">
        <f>IF(ISBLANK(DADOS_INVOC!$QE$16),"",DADOS_INVOC!$QE$16&amp;"")</f>
        <v/>
      </c>
      <c r="C1342" s="198" t="inlineStr">
        <is>
          <t>DADOS_INVOC!QE16</t>
        </is>
      </c>
      <c r="D1342" s="198" t="inlineStr">
        <is>
          <t>resultado</t>
        </is>
      </c>
    </row>
    <row r="1343">
      <c r="A1343" s="198" t="inlineStr">
        <is>
          <t>invocacao.2.esp.1.erros</t>
        </is>
      </c>
      <c r="B1343" s="198">
        <f>IF(ISBLANK(DADOS_INVOC!$PT$16),"",DADOS_INVOC!$PT$16&amp;"")</f>
        <v/>
      </c>
      <c r="C1343" s="198" t="inlineStr">
        <is>
          <t>DADOS_INVOC!PT16</t>
        </is>
      </c>
      <c r="D1343" s="198" t="inlineStr">
        <is>
          <t>aviso</t>
        </is>
      </c>
    </row>
    <row r="1344">
      <c r="A1344" s="198" t="inlineStr">
        <is>
          <t>invocacao.2.esp.1.avisos</t>
        </is>
      </c>
      <c r="B1344" s="198">
        <f>IF(ISBLANK(DADOS_INVOC!$PV$16),"",DADOS_INVOC!$PV$16&amp;"")</f>
        <v/>
      </c>
      <c r="C1344" s="198" t="inlineStr">
        <is>
          <t>DADOS_INVOC!PV16</t>
        </is>
      </c>
      <c r="D1344" s="198" t="inlineStr">
        <is>
          <t>aviso</t>
        </is>
      </c>
    </row>
    <row r="1345">
      <c r="A1345" s="198" t="inlineStr">
        <is>
          <t>invocacao.2.esp.2.classe</t>
        </is>
      </c>
      <c r="B1345" s="198">
        <f>IF(ISBLANK(DADOS_INVOC!$MS$17),"",DADOS_INVOC!$MS$17&amp;"")</f>
        <v/>
      </c>
      <c r="C1345" s="198" t="inlineStr">
        <is>
          <t>DADOS_INVOC!MS17</t>
        </is>
      </c>
      <c r="D1345" s="198" t="inlineStr">
        <is>
          <t>entrada</t>
        </is>
      </c>
    </row>
    <row r="1346">
      <c r="A1346" s="198" t="inlineStr">
        <is>
          <t>invocacao.2.esp.2.nome</t>
        </is>
      </c>
      <c r="B1346" s="198">
        <f>IF(ISBLANK(DADOS_INVOC!$MT$17),"",DADOS_INVOC!$MT$17&amp;"")</f>
        <v/>
      </c>
      <c r="C1346" s="198" t="inlineStr">
        <is>
          <t>DADOS_INVOC!MT17</t>
        </is>
      </c>
      <c r="D1346" s="198" t="inlineStr">
        <is>
          <t>entrada</t>
        </is>
      </c>
    </row>
    <row r="1347">
      <c r="A1347" s="198" t="inlineStr">
        <is>
          <t>invocacao.2.esp.2.forma</t>
        </is>
      </c>
      <c r="B1347" s="198">
        <f>IF(ISBLANK(DADOS_INVOC!$MU$17),"",DADOS_INVOC!$MU$17&amp;"")</f>
        <v/>
      </c>
      <c r="C1347" s="198" t="inlineStr">
        <is>
          <t>DADOS_INVOC!MU17</t>
        </is>
      </c>
      <c r="D1347" s="198" t="inlineStr">
        <is>
          <t>entrada</t>
        </is>
      </c>
    </row>
    <row r="1348">
      <c r="A1348" s="198" t="inlineStr">
        <is>
          <t>invocacao.2.esp.2.pecas</t>
        </is>
      </c>
      <c r="B1348" s="198">
        <f>TEXTJOIN(" · ",TRUE,DADOS_INVOC!$MX$17,DADOS_INVOC!$MY$17,DADOS_INVOC!$MZ$17,DADOS_INVOC!$NA$17)</f>
        <v/>
      </c>
      <c r="C1348" s="198" t="inlineStr">
        <is>
          <t>DADOS_INVOC!MX17 DADOS_INVOC!MY17 DADOS_INVOC!MZ17 DADOS_INVOC!NA17</t>
        </is>
      </c>
      <c r="D1348" s="198" t="inlineStr">
        <is>
          <t>entrada</t>
        </is>
      </c>
    </row>
    <row r="1349">
      <c r="A1349" s="198" t="inlineStr">
        <is>
          <t>invocacao.2.esp.2.restricoes</t>
        </is>
      </c>
      <c r="B1349" s="198">
        <f>TEXTJOIN(" · ",TRUE,DADOS_INVOC!$NB$17,DADOS_INVOC!$NC$17)</f>
        <v/>
      </c>
      <c r="C1349" s="198" t="inlineStr">
        <is>
          <t>DADOS_INVOC!NB17 DADOS_INVOC!NC17</t>
        </is>
      </c>
      <c r="D1349" s="198" t="inlineStr">
        <is>
          <t>entrada</t>
        </is>
      </c>
    </row>
    <row r="1350">
      <c r="A1350" s="198" t="inlineStr">
        <is>
          <t>invocacao.2.esp.2.pe</t>
        </is>
      </c>
      <c r="B1350" s="198">
        <f>IF(ISBLANK(DADOS_INVOC!$QA$17),"",DADOS_INVOC!$QA$17&amp;"")</f>
        <v/>
      </c>
      <c r="C1350" s="198" t="inlineStr">
        <is>
          <t>DADOS_INVOC!QA17</t>
        </is>
      </c>
      <c r="D1350" s="198" t="inlineStr">
        <is>
          <t>resultado</t>
        </is>
      </c>
    </row>
    <row r="1351">
      <c r="A1351" s="198" t="inlineStr">
        <is>
          <t>invocacao.2.esp.2.dano</t>
        </is>
      </c>
      <c r="B1351" s="198">
        <f>IF(ISBLANK(DADOS_INVOC!$QE$17),"",DADOS_INVOC!$QE$17&amp;"")</f>
        <v/>
      </c>
      <c r="C1351" s="198" t="inlineStr">
        <is>
          <t>DADOS_INVOC!QE17</t>
        </is>
      </c>
      <c r="D1351" s="198" t="inlineStr">
        <is>
          <t>resultado</t>
        </is>
      </c>
    </row>
    <row r="1352">
      <c r="A1352" s="198" t="inlineStr">
        <is>
          <t>invocacao.2.esp.2.erros</t>
        </is>
      </c>
      <c r="B1352" s="198">
        <f>IF(ISBLANK(DADOS_INVOC!$PT$17),"",DADOS_INVOC!$PT$17&amp;"")</f>
        <v/>
      </c>
      <c r="C1352" s="198" t="inlineStr">
        <is>
          <t>DADOS_INVOC!PT17</t>
        </is>
      </c>
      <c r="D1352" s="198" t="inlineStr">
        <is>
          <t>aviso</t>
        </is>
      </c>
    </row>
    <row r="1353">
      <c r="A1353" s="198" t="inlineStr">
        <is>
          <t>invocacao.2.esp.2.avisos</t>
        </is>
      </c>
      <c r="B1353" s="198">
        <f>IF(ISBLANK(DADOS_INVOC!$PV$17),"",DADOS_INVOC!$PV$17&amp;"")</f>
        <v/>
      </c>
      <c r="C1353" s="198" t="inlineStr">
        <is>
          <t>DADOS_INVOC!PV17</t>
        </is>
      </c>
      <c r="D1353" s="198" t="inlineStr">
        <is>
          <t>aviso</t>
        </is>
      </c>
    </row>
    <row r="1354">
      <c r="A1354" s="198" t="inlineStr">
        <is>
          <t>invocacao.2.bas.2.classe</t>
        </is>
      </c>
      <c r="B1354" s="198">
        <f>IF(ISBLANK(DADOS_INVOC!$MS$18),"",DADOS_INVOC!$MS$18&amp;"")</f>
        <v/>
      </c>
      <c r="C1354" s="198" t="inlineStr">
        <is>
          <t>DADOS_INVOC!MS18</t>
        </is>
      </c>
      <c r="D1354" s="198" t="inlineStr">
        <is>
          <t>entrada</t>
        </is>
      </c>
    </row>
    <row r="1355">
      <c r="A1355" s="198" t="inlineStr">
        <is>
          <t>invocacao.2.bas.2.nome</t>
        </is>
      </c>
      <c r="B1355" s="198">
        <f>IF(ISBLANK(DADOS_INVOC!$MT$18),"",DADOS_INVOC!$MT$18&amp;"")</f>
        <v/>
      </c>
      <c r="C1355" s="198" t="inlineStr">
        <is>
          <t>DADOS_INVOC!MT18</t>
        </is>
      </c>
      <c r="D1355" s="198" t="inlineStr">
        <is>
          <t>entrada</t>
        </is>
      </c>
    </row>
    <row r="1356">
      <c r="A1356" s="198" t="inlineStr">
        <is>
          <t>invocacao.2.bas.2.forma</t>
        </is>
      </c>
      <c r="B1356" s="198">
        <f>IF(ISBLANK(DADOS_INVOC!$MU$18),"",DADOS_INVOC!$MU$18&amp;"")</f>
        <v/>
      </c>
      <c r="C1356" s="198" t="inlineStr">
        <is>
          <t>DADOS_INVOC!MU18</t>
        </is>
      </c>
      <c r="D1356" s="198" t="inlineStr">
        <is>
          <t>entrada</t>
        </is>
      </c>
    </row>
    <row r="1357">
      <c r="A1357" s="198" t="inlineStr">
        <is>
          <t>invocacao.2.bas.2.pecas</t>
        </is>
      </c>
      <c r="B1357" s="198">
        <f>TEXTJOIN(" · ",TRUE,DADOS_INVOC!$MX$18,DADOS_INVOC!$MY$18,DADOS_INVOC!$MZ$18,DADOS_INVOC!$NA$18)</f>
        <v/>
      </c>
      <c r="C1357" s="198" t="inlineStr">
        <is>
          <t>DADOS_INVOC!MX18 DADOS_INVOC!MY18 DADOS_INVOC!MZ18 DADOS_INVOC!NA18</t>
        </is>
      </c>
      <c r="D1357" s="198" t="inlineStr">
        <is>
          <t>entrada</t>
        </is>
      </c>
    </row>
    <row r="1358">
      <c r="A1358" s="198" t="inlineStr">
        <is>
          <t>invocacao.2.bas.2.restricoes</t>
        </is>
      </c>
      <c r="B1358" s="198">
        <f>TEXTJOIN(" · ",TRUE,DADOS_INVOC!$NB$18,DADOS_INVOC!$NC$18)</f>
        <v/>
      </c>
      <c r="C1358" s="198" t="inlineStr">
        <is>
          <t>DADOS_INVOC!NB18 DADOS_INVOC!NC18</t>
        </is>
      </c>
      <c r="D1358" s="198" t="inlineStr">
        <is>
          <t>entrada</t>
        </is>
      </c>
    </row>
    <row r="1359">
      <c r="A1359" s="198" t="inlineStr">
        <is>
          <t>invocacao.2.bas.2.pe</t>
        </is>
      </c>
      <c r="B1359" s="198">
        <f>IF(ISBLANK(DADOS_INVOC!$QA$18),"",DADOS_INVOC!$QA$18&amp;"")</f>
        <v/>
      </c>
      <c r="C1359" s="198" t="inlineStr">
        <is>
          <t>DADOS_INVOC!QA18</t>
        </is>
      </c>
      <c r="D1359" s="198" t="inlineStr">
        <is>
          <t>resultado</t>
        </is>
      </c>
    </row>
    <row r="1360">
      <c r="A1360" s="198" t="inlineStr">
        <is>
          <t>invocacao.2.bas.2.dano</t>
        </is>
      </c>
      <c r="B1360" s="198">
        <f>IF(ISBLANK(DADOS_INVOC!$QE$18),"",DADOS_INVOC!$QE$18&amp;"")</f>
        <v/>
      </c>
      <c r="C1360" s="198" t="inlineStr">
        <is>
          <t>DADOS_INVOC!QE18</t>
        </is>
      </c>
      <c r="D1360" s="198" t="inlineStr">
        <is>
          <t>resultado</t>
        </is>
      </c>
    </row>
    <row r="1361">
      <c r="A1361" s="198" t="inlineStr">
        <is>
          <t>invocacao.2.bas.2.erros</t>
        </is>
      </c>
      <c r="B1361" s="198">
        <f>IF(ISBLANK(DADOS_INVOC!$PT$18),"",DADOS_INVOC!$PT$18&amp;"")</f>
        <v/>
      </c>
      <c r="C1361" s="198" t="inlineStr">
        <is>
          <t>DADOS_INVOC!PT18</t>
        </is>
      </c>
      <c r="D1361" s="198" t="inlineStr">
        <is>
          <t>aviso</t>
        </is>
      </c>
    </row>
    <row r="1362">
      <c r="A1362" s="198" t="inlineStr">
        <is>
          <t>invocacao.2.bas.2.avisos</t>
        </is>
      </c>
      <c r="B1362" s="198">
        <f>IF(ISBLANK(DADOS_INVOC!$PV$18),"",DADOS_INVOC!$PV$18&amp;"")</f>
        <v/>
      </c>
      <c r="C1362" s="198" t="inlineStr">
        <is>
          <t>DADOS_INVOC!PV18</t>
        </is>
      </c>
      <c r="D1362" s="198" t="inlineStr">
        <is>
          <t>aviso</t>
        </is>
      </c>
    </row>
    <row r="1363">
      <c r="A1363" s="198" t="inlineStr">
        <is>
          <t>invocacao.2.esp.3.classe</t>
        </is>
      </c>
      <c r="B1363" s="198">
        <f>IF(ISBLANK(DADOS_INVOC!$MS$19),"",DADOS_INVOC!$MS$19&amp;"")</f>
        <v/>
      </c>
      <c r="C1363" s="198" t="inlineStr">
        <is>
          <t>DADOS_INVOC!MS19</t>
        </is>
      </c>
      <c r="D1363" s="198" t="inlineStr">
        <is>
          <t>entrada</t>
        </is>
      </c>
    </row>
    <row r="1364">
      <c r="A1364" s="198" t="inlineStr">
        <is>
          <t>invocacao.2.esp.3.nome</t>
        </is>
      </c>
      <c r="B1364" s="198">
        <f>IF(ISBLANK(DADOS_INVOC!$MT$19),"",DADOS_INVOC!$MT$19&amp;"")</f>
        <v/>
      </c>
      <c r="C1364" s="198" t="inlineStr">
        <is>
          <t>DADOS_INVOC!MT19</t>
        </is>
      </c>
      <c r="D1364" s="198" t="inlineStr">
        <is>
          <t>entrada</t>
        </is>
      </c>
    </row>
    <row r="1365">
      <c r="A1365" s="198" t="inlineStr">
        <is>
          <t>invocacao.2.esp.3.forma</t>
        </is>
      </c>
      <c r="B1365" s="198">
        <f>IF(ISBLANK(DADOS_INVOC!$MU$19),"",DADOS_INVOC!$MU$19&amp;"")</f>
        <v/>
      </c>
      <c r="C1365" s="198" t="inlineStr">
        <is>
          <t>DADOS_INVOC!MU19</t>
        </is>
      </c>
      <c r="D1365" s="198" t="inlineStr">
        <is>
          <t>entrada</t>
        </is>
      </c>
    </row>
    <row r="1366">
      <c r="A1366" s="198" t="inlineStr">
        <is>
          <t>invocacao.2.esp.3.pecas</t>
        </is>
      </c>
      <c r="B1366" s="198">
        <f>TEXTJOIN(" · ",TRUE,DADOS_INVOC!$MX$19,DADOS_INVOC!$MY$19,DADOS_INVOC!$MZ$19,DADOS_INVOC!$NA$19)</f>
        <v/>
      </c>
      <c r="C1366" s="198" t="inlineStr">
        <is>
          <t>DADOS_INVOC!MX19 DADOS_INVOC!MY19 DADOS_INVOC!MZ19 DADOS_INVOC!NA19</t>
        </is>
      </c>
      <c r="D1366" s="198" t="inlineStr">
        <is>
          <t>entrada</t>
        </is>
      </c>
    </row>
    <row r="1367">
      <c r="A1367" s="198" t="inlineStr">
        <is>
          <t>invocacao.2.esp.3.restricoes</t>
        </is>
      </c>
      <c r="B1367" s="198">
        <f>TEXTJOIN(" · ",TRUE,DADOS_INVOC!$NB$19,DADOS_INVOC!$NC$19)</f>
        <v/>
      </c>
      <c r="C1367" s="198" t="inlineStr">
        <is>
          <t>DADOS_INVOC!NB19 DADOS_INVOC!NC19</t>
        </is>
      </c>
      <c r="D1367" s="198" t="inlineStr">
        <is>
          <t>entrada</t>
        </is>
      </c>
    </row>
    <row r="1368">
      <c r="A1368" s="198" t="inlineStr">
        <is>
          <t>invocacao.2.esp.3.pe</t>
        </is>
      </c>
      <c r="B1368" s="198">
        <f>IF(ISBLANK(DADOS_INVOC!$QA$19),"",DADOS_INVOC!$QA$19&amp;"")</f>
        <v/>
      </c>
      <c r="C1368" s="198" t="inlineStr">
        <is>
          <t>DADOS_INVOC!QA19</t>
        </is>
      </c>
      <c r="D1368" s="198" t="inlineStr">
        <is>
          <t>resultado</t>
        </is>
      </c>
    </row>
    <row r="1369">
      <c r="A1369" s="198" t="inlineStr">
        <is>
          <t>invocacao.2.esp.3.dano</t>
        </is>
      </c>
      <c r="B1369" s="198">
        <f>IF(ISBLANK(DADOS_INVOC!$QE$19),"",DADOS_INVOC!$QE$19&amp;"")</f>
        <v/>
      </c>
      <c r="C1369" s="198" t="inlineStr">
        <is>
          <t>DADOS_INVOC!QE19</t>
        </is>
      </c>
      <c r="D1369" s="198" t="inlineStr">
        <is>
          <t>resultado</t>
        </is>
      </c>
    </row>
    <row r="1370">
      <c r="A1370" s="198" t="inlineStr">
        <is>
          <t>invocacao.2.esp.3.erros</t>
        </is>
      </c>
      <c r="B1370" s="198">
        <f>IF(ISBLANK(DADOS_INVOC!$PT$19),"",DADOS_INVOC!$PT$19&amp;"")</f>
        <v/>
      </c>
      <c r="C1370" s="198" t="inlineStr">
        <is>
          <t>DADOS_INVOC!PT19</t>
        </is>
      </c>
      <c r="D1370" s="198" t="inlineStr">
        <is>
          <t>aviso</t>
        </is>
      </c>
    </row>
    <row r="1371">
      <c r="A1371" s="198" t="inlineStr">
        <is>
          <t>invocacao.2.esp.3.avisos</t>
        </is>
      </c>
      <c r="B1371" s="198">
        <f>IF(ISBLANK(DADOS_INVOC!$PV$19),"",DADOS_INVOC!$PV$19&amp;"")</f>
        <v/>
      </c>
      <c r="C1371" s="198" t="inlineStr">
        <is>
          <t>DADOS_INVOC!PV19</t>
        </is>
      </c>
      <c r="D1371" s="198" t="inlineStr">
        <is>
          <t>aviso</t>
        </is>
      </c>
    </row>
    <row r="1372">
      <c r="A1372" s="198" t="inlineStr">
        <is>
          <t>invocacao.2.esp.4.classe</t>
        </is>
      </c>
      <c r="B1372" s="198">
        <f>IF(ISBLANK(DADOS_INVOC!$MS$20),"",DADOS_INVOC!$MS$20&amp;"")</f>
        <v/>
      </c>
      <c r="C1372" s="198" t="inlineStr">
        <is>
          <t>DADOS_INVOC!MS20</t>
        </is>
      </c>
      <c r="D1372" s="198" t="inlineStr">
        <is>
          <t>entrada</t>
        </is>
      </c>
    </row>
    <row r="1373">
      <c r="A1373" s="198" t="inlineStr">
        <is>
          <t>invocacao.2.esp.4.nome</t>
        </is>
      </c>
      <c r="B1373" s="198">
        <f>IF(ISBLANK(DADOS_INVOC!$MT$20),"",DADOS_INVOC!$MT$20&amp;"")</f>
        <v/>
      </c>
      <c r="C1373" s="198" t="inlineStr">
        <is>
          <t>DADOS_INVOC!MT20</t>
        </is>
      </c>
      <c r="D1373" s="198" t="inlineStr">
        <is>
          <t>entrada</t>
        </is>
      </c>
    </row>
    <row r="1374">
      <c r="A1374" s="198" t="inlineStr">
        <is>
          <t>invocacao.2.esp.4.forma</t>
        </is>
      </c>
      <c r="B1374" s="198">
        <f>IF(ISBLANK(DADOS_INVOC!$MU$20),"",DADOS_INVOC!$MU$20&amp;"")</f>
        <v/>
      </c>
      <c r="C1374" s="198" t="inlineStr">
        <is>
          <t>DADOS_INVOC!MU20</t>
        </is>
      </c>
      <c r="D1374" s="198" t="inlineStr">
        <is>
          <t>entrada</t>
        </is>
      </c>
    </row>
    <row r="1375">
      <c r="A1375" s="198" t="inlineStr">
        <is>
          <t>invocacao.2.esp.4.pecas</t>
        </is>
      </c>
      <c r="B1375" s="198">
        <f>TEXTJOIN(" · ",TRUE,DADOS_INVOC!$MX$20,DADOS_INVOC!$MY$20,DADOS_INVOC!$MZ$20,DADOS_INVOC!$NA$20)</f>
        <v/>
      </c>
      <c r="C1375" s="198" t="inlineStr">
        <is>
          <t>DADOS_INVOC!MX20 DADOS_INVOC!MY20 DADOS_INVOC!MZ20 DADOS_INVOC!NA20</t>
        </is>
      </c>
      <c r="D1375" s="198" t="inlineStr">
        <is>
          <t>entrada</t>
        </is>
      </c>
    </row>
    <row r="1376">
      <c r="A1376" s="198" t="inlineStr">
        <is>
          <t>invocacao.2.esp.4.restricoes</t>
        </is>
      </c>
      <c r="B1376" s="198">
        <f>TEXTJOIN(" · ",TRUE,DADOS_INVOC!$NB$20,DADOS_INVOC!$NC$20)</f>
        <v/>
      </c>
      <c r="C1376" s="198" t="inlineStr">
        <is>
          <t>DADOS_INVOC!NB20 DADOS_INVOC!NC20</t>
        </is>
      </c>
      <c r="D1376" s="198" t="inlineStr">
        <is>
          <t>entrada</t>
        </is>
      </c>
    </row>
    <row r="1377">
      <c r="A1377" s="198" t="inlineStr">
        <is>
          <t>invocacao.2.esp.4.pe</t>
        </is>
      </c>
      <c r="B1377" s="198">
        <f>IF(ISBLANK(DADOS_INVOC!$QA$20),"",DADOS_INVOC!$QA$20&amp;"")</f>
        <v/>
      </c>
      <c r="C1377" s="198" t="inlineStr">
        <is>
          <t>DADOS_INVOC!QA20</t>
        </is>
      </c>
      <c r="D1377" s="198" t="inlineStr">
        <is>
          <t>resultado</t>
        </is>
      </c>
    </row>
    <row r="1378">
      <c r="A1378" s="198" t="inlineStr">
        <is>
          <t>invocacao.2.esp.4.dano</t>
        </is>
      </c>
      <c r="B1378" s="198">
        <f>IF(ISBLANK(DADOS_INVOC!$QE$20),"",DADOS_INVOC!$QE$20&amp;"")</f>
        <v/>
      </c>
      <c r="C1378" s="198" t="inlineStr">
        <is>
          <t>DADOS_INVOC!QE20</t>
        </is>
      </c>
      <c r="D1378" s="198" t="inlineStr">
        <is>
          <t>resultado</t>
        </is>
      </c>
    </row>
    <row r="1379">
      <c r="A1379" s="198" t="inlineStr">
        <is>
          <t>invocacao.2.esp.4.erros</t>
        </is>
      </c>
      <c r="B1379" s="198">
        <f>IF(ISBLANK(DADOS_INVOC!$PT$20),"",DADOS_INVOC!$PT$20&amp;"")</f>
        <v/>
      </c>
      <c r="C1379" s="198" t="inlineStr">
        <is>
          <t>DADOS_INVOC!PT20</t>
        </is>
      </c>
      <c r="D1379" s="198" t="inlineStr">
        <is>
          <t>aviso</t>
        </is>
      </c>
    </row>
    <row r="1380">
      <c r="A1380" s="198" t="inlineStr">
        <is>
          <t>invocacao.2.esp.4.avisos</t>
        </is>
      </c>
      <c r="B1380" s="198">
        <f>IF(ISBLANK(DADOS_INVOC!$PV$20),"",DADOS_INVOC!$PV$20&amp;"")</f>
        <v/>
      </c>
      <c r="C1380" s="198" t="inlineStr">
        <is>
          <t>DADOS_INVOC!PV20</t>
        </is>
      </c>
      <c r="D1380" s="198" t="inlineStr">
        <is>
          <t>aviso</t>
        </is>
      </c>
    </row>
    <row r="1381">
      <c r="A1381" s="198" t="inlineStr">
        <is>
          <t>invocacao.2.esp.5.classe</t>
        </is>
      </c>
      <c r="B1381" s="198">
        <f>IF(ISBLANK(DADOS_INVOC!$MS$21),"",DADOS_INVOC!$MS$21&amp;"")</f>
        <v/>
      </c>
      <c r="C1381" s="198" t="inlineStr">
        <is>
          <t>DADOS_INVOC!MS21</t>
        </is>
      </c>
      <c r="D1381" s="198" t="inlineStr">
        <is>
          <t>entrada</t>
        </is>
      </c>
    </row>
    <row r="1382">
      <c r="A1382" s="198" t="inlineStr">
        <is>
          <t>invocacao.2.esp.5.nome</t>
        </is>
      </c>
      <c r="B1382" s="198">
        <f>IF(ISBLANK(DADOS_INVOC!$MT$21),"",DADOS_INVOC!$MT$21&amp;"")</f>
        <v/>
      </c>
      <c r="C1382" s="198" t="inlineStr">
        <is>
          <t>DADOS_INVOC!MT21</t>
        </is>
      </c>
      <c r="D1382" s="198" t="inlineStr">
        <is>
          <t>entrada</t>
        </is>
      </c>
    </row>
    <row r="1383">
      <c r="A1383" s="198" t="inlineStr">
        <is>
          <t>invocacao.2.esp.5.forma</t>
        </is>
      </c>
      <c r="B1383" s="198">
        <f>IF(ISBLANK(DADOS_INVOC!$MU$21),"",DADOS_INVOC!$MU$21&amp;"")</f>
        <v/>
      </c>
      <c r="C1383" s="198" t="inlineStr">
        <is>
          <t>DADOS_INVOC!MU21</t>
        </is>
      </c>
      <c r="D1383" s="198" t="inlineStr">
        <is>
          <t>entrada</t>
        </is>
      </c>
    </row>
    <row r="1384">
      <c r="A1384" s="198" t="inlineStr">
        <is>
          <t>invocacao.2.esp.5.pecas</t>
        </is>
      </c>
      <c r="B1384" s="198">
        <f>TEXTJOIN(" · ",TRUE,DADOS_INVOC!$MX$21,DADOS_INVOC!$MY$21,DADOS_INVOC!$MZ$21,DADOS_INVOC!$NA$21)</f>
        <v/>
      </c>
      <c r="C1384" s="198" t="inlineStr">
        <is>
          <t>DADOS_INVOC!MX21 DADOS_INVOC!MY21 DADOS_INVOC!MZ21 DADOS_INVOC!NA21</t>
        </is>
      </c>
      <c r="D1384" s="198" t="inlineStr">
        <is>
          <t>entrada</t>
        </is>
      </c>
    </row>
    <row r="1385">
      <c r="A1385" s="198" t="inlineStr">
        <is>
          <t>invocacao.2.esp.5.restricoes</t>
        </is>
      </c>
      <c r="B1385" s="198">
        <f>TEXTJOIN(" · ",TRUE,DADOS_INVOC!$NB$21,DADOS_INVOC!$NC$21)</f>
        <v/>
      </c>
      <c r="C1385" s="198" t="inlineStr">
        <is>
          <t>DADOS_INVOC!NB21 DADOS_INVOC!NC21</t>
        </is>
      </c>
      <c r="D1385" s="198" t="inlineStr">
        <is>
          <t>entrada</t>
        </is>
      </c>
    </row>
    <row r="1386">
      <c r="A1386" s="198" t="inlineStr">
        <is>
          <t>invocacao.2.esp.5.pe</t>
        </is>
      </c>
      <c r="B1386" s="198">
        <f>IF(ISBLANK(DADOS_INVOC!$QA$21),"",DADOS_INVOC!$QA$21&amp;"")</f>
        <v/>
      </c>
      <c r="C1386" s="198" t="inlineStr">
        <is>
          <t>DADOS_INVOC!QA21</t>
        </is>
      </c>
      <c r="D1386" s="198" t="inlineStr">
        <is>
          <t>resultado</t>
        </is>
      </c>
    </row>
    <row r="1387">
      <c r="A1387" s="198" t="inlineStr">
        <is>
          <t>invocacao.2.esp.5.dano</t>
        </is>
      </c>
      <c r="B1387" s="198">
        <f>IF(ISBLANK(DADOS_INVOC!$QE$21),"",DADOS_INVOC!$QE$21&amp;"")</f>
        <v/>
      </c>
      <c r="C1387" s="198" t="inlineStr">
        <is>
          <t>DADOS_INVOC!QE21</t>
        </is>
      </c>
      <c r="D1387" s="198" t="inlineStr">
        <is>
          <t>resultado</t>
        </is>
      </c>
    </row>
    <row r="1388">
      <c r="A1388" s="198" t="inlineStr">
        <is>
          <t>invocacao.2.esp.5.erros</t>
        </is>
      </c>
      <c r="B1388" s="198">
        <f>IF(ISBLANK(DADOS_INVOC!$PT$21),"",DADOS_INVOC!$PT$21&amp;"")</f>
        <v/>
      </c>
      <c r="C1388" s="198" t="inlineStr">
        <is>
          <t>DADOS_INVOC!PT21</t>
        </is>
      </c>
      <c r="D1388" s="198" t="inlineStr">
        <is>
          <t>aviso</t>
        </is>
      </c>
    </row>
    <row r="1389">
      <c r="A1389" s="198" t="inlineStr">
        <is>
          <t>invocacao.2.esp.5.avisos</t>
        </is>
      </c>
      <c r="B1389" s="198">
        <f>IF(ISBLANK(DADOS_INVOC!$PV$21),"",DADOS_INVOC!$PV$21&amp;"")</f>
        <v/>
      </c>
      <c r="C1389" s="198" t="inlineStr">
        <is>
          <t>DADOS_INVOC!PV21</t>
        </is>
      </c>
      <c r="D1389" s="198" t="inlineStr">
        <is>
          <t>aviso</t>
        </is>
      </c>
    </row>
    <row r="1390">
      <c r="A1390" s="198" t="inlineStr">
        <is>
          <t>invocacao.2.esp.6.classe</t>
        </is>
      </c>
      <c r="B1390" s="198">
        <f>IF(ISBLANK(DADOS_INVOC!$MS$22),"",DADOS_INVOC!$MS$22&amp;"")</f>
        <v/>
      </c>
      <c r="C1390" s="198" t="inlineStr">
        <is>
          <t>DADOS_INVOC!MS22</t>
        </is>
      </c>
      <c r="D1390" s="198" t="inlineStr">
        <is>
          <t>entrada</t>
        </is>
      </c>
    </row>
    <row r="1391">
      <c r="A1391" s="198" t="inlineStr">
        <is>
          <t>invocacao.2.esp.6.nome</t>
        </is>
      </c>
      <c r="B1391" s="198">
        <f>IF(ISBLANK(DADOS_INVOC!$MT$22),"",DADOS_INVOC!$MT$22&amp;"")</f>
        <v/>
      </c>
      <c r="C1391" s="198" t="inlineStr">
        <is>
          <t>DADOS_INVOC!MT22</t>
        </is>
      </c>
      <c r="D1391" s="198" t="inlineStr">
        <is>
          <t>entrada</t>
        </is>
      </c>
    </row>
    <row r="1392">
      <c r="A1392" s="198" t="inlineStr">
        <is>
          <t>invocacao.2.esp.6.forma</t>
        </is>
      </c>
      <c r="B1392" s="198">
        <f>IF(ISBLANK(DADOS_INVOC!$MU$22),"",DADOS_INVOC!$MU$22&amp;"")</f>
        <v/>
      </c>
      <c r="C1392" s="198" t="inlineStr">
        <is>
          <t>DADOS_INVOC!MU22</t>
        </is>
      </c>
      <c r="D1392" s="198" t="inlineStr">
        <is>
          <t>entrada</t>
        </is>
      </c>
    </row>
    <row r="1393">
      <c r="A1393" s="198" t="inlineStr">
        <is>
          <t>invocacao.2.esp.6.pecas</t>
        </is>
      </c>
      <c r="B1393" s="198">
        <f>TEXTJOIN(" · ",TRUE,DADOS_INVOC!$MX$22,DADOS_INVOC!$MY$22,DADOS_INVOC!$MZ$22,DADOS_INVOC!$NA$22)</f>
        <v/>
      </c>
      <c r="C1393" s="198" t="inlineStr">
        <is>
          <t>DADOS_INVOC!MX22 DADOS_INVOC!MY22 DADOS_INVOC!MZ22 DADOS_INVOC!NA22</t>
        </is>
      </c>
      <c r="D1393" s="198" t="inlineStr">
        <is>
          <t>entrada</t>
        </is>
      </c>
    </row>
    <row r="1394">
      <c r="A1394" s="198" t="inlineStr">
        <is>
          <t>invocacao.2.esp.6.restricoes</t>
        </is>
      </c>
      <c r="B1394" s="198">
        <f>TEXTJOIN(" · ",TRUE,DADOS_INVOC!$NB$22,DADOS_INVOC!$NC$22)</f>
        <v/>
      </c>
      <c r="C1394" s="198" t="inlineStr">
        <is>
          <t>DADOS_INVOC!NB22 DADOS_INVOC!NC22</t>
        </is>
      </c>
      <c r="D1394" s="198" t="inlineStr">
        <is>
          <t>entrada</t>
        </is>
      </c>
    </row>
    <row r="1395">
      <c r="A1395" s="198" t="inlineStr">
        <is>
          <t>invocacao.2.esp.6.pe</t>
        </is>
      </c>
      <c r="B1395" s="198">
        <f>IF(ISBLANK(DADOS_INVOC!$QA$22),"",DADOS_INVOC!$QA$22&amp;"")</f>
        <v/>
      </c>
      <c r="C1395" s="198" t="inlineStr">
        <is>
          <t>DADOS_INVOC!QA22</t>
        </is>
      </c>
      <c r="D1395" s="198" t="inlineStr">
        <is>
          <t>resultado</t>
        </is>
      </c>
    </row>
    <row r="1396">
      <c r="A1396" s="198" t="inlineStr">
        <is>
          <t>invocacao.2.esp.6.dano</t>
        </is>
      </c>
      <c r="B1396" s="198">
        <f>IF(ISBLANK(DADOS_INVOC!$QE$22),"",DADOS_INVOC!$QE$22&amp;"")</f>
        <v/>
      </c>
      <c r="C1396" s="198" t="inlineStr">
        <is>
          <t>DADOS_INVOC!QE22</t>
        </is>
      </c>
      <c r="D1396" s="198" t="inlineStr">
        <is>
          <t>resultado</t>
        </is>
      </c>
    </row>
    <row r="1397">
      <c r="A1397" s="198" t="inlineStr">
        <is>
          <t>invocacao.2.esp.6.erros</t>
        </is>
      </c>
      <c r="B1397" s="198">
        <f>IF(ISBLANK(DADOS_INVOC!$PT$22),"",DADOS_INVOC!$PT$22&amp;"")</f>
        <v/>
      </c>
      <c r="C1397" s="198" t="inlineStr">
        <is>
          <t>DADOS_INVOC!PT22</t>
        </is>
      </c>
      <c r="D1397" s="198" t="inlineStr">
        <is>
          <t>aviso</t>
        </is>
      </c>
    </row>
    <row r="1398">
      <c r="A1398" s="198" t="inlineStr">
        <is>
          <t>invocacao.2.esp.6.avisos</t>
        </is>
      </c>
      <c r="B1398" s="198">
        <f>IF(ISBLANK(DADOS_INVOC!$PV$22),"",DADOS_INVOC!$PV$22&amp;"")</f>
        <v/>
      </c>
      <c r="C1398" s="198" t="inlineStr">
        <is>
          <t>DADOS_INVOC!PV22</t>
        </is>
      </c>
      <c r="D1398" s="198" t="inlineStr">
        <is>
          <t>aviso</t>
        </is>
      </c>
    </row>
    <row r="1399">
      <c r="A1399" s="198" t="inlineStr">
        <is>
          <t>invocacao.2.esp.7.classe</t>
        </is>
      </c>
      <c r="B1399" s="198">
        <f>IF(ISBLANK(DADOS_INVOC!$MS$23),"",DADOS_INVOC!$MS$23&amp;"")</f>
        <v/>
      </c>
      <c r="C1399" s="198" t="inlineStr">
        <is>
          <t>DADOS_INVOC!MS23</t>
        </is>
      </c>
      <c r="D1399" s="198" t="inlineStr">
        <is>
          <t>entrada</t>
        </is>
      </c>
    </row>
    <row r="1400">
      <c r="A1400" s="198" t="inlineStr">
        <is>
          <t>invocacao.2.esp.7.nome</t>
        </is>
      </c>
      <c r="B1400" s="198">
        <f>IF(ISBLANK(DADOS_INVOC!$MT$23),"",DADOS_INVOC!$MT$23&amp;"")</f>
        <v/>
      </c>
      <c r="C1400" s="198" t="inlineStr">
        <is>
          <t>DADOS_INVOC!MT23</t>
        </is>
      </c>
      <c r="D1400" s="198" t="inlineStr">
        <is>
          <t>entrada</t>
        </is>
      </c>
    </row>
    <row r="1401">
      <c r="A1401" s="198" t="inlineStr">
        <is>
          <t>invocacao.2.esp.7.forma</t>
        </is>
      </c>
      <c r="B1401" s="198">
        <f>IF(ISBLANK(DADOS_INVOC!$MU$23),"",DADOS_INVOC!$MU$23&amp;"")</f>
        <v/>
      </c>
      <c r="C1401" s="198" t="inlineStr">
        <is>
          <t>DADOS_INVOC!MU23</t>
        </is>
      </c>
      <c r="D1401" s="198" t="inlineStr">
        <is>
          <t>entrada</t>
        </is>
      </c>
    </row>
    <row r="1402">
      <c r="A1402" s="198" t="inlineStr">
        <is>
          <t>invocacao.2.esp.7.pecas</t>
        </is>
      </c>
      <c r="B1402" s="198">
        <f>TEXTJOIN(" · ",TRUE,DADOS_INVOC!$MX$23,DADOS_INVOC!$MY$23,DADOS_INVOC!$MZ$23,DADOS_INVOC!$NA$23)</f>
        <v/>
      </c>
      <c r="C1402" s="198" t="inlineStr">
        <is>
          <t>DADOS_INVOC!MX23 DADOS_INVOC!MY23 DADOS_INVOC!MZ23 DADOS_INVOC!NA23</t>
        </is>
      </c>
      <c r="D1402" s="198" t="inlineStr">
        <is>
          <t>entrada</t>
        </is>
      </c>
    </row>
    <row r="1403">
      <c r="A1403" s="198" t="inlineStr">
        <is>
          <t>invocacao.2.esp.7.restricoes</t>
        </is>
      </c>
      <c r="B1403" s="198">
        <f>TEXTJOIN(" · ",TRUE,DADOS_INVOC!$NB$23,DADOS_INVOC!$NC$23)</f>
        <v/>
      </c>
      <c r="C1403" s="198" t="inlineStr">
        <is>
          <t>DADOS_INVOC!NB23 DADOS_INVOC!NC23</t>
        </is>
      </c>
      <c r="D1403" s="198" t="inlineStr">
        <is>
          <t>entrada</t>
        </is>
      </c>
    </row>
    <row r="1404">
      <c r="A1404" s="198" t="inlineStr">
        <is>
          <t>invocacao.2.esp.7.pe</t>
        </is>
      </c>
      <c r="B1404" s="198">
        <f>IF(ISBLANK(DADOS_INVOC!$QA$23),"",DADOS_INVOC!$QA$23&amp;"")</f>
        <v/>
      </c>
      <c r="C1404" s="198" t="inlineStr">
        <is>
          <t>DADOS_INVOC!QA23</t>
        </is>
      </c>
      <c r="D1404" s="198" t="inlineStr">
        <is>
          <t>resultado</t>
        </is>
      </c>
    </row>
    <row r="1405">
      <c r="A1405" s="198" t="inlineStr">
        <is>
          <t>invocacao.2.esp.7.dano</t>
        </is>
      </c>
      <c r="B1405" s="198">
        <f>IF(ISBLANK(DADOS_INVOC!$QE$23),"",DADOS_INVOC!$QE$23&amp;"")</f>
        <v/>
      </c>
      <c r="C1405" s="198" t="inlineStr">
        <is>
          <t>DADOS_INVOC!QE23</t>
        </is>
      </c>
      <c r="D1405" s="198" t="inlineStr">
        <is>
          <t>resultado</t>
        </is>
      </c>
    </row>
    <row r="1406">
      <c r="A1406" s="198" t="inlineStr">
        <is>
          <t>invocacao.2.esp.7.erros</t>
        </is>
      </c>
      <c r="B1406" s="198">
        <f>IF(ISBLANK(DADOS_INVOC!$PT$23),"",DADOS_INVOC!$PT$23&amp;"")</f>
        <v/>
      </c>
      <c r="C1406" s="198" t="inlineStr">
        <is>
          <t>DADOS_INVOC!PT23</t>
        </is>
      </c>
      <c r="D1406" s="198" t="inlineStr">
        <is>
          <t>aviso</t>
        </is>
      </c>
    </row>
    <row r="1407">
      <c r="A1407" s="198" t="inlineStr">
        <is>
          <t>invocacao.2.esp.7.avisos</t>
        </is>
      </c>
      <c r="B1407" s="198">
        <f>IF(ISBLANK(DADOS_INVOC!$PV$23),"",DADOS_INVOC!$PV$23&amp;"")</f>
        <v/>
      </c>
      <c r="C1407" s="198" t="inlineStr">
        <is>
          <t>DADOS_INVOC!PV23</t>
        </is>
      </c>
      <c r="D1407" s="198" t="inlineStr">
        <is>
          <t>aviso</t>
        </is>
      </c>
    </row>
    <row r="1408">
      <c r="A1408" s="198" t="inlineStr">
        <is>
          <t>invocacao.2.esp.8.classe</t>
        </is>
      </c>
      <c r="B1408" s="198">
        <f>IF(ISBLANK(DADOS_INVOC!$MS$24),"",DADOS_INVOC!$MS$24&amp;"")</f>
        <v/>
      </c>
      <c r="C1408" s="198" t="inlineStr">
        <is>
          <t>DADOS_INVOC!MS24</t>
        </is>
      </c>
      <c r="D1408" s="198" t="inlineStr">
        <is>
          <t>entrada</t>
        </is>
      </c>
    </row>
    <row r="1409">
      <c r="A1409" s="198" t="inlineStr">
        <is>
          <t>invocacao.2.esp.8.nome</t>
        </is>
      </c>
      <c r="B1409" s="198">
        <f>IF(ISBLANK(DADOS_INVOC!$MT$24),"",DADOS_INVOC!$MT$24&amp;"")</f>
        <v/>
      </c>
      <c r="C1409" s="198" t="inlineStr">
        <is>
          <t>DADOS_INVOC!MT24</t>
        </is>
      </c>
      <c r="D1409" s="198" t="inlineStr">
        <is>
          <t>entrada</t>
        </is>
      </c>
    </row>
    <row r="1410">
      <c r="A1410" s="198" t="inlineStr">
        <is>
          <t>invocacao.2.esp.8.forma</t>
        </is>
      </c>
      <c r="B1410" s="198">
        <f>IF(ISBLANK(DADOS_INVOC!$MU$24),"",DADOS_INVOC!$MU$24&amp;"")</f>
        <v/>
      </c>
      <c r="C1410" s="198" t="inlineStr">
        <is>
          <t>DADOS_INVOC!MU24</t>
        </is>
      </c>
      <c r="D1410" s="198" t="inlineStr">
        <is>
          <t>entrada</t>
        </is>
      </c>
    </row>
    <row r="1411">
      <c r="A1411" s="198" t="inlineStr">
        <is>
          <t>invocacao.2.esp.8.pecas</t>
        </is>
      </c>
      <c r="B1411" s="198">
        <f>TEXTJOIN(" · ",TRUE,DADOS_INVOC!$MX$24,DADOS_INVOC!$MY$24,DADOS_INVOC!$MZ$24,DADOS_INVOC!$NA$24)</f>
        <v/>
      </c>
      <c r="C1411" s="198" t="inlineStr">
        <is>
          <t>DADOS_INVOC!MX24 DADOS_INVOC!MY24 DADOS_INVOC!MZ24 DADOS_INVOC!NA24</t>
        </is>
      </c>
      <c r="D1411" s="198" t="inlineStr">
        <is>
          <t>entrada</t>
        </is>
      </c>
    </row>
    <row r="1412">
      <c r="A1412" s="198" t="inlineStr">
        <is>
          <t>invocacao.2.esp.8.restricoes</t>
        </is>
      </c>
      <c r="B1412" s="198">
        <f>TEXTJOIN(" · ",TRUE,DADOS_INVOC!$NB$24,DADOS_INVOC!$NC$24)</f>
        <v/>
      </c>
      <c r="C1412" s="198" t="inlineStr">
        <is>
          <t>DADOS_INVOC!NB24 DADOS_INVOC!NC24</t>
        </is>
      </c>
      <c r="D1412" s="198" t="inlineStr">
        <is>
          <t>entrada</t>
        </is>
      </c>
    </row>
    <row r="1413">
      <c r="A1413" s="198" t="inlineStr">
        <is>
          <t>invocacao.2.esp.8.pe</t>
        </is>
      </c>
      <c r="B1413" s="198">
        <f>IF(ISBLANK(DADOS_INVOC!$QA$24),"",DADOS_INVOC!$QA$24&amp;"")</f>
        <v/>
      </c>
      <c r="C1413" s="198" t="inlineStr">
        <is>
          <t>DADOS_INVOC!QA24</t>
        </is>
      </c>
      <c r="D1413" s="198" t="inlineStr">
        <is>
          <t>resultado</t>
        </is>
      </c>
    </row>
    <row r="1414">
      <c r="A1414" s="198" t="inlineStr">
        <is>
          <t>invocacao.2.esp.8.dano</t>
        </is>
      </c>
      <c r="B1414" s="198">
        <f>IF(ISBLANK(DADOS_INVOC!$QE$24),"",DADOS_INVOC!$QE$24&amp;"")</f>
        <v/>
      </c>
      <c r="C1414" s="198" t="inlineStr">
        <is>
          <t>DADOS_INVOC!QE24</t>
        </is>
      </c>
      <c r="D1414" s="198" t="inlineStr">
        <is>
          <t>resultado</t>
        </is>
      </c>
    </row>
    <row r="1415">
      <c r="A1415" s="198" t="inlineStr">
        <is>
          <t>invocacao.2.esp.8.erros</t>
        </is>
      </c>
      <c r="B1415" s="198">
        <f>IF(ISBLANK(DADOS_INVOC!$PT$24),"",DADOS_INVOC!$PT$24&amp;"")</f>
        <v/>
      </c>
      <c r="C1415" s="198" t="inlineStr">
        <is>
          <t>DADOS_INVOC!PT24</t>
        </is>
      </c>
      <c r="D1415" s="198" t="inlineStr">
        <is>
          <t>aviso</t>
        </is>
      </c>
    </row>
    <row r="1416">
      <c r="A1416" s="198" t="inlineStr">
        <is>
          <t>invocacao.2.esp.8.avisos</t>
        </is>
      </c>
      <c r="B1416" s="198">
        <f>IF(ISBLANK(DADOS_INVOC!$PV$24),"",DADOS_INVOC!$PV$24&amp;"")</f>
        <v/>
      </c>
      <c r="C1416" s="198" t="inlineStr">
        <is>
          <t>DADOS_INVOC!PV24</t>
        </is>
      </c>
      <c r="D1416" s="198" t="inlineStr">
        <is>
          <t>aviso</t>
        </is>
      </c>
    </row>
    <row r="1417">
      <c r="A1417" s="198" t="inlineStr">
        <is>
          <t>invocacao.2.ext.1.classe</t>
        </is>
      </c>
      <c r="B1417" s="198">
        <f>IF(ISBLANK(DADOS_INVOC!$MS$25),"",DADOS_INVOC!$MS$25&amp;"")</f>
        <v/>
      </c>
      <c r="C1417" s="198" t="inlineStr">
        <is>
          <t>DADOS_INVOC!MS25</t>
        </is>
      </c>
      <c r="D1417" s="198" t="inlineStr">
        <is>
          <t>entrada</t>
        </is>
      </c>
    </row>
    <row r="1418">
      <c r="A1418" s="198" t="inlineStr">
        <is>
          <t>invocacao.2.ext.1.nome</t>
        </is>
      </c>
      <c r="B1418" s="198">
        <f>IF(ISBLANK(DADOS_INVOC!$MT$25),"",DADOS_INVOC!$MT$25&amp;"")</f>
        <v/>
      </c>
      <c r="C1418" s="198" t="inlineStr">
        <is>
          <t>DADOS_INVOC!MT25</t>
        </is>
      </c>
      <c r="D1418" s="198" t="inlineStr">
        <is>
          <t>entrada</t>
        </is>
      </c>
    </row>
    <row r="1419">
      <c r="A1419" s="198" t="inlineStr">
        <is>
          <t>invocacao.2.ext.1.forma</t>
        </is>
      </c>
      <c r="B1419" s="198">
        <f>IF(ISBLANK(DADOS_INVOC!$MU$25),"",DADOS_INVOC!$MU$25&amp;"")</f>
        <v/>
      </c>
      <c r="C1419" s="198" t="inlineStr">
        <is>
          <t>DADOS_INVOC!MU25</t>
        </is>
      </c>
      <c r="D1419" s="198" t="inlineStr">
        <is>
          <t>entrada</t>
        </is>
      </c>
    </row>
    <row r="1420">
      <c r="A1420" s="198" t="inlineStr">
        <is>
          <t>invocacao.2.ext.1.pecas</t>
        </is>
      </c>
      <c r="B1420" s="198">
        <f>TEXTJOIN(" · ",TRUE,DADOS_INVOC!$MX$25,DADOS_INVOC!$MY$25,DADOS_INVOC!$MZ$25,DADOS_INVOC!$NA$25)</f>
        <v/>
      </c>
      <c r="C1420" s="198" t="inlineStr">
        <is>
          <t>DADOS_INVOC!MX25 DADOS_INVOC!MY25 DADOS_INVOC!MZ25 DADOS_INVOC!NA25</t>
        </is>
      </c>
      <c r="D1420" s="198" t="inlineStr">
        <is>
          <t>entrada</t>
        </is>
      </c>
    </row>
    <row r="1421">
      <c r="A1421" s="198" t="inlineStr">
        <is>
          <t>invocacao.2.ext.1.restricoes</t>
        </is>
      </c>
      <c r="B1421" s="198">
        <f>TEXTJOIN(" · ",TRUE,DADOS_INVOC!$NB$25,DADOS_INVOC!$NC$25)</f>
        <v/>
      </c>
      <c r="C1421" s="198" t="inlineStr">
        <is>
          <t>DADOS_INVOC!NB25 DADOS_INVOC!NC25</t>
        </is>
      </c>
      <c r="D1421" s="198" t="inlineStr">
        <is>
          <t>entrada</t>
        </is>
      </c>
    </row>
    <row r="1422">
      <c r="A1422" s="198" t="inlineStr">
        <is>
          <t>invocacao.2.ext.1.pe</t>
        </is>
      </c>
      <c r="B1422" s="198">
        <f>IF(ISBLANK(DADOS_INVOC!$QA$25),"",DADOS_INVOC!$QA$25&amp;"")</f>
        <v/>
      </c>
      <c r="C1422" s="198" t="inlineStr">
        <is>
          <t>DADOS_INVOC!QA25</t>
        </is>
      </c>
      <c r="D1422" s="198" t="inlineStr">
        <is>
          <t>resultado</t>
        </is>
      </c>
    </row>
    <row r="1423">
      <c r="A1423" s="198" t="inlineStr">
        <is>
          <t>invocacao.2.ext.1.dano</t>
        </is>
      </c>
      <c r="B1423" s="198">
        <f>IF(ISBLANK(DADOS_INVOC!$QE$25),"",DADOS_INVOC!$QE$25&amp;"")</f>
        <v/>
      </c>
      <c r="C1423" s="198" t="inlineStr">
        <is>
          <t>DADOS_INVOC!QE25</t>
        </is>
      </c>
      <c r="D1423" s="198" t="inlineStr">
        <is>
          <t>resultado</t>
        </is>
      </c>
    </row>
    <row r="1424">
      <c r="A1424" s="198" t="inlineStr">
        <is>
          <t>invocacao.2.ext.1.erros</t>
        </is>
      </c>
      <c r="B1424" s="198">
        <f>IF(ISBLANK(DADOS_INVOC!$PT$25),"",DADOS_INVOC!$PT$25&amp;"")</f>
        <v/>
      </c>
      <c r="C1424" s="198" t="inlineStr">
        <is>
          <t>DADOS_INVOC!PT25</t>
        </is>
      </c>
      <c r="D1424" s="198" t="inlineStr">
        <is>
          <t>aviso</t>
        </is>
      </c>
    </row>
    <row r="1425">
      <c r="A1425" s="198" t="inlineStr">
        <is>
          <t>invocacao.2.ext.1.avisos</t>
        </is>
      </c>
      <c r="B1425" s="198">
        <f>IF(ISBLANK(DADOS_INVOC!$PV$25),"",DADOS_INVOC!$PV$25&amp;"")</f>
        <v/>
      </c>
      <c r="C1425" s="198" t="inlineStr">
        <is>
          <t>DADOS_INVOC!PV25</t>
        </is>
      </c>
      <c r="D1425" s="198" t="inlineStr">
        <is>
          <t>aviso</t>
        </is>
      </c>
    </row>
    <row r="1426">
      <c r="A1426" s="198" t="inlineStr">
        <is>
          <t>invocacao.2.ext.2.classe</t>
        </is>
      </c>
      <c r="B1426" s="198">
        <f>IF(ISBLANK(DADOS_INVOC!$MS$26),"",DADOS_INVOC!$MS$26&amp;"")</f>
        <v/>
      </c>
      <c r="C1426" s="198" t="inlineStr">
        <is>
          <t>DADOS_INVOC!MS26</t>
        </is>
      </c>
      <c r="D1426" s="198" t="inlineStr">
        <is>
          <t>entrada</t>
        </is>
      </c>
    </row>
    <row r="1427">
      <c r="A1427" s="198" t="inlineStr">
        <is>
          <t>invocacao.2.ext.2.nome</t>
        </is>
      </c>
      <c r="B1427" s="198">
        <f>IF(ISBLANK(DADOS_INVOC!$MT$26),"",DADOS_INVOC!$MT$26&amp;"")</f>
        <v/>
      </c>
      <c r="C1427" s="198" t="inlineStr">
        <is>
          <t>DADOS_INVOC!MT26</t>
        </is>
      </c>
      <c r="D1427" s="198" t="inlineStr">
        <is>
          <t>entrada</t>
        </is>
      </c>
    </row>
    <row r="1428">
      <c r="A1428" s="198" t="inlineStr">
        <is>
          <t>invocacao.2.ext.2.forma</t>
        </is>
      </c>
      <c r="B1428" s="198">
        <f>IF(ISBLANK(DADOS_INVOC!$MU$26),"",DADOS_INVOC!$MU$26&amp;"")</f>
        <v/>
      </c>
      <c r="C1428" s="198" t="inlineStr">
        <is>
          <t>DADOS_INVOC!MU26</t>
        </is>
      </c>
      <c r="D1428" s="198" t="inlineStr">
        <is>
          <t>entrada</t>
        </is>
      </c>
    </row>
    <row r="1429">
      <c r="A1429" s="198" t="inlineStr">
        <is>
          <t>invocacao.2.ext.2.pecas</t>
        </is>
      </c>
      <c r="B1429" s="198">
        <f>TEXTJOIN(" · ",TRUE,DADOS_INVOC!$MX$26,DADOS_INVOC!$MY$26,DADOS_INVOC!$MZ$26,DADOS_INVOC!$NA$26)</f>
        <v/>
      </c>
      <c r="C1429" s="198" t="inlineStr">
        <is>
          <t>DADOS_INVOC!MX26 DADOS_INVOC!MY26 DADOS_INVOC!MZ26 DADOS_INVOC!NA26</t>
        </is>
      </c>
      <c r="D1429" s="198" t="inlineStr">
        <is>
          <t>entrada</t>
        </is>
      </c>
    </row>
    <row r="1430">
      <c r="A1430" s="198" t="inlineStr">
        <is>
          <t>invocacao.2.ext.2.restricoes</t>
        </is>
      </c>
      <c r="B1430" s="198">
        <f>TEXTJOIN(" · ",TRUE,DADOS_INVOC!$NB$26,DADOS_INVOC!$NC$26)</f>
        <v/>
      </c>
      <c r="C1430" s="198" t="inlineStr">
        <is>
          <t>DADOS_INVOC!NB26 DADOS_INVOC!NC26</t>
        </is>
      </c>
      <c r="D1430" s="198" t="inlineStr">
        <is>
          <t>entrada</t>
        </is>
      </c>
    </row>
    <row r="1431">
      <c r="A1431" s="198" t="inlineStr">
        <is>
          <t>invocacao.2.ext.2.pe</t>
        </is>
      </c>
      <c r="B1431" s="198">
        <f>IF(ISBLANK(DADOS_INVOC!$QA$26),"",DADOS_INVOC!$QA$26&amp;"")</f>
        <v/>
      </c>
      <c r="C1431" s="198" t="inlineStr">
        <is>
          <t>DADOS_INVOC!QA26</t>
        </is>
      </c>
      <c r="D1431" s="198" t="inlineStr">
        <is>
          <t>resultado</t>
        </is>
      </c>
    </row>
    <row r="1432">
      <c r="A1432" s="198" t="inlineStr">
        <is>
          <t>invocacao.2.ext.2.dano</t>
        </is>
      </c>
      <c r="B1432" s="198">
        <f>IF(ISBLANK(DADOS_INVOC!$QE$26),"",DADOS_INVOC!$QE$26&amp;"")</f>
        <v/>
      </c>
      <c r="C1432" s="198" t="inlineStr">
        <is>
          <t>DADOS_INVOC!QE26</t>
        </is>
      </c>
      <c r="D1432" s="198" t="inlineStr">
        <is>
          <t>resultado</t>
        </is>
      </c>
    </row>
    <row r="1433">
      <c r="A1433" s="198" t="inlineStr">
        <is>
          <t>invocacao.2.ext.2.erros</t>
        </is>
      </c>
      <c r="B1433" s="198">
        <f>IF(ISBLANK(DADOS_INVOC!$PT$26),"",DADOS_INVOC!$PT$26&amp;"")</f>
        <v/>
      </c>
      <c r="C1433" s="198" t="inlineStr">
        <is>
          <t>DADOS_INVOC!PT26</t>
        </is>
      </c>
      <c r="D1433" s="198" t="inlineStr">
        <is>
          <t>aviso</t>
        </is>
      </c>
    </row>
    <row r="1434">
      <c r="A1434" s="198" t="inlineStr">
        <is>
          <t>invocacao.2.ext.2.avisos</t>
        </is>
      </c>
      <c r="B1434" s="198">
        <f>IF(ISBLANK(DADOS_INVOC!$PV$26),"",DADOS_INVOC!$PV$26&amp;"")</f>
        <v/>
      </c>
      <c r="C1434" s="198" t="inlineStr">
        <is>
          <t>DADOS_INVOC!PV26</t>
        </is>
      </c>
      <c r="D1434" s="198" t="inlineStr">
        <is>
          <t>aviso</t>
        </is>
      </c>
    </row>
    <row r="1435">
      <c r="A1435" s="198" t="inlineStr">
        <is>
          <t>invocacao.2.ext.3.classe</t>
        </is>
      </c>
      <c r="B1435" s="198">
        <f>IF(ISBLANK(DADOS_INVOC!$MS$27),"",DADOS_INVOC!$MS$27&amp;"")</f>
        <v/>
      </c>
      <c r="C1435" s="198" t="inlineStr">
        <is>
          <t>DADOS_INVOC!MS27</t>
        </is>
      </c>
      <c r="D1435" s="198" t="inlineStr">
        <is>
          <t>entrada</t>
        </is>
      </c>
    </row>
    <row r="1436">
      <c r="A1436" s="198" t="inlineStr">
        <is>
          <t>invocacao.2.ext.3.nome</t>
        </is>
      </c>
      <c r="B1436" s="198">
        <f>IF(ISBLANK(DADOS_INVOC!$MT$27),"",DADOS_INVOC!$MT$27&amp;"")</f>
        <v/>
      </c>
      <c r="C1436" s="198" t="inlineStr">
        <is>
          <t>DADOS_INVOC!MT27</t>
        </is>
      </c>
      <c r="D1436" s="198" t="inlineStr">
        <is>
          <t>entrada</t>
        </is>
      </c>
    </row>
    <row r="1437">
      <c r="A1437" s="198" t="inlineStr">
        <is>
          <t>invocacao.2.ext.3.forma</t>
        </is>
      </c>
      <c r="B1437" s="198">
        <f>IF(ISBLANK(DADOS_INVOC!$MU$27),"",DADOS_INVOC!$MU$27&amp;"")</f>
        <v/>
      </c>
      <c r="C1437" s="198" t="inlineStr">
        <is>
          <t>DADOS_INVOC!MU27</t>
        </is>
      </c>
      <c r="D1437" s="198" t="inlineStr">
        <is>
          <t>entrada</t>
        </is>
      </c>
    </row>
    <row r="1438">
      <c r="A1438" s="198" t="inlineStr">
        <is>
          <t>invocacao.2.ext.3.pecas</t>
        </is>
      </c>
      <c r="B1438" s="198">
        <f>TEXTJOIN(" · ",TRUE,DADOS_INVOC!$MX$27,DADOS_INVOC!$MY$27,DADOS_INVOC!$MZ$27,DADOS_INVOC!$NA$27)</f>
        <v/>
      </c>
      <c r="C1438" s="198" t="inlineStr">
        <is>
          <t>DADOS_INVOC!MX27 DADOS_INVOC!MY27 DADOS_INVOC!MZ27 DADOS_INVOC!NA27</t>
        </is>
      </c>
      <c r="D1438" s="198" t="inlineStr">
        <is>
          <t>entrada</t>
        </is>
      </c>
    </row>
    <row r="1439">
      <c r="A1439" s="198" t="inlineStr">
        <is>
          <t>invocacao.2.ext.3.restricoes</t>
        </is>
      </c>
      <c r="B1439" s="198">
        <f>TEXTJOIN(" · ",TRUE,DADOS_INVOC!$NB$27,DADOS_INVOC!$NC$27)</f>
        <v/>
      </c>
      <c r="C1439" s="198" t="inlineStr">
        <is>
          <t>DADOS_INVOC!NB27 DADOS_INVOC!NC27</t>
        </is>
      </c>
      <c r="D1439" s="198" t="inlineStr">
        <is>
          <t>entrada</t>
        </is>
      </c>
    </row>
    <row r="1440">
      <c r="A1440" s="198" t="inlineStr">
        <is>
          <t>invocacao.2.ext.3.pe</t>
        </is>
      </c>
      <c r="B1440" s="198">
        <f>IF(ISBLANK(DADOS_INVOC!$QA$27),"",DADOS_INVOC!$QA$27&amp;"")</f>
        <v/>
      </c>
      <c r="C1440" s="198" t="inlineStr">
        <is>
          <t>DADOS_INVOC!QA27</t>
        </is>
      </c>
      <c r="D1440" s="198" t="inlineStr">
        <is>
          <t>resultado</t>
        </is>
      </c>
    </row>
    <row r="1441">
      <c r="A1441" s="198" t="inlineStr">
        <is>
          <t>invocacao.2.ext.3.dano</t>
        </is>
      </c>
      <c r="B1441" s="198">
        <f>IF(ISBLANK(DADOS_INVOC!$QE$27),"",DADOS_INVOC!$QE$27&amp;"")</f>
        <v/>
      </c>
      <c r="C1441" s="198" t="inlineStr">
        <is>
          <t>DADOS_INVOC!QE27</t>
        </is>
      </c>
      <c r="D1441" s="198" t="inlineStr">
        <is>
          <t>resultado</t>
        </is>
      </c>
    </row>
    <row r="1442">
      <c r="A1442" s="198" t="inlineStr">
        <is>
          <t>invocacao.2.ext.3.erros</t>
        </is>
      </c>
      <c r="B1442" s="198">
        <f>IF(ISBLANK(DADOS_INVOC!$PT$27),"",DADOS_INVOC!$PT$27&amp;"")</f>
        <v/>
      </c>
      <c r="C1442" s="198" t="inlineStr">
        <is>
          <t>DADOS_INVOC!PT27</t>
        </is>
      </c>
      <c r="D1442" s="198" t="inlineStr">
        <is>
          <t>aviso</t>
        </is>
      </c>
    </row>
    <row r="1443">
      <c r="A1443" s="198" t="inlineStr">
        <is>
          <t>invocacao.2.ext.3.avisos</t>
        </is>
      </c>
      <c r="B1443" s="198">
        <f>IF(ISBLANK(DADOS_INVOC!$PV$27),"",DADOS_INVOC!$PV$27&amp;"")</f>
        <v/>
      </c>
      <c r="C1443" s="198" t="inlineStr">
        <is>
          <t>DADOS_INVOC!PV27</t>
        </is>
      </c>
      <c r="D1443" s="198" t="inlineStr">
        <is>
          <t>aviso</t>
        </is>
      </c>
    </row>
    <row r="1444">
      <c r="A1444" s="198" t="inlineStr">
        <is>
          <t>invocacao.3.bas.1.classe</t>
        </is>
      </c>
      <c r="B1444" s="198">
        <f>IF(ISBLANK(DADOS_INVOC!$MS$28),"",DADOS_INVOC!$MS$28&amp;"")</f>
        <v/>
      </c>
      <c r="C1444" s="198" t="inlineStr">
        <is>
          <t>DADOS_INVOC!MS28</t>
        </is>
      </c>
      <c r="D1444" s="198" t="inlineStr">
        <is>
          <t>entrada</t>
        </is>
      </c>
    </row>
    <row r="1445">
      <c r="A1445" s="198" t="inlineStr">
        <is>
          <t>invocacao.3.bas.1.nome</t>
        </is>
      </c>
      <c r="B1445" s="198">
        <f>IF(ISBLANK(DADOS_INVOC!$MT$28),"",DADOS_INVOC!$MT$28&amp;"")</f>
        <v/>
      </c>
      <c r="C1445" s="198" t="inlineStr">
        <is>
          <t>DADOS_INVOC!MT28</t>
        </is>
      </c>
      <c r="D1445" s="198" t="inlineStr">
        <is>
          <t>entrada</t>
        </is>
      </c>
    </row>
    <row r="1446">
      <c r="A1446" s="198" t="inlineStr">
        <is>
          <t>invocacao.3.bas.1.forma</t>
        </is>
      </c>
      <c r="B1446" s="198">
        <f>IF(ISBLANK(DADOS_INVOC!$MU$28),"",DADOS_INVOC!$MU$28&amp;"")</f>
        <v/>
      </c>
      <c r="C1446" s="198" t="inlineStr">
        <is>
          <t>DADOS_INVOC!MU28</t>
        </is>
      </c>
      <c r="D1446" s="198" t="inlineStr">
        <is>
          <t>entrada</t>
        </is>
      </c>
    </row>
    <row r="1447">
      <c r="A1447" s="198" t="inlineStr">
        <is>
          <t>invocacao.3.bas.1.pecas</t>
        </is>
      </c>
      <c r="B1447" s="198">
        <f>TEXTJOIN(" · ",TRUE,DADOS_INVOC!$MX$28,DADOS_INVOC!$MY$28,DADOS_INVOC!$MZ$28,DADOS_INVOC!$NA$28)</f>
        <v/>
      </c>
      <c r="C1447" s="198" t="inlineStr">
        <is>
          <t>DADOS_INVOC!MX28 DADOS_INVOC!MY28 DADOS_INVOC!MZ28 DADOS_INVOC!NA28</t>
        </is>
      </c>
      <c r="D1447" s="198" t="inlineStr">
        <is>
          <t>entrada</t>
        </is>
      </c>
    </row>
    <row r="1448">
      <c r="A1448" s="198" t="inlineStr">
        <is>
          <t>invocacao.3.bas.1.restricoes</t>
        </is>
      </c>
      <c r="B1448" s="198">
        <f>TEXTJOIN(" · ",TRUE,DADOS_INVOC!$NB$28,DADOS_INVOC!$NC$28)</f>
        <v/>
      </c>
      <c r="C1448" s="198" t="inlineStr">
        <is>
          <t>DADOS_INVOC!NB28 DADOS_INVOC!NC28</t>
        </is>
      </c>
      <c r="D1448" s="198" t="inlineStr">
        <is>
          <t>entrada</t>
        </is>
      </c>
    </row>
    <row r="1449">
      <c r="A1449" s="198" t="inlineStr">
        <is>
          <t>invocacao.3.bas.1.pe</t>
        </is>
      </c>
      <c r="B1449" s="198">
        <f>IF(ISBLANK(DADOS_INVOC!$QA$28),"",DADOS_INVOC!$QA$28&amp;"")</f>
        <v/>
      </c>
      <c r="C1449" s="198" t="inlineStr">
        <is>
          <t>DADOS_INVOC!QA28</t>
        </is>
      </c>
      <c r="D1449" s="198" t="inlineStr">
        <is>
          <t>resultado</t>
        </is>
      </c>
    </row>
    <row r="1450">
      <c r="A1450" s="198" t="inlineStr">
        <is>
          <t>invocacao.3.bas.1.dano</t>
        </is>
      </c>
      <c r="B1450" s="198">
        <f>IF(ISBLANK(DADOS_INVOC!$QE$28),"",DADOS_INVOC!$QE$28&amp;"")</f>
        <v/>
      </c>
      <c r="C1450" s="198" t="inlineStr">
        <is>
          <t>DADOS_INVOC!QE28</t>
        </is>
      </c>
      <c r="D1450" s="198" t="inlineStr">
        <is>
          <t>resultado</t>
        </is>
      </c>
    </row>
    <row r="1451">
      <c r="A1451" s="198" t="inlineStr">
        <is>
          <t>invocacao.3.bas.1.erros</t>
        </is>
      </c>
      <c r="B1451" s="198">
        <f>IF(ISBLANK(DADOS_INVOC!$PT$28),"",DADOS_INVOC!$PT$28&amp;"")</f>
        <v/>
      </c>
      <c r="C1451" s="198" t="inlineStr">
        <is>
          <t>DADOS_INVOC!PT28</t>
        </is>
      </c>
      <c r="D1451" s="198" t="inlineStr">
        <is>
          <t>aviso</t>
        </is>
      </c>
    </row>
    <row r="1452">
      <c r="A1452" s="198" t="inlineStr">
        <is>
          <t>invocacao.3.bas.1.avisos</t>
        </is>
      </c>
      <c r="B1452" s="198">
        <f>IF(ISBLANK(DADOS_INVOC!$PV$28),"",DADOS_INVOC!$PV$28&amp;"")</f>
        <v/>
      </c>
      <c r="C1452" s="198" t="inlineStr">
        <is>
          <t>DADOS_INVOC!PV28</t>
        </is>
      </c>
      <c r="D1452" s="198" t="inlineStr">
        <is>
          <t>aviso</t>
        </is>
      </c>
    </row>
    <row r="1453">
      <c r="A1453" s="198" t="inlineStr">
        <is>
          <t>invocacao.3.esp.1.classe</t>
        </is>
      </c>
      <c r="B1453" s="198">
        <f>IF(ISBLANK(DADOS_INVOC!$MS$29),"",DADOS_INVOC!$MS$29&amp;"")</f>
        <v/>
      </c>
      <c r="C1453" s="198" t="inlineStr">
        <is>
          <t>DADOS_INVOC!MS29</t>
        </is>
      </c>
      <c r="D1453" s="198" t="inlineStr">
        <is>
          <t>entrada</t>
        </is>
      </c>
    </row>
    <row r="1454">
      <c r="A1454" s="198" t="inlineStr">
        <is>
          <t>invocacao.3.esp.1.nome</t>
        </is>
      </c>
      <c r="B1454" s="198">
        <f>IF(ISBLANK(DADOS_INVOC!$MT$29),"",DADOS_INVOC!$MT$29&amp;"")</f>
        <v/>
      </c>
      <c r="C1454" s="198" t="inlineStr">
        <is>
          <t>DADOS_INVOC!MT29</t>
        </is>
      </c>
      <c r="D1454" s="198" t="inlineStr">
        <is>
          <t>entrada</t>
        </is>
      </c>
    </row>
    <row r="1455">
      <c r="A1455" s="198" t="inlineStr">
        <is>
          <t>invocacao.3.esp.1.forma</t>
        </is>
      </c>
      <c r="B1455" s="198">
        <f>IF(ISBLANK(DADOS_INVOC!$MU$29),"",DADOS_INVOC!$MU$29&amp;"")</f>
        <v/>
      </c>
      <c r="C1455" s="198" t="inlineStr">
        <is>
          <t>DADOS_INVOC!MU29</t>
        </is>
      </c>
      <c r="D1455" s="198" t="inlineStr">
        <is>
          <t>entrada</t>
        </is>
      </c>
    </row>
    <row r="1456">
      <c r="A1456" s="198" t="inlineStr">
        <is>
          <t>invocacao.3.esp.1.pecas</t>
        </is>
      </c>
      <c r="B1456" s="198">
        <f>TEXTJOIN(" · ",TRUE,DADOS_INVOC!$MX$29,DADOS_INVOC!$MY$29,DADOS_INVOC!$MZ$29,DADOS_INVOC!$NA$29)</f>
        <v/>
      </c>
      <c r="C1456" s="198" t="inlineStr">
        <is>
          <t>DADOS_INVOC!MX29 DADOS_INVOC!MY29 DADOS_INVOC!MZ29 DADOS_INVOC!NA29</t>
        </is>
      </c>
      <c r="D1456" s="198" t="inlineStr">
        <is>
          <t>entrada</t>
        </is>
      </c>
    </row>
    <row r="1457">
      <c r="A1457" s="198" t="inlineStr">
        <is>
          <t>invocacao.3.esp.1.restricoes</t>
        </is>
      </c>
      <c r="B1457" s="198">
        <f>TEXTJOIN(" · ",TRUE,DADOS_INVOC!$NB$29,DADOS_INVOC!$NC$29)</f>
        <v/>
      </c>
      <c r="C1457" s="198" t="inlineStr">
        <is>
          <t>DADOS_INVOC!NB29 DADOS_INVOC!NC29</t>
        </is>
      </c>
      <c r="D1457" s="198" t="inlineStr">
        <is>
          <t>entrada</t>
        </is>
      </c>
    </row>
    <row r="1458">
      <c r="A1458" s="198" t="inlineStr">
        <is>
          <t>invocacao.3.esp.1.pe</t>
        </is>
      </c>
      <c r="B1458" s="198">
        <f>IF(ISBLANK(DADOS_INVOC!$QA$29),"",DADOS_INVOC!$QA$29&amp;"")</f>
        <v/>
      </c>
      <c r="C1458" s="198" t="inlineStr">
        <is>
          <t>DADOS_INVOC!QA29</t>
        </is>
      </c>
      <c r="D1458" s="198" t="inlineStr">
        <is>
          <t>resultado</t>
        </is>
      </c>
    </row>
    <row r="1459">
      <c r="A1459" s="198" t="inlineStr">
        <is>
          <t>invocacao.3.esp.1.dano</t>
        </is>
      </c>
      <c r="B1459" s="198">
        <f>IF(ISBLANK(DADOS_INVOC!$QE$29),"",DADOS_INVOC!$QE$29&amp;"")</f>
        <v/>
      </c>
      <c r="C1459" s="198" t="inlineStr">
        <is>
          <t>DADOS_INVOC!QE29</t>
        </is>
      </c>
      <c r="D1459" s="198" t="inlineStr">
        <is>
          <t>resultado</t>
        </is>
      </c>
    </row>
    <row r="1460">
      <c r="A1460" s="198" t="inlineStr">
        <is>
          <t>invocacao.3.esp.1.erros</t>
        </is>
      </c>
      <c r="B1460" s="198">
        <f>IF(ISBLANK(DADOS_INVOC!$PT$29),"",DADOS_INVOC!$PT$29&amp;"")</f>
        <v/>
      </c>
      <c r="C1460" s="198" t="inlineStr">
        <is>
          <t>DADOS_INVOC!PT29</t>
        </is>
      </c>
      <c r="D1460" s="198" t="inlineStr">
        <is>
          <t>aviso</t>
        </is>
      </c>
    </row>
    <row r="1461">
      <c r="A1461" s="198" t="inlineStr">
        <is>
          <t>invocacao.3.esp.1.avisos</t>
        </is>
      </c>
      <c r="B1461" s="198">
        <f>IF(ISBLANK(DADOS_INVOC!$PV$29),"",DADOS_INVOC!$PV$29&amp;"")</f>
        <v/>
      </c>
      <c r="C1461" s="198" t="inlineStr">
        <is>
          <t>DADOS_INVOC!PV29</t>
        </is>
      </c>
      <c r="D1461" s="198" t="inlineStr">
        <is>
          <t>aviso</t>
        </is>
      </c>
    </row>
    <row r="1462">
      <c r="A1462" s="198" t="inlineStr">
        <is>
          <t>invocacao.3.esp.2.classe</t>
        </is>
      </c>
      <c r="B1462" s="198">
        <f>IF(ISBLANK(DADOS_INVOC!$MS$30),"",DADOS_INVOC!$MS$30&amp;"")</f>
        <v/>
      </c>
      <c r="C1462" s="198" t="inlineStr">
        <is>
          <t>DADOS_INVOC!MS30</t>
        </is>
      </c>
      <c r="D1462" s="198" t="inlineStr">
        <is>
          <t>entrada</t>
        </is>
      </c>
    </row>
    <row r="1463">
      <c r="A1463" s="198" t="inlineStr">
        <is>
          <t>invocacao.3.esp.2.nome</t>
        </is>
      </c>
      <c r="B1463" s="198">
        <f>IF(ISBLANK(DADOS_INVOC!$MT$30),"",DADOS_INVOC!$MT$30&amp;"")</f>
        <v/>
      </c>
      <c r="C1463" s="198" t="inlineStr">
        <is>
          <t>DADOS_INVOC!MT30</t>
        </is>
      </c>
      <c r="D1463" s="198" t="inlineStr">
        <is>
          <t>entrada</t>
        </is>
      </c>
    </row>
    <row r="1464">
      <c r="A1464" s="198" t="inlineStr">
        <is>
          <t>invocacao.3.esp.2.forma</t>
        </is>
      </c>
      <c r="B1464" s="198">
        <f>IF(ISBLANK(DADOS_INVOC!$MU$30),"",DADOS_INVOC!$MU$30&amp;"")</f>
        <v/>
      </c>
      <c r="C1464" s="198" t="inlineStr">
        <is>
          <t>DADOS_INVOC!MU30</t>
        </is>
      </c>
      <c r="D1464" s="198" t="inlineStr">
        <is>
          <t>entrada</t>
        </is>
      </c>
    </row>
    <row r="1465">
      <c r="A1465" s="198" t="inlineStr">
        <is>
          <t>invocacao.3.esp.2.pecas</t>
        </is>
      </c>
      <c r="B1465" s="198">
        <f>TEXTJOIN(" · ",TRUE,DADOS_INVOC!$MX$30,DADOS_INVOC!$MY$30,DADOS_INVOC!$MZ$30,DADOS_INVOC!$NA$30)</f>
        <v/>
      </c>
      <c r="C1465" s="198" t="inlineStr">
        <is>
          <t>DADOS_INVOC!MX30 DADOS_INVOC!MY30 DADOS_INVOC!MZ30 DADOS_INVOC!NA30</t>
        </is>
      </c>
      <c r="D1465" s="198" t="inlineStr">
        <is>
          <t>entrada</t>
        </is>
      </c>
    </row>
    <row r="1466">
      <c r="A1466" s="198" t="inlineStr">
        <is>
          <t>invocacao.3.esp.2.restricoes</t>
        </is>
      </c>
      <c r="B1466" s="198">
        <f>TEXTJOIN(" · ",TRUE,DADOS_INVOC!$NB$30,DADOS_INVOC!$NC$30)</f>
        <v/>
      </c>
      <c r="C1466" s="198" t="inlineStr">
        <is>
          <t>DADOS_INVOC!NB30 DADOS_INVOC!NC30</t>
        </is>
      </c>
      <c r="D1466" s="198" t="inlineStr">
        <is>
          <t>entrada</t>
        </is>
      </c>
    </row>
    <row r="1467">
      <c r="A1467" s="198" t="inlineStr">
        <is>
          <t>invocacao.3.esp.2.pe</t>
        </is>
      </c>
      <c r="B1467" s="198">
        <f>IF(ISBLANK(DADOS_INVOC!$QA$30),"",DADOS_INVOC!$QA$30&amp;"")</f>
        <v/>
      </c>
      <c r="C1467" s="198" t="inlineStr">
        <is>
          <t>DADOS_INVOC!QA30</t>
        </is>
      </c>
      <c r="D1467" s="198" t="inlineStr">
        <is>
          <t>resultado</t>
        </is>
      </c>
    </row>
    <row r="1468">
      <c r="A1468" s="198" t="inlineStr">
        <is>
          <t>invocacao.3.esp.2.dano</t>
        </is>
      </c>
      <c r="B1468" s="198">
        <f>IF(ISBLANK(DADOS_INVOC!$QE$30),"",DADOS_INVOC!$QE$30&amp;"")</f>
        <v/>
      </c>
      <c r="C1468" s="198" t="inlineStr">
        <is>
          <t>DADOS_INVOC!QE30</t>
        </is>
      </c>
      <c r="D1468" s="198" t="inlineStr">
        <is>
          <t>resultado</t>
        </is>
      </c>
    </row>
    <row r="1469">
      <c r="A1469" s="198" t="inlineStr">
        <is>
          <t>invocacao.3.esp.2.erros</t>
        </is>
      </c>
      <c r="B1469" s="198">
        <f>IF(ISBLANK(DADOS_INVOC!$PT$30),"",DADOS_INVOC!$PT$30&amp;"")</f>
        <v/>
      </c>
      <c r="C1469" s="198" t="inlineStr">
        <is>
          <t>DADOS_INVOC!PT30</t>
        </is>
      </c>
      <c r="D1469" s="198" t="inlineStr">
        <is>
          <t>aviso</t>
        </is>
      </c>
    </row>
    <row r="1470">
      <c r="A1470" s="198" t="inlineStr">
        <is>
          <t>invocacao.3.esp.2.avisos</t>
        </is>
      </c>
      <c r="B1470" s="198">
        <f>IF(ISBLANK(DADOS_INVOC!$PV$30),"",DADOS_INVOC!$PV$30&amp;"")</f>
        <v/>
      </c>
      <c r="C1470" s="198" t="inlineStr">
        <is>
          <t>DADOS_INVOC!PV30</t>
        </is>
      </c>
      <c r="D1470" s="198" t="inlineStr">
        <is>
          <t>aviso</t>
        </is>
      </c>
    </row>
    <row r="1471">
      <c r="A1471" s="198" t="inlineStr">
        <is>
          <t>invocacao.3.bas.2.classe</t>
        </is>
      </c>
      <c r="B1471" s="198">
        <f>IF(ISBLANK(DADOS_INVOC!$MS$31),"",DADOS_INVOC!$MS$31&amp;"")</f>
        <v/>
      </c>
      <c r="C1471" s="198" t="inlineStr">
        <is>
          <t>DADOS_INVOC!MS31</t>
        </is>
      </c>
      <c r="D1471" s="198" t="inlineStr">
        <is>
          <t>entrada</t>
        </is>
      </c>
    </row>
    <row r="1472">
      <c r="A1472" s="198" t="inlineStr">
        <is>
          <t>invocacao.3.bas.2.nome</t>
        </is>
      </c>
      <c r="B1472" s="198">
        <f>IF(ISBLANK(DADOS_INVOC!$MT$31),"",DADOS_INVOC!$MT$31&amp;"")</f>
        <v/>
      </c>
      <c r="C1472" s="198" t="inlineStr">
        <is>
          <t>DADOS_INVOC!MT31</t>
        </is>
      </c>
      <c r="D1472" s="198" t="inlineStr">
        <is>
          <t>entrada</t>
        </is>
      </c>
    </row>
    <row r="1473">
      <c r="A1473" s="198" t="inlineStr">
        <is>
          <t>invocacao.3.bas.2.forma</t>
        </is>
      </c>
      <c r="B1473" s="198">
        <f>IF(ISBLANK(DADOS_INVOC!$MU$31),"",DADOS_INVOC!$MU$31&amp;"")</f>
        <v/>
      </c>
      <c r="C1473" s="198" t="inlineStr">
        <is>
          <t>DADOS_INVOC!MU31</t>
        </is>
      </c>
      <c r="D1473" s="198" t="inlineStr">
        <is>
          <t>entrada</t>
        </is>
      </c>
    </row>
    <row r="1474">
      <c r="A1474" s="198" t="inlineStr">
        <is>
          <t>invocacao.3.bas.2.pecas</t>
        </is>
      </c>
      <c r="B1474" s="198">
        <f>TEXTJOIN(" · ",TRUE,DADOS_INVOC!$MX$31,DADOS_INVOC!$MY$31,DADOS_INVOC!$MZ$31,DADOS_INVOC!$NA$31)</f>
        <v/>
      </c>
      <c r="C1474" s="198" t="inlineStr">
        <is>
          <t>DADOS_INVOC!MX31 DADOS_INVOC!MY31 DADOS_INVOC!MZ31 DADOS_INVOC!NA31</t>
        </is>
      </c>
      <c r="D1474" s="198" t="inlineStr">
        <is>
          <t>entrada</t>
        </is>
      </c>
    </row>
    <row r="1475">
      <c r="A1475" s="198" t="inlineStr">
        <is>
          <t>invocacao.3.bas.2.restricoes</t>
        </is>
      </c>
      <c r="B1475" s="198">
        <f>TEXTJOIN(" · ",TRUE,DADOS_INVOC!$NB$31,DADOS_INVOC!$NC$31)</f>
        <v/>
      </c>
      <c r="C1475" s="198" t="inlineStr">
        <is>
          <t>DADOS_INVOC!NB31 DADOS_INVOC!NC31</t>
        </is>
      </c>
      <c r="D1475" s="198" t="inlineStr">
        <is>
          <t>entrada</t>
        </is>
      </c>
    </row>
    <row r="1476">
      <c r="A1476" s="198" t="inlineStr">
        <is>
          <t>invocacao.3.bas.2.pe</t>
        </is>
      </c>
      <c r="B1476" s="198">
        <f>IF(ISBLANK(DADOS_INVOC!$QA$31),"",DADOS_INVOC!$QA$31&amp;"")</f>
        <v/>
      </c>
      <c r="C1476" s="198" t="inlineStr">
        <is>
          <t>DADOS_INVOC!QA31</t>
        </is>
      </c>
      <c r="D1476" s="198" t="inlineStr">
        <is>
          <t>resultado</t>
        </is>
      </c>
    </row>
    <row r="1477">
      <c r="A1477" s="198" t="inlineStr">
        <is>
          <t>invocacao.3.bas.2.dano</t>
        </is>
      </c>
      <c r="B1477" s="198">
        <f>IF(ISBLANK(DADOS_INVOC!$QE$31),"",DADOS_INVOC!$QE$31&amp;"")</f>
        <v/>
      </c>
      <c r="C1477" s="198" t="inlineStr">
        <is>
          <t>DADOS_INVOC!QE31</t>
        </is>
      </c>
      <c r="D1477" s="198" t="inlineStr">
        <is>
          <t>resultado</t>
        </is>
      </c>
    </row>
    <row r="1478">
      <c r="A1478" s="198" t="inlineStr">
        <is>
          <t>invocacao.3.bas.2.erros</t>
        </is>
      </c>
      <c r="B1478" s="198">
        <f>IF(ISBLANK(DADOS_INVOC!$PT$31),"",DADOS_INVOC!$PT$31&amp;"")</f>
        <v/>
      </c>
      <c r="C1478" s="198" t="inlineStr">
        <is>
          <t>DADOS_INVOC!PT31</t>
        </is>
      </c>
      <c r="D1478" s="198" t="inlineStr">
        <is>
          <t>aviso</t>
        </is>
      </c>
    </row>
    <row r="1479">
      <c r="A1479" s="198" t="inlineStr">
        <is>
          <t>invocacao.3.bas.2.avisos</t>
        </is>
      </c>
      <c r="B1479" s="198">
        <f>IF(ISBLANK(DADOS_INVOC!$PV$31),"",DADOS_INVOC!$PV$31&amp;"")</f>
        <v/>
      </c>
      <c r="C1479" s="198" t="inlineStr">
        <is>
          <t>DADOS_INVOC!PV31</t>
        </is>
      </c>
      <c r="D1479" s="198" t="inlineStr">
        <is>
          <t>aviso</t>
        </is>
      </c>
    </row>
    <row r="1480">
      <c r="A1480" s="198" t="inlineStr">
        <is>
          <t>invocacao.3.esp.3.classe</t>
        </is>
      </c>
      <c r="B1480" s="198">
        <f>IF(ISBLANK(DADOS_INVOC!$MS$32),"",DADOS_INVOC!$MS$32&amp;"")</f>
        <v/>
      </c>
      <c r="C1480" s="198" t="inlineStr">
        <is>
          <t>DADOS_INVOC!MS32</t>
        </is>
      </c>
      <c r="D1480" s="198" t="inlineStr">
        <is>
          <t>entrada</t>
        </is>
      </c>
    </row>
    <row r="1481">
      <c r="A1481" s="198" t="inlineStr">
        <is>
          <t>invocacao.3.esp.3.nome</t>
        </is>
      </c>
      <c r="B1481" s="198">
        <f>IF(ISBLANK(DADOS_INVOC!$MT$32),"",DADOS_INVOC!$MT$32&amp;"")</f>
        <v/>
      </c>
      <c r="C1481" s="198" t="inlineStr">
        <is>
          <t>DADOS_INVOC!MT32</t>
        </is>
      </c>
      <c r="D1481" s="198" t="inlineStr">
        <is>
          <t>entrada</t>
        </is>
      </c>
    </row>
    <row r="1482">
      <c r="A1482" s="198" t="inlineStr">
        <is>
          <t>invocacao.3.esp.3.forma</t>
        </is>
      </c>
      <c r="B1482" s="198">
        <f>IF(ISBLANK(DADOS_INVOC!$MU$32),"",DADOS_INVOC!$MU$32&amp;"")</f>
        <v/>
      </c>
      <c r="C1482" s="198" t="inlineStr">
        <is>
          <t>DADOS_INVOC!MU32</t>
        </is>
      </c>
      <c r="D1482" s="198" t="inlineStr">
        <is>
          <t>entrada</t>
        </is>
      </c>
    </row>
    <row r="1483">
      <c r="A1483" s="198" t="inlineStr">
        <is>
          <t>invocacao.3.esp.3.pecas</t>
        </is>
      </c>
      <c r="B1483" s="198">
        <f>TEXTJOIN(" · ",TRUE,DADOS_INVOC!$MX$32,DADOS_INVOC!$MY$32,DADOS_INVOC!$MZ$32,DADOS_INVOC!$NA$32)</f>
        <v/>
      </c>
      <c r="C1483" s="198" t="inlineStr">
        <is>
          <t>DADOS_INVOC!MX32 DADOS_INVOC!MY32 DADOS_INVOC!MZ32 DADOS_INVOC!NA32</t>
        </is>
      </c>
      <c r="D1483" s="198" t="inlineStr">
        <is>
          <t>entrada</t>
        </is>
      </c>
    </row>
    <row r="1484">
      <c r="A1484" s="198" t="inlineStr">
        <is>
          <t>invocacao.3.esp.3.restricoes</t>
        </is>
      </c>
      <c r="B1484" s="198">
        <f>TEXTJOIN(" · ",TRUE,DADOS_INVOC!$NB$32,DADOS_INVOC!$NC$32)</f>
        <v/>
      </c>
      <c r="C1484" s="198" t="inlineStr">
        <is>
          <t>DADOS_INVOC!NB32 DADOS_INVOC!NC32</t>
        </is>
      </c>
      <c r="D1484" s="198" t="inlineStr">
        <is>
          <t>entrada</t>
        </is>
      </c>
    </row>
    <row r="1485">
      <c r="A1485" s="198" t="inlineStr">
        <is>
          <t>invocacao.3.esp.3.pe</t>
        </is>
      </c>
      <c r="B1485" s="198">
        <f>IF(ISBLANK(DADOS_INVOC!$QA$32),"",DADOS_INVOC!$QA$32&amp;"")</f>
        <v/>
      </c>
      <c r="C1485" s="198" t="inlineStr">
        <is>
          <t>DADOS_INVOC!QA32</t>
        </is>
      </c>
      <c r="D1485" s="198" t="inlineStr">
        <is>
          <t>resultado</t>
        </is>
      </c>
    </row>
    <row r="1486">
      <c r="A1486" s="198" t="inlineStr">
        <is>
          <t>invocacao.3.esp.3.dano</t>
        </is>
      </c>
      <c r="B1486" s="198">
        <f>IF(ISBLANK(DADOS_INVOC!$QE$32),"",DADOS_INVOC!$QE$32&amp;"")</f>
        <v/>
      </c>
      <c r="C1486" s="198" t="inlineStr">
        <is>
          <t>DADOS_INVOC!QE32</t>
        </is>
      </c>
      <c r="D1486" s="198" t="inlineStr">
        <is>
          <t>resultado</t>
        </is>
      </c>
    </row>
    <row r="1487">
      <c r="A1487" s="198" t="inlineStr">
        <is>
          <t>invocacao.3.esp.3.erros</t>
        </is>
      </c>
      <c r="B1487" s="198">
        <f>IF(ISBLANK(DADOS_INVOC!$PT$32),"",DADOS_INVOC!$PT$32&amp;"")</f>
        <v/>
      </c>
      <c r="C1487" s="198" t="inlineStr">
        <is>
          <t>DADOS_INVOC!PT32</t>
        </is>
      </c>
      <c r="D1487" s="198" t="inlineStr">
        <is>
          <t>aviso</t>
        </is>
      </c>
    </row>
    <row r="1488">
      <c r="A1488" s="198" t="inlineStr">
        <is>
          <t>invocacao.3.esp.3.avisos</t>
        </is>
      </c>
      <c r="B1488" s="198">
        <f>IF(ISBLANK(DADOS_INVOC!$PV$32),"",DADOS_INVOC!$PV$32&amp;"")</f>
        <v/>
      </c>
      <c r="C1488" s="198" t="inlineStr">
        <is>
          <t>DADOS_INVOC!PV32</t>
        </is>
      </c>
      <c r="D1488" s="198" t="inlineStr">
        <is>
          <t>aviso</t>
        </is>
      </c>
    </row>
    <row r="1489">
      <c r="A1489" s="198" t="inlineStr">
        <is>
          <t>invocacao.3.esp.4.classe</t>
        </is>
      </c>
      <c r="B1489" s="198">
        <f>IF(ISBLANK(DADOS_INVOC!$MS$33),"",DADOS_INVOC!$MS$33&amp;"")</f>
        <v/>
      </c>
      <c r="C1489" s="198" t="inlineStr">
        <is>
          <t>DADOS_INVOC!MS33</t>
        </is>
      </c>
      <c r="D1489" s="198" t="inlineStr">
        <is>
          <t>entrada</t>
        </is>
      </c>
    </row>
    <row r="1490">
      <c r="A1490" s="198" t="inlineStr">
        <is>
          <t>invocacao.3.esp.4.nome</t>
        </is>
      </c>
      <c r="B1490" s="198">
        <f>IF(ISBLANK(DADOS_INVOC!$MT$33),"",DADOS_INVOC!$MT$33&amp;"")</f>
        <v/>
      </c>
      <c r="C1490" s="198" t="inlineStr">
        <is>
          <t>DADOS_INVOC!MT33</t>
        </is>
      </c>
      <c r="D1490" s="198" t="inlineStr">
        <is>
          <t>entrada</t>
        </is>
      </c>
    </row>
    <row r="1491">
      <c r="A1491" s="198" t="inlineStr">
        <is>
          <t>invocacao.3.esp.4.forma</t>
        </is>
      </c>
      <c r="B1491" s="198">
        <f>IF(ISBLANK(DADOS_INVOC!$MU$33),"",DADOS_INVOC!$MU$33&amp;"")</f>
        <v/>
      </c>
      <c r="C1491" s="198" t="inlineStr">
        <is>
          <t>DADOS_INVOC!MU33</t>
        </is>
      </c>
      <c r="D1491" s="198" t="inlineStr">
        <is>
          <t>entrada</t>
        </is>
      </c>
    </row>
    <row r="1492">
      <c r="A1492" s="198" t="inlineStr">
        <is>
          <t>invocacao.3.esp.4.pecas</t>
        </is>
      </c>
      <c r="B1492" s="198">
        <f>TEXTJOIN(" · ",TRUE,DADOS_INVOC!$MX$33,DADOS_INVOC!$MY$33,DADOS_INVOC!$MZ$33,DADOS_INVOC!$NA$33)</f>
        <v/>
      </c>
      <c r="C1492" s="198" t="inlineStr">
        <is>
          <t>DADOS_INVOC!MX33 DADOS_INVOC!MY33 DADOS_INVOC!MZ33 DADOS_INVOC!NA33</t>
        </is>
      </c>
      <c r="D1492" s="198" t="inlineStr">
        <is>
          <t>entrada</t>
        </is>
      </c>
    </row>
    <row r="1493">
      <c r="A1493" s="198" t="inlineStr">
        <is>
          <t>invocacao.3.esp.4.restricoes</t>
        </is>
      </c>
      <c r="B1493" s="198">
        <f>TEXTJOIN(" · ",TRUE,DADOS_INVOC!$NB$33,DADOS_INVOC!$NC$33)</f>
        <v/>
      </c>
      <c r="C1493" s="198" t="inlineStr">
        <is>
          <t>DADOS_INVOC!NB33 DADOS_INVOC!NC33</t>
        </is>
      </c>
      <c r="D1493" s="198" t="inlineStr">
        <is>
          <t>entrada</t>
        </is>
      </c>
    </row>
    <row r="1494">
      <c r="A1494" s="198" t="inlineStr">
        <is>
          <t>invocacao.3.esp.4.pe</t>
        </is>
      </c>
      <c r="B1494" s="198">
        <f>IF(ISBLANK(DADOS_INVOC!$QA$33),"",DADOS_INVOC!$QA$33&amp;"")</f>
        <v/>
      </c>
      <c r="C1494" s="198" t="inlineStr">
        <is>
          <t>DADOS_INVOC!QA33</t>
        </is>
      </c>
      <c r="D1494" s="198" t="inlineStr">
        <is>
          <t>resultado</t>
        </is>
      </c>
    </row>
    <row r="1495">
      <c r="A1495" s="198" t="inlineStr">
        <is>
          <t>invocacao.3.esp.4.dano</t>
        </is>
      </c>
      <c r="B1495" s="198">
        <f>IF(ISBLANK(DADOS_INVOC!$QE$33),"",DADOS_INVOC!$QE$33&amp;"")</f>
        <v/>
      </c>
      <c r="C1495" s="198" t="inlineStr">
        <is>
          <t>DADOS_INVOC!QE33</t>
        </is>
      </c>
      <c r="D1495" s="198" t="inlineStr">
        <is>
          <t>resultado</t>
        </is>
      </c>
    </row>
    <row r="1496">
      <c r="A1496" s="198" t="inlineStr">
        <is>
          <t>invocacao.3.esp.4.erros</t>
        </is>
      </c>
      <c r="B1496" s="198">
        <f>IF(ISBLANK(DADOS_INVOC!$PT$33),"",DADOS_INVOC!$PT$33&amp;"")</f>
        <v/>
      </c>
      <c r="C1496" s="198" t="inlineStr">
        <is>
          <t>DADOS_INVOC!PT33</t>
        </is>
      </c>
      <c r="D1496" s="198" t="inlineStr">
        <is>
          <t>aviso</t>
        </is>
      </c>
    </row>
    <row r="1497">
      <c r="A1497" s="198" t="inlineStr">
        <is>
          <t>invocacao.3.esp.4.avisos</t>
        </is>
      </c>
      <c r="B1497" s="198">
        <f>IF(ISBLANK(DADOS_INVOC!$PV$33),"",DADOS_INVOC!$PV$33&amp;"")</f>
        <v/>
      </c>
      <c r="C1497" s="198" t="inlineStr">
        <is>
          <t>DADOS_INVOC!PV33</t>
        </is>
      </c>
      <c r="D1497" s="198" t="inlineStr">
        <is>
          <t>aviso</t>
        </is>
      </c>
    </row>
    <row r="1498">
      <c r="A1498" s="198" t="inlineStr">
        <is>
          <t>invocacao.3.esp.5.classe</t>
        </is>
      </c>
      <c r="B1498" s="198">
        <f>IF(ISBLANK(DADOS_INVOC!$MS$34),"",DADOS_INVOC!$MS$34&amp;"")</f>
        <v/>
      </c>
      <c r="C1498" s="198" t="inlineStr">
        <is>
          <t>DADOS_INVOC!MS34</t>
        </is>
      </c>
      <c r="D1498" s="198" t="inlineStr">
        <is>
          <t>entrada</t>
        </is>
      </c>
    </row>
    <row r="1499">
      <c r="A1499" s="198" t="inlineStr">
        <is>
          <t>invocacao.3.esp.5.nome</t>
        </is>
      </c>
      <c r="B1499" s="198">
        <f>IF(ISBLANK(DADOS_INVOC!$MT$34),"",DADOS_INVOC!$MT$34&amp;"")</f>
        <v/>
      </c>
      <c r="C1499" s="198" t="inlineStr">
        <is>
          <t>DADOS_INVOC!MT34</t>
        </is>
      </c>
      <c r="D1499" s="198" t="inlineStr">
        <is>
          <t>entrada</t>
        </is>
      </c>
    </row>
    <row r="1500">
      <c r="A1500" s="198" t="inlineStr">
        <is>
          <t>invocacao.3.esp.5.forma</t>
        </is>
      </c>
      <c r="B1500" s="198">
        <f>IF(ISBLANK(DADOS_INVOC!$MU$34),"",DADOS_INVOC!$MU$34&amp;"")</f>
        <v/>
      </c>
      <c r="C1500" s="198" t="inlineStr">
        <is>
          <t>DADOS_INVOC!MU34</t>
        </is>
      </c>
      <c r="D1500" s="198" t="inlineStr">
        <is>
          <t>entrada</t>
        </is>
      </c>
    </row>
    <row r="1501">
      <c r="A1501" s="198" t="inlineStr">
        <is>
          <t>invocacao.3.esp.5.pecas</t>
        </is>
      </c>
      <c r="B1501" s="198">
        <f>TEXTJOIN(" · ",TRUE,DADOS_INVOC!$MX$34,DADOS_INVOC!$MY$34,DADOS_INVOC!$MZ$34,DADOS_INVOC!$NA$34)</f>
        <v/>
      </c>
      <c r="C1501" s="198" t="inlineStr">
        <is>
          <t>DADOS_INVOC!MX34 DADOS_INVOC!MY34 DADOS_INVOC!MZ34 DADOS_INVOC!NA34</t>
        </is>
      </c>
      <c r="D1501" s="198" t="inlineStr">
        <is>
          <t>entrada</t>
        </is>
      </c>
    </row>
    <row r="1502">
      <c r="A1502" s="198" t="inlineStr">
        <is>
          <t>invocacao.3.esp.5.restricoes</t>
        </is>
      </c>
      <c r="B1502" s="198">
        <f>TEXTJOIN(" · ",TRUE,DADOS_INVOC!$NB$34,DADOS_INVOC!$NC$34)</f>
        <v/>
      </c>
      <c r="C1502" s="198" t="inlineStr">
        <is>
          <t>DADOS_INVOC!NB34 DADOS_INVOC!NC34</t>
        </is>
      </c>
      <c r="D1502" s="198" t="inlineStr">
        <is>
          <t>entrada</t>
        </is>
      </c>
    </row>
    <row r="1503">
      <c r="A1503" s="198" t="inlineStr">
        <is>
          <t>invocacao.3.esp.5.pe</t>
        </is>
      </c>
      <c r="B1503" s="198">
        <f>IF(ISBLANK(DADOS_INVOC!$QA$34),"",DADOS_INVOC!$QA$34&amp;"")</f>
        <v/>
      </c>
      <c r="C1503" s="198" t="inlineStr">
        <is>
          <t>DADOS_INVOC!QA34</t>
        </is>
      </c>
      <c r="D1503" s="198" t="inlineStr">
        <is>
          <t>resultado</t>
        </is>
      </c>
    </row>
    <row r="1504">
      <c r="A1504" s="198" t="inlineStr">
        <is>
          <t>invocacao.3.esp.5.dano</t>
        </is>
      </c>
      <c r="B1504" s="198">
        <f>IF(ISBLANK(DADOS_INVOC!$QE$34),"",DADOS_INVOC!$QE$34&amp;"")</f>
        <v/>
      </c>
      <c r="C1504" s="198" t="inlineStr">
        <is>
          <t>DADOS_INVOC!QE34</t>
        </is>
      </c>
      <c r="D1504" s="198" t="inlineStr">
        <is>
          <t>resultado</t>
        </is>
      </c>
    </row>
    <row r="1505">
      <c r="A1505" s="198" t="inlineStr">
        <is>
          <t>invocacao.3.esp.5.erros</t>
        </is>
      </c>
      <c r="B1505" s="198">
        <f>IF(ISBLANK(DADOS_INVOC!$PT$34),"",DADOS_INVOC!$PT$34&amp;"")</f>
        <v/>
      </c>
      <c r="C1505" s="198" t="inlineStr">
        <is>
          <t>DADOS_INVOC!PT34</t>
        </is>
      </c>
      <c r="D1505" s="198" t="inlineStr">
        <is>
          <t>aviso</t>
        </is>
      </c>
    </row>
    <row r="1506">
      <c r="A1506" s="198" t="inlineStr">
        <is>
          <t>invocacao.3.esp.5.avisos</t>
        </is>
      </c>
      <c r="B1506" s="198">
        <f>IF(ISBLANK(DADOS_INVOC!$PV$34),"",DADOS_INVOC!$PV$34&amp;"")</f>
        <v/>
      </c>
      <c r="C1506" s="198" t="inlineStr">
        <is>
          <t>DADOS_INVOC!PV34</t>
        </is>
      </c>
      <c r="D1506" s="198" t="inlineStr">
        <is>
          <t>aviso</t>
        </is>
      </c>
    </row>
    <row r="1507">
      <c r="A1507" s="198" t="inlineStr">
        <is>
          <t>invocacao.3.esp.6.classe</t>
        </is>
      </c>
      <c r="B1507" s="198">
        <f>IF(ISBLANK(DADOS_INVOC!$MS$35),"",DADOS_INVOC!$MS$35&amp;"")</f>
        <v/>
      </c>
      <c r="C1507" s="198" t="inlineStr">
        <is>
          <t>DADOS_INVOC!MS35</t>
        </is>
      </c>
      <c r="D1507" s="198" t="inlineStr">
        <is>
          <t>entrada</t>
        </is>
      </c>
    </row>
    <row r="1508">
      <c r="A1508" s="198" t="inlineStr">
        <is>
          <t>invocacao.3.esp.6.nome</t>
        </is>
      </c>
      <c r="B1508" s="198">
        <f>IF(ISBLANK(DADOS_INVOC!$MT$35),"",DADOS_INVOC!$MT$35&amp;"")</f>
        <v/>
      </c>
      <c r="C1508" s="198" t="inlineStr">
        <is>
          <t>DADOS_INVOC!MT35</t>
        </is>
      </c>
      <c r="D1508" s="198" t="inlineStr">
        <is>
          <t>entrada</t>
        </is>
      </c>
    </row>
    <row r="1509">
      <c r="A1509" s="198" t="inlineStr">
        <is>
          <t>invocacao.3.esp.6.forma</t>
        </is>
      </c>
      <c r="B1509" s="198">
        <f>IF(ISBLANK(DADOS_INVOC!$MU$35),"",DADOS_INVOC!$MU$35&amp;"")</f>
        <v/>
      </c>
      <c r="C1509" s="198" t="inlineStr">
        <is>
          <t>DADOS_INVOC!MU35</t>
        </is>
      </c>
      <c r="D1509" s="198" t="inlineStr">
        <is>
          <t>entrada</t>
        </is>
      </c>
    </row>
    <row r="1510">
      <c r="A1510" s="198" t="inlineStr">
        <is>
          <t>invocacao.3.esp.6.pecas</t>
        </is>
      </c>
      <c r="B1510" s="198">
        <f>TEXTJOIN(" · ",TRUE,DADOS_INVOC!$MX$35,DADOS_INVOC!$MY$35,DADOS_INVOC!$MZ$35,DADOS_INVOC!$NA$35)</f>
        <v/>
      </c>
      <c r="C1510" s="198" t="inlineStr">
        <is>
          <t>DADOS_INVOC!MX35 DADOS_INVOC!MY35 DADOS_INVOC!MZ35 DADOS_INVOC!NA35</t>
        </is>
      </c>
      <c r="D1510" s="198" t="inlineStr">
        <is>
          <t>entrada</t>
        </is>
      </c>
    </row>
    <row r="1511">
      <c r="A1511" s="198" t="inlineStr">
        <is>
          <t>invocacao.3.esp.6.restricoes</t>
        </is>
      </c>
      <c r="B1511" s="198">
        <f>TEXTJOIN(" · ",TRUE,DADOS_INVOC!$NB$35,DADOS_INVOC!$NC$35)</f>
        <v/>
      </c>
      <c r="C1511" s="198" t="inlineStr">
        <is>
          <t>DADOS_INVOC!NB35 DADOS_INVOC!NC35</t>
        </is>
      </c>
      <c r="D1511" s="198" t="inlineStr">
        <is>
          <t>entrada</t>
        </is>
      </c>
    </row>
    <row r="1512">
      <c r="A1512" s="198" t="inlineStr">
        <is>
          <t>invocacao.3.esp.6.pe</t>
        </is>
      </c>
      <c r="B1512" s="198">
        <f>IF(ISBLANK(DADOS_INVOC!$QA$35),"",DADOS_INVOC!$QA$35&amp;"")</f>
        <v/>
      </c>
      <c r="C1512" s="198" t="inlineStr">
        <is>
          <t>DADOS_INVOC!QA35</t>
        </is>
      </c>
      <c r="D1512" s="198" t="inlineStr">
        <is>
          <t>resultado</t>
        </is>
      </c>
    </row>
    <row r="1513">
      <c r="A1513" s="198" t="inlineStr">
        <is>
          <t>invocacao.3.esp.6.dano</t>
        </is>
      </c>
      <c r="B1513" s="198">
        <f>IF(ISBLANK(DADOS_INVOC!$QE$35),"",DADOS_INVOC!$QE$35&amp;"")</f>
        <v/>
      </c>
      <c r="C1513" s="198" t="inlineStr">
        <is>
          <t>DADOS_INVOC!QE35</t>
        </is>
      </c>
      <c r="D1513" s="198" t="inlineStr">
        <is>
          <t>resultado</t>
        </is>
      </c>
    </row>
    <row r="1514">
      <c r="A1514" s="198" t="inlineStr">
        <is>
          <t>invocacao.3.esp.6.erros</t>
        </is>
      </c>
      <c r="B1514" s="198">
        <f>IF(ISBLANK(DADOS_INVOC!$PT$35),"",DADOS_INVOC!$PT$35&amp;"")</f>
        <v/>
      </c>
      <c r="C1514" s="198" t="inlineStr">
        <is>
          <t>DADOS_INVOC!PT35</t>
        </is>
      </c>
      <c r="D1514" s="198" t="inlineStr">
        <is>
          <t>aviso</t>
        </is>
      </c>
    </row>
    <row r="1515">
      <c r="A1515" s="198" t="inlineStr">
        <is>
          <t>invocacao.3.esp.6.avisos</t>
        </is>
      </c>
      <c r="B1515" s="198">
        <f>IF(ISBLANK(DADOS_INVOC!$PV$35),"",DADOS_INVOC!$PV$35&amp;"")</f>
        <v/>
      </c>
      <c r="C1515" s="198" t="inlineStr">
        <is>
          <t>DADOS_INVOC!PV35</t>
        </is>
      </c>
      <c r="D1515" s="198" t="inlineStr">
        <is>
          <t>aviso</t>
        </is>
      </c>
    </row>
    <row r="1516">
      <c r="A1516" s="198" t="inlineStr">
        <is>
          <t>invocacao.3.esp.7.classe</t>
        </is>
      </c>
      <c r="B1516" s="198">
        <f>IF(ISBLANK(DADOS_INVOC!$MS$36),"",DADOS_INVOC!$MS$36&amp;"")</f>
        <v/>
      </c>
      <c r="C1516" s="198" t="inlineStr">
        <is>
          <t>DADOS_INVOC!MS36</t>
        </is>
      </c>
      <c r="D1516" s="198" t="inlineStr">
        <is>
          <t>entrada</t>
        </is>
      </c>
    </row>
    <row r="1517">
      <c r="A1517" s="198" t="inlineStr">
        <is>
          <t>invocacao.3.esp.7.nome</t>
        </is>
      </c>
      <c r="B1517" s="198">
        <f>IF(ISBLANK(DADOS_INVOC!$MT$36),"",DADOS_INVOC!$MT$36&amp;"")</f>
        <v/>
      </c>
      <c r="C1517" s="198" t="inlineStr">
        <is>
          <t>DADOS_INVOC!MT36</t>
        </is>
      </c>
      <c r="D1517" s="198" t="inlineStr">
        <is>
          <t>entrada</t>
        </is>
      </c>
    </row>
    <row r="1518">
      <c r="A1518" s="198" t="inlineStr">
        <is>
          <t>invocacao.3.esp.7.forma</t>
        </is>
      </c>
      <c r="B1518" s="198">
        <f>IF(ISBLANK(DADOS_INVOC!$MU$36),"",DADOS_INVOC!$MU$36&amp;"")</f>
        <v/>
      </c>
      <c r="C1518" s="198" t="inlineStr">
        <is>
          <t>DADOS_INVOC!MU36</t>
        </is>
      </c>
      <c r="D1518" s="198" t="inlineStr">
        <is>
          <t>entrada</t>
        </is>
      </c>
    </row>
    <row r="1519">
      <c r="A1519" s="198" t="inlineStr">
        <is>
          <t>invocacao.3.esp.7.pecas</t>
        </is>
      </c>
      <c r="B1519" s="198">
        <f>TEXTJOIN(" · ",TRUE,DADOS_INVOC!$MX$36,DADOS_INVOC!$MY$36,DADOS_INVOC!$MZ$36,DADOS_INVOC!$NA$36)</f>
        <v/>
      </c>
      <c r="C1519" s="198" t="inlineStr">
        <is>
          <t>DADOS_INVOC!MX36 DADOS_INVOC!MY36 DADOS_INVOC!MZ36 DADOS_INVOC!NA36</t>
        </is>
      </c>
      <c r="D1519" s="198" t="inlineStr">
        <is>
          <t>entrada</t>
        </is>
      </c>
    </row>
    <row r="1520">
      <c r="A1520" s="198" t="inlineStr">
        <is>
          <t>invocacao.3.esp.7.restricoes</t>
        </is>
      </c>
      <c r="B1520" s="198">
        <f>TEXTJOIN(" · ",TRUE,DADOS_INVOC!$NB$36,DADOS_INVOC!$NC$36)</f>
        <v/>
      </c>
      <c r="C1520" s="198" t="inlineStr">
        <is>
          <t>DADOS_INVOC!NB36 DADOS_INVOC!NC36</t>
        </is>
      </c>
      <c r="D1520" s="198" t="inlineStr">
        <is>
          <t>entrada</t>
        </is>
      </c>
    </row>
    <row r="1521">
      <c r="A1521" s="198" t="inlineStr">
        <is>
          <t>invocacao.3.esp.7.pe</t>
        </is>
      </c>
      <c r="B1521" s="198">
        <f>IF(ISBLANK(DADOS_INVOC!$QA$36),"",DADOS_INVOC!$QA$36&amp;"")</f>
        <v/>
      </c>
      <c r="C1521" s="198" t="inlineStr">
        <is>
          <t>DADOS_INVOC!QA36</t>
        </is>
      </c>
      <c r="D1521" s="198" t="inlineStr">
        <is>
          <t>resultado</t>
        </is>
      </c>
    </row>
    <row r="1522">
      <c r="A1522" s="198" t="inlineStr">
        <is>
          <t>invocacao.3.esp.7.dano</t>
        </is>
      </c>
      <c r="B1522" s="198">
        <f>IF(ISBLANK(DADOS_INVOC!$QE$36),"",DADOS_INVOC!$QE$36&amp;"")</f>
        <v/>
      </c>
      <c r="C1522" s="198" t="inlineStr">
        <is>
          <t>DADOS_INVOC!QE36</t>
        </is>
      </c>
      <c r="D1522" s="198" t="inlineStr">
        <is>
          <t>resultado</t>
        </is>
      </c>
    </row>
    <row r="1523">
      <c r="A1523" s="198" t="inlineStr">
        <is>
          <t>invocacao.3.esp.7.erros</t>
        </is>
      </c>
      <c r="B1523" s="198">
        <f>IF(ISBLANK(DADOS_INVOC!$PT$36),"",DADOS_INVOC!$PT$36&amp;"")</f>
        <v/>
      </c>
      <c r="C1523" s="198" t="inlineStr">
        <is>
          <t>DADOS_INVOC!PT36</t>
        </is>
      </c>
      <c r="D1523" s="198" t="inlineStr">
        <is>
          <t>aviso</t>
        </is>
      </c>
    </row>
    <row r="1524">
      <c r="A1524" s="198" t="inlineStr">
        <is>
          <t>invocacao.3.esp.7.avisos</t>
        </is>
      </c>
      <c r="B1524" s="198">
        <f>IF(ISBLANK(DADOS_INVOC!$PV$36),"",DADOS_INVOC!$PV$36&amp;"")</f>
        <v/>
      </c>
      <c r="C1524" s="198" t="inlineStr">
        <is>
          <t>DADOS_INVOC!PV36</t>
        </is>
      </c>
      <c r="D1524" s="198" t="inlineStr">
        <is>
          <t>aviso</t>
        </is>
      </c>
    </row>
    <row r="1525">
      <c r="A1525" s="198" t="inlineStr">
        <is>
          <t>invocacao.3.esp.8.classe</t>
        </is>
      </c>
      <c r="B1525" s="198">
        <f>IF(ISBLANK(DADOS_INVOC!$MS$37),"",DADOS_INVOC!$MS$37&amp;"")</f>
        <v/>
      </c>
      <c r="C1525" s="198" t="inlineStr">
        <is>
          <t>DADOS_INVOC!MS37</t>
        </is>
      </c>
      <c r="D1525" s="198" t="inlineStr">
        <is>
          <t>entrada</t>
        </is>
      </c>
    </row>
    <row r="1526">
      <c r="A1526" s="198" t="inlineStr">
        <is>
          <t>invocacao.3.esp.8.nome</t>
        </is>
      </c>
      <c r="B1526" s="198">
        <f>IF(ISBLANK(DADOS_INVOC!$MT$37),"",DADOS_INVOC!$MT$37&amp;"")</f>
        <v/>
      </c>
      <c r="C1526" s="198" t="inlineStr">
        <is>
          <t>DADOS_INVOC!MT37</t>
        </is>
      </c>
      <c r="D1526" s="198" t="inlineStr">
        <is>
          <t>entrada</t>
        </is>
      </c>
    </row>
    <row r="1527">
      <c r="A1527" s="198" t="inlineStr">
        <is>
          <t>invocacao.3.esp.8.forma</t>
        </is>
      </c>
      <c r="B1527" s="198">
        <f>IF(ISBLANK(DADOS_INVOC!$MU$37),"",DADOS_INVOC!$MU$37&amp;"")</f>
        <v/>
      </c>
      <c r="C1527" s="198" t="inlineStr">
        <is>
          <t>DADOS_INVOC!MU37</t>
        </is>
      </c>
      <c r="D1527" s="198" t="inlineStr">
        <is>
          <t>entrada</t>
        </is>
      </c>
    </row>
    <row r="1528">
      <c r="A1528" s="198" t="inlineStr">
        <is>
          <t>invocacao.3.esp.8.pecas</t>
        </is>
      </c>
      <c r="B1528" s="198">
        <f>TEXTJOIN(" · ",TRUE,DADOS_INVOC!$MX$37,DADOS_INVOC!$MY$37,DADOS_INVOC!$MZ$37,DADOS_INVOC!$NA$37)</f>
        <v/>
      </c>
      <c r="C1528" s="198" t="inlineStr">
        <is>
          <t>DADOS_INVOC!MX37 DADOS_INVOC!MY37 DADOS_INVOC!MZ37 DADOS_INVOC!NA37</t>
        </is>
      </c>
      <c r="D1528" s="198" t="inlineStr">
        <is>
          <t>entrada</t>
        </is>
      </c>
    </row>
    <row r="1529">
      <c r="A1529" s="198" t="inlineStr">
        <is>
          <t>invocacao.3.esp.8.restricoes</t>
        </is>
      </c>
      <c r="B1529" s="198">
        <f>TEXTJOIN(" · ",TRUE,DADOS_INVOC!$NB$37,DADOS_INVOC!$NC$37)</f>
        <v/>
      </c>
      <c r="C1529" s="198" t="inlineStr">
        <is>
          <t>DADOS_INVOC!NB37 DADOS_INVOC!NC37</t>
        </is>
      </c>
      <c r="D1529" s="198" t="inlineStr">
        <is>
          <t>entrada</t>
        </is>
      </c>
    </row>
    <row r="1530">
      <c r="A1530" s="198" t="inlineStr">
        <is>
          <t>invocacao.3.esp.8.pe</t>
        </is>
      </c>
      <c r="B1530" s="198">
        <f>IF(ISBLANK(DADOS_INVOC!$QA$37),"",DADOS_INVOC!$QA$37&amp;"")</f>
        <v/>
      </c>
      <c r="C1530" s="198" t="inlineStr">
        <is>
          <t>DADOS_INVOC!QA37</t>
        </is>
      </c>
      <c r="D1530" s="198" t="inlineStr">
        <is>
          <t>resultado</t>
        </is>
      </c>
    </row>
    <row r="1531">
      <c r="A1531" s="198" t="inlineStr">
        <is>
          <t>invocacao.3.esp.8.dano</t>
        </is>
      </c>
      <c r="B1531" s="198">
        <f>IF(ISBLANK(DADOS_INVOC!$QE$37),"",DADOS_INVOC!$QE$37&amp;"")</f>
        <v/>
      </c>
      <c r="C1531" s="198" t="inlineStr">
        <is>
          <t>DADOS_INVOC!QE37</t>
        </is>
      </c>
      <c r="D1531" s="198" t="inlineStr">
        <is>
          <t>resultado</t>
        </is>
      </c>
    </row>
    <row r="1532">
      <c r="A1532" s="198" t="inlineStr">
        <is>
          <t>invocacao.3.esp.8.erros</t>
        </is>
      </c>
      <c r="B1532" s="198">
        <f>IF(ISBLANK(DADOS_INVOC!$PT$37),"",DADOS_INVOC!$PT$37&amp;"")</f>
        <v/>
      </c>
      <c r="C1532" s="198" t="inlineStr">
        <is>
          <t>DADOS_INVOC!PT37</t>
        </is>
      </c>
      <c r="D1532" s="198" t="inlineStr">
        <is>
          <t>aviso</t>
        </is>
      </c>
    </row>
    <row r="1533">
      <c r="A1533" s="198" t="inlineStr">
        <is>
          <t>invocacao.3.esp.8.avisos</t>
        </is>
      </c>
      <c r="B1533" s="198">
        <f>IF(ISBLANK(DADOS_INVOC!$PV$37),"",DADOS_INVOC!$PV$37&amp;"")</f>
        <v/>
      </c>
      <c r="C1533" s="198" t="inlineStr">
        <is>
          <t>DADOS_INVOC!PV37</t>
        </is>
      </c>
      <c r="D1533" s="198" t="inlineStr">
        <is>
          <t>aviso</t>
        </is>
      </c>
    </row>
    <row r="1534">
      <c r="A1534" s="198" t="inlineStr">
        <is>
          <t>invocacao.3.ext.1.classe</t>
        </is>
      </c>
      <c r="B1534" s="198">
        <f>IF(ISBLANK(DADOS_INVOC!$MS$38),"",DADOS_INVOC!$MS$38&amp;"")</f>
        <v/>
      </c>
      <c r="C1534" s="198" t="inlineStr">
        <is>
          <t>DADOS_INVOC!MS38</t>
        </is>
      </c>
      <c r="D1534" s="198" t="inlineStr">
        <is>
          <t>entrada</t>
        </is>
      </c>
    </row>
    <row r="1535">
      <c r="A1535" s="198" t="inlineStr">
        <is>
          <t>invocacao.3.ext.1.nome</t>
        </is>
      </c>
      <c r="B1535" s="198">
        <f>IF(ISBLANK(DADOS_INVOC!$MT$38),"",DADOS_INVOC!$MT$38&amp;"")</f>
        <v/>
      </c>
      <c r="C1535" s="198" t="inlineStr">
        <is>
          <t>DADOS_INVOC!MT38</t>
        </is>
      </c>
      <c r="D1535" s="198" t="inlineStr">
        <is>
          <t>entrada</t>
        </is>
      </c>
    </row>
    <row r="1536">
      <c r="A1536" s="198" t="inlineStr">
        <is>
          <t>invocacao.3.ext.1.forma</t>
        </is>
      </c>
      <c r="B1536" s="198">
        <f>IF(ISBLANK(DADOS_INVOC!$MU$38),"",DADOS_INVOC!$MU$38&amp;"")</f>
        <v/>
      </c>
      <c r="C1536" s="198" t="inlineStr">
        <is>
          <t>DADOS_INVOC!MU38</t>
        </is>
      </c>
      <c r="D1536" s="198" t="inlineStr">
        <is>
          <t>entrada</t>
        </is>
      </c>
    </row>
    <row r="1537">
      <c r="A1537" s="198" t="inlineStr">
        <is>
          <t>invocacao.3.ext.1.pecas</t>
        </is>
      </c>
      <c r="B1537" s="198">
        <f>TEXTJOIN(" · ",TRUE,DADOS_INVOC!$MX$38,DADOS_INVOC!$MY$38,DADOS_INVOC!$MZ$38,DADOS_INVOC!$NA$38)</f>
        <v/>
      </c>
      <c r="C1537" s="198" t="inlineStr">
        <is>
          <t>DADOS_INVOC!MX38 DADOS_INVOC!MY38 DADOS_INVOC!MZ38 DADOS_INVOC!NA38</t>
        </is>
      </c>
      <c r="D1537" s="198" t="inlineStr">
        <is>
          <t>entrada</t>
        </is>
      </c>
    </row>
    <row r="1538">
      <c r="A1538" s="198" t="inlineStr">
        <is>
          <t>invocacao.3.ext.1.restricoes</t>
        </is>
      </c>
      <c r="B1538" s="198">
        <f>TEXTJOIN(" · ",TRUE,DADOS_INVOC!$NB$38,DADOS_INVOC!$NC$38)</f>
        <v/>
      </c>
      <c r="C1538" s="198" t="inlineStr">
        <is>
          <t>DADOS_INVOC!NB38 DADOS_INVOC!NC38</t>
        </is>
      </c>
      <c r="D1538" s="198" t="inlineStr">
        <is>
          <t>entrada</t>
        </is>
      </c>
    </row>
    <row r="1539">
      <c r="A1539" s="198" t="inlineStr">
        <is>
          <t>invocacao.3.ext.1.pe</t>
        </is>
      </c>
      <c r="B1539" s="198">
        <f>IF(ISBLANK(DADOS_INVOC!$QA$38),"",DADOS_INVOC!$QA$38&amp;"")</f>
        <v/>
      </c>
      <c r="C1539" s="198" t="inlineStr">
        <is>
          <t>DADOS_INVOC!QA38</t>
        </is>
      </c>
      <c r="D1539" s="198" t="inlineStr">
        <is>
          <t>resultado</t>
        </is>
      </c>
    </row>
    <row r="1540">
      <c r="A1540" s="198" t="inlineStr">
        <is>
          <t>invocacao.3.ext.1.dano</t>
        </is>
      </c>
      <c r="B1540" s="198">
        <f>IF(ISBLANK(DADOS_INVOC!$QE$38),"",DADOS_INVOC!$QE$38&amp;"")</f>
        <v/>
      </c>
      <c r="C1540" s="198" t="inlineStr">
        <is>
          <t>DADOS_INVOC!QE38</t>
        </is>
      </c>
      <c r="D1540" s="198" t="inlineStr">
        <is>
          <t>resultado</t>
        </is>
      </c>
    </row>
    <row r="1541">
      <c r="A1541" s="198" t="inlineStr">
        <is>
          <t>invocacao.3.ext.1.erros</t>
        </is>
      </c>
      <c r="B1541" s="198">
        <f>IF(ISBLANK(DADOS_INVOC!$PT$38),"",DADOS_INVOC!$PT$38&amp;"")</f>
        <v/>
      </c>
      <c r="C1541" s="198" t="inlineStr">
        <is>
          <t>DADOS_INVOC!PT38</t>
        </is>
      </c>
      <c r="D1541" s="198" t="inlineStr">
        <is>
          <t>aviso</t>
        </is>
      </c>
    </row>
    <row r="1542">
      <c r="A1542" s="198" t="inlineStr">
        <is>
          <t>invocacao.3.ext.1.avisos</t>
        </is>
      </c>
      <c r="B1542" s="198">
        <f>IF(ISBLANK(DADOS_INVOC!$PV$38),"",DADOS_INVOC!$PV$38&amp;"")</f>
        <v/>
      </c>
      <c r="C1542" s="198" t="inlineStr">
        <is>
          <t>DADOS_INVOC!PV38</t>
        </is>
      </c>
      <c r="D1542" s="198" t="inlineStr">
        <is>
          <t>aviso</t>
        </is>
      </c>
    </row>
    <row r="1543">
      <c r="A1543" s="198" t="inlineStr">
        <is>
          <t>invocacao.3.ext.2.classe</t>
        </is>
      </c>
      <c r="B1543" s="198">
        <f>IF(ISBLANK(DADOS_INVOC!$MS$39),"",DADOS_INVOC!$MS$39&amp;"")</f>
        <v/>
      </c>
      <c r="C1543" s="198" t="inlineStr">
        <is>
          <t>DADOS_INVOC!MS39</t>
        </is>
      </c>
      <c r="D1543" s="198" t="inlineStr">
        <is>
          <t>entrada</t>
        </is>
      </c>
    </row>
    <row r="1544">
      <c r="A1544" s="198" t="inlineStr">
        <is>
          <t>invocacao.3.ext.2.nome</t>
        </is>
      </c>
      <c r="B1544" s="198">
        <f>IF(ISBLANK(DADOS_INVOC!$MT$39),"",DADOS_INVOC!$MT$39&amp;"")</f>
        <v/>
      </c>
      <c r="C1544" s="198" t="inlineStr">
        <is>
          <t>DADOS_INVOC!MT39</t>
        </is>
      </c>
      <c r="D1544" s="198" t="inlineStr">
        <is>
          <t>entrada</t>
        </is>
      </c>
    </row>
    <row r="1545">
      <c r="A1545" s="198" t="inlineStr">
        <is>
          <t>invocacao.3.ext.2.forma</t>
        </is>
      </c>
      <c r="B1545" s="198">
        <f>IF(ISBLANK(DADOS_INVOC!$MU$39),"",DADOS_INVOC!$MU$39&amp;"")</f>
        <v/>
      </c>
      <c r="C1545" s="198" t="inlineStr">
        <is>
          <t>DADOS_INVOC!MU39</t>
        </is>
      </c>
      <c r="D1545" s="198" t="inlineStr">
        <is>
          <t>entrada</t>
        </is>
      </c>
    </row>
    <row r="1546">
      <c r="A1546" s="198" t="inlineStr">
        <is>
          <t>invocacao.3.ext.2.pecas</t>
        </is>
      </c>
      <c r="B1546" s="198">
        <f>TEXTJOIN(" · ",TRUE,DADOS_INVOC!$MX$39,DADOS_INVOC!$MY$39,DADOS_INVOC!$MZ$39,DADOS_INVOC!$NA$39)</f>
        <v/>
      </c>
      <c r="C1546" s="198" t="inlineStr">
        <is>
          <t>DADOS_INVOC!MX39 DADOS_INVOC!MY39 DADOS_INVOC!MZ39 DADOS_INVOC!NA39</t>
        </is>
      </c>
      <c r="D1546" s="198" t="inlineStr">
        <is>
          <t>entrada</t>
        </is>
      </c>
    </row>
    <row r="1547">
      <c r="A1547" s="198" t="inlineStr">
        <is>
          <t>invocacao.3.ext.2.restricoes</t>
        </is>
      </c>
      <c r="B1547" s="198">
        <f>TEXTJOIN(" · ",TRUE,DADOS_INVOC!$NB$39,DADOS_INVOC!$NC$39)</f>
        <v/>
      </c>
      <c r="C1547" s="198" t="inlineStr">
        <is>
          <t>DADOS_INVOC!NB39 DADOS_INVOC!NC39</t>
        </is>
      </c>
      <c r="D1547" s="198" t="inlineStr">
        <is>
          <t>entrada</t>
        </is>
      </c>
    </row>
    <row r="1548">
      <c r="A1548" s="198" t="inlineStr">
        <is>
          <t>invocacao.3.ext.2.pe</t>
        </is>
      </c>
      <c r="B1548" s="198">
        <f>IF(ISBLANK(DADOS_INVOC!$QA$39),"",DADOS_INVOC!$QA$39&amp;"")</f>
        <v/>
      </c>
      <c r="C1548" s="198" t="inlineStr">
        <is>
          <t>DADOS_INVOC!QA39</t>
        </is>
      </c>
      <c r="D1548" s="198" t="inlineStr">
        <is>
          <t>resultado</t>
        </is>
      </c>
    </row>
    <row r="1549">
      <c r="A1549" s="198" t="inlineStr">
        <is>
          <t>invocacao.3.ext.2.dano</t>
        </is>
      </c>
      <c r="B1549" s="198">
        <f>IF(ISBLANK(DADOS_INVOC!$QE$39),"",DADOS_INVOC!$QE$39&amp;"")</f>
        <v/>
      </c>
      <c r="C1549" s="198" t="inlineStr">
        <is>
          <t>DADOS_INVOC!QE39</t>
        </is>
      </c>
      <c r="D1549" s="198" t="inlineStr">
        <is>
          <t>resultado</t>
        </is>
      </c>
    </row>
    <row r="1550">
      <c r="A1550" s="198" t="inlineStr">
        <is>
          <t>invocacao.3.ext.2.erros</t>
        </is>
      </c>
      <c r="B1550" s="198">
        <f>IF(ISBLANK(DADOS_INVOC!$PT$39),"",DADOS_INVOC!$PT$39&amp;"")</f>
        <v/>
      </c>
      <c r="C1550" s="198" t="inlineStr">
        <is>
          <t>DADOS_INVOC!PT39</t>
        </is>
      </c>
      <c r="D1550" s="198" t="inlineStr">
        <is>
          <t>aviso</t>
        </is>
      </c>
    </row>
    <row r="1551">
      <c r="A1551" s="198" t="inlineStr">
        <is>
          <t>invocacao.3.ext.2.avisos</t>
        </is>
      </c>
      <c r="B1551" s="198">
        <f>IF(ISBLANK(DADOS_INVOC!$PV$39),"",DADOS_INVOC!$PV$39&amp;"")</f>
        <v/>
      </c>
      <c r="C1551" s="198" t="inlineStr">
        <is>
          <t>DADOS_INVOC!PV39</t>
        </is>
      </c>
      <c r="D1551" s="198" t="inlineStr">
        <is>
          <t>aviso</t>
        </is>
      </c>
    </row>
    <row r="1552">
      <c r="A1552" s="198" t="inlineStr">
        <is>
          <t>invocacao.3.ext.3.classe</t>
        </is>
      </c>
      <c r="B1552" s="198">
        <f>IF(ISBLANK(DADOS_INVOC!$MS$40),"",DADOS_INVOC!$MS$40&amp;"")</f>
        <v/>
      </c>
      <c r="C1552" s="198" t="inlineStr">
        <is>
          <t>DADOS_INVOC!MS40</t>
        </is>
      </c>
      <c r="D1552" s="198" t="inlineStr">
        <is>
          <t>entrada</t>
        </is>
      </c>
    </row>
    <row r="1553">
      <c r="A1553" s="198" t="inlineStr">
        <is>
          <t>invocacao.3.ext.3.nome</t>
        </is>
      </c>
      <c r="B1553" s="198">
        <f>IF(ISBLANK(DADOS_INVOC!$MT$40),"",DADOS_INVOC!$MT$40&amp;"")</f>
        <v/>
      </c>
      <c r="C1553" s="198" t="inlineStr">
        <is>
          <t>DADOS_INVOC!MT40</t>
        </is>
      </c>
      <c r="D1553" s="198" t="inlineStr">
        <is>
          <t>entrada</t>
        </is>
      </c>
    </row>
    <row r="1554">
      <c r="A1554" s="198" t="inlineStr">
        <is>
          <t>invocacao.3.ext.3.forma</t>
        </is>
      </c>
      <c r="B1554" s="198">
        <f>IF(ISBLANK(DADOS_INVOC!$MU$40),"",DADOS_INVOC!$MU$40&amp;"")</f>
        <v/>
      </c>
      <c r="C1554" s="198" t="inlineStr">
        <is>
          <t>DADOS_INVOC!MU40</t>
        </is>
      </c>
      <c r="D1554" s="198" t="inlineStr">
        <is>
          <t>entrada</t>
        </is>
      </c>
    </row>
    <row r="1555">
      <c r="A1555" s="198" t="inlineStr">
        <is>
          <t>invocacao.3.ext.3.pecas</t>
        </is>
      </c>
      <c r="B1555" s="198">
        <f>TEXTJOIN(" · ",TRUE,DADOS_INVOC!$MX$40,DADOS_INVOC!$MY$40,DADOS_INVOC!$MZ$40,DADOS_INVOC!$NA$40)</f>
        <v/>
      </c>
      <c r="C1555" s="198" t="inlineStr">
        <is>
          <t>DADOS_INVOC!MX40 DADOS_INVOC!MY40 DADOS_INVOC!MZ40 DADOS_INVOC!NA40</t>
        </is>
      </c>
      <c r="D1555" s="198" t="inlineStr">
        <is>
          <t>entrada</t>
        </is>
      </c>
    </row>
    <row r="1556">
      <c r="A1556" s="198" t="inlineStr">
        <is>
          <t>invocacao.3.ext.3.restricoes</t>
        </is>
      </c>
      <c r="B1556" s="198">
        <f>TEXTJOIN(" · ",TRUE,DADOS_INVOC!$NB$40,DADOS_INVOC!$NC$40)</f>
        <v/>
      </c>
      <c r="C1556" s="198" t="inlineStr">
        <is>
          <t>DADOS_INVOC!NB40 DADOS_INVOC!NC40</t>
        </is>
      </c>
      <c r="D1556" s="198" t="inlineStr">
        <is>
          <t>entrada</t>
        </is>
      </c>
    </row>
    <row r="1557">
      <c r="A1557" s="198" t="inlineStr">
        <is>
          <t>invocacao.3.ext.3.pe</t>
        </is>
      </c>
      <c r="B1557" s="198">
        <f>IF(ISBLANK(DADOS_INVOC!$QA$40),"",DADOS_INVOC!$QA$40&amp;"")</f>
        <v/>
      </c>
      <c r="C1557" s="198" t="inlineStr">
        <is>
          <t>DADOS_INVOC!QA40</t>
        </is>
      </c>
      <c r="D1557" s="198" t="inlineStr">
        <is>
          <t>resultado</t>
        </is>
      </c>
    </row>
    <row r="1558">
      <c r="A1558" s="198" t="inlineStr">
        <is>
          <t>invocacao.3.ext.3.dano</t>
        </is>
      </c>
      <c r="B1558" s="198">
        <f>IF(ISBLANK(DADOS_INVOC!$QE$40),"",DADOS_INVOC!$QE$40&amp;"")</f>
        <v/>
      </c>
      <c r="C1558" s="198" t="inlineStr">
        <is>
          <t>DADOS_INVOC!QE40</t>
        </is>
      </c>
      <c r="D1558" s="198" t="inlineStr">
        <is>
          <t>resultado</t>
        </is>
      </c>
    </row>
    <row r="1559">
      <c r="A1559" s="198" t="inlineStr">
        <is>
          <t>invocacao.3.ext.3.erros</t>
        </is>
      </c>
      <c r="B1559" s="198">
        <f>IF(ISBLANK(DADOS_INVOC!$PT$40),"",DADOS_INVOC!$PT$40&amp;"")</f>
        <v/>
      </c>
      <c r="C1559" s="198" t="inlineStr">
        <is>
          <t>DADOS_INVOC!PT40</t>
        </is>
      </c>
      <c r="D1559" s="198" t="inlineStr">
        <is>
          <t>aviso</t>
        </is>
      </c>
    </row>
    <row r="1560">
      <c r="A1560" s="198" t="inlineStr">
        <is>
          <t>invocacao.3.ext.3.avisos</t>
        </is>
      </c>
      <c r="B1560" s="198">
        <f>IF(ISBLANK(DADOS_INVOC!$PV$40),"",DADOS_INVOC!$PV$40&amp;"")</f>
        <v/>
      </c>
      <c r="C1560" s="198" t="inlineStr">
        <is>
          <t>DADOS_INVOC!PV40</t>
        </is>
      </c>
      <c r="D1560" s="198" t="inlineStr">
        <is>
          <t>aviso</t>
        </is>
      </c>
    </row>
    <row r="1561">
      <c r="A1561" s="198" t="inlineStr">
        <is>
          <t>invocacao.4.bas.1.classe</t>
        </is>
      </c>
      <c r="B1561" s="198">
        <f>IF(ISBLANK(DADOS_INVOC!$MS$41),"",DADOS_INVOC!$MS$41&amp;"")</f>
        <v/>
      </c>
      <c r="C1561" s="198" t="inlineStr">
        <is>
          <t>DADOS_INVOC!MS41</t>
        </is>
      </c>
      <c r="D1561" s="198" t="inlineStr">
        <is>
          <t>entrada</t>
        </is>
      </c>
    </row>
    <row r="1562">
      <c r="A1562" s="198" t="inlineStr">
        <is>
          <t>invocacao.4.bas.1.nome</t>
        </is>
      </c>
      <c r="B1562" s="198">
        <f>IF(ISBLANK(DADOS_INVOC!$MT$41),"",DADOS_INVOC!$MT$41&amp;"")</f>
        <v/>
      </c>
      <c r="C1562" s="198" t="inlineStr">
        <is>
          <t>DADOS_INVOC!MT41</t>
        </is>
      </c>
      <c r="D1562" s="198" t="inlineStr">
        <is>
          <t>entrada</t>
        </is>
      </c>
    </row>
    <row r="1563">
      <c r="A1563" s="198" t="inlineStr">
        <is>
          <t>invocacao.4.bas.1.forma</t>
        </is>
      </c>
      <c r="B1563" s="198">
        <f>IF(ISBLANK(DADOS_INVOC!$MU$41),"",DADOS_INVOC!$MU$41&amp;"")</f>
        <v/>
      </c>
      <c r="C1563" s="198" t="inlineStr">
        <is>
          <t>DADOS_INVOC!MU41</t>
        </is>
      </c>
      <c r="D1563" s="198" t="inlineStr">
        <is>
          <t>entrada</t>
        </is>
      </c>
    </row>
    <row r="1564">
      <c r="A1564" s="198" t="inlineStr">
        <is>
          <t>invocacao.4.bas.1.pecas</t>
        </is>
      </c>
      <c r="B1564" s="198">
        <f>TEXTJOIN(" · ",TRUE,DADOS_INVOC!$MX$41,DADOS_INVOC!$MY$41,DADOS_INVOC!$MZ$41,DADOS_INVOC!$NA$41)</f>
        <v/>
      </c>
      <c r="C1564" s="198" t="inlineStr">
        <is>
          <t>DADOS_INVOC!MX41 DADOS_INVOC!MY41 DADOS_INVOC!MZ41 DADOS_INVOC!NA41</t>
        </is>
      </c>
      <c r="D1564" s="198" t="inlineStr">
        <is>
          <t>entrada</t>
        </is>
      </c>
    </row>
    <row r="1565">
      <c r="A1565" s="198" t="inlineStr">
        <is>
          <t>invocacao.4.bas.1.restricoes</t>
        </is>
      </c>
      <c r="B1565" s="198">
        <f>TEXTJOIN(" · ",TRUE,DADOS_INVOC!$NB$41,DADOS_INVOC!$NC$41)</f>
        <v/>
      </c>
      <c r="C1565" s="198" t="inlineStr">
        <is>
          <t>DADOS_INVOC!NB41 DADOS_INVOC!NC41</t>
        </is>
      </c>
      <c r="D1565" s="198" t="inlineStr">
        <is>
          <t>entrada</t>
        </is>
      </c>
    </row>
    <row r="1566">
      <c r="A1566" s="198" t="inlineStr">
        <is>
          <t>invocacao.4.bas.1.pe</t>
        </is>
      </c>
      <c r="B1566" s="198">
        <f>IF(ISBLANK(DADOS_INVOC!$QA$41),"",DADOS_INVOC!$QA$41&amp;"")</f>
        <v/>
      </c>
      <c r="C1566" s="198" t="inlineStr">
        <is>
          <t>DADOS_INVOC!QA41</t>
        </is>
      </c>
      <c r="D1566" s="198" t="inlineStr">
        <is>
          <t>resultado</t>
        </is>
      </c>
    </row>
    <row r="1567">
      <c r="A1567" s="198" t="inlineStr">
        <is>
          <t>invocacao.4.bas.1.dano</t>
        </is>
      </c>
      <c r="B1567" s="198">
        <f>IF(ISBLANK(DADOS_INVOC!$QE$41),"",DADOS_INVOC!$QE$41&amp;"")</f>
        <v/>
      </c>
      <c r="C1567" s="198" t="inlineStr">
        <is>
          <t>DADOS_INVOC!QE41</t>
        </is>
      </c>
      <c r="D1567" s="198" t="inlineStr">
        <is>
          <t>resultado</t>
        </is>
      </c>
    </row>
    <row r="1568">
      <c r="A1568" s="198" t="inlineStr">
        <is>
          <t>invocacao.4.bas.1.erros</t>
        </is>
      </c>
      <c r="B1568" s="198">
        <f>IF(ISBLANK(DADOS_INVOC!$PT$41),"",DADOS_INVOC!$PT$41&amp;"")</f>
        <v/>
      </c>
      <c r="C1568" s="198" t="inlineStr">
        <is>
          <t>DADOS_INVOC!PT41</t>
        </is>
      </c>
      <c r="D1568" s="198" t="inlineStr">
        <is>
          <t>aviso</t>
        </is>
      </c>
    </row>
    <row r="1569">
      <c r="A1569" s="198" t="inlineStr">
        <is>
          <t>invocacao.4.bas.1.avisos</t>
        </is>
      </c>
      <c r="B1569" s="198">
        <f>IF(ISBLANK(DADOS_INVOC!$PV$41),"",DADOS_INVOC!$PV$41&amp;"")</f>
        <v/>
      </c>
      <c r="C1569" s="198" t="inlineStr">
        <is>
          <t>DADOS_INVOC!PV41</t>
        </is>
      </c>
      <c r="D1569" s="198" t="inlineStr">
        <is>
          <t>aviso</t>
        </is>
      </c>
    </row>
    <row r="1570">
      <c r="A1570" s="198" t="inlineStr">
        <is>
          <t>invocacao.4.esp.1.classe</t>
        </is>
      </c>
      <c r="B1570" s="198">
        <f>IF(ISBLANK(DADOS_INVOC!$MS$42),"",DADOS_INVOC!$MS$42&amp;"")</f>
        <v/>
      </c>
      <c r="C1570" s="198" t="inlineStr">
        <is>
          <t>DADOS_INVOC!MS42</t>
        </is>
      </c>
      <c r="D1570" s="198" t="inlineStr">
        <is>
          <t>entrada</t>
        </is>
      </c>
    </row>
    <row r="1571">
      <c r="A1571" s="198" t="inlineStr">
        <is>
          <t>invocacao.4.esp.1.nome</t>
        </is>
      </c>
      <c r="B1571" s="198">
        <f>IF(ISBLANK(DADOS_INVOC!$MT$42),"",DADOS_INVOC!$MT$42&amp;"")</f>
        <v/>
      </c>
      <c r="C1571" s="198" t="inlineStr">
        <is>
          <t>DADOS_INVOC!MT42</t>
        </is>
      </c>
      <c r="D1571" s="198" t="inlineStr">
        <is>
          <t>entrada</t>
        </is>
      </c>
    </row>
    <row r="1572">
      <c r="A1572" s="198" t="inlineStr">
        <is>
          <t>invocacao.4.esp.1.forma</t>
        </is>
      </c>
      <c r="B1572" s="198">
        <f>IF(ISBLANK(DADOS_INVOC!$MU$42),"",DADOS_INVOC!$MU$42&amp;"")</f>
        <v/>
      </c>
      <c r="C1572" s="198" t="inlineStr">
        <is>
          <t>DADOS_INVOC!MU42</t>
        </is>
      </c>
      <c r="D1572" s="198" t="inlineStr">
        <is>
          <t>entrada</t>
        </is>
      </c>
    </row>
    <row r="1573">
      <c r="A1573" s="198" t="inlineStr">
        <is>
          <t>invocacao.4.esp.1.pecas</t>
        </is>
      </c>
      <c r="B1573" s="198">
        <f>TEXTJOIN(" · ",TRUE,DADOS_INVOC!$MX$42,DADOS_INVOC!$MY$42,DADOS_INVOC!$MZ$42,DADOS_INVOC!$NA$42)</f>
        <v/>
      </c>
      <c r="C1573" s="198" t="inlineStr">
        <is>
          <t>DADOS_INVOC!MX42 DADOS_INVOC!MY42 DADOS_INVOC!MZ42 DADOS_INVOC!NA42</t>
        </is>
      </c>
      <c r="D1573" s="198" t="inlineStr">
        <is>
          <t>entrada</t>
        </is>
      </c>
    </row>
    <row r="1574">
      <c r="A1574" s="198" t="inlineStr">
        <is>
          <t>invocacao.4.esp.1.restricoes</t>
        </is>
      </c>
      <c r="B1574" s="198">
        <f>TEXTJOIN(" · ",TRUE,DADOS_INVOC!$NB$42,DADOS_INVOC!$NC$42)</f>
        <v/>
      </c>
      <c r="C1574" s="198" t="inlineStr">
        <is>
          <t>DADOS_INVOC!NB42 DADOS_INVOC!NC42</t>
        </is>
      </c>
      <c r="D1574" s="198" t="inlineStr">
        <is>
          <t>entrada</t>
        </is>
      </c>
    </row>
    <row r="1575">
      <c r="A1575" s="198" t="inlineStr">
        <is>
          <t>invocacao.4.esp.1.pe</t>
        </is>
      </c>
      <c r="B1575" s="198">
        <f>IF(ISBLANK(DADOS_INVOC!$QA$42),"",DADOS_INVOC!$QA$42&amp;"")</f>
        <v/>
      </c>
      <c r="C1575" s="198" t="inlineStr">
        <is>
          <t>DADOS_INVOC!QA42</t>
        </is>
      </c>
      <c r="D1575" s="198" t="inlineStr">
        <is>
          <t>resultado</t>
        </is>
      </c>
    </row>
    <row r="1576">
      <c r="A1576" s="198" t="inlineStr">
        <is>
          <t>invocacao.4.esp.1.dano</t>
        </is>
      </c>
      <c r="B1576" s="198">
        <f>IF(ISBLANK(DADOS_INVOC!$QE$42),"",DADOS_INVOC!$QE$42&amp;"")</f>
        <v/>
      </c>
      <c r="C1576" s="198" t="inlineStr">
        <is>
          <t>DADOS_INVOC!QE42</t>
        </is>
      </c>
      <c r="D1576" s="198" t="inlineStr">
        <is>
          <t>resultado</t>
        </is>
      </c>
    </row>
    <row r="1577">
      <c r="A1577" s="198" t="inlineStr">
        <is>
          <t>invocacao.4.esp.1.erros</t>
        </is>
      </c>
      <c r="B1577" s="198">
        <f>IF(ISBLANK(DADOS_INVOC!$PT$42),"",DADOS_INVOC!$PT$42&amp;"")</f>
        <v/>
      </c>
      <c r="C1577" s="198" t="inlineStr">
        <is>
          <t>DADOS_INVOC!PT42</t>
        </is>
      </c>
      <c r="D1577" s="198" t="inlineStr">
        <is>
          <t>aviso</t>
        </is>
      </c>
    </row>
    <row r="1578">
      <c r="A1578" s="198" t="inlineStr">
        <is>
          <t>invocacao.4.esp.1.avisos</t>
        </is>
      </c>
      <c r="B1578" s="198">
        <f>IF(ISBLANK(DADOS_INVOC!$PV$42),"",DADOS_INVOC!$PV$42&amp;"")</f>
        <v/>
      </c>
      <c r="C1578" s="198" t="inlineStr">
        <is>
          <t>DADOS_INVOC!PV42</t>
        </is>
      </c>
      <c r="D1578" s="198" t="inlineStr">
        <is>
          <t>aviso</t>
        </is>
      </c>
    </row>
    <row r="1579">
      <c r="A1579" s="198" t="inlineStr">
        <is>
          <t>invocacao.4.esp.2.classe</t>
        </is>
      </c>
      <c r="B1579" s="198">
        <f>IF(ISBLANK(DADOS_INVOC!$MS$43),"",DADOS_INVOC!$MS$43&amp;"")</f>
        <v/>
      </c>
      <c r="C1579" s="198" t="inlineStr">
        <is>
          <t>DADOS_INVOC!MS43</t>
        </is>
      </c>
      <c r="D1579" s="198" t="inlineStr">
        <is>
          <t>entrada</t>
        </is>
      </c>
    </row>
    <row r="1580">
      <c r="A1580" s="198" t="inlineStr">
        <is>
          <t>invocacao.4.esp.2.nome</t>
        </is>
      </c>
      <c r="B1580" s="198">
        <f>IF(ISBLANK(DADOS_INVOC!$MT$43),"",DADOS_INVOC!$MT$43&amp;"")</f>
        <v/>
      </c>
      <c r="C1580" s="198" t="inlineStr">
        <is>
          <t>DADOS_INVOC!MT43</t>
        </is>
      </c>
      <c r="D1580" s="198" t="inlineStr">
        <is>
          <t>entrada</t>
        </is>
      </c>
    </row>
    <row r="1581">
      <c r="A1581" s="198" t="inlineStr">
        <is>
          <t>invocacao.4.esp.2.forma</t>
        </is>
      </c>
      <c r="B1581" s="198">
        <f>IF(ISBLANK(DADOS_INVOC!$MU$43),"",DADOS_INVOC!$MU$43&amp;"")</f>
        <v/>
      </c>
      <c r="C1581" s="198" t="inlineStr">
        <is>
          <t>DADOS_INVOC!MU43</t>
        </is>
      </c>
      <c r="D1581" s="198" t="inlineStr">
        <is>
          <t>entrada</t>
        </is>
      </c>
    </row>
    <row r="1582">
      <c r="A1582" s="198" t="inlineStr">
        <is>
          <t>invocacao.4.esp.2.pecas</t>
        </is>
      </c>
      <c r="B1582" s="198">
        <f>TEXTJOIN(" · ",TRUE,DADOS_INVOC!$MX$43,DADOS_INVOC!$MY$43,DADOS_INVOC!$MZ$43,DADOS_INVOC!$NA$43)</f>
        <v/>
      </c>
      <c r="C1582" s="198" t="inlineStr">
        <is>
          <t>DADOS_INVOC!MX43 DADOS_INVOC!MY43 DADOS_INVOC!MZ43 DADOS_INVOC!NA43</t>
        </is>
      </c>
      <c r="D1582" s="198" t="inlineStr">
        <is>
          <t>entrada</t>
        </is>
      </c>
    </row>
    <row r="1583">
      <c r="A1583" s="198" t="inlineStr">
        <is>
          <t>invocacao.4.esp.2.restricoes</t>
        </is>
      </c>
      <c r="B1583" s="198">
        <f>TEXTJOIN(" · ",TRUE,DADOS_INVOC!$NB$43,DADOS_INVOC!$NC$43)</f>
        <v/>
      </c>
      <c r="C1583" s="198" t="inlineStr">
        <is>
          <t>DADOS_INVOC!NB43 DADOS_INVOC!NC43</t>
        </is>
      </c>
      <c r="D1583" s="198" t="inlineStr">
        <is>
          <t>entrada</t>
        </is>
      </c>
    </row>
    <row r="1584">
      <c r="A1584" s="198" t="inlineStr">
        <is>
          <t>invocacao.4.esp.2.pe</t>
        </is>
      </c>
      <c r="B1584" s="198">
        <f>IF(ISBLANK(DADOS_INVOC!$QA$43),"",DADOS_INVOC!$QA$43&amp;"")</f>
        <v/>
      </c>
      <c r="C1584" s="198" t="inlineStr">
        <is>
          <t>DADOS_INVOC!QA43</t>
        </is>
      </c>
      <c r="D1584" s="198" t="inlineStr">
        <is>
          <t>resultado</t>
        </is>
      </c>
    </row>
    <row r="1585">
      <c r="A1585" s="198" t="inlineStr">
        <is>
          <t>invocacao.4.esp.2.dano</t>
        </is>
      </c>
      <c r="B1585" s="198">
        <f>IF(ISBLANK(DADOS_INVOC!$QE$43),"",DADOS_INVOC!$QE$43&amp;"")</f>
        <v/>
      </c>
      <c r="C1585" s="198" t="inlineStr">
        <is>
          <t>DADOS_INVOC!QE43</t>
        </is>
      </c>
      <c r="D1585" s="198" t="inlineStr">
        <is>
          <t>resultado</t>
        </is>
      </c>
    </row>
    <row r="1586">
      <c r="A1586" s="198" t="inlineStr">
        <is>
          <t>invocacao.4.esp.2.erros</t>
        </is>
      </c>
      <c r="B1586" s="198">
        <f>IF(ISBLANK(DADOS_INVOC!$PT$43),"",DADOS_INVOC!$PT$43&amp;"")</f>
        <v/>
      </c>
      <c r="C1586" s="198" t="inlineStr">
        <is>
          <t>DADOS_INVOC!PT43</t>
        </is>
      </c>
      <c r="D1586" s="198" t="inlineStr">
        <is>
          <t>aviso</t>
        </is>
      </c>
    </row>
    <row r="1587">
      <c r="A1587" s="198" t="inlineStr">
        <is>
          <t>invocacao.4.esp.2.avisos</t>
        </is>
      </c>
      <c r="B1587" s="198">
        <f>IF(ISBLANK(DADOS_INVOC!$PV$43),"",DADOS_INVOC!$PV$43&amp;"")</f>
        <v/>
      </c>
      <c r="C1587" s="198" t="inlineStr">
        <is>
          <t>DADOS_INVOC!PV43</t>
        </is>
      </c>
      <c r="D1587" s="198" t="inlineStr">
        <is>
          <t>aviso</t>
        </is>
      </c>
    </row>
    <row r="1588">
      <c r="A1588" s="198" t="inlineStr">
        <is>
          <t>invocacao.4.bas.2.classe</t>
        </is>
      </c>
      <c r="B1588" s="198">
        <f>IF(ISBLANK(DADOS_INVOC!$MS$44),"",DADOS_INVOC!$MS$44&amp;"")</f>
        <v/>
      </c>
      <c r="C1588" s="198" t="inlineStr">
        <is>
          <t>DADOS_INVOC!MS44</t>
        </is>
      </c>
      <c r="D1588" s="198" t="inlineStr">
        <is>
          <t>entrada</t>
        </is>
      </c>
    </row>
    <row r="1589">
      <c r="A1589" s="198" t="inlineStr">
        <is>
          <t>invocacao.4.bas.2.nome</t>
        </is>
      </c>
      <c r="B1589" s="198">
        <f>IF(ISBLANK(DADOS_INVOC!$MT$44),"",DADOS_INVOC!$MT$44&amp;"")</f>
        <v/>
      </c>
      <c r="C1589" s="198" t="inlineStr">
        <is>
          <t>DADOS_INVOC!MT44</t>
        </is>
      </c>
      <c r="D1589" s="198" t="inlineStr">
        <is>
          <t>entrada</t>
        </is>
      </c>
    </row>
    <row r="1590">
      <c r="A1590" s="198" t="inlineStr">
        <is>
          <t>invocacao.4.bas.2.forma</t>
        </is>
      </c>
      <c r="B1590" s="198">
        <f>IF(ISBLANK(DADOS_INVOC!$MU$44),"",DADOS_INVOC!$MU$44&amp;"")</f>
        <v/>
      </c>
      <c r="C1590" s="198" t="inlineStr">
        <is>
          <t>DADOS_INVOC!MU44</t>
        </is>
      </c>
      <c r="D1590" s="198" t="inlineStr">
        <is>
          <t>entrada</t>
        </is>
      </c>
    </row>
    <row r="1591">
      <c r="A1591" s="198" t="inlineStr">
        <is>
          <t>invocacao.4.bas.2.pecas</t>
        </is>
      </c>
      <c r="B1591" s="198">
        <f>TEXTJOIN(" · ",TRUE,DADOS_INVOC!$MX$44,DADOS_INVOC!$MY$44,DADOS_INVOC!$MZ$44,DADOS_INVOC!$NA$44)</f>
        <v/>
      </c>
      <c r="C1591" s="198" t="inlineStr">
        <is>
          <t>DADOS_INVOC!MX44 DADOS_INVOC!MY44 DADOS_INVOC!MZ44 DADOS_INVOC!NA44</t>
        </is>
      </c>
      <c r="D1591" s="198" t="inlineStr">
        <is>
          <t>entrada</t>
        </is>
      </c>
    </row>
    <row r="1592">
      <c r="A1592" s="198" t="inlineStr">
        <is>
          <t>invocacao.4.bas.2.restricoes</t>
        </is>
      </c>
      <c r="B1592" s="198">
        <f>TEXTJOIN(" · ",TRUE,DADOS_INVOC!$NB$44,DADOS_INVOC!$NC$44)</f>
        <v/>
      </c>
      <c r="C1592" s="198" t="inlineStr">
        <is>
          <t>DADOS_INVOC!NB44 DADOS_INVOC!NC44</t>
        </is>
      </c>
      <c r="D1592" s="198" t="inlineStr">
        <is>
          <t>entrada</t>
        </is>
      </c>
    </row>
    <row r="1593">
      <c r="A1593" s="198" t="inlineStr">
        <is>
          <t>invocacao.4.bas.2.pe</t>
        </is>
      </c>
      <c r="B1593" s="198">
        <f>IF(ISBLANK(DADOS_INVOC!$QA$44),"",DADOS_INVOC!$QA$44&amp;"")</f>
        <v/>
      </c>
      <c r="C1593" s="198" t="inlineStr">
        <is>
          <t>DADOS_INVOC!QA44</t>
        </is>
      </c>
      <c r="D1593" s="198" t="inlineStr">
        <is>
          <t>resultado</t>
        </is>
      </c>
    </row>
    <row r="1594">
      <c r="A1594" s="198" t="inlineStr">
        <is>
          <t>invocacao.4.bas.2.dano</t>
        </is>
      </c>
      <c r="B1594" s="198">
        <f>IF(ISBLANK(DADOS_INVOC!$QE$44),"",DADOS_INVOC!$QE$44&amp;"")</f>
        <v/>
      </c>
      <c r="C1594" s="198" t="inlineStr">
        <is>
          <t>DADOS_INVOC!QE44</t>
        </is>
      </c>
      <c r="D1594" s="198" t="inlineStr">
        <is>
          <t>resultado</t>
        </is>
      </c>
    </row>
    <row r="1595">
      <c r="A1595" s="198" t="inlineStr">
        <is>
          <t>invocacao.4.bas.2.erros</t>
        </is>
      </c>
      <c r="B1595" s="198">
        <f>IF(ISBLANK(DADOS_INVOC!$PT$44),"",DADOS_INVOC!$PT$44&amp;"")</f>
        <v/>
      </c>
      <c r="C1595" s="198" t="inlineStr">
        <is>
          <t>DADOS_INVOC!PT44</t>
        </is>
      </c>
      <c r="D1595" s="198" t="inlineStr">
        <is>
          <t>aviso</t>
        </is>
      </c>
    </row>
    <row r="1596">
      <c r="A1596" s="198" t="inlineStr">
        <is>
          <t>invocacao.4.bas.2.avisos</t>
        </is>
      </c>
      <c r="B1596" s="198">
        <f>IF(ISBLANK(DADOS_INVOC!$PV$44),"",DADOS_INVOC!$PV$44&amp;"")</f>
        <v/>
      </c>
      <c r="C1596" s="198" t="inlineStr">
        <is>
          <t>DADOS_INVOC!PV44</t>
        </is>
      </c>
      <c r="D1596" s="198" t="inlineStr">
        <is>
          <t>aviso</t>
        </is>
      </c>
    </row>
    <row r="1597">
      <c r="A1597" s="198" t="inlineStr">
        <is>
          <t>invocacao.4.esp.3.classe</t>
        </is>
      </c>
      <c r="B1597" s="198">
        <f>IF(ISBLANK(DADOS_INVOC!$MS$45),"",DADOS_INVOC!$MS$45&amp;"")</f>
        <v/>
      </c>
      <c r="C1597" s="198" t="inlineStr">
        <is>
          <t>DADOS_INVOC!MS45</t>
        </is>
      </c>
      <c r="D1597" s="198" t="inlineStr">
        <is>
          <t>entrada</t>
        </is>
      </c>
    </row>
    <row r="1598">
      <c r="A1598" s="198" t="inlineStr">
        <is>
          <t>invocacao.4.esp.3.nome</t>
        </is>
      </c>
      <c r="B1598" s="198">
        <f>IF(ISBLANK(DADOS_INVOC!$MT$45),"",DADOS_INVOC!$MT$45&amp;"")</f>
        <v/>
      </c>
      <c r="C1598" s="198" t="inlineStr">
        <is>
          <t>DADOS_INVOC!MT45</t>
        </is>
      </c>
      <c r="D1598" s="198" t="inlineStr">
        <is>
          <t>entrada</t>
        </is>
      </c>
    </row>
    <row r="1599">
      <c r="A1599" s="198" t="inlineStr">
        <is>
          <t>invocacao.4.esp.3.forma</t>
        </is>
      </c>
      <c r="B1599" s="198">
        <f>IF(ISBLANK(DADOS_INVOC!$MU$45),"",DADOS_INVOC!$MU$45&amp;"")</f>
        <v/>
      </c>
      <c r="C1599" s="198" t="inlineStr">
        <is>
          <t>DADOS_INVOC!MU45</t>
        </is>
      </c>
      <c r="D1599" s="198" t="inlineStr">
        <is>
          <t>entrada</t>
        </is>
      </c>
    </row>
    <row r="1600">
      <c r="A1600" s="198" t="inlineStr">
        <is>
          <t>invocacao.4.esp.3.pecas</t>
        </is>
      </c>
      <c r="B1600" s="198">
        <f>TEXTJOIN(" · ",TRUE,DADOS_INVOC!$MX$45,DADOS_INVOC!$MY$45,DADOS_INVOC!$MZ$45,DADOS_INVOC!$NA$45)</f>
        <v/>
      </c>
      <c r="C1600" s="198" t="inlineStr">
        <is>
          <t>DADOS_INVOC!MX45 DADOS_INVOC!MY45 DADOS_INVOC!MZ45 DADOS_INVOC!NA45</t>
        </is>
      </c>
      <c r="D1600" s="198" t="inlineStr">
        <is>
          <t>entrada</t>
        </is>
      </c>
    </row>
    <row r="1601">
      <c r="A1601" s="198" t="inlineStr">
        <is>
          <t>invocacao.4.esp.3.restricoes</t>
        </is>
      </c>
      <c r="B1601" s="198">
        <f>TEXTJOIN(" · ",TRUE,DADOS_INVOC!$NB$45,DADOS_INVOC!$NC$45)</f>
        <v/>
      </c>
      <c r="C1601" s="198" t="inlineStr">
        <is>
          <t>DADOS_INVOC!NB45 DADOS_INVOC!NC45</t>
        </is>
      </c>
      <c r="D1601" s="198" t="inlineStr">
        <is>
          <t>entrada</t>
        </is>
      </c>
    </row>
    <row r="1602">
      <c r="A1602" s="198" t="inlineStr">
        <is>
          <t>invocacao.4.esp.3.pe</t>
        </is>
      </c>
      <c r="B1602" s="198">
        <f>IF(ISBLANK(DADOS_INVOC!$QA$45),"",DADOS_INVOC!$QA$45&amp;"")</f>
        <v/>
      </c>
      <c r="C1602" s="198" t="inlineStr">
        <is>
          <t>DADOS_INVOC!QA45</t>
        </is>
      </c>
      <c r="D1602" s="198" t="inlineStr">
        <is>
          <t>resultado</t>
        </is>
      </c>
    </row>
    <row r="1603">
      <c r="A1603" s="198" t="inlineStr">
        <is>
          <t>invocacao.4.esp.3.dano</t>
        </is>
      </c>
      <c r="B1603" s="198">
        <f>IF(ISBLANK(DADOS_INVOC!$QE$45),"",DADOS_INVOC!$QE$45&amp;"")</f>
        <v/>
      </c>
      <c r="C1603" s="198" t="inlineStr">
        <is>
          <t>DADOS_INVOC!QE45</t>
        </is>
      </c>
      <c r="D1603" s="198" t="inlineStr">
        <is>
          <t>resultado</t>
        </is>
      </c>
    </row>
    <row r="1604">
      <c r="A1604" s="198" t="inlineStr">
        <is>
          <t>invocacao.4.esp.3.erros</t>
        </is>
      </c>
      <c r="B1604" s="198">
        <f>IF(ISBLANK(DADOS_INVOC!$PT$45),"",DADOS_INVOC!$PT$45&amp;"")</f>
        <v/>
      </c>
      <c r="C1604" s="198" t="inlineStr">
        <is>
          <t>DADOS_INVOC!PT45</t>
        </is>
      </c>
      <c r="D1604" s="198" t="inlineStr">
        <is>
          <t>aviso</t>
        </is>
      </c>
    </row>
    <row r="1605">
      <c r="A1605" s="198" t="inlineStr">
        <is>
          <t>invocacao.4.esp.3.avisos</t>
        </is>
      </c>
      <c r="B1605" s="198">
        <f>IF(ISBLANK(DADOS_INVOC!$PV$45),"",DADOS_INVOC!$PV$45&amp;"")</f>
        <v/>
      </c>
      <c r="C1605" s="198" t="inlineStr">
        <is>
          <t>DADOS_INVOC!PV45</t>
        </is>
      </c>
      <c r="D1605" s="198" t="inlineStr">
        <is>
          <t>aviso</t>
        </is>
      </c>
    </row>
    <row r="1606">
      <c r="A1606" s="198" t="inlineStr">
        <is>
          <t>invocacao.4.esp.4.classe</t>
        </is>
      </c>
      <c r="B1606" s="198">
        <f>IF(ISBLANK(DADOS_INVOC!$MS$46),"",DADOS_INVOC!$MS$46&amp;"")</f>
        <v/>
      </c>
      <c r="C1606" s="198" t="inlineStr">
        <is>
          <t>DADOS_INVOC!MS46</t>
        </is>
      </c>
      <c r="D1606" s="198" t="inlineStr">
        <is>
          <t>entrada</t>
        </is>
      </c>
    </row>
    <row r="1607">
      <c r="A1607" s="198" t="inlineStr">
        <is>
          <t>invocacao.4.esp.4.nome</t>
        </is>
      </c>
      <c r="B1607" s="198">
        <f>IF(ISBLANK(DADOS_INVOC!$MT$46),"",DADOS_INVOC!$MT$46&amp;"")</f>
        <v/>
      </c>
      <c r="C1607" s="198" t="inlineStr">
        <is>
          <t>DADOS_INVOC!MT46</t>
        </is>
      </c>
      <c r="D1607" s="198" t="inlineStr">
        <is>
          <t>entrada</t>
        </is>
      </c>
    </row>
    <row r="1608">
      <c r="A1608" s="198" t="inlineStr">
        <is>
          <t>invocacao.4.esp.4.forma</t>
        </is>
      </c>
      <c r="B1608" s="198">
        <f>IF(ISBLANK(DADOS_INVOC!$MU$46),"",DADOS_INVOC!$MU$46&amp;"")</f>
        <v/>
      </c>
      <c r="C1608" s="198" t="inlineStr">
        <is>
          <t>DADOS_INVOC!MU46</t>
        </is>
      </c>
      <c r="D1608" s="198" t="inlineStr">
        <is>
          <t>entrada</t>
        </is>
      </c>
    </row>
    <row r="1609">
      <c r="A1609" s="198" t="inlineStr">
        <is>
          <t>invocacao.4.esp.4.pecas</t>
        </is>
      </c>
      <c r="B1609" s="198">
        <f>TEXTJOIN(" · ",TRUE,DADOS_INVOC!$MX$46,DADOS_INVOC!$MY$46,DADOS_INVOC!$MZ$46,DADOS_INVOC!$NA$46)</f>
        <v/>
      </c>
      <c r="C1609" s="198" t="inlineStr">
        <is>
          <t>DADOS_INVOC!MX46 DADOS_INVOC!MY46 DADOS_INVOC!MZ46 DADOS_INVOC!NA46</t>
        </is>
      </c>
      <c r="D1609" s="198" t="inlineStr">
        <is>
          <t>entrada</t>
        </is>
      </c>
    </row>
    <row r="1610">
      <c r="A1610" s="198" t="inlineStr">
        <is>
          <t>invocacao.4.esp.4.restricoes</t>
        </is>
      </c>
      <c r="B1610" s="198">
        <f>TEXTJOIN(" · ",TRUE,DADOS_INVOC!$NB$46,DADOS_INVOC!$NC$46)</f>
        <v/>
      </c>
      <c r="C1610" s="198" t="inlineStr">
        <is>
          <t>DADOS_INVOC!NB46 DADOS_INVOC!NC46</t>
        </is>
      </c>
      <c r="D1610" s="198" t="inlineStr">
        <is>
          <t>entrada</t>
        </is>
      </c>
    </row>
    <row r="1611">
      <c r="A1611" s="198" t="inlineStr">
        <is>
          <t>invocacao.4.esp.4.pe</t>
        </is>
      </c>
      <c r="B1611" s="198">
        <f>IF(ISBLANK(DADOS_INVOC!$QA$46),"",DADOS_INVOC!$QA$46&amp;"")</f>
        <v/>
      </c>
      <c r="C1611" s="198" t="inlineStr">
        <is>
          <t>DADOS_INVOC!QA46</t>
        </is>
      </c>
      <c r="D1611" s="198" t="inlineStr">
        <is>
          <t>resultado</t>
        </is>
      </c>
    </row>
    <row r="1612">
      <c r="A1612" s="198" t="inlineStr">
        <is>
          <t>invocacao.4.esp.4.dano</t>
        </is>
      </c>
      <c r="B1612" s="198">
        <f>IF(ISBLANK(DADOS_INVOC!$QE$46),"",DADOS_INVOC!$QE$46&amp;"")</f>
        <v/>
      </c>
      <c r="C1612" s="198" t="inlineStr">
        <is>
          <t>DADOS_INVOC!QE46</t>
        </is>
      </c>
      <c r="D1612" s="198" t="inlineStr">
        <is>
          <t>resultado</t>
        </is>
      </c>
    </row>
    <row r="1613">
      <c r="A1613" s="198" t="inlineStr">
        <is>
          <t>invocacao.4.esp.4.erros</t>
        </is>
      </c>
      <c r="B1613" s="198">
        <f>IF(ISBLANK(DADOS_INVOC!$PT$46),"",DADOS_INVOC!$PT$46&amp;"")</f>
        <v/>
      </c>
      <c r="C1613" s="198" t="inlineStr">
        <is>
          <t>DADOS_INVOC!PT46</t>
        </is>
      </c>
      <c r="D1613" s="198" t="inlineStr">
        <is>
          <t>aviso</t>
        </is>
      </c>
    </row>
    <row r="1614">
      <c r="A1614" s="198" t="inlineStr">
        <is>
          <t>invocacao.4.esp.4.avisos</t>
        </is>
      </c>
      <c r="B1614" s="198">
        <f>IF(ISBLANK(DADOS_INVOC!$PV$46),"",DADOS_INVOC!$PV$46&amp;"")</f>
        <v/>
      </c>
      <c r="C1614" s="198" t="inlineStr">
        <is>
          <t>DADOS_INVOC!PV46</t>
        </is>
      </c>
      <c r="D1614" s="198" t="inlineStr">
        <is>
          <t>aviso</t>
        </is>
      </c>
    </row>
    <row r="1615">
      <c r="A1615" s="198" t="inlineStr">
        <is>
          <t>invocacao.4.esp.5.classe</t>
        </is>
      </c>
      <c r="B1615" s="198">
        <f>IF(ISBLANK(DADOS_INVOC!$MS$47),"",DADOS_INVOC!$MS$47&amp;"")</f>
        <v/>
      </c>
      <c r="C1615" s="198" t="inlineStr">
        <is>
          <t>DADOS_INVOC!MS47</t>
        </is>
      </c>
      <c r="D1615" s="198" t="inlineStr">
        <is>
          <t>entrada</t>
        </is>
      </c>
    </row>
    <row r="1616">
      <c r="A1616" s="198" t="inlineStr">
        <is>
          <t>invocacao.4.esp.5.nome</t>
        </is>
      </c>
      <c r="B1616" s="198">
        <f>IF(ISBLANK(DADOS_INVOC!$MT$47),"",DADOS_INVOC!$MT$47&amp;"")</f>
        <v/>
      </c>
      <c r="C1616" s="198" t="inlineStr">
        <is>
          <t>DADOS_INVOC!MT47</t>
        </is>
      </c>
      <c r="D1616" s="198" t="inlineStr">
        <is>
          <t>entrada</t>
        </is>
      </c>
    </row>
    <row r="1617">
      <c r="A1617" s="198" t="inlineStr">
        <is>
          <t>invocacao.4.esp.5.forma</t>
        </is>
      </c>
      <c r="B1617" s="198">
        <f>IF(ISBLANK(DADOS_INVOC!$MU$47),"",DADOS_INVOC!$MU$47&amp;"")</f>
        <v/>
      </c>
      <c r="C1617" s="198" t="inlineStr">
        <is>
          <t>DADOS_INVOC!MU47</t>
        </is>
      </c>
      <c r="D1617" s="198" t="inlineStr">
        <is>
          <t>entrada</t>
        </is>
      </c>
    </row>
    <row r="1618">
      <c r="A1618" s="198" t="inlineStr">
        <is>
          <t>invocacao.4.esp.5.pecas</t>
        </is>
      </c>
      <c r="B1618" s="198">
        <f>TEXTJOIN(" · ",TRUE,DADOS_INVOC!$MX$47,DADOS_INVOC!$MY$47,DADOS_INVOC!$MZ$47,DADOS_INVOC!$NA$47)</f>
        <v/>
      </c>
      <c r="C1618" s="198" t="inlineStr">
        <is>
          <t>DADOS_INVOC!MX47 DADOS_INVOC!MY47 DADOS_INVOC!MZ47 DADOS_INVOC!NA47</t>
        </is>
      </c>
      <c r="D1618" s="198" t="inlineStr">
        <is>
          <t>entrada</t>
        </is>
      </c>
    </row>
    <row r="1619">
      <c r="A1619" s="198" t="inlineStr">
        <is>
          <t>invocacao.4.esp.5.restricoes</t>
        </is>
      </c>
      <c r="B1619" s="198">
        <f>TEXTJOIN(" · ",TRUE,DADOS_INVOC!$NB$47,DADOS_INVOC!$NC$47)</f>
        <v/>
      </c>
      <c r="C1619" s="198" t="inlineStr">
        <is>
          <t>DADOS_INVOC!NB47 DADOS_INVOC!NC47</t>
        </is>
      </c>
      <c r="D1619" s="198" t="inlineStr">
        <is>
          <t>entrada</t>
        </is>
      </c>
    </row>
    <row r="1620">
      <c r="A1620" s="198" t="inlineStr">
        <is>
          <t>invocacao.4.esp.5.pe</t>
        </is>
      </c>
      <c r="B1620" s="198">
        <f>IF(ISBLANK(DADOS_INVOC!$QA$47),"",DADOS_INVOC!$QA$47&amp;"")</f>
        <v/>
      </c>
      <c r="C1620" s="198" t="inlineStr">
        <is>
          <t>DADOS_INVOC!QA47</t>
        </is>
      </c>
      <c r="D1620" s="198" t="inlineStr">
        <is>
          <t>resultado</t>
        </is>
      </c>
    </row>
    <row r="1621">
      <c r="A1621" s="198" t="inlineStr">
        <is>
          <t>invocacao.4.esp.5.dano</t>
        </is>
      </c>
      <c r="B1621" s="198">
        <f>IF(ISBLANK(DADOS_INVOC!$QE$47),"",DADOS_INVOC!$QE$47&amp;"")</f>
        <v/>
      </c>
      <c r="C1621" s="198" t="inlineStr">
        <is>
          <t>DADOS_INVOC!QE47</t>
        </is>
      </c>
      <c r="D1621" s="198" t="inlineStr">
        <is>
          <t>resultado</t>
        </is>
      </c>
    </row>
    <row r="1622">
      <c r="A1622" s="198" t="inlineStr">
        <is>
          <t>invocacao.4.esp.5.erros</t>
        </is>
      </c>
      <c r="B1622" s="198">
        <f>IF(ISBLANK(DADOS_INVOC!$PT$47),"",DADOS_INVOC!$PT$47&amp;"")</f>
        <v/>
      </c>
      <c r="C1622" s="198" t="inlineStr">
        <is>
          <t>DADOS_INVOC!PT47</t>
        </is>
      </c>
      <c r="D1622" s="198" t="inlineStr">
        <is>
          <t>aviso</t>
        </is>
      </c>
    </row>
    <row r="1623">
      <c r="A1623" s="198" t="inlineStr">
        <is>
          <t>invocacao.4.esp.5.avisos</t>
        </is>
      </c>
      <c r="B1623" s="198">
        <f>IF(ISBLANK(DADOS_INVOC!$PV$47),"",DADOS_INVOC!$PV$47&amp;"")</f>
        <v/>
      </c>
      <c r="C1623" s="198" t="inlineStr">
        <is>
          <t>DADOS_INVOC!PV47</t>
        </is>
      </c>
      <c r="D1623" s="198" t="inlineStr">
        <is>
          <t>aviso</t>
        </is>
      </c>
    </row>
    <row r="1624">
      <c r="A1624" s="198" t="inlineStr">
        <is>
          <t>invocacao.4.esp.6.classe</t>
        </is>
      </c>
      <c r="B1624" s="198">
        <f>IF(ISBLANK(DADOS_INVOC!$MS$48),"",DADOS_INVOC!$MS$48&amp;"")</f>
        <v/>
      </c>
      <c r="C1624" s="198" t="inlineStr">
        <is>
          <t>DADOS_INVOC!MS48</t>
        </is>
      </c>
      <c r="D1624" s="198" t="inlineStr">
        <is>
          <t>entrada</t>
        </is>
      </c>
    </row>
    <row r="1625">
      <c r="A1625" s="198" t="inlineStr">
        <is>
          <t>invocacao.4.esp.6.nome</t>
        </is>
      </c>
      <c r="B1625" s="198">
        <f>IF(ISBLANK(DADOS_INVOC!$MT$48),"",DADOS_INVOC!$MT$48&amp;"")</f>
        <v/>
      </c>
      <c r="C1625" s="198" t="inlineStr">
        <is>
          <t>DADOS_INVOC!MT48</t>
        </is>
      </c>
      <c r="D1625" s="198" t="inlineStr">
        <is>
          <t>entrada</t>
        </is>
      </c>
    </row>
    <row r="1626">
      <c r="A1626" s="198" t="inlineStr">
        <is>
          <t>invocacao.4.esp.6.forma</t>
        </is>
      </c>
      <c r="B1626" s="198">
        <f>IF(ISBLANK(DADOS_INVOC!$MU$48),"",DADOS_INVOC!$MU$48&amp;"")</f>
        <v/>
      </c>
      <c r="C1626" s="198" t="inlineStr">
        <is>
          <t>DADOS_INVOC!MU48</t>
        </is>
      </c>
      <c r="D1626" s="198" t="inlineStr">
        <is>
          <t>entrada</t>
        </is>
      </c>
    </row>
    <row r="1627">
      <c r="A1627" s="198" t="inlineStr">
        <is>
          <t>invocacao.4.esp.6.pecas</t>
        </is>
      </c>
      <c r="B1627" s="198">
        <f>TEXTJOIN(" · ",TRUE,DADOS_INVOC!$MX$48,DADOS_INVOC!$MY$48,DADOS_INVOC!$MZ$48,DADOS_INVOC!$NA$48)</f>
        <v/>
      </c>
      <c r="C1627" s="198" t="inlineStr">
        <is>
          <t>DADOS_INVOC!MX48 DADOS_INVOC!MY48 DADOS_INVOC!MZ48 DADOS_INVOC!NA48</t>
        </is>
      </c>
      <c r="D1627" s="198" t="inlineStr">
        <is>
          <t>entrada</t>
        </is>
      </c>
    </row>
    <row r="1628">
      <c r="A1628" s="198" t="inlineStr">
        <is>
          <t>invocacao.4.esp.6.restricoes</t>
        </is>
      </c>
      <c r="B1628" s="198">
        <f>TEXTJOIN(" · ",TRUE,DADOS_INVOC!$NB$48,DADOS_INVOC!$NC$48)</f>
        <v/>
      </c>
      <c r="C1628" s="198" t="inlineStr">
        <is>
          <t>DADOS_INVOC!NB48 DADOS_INVOC!NC48</t>
        </is>
      </c>
      <c r="D1628" s="198" t="inlineStr">
        <is>
          <t>entrada</t>
        </is>
      </c>
    </row>
    <row r="1629">
      <c r="A1629" s="198" t="inlineStr">
        <is>
          <t>invocacao.4.esp.6.pe</t>
        </is>
      </c>
      <c r="B1629" s="198">
        <f>IF(ISBLANK(DADOS_INVOC!$QA$48),"",DADOS_INVOC!$QA$48&amp;"")</f>
        <v/>
      </c>
      <c r="C1629" s="198" t="inlineStr">
        <is>
          <t>DADOS_INVOC!QA48</t>
        </is>
      </c>
      <c r="D1629" s="198" t="inlineStr">
        <is>
          <t>resultado</t>
        </is>
      </c>
    </row>
    <row r="1630">
      <c r="A1630" s="198" t="inlineStr">
        <is>
          <t>invocacao.4.esp.6.dano</t>
        </is>
      </c>
      <c r="B1630" s="198">
        <f>IF(ISBLANK(DADOS_INVOC!$QE$48),"",DADOS_INVOC!$QE$48&amp;"")</f>
        <v/>
      </c>
      <c r="C1630" s="198" t="inlineStr">
        <is>
          <t>DADOS_INVOC!QE48</t>
        </is>
      </c>
      <c r="D1630" s="198" t="inlineStr">
        <is>
          <t>resultado</t>
        </is>
      </c>
    </row>
    <row r="1631">
      <c r="A1631" s="198" t="inlineStr">
        <is>
          <t>invocacao.4.esp.6.erros</t>
        </is>
      </c>
      <c r="B1631" s="198">
        <f>IF(ISBLANK(DADOS_INVOC!$PT$48),"",DADOS_INVOC!$PT$48&amp;"")</f>
        <v/>
      </c>
      <c r="C1631" s="198" t="inlineStr">
        <is>
          <t>DADOS_INVOC!PT48</t>
        </is>
      </c>
      <c r="D1631" s="198" t="inlineStr">
        <is>
          <t>aviso</t>
        </is>
      </c>
    </row>
    <row r="1632">
      <c r="A1632" s="198" t="inlineStr">
        <is>
          <t>invocacao.4.esp.6.avisos</t>
        </is>
      </c>
      <c r="B1632" s="198">
        <f>IF(ISBLANK(DADOS_INVOC!$PV$48),"",DADOS_INVOC!$PV$48&amp;"")</f>
        <v/>
      </c>
      <c r="C1632" s="198" t="inlineStr">
        <is>
          <t>DADOS_INVOC!PV48</t>
        </is>
      </c>
      <c r="D1632" s="198" t="inlineStr">
        <is>
          <t>aviso</t>
        </is>
      </c>
    </row>
    <row r="1633">
      <c r="A1633" s="198" t="inlineStr">
        <is>
          <t>invocacao.4.esp.7.classe</t>
        </is>
      </c>
      <c r="B1633" s="198">
        <f>IF(ISBLANK(DADOS_INVOC!$MS$49),"",DADOS_INVOC!$MS$49&amp;"")</f>
        <v/>
      </c>
      <c r="C1633" s="198" t="inlineStr">
        <is>
          <t>DADOS_INVOC!MS49</t>
        </is>
      </c>
      <c r="D1633" s="198" t="inlineStr">
        <is>
          <t>entrada</t>
        </is>
      </c>
    </row>
    <row r="1634">
      <c r="A1634" s="198" t="inlineStr">
        <is>
          <t>invocacao.4.esp.7.nome</t>
        </is>
      </c>
      <c r="B1634" s="198">
        <f>IF(ISBLANK(DADOS_INVOC!$MT$49),"",DADOS_INVOC!$MT$49&amp;"")</f>
        <v/>
      </c>
      <c r="C1634" s="198" t="inlineStr">
        <is>
          <t>DADOS_INVOC!MT49</t>
        </is>
      </c>
      <c r="D1634" s="198" t="inlineStr">
        <is>
          <t>entrada</t>
        </is>
      </c>
    </row>
    <row r="1635">
      <c r="A1635" s="198" t="inlineStr">
        <is>
          <t>invocacao.4.esp.7.forma</t>
        </is>
      </c>
      <c r="B1635" s="198">
        <f>IF(ISBLANK(DADOS_INVOC!$MU$49),"",DADOS_INVOC!$MU$49&amp;"")</f>
        <v/>
      </c>
      <c r="C1635" s="198" t="inlineStr">
        <is>
          <t>DADOS_INVOC!MU49</t>
        </is>
      </c>
      <c r="D1635" s="198" t="inlineStr">
        <is>
          <t>entrada</t>
        </is>
      </c>
    </row>
    <row r="1636">
      <c r="A1636" s="198" t="inlineStr">
        <is>
          <t>invocacao.4.esp.7.pecas</t>
        </is>
      </c>
      <c r="B1636" s="198">
        <f>TEXTJOIN(" · ",TRUE,DADOS_INVOC!$MX$49,DADOS_INVOC!$MY$49,DADOS_INVOC!$MZ$49,DADOS_INVOC!$NA$49)</f>
        <v/>
      </c>
      <c r="C1636" s="198" t="inlineStr">
        <is>
          <t>DADOS_INVOC!MX49 DADOS_INVOC!MY49 DADOS_INVOC!MZ49 DADOS_INVOC!NA49</t>
        </is>
      </c>
      <c r="D1636" s="198" t="inlineStr">
        <is>
          <t>entrada</t>
        </is>
      </c>
    </row>
    <row r="1637">
      <c r="A1637" s="198" t="inlineStr">
        <is>
          <t>invocacao.4.esp.7.restricoes</t>
        </is>
      </c>
      <c r="B1637" s="198">
        <f>TEXTJOIN(" · ",TRUE,DADOS_INVOC!$NB$49,DADOS_INVOC!$NC$49)</f>
        <v/>
      </c>
      <c r="C1637" s="198" t="inlineStr">
        <is>
          <t>DADOS_INVOC!NB49 DADOS_INVOC!NC49</t>
        </is>
      </c>
      <c r="D1637" s="198" t="inlineStr">
        <is>
          <t>entrada</t>
        </is>
      </c>
    </row>
    <row r="1638">
      <c r="A1638" s="198" t="inlineStr">
        <is>
          <t>invocacao.4.esp.7.pe</t>
        </is>
      </c>
      <c r="B1638" s="198">
        <f>IF(ISBLANK(DADOS_INVOC!$QA$49),"",DADOS_INVOC!$QA$49&amp;"")</f>
        <v/>
      </c>
      <c r="C1638" s="198" t="inlineStr">
        <is>
          <t>DADOS_INVOC!QA49</t>
        </is>
      </c>
      <c r="D1638" s="198" t="inlineStr">
        <is>
          <t>resultado</t>
        </is>
      </c>
    </row>
    <row r="1639">
      <c r="A1639" s="198" t="inlineStr">
        <is>
          <t>invocacao.4.esp.7.dano</t>
        </is>
      </c>
      <c r="B1639" s="198">
        <f>IF(ISBLANK(DADOS_INVOC!$QE$49),"",DADOS_INVOC!$QE$49&amp;"")</f>
        <v/>
      </c>
      <c r="C1639" s="198" t="inlineStr">
        <is>
          <t>DADOS_INVOC!QE49</t>
        </is>
      </c>
      <c r="D1639" s="198" t="inlineStr">
        <is>
          <t>resultado</t>
        </is>
      </c>
    </row>
    <row r="1640">
      <c r="A1640" s="198" t="inlineStr">
        <is>
          <t>invocacao.4.esp.7.erros</t>
        </is>
      </c>
      <c r="B1640" s="198">
        <f>IF(ISBLANK(DADOS_INVOC!$PT$49),"",DADOS_INVOC!$PT$49&amp;"")</f>
        <v/>
      </c>
      <c r="C1640" s="198" t="inlineStr">
        <is>
          <t>DADOS_INVOC!PT49</t>
        </is>
      </c>
      <c r="D1640" s="198" t="inlineStr">
        <is>
          <t>aviso</t>
        </is>
      </c>
    </row>
    <row r="1641">
      <c r="A1641" s="198" t="inlineStr">
        <is>
          <t>invocacao.4.esp.7.avisos</t>
        </is>
      </c>
      <c r="B1641" s="198">
        <f>IF(ISBLANK(DADOS_INVOC!$PV$49),"",DADOS_INVOC!$PV$49&amp;"")</f>
        <v/>
      </c>
      <c r="C1641" s="198" t="inlineStr">
        <is>
          <t>DADOS_INVOC!PV49</t>
        </is>
      </c>
      <c r="D1641" s="198" t="inlineStr">
        <is>
          <t>aviso</t>
        </is>
      </c>
    </row>
    <row r="1642">
      <c r="A1642" s="198" t="inlineStr">
        <is>
          <t>invocacao.4.esp.8.classe</t>
        </is>
      </c>
      <c r="B1642" s="198">
        <f>IF(ISBLANK(DADOS_INVOC!$MS$50),"",DADOS_INVOC!$MS$50&amp;"")</f>
        <v/>
      </c>
      <c r="C1642" s="198" t="inlineStr">
        <is>
          <t>DADOS_INVOC!MS50</t>
        </is>
      </c>
      <c r="D1642" s="198" t="inlineStr">
        <is>
          <t>entrada</t>
        </is>
      </c>
    </row>
    <row r="1643">
      <c r="A1643" s="198" t="inlineStr">
        <is>
          <t>invocacao.4.esp.8.nome</t>
        </is>
      </c>
      <c r="B1643" s="198">
        <f>IF(ISBLANK(DADOS_INVOC!$MT$50),"",DADOS_INVOC!$MT$50&amp;"")</f>
        <v/>
      </c>
      <c r="C1643" s="198" t="inlineStr">
        <is>
          <t>DADOS_INVOC!MT50</t>
        </is>
      </c>
      <c r="D1643" s="198" t="inlineStr">
        <is>
          <t>entrada</t>
        </is>
      </c>
    </row>
    <row r="1644">
      <c r="A1644" s="198" t="inlineStr">
        <is>
          <t>invocacao.4.esp.8.forma</t>
        </is>
      </c>
      <c r="B1644" s="198">
        <f>IF(ISBLANK(DADOS_INVOC!$MU$50),"",DADOS_INVOC!$MU$50&amp;"")</f>
        <v/>
      </c>
      <c r="C1644" s="198" t="inlineStr">
        <is>
          <t>DADOS_INVOC!MU50</t>
        </is>
      </c>
      <c r="D1644" s="198" t="inlineStr">
        <is>
          <t>entrada</t>
        </is>
      </c>
    </row>
    <row r="1645">
      <c r="A1645" s="198" t="inlineStr">
        <is>
          <t>invocacao.4.esp.8.pecas</t>
        </is>
      </c>
      <c r="B1645" s="198">
        <f>TEXTJOIN(" · ",TRUE,DADOS_INVOC!$MX$50,DADOS_INVOC!$MY$50,DADOS_INVOC!$MZ$50,DADOS_INVOC!$NA$50)</f>
        <v/>
      </c>
      <c r="C1645" s="198" t="inlineStr">
        <is>
          <t>DADOS_INVOC!MX50 DADOS_INVOC!MY50 DADOS_INVOC!MZ50 DADOS_INVOC!NA50</t>
        </is>
      </c>
      <c r="D1645" s="198" t="inlineStr">
        <is>
          <t>entrada</t>
        </is>
      </c>
    </row>
    <row r="1646">
      <c r="A1646" s="198" t="inlineStr">
        <is>
          <t>invocacao.4.esp.8.restricoes</t>
        </is>
      </c>
      <c r="B1646" s="198">
        <f>TEXTJOIN(" · ",TRUE,DADOS_INVOC!$NB$50,DADOS_INVOC!$NC$50)</f>
        <v/>
      </c>
      <c r="C1646" s="198" t="inlineStr">
        <is>
          <t>DADOS_INVOC!NB50 DADOS_INVOC!NC50</t>
        </is>
      </c>
      <c r="D1646" s="198" t="inlineStr">
        <is>
          <t>entrada</t>
        </is>
      </c>
    </row>
    <row r="1647">
      <c r="A1647" s="198" t="inlineStr">
        <is>
          <t>invocacao.4.esp.8.pe</t>
        </is>
      </c>
      <c r="B1647" s="198">
        <f>IF(ISBLANK(DADOS_INVOC!$QA$50),"",DADOS_INVOC!$QA$50&amp;"")</f>
        <v/>
      </c>
      <c r="C1647" s="198" t="inlineStr">
        <is>
          <t>DADOS_INVOC!QA50</t>
        </is>
      </c>
      <c r="D1647" s="198" t="inlineStr">
        <is>
          <t>resultado</t>
        </is>
      </c>
    </row>
    <row r="1648">
      <c r="A1648" s="198" t="inlineStr">
        <is>
          <t>invocacao.4.esp.8.dano</t>
        </is>
      </c>
      <c r="B1648" s="198">
        <f>IF(ISBLANK(DADOS_INVOC!$QE$50),"",DADOS_INVOC!$QE$50&amp;"")</f>
        <v/>
      </c>
      <c r="C1648" s="198" t="inlineStr">
        <is>
          <t>DADOS_INVOC!QE50</t>
        </is>
      </c>
      <c r="D1648" s="198" t="inlineStr">
        <is>
          <t>resultado</t>
        </is>
      </c>
    </row>
    <row r="1649">
      <c r="A1649" s="198" t="inlineStr">
        <is>
          <t>invocacao.4.esp.8.erros</t>
        </is>
      </c>
      <c r="B1649" s="198">
        <f>IF(ISBLANK(DADOS_INVOC!$PT$50),"",DADOS_INVOC!$PT$50&amp;"")</f>
        <v/>
      </c>
      <c r="C1649" s="198" t="inlineStr">
        <is>
          <t>DADOS_INVOC!PT50</t>
        </is>
      </c>
      <c r="D1649" s="198" t="inlineStr">
        <is>
          <t>aviso</t>
        </is>
      </c>
    </row>
    <row r="1650">
      <c r="A1650" s="198" t="inlineStr">
        <is>
          <t>invocacao.4.esp.8.avisos</t>
        </is>
      </c>
      <c r="B1650" s="198">
        <f>IF(ISBLANK(DADOS_INVOC!$PV$50),"",DADOS_INVOC!$PV$50&amp;"")</f>
        <v/>
      </c>
      <c r="C1650" s="198" t="inlineStr">
        <is>
          <t>DADOS_INVOC!PV50</t>
        </is>
      </c>
      <c r="D1650" s="198" t="inlineStr">
        <is>
          <t>aviso</t>
        </is>
      </c>
    </row>
    <row r="1651">
      <c r="A1651" s="198" t="inlineStr">
        <is>
          <t>invocacao.4.ext.1.classe</t>
        </is>
      </c>
      <c r="B1651" s="198">
        <f>IF(ISBLANK(DADOS_INVOC!$MS$51),"",DADOS_INVOC!$MS$51&amp;"")</f>
        <v/>
      </c>
      <c r="C1651" s="198" t="inlineStr">
        <is>
          <t>DADOS_INVOC!MS51</t>
        </is>
      </c>
      <c r="D1651" s="198" t="inlineStr">
        <is>
          <t>entrada</t>
        </is>
      </c>
    </row>
    <row r="1652">
      <c r="A1652" s="198" t="inlineStr">
        <is>
          <t>invocacao.4.ext.1.nome</t>
        </is>
      </c>
      <c r="B1652" s="198">
        <f>IF(ISBLANK(DADOS_INVOC!$MT$51),"",DADOS_INVOC!$MT$51&amp;"")</f>
        <v/>
      </c>
      <c r="C1652" s="198" t="inlineStr">
        <is>
          <t>DADOS_INVOC!MT51</t>
        </is>
      </c>
      <c r="D1652" s="198" t="inlineStr">
        <is>
          <t>entrada</t>
        </is>
      </c>
    </row>
    <row r="1653">
      <c r="A1653" s="198" t="inlineStr">
        <is>
          <t>invocacao.4.ext.1.forma</t>
        </is>
      </c>
      <c r="B1653" s="198">
        <f>IF(ISBLANK(DADOS_INVOC!$MU$51),"",DADOS_INVOC!$MU$51&amp;"")</f>
        <v/>
      </c>
      <c r="C1653" s="198" t="inlineStr">
        <is>
          <t>DADOS_INVOC!MU51</t>
        </is>
      </c>
      <c r="D1653" s="198" t="inlineStr">
        <is>
          <t>entrada</t>
        </is>
      </c>
    </row>
    <row r="1654">
      <c r="A1654" s="198" t="inlineStr">
        <is>
          <t>invocacao.4.ext.1.pecas</t>
        </is>
      </c>
      <c r="B1654" s="198">
        <f>TEXTJOIN(" · ",TRUE,DADOS_INVOC!$MX$51,DADOS_INVOC!$MY$51,DADOS_INVOC!$MZ$51,DADOS_INVOC!$NA$51)</f>
        <v/>
      </c>
      <c r="C1654" s="198" t="inlineStr">
        <is>
          <t>DADOS_INVOC!MX51 DADOS_INVOC!MY51 DADOS_INVOC!MZ51 DADOS_INVOC!NA51</t>
        </is>
      </c>
      <c r="D1654" s="198" t="inlineStr">
        <is>
          <t>entrada</t>
        </is>
      </c>
    </row>
    <row r="1655">
      <c r="A1655" s="198" t="inlineStr">
        <is>
          <t>invocacao.4.ext.1.restricoes</t>
        </is>
      </c>
      <c r="B1655" s="198">
        <f>TEXTJOIN(" · ",TRUE,DADOS_INVOC!$NB$51,DADOS_INVOC!$NC$51)</f>
        <v/>
      </c>
      <c r="C1655" s="198" t="inlineStr">
        <is>
          <t>DADOS_INVOC!NB51 DADOS_INVOC!NC51</t>
        </is>
      </c>
      <c r="D1655" s="198" t="inlineStr">
        <is>
          <t>entrada</t>
        </is>
      </c>
    </row>
    <row r="1656">
      <c r="A1656" s="198" t="inlineStr">
        <is>
          <t>invocacao.4.ext.1.pe</t>
        </is>
      </c>
      <c r="B1656" s="198">
        <f>IF(ISBLANK(DADOS_INVOC!$QA$51),"",DADOS_INVOC!$QA$51&amp;"")</f>
        <v/>
      </c>
      <c r="C1656" s="198" t="inlineStr">
        <is>
          <t>DADOS_INVOC!QA51</t>
        </is>
      </c>
      <c r="D1656" s="198" t="inlineStr">
        <is>
          <t>resultado</t>
        </is>
      </c>
    </row>
    <row r="1657">
      <c r="A1657" s="198" t="inlineStr">
        <is>
          <t>invocacao.4.ext.1.dano</t>
        </is>
      </c>
      <c r="B1657" s="198">
        <f>IF(ISBLANK(DADOS_INVOC!$QE$51),"",DADOS_INVOC!$QE$51&amp;"")</f>
        <v/>
      </c>
      <c r="C1657" s="198" t="inlineStr">
        <is>
          <t>DADOS_INVOC!QE51</t>
        </is>
      </c>
      <c r="D1657" s="198" t="inlineStr">
        <is>
          <t>resultado</t>
        </is>
      </c>
    </row>
    <row r="1658">
      <c r="A1658" s="198" t="inlineStr">
        <is>
          <t>invocacao.4.ext.1.erros</t>
        </is>
      </c>
      <c r="B1658" s="198">
        <f>IF(ISBLANK(DADOS_INVOC!$PT$51),"",DADOS_INVOC!$PT$51&amp;"")</f>
        <v/>
      </c>
      <c r="C1658" s="198" t="inlineStr">
        <is>
          <t>DADOS_INVOC!PT51</t>
        </is>
      </c>
      <c r="D1658" s="198" t="inlineStr">
        <is>
          <t>aviso</t>
        </is>
      </c>
    </row>
    <row r="1659">
      <c r="A1659" s="198" t="inlineStr">
        <is>
          <t>invocacao.4.ext.1.avisos</t>
        </is>
      </c>
      <c r="B1659" s="198">
        <f>IF(ISBLANK(DADOS_INVOC!$PV$51),"",DADOS_INVOC!$PV$51&amp;"")</f>
        <v/>
      </c>
      <c r="C1659" s="198" t="inlineStr">
        <is>
          <t>DADOS_INVOC!PV51</t>
        </is>
      </c>
      <c r="D1659" s="198" t="inlineStr">
        <is>
          <t>aviso</t>
        </is>
      </c>
    </row>
    <row r="1660">
      <c r="A1660" s="198" t="inlineStr">
        <is>
          <t>invocacao.4.ext.2.classe</t>
        </is>
      </c>
      <c r="B1660" s="198">
        <f>IF(ISBLANK(DADOS_INVOC!$MS$52),"",DADOS_INVOC!$MS$52&amp;"")</f>
        <v/>
      </c>
      <c r="C1660" s="198" t="inlineStr">
        <is>
          <t>DADOS_INVOC!MS52</t>
        </is>
      </c>
      <c r="D1660" s="198" t="inlineStr">
        <is>
          <t>entrada</t>
        </is>
      </c>
    </row>
    <row r="1661">
      <c r="A1661" s="198" t="inlineStr">
        <is>
          <t>invocacao.4.ext.2.nome</t>
        </is>
      </c>
      <c r="B1661" s="198">
        <f>IF(ISBLANK(DADOS_INVOC!$MT$52),"",DADOS_INVOC!$MT$52&amp;"")</f>
        <v/>
      </c>
      <c r="C1661" s="198" t="inlineStr">
        <is>
          <t>DADOS_INVOC!MT52</t>
        </is>
      </c>
      <c r="D1661" s="198" t="inlineStr">
        <is>
          <t>entrada</t>
        </is>
      </c>
    </row>
    <row r="1662">
      <c r="A1662" s="198" t="inlineStr">
        <is>
          <t>invocacao.4.ext.2.forma</t>
        </is>
      </c>
      <c r="B1662" s="198">
        <f>IF(ISBLANK(DADOS_INVOC!$MU$52),"",DADOS_INVOC!$MU$52&amp;"")</f>
        <v/>
      </c>
      <c r="C1662" s="198" t="inlineStr">
        <is>
          <t>DADOS_INVOC!MU52</t>
        </is>
      </c>
      <c r="D1662" s="198" t="inlineStr">
        <is>
          <t>entrada</t>
        </is>
      </c>
    </row>
    <row r="1663">
      <c r="A1663" s="198" t="inlineStr">
        <is>
          <t>invocacao.4.ext.2.pecas</t>
        </is>
      </c>
      <c r="B1663" s="198">
        <f>TEXTJOIN(" · ",TRUE,DADOS_INVOC!$MX$52,DADOS_INVOC!$MY$52,DADOS_INVOC!$MZ$52,DADOS_INVOC!$NA$52)</f>
        <v/>
      </c>
      <c r="C1663" s="198" t="inlineStr">
        <is>
          <t>DADOS_INVOC!MX52 DADOS_INVOC!MY52 DADOS_INVOC!MZ52 DADOS_INVOC!NA52</t>
        </is>
      </c>
      <c r="D1663" s="198" t="inlineStr">
        <is>
          <t>entrada</t>
        </is>
      </c>
    </row>
    <row r="1664">
      <c r="A1664" s="198" t="inlineStr">
        <is>
          <t>invocacao.4.ext.2.restricoes</t>
        </is>
      </c>
      <c r="B1664" s="198">
        <f>TEXTJOIN(" · ",TRUE,DADOS_INVOC!$NB$52,DADOS_INVOC!$NC$52)</f>
        <v/>
      </c>
      <c r="C1664" s="198" t="inlineStr">
        <is>
          <t>DADOS_INVOC!NB52 DADOS_INVOC!NC52</t>
        </is>
      </c>
      <c r="D1664" s="198" t="inlineStr">
        <is>
          <t>entrada</t>
        </is>
      </c>
    </row>
    <row r="1665">
      <c r="A1665" s="198" t="inlineStr">
        <is>
          <t>invocacao.4.ext.2.pe</t>
        </is>
      </c>
      <c r="B1665" s="198">
        <f>IF(ISBLANK(DADOS_INVOC!$QA$52),"",DADOS_INVOC!$QA$52&amp;"")</f>
        <v/>
      </c>
      <c r="C1665" s="198" t="inlineStr">
        <is>
          <t>DADOS_INVOC!QA52</t>
        </is>
      </c>
      <c r="D1665" s="198" t="inlineStr">
        <is>
          <t>resultado</t>
        </is>
      </c>
    </row>
    <row r="1666">
      <c r="A1666" s="198" t="inlineStr">
        <is>
          <t>invocacao.4.ext.2.dano</t>
        </is>
      </c>
      <c r="B1666" s="198">
        <f>IF(ISBLANK(DADOS_INVOC!$QE$52),"",DADOS_INVOC!$QE$52&amp;"")</f>
        <v/>
      </c>
      <c r="C1666" s="198" t="inlineStr">
        <is>
          <t>DADOS_INVOC!QE52</t>
        </is>
      </c>
      <c r="D1666" s="198" t="inlineStr">
        <is>
          <t>resultado</t>
        </is>
      </c>
    </row>
    <row r="1667">
      <c r="A1667" s="198" t="inlineStr">
        <is>
          <t>invocacao.4.ext.2.erros</t>
        </is>
      </c>
      <c r="B1667" s="198">
        <f>IF(ISBLANK(DADOS_INVOC!$PT$52),"",DADOS_INVOC!$PT$52&amp;"")</f>
        <v/>
      </c>
      <c r="C1667" s="198" t="inlineStr">
        <is>
          <t>DADOS_INVOC!PT52</t>
        </is>
      </c>
      <c r="D1667" s="198" t="inlineStr">
        <is>
          <t>aviso</t>
        </is>
      </c>
    </row>
    <row r="1668">
      <c r="A1668" s="198" t="inlineStr">
        <is>
          <t>invocacao.4.ext.2.avisos</t>
        </is>
      </c>
      <c r="B1668" s="198">
        <f>IF(ISBLANK(DADOS_INVOC!$PV$52),"",DADOS_INVOC!$PV$52&amp;"")</f>
        <v/>
      </c>
      <c r="C1668" s="198" t="inlineStr">
        <is>
          <t>DADOS_INVOC!PV52</t>
        </is>
      </c>
      <c r="D1668" s="198" t="inlineStr">
        <is>
          <t>aviso</t>
        </is>
      </c>
    </row>
    <row r="1669">
      <c r="A1669" s="198" t="inlineStr">
        <is>
          <t>invocacao.4.ext.3.classe</t>
        </is>
      </c>
      <c r="B1669" s="198">
        <f>IF(ISBLANK(DADOS_INVOC!$MS$53),"",DADOS_INVOC!$MS$53&amp;"")</f>
        <v/>
      </c>
      <c r="C1669" s="198" t="inlineStr">
        <is>
          <t>DADOS_INVOC!MS53</t>
        </is>
      </c>
      <c r="D1669" s="198" t="inlineStr">
        <is>
          <t>entrada</t>
        </is>
      </c>
    </row>
    <row r="1670">
      <c r="A1670" s="198" t="inlineStr">
        <is>
          <t>invocacao.4.ext.3.nome</t>
        </is>
      </c>
      <c r="B1670" s="198">
        <f>IF(ISBLANK(DADOS_INVOC!$MT$53),"",DADOS_INVOC!$MT$53&amp;"")</f>
        <v/>
      </c>
      <c r="C1670" s="198" t="inlineStr">
        <is>
          <t>DADOS_INVOC!MT53</t>
        </is>
      </c>
      <c r="D1670" s="198" t="inlineStr">
        <is>
          <t>entrada</t>
        </is>
      </c>
    </row>
    <row r="1671">
      <c r="A1671" s="198" t="inlineStr">
        <is>
          <t>invocacao.4.ext.3.forma</t>
        </is>
      </c>
      <c r="B1671" s="198">
        <f>IF(ISBLANK(DADOS_INVOC!$MU$53),"",DADOS_INVOC!$MU$53&amp;"")</f>
        <v/>
      </c>
      <c r="C1671" s="198" t="inlineStr">
        <is>
          <t>DADOS_INVOC!MU53</t>
        </is>
      </c>
      <c r="D1671" s="198" t="inlineStr">
        <is>
          <t>entrada</t>
        </is>
      </c>
    </row>
    <row r="1672">
      <c r="A1672" s="198" t="inlineStr">
        <is>
          <t>invocacao.4.ext.3.pecas</t>
        </is>
      </c>
      <c r="B1672" s="198">
        <f>TEXTJOIN(" · ",TRUE,DADOS_INVOC!$MX$53,DADOS_INVOC!$MY$53,DADOS_INVOC!$MZ$53,DADOS_INVOC!$NA$53)</f>
        <v/>
      </c>
      <c r="C1672" s="198" t="inlineStr">
        <is>
          <t>DADOS_INVOC!MX53 DADOS_INVOC!MY53 DADOS_INVOC!MZ53 DADOS_INVOC!NA53</t>
        </is>
      </c>
      <c r="D1672" s="198" t="inlineStr">
        <is>
          <t>entrada</t>
        </is>
      </c>
    </row>
    <row r="1673">
      <c r="A1673" s="198" t="inlineStr">
        <is>
          <t>invocacao.4.ext.3.restricoes</t>
        </is>
      </c>
      <c r="B1673" s="198">
        <f>TEXTJOIN(" · ",TRUE,DADOS_INVOC!$NB$53,DADOS_INVOC!$NC$53)</f>
        <v/>
      </c>
      <c r="C1673" s="198" t="inlineStr">
        <is>
          <t>DADOS_INVOC!NB53 DADOS_INVOC!NC53</t>
        </is>
      </c>
      <c r="D1673" s="198" t="inlineStr">
        <is>
          <t>entrada</t>
        </is>
      </c>
    </row>
    <row r="1674">
      <c r="A1674" s="198" t="inlineStr">
        <is>
          <t>invocacao.4.ext.3.pe</t>
        </is>
      </c>
      <c r="B1674" s="198">
        <f>IF(ISBLANK(DADOS_INVOC!$QA$53),"",DADOS_INVOC!$QA$53&amp;"")</f>
        <v/>
      </c>
      <c r="C1674" s="198" t="inlineStr">
        <is>
          <t>DADOS_INVOC!QA53</t>
        </is>
      </c>
      <c r="D1674" s="198" t="inlineStr">
        <is>
          <t>resultado</t>
        </is>
      </c>
    </row>
    <row r="1675">
      <c r="A1675" s="198" t="inlineStr">
        <is>
          <t>invocacao.4.ext.3.dano</t>
        </is>
      </c>
      <c r="B1675" s="198">
        <f>IF(ISBLANK(DADOS_INVOC!$QE$53),"",DADOS_INVOC!$QE$53&amp;"")</f>
        <v/>
      </c>
      <c r="C1675" s="198" t="inlineStr">
        <is>
          <t>DADOS_INVOC!QE53</t>
        </is>
      </c>
      <c r="D1675" s="198" t="inlineStr">
        <is>
          <t>resultado</t>
        </is>
      </c>
    </row>
    <row r="1676">
      <c r="A1676" s="198" t="inlineStr">
        <is>
          <t>invocacao.4.ext.3.erros</t>
        </is>
      </c>
      <c r="B1676" s="198">
        <f>IF(ISBLANK(DADOS_INVOC!$PT$53),"",DADOS_INVOC!$PT$53&amp;"")</f>
        <v/>
      </c>
      <c r="C1676" s="198" t="inlineStr">
        <is>
          <t>DADOS_INVOC!PT53</t>
        </is>
      </c>
      <c r="D1676" s="198" t="inlineStr">
        <is>
          <t>aviso</t>
        </is>
      </c>
    </row>
    <row r="1677">
      <c r="A1677" s="198" t="inlineStr">
        <is>
          <t>invocacao.4.ext.3.avisos</t>
        </is>
      </c>
      <c r="B1677" s="198">
        <f>IF(ISBLANK(DADOS_INVOC!$PV$53),"",DADOS_INVOC!$PV$53&amp;"")</f>
        <v/>
      </c>
      <c r="C1677" s="198" t="inlineStr">
        <is>
          <t>DADOS_INVOC!PV53</t>
        </is>
      </c>
      <c r="D1677" s="198" t="inlineStr">
        <is>
          <t>aviso</t>
        </is>
      </c>
    </row>
    <row r="1678">
      <c r="A1678" s="198" t="inlineStr">
        <is>
          <t>invocacao.5.bas.1.classe</t>
        </is>
      </c>
      <c r="B1678" s="198">
        <f>IF(ISBLANK(DADOS_INVOC!$MS$54),"",DADOS_INVOC!$MS$54&amp;"")</f>
        <v/>
      </c>
      <c r="C1678" s="198" t="inlineStr">
        <is>
          <t>DADOS_INVOC!MS54</t>
        </is>
      </c>
      <c r="D1678" s="198" t="inlineStr">
        <is>
          <t>entrada</t>
        </is>
      </c>
    </row>
    <row r="1679">
      <c r="A1679" s="198" t="inlineStr">
        <is>
          <t>invocacao.5.bas.1.nome</t>
        </is>
      </c>
      <c r="B1679" s="198">
        <f>IF(ISBLANK(DADOS_INVOC!$MT$54),"",DADOS_INVOC!$MT$54&amp;"")</f>
        <v/>
      </c>
      <c r="C1679" s="198" t="inlineStr">
        <is>
          <t>DADOS_INVOC!MT54</t>
        </is>
      </c>
      <c r="D1679" s="198" t="inlineStr">
        <is>
          <t>entrada</t>
        </is>
      </c>
    </row>
    <row r="1680">
      <c r="A1680" s="198" t="inlineStr">
        <is>
          <t>invocacao.5.bas.1.forma</t>
        </is>
      </c>
      <c r="B1680" s="198">
        <f>IF(ISBLANK(DADOS_INVOC!$MU$54),"",DADOS_INVOC!$MU$54&amp;"")</f>
        <v/>
      </c>
      <c r="C1680" s="198" t="inlineStr">
        <is>
          <t>DADOS_INVOC!MU54</t>
        </is>
      </c>
      <c r="D1680" s="198" t="inlineStr">
        <is>
          <t>entrada</t>
        </is>
      </c>
    </row>
    <row r="1681">
      <c r="A1681" s="198" t="inlineStr">
        <is>
          <t>invocacao.5.bas.1.pecas</t>
        </is>
      </c>
      <c r="B1681" s="198">
        <f>TEXTJOIN(" · ",TRUE,DADOS_INVOC!$MX$54,DADOS_INVOC!$MY$54,DADOS_INVOC!$MZ$54,DADOS_INVOC!$NA$54)</f>
        <v/>
      </c>
      <c r="C1681" s="198" t="inlineStr">
        <is>
          <t>DADOS_INVOC!MX54 DADOS_INVOC!MY54 DADOS_INVOC!MZ54 DADOS_INVOC!NA54</t>
        </is>
      </c>
      <c r="D1681" s="198" t="inlineStr">
        <is>
          <t>entrada</t>
        </is>
      </c>
    </row>
    <row r="1682">
      <c r="A1682" s="198" t="inlineStr">
        <is>
          <t>invocacao.5.bas.1.restricoes</t>
        </is>
      </c>
      <c r="B1682" s="198">
        <f>TEXTJOIN(" · ",TRUE,DADOS_INVOC!$NB$54,DADOS_INVOC!$NC$54)</f>
        <v/>
      </c>
      <c r="C1682" s="198" t="inlineStr">
        <is>
          <t>DADOS_INVOC!NB54 DADOS_INVOC!NC54</t>
        </is>
      </c>
      <c r="D1682" s="198" t="inlineStr">
        <is>
          <t>entrada</t>
        </is>
      </c>
    </row>
    <row r="1683">
      <c r="A1683" s="198" t="inlineStr">
        <is>
          <t>invocacao.5.bas.1.pe</t>
        </is>
      </c>
      <c r="B1683" s="198">
        <f>IF(ISBLANK(DADOS_INVOC!$QA$54),"",DADOS_INVOC!$QA$54&amp;"")</f>
        <v/>
      </c>
      <c r="C1683" s="198" t="inlineStr">
        <is>
          <t>DADOS_INVOC!QA54</t>
        </is>
      </c>
      <c r="D1683" s="198" t="inlineStr">
        <is>
          <t>resultado</t>
        </is>
      </c>
    </row>
    <row r="1684">
      <c r="A1684" s="198" t="inlineStr">
        <is>
          <t>invocacao.5.bas.1.dano</t>
        </is>
      </c>
      <c r="B1684" s="198">
        <f>IF(ISBLANK(DADOS_INVOC!$QE$54),"",DADOS_INVOC!$QE$54&amp;"")</f>
        <v/>
      </c>
      <c r="C1684" s="198" t="inlineStr">
        <is>
          <t>DADOS_INVOC!QE54</t>
        </is>
      </c>
      <c r="D1684" s="198" t="inlineStr">
        <is>
          <t>resultado</t>
        </is>
      </c>
    </row>
    <row r="1685">
      <c r="A1685" s="198" t="inlineStr">
        <is>
          <t>invocacao.5.bas.1.erros</t>
        </is>
      </c>
      <c r="B1685" s="198">
        <f>IF(ISBLANK(DADOS_INVOC!$PT$54),"",DADOS_INVOC!$PT$54&amp;"")</f>
        <v/>
      </c>
      <c r="C1685" s="198" t="inlineStr">
        <is>
          <t>DADOS_INVOC!PT54</t>
        </is>
      </c>
      <c r="D1685" s="198" t="inlineStr">
        <is>
          <t>aviso</t>
        </is>
      </c>
    </row>
    <row r="1686">
      <c r="A1686" s="198" t="inlineStr">
        <is>
          <t>invocacao.5.bas.1.avisos</t>
        </is>
      </c>
      <c r="B1686" s="198">
        <f>IF(ISBLANK(DADOS_INVOC!$PV$54),"",DADOS_INVOC!$PV$54&amp;"")</f>
        <v/>
      </c>
      <c r="C1686" s="198" t="inlineStr">
        <is>
          <t>DADOS_INVOC!PV54</t>
        </is>
      </c>
      <c r="D1686" s="198" t="inlineStr">
        <is>
          <t>aviso</t>
        </is>
      </c>
    </row>
    <row r="1687">
      <c r="A1687" s="198" t="inlineStr">
        <is>
          <t>invocacao.5.esp.1.classe</t>
        </is>
      </c>
      <c r="B1687" s="198">
        <f>IF(ISBLANK(DADOS_INVOC!$MS$55),"",DADOS_INVOC!$MS$55&amp;"")</f>
        <v/>
      </c>
      <c r="C1687" s="198" t="inlineStr">
        <is>
          <t>DADOS_INVOC!MS55</t>
        </is>
      </c>
      <c r="D1687" s="198" t="inlineStr">
        <is>
          <t>entrada</t>
        </is>
      </c>
    </row>
    <row r="1688">
      <c r="A1688" s="198" t="inlineStr">
        <is>
          <t>invocacao.5.esp.1.nome</t>
        </is>
      </c>
      <c r="B1688" s="198">
        <f>IF(ISBLANK(DADOS_INVOC!$MT$55),"",DADOS_INVOC!$MT$55&amp;"")</f>
        <v/>
      </c>
      <c r="C1688" s="198" t="inlineStr">
        <is>
          <t>DADOS_INVOC!MT55</t>
        </is>
      </c>
      <c r="D1688" s="198" t="inlineStr">
        <is>
          <t>entrada</t>
        </is>
      </c>
    </row>
    <row r="1689">
      <c r="A1689" s="198" t="inlineStr">
        <is>
          <t>invocacao.5.esp.1.forma</t>
        </is>
      </c>
      <c r="B1689" s="198">
        <f>IF(ISBLANK(DADOS_INVOC!$MU$55),"",DADOS_INVOC!$MU$55&amp;"")</f>
        <v/>
      </c>
      <c r="C1689" s="198" t="inlineStr">
        <is>
          <t>DADOS_INVOC!MU55</t>
        </is>
      </c>
      <c r="D1689" s="198" t="inlineStr">
        <is>
          <t>entrada</t>
        </is>
      </c>
    </row>
    <row r="1690">
      <c r="A1690" s="198" t="inlineStr">
        <is>
          <t>invocacao.5.esp.1.pecas</t>
        </is>
      </c>
      <c r="B1690" s="198">
        <f>TEXTJOIN(" · ",TRUE,DADOS_INVOC!$MX$55,DADOS_INVOC!$MY$55,DADOS_INVOC!$MZ$55,DADOS_INVOC!$NA$55)</f>
        <v/>
      </c>
      <c r="C1690" s="198" t="inlineStr">
        <is>
          <t>DADOS_INVOC!MX55 DADOS_INVOC!MY55 DADOS_INVOC!MZ55 DADOS_INVOC!NA55</t>
        </is>
      </c>
      <c r="D1690" s="198" t="inlineStr">
        <is>
          <t>entrada</t>
        </is>
      </c>
    </row>
    <row r="1691">
      <c r="A1691" s="198" t="inlineStr">
        <is>
          <t>invocacao.5.esp.1.restricoes</t>
        </is>
      </c>
      <c r="B1691" s="198">
        <f>TEXTJOIN(" · ",TRUE,DADOS_INVOC!$NB$55,DADOS_INVOC!$NC$55)</f>
        <v/>
      </c>
      <c r="C1691" s="198" t="inlineStr">
        <is>
          <t>DADOS_INVOC!NB55 DADOS_INVOC!NC55</t>
        </is>
      </c>
      <c r="D1691" s="198" t="inlineStr">
        <is>
          <t>entrada</t>
        </is>
      </c>
    </row>
    <row r="1692">
      <c r="A1692" s="198" t="inlineStr">
        <is>
          <t>invocacao.5.esp.1.pe</t>
        </is>
      </c>
      <c r="B1692" s="198">
        <f>IF(ISBLANK(DADOS_INVOC!$QA$55),"",DADOS_INVOC!$QA$55&amp;"")</f>
        <v/>
      </c>
      <c r="C1692" s="198" t="inlineStr">
        <is>
          <t>DADOS_INVOC!QA55</t>
        </is>
      </c>
      <c r="D1692" s="198" t="inlineStr">
        <is>
          <t>resultado</t>
        </is>
      </c>
    </row>
    <row r="1693">
      <c r="A1693" s="198" t="inlineStr">
        <is>
          <t>invocacao.5.esp.1.dano</t>
        </is>
      </c>
      <c r="B1693" s="198">
        <f>IF(ISBLANK(DADOS_INVOC!$QE$55),"",DADOS_INVOC!$QE$55&amp;"")</f>
        <v/>
      </c>
      <c r="C1693" s="198" t="inlineStr">
        <is>
          <t>DADOS_INVOC!QE55</t>
        </is>
      </c>
      <c r="D1693" s="198" t="inlineStr">
        <is>
          <t>resultado</t>
        </is>
      </c>
    </row>
    <row r="1694">
      <c r="A1694" s="198" t="inlineStr">
        <is>
          <t>invocacao.5.esp.1.erros</t>
        </is>
      </c>
      <c r="B1694" s="198">
        <f>IF(ISBLANK(DADOS_INVOC!$PT$55),"",DADOS_INVOC!$PT$55&amp;"")</f>
        <v/>
      </c>
      <c r="C1694" s="198" t="inlineStr">
        <is>
          <t>DADOS_INVOC!PT55</t>
        </is>
      </c>
      <c r="D1694" s="198" t="inlineStr">
        <is>
          <t>aviso</t>
        </is>
      </c>
    </row>
    <row r="1695">
      <c r="A1695" s="198" t="inlineStr">
        <is>
          <t>invocacao.5.esp.1.avisos</t>
        </is>
      </c>
      <c r="B1695" s="198">
        <f>IF(ISBLANK(DADOS_INVOC!$PV$55),"",DADOS_INVOC!$PV$55&amp;"")</f>
        <v/>
      </c>
      <c r="C1695" s="198" t="inlineStr">
        <is>
          <t>DADOS_INVOC!PV55</t>
        </is>
      </c>
      <c r="D1695" s="198" t="inlineStr">
        <is>
          <t>aviso</t>
        </is>
      </c>
    </row>
    <row r="1696">
      <c r="A1696" s="198" t="inlineStr">
        <is>
          <t>invocacao.5.esp.2.classe</t>
        </is>
      </c>
      <c r="B1696" s="198">
        <f>IF(ISBLANK(DADOS_INVOC!$MS$56),"",DADOS_INVOC!$MS$56&amp;"")</f>
        <v/>
      </c>
      <c r="C1696" s="198" t="inlineStr">
        <is>
          <t>DADOS_INVOC!MS56</t>
        </is>
      </c>
      <c r="D1696" s="198" t="inlineStr">
        <is>
          <t>entrada</t>
        </is>
      </c>
    </row>
    <row r="1697">
      <c r="A1697" s="198" t="inlineStr">
        <is>
          <t>invocacao.5.esp.2.nome</t>
        </is>
      </c>
      <c r="B1697" s="198">
        <f>IF(ISBLANK(DADOS_INVOC!$MT$56),"",DADOS_INVOC!$MT$56&amp;"")</f>
        <v/>
      </c>
      <c r="C1697" s="198" t="inlineStr">
        <is>
          <t>DADOS_INVOC!MT56</t>
        </is>
      </c>
      <c r="D1697" s="198" t="inlineStr">
        <is>
          <t>entrada</t>
        </is>
      </c>
    </row>
    <row r="1698">
      <c r="A1698" s="198" t="inlineStr">
        <is>
          <t>invocacao.5.esp.2.forma</t>
        </is>
      </c>
      <c r="B1698" s="198">
        <f>IF(ISBLANK(DADOS_INVOC!$MU$56),"",DADOS_INVOC!$MU$56&amp;"")</f>
        <v/>
      </c>
      <c r="C1698" s="198" t="inlineStr">
        <is>
          <t>DADOS_INVOC!MU56</t>
        </is>
      </c>
      <c r="D1698" s="198" t="inlineStr">
        <is>
          <t>entrada</t>
        </is>
      </c>
    </row>
    <row r="1699">
      <c r="A1699" s="198" t="inlineStr">
        <is>
          <t>invocacao.5.esp.2.pecas</t>
        </is>
      </c>
      <c r="B1699" s="198">
        <f>TEXTJOIN(" · ",TRUE,DADOS_INVOC!$MX$56,DADOS_INVOC!$MY$56,DADOS_INVOC!$MZ$56,DADOS_INVOC!$NA$56)</f>
        <v/>
      </c>
      <c r="C1699" s="198" t="inlineStr">
        <is>
          <t>DADOS_INVOC!MX56 DADOS_INVOC!MY56 DADOS_INVOC!MZ56 DADOS_INVOC!NA56</t>
        </is>
      </c>
      <c r="D1699" s="198" t="inlineStr">
        <is>
          <t>entrada</t>
        </is>
      </c>
    </row>
    <row r="1700">
      <c r="A1700" s="198" t="inlineStr">
        <is>
          <t>invocacao.5.esp.2.restricoes</t>
        </is>
      </c>
      <c r="B1700" s="198">
        <f>TEXTJOIN(" · ",TRUE,DADOS_INVOC!$NB$56,DADOS_INVOC!$NC$56)</f>
        <v/>
      </c>
      <c r="C1700" s="198" t="inlineStr">
        <is>
          <t>DADOS_INVOC!NB56 DADOS_INVOC!NC56</t>
        </is>
      </c>
      <c r="D1700" s="198" t="inlineStr">
        <is>
          <t>entrada</t>
        </is>
      </c>
    </row>
    <row r="1701">
      <c r="A1701" s="198" t="inlineStr">
        <is>
          <t>invocacao.5.esp.2.pe</t>
        </is>
      </c>
      <c r="B1701" s="198">
        <f>IF(ISBLANK(DADOS_INVOC!$QA$56),"",DADOS_INVOC!$QA$56&amp;"")</f>
        <v/>
      </c>
      <c r="C1701" s="198" t="inlineStr">
        <is>
          <t>DADOS_INVOC!QA56</t>
        </is>
      </c>
      <c r="D1701" s="198" t="inlineStr">
        <is>
          <t>resultado</t>
        </is>
      </c>
    </row>
    <row r="1702">
      <c r="A1702" s="198" t="inlineStr">
        <is>
          <t>invocacao.5.esp.2.dano</t>
        </is>
      </c>
      <c r="B1702" s="198">
        <f>IF(ISBLANK(DADOS_INVOC!$QE$56),"",DADOS_INVOC!$QE$56&amp;"")</f>
        <v/>
      </c>
      <c r="C1702" s="198" t="inlineStr">
        <is>
          <t>DADOS_INVOC!QE56</t>
        </is>
      </c>
      <c r="D1702" s="198" t="inlineStr">
        <is>
          <t>resultado</t>
        </is>
      </c>
    </row>
    <row r="1703">
      <c r="A1703" s="198" t="inlineStr">
        <is>
          <t>invocacao.5.esp.2.erros</t>
        </is>
      </c>
      <c r="B1703" s="198">
        <f>IF(ISBLANK(DADOS_INVOC!$PT$56),"",DADOS_INVOC!$PT$56&amp;"")</f>
        <v/>
      </c>
      <c r="C1703" s="198" t="inlineStr">
        <is>
          <t>DADOS_INVOC!PT56</t>
        </is>
      </c>
      <c r="D1703" s="198" t="inlineStr">
        <is>
          <t>aviso</t>
        </is>
      </c>
    </row>
    <row r="1704">
      <c r="A1704" s="198" t="inlineStr">
        <is>
          <t>invocacao.5.esp.2.avisos</t>
        </is>
      </c>
      <c r="B1704" s="198">
        <f>IF(ISBLANK(DADOS_INVOC!$PV$56),"",DADOS_INVOC!$PV$56&amp;"")</f>
        <v/>
      </c>
      <c r="C1704" s="198" t="inlineStr">
        <is>
          <t>DADOS_INVOC!PV56</t>
        </is>
      </c>
      <c r="D1704" s="198" t="inlineStr">
        <is>
          <t>aviso</t>
        </is>
      </c>
    </row>
    <row r="1705">
      <c r="A1705" s="198" t="inlineStr">
        <is>
          <t>invocacao.5.bas.2.classe</t>
        </is>
      </c>
      <c r="B1705" s="198">
        <f>IF(ISBLANK(DADOS_INVOC!$MS$57),"",DADOS_INVOC!$MS$57&amp;"")</f>
        <v/>
      </c>
      <c r="C1705" s="198" t="inlineStr">
        <is>
          <t>DADOS_INVOC!MS57</t>
        </is>
      </c>
      <c r="D1705" s="198" t="inlineStr">
        <is>
          <t>entrada</t>
        </is>
      </c>
    </row>
    <row r="1706">
      <c r="A1706" s="198" t="inlineStr">
        <is>
          <t>invocacao.5.bas.2.nome</t>
        </is>
      </c>
      <c r="B1706" s="198">
        <f>IF(ISBLANK(DADOS_INVOC!$MT$57),"",DADOS_INVOC!$MT$57&amp;"")</f>
        <v/>
      </c>
      <c r="C1706" s="198" t="inlineStr">
        <is>
          <t>DADOS_INVOC!MT57</t>
        </is>
      </c>
      <c r="D1706" s="198" t="inlineStr">
        <is>
          <t>entrada</t>
        </is>
      </c>
    </row>
    <row r="1707">
      <c r="A1707" s="198" t="inlineStr">
        <is>
          <t>invocacao.5.bas.2.forma</t>
        </is>
      </c>
      <c r="B1707" s="198">
        <f>IF(ISBLANK(DADOS_INVOC!$MU$57),"",DADOS_INVOC!$MU$57&amp;"")</f>
        <v/>
      </c>
      <c r="C1707" s="198" t="inlineStr">
        <is>
          <t>DADOS_INVOC!MU57</t>
        </is>
      </c>
      <c r="D1707" s="198" t="inlineStr">
        <is>
          <t>entrada</t>
        </is>
      </c>
    </row>
    <row r="1708">
      <c r="A1708" s="198" t="inlineStr">
        <is>
          <t>invocacao.5.bas.2.pecas</t>
        </is>
      </c>
      <c r="B1708" s="198">
        <f>TEXTJOIN(" · ",TRUE,DADOS_INVOC!$MX$57,DADOS_INVOC!$MY$57,DADOS_INVOC!$MZ$57,DADOS_INVOC!$NA$57)</f>
        <v/>
      </c>
      <c r="C1708" s="198" t="inlineStr">
        <is>
          <t>DADOS_INVOC!MX57 DADOS_INVOC!MY57 DADOS_INVOC!MZ57 DADOS_INVOC!NA57</t>
        </is>
      </c>
      <c r="D1708" s="198" t="inlineStr">
        <is>
          <t>entrada</t>
        </is>
      </c>
    </row>
    <row r="1709">
      <c r="A1709" s="198" t="inlineStr">
        <is>
          <t>invocacao.5.bas.2.restricoes</t>
        </is>
      </c>
      <c r="B1709" s="198">
        <f>TEXTJOIN(" · ",TRUE,DADOS_INVOC!$NB$57,DADOS_INVOC!$NC$57)</f>
        <v/>
      </c>
      <c r="C1709" s="198" t="inlineStr">
        <is>
          <t>DADOS_INVOC!NB57 DADOS_INVOC!NC57</t>
        </is>
      </c>
      <c r="D1709" s="198" t="inlineStr">
        <is>
          <t>entrada</t>
        </is>
      </c>
    </row>
    <row r="1710">
      <c r="A1710" s="198" t="inlineStr">
        <is>
          <t>invocacao.5.bas.2.pe</t>
        </is>
      </c>
      <c r="B1710" s="198">
        <f>IF(ISBLANK(DADOS_INVOC!$QA$57),"",DADOS_INVOC!$QA$57&amp;"")</f>
        <v/>
      </c>
      <c r="C1710" s="198" t="inlineStr">
        <is>
          <t>DADOS_INVOC!QA57</t>
        </is>
      </c>
      <c r="D1710" s="198" t="inlineStr">
        <is>
          <t>resultado</t>
        </is>
      </c>
    </row>
    <row r="1711">
      <c r="A1711" s="198" t="inlineStr">
        <is>
          <t>invocacao.5.bas.2.dano</t>
        </is>
      </c>
      <c r="B1711" s="198">
        <f>IF(ISBLANK(DADOS_INVOC!$QE$57),"",DADOS_INVOC!$QE$57&amp;"")</f>
        <v/>
      </c>
      <c r="C1711" s="198" t="inlineStr">
        <is>
          <t>DADOS_INVOC!QE57</t>
        </is>
      </c>
      <c r="D1711" s="198" t="inlineStr">
        <is>
          <t>resultado</t>
        </is>
      </c>
    </row>
    <row r="1712">
      <c r="A1712" s="198" t="inlineStr">
        <is>
          <t>invocacao.5.bas.2.erros</t>
        </is>
      </c>
      <c r="B1712" s="198">
        <f>IF(ISBLANK(DADOS_INVOC!$PT$57),"",DADOS_INVOC!$PT$57&amp;"")</f>
        <v/>
      </c>
      <c r="C1712" s="198" t="inlineStr">
        <is>
          <t>DADOS_INVOC!PT57</t>
        </is>
      </c>
      <c r="D1712" s="198" t="inlineStr">
        <is>
          <t>aviso</t>
        </is>
      </c>
    </row>
    <row r="1713">
      <c r="A1713" s="198" t="inlineStr">
        <is>
          <t>invocacao.5.bas.2.avisos</t>
        </is>
      </c>
      <c r="B1713" s="198">
        <f>IF(ISBLANK(DADOS_INVOC!$PV$57),"",DADOS_INVOC!$PV$57&amp;"")</f>
        <v/>
      </c>
      <c r="C1713" s="198" t="inlineStr">
        <is>
          <t>DADOS_INVOC!PV57</t>
        </is>
      </c>
      <c r="D1713" s="198" t="inlineStr">
        <is>
          <t>aviso</t>
        </is>
      </c>
    </row>
    <row r="1714">
      <c r="A1714" s="198" t="inlineStr">
        <is>
          <t>invocacao.5.esp.3.classe</t>
        </is>
      </c>
      <c r="B1714" s="198">
        <f>IF(ISBLANK(DADOS_INVOC!$MS$58),"",DADOS_INVOC!$MS$58&amp;"")</f>
        <v/>
      </c>
      <c r="C1714" s="198" t="inlineStr">
        <is>
          <t>DADOS_INVOC!MS58</t>
        </is>
      </c>
      <c r="D1714" s="198" t="inlineStr">
        <is>
          <t>entrada</t>
        </is>
      </c>
    </row>
    <row r="1715">
      <c r="A1715" s="198" t="inlineStr">
        <is>
          <t>invocacao.5.esp.3.nome</t>
        </is>
      </c>
      <c r="B1715" s="198">
        <f>IF(ISBLANK(DADOS_INVOC!$MT$58),"",DADOS_INVOC!$MT$58&amp;"")</f>
        <v/>
      </c>
      <c r="C1715" s="198" t="inlineStr">
        <is>
          <t>DADOS_INVOC!MT58</t>
        </is>
      </c>
      <c r="D1715" s="198" t="inlineStr">
        <is>
          <t>entrada</t>
        </is>
      </c>
    </row>
    <row r="1716">
      <c r="A1716" s="198" t="inlineStr">
        <is>
          <t>invocacao.5.esp.3.forma</t>
        </is>
      </c>
      <c r="B1716" s="198">
        <f>IF(ISBLANK(DADOS_INVOC!$MU$58),"",DADOS_INVOC!$MU$58&amp;"")</f>
        <v/>
      </c>
      <c r="C1716" s="198" t="inlineStr">
        <is>
          <t>DADOS_INVOC!MU58</t>
        </is>
      </c>
      <c r="D1716" s="198" t="inlineStr">
        <is>
          <t>entrada</t>
        </is>
      </c>
    </row>
    <row r="1717">
      <c r="A1717" s="198" t="inlineStr">
        <is>
          <t>invocacao.5.esp.3.pecas</t>
        </is>
      </c>
      <c r="B1717" s="198">
        <f>TEXTJOIN(" · ",TRUE,DADOS_INVOC!$MX$58,DADOS_INVOC!$MY$58,DADOS_INVOC!$MZ$58,DADOS_INVOC!$NA$58)</f>
        <v/>
      </c>
      <c r="C1717" s="198" t="inlineStr">
        <is>
          <t>DADOS_INVOC!MX58 DADOS_INVOC!MY58 DADOS_INVOC!MZ58 DADOS_INVOC!NA58</t>
        </is>
      </c>
      <c r="D1717" s="198" t="inlineStr">
        <is>
          <t>entrada</t>
        </is>
      </c>
    </row>
    <row r="1718">
      <c r="A1718" s="198" t="inlineStr">
        <is>
          <t>invocacao.5.esp.3.restricoes</t>
        </is>
      </c>
      <c r="B1718" s="198">
        <f>TEXTJOIN(" · ",TRUE,DADOS_INVOC!$NB$58,DADOS_INVOC!$NC$58)</f>
        <v/>
      </c>
      <c r="C1718" s="198" t="inlineStr">
        <is>
          <t>DADOS_INVOC!NB58 DADOS_INVOC!NC58</t>
        </is>
      </c>
      <c r="D1718" s="198" t="inlineStr">
        <is>
          <t>entrada</t>
        </is>
      </c>
    </row>
    <row r="1719">
      <c r="A1719" s="198" t="inlineStr">
        <is>
          <t>invocacao.5.esp.3.pe</t>
        </is>
      </c>
      <c r="B1719" s="198">
        <f>IF(ISBLANK(DADOS_INVOC!$QA$58),"",DADOS_INVOC!$QA$58&amp;"")</f>
        <v/>
      </c>
      <c r="C1719" s="198" t="inlineStr">
        <is>
          <t>DADOS_INVOC!QA58</t>
        </is>
      </c>
      <c r="D1719" s="198" t="inlineStr">
        <is>
          <t>resultado</t>
        </is>
      </c>
    </row>
    <row r="1720">
      <c r="A1720" s="198" t="inlineStr">
        <is>
          <t>invocacao.5.esp.3.dano</t>
        </is>
      </c>
      <c r="B1720" s="198">
        <f>IF(ISBLANK(DADOS_INVOC!$QE$58),"",DADOS_INVOC!$QE$58&amp;"")</f>
        <v/>
      </c>
      <c r="C1720" s="198" t="inlineStr">
        <is>
          <t>DADOS_INVOC!QE58</t>
        </is>
      </c>
      <c r="D1720" s="198" t="inlineStr">
        <is>
          <t>resultado</t>
        </is>
      </c>
    </row>
    <row r="1721">
      <c r="A1721" s="198" t="inlineStr">
        <is>
          <t>invocacao.5.esp.3.erros</t>
        </is>
      </c>
      <c r="B1721" s="198">
        <f>IF(ISBLANK(DADOS_INVOC!$PT$58),"",DADOS_INVOC!$PT$58&amp;"")</f>
        <v/>
      </c>
      <c r="C1721" s="198" t="inlineStr">
        <is>
          <t>DADOS_INVOC!PT58</t>
        </is>
      </c>
      <c r="D1721" s="198" t="inlineStr">
        <is>
          <t>aviso</t>
        </is>
      </c>
    </row>
    <row r="1722">
      <c r="A1722" s="198" t="inlineStr">
        <is>
          <t>invocacao.5.esp.3.avisos</t>
        </is>
      </c>
      <c r="B1722" s="198">
        <f>IF(ISBLANK(DADOS_INVOC!$PV$58),"",DADOS_INVOC!$PV$58&amp;"")</f>
        <v/>
      </c>
      <c r="C1722" s="198" t="inlineStr">
        <is>
          <t>DADOS_INVOC!PV58</t>
        </is>
      </c>
      <c r="D1722" s="198" t="inlineStr">
        <is>
          <t>aviso</t>
        </is>
      </c>
    </row>
    <row r="1723">
      <c r="A1723" s="198" t="inlineStr">
        <is>
          <t>invocacao.5.esp.4.classe</t>
        </is>
      </c>
      <c r="B1723" s="198">
        <f>IF(ISBLANK(DADOS_INVOC!$MS$59),"",DADOS_INVOC!$MS$59&amp;"")</f>
        <v/>
      </c>
      <c r="C1723" s="198" t="inlineStr">
        <is>
          <t>DADOS_INVOC!MS59</t>
        </is>
      </c>
      <c r="D1723" s="198" t="inlineStr">
        <is>
          <t>entrada</t>
        </is>
      </c>
    </row>
    <row r="1724">
      <c r="A1724" s="198" t="inlineStr">
        <is>
          <t>invocacao.5.esp.4.nome</t>
        </is>
      </c>
      <c r="B1724" s="198">
        <f>IF(ISBLANK(DADOS_INVOC!$MT$59),"",DADOS_INVOC!$MT$59&amp;"")</f>
        <v/>
      </c>
      <c r="C1724" s="198" t="inlineStr">
        <is>
          <t>DADOS_INVOC!MT59</t>
        </is>
      </c>
      <c r="D1724" s="198" t="inlineStr">
        <is>
          <t>entrada</t>
        </is>
      </c>
    </row>
    <row r="1725">
      <c r="A1725" s="198" t="inlineStr">
        <is>
          <t>invocacao.5.esp.4.forma</t>
        </is>
      </c>
      <c r="B1725" s="198">
        <f>IF(ISBLANK(DADOS_INVOC!$MU$59),"",DADOS_INVOC!$MU$59&amp;"")</f>
        <v/>
      </c>
      <c r="C1725" s="198" t="inlineStr">
        <is>
          <t>DADOS_INVOC!MU59</t>
        </is>
      </c>
      <c r="D1725" s="198" t="inlineStr">
        <is>
          <t>entrada</t>
        </is>
      </c>
    </row>
    <row r="1726">
      <c r="A1726" s="198" t="inlineStr">
        <is>
          <t>invocacao.5.esp.4.pecas</t>
        </is>
      </c>
      <c r="B1726" s="198">
        <f>TEXTJOIN(" · ",TRUE,DADOS_INVOC!$MX$59,DADOS_INVOC!$MY$59,DADOS_INVOC!$MZ$59,DADOS_INVOC!$NA$59)</f>
        <v/>
      </c>
      <c r="C1726" s="198" t="inlineStr">
        <is>
          <t>DADOS_INVOC!MX59 DADOS_INVOC!MY59 DADOS_INVOC!MZ59 DADOS_INVOC!NA59</t>
        </is>
      </c>
      <c r="D1726" s="198" t="inlineStr">
        <is>
          <t>entrada</t>
        </is>
      </c>
    </row>
    <row r="1727">
      <c r="A1727" s="198" t="inlineStr">
        <is>
          <t>invocacao.5.esp.4.restricoes</t>
        </is>
      </c>
      <c r="B1727" s="198">
        <f>TEXTJOIN(" · ",TRUE,DADOS_INVOC!$NB$59,DADOS_INVOC!$NC$59)</f>
        <v/>
      </c>
      <c r="C1727" s="198" t="inlineStr">
        <is>
          <t>DADOS_INVOC!NB59 DADOS_INVOC!NC59</t>
        </is>
      </c>
      <c r="D1727" s="198" t="inlineStr">
        <is>
          <t>entrada</t>
        </is>
      </c>
    </row>
    <row r="1728">
      <c r="A1728" s="198" t="inlineStr">
        <is>
          <t>invocacao.5.esp.4.pe</t>
        </is>
      </c>
      <c r="B1728" s="198">
        <f>IF(ISBLANK(DADOS_INVOC!$QA$59),"",DADOS_INVOC!$QA$59&amp;"")</f>
        <v/>
      </c>
      <c r="C1728" s="198" t="inlineStr">
        <is>
          <t>DADOS_INVOC!QA59</t>
        </is>
      </c>
      <c r="D1728" s="198" t="inlineStr">
        <is>
          <t>resultado</t>
        </is>
      </c>
    </row>
    <row r="1729">
      <c r="A1729" s="198" t="inlineStr">
        <is>
          <t>invocacao.5.esp.4.dano</t>
        </is>
      </c>
      <c r="B1729" s="198">
        <f>IF(ISBLANK(DADOS_INVOC!$QE$59),"",DADOS_INVOC!$QE$59&amp;"")</f>
        <v/>
      </c>
      <c r="C1729" s="198" t="inlineStr">
        <is>
          <t>DADOS_INVOC!QE59</t>
        </is>
      </c>
      <c r="D1729" s="198" t="inlineStr">
        <is>
          <t>resultado</t>
        </is>
      </c>
    </row>
    <row r="1730">
      <c r="A1730" s="198" t="inlineStr">
        <is>
          <t>invocacao.5.esp.4.erros</t>
        </is>
      </c>
      <c r="B1730" s="198">
        <f>IF(ISBLANK(DADOS_INVOC!$PT$59),"",DADOS_INVOC!$PT$59&amp;"")</f>
        <v/>
      </c>
      <c r="C1730" s="198" t="inlineStr">
        <is>
          <t>DADOS_INVOC!PT59</t>
        </is>
      </c>
      <c r="D1730" s="198" t="inlineStr">
        <is>
          <t>aviso</t>
        </is>
      </c>
    </row>
    <row r="1731">
      <c r="A1731" s="198" t="inlineStr">
        <is>
          <t>invocacao.5.esp.4.avisos</t>
        </is>
      </c>
      <c r="B1731" s="198">
        <f>IF(ISBLANK(DADOS_INVOC!$PV$59),"",DADOS_INVOC!$PV$59&amp;"")</f>
        <v/>
      </c>
      <c r="C1731" s="198" t="inlineStr">
        <is>
          <t>DADOS_INVOC!PV59</t>
        </is>
      </c>
      <c r="D1731" s="198" t="inlineStr">
        <is>
          <t>aviso</t>
        </is>
      </c>
    </row>
    <row r="1732">
      <c r="A1732" s="198" t="inlineStr">
        <is>
          <t>invocacao.5.esp.5.classe</t>
        </is>
      </c>
      <c r="B1732" s="198">
        <f>IF(ISBLANK(DADOS_INVOC!$MS$60),"",DADOS_INVOC!$MS$60&amp;"")</f>
        <v/>
      </c>
      <c r="C1732" s="198" t="inlineStr">
        <is>
          <t>DADOS_INVOC!MS60</t>
        </is>
      </c>
      <c r="D1732" s="198" t="inlineStr">
        <is>
          <t>entrada</t>
        </is>
      </c>
    </row>
    <row r="1733">
      <c r="A1733" s="198" t="inlineStr">
        <is>
          <t>invocacao.5.esp.5.nome</t>
        </is>
      </c>
      <c r="B1733" s="198">
        <f>IF(ISBLANK(DADOS_INVOC!$MT$60),"",DADOS_INVOC!$MT$60&amp;"")</f>
        <v/>
      </c>
      <c r="C1733" s="198" t="inlineStr">
        <is>
          <t>DADOS_INVOC!MT60</t>
        </is>
      </c>
      <c r="D1733" s="198" t="inlineStr">
        <is>
          <t>entrada</t>
        </is>
      </c>
    </row>
    <row r="1734">
      <c r="A1734" s="198" t="inlineStr">
        <is>
          <t>invocacao.5.esp.5.forma</t>
        </is>
      </c>
      <c r="B1734" s="198">
        <f>IF(ISBLANK(DADOS_INVOC!$MU$60),"",DADOS_INVOC!$MU$60&amp;"")</f>
        <v/>
      </c>
      <c r="C1734" s="198" t="inlineStr">
        <is>
          <t>DADOS_INVOC!MU60</t>
        </is>
      </c>
      <c r="D1734" s="198" t="inlineStr">
        <is>
          <t>entrada</t>
        </is>
      </c>
    </row>
    <row r="1735">
      <c r="A1735" s="198" t="inlineStr">
        <is>
          <t>invocacao.5.esp.5.pecas</t>
        </is>
      </c>
      <c r="B1735" s="198">
        <f>TEXTJOIN(" · ",TRUE,DADOS_INVOC!$MX$60,DADOS_INVOC!$MY$60,DADOS_INVOC!$MZ$60,DADOS_INVOC!$NA$60)</f>
        <v/>
      </c>
      <c r="C1735" s="198" t="inlineStr">
        <is>
          <t>DADOS_INVOC!MX60 DADOS_INVOC!MY60 DADOS_INVOC!MZ60 DADOS_INVOC!NA60</t>
        </is>
      </c>
      <c r="D1735" s="198" t="inlineStr">
        <is>
          <t>entrada</t>
        </is>
      </c>
    </row>
    <row r="1736">
      <c r="A1736" s="198" t="inlineStr">
        <is>
          <t>invocacao.5.esp.5.restricoes</t>
        </is>
      </c>
      <c r="B1736" s="198">
        <f>TEXTJOIN(" · ",TRUE,DADOS_INVOC!$NB$60,DADOS_INVOC!$NC$60)</f>
        <v/>
      </c>
      <c r="C1736" s="198" t="inlineStr">
        <is>
          <t>DADOS_INVOC!NB60 DADOS_INVOC!NC60</t>
        </is>
      </c>
      <c r="D1736" s="198" t="inlineStr">
        <is>
          <t>entrada</t>
        </is>
      </c>
    </row>
    <row r="1737">
      <c r="A1737" s="198" t="inlineStr">
        <is>
          <t>invocacao.5.esp.5.pe</t>
        </is>
      </c>
      <c r="B1737" s="198">
        <f>IF(ISBLANK(DADOS_INVOC!$QA$60),"",DADOS_INVOC!$QA$60&amp;"")</f>
        <v/>
      </c>
      <c r="C1737" s="198" t="inlineStr">
        <is>
          <t>DADOS_INVOC!QA60</t>
        </is>
      </c>
      <c r="D1737" s="198" t="inlineStr">
        <is>
          <t>resultado</t>
        </is>
      </c>
    </row>
    <row r="1738">
      <c r="A1738" s="198" t="inlineStr">
        <is>
          <t>invocacao.5.esp.5.dano</t>
        </is>
      </c>
      <c r="B1738" s="198">
        <f>IF(ISBLANK(DADOS_INVOC!$QE$60),"",DADOS_INVOC!$QE$60&amp;"")</f>
        <v/>
      </c>
      <c r="C1738" s="198" t="inlineStr">
        <is>
          <t>DADOS_INVOC!QE60</t>
        </is>
      </c>
      <c r="D1738" s="198" t="inlineStr">
        <is>
          <t>resultado</t>
        </is>
      </c>
    </row>
    <row r="1739">
      <c r="A1739" s="198" t="inlineStr">
        <is>
          <t>invocacao.5.esp.5.erros</t>
        </is>
      </c>
      <c r="B1739" s="198">
        <f>IF(ISBLANK(DADOS_INVOC!$PT$60),"",DADOS_INVOC!$PT$60&amp;"")</f>
        <v/>
      </c>
      <c r="C1739" s="198" t="inlineStr">
        <is>
          <t>DADOS_INVOC!PT60</t>
        </is>
      </c>
      <c r="D1739" s="198" t="inlineStr">
        <is>
          <t>aviso</t>
        </is>
      </c>
    </row>
    <row r="1740">
      <c r="A1740" s="198" t="inlineStr">
        <is>
          <t>invocacao.5.esp.5.avisos</t>
        </is>
      </c>
      <c r="B1740" s="198">
        <f>IF(ISBLANK(DADOS_INVOC!$PV$60),"",DADOS_INVOC!$PV$60&amp;"")</f>
        <v/>
      </c>
      <c r="C1740" s="198" t="inlineStr">
        <is>
          <t>DADOS_INVOC!PV60</t>
        </is>
      </c>
      <c r="D1740" s="198" t="inlineStr">
        <is>
          <t>aviso</t>
        </is>
      </c>
    </row>
    <row r="1741">
      <c r="A1741" s="198" t="inlineStr">
        <is>
          <t>invocacao.5.esp.6.classe</t>
        </is>
      </c>
      <c r="B1741" s="198">
        <f>IF(ISBLANK(DADOS_INVOC!$MS$61),"",DADOS_INVOC!$MS$61&amp;"")</f>
        <v/>
      </c>
      <c r="C1741" s="198" t="inlineStr">
        <is>
          <t>DADOS_INVOC!MS61</t>
        </is>
      </c>
      <c r="D1741" s="198" t="inlineStr">
        <is>
          <t>entrada</t>
        </is>
      </c>
    </row>
    <row r="1742">
      <c r="A1742" s="198" t="inlineStr">
        <is>
          <t>invocacao.5.esp.6.nome</t>
        </is>
      </c>
      <c r="B1742" s="198">
        <f>IF(ISBLANK(DADOS_INVOC!$MT$61),"",DADOS_INVOC!$MT$61&amp;"")</f>
        <v/>
      </c>
      <c r="C1742" s="198" t="inlineStr">
        <is>
          <t>DADOS_INVOC!MT61</t>
        </is>
      </c>
      <c r="D1742" s="198" t="inlineStr">
        <is>
          <t>entrada</t>
        </is>
      </c>
    </row>
    <row r="1743">
      <c r="A1743" s="198" t="inlineStr">
        <is>
          <t>invocacao.5.esp.6.forma</t>
        </is>
      </c>
      <c r="B1743" s="198">
        <f>IF(ISBLANK(DADOS_INVOC!$MU$61),"",DADOS_INVOC!$MU$61&amp;"")</f>
        <v/>
      </c>
      <c r="C1743" s="198" t="inlineStr">
        <is>
          <t>DADOS_INVOC!MU61</t>
        </is>
      </c>
      <c r="D1743" s="198" t="inlineStr">
        <is>
          <t>entrada</t>
        </is>
      </c>
    </row>
    <row r="1744">
      <c r="A1744" s="198" t="inlineStr">
        <is>
          <t>invocacao.5.esp.6.pecas</t>
        </is>
      </c>
      <c r="B1744" s="198">
        <f>TEXTJOIN(" · ",TRUE,DADOS_INVOC!$MX$61,DADOS_INVOC!$MY$61,DADOS_INVOC!$MZ$61,DADOS_INVOC!$NA$61)</f>
        <v/>
      </c>
      <c r="C1744" s="198" t="inlineStr">
        <is>
          <t>DADOS_INVOC!MX61 DADOS_INVOC!MY61 DADOS_INVOC!MZ61 DADOS_INVOC!NA61</t>
        </is>
      </c>
      <c r="D1744" s="198" t="inlineStr">
        <is>
          <t>entrada</t>
        </is>
      </c>
    </row>
    <row r="1745">
      <c r="A1745" s="198" t="inlineStr">
        <is>
          <t>invocacao.5.esp.6.restricoes</t>
        </is>
      </c>
      <c r="B1745" s="198">
        <f>TEXTJOIN(" · ",TRUE,DADOS_INVOC!$NB$61,DADOS_INVOC!$NC$61)</f>
        <v/>
      </c>
      <c r="C1745" s="198" t="inlineStr">
        <is>
          <t>DADOS_INVOC!NB61 DADOS_INVOC!NC61</t>
        </is>
      </c>
      <c r="D1745" s="198" t="inlineStr">
        <is>
          <t>entrada</t>
        </is>
      </c>
    </row>
    <row r="1746">
      <c r="A1746" s="198" t="inlineStr">
        <is>
          <t>invocacao.5.esp.6.pe</t>
        </is>
      </c>
      <c r="B1746" s="198">
        <f>IF(ISBLANK(DADOS_INVOC!$QA$61),"",DADOS_INVOC!$QA$61&amp;"")</f>
        <v/>
      </c>
      <c r="C1746" s="198" t="inlineStr">
        <is>
          <t>DADOS_INVOC!QA61</t>
        </is>
      </c>
      <c r="D1746" s="198" t="inlineStr">
        <is>
          <t>resultado</t>
        </is>
      </c>
    </row>
    <row r="1747">
      <c r="A1747" s="198" t="inlineStr">
        <is>
          <t>invocacao.5.esp.6.dano</t>
        </is>
      </c>
      <c r="B1747" s="198">
        <f>IF(ISBLANK(DADOS_INVOC!$QE$61),"",DADOS_INVOC!$QE$61&amp;"")</f>
        <v/>
      </c>
      <c r="C1747" s="198" t="inlineStr">
        <is>
          <t>DADOS_INVOC!QE61</t>
        </is>
      </c>
      <c r="D1747" s="198" t="inlineStr">
        <is>
          <t>resultado</t>
        </is>
      </c>
    </row>
    <row r="1748">
      <c r="A1748" s="198" t="inlineStr">
        <is>
          <t>invocacao.5.esp.6.erros</t>
        </is>
      </c>
      <c r="B1748" s="198">
        <f>IF(ISBLANK(DADOS_INVOC!$PT$61),"",DADOS_INVOC!$PT$61&amp;"")</f>
        <v/>
      </c>
      <c r="C1748" s="198" t="inlineStr">
        <is>
          <t>DADOS_INVOC!PT61</t>
        </is>
      </c>
      <c r="D1748" s="198" t="inlineStr">
        <is>
          <t>aviso</t>
        </is>
      </c>
    </row>
    <row r="1749">
      <c r="A1749" s="198" t="inlineStr">
        <is>
          <t>invocacao.5.esp.6.avisos</t>
        </is>
      </c>
      <c r="B1749" s="198">
        <f>IF(ISBLANK(DADOS_INVOC!$PV$61),"",DADOS_INVOC!$PV$61&amp;"")</f>
        <v/>
      </c>
      <c r="C1749" s="198" t="inlineStr">
        <is>
          <t>DADOS_INVOC!PV61</t>
        </is>
      </c>
      <c r="D1749" s="198" t="inlineStr">
        <is>
          <t>aviso</t>
        </is>
      </c>
    </row>
    <row r="1750">
      <c r="A1750" s="198" t="inlineStr">
        <is>
          <t>invocacao.5.esp.7.classe</t>
        </is>
      </c>
      <c r="B1750" s="198">
        <f>IF(ISBLANK(DADOS_INVOC!$MS$62),"",DADOS_INVOC!$MS$62&amp;"")</f>
        <v/>
      </c>
      <c r="C1750" s="198" t="inlineStr">
        <is>
          <t>DADOS_INVOC!MS62</t>
        </is>
      </c>
      <c r="D1750" s="198" t="inlineStr">
        <is>
          <t>entrada</t>
        </is>
      </c>
    </row>
    <row r="1751">
      <c r="A1751" s="198" t="inlineStr">
        <is>
          <t>invocacao.5.esp.7.nome</t>
        </is>
      </c>
      <c r="B1751" s="198">
        <f>IF(ISBLANK(DADOS_INVOC!$MT$62),"",DADOS_INVOC!$MT$62&amp;"")</f>
        <v/>
      </c>
      <c r="C1751" s="198" t="inlineStr">
        <is>
          <t>DADOS_INVOC!MT62</t>
        </is>
      </c>
      <c r="D1751" s="198" t="inlineStr">
        <is>
          <t>entrada</t>
        </is>
      </c>
    </row>
    <row r="1752">
      <c r="A1752" s="198" t="inlineStr">
        <is>
          <t>invocacao.5.esp.7.forma</t>
        </is>
      </c>
      <c r="B1752" s="198">
        <f>IF(ISBLANK(DADOS_INVOC!$MU$62),"",DADOS_INVOC!$MU$62&amp;"")</f>
        <v/>
      </c>
      <c r="C1752" s="198" t="inlineStr">
        <is>
          <t>DADOS_INVOC!MU62</t>
        </is>
      </c>
      <c r="D1752" s="198" t="inlineStr">
        <is>
          <t>entrada</t>
        </is>
      </c>
    </row>
    <row r="1753">
      <c r="A1753" s="198" t="inlineStr">
        <is>
          <t>invocacao.5.esp.7.pecas</t>
        </is>
      </c>
      <c r="B1753" s="198">
        <f>TEXTJOIN(" · ",TRUE,DADOS_INVOC!$MX$62,DADOS_INVOC!$MY$62,DADOS_INVOC!$MZ$62,DADOS_INVOC!$NA$62)</f>
        <v/>
      </c>
      <c r="C1753" s="198" t="inlineStr">
        <is>
          <t>DADOS_INVOC!MX62 DADOS_INVOC!MY62 DADOS_INVOC!MZ62 DADOS_INVOC!NA62</t>
        </is>
      </c>
      <c r="D1753" s="198" t="inlineStr">
        <is>
          <t>entrada</t>
        </is>
      </c>
    </row>
    <row r="1754">
      <c r="A1754" s="198" t="inlineStr">
        <is>
          <t>invocacao.5.esp.7.restricoes</t>
        </is>
      </c>
      <c r="B1754" s="198">
        <f>TEXTJOIN(" · ",TRUE,DADOS_INVOC!$NB$62,DADOS_INVOC!$NC$62)</f>
        <v/>
      </c>
      <c r="C1754" s="198" t="inlineStr">
        <is>
          <t>DADOS_INVOC!NB62 DADOS_INVOC!NC62</t>
        </is>
      </c>
      <c r="D1754" s="198" t="inlineStr">
        <is>
          <t>entrada</t>
        </is>
      </c>
    </row>
    <row r="1755">
      <c r="A1755" s="198" t="inlineStr">
        <is>
          <t>invocacao.5.esp.7.pe</t>
        </is>
      </c>
      <c r="B1755" s="198">
        <f>IF(ISBLANK(DADOS_INVOC!$QA$62),"",DADOS_INVOC!$QA$62&amp;"")</f>
        <v/>
      </c>
      <c r="C1755" s="198" t="inlineStr">
        <is>
          <t>DADOS_INVOC!QA62</t>
        </is>
      </c>
      <c r="D1755" s="198" t="inlineStr">
        <is>
          <t>resultado</t>
        </is>
      </c>
    </row>
    <row r="1756">
      <c r="A1756" s="198" t="inlineStr">
        <is>
          <t>invocacao.5.esp.7.dano</t>
        </is>
      </c>
      <c r="B1756" s="198">
        <f>IF(ISBLANK(DADOS_INVOC!$QE$62),"",DADOS_INVOC!$QE$62&amp;"")</f>
        <v/>
      </c>
      <c r="C1756" s="198" t="inlineStr">
        <is>
          <t>DADOS_INVOC!QE62</t>
        </is>
      </c>
      <c r="D1756" s="198" t="inlineStr">
        <is>
          <t>resultado</t>
        </is>
      </c>
    </row>
    <row r="1757">
      <c r="A1757" s="198" t="inlineStr">
        <is>
          <t>invocacao.5.esp.7.erros</t>
        </is>
      </c>
      <c r="B1757" s="198">
        <f>IF(ISBLANK(DADOS_INVOC!$PT$62),"",DADOS_INVOC!$PT$62&amp;"")</f>
        <v/>
      </c>
      <c r="C1757" s="198" t="inlineStr">
        <is>
          <t>DADOS_INVOC!PT62</t>
        </is>
      </c>
      <c r="D1757" s="198" t="inlineStr">
        <is>
          <t>aviso</t>
        </is>
      </c>
    </row>
    <row r="1758">
      <c r="A1758" s="198" t="inlineStr">
        <is>
          <t>invocacao.5.esp.7.avisos</t>
        </is>
      </c>
      <c r="B1758" s="198">
        <f>IF(ISBLANK(DADOS_INVOC!$PV$62),"",DADOS_INVOC!$PV$62&amp;"")</f>
        <v/>
      </c>
      <c r="C1758" s="198" t="inlineStr">
        <is>
          <t>DADOS_INVOC!PV62</t>
        </is>
      </c>
      <c r="D1758" s="198" t="inlineStr">
        <is>
          <t>aviso</t>
        </is>
      </c>
    </row>
    <row r="1759">
      <c r="A1759" s="198" t="inlineStr">
        <is>
          <t>invocacao.5.esp.8.classe</t>
        </is>
      </c>
      <c r="B1759" s="198">
        <f>IF(ISBLANK(DADOS_INVOC!$MS$63),"",DADOS_INVOC!$MS$63&amp;"")</f>
        <v/>
      </c>
      <c r="C1759" s="198" t="inlineStr">
        <is>
          <t>DADOS_INVOC!MS63</t>
        </is>
      </c>
      <c r="D1759" s="198" t="inlineStr">
        <is>
          <t>entrada</t>
        </is>
      </c>
    </row>
    <row r="1760">
      <c r="A1760" s="198" t="inlineStr">
        <is>
          <t>invocacao.5.esp.8.nome</t>
        </is>
      </c>
      <c r="B1760" s="198">
        <f>IF(ISBLANK(DADOS_INVOC!$MT$63),"",DADOS_INVOC!$MT$63&amp;"")</f>
        <v/>
      </c>
      <c r="C1760" s="198" t="inlineStr">
        <is>
          <t>DADOS_INVOC!MT63</t>
        </is>
      </c>
      <c r="D1760" s="198" t="inlineStr">
        <is>
          <t>entrada</t>
        </is>
      </c>
    </row>
    <row r="1761">
      <c r="A1761" s="198" t="inlineStr">
        <is>
          <t>invocacao.5.esp.8.forma</t>
        </is>
      </c>
      <c r="B1761" s="198">
        <f>IF(ISBLANK(DADOS_INVOC!$MU$63),"",DADOS_INVOC!$MU$63&amp;"")</f>
        <v/>
      </c>
      <c r="C1761" s="198" t="inlineStr">
        <is>
          <t>DADOS_INVOC!MU63</t>
        </is>
      </c>
      <c r="D1761" s="198" t="inlineStr">
        <is>
          <t>entrada</t>
        </is>
      </c>
    </row>
    <row r="1762">
      <c r="A1762" s="198" t="inlineStr">
        <is>
          <t>invocacao.5.esp.8.pecas</t>
        </is>
      </c>
      <c r="B1762" s="198">
        <f>TEXTJOIN(" · ",TRUE,DADOS_INVOC!$MX$63,DADOS_INVOC!$MY$63,DADOS_INVOC!$MZ$63,DADOS_INVOC!$NA$63)</f>
        <v/>
      </c>
      <c r="C1762" s="198" t="inlineStr">
        <is>
          <t>DADOS_INVOC!MX63 DADOS_INVOC!MY63 DADOS_INVOC!MZ63 DADOS_INVOC!NA63</t>
        </is>
      </c>
      <c r="D1762" s="198" t="inlineStr">
        <is>
          <t>entrada</t>
        </is>
      </c>
    </row>
    <row r="1763">
      <c r="A1763" s="198" t="inlineStr">
        <is>
          <t>invocacao.5.esp.8.restricoes</t>
        </is>
      </c>
      <c r="B1763" s="198">
        <f>TEXTJOIN(" · ",TRUE,DADOS_INVOC!$NB$63,DADOS_INVOC!$NC$63)</f>
        <v/>
      </c>
      <c r="C1763" s="198" t="inlineStr">
        <is>
          <t>DADOS_INVOC!NB63 DADOS_INVOC!NC63</t>
        </is>
      </c>
      <c r="D1763" s="198" t="inlineStr">
        <is>
          <t>entrada</t>
        </is>
      </c>
    </row>
    <row r="1764">
      <c r="A1764" s="198" t="inlineStr">
        <is>
          <t>invocacao.5.esp.8.pe</t>
        </is>
      </c>
      <c r="B1764" s="198">
        <f>IF(ISBLANK(DADOS_INVOC!$QA$63),"",DADOS_INVOC!$QA$63&amp;"")</f>
        <v/>
      </c>
      <c r="C1764" s="198" t="inlineStr">
        <is>
          <t>DADOS_INVOC!QA63</t>
        </is>
      </c>
      <c r="D1764" s="198" t="inlineStr">
        <is>
          <t>resultado</t>
        </is>
      </c>
    </row>
    <row r="1765">
      <c r="A1765" s="198" t="inlineStr">
        <is>
          <t>invocacao.5.esp.8.dano</t>
        </is>
      </c>
      <c r="B1765" s="198">
        <f>IF(ISBLANK(DADOS_INVOC!$QE$63),"",DADOS_INVOC!$QE$63&amp;"")</f>
        <v/>
      </c>
      <c r="C1765" s="198" t="inlineStr">
        <is>
          <t>DADOS_INVOC!QE63</t>
        </is>
      </c>
      <c r="D1765" s="198" t="inlineStr">
        <is>
          <t>resultado</t>
        </is>
      </c>
    </row>
    <row r="1766">
      <c r="A1766" s="198" t="inlineStr">
        <is>
          <t>invocacao.5.esp.8.erros</t>
        </is>
      </c>
      <c r="B1766" s="198">
        <f>IF(ISBLANK(DADOS_INVOC!$PT$63),"",DADOS_INVOC!$PT$63&amp;"")</f>
        <v/>
      </c>
      <c r="C1766" s="198" t="inlineStr">
        <is>
          <t>DADOS_INVOC!PT63</t>
        </is>
      </c>
      <c r="D1766" s="198" t="inlineStr">
        <is>
          <t>aviso</t>
        </is>
      </c>
    </row>
    <row r="1767">
      <c r="A1767" s="198" t="inlineStr">
        <is>
          <t>invocacao.5.esp.8.avisos</t>
        </is>
      </c>
      <c r="B1767" s="198">
        <f>IF(ISBLANK(DADOS_INVOC!$PV$63),"",DADOS_INVOC!$PV$63&amp;"")</f>
        <v/>
      </c>
      <c r="C1767" s="198" t="inlineStr">
        <is>
          <t>DADOS_INVOC!PV63</t>
        </is>
      </c>
      <c r="D1767" s="198" t="inlineStr">
        <is>
          <t>aviso</t>
        </is>
      </c>
    </row>
    <row r="1768">
      <c r="A1768" s="198" t="inlineStr">
        <is>
          <t>invocacao.5.ext.1.classe</t>
        </is>
      </c>
      <c r="B1768" s="198">
        <f>IF(ISBLANK(DADOS_INVOC!$MS$64),"",DADOS_INVOC!$MS$64&amp;"")</f>
        <v/>
      </c>
      <c r="C1768" s="198" t="inlineStr">
        <is>
          <t>DADOS_INVOC!MS64</t>
        </is>
      </c>
      <c r="D1768" s="198" t="inlineStr">
        <is>
          <t>entrada</t>
        </is>
      </c>
    </row>
    <row r="1769">
      <c r="A1769" s="198" t="inlineStr">
        <is>
          <t>invocacao.5.ext.1.nome</t>
        </is>
      </c>
      <c r="B1769" s="198">
        <f>IF(ISBLANK(DADOS_INVOC!$MT$64),"",DADOS_INVOC!$MT$64&amp;"")</f>
        <v/>
      </c>
      <c r="C1769" s="198" t="inlineStr">
        <is>
          <t>DADOS_INVOC!MT64</t>
        </is>
      </c>
      <c r="D1769" s="198" t="inlineStr">
        <is>
          <t>entrada</t>
        </is>
      </c>
    </row>
    <row r="1770">
      <c r="A1770" s="198" t="inlineStr">
        <is>
          <t>invocacao.5.ext.1.forma</t>
        </is>
      </c>
      <c r="B1770" s="198">
        <f>IF(ISBLANK(DADOS_INVOC!$MU$64),"",DADOS_INVOC!$MU$64&amp;"")</f>
        <v/>
      </c>
      <c r="C1770" s="198" t="inlineStr">
        <is>
          <t>DADOS_INVOC!MU64</t>
        </is>
      </c>
      <c r="D1770" s="198" t="inlineStr">
        <is>
          <t>entrada</t>
        </is>
      </c>
    </row>
    <row r="1771">
      <c r="A1771" s="198" t="inlineStr">
        <is>
          <t>invocacao.5.ext.1.pecas</t>
        </is>
      </c>
      <c r="B1771" s="198">
        <f>TEXTJOIN(" · ",TRUE,DADOS_INVOC!$MX$64,DADOS_INVOC!$MY$64,DADOS_INVOC!$MZ$64,DADOS_INVOC!$NA$64)</f>
        <v/>
      </c>
      <c r="C1771" s="198" t="inlineStr">
        <is>
          <t>DADOS_INVOC!MX64 DADOS_INVOC!MY64 DADOS_INVOC!MZ64 DADOS_INVOC!NA64</t>
        </is>
      </c>
      <c r="D1771" s="198" t="inlineStr">
        <is>
          <t>entrada</t>
        </is>
      </c>
    </row>
    <row r="1772">
      <c r="A1772" s="198" t="inlineStr">
        <is>
          <t>invocacao.5.ext.1.restricoes</t>
        </is>
      </c>
      <c r="B1772" s="198">
        <f>TEXTJOIN(" · ",TRUE,DADOS_INVOC!$NB$64,DADOS_INVOC!$NC$64)</f>
        <v/>
      </c>
      <c r="C1772" s="198" t="inlineStr">
        <is>
          <t>DADOS_INVOC!NB64 DADOS_INVOC!NC64</t>
        </is>
      </c>
      <c r="D1772" s="198" t="inlineStr">
        <is>
          <t>entrada</t>
        </is>
      </c>
    </row>
    <row r="1773">
      <c r="A1773" s="198" t="inlineStr">
        <is>
          <t>invocacao.5.ext.1.pe</t>
        </is>
      </c>
      <c r="B1773" s="198">
        <f>IF(ISBLANK(DADOS_INVOC!$QA$64),"",DADOS_INVOC!$QA$64&amp;"")</f>
        <v/>
      </c>
      <c r="C1773" s="198" t="inlineStr">
        <is>
          <t>DADOS_INVOC!QA64</t>
        </is>
      </c>
      <c r="D1773" s="198" t="inlineStr">
        <is>
          <t>resultado</t>
        </is>
      </c>
    </row>
    <row r="1774">
      <c r="A1774" s="198" t="inlineStr">
        <is>
          <t>invocacao.5.ext.1.dano</t>
        </is>
      </c>
      <c r="B1774" s="198">
        <f>IF(ISBLANK(DADOS_INVOC!$QE$64),"",DADOS_INVOC!$QE$64&amp;"")</f>
        <v/>
      </c>
      <c r="C1774" s="198" t="inlineStr">
        <is>
          <t>DADOS_INVOC!QE64</t>
        </is>
      </c>
      <c r="D1774" s="198" t="inlineStr">
        <is>
          <t>resultado</t>
        </is>
      </c>
    </row>
    <row r="1775">
      <c r="A1775" s="198" t="inlineStr">
        <is>
          <t>invocacao.5.ext.1.erros</t>
        </is>
      </c>
      <c r="B1775" s="198">
        <f>IF(ISBLANK(DADOS_INVOC!$PT$64),"",DADOS_INVOC!$PT$64&amp;"")</f>
        <v/>
      </c>
      <c r="C1775" s="198" t="inlineStr">
        <is>
          <t>DADOS_INVOC!PT64</t>
        </is>
      </c>
      <c r="D1775" s="198" t="inlineStr">
        <is>
          <t>aviso</t>
        </is>
      </c>
    </row>
    <row r="1776">
      <c r="A1776" s="198" t="inlineStr">
        <is>
          <t>invocacao.5.ext.1.avisos</t>
        </is>
      </c>
      <c r="B1776" s="198">
        <f>IF(ISBLANK(DADOS_INVOC!$PV$64),"",DADOS_INVOC!$PV$64&amp;"")</f>
        <v/>
      </c>
      <c r="C1776" s="198" t="inlineStr">
        <is>
          <t>DADOS_INVOC!PV64</t>
        </is>
      </c>
      <c r="D1776" s="198" t="inlineStr">
        <is>
          <t>aviso</t>
        </is>
      </c>
    </row>
    <row r="1777">
      <c r="A1777" s="198" t="inlineStr">
        <is>
          <t>invocacao.5.ext.2.classe</t>
        </is>
      </c>
      <c r="B1777" s="198">
        <f>IF(ISBLANK(DADOS_INVOC!$MS$65),"",DADOS_INVOC!$MS$65&amp;"")</f>
        <v/>
      </c>
      <c r="C1777" s="198" t="inlineStr">
        <is>
          <t>DADOS_INVOC!MS65</t>
        </is>
      </c>
      <c r="D1777" s="198" t="inlineStr">
        <is>
          <t>entrada</t>
        </is>
      </c>
    </row>
    <row r="1778">
      <c r="A1778" s="198" t="inlineStr">
        <is>
          <t>invocacao.5.ext.2.nome</t>
        </is>
      </c>
      <c r="B1778" s="198">
        <f>IF(ISBLANK(DADOS_INVOC!$MT$65),"",DADOS_INVOC!$MT$65&amp;"")</f>
        <v/>
      </c>
      <c r="C1778" s="198" t="inlineStr">
        <is>
          <t>DADOS_INVOC!MT65</t>
        </is>
      </c>
      <c r="D1778" s="198" t="inlineStr">
        <is>
          <t>entrada</t>
        </is>
      </c>
    </row>
    <row r="1779">
      <c r="A1779" s="198" t="inlineStr">
        <is>
          <t>invocacao.5.ext.2.forma</t>
        </is>
      </c>
      <c r="B1779" s="198">
        <f>IF(ISBLANK(DADOS_INVOC!$MU$65),"",DADOS_INVOC!$MU$65&amp;"")</f>
        <v/>
      </c>
      <c r="C1779" s="198" t="inlineStr">
        <is>
          <t>DADOS_INVOC!MU65</t>
        </is>
      </c>
      <c r="D1779" s="198" t="inlineStr">
        <is>
          <t>entrada</t>
        </is>
      </c>
    </row>
    <row r="1780">
      <c r="A1780" s="198" t="inlineStr">
        <is>
          <t>invocacao.5.ext.2.pecas</t>
        </is>
      </c>
      <c r="B1780" s="198">
        <f>TEXTJOIN(" · ",TRUE,DADOS_INVOC!$MX$65,DADOS_INVOC!$MY$65,DADOS_INVOC!$MZ$65,DADOS_INVOC!$NA$65)</f>
        <v/>
      </c>
      <c r="C1780" s="198" t="inlineStr">
        <is>
          <t>DADOS_INVOC!MX65 DADOS_INVOC!MY65 DADOS_INVOC!MZ65 DADOS_INVOC!NA65</t>
        </is>
      </c>
      <c r="D1780" s="198" t="inlineStr">
        <is>
          <t>entrada</t>
        </is>
      </c>
    </row>
    <row r="1781">
      <c r="A1781" s="198" t="inlineStr">
        <is>
          <t>invocacao.5.ext.2.restricoes</t>
        </is>
      </c>
      <c r="B1781" s="198">
        <f>TEXTJOIN(" · ",TRUE,DADOS_INVOC!$NB$65,DADOS_INVOC!$NC$65)</f>
        <v/>
      </c>
      <c r="C1781" s="198" t="inlineStr">
        <is>
          <t>DADOS_INVOC!NB65 DADOS_INVOC!NC65</t>
        </is>
      </c>
      <c r="D1781" s="198" t="inlineStr">
        <is>
          <t>entrada</t>
        </is>
      </c>
    </row>
    <row r="1782">
      <c r="A1782" s="198" t="inlineStr">
        <is>
          <t>invocacao.5.ext.2.pe</t>
        </is>
      </c>
      <c r="B1782" s="198">
        <f>IF(ISBLANK(DADOS_INVOC!$QA$65),"",DADOS_INVOC!$QA$65&amp;"")</f>
        <v/>
      </c>
      <c r="C1782" s="198" t="inlineStr">
        <is>
          <t>DADOS_INVOC!QA65</t>
        </is>
      </c>
      <c r="D1782" s="198" t="inlineStr">
        <is>
          <t>resultado</t>
        </is>
      </c>
    </row>
    <row r="1783">
      <c r="A1783" s="198" t="inlineStr">
        <is>
          <t>invocacao.5.ext.2.dano</t>
        </is>
      </c>
      <c r="B1783" s="198">
        <f>IF(ISBLANK(DADOS_INVOC!$QE$65),"",DADOS_INVOC!$QE$65&amp;"")</f>
        <v/>
      </c>
      <c r="C1783" s="198" t="inlineStr">
        <is>
          <t>DADOS_INVOC!QE65</t>
        </is>
      </c>
      <c r="D1783" s="198" t="inlineStr">
        <is>
          <t>resultado</t>
        </is>
      </c>
    </row>
    <row r="1784">
      <c r="A1784" s="198" t="inlineStr">
        <is>
          <t>invocacao.5.ext.2.erros</t>
        </is>
      </c>
      <c r="B1784" s="198">
        <f>IF(ISBLANK(DADOS_INVOC!$PT$65),"",DADOS_INVOC!$PT$65&amp;"")</f>
        <v/>
      </c>
      <c r="C1784" s="198" t="inlineStr">
        <is>
          <t>DADOS_INVOC!PT65</t>
        </is>
      </c>
      <c r="D1784" s="198" t="inlineStr">
        <is>
          <t>aviso</t>
        </is>
      </c>
    </row>
    <row r="1785">
      <c r="A1785" s="198" t="inlineStr">
        <is>
          <t>invocacao.5.ext.2.avisos</t>
        </is>
      </c>
      <c r="B1785" s="198">
        <f>IF(ISBLANK(DADOS_INVOC!$PV$65),"",DADOS_INVOC!$PV$65&amp;"")</f>
        <v/>
      </c>
      <c r="C1785" s="198" t="inlineStr">
        <is>
          <t>DADOS_INVOC!PV65</t>
        </is>
      </c>
      <c r="D1785" s="198" t="inlineStr">
        <is>
          <t>aviso</t>
        </is>
      </c>
    </row>
    <row r="1786">
      <c r="A1786" s="198" t="inlineStr">
        <is>
          <t>invocacao.5.ext.3.classe</t>
        </is>
      </c>
      <c r="B1786" s="198">
        <f>IF(ISBLANK(DADOS_INVOC!$MS$66),"",DADOS_INVOC!$MS$66&amp;"")</f>
        <v/>
      </c>
      <c r="C1786" s="198" t="inlineStr">
        <is>
          <t>DADOS_INVOC!MS66</t>
        </is>
      </c>
      <c r="D1786" s="198" t="inlineStr">
        <is>
          <t>entrada</t>
        </is>
      </c>
    </row>
    <row r="1787">
      <c r="A1787" s="198" t="inlineStr">
        <is>
          <t>invocacao.5.ext.3.nome</t>
        </is>
      </c>
      <c r="B1787" s="198">
        <f>IF(ISBLANK(DADOS_INVOC!$MT$66),"",DADOS_INVOC!$MT$66&amp;"")</f>
        <v/>
      </c>
      <c r="C1787" s="198" t="inlineStr">
        <is>
          <t>DADOS_INVOC!MT66</t>
        </is>
      </c>
      <c r="D1787" s="198" t="inlineStr">
        <is>
          <t>entrada</t>
        </is>
      </c>
    </row>
    <row r="1788">
      <c r="A1788" s="198" t="inlineStr">
        <is>
          <t>invocacao.5.ext.3.forma</t>
        </is>
      </c>
      <c r="B1788" s="198">
        <f>IF(ISBLANK(DADOS_INVOC!$MU$66),"",DADOS_INVOC!$MU$66&amp;"")</f>
        <v/>
      </c>
      <c r="C1788" s="198" t="inlineStr">
        <is>
          <t>DADOS_INVOC!MU66</t>
        </is>
      </c>
      <c r="D1788" s="198" t="inlineStr">
        <is>
          <t>entrada</t>
        </is>
      </c>
    </row>
    <row r="1789">
      <c r="A1789" s="198" t="inlineStr">
        <is>
          <t>invocacao.5.ext.3.pecas</t>
        </is>
      </c>
      <c r="B1789" s="198">
        <f>TEXTJOIN(" · ",TRUE,DADOS_INVOC!$MX$66,DADOS_INVOC!$MY$66,DADOS_INVOC!$MZ$66,DADOS_INVOC!$NA$66)</f>
        <v/>
      </c>
      <c r="C1789" s="198" t="inlineStr">
        <is>
          <t>DADOS_INVOC!MX66 DADOS_INVOC!MY66 DADOS_INVOC!MZ66 DADOS_INVOC!NA66</t>
        </is>
      </c>
      <c r="D1789" s="198" t="inlineStr">
        <is>
          <t>entrada</t>
        </is>
      </c>
    </row>
    <row r="1790">
      <c r="A1790" s="198" t="inlineStr">
        <is>
          <t>invocacao.5.ext.3.restricoes</t>
        </is>
      </c>
      <c r="B1790" s="198">
        <f>TEXTJOIN(" · ",TRUE,DADOS_INVOC!$NB$66,DADOS_INVOC!$NC$66)</f>
        <v/>
      </c>
      <c r="C1790" s="198" t="inlineStr">
        <is>
          <t>DADOS_INVOC!NB66 DADOS_INVOC!NC66</t>
        </is>
      </c>
      <c r="D1790" s="198" t="inlineStr">
        <is>
          <t>entrada</t>
        </is>
      </c>
    </row>
    <row r="1791">
      <c r="A1791" s="198" t="inlineStr">
        <is>
          <t>invocacao.5.ext.3.pe</t>
        </is>
      </c>
      <c r="B1791" s="198">
        <f>IF(ISBLANK(DADOS_INVOC!$QA$66),"",DADOS_INVOC!$QA$66&amp;"")</f>
        <v/>
      </c>
      <c r="C1791" s="198" t="inlineStr">
        <is>
          <t>DADOS_INVOC!QA66</t>
        </is>
      </c>
      <c r="D1791" s="198" t="inlineStr">
        <is>
          <t>resultado</t>
        </is>
      </c>
    </row>
    <row r="1792">
      <c r="A1792" s="198" t="inlineStr">
        <is>
          <t>invocacao.5.ext.3.dano</t>
        </is>
      </c>
      <c r="B1792" s="198">
        <f>IF(ISBLANK(DADOS_INVOC!$QE$66),"",DADOS_INVOC!$QE$66&amp;"")</f>
        <v/>
      </c>
      <c r="C1792" s="198" t="inlineStr">
        <is>
          <t>DADOS_INVOC!QE66</t>
        </is>
      </c>
      <c r="D1792" s="198" t="inlineStr">
        <is>
          <t>resultado</t>
        </is>
      </c>
    </row>
    <row r="1793">
      <c r="A1793" s="198" t="inlineStr">
        <is>
          <t>invocacao.5.ext.3.erros</t>
        </is>
      </c>
      <c r="B1793" s="198">
        <f>IF(ISBLANK(DADOS_INVOC!$PT$66),"",DADOS_INVOC!$PT$66&amp;"")</f>
        <v/>
      </c>
      <c r="C1793" s="198" t="inlineStr">
        <is>
          <t>DADOS_INVOC!PT66</t>
        </is>
      </c>
      <c r="D1793" s="198" t="inlineStr">
        <is>
          <t>aviso</t>
        </is>
      </c>
    </row>
    <row r="1794">
      <c r="A1794" s="198" t="inlineStr">
        <is>
          <t>invocacao.5.ext.3.avisos</t>
        </is>
      </c>
      <c r="B1794" s="198">
        <f>IF(ISBLANK(DADOS_INVOC!$PV$66),"",DADOS_INVOC!$PV$66&amp;"")</f>
        <v/>
      </c>
      <c r="C1794" s="198" t="inlineStr">
        <is>
          <t>DADOS_INVOC!PV66</t>
        </is>
      </c>
      <c r="D1794" s="198" t="inlineStr">
        <is>
          <t>aviso</t>
        </is>
      </c>
    </row>
    <row r="1795">
      <c r="A1795" s="198" t="inlineStr">
        <is>
          <t>invocacao.6.bas.1.classe</t>
        </is>
      </c>
      <c r="B1795" s="198">
        <f>IF(ISBLANK(DADOS_INVOC!$MS$67),"",DADOS_INVOC!$MS$67&amp;"")</f>
        <v/>
      </c>
      <c r="C1795" s="198" t="inlineStr">
        <is>
          <t>DADOS_INVOC!MS67</t>
        </is>
      </c>
      <c r="D1795" s="198" t="inlineStr">
        <is>
          <t>entrada</t>
        </is>
      </c>
    </row>
    <row r="1796">
      <c r="A1796" s="198" t="inlineStr">
        <is>
          <t>invocacao.6.bas.1.nome</t>
        </is>
      </c>
      <c r="B1796" s="198">
        <f>IF(ISBLANK(DADOS_INVOC!$MT$67),"",DADOS_INVOC!$MT$67&amp;"")</f>
        <v/>
      </c>
      <c r="C1796" s="198" t="inlineStr">
        <is>
          <t>DADOS_INVOC!MT67</t>
        </is>
      </c>
      <c r="D1796" s="198" t="inlineStr">
        <is>
          <t>entrada</t>
        </is>
      </c>
    </row>
    <row r="1797">
      <c r="A1797" s="198" t="inlineStr">
        <is>
          <t>invocacao.6.bas.1.forma</t>
        </is>
      </c>
      <c r="B1797" s="198">
        <f>IF(ISBLANK(DADOS_INVOC!$MU$67),"",DADOS_INVOC!$MU$67&amp;"")</f>
        <v/>
      </c>
      <c r="C1797" s="198" t="inlineStr">
        <is>
          <t>DADOS_INVOC!MU67</t>
        </is>
      </c>
      <c r="D1797" s="198" t="inlineStr">
        <is>
          <t>entrada</t>
        </is>
      </c>
    </row>
    <row r="1798">
      <c r="A1798" s="198" t="inlineStr">
        <is>
          <t>invocacao.6.bas.1.pecas</t>
        </is>
      </c>
      <c r="B1798" s="198">
        <f>TEXTJOIN(" · ",TRUE,DADOS_INVOC!$MX$67,DADOS_INVOC!$MY$67,DADOS_INVOC!$MZ$67,DADOS_INVOC!$NA$67)</f>
        <v/>
      </c>
      <c r="C1798" s="198" t="inlineStr">
        <is>
          <t>DADOS_INVOC!MX67 DADOS_INVOC!MY67 DADOS_INVOC!MZ67 DADOS_INVOC!NA67</t>
        </is>
      </c>
      <c r="D1798" s="198" t="inlineStr">
        <is>
          <t>entrada</t>
        </is>
      </c>
    </row>
    <row r="1799">
      <c r="A1799" s="198" t="inlineStr">
        <is>
          <t>invocacao.6.bas.1.restricoes</t>
        </is>
      </c>
      <c r="B1799" s="198">
        <f>TEXTJOIN(" · ",TRUE,DADOS_INVOC!$NB$67,DADOS_INVOC!$NC$67)</f>
        <v/>
      </c>
      <c r="C1799" s="198" t="inlineStr">
        <is>
          <t>DADOS_INVOC!NB67 DADOS_INVOC!NC67</t>
        </is>
      </c>
      <c r="D1799" s="198" t="inlineStr">
        <is>
          <t>entrada</t>
        </is>
      </c>
    </row>
    <row r="1800">
      <c r="A1800" s="198" t="inlineStr">
        <is>
          <t>invocacao.6.bas.1.pe</t>
        </is>
      </c>
      <c r="B1800" s="198">
        <f>IF(ISBLANK(DADOS_INVOC!$QA$67),"",DADOS_INVOC!$QA$67&amp;"")</f>
        <v/>
      </c>
      <c r="C1800" s="198" t="inlineStr">
        <is>
          <t>DADOS_INVOC!QA67</t>
        </is>
      </c>
      <c r="D1800" s="198" t="inlineStr">
        <is>
          <t>resultado</t>
        </is>
      </c>
    </row>
    <row r="1801">
      <c r="A1801" s="198" t="inlineStr">
        <is>
          <t>invocacao.6.bas.1.dano</t>
        </is>
      </c>
      <c r="B1801" s="198">
        <f>IF(ISBLANK(DADOS_INVOC!$QE$67),"",DADOS_INVOC!$QE$67&amp;"")</f>
        <v/>
      </c>
      <c r="C1801" s="198" t="inlineStr">
        <is>
          <t>DADOS_INVOC!QE67</t>
        </is>
      </c>
      <c r="D1801" s="198" t="inlineStr">
        <is>
          <t>resultado</t>
        </is>
      </c>
    </row>
    <row r="1802">
      <c r="A1802" s="198" t="inlineStr">
        <is>
          <t>invocacao.6.bas.1.erros</t>
        </is>
      </c>
      <c r="B1802" s="198">
        <f>IF(ISBLANK(DADOS_INVOC!$PT$67),"",DADOS_INVOC!$PT$67&amp;"")</f>
        <v/>
      </c>
      <c r="C1802" s="198" t="inlineStr">
        <is>
          <t>DADOS_INVOC!PT67</t>
        </is>
      </c>
      <c r="D1802" s="198" t="inlineStr">
        <is>
          <t>aviso</t>
        </is>
      </c>
    </row>
    <row r="1803">
      <c r="A1803" s="198" t="inlineStr">
        <is>
          <t>invocacao.6.bas.1.avisos</t>
        </is>
      </c>
      <c r="B1803" s="198">
        <f>IF(ISBLANK(DADOS_INVOC!$PV$67),"",DADOS_INVOC!$PV$67&amp;"")</f>
        <v/>
      </c>
      <c r="C1803" s="198" t="inlineStr">
        <is>
          <t>DADOS_INVOC!PV67</t>
        </is>
      </c>
      <c r="D1803" s="198" t="inlineStr">
        <is>
          <t>aviso</t>
        </is>
      </c>
    </row>
    <row r="1804">
      <c r="A1804" s="198" t="inlineStr">
        <is>
          <t>invocacao.6.esp.1.classe</t>
        </is>
      </c>
      <c r="B1804" s="198">
        <f>IF(ISBLANK(DADOS_INVOC!$MS$68),"",DADOS_INVOC!$MS$68&amp;"")</f>
        <v/>
      </c>
      <c r="C1804" s="198" t="inlineStr">
        <is>
          <t>DADOS_INVOC!MS68</t>
        </is>
      </c>
      <c r="D1804" s="198" t="inlineStr">
        <is>
          <t>entrada</t>
        </is>
      </c>
    </row>
    <row r="1805">
      <c r="A1805" s="198" t="inlineStr">
        <is>
          <t>invocacao.6.esp.1.nome</t>
        </is>
      </c>
      <c r="B1805" s="198">
        <f>IF(ISBLANK(DADOS_INVOC!$MT$68),"",DADOS_INVOC!$MT$68&amp;"")</f>
        <v/>
      </c>
      <c r="C1805" s="198" t="inlineStr">
        <is>
          <t>DADOS_INVOC!MT68</t>
        </is>
      </c>
      <c r="D1805" s="198" t="inlineStr">
        <is>
          <t>entrada</t>
        </is>
      </c>
    </row>
    <row r="1806">
      <c r="A1806" s="198" t="inlineStr">
        <is>
          <t>invocacao.6.esp.1.forma</t>
        </is>
      </c>
      <c r="B1806" s="198">
        <f>IF(ISBLANK(DADOS_INVOC!$MU$68),"",DADOS_INVOC!$MU$68&amp;"")</f>
        <v/>
      </c>
      <c r="C1806" s="198" t="inlineStr">
        <is>
          <t>DADOS_INVOC!MU68</t>
        </is>
      </c>
      <c r="D1806" s="198" t="inlineStr">
        <is>
          <t>entrada</t>
        </is>
      </c>
    </row>
    <row r="1807">
      <c r="A1807" s="198" t="inlineStr">
        <is>
          <t>invocacao.6.esp.1.pecas</t>
        </is>
      </c>
      <c r="B1807" s="198">
        <f>TEXTJOIN(" · ",TRUE,DADOS_INVOC!$MX$68,DADOS_INVOC!$MY$68,DADOS_INVOC!$MZ$68,DADOS_INVOC!$NA$68)</f>
        <v/>
      </c>
      <c r="C1807" s="198" t="inlineStr">
        <is>
          <t>DADOS_INVOC!MX68 DADOS_INVOC!MY68 DADOS_INVOC!MZ68 DADOS_INVOC!NA68</t>
        </is>
      </c>
      <c r="D1807" s="198" t="inlineStr">
        <is>
          <t>entrada</t>
        </is>
      </c>
    </row>
    <row r="1808">
      <c r="A1808" s="198" t="inlineStr">
        <is>
          <t>invocacao.6.esp.1.restricoes</t>
        </is>
      </c>
      <c r="B1808" s="198">
        <f>TEXTJOIN(" · ",TRUE,DADOS_INVOC!$NB$68,DADOS_INVOC!$NC$68)</f>
        <v/>
      </c>
      <c r="C1808" s="198" t="inlineStr">
        <is>
          <t>DADOS_INVOC!NB68 DADOS_INVOC!NC68</t>
        </is>
      </c>
      <c r="D1808" s="198" t="inlineStr">
        <is>
          <t>entrada</t>
        </is>
      </c>
    </row>
    <row r="1809">
      <c r="A1809" s="198" t="inlineStr">
        <is>
          <t>invocacao.6.esp.1.pe</t>
        </is>
      </c>
      <c r="B1809" s="198">
        <f>IF(ISBLANK(DADOS_INVOC!$QA$68),"",DADOS_INVOC!$QA$68&amp;"")</f>
        <v/>
      </c>
      <c r="C1809" s="198" t="inlineStr">
        <is>
          <t>DADOS_INVOC!QA68</t>
        </is>
      </c>
      <c r="D1809" s="198" t="inlineStr">
        <is>
          <t>resultado</t>
        </is>
      </c>
    </row>
    <row r="1810">
      <c r="A1810" s="198" t="inlineStr">
        <is>
          <t>invocacao.6.esp.1.dano</t>
        </is>
      </c>
      <c r="B1810" s="198">
        <f>IF(ISBLANK(DADOS_INVOC!$QE$68),"",DADOS_INVOC!$QE$68&amp;"")</f>
        <v/>
      </c>
      <c r="C1810" s="198" t="inlineStr">
        <is>
          <t>DADOS_INVOC!QE68</t>
        </is>
      </c>
      <c r="D1810" s="198" t="inlineStr">
        <is>
          <t>resultado</t>
        </is>
      </c>
    </row>
    <row r="1811">
      <c r="A1811" s="198" t="inlineStr">
        <is>
          <t>invocacao.6.esp.1.erros</t>
        </is>
      </c>
      <c r="B1811" s="198">
        <f>IF(ISBLANK(DADOS_INVOC!$PT$68),"",DADOS_INVOC!$PT$68&amp;"")</f>
        <v/>
      </c>
      <c r="C1811" s="198" t="inlineStr">
        <is>
          <t>DADOS_INVOC!PT68</t>
        </is>
      </c>
      <c r="D1811" s="198" t="inlineStr">
        <is>
          <t>aviso</t>
        </is>
      </c>
    </row>
    <row r="1812">
      <c r="A1812" s="198" t="inlineStr">
        <is>
          <t>invocacao.6.esp.1.avisos</t>
        </is>
      </c>
      <c r="B1812" s="198">
        <f>IF(ISBLANK(DADOS_INVOC!$PV$68),"",DADOS_INVOC!$PV$68&amp;"")</f>
        <v/>
      </c>
      <c r="C1812" s="198" t="inlineStr">
        <is>
          <t>DADOS_INVOC!PV68</t>
        </is>
      </c>
      <c r="D1812" s="198" t="inlineStr">
        <is>
          <t>aviso</t>
        </is>
      </c>
    </row>
    <row r="1813">
      <c r="A1813" s="198" t="inlineStr">
        <is>
          <t>invocacao.6.esp.2.classe</t>
        </is>
      </c>
      <c r="B1813" s="198">
        <f>IF(ISBLANK(DADOS_INVOC!$MS$69),"",DADOS_INVOC!$MS$69&amp;"")</f>
        <v/>
      </c>
      <c r="C1813" s="198" t="inlineStr">
        <is>
          <t>DADOS_INVOC!MS69</t>
        </is>
      </c>
      <c r="D1813" s="198" t="inlineStr">
        <is>
          <t>entrada</t>
        </is>
      </c>
    </row>
    <row r="1814">
      <c r="A1814" s="198" t="inlineStr">
        <is>
          <t>invocacao.6.esp.2.nome</t>
        </is>
      </c>
      <c r="B1814" s="198">
        <f>IF(ISBLANK(DADOS_INVOC!$MT$69),"",DADOS_INVOC!$MT$69&amp;"")</f>
        <v/>
      </c>
      <c r="C1814" s="198" t="inlineStr">
        <is>
          <t>DADOS_INVOC!MT69</t>
        </is>
      </c>
      <c r="D1814" s="198" t="inlineStr">
        <is>
          <t>entrada</t>
        </is>
      </c>
    </row>
    <row r="1815">
      <c r="A1815" s="198" t="inlineStr">
        <is>
          <t>invocacao.6.esp.2.forma</t>
        </is>
      </c>
      <c r="B1815" s="198">
        <f>IF(ISBLANK(DADOS_INVOC!$MU$69),"",DADOS_INVOC!$MU$69&amp;"")</f>
        <v/>
      </c>
      <c r="C1815" s="198" t="inlineStr">
        <is>
          <t>DADOS_INVOC!MU69</t>
        </is>
      </c>
      <c r="D1815" s="198" t="inlineStr">
        <is>
          <t>entrada</t>
        </is>
      </c>
    </row>
    <row r="1816">
      <c r="A1816" s="198" t="inlineStr">
        <is>
          <t>invocacao.6.esp.2.pecas</t>
        </is>
      </c>
      <c r="B1816" s="198">
        <f>TEXTJOIN(" · ",TRUE,DADOS_INVOC!$MX$69,DADOS_INVOC!$MY$69,DADOS_INVOC!$MZ$69,DADOS_INVOC!$NA$69)</f>
        <v/>
      </c>
      <c r="C1816" s="198" t="inlineStr">
        <is>
          <t>DADOS_INVOC!MX69 DADOS_INVOC!MY69 DADOS_INVOC!MZ69 DADOS_INVOC!NA69</t>
        </is>
      </c>
      <c r="D1816" s="198" t="inlineStr">
        <is>
          <t>entrada</t>
        </is>
      </c>
    </row>
    <row r="1817">
      <c r="A1817" s="198" t="inlineStr">
        <is>
          <t>invocacao.6.esp.2.restricoes</t>
        </is>
      </c>
      <c r="B1817" s="198">
        <f>TEXTJOIN(" · ",TRUE,DADOS_INVOC!$NB$69,DADOS_INVOC!$NC$69)</f>
        <v/>
      </c>
      <c r="C1817" s="198" t="inlineStr">
        <is>
          <t>DADOS_INVOC!NB69 DADOS_INVOC!NC69</t>
        </is>
      </c>
      <c r="D1817" s="198" t="inlineStr">
        <is>
          <t>entrada</t>
        </is>
      </c>
    </row>
    <row r="1818">
      <c r="A1818" s="198" t="inlineStr">
        <is>
          <t>invocacao.6.esp.2.pe</t>
        </is>
      </c>
      <c r="B1818" s="198">
        <f>IF(ISBLANK(DADOS_INVOC!$QA$69),"",DADOS_INVOC!$QA$69&amp;"")</f>
        <v/>
      </c>
      <c r="C1818" s="198" t="inlineStr">
        <is>
          <t>DADOS_INVOC!QA69</t>
        </is>
      </c>
      <c r="D1818" s="198" t="inlineStr">
        <is>
          <t>resultado</t>
        </is>
      </c>
    </row>
    <row r="1819">
      <c r="A1819" s="198" t="inlineStr">
        <is>
          <t>invocacao.6.esp.2.dano</t>
        </is>
      </c>
      <c r="B1819" s="198">
        <f>IF(ISBLANK(DADOS_INVOC!$QE$69),"",DADOS_INVOC!$QE$69&amp;"")</f>
        <v/>
      </c>
      <c r="C1819" s="198" t="inlineStr">
        <is>
          <t>DADOS_INVOC!QE69</t>
        </is>
      </c>
      <c r="D1819" s="198" t="inlineStr">
        <is>
          <t>resultado</t>
        </is>
      </c>
    </row>
    <row r="1820">
      <c r="A1820" s="198" t="inlineStr">
        <is>
          <t>invocacao.6.esp.2.erros</t>
        </is>
      </c>
      <c r="B1820" s="198">
        <f>IF(ISBLANK(DADOS_INVOC!$PT$69),"",DADOS_INVOC!$PT$69&amp;"")</f>
        <v/>
      </c>
      <c r="C1820" s="198" t="inlineStr">
        <is>
          <t>DADOS_INVOC!PT69</t>
        </is>
      </c>
      <c r="D1820" s="198" t="inlineStr">
        <is>
          <t>aviso</t>
        </is>
      </c>
    </row>
    <row r="1821">
      <c r="A1821" s="198" t="inlineStr">
        <is>
          <t>invocacao.6.esp.2.avisos</t>
        </is>
      </c>
      <c r="B1821" s="198">
        <f>IF(ISBLANK(DADOS_INVOC!$PV$69),"",DADOS_INVOC!$PV$69&amp;"")</f>
        <v/>
      </c>
      <c r="C1821" s="198" t="inlineStr">
        <is>
          <t>DADOS_INVOC!PV69</t>
        </is>
      </c>
      <c r="D1821" s="198" t="inlineStr">
        <is>
          <t>aviso</t>
        </is>
      </c>
    </row>
    <row r="1822">
      <c r="A1822" s="198" t="inlineStr">
        <is>
          <t>invocacao.6.bas.2.classe</t>
        </is>
      </c>
      <c r="B1822" s="198">
        <f>IF(ISBLANK(DADOS_INVOC!$MS$70),"",DADOS_INVOC!$MS$70&amp;"")</f>
        <v/>
      </c>
      <c r="C1822" s="198" t="inlineStr">
        <is>
          <t>DADOS_INVOC!MS70</t>
        </is>
      </c>
      <c r="D1822" s="198" t="inlineStr">
        <is>
          <t>entrada</t>
        </is>
      </c>
    </row>
    <row r="1823">
      <c r="A1823" s="198" t="inlineStr">
        <is>
          <t>invocacao.6.bas.2.nome</t>
        </is>
      </c>
      <c r="B1823" s="198">
        <f>IF(ISBLANK(DADOS_INVOC!$MT$70),"",DADOS_INVOC!$MT$70&amp;"")</f>
        <v/>
      </c>
      <c r="C1823" s="198" t="inlineStr">
        <is>
          <t>DADOS_INVOC!MT70</t>
        </is>
      </c>
      <c r="D1823" s="198" t="inlineStr">
        <is>
          <t>entrada</t>
        </is>
      </c>
    </row>
    <row r="1824">
      <c r="A1824" s="198" t="inlineStr">
        <is>
          <t>invocacao.6.bas.2.forma</t>
        </is>
      </c>
      <c r="B1824" s="198">
        <f>IF(ISBLANK(DADOS_INVOC!$MU$70),"",DADOS_INVOC!$MU$70&amp;"")</f>
        <v/>
      </c>
      <c r="C1824" s="198" t="inlineStr">
        <is>
          <t>DADOS_INVOC!MU70</t>
        </is>
      </c>
      <c r="D1824" s="198" t="inlineStr">
        <is>
          <t>entrada</t>
        </is>
      </c>
    </row>
    <row r="1825">
      <c r="A1825" s="198" t="inlineStr">
        <is>
          <t>invocacao.6.bas.2.pecas</t>
        </is>
      </c>
      <c r="B1825" s="198">
        <f>TEXTJOIN(" · ",TRUE,DADOS_INVOC!$MX$70,DADOS_INVOC!$MY$70,DADOS_INVOC!$MZ$70,DADOS_INVOC!$NA$70)</f>
        <v/>
      </c>
      <c r="C1825" s="198" t="inlineStr">
        <is>
          <t>DADOS_INVOC!MX70 DADOS_INVOC!MY70 DADOS_INVOC!MZ70 DADOS_INVOC!NA70</t>
        </is>
      </c>
      <c r="D1825" s="198" t="inlineStr">
        <is>
          <t>entrada</t>
        </is>
      </c>
    </row>
    <row r="1826">
      <c r="A1826" s="198" t="inlineStr">
        <is>
          <t>invocacao.6.bas.2.restricoes</t>
        </is>
      </c>
      <c r="B1826" s="198">
        <f>TEXTJOIN(" · ",TRUE,DADOS_INVOC!$NB$70,DADOS_INVOC!$NC$70)</f>
        <v/>
      </c>
      <c r="C1826" s="198" t="inlineStr">
        <is>
          <t>DADOS_INVOC!NB70 DADOS_INVOC!NC70</t>
        </is>
      </c>
      <c r="D1826" s="198" t="inlineStr">
        <is>
          <t>entrada</t>
        </is>
      </c>
    </row>
    <row r="1827">
      <c r="A1827" s="198" t="inlineStr">
        <is>
          <t>invocacao.6.bas.2.pe</t>
        </is>
      </c>
      <c r="B1827" s="198">
        <f>IF(ISBLANK(DADOS_INVOC!$QA$70),"",DADOS_INVOC!$QA$70&amp;"")</f>
        <v/>
      </c>
      <c r="C1827" s="198" t="inlineStr">
        <is>
          <t>DADOS_INVOC!QA70</t>
        </is>
      </c>
      <c r="D1827" s="198" t="inlineStr">
        <is>
          <t>resultado</t>
        </is>
      </c>
    </row>
    <row r="1828">
      <c r="A1828" s="198" t="inlineStr">
        <is>
          <t>invocacao.6.bas.2.dano</t>
        </is>
      </c>
      <c r="B1828" s="198">
        <f>IF(ISBLANK(DADOS_INVOC!$QE$70),"",DADOS_INVOC!$QE$70&amp;"")</f>
        <v/>
      </c>
      <c r="C1828" s="198" t="inlineStr">
        <is>
          <t>DADOS_INVOC!QE70</t>
        </is>
      </c>
      <c r="D1828" s="198" t="inlineStr">
        <is>
          <t>resultado</t>
        </is>
      </c>
    </row>
    <row r="1829">
      <c r="A1829" s="198" t="inlineStr">
        <is>
          <t>invocacao.6.bas.2.erros</t>
        </is>
      </c>
      <c r="B1829" s="198">
        <f>IF(ISBLANK(DADOS_INVOC!$PT$70),"",DADOS_INVOC!$PT$70&amp;"")</f>
        <v/>
      </c>
      <c r="C1829" s="198" t="inlineStr">
        <is>
          <t>DADOS_INVOC!PT70</t>
        </is>
      </c>
      <c r="D1829" s="198" t="inlineStr">
        <is>
          <t>aviso</t>
        </is>
      </c>
    </row>
    <row r="1830">
      <c r="A1830" s="198" t="inlineStr">
        <is>
          <t>invocacao.6.bas.2.avisos</t>
        </is>
      </c>
      <c r="B1830" s="198">
        <f>IF(ISBLANK(DADOS_INVOC!$PV$70),"",DADOS_INVOC!$PV$70&amp;"")</f>
        <v/>
      </c>
      <c r="C1830" s="198" t="inlineStr">
        <is>
          <t>DADOS_INVOC!PV70</t>
        </is>
      </c>
      <c r="D1830" s="198" t="inlineStr">
        <is>
          <t>aviso</t>
        </is>
      </c>
    </row>
    <row r="1831">
      <c r="A1831" s="198" t="inlineStr">
        <is>
          <t>invocacao.6.esp.3.classe</t>
        </is>
      </c>
      <c r="B1831" s="198">
        <f>IF(ISBLANK(DADOS_INVOC!$MS$71),"",DADOS_INVOC!$MS$71&amp;"")</f>
        <v/>
      </c>
      <c r="C1831" s="198" t="inlineStr">
        <is>
          <t>DADOS_INVOC!MS71</t>
        </is>
      </c>
      <c r="D1831" s="198" t="inlineStr">
        <is>
          <t>entrada</t>
        </is>
      </c>
    </row>
    <row r="1832">
      <c r="A1832" s="198" t="inlineStr">
        <is>
          <t>invocacao.6.esp.3.nome</t>
        </is>
      </c>
      <c r="B1832" s="198">
        <f>IF(ISBLANK(DADOS_INVOC!$MT$71),"",DADOS_INVOC!$MT$71&amp;"")</f>
        <v/>
      </c>
      <c r="C1832" s="198" t="inlineStr">
        <is>
          <t>DADOS_INVOC!MT71</t>
        </is>
      </c>
      <c r="D1832" s="198" t="inlineStr">
        <is>
          <t>entrada</t>
        </is>
      </c>
    </row>
    <row r="1833">
      <c r="A1833" s="198" t="inlineStr">
        <is>
          <t>invocacao.6.esp.3.forma</t>
        </is>
      </c>
      <c r="B1833" s="198">
        <f>IF(ISBLANK(DADOS_INVOC!$MU$71),"",DADOS_INVOC!$MU$71&amp;"")</f>
        <v/>
      </c>
      <c r="C1833" s="198" t="inlineStr">
        <is>
          <t>DADOS_INVOC!MU71</t>
        </is>
      </c>
      <c r="D1833" s="198" t="inlineStr">
        <is>
          <t>entrada</t>
        </is>
      </c>
    </row>
    <row r="1834">
      <c r="A1834" s="198" t="inlineStr">
        <is>
          <t>invocacao.6.esp.3.pecas</t>
        </is>
      </c>
      <c r="B1834" s="198">
        <f>TEXTJOIN(" · ",TRUE,DADOS_INVOC!$MX$71,DADOS_INVOC!$MY$71,DADOS_INVOC!$MZ$71,DADOS_INVOC!$NA$71)</f>
        <v/>
      </c>
      <c r="C1834" s="198" t="inlineStr">
        <is>
          <t>DADOS_INVOC!MX71 DADOS_INVOC!MY71 DADOS_INVOC!MZ71 DADOS_INVOC!NA71</t>
        </is>
      </c>
      <c r="D1834" s="198" t="inlineStr">
        <is>
          <t>entrada</t>
        </is>
      </c>
    </row>
    <row r="1835">
      <c r="A1835" s="198" t="inlineStr">
        <is>
          <t>invocacao.6.esp.3.restricoes</t>
        </is>
      </c>
      <c r="B1835" s="198">
        <f>TEXTJOIN(" · ",TRUE,DADOS_INVOC!$NB$71,DADOS_INVOC!$NC$71)</f>
        <v/>
      </c>
      <c r="C1835" s="198" t="inlineStr">
        <is>
          <t>DADOS_INVOC!NB71 DADOS_INVOC!NC71</t>
        </is>
      </c>
      <c r="D1835" s="198" t="inlineStr">
        <is>
          <t>entrada</t>
        </is>
      </c>
    </row>
    <row r="1836">
      <c r="A1836" s="198" t="inlineStr">
        <is>
          <t>invocacao.6.esp.3.pe</t>
        </is>
      </c>
      <c r="B1836" s="198">
        <f>IF(ISBLANK(DADOS_INVOC!$QA$71),"",DADOS_INVOC!$QA$71&amp;"")</f>
        <v/>
      </c>
      <c r="C1836" s="198" t="inlineStr">
        <is>
          <t>DADOS_INVOC!QA71</t>
        </is>
      </c>
      <c r="D1836" s="198" t="inlineStr">
        <is>
          <t>resultado</t>
        </is>
      </c>
    </row>
    <row r="1837">
      <c r="A1837" s="198" t="inlineStr">
        <is>
          <t>invocacao.6.esp.3.dano</t>
        </is>
      </c>
      <c r="B1837" s="198">
        <f>IF(ISBLANK(DADOS_INVOC!$QE$71),"",DADOS_INVOC!$QE$71&amp;"")</f>
        <v/>
      </c>
      <c r="C1837" s="198" t="inlineStr">
        <is>
          <t>DADOS_INVOC!QE71</t>
        </is>
      </c>
      <c r="D1837" s="198" t="inlineStr">
        <is>
          <t>resultado</t>
        </is>
      </c>
    </row>
    <row r="1838">
      <c r="A1838" s="198" t="inlineStr">
        <is>
          <t>invocacao.6.esp.3.erros</t>
        </is>
      </c>
      <c r="B1838" s="198">
        <f>IF(ISBLANK(DADOS_INVOC!$PT$71),"",DADOS_INVOC!$PT$71&amp;"")</f>
        <v/>
      </c>
      <c r="C1838" s="198" t="inlineStr">
        <is>
          <t>DADOS_INVOC!PT71</t>
        </is>
      </c>
      <c r="D1838" s="198" t="inlineStr">
        <is>
          <t>aviso</t>
        </is>
      </c>
    </row>
    <row r="1839">
      <c r="A1839" s="198" t="inlineStr">
        <is>
          <t>invocacao.6.esp.3.avisos</t>
        </is>
      </c>
      <c r="B1839" s="198">
        <f>IF(ISBLANK(DADOS_INVOC!$PV$71),"",DADOS_INVOC!$PV$71&amp;"")</f>
        <v/>
      </c>
      <c r="C1839" s="198" t="inlineStr">
        <is>
          <t>DADOS_INVOC!PV71</t>
        </is>
      </c>
      <c r="D1839" s="198" t="inlineStr">
        <is>
          <t>aviso</t>
        </is>
      </c>
    </row>
    <row r="1840">
      <c r="A1840" s="198" t="inlineStr">
        <is>
          <t>invocacao.6.esp.4.classe</t>
        </is>
      </c>
      <c r="B1840" s="198">
        <f>IF(ISBLANK(DADOS_INVOC!$MS$72),"",DADOS_INVOC!$MS$72&amp;"")</f>
        <v/>
      </c>
      <c r="C1840" s="198" t="inlineStr">
        <is>
          <t>DADOS_INVOC!MS72</t>
        </is>
      </c>
      <c r="D1840" s="198" t="inlineStr">
        <is>
          <t>entrada</t>
        </is>
      </c>
    </row>
    <row r="1841">
      <c r="A1841" s="198" t="inlineStr">
        <is>
          <t>invocacao.6.esp.4.nome</t>
        </is>
      </c>
      <c r="B1841" s="198">
        <f>IF(ISBLANK(DADOS_INVOC!$MT$72),"",DADOS_INVOC!$MT$72&amp;"")</f>
        <v/>
      </c>
      <c r="C1841" s="198" t="inlineStr">
        <is>
          <t>DADOS_INVOC!MT72</t>
        </is>
      </c>
      <c r="D1841" s="198" t="inlineStr">
        <is>
          <t>entrada</t>
        </is>
      </c>
    </row>
    <row r="1842">
      <c r="A1842" s="198" t="inlineStr">
        <is>
          <t>invocacao.6.esp.4.forma</t>
        </is>
      </c>
      <c r="B1842" s="198">
        <f>IF(ISBLANK(DADOS_INVOC!$MU$72),"",DADOS_INVOC!$MU$72&amp;"")</f>
        <v/>
      </c>
      <c r="C1842" s="198" t="inlineStr">
        <is>
          <t>DADOS_INVOC!MU72</t>
        </is>
      </c>
      <c r="D1842" s="198" t="inlineStr">
        <is>
          <t>entrada</t>
        </is>
      </c>
    </row>
    <row r="1843">
      <c r="A1843" s="198" t="inlineStr">
        <is>
          <t>invocacao.6.esp.4.pecas</t>
        </is>
      </c>
      <c r="B1843" s="198">
        <f>TEXTJOIN(" · ",TRUE,DADOS_INVOC!$MX$72,DADOS_INVOC!$MY$72,DADOS_INVOC!$MZ$72,DADOS_INVOC!$NA$72)</f>
        <v/>
      </c>
      <c r="C1843" s="198" t="inlineStr">
        <is>
          <t>DADOS_INVOC!MX72 DADOS_INVOC!MY72 DADOS_INVOC!MZ72 DADOS_INVOC!NA72</t>
        </is>
      </c>
      <c r="D1843" s="198" t="inlineStr">
        <is>
          <t>entrada</t>
        </is>
      </c>
    </row>
    <row r="1844">
      <c r="A1844" s="198" t="inlineStr">
        <is>
          <t>invocacao.6.esp.4.restricoes</t>
        </is>
      </c>
      <c r="B1844" s="198">
        <f>TEXTJOIN(" · ",TRUE,DADOS_INVOC!$NB$72,DADOS_INVOC!$NC$72)</f>
        <v/>
      </c>
      <c r="C1844" s="198" t="inlineStr">
        <is>
          <t>DADOS_INVOC!NB72 DADOS_INVOC!NC72</t>
        </is>
      </c>
      <c r="D1844" s="198" t="inlineStr">
        <is>
          <t>entrada</t>
        </is>
      </c>
    </row>
    <row r="1845">
      <c r="A1845" s="198" t="inlineStr">
        <is>
          <t>invocacao.6.esp.4.pe</t>
        </is>
      </c>
      <c r="B1845" s="198">
        <f>IF(ISBLANK(DADOS_INVOC!$QA$72),"",DADOS_INVOC!$QA$72&amp;"")</f>
        <v/>
      </c>
      <c r="C1845" s="198" t="inlineStr">
        <is>
          <t>DADOS_INVOC!QA72</t>
        </is>
      </c>
      <c r="D1845" s="198" t="inlineStr">
        <is>
          <t>resultado</t>
        </is>
      </c>
    </row>
    <row r="1846">
      <c r="A1846" s="198" t="inlineStr">
        <is>
          <t>invocacao.6.esp.4.dano</t>
        </is>
      </c>
      <c r="B1846" s="198">
        <f>IF(ISBLANK(DADOS_INVOC!$QE$72),"",DADOS_INVOC!$QE$72&amp;"")</f>
        <v/>
      </c>
      <c r="C1846" s="198" t="inlineStr">
        <is>
          <t>DADOS_INVOC!QE72</t>
        </is>
      </c>
      <c r="D1846" s="198" t="inlineStr">
        <is>
          <t>resultado</t>
        </is>
      </c>
    </row>
    <row r="1847">
      <c r="A1847" s="198" t="inlineStr">
        <is>
          <t>invocacao.6.esp.4.erros</t>
        </is>
      </c>
      <c r="B1847" s="198">
        <f>IF(ISBLANK(DADOS_INVOC!$PT$72),"",DADOS_INVOC!$PT$72&amp;"")</f>
        <v/>
      </c>
      <c r="C1847" s="198" t="inlineStr">
        <is>
          <t>DADOS_INVOC!PT72</t>
        </is>
      </c>
      <c r="D1847" s="198" t="inlineStr">
        <is>
          <t>aviso</t>
        </is>
      </c>
    </row>
    <row r="1848">
      <c r="A1848" s="198" t="inlineStr">
        <is>
          <t>invocacao.6.esp.4.avisos</t>
        </is>
      </c>
      <c r="B1848" s="198">
        <f>IF(ISBLANK(DADOS_INVOC!$PV$72),"",DADOS_INVOC!$PV$72&amp;"")</f>
        <v/>
      </c>
      <c r="C1848" s="198" t="inlineStr">
        <is>
          <t>DADOS_INVOC!PV72</t>
        </is>
      </c>
      <c r="D1848" s="198" t="inlineStr">
        <is>
          <t>aviso</t>
        </is>
      </c>
    </row>
    <row r="1849">
      <c r="A1849" s="198" t="inlineStr">
        <is>
          <t>invocacao.6.esp.5.classe</t>
        </is>
      </c>
      <c r="B1849" s="198">
        <f>IF(ISBLANK(DADOS_INVOC!$MS$73),"",DADOS_INVOC!$MS$73&amp;"")</f>
        <v/>
      </c>
      <c r="C1849" s="198" t="inlineStr">
        <is>
          <t>DADOS_INVOC!MS73</t>
        </is>
      </c>
      <c r="D1849" s="198" t="inlineStr">
        <is>
          <t>entrada</t>
        </is>
      </c>
    </row>
    <row r="1850">
      <c r="A1850" s="198" t="inlineStr">
        <is>
          <t>invocacao.6.esp.5.nome</t>
        </is>
      </c>
      <c r="B1850" s="198">
        <f>IF(ISBLANK(DADOS_INVOC!$MT$73),"",DADOS_INVOC!$MT$73&amp;"")</f>
        <v/>
      </c>
      <c r="C1850" s="198" t="inlineStr">
        <is>
          <t>DADOS_INVOC!MT73</t>
        </is>
      </c>
      <c r="D1850" s="198" t="inlineStr">
        <is>
          <t>entrada</t>
        </is>
      </c>
    </row>
    <row r="1851">
      <c r="A1851" s="198" t="inlineStr">
        <is>
          <t>invocacao.6.esp.5.forma</t>
        </is>
      </c>
      <c r="B1851" s="198">
        <f>IF(ISBLANK(DADOS_INVOC!$MU$73),"",DADOS_INVOC!$MU$73&amp;"")</f>
        <v/>
      </c>
      <c r="C1851" s="198" t="inlineStr">
        <is>
          <t>DADOS_INVOC!MU73</t>
        </is>
      </c>
      <c r="D1851" s="198" t="inlineStr">
        <is>
          <t>entrada</t>
        </is>
      </c>
    </row>
    <row r="1852">
      <c r="A1852" s="198" t="inlineStr">
        <is>
          <t>invocacao.6.esp.5.pecas</t>
        </is>
      </c>
      <c r="B1852" s="198">
        <f>TEXTJOIN(" · ",TRUE,DADOS_INVOC!$MX$73,DADOS_INVOC!$MY$73,DADOS_INVOC!$MZ$73,DADOS_INVOC!$NA$73)</f>
        <v/>
      </c>
      <c r="C1852" s="198" t="inlineStr">
        <is>
          <t>DADOS_INVOC!MX73 DADOS_INVOC!MY73 DADOS_INVOC!MZ73 DADOS_INVOC!NA73</t>
        </is>
      </c>
      <c r="D1852" s="198" t="inlineStr">
        <is>
          <t>entrada</t>
        </is>
      </c>
    </row>
    <row r="1853">
      <c r="A1853" s="198" t="inlineStr">
        <is>
          <t>invocacao.6.esp.5.restricoes</t>
        </is>
      </c>
      <c r="B1853" s="198">
        <f>TEXTJOIN(" · ",TRUE,DADOS_INVOC!$NB$73,DADOS_INVOC!$NC$73)</f>
        <v/>
      </c>
      <c r="C1853" s="198" t="inlineStr">
        <is>
          <t>DADOS_INVOC!NB73 DADOS_INVOC!NC73</t>
        </is>
      </c>
      <c r="D1853" s="198" t="inlineStr">
        <is>
          <t>entrada</t>
        </is>
      </c>
    </row>
    <row r="1854">
      <c r="A1854" s="198" t="inlineStr">
        <is>
          <t>invocacao.6.esp.5.pe</t>
        </is>
      </c>
      <c r="B1854" s="198">
        <f>IF(ISBLANK(DADOS_INVOC!$QA$73),"",DADOS_INVOC!$QA$73&amp;"")</f>
        <v/>
      </c>
      <c r="C1854" s="198" t="inlineStr">
        <is>
          <t>DADOS_INVOC!QA73</t>
        </is>
      </c>
      <c r="D1854" s="198" t="inlineStr">
        <is>
          <t>resultado</t>
        </is>
      </c>
    </row>
    <row r="1855">
      <c r="A1855" s="198" t="inlineStr">
        <is>
          <t>invocacao.6.esp.5.dano</t>
        </is>
      </c>
      <c r="B1855" s="198">
        <f>IF(ISBLANK(DADOS_INVOC!$QE$73),"",DADOS_INVOC!$QE$73&amp;"")</f>
        <v/>
      </c>
      <c r="C1855" s="198" t="inlineStr">
        <is>
          <t>DADOS_INVOC!QE73</t>
        </is>
      </c>
      <c r="D1855" s="198" t="inlineStr">
        <is>
          <t>resultado</t>
        </is>
      </c>
    </row>
    <row r="1856">
      <c r="A1856" s="198" t="inlineStr">
        <is>
          <t>invocacao.6.esp.5.erros</t>
        </is>
      </c>
      <c r="B1856" s="198">
        <f>IF(ISBLANK(DADOS_INVOC!$PT$73),"",DADOS_INVOC!$PT$73&amp;"")</f>
        <v/>
      </c>
      <c r="C1856" s="198" t="inlineStr">
        <is>
          <t>DADOS_INVOC!PT73</t>
        </is>
      </c>
      <c r="D1856" s="198" t="inlineStr">
        <is>
          <t>aviso</t>
        </is>
      </c>
    </row>
    <row r="1857">
      <c r="A1857" s="198" t="inlineStr">
        <is>
          <t>invocacao.6.esp.5.avisos</t>
        </is>
      </c>
      <c r="B1857" s="198">
        <f>IF(ISBLANK(DADOS_INVOC!$PV$73),"",DADOS_INVOC!$PV$73&amp;"")</f>
        <v/>
      </c>
      <c r="C1857" s="198" t="inlineStr">
        <is>
          <t>DADOS_INVOC!PV73</t>
        </is>
      </c>
      <c r="D1857" s="198" t="inlineStr">
        <is>
          <t>aviso</t>
        </is>
      </c>
    </row>
    <row r="1858">
      <c r="A1858" s="198" t="inlineStr">
        <is>
          <t>invocacao.6.esp.6.classe</t>
        </is>
      </c>
      <c r="B1858" s="198">
        <f>IF(ISBLANK(DADOS_INVOC!$MS$74),"",DADOS_INVOC!$MS$74&amp;"")</f>
        <v/>
      </c>
      <c r="C1858" s="198" t="inlineStr">
        <is>
          <t>DADOS_INVOC!MS74</t>
        </is>
      </c>
      <c r="D1858" s="198" t="inlineStr">
        <is>
          <t>entrada</t>
        </is>
      </c>
    </row>
    <row r="1859">
      <c r="A1859" s="198" t="inlineStr">
        <is>
          <t>invocacao.6.esp.6.nome</t>
        </is>
      </c>
      <c r="B1859" s="198">
        <f>IF(ISBLANK(DADOS_INVOC!$MT$74),"",DADOS_INVOC!$MT$74&amp;"")</f>
        <v/>
      </c>
      <c r="C1859" s="198" t="inlineStr">
        <is>
          <t>DADOS_INVOC!MT74</t>
        </is>
      </c>
      <c r="D1859" s="198" t="inlineStr">
        <is>
          <t>entrada</t>
        </is>
      </c>
    </row>
    <row r="1860">
      <c r="A1860" s="198" t="inlineStr">
        <is>
          <t>invocacao.6.esp.6.forma</t>
        </is>
      </c>
      <c r="B1860" s="198">
        <f>IF(ISBLANK(DADOS_INVOC!$MU$74),"",DADOS_INVOC!$MU$74&amp;"")</f>
        <v/>
      </c>
      <c r="C1860" s="198" t="inlineStr">
        <is>
          <t>DADOS_INVOC!MU74</t>
        </is>
      </c>
      <c r="D1860" s="198" t="inlineStr">
        <is>
          <t>entrada</t>
        </is>
      </c>
    </row>
    <row r="1861">
      <c r="A1861" s="198" t="inlineStr">
        <is>
          <t>invocacao.6.esp.6.pecas</t>
        </is>
      </c>
      <c r="B1861" s="198">
        <f>TEXTJOIN(" · ",TRUE,DADOS_INVOC!$MX$74,DADOS_INVOC!$MY$74,DADOS_INVOC!$MZ$74,DADOS_INVOC!$NA$74)</f>
        <v/>
      </c>
      <c r="C1861" s="198" t="inlineStr">
        <is>
          <t>DADOS_INVOC!MX74 DADOS_INVOC!MY74 DADOS_INVOC!MZ74 DADOS_INVOC!NA74</t>
        </is>
      </c>
      <c r="D1861" s="198" t="inlineStr">
        <is>
          <t>entrada</t>
        </is>
      </c>
    </row>
    <row r="1862">
      <c r="A1862" s="198" t="inlineStr">
        <is>
          <t>invocacao.6.esp.6.restricoes</t>
        </is>
      </c>
      <c r="B1862" s="198">
        <f>TEXTJOIN(" · ",TRUE,DADOS_INVOC!$NB$74,DADOS_INVOC!$NC$74)</f>
        <v/>
      </c>
      <c r="C1862" s="198" t="inlineStr">
        <is>
          <t>DADOS_INVOC!NB74 DADOS_INVOC!NC74</t>
        </is>
      </c>
      <c r="D1862" s="198" t="inlineStr">
        <is>
          <t>entrada</t>
        </is>
      </c>
    </row>
    <row r="1863">
      <c r="A1863" s="198" t="inlineStr">
        <is>
          <t>invocacao.6.esp.6.pe</t>
        </is>
      </c>
      <c r="B1863" s="198">
        <f>IF(ISBLANK(DADOS_INVOC!$QA$74),"",DADOS_INVOC!$QA$74&amp;"")</f>
        <v/>
      </c>
      <c r="C1863" s="198" t="inlineStr">
        <is>
          <t>DADOS_INVOC!QA74</t>
        </is>
      </c>
      <c r="D1863" s="198" t="inlineStr">
        <is>
          <t>resultado</t>
        </is>
      </c>
    </row>
    <row r="1864">
      <c r="A1864" s="198" t="inlineStr">
        <is>
          <t>invocacao.6.esp.6.dano</t>
        </is>
      </c>
      <c r="B1864" s="198">
        <f>IF(ISBLANK(DADOS_INVOC!$QE$74),"",DADOS_INVOC!$QE$74&amp;"")</f>
        <v/>
      </c>
      <c r="C1864" s="198" t="inlineStr">
        <is>
          <t>DADOS_INVOC!QE74</t>
        </is>
      </c>
      <c r="D1864" s="198" t="inlineStr">
        <is>
          <t>resultado</t>
        </is>
      </c>
    </row>
    <row r="1865">
      <c r="A1865" s="198" t="inlineStr">
        <is>
          <t>invocacao.6.esp.6.erros</t>
        </is>
      </c>
      <c r="B1865" s="198">
        <f>IF(ISBLANK(DADOS_INVOC!$PT$74),"",DADOS_INVOC!$PT$74&amp;"")</f>
        <v/>
      </c>
      <c r="C1865" s="198" t="inlineStr">
        <is>
          <t>DADOS_INVOC!PT74</t>
        </is>
      </c>
      <c r="D1865" s="198" t="inlineStr">
        <is>
          <t>aviso</t>
        </is>
      </c>
    </row>
    <row r="1866">
      <c r="A1866" s="198" t="inlineStr">
        <is>
          <t>invocacao.6.esp.6.avisos</t>
        </is>
      </c>
      <c r="B1866" s="198">
        <f>IF(ISBLANK(DADOS_INVOC!$PV$74),"",DADOS_INVOC!$PV$74&amp;"")</f>
        <v/>
      </c>
      <c r="C1866" s="198" t="inlineStr">
        <is>
          <t>DADOS_INVOC!PV74</t>
        </is>
      </c>
      <c r="D1866" s="198" t="inlineStr">
        <is>
          <t>aviso</t>
        </is>
      </c>
    </row>
    <row r="1867">
      <c r="A1867" s="198" t="inlineStr">
        <is>
          <t>invocacao.6.esp.7.classe</t>
        </is>
      </c>
      <c r="B1867" s="198">
        <f>IF(ISBLANK(DADOS_INVOC!$MS$75),"",DADOS_INVOC!$MS$75&amp;"")</f>
        <v/>
      </c>
      <c r="C1867" s="198" t="inlineStr">
        <is>
          <t>DADOS_INVOC!MS75</t>
        </is>
      </c>
      <c r="D1867" s="198" t="inlineStr">
        <is>
          <t>entrada</t>
        </is>
      </c>
    </row>
    <row r="1868">
      <c r="A1868" s="198" t="inlineStr">
        <is>
          <t>invocacao.6.esp.7.nome</t>
        </is>
      </c>
      <c r="B1868" s="198">
        <f>IF(ISBLANK(DADOS_INVOC!$MT$75),"",DADOS_INVOC!$MT$75&amp;"")</f>
        <v/>
      </c>
      <c r="C1868" s="198" t="inlineStr">
        <is>
          <t>DADOS_INVOC!MT75</t>
        </is>
      </c>
      <c r="D1868" s="198" t="inlineStr">
        <is>
          <t>entrada</t>
        </is>
      </c>
    </row>
    <row r="1869">
      <c r="A1869" s="198" t="inlineStr">
        <is>
          <t>invocacao.6.esp.7.forma</t>
        </is>
      </c>
      <c r="B1869" s="198">
        <f>IF(ISBLANK(DADOS_INVOC!$MU$75),"",DADOS_INVOC!$MU$75&amp;"")</f>
        <v/>
      </c>
      <c r="C1869" s="198" t="inlineStr">
        <is>
          <t>DADOS_INVOC!MU75</t>
        </is>
      </c>
      <c r="D1869" s="198" t="inlineStr">
        <is>
          <t>entrada</t>
        </is>
      </c>
    </row>
    <row r="1870">
      <c r="A1870" s="198" t="inlineStr">
        <is>
          <t>invocacao.6.esp.7.pecas</t>
        </is>
      </c>
      <c r="B1870" s="198">
        <f>TEXTJOIN(" · ",TRUE,DADOS_INVOC!$MX$75,DADOS_INVOC!$MY$75,DADOS_INVOC!$MZ$75,DADOS_INVOC!$NA$75)</f>
        <v/>
      </c>
      <c r="C1870" s="198" t="inlineStr">
        <is>
          <t>DADOS_INVOC!MX75 DADOS_INVOC!MY75 DADOS_INVOC!MZ75 DADOS_INVOC!NA75</t>
        </is>
      </c>
      <c r="D1870" s="198" t="inlineStr">
        <is>
          <t>entrada</t>
        </is>
      </c>
    </row>
    <row r="1871">
      <c r="A1871" s="198" t="inlineStr">
        <is>
          <t>invocacao.6.esp.7.restricoes</t>
        </is>
      </c>
      <c r="B1871" s="198">
        <f>TEXTJOIN(" · ",TRUE,DADOS_INVOC!$NB$75,DADOS_INVOC!$NC$75)</f>
        <v/>
      </c>
      <c r="C1871" s="198" t="inlineStr">
        <is>
          <t>DADOS_INVOC!NB75 DADOS_INVOC!NC75</t>
        </is>
      </c>
      <c r="D1871" s="198" t="inlineStr">
        <is>
          <t>entrada</t>
        </is>
      </c>
    </row>
    <row r="1872">
      <c r="A1872" s="198" t="inlineStr">
        <is>
          <t>invocacao.6.esp.7.pe</t>
        </is>
      </c>
      <c r="B1872" s="198">
        <f>IF(ISBLANK(DADOS_INVOC!$QA$75),"",DADOS_INVOC!$QA$75&amp;"")</f>
        <v/>
      </c>
      <c r="C1872" s="198" t="inlineStr">
        <is>
          <t>DADOS_INVOC!QA75</t>
        </is>
      </c>
      <c r="D1872" s="198" t="inlineStr">
        <is>
          <t>resultado</t>
        </is>
      </c>
    </row>
    <row r="1873">
      <c r="A1873" s="198" t="inlineStr">
        <is>
          <t>invocacao.6.esp.7.dano</t>
        </is>
      </c>
      <c r="B1873" s="198">
        <f>IF(ISBLANK(DADOS_INVOC!$QE$75),"",DADOS_INVOC!$QE$75&amp;"")</f>
        <v/>
      </c>
      <c r="C1873" s="198" t="inlineStr">
        <is>
          <t>DADOS_INVOC!QE75</t>
        </is>
      </c>
      <c r="D1873" s="198" t="inlineStr">
        <is>
          <t>resultado</t>
        </is>
      </c>
    </row>
    <row r="1874">
      <c r="A1874" s="198" t="inlineStr">
        <is>
          <t>invocacao.6.esp.7.erros</t>
        </is>
      </c>
      <c r="B1874" s="198">
        <f>IF(ISBLANK(DADOS_INVOC!$PT$75),"",DADOS_INVOC!$PT$75&amp;"")</f>
        <v/>
      </c>
      <c r="C1874" s="198" t="inlineStr">
        <is>
          <t>DADOS_INVOC!PT75</t>
        </is>
      </c>
      <c r="D1874" s="198" t="inlineStr">
        <is>
          <t>aviso</t>
        </is>
      </c>
    </row>
    <row r="1875">
      <c r="A1875" s="198" t="inlineStr">
        <is>
          <t>invocacao.6.esp.7.avisos</t>
        </is>
      </c>
      <c r="B1875" s="198">
        <f>IF(ISBLANK(DADOS_INVOC!$PV$75),"",DADOS_INVOC!$PV$75&amp;"")</f>
        <v/>
      </c>
      <c r="C1875" s="198" t="inlineStr">
        <is>
          <t>DADOS_INVOC!PV75</t>
        </is>
      </c>
      <c r="D1875" s="198" t="inlineStr">
        <is>
          <t>aviso</t>
        </is>
      </c>
    </row>
    <row r="1876">
      <c r="A1876" s="198" t="inlineStr">
        <is>
          <t>invocacao.6.esp.8.classe</t>
        </is>
      </c>
      <c r="B1876" s="198">
        <f>IF(ISBLANK(DADOS_INVOC!$MS$76),"",DADOS_INVOC!$MS$76&amp;"")</f>
        <v/>
      </c>
      <c r="C1876" s="198" t="inlineStr">
        <is>
          <t>DADOS_INVOC!MS76</t>
        </is>
      </c>
      <c r="D1876" s="198" t="inlineStr">
        <is>
          <t>entrada</t>
        </is>
      </c>
    </row>
    <row r="1877">
      <c r="A1877" s="198" t="inlineStr">
        <is>
          <t>invocacao.6.esp.8.nome</t>
        </is>
      </c>
      <c r="B1877" s="198">
        <f>IF(ISBLANK(DADOS_INVOC!$MT$76),"",DADOS_INVOC!$MT$76&amp;"")</f>
        <v/>
      </c>
      <c r="C1877" s="198" t="inlineStr">
        <is>
          <t>DADOS_INVOC!MT76</t>
        </is>
      </c>
      <c r="D1877" s="198" t="inlineStr">
        <is>
          <t>entrada</t>
        </is>
      </c>
    </row>
    <row r="1878">
      <c r="A1878" s="198" t="inlineStr">
        <is>
          <t>invocacao.6.esp.8.forma</t>
        </is>
      </c>
      <c r="B1878" s="198">
        <f>IF(ISBLANK(DADOS_INVOC!$MU$76),"",DADOS_INVOC!$MU$76&amp;"")</f>
        <v/>
      </c>
      <c r="C1878" s="198" t="inlineStr">
        <is>
          <t>DADOS_INVOC!MU76</t>
        </is>
      </c>
      <c r="D1878" s="198" t="inlineStr">
        <is>
          <t>entrada</t>
        </is>
      </c>
    </row>
    <row r="1879">
      <c r="A1879" s="198" t="inlineStr">
        <is>
          <t>invocacao.6.esp.8.pecas</t>
        </is>
      </c>
      <c r="B1879" s="198">
        <f>TEXTJOIN(" · ",TRUE,DADOS_INVOC!$MX$76,DADOS_INVOC!$MY$76,DADOS_INVOC!$MZ$76,DADOS_INVOC!$NA$76)</f>
        <v/>
      </c>
      <c r="C1879" s="198" t="inlineStr">
        <is>
          <t>DADOS_INVOC!MX76 DADOS_INVOC!MY76 DADOS_INVOC!MZ76 DADOS_INVOC!NA76</t>
        </is>
      </c>
      <c r="D1879" s="198" t="inlineStr">
        <is>
          <t>entrada</t>
        </is>
      </c>
    </row>
    <row r="1880">
      <c r="A1880" s="198" t="inlineStr">
        <is>
          <t>invocacao.6.esp.8.restricoes</t>
        </is>
      </c>
      <c r="B1880" s="198">
        <f>TEXTJOIN(" · ",TRUE,DADOS_INVOC!$NB$76,DADOS_INVOC!$NC$76)</f>
        <v/>
      </c>
      <c r="C1880" s="198" t="inlineStr">
        <is>
          <t>DADOS_INVOC!NB76 DADOS_INVOC!NC76</t>
        </is>
      </c>
      <c r="D1880" s="198" t="inlineStr">
        <is>
          <t>entrada</t>
        </is>
      </c>
    </row>
    <row r="1881">
      <c r="A1881" s="198" t="inlineStr">
        <is>
          <t>invocacao.6.esp.8.pe</t>
        </is>
      </c>
      <c r="B1881" s="198">
        <f>IF(ISBLANK(DADOS_INVOC!$QA$76),"",DADOS_INVOC!$QA$76&amp;"")</f>
        <v/>
      </c>
      <c r="C1881" s="198" t="inlineStr">
        <is>
          <t>DADOS_INVOC!QA76</t>
        </is>
      </c>
      <c r="D1881" s="198" t="inlineStr">
        <is>
          <t>resultado</t>
        </is>
      </c>
    </row>
    <row r="1882">
      <c r="A1882" s="198" t="inlineStr">
        <is>
          <t>invocacao.6.esp.8.dano</t>
        </is>
      </c>
      <c r="B1882" s="198">
        <f>IF(ISBLANK(DADOS_INVOC!$QE$76),"",DADOS_INVOC!$QE$76&amp;"")</f>
        <v/>
      </c>
      <c r="C1882" s="198" t="inlineStr">
        <is>
          <t>DADOS_INVOC!QE76</t>
        </is>
      </c>
      <c r="D1882" s="198" t="inlineStr">
        <is>
          <t>resultado</t>
        </is>
      </c>
    </row>
    <row r="1883">
      <c r="A1883" s="198" t="inlineStr">
        <is>
          <t>invocacao.6.esp.8.erros</t>
        </is>
      </c>
      <c r="B1883" s="198">
        <f>IF(ISBLANK(DADOS_INVOC!$PT$76),"",DADOS_INVOC!$PT$76&amp;"")</f>
        <v/>
      </c>
      <c r="C1883" s="198" t="inlineStr">
        <is>
          <t>DADOS_INVOC!PT76</t>
        </is>
      </c>
      <c r="D1883" s="198" t="inlineStr">
        <is>
          <t>aviso</t>
        </is>
      </c>
    </row>
    <row r="1884">
      <c r="A1884" s="198" t="inlineStr">
        <is>
          <t>invocacao.6.esp.8.avisos</t>
        </is>
      </c>
      <c r="B1884" s="198">
        <f>IF(ISBLANK(DADOS_INVOC!$PV$76),"",DADOS_INVOC!$PV$76&amp;"")</f>
        <v/>
      </c>
      <c r="C1884" s="198" t="inlineStr">
        <is>
          <t>DADOS_INVOC!PV76</t>
        </is>
      </c>
      <c r="D1884" s="198" t="inlineStr">
        <is>
          <t>aviso</t>
        </is>
      </c>
    </row>
    <row r="1885">
      <c r="A1885" s="198" t="inlineStr">
        <is>
          <t>invocacao.6.ext.1.classe</t>
        </is>
      </c>
      <c r="B1885" s="198">
        <f>IF(ISBLANK(DADOS_INVOC!$MS$77),"",DADOS_INVOC!$MS$77&amp;"")</f>
        <v/>
      </c>
      <c r="C1885" s="198" t="inlineStr">
        <is>
          <t>DADOS_INVOC!MS77</t>
        </is>
      </c>
      <c r="D1885" s="198" t="inlineStr">
        <is>
          <t>entrada</t>
        </is>
      </c>
    </row>
    <row r="1886">
      <c r="A1886" s="198" t="inlineStr">
        <is>
          <t>invocacao.6.ext.1.nome</t>
        </is>
      </c>
      <c r="B1886" s="198">
        <f>IF(ISBLANK(DADOS_INVOC!$MT$77),"",DADOS_INVOC!$MT$77&amp;"")</f>
        <v/>
      </c>
      <c r="C1886" s="198" t="inlineStr">
        <is>
          <t>DADOS_INVOC!MT77</t>
        </is>
      </c>
      <c r="D1886" s="198" t="inlineStr">
        <is>
          <t>entrada</t>
        </is>
      </c>
    </row>
    <row r="1887">
      <c r="A1887" s="198" t="inlineStr">
        <is>
          <t>invocacao.6.ext.1.forma</t>
        </is>
      </c>
      <c r="B1887" s="198">
        <f>IF(ISBLANK(DADOS_INVOC!$MU$77),"",DADOS_INVOC!$MU$77&amp;"")</f>
        <v/>
      </c>
      <c r="C1887" s="198" t="inlineStr">
        <is>
          <t>DADOS_INVOC!MU77</t>
        </is>
      </c>
      <c r="D1887" s="198" t="inlineStr">
        <is>
          <t>entrada</t>
        </is>
      </c>
    </row>
    <row r="1888">
      <c r="A1888" s="198" t="inlineStr">
        <is>
          <t>invocacao.6.ext.1.pecas</t>
        </is>
      </c>
      <c r="B1888" s="198">
        <f>TEXTJOIN(" · ",TRUE,DADOS_INVOC!$MX$77,DADOS_INVOC!$MY$77,DADOS_INVOC!$MZ$77,DADOS_INVOC!$NA$77)</f>
        <v/>
      </c>
      <c r="C1888" s="198" t="inlineStr">
        <is>
          <t>DADOS_INVOC!MX77 DADOS_INVOC!MY77 DADOS_INVOC!MZ77 DADOS_INVOC!NA77</t>
        </is>
      </c>
      <c r="D1888" s="198" t="inlineStr">
        <is>
          <t>entrada</t>
        </is>
      </c>
    </row>
    <row r="1889">
      <c r="A1889" s="198" t="inlineStr">
        <is>
          <t>invocacao.6.ext.1.restricoes</t>
        </is>
      </c>
      <c r="B1889" s="198">
        <f>TEXTJOIN(" · ",TRUE,DADOS_INVOC!$NB$77,DADOS_INVOC!$NC$77)</f>
        <v/>
      </c>
      <c r="C1889" s="198" t="inlineStr">
        <is>
          <t>DADOS_INVOC!NB77 DADOS_INVOC!NC77</t>
        </is>
      </c>
      <c r="D1889" s="198" t="inlineStr">
        <is>
          <t>entrada</t>
        </is>
      </c>
    </row>
    <row r="1890">
      <c r="A1890" s="198" t="inlineStr">
        <is>
          <t>invocacao.6.ext.1.pe</t>
        </is>
      </c>
      <c r="B1890" s="198">
        <f>IF(ISBLANK(DADOS_INVOC!$QA$77),"",DADOS_INVOC!$QA$77&amp;"")</f>
        <v/>
      </c>
      <c r="C1890" s="198" t="inlineStr">
        <is>
          <t>DADOS_INVOC!QA77</t>
        </is>
      </c>
      <c r="D1890" s="198" t="inlineStr">
        <is>
          <t>resultado</t>
        </is>
      </c>
    </row>
    <row r="1891">
      <c r="A1891" s="198" t="inlineStr">
        <is>
          <t>invocacao.6.ext.1.dano</t>
        </is>
      </c>
      <c r="B1891" s="198">
        <f>IF(ISBLANK(DADOS_INVOC!$QE$77),"",DADOS_INVOC!$QE$77&amp;"")</f>
        <v/>
      </c>
      <c r="C1891" s="198" t="inlineStr">
        <is>
          <t>DADOS_INVOC!QE77</t>
        </is>
      </c>
      <c r="D1891" s="198" t="inlineStr">
        <is>
          <t>resultado</t>
        </is>
      </c>
    </row>
    <row r="1892">
      <c r="A1892" s="198" t="inlineStr">
        <is>
          <t>invocacao.6.ext.1.erros</t>
        </is>
      </c>
      <c r="B1892" s="198">
        <f>IF(ISBLANK(DADOS_INVOC!$PT$77),"",DADOS_INVOC!$PT$77&amp;"")</f>
        <v/>
      </c>
      <c r="C1892" s="198" t="inlineStr">
        <is>
          <t>DADOS_INVOC!PT77</t>
        </is>
      </c>
      <c r="D1892" s="198" t="inlineStr">
        <is>
          <t>aviso</t>
        </is>
      </c>
    </row>
    <row r="1893">
      <c r="A1893" s="198" t="inlineStr">
        <is>
          <t>invocacao.6.ext.1.avisos</t>
        </is>
      </c>
      <c r="B1893" s="198">
        <f>IF(ISBLANK(DADOS_INVOC!$PV$77),"",DADOS_INVOC!$PV$77&amp;"")</f>
        <v/>
      </c>
      <c r="C1893" s="198" t="inlineStr">
        <is>
          <t>DADOS_INVOC!PV77</t>
        </is>
      </c>
      <c r="D1893" s="198" t="inlineStr">
        <is>
          <t>aviso</t>
        </is>
      </c>
    </row>
    <row r="1894">
      <c r="A1894" s="198" t="inlineStr">
        <is>
          <t>invocacao.6.ext.2.classe</t>
        </is>
      </c>
      <c r="B1894" s="198">
        <f>IF(ISBLANK(DADOS_INVOC!$MS$78),"",DADOS_INVOC!$MS$78&amp;"")</f>
        <v/>
      </c>
      <c r="C1894" s="198" t="inlineStr">
        <is>
          <t>DADOS_INVOC!MS78</t>
        </is>
      </c>
      <c r="D1894" s="198" t="inlineStr">
        <is>
          <t>entrada</t>
        </is>
      </c>
    </row>
    <row r="1895">
      <c r="A1895" s="198" t="inlineStr">
        <is>
          <t>invocacao.6.ext.2.nome</t>
        </is>
      </c>
      <c r="B1895" s="198">
        <f>IF(ISBLANK(DADOS_INVOC!$MT$78),"",DADOS_INVOC!$MT$78&amp;"")</f>
        <v/>
      </c>
      <c r="C1895" s="198" t="inlineStr">
        <is>
          <t>DADOS_INVOC!MT78</t>
        </is>
      </c>
      <c r="D1895" s="198" t="inlineStr">
        <is>
          <t>entrada</t>
        </is>
      </c>
    </row>
    <row r="1896">
      <c r="A1896" s="198" t="inlineStr">
        <is>
          <t>invocacao.6.ext.2.forma</t>
        </is>
      </c>
      <c r="B1896" s="198">
        <f>IF(ISBLANK(DADOS_INVOC!$MU$78),"",DADOS_INVOC!$MU$78&amp;"")</f>
        <v/>
      </c>
      <c r="C1896" s="198" t="inlineStr">
        <is>
          <t>DADOS_INVOC!MU78</t>
        </is>
      </c>
      <c r="D1896" s="198" t="inlineStr">
        <is>
          <t>entrada</t>
        </is>
      </c>
    </row>
    <row r="1897">
      <c r="A1897" s="198" t="inlineStr">
        <is>
          <t>invocacao.6.ext.2.pecas</t>
        </is>
      </c>
      <c r="B1897" s="198">
        <f>TEXTJOIN(" · ",TRUE,DADOS_INVOC!$MX$78,DADOS_INVOC!$MY$78,DADOS_INVOC!$MZ$78,DADOS_INVOC!$NA$78)</f>
        <v/>
      </c>
      <c r="C1897" s="198" t="inlineStr">
        <is>
          <t>DADOS_INVOC!MX78 DADOS_INVOC!MY78 DADOS_INVOC!MZ78 DADOS_INVOC!NA78</t>
        </is>
      </c>
      <c r="D1897" s="198" t="inlineStr">
        <is>
          <t>entrada</t>
        </is>
      </c>
    </row>
    <row r="1898">
      <c r="A1898" s="198" t="inlineStr">
        <is>
          <t>invocacao.6.ext.2.restricoes</t>
        </is>
      </c>
      <c r="B1898" s="198">
        <f>TEXTJOIN(" · ",TRUE,DADOS_INVOC!$NB$78,DADOS_INVOC!$NC$78)</f>
        <v/>
      </c>
      <c r="C1898" s="198" t="inlineStr">
        <is>
          <t>DADOS_INVOC!NB78 DADOS_INVOC!NC78</t>
        </is>
      </c>
      <c r="D1898" s="198" t="inlineStr">
        <is>
          <t>entrada</t>
        </is>
      </c>
    </row>
    <row r="1899">
      <c r="A1899" s="198" t="inlineStr">
        <is>
          <t>invocacao.6.ext.2.pe</t>
        </is>
      </c>
      <c r="B1899" s="198">
        <f>IF(ISBLANK(DADOS_INVOC!$QA$78),"",DADOS_INVOC!$QA$78&amp;"")</f>
        <v/>
      </c>
      <c r="C1899" s="198" t="inlineStr">
        <is>
          <t>DADOS_INVOC!QA78</t>
        </is>
      </c>
      <c r="D1899" s="198" t="inlineStr">
        <is>
          <t>resultado</t>
        </is>
      </c>
    </row>
    <row r="1900">
      <c r="A1900" s="198" t="inlineStr">
        <is>
          <t>invocacao.6.ext.2.dano</t>
        </is>
      </c>
      <c r="B1900" s="198">
        <f>IF(ISBLANK(DADOS_INVOC!$QE$78),"",DADOS_INVOC!$QE$78&amp;"")</f>
        <v/>
      </c>
      <c r="C1900" s="198" t="inlineStr">
        <is>
          <t>DADOS_INVOC!QE78</t>
        </is>
      </c>
      <c r="D1900" s="198" t="inlineStr">
        <is>
          <t>resultado</t>
        </is>
      </c>
    </row>
    <row r="1901">
      <c r="A1901" s="198" t="inlineStr">
        <is>
          <t>invocacao.6.ext.2.erros</t>
        </is>
      </c>
      <c r="B1901" s="198">
        <f>IF(ISBLANK(DADOS_INVOC!$PT$78),"",DADOS_INVOC!$PT$78&amp;"")</f>
        <v/>
      </c>
      <c r="C1901" s="198" t="inlineStr">
        <is>
          <t>DADOS_INVOC!PT78</t>
        </is>
      </c>
      <c r="D1901" s="198" t="inlineStr">
        <is>
          <t>aviso</t>
        </is>
      </c>
    </row>
    <row r="1902">
      <c r="A1902" s="198" t="inlineStr">
        <is>
          <t>invocacao.6.ext.2.avisos</t>
        </is>
      </c>
      <c r="B1902" s="198">
        <f>IF(ISBLANK(DADOS_INVOC!$PV$78),"",DADOS_INVOC!$PV$78&amp;"")</f>
        <v/>
      </c>
      <c r="C1902" s="198" t="inlineStr">
        <is>
          <t>DADOS_INVOC!PV78</t>
        </is>
      </c>
      <c r="D1902" s="198" t="inlineStr">
        <is>
          <t>aviso</t>
        </is>
      </c>
    </row>
    <row r="1903">
      <c r="A1903" s="198" t="inlineStr">
        <is>
          <t>invocacao.6.ext.3.classe</t>
        </is>
      </c>
      <c r="B1903" s="198">
        <f>IF(ISBLANK(DADOS_INVOC!$MS$79),"",DADOS_INVOC!$MS$79&amp;"")</f>
        <v/>
      </c>
      <c r="C1903" s="198" t="inlineStr">
        <is>
          <t>DADOS_INVOC!MS79</t>
        </is>
      </c>
      <c r="D1903" s="198" t="inlineStr">
        <is>
          <t>entrada</t>
        </is>
      </c>
    </row>
    <row r="1904">
      <c r="A1904" s="198" t="inlineStr">
        <is>
          <t>invocacao.6.ext.3.nome</t>
        </is>
      </c>
      <c r="B1904" s="198">
        <f>IF(ISBLANK(DADOS_INVOC!$MT$79),"",DADOS_INVOC!$MT$79&amp;"")</f>
        <v/>
      </c>
      <c r="C1904" s="198" t="inlineStr">
        <is>
          <t>DADOS_INVOC!MT79</t>
        </is>
      </c>
      <c r="D1904" s="198" t="inlineStr">
        <is>
          <t>entrada</t>
        </is>
      </c>
    </row>
    <row r="1905">
      <c r="A1905" s="198" t="inlineStr">
        <is>
          <t>invocacao.6.ext.3.forma</t>
        </is>
      </c>
      <c r="B1905" s="198">
        <f>IF(ISBLANK(DADOS_INVOC!$MU$79),"",DADOS_INVOC!$MU$79&amp;"")</f>
        <v/>
      </c>
      <c r="C1905" s="198" t="inlineStr">
        <is>
          <t>DADOS_INVOC!MU79</t>
        </is>
      </c>
      <c r="D1905" s="198" t="inlineStr">
        <is>
          <t>entrada</t>
        </is>
      </c>
    </row>
    <row r="1906">
      <c r="A1906" s="198" t="inlineStr">
        <is>
          <t>invocacao.6.ext.3.pecas</t>
        </is>
      </c>
      <c r="B1906" s="198">
        <f>TEXTJOIN(" · ",TRUE,DADOS_INVOC!$MX$79,DADOS_INVOC!$MY$79,DADOS_INVOC!$MZ$79,DADOS_INVOC!$NA$79)</f>
        <v/>
      </c>
      <c r="C1906" s="198" t="inlineStr">
        <is>
          <t>DADOS_INVOC!MX79 DADOS_INVOC!MY79 DADOS_INVOC!MZ79 DADOS_INVOC!NA79</t>
        </is>
      </c>
      <c r="D1906" s="198" t="inlineStr">
        <is>
          <t>entrada</t>
        </is>
      </c>
    </row>
    <row r="1907">
      <c r="A1907" s="198" t="inlineStr">
        <is>
          <t>invocacao.6.ext.3.restricoes</t>
        </is>
      </c>
      <c r="B1907" s="198">
        <f>TEXTJOIN(" · ",TRUE,DADOS_INVOC!$NB$79,DADOS_INVOC!$NC$79)</f>
        <v/>
      </c>
      <c r="C1907" s="198" t="inlineStr">
        <is>
          <t>DADOS_INVOC!NB79 DADOS_INVOC!NC79</t>
        </is>
      </c>
      <c r="D1907" s="198" t="inlineStr">
        <is>
          <t>entrada</t>
        </is>
      </c>
    </row>
    <row r="1908">
      <c r="A1908" s="198" t="inlineStr">
        <is>
          <t>invocacao.6.ext.3.pe</t>
        </is>
      </c>
      <c r="B1908" s="198">
        <f>IF(ISBLANK(DADOS_INVOC!$QA$79),"",DADOS_INVOC!$QA$79&amp;"")</f>
        <v/>
      </c>
      <c r="C1908" s="198" t="inlineStr">
        <is>
          <t>DADOS_INVOC!QA79</t>
        </is>
      </c>
      <c r="D1908" s="198" t="inlineStr">
        <is>
          <t>resultado</t>
        </is>
      </c>
    </row>
    <row r="1909">
      <c r="A1909" s="198" t="inlineStr">
        <is>
          <t>invocacao.6.ext.3.dano</t>
        </is>
      </c>
      <c r="B1909" s="198">
        <f>IF(ISBLANK(DADOS_INVOC!$QE$79),"",DADOS_INVOC!$QE$79&amp;"")</f>
        <v/>
      </c>
      <c r="C1909" s="198" t="inlineStr">
        <is>
          <t>DADOS_INVOC!QE79</t>
        </is>
      </c>
      <c r="D1909" s="198" t="inlineStr">
        <is>
          <t>resultado</t>
        </is>
      </c>
    </row>
    <row r="1910">
      <c r="A1910" s="198" t="inlineStr">
        <is>
          <t>invocacao.6.ext.3.erros</t>
        </is>
      </c>
      <c r="B1910" s="198">
        <f>IF(ISBLANK(DADOS_INVOC!$PT$79),"",DADOS_INVOC!$PT$79&amp;"")</f>
        <v/>
      </c>
      <c r="C1910" s="198" t="inlineStr">
        <is>
          <t>DADOS_INVOC!PT79</t>
        </is>
      </c>
      <c r="D1910" s="198" t="inlineStr">
        <is>
          <t>aviso</t>
        </is>
      </c>
    </row>
    <row r="1911">
      <c r="A1911" s="198" t="inlineStr">
        <is>
          <t>invocacao.6.ext.3.avisos</t>
        </is>
      </c>
      <c r="B1911" s="198">
        <f>IF(ISBLANK(DADOS_INVOC!$PV$79),"",DADOS_INVOC!$PV$79&amp;"")</f>
        <v/>
      </c>
      <c r="C1911" s="198" t="inlineStr">
        <is>
          <t>DADOS_INVOC!PV79</t>
        </is>
      </c>
      <c r="D1911" s="198" t="inlineStr">
        <is>
          <t>aviso</t>
        </is>
      </c>
    </row>
    <row r="1912">
      <c r="A1912" s="198" t="inlineStr">
        <is>
          <t>invocacao.7.bas.1.classe</t>
        </is>
      </c>
      <c r="B1912" s="198">
        <f>IF(ISBLANK(DADOS_INVOC!$MS$80),"",DADOS_INVOC!$MS$80&amp;"")</f>
        <v/>
      </c>
      <c r="C1912" s="198" t="inlineStr">
        <is>
          <t>DADOS_INVOC!MS80</t>
        </is>
      </c>
      <c r="D1912" s="198" t="inlineStr">
        <is>
          <t>entrada</t>
        </is>
      </c>
    </row>
    <row r="1913">
      <c r="A1913" s="198" t="inlineStr">
        <is>
          <t>invocacao.7.bas.1.nome</t>
        </is>
      </c>
      <c r="B1913" s="198">
        <f>IF(ISBLANK(DADOS_INVOC!$MT$80),"",DADOS_INVOC!$MT$80&amp;"")</f>
        <v/>
      </c>
      <c r="C1913" s="198" t="inlineStr">
        <is>
          <t>DADOS_INVOC!MT80</t>
        </is>
      </c>
      <c r="D1913" s="198" t="inlineStr">
        <is>
          <t>entrada</t>
        </is>
      </c>
    </row>
    <row r="1914">
      <c r="A1914" s="198" t="inlineStr">
        <is>
          <t>invocacao.7.bas.1.forma</t>
        </is>
      </c>
      <c r="B1914" s="198">
        <f>IF(ISBLANK(DADOS_INVOC!$MU$80),"",DADOS_INVOC!$MU$80&amp;"")</f>
        <v/>
      </c>
      <c r="C1914" s="198" t="inlineStr">
        <is>
          <t>DADOS_INVOC!MU80</t>
        </is>
      </c>
      <c r="D1914" s="198" t="inlineStr">
        <is>
          <t>entrada</t>
        </is>
      </c>
    </row>
    <row r="1915">
      <c r="A1915" s="198" t="inlineStr">
        <is>
          <t>invocacao.7.bas.1.pecas</t>
        </is>
      </c>
      <c r="B1915" s="198">
        <f>TEXTJOIN(" · ",TRUE,DADOS_INVOC!$MX$80,DADOS_INVOC!$MY$80,DADOS_INVOC!$MZ$80,DADOS_INVOC!$NA$80)</f>
        <v/>
      </c>
      <c r="C1915" s="198" t="inlineStr">
        <is>
          <t>DADOS_INVOC!MX80 DADOS_INVOC!MY80 DADOS_INVOC!MZ80 DADOS_INVOC!NA80</t>
        </is>
      </c>
      <c r="D1915" s="198" t="inlineStr">
        <is>
          <t>entrada</t>
        </is>
      </c>
    </row>
    <row r="1916">
      <c r="A1916" s="198" t="inlineStr">
        <is>
          <t>invocacao.7.bas.1.restricoes</t>
        </is>
      </c>
      <c r="B1916" s="198">
        <f>TEXTJOIN(" · ",TRUE,DADOS_INVOC!$NB$80,DADOS_INVOC!$NC$80)</f>
        <v/>
      </c>
      <c r="C1916" s="198" t="inlineStr">
        <is>
          <t>DADOS_INVOC!NB80 DADOS_INVOC!NC80</t>
        </is>
      </c>
      <c r="D1916" s="198" t="inlineStr">
        <is>
          <t>entrada</t>
        </is>
      </c>
    </row>
    <row r="1917">
      <c r="A1917" s="198" t="inlineStr">
        <is>
          <t>invocacao.7.bas.1.pe</t>
        </is>
      </c>
      <c r="B1917" s="198">
        <f>IF(ISBLANK(DADOS_INVOC!$QA$80),"",DADOS_INVOC!$QA$80&amp;"")</f>
        <v/>
      </c>
      <c r="C1917" s="198" t="inlineStr">
        <is>
          <t>DADOS_INVOC!QA80</t>
        </is>
      </c>
      <c r="D1917" s="198" t="inlineStr">
        <is>
          <t>resultado</t>
        </is>
      </c>
    </row>
    <row r="1918">
      <c r="A1918" s="198" t="inlineStr">
        <is>
          <t>invocacao.7.bas.1.dano</t>
        </is>
      </c>
      <c r="B1918" s="198">
        <f>IF(ISBLANK(DADOS_INVOC!$QE$80),"",DADOS_INVOC!$QE$80&amp;"")</f>
        <v/>
      </c>
      <c r="C1918" s="198" t="inlineStr">
        <is>
          <t>DADOS_INVOC!QE80</t>
        </is>
      </c>
      <c r="D1918" s="198" t="inlineStr">
        <is>
          <t>resultado</t>
        </is>
      </c>
    </row>
    <row r="1919">
      <c r="A1919" s="198" t="inlineStr">
        <is>
          <t>invocacao.7.bas.1.erros</t>
        </is>
      </c>
      <c r="B1919" s="198">
        <f>IF(ISBLANK(DADOS_INVOC!$PT$80),"",DADOS_INVOC!$PT$80&amp;"")</f>
        <v/>
      </c>
      <c r="C1919" s="198" t="inlineStr">
        <is>
          <t>DADOS_INVOC!PT80</t>
        </is>
      </c>
      <c r="D1919" s="198" t="inlineStr">
        <is>
          <t>aviso</t>
        </is>
      </c>
    </row>
    <row r="1920">
      <c r="A1920" s="198" t="inlineStr">
        <is>
          <t>invocacao.7.bas.1.avisos</t>
        </is>
      </c>
      <c r="B1920" s="198">
        <f>IF(ISBLANK(DADOS_INVOC!$PV$80),"",DADOS_INVOC!$PV$80&amp;"")</f>
        <v/>
      </c>
      <c r="C1920" s="198" t="inlineStr">
        <is>
          <t>DADOS_INVOC!PV80</t>
        </is>
      </c>
      <c r="D1920" s="198" t="inlineStr">
        <is>
          <t>aviso</t>
        </is>
      </c>
    </row>
    <row r="1921">
      <c r="A1921" s="198" t="inlineStr">
        <is>
          <t>invocacao.7.esp.1.classe</t>
        </is>
      </c>
      <c r="B1921" s="198">
        <f>IF(ISBLANK(DADOS_INVOC!$MS$81),"",DADOS_INVOC!$MS$81&amp;"")</f>
        <v/>
      </c>
      <c r="C1921" s="198" t="inlineStr">
        <is>
          <t>DADOS_INVOC!MS81</t>
        </is>
      </c>
      <c r="D1921" s="198" t="inlineStr">
        <is>
          <t>entrada</t>
        </is>
      </c>
    </row>
    <row r="1922">
      <c r="A1922" s="198" t="inlineStr">
        <is>
          <t>invocacao.7.esp.1.nome</t>
        </is>
      </c>
      <c r="B1922" s="198">
        <f>IF(ISBLANK(DADOS_INVOC!$MT$81),"",DADOS_INVOC!$MT$81&amp;"")</f>
        <v/>
      </c>
      <c r="C1922" s="198" t="inlineStr">
        <is>
          <t>DADOS_INVOC!MT81</t>
        </is>
      </c>
      <c r="D1922" s="198" t="inlineStr">
        <is>
          <t>entrada</t>
        </is>
      </c>
    </row>
    <row r="1923">
      <c r="A1923" s="198" t="inlineStr">
        <is>
          <t>invocacao.7.esp.1.forma</t>
        </is>
      </c>
      <c r="B1923" s="198">
        <f>IF(ISBLANK(DADOS_INVOC!$MU$81),"",DADOS_INVOC!$MU$81&amp;"")</f>
        <v/>
      </c>
      <c r="C1923" s="198" t="inlineStr">
        <is>
          <t>DADOS_INVOC!MU81</t>
        </is>
      </c>
      <c r="D1923" s="198" t="inlineStr">
        <is>
          <t>entrada</t>
        </is>
      </c>
    </row>
    <row r="1924">
      <c r="A1924" s="198" t="inlineStr">
        <is>
          <t>invocacao.7.esp.1.pecas</t>
        </is>
      </c>
      <c r="B1924" s="198">
        <f>TEXTJOIN(" · ",TRUE,DADOS_INVOC!$MX$81,DADOS_INVOC!$MY$81,DADOS_INVOC!$MZ$81,DADOS_INVOC!$NA$81)</f>
        <v/>
      </c>
      <c r="C1924" s="198" t="inlineStr">
        <is>
          <t>DADOS_INVOC!MX81 DADOS_INVOC!MY81 DADOS_INVOC!MZ81 DADOS_INVOC!NA81</t>
        </is>
      </c>
      <c r="D1924" s="198" t="inlineStr">
        <is>
          <t>entrada</t>
        </is>
      </c>
    </row>
    <row r="1925">
      <c r="A1925" s="198" t="inlineStr">
        <is>
          <t>invocacao.7.esp.1.restricoes</t>
        </is>
      </c>
      <c r="B1925" s="198">
        <f>TEXTJOIN(" · ",TRUE,DADOS_INVOC!$NB$81,DADOS_INVOC!$NC$81)</f>
        <v/>
      </c>
      <c r="C1925" s="198" t="inlineStr">
        <is>
          <t>DADOS_INVOC!NB81 DADOS_INVOC!NC81</t>
        </is>
      </c>
      <c r="D1925" s="198" t="inlineStr">
        <is>
          <t>entrada</t>
        </is>
      </c>
    </row>
    <row r="1926">
      <c r="A1926" s="198" t="inlineStr">
        <is>
          <t>invocacao.7.esp.1.pe</t>
        </is>
      </c>
      <c r="B1926" s="198">
        <f>IF(ISBLANK(DADOS_INVOC!$QA$81),"",DADOS_INVOC!$QA$81&amp;"")</f>
        <v/>
      </c>
      <c r="C1926" s="198" t="inlineStr">
        <is>
          <t>DADOS_INVOC!QA81</t>
        </is>
      </c>
      <c r="D1926" s="198" t="inlineStr">
        <is>
          <t>resultado</t>
        </is>
      </c>
    </row>
    <row r="1927">
      <c r="A1927" s="198" t="inlineStr">
        <is>
          <t>invocacao.7.esp.1.dano</t>
        </is>
      </c>
      <c r="B1927" s="198">
        <f>IF(ISBLANK(DADOS_INVOC!$QE$81),"",DADOS_INVOC!$QE$81&amp;"")</f>
        <v/>
      </c>
      <c r="C1927" s="198" t="inlineStr">
        <is>
          <t>DADOS_INVOC!QE81</t>
        </is>
      </c>
      <c r="D1927" s="198" t="inlineStr">
        <is>
          <t>resultado</t>
        </is>
      </c>
    </row>
    <row r="1928">
      <c r="A1928" s="198" t="inlineStr">
        <is>
          <t>invocacao.7.esp.1.erros</t>
        </is>
      </c>
      <c r="B1928" s="198">
        <f>IF(ISBLANK(DADOS_INVOC!$PT$81),"",DADOS_INVOC!$PT$81&amp;"")</f>
        <v/>
      </c>
      <c r="C1928" s="198" t="inlineStr">
        <is>
          <t>DADOS_INVOC!PT81</t>
        </is>
      </c>
      <c r="D1928" s="198" t="inlineStr">
        <is>
          <t>aviso</t>
        </is>
      </c>
    </row>
    <row r="1929">
      <c r="A1929" s="198" t="inlineStr">
        <is>
          <t>invocacao.7.esp.1.avisos</t>
        </is>
      </c>
      <c r="B1929" s="198">
        <f>IF(ISBLANK(DADOS_INVOC!$PV$81),"",DADOS_INVOC!$PV$81&amp;"")</f>
        <v/>
      </c>
      <c r="C1929" s="198" t="inlineStr">
        <is>
          <t>DADOS_INVOC!PV81</t>
        </is>
      </c>
      <c r="D1929" s="198" t="inlineStr">
        <is>
          <t>aviso</t>
        </is>
      </c>
    </row>
    <row r="1930">
      <c r="A1930" s="198" t="inlineStr">
        <is>
          <t>invocacao.7.esp.2.classe</t>
        </is>
      </c>
      <c r="B1930" s="198">
        <f>IF(ISBLANK(DADOS_INVOC!$MS$82),"",DADOS_INVOC!$MS$82&amp;"")</f>
        <v/>
      </c>
      <c r="C1930" s="198" t="inlineStr">
        <is>
          <t>DADOS_INVOC!MS82</t>
        </is>
      </c>
      <c r="D1930" s="198" t="inlineStr">
        <is>
          <t>entrada</t>
        </is>
      </c>
    </row>
    <row r="1931">
      <c r="A1931" s="198" t="inlineStr">
        <is>
          <t>invocacao.7.esp.2.nome</t>
        </is>
      </c>
      <c r="B1931" s="198">
        <f>IF(ISBLANK(DADOS_INVOC!$MT$82),"",DADOS_INVOC!$MT$82&amp;"")</f>
        <v/>
      </c>
      <c r="C1931" s="198" t="inlineStr">
        <is>
          <t>DADOS_INVOC!MT82</t>
        </is>
      </c>
      <c r="D1931" s="198" t="inlineStr">
        <is>
          <t>entrada</t>
        </is>
      </c>
    </row>
    <row r="1932">
      <c r="A1932" s="198" t="inlineStr">
        <is>
          <t>invocacao.7.esp.2.forma</t>
        </is>
      </c>
      <c r="B1932" s="198">
        <f>IF(ISBLANK(DADOS_INVOC!$MU$82),"",DADOS_INVOC!$MU$82&amp;"")</f>
        <v/>
      </c>
      <c r="C1932" s="198" t="inlineStr">
        <is>
          <t>DADOS_INVOC!MU82</t>
        </is>
      </c>
      <c r="D1932" s="198" t="inlineStr">
        <is>
          <t>entrada</t>
        </is>
      </c>
    </row>
    <row r="1933">
      <c r="A1933" s="198" t="inlineStr">
        <is>
          <t>invocacao.7.esp.2.pecas</t>
        </is>
      </c>
      <c r="B1933" s="198">
        <f>TEXTJOIN(" · ",TRUE,DADOS_INVOC!$MX$82,DADOS_INVOC!$MY$82,DADOS_INVOC!$MZ$82,DADOS_INVOC!$NA$82)</f>
        <v/>
      </c>
      <c r="C1933" s="198" t="inlineStr">
        <is>
          <t>DADOS_INVOC!MX82 DADOS_INVOC!MY82 DADOS_INVOC!MZ82 DADOS_INVOC!NA82</t>
        </is>
      </c>
      <c r="D1933" s="198" t="inlineStr">
        <is>
          <t>entrada</t>
        </is>
      </c>
    </row>
    <row r="1934">
      <c r="A1934" s="198" t="inlineStr">
        <is>
          <t>invocacao.7.esp.2.restricoes</t>
        </is>
      </c>
      <c r="B1934" s="198">
        <f>TEXTJOIN(" · ",TRUE,DADOS_INVOC!$NB$82,DADOS_INVOC!$NC$82)</f>
        <v/>
      </c>
      <c r="C1934" s="198" t="inlineStr">
        <is>
          <t>DADOS_INVOC!NB82 DADOS_INVOC!NC82</t>
        </is>
      </c>
      <c r="D1934" s="198" t="inlineStr">
        <is>
          <t>entrada</t>
        </is>
      </c>
    </row>
    <row r="1935">
      <c r="A1935" s="198" t="inlineStr">
        <is>
          <t>invocacao.7.esp.2.pe</t>
        </is>
      </c>
      <c r="B1935" s="198">
        <f>IF(ISBLANK(DADOS_INVOC!$QA$82),"",DADOS_INVOC!$QA$82&amp;"")</f>
        <v/>
      </c>
      <c r="C1935" s="198" t="inlineStr">
        <is>
          <t>DADOS_INVOC!QA82</t>
        </is>
      </c>
      <c r="D1935" s="198" t="inlineStr">
        <is>
          <t>resultado</t>
        </is>
      </c>
    </row>
    <row r="1936">
      <c r="A1936" s="198" t="inlineStr">
        <is>
          <t>invocacao.7.esp.2.dano</t>
        </is>
      </c>
      <c r="B1936" s="198">
        <f>IF(ISBLANK(DADOS_INVOC!$QE$82),"",DADOS_INVOC!$QE$82&amp;"")</f>
        <v/>
      </c>
      <c r="C1936" s="198" t="inlineStr">
        <is>
          <t>DADOS_INVOC!QE82</t>
        </is>
      </c>
      <c r="D1936" s="198" t="inlineStr">
        <is>
          <t>resultado</t>
        </is>
      </c>
    </row>
    <row r="1937">
      <c r="A1937" s="198" t="inlineStr">
        <is>
          <t>invocacao.7.esp.2.erros</t>
        </is>
      </c>
      <c r="B1937" s="198">
        <f>IF(ISBLANK(DADOS_INVOC!$PT$82),"",DADOS_INVOC!$PT$82&amp;"")</f>
        <v/>
      </c>
      <c r="C1937" s="198" t="inlineStr">
        <is>
          <t>DADOS_INVOC!PT82</t>
        </is>
      </c>
      <c r="D1937" s="198" t="inlineStr">
        <is>
          <t>aviso</t>
        </is>
      </c>
    </row>
    <row r="1938">
      <c r="A1938" s="198" t="inlineStr">
        <is>
          <t>invocacao.7.esp.2.avisos</t>
        </is>
      </c>
      <c r="B1938" s="198">
        <f>IF(ISBLANK(DADOS_INVOC!$PV$82),"",DADOS_INVOC!$PV$82&amp;"")</f>
        <v/>
      </c>
      <c r="C1938" s="198" t="inlineStr">
        <is>
          <t>DADOS_INVOC!PV82</t>
        </is>
      </c>
      <c r="D1938" s="198" t="inlineStr">
        <is>
          <t>aviso</t>
        </is>
      </c>
    </row>
    <row r="1939">
      <c r="A1939" s="198" t="inlineStr">
        <is>
          <t>invocacao.7.bas.2.classe</t>
        </is>
      </c>
      <c r="B1939" s="198">
        <f>IF(ISBLANK(DADOS_INVOC!$MS$83),"",DADOS_INVOC!$MS$83&amp;"")</f>
        <v/>
      </c>
      <c r="C1939" s="198" t="inlineStr">
        <is>
          <t>DADOS_INVOC!MS83</t>
        </is>
      </c>
      <c r="D1939" s="198" t="inlineStr">
        <is>
          <t>entrada</t>
        </is>
      </c>
    </row>
    <row r="1940">
      <c r="A1940" s="198" t="inlineStr">
        <is>
          <t>invocacao.7.bas.2.nome</t>
        </is>
      </c>
      <c r="B1940" s="198">
        <f>IF(ISBLANK(DADOS_INVOC!$MT$83),"",DADOS_INVOC!$MT$83&amp;"")</f>
        <v/>
      </c>
      <c r="C1940" s="198" t="inlineStr">
        <is>
          <t>DADOS_INVOC!MT83</t>
        </is>
      </c>
      <c r="D1940" s="198" t="inlineStr">
        <is>
          <t>entrada</t>
        </is>
      </c>
    </row>
    <row r="1941">
      <c r="A1941" s="198" t="inlineStr">
        <is>
          <t>invocacao.7.bas.2.forma</t>
        </is>
      </c>
      <c r="B1941" s="198">
        <f>IF(ISBLANK(DADOS_INVOC!$MU$83),"",DADOS_INVOC!$MU$83&amp;"")</f>
        <v/>
      </c>
      <c r="C1941" s="198" t="inlineStr">
        <is>
          <t>DADOS_INVOC!MU83</t>
        </is>
      </c>
      <c r="D1941" s="198" t="inlineStr">
        <is>
          <t>entrada</t>
        </is>
      </c>
    </row>
    <row r="1942">
      <c r="A1942" s="198" t="inlineStr">
        <is>
          <t>invocacao.7.bas.2.pecas</t>
        </is>
      </c>
      <c r="B1942" s="198">
        <f>TEXTJOIN(" · ",TRUE,DADOS_INVOC!$MX$83,DADOS_INVOC!$MY$83,DADOS_INVOC!$MZ$83,DADOS_INVOC!$NA$83)</f>
        <v/>
      </c>
      <c r="C1942" s="198" t="inlineStr">
        <is>
          <t>DADOS_INVOC!MX83 DADOS_INVOC!MY83 DADOS_INVOC!MZ83 DADOS_INVOC!NA83</t>
        </is>
      </c>
      <c r="D1942" s="198" t="inlineStr">
        <is>
          <t>entrada</t>
        </is>
      </c>
    </row>
    <row r="1943">
      <c r="A1943" s="198" t="inlineStr">
        <is>
          <t>invocacao.7.bas.2.restricoes</t>
        </is>
      </c>
      <c r="B1943" s="198">
        <f>TEXTJOIN(" · ",TRUE,DADOS_INVOC!$NB$83,DADOS_INVOC!$NC$83)</f>
        <v/>
      </c>
      <c r="C1943" s="198" t="inlineStr">
        <is>
          <t>DADOS_INVOC!NB83 DADOS_INVOC!NC83</t>
        </is>
      </c>
      <c r="D1943" s="198" t="inlineStr">
        <is>
          <t>entrada</t>
        </is>
      </c>
    </row>
    <row r="1944">
      <c r="A1944" s="198" t="inlineStr">
        <is>
          <t>invocacao.7.bas.2.pe</t>
        </is>
      </c>
      <c r="B1944" s="198">
        <f>IF(ISBLANK(DADOS_INVOC!$QA$83),"",DADOS_INVOC!$QA$83&amp;"")</f>
        <v/>
      </c>
      <c r="C1944" s="198" t="inlineStr">
        <is>
          <t>DADOS_INVOC!QA83</t>
        </is>
      </c>
      <c r="D1944" s="198" t="inlineStr">
        <is>
          <t>resultado</t>
        </is>
      </c>
    </row>
    <row r="1945">
      <c r="A1945" s="198" t="inlineStr">
        <is>
          <t>invocacao.7.bas.2.dano</t>
        </is>
      </c>
      <c r="B1945" s="198">
        <f>IF(ISBLANK(DADOS_INVOC!$QE$83),"",DADOS_INVOC!$QE$83&amp;"")</f>
        <v/>
      </c>
      <c r="C1945" s="198" t="inlineStr">
        <is>
          <t>DADOS_INVOC!QE83</t>
        </is>
      </c>
      <c r="D1945" s="198" t="inlineStr">
        <is>
          <t>resultado</t>
        </is>
      </c>
    </row>
    <row r="1946">
      <c r="A1946" s="198" t="inlineStr">
        <is>
          <t>invocacao.7.bas.2.erros</t>
        </is>
      </c>
      <c r="B1946" s="198">
        <f>IF(ISBLANK(DADOS_INVOC!$PT$83),"",DADOS_INVOC!$PT$83&amp;"")</f>
        <v/>
      </c>
      <c r="C1946" s="198" t="inlineStr">
        <is>
          <t>DADOS_INVOC!PT83</t>
        </is>
      </c>
      <c r="D1946" s="198" t="inlineStr">
        <is>
          <t>aviso</t>
        </is>
      </c>
    </row>
    <row r="1947">
      <c r="A1947" s="198" t="inlineStr">
        <is>
          <t>invocacao.7.bas.2.avisos</t>
        </is>
      </c>
      <c r="B1947" s="198">
        <f>IF(ISBLANK(DADOS_INVOC!$PV$83),"",DADOS_INVOC!$PV$83&amp;"")</f>
        <v/>
      </c>
      <c r="C1947" s="198" t="inlineStr">
        <is>
          <t>DADOS_INVOC!PV83</t>
        </is>
      </c>
      <c r="D1947" s="198" t="inlineStr">
        <is>
          <t>aviso</t>
        </is>
      </c>
    </row>
    <row r="1948">
      <c r="A1948" s="198" t="inlineStr">
        <is>
          <t>invocacao.7.esp.3.classe</t>
        </is>
      </c>
      <c r="B1948" s="198">
        <f>IF(ISBLANK(DADOS_INVOC!$MS$84),"",DADOS_INVOC!$MS$84&amp;"")</f>
        <v/>
      </c>
      <c r="C1948" s="198" t="inlineStr">
        <is>
          <t>DADOS_INVOC!MS84</t>
        </is>
      </c>
      <c r="D1948" s="198" t="inlineStr">
        <is>
          <t>entrada</t>
        </is>
      </c>
    </row>
    <row r="1949">
      <c r="A1949" s="198" t="inlineStr">
        <is>
          <t>invocacao.7.esp.3.nome</t>
        </is>
      </c>
      <c r="B1949" s="198">
        <f>IF(ISBLANK(DADOS_INVOC!$MT$84),"",DADOS_INVOC!$MT$84&amp;"")</f>
        <v/>
      </c>
      <c r="C1949" s="198" t="inlineStr">
        <is>
          <t>DADOS_INVOC!MT84</t>
        </is>
      </c>
      <c r="D1949" s="198" t="inlineStr">
        <is>
          <t>entrada</t>
        </is>
      </c>
    </row>
    <row r="1950">
      <c r="A1950" s="198" t="inlineStr">
        <is>
          <t>invocacao.7.esp.3.forma</t>
        </is>
      </c>
      <c r="B1950" s="198">
        <f>IF(ISBLANK(DADOS_INVOC!$MU$84),"",DADOS_INVOC!$MU$84&amp;"")</f>
        <v/>
      </c>
      <c r="C1950" s="198" t="inlineStr">
        <is>
          <t>DADOS_INVOC!MU84</t>
        </is>
      </c>
      <c r="D1950" s="198" t="inlineStr">
        <is>
          <t>entrada</t>
        </is>
      </c>
    </row>
    <row r="1951">
      <c r="A1951" s="198" t="inlineStr">
        <is>
          <t>invocacao.7.esp.3.pecas</t>
        </is>
      </c>
      <c r="B1951" s="198">
        <f>TEXTJOIN(" · ",TRUE,DADOS_INVOC!$MX$84,DADOS_INVOC!$MY$84,DADOS_INVOC!$MZ$84,DADOS_INVOC!$NA$84)</f>
        <v/>
      </c>
      <c r="C1951" s="198" t="inlineStr">
        <is>
          <t>DADOS_INVOC!MX84 DADOS_INVOC!MY84 DADOS_INVOC!MZ84 DADOS_INVOC!NA84</t>
        </is>
      </c>
      <c r="D1951" s="198" t="inlineStr">
        <is>
          <t>entrada</t>
        </is>
      </c>
    </row>
    <row r="1952">
      <c r="A1952" s="198" t="inlineStr">
        <is>
          <t>invocacao.7.esp.3.restricoes</t>
        </is>
      </c>
      <c r="B1952" s="198">
        <f>TEXTJOIN(" · ",TRUE,DADOS_INVOC!$NB$84,DADOS_INVOC!$NC$84)</f>
        <v/>
      </c>
      <c r="C1952" s="198" t="inlineStr">
        <is>
          <t>DADOS_INVOC!NB84 DADOS_INVOC!NC84</t>
        </is>
      </c>
      <c r="D1952" s="198" t="inlineStr">
        <is>
          <t>entrada</t>
        </is>
      </c>
    </row>
    <row r="1953">
      <c r="A1953" s="198" t="inlineStr">
        <is>
          <t>invocacao.7.esp.3.pe</t>
        </is>
      </c>
      <c r="B1953" s="198">
        <f>IF(ISBLANK(DADOS_INVOC!$QA$84),"",DADOS_INVOC!$QA$84&amp;"")</f>
        <v/>
      </c>
      <c r="C1953" s="198" t="inlineStr">
        <is>
          <t>DADOS_INVOC!QA84</t>
        </is>
      </c>
      <c r="D1953" s="198" t="inlineStr">
        <is>
          <t>resultado</t>
        </is>
      </c>
    </row>
    <row r="1954">
      <c r="A1954" s="198" t="inlineStr">
        <is>
          <t>invocacao.7.esp.3.dano</t>
        </is>
      </c>
      <c r="B1954" s="198">
        <f>IF(ISBLANK(DADOS_INVOC!$QE$84),"",DADOS_INVOC!$QE$84&amp;"")</f>
        <v/>
      </c>
      <c r="C1954" s="198" t="inlineStr">
        <is>
          <t>DADOS_INVOC!QE84</t>
        </is>
      </c>
      <c r="D1954" s="198" t="inlineStr">
        <is>
          <t>resultado</t>
        </is>
      </c>
    </row>
    <row r="1955">
      <c r="A1955" s="198" t="inlineStr">
        <is>
          <t>invocacao.7.esp.3.erros</t>
        </is>
      </c>
      <c r="B1955" s="198">
        <f>IF(ISBLANK(DADOS_INVOC!$PT$84),"",DADOS_INVOC!$PT$84&amp;"")</f>
        <v/>
      </c>
      <c r="C1955" s="198" t="inlineStr">
        <is>
          <t>DADOS_INVOC!PT84</t>
        </is>
      </c>
      <c r="D1955" s="198" t="inlineStr">
        <is>
          <t>aviso</t>
        </is>
      </c>
    </row>
    <row r="1956">
      <c r="A1956" s="198" t="inlineStr">
        <is>
          <t>invocacao.7.esp.3.avisos</t>
        </is>
      </c>
      <c r="B1956" s="198">
        <f>IF(ISBLANK(DADOS_INVOC!$PV$84),"",DADOS_INVOC!$PV$84&amp;"")</f>
        <v/>
      </c>
      <c r="C1956" s="198" t="inlineStr">
        <is>
          <t>DADOS_INVOC!PV84</t>
        </is>
      </c>
      <c r="D1956" s="198" t="inlineStr">
        <is>
          <t>aviso</t>
        </is>
      </c>
    </row>
    <row r="1957">
      <c r="A1957" s="198" t="inlineStr">
        <is>
          <t>invocacao.7.esp.4.classe</t>
        </is>
      </c>
      <c r="B1957" s="198">
        <f>IF(ISBLANK(DADOS_INVOC!$MS$85),"",DADOS_INVOC!$MS$85&amp;"")</f>
        <v/>
      </c>
      <c r="C1957" s="198" t="inlineStr">
        <is>
          <t>DADOS_INVOC!MS85</t>
        </is>
      </c>
      <c r="D1957" s="198" t="inlineStr">
        <is>
          <t>entrada</t>
        </is>
      </c>
    </row>
    <row r="1958">
      <c r="A1958" s="198" t="inlineStr">
        <is>
          <t>invocacao.7.esp.4.nome</t>
        </is>
      </c>
      <c r="B1958" s="198">
        <f>IF(ISBLANK(DADOS_INVOC!$MT$85),"",DADOS_INVOC!$MT$85&amp;"")</f>
        <v/>
      </c>
      <c r="C1958" s="198" t="inlineStr">
        <is>
          <t>DADOS_INVOC!MT85</t>
        </is>
      </c>
      <c r="D1958" s="198" t="inlineStr">
        <is>
          <t>entrada</t>
        </is>
      </c>
    </row>
    <row r="1959">
      <c r="A1959" s="198" t="inlineStr">
        <is>
          <t>invocacao.7.esp.4.forma</t>
        </is>
      </c>
      <c r="B1959" s="198">
        <f>IF(ISBLANK(DADOS_INVOC!$MU$85),"",DADOS_INVOC!$MU$85&amp;"")</f>
        <v/>
      </c>
      <c r="C1959" s="198" t="inlineStr">
        <is>
          <t>DADOS_INVOC!MU85</t>
        </is>
      </c>
      <c r="D1959" s="198" t="inlineStr">
        <is>
          <t>entrada</t>
        </is>
      </c>
    </row>
    <row r="1960">
      <c r="A1960" s="198" t="inlineStr">
        <is>
          <t>invocacao.7.esp.4.pecas</t>
        </is>
      </c>
      <c r="B1960" s="198">
        <f>TEXTJOIN(" · ",TRUE,DADOS_INVOC!$MX$85,DADOS_INVOC!$MY$85,DADOS_INVOC!$MZ$85,DADOS_INVOC!$NA$85)</f>
        <v/>
      </c>
      <c r="C1960" s="198" t="inlineStr">
        <is>
          <t>DADOS_INVOC!MX85 DADOS_INVOC!MY85 DADOS_INVOC!MZ85 DADOS_INVOC!NA85</t>
        </is>
      </c>
      <c r="D1960" s="198" t="inlineStr">
        <is>
          <t>entrada</t>
        </is>
      </c>
    </row>
    <row r="1961">
      <c r="A1961" s="198" t="inlineStr">
        <is>
          <t>invocacao.7.esp.4.restricoes</t>
        </is>
      </c>
      <c r="B1961" s="198">
        <f>TEXTJOIN(" · ",TRUE,DADOS_INVOC!$NB$85,DADOS_INVOC!$NC$85)</f>
        <v/>
      </c>
      <c r="C1961" s="198" t="inlineStr">
        <is>
          <t>DADOS_INVOC!NB85 DADOS_INVOC!NC85</t>
        </is>
      </c>
      <c r="D1961" s="198" t="inlineStr">
        <is>
          <t>entrada</t>
        </is>
      </c>
    </row>
    <row r="1962">
      <c r="A1962" s="198" t="inlineStr">
        <is>
          <t>invocacao.7.esp.4.pe</t>
        </is>
      </c>
      <c r="B1962" s="198">
        <f>IF(ISBLANK(DADOS_INVOC!$QA$85),"",DADOS_INVOC!$QA$85&amp;"")</f>
        <v/>
      </c>
      <c r="C1962" s="198" t="inlineStr">
        <is>
          <t>DADOS_INVOC!QA85</t>
        </is>
      </c>
      <c r="D1962" s="198" t="inlineStr">
        <is>
          <t>resultado</t>
        </is>
      </c>
    </row>
    <row r="1963">
      <c r="A1963" s="198" t="inlineStr">
        <is>
          <t>invocacao.7.esp.4.dano</t>
        </is>
      </c>
      <c r="B1963" s="198">
        <f>IF(ISBLANK(DADOS_INVOC!$QE$85),"",DADOS_INVOC!$QE$85&amp;"")</f>
        <v/>
      </c>
      <c r="C1963" s="198" t="inlineStr">
        <is>
          <t>DADOS_INVOC!QE85</t>
        </is>
      </c>
      <c r="D1963" s="198" t="inlineStr">
        <is>
          <t>resultado</t>
        </is>
      </c>
    </row>
    <row r="1964">
      <c r="A1964" s="198" t="inlineStr">
        <is>
          <t>invocacao.7.esp.4.erros</t>
        </is>
      </c>
      <c r="B1964" s="198">
        <f>IF(ISBLANK(DADOS_INVOC!$PT$85),"",DADOS_INVOC!$PT$85&amp;"")</f>
        <v/>
      </c>
      <c r="C1964" s="198" t="inlineStr">
        <is>
          <t>DADOS_INVOC!PT85</t>
        </is>
      </c>
      <c r="D1964" s="198" t="inlineStr">
        <is>
          <t>aviso</t>
        </is>
      </c>
    </row>
    <row r="1965">
      <c r="A1965" s="198" t="inlineStr">
        <is>
          <t>invocacao.7.esp.4.avisos</t>
        </is>
      </c>
      <c r="B1965" s="198">
        <f>IF(ISBLANK(DADOS_INVOC!$PV$85),"",DADOS_INVOC!$PV$85&amp;"")</f>
        <v/>
      </c>
      <c r="C1965" s="198" t="inlineStr">
        <is>
          <t>DADOS_INVOC!PV85</t>
        </is>
      </c>
      <c r="D1965" s="198" t="inlineStr">
        <is>
          <t>aviso</t>
        </is>
      </c>
    </row>
    <row r="1966">
      <c r="A1966" s="198" t="inlineStr">
        <is>
          <t>invocacao.7.esp.5.classe</t>
        </is>
      </c>
      <c r="B1966" s="198">
        <f>IF(ISBLANK(DADOS_INVOC!$MS$86),"",DADOS_INVOC!$MS$86&amp;"")</f>
        <v/>
      </c>
      <c r="C1966" s="198" t="inlineStr">
        <is>
          <t>DADOS_INVOC!MS86</t>
        </is>
      </c>
      <c r="D1966" s="198" t="inlineStr">
        <is>
          <t>entrada</t>
        </is>
      </c>
    </row>
    <row r="1967">
      <c r="A1967" s="198" t="inlineStr">
        <is>
          <t>invocacao.7.esp.5.nome</t>
        </is>
      </c>
      <c r="B1967" s="198">
        <f>IF(ISBLANK(DADOS_INVOC!$MT$86),"",DADOS_INVOC!$MT$86&amp;"")</f>
        <v/>
      </c>
      <c r="C1967" s="198" t="inlineStr">
        <is>
          <t>DADOS_INVOC!MT86</t>
        </is>
      </c>
      <c r="D1967" s="198" t="inlineStr">
        <is>
          <t>entrada</t>
        </is>
      </c>
    </row>
    <row r="1968">
      <c r="A1968" s="198" t="inlineStr">
        <is>
          <t>invocacao.7.esp.5.forma</t>
        </is>
      </c>
      <c r="B1968" s="198">
        <f>IF(ISBLANK(DADOS_INVOC!$MU$86),"",DADOS_INVOC!$MU$86&amp;"")</f>
        <v/>
      </c>
      <c r="C1968" s="198" t="inlineStr">
        <is>
          <t>DADOS_INVOC!MU86</t>
        </is>
      </c>
      <c r="D1968" s="198" t="inlineStr">
        <is>
          <t>entrada</t>
        </is>
      </c>
    </row>
    <row r="1969">
      <c r="A1969" s="198" t="inlineStr">
        <is>
          <t>invocacao.7.esp.5.pecas</t>
        </is>
      </c>
      <c r="B1969" s="198">
        <f>TEXTJOIN(" · ",TRUE,DADOS_INVOC!$MX$86,DADOS_INVOC!$MY$86,DADOS_INVOC!$MZ$86,DADOS_INVOC!$NA$86)</f>
        <v/>
      </c>
      <c r="C1969" s="198" t="inlineStr">
        <is>
          <t>DADOS_INVOC!MX86 DADOS_INVOC!MY86 DADOS_INVOC!MZ86 DADOS_INVOC!NA86</t>
        </is>
      </c>
      <c r="D1969" s="198" t="inlineStr">
        <is>
          <t>entrada</t>
        </is>
      </c>
    </row>
    <row r="1970">
      <c r="A1970" s="198" t="inlineStr">
        <is>
          <t>invocacao.7.esp.5.restricoes</t>
        </is>
      </c>
      <c r="B1970" s="198">
        <f>TEXTJOIN(" · ",TRUE,DADOS_INVOC!$NB$86,DADOS_INVOC!$NC$86)</f>
        <v/>
      </c>
      <c r="C1970" s="198" t="inlineStr">
        <is>
          <t>DADOS_INVOC!NB86 DADOS_INVOC!NC86</t>
        </is>
      </c>
      <c r="D1970" s="198" t="inlineStr">
        <is>
          <t>entrada</t>
        </is>
      </c>
    </row>
    <row r="1971">
      <c r="A1971" s="198" t="inlineStr">
        <is>
          <t>invocacao.7.esp.5.pe</t>
        </is>
      </c>
      <c r="B1971" s="198">
        <f>IF(ISBLANK(DADOS_INVOC!$QA$86),"",DADOS_INVOC!$QA$86&amp;"")</f>
        <v/>
      </c>
      <c r="C1971" s="198" t="inlineStr">
        <is>
          <t>DADOS_INVOC!QA86</t>
        </is>
      </c>
      <c r="D1971" s="198" t="inlineStr">
        <is>
          <t>resultado</t>
        </is>
      </c>
    </row>
    <row r="1972">
      <c r="A1972" s="198" t="inlineStr">
        <is>
          <t>invocacao.7.esp.5.dano</t>
        </is>
      </c>
      <c r="B1972" s="198">
        <f>IF(ISBLANK(DADOS_INVOC!$QE$86),"",DADOS_INVOC!$QE$86&amp;"")</f>
        <v/>
      </c>
      <c r="C1972" s="198" t="inlineStr">
        <is>
          <t>DADOS_INVOC!QE86</t>
        </is>
      </c>
      <c r="D1972" s="198" t="inlineStr">
        <is>
          <t>resultado</t>
        </is>
      </c>
    </row>
    <row r="1973">
      <c r="A1973" s="198" t="inlineStr">
        <is>
          <t>invocacao.7.esp.5.erros</t>
        </is>
      </c>
      <c r="B1973" s="198">
        <f>IF(ISBLANK(DADOS_INVOC!$PT$86),"",DADOS_INVOC!$PT$86&amp;"")</f>
        <v/>
      </c>
      <c r="C1973" s="198" t="inlineStr">
        <is>
          <t>DADOS_INVOC!PT86</t>
        </is>
      </c>
      <c r="D1973" s="198" t="inlineStr">
        <is>
          <t>aviso</t>
        </is>
      </c>
    </row>
    <row r="1974">
      <c r="A1974" s="198" t="inlineStr">
        <is>
          <t>invocacao.7.esp.5.avisos</t>
        </is>
      </c>
      <c r="B1974" s="198">
        <f>IF(ISBLANK(DADOS_INVOC!$PV$86),"",DADOS_INVOC!$PV$86&amp;"")</f>
        <v/>
      </c>
      <c r="C1974" s="198" t="inlineStr">
        <is>
          <t>DADOS_INVOC!PV86</t>
        </is>
      </c>
      <c r="D1974" s="198" t="inlineStr">
        <is>
          <t>aviso</t>
        </is>
      </c>
    </row>
    <row r="1975">
      <c r="A1975" s="198" t="inlineStr">
        <is>
          <t>invocacao.7.esp.6.classe</t>
        </is>
      </c>
      <c r="B1975" s="198">
        <f>IF(ISBLANK(DADOS_INVOC!$MS$87),"",DADOS_INVOC!$MS$87&amp;"")</f>
        <v/>
      </c>
      <c r="C1975" s="198" t="inlineStr">
        <is>
          <t>DADOS_INVOC!MS87</t>
        </is>
      </c>
      <c r="D1975" s="198" t="inlineStr">
        <is>
          <t>entrada</t>
        </is>
      </c>
    </row>
    <row r="1976">
      <c r="A1976" s="198" t="inlineStr">
        <is>
          <t>invocacao.7.esp.6.nome</t>
        </is>
      </c>
      <c r="B1976" s="198">
        <f>IF(ISBLANK(DADOS_INVOC!$MT$87),"",DADOS_INVOC!$MT$87&amp;"")</f>
        <v/>
      </c>
      <c r="C1976" s="198" t="inlineStr">
        <is>
          <t>DADOS_INVOC!MT87</t>
        </is>
      </c>
      <c r="D1976" s="198" t="inlineStr">
        <is>
          <t>entrada</t>
        </is>
      </c>
    </row>
    <row r="1977">
      <c r="A1977" s="198" t="inlineStr">
        <is>
          <t>invocacao.7.esp.6.forma</t>
        </is>
      </c>
      <c r="B1977" s="198">
        <f>IF(ISBLANK(DADOS_INVOC!$MU$87),"",DADOS_INVOC!$MU$87&amp;"")</f>
        <v/>
      </c>
      <c r="C1977" s="198" t="inlineStr">
        <is>
          <t>DADOS_INVOC!MU87</t>
        </is>
      </c>
      <c r="D1977" s="198" t="inlineStr">
        <is>
          <t>entrada</t>
        </is>
      </c>
    </row>
    <row r="1978">
      <c r="A1978" s="198" t="inlineStr">
        <is>
          <t>invocacao.7.esp.6.pecas</t>
        </is>
      </c>
      <c r="B1978" s="198">
        <f>TEXTJOIN(" · ",TRUE,DADOS_INVOC!$MX$87,DADOS_INVOC!$MY$87,DADOS_INVOC!$MZ$87,DADOS_INVOC!$NA$87)</f>
        <v/>
      </c>
      <c r="C1978" s="198" t="inlineStr">
        <is>
          <t>DADOS_INVOC!MX87 DADOS_INVOC!MY87 DADOS_INVOC!MZ87 DADOS_INVOC!NA87</t>
        </is>
      </c>
      <c r="D1978" s="198" t="inlineStr">
        <is>
          <t>entrada</t>
        </is>
      </c>
    </row>
    <row r="1979">
      <c r="A1979" s="198" t="inlineStr">
        <is>
          <t>invocacao.7.esp.6.restricoes</t>
        </is>
      </c>
      <c r="B1979" s="198">
        <f>TEXTJOIN(" · ",TRUE,DADOS_INVOC!$NB$87,DADOS_INVOC!$NC$87)</f>
        <v/>
      </c>
      <c r="C1979" s="198" t="inlineStr">
        <is>
          <t>DADOS_INVOC!NB87 DADOS_INVOC!NC87</t>
        </is>
      </c>
      <c r="D1979" s="198" t="inlineStr">
        <is>
          <t>entrada</t>
        </is>
      </c>
    </row>
    <row r="1980">
      <c r="A1980" s="198" t="inlineStr">
        <is>
          <t>invocacao.7.esp.6.pe</t>
        </is>
      </c>
      <c r="B1980" s="198">
        <f>IF(ISBLANK(DADOS_INVOC!$QA$87),"",DADOS_INVOC!$QA$87&amp;"")</f>
        <v/>
      </c>
      <c r="C1980" s="198" t="inlineStr">
        <is>
          <t>DADOS_INVOC!QA87</t>
        </is>
      </c>
      <c r="D1980" s="198" t="inlineStr">
        <is>
          <t>resultado</t>
        </is>
      </c>
    </row>
    <row r="1981">
      <c r="A1981" s="198" t="inlineStr">
        <is>
          <t>invocacao.7.esp.6.dano</t>
        </is>
      </c>
      <c r="B1981" s="198">
        <f>IF(ISBLANK(DADOS_INVOC!$QE$87),"",DADOS_INVOC!$QE$87&amp;"")</f>
        <v/>
      </c>
      <c r="C1981" s="198" t="inlineStr">
        <is>
          <t>DADOS_INVOC!QE87</t>
        </is>
      </c>
      <c r="D1981" s="198" t="inlineStr">
        <is>
          <t>resultado</t>
        </is>
      </c>
    </row>
    <row r="1982">
      <c r="A1982" s="198" t="inlineStr">
        <is>
          <t>invocacao.7.esp.6.erros</t>
        </is>
      </c>
      <c r="B1982" s="198">
        <f>IF(ISBLANK(DADOS_INVOC!$PT$87),"",DADOS_INVOC!$PT$87&amp;"")</f>
        <v/>
      </c>
      <c r="C1982" s="198" t="inlineStr">
        <is>
          <t>DADOS_INVOC!PT87</t>
        </is>
      </c>
      <c r="D1982" s="198" t="inlineStr">
        <is>
          <t>aviso</t>
        </is>
      </c>
    </row>
    <row r="1983">
      <c r="A1983" s="198" t="inlineStr">
        <is>
          <t>invocacao.7.esp.6.avisos</t>
        </is>
      </c>
      <c r="B1983" s="198">
        <f>IF(ISBLANK(DADOS_INVOC!$PV$87),"",DADOS_INVOC!$PV$87&amp;"")</f>
        <v/>
      </c>
      <c r="C1983" s="198" t="inlineStr">
        <is>
          <t>DADOS_INVOC!PV87</t>
        </is>
      </c>
      <c r="D1983" s="198" t="inlineStr">
        <is>
          <t>aviso</t>
        </is>
      </c>
    </row>
    <row r="1984">
      <c r="A1984" s="198" t="inlineStr">
        <is>
          <t>invocacao.7.esp.7.classe</t>
        </is>
      </c>
      <c r="B1984" s="198">
        <f>IF(ISBLANK(DADOS_INVOC!$MS$88),"",DADOS_INVOC!$MS$88&amp;"")</f>
        <v/>
      </c>
      <c r="C1984" s="198" t="inlineStr">
        <is>
          <t>DADOS_INVOC!MS88</t>
        </is>
      </c>
      <c r="D1984" s="198" t="inlineStr">
        <is>
          <t>entrada</t>
        </is>
      </c>
    </row>
    <row r="1985">
      <c r="A1985" s="198" t="inlineStr">
        <is>
          <t>invocacao.7.esp.7.nome</t>
        </is>
      </c>
      <c r="B1985" s="198">
        <f>IF(ISBLANK(DADOS_INVOC!$MT$88),"",DADOS_INVOC!$MT$88&amp;"")</f>
        <v/>
      </c>
      <c r="C1985" s="198" t="inlineStr">
        <is>
          <t>DADOS_INVOC!MT88</t>
        </is>
      </c>
      <c r="D1985" s="198" t="inlineStr">
        <is>
          <t>entrada</t>
        </is>
      </c>
    </row>
    <row r="1986">
      <c r="A1986" s="198" t="inlineStr">
        <is>
          <t>invocacao.7.esp.7.forma</t>
        </is>
      </c>
      <c r="B1986" s="198">
        <f>IF(ISBLANK(DADOS_INVOC!$MU$88),"",DADOS_INVOC!$MU$88&amp;"")</f>
        <v/>
      </c>
      <c r="C1986" s="198" t="inlineStr">
        <is>
          <t>DADOS_INVOC!MU88</t>
        </is>
      </c>
      <c r="D1986" s="198" t="inlineStr">
        <is>
          <t>entrada</t>
        </is>
      </c>
    </row>
    <row r="1987">
      <c r="A1987" s="198" t="inlineStr">
        <is>
          <t>invocacao.7.esp.7.pecas</t>
        </is>
      </c>
      <c r="B1987" s="198">
        <f>TEXTJOIN(" · ",TRUE,DADOS_INVOC!$MX$88,DADOS_INVOC!$MY$88,DADOS_INVOC!$MZ$88,DADOS_INVOC!$NA$88)</f>
        <v/>
      </c>
      <c r="C1987" s="198" t="inlineStr">
        <is>
          <t>DADOS_INVOC!MX88 DADOS_INVOC!MY88 DADOS_INVOC!MZ88 DADOS_INVOC!NA88</t>
        </is>
      </c>
      <c r="D1987" s="198" t="inlineStr">
        <is>
          <t>entrada</t>
        </is>
      </c>
    </row>
    <row r="1988">
      <c r="A1988" s="198" t="inlineStr">
        <is>
          <t>invocacao.7.esp.7.restricoes</t>
        </is>
      </c>
      <c r="B1988" s="198">
        <f>TEXTJOIN(" · ",TRUE,DADOS_INVOC!$NB$88,DADOS_INVOC!$NC$88)</f>
        <v/>
      </c>
      <c r="C1988" s="198" t="inlineStr">
        <is>
          <t>DADOS_INVOC!NB88 DADOS_INVOC!NC88</t>
        </is>
      </c>
      <c r="D1988" s="198" t="inlineStr">
        <is>
          <t>entrada</t>
        </is>
      </c>
    </row>
    <row r="1989">
      <c r="A1989" s="198" t="inlineStr">
        <is>
          <t>invocacao.7.esp.7.pe</t>
        </is>
      </c>
      <c r="B1989" s="198">
        <f>IF(ISBLANK(DADOS_INVOC!$QA$88),"",DADOS_INVOC!$QA$88&amp;"")</f>
        <v/>
      </c>
      <c r="C1989" s="198" t="inlineStr">
        <is>
          <t>DADOS_INVOC!QA88</t>
        </is>
      </c>
      <c r="D1989" s="198" t="inlineStr">
        <is>
          <t>resultado</t>
        </is>
      </c>
    </row>
    <row r="1990">
      <c r="A1990" s="198" t="inlineStr">
        <is>
          <t>invocacao.7.esp.7.dano</t>
        </is>
      </c>
      <c r="B1990" s="198">
        <f>IF(ISBLANK(DADOS_INVOC!$QE$88),"",DADOS_INVOC!$QE$88&amp;"")</f>
        <v/>
      </c>
      <c r="C1990" s="198" t="inlineStr">
        <is>
          <t>DADOS_INVOC!QE88</t>
        </is>
      </c>
      <c r="D1990" s="198" t="inlineStr">
        <is>
          <t>resultado</t>
        </is>
      </c>
    </row>
    <row r="1991">
      <c r="A1991" s="198" t="inlineStr">
        <is>
          <t>invocacao.7.esp.7.erros</t>
        </is>
      </c>
      <c r="B1991" s="198">
        <f>IF(ISBLANK(DADOS_INVOC!$PT$88),"",DADOS_INVOC!$PT$88&amp;"")</f>
        <v/>
      </c>
      <c r="C1991" s="198" t="inlineStr">
        <is>
          <t>DADOS_INVOC!PT88</t>
        </is>
      </c>
      <c r="D1991" s="198" t="inlineStr">
        <is>
          <t>aviso</t>
        </is>
      </c>
    </row>
    <row r="1992">
      <c r="A1992" s="198" t="inlineStr">
        <is>
          <t>invocacao.7.esp.7.avisos</t>
        </is>
      </c>
      <c r="B1992" s="198">
        <f>IF(ISBLANK(DADOS_INVOC!$PV$88),"",DADOS_INVOC!$PV$88&amp;"")</f>
        <v/>
      </c>
      <c r="C1992" s="198" t="inlineStr">
        <is>
          <t>DADOS_INVOC!PV88</t>
        </is>
      </c>
      <c r="D1992" s="198" t="inlineStr">
        <is>
          <t>aviso</t>
        </is>
      </c>
    </row>
    <row r="1993">
      <c r="A1993" s="198" t="inlineStr">
        <is>
          <t>invocacao.7.esp.8.classe</t>
        </is>
      </c>
      <c r="B1993" s="198">
        <f>IF(ISBLANK(DADOS_INVOC!$MS$89),"",DADOS_INVOC!$MS$89&amp;"")</f>
        <v/>
      </c>
      <c r="C1993" s="198" t="inlineStr">
        <is>
          <t>DADOS_INVOC!MS89</t>
        </is>
      </c>
      <c r="D1993" s="198" t="inlineStr">
        <is>
          <t>entrada</t>
        </is>
      </c>
    </row>
    <row r="1994">
      <c r="A1994" s="198" t="inlineStr">
        <is>
          <t>invocacao.7.esp.8.nome</t>
        </is>
      </c>
      <c r="B1994" s="198">
        <f>IF(ISBLANK(DADOS_INVOC!$MT$89),"",DADOS_INVOC!$MT$89&amp;"")</f>
        <v/>
      </c>
      <c r="C1994" s="198" t="inlineStr">
        <is>
          <t>DADOS_INVOC!MT89</t>
        </is>
      </c>
      <c r="D1994" s="198" t="inlineStr">
        <is>
          <t>entrada</t>
        </is>
      </c>
    </row>
    <row r="1995">
      <c r="A1995" s="198" t="inlineStr">
        <is>
          <t>invocacao.7.esp.8.forma</t>
        </is>
      </c>
      <c r="B1995" s="198">
        <f>IF(ISBLANK(DADOS_INVOC!$MU$89),"",DADOS_INVOC!$MU$89&amp;"")</f>
        <v/>
      </c>
      <c r="C1995" s="198" t="inlineStr">
        <is>
          <t>DADOS_INVOC!MU89</t>
        </is>
      </c>
      <c r="D1995" s="198" t="inlineStr">
        <is>
          <t>entrada</t>
        </is>
      </c>
    </row>
    <row r="1996">
      <c r="A1996" s="198" t="inlineStr">
        <is>
          <t>invocacao.7.esp.8.pecas</t>
        </is>
      </c>
      <c r="B1996" s="198">
        <f>TEXTJOIN(" · ",TRUE,DADOS_INVOC!$MX$89,DADOS_INVOC!$MY$89,DADOS_INVOC!$MZ$89,DADOS_INVOC!$NA$89)</f>
        <v/>
      </c>
      <c r="C1996" s="198" t="inlineStr">
        <is>
          <t>DADOS_INVOC!MX89 DADOS_INVOC!MY89 DADOS_INVOC!MZ89 DADOS_INVOC!NA89</t>
        </is>
      </c>
      <c r="D1996" s="198" t="inlineStr">
        <is>
          <t>entrada</t>
        </is>
      </c>
    </row>
    <row r="1997">
      <c r="A1997" s="198" t="inlineStr">
        <is>
          <t>invocacao.7.esp.8.restricoes</t>
        </is>
      </c>
      <c r="B1997" s="198">
        <f>TEXTJOIN(" · ",TRUE,DADOS_INVOC!$NB$89,DADOS_INVOC!$NC$89)</f>
        <v/>
      </c>
      <c r="C1997" s="198" t="inlineStr">
        <is>
          <t>DADOS_INVOC!NB89 DADOS_INVOC!NC89</t>
        </is>
      </c>
      <c r="D1997" s="198" t="inlineStr">
        <is>
          <t>entrada</t>
        </is>
      </c>
    </row>
    <row r="1998">
      <c r="A1998" s="198" t="inlineStr">
        <is>
          <t>invocacao.7.esp.8.pe</t>
        </is>
      </c>
      <c r="B1998" s="198">
        <f>IF(ISBLANK(DADOS_INVOC!$QA$89),"",DADOS_INVOC!$QA$89&amp;"")</f>
        <v/>
      </c>
      <c r="C1998" s="198" t="inlineStr">
        <is>
          <t>DADOS_INVOC!QA89</t>
        </is>
      </c>
      <c r="D1998" s="198" t="inlineStr">
        <is>
          <t>resultado</t>
        </is>
      </c>
    </row>
    <row r="1999">
      <c r="A1999" s="198" t="inlineStr">
        <is>
          <t>invocacao.7.esp.8.dano</t>
        </is>
      </c>
      <c r="B1999" s="198">
        <f>IF(ISBLANK(DADOS_INVOC!$QE$89),"",DADOS_INVOC!$QE$89&amp;"")</f>
        <v/>
      </c>
      <c r="C1999" s="198" t="inlineStr">
        <is>
          <t>DADOS_INVOC!QE89</t>
        </is>
      </c>
      <c r="D1999" s="198" t="inlineStr">
        <is>
          <t>resultado</t>
        </is>
      </c>
    </row>
    <row r="2000">
      <c r="A2000" s="198" t="inlineStr">
        <is>
          <t>invocacao.7.esp.8.erros</t>
        </is>
      </c>
      <c r="B2000" s="198">
        <f>IF(ISBLANK(DADOS_INVOC!$PT$89),"",DADOS_INVOC!$PT$89&amp;"")</f>
        <v/>
      </c>
      <c r="C2000" s="198" t="inlineStr">
        <is>
          <t>DADOS_INVOC!PT89</t>
        </is>
      </c>
      <c r="D2000" s="198" t="inlineStr">
        <is>
          <t>aviso</t>
        </is>
      </c>
    </row>
    <row r="2001">
      <c r="A2001" s="198" t="inlineStr">
        <is>
          <t>invocacao.7.esp.8.avisos</t>
        </is>
      </c>
      <c r="B2001" s="198">
        <f>IF(ISBLANK(DADOS_INVOC!$PV$89),"",DADOS_INVOC!$PV$89&amp;"")</f>
        <v/>
      </c>
      <c r="C2001" s="198" t="inlineStr">
        <is>
          <t>DADOS_INVOC!PV89</t>
        </is>
      </c>
      <c r="D2001" s="198" t="inlineStr">
        <is>
          <t>aviso</t>
        </is>
      </c>
    </row>
    <row r="2002">
      <c r="A2002" s="198" t="inlineStr">
        <is>
          <t>invocacao.7.ext.1.classe</t>
        </is>
      </c>
      <c r="B2002" s="198">
        <f>IF(ISBLANK(DADOS_INVOC!$MS$90),"",DADOS_INVOC!$MS$90&amp;"")</f>
        <v/>
      </c>
      <c r="C2002" s="198" t="inlineStr">
        <is>
          <t>DADOS_INVOC!MS90</t>
        </is>
      </c>
      <c r="D2002" s="198" t="inlineStr">
        <is>
          <t>entrada</t>
        </is>
      </c>
    </row>
    <row r="2003">
      <c r="A2003" s="198" t="inlineStr">
        <is>
          <t>invocacao.7.ext.1.nome</t>
        </is>
      </c>
      <c r="B2003" s="198">
        <f>IF(ISBLANK(DADOS_INVOC!$MT$90),"",DADOS_INVOC!$MT$90&amp;"")</f>
        <v/>
      </c>
      <c r="C2003" s="198" t="inlineStr">
        <is>
          <t>DADOS_INVOC!MT90</t>
        </is>
      </c>
      <c r="D2003" s="198" t="inlineStr">
        <is>
          <t>entrada</t>
        </is>
      </c>
    </row>
    <row r="2004">
      <c r="A2004" s="198" t="inlineStr">
        <is>
          <t>invocacao.7.ext.1.forma</t>
        </is>
      </c>
      <c r="B2004" s="198">
        <f>IF(ISBLANK(DADOS_INVOC!$MU$90),"",DADOS_INVOC!$MU$90&amp;"")</f>
        <v/>
      </c>
      <c r="C2004" s="198" t="inlineStr">
        <is>
          <t>DADOS_INVOC!MU90</t>
        </is>
      </c>
      <c r="D2004" s="198" t="inlineStr">
        <is>
          <t>entrada</t>
        </is>
      </c>
    </row>
    <row r="2005">
      <c r="A2005" s="198" t="inlineStr">
        <is>
          <t>invocacao.7.ext.1.pecas</t>
        </is>
      </c>
      <c r="B2005" s="198">
        <f>TEXTJOIN(" · ",TRUE,DADOS_INVOC!$MX$90,DADOS_INVOC!$MY$90,DADOS_INVOC!$MZ$90,DADOS_INVOC!$NA$90)</f>
        <v/>
      </c>
      <c r="C2005" s="198" t="inlineStr">
        <is>
          <t>DADOS_INVOC!MX90 DADOS_INVOC!MY90 DADOS_INVOC!MZ90 DADOS_INVOC!NA90</t>
        </is>
      </c>
      <c r="D2005" s="198" t="inlineStr">
        <is>
          <t>entrada</t>
        </is>
      </c>
    </row>
    <row r="2006">
      <c r="A2006" s="198" t="inlineStr">
        <is>
          <t>invocacao.7.ext.1.restricoes</t>
        </is>
      </c>
      <c r="B2006" s="198">
        <f>TEXTJOIN(" · ",TRUE,DADOS_INVOC!$NB$90,DADOS_INVOC!$NC$90)</f>
        <v/>
      </c>
      <c r="C2006" s="198" t="inlineStr">
        <is>
          <t>DADOS_INVOC!NB90 DADOS_INVOC!NC90</t>
        </is>
      </c>
      <c r="D2006" s="198" t="inlineStr">
        <is>
          <t>entrada</t>
        </is>
      </c>
    </row>
    <row r="2007">
      <c r="A2007" s="198" t="inlineStr">
        <is>
          <t>invocacao.7.ext.1.pe</t>
        </is>
      </c>
      <c r="B2007" s="198">
        <f>IF(ISBLANK(DADOS_INVOC!$QA$90),"",DADOS_INVOC!$QA$90&amp;"")</f>
        <v/>
      </c>
      <c r="C2007" s="198" t="inlineStr">
        <is>
          <t>DADOS_INVOC!QA90</t>
        </is>
      </c>
      <c r="D2007" s="198" t="inlineStr">
        <is>
          <t>resultado</t>
        </is>
      </c>
    </row>
    <row r="2008">
      <c r="A2008" s="198" t="inlineStr">
        <is>
          <t>invocacao.7.ext.1.dano</t>
        </is>
      </c>
      <c r="B2008" s="198">
        <f>IF(ISBLANK(DADOS_INVOC!$QE$90),"",DADOS_INVOC!$QE$90&amp;"")</f>
        <v/>
      </c>
      <c r="C2008" s="198" t="inlineStr">
        <is>
          <t>DADOS_INVOC!QE90</t>
        </is>
      </c>
      <c r="D2008" s="198" t="inlineStr">
        <is>
          <t>resultado</t>
        </is>
      </c>
    </row>
    <row r="2009">
      <c r="A2009" s="198" t="inlineStr">
        <is>
          <t>invocacao.7.ext.1.erros</t>
        </is>
      </c>
      <c r="B2009" s="198">
        <f>IF(ISBLANK(DADOS_INVOC!$PT$90),"",DADOS_INVOC!$PT$90&amp;"")</f>
        <v/>
      </c>
      <c r="C2009" s="198" t="inlineStr">
        <is>
          <t>DADOS_INVOC!PT90</t>
        </is>
      </c>
      <c r="D2009" s="198" t="inlineStr">
        <is>
          <t>aviso</t>
        </is>
      </c>
    </row>
    <row r="2010">
      <c r="A2010" s="198" t="inlineStr">
        <is>
          <t>invocacao.7.ext.1.avisos</t>
        </is>
      </c>
      <c r="B2010" s="198">
        <f>IF(ISBLANK(DADOS_INVOC!$PV$90),"",DADOS_INVOC!$PV$90&amp;"")</f>
        <v/>
      </c>
      <c r="C2010" s="198" t="inlineStr">
        <is>
          <t>DADOS_INVOC!PV90</t>
        </is>
      </c>
      <c r="D2010" s="198" t="inlineStr">
        <is>
          <t>aviso</t>
        </is>
      </c>
    </row>
    <row r="2011">
      <c r="A2011" s="198" t="inlineStr">
        <is>
          <t>invocacao.7.ext.2.classe</t>
        </is>
      </c>
      <c r="B2011" s="198">
        <f>IF(ISBLANK(DADOS_INVOC!$MS$91),"",DADOS_INVOC!$MS$91&amp;"")</f>
        <v/>
      </c>
      <c r="C2011" s="198" t="inlineStr">
        <is>
          <t>DADOS_INVOC!MS91</t>
        </is>
      </c>
      <c r="D2011" s="198" t="inlineStr">
        <is>
          <t>entrada</t>
        </is>
      </c>
    </row>
    <row r="2012">
      <c r="A2012" s="198" t="inlineStr">
        <is>
          <t>invocacao.7.ext.2.nome</t>
        </is>
      </c>
      <c r="B2012" s="198">
        <f>IF(ISBLANK(DADOS_INVOC!$MT$91),"",DADOS_INVOC!$MT$91&amp;"")</f>
        <v/>
      </c>
      <c r="C2012" s="198" t="inlineStr">
        <is>
          <t>DADOS_INVOC!MT91</t>
        </is>
      </c>
      <c r="D2012" s="198" t="inlineStr">
        <is>
          <t>entrada</t>
        </is>
      </c>
    </row>
    <row r="2013">
      <c r="A2013" s="198" t="inlineStr">
        <is>
          <t>invocacao.7.ext.2.forma</t>
        </is>
      </c>
      <c r="B2013" s="198">
        <f>IF(ISBLANK(DADOS_INVOC!$MU$91),"",DADOS_INVOC!$MU$91&amp;"")</f>
        <v/>
      </c>
      <c r="C2013" s="198" t="inlineStr">
        <is>
          <t>DADOS_INVOC!MU91</t>
        </is>
      </c>
      <c r="D2013" s="198" t="inlineStr">
        <is>
          <t>entrada</t>
        </is>
      </c>
    </row>
    <row r="2014">
      <c r="A2014" s="198" t="inlineStr">
        <is>
          <t>invocacao.7.ext.2.pecas</t>
        </is>
      </c>
      <c r="B2014" s="198">
        <f>TEXTJOIN(" · ",TRUE,DADOS_INVOC!$MX$91,DADOS_INVOC!$MY$91,DADOS_INVOC!$MZ$91,DADOS_INVOC!$NA$91)</f>
        <v/>
      </c>
      <c r="C2014" s="198" t="inlineStr">
        <is>
          <t>DADOS_INVOC!MX91 DADOS_INVOC!MY91 DADOS_INVOC!MZ91 DADOS_INVOC!NA91</t>
        </is>
      </c>
      <c r="D2014" s="198" t="inlineStr">
        <is>
          <t>entrada</t>
        </is>
      </c>
    </row>
    <row r="2015">
      <c r="A2015" s="198" t="inlineStr">
        <is>
          <t>invocacao.7.ext.2.restricoes</t>
        </is>
      </c>
      <c r="B2015" s="198">
        <f>TEXTJOIN(" · ",TRUE,DADOS_INVOC!$NB$91,DADOS_INVOC!$NC$91)</f>
        <v/>
      </c>
      <c r="C2015" s="198" t="inlineStr">
        <is>
          <t>DADOS_INVOC!NB91 DADOS_INVOC!NC91</t>
        </is>
      </c>
      <c r="D2015" s="198" t="inlineStr">
        <is>
          <t>entrada</t>
        </is>
      </c>
    </row>
    <row r="2016">
      <c r="A2016" s="198" t="inlineStr">
        <is>
          <t>invocacao.7.ext.2.pe</t>
        </is>
      </c>
      <c r="B2016" s="198">
        <f>IF(ISBLANK(DADOS_INVOC!$QA$91),"",DADOS_INVOC!$QA$91&amp;"")</f>
        <v/>
      </c>
      <c r="C2016" s="198" t="inlineStr">
        <is>
          <t>DADOS_INVOC!QA91</t>
        </is>
      </c>
      <c r="D2016" s="198" t="inlineStr">
        <is>
          <t>resultado</t>
        </is>
      </c>
    </row>
    <row r="2017">
      <c r="A2017" s="198" t="inlineStr">
        <is>
          <t>invocacao.7.ext.2.dano</t>
        </is>
      </c>
      <c r="B2017" s="198">
        <f>IF(ISBLANK(DADOS_INVOC!$QE$91),"",DADOS_INVOC!$QE$91&amp;"")</f>
        <v/>
      </c>
      <c r="C2017" s="198" t="inlineStr">
        <is>
          <t>DADOS_INVOC!QE91</t>
        </is>
      </c>
      <c r="D2017" s="198" t="inlineStr">
        <is>
          <t>resultado</t>
        </is>
      </c>
    </row>
    <row r="2018">
      <c r="A2018" s="198" t="inlineStr">
        <is>
          <t>invocacao.7.ext.2.erros</t>
        </is>
      </c>
      <c r="B2018" s="198">
        <f>IF(ISBLANK(DADOS_INVOC!$PT$91),"",DADOS_INVOC!$PT$91&amp;"")</f>
        <v/>
      </c>
      <c r="C2018" s="198" t="inlineStr">
        <is>
          <t>DADOS_INVOC!PT91</t>
        </is>
      </c>
      <c r="D2018" s="198" t="inlineStr">
        <is>
          <t>aviso</t>
        </is>
      </c>
    </row>
    <row r="2019">
      <c r="A2019" s="198" t="inlineStr">
        <is>
          <t>invocacao.7.ext.2.avisos</t>
        </is>
      </c>
      <c r="B2019" s="198">
        <f>IF(ISBLANK(DADOS_INVOC!$PV$91),"",DADOS_INVOC!$PV$91&amp;"")</f>
        <v/>
      </c>
      <c r="C2019" s="198" t="inlineStr">
        <is>
          <t>DADOS_INVOC!PV91</t>
        </is>
      </c>
      <c r="D2019" s="198" t="inlineStr">
        <is>
          <t>aviso</t>
        </is>
      </c>
    </row>
    <row r="2020">
      <c r="A2020" s="198" t="inlineStr">
        <is>
          <t>invocacao.7.ext.3.classe</t>
        </is>
      </c>
      <c r="B2020" s="198">
        <f>IF(ISBLANK(DADOS_INVOC!$MS$92),"",DADOS_INVOC!$MS$92&amp;"")</f>
        <v/>
      </c>
      <c r="C2020" s="198" t="inlineStr">
        <is>
          <t>DADOS_INVOC!MS92</t>
        </is>
      </c>
      <c r="D2020" s="198" t="inlineStr">
        <is>
          <t>entrada</t>
        </is>
      </c>
    </row>
    <row r="2021">
      <c r="A2021" s="198" t="inlineStr">
        <is>
          <t>invocacao.7.ext.3.nome</t>
        </is>
      </c>
      <c r="B2021" s="198">
        <f>IF(ISBLANK(DADOS_INVOC!$MT$92),"",DADOS_INVOC!$MT$92&amp;"")</f>
        <v/>
      </c>
      <c r="C2021" s="198" t="inlineStr">
        <is>
          <t>DADOS_INVOC!MT92</t>
        </is>
      </c>
      <c r="D2021" s="198" t="inlineStr">
        <is>
          <t>entrada</t>
        </is>
      </c>
    </row>
    <row r="2022">
      <c r="A2022" s="198" t="inlineStr">
        <is>
          <t>invocacao.7.ext.3.forma</t>
        </is>
      </c>
      <c r="B2022" s="198">
        <f>IF(ISBLANK(DADOS_INVOC!$MU$92),"",DADOS_INVOC!$MU$92&amp;"")</f>
        <v/>
      </c>
      <c r="C2022" s="198" t="inlineStr">
        <is>
          <t>DADOS_INVOC!MU92</t>
        </is>
      </c>
      <c r="D2022" s="198" t="inlineStr">
        <is>
          <t>entrada</t>
        </is>
      </c>
    </row>
    <row r="2023">
      <c r="A2023" s="198" t="inlineStr">
        <is>
          <t>invocacao.7.ext.3.pecas</t>
        </is>
      </c>
      <c r="B2023" s="198">
        <f>TEXTJOIN(" · ",TRUE,DADOS_INVOC!$MX$92,DADOS_INVOC!$MY$92,DADOS_INVOC!$MZ$92,DADOS_INVOC!$NA$92)</f>
        <v/>
      </c>
      <c r="C2023" s="198" t="inlineStr">
        <is>
          <t>DADOS_INVOC!MX92 DADOS_INVOC!MY92 DADOS_INVOC!MZ92 DADOS_INVOC!NA92</t>
        </is>
      </c>
      <c r="D2023" s="198" t="inlineStr">
        <is>
          <t>entrada</t>
        </is>
      </c>
    </row>
    <row r="2024">
      <c r="A2024" s="198" t="inlineStr">
        <is>
          <t>invocacao.7.ext.3.restricoes</t>
        </is>
      </c>
      <c r="B2024" s="198">
        <f>TEXTJOIN(" · ",TRUE,DADOS_INVOC!$NB$92,DADOS_INVOC!$NC$92)</f>
        <v/>
      </c>
      <c r="C2024" s="198" t="inlineStr">
        <is>
          <t>DADOS_INVOC!NB92 DADOS_INVOC!NC92</t>
        </is>
      </c>
      <c r="D2024" s="198" t="inlineStr">
        <is>
          <t>entrada</t>
        </is>
      </c>
    </row>
    <row r="2025">
      <c r="A2025" s="198" t="inlineStr">
        <is>
          <t>invocacao.7.ext.3.pe</t>
        </is>
      </c>
      <c r="B2025" s="198">
        <f>IF(ISBLANK(DADOS_INVOC!$QA$92),"",DADOS_INVOC!$QA$92&amp;"")</f>
        <v/>
      </c>
      <c r="C2025" s="198" t="inlineStr">
        <is>
          <t>DADOS_INVOC!QA92</t>
        </is>
      </c>
      <c r="D2025" s="198" t="inlineStr">
        <is>
          <t>resultado</t>
        </is>
      </c>
    </row>
    <row r="2026">
      <c r="A2026" s="198" t="inlineStr">
        <is>
          <t>invocacao.7.ext.3.dano</t>
        </is>
      </c>
      <c r="B2026" s="198">
        <f>IF(ISBLANK(DADOS_INVOC!$QE$92),"",DADOS_INVOC!$QE$92&amp;"")</f>
        <v/>
      </c>
      <c r="C2026" s="198" t="inlineStr">
        <is>
          <t>DADOS_INVOC!QE92</t>
        </is>
      </c>
      <c r="D2026" s="198" t="inlineStr">
        <is>
          <t>resultado</t>
        </is>
      </c>
    </row>
    <row r="2027">
      <c r="A2027" s="198" t="inlineStr">
        <is>
          <t>invocacao.7.ext.3.erros</t>
        </is>
      </c>
      <c r="B2027" s="198">
        <f>IF(ISBLANK(DADOS_INVOC!$PT$92),"",DADOS_INVOC!$PT$92&amp;"")</f>
        <v/>
      </c>
      <c r="C2027" s="198" t="inlineStr">
        <is>
          <t>DADOS_INVOC!PT92</t>
        </is>
      </c>
      <c r="D2027" s="198" t="inlineStr">
        <is>
          <t>aviso</t>
        </is>
      </c>
    </row>
    <row r="2028">
      <c r="A2028" s="198" t="inlineStr">
        <is>
          <t>invocacao.7.ext.3.avisos</t>
        </is>
      </c>
      <c r="B2028" s="198">
        <f>IF(ISBLANK(DADOS_INVOC!$PV$92),"",DADOS_INVOC!$PV$92&amp;"")</f>
        <v/>
      </c>
      <c r="C2028" s="198" t="inlineStr">
        <is>
          <t>DADOS_INVOC!PV92</t>
        </is>
      </c>
      <c r="D2028" s="198" t="inlineStr">
        <is>
          <t>aviso</t>
        </is>
      </c>
    </row>
    <row r="2029">
      <c r="A2029" s="198" t="inlineStr">
        <is>
          <t>invocacao.8.bas.1.classe</t>
        </is>
      </c>
      <c r="B2029" s="198">
        <f>IF(ISBLANK(DADOS_INVOC!$MS$93),"",DADOS_INVOC!$MS$93&amp;"")</f>
        <v/>
      </c>
      <c r="C2029" s="198" t="inlineStr">
        <is>
          <t>DADOS_INVOC!MS93</t>
        </is>
      </c>
      <c r="D2029" s="198" t="inlineStr">
        <is>
          <t>entrada</t>
        </is>
      </c>
    </row>
    <row r="2030">
      <c r="A2030" s="198" t="inlineStr">
        <is>
          <t>invocacao.8.bas.1.nome</t>
        </is>
      </c>
      <c r="B2030" s="198">
        <f>IF(ISBLANK(DADOS_INVOC!$MT$93),"",DADOS_INVOC!$MT$93&amp;"")</f>
        <v/>
      </c>
      <c r="C2030" s="198" t="inlineStr">
        <is>
          <t>DADOS_INVOC!MT93</t>
        </is>
      </c>
      <c r="D2030" s="198" t="inlineStr">
        <is>
          <t>entrada</t>
        </is>
      </c>
    </row>
    <row r="2031">
      <c r="A2031" s="198" t="inlineStr">
        <is>
          <t>invocacao.8.bas.1.forma</t>
        </is>
      </c>
      <c r="B2031" s="198">
        <f>IF(ISBLANK(DADOS_INVOC!$MU$93),"",DADOS_INVOC!$MU$93&amp;"")</f>
        <v/>
      </c>
      <c r="C2031" s="198" t="inlineStr">
        <is>
          <t>DADOS_INVOC!MU93</t>
        </is>
      </c>
      <c r="D2031" s="198" t="inlineStr">
        <is>
          <t>entrada</t>
        </is>
      </c>
    </row>
    <row r="2032">
      <c r="A2032" s="198" t="inlineStr">
        <is>
          <t>invocacao.8.bas.1.pecas</t>
        </is>
      </c>
      <c r="B2032" s="198">
        <f>TEXTJOIN(" · ",TRUE,DADOS_INVOC!$MX$93,DADOS_INVOC!$MY$93,DADOS_INVOC!$MZ$93,DADOS_INVOC!$NA$93)</f>
        <v/>
      </c>
      <c r="C2032" s="198" t="inlineStr">
        <is>
          <t>DADOS_INVOC!MX93 DADOS_INVOC!MY93 DADOS_INVOC!MZ93 DADOS_INVOC!NA93</t>
        </is>
      </c>
      <c r="D2032" s="198" t="inlineStr">
        <is>
          <t>entrada</t>
        </is>
      </c>
    </row>
    <row r="2033">
      <c r="A2033" s="198" t="inlineStr">
        <is>
          <t>invocacao.8.bas.1.restricoes</t>
        </is>
      </c>
      <c r="B2033" s="198">
        <f>TEXTJOIN(" · ",TRUE,DADOS_INVOC!$NB$93,DADOS_INVOC!$NC$93)</f>
        <v/>
      </c>
      <c r="C2033" s="198" t="inlineStr">
        <is>
          <t>DADOS_INVOC!NB93 DADOS_INVOC!NC93</t>
        </is>
      </c>
      <c r="D2033" s="198" t="inlineStr">
        <is>
          <t>entrada</t>
        </is>
      </c>
    </row>
    <row r="2034">
      <c r="A2034" s="198" t="inlineStr">
        <is>
          <t>invocacao.8.bas.1.pe</t>
        </is>
      </c>
      <c r="B2034" s="198">
        <f>IF(ISBLANK(DADOS_INVOC!$QA$93),"",DADOS_INVOC!$QA$93&amp;"")</f>
        <v/>
      </c>
      <c r="C2034" s="198" t="inlineStr">
        <is>
          <t>DADOS_INVOC!QA93</t>
        </is>
      </c>
      <c r="D2034" s="198" t="inlineStr">
        <is>
          <t>resultado</t>
        </is>
      </c>
    </row>
    <row r="2035">
      <c r="A2035" s="198" t="inlineStr">
        <is>
          <t>invocacao.8.bas.1.dano</t>
        </is>
      </c>
      <c r="B2035" s="198">
        <f>IF(ISBLANK(DADOS_INVOC!$QE$93),"",DADOS_INVOC!$QE$93&amp;"")</f>
        <v/>
      </c>
      <c r="C2035" s="198" t="inlineStr">
        <is>
          <t>DADOS_INVOC!QE93</t>
        </is>
      </c>
      <c r="D2035" s="198" t="inlineStr">
        <is>
          <t>resultado</t>
        </is>
      </c>
    </row>
    <row r="2036">
      <c r="A2036" s="198" t="inlineStr">
        <is>
          <t>invocacao.8.bas.1.erros</t>
        </is>
      </c>
      <c r="B2036" s="198">
        <f>IF(ISBLANK(DADOS_INVOC!$PT$93),"",DADOS_INVOC!$PT$93&amp;"")</f>
        <v/>
      </c>
      <c r="C2036" s="198" t="inlineStr">
        <is>
          <t>DADOS_INVOC!PT93</t>
        </is>
      </c>
      <c r="D2036" s="198" t="inlineStr">
        <is>
          <t>aviso</t>
        </is>
      </c>
    </row>
    <row r="2037">
      <c r="A2037" s="198" t="inlineStr">
        <is>
          <t>invocacao.8.bas.1.avisos</t>
        </is>
      </c>
      <c r="B2037" s="198">
        <f>IF(ISBLANK(DADOS_INVOC!$PV$93),"",DADOS_INVOC!$PV$93&amp;"")</f>
        <v/>
      </c>
      <c r="C2037" s="198" t="inlineStr">
        <is>
          <t>DADOS_INVOC!PV93</t>
        </is>
      </c>
      <c r="D2037" s="198" t="inlineStr">
        <is>
          <t>aviso</t>
        </is>
      </c>
    </row>
    <row r="2038">
      <c r="A2038" s="198" t="inlineStr">
        <is>
          <t>invocacao.8.esp.1.classe</t>
        </is>
      </c>
      <c r="B2038" s="198">
        <f>IF(ISBLANK(DADOS_INVOC!$MS$94),"",DADOS_INVOC!$MS$94&amp;"")</f>
        <v/>
      </c>
      <c r="C2038" s="198" t="inlineStr">
        <is>
          <t>DADOS_INVOC!MS94</t>
        </is>
      </c>
      <c r="D2038" s="198" t="inlineStr">
        <is>
          <t>entrada</t>
        </is>
      </c>
    </row>
    <row r="2039">
      <c r="A2039" s="198" t="inlineStr">
        <is>
          <t>invocacao.8.esp.1.nome</t>
        </is>
      </c>
      <c r="B2039" s="198">
        <f>IF(ISBLANK(DADOS_INVOC!$MT$94),"",DADOS_INVOC!$MT$94&amp;"")</f>
        <v/>
      </c>
      <c r="C2039" s="198" t="inlineStr">
        <is>
          <t>DADOS_INVOC!MT94</t>
        </is>
      </c>
      <c r="D2039" s="198" t="inlineStr">
        <is>
          <t>entrada</t>
        </is>
      </c>
    </row>
    <row r="2040">
      <c r="A2040" s="198" t="inlineStr">
        <is>
          <t>invocacao.8.esp.1.forma</t>
        </is>
      </c>
      <c r="B2040" s="198">
        <f>IF(ISBLANK(DADOS_INVOC!$MU$94),"",DADOS_INVOC!$MU$94&amp;"")</f>
        <v/>
      </c>
      <c r="C2040" s="198" t="inlineStr">
        <is>
          <t>DADOS_INVOC!MU94</t>
        </is>
      </c>
      <c r="D2040" s="198" t="inlineStr">
        <is>
          <t>entrada</t>
        </is>
      </c>
    </row>
    <row r="2041">
      <c r="A2041" s="198" t="inlineStr">
        <is>
          <t>invocacao.8.esp.1.pecas</t>
        </is>
      </c>
      <c r="B2041" s="198">
        <f>TEXTJOIN(" · ",TRUE,DADOS_INVOC!$MX$94,DADOS_INVOC!$MY$94,DADOS_INVOC!$MZ$94,DADOS_INVOC!$NA$94)</f>
        <v/>
      </c>
      <c r="C2041" s="198" t="inlineStr">
        <is>
          <t>DADOS_INVOC!MX94 DADOS_INVOC!MY94 DADOS_INVOC!MZ94 DADOS_INVOC!NA94</t>
        </is>
      </c>
      <c r="D2041" s="198" t="inlineStr">
        <is>
          <t>entrada</t>
        </is>
      </c>
    </row>
    <row r="2042">
      <c r="A2042" s="198" t="inlineStr">
        <is>
          <t>invocacao.8.esp.1.restricoes</t>
        </is>
      </c>
      <c r="B2042" s="198">
        <f>TEXTJOIN(" · ",TRUE,DADOS_INVOC!$NB$94,DADOS_INVOC!$NC$94)</f>
        <v/>
      </c>
      <c r="C2042" s="198" t="inlineStr">
        <is>
          <t>DADOS_INVOC!NB94 DADOS_INVOC!NC94</t>
        </is>
      </c>
      <c r="D2042" s="198" t="inlineStr">
        <is>
          <t>entrada</t>
        </is>
      </c>
    </row>
    <row r="2043">
      <c r="A2043" s="198" t="inlineStr">
        <is>
          <t>invocacao.8.esp.1.pe</t>
        </is>
      </c>
      <c r="B2043" s="198">
        <f>IF(ISBLANK(DADOS_INVOC!$QA$94),"",DADOS_INVOC!$QA$94&amp;"")</f>
        <v/>
      </c>
      <c r="C2043" s="198" t="inlineStr">
        <is>
          <t>DADOS_INVOC!QA94</t>
        </is>
      </c>
      <c r="D2043" s="198" t="inlineStr">
        <is>
          <t>resultado</t>
        </is>
      </c>
    </row>
    <row r="2044">
      <c r="A2044" s="198" t="inlineStr">
        <is>
          <t>invocacao.8.esp.1.dano</t>
        </is>
      </c>
      <c r="B2044" s="198">
        <f>IF(ISBLANK(DADOS_INVOC!$QE$94),"",DADOS_INVOC!$QE$94&amp;"")</f>
        <v/>
      </c>
      <c r="C2044" s="198" t="inlineStr">
        <is>
          <t>DADOS_INVOC!QE94</t>
        </is>
      </c>
      <c r="D2044" s="198" t="inlineStr">
        <is>
          <t>resultado</t>
        </is>
      </c>
    </row>
    <row r="2045">
      <c r="A2045" s="198" t="inlineStr">
        <is>
          <t>invocacao.8.esp.1.erros</t>
        </is>
      </c>
      <c r="B2045" s="198">
        <f>IF(ISBLANK(DADOS_INVOC!$PT$94),"",DADOS_INVOC!$PT$94&amp;"")</f>
        <v/>
      </c>
      <c r="C2045" s="198" t="inlineStr">
        <is>
          <t>DADOS_INVOC!PT94</t>
        </is>
      </c>
      <c r="D2045" s="198" t="inlineStr">
        <is>
          <t>aviso</t>
        </is>
      </c>
    </row>
    <row r="2046">
      <c r="A2046" s="198" t="inlineStr">
        <is>
          <t>invocacao.8.esp.1.avisos</t>
        </is>
      </c>
      <c r="B2046" s="198">
        <f>IF(ISBLANK(DADOS_INVOC!$PV$94),"",DADOS_INVOC!$PV$94&amp;"")</f>
        <v/>
      </c>
      <c r="C2046" s="198" t="inlineStr">
        <is>
          <t>DADOS_INVOC!PV94</t>
        </is>
      </c>
      <c r="D2046" s="198" t="inlineStr">
        <is>
          <t>aviso</t>
        </is>
      </c>
    </row>
    <row r="2047">
      <c r="A2047" s="198" t="inlineStr">
        <is>
          <t>invocacao.8.esp.2.classe</t>
        </is>
      </c>
      <c r="B2047" s="198">
        <f>IF(ISBLANK(DADOS_INVOC!$MS$95),"",DADOS_INVOC!$MS$95&amp;"")</f>
        <v/>
      </c>
      <c r="C2047" s="198" t="inlineStr">
        <is>
          <t>DADOS_INVOC!MS95</t>
        </is>
      </c>
      <c r="D2047" s="198" t="inlineStr">
        <is>
          <t>entrada</t>
        </is>
      </c>
    </row>
    <row r="2048">
      <c r="A2048" s="198" t="inlineStr">
        <is>
          <t>invocacao.8.esp.2.nome</t>
        </is>
      </c>
      <c r="B2048" s="198">
        <f>IF(ISBLANK(DADOS_INVOC!$MT$95),"",DADOS_INVOC!$MT$95&amp;"")</f>
        <v/>
      </c>
      <c r="C2048" s="198" t="inlineStr">
        <is>
          <t>DADOS_INVOC!MT95</t>
        </is>
      </c>
      <c r="D2048" s="198" t="inlineStr">
        <is>
          <t>entrada</t>
        </is>
      </c>
    </row>
    <row r="2049">
      <c r="A2049" s="198" t="inlineStr">
        <is>
          <t>invocacao.8.esp.2.forma</t>
        </is>
      </c>
      <c r="B2049" s="198">
        <f>IF(ISBLANK(DADOS_INVOC!$MU$95),"",DADOS_INVOC!$MU$95&amp;"")</f>
        <v/>
      </c>
      <c r="C2049" s="198" t="inlineStr">
        <is>
          <t>DADOS_INVOC!MU95</t>
        </is>
      </c>
      <c r="D2049" s="198" t="inlineStr">
        <is>
          <t>entrada</t>
        </is>
      </c>
    </row>
    <row r="2050">
      <c r="A2050" s="198" t="inlineStr">
        <is>
          <t>invocacao.8.esp.2.pecas</t>
        </is>
      </c>
      <c r="B2050" s="198">
        <f>TEXTJOIN(" · ",TRUE,DADOS_INVOC!$MX$95,DADOS_INVOC!$MY$95,DADOS_INVOC!$MZ$95,DADOS_INVOC!$NA$95)</f>
        <v/>
      </c>
      <c r="C2050" s="198" t="inlineStr">
        <is>
          <t>DADOS_INVOC!MX95 DADOS_INVOC!MY95 DADOS_INVOC!MZ95 DADOS_INVOC!NA95</t>
        </is>
      </c>
      <c r="D2050" s="198" t="inlineStr">
        <is>
          <t>entrada</t>
        </is>
      </c>
    </row>
    <row r="2051">
      <c r="A2051" s="198" t="inlineStr">
        <is>
          <t>invocacao.8.esp.2.restricoes</t>
        </is>
      </c>
      <c r="B2051" s="198">
        <f>TEXTJOIN(" · ",TRUE,DADOS_INVOC!$NB$95,DADOS_INVOC!$NC$95)</f>
        <v/>
      </c>
      <c r="C2051" s="198" t="inlineStr">
        <is>
          <t>DADOS_INVOC!NB95 DADOS_INVOC!NC95</t>
        </is>
      </c>
      <c r="D2051" s="198" t="inlineStr">
        <is>
          <t>entrada</t>
        </is>
      </c>
    </row>
    <row r="2052">
      <c r="A2052" s="198" t="inlineStr">
        <is>
          <t>invocacao.8.esp.2.pe</t>
        </is>
      </c>
      <c r="B2052" s="198">
        <f>IF(ISBLANK(DADOS_INVOC!$QA$95),"",DADOS_INVOC!$QA$95&amp;"")</f>
        <v/>
      </c>
      <c r="C2052" s="198" t="inlineStr">
        <is>
          <t>DADOS_INVOC!QA95</t>
        </is>
      </c>
      <c r="D2052" s="198" t="inlineStr">
        <is>
          <t>resultado</t>
        </is>
      </c>
    </row>
    <row r="2053">
      <c r="A2053" s="198" t="inlineStr">
        <is>
          <t>invocacao.8.esp.2.dano</t>
        </is>
      </c>
      <c r="B2053" s="198">
        <f>IF(ISBLANK(DADOS_INVOC!$QE$95),"",DADOS_INVOC!$QE$95&amp;"")</f>
        <v/>
      </c>
      <c r="C2053" s="198" t="inlineStr">
        <is>
          <t>DADOS_INVOC!QE95</t>
        </is>
      </c>
      <c r="D2053" s="198" t="inlineStr">
        <is>
          <t>resultado</t>
        </is>
      </c>
    </row>
    <row r="2054">
      <c r="A2054" s="198" t="inlineStr">
        <is>
          <t>invocacao.8.esp.2.erros</t>
        </is>
      </c>
      <c r="B2054" s="198">
        <f>IF(ISBLANK(DADOS_INVOC!$PT$95),"",DADOS_INVOC!$PT$95&amp;"")</f>
        <v/>
      </c>
      <c r="C2054" s="198" t="inlineStr">
        <is>
          <t>DADOS_INVOC!PT95</t>
        </is>
      </c>
      <c r="D2054" s="198" t="inlineStr">
        <is>
          <t>aviso</t>
        </is>
      </c>
    </row>
    <row r="2055">
      <c r="A2055" s="198" t="inlineStr">
        <is>
          <t>invocacao.8.esp.2.avisos</t>
        </is>
      </c>
      <c r="B2055" s="198">
        <f>IF(ISBLANK(DADOS_INVOC!$PV$95),"",DADOS_INVOC!$PV$95&amp;"")</f>
        <v/>
      </c>
      <c r="C2055" s="198" t="inlineStr">
        <is>
          <t>DADOS_INVOC!PV95</t>
        </is>
      </c>
      <c r="D2055" s="198" t="inlineStr">
        <is>
          <t>aviso</t>
        </is>
      </c>
    </row>
    <row r="2056">
      <c r="A2056" s="198" t="inlineStr">
        <is>
          <t>invocacao.8.bas.2.classe</t>
        </is>
      </c>
      <c r="B2056" s="198">
        <f>IF(ISBLANK(DADOS_INVOC!$MS$96),"",DADOS_INVOC!$MS$96&amp;"")</f>
        <v/>
      </c>
      <c r="C2056" s="198" t="inlineStr">
        <is>
          <t>DADOS_INVOC!MS96</t>
        </is>
      </c>
      <c r="D2056" s="198" t="inlineStr">
        <is>
          <t>entrada</t>
        </is>
      </c>
    </row>
    <row r="2057">
      <c r="A2057" s="198" t="inlineStr">
        <is>
          <t>invocacao.8.bas.2.nome</t>
        </is>
      </c>
      <c r="B2057" s="198">
        <f>IF(ISBLANK(DADOS_INVOC!$MT$96),"",DADOS_INVOC!$MT$96&amp;"")</f>
        <v/>
      </c>
      <c r="C2057" s="198" t="inlineStr">
        <is>
          <t>DADOS_INVOC!MT96</t>
        </is>
      </c>
      <c r="D2057" s="198" t="inlineStr">
        <is>
          <t>entrada</t>
        </is>
      </c>
    </row>
    <row r="2058">
      <c r="A2058" s="198" t="inlineStr">
        <is>
          <t>invocacao.8.bas.2.forma</t>
        </is>
      </c>
      <c r="B2058" s="198">
        <f>IF(ISBLANK(DADOS_INVOC!$MU$96),"",DADOS_INVOC!$MU$96&amp;"")</f>
        <v/>
      </c>
      <c r="C2058" s="198" t="inlineStr">
        <is>
          <t>DADOS_INVOC!MU96</t>
        </is>
      </c>
      <c r="D2058" s="198" t="inlineStr">
        <is>
          <t>entrada</t>
        </is>
      </c>
    </row>
    <row r="2059">
      <c r="A2059" s="198" t="inlineStr">
        <is>
          <t>invocacao.8.bas.2.pecas</t>
        </is>
      </c>
      <c r="B2059" s="198">
        <f>TEXTJOIN(" · ",TRUE,DADOS_INVOC!$MX$96,DADOS_INVOC!$MY$96,DADOS_INVOC!$MZ$96,DADOS_INVOC!$NA$96)</f>
        <v/>
      </c>
      <c r="C2059" s="198" t="inlineStr">
        <is>
          <t>DADOS_INVOC!MX96 DADOS_INVOC!MY96 DADOS_INVOC!MZ96 DADOS_INVOC!NA96</t>
        </is>
      </c>
      <c r="D2059" s="198" t="inlineStr">
        <is>
          <t>entrada</t>
        </is>
      </c>
    </row>
    <row r="2060">
      <c r="A2060" s="198" t="inlineStr">
        <is>
          <t>invocacao.8.bas.2.restricoes</t>
        </is>
      </c>
      <c r="B2060" s="198">
        <f>TEXTJOIN(" · ",TRUE,DADOS_INVOC!$NB$96,DADOS_INVOC!$NC$96)</f>
        <v/>
      </c>
      <c r="C2060" s="198" t="inlineStr">
        <is>
          <t>DADOS_INVOC!NB96 DADOS_INVOC!NC96</t>
        </is>
      </c>
      <c r="D2060" s="198" t="inlineStr">
        <is>
          <t>entrada</t>
        </is>
      </c>
    </row>
    <row r="2061">
      <c r="A2061" s="198" t="inlineStr">
        <is>
          <t>invocacao.8.bas.2.pe</t>
        </is>
      </c>
      <c r="B2061" s="198">
        <f>IF(ISBLANK(DADOS_INVOC!$QA$96),"",DADOS_INVOC!$QA$96&amp;"")</f>
        <v/>
      </c>
      <c r="C2061" s="198" t="inlineStr">
        <is>
          <t>DADOS_INVOC!QA96</t>
        </is>
      </c>
      <c r="D2061" s="198" t="inlineStr">
        <is>
          <t>resultado</t>
        </is>
      </c>
    </row>
    <row r="2062">
      <c r="A2062" s="198" t="inlineStr">
        <is>
          <t>invocacao.8.bas.2.dano</t>
        </is>
      </c>
      <c r="B2062" s="198">
        <f>IF(ISBLANK(DADOS_INVOC!$QE$96),"",DADOS_INVOC!$QE$96&amp;"")</f>
        <v/>
      </c>
      <c r="C2062" s="198" t="inlineStr">
        <is>
          <t>DADOS_INVOC!QE96</t>
        </is>
      </c>
      <c r="D2062" s="198" t="inlineStr">
        <is>
          <t>resultado</t>
        </is>
      </c>
    </row>
    <row r="2063">
      <c r="A2063" s="198" t="inlineStr">
        <is>
          <t>invocacao.8.bas.2.erros</t>
        </is>
      </c>
      <c r="B2063" s="198">
        <f>IF(ISBLANK(DADOS_INVOC!$PT$96),"",DADOS_INVOC!$PT$96&amp;"")</f>
        <v/>
      </c>
      <c r="C2063" s="198" t="inlineStr">
        <is>
          <t>DADOS_INVOC!PT96</t>
        </is>
      </c>
      <c r="D2063" s="198" t="inlineStr">
        <is>
          <t>aviso</t>
        </is>
      </c>
    </row>
    <row r="2064">
      <c r="A2064" s="198" t="inlineStr">
        <is>
          <t>invocacao.8.bas.2.avisos</t>
        </is>
      </c>
      <c r="B2064" s="198">
        <f>IF(ISBLANK(DADOS_INVOC!$PV$96),"",DADOS_INVOC!$PV$96&amp;"")</f>
        <v/>
      </c>
      <c r="C2064" s="198" t="inlineStr">
        <is>
          <t>DADOS_INVOC!PV96</t>
        </is>
      </c>
      <c r="D2064" s="198" t="inlineStr">
        <is>
          <t>aviso</t>
        </is>
      </c>
    </row>
    <row r="2065">
      <c r="A2065" s="198" t="inlineStr">
        <is>
          <t>invocacao.8.esp.3.classe</t>
        </is>
      </c>
      <c r="B2065" s="198">
        <f>IF(ISBLANK(DADOS_INVOC!$MS$97),"",DADOS_INVOC!$MS$97&amp;"")</f>
        <v/>
      </c>
      <c r="C2065" s="198" t="inlineStr">
        <is>
          <t>DADOS_INVOC!MS97</t>
        </is>
      </c>
      <c r="D2065" s="198" t="inlineStr">
        <is>
          <t>entrada</t>
        </is>
      </c>
    </row>
    <row r="2066">
      <c r="A2066" s="198" t="inlineStr">
        <is>
          <t>invocacao.8.esp.3.nome</t>
        </is>
      </c>
      <c r="B2066" s="198">
        <f>IF(ISBLANK(DADOS_INVOC!$MT$97),"",DADOS_INVOC!$MT$97&amp;"")</f>
        <v/>
      </c>
      <c r="C2066" s="198" t="inlineStr">
        <is>
          <t>DADOS_INVOC!MT97</t>
        </is>
      </c>
      <c r="D2066" s="198" t="inlineStr">
        <is>
          <t>entrada</t>
        </is>
      </c>
    </row>
    <row r="2067">
      <c r="A2067" s="198" t="inlineStr">
        <is>
          <t>invocacao.8.esp.3.forma</t>
        </is>
      </c>
      <c r="B2067" s="198">
        <f>IF(ISBLANK(DADOS_INVOC!$MU$97),"",DADOS_INVOC!$MU$97&amp;"")</f>
        <v/>
      </c>
      <c r="C2067" s="198" t="inlineStr">
        <is>
          <t>DADOS_INVOC!MU97</t>
        </is>
      </c>
      <c r="D2067" s="198" t="inlineStr">
        <is>
          <t>entrada</t>
        </is>
      </c>
    </row>
    <row r="2068">
      <c r="A2068" s="198" t="inlineStr">
        <is>
          <t>invocacao.8.esp.3.pecas</t>
        </is>
      </c>
      <c r="B2068" s="198">
        <f>TEXTJOIN(" · ",TRUE,DADOS_INVOC!$MX$97,DADOS_INVOC!$MY$97,DADOS_INVOC!$MZ$97,DADOS_INVOC!$NA$97)</f>
        <v/>
      </c>
      <c r="C2068" s="198" t="inlineStr">
        <is>
          <t>DADOS_INVOC!MX97 DADOS_INVOC!MY97 DADOS_INVOC!MZ97 DADOS_INVOC!NA97</t>
        </is>
      </c>
      <c r="D2068" s="198" t="inlineStr">
        <is>
          <t>entrada</t>
        </is>
      </c>
    </row>
    <row r="2069">
      <c r="A2069" s="198" t="inlineStr">
        <is>
          <t>invocacao.8.esp.3.restricoes</t>
        </is>
      </c>
      <c r="B2069" s="198">
        <f>TEXTJOIN(" · ",TRUE,DADOS_INVOC!$NB$97,DADOS_INVOC!$NC$97)</f>
        <v/>
      </c>
      <c r="C2069" s="198" t="inlineStr">
        <is>
          <t>DADOS_INVOC!NB97 DADOS_INVOC!NC97</t>
        </is>
      </c>
      <c r="D2069" s="198" t="inlineStr">
        <is>
          <t>entrada</t>
        </is>
      </c>
    </row>
    <row r="2070">
      <c r="A2070" s="198" t="inlineStr">
        <is>
          <t>invocacao.8.esp.3.pe</t>
        </is>
      </c>
      <c r="B2070" s="198">
        <f>IF(ISBLANK(DADOS_INVOC!$QA$97),"",DADOS_INVOC!$QA$97&amp;"")</f>
        <v/>
      </c>
      <c r="C2070" s="198" t="inlineStr">
        <is>
          <t>DADOS_INVOC!QA97</t>
        </is>
      </c>
      <c r="D2070" s="198" t="inlineStr">
        <is>
          <t>resultado</t>
        </is>
      </c>
    </row>
    <row r="2071">
      <c r="A2071" s="198" t="inlineStr">
        <is>
          <t>invocacao.8.esp.3.dano</t>
        </is>
      </c>
      <c r="B2071" s="198">
        <f>IF(ISBLANK(DADOS_INVOC!$QE$97),"",DADOS_INVOC!$QE$97&amp;"")</f>
        <v/>
      </c>
      <c r="C2071" s="198" t="inlineStr">
        <is>
          <t>DADOS_INVOC!QE97</t>
        </is>
      </c>
      <c r="D2071" s="198" t="inlineStr">
        <is>
          <t>resultado</t>
        </is>
      </c>
    </row>
    <row r="2072">
      <c r="A2072" s="198" t="inlineStr">
        <is>
          <t>invocacao.8.esp.3.erros</t>
        </is>
      </c>
      <c r="B2072" s="198">
        <f>IF(ISBLANK(DADOS_INVOC!$PT$97),"",DADOS_INVOC!$PT$97&amp;"")</f>
        <v/>
      </c>
      <c r="C2072" s="198" t="inlineStr">
        <is>
          <t>DADOS_INVOC!PT97</t>
        </is>
      </c>
      <c r="D2072" s="198" t="inlineStr">
        <is>
          <t>aviso</t>
        </is>
      </c>
    </row>
    <row r="2073">
      <c r="A2073" s="198" t="inlineStr">
        <is>
          <t>invocacao.8.esp.3.avisos</t>
        </is>
      </c>
      <c r="B2073" s="198">
        <f>IF(ISBLANK(DADOS_INVOC!$PV$97),"",DADOS_INVOC!$PV$97&amp;"")</f>
        <v/>
      </c>
      <c r="C2073" s="198" t="inlineStr">
        <is>
          <t>DADOS_INVOC!PV97</t>
        </is>
      </c>
      <c r="D2073" s="198" t="inlineStr">
        <is>
          <t>aviso</t>
        </is>
      </c>
    </row>
    <row r="2074">
      <c r="A2074" s="198" t="inlineStr">
        <is>
          <t>invocacao.8.esp.4.classe</t>
        </is>
      </c>
      <c r="B2074" s="198">
        <f>IF(ISBLANK(DADOS_INVOC!$MS$98),"",DADOS_INVOC!$MS$98&amp;"")</f>
        <v/>
      </c>
      <c r="C2074" s="198" t="inlineStr">
        <is>
          <t>DADOS_INVOC!MS98</t>
        </is>
      </c>
      <c r="D2074" s="198" t="inlineStr">
        <is>
          <t>entrada</t>
        </is>
      </c>
    </row>
    <row r="2075">
      <c r="A2075" s="198" t="inlineStr">
        <is>
          <t>invocacao.8.esp.4.nome</t>
        </is>
      </c>
      <c r="B2075" s="198">
        <f>IF(ISBLANK(DADOS_INVOC!$MT$98),"",DADOS_INVOC!$MT$98&amp;"")</f>
        <v/>
      </c>
      <c r="C2075" s="198" t="inlineStr">
        <is>
          <t>DADOS_INVOC!MT98</t>
        </is>
      </c>
      <c r="D2075" s="198" t="inlineStr">
        <is>
          <t>entrada</t>
        </is>
      </c>
    </row>
    <row r="2076">
      <c r="A2076" s="198" t="inlineStr">
        <is>
          <t>invocacao.8.esp.4.forma</t>
        </is>
      </c>
      <c r="B2076" s="198">
        <f>IF(ISBLANK(DADOS_INVOC!$MU$98),"",DADOS_INVOC!$MU$98&amp;"")</f>
        <v/>
      </c>
      <c r="C2076" s="198" t="inlineStr">
        <is>
          <t>DADOS_INVOC!MU98</t>
        </is>
      </c>
      <c r="D2076" s="198" t="inlineStr">
        <is>
          <t>entrada</t>
        </is>
      </c>
    </row>
    <row r="2077">
      <c r="A2077" s="198" t="inlineStr">
        <is>
          <t>invocacao.8.esp.4.pecas</t>
        </is>
      </c>
      <c r="B2077" s="198">
        <f>TEXTJOIN(" · ",TRUE,DADOS_INVOC!$MX$98,DADOS_INVOC!$MY$98,DADOS_INVOC!$MZ$98,DADOS_INVOC!$NA$98)</f>
        <v/>
      </c>
      <c r="C2077" s="198" t="inlineStr">
        <is>
          <t>DADOS_INVOC!MX98 DADOS_INVOC!MY98 DADOS_INVOC!MZ98 DADOS_INVOC!NA98</t>
        </is>
      </c>
      <c r="D2077" s="198" t="inlineStr">
        <is>
          <t>entrada</t>
        </is>
      </c>
    </row>
    <row r="2078">
      <c r="A2078" s="198" t="inlineStr">
        <is>
          <t>invocacao.8.esp.4.restricoes</t>
        </is>
      </c>
      <c r="B2078" s="198">
        <f>TEXTJOIN(" · ",TRUE,DADOS_INVOC!$NB$98,DADOS_INVOC!$NC$98)</f>
        <v/>
      </c>
      <c r="C2078" s="198" t="inlineStr">
        <is>
          <t>DADOS_INVOC!NB98 DADOS_INVOC!NC98</t>
        </is>
      </c>
      <c r="D2078" s="198" t="inlineStr">
        <is>
          <t>entrada</t>
        </is>
      </c>
    </row>
    <row r="2079">
      <c r="A2079" s="198" t="inlineStr">
        <is>
          <t>invocacao.8.esp.4.pe</t>
        </is>
      </c>
      <c r="B2079" s="198">
        <f>IF(ISBLANK(DADOS_INVOC!$QA$98),"",DADOS_INVOC!$QA$98&amp;"")</f>
        <v/>
      </c>
      <c r="C2079" s="198" t="inlineStr">
        <is>
          <t>DADOS_INVOC!QA98</t>
        </is>
      </c>
      <c r="D2079" s="198" t="inlineStr">
        <is>
          <t>resultado</t>
        </is>
      </c>
    </row>
    <row r="2080">
      <c r="A2080" s="198" t="inlineStr">
        <is>
          <t>invocacao.8.esp.4.dano</t>
        </is>
      </c>
      <c r="B2080" s="198">
        <f>IF(ISBLANK(DADOS_INVOC!$QE$98),"",DADOS_INVOC!$QE$98&amp;"")</f>
        <v/>
      </c>
      <c r="C2080" s="198" t="inlineStr">
        <is>
          <t>DADOS_INVOC!QE98</t>
        </is>
      </c>
      <c r="D2080" s="198" t="inlineStr">
        <is>
          <t>resultado</t>
        </is>
      </c>
    </row>
    <row r="2081">
      <c r="A2081" s="198" t="inlineStr">
        <is>
          <t>invocacao.8.esp.4.erros</t>
        </is>
      </c>
      <c r="B2081" s="198">
        <f>IF(ISBLANK(DADOS_INVOC!$PT$98),"",DADOS_INVOC!$PT$98&amp;"")</f>
        <v/>
      </c>
      <c r="C2081" s="198" t="inlineStr">
        <is>
          <t>DADOS_INVOC!PT98</t>
        </is>
      </c>
      <c r="D2081" s="198" t="inlineStr">
        <is>
          <t>aviso</t>
        </is>
      </c>
    </row>
    <row r="2082">
      <c r="A2082" s="198" t="inlineStr">
        <is>
          <t>invocacao.8.esp.4.avisos</t>
        </is>
      </c>
      <c r="B2082" s="198">
        <f>IF(ISBLANK(DADOS_INVOC!$PV$98),"",DADOS_INVOC!$PV$98&amp;"")</f>
        <v/>
      </c>
      <c r="C2082" s="198" t="inlineStr">
        <is>
          <t>DADOS_INVOC!PV98</t>
        </is>
      </c>
      <c r="D2082" s="198" t="inlineStr">
        <is>
          <t>aviso</t>
        </is>
      </c>
    </row>
    <row r="2083">
      <c r="A2083" s="198" t="inlineStr">
        <is>
          <t>invocacao.8.esp.5.classe</t>
        </is>
      </c>
      <c r="B2083" s="198">
        <f>IF(ISBLANK(DADOS_INVOC!$MS$99),"",DADOS_INVOC!$MS$99&amp;"")</f>
        <v/>
      </c>
      <c r="C2083" s="198" t="inlineStr">
        <is>
          <t>DADOS_INVOC!MS99</t>
        </is>
      </c>
      <c r="D2083" s="198" t="inlineStr">
        <is>
          <t>entrada</t>
        </is>
      </c>
    </row>
    <row r="2084">
      <c r="A2084" s="198" t="inlineStr">
        <is>
          <t>invocacao.8.esp.5.nome</t>
        </is>
      </c>
      <c r="B2084" s="198">
        <f>IF(ISBLANK(DADOS_INVOC!$MT$99),"",DADOS_INVOC!$MT$99&amp;"")</f>
        <v/>
      </c>
      <c r="C2084" s="198" t="inlineStr">
        <is>
          <t>DADOS_INVOC!MT99</t>
        </is>
      </c>
      <c r="D2084" s="198" t="inlineStr">
        <is>
          <t>entrada</t>
        </is>
      </c>
    </row>
    <row r="2085">
      <c r="A2085" s="198" t="inlineStr">
        <is>
          <t>invocacao.8.esp.5.forma</t>
        </is>
      </c>
      <c r="B2085" s="198">
        <f>IF(ISBLANK(DADOS_INVOC!$MU$99),"",DADOS_INVOC!$MU$99&amp;"")</f>
        <v/>
      </c>
      <c r="C2085" s="198" t="inlineStr">
        <is>
          <t>DADOS_INVOC!MU99</t>
        </is>
      </c>
      <c r="D2085" s="198" t="inlineStr">
        <is>
          <t>entrada</t>
        </is>
      </c>
    </row>
    <row r="2086">
      <c r="A2086" s="198" t="inlineStr">
        <is>
          <t>invocacao.8.esp.5.pecas</t>
        </is>
      </c>
      <c r="B2086" s="198">
        <f>TEXTJOIN(" · ",TRUE,DADOS_INVOC!$MX$99,DADOS_INVOC!$MY$99,DADOS_INVOC!$MZ$99,DADOS_INVOC!$NA$99)</f>
        <v/>
      </c>
      <c r="C2086" s="198" t="inlineStr">
        <is>
          <t>DADOS_INVOC!MX99 DADOS_INVOC!MY99 DADOS_INVOC!MZ99 DADOS_INVOC!NA99</t>
        </is>
      </c>
      <c r="D2086" s="198" t="inlineStr">
        <is>
          <t>entrada</t>
        </is>
      </c>
    </row>
    <row r="2087">
      <c r="A2087" s="198" t="inlineStr">
        <is>
          <t>invocacao.8.esp.5.restricoes</t>
        </is>
      </c>
      <c r="B2087" s="198">
        <f>TEXTJOIN(" · ",TRUE,DADOS_INVOC!$NB$99,DADOS_INVOC!$NC$99)</f>
        <v/>
      </c>
      <c r="C2087" s="198" t="inlineStr">
        <is>
          <t>DADOS_INVOC!NB99 DADOS_INVOC!NC99</t>
        </is>
      </c>
      <c r="D2087" s="198" t="inlineStr">
        <is>
          <t>entrada</t>
        </is>
      </c>
    </row>
    <row r="2088">
      <c r="A2088" s="198" t="inlineStr">
        <is>
          <t>invocacao.8.esp.5.pe</t>
        </is>
      </c>
      <c r="B2088" s="198">
        <f>IF(ISBLANK(DADOS_INVOC!$QA$99),"",DADOS_INVOC!$QA$99&amp;"")</f>
        <v/>
      </c>
      <c r="C2088" s="198" t="inlineStr">
        <is>
          <t>DADOS_INVOC!QA99</t>
        </is>
      </c>
      <c r="D2088" s="198" t="inlineStr">
        <is>
          <t>resultado</t>
        </is>
      </c>
    </row>
    <row r="2089">
      <c r="A2089" s="198" t="inlineStr">
        <is>
          <t>invocacao.8.esp.5.dano</t>
        </is>
      </c>
      <c r="B2089" s="198">
        <f>IF(ISBLANK(DADOS_INVOC!$QE$99),"",DADOS_INVOC!$QE$99&amp;"")</f>
        <v/>
      </c>
      <c r="C2089" s="198" t="inlineStr">
        <is>
          <t>DADOS_INVOC!QE99</t>
        </is>
      </c>
      <c r="D2089" s="198" t="inlineStr">
        <is>
          <t>resultado</t>
        </is>
      </c>
    </row>
    <row r="2090">
      <c r="A2090" s="198" t="inlineStr">
        <is>
          <t>invocacao.8.esp.5.erros</t>
        </is>
      </c>
      <c r="B2090" s="198">
        <f>IF(ISBLANK(DADOS_INVOC!$PT$99),"",DADOS_INVOC!$PT$99&amp;"")</f>
        <v/>
      </c>
      <c r="C2090" s="198" t="inlineStr">
        <is>
          <t>DADOS_INVOC!PT99</t>
        </is>
      </c>
      <c r="D2090" s="198" t="inlineStr">
        <is>
          <t>aviso</t>
        </is>
      </c>
    </row>
    <row r="2091">
      <c r="A2091" s="198" t="inlineStr">
        <is>
          <t>invocacao.8.esp.5.avisos</t>
        </is>
      </c>
      <c r="B2091" s="198">
        <f>IF(ISBLANK(DADOS_INVOC!$PV$99),"",DADOS_INVOC!$PV$99&amp;"")</f>
        <v/>
      </c>
      <c r="C2091" s="198" t="inlineStr">
        <is>
          <t>DADOS_INVOC!PV99</t>
        </is>
      </c>
      <c r="D2091" s="198" t="inlineStr">
        <is>
          <t>aviso</t>
        </is>
      </c>
    </row>
    <row r="2092">
      <c r="A2092" s="198" t="inlineStr">
        <is>
          <t>invocacao.8.esp.6.classe</t>
        </is>
      </c>
      <c r="B2092" s="198">
        <f>IF(ISBLANK(DADOS_INVOC!$MS$100),"",DADOS_INVOC!$MS$100&amp;"")</f>
        <v/>
      </c>
      <c r="C2092" s="198" t="inlineStr">
        <is>
          <t>DADOS_INVOC!MS100</t>
        </is>
      </c>
      <c r="D2092" s="198" t="inlineStr">
        <is>
          <t>entrada</t>
        </is>
      </c>
    </row>
    <row r="2093">
      <c r="A2093" s="198" t="inlineStr">
        <is>
          <t>invocacao.8.esp.6.nome</t>
        </is>
      </c>
      <c r="B2093" s="198">
        <f>IF(ISBLANK(DADOS_INVOC!$MT$100),"",DADOS_INVOC!$MT$100&amp;"")</f>
        <v/>
      </c>
      <c r="C2093" s="198" t="inlineStr">
        <is>
          <t>DADOS_INVOC!MT100</t>
        </is>
      </c>
      <c r="D2093" s="198" t="inlineStr">
        <is>
          <t>entrada</t>
        </is>
      </c>
    </row>
    <row r="2094">
      <c r="A2094" s="198" t="inlineStr">
        <is>
          <t>invocacao.8.esp.6.forma</t>
        </is>
      </c>
      <c r="B2094" s="198">
        <f>IF(ISBLANK(DADOS_INVOC!$MU$100),"",DADOS_INVOC!$MU$100&amp;"")</f>
        <v/>
      </c>
      <c r="C2094" s="198" t="inlineStr">
        <is>
          <t>DADOS_INVOC!MU100</t>
        </is>
      </c>
      <c r="D2094" s="198" t="inlineStr">
        <is>
          <t>entrada</t>
        </is>
      </c>
    </row>
    <row r="2095">
      <c r="A2095" s="198" t="inlineStr">
        <is>
          <t>invocacao.8.esp.6.pecas</t>
        </is>
      </c>
      <c r="B2095" s="198">
        <f>TEXTJOIN(" · ",TRUE,DADOS_INVOC!$MX$100,DADOS_INVOC!$MY$100,DADOS_INVOC!$MZ$100,DADOS_INVOC!$NA$100)</f>
        <v/>
      </c>
      <c r="C2095" s="198" t="inlineStr">
        <is>
          <t>DADOS_INVOC!MX100 DADOS_INVOC!MY100 DADOS_INVOC!MZ100 DADOS_INVOC!NA100</t>
        </is>
      </c>
      <c r="D2095" s="198" t="inlineStr">
        <is>
          <t>entrada</t>
        </is>
      </c>
    </row>
    <row r="2096">
      <c r="A2096" s="198" t="inlineStr">
        <is>
          <t>invocacao.8.esp.6.restricoes</t>
        </is>
      </c>
      <c r="B2096" s="198">
        <f>TEXTJOIN(" · ",TRUE,DADOS_INVOC!$NB$100,DADOS_INVOC!$NC$100)</f>
        <v/>
      </c>
      <c r="C2096" s="198" t="inlineStr">
        <is>
          <t>DADOS_INVOC!NB100 DADOS_INVOC!NC100</t>
        </is>
      </c>
      <c r="D2096" s="198" t="inlineStr">
        <is>
          <t>entrada</t>
        </is>
      </c>
    </row>
    <row r="2097">
      <c r="A2097" s="198" t="inlineStr">
        <is>
          <t>invocacao.8.esp.6.pe</t>
        </is>
      </c>
      <c r="B2097" s="198">
        <f>IF(ISBLANK(DADOS_INVOC!$QA$100),"",DADOS_INVOC!$QA$100&amp;"")</f>
        <v/>
      </c>
      <c r="C2097" s="198" t="inlineStr">
        <is>
          <t>DADOS_INVOC!QA100</t>
        </is>
      </c>
      <c r="D2097" s="198" t="inlineStr">
        <is>
          <t>resultado</t>
        </is>
      </c>
    </row>
    <row r="2098">
      <c r="A2098" s="198" t="inlineStr">
        <is>
          <t>invocacao.8.esp.6.dano</t>
        </is>
      </c>
      <c r="B2098" s="198">
        <f>IF(ISBLANK(DADOS_INVOC!$QE$100),"",DADOS_INVOC!$QE$100&amp;"")</f>
        <v/>
      </c>
      <c r="C2098" s="198" t="inlineStr">
        <is>
          <t>DADOS_INVOC!QE100</t>
        </is>
      </c>
      <c r="D2098" s="198" t="inlineStr">
        <is>
          <t>resultado</t>
        </is>
      </c>
    </row>
    <row r="2099">
      <c r="A2099" s="198" t="inlineStr">
        <is>
          <t>invocacao.8.esp.6.erros</t>
        </is>
      </c>
      <c r="B2099" s="198">
        <f>IF(ISBLANK(DADOS_INVOC!$PT$100),"",DADOS_INVOC!$PT$100&amp;"")</f>
        <v/>
      </c>
      <c r="C2099" s="198" t="inlineStr">
        <is>
          <t>DADOS_INVOC!PT100</t>
        </is>
      </c>
      <c r="D2099" s="198" t="inlineStr">
        <is>
          <t>aviso</t>
        </is>
      </c>
    </row>
    <row r="2100">
      <c r="A2100" s="198" t="inlineStr">
        <is>
          <t>invocacao.8.esp.6.avisos</t>
        </is>
      </c>
      <c r="B2100" s="198">
        <f>IF(ISBLANK(DADOS_INVOC!$PV$100),"",DADOS_INVOC!$PV$100&amp;"")</f>
        <v/>
      </c>
      <c r="C2100" s="198" t="inlineStr">
        <is>
          <t>DADOS_INVOC!PV100</t>
        </is>
      </c>
      <c r="D2100" s="198" t="inlineStr">
        <is>
          <t>aviso</t>
        </is>
      </c>
    </row>
    <row r="2101">
      <c r="A2101" s="198" t="inlineStr">
        <is>
          <t>invocacao.8.esp.7.classe</t>
        </is>
      </c>
      <c r="B2101" s="198">
        <f>IF(ISBLANK(DADOS_INVOC!$MS$101),"",DADOS_INVOC!$MS$101&amp;"")</f>
        <v/>
      </c>
      <c r="C2101" s="198" t="inlineStr">
        <is>
          <t>DADOS_INVOC!MS101</t>
        </is>
      </c>
      <c r="D2101" s="198" t="inlineStr">
        <is>
          <t>entrada</t>
        </is>
      </c>
    </row>
    <row r="2102">
      <c r="A2102" s="198" t="inlineStr">
        <is>
          <t>invocacao.8.esp.7.nome</t>
        </is>
      </c>
      <c r="B2102" s="198">
        <f>IF(ISBLANK(DADOS_INVOC!$MT$101),"",DADOS_INVOC!$MT$101&amp;"")</f>
        <v/>
      </c>
      <c r="C2102" s="198" t="inlineStr">
        <is>
          <t>DADOS_INVOC!MT101</t>
        </is>
      </c>
      <c r="D2102" s="198" t="inlineStr">
        <is>
          <t>entrada</t>
        </is>
      </c>
    </row>
    <row r="2103">
      <c r="A2103" s="198" t="inlineStr">
        <is>
          <t>invocacao.8.esp.7.forma</t>
        </is>
      </c>
      <c r="B2103" s="198">
        <f>IF(ISBLANK(DADOS_INVOC!$MU$101),"",DADOS_INVOC!$MU$101&amp;"")</f>
        <v/>
      </c>
      <c r="C2103" s="198" t="inlineStr">
        <is>
          <t>DADOS_INVOC!MU101</t>
        </is>
      </c>
      <c r="D2103" s="198" t="inlineStr">
        <is>
          <t>entrada</t>
        </is>
      </c>
    </row>
    <row r="2104">
      <c r="A2104" s="198" t="inlineStr">
        <is>
          <t>invocacao.8.esp.7.pecas</t>
        </is>
      </c>
      <c r="B2104" s="198">
        <f>TEXTJOIN(" · ",TRUE,DADOS_INVOC!$MX$101,DADOS_INVOC!$MY$101,DADOS_INVOC!$MZ$101,DADOS_INVOC!$NA$101)</f>
        <v/>
      </c>
      <c r="C2104" s="198" t="inlineStr">
        <is>
          <t>DADOS_INVOC!MX101 DADOS_INVOC!MY101 DADOS_INVOC!MZ101 DADOS_INVOC!NA101</t>
        </is>
      </c>
      <c r="D2104" s="198" t="inlineStr">
        <is>
          <t>entrada</t>
        </is>
      </c>
    </row>
    <row r="2105">
      <c r="A2105" s="198" t="inlineStr">
        <is>
          <t>invocacao.8.esp.7.restricoes</t>
        </is>
      </c>
      <c r="B2105" s="198">
        <f>TEXTJOIN(" · ",TRUE,DADOS_INVOC!$NB$101,DADOS_INVOC!$NC$101)</f>
        <v/>
      </c>
      <c r="C2105" s="198" t="inlineStr">
        <is>
          <t>DADOS_INVOC!NB101 DADOS_INVOC!NC101</t>
        </is>
      </c>
      <c r="D2105" s="198" t="inlineStr">
        <is>
          <t>entrada</t>
        </is>
      </c>
    </row>
    <row r="2106">
      <c r="A2106" s="198" t="inlineStr">
        <is>
          <t>invocacao.8.esp.7.pe</t>
        </is>
      </c>
      <c r="B2106" s="198">
        <f>IF(ISBLANK(DADOS_INVOC!$QA$101),"",DADOS_INVOC!$QA$101&amp;"")</f>
        <v/>
      </c>
      <c r="C2106" s="198" t="inlineStr">
        <is>
          <t>DADOS_INVOC!QA101</t>
        </is>
      </c>
      <c r="D2106" s="198" t="inlineStr">
        <is>
          <t>resultado</t>
        </is>
      </c>
    </row>
    <row r="2107">
      <c r="A2107" s="198" t="inlineStr">
        <is>
          <t>invocacao.8.esp.7.dano</t>
        </is>
      </c>
      <c r="B2107" s="198">
        <f>IF(ISBLANK(DADOS_INVOC!$QE$101),"",DADOS_INVOC!$QE$101&amp;"")</f>
        <v/>
      </c>
      <c r="C2107" s="198" t="inlineStr">
        <is>
          <t>DADOS_INVOC!QE101</t>
        </is>
      </c>
      <c r="D2107" s="198" t="inlineStr">
        <is>
          <t>resultado</t>
        </is>
      </c>
    </row>
    <row r="2108">
      <c r="A2108" s="198" t="inlineStr">
        <is>
          <t>invocacao.8.esp.7.erros</t>
        </is>
      </c>
      <c r="B2108" s="198">
        <f>IF(ISBLANK(DADOS_INVOC!$PT$101),"",DADOS_INVOC!$PT$101&amp;"")</f>
        <v/>
      </c>
      <c r="C2108" s="198" t="inlineStr">
        <is>
          <t>DADOS_INVOC!PT101</t>
        </is>
      </c>
      <c r="D2108" s="198" t="inlineStr">
        <is>
          <t>aviso</t>
        </is>
      </c>
    </row>
    <row r="2109">
      <c r="A2109" s="198" t="inlineStr">
        <is>
          <t>invocacao.8.esp.7.avisos</t>
        </is>
      </c>
      <c r="B2109" s="198">
        <f>IF(ISBLANK(DADOS_INVOC!$PV$101),"",DADOS_INVOC!$PV$101&amp;"")</f>
        <v/>
      </c>
      <c r="C2109" s="198" t="inlineStr">
        <is>
          <t>DADOS_INVOC!PV101</t>
        </is>
      </c>
      <c r="D2109" s="198" t="inlineStr">
        <is>
          <t>aviso</t>
        </is>
      </c>
    </row>
    <row r="2110">
      <c r="A2110" s="198" t="inlineStr">
        <is>
          <t>invocacao.8.esp.8.classe</t>
        </is>
      </c>
      <c r="B2110" s="198">
        <f>IF(ISBLANK(DADOS_INVOC!$MS$102),"",DADOS_INVOC!$MS$102&amp;"")</f>
        <v/>
      </c>
      <c r="C2110" s="198" t="inlineStr">
        <is>
          <t>DADOS_INVOC!MS102</t>
        </is>
      </c>
      <c r="D2110" s="198" t="inlineStr">
        <is>
          <t>entrada</t>
        </is>
      </c>
    </row>
    <row r="2111">
      <c r="A2111" s="198" t="inlineStr">
        <is>
          <t>invocacao.8.esp.8.nome</t>
        </is>
      </c>
      <c r="B2111" s="198">
        <f>IF(ISBLANK(DADOS_INVOC!$MT$102),"",DADOS_INVOC!$MT$102&amp;"")</f>
        <v/>
      </c>
      <c r="C2111" s="198" t="inlineStr">
        <is>
          <t>DADOS_INVOC!MT102</t>
        </is>
      </c>
      <c r="D2111" s="198" t="inlineStr">
        <is>
          <t>entrada</t>
        </is>
      </c>
    </row>
    <row r="2112">
      <c r="A2112" s="198" t="inlineStr">
        <is>
          <t>invocacao.8.esp.8.forma</t>
        </is>
      </c>
      <c r="B2112" s="198">
        <f>IF(ISBLANK(DADOS_INVOC!$MU$102),"",DADOS_INVOC!$MU$102&amp;"")</f>
        <v/>
      </c>
      <c r="C2112" s="198" t="inlineStr">
        <is>
          <t>DADOS_INVOC!MU102</t>
        </is>
      </c>
      <c r="D2112" s="198" t="inlineStr">
        <is>
          <t>entrada</t>
        </is>
      </c>
    </row>
    <row r="2113">
      <c r="A2113" s="198" t="inlineStr">
        <is>
          <t>invocacao.8.esp.8.pecas</t>
        </is>
      </c>
      <c r="B2113" s="198">
        <f>TEXTJOIN(" · ",TRUE,DADOS_INVOC!$MX$102,DADOS_INVOC!$MY$102,DADOS_INVOC!$MZ$102,DADOS_INVOC!$NA$102)</f>
        <v/>
      </c>
      <c r="C2113" s="198" t="inlineStr">
        <is>
          <t>DADOS_INVOC!MX102 DADOS_INVOC!MY102 DADOS_INVOC!MZ102 DADOS_INVOC!NA102</t>
        </is>
      </c>
      <c r="D2113" s="198" t="inlineStr">
        <is>
          <t>entrada</t>
        </is>
      </c>
    </row>
    <row r="2114">
      <c r="A2114" s="198" t="inlineStr">
        <is>
          <t>invocacao.8.esp.8.restricoes</t>
        </is>
      </c>
      <c r="B2114" s="198">
        <f>TEXTJOIN(" · ",TRUE,DADOS_INVOC!$NB$102,DADOS_INVOC!$NC$102)</f>
        <v/>
      </c>
      <c r="C2114" s="198" t="inlineStr">
        <is>
          <t>DADOS_INVOC!NB102 DADOS_INVOC!NC102</t>
        </is>
      </c>
      <c r="D2114" s="198" t="inlineStr">
        <is>
          <t>entrada</t>
        </is>
      </c>
    </row>
    <row r="2115">
      <c r="A2115" s="198" t="inlineStr">
        <is>
          <t>invocacao.8.esp.8.pe</t>
        </is>
      </c>
      <c r="B2115" s="198">
        <f>IF(ISBLANK(DADOS_INVOC!$QA$102),"",DADOS_INVOC!$QA$102&amp;"")</f>
        <v/>
      </c>
      <c r="C2115" s="198" t="inlineStr">
        <is>
          <t>DADOS_INVOC!QA102</t>
        </is>
      </c>
      <c r="D2115" s="198" t="inlineStr">
        <is>
          <t>resultado</t>
        </is>
      </c>
    </row>
    <row r="2116">
      <c r="A2116" s="198" t="inlineStr">
        <is>
          <t>invocacao.8.esp.8.dano</t>
        </is>
      </c>
      <c r="B2116" s="198">
        <f>IF(ISBLANK(DADOS_INVOC!$QE$102),"",DADOS_INVOC!$QE$102&amp;"")</f>
        <v/>
      </c>
      <c r="C2116" s="198" t="inlineStr">
        <is>
          <t>DADOS_INVOC!QE102</t>
        </is>
      </c>
      <c r="D2116" s="198" t="inlineStr">
        <is>
          <t>resultado</t>
        </is>
      </c>
    </row>
    <row r="2117">
      <c r="A2117" s="198" t="inlineStr">
        <is>
          <t>invocacao.8.esp.8.erros</t>
        </is>
      </c>
      <c r="B2117" s="198">
        <f>IF(ISBLANK(DADOS_INVOC!$PT$102),"",DADOS_INVOC!$PT$102&amp;"")</f>
        <v/>
      </c>
      <c r="C2117" s="198" t="inlineStr">
        <is>
          <t>DADOS_INVOC!PT102</t>
        </is>
      </c>
      <c r="D2117" s="198" t="inlineStr">
        <is>
          <t>aviso</t>
        </is>
      </c>
    </row>
    <row r="2118">
      <c r="A2118" s="198" t="inlineStr">
        <is>
          <t>invocacao.8.esp.8.avisos</t>
        </is>
      </c>
      <c r="B2118" s="198">
        <f>IF(ISBLANK(DADOS_INVOC!$PV$102),"",DADOS_INVOC!$PV$102&amp;"")</f>
        <v/>
      </c>
      <c r="C2118" s="198" t="inlineStr">
        <is>
          <t>DADOS_INVOC!PV102</t>
        </is>
      </c>
      <c r="D2118" s="198" t="inlineStr">
        <is>
          <t>aviso</t>
        </is>
      </c>
    </row>
    <row r="2119">
      <c r="A2119" s="198" t="inlineStr">
        <is>
          <t>invocacao.8.ext.1.classe</t>
        </is>
      </c>
      <c r="B2119" s="198">
        <f>IF(ISBLANK(DADOS_INVOC!$MS$103),"",DADOS_INVOC!$MS$103&amp;"")</f>
        <v/>
      </c>
      <c r="C2119" s="198" t="inlineStr">
        <is>
          <t>DADOS_INVOC!MS103</t>
        </is>
      </c>
      <c r="D2119" s="198" t="inlineStr">
        <is>
          <t>entrada</t>
        </is>
      </c>
    </row>
    <row r="2120">
      <c r="A2120" s="198" t="inlineStr">
        <is>
          <t>invocacao.8.ext.1.nome</t>
        </is>
      </c>
      <c r="B2120" s="198">
        <f>IF(ISBLANK(DADOS_INVOC!$MT$103),"",DADOS_INVOC!$MT$103&amp;"")</f>
        <v/>
      </c>
      <c r="C2120" s="198" t="inlineStr">
        <is>
          <t>DADOS_INVOC!MT103</t>
        </is>
      </c>
      <c r="D2120" s="198" t="inlineStr">
        <is>
          <t>entrada</t>
        </is>
      </c>
    </row>
    <row r="2121">
      <c r="A2121" s="198" t="inlineStr">
        <is>
          <t>invocacao.8.ext.1.forma</t>
        </is>
      </c>
      <c r="B2121" s="198">
        <f>IF(ISBLANK(DADOS_INVOC!$MU$103),"",DADOS_INVOC!$MU$103&amp;"")</f>
        <v/>
      </c>
      <c r="C2121" s="198" t="inlineStr">
        <is>
          <t>DADOS_INVOC!MU103</t>
        </is>
      </c>
      <c r="D2121" s="198" t="inlineStr">
        <is>
          <t>entrada</t>
        </is>
      </c>
    </row>
    <row r="2122">
      <c r="A2122" s="198" t="inlineStr">
        <is>
          <t>invocacao.8.ext.1.pecas</t>
        </is>
      </c>
      <c r="B2122" s="198">
        <f>TEXTJOIN(" · ",TRUE,DADOS_INVOC!$MX$103,DADOS_INVOC!$MY$103,DADOS_INVOC!$MZ$103,DADOS_INVOC!$NA$103)</f>
        <v/>
      </c>
      <c r="C2122" s="198" t="inlineStr">
        <is>
          <t>DADOS_INVOC!MX103 DADOS_INVOC!MY103 DADOS_INVOC!MZ103 DADOS_INVOC!NA103</t>
        </is>
      </c>
      <c r="D2122" s="198" t="inlineStr">
        <is>
          <t>entrada</t>
        </is>
      </c>
    </row>
    <row r="2123">
      <c r="A2123" s="198" t="inlineStr">
        <is>
          <t>invocacao.8.ext.1.restricoes</t>
        </is>
      </c>
      <c r="B2123" s="198">
        <f>TEXTJOIN(" · ",TRUE,DADOS_INVOC!$NB$103,DADOS_INVOC!$NC$103)</f>
        <v/>
      </c>
      <c r="C2123" s="198" t="inlineStr">
        <is>
          <t>DADOS_INVOC!NB103 DADOS_INVOC!NC103</t>
        </is>
      </c>
      <c r="D2123" s="198" t="inlineStr">
        <is>
          <t>entrada</t>
        </is>
      </c>
    </row>
    <row r="2124">
      <c r="A2124" s="198" t="inlineStr">
        <is>
          <t>invocacao.8.ext.1.pe</t>
        </is>
      </c>
      <c r="B2124" s="198">
        <f>IF(ISBLANK(DADOS_INVOC!$QA$103),"",DADOS_INVOC!$QA$103&amp;"")</f>
        <v/>
      </c>
      <c r="C2124" s="198" t="inlineStr">
        <is>
          <t>DADOS_INVOC!QA103</t>
        </is>
      </c>
      <c r="D2124" s="198" t="inlineStr">
        <is>
          <t>resultado</t>
        </is>
      </c>
    </row>
    <row r="2125">
      <c r="A2125" s="198" t="inlineStr">
        <is>
          <t>invocacao.8.ext.1.dano</t>
        </is>
      </c>
      <c r="B2125" s="198">
        <f>IF(ISBLANK(DADOS_INVOC!$QE$103),"",DADOS_INVOC!$QE$103&amp;"")</f>
        <v/>
      </c>
      <c r="C2125" s="198" t="inlineStr">
        <is>
          <t>DADOS_INVOC!QE103</t>
        </is>
      </c>
      <c r="D2125" s="198" t="inlineStr">
        <is>
          <t>resultado</t>
        </is>
      </c>
    </row>
    <row r="2126">
      <c r="A2126" s="198" t="inlineStr">
        <is>
          <t>invocacao.8.ext.1.erros</t>
        </is>
      </c>
      <c r="B2126" s="198">
        <f>IF(ISBLANK(DADOS_INVOC!$PT$103),"",DADOS_INVOC!$PT$103&amp;"")</f>
        <v/>
      </c>
      <c r="C2126" s="198" t="inlineStr">
        <is>
          <t>DADOS_INVOC!PT103</t>
        </is>
      </c>
      <c r="D2126" s="198" t="inlineStr">
        <is>
          <t>aviso</t>
        </is>
      </c>
    </row>
    <row r="2127">
      <c r="A2127" s="198" t="inlineStr">
        <is>
          <t>invocacao.8.ext.1.avisos</t>
        </is>
      </c>
      <c r="B2127" s="198">
        <f>IF(ISBLANK(DADOS_INVOC!$PV$103),"",DADOS_INVOC!$PV$103&amp;"")</f>
        <v/>
      </c>
      <c r="C2127" s="198" t="inlineStr">
        <is>
          <t>DADOS_INVOC!PV103</t>
        </is>
      </c>
      <c r="D2127" s="198" t="inlineStr">
        <is>
          <t>aviso</t>
        </is>
      </c>
    </row>
    <row r="2128">
      <c r="A2128" s="198" t="inlineStr">
        <is>
          <t>invocacao.8.ext.2.classe</t>
        </is>
      </c>
      <c r="B2128" s="198">
        <f>IF(ISBLANK(DADOS_INVOC!$MS$104),"",DADOS_INVOC!$MS$104&amp;"")</f>
        <v/>
      </c>
      <c r="C2128" s="198" t="inlineStr">
        <is>
          <t>DADOS_INVOC!MS104</t>
        </is>
      </c>
      <c r="D2128" s="198" t="inlineStr">
        <is>
          <t>entrada</t>
        </is>
      </c>
    </row>
    <row r="2129">
      <c r="A2129" s="198" t="inlineStr">
        <is>
          <t>invocacao.8.ext.2.nome</t>
        </is>
      </c>
      <c r="B2129" s="198">
        <f>IF(ISBLANK(DADOS_INVOC!$MT$104),"",DADOS_INVOC!$MT$104&amp;"")</f>
        <v/>
      </c>
      <c r="C2129" s="198" t="inlineStr">
        <is>
          <t>DADOS_INVOC!MT104</t>
        </is>
      </c>
      <c r="D2129" s="198" t="inlineStr">
        <is>
          <t>entrada</t>
        </is>
      </c>
    </row>
    <row r="2130">
      <c r="A2130" s="198" t="inlineStr">
        <is>
          <t>invocacao.8.ext.2.forma</t>
        </is>
      </c>
      <c r="B2130" s="198">
        <f>IF(ISBLANK(DADOS_INVOC!$MU$104),"",DADOS_INVOC!$MU$104&amp;"")</f>
        <v/>
      </c>
      <c r="C2130" s="198" t="inlineStr">
        <is>
          <t>DADOS_INVOC!MU104</t>
        </is>
      </c>
      <c r="D2130" s="198" t="inlineStr">
        <is>
          <t>entrada</t>
        </is>
      </c>
    </row>
    <row r="2131">
      <c r="A2131" s="198" t="inlineStr">
        <is>
          <t>invocacao.8.ext.2.pecas</t>
        </is>
      </c>
      <c r="B2131" s="198">
        <f>TEXTJOIN(" · ",TRUE,DADOS_INVOC!$MX$104,DADOS_INVOC!$MY$104,DADOS_INVOC!$MZ$104,DADOS_INVOC!$NA$104)</f>
        <v/>
      </c>
      <c r="C2131" s="198" t="inlineStr">
        <is>
          <t>DADOS_INVOC!MX104 DADOS_INVOC!MY104 DADOS_INVOC!MZ104 DADOS_INVOC!NA104</t>
        </is>
      </c>
      <c r="D2131" s="198" t="inlineStr">
        <is>
          <t>entrada</t>
        </is>
      </c>
    </row>
    <row r="2132">
      <c r="A2132" s="198" t="inlineStr">
        <is>
          <t>invocacao.8.ext.2.restricoes</t>
        </is>
      </c>
      <c r="B2132" s="198">
        <f>TEXTJOIN(" · ",TRUE,DADOS_INVOC!$NB$104,DADOS_INVOC!$NC$104)</f>
        <v/>
      </c>
      <c r="C2132" s="198" t="inlineStr">
        <is>
          <t>DADOS_INVOC!NB104 DADOS_INVOC!NC104</t>
        </is>
      </c>
      <c r="D2132" s="198" t="inlineStr">
        <is>
          <t>entrada</t>
        </is>
      </c>
    </row>
    <row r="2133">
      <c r="A2133" s="198" t="inlineStr">
        <is>
          <t>invocacao.8.ext.2.pe</t>
        </is>
      </c>
      <c r="B2133" s="198">
        <f>IF(ISBLANK(DADOS_INVOC!$QA$104),"",DADOS_INVOC!$QA$104&amp;"")</f>
        <v/>
      </c>
      <c r="C2133" s="198" t="inlineStr">
        <is>
          <t>DADOS_INVOC!QA104</t>
        </is>
      </c>
      <c r="D2133" s="198" t="inlineStr">
        <is>
          <t>resultado</t>
        </is>
      </c>
    </row>
    <row r="2134">
      <c r="A2134" s="198" t="inlineStr">
        <is>
          <t>invocacao.8.ext.2.dano</t>
        </is>
      </c>
      <c r="B2134" s="198">
        <f>IF(ISBLANK(DADOS_INVOC!$QE$104),"",DADOS_INVOC!$QE$104&amp;"")</f>
        <v/>
      </c>
      <c r="C2134" s="198" t="inlineStr">
        <is>
          <t>DADOS_INVOC!QE104</t>
        </is>
      </c>
      <c r="D2134" s="198" t="inlineStr">
        <is>
          <t>resultado</t>
        </is>
      </c>
    </row>
    <row r="2135">
      <c r="A2135" s="198" t="inlineStr">
        <is>
          <t>invocacao.8.ext.2.erros</t>
        </is>
      </c>
      <c r="B2135" s="198">
        <f>IF(ISBLANK(DADOS_INVOC!$PT$104),"",DADOS_INVOC!$PT$104&amp;"")</f>
        <v/>
      </c>
      <c r="C2135" s="198" t="inlineStr">
        <is>
          <t>DADOS_INVOC!PT104</t>
        </is>
      </c>
      <c r="D2135" s="198" t="inlineStr">
        <is>
          <t>aviso</t>
        </is>
      </c>
    </row>
    <row r="2136">
      <c r="A2136" s="198" t="inlineStr">
        <is>
          <t>invocacao.8.ext.2.avisos</t>
        </is>
      </c>
      <c r="B2136" s="198">
        <f>IF(ISBLANK(DADOS_INVOC!$PV$104),"",DADOS_INVOC!$PV$104&amp;"")</f>
        <v/>
      </c>
      <c r="C2136" s="198" t="inlineStr">
        <is>
          <t>DADOS_INVOC!PV104</t>
        </is>
      </c>
      <c r="D2136" s="198" t="inlineStr">
        <is>
          <t>aviso</t>
        </is>
      </c>
    </row>
    <row r="2137">
      <c r="A2137" s="198" t="inlineStr">
        <is>
          <t>invocacao.8.ext.3.classe</t>
        </is>
      </c>
      <c r="B2137" s="198">
        <f>IF(ISBLANK(DADOS_INVOC!$MS$105),"",DADOS_INVOC!$MS$105&amp;"")</f>
        <v/>
      </c>
      <c r="C2137" s="198" t="inlineStr">
        <is>
          <t>DADOS_INVOC!MS105</t>
        </is>
      </c>
      <c r="D2137" s="198" t="inlineStr">
        <is>
          <t>entrada</t>
        </is>
      </c>
    </row>
    <row r="2138">
      <c r="A2138" s="198" t="inlineStr">
        <is>
          <t>invocacao.8.ext.3.nome</t>
        </is>
      </c>
      <c r="B2138" s="198">
        <f>IF(ISBLANK(DADOS_INVOC!$MT$105),"",DADOS_INVOC!$MT$105&amp;"")</f>
        <v/>
      </c>
      <c r="C2138" s="198" t="inlineStr">
        <is>
          <t>DADOS_INVOC!MT105</t>
        </is>
      </c>
      <c r="D2138" s="198" t="inlineStr">
        <is>
          <t>entrada</t>
        </is>
      </c>
    </row>
    <row r="2139">
      <c r="A2139" s="198" t="inlineStr">
        <is>
          <t>invocacao.8.ext.3.forma</t>
        </is>
      </c>
      <c r="B2139" s="198">
        <f>IF(ISBLANK(DADOS_INVOC!$MU$105),"",DADOS_INVOC!$MU$105&amp;"")</f>
        <v/>
      </c>
      <c r="C2139" s="198" t="inlineStr">
        <is>
          <t>DADOS_INVOC!MU105</t>
        </is>
      </c>
      <c r="D2139" s="198" t="inlineStr">
        <is>
          <t>entrada</t>
        </is>
      </c>
    </row>
    <row r="2140">
      <c r="A2140" s="198" t="inlineStr">
        <is>
          <t>invocacao.8.ext.3.pecas</t>
        </is>
      </c>
      <c r="B2140" s="198">
        <f>TEXTJOIN(" · ",TRUE,DADOS_INVOC!$MX$105,DADOS_INVOC!$MY$105,DADOS_INVOC!$MZ$105,DADOS_INVOC!$NA$105)</f>
        <v/>
      </c>
      <c r="C2140" s="198" t="inlineStr">
        <is>
          <t>DADOS_INVOC!MX105 DADOS_INVOC!MY105 DADOS_INVOC!MZ105 DADOS_INVOC!NA105</t>
        </is>
      </c>
      <c r="D2140" s="198" t="inlineStr">
        <is>
          <t>entrada</t>
        </is>
      </c>
    </row>
    <row r="2141">
      <c r="A2141" s="198" t="inlineStr">
        <is>
          <t>invocacao.8.ext.3.restricoes</t>
        </is>
      </c>
      <c r="B2141" s="198">
        <f>TEXTJOIN(" · ",TRUE,DADOS_INVOC!$NB$105,DADOS_INVOC!$NC$105)</f>
        <v/>
      </c>
      <c r="C2141" s="198" t="inlineStr">
        <is>
          <t>DADOS_INVOC!NB105 DADOS_INVOC!NC105</t>
        </is>
      </c>
      <c r="D2141" s="198" t="inlineStr">
        <is>
          <t>entrada</t>
        </is>
      </c>
    </row>
    <row r="2142">
      <c r="A2142" s="198" t="inlineStr">
        <is>
          <t>invocacao.8.ext.3.pe</t>
        </is>
      </c>
      <c r="B2142" s="198">
        <f>IF(ISBLANK(DADOS_INVOC!$QA$105),"",DADOS_INVOC!$QA$105&amp;"")</f>
        <v/>
      </c>
      <c r="C2142" s="198" t="inlineStr">
        <is>
          <t>DADOS_INVOC!QA105</t>
        </is>
      </c>
      <c r="D2142" s="198" t="inlineStr">
        <is>
          <t>resultado</t>
        </is>
      </c>
    </row>
    <row r="2143">
      <c r="A2143" s="198" t="inlineStr">
        <is>
          <t>invocacao.8.ext.3.dano</t>
        </is>
      </c>
      <c r="B2143" s="198">
        <f>IF(ISBLANK(DADOS_INVOC!$QE$105),"",DADOS_INVOC!$QE$105&amp;"")</f>
        <v/>
      </c>
      <c r="C2143" s="198" t="inlineStr">
        <is>
          <t>DADOS_INVOC!QE105</t>
        </is>
      </c>
      <c r="D2143" s="198" t="inlineStr">
        <is>
          <t>resultado</t>
        </is>
      </c>
    </row>
    <row r="2144">
      <c r="A2144" s="198" t="inlineStr">
        <is>
          <t>invocacao.8.ext.3.erros</t>
        </is>
      </c>
      <c r="B2144" s="198">
        <f>IF(ISBLANK(DADOS_INVOC!$PT$105),"",DADOS_INVOC!$PT$105&amp;"")</f>
        <v/>
      </c>
      <c r="C2144" s="198" t="inlineStr">
        <is>
          <t>DADOS_INVOC!PT105</t>
        </is>
      </c>
      <c r="D2144" s="198" t="inlineStr">
        <is>
          <t>aviso</t>
        </is>
      </c>
    </row>
    <row r="2145">
      <c r="A2145" s="198" t="inlineStr">
        <is>
          <t>invocacao.8.ext.3.avisos</t>
        </is>
      </c>
      <c r="B2145" s="198">
        <f>IF(ISBLANK(DADOS_INVOC!$PV$105),"",DADOS_INVOC!$PV$105&amp;"")</f>
        <v/>
      </c>
      <c r="C2145" s="198" t="inlineStr">
        <is>
          <t>DADOS_INVOC!PV105</t>
        </is>
      </c>
      <c r="D2145" s="198" t="inlineStr">
        <is>
          <t>aviso</t>
        </is>
      </c>
    </row>
    <row r="2146">
      <c r="A2146" s="198" t="inlineStr">
        <is>
          <t>invocacao.9.bas.1.classe</t>
        </is>
      </c>
      <c r="B2146" s="198">
        <f>IF(ISBLANK(DADOS_INVOC!$MS$106),"",DADOS_INVOC!$MS$106&amp;"")</f>
        <v/>
      </c>
      <c r="C2146" s="198" t="inlineStr">
        <is>
          <t>DADOS_INVOC!MS106</t>
        </is>
      </c>
      <c r="D2146" s="198" t="inlineStr">
        <is>
          <t>entrada</t>
        </is>
      </c>
    </row>
    <row r="2147">
      <c r="A2147" s="198" t="inlineStr">
        <is>
          <t>invocacao.9.bas.1.nome</t>
        </is>
      </c>
      <c r="B2147" s="198">
        <f>IF(ISBLANK(DADOS_INVOC!$MT$106),"",DADOS_INVOC!$MT$106&amp;"")</f>
        <v/>
      </c>
      <c r="C2147" s="198" t="inlineStr">
        <is>
          <t>DADOS_INVOC!MT106</t>
        </is>
      </c>
      <c r="D2147" s="198" t="inlineStr">
        <is>
          <t>entrada</t>
        </is>
      </c>
    </row>
    <row r="2148">
      <c r="A2148" s="198" t="inlineStr">
        <is>
          <t>invocacao.9.bas.1.forma</t>
        </is>
      </c>
      <c r="B2148" s="198">
        <f>IF(ISBLANK(DADOS_INVOC!$MU$106),"",DADOS_INVOC!$MU$106&amp;"")</f>
        <v/>
      </c>
      <c r="C2148" s="198" t="inlineStr">
        <is>
          <t>DADOS_INVOC!MU106</t>
        </is>
      </c>
      <c r="D2148" s="198" t="inlineStr">
        <is>
          <t>entrada</t>
        </is>
      </c>
    </row>
    <row r="2149">
      <c r="A2149" s="198" t="inlineStr">
        <is>
          <t>invocacao.9.bas.1.pecas</t>
        </is>
      </c>
      <c r="B2149" s="198">
        <f>TEXTJOIN(" · ",TRUE,DADOS_INVOC!$MX$106,DADOS_INVOC!$MY$106,DADOS_INVOC!$MZ$106,DADOS_INVOC!$NA$106)</f>
        <v/>
      </c>
      <c r="C2149" s="198" t="inlineStr">
        <is>
          <t>DADOS_INVOC!MX106 DADOS_INVOC!MY106 DADOS_INVOC!MZ106 DADOS_INVOC!NA106</t>
        </is>
      </c>
      <c r="D2149" s="198" t="inlineStr">
        <is>
          <t>entrada</t>
        </is>
      </c>
    </row>
    <row r="2150">
      <c r="A2150" s="198" t="inlineStr">
        <is>
          <t>invocacao.9.bas.1.restricoes</t>
        </is>
      </c>
      <c r="B2150" s="198">
        <f>TEXTJOIN(" · ",TRUE,DADOS_INVOC!$NB$106,DADOS_INVOC!$NC$106)</f>
        <v/>
      </c>
      <c r="C2150" s="198" t="inlineStr">
        <is>
          <t>DADOS_INVOC!NB106 DADOS_INVOC!NC106</t>
        </is>
      </c>
      <c r="D2150" s="198" t="inlineStr">
        <is>
          <t>entrada</t>
        </is>
      </c>
    </row>
    <row r="2151">
      <c r="A2151" s="198" t="inlineStr">
        <is>
          <t>invocacao.9.bas.1.pe</t>
        </is>
      </c>
      <c r="B2151" s="198">
        <f>IF(ISBLANK(DADOS_INVOC!$QA$106),"",DADOS_INVOC!$QA$106&amp;"")</f>
        <v/>
      </c>
      <c r="C2151" s="198" t="inlineStr">
        <is>
          <t>DADOS_INVOC!QA106</t>
        </is>
      </c>
      <c r="D2151" s="198" t="inlineStr">
        <is>
          <t>resultado</t>
        </is>
      </c>
    </row>
    <row r="2152">
      <c r="A2152" s="198" t="inlineStr">
        <is>
          <t>invocacao.9.bas.1.dano</t>
        </is>
      </c>
      <c r="B2152" s="198">
        <f>IF(ISBLANK(DADOS_INVOC!$QE$106),"",DADOS_INVOC!$QE$106&amp;"")</f>
        <v/>
      </c>
      <c r="C2152" s="198" t="inlineStr">
        <is>
          <t>DADOS_INVOC!QE106</t>
        </is>
      </c>
      <c r="D2152" s="198" t="inlineStr">
        <is>
          <t>resultado</t>
        </is>
      </c>
    </row>
    <row r="2153">
      <c r="A2153" s="198" t="inlineStr">
        <is>
          <t>invocacao.9.bas.1.erros</t>
        </is>
      </c>
      <c r="B2153" s="198">
        <f>IF(ISBLANK(DADOS_INVOC!$PT$106),"",DADOS_INVOC!$PT$106&amp;"")</f>
        <v/>
      </c>
      <c r="C2153" s="198" t="inlineStr">
        <is>
          <t>DADOS_INVOC!PT106</t>
        </is>
      </c>
      <c r="D2153" s="198" t="inlineStr">
        <is>
          <t>aviso</t>
        </is>
      </c>
    </row>
    <row r="2154">
      <c r="A2154" s="198" t="inlineStr">
        <is>
          <t>invocacao.9.bas.1.avisos</t>
        </is>
      </c>
      <c r="B2154" s="198">
        <f>IF(ISBLANK(DADOS_INVOC!$PV$106),"",DADOS_INVOC!$PV$106&amp;"")</f>
        <v/>
      </c>
      <c r="C2154" s="198" t="inlineStr">
        <is>
          <t>DADOS_INVOC!PV106</t>
        </is>
      </c>
      <c r="D2154" s="198" t="inlineStr">
        <is>
          <t>aviso</t>
        </is>
      </c>
    </row>
    <row r="2155">
      <c r="A2155" s="198" t="inlineStr">
        <is>
          <t>invocacao.9.esp.1.classe</t>
        </is>
      </c>
      <c r="B2155" s="198">
        <f>IF(ISBLANK(DADOS_INVOC!$MS$107),"",DADOS_INVOC!$MS$107&amp;"")</f>
        <v/>
      </c>
      <c r="C2155" s="198" t="inlineStr">
        <is>
          <t>DADOS_INVOC!MS107</t>
        </is>
      </c>
      <c r="D2155" s="198" t="inlineStr">
        <is>
          <t>entrada</t>
        </is>
      </c>
    </row>
    <row r="2156">
      <c r="A2156" s="198" t="inlineStr">
        <is>
          <t>invocacao.9.esp.1.nome</t>
        </is>
      </c>
      <c r="B2156" s="198">
        <f>IF(ISBLANK(DADOS_INVOC!$MT$107),"",DADOS_INVOC!$MT$107&amp;"")</f>
        <v/>
      </c>
      <c r="C2156" s="198" t="inlineStr">
        <is>
          <t>DADOS_INVOC!MT107</t>
        </is>
      </c>
      <c r="D2156" s="198" t="inlineStr">
        <is>
          <t>entrada</t>
        </is>
      </c>
    </row>
    <row r="2157">
      <c r="A2157" s="198" t="inlineStr">
        <is>
          <t>invocacao.9.esp.1.forma</t>
        </is>
      </c>
      <c r="B2157" s="198">
        <f>IF(ISBLANK(DADOS_INVOC!$MU$107),"",DADOS_INVOC!$MU$107&amp;"")</f>
        <v/>
      </c>
      <c r="C2157" s="198" t="inlineStr">
        <is>
          <t>DADOS_INVOC!MU107</t>
        </is>
      </c>
      <c r="D2157" s="198" t="inlineStr">
        <is>
          <t>entrada</t>
        </is>
      </c>
    </row>
    <row r="2158">
      <c r="A2158" s="198" t="inlineStr">
        <is>
          <t>invocacao.9.esp.1.pecas</t>
        </is>
      </c>
      <c r="B2158" s="198">
        <f>TEXTJOIN(" · ",TRUE,DADOS_INVOC!$MX$107,DADOS_INVOC!$MY$107,DADOS_INVOC!$MZ$107,DADOS_INVOC!$NA$107)</f>
        <v/>
      </c>
      <c r="C2158" s="198" t="inlineStr">
        <is>
          <t>DADOS_INVOC!MX107 DADOS_INVOC!MY107 DADOS_INVOC!MZ107 DADOS_INVOC!NA107</t>
        </is>
      </c>
      <c r="D2158" s="198" t="inlineStr">
        <is>
          <t>entrada</t>
        </is>
      </c>
    </row>
    <row r="2159">
      <c r="A2159" s="198" t="inlineStr">
        <is>
          <t>invocacao.9.esp.1.restricoes</t>
        </is>
      </c>
      <c r="B2159" s="198">
        <f>TEXTJOIN(" · ",TRUE,DADOS_INVOC!$NB$107,DADOS_INVOC!$NC$107)</f>
        <v/>
      </c>
      <c r="C2159" s="198" t="inlineStr">
        <is>
          <t>DADOS_INVOC!NB107 DADOS_INVOC!NC107</t>
        </is>
      </c>
      <c r="D2159" s="198" t="inlineStr">
        <is>
          <t>entrada</t>
        </is>
      </c>
    </row>
    <row r="2160">
      <c r="A2160" s="198" t="inlineStr">
        <is>
          <t>invocacao.9.esp.1.pe</t>
        </is>
      </c>
      <c r="B2160" s="198">
        <f>IF(ISBLANK(DADOS_INVOC!$QA$107),"",DADOS_INVOC!$QA$107&amp;"")</f>
        <v/>
      </c>
      <c r="C2160" s="198" t="inlineStr">
        <is>
          <t>DADOS_INVOC!QA107</t>
        </is>
      </c>
      <c r="D2160" s="198" t="inlineStr">
        <is>
          <t>resultado</t>
        </is>
      </c>
    </row>
    <row r="2161">
      <c r="A2161" s="198" t="inlineStr">
        <is>
          <t>invocacao.9.esp.1.dano</t>
        </is>
      </c>
      <c r="B2161" s="198">
        <f>IF(ISBLANK(DADOS_INVOC!$QE$107),"",DADOS_INVOC!$QE$107&amp;"")</f>
        <v/>
      </c>
      <c r="C2161" s="198" t="inlineStr">
        <is>
          <t>DADOS_INVOC!QE107</t>
        </is>
      </c>
      <c r="D2161" s="198" t="inlineStr">
        <is>
          <t>resultado</t>
        </is>
      </c>
    </row>
    <row r="2162">
      <c r="A2162" s="198" t="inlineStr">
        <is>
          <t>invocacao.9.esp.1.erros</t>
        </is>
      </c>
      <c r="B2162" s="198">
        <f>IF(ISBLANK(DADOS_INVOC!$PT$107),"",DADOS_INVOC!$PT$107&amp;"")</f>
        <v/>
      </c>
      <c r="C2162" s="198" t="inlineStr">
        <is>
          <t>DADOS_INVOC!PT107</t>
        </is>
      </c>
      <c r="D2162" s="198" t="inlineStr">
        <is>
          <t>aviso</t>
        </is>
      </c>
    </row>
    <row r="2163">
      <c r="A2163" s="198" t="inlineStr">
        <is>
          <t>invocacao.9.esp.1.avisos</t>
        </is>
      </c>
      <c r="B2163" s="198">
        <f>IF(ISBLANK(DADOS_INVOC!$PV$107),"",DADOS_INVOC!$PV$107&amp;"")</f>
        <v/>
      </c>
      <c r="C2163" s="198" t="inlineStr">
        <is>
          <t>DADOS_INVOC!PV107</t>
        </is>
      </c>
      <c r="D2163" s="198" t="inlineStr">
        <is>
          <t>aviso</t>
        </is>
      </c>
    </row>
    <row r="2164">
      <c r="A2164" s="198" t="inlineStr">
        <is>
          <t>invocacao.9.esp.2.classe</t>
        </is>
      </c>
      <c r="B2164" s="198">
        <f>IF(ISBLANK(DADOS_INVOC!$MS$108),"",DADOS_INVOC!$MS$108&amp;"")</f>
        <v/>
      </c>
      <c r="C2164" s="198" t="inlineStr">
        <is>
          <t>DADOS_INVOC!MS108</t>
        </is>
      </c>
      <c r="D2164" s="198" t="inlineStr">
        <is>
          <t>entrada</t>
        </is>
      </c>
    </row>
    <row r="2165">
      <c r="A2165" s="198" t="inlineStr">
        <is>
          <t>invocacao.9.esp.2.nome</t>
        </is>
      </c>
      <c r="B2165" s="198">
        <f>IF(ISBLANK(DADOS_INVOC!$MT$108),"",DADOS_INVOC!$MT$108&amp;"")</f>
        <v/>
      </c>
      <c r="C2165" s="198" t="inlineStr">
        <is>
          <t>DADOS_INVOC!MT108</t>
        </is>
      </c>
      <c r="D2165" s="198" t="inlineStr">
        <is>
          <t>entrada</t>
        </is>
      </c>
    </row>
    <row r="2166">
      <c r="A2166" s="198" t="inlineStr">
        <is>
          <t>invocacao.9.esp.2.forma</t>
        </is>
      </c>
      <c r="B2166" s="198">
        <f>IF(ISBLANK(DADOS_INVOC!$MU$108),"",DADOS_INVOC!$MU$108&amp;"")</f>
        <v/>
      </c>
      <c r="C2166" s="198" t="inlineStr">
        <is>
          <t>DADOS_INVOC!MU108</t>
        </is>
      </c>
      <c r="D2166" s="198" t="inlineStr">
        <is>
          <t>entrada</t>
        </is>
      </c>
    </row>
    <row r="2167">
      <c r="A2167" s="198" t="inlineStr">
        <is>
          <t>invocacao.9.esp.2.pecas</t>
        </is>
      </c>
      <c r="B2167" s="198">
        <f>TEXTJOIN(" · ",TRUE,DADOS_INVOC!$MX$108,DADOS_INVOC!$MY$108,DADOS_INVOC!$MZ$108,DADOS_INVOC!$NA$108)</f>
        <v/>
      </c>
      <c r="C2167" s="198" t="inlineStr">
        <is>
          <t>DADOS_INVOC!MX108 DADOS_INVOC!MY108 DADOS_INVOC!MZ108 DADOS_INVOC!NA108</t>
        </is>
      </c>
      <c r="D2167" s="198" t="inlineStr">
        <is>
          <t>entrada</t>
        </is>
      </c>
    </row>
    <row r="2168">
      <c r="A2168" s="198" t="inlineStr">
        <is>
          <t>invocacao.9.esp.2.restricoes</t>
        </is>
      </c>
      <c r="B2168" s="198">
        <f>TEXTJOIN(" · ",TRUE,DADOS_INVOC!$NB$108,DADOS_INVOC!$NC$108)</f>
        <v/>
      </c>
      <c r="C2168" s="198" t="inlineStr">
        <is>
          <t>DADOS_INVOC!NB108 DADOS_INVOC!NC108</t>
        </is>
      </c>
      <c r="D2168" s="198" t="inlineStr">
        <is>
          <t>entrada</t>
        </is>
      </c>
    </row>
    <row r="2169">
      <c r="A2169" s="198" t="inlineStr">
        <is>
          <t>invocacao.9.esp.2.pe</t>
        </is>
      </c>
      <c r="B2169" s="198">
        <f>IF(ISBLANK(DADOS_INVOC!$QA$108),"",DADOS_INVOC!$QA$108&amp;"")</f>
        <v/>
      </c>
      <c r="C2169" s="198" t="inlineStr">
        <is>
          <t>DADOS_INVOC!QA108</t>
        </is>
      </c>
      <c r="D2169" s="198" t="inlineStr">
        <is>
          <t>resultado</t>
        </is>
      </c>
    </row>
    <row r="2170">
      <c r="A2170" s="198" t="inlineStr">
        <is>
          <t>invocacao.9.esp.2.dano</t>
        </is>
      </c>
      <c r="B2170" s="198">
        <f>IF(ISBLANK(DADOS_INVOC!$QE$108),"",DADOS_INVOC!$QE$108&amp;"")</f>
        <v/>
      </c>
      <c r="C2170" s="198" t="inlineStr">
        <is>
          <t>DADOS_INVOC!QE108</t>
        </is>
      </c>
      <c r="D2170" s="198" t="inlineStr">
        <is>
          <t>resultado</t>
        </is>
      </c>
    </row>
    <row r="2171">
      <c r="A2171" s="198" t="inlineStr">
        <is>
          <t>invocacao.9.esp.2.erros</t>
        </is>
      </c>
      <c r="B2171" s="198">
        <f>IF(ISBLANK(DADOS_INVOC!$PT$108),"",DADOS_INVOC!$PT$108&amp;"")</f>
        <v/>
      </c>
      <c r="C2171" s="198" t="inlineStr">
        <is>
          <t>DADOS_INVOC!PT108</t>
        </is>
      </c>
      <c r="D2171" s="198" t="inlineStr">
        <is>
          <t>aviso</t>
        </is>
      </c>
    </row>
    <row r="2172">
      <c r="A2172" s="198" t="inlineStr">
        <is>
          <t>invocacao.9.esp.2.avisos</t>
        </is>
      </c>
      <c r="B2172" s="198">
        <f>IF(ISBLANK(DADOS_INVOC!$PV$108),"",DADOS_INVOC!$PV$108&amp;"")</f>
        <v/>
      </c>
      <c r="C2172" s="198" t="inlineStr">
        <is>
          <t>DADOS_INVOC!PV108</t>
        </is>
      </c>
      <c r="D2172" s="198" t="inlineStr">
        <is>
          <t>aviso</t>
        </is>
      </c>
    </row>
    <row r="2173">
      <c r="A2173" s="198" t="inlineStr">
        <is>
          <t>invocacao.9.bas.2.classe</t>
        </is>
      </c>
      <c r="B2173" s="198">
        <f>IF(ISBLANK(DADOS_INVOC!$MS$109),"",DADOS_INVOC!$MS$109&amp;"")</f>
        <v/>
      </c>
      <c r="C2173" s="198" t="inlineStr">
        <is>
          <t>DADOS_INVOC!MS109</t>
        </is>
      </c>
      <c r="D2173" s="198" t="inlineStr">
        <is>
          <t>entrada</t>
        </is>
      </c>
    </row>
    <row r="2174">
      <c r="A2174" s="198" t="inlineStr">
        <is>
          <t>invocacao.9.bas.2.nome</t>
        </is>
      </c>
      <c r="B2174" s="198">
        <f>IF(ISBLANK(DADOS_INVOC!$MT$109),"",DADOS_INVOC!$MT$109&amp;"")</f>
        <v/>
      </c>
      <c r="C2174" s="198" t="inlineStr">
        <is>
          <t>DADOS_INVOC!MT109</t>
        </is>
      </c>
      <c r="D2174" s="198" t="inlineStr">
        <is>
          <t>entrada</t>
        </is>
      </c>
    </row>
    <row r="2175">
      <c r="A2175" s="198" t="inlineStr">
        <is>
          <t>invocacao.9.bas.2.forma</t>
        </is>
      </c>
      <c r="B2175" s="198">
        <f>IF(ISBLANK(DADOS_INVOC!$MU$109),"",DADOS_INVOC!$MU$109&amp;"")</f>
        <v/>
      </c>
      <c r="C2175" s="198" t="inlineStr">
        <is>
          <t>DADOS_INVOC!MU109</t>
        </is>
      </c>
      <c r="D2175" s="198" t="inlineStr">
        <is>
          <t>entrada</t>
        </is>
      </c>
    </row>
    <row r="2176">
      <c r="A2176" s="198" t="inlineStr">
        <is>
          <t>invocacao.9.bas.2.pecas</t>
        </is>
      </c>
      <c r="B2176" s="198">
        <f>TEXTJOIN(" · ",TRUE,DADOS_INVOC!$MX$109,DADOS_INVOC!$MY$109,DADOS_INVOC!$MZ$109,DADOS_INVOC!$NA$109)</f>
        <v/>
      </c>
      <c r="C2176" s="198" t="inlineStr">
        <is>
          <t>DADOS_INVOC!MX109 DADOS_INVOC!MY109 DADOS_INVOC!MZ109 DADOS_INVOC!NA109</t>
        </is>
      </c>
      <c r="D2176" s="198" t="inlineStr">
        <is>
          <t>entrada</t>
        </is>
      </c>
    </row>
    <row r="2177">
      <c r="A2177" s="198" t="inlineStr">
        <is>
          <t>invocacao.9.bas.2.restricoes</t>
        </is>
      </c>
      <c r="B2177" s="198">
        <f>TEXTJOIN(" · ",TRUE,DADOS_INVOC!$NB$109,DADOS_INVOC!$NC$109)</f>
        <v/>
      </c>
      <c r="C2177" s="198" t="inlineStr">
        <is>
          <t>DADOS_INVOC!NB109 DADOS_INVOC!NC109</t>
        </is>
      </c>
      <c r="D2177" s="198" t="inlineStr">
        <is>
          <t>entrada</t>
        </is>
      </c>
    </row>
    <row r="2178">
      <c r="A2178" s="198" t="inlineStr">
        <is>
          <t>invocacao.9.bas.2.pe</t>
        </is>
      </c>
      <c r="B2178" s="198">
        <f>IF(ISBLANK(DADOS_INVOC!$QA$109),"",DADOS_INVOC!$QA$109&amp;"")</f>
        <v/>
      </c>
      <c r="C2178" s="198" t="inlineStr">
        <is>
          <t>DADOS_INVOC!QA109</t>
        </is>
      </c>
      <c r="D2178" s="198" t="inlineStr">
        <is>
          <t>resultado</t>
        </is>
      </c>
    </row>
    <row r="2179">
      <c r="A2179" s="198" t="inlineStr">
        <is>
          <t>invocacao.9.bas.2.dano</t>
        </is>
      </c>
      <c r="B2179" s="198">
        <f>IF(ISBLANK(DADOS_INVOC!$QE$109),"",DADOS_INVOC!$QE$109&amp;"")</f>
        <v/>
      </c>
      <c r="C2179" s="198" t="inlineStr">
        <is>
          <t>DADOS_INVOC!QE109</t>
        </is>
      </c>
      <c r="D2179" s="198" t="inlineStr">
        <is>
          <t>resultado</t>
        </is>
      </c>
    </row>
    <row r="2180">
      <c r="A2180" s="198" t="inlineStr">
        <is>
          <t>invocacao.9.bas.2.erros</t>
        </is>
      </c>
      <c r="B2180" s="198">
        <f>IF(ISBLANK(DADOS_INVOC!$PT$109),"",DADOS_INVOC!$PT$109&amp;"")</f>
        <v/>
      </c>
      <c r="C2180" s="198" t="inlineStr">
        <is>
          <t>DADOS_INVOC!PT109</t>
        </is>
      </c>
      <c r="D2180" s="198" t="inlineStr">
        <is>
          <t>aviso</t>
        </is>
      </c>
    </row>
    <row r="2181">
      <c r="A2181" s="198" t="inlineStr">
        <is>
          <t>invocacao.9.bas.2.avisos</t>
        </is>
      </c>
      <c r="B2181" s="198">
        <f>IF(ISBLANK(DADOS_INVOC!$PV$109),"",DADOS_INVOC!$PV$109&amp;"")</f>
        <v/>
      </c>
      <c r="C2181" s="198" t="inlineStr">
        <is>
          <t>DADOS_INVOC!PV109</t>
        </is>
      </c>
      <c r="D2181" s="198" t="inlineStr">
        <is>
          <t>aviso</t>
        </is>
      </c>
    </row>
    <row r="2182">
      <c r="A2182" s="198" t="inlineStr">
        <is>
          <t>invocacao.9.esp.3.classe</t>
        </is>
      </c>
      <c r="B2182" s="198">
        <f>IF(ISBLANK(DADOS_INVOC!$MS$110),"",DADOS_INVOC!$MS$110&amp;"")</f>
        <v/>
      </c>
      <c r="C2182" s="198" t="inlineStr">
        <is>
          <t>DADOS_INVOC!MS110</t>
        </is>
      </c>
      <c r="D2182" s="198" t="inlineStr">
        <is>
          <t>entrada</t>
        </is>
      </c>
    </row>
    <row r="2183">
      <c r="A2183" s="198" t="inlineStr">
        <is>
          <t>invocacao.9.esp.3.nome</t>
        </is>
      </c>
      <c r="B2183" s="198">
        <f>IF(ISBLANK(DADOS_INVOC!$MT$110),"",DADOS_INVOC!$MT$110&amp;"")</f>
        <v/>
      </c>
      <c r="C2183" s="198" t="inlineStr">
        <is>
          <t>DADOS_INVOC!MT110</t>
        </is>
      </c>
      <c r="D2183" s="198" t="inlineStr">
        <is>
          <t>entrada</t>
        </is>
      </c>
    </row>
    <row r="2184">
      <c r="A2184" s="198" t="inlineStr">
        <is>
          <t>invocacao.9.esp.3.forma</t>
        </is>
      </c>
      <c r="B2184" s="198">
        <f>IF(ISBLANK(DADOS_INVOC!$MU$110),"",DADOS_INVOC!$MU$110&amp;"")</f>
        <v/>
      </c>
      <c r="C2184" s="198" t="inlineStr">
        <is>
          <t>DADOS_INVOC!MU110</t>
        </is>
      </c>
      <c r="D2184" s="198" t="inlineStr">
        <is>
          <t>entrada</t>
        </is>
      </c>
    </row>
    <row r="2185">
      <c r="A2185" s="198" t="inlineStr">
        <is>
          <t>invocacao.9.esp.3.pecas</t>
        </is>
      </c>
      <c r="B2185" s="198">
        <f>TEXTJOIN(" · ",TRUE,DADOS_INVOC!$MX$110,DADOS_INVOC!$MY$110,DADOS_INVOC!$MZ$110,DADOS_INVOC!$NA$110)</f>
        <v/>
      </c>
      <c r="C2185" s="198" t="inlineStr">
        <is>
          <t>DADOS_INVOC!MX110 DADOS_INVOC!MY110 DADOS_INVOC!MZ110 DADOS_INVOC!NA110</t>
        </is>
      </c>
      <c r="D2185" s="198" t="inlineStr">
        <is>
          <t>entrada</t>
        </is>
      </c>
    </row>
    <row r="2186">
      <c r="A2186" s="198" t="inlineStr">
        <is>
          <t>invocacao.9.esp.3.restricoes</t>
        </is>
      </c>
      <c r="B2186" s="198">
        <f>TEXTJOIN(" · ",TRUE,DADOS_INVOC!$NB$110,DADOS_INVOC!$NC$110)</f>
        <v/>
      </c>
      <c r="C2186" s="198" t="inlineStr">
        <is>
          <t>DADOS_INVOC!NB110 DADOS_INVOC!NC110</t>
        </is>
      </c>
      <c r="D2186" s="198" t="inlineStr">
        <is>
          <t>entrada</t>
        </is>
      </c>
    </row>
    <row r="2187">
      <c r="A2187" s="198" t="inlineStr">
        <is>
          <t>invocacao.9.esp.3.pe</t>
        </is>
      </c>
      <c r="B2187" s="198">
        <f>IF(ISBLANK(DADOS_INVOC!$QA$110),"",DADOS_INVOC!$QA$110&amp;"")</f>
        <v/>
      </c>
      <c r="C2187" s="198" t="inlineStr">
        <is>
          <t>DADOS_INVOC!QA110</t>
        </is>
      </c>
      <c r="D2187" s="198" t="inlineStr">
        <is>
          <t>resultado</t>
        </is>
      </c>
    </row>
    <row r="2188">
      <c r="A2188" s="198" t="inlineStr">
        <is>
          <t>invocacao.9.esp.3.dano</t>
        </is>
      </c>
      <c r="B2188" s="198">
        <f>IF(ISBLANK(DADOS_INVOC!$QE$110),"",DADOS_INVOC!$QE$110&amp;"")</f>
        <v/>
      </c>
      <c r="C2188" s="198" t="inlineStr">
        <is>
          <t>DADOS_INVOC!QE110</t>
        </is>
      </c>
      <c r="D2188" s="198" t="inlineStr">
        <is>
          <t>resultado</t>
        </is>
      </c>
    </row>
    <row r="2189">
      <c r="A2189" s="198" t="inlineStr">
        <is>
          <t>invocacao.9.esp.3.erros</t>
        </is>
      </c>
      <c r="B2189" s="198">
        <f>IF(ISBLANK(DADOS_INVOC!$PT$110),"",DADOS_INVOC!$PT$110&amp;"")</f>
        <v/>
      </c>
      <c r="C2189" s="198" t="inlineStr">
        <is>
          <t>DADOS_INVOC!PT110</t>
        </is>
      </c>
      <c r="D2189" s="198" t="inlineStr">
        <is>
          <t>aviso</t>
        </is>
      </c>
    </row>
    <row r="2190">
      <c r="A2190" s="198" t="inlineStr">
        <is>
          <t>invocacao.9.esp.3.avisos</t>
        </is>
      </c>
      <c r="B2190" s="198">
        <f>IF(ISBLANK(DADOS_INVOC!$PV$110),"",DADOS_INVOC!$PV$110&amp;"")</f>
        <v/>
      </c>
      <c r="C2190" s="198" t="inlineStr">
        <is>
          <t>DADOS_INVOC!PV110</t>
        </is>
      </c>
      <c r="D2190" s="198" t="inlineStr">
        <is>
          <t>aviso</t>
        </is>
      </c>
    </row>
    <row r="2191">
      <c r="A2191" s="198" t="inlineStr">
        <is>
          <t>invocacao.9.esp.4.classe</t>
        </is>
      </c>
      <c r="B2191" s="198">
        <f>IF(ISBLANK(DADOS_INVOC!$MS$111),"",DADOS_INVOC!$MS$111&amp;"")</f>
        <v/>
      </c>
      <c r="C2191" s="198" t="inlineStr">
        <is>
          <t>DADOS_INVOC!MS111</t>
        </is>
      </c>
      <c r="D2191" s="198" t="inlineStr">
        <is>
          <t>entrada</t>
        </is>
      </c>
    </row>
    <row r="2192">
      <c r="A2192" s="198" t="inlineStr">
        <is>
          <t>invocacao.9.esp.4.nome</t>
        </is>
      </c>
      <c r="B2192" s="198">
        <f>IF(ISBLANK(DADOS_INVOC!$MT$111),"",DADOS_INVOC!$MT$111&amp;"")</f>
        <v/>
      </c>
      <c r="C2192" s="198" t="inlineStr">
        <is>
          <t>DADOS_INVOC!MT111</t>
        </is>
      </c>
      <c r="D2192" s="198" t="inlineStr">
        <is>
          <t>entrada</t>
        </is>
      </c>
    </row>
    <row r="2193">
      <c r="A2193" s="198" t="inlineStr">
        <is>
          <t>invocacao.9.esp.4.forma</t>
        </is>
      </c>
      <c r="B2193" s="198">
        <f>IF(ISBLANK(DADOS_INVOC!$MU$111),"",DADOS_INVOC!$MU$111&amp;"")</f>
        <v/>
      </c>
      <c r="C2193" s="198" t="inlineStr">
        <is>
          <t>DADOS_INVOC!MU111</t>
        </is>
      </c>
      <c r="D2193" s="198" t="inlineStr">
        <is>
          <t>entrada</t>
        </is>
      </c>
    </row>
    <row r="2194">
      <c r="A2194" s="198" t="inlineStr">
        <is>
          <t>invocacao.9.esp.4.pecas</t>
        </is>
      </c>
      <c r="B2194" s="198">
        <f>TEXTJOIN(" · ",TRUE,DADOS_INVOC!$MX$111,DADOS_INVOC!$MY$111,DADOS_INVOC!$MZ$111,DADOS_INVOC!$NA$111)</f>
        <v/>
      </c>
      <c r="C2194" s="198" t="inlineStr">
        <is>
          <t>DADOS_INVOC!MX111 DADOS_INVOC!MY111 DADOS_INVOC!MZ111 DADOS_INVOC!NA111</t>
        </is>
      </c>
      <c r="D2194" s="198" t="inlineStr">
        <is>
          <t>entrada</t>
        </is>
      </c>
    </row>
    <row r="2195">
      <c r="A2195" s="198" t="inlineStr">
        <is>
          <t>invocacao.9.esp.4.restricoes</t>
        </is>
      </c>
      <c r="B2195" s="198">
        <f>TEXTJOIN(" · ",TRUE,DADOS_INVOC!$NB$111,DADOS_INVOC!$NC$111)</f>
        <v/>
      </c>
      <c r="C2195" s="198" t="inlineStr">
        <is>
          <t>DADOS_INVOC!NB111 DADOS_INVOC!NC111</t>
        </is>
      </c>
      <c r="D2195" s="198" t="inlineStr">
        <is>
          <t>entrada</t>
        </is>
      </c>
    </row>
    <row r="2196">
      <c r="A2196" s="198" t="inlineStr">
        <is>
          <t>invocacao.9.esp.4.pe</t>
        </is>
      </c>
      <c r="B2196" s="198">
        <f>IF(ISBLANK(DADOS_INVOC!$QA$111),"",DADOS_INVOC!$QA$111&amp;"")</f>
        <v/>
      </c>
      <c r="C2196" s="198" t="inlineStr">
        <is>
          <t>DADOS_INVOC!QA111</t>
        </is>
      </c>
      <c r="D2196" s="198" t="inlineStr">
        <is>
          <t>resultado</t>
        </is>
      </c>
    </row>
    <row r="2197">
      <c r="A2197" s="198" t="inlineStr">
        <is>
          <t>invocacao.9.esp.4.dano</t>
        </is>
      </c>
      <c r="B2197" s="198">
        <f>IF(ISBLANK(DADOS_INVOC!$QE$111),"",DADOS_INVOC!$QE$111&amp;"")</f>
        <v/>
      </c>
      <c r="C2197" s="198" t="inlineStr">
        <is>
          <t>DADOS_INVOC!QE111</t>
        </is>
      </c>
      <c r="D2197" s="198" t="inlineStr">
        <is>
          <t>resultado</t>
        </is>
      </c>
    </row>
    <row r="2198">
      <c r="A2198" s="198" t="inlineStr">
        <is>
          <t>invocacao.9.esp.4.erros</t>
        </is>
      </c>
      <c r="B2198" s="198">
        <f>IF(ISBLANK(DADOS_INVOC!$PT$111),"",DADOS_INVOC!$PT$111&amp;"")</f>
        <v/>
      </c>
      <c r="C2198" s="198" t="inlineStr">
        <is>
          <t>DADOS_INVOC!PT111</t>
        </is>
      </c>
      <c r="D2198" s="198" t="inlineStr">
        <is>
          <t>aviso</t>
        </is>
      </c>
    </row>
    <row r="2199">
      <c r="A2199" s="198" t="inlineStr">
        <is>
          <t>invocacao.9.esp.4.avisos</t>
        </is>
      </c>
      <c r="B2199" s="198">
        <f>IF(ISBLANK(DADOS_INVOC!$PV$111),"",DADOS_INVOC!$PV$111&amp;"")</f>
        <v/>
      </c>
      <c r="C2199" s="198" t="inlineStr">
        <is>
          <t>DADOS_INVOC!PV111</t>
        </is>
      </c>
      <c r="D2199" s="198" t="inlineStr">
        <is>
          <t>aviso</t>
        </is>
      </c>
    </row>
    <row r="2200">
      <c r="A2200" s="198" t="inlineStr">
        <is>
          <t>invocacao.9.esp.5.classe</t>
        </is>
      </c>
      <c r="B2200" s="198">
        <f>IF(ISBLANK(DADOS_INVOC!$MS$112),"",DADOS_INVOC!$MS$112&amp;"")</f>
        <v/>
      </c>
      <c r="C2200" s="198" t="inlineStr">
        <is>
          <t>DADOS_INVOC!MS112</t>
        </is>
      </c>
      <c r="D2200" s="198" t="inlineStr">
        <is>
          <t>entrada</t>
        </is>
      </c>
    </row>
    <row r="2201">
      <c r="A2201" s="198" t="inlineStr">
        <is>
          <t>invocacao.9.esp.5.nome</t>
        </is>
      </c>
      <c r="B2201" s="198">
        <f>IF(ISBLANK(DADOS_INVOC!$MT$112),"",DADOS_INVOC!$MT$112&amp;"")</f>
        <v/>
      </c>
      <c r="C2201" s="198" t="inlineStr">
        <is>
          <t>DADOS_INVOC!MT112</t>
        </is>
      </c>
      <c r="D2201" s="198" t="inlineStr">
        <is>
          <t>entrada</t>
        </is>
      </c>
    </row>
    <row r="2202">
      <c r="A2202" s="198" t="inlineStr">
        <is>
          <t>invocacao.9.esp.5.forma</t>
        </is>
      </c>
      <c r="B2202" s="198">
        <f>IF(ISBLANK(DADOS_INVOC!$MU$112),"",DADOS_INVOC!$MU$112&amp;"")</f>
        <v/>
      </c>
      <c r="C2202" s="198" t="inlineStr">
        <is>
          <t>DADOS_INVOC!MU112</t>
        </is>
      </c>
      <c r="D2202" s="198" t="inlineStr">
        <is>
          <t>entrada</t>
        </is>
      </c>
    </row>
    <row r="2203">
      <c r="A2203" s="198" t="inlineStr">
        <is>
          <t>invocacao.9.esp.5.pecas</t>
        </is>
      </c>
      <c r="B2203" s="198">
        <f>TEXTJOIN(" · ",TRUE,DADOS_INVOC!$MX$112,DADOS_INVOC!$MY$112,DADOS_INVOC!$MZ$112,DADOS_INVOC!$NA$112)</f>
        <v/>
      </c>
      <c r="C2203" s="198" t="inlineStr">
        <is>
          <t>DADOS_INVOC!MX112 DADOS_INVOC!MY112 DADOS_INVOC!MZ112 DADOS_INVOC!NA112</t>
        </is>
      </c>
      <c r="D2203" s="198" t="inlineStr">
        <is>
          <t>entrada</t>
        </is>
      </c>
    </row>
    <row r="2204">
      <c r="A2204" s="198" t="inlineStr">
        <is>
          <t>invocacao.9.esp.5.restricoes</t>
        </is>
      </c>
      <c r="B2204" s="198">
        <f>TEXTJOIN(" · ",TRUE,DADOS_INVOC!$NB$112,DADOS_INVOC!$NC$112)</f>
        <v/>
      </c>
      <c r="C2204" s="198" t="inlineStr">
        <is>
          <t>DADOS_INVOC!NB112 DADOS_INVOC!NC112</t>
        </is>
      </c>
      <c r="D2204" s="198" t="inlineStr">
        <is>
          <t>entrada</t>
        </is>
      </c>
    </row>
    <row r="2205">
      <c r="A2205" s="198" t="inlineStr">
        <is>
          <t>invocacao.9.esp.5.pe</t>
        </is>
      </c>
      <c r="B2205" s="198">
        <f>IF(ISBLANK(DADOS_INVOC!$QA$112),"",DADOS_INVOC!$QA$112&amp;"")</f>
        <v/>
      </c>
      <c r="C2205" s="198" t="inlineStr">
        <is>
          <t>DADOS_INVOC!QA112</t>
        </is>
      </c>
      <c r="D2205" s="198" t="inlineStr">
        <is>
          <t>resultado</t>
        </is>
      </c>
    </row>
    <row r="2206">
      <c r="A2206" s="198" t="inlineStr">
        <is>
          <t>invocacao.9.esp.5.dano</t>
        </is>
      </c>
      <c r="B2206" s="198">
        <f>IF(ISBLANK(DADOS_INVOC!$QE$112),"",DADOS_INVOC!$QE$112&amp;"")</f>
        <v/>
      </c>
      <c r="C2206" s="198" t="inlineStr">
        <is>
          <t>DADOS_INVOC!QE112</t>
        </is>
      </c>
      <c r="D2206" s="198" t="inlineStr">
        <is>
          <t>resultado</t>
        </is>
      </c>
    </row>
    <row r="2207">
      <c r="A2207" s="198" t="inlineStr">
        <is>
          <t>invocacao.9.esp.5.erros</t>
        </is>
      </c>
      <c r="B2207" s="198">
        <f>IF(ISBLANK(DADOS_INVOC!$PT$112),"",DADOS_INVOC!$PT$112&amp;"")</f>
        <v/>
      </c>
      <c r="C2207" s="198" t="inlineStr">
        <is>
          <t>DADOS_INVOC!PT112</t>
        </is>
      </c>
      <c r="D2207" s="198" t="inlineStr">
        <is>
          <t>aviso</t>
        </is>
      </c>
    </row>
    <row r="2208">
      <c r="A2208" s="198" t="inlineStr">
        <is>
          <t>invocacao.9.esp.5.avisos</t>
        </is>
      </c>
      <c r="B2208" s="198">
        <f>IF(ISBLANK(DADOS_INVOC!$PV$112),"",DADOS_INVOC!$PV$112&amp;"")</f>
        <v/>
      </c>
      <c r="C2208" s="198" t="inlineStr">
        <is>
          <t>DADOS_INVOC!PV112</t>
        </is>
      </c>
      <c r="D2208" s="198" t="inlineStr">
        <is>
          <t>aviso</t>
        </is>
      </c>
    </row>
    <row r="2209">
      <c r="A2209" s="198" t="inlineStr">
        <is>
          <t>invocacao.9.esp.6.classe</t>
        </is>
      </c>
      <c r="B2209" s="198">
        <f>IF(ISBLANK(DADOS_INVOC!$MS$113),"",DADOS_INVOC!$MS$113&amp;"")</f>
        <v/>
      </c>
      <c r="C2209" s="198" t="inlineStr">
        <is>
          <t>DADOS_INVOC!MS113</t>
        </is>
      </c>
      <c r="D2209" s="198" t="inlineStr">
        <is>
          <t>entrada</t>
        </is>
      </c>
    </row>
    <row r="2210">
      <c r="A2210" s="198" t="inlineStr">
        <is>
          <t>invocacao.9.esp.6.nome</t>
        </is>
      </c>
      <c r="B2210" s="198">
        <f>IF(ISBLANK(DADOS_INVOC!$MT$113),"",DADOS_INVOC!$MT$113&amp;"")</f>
        <v/>
      </c>
      <c r="C2210" s="198" t="inlineStr">
        <is>
          <t>DADOS_INVOC!MT113</t>
        </is>
      </c>
      <c r="D2210" s="198" t="inlineStr">
        <is>
          <t>entrada</t>
        </is>
      </c>
    </row>
    <row r="2211">
      <c r="A2211" s="198" t="inlineStr">
        <is>
          <t>invocacao.9.esp.6.forma</t>
        </is>
      </c>
      <c r="B2211" s="198">
        <f>IF(ISBLANK(DADOS_INVOC!$MU$113),"",DADOS_INVOC!$MU$113&amp;"")</f>
        <v/>
      </c>
      <c r="C2211" s="198" t="inlineStr">
        <is>
          <t>DADOS_INVOC!MU113</t>
        </is>
      </c>
      <c r="D2211" s="198" t="inlineStr">
        <is>
          <t>entrada</t>
        </is>
      </c>
    </row>
    <row r="2212">
      <c r="A2212" s="198" t="inlineStr">
        <is>
          <t>invocacao.9.esp.6.pecas</t>
        </is>
      </c>
      <c r="B2212" s="198">
        <f>TEXTJOIN(" · ",TRUE,DADOS_INVOC!$MX$113,DADOS_INVOC!$MY$113,DADOS_INVOC!$MZ$113,DADOS_INVOC!$NA$113)</f>
        <v/>
      </c>
      <c r="C2212" s="198" t="inlineStr">
        <is>
          <t>DADOS_INVOC!MX113 DADOS_INVOC!MY113 DADOS_INVOC!MZ113 DADOS_INVOC!NA113</t>
        </is>
      </c>
      <c r="D2212" s="198" t="inlineStr">
        <is>
          <t>entrada</t>
        </is>
      </c>
    </row>
    <row r="2213">
      <c r="A2213" s="198" t="inlineStr">
        <is>
          <t>invocacao.9.esp.6.restricoes</t>
        </is>
      </c>
      <c r="B2213" s="198">
        <f>TEXTJOIN(" · ",TRUE,DADOS_INVOC!$NB$113,DADOS_INVOC!$NC$113)</f>
        <v/>
      </c>
      <c r="C2213" s="198" t="inlineStr">
        <is>
          <t>DADOS_INVOC!NB113 DADOS_INVOC!NC113</t>
        </is>
      </c>
      <c r="D2213" s="198" t="inlineStr">
        <is>
          <t>entrada</t>
        </is>
      </c>
    </row>
    <row r="2214">
      <c r="A2214" s="198" t="inlineStr">
        <is>
          <t>invocacao.9.esp.6.pe</t>
        </is>
      </c>
      <c r="B2214" s="198">
        <f>IF(ISBLANK(DADOS_INVOC!$QA$113),"",DADOS_INVOC!$QA$113&amp;"")</f>
        <v/>
      </c>
      <c r="C2214" s="198" t="inlineStr">
        <is>
          <t>DADOS_INVOC!QA113</t>
        </is>
      </c>
      <c r="D2214" s="198" t="inlineStr">
        <is>
          <t>resultado</t>
        </is>
      </c>
    </row>
    <row r="2215">
      <c r="A2215" s="198" t="inlineStr">
        <is>
          <t>invocacao.9.esp.6.dano</t>
        </is>
      </c>
      <c r="B2215" s="198">
        <f>IF(ISBLANK(DADOS_INVOC!$QE$113),"",DADOS_INVOC!$QE$113&amp;"")</f>
        <v/>
      </c>
      <c r="C2215" s="198" t="inlineStr">
        <is>
          <t>DADOS_INVOC!QE113</t>
        </is>
      </c>
      <c r="D2215" s="198" t="inlineStr">
        <is>
          <t>resultado</t>
        </is>
      </c>
    </row>
    <row r="2216">
      <c r="A2216" s="198" t="inlineStr">
        <is>
          <t>invocacao.9.esp.6.erros</t>
        </is>
      </c>
      <c r="B2216" s="198">
        <f>IF(ISBLANK(DADOS_INVOC!$PT$113),"",DADOS_INVOC!$PT$113&amp;"")</f>
        <v/>
      </c>
      <c r="C2216" s="198" t="inlineStr">
        <is>
          <t>DADOS_INVOC!PT113</t>
        </is>
      </c>
      <c r="D2216" s="198" t="inlineStr">
        <is>
          <t>aviso</t>
        </is>
      </c>
    </row>
    <row r="2217">
      <c r="A2217" s="198" t="inlineStr">
        <is>
          <t>invocacao.9.esp.6.avisos</t>
        </is>
      </c>
      <c r="B2217" s="198">
        <f>IF(ISBLANK(DADOS_INVOC!$PV$113),"",DADOS_INVOC!$PV$113&amp;"")</f>
        <v/>
      </c>
      <c r="C2217" s="198" t="inlineStr">
        <is>
          <t>DADOS_INVOC!PV113</t>
        </is>
      </c>
      <c r="D2217" s="198" t="inlineStr">
        <is>
          <t>aviso</t>
        </is>
      </c>
    </row>
    <row r="2218">
      <c r="A2218" s="198" t="inlineStr">
        <is>
          <t>invocacao.9.esp.7.classe</t>
        </is>
      </c>
      <c r="B2218" s="198">
        <f>IF(ISBLANK(DADOS_INVOC!$MS$114),"",DADOS_INVOC!$MS$114&amp;"")</f>
        <v/>
      </c>
      <c r="C2218" s="198" t="inlineStr">
        <is>
          <t>DADOS_INVOC!MS114</t>
        </is>
      </c>
      <c r="D2218" s="198" t="inlineStr">
        <is>
          <t>entrada</t>
        </is>
      </c>
    </row>
    <row r="2219">
      <c r="A2219" s="198" t="inlineStr">
        <is>
          <t>invocacao.9.esp.7.nome</t>
        </is>
      </c>
      <c r="B2219" s="198">
        <f>IF(ISBLANK(DADOS_INVOC!$MT$114),"",DADOS_INVOC!$MT$114&amp;"")</f>
        <v/>
      </c>
      <c r="C2219" s="198" t="inlineStr">
        <is>
          <t>DADOS_INVOC!MT114</t>
        </is>
      </c>
      <c r="D2219" s="198" t="inlineStr">
        <is>
          <t>entrada</t>
        </is>
      </c>
    </row>
    <row r="2220">
      <c r="A2220" s="198" t="inlineStr">
        <is>
          <t>invocacao.9.esp.7.forma</t>
        </is>
      </c>
      <c r="B2220" s="198">
        <f>IF(ISBLANK(DADOS_INVOC!$MU$114),"",DADOS_INVOC!$MU$114&amp;"")</f>
        <v/>
      </c>
      <c r="C2220" s="198" t="inlineStr">
        <is>
          <t>DADOS_INVOC!MU114</t>
        </is>
      </c>
      <c r="D2220" s="198" t="inlineStr">
        <is>
          <t>entrada</t>
        </is>
      </c>
    </row>
    <row r="2221">
      <c r="A2221" s="198" t="inlineStr">
        <is>
          <t>invocacao.9.esp.7.pecas</t>
        </is>
      </c>
      <c r="B2221" s="198">
        <f>TEXTJOIN(" · ",TRUE,DADOS_INVOC!$MX$114,DADOS_INVOC!$MY$114,DADOS_INVOC!$MZ$114,DADOS_INVOC!$NA$114)</f>
        <v/>
      </c>
      <c r="C2221" s="198" t="inlineStr">
        <is>
          <t>DADOS_INVOC!MX114 DADOS_INVOC!MY114 DADOS_INVOC!MZ114 DADOS_INVOC!NA114</t>
        </is>
      </c>
      <c r="D2221" s="198" t="inlineStr">
        <is>
          <t>entrada</t>
        </is>
      </c>
    </row>
    <row r="2222">
      <c r="A2222" s="198" t="inlineStr">
        <is>
          <t>invocacao.9.esp.7.restricoes</t>
        </is>
      </c>
      <c r="B2222" s="198">
        <f>TEXTJOIN(" · ",TRUE,DADOS_INVOC!$NB$114,DADOS_INVOC!$NC$114)</f>
        <v/>
      </c>
      <c r="C2222" s="198" t="inlineStr">
        <is>
          <t>DADOS_INVOC!NB114 DADOS_INVOC!NC114</t>
        </is>
      </c>
      <c r="D2222" s="198" t="inlineStr">
        <is>
          <t>entrada</t>
        </is>
      </c>
    </row>
    <row r="2223">
      <c r="A2223" s="198" t="inlineStr">
        <is>
          <t>invocacao.9.esp.7.pe</t>
        </is>
      </c>
      <c r="B2223" s="198">
        <f>IF(ISBLANK(DADOS_INVOC!$QA$114),"",DADOS_INVOC!$QA$114&amp;"")</f>
        <v/>
      </c>
      <c r="C2223" s="198" t="inlineStr">
        <is>
          <t>DADOS_INVOC!QA114</t>
        </is>
      </c>
      <c r="D2223" s="198" t="inlineStr">
        <is>
          <t>resultado</t>
        </is>
      </c>
    </row>
    <row r="2224">
      <c r="A2224" s="198" t="inlineStr">
        <is>
          <t>invocacao.9.esp.7.dano</t>
        </is>
      </c>
      <c r="B2224" s="198">
        <f>IF(ISBLANK(DADOS_INVOC!$QE$114),"",DADOS_INVOC!$QE$114&amp;"")</f>
        <v/>
      </c>
      <c r="C2224" s="198" t="inlineStr">
        <is>
          <t>DADOS_INVOC!QE114</t>
        </is>
      </c>
      <c r="D2224" s="198" t="inlineStr">
        <is>
          <t>resultado</t>
        </is>
      </c>
    </row>
    <row r="2225">
      <c r="A2225" s="198" t="inlineStr">
        <is>
          <t>invocacao.9.esp.7.erros</t>
        </is>
      </c>
      <c r="B2225" s="198">
        <f>IF(ISBLANK(DADOS_INVOC!$PT$114),"",DADOS_INVOC!$PT$114&amp;"")</f>
        <v/>
      </c>
      <c r="C2225" s="198" t="inlineStr">
        <is>
          <t>DADOS_INVOC!PT114</t>
        </is>
      </c>
      <c r="D2225" s="198" t="inlineStr">
        <is>
          <t>aviso</t>
        </is>
      </c>
    </row>
    <row r="2226">
      <c r="A2226" s="198" t="inlineStr">
        <is>
          <t>invocacao.9.esp.7.avisos</t>
        </is>
      </c>
      <c r="B2226" s="198">
        <f>IF(ISBLANK(DADOS_INVOC!$PV$114),"",DADOS_INVOC!$PV$114&amp;"")</f>
        <v/>
      </c>
      <c r="C2226" s="198" t="inlineStr">
        <is>
          <t>DADOS_INVOC!PV114</t>
        </is>
      </c>
      <c r="D2226" s="198" t="inlineStr">
        <is>
          <t>aviso</t>
        </is>
      </c>
    </row>
    <row r="2227">
      <c r="A2227" s="198" t="inlineStr">
        <is>
          <t>invocacao.9.esp.8.classe</t>
        </is>
      </c>
      <c r="B2227" s="198">
        <f>IF(ISBLANK(DADOS_INVOC!$MS$115),"",DADOS_INVOC!$MS$115&amp;"")</f>
        <v/>
      </c>
      <c r="C2227" s="198" t="inlineStr">
        <is>
          <t>DADOS_INVOC!MS115</t>
        </is>
      </c>
      <c r="D2227" s="198" t="inlineStr">
        <is>
          <t>entrada</t>
        </is>
      </c>
    </row>
    <row r="2228">
      <c r="A2228" s="198" t="inlineStr">
        <is>
          <t>invocacao.9.esp.8.nome</t>
        </is>
      </c>
      <c r="B2228" s="198">
        <f>IF(ISBLANK(DADOS_INVOC!$MT$115),"",DADOS_INVOC!$MT$115&amp;"")</f>
        <v/>
      </c>
      <c r="C2228" s="198" t="inlineStr">
        <is>
          <t>DADOS_INVOC!MT115</t>
        </is>
      </c>
      <c r="D2228" s="198" t="inlineStr">
        <is>
          <t>entrada</t>
        </is>
      </c>
    </row>
    <row r="2229">
      <c r="A2229" s="198" t="inlineStr">
        <is>
          <t>invocacao.9.esp.8.forma</t>
        </is>
      </c>
      <c r="B2229" s="198">
        <f>IF(ISBLANK(DADOS_INVOC!$MU$115),"",DADOS_INVOC!$MU$115&amp;"")</f>
        <v/>
      </c>
      <c r="C2229" s="198" t="inlineStr">
        <is>
          <t>DADOS_INVOC!MU115</t>
        </is>
      </c>
      <c r="D2229" s="198" t="inlineStr">
        <is>
          <t>entrada</t>
        </is>
      </c>
    </row>
    <row r="2230">
      <c r="A2230" s="198" t="inlineStr">
        <is>
          <t>invocacao.9.esp.8.pecas</t>
        </is>
      </c>
      <c r="B2230" s="198">
        <f>TEXTJOIN(" · ",TRUE,DADOS_INVOC!$MX$115,DADOS_INVOC!$MY$115,DADOS_INVOC!$MZ$115,DADOS_INVOC!$NA$115)</f>
        <v/>
      </c>
      <c r="C2230" s="198" t="inlineStr">
        <is>
          <t>DADOS_INVOC!MX115 DADOS_INVOC!MY115 DADOS_INVOC!MZ115 DADOS_INVOC!NA115</t>
        </is>
      </c>
      <c r="D2230" s="198" t="inlineStr">
        <is>
          <t>entrada</t>
        </is>
      </c>
    </row>
    <row r="2231">
      <c r="A2231" s="198" t="inlineStr">
        <is>
          <t>invocacao.9.esp.8.restricoes</t>
        </is>
      </c>
      <c r="B2231" s="198">
        <f>TEXTJOIN(" · ",TRUE,DADOS_INVOC!$NB$115,DADOS_INVOC!$NC$115)</f>
        <v/>
      </c>
      <c r="C2231" s="198" t="inlineStr">
        <is>
          <t>DADOS_INVOC!NB115 DADOS_INVOC!NC115</t>
        </is>
      </c>
      <c r="D2231" s="198" t="inlineStr">
        <is>
          <t>entrada</t>
        </is>
      </c>
    </row>
    <row r="2232">
      <c r="A2232" s="198" t="inlineStr">
        <is>
          <t>invocacao.9.esp.8.pe</t>
        </is>
      </c>
      <c r="B2232" s="198">
        <f>IF(ISBLANK(DADOS_INVOC!$QA$115),"",DADOS_INVOC!$QA$115&amp;"")</f>
        <v/>
      </c>
      <c r="C2232" s="198" t="inlineStr">
        <is>
          <t>DADOS_INVOC!QA115</t>
        </is>
      </c>
      <c r="D2232" s="198" t="inlineStr">
        <is>
          <t>resultado</t>
        </is>
      </c>
    </row>
    <row r="2233">
      <c r="A2233" s="198" t="inlineStr">
        <is>
          <t>invocacao.9.esp.8.dano</t>
        </is>
      </c>
      <c r="B2233" s="198">
        <f>IF(ISBLANK(DADOS_INVOC!$QE$115),"",DADOS_INVOC!$QE$115&amp;"")</f>
        <v/>
      </c>
      <c r="C2233" s="198" t="inlineStr">
        <is>
          <t>DADOS_INVOC!QE115</t>
        </is>
      </c>
      <c r="D2233" s="198" t="inlineStr">
        <is>
          <t>resultado</t>
        </is>
      </c>
    </row>
    <row r="2234">
      <c r="A2234" s="198" t="inlineStr">
        <is>
          <t>invocacao.9.esp.8.erros</t>
        </is>
      </c>
      <c r="B2234" s="198">
        <f>IF(ISBLANK(DADOS_INVOC!$PT$115),"",DADOS_INVOC!$PT$115&amp;"")</f>
        <v/>
      </c>
      <c r="C2234" s="198" t="inlineStr">
        <is>
          <t>DADOS_INVOC!PT115</t>
        </is>
      </c>
      <c r="D2234" s="198" t="inlineStr">
        <is>
          <t>aviso</t>
        </is>
      </c>
    </row>
    <row r="2235">
      <c r="A2235" s="198" t="inlineStr">
        <is>
          <t>invocacao.9.esp.8.avisos</t>
        </is>
      </c>
      <c r="B2235" s="198">
        <f>IF(ISBLANK(DADOS_INVOC!$PV$115),"",DADOS_INVOC!$PV$115&amp;"")</f>
        <v/>
      </c>
      <c r="C2235" s="198" t="inlineStr">
        <is>
          <t>DADOS_INVOC!PV115</t>
        </is>
      </c>
      <c r="D2235" s="198" t="inlineStr">
        <is>
          <t>aviso</t>
        </is>
      </c>
    </row>
    <row r="2236">
      <c r="A2236" s="198" t="inlineStr">
        <is>
          <t>invocacao.9.ext.1.classe</t>
        </is>
      </c>
      <c r="B2236" s="198">
        <f>IF(ISBLANK(DADOS_INVOC!$MS$116),"",DADOS_INVOC!$MS$116&amp;"")</f>
        <v/>
      </c>
      <c r="C2236" s="198" t="inlineStr">
        <is>
          <t>DADOS_INVOC!MS116</t>
        </is>
      </c>
      <c r="D2236" s="198" t="inlineStr">
        <is>
          <t>entrada</t>
        </is>
      </c>
    </row>
    <row r="2237">
      <c r="A2237" s="198" t="inlineStr">
        <is>
          <t>invocacao.9.ext.1.nome</t>
        </is>
      </c>
      <c r="B2237" s="198">
        <f>IF(ISBLANK(DADOS_INVOC!$MT$116),"",DADOS_INVOC!$MT$116&amp;"")</f>
        <v/>
      </c>
      <c r="C2237" s="198" t="inlineStr">
        <is>
          <t>DADOS_INVOC!MT116</t>
        </is>
      </c>
      <c r="D2237" s="198" t="inlineStr">
        <is>
          <t>entrada</t>
        </is>
      </c>
    </row>
    <row r="2238">
      <c r="A2238" s="198" t="inlineStr">
        <is>
          <t>invocacao.9.ext.1.forma</t>
        </is>
      </c>
      <c r="B2238" s="198">
        <f>IF(ISBLANK(DADOS_INVOC!$MU$116),"",DADOS_INVOC!$MU$116&amp;"")</f>
        <v/>
      </c>
      <c r="C2238" s="198" t="inlineStr">
        <is>
          <t>DADOS_INVOC!MU116</t>
        </is>
      </c>
      <c r="D2238" s="198" t="inlineStr">
        <is>
          <t>entrada</t>
        </is>
      </c>
    </row>
    <row r="2239">
      <c r="A2239" s="198" t="inlineStr">
        <is>
          <t>invocacao.9.ext.1.pecas</t>
        </is>
      </c>
      <c r="B2239" s="198">
        <f>TEXTJOIN(" · ",TRUE,DADOS_INVOC!$MX$116,DADOS_INVOC!$MY$116,DADOS_INVOC!$MZ$116,DADOS_INVOC!$NA$116)</f>
        <v/>
      </c>
      <c r="C2239" s="198" t="inlineStr">
        <is>
          <t>DADOS_INVOC!MX116 DADOS_INVOC!MY116 DADOS_INVOC!MZ116 DADOS_INVOC!NA116</t>
        </is>
      </c>
      <c r="D2239" s="198" t="inlineStr">
        <is>
          <t>entrada</t>
        </is>
      </c>
    </row>
    <row r="2240">
      <c r="A2240" s="198" t="inlineStr">
        <is>
          <t>invocacao.9.ext.1.restricoes</t>
        </is>
      </c>
      <c r="B2240" s="198">
        <f>TEXTJOIN(" · ",TRUE,DADOS_INVOC!$NB$116,DADOS_INVOC!$NC$116)</f>
        <v/>
      </c>
      <c r="C2240" s="198" t="inlineStr">
        <is>
          <t>DADOS_INVOC!NB116 DADOS_INVOC!NC116</t>
        </is>
      </c>
      <c r="D2240" s="198" t="inlineStr">
        <is>
          <t>entrada</t>
        </is>
      </c>
    </row>
    <row r="2241">
      <c r="A2241" s="198" t="inlineStr">
        <is>
          <t>invocacao.9.ext.1.pe</t>
        </is>
      </c>
      <c r="B2241" s="198">
        <f>IF(ISBLANK(DADOS_INVOC!$QA$116),"",DADOS_INVOC!$QA$116&amp;"")</f>
        <v/>
      </c>
      <c r="C2241" s="198" t="inlineStr">
        <is>
          <t>DADOS_INVOC!QA116</t>
        </is>
      </c>
      <c r="D2241" s="198" t="inlineStr">
        <is>
          <t>resultado</t>
        </is>
      </c>
    </row>
    <row r="2242">
      <c r="A2242" s="198" t="inlineStr">
        <is>
          <t>invocacao.9.ext.1.dano</t>
        </is>
      </c>
      <c r="B2242" s="198">
        <f>IF(ISBLANK(DADOS_INVOC!$QE$116),"",DADOS_INVOC!$QE$116&amp;"")</f>
        <v/>
      </c>
      <c r="C2242" s="198" t="inlineStr">
        <is>
          <t>DADOS_INVOC!QE116</t>
        </is>
      </c>
      <c r="D2242" s="198" t="inlineStr">
        <is>
          <t>resultado</t>
        </is>
      </c>
    </row>
    <row r="2243">
      <c r="A2243" s="198" t="inlineStr">
        <is>
          <t>invocacao.9.ext.1.erros</t>
        </is>
      </c>
      <c r="B2243" s="198">
        <f>IF(ISBLANK(DADOS_INVOC!$PT$116),"",DADOS_INVOC!$PT$116&amp;"")</f>
        <v/>
      </c>
      <c r="C2243" s="198" t="inlineStr">
        <is>
          <t>DADOS_INVOC!PT116</t>
        </is>
      </c>
      <c r="D2243" s="198" t="inlineStr">
        <is>
          <t>aviso</t>
        </is>
      </c>
    </row>
    <row r="2244">
      <c r="A2244" s="198" t="inlineStr">
        <is>
          <t>invocacao.9.ext.1.avisos</t>
        </is>
      </c>
      <c r="B2244" s="198">
        <f>IF(ISBLANK(DADOS_INVOC!$PV$116),"",DADOS_INVOC!$PV$116&amp;"")</f>
        <v/>
      </c>
      <c r="C2244" s="198" t="inlineStr">
        <is>
          <t>DADOS_INVOC!PV116</t>
        </is>
      </c>
      <c r="D2244" s="198" t="inlineStr">
        <is>
          <t>aviso</t>
        </is>
      </c>
    </row>
    <row r="2245">
      <c r="A2245" s="198" t="inlineStr">
        <is>
          <t>invocacao.9.ext.2.classe</t>
        </is>
      </c>
      <c r="B2245" s="198">
        <f>IF(ISBLANK(DADOS_INVOC!$MS$117),"",DADOS_INVOC!$MS$117&amp;"")</f>
        <v/>
      </c>
      <c r="C2245" s="198" t="inlineStr">
        <is>
          <t>DADOS_INVOC!MS117</t>
        </is>
      </c>
      <c r="D2245" s="198" t="inlineStr">
        <is>
          <t>entrada</t>
        </is>
      </c>
    </row>
    <row r="2246">
      <c r="A2246" s="198" t="inlineStr">
        <is>
          <t>invocacao.9.ext.2.nome</t>
        </is>
      </c>
      <c r="B2246" s="198">
        <f>IF(ISBLANK(DADOS_INVOC!$MT$117),"",DADOS_INVOC!$MT$117&amp;"")</f>
        <v/>
      </c>
      <c r="C2246" s="198" t="inlineStr">
        <is>
          <t>DADOS_INVOC!MT117</t>
        </is>
      </c>
      <c r="D2246" s="198" t="inlineStr">
        <is>
          <t>entrada</t>
        </is>
      </c>
    </row>
    <row r="2247">
      <c r="A2247" s="198" t="inlineStr">
        <is>
          <t>invocacao.9.ext.2.forma</t>
        </is>
      </c>
      <c r="B2247" s="198">
        <f>IF(ISBLANK(DADOS_INVOC!$MU$117),"",DADOS_INVOC!$MU$117&amp;"")</f>
        <v/>
      </c>
      <c r="C2247" s="198" t="inlineStr">
        <is>
          <t>DADOS_INVOC!MU117</t>
        </is>
      </c>
      <c r="D2247" s="198" t="inlineStr">
        <is>
          <t>entrada</t>
        </is>
      </c>
    </row>
    <row r="2248">
      <c r="A2248" s="198" t="inlineStr">
        <is>
          <t>invocacao.9.ext.2.pecas</t>
        </is>
      </c>
      <c r="B2248" s="198">
        <f>TEXTJOIN(" · ",TRUE,DADOS_INVOC!$MX$117,DADOS_INVOC!$MY$117,DADOS_INVOC!$MZ$117,DADOS_INVOC!$NA$117)</f>
        <v/>
      </c>
      <c r="C2248" s="198" t="inlineStr">
        <is>
          <t>DADOS_INVOC!MX117 DADOS_INVOC!MY117 DADOS_INVOC!MZ117 DADOS_INVOC!NA117</t>
        </is>
      </c>
      <c r="D2248" s="198" t="inlineStr">
        <is>
          <t>entrada</t>
        </is>
      </c>
    </row>
    <row r="2249">
      <c r="A2249" s="198" t="inlineStr">
        <is>
          <t>invocacao.9.ext.2.restricoes</t>
        </is>
      </c>
      <c r="B2249" s="198">
        <f>TEXTJOIN(" · ",TRUE,DADOS_INVOC!$NB$117,DADOS_INVOC!$NC$117)</f>
        <v/>
      </c>
      <c r="C2249" s="198" t="inlineStr">
        <is>
          <t>DADOS_INVOC!NB117 DADOS_INVOC!NC117</t>
        </is>
      </c>
      <c r="D2249" s="198" t="inlineStr">
        <is>
          <t>entrada</t>
        </is>
      </c>
    </row>
    <row r="2250">
      <c r="A2250" s="198" t="inlineStr">
        <is>
          <t>invocacao.9.ext.2.pe</t>
        </is>
      </c>
      <c r="B2250" s="198">
        <f>IF(ISBLANK(DADOS_INVOC!$QA$117),"",DADOS_INVOC!$QA$117&amp;"")</f>
        <v/>
      </c>
      <c r="C2250" s="198" t="inlineStr">
        <is>
          <t>DADOS_INVOC!QA117</t>
        </is>
      </c>
      <c r="D2250" s="198" t="inlineStr">
        <is>
          <t>resultado</t>
        </is>
      </c>
    </row>
    <row r="2251">
      <c r="A2251" s="198" t="inlineStr">
        <is>
          <t>invocacao.9.ext.2.dano</t>
        </is>
      </c>
      <c r="B2251" s="198">
        <f>IF(ISBLANK(DADOS_INVOC!$QE$117),"",DADOS_INVOC!$QE$117&amp;"")</f>
        <v/>
      </c>
      <c r="C2251" s="198" t="inlineStr">
        <is>
          <t>DADOS_INVOC!QE117</t>
        </is>
      </c>
      <c r="D2251" s="198" t="inlineStr">
        <is>
          <t>resultado</t>
        </is>
      </c>
    </row>
    <row r="2252">
      <c r="A2252" s="198" t="inlineStr">
        <is>
          <t>invocacao.9.ext.2.erros</t>
        </is>
      </c>
      <c r="B2252" s="198">
        <f>IF(ISBLANK(DADOS_INVOC!$PT$117),"",DADOS_INVOC!$PT$117&amp;"")</f>
        <v/>
      </c>
      <c r="C2252" s="198" t="inlineStr">
        <is>
          <t>DADOS_INVOC!PT117</t>
        </is>
      </c>
      <c r="D2252" s="198" t="inlineStr">
        <is>
          <t>aviso</t>
        </is>
      </c>
    </row>
    <row r="2253">
      <c r="A2253" s="198" t="inlineStr">
        <is>
          <t>invocacao.9.ext.2.avisos</t>
        </is>
      </c>
      <c r="B2253" s="198">
        <f>IF(ISBLANK(DADOS_INVOC!$PV$117),"",DADOS_INVOC!$PV$117&amp;"")</f>
        <v/>
      </c>
      <c r="C2253" s="198" t="inlineStr">
        <is>
          <t>DADOS_INVOC!PV117</t>
        </is>
      </c>
      <c r="D2253" s="198" t="inlineStr">
        <is>
          <t>aviso</t>
        </is>
      </c>
    </row>
    <row r="2254">
      <c r="A2254" s="198" t="inlineStr">
        <is>
          <t>invocacao.9.ext.3.classe</t>
        </is>
      </c>
      <c r="B2254" s="198">
        <f>IF(ISBLANK(DADOS_INVOC!$MS$118),"",DADOS_INVOC!$MS$118&amp;"")</f>
        <v/>
      </c>
      <c r="C2254" s="198" t="inlineStr">
        <is>
          <t>DADOS_INVOC!MS118</t>
        </is>
      </c>
      <c r="D2254" s="198" t="inlineStr">
        <is>
          <t>entrada</t>
        </is>
      </c>
    </row>
    <row r="2255">
      <c r="A2255" s="198" t="inlineStr">
        <is>
          <t>invocacao.9.ext.3.nome</t>
        </is>
      </c>
      <c r="B2255" s="198">
        <f>IF(ISBLANK(DADOS_INVOC!$MT$118),"",DADOS_INVOC!$MT$118&amp;"")</f>
        <v/>
      </c>
      <c r="C2255" s="198" t="inlineStr">
        <is>
          <t>DADOS_INVOC!MT118</t>
        </is>
      </c>
      <c r="D2255" s="198" t="inlineStr">
        <is>
          <t>entrada</t>
        </is>
      </c>
    </row>
    <row r="2256">
      <c r="A2256" s="198" t="inlineStr">
        <is>
          <t>invocacao.9.ext.3.forma</t>
        </is>
      </c>
      <c r="B2256" s="198">
        <f>IF(ISBLANK(DADOS_INVOC!$MU$118),"",DADOS_INVOC!$MU$118&amp;"")</f>
        <v/>
      </c>
      <c r="C2256" s="198" t="inlineStr">
        <is>
          <t>DADOS_INVOC!MU118</t>
        </is>
      </c>
      <c r="D2256" s="198" t="inlineStr">
        <is>
          <t>entrada</t>
        </is>
      </c>
    </row>
    <row r="2257">
      <c r="A2257" s="198" t="inlineStr">
        <is>
          <t>invocacao.9.ext.3.pecas</t>
        </is>
      </c>
      <c r="B2257" s="198">
        <f>TEXTJOIN(" · ",TRUE,DADOS_INVOC!$MX$118,DADOS_INVOC!$MY$118,DADOS_INVOC!$MZ$118,DADOS_INVOC!$NA$118)</f>
        <v/>
      </c>
      <c r="C2257" s="198" t="inlineStr">
        <is>
          <t>DADOS_INVOC!MX118 DADOS_INVOC!MY118 DADOS_INVOC!MZ118 DADOS_INVOC!NA118</t>
        </is>
      </c>
      <c r="D2257" s="198" t="inlineStr">
        <is>
          <t>entrada</t>
        </is>
      </c>
    </row>
    <row r="2258">
      <c r="A2258" s="198" t="inlineStr">
        <is>
          <t>invocacao.9.ext.3.restricoes</t>
        </is>
      </c>
      <c r="B2258" s="198">
        <f>TEXTJOIN(" · ",TRUE,DADOS_INVOC!$NB$118,DADOS_INVOC!$NC$118)</f>
        <v/>
      </c>
      <c r="C2258" s="198" t="inlineStr">
        <is>
          <t>DADOS_INVOC!NB118 DADOS_INVOC!NC118</t>
        </is>
      </c>
      <c r="D2258" s="198" t="inlineStr">
        <is>
          <t>entrada</t>
        </is>
      </c>
    </row>
    <row r="2259">
      <c r="A2259" s="198" t="inlineStr">
        <is>
          <t>invocacao.9.ext.3.pe</t>
        </is>
      </c>
      <c r="B2259" s="198">
        <f>IF(ISBLANK(DADOS_INVOC!$QA$118),"",DADOS_INVOC!$QA$118&amp;"")</f>
        <v/>
      </c>
      <c r="C2259" s="198" t="inlineStr">
        <is>
          <t>DADOS_INVOC!QA118</t>
        </is>
      </c>
      <c r="D2259" s="198" t="inlineStr">
        <is>
          <t>resultado</t>
        </is>
      </c>
    </row>
    <row r="2260">
      <c r="A2260" s="198" t="inlineStr">
        <is>
          <t>invocacao.9.ext.3.dano</t>
        </is>
      </c>
      <c r="B2260" s="198">
        <f>IF(ISBLANK(DADOS_INVOC!$QE$118),"",DADOS_INVOC!$QE$118&amp;"")</f>
        <v/>
      </c>
      <c r="C2260" s="198" t="inlineStr">
        <is>
          <t>DADOS_INVOC!QE118</t>
        </is>
      </c>
      <c r="D2260" s="198" t="inlineStr">
        <is>
          <t>resultado</t>
        </is>
      </c>
    </row>
    <row r="2261">
      <c r="A2261" s="198" t="inlineStr">
        <is>
          <t>invocacao.9.ext.3.erros</t>
        </is>
      </c>
      <c r="B2261" s="198">
        <f>IF(ISBLANK(DADOS_INVOC!$PT$118),"",DADOS_INVOC!$PT$118&amp;"")</f>
        <v/>
      </c>
      <c r="C2261" s="198" t="inlineStr">
        <is>
          <t>DADOS_INVOC!PT118</t>
        </is>
      </c>
      <c r="D2261" s="198" t="inlineStr">
        <is>
          <t>aviso</t>
        </is>
      </c>
    </row>
    <row r="2262">
      <c r="A2262" s="198" t="inlineStr">
        <is>
          <t>invocacao.9.ext.3.avisos</t>
        </is>
      </c>
      <c r="B2262" s="198">
        <f>IF(ISBLANK(DADOS_INVOC!$PV$118),"",DADOS_INVOC!$PV$118&amp;"")</f>
        <v/>
      </c>
      <c r="C2262" s="198" t="inlineStr">
        <is>
          <t>DADOS_INVOC!PV118</t>
        </is>
      </c>
      <c r="D2262" s="198" t="inlineStr">
        <is>
          <t>aviso</t>
        </is>
      </c>
    </row>
    <row r="2263">
      <c r="A2263" s="198" t="inlineStr">
        <is>
          <t>invocacao.10.bas.1.classe</t>
        </is>
      </c>
      <c r="B2263" s="198">
        <f>IF(ISBLANK(DADOS_INVOC!$MS$119),"",DADOS_INVOC!$MS$119&amp;"")</f>
        <v/>
      </c>
      <c r="C2263" s="198" t="inlineStr">
        <is>
          <t>DADOS_INVOC!MS119</t>
        </is>
      </c>
      <c r="D2263" s="198" t="inlineStr">
        <is>
          <t>entrada</t>
        </is>
      </c>
    </row>
    <row r="2264">
      <c r="A2264" s="198" t="inlineStr">
        <is>
          <t>invocacao.10.bas.1.nome</t>
        </is>
      </c>
      <c r="B2264" s="198">
        <f>IF(ISBLANK(DADOS_INVOC!$MT$119),"",DADOS_INVOC!$MT$119&amp;"")</f>
        <v/>
      </c>
      <c r="C2264" s="198" t="inlineStr">
        <is>
          <t>DADOS_INVOC!MT119</t>
        </is>
      </c>
      <c r="D2264" s="198" t="inlineStr">
        <is>
          <t>entrada</t>
        </is>
      </c>
    </row>
    <row r="2265">
      <c r="A2265" s="198" t="inlineStr">
        <is>
          <t>invocacao.10.bas.1.forma</t>
        </is>
      </c>
      <c r="B2265" s="198">
        <f>IF(ISBLANK(DADOS_INVOC!$MU$119),"",DADOS_INVOC!$MU$119&amp;"")</f>
        <v/>
      </c>
      <c r="C2265" s="198" t="inlineStr">
        <is>
          <t>DADOS_INVOC!MU119</t>
        </is>
      </c>
      <c r="D2265" s="198" t="inlineStr">
        <is>
          <t>entrada</t>
        </is>
      </c>
    </row>
    <row r="2266">
      <c r="A2266" s="198" t="inlineStr">
        <is>
          <t>invocacao.10.bas.1.pecas</t>
        </is>
      </c>
      <c r="B2266" s="198">
        <f>TEXTJOIN(" · ",TRUE,DADOS_INVOC!$MX$119,DADOS_INVOC!$MY$119,DADOS_INVOC!$MZ$119,DADOS_INVOC!$NA$119)</f>
        <v/>
      </c>
      <c r="C2266" s="198" t="inlineStr">
        <is>
          <t>DADOS_INVOC!MX119 DADOS_INVOC!MY119 DADOS_INVOC!MZ119 DADOS_INVOC!NA119</t>
        </is>
      </c>
      <c r="D2266" s="198" t="inlineStr">
        <is>
          <t>entrada</t>
        </is>
      </c>
    </row>
    <row r="2267">
      <c r="A2267" s="198" t="inlineStr">
        <is>
          <t>invocacao.10.bas.1.restricoes</t>
        </is>
      </c>
      <c r="B2267" s="198">
        <f>TEXTJOIN(" · ",TRUE,DADOS_INVOC!$NB$119,DADOS_INVOC!$NC$119)</f>
        <v/>
      </c>
      <c r="C2267" s="198" t="inlineStr">
        <is>
          <t>DADOS_INVOC!NB119 DADOS_INVOC!NC119</t>
        </is>
      </c>
      <c r="D2267" s="198" t="inlineStr">
        <is>
          <t>entrada</t>
        </is>
      </c>
    </row>
    <row r="2268">
      <c r="A2268" s="198" t="inlineStr">
        <is>
          <t>invocacao.10.bas.1.pe</t>
        </is>
      </c>
      <c r="B2268" s="198">
        <f>IF(ISBLANK(DADOS_INVOC!$QA$119),"",DADOS_INVOC!$QA$119&amp;"")</f>
        <v/>
      </c>
      <c r="C2268" s="198" t="inlineStr">
        <is>
          <t>DADOS_INVOC!QA119</t>
        </is>
      </c>
      <c r="D2268" s="198" t="inlineStr">
        <is>
          <t>resultado</t>
        </is>
      </c>
    </row>
    <row r="2269">
      <c r="A2269" s="198" t="inlineStr">
        <is>
          <t>invocacao.10.bas.1.dano</t>
        </is>
      </c>
      <c r="B2269" s="198">
        <f>IF(ISBLANK(DADOS_INVOC!$QE$119),"",DADOS_INVOC!$QE$119&amp;"")</f>
        <v/>
      </c>
      <c r="C2269" s="198" t="inlineStr">
        <is>
          <t>DADOS_INVOC!QE119</t>
        </is>
      </c>
      <c r="D2269" s="198" t="inlineStr">
        <is>
          <t>resultado</t>
        </is>
      </c>
    </row>
    <row r="2270">
      <c r="A2270" s="198" t="inlineStr">
        <is>
          <t>invocacao.10.bas.1.erros</t>
        </is>
      </c>
      <c r="B2270" s="198">
        <f>IF(ISBLANK(DADOS_INVOC!$PT$119),"",DADOS_INVOC!$PT$119&amp;"")</f>
        <v/>
      </c>
      <c r="C2270" s="198" t="inlineStr">
        <is>
          <t>DADOS_INVOC!PT119</t>
        </is>
      </c>
      <c r="D2270" s="198" t="inlineStr">
        <is>
          <t>aviso</t>
        </is>
      </c>
    </row>
    <row r="2271">
      <c r="A2271" s="198" t="inlineStr">
        <is>
          <t>invocacao.10.bas.1.avisos</t>
        </is>
      </c>
      <c r="B2271" s="198">
        <f>IF(ISBLANK(DADOS_INVOC!$PV$119),"",DADOS_INVOC!$PV$119&amp;"")</f>
        <v/>
      </c>
      <c r="C2271" s="198" t="inlineStr">
        <is>
          <t>DADOS_INVOC!PV119</t>
        </is>
      </c>
      <c r="D2271" s="198" t="inlineStr">
        <is>
          <t>aviso</t>
        </is>
      </c>
    </row>
    <row r="2272">
      <c r="A2272" s="198" t="inlineStr">
        <is>
          <t>invocacao.10.esp.1.classe</t>
        </is>
      </c>
      <c r="B2272" s="198">
        <f>IF(ISBLANK(DADOS_INVOC!$MS$120),"",DADOS_INVOC!$MS$120&amp;"")</f>
        <v/>
      </c>
      <c r="C2272" s="198" t="inlineStr">
        <is>
          <t>DADOS_INVOC!MS120</t>
        </is>
      </c>
      <c r="D2272" s="198" t="inlineStr">
        <is>
          <t>entrada</t>
        </is>
      </c>
    </row>
    <row r="2273">
      <c r="A2273" s="198" t="inlineStr">
        <is>
          <t>invocacao.10.esp.1.nome</t>
        </is>
      </c>
      <c r="B2273" s="198">
        <f>IF(ISBLANK(DADOS_INVOC!$MT$120),"",DADOS_INVOC!$MT$120&amp;"")</f>
        <v/>
      </c>
      <c r="C2273" s="198" t="inlineStr">
        <is>
          <t>DADOS_INVOC!MT120</t>
        </is>
      </c>
      <c r="D2273" s="198" t="inlineStr">
        <is>
          <t>entrada</t>
        </is>
      </c>
    </row>
    <row r="2274">
      <c r="A2274" s="198" t="inlineStr">
        <is>
          <t>invocacao.10.esp.1.forma</t>
        </is>
      </c>
      <c r="B2274" s="198">
        <f>IF(ISBLANK(DADOS_INVOC!$MU$120),"",DADOS_INVOC!$MU$120&amp;"")</f>
        <v/>
      </c>
      <c r="C2274" s="198" t="inlineStr">
        <is>
          <t>DADOS_INVOC!MU120</t>
        </is>
      </c>
      <c r="D2274" s="198" t="inlineStr">
        <is>
          <t>entrada</t>
        </is>
      </c>
    </row>
    <row r="2275">
      <c r="A2275" s="198" t="inlineStr">
        <is>
          <t>invocacao.10.esp.1.pecas</t>
        </is>
      </c>
      <c r="B2275" s="198">
        <f>TEXTJOIN(" · ",TRUE,DADOS_INVOC!$MX$120,DADOS_INVOC!$MY$120,DADOS_INVOC!$MZ$120,DADOS_INVOC!$NA$120)</f>
        <v/>
      </c>
      <c r="C2275" s="198" t="inlineStr">
        <is>
          <t>DADOS_INVOC!MX120 DADOS_INVOC!MY120 DADOS_INVOC!MZ120 DADOS_INVOC!NA120</t>
        </is>
      </c>
      <c r="D2275" s="198" t="inlineStr">
        <is>
          <t>entrada</t>
        </is>
      </c>
    </row>
    <row r="2276">
      <c r="A2276" s="198" t="inlineStr">
        <is>
          <t>invocacao.10.esp.1.restricoes</t>
        </is>
      </c>
      <c r="B2276" s="198">
        <f>TEXTJOIN(" · ",TRUE,DADOS_INVOC!$NB$120,DADOS_INVOC!$NC$120)</f>
        <v/>
      </c>
      <c r="C2276" s="198" t="inlineStr">
        <is>
          <t>DADOS_INVOC!NB120 DADOS_INVOC!NC120</t>
        </is>
      </c>
      <c r="D2276" s="198" t="inlineStr">
        <is>
          <t>entrada</t>
        </is>
      </c>
    </row>
    <row r="2277">
      <c r="A2277" s="198" t="inlineStr">
        <is>
          <t>invocacao.10.esp.1.pe</t>
        </is>
      </c>
      <c r="B2277" s="198">
        <f>IF(ISBLANK(DADOS_INVOC!$QA$120),"",DADOS_INVOC!$QA$120&amp;"")</f>
        <v/>
      </c>
      <c r="C2277" s="198" t="inlineStr">
        <is>
          <t>DADOS_INVOC!QA120</t>
        </is>
      </c>
      <c r="D2277" s="198" t="inlineStr">
        <is>
          <t>resultado</t>
        </is>
      </c>
    </row>
    <row r="2278">
      <c r="A2278" s="198" t="inlineStr">
        <is>
          <t>invocacao.10.esp.1.dano</t>
        </is>
      </c>
      <c r="B2278" s="198">
        <f>IF(ISBLANK(DADOS_INVOC!$QE$120),"",DADOS_INVOC!$QE$120&amp;"")</f>
        <v/>
      </c>
      <c r="C2278" s="198" t="inlineStr">
        <is>
          <t>DADOS_INVOC!QE120</t>
        </is>
      </c>
      <c r="D2278" s="198" t="inlineStr">
        <is>
          <t>resultado</t>
        </is>
      </c>
    </row>
    <row r="2279">
      <c r="A2279" s="198" t="inlineStr">
        <is>
          <t>invocacao.10.esp.1.erros</t>
        </is>
      </c>
      <c r="B2279" s="198">
        <f>IF(ISBLANK(DADOS_INVOC!$PT$120),"",DADOS_INVOC!$PT$120&amp;"")</f>
        <v/>
      </c>
      <c r="C2279" s="198" t="inlineStr">
        <is>
          <t>DADOS_INVOC!PT120</t>
        </is>
      </c>
      <c r="D2279" s="198" t="inlineStr">
        <is>
          <t>aviso</t>
        </is>
      </c>
    </row>
    <row r="2280">
      <c r="A2280" s="198" t="inlineStr">
        <is>
          <t>invocacao.10.esp.1.avisos</t>
        </is>
      </c>
      <c r="B2280" s="198">
        <f>IF(ISBLANK(DADOS_INVOC!$PV$120),"",DADOS_INVOC!$PV$120&amp;"")</f>
        <v/>
      </c>
      <c r="C2280" s="198" t="inlineStr">
        <is>
          <t>DADOS_INVOC!PV120</t>
        </is>
      </c>
      <c r="D2280" s="198" t="inlineStr">
        <is>
          <t>aviso</t>
        </is>
      </c>
    </row>
    <row r="2281">
      <c r="A2281" s="198" t="inlineStr">
        <is>
          <t>invocacao.10.esp.2.classe</t>
        </is>
      </c>
      <c r="B2281" s="198">
        <f>IF(ISBLANK(DADOS_INVOC!$MS$121),"",DADOS_INVOC!$MS$121&amp;"")</f>
        <v/>
      </c>
      <c r="C2281" s="198" t="inlineStr">
        <is>
          <t>DADOS_INVOC!MS121</t>
        </is>
      </c>
      <c r="D2281" s="198" t="inlineStr">
        <is>
          <t>entrada</t>
        </is>
      </c>
    </row>
    <row r="2282">
      <c r="A2282" s="198" t="inlineStr">
        <is>
          <t>invocacao.10.esp.2.nome</t>
        </is>
      </c>
      <c r="B2282" s="198">
        <f>IF(ISBLANK(DADOS_INVOC!$MT$121),"",DADOS_INVOC!$MT$121&amp;"")</f>
        <v/>
      </c>
      <c r="C2282" s="198" t="inlineStr">
        <is>
          <t>DADOS_INVOC!MT121</t>
        </is>
      </c>
      <c r="D2282" s="198" t="inlineStr">
        <is>
          <t>entrada</t>
        </is>
      </c>
    </row>
    <row r="2283">
      <c r="A2283" s="198" t="inlineStr">
        <is>
          <t>invocacao.10.esp.2.forma</t>
        </is>
      </c>
      <c r="B2283" s="198">
        <f>IF(ISBLANK(DADOS_INVOC!$MU$121),"",DADOS_INVOC!$MU$121&amp;"")</f>
        <v/>
      </c>
      <c r="C2283" s="198" t="inlineStr">
        <is>
          <t>DADOS_INVOC!MU121</t>
        </is>
      </c>
      <c r="D2283" s="198" t="inlineStr">
        <is>
          <t>entrada</t>
        </is>
      </c>
    </row>
    <row r="2284">
      <c r="A2284" s="198" t="inlineStr">
        <is>
          <t>invocacao.10.esp.2.pecas</t>
        </is>
      </c>
      <c r="B2284" s="198">
        <f>TEXTJOIN(" · ",TRUE,DADOS_INVOC!$MX$121,DADOS_INVOC!$MY$121,DADOS_INVOC!$MZ$121,DADOS_INVOC!$NA$121)</f>
        <v/>
      </c>
      <c r="C2284" s="198" t="inlineStr">
        <is>
          <t>DADOS_INVOC!MX121 DADOS_INVOC!MY121 DADOS_INVOC!MZ121 DADOS_INVOC!NA121</t>
        </is>
      </c>
      <c r="D2284" s="198" t="inlineStr">
        <is>
          <t>entrada</t>
        </is>
      </c>
    </row>
    <row r="2285">
      <c r="A2285" s="198" t="inlineStr">
        <is>
          <t>invocacao.10.esp.2.restricoes</t>
        </is>
      </c>
      <c r="B2285" s="198">
        <f>TEXTJOIN(" · ",TRUE,DADOS_INVOC!$NB$121,DADOS_INVOC!$NC$121)</f>
        <v/>
      </c>
      <c r="C2285" s="198" t="inlineStr">
        <is>
          <t>DADOS_INVOC!NB121 DADOS_INVOC!NC121</t>
        </is>
      </c>
      <c r="D2285" s="198" t="inlineStr">
        <is>
          <t>entrada</t>
        </is>
      </c>
    </row>
    <row r="2286">
      <c r="A2286" s="198" t="inlineStr">
        <is>
          <t>invocacao.10.esp.2.pe</t>
        </is>
      </c>
      <c r="B2286" s="198">
        <f>IF(ISBLANK(DADOS_INVOC!$QA$121),"",DADOS_INVOC!$QA$121&amp;"")</f>
        <v/>
      </c>
      <c r="C2286" s="198" t="inlineStr">
        <is>
          <t>DADOS_INVOC!QA121</t>
        </is>
      </c>
      <c r="D2286" s="198" t="inlineStr">
        <is>
          <t>resultado</t>
        </is>
      </c>
    </row>
    <row r="2287">
      <c r="A2287" s="198" t="inlineStr">
        <is>
          <t>invocacao.10.esp.2.dano</t>
        </is>
      </c>
      <c r="B2287" s="198">
        <f>IF(ISBLANK(DADOS_INVOC!$QE$121),"",DADOS_INVOC!$QE$121&amp;"")</f>
        <v/>
      </c>
      <c r="C2287" s="198" t="inlineStr">
        <is>
          <t>DADOS_INVOC!QE121</t>
        </is>
      </c>
      <c r="D2287" s="198" t="inlineStr">
        <is>
          <t>resultado</t>
        </is>
      </c>
    </row>
    <row r="2288">
      <c r="A2288" s="198" t="inlineStr">
        <is>
          <t>invocacao.10.esp.2.erros</t>
        </is>
      </c>
      <c r="B2288" s="198">
        <f>IF(ISBLANK(DADOS_INVOC!$PT$121),"",DADOS_INVOC!$PT$121&amp;"")</f>
        <v/>
      </c>
      <c r="C2288" s="198" t="inlineStr">
        <is>
          <t>DADOS_INVOC!PT121</t>
        </is>
      </c>
      <c r="D2288" s="198" t="inlineStr">
        <is>
          <t>aviso</t>
        </is>
      </c>
    </row>
    <row r="2289">
      <c r="A2289" s="198" t="inlineStr">
        <is>
          <t>invocacao.10.esp.2.avisos</t>
        </is>
      </c>
      <c r="B2289" s="198">
        <f>IF(ISBLANK(DADOS_INVOC!$PV$121),"",DADOS_INVOC!$PV$121&amp;"")</f>
        <v/>
      </c>
      <c r="C2289" s="198" t="inlineStr">
        <is>
          <t>DADOS_INVOC!PV121</t>
        </is>
      </c>
      <c r="D2289" s="198" t="inlineStr">
        <is>
          <t>aviso</t>
        </is>
      </c>
    </row>
    <row r="2290">
      <c r="A2290" s="198" t="inlineStr">
        <is>
          <t>invocacao.10.bas.2.classe</t>
        </is>
      </c>
      <c r="B2290" s="198">
        <f>IF(ISBLANK(DADOS_INVOC!$MS$122),"",DADOS_INVOC!$MS$122&amp;"")</f>
        <v/>
      </c>
      <c r="C2290" s="198" t="inlineStr">
        <is>
          <t>DADOS_INVOC!MS122</t>
        </is>
      </c>
      <c r="D2290" s="198" t="inlineStr">
        <is>
          <t>entrada</t>
        </is>
      </c>
    </row>
    <row r="2291">
      <c r="A2291" s="198" t="inlineStr">
        <is>
          <t>invocacao.10.bas.2.nome</t>
        </is>
      </c>
      <c r="B2291" s="198">
        <f>IF(ISBLANK(DADOS_INVOC!$MT$122),"",DADOS_INVOC!$MT$122&amp;"")</f>
        <v/>
      </c>
      <c r="C2291" s="198" t="inlineStr">
        <is>
          <t>DADOS_INVOC!MT122</t>
        </is>
      </c>
      <c r="D2291" s="198" t="inlineStr">
        <is>
          <t>entrada</t>
        </is>
      </c>
    </row>
    <row r="2292">
      <c r="A2292" s="198" t="inlineStr">
        <is>
          <t>invocacao.10.bas.2.forma</t>
        </is>
      </c>
      <c r="B2292" s="198">
        <f>IF(ISBLANK(DADOS_INVOC!$MU$122),"",DADOS_INVOC!$MU$122&amp;"")</f>
        <v/>
      </c>
      <c r="C2292" s="198" t="inlineStr">
        <is>
          <t>DADOS_INVOC!MU122</t>
        </is>
      </c>
      <c r="D2292" s="198" t="inlineStr">
        <is>
          <t>entrada</t>
        </is>
      </c>
    </row>
    <row r="2293">
      <c r="A2293" s="198" t="inlineStr">
        <is>
          <t>invocacao.10.bas.2.pecas</t>
        </is>
      </c>
      <c r="B2293" s="198">
        <f>TEXTJOIN(" · ",TRUE,DADOS_INVOC!$MX$122,DADOS_INVOC!$MY$122,DADOS_INVOC!$MZ$122,DADOS_INVOC!$NA$122)</f>
        <v/>
      </c>
      <c r="C2293" s="198" t="inlineStr">
        <is>
          <t>DADOS_INVOC!MX122 DADOS_INVOC!MY122 DADOS_INVOC!MZ122 DADOS_INVOC!NA122</t>
        </is>
      </c>
      <c r="D2293" s="198" t="inlineStr">
        <is>
          <t>entrada</t>
        </is>
      </c>
    </row>
    <row r="2294">
      <c r="A2294" s="198" t="inlineStr">
        <is>
          <t>invocacao.10.bas.2.restricoes</t>
        </is>
      </c>
      <c r="B2294" s="198">
        <f>TEXTJOIN(" · ",TRUE,DADOS_INVOC!$NB$122,DADOS_INVOC!$NC$122)</f>
        <v/>
      </c>
      <c r="C2294" s="198" t="inlineStr">
        <is>
          <t>DADOS_INVOC!NB122 DADOS_INVOC!NC122</t>
        </is>
      </c>
      <c r="D2294" s="198" t="inlineStr">
        <is>
          <t>entrada</t>
        </is>
      </c>
    </row>
    <row r="2295">
      <c r="A2295" s="198" t="inlineStr">
        <is>
          <t>invocacao.10.bas.2.pe</t>
        </is>
      </c>
      <c r="B2295" s="198">
        <f>IF(ISBLANK(DADOS_INVOC!$QA$122),"",DADOS_INVOC!$QA$122&amp;"")</f>
        <v/>
      </c>
      <c r="C2295" s="198" t="inlineStr">
        <is>
          <t>DADOS_INVOC!QA122</t>
        </is>
      </c>
      <c r="D2295" s="198" t="inlineStr">
        <is>
          <t>resultado</t>
        </is>
      </c>
    </row>
    <row r="2296">
      <c r="A2296" s="198" t="inlineStr">
        <is>
          <t>invocacao.10.bas.2.dano</t>
        </is>
      </c>
      <c r="B2296" s="198">
        <f>IF(ISBLANK(DADOS_INVOC!$QE$122),"",DADOS_INVOC!$QE$122&amp;"")</f>
        <v/>
      </c>
      <c r="C2296" s="198" t="inlineStr">
        <is>
          <t>DADOS_INVOC!QE122</t>
        </is>
      </c>
      <c r="D2296" s="198" t="inlineStr">
        <is>
          <t>resultado</t>
        </is>
      </c>
    </row>
    <row r="2297">
      <c r="A2297" s="198" t="inlineStr">
        <is>
          <t>invocacao.10.bas.2.erros</t>
        </is>
      </c>
      <c r="B2297" s="198">
        <f>IF(ISBLANK(DADOS_INVOC!$PT$122),"",DADOS_INVOC!$PT$122&amp;"")</f>
        <v/>
      </c>
      <c r="C2297" s="198" t="inlineStr">
        <is>
          <t>DADOS_INVOC!PT122</t>
        </is>
      </c>
      <c r="D2297" s="198" t="inlineStr">
        <is>
          <t>aviso</t>
        </is>
      </c>
    </row>
    <row r="2298">
      <c r="A2298" s="198" t="inlineStr">
        <is>
          <t>invocacao.10.bas.2.avisos</t>
        </is>
      </c>
      <c r="B2298" s="198">
        <f>IF(ISBLANK(DADOS_INVOC!$PV$122),"",DADOS_INVOC!$PV$122&amp;"")</f>
        <v/>
      </c>
      <c r="C2298" s="198" t="inlineStr">
        <is>
          <t>DADOS_INVOC!PV122</t>
        </is>
      </c>
      <c r="D2298" s="198" t="inlineStr">
        <is>
          <t>aviso</t>
        </is>
      </c>
    </row>
    <row r="2299">
      <c r="A2299" s="198" t="inlineStr">
        <is>
          <t>invocacao.10.esp.3.classe</t>
        </is>
      </c>
      <c r="B2299" s="198">
        <f>IF(ISBLANK(DADOS_INVOC!$MS$123),"",DADOS_INVOC!$MS$123&amp;"")</f>
        <v/>
      </c>
      <c r="C2299" s="198" t="inlineStr">
        <is>
          <t>DADOS_INVOC!MS123</t>
        </is>
      </c>
      <c r="D2299" s="198" t="inlineStr">
        <is>
          <t>entrada</t>
        </is>
      </c>
    </row>
    <row r="2300">
      <c r="A2300" s="198" t="inlineStr">
        <is>
          <t>invocacao.10.esp.3.nome</t>
        </is>
      </c>
      <c r="B2300" s="198">
        <f>IF(ISBLANK(DADOS_INVOC!$MT$123),"",DADOS_INVOC!$MT$123&amp;"")</f>
        <v/>
      </c>
      <c r="C2300" s="198" t="inlineStr">
        <is>
          <t>DADOS_INVOC!MT123</t>
        </is>
      </c>
      <c r="D2300" s="198" t="inlineStr">
        <is>
          <t>entrada</t>
        </is>
      </c>
    </row>
    <row r="2301">
      <c r="A2301" s="198" t="inlineStr">
        <is>
          <t>invocacao.10.esp.3.forma</t>
        </is>
      </c>
      <c r="B2301" s="198">
        <f>IF(ISBLANK(DADOS_INVOC!$MU$123),"",DADOS_INVOC!$MU$123&amp;"")</f>
        <v/>
      </c>
      <c r="C2301" s="198" t="inlineStr">
        <is>
          <t>DADOS_INVOC!MU123</t>
        </is>
      </c>
      <c r="D2301" s="198" t="inlineStr">
        <is>
          <t>entrada</t>
        </is>
      </c>
    </row>
    <row r="2302">
      <c r="A2302" s="198" t="inlineStr">
        <is>
          <t>invocacao.10.esp.3.pecas</t>
        </is>
      </c>
      <c r="B2302" s="198">
        <f>TEXTJOIN(" · ",TRUE,DADOS_INVOC!$MX$123,DADOS_INVOC!$MY$123,DADOS_INVOC!$MZ$123,DADOS_INVOC!$NA$123)</f>
        <v/>
      </c>
      <c r="C2302" s="198" t="inlineStr">
        <is>
          <t>DADOS_INVOC!MX123 DADOS_INVOC!MY123 DADOS_INVOC!MZ123 DADOS_INVOC!NA123</t>
        </is>
      </c>
      <c r="D2302" s="198" t="inlineStr">
        <is>
          <t>entrada</t>
        </is>
      </c>
    </row>
    <row r="2303">
      <c r="A2303" s="198" t="inlineStr">
        <is>
          <t>invocacao.10.esp.3.restricoes</t>
        </is>
      </c>
      <c r="B2303" s="198">
        <f>TEXTJOIN(" · ",TRUE,DADOS_INVOC!$NB$123,DADOS_INVOC!$NC$123)</f>
        <v/>
      </c>
      <c r="C2303" s="198" t="inlineStr">
        <is>
          <t>DADOS_INVOC!NB123 DADOS_INVOC!NC123</t>
        </is>
      </c>
      <c r="D2303" s="198" t="inlineStr">
        <is>
          <t>entrada</t>
        </is>
      </c>
    </row>
    <row r="2304">
      <c r="A2304" s="198" t="inlineStr">
        <is>
          <t>invocacao.10.esp.3.pe</t>
        </is>
      </c>
      <c r="B2304" s="198">
        <f>IF(ISBLANK(DADOS_INVOC!$QA$123),"",DADOS_INVOC!$QA$123&amp;"")</f>
        <v/>
      </c>
      <c r="C2304" s="198" t="inlineStr">
        <is>
          <t>DADOS_INVOC!QA123</t>
        </is>
      </c>
      <c r="D2304" s="198" t="inlineStr">
        <is>
          <t>resultado</t>
        </is>
      </c>
    </row>
    <row r="2305">
      <c r="A2305" s="198" t="inlineStr">
        <is>
          <t>invocacao.10.esp.3.dano</t>
        </is>
      </c>
      <c r="B2305" s="198">
        <f>IF(ISBLANK(DADOS_INVOC!$QE$123),"",DADOS_INVOC!$QE$123&amp;"")</f>
        <v/>
      </c>
      <c r="C2305" s="198" t="inlineStr">
        <is>
          <t>DADOS_INVOC!QE123</t>
        </is>
      </c>
      <c r="D2305" s="198" t="inlineStr">
        <is>
          <t>resultado</t>
        </is>
      </c>
    </row>
    <row r="2306">
      <c r="A2306" s="198" t="inlineStr">
        <is>
          <t>invocacao.10.esp.3.erros</t>
        </is>
      </c>
      <c r="B2306" s="198">
        <f>IF(ISBLANK(DADOS_INVOC!$PT$123),"",DADOS_INVOC!$PT$123&amp;"")</f>
        <v/>
      </c>
      <c r="C2306" s="198" t="inlineStr">
        <is>
          <t>DADOS_INVOC!PT123</t>
        </is>
      </c>
      <c r="D2306" s="198" t="inlineStr">
        <is>
          <t>aviso</t>
        </is>
      </c>
    </row>
    <row r="2307">
      <c r="A2307" s="198" t="inlineStr">
        <is>
          <t>invocacao.10.esp.3.avisos</t>
        </is>
      </c>
      <c r="B2307" s="198">
        <f>IF(ISBLANK(DADOS_INVOC!$PV$123),"",DADOS_INVOC!$PV$123&amp;"")</f>
        <v/>
      </c>
      <c r="C2307" s="198" t="inlineStr">
        <is>
          <t>DADOS_INVOC!PV123</t>
        </is>
      </c>
      <c r="D2307" s="198" t="inlineStr">
        <is>
          <t>aviso</t>
        </is>
      </c>
    </row>
    <row r="2308">
      <c r="A2308" s="198" t="inlineStr">
        <is>
          <t>invocacao.10.esp.4.classe</t>
        </is>
      </c>
      <c r="B2308" s="198">
        <f>IF(ISBLANK(DADOS_INVOC!$MS$124),"",DADOS_INVOC!$MS$124&amp;"")</f>
        <v/>
      </c>
      <c r="C2308" s="198" t="inlineStr">
        <is>
          <t>DADOS_INVOC!MS124</t>
        </is>
      </c>
      <c r="D2308" s="198" t="inlineStr">
        <is>
          <t>entrada</t>
        </is>
      </c>
    </row>
    <row r="2309">
      <c r="A2309" s="198" t="inlineStr">
        <is>
          <t>invocacao.10.esp.4.nome</t>
        </is>
      </c>
      <c r="B2309" s="198">
        <f>IF(ISBLANK(DADOS_INVOC!$MT$124),"",DADOS_INVOC!$MT$124&amp;"")</f>
        <v/>
      </c>
      <c r="C2309" s="198" t="inlineStr">
        <is>
          <t>DADOS_INVOC!MT124</t>
        </is>
      </c>
      <c r="D2309" s="198" t="inlineStr">
        <is>
          <t>entrada</t>
        </is>
      </c>
    </row>
    <row r="2310">
      <c r="A2310" s="198" t="inlineStr">
        <is>
          <t>invocacao.10.esp.4.forma</t>
        </is>
      </c>
      <c r="B2310" s="198">
        <f>IF(ISBLANK(DADOS_INVOC!$MU$124),"",DADOS_INVOC!$MU$124&amp;"")</f>
        <v/>
      </c>
      <c r="C2310" s="198" t="inlineStr">
        <is>
          <t>DADOS_INVOC!MU124</t>
        </is>
      </c>
      <c r="D2310" s="198" t="inlineStr">
        <is>
          <t>entrada</t>
        </is>
      </c>
    </row>
    <row r="2311">
      <c r="A2311" s="198" t="inlineStr">
        <is>
          <t>invocacao.10.esp.4.pecas</t>
        </is>
      </c>
      <c r="B2311" s="198">
        <f>TEXTJOIN(" · ",TRUE,DADOS_INVOC!$MX$124,DADOS_INVOC!$MY$124,DADOS_INVOC!$MZ$124,DADOS_INVOC!$NA$124)</f>
        <v/>
      </c>
      <c r="C2311" s="198" t="inlineStr">
        <is>
          <t>DADOS_INVOC!MX124 DADOS_INVOC!MY124 DADOS_INVOC!MZ124 DADOS_INVOC!NA124</t>
        </is>
      </c>
      <c r="D2311" s="198" t="inlineStr">
        <is>
          <t>entrada</t>
        </is>
      </c>
    </row>
    <row r="2312">
      <c r="A2312" s="198" t="inlineStr">
        <is>
          <t>invocacao.10.esp.4.restricoes</t>
        </is>
      </c>
      <c r="B2312" s="198">
        <f>TEXTJOIN(" · ",TRUE,DADOS_INVOC!$NB$124,DADOS_INVOC!$NC$124)</f>
        <v/>
      </c>
      <c r="C2312" s="198" t="inlineStr">
        <is>
          <t>DADOS_INVOC!NB124 DADOS_INVOC!NC124</t>
        </is>
      </c>
      <c r="D2312" s="198" t="inlineStr">
        <is>
          <t>entrada</t>
        </is>
      </c>
    </row>
    <row r="2313">
      <c r="A2313" s="198" t="inlineStr">
        <is>
          <t>invocacao.10.esp.4.pe</t>
        </is>
      </c>
      <c r="B2313" s="198">
        <f>IF(ISBLANK(DADOS_INVOC!$QA$124),"",DADOS_INVOC!$QA$124&amp;"")</f>
        <v/>
      </c>
      <c r="C2313" s="198" t="inlineStr">
        <is>
          <t>DADOS_INVOC!QA124</t>
        </is>
      </c>
      <c r="D2313" s="198" t="inlineStr">
        <is>
          <t>resultado</t>
        </is>
      </c>
    </row>
    <row r="2314">
      <c r="A2314" s="198" t="inlineStr">
        <is>
          <t>invocacao.10.esp.4.dano</t>
        </is>
      </c>
      <c r="B2314" s="198">
        <f>IF(ISBLANK(DADOS_INVOC!$QE$124),"",DADOS_INVOC!$QE$124&amp;"")</f>
        <v/>
      </c>
      <c r="C2314" s="198" t="inlineStr">
        <is>
          <t>DADOS_INVOC!QE124</t>
        </is>
      </c>
      <c r="D2314" s="198" t="inlineStr">
        <is>
          <t>resultado</t>
        </is>
      </c>
    </row>
    <row r="2315">
      <c r="A2315" s="198" t="inlineStr">
        <is>
          <t>invocacao.10.esp.4.erros</t>
        </is>
      </c>
      <c r="B2315" s="198">
        <f>IF(ISBLANK(DADOS_INVOC!$PT$124),"",DADOS_INVOC!$PT$124&amp;"")</f>
        <v/>
      </c>
      <c r="C2315" s="198" t="inlineStr">
        <is>
          <t>DADOS_INVOC!PT124</t>
        </is>
      </c>
      <c r="D2315" s="198" t="inlineStr">
        <is>
          <t>aviso</t>
        </is>
      </c>
    </row>
    <row r="2316">
      <c r="A2316" s="198" t="inlineStr">
        <is>
          <t>invocacao.10.esp.4.avisos</t>
        </is>
      </c>
      <c r="B2316" s="198">
        <f>IF(ISBLANK(DADOS_INVOC!$PV$124),"",DADOS_INVOC!$PV$124&amp;"")</f>
        <v/>
      </c>
      <c r="C2316" s="198" t="inlineStr">
        <is>
          <t>DADOS_INVOC!PV124</t>
        </is>
      </c>
      <c r="D2316" s="198" t="inlineStr">
        <is>
          <t>aviso</t>
        </is>
      </c>
    </row>
    <row r="2317">
      <c r="A2317" s="198" t="inlineStr">
        <is>
          <t>invocacao.10.esp.5.classe</t>
        </is>
      </c>
      <c r="B2317" s="198">
        <f>IF(ISBLANK(DADOS_INVOC!$MS$125),"",DADOS_INVOC!$MS$125&amp;"")</f>
        <v/>
      </c>
      <c r="C2317" s="198" t="inlineStr">
        <is>
          <t>DADOS_INVOC!MS125</t>
        </is>
      </c>
      <c r="D2317" s="198" t="inlineStr">
        <is>
          <t>entrada</t>
        </is>
      </c>
    </row>
    <row r="2318">
      <c r="A2318" s="198" t="inlineStr">
        <is>
          <t>invocacao.10.esp.5.nome</t>
        </is>
      </c>
      <c r="B2318" s="198">
        <f>IF(ISBLANK(DADOS_INVOC!$MT$125),"",DADOS_INVOC!$MT$125&amp;"")</f>
        <v/>
      </c>
      <c r="C2318" s="198" t="inlineStr">
        <is>
          <t>DADOS_INVOC!MT125</t>
        </is>
      </c>
      <c r="D2318" s="198" t="inlineStr">
        <is>
          <t>entrada</t>
        </is>
      </c>
    </row>
    <row r="2319">
      <c r="A2319" s="198" t="inlineStr">
        <is>
          <t>invocacao.10.esp.5.forma</t>
        </is>
      </c>
      <c r="B2319" s="198">
        <f>IF(ISBLANK(DADOS_INVOC!$MU$125),"",DADOS_INVOC!$MU$125&amp;"")</f>
        <v/>
      </c>
      <c r="C2319" s="198" t="inlineStr">
        <is>
          <t>DADOS_INVOC!MU125</t>
        </is>
      </c>
      <c r="D2319" s="198" t="inlineStr">
        <is>
          <t>entrada</t>
        </is>
      </c>
    </row>
    <row r="2320">
      <c r="A2320" s="198" t="inlineStr">
        <is>
          <t>invocacao.10.esp.5.pecas</t>
        </is>
      </c>
      <c r="B2320" s="198">
        <f>TEXTJOIN(" · ",TRUE,DADOS_INVOC!$MX$125,DADOS_INVOC!$MY$125,DADOS_INVOC!$MZ$125,DADOS_INVOC!$NA$125)</f>
        <v/>
      </c>
      <c r="C2320" s="198" t="inlineStr">
        <is>
          <t>DADOS_INVOC!MX125 DADOS_INVOC!MY125 DADOS_INVOC!MZ125 DADOS_INVOC!NA125</t>
        </is>
      </c>
      <c r="D2320" s="198" t="inlineStr">
        <is>
          <t>entrada</t>
        </is>
      </c>
    </row>
    <row r="2321">
      <c r="A2321" s="198" t="inlineStr">
        <is>
          <t>invocacao.10.esp.5.restricoes</t>
        </is>
      </c>
      <c r="B2321" s="198">
        <f>TEXTJOIN(" · ",TRUE,DADOS_INVOC!$NB$125,DADOS_INVOC!$NC$125)</f>
        <v/>
      </c>
      <c r="C2321" s="198" t="inlineStr">
        <is>
          <t>DADOS_INVOC!NB125 DADOS_INVOC!NC125</t>
        </is>
      </c>
      <c r="D2321" s="198" t="inlineStr">
        <is>
          <t>entrada</t>
        </is>
      </c>
    </row>
    <row r="2322">
      <c r="A2322" s="198" t="inlineStr">
        <is>
          <t>invocacao.10.esp.5.pe</t>
        </is>
      </c>
      <c r="B2322" s="198">
        <f>IF(ISBLANK(DADOS_INVOC!$QA$125),"",DADOS_INVOC!$QA$125&amp;"")</f>
        <v/>
      </c>
      <c r="C2322" s="198" t="inlineStr">
        <is>
          <t>DADOS_INVOC!QA125</t>
        </is>
      </c>
      <c r="D2322" s="198" t="inlineStr">
        <is>
          <t>resultado</t>
        </is>
      </c>
    </row>
    <row r="2323">
      <c r="A2323" s="198" t="inlineStr">
        <is>
          <t>invocacao.10.esp.5.dano</t>
        </is>
      </c>
      <c r="B2323" s="198">
        <f>IF(ISBLANK(DADOS_INVOC!$QE$125),"",DADOS_INVOC!$QE$125&amp;"")</f>
        <v/>
      </c>
      <c r="C2323" s="198" t="inlineStr">
        <is>
          <t>DADOS_INVOC!QE125</t>
        </is>
      </c>
      <c r="D2323" s="198" t="inlineStr">
        <is>
          <t>resultado</t>
        </is>
      </c>
    </row>
    <row r="2324">
      <c r="A2324" s="198" t="inlineStr">
        <is>
          <t>invocacao.10.esp.5.erros</t>
        </is>
      </c>
      <c r="B2324" s="198">
        <f>IF(ISBLANK(DADOS_INVOC!$PT$125),"",DADOS_INVOC!$PT$125&amp;"")</f>
        <v/>
      </c>
      <c r="C2324" s="198" t="inlineStr">
        <is>
          <t>DADOS_INVOC!PT125</t>
        </is>
      </c>
      <c r="D2324" s="198" t="inlineStr">
        <is>
          <t>aviso</t>
        </is>
      </c>
    </row>
    <row r="2325">
      <c r="A2325" s="198" t="inlineStr">
        <is>
          <t>invocacao.10.esp.5.avisos</t>
        </is>
      </c>
      <c r="B2325" s="198">
        <f>IF(ISBLANK(DADOS_INVOC!$PV$125),"",DADOS_INVOC!$PV$125&amp;"")</f>
        <v/>
      </c>
      <c r="C2325" s="198" t="inlineStr">
        <is>
          <t>DADOS_INVOC!PV125</t>
        </is>
      </c>
      <c r="D2325" s="198" t="inlineStr">
        <is>
          <t>aviso</t>
        </is>
      </c>
    </row>
    <row r="2326">
      <c r="A2326" s="198" t="inlineStr">
        <is>
          <t>invocacao.10.esp.6.classe</t>
        </is>
      </c>
      <c r="B2326" s="198">
        <f>IF(ISBLANK(DADOS_INVOC!$MS$126),"",DADOS_INVOC!$MS$126&amp;"")</f>
        <v/>
      </c>
      <c r="C2326" s="198" t="inlineStr">
        <is>
          <t>DADOS_INVOC!MS126</t>
        </is>
      </c>
      <c r="D2326" s="198" t="inlineStr">
        <is>
          <t>entrada</t>
        </is>
      </c>
    </row>
    <row r="2327">
      <c r="A2327" s="198" t="inlineStr">
        <is>
          <t>invocacao.10.esp.6.nome</t>
        </is>
      </c>
      <c r="B2327" s="198">
        <f>IF(ISBLANK(DADOS_INVOC!$MT$126),"",DADOS_INVOC!$MT$126&amp;"")</f>
        <v/>
      </c>
      <c r="C2327" s="198" t="inlineStr">
        <is>
          <t>DADOS_INVOC!MT126</t>
        </is>
      </c>
      <c r="D2327" s="198" t="inlineStr">
        <is>
          <t>entrada</t>
        </is>
      </c>
    </row>
    <row r="2328">
      <c r="A2328" s="198" t="inlineStr">
        <is>
          <t>invocacao.10.esp.6.forma</t>
        </is>
      </c>
      <c r="B2328" s="198">
        <f>IF(ISBLANK(DADOS_INVOC!$MU$126),"",DADOS_INVOC!$MU$126&amp;"")</f>
        <v/>
      </c>
      <c r="C2328" s="198" t="inlineStr">
        <is>
          <t>DADOS_INVOC!MU126</t>
        </is>
      </c>
      <c r="D2328" s="198" t="inlineStr">
        <is>
          <t>entrada</t>
        </is>
      </c>
    </row>
    <row r="2329">
      <c r="A2329" s="198" t="inlineStr">
        <is>
          <t>invocacao.10.esp.6.pecas</t>
        </is>
      </c>
      <c r="B2329" s="198">
        <f>TEXTJOIN(" · ",TRUE,DADOS_INVOC!$MX$126,DADOS_INVOC!$MY$126,DADOS_INVOC!$MZ$126,DADOS_INVOC!$NA$126)</f>
        <v/>
      </c>
      <c r="C2329" s="198" t="inlineStr">
        <is>
          <t>DADOS_INVOC!MX126 DADOS_INVOC!MY126 DADOS_INVOC!MZ126 DADOS_INVOC!NA126</t>
        </is>
      </c>
      <c r="D2329" s="198" t="inlineStr">
        <is>
          <t>entrada</t>
        </is>
      </c>
    </row>
    <row r="2330">
      <c r="A2330" s="198" t="inlineStr">
        <is>
          <t>invocacao.10.esp.6.restricoes</t>
        </is>
      </c>
      <c r="B2330" s="198">
        <f>TEXTJOIN(" · ",TRUE,DADOS_INVOC!$NB$126,DADOS_INVOC!$NC$126)</f>
        <v/>
      </c>
      <c r="C2330" s="198" t="inlineStr">
        <is>
          <t>DADOS_INVOC!NB126 DADOS_INVOC!NC126</t>
        </is>
      </c>
      <c r="D2330" s="198" t="inlineStr">
        <is>
          <t>entrada</t>
        </is>
      </c>
    </row>
    <row r="2331">
      <c r="A2331" s="198" t="inlineStr">
        <is>
          <t>invocacao.10.esp.6.pe</t>
        </is>
      </c>
      <c r="B2331" s="198">
        <f>IF(ISBLANK(DADOS_INVOC!$QA$126),"",DADOS_INVOC!$QA$126&amp;"")</f>
        <v/>
      </c>
      <c r="C2331" s="198" t="inlineStr">
        <is>
          <t>DADOS_INVOC!QA126</t>
        </is>
      </c>
      <c r="D2331" s="198" t="inlineStr">
        <is>
          <t>resultado</t>
        </is>
      </c>
    </row>
    <row r="2332">
      <c r="A2332" s="198" t="inlineStr">
        <is>
          <t>invocacao.10.esp.6.dano</t>
        </is>
      </c>
      <c r="B2332" s="198">
        <f>IF(ISBLANK(DADOS_INVOC!$QE$126),"",DADOS_INVOC!$QE$126&amp;"")</f>
        <v/>
      </c>
      <c r="C2332" s="198" t="inlineStr">
        <is>
          <t>DADOS_INVOC!QE126</t>
        </is>
      </c>
      <c r="D2332" s="198" t="inlineStr">
        <is>
          <t>resultado</t>
        </is>
      </c>
    </row>
    <row r="2333">
      <c r="A2333" s="198" t="inlineStr">
        <is>
          <t>invocacao.10.esp.6.erros</t>
        </is>
      </c>
      <c r="B2333" s="198">
        <f>IF(ISBLANK(DADOS_INVOC!$PT$126),"",DADOS_INVOC!$PT$126&amp;"")</f>
        <v/>
      </c>
      <c r="C2333" s="198" t="inlineStr">
        <is>
          <t>DADOS_INVOC!PT126</t>
        </is>
      </c>
      <c r="D2333" s="198" t="inlineStr">
        <is>
          <t>aviso</t>
        </is>
      </c>
    </row>
    <row r="2334">
      <c r="A2334" s="198" t="inlineStr">
        <is>
          <t>invocacao.10.esp.6.avisos</t>
        </is>
      </c>
      <c r="B2334" s="198">
        <f>IF(ISBLANK(DADOS_INVOC!$PV$126),"",DADOS_INVOC!$PV$126&amp;"")</f>
        <v/>
      </c>
      <c r="C2334" s="198" t="inlineStr">
        <is>
          <t>DADOS_INVOC!PV126</t>
        </is>
      </c>
      <c r="D2334" s="198" t="inlineStr">
        <is>
          <t>aviso</t>
        </is>
      </c>
    </row>
    <row r="2335">
      <c r="A2335" s="198" t="inlineStr">
        <is>
          <t>invocacao.10.esp.7.classe</t>
        </is>
      </c>
      <c r="B2335" s="198">
        <f>IF(ISBLANK(DADOS_INVOC!$MS$127),"",DADOS_INVOC!$MS$127&amp;"")</f>
        <v/>
      </c>
      <c r="C2335" s="198" t="inlineStr">
        <is>
          <t>DADOS_INVOC!MS127</t>
        </is>
      </c>
      <c r="D2335" s="198" t="inlineStr">
        <is>
          <t>entrada</t>
        </is>
      </c>
    </row>
    <row r="2336">
      <c r="A2336" s="198" t="inlineStr">
        <is>
          <t>invocacao.10.esp.7.nome</t>
        </is>
      </c>
      <c r="B2336" s="198">
        <f>IF(ISBLANK(DADOS_INVOC!$MT$127),"",DADOS_INVOC!$MT$127&amp;"")</f>
        <v/>
      </c>
      <c r="C2336" s="198" t="inlineStr">
        <is>
          <t>DADOS_INVOC!MT127</t>
        </is>
      </c>
      <c r="D2336" s="198" t="inlineStr">
        <is>
          <t>entrada</t>
        </is>
      </c>
    </row>
    <row r="2337">
      <c r="A2337" s="198" t="inlineStr">
        <is>
          <t>invocacao.10.esp.7.forma</t>
        </is>
      </c>
      <c r="B2337" s="198">
        <f>IF(ISBLANK(DADOS_INVOC!$MU$127),"",DADOS_INVOC!$MU$127&amp;"")</f>
        <v/>
      </c>
      <c r="C2337" s="198" t="inlineStr">
        <is>
          <t>DADOS_INVOC!MU127</t>
        </is>
      </c>
      <c r="D2337" s="198" t="inlineStr">
        <is>
          <t>entrada</t>
        </is>
      </c>
    </row>
    <row r="2338">
      <c r="A2338" s="198" t="inlineStr">
        <is>
          <t>invocacao.10.esp.7.pecas</t>
        </is>
      </c>
      <c r="B2338" s="198">
        <f>TEXTJOIN(" · ",TRUE,DADOS_INVOC!$MX$127,DADOS_INVOC!$MY$127,DADOS_INVOC!$MZ$127,DADOS_INVOC!$NA$127)</f>
        <v/>
      </c>
      <c r="C2338" s="198" t="inlineStr">
        <is>
          <t>DADOS_INVOC!MX127 DADOS_INVOC!MY127 DADOS_INVOC!MZ127 DADOS_INVOC!NA127</t>
        </is>
      </c>
      <c r="D2338" s="198" t="inlineStr">
        <is>
          <t>entrada</t>
        </is>
      </c>
    </row>
    <row r="2339">
      <c r="A2339" s="198" t="inlineStr">
        <is>
          <t>invocacao.10.esp.7.restricoes</t>
        </is>
      </c>
      <c r="B2339" s="198">
        <f>TEXTJOIN(" · ",TRUE,DADOS_INVOC!$NB$127,DADOS_INVOC!$NC$127)</f>
        <v/>
      </c>
      <c r="C2339" s="198" t="inlineStr">
        <is>
          <t>DADOS_INVOC!NB127 DADOS_INVOC!NC127</t>
        </is>
      </c>
      <c r="D2339" s="198" t="inlineStr">
        <is>
          <t>entrada</t>
        </is>
      </c>
    </row>
    <row r="2340">
      <c r="A2340" s="198" t="inlineStr">
        <is>
          <t>invocacao.10.esp.7.pe</t>
        </is>
      </c>
      <c r="B2340" s="198">
        <f>IF(ISBLANK(DADOS_INVOC!$QA$127),"",DADOS_INVOC!$QA$127&amp;"")</f>
        <v/>
      </c>
      <c r="C2340" s="198" t="inlineStr">
        <is>
          <t>DADOS_INVOC!QA127</t>
        </is>
      </c>
      <c r="D2340" s="198" t="inlineStr">
        <is>
          <t>resultado</t>
        </is>
      </c>
    </row>
    <row r="2341">
      <c r="A2341" s="198" t="inlineStr">
        <is>
          <t>invocacao.10.esp.7.dano</t>
        </is>
      </c>
      <c r="B2341" s="198">
        <f>IF(ISBLANK(DADOS_INVOC!$QE$127),"",DADOS_INVOC!$QE$127&amp;"")</f>
        <v/>
      </c>
      <c r="C2341" s="198" t="inlineStr">
        <is>
          <t>DADOS_INVOC!QE127</t>
        </is>
      </c>
      <c r="D2341" s="198" t="inlineStr">
        <is>
          <t>resultado</t>
        </is>
      </c>
    </row>
    <row r="2342">
      <c r="A2342" s="198" t="inlineStr">
        <is>
          <t>invocacao.10.esp.7.erros</t>
        </is>
      </c>
      <c r="B2342" s="198">
        <f>IF(ISBLANK(DADOS_INVOC!$PT$127),"",DADOS_INVOC!$PT$127&amp;"")</f>
        <v/>
      </c>
      <c r="C2342" s="198" t="inlineStr">
        <is>
          <t>DADOS_INVOC!PT127</t>
        </is>
      </c>
      <c r="D2342" s="198" t="inlineStr">
        <is>
          <t>aviso</t>
        </is>
      </c>
    </row>
    <row r="2343">
      <c r="A2343" s="198" t="inlineStr">
        <is>
          <t>invocacao.10.esp.7.avisos</t>
        </is>
      </c>
      <c r="B2343" s="198">
        <f>IF(ISBLANK(DADOS_INVOC!$PV$127),"",DADOS_INVOC!$PV$127&amp;"")</f>
        <v/>
      </c>
      <c r="C2343" s="198" t="inlineStr">
        <is>
          <t>DADOS_INVOC!PV127</t>
        </is>
      </c>
      <c r="D2343" s="198" t="inlineStr">
        <is>
          <t>aviso</t>
        </is>
      </c>
    </row>
    <row r="2344">
      <c r="A2344" s="198" t="inlineStr">
        <is>
          <t>invocacao.10.esp.8.classe</t>
        </is>
      </c>
      <c r="B2344" s="198">
        <f>IF(ISBLANK(DADOS_INVOC!$MS$128),"",DADOS_INVOC!$MS$128&amp;"")</f>
        <v/>
      </c>
      <c r="C2344" s="198" t="inlineStr">
        <is>
          <t>DADOS_INVOC!MS128</t>
        </is>
      </c>
      <c r="D2344" s="198" t="inlineStr">
        <is>
          <t>entrada</t>
        </is>
      </c>
    </row>
    <row r="2345">
      <c r="A2345" s="198" t="inlineStr">
        <is>
          <t>invocacao.10.esp.8.nome</t>
        </is>
      </c>
      <c r="B2345" s="198">
        <f>IF(ISBLANK(DADOS_INVOC!$MT$128),"",DADOS_INVOC!$MT$128&amp;"")</f>
        <v/>
      </c>
      <c r="C2345" s="198" t="inlineStr">
        <is>
          <t>DADOS_INVOC!MT128</t>
        </is>
      </c>
      <c r="D2345" s="198" t="inlineStr">
        <is>
          <t>entrada</t>
        </is>
      </c>
    </row>
    <row r="2346">
      <c r="A2346" s="198" t="inlineStr">
        <is>
          <t>invocacao.10.esp.8.forma</t>
        </is>
      </c>
      <c r="B2346" s="198">
        <f>IF(ISBLANK(DADOS_INVOC!$MU$128),"",DADOS_INVOC!$MU$128&amp;"")</f>
        <v/>
      </c>
      <c r="C2346" s="198" t="inlineStr">
        <is>
          <t>DADOS_INVOC!MU128</t>
        </is>
      </c>
      <c r="D2346" s="198" t="inlineStr">
        <is>
          <t>entrada</t>
        </is>
      </c>
    </row>
    <row r="2347">
      <c r="A2347" s="198" t="inlineStr">
        <is>
          <t>invocacao.10.esp.8.pecas</t>
        </is>
      </c>
      <c r="B2347" s="198">
        <f>TEXTJOIN(" · ",TRUE,DADOS_INVOC!$MX$128,DADOS_INVOC!$MY$128,DADOS_INVOC!$MZ$128,DADOS_INVOC!$NA$128)</f>
        <v/>
      </c>
      <c r="C2347" s="198" t="inlineStr">
        <is>
          <t>DADOS_INVOC!MX128 DADOS_INVOC!MY128 DADOS_INVOC!MZ128 DADOS_INVOC!NA128</t>
        </is>
      </c>
      <c r="D2347" s="198" t="inlineStr">
        <is>
          <t>entrada</t>
        </is>
      </c>
    </row>
    <row r="2348">
      <c r="A2348" s="198" t="inlineStr">
        <is>
          <t>invocacao.10.esp.8.restricoes</t>
        </is>
      </c>
      <c r="B2348" s="198">
        <f>TEXTJOIN(" · ",TRUE,DADOS_INVOC!$NB$128,DADOS_INVOC!$NC$128)</f>
        <v/>
      </c>
      <c r="C2348" s="198" t="inlineStr">
        <is>
          <t>DADOS_INVOC!NB128 DADOS_INVOC!NC128</t>
        </is>
      </c>
      <c r="D2348" s="198" t="inlineStr">
        <is>
          <t>entrada</t>
        </is>
      </c>
    </row>
    <row r="2349">
      <c r="A2349" s="198" t="inlineStr">
        <is>
          <t>invocacao.10.esp.8.pe</t>
        </is>
      </c>
      <c r="B2349" s="198">
        <f>IF(ISBLANK(DADOS_INVOC!$QA$128),"",DADOS_INVOC!$QA$128&amp;"")</f>
        <v/>
      </c>
      <c r="C2349" s="198" t="inlineStr">
        <is>
          <t>DADOS_INVOC!QA128</t>
        </is>
      </c>
      <c r="D2349" s="198" t="inlineStr">
        <is>
          <t>resultado</t>
        </is>
      </c>
    </row>
    <row r="2350">
      <c r="A2350" s="198" t="inlineStr">
        <is>
          <t>invocacao.10.esp.8.dano</t>
        </is>
      </c>
      <c r="B2350" s="198">
        <f>IF(ISBLANK(DADOS_INVOC!$QE$128),"",DADOS_INVOC!$QE$128&amp;"")</f>
        <v/>
      </c>
      <c r="C2350" s="198" t="inlineStr">
        <is>
          <t>DADOS_INVOC!QE128</t>
        </is>
      </c>
      <c r="D2350" s="198" t="inlineStr">
        <is>
          <t>resultado</t>
        </is>
      </c>
    </row>
    <row r="2351">
      <c r="A2351" s="198" t="inlineStr">
        <is>
          <t>invocacao.10.esp.8.erros</t>
        </is>
      </c>
      <c r="B2351" s="198">
        <f>IF(ISBLANK(DADOS_INVOC!$PT$128),"",DADOS_INVOC!$PT$128&amp;"")</f>
        <v/>
      </c>
      <c r="C2351" s="198" t="inlineStr">
        <is>
          <t>DADOS_INVOC!PT128</t>
        </is>
      </c>
      <c r="D2351" s="198" t="inlineStr">
        <is>
          <t>aviso</t>
        </is>
      </c>
    </row>
    <row r="2352">
      <c r="A2352" s="198" t="inlineStr">
        <is>
          <t>invocacao.10.esp.8.avisos</t>
        </is>
      </c>
      <c r="B2352" s="198">
        <f>IF(ISBLANK(DADOS_INVOC!$PV$128),"",DADOS_INVOC!$PV$128&amp;"")</f>
        <v/>
      </c>
      <c r="C2352" s="198" t="inlineStr">
        <is>
          <t>DADOS_INVOC!PV128</t>
        </is>
      </c>
      <c r="D2352" s="198" t="inlineStr">
        <is>
          <t>aviso</t>
        </is>
      </c>
    </row>
    <row r="2353">
      <c r="A2353" s="198" t="inlineStr">
        <is>
          <t>invocacao.10.ext.1.classe</t>
        </is>
      </c>
      <c r="B2353" s="198">
        <f>IF(ISBLANK(DADOS_INVOC!$MS$129),"",DADOS_INVOC!$MS$129&amp;"")</f>
        <v/>
      </c>
      <c r="C2353" s="198" t="inlineStr">
        <is>
          <t>DADOS_INVOC!MS129</t>
        </is>
      </c>
      <c r="D2353" s="198" t="inlineStr">
        <is>
          <t>entrada</t>
        </is>
      </c>
    </row>
    <row r="2354">
      <c r="A2354" s="198" t="inlineStr">
        <is>
          <t>invocacao.10.ext.1.nome</t>
        </is>
      </c>
      <c r="B2354" s="198">
        <f>IF(ISBLANK(DADOS_INVOC!$MT$129),"",DADOS_INVOC!$MT$129&amp;"")</f>
        <v/>
      </c>
      <c r="C2354" s="198" t="inlineStr">
        <is>
          <t>DADOS_INVOC!MT129</t>
        </is>
      </c>
      <c r="D2354" s="198" t="inlineStr">
        <is>
          <t>entrada</t>
        </is>
      </c>
    </row>
    <row r="2355">
      <c r="A2355" s="198" t="inlineStr">
        <is>
          <t>invocacao.10.ext.1.forma</t>
        </is>
      </c>
      <c r="B2355" s="198">
        <f>IF(ISBLANK(DADOS_INVOC!$MU$129),"",DADOS_INVOC!$MU$129&amp;"")</f>
        <v/>
      </c>
      <c r="C2355" s="198" t="inlineStr">
        <is>
          <t>DADOS_INVOC!MU129</t>
        </is>
      </c>
      <c r="D2355" s="198" t="inlineStr">
        <is>
          <t>entrada</t>
        </is>
      </c>
    </row>
    <row r="2356">
      <c r="A2356" s="198" t="inlineStr">
        <is>
          <t>invocacao.10.ext.1.pecas</t>
        </is>
      </c>
      <c r="B2356" s="198">
        <f>TEXTJOIN(" · ",TRUE,DADOS_INVOC!$MX$129,DADOS_INVOC!$MY$129,DADOS_INVOC!$MZ$129,DADOS_INVOC!$NA$129)</f>
        <v/>
      </c>
      <c r="C2356" s="198" t="inlineStr">
        <is>
          <t>DADOS_INVOC!MX129 DADOS_INVOC!MY129 DADOS_INVOC!MZ129 DADOS_INVOC!NA129</t>
        </is>
      </c>
      <c r="D2356" s="198" t="inlineStr">
        <is>
          <t>entrada</t>
        </is>
      </c>
    </row>
    <row r="2357">
      <c r="A2357" s="198" t="inlineStr">
        <is>
          <t>invocacao.10.ext.1.restricoes</t>
        </is>
      </c>
      <c r="B2357" s="198">
        <f>TEXTJOIN(" · ",TRUE,DADOS_INVOC!$NB$129,DADOS_INVOC!$NC$129)</f>
        <v/>
      </c>
      <c r="C2357" s="198" t="inlineStr">
        <is>
          <t>DADOS_INVOC!NB129 DADOS_INVOC!NC129</t>
        </is>
      </c>
      <c r="D2357" s="198" t="inlineStr">
        <is>
          <t>entrada</t>
        </is>
      </c>
    </row>
    <row r="2358">
      <c r="A2358" s="198" t="inlineStr">
        <is>
          <t>invocacao.10.ext.1.pe</t>
        </is>
      </c>
      <c r="B2358" s="198">
        <f>IF(ISBLANK(DADOS_INVOC!$QA$129),"",DADOS_INVOC!$QA$129&amp;"")</f>
        <v/>
      </c>
      <c r="C2358" s="198" t="inlineStr">
        <is>
          <t>DADOS_INVOC!QA129</t>
        </is>
      </c>
      <c r="D2358" s="198" t="inlineStr">
        <is>
          <t>resultado</t>
        </is>
      </c>
    </row>
    <row r="2359">
      <c r="A2359" s="198" t="inlineStr">
        <is>
          <t>invocacao.10.ext.1.dano</t>
        </is>
      </c>
      <c r="B2359" s="198">
        <f>IF(ISBLANK(DADOS_INVOC!$QE$129),"",DADOS_INVOC!$QE$129&amp;"")</f>
        <v/>
      </c>
      <c r="C2359" s="198" t="inlineStr">
        <is>
          <t>DADOS_INVOC!QE129</t>
        </is>
      </c>
      <c r="D2359" s="198" t="inlineStr">
        <is>
          <t>resultado</t>
        </is>
      </c>
    </row>
    <row r="2360">
      <c r="A2360" s="198" t="inlineStr">
        <is>
          <t>invocacao.10.ext.1.erros</t>
        </is>
      </c>
      <c r="B2360" s="198">
        <f>IF(ISBLANK(DADOS_INVOC!$PT$129),"",DADOS_INVOC!$PT$129&amp;"")</f>
        <v/>
      </c>
      <c r="C2360" s="198" t="inlineStr">
        <is>
          <t>DADOS_INVOC!PT129</t>
        </is>
      </c>
      <c r="D2360" s="198" t="inlineStr">
        <is>
          <t>aviso</t>
        </is>
      </c>
    </row>
    <row r="2361">
      <c r="A2361" s="198" t="inlineStr">
        <is>
          <t>invocacao.10.ext.1.avisos</t>
        </is>
      </c>
      <c r="B2361" s="198">
        <f>IF(ISBLANK(DADOS_INVOC!$PV$129),"",DADOS_INVOC!$PV$129&amp;"")</f>
        <v/>
      </c>
      <c r="C2361" s="198" t="inlineStr">
        <is>
          <t>DADOS_INVOC!PV129</t>
        </is>
      </c>
      <c r="D2361" s="198" t="inlineStr">
        <is>
          <t>aviso</t>
        </is>
      </c>
    </row>
    <row r="2362">
      <c r="A2362" s="198" t="inlineStr">
        <is>
          <t>invocacao.10.ext.2.classe</t>
        </is>
      </c>
      <c r="B2362" s="198">
        <f>IF(ISBLANK(DADOS_INVOC!$MS$130),"",DADOS_INVOC!$MS$130&amp;"")</f>
        <v/>
      </c>
      <c r="C2362" s="198" t="inlineStr">
        <is>
          <t>DADOS_INVOC!MS130</t>
        </is>
      </c>
      <c r="D2362" s="198" t="inlineStr">
        <is>
          <t>entrada</t>
        </is>
      </c>
    </row>
    <row r="2363">
      <c r="A2363" s="198" t="inlineStr">
        <is>
          <t>invocacao.10.ext.2.nome</t>
        </is>
      </c>
      <c r="B2363" s="198">
        <f>IF(ISBLANK(DADOS_INVOC!$MT$130),"",DADOS_INVOC!$MT$130&amp;"")</f>
        <v/>
      </c>
      <c r="C2363" s="198" t="inlineStr">
        <is>
          <t>DADOS_INVOC!MT130</t>
        </is>
      </c>
      <c r="D2363" s="198" t="inlineStr">
        <is>
          <t>entrada</t>
        </is>
      </c>
    </row>
    <row r="2364">
      <c r="A2364" s="198" t="inlineStr">
        <is>
          <t>invocacao.10.ext.2.forma</t>
        </is>
      </c>
      <c r="B2364" s="198">
        <f>IF(ISBLANK(DADOS_INVOC!$MU$130),"",DADOS_INVOC!$MU$130&amp;"")</f>
        <v/>
      </c>
      <c r="C2364" s="198" t="inlineStr">
        <is>
          <t>DADOS_INVOC!MU130</t>
        </is>
      </c>
      <c r="D2364" s="198" t="inlineStr">
        <is>
          <t>entrada</t>
        </is>
      </c>
    </row>
    <row r="2365">
      <c r="A2365" s="198" t="inlineStr">
        <is>
          <t>invocacao.10.ext.2.pecas</t>
        </is>
      </c>
      <c r="B2365" s="198">
        <f>TEXTJOIN(" · ",TRUE,DADOS_INVOC!$MX$130,DADOS_INVOC!$MY$130,DADOS_INVOC!$MZ$130,DADOS_INVOC!$NA$130)</f>
        <v/>
      </c>
      <c r="C2365" s="198" t="inlineStr">
        <is>
          <t>DADOS_INVOC!MX130 DADOS_INVOC!MY130 DADOS_INVOC!MZ130 DADOS_INVOC!NA130</t>
        </is>
      </c>
      <c r="D2365" s="198" t="inlineStr">
        <is>
          <t>entrada</t>
        </is>
      </c>
    </row>
    <row r="2366">
      <c r="A2366" s="198" t="inlineStr">
        <is>
          <t>invocacao.10.ext.2.restricoes</t>
        </is>
      </c>
      <c r="B2366" s="198">
        <f>TEXTJOIN(" · ",TRUE,DADOS_INVOC!$NB$130,DADOS_INVOC!$NC$130)</f>
        <v/>
      </c>
      <c r="C2366" s="198" t="inlineStr">
        <is>
          <t>DADOS_INVOC!NB130 DADOS_INVOC!NC130</t>
        </is>
      </c>
      <c r="D2366" s="198" t="inlineStr">
        <is>
          <t>entrada</t>
        </is>
      </c>
    </row>
    <row r="2367">
      <c r="A2367" s="198" t="inlineStr">
        <is>
          <t>invocacao.10.ext.2.pe</t>
        </is>
      </c>
      <c r="B2367" s="198">
        <f>IF(ISBLANK(DADOS_INVOC!$QA$130),"",DADOS_INVOC!$QA$130&amp;"")</f>
        <v/>
      </c>
      <c r="C2367" s="198" t="inlineStr">
        <is>
          <t>DADOS_INVOC!QA130</t>
        </is>
      </c>
      <c r="D2367" s="198" t="inlineStr">
        <is>
          <t>resultado</t>
        </is>
      </c>
    </row>
    <row r="2368">
      <c r="A2368" s="198" t="inlineStr">
        <is>
          <t>invocacao.10.ext.2.dano</t>
        </is>
      </c>
      <c r="B2368" s="198">
        <f>IF(ISBLANK(DADOS_INVOC!$QE$130),"",DADOS_INVOC!$QE$130&amp;"")</f>
        <v/>
      </c>
      <c r="C2368" s="198" t="inlineStr">
        <is>
          <t>DADOS_INVOC!QE130</t>
        </is>
      </c>
      <c r="D2368" s="198" t="inlineStr">
        <is>
          <t>resultado</t>
        </is>
      </c>
    </row>
    <row r="2369">
      <c r="A2369" s="198" t="inlineStr">
        <is>
          <t>invocacao.10.ext.2.erros</t>
        </is>
      </c>
      <c r="B2369" s="198">
        <f>IF(ISBLANK(DADOS_INVOC!$PT$130),"",DADOS_INVOC!$PT$130&amp;"")</f>
        <v/>
      </c>
      <c r="C2369" s="198" t="inlineStr">
        <is>
          <t>DADOS_INVOC!PT130</t>
        </is>
      </c>
      <c r="D2369" s="198" t="inlineStr">
        <is>
          <t>aviso</t>
        </is>
      </c>
    </row>
    <row r="2370">
      <c r="A2370" s="198" t="inlineStr">
        <is>
          <t>invocacao.10.ext.2.avisos</t>
        </is>
      </c>
      <c r="B2370" s="198">
        <f>IF(ISBLANK(DADOS_INVOC!$PV$130),"",DADOS_INVOC!$PV$130&amp;"")</f>
        <v/>
      </c>
      <c r="C2370" s="198" t="inlineStr">
        <is>
          <t>DADOS_INVOC!PV130</t>
        </is>
      </c>
      <c r="D2370" s="198" t="inlineStr">
        <is>
          <t>aviso</t>
        </is>
      </c>
    </row>
    <row r="2371">
      <c r="A2371" s="198" t="inlineStr">
        <is>
          <t>invocacao.10.ext.3.classe</t>
        </is>
      </c>
      <c r="B2371" s="198">
        <f>IF(ISBLANK(DADOS_INVOC!$MS$131),"",DADOS_INVOC!$MS$131&amp;"")</f>
        <v/>
      </c>
      <c r="C2371" s="198" t="inlineStr">
        <is>
          <t>DADOS_INVOC!MS131</t>
        </is>
      </c>
      <c r="D2371" s="198" t="inlineStr">
        <is>
          <t>entrada</t>
        </is>
      </c>
    </row>
    <row r="2372">
      <c r="A2372" s="198" t="inlineStr">
        <is>
          <t>invocacao.10.ext.3.nome</t>
        </is>
      </c>
      <c r="B2372" s="198">
        <f>IF(ISBLANK(DADOS_INVOC!$MT$131),"",DADOS_INVOC!$MT$131&amp;"")</f>
        <v/>
      </c>
      <c r="C2372" s="198" t="inlineStr">
        <is>
          <t>DADOS_INVOC!MT131</t>
        </is>
      </c>
      <c r="D2372" s="198" t="inlineStr">
        <is>
          <t>entrada</t>
        </is>
      </c>
    </row>
    <row r="2373">
      <c r="A2373" s="198" t="inlineStr">
        <is>
          <t>invocacao.10.ext.3.forma</t>
        </is>
      </c>
      <c r="B2373" s="198">
        <f>IF(ISBLANK(DADOS_INVOC!$MU$131),"",DADOS_INVOC!$MU$131&amp;"")</f>
        <v/>
      </c>
      <c r="C2373" s="198" t="inlineStr">
        <is>
          <t>DADOS_INVOC!MU131</t>
        </is>
      </c>
      <c r="D2373" s="198" t="inlineStr">
        <is>
          <t>entrada</t>
        </is>
      </c>
    </row>
    <row r="2374">
      <c r="A2374" s="198" t="inlineStr">
        <is>
          <t>invocacao.10.ext.3.pecas</t>
        </is>
      </c>
      <c r="B2374" s="198">
        <f>TEXTJOIN(" · ",TRUE,DADOS_INVOC!$MX$131,DADOS_INVOC!$MY$131,DADOS_INVOC!$MZ$131,DADOS_INVOC!$NA$131)</f>
        <v/>
      </c>
      <c r="C2374" s="198" t="inlineStr">
        <is>
          <t>DADOS_INVOC!MX131 DADOS_INVOC!MY131 DADOS_INVOC!MZ131 DADOS_INVOC!NA131</t>
        </is>
      </c>
      <c r="D2374" s="198" t="inlineStr">
        <is>
          <t>entrada</t>
        </is>
      </c>
    </row>
    <row r="2375">
      <c r="A2375" s="198" t="inlineStr">
        <is>
          <t>invocacao.10.ext.3.restricoes</t>
        </is>
      </c>
      <c r="B2375" s="198">
        <f>TEXTJOIN(" · ",TRUE,DADOS_INVOC!$NB$131,DADOS_INVOC!$NC$131)</f>
        <v/>
      </c>
      <c r="C2375" s="198" t="inlineStr">
        <is>
          <t>DADOS_INVOC!NB131 DADOS_INVOC!NC131</t>
        </is>
      </c>
      <c r="D2375" s="198" t="inlineStr">
        <is>
          <t>entrada</t>
        </is>
      </c>
    </row>
    <row r="2376">
      <c r="A2376" s="198" t="inlineStr">
        <is>
          <t>invocacao.10.ext.3.pe</t>
        </is>
      </c>
      <c r="B2376" s="198">
        <f>IF(ISBLANK(DADOS_INVOC!$QA$131),"",DADOS_INVOC!$QA$131&amp;"")</f>
        <v/>
      </c>
      <c r="C2376" s="198" t="inlineStr">
        <is>
          <t>DADOS_INVOC!QA131</t>
        </is>
      </c>
      <c r="D2376" s="198" t="inlineStr">
        <is>
          <t>resultado</t>
        </is>
      </c>
    </row>
    <row r="2377">
      <c r="A2377" s="198" t="inlineStr">
        <is>
          <t>invocacao.10.ext.3.dano</t>
        </is>
      </c>
      <c r="B2377" s="198">
        <f>IF(ISBLANK(DADOS_INVOC!$QE$131),"",DADOS_INVOC!$QE$131&amp;"")</f>
        <v/>
      </c>
      <c r="C2377" s="198" t="inlineStr">
        <is>
          <t>DADOS_INVOC!QE131</t>
        </is>
      </c>
      <c r="D2377" s="198" t="inlineStr">
        <is>
          <t>resultado</t>
        </is>
      </c>
    </row>
    <row r="2378">
      <c r="A2378" s="198" t="inlineStr">
        <is>
          <t>invocacao.10.ext.3.erros</t>
        </is>
      </c>
      <c r="B2378" s="198">
        <f>IF(ISBLANK(DADOS_INVOC!$PT$131),"",DADOS_INVOC!$PT$131&amp;"")</f>
        <v/>
      </c>
      <c r="C2378" s="198" t="inlineStr">
        <is>
          <t>DADOS_INVOC!PT131</t>
        </is>
      </c>
      <c r="D2378" s="198" t="inlineStr">
        <is>
          <t>aviso</t>
        </is>
      </c>
    </row>
    <row r="2379">
      <c r="A2379" s="198" t="inlineStr">
        <is>
          <t>invocacao.10.ext.3.avisos</t>
        </is>
      </c>
      <c r="B2379" s="198">
        <f>IF(ISBLANK(DADOS_INVOC!$PV$131),"",DADOS_INVOC!$PV$131&amp;"")</f>
        <v/>
      </c>
      <c r="C2379" s="198" t="inlineStr">
        <is>
          <t>DADOS_INVOC!PV131</t>
        </is>
      </c>
      <c r="D2379" s="198" t="inlineStr">
        <is>
          <t>aviso</t>
        </is>
      </c>
    </row>
    <row r="2380">
      <c r="A2380" s="198" t="inlineStr">
        <is>
          <t>invocacao.11.bas.1.classe</t>
        </is>
      </c>
      <c r="B2380" s="198">
        <f>IF(ISBLANK(DADOS_INVOC!$MS$132),"",DADOS_INVOC!$MS$132&amp;"")</f>
        <v/>
      </c>
      <c r="C2380" s="198" t="inlineStr">
        <is>
          <t>DADOS_INVOC!MS132</t>
        </is>
      </c>
      <c r="D2380" s="198" t="inlineStr">
        <is>
          <t>entrada</t>
        </is>
      </c>
    </row>
    <row r="2381">
      <c r="A2381" s="198" t="inlineStr">
        <is>
          <t>invocacao.11.bas.1.nome</t>
        </is>
      </c>
      <c r="B2381" s="198">
        <f>IF(ISBLANK(DADOS_INVOC!$MT$132),"",DADOS_INVOC!$MT$132&amp;"")</f>
        <v/>
      </c>
      <c r="C2381" s="198" t="inlineStr">
        <is>
          <t>DADOS_INVOC!MT132</t>
        </is>
      </c>
      <c r="D2381" s="198" t="inlineStr">
        <is>
          <t>entrada</t>
        </is>
      </c>
    </row>
    <row r="2382">
      <c r="A2382" s="198" t="inlineStr">
        <is>
          <t>invocacao.11.bas.1.forma</t>
        </is>
      </c>
      <c r="B2382" s="198">
        <f>IF(ISBLANK(DADOS_INVOC!$MU$132),"",DADOS_INVOC!$MU$132&amp;"")</f>
        <v/>
      </c>
      <c r="C2382" s="198" t="inlineStr">
        <is>
          <t>DADOS_INVOC!MU132</t>
        </is>
      </c>
      <c r="D2382" s="198" t="inlineStr">
        <is>
          <t>entrada</t>
        </is>
      </c>
    </row>
    <row r="2383">
      <c r="A2383" s="198" t="inlineStr">
        <is>
          <t>invocacao.11.bas.1.pecas</t>
        </is>
      </c>
      <c r="B2383" s="198">
        <f>TEXTJOIN(" · ",TRUE,DADOS_INVOC!$MX$132,DADOS_INVOC!$MY$132,DADOS_INVOC!$MZ$132,DADOS_INVOC!$NA$132)</f>
        <v/>
      </c>
      <c r="C2383" s="198" t="inlineStr">
        <is>
          <t>DADOS_INVOC!MX132 DADOS_INVOC!MY132 DADOS_INVOC!MZ132 DADOS_INVOC!NA132</t>
        </is>
      </c>
      <c r="D2383" s="198" t="inlineStr">
        <is>
          <t>entrada</t>
        </is>
      </c>
    </row>
    <row r="2384">
      <c r="A2384" s="198" t="inlineStr">
        <is>
          <t>invocacao.11.bas.1.restricoes</t>
        </is>
      </c>
      <c r="B2384" s="198">
        <f>TEXTJOIN(" · ",TRUE,DADOS_INVOC!$NB$132,DADOS_INVOC!$NC$132)</f>
        <v/>
      </c>
      <c r="C2384" s="198" t="inlineStr">
        <is>
          <t>DADOS_INVOC!NB132 DADOS_INVOC!NC132</t>
        </is>
      </c>
      <c r="D2384" s="198" t="inlineStr">
        <is>
          <t>entrada</t>
        </is>
      </c>
    </row>
    <row r="2385">
      <c r="A2385" s="198" t="inlineStr">
        <is>
          <t>invocacao.11.bas.1.pe</t>
        </is>
      </c>
      <c r="B2385" s="198">
        <f>IF(ISBLANK(DADOS_INVOC!$QA$132),"",DADOS_INVOC!$QA$132&amp;"")</f>
        <v/>
      </c>
      <c r="C2385" s="198" t="inlineStr">
        <is>
          <t>DADOS_INVOC!QA132</t>
        </is>
      </c>
      <c r="D2385" s="198" t="inlineStr">
        <is>
          <t>resultado</t>
        </is>
      </c>
    </row>
    <row r="2386">
      <c r="A2386" s="198" t="inlineStr">
        <is>
          <t>invocacao.11.bas.1.dano</t>
        </is>
      </c>
      <c r="B2386" s="198">
        <f>IF(ISBLANK(DADOS_INVOC!$QE$132),"",DADOS_INVOC!$QE$132&amp;"")</f>
        <v/>
      </c>
      <c r="C2386" s="198" t="inlineStr">
        <is>
          <t>DADOS_INVOC!QE132</t>
        </is>
      </c>
      <c r="D2386" s="198" t="inlineStr">
        <is>
          <t>resultado</t>
        </is>
      </c>
    </row>
    <row r="2387">
      <c r="A2387" s="198" t="inlineStr">
        <is>
          <t>invocacao.11.bas.1.erros</t>
        </is>
      </c>
      <c r="B2387" s="198">
        <f>IF(ISBLANK(DADOS_INVOC!$PT$132),"",DADOS_INVOC!$PT$132&amp;"")</f>
        <v/>
      </c>
      <c r="C2387" s="198" t="inlineStr">
        <is>
          <t>DADOS_INVOC!PT132</t>
        </is>
      </c>
      <c r="D2387" s="198" t="inlineStr">
        <is>
          <t>aviso</t>
        </is>
      </c>
    </row>
    <row r="2388">
      <c r="A2388" s="198" t="inlineStr">
        <is>
          <t>invocacao.11.bas.1.avisos</t>
        </is>
      </c>
      <c r="B2388" s="198">
        <f>IF(ISBLANK(DADOS_INVOC!$PV$132),"",DADOS_INVOC!$PV$132&amp;"")</f>
        <v/>
      </c>
      <c r="C2388" s="198" t="inlineStr">
        <is>
          <t>DADOS_INVOC!PV132</t>
        </is>
      </c>
      <c r="D2388" s="198" t="inlineStr">
        <is>
          <t>aviso</t>
        </is>
      </c>
    </row>
    <row r="2389">
      <c r="A2389" s="198" t="inlineStr">
        <is>
          <t>invocacao.11.esp.1.classe</t>
        </is>
      </c>
      <c r="B2389" s="198">
        <f>IF(ISBLANK(DADOS_INVOC!$MS$133),"",DADOS_INVOC!$MS$133&amp;"")</f>
        <v/>
      </c>
      <c r="C2389" s="198" t="inlineStr">
        <is>
          <t>DADOS_INVOC!MS133</t>
        </is>
      </c>
      <c r="D2389" s="198" t="inlineStr">
        <is>
          <t>entrada</t>
        </is>
      </c>
    </row>
    <row r="2390">
      <c r="A2390" s="198" t="inlineStr">
        <is>
          <t>invocacao.11.esp.1.nome</t>
        </is>
      </c>
      <c r="B2390" s="198">
        <f>IF(ISBLANK(DADOS_INVOC!$MT$133),"",DADOS_INVOC!$MT$133&amp;"")</f>
        <v/>
      </c>
      <c r="C2390" s="198" t="inlineStr">
        <is>
          <t>DADOS_INVOC!MT133</t>
        </is>
      </c>
      <c r="D2390" s="198" t="inlineStr">
        <is>
          <t>entrada</t>
        </is>
      </c>
    </row>
    <row r="2391">
      <c r="A2391" s="198" t="inlineStr">
        <is>
          <t>invocacao.11.esp.1.forma</t>
        </is>
      </c>
      <c r="B2391" s="198">
        <f>IF(ISBLANK(DADOS_INVOC!$MU$133),"",DADOS_INVOC!$MU$133&amp;"")</f>
        <v/>
      </c>
      <c r="C2391" s="198" t="inlineStr">
        <is>
          <t>DADOS_INVOC!MU133</t>
        </is>
      </c>
      <c r="D2391" s="198" t="inlineStr">
        <is>
          <t>entrada</t>
        </is>
      </c>
    </row>
    <row r="2392">
      <c r="A2392" s="198" t="inlineStr">
        <is>
          <t>invocacao.11.esp.1.pecas</t>
        </is>
      </c>
      <c r="B2392" s="198">
        <f>TEXTJOIN(" · ",TRUE,DADOS_INVOC!$MX$133,DADOS_INVOC!$MY$133,DADOS_INVOC!$MZ$133,DADOS_INVOC!$NA$133)</f>
        <v/>
      </c>
      <c r="C2392" s="198" t="inlineStr">
        <is>
          <t>DADOS_INVOC!MX133 DADOS_INVOC!MY133 DADOS_INVOC!MZ133 DADOS_INVOC!NA133</t>
        </is>
      </c>
      <c r="D2392" s="198" t="inlineStr">
        <is>
          <t>entrada</t>
        </is>
      </c>
    </row>
    <row r="2393">
      <c r="A2393" s="198" t="inlineStr">
        <is>
          <t>invocacao.11.esp.1.restricoes</t>
        </is>
      </c>
      <c r="B2393" s="198">
        <f>TEXTJOIN(" · ",TRUE,DADOS_INVOC!$NB$133,DADOS_INVOC!$NC$133)</f>
        <v/>
      </c>
      <c r="C2393" s="198" t="inlineStr">
        <is>
          <t>DADOS_INVOC!NB133 DADOS_INVOC!NC133</t>
        </is>
      </c>
      <c r="D2393" s="198" t="inlineStr">
        <is>
          <t>entrada</t>
        </is>
      </c>
    </row>
    <row r="2394">
      <c r="A2394" s="198" t="inlineStr">
        <is>
          <t>invocacao.11.esp.1.pe</t>
        </is>
      </c>
      <c r="B2394" s="198">
        <f>IF(ISBLANK(DADOS_INVOC!$QA$133),"",DADOS_INVOC!$QA$133&amp;"")</f>
        <v/>
      </c>
      <c r="C2394" s="198" t="inlineStr">
        <is>
          <t>DADOS_INVOC!QA133</t>
        </is>
      </c>
      <c r="D2394" s="198" t="inlineStr">
        <is>
          <t>resultado</t>
        </is>
      </c>
    </row>
    <row r="2395">
      <c r="A2395" s="198" t="inlineStr">
        <is>
          <t>invocacao.11.esp.1.dano</t>
        </is>
      </c>
      <c r="B2395" s="198">
        <f>IF(ISBLANK(DADOS_INVOC!$QE$133),"",DADOS_INVOC!$QE$133&amp;"")</f>
        <v/>
      </c>
      <c r="C2395" s="198" t="inlineStr">
        <is>
          <t>DADOS_INVOC!QE133</t>
        </is>
      </c>
      <c r="D2395" s="198" t="inlineStr">
        <is>
          <t>resultado</t>
        </is>
      </c>
    </row>
    <row r="2396">
      <c r="A2396" s="198" t="inlineStr">
        <is>
          <t>invocacao.11.esp.1.erros</t>
        </is>
      </c>
      <c r="B2396" s="198">
        <f>IF(ISBLANK(DADOS_INVOC!$PT$133),"",DADOS_INVOC!$PT$133&amp;"")</f>
        <v/>
      </c>
      <c r="C2396" s="198" t="inlineStr">
        <is>
          <t>DADOS_INVOC!PT133</t>
        </is>
      </c>
      <c r="D2396" s="198" t="inlineStr">
        <is>
          <t>aviso</t>
        </is>
      </c>
    </row>
    <row r="2397">
      <c r="A2397" s="198" t="inlineStr">
        <is>
          <t>invocacao.11.esp.1.avisos</t>
        </is>
      </c>
      <c r="B2397" s="198">
        <f>IF(ISBLANK(DADOS_INVOC!$PV$133),"",DADOS_INVOC!$PV$133&amp;"")</f>
        <v/>
      </c>
      <c r="C2397" s="198" t="inlineStr">
        <is>
          <t>DADOS_INVOC!PV133</t>
        </is>
      </c>
      <c r="D2397" s="198" t="inlineStr">
        <is>
          <t>aviso</t>
        </is>
      </c>
    </row>
    <row r="2398">
      <c r="A2398" s="198" t="inlineStr">
        <is>
          <t>invocacao.11.esp.2.classe</t>
        </is>
      </c>
      <c r="B2398" s="198">
        <f>IF(ISBLANK(DADOS_INVOC!$MS$134),"",DADOS_INVOC!$MS$134&amp;"")</f>
        <v/>
      </c>
      <c r="C2398" s="198" t="inlineStr">
        <is>
          <t>DADOS_INVOC!MS134</t>
        </is>
      </c>
      <c r="D2398" s="198" t="inlineStr">
        <is>
          <t>entrada</t>
        </is>
      </c>
    </row>
    <row r="2399">
      <c r="A2399" s="198" t="inlineStr">
        <is>
          <t>invocacao.11.esp.2.nome</t>
        </is>
      </c>
      <c r="B2399" s="198">
        <f>IF(ISBLANK(DADOS_INVOC!$MT$134),"",DADOS_INVOC!$MT$134&amp;"")</f>
        <v/>
      </c>
      <c r="C2399" s="198" t="inlineStr">
        <is>
          <t>DADOS_INVOC!MT134</t>
        </is>
      </c>
      <c r="D2399" s="198" t="inlineStr">
        <is>
          <t>entrada</t>
        </is>
      </c>
    </row>
    <row r="2400">
      <c r="A2400" s="198" t="inlineStr">
        <is>
          <t>invocacao.11.esp.2.forma</t>
        </is>
      </c>
      <c r="B2400" s="198">
        <f>IF(ISBLANK(DADOS_INVOC!$MU$134),"",DADOS_INVOC!$MU$134&amp;"")</f>
        <v/>
      </c>
      <c r="C2400" s="198" t="inlineStr">
        <is>
          <t>DADOS_INVOC!MU134</t>
        </is>
      </c>
      <c r="D2400" s="198" t="inlineStr">
        <is>
          <t>entrada</t>
        </is>
      </c>
    </row>
    <row r="2401">
      <c r="A2401" s="198" t="inlineStr">
        <is>
          <t>invocacao.11.esp.2.pecas</t>
        </is>
      </c>
      <c r="B2401" s="198">
        <f>TEXTJOIN(" · ",TRUE,DADOS_INVOC!$MX$134,DADOS_INVOC!$MY$134,DADOS_INVOC!$MZ$134,DADOS_INVOC!$NA$134)</f>
        <v/>
      </c>
      <c r="C2401" s="198" t="inlineStr">
        <is>
          <t>DADOS_INVOC!MX134 DADOS_INVOC!MY134 DADOS_INVOC!MZ134 DADOS_INVOC!NA134</t>
        </is>
      </c>
      <c r="D2401" s="198" t="inlineStr">
        <is>
          <t>entrada</t>
        </is>
      </c>
    </row>
    <row r="2402">
      <c r="A2402" s="198" t="inlineStr">
        <is>
          <t>invocacao.11.esp.2.restricoes</t>
        </is>
      </c>
      <c r="B2402" s="198">
        <f>TEXTJOIN(" · ",TRUE,DADOS_INVOC!$NB$134,DADOS_INVOC!$NC$134)</f>
        <v/>
      </c>
      <c r="C2402" s="198" t="inlineStr">
        <is>
          <t>DADOS_INVOC!NB134 DADOS_INVOC!NC134</t>
        </is>
      </c>
      <c r="D2402" s="198" t="inlineStr">
        <is>
          <t>entrada</t>
        </is>
      </c>
    </row>
    <row r="2403">
      <c r="A2403" s="198" t="inlineStr">
        <is>
          <t>invocacao.11.esp.2.pe</t>
        </is>
      </c>
      <c r="B2403" s="198">
        <f>IF(ISBLANK(DADOS_INVOC!$QA$134),"",DADOS_INVOC!$QA$134&amp;"")</f>
        <v/>
      </c>
      <c r="C2403" s="198" t="inlineStr">
        <is>
          <t>DADOS_INVOC!QA134</t>
        </is>
      </c>
      <c r="D2403" s="198" t="inlineStr">
        <is>
          <t>resultado</t>
        </is>
      </c>
    </row>
    <row r="2404">
      <c r="A2404" s="198" t="inlineStr">
        <is>
          <t>invocacao.11.esp.2.dano</t>
        </is>
      </c>
      <c r="B2404" s="198">
        <f>IF(ISBLANK(DADOS_INVOC!$QE$134),"",DADOS_INVOC!$QE$134&amp;"")</f>
        <v/>
      </c>
      <c r="C2404" s="198" t="inlineStr">
        <is>
          <t>DADOS_INVOC!QE134</t>
        </is>
      </c>
      <c r="D2404" s="198" t="inlineStr">
        <is>
          <t>resultado</t>
        </is>
      </c>
    </row>
    <row r="2405">
      <c r="A2405" s="198" t="inlineStr">
        <is>
          <t>invocacao.11.esp.2.erros</t>
        </is>
      </c>
      <c r="B2405" s="198">
        <f>IF(ISBLANK(DADOS_INVOC!$PT$134),"",DADOS_INVOC!$PT$134&amp;"")</f>
        <v/>
      </c>
      <c r="C2405" s="198" t="inlineStr">
        <is>
          <t>DADOS_INVOC!PT134</t>
        </is>
      </c>
      <c r="D2405" s="198" t="inlineStr">
        <is>
          <t>aviso</t>
        </is>
      </c>
    </row>
    <row r="2406">
      <c r="A2406" s="198" t="inlineStr">
        <is>
          <t>invocacao.11.esp.2.avisos</t>
        </is>
      </c>
      <c r="B2406" s="198">
        <f>IF(ISBLANK(DADOS_INVOC!$PV$134),"",DADOS_INVOC!$PV$134&amp;"")</f>
        <v/>
      </c>
      <c r="C2406" s="198" t="inlineStr">
        <is>
          <t>DADOS_INVOC!PV134</t>
        </is>
      </c>
      <c r="D2406" s="198" t="inlineStr">
        <is>
          <t>aviso</t>
        </is>
      </c>
    </row>
    <row r="2407">
      <c r="A2407" s="198" t="inlineStr">
        <is>
          <t>invocacao.11.bas.2.classe</t>
        </is>
      </c>
      <c r="B2407" s="198">
        <f>IF(ISBLANK(DADOS_INVOC!$MS$135),"",DADOS_INVOC!$MS$135&amp;"")</f>
        <v/>
      </c>
      <c r="C2407" s="198" t="inlineStr">
        <is>
          <t>DADOS_INVOC!MS135</t>
        </is>
      </c>
      <c r="D2407" s="198" t="inlineStr">
        <is>
          <t>entrada</t>
        </is>
      </c>
    </row>
    <row r="2408">
      <c r="A2408" s="198" t="inlineStr">
        <is>
          <t>invocacao.11.bas.2.nome</t>
        </is>
      </c>
      <c r="B2408" s="198">
        <f>IF(ISBLANK(DADOS_INVOC!$MT$135),"",DADOS_INVOC!$MT$135&amp;"")</f>
        <v/>
      </c>
      <c r="C2408" s="198" t="inlineStr">
        <is>
          <t>DADOS_INVOC!MT135</t>
        </is>
      </c>
      <c r="D2408" s="198" t="inlineStr">
        <is>
          <t>entrada</t>
        </is>
      </c>
    </row>
    <row r="2409">
      <c r="A2409" s="198" t="inlineStr">
        <is>
          <t>invocacao.11.bas.2.forma</t>
        </is>
      </c>
      <c r="B2409" s="198">
        <f>IF(ISBLANK(DADOS_INVOC!$MU$135),"",DADOS_INVOC!$MU$135&amp;"")</f>
        <v/>
      </c>
      <c r="C2409" s="198" t="inlineStr">
        <is>
          <t>DADOS_INVOC!MU135</t>
        </is>
      </c>
      <c r="D2409" s="198" t="inlineStr">
        <is>
          <t>entrada</t>
        </is>
      </c>
    </row>
    <row r="2410">
      <c r="A2410" s="198" t="inlineStr">
        <is>
          <t>invocacao.11.bas.2.pecas</t>
        </is>
      </c>
      <c r="B2410" s="198">
        <f>TEXTJOIN(" · ",TRUE,DADOS_INVOC!$MX$135,DADOS_INVOC!$MY$135,DADOS_INVOC!$MZ$135,DADOS_INVOC!$NA$135)</f>
        <v/>
      </c>
      <c r="C2410" s="198" t="inlineStr">
        <is>
          <t>DADOS_INVOC!MX135 DADOS_INVOC!MY135 DADOS_INVOC!MZ135 DADOS_INVOC!NA135</t>
        </is>
      </c>
      <c r="D2410" s="198" t="inlineStr">
        <is>
          <t>entrada</t>
        </is>
      </c>
    </row>
    <row r="2411">
      <c r="A2411" s="198" t="inlineStr">
        <is>
          <t>invocacao.11.bas.2.restricoes</t>
        </is>
      </c>
      <c r="B2411" s="198">
        <f>TEXTJOIN(" · ",TRUE,DADOS_INVOC!$NB$135,DADOS_INVOC!$NC$135)</f>
        <v/>
      </c>
      <c r="C2411" s="198" t="inlineStr">
        <is>
          <t>DADOS_INVOC!NB135 DADOS_INVOC!NC135</t>
        </is>
      </c>
      <c r="D2411" s="198" t="inlineStr">
        <is>
          <t>entrada</t>
        </is>
      </c>
    </row>
    <row r="2412">
      <c r="A2412" s="198" t="inlineStr">
        <is>
          <t>invocacao.11.bas.2.pe</t>
        </is>
      </c>
      <c r="B2412" s="198">
        <f>IF(ISBLANK(DADOS_INVOC!$QA$135),"",DADOS_INVOC!$QA$135&amp;"")</f>
        <v/>
      </c>
      <c r="C2412" s="198" t="inlineStr">
        <is>
          <t>DADOS_INVOC!QA135</t>
        </is>
      </c>
      <c r="D2412" s="198" t="inlineStr">
        <is>
          <t>resultado</t>
        </is>
      </c>
    </row>
    <row r="2413">
      <c r="A2413" s="198" t="inlineStr">
        <is>
          <t>invocacao.11.bas.2.dano</t>
        </is>
      </c>
      <c r="B2413" s="198">
        <f>IF(ISBLANK(DADOS_INVOC!$QE$135),"",DADOS_INVOC!$QE$135&amp;"")</f>
        <v/>
      </c>
      <c r="C2413" s="198" t="inlineStr">
        <is>
          <t>DADOS_INVOC!QE135</t>
        </is>
      </c>
      <c r="D2413" s="198" t="inlineStr">
        <is>
          <t>resultado</t>
        </is>
      </c>
    </row>
    <row r="2414">
      <c r="A2414" s="198" t="inlineStr">
        <is>
          <t>invocacao.11.bas.2.erros</t>
        </is>
      </c>
      <c r="B2414" s="198">
        <f>IF(ISBLANK(DADOS_INVOC!$PT$135),"",DADOS_INVOC!$PT$135&amp;"")</f>
        <v/>
      </c>
      <c r="C2414" s="198" t="inlineStr">
        <is>
          <t>DADOS_INVOC!PT135</t>
        </is>
      </c>
      <c r="D2414" s="198" t="inlineStr">
        <is>
          <t>aviso</t>
        </is>
      </c>
    </row>
    <row r="2415">
      <c r="A2415" s="198" t="inlineStr">
        <is>
          <t>invocacao.11.bas.2.avisos</t>
        </is>
      </c>
      <c r="B2415" s="198">
        <f>IF(ISBLANK(DADOS_INVOC!$PV$135),"",DADOS_INVOC!$PV$135&amp;"")</f>
        <v/>
      </c>
      <c r="C2415" s="198" t="inlineStr">
        <is>
          <t>DADOS_INVOC!PV135</t>
        </is>
      </c>
      <c r="D2415" s="198" t="inlineStr">
        <is>
          <t>aviso</t>
        </is>
      </c>
    </row>
    <row r="2416">
      <c r="A2416" s="198" t="inlineStr">
        <is>
          <t>invocacao.11.esp.3.classe</t>
        </is>
      </c>
      <c r="B2416" s="198">
        <f>IF(ISBLANK(DADOS_INVOC!$MS$136),"",DADOS_INVOC!$MS$136&amp;"")</f>
        <v/>
      </c>
      <c r="C2416" s="198" t="inlineStr">
        <is>
          <t>DADOS_INVOC!MS136</t>
        </is>
      </c>
      <c r="D2416" s="198" t="inlineStr">
        <is>
          <t>entrada</t>
        </is>
      </c>
    </row>
    <row r="2417">
      <c r="A2417" s="198" t="inlineStr">
        <is>
          <t>invocacao.11.esp.3.nome</t>
        </is>
      </c>
      <c r="B2417" s="198">
        <f>IF(ISBLANK(DADOS_INVOC!$MT$136),"",DADOS_INVOC!$MT$136&amp;"")</f>
        <v/>
      </c>
      <c r="C2417" s="198" t="inlineStr">
        <is>
          <t>DADOS_INVOC!MT136</t>
        </is>
      </c>
      <c r="D2417" s="198" t="inlineStr">
        <is>
          <t>entrada</t>
        </is>
      </c>
    </row>
    <row r="2418">
      <c r="A2418" s="198" t="inlineStr">
        <is>
          <t>invocacao.11.esp.3.forma</t>
        </is>
      </c>
      <c r="B2418" s="198">
        <f>IF(ISBLANK(DADOS_INVOC!$MU$136),"",DADOS_INVOC!$MU$136&amp;"")</f>
        <v/>
      </c>
      <c r="C2418" s="198" t="inlineStr">
        <is>
          <t>DADOS_INVOC!MU136</t>
        </is>
      </c>
      <c r="D2418" s="198" t="inlineStr">
        <is>
          <t>entrada</t>
        </is>
      </c>
    </row>
    <row r="2419">
      <c r="A2419" s="198" t="inlineStr">
        <is>
          <t>invocacao.11.esp.3.pecas</t>
        </is>
      </c>
      <c r="B2419" s="198">
        <f>TEXTJOIN(" · ",TRUE,DADOS_INVOC!$MX$136,DADOS_INVOC!$MY$136,DADOS_INVOC!$MZ$136,DADOS_INVOC!$NA$136)</f>
        <v/>
      </c>
      <c r="C2419" s="198" t="inlineStr">
        <is>
          <t>DADOS_INVOC!MX136 DADOS_INVOC!MY136 DADOS_INVOC!MZ136 DADOS_INVOC!NA136</t>
        </is>
      </c>
      <c r="D2419" s="198" t="inlineStr">
        <is>
          <t>entrada</t>
        </is>
      </c>
    </row>
    <row r="2420">
      <c r="A2420" s="198" t="inlineStr">
        <is>
          <t>invocacao.11.esp.3.restricoes</t>
        </is>
      </c>
      <c r="B2420" s="198">
        <f>TEXTJOIN(" · ",TRUE,DADOS_INVOC!$NB$136,DADOS_INVOC!$NC$136)</f>
        <v/>
      </c>
      <c r="C2420" s="198" t="inlineStr">
        <is>
          <t>DADOS_INVOC!NB136 DADOS_INVOC!NC136</t>
        </is>
      </c>
      <c r="D2420" s="198" t="inlineStr">
        <is>
          <t>entrada</t>
        </is>
      </c>
    </row>
    <row r="2421">
      <c r="A2421" s="198" t="inlineStr">
        <is>
          <t>invocacao.11.esp.3.pe</t>
        </is>
      </c>
      <c r="B2421" s="198">
        <f>IF(ISBLANK(DADOS_INVOC!$QA$136),"",DADOS_INVOC!$QA$136&amp;"")</f>
        <v/>
      </c>
      <c r="C2421" s="198" t="inlineStr">
        <is>
          <t>DADOS_INVOC!QA136</t>
        </is>
      </c>
      <c r="D2421" s="198" t="inlineStr">
        <is>
          <t>resultado</t>
        </is>
      </c>
    </row>
    <row r="2422">
      <c r="A2422" s="198" t="inlineStr">
        <is>
          <t>invocacao.11.esp.3.dano</t>
        </is>
      </c>
      <c r="B2422" s="198">
        <f>IF(ISBLANK(DADOS_INVOC!$QE$136),"",DADOS_INVOC!$QE$136&amp;"")</f>
        <v/>
      </c>
      <c r="C2422" s="198" t="inlineStr">
        <is>
          <t>DADOS_INVOC!QE136</t>
        </is>
      </c>
      <c r="D2422" s="198" t="inlineStr">
        <is>
          <t>resultado</t>
        </is>
      </c>
    </row>
    <row r="2423">
      <c r="A2423" s="198" t="inlineStr">
        <is>
          <t>invocacao.11.esp.3.erros</t>
        </is>
      </c>
      <c r="B2423" s="198">
        <f>IF(ISBLANK(DADOS_INVOC!$PT$136),"",DADOS_INVOC!$PT$136&amp;"")</f>
        <v/>
      </c>
      <c r="C2423" s="198" t="inlineStr">
        <is>
          <t>DADOS_INVOC!PT136</t>
        </is>
      </c>
      <c r="D2423" s="198" t="inlineStr">
        <is>
          <t>aviso</t>
        </is>
      </c>
    </row>
    <row r="2424">
      <c r="A2424" s="198" t="inlineStr">
        <is>
          <t>invocacao.11.esp.3.avisos</t>
        </is>
      </c>
      <c r="B2424" s="198">
        <f>IF(ISBLANK(DADOS_INVOC!$PV$136),"",DADOS_INVOC!$PV$136&amp;"")</f>
        <v/>
      </c>
      <c r="C2424" s="198" t="inlineStr">
        <is>
          <t>DADOS_INVOC!PV136</t>
        </is>
      </c>
      <c r="D2424" s="198" t="inlineStr">
        <is>
          <t>aviso</t>
        </is>
      </c>
    </row>
    <row r="2425">
      <c r="A2425" s="198" t="inlineStr">
        <is>
          <t>invocacao.11.esp.4.classe</t>
        </is>
      </c>
      <c r="B2425" s="198">
        <f>IF(ISBLANK(DADOS_INVOC!$MS$137),"",DADOS_INVOC!$MS$137&amp;"")</f>
        <v/>
      </c>
      <c r="C2425" s="198" t="inlineStr">
        <is>
          <t>DADOS_INVOC!MS137</t>
        </is>
      </c>
      <c r="D2425" s="198" t="inlineStr">
        <is>
          <t>entrada</t>
        </is>
      </c>
    </row>
    <row r="2426">
      <c r="A2426" s="198" t="inlineStr">
        <is>
          <t>invocacao.11.esp.4.nome</t>
        </is>
      </c>
      <c r="B2426" s="198">
        <f>IF(ISBLANK(DADOS_INVOC!$MT$137),"",DADOS_INVOC!$MT$137&amp;"")</f>
        <v/>
      </c>
      <c r="C2426" s="198" t="inlineStr">
        <is>
          <t>DADOS_INVOC!MT137</t>
        </is>
      </c>
      <c r="D2426" s="198" t="inlineStr">
        <is>
          <t>entrada</t>
        </is>
      </c>
    </row>
    <row r="2427">
      <c r="A2427" s="198" t="inlineStr">
        <is>
          <t>invocacao.11.esp.4.forma</t>
        </is>
      </c>
      <c r="B2427" s="198">
        <f>IF(ISBLANK(DADOS_INVOC!$MU$137),"",DADOS_INVOC!$MU$137&amp;"")</f>
        <v/>
      </c>
      <c r="C2427" s="198" t="inlineStr">
        <is>
          <t>DADOS_INVOC!MU137</t>
        </is>
      </c>
      <c r="D2427" s="198" t="inlineStr">
        <is>
          <t>entrada</t>
        </is>
      </c>
    </row>
    <row r="2428">
      <c r="A2428" s="198" t="inlineStr">
        <is>
          <t>invocacao.11.esp.4.pecas</t>
        </is>
      </c>
      <c r="B2428" s="198">
        <f>TEXTJOIN(" · ",TRUE,DADOS_INVOC!$MX$137,DADOS_INVOC!$MY$137,DADOS_INVOC!$MZ$137,DADOS_INVOC!$NA$137)</f>
        <v/>
      </c>
      <c r="C2428" s="198" t="inlineStr">
        <is>
          <t>DADOS_INVOC!MX137 DADOS_INVOC!MY137 DADOS_INVOC!MZ137 DADOS_INVOC!NA137</t>
        </is>
      </c>
      <c r="D2428" s="198" t="inlineStr">
        <is>
          <t>entrada</t>
        </is>
      </c>
    </row>
    <row r="2429">
      <c r="A2429" s="198" t="inlineStr">
        <is>
          <t>invocacao.11.esp.4.restricoes</t>
        </is>
      </c>
      <c r="B2429" s="198">
        <f>TEXTJOIN(" · ",TRUE,DADOS_INVOC!$NB$137,DADOS_INVOC!$NC$137)</f>
        <v/>
      </c>
      <c r="C2429" s="198" t="inlineStr">
        <is>
          <t>DADOS_INVOC!NB137 DADOS_INVOC!NC137</t>
        </is>
      </c>
      <c r="D2429" s="198" t="inlineStr">
        <is>
          <t>entrada</t>
        </is>
      </c>
    </row>
    <row r="2430">
      <c r="A2430" s="198" t="inlineStr">
        <is>
          <t>invocacao.11.esp.4.pe</t>
        </is>
      </c>
      <c r="B2430" s="198">
        <f>IF(ISBLANK(DADOS_INVOC!$QA$137),"",DADOS_INVOC!$QA$137&amp;"")</f>
        <v/>
      </c>
      <c r="C2430" s="198" t="inlineStr">
        <is>
          <t>DADOS_INVOC!QA137</t>
        </is>
      </c>
      <c r="D2430" s="198" t="inlineStr">
        <is>
          <t>resultado</t>
        </is>
      </c>
    </row>
    <row r="2431">
      <c r="A2431" s="198" t="inlineStr">
        <is>
          <t>invocacao.11.esp.4.dano</t>
        </is>
      </c>
      <c r="B2431" s="198">
        <f>IF(ISBLANK(DADOS_INVOC!$QE$137),"",DADOS_INVOC!$QE$137&amp;"")</f>
        <v/>
      </c>
      <c r="C2431" s="198" t="inlineStr">
        <is>
          <t>DADOS_INVOC!QE137</t>
        </is>
      </c>
      <c r="D2431" s="198" t="inlineStr">
        <is>
          <t>resultado</t>
        </is>
      </c>
    </row>
    <row r="2432">
      <c r="A2432" s="198" t="inlineStr">
        <is>
          <t>invocacao.11.esp.4.erros</t>
        </is>
      </c>
      <c r="B2432" s="198">
        <f>IF(ISBLANK(DADOS_INVOC!$PT$137),"",DADOS_INVOC!$PT$137&amp;"")</f>
        <v/>
      </c>
      <c r="C2432" s="198" t="inlineStr">
        <is>
          <t>DADOS_INVOC!PT137</t>
        </is>
      </c>
      <c r="D2432" s="198" t="inlineStr">
        <is>
          <t>aviso</t>
        </is>
      </c>
    </row>
    <row r="2433">
      <c r="A2433" s="198" t="inlineStr">
        <is>
          <t>invocacao.11.esp.4.avisos</t>
        </is>
      </c>
      <c r="B2433" s="198">
        <f>IF(ISBLANK(DADOS_INVOC!$PV$137),"",DADOS_INVOC!$PV$137&amp;"")</f>
        <v/>
      </c>
      <c r="C2433" s="198" t="inlineStr">
        <is>
          <t>DADOS_INVOC!PV137</t>
        </is>
      </c>
      <c r="D2433" s="198" t="inlineStr">
        <is>
          <t>aviso</t>
        </is>
      </c>
    </row>
    <row r="2434">
      <c r="A2434" s="198" t="inlineStr">
        <is>
          <t>invocacao.11.esp.5.classe</t>
        </is>
      </c>
      <c r="B2434" s="198">
        <f>IF(ISBLANK(DADOS_INVOC!$MS$138),"",DADOS_INVOC!$MS$138&amp;"")</f>
        <v/>
      </c>
      <c r="C2434" s="198" t="inlineStr">
        <is>
          <t>DADOS_INVOC!MS138</t>
        </is>
      </c>
      <c r="D2434" s="198" t="inlineStr">
        <is>
          <t>entrada</t>
        </is>
      </c>
    </row>
    <row r="2435">
      <c r="A2435" s="198" t="inlineStr">
        <is>
          <t>invocacao.11.esp.5.nome</t>
        </is>
      </c>
      <c r="B2435" s="198">
        <f>IF(ISBLANK(DADOS_INVOC!$MT$138),"",DADOS_INVOC!$MT$138&amp;"")</f>
        <v/>
      </c>
      <c r="C2435" s="198" t="inlineStr">
        <is>
          <t>DADOS_INVOC!MT138</t>
        </is>
      </c>
      <c r="D2435" s="198" t="inlineStr">
        <is>
          <t>entrada</t>
        </is>
      </c>
    </row>
    <row r="2436">
      <c r="A2436" s="198" t="inlineStr">
        <is>
          <t>invocacao.11.esp.5.forma</t>
        </is>
      </c>
      <c r="B2436" s="198">
        <f>IF(ISBLANK(DADOS_INVOC!$MU$138),"",DADOS_INVOC!$MU$138&amp;"")</f>
        <v/>
      </c>
      <c r="C2436" s="198" t="inlineStr">
        <is>
          <t>DADOS_INVOC!MU138</t>
        </is>
      </c>
      <c r="D2436" s="198" t="inlineStr">
        <is>
          <t>entrada</t>
        </is>
      </c>
    </row>
    <row r="2437">
      <c r="A2437" s="198" t="inlineStr">
        <is>
          <t>invocacao.11.esp.5.pecas</t>
        </is>
      </c>
      <c r="B2437" s="198">
        <f>TEXTJOIN(" · ",TRUE,DADOS_INVOC!$MX$138,DADOS_INVOC!$MY$138,DADOS_INVOC!$MZ$138,DADOS_INVOC!$NA$138)</f>
        <v/>
      </c>
      <c r="C2437" s="198" t="inlineStr">
        <is>
          <t>DADOS_INVOC!MX138 DADOS_INVOC!MY138 DADOS_INVOC!MZ138 DADOS_INVOC!NA138</t>
        </is>
      </c>
      <c r="D2437" s="198" t="inlineStr">
        <is>
          <t>entrada</t>
        </is>
      </c>
    </row>
    <row r="2438">
      <c r="A2438" s="198" t="inlineStr">
        <is>
          <t>invocacao.11.esp.5.restricoes</t>
        </is>
      </c>
      <c r="B2438" s="198">
        <f>TEXTJOIN(" · ",TRUE,DADOS_INVOC!$NB$138,DADOS_INVOC!$NC$138)</f>
        <v/>
      </c>
      <c r="C2438" s="198" t="inlineStr">
        <is>
          <t>DADOS_INVOC!NB138 DADOS_INVOC!NC138</t>
        </is>
      </c>
      <c r="D2438" s="198" t="inlineStr">
        <is>
          <t>entrada</t>
        </is>
      </c>
    </row>
    <row r="2439">
      <c r="A2439" s="198" t="inlineStr">
        <is>
          <t>invocacao.11.esp.5.pe</t>
        </is>
      </c>
      <c r="B2439" s="198">
        <f>IF(ISBLANK(DADOS_INVOC!$QA$138),"",DADOS_INVOC!$QA$138&amp;"")</f>
        <v/>
      </c>
      <c r="C2439" s="198" t="inlineStr">
        <is>
          <t>DADOS_INVOC!QA138</t>
        </is>
      </c>
      <c r="D2439" s="198" t="inlineStr">
        <is>
          <t>resultado</t>
        </is>
      </c>
    </row>
    <row r="2440">
      <c r="A2440" s="198" t="inlineStr">
        <is>
          <t>invocacao.11.esp.5.dano</t>
        </is>
      </c>
      <c r="B2440" s="198">
        <f>IF(ISBLANK(DADOS_INVOC!$QE$138),"",DADOS_INVOC!$QE$138&amp;"")</f>
        <v/>
      </c>
      <c r="C2440" s="198" t="inlineStr">
        <is>
          <t>DADOS_INVOC!QE138</t>
        </is>
      </c>
      <c r="D2440" s="198" t="inlineStr">
        <is>
          <t>resultado</t>
        </is>
      </c>
    </row>
    <row r="2441">
      <c r="A2441" s="198" t="inlineStr">
        <is>
          <t>invocacao.11.esp.5.erros</t>
        </is>
      </c>
      <c r="B2441" s="198">
        <f>IF(ISBLANK(DADOS_INVOC!$PT$138),"",DADOS_INVOC!$PT$138&amp;"")</f>
        <v/>
      </c>
      <c r="C2441" s="198" t="inlineStr">
        <is>
          <t>DADOS_INVOC!PT138</t>
        </is>
      </c>
      <c r="D2441" s="198" t="inlineStr">
        <is>
          <t>aviso</t>
        </is>
      </c>
    </row>
    <row r="2442">
      <c r="A2442" s="198" t="inlineStr">
        <is>
          <t>invocacao.11.esp.5.avisos</t>
        </is>
      </c>
      <c r="B2442" s="198">
        <f>IF(ISBLANK(DADOS_INVOC!$PV$138),"",DADOS_INVOC!$PV$138&amp;"")</f>
        <v/>
      </c>
      <c r="C2442" s="198" t="inlineStr">
        <is>
          <t>DADOS_INVOC!PV138</t>
        </is>
      </c>
      <c r="D2442" s="198" t="inlineStr">
        <is>
          <t>aviso</t>
        </is>
      </c>
    </row>
    <row r="2443">
      <c r="A2443" s="198" t="inlineStr">
        <is>
          <t>invocacao.11.esp.6.classe</t>
        </is>
      </c>
      <c r="B2443" s="198">
        <f>IF(ISBLANK(DADOS_INVOC!$MS$139),"",DADOS_INVOC!$MS$139&amp;"")</f>
        <v/>
      </c>
      <c r="C2443" s="198" t="inlineStr">
        <is>
          <t>DADOS_INVOC!MS139</t>
        </is>
      </c>
      <c r="D2443" s="198" t="inlineStr">
        <is>
          <t>entrada</t>
        </is>
      </c>
    </row>
    <row r="2444">
      <c r="A2444" s="198" t="inlineStr">
        <is>
          <t>invocacao.11.esp.6.nome</t>
        </is>
      </c>
      <c r="B2444" s="198">
        <f>IF(ISBLANK(DADOS_INVOC!$MT$139),"",DADOS_INVOC!$MT$139&amp;"")</f>
        <v/>
      </c>
      <c r="C2444" s="198" t="inlineStr">
        <is>
          <t>DADOS_INVOC!MT139</t>
        </is>
      </c>
      <c r="D2444" s="198" t="inlineStr">
        <is>
          <t>entrada</t>
        </is>
      </c>
    </row>
    <row r="2445">
      <c r="A2445" s="198" t="inlineStr">
        <is>
          <t>invocacao.11.esp.6.forma</t>
        </is>
      </c>
      <c r="B2445" s="198">
        <f>IF(ISBLANK(DADOS_INVOC!$MU$139),"",DADOS_INVOC!$MU$139&amp;"")</f>
        <v/>
      </c>
      <c r="C2445" s="198" t="inlineStr">
        <is>
          <t>DADOS_INVOC!MU139</t>
        </is>
      </c>
      <c r="D2445" s="198" t="inlineStr">
        <is>
          <t>entrada</t>
        </is>
      </c>
    </row>
    <row r="2446">
      <c r="A2446" s="198" t="inlineStr">
        <is>
          <t>invocacao.11.esp.6.pecas</t>
        </is>
      </c>
      <c r="B2446" s="198">
        <f>TEXTJOIN(" · ",TRUE,DADOS_INVOC!$MX$139,DADOS_INVOC!$MY$139,DADOS_INVOC!$MZ$139,DADOS_INVOC!$NA$139)</f>
        <v/>
      </c>
      <c r="C2446" s="198" t="inlineStr">
        <is>
          <t>DADOS_INVOC!MX139 DADOS_INVOC!MY139 DADOS_INVOC!MZ139 DADOS_INVOC!NA139</t>
        </is>
      </c>
      <c r="D2446" s="198" t="inlineStr">
        <is>
          <t>entrada</t>
        </is>
      </c>
    </row>
    <row r="2447">
      <c r="A2447" s="198" t="inlineStr">
        <is>
          <t>invocacao.11.esp.6.restricoes</t>
        </is>
      </c>
      <c r="B2447" s="198">
        <f>TEXTJOIN(" · ",TRUE,DADOS_INVOC!$NB$139,DADOS_INVOC!$NC$139)</f>
        <v/>
      </c>
      <c r="C2447" s="198" t="inlineStr">
        <is>
          <t>DADOS_INVOC!NB139 DADOS_INVOC!NC139</t>
        </is>
      </c>
      <c r="D2447" s="198" t="inlineStr">
        <is>
          <t>entrada</t>
        </is>
      </c>
    </row>
    <row r="2448">
      <c r="A2448" s="198" t="inlineStr">
        <is>
          <t>invocacao.11.esp.6.pe</t>
        </is>
      </c>
      <c r="B2448" s="198">
        <f>IF(ISBLANK(DADOS_INVOC!$QA$139),"",DADOS_INVOC!$QA$139&amp;"")</f>
        <v/>
      </c>
      <c r="C2448" s="198" t="inlineStr">
        <is>
          <t>DADOS_INVOC!QA139</t>
        </is>
      </c>
      <c r="D2448" s="198" t="inlineStr">
        <is>
          <t>resultado</t>
        </is>
      </c>
    </row>
    <row r="2449">
      <c r="A2449" s="198" t="inlineStr">
        <is>
          <t>invocacao.11.esp.6.dano</t>
        </is>
      </c>
      <c r="B2449" s="198">
        <f>IF(ISBLANK(DADOS_INVOC!$QE$139),"",DADOS_INVOC!$QE$139&amp;"")</f>
        <v/>
      </c>
      <c r="C2449" s="198" t="inlineStr">
        <is>
          <t>DADOS_INVOC!QE139</t>
        </is>
      </c>
      <c r="D2449" s="198" t="inlineStr">
        <is>
          <t>resultado</t>
        </is>
      </c>
    </row>
    <row r="2450">
      <c r="A2450" s="198" t="inlineStr">
        <is>
          <t>invocacao.11.esp.6.erros</t>
        </is>
      </c>
      <c r="B2450" s="198">
        <f>IF(ISBLANK(DADOS_INVOC!$PT$139),"",DADOS_INVOC!$PT$139&amp;"")</f>
        <v/>
      </c>
      <c r="C2450" s="198" t="inlineStr">
        <is>
          <t>DADOS_INVOC!PT139</t>
        </is>
      </c>
      <c r="D2450" s="198" t="inlineStr">
        <is>
          <t>aviso</t>
        </is>
      </c>
    </row>
    <row r="2451">
      <c r="A2451" s="198" t="inlineStr">
        <is>
          <t>invocacao.11.esp.6.avisos</t>
        </is>
      </c>
      <c r="B2451" s="198">
        <f>IF(ISBLANK(DADOS_INVOC!$PV$139),"",DADOS_INVOC!$PV$139&amp;"")</f>
        <v/>
      </c>
      <c r="C2451" s="198" t="inlineStr">
        <is>
          <t>DADOS_INVOC!PV139</t>
        </is>
      </c>
      <c r="D2451" s="198" t="inlineStr">
        <is>
          <t>aviso</t>
        </is>
      </c>
    </row>
    <row r="2452">
      <c r="A2452" s="198" t="inlineStr">
        <is>
          <t>invocacao.11.esp.7.classe</t>
        </is>
      </c>
      <c r="B2452" s="198">
        <f>IF(ISBLANK(DADOS_INVOC!$MS$140),"",DADOS_INVOC!$MS$140&amp;"")</f>
        <v/>
      </c>
      <c r="C2452" s="198" t="inlineStr">
        <is>
          <t>DADOS_INVOC!MS140</t>
        </is>
      </c>
      <c r="D2452" s="198" t="inlineStr">
        <is>
          <t>entrada</t>
        </is>
      </c>
    </row>
    <row r="2453">
      <c r="A2453" s="198" t="inlineStr">
        <is>
          <t>invocacao.11.esp.7.nome</t>
        </is>
      </c>
      <c r="B2453" s="198">
        <f>IF(ISBLANK(DADOS_INVOC!$MT$140),"",DADOS_INVOC!$MT$140&amp;"")</f>
        <v/>
      </c>
      <c r="C2453" s="198" t="inlineStr">
        <is>
          <t>DADOS_INVOC!MT140</t>
        </is>
      </c>
      <c r="D2453" s="198" t="inlineStr">
        <is>
          <t>entrada</t>
        </is>
      </c>
    </row>
    <row r="2454">
      <c r="A2454" s="198" t="inlineStr">
        <is>
          <t>invocacao.11.esp.7.forma</t>
        </is>
      </c>
      <c r="B2454" s="198">
        <f>IF(ISBLANK(DADOS_INVOC!$MU$140),"",DADOS_INVOC!$MU$140&amp;"")</f>
        <v/>
      </c>
      <c r="C2454" s="198" t="inlineStr">
        <is>
          <t>DADOS_INVOC!MU140</t>
        </is>
      </c>
      <c r="D2454" s="198" t="inlineStr">
        <is>
          <t>entrada</t>
        </is>
      </c>
    </row>
    <row r="2455">
      <c r="A2455" s="198" t="inlineStr">
        <is>
          <t>invocacao.11.esp.7.pecas</t>
        </is>
      </c>
      <c r="B2455" s="198">
        <f>TEXTJOIN(" · ",TRUE,DADOS_INVOC!$MX$140,DADOS_INVOC!$MY$140,DADOS_INVOC!$MZ$140,DADOS_INVOC!$NA$140)</f>
        <v/>
      </c>
      <c r="C2455" s="198" t="inlineStr">
        <is>
          <t>DADOS_INVOC!MX140 DADOS_INVOC!MY140 DADOS_INVOC!MZ140 DADOS_INVOC!NA140</t>
        </is>
      </c>
      <c r="D2455" s="198" t="inlineStr">
        <is>
          <t>entrada</t>
        </is>
      </c>
    </row>
    <row r="2456">
      <c r="A2456" s="198" t="inlineStr">
        <is>
          <t>invocacao.11.esp.7.restricoes</t>
        </is>
      </c>
      <c r="B2456" s="198">
        <f>TEXTJOIN(" · ",TRUE,DADOS_INVOC!$NB$140,DADOS_INVOC!$NC$140)</f>
        <v/>
      </c>
      <c r="C2456" s="198" t="inlineStr">
        <is>
          <t>DADOS_INVOC!NB140 DADOS_INVOC!NC140</t>
        </is>
      </c>
      <c r="D2456" s="198" t="inlineStr">
        <is>
          <t>entrada</t>
        </is>
      </c>
    </row>
    <row r="2457">
      <c r="A2457" s="198" t="inlineStr">
        <is>
          <t>invocacao.11.esp.7.pe</t>
        </is>
      </c>
      <c r="B2457" s="198">
        <f>IF(ISBLANK(DADOS_INVOC!$QA$140),"",DADOS_INVOC!$QA$140&amp;"")</f>
        <v/>
      </c>
      <c r="C2457" s="198" t="inlineStr">
        <is>
          <t>DADOS_INVOC!QA140</t>
        </is>
      </c>
      <c r="D2457" s="198" t="inlineStr">
        <is>
          <t>resultado</t>
        </is>
      </c>
    </row>
    <row r="2458">
      <c r="A2458" s="198" t="inlineStr">
        <is>
          <t>invocacao.11.esp.7.dano</t>
        </is>
      </c>
      <c r="B2458" s="198">
        <f>IF(ISBLANK(DADOS_INVOC!$QE$140),"",DADOS_INVOC!$QE$140&amp;"")</f>
        <v/>
      </c>
      <c r="C2458" s="198" t="inlineStr">
        <is>
          <t>DADOS_INVOC!QE140</t>
        </is>
      </c>
      <c r="D2458" s="198" t="inlineStr">
        <is>
          <t>resultado</t>
        </is>
      </c>
    </row>
    <row r="2459">
      <c r="A2459" s="198" t="inlineStr">
        <is>
          <t>invocacao.11.esp.7.erros</t>
        </is>
      </c>
      <c r="B2459" s="198">
        <f>IF(ISBLANK(DADOS_INVOC!$PT$140),"",DADOS_INVOC!$PT$140&amp;"")</f>
        <v/>
      </c>
      <c r="C2459" s="198" t="inlineStr">
        <is>
          <t>DADOS_INVOC!PT140</t>
        </is>
      </c>
      <c r="D2459" s="198" t="inlineStr">
        <is>
          <t>aviso</t>
        </is>
      </c>
    </row>
    <row r="2460">
      <c r="A2460" s="198" t="inlineStr">
        <is>
          <t>invocacao.11.esp.7.avisos</t>
        </is>
      </c>
      <c r="B2460" s="198">
        <f>IF(ISBLANK(DADOS_INVOC!$PV$140),"",DADOS_INVOC!$PV$140&amp;"")</f>
        <v/>
      </c>
      <c r="C2460" s="198" t="inlineStr">
        <is>
          <t>DADOS_INVOC!PV140</t>
        </is>
      </c>
      <c r="D2460" s="198" t="inlineStr">
        <is>
          <t>aviso</t>
        </is>
      </c>
    </row>
    <row r="2461">
      <c r="A2461" s="198" t="inlineStr">
        <is>
          <t>invocacao.11.esp.8.classe</t>
        </is>
      </c>
      <c r="B2461" s="198">
        <f>IF(ISBLANK(DADOS_INVOC!$MS$141),"",DADOS_INVOC!$MS$141&amp;"")</f>
        <v/>
      </c>
      <c r="C2461" s="198" t="inlineStr">
        <is>
          <t>DADOS_INVOC!MS141</t>
        </is>
      </c>
      <c r="D2461" s="198" t="inlineStr">
        <is>
          <t>entrada</t>
        </is>
      </c>
    </row>
    <row r="2462">
      <c r="A2462" s="198" t="inlineStr">
        <is>
          <t>invocacao.11.esp.8.nome</t>
        </is>
      </c>
      <c r="B2462" s="198">
        <f>IF(ISBLANK(DADOS_INVOC!$MT$141),"",DADOS_INVOC!$MT$141&amp;"")</f>
        <v/>
      </c>
      <c r="C2462" s="198" t="inlineStr">
        <is>
          <t>DADOS_INVOC!MT141</t>
        </is>
      </c>
      <c r="D2462" s="198" t="inlineStr">
        <is>
          <t>entrada</t>
        </is>
      </c>
    </row>
    <row r="2463">
      <c r="A2463" s="198" t="inlineStr">
        <is>
          <t>invocacao.11.esp.8.forma</t>
        </is>
      </c>
      <c r="B2463" s="198">
        <f>IF(ISBLANK(DADOS_INVOC!$MU$141),"",DADOS_INVOC!$MU$141&amp;"")</f>
        <v/>
      </c>
      <c r="C2463" s="198" t="inlineStr">
        <is>
          <t>DADOS_INVOC!MU141</t>
        </is>
      </c>
      <c r="D2463" s="198" t="inlineStr">
        <is>
          <t>entrada</t>
        </is>
      </c>
    </row>
    <row r="2464">
      <c r="A2464" s="198" t="inlineStr">
        <is>
          <t>invocacao.11.esp.8.pecas</t>
        </is>
      </c>
      <c r="B2464" s="198">
        <f>TEXTJOIN(" · ",TRUE,DADOS_INVOC!$MX$141,DADOS_INVOC!$MY$141,DADOS_INVOC!$MZ$141,DADOS_INVOC!$NA$141)</f>
        <v/>
      </c>
      <c r="C2464" s="198" t="inlineStr">
        <is>
          <t>DADOS_INVOC!MX141 DADOS_INVOC!MY141 DADOS_INVOC!MZ141 DADOS_INVOC!NA141</t>
        </is>
      </c>
      <c r="D2464" s="198" t="inlineStr">
        <is>
          <t>entrada</t>
        </is>
      </c>
    </row>
    <row r="2465">
      <c r="A2465" s="198" t="inlineStr">
        <is>
          <t>invocacao.11.esp.8.restricoes</t>
        </is>
      </c>
      <c r="B2465" s="198">
        <f>TEXTJOIN(" · ",TRUE,DADOS_INVOC!$NB$141,DADOS_INVOC!$NC$141)</f>
        <v/>
      </c>
      <c r="C2465" s="198" t="inlineStr">
        <is>
          <t>DADOS_INVOC!NB141 DADOS_INVOC!NC141</t>
        </is>
      </c>
      <c r="D2465" s="198" t="inlineStr">
        <is>
          <t>entrada</t>
        </is>
      </c>
    </row>
    <row r="2466">
      <c r="A2466" s="198" t="inlineStr">
        <is>
          <t>invocacao.11.esp.8.pe</t>
        </is>
      </c>
      <c r="B2466" s="198">
        <f>IF(ISBLANK(DADOS_INVOC!$QA$141),"",DADOS_INVOC!$QA$141&amp;"")</f>
        <v/>
      </c>
      <c r="C2466" s="198" t="inlineStr">
        <is>
          <t>DADOS_INVOC!QA141</t>
        </is>
      </c>
      <c r="D2466" s="198" t="inlineStr">
        <is>
          <t>resultado</t>
        </is>
      </c>
    </row>
    <row r="2467">
      <c r="A2467" s="198" t="inlineStr">
        <is>
          <t>invocacao.11.esp.8.dano</t>
        </is>
      </c>
      <c r="B2467" s="198">
        <f>IF(ISBLANK(DADOS_INVOC!$QE$141),"",DADOS_INVOC!$QE$141&amp;"")</f>
        <v/>
      </c>
      <c r="C2467" s="198" t="inlineStr">
        <is>
          <t>DADOS_INVOC!QE141</t>
        </is>
      </c>
      <c r="D2467" s="198" t="inlineStr">
        <is>
          <t>resultado</t>
        </is>
      </c>
    </row>
    <row r="2468">
      <c r="A2468" s="198" t="inlineStr">
        <is>
          <t>invocacao.11.esp.8.erros</t>
        </is>
      </c>
      <c r="B2468" s="198">
        <f>IF(ISBLANK(DADOS_INVOC!$PT$141),"",DADOS_INVOC!$PT$141&amp;"")</f>
        <v/>
      </c>
      <c r="C2468" s="198" t="inlineStr">
        <is>
          <t>DADOS_INVOC!PT141</t>
        </is>
      </c>
      <c r="D2468" s="198" t="inlineStr">
        <is>
          <t>aviso</t>
        </is>
      </c>
    </row>
    <row r="2469">
      <c r="A2469" s="198" t="inlineStr">
        <is>
          <t>invocacao.11.esp.8.avisos</t>
        </is>
      </c>
      <c r="B2469" s="198">
        <f>IF(ISBLANK(DADOS_INVOC!$PV$141),"",DADOS_INVOC!$PV$141&amp;"")</f>
        <v/>
      </c>
      <c r="C2469" s="198" t="inlineStr">
        <is>
          <t>DADOS_INVOC!PV141</t>
        </is>
      </c>
      <c r="D2469" s="198" t="inlineStr">
        <is>
          <t>aviso</t>
        </is>
      </c>
    </row>
    <row r="2470">
      <c r="A2470" s="198" t="inlineStr">
        <is>
          <t>invocacao.11.ext.1.classe</t>
        </is>
      </c>
      <c r="B2470" s="198">
        <f>IF(ISBLANK(DADOS_INVOC!$MS$142),"",DADOS_INVOC!$MS$142&amp;"")</f>
        <v/>
      </c>
      <c r="C2470" s="198" t="inlineStr">
        <is>
          <t>DADOS_INVOC!MS142</t>
        </is>
      </c>
      <c r="D2470" s="198" t="inlineStr">
        <is>
          <t>entrada</t>
        </is>
      </c>
    </row>
    <row r="2471">
      <c r="A2471" s="198" t="inlineStr">
        <is>
          <t>invocacao.11.ext.1.nome</t>
        </is>
      </c>
      <c r="B2471" s="198">
        <f>IF(ISBLANK(DADOS_INVOC!$MT$142),"",DADOS_INVOC!$MT$142&amp;"")</f>
        <v/>
      </c>
      <c r="C2471" s="198" t="inlineStr">
        <is>
          <t>DADOS_INVOC!MT142</t>
        </is>
      </c>
      <c r="D2471" s="198" t="inlineStr">
        <is>
          <t>entrada</t>
        </is>
      </c>
    </row>
    <row r="2472">
      <c r="A2472" s="198" t="inlineStr">
        <is>
          <t>invocacao.11.ext.1.forma</t>
        </is>
      </c>
      <c r="B2472" s="198">
        <f>IF(ISBLANK(DADOS_INVOC!$MU$142),"",DADOS_INVOC!$MU$142&amp;"")</f>
        <v/>
      </c>
      <c r="C2472" s="198" t="inlineStr">
        <is>
          <t>DADOS_INVOC!MU142</t>
        </is>
      </c>
      <c r="D2472" s="198" t="inlineStr">
        <is>
          <t>entrada</t>
        </is>
      </c>
    </row>
    <row r="2473">
      <c r="A2473" s="198" t="inlineStr">
        <is>
          <t>invocacao.11.ext.1.pecas</t>
        </is>
      </c>
      <c r="B2473" s="198">
        <f>TEXTJOIN(" · ",TRUE,DADOS_INVOC!$MX$142,DADOS_INVOC!$MY$142,DADOS_INVOC!$MZ$142,DADOS_INVOC!$NA$142)</f>
        <v/>
      </c>
      <c r="C2473" s="198" t="inlineStr">
        <is>
          <t>DADOS_INVOC!MX142 DADOS_INVOC!MY142 DADOS_INVOC!MZ142 DADOS_INVOC!NA142</t>
        </is>
      </c>
      <c r="D2473" s="198" t="inlineStr">
        <is>
          <t>entrada</t>
        </is>
      </c>
    </row>
    <row r="2474">
      <c r="A2474" s="198" t="inlineStr">
        <is>
          <t>invocacao.11.ext.1.restricoes</t>
        </is>
      </c>
      <c r="B2474" s="198">
        <f>TEXTJOIN(" · ",TRUE,DADOS_INVOC!$NB$142,DADOS_INVOC!$NC$142)</f>
        <v/>
      </c>
      <c r="C2474" s="198" t="inlineStr">
        <is>
          <t>DADOS_INVOC!NB142 DADOS_INVOC!NC142</t>
        </is>
      </c>
      <c r="D2474" s="198" t="inlineStr">
        <is>
          <t>entrada</t>
        </is>
      </c>
    </row>
    <row r="2475">
      <c r="A2475" s="198" t="inlineStr">
        <is>
          <t>invocacao.11.ext.1.pe</t>
        </is>
      </c>
      <c r="B2475" s="198">
        <f>IF(ISBLANK(DADOS_INVOC!$QA$142),"",DADOS_INVOC!$QA$142&amp;"")</f>
        <v/>
      </c>
      <c r="C2475" s="198" t="inlineStr">
        <is>
          <t>DADOS_INVOC!QA142</t>
        </is>
      </c>
      <c r="D2475" s="198" t="inlineStr">
        <is>
          <t>resultado</t>
        </is>
      </c>
    </row>
    <row r="2476">
      <c r="A2476" s="198" t="inlineStr">
        <is>
          <t>invocacao.11.ext.1.dano</t>
        </is>
      </c>
      <c r="B2476" s="198">
        <f>IF(ISBLANK(DADOS_INVOC!$QE$142),"",DADOS_INVOC!$QE$142&amp;"")</f>
        <v/>
      </c>
      <c r="C2476" s="198" t="inlineStr">
        <is>
          <t>DADOS_INVOC!QE142</t>
        </is>
      </c>
      <c r="D2476" s="198" t="inlineStr">
        <is>
          <t>resultado</t>
        </is>
      </c>
    </row>
    <row r="2477">
      <c r="A2477" s="198" t="inlineStr">
        <is>
          <t>invocacao.11.ext.1.erros</t>
        </is>
      </c>
      <c r="B2477" s="198">
        <f>IF(ISBLANK(DADOS_INVOC!$PT$142),"",DADOS_INVOC!$PT$142&amp;"")</f>
        <v/>
      </c>
      <c r="C2477" s="198" t="inlineStr">
        <is>
          <t>DADOS_INVOC!PT142</t>
        </is>
      </c>
      <c r="D2477" s="198" t="inlineStr">
        <is>
          <t>aviso</t>
        </is>
      </c>
    </row>
    <row r="2478">
      <c r="A2478" s="198" t="inlineStr">
        <is>
          <t>invocacao.11.ext.1.avisos</t>
        </is>
      </c>
      <c r="B2478" s="198">
        <f>IF(ISBLANK(DADOS_INVOC!$PV$142),"",DADOS_INVOC!$PV$142&amp;"")</f>
        <v/>
      </c>
      <c r="C2478" s="198" t="inlineStr">
        <is>
          <t>DADOS_INVOC!PV142</t>
        </is>
      </c>
      <c r="D2478" s="198" t="inlineStr">
        <is>
          <t>aviso</t>
        </is>
      </c>
    </row>
    <row r="2479">
      <c r="A2479" s="198" t="inlineStr">
        <is>
          <t>invocacao.11.ext.2.classe</t>
        </is>
      </c>
      <c r="B2479" s="198">
        <f>IF(ISBLANK(DADOS_INVOC!$MS$143),"",DADOS_INVOC!$MS$143&amp;"")</f>
        <v/>
      </c>
      <c r="C2479" s="198" t="inlineStr">
        <is>
          <t>DADOS_INVOC!MS143</t>
        </is>
      </c>
      <c r="D2479" s="198" t="inlineStr">
        <is>
          <t>entrada</t>
        </is>
      </c>
    </row>
    <row r="2480">
      <c r="A2480" s="198" t="inlineStr">
        <is>
          <t>invocacao.11.ext.2.nome</t>
        </is>
      </c>
      <c r="B2480" s="198">
        <f>IF(ISBLANK(DADOS_INVOC!$MT$143),"",DADOS_INVOC!$MT$143&amp;"")</f>
        <v/>
      </c>
      <c r="C2480" s="198" t="inlineStr">
        <is>
          <t>DADOS_INVOC!MT143</t>
        </is>
      </c>
      <c r="D2480" s="198" t="inlineStr">
        <is>
          <t>entrada</t>
        </is>
      </c>
    </row>
    <row r="2481">
      <c r="A2481" s="198" t="inlineStr">
        <is>
          <t>invocacao.11.ext.2.forma</t>
        </is>
      </c>
      <c r="B2481" s="198">
        <f>IF(ISBLANK(DADOS_INVOC!$MU$143),"",DADOS_INVOC!$MU$143&amp;"")</f>
        <v/>
      </c>
      <c r="C2481" s="198" t="inlineStr">
        <is>
          <t>DADOS_INVOC!MU143</t>
        </is>
      </c>
      <c r="D2481" s="198" t="inlineStr">
        <is>
          <t>entrada</t>
        </is>
      </c>
    </row>
    <row r="2482">
      <c r="A2482" s="198" t="inlineStr">
        <is>
          <t>invocacao.11.ext.2.pecas</t>
        </is>
      </c>
      <c r="B2482" s="198">
        <f>TEXTJOIN(" · ",TRUE,DADOS_INVOC!$MX$143,DADOS_INVOC!$MY$143,DADOS_INVOC!$MZ$143,DADOS_INVOC!$NA$143)</f>
        <v/>
      </c>
      <c r="C2482" s="198" t="inlineStr">
        <is>
          <t>DADOS_INVOC!MX143 DADOS_INVOC!MY143 DADOS_INVOC!MZ143 DADOS_INVOC!NA143</t>
        </is>
      </c>
      <c r="D2482" s="198" t="inlineStr">
        <is>
          <t>entrada</t>
        </is>
      </c>
    </row>
    <row r="2483">
      <c r="A2483" s="198" t="inlineStr">
        <is>
          <t>invocacao.11.ext.2.restricoes</t>
        </is>
      </c>
      <c r="B2483" s="198">
        <f>TEXTJOIN(" · ",TRUE,DADOS_INVOC!$NB$143,DADOS_INVOC!$NC$143)</f>
        <v/>
      </c>
      <c r="C2483" s="198" t="inlineStr">
        <is>
          <t>DADOS_INVOC!NB143 DADOS_INVOC!NC143</t>
        </is>
      </c>
      <c r="D2483" s="198" t="inlineStr">
        <is>
          <t>entrada</t>
        </is>
      </c>
    </row>
    <row r="2484">
      <c r="A2484" s="198" t="inlineStr">
        <is>
          <t>invocacao.11.ext.2.pe</t>
        </is>
      </c>
      <c r="B2484" s="198">
        <f>IF(ISBLANK(DADOS_INVOC!$QA$143),"",DADOS_INVOC!$QA$143&amp;"")</f>
        <v/>
      </c>
      <c r="C2484" s="198" t="inlineStr">
        <is>
          <t>DADOS_INVOC!QA143</t>
        </is>
      </c>
      <c r="D2484" s="198" t="inlineStr">
        <is>
          <t>resultado</t>
        </is>
      </c>
    </row>
    <row r="2485">
      <c r="A2485" s="198" t="inlineStr">
        <is>
          <t>invocacao.11.ext.2.dano</t>
        </is>
      </c>
      <c r="B2485" s="198">
        <f>IF(ISBLANK(DADOS_INVOC!$QE$143),"",DADOS_INVOC!$QE$143&amp;"")</f>
        <v/>
      </c>
      <c r="C2485" s="198" t="inlineStr">
        <is>
          <t>DADOS_INVOC!QE143</t>
        </is>
      </c>
      <c r="D2485" s="198" t="inlineStr">
        <is>
          <t>resultado</t>
        </is>
      </c>
    </row>
    <row r="2486">
      <c r="A2486" s="198" t="inlineStr">
        <is>
          <t>invocacao.11.ext.2.erros</t>
        </is>
      </c>
      <c r="B2486" s="198">
        <f>IF(ISBLANK(DADOS_INVOC!$PT$143),"",DADOS_INVOC!$PT$143&amp;"")</f>
        <v/>
      </c>
      <c r="C2486" s="198" t="inlineStr">
        <is>
          <t>DADOS_INVOC!PT143</t>
        </is>
      </c>
      <c r="D2486" s="198" t="inlineStr">
        <is>
          <t>aviso</t>
        </is>
      </c>
    </row>
    <row r="2487">
      <c r="A2487" s="198" t="inlineStr">
        <is>
          <t>invocacao.11.ext.2.avisos</t>
        </is>
      </c>
      <c r="B2487" s="198">
        <f>IF(ISBLANK(DADOS_INVOC!$PV$143),"",DADOS_INVOC!$PV$143&amp;"")</f>
        <v/>
      </c>
      <c r="C2487" s="198" t="inlineStr">
        <is>
          <t>DADOS_INVOC!PV143</t>
        </is>
      </c>
      <c r="D2487" s="198" t="inlineStr">
        <is>
          <t>aviso</t>
        </is>
      </c>
    </row>
    <row r="2488">
      <c r="A2488" s="198" t="inlineStr">
        <is>
          <t>invocacao.11.ext.3.classe</t>
        </is>
      </c>
      <c r="B2488" s="198">
        <f>IF(ISBLANK(DADOS_INVOC!$MS$144),"",DADOS_INVOC!$MS$144&amp;"")</f>
        <v/>
      </c>
      <c r="C2488" s="198" t="inlineStr">
        <is>
          <t>DADOS_INVOC!MS144</t>
        </is>
      </c>
      <c r="D2488" s="198" t="inlineStr">
        <is>
          <t>entrada</t>
        </is>
      </c>
    </row>
    <row r="2489">
      <c r="A2489" s="198" t="inlineStr">
        <is>
          <t>invocacao.11.ext.3.nome</t>
        </is>
      </c>
      <c r="B2489" s="198">
        <f>IF(ISBLANK(DADOS_INVOC!$MT$144),"",DADOS_INVOC!$MT$144&amp;"")</f>
        <v/>
      </c>
      <c r="C2489" s="198" t="inlineStr">
        <is>
          <t>DADOS_INVOC!MT144</t>
        </is>
      </c>
      <c r="D2489" s="198" t="inlineStr">
        <is>
          <t>entrada</t>
        </is>
      </c>
    </row>
    <row r="2490">
      <c r="A2490" s="198" t="inlineStr">
        <is>
          <t>invocacao.11.ext.3.forma</t>
        </is>
      </c>
      <c r="B2490" s="198">
        <f>IF(ISBLANK(DADOS_INVOC!$MU$144),"",DADOS_INVOC!$MU$144&amp;"")</f>
        <v/>
      </c>
      <c r="C2490" s="198" t="inlineStr">
        <is>
          <t>DADOS_INVOC!MU144</t>
        </is>
      </c>
      <c r="D2490" s="198" t="inlineStr">
        <is>
          <t>entrada</t>
        </is>
      </c>
    </row>
    <row r="2491">
      <c r="A2491" s="198" t="inlineStr">
        <is>
          <t>invocacao.11.ext.3.pecas</t>
        </is>
      </c>
      <c r="B2491" s="198">
        <f>TEXTJOIN(" · ",TRUE,DADOS_INVOC!$MX$144,DADOS_INVOC!$MY$144,DADOS_INVOC!$MZ$144,DADOS_INVOC!$NA$144)</f>
        <v/>
      </c>
      <c r="C2491" s="198" t="inlineStr">
        <is>
          <t>DADOS_INVOC!MX144 DADOS_INVOC!MY144 DADOS_INVOC!MZ144 DADOS_INVOC!NA144</t>
        </is>
      </c>
      <c r="D2491" s="198" t="inlineStr">
        <is>
          <t>entrada</t>
        </is>
      </c>
    </row>
    <row r="2492">
      <c r="A2492" s="198" t="inlineStr">
        <is>
          <t>invocacao.11.ext.3.restricoes</t>
        </is>
      </c>
      <c r="B2492" s="198">
        <f>TEXTJOIN(" · ",TRUE,DADOS_INVOC!$NB$144,DADOS_INVOC!$NC$144)</f>
        <v/>
      </c>
      <c r="C2492" s="198" t="inlineStr">
        <is>
          <t>DADOS_INVOC!NB144 DADOS_INVOC!NC144</t>
        </is>
      </c>
      <c r="D2492" s="198" t="inlineStr">
        <is>
          <t>entrada</t>
        </is>
      </c>
    </row>
    <row r="2493">
      <c r="A2493" s="198" t="inlineStr">
        <is>
          <t>invocacao.11.ext.3.pe</t>
        </is>
      </c>
      <c r="B2493" s="198">
        <f>IF(ISBLANK(DADOS_INVOC!$QA$144),"",DADOS_INVOC!$QA$144&amp;"")</f>
        <v/>
      </c>
      <c r="C2493" s="198" t="inlineStr">
        <is>
          <t>DADOS_INVOC!QA144</t>
        </is>
      </c>
      <c r="D2493" s="198" t="inlineStr">
        <is>
          <t>resultado</t>
        </is>
      </c>
    </row>
    <row r="2494">
      <c r="A2494" s="198" t="inlineStr">
        <is>
          <t>invocacao.11.ext.3.dano</t>
        </is>
      </c>
      <c r="B2494" s="198">
        <f>IF(ISBLANK(DADOS_INVOC!$QE$144),"",DADOS_INVOC!$QE$144&amp;"")</f>
        <v/>
      </c>
      <c r="C2494" s="198" t="inlineStr">
        <is>
          <t>DADOS_INVOC!QE144</t>
        </is>
      </c>
      <c r="D2494" s="198" t="inlineStr">
        <is>
          <t>resultado</t>
        </is>
      </c>
    </row>
    <row r="2495">
      <c r="A2495" s="198" t="inlineStr">
        <is>
          <t>invocacao.11.ext.3.erros</t>
        </is>
      </c>
      <c r="B2495" s="198">
        <f>IF(ISBLANK(DADOS_INVOC!$PT$144),"",DADOS_INVOC!$PT$144&amp;"")</f>
        <v/>
      </c>
      <c r="C2495" s="198" t="inlineStr">
        <is>
          <t>DADOS_INVOC!PT144</t>
        </is>
      </c>
      <c r="D2495" s="198" t="inlineStr">
        <is>
          <t>aviso</t>
        </is>
      </c>
    </row>
    <row r="2496">
      <c r="A2496" s="198" t="inlineStr">
        <is>
          <t>invocacao.11.ext.3.avisos</t>
        </is>
      </c>
      <c r="B2496" s="198">
        <f>IF(ISBLANK(DADOS_INVOC!$PV$144),"",DADOS_INVOC!$PV$144&amp;"")</f>
        <v/>
      </c>
      <c r="C2496" s="198" t="inlineStr">
        <is>
          <t>DADOS_INVOC!PV144</t>
        </is>
      </c>
      <c r="D2496" s="198" t="inlineStr">
        <is>
          <t>aviso</t>
        </is>
      </c>
    </row>
    <row r="2497">
      <c r="A2497" s="198" t="inlineStr">
        <is>
          <t>invocacao.12.bas.1.classe</t>
        </is>
      </c>
      <c r="B2497" s="198">
        <f>IF(ISBLANK(DADOS_INVOC!$MS$145),"",DADOS_INVOC!$MS$145&amp;"")</f>
        <v/>
      </c>
      <c r="C2497" s="198" t="inlineStr">
        <is>
          <t>DADOS_INVOC!MS145</t>
        </is>
      </c>
      <c r="D2497" s="198" t="inlineStr">
        <is>
          <t>entrada</t>
        </is>
      </c>
    </row>
    <row r="2498">
      <c r="A2498" s="198" t="inlineStr">
        <is>
          <t>invocacao.12.bas.1.nome</t>
        </is>
      </c>
      <c r="B2498" s="198">
        <f>IF(ISBLANK(DADOS_INVOC!$MT$145),"",DADOS_INVOC!$MT$145&amp;"")</f>
        <v/>
      </c>
      <c r="C2498" s="198" t="inlineStr">
        <is>
          <t>DADOS_INVOC!MT145</t>
        </is>
      </c>
      <c r="D2498" s="198" t="inlineStr">
        <is>
          <t>entrada</t>
        </is>
      </c>
    </row>
    <row r="2499">
      <c r="A2499" s="198" t="inlineStr">
        <is>
          <t>invocacao.12.bas.1.forma</t>
        </is>
      </c>
      <c r="B2499" s="198">
        <f>IF(ISBLANK(DADOS_INVOC!$MU$145),"",DADOS_INVOC!$MU$145&amp;"")</f>
        <v/>
      </c>
      <c r="C2499" s="198" t="inlineStr">
        <is>
          <t>DADOS_INVOC!MU145</t>
        </is>
      </c>
      <c r="D2499" s="198" t="inlineStr">
        <is>
          <t>entrada</t>
        </is>
      </c>
    </row>
    <row r="2500">
      <c r="A2500" s="198" t="inlineStr">
        <is>
          <t>invocacao.12.bas.1.pecas</t>
        </is>
      </c>
      <c r="B2500" s="198">
        <f>TEXTJOIN(" · ",TRUE,DADOS_INVOC!$MX$145,DADOS_INVOC!$MY$145,DADOS_INVOC!$MZ$145,DADOS_INVOC!$NA$145)</f>
        <v/>
      </c>
      <c r="C2500" s="198" t="inlineStr">
        <is>
          <t>DADOS_INVOC!MX145 DADOS_INVOC!MY145 DADOS_INVOC!MZ145 DADOS_INVOC!NA145</t>
        </is>
      </c>
      <c r="D2500" s="198" t="inlineStr">
        <is>
          <t>entrada</t>
        </is>
      </c>
    </row>
    <row r="2501">
      <c r="A2501" s="198" t="inlineStr">
        <is>
          <t>invocacao.12.bas.1.restricoes</t>
        </is>
      </c>
      <c r="B2501" s="198">
        <f>TEXTJOIN(" · ",TRUE,DADOS_INVOC!$NB$145,DADOS_INVOC!$NC$145)</f>
        <v/>
      </c>
      <c r="C2501" s="198" t="inlineStr">
        <is>
          <t>DADOS_INVOC!NB145 DADOS_INVOC!NC145</t>
        </is>
      </c>
      <c r="D2501" s="198" t="inlineStr">
        <is>
          <t>entrada</t>
        </is>
      </c>
    </row>
    <row r="2502">
      <c r="A2502" s="198" t="inlineStr">
        <is>
          <t>invocacao.12.bas.1.pe</t>
        </is>
      </c>
      <c r="B2502" s="198">
        <f>IF(ISBLANK(DADOS_INVOC!$QA$145),"",DADOS_INVOC!$QA$145&amp;"")</f>
        <v/>
      </c>
      <c r="C2502" s="198" t="inlineStr">
        <is>
          <t>DADOS_INVOC!QA145</t>
        </is>
      </c>
      <c r="D2502" s="198" t="inlineStr">
        <is>
          <t>resultado</t>
        </is>
      </c>
    </row>
    <row r="2503">
      <c r="A2503" s="198" t="inlineStr">
        <is>
          <t>invocacao.12.bas.1.dano</t>
        </is>
      </c>
      <c r="B2503" s="198">
        <f>IF(ISBLANK(DADOS_INVOC!$QE$145),"",DADOS_INVOC!$QE$145&amp;"")</f>
        <v/>
      </c>
      <c r="C2503" s="198" t="inlineStr">
        <is>
          <t>DADOS_INVOC!QE145</t>
        </is>
      </c>
      <c r="D2503" s="198" t="inlineStr">
        <is>
          <t>resultado</t>
        </is>
      </c>
    </row>
    <row r="2504">
      <c r="A2504" s="198" t="inlineStr">
        <is>
          <t>invocacao.12.bas.1.erros</t>
        </is>
      </c>
      <c r="B2504" s="198">
        <f>IF(ISBLANK(DADOS_INVOC!$PT$145),"",DADOS_INVOC!$PT$145&amp;"")</f>
        <v/>
      </c>
      <c r="C2504" s="198" t="inlineStr">
        <is>
          <t>DADOS_INVOC!PT145</t>
        </is>
      </c>
      <c r="D2504" s="198" t="inlineStr">
        <is>
          <t>aviso</t>
        </is>
      </c>
    </row>
    <row r="2505">
      <c r="A2505" s="198" t="inlineStr">
        <is>
          <t>invocacao.12.bas.1.avisos</t>
        </is>
      </c>
      <c r="B2505" s="198">
        <f>IF(ISBLANK(DADOS_INVOC!$PV$145),"",DADOS_INVOC!$PV$145&amp;"")</f>
        <v/>
      </c>
      <c r="C2505" s="198" t="inlineStr">
        <is>
          <t>DADOS_INVOC!PV145</t>
        </is>
      </c>
      <c r="D2505" s="198" t="inlineStr">
        <is>
          <t>aviso</t>
        </is>
      </c>
    </row>
    <row r="2506">
      <c r="A2506" s="198" t="inlineStr">
        <is>
          <t>invocacao.12.esp.1.classe</t>
        </is>
      </c>
      <c r="B2506" s="198">
        <f>IF(ISBLANK(DADOS_INVOC!$MS$146),"",DADOS_INVOC!$MS$146&amp;"")</f>
        <v/>
      </c>
      <c r="C2506" s="198" t="inlineStr">
        <is>
          <t>DADOS_INVOC!MS146</t>
        </is>
      </c>
      <c r="D2506" s="198" t="inlineStr">
        <is>
          <t>entrada</t>
        </is>
      </c>
    </row>
    <row r="2507">
      <c r="A2507" s="198" t="inlineStr">
        <is>
          <t>invocacao.12.esp.1.nome</t>
        </is>
      </c>
      <c r="B2507" s="198">
        <f>IF(ISBLANK(DADOS_INVOC!$MT$146),"",DADOS_INVOC!$MT$146&amp;"")</f>
        <v/>
      </c>
      <c r="C2507" s="198" t="inlineStr">
        <is>
          <t>DADOS_INVOC!MT146</t>
        </is>
      </c>
      <c r="D2507" s="198" t="inlineStr">
        <is>
          <t>entrada</t>
        </is>
      </c>
    </row>
    <row r="2508">
      <c r="A2508" s="198" t="inlineStr">
        <is>
          <t>invocacao.12.esp.1.forma</t>
        </is>
      </c>
      <c r="B2508" s="198">
        <f>IF(ISBLANK(DADOS_INVOC!$MU$146),"",DADOS_INVOC!$MU$146&amp;"")</f>
        <v/>
      </c>
      <c r="C2508" s="198" t="inlineStr">
        <is>
          <t>DADOS_INVOC!MU146</t>
        </is>
      </c>
      <c r="D2508" s="198" t="inlineStr">
        <is>
          <t>entrada</t>
        </is>
      </c>
    </row>
    <row r="2509">
      <c r="A2509" s="198" t="inlineStr">
        <is>
          <t>invocacao.12.esp.1.pecas</t>
        </is>
      </c>
      <c r="B2509" s="198">
        <f>TEXTJOIN(" · ",TRUE,DADOS_INVOC!$MX$146,DADOS_INVOC!$MY$146,DADOS_INVOC!$MZ$146,DADOS_INVOC!$NA$146)</f>
        <v/>
      </c>
      <c r="C2509" s="198" t="inlineStr">
        <is>
          <t>DADOS_INVOC!MX146 DADOS_INVOC!MY146 DADOS_INVOC!MZ146 DADOS_INVOC!NA146</t>
        </is>
      </c>
      <c r="D2509" s="198" t="inlineStr">
        <is>
          <t>entrada</t>
        </is>
      </c>
    </row>
    <row r="2510">
      <c r="A2510" s="198" t="inlineStr">
        <is>
          <t>invocacao.12.esp.1.restricoes</t>
        </is>
      </c>
      <c r="B2510" s="198">
        <f>TEXTJOIN(" · ",TRUE,DADOS_INVOC!$NB$146,DADOS_INVOC!$NC$146)</f>
        <v/>
      </c>
      <c r="C2510" s="198" t="inlineStr">
        <is>
          <t>DADOS_INVOC!NB146 DADOS_INVOC!NC146</t>
        </is>
      </c>
      <c r="D2510" s="198" t="inlineStr">
        <is>
          <t>entrada</t>
        </is>
      </c>
    </row>
    <row r="2511">
      <c r="A2511" s="198" t="inlineStr">
        <is>
          <t>invocacao.12.esp.1.pe</t>
        </is>
      </c>
      <c r="B2511" s="198">
        <f>IF(ISBLANK(DADOS_INVOC!$QA$146),"",DADOS_INVOC!$QA$146&amp;"")</f>
        <v/>
      </c>
      <c r="C2511" s="198" t="inlineStr">
        <is>
          <t>DADOS_INVOC!QA146</t>
        </is>
      </c>
      <c r="D2511" s="198" t="inlineStr">
        <is>
          <t>resultado</t>
        </is>
      </c>
    </row>
    <row r="2512">
      <c r="A2512" s="198" t="inlineStr">
        <is>
          <t>invocacao.12.esp.1.dano</t>
        </is>
      </c>
      <c r="B2512" s="198">
        <f>IF(ISBLANK(DADOS_INVOC!$QE$146),"",DADOS_INVOC!$QE$146&amp;"")</f>
        <v/>
      </c>
      <c r="C2512" s="198" t="inlineStr">
        <is>
          <t>DADOS_INVOC!QE146</t>
        </is>
      </c>
      <c r="D2512" s="198" t="inlineStr">
        <is>
          <t>resultado</t>
        </is>
      </c>
    </row>
    <row r="2513">
      <c r="A2513" s="198" t="inlineStr">
        <is>
          <t>invocacao.12.esp.1.erros</t>
        </is>
      </c>
      <c r="B2513" s="198">
        <f>IF(ISBLANK(DADOS_INVOC!$PT$146),"",DADOS_INVOC!$PT$146&amp;"")</f>
        <v/>
      </c>
      <c r="C2513" s="198" t="inlineStr">
        <is>
          <t>DADOS_INVOC!PT146</t>
        </is>
      </c>
      <c r="D2513" s="198" t="inlineStr">
        <is>
          <t>aviso</t>
        </is>
      </c>
    </row>
    <row r="2514">
      <c r="A2514" s="198" t="inlineStr">
        <is>
          <t>invocacao.12.esp.1.avisos</t>
        </is>
      </c>
      <c r="B2514" s="198">
        <f>IF(ISBLANK(DADOS_INVOC!$PV$146),"",DADOS_INVOC!$PV$146&amp;"")</f>
        <v/>
      </c>
      <c r="C2514" s="198" t="inlineStr">
        <is>
          <t>DADOS_INVOC!PV146</t>
        </is>
      </c>
      <c r="D2514" s="198" t="inlineStr">
        <is>
          <t>aviso</t>
        </is>
      </c>
    </row>
    <row r="2515">
      <c r="A2515" s="198" t="inlineStr">
        <is>
          <t>invocacao.12.esp.2.classe</t>
        </is>
      </c>
      <c r="B2515" s="198">
        <f>IF(ISBLANK(DADOS_INVOC!$MS$147),"",DADOS_INVOC!$MS$147&amp;"")</f>
        <v/>
      </c>
      <c r="C2515" s="198" t="inlineStr">
        <is>
          <t>DADOS_INVOC!MS147</t>
        </is>
      </c>
      <c r="D2515" s="198" t="inlineStr">
        <is>
          <t>entrada</t>
        </is>
      </c>
    </row>
    <row r="2516">
      <c r="A2516" s="198" t="inlineStr">
        <is>
          <t>invocacao.12.esp.2.nome</t>
        </is>
      </c>
      <c r="B2516" s="198">
        <f>IF(ISBLANK(DADOS_INVOC!$MT$147),"",DADOS_INVOC!$MT$147&amp;"")</f>
        <v/>
      </c>
      <c r="C2516" s="198" t="inlineStr">
        <is>
          <t>DADOS_INVOC!MT147</t>
        </is>
      </c>
      <c r="D2516" s="198" t="inlineStr">
        <is>
          <t>entrada</t>
        </is>
      </c>
    </row>
    <row r="2517">
      <c r="A2517" s="198" t="inlineStr">
        <is>
          <t>invocacao.12.esp.2.forma</t>
        </is>
      </c>
      <c r="B2517" s="198">
        <f>IF(ISBLANK(DADOS_INVOC!$MU$147),"",DADOS_INVOC!$MU$147&amp;"")</f>
        <v/>
      </c>
      <c r="C2517" s="198" t="inlineStr">
        <is>
          <t>DADOS_INVOC!MU147</t>
        </is>
      </c>
      <c r="D2517" s="198" t="inlineStr">
        <is>
          <t>entrada</t>
        </is>
      </c>
    </row>
    <row r="2518">
      <c r="A2518" s="198" t="inlineStr">
        <is>
          <t>invocacao.12.esp.2.pecas</t>
        </is>
      </c>
      <c r="B2518" s="198">
        <f>TEXTJOIN(" · ",TRUE,DADOS_INVOC!$MX$147,DADOS_INVOC!$MY$147,DADOS_INVOC!$MZ$147,DADOS_INVOC!$NA$147)</f>
        <v/>
      </c>
      <c r="C2518" s="198" t="inlineStr">
        <is>
          <t>DADOS_INVOC!MX147 DADOS_INVOC!MY147 DADOS_INVOC!MZ147 DADOS_INVOC!NA147</t>
        </is>
      </c>
      <c r="D2518" s="198" t="inlineStr">
        <is>
          <t>entrada</t>
        </is>
      </c>
    </row>
    <row r="2519">
      <c r="A2519" s="198" t="inlineStr">
        <is>
          <t>invocacao.12.esp.2.restricoes</t>
        </is>
      </c>
      <c r="B2519" s="198">
        <f>TEXTJOIN(" · ",TRUE,DADOS_INVOC!$NB$147,DADOS_INVOC!$NC$147)</f>
        <v/>
      </c>
      <c r="C2519" s="198" t="inlineStr">
        <is>
          <t>DADOS_INVOC!NB147 DADOS_INVOC!NC147</t>
        </is>
      </c>
      <c r="D2519" s="198" t="inlineStr">
        <is>
          <t>entrada</t>
        </is>
      </c>
    </row>
    <row r="2520">
      <c r="A2520" s="198" t="inlineStr">
        <is>
          <t>invocacao.12.esp.2.pe</t>
        </is>
      </c>
      <c r="B2520" s="198">
        <f>IF(ISBLANK(DADOS_INVOC!$QA$147),"",DADOS_INVOC!$QA$147&amp;"")</f>
        <v/>
      </c>
      <c r="C2520" s="198" t="inlineStr">
        <is>
          <t>DADOS_INVOC!QA147</t>
        </is>
      </c>
      <c r="D2520" s="198" t="inlineStr">
        <is>
          <t>resultado</t>
        </is>
      </c>
    </row>
    <row r="2521">
      <c r="A2521" s="198" t="inlineStr">
        <is>
          <t>invocacao.12.esp.2.dano</t>
        </is>
      </c>
      <c r="B2521" s="198">
        <f>IF(ISBLANK(DADOS_INVOC!$QE$147),"",DADOS_INVOC!$QE$147&amp;"")</f>
        <v/>
      </c>
      <c r="C2521" s="198" t="inlineStr">
        <is>
          <t>DADOS_INVOC!QE147</t>
        </is>
      </c>
      <c r="D2521" s="198" t="inlineStr">
        <is>
          <t>resultado</t>
        </is>
      </c>
    </row>
    <row r="2522">
      <c r="A2522" s="198" t="inlineStr">
        <is>
          <t>invocacao.12.esp.2.erros</t>
        </is>
      </c>
      <c r="B2522" s="198">
        <f>IF(ISBLANK(DADOS_INVOC!$PT$147),"",DADOS_INVOC!$PT$147&amp;"")</f>
        <v/>
      </c>
      <c r="C2522" s="198" t="inlineStr">
        <is>
          <t>DADOS_INVOC!PT147</t>
        </is>
      </c>
      <c r="D2522" s="198" t="inlineStr">
        <is>
          <t>aviso</t>
        </is>
      </c>
    </row>
    <row r="2523">
      <c r="A2523" s="198" t="inlineStr">
        <is>
          <t>invocacao.12.esp.2.avisos</t>
        </is>
      </c>
      <c r="B2523" s="198">
        <f>IF(ISBLANK(DADOS_INVOC!$PV$147),"",DADOS_INVOC!$PV$147&amp;"")</f>
        <v/>
      </c>
      <c r="C2523" s="198" t="inlineStr">
        <is>
          <t>DADOS_INVOC!PV147</t>
        </is>
      </c>
      <c r="D2523" s="198" t="inlineStr">
        <is>
          <t>aviso</t>
        </is>
      </c>
    </row>
    <row r="2524">
      <c r="A2524" s="198" t="inlineStr">
        <is>
          <t>invocacao.12.bas.2.classe</t>
        </is>
      </c>
      <c r="B2524" s="198">
        <f>IF(ISBLANK(DADOS_INVOC!$MS$148),"",DADOS_INVOC!$MS$148&amp;"")</f>
        <v/>
      </c>
      <c r="C2524" s="198" t="inlineStr">
        <is>
          <t>DADOS_INVOC!MS148</t>
        </is>
      </c>
      <c r="D2524" s="198" t="inlineStr">
        <is>
          <t>entrada</t>
        </is>
      </c>
    </row>
    <row r="2525">
      <c r="A2525" s="198" t="inlineStr">
        <is>
          <t>invocacao.12.bas.2.nome</t>
        </is>
      </c>
      <c r="B2525" s="198">
        <f>IF(ISBLANK(DADOS_INVOC!$MT$148),"",DADOS_INVOC!$MT$148&amp;"")</f>
        <v/>
      </c>
      <c r="C2525" s="198" t="inlineStr">
        <is>
          <t>DADOS_INVOC!MT148</t>
        </is>
      </c>
      <c r="D2525" s="198" t="inlineStr">
        <is>
          <t>entrada</t>
        </is>
      </c>
    </row>
    <row r="2526">
      <c r="A2526" s="198" t="inlineStr">
        <is>
          <t>invocacao.12.bas.2.forma</t>
        </is>
      </c>
      <c r="B2526" s="198">
        <f>IF(ISBLANK(DADOS_INVOC!$MU$148),"",DADOS_INVOC!$MU$148&amp;"")</f>
        <v/>
      </c>
      <c r="C2526" s="198" t="inlineStr">
        <is>
          <t>DADOS_INVOC!MU148</t>
        </is>
      </c>
      <c r="D2526" s="198" t="inlineStr">
        <is>
          <t>entrada</t>
        </is>
      </c>
    </row>
    <row r="2527">
      <c r="A2527" s="198" t="inlineStr">
        <is>
          <t>invocacao.12.bas.2.pecas</t>
        </is>
      </c>
      <c r="B2527" s="198">
        <f>TEXTJOIN(" · ",TRUE,DADOS_INVOC!$MX$148,DADOS_INVOC!$MY$148,DADOS_INVOC!$MZ$148,DADOS_INVOC!$NA$148)</f>
        <v/>
      </c>
      <c r="C2527" s="198" t="inlineStr">
        <is>
          <t>DADOS_INVOC!MX148 DADOS_INVOC!MY148 DADOS_INVOC!MZ148 DADOS_INVOC!NA148</t>
        </is>
      </c>
      <c r="D2527" s="198" t="inlineStr">
        <is>
          <t>entrada</t>
        </is>
      </c>
    </row>
    <row r="2528">
      <c r="A2528" s="198" t="inlineStr">
        <is>
          <t>invocacao.12.bas.2.restricoes</t>
        </is>
      </c>
      <c r="B2528" s="198">
        <f>TEXTJOIN(" · ",TRUE,DADOS_INVOC!$NB$148,DADOS_INVOC!$NC$148)</f>
        <v/>
      </c>
      <c r="C2528" s="198" t="inlineStr">
        <is>
          <t>DADOS_INVOC!NB148 DADOS_INVOC!NC148</t>
        </is>
      </c>
      <c r="D2528" s="198" t="inlineStr">
        <is>
          <t>entrada</t>
        </is>
      </c>
    </row>
    <row r="2529">
      <c r="A2529" s="198" t="inlineStr">
        <is>
          <t>invocacao.12.bas.2.pe</t>
        </is>
      </c>
      <c r="B2529" s="198">
        <f>IF(ISBLANK(DADOS_INVOC!$QA$148),"",DADOS_INVOC!$QA$148&amp;"")</f>
        <v/>
      </c>
      <c r="C2529" s="198" t="inlineStr">
        <is>
          <t>DADOS_INVOC!QA148</t>
        </is>
      </c>
      <c r="D2529" s="198" t="inlineStr">
        <is>
          <t>resultado</t>
        </is>
      </c>
    </row>
    <row r="2530">
      <c r="A2530" s="198" t="inlineStr">
        <is>
          <t>invocacao.12.bas.2.dano</t>
        </is>
      </c>
      <c r="B2530" s="198">
        <f>IF(ISBLANK(DADOS_INVOC!$QE$148),"",DADOS_INVOC!$QE$148&amp;"")</f>
        <v/>
      </c>
      <c r="C2530" s="198" t="inlineStr">
        <is>
          <t>DADOS_INVOC!QE148</t>
        </is>
      </c>
      <c r="D2530" s="198" t="inlineStr">
        <is>
          <t>resultado</t>
        </is>
      </c>
    </row>
    <row r="2531">
      <c r="A2531" s="198" t="inlineStr">
        <is>
          <t>invocacao.12.bas.2.erros</t>
        </is>
      </c>
      <c r="B2531" s="198">
        <f>IF(ISBLANK(DADOS_INVOC!$PT$148),"",DADOS_INVOC!$PT$148&amp;"")</f>
        <v/>
      </c>
      <c r="C2531" s="198" t="inlineStr">
        <is>
          <t>DADOS_INVOC!PT148</t>
        </is>
      </c>
      <c r="D2531" s="198" t="inlineStr">
        <is>
          <t>aviso</t>
        </is>
      </c>
    </row>
    <row r="2532">
      <c r="A2532" s="198" t="inlineStr">
        <is>
          <t>invocacao.12.bas.2.avisos</t>
        </is>
      </c>
      <c r="B2532" s="198">
        <f>IF(ISBLANK(DADOS_INVOC!$PV$148),"",DADOS_INVOC!$PV$148&amp;"")</f>
        <v/>
      </c>
      <c r="C2532" s="198" t="inlineStr">
        <is>
          <t>DADOS_INVOC!PV148</t>
        </is>
      </c>
      <c r="D2532" s="198" t="inlineStr">
        <is>
          <t>aviso</t>
        </is>
      </c>
    </row>
    <row r="2533">
      <c r="A2533" s="198" t="inlineStr">
        <is>
          <t>invocacao.12.esp.3.classe</t>
        </is>
      </c>
      <c r="B2533" s="198">
        <f>IF(ISBLANK(DADOS_INVOC!$MS$149),"",DADOS_INVOC!$MS$149&amp;"")</f>
        <v/>
      </c>
      <c r="C2533" s="198" t="inlineStr">
        <is>
          <t>DADOS_INVOC!MS149</t>
        </is>
      </c>
      <c r="D2533" s="198" t="inlineStr">
        <is>
          <t>entrada</t>
        </is>
      </c>
    </row>
    <row r="2534">
      <c r="A2534" s="198" t="inlineStr">
        <is>
          <t>invocacao.12.esp.3.nome</t>
        </is>
      </c>
      <c r="B2534" s="198">
        <f>IF(ISBLANK(DADOS_INVOC!$MT$149),"",DADOS_INVOC!$MT$149&amp;"")</f>
        <v/>
      </c>
      <c r="C2534" s="198" t="inlineStr">
        <is>
          <t>DADOS_INVOC!MT149</t>
        </is>
      </c>
      <c r="D2534" s="198" t="inlineStr">
        <is>
          <t>entrada</t>
        </is>
      </c>
    </row>
    <row r="2535">
      <c r="A2535" s="198" t="inlineStr">
        <is>
          <t>invocacao.12.esp.3.forma</t>
        </is>
      </c>
      <c r="B2535" s="198">
        <f>IF(ISBLANK(DADOS_INVOC!$MU$149),"",DADOS_INVOC!$MU$149&amp;"")</f>
        <v/>
      </c>
      <c r="C2535" s="198" t="inlineStr">
        <is>
          <t>DADOS_INVOC!MU149</t>
        </is>
      </c>
      <c r="D2535" s="198" t="inlineStr">
        <is>
          <t>entrada</t>
        </is>
      </c>
    </row>
    <row r="2536">
      <c r="A2536" s="198" t="inlineStr">
        <is>
          <t>invocacao.12.esp.3.pecas</t>
        </is>
      </c>
      <c r="B2536" s="198">
        <f>TEXTJOIN(" · ",TRUE,DADOS_INVOC!$MX$149,DADOS_INVOC!$MY$149,DADOS_INVOC!$MZ$149,DADOS_INVOC!$NA$149)</f>
        <v/>
      </c>
      <c r="C2536" s="198" t="inlineStr">
        <is>
          <t>DADOS_INVOC!MX149 DADOS_INVOC!MY149 DADOS_INVOC!MZ149 DADOS_INVOC!NA149</t>
        </is>
      </c>
      <c r="D2536" s="198" t="inlineStr">
        <is>
          <t>entrada</t>
        </is>
      </c>
    </row>
    <row r="2537">
      <c r="A2537" s="198" t="inlineStr">
        <is>
          <t>invocacao.12.esp.3.restricoes</t>
        </is>
      </c>
      <c r="B2537" s="198">
        <f>TEXTJOIN(" · ",TRUE,DADOS_INVOC!$NB$149,DADOS_INVOC!$NC$149)</f>
        <v/>
      </c>
      <c r="C2537" s="198" t="inlineStr">
        <is>
          <t>DADOS_INVOC!NB149 DADOS_INVOC!NC149</t>
        </is>
      </c>
      <c r="D2537" s="198" t="inlineStr">
        <is>
          <t>entrada</t>
        </is>
      </c>
    </row>
    <row r="2538">
      <c r="A2538" s="198" t="inlineStr">
        <is>
          <t>invocacao.12.esp.3.pe</t>
        </is>
      </c>
      <c r="B2538" s="198">
        <f>IF(ISBLANK(DADOS_INVOC!$QA$149),"",DADOS_INVOC!$QA$149&amp;"")</f>
        <v/>
      </c>
      <c r="C2538" s="198" t="inlineStr">
        <is>
          <t>DADOS_INVOC!QA149</t>
        </is>
      </c>
      <c r="D2538" s="198" t="inlineStr">
        <is>
          <t>resultado</t>
        </is>
      </c>
    </row>
    <row r="2539">
      <c r="A2539" s="198" t="inlineStr">
        <is>
          <t>invocacao.12.esp.3.dano</t>
        </is>
      </c>
      <c r="B2539" s="198">
        <f>IF(ISBLANK(DADOS_INVOC!$QE$149),"",DADOS_INVOC!$QE$149&amp;"")</f>
        <v/>
      </c>
      <c r="C2539" s="198" t="inlineStr">
        <is>
          <t>DADOS_INVOC!QE149</t>
        </is>
      </c>
      <c r="D2539" s="198" t="inlineStr">
        <is>
          <t>resultado</t>
        </is>
      </c>
    </row>
    <row r="2540">
      <c r="A2540" s="198" t="inlineStr">
        <is>
          <t>invocacao.12.esp.3.erros</t>
        </is>
      </c>
      <c r="B2540" s="198">
        <f>IF(ISBLANK(DADOS_INVOC!$PT$149),"",DADOS_INVOC!$PT$149&amp;"")</f>
        <v/>
      </c>
      <c r="C2540" s="198" t="inlineStr">
        <is>
          <t>DADOS_INVOC!PT149</t>
        </is>
      </c>
      <c r="D2540" s="198" t="inlineStr">
        <is>
          <t>aviso</t>
        </is>
      </c>
    </row>
    <row r="2541">
      <c r="A2541" s="198" t="inlineStr">
        <is>
          <t>invocacao.12.esp.3.avisos</t>
        </is>
      </c>
      <c r="B2541" s="198">
        <f>IF(ISBLANK(DADOS_INVOC!$PV$149),"",DADOS_INVOC!$PV$149&amp;"")</f>
        <v/>
      </c>
      <c r="C2541" s="198" t="inlineStr">
        <is>
          <t>DADOS_INVOC!PV149</t>
        </is>
      </c>
      <c r="D2541" s="198" t="inlineStr">
        <is>
          <t>aviso</t>
        </is>
      </c>
    </row>
    <row r="2542">
      <c r="A2542" s="198" t="inlineStr">
        <is>
          <t>invocacao.12.esp.4.classe</t>
        </is>
      </c>
      <c r="B2542" s="198">
        <f>IF(ISBLANK(DADOS_INVOC!$MS$150),"",DADOS_INVOC!$MS$150&amp;"")</f>
        <v/>
      </c>
      <c r="C2542" s="198" t="inlineStr">
        <is>
          <t>DADOS_INVOC!MS150</t>
        </is>
      </c>
      <c r="D2542" s="198" t="inlineStr">
        <is>
          <t>entrada</t>
        </is>
      </c>
    </row>
    <row r="2543">
      <c r="A2543" s="198" t="inlineStr">
        <is>
          <t>invocacao.12.esp.4.nome</t>
        </is>
      </c>
      <c r="B2543" s="198">
        <f>IF(ISBLANK(DADOS_INVOC!$MT$150),"",DADOS_INVOC!$MT$150&amp;"")</f>
        <v/>
      </c>
      <c r="C2543" s="198" t="inlineStr">
        <is>
          <t>DADOS_INVOC!MT150</t>
        </is>
      </c>
      <c r="D2543" s="198" t="inlineStr">
        <is>
          <t>entrada</t>
        </is>
      </c>
    </row>
    <row r="2544">
      <c r="A2544" s="198" t="inlineStr">
        <is>
          <t>invocacao.12.esp.4.forma</t>
        </is>
      </c>
      <c r="B2544" s="198">
        <f>IF(ISBLANK(DADOS_INVOC!$MU$150),"",DADOS_INVOC!$MU$150&amp;"")</f>
        <v/>
      </c>
      <c r="C2544" s="198" t="inlineStr">
        <is>
          <t>DADOS_INVOC!MU150</t>
        </is>
      </c>
      <c r="D2544" s="198" t="inlineStr">
        <is>
          <t>entrada</t>
        </is>
      </c>
    </row>
    <row r="2545">
      <c r="A2545" s="198" t="inlineStr">
        <is>
          <t>invocacao.12.esp.4.pecas</t>
        </is>
      </c>
      <c r="B2545" s="198">
        <f>TEXTJOIN(" · ",TRUE,DADOS_INVOC!$MX$150,DADOS_INVOC!$MY$150,DADOS_INVOC!$MZ$150,DADOS_INVOC!$NA$150)</f>
        <v/>
      </c>
      <c r="C2545" s="198" t="inlineStr">
        <is>
          <t>DADOS_INVOC!MX150 DADOS_INVOC!MY150 DADOS_INVOC!MZ150 DADOS_INVOC!NA150</t>
        </is>
      </c>
      <c r="D2545" s="198" t="inlineStr">
        <is>
          <t>entrada</t>
        </is>
      </c>
    </row>
    <row r="2546">
      <c r="A2546" s="198" t="inlineStr">
        <is>
          <t>invocacao.12.esp.4.restricoes</t>
        </is>
      </c>
      <c r="B2546" s="198">
        <f>TEXTJOIN(" · ",TRUE,DADOS_INVOC!$NB$150,DADOS_INVOC!$NC$150)</f>
        <v/>
      </c>
      <c r="C2546" s="198" t="inlineStr">
        <is>
          <t>DADOS_INVOC!NB150 DADOS_INVOC!NC150</t>
        </is>
      </c>
      <c r="D2546" s="198" t="inlineStr">
        <is>
          <t>entrada</t>
        </is>
      </c>
    </row>
    <row r="2547">
      <c r="A2547" s="198" t="inlineStr">
        <is>
          <t>invocacao.12.esp.4.pe</t>
        </is>
      </c>
      <c r="B2547" s="198">
        <f>IF(ISBLANK(DADOS_INVOC!$QA$150),"",DADOS_INVOC!$QA$150&amp;"")</f>
        <v/>
      </c>
      <c r="C2547" s="198" t="inlineStr">
        <is>
          <t>DADOS_INVOC!QA150</t>
        </is>
      </c>
      <c r="D2547" s="198" t="inlineStr">
        <is>
          <t>resultado</t>
        </is>
      </c>
    </row>
    <row r="2548">
      <c r="A2548" s="198" t="inlineStr">
        <is>
          <t>invocacao.12.esp.4.dano</t>
        </is>
      </c>
      <c r="B2548" s="198">
        <f>IF(ISBLANK(DADOS_INVOC!$QE$150),"",DADOS_INVOC!$QE$150&amp;"")</f>
        <v/>
      </c>
      <c r="C2548" s="198" t="inlineStr">
        <is>
          <t>DADOS_INVOC!QE150</t>
        </is>
      </c>
      <c r="D2548" s="198" t="inlineStr">
        <is>
          <t>resultado</t>
        </is>
      </c>
    </row>
    <row r="2549">
      <c r="A2549" s="198" t="inlineStr">
        <is>
          <t>invocacao.12.esp.4.erros</t>
        </is>
      </c>
      <c r="B2549" s="198">
        <f>IF(ISBLANK(DADOS_INVOC!$PT$150),"",DADOS_INVOC!$PT$150&amp;"")</f>
        <v/>
      </c>
      <c r="C2549" s="198" t="inlineStr">
        <is>
          <t>DADOS_INVOC!PT150</t>
        </is>
      </c>
      <c r="D2549" s="198" t="inlineStr">
        <is>
          <t>aviso</t>
        </is>
      </c>
    </row>
    <row r="2550">
      <c r="A2550" s="198" t="inlineStr">
        <is>
          <t>invocacao.12.esp.4.avisos</t>
        </is>
      </c>
      <c r="B2550" s="198">
        <f>IF(ISBLANK(DADOS_INVOC!$PV$150),"",DADOS_INVOC!$PV$150&amp;"")</f>
        <v/>
      </c>
      <c r="C2550" s="198" t="inlineStr">
        <is>
          <t>DADOS_INVOC!PV150</t>
        </is>
      </c>
      <c r="D2550" s="198" t="inlineStr">
        <is>
          <t>aviso</t>
        </is>
      </c>
    </row>
    <row r="2551">
      <c r="A2551" s="198" t="inlineStr">
        <is>
          <t>invocacao.12.esp.5.classe</t>
        </is>
      </c>
      <c r="B2551" s="198">
        <f>IF(ISBLANK(DADOS_INVOC!$MS$151),"",DADOS_INVOC!$MS$151&amp;"")</f>
        <v/>
      </c>
      <c r="C2551" s="198" t="inlineStr">
        <is>
          <t>DADOS_INVOC!MS151</t>
        </is>
      </c>
      <c r="D2551" s="198" t="inlineStr">
        <is>
          <t>entrada</t>
        </is>
      </c>
    </row>
    <row r="2552">
      <c r="A2552" s="198" t="inlineStr">
        <is>
          <t>invocacao.12.esp.5.nome</t>
        </is>
      </c>
      <c r="B2552" s="198">
        <f>IF(ISBLANK(DADOS_INVOC!$MT$151),"",DADOS_INVOC!$MT$151&amp;"")</f>
        <v/>
      </c>
      <c r="C2552" s="198" t="inlineStr">
        <is>
          <t>DADOS_INVOC!MT151</t>
        </is>
      </c>
      <c r="D2552" s="198" t="inlineStr">
        <is>
          <t>entrada</t>
        </is>
      </c>
    </row>
    <row r="2553">
      <c r="A2553" s="198" t="inlineStr">
        <is>
          <t>invocacao.12.esp.5.forma</t>
        </is>
      </c>
      <c r="B2553" s="198">
        <f>IF(ISBLANK(DADOS_INVOC!$MU$151),"",DADOS_INVOC!$MU$151&amp;"")</f>
        <v/>
      </c>
      <c r="C2553" s="198" t="inlineStr">
        <is>
          <t>DADOS_INVOC!MU151</t>
        </is>
      </c>
      <c r="D2553" s="198" t="inlineStr">
        <is>
          <t>entrada</t>
        </is>
      </c>
    </row>
    <row r="2554">
      <c r="A2554" s="198" t="inlineStr">
        <is>
          <t>invocacao.12.esp.5.pecas</t>
        </is>
      </c>
      <c r="B2554" s="198">
        <f>TEXTJOIN(" · ",TRUE,DADOS_INVOC!$MX$151,DADOS_INVOC!$MY$151,DADOS_INVOC!$MZ$151,DADOS_INVOC!$NA$151)</f>
        <v/>
      </c>
      <c r="C2554" s="198" t="inlineStr">
        <is>
          <t>DADOS_INVOC!MX151 DADOS_INVOC!MY151 DADOS_INVOC!MZ151 DADOS_INVOC!NA151</t>
        </is>
      </c>
      <c r="D2554" s="198" t="inlineStr">
        <is>
          <t>entrada</t>
        </is>
      </c>
    </row>
    <row r="2555">
      <c r="A2555" s="198" t="inlineStr">
        <is>
          <t>invocacao.12.esp.5.restricoes</t>
        </is>
      </c>
      <c r="B2555" s="198">
        <f>TEXTJOIN(" · ",TRUE,DADOS_INVOC!$NB$151,DADOS_INVOC!$NC$151)</f>
        <v/>
      </c>
      <c r="C2555" s="198" t="inlineStr">
        <is>
          <t>DADOS_INVOC!NB151 DADOS_INVOC!NC151</t>
        </is>
      </c>
      <c r="D2555" s="198" t="inlineStr">
        <is>
          <t>entrada</t>
        </is>
      </c>
    </row>
    <row r="2556">
      <c r="A2556" s="198" t="inlineStr">
        <is>
          <t>invocacao.12.esp.5.pe</t>
        </is>
      </c>
      <c r="B2556" s="198">
        <f>IF(ISBLANK(DADOS_INVOC!$QA$151),"",DADOS_INVOC!$QA$151&amp;"")</f>
        <v/>
      </c>
      <c r="C2556" s="198" t="inlineStr">
        <is>
          <t>DADOS_INVOC!QA151</t>
        </is>
      </c>
      <c r="D2556" s="198" t="inlineStr">
        <is>
          <t>resultado</t>
        </is>
      </c>
    </row>
    <row r="2557">
      <c r="A2557" s="198" t="inlineStr">
        <is>
          <t>invocacao.12.esp.5.dano</t>
        </is>
      </c>
      <c r="B2557" s="198">
        <f>IF(ISBLANK(DADOS_INVOC!$QE$151),"",DADOS_INVOC!$QE$151&amp;"")</f>
        <v/>
      </c>
      <c r="C2557" s="198" t="inlineStr">
        <is>
          <t>DADOS_INVOC!QE151</t>
        </is>
      </c>
      <c r="D2557" s="198" t="inlineStr">
        <is>
          <t>resultado</t>
        </is>
      </c>
    </row>
    <row r="2558">
      <c r="A2558" s="198" t="inlineStr">
        <is>
          <t>invocacao.12.esp.5.erros</t>
        </is>
      </c>
      <c r="B2558" s="198">
        <f>IF(ISBLANK(DADOS_INVOC!$PT$151),"",DADOS_INVOC!$PT$151&amp;"")</f>
        <v/>
      </c>
      <c r="C2558" s="198" t="inlineStr">
        <is>
          <t>DADOS_INVOC!PT151</t>
        </is>
      </c>
      <c r="D2558" s="198" t="inlineStr">
        <is>
          <t>aviso</t>
        </is>
      </c>
    </row>
    <row r="2559">
      <c r="A2559" s="198" t="inlineStr">
        <is>
          <t>invocacao.12.esp.5.avisos</t>
        </is>
      </c>
      <c r="B2559" s="198">
        <f>IF(ISBLANK(DADOS_INVOC!$PV$151),"",DADOS_INVOC!$PV$151&amp;"")</f>
        <v/>
      </c>
      <c r="C2559" s="198" t="inlineStr">
        <is>
          <t>DADOS_INVOC!PV151</t>
        </is>
      </c>
      <c r="D2559" s="198" t="inlineStr">
        <is>
          <t>aviso</t>
        </is>
      </c>
    </row>
    <row r="2560">
      <c r="A2560" s="198" t="inlineStr">
        <is>
          <t>invocacao.12.esp.6.classe</t>
        </is>
      </c>
      <c r="B2560" s="198">
        <f>IF(ISBLANK(DADOS_INVOC!$MS$152),"",DADOS_INVOC!$MS$152&amp;"")</f>
        <v/>
      </c>
      <c r="C2560" s="198" t="inlineStr">
        <is>
          <t>DADOS_INVOC!MS152</t>
        </is>
      </c>
      <c r="D2560" s="198" t="inlineStr">
        <is>
          <t>entrada</t>
        </is>
      </c>
    </row>
    <row r="2561">
      <c r="A2561" s="198" t="inlineStr">
        <is>
          <t>invocacao.12.esp.6.nome</t>
        </is>
      </c>
      <c r="B2561" s="198">
        <f>IF(ISBLANK(DADOS_INVOC!$MT$152),"",DADOS_INVOC!$MT$152&amp;"")</f>
        <v/>
      </c>
      <c r="C2561" s="198" t="inlineStr">
        <is>
          <t>DADOS_INVOC!MT152</t>
        </is>
      </c>
      <c r="D2561" s="198" t="inlineStr">
        <is>
          <t>entrada</t>
        </is>
      </c>
    </row>
    <row r="2562">
      <c r="A2562" s="198" t="inlineStr">
        <is>
          <t>invocacao.12.esp.6.forma</t>
        </is>
      </c>
      <c r="B2562" s="198">
        <f>IF(ISBLANK(DADOS_INVOC!$MU$152),"",DADOS_INVOC!$MU$152&amp;"")</f>
        <v/>
      </c>
      <c r="C2562" s="198" t="inlineStr">
        <is>
          <t>DADOS_INVOC!MU152</t>
        </is>
      </c>
      <c r="D2562" s="198" t="inlineStr">
        <is>
          <t>entrada</t>
        </is>
      </c>
    </row>
    <row r="2563">
      <c r="A2563" s="198" t="inlineStr">
        <is>
          <t>invocacao.12.esp.6.pecas</t>
        </is>
      </c>
      <c r="B2563" s="198">
        <f>TEXTJOIN(" · ",TRUE,DADOS_INVOC!$MX$152,DADOS_INVOC!$MY$152,DADOS_INVOC!$MZ$152,DADOS_INVOC!$NA$152)</f>
        <v/>
      </c>
      <c r="C2563" s="198" t="inlineStr">
        <is>
          <t>DADOS_INVOC!MX152 DADOS_INVOC!MY152 DADOS_INVOC!MZ152 DADOS_INVOC!NA152</t>
        </is>
      </c>
      <c r="D2563" s="198" t="inlineStr">
        <is>
          <t>entrada</t>
        </is>
      </c>
    </row>
    <row r="2564">
      <c r="A2564" s="198" t="inlineStr">
        <is>
          <t>invocacao.12.esp.6.restricoes</t>
        </is>
      </c>
      <c r="B2564" s="198">
        <f>TEXTJOIN(" · ",TRUE,DADOS_INVOC!$NB$152,DADOS_INVOC!$NC$152)</f>
        <v/>
      </c>
      <c r="C2564" s="198" t="inlineStr">
        <is>
          <t>DADOS_INVOC!NB152 DADOS_INVOC!NC152</t>
        </is>
      </c>
      <c r="D2564" s="198" t="inlineStr">
        <is>
          <t>entrada</t>
        </is>
      </c>
    </row>
    <row r="2565">
      <c r="A2565" s="198" t="inlineStr">
        <is>
          <t>invocacao.12.esp.6.pe</t>
        </is>
      </c>
      <c r="B2565" s="198">
        <f>IF(ISBLANK(DADOS_INVOC!$QA$152),"",DADOS_INVOC!$QA$152&amp;"")</f>
        <v/>
      </c>
      <c r="C2565" s="198" t="inlineStr">
        <is>
          <t>DADOS_INVOC!QA152</t>
        </is>
      </c>
      <c r="D2565" s="198" t="inlineStr">
        <is>
          <t>resultado</t>
        </is>
      </c>
    </row>
    <row r="2566">
      <c r="A2566" s="198" t="inlineStr">
        <is>
          <t>invocacao.12.esp.6.dano</t>
        </is>
      </c>
      <c r="B2566" s="198">
        <f>IF(ISBLANK(DADOS_INVOC!$QE$152),"",DADOS_INVOC!$QE$152&amp;"")</f>
        <v/>
      </c>
      <c r="C2566" s="198" t="inlineStr">
        <is>
          <t>DADOS_INVOC!QE152</t>
        </is>
      </c>
      <c r="D2566" s="198" t="inlineStr">
        <is>
          <t>resultado</t>
        </is>
      </c>
    </row>
    <row r="2567">
      <c r="A2567" s="198" t="inlineStr">
        <is>
          <t>invocacao.12.esp.6.erros</t>
        </is>
      </c>
      <c r="B2567" s="198">
        <f>IF(ISBLANK(DADOS_INVOC!$PT$152),"",DADOS_INVOC!$PT$152&amp;"")</f>
        <v/>
      </c>
      <c r="C2567" s="198" t="inlineStr">
        <is>
          <t>DADOS_INVOC!PT152</t>
        </is>
      </c>
      <c r="D2567" s="198" t="inlineStr">
        <is>
          <t>aviso</t>
        </is>
      </c>
    </row>
    <row r="2568">
      <c r="A2568" s="198" t="inlineStr">
        <is>
          <t>invocacao.12.esp.6.avisos</t>
        </is>
      </c>
      <c r="B2568" s="198">
        <f>IF(ISBLANK(DADOS_INVOC!$PV$152),"",DADOS_INVOC!$PV$152&amp;"")</f>
        <v/>
      </c>
      <c r="C2568" s="198" t="inlineStr">
        <is>
          <t>DADOS_INVOC!PV152</t>
        </is>
      </c>
      <c r="D2568" s="198" t="inlineStr">
        <is>
          <t>aviso</t>
        </is>
      </c>
    </row>
    <row r="2569">
      <c r="A2569" s="198" t="inlineStr">
        <is>
          <t>invocacao.12.esp.7.classe</t>
        </is>
      </c>
      <c r="B2569" s="198">
        <f>IF(ISBLANK(DADOS_INVOC!$MS$153),"",DADOS_INVOC!$MS$153&amp;"")</f>
        <v/>
      </c>
      <c r="C2569" s="198" t="inlineStr">
        <is>
          <t>DADOS_INVOC!MS153</t>
        </is>
      </c>
      <c r="D2569" s="198" t="inlineStr">
        <is>
          <t>entrada</t>
        </is>
      </c>
    </row>
    <row r="2570">
      <c r="A2570" s="198" t="inlineStr">
        <is>
          <t>invocacao.12.esp.7.nome</t>
        </is>
      </c>
      <c r="B2570" s="198">
        <f>IF(ISBLANK(DADOS_INVOC!$MT$153),"",DADOS_INVOC!$MT$153&amp;"")</f>
        <v/>
      </c>
      <c r="C2570" s="198" t="inlineStr">
        <is>
          <t>DADOS_INVOC!MT153</t>
        </is>
      </c>
      <c r="D2570" s="198" t="inlineStr">
        <is>
          <t>entrada</t>
        </is>
      </c>
    </row>
    <row r="2571">
      <c r="A2571" s="198" t="inlineStr">
        <is>
          <t>invocacao.12.esp.7.forma</t>
        </is>
      </c>
      <c r="B2571" s="198">
        <f>IF(ISBLANK(DADOS_INVOC!$MU$153),"",DADOS_INVOC!$MU$153&amp;"")</f>
        <v/>
      </c>
      <c r="C2571" s="198" t="inlineStr">
        <is>
          <t>DADOS_INVOC!MU153</t>
        </is>
      </c>
      <c r="D2571" s="198" t="inlineStr">
        <is>
          <t>entrada</t>
        </is>
      </c>
    </row>
    <row r="2572">
      <c r="A2572" s="198" t="inlineStr">
        <is>
          <t>invocacao.12.esp.7.pecas</t>
        </is>
      </c>
      <c r="B2572" s="198">
        <f>TEXTJOIN(" · ",TRUE,DADOS_INVOC!$MX$153,DADOS_INVOC!$MY$153,DADOS_INVOC!$MZ$153,DADOS_INVOC!$NA$153)</f>
        <v/>
      </c>
      <c r="C2572" s="198" t="inlineStr">
        <is>
          <t>DADOS_INVOC!MX153 DADOS_INVOC!MY153 DADOS_INVOC!MZ153 DADOS_INVOC!NA153</t>
        </is>
      </c>
      <c r="D2572" s="198" t="inlineStr">
        <is>
          <t>entrada</t>
        </is>
      </c>
    </row>
    <row r="2573">
      <c r="A2573" s="198" t="inlineStr">
        <is>
          <t>invocacao.12.esp.7.restricoes</t>
        </is>
      </c>
      <c r="B2573" s="198">
        <f>TEXTJOIN(" · ",TRUE,DADOS_INVOC!$NB$153,DADOS_INVOC!$NC$153)</f>
        <v/>
      </c>
      <c r="C2573" s="198" t="inlineStr">
        <is>
          <t>DADOS_INVOC!NB153 DADOS_INVOC!NC153</t>
        </is>
      </c>
      <c r="D2573" s="198" t="inlineStr">
        <is>
          <t>entrada</t>
        </is>
      </c>
    </row>
    <row r="2574">
      <c r="A2574" s="198" t="inlineStr">
        <is>
          <t>invocacao.12.esp.7.pe</t>
        </is>
      </c>
      <c r="B2574" s="198">
        <f>IF(ISBLANK(DADOS_INVOC!$QA$153),"",DADOS_INVOC!$QA$153&amp;"")</f>
        <v/>
      </c>
      <c r="C2574" s="198" t="inlineStr">
        <is>
          <t>DADOS_INVOC!QA153</t>
        </is>
      </c>
      <c r="D2574" s="198" t="inlineStr">
        <is>
          <t>resultado</t>
        </is>
      </c>
    </row>
    <row r="2575">
      <c r="A2575" s="198" t="inlineStr">
        <is>
          <t>invocacao.12.esp.7.dano</t>
        </is>
      </c>
      <c r="B2575" s="198">
        <f>IF(ISBLANK(DADOS_INVOC!$QE$153),"",DADOS_INVOC!$QE$153&amp;"")</f>
        <v/>
      </c>
      <c r="C2575" s="198" t="inlineStr">
        <is>
          <t>DADOS_INVOC!QE153</t>
        </is>
      </c>
      <c r="D2575" s="198" t="inlineStr">
        <is>
          <t>resultado</t>
        </is>
      </c>
    </row>
    <row r="2576">
      <c r="A2576" s="198" t="inlineStr">
        <is>
          <t>invocacao.12.esp.7.erros</t>
        </is>
      </c>
      <c r="B2576" s="198">
        <f>IF(ISBLANK(DADOS_INVOC!$PT$153),"",DADOS_INVOC!$PT$153&amp;"")</f>
        <v/>
      </c>
      <c r="C2576" s="198" t="inlineStr">
        <is>
          <t>DADOS_INVOC!PT153</t>
        </is>
      </c>
      <c r="D2576" s="198" t="inlineStr">
        <is>
          <t>aviso</t>
        </is>
      </c>
    </row>
    <row r="2577">
      <c r="A2577" s="198" t="inlineStr">
        <is>
          <t>invocacao.12.esp.7.avisos</t>
        </is>
      </c>
      <c r="B2577" s="198">
        <f>IF(ISBLANK(DADOS_INVOC!$PV$153),"",DADOS_INVOC!$PV$153&amp;"")</f>
        <v/>
      </c>
      <c r="C2577" s="198" t="inlineStr">
        <is>
          <t>DADOS_INVOC!PV153</t>
        </is>
      </c>
      <c r="D2577" s="198" t="inlineStr">
        <is>
          <t>aviso</t>
        </is>
      </c>
    </row>
    <row r="2578">
      <c r="A2578" s="198" t="inlineStr">
        <is>
          <t>invocacao.12.esp.8.classe</t>
        </is>
      </c>
      <c r="B2578" s="198">
        <f>IF(ISBLANK(DADOS_INVOC!$MS$154),"",DADOS_INVOC!$MS$154&amp;"")</f>
        <v/>
      </c>
      <c r="C2578" s="198" t="inlineStr">
        <is>
          <t>DADOS_INVOC!MS154</t>
        </is>
      </c>
      <c r="D2578" s="198" t="inlineStr">
        <is>
          <t>entrada</t>
        </is>
      </c>
    </row>
    <row r="2579">
      <c r="A2579" s="198" t="inlineStr">
        <is>
          <t>invocacao.12.esp.8.nome</t>
        </is>
      </c>
      <c r="B2579" s="198">
        <f>IF(ISBLANK(DADOS_INVOC!$MT$154),"",DADOS_INVOC!$MT$154&amp;"")</f>
        <v/>
      </c>
      <c r="C2579" s="198" t="inlineStr">
        <is>
          <t>DADOS_INVOC!MT154</t>
        </is>
      </c>
      <c r="D2579" s="198" t="inlineStr">
        <is>
          <t>entrada</t>
        </is>
      </c>
    </row>
    <row r="2580">
      <c r="A2580" s="198" t="inlineStr">
        <is>
          <t>invocacao.12.esp.8.forma</t>
        </is>
      </c>
      <c r="B2580" s="198">
        <f>IF(ISBLANK(DADOS_INVOC!$MU$154),"",DADOS_INVOC!$MU$154&amp;"")</f>
        <v/>
      </c>
      <c r="C2580" s="198" t="inlineStr">
        <is>
          <t>DADOS_INVOC!MU154</t>
        </is>
      </c>
      <c r="D2580" s="198" t="inlineStr">
        <is>
          <t>entrada</t>
        </is>
      </c>
    </row>
    <row r="2581">
      <c r="A2581" s="198" t="inlineStr">
        <is>
          <t>invocacao.12.esp.8.pecas</t>
        </is>
      </c>
      <c r="B2581" s="198">
        <f>TEXTJOIN(" · ",TRUE,DADOS_INVOC!$MX$154,DADOS_INVOC!$MY$154,DADOS_INVOC!$MZ$154,DADOS_INVOC!$NA$154)</f>
        <v/>
      </c>
      <c r="C2581" s="198" t="inlineStr">
        <is>
          <t>DADOS_INVOC!MX154 DADOS_INVOC!MY154 DADOS_INVOC!MZ154 DADOS_INVOC!NA154</t>
        </is>
      </c>
      <c r="D2581" s="198" t="inlineStr">
        <is>
          <t>entrada</t>
        </is>
      </c>
    </row>
    <row r="2582">
      <c r="A2582" s="198" t="inlineStr">
        <is>
          <t>invocacao.12.esp.8.restricoes</t>
        </is>
      </c>
      <c r="B2582" s="198">
        <f>TEXTJOIN(" · ",TRUE,DADOS_INVOC!$NB$154,DADOS_INVOC!$NC$154)</f>
        <v/>
      </c>
      <c r="C2582" s="198" t="inlineStr">
        <is>
          <t>DADOS_INVOC!NB154 DADOS_INVOC!NC154</t>
        </is>
      </c>
      <c r="D2582" s="198" t="inlineStr">
        <is>
          <t>entrada</t>
        </is>
      </c>
    </row>
    <row r="2583">
      <c r="A2583" s="198" t="inlineStr">
        <is>
          <t>invocacao.12.esp.8.pe</t>
        </is>
      </c>
      <c r="B2583" s="198">
        <f>IF(ISBLANK(DADOS_INVOC!$QA$154),"",DADOS_INVOC!$QA$154&amp;"")</f>
        <v/>
      </c>
      <c r="C2583" s="198" t="inlineStr">
        <is>
          <t>DADOS_INVOC!QA154</t>
        </is>
      </c>
      <c r="D2583" s="198" t="inlineStr">
        <is>
          <t>resultado</t>
        </is>
      </c>
    </row>
    <row r="2584">
      <c r="A2584" s="198" t="inlineStr">
        <is>
          <t>invocacao.12.esp.8.dano</t>
        </is>
      </c>
      <c r="B2584" s="198">
        <f>IF(ISBLANK(DADOS_INVOC!$QE$154),"",DADOS_INVOC!$QE$154&amp;"")</f>
        <v/>
      </c>
      <c r="C2584" s="198" t="inlineStr">
        <is>
          <t>DADOS_INVOC!QE154</t>
        </is>
      </c>
      <c r="D2584" s="198" t="inlineStr">
        <is>
          <t>resultado</t>
        </is>
      </c>
    </row>
    <row r="2585">
      <c r="A2585" s="198" t="inlineStr">
        <is>
          <t>invocacao.12.esp.8.erros</t>
        </is>
      </c>
      <c r="B2585" s="198">
        <f>IF(ISBLANK(DADOS_INVOC!$PT$154),"",DADOS_INVOC!$PT$154&amp;"")</f>
        <v/>
      </c>
      <c r="C2585" s="198" t="inlineStr">
        <is>
          <t>DADOS_INVOC!PT154</t>
        </is>
      </c>
      <c r="D2585" s="198" t="inlineStr">
        <is>
          <t>aviso</t>
        </is>
      </c>
    </row>
    <row r="2586">
      <c r="A2586" s="198" t="inlineStr">
        <is>
          <t>invocacao.12.esp.8.avisos</t>
        </is>
      </c>
      <c r="B2586" s="198">
        <f>IF(ISBLANK(DADOS_INVOC!$PV$154),"",DADOS_INVOC!$PV$154&amp;"")</f>
        <v/>
      </c>
      <c r="C2586" s="198" t="inlineStr">
        <is>
          <t>DADOS_INVOC!PV154</t>
        </is>
      </c>
      <c r="D2586" s="198" t="inlineStr">
        <is>
          <t>aviso</t>
        </is>
      </c>
    </row>
    <row r="2587">
      <c r="A2587" s="198" t="inlineStr">
        <is>
          <t>invocacao.12.ext.1.classe</t>
        </is>
      </c>
      <c r="B2587" s="198">
        <f>IF(ISBLANK(DADOS_INVOC!$MS$155),"",DADOS_INVOC!$MS$155&amp;"")</f>
        <v/>
      </c>
      <c r="C2587" s="198" t="inlineStr">
        <is>
          <t>DADOS_INVOC!MS155</t>
        </is>
      </c>
      <c r="D2587" s="198" t="inlineStr">
        <is>
          <t>entrada</t>
        </is>
      </c>
    </row>
    <row r="2588">
      <c r="A2588" s="198" t="inlineStr">
        <is>
          <t>invocacao.12.ext.1.nome</t>
        </is>
      </c>
      <c r="B2588" s="198">
        <f>IF(ISBLANK(DADOS_INVOC!$MT$155),"",DADOS_INVOC!$MT$155&amp;"")</f>
        <v/>
      </c>
      <c r="C2588" s="198" t="inlineStr">
        <is>
          <t>DADOS_INVOC!MT155</t>
        </is>
      </c>
      <c r="D2588" s="198" t="inlineStr">
        <is>
          <t>entrada</t>
        </is>
      </c>
    </row>
    <row r="2589">
      <c r="A2589" s="198" t="inlineStr">
        <is>
          <t>invocacao.12.ext.1.forma</t>
        </is>
      </c>
      <c r="B2589" s="198">
        <f>IF(ISBLANK(DADOS_INVOC!$MU$155),"",DADOS_INVOC!$MU$155&amp;"")</f>
        <v/>
      </c>
      <c r="C2589" s="198" t="inlineStr">
        <is>
          <t>DADOS_INVOC!MU155</t>
        </is>
      </c>
      <c r="D2589" s="198" t="inlineStr">
        <is>
          <t>entrada</t>
        </is>
      </c>
    </row>
    <row r="2590">
      <c r="A2590" s="198" t="inlineStr">
        <is>
          <t>invocacao.12.ext.1.pecas</t>
        </is>
      </c>
      <c r="B2590" s="198">
        <f>TEXTJOIN(" · ",TRUE,DADOS_INVOC!$MX$155,DADOS_INVOC!$MY$155,DADOS_INVOC!$MZ$155,DADOS_INVOC!$NA$155)</f>
        <v/>
      </c>
      <c r="C2590" s="198" t="inlineStr">
        <is>
          <t>DADOS_INVOC!MX155 DADOS_INVOC!MY155 DADOS_INVOC!MZ155 DADOS_INVOC!NA155</t>
        </is>
      </c>
      <c r="D2590" s="198" t="inlineStr">
        <is>
          <t>entrada</t>
        </is>
      </c>
    </row>
    <row r="2591">
      <c r="A2591" s="198" t="inlineStr">
        <is>
          <t>invocacao.12.ext.1.restricoes</t>
        </is>
      </c>
      <c r="B2591" s="198">
        <f>TEXTJOIN(" · ",TRUE,DADOS_INVOC!$NB$155,DADOS_INVOC!$NC$155)</f>
        <v/>
      </c>
      <c r="C2591" s="198" t="inlineStr">
        <is>
          <t>DADOS_INVOC!NB155 DADOS_INVOC!NC155</t>
        </is>
      </c>
      <c r="D2591" s="198" t="inlineStr">
        <is>
          <t>entrada</t>
        </is>
      </c>
    </row>
    <row r="2592">
      <c r="A2592" s="198" t="inlineStr">
        <is>
          <t>invocacao.12.ext.1.pe</t>
        </is>
      </c>
      <c r="B2592" s="198">
        <f>IF(ISBLANK(DADOS_INVOC!$QA$155),"",DADOS_INVOC!$QA$155&amp;"")</f>
        <v/>
      </c>
      <c r="C2592" s="198" t="inlineStr">
        <is>
          <t>DADOS_INVOC!QA155</t>
        </is>
      </c>
      <c r="D2592" s="198" t="inlineStr">
        <is>
          <t>resultado</t>
        </is>
      </c>
    </row>
    <row r="2593">
      <c r="A2593" s="198" t="inlineStr">
        <is>
          <t>invocacao.12.ext.1.dano</t>
        </is>
      </c>
      <c r="B2593" s="198">
        <f>IF(ISBLANK(DADOS_INVOC!$QE$155),"",DADOS_INVOC!$QE$155&amp;"")</f>
        <v/>
      </c>
      <c r="C2593" s="198" t="inlineStr">
        <is>
          <t>DADOS_INVOC!QE155</t>
        </is>
      </c>
      <c r="D2593" s="198" t="inlineStr">
        <is>
          <t>resultado</t>
        </is>
      </c>
    </row>
    <row r="2594">
      <c r="A2594" s="198" t="inlineStr">
        <is>
          <t>invocacao.12.ext.1.erros</t>
        </is>
      </c>
      <c r="B2594" s="198">
        <f>IF(ISBLANK(DADOS_INVOC!$PT$155),"",DADOS_INVOC!$PT$155&amp;"")</f>
        <v/>
      </c>
      <c r="C2594" s="198" t="inlineStr">
        <is>
          <t>DADOS_INVOC!PT155</t>
        </is>
      </c>
      <c r="D2594" s="198" t="inlineStr">
        <is>
          <t>aviso</t>
        </is>
      </c>
    </row>
    <row r="2595">
      <c r="A2595" s="198" t="inlineStr">
        <is>
          <t>invocacao.12.ext.1.avisos</t>
        </is>
      </c>
      <c r="B2595" s="198">
        <f>IF(ISBLANK(DADOS_INVOC!$PV$155),"",DADOS_INVOC!$PV$155&amp;"")</f>
        <v/>
      </c>
      <c r="C2595" s="198" t="inlineStr">
        <is>
          <t>DADOS_INVOC!PV155</t>
        </is>
      </c>
      <c r="D2595" s="198" t="inlineStr">
        <is>
          <t>aviso</t>
        </is>
      </c>
    </row>
    <row r="2596">
      <c r="A2596" s="198" t="inlineStr">
        <is>
          <t>invocacao.12.ext.2.classe</t>
        </is>
      </c>
      <c r="B2596" s="198">
        <f>IF(ISBLANK(DADOS_INVOC!$MS$156),"",DADOS_INVOC!$MS$156&amp;"")</f>
        <v/>
      </c>
      <c r="C2596" s="198" t="inlineStr">
        <is>
          <t>DADOS_INVOC!MS156</t>
        </is>
      </c>
      <c r="D2596" s="198" t="inlineStr">
        <is>
          <t>entrada</t>
        </is>
      </c>
    </row>
    <row r="2597">
      <c r="A2597" s="198" t="inlineStr">
        <is>
          <t>invocacao.12.ext.2.nome</t>
        </is>
      </c>
      <c r="B2597" s="198">
        <f>IF(ISBLANK(DADOS_INVOC!$MT$156),"",DADOS_INVOC!$MT$156&amp;"")</f>
        <v/>
      </c>
      <c r="C2597" s="198" t="inlineStr">
        <is>
          <t>DADOS_INVOC!MT156</t>
        </is>
      </c>
      <c r="D2597" s="198" t="inlineStr">
        <is>
          <t>entrada</t>
        </is>
      </c>
    </row>
    <row r="2598">
      <c r="A2598" s="198" t="inlineStr">
        <is>
          <t>invocacao.12.ext.2.forma</t>
        </is>
      </c>
      <c r="B2598" s="198">
        <f>IF(ISBLANK(DADOS_INVOC!$MU$156),"",DADOS_INVOC!$MU$156&amp;"")</f>
        <v/>
      </c>
      <c r="C2598" s="198" t="inlineStr">
        <is>
          <t>DADOS_INVOC!MU156</t>
        </is>
      </c>
      <c r="D2598" s="198" t="inlineStr">
        <is>
          <t>entrada</t>
        </is>
      </c>
    </row>
    <row r="2599">
      <c r="A2599" s="198" t="inlineStr">
        <is>
          <t>invocacao.12.ext.2.pecas</t>
        </is>
      </c>
      <c r="B2599" s="198">
        <f>TEXTJOIN(" · ",TRUE,DADOS_INVOC!$MX$156,DADOS_INVOC!$MY$156,DADOS_INVOC!$MZ$156,DADOS_INVOC!$NA$156)</f>
        <v/>
      </c>
      <c r="C2599" s="198" t="inlineStr">
        <is>
          <t>DADOS_INVOC!MX156 DADOS_INVOC!MY156 DADOS_INVOC!MZ156 DADOS_INVOC!NA156</t>
        </is>
      </c>
      <c r="D2599" s="198" t="inlineStr">
        <is>
          <t>entrada</t>
        </is>
      </c>
    </row>
    <row r="2600">
      <c r="A2600" s="198" t="inlineStr">
        <is>
          <t>invocacao.12.ext.2.restricoes</t>
        </is>
      </c>
      <c r="B2600" s="198">
        <f>TEXTJOIN(" · ",TRUE,DADOS_INVOC!$NB$156,DADOS_INVOC!$NC$156)</f>
        <v/>
      </c>
      <c r="C2600" s="198" t="inlineStr">
        <is>
          <t>DADOS_INVOC!NB156 DADOS_INVOC!NC156</t>
        </is>
      </c>
      <c r="D2600" s="198" t="inlineStr">
        <is>
          <t>entrada</t>
        </is>
      </c>
    </row>
    <row r="2601">
      <c r="A2601" s="198" t="inlineStr">
        <is>
          <t>invocacao.12.ext.2.pe</t>
        </is>
      </c>
      <c r="B2601" s="198">
        <f>IF(ISBLANK(DADOS_INVOC!$QA$156),"",DADOS_INVOC!$QA$156&amp;"")</f>
        <v/>
      </c>
      <c r="C2601" s="198" t="inlineStr">
        <is>
          <t>DADOS_INVOC!QA156</t>
        </is>
      </c>
      <c r="D2601" s="198" t="inlineStr">
        <is>
          <t>resultado</t>
        </is>
      </c>
    </row>
    <row r="2602">
      <c r="A2602" s="198" t="inlineStr">
        <is>
          <t>invocacao.12.ext.2.dano</t>
        </is>
      </c>
      <c r="B2602" s="198">
        <f>IF(ISBLANK(DADOS_INVOC!$QE$156),"",DADOS_INVOC!$QE$156&amp;"")</f>
        <v/>
      </c>
      <c r="C2602" s="198" t="inlineStr">
        <is>
          <t>DADOS_INVOC!QE156</t>
        </is>
      </c>
      <c r="D2602" s="198" t="inlineStr">
        <is>
          <t>resultado</t>
        </is>
      </c>
    </row>
    <row r="2603">
      <c r="A2603" s="198" t="inlineStr">
        <is>
          <t>invocacao.12.ext.2.erros</t>
        </is>
      </c>
      <c r="B2603" s="198">
        <f>IF(ISBLANK(DADOS_INVOC!$PT$156),"",DADOS_INVOC!$PT$156&amp;"")</f>
        <v/>
      </c>
      <c r="C2603" s="198" t="inlineStr">
        <is>
          <t>DADOS_INVOC!PT156</t>
        </is>
      </c>
      <c r="D2603" s="198" t="inlineStr">
        <is>
          <t>aviso</t>
        </is>
      </c>
    </row>
    <row r="2604">
      <c r="A2604" s="198" t="inlineStr">
        <is>
          <t>invocacao.12.ext.2.avisos</t>
        </is>
      </c>
      <c r="B2604" s="198">
        <f>IF(ISBLANK(DADOS_INVOC!$PV$156),"",DADOS_INVOC!$PV$156&amp;"")</f>
        <v/>
      </c>
      <c r="C2604" s="198" t="inlineStr">
        <is>
          <t>DADOS_INVOC!PV156</t>
        </is>
      </c>
      <c r="D2604" s="198" t="inlineStr">
        <is>
          <t>aviso</t>
        </is>
      </c>
    </row>
    <row r="2605">
      <c r="A2605" s="198" t="inlineStr">
        <is>
          <t>invocacao.12.ext.3.classe</t>
        </is>
      </c>
      <c r="B2605" s="198">
        <f>IF(ISBLANK(DADOS_INVOC!$MS$157),"",DADOS_INVOC!$MS$157&amp;"")</f>
        <v/>
      </c>
      <c r="C2605" s="198" t="inlineStr">
        <is>
          <t>DADOS_INVOC!MS157</t>
        </is>
      </c>
      <c r="D2605" s="198" t="inlineStr">
        <is>
          <t>entrada</t>
        </is>
      </c>
    </row>
    <row r="2606">
      <c r="A2606" s="198" t="inlineStr">
        <is>
          <t>invocacao.12.ext.3.nome</t>
        </is>
      </c>
      <c r="B2606" s="198">
        <f>IF(ISBLANK(DADOS_INVOC!$MT$157),"",DADOS_INVOC!$MT$157&amp;"")</f>
        <v/>
      </c>
      <c r="C2606" s="198" t="inlineStr">
        <is>
          <t>DADOS_INVOC!MT157</t>
        </is>
      </c>
      <c r="D2606" s="198" t="inlineStr">
        <is>
          <t>entrada</t>
        </is>
      </c>
    </row>
    <row r="2607">
      <c r="A2607" s="198" t="inlineStr">
        <is>
          <t>invocacao.12.ext.3.forma</t>
        </is>
      </c>
      <c r="B2607" s="198">
        <f>IF(ISBLANK(DADOS_INVOC!$MU$157),"",DADOS_INVOC!$MU$157&amp;"")</f>
        <v/>
      </c>
      <c r="C2607" s="198" t="inlineStr">
        <is>
          <t>DADOS_INVOC!MU157</t>
        </is>
      </c>
      <c r="D2607" s="198" t="inlineStr">
        <is>
          <t>entrada</t>
        </is>
      </c>
    </row>
    <row r="2608">
      <c r="A2608" s="198" t="inlineStr">
        <is>
          <t>invocacao.12.ext.3.pecas</t>
        </is>
      </c>
      <c r="B2608" s="198">
        <f>TEXTJOIN(" · ",TRUE,DADOS_INVOC!$MX$157,DADOS_INVOC!$MY$157,DADOS_INVOC!$MZ$157,DADOS_INVOC!$NA$157)</f>
        <v/>
      </c>
      <c r="C2608" s="198" t="inlineStr">
        <is>
          <t>DADOS_INVOC!MX157 DADOS_INVOC!MY157 DADOS_INVOC!MZ157 DADOS_INVOC!NA157</t>
        </is>
      </c>
      <c r="D2608" s="198" t="inlineStr">
        <is>
          <t>entrada</t>
        </is>
      </c>
    </row>
    <row r="2609">
      <c r="A2609" s="198" t="inlineStr">
        <is>
          <t>invocacao.12.ext.3.restricoes</t>
        </is>
      </c>
      <c r="B2609" s="198">
        <f>TEXTJOIN(" · ",TRUE,DADOS_INVOC!$NB$157,DADOS_INVOC!$NC$157)</f>
        <v/>
      </c>
      <c r="C2609" s="198" t="inlineStr">
        <is>
          <t>DADOS_INVOC!NB157 DADOS_INVOC!NC157</t>
        </is>
      </c>
      <c r="D2609" s="198" t="inlineStr">
        <is>
          <t>entrada</t>
        </is>
      </c>
    </row>
    <row r="2610">
      <c r="A2610" s="198" t="inlineStr">
        <is>
          <t>invocacao.12.ext.3.pe</t>
        </is>
      </c>
      <c r="B2610" s="198">
        <f>IF(ISBLANK(DADOS_INVOC!$QA$157),"",DADOS_INVOC!$QA$157&amp;"")</f>
        <v/>
      </c>
      <c r="C2610" s="198" t="inlineStr">
        <is>
          <t>DADOS_INVOC!QA157</t>
        </is>
      </c>
      <c r="D2610" s="198" t="inlineStr">
        <is>
          <t>resultado</t>
        </is>
      </c>
    </row>
    <row r="2611">
      <c r="A2611" s="198" t="inlineStr">
        <is>
          <t>invocacao.12.ext.3.dano</t>
        </is>
      </c>
      <c r="B2611" s="198">
        <f>IF(ISBLANK(DADOS_INVOC!$QE$157),"",DADOS_INVOC!$QE$157&amp;"")</f>
        <v/>
      </c>
      <c r="C2611" s="198" t="inlineStr">
        <is>
          <t>DADOS_INVOC!QE157</t>
        </is>
      </c>
      <c r="D2611" s="198" t="inlineStr">
        <is>
          <t>resultado</t>
        </is>
      </c>
    </row>
    <row r="2612">
      <c r="A2612" s="198" t="inlineStr">
        <is>
          <t>invocacao.12.ext.3.erros</t>
        </is>
      </c>
      <c r="B2612" s="198">
        <f>IF(ISBLANK(DADOS_INVOC!$PT$157),"",DADOS_INVOC!$PT$157&amp;"")</f>
        <v/>
      </c>
      <c r="C2612" s="198" t="inlineStr">
        <is>
          <t>DADOS_INVOC!PT157</t>
        </is>
      </c>
      <c r="D2612" s="198" t="inlineStr">
        <is>
          <t>aviso</t>
        </is>
      </c>
    </row>
    <row r="2613">
      <c r="A2613" s="198" t="inlineStr">
        <is>
          <t>invocacao.12.ext.3.avisos</t>
        </is>
      </c>
      <c r="B2613" s="198">
        <f>IF(ISBLANK(DADOS_INVOC!$PV$157),"",DADOS_INVOC!$PV$157&amp;"")</f>
        <v/>
      </c>
      <c r="C2613" s="198" t="inlineStr">
        <is>
          <t>DADOS_INVOC!PV157</t>
        </is>
      </c>
      <c r="D2613" s="198" t="inlineStr">
        <is>
          <t>aviso</t>
        </is>
      </c>
    </row>
    <row r="2614">
      <c r="A2614" s="198" t="inlineStr">
        <is>
          <t>vida_max</t>
        </is>
      </c>
      <c r="B2614" s="198">
        <f>IF(ISBLANK(FICHA!$J$26),"",FICHA!$J$26&amp;"")</f>
        <v/>
      </c>
      <c r="C2614" s="198" t="inlineStr">
        <is>
          <t>FICHA!J26</t>
        </is>
      </c>
      <c r="D2614" s="198" t="inlineStr">
        <is>
          <t>resultado</t>
        </is>
      </c>
    </row>
    <row r="2615">
      <c r="A2615" s="198" t="inlineStr">
        <is>
          <t>energia_max</t>
        </is>
      </c>
      <c r="B2615" s="198">
        <f>IF(ISBLANK(FICHA!$J$30),"",FICHA!$J$30&amp;"")</f>
        <v/>
      </c>
      <c r="C2615" s="198" t="inlineStr">
        <is>
          <t>FICHA!J30</t>
        </is>
      </c>
      <c r="D2615" s="198" t="inlineStr">
        <is>
          <t>resultado</t>
        </is>
      </c>
    </row>
    <row r="2616">
      <c r="A2616" s="198" t="inlineStr">
        <is>
          <t>integridade_max</t>
        </is>
      </c>
      <c r="B2616" s="198">
        <f>IF(ISBLANK(FICHA!$J$34),"",FICHA!$J$34&amp;"")</f>
        <v/>
      </c>
      <c r="C2616" s="198" t="inlineStr">
        <is>
          <t>FICHA!J34</t>
        </is>
      </c>
      <c r="D2616" s="198" t="inlineStr">
        <is>
          <t>resultado</t>
        </is>
      </c>
    </row>
    <row r="2617">
      <c r="A2617" s="198" t="inlineStr">
        <is>
          <t>defesa</t>
        </is>
      </c>
      <c r="B2617" s="198">
        <f>IF(ISBLANK(FICHA!$D$59),"",FICHA!$D$59&amp;"")</f>
        <v/>
      </c>
      <c r="C2617" s="198" t="inlineStr">
        <is>
          <t>FICHA!D59</t>
        </is>
      </c>
      <c r="D2617" s="198" t="inlineStr">
        <is>
          <t>resultado</t>
        </is>
      </c>
    </row>
    <row r="2618">
      <c r="A2618" s="198" t="inlineStr">
        <is>
          <t>protecao</t>
        </is>
      </c>
      <c r="B2618" s="198">
        <f>IF(ISBLANK(FICHA!$O$59),"",FICHA!$O$59&amp;"")</f>
        <v/>
      </c>
      <c r="C2618" s="198" t="inlineStr">
        <is>
          <t>FICHA!O59</t>
        </is>
      </c>
      <c r="D2618" s="198" t="inlineStr">
        <is>
          <t>resultado</t>
        </is>
      </c>
    </row>
    <row r="2619">
      <c r="A2619" s="198" t="inlineStr">
        <is>
          <t>iniciativa</t>
        </is>
      </c>
      <c r="B2619" s="198">
        <f>IF(ISBLANK(FICHA!$AK$59),"",FICHA!$AK$59&amp;"")</f>
        <v/>
      </c>
      <c r="C2619" s="198" t="inlineStr">
        <is>
          <t>FICHA!AK59</t>
        </is>
      </c>
      <c r="D2619" s="198" t="inlineStr">
        <is>
          <t>resultado</t>
        </is>
      </c>
    </row>
    <row r="2620">
      <c r="A2620" s="198" t="inlineStr">
        <is>
          <t>cd_de_feitico</t>
        </is>
      </c>
      <c r="B2620" s="198">
        <f>IF(ISBLANK(FICHA!$D$63),"",FICHA!$D$63&amp;"")</f>
        <v/>
      </c>
      <c r="C2620" s="198" t="inlineStr">
        <is>
          <t>FICHA!D63</t>
        </is>
      </c>
      <c r="D2620" s="198" t="inlineStr">
        <is>
          <t>resultado</t>
        </is>
      </c>
    </row>
    <row r="2621">
      <c r="A2621" s="198" t="inlineStr">
        <is>
          <t>conjuracao</t>
        </is>
      </c>
      <c r="B2621" s="198">
        <f>IF(ISBLANK(FICHA!$O$63),"",FICHA!$O$63&amp;"")</f>
        <v/>
      </c>
      <c r="C2621" s="198" t="inlineStr">
        <is>
          <t>FICHA!O63</t>
        </is>
      </c>
      <c r="D2621" s="198" t="inlineStr">
        <is>
          <t>resultado</t>
        </is>
      </c>
    </row>
    <row r="2622">
      <c r="A2622" s="198" t="inlineStr">
        <is>
          <t>corpo_a_corpo</t>
        </is>
      </c>
      <c r="B2622" s="198">
        <f>IF(ISBLANK(FICHA!$Z$63),"",FICHA!$Z$63&amp;"")</f>
        <v/>
      </c>
      <c r="C2622" s="198" t="inlineStr">
        <is>
          <t>FICHA!Z63</t>
        </is>
      </c>
      <c r="D2622" s="198" t="inlineStr">
        <is>
          <t>resultado</t>
        </is>
      </c>
    </row>
    <row r="2623">
      <c r="A2623" s="198" t="inlineStr">
        <is>
          <t>a_distancia</t>
        </is>
      </c>
      <c r="B2623" s="198">
        <f>IF(ISBLANK(FICHA!$AK$63),"",FICHA!$AK$63&amp;"")</f>
        <v/>
      </c>
      <c r="C2623" s="198" t="inlineStr">
        <is>
          <t>FICHA!AK63</t>
        </is>
      </c>
      <c r="D2623" s="198" t="inlineStr">
        <is>
          <t>resultado</t>
        </is>
      </c>
    </row>
    <row r="2624">
      <c r="A2624" s="198" t="inlineStr">
        <is>
          <t>maestria</t>
        </is>
      </c>
      <c r="B2624" s="198">
        <f>IF(ISBLANK(FICHA!$D$67),"",FICHA!$D$67&amp;"")</f>
        <v/>
      </c>
      <c r="C2624" s="198" t="inlineStr">
        <is>
          <t>FICHA!D67</t>
        </is>
      </c>
      <c r="D2624" s="198" t="inlineStr">
        <is>
          <t>resultado</t>
        </is>
      </c>
    </row>
    <row r="2625">
      <c r="A2625" s="198" t="inlineStr">
        <is>
          <t>deslocamento</t>
        </is>
      </c>
      <c r="B2625" s="198">
        <f>IF(ISBLANK(FICHA!$O$67),"",FICHA!$O$67&amp;"")</f>
        <v/>
      </c>
      <c r="C2625" s="198" t="inlineStr">
        <is>
          <t>FICHA!O67</t>
        </is>
      </c>
      <c r="D2625" s="198" t="inlineStr">
        <is>
          <t>resultado</t>
        </is>
      </c>
    </row>
    <row r="2626">
      <c r="A2626" s="198" t="inlineStr">
        <is>
          <t>espacos_de_feitico</t>
        </is>
      </c>
      <c r="B2626" s="198">
        <f>IF(ISBLANK(FICHA!$D$73),"",FICHA!$D$73&amp;"")</f>
        <v/>
      </c>
      <c r="C2626" s="198" t="inlineStr">
        <is>
          <t>FICHA!D73</t>
        </is>
      </c>
      <c r="D2626" s="198" t="inlineStr">
        <is>
          <t>resultado</t>
        </is>
      </c>
    </row>
    <row r="2627">
      <c r="A2627" s="198" t="inlineStr">
        <is>
          <t>classe_maxima</t>
        </is>
      </c>
      <c r="B2627" s="198">
        <f>IF(ISBLANK(FICHA!$Z$73),"",FICHA!$Z$73&amp;"")</f>
        <v/>
      </c>
      <c r="C2627" s="198" t="inlineStr">
        <is>
          <t>FICHA!Z73</t>
        </is>
      </c>
      <c r="D2627" s="198" t="inlineStr">
        <is>
          <t>resultado</t>
        </is>
      </c>
    </row>
    <row r="2628">
      <c r="A2628" s="198" t="inlineStr">
        <is>
          <t>refino_de_graca</t>
        </is>
      </c>
      <c r="B2628" s="198">
        <f>IF(ISBLANK(FICHA!$O$73),"",FICHA!$O$73&amp;"")</f>
        <v/>
      </c>
      <c r="C2628" s="198" t="inlineStr">
        <is>
          <t>FICHA!O73</t>
        </is>
      </c>
      <c r="D2628" s="198" t="inlineStr">
        <is>
          <t>resultado</t>
        </is>
      </c>
    </row>
    <row r="2629">
      <c r="A2629" s="198" t="inlineStr">
        <is>
          <t>classe_0_gratis</t>
        </is>
      </c>
      <c r="B2629" s="198">
        <f>IF(ISBLANK(FICHA!$AK$73),"",FICHA!$AK$73&amp;"")</f>
        <v/>
      </c>
      <c r="C2629" s="198" t="inlineStr">
        <is>
          <t>FICHA!AK73</t>
        </is>
      </c>
      <c r="D2629" s="198" t="inlineStr">
        <is>
          <t>resultado</t>
        </is>
      </c>
    </row>
    <row r="2630">
      <c r="A2630" s="198" t="inlineStr">
        <is>
          <t>morrendo_aguentar</t>
        </is>
      </c>
      <c r="B2630" s="198">
        <f>IF(ISBLANK(FICHA!$D$41),"",FICHA!$D$41&amp;"")</f>
        <v/>
      </c>
      <c r="C2630" s="198" t="inlineStr">
        <is>
          <t>FICHA!D41</t>
        </is>
      </c>
      <c r="D2630" s="198" t="inlineStr">
        <is>
          <t>resultado</t>
        </is>
      </c>
    </row>
    <row r="2631">
      <c r="A2631" s="198" t="inlineStr">
        <is>
          <t>morrendo_insistir_1</t>
        </is>
      </c>
      <c r="B2631" s="198">
        <f>IF(ISBLANK(FICHA!$O$41),"",FICHA!$O$41&amp;"")</f>
        <v/>
      </c>
      <c r="C2631" s="198" t="inlineStr">
        <is>
          <t>FICHA!O41</t>
        </is>
      </c>
      <c r="D2631" s="198" t="inlineStr">
        <is>
          <t>resultado</t>
        </is>
      </c>
    </row>
    <row r="2632">
      <c r="A2632" s="198" t="inlineStr">
        <is>
          <t>morrendo_insistir_2</t>
        </is>
      </c>
      <c r="B2632" s="198">
        <f>IF(ISBLANK(FICHA!$Z$41),"",FICHA!$Z$41&amp;"")</f>
        <v/>
      </c>
      <c r="C2632" s="198" t="inlineStr">
        <is>
          <t>FICHA!Z41</t>
        </is>
      </c>
      <c r="D2632" s="198" t="inlineStr">
        <is>
          <t>resultado</t>
        </is>
      </c>
    </row>
    <row r="2633">
      <c r="A2633" s="198" t="inlineStr">
        <is>
          <t>morrendo_prazo</t>
        </is>
      </c>
      <c r="B2633" s="198">
        <f>IF(ISBLANK(FICHA!$AK$41),"",FICHA!$AK$41&amp;"")</f>
        <v/>
      </c>
      <c r="C2633" s="198" t="inlineStr">
        <is>
          <t>FICHA!AK41</t>
        </is>
      </c>
      <c r="D2633" s="198" t="inlineStr">
        <is>
          <t>resultado</t>
        </is>
      </c>
    </row>
    <row r="2634">
      <c r="A2634" s="198" t="inlineStr">
        <is>
          <t>marcante</t>
        </is>
      </c>
      <c r="B2634" s="198">
        <f>IF(ISBLANK(FICHA!$D$52),"",FICHA!$D$52&amp;"")</f>
        <v/>
      </c>
      <c r="C2634" s="198" t="inlineStr">
        <is>
          <t>FICHA!D52</t>
        </is>
      </c>
      <c r="D2634" s="198" t="inlineStr">
        <is>
          <t>resultado</t>
        </is>
      </c>
    </row>
    <row r="2635">
      <c r="A2635" s="198" t="inlineStr">
        <is>
          <t>menor_1</t>
        </is>
      </c>
      <c r="B2635" s="198">
        <f>IF(ISBLANK(FICHA!$S$52),"",FICHA!$S$52&amp;"")</f>
        <v/>
      </c>
      <c r="C2635" s="198" t="inlineStr">
        <is>
          <t>FICHA!S52</t>
        </is>
      </c>
      <c r="D2635" s="198" t="inlineStr">
        <is>
          <t>resultado</t>
        </is>
      </c>
    </row>
    <row r="2636">
      <c r="A2636" s="198" t="inlineStr">
        <is>
          <t>menor_2</t>
        </is>
      </c>
      <c r="B2636" s="198">
        <f>IF(ISBLANK(FICHA!$AG$52),"",FICHA!$AG$52&amp;"")</f>
        <v/>
      </c>
      <c r="C2636" s="198" t="inlineStr">
        <is>
          <t>FICHA!AG52</t>
        </is>
      </c>
      <c r="D2636" s="198" t="inlineStr">
        <is>
          <t>resultado</t>
        </is>
      </c>
    </row>
    <row r="2637">
      <c r="A2637" s="198" t="inlineStr">
        <is>
          <t>xp.total</t>
        </is>
      </c>
      <c r="B2637" s="198">
        <f>IF(ISBLANK('FICHA PESSOAL'!$AW$11),"",'FICHA PESSOAL'!$AW$11&amp;"")</f>
        <v/>
      </c>
      <c r="C2637" s="198">
        <f>"'FICHA PESSOAL'!AW11"</f>
        <v/>
      </c>
      <c r="D2637" s="198" t="inlineStr">
        <is>
          <t>resultado</t>
        </is>
      </c>
    </row>
    <row r="2638">
      <c r="A2638" s="198" t="inlineStr">
        <is>
          <t>carga</t>
        </is>
      </c>
      <c r="B2638" s="198">
        <f>IF(ISBLANK('FICHA PESSOAL'!$D$86),"",'FICHA PESSOAL'!$D$86&amp;"")</f>
        <v/>
      </c>
      <c r="C2638" s="198">
        <f>"'FICHA PESSOAL'!D86"</f>
        <v/>
      </c>
      <c r="D2638" s="198" t="inlineStr">
        <is>
          <t>resultado</t>
        </is>
      </c>
    </row>
    <row r="2639">
      <c r="A2639" s="198" t="inlineStr">
        <is>
          <t>aviso.pontos_disponiveis</t>
        </is>
      </c>
      <c r="B2639" s="198">
        <f>IF(ISBLANK(FICHA!$Z$15),"",FICHA!$Z$15&amp;"")</f>
        <v/>
      </c>
      <c r="C2639" s="198" t="inlineStr">
        <is>
          <t>FICHA!Z15</t>
        </is>
      </c>
      <c r="D2639" s="198" t="inlineStr">
        <is>
          <t>aviso</t>
        </is>
      </c>
    </row>
    <row r="2640">
      <c r="A2640" s="198" t="inlineStr">
        <is>
          <t>aviso.pericias_disponiveis</t>
        </is>
      </c>
      <c r="B2640" s="198">
        <f>IF(ISBLANK(FICHA!$AK$89),"",FICHA!$AK$89&amp;"")</f>
        <v/>
      </c>
      <c r="C2640" s="198" t="inlineStr">
        <is>
          <t>FICHA!AK89</t>
        </is>
      </c>
      <c r="D2640" s="198" t="inlineStr">
        <is>
          <t>aviso</t>
        </is>
      </c>
    </row>
    <row r="2641">
      <c r="A2641" s="198" t="inlineStr">
        <is>
          <t>aviso.oficios_disponiveis</t>
        </is>
      </c>
      <c r="B2641" s="198">
        <f>IF(ISBLANK(FICHA!$AF$114),"",FICHA!$AF$114&amp;"")</f>
        <v/>
      </c>
      <c r="C2641" s="198" t="inlineStr">
        <is>
          <t>FICHA!AF114</t>
        </is>
      </c>
      <c r="D2641" s="198" t="inlineStr">
        <is>
          <t>aviso</t>
        </is>
      </c>
    </row>
    <row r="2642">
      <c r="A2642" s="198" t="inlineStr">
        <is>
          <t>aviso.testes_disponiveis</t>
        </is>
      </c>
      <c r="B2642" s="198">
        <f>IF(ISBLANK(FICHA!$AN$114),"",FICHA!$AN$114&amp;"")</f>
        <v/>
      </c>
      <c r="C2642" s="198" t="inlineStr">
        <is>
          <t>FICHA!AN114</t>
        </is>
      </c>
      <c r="D2642" s="198" t="inlineStr">
        <is>
          <t>aviso</t>
        </is>
      </c>
    </row>
    <row r="2643">
      <c r="A2643" s="198" t="inlineStr">
        <is>
          <t>aviso.escolhas_de_pericia</t>
        </is>
      </c>
      <c r="B2643" s="198">
        <f>IF(ISBLANK(FICHA!$AK$105),"",FICHA!$AK$105&amp;"")</f>
        <v/>
      </c>
      <c r="C2643" s="198" t="inlineStr">
        <is>
          <t>FICHA!AK105</t>
        </is>
      </c>
      <c r="D2643" s="198" t="inlineStr">
        <is>
          <t>aviso</t>
        </is>
      </c>
    </row>
    <row r="2644">
      <c r="A2644" s="198" t="inlineStr">
        <is>
          <t>aviso.treino</t>
        </is>
      </c>
      <c r="B2644" s="198">
        <f>IF(ISBLANK('FICHA PESSOAL'!$D$67),"",'FICHA PESSOAL'!$D$67&amp;"")</f>
        <v/>
      </c>
      <c r="C2644" s="198">
        <f>"'FICHA PESSOAL'!D67"</f>
        <v/>
      </c>
      <c r="D2644" s="198" t="inlineStr">
        <is>
          <t>aviso</t>
        </is>
      </c>
    </row>
    <row r="2645">
      <c r="A2645" s="198" t="inlineStr">
        <is>
          <t>aviso.forca_p</t>
        </is>
      </c>
      <c r="B2645" s="198">
        <f>IF(ISBLANK('FICHA PESSOAL'!$K$67),"",'FICHA PESSOAL'!$K$67&amp;"")</f>
        <v/>
      </c>
      <c r="C2645" s="198">
        <f>"'FICHA PESSOAL'!K67"</f>
        <v/>
      </c>
      <c r="D2645" s="198" t="inlineStr">
        <is>
          <t>aviso</t>
        </is>
      </c>
    </row>
    <row r="2646">
      <c r="A2646" s="198" t="inlineStr">
        <is>
          <t>aviso.forca_s</t>
        </is>
      </c>
      <c r="B2646" s="198">
        <f>IF(ISBLANK('FICHA PESSOAL'!$S$67),"",'FICHA PESSOAL'!$S$67&amp;"")</f>
        <v/>
      </c>
      <c r="C2646" s="198">
        <f>"'FICHA PESSOAL'!S67"</f>
        <v/>
      </c>
      <c r="D2646" s="198" t="inlineStr">
        <is>
          <t>aviso</t>
        </is>
      </c>
    </row>
    <row r="2647">
      <c r="A2647" s="198" t="inlineStr">
        <is>
          <t>aviso.selo</t>
        </is>
      </c>
      <c r="B2647" s="198">
        <f>IF(ISBLANK('FICHA PESSOAL'!$Z$67),"",'FICHA PESSOAL'!$Z$67&amp;"")</f>
        <v/>
      </c>
      <c r="C2647" s="198">
        <f>"'FICHA PESSOAL'!Z67"</f>
        <v/>
      </c>
      <c r="D2647" s="198" t="inlineStr">
        <is>
          <t>aviso</t>
        </is>
      </c>
    </row>
    <row r="2648">
      <c r="A2648" s="198" t="inlineStr">
        <is>
          <t>aviso.grau</t>
        </is>
      </c>
      <c r="B2648" s="198">
        <f>IF(ISBLANK('FICHA PESSOAL'!$AH$67),"",'FICHA PESSOAL'!$AH$67&amp;"")</f>
        <v/>
      </c>
      <c r="C2648" s="198">
        <f>"'FICHA PESSOAL'!AH67"</f>
        <v/>
      </c>
      <c r="D2648" s="198" t="inlineStr">
        <is>
          <t>aviso</t>
        </is>
      </c>
    </row>
    <row r="2649">
      <c r="A2649" s="198" t="inlineStr">
        <is>
          <t>aviso.forca_v</t>
        </is>
      </c>
      <c r="B2649" s="198">
        <f>IF(ISBLANK('FICHA PESSOAL'!$AO$67),"",'FICHA PESSOAL'!$AO$67&amp;"")</f>
        <v/>
      </c>
      <c r="C2649" s="198">
        <f>"'FICHA PESSOAL'!AO67"</f>
        <v/>
      </c>
      <c r="D2649" s="198" t="inlineStr">
        <is>
          <t>aviso</t>
        </is>
      </c>
    </row>
    <row r="2650">
      <c r="A2650" s="198" t="inlineStr">
        <is>
          <t>aviso.requisito</t>
        </is>
      </c>
      <c r="B2650" s="198">
        <f>IF(ISBLANK('FICHA PESSOAL'!$AF$86),"",'FICHA PESSOAL'!$AF$86&amp;"")</f>
        <v/>
      </c>
      <c r="C2650" s="198">
        <f>"'FICHA PESSOAL'!AF86"</f>
        <v/>
      </c>
      <c r="D2650" s="198" t="inlineStr">
        <is>
          <t>aviso</t>
        </is>
      </c>
    </row>
    <row r="2651">
      <c r="A2651" s="198" t="inlineStr">
        <is>
          <t>aviso.situacao</t>
        </is>
      </c>
      <c r="B2651" s="198">
        <f>IF(ISBLANK('FICHA PESSOAL'!$AN$86),"",'FICHA PESSOAL'!$AN$86&amp;"")</f>
        <v/>
      </c>
      <c r="C2651" s="198">
        <f>"'FICHA PESSOAL'!AN86"</f>
        <v/>
      </c>
      <c r="D2651" s="198" t="inlineStr">
        <is>
          <t>aviso</t>
        </is>
      </c>
    </row>
    <row r="2652">
      <c r="A2652" s="198" t="inlineStr">
        <is>
          <t>tecnica.atributo_escolhido</t>
        </is>
      </c>
      <c r="B2652" s="198">
        <f>IF(ISBLANK(FICHA!$Z$67),"",FICHA!$Z$67&amp;"")</f>
        <v/>
      </c>
      <c r="C2652" s="198" t="inlineStr">
        <is>
          <t>FICHA!Z67</t>
        </is>
      </c>
      <c r="D2652" s="198" t="inlineStr">
        <is>
          <t>entrada</t>
        </is>
      </c>
    </row>
    <row r="2653">
      <c r="A2653" s="198" t="inlineStr">
        <is>
          <t>tecnica.nome</t>
        </is>
      </c>
      <c r="B2653" s="198">
        <f>IF(ISBLANK('FICHA AMALDIÇOADA'!$D$12),"",'FICHA AMALDIÇOADA'!$D$12&amp;"")</f>
        <v/>
      </c>
      <c r="C2653" s="198">
        <f>"'FICHA AMALDIÇOADA'!D12"</f>
        <v/>
      </c>
      <c r="D2653" s="198" t="inlineStr">
        <is>
          <t>entrada</t>
        </is>
      </c>
    </row>
    <row r="2654">
      <c r="A2654" s="198" t="inlineStr">
        <is>
          <t>tecnica.tipo_dano</t>
        </is>
      </c>
      <c r="B2654" s="198">
        <f>IF(ISBLANK('FICHA AMALDIÇOADA'!$J$12),"",'FICHA AMALDIÇOADA'!$J$12&amp;"")</f>
        <v/>
      </c>
      <c r="C2654" s="198">
        <f>"'FICHA AMALDIÇOADA'!J12"</f>
        <v/>
      </c>
      <c r="D2654" s="198" t="inlineStr">
        <is>
          <t>entrada</t>
        </is>
      </c>
    </row>
    <row r="2655">
      <c r="A2655" s="198" t="inlineStr">
        <is>
          <t>tecnica.atributo</t>
        </is>
      </c>
      <c r="B2655" s="198">
        <f>IF(ISBLANK('FICHA AMALDIÇOADA'!$L$12),"",'FICHA AMALDIÇOADA'!$L$12&amp;"")</f>
        <v/>
      </c>
      <c r="C2655" s="198">
        <f>"'FICHA AMALDIÇOADA'!L12"</f>
        <v/>
      </c>
      <c r="D2655" s="198" t="inlineStr">
        <is>
          <t>resultado</t>
        </is>
      </c>
    </row>
    <row r="2656">
      <c r="A2656" s="198" t="inlineStr">
        <is>
          <t>tecnica.rota.escolha</t>
        </is>
      </c>
      <c r="B2656" s="198">
        <f>IF(ISBLANK('FICHA AMALDIÇOADA'!$J$16),"",'FICHA AMALDIÇOADA'!$J$16&amp;"")</f>
        <v/>
      </c>
      <c r="C2656" s="198">
        <f>"'FICHA AMALDIÇOADA'!J16"</f>
        <v/>
      </c>
      <c r="D2656" s="198" t="inlineStr">
        <is>
          <t>entrada</t>
        </is>
      </c>
    </row>
    <row r="2657">
      <c r="A2657" s="198" t="inlineStr">
        <is>
          <t>tecnica.rota.nome</t>
        </is>
      </c>
      <c r="B2657" s="198">
        <f>IF(ISBLANK('FICHA AMALDIÇOADA'!$D$16),"",'FICHA AMALDIÇOADA'!$D$16&amp;"")</f>
        <v/>
      </c>
      <c r="C2657" s="198">
        <f>"'FICHA AMALDIÇOADA'!D16"</f>
        <v/>
      </c>
      <c r="D2657" s="198" t="inlineStr">
        <is>
          <t>resultado</t>
        </is>
      </c>
    </row>
    <row r="2658">
      <c r="A2658" s="198" t="inlineStr">
        <is>
          <t>tecnica.regra_propria.categoria</t>
        </is>
      </c>
      <c r="B2658" s="198">
        <f>IF(ISBLANK('FICHA AMALDIÇOADA'!$P$33),"",'FICHA AMALDIÇOADA'!$P$33&amp;"")</f>
        <v/>
      </c>
      <c r="C2658" s="198">
        <f>"'FICHA AMALDIÇOADA'!P33"</f>
        <v/>
      </c>
      <c r="D2658" s="198" t="inlineStr">
        <is>
          <t>entrada</t>
        </is>
      </c>
    </row>
    <row r="2659">
      <c r="A2659" s="198" t="inlineStr">
        <is>
          <t>tecnica.regra_propria.espacos</t>
        </is>
      </c>
      <c r="B2659" s="198">
        <f>IF(ISBLANK('FICHA AMALDIÇOADA'!$R$33),"",'FICHA AMALDIÇOADA'!$R$33&amp;"")</f>
        <v/>
      </c>
      <c r="C2659" s="198">
        <f>"'FICHA AMALDIÇOADA'!R33"</f>
        <v/>
      </c>
      <c r="D2659" s="198" t="inlineStr">
        <is>
          <t>resultado</t>
        </is>
      </c>
    </row>
    <row r="2660">
      <c r="A2660" s="198" t="inlineStr">
        <is>
          <t>tecnica.regra</t>
        </is>
      </c>
      <c r="B2660" s="198">
        <f>IF(ISBLANK('FICHA AMALDIÇOADA'!$D$22),"",'FICHA AMALDIÇOADA'!$D$22&amp;"")</f>
        <v/>
      </c>
      <c r="C2660" s="198">
        <f>"'FICHA AMALDIÇOADA'!D22"</f>
        <v/>
      </c>
      <c r="D2660" s="198" t="inlineStr">
        <is>
          <t>entrada</t>
        </is>
      </c>
    </row>
    <row r="2661">
      <c r="A2661" s="198" t="inlineStr">
        <is>
          <t>tecnica.descricao</t>
        </is>
      </c>
      <c r="B2661" s="198">
        <f>IF(ISBLANK('FICHA AMALDIÇOADA'!$D$26),"",'FICHA AMALDIÇOADA'!$D$26&amp;"")</f>
        <v/>
      </c>
      <c r="C2661" s="198">
        <f>"'FICHA AMALDIÇOADA'!D26"</f>
        <v/>
      </c>
      <c r="D2661" s="198" t="inlineStr">
        <is>
          <t>entrada</t>
        </is>
      </c>
    </row>
    <row r="2662">
      <c r="A2662" s="198" t="inlineStr">
        <is>
          <t>tecnica.selo</t>
        </is>
      </c>
      <c r="B2662" s="198">
        <f>IF(ISBLANK('FICHA AMALDIÇOADA'!$L$26),"",'FICHA AMALDIÇOADA'!$L$26&amp;"")</f>
        <v/>
      </c>
      <c r="C2662" s="198">
        <f>"'FICHA AMALDIÇOADA'!L26"</f>
        <v/>
      </c>
      <c r="D2662" s="198" t="inlineStr">
        <is>
          <t>entrada</t>
        </is>
      </c>
    </row>
    <row r="2663">
      <c r="A2663" s="198" t="inlineStr">
        <is>
          <t>tecnica.expressao</t>
        </is>
      </c>
      <c r="B2663" s="198">
        <f>IF(ISBLANK('FICHA AMALDIÇOADA'!$L$29),"",'FICHA AMALDIÇOADA'!$L$29&amp;"")</f>
        <v/>
      </c>
      <c r="C2663" s="198">
        <f>"'FICHA AMALDIÇOADA'!L29"</f>
        <v/>
      </c>
      <c r="D2663" s="198" t="inlineStr">
        <is>
          <t>entrada</t>
        </is>
      </c>
    </row>
    <row r="2664">
      <c r="A2664" s="198" t="inlineStr">
        <is>
          <t>tecnica.regra_propria.texto</t>
        </is>
      </c>
      <c r="B2664" s="198">
        <f>IF(ISBLANK('FICHA AMALDIÇOADA'!$D$33),"",'FICHA AMALDIÇOADA'!$D$33&amp;"")</f>
        <v/>
      </c>
      <c r="C2664" s="198">
        <f>"'FICHA AMALDIÇOADA'!D33"</f>
        <v/>
      </c>
      <c r="D2664" s="198" t="inlineStr">
        <is>
          <t>entrada</t>
        </is>
      </c>
    </row>
    <row r="2665">
      <c r="A2665" s="198" t="inlineStr">
        <is>
          <t>tecnica.familia.alcance</t>
        </is>
      </c>
      <c r="B2665" s="198">
        <f>IF(ISBLANK('FICHA AMALDIÇOADA'!$D$37),"",'FICHA AMALDIÇOADA'!$D$37&amp;"")</f>
        <v/>
      </c>
      <c r="C2665" s="198">
        <f>"'FICHA AMALDIÇOADA'!D37"</f>
        <v/>
      </c>
      <c r="D2665" s="198" t="inlineStr">
        <is>
          <t>entrada</t>
        </is>
      </c>
    </row>
    <row r="2666">
      <c r="A2666" s="198" t="inlineStr">
        <is>
          <t>tecnica.familia.area</t>
        </is>
      </c>
      <c r="B2666" s="198">
        <f>IF(ISBLANK('FICHA AMALDIÇOADA'!$E$37),"",'FICHA AMALDIÇOADA'!$E$37&amp;"")</f>
        <v/>
      </c>
      <c r="C2666" s="198">
        <f>"'FICHA AMALDIÇOADA'!E37"</f>
        <v/>
      </c>
      <c r="D2666" s="198" t="inlineStr">
        <is>
          <t>entrada</t>
        </is>
      </c>
    </row>
    <row r="2667">
      <c r="A2667" s="198" t="inlineStr">
        <is>
          <t>tecnica.familia.mira</t>
        </is>
      </c>
      <c r="B2667" s="198">
        <f>IF(ISBLANK('FICHA AMALDIÇOADA'!$F$37),"",'FICHA AMALDIÇOADA'!$F$37&amp;"")</f>
        <v/>
      </c>
      <c r="C2667" s="198">
        <f>"'FICHA AMALDIÇOADA'!F37"</f>
        <v/>
      </c>
      <c r="D2667" s="198" t="inlineStr">
        <is>
          <t>entrada</t>
        </is>
      </c>
    </row>
    <row r="2668">
      <c r="A2668" s="198" t="inlineStr">
        <is>
          <t>tecnica.familia.controle</t>
        </is>
      </c>
      <c r="B2668" s="198">
        <f>IF(ISBLANK('FICHA AMALDIÇOADA'!$G$37),"",'FICHA AMALDIÇOADA'!$G$37&amp;"")</f>
        <v/>
      </c>
      <c r="C2668" s="198">
        <f>"'FICHA AMALDIÇOADA'!G37"</f>
        <v/>
      </c>
      <c r="D2668" s="198" t="inlineStr">
        <is>
          <t>entrada</t>
        </is>
      </c>
    </row>
    <row r="2669">
      <c r="A2669" s="198" t="inlineStr">
        <is>
          <t>tecnica.familia.auxiliares</t>
        </is>
      </c>
      <c r="B2669" s="198">
        <f>IF(ISBLANK('FICHA AMALDIÇOADA'!$J$37),"",'FICHA AMALDIÇOADA'!$J$37&amp;"")</f>
        <v/>
      </c>
      <c r="C2669" s="198">
        <f>"'FICHA AMALDIÇOADA'!J37"</f>
        <v/>
      </c>
      <c r="D2669" s="198" t="inlineStr">
        <is>
          <t>entrada</t>
        </is>
      </c>
    </row>
    <row r="2670">
      <c r="A2670" s="198" t="inlineStr">
        <is>
          <t>tecnica.familia.castigo</t>
        </is>
      </c>
      <c r="B2670" s="198">
        <f>IF(ISBLANK('FICHA AMALDIÇOADA'!$K$37),"",'FICHA AMALDIÇOADA'!$K$37&amp;"")</f>
        <v/>
      </c>
      <c r="C2670" s="198">
        <f>"'FICHA AMALDIÇOADA'!K37"</f>
        <v/>
      </c>
      <c r="D2670" s="198" t="inlineStr">
        <is>
          <t>entrada</t>
        </is>
      </c>
    </row>
    <row r="2671">
      <c r="A2671" s="198" t="inlineStr">
        <is>
          <t>tecnica.familia.tempo</t>
        </is>
      </c>
      <c r="B2671" s="198">
        <f>IF(ISBLANK('FICHA AMALDIÇOADA'!$L$37),"",'FICHA AMALDIÇOADA'!$L$37&amp;"")</f>
        <v/>
      </c>
      <c r="C2671" s="198">
        <f>"'FICHA AMALDIÇOADA'!L37"</f>
        <v/>
      </c>
      <c r="D2671" s="198" t="inlineStr">
        <is>
          <t>entrada</t>
        </is>
      </c>
    </row>
    <row r="2672">
      <c r="A2672" s="198" t="inlineStr">
        <is>
          <t>tecnica.familia.marca</t>
        </is>
      </c>
      <c r="B2672" s="198">
        <f>IF(ISBLANK('FICHA AMALDIÇOADA'!$M$37),"",'FICHA AMALDIÇOADA'!$M$37&amp;"")</f>
        <v/>
      </c>
      <c r="C2672" s="198">
        <f>"'FICHA AMALDIÇOADA'!M37"</f>
        <v/>
      </c>
      <c r="D2672" s="198" t="inlineStr">
        <is>
          <t>entrada</t>
        </is>
      </c>
    </row>
    <row r="2673">
      <c r="A2673" s="198" t="inlineStr">
        <is>
          <t>tecnica.familia.amparo</t>
        </is>
      </c>
      <c r="B2673" s="198">
        <f>IF(ISBLANK('FICHA AMALDIÇOADA'!$P$37),"",'FICHA AMALDIÇOADA'!$P$37&amp;"")</f>
        <v/>
      </c>
      <c r="C2673" s="198">
        <f>"'FICHA AMALDIÇOADA'!P37"</f>
        <v/>
      </c>
      <c r="D2673" s="198" t="inlineStr">
        <is>
          <t>entrada</t>
        </is>
      </c>
    </row>
    <row r="2674">
      <c r="A2674" s="198" t="inlineStr">
        <is>
          <t>tecnica.grupo.1</t>
        </is>
      </c>
      <c r="B2674" s="198">
        <f>IF(ISBLANK('FICHA AMALDIÇOADA'!$D$18),"",'FICHA AMALDIÇOADA'!$D$18&amp;"")</f>
        <v/>
      </c>
      <c r="C2674" s="198">
        <f>"'FICHA AMALDIÇOADA'!D18"</f>
        <v/>
      </c>
      <c r="D2674" s="198" t="inlineStr">
        <is>
          <t>entrada</t>
        </is>
      </c>
    </row>
    <row r="2675">
      <c r="A2675" s="198" t="inlineStr">
        <is>
          <t>tecnica.grupo.2</t>
        </is>
      </c>
      <c r="B2675" s="198">
        <f>IF(ISBLANK('FICHA AMALDIÇOADA'!$J$18),"",'FICHA AMALDIÇOADA'!$J$18&amp;"")</f>
        <v/>
      </c>
      <c r="C2675" s="198">
        <f>"'FICHA AMALDIÇOADA'!J18"</f>
        <v/>
      </c>
      <c r="D2675" s="198" t="inlineStr">
        <is>
          <t>entrada</t>
        </is>
      </c>
    </row>
    <row r="2676">
      <c r="A2676" s="198" t="inlineStr">
        <is>
          <t>tecnica.grupo.3</t>
        </is>
      </c>
      <c r="B2676" s="198">
        <f>IF(ISBLANK('FICHA AMALDIÇOADA'!$P$18),"",'FICHA AMALDIÇOADA'!$P$18&amp;"")</f>
        <v/>
      </c>
      <c r="C2676" s="198">
        <f>"'FICHA AMALDIÇOADA'!P18"</f>
        <v/>
      </c>
      <c r="D2676" s="198" t="inlineStr">
        <is>
          <t>entrada</t>
        </is>
      </c>
    </row>
    <row r="2677">
      <c r="A2677" s="198" t="inlineStr">
        <is>
          <t>feitico.1.texto</t>
        </is>
      </c>
      <c r="B2677" s="198">
        <f>IF(ISBLANK('FICHA AMALDIÇOADA'!$D$66),"",'FICHA AMALDIÇOADA'!$D$66&amp;"")</f>
        <v/>
      </c>
      <c r="C2677" s="198">
        <f>"'FICHA AMALDIÇOADA'!D53"</f>
        <v/>
      </c>
      <c r="D2677" s="198" t="inlineStr">
        <is>
          <t>entrada</t>
        </is>
      </c>
    </row>
    <row r="2678">
      <c r="A2678" s="198" t="inlineStr">
        <is>
          <t>feitico.1.acao</t>
        </is>
      </c>
      <c r="B2678" s="198">
        <f>IF(ISBLANK('FICHA AMALDIÇOADA'!$D$72),"",'FICHA AMALDIÇOADA'!$D$72&amp;"")</f>
        <v/>
      </c>
      <c r="C2678" s="198">
        <f>"'FICHA AMALDIÇOADA'!D59"</f>
        <v/>
      </c>
      <c r="D2678" s="198" t="inlineStr">
        <is>
          <t>resultado</t>
        </is>
      </c>
    </row>
    <row r="2679">
      <c r="A2679" s="198" t="inlineStr">
        <is>
          <t>feitico.2.texto</t>
        </is>
      </c>
      <c r="B2679" s="198">
        <f>IF(ISBLANK('FICHA AMALDIÇOADA'!$J$66),"",'FICHA AMALDIÇOADA'!$J$66&amp;"")</f>
        <v/>
      </c>
      <c r="C2679" s="198">
        <f>"'FICHA AMALDIÇOADA'!J53"</f>
        <v/>
      </c>
      <c r="D2679" s="198" t="inlineStr">
        <is>
          <t>entrada</t>
        </is>
      </c>
    </row>
    <row r="2680">
      <c r="A2680" s="198" t="inlineStr">
        <is>
          <t>feitico.2.acao</t>
        </is>
      </c>
      <c r="B2680" s="198">
        <f>IF(ISBLANK('FICHA AMALDIÇOADA'!$J$72),"",'FICHA AMALDIÇOADA'!$J$72&amp;"")</f>
        <v/>
      </c>
      <c r="C2680" s="198">
        <f>"'FICHA AMALDIÇOADA'!J59"</f>
        <v/>
      </c>
      <c r="D2680" s="198" t="inlineStr">
        <is>
          <t>resultado</t>
        </is>
      </c>
    </row>
    <row r="2681">
      <c r="A2681" s="198" t="inlineStr">
        <is>
          <t>feitico.3.texto</t>
        </is>
      </c>
      <c r="B2681" s="198">
        <f>IF(ISBLANK('FICHA AMALDIÇOADA'!$P$66),"",'FICHA AMALDIÇOADA'!$P$66&amp;"")</f>
        <v/>
      </c>
      <c r="C2681" s="198">
        <f>"'FICHA AMALDIÇOADA'!P53"</f>
        <v/>
      </c>
      <c r="D2681" s="198" t="inlineStr">
        <is>
          <t>entrada</t>
        </is>
      </c>
    </row>
    <row r="2682">
      <c r="A2682" s="198" t="inlineStr">
        <is>
          <t>feitico.3.acao</t>
        </is>
      </c>
      <c r="B2682" s="198">
        <f>IF(ISBLANK('FICHA AMALDIÇOADA'!$P$72),"",'FICHA AMALDIÇOADA'!$P$72&amp;"")</f>
        <v/>
      </c>
      <c r="C2682" s="198">
        <f>"'FICHA AMALDIÇOADA'!P59"</f>
        <v/>
      </c>
      <c r="D2682" s="198" t="inlineStr">
        <is>
          <t>resultado</t>
        </is>
      </c>
    </row>
    <row r="2683">
      <c r="A2683" s="198" t="inlineStr">
        <is>
          <t>feitico.4.texto</t>
        </is>
      </c>
      <c r="B2683" s="198">
        <f>IF(ISBLANK('FICHA AMALDIÇOADA'!$D$87),"",'FICHA AMALDIÇOADA'!$D$87&amp;"")</f>
        <v/>
      </c>
      <c r="C2683" s="198">
        <f>"'FICHA AMALDIÇOADA'!D74"</f>
        <v/>
      </c>
      <c r="D2683" s="198" t="inlineStr">
        <is>
          <t>entrada</t>
        </is>
      </c>
    </row>
    <row r="2684">
      <c r="A2684" s="198" t="inlineStr">
        <is>
          <t>feitico.4.acao</t>
        </is>
      </c>
      <c r="B2684" s="198">
        <f>IF(ISBLANK('FICHA AMALDIÇOADA'!$D$93),"",'FICHA AMALDIÇOADA'!$D$93&amp;"")</f>
        <v/>
      </c>
      <c r="C2684" s="198">
        <f>"'FICHA AMALDIÇOADA'!D80"</f>
        <v/>
      </c>
      <c r="D2684" s="198" t="inlineStr">
        <is>
          <t>resultado</t>
        </is>
      </c>
    </row>
    <row r="2685">
      <c r="A2685" s="198" t="inlineStr">
        <is>
          <t>feitico.5.texto</t>
        </is>
      </c>
      <c r="B2685" s="198">
        <f>IF(ISBLANK('FICHA AMALDIÇOADA'!$J$87),"",'FICHA AMALDIÇOADA'!$J$87&amp;"")</f>
        <v/>
      </c>
      <c r="C2685" s="198">
        <f>"'FICHA AMALDIÇOADA'!J74"</f>
        <v/>
      </c>
      <c r="D2685" s="198" t="inlineStr">
        <is>
          <t>entrada</t>
        </is>
      </c>
    </row>
    <row r="2686">
      <c r="A2686" s="198" t="inlineStr">
        <is>
          <t>feitico.5.acao</t>
        </is>
      </c>
      <c r="B2686" s="198">
        <f>IF(ISBLANK('FICHA AMALDIÇOADA'!$J$93),"",'FICHA AMALDIÇOADA'!$J$93&amp;"")</f>
        <v/>
      </c>
      <c r="C2686" s="198">
        <f>"'FICHA AMALDIÇOADA'!J80"</f>
        <v/>
      </c>
      <c r="D2686" s="198" t="inlineStr">
        <is>
          <t>resultado</t>
        </is>
      </c>
    </row>
    <row r="2687">
      <c r="A2687" s="198" t="inlineStr">
        <is>
          <t>feitico.6.texto</t>
        </is>
      </c>
      <c r="B2687" s="198">
        <f>IF(ISBLANK('FICHA AMALDIÇOADA'!$P$87),"",'FICHA AMALDIÇOADA'!$P$87&amp;"")</f>
        <v/>
      </c>
      <c r="C2687" s="198">
        <f>"'FICHA AMALDIÇOADA'!P74"</f>
        <v/>
      </c>
      <c r="D2687" s="198" t="inlineStr">
        <is>
          <t>entrada</t>
        </is>
      </c>
    </row>
    <row r="2688">
      <c r="A2688" s="198" t="inlineStr">
        <is>
          <t>feitico.6.acao</t>
        </is>
      </c>
      <c r="B2688" s="198">
        <f>IF(ISBLANK('FICHA AMALDIÇOADA'!$P$93),"",'FICHA AMALDIÇOADA'!$P$93&amp;"")</f>
        <v/>
      </c>
      <c r="C2688" s="198">
        <f>"'FICHA AMALDIÇOADA'!P80"</f>
        <v/>
      </c>
      <c r="D2688" s="198" t="inlineStr">
        <is>
          <t>resultado</t>
        </is>
      </c>
    </row>
    <row r="2689">
      <c r="A2689" s="198" t="inlineStr">
        <is>
          <t>feitico.7.texto</t>
        </is>
      </c>
      <c r="B2689" s="198">
        <f>IF(ISBLANK('FICHA AMALDIÇOADA'!$D$108),"",'FICHA AMALDIÇOADA'!$D$108&amp;"")</f>
        <v/>
      </c>
      <c r="C2689" s="198">
        <f>"'FICHA AMALDIÇOADA'!D95"</f>
        <v/>
      </c>
      <c r="D2689" s="198" t="inlineStr">
        <is>
          <t>entrada</t>
        </is>
      </c>
    </row>
    <row r="2690">
      <c r="A2690" s="198" t="inlineStr">
        <is>
          <t>feitico.7.acao</t>
        </is>
      </c>
      <c r="B2690" s="198">
        <f>IF(ISBLANK('FICHA AMALDIÇOADA'!$D$114),"",'FICHA AMALDIÇOADA'!$D$114&amp;"")</f>
        <v/>
      </c>
      <c r="C2690" s="198">
        <f>"'FICHA AMALDIÇOADA'!D101"</f>
        <v/>
      </c>
      <c r="D2690" s="198" t="inlineStr">
        <is>
          <t>resultado</t>
        </is>
      </c>
    </row>
    <row r="2691">
      <c r="A2691" s="198" t="inlineStr">
        <is>
          <t>feitico.8.texto</t>
        </is>
      </c>
      <c r="B2691" s="198">
        <f>IF(ISBLANK('FICHA AMALDIÇOADA'!$J$108),"",'FICHA AMALDIÇOADA'!$J$108&amp;"")</f>
        <v/>
      </c>
      <c r="C2691" s="198">
        <f>"'FICHA AMALDIÇOADA'!J95"</f>
        <v/>
      </c>
      <c r="D2691" s="198" t="inlineStr">
        <is>
          <t>entrada</t>
        </is>
      </c>
    </row>
    <row r="2692">
      <c r="A2692" s="198" t="inlineStr">
        <is>
          <t>feitico.8.acao</t>
        </is>
      </c>
      <c r="B2692" s="198">
        <f>IF(ISBLANK('FICHA AMALDIÇOADA'!$J$114),"",'FICHA AMALDIÇOADA'!$J$114&amp;"")</f>
        <v/>
      </c>
      <c r="C2692" s="198">
        <f>"'FICHA AMALDIÇOADA'!J101"</f>
        <v/>
      </c>
      <c r="D2692" s="198" t="inlineStr">
        <is>
          <t>resultado</t>
        </is>
      </c>
    </row>
    <row r="2693">
      <c r="A2693" s="198" t="inlineStr">
        <is>
          <t>feitico.9.texto</t>
        </is>
      </c>
      <c r="B2693" s="198">
        <f>IF(ISBLANK('FICHA AMALDIÇOADA'!$P$108),"",'FICHA AMALDIÇOADA'!$P$108&amp;"")</f>
        <v/>
      </c>
      <c r="C2693" s="198">
        <f>"'FICHA AMALDIÇOADA'!P95"</f>
        <v/>
      </c>
      <c r="D2693" s="198" t="inlineStr">
        <is>
          <t>entrada</t>
        </is>
      </c>
    </row>
    <row r="2694">
      <c r="A2694" s="198" t="inlineStr">
        <is>
          <t>feitico.9.acao</t>
        </is>
      </c>
      <c r="B2694" s="198">
        <f>IF(ISBLANK('FICHA AMALDIÇOADA'!$P$114),"",'FICHA AMALDIÇOADA'!$P$114&amp;"")</f>
        <v/>
      </c>
      <c r="C2694" s="198">
        <f>"'FICHA AMALDIÇOADA'!P101"</f>
        <v/>
      </c>
      <c r="D2694" s="198" t="inlineStr">
        <is>
          <t>resultado</t>
        </is>
      </c>
    </row>
    <row r="2695">
      <c r="A2695" s="198" t="inlineStr">
        <is>
          <t>feitico.10.texto</t>
        </is>
      </c>
      <c r="B2695" s="198">
        <f>IF(ISBLANK('FICHA AMALDIÇOADA'!$D$129),"",'FICHA AMALDIÇOADA'!$D$129&amp;"")</f>
        <v/>
      </c>
      <c r="C2695" s="198">
        <f>"'FICHA AMALDIÇOADA'!D116"</f>
        <v/>
      </c>
      <c r="D2695" s="198" t="inlineStr">
        <is>
          <t>entrada</t>
        </is>
      </c>
    </row>
    <row r="2696">
      <c r="A2696" s="198" t="inlineStr">
        <is>
          <t>feitico.10.acao</t>
        </is>
      </c>
      <c r="B2696" s="198">
        <f>IF(ISBLANK('FICHA AMALDIÇOADA'!$D$135),"",'FICHA AMALDIÇOADA'!$D$135&amp;"")</f>
        <v/>
      </c>
      <c r="C2696" s="198">
        <f>"'FICHA AMALDIÇOADA'!D122"</f>
        <v/>
      </c>
      <c r="D2696" s="198" t="inlineStr">
        <is>
          <t>resultado</t>
        </is>
      </c>
    </row>
    <row r="2697">
      <c r="A2697" s="198" t="inlineStr">
        <is>
          <t>feitico.11.texto</t>
        </is>
      </c>
      <c r="B2697" s="198">
        <f>IF(ISBLANK('FICHA AMALDIÇOADA'!$J$129),"",'FICHA AMALDIÇOADA'!$J$129&amp;"")</f>
        <v/>
      </c>
      <c r="C2697" s="198">
        <f>"'FICHA AMALDIÇOADA'!J116"</f>
        <v/>
      </c>
      <c r="D2697" s="198" t="inlineStr">
        <is>
          <t>entrada</t>
        </is>
      </c>
    </row>
    <row r="2698">
      <c r="A2698" s="198" t="inlineStr">
        <is>
          <t>feitico.11.acao</t>
        </is>
      </c>
      <c r="B2698" s="198">
        <f>IF(ISBLANK('FICHA AMALDIÇOADA'!$J$135),"",'FICHA AMALDIÇOADA'!$J$135&amp;"")</f>
        <v/>
      </c>
      <c r="C2698" s="198">
        <f>"'FICHA AMALDIÇOADA'!J122"</f>
        <v/>
      </c>
      <c r="D2698" s="198" t="inlineStr">
        <is>
          <t>resultado</t>
        </is>
      </c>
    </row>
    <row r="2699">
      <c r="A2699" s="198" t="inlineStr">
        <is>
          <t>feitico.12.texto</t>
        </is>
      </c>
      <c r="B2699" s="198">
        <f>IF(ISBLANK('FICHA AMALDIÇOADA'!$P$129),"",'FICHA AMALDIÇOADA'!$P$129&amp;"")</f>
        <v/>
      </c>
      <c r="C2699" s="198">
        <f>"'FICHA AMALDIÇOADA'!P116"</f>
        <v/>
      </c>
      <c r="D2699" s="198" t="inlineStr">
        <is>
          <t>entrada</t>
        </is>
      </c>
    </row>
    <row r="2700">
      <c r="A2700" s="198" t="inlineStr">
        <is>
          <t>feitico.12.acao</t>
        </is>
      </c>
      <c r="B2700" s="198">
        <f>IF(ISBLANK('FICHA AMALDIÇOADA'!$P$135),"",'FICHA AMALDIÇOADA'!$P$135&amp;"")</f>
        <v/>
      </c>
      <c r="C2700" s="198">
        <f>"'FICHA AMALDIÇOADA'!P122"</f>
        <v/>
      </c>
      <c r="D2700" s="198" t="inlineStr">
        <is>
          <t>resultado</t>
        </is>
      </c>
    </row>
    <row r="2701">
      <c r="A2701" s="198" t="inlineStr">
        <is>
          <t>feitico.13.texto</t>
        </is>
      </c>
      <c r="B2701" s="198">
        <f>IF(ISBLANK('FICHA AMALDIÇOADA'!$D$152),"",'FICHA AMALDIÇOADA'!$D$152&amp;"")</f>
        <v/>
      </c>
      <c r="C2701" s="198">
        <f>"'FICHA AMALDIÇOADA'!D139"</f>
        <v/>
      </c>
      <c r="D2701" s="198" t="inlineStr">
        <is>
          <t>entrada</t>
        </is>
      </c>
    </row>
    <row r="2702">
      <c r="A2702" s="198" t="inlineStr">
        <is>
          <t>feitico.13.acao</t>
        </is>
      </c>
      <c r="B2702" s="198">
        <f>IF(ISBLANK('FICHA AMALDIÇOADA'!$D$158),"",'FICHA AMALDIÇOADA'!$D$158&amp;"")</f>
        <v/>
      </c>
      <c r="C2702" s="198">
        <f>"'FICHA AMALDIÇOADA'!D145"</f>
        <v/>
      </c>
      <c r="D2702" s="198" t="inlineStr">
        <is>
          <t>resultado</t>
        </is>
      </c>
    </row>
    <row r="2703">
      <c r="A2703" s="198" t="inlineStr">
        <is>
          <t>feitico.14.texto</t>
        </is>
      </c>
      <c r="B2703" s="198">
        <f>IF(ISBLANK('FICHA AMALDIÇOADA'!$J$152),"",'FICHA AMALDIÇOADA'!$J$152&amp;"")</f>
        <v/>
      </c>
      <c r="C2703" s="198">
        <f>"'FICHA AMALDIÇOADA'!J139"</f>
        <v/>
      </c>
      <c r="D2703" s="198" t="inlineStr">
        <is>
          <t>entrada</t>
        </is>
      </c>
    </row>
    <row r="2704">
      <c r="A2704" s="198" t="inlineStr">
        <is>
          <t>feitico.14.acao</t>
        </is>
      </c>
      <c r="B2704" s="198">
        <f>IF(ISBLANK('FICHA AMALDIÇOADA'!$J$158),"",'FICHA AMALDIÇOADA'!$J$158&amp;"")</f>
        <v/>
      </c>
      <c r="C2704" s="198">
        <f>"'FICHA AMALDIÇOADA'!J145"</f>
        <v/>
      </c>
      <c r="D2704" s="198" t="inlineStr">
        <is>
          <t>resultado</t>
        </is>
      </c>
    </row>
    <row r="2705">
      <c r="A2705" s="198" t="inlineStr">
        <is>
          <t>feitico.15.texto</t>
        </is>
      </c>
      <c r="B2705" s="198">
        <f>IF(ISBLANK('FICHA AMALDIÇOADA'!$P$152),"",'FICHA AMALDIÇOADA'!$P$152&amp;"")</f>
        <v/>
      </c>
      <c r="C2705" s="198">
        <f>"'FICHA AMALDIÇOADA'!P139"</f>
        <v/>
      </c>
      <c r="D2705" s="198" t="inlineStr">
        <is>
          <t>entrada</t>
        </is>
      </c>
    </row>
    <row r="2706">
      <c r="A2706" s="198" t="inlineStr">
        <is>
          <t>feitico.15.acao</t>
        </is>
      </c>
      <c r="B2706" s="198">
        <f>IF(ISBLANK('FICHA AMALDIÇOADA'!$P$158),"",'FICHA AMALDIÇOADA'!$P$158&amp;"")</f>
        <v/>
      </c>
      <c r="C2706" s="198">
        <f>"'FICHA AMALDIÇOADA'!P145"</f>
        <v/>
      </c>
      <c r="D2706" s="198" t="inlineStr">
        <is>
          <t>resultado</t>
        </is>
      </c>
    </row>
    <row r="2707">
      <c r="A2707" s="198" t="inlineStr">
        <is>
          <t>feitico.16.texto</t>
        </is>
      </c>
      <c r="B2707" s="198">
        <f>IF(ISBLANK('FICHA AMALDIÇOADA'!$D$173),"",'FICHA AMALDIÇOADA'!$D$173&amp;"")</f>
        <v/>
      </c>
      <c r="C2707" s="198">
        <f>"'FICHA AMALDIÇOADA'!D160"</f>
        <v/>
      </c>
      <c r="D2707" s="198" t="inlineStr">
        <is>
          <t>entrada</t>
        </is>
      </c>
    </row>
    <row r="2708">
      <c r="A2708" s="198" t="inlineStr">
        <is>
          <t>feitico.16.acao</t>
        </is>
      </c>
      <c r="B2708" s="198">
        <f>IF(ISBLANK('FICHA AMALDIÇOADA'!$D$179),"",'FICHA AMALDIÇOADA'!$D$179&amp;"")</f>
        <v/>
      </c>
      <c r="C2708" s="198">
        <f>"'FICHA AMALDIÇOADA'!D166"</f>
        <v/>
      </c>
      <c r="D2708" s="198" t="inlineStr">
        <is>
          <t>resultado</t>
        </is>
      </c>
    </row>
    <row r="2709">
      <c r="A2709" s="198" t="inlineStr">
        <is>
          <t>feitico.17.texto</t>
        </is>
      </c>
      <c r="B2709" s="198">
        <f>IF(ISBLANK('FICHA AMALDIÇOADA'!$J$173),"",'FICHA AMALDIÇOADA'!$J$173&amp;"")</f>
        <v/>
      </c>
      <c r="C2709" s="198">
        <f>"'FICHA AMALDIÇOADA'!J160"</f>
        <v/>
      </c>
      <c r="D2709" s="198" t="inlineStr">
        <is>
          <t>entrada</t>
        </is>
      </c>
    </row>
    <row r="2710">
      <c r="A2710" s="198" t="inlineStr">
        <is>
          <t>feitico.17.acao</t>
        </is>
      </c>
      <c r="B2710" s="198">
        <f>IF(ISBLANK('FICHA AMALDIÇOADA'!$J$179),"",'FICHA AMALDIÇOADA'!$J$179&amp;"")</f>
        <v/>
      </c>
      <c r="C2710" s="198">
        <f>"'FICHA AMALDIÇOADA'!J166"</f>
        <v/>
      </c>
      <c r="D2710" s="198" t="inlineStr">
        <is>
          <t>resultado</t>
        </is>
      </c>
    </row>
    <row r="2711">
      <c r="A2711" s="198" t="inlineStr">
        <is>
          <t>feitico.18.texto</t>
        </is>
      </c>
      <c r="B2711" s="198">
        <f>IF(ISBLANK('FICHA AMALDIÇOADA'!$P$173),"",'FICHA AMALDIÇOADA'!$P$173&amp;"")</f>
        <v/>
      </c>
      <c r="C2711" s="198">
        <f>"'FICHA AMALDIÇOADA'!P160"</f>
        <v/>
      </c>
      <c r="D2711" s="198" t="inlineStr">
        <is>
          <t>entrada</t>
        </is>
      </c>
    </row>
    <row r="2712">
      <c r="A2712" s="198" t="inlineStr">
        <is>
          <t>feitico.18.acao</t>
        </is>
      </c>
      <c r="B2712" s="198">
        <f>IF(ISBLANK('FICHA AMALDIÇOADA'!$P$179),"",'FICHA AMALDIÇOADA'!$P$179&amp;"")</f>
        <v/>
      </c>
      <c r="C2712" s="198">
        <f>"'FICHA AMALDIÇOADA'!P166"</f>
        <v/>
      </c>
      <c r="D2712" s="198" t="inlineStr">
        <is>
          <t>resultado</t>
        </is>
      </c>
    </row>
    <row r="2713">
      <c r="A2713" s="198" t="inlineStr">
        <is>
          <t>feitico.19.texto</t>
        </is>
      </c>
      <c r="B2713" s="198">
        <f>IF(ISBLANK('FICHA AMALDIÇOADA'!$D$194),"",'FICHA AMALDIÇOADA'!$D$194&amp;"")</f>
        <v/>
      </c>
      <c r="C2713" s="198">
        <f>"'FICHA AMALDIÇOADA'!D181"</f>
        <v/>
      </c>
      <c r="D2713" s="198" t="inlineStr">
        <is>
          <t>entrada</t>
        </is>
      </c>
    </row>
    <row r="2714">
      <c r="A2714" s="198" t="inlineStr">
        <is>
          <t>feitico.19.acao</t>
        </is>
      </c>
      <c r="B2714" s="198">
        <f>IF(ISBLANK('FICHA AMALDIÇOADA'!$D$200),"",'FICHA AMALDIÇOADA'!$D$200&amp;"")</f>
        <v/>
      </c>
      <c r="C2714" s="198">
        <f>"'FICHA AMALDIÇOADA'!D187"</f>
        <v/>
      </c>
      <c r="D2714" s="198" t="inlineStr">
        <is>
          <t>resultado</t>
        </is>
      </c>
    </row>
    <row r="2715">
      <c r="A2715" s="198" t="inlineStr">
        <is>
          <t>feitico.20.texto</t>
        </is>
      </c>
      <c r="B2715" s="198">
        <f>IF(ISBLANK('FICHA AMALDIÇOADA'!$J$194),"",'FICHA AMALDIÇOADA'!$J$194&amp;"")</f>
        <v/>
      </c>
      <c r="C2715" s="198">
        <f>"'FICHA AMALDIÇOADA'!J181"</f>
        <v/>
      </c>
      <c r="D2715" s="198" t="inlineStr">
        <is>
          <t>entrada</t>
        </is>
      </c>
    </row>
    <row r="2716">
      <c r="A2716" s="198" t="inlineStr">
        <is>
          <t>feitico.20.acao</t>
        </is>
      </c>
      <c r="B2716" s="198">
        <f>IF(ISBLANK('FICHA AMALDIÇOADA'!$J$200),"",'FICHA AMALDIÇOADA'!$J$200&amp;"")</f>
        <v/>
      </c>
      <c r="C2716" s="198">
        <f>"'FICHA AMALDIÇOADA'!J187"</f>
        <v/>
      </c>
      <c r="D2716" s="198" t="inlineStr">
        <is>
          <t>resultado</t>
        </is>
      </c>
    </row>
    <row r="2717">
      <c r="A2717" s="198" t="inlineStr">
        <is>
          <t>feitico.21.texto</t>
        </is>
      </c>
      <c r="B2717" s="198">
        <f>IF(ISBLANK('FICHA AMALDIÇOADA'!$P$194),"",'FICHA AMALDIÇOADA'!$P$194&amp;"")</f>
        <v/>
      </c>
      <c r="C2717" s="198">
        <f>"'FICHA AMALDIÇOADA'!P181"</f>
        <v/>
      </c>
      <c r="D2717" s="198" t="inlineStr">
        <is>
          <t>entrada</t>
        </is>
      </c>
    </row>
    <row r="2718">
      <c r="A2718" s="198" t="inlineStr">
        <is>
          <t>feitico.21.acao</t>
        </is>
      </c>
      <c r="B2718" s="198">
        <f>IF(ISBLANK('FICHA AMALDIÇOADA'!$P$200),"",'FICHA AMALDIÇOADA'!$P$200&amp;"")</f>
        <v/>
      </c>
      <c r="C2718" s="198">
        <f>"'FICHA AMALDIÇOADA'!P187"</f>
        <v/>
      </c>
      <c r="D2718" s="198" t="inlineStr">
        <is>
          <t>resultado</t>
        </is>
      </c>
    </row>
    <row r="2719">
      <c r="A2719" s="198" t="inlineStr">
        <is>
          <t>feitico.22.texto</t>
        </is>
      </c>
      <c r="B2719" s="198">
        <f>IF(ISBLANK('FICHA AMALDIÇOADA'!$D$215),"",'FICHA AMALDIÇOADA'!$D$215&amp;"")</f>
        <v/>
      </c>
      <c r="C2719" s="198">
        <f>"'FICHA AMALDIÇOADA'!D202"</f>
        <v/>
      </c>
      <c r="D2719" s="198" t="inlineStr">
        <is>
          <t>entrada</t>
        </is>
      </c>
    </row>
    <row r="2720">
      <c r="A2720" s="198" t="inlineStr">
        <is>
          <t>feitico.22.acao</t>
        </is>
      </c>
      <c r="B2720" s="198">
        <f>IF(ISBLANK('FICHA AMALDIÇOADA'!$D$221),"",'FICHA AMALDIÇOADA'!$D$221&amp;"")</f>
        <v/>
      </c>
      <c r="C2720" s="198">
        <f>"'FICHA AMALDIÇOADA'!D208"</f>
        <v/>
      </c>
      <c r="D2720" s="198" t="inlineStr">
        <is>
          <t>resultado</t>
        </is>
      </c>
    </row>
    <row r="2721">
      <c r="A2721" s="198" t="inlineStr">
        <is>
          <t>feitico.23.texto</t>
        </is>
      </c>
      <c r="B2721" s="198">
        <f>IF(ISBLANK('FICHA AMALDIÇOADA'!$J$215),"",'FICHA AMALDIÇOADA'!$J$215&amp;"")</f>
        <v/>
      </c>
      <c r="C2721" s="198">
        <f>"'FICHA AMALDIÇOADA'!J202"</f>
        <v/>
      </c>
      <c r="D2721" s="198" t="inlineStr">
        <is>
          <t>entrada</t>
        </is>
      </c>
    </row>
    <row r="2722">
      <c r="A2722" s="198" t="inlineStr">
        <is>
          <t>feitico.23.acao</t>
        </is>
      </c>
      <c r="B2722" s="198">
        <f>IF(ISBLANK('FICHA AMALDIÇOADA'!$J$221),"",'FICHA AMALDIÇOADA'!$J$221&amp;"")</f>
        <v/>
      </c>
      <c r="C2722" s="198">
        <f>"'FICHA AMALDIÇOADA'!J208"</f>
        <v/>
      </c>
      <c r="D2722" s="198" t="inlineStr">
        <is>
          <t>resultado</t>
        </is>
      </c>
    </row>
    <row r="2723">
      <c r="A2723" s="198" t="inlineStr">
        <is>
          <t>feitico.24.texto</t>
        </is>
      </c>
      <c r="B2723" s="198">
        <f>IF(ISBLANK('FICHA AMALDIÇOADA'!$P$215),"",'FICHA AMALDIÇOADA'!$P$215&amp;"")</f>
        <v/>
      </c>
      <c r="C2723" s="198">
        <f>"'FICHA AMALDIÇOADA'!P202"</f>
        <v/>
      </c>
      <c r="D2723" s="198" t="inlineStr">
        <is>
          <t>entrada</t>
        </is>
      </c>
    </row>
    <row r="2724">
      <c r="A2724" s="198" t="inlineStr">
        <is>
          <t>feitico.24.acao</t>
        </is>
      </c>
      <c r="B2724" s="198">
        <f>IF(ISBLANK('FICHA AMALDIÇOADA'!$P$221),"",'FICHA AMALDIÇOADA'!$P$221&amp;"")</f>
        <v/>
      </c>
      <c r="C2724" s="198">
        <f>"'FICHA AMALDIÇOADA'!P208"</f>
        <v/>
      </c>
      <c r="D2724" s="198" t="inlineStr">
        <is>
          <t>resultado</t>
        </is>
      </c>
    </row>
    <row r="2725">
      <c r="A2725" s="198" t="inlineStr">
        <is>
          <t>feitico.25.texto</t>
        </is>
      </c>
      <c r="B2725" s="198">
        <f>IF(ISBLANK('FICHA AMALDIÇOADA'!$D$238),"",'FICHA AMALDIÇOADA'!$D$238&amp;"")</f>
        <v/>
      </c>
      <c r="C2725" s="198">
        <f>"'FICHA AMALDIÇOADA'!D225"</f>
        <v/>
      </c>
      <c r="D2725" s="198" t="inlineStr">
        <is>
          <t>entrada</t>
        </is>
      </c>
    </row>
    <row r="2726">
      <c r="A2726" s="198" t="inlineStr">
        <is>
          <t>feitico.25.acao</t>
        </is>
      </c>
      <c r="B2726" s="198">
        <f>IF(ISBLANK('FICHA AMALDIÇOADA'!$D$244),"",'FICHA AMALDIÇOADA'!$D$244&amp;"")</f>
        <v/>
      </c>
      <c r="C2726" s="198">
        <f>"'FICHA AMALDIÇOADA'!D231"</f>
        <v/>
      </c>
      <c r="D2726" s="198" t="inlineStr">
        <is>
          <t>resultado</t>
        </is>
      </c>
    </row>
    <row r="2727">
      <c r="A2727" s="198" t="inlineStr">
        <is>
          <t>feitico.26.texto</t>
        </is>
      </c>
      <c r="B2727" s="198">
        <f>IF(ISBLANK('FICHA AMALDIÇOADA'!$J$238),"",'FICHA AMALDIÇOADA'!$J$238&amp;"")</f>
        <v/>
      </c>
      <c r="C2727" s="198">
        <f>"'FICHA AMALDIÇOADA'!J225"</f>
        <v/>
      </c>
      <c r="D2727" s="198" t="inlineStr">
        <is>
          <t>entrada</t>
        </is>
      </c>
    </row>
    <row r="2728">
      <c r="A2728" s="198" t="inlineStr">
        <is>
          <t>feitico.26.acao</t>
        </is>
      </c>
      <c r="B2728" s="198">
        <f>IF(ISBLANK('FICHA AMALDIÇOADA'!$J$244),"",'FICHA AMALDIÇOADA'!$J$244&amp;"")</f>
        <v/>
      </c>
      <c r="C2728" s="198">
        <f>"'FICHA AMALDIÇOADA'!J231"</f>
        <v/>
      </c>
      <c r="D2728" s="198" t="inlineStr">
        <is>
          <t>resultado</t>
        </is>
      </c>
    </row>
    <row r="2729">
      <c r="A2729" s="198" t="inlineStr">
        <is>
          <t>feitico.27.texto</t>
        </is>
      </c>
      <c r="B2729" s="198">
        <f>IF(ISBLANK('FICHA AMALDIÇOADA'!$P$238),"",'FICHA AMALDIÇOADA'!$P$238&amp;"")</f>
        <v/>
      </c>
      <c r="C2729" s="198">
        <f>"'FICHA AMALDIÇOADA'!P225"</f>
        <v/>
      </c>
      <c r="D2729" s="198" t="inlineStr">
        <is>
          <t>entrada</t>
        </is>
      </c>
    </row>
    <row r="2730">
      <c r="A2730" s="198" t="inlineStr">
        <is>
          <t>feitico.27.acao</t>
        </is>
      </c>
      <c r="B2730" s="198">
        <f>IF(ISBLANK('FICHA AMALDIÇOADA'!$P$244),"",'FICHA AMALDIÇOADA'!$P$244&amp;"")</f>
        <v/>
      </c>
      <c r="C2730" s="198">
        <f>"'FICHA AMALDIÇOADA'!P231"</f>
        <v/>
      </c>
      <c r="D2730" s="198" t="inlineStr">
        <is>
          <t>resultado</t>
        </is>
      </c>
    </row>
    <row r="2731">
      <c r="A2731" s="198" t="inlineStr">
        <is>
          <t>feitico.28.texto</t>
        </is>
      </c>
      <c r="B2731" s="198">
        <f>IF(ISBLANK('FICHA AMALDIÇOADA'!$D$259),"",'FICHA AMALDIÇOADA'!$D$259&amp;"")</f>
        <v/>
      </c>
      <c r="C2731" s="198">
        <f>"'FICHA AMALDIÇOADA'!D246"</f>
        <v/>
      </c>
      <c r="D2731" s="198" t="inlineStr">
        <is>
          <t>entrada</t>
        </is>
      </c>
    </row>
    <row r="2732">
      <c r="A2732" s="198" t="inlineStr">
        <is>
          <t>feitico.28.acao</t>
        </is>
      </c>
      <c r="B2732" s="198">
        <f>IF(ISBLANK('FICHA AMALDIÇOADA'!$D$265),"",'FICHA AMALDIÇOADA'!$D$265&amp;"")</f>
        <v/>
      </c>
      <c r="C2732" s="198">
        <f>"'FICHA AMALDIÇOADA'!D252"</f>
        <v/>
      </c>
      <c r="D2732" s="198" t="inlineStr">
        <is>
          <t>resultado</t>
        </is>
      </c>
    </row>
    <row r="2733">
      <c r="A2733" s="198" t="inlineStr">
        <is>
          <t>feitico.29.texto</t>
        </is>
      </c>
      <c r="B2733" s="198">
        <f>IF(ISBLANK('FICHA AMALDIÇOADA'!$J$259),"",'FICHA AMALDIÇOADA'!$J$259&amp;"")</f>
        <v/>
      </c>
      <c r="C2733" s="198">
        <f>"'FICHA AMALDIÇOADA'!J246"</f>
        <v/>
      </c>
      <c r="D2733" s="198" t="inlineStr">
        <is>
          <t>entrada</t>
        </is>
      </c>
    </row>
    <row r="2734">
      <c r="A2734" s="198" t="inlineStr">
        <is>
          <t>feitico.29.acao</t>
        </is>
      </c>
      <c r="B2734" s="198">
        <f>IF(ISBLANK('FICHA AMALDIÇOADA'!$J$265),"",'FICHA AMALDIÇOADA'!$J$265&amp;"")</f>
        <v/>
      </c>
      <c r="C2734" s="198">
        <f>"'FICHA AMALDIÇOADA'!J252"</f>
        <v/>
      </c>
      <c r="D2734" s="198" t="inlineStr">
        <is>
          <t>resultado</t>
        </is>
      </c>
    </row>
    <row r="2735">
      <c r="A2735" s="198" t="inlineStr">
        <is>
          <t>feitico.30.texto</t>
        </is>
      </c>
      <c r="B2735" s="198">
        <f>IF(ISBLANK('FICHA AMALDIÇOADA'!$P$259),"",'FICHA AMALDIÇOADA'!$P$259&amp;"")</f>
        <v/>
      </c>
      <c r="C2735" s="198">
        <f>"'FICHA AMALDIÇOADA'!P246"</f>
        <v/>
      </c>
      <c r="D2735" s="198" t="inlineStr">
        <is>
          <t>entrada</t>
        </is>
      </c>
    </row>
    <row r="2736">
      <c r="A2736" s="198" t="inlineStr">
        <is>
          <t>feitico.30.acao</t>
        </is>
      </c>
      <c r="B2736" s="198">
        <f>IF(ISBLANK('FICHA AMALDIÇOADA'!$P$265),"",'FICHA AMALDIÇOADA'!$P$265&amp;"")</f>
        <v/>
      </c>
      <c r="C2736" s="198">
        <f>"'FICHA AMALDIÇOADA'!P252"</f>
        <v/>
      </c>
      <c r="D2736" s="198" t="inlineStr">
        <is>
          <t>resultado</t>
        </is>
      </c>
    </row>
    <row r="2737">
      <c r="A2737" s="198" t="inlineStr">
        <is>
          <t>feitico.31.texto</t>
        </is>
      </c>
      <c r="B2737" s="198">
        <f>IF(ISBLANK('FICHA AMALDIÇOADA'!$D$280),"",'FICHA AMALDIÇOADA'!$D$280&amp;"")</f>
        <v/>
      </c>
      <c r="C2737" s="198">
        <f>"'FICHA AMALDIÇOADA'!D267"</f>
        <v/>
      </c>
      <c r="D2737" s="198" t="inlineStr">
        <is>
          <t>entrada</t>
        </is>
      </c>
    </row>
    <row r="2738">
      <c r="A2738" s="198" t="inlineStr">
        <is>
          <t>feitico.31.acao</t>
        </is>
      </c>
      <c r="B2738" s="198">
        <f>IF(ISBLANK('FICHA AMALDIÇOADA'!$D$286),"",'FICHA AMALDIÇOADA'!$D$286&amp;"")</f>
        <v/>
      </c>
      <c r="C2738" s="198">
        <f>"'FICHA AMALDIÇOADA'!D273"</f>
        <v/>
      </c>
      <c r="D2738" s="198" t="inlineStr">
        <is>
          <t>resultado</t>
        </is>
      </c>
    </row>
    <row r="2739">
      <c r="A2739" s="198" t="inlineStr">
        <is>
          <t>feitico.32.texto</t>
        </is>
      </c>
      <c r="B2739" s="198">
        <f>IF(ISBLANK('FICHA AMALDIÇOADA'!$J$280),"",'FICHA AMALDIÇOADA'!$J$280&amp;"")</f>
        <v/>
      </c>
      <c r="C2739" s="198">
        <f>"'FICHA AMALDIÇOADA'!J267"</f>
        <v/>
      </c>
      <c r="D2739" s="198" t="inlineStr">
        <is>
          <t>entrada</t>
        </is>
      </c>
    </row>
    <row r="2740">
      <c r="A2740" s="198" t="inlineStr">
        <is>
          <t>feitico.32.acao</t>
        </is>
      </c>
      <c r="B2740" s="198">
        <f>IF(ISBLANK('FICHA AMALDIÇOADA'!$J$286),"",'FICHA AMALDIÇOADA'!$J$286&amp;"")</f>
        <v/>
      </c>
      <c r="C2740" s="198">
        <f>"'FICHA AMALDIÇOADA'!J273"</f>
        <v/>
      </c>
      <c r="D2740" s="198" t="inlineStr">
        <is>
          <t>resultado</t>
        </is>
      </c>
    </row>
    <row r="2741">
      <c r="A2741" s="198" t="inlineStr">
        <is>
          <t>feitico.33.texto</t>
        </is>
      </c>
      <c r="B2741" s="198">
        <f>IF(ISBLANK('FICHA AMALDIÇOADA'!$P$280),"",'FICHA AMALDIÇOADA'!$P$280&amp;"")</f>
        <v/>
      </c>
      <c r="C2741" s="198">
        <f>"'FICHA AMALDIÇOADA'!P267"</f>
        <v/>
      </c>
      <c r="D2741" s="198" t="inlineStr">
        <is>
          <t>entrada</t>
        </is>
      </c>
    </row>
    <row r="2742">
      <c r="A2742" s="198" t="inlineStr">
        <is>
          <t>feitico.33.acao</t>
        </is>
      </c>
      <c r="B2742" s="198">
        <f>IF(ISBLANK('FICHA AMALDIÇOADA'!$P$286),"",'FICHA AMALDIÇOADA'!$P$286&amp;"")</f>
        <v/>
      </c>
      <c r="C2742" s="198">
        <f>"'FICHA AMALDIÇOADA'!P273"</f>
        <v/>
      </c>
      <c r="D2742" s="198" t="inlineStr">
        <is>
          <t>resultado</t>
        </is>
      </c>
    </row>
    <row r="2743">
      <c r="A2743" s="198" t="inlineStr">
        <is>
          <t>feitico.34.texto</t>
        </is>
      </c>
      <c r="B2743" s="198">
        <f>IF(ISBLANK('FICHA AMALDIÇOADA'!$D$301),"",'FICHA AMALDIÇOADA'!$D$301&amp;"")</f>
        <v/>
      </c>
      <c r="C2743" s="198">
        <f>"'FICHA AMALDIÇOADA'!D288"</f>
        <v/>
      </c>
      <c r="D2743" s="198" t="inlineStr">
        <is>
          <t>entrada</t>
        </is>
      </c>
    </row>
    <row r="2744">
      <c r="A2744" s="198" t="inlineStr">
        <is>
          <t>feitico.34.acao</t>
        </is>
      </c>
      <c r="B2744" s="198">
        <f>IF(ISBLANK('FICHA AMALDIÇOADA'!$D$307),"",'FICHA AMALDIÇOADA'!$D$307&amp;"")</f>
        <v/>
      </c>
      <c r="C2744" s="198">
        <f>"'FICHA AMALDIÇOADA'!D294"</f>
        <v/>
      </c>
      <c r="D2744" s="198" t="inlineStr">
        <is>
          <t>resultado</t>
        </is>
      </c>
    </row>
    <row r="2745">
      <c r="A2745" s="198" t="inlineStr">
        <is>
          <t>feitico.35.texto</t>
        </is>
      </c>
      <c r="B2745" s="198">
        <f>IF(ISBLANK('FICHA AMALDIÇOADA'!$J$301),"",'FICHA AMALDIÇOADA'!$J$301&amp;"")</f>
        <v/>
      </c>
      <c r="C2745" s="198">
        <f>"'FICHA AMALDIÇOADA'!J288"</f>
        <v/>
      </c>
      <c r="D2745" s="198" t="inlineStr">
        <is>
          <t>entrada</t>
        </is>
      </c>
    </row>
    <row r="2746">
      <c r="A2746" s="198" t="inlineStr">
        <is>
          <t>feitico.35.acao</t>
        </is>
      </c>
      <c r="B2746" s="198">
        <f>IF(ISBLANK('FICHA AMALDIÇOADA'!$J$307),"",'FICHA AMALDIÇOADA'!$J$307&amp;"")</f>
        <v/>
      </c>
      <c r="C2746" s="198">
        <f>"'FICHA AMALDIÇOADA'!J294"</f>
        <v/>
      </c>
      <c r="D2746" s="198" t="inlineStr">
        <is>
          <t>resultado</t>
        </is>
      </c>
    </row>
    <row r="2747">
      <c r="A2747" s="198" t="inlineStr">
        <is>
          <t>feitico.36.texto</t>
        </is>
      </c>
      <c r="B2747" s="198">
        <f>IF(ISBLANK('FICHA AMALDIÇOADA'!$P$301),"",'FICHA AMALDIÇOADA'!$P$301&amp;"")</f>
        <v/>
      </c>
      <c r="C2747" s="198">
        <f>"'FICHA AMALDIÇOADA'!P288"</f>
        <v/>
      </c>
      <c r="D2747" s="198" t="inlineStr">
        <is>
          <t>entrada</t>
        </is>
      </c>
    </row>
    <row r="2748">
      <c r="A2748" s="198" t="inlineStr">
        <is>
          <t>feitico.36.acao</t>
        </is>
      </c>
      <c r="B2748" s="198">
        <f>IF(ISBLANK('FICHA AMALDIÇOADA'!$P$307),"",'FICHA AMALDIÇOADA'!$P$307&amp;"")</f>
        <v/>
      </c>
      <c r="C2748" s="198">
        <f>"'FICHA AMALDIÇOADA'!P294"</f>
        <v/>
      </c>
      <c r="D2748" s="198" t="inlineStr">
        <is>
          <t>resultado</t>
        </is>
      </c>
    </row>
    <row r="2749">
      <c r="A2749" s="198" t="inlineStr">
        <is>
          <t>liberacao.1.texto</t>
        </is>
      </c>
      <c r="B2749" s="198">
        <f>IF(ISBLANK('FICHA AMALDIÇOADA'!$D$334),"",'FICHA AMALDIÇOADA'!$D$334&amp;"")</f>
        <v/>
      </c>
      <c r="C2749" s="198">
        <f>"'FICHA AMALDIÇOADA'!D321"</f>
        <v/>
      </c>
      <c r="D2749" s="198" t="inlineStr">
        <is>
          <t>entrada</t>
        </is>
      </c>
    </row>
    <row r="2750">
      <c r="A2750" s="198" t="inlineStr">
        <is>
          <t>liberacao.1.acao</t>
        </is>
      </c>
      <c r="B2750" s="198">
        <f>IF(ISBLANK('FICHA AMALDIÇOADA'!$D$340),"",'FICHA AMALDIÇOADA'!$D$340&amp;"")</f>
        <v/>
      </c>
      <c r="C2750" s="198">
        <f>"'FICHA AMALDIÇOADA'!D327"</f>
        <v/>
      </c>
      <c r="D2750" s="198" t="inlineStr">
        <is>
          <t>resultado</t>
        </is>
      </c>
    </row>
    <row r="2751">
      <c r="A2751" s="198" t="inlineStr">
        <is>
          <t>liberacao.2.texto</t>
        </is>
      </c>
      <c r="B2751" s="198">
        <f>IF(ISBLANK('FICHA AMALDIÇOADA'!$J$334),"",'FICHA AMALDIÇOADA'!$J$334&amp;"")</f>
        <v/>
      </c>
      <c r="C2751" s="198">
        <f>"'FICHA AMALDIÇOADA'!J321"</f>
        <v/>
      </c>
      <c r="D2751" s="198" t="inlineStr">
        <is>
          <t>entrada</t>
        </is>
      </c>
    </row>
    <row r="2752">
      <c r="A2752" s="198" t="inlineStr">
        <is>
          <t>liberacao.2.acao</t>
        </is>
      </c>
      <c r="B2752" s="198">
        <f>IF(ISBLANK('FICHA AMALDIÇOADA'!$J$340),"",'FICHA AMALDIÇOADA'!$J$340&amp;"")</f>
        <v/>
      </c>
      <c r="C2752" s="198">
        <f>"'FICHA AMALDIÇOADA'!J327"</f>
        <v/>
      </c>
      <c r="D2752" s="198" t="inlineStr">
        <is>
          <t>resultado</t>
        </is>
      </c>
    </row>
    <row r="2753">
      <c r="A2753" s="198" t="inlineStr">
        <is>
          <t>liberacao.3.texto</t>
        </is>
      </c>
      <c r="B2753" s="198">
        <f>IF(ISBLANK('FICHA AMALDIÇOADA'!$P$334),"",'FICHA AMALDIÇOADA'!$P$334&amp;"")</f>
        <v/>
      </c>
      <c r="C2753" s="198">
        <f>"'FICHA AMALDIÇOADA'!P321"</f>
        <v/>
      </c>
      <c r="D2753" s="198" t="inlineStr">
        <is>
          <t>entrada</t>
        </is>
      </c>
    </row>
    <row r="2754">
      <c r="A2754" s="198" t="inlineStr">
        <is>
          <t>liberacao.3.acao</t>
        </is>
      </c>
      <c r="B2754" s="198">
        <f>IF(ISBLANK('FICHA AMALDIÇOADA'!$P$340),"",'FICHA AMALDIÇOADA'!$P$340&amp;"")</f>
        <v/>
      </c>
      <c r="C2754" s="198">
        <f>"'FICHA AMALDIÇOADA'!P327"</f>
        <v/>
      </c>
      <c r="D2754" s="198" t="inlineStr">
        <is>
          <t>resultado</t>
        </is>
      </c>
    </row>
    <row r="2755">
      <c r="A2755" s="198" t="inlineStr">
        <is>
          <t>zero.1.classe</t>
        </is>
      </c>
      <c r="B2755" s="198" t="inlineStr">
        <is>
          <t>0</t>
        </is>
      </c>
      <c r="C2755" s="198" t="inlineStr"/>
      <c r="D2755" s="198" t="inlineStr">
        <is>
          <t>entrada</t>
        </is>
      </c>
    </row>
    <row r="2756">
      <c r="A2756" s="198" t="inlineStr">
        <is>
          <t>zero.1.pe</t>
        </is>
      </c>
      <c r="B2756" s="198" t="inlineStr">
        <is>
          <t>0</t>
        </is>
      </c>
      <c r="C2756" s="198" t="inlineStr"/>
      <c r="D2756" s="198" t="inlineStr">
        <is>
          <t>resultado</t>
        </is>
      </c>
    </row>
    <row r="2757">
      <c r="A2757" s="198" t="inlineStr">
        <is>
          <t>zero.1.nome</t>
        </is>
      </c>
      <c r="B2757" s="198">
        <f>IF(ISBLANK('FICHA AMALDIÇOADA'!$D$323),"",'FICHA AMALDIÇOADA'!$D$323&amp;"")</f>
        <v/>
      </c>
      <c r="C2757" s="198">
        <f>"'FICHA AMALDIÇOADA'!D310"</f>
        <v/>
      </c>
      <c r="D2757" s="198" t="inlineStr">
        <is>
          <t>entrada</t>
        </is>
      </c>
    </row>
    <row r="2758">
      <c r="A2758" s="198" t="inlineStr">
        <is>
          <t>zero.1.forma</t>
        </is>
      </c>
      <c r="B2758" s="198">
        <f>IF(ISBLANK('FICHA AMALDIÇOADA'!$F$323),"",'FICHA AMALDIÇOADA'!$F$323&amp;"")</f>
        <v/>
      </c>
      <c r="C2758" s="198">
        <f>"'FICHA AMALDIÇOADA'!F310"</f>
        <v/>
      </c>
      <c r="D2758" s="198" t="inlineStr">
        <is>
          <t>entrada</t>
        </is>
      </c>
    </row>
    <row r="2759">
      <c r="A2759" s="198" t="inlineStr">
        <is>
          <t>zero.1.dano</t>
        </is>
      </c>
      <c r="B2759" s="198">
        <f>IF(ISBLANK('FICHA AMALDIÇOADA'!$P$323),"",'FICHA AMALDIÇOADA'!$P$323&amp;"")</f>
        <v/>
      </c>
      <c r="C2759" s="198">
        <f>"'FICHA AMALDIÇOADA'!P310"</f>
        <v/>
      </c>
      <c r="D2759" s="198" t="inlineStr">
        <is>
          <t>resultado</t>
        </is>
      </c>
    </row>
    <row r="2760">
      <c r="A2760" s="198" t="inlineStr">
        <is>
          <t>zero.1.alcance</t>
        </is>
      </c>
      <c r="B2760" s="198">
        <f>IF(ISBLANK('FICHA AMALDIÇOADA'!$R$323),"",'FICHA AMALDIÇOADA'!$R$323&amp;"")</f>
        <v/>
      </c>
      <c r="C2760" s="198">
        <f>"'FICHA AMALDIÇOADA'!R310"</f>
        <v/>
      </c>
      <c r="D2760" s="198" t="inlineStr">
        <is>
          <t>resultado</t>
        </is>
      </c>
    </row>
    <row r="2761">
      <c r="A2761" s="198" t="inlineStr">
        <is>
          <t>zero.1.pecas</t>
        </is>
      </c>
      <c r="B2761" s="198">
        <f>IF(ISBLANK('FICHA AMALDIÇOADA'!$J$323),"",'FICHA AMALDIÇOADA'!$J$323&amp;"")</f>
        <v/>
      </c>
      <c r="C2761" s="198">
        <f>"'FICHA AMALDIÇOADA'!J310"</f>
        <v/>
      </c>
      <c r="D2761" s="198" t="inlineStr">
        <is>
          <t>entrada</t>
        </is>
      </c>
    </row>
    <row r="2762">
      <c r="A2762" s="198" t="inlineStr">
        <is>
          <t>zero.1.restricoes</t>
        </is>
      </c>
      <c r="B2762" s="198">
        <f>IF(ISBLANK('FICHA AMALDIÇOADA'!$L$323),"",'FICHA AMALDIÇOADA'!$L$323&amp;"")</f>
        <v/>
      </c>
      <c r="C2762" s="198">
        <f>"'FICHA AMALDIÇOADA'!L310"</f>
        <v/>
      </c>
      <c r="D2762" s="198" t="inlineStr">
        <is>
          <t>entrada</t>
        </is>
      </c>
    </row>
    <row r="2763">
      <c r="A2763" s="198" t="inlineStr">
        <is>
          <t>zero.2.classe</t>
        </is>
      </c>
      <c r="B2763" s="198" t="inlineStr">
        <is>
          <t>0</t>
        </is>
      </c>
      <c r="C2763" s="198" t="inlineStr"/>
      <c r="D2763" s="198" t="inlineStr">
        <is>
          <t>entrada</t>
        </is>
      </c>
    </row>
    <row r="2764">
      <c r="A2764" s="198" t="inlineStr">
        <is>
          <t>zero.2.pe</t>
        </is>
      </c>
      <c r="B2764" s="198" t="inlineStr">
        <is>
          <t>0</t>
        </is>
      </c>
      <c r="C2764" s="198" t="inlineStr"/>
      <c r="D2764" s="198" t="inlineStr">
        <is>
          <t>resultado</t>
        </is>
      </c>
    </row>
    <row r="2765">
      <c r="A2765" s="198" t="inlineStr">
        <is>
          <t>zero.2.nome</t>
        </is>
      </c>
      <c r="B2765" s="198">
        <f>IF(ISBLANK('FICHA AMALDIÇOADA'!$D$324),"",'FICHA AMALDIÇOADA'!$D$324&amp;"")</f>
        <v/>
      </c>
      <c r="C2765" s="198">
        <f>"'FICHA AMALDIÇOADA'!D311"</f>
        <v/>
      </c>
      <c r="D2765" s="198" t="inlineStr">
        <is>
          <t>entrada</t>
        </is>
      </c>
    </row>
    <row r="2766">
      <c r="A2766" s="198" t="inlineStr">
        <is>
          <t>zero.2.forma</t>
        </is>
      </c>
      <c r="B2766" s="198">
        <f>IF(ISBLANK('FICHA AMALDIÇOADA'!$F$324),"",'FICHA AMALDIÇOADA'!$F$324&amp;"")</f>
        <v/>
      </c>
      <c r="C2766" s="198">
        <f>"'FICHA AMALDIÇOADA'!F311"</f>
        <v/>
      </c>
      <c r="D2766" s="198" t="inlineStr">
        <is>
          <t>entrada</t>
        </is>
      </c>
    </row>
    <row r="2767">
      <c r="A2767" s="198" t="inlineStr">
        <is>
          <t>zero.2.dano</t>
        </is>
      </c>
      <c r="B2767" s="198">
        <f>IF(ISBLANK('FICHA AMALDIÇOADA'!$P$324),"",'FICHA AMALDIÇOADA'!$P$324&amp;"")</f>
        <v/>
      </c>
      <c r="C2767" s="198">
        <f>"'FICHA AMALDIÇOADA'!P311"</f>
        <v/>
      </c>
      <c r="D2767" s="198" t="inlineStr">
        <is>
          <t>resultado</t>
        </is>
      </c>
    </row>
    <row r="2768">
      <c r="A2768" s="198" t="inlineStr">
        <is>
          <t>zero.2.alcance</t>
        </is>
      </c>
      <c r="B2768" s="198">
        <f>IF(ISBLANK('FICHA AMALDIÇOADA'!$R$324),"",'FICHA AMALDIÇOADA'!$R$324&amp;"")</f>
        <v/>
      </c>
      <c r="C2768" s="198">
        <f>"'FICHA AMALDIÇOADA'!R311"</f>
        <v/>
      </c>
      <c r="D2768" s="198" t="inlineStr">
        <is>
          <t>resultado</t>
        </is>
      </c>
    </row>
    <row r="2769">
      <c r="A2769" s="198" t="inlineStr">
        <is>
          <t>zero.2.pecas</t>
        </is>
      </c>
      <c r="B2769" s="198">
        <f>IF(ISBLANK('FICHA AMALDIÇOADA'!$J$324),"",'FICHA AMALDIÇOADA'!$J$324&amp;"")</f>
        <v/>
      </c>
      <c r="C2769" s="198">
        <f>"'FICHA AMALDIÇOADA'!J311"</f>
        <v/>
      </c>
      <c r="D2769" s="198" t="inlineStr">
        <is>
          <t>entrada</t>
        </is>
      </c>
    </row>
    <row r="2770">
      <c r="A2770" s="198" t="inlineStr">
        <is>
          <t>zero.2.restricoes</t>
        </is>
      </c>
      <c r="B2770" s="198">
        <f>IF(ISBLANK('FICHA AMALDIÇOADA'!$L$324),"",'FICHA AMALDIÇOADA'!$L$324&amp;"")</f>
        <v/>
      </c>
      <c r="C2770" s="198">
        <f>"'FICHA AMALDIÇOADA'!L311"</f>
        <v/>
      </c>
      <c r="D2770" s="198" t="inlineStr">
        <is>
          <t>entrada</t>
        </is>
      </c>
    </row>
    <row r="2771">
      <c r="A2771" s="198" t="inlineStr">
        <is>
          <t>zero.3.classe</t>
        </is>
      </c>
      <c r="B2771" s="198" t="inlineStr">
        <is>
          <t>0</t>
        </is>
      </c>
      <c r="C2771" s="198" t="inlineStr"/>
      <c r="D2771" s="198" t="inlineStr">
        <is>
          <t>entrada</t>
        </is>
      </c>
    </row>
    <row r="2772">
      <c r="A2772" s="198" t="inlineStr">
        <is>
          <t>zero.3.pe</t>
        </is>
      </c>
      <c r="B2772" s="198" t="inlineStr">
        <is>
          <t>0</t>
        </is>
      </c>
      <c r="C2772" s="198" t="inlineStr"/>
      <c r="D2772" s="198" t="inlineStr">
        <is>
          <t>resultado</t>
        </is>
      </c>
    </row>
    <row r="2773">
      <c r="A2773" s="198" t="inlineStr">
        <is>
          <t>zero.3.nome</t>
        </is>
      </c>
      <c r="B2773" s="198">
        <f>IF(ISBLANK('FICHA AMALDIÇOADA'!$D$325),"",'FICHA AMALDIÇOADA'!$D$325&amp;"")</f>
        <v/>
      </c>
      <c r="C2773" s="198">
        <f>"'FICHA AMALDIÇOADA'!D312"</f>
        <v/>
      </c>
      <c r="D2773" s="198" t="inlineStr">
        <is>
          <t>entrada</t>
        </is>
      </c>
    </row>
    <row r="2774">
      <c r="A2774" s="198" t="inlineStr">
        <is>
          <t>zero.3.forma</t>
        </is>
      </c>
      <c r="B2774" s="198">
        <f>IF(ISBLANK('FICHA AMALDIÇOADA'!$F$325),"",'FICHA AMALDIÇOADA'!$F$325&amp;"")</f>
        <v/>
      </c>
      <c r="C2774" s="198">
        <f>"'FICHA AMALDIÇOADA'!F312"</f>
        <v/>
      </c>
      <c r="D2774" s="198" t="inlineStr">
        <is>
          <t>entrada</t>
        </is>
      </c>
    </row>
    <row r="2775">
      <c r="A2775" s="198" t="inlineStr">
        <is>
          <t>zero.3.dano</t>
        </is>
      </c>
      <c r="B2775" s="198">
        <f>IF(ISBLANK('FICHA AMALDIÇOADA'!$P$325),"",'FICHA AMALDIÇOADA'!$P$325&amp;"")</f>
        <v/>
      </c>
      <c r="C2775" s="198">
        <f>"'FICHA AMALDIÇOADA'!P312"</f>
        <v/>
      </c>
      <c r="D2775" s="198" t="inlineStr">
        <is>
          <t>resultado</t>
        </is>
      </c>
    </row>
    <row r="2776">
      <c r="A2776" s="198" t="inlineStr">
        <is>
          <t>zero.3.alcance</t>
        </is>
      </c>
      <c r="B2776" s="198">
        <f>IF(ISBLANK('FICHA AMALDIÇOADA'!$R$325),"",'FICHA AMALDIÇOADA'!$R$325&amp;"")</f>
        <v/>
      </c>
      <c r="C2776" s="198">
        <f>"'FICHA AMALDIÇOADA'!R312"</f>
        <v/>
      </c>
      <c r="D2776" s="198" t="inlineStr">
        <is>
          <t>resultado</t>
        </is>
      </c>
    </row>
    <row r="2777">
      <c r="A2777" s="198" t="inlineStr">
        <is>
          <t>zero.3.pecas</t>
        </is>
      </c>
      <c r="B2777" s="198">
        <f>IF(ISBLANK('FICHA AMALDIÇOADA'!$J$325),"",'FICHA AMALDIÇOADA'!$J$325&amp;"")</f>
        <v/>
      </c>
      <c r="C2777" s="198">
        <f>"'FICHA AMALDIÇOADA'!J312"</f>
        <v/>
      </c>
      <c r="D2777" s="198" t="inlineStr">
        <is>
          <t>entrada</t>
        </is>
      </c>
    </row>
    <row r="2778">
      <c r="A2778" s="198" t="inlineStr">
        <is>
          <t>zero.3.restricoes</t>
        </is>
      </c>
      <c r="B2778" s="198">
        <f>IF(ISBLANK('FICHA AMALDIÇOADA'!$L$325),"",'FICHA AMALDIÇOADA'!$L$325&amp;"")</f>
        <v/>
      </c>
      <c r="C2778" s="198">
        <f>"'FICHA AMALDIÇOADA'!L312"</f>
        <v/>
      </c>
      <c r="D2778" s="198" t="inlineStr">
        <is>
          <t>entrada</t>
        </is>
      </c>
    </row>
    <row r="2779">
      <c r="A2779" s="198" t="inlineStr">
        <is>
          <t>zero.4.classe</t>
        </is>
      </c>
      <c r="B2779" s="198" t="inlineStr">
        <is>
          <t>0</t>
        </is>
      </c>
      <c r="C2779" s="198" t="inlineStr"/>
      <c r="D2779" s="198" t="inlineStr">
        <is>
          <t>entrada</t>
        </is>
      </c>
    </row>
    <row r="2780">
      <c r="A2780" s="198" t="inlineStr">
        <is>
          <t>zero.4.pe</t>
        </is>
      </c>
      <c r="B2780" s="198" t="inlineStr">
        <is>
          <t>0</t>
        </is>
      </c>
      <c r="C2780" s="198" t="inlineStr"/>
      <c r="D2780" s="198" t="inlineStr">
        <is>
          <t>resultado</t>
        </is>
      </c>
    </row>
    <row r="2781">
      <c r="A2781" s="198" t="inlineStr">
        <is>
          <t>zero.4.nome</t>
        </is>
      </c>
      <c r="B2781" s="198">
        <f>IF(ISBLANK('FICHA AMALDIÇOADA'!$D$326),"",'FICHA AMALDIÇOADA'!$D$326&amp;"")</f>
        <v/>
      </c>
      <c r="C2781" s="198">
        <f>"'FICHA AMALDIÇOADA'!D313"</f>
        <v/>
      </c>
      <c r="D2781" s="198" t="inlineStr">
        <is>
          <t>entrada</t>
        </is>
      </c>
    </row>
    <row r="2782">
      <c r="A2782" s="198" t="inlineStr">
        <is>
          <t>zero.4.forma</t>
        </is>
      </c>
      <c r="B2782" s="198">
        <f>IF(ISBLANK('FICHA AMALDIÇOADA'!$F$326),"",'FICHA AMALDIÇOADA'!$F$326&amp;"")</f>
        <v/>
      </c>
      <c r="C2782" s="198">
        <f>"'FICHA AMALDIÇOADA'!F313"</f>
        <v/>
      </c>
      <c r="D2782" s="198" t="inlineStr">
        <is>
          <t>entrada</t>
        </is>
      </c>
    </row>
    <row r="2783">
      <c r="A2783" s="198" t="inlineStr">
        <is>
          <t>zero.4.dano</t>
        </is>
      </c>
      <c r="B2783" s="198">
        <f>IF(ISBLANK('FICHA AMALDIÇOADA'!$P$326),"",'FICHA AMALDIÇOADA'!$P$326&amp;"")</f>
        <v/>
      </c>
      <c r="C2783" s="198">
        <f>"'FICHA AMALDIÇOADA'!P313"</f>
        <v/>
      </c>
      <c r="D2783" s="198" t="inlineStr">
        <is>
          <t>resultado</t>
        </is>
      </c>
    </row>
    <row r="2784">
      <c r="A2784" s="198" t="inlineStr">
        <is>
          <t>zero.4.alcance</t>
        </is>
      </c>
      <c r="B2784" s="198">
        <f>IF(ISBLANK('FICHA AMALDIÇOADA'!$R$326),"",'FICHA AMALDIÇOADA'!$R$326&amp;"")</f>
        <v/>
      </c>
      <c r="C2784" s="198">
        <f>"'FICHA AMALDIÇOADA'!R313"</f>
        <v/>
      </c>
      <c r="D2784" s="198" t="inlineStr">
        <is>
          <t>resultado</t>
        </is>
      </c>
    </row>
    <row r="2785">
      <c r="A2785" s="198" t="inlineStr">
        <is>
          <t>zero.4.pecas</t>
        </is>
      </c>
      <c r="B2785" s="198">
        <f>IF(ISBLANK('FICHA AMALDIÇOADA'!$J$326),"",'FICHA AMALDIÇOADA'!$J$326&amp;"")</f>
        <v/>
      </c>
      <c r="C2785" s="198">
        <f>"'FICHA AMALDIÇOADA'!J313"</f>
        <v/>
      </c>
      <c r="D2785" s="198" t="inlineStr">
        <is>
          <t>entrada</t>
        </is>
      </c>
    </row>
    <row r="2786">
      <c r="A2786" s="198" t="inlineStr">
        <is>
          <t>zero.4.restricoes</t>
        </is>
      </c>
      <c r="B2786" s="198">
        <f>IF(ISBLANK('FICHA AMALDIÇOADA'!$L$326),"",'FICHA AMALDIÇOADA'!$L$326&amp;"")</f>
        <v/>
      </c>
      <c r="C2786" s="198">
        <f>"'FICHA AMALDIÇOADA'!L313"</f>
        <v/>
      </c>
      <c r="D2786" s="198" t="inlineStr">
        <is>
          <t>entrada</t>
        </is>
      </c>
    </row>
    <row r="2787">
      <c r="A2787" s="198" t="inlineStr">
        <is>
          <t>zero.5.classe</t>
        </is>
      </c>
      <c r="B2787" s="198" t="inlineStr">
        <is>
          <t>0</t>
        </is>
      </c>
      <c r="C2787" s="198" t="inlineStr"/>
      <c r="D2787" s="198" t="inlineStr">
        <is>
          <t>entrada</t>
        </is>
      </c>
    </row>
    <row r="2788">
      <c r="A2788" s="198" t="inlineStr">
        <is>
          <t>zero.5.pe</t>
        </is>
      </c>
      <c r="B2788" s="198" t="inlineStr">
        <is>
          <t>0</t>
        </is>
      </c>
      <c r="C2788" s="198" t="inlineStr"/>
      <c r="D2788" s="198" t="inlineStr">
        <is>
          <t>resultado</t>
        </is>
      </c>
    </row>
    <row r="2789">
      <c r="A2789" s="198" t="inlineStr">
        <is>
          <t>zero.5.nome</t>
        </is>
      </c>
      <c r="B2789" s="198">
        <f>IF(ISBLANK('FICHA AMALDIÇOADA'!$D$327),"",'FICHA AMALDIÇOADA'!$D$327&amp;"")</f>
        <v/>
      </c>
      <c r="C2789" s="198">
        <f>"'FICHA AMALDIÇOADA'!D314"</f>
        <v/>
      </c>
      <c r="D2789" s="198" t="inlineStr">
        <is>
          <t>entrada</t>
        </is>
      </c>
    </row>
    <row r="2790">
      <c r="A2790" s="198" t="inlineStr">
        <is>
          <t>zero.5.forma</t>
        </is>
      </c>
      <c r="B2790" s="198">
        <f>IF(ISBLANK('FICHA AMALDIÇOADA'!$F$327),"",'FICHA AMALDIÇOADA'!$F$327&amp;"")</f>
        <v/>
      </c>
      <c r="C2790" s="198">
        <f>"'FICHA AMALDIÇOADA'!F314"</f>
        <v/>
      </c>
      <c r="D2790" s="198" t="inlineStr">
        <is>
          <t>entrada</t>
        </is>
      </c>
    </row>
    <row r="2791">
      <c r="A2791" s="198" t="inlineStr">
        <is>
          <t>zero.5.dano</t>
        </is>
      </c>
      <c r="B2791" s="198">
        <f>IF(ISBLANK('FICHA AMALDIÇOADA'!$P$327),"",'FICHA AMALDIÇOADA'!$P$327&amp;"")</f>
        <v/>
      </c>
      <c r="C2791" s="198">
        <f>"'FICHA AMALDIÇOADA'!P314"</f>
        <v/>
      </c>
      <c r="D2791" s="198" t="inlineStr">
        <is>
          <t>resultado</t>
        </is>
      </c>
    </row>
    <row r="2792">
      <c r="A2792" s="198" t="inlineStr">
        <is>
          <t>zero.5.alcance</t>
        </is>
      </c>
      <c r="B2792" s="198">
        <f>IF(ISBLANK('FICHA AMALDIÇOADA'!$R$327),"",'FICHA AMALDIÇOADA'!$R$327&amp;"")</f>
        <v/>
      </c>
      <c r="C2792" s="198">
        <f>"'FICHA AMALDIÇOADA'!R314"</f>
        <v/>
      </c>
      <c r="D2792" s="198" t="inlineStr">
        <is>
          <t>resultado</t>
        </is>
      </c>
    </row>
    <row r="2793">
      <c r="A2793" s="198" t="inlineStr">
        <is>
          <t>zero.5.pecas</t>
        </is>
      </c>
      <c r="B2793" s="198">
        <f>IF(ISBLANK('FICHA AMALDIÇOADA'!$J$327),"",'FICHA AMALDIÇOADA'!$J$327&amp;"")</f>
        <v/>
      </c>
      <c r="C2793" s="198">
        <f>"'FICHA AMALDIÇOADA'!J314"</f>
        <v/>
      </c>
      <c r="D2793" s="198" t="inlineStr">
        <is>
          <t>entrada</t>
        </is>
      </c>
    </row>
    <row r="2794">
      <c r="A2794" s="198" t="inlineStr">
        <is>
          <t>zero.5.restricoes</t>
        </is>
      </c>
      <c r="B2794" s="198">
        <f>IF(ISBLANK('FICHA AMALDIÇOADA'!$L$327),"",'FICHA AMALDIÇOADA'!$L$327&amp;"")</f>
        <v/>
      </c>
      <c r="C2794" s="198">
        <f>"'FICHA AMALDIÇOADA'!L314"</f>
        <v/>
      </c>
      <c r="D2794" s="198" t="inlineStr">
        <is>
          <t>entrada</t>
        </is>
      </c>
    </row>
    <row r="2795">
      <c r="A2795" s="198" t="inlineStr">
        <is>
          <t>maxima.nome</t>
        </is>
      </c>
      <c r="B2795" s="198">
        <f>IF(ISBLANK('FICHA AMALDIÇOADA'!$D$356),"",'FICHA AMALDIÇOADA'!$D$356&amp;"")</f>
        <v/>
      </c>
      <c r="C2795" s="198">
        <f>"'FICHA AMALDIÇOADA'!D343"</f>
        <v/>
      </c>
      <c r="D2795" s="198" t="inlineStr">
        <is>
          <t>entrada</t>
        </is>
      </c>
    </row>
    <row r="2796">
      <c r="A2796" s="198" t="inlineStr">
        <is>
          <t>maxima.forma</t>
        </is>
      </c>
      <c r="B2796" s="198">
        <f>IF(ISBLANK('FICHA AMALDIÇOADA'!$J$356),"",'FICHA AMALDIÇOADA'!$J$356&amp;"")</f>
        <v/>
      </c>
      <c r="C2796" s="198">
        <f>"'FICHA AMALDIÇOADA'!J343"</f>
        <v/>
      </c>
      <c r="D2796" s="198" t="inlineStr">
        <is>
          <t>entrada</t>
        </is>
      </c>
    </row>
    <row r="2797">
      <c r="A2797" s="198" t="inlineStr">
        <is>
          <t>maxima.dano</t>
        </is>
      </c>
      <c r="B2797" s="198">
        <f>IF(ISBLANK('FICHA AMALDIÇOADA'!$L$356),"",'FICHA AMALDIÇOADA'!$L$356&amp;"")</f>
        <v/>
      </c>
      <c r="C2797" s="198">
        <f>"'FICHA AMALDIÇOADA'!L343"</f>
        <v/>
      </c>
      <c r="D2797" s="198" t="inlineStr">
        <is>
          <t>resultado</t>
        </is>
      </c>
    </row>
    <row r="2798">
      <c r="A2798" s="198" t="inlineStr">
        <is>
          <t>maxima.pe</t>
        </is>
      </c>
      <c r="B2798" s="198">
        <f>IF(ISBLANK('FICHA AMALDIÇOADA'!$P$356),"",'FICHA AMALDIÇOADA'!$P$356&amp;"")</f>
        <v/>
      </c>
      <c r="C2798" s="198">
        <f>"'FICHA AMALDIÇOADA'!P343"</f>
        <v/>
      </c>
      <c r="D2798" s="198" t="inlineStr">
        <is>
          <t>resultado</t>
        </is>
      </c>
    </row>
    <row r="2799">
      <c r="A2799" s="198" t="inlineStr">
        <is>
          <t>maxima.montagem</t>
        </is>
      </c>
      <c r="B2799" s="198">
        <f>IF(ISBLANK('FICHA AMALDIÇOADA'!$R$356),"",'FICHA AMALDIÇOADA'!$R$356&amp;"")</f>
        <v/>
      </c>
      <c r="C2799" s="198">
        <f>"'FICHA AMALDIÇOADA'!R343"</f>
        <v/>
      </c>
      <c r="D2799" s="198" t="inlineStr">
        <is>
          <t>resultado</t>
        </is>
      </c>
    </row>
    <row r="2800">
      <c r="A2800" s="198" t="inlineStr">
        <is>
          <t>maxima.pecas</t>
        </is>
      </c>
      <c r="B2800" s="198">
        <f>TEXTJOIN(" · ",TRUE,'FICHA AMALDIÇOADA'!$J$359,'FICHA AMALDIÇOADA'!$L$359,'FICHA AMALDIÇOADA'!$P$359,'FICHA AMALDIÇOADA'!$R$359)</f>
        <v/>
      </c>
      <c r="C2800" s="198">
        <f>"'FICHA AMALDIÇOADA'!J346 'FICHA AMALDIÇOADA'!L346 'FICHA AMALDIÇOADA'!P346 'FICHA AMALDIÇOADA'!R346"</f>
        <v/>
      </c>
      <c r="D2800" s="198" t="inlineStr">
        <is>
          <t>entrada</t>
        </is>
      </c>
    </row>
    <row r="2801">
      <c r="A2801" s="198" t="inlineStr">
        <is>
          <t>maxima.texto</t>
        </is>
      </c>
      <c r="B2801" s="198">
        <f>IF(ISBLANK('FICHA AMALDIÇOADA'!$D$362),"",'FICHA AMALDIÇOADA'!$D$362&amp;"")</f>
        <v/>
      </c>
      <c r="C2801" s="198">
        <f>"'FICHA AMALDIÇOADA'!D349"</f>
        <v/>
      </c>
      <c r="D2801" s="198" t="inlineStr">
        <is>
          <t>entrada</t>
        </is>
      </c>
    </row>
    <row r="2802">
      <c r="A2802" s="198" t="inlineStr">
        <is>
          <t>dominio.degrau</t>
        </is>
      </c>
      <c r="B2802" s="198">
        <f>IF(ISBLANK('FICHA AMALDIÇOADA'!$D$370),"",'FICHA AMALDIÇOADA'!$D$370&amp;"")</f>
        <v/>
      </c>
      <c r="C2802" s="198">
        <f>"'FICHA AMALDIÇOADA'!D357"</f>
        <v/>
      </c>
      <c r="D2802" s="198" t="inlineStr">
        <is>
          <t>entrada</t>
        </is>
      </c>
    </row>
    <row r="2803">
      <c r="A2803" s="198" t="inlineStr">
        <is>
          <t>dominio.nome</t>
        </is>
      </c>
      <c r="B2803" s="198">
        <f>IF(ISBLANK('FICHA AMALDIÇOADA'!$P$374),"",'FICHA AMALDIÇOADA'!$P$374&amp;"")</f>
        <v/>
      </c>
      <c r="C2803" s="198">
        <f>"'FICHA AMALDIÇOADA'!P361"</f>
        <v/>
      </c>
      <c r="D2803" s="198" t="inlineStr">
        <is>
          <t>entrada</t>
        </is>
      </c>
    </row>
    <row r="2804">
      <c r="A2804" s="198" t="inlineStr">
        <is>
          <t>dominio.custo</t>
        </is>
      </c>
      <c r="B2804" s="198">
        <f>IF(ISBLANK('FICHA AMALDIÇOADA'!$F$370),"",'FICHA AMALDIÇOADA'!$F$370&amp;"")</f>
        <v/>
      </c>
      <c r="C2804" s="198">
        <f>"'FICHA AMALDIÇOADA'!F357"</f>
        <v/>
      </c>
      <c r="D2804" s="198" t="inlineStr">
        <is>
          <t>resultado</t>
        </is>
      </c>
    </row>
    <row r="2805">
      <c r="A2805" s="198" t="inlineStr">
        <is>
          <t>dominio.requisito</t>
        </is>
      </c>
      <c r="B2805" s="198">
        <f>IF(ISBLANK('FICHA AMALDIÇOADA'!$J$370),"",'FICHA AMALDIÇOADA'!$J$370&amp;"")</f>
        <v/>
      </c>
      <c r="C2805" s="198">
        <f>"'FICHA AMALDIÇOADA'!J357"</f>
        <v/>
      </c>
      <c r="D2805" s="198" t="inlineStr">
        <is>
          <t>resultado</t>
        </is>
      </c>
    </row>
    <row r="2806">
      <c r="A2806" s="198" t="inlineStr">
        <is>
          <t>dominio.refino</t>
        </is>
      </c>
      <c r="B2806" s="198">
        <f>IF(ISBLANK('FICHA AMALDIÇOADA'!$P$370),"",'FICHA AMALDIÇOADA'!$P$370&amp;"")</f>
        <v/>
      </c>
      <c r="C2806" s="198">
        <f>"'FICHA AMALDIÇOADA'!P357"</f>
        <v/>
      </c>
      <c r="D2806" s="198" t="inlineStr">
        <is>
          <t>resultado</t>
        </is>
      </c>
    </row>
    <row r="2807">
      <c r="A2807" s="198" t="inlineStr">
        <is>
          <t>dominio.corrida</t>
        </is>
      </c>
      <c r="B2807" s="198">
        <f>IF(ISBLANK('FICHA AMALDIÇOADA'!$R$370),"",'FICHA AMALDIÇOADA'!$R$370&amp;"")</f>
        <v/>
      </c>
      <c r="C2807" s="198">
        <f>"'FICHA AMALDIÇOADA'!R357"</f>
        <v/>
      </c>
      <c r="D2807" s="198" t="inlineStr">
        <is>
          <t>resultado</t>
        </is>
      </c>
    </row>
    <row r="2808">
      <c r="A2808" s="198" t="inlineStr">
        <is>
          <t>dominio.texto</t>
        </is>
      </c>
      <c r="B2808" s="198">
        <f>IF(ISBLANK('FICHA AMALDIÇOADA'!$D$384),"",'FICHA AMALDIÇOADA'!$D$384&amp;"")</f>
        <v/>
      </c>
      <c r="C2808" s="198">
        <f>"'FICHA AMALDIÇOADA'!D371"</f>
        <v/>
      </c>
      <c r="D2808" s="198" t="inlineStr">
        <is>
          <t>entrada</t>
        </is>
      </c>
    </row>
    <row r="2809">
      <c r="A2809" s="198" t="inlineStr">
        <is>
          <t>passiva.1.categoria</t>
        </is>
      </c>
      <c r="B2809" s="198">
        <f>IF(ISBLANK('FICHA AMALDIÇOADA'!$F$392),"",'FICHA AMALDIÇOADA'!$F$392&amp;"")</f>
        <v/>
      </c>
      <c r="C2809" s="198">
        <f>"'FICHA AMALDIÇOADA'!F379"</f>
        <v/>
      </c>
      <c r="D2809" s="198" t="inlineStr">
        <is>
          <t>entrada</t>
        </is>
      </c>
    </row>
    <row r="2810">
      <c r="A2810" s="198" t="inlineStr">
        <is>
          <t>passiva.1.texto</t>
        </is>
      </c>
      <c r="B2810" s="198">
        <f>IF(ISBLANK('FICHA AMALDIÇOADA'!$E$397),"",'FICHA AMALDIÇOADA'!$E$397&amp;"")</f>
        <v/>
      </c>
      <c r="C2810" s="198">
        <f>"'FICHA AMALDIÇOADA'!E384"</f>
        <v/>
      </c>
      <c r="D2810" s="198" t="inlineStr">
        <is>
          <t>entrada</t>
        </is>
      </c>
    </row>
    <row r="2811">
      <c r="A2811" s="198" t="inlineStr">
        <is>
          <t>passiva.2.categoria</t>
        </is>
      </c>
      <c r="B2811" s="198">
        <f>IF(ISBLANK('FICHA AMALDIÇOADA'!$L$392),"",'FICHA AMALDIÇOADA'!$L$392&amp;"")</f>
        <v/>
      </c>
      <c r="C2811" s="198">
        <f>"'FICHA AMALDIÇOADA'!L379"</f>
        <v/>
      </c>
      <c r="D2811" s="198" t="inlineStr">
        <is>
          <t>entrada</t>
        </is>
      </c>
    </row>
    <row r="2812">
      <c r="A2812" s="198" t="inlineStr">
        <is>
          <t>passiva.2.texto</t>
        </is>
      </c>
      <c r="B2812" s="198">
        <f>IF(ISBLANK('FICHA AMALDIÇOADA'!$K$397),"",'FICHA AMALDIÇOADA'!$K$397&amp;"")</f>
        <v/>
      </c>
      <c r="C2812" s="198">
        <f>"'FICHA AMALDIÇOADA'!K384"</f>
        <v/>
      </c>
      <c r="D2812" s="198" t="inlineStr">
        <is>
          <t>entrada</t>
        </is>
      </c>
    </row>
    <row r="2813">
      <c r="A2813" s="198" t="inlineStr">
        <is>
          <t>passiva.3.categoria</t>
        </is>
      </c>
      <c r="B2813" s="198">
        <f>IF(ISBLANK('FICHA AMALDIÇOADA'!$R$392),"",'FICHA AMALDIÇOADA'!$R$392&amp;"")</f>
        <v/>
      </c>
      <c r="C2813" s="198">
        <f>"'FICHA AMALDIÇOADA'!R379"</f>
        <v/>
      </c>
      <c r="D2813" s="198" t="inlineStr">
        <is>
          <t>entrada</t>
        </is>
      </c>
    </row>
    <row r="2814">
      <c r="A2814" s="198" t="inlineStr">
        <is>
          <t>passiva.3.texto</t>
        </is>
      </c>
      <c r="B2814" s="198">
        <f>IF(ISBLANK('FICHA AMALDIÇOADA'!$Q$397),"",'FICHA AMALDIÇOADA'!$Q$397&amp;"")</f>
        <v/>
      </c>
      <c r="C2814" s="198">
        <f>"'FICHA AMALDIÇOADA'!Q384"</f>
        <v/>
      </c>
      <c r="D2814" s="198" t="inlineStr">
        <is>
          <t>entrada</t>
        </is>
      </c>
    </row>
    <row r="2815">
      <c r="A2815" s="198" t="inlineStr">
        <is>
          <t>passiva.4.categoria</t>
        </is>
      </c>
      <c r="B2815" s="198">
        <f>IF(ISBLANK('FICHA AMALDIÇOADA'!$F$400),"",'FICHA AMALDIÇOADA'!$F$400&amp;"")</f>
        <v/>
      </c>
      <c r="C2815" s="198">
        <f>"'FICHA AMALDIÇOADA'!F387"</f>
        <v/>
      </c>
      <c r="D2815" s="198" t="inlineStr">
        <is>
          <t>entrada</t>
        </is>
      </c>
    </row>
    <row r="2816">
      <c r="A2816" s="198" t="inlineStr">
        <is>
          <t>passiva.4.texto</t>
        </is>
      </c>
      <c r="B2816" s="198">
        <f>IF(ISBLANK('FICHA AMALDIÇOADA'!$E$405),"",'FICHA AMALDIÇOADA'!$E$405&amp;"")</f>
        <v/>
      </c>
      <c r="C2816" s="198">
        <f>"'FICHA AMALDIÇOADA'!E392"</f>
        <v/>
      </c>
      <c r="D2816" s="198" t="inlineStr">
        <is>
          <t>entrada</t>
        </is>
      </c>
    </row>
    <row r="2817">
      <c r="A2817" s="198" t="inlineStr">
        <is>
          <t>passiva.5.categoria</t>
        </is>
      </c>
      <c r="B2817" s="198">
        <f>IF(ISBLANK('FICHA AMALDIÇOADA'!$L$400),"",'FICHA AMALDIÇOADA'!$L$400&amp;"")</f>
        <v/>
      </c>
      <c r="C2817" s="198">
        <f>"'FICHA AMALDIÇOADA'!L387"</f>
        <v/>
      </c>
      <c r="D2817" s="198" t="inlineStr">
        <is>
          <t>entrada</t>
        </is>
      </c>
    </row>
    <row r="2818">
      <c r="A2818" s="198" t="inlineStr">
        <is>
          <t>passiva.5.texto</t>
        </is>
      </c>
      <c r="B2818" s="198">
        <f>IF(ISBLANK('FICHA AMALDIÇOADA'!$K$405),"",'FICHA AMALDIÇOADA'!$K$405&amp;"")</f>
        <v/>
      </c>
      <c r="C2818" s="198">
        <f>"'FICHA AMALDIÇOADA'!K392"</f>
        <v/>
      </c>
      <c r="D2818" s="198" t="inlineStr">
        <is>
          <t>entrada</t>
        </is>
      </c>
    </row>
    <row r="2819">
      <c r="A2819" s="198" t="inlineStr">
        <is>
          <t>passiva.6.categoria</t>
        </is>
      </c>
      <c r="B2819" s="198">
        <f>IF(ISBLANK('FICHA AMALDIÇOADA'!$F$410),"",'FICHA AMALDIÇOADA'!$F$410&amp;"")</f>
        <v/>
      </c>
      <c r="C2819" s="198">
        <f>"'FICHA AMALDIÇOADA'!F397"</f>
        <v/>
      </c>
      <c r="D2819" s="198" t="inlineStr">
        <is>
          <t>entrada</t>
        </is>
      </c>
    </row>
    <row r="2820">
      <c r="A2820" s="198" t="inlineStr">
        <is>
          <t>passiva.6.texto</t>
        </is>
      </c>
      <c r="B2820" s="198">
        <f>IF(ISBLANK('FICHA AMALDIÇOADA'!$E$415),"",'FICHA AMALDIÇOADA'!$E$415&amp;"")</f>
        <v/>
      </c>
      <c r="C2820" s="198">
        <f>"'FICHA AMALDIÇOADA'!E402"</f>
        <v/>
      </c>
      <c r="D2820" s="198" t="inlineStr">
        <is>
          <t>entrada</t>
        </is>
      </c>
    </row>
    <row r="2821">
      <c r="A2821" s="198" t="inlineStr">
        <is>
          <t>passiva.7.categoria</t>
        </is>
      </c>
      <c r="B2821" s="198">
        <f>IF(ISBLANK('FICHA AMALDIÇOADA'!$L$410),"",'FICHA AMALDIÇOADA'!$L$410&amp;"")</f>
        <v/>
      </c>
      <c r="C2821" s="198">
        <f>"'FICHA AMALDIÇOADA'!L397"</f>
        <v/>
      </c>
      <c r="D2821" s="198" t="inlineStr">
        <is>
          <t>entrada</t>
        </is>
      </c>
    </row>
    <row r="2822">
      <c r="A2822" s="198" t="inlineStr">
        <is>
          <t>passiva.7.texto</t>
        </is>
      </c>
      <c r="B2822" s="198">
        <f>IF(ISBLANK('FICHA AMALDIÇOADA'!$K$415),"",'FICHA AMALDIÇOADA'!$K$415&amp;"")</f>
        <v/>
      </c>
      <c r="C2822" s="198">
        <f>"'FICHA AMALDIÇOADA'!K402"</f>
        <v/>
      </c>
      <c r="D2822" s="198" t="inlineStr">
        <is>
          <t>entrada</t>
        </is>
      </c>
    </row>
    <row r="2823">
      <c r="A2823" s="198" t="inlineStr">
        <is>
          <t>passiva.8.categoria</t>
        </is>
      </c>
      <c r="B2823" s="198">
        <f>IF(ISBLANK('FICHA AMALDIÇOADA'!$R$410),"",'FICHA AMALDIÇOADA'!$R$410&amp;"")</f>
        <v/>
      </c>
      <c r="C2823" s="198">
        <f>"'FICHA AMALDIÇOADA'!R397"</f>
        <v/>
      </c>
      <c r="D2823" s="198" t="inlineStr">
        <is>
          <t>entrada</t>
        </is>
      </c>
    </row>
    <row r="2824">
      <c r="A2824" s="198" t="inlineStr">
        <is>
          <t>passiva.8.texto</t>
        </is>
      </c>
      <c r="B2824" s="198">
        <f>IF(ISBLANK('FICHA AMALDIÇOADA'!$Q$415),"",'FICHA AMALDIÇOADA'!$Q$415&amp;"")</f>
        <v/>
      </c>
      <c r="C2824" s="198">
        <f>"'FICHA AMALDIÇOADA'!Q402"</f>
        <v/>
      </c>
      <c r="D2824" s="198" t="inlineStr">
        <is>
          <t>entrada</t>
        </is>
      </c>
    </row>
    <row r="2825">
      <c r="A2825" s="198" t="inlineStr">
        <is>
          <t>passiva.9.categoria</t>
        </is>
      </c>
      <c r="B2825" s="198">
        <f>IF(ISBLANK('FICHA AMALDIÇOADA'!$F$418),"",'FICHA AMALDIÇOADA'!$F$418&amp;"")</f>
        <v/>
      </c>
      <c r="C2825" s="198">
        <f>"'FICHA AMALDIÇOADA'!F405"</f>
        <v/>
      </c>
      <c r="D2825" s="198" t="inlineStr">
        <is>
          <t>entrada</t>
        </is>
      </c>
    </row>
    <row r="2826">
      <c r="A2826" s="198" t="inlineStr">
        <is>
          <t>passiva.9.texto</t>
        </is>
      </c>
      <c r="B2826" s="198">
        <f>IF(ISBLANK('FICHA AMALDIÇOADA'!$E$423),"",'FICHA AMALDIÇOADA'!$E$423&amp;"")</f>
        <v/>
      </c>
      <c r="C2826" s="198">
        <f>"'FICHA AMALDIÇOADA'!E410"</f>
        <v/>
      </c>
      <c r="D2826" s="198" t="inlineStr">
        <is>
          <t>entrada</t>
        </is>
      </c>
    </row>
    <row r="2827">
      <c r="A2827" s="198" t="inlineStr">
        <is>
          <t>passiva.10.categoria</t>
        </is>
      </c>
      <c r="B2827" s="198">
        <f>IF(ISBLANK('FICHA AMALDIÇOADA'!$L$418),"",'FICHA AMALDIÇOADA'!$L$418&amp;"")</f>
        <v/>
      </c>
      <c r="C2827" s="198">
        <f>"'FICHA AMALDIÇOADA'!L405"</f>
        <v/>
      </c>
      <c r="D2827" s="198" t="inlineStr">
        <is>
          <t>entrada</t>
        </is>
      </c>
    </row>
    <row r="2828">
      <c r="A2828" s="198" t="inlineStr">
        <is>
          <t>passiva.10.texto</t>
        </is>
      </c>
      <c r="B2828" s="198">
        <f>IF(ISBLANK('FICHA AMALDIÇOADA'!$K$423),"",'FICHA AMALDIÇOADA'!$K$423&amp;"")</f>
        <v/>
      </c>
      <c r="C2828" s="198">
        <f>"'FICHA AMALDIÇOADA'!K410"</f>
        <v/>
      </c>
      <c r="D2828" s="198" t="inlineStr">
        <is>
          <t>entrada</t>
        </is>
      </c>
    </row>
    <row r="2829">
      <c r="A2829" s="198" t="inlineStr">
        <is>
          <t>passiva.11.categoria</t>
        </is>
      </c>
      <c r="B2829" s="198">
        <f>IF(ISBLANK('FICHA AMALDIÇOADA'!$R$418),"",'FICHA AMALDIÇOADA'!$R$418&amp;"")</f>
        <v/>
      </c>
      <c r="C2829" s="198">
        <f>"'FICHA AMALDIÇOADA'!R405"</f>
        <v/>
      </c>
      <c r="D2829" s="198" t="inlineStr">
        <is>
          <t>entrada</t>
        </is>
      </c>
    </row>
    <row r="2830">
      <c r="A2830" s="198" t="inlineStr">
        <is>
          <t>passiva.11.texto</t>
        </is>
      </c>
      <c r="B2830" s="198">
        <f>IF(ISBLANK('FICHA AMALDIÇOADA'!$Q$423),"",'FICHA AMALDIÇOADA'!$Q$423&amp;"")</f>
        <v/>
      </c>
      <c r="C2830" s="198">
        <f>"'FICHA AMALDIÇOADA'!Q410"</f>
        <v/>
      </c>
      <c r="D2830" s="198" t="inlineStr">
        <is>
          <t>entrada</t>
        </is>
      </c>
    </row>
    <row r="2831">
      <c r="A2831" s="198" t="inlineStr">
        <is>
          <t>passiva.12.categoria</t>
        </is>
      </c>
      <c r="B2831" s="198">
        <f>IF(ISBLANK('FICHA AMALDIÇOADA'!$F$426),"",'FICHA AMALDIÇOADA'!$F$426&amp;"")</f>
        <v/>
      </c>
      <c r="C2831" s="198">
        <f>"'FICHA AMALDIÇOADA'!F413"</f>
        <v/>
      </c>
      <c r="D2831" s="198" t="inlineStr">
        <is>
          <t>entrada</t>
        </is>
      </c>
    </row>
    <row r="2832">
      <c r="A2832" s="198" t="inlineStr">
        <is>
          <t>passiva.12.texto</t>
        </is>
      </c>
      <c r="B2832" s="198">
        <f>IF(ISBLANK('FICHA AMALDIÇOADA'!$E$431),"",'FICHA AMALDIÇOADA'!$E$431&amp;"")</f>
        <v/>
      </c>
      <c r="C2832" s="198">
        <f>"'FICHA AMALDIÇOADA'!E418"</f>
        <v/>
      </c>
      <c r="D2832" s="198" t="inlineStr">
        <is>
          <t>entrada</t>
        </is>
      </c>
    </row>
    <row r="2833">
      <c r="A2833" s="198" t="inlineStr">
        <is>
          <t>aptidao.1.categoria</t>
        </is>
      </c>
      <c r="B2833" s="198">
        <f>IF(ISBLANK('FICHA AMALDIÇOADA'!$G$443),"",'FICHA AMALDIÇOADA'!$G$443&amp;"")</f>
        <v/>
      </c>
      <c r="C2833" s="198">
        <f>"'FICHA AMALDIÇOADA'!G430"</f>
        <v/>
      </c>
      <c r="D2833" s="198" t="inlineStr">
        <is>
          <t>entrada</t>
        </is>
      </c>
    </row>
    <row r="2834">
      <c r="A2834" s="198" t="inlineStr">
        <is>
          <t>aptidao.1.texto</t>
        </is>
      </c>
      <c r="B2834" s="198">
        <f>IF(ISBLANK('FICHA AMALDIÇOADA'!$E$460),"",'FICHA AMALDIÇOADA'!$E$460&amp;"")</f>
        <v/>
      </c>
      <c r="C2834" s="198">
        <f>"'FICHA AMALDIÇOADA'!E447"</f>
        <v/>
      </c>
      <c r="D2834" s="198" t="inlineStr">
        <is>
          <t>entrada</t>
        </is>
      </c>
    </row>
    <row r="2835">
      <c r="A2835" s="198" t="inlineStr">
        <is>
          <t>aptidao.2.categoria</t>
        </is>
      </c>
      <c r="B2835" s="198">
        <f>IF(ISBLANK('FICHA AMALDIÇOADA'!$M$443),"",'FICHA AMALDIÇOADA'!$M$443&amp;"")</f>
        <v/>
      </c>
      <c r="C2835" s="198">
        <f>"'FICHA AMALDIÇOADA'!M430"</f>
        <v/>
      </c>
      <c r="D2835" s="198" t="inlineStr">
        <is>
          <t>entrada</t>
        </is>
      </c>
    </row>
    <row r="2836">
      <c r="A2836" s="198" t="inlineStr">
        <is>
          <t>aptidao.2.texto</t>
        </is>
      </c>
      <c r="B2836" s="198">
        <f>IF(ISBLANK('FICHA AMALDIÇOADA'!$K$460),"",'FICHA AMALDIÇOADA'!$K$460&amp;"")</f>
        <v/>
      </c>
      <c r="C2836" s="198">
        <f>"'FICHA AMALDIÇOADA'!K447"</f>
        <v/>
      </c>
      <c r="D2836" s="198" t="inlineStr">
        <is>
          <t>entrada</t>
        </is>
      </c>
    </row>
    <row r="2837">
      <c r="A2837" s="198" t="inlineStr">
        <is>
          <t>aptidao.3.categoria</t>
        </is>
      </c>
      <c r="B2837" s="198">
        <f>IF(ISBLANK('FICHA AMALDIÇOADA'!$S$443),"",'FICHA AMALDIÇOADA'!$S$443&amp;"")</f>
        <v/>
      </c>
      <c r="C2837" s="198">
        <f>"'FICHA AMALDIÇOADA'!S430"</f>
        <v/>
      </c>
      <c r="D2837" s="198" t="inlineStr">
        <is>
          <t>entrada</t>
        </is>
      </c>
    </row>
    <row r="2838">
      <c r="A2838" s="198" t="inlineStr">
        <is>
          <t>aptidao.3.texto</t>
        </is>
      </c>
      <c r="B2838" s="198">
        <f>IF(ISBLANK('FICHA AMALDIÇOADA'!$Q$460),"",'FICHA AMALDIÇOADA'!$Q$460&amp;"")</f>
        <v/>
      </c>
      <c r="C2838" s="198">
        <f>"'FICHA AMALDIÇOADA'!Q447"</f>
        <v/>
      </c>
      <c r="D2838" s="198" t="inlineStr">
        <is>
          <t>entrada</t>
        </is>
      </c>
    </row>
    <row r="2839">
      <c r="A2839" s="198" t="inlineStr">
        <is>
          <t>aptidao.4.categoria</t>
        </is>
      </c>
      <c r="B2839" s="198">
        <f>IF(ISBLANK('FICHA AMALDIÇOADA'!$G$463),"",'FICHA AMALDIÇOADA'!$G$463&amp;"")</f>
        <v/>
      </c>
      <c r="C2839" s="198">
        <f>"'FICHA AMALDIÇOADA'!G450"</f>
        <v/>
      </c>
      <c r="D2839" s="198" t="inlineStr">
        <is>
          <t>entrada</t>
        </is>
      </c>
    </row>
    <row r="2840">
      <c r="A2840" s="198" t="inlineStr">
        <is>
          <t>aptidao.4.texto</t>
        </is>
      </c>
      <c r="B2840" s="198">
        <f>IF(ISBLANK('FICHA AMALDIÇOADA'!$E$480),"",'FICHA AMALDIÇOADA'!$E$480&amp;"")</f>
        <v/>
      </c>
      <c r="C2840" s="198">
        <f>"'FICHA AMALDIÇOADA'!E467"</f>
        <v/>
      </c>
      <c r="D2840" s="198" t="inlineStr">
        <is>
          <t>entrada</t>
        </is>
      </c>
    </row>
    <row r="2841">
      <c r="A2841" s="198" t="inlineStr">
        <is>
          <t>aptidao.5.categoria</t>
        </is>
      </c>
      <c r="B2841" s="198">
        <f>IF(ISBLANK('FICHA AMALDIÇOADA'!$M$463),"",'FICHA AMALDIÇOADA'!$M$463&amp;"")</f>
        <v/>
      </c>
      <c r="C2841" s="198">
        <f>"'FICHA AMALDIÇOADA'!M450"</f>
        <v/>
      </c>
      <c r="D2841" s="198" t="inlineStr">
        <is>
          <t>entrada</t>
        </is>
      </c>
    </row>
    <row r="2842">
      <c r="A2842" s="198" t="inlineStr">
        <is>
          <t>aptidao.5.texto</t>
        </is>
      </c>
      <c r="B2842" s="198">
        <f>IF(ISBLANK('FICHA AMALDIÇOADA'!$K$480),"",'FICHA AMALDIÇOADA'!$K$480&amp;"")</f>
        <v/>
      </c>
      <c r="C2842" s="198">
        <f>"'FICHA AMALDIÇOADA'!K467"</f>
        <v/>
      </c>
      <c r="D2842" s="198" t="inlineStr">
        <is>
          <t>entrada</t>
        </is>
      </c>
    </row>
    <row r="2843">
      <c r="A2843" s="198" t="inlineStr">
        <is>
          <t>aptidao.6.categoria</t>
        </is>
      </c>
      <c r="B2843" s="198">
        <f>IF(ISBLANK('FICHA AMALDIÇOADA'!$S$463),"",'FICHA AMALDIÇOADA'!$S$463&amp;"")</f>
        <v/>
      </c>
      <c r="C2843" s="198">
        <f>"'FICHA AMALDIÇOADA'!S450"</f>
        <v/>
      </c>
      <c r="D2843" s="198" t="inlineStr">
        <is>
          <t>entrada</t>
        </is>
      </c>
    </row>
    <row r="2844">
      <c r="A2844" s="198" t="inlineStr">
        <is>
          <t>aptidao.6.texto</t>
        </is>
      </c>
      <c r="B2844" s="198">
        <f>IF(ISBLANK('FICHA AMALDIÇOADA'!$Q$480),"",'FICHA AMALDIÇOADA'!$Q$480&amp;"")</f>
        <v/>
      </c>
      <c r="C2844" s="198">
        <f>"'FICHA AMALDIÇOADA'!Q467"</f>
        <v/>
      </c>
      <c r="D2844" s="198" t="inlineStr">
        <is>
          <t>entrada</t>
        </is>
      </c>
    </row>
    <row r="2845">
      <c r="A2845" s="198" t="inlineStr">
        <is>
          <t>aptidao.7.categoria</t>
        </is>
      </c>
      <c r="B2845" s="198">
        <f>IF(ISBLANK('FICHA AMALDIÇOADA'!$G$485),"",'FICHA AMALDIÇOADA'!$G$485&amp;"")</f>
        <v/>
      </c>
      <c r="C2845" s="198">
        <f>"'FICHA AMALDIÇOADA'!G472"</f>
        <v/>
      </c>
      <c r="D2845" s="198" t="inlineStr">
        <is>
          <t>entrada</t>
        </is>
      </c>
    </row>
    <row r="2846">
      <c r="A2846" s="198" t="inlineStr">
        <is>
          <t>aptidao.7.texto</t>
        </is>
      </c>
      <c r="B2846" s="198">
        <f>IF(ISBLANK('FICHA AMALDIÇOADA'!$E$502),"",'FICHA AMALDIÇOADA'!$E$502&amp;"")</f>
        <v/>
      </c>
      <c r="C2846" s="198">
        <f>"'FICHA AMALDIÇOADA'!E489"</f>
        <v/>
      </c>
      <c r="D2846" s="198" t="inlineStr">
        <is>
          <t>entrada</t>
        </is>
      </c>
    </row>
    <row r="2847">
      <c r="A2847" s="198" t="inlineStr">
        <is>
          <t>aptidao.8.categoria</t>
        </is>
      </c>
      <c r="B2847" s="198">
        <f>IF(ISBLANK('FICHA AMALDIÇOADA'!$M$485),"",'FICHA AMALDIÇOADA'!$M$485&amp;"")</f>
        <v/>
      </c>
      <c r="C2847" s="198">
        <f>"'FICHA AMALDIÇOADA'!M472"</f>
        <v/>
      </c>
      <c r="D2847" s="198" t="inlineStr">
        <is>
          <t>entrada</t>
        </is>
      </c>
    </row>
    <row r="2848">
      <c r="A2848" s="198" t="inlineStr">
        <is>
          <t>aptidao.8.texto</t>
        </is>
      </c>
      <c r="B2848" s="198">
        <f>IF(ISBLANK('FICHA AMALDIÇOADA'!$K$502),"",'FICHA AMALDIÇOADA'!$K$502&amp;"")</f>
        <v/>
      </c>
      <c r="C2848" s="198">
        <f>"'FICHA AMALDIÇOADA'!K489"</f>
        <v/>
      </c>
      <c r="D2848" s="198" t="inlineStr">
        <is>
          <t>entrada</t>
        </is>
      </c>
    </row>
    <row r="2849">
      <c r="A2849" s="198" t="inlineStr">
        <is>
          <t>aptidao.9.categoria</t>
        </is>
      </c>
      <c r="B2849" s="198">
        <f>IF(ISBLANK('FICHA AMALDIÇOADA'!$S$485),"",'FICHA AMALDIÇOADA'!$S$485&amp;"")</f>
        <v/>
      </c>
      <c r="C2849" s="198">
        <f>"'FICHA AMALDIÇOADA'!S472"</f>
        <v/>
      </c>
      <c r="D2849" s="198" t="inlineStr">
        <is>
          <t>entrada</t>
        </is>
      </c>
    </row>
    <row r="2850">
      <c r="A2850" s="198" t="inlineStr">
        <is>
          <t>aptidao.9.texto</t>
        </is>
      </c>
      <c r="B2850" s="198">
        <f>IF(ISBLANK('FICHA AMALDIÇOADA'!$Q$502),"",'FICHA AMALDIÇOADA'!$Q$502&amp;"")</f>
        <v/>
      </c>
      <c r="C2850" s="198">
        <f>"'FICHA AMALDIÇOADA'!Q489"</f>
        <v/>
      </c>
      <c r="D2850" s="198" t="inlineStr">
        <is>
          <t>entrada</t>
        </is>
      </c>
    </row>
    <row r="2851">
      <c r="A2851" s="198" t="inlineStr">
        <is>
          <t>aptidao.10.categoria</t>
        </is>
      </c>
      <c r="B2851" s="198">
        <f>IF(ISBLANK('FICHA AMALDIÇOADA'!$G$505),"",'FICHA AMALDIÇOADA'!$G$505&amp;"")</f>
        <v/>
      </c>
      <c r="C2851" s="198">
        <f>"'FICHA AMALDIÇOADA'!G492"</f>
        <v/>
      </c>
      <c r="D2851" s="198" t="inlineStr">
        <is>
          <t>entrada</t>
        </is>
      </c>
    </row>
    <row r="2852">
      <c r="A2852" s="198" t="inlineStr">
        <is>
          <t>aptidao.10.texto</t>
        </is>
      </c>
      <c r="B2852" s="198">
        <f>IF(ISBLANK('FICHA AMALDIÇOADA'!$E$522),"",'FICHA AMALDIÇOADA'!$E$522&amp;"")</f>
        <v/>
      </c>
      <c r="C2852" s="198">
        <f>"'FICHA AMALDIÇOADA'!E509"</f>
        <v/>
      </c>
      <c r="D2852" s="198" t="inlineStr">
        <is>
          <t>entrada</t>
        </is>
      </c>
    </row>
    <row r="2853">
      <c r="A2853" s="198" t="inlineStr">
        <is>
          <t>aptidao.11.categoria</t>
        </is>
      </c>
      <c r="B2853" s="198">
        <f>IF(ISBLANK('FICHA AMALDIÇOADA'!$M$505),"",'FICHA AMALDIÇOADA'!$M$505&amp;"")</f>
        <v/>
      </c>
      <c r="C2853" s="198">
        <f>"'FICHA AMALDIÇOADA'!M492"</f>
        <v/>
      </c>
      <c r="D2853" s="198" t="inlineStr">
        <is>
          <t>entrada</t>
        </is>
      </c>
    </row>
    <row r="2854">
      <c r="A2854" s="198" t="inlineStr">
        <is>
          <t>aptidao.11.texto</t>
        </is>
      </c>
      <c r="B2854" s="198">
        <f>IF(ISBLANK('FICHA AMALDIÇOADA'!$K$522),"",'FICHA AMALDIÇOADA'!$K$522&amp;"")</f>
        <v/>
      </c>
      <c r="C2854" s="198">
        <f>"'FICHA AMALDIÇOADA'!K509"</f>
        <v/>
      </c>
      <c r="D2854" s="198" t="inlineStr">
        <is>
          <t>entrada</t>
        </is>
      </c>
    </row>
    <row r="2855">
      <c r="A2855" s="198" t="inlineStr">
        <is>
          <t>aptidao.12.categoria</t>
        </is>
      </c>
      <c r="B2855" s="198">
        <f>IF(ISBLANK('FICHA AMALDIÇOADA'!$S$505),"",'FICHA AMALDIÇOADA'!$S$505&amp;"")</f>
        <v/>
      </c>
      <c r="C2855" s="198">
        <f>"'FICHA AMALDIÇOADA'!S492"</f>
        <v/>
      </c>
      <c r="D2855" s="198" t="inlineStr">
        <is>
          <t>entrada</t>
        </is>
      </c>
    </row>
    <row r="2856">
      <c r="A2856" s="198" t="inlineStr">
        <is>
          <t>aptidao.12.texto</t>
        </is>
      </c>
      <c r="B2856" s="198">
        <f>IF(ISBLANK('FICHA AMALDIÇOADA'!$Q$522),"",'FICHA AMALDIÇOADA'!$Q$522&amp;"")</f>
        <v/>
      </c>
      <c r="C2856" s="198">
        <f>"'FICHA AMALDIÇOADA'!Q509"</f>
        <v/>
      </c>
      <c r="D2856" s="198" t="inlineStr">
        <is>
          <t>entrada</t>
        </is>
      </c>
    </row>
    <row r="2857">
      <c r="A2857" s="198" t="inlineStr">
        <is>
          <t>invocacoes.defesa_atributo</t>
        </is>
      </c>
      <c r="B2857" s="198">
        <f>IF(ISBLANK('INVOCAÇÕES'!$D$17),"",'INVOCAÇÕES'!$D$17&amp;"")</f>
        <v/>
      </c>
      <c r="C2857" s="198">
        <f>"'INVOCAÇÕES'!D17"</f>
        <v/>
      </c>
      <c r="D2857" s="198" t="inlineStr">
        <is>
          <t>entrada</t>
        </is>
      </c>
    </row>
    <row r="2858">
      <c r="A2858" s="198" t="inlineStr">
        <is>
          <t>invocacao.1.atributo.forca.base</t>
        </is>
      </c>
      <c r="B2858" s="198">
        <f>IF(ISBLANK('INVOCAÇÕES'!$O$20),"",'INVOCAÇÕES'!$O$20&amp;"")</f>
        <v/>
      </c>
      <c r="C2858" s="198">
        <f>"'INVOCAÇÕES'!O20"</f>
        <v/>
      </c>
      <c r="D2858" s="198" t="inlineStr">
        <is>
          <t>entrada</t>
        </is>
      </c>
    </row>
    <row r="2859">
      <c r="A2859" s="198" t="inlineStr">
        <is>
          <t>invocacao.1.atributo.forca.buff</t>
        </is>
      </c>
      <c r="B2859" s="198">
        <f>IF(ISBLANK('INVOCAÇÕES'!$O$21),"",'INVOCAÇÕES'!$O$21&amp;"")</f>
        <v/>
      </c>
      <c r="C2859" s="198">
        <f>"'INVOCAÇÕES'!O21"</f>
        <v/>
      </c>
      <c r="D2859" s="198" t="inlineStr">
        <is>
          <t>entrada</t>
        </is>
      </c>
    </row>
    <row r="2860">
      <c r="A2860" s="198" t="inlineStr">
        <is>
          <t>invocacao.1.atributo.forca.total</t>
        </is>
      </c>
      <c r="B2860" s="198">
        <f>IF(ISBLANK('INVOCAÇÕES'!$O$18),"",'INVOCAÇÕES'!$O$18&amp;"")</f>
        <v/>
      </c>
      <c r="C2860" s="198">
        <f>"'INVOCAÇÕES'!O18"</f>
        <v/>
      </c>
      <c r="D2860" s="198" t="inlineStr">
        <is>
          <t>resultado</t>
        </is>
      </c>
    </row>
    <row r="2861">
      <c r="A2861" s="198" t="inlineStr">
        <is>
          <t>invocacao.1.atributo.destreza.base</t>
        </is>
      </c>
      <c r="B2861" s="198">
        <f>IF(ISBLANK('INVOCAÇÕES'!$P$20),"",'INVOCAÇÕES'!$P$20&amp;"")</f>
        <v/>
      </c>
      <c r="C2861" s="198">
        <f>"'INVOCAÇÕES'!P20"</f>
        <v/>
      </c>
      <c r="D2861" s="198" t="inlineStr">
        <is>
          <t>entrada</t>
        </is>
      </c>
    </row>
    <row r="2862">
      <c r="A2862" s="198" t="inlineStr">
        <is>
          <t>invocacao.1.atributo.destreza.buff</t>
        </is>
      </c>
      <c r="B2862" s="198">
        <f>IF(ISBLANK('INVOCAÇÕES'!$P$21),"",'INVOCAÇÕES'!$P$21&amp;"")</f>
        <v/>
      </c>
      <c r="C2862" s="198">
        <f>"'INVOCAÇÕES'!P21"</f>
        <v/>
      </c>
      <c r="D2862" s="198" t="inlineStr">
        <is>
          <t>entrada</t>
        </is>
      </c>
    </row>
    <row r="2863">
      <c r="A2863" s="198" t="inlineStr">
        <is>
          <t>invocacao.1.atributo.destreza.total</t>
        </is>
      </c>
      <c r="B2863" s="198">
        <f>IF(ISBLANK('INVOCAÇÕES'!$P$18),"",'INVOCAÇÕES'!$P$18&amp;"")</f>
        <v/>
      </c>
      <c r="C2863" s="198">
        <f>"'INVOCAÇÕES'!P18"</f>
        <v/>
      </c>
      <c r="D2863" s="198" t="inlineStr">
        <is>
          <t>resultado</t>
        </is>
      </c>
    </row>
    <row r="2864">
      <c r="A2864" s="198" t="inlineStr">
        <is>
          <t>invocacao.1.atributo.constituicao.base</t>
        </is>
      </c>
      <c r="B2864" s="198">
        <f>IF(ISBLANK('INVOCAÇÕES'!$Q$20),"",'INVOCAÇÕES'!$Q$20&amp;"")</f>
        <v/>
      </c>
      <c r="C2864" s="198">
        <f>"'INVOCAÇÕES'!Q20"</f>
        <v/>
      </c>
      <c r="D2864" s="198" t="inlineStr">
        <is>
          <t>entrada</t>
        </is>
      </c>
    </row>
    <row r="2865">
      <c r="A2865" s="198" t="inlineStr">
        <is>
          <t>invocacao.1.atributo.constituicao.buff</t>
        </is>
      </c>
      <c r="B2865" s="198">
        <f>IF(ISBLANK('INVOCAÇÕES'!$Q$21),"",'INVOCAÇÕES'!$Q$21&amp;"")</f>
        <v/>
      </c>
      <c r="C2865" s="198">
        <f>"'INVOCAÇÕES'!Q21"</f>
        <v/>
      </c>
      <c r="D2865" s="198" t="inlineStr">
        <is>
          <t>entrada</t>
        </is>
      </c>
    </row>
    <row r="2866">
      <c r="A2866" s="198" t="inlineStr">
        <is>
          <t>invocacao.1.atributo.constituicao.total</t>
        </is>
      </c>
      <c r="B2866" s="198">
        <f>IF(ISBLANK('INVOCAÇÕES'!$Q$18),"",'INVOCAÇÕES'!$Q$18&amp;"")</f>
        <v/>
      </c>
      <c r="C2866" s="198">
        <f>"'INVOCAÇÕES'!Q18"</f>
        <v/>
      </c>
      <c r="D2866" s="198" t="inlineStr">
        <is>
          <t>resultado</t>
        </is>
      </c>
    </row>
    <row r="2867">
      <c r="A2867" s="198" t="inlineStr">
        <is>
          <t>invocacao.1.atributo.inteligencia.base</t>
        </is>
      </c>
      <c r="B2867" s="198">
        <f>IF(ISBLANK('INVOCAÇÕES'!$R$20),"",'INVOCAÇÕES'!$R$20&amp;"")</f>
        <v/>
      </c>
      <c r="C2867" s="198">
        <f>"'INVOCAÇÕES'!R20"</f>
        <v/>
      </c>
      <c r="D2867" s="198" t="inlineStr">
        <is>
          <t>entrada</t>
        </is>
      </c>
    </row>
    <row r="2868">
      <c r="A2868" s="198" t="inlineStr">
        <is>
          <t>invocacao.1.atributo.inteligencia.buff</t>
        </is>
      </c>
      <c r="B2868" s="198">
        <f>IF(ISBLANK('INVOCAÇÕES'!$R$21),"",'INVOCAÇÕES'!$R$21&amp;"")</f>
        <v/>
      </c>
      <c r="C2868" s="198">
        <f>"'INVOCAÇÕES'!R21"</f>
        <v/>
      </c>
      <c r="D2868" s="198" t="inlineStr">
        <is>
          <t>entrada</t>
        </is>
      </c>
    </row>
    <row r="2869">
      <c r="A2869" s="198" t="inlineStr">
        <is>
          <t>invocacao.1.atributo.inteligencia.total</t>
        </is>
      </c>
      <c r="B2869" s="198">
        <f>IF(ISBLANK('INVOCAÇÕES'!$R$18),"",'INVOCAÇÕES'!$R$18&amp;"")</f>
        <v/>
      </c>
      <c r="C2869" s="198">
        <f>"'INVOCAÇÕES'!R18"</f>
        <v/>
      </c>
      <c r="D2869" s="198" t="inlineStr">
        <is>
          <t>resultado</t>
        </is>
      </c>
    </row>
    <row r="2870">
      <c r="A2870" s="198" t="inlineStr">
        <is>
          <t>invocacao.1.atributo.essencia.base</t>
        </is>
      </c>
      <c r="B2870" s="198">
        <f>IF(ISBLANK('INVOCAÇÕES'!$S$20),"",'INVOCAÇÕES'!$S$20&amp;"")</f>
        <v/>
      </c>
      <c r="C2870" s="198">
        <f>"'INVOCAÇÕES'!S20"</f>
        <v/>
      </c>
      <c r="D2870" s="198" t="inlineStr">
        <is>
          <t>entrada</t>
        </is>
      </c>
    </row>
    <row r="2871">
      <c r="A2871" s="198" t="inlineStr">
        <is>
          <t>invocacao.1.atributo.essencia.buff</t>
        </is>
      </c>
      <c r="B2871" s="198">
        <f>IF(ISBLANK('INVOCAÇÕES'!$S$21),"",'INVOCAÇÕES'!$S$21&amp;"")</f>
        <v/>
      </c>
      <c r="C2871" s="198">
        <f>"'INVOCAÇÕES'!S21"</f>
        <v/>
      </c>
      <c r="D2871" s="198" t="inlineStr">
        <is>
          <t>entrada</t>
        </is>
      </c>
    </row>
    <row r="2872">
      <c r="A2872" s="198" t="inlineStr">
        <is>
          <t>invocacao.1.atributo.essencia.total</t>
        </is>
      </c>
      <c r="B2872" s="198">
        <f>IF(ISBLANK('INVOCAÇÕES'!$S$18),"",'INVOCAÇÕES'!$S$18&amp;"")</f>
        <v/>
      </c>
      <c r="C2872" s="198">
        <f>"'INVOCAÇÕES'!S18"</f>
        <v/>
      </c>
      <c r="D2872" s="198" t="inlineStr">
        <is>
          <t>resultado</t>
        </is>
      </c>
    </row>
    <row r="2873">
      <c r="A2873" s="198" t="inlineStr">
        <is>
          <t>invocacao.1.buff.acerto</t>
        </is>
      </c>
      <c r="B2873" s="198">
        <f>IF(ISBLANK('INVOCAÇÕES'!$O$26),"",'INVOCAÇÕES'!$O$26&amp;"")</f>
        <v/>
      </c>
      <c r="C2873" s="198">
        <f>"'INVOCAÇÕES'!O26"</f>
        <v/>
      </c>
      <c r="D2873" s="198" t="inlineStr">
        <is>
          <t>entrada</t>
        </is>
      </c>
    </row>
    <row r="2874">
      <c r="A2874" s="198" t="inlineStr">
        <is>
          <t>invocacao.1.buff.cd</t>
        </is>
      </c>
      <c r="B2874" s="198">
        <f>IF(ISBLANK('INVOCAÇÕES'!$P$26),"",'INVOCAÇÕES'!$P$26&amp;"")</f>
        <v/>
      </c>
      <c r="C2874" s="198">
        <f>"'INVOCAÇÕES'!P26"</f>
        <v/>
      </c>
      <c r="D2874" s="198" t="inlineStr">
        <is>
          <t>entrada</t>
        </is>
      </c>
    </row>
    <row r="2875">
      <c r="A2875" s="198" t="inlineStr">
        <is>
          <t>invocacao.1.buff.defesa</t>
        </is>
      </c>
      <c r="B2875" s="198">
        <f>IF(ISBLANK('INVOCAÇÕES'!$Q$26),"",'INVOCAÇÕES'!$Q$26&amp;"")</f>
        <v/>
      </c>
      <c r="C2875" s="198">
        <f>"'INVOCAÇÕES'!Q26"</f>
        <v/>
      </c>
      <c r="D2875" s="198" t="inlineStr">
        <is>
          <t>entrada</t>
        </is>
      </c>
    </row>
    <row r="2876">
      <c r="A2876" s="198" t="inlineStr">
        <is>
          <t>invocacao.1.buff.vida</t>
        </is>
      </c>
      <c r="B2876" s="198">
        <f>IF(ISBLANK('INVOCAÇÕES'!$R$26),"",'INVOCAÇÕES'!$R$26&amp;"")</f>
        <v/>
      </c>
      <c r="C2876" s="198">
        <f>"'INVOCAÇÕES'!R26"</f>
        <v/>
      </c>
      <c r="D2876" s="198" t="inlineStr">
        <is>
          <t>entrada</t>
        </is>
      </c>
    </row>
    <row r="2877">
      <c r="A2877" s="198" t="inlineStr">
        <is>
          <t>invocacao.1.buff.deslocamento</t>
        </is>
      </c>
      <c r="B2877" s="198">
        <f>IF(ISBLANK('INVOCAÇÕES'!$S$26),"",'INVOCAÇÕES'!$S$26&amp;"")</f>
        <v/>
      </c>
      <c r="C2877" s="198">
        <f>"'INVOCAÇÕES'!S26"</f>
        <v/>
      </c>
      <c r="D2877" s="198" t="inlineStr">
        <is>
          <t>entrada</t>
        </is>
      </c>
    </row>
    <row r="2878">
      <c r="A2878" s="198" t="inlineStr">
        <is>
          <t>invocacao.1.buff.tr.fisico</t>
        </is>
      </c>
      <c r="B2878" s="198">
        <f>IF(ISBLANK('INVOCAÇÕES'!$O$31),"",'INVOCAÇÕES'!$O$31&amp;"")</f>
        <v/>
      </c>
      <c r="C2878" s="198">
        <f>"'INVOCAÇÕES'!O31"</f>
        <v/>
      </c>
      <c r="D2878" s="198" t="inlineStr">
        <is>
          <t>entrada</t>
        </is>
      </c>
    </row>
    <row r="2879">
      <c r="A2879" s="198" t="inlineStr">
        <is>
          <t>invocacao.1.buff.tr.vigor</t>
        </is>
      </c>
      <c r="B2879" s="198">
        <f>IF(ISBLANK('INVOCAÇÕES'!$P$31),"",'INVOCAÇÕES'!$P$31&amp;"")</f>
        <v/>
      </c>
      <c r="C2879" s="198">
        <f>"'INVOCAÇÕES'!P31"</f>
        <v/>
      </c>
      <c r="D2879" s="198" t="inlineStr">
        <is>
          <t>entrada</t>
        </is>
      </c>
    </row>
    <row r="2880">
      <c r="A2880" s="198" t="inlineStr">
        <is>
          <t>invocacao.1.buff.tr.intelecto</t>
        </is>
      </c>
      <c r="B2880" s="198">
        <f>IF(ISBLANK('INVOCAÇÕES'!$Q$31),"",'INVOCAÇÕES'!$Q$31&amp;"")</f>
        <v/>
      </c>
      <c r="C2880" s="198">
        <f>"'INVOCAÇÕES'!Q31"</f>
        <v/>
      </c>
      <c r="D2880" s="198" t="inlineStr">
        <is>
          <t>entrada</t>
        </is>
      </c>
    </row>
    <row r="2881">
      <c r="A2881" s="198" t="inlineStr">
        <is>
          <t>invocacao.1.buff.tr.espirito</t>
        </is>
      </c>
      <c r="B2881" s="198">
        <f>IF(ISBLANK('INVOCAÇÕES'!$R$31),"",'INVOCAÇÕES'!$R$31&amp;"")</f>
        <v/>
      </c>
      <c r="C2881" s="198">
        <f>"'INVOCAÇÕES'!R31"</f>
        <v/>
      </c>
      <c r="D2881" s="198" t="inlineStr">
        <is>
          <t>entrada</t>
        </is>
      </c>
    </row>
    <row r="2882">
      <c r="A2882" s="198" t="inlineStr">
        <is>
          <t>invocacao.1.atributo_acerto</t>
        </is>
      </c>
      <c r="B2882" s="198">
        <f>IF(ISBLANK('INVOCAÇÕES'!$O$34),"",'INVOCAÇÕES'!$O$34&amp;"")</f>
        <v/>
      </c>
      <c r="C2882" s="198">
        <f>"'INVOCAÇÕES'!O34"</f>
        <v/>
      </c>
      <c r="D2882" s="198" t="inlineStr">
        <is>
          <t>entrada</t>
        </is>
      </c>
    </row>
    <row r="2883">
      <c r="A2883" s="198" t="inlineStr">
        <is>
          <t>invocacao.1.atributo_fisico</t>
        </is>
      </c>
      <c r="B2883" s="198">
        <f>IF(ISBLANK('INVOCAÇÕES'!$R$34),"",'INVOCAÇÕES'!$R$34&amp;"")</f>
        <v/>
      </c>
      <c r="C2883" s="198">
        <f>"'INVOCAÇÕES'!R34"</f>
        <v/>
      </c>
      <c r="D2883" s="198" t="inlineStr">
        <is>
          <t>entrada</t>
        </is>
      </c>
    </row>
    <row r="2884">
      <c r="A2884" s="198" t="inlineStr">
        <is>
          <t>invocacao.1.tr_treinado</t>
        </is>
      </c>
      <c r="B2884" s="198">
        <f>IF(ISBLANK('INVOCAÇÕES'!$S$29),"",'INVOCAÇÕES'!$S$29&amp;"")</f>
        <v/>
      </c>
      <c r="C2884" s="198">
        <f>"'INVOCAÇÕES'!S29"</f>
        <v/>
      </c>
      <c r="D2884" s="198" t="inlineStr">
        <is>
          <t>entrada</t>
        </is>
      </c>
    </row>
    <row r="2885">
      <c r="A2885" s="198" t="inlineStr">
        <is>
          <t>invocacao.1.alma</t>
        </is>
      </c>
      <c r="B2885" s="198">
        <f>IF(ISBLANK('INVOCAÇÕES'!$U$18),"",'INVOCAÇÕES'!$U$18&amp;"")</f>
        <v/>
      </c>
      <c r="C2885" s="198">
        <f>"'INVOCAÇÕES'!U18"</f>
        <v/>
      </c>
      <c r="D2885" s="198" t="inlineStr">
        <is>
          <t>entrada</t>
        </is>
      </c>
    </row>
    <row r="2886">
      <c r="A2886" s="198" t="inlineStr">
        <is>
          <t>invocacao.1.notas</t>
        </is>
      </c>
      <c r="B2886" s="198">
        <f>IF(ISBLANK('INVOCAÇÕES'!$U$27),"",'INVOCAÇÕES'!$U$27&amp;"")</f>
        <v/>
      </c>
      <c r="C2886" s="198">
        <f>"'INVOCAÇÕES'!U27"</f>
        <v/>
      </c>
      <c r="D2886" s="198" t="inlineStr">
        <is>
          <t>entrada</t>
        </is>
      </c>
    </row>
    <row r="2887">
      <c r="A2887" s="198" t="inlineStr">
        <is>
          <t>invocacao.1.definicao</t>
        </is>
      </c>
      <c r="B2887" s="198">
        <f>IF(ISBLANK('INVOCAÇÕES'!$I$66),"",'INVOCAÇÕES'!$I$66&amp;"")</f>
        <v/>
      </c>
      <c r="C2887" s="198">
        <f>"'INVOCAÇÕES'!I53"</f>
        <v/>
      </c>
      <c r="D2887" s="198" t="inlineStr">
        <is>
          <t>entrada</t>
        </is>
      </c>
    </row>
    <row r="2888">
      <c r="A2888" s="198" t="inlineStr">
        <is>
          <t>invocacao.1.familia.1</t>
        </is>
      </c>
      <c r="B2888" s="198">
        <f>IF(ISBLANK('INVOCAÇÕES'!$O$48),"",'INVOCAÇÕES'!$O$48&amp;"")</f>
        <v/>
      </c>
      <c r="C2888" s="198">
        <f>"'INVOCAÇÕES'!O48"</f>
        <v/>
      </c>
      <c r="D2888" s="198" t="inlineStr">
        <is>
          <t>entrada</t>
        </is>
      </c>
    </row>
    <row r="2889">
      <c r="A2889" s="198" t="inlineStr">
        <is>
          <t>invocacao.1.familia.2</t>
        </is>
      </c>
      <c r="B2889" s="198">
        <f>IF(ISBLANK('INVOCAÇÕES'!$P$48),"",'INVOCAÇÕES'!$P$48&amp;"")</f>
        <v/>
      </c>
      <c r="C2889" s="198">
        <f>"'INVOCAÇÕES'!P48"</f>
        <v/>
      </c>
      <c r="D2889" s="198" t="inlineStr">
        <is>
          <t>entrada</t>
        </is>
      </c>
    </row>
    <row r="2890">
      <c r="A2890" s="198" t="inlineStr">
        <is>
          <t>invocacao.1.familia.3</t>
        </is>
      </c>
      <c r="B2890" s="198">
        <f>IF(ISBLANK('INVOCAÇÕES'!$Q$48),"",'INVOCAÇÕES'!$Q$48&amp;"")</f>
        <v/>
      </c>
      <c r="C2890" s="198">
        <f>"'INVOCAÇÕES'!Q48"</f>
        <v/>
      </c>
      <c r="D2890" s="198" t="inlineStr">
        <is>
          <t>entrada</t>
        </is>
      </c>
    </row>
    <row r="2891">
      <c r="A2891" s="198" t="inlineStr">
        <is>
          <t>invocacao.1.familia.4</t>
        </is>
      </c>
      <c r="B2891" s="198">
        <f>IF(ISBLANK('INVOCAÇÕES'!$R$48),"",'INVOCAÇÕES'!$R$48&amp;"")</f>
        <v/>
      </c>
      <c r="C2891" s="198">
        <f>"'INVOCAÇÕES'!R48"</f>
        <v/>
      </c>
      <c r="D2891" s="198" t="inlineStr">
        <is>
          <t>entrada</t>
        </is>
      </c>
    </row>
    <row r="2892">
      <c r="A2892" s="198" t="inlineStr">
        <is>
          <t>invocacao.1.familia.5</t>
        </is>
      </c>
      <c r="B2892" s="198">
        <f>IF(ISBLANK('INVOCAÇÕES'!$S$48),"",'INVOCAÇÕES'!$S$48&amp;"")</f>
        <v/>
      </c>
      <c r="C2892" s="198">
        <f>"'INVOCAÇÕES'!S48"</f>
        <v/>
      </c>
      <c r="D2892" s="198" t="inlineStr">
        <is>
          <t>entrada</t>
        </is>
      </c>
    </row>
    <row r="2893">
      <c r="A2893" s="198" t="inlineStr">
        <is>
          <t>invocacao.1.pericia.1</t>
        </is>
      </c>
      <c r="B2893" s="198">
        <f>IF(ISBLANK('INVOCAÇÕES'!$O$38),"",'INVOCAÇÕES'!$O$38&amp;"")</f>
        <v/>
      </c>
      <c r="C2893" s="198">
        <f>"'INVOCAÇÕES'!O38"</f>
        <v/>
      </c>
      <c r="D2893" s="198" t="inlineStr">
        <is>
          <t>entrada</t>
        </is>
      </c>
    </row>
    <row r="2894">
      <c r="A2894" s="198" t="inlineStr">
        <is>
          <t>invocacao.1.pericia.2</t>
        </is>
      </c>
      <c r="B2894" s="198">
        <f>IF(ISBLANK('INVOCAÇÕES'!$O$39),"",'INVOCAÇÕES'!$O$39&amp;"")</f>
        <v/>
      </c>
      <c r="C2894" s="198">
        <f>"'INVOCAÇÕES'!O39"</f>
        <v/>
      </c>
      <c r="D2894" s="198" t="inlineStr">
        <is>
          <t>entrada</t>
        </is>
      </c>
    </row>
    <row r="2895">
      <c r="A2895" s="198" t="inlineStr">
        <is>
          <t>invocacao.1.pericia.3</t>
        </is>
      </c>
      <c r="B2895" s="198">
        <f>IF(ISBLANK('INVOCAÇÕES'!$O$40),"",'INVOCAÇÕES'!$O$40&amp;"")</f>
        <v/>
      </c>
      <c r="C2895" s="198">
        <f>"'INVOCAÇÕES'!O40"</f>
        <v/>
      </c>
      <c r="D2895" s="198" t="inlineStr">
        <is>
          <t>entrada</t>
        </is>
      </c>
    </row>
    <row r="2896">
      <c r="A2896" s="198" t="inlineStr">
        <is>
          <t>invocacao.1.pericia.4</t>
        </is>
      </c>
      <c r="B2896" s="198">
        <f>IF(ISBLANK('INVOCAÇÕES'!$O$41),"",'INVOCAÇÕES'!$O$41&amp;"")</f>
        <v/>
      </c>
      <c r="C2896" s="198">
        <f>"'INVOCAÇÕES'!O41"</f>
        <v/>
      </c>
      <c r="D2896" s="198" t="inlineStr">
        <is>
          <t>entrada</t>
        </is>
      </c>
    </row>
    <row r="2897">
      <c r="A2897" s="198" t="inlineStr">
        <is>
          <t>invocacao.1.pericia.5</t>
        </is>
      </c>
      <c r="B2897" s="198">
        <f>IF(ISBLANK('INVOCAÇÕES'!$O$42),"",'INVOCAÇÕES'!$O$42&amp;"")</f>
        <v/>
      </c>
      <c r="C2897" s="198">
        <f>"'INVOCAÇÕES'!O42"</f>
        <v/>
      </c>
      <c r="D2897" s="198" t="inlineStr">
        <is>
          <t>entrada</t>
        </is>
      </c>
    </row>
    <row r="2898">
      <c r="A2898" s="198" t="inlineStr">
        <is>
          <t>invocacao.1.pericia.6</t>
        </is>
      </c>
      <c r="B2898" s="198">
        <f>IF(ISBLANK('INVOCAÇÕES'!$O$43),"",'INVOCAÇÕES'!$O$43&amp;"")</f>
        <v/>
      </c>
      <c r="C2898" s="198">
        <f>"'INVOCAÇÕES'!O43"</f>
        <v/>
      </c>
      <c r="D2898" s="198" t="inlineStr">
        <is>
          <t>entrada</t>
        </is>
      </c>
    </row>
    <row r="2899">
      <c r="A2899" s="198" t="inlineStr">
        <is>
          <t>invocacao.1.pericia.7</t>
        </is>
      </c>
      <c r="B2899" s="198">
        <f>IF(ISBLANK('INVOCAÇÕES'!$O$44),"",'INVOCAÇÕES'!$O$44&amp;"")</f>
        <v/>
      </c>
      <c r="C2899" s="198">
        <f>"'INVOCAÇÕES'!O44"</f>
        <v/>
      </c>
      <c r="D2899" s="198" t="inlineStr">
        <is>
          <t>entrada</t>
        </is>
      </c>
    </row>
    <row r="2900">
      <c r="A2900" s="198" t="inlineStr">
        <is>
          <t>invocacao.1.buff.pericia.1</t>
        </is>
      </c>
      <c r="B2900" s="198">
        <f>IF(ISBLANK('INVOCAÇÕES'!$R$38),"",'INVOCAÇÕES'!$R$38&amp;"")</f>
        <v/>
      </c>
      <c r="C2900" s="198">
        <f>"'INVOCAÇÕES'!R38"</f>
        <v/>
      </c>
      <c r="D2900" s="198" t="inlineStr">
        <is>
          <t>entrada</t>
        </is>
      </c>
    </row>
    <row r="2901">
      <c r="A2901" s="198" t="inlineStr">
        <is>
          <t>invocacao.1.buff.pericia.2</t>
        </is>
      </c>
      <c r="B2901" s="198">
        <f>IF(ISBLANK('INVOCAÇÕES'!$R$39),"",'INVOCAÇÕES'!$R$39&amp;"")</f>
        <v/>
      </c>
      <c r="C2901" s="198">
        <f>"'INVOCAÇÕES'!R39"</f>
        <v/>
      </c>
      <c r="D2901" s="198" t="inlineStr">
        <is>
          <t>entrada</t>
        </is>
      </c>
    </row>
    <row r="2902">
      <c r="A2902" s="198" t="inlineStr">
        <is>
          <t>invocacao.1.buff.pericia.3</t>
        </is>
      </c>
      <c r="B2902" s="198">
        <f>IF(ISBLANK('INVOCAÇÕES'!$R$40),"",'INVOCAÇÕES'!$R$40&amp;"")</f>
        <v/>
      </c>
      <c r="C2902" s="198">
        <f>"'INVOCAÇÕES'!R40"</f>
        <v/>
      </c>
      <c r="D2902" s="198" t="inlineStr">
        <is>
          <t>entrada</t>
        </is>
      </c>
    </row>
    <row r="2903">
      <c r="A2903" s="198" t="inlineStr">
        <is>
          <t>invocacao.1.buff.pericia.4</t>
        </is>
      </c>
      <c r="B2903" s="198">
        <f>IF(ISBLANK('INVOCAÇÕES'!$R$41),"",'INVOCAÇÕES'!$R$41&amp;"")</f>
        <v/>
      </c>
      <c r="C2903" s="198">
        <f>"'INVOCAÇÕES'!R41"</f>
        <v/>
      </c>
      <c r="D2903" s="198" t="inlineStr">
        <is>
          <t>entrada</t>
        </is>
      </c>
    </row>
    <row r="2904">
      <c r="A2904" s="198" t="inlineStr">
        <is>
          <t>invocacao.1.buff.pericia.5</t>
        </is>
      </c>
      <c r="B2904" s="198">
        <f>IF(ISBLANK('INVOCAÇÕES'!$R$42),"",'INVOCAÇÕES'!$R$42&amp;"")</f>
        <v/>
      </c>
      <c r="C2904" s="198">
        <f>"'INVOCAÇÕES'!R42"</f>
        <v/>
      </c>
      <c r="D2904" s="198" t="inlineStr">
        <is>
          <t>entrada</t>
        </is>
      </c>
    </row>
    <row r="2905">
      <c r="A2905" s="198" t="inlineStr">
        <is>
          <t>invocacao.1.buff.pericia.6</t>
        </is>
      </c>
      <c r="B2905" s="198">
        <f>IF(ISBLANK('INVOCAÇÕES'!$R$43),"",'INVOCAÇÕES'!$R$43&amp;"")</f>
        <v/>
      </c>
      <c r="C2905" s="198">
        <f>"'INVOCAÇÕES'!R43"</f>
        <v/>
      </c>
      <c r="D2905" s="198" t="inlineStr">
        <is>
          <t>entrada</t>
        </is>
      </c>
    </row>
    <row r="2906">
      <c r="A2906" s="198" t="inlineStr">
        <is>
          <t>invocacao.1.buff.pericia.7</t>
        </is>
      </c>
      <c r="B2906" s="198">
        <f>IF(ISBLANK('INVOCAÇÕES'!$R$44),"",'INVOCAÇÕES'!$R$44&amp;"")</f>
        <v/>
      </c>
      <c r="C2906" s="198">
        <f>"'INVOCAÇÕES'!R44"</f>
        <v/>
      </c>
      <c r="D2906" s="198" t="inlineStr">
        <is>
          <t>entrada</t>
        </is>
      </c>
    </row>
    <row r="2907">
      <c r="A2907" s="198" t="inlineStr">
        <is>
          <t>invocacao.1.talento.1</t>
        </is>
      </c>
      <c r="B2907" s="198">
        <f>IF(ISBLANK('INVOCAÇÕES'!$J$93),"",'INVOCAÇÕES'!$J$93&amp;"")</f>
        <v/>
      </c>
      <c r="C2907" s="198">
        <f>"'INVOCAÇÕES'!J80"</f>
        <v/>
      </c>
      <c r="D2907" s="198" t="inlineStr">
        <is>
          <t>entrada</t>
        </is>
      </c>
    </row>
    <row r="2908">
      <c r="A2908" s="198" t="inlineStr">
        <is>
          <t>invocacao.1.talento.2</t>
        </is>
      </c>
      <c r="B2908" s="198">
        <f>IF(ISBLANK('INVOCAÇÕES'!$J$94),"",'INVOCAÇÕES'!$J$94&amp;"")</f>
        <v/>
      </c>
      <c r="C2908" s="198">
        <f>"'INVOCAÇÕES'!J81"</f>
        <v/>
      </c>
      <c r="D2908" s="198" t="inlineStr">
        <is>
          <t>entrada</t>
        </is>
      </c>
    </row>
    <row r="2909">
      <c r="A2909" s="198" t="inlineStr">
        <is>
          <t>invocacao.1.talento.3</t>
        </is>
      </c>
      <c r="B2909" s="198">
        <f>IF(ISBLANK('INVOCAÇÕES'!$J$95),"",'INVOCAÇÕES'!$J$95&amp;"")</f>
        <v/>
      </c>
      <c r="C2909" s="198">
        <f>"'INVOCAÇÕES'!J82"</f>
        <v/>
      </c>
      <c r="D2909" s="198" t="inlineStr">
        <is>
          <t>entrada</t>
        </is>
      </c>
    </row>
    <row r="2910">
      <c r="A2910" s="198" t="inlineStr">
        <is>
          <t>invocacao.1.talento.4</t>
        </is>
      </c>
      <c r="B2910" s="198">
        <f>IF(ISBLANK('INVOCAÇÕES'!$J$96),"",'INVOCAÇÕES'!$J$96&amp;"")</f>
        <v/>
      </c>
      <c r="C2910" s="198">
        <f>"'INVOCAÇÕES'!J83"</f>
        <v/>
      </c>
      <c r="D2910" s="198" t="inlineStr">
        <is>
          <t>entrada</t>
        </is>
      </c>
    </row>
    <row r="2911">
      <c r="A2911" s="198" t="inlineStr">
        <is>
          <t>invocacao.1.talento.5</t>
        </is>
      </c>
      <c r="B2911" s="198">
        <f>IF(ISBLANK('INVOCAÇÕES'!$J$97),"",'INVOCAÇÕES'!$J$97&amp;"")</f>
        <v/>
      </c>
      <c r="C2911" s="198">
        <f>"'INVOCAÇÕES'!J84"</f>
        <v/>
      </c>
      <c r="D2911" s="198" t="inlineStr">
        <is>
          <t>entrada</t>
        </is>
      </c>
    </row>
    <row r="2912">
      <c r="A2912" s="198" t="inlineStr">
        <is>
          <t>invocacao.1.talento.6</t>
        </is>
      </c>
      <c r="B2912" s="198">
        <f>IF(ISBLANK('INVOCAÇÕES'!$J$98),"",'INVOCAÇÕES'!$J$98&amp;"")</f>
        <v/>
      </c>
      <c r="C2912" s="198">
        <f>"'INVOCAÇÕES'!J85"</f>
        <v/>
      </c>
      <c r="D2912" s="198" t="inlineStr">
        <is>
          <t>entrada</t>
        </is>
      </c>
    </row>
    <row r="2913">
      <c r="A2913" s="198" t="inlineStr">
        <is>
          <t>invocacao.1.talento.7</t>
        </is>
      </c>
      <c r="B2913" s="198">
        <f>IF(ISBLANK('INVOCAÇÕES'!$J$99),"",'INVOCAÇÕES'!$J$99&amp;"")</f>
        <v/>
      </c>
      <c r="C2913" s="198">
        <f>"'INVOCAÇÕES'!J86"</f>
        <v/>
      </c>
      <c r="D2913" s="198" t="inlineStr">
        <is>
          <t>entrada</t>
        </is>
      </c>
    </row>
    <row r="2914">
      <c r="A2914" s="198" t="inlineStr">
        <is>
          <t>invocacao.1.talento.8</t>
        </is>
      </c>
      <c r="B2914" s="198">
        <f>IF(ISBLANK('INVOCAÇÕES'!$J$100),"",'INVOCAÇÕES'!$J$100&amp;"")</f>
        <v/>
      </c>
      <c r="C2914" s="198">
        <f>"'INVOCAÇÕES'!J87"</f>
        <v/>
      </c>
      <c r="D2914" s="198" t="inlineStr">
        <is>
          <t>entrada</t>
        </is>
      </c>
    </row>
    <row r="2915">
      <c r="A2915" s="198" t="inlineStr">
        <is>
          <t>invocacao.1.talento_extra.1</t>
        </is>
      </c>
      <c r="B2915" s="198">
        <f>IF(ISBLANK('INVOCAÇÕES'!$J$195),"",'INVOCAÇÕES'!$J$195&amp;"")</f>
        <v/>
      </c>
      <c r="C2915" s="198">
        <f>"'INVOCAÇÕES'!J182"</f>
        <v/>
      </c>
      <c r="D2915" s="198" t="inlineStr">
        <is>
          <t>entrada</t>
        </is>
      </c>
    </row>
    <row r="2916">
      <c r="A2916" s="198" t="inlineStr">
        <is>
          <t>invocacao.1.talento_extra.2</t>
        </is>
      </c>
      <c r="B2916" s="198">
        <f>IF(ISBLANK('INVOCAÇÕES'!$J$196),"",'INVOCAÇÕES'!$J$196&amp;"")</f>
        <v/>
      </c>
      <c r="C2916" s="198">
        <f>"'INVOCAÇÕES'!J183"</f>
        <v/>
      </c>
      <c r="D2916" s="198" t="inlineStr">
        <is>
          <t>entrada</t>
        </is>
      </c>
    </row>
    <row r="2917">
      <c r="A2917" s="198" t="inlineStr">
        <is>
          <t>invocacao.1.talento_extra.3</t>
        </is>
      </c>
      <c r="B2917" s="198">
        <f>IF(ISBLANK('INVOCAÇÕES'!$J$197),"",'INVOCAÇÕES'!$J$197&amp;"")</f>
        <v/>
      </c>
      <c r="C2917" s="198">
        <f>"'INVOCAÇÕES'!J184"</f>
        <v/>
      </c>
      <c r="D2917" s="198" t="inlineStr">
        <is>
          <t>entrada</t>
        </is>
      </c>
    </row>
    <row r="2918">
      <c r="A2918" s="198" t="inlineStr">
        <is>
          <t>invocacao.1.equipamento.1</t>
        </is>
      </c>
      <c r="B2918" s="198">
        <f>IF(ISBLANK('INVOCAÇÕES'!$V$33),"",'INVOCAÇÕES'!$V$33&amp;"")</f>
        <v/>
      </c>
      <c r="C2918" s="198">
        <f>"'INVOCAÇÕES'!V33"</f>
        <v/>
      </c>
      <c r="D2918" s="198" t="inlineStr">
        <is>
          <t>entrada</t>
        </is>
      </c>
    </row>
    <row r="2919">
      <c r="A2919" s="198" t="inlineStr">
        <is>
          <t>invocacao.1.equipamento.2</t>
        </is>
      </c>
      <c r="B2919" s="198">
        <f>IF(ISBLANK('INVOCAÇÕES'!$V$34),"",'INVOCAÇÕES'!$V$34&amp;"")</f>
        <v/>
      </c>
      <c r="C2919" s="198">
        <f>"'INVOCAÇÕES'!V34"</f>
        <v/>
      </c>
      <c r="D2919" s="198" t="inlineStr">
        <is>
          <t>entrada</t>
        </is>
      </c>
    </row>
    <row r="2920">
      <c r="A2920" s="198" t="inlineStr">
        <is>
          <t>invocacao.1.equipamento.3</t>
        </is>
      </c>
      <c r="B2920" s="198">
        <f>IF(ISBLANK('INVOCAÇÕES'!$V$35),"",'INVOCAÇÕES'!$V$35&amp;"")</f>
        <v/>
      </c>
      <c r="C2920" s="198">
        <f>"'INVOCAÇÕES'!V35"</f>
        <v/>
      </c>
      <c r="D2920" s="198" t="inlineStr">
        <is>
          <t>entrada</t>
        </is>
      </c>
    </row>
    <row r="2921">
      <c r="A2921" s="198" t="inlineStr">
        <is>
          <t>invocacao.1.liberacao.1.classe</t>
        </is>
      </c>
      <c r="B2921" s="198">
        <f>IF(ISBLANK('INVOCAÇÕES'!$I$202),"",'INVOCAÇÕES'!$I$202&amp;"")</f>
        <v/>
      </c>
      <c r="C2921" s="198">
        <f>"'INVOCAÇÕES'!I189"</f>
        <v/>
      </c>
      <c r="D2921" s="198" t="inlineStr">
        <is>
          <t>entrada</t>
        </is>
      </c>
    </row>
    <row r="2922">
      <c r="A2922" s="198" t="inlineStr">
        <is>
          <t>invocacao.1.liberacao.1.nome</t>
        </is>
      </c>
      <c r="B2922" s="198">
        <f>IF(ISBLANK('INVOCAÇÕES'!$J$202),"",'INVOCAÇÕES'!$J$202&amp;"")</f>
        <v/>
      </c>
      <c r="C2922" s="198">
        <f>"'INVOCAÇÕES'!J189"</f>
        <v/>
      </c>
      <c r="D2922" s="198" t="inlineStr">
        <is>
          <t>entrada</t>
        </is>
      </c>
    </row>
    <row r="2923">
      <c r="A2923" s="198" t="inlineStr">
        <is>
          <t>invocacao.1.liberacao.1.pe</t>
        </is>
      </c>
      <c r="B2923" s="198">
        <f>IF(ISBLANK('INVOCAÇÕES'!$M$202),"",'INVOCAÇÕES'!$M$202&amp;"")</f>
        <v/>
      </c>
      <c r="C2923" s="198">
        <f>"'INVOCAÇÕES'!M189"</f>
        <v/>
      </c>
      <c r="D2923" s="198" t="inlineStr">
        <is>
          <t>resultado</t>
        </is>
      </c>
    </row>
    <row r="2924">
      <c r="A2924" s="198" t="inlineStr">
        <is>
          <t>invocacao.1.liberacao.1.como</t>
        </is>
      </c>
      <c r="B2924" s="198">
        <f>IF(ISBLANK('INVOCAÇÕES'!$I$203),"",'INVOCAÇÕES'!$I$203&amp;"")</f>
        <v/>
      </c>
      <c r="C2924" s="198">
        <f>"'INVOCAÇÕES'!I190"</f>
        <v/>
      </c>
      <c r="D2924" s="198" t="inlineStr">
        <is>
          <t>entrada</t>
        </is>
      </c>
    </row>
    <row r="2925">
      <c r="A2925" s="198" t="inlineStr">
        <is>
          <t>invocacao.1.liberacao.1.pontos</t>
        </is>
      </c>
      <c r="B2925" s="198">
        <f>IF(ISBLANK('INVOCAÇÕES'!$I$207),"",'INVOCAÇÕES'!$I$207&amp;"")</f>
        <v/>
      </c>
      <c r="C2925" s="198">
        <f>"'INVOCAÇÕES'!I194"</f>
        <v/>
      </c>
      <c r="D2925" s="198" t="inlineStr">
        <is>
          <t>resultado</t>
        </is>
      </c>
    </row>
    <row r="2926">
      <c r="A2926" s="198" t="inlineStr">
        <is>
          <t>invocacao.1.liberacao.1.acao</t>
        </is>
      </c>
      <c r="B2926" s="198">
        <f>IF(ISBLANK('INVOCAÇÕES'!$I$208),"",'INVOCAÇÕES'!$I$208&amp;"")</f>
        <v/>
      </c>
      <c r="C2926" s="198">
        <f>"'INVOCAÇÕES'!I195"</f>
        <v/>
      </c>
      <c r="D2926" s="198" t="inlineStr">
        <is>
          <t>resultado</t>
        </is>
      </c>
    </row>
    <row r="2927">
      <c r="A2927" s="198" t="inlineStr">
        <is>
          <t>invocacao.1.liberacao.2.classe</t>
        </is>
      </c>
      <c r="B2927" s="198">
        <f>IF(ISBLANK('INVOCAÇÕES'!$O$202),"",'INVOCAÇÕES'!$O$202&amp;"")</f>
        <v/>
      </c>
      <c r="C2927" s="198">
        <f>"'INVOCAÇÕES'!O189"</f>
        <v/>
      </c>
      <c r="D2927" s="198" t="inlineStr">
        <is>
          <t>entrada</t>
        </is>
      </c>
    </row>
    <row r="2928">
      <c r="A2928" s="198" t="inlineStr">
        <is>
          <t>invocacao.1.liberacao.2.nome</t>
        </is>
      </c>
      <c r="B2928" s="198">
        <f>IF(ISBLANK('INVOCAÇÕES'!$P$202),"",'INVOCAÇÕES'!$P$202&amp;"")</f>
        <v/>
      </c>
      <c r="C2928" s="198">
        <f>"'INVOCAÇÕES'!P189"</f>
        <v/>
      </c>
      <c r="D2928" s="198" t="inlineStr">
        <is>
          <t>entrada</t>
        </is>
      </c>
    </row>
    <row r="2929">
      <c r="A2929" s="198" t="inlineStr">
        <is>
          <t>invocacao.1.liberacao.2.pe</t>
        </is>
      </c>
      <c r="B2929" s="198">
        <f>IF(ISBLANK('INVOCAÇÕES'!$S$202),"",'INVOCAÇÕES'!$S$202&amp;"")</f>
        <v/>
      </c>
      <c r="C2929" s="198">
        <f>"'INVOCAÇÕES'!S189"</f>
        <v/>
      </c>
      <c r="D2929" s="198" t="inlineStr">
        <is>
          <t>resultado</t>
        </is>
      </c>
    </row>
    <row r="2930">
      <c r="A2930" s="198" t="inlineStr">
        <is>
          <t>invocacao.1.liberacao.2.como</t>
        </is>
      </c>
      <c r="B2930" s="198">
        <f>IF(ISBLANK('INVOCAÇÕES'!$O$203),"",'INVOCAÇÕES'!$O$203&amp;"")</f>
        <v/>
      </c>
      <c r="C2930" s="198">
        <f>"'INVOCAÇÕES'!O190"</f>
        <v/>
      </c>
      <c r="D2930" s="198" t="inlineStr">
        <is>
          <t>entrada</t>
        </is>
      </c>
    </row>
    <row r="2931">
      <c r="A2931" s="198" t="inlineStr">
        <is>
          <t>invocacao.1.liberacao.2.pontos</t>
        </is>
      </c>
      <c r="B2931" s="198">
        <f>IF(ISBLANK('INVOCAÇÕES'!$O$207),"",'INVOCAÇÕES'!$O$207&amp;"")</f>
        <v/>
      </c>
      <c r="C2931" s="198">
        <f>"'INVOCAÇÕES'!O194"</f>
        <v/>
      </c>
      <c r="D2931" s="198" t="inlineStr">
        <is>
          <t>resultado</t>
        </is>
      </c>
    </row>
    <row r="2932">
      <c r="A2932" s="198" t="inlineStr">
        <is>
          <t>invocacao.1.liberacao.2.acao</t>
        </is>
      </c>
      <c r="B2932" s="198">
        <f>IF(ISBLANK('INVOCAÇÕES'!$O$208),"",'INVOCAÇÕES'!$O$208&amp;"")</f>
        <v/>
      </c>
      <c r="C2932" s="198">
        <f>"'INVOCAÇÕES'!O195"</f>
        <v/>
      </c>
      <c r="D2932" s="198" t="inlineStr">
        <is>
          <t>resultado</t>
        </is>
      </c>
    </row>
    <row r="2933">
      <c r="A2933" s="198" t="inlineStr">
        <is>
          <t>invocacao.1.liberacao.3.classe</t>
        </is>
      </c>
      <c r="B2933" s="198">
        <f>IF(ISBLANK('INVOCAÇÕES'!$U$202),"",'INVOCAÇÕES'!$U$202&amp;"")</f>
        <v/>
      </c>
      <c r="C2933" s="198">
        <f>"'INVOCAÇÕES'!U189"</f>
        <v/>
      </c>
      <c r="D2933" s="198" t="inlineStr">
        <is>
          <t>entrada</t>
        </is>
      </c>
    </row>
    <row r="2934">
      <c r="A2934" s="198" t="inlineStr">
        <is>
          <t>invocacao.1.liberacao.3.nome</t>
        </is>
      </c>
      <c r="B2934" s="198">
        <f>IF(ISBLANK('INVOCAÇÕES'!$V$202),"",'INVOCAÇÕES'!$V$202&amp;"")</f>
        <v/>
      </c>
      <c r="C2934" s="198">
        <f>"'INVOCAÇÕES'!V189"</f>
        <v/>
      </c>
      <c r="D2934" s="198" t="inlineStr">
        <is>
          <t>entrada</t>
        </is>
      </c>
    </row>
    <row r="2935">
      <c r="A2935" s="198" t="inlineStr">
        <is>
          <t>invocacao.1.liberacao.3.pe</t>
        </is>
      </c>
      <c r="B2935" s="198">
        <f>IF(ISBLANK('INVOCAÇÕES'!$Y$202),"",'INVOCAÇÕES'!$Y$202&amp;"")</f>
        <v/>
      </c>
      <c r="C2935" s="198">
        <f>"'INVOCAÇÕES'!Y189"</f>
        <v/>
      </c>
      <c r="D2935" s="198" t="inlineStr">
        <is>
          <t>resultado</t>
        </is>
      </c>
    </row>
    <row r="2936">
      <c r="A2936" s="198" t="inlineStr">
        <is>
          <t>invocacao.1.liberacao.3.como</t>
        </is>
      </c>
      <c r="B2936" s="198">
        <f>IF(ISBLANK('INVOCAÇÕES'!$U$203),"",'INVOCAÇÕES'!$U$203&amp;"")</f>
        <v/>
      </c>
      <c r="C2936" s="198">
        <f>"'INVOCAÇÕES'!U190"</f>
        <v/>
      </c>
      <c r="D2936" s="198" t="inlineStr">
        <is>
          <t>entrada</t>
        </is>
      </c>
    </row>
    <row r="2937">
      <c r="A2937" s="198" t="inlineStr">
        <is>
          <t>invocacao.1.liberacao.3.pontos</t>
        </is>
      </c>
      <c r="B2937" s="198">
        <f>IF(ISBLANK('INVOCAÇÕES'!$U$207),"",'INVOCAÇÕES'!$U$207&amp;"")</f>
        <v/>
      </c>
      <c r="C2937" s="198">
        <f>"'INVOCAÇÕES'!U194"</f>
        <v/>
      </c>
      <c r="D2937" s="198" t="inlineStr">
        <is>
          <t>resultado</t>
        </is>
      </c>
    </row>
    <row r="2938">
      <c r="A2938" s="198" t="inlineStr">
        <is>
          <t>invocacao.1.liberacao.3.acao</t>
        </is>
      </c>
      <c r="B2938" s="198">
        <f>IF(ISBLANK('INVOCAÇÕES'!$U$208),"",'INVOCAÇÕES'!$U$208&amp;"")</f>
        <v/>
      </c>
      <c r="C2938" s="198">
        <f>"'INVOCAÇÕES'!U195"</f>
        <v/>
      </c>
      <c r="D2938" s="198" t="inlineStr">
        <is>
          <t>resultado</t>
        </is>
      </c>
    </row>
    <row r="2939">
      <c r="A2939" s="198" t="inlineStr">
        <is>
          <t>invocacao.1.tm.nome</t>
        </is>
      </c>
      <c r="B2939" s="198">
        <f>IF(ISBLANK('INVOCAÇÕES'!$I$211),"",'INVOCAÇÕES'!$I$211&amp;"")</f>
        <v/>
      </c>
      <c r="C2939" s="198">
        <f>"'INVOCAÇÕES'!I198"</f>
        <v/>
      </c>
      <c r="D2939" s="198" t="inlineStr">
        <is>
          <t>entrada</t>
        </is>
      </c>
    </row>
    <row r="2940">
      <c r="A2940" s="198" t="inlineStr">
        <is>
          <t>invocacao.1.tm.pe</t>
        </is>
      </c>
      <c r="B2940" s="198">
        <f>IF(ISBLANK('INVOCAÇÕES'!$M$211),"",'INVOCAÇÕES'!$M$211&amp;"")</f>
        <v/>
      </c>
      <c r="C2940" s="198">
        <f>"'INVOCAÇÕES'!M198"</f>
        <v/>
      </c>
      <c r="D2940" s="198" t="inlineStr">
        <is>
          <t>resultado</t>
        </is>
      </c>
    </row>
    <row r="2941">
      <c r="A2941" s="198" t="inlineStr">
        <is>
          <t>invocacao.1.tm.como</t>
        </is>
      </c>
      <c r="B2941" s="198">
        <f>IF(ISBLANK('INVOCAÇÕES'!$I$212),"",'INVOCAÇÕES'!$I$212&amp;"")</f>
        <v/>
      </c>
      <c r="C2941" s="198">
        <f>"'INVOCAÇÕES'!I199"</f>
        <v/>
      </c>
      <c r="D2941" s="198" t="inlineStr">
        <is>
          <t>entrada</t>
        </is>
      </c>
    </row>
    <row r="2942">
      <c r="A2942" s="198" t="inlineStr">
        <is>
          <t>invocacao.1.tm.dados</t>
        </is>
      </c>
      <c r="B2942" s="198">
        <f>IF(ISBLANK('INVOCAÇÕES'!$I$216),"",'INVOCAÇÕES'!$I$216&amp;"")</f>
        <v/>
      </c>
      <c r="C2942" s="198">
        <f>"'INVOCAÇÕES'!I203"</f>
        <v/>
      </c>
      <c r="D2942" s="198" t="inlineStr">
        <is>
          <t>resultado</t>
        </is>
      </c>
    </row>
    <row r="2943">
      <c r="A2943" s="198" t="inlineStr">
        <is>
          <t>invocacao.1.tm.acao</t>
        </is>
      </c>
      <c r="B2943" s="198">
        <f>IF(ISBLANK('INVOCAÇÕES'!$I$217),"",'INVOCAÇÕES'!$I$217&amp;"")</f>
        <v/>
      </c>
      <c r="C2943" s="198">
        <f>"'INVOCAÇÕES'!I204"</f>
        <v/>
      </c>
      <c r="D2943" s="198" t="inlineStr">
        <is>
          <t>resultado</t>
        </is>
      </c>
    </row>
    <row r="2944">
      <c r="A2944" s="198" t="inlineStr">
        <is>
          <t>invocacao.1.exp.nome</t>
        </is>
      </c>
      <c r="B2944" s="198">
        <f>IF(ISBLANK('INVOCAÇÕES'!$O$211),"",'INVOCAÇÕES'!$O$211&amp;"")</f>
        <v/>
      </c>
      <c r="C2944" s="198">
        <f>"'INVOCAÇÕES'!O198"</f>
        <v/>
      </c>
      <c r="D2944" s="198" t="inlineStr">
        <is>
          <t>entrada</t>
        </is>
      </c>
    </row>
    <row r="2945">
      <c r="A2945" s="198" t="inlineStr">
        <is>
          <t>invocacao.1.exp.pe</t>
        </is>
      </c>
      <c r="B2945" s="198">
        <f>IF(ISBLANK('INVOCAÇÕES'!$S$211),"",'INVOCAÇÕES'!$S$211&amp;"")</f>
        <v/>
      </c>
      <c r="C2945" s="198">
        <f>"'INVOCAÇÕES'!S198"</f>
        <v/>
      </c>
      <c r="D2945" s="198" t="inlineStr">
        <is>
          <t>resultado</t>
        </is>
      </c>
    </row>
    <row r="2946">
      <c r="A2946" s="198" t="inlineStr">
        <is>
          <t>invocacao.1.exp.como</t>
        </is>
      </c>
      <c r="B2946" s="198">
        <f>IF(ISBLANK('INVOCAÇÕES'!$O$212),"",'INVOCAÇÕES'!$O$212&amp;"")</f>
        <v/>
      </c>
      <c r="C2946" s="198">
        <f>"'INVOCAÇÕES'!O199"</f>
        <v/>
      </c>
      <c r="D2946" s="198" t="inlineStr">
        <is>
          <t>entrada</t>
        </is>
      </c>
    </row>
    <row r="2947">
      <c r="A2947" s="198" t="inlineStr">
        <is>
          <t>invocacao.1.exp.degrau</t>
        </is>
      </c>
      <c r="B2947" s="198">
        <f>IF(ISBLANK('INVOCAÇÕES'!$O$216),"",'INVOCAÇÕES'!$O$216&amp;"")</f>
        <v/>
      </c>
      <c r="C2947" s="198">
        <f>"'INVOCAÇÕES'!O203"</f>
        <v/>
      </c>
      <c r="D2947" s="198" t="inlineStr">
        <is>
          <t>entrada</t>
        </is>
      </c>
    </row>
    <row r="2948">
      <c r="A2948" s="198" t="inlineStr">
        <is>
          <t>invocacao.1.exp.acerto</t>
        </is>
      </c>
      <c r="B2948" s="198">
        <f>IF(ISBLANK('INVOCAÇÕES'!$Q$216),"",'INVOCAÇÕES'!$Q$216&amp;"")</f>
        <v/>
      </c>
      <c r="C2948" s="198">
        <f>"'INVOCAÇÕES'!Q203"</f>
        <v/>
      </c>
      <c r="D2948" s="198" t="inlineStr">
        <is>
          <t>entrada</t>
        </is>
      </c>
    </row>
    <row r="2949">
      <c r="A2949" s="198" t="inlineStr">
        <is>
          <t>invocacao.1.exp.pede</t>
        </is>
      </c>
      <c r="B2949" s="198">
        <f>IF(ISBLANK('INVOCAÇÕES'!$O$217),"",'INVOCAÇÕES'!$O$217&amp;"")</f>
        <v/>
      </c>
      <c r="C2949" s="198">
        <f>"'INVOCAÇÕES'!O204"</f>
        <v/>
      </c>
      <c r="D2949" s="198" t="inlineStr">
        <is>
          <t>resultado</t>
        </is>
      </c>
    </row>
    <row r="2950">
      <c r="A2950" s="198" t="inlineStr">
        <is>
          <t>invocacao.2.atributo.forca.base</t>
        </is>
      </c>
      <c r="B2950" s="198">
        <f>IF(ISBLANK('INVOCAÇÕES'!$O$231),"",'INVOCAÇÕES'!$O$231&amp;"")</f>
        <v/>
      </c>
      <c r="C2950" s="198">
        <f>"'INVOCAÇÕES'!O218"</f>
        <v/>
      </c>
      <c r="D2950" s="198" t="inlineStr">
        <is>
          <t>entrada</t>
        </is>
      </c>
    </row>
    <row r="2951">
      <c r="A2951" s="198" t="inlineStr">
        <is>
          <t>invocacao.2.atributo.forca.buff</t>
        </is>
      </c>
      <c r="B2951" s="198">
        <f>IF(ISBLANK('INVOCAÇÕES'!$O$232),"",'INVOCAÇÕES'!$O$232&amp;"")</f>
        <v/>
      </c>
      <c r="C2951" s="198">
        <f>"'INVOCAÇÕES'!O219"</f>
        <v/>
      </c>
      <c r="D2951" s="198" t="inlineStr">
        <is>
          <t>entrada</t>
        </is>
      </c>
    </row>
    <row r="2952">
      <c r="A2952" s="198" t="inlineStr">
        <is>
          <t>invocacao.2.atributo.forca.total</t>
        </is>
      </c>
      <c r="B2952" s="198">
        <f>IF(ISBLANK('INVOCAÇÕES'!$O$229),"",'INVOCAÇÕES'!$O$229&amp;"")</f>
        <v/>
      </c>
      <c r="C2952" s="198">
        <f>"'INVOCAÇÕES'!O216"</f>
        <v/>
      </c>
      <c r="D2952" s="198" t="inlineStr">
        <is>
          <t>resultado</t>
        </is>
      </c>
    </row>
    <row r="2953">
      <c r="A2953" s="198" t="inlineStr">
        <is>
          <t>invocacao.2.atributo.destreza.base</t>
        </is>
      </c>
      <c r="B2953" s="198">
        <f>IF(ISBLANK('INVOCAÇÕES'!$P$231),"",'INVOCAÇÕES'!$P$231&amp;"")</f>
        <v/>
      </c>
      <c r="C2953" s="198">
        <f>"'INVOCAÇÕES'!P218"</f>
        <v/>
      </c>
      <c r="D2953" s="198" t="inlineStr">
        <is>
          <t>entrada</t>
        </is>
      </c>
    </row>
    <row r="2954">
      <c r="A2954" s="198" t="inlineStr">
        <is>
          <t>invocacao.2.atributo.destreza.buff</t>
        </is>
      </c>
      <c r="B2954" s="198">
        <f>IF(ISBLANK('INVOCAÇÕES'!$P$232),"",'INVOCAÇÕES'!$P$232&amp;"")</f>
        <v/>
      </c>
      <c r="C2954" s="198">
        <f>"'INVOCAÇÕES'!P219"</f>
        <v/>
      </c>
      <c r="D2954" s="198" t="inlineStr">
        <is>
          <t>entrada</t>
        </is>
      </c>
    </row>
    <row r="2955">
      <c r="A2955" s="198" t="inlineStr">
        <is>
          <t>invocacao.2.atributo.destreza.total</t>
        </is>
      </c>
      <c r="B2955" s="198">
        <f>IF(ISBLANK('INVOCAÇÕES'!$P$229),"",'INVOCAÇÕES'!$P$229&amp;"")</f>
        <v/>
      </c>
      <c r="C2955" s="198">
        <f>"'INVOCAÇÕES'!P216"</f>
        <v/>
      </c>
      <c r="D2955" s="198" t="inlineStr">
        <is>
          <t>resultado</t>
        </is>
      </c>
    </row>
    <row r="2956">
      <c r="A2956" s="198" t="inlineStr">
        <is>
          <t>invocacao.2.atributo.constituicao.base</t>
        </is>
      </c>
      <c r="B2956" s="198">
        <f>IF(ISBLANK('INVOCAÇÕES'!$Q$231),"",'INVOCAÇÕES'!$Q$231&amp;"")</f>
        <v/>
      </c>
      <c r="C2956" s="198">
        <f>"'INVOCAÇÕES'!Q218"</f>
        <v/>
      </c>
      <c r="D2956" s="198" t="inlineStr">
        <is>
          <t>entrada</t>
        </is>
      </c>
    </row>
    <row r="2957">
      <c r="A2957" s="198" t="inlineStr">
        <is>
          <t>invocacao.2.atributo.constituicao.buff</t>
        </is>
      </c>
      <c r="B2957" s="198">
        <f>IF(ISBLANK('INVOCAÇÕES'!$Q$232),"",'INVOCAÇÕES'!$Q$232&amp;"")</f>
        <v/>
      </c>
      <c r="C2957" s="198">
        <f>"'INVOCAÇÕES'!Q219"</f>
        <v/>
      </c>
      <c r="D2957" s="198" t="inlineStr">
        <is>
          <t>entrada</t>
        </is>
      </c>
    </row>
    <row r="2958">
      <c r="A2958" s="198" t="inlineStr">
        <is>
          <t>invocacao.2.atributo.constituicao.total</t>
        </is>
      </c>
      <c r="B2958" s="198">
        <f>IF(ISBLANK('INVOCAÇÕES'!$Q$229),"",'INVOCAÇÕES'!$Q$229&amp;"")</f>
        <v/>
      </c>
      <c r="C2958" s="198">
        <f>"'INVOCAÇÕES'!Q216"</f>
        <v/>
      </c>
      <c r="D2958" s="198" t="inlineStr">
        <is>
          <t>resultado</t>
        </is>
      </c>
    </row>
    <row r="2959">
      <c r="A2959" s="198" t="inlineStr">
        <is>
          <t>invocacao.2.atributo.inteligencia.base</t>
        </is>
      </c>
      <c r="B2959" s="198">
        <f>IF(ISBLANK('INVOCAÇÕES'!$R$231),"",'INVOCAÇÕES'!$R$231&amp;"")</f>
        <v/>
      </c>
      <c r="C2959" s="198">
        <f>"'INVOCAÇÕES'!R218"</f>
        <v/>
      </c>
      <c r="D2959" s="198" t="inlineStr">
        <is>
          <t>entrada</t>
        </is>
      </c>
    </row>
    <row r="2960">
      <c r="A2960" s="198" t="inlineStr">
        <is>
          <t>invocacao.2.atributo.inteligencia.buff</t>
        </is>
      </c>
      <c r="B2960" s="198">
        <f>IF(ISBLANK('INVOCAÇÕES'!$R$232),"",'INVOCAÇÕES'!$R$232&amp;"")</f>
        <v/>
      </c>
      <c r="C2960" s="198">
        <f>"'INVOCAÇÕES'!R219"</f>
        <v/>
      </c>
      <c r="D2960" s="198" t="inlineStr">
        <is>
          <t>entrada</t>
        </is>
      </c>
    </row>
    <row r="2961">
      <c r="A2961" s="198" t="inlineStr">
        <is>
          <t>invocacao.2.atributo.inteligencia.total</t>
        </is>
      </c>
      <c r="B2961" s="198">
        <f>IF(ISBLANK('INVOCAÇÕES'!$R$229),"",'INVOCAÇÕES'!$R$229&amp;"")</f>
        <v/>
      </c>
      <c r="C2961" s="198">
        <f>"'INVOCAÇÕES'!R216"</f>
        <v/>
      </c>
      <c r="D2961" s="198" t="inlineStr">
        <is>
          <t>resultado</t>
        </is>
      </c>
    </row>
    <row r="2962">
      <c r="A2962" s="198" t="inlineStr">
        <is>
          <t>invocacao.2.atributo.essencia.base</t>
        </is>
      </c>
      <c r="B2962" s="198">
        <f>IF(ISBLANK('INVOCAÇÕES'!$S$231),"",'INVOCAÇÕES'!$S$231&amp;"")</f>
        <v/>
      </c>
      <c r="C2962" s="198">
        <f>"'INVOCAÇÕES'!S218"</f>
        <v/>
      </c>
      <c r="D2962" s="198" t="inlineStr">
        <is>
          <t>entrada</t>
        </is>
      </c>
    </row>
    <row r="2963">
      <c r="A2963" s="198" t="inlineStr">
        <is>
          <t>invocacao.2.atributo.essencia.buff</t>
        </is>
      </c>
      <c r="B2963" s="198">
        <f>IF(ISBLANK('INVOCAÇÕES'!$S$232),"",'INVOCAÇÕES'!$S$232&amp;"")</f>
        <v/>
      </c>
      <c r="C2963" s="198">
        <f>"'INVOCAÇÕES'!S219"</f>
        <v/>
      </c>
      <c r="D2963" s="198" t="inlineStr">
        <is>
          <t>entrada</t>
        </is>
      </c>
    </row>
    <row r="2964">
      <c r="A2964" s="198" t="inlineStr">
        <is>
          <t>invocacao.2.atributo.essencia.total</t>
        </is>
      </c>
      <c r="B2964" s="198">
        <f>IF(ISBLANK('INVOCAÇÕES'!$S$229),"",'INVOCAÇÕES'!$S$229&amp;"")</f>
        <v/>
      </c>
      <c r="C2964" s="198">
        <f>"'INVOCAÇÕES'!S216"</f>
        <v/>
      </c>
      <c r="D2964" s="198" t="inlineStr">
        <is>
          <t>resultado</t>
        </is>
      </c>
    </row>
    <row r="2965">
      <c r="A2965" s="198" t="inlineStr">
        <is>
          <t>invocacao.2.buff.acerto</t>
        </is>
      </c>
      <c r="B2965" s="198">
        <f>IF(ISBLANK('INVOCAÇÕES'!$O$237),"",'INVOCAÇÕES'!$O$237&amp;"")</f>
        <v/>
      </c>
      <c r="C2965" s="198">
        <f>"'INVOCAÇÕES'!O224"</f>
        <v/>
      </c>
      <c r="D2965" s="198" t="inlineStr">
        <is>
          <t>entrada</t>
        </is>
      </c>
    </row>
    <row r="2966">
      <c r="A2966" s="198" t="inlineStr">
        <is>
          <t>invocacao.2.buff.cd</t>
        </is>
      </c>
      <c r="B2966" s="198">
        <f>IF(ISBLANK('INVOCAÇÕES'!$P$237),"",'INVOCAÇÕES'!$P$237&amp;"")</f>
        <v/>
      </c>
      <c r="C2966" s="198">
        <f>"'INVOCAÇÕES'!P224"</f>
        <v/>
      </c>
      <c r="D2966" s="198" t="inlineStr">
        <is>
          <t>entrada</t>
        </is>
      </c>
    </row>
    <row r="2967">
      <c r="A2967" s="198" t="inlineStr">
        <is>
          <t>invocacao.2.buff.defesa</t>
        </is>
      </c>
      <c r="B2967" s="198">
        <f>IF(ISBLANK('INVOCAÇÕES'!$Q$237),"",'INVOCAÇÕES'!$Q$237&amp;"")</f>
        <v/>
      </c>
      <c r="C2967" s="198">
        <f>"'INVOCAÇÕES'!Q224"</f>
        <v/>
      </c>
      <c r="D2967" s="198" t="inlineStr">
        <is>
          <t>entrada</t>
        </is>
      </c>
    </row>
    <row r="2968">
      <c r="A2968" s="198" t="inlineStr">
        <is>
          <t>invocacao.2.buff.vida</t>
        </is>
      </c>
      <c r="B2968" s="198">
        <f>IF(ISBLANK('INVOCAÇÕES'!$R$237),"",'INVOCAÇÕES'!$R$237&amp;"")</f>
        <v/>
      </c>
      <c r="C2968" s="198">
        <f>"'INVOCAÇÕES'!R224"</f>
        <v/>
      </c>
      <c r="D2968" s="198" t="inlineStr">
        <is>
          <t>entrada</t>
        </is>
      </c>
    </row>
    <row r="2969">
      <c r="A2969" s="198" t="inlineStr">
        <is>
          <t>invocacao.2.buff.deslocamento</t>
        </is>
      </c>
      <c r="B2969" s="198">
        <f>IF(ISBLANK('INVOCAÇÕES'!$S$237),"",'INVOCAÇÕES'!$S$237&amp;"")</f>
        <v/>
      </c>
      <c r="C2969" s="198">
        <f>"'INVOCAÇÕES'!S224"</f>
        <v/>
      </c>
      <c r="D2969" s="198" t="inlineStr">
        <is>
          <t>entrada</t>
        </is>
      </c>
    </row>
    <row r="2970">
      <c r="A2970" s="198" t="inlineStr">
        <is>
          <t>invocacao.2.buff.tr.fisico</t>
        </is>
      </c>
      <c r="B2970" s="198">
        <f>IF(ISBLANK('INVOCAÇÕES'!$O$242),"",'INVOCAÇÕES'!$O$242&amp;"")</f>
        <v/>
      </c>
      <c r="C2970" s="198">
        <f>"'INVOCAÇÕES'!O229"</f>
        <v/>
      </c>
      <c r="D2970" s="198" t="inlineStr">
        <is>
          <t>entrada</t>
        </is>
      </c>
    </row>
    <row r="2971">
      <c r="A2971" s="198" t="inlineStr">
        <is>
          <t>invocacao.2.buff.tr.vigor</t>
        </is>
      </c>
      <c r="B2971" s="198">
        <f>IF(ISBLANK('INVOCAÇÕES'!$P$242),"",'INVOCAÇÕES'!$P$242&amp;"")</f>
        <v/>
      </c>
      <c r="C2971" s="198">
        <f>"'INVOCAÇÕES'!P229"</f>
        <v/>
      </c>
      <c r="D2971" s="198" t="inlineStr">
        <is>
          <t>entrada</t>
        </is>
      </c>
    </row>
    <row r="2972">
      <c r="A2972" s="198" t="inlineStr">
        <is>
          <t>invocacao.2.buff.tr.intelecto</t>
        </is>
      </c>
      <c r="B2972" s="198">
        <f>IF(ISBLANK('INVOCAÇÕES'!$Q$242),"",'INVOCAÇÕES'!$Q$242&amp;"")</f>
        <v/>
      </c>
      <c r="C2972" s="198">
        <f>"'INVOCAÇÕES'!Q229"</f>
        <v/>
      </c>
      <c r="D2972" s="198" t="inlineStr">
        <is>
          <t>entrada</t>
        </is>
      </c>
    </row>
    <row r="2973">
      <c r="A2973" s="198" t="inlineStr">
        <is>
          <t>invocacao.2.buff.tr.espirito</t>
        </is>
      </c>
      <c r="B2973" s="198">
        <f>IF(ISBLANK('INVOCAÇÕES'!$R$242),"",'INVOCAÇÕES'!$R$242&amp;"")</f>
        <v/>
      </c>
      <c r="C2973" s="198">
        <f>"'INVOCAÇÕES'!R229"</f>
        <v/>
      </c>
      <c r="D2973" s="198" t="inlineStr">
        <is>
          <t>entrada</t>
        </is>
      </c>
    </row>
    <row r="2974">
      <c r="A2974" s="198" t="inlineStr">
        <is>
          <t>invocacao.2.atributo_acerto</t>
        </is>
      </c>
      <c r="B2974" s="198">
        <f>IF(ISBLANK('INVOCAÇÕES'!$O$245),"",'INVOCAÇÕES'!$O$245&amp;"")</f>
        <v/>
      </c>
      <c r="C2974" s="198">
        <f>"'INVOCAÇÕES'!O232"</f>
        <v/>
      </c>
      <c r="D2974" s="198" t="inlineStr">
        <is>
          <t>entrada</t>
        </is>
      </c>
    </row>
    <row r="2975">
      <c r="A2975" s="198" t="inlineStr">
        <is>
          <t>invocacao.2.atributo_fisico</t>
        </is>
      </c>
      <c r="B2975" s="198">
        <f>IF(ISBLANK('INVOCAÇÕES'!$R$245),"",'INVOCAÇÕES'!$R$245&amp;"")</f>
        <v/>
      </c>
      <c r="C2975" s="198">
        <f>"'INVOCAÇÕES'!R232"</f>
        <v/>
      </c>
      <c r="D2975" s="198" t="inlineStr">
        <is>
          <t>entrada</t>
        </is>
      </c>
    </row>
    <row r="2976">
      <c r="A2976" s="198" t="inlineStr">
        <is>
          <t>invocacao.2.tr_treinado</t>
        </is>
      </c>
      <c r="B2976" s="198">
        <f>IF(ISBLANK('INVOCAÇÕES'!$S$240),"",'INVOCAÇÕES'!$S$240&amp;"")</f>
        <v/>
      </c>
      <c r="C2976" s="198">
        <f>"'INVOCAÇÕES'!S227"</f>
        <v/>
      </c>
      <c r="D2976" s="198" t="inlineStr">
        <is>
          <t>entrada</t>
        </is>
      </c>
    </row>
    <row r="2977">
      <c r="A2977" s="198" t="inlineStr">
        <is>
          <t>invocacao.2.alma</t>
        </is>
      </c>
      <c r="B2977" s="198">
        <f>IF(ISBLANK('INVOCAÇÕES'!$U$229),"",'INVOCAÇÕES'!$U$229&amp;"")</f>
        <v/>
      </c>
      <c r="C2977" s="198">
        <f>"'INVOCAÇÕES'!U216"</f>
        <v/>
      </c>
      <c r="D2977" s="198" t="inlineStr">
        <is>
          <t>entrada</t>
        </is>
      </c>
    </row>
    <row r="2978">
      <c r="A2978" s="198" t="inlineStr">
        <is>
          <t>invocacao.2.notas</t>
        </is>
      </c>
      <c r="B2978" s="198">
        <f>IF(ISBLANK('INVOCAÇÕES'!$U$238),"",'INVOCAÇÕES'!$U$238&amp;"")</f>
        <v/>
      </c>
      <c r="C2978" s="198">
        <f>"'INVOCAÇÕES'!U225"</f>
        <v/>
      </c>
      <c r="D2978" s="198" t="inlineStr">
        <is>
          <t>entrada</t>
        </is>
      </c>
    </row>
    <row r="2979">
      <c r="A2979" s="198" t="inlineStr">
        <is>
          <t>invocacao.2.definicao</t>
        </is>
      </c>
      <c r="B2979" s="198">
        <f>IF(ISBLANK('INVOCAÇÕES'!$I$277),"",'INVOCAÇÕES'!$I$277&amp;"")</f>
        <v/>
      </c>
      <c r="C2979" s="198">
        <f>"'INVOCAÇÕES'!I251"</f>
        <v/>
      </c>
      <c r="D2979" s="198" t="inlineStr">
        <is>
          <t>entrada</t>
        </is>
      </c>
    </row>
    <row r="2980">
      <c r="A2980" s="198" t="inlineStr">
        <is>
          <t>invocacao.2.familia.1</t>
        </is>
      </c>
      <c r="B2980" s="198">
        <f>IF(ISBLANK('INVOCAÇÕES'!$O$259),"",'INVOCAÇÕES'!$O$259&amp;"")</f>
        <v/>
      </c>
      <c r="C2980" s="198">
        <f>"'INVOCAÇÕES'!O246"</f>
        <v/>
      </c>
      <c r="D2980" s="198" t="inlineStr">
        <is>
          <t>entrada</t>
        </is>
      </c>
    </row>
    <row r="2981">
      <c r="A2981" s="198" t="inlineStr">
        <is>
          <t>invocacao.2.familia.2</t>
        </is>
      </c>
      <c r="B2981" s="198">
        <f>IF(ISBLANK('INVOCAÇÕES'!$P$259),"",'INVOCAÇÕES'!$P$259&amp;"")</f>
        <v/>
      </c>
      <c r="C2981" s="198">
        <f>"'INVOCAÇÕES'!P246"</f>
        <v/>
      </c>
      <c r="D2981" s="198" t="inlineStr">
        <is>
          <t>entrada</t>
        </is>
      </c>
    </row>
    <row r="2982">
      <c r="A2982" s="198" t="inlineStr">
        <is>
          <t>invocacao.2.familia.3</t>
        </is>
      </c>
      <c r="B2982" s="198">
        <f>IF(ISBLANK('INVOCAÇÕES'!$Q$259),"",'INVOCAÇÕES'!$Q$259&amp;"")</f>
        <v/>
      </c>
      <c r="C2982" s="198">
        <f>"'INVOCAÇÕES'!Q246"</f>
        <v/>
      </c>
      <c r="D2982" s="198" t="inlineStr">
        <is>
          <t>entrada</t>
        </is>
      </c>
    </row>
    <row r="2983">
      <c r="A2983" s="198" t="inlineStr">
        <is>
          <t>invocacao.2.familia.4</t>
        </is>
      </c>
      <c r="B2983" s="198">
        <f>IF(ISBLANK('INVOCAÇÕES'!$R$259),"",'INVOCAÇÕES'!$R$259&amp;"")</f>
        <v/>
      </c>
      <c r="C2983" s="198">
        <f>"'INVOCAÇÕES'!R246"</f>
        <v/>
      </c>
      <c r="D2983" s="198" t="inlineStr">
        <is>
          <t>entrada</t>
        </is>
      </c>
    </row>
    <row r="2984">
      <c r="A2984" s="198" t="inlineStr">
        <is>
          <t>invocacao.2.familia.5</t>
        </is>
      </c>
      <c r="B2984" s="198">
        <f>IF(ISBLANK('INVOCAÇÕES'!$S$259),"",'INVOCAÇÕES'!$S$259&amp;"")</f>
        <v/>
      </c>
      <c r="C2984" s="198">
        <f>"'INVOCAÇÕES'!S246"</f>
        <v/>
      </c>
      <c r="D2984" s="198" t="inlineStr">
        <is>
          <t>entrada</t>
        </is>
      </c>
    </row>
    <row r="2985">
      <c r="A2985" s="198" t="inlineStr">
        <is>
          <t>invocacao.2.pericia.1</t>
        </is>
      </c>
      <c r="B2985" s="198">
        <f>IF(ISBLANK('INVOCAÇÕES'!$O$249),"",'INVOCAÇÕES'!$O$249&amp;"")</f>
        <v/>
      </c>
      <c r="C2985" s="198">
        <f>"'INVOCAÇÕES'!O236"</f>
        <v/>
      </c>
      <c r="D2985" s="198" t="inlineStr">
        <is>
          <t>entrada</t>
        </is>
      </c>
    </row>
    <row r="2986">
      <c r="A2986" s="198" t="inlineStr">
        <is>
          <t>invocacao.2.pericia.2</t>
        </is>
      </c>
      <c r="B2986" s="198">
        <f>IF(ISBLANK('INVOCAÇÕES'!$O$250),"",'INVOCAÇÕES'!$O$250&amp;"")</f>
        <v/>
      </c>
      <c r="C2986" s="198">
        <f>"'INVOCAÇÕES'!O237"</f>
        <v/>
      </c>
      <c r="D2986" s="198" t="inlineStr">
        <is>
          <t>entrada</t>
        </is>
      </c>
    </row>
    <row r="2987">
      <c r="A2987" s="198" t="inlineStr">
        <is>
          <t>invocacao.2.pericia.3</t>
        </is>
      </c>
      <c r="B2987" s="198">
        <f>IF(ISBLANK('INVOCAÇÕES'!$O$251),"",'INVOCAÇÕES'!$O$251&amp;"")</f>
        <v/>
      </c>
      <c r="C2987" s="198">
        <f>"'INVOCAÇÕES'!O238"</f>
        <v/>
      </c>
      <c r="D2987" s="198" t="inlineStr">
        <is>
          <t>entrada</t>
        </is>
      </c>
    </row>
    <row r="2988">
      <c r="A2988" s="198" t="inlineStr">
        <is>
          <t>invocacao.2.pericia.4</t>
        </is>
      </c>
      <c r="B2988" s="198">
        <f>IF(ISBLANK('INVOCAÇÕES'!$O$252),"",'INVOCAÇÕES'!$O$252&amp;"")</f>
        <v/>
      </c>
      <c r="C2988" s="198">
        <f>"'INVOCAÇÕES'!O239"</f>
        <v/>
      </c>
      <c r="D2988" s="198" t="inlineStr">
        <is>
          <t>entrada</t>
        </is>
      </c>
    </row>
    <row r="2989">
      <c r="A2989" s="198" t="inlineStr">
        <is>
          <t>invocacao.2.pericia.5</t>
        </is>
      </c>
      <c r="B2989" s="198">
        <f>IF(ISBLANK('INVOCAÇÕES'!$O$253),"",'INVOCAÇÕES'!$O$253&amp;"")</f>
        <v/>
      </c>
      <c r="C2989" s="198">
        <f>"'INVOCAÇÕES'!O240"</f>
        <v/>
      </c>
      <c r="D2989" s="198" t="inlineStr">
        <is>
          <t>entrada</t>
        </is>
      </c>
    </row>
    <row r="2990">
      <c r="A2990" s="198" t="inlineStr">
        <is>
          <t>invocacao.2.pericia.6</t>
        </is>
      </c>
      <c r="B2990" s="198">
        <f>IF(ISBLANK('INVOCAÇÕES'!$O$254),"",'INVOCAÇÕES'!$O$254&amp;"")</f>
        <v/>
      </c>
      <c r="C2990" s="198">
        <f>"'INVOCAÇÕES'!O241"</f>
        <v/>
      </c>
      <c r="D2990" s="198" t="inlineStr">
        <is>
          <t>entrada</t>
        </is>
      </c>
    </row>
    <row r="2991">
      <c r="A2991" s="198" t="inlineStr">
        <is>
          <t>invocacao.2.pericia.7</t>
        </is>
      </c>
      <c r="B2991" s="198">
        <f>IF(ISBLANK('INVOCAÇÕES'!$O$255),"",'INVOCAÇÕES'!$O$255&amp;"")</f>
        <v/>
      </c>
      <c r="C2991" s="198">
        <f>"'INVOCAÇÕES'!O242"</f>
        <v/>
      </c>
      <c r="D2991" s="198" t="inlineStr">
        <is>
          <t>entrada</t>
        </is>
      </c>
    </row>
    <row r="2992">
      <c r="A2992" s="198" t="inlineStr">
        <is>
          <t>invocacao.2.buff.pericia.1</t>
        </is>
      </c>
      <c r="B2992" s="198">
        <f>IF(ISBLANK('INVOCAÇÕES'!$R$249),"",'INVOCAÇÕES'!$R$249&amp;"")</f>
        <v/>
      </c>
      <c r="C2992" s="198">
        <f>"'INVOCAÇÕES'!R236"</f>
        <v/>
      </c>
      <c r="D2992" s="198" t="inlineStr">
        <is>
          <t>entrada</t>
        </is>
      </c>
    </row>
    <row r="2993">
      <c r="A2993" s="198" t="inlineStr">
        <is>
          <t>invocacao.2.buff.pericia.2</t>
        </is>
      </c>
      <c r="B2993" s="198">
        <f>IF(ISBLANK('INVOCAÇÕES'!$R$250),"",'INVOCAÇÕES'!$R$250&amp;"")</f>
        <v/>
      </c>
      <c r="C2993" s="198">
        <f>"'INVOCAÇÕES'!R237"</f>
        <v/>
      </c>
      <c r="D2993" s="198" t="inlineStr">
        <is>
          <t>entrada</t>
        </is>
      </c>
    </row>
    <row r="2994">
      <c r="A2994" s="198" t="inlineStr">
        <is>
          <t>invocacao.2.buff.pericia.3</t>
        </is>
      </c>
      <c r="B2994" s="198">
        <f>IF(ISBLANK('INVOCAÇÕES'!$R$251),"",'INVOCAÇÕES'!$R$251&amp;"")</f>
        <v/>
      </c>
      <c r="C2994" s="198">
        <f>"'INVOCAÇÕES'!R238"</f>
        <v/>
      </c>
      <c r="D2994" s="198" t="inlineStr">
        <is>
          <t>entrada</t>
        </is>
      </c>
    </row>
    <row r="2995">
      <c r="A2995" s="198" t="inlineStr">
        <is>
          <t>invocacao.2.buff.pericia.4</t>
        </is>
      </c>
      <c r="B2995" s="198">
        <f>IF(ISBLANK('INVOCAÇÕES'!$R$252),"",'INVOCAÇÕES'!$R$252&amp;"")</f>
        <v/>
      </c>
      <c r="C2995" s="198">
        <f>"'INVOCAÇÕES'!R239"</f>
        <v/>
      </c>
      <c r="D2995" s="198" t="inlineStr">
        <is>
          <t>entrada</t>
        </is>
      </c>
    </row>
    <row r="2996">
      <c r="A2996" s="198" t="inlineStr">
        <is>
          <t>invocacao.2.buff.pericia.5</t>
        </is>
      </c>
      <c r="B2996" s="198">
        <f>IF(ISBLANK('INVOCAÇÕES'!$R$253),"",'INVOCAÇÕES'!$R$253&amp;"")</f>
        <v/>
      </c>
      <c r="C2996" s="198">
        <f>"'INVOCAÇÕES'!R240"</f>
        <v/>
      </c>
      <c r="D2996" s="198" t="inlineStr">
        <is>
          <t>entrada</t>
        </is>
      </c>
    </row>
    <row r="2997">
      <c r="A2997" s="198" t="inlineStr">
        <is>
          <t>invocacao.2.buff.pericia.6</t>
        </is>
      </c>
      <c r="B2997" s="198">
        <f>IF(ISBLANK('INVOCAÇÕES'!$R$254),"",'INVOCAÇÕES'!$R$254&amp;"")</f>
        <v/>
      </c>
      <c r="C2997" s="198">
        <f>"'INVOCAÇÕES'!R241"</f>
        <v/>
      </c>
      <c r="D2997" s="198" t="inlineStr">
        <is>
          <t>entrada</t>
        </is>
      </c>
    </row>
    <row r="2998">
      <c r="A2998" s="198" t="inlineStr">
        <is>
          <t>invocacao.2.buff.pericia.7</t>
        </is>
      </c>
      <c r="B2998" s="198">
        <f>IF(ISBLANK('INVOCAÇÕES'!$R$255),"",'INVOCAÇÕES'!$R$255&amp;"")</f>
        <v/>
      </c>
      <c r="C2998" s="198">
        <f>"'INVOCAÇÕES'!R242"</f>
        <v/>
      </c>
      <c r="D2998" s="198" t="inlineStr">
        <is>
          <t>entrada</t>
        </is>
      </c>
    </row>
    <row r="2999">
      <c r="A2999" s="198" t="inlineStr">
        <is>
          <t>invocacao.2.talento.1</t>
        </is>
      </c>
      <c r="B2999" s="198">
        <f>IF(ISBLANK('INVOCAÇÕES'!$J$304),"",'INVOCAÇÕES'!$J$304&amp;"")</f>
        <v/>
      </c>
      <c r="C2999" s="198">
        <f>"'INVOCAÇÕES'!J278"</f>
        <v/>
      </c>
      <c r="D2999" s="198" t="inlineStr">
        <is>
          <t>entrada</t>
        </is>
      </c>
    </row>
    <row r="3000">
      <c r="A3000" s="198" t="inlineStr">
        <is>
          <t>invocacao.2.talento.2</t>
        </is>
      </c>
      <c r="B3000" s="198">
        <f>IF(ISBLANK('INVOCAÇÕES'!$J$305),"",'INVOCAÇÕES'!$J$305&amp;"")</f>
        <v/>
      </c>
      <c r="C3000" s="198">
        <f>"'INVOCAÇÕES'!J279"</f>
        <v/>
      </c>
      <c r="D3000" s="198" t="inlineStr">
        <is>
          <t>entrada</t>
        </is>
      </c>
    </row>
    <row r="3001">
      <c r="A3001" s="198" t="inlineStr">
        <is>
          <t>invocacao.2.talento.3</t>
        </is>
      </c>
      <c r="B3001" s="198">
        <f>IF(ISBLANK('INVOCAÇÕES'!$J$306),"",'INVOCAÇÕES'!$J$306&amp;"")</f>
        <v/>
      </c>
      <c r="C3001" s="198">
        <f>"'INVOCAÇÕES'!J280"</f>
        <v/>
      </c>
      <c r="D3001" s="198" t="inlineStr">
        <is>
          <t>entrada</t>
        </is>
      </c>
    </row>
    <row r="3002">
      <c r="A3002" s="198" t="inlineStr">
        <is>
          <t>invocacao.2.talento.4</t>
        </is>
      </c>
      <c r="B3002" s="198">
        <f>IF(ISBLANK('INVOCAÇÕES'!$J$307),"",'INVOCAÇÕES'!$J$307&amp;"")</f>
        <v/>
      </c>
      <c r="C3002" s="198">
        <f>"'INVOCAÇÕES'!J281"</f>
        <v/>
      </c>
      <c r="D3002" s="198" t="inlineStr">
        <is>
          <t>entrada</t>
        </is>
      </c>
    </row>
    <row r="3003">
      <c r="A3003" s="198" t="inlineStr">
        <is>
          <t>invocacao.2.talento.5</t>
        </is>
      </c>
      <c r="B3003" s="198">
        <f>IF(ISBLANK('INVOCAÇÕES'!$J$308),"",'INVOCAÇÕES'!$J$308&amp;"")</f>
        <v/>
      </c>
      <c r="C3003" s="198">
        <f>"'INVOCAÇÕES'!J282"</f>
        <v/>
      </c>
      <c r="D3003" s="198" t="inlineStr">
        <is>
          <t>entrada</t>
        </is>
      </c>
    </row>
    <row r="3004">
      <c r="A3004" s="198" t="inlineStr">
        <is>
          <t>invocacao.2.talento.6</t>
        </is>
      </c>
      <c r="B3004" s="198">
        <f>IF(ISBLANK('INVOCAÇÕES'!$J$309),"",'INVOCAÇÕES'!$J$309&amp;"")</f>
        <v/>
      </c>
      <c r="C3004" s="198">
        <f>"'INVOCAÇÕES'!J283"</f>
        <v/>
      </c>
      <c r="D3004" s="198" t="inlineStr">
        <is>
          <t>entrada</t>
        </is>
      </c>
    </row>
    <row r="3005">
      <c r="A3005" s="198" t="inlineStr">
        <is>
          <t>invocacao.2.talento.7</t>
        </is>
      </c>
      <c r="B3005" s="198">
        <f>IF(ISBLANK('INVOCAÇÕES'!$J$310),"",'INVOCAÇÕES'!$J$310&amp;"")</f>
        <v/>
      </c>
      <c r="C3005" s="198">
        <f>"'INVOCAÇÕES'!J284"</f>
        <v/>
      </c>
      <c r="D3005" s="198" t="inlineStr">
        <is>
          <t>entrada</t>
        </is>
      </c>
    </row>
    <row r="3006">
      <c r="A3006" s="198" t="inlineStr">
        <is>
          <t>invocacao.2.talento.8</t>
        </is>
      </c>
      <c r="B3006" s="198">
        <f>IF(ISBLANK('INVOCAÇÕES'!$J$311),"",'INVOCAÇÕES'!$J$311&amp;"")</f>
        <v/>
      </c>
      <c r="C3006" s="198">
        <f>"'INVOCAÇÕES'!J285"</f>
        <v/>
      </c>
      <c r="D3006" s="198" t="inlineStr">
        <is>
          <t>entrada</t>
        </is>
      </c>
    </row>
    <row r="3007">
      <c r="A3007" s="198" t="inlineStr">
        <is>
          <t>invocacao.2.talento_extra.1</t>
        </is>
      </c>
      <c r="B3007" s="198">
        <f>IF(ISBLANK('INVOCAÇÕES'!$J$406),"",'INVOCAÇÕES'!$J$406&amp;"")</f>
        <v/>
      </c>
      <c r="C3007" s="198">
        <f>"'INVOCAÇÕES'!J380"</f>
        <v/>
      </c>
      <c r="D3007" s="198" t="inlineStr">
        <is>
          <t>entrada</t>
        </is>
      </c>
    </row>
    <row r="3008">
      <c r="A3008" s="198" t="inlineStr">
        <is>
          <t>invocacao.2.talento_extra.2</t>
        </is>
      </c>
      <c r="B3008" s="198">
        <f>IF(ISBLANK('INVOCAÇÕES'!$J$407),"",'INVOCAÇÕES'!$J$407&amp;"")</f>
        <v/>
      </c>
      <c r="C3008" s="198">
        <f>"'INVOCAÇÕES'!J381"</f>
        <v/>
      </c>
      <c r="D3008" s="198" t="inlineStr">
        <is>
          <t>entrada</t>
        </is>
      </c>
    </row>
    <row r="3009">
      <c r="A3009" s="198" t="inlineStr">
        <is>
          <t>invocacao.2.talento_extra.3</t>
        </is>
      </c>
      <c r="B3009" s="198">
        <f>IF(ISBLANK('INVOCAÇÕES'!$J$408),"",'INVOCAÇÕES'!$J$408&amp;"")</f>
        <v/>
      </c>
      <c r="C3009" s="198">
        <f>"'INVOCAÇÕES'!J382"</f>
        <v/>
      </c>
      <c r="D3009" s="198" t="inlineStr">
        <is>
          <t>entrada</t>
        </is>
      </c>
    </row>
    <row r="3010">
      <c r="A3010" s="198" t="inlineStr">
        <is>
          <t>invocacao.2.equipamento.1</t>
        </is>
      </c>
      <c r="B3010" s="198">
        <f>IF(ISBLANK('INVOCAÇÕES'!$V$244),"",'INVOCAÇÕES'!$V$244&amp;"")</f>
        <v/>
      </c>
      <c r="C3010" s="198">
        <f>"'INVOCAÇÕES'!V231"</f>
        <v/>
      </c>
      <c r="D3010" s="198" t="inlineStr">
        <is>
          <t>entrada</t>
        </is>
      </c>
    </row>
    <row r="3011">
      <c r="A3011" s="198" t="inlineStr">
        <is>
          <t>invocacao.2.equipamento.2</t>
        </is>
      </c>
      <c r="B3011" s="198">
        <f>IF(ISBLANK('INVOCAÇÕES'!$V$245),"",'INVOCAÇÕES'!$V$245&amp;"")</f>
        <v/>
      </c>
      <c r="C3011" s="198">
        <f>"'INVOCAÇÕES'!V232"</f>
        <v/>
      </c>
      <c r="D3011" s="198" t="inlineStr">
        <is>
          <t>entrada</t>
        </is>
      </c>
    </row>
    <row r="3012">
      <c r="A3012" s="198" t="inlineStr">
        <is>
          <t>invocacao.2.equipamento.3</t>
        </is>
      </c>
      <c r="B3012" s="198">
        <f>IF(ISBLANK('INVOCAÇÕES'!$V$246),"",'INVOCAÇÕES'!$V$246&amp;"")</f>
        <v/>
      </c>
      <c r="C3012" s="198">
        <f>"'INVOCAÇÕES'!V233"</f>
        <v/>
      </c>
      <c r="D3012" s="198" t="inlineStr">
        <is>
          <t>entrada</t>
        </is>
      </c>
    </row>
    <row r="3013">
      <c r="A3013" s="198" t="inlineStr">
        <is>
          <t>invocacao.2.liberacao.1.classe</t>
        </is>
      </c>
      <c r="B3013" s="198">
        <f>IF(ISBLANK('INVOCAÇÕES'!$I$413),"",'INVOCAÇÕES'!$I$413&amp;"")</f>
        <v/>
      </c>
      <c r="C3013" s="198">
        <f>"'INVOCAÇÕES'!I387"</f>
        <v/>
      </c>
      <c r="D3013" s="198" t="inlineStr">
        <is>
          <t>entrada</t>
        </is>
      </c>
    </row>
    <row r="3014">
      <c r="A3014" s="198" t="inlineStr">
        <is>
          <t>invocacao.2.liberacao.1.nome</t>
        </is>
      </c>
      <c r="B3014" s="198">
        <f>IF(ISBLANK('INVOCAÇÕES'!$J$413),"",'INVOCAÇÕES'!$J$413&amp;"")</f>
        <v/>
      </c>
      <c r="C3014" s="198">
        <f>"'INVOCAÇÕES'!J387"</f>
        <v/>
      </c>
      <c r="D3014" s="198" t="inlineStr">
        <is>
          <t>entrada</t>
        </is>
      </c>
    </row>
    <row r="3015">
      <c r="A3015" s="198" t="inlineStr">
        <is>
          <t>invocacao.2.liberacao.1.pe</t>
        </is>
      </c>
      <c r="B3015" s="198">
        <f>IF(ISBLANK('INVOCAÇÕES'!$M$413),"",'INVOCAÇÕES'!$M$413&amp;"")</f>
        <v/>
      </c>
      <c r="C3015" s="198">
        <f>"'INVOCAÇÕES'!M387"</f>
        <v/>
      </c>
      <c r="D3015" s="198" t="inlineStr">
        <is>
          <t>resultado</t>
        </is>
      </c>
    </row>
    <row r="3016">
      <c r="A3016" s="198" t="inlineStr">
        <is>
          <t>invocacao.2.liberacao.1.como</t>
        </is>
      </c>
      <c r="B3016" s="198">
        <f>IF(ISBLANK('INVOCAÇÕES'!$I$414),"",'INVOCAÇÕES'!$I$414&amp;"")</f>
        <v/>
      </c>
      <c r="C3016" s="198">
        <f>"'INVOCAÇÕES'!I388"</f>
        <v/>
      </c>
      <c r="D3016" s="198" t="inlineStr">
        <is>
          <t>entrada</t>
        </is>
      </c>
    </row>
    <row r="3017">
      <c r="A3017" s="198" t="inlineStr">
        <is>
          <t>invocacao.2.liberacao.1.pontos</t>
        </is>
      </c>
      <c r="B3017" s="198">
        <f>IF(ISBLANK('INVOCAÇÕES'!$I$418),"",'INVOCAÇÕES'!$I$418&amp;"")</f>
        <v/>
      </c>
      <c r="C3017" s="198">
        <f>"'INVOCAÇÕES'!I392"</f>
        <v/>
      </c>
      <c r="D3017" s="198" t="inlineStr">
        <is>
          <t>resultado</t>
        </is>
      </c>
    </row>
    <row r="3018">
      <c r="A3018" s="198" t="inlineStr">
        <is>
          <t>invocacao.2.liberacao.1.acao</t>
        </is>
      </c>
      <c r="B3018" s="198">
        <f>IF(ISBLANK('INVOCAÇÕES'!$I$419),"",'INVOCAÇÕES'!$I$419&amp;"")</f>
        <v/>
      </c>
      <c r="C3018" s="198">
        <f>"'INVOCAÇÕES'!I393"</f>
        <v/>
      </c>
      <c r="D3018" s="198" t="inlineStr">
        <is>
          <t>resultado</t>
        </is>
      </c>
    </row>
    <row r="3019">
      <c r="A3019" s="198" t="inlineStr">
        <is>
          <t>invocacao.2.liberacao.2.classe</t>
        </is>
      </c>
      <c r="B3019" s="198">
        <f>IF(ISBLANK('INVOCAÇÕES'!$O$413),"",'INVOCAÇÕES'!$O$413&amp;"")</f>
        <v/>
      </c>
      <c r="C3019" s="198">
        <f>"'INVOCAÇÕES'!O387"</f>
        <v/>
      </c>
      <c r="D3019" s="198" t="inlineStr">
        <is>
          <t>entrada</t>
        </is>
      </c>
    </row>
    <row r="3020">
      <c r="A3020" s="198" t="inlineStr">
        <is>
          <t>invocacao.2.liberacao.2.nome</t>
        </is>
      </c>
      <c r="B3020" s="198">
        <f>IF(ISBLANK('INVOCAÇÕES'!$P$413),"",'INVOCAÇÕES'!$P$413&amp;"")</f>
        <v/>
      </c>
      <c r="C3020" s="198">
        <f>"'INVOCAÇÕES'!P387"</f>
        <v/>
      </c>
      <c r="D3020" s="198" t="inlineStr">
        <is>
          <t>entrada</t>
        </is>
      </c>
    </row>
    <row r="3021">
      <c r="A3021" s="198" t="inlineStr">
        <is>
          <t>invocacao.2.liberacao.2.pe</t>
        </is>
      </c>
      <c r="B3021" s="198">
        <f>IF(ISBLANK('INVOCAÇÕES'!$S$413),"",'INVOCAÇÕES'!$S$413&amp;"")</f>
        <v/>
      </c>
      <c r="C3021" s="198">
        <f>"'INVOCAÇÕES'!S387"</f>
        <v/>
      </c>
      <c r="D3021" s="198" t="inlineStr">
        <is>
          <t>resultado</t>
        </is>
      </c>
    </row>
    <row r="3022">
      <c r="A3022" s="198" t="inlineStr">
        <is>
          <t>invocacao.2.liberacao.2.como</t>
        </is>
      </c>
      <c r="B3022" s="198">
        <f>IF(ISBLANK('INVOCAÇÕES'!$O$414),"",'INVOCAÇÕES'!$O$414&amp;"")</f>
        <v/>
      </c>
      <c r="C3022" s="198">
        <f>"'INVOCAÇÕES'!O388"</f>
        <v/>
      </c>
      <c r="D3022" s="198" t="inlineStr">
        <is>
          <t>entrada</t>
        </is>
      </c>
    </row>
    <row r="3023">
      <c r="A3023" s="198" t="inlineStr">
        <is>
          <t>invocacao.2.liberacao.2.pontos</t>
        </is>
      </c>
      <c r="B3023" s="198">
        <f>IF(ISBLANK('INVOCAÇÕES'!$O$418),"",'INVOCAÇÕES'!$O$418&amp;"")</f>
        <v/>
      </c>
      <c r="C3023" s="198">
        <f>"'INVOCAÇÕES'!O392"</f>
        <v/>
      </c>
      <c r="D3023" s="198" t="inlineStr">
        <is>
          <t>resultado</t>
        </is>
      </c>
    </row>
    <row r="3024">
      <c r="A3024" s="198" t="inlineStr">
        <is>
          <t>invocacao.2.liberacao.2.acao</t>
        </is>
      </c>
      <c r="B3024" s="198">
        <f>IF(ISBLANK('INVOCAÇÕES'!$O$419),"",'INVOCAÇÕES'!$O$419&amp;"")</f>
        <v/>
      </c>
      <c r="C3024" s="198">
        <f>"'INVOCAÇÕES'!O393"</f>
        <v/>
      </c>
      <c r="D3024" s="198" t="inlineStr">
        <is>
          <t>resultado</t>
        </is>
      </c>
    </row>
    <row r="3025">
      <c r="A3025" s="198" t="inlineStr">
        <is>
          <t>invocacao.2.liberacao.3.classe</t>
        </is>
      </c>
      <c r="B3025" s="198">
        <f>IF(ISBLANK('INVOCAÇÕES'!$U$413),"",'INVOCAÇÕES'!$U$413&amp;"")</f>
        <v/>
      </c>
      <c r="C3025" s="198">
        <f>"'INVOCAÇÕES'!U387"</f>
        <v/>
      </c>
      <c r="D3025" s="198" t="inlineStr">
        <is>
          <t>entrada</t>
        </is>
      </c>
    </row>
    <row r="3026">
      <c r="A3026" s="198" t="inlineStr">
        <is>
          <t>invocacao.2.liberacao.3.nome</t>
        </is>
      </c>
      <c r="B3026" s="198">
        <f>IF(ISBLANK('INVOCAÇÕES'!$V$413),"",'INVOCAÇÕES'!$V$413&amp;"")</f>
        <v/>
      </c>
      <c r="C3026" s="198">
        <f>"'INVOCAÇÕES'!V387"</f>
        <v/>
      </c>
      <c r="D3026" s="198" t="inlineStr">
        <is>
          <t>entrada</t>
        </is>
      </c>
    </row>
    <row r="3027">
      <c r="A3027" s="198" t="inlineStr">
        <is>
          <t>invocacao.2.liberacao.3.pe</t>
        </is>
      </c>
      <c r="B3027" s="198">
        <f>IF(ISBLANK('INVOCAÇÕES'!$Y$413),"",'INVOCAÇÕES'!$Y$413&amp;"")</f>
        <v/>
      </c>
      <c r="C3027" s="198">
        <f>"'INVOCAÇÕES'!Y387"</f>
        <v/>
      </c>
      <c r="D3027" s="198" t="inlineStr">
        <is>
          <t>resultado</t>
        </is>
      </c>
    </row>
    <row r="3028">
      <c r="A3028" s="198" t="inlineStr">
        <is>
          <t>invocacao.2.liberacao.3.como</t>
        </is>
      </c>
      <c r="B3028" s="198">
        <f>IF(ISBLANK('INVOCAÇÕES'!$U$414),"",'INVOCAÇÕES'!$U$414&amp;"")</f>
        <v/>
      </c>
      <c r="C3028" s="198">
        <f>"'INVOCAÇÕES'!U388"</f>
        <v/>
      </c>
      <c r="D3028" s="198" t="inlineStr">
        <is>
          <t>entrada</t>
        </is>
      </c>
    </row>
    <row r="3029">
      <c r="A3029" s="198" t="inlineStr">
        <is>
          <t>invocacao.2.liberacao.3.pontos</t>
        </is>
      </c>
      <c r="B3029" s="198">
        <f>IF(ISBLANK('INVOCAÇÕES'!$U$418),"",'INVOCAÇÕES'!$U$418&amp;"")</f>
        <v/>
      </c>
      <c r="C3029" s="198">
        <f>"'INVOCAÇÕES'!U392"</f>
        <v/>
      </c>
      <c r="D3029" s="198" t="inlineStr">
        <is>
          <t>resultado</t>
        </is>
      </c>
    </row>
    <row r="3030">
      <c r="A3030" s="198" t="inlineStr">
        <is>
          <t>invocacao.2.liberacao.3.acao</t>
        </is>
      </c>
      <c r="B3030" s="198">
        <f>IF(ISBLANK('INVOCAÇÕES'!$U$419),"",'INVOCAÇÕES'!$U$419&amp;"")</f>
        <v/>
      </c>
      <c r="C3030" s="198">
        <f>"'INVOCAÇÕES'!U393"</f>
        <v/>
      </c>
      <c r="D3030" s="198" t="inlineStr">
        <is>
          <t>resultado</t>
        </is>
      </c>
    </row>
    <row r="3031">
      <c r="A3031" s="198" t="inlineStr">
        <is>
          <t>invocacao.2.tm.nome</t>
        </is>
      </c>
      <c r="B3031" s="198">
        <f>IF(ISBLANK('INVOCAÇÕES'!$I$422),"",'INVOCAÇÕES'!$I$422&amp;"")</f>
        <v/>
      </c>
      <c r="C3031" s="198">
        <f>"'INVOCAÇÕES'!I396"</f>
        <v/>
      </c>
      <c r="D3031" s="198" t="inlineStr">
        <is>
          <t>entrada</t>
        </is>
      </c>
    </row>
    <row r="3032">
      <c r="A3032" s="198" t="inlineStr">
        <is>
          <t>invocacao.2.tm.pe</t>
        </is>
      </c>
      <c r="B3032" s="198">
        <f>IF(ISBLANK('INVOCAÇÕES'!$M$422),"",'INVOCAÇÕES'!$M$422&amp;"")</f>
        <v/>
      </c>
      <c r="C3032" s="198">
        <f>"'INVOCAÇÕES'!M396"</f>
        <v/>
      </c>
      <c r="D3032" s="198" t="inlineStr">
        <is>
          <t>resultado</t>
        </is>
      </c>
    </row>
    <row r="3033">
      <c r="A3033" s="198" t="inlineStr">
        <is>
          <t>invocacao.2.tm.como</t>
        </is>
      </c>
      <c r="B3033" s="198">
        <f>IF(ISBLANK('INVOCAÇÕES'!$I$423),"",'INVOCAÇÕES'!$I$423&amp;"")</f>
        <v/>
      </c>
      <c r="C3033" s="198">
        <f>"'INVOCAÇÕES'!I397"</f>
        <v/>
      </c>
      <c r="D3033" s="198" t="inlineStr">
        <is>
          <t>entrada</t>
        </is>
      </c>
    </row>
    <row r="3034">
      <c r="A3034" s="198" t="inlineStr">
        <is>
          <t>invocacao.2.tm.dados</t>
        </is>
      </c>
      <c r="B3034" s="198">
        <f>IF(ISBLANK('INVOCAÇÕES'!$I$427),"",'INVOCAÇÕES'!$I$427&amp;"")</f>
        <v/>
      </c>
      <c r="C3034" s="198">
        <f>"'INVOCAÇÕES'!I401"</f>
        <v/>
      </c>
      <c r="D3034" s="198" t="inlineStr">
        <is>
          <t>resultado</t>
        </is>
      </c>
    </row>
    <row r="3035">
      <c r="A3035" s="198" t="inlineStr">
        <is>
          <t>invocacao.2.tm.acao</t>
        </is>
      </c>
      <c r="B3035" s="198">
        <f>IF(ISBLANK('INVOCAÇÕES'!$I$428),"",'INVOCAÇÕES'!$I$428&amp;"")</f>
        <v/>
      </c>
      <c r="C3035" s="198">
        <f>"'INVOCAÇÕES'!I402"</f>
        <v/>
      </c>
      <c r="D3035" s="198" t="inlineStr">
        <is>
          <t>resultado</t>
        </is>
      </c>
    </row>
    <row r="3036">
      <c r="A3036" s="198" t="inlineStr">
        <is>
          <t>invocacao.2.exp.nome</t>
        </is>
      </c>
      <c r="B3036" s="198">
        <f>IF(ISBLANK('INVOCAÇÕES'!$O$422),"",'INVOCAÇÕES'!$O$422&amp;"")</f>
        <v/>
      </c>
      <c r="C3036" s="198">
        <f>"'INVOCAÇÕES'!O396"</f>
        <v/>
      </c>
      <c r="D3036" s="198" t="inlineStr">
        <is>
          <t>entrada</t>
        </is>
      </c>
    </row>
    <row r="3037">
      <c r="A3037" s="198" t="inlineStr">
        <is>
          <t>invocacao.2.exp.pe</t>
        </is>
      </c>
      <c r="B3037" s="198">
        <f>IF(ISBLANK('INVOCAÇÕES'!$S$422),"",'INVOCAÇÕES'!$S$422&amp;"")</f>
        <v/>
      </c>
      <c r="C3037" s="198">
        <f>"'INVOCAÇÕES'!S396"</f>
        <v/>
      </c>
      <c r="D3037" s="198" t="inlineStr">
        <is>
          <t>resultado</t>
        </is>
      </c>
    </row>
    <row r="3038">
      <c r="A3038" s="198" t="inlineStr">
        <is>
          <t>invocacao.2.exp.como</t>
        </is>
      </c>
      <c r="B3038" s="198">
        <f>IF(ISBLANK('INVOCAÇÕES'!$O$423),"",'INVOCAÇÕES'!$O$423&amp;"")</f>
        <v/>
      </c>
      <c r="C3038" s="198">
        <f>"'INVOCAÇÕES'!O397"</f>
        <v/>
      </c>
      <c r="D3038" s="198" t="inlineStr">
        <is>
          <t>entrada</t>
        </is>
      </c>
    </row>
    <row r="3039">
      <c r="A3039" s="198" t="inlineStr">
        <is>
          <t>invocacao.2.exp.degrau</t>
        </is>
      </c>
      <c r="B3039" s="198">
        <f>IF(ISBLANK('INVOCAÇÕES'!$O$427),"",'INVOCAÇÕES'!$O$427&amp;"")</f>
        <v/>
      </c>
      <c r="C3039" s="198">
        <f>"'INVOCAÇÕES'!O401"</f>
        <v/>
      </c>
      <c r="D3039" s="198" t="inlineStr">
        <is>
          <t>entrada</t>
        </is>
      </c>
    </row>
    <row r="3040">
      <c r="A3040" s="198" t="inlineStr">
        <is>
          <t>invocacao.2.exp.acerto</t>
        </is>
      </c>
      <c r="B3040" s="198">
        <f>IF(ISBLANK('INVOCAÇÕES'!$Q$427),"",'INVOCAÇÕES'!$Q$427&amp;"")</f>
        <v/>
      </c>
      <c r="C3040" s="198">
        <f>"'INVOCAÇÕES'!Q401"</f>
        <v/>
      </c>
      <c r="D3040" s="198" t="inlineStr">
        <is>
          <t>entrada</t>
        </is>
      </c>
    </row>
    <row r="3041">
      <c r="A3041" s="198" t="inlineStr">
        <is>
          <t>invocacao.2.exp.pede</t>
        </is>
      </c>
      <c r="B3041" s="198">
        <f>IF(ISBLANK('INVOCAÇÕES'!$O$428),"",'INVOCAÇÕES'!$O$428&amp;"")</f>
        <v/>
      </c>
      <c r="C3041" s="198">
        <f>"'INVOCAÇÕES'!O402"</f>
        <v/>
      </c>
      <c r="D3041" s="198" t="inlineStr">
        <is>
          <t>resultado</t>
        </is>
      </c>
    </row>
    <row r="3042">
      <c r="A3042" s="198" t="inlineStr">
        <is>
          <t>invocacao.3.atributo.forca.base</t>
        </is>
      </c>
      <c r="B3042" s="198">
        <f>IF(ISBLANK('INVOCAÇÕES'!$O$442),"",'INVOCAÇÕES'!$O$442&amp;"")</f>
        <v/>
      </c>
      <c r="C3042" s="198">
        <f>"'INVOCAÇÕES'!O416"</f>
        <v/>
      </c>
      <c r="D3042" s="198" t="inlineStr">
        <is>
          <t>entrada</t>
        </is>
      </c>
    </row>
    <row r="3043">
      <c r="A3043" s="198" t="inlineStr">
        <is>
          <t>invocacao.3.atributo.forca.buff</t>
        </is>
      </c>
      <c r="B3043" s="198">
        <f>IF(ISBLANK('INVOCAÇÕES'!$O$443),"",'INVOCAÇÕES'!$O$443&amp;"")</f>
        <v/>
      </c>
      <c r="C3043" s="198">
        <f>"'INVOCAÇÕES'!O417"</f>
        <v/>
      </c>
      <c r="D3043" s="198" t="inlineStr">
        <is>
          <t>entrada</t>
        </is>
      </c>
    </row>
    <row r="3044">
      <c r="A3044" s="198" t="inlineStr">
        <is>
          <t>invocacao.3.atributo.forca.total</t>
        </is>
      </c>
      <c r="B3044" s="198">
        <f>IF(ISBLANK('INVOCAÇÕES'!$O$440),"",'INVOCAÇÕES'!$O$440&amp;"")</f>
        <v/>
      </c>
      <c r="C3044" s="198">
        <f>"'INVOCAÇÕES'!O414"</f>
        <v/>
      </c>
      <c r="D3044" s="198" t="inlineStr">
        <is>
          <t>resultado</t>
        </is>
      </c>
    </row>
    <row r="3045">
      <c r="A3045" s="198" t="inlineStr">
        <is>
          <t>invocacao.3.atributo.destreza.base</t>
        </is>
      </c>
      <c r="B3045" s="198">
        <f>IF(ISBLANK('INVOCAÇÕES'!$P$442),"",'INVOCAÇÕES'!$P$442&amp;"")</f>
        <v/>
      </c>
      <c r="C3045" s="198">
        <f>"'INVOCAÇÕES'!P416"</f>
        <v/>
      </c>
      <c r="D3045" s="198" t="inlineStr">
        <is>
          <t>entrada</t>
        </is>
      </c>
    </row>
    <row r="3046">
      <c r="A3046" s="198" t="inlineStr">
        <is>
          <t>invocacao.3.atributo.destreza.buff</t>
        </is>
      </c>
      <c r="B3046" s="198">
        <f>IF(ISBLANK('INVOCAÇÕES'!$P$443),"",'INVOCAÇÕES'!$P$443&amp;"")</f>
        <v/>
      </c>
      <c r="C3046" s="198">
        <f>"'INVOCAÇÕES'!P417"</f>
        <v/>
      </c>
      <c r="D3046" s="198" t="inlineStr">
        <is>
          <t>entrada</t>
        </is>
      </c>
    </row>
    <row r="3047">
      <c r="A3047" s="198" t="inlineStr">
        <is>
          <t>invocacao.3.atributo.destreza.total</t>
        </is>
      </c>
      <c r="B3047" s="198">
        <f>IF(ISBLANK('INVOCAÇÕES'!$P$440),"",'INVOCAÇÕES'!$P$440&amp;"")</f>
        <v/>
      </c>
      <c r="C3047" s="198">
        <f>"'INVOCAÇÕES'!P414"</f>
        <v/>
      </c>
      <c r="D3047" s="198" t="inlineStr">
        <is>
          <t>resultado</t>
        </is>
      </c>
    </row>
    <row r="3048">
      <c r="A3048" s="198" t="inlineStr">
        <is>
          <t>invocacao.3.atributo.constituicao.base</t>
        </is>
      </c>
      <c r="B3048" s="198">
        <f>IF(ISBLANK('INVOCAÇÕES'!$Q$442),"",'INVOCAÇÕES'!$Q$442&amp;"")</f>
        <v/>
      </c>
      <c r="C3048" s="198">
        <f>"'INVOCAÇÕES'!Q416"</f>
        <v/>
      </c>
      <c r="D3048" s="198" t="inlineStr">
        <is>
          <t>entrada</t>
        </is>
      </c>
    </row>
    <row r="3049">
      <c r="A3049" s="198" t="inlineStr">
        <is>
          <t>invocacao.3.atributo.constituicao.buff</t>
        </is>
      </c>
      <c r="B3049" s="198">
        <f>IF(ISBLANK('INVOCAÇÕES'!$Q$443),"",'INVOCAÇÕES'!$Q$443&amp;"")</f>
        <v/>
      </c>
      <c r="C3049" s="198">
        <f>"'INVOCAÇÕES'!Q417"</f>
        <v/>
      </c>
      <c r="D3049" s="198" t="inlineStr">
        <is>
          <t>entrada</t>
        </is>
      </c>
    </row>
    <row r="3050">
      <c r="A3050" s="198" t="inlineStr">
        <is>
          <t>invocacao.3.atributo.constituicao.total</t>
        </is>
      </c>
      <c r="B3050" s="198">
        <f>IF(ISBLANK('INVOCAÇÕES'!$Q$440),"",'INVOCAÇÕES'!$Q$440&amp;"")</f>
        <v/>
      </c>
      <c r="C3050" s="198">
        <f>"'INVOCAÇÕES'!Q414"</f>
        <v/>
      </c>
      <c r="D3050" s="198" t="inlineStr">
        <is>
          <t>resultado</t>
        </is>
      </c>
    </row>
    <row r="3051">
      <c r="A3051" s="198" t="inlineStr">
        <is>
          <t>invocacao.3.atributo.inteligencia.base</t>
        </is>
      </c>
      <c r="B3051" s="198">
        <f>IF(ISBLANK('INVOCAÇÕES'!$R$442),"",'INVOCAÇÕES'!$R$442&amp;"")</f>
        <v/>
      </c>
      <c r="C3051" s="198">
        <f>"'INVOCAÇÕES'!R416"</f>
        <v/>
      </c>
      <c r="D3051" s="198" t="inlineStr">
        <is>
          <t>entrada</t>
        </is>
      </c>
    </row>
    <row r="3052">
      <c r="A3052" s="198" t="inlineStr">
        <is>
          <t>invocacao.3.atributo.inteligencia.buff</t>
        </is>
      </c>
      <c r="B3052" s="198">
        <f>IF(ISBLANK('INVOCAÇÕES'!$R$443),"",'INVOCAÇÕES'!$R$443&amp;"")</f>
        <v/>
      </c>
      <c r="C3052" s="198">
        <f>"'INVOCAÇÕES'!R417"</f>
        <v/>
      </c>
      <c r="D3052" s="198" t="inlineStr">
        <is>
          <t>entrada</t>
        </is>
      </c>
    </row>
    <row r="3053">
      <c r="A3053" s="198" t="inlineStr">
        <is>
          <t>invocacao.3.atributo.inteligencia.total</t>
        </is>
      </c>
      <c r="B3053" s="198">
        <f>IF(ISBLANK('INVOCAÇÕES'!$R$440),"",'INVOCAÇÕES'!$R$440&amp;"")</f>
        <v/>
      </c>
      <c r="C3053" s="198">
        <f>"'INVOCAÇÕES'!R414"</f>
        <v/>
      </c>
      <c r="D3053" s="198" t="inlineStr">
        <is>
          <t>resultado</t>
        </is>
      </c>
    </row>
    <row r="3054">
      <c r="A3054" s="198" t="inlineStr">
        <is>
          <t>invocacao.3.atributo.essencia.base</t>
        </is>
      </c>
      <c r="B3054" s="198">
        <f>IF(ISBLANK('INVOCAÇÕES'!$S$442),"",'INVOCAÇÕES'!$S$442&amp;"")</f>
        <v/>
      </c>
      <c r="C3054" s="198">
        <f>"'INVOCAÇÕES'!S416"</f>
        <v/>
      </c>
      <c r="D3054" s="198" t="inlineStr">
        <is>
          <t>entrada</t>
        </is>
      </c>
    </row>
    <row r="3055">
      <c r="A3055" s="198" t="inlineStr">
        <is>
          <t>invocacao.3.atributo.essencia.buff</t>
        </is>
      </c>
      <c r="B3055" s="198">
        <f>IF(ISBLANK('INVOCAÇÕES'!$S$443),"",'INVOCAÇÕES'!$S$443&amp;"")</f>
        <v/>
      </c>
      <c r="C3055" s="198">
        <f>"'INVOCAÇÕES'!S417"</f>
        <v/>
      </c>
      <c r="D3055" s="198" t="inlineStr">
        <is>
          <t>entrada</t>
        </is>
      </c>
    </row>
    <row r="3056">
      <c r="A3056" s="198" t="inlineStr">
        <is>
          <t>invocacao.3.atributo.essencia.total</t>
        </is>
      </c>
      <c r="B3056" s="198">
        <f>IF(ISBLANK('INVOCAÇÕES'!$S$440),"",'INVOCAÇÕES'!$S$440&amp;"")</f>
        <v/>
      </c>
      <c r="C3056" s="198">
        <f>"'INVOCAÇÕES'!S414"</f>
        <v/>
      </c>
      <c r="D3056" s="198" t="inlineStr">
        <is>
          <t>resultado</t>
        </is>
      </c>
    </row>
    <row r="3057">
      <c r="A3057" s="198" t="inlineStr">
        <is>
          <t>invocacao.3.buff.acerto</t>
        </is>
      </c>
      <c r="B3057" s="198">
        <f>IF(ISBLANK('INVOCAÇÕES'!$O$448),"",'INVOCAÇÕES'!$O$448&amp;"")</f>
        <v/>
      </c>
      <c r="C3057" s="198">
        <f>"'INVOCAÇÕES'!O422"</f>
        <v/>
      </c>
      <c r="D3057" s="198" t="inlineStr">
        <is>
          <t>entrada</t>
        </is>
      </c>
    </row>
    <row r="3058">
      <c r="A3058" s="198" t="inlineStr">
        <is>
          <t>invocacao.3.buff.cd</t>
        </is>
      </c>
      <c r="B3058" s="198">
        <f>IF(ISBLANK('INVOCAÇÕES'!$P$448),"",'INVOCAÇÕES'!$P$448&amp;"")</f>
        <v/>
      </c>
      <c r="C3058" s="198">
        <f>"'INVOCAÇÕES'!P422"</f>
        <v/>
      </c>
      <c r="D3058" s="198" t="inlineStr">
        <is>
          <t>entrada</t>
        </is>
      </c>
    </row>
    <row r="3059">
      <c r="A3059" s="198" t="inlineStr">
        <is>
          <t>invocacao.3.buff.defesa</t>
        </is>
      </c>
      <c r="B3059" s="198">
        <f>IF(ISBLANK('INVOCAÇÕES'!$Q$448),"",'INVOCAÇÕES'!$Q$448&amp;"")</f>
        <v/>
      </c>
      <c r="C3059" s="198">
        <f>"'INVOCAÇÕES'!Q422"</f>
        <v/>
      </c>
      <c r="D3059" s="198" t="inlineStr">
        <is>
          <t>entrada</t>
        </is>
      </c>
    </row>
    <row r="3060">
      <c r="A3060" s="198" t="inlineStr">
        <is>
          <t>invocacao.3.buff.vida</t>
        </is>
      </c>
      <c r="B3060" s="198">
        <f>IF(ISBLANK('INVOCAÇÕES'!$R$448),"",'INVOCAÇÕES'!$R$448&amp;"")</f>
        <v/>
      </c>
      <c r="C3060" s="198">
        <f>"'INVOCAÇÕES'!R422"</f>
        <v/>
      </c>
      <c r="D3060" s="198" t="inlineStr">
        <is>
          <t>entrada</t>
        </is>
      </c>
    </row>
    <row r="3061">
      <c r="A3061" s="198" t="inlineStr">
        <is>
          <t>invocacao.3.buff.deslocamento</t>
        </is>
      </c>
      <c r="B3061" s="198">
        <f>IF(ISBLANK('INVOCAÇÕES'!$S$448),"",'INVOCAÇÕES'!$S$448&amp;"")</f>
        <v/>
      </c>
      <c r="C3061" s="198">
        <f>"'INVOCAÇÕES'!S422"</f>
        <v/>
      </c>
      <c r="D3061" s="198" t="inlineStr">
        <is>
          <t>entrada</t>
        </is>
      </c>
    </row>
    <row r="3062">
      <c r="A3062" s="198" t="inlineStr">
        <is>
          <t>invocacao.3.buff.tr.fisico</t>
        </is>
      </c>
      <c r="B3062" s="198">
        <f>IF(ISBLANK('INVOCAÇÕES'!$O$453),"",'INVOCAÇÕES'!$O$453&amp;"")</f>
        <v/>
      </c>
      <c r="C3062" s="198">
        <f>"'INVOCAÇÕES'!O427"</f>
        <v/>
      </c>
      <c r="D3062" s="198" t="inlineStr">
        <is>
          <t>entrada</t>
        </is>
      </c>
    </row>
    <row r="3063">
      <c r="A3063" s="198" t="inlineStr">
        <is>
          <t>invocacao.3.buff.tr.vigor</t>
        </is>
      </c>
      <c r="B3063" s="198">
        <f>IF(ISBLANK('INVOCAÇÕES'!$P$453),"",'INVOCAÇÕES'!$P$453&amp;"")</f>
        <v/>
      </c>
      <c r="C3063" s="198">
        <f>"'INVOCAÇÕES'!P427"</f>
        <v/>
      </c>
      <c r="D3063" s="198" t="inlineStr">
        <is>
          <t>entrada</t>
        </is>
      </c>
    </row>
    <row r="3064">
      <c r="A3064" s="198" t="inlineStr">
        <is>
          <t>invocacao.3.buff.tr.intelecto</t>
        </is>
      </c>
      <c r="B3064" s="198">
        <f>IF(ISBLANK('INVOCAÇÕES'!$Q$453),"",'INVOCAÇÕES'!$Q$453&amp;"")</f>
        <v/>
      </c>
      <c r="C3064" s="198">
        <f>"'INVOCAÇÕES'!Q427"</f>
        <v/>
      </c>
      <c r="D3064" s="198" t="inlineStr">
        <is>
          <t>entrada</t>
        </is>
      </c>
    </row>
    <row r="3065">
      <c r="A3065" s="198" t="inlineStr">
        <is>
          <t>invocacao.3.buff.tr.espirito</t>
        </is>
      </c>
      <c r="B3065" s="198">
        <f>IF(ISBLANK('INVOCAÇÕES'!$R$453),"",'INVOCAÇÕES'!$R$453&amp;"")</f>
        <v/>
      </c>
      <c r="C3065" s="198">
        <f>"'INVOCAÇÕES'!R427"</f>
        <v/>
      </c>
      <c r="D3065" s="198" t="inlineStr">
        <is>
          <t>entrada</t>
        </is>
      </c>
    </row>
    <row r="3066">
      <c r="A3066" s="198" t="inlineStr">
        <is>
          <t>invocacao.3.atributo_acerto</t>
        </is>
      </c>
      <c r="B3066" s="198">
        <f>IF(ISBLANK('INVOCAÇÕES'!$O$456),"",'INVOCAÇÕES'!$O$456&amp;"")</f>
        <v/>
      </c>
      <c r="C3066" s="198">
        <f>"'INVOCAÇÕES'!O430"</f>
        <v/>
      </c>
      <c r="D3066" s="198" t="inlineStr">
        <is>
          <t>entrada</t>
        </is>
      </c>
    </row>
    <row r="3067">
      <c r="A3067" s="198" t="inlineStr">
        <is>
          <t>invocacao.3.atributo_fisico</t>
        </is>
      </c>
      <c r="B3067" s="198">
        <f>IF(ISBLANK('INVOCAÇÕES'!$R$456),"",'INVOCAÇÕES'!$R$456&amp;"")</f>
        <v/>
      </c>
      <c r="C3067" s="198">
        <f>"'INVOCAÇÕES'!R430"</f>
        <v/>
      </c>
      <c r="D3067" s="198" t="inlineStr">
        <is>
          <t>entrada</t>
        </is>
      </c>
    </row>
    <row r="3068">
      <c r="A3068" s="198" t="inlineStr">
        <is>
          <t>invocacao.3.tr_treinado</t>
        </is>
      </c>
      <c r="B3068" s="198">
        <f>IF(ISBLANK('INVOCAÇÕES'!$S$451),"",'INVOCAÇÕES'!$S$451&amp;"")</f>
        <v/>
      </c>
      <c r="C3068" s="198">
        <f>"'INVOCAÇÕES'!S425"</f>
        <v/>
      </c>
      <c r="D3068" s="198" t="inlineStr">
        <is>
          <t>entrada</t>
        </is>
      </c>
    </row>
    <row r="3069">
      <c r="A3069" s="198" t="inlineStr">
        <is>
          <t>invocacao.3.alma</t>
        </is>
      </c>
      <c r="B3069" s="198">
        <f>IF(ISBLANK('INVOCAÇÕES'!$U$440),"",'INVOCAÇÕES'!$U$440&amp;"")</f>
        <v/>
      </c>
      <c r="C3069" s="198">
        <f>"'INVOCAÇÕES'!U414"</f>
        <v/>
      </c>
      <c r="D3069" s="198" t="inlineStr">
        <is>
          <t>entrada</t>
        </is>
      </c>
    </row>
    <row r="3070">
      <c r="A3070" s="198" t="inlineStr">
        <is>
          <t>invocacao.3.notas</t>
        </is>
      </c>
      <c r="B3070" s="198">
        <f>IF(ISBLANK('INVOCAÇÕES'!$U$449),"",'INVOCAÇÕES'!$U$449&amp;"")</f>
        <v/>
      </c>
      <c r="C3070" s="198">
        <f>"'INVOCAÇÕES'!U423"</f>
        <v/>
      </c>
      <c r="D3070" s="198" t="inlineStr">
        <is>
          <t>entrada</t>
        </is>
      </c>
    </row>
    <row r="3071">
      <c r="A3071" s="198" t="inlineStr">
        <is>
          <t>invocacao.3.definicao</t>
        </is>
      </c>
      <c r="B3071" s="198">
        <f>IF(ISBLANK('INVOCAÇÕES'!$I$488),"",'INVOCAÇÕES'!$I$488&amp;"")</f>
        <v/>
      </c>
      <c r="C3071" s="198">
        <f>"'INVOCAÇÕES'!I449"</f>
        <v/>
      </c>
      <c r="D3071" s="198" t="inlineStr">
        <is>
          <t>entrada</t>
        </is>
      </c>
    </row>
    <row r="3072">
      <c r="A3072" s="198" t="inlineStr">
        <is>
          <t>invocacao.3.familia.1</t>
        </is>
      </c>
      <c r="B3072" s="198">
        <f>IF(ISBLANK('INVOCAÇÕES'!$O$470),"",'INVOCAÇÕES'!$O$470&amp;"")</f>
        <v/>
      </c>
      <c r="C3072" s="198">
        <f>"'INVOCAÇÕES'!O444"</f>
        <v/>
      </c>
      <c r="D3072" s="198" t="inlineStr">
        <is>
          <t>entrada</t>
        </is>
      </c>
    </row>
    <row r="3073">
      <c r="A3073" s="198" t="inlineStr">
        <is>
          <t>invocacao.3.familia.2</t>
        </is>
      </c>
      <c r="B3073" s="198">
        <f>IF(ISBLANK('INVOCAÇÕES'!$P$470),"",'INVOCAÇÕES'!$P$470&amp;"")</f>
        <v/>
      </c>
      <c r="C3073" s="198">
        <f>"'INVOCAÇÕES'!P444"</f>
        <v/>
      </c>
      <c r="D3073" s="198" t="inlineStr">
        <is>
          <t>entrada</t>
        </is>
      </c>
    </row>
    <row r="3074">
      <c r="A3074" s="198" t="inlineStr">
        <is>
          <t>invocacao.3.familia.3</t>
        </is>
      </c>
      <c r="B3074" s="198">
        <f>IF(ISBLANK('INVOCAÇÕES'!$Q$470),"",'INVOCAÇÕES'!$Q$470&amp;"")</f>
        <v/>
      </c>
      <c r="C3074" s="198">
        <f>"'INVOCAÇÕES'!Q444"</f>
        <v/>
      </c>
      <c r="D3074" s="198" t="inlineStr">
        <is>
          <t>entrada</t>
        </is>
      </c>
    </row>
    <row r="3075">
      <c r="A3075" s="198" t="inlineStr">
        <is>
          <t>invocacao.3.familia.4</t>
        </is>
      </c>
      <c r="B3075" s="198">
        <f>IF(ISBLANK('INVOCAÇÕES'!$R$470),"",'INVOCAÇÕES'!$R$470&amp;"")</f>
        <v/>
      </c>
      <c r="C3075" s="198">
        <f>"'INVOCAÇÕES'!R444"</f>
        <v/>
      </c>
      <c r="D3075" s="198" t="inlineStr">
        <is>
          <t>entrada</t>
        </is>
      </c>
    </row>
    <row r="3076">
      <c r="A3076" s="198" t="inlineStr">
        <is>
          <t>invocacao.3.familia.5</t>
        </is>
      </c>
      <c r="B3076" s="198">
        <f>IF(ISBLANK('INVOCAÇÕES'!$S$470),"",'INVOCAÇÕES'!$S$470&amp;"")</f>
        <v/>
      </c>
      <c r="C3076" s="198">
        <f>"'INVOCAÇÕES'!S444"</f>
        <v/>
      </c>
      <c r="D3076" s="198" t="inlineStr">
        <is>
          <t>entrada</t>
        </is>
      </c>
    </row>
    <row r="3077">
      <c r="A3077" s="198" t="inlineStr">
        <is>
          <t>invocacao.3.pericia.1</t>
        </is>
      </c>
      <c r="B3077" s="198">
        <f>IF(ISBLANK('INVOCAÇÕES'!$O$460),"",'INVOCAÇÕES'!$O$460&amp;"")</f>
        <v/>
      </c>
      <c r="C3077" s="198">
        <f>"'INVOCAÇÕES'!O434"</f>
        <v/>
      </c>
      <c r="D3077" s="198" t="inlineStr">
        <is>
          <t>entrada</t>
        </is>
      </c>
    </row>
    <row r="3078">
      <c r="A3078" s="198" t="inlineStr">
        <is>
          <t>invocacao.3.pericia.2</t>
        </is>
      </c>
      <c r="B3078" s="198">
        <f>IF(ISBLANK('INVOCAÇÕES'!$O$461),"",'INVOCAÇÕES'!$O$461&amp;"")</f>
        <v/>
      </c>
      <c r="C3078" s="198">
        <f>"'INVOCAÇÕES'!O435"</f>
        <v/>
      </c>
      <c r="D3078" s="198" t="inlineStr">
        <is>
          <t>entrada</t>
        </is>
      </c>
    </row>
    <row r="3079">
      <c r="A3079" s="198" t="inlineStr">
        <is>
          <t>invocacao.3.pericia.3</t>
        </is>
      </c>
      <c r="B3079" s="198">
        <f>IF(ISBLANK('INVOCAÇÕES'!$O$462),"",'INVOCAÇÕES'!$O$462&amp;"")</f>
        <v/>
      </c>
      <c r="C3079" s="198">
        <f>"'INVOCAÇÕES'!O436"</f>
        <v/>
      </c>
      <c r="D3079" s="198" t="inlineStr">
        <is>
          <t>entrada</t>
        </is>
      </c>
    </row>
    <row r="3080">
      <c r="A3080" s="198" t="inlineStr">
        <is>
          <t>invocacao.3.pericia.4</t>
        </is>
      </c>
      <c r="B3080" s="198">
        <f>IF(ISBLANK('INVOCAÇÕES'!$O$463),"",'INVOCAÇÕES'!$O$463&amp;"")</f>
        <v/>
      </c>
      <c r="C3080" s="198">
        <f>"'INVOCAÇÕES'!O437"</f>
        <v/>
      </c>
      <c r="D3080" s="198" t="inlineStr">
        <is>
          <t>entrada</t>
        </is>
      </c>
    </row>
    <row r="3081">
      <c r="A3081" s="198" t="inlineStr">
        <is>
          <t>invocacao.3.pericia.5</t>
        </is>
      </c>
      <c r="B3081" s="198">
        <f>IF(ISBLANK('INVOCAÇÕES'!$O$464),"",'INVOCAÇÕES'!$O$464&amp;"")</f>
        <v/>
      </c>
      <c r="C3081" s="198">
        <f>"'INVOCAÇÕES'!O438"</f>
        <v/>
      </c>
      <c r="D3081" s="198" t="inlineStr">
        <is>
          <t>entrada</t>
        </is>
      </c>
    </row>
    <row r="3082">
      <c r="A3082" s="198" t="inlineStr">
        <is>
          <t>invocacao.3.pericia.6</t>
        </is>
      </c>
      <c r="B3082" s="198">
        <f>IF(ISBLANK('INVOCAÇÕES'!$O$465),"",'INVOCAÇÕES'!$O$465&amp;"")</f>
        <v/>
      </c>
      <c r="C3082" s="198">
        <f>"'INVOCAÇÕES'!O439"</f>
        <v/>
      </c>
      <c r="D3082" s="198" t="inlineStr">
        <is>
          <t>entrada</t>
        </is>
      </c>
    </row>
    <row r="3083">
      <c r="A3083" s="198" t="inlineStr">
        <is>
          <t>invocacao.3.pericia.7</t>
        </is>
      </c>
      <c r="B3083" s="198">
        <f>IF(ISBLANK('INVOCAÇÕES'!$O$466),"",'INVOCAÇÕES'!$O$466&amp;"")</f>
        <v/>
      </c>
      <c r="C3083" s="198">
        <f>"'INVOCAÇÕES'!O440"</f>
        <v/>
      </c>
      <c r="D3083" s="198" t="inlineStr">
        <is>
          <t>entrada</t>
        </is>
      </c>
    </row>
    <row r="3084">
      <c r="A3084" s="198" t="inlineStr">
        <is>
          <t>invocacao.3.buff.pericia.1</t>
        </is>
      </c>
      <c r="B3084" s="198">
        <f>IF(ISBLANK('INVOCAÇÕES'!$R$460),"",'INVOCAÇÕES'!$R$460&amp;"")</f>
        <v/>
      </c>
      <c r="C3084" s="198">
        <f>"'INVOCAÇÕES'!R434"</f>
        <v/>
      </c>
      <c r="D3084" s="198" t="inlineStr">
        <is>
          <t>entrada</t>
        </is>
      </c>
    </row>
    <row r="3085">
      <c r="A3085" s="198" t="inlineStr">
        <is>
          <t>invocacao.3.buff.pericia.2</t>
        </is>
      </c>
      <c r="B3085" s="198">
        <f>IF(ISBLANK('INVOCAÇÕES'!$R$461),"",'INVOCAÇÕES'!$R$461&amp;"")</f>
        <v/>
      </c>
      <c r="C3085" s="198">
        <f>"'INVOCAÇÕES'!R435"</f>
        <v/>
      </c>
      <c r="D3085" s="198" t="inlineStr">
        <is>
          <t>entrada</t>
        </is>
      </c>
    </row>
    <row r="3086">
      <c r="A3086" s="198" t="inlineStr">
        <is>
          <t>invocacao.3.buff.pericia.3</t>
        </is>
      </c>
      <c r="B3086" s="198">
        <f>IF(ISBLANK('INVOCAÇÕES'!$R$462),"",'INVOCAÇÕES'!$R$462&amp;"")</f>
        <v/>
      </c>
      <c r="C3086" s="198">
        <f>"'INVOCAÇÕES'!R436"</f>
        <v/>
      </c>
      <c r="D3086" s="198" t="inlineStr">
        <is>
          <t>entrada</t>
        </is>
      </c>
    </row>
    <row r="3087">
      <c r="A3087" s="198" t="inlineStr">
        <is>
          <t>invocacao.3.buff.pericia.4</t>
        </is>
      </c>
      <c r="B3087" s="198">
        <f>IF(ISBLANK('INVOCAÇÕES'!$R$463),"",'INVOCAÇÕES'!$R$463&amp;"")</f>
        <v/>
      </c>
      <c r="C3087" s="198">
        <f>"'INVOCAÇÕES'!R437"</f>
        <v/>
      </c>
      <c r="D3087" s="198" t="inlineStr">
        <is>
          <t>entrada</t>
        </is>
      </c>
    </row>
    <row r="3088">
      <c r="A3088" s="198" t="inlineStr">
        <is>
          <t>invocacao.3.buff.pericia.5</t>
        </is>
      </c>
      <c r="B3088" s="198">
        <f>IF(ISBLANK('INVOCAÇÕES'!$R$464),"",'INVOCAÇÕES'!$R$464&amp;"")</f>
        <v/>
      </c>
      <c r="C3088" s="198">
        <f>"'INVOCAÇÕES'!R438"</f>
        <v/>
      </c>
      <c r="D3088" s="198" t="inlineStr">
        <is>
          <t>entrada</t>
        </is>
      </c>
    </row>
    <row r="3089">
      <c r="A3089" s="198" t="inlineStr">
        <is>
          <t>invocacao.3.buff.pericia.6</t>
        </is>
      </c>
      <c r="B3089" s="198">
        <f>IF(ISBLANK('INVOCAÇÕES'!$R$465),"",'INVOCAÇÕES'!$R$465&amp;"")</f>
        <v/>
      </c>
      <c r="C3089" s="198">
        <f>"'INVOCAÇÕES'!R439"</f>
        <v/>
      </c>
      <c r="D3089" s="198" t="inlineStr">
        <is>
          <t>entrada</t>
        </is>
      </c>
    </row>
    <row r="3090">
      <c r="A3090" s="198" t="inlineStr">
        <is>
          <t>invocacao.3.buff.pericia.7</t>
        </is>
      </c>
      <c r="B3090" s="198">
        <f>IF(ISBLANK('INVOCAÇÕES'!$R$466),"",'INVOCAÇÕES'!$R$466&amp;"")</f>
        <v/>
      </c>
      <c r="C3090" s="198">
        <f>"'INVOCAÇÕES'!R440"</f>
        <v/>
      </c>
      <c r="D3090" s="198" t="inlineStr">
        <is>
          <t>entrada</t>
        </is>
      </c>
    </row>
    <row r="3091">
      <c r="A3091" s="198" t="inlineStr">
        <is>
          <t>invocacao.3.talento.1</t>
        </is>
      </c>
      <c r="B3091" s="198">
        <f>IF(ISBLANK('INVOCAÇÕES'!$J$515),"",'INVOCAÇÕES'!$J$515&amp;"")</f>
        <v/>
      </c>
      <c r="C3091" s="198">
        <f>"'INVOCAÇÕES'!J476"</f>
        <v/>
      </c>
      <c r="D3091" s="198" t="inlineStr">
        <is>
          <t>entrada</t>
        </is>
      </c>
    </row>
    <row r="3092">
      <c r="A3092" s="198" t="inlineStr">
        <is>
          <t>invocacao.3.talento.2</t>
        </is>
      </c>
      <c r="B3092" s="198">
        <f>IF(ISBLANK('INVOCAÇÕES'!$J$516),"",'INVOCAÇÕES'!$J$516&amp;"")</f>
        <v/>
      </c>
      <c r="C3092" s="198">
        <f>"'INVOCAÇÕES'!J477"</f>
        <v/>
      </c>
      <c r="D3092" s="198" t="inlineStr">
        <is>
          <t>entrada</t>
        </is>
      </c>
    </row>
    <row r="3093">
      <c r="A3093" s="198" t="inlineStr">
        <is>
          <t>invocacao.3.talento.3</t>
        </is>
      </c>
      <c r="B3093" s="198">
        <f>IF(ISBLANK('INVOCAÇÕES'!$J$517),"",'INVOCAÇÕES'!$J$517&amp;"")</f>
        <v/>
      </c>
      <c r="C3093" s="198">
        <f>"'INVOCAÇÕES'!J478"</f>
        <v/>
      </c>
      <c r="D3093" s="198" t="inlineStr">
        <is>
          <t>entrada</t>
        </is>
      </c>
    </row>
    <row r="3094">
      <c r="A3094" s="198" t="inlineStr">
        <is>
          <t>invocacao.3.talento.4</t>
        </is>
      </c>
      <c r="B3094" s="198">
        <f>IF(ISBLANK('INVOCAÇÕES'!$J$518),"",'INVOCAÇÕES'!$J$518&amp;"")</f>
        <v/>
      </c>
      <c r="C3094" s="198">
        <f>"'INVOCAÇÕES'!J479"</f>
        <v/>
      </c>
      <c r="D3094" s="198" t="inlineStr">
        <is>
          <t>entrada</t>
        </is>
      </c>
    </row>
    <row r="3095">
      <c r="A3095" s="198" t="inlineStr">
        <is>
          <t>invocacao.3.talento.5</t>
        </is>
      </c>
      <c r="B3095" s="198">
        <f>IF(ISBLANK('INVOCAÇÕES'!$J$519),"",'INVOCAÇÕES'!$J$519&amp;"")</f>
        <v/>
      </c>
      <c r="C3095" s="198">
        <f>"'INVOCAÇÕES'!J480"</f>
        <v/>
      </c>
      <c r="D3095" s="198" t="inlineStr">
        <is>
          <t>entrada</t>
        </is>
      </c>
    </row>
    <row r="3096">
      <c r="A3096" s="198" t="inlineStr">
        <is>
          <t>invocacao.3.talento.6</t>
        </is>
      </c>
      <c r="B3096" s="198">
        <f>IF(ISBLANK('INVOCAÇÕES'!$J$520),"",'INVOCAÇÕES'!$J$520&amp;"")</f>
        <v/>
      </c>
      <c r="C3096" s="198">
        <f>"'INVOCAÇÕES'!J481"</f>
        <v/>
      </c>
      <c r="D3096" s="198" t="inlineStr">
        <is>
          <t>entrada</t>
        </is>
      </c>
    </row>
    <row r="3097">
      <c r="A3097" s="198" t="inlineStr">
        <is>
          <t>invocacao.3.talento.7</t>
        </is>
      </c>
      <c r="B3097" s="198">
        <f>IF(ISBLANK('INVOCAÇÕES'!$J$521),"",'INVOCAÇÕES'!$J$521&amp;"")</f>
        <v/>
      </c>
      <c r="C3097" s="198">
        <f>"'INVOCAÇÕES'!J482"</f>
        <v/>
      </c>
      <c r="D3097" s="198" t="inlineStr">
        <is>
          <t>entrada</t>
        </is>
      </c>
    </row>
    <row r="3098">
      <c r="A3098" s="198" t="inlineStr">
        <is>
          <t>invocacao.3.talento.8</t>
        </is>
      </c>
      <c r="B3098" s="198">
        <f>IF(ISBLANK('INVOCAÇÕES'!$J$522),"",'INVOCAÇÕES'!$J$522&amp;"")</f>
        <v/>
      </c>
      <c r="C3098" s="198">
        <f>"'INVOCAÇÕES'!J483"</f>
        <v/>
      </c>
      <c r="D3098" s="198" t="inlineStr">
        <is>
          <t>entrada</t>
        </is>
      </c>
    </row>
    <row r="3099">
      <c r="A3099" s="198" t="inlineStr">
        <is>
          <t>invocacao.3.talento_extra.1</t>
        </is>
      </c>
      <c r="B3099" s="198">
        <f>IF(ISBLANK('INVOCAÇÕES'!$J$617),"",'INVOCAÇÕES'!$J$617&amp;"")</f>
        <v/>
      </c>
      <c r="C3099" s="198">
        <f>"'INVOCAÇÕES'!J578"</f>
        <v/>
      </c>
      <c r="D3099" s="198" t="inlineStr">
        <is>
          <t>entrada</t>
        </is>
      </c>
    </row>
    <row r="3100">
      <c r="A3100" s="198" t="inlineStr">
        <is>
          <t>invocacao.3.talento_extra.2</t>
        </is>
      </c>
      <c r="B3100" s="198">
        <f>IF(ISBLANK('INVOCAÇÕES'!$J$618),"",'INVOCAÇÕES'!$J$618&amp;"")</f>
        <v/>
      </c>
      <c r="C3100" s="198">
        <f>"'INVOCAÇÕES'!J579"</f>
        <v/>
      </c>
      <c r="D3100" s="198" t="inlineStr">
        <is>
          <t>entrada</t>
        </is>
      </c>
    </row>
    <row r="3101">
      <c r="A3101" s="198" t="inlineStr">
        <is>
          <t>invocacao.3.talento_extra.3</t>
        </is>
      </c>
      <c r="B3101" s="198">
        <f>IF(ISBLANK('INVOCAÇÕES'!$J$619),"",'INVOCAÇÕES'!$J$619&amp;"")</f>
        <v/>
      </c>
      <c r="C3101" s="198">
        <f>"'INVOCAÇÕES'!J580"</f>
        <v/>
      </c>
      <c r="D3101" s="198" t="inlineStr">
        <is>
          <t>entrada</t>
        </is>
      </c>
    </row>
    <row r="3102">
      <c r="A3102" s="198" t="inlineStr">
        <is>
          <t>invocacao.3.equipamento.1</t>
        </is>
      </c>
      <c r="B3102" s="198">
        <f>IF(ISBLANK('INVOCAÇÕES'!$V$455),"",'INVOCAÇÕES'!$V$455&amp;"")</f>
        <v/>
      </c>
      <c r="C3102" s="198">
        <f>"'INVOCAÇÕES'!V429"</f>
        <v/>
      </c>
      <c r="D3102" s="198" t="inlineStr">
        <is>
          <t>entrada</t>
        </is>
      </c>
    </row>
    <row r="3103">
      <c r="A3103" s="198" t="inlineStr">
        <is>
          <t>invocacao.3.equipamento.2</t>
        </is>
      </c>
      <c r="B3103" s="198">
        <f>IF(ISBLANK('INVOCAÇÕES'!$V$456),"",'INVOCAÇÕES'!$V$456&amp;"")</f>
        <v/>
      </c>
      <c r="C3103" s="198">
        <f>"'INVOCAÇÕES'!V430"</f>
        <v/>
      </c>
      <c r="D3103" s="198" t="inlineStr">
        <is>
          <t>entrada</t>
        </is>
      </c>
    </row>
    <row r="3104">
      <c r="A3104" s="198" t="inlineStr">
        <is>
          <t>invocacao.3.equipamento.3</t>
        </is>
      </c>
      <c r="B3104" s="198">
        <f>IF(ISBLANK('INVOCAÇÕES'!$V$457),"",'INVOCAÇÕES'!$V$457&amp;"")</f>
        <v/>
      </c>
      <c r="C3104" s="198">
        <f>"'INVOCAÇÕES'!V431"</f>
        <v/>
      </c>
      <c r="D3104" s="198" t="inlineStr">
        <is>
          <t>entrada</t>
        </is>
      </c>
    </row>
    <row r="3105">
      <c r="A3105" s="198" t="inlineStr">
        <is>
          <t>invocacao.3.liberacao.1.classe</t>
        </is>
      </c>
      <c r="B3105" s="198">
        <f>IF(ISBLANK('INVOCAÇÕES'!$I$624),"",'INVOCAÇÕES'!$I$624&amp;"")</f>
        <v/>
      </c>
      <c r="C3105" s="198">
        <f>"'INVOCAÇÕES'!I585"</f>
        <v/>
      </c>
      <c r="D3105" s="198" t="inlineStr">
        <is>
          <t>entrada</t>
        </is>
      </c>
    </row>
    <row r="3106">
      <c r="A3106" s="198" t="inlineStr">
        <is>
          <t>invocacao.3.liberacao.1.nome</t>
        </is>
      </c>
      <c r="B3106" s="198">
        <f>IF(ISBLANK('INVOCAÇÕES'!$J$624),"",'INVOCAÇÕES'!$J$624&amp;"")</f>
        <v/>
      </c>
      <c r="C3106" s="198">
        <f>"'INVOCAÇÕES'!J585"</f>
        <v/>
      </c>
      <c r="D3106" s="198" t="inlineStr">
        <is>
          <t>entrada</t>
        </is>
      </c>
    </row>
    <row r="3107">
      <c r="A3107" s="198" t="inlineStr">
        <is>
          <t>invocacao.3.liberacao.1.pe</t>
        </is>
      </c>
      <c r="B3107" s="198">
        <f>IF(ISBLANK('INVOCAÇÕES'!$M$624),"",'INVOCAÇÕES'!$M$624&amp;"")</f>
        <v/>
      </c>
      <c r="C3107" s="198">
        <f>"'INVOCAÇÕES'!M585"</f>
        <v/>
      </c>
      <c r="D3107" s="198" t="inlineStr">
        <is>
          <t>resultado</t>
        </is>
      </c>
    </row>
    <row r="3108">
      <c r="A3108" s="198" t="inlineStr">
        <is>
          <t>invocacao.3.liberacao.1.como</t>
        </is>
      </c>
      <c r="B3108" s="198">
        <f>IF(ISBLANK('INVOCAÇÕES'!$I$625),"",'INVOCAÇÕES'!$I$625&amp;"")</f>
        <v/>
      </c>
      <c r="C3108" s="198">
        <f>"'INVOCAÇÕES'!I586"</f>
        <v/>
      </c>
      <c r="D3108" s="198" t="inlineStr">
        <is>
          <t>entrada</t>
        </is>
      </c>
    </row>
    <row r="3109">
      <c r="A3109" s="198" t="inlineStr">
        <is>
          <t>invocacao.3.liberacao.1.pontos</t>
        </is>
      </c>
      <c r="B3109" s="198">
        <f>IF(ISBLANK('INVOCAÇÕES'!$I$629),"",'INVOCAÇÕES'!$I$629&amp;"")</f>
        <v/>
      </c>
      <c r="C3109" s="198">
        <f>"'INVOCAÇÕES'!I590"</f>
        <v/>
      </c>
      <c r="D3109" s="198" t="inlineStr">
        <is>
          <t>resultado</t>
        </is>
      </c>
    </row>
    <row r="3110">
      <c r="A3110" s="198" t="inlineStr">
        <is>
          <t>invocacao.3.liberacao.1.acao</t>
        </is>
      </c>
      <c r="B3110" s="198">
        <f>IF(ISBLANK('INVOCAÇÕES'!$I$630),"",'INVOCAÇÕES'!$I$630&amp;"")</f>
        <v/>
      </c>
      <c r="C3110" s="198">
        <f>"'INVOCAÇÕES'!I591"</f>
        <v/>
      </c>
      <c r="D3110" s="198" t="inlineStr">
        <is>
          <t>resultado</t>
        </is>
      </c>
    </row>
    <row r="3111">
      <c r="A3111" s="198" t="inlineStr">
        <is>
          <t>invocacao.3.liberacao.2.classe</t>
        </is>
      </c>
      <c r="B3111" s="198">
        <f>IF(ISBLANK('INVOCAÇÕES'!$O$624),"",'INVOCAÇÕES'!$O$624&amp;"")</f>
        <v/>
      </c>
      <c r="C3111" s="198">
        <f>"'INVOCAÇÕES'!O585"</f>
        <v/>
      </c>
      <c r="D3111" s="198" t="inlineStr">
        <is>
          <t>entrada</t>
        </is>
      </c>
    </row>
    <row r="3112">
      <c r="A3112" s="198" t="inlineStr">
        <is>
          <t>invocacao.3.liberacao.2.nome</t>
        </is>
      </c>
      <c r="B3112" s="198">
        <f>IF(ISBLANK('INVOCAÇÕES'!$P$624),"",'INVOCAÇÕES'!$P$624&amp;"")</f>
        <v/>
      </c>
      <c r="C3112" s="198">
        <f>"'INVOCAÇÕES'!P585"</f>
        <v/>
      </c>
      <c r="D3112" s="198" t="inlineStr">
        <is>
          <t>entrada</t>
        </is>
      </c>
    </row>
    <row r="3113">
      <c r="A3113" s="198" t="inlineStr">
        <is>
          <t>invocacao.3.liberacao.2.pe</t>
        </is>
      </c>
      <c r="B3113" s="198">
        <f>IF(ISBLANK('INVOCAÇÕES'!$S$624),"",'INVOCAÇÕES'!$S$624&amp;"")</f>
        <v/>
      </c>
      <c r="C3113" s="198">
        <f>"'INVOCAÇÕES'!S585"</f>
        <v/>
      </c>
      <c r="D3113" s="198" t="inlineStr">
        <is>
          <t>resultado</t>
        </is>
      </c>
    </row>
    <row r="3114">
      <c r="A3114" s="198" t="inlineStr">
        <is>
          <t>invocacao.3.liberacao.2.como</t>
        </is>
      </c>
      <c r="B3114" s="198">
        <f>IF(ISBLANK('INVOCAÇÕES'!$O$625),"",'INVOCAÇÕES'!$O$625&amp;"")</f>
        <v/>
      </c>
      <c r="C3114" s="198">
        <f>"'INVOCAÇÕES'!O586"</f>
        <v/>
      </c>
      <c r="D3114" s="198" t="inlineStr">
        <is>
          <t>entrada</t>
        </is>
      </c>
    </row>
    <row r="3115">
      <c r="A3115" s="198" t="inlineStr">
        <is>
          <t>invocacao.3.liberacao.2.pontos</t>
        </is>
      </c>
      <c r="B3115" s="198">
        <f>IF(ISBLANK('INVOCAÇÕES'!$O$629),"",'INVOCAÇÕES'!$O$629&amp;"")</f>
        <v/>
      </c>
      <c r="C3115" s="198">
        <f>"'INVOCAÇÕES'!O590"</f>
        <v/>
      </c>
      <c r="D3115" s="198" t="inlineStr">
        <is>
          <t>resultado</t>
        </is>
      </c>
    </row>
    <row r="3116">
      <c r="A3116" s="198" t="inlineStr">
        <is>
          <t>invocacao.3.liberacao.2.acao</t>
        </is>
      </c>
      <c r="B3116" s="198">
        <f>IF(ISBLANK('INVOCAÇÕES'!$O$630),"",'INVOCAÇÕES'!$O$630&amp;"")</f>
        <v/>
      </c>
      <c r="C3116" s="198">
        <f>"'INVOCAÇÕES'!O591"</f>
        <v/>
      </c>
      <c r="D3116" s="198" t="inlineStr">
        <is>
          <t>resultado</t>
        </is>
      </c>
    </row>
    <row r="3117">
      <c r="A3117" s="198" t="inlineStr">
        <is>
          <t>invocacao.3.liberacao.3.classe</t>
        </is>
      </c>
      <c r="B3117" s="198">
        <f>IF(ISBLANK('INVOCAÇÕES'!$U$624),"",'INVOCAÇÕES'!$U$624&amp;"")</f>
        <v/>
      </c>
      <c r="C3117" s="198">
        <f>"'INVOCAÇÕES'!U585"</f>
        <v/>
      </c>
      <c r="D3117" s="198" t="inlineStr">
        <is>
          <t>entrada</t>
        </is>
      </c>
    </row>
    <row r="3118">
      <c r="A3118" s="198" t="inlineStr">
        <is>
          <t>invocacao.3.liberacao.3.nome</t>
        </is>
      </c>
      <c r="B3118" s="198">
        <f>IF(ISBLANK('INVOCAÇÕES'!$V$624),"",'INVOCAÇÕES'!$V$624&amp;"")</f>
        <v/>
      </c>
      <c r="C3118" s="198">
        <f>"'INVOCAÇÕES'!V585"</f>
        <v/>
      </c>
      <c r="D3118" s="198" t="inlineStr">
        <is>
          <t>entrada</t>
        </is>
      </c>
    </row>
    <row r="3119">
      <c r="A3119" s="198" t="inlineStr">
        <is>
          <t>invocacao.3.liberacao.3.pe</t>
        </is>
      </c>
      <c r="B3119" s="198">
        <f>IF(ISBLANK('INVOCAÇÕES'!$Y$624),"",'INVOCAÇÕES'!$Y$624&amp;"")</f>
        <v/>
      </c>
      <c r="C3119" s="198">
        <f>"'INVOCAÇÕES'!Y585"</f>
        <v/>
      </c>
      <c r="D3119" s="198" t="inlineStr">
        <is>
          <t>resultado</t>
        </is>
      </c>
    </row>
    <row r="3120">
      <c r="A3120" s="198" t="inlineStr">
        <is>
          <t>invocacao.3.liberacao.3.como</t>
        </is>
      </c>
      <c r="B3120" s="198">
        <f>IF(ISBLANK('INVOCAÇÕES'!$U$625),"",'INVOCAÇÕES'!$U$625&amp;"")</f>
        <v/>
      </c>
      <c r="C3120" s="198">
        <f>"'INVOCAÇÕES'!U586"</f>
        <v/>
      </c>
      <c r="D3120" s="198" t="inlineStr">
        <is>
          <t>entrada</t>
        </is>
      </c>
    </row>
    <row r="3121">
      <c r="A3121" s="198" t="inlineStr">
        <is>
          <t>invocacao.3.liberacao.3.pontos</t>
        </is>
      </c>
      <c r="B3121" s="198">
        <f>IF(ISBLANK('INVOCAÇÕES'!$U$629),"",'INVOCAÇÕES'!$U$629&amp;"")</f>
        <v/>
      </c>
      <c r="C3121" s="198">
        <f>"'INVOCAÇÕES'!U590"</f>
        <v/>
      </c>
      <c r="D3121" s="198" t="inlineStr">
        <is>
          <t>resultado</t>
        </is>
      </c>
    </row>
    <row r="3122">
      <c r="A3122" s="198" t="inlineStr">
        <is>
          <t>invocacao.3.liberacao.3.acao</t>
        </is>
      </c>
      <c r="B3122" s="198">
        <f>IF(ISBLANK('INVOCAÇÕES'!$U$630),"",'INVOCAÇÕES'!$U$630&amp;"")</f>
        <v/>
      </c>
      <c r="C3122" s="198">
        <f>"'INVOCAÇÕES'!U591"</f>
        <v/>
      </c>
      <c r="D3122" s="198" t="inlineStr">
        <is>
          <t>resultado</t>
        </is>
      </c>
    </row>
    <row r="3123">
      <c r="A3123" s="198" t="inlineStr">
        <is>
          <t>invocacao.3.tm.nome</t>
        </is>
      </c>
      <c r="B3123" s="198">
        <f>IF(ISBLANK('INVOCAÇÕES'!$I$633),"",'INVOCAÇÕES'!$I$633&amp;"")</f>
        <v/>
      </c>
      <c r="C3123" s="198">
        <f>"'INVOCAÇÕES'!I594"</f>
        <v/>
      </c>
      <c r="D3123" s="198" t="inlineStr">
        <is>
          <t>entrada</t>
        </is>
      </c>
    </row>
    <row r="3124">
      <c r="A3124" s="198" t="inlineStr">
        <is>
          <t>invocacao.3.tm.pe</t>
        </is>
      </c>
      <c r="B3124" s="198">
        <f>IF(ISBLANK('INVOCAÇÕES'!$M$633),"",'INVOCAÇÕES'!$M$633&amp;"")</f>
        <v/>
      </c>
      <c r="C3124" s="198">
        <f>"'INVOCAÇÕES'!M594"</f>
        <v/>
      </c>
      <c r="D3124" s="198" t="inlineStr">
        <is>
          <t>resultado</t>
        </is>
      </c>
    </row>
    <row r="3125">
      <c r="A3125" s="198" t="inlineStr">
        <is>
          <t>invocacao.3.tm.como</t>
        </is>
      </c>
      <c r="B3125" s="198">
        <f>IF(ISBLANK('INVOCAÇÕES'!$I$634),"",'INVOCAÇÕES'!$I$634&amp;"")</f>
        <v/>
      </c>
      <c r="C3125" s="198">
        <f>"'INVOCAÇÕES'!I595"</f>
        <v/>
      </c>
      <c r="D3125" s="198" t="inlineStr">
        <is>
          <t>entrada</t>
        </is>
      </c>
    </row>
    <row r="3126">
      <c r="A3126" s="198" t="inlineStr">
        <is>
          <t>invocacao.3.tm.dados</t>
        </is>
      </c>
      <c r="B3126" s="198">
        <f>IF(ISBLANK('INVOCAÇÕES'!$I$638),"",'INVOCAÇÕES'!$I$638&amp;"")</f>
        <v/>
      </c>
      <c r="C3126" s="198">
        <f>"'INVOCAÇÕES'!I599"</f>
        <v/>
      </c>
      <c r="D3126" s="198" t="inlineStr">
        <is>
          <t>resultado</t>
        </is>
      </c>
    </row>
    <row r="3127">
      <c r="A3127" s="198" t="inlineStr">
        <is>
          <t>invocacao.3.tm.acao</t>
        </is>
      </c>
      <c r="B3127" s="198">
        <f>IF(ISBLANK('INVOCAÇÕES'!$I$639),"",'INVOCAÇÕES'!$I$639&amp;"")</f>
        <v/>
      </c>
      <c r="C3127" s="198">
        <f>"'INVOCAÇÕES'!I600"</f>
        <v/>
      </c>
      <c r="D3127" s="198" t="inlineStr">
        <is>
          <t>resultado</t>
        </is>
      </c>
    </row>
    <row r="3128">
      <c r="A3128" s="198" t="inlineStr">
        <is>
          <t>invocacao.3.exp.nome</t>
        </is>
      </c>
      <c r="B3128" s="198">
        <f>IF(ISBLANK('INVOCAÇÕES'!$O$633),"",'INVOCAÇÕES'!$O$633&amp;"")</f>
        <v/>
      </c>
      <c r="C3128" s="198">
        <f>"'INVOCAÇÕES'!O594"</f>
        <v/>
      </c>
      <c r="D3128" s="198" t="inlineStr">
        <is>
          <t>entrada</t>
        </is>
      </c>
    </row>
    <row r="3129">
      <c r="A3129" s="198" t="inlineStr">
        <is>
          <t>invocacao.3.exp.pe</t>
        </is>
      </c>
      <c r="B3129" s="198">
        <f>IF(ISBLANK('INVOCAÇÕES'!$S$633),"",'INVOCAÇÕES'!$S$633&amp;"")</f>
        <v/>
      </c>
      <c r="C3129" s="198">
        <f>"'INVOCAÇÕES'!S594"</f>
        <v/>
      </c>
      <c r="D3129" s="198" t="inlineStr">
        <is>
          <t>resultado</t>
        </is>
      </c>
    </row>
    <row r="3130">
      <c r="A3130" s="198" t="inlineStr">
        <is>
          <t>invocacao.3.exp.como</t>
        </is>
      </c>
      <c r="B3130" s="198">
        <f>IF(ISBLANK('INVOCAÇÕES'!$O$634),"",'INVOCAÇÕES'!$O$634&amp;"")</f>
        <v/>
      </c>
      <c r="C3130" s="198">
        <f>"'INVOCAÇÕES'!O595"</f>
        <v/>
      </c>
      <c r="D3130" s="198" t="inlineStr">
        <is>
          <t>entrada</t>
        </is>
      </c>
    </row>
    <row r="3131">
      <c r="A3131" s="198" t="inlineStr">
        <is>
          <t>invocacao.3.exp.degrau</t>
        </is>
      </c>
      <c r="B3131" s="198">
        <f>IF(ISBLANK('INVOCAÇÕES'!$O$638),"",'INVOCAÇÕES'!$O$638&amp;"")</f>
        <v/>
      </c>
      <c r="C3131" s="198">
        <f>"'INVOCAÇÕES'!O599"</f>
        <v/>
      </c>
      <c r="D3131" s="198" t="inlineStr">
        <is>
          <t>entrada</t>
        </is>
      </c>
    </row>
    <row r="3132">
      <c r="A3132" s="198" t="inlineStr">
        <is>
          <t>invocacao.3.exp.acerto</t>
        </is>
      </c>
      <c r="B3132" s="198">
        <f>IF(ISBLANK('INVOCAÇÕES'!$Q$638),"",'INVOCAÇÕES'!$Q$638&amp;"")</f>
        <v/>
      </c>
      <c r="C3132" s="198">
        <f>"'INVOCAÇÕES'!Q599"</f>
        <v/>
      </c>
      <c r="D3132" s="198" t="inlineStr">
        <is>
          <t>entrada</t>
        </is>
      </c>
    </row>
    <row r="3133">
      <c r="A3133" s="198" t="inlineStr">
        <is>
          <t>invocacao.3.exp.pede</t>
        </is>
      </c>
      <c r="B3133" s="198">
        <f>IF(ISBLANK('INVOCAÇÕES'!$O$639),"",'INVOCAÇÕES'!$O$639&amp;"")</f>
        <v/>
      </c>
      <c r="C3133" s="198">
        <f>"'INVOCAÇÕES'!O600"</f>
        <v/>
      </c>
      <c r="D3133" s="198" t="inlineStr">
        <is>
          <t>resultado</t>
        </is>
      </c>
    </row>
    <row r="3134">
      <c r="A3134" s="198" t="inlineStr">
        <is>
          <t>invocacao.4.atributo.forca.base</t>
        </is>
      </c>
      <c r="B3134" s="198">
        <f>IF(ISBLANK('INVOCAÇÕES'!$O$653),"",'INVOCAÇÕES'!$O$653&amp;"")</f>
        <v/>
      </c>
      <c r="C3134" s="198">
        <f>"'INVOCAÇÕES'!O614"</f>
        <v/>
      </c>
      <c r="D3134" s="198" t="inlineStr">
        <is>
          <t>entrada</t>
        </is>
      </c>
    </row>
    <row r="3135">
      <c r="A3135" s="198" t="inlineStr">
        <is>
          <t>invocacao.4.atributo.forca.buff</t>
        </is>
      </c>
      <c r="B3135" s="198">
        <f>IF(ISBLANK('INVOCAÇÕES'!$O$654),"",'INVOCAÇÕES'!$O$654&amp;"")</f>
        <v/>
      </c>
      <c r="C3135" s="198">
        <f>"'INVOCAÇÕES'!O615"</f>
        <v/>
      </c>
      <c r="D3135" s="198" t="inlineStr">
        <is>
          <t>entrada</t>
        </is>
      </c>
    </row>
    <row r="3136">
      <c r="A3136" s="198" t="inlineStr">
        <is>
          <t>invocacao.4.atributo.forca.total</t>
        </is>
      </c>
      <c r="B3136" s="198">
        <f>IF(ISBLANK('INVOCAÇÕES'!$O$651),"",'INVOCAÇÕES'!$O$651&amp;"")</f>
        <v/>
      </c>
      <c r="C3136" s="198">
        <f>"'INVOCAÇÕES'!O612"</f>
        <v/>
      </c>
      <c r="D3136" s="198" t="inlineStr">
        <is>
          <t>resultado</t>
        </is>
      </c>
    </row>
    <row r="3137">
      <c r="A3137" s="198" t="inlineStr">
        <is>
          <t>invocacao.4.atributo.destreza.base</t>
        </is>
      </c>
      <c r="B3137" s="198">
        <f>IF(ISBLANK('INVOCAÇÕES'!$P$653),"",'INVOCAÇÕES'!$P$653&amp;"")</f>
        <v/>
      </c>
      <c r="C3137" s="198">
        <f>"'INVOCAÇÕES'!P614"</f>
        <v/>
      </c>
      <c r="D3137" s="198" t="inlineStr">
        <is>
          <t>entrada</t>
        </is>
      </c>
    </row>
    <row r="3138">
      <c r="A3138" s="198" t="inlineStr">
        <is>
          <t>invocacao.4.atributo.destreza.buff</t>
        </is>
      </c>
      <c r="B3138" s="198">
        <f>IF(ISBLANK('INVOCAÇÕES'!$P$654),"",'INVOCAÇÕES'!$P$654&amp;"")</f>
        <v/>
      </c>
      <c r="C3138" s="198">
        <f>"'INVOCAÇÕES'!P615"</f>
        <v/>
      </c>
      <c r="D3138" s="198" t="inlineStr">
        <is>
          <t>entrada</t>
        </is>
      </c>
    </row>
    <row r="3139">
      <c r="A3139" s="198" t="inlineStr">
        <is>
          <t>invocacao.4.atributo.destreza.total</t>
        </is>
      </c>
      <c r="B3139" s="198">
        <f>IF(ISBLANK('INVOCAÇÕES'!$P$651),"",'INVOCAÇÕES'!$P$651&amp;"")</f>
        <v/>
      </c>
      <c r="C3139" s="198">
        <f>"'INVOCAÇÕES'!P612"</f>
        <v/>
      </c>
      <c r="D3139" s="198" t="inlineStr">
        <is>
          <t>resultado</t>
        </is>
      </c>
    </row>
    <row r="3140">
      <c r="A3140" s="198" t="inlineStr">
        <is>
          <t>invocacao.4.atributo.constituicao.base</t>
        </is>
      </c>
      <c r="B3140" s="198">
        <f>IF(ISBLANK('INVOCAÇÕES'!$Q$653),"",'INVOCAÇÕES'!$Q$653&amp;"")</f>
        <v/>
      </c>
      <c r="C3140" s="198">
        <f>"'INVOCAÇÕES'!Q614"</f>
        <v/>
      </c>
      <c r="D3140" s="198" t="inlineStr">
        <is>
          <t>entrada</t>
        </is>
      </c>
    </row>
    <row r="3141">
      <c r="A3141" s="198" t="inlineStr">
        <is>
          <t>invocacao.4.atributo.constituicao.buff</t>
        </is>
      </c>
      <c r="B3141" s="198">
        <f>IF(ISBLANK('INVOCAÇÕES'!$Q$654),"",'INVOCAÇÕES'!$Q$654&amp;"")</f>
        <v/>
      </c>
      <c r="C3141" s="198">
        <f>"'INVOCAÇÕES'!Q615"</f>
        <v/>
      </c>
      <c r="D3141" s="198" t="inlineStr">
        <is>
          <t>entrada</t>
        </is>
      </c>
    </row>
    <row r="3142">
      <c r="A3142" s="198" t="inlineStr">
        <is>
          <t>invocacao.4.atributo.constituicao.total</t>
        </is>
      </c>
      <c r="B3142" s="198">
        <f>IF(ISBLANK('INVOCAÇÕES'!$Q$651),"",'INVOCAÇÕES'!$Q$651&amp;"")</f>
        <v/>
      </c>
      <c r="C3142" s="198">
        <f>"'INVOCAÇÕES'!Q612"</f>
        <v/>
      </c>
      <c r="D3142" s="198" t="inlineStr">
        <is>
          <t>resultado</t>
        </is>
      </c>
    </row>
    <row r="3143">
      <c r="A3143" s="198" t="inlineStr">
        <is>
          <t>invocacao.4.atributo.inteligencia.base</t>
        </is>
      </c>
      <c r="B3143" s="198">
        <f>IF(ISBLANK('INVOCAÇÕES'!$R$653),"",'INVOCAÇÕES'!$R$653&amp;"")</f>
        <v/>
      </c>
      <c r="C3143" s="198">
        <f>"'INVOCAÇÕES'!R614"</f>
        <v/>
      </c>
      <c r="D3143" s="198" t="inlineStr">
        <is>
          <t>entrada</t>
        </is>
      </c>
    </row>
    <row r="3144">
      <c r="A3144" s="198" t="inlineStr">
        <is>
          <t>invocacao.4.atributo.inteligencia.buff</t>
        </is>
      </c>
      <c r="B3144" s="198">
        <f>IF(ISBLANK('INVOCAÇÕES'!$R$654),"",'INVOCAÇÕES'!$R$654&amp;"")</f>
        <v/>
      </c>
      <c r="C3144" s="198">
        <f>"'INVOCAÇÕES'!R615"</f>
        <v/>
      </c>
      <c r="D3144" s="198" t="inlineStr">
        <is>
          <t>entrada</t>
        </is>
      </c>
    </row>
    <row r="3145">
      <c r="A3145" s="198" t="inlineStr">
        <is>
          <t>invocacao.4.atributo.inteligencia.total</t>
        </is>
      </c>
      <c r="B3145" s="198">
        <f>IF(ISBLANK('INVOCAÇÕES'!$R$651),"",'INVOCAÇÕES'!$R$651&amp;"")</f>
        <v/>
      </c>
      <c r="C3145" s="198">
        <f>"'INVOCAÇÕES'!R612"</f>
        <v/>
      </c>
      <c r="D3145" s="198" t="inlineStr">
        <is>
          <t>resultado</t>
        </is>
      </c>
    </row>
    <row r="3146">
      <c r="A3146" s="198" t="inlineStr">
        <is>
          <t>invocacao.4.atributo.essencia.base</t>
        </is>
      </c>
      <c r="B3146" s="198">
        <f>IF(ISBLANK('INVOCAÇÕES'!$S$653),"",'INVOCAÇÕES'!$S$653&amp;"")</f>
        <v/>
      </c>
      <c r="C3146" s="198">
        <f>"'INVOCAÇÕES'!S614"</f>
        <v/>
      </c>
      <c r="D3146" s="198" t="inlineStr">
        <is>
          <t>entrada</t>
        </is>
      </c>
    </row>
    <row r="3147">
      <c r="A3147" s="198" t="inlineStr">
        <is>
          <t>invocacao.4.atributo.essencia.buff</t>
        </is>
      </c>
      <c r="B3147" s="198">
        <f>IF(ISBLANK('INVOCAÇÕES'!$S$654),"",'INVOCAÇÕES'!$S$654&amp;"")</f>
        <v/>
      </c>
      <c r="C3147" s="198">
        <f>"'INVOCAÇÕES'!S615"</f>
        <v/>
      </c>
      <c r="D3147" s="198" t="inlineStr">
        <is>
          <t>entrada</t>
        </is>
      </c>
    </row>
    <row r="3148">
      <c r="A3148" s="198" t="inlineStr">
        <is>
          <t>invocacao.4.atributo.essencia.total</t>
        </is>
      </c>
      <c r="B3148" s="198">
        <f>IF(ISBLANK('INVOCAÇÕES'!$S$651),"",'INVOCAÇÕES'!$S$651&amp;"")</f>
        <v/>
      </c>
      <c r="C3148" s="198">
        <f>"'INVOCAÇÕES'!S612"</f>
        <v/>
      </c>
      <c r="D3148" s="198" t="inlineStr">
        <is>
          <t>resultado</t>
        </is>
      </c>
    </row>
    <row r="3149">
      <c r="A3149" s="198" t="inlineStr">
        <is>
          <t>invocacao.4.buff.acerto</t>
        </is>
      </c>
      <c r="B3149" s="198">
        <f>IF(ISBLANK('INVOCAÇÕES'!$O$659),"",'INVOCAÇÕES'!$O$659&amp;"")</f>
        <v/>
      </c>
      <c r="C3149" s="198">
        <f>"'INVOCAÇÕES'!O620"</f>
        <v/>
      </c>
      <c r="D3149" s="198" t="inlineStr">
        <is>
          <t>entrada</t>
        </is>
      </c>
    </row>
    <row r="3150">
      <c r="A3150" s="198" t="inlineStr">
        <is>
          <t>invocacao.4.buff.cd</t>
        </is>
      </c>
      <c r="B3150" s="198">
        <f>IF(ISBLANK('INVOCAÇÕES'!$P$659),"",'INVOCAÇÕES'!$P$659&amp;"")</f>
        <v/>
      </c>
      <c r="C3150" s="198">
        <f>"'INVOCAÇÕES'!P620"</f>
        <v/>
      </c>
      <c r="D3150" s="198" t="inlineStr">
        <is>
          <t>entrada</t>
        </is>
      </c>
    </row>
    <row r="3151">
      <c r="A3151" s="198" t="inlineStr">
        <is>
          <t>invocacao.4.buff.defesa</t>
        </is>
      </c>
      <c r="B3151" s="198">
        <f>IF(ISBLANK('INVOCAÇÕES'!$Q$659),"",'INVOCAÇÕES'!$Q$659&amp;"")</f>
        <v/>
      </c>
      <c r="C3151" s="198">
        <f>"'INVOCAÇÕES'!Q620"</f>
        <v/>
      </c>
      <c r="D3151" s="198" t="inlineStr">
        <is>
          <t>entrada</t>
        </is>
      </c>
    </row>
    <row r="3152">
      <c r="A3152" s="198" t="inlineStr">
        <is>
          <t>invocacao.4.buff.vida</t>
        </is>
      </c>
      <c r="B3152" s="198">
        <f>IF(ISBLANK('INVOCAÇÕES'!$R$659),"",'INVOCAÇÕES'!$R$659&amp;"")</f>
        <v/>
      </c>
      <c r="C3152" s="198">
        <f>"'INVOCAÇÕES'!R620"</f>
        <v/>
      </c>
      <c r="D3152" s="198" t="inlineStr">
        <is>
          <t>entrada</t>
        </is>
      </c>
    </row>
    <row r="3153">
      <c r="A3153" s="198" t="inlineStr">
        <is>
          <t>invocacao.4.buff.deslocamento</t>
        </is>
      </c>
      <c r="B3153" s="198">
        <f>IF(ISBLANK('INVOCAÇÕES'!$S$659),"",'INVOCAÇÕES'!$S$659&amp;"")</f>
        <v/>
      </c>
      <c r="C3153" s="198">
        <f>"'INVOCAÇÕES'!S620"</f>
        <v/>
      </c>
      <c r="D3153" s="198" t="inlineStr">
        <is>
          <t>entrada</t>
        </is>
      </c>
    </row>
    <row r="3154">
      <c r="A3154" s="198" t="inlineStr">
        <is>
          <t>invocacao.4.buff.tr.fisico</t>
        </is>
      </c>
      <c r="B3154" s="198">
        <f>IF(ISBLANK('INVOCAÇÕES'!$O$664),"",'INVOCAÇÕES'!$O$664&amp;"")</f>
        <v/>
      </c>
      <c r="C3154" s="198">
        <f>"'INVOCAÇÕES'!O625"</f>
        <v/>
      </c>
      <c r="D3154" s="198" t="inlineStr">
        <is>
          <t>entrada</t>
        </is>
      </c>
    </row>
    <row r="3155">
      <c r="A3155" s="198" t="inlineStr">
        <is>
          <t>invocacao.4.buff.tr.vigor</t>
        </is>
      </c>
      <c r="B3155" s="198">
        <f>IF(ISBLANK('INVOCAÇÕES'!$P$664),"",'INVOCAÇÕES'!$P$664&amp;"")</f>
        <v/>
      </c>
      <c r="C3155" s="198">
        <f>"'INVOCAÇÕES'!P625"</f>
        <v/>
      </c>
      <c r="D3155" s="198" t="inlineStr">
        <is>
          <t>entrada</t>
        </is>
      </c>
    </row>
    <row r="3156">
      <c r="A3156" s="198" t="inlineStr">
        <is>
          <t>invocacao.4.buff.tr.intelecto</t>
        </is>
      </c>
      <c r="B3156" s="198">
        <f>IF(ISBLANK('INVOCAÇÕES'!$Q$664),"",'INVOCAÇÕES'!$Q$664&amp;"")</f>
        <v/>
      </c>
      <c r="C3156" s="198">
        <f>"'INVOCAÇÕES'!Q625"</f>
        <v/>
      </c>
      <c r="D3156" s="198" t="inlineStr">
        <is>
          <t>entrada</t>
        </is>
      </c>
    </row>
    <row r="3157">
      <c r="A3157" s="198" t="inlineStr">
        <is>
          <t>invocacao.4.buff.tr.espirito</t>
        </is>
      </c>
      <c r="B3157" s="198">
        <f>IF(ISBLANK('INVOCAÇÕES'!$R$664),"",'INVOCAÇÕES'!$R$664&amp;"")</f>
        <v/>
      </c>
      <c r="C3157" s="198">
        <f>"'INVOCAÇÕES'!R625"</f>
        <v/>
      </c>
      <c r="D3157" s="198" t="inlineStr">
        <is>
          <t>entrada</t>
        </is>
      </c>
    </row>
    <row r="3158">
      <c r="A3158" s="198" t="inlineStr">
        <is>
          <t>invocacao.4.atributo_acerto</t>
        </is>
      </c>
      <c r="B3158" s="198">
        <f>IF(ISBLANK('INVOCAÇÕES'!$O$667),"",'INVOCAÇÕES'!$O$667&amp;"")</f>
        <v/>
      </c>
      <c r="C3158" s="198">
        <f>"'INVOCAÇÕES'!O628"</f>
        <v/>
      </c>
      <c r="D3158" s="198" t="inlineStr">
        <is>
          <t>entrada</t>
        </is>
      </c>
    </row>
    <row r="3159">
      <c r="A3159" s="198" t="inlineStr">
        <is>
          <t>invocacao.4.atributo_fisico</t>
        </is>
      </c>
      <c r="B3159" s="198">
        <f>IF(ISBLANK('INVOCAÇÕES'!$R$667),"",'INVOCAÇÕES'!$R$667&amp;"")</f>
        <v/>
      </c>
      <c r="C3159" s="198">
        <f>"'INVOCAÇÕES'!R628"</f>
        <v/>
      </c>
      <c r="D3159" s="198" t="inlineStr">
        <is>
          <t>entrada</t>
        </is>
      </c>
    </row>
    <row r="3160">
      <c r="A3160" s="198" t="inlineStr">
        <is>
          <t>invocacao.4.tr_treinado</t>
        </is>
      </c>
      <c r="B3160" s="198">
        <f>IF(ISBLANK('INVOCAÇÕES'!$S$662),"",'INVOCAÇÕES'!$S$662&amp;"")</f>
        <v/>
      </c>
      <c r="C3160" s="198">
        <f>"'INVOCAÇÕES'!S623"</f>
        <v/>
      </c>
      <c r="D3160" s="198" t="inlineStr">
        <is>
          <t>entrada</t>
        </is>
      </c>
    </row>
    <row r="3161">
      <c r="A3161" s="198" t="inlineStr">
        <is>
          <t>invocacao.4.alma</t>
        </is>
      </c>
      <c r="B3161" s="198">
        <f>IF(ISBLANK('INVOCAÇÕES'!$U$651),"",'INVOCAÇÕES'!$U$651&amp;"")</f>
        <v/>
      </c>
      <c r="C3161" s="198">
        <f>"'INVOCAÇÕES'!U612"</f>
        <v/>
      </c>
      <c r="D3161" s="198" t="inlineStr">
        <is>
          <t>entrada</t>
        </is>
      </c>
    </row>
    <row r="3162">
      <c r="A3162" s="198" t="inlineStr">
        <is>
          <t>invocacao.4.notas</t>
        </is>
      </c>
      <c r="B3162" s="198">
        <f>IF(ISBLANK('INVOCAÇÕES'!$U$660),"",'INVOCAÇÕES'!$U$660&amp;"")</f>
        <v/>
      </c>
      <c r="C3162" s="198">
        <f>"'INVOCAÇÕES'!U621"</f>
        <v/>
      </c>
      <c r="D3162" s="198" t="inlineStr">
        <is>
          <t>entrada</t>
        </is>
      </c>
    </row>
    <row r="3163">
      <c r="A3163" s="198" t="inlineStr">
        <is>
          <t>invocacao.4.definicao</t>
        </is>
      </c>
      <c r="B3163" s="198">
        <f>IF(ISBLANK('INVOCAÇÕES'!$I$699),"",'INVOCAÇÕES'!$I$699&amp;"")</f>
        <v/>
      </c>
      <c r="C3163" s="198">
        <f>"'INVOCAÇÕES'!I647"</f>
        <v/>
      </c>
      <c r="D3163" s="198" t="inlineStr">
        <is>
          <t>entrada</t>
        </is>
      </c>
    </row>
    <row r="3164">
      <c r="A3164" s="198" t="inlineStr">
        <is>
          <t>invocacao.4.familia.1</t>
        </is>
      </c>
      <c r="B3164" s="198">
        <f>IF(ISBLANK('INVOCAÇÕES'!$O$681),"",'INVOCAÇÕES'!$O$681&amp;"")</f>
        <v/>
      </c>
      <c r="C3164" s="198">
        <f>"'INVOCAÇÕES'!O642"</f>
        <v/>
      </c>
      <c r="D3164" s="198" t="inlineStr">
        <is>
          <t>entrada</t>
        </is>
      </c>
    </row>
    <row r="3165">
      <c r="A3165" s="198" t="inlineStr">
        <is>
          <t>invocacao.4.familia.2</t>
        </is>
      </c>
      <c r="B3165" s="198">
        <f>IF(ISBLANK('INVOCAÇÕES'!$P$681),"",'INVOCAÇÕES'!$P$681&amp;"")</f>
        <v/>
      </c>
      <c r="C3165" s="198">
        <f>"'INVOCAÇÕES'!P642"</f>
        <v/>
      </c>
      <c r="D3165" s="198" t="inlineStr">
        <is>
          <t>entrada</t>
        </is>
      </c>
    </row>
    <row r="3166">
      <c r="A3166" s="198" t="inlineStr">
        <is>
          <t>invocacao.4.familia.3</t>
        </is>
      </c>
      <c r="B3166" s="198">
        <f>IF(ISBLANK('INVOCAÇÕES'!$Q$681),"",'INVOCAÇÕES'!$Q$681&amp;"")</f>
        <v/>
      </c>
      <c r="C3166" s="198">
        <f>"'INVOCAÇÕES'!Q642"</f>
        <v/>
      </c>
      <c r="D3166" s="198" t="inlineStr">
        <is>
          <t>entrada</t>
        </is>
      </c>
    </row>
    <row r="3167">
      <c r="A3167" s="198" t="inlineStr">
        <is>
          <t>invocacao.4.familia.4</t>
        </is>
      </c>
      <c r="B3167" s="198">
        <f>IF(ISBLANK('INVOCAÇÕES'!$R$681),"",'INVOCAÇÕES'!$R$681&amp;"")</f>
        <v/>
      </c>
      <c r="C3167" s="198">
        <f>"'INVOCAÇÕES'!R642"</f>
        <v/>
      </c>
      <c r="D3167" s="198" t="inlineStr">
        <is>
          <t>entrada</t>
        </is>
      </c>
    </row>
    <row r="3168">
      <c r="A3168" s="198" t="inlineStr">
        <is>
          <t>invocacao.4.familia.5</t>
        </is>
      </c>
      <c r="B3168" s="198">
        <f>IF(ISBLANK('INVOCAÇÕES'!$S$681),"",'INVOCAÇÕES'!$S$681&amp;"")</f>
        <v/>
      </c>
      <c r="C3168" s="198">
        <f>"'INVOCAÇÕES'!S642"</f>
        <v/>
      </c>
      <c r="D3168" s="198" t="inlineStr">
        <is>
          <t>entrada</t>
        </is>
      </c>
    </row>
    <row r="3169">
      <c r="A3169" s="198" t="inlineStr">
        <is>
          <t>invocacao.4.pericia.1</t>
        </is>
      </c>
      <c r="B3169" s="198">
        <f>IF(ISBLANK('INVOCAÇÕES'!$O$671),"",'INVOCAÇÕES'!$O$671&amp;"")</f>
        <v/>
      </c>
      <c r="C3169" s="198">
        <f>"'INVOCAÇÕES'!O632"</f>
        <v/>
      </c>
      <c r="D3169" s="198" t="inlineStr">
        <is>
          <t>entrada</t>
        </is>
      </c>
    </row>
    <row r="3170">
      <c r="A3170" s="198" t="inlineStr">
        <is>
          <t>invocacao.4.pericia.2</t>
        </is>
      </c>
      <c r="B3170" s="198">
        <f>IF(ISBLANK('INVOCAÇÕES'!$O$672),"",'INVOCAÇÕES'!$O$672&amp;"")</f>
        <v/>
      </c>
      <c r="C3170" s="198">
        <f>"'INVOCAÇÕES'!O633"</f>
        <v/>
      </c>
      <c r="D3170" s="198" t="inlineStr">
        <is>
          <t>entrada</t>
        </is>
      </c>
    </row>
    <row r="3171">
      <c r="A3171" s="198" t="inlineStr">
        <is>
          <t>invocacao.4.pericia.3</t>
        </is>
      </c>
      <c r="B3171" s="198">
        <f>IF(ISBLANK('INVOCAÇÕES'!$O$673),"",'INVOCAÇÕES'!$O$673&amp;"")</f>
        <v/>
      </c>
      <c r="C3171" s="198">
        <f>"'INVOCAÇÕES'!O634"</f>
        <v/>
      </c>
      <c r="D3171" s="198" t="inlineStr">
        <is>
          <t>entrada</t>
        </is>
      </c>
    </row>
    <row r="3172">
      <c r="A3172" s="198" t="inlineStr">
        <is>
          <t>invocacao.4.pericia.4</t>
        </is>
      </c>
      <c r="B3172" s="198">
        <f>IF(ISBLANK('INVOCAÇÕES'!$O$674),"",'INVOCAÇÕES'!$O$674&amp;"")</f>
        <v/>
      </c>
      <c r="C3172" s="198">
        <f>"'INVOCAÇÕES'!O635"</f>
        <v/>
      </c>
      <c r="D3172" s="198" t="inlineStr">
        <is>
          <t>entrada</t>
        </is>
      </c>
    </row>
    <row r="3173">
      <c r="A3173" s="198" t="inlineStr">
        <is>
          <t>invocacao.4.pericia.5</t>
        </is>
      </c>
      <c r="B3173" s="198">
        <f>IF(ISBLANK('INVOCAÇÕES'!$O$675),"",'INVOCAÇÕES'!$O$675&amp;"")</f>
        <v/>
      </c>
      <c r="C3173" s="198">
        <f>"'INVOCAÇÕES'!O636"</f>
        <v/>
      </c>
      <c r="D3173" s="198" t="inlineStr">
        <is>
          <t>entrada</t>
        </is>
      </c>
    </row>
    <row r="3174">
      <c r="A3174" s="198" t="inlineStr">
        <is>
          <t>invocacao.4.pericia.6</t>
        </is>
      </c>
      <c r="B3174" s="198">
        <f>IF(ISBLANK('INVOCAÇÕES'!$O$676),"",'INVOCAÇÕES'!$O$676&amp;"")</f>
        <v/>
      </c>
      <c r="C3174" s="198">
        <f>"'INVOCAÇÕES'!O637"</f>
        <v/>
      </c>
      <c r="D3174" s="198" t="inlineStr">
        <is>
          <t>entrada</t>
        </is>
      </c>
    </row>
    <row r="3175">
      <c r="A3175" s="198" t="inlineStr">
        <is>
          <t>invocacao.4.pericia.7</t>
        </is>
      </c>
      <c r="B3175" s="198">
        <f>IF(ISBLANK('INVOCAÇÕES'!$O$677),"",'INVOCAÇÕES'!$O$677&amp;"")</f>
        <v/>
      </c>
      <c r="C3175" s="198">
        <f>"'INVOCAÇÕES'!O638"</f>
        <v/>
      </c>
      <c r="D3175" s="198" t="inlineStr">
        <is>
          <t>entrada</t>
        </is>
      </c>
    </row>
    <row r="3176">
      <c r="A3176" s="198" t="inlineStr">
        <is>
          <t>invocacao.4.buff.pericia.1</t>
        </is>
      </c>
      <c r="B3176" s="198">
        <f>IF(ISBLANK('INVOCAÇÕES'!$R$671),"",'INVOCAÇÕES'!$R$671&amp;"")</f>
        <v/>
      </c>
      <c r="C3176" s="198">
        <f>"'INVOCAÇÕES'!R632"</f>
        <v/>
      </c>
      <c r="D3176" s="198" t="inlineStr">
        <is>
          <t>entrada</t>
        </is>
      </c>
    </row>
    <row r="3177">
      <c r="A3177" s="198" t="inlineStr">
        <is>
          <t>invocacao.4.buff.pericia.2</t>
        </is>
      </c>
      <c r="B3177" s="198">
        <f>IF(ISBLANK('INVOCAÇÕES'!$R$672),"",'INVOCAÇÕES'!$R$672&amp;"")</f>
        <v/>
      </c>
      <c r="C3177" s="198">
        <f>"'INVOCAÇÕES'!R633"</f>
        <v/>
      </c>
      <c r="D3177" s="198" t="inlineStr">
        <is>
          <t>entrada</t>
        </is>
      </c>
    </row>
    <row r="3178">
      <c r="A3178" s="198" t="inlineStr">
        <is>
          <t>invocacao.4.buff.pericia.3</t>
        </is>
      </c>
      <c r="B3178" s="198">
        <f>IF(ISBLANK('INVOCAÇÕES'!$R$673),"",'INVOCAÇÕES'!$R$673&amp;"")</f>
        <v/>
      </c>
      <c r="C3178" s="198">
        <f>"'INVOCAÇÕES'!R634"</f>
        <v/>
      </c>
      <c r="D3178" s="198" t="inlineStr">
        <is>
          <t>entrada</t>
        </is>
      </c>
    </row>
    <row r="3179">
      <c r="A3179" s="198" t="inlineStr">
        <is>
          <t>invocacao.4.buff.pericia.4</t>
        </is>
      </c>
      <c r="B3179" s="198">
        <f>IF(ISBLANK('INVOCAÇÕES'!$R$674),"",'INVOCAÇÕES'!$R$674&amp;"")</f>
        <v/>
      </c>
      <c r="C3179" s="198">
        <f>"'INVOCAÇÕES'!R635"</f>
        <v/>
      </c>
      <c r="D3179" s="198" t="inlineStr">
        <is>
          <t>entrada</t>
        </is>
      </c>
    </row>
    <row r="3180">
      <c r="A3180" s="198" t="inlineStr">
        <is>
          <t>invocacao.4.buff.pericia.5</t>
        </is>
      </c>
      <c r="B3180" s="198">
        <f>IF(ISBLANK('INVOCAÇÕES'!$R$675),"",'INVOCAÇÕES'!$R$675&amp;"")</f>
        <v/>
      </c>
      <c r="C3180" s="198">
        <f>"'INVOCAÇÕES'!R636"</f>
        <v/>
      </c>
      <c r="D3180" s="198" t="inlineStr">
        <is>
          <t>entrada</t>
        </is>
      </c>
    </row>
    <row r="3181">
      <c r="A3181" s="198" t="inlineStr">
        <is>
          <t>invocacao.4.buff.pericia.6</t>
        </is>
      </c>
      <c r="B3181" s="198">
        <f>IF(ISBLANK('INVOCAÇÕES'!$R$676),"",'INVOCAÇÕES'!$R$676&amp;"")</f>
        <v/>
      </c>
      <c r="C3181" s="198">
        <f>"'INVOCAÇÕES'!R637"</f>
        <v/>
      </c>
      <c r="D3181" s="198" t="inlineStr">
        <is>
          <t>entrada</t>
        </is>
      </c>
    </row>
    <row r="3182">
      <c r="A3182" s="198" t="inlineStr">
        <is>
          <t>invocacao.4.buff.pericia.7</t>
        </is>
      </c>
      <c r="B3182" s="198">
        <f>IF(ISBLANK('INVOCAÇÕES'!$R$677),"",'INVOCAÇÕES'!$R$677&amp;"")</f>
        <v/>
      </c>
      <c r="C3182" s="198">
        <f>"'INVOCAÇÕES'!R638"</f>
        <v/>
      </c>
      <c r="D3182" s="198" t="inlineStr">
        <is>
          <t>entrada</t>
        </is>
      </c>
    </row>
    <row r="3183">
      <c r="A3183" s="198" t="inlineStr">
        <is>
          <t>invocacao.4.talento.1</t>
        </is>
      </c>
      <c r="B3183" s="198">
        <f>IF(ISBLANK('INVOCAÇÕES'!$J$726),"",'INVOCAÇÕES'!$J$726&amp;"")</f>
        <v/>
      </c>
      <c r="C3183" s="198">
        <f>"'INVOCAÇÕES'!J674"</f>
        <v/>
      </c>
      <c r="D3183" s="198" t="inlineStr">
        <is>
          <t>entrada</t>
        </is>
      </c>
    </row>
    <row r="3184">
      <c r="A3184" s="198" t="inlineStr">
        <is>
          <t>invocacao.4.talento.2</t>
        </is>
      </c>
      <c r="B3184" s="198">
        <f>IF(ISBLANK('INVOCAÇÕES'!$J$727),"",'INVOCAÇÕES'!$J$727&amp;"")</f>
        <v/>
      </c>
      <c r="C3184" s="198">
        <f>"'INVOCAÇÕES'!J675"</f>
        <v/>
      </c>
      <c r="D3184" s="198" t="inlineStr">
        <is>
          <t>entrada</t>
        </is>
      </c>
    </row>
    <row r="3185">
      <c r="A3185" s="198" t="inlineStr">
        <is>
          <t>invocacao.4.talento.3</t>
        </is>
      </c>
      <c r="B3185" s="198">
        <f>IF(ISBLANK('INVOCAÇÕES'!$J$728),"",'INVOCAÇÕES'!$J$728&amp;"")</f>
        <v/>
      </c>
      <c r="C3185" s="198">
        <f>"'INVOCAÇÕES'!J676"</f>
        <v/>
      </c>
      <c r="D3185" s="198" t="inlineStr">
        <is>
          <t>entrada</t>
        </is>
      </c>
    </row>
    <row r="3186">
      <c r="A3186" s="198" t="inlineStr">
        <is>
          <t>invocacao.4.talento.4</t>
        </is>
      </c>
      <c r="B3186" s="198">
        <f>IF(ISBLANK('INVOCAÇÕES'!$J$729),"",'INVOCAÇÕES'!$J$729&amp;"")</f>
        <v/>
      </c>
      <c r="C3186" s="198">
        <f>"'INVOCAÇÕES'!J677"</f>
        <v/>
      </c>
      <c r="D3186" s="198" t="inlineStr">
        <is>
          <t>entrada</t>
        </is>
      </c>
    </row>
    <row r="3187">
      <c r="A3187" s="198" t="inlineStr">
        <is>
          <t>invocacao.4.talento.5</t>
        </is>
      </c>
      <c r="B3187" s="198">
        <f>IF(ISBLANK('INVOCAÇÕES'!$J$730),"",'INVOCAÇÕES'!$J$730&amp;"")</f>
        <v/>
      </c>
      <c r="C3187" s="198">
        <f>"'INVOCAÇÕES'!J678"</f>
        <v/>
      </c>
      <c r="D3187" s="198" t="inlineStr">
        <is>
          <t>entrada</t>
        </is>
      </c>
    </row>
    <row r="3188">
      <c r="A3188" s="198" t="inlineStr">
        <is>
          <t>invocacao.4.talento.6</t>
        </is>
      </c>
      <c r="B3188" s="198">
        <f>IF(ISBLANK('INVOCAÇÕES'!$J$731),"",'INVOCAÇÕES'!$J$731&amp;"")</f>
        <v/>
      </c>
      <c r="C3188" s="198">
        <f>"'INVOCAÇÕES'!J679"</f>
        <v/>
      </c>
      <c r="D3188" s="198" t="inlineStr">
        <is>
          <t>entrada</t>
        </is>
      </c>
    </row>
    <row r="3189">
      <c r="A3189" s="198" t="inlineStr">
        <is>
          <t>invocacao.4.talento.7</t>
        </is>
      </c>
      <c r="B3189" s="198">
        <f>IF(ISBLANK('INVOCAÇÕES'!$J$732),"",'INVOCAÇÕES'!$J$732&amp;"")</f>
        <v/>
      </c>
      <c r="C3189" s="198">
        <f>"'INVOCAÇÕES'!J680"</f>
        <v/>
      </c>
      <c r="D3189" s="198" t="inlineStr">
        <is>
          <t>entrada</t>
        </is>
      </c>
    </row>
    <row r="3190">
      <c r="A3190" s="198" t="inlineStr">
        <is>
          <t>invocacao.4.talento.8</t>
        </is>
      </c>
      <c r="B3190" s="198">
        <f>IF(ISBLANK('INVOCAÇÕES'!$J$733),"",'INVOCAÇÕES'!$J$733&amp;"")</f>
        <v/>
      </c>
      <c r="C3190" s="198">
        <f>"'INVOCAÇÕES'!J681"</f>
        <v/>
      </c>
      <c r="D3190" s="198" t="inlineStr">
        <is>
          <t>entrada</t>
        </is>
      </c>
    </row>
    <row r="3191">
      <c r="A3191" s="198" t="inlineStr">
        <is>
          <t>invocacao.4.talento_extra.1</t>
        </is>
      </c>
      <c r="B3191" s="198">
        <f>IF(ISBLANK('INVOCAÇÕES'!$J$828),"",'INVOCAÇÕES'!$J$828&amp;"")</f>
        <v/>
      </c>
      <c r="C3191" s="198">
        <f>"'INVOCAÇÕES'!J776"</f>
        <v/>
      </c>
      <c r="D3191" s="198" t="inlineStr">
        <is>
          <t>entrada</t>
        </is>
      </c>
    </row>
    <row r="3192">
      <c r="A3192" s="198" t="inlineStr">
        <is>
          <t>invocacao.4.talento_extra.2</t>
        </is>
      </c>
      <c r="B3192" s="198">
        <f>IF(ISBLANK('INVOCAÇÕES'!$J$829),"",'INVOCAÇÕES'!$J$829&amp;"")</f>
        <v/>
      </c>
      <c r="C3192" s="198">
        <f>"'INVOCAÇÕES'!J777"</f>
        <v/>
      </c>
      <c r="D3192" s="198" t="inlineStr">
        <is>
          <t>entrada</t>
        </is>
      </c>
    </row>
    <row r="3193">
      <c r="A3193" s="198" t="inlineStr">
        <is>
          <t>invocacao.4.talento_extra.3</t>
        </is>
      </c>
      <c r="B3193" s="198">
        <f>IF(ISBLANK('INVOCAÇÕES'!$J$830),"",'INVOCAÇÕES'!$J$830&amp;"")</f>
        <v/>
      </c>
      <c r="C3193" s="198">
        <f>"'INVOCAÇÕES'!J778"</f>
        <v/>
      </c>
      <c r="D3193" s="198" t="inlineStr">
        <is>
          <t>entrada</t>
        </is>
      </c>
    </row>
    <row r="3194">
      <c r="A3194" s="198" t="inlineStr">
        <is>
          <t>invocacao.4.equipamento.1</t>
        </is>
      </c>
      <c r="B3194" s="198">
        <f>IF(ISBLANK('INVOCAÇÕES'!$V$666),"",'INVOCAÇÕES'!$V$666&amp;"")</f>
        <v/>
      </c>
      <c r="C3194" s="198">
        <f>"'INVOCAÇÕES'!V627"</f>
        <v/>
      </c>
      <c r="D3194" s="198" t="inlineStr">
        <is>
          <t>entrada</t>
        </is>
      </c>
    </row>
    <row r="3195">
      <c r="A3195" s="198" t="inlineStr">
        <is>
          <t>invocacao.4.equipamento.2</t>
        </is>
      </c>
      <c r="B3195" s="198">
        <f>IF(ISBLANK('INVOCAÇÕES'!$V$667),"",'INVOCAÇÕES'!$V$667&amp;"")</f>
        <v/>
      </c>
      <c r="C3195" s="198">
        <f>"'INVOCAÇÕES'!V628"</f>
        <v/>
      </c>
      <c r="D3195" s="198" t="inlineStr">
        <is>
          <t>entrada</t>
        </is>
      </c>
    </row>
    <row r="3196">
      <c r="A3196" s="198" t="inlineStr">
        <is>
          <t>invocacao.4.equipamento.3</t>
        </is>
      </c>
      <c r="B3196" s="198">
        <f>IF(ISBLANK('INVOCAÇÕES'!$V$668),"",'INVOCAÇÕES'!$V$668&amp;"")</f>
        <v/>
      </c>
      <c r="C3196" s="198">
        <f>"'INVOCAÇÕES'!V629"</f>
        <v/>
      </c>
      <c r="D3196" s="198" t="inlineStr">
        <is>
          <t>entrada</t>
        </is>
      </c>
    </row>
    <row r="3197">
      <c r="A3197" s="198" t="inlineStr">
        <is>
          <t>invocacao.4.liberacao.1.classe</t>
        </is>
      </c>
      <c r="B3197" s="198">
        <f>IF(ISBLANK('INVOCAÇÕES'!$I$835),"",'INVOCAÇÕES'!$I$835&amp;"")</f>
        <v/>
      </c>
      <c r="C3197" s="198">
        <f>"'INVOCAÇÕES'!I783"</f>
        <v/>
      </c>
      <c r="D3197" s="198" t="inlineStr">
        <is>
          <t>entrada</t>
        </is>
      </c>
    </row>
    <row r="3198">
      <c r="A3198" s="198" t="inlineStr">
        <is>
          <t>invocacao.4.liberacao.1.nome</t>
        </is>
      </c>
      <c r="B3198" s="198">
        <f>IF(ISBLANK('INVOCAÇÕES'!$J$835),"",'INVOCAÇÕES'!$J$835&amp;"")</f>
        <v/>
      </c>
      <c r="C3198" s="198">
        <f>"'INVOCAÇÕES'!J783"</f>
        <v/>
      </c>
      <c r="D3198" s="198" t="inlineStr">
        <is>
          <t>entrada</t>
        </is>
      </c>
    </row>
    <row r="3199">
      <c r="A3199" s="198" t="inlineStr">
        <is>
          <t>invocacao.4.liberacao.1.pe</t>
        </is>
      </c>
      <c r="B3199" s="198">
        <f>IF(ISBLANK('INVOCAÇÕES'!$M$835),"",'INVOCAÇÕES'!$M$835&amp;"")</f>
        <v/>
      </c>
      <c r="C3199" s="198">
        <f>"'INVOCAÇÕES'!M783"</f>
        <v/>
      </c>
      <c r="D3199" s="198" t="inlineStr">
        <is>
          <t>resultado</t>
        </is>
      </c>
    </row>
    <row r="3200">
      <c r="A3200" s="198" t="inlineStr">
        <is>
          <t>invocacao.4.liberacao.1.como</t>
        </is>
      </c>
      <c r="B3200" s="198">
        <f>IF(ISBLANK('INVOCAÇÕES'!$I$836),"",'INVOCAÇÕES'!$I$836&amp;"")</f>
        <v/>
      </c>
      <c r="C3200" s="198">
        <f>"'INVOCAÇÕES'!I784"</f>
        <v/>
      </c>
      <c r="D3200" s="198" t="inlineStr">
        <is>
          <t>entrada</t>
        </is>
      </c>
    </row>
    <row r="3201">
      <c r="A3201" s="198" t="inlineStr">
        <is>
          <t>invocacao.4.liberacao.1.pontos</t>
        </is>
      </c>
      <c r="B3201" s="198">
        <f>IF(ISBLANK('INVOCAÇÕES'!$I$840),"",'INVOCAÇÕES'!$I$840&amp;"")</f>
        <v/>
      </c>
      <c r="C3201" s="198">
        <f>"'INVOCAÇÕES'!I788"</f>
        <v/>
      </c>
      <c r="D3201" s="198" t="inlineStr">
        <is>
          <t>resultado</t>
        </is>
      </c>
    </row>
    <row r="3202">
      <c r="A3202" s="198" t="inlineStr">
        <is>
          <t>invocacao.4.liberacao.1.acao</t>
        </is>
      </c>
      <c r="B3202" s="198">
        <f>IF(ISBLANK('INVOCAÇÕES'!$I$841),"",'INVOCAÇÕES'!$I$841&amp;"")</f>
        <v/>
      </c>
      <c r="C3202" s="198">
        <f>"'INVOCAÇÕES'!I789"</f>
        <v/>
      </c>
      <c r="D3202" s="198" t="inlineStr">
        <is>
          <t>resultado</t>
        </is>
      </c>
    </row>
    <row r="3203">
      <c r="A3203" s="198" t="inlineStr">
        <is>
          <t>invocacao.4.liberacao.2.classe</t>
        </is>
      </c>
      <c r="B3203" s="198">
        <f>IF(ISBLANK('INVOCAÇÕES'!$O$835),"",'INVOCAÇÕES'!$O$835&amp;"")</f>
        <v/>
      </c>
      <c r="C3203" s="198">
        <f>"'INVOCAÇÕES'!O783"</f>
        <v/>
      </c>
      <c r="D3203" s="198" t="inlineStr">
        <is>
          <t>entrada</t>
        </is>
      </c>
    </row>
    <row r="3204">
      <c r="A3204" s="198" t="inlineStr">
        <is>
          <t>invocacao.4.liberacao.2.nome</t>
        </is>
      </c>
      <c r="B3204" s="198">
        <f>IF(ISBLANK('INVOCAÇÕES'!$P$835),"",'INVOCAÇÕES'!$P$835&amp;"")</f>
        <v/>
      </c>
      <c r="C3204" s="198">
        <f>"'INVOCAÇÕES'!P783"</f>
        <v/>
      </c>
      <c r="D3204" s="198" t="inlineStr">
        <is>
          <t>entrada</t>
        </is>
      </c>
    </row>
    <row r="3205">
      <c r="A3205" s="198" t="inlineStr">
        <is>
          <t>invocacao.4.liberacao.2.pe</t>
        </is>
      </c>
      <c r="B3205" s="198">
        <f>IF(ISBLANK('INVOCAÇÕES'!$S$835),"",'INVOCAÇÕES'!$S$835&amp;"")</f>
        <v/>
      </c>
      <c r="C3205" s="198">
        <f>"'INVOCAÇÕES'!S783"</f>
        <v/>
      </c>
      <c r="D3205" s="198" t="inlineStr">
        <is>
          <t>resultado</t>
        </is>
      </c>
    </row>
    <row r="3206">
      <c r="A3206" s="198" t="inlineStr">
        <is>
          <t>invocacao.4.liberacao.2.como</t>
        </is>
      </c>
      <c r="B3206" s="198">
        <f>IF(ISBLANK('INVOCAÇÕES'!$O$836),"",'INVOCAÇÕES'!$O$836&amp;"")</f>
        <v/>
      </c>
      <c r="C3206" s="198">
        <f>"'INVOCAÇÕES'!O784"</f>
        <v/>
      </c>
      <c r="D3206" s="198" t="inlineStr">
        <is>
          <t>entrada</t>
        </is>
      </c>
    </row>
    <row r="3207">
      <c r="A3207" s="198" t="inlineStr">
        <is>
          <t>invocacao.4.liberacao.2.pontos</t>
        </is>
      </c>
      <c r="B3207" s="198">
        <f>IF(ISBLANK('INVOCAÇÕES'!$O$840),"",'INVOCAÇÕES'!$O$840&amp;"")</f>
        <v/>
      </c>
      <c r="C3207" s="198">
        <f>"'INVOCAÇÕES'!O788"</f>
        <v/>
      </c>
      <c r="D3207" s="198" t="inlineStr">
        <is>
          <t>resultado</t>
        </is>
      </c>
    </row>
    <row r="3208">
      <c r="A3208" s="198" t="inlineStr">
        <is>
          <t>invocacao.4.liberacao.2.acao</t>
        </is>
      </c>
      <c r="B3208" s="198">
        <f>IF(ISBLANK('INVOCAÇÕES'!$O$841),"",'INVOCAÇÕES'!$O$841&amp;"")</f>
        <v/>
      </c>
      <c r="C3208" s="198">
        <f>"'INVOCAÇÕES'!O789"</f>
        <v/>
      </c>
      <c r="D3208" s="198" t="inlineStr">
        <is>
          <t>resultado</t>
        </is>
      </c>
    </row>
    <row r="3209">
      <c r="A3209" s="198" t="inlineStr">
        <is>
          <t>invocacao.4.liberacao.3.classe</t>
        </is>
      </c>
      <c r="B3209" s="198">
        <f>IF(ISBLANK('INVOCAÇÕES'!$U$835),"",'INVOCAÇÕES'!$U$835&amp;"")</f>
        <v/>
      </c>
      <c r="C3209" s="198">
        <f>"'INVOCAÇÕES'!U783"</f>
        <v/>
      </c>
      <c r="D3209" s="198" t="inlineStr">
        <is>
          <t>entrada</t>
        </is>
      </c>
    </row>
    <row r="3210">
      <c r="A3210" s="198" t="inlineStr">
        <is>
          <t>invocacao.4.liberacao.3.nome</t>
        </is>
      </c>
      <c r="B3210" s="198">
        <f>IF(ISBLANK('INVOCAÇÕES'!$V$835),"",'INVOCAÇÕES'!$V$835&amp;"")</f>
        <v/>
      </c>
      <c r="C3210" s="198">
        <f>"'INVOCAÇÕES'!V783"</f>
        <v/>
      </c>
      <c r="D3210" s="198" t="inlineStr">
        <is>
          <t>entrada</t>
        </is>
      </c>
    </row>
    <row r="3211">
      <c r="A3211" s="198" t="inlineStr">
        <is>
          <t>invocacao.4.liberacao.3.pe</t>
        </is>
      </c>
      <c r="B3211" s="198">
        <f>IF(ISBLANK('INVOCAÇÕES'!$Y$835),"",'INVOCAÇÕES'!$Y$835&amp;"")</f>
        <v/>
      </c>
      <c r="C3211" s="198">
        <f>"'INVOCAÇÕES'!Y783"</f>
        <v/>
      </c>
      <c r="D3211" s="198" t="inlineStr">
        <is>
          <t>resultado</t>
        </is>
      </c>
    </row>
    <row r="3212">
      <c r="A3212" s="198" t="inlineStr">
        <is>
          <t>invocacao.4.liberacao.3.como</t>
        </is>
      </c>
      <c r="B3212" s="198">
        <f>IF(ISBLANK('INVOCAÇÕES'!$U$836),"",'INVOCAÇÕES'!$U$836&amp;"")</f>
        <v/>
      </c>
      <c r="C3212" s="198">
        <f>"'INVOCAÇÕES'!U784"</f>
        <v/>
      </c>
      <c r="D3212" s="198" t="inlineStr">
        <is>
          <t>entrada</t>
        </is>
      </c>
    </row>
    <row r="3213">
      <c r="A3213" s="198" t="inlineStr">
        <is>
          <t>invocacao.4.liberacao.3.pontos</t>
        </is>
      </c>
      <c r="B3213" s="198">
        <f>IF(ISBLANK('INVOCAÇÕES'!$U$840),"",'INVOCAÇÕES'!$U$840&amp;"")</f>
        <v/>
      </c>
      <c r="C3213" s="198">
        <f>"'INVOCAÇÕES'!U788"</f>
        <v/>
      </c>
      <c r="D3213" s="198" t="inlineStr">
        <is>
          <t>resultado</t>
        </is>
      </c>
    </row>
    <row r="3214">
      <c r="A3214" s="198" t="inlineStr">
        <is>
          <t>invocacao.4.liberacao.3.acao</t>
        </is>
      </c>
      <c r="B3214" s="198">
        <f>IF(ISBLANK('INVOCAÇÕES'!$U$841),"",'INVOCAÇÕES'!$U$841&amp;"")</f>
        <v/>
      </c>
      <c r="C3214" s="198">
        <f>"'INVOCAÇÕES'!U789"</f>
        <v/>
      </c>
      <c r="D3214" s="198" t="inlineStr">
        <is>
          <t>resultado</t>
        </is>
      </c>
    </row>
    <row r="3215">
      <c r="A3215" s="198" t="inlineStr">
        <is>
          <t>invocacao.4.tm.nome</t>
        </is>
      </c>
      <c r="B3215" s="198">
        <f>IF(ISBLANK('INVOCAÇÕES'!$I$844),"",'INVOCAÇÕES'!$I$844&amp;"")</f>
        <v/>
      </c>
      <c r="C3215" s="198">
        <f>"'INVOCAÇÕES'!I792"</f>
        <v/>
      </c>
      <c r="D3215" s="198" t="inlineStr">
        <is>
          <t>entrada</t>
        </is>
      </c>
    </row>
    <row r="3216">
      <c r="A3216" s="198" t="inlineStr">
        <is>
          <t>invocacao.4.tm.pe</t>
        </is>
      </c>
      <c r="B3216" s="198">
        <f>IF(ISBLANK('INVOCAÇÕES'!$M$844),"",'INVOCAÇÕES'!$M$844&amp;"")</f>
        <v/>
      </c>
      <c r="C3216" s="198">
        <f>"'INVOCAÇÕES'!M792"</f>
        <v/>
      </c>
      <c r="D3216" s="198" t="inlineStr">
        <is>
          <t>resultado</t>
        </is>
      </c>
    </row>
    <row r="3217">
      <c r="A3217" s="198" t="inlineStr">
        <is>
          <t>invocacao.4.tm.como</t>
        </is>
      </c>
      <c r="B3217" s="198">
        <f>IF(ISBLANK('INVOCAÇÕES'!$I$845),"",'INVOCAÇÕES'!$I$845&amp;"")</f>
        <v/>
      </c>
      <c r="C3217" s="198">
        <f>"'INVOCAÇÕES'!I793"</f>
        <v/>
      </c>
      <c r="D3217" s="198" t="inlineStr">
        <is>
          <t>entrada</t>
        </is>
      </c>
    </row>
    <row r="3218">
      <c r="A3218" s="198" t="inlineStr">
        <is>
          <t>invocacao.4.tm.dados</t>
        </is>
      </c>
      <c r="B3218" s="198">
        <f>IF(ISBLANK('INVOCAÇÕES'!$I$849),"",'INVOCAÇÕES'!$I$849&amp;"")</f>
        <v/>
      </c>
      <c r="C3218" s="198">
        <f>"'INVOCAÇÕES'!I797"</f>
        <v/>
      </c>
      <c r="D3218" s="198" t="inlineStr">
        <is>
          <t>resultado</t>
        </is>
      </c>
    </row>
    <row r="3219">
      <c r="A3219" s="198" t="inlineStr">
        <is>
          <t>invocacao.4.tm.acao</t>
        </is>
      </c>
      <c r="B3219" s="198">
        <f>IF(ISBLANK('INVOCAÇÕES'!$I$850),"",'INVOCAÇÕES'!$I$850&amp;"")</f>
        <v/>
      </c>
      <c r="C3219" s="198">
        <f>"'INVOCAÇÕES'!I798"</f>
        <v/>
      </c>
      <c r="D3219" s="198" t="inlineStr">
        <is>
          <t>resultado</t>
        </is>
      </c>
    </row>
    <row r="3220">
      <c r="A3220" s="198" t="inlineStr">
        <is>
          <t>invocacao.4.exp.nome</t>
        </is>
      </c>
      <c r="B3220" s="198">
        <f>IF(ISBLANK('INVOCAÇÕES'!$O$844),"",'INVOCAÇÕES'!$O$844&amp;"")</f>
        <v/>
      </c>
      <c r="C3220" s="198">
        <f>"'INVOCAÇÕES'!O792"</f>
        <v/>
      </c>
      <c r="D3220" s="198" t="inlineStr">
        <is>
          <t>entrada</t>
        </is>
      </c>
    </row>
    <row r="3221">
      <c r="A3221" s="198" t="inlineStr">
        <is>
          <t>invocacao.4.exp.pe</t>
        </is>
      </c>
      <c r="B3221" s="198">
        <f>IF(ISBLANK('INVOCAÇÕES'!$S$844),"",'INVOCAÇÕES'!$S$844&amp;"")</f>
        <v/>
      </c>
      <c r="C3221" s="198">
        <f>"'INVOCAÇÕES'!S792"</f>
        <v/>
      </c>
      <c r="D3221" s="198" t="inlineStr">
        <is>
          <t>resultado</t>
        </is>
      </c>
    </row>
    <row r="3222">
      <c r="A3222" s="198" t="inlineStr">
        <is>
          <t>invocacao.4.exp.como</t>
        </is>
      </c>
      <c r="B3222" s="198">
        <f>IF(ISBLANK('INVOCAÇÕES'!$O$845),"",'INVOCAÇÕES'!$O$845&amp;"")</f>
        <v/>
      </c>
      <c r="C3222" s="198">
        <f>"'INVOCAÇÕES'!O793"</f>
        <v/>
      </c>
      <c r="D3222" s="198" t="inlineStr">
        <is>
          <t>entrada</t>
        </is>
      </c>
    </row>
    <row r="3223">
      <c r="A3223" s="198" t="inlineStr">
        <is>
          <t>invocacao.4.exp.degrau</t>
        </is>
      </c>
      <c r="B3223" s="198">
        <f>IF(ISBLANK('INVOCAÇÕES'!$O$849),"",'INVOCAÇÕES'!$O$849&amp;"")</f>
        <v/>
      </c>
      <c r="C3223" s="198">
        <f>"'INVOCAÇÕES'!O797"</f>
        <v/>
      </c>
      <c r="D3223" s="198" t="inlineStr">
        <is>
          <t>entrada</t>
        </is>
      </c>
    </row>
    <row r="3224">
      <c r="A3224" s="198" t="inlineStr">
        <is>
          <t>invocacao.4.exp.acerto</t>
        </is>
      </c>
      <c r="B3224" s="198">
        <f>IF(ISBLANK('INVOCAÇÕES'!$Q$849),"",'INVOCAÇÕES'!$Q$849&amp;"")</f>
        <v/>
      </c>
      <c r="C3224" s="198">
        <f>"'INVOCAÇÕES'!Q797"</f>
        <v/>
      </c>
      <c r="D3224" s="198" t="inlineStr">
        <is>
          <t>entrada</t>
        </is>
      </c>
    </row>
    <row r="3225">
      <c r="A3225" s="198" t="inlineStr">
        <is>
          <t>invocacao.4.exp.pede</t>
        </is>
      </c>
      <c r="B3225" s="198">
        <f>IF(ISBLANK('INVOCAÇÕES'!$O$850),"",'INVOCAÇÕES'!$O$850&amp;"")</f>
        <v/>
      </c>
      <c r="C3225" s="198">
        <f>"'INVOCAÇÕES'!O798"</f>
        <v/>
      </c>
      <c r="D3225" s="198" t="inlineStr">
        <is>
          <t>resultado</t>
        </is>
      </c>
    </row>
    <row r="3226">
      <c r="A3226" s="198" t="inlineStr">
        <is>
          <t>invocacao.5.atributo.forca.base</t>
        </is>
      </c>
      <c r="B3226" s="198">
        <f>IF(ISBLANK('INVOCAÇÕES'!$O$864),"",'INVOCAÇÕES'!$O$864&amp;"")</f>
        <v/>
      </c>
      <c r="C3226" s="198">
        <f>"'INVOCAÇÕES'!O812"</f>
        <v/>
      </c>
      <c r="D3226" s="198" t="inlineStr">
        <is>
          <t>entrada</t>
        </is>
      </c>
    </row>
    <row r="3227">
      <c r="A3227" s="198" t="inlineStr">
        <is>
          <t>invocacao.5.atributo.forca.buff</t>
        </is>
      </c>
      <c r="B3227" s="198">
        <f>IF(ISBLANK('INVOCAÇÕES'!$O$865),"",'INVOCAÇÕES'!$O$865&amp;"")</f>
        <v/>
      </c>
      <c r="C3227" s="198">
        <f>"'INVOCAÇÕES'!O813"</f>
        <v/>
      </c>
      <c r="D3227" s="198" t="inlineStr">
        <is>
          <t>entrada</t>
        </is>
      </c>
    </row>
    <row r="3228">
      <c r="A3228" s="198" t="inlineStr">
        <is>
          <t>invocacao.5.atributo.forca.total</t>
        </is>
      </c>
      <c r="B3228" s="198">
        <f>IF(ISBLANK('INVOCAÇÕES'!$O$862),"",'INVOCAÇÕES'!$O$862&amp;"")</f>
        <v/>
      </c>
      <c r="C3228" s="198">
        <f>"'INVOCAÇÕES'!O810"</f>
        <v/>
      </c>
      <c r="D3228" s="198" t="inlineStr">
        <is>
          <t>resultado</t>
        </is>
      </c>
    </row>
    <row r="3229">
      <c r="A3229" s="198" t="inlineStr">
        <is>
          <t>invocacao.5.atributo.destreza.base</t>
        </is>
      </c>
      <c r="B3229" s="198">
        <f>IF(ISBLANK('INVOCAÇÕES'!$P$864),"",'INVOCAÇÕES'!$P$864&amp;"")</f>
        <v/>
      </c>
      <c r="C3229" s="198">
        <f>"'INVOCAÇÕES'!P812"</f>
        <v/>
      </c>
      <c r="D3229" s="198" t="inlineStr">
        <is>
          <t>entrada</t>
        </is>
      </c>
    </row>
    <row r="3230">
      <c r="A3230" s="198" t="inlineStr">
        <is>
          <t>invocacao.5.atributo.destreza.buff</t>
        </is>
      </c>
      <c r="B3230" s="198">
        <f>IF(ISBLANK('INVOCAÇÕES'!$P$865),"",'INVOCAÇÕES'!$P$865&amp;"")</f>
        <v/>
      </c>
      <c r="C3230" s="198">
        <f>"'INVOCAÇÕES'!P813"</f>
        <v/>
      </c>
      <c r="D3230" s="198" t="inlineStr">
        <is>
          <t>entrada</t>
        </is>
      </c>
    </row>
    <row r="3231">
      <c r="A3231" s="198" t="inlineStr">
        <is>
          <t>invocacao.5.atributo.destreza.total</t>
        </is>
      </c>
      <c r="B3231" s="198">
        <f>IF(ISBLANK('INVOCAÇÕES'!$P$862),"",'INVOCAÇÕES'!$P$862&amp;"")</f>
        <v/>
      </c>
      <c r="C3231" s="198">
        <f>"'INVOCAÇÕES'!P810"</f>
        <v/>
      </c>
      <c r="D3231" s="198" t="inlineStr">
        <is>
          <t>resultado</t>
        </is>
      </c>
    </row>
    <row r="3232">
      <c r="A3232" s="198" t="inlineStr">
        <is>
          <t>invocacao.5.atributo.constituicao.base</t>
        </is>
      </c>
      <c r="B3232" s="198">
        <f>IF(ISBLANK('INVOCAÇÕES'!$Q$864),"",'INVOCAÇÕES'!$Q$864&amp;"")</f>
        <v/>
      </c>
      <c r="C3232" s="198">
        <f>"'INVOCAÇÕES'!Q812"</f>
        <v/>
      </c>
      <c r="D3232" s="198" t="inlineStr">
        <is>
          <t>entrada</t>
        </is>
      </c>
    </row>
    <row r="3233">
      <c r="A3233" s="198" t="inlineStr">
        <is>
          <t>invocacao.5.atributo.constituicao.buff</t>
        </is>
      </c>
      <c r="B3233" s="198">
        <f>IF(ISBLANK('INVOCAÇÕES'!$Q$865),"",'INVOCAÇÕES'!$Q$865&amp;"")</f>
        <v/>
      </c>
      <c r="C3233" s="198">
        <f>"'INVOCAÇÕES'!Q813"</f>
        <v/>
      </c>
      <c r="D3233" s="198" t="inlineStr">
        <is>
          <t>entrada</t>
        </is>
      </c>
    </row>
    <row r="3234">
      <c r="A3234" s="198" t="inlineStr">
        <is>
          <t>invocacao.5.atributo.constituicao.total</t>
        </is>
      </c>
      <c r="B3234" s="198">
        <f>IF(ISBLANK('INVOCAÇÕES'!$Q$862),"",'INVOCAÇÕES'!$Q$862&amp;"")</f>
        <v/>
      </c>
      <c r="C3234" s="198">
        <f>"'INVOCAÇÕES'!Q810"</f>
        <v/>
      </c>
      <c r="D3234" s="198" t="inlineStr">
        <is>
          <t>resultado</t>
        </is>
      </c>
    </row>
    <row r="3235">
      <c r="A3235" s="198" t="inlineStr">
        <is>
          <t>invocacao.5.atributo.inteligencia.base</t>
        </is>
      </c>
      <c r="B3235" s="198">
        <f>IF(ISBLANK('INVOCAÇÕES'!$R$864),"",'INVOCAÇÕES'!$R$864&amp;"")</f>
        <v/>
      </c>
      <c r="C3235" s="198">
        <f>"'INVOCAÇÕES'!R812"</f>
        <v/>
      </c>
      <c r="D3235" s="198" t="inlineStr">
        <is>
          <t>entrada</t>
        </is>
      </c>
    </row>
    <row r="3236">
      <c r="A3236" s="198" t="inlineStr">
        <is>
          <t>invocacao.5.atributo.inteligencia.buff</t>
        </is>
      </c>
      <c r="B3236" s="198">
        <f>IF(ISBLANK('INVOCAÇÕES'!$R$865),"",'INVOCAÇÕES'!$R$865&amp;"")</f>
        <v/>
      </c>
      <c r="C3236" s="198">
        <f>"'INVOCAÇÕES'!R813"</f>
        <v/>
      </c>
      <c r="D3236" s="198" t="inlineStr">
        <is>
          <t>entrada</t>
        </is>
      </c>
    </row>
    <row r="3237">
      <c r="A3237" s="198" t="inlineStr">
        <is>
          <t>invocacao.5.atributo.inteligencia.total</t>
        </is>
      </c>
      <c r="B3237" s="198">
        <f>IF(ISBLANK('INVOCAÇÕES'!$R$862),"",'INVOCAÇÕES'!$R$862&amp;"")</f>
        <v/>
      </c>
      <c r="C3237" s="198">
        <f>"'INVOCAÇÕES'!R810"</f>
        <v/>
      </c>
      <c r="D3237" s="198" t="inlineStr">
        <is>
          <t>resultado</t>
        </is>
      </c>
    </row>
    <row r="3238">
      <c r="A3238" s="198" t="inlineStr">
        <is>
          <t>invocacao.5.atributo.essencia.base</t>
        </is>
      </c>
      <c r="B3238" s="198">
        <f>IF(ISBLANK('INVOCAÇÕES'!$S$864),"",'INVOCAÇÕES'!$S$864&amp;"")</f>
        <v/>
      </c>
      <c r="C3238" s="198">
        <f>"'INVOCAÇÕES'!S812"</f>
        <v/>
      </c>
      <c r="D3238" s="198" t="inlineStr">
        <is>
          <t>entrada</t>
        </is>
      </c>
    </row>
    <row r="3239">
      <c r="A3239" s="198" t="inlineStr">
        <is>
          <t>invocacao.5.atributo.essencia.buff</t>
        </is>
      </c>
      <c r="B3239" s="198">
        <f>IF(ISBLANK('INVOCAÇÕES'!$S$865),"",'INVOCAÇÕES'!$S$865&amp;"")</f>
        <v/>
      </c>
      <c r="C3239" s="198">
        <f>"'INVOCAÇÕES'!S813"</f>
        <v/>
      </c>
      <c r="D3239" s="198" t="inlineStr">
        <is>
          <t>entrada</t>
        </is>
      </c>
    </row>
    <row r="3240">
      <c r="A3240" s="198" t="inlineStr">
        <is>
          <t>invocacao.5.atributo.essencia.total</t>
        </is>
      </c>
      <c r="B3240" s="198">
        <f>IF(ISBLANK('INVOCAÇÕES'!$S$862),"",'INVOCAÇÕES'!$S$862&amp;"")</f>
        <v/>
      </c>
      <c r="C3240" s="198">
        <f>"'INVOCAÇÕES'!S810"</f>
        <v/>
      </c>
      <c r="D3240" s="198" t="inlineStr">
        <is>
          <t>resultado</t>
        </is>
      </c>
    </row>
    <row r="3241">
      <c r="A3241" s="198" t="inlineStr">
        <is>
          <t>invocacao.5.buff.acerto</t>
        </is>
      </c>
      <c r="B3241" s="198">
        <f>IF(ISBLANK('INVOCAÇÕES'!$O$870),"",'INVOCAÇÕES'!$O$870&amp;"")</f>
        <v/>
      </c>
      <c r="C3241" s="198">
        <f>"'INVOCAÇÕES'!O818"</f>
        <v/>
      </c>
      <c r="D3241" s="198" t="inlineStr">
        <is>
          <t>entrada</t>
        </is>
      </c>
    </row>
    <row r="3242">
      <c r="A3242" s="198" t="inlineStr">
        <is>
          <t>invocacao.5.buff.cd</t>
        </is>
      </c>
      <c r="B3242" s="198">
        <f>IF(ISBLANK('INVOCAÇÕES'!$P$870),"",'INVOCAÇÕES'!$P$870&amp;"")</f>
        <v/>
      </c>
      <c r="C3242" s="198">
        <f>"'INVOCAÇÕES'!P818"</f>
        <v/>
      </c>
      <c r="D3242" s="198" t="inlineStr">
        <is>
          <t>entrada</t>
        </is>
      </c>
    </row>
    <row r="3243">
      <c r="A3243" s="198" t="inlineStr">
        <is>
          <t>invocacao.5.buff.defesa</t>
        </is>
      </c>
      <c r="B3243" s="198">
        <f>IF(ISBLANK('INVOCAÇÕES'!$Q$870),"",'INVOCAÇÕES'!$Q$870&amp;"")</f>
        <v/>
      </c>
      <c r="C3243" s="198">
        <f>"'INVOCAÇÕES'!Q818"</f>
        <v/>
      </c>
      <c r="D3243" s="198" t="inlineStr">
        <is>
          <t>entrada</t>
        </is>
      </c>
    </row>
    <row r="3244">
      <c r="A3244" s="198" t="inlineStr">
        <is>
          <t>invocacao.5.buff.vida</t>
        </is>
      </c>
      <c r="B3244" s="198">
        <f>IF(ISBLANK('INVOCAÇÕES'!$R$870),"",'INVOCAÇÕES'!$R$870&amp;"")</f>
        <v/>
      </c>
      <c r="C3244" s="198">
        <f>"'INVOCAÇÕES'!R818"</f>
        <v/>
      </c>
      <c r="D3244" s="198" t="inlineStr">
        <is>
          <t>entrada</t>
        </is>
      </c>
    </row>
    <row r="3245">
      <c r="A3245" s="198" t="inlineStr">
        <is>
          <t>invocacao.5.buff.deslocamento</t>
        </is>
      </c>
      <c r="B3245" s="198">
        <f>IF(ISBLANK('INVOCAÇÕES'!$S$870),"",'INVOCAÇÕES'!$S$870&amp;"")</f>
        <v/>
      </c>
      <c r="C3245" s="198">
        <f>"'INVOCAÇÕES'!S818"</f>
        <v/>
      </c>
      <c r="D3245" s="198" t="inlineStr">
        <is>
          <t>entrada</t>
        </is>
      </c>
    </row>
    <row r="3246">
      <c r="A3246" s="198" t="inlineStr">
        <is>
          <t>invocacao.5.buff.tr.fisico</t>
        </is>
      </c>
      <c r="B3246" s="198">
        <f>IF(ISBLANK('INVOCAÇÕES'!$O$875),"",'INVOCAÇÕES'!$O$875&amp;"")</f>
        <v/>
      </c>
      <c r="C3246" s="198">
        <f>"'INVOCAÇÕES'!O823"</f>
        <v/>
      </c>
      <c r="D3246" s="198" t="inlineStr">
        <is>
          <t>entrada</t>
        </is>
      </c>
    </row>
    <row r="3247">
      <c r="A3247" s="198" t="inlineStr">
        <is>
          <t>invocacao.5.buff.tr.vigor</t>
        </is>
      </c>
      <c r="B3247" s="198">
        <f>IF(ISBLANK('INVOCAÇÕES'!$P$875),"",'INVOCAÇÕES'!$P$875&amp;"")</f>
        <v/>
      </c>
      <c r="C3247" s="198">
        <f>"'INVOCAÇÕES'!P823"</f>
        <v/>
      </c>
      <c r="D3247" s="198" t="inlineStr">
        <is>
          <t>entrada</t>
        </is>
      </c>
    </row>
    <row r="3248">
      <c r="A3248" s="198" t="inlineStr">
        <is>
          <t>invocacao.5.buff.tr.intelecto</t>
        </is>
      </c>
      <c r="B3248" s="198">
        <f>IF(ISBLANK('INVOCAÇÕES'!$Q$875),"",'INVOCAÇÕES'!$Q$875&amp;"")</f>
        <v/>
      </c>
      <c r="C3248" s="198">
        <f>"'INVOCAÇÕES'!Q823"</f>
        <v/>
      </c>
      <c r="D3248" s="198" t="inlineStr">
        <is>
          <t>entrada</t>
        </is>
      </c>
    </row>
    <row r="3249">
      <c r="A3249" s="198" t="inlineStr">
        <is>
          <t>invocacao.5.buff.tr.espirito</t>
        </is>
      </c>
      <c r="B3249" s="198">
        <f>IF(ISBLANK('INVOCAÇÕES'!$R$875),"",'INVOCAÇÕES'!$R$875&amp;"")</f>
        <v/>
      </c>
      <c r="C3249" s="198">
        <f>"'INVOCAÇÕES'!R823"</f>
        <v/>
      </c>
      <c r="D3249" s="198" t="inlineStr">
        <is>
          <t>entrada</t>
        </is>
      </c>
    </row>
    <row r="3250">
      <c r="A3250" s="198" t="inlineStr">
        <is>
          <t>invocacao.5.atributo_acerto</t>
        </is>
      </c>
      <c r="B3250" s="198">
        <f>IF(ISBLANK('INVOCAÇÕES'!$O$878),"",'INVOCAÇÕES'!$O$878&amp;"")</f>
        <v/>
      </c>
      <c r="C3250" s="198">
        <f>"'INVOCAÇÕES'!O826"</f>
        <v/>
      </c>
      <c r="D3250" s="198" t="inlineStr">
        <is>
          <t>entrada</t>
        </is>
      </c>
    </row>
    <row r="3251">
      <c r="A3251" s="198" t="inlineStr">
        <is>
          <t>invocacao.5.atributo_fisico</t>
        </is>
      </c>
      <c r="B3251" s="198">
        <f>IF(ISBLANK('INVOCAÇÕES'!$R$878),"",'INVOCAÇÕES'!$R$878&amp;"")</f>
        <v/>
      </c>
      <c r="C3251" s="198">
        <f>"'INVOCAÇÕES'!R826"</f>
        <v/>
      </c>
      <c r="D3251" s="198" t="inlineStr">
        <is>
          <t>entrada</t>
        </is>
      </c>
    </row>
    <row r="3252">
      <c r="A3252" s="198" t="inlineStr">
        <is>
          <t>invocacao.5.tr_treinado</t>
        </is>
      </c>
      <c r="B3252" s="198">
        <f>IF(ISBLANK('INVOCAÇÕES'!$S$873),"",'INVOCAÇÕES'!$S$873&amp;"")</f>
        <v/>
      </c>
      <c r="C3252" s="198">
        <f>"'INVOCAÇÕES'!S821"</f>
        <v/>
      </c>
      <c r="D3252" s="198" t="inlineStr">
        <is>
          <t>entrada</t>
        </is>
      </c>
    </row>
    <row r="3253">
      <c r="A3253" s="198" t="inlineStr">
        <is>
          <t>invocacao.5.alma</t>
        </is>
      </c>
      <c r="B3253" s="198">
        <f>IF(ISBLANK('INVOCAÇÕES'!$U$862),"",'INVOCAÇÕES'!$U$862&amp;"")</f>
        <v/>
      </c>
      <c r="C3253" s="198">
        <f>"'INVOCAÇÕES'!U810"</f>
        <v/>
      </c>
      <c r="D3253" s="198" t="inlineStr">
        <is>
          <t>entrada</t>
        </is>
      </c>
    </row>
    <row r="3254">
      <c r="A3254" s="198" t="inlineStr">
        <is>
          <t>invocacao.5.notas</t>
        </is>
      </c>
      <c r="B3254" s="198">
        <f>IF(ISBLANK('INVOCAÇÕES'!$U$871),"",'INVOCAÇÕES'!$U$871&amp;"")</f>
        <v/>
      </c>
      <c r="C3254" s="198">
        <f>"'INVOCAÇÕES'!U819"</f>
        <v/>
      </c>
      <c r="D3254" s="198" t="inlineStr">
        <is>
          <t>entrada</t>
        </is>
      </c>
    </row>
    <row r="3255">
      <c r="A3255" s="198" t="inlineStr">
        <is>
          <t>invocacao.5.definicao</t>
        </is>
      </c>
      <c r="B3255" s="198">
        <f>IF(ISBLANK('INVOCAÇÕES'!$I$910),"",'INVOCAÇÕES'!$I$910&amp;"")</f>
        <v/>
      </c>
      <c r="C3255" s="198">
        <f>"'INVOCAÇÕES'!I845"</f>
        <v/>
      </c>
      <c r="D3255" s="198" t="inlineStr">
        <is>
          <t>entrada</t>
        </is>
      </c>
    </row>
    <row r="3256">
      <c r="A3256" s="198" t="inlineStr">
        <is>
          <t>invocacao.5.familia.1</t>
        </is>
      </c>
      <c r="B3256" s="198">
        <f>IF(ISBLANK('INVOCAÇÕES'!$O$892),"",'INVOCAÇÕES'!$O$892&amp;"")</f>
        <v/>
      </c>
      <c r="C3256" s="198">
        <f>"'INVOCAÇÕES'!O840"</f>
        <v/>
      </c>
      <c r="D3256" s="198" t="inlineStr">
        <is>
          <t>entrada</t>
        </is>
      </c>
    </row>
    <row r="3257">
      <c r="A3257" s="198" t="inlineStr">
        <is>
          <t>invocacao.5.familia.2</t>
        </is>
      </c>
      <c r="B3257" s="198">
        <f>IF(ISBLANK('INVOCAÇÕES'!$P$892),"",'INVOCAÇÕES'!$P$892&amp;"")</f>
        <v/>
      </c>
      <c r="C3257" s="198">
        <f>"'INVOCAÇÕES'!P840"</f>
        <v/>
      </c>
      <c r="D3257" s="198" t="inlineStr">
        <is>
          <t>entrada</t>
        </is>
      </c>
    </row>
    <row r="3258">
      <c r="A3258" s="198" t="inlineStr">
        <is>
          <t>invocacao.5.familia.3</t>
        </is>
      </c>
      <c r="B3258" s="198">
        <f>IF(ISBLANK('INVOCAÇÕES'!$Q$892),"",'INVOCAÇÕES'!$Q$892&amp;"")</f>
        <v/>
      </c>
      <c r="C3258" s="198">
        <f>"'INVOCAÇÕES'!Q840"</f>
        <v/>
      </c>
      <c r="D3258" s="198" t="inlineStr">
        <is>
          <t>entrada</t>
        </is>
      </c>
    </row>
    <row r="3259">
      <c r="A3259" s="198" t="inlineStr">
        <is>
          <t>invocacao.5.familia.4</t>
        </is>
      </c>
      <c r="B3259" s="198">
        <f>IF(ISBLANK('INVOCAÇÕES'!$R$892),"",'INVOCAÇÕES'!$R$892&amp;"")</f>
        <v/>
      </c>
      <c r="C3259" s="198">
        <f>"'INVOCAÇÕES'!R840"</f>
        <v/>
      </c>
      <c r="D3259" s="198" t="inlineStr">
        <is>
          <t>entrada</t>
        </is>
      </c>
    </row>
    <row r="3260">
      <c r="A3260" s="198" t="inlineStr">
        <is>
          <t>invocacao.5.familia.5</t>
        </is>
      </c>
      <c r="B3260" s="198">
        <f>IF(ISBLANK('INVOCAÇÕES'!$S$892),"",'INVOCAÇÕES'!$S$892&amp;"")</f>
        <v/>
      </c>
      <c r="C3260" s="198">
        <f>"'INVOCAÇÕES'!S840"</f>
        <v/>
      </c>
      <c r="D3260" s="198" t="inlineStr">
        <is>
          <t>entrada</t>
        </is>
      </c>
    </row>
    <row r="3261">
      <c r="A3261" s="198" t="inlineStr">
        <is>
          <t>invocacao.5.pericia.1</t>
        </is>
      </c>
      <c r="B3261" s="198">
        <f>IF(ISBLANK('INVOCAÇÕES'!$O$882),"",'INVOCAÇÕES'!$O$882&amp;"")</f>
        <v/>
      </c>
      <c r="C3261" s="198">
        <f>"'INVOCAÇÕES'!O830"</f>
        <v/>
      </c>
      <c r="D3261" s="198" t="inlineStr">
        <is>
          <t>entrada</t>
        </is>
      </c>
    </row>
    <row r="3262">
      <c r="A3262" s="198" t="inlineStr">
        <is>
          <t>invocacao.5.pericia.2</t>
        </is>
      </c>
      <c r="B3262" s="198">
        <f>IF(ISBLANK('INVOCAÇÕES'!$O$883),"",'INVOCAÇÕES'!$O$883&amp;"")</f>
        <v/>
      </c>
      <c r="C3262" s="198">
        <f>"'INVOCAÇÕES'!O831"</f>
        <v/>
      </c>
      <c r="D3262" s="198" t="inlineStr">
        <is>
          <t>entrada</t>
        </is>
      </c>
    </row>
    <row r="3263">
      <c r="A3263" s="198" t="inlineStr">
        <is>
          <t>invocacao.5.pericia.3</t>
        </is>
      </c>
      <c r="B3263" s="198">
        <f>IF(ISBLANK('INVOCAÇÕES'!$O$884),"",'INVOCAÇÕES'!$O$884&amp;"")</f>
        <v/>
      </c>
      <c r="C3263" s="198">
        <f>"'INVOCAÇÕES'!O832"</f>
        <v/>
      </c>
      <c r="D3263" s="198" t="inlineStr">
        <is>
          <t>entrada</t>
        </is>
      </c>
    </row>
    <row r="3264">
      <c r="A3264" s="198" t="inlineStr">
        <is>
          <t>invocacao.5.pericia.4</t>
        </is>
      </c>
      <c r="B3264" s="198">
        <f>IF(ISBLANK('INVOCAÇÕES'!$O$885),"",'INVOCAÇÕES'!$O$885&amp;"")</f>
        <v/>
      </c>
      <c r="C3264" s="198">
        <f>"'INVOCAÇÕES'!O833"</f>
        <v/>
      </c>
      <c r="D3264" s="198" t="inlineStr">
        <is>
          <t>entrada</t>
        </is>
      </c>
    </row>
    <row r="3265">
      <c r="A3265" s="198" t="inlineStr">
        <is>
          <t>invocacao.5.pericia.5</t>
        </is>
      </c>
      <c r="B3265" s="198">
        <f>IF(ISBLANK('INVOCAÇÕES'!$O$886),"",'INVOCAÇÕES'!$O$886&amp;"")</f>
        <v/>
      </c>
      <c r="C3265" s="198">
        <f>"'INVOCAÇÕES'!O834"</f>
        <v/>
      </c>
      <c r="D3265" s="198" t="inlineStr">
        <is>
          <t>entrada</t>
        </is>
      </c>
    </row>
    <row r="3266">
      <c r="A3266" s="198" t="inlineStr">
        <is>
          <t>invocacao.5.pericia.6</t>
        </is>
      </c>
      <c r="B3266" s="198">
        <f>IF(ISBLANK('INVOCAÇÕES'!$O$887),"",'INVOCAÇÕES'!$O$887&amp;"")</f>
        <v/>
      </c>
      <c r="C3266" s="198">
        <f>"'INVOCAÇÕES'!O835"</f>
        <v/>
      </c>
      <c r="D3266" s="198" t="inlineStr">
        <is>
          <t>entrada</t>
        </is>
      </c>
    </row>
    <row r="3267">
      <c r="A3267" s="198" t="inlineStr">
        <is>
          <t>invocacao.5.pericia.7</t>
        </is>
      </c>
      <c r="B3267" s="198">
        <f>IF(ISBLANK('INVOCAÇÕES'!$O$888),"",'INVOCAÇÕES'!$O$888&amp;"")</f>
        <v/>
      </c>
      <c r="C3267" s="198">
        <f>"'INVOCAÇÕES'!O836"</f>
        <v/>
      </c>
      <c r="D3267" s="198" t="inlineStr">
        <is>
          <t>entrada</t>
        </is>
      </c>
    </row>
    <row r="3268">
      <c r="A3268" s="198" t="inlineStr">
        <is>
          <t>invocacao.5.buff.pericia.1</t>
        </is>
      </c>
      <c r="B3268" s="198">
        <f>IF(ISBLANK('INVOCAÇÕES'!$R$882),"",'INVOCAÇÕES'!$R$882&amp;"")</f>
        <v/>
      </c>
      <c r="C3268" s="198">
        <f>"'INVOCAÇÕES'!R830"</f>
        <v/>
      </c>
      <c r="D3268" s="198" t="inlineStr">
        <is>
          <t>entrada</t>
        </is>
      </c>
    </row>
    <row r="3269">
      <c r="A3269" s="198" t="inlineStr">
        <is>
          <t>invocacao.5.buff.pericia.2</t>
        </is>
      </c>
      <c r="B3269" s="198">
        <f>IF(ISBLANK('INVOCAÇÕES'!$R$883),"",'INVOCAÇÕES'!$R$883&amp;"")</f>
        <v/>
      </c>
      <c r="C3269" s="198">
        <f>"'INVOCAÇÕES'!R831"</f>
        <v/>
      </c>
      <c r="D3269" s="198" t="inlineStr">
        <is>
          <t>entrada</t>
        </is>
      </c>
    </row>
    <row r="3270">
      <c r="A3270" s="198" t="inlineStr">
        <is>
          <t>invocacao.5.buff.pericia.3</t>
        </is>
      </c>
      <c r="B3270" s="198">
        <f>IF(ISBLANK('INVOCAÇÕES'!$R$884),"",'INVOCAÇÕES'!$R$884&amp;"")</f>
        <v/>
      </c>
      <c r="C3270" s="198">
        <f>"'INVOCAÇÕES'!R832"</f>
        <v/>
      </c>
      <c r="D3270" s="198" t="inlineStr">
        <is>
          <t>entrada</t>
        </is>
      </c>
    </row>
    <row r="3271">
      <c r="A3271" s="198" t="inlineStr">
        <is>
          <t>invocacao.5.buff.pericia.4</t>
        </is>
      </c>
      <c r="B3271" s="198">
        <f>IF(ISBLANK('INVOCAÇÕES'!$R$885),"",'INVOCAÇÕES'!$R$885&amp;"")</f>
        <v/>
      </c>
      <c r="C3271" s="198">
        <f>"'INVOCAÇÕES'!R833"</f>
        <v/>
      </c>
      <c r="D3271" s="198" t="inlineStr">
        <is>
          <t>entrada</t>
        </is>
      </c>
    </row>
    <row r="3272">
      <c r="A3272" s="198" t="inlineStr">
        <is>
          <t>invocacao.5.buff.pericia.5</t>
        </is>
      </c>
      <c r="B3272" s="198">
        <f>IF(ISBLANK('INVOCAÇÕES'!$R$886),"",'INVOCAÇÕES'!$R$886&amp;"")</f>
        <v/>
      </c>
      <c r="C3272" s="198">
        <f>"'INVOCAÇÕES'!R834"</f>
        <v/>
      </c>
      <c r="D3272" s="198" t="inlineStr">
        <is>
          <t>entrada</t>
        </is>
      </c>
    </row>
    <row r="3273">
      <c r="A3273" s="198" t="inlineStr">
        <is>
          <t>invocacao.5.buff.pericia.6</t>
        </is>
      </c>
      <c r="B3273" s="198">
        <f>IF(ISBLANK('INVOCAÇÕES'!$R$887),"",'INVOCAÇÕES'!$R$887&amp;"")</f>
        <v/>
      </c>
      <c r="C3273" s="198">
        <f>"'INVOCAÇÕES'!R835"</f>
        <v/>
      </c>
      <c r="D3273" s="198" t="inlineStr">
        <is>
          <t>entrada</t>
        </is>
      </c>
    </row>
    <row r="3274">
      <c r="A3274" s="198" t="inlineStr">
        <is>
          <t>invocacao.5.buff.pericia.7</t>
        </is>
      </c>
      <c r="B3274" s="198">
        <f>IF(ISBLANK('INVOCAÇÕES'!$R$888),"",'INVOCAÇÕES'!$R$888&amp;"")</f>
        <v/>
      </c>
      <c r="C3274" s="198">
        <f>"'INVOCAÇÕES'!R836"</f>
        <v/>
      </c>
      <c r="D3274" s="198" t="inlineStr">
        <is>
          <t>entrada</t>
        </is>
      </c>
    </row>
    <row r="3275">
      <c r="A3275" s="198" t="inlineStr">
        <is>
          <t>invocacao.5.talento.1</t>
        </is>
      </c>
      <c r="B3275" s="198">
        <f>IF(ISBLANK('INVOCAÇÕES'!$J$937),"",'INVOCAÇÕES'!$J$937&amp;"")</f>
        <v/>
      </c>
      <c r="C3275" s="198">
        <f>"'INVOCAÇÕES'!J872"</f>
        <v/>
      </c>
      <c r="D3275" s="198" t="inlineStr">
        <is>
          <t>entrada</t>
        </is>
      </c>
    </row>
    <row r="3276">
      <c r="A3276" s="198" t="inlineStr">
        <is>
          <t>invocacao.5.talento.2</t>
        </is>
      </c>
      <c r="B3276" s="198">
        <f>IF(ISBLANK('INVOCAÇÕES'!$J$938),"",'INVOCAÇÕES'!$J$938&amp;"")</f>
        <v/>
      </c>
      <c r="C3276" s="198">
        <f>"'INVOCAÇÕES'!J873"</f>
        <v/>
      </c>
      <c r="D3276" s="198" t="inlineStr">
        <is>
          <t>entrada</t>
        </is>
      </c>
    </row>
    <row r="3277">
      <c r="A3277" s="198" t="inlineStr">
        <is>
          <t>invocacao.5.talento.3</t>
        </is>
      </c>
      <c r="B3277" s="198">
        <f>IF(ISBLANK('INVOCAÇÕES'!$J$939),"",'INVOCAÇÕES'!$J$939&amp;"")</f>
        <v/>
      </c>
      <c r="C3277" s="198">
        <f>"'INVOCAÇÕES'!J874"</f>
        <v/>
      </c>
      <c r="D3277" s="198" t="inlineStr">
        <is>
          <t>entrada</t>
        </is>
      </c>
    </row>
    <row r="3278">
      <c r="A3278" s="198" t="inlineStr">
        <is>
          <t>invocacao.5.talento.4</t>
        </is>
      </c>
      <c r="B3278" s="198">
        <f>IF(ISBLANK('INVOCAÇÕES'!$J$940),"",'INVOCAÇÕES'!$J$940&amp;"")</f>
        <v/>
      </c>
      <c r="C3278" s="198">
        <f>"'INVOCAÇÕES'!J875"</f>
        <v/>
      </c>
      <c r="D3278" s="198" t="inlineStr">
        <is>
          <t>entrada</t>
        </is>
      </c>
    </row>
    <row r="3279">
      <c r="A3279" s="198" t="inlineStr">
        <is>
          <t>invocacao.5.talento.5</t>
        </is>
      </c>
      <c r="B3279" s="198">
        <f>IF(ISBLANK('INVOCAÇÕES'!$J$941),"",'INVOCAÇÕES'!$J$941&amp;"")</f>
        <v/>
      </c>
      <c r="C3279" s="198">
        <f>"'INVOCAÇÕES'!J876"</f>
        <v/>
      </c>
      <c r="D3279" s="198" t="inlineStr">
        <is>
          <t>entrada</t>
        </is>
      </c>
    </row>
    <row r="3280">
      <c r="A3280" s="198" t="inlineStr">
        <is>
          <t>invocacao.5.talento.6</t>
        </is>
      </c>
      <c r="B3280" s="198">
        <f>IF(ISBLANK('INVOCAÇÕES'!$J$942),"",'INVOCAÇÕES'!$J$942&amp;"")</f>
        <v/>
      </c>
      <c r="C3280" s="198">
        <f>"'INVOCAÇÕES'!J877"</f>
        <v/>
      </c>
      <c r="D3280" s="198" t="inlineStr">
        <is>
          <t>entrada</t>
        </is>
      </c>
    </row>
    <row r="3281">
      <c r="A3281" s="198" t="inlineStr">
        <is>
          <t>invocacao.5.talento.7</t>
        </is>
      </c>
      <c r="B3281" s="198">
        <f>IF(ISBLANK('INVOCAÇÕES'!$J$943),"",'INVOCAÇÕES'!$J$943&amp;"")</f>
        <v/>
      </c>
      <c r="C3281" s="198">
        <f>"'INVOCAÇÕES'!J878"</f>
        <v/>
      </c>
      <c r="D3281" s="198" t="inlineStr">
        <is>
          <t>entrada</t>
        </is>
      </c>
    </row>
    <row r="3282">
      <c r="A3282" s="198" t="inlineStr">
        <is>
          <t>invocacao.5.talento.8</t>
        </is>
      </c>
      <c r="B3282" s="198">
        <f>IF(ISBLANK('INVOCAÇÕES'!$J$944),"",'INVOCAÇÕES'!$J$944&amp;"")</f>
        <v/>
      </c>
      <c r="C3282" s="198">
        <f>"'INVOCAÇÕES'!J879"</f>
        <v/>
      </c>
      <c r="D3282" s="198" t="inlineStr">
        <is>
          <t>entrada</t>
        </is>
      </c>
    </row>
    <row r="3283">
      <c r="A3283" s="198" t="inlineStr">
        <is>
          <t>invocacao.5.talento_extra.1</t>
        </is>
      </c>
      <c r="B3283" s="198">
        <f>IF(ISBLANK('INVOCAÇÕES'!$J$1039),"",'INVOCAÇÕES'!$J$1039&amp;"")</f>
        <v/>
      </c>
      <c r="C3283" s="198">
        <f>"'INVOCAÇÕES'!J974"</f>
        <v/>
      </c>
      <c r="D3283" s="198" t="inlineStr">
        <is>
          <t>entrada</t>
        </is>
      </c>
    </row>
    <row r="3284">
      <c r="A3284" s="198" t="inlineStr">
        <is>
          <t>invocacao.5.talento_extra.2</t>
        </is>
      </c>
      <c r="B3284" s="198">
        <f>IF(ISBLANK('INVOCAÇÕES'!$J$1040),"",'INVOCAÇÕES'!$J$1040&amp;"")</f>
        <v/>
      </c>
      <c r="C3284" s="198">
        <f>"'INVOCAÇÕES'!J975"</f>
        <v/>
      </c>
      <c r="D3284" s="198" t="inlineStr">
        <is>
          <t>entrada</t>
        </is>
      </c>
    </row>
    <row r="3285">
      <c r="A3285" s="198" t="inlineStr">
        <is>
          <t>invocacao.5.talento_extra.3</t>
        </is>
      </c>
      <c r="B3285" s="198">
        <f>IF(ISBLANK('INVOCAÇÕES'!$J$1041),"",'INVOCAÇÕES'!$J$1041&amp;"")</f>
        <v/>
      </c>
      <c r="C3285" s="198">
        <f>"'INVOCAÇÕES'!J976"</f>
        <v/>
      </c>
      <c r="D3285" s="198" t="inlineStr">
        <is>
          <t>entrada</t>
        </is>
      </c>
    </row>
    <row r="3286">
      <c r="A3286" s="198" t="inlineStr">
        <is>
          <t>invocacao.5.equipamento.1</t>
        </is>
      </c>
      <c r="B3286" s="198">
        <f>IF(ISBLANK('INVOCAÇÕES'!$V$877),"",'INVOCAÇÕES'!$V$877&amp;"")</f>
        <v/>
      </c>
      <c r="C3286" s="198">
        <f>"'INVOCAÇÕES'!V825"</f>
        <v/>
      </c>
      <c r="D3286" s="198" t="inlineStr">
        <is>
          <t>entrada</t>
        </is>
      </c>
    </row>
    <row r="3287">
      <c r="A3287" s="198" t="inlineStr">
        <is>
          <t>invocacao.5.equipamento.2</t>
        </is>
      </c>
      <c r="B3287" s="198">
        <f>IF(ISBLANK('INVOCAÇÕES'!$V$878),"",'INVOCAÇÕES'!$V$878&amp;"")</f>
        <v/>
      </c>
      <c r="C3287" s="198">
        <f>"'INVOCAÇÕES'!V826"</f>
        <v/>
      </c>
      <c r="D3287" s="198" t="inlineStr">
        <is>
          <t>entrada</t>
        </is>
      </c>
    </row>
    <row r="3288">
      <c r="A3288" s="198" t="inlineStr">
        <is>
          <t>invocacao.5.equipamento.3</t>
        </is>
      </c>
      <c r="B3288" s="198">
        <f>IF(ISBLANK('INVOCAÇÕES'!$V$879),"",'INVOCAÇÕES'!$V$879&amp;"")</f>
        <v/>
      </c>
      <c r="C3288" s="198">
        <f>"'INVOCAÇÕES'!V827"</f>
        <v/>
      </c>
      <c r="D3288" s="198" t="inlineStr">
        <is>
          <t>entrada</t>
        </is>
      </c>
    </row>
    <row r="3289">
      <c r="A3289" s="198" t="inlineStr">
        <is>
          <t>invocacao.5.liberacao.1.classe</t>
        </is>
      </c>
      <c r="B3289" s="198">
        <f>IF(ISBLANK('INVOCAÇÕES'!$I$1046),"",'INVOCAÇÕES'!$I$1046&amp;"")</f>
        <v/>
      </c>
      <c r="C3289" s="198">
        <f>"'INVOCAÇÕES'!I981"</f>
        <v/>
      </c>
      <c r="D3289" s="198" t="inlineStr">
        <is>
          <t>entrada</t>
        </is>
      </c>
    </row>
    <row r="3290">
      <c r="A3290" s="198" t="inlineStr">
        <is>
          <t>invocacao.5.liberacao.1.nome</t>
        </is>
      </c>
      <c r="B3290" s="198">
        <f>IF(ISBLANK('INVOCAÇÕES'!$J$1046),"",'INVOCAÇÕES'!$J$1046&amp;"")</f>
        <v/>
      </c>
      <c r="C3290" s="198">
        <f>"'INVOCAÇÕES'!J981"</f>
        <v/>
      </c>
      <c r="D3290" s="198" t="inlineStr">
        <is>
          <t>entrada</t>
        </is>
      </c>
    </row>
    <row r="3291">
      <c r="A3291" s="198" t="inlineStr">
        <is>
          <t>invocacao.5.liberacao.1.pe</t>
        </is>
      </c>
      <c r="B3291" s="198">
        <f>IF(ISBLANK('INVOCAÇÕES'!$M$1046),"",'INVOCAÇÕES'!$M$1046&amp;"")</f>
        <v/>
      </c>
      <c r="C3291" s="198">
        <f>"'INVOCAÇÕES'!M981"</f>
        <v/>
      </c>
      <c r="D3291" s="198" t="inlineStr">
        <is>
          <t>resultado</t>
        </is>
      </c>
    </row>
    <row r="3292">
      <c r="A3292" s="198" t="inlineStr">
        <is>
          <t>invocacao.5.liberacao.1.como</t>
        </is>
      </c>
      <c r="B3292" s="198">
        <f>IF(ISBLANK('INVOCAÇÕES'!$I$1047),"",'INVOCAÇÕES'!$I$1047&amp;"")</f>
        <v/>
      </c>
      <c r="C3292" s="198">
        <f>"'INVOCAÇÕES'!I982"</f>
        <v/>
      </c>
      <c r="D3292" s="198" t="inlineStr">
        <is>
          <t>entrada</t>
        </is>
      </c>
    </row>
    <row r="3293">
      <c r="A3293" s="198" t="inlineStr">
        <is>
          <t>invocacao.5.liberacao.1.pontos</t>
        </is>
      </c>
      <c r="B3293" s="198">
        <f>IF(ISBLANK('INVOCAÇÕES'!$I$1051),"",'INVOCAÇÕES'!$I$1051&amp;"")</f>
        <v/>
      </c>
      <c r="C3293" s="198">
        <f>"'INVOCAÇÕES'!I986"</f>
        <v/>
      </c>
      <c r="D3293" s="198" t="inlineStr">
        <is>
          <t>resultado</t>
        </is>
      </c>
    </row>
    <row r="3294">
      <c r="A3294" s="198" t="inlineStr">
        <is>
          <t>invocacao.5.liberacao.1.acao</t>
        </is>
      </c>
      <c r="B3294" s="198">
        <f>IF(ISBLANK('INVOCAÇÕES'!$I$1052),"",'INVOCAÇÕES'!$I$1052&amp;"")</f>
        <v/>
      </c>
      <c r="C3294" s="198">
        <f>"'INVOCAÇÕES'!I987"</f>
        <v/>
      </c>
      <c r="D3294" s="198" t="inlineStr">
        <is>
          <t>resultado</t>
        </is>
      </c>
    </row>
    <row r="3295">
      <c r="A3295" s="198" t="inlineStr">
        <is>
          <t>invocacao.5.liberacao.2.classe</t>
        </is>
      </c>
      <c r="B3295" s="198">
        <f>IF(ISBLANK('INVOCAÇÕES'!$O$1046),"",'INVOCAÇÕES'!$O$1046&amp;"")</f>
        <v/>
      </c>
      <c r="C3295" s="198">
        <f>"'INVOCAÇÕES'!O981"</f>
        <v/>
      </c>
      <c r="D3295" s="198" t="inlineStr">
        <is>
          <t>entrada</t>
        </is>
      </c>
    </row>
    <row r="3296">
      <c r="A3296" s="198" t="inlineStr">
        <is>
          <t>invocacao.5.liberacao.2.nome</t>
        </is>
      </c>
      <c r="B3296" s="198">
        <f>IF(ISBLANK('INVOCAÇÕES'!$P$1046),"",'INVOCAÇÕES'!$P$1046&amp;"")</f>
        <v/>
      </c>
      <c r="C3296" s="198">
        <f>"'INVOCAÇÕES'!P981"</f>
        <v/>
      </c>
      <c r="D3296" s="198" t="inlineStr">
        <is>
          <t>entrada</t>
        </is>
      </c>
    </row>
    <row r="3297">
      <c r="A3297" s="198" t="inlineStr">
        <is>
          <t>invocacao.5.liberacao.2.pe</t>
        </is>
      </c>
      <c r="B3297" s="198">
        <f>IF(ISBLANK('INVOCAÇÕES'!$S$1046),"",'INVOCAÇÕES'!$S$1046&amp;"")</f>
        <v/>
      </c>
      <c r="C3297" s="198">
        <f>"'INVOCAÇÕES'!S981"</f>
        <v/>
      </c>
      <c r="D3297" s="198" t="inlineStr">
        <is>
          <t>resultado</t>
        </is>
      </c>
    </row>
    <row r="3298">
      <c r="A3298" s="198" t="inlineStr">
        <is>
          <t>invocacao.5.liberacao.2.como</t>
        </is>
      </c>
      <c r="B3298" s="198">
        <f>IF(ISBLANK('INVOCAÇÕES'!$O$1047),"",'INVOCAÇÕES'!$O$1047&amp;"")</f>
        <v/>
      </c>
      <c r="C3298" s="198">
        <f>"'INVOCAÇÕES'!O982"</f>
        <v/>
      </c>
      <c r="D3298" s="198" t="inlineStr">
        <is>
          <t>entrada</t>
        </is>
      </c>
    </row>
    <row r="3299">
      <c r="A3299" s="198" t="inlineStr">
        <is>
          <t>invocacao.5.liberacao.2.pontos</t>
        </is>
      </c>
      <c r="B3299" s="198">
        <f>IF(ISBLANK('INVOCAÇÕES'!$O$1051),"",'INVOCAÇÕES'!$O$1051&amp;"")</f>
        <v/>
      </c>
      <c r="C3299" s="198">
        <f>"'INVOCAÇÕES'!O986"</f>
        <v/>
      </c>
      <c r="D3299" s="198" t="inlineStr">
        <is>
          <t>resultado</t>
        </is>
      </c>
    </row>
    <row r="3300">
      <c r="A3300" s="198" t="inlineStr">
        <is>
          <t>invocacao.5.liberacao.2.acao</t>
        </is>
      </c>
      <c r="B3300" s="198">
        <f>IF(ISBLANK('INVOCAÇÕES'!$O$1052),"",'INVOCAÇÕES'!$O$1052&amp;"")</f>
        <v/>
      </c>
      <c r="C3300" s="198">
        <f>"'INVOCAÇÕES'!O987"</f>
        <v/>
      </c>
      <c r="D3300" s="198" t="inlineStr">
        <is>
          <t>resultado</t>
        </is>
      </c>
    </row>
    <row r="3301">
      <c r="A3301" s="198" t="inlineStr">
        <is>
          <t>invocacao.5.liberacao.3.classe</t>
        </is>
      </c>
      <c r="B3301" s="198">
        <f>IF(ISBLANK('INVOCAÇÕES'!$U$1046),"",'INVOCAÇÕES'!$U$1046&amp;"")</f>
        <v/>
      </c>
      <c r="C3301" s="198">
        <f>"'INVOCAÇÕES'!U981"</f>
        <v/>
      </c>
      <c r="D3301" s="198" t="inlineStr">
        <is>
          <t>entrada</t>
        </is>
      </c>
    </row>
    <row r="3302">
      <c r="A3302" s="198" t="inlineStr">
        <is>
          <t>invocacao.5.liberacao.3.nome</t>
        </is>
      </c>
      <c r="B3302" s="198">
        <f>IF(ISBLANK('INVOCAÇÕES'!$V$1046),"",'INVOCAÇÕES'!$V$1046&amp;"")</f>
        <v/>
      </c>
      <c r="C3302" s="198">
        <f>"'INVOCAÇÕES'!V981"</f>
        <v/>
      </c>
      <c r="D3302" s="198" t="inlineStr">
        <is>
          <t>entrada</t>
        </is>
      </c>
    </row>
    <row r="3303">
      <c r="A3303" s="198" t="inlineStr">
        <is>
          <t>invocacao.5.liberacao.3.pe</t>
        </is>
      </c>
      <c r="B3303" s="198">
        <f>IF(ISBLANK('INVOCAÇÕES'!$Y$1046),"",'INVOCAÇÕES'!$Y$1046&amp;"")</f>
        <v/>
      </c>
      <c r="C3303" s="198">
        <f>"'INVOCAÇÕES'!Y981"</f>
        <v/>
      </c>
      <c r="D3303" s="198" t="inlineStr">
        <is>
          <t>resultado</t>
        </is>
      </c>
    </row>
    <row r="3304">
      <c r="A3304" s="198" t="inlineStr">
        <is>
          <t>invocacao.5.liberacao.3.como</t>
        </is>
      </c>
      <c r="B3304" s="198">
        <f>IF(ISBLANK('INVOCAÇÕES'!$U$1047),"",'INVOCAÇÕES'!$U$1047&amp;"")</f>
        <v/>
      </c>
      <c r="C3304" s="198">
        <f>"'INVOCAÇÕES'!U982"</f>
        <v/>
      </c>
      <c r="D3304" s="198" t="inlineStr">
        <is>
          <t>entrada</t>
        </is>
      </c>
    </row>
    <row r="3305">
      <c r="A3305" s="198" t="inlineStr">
        <is>
          <t>invocacao.5.liberacao.3.pontos</t>
        </is>
      </c>
      <c r="B3305" s="198">
        <f>IF(ISBLANK('INVOCAÇÕES'!$U$1051),"",'INVOCAÇÕES'!$U$1051&amp;"")</f>
        <v/>
      </c>
      <c r="C3305" s="198">
        <f>"'INVOCAÇÕES'!U986"</f>
        <v/>
      </c>
      <c r="D3305" s="198" t="inlineStr">
        <is>
          <t>resultado</t>
        </is>
      </c>
    </row>
    <row r="3306">
      <c r="A3306" s="198" t="inlineStr">
        <is>
          <t>invocacao.5.liberacao.3.acao</t>
        </is>
      </c>
      <c r="B3306" s="198">
        <f>IF(ISBLANK('INVOCAÇÕES'!$U$1052),"",'INVOCAÇÕES'!$U$1052&amp;"")</f>
        <v/>
      </c>
      <c r="C3306" s="198">
        <f>"'INVOCAÇÕES'!U987"</f>
        <v/>
      </c>
      <c r="D3306" s="198" t="inlineStr">
        <is>
          <t>resultado</t>
        </is>
      </c>
    </row>
    <row r="3307">
      <c r="A3307" s="198" t="inlineStr">
        <is>
          <t>invocacao.5.tm.nome</t>
        </is>
      </c>
      <c r="B3307" s="198">
        <f>IF(ISBLANK('INVOCAÇÕES'!$I$1055),"",'INVOCAÇÕES'!$I$1055&amp;"")</f>
        <v/>
      </c>
      <c r="C3307" s="198">
        <f>"'INVOCAÇÕES'!I990"</f>
        <v/>
      </c>
      <c r="D3307" s="198" t="inlineStr">
        <is>
          <t>entrada</t>
        </is>
      </c>
    </row>
    <row r="3308">
      <c r="A3308" s="198" t="inlineStr">
        <is>
          <t>invocacao.5.tm.pe</t>
        </is>
      </c>
      <c r="B3308" s="198">
        <f>IF(ISBLANK('INVOCAÇÕES'!$M$1055),"",'INVOCAÇÕES'!$M$1055&amp;"")</f>
        <v/>
      </c>
      <c r="C3308" s="198">
        <f>"'INVOCAÇÕES'!M990"</f>
        <v/>
      </c>
      <c r="D3308" s="198" t="inlineStr">
        <is>
          <t>resultado</t>
        </is>
      </c>
    </row>
    <row r="3309">
      <c r="A3309" s="198" t="inlineStr">
        <is>
          <t>invocacao.5.tm.como</t>
        </is>
      </c>
      <c r="B3309" s="198">
        <f>IF(ISBLANK('INVOCAÇÕES'!$I$1056),"",'INVOCAÇÕES'!$I$1056&amp;"")</f>
        <v/>
      </c>
      <c r="C3309" s="198">
        <f>"'INVOCAÇÕES'!I991"</f>
        <v/>
      </c>
      <c r="D3309" s="198" t="inlineStr">
        <is>
          <t>entrada</t>
        </is>
      </c>
    </row>
    <row r="3310">
      <c r="A3310" s="198" t="inlineStr">
        <is>
          <t>invocacao.5.tm.dados</t>
        </is>
      </c>
      <c r="B3310" s="198">
        <f>IF(ISBLANK('INVOCAÇÕES'!$I$1060),"",'INVOCAÇÕES'!$I$1060&amp;"")</f>
        <v/>
      </c>
      <c r="C3310" s="198">
        <f>"'INVOCAÇÕES'!I995"</f>
        <v/>
      </c>
      <c r="D3310" s="198" t="inlineStr">
        <is>
          <t>resultado</t>
        </is>
      </c>
    </row>
    <row r="3311">
      <c r="A3311" s="198" t="inlineStr">
        <is>
          <t>invocacao.5.tm.acao</t>
        </is>
      </c>
      <c r="B3311" s="198">
        <f>IF(ISBLANK('INVOCAÇÕES'!$I$1061),"",'INVOCAÇÕES'!$I$1061&amp;"")</f>
        <v/>
      </c>
      <c r="C3311" s="198">
        <f>"'INVOCAÇÕES'!I996"</f>
        <v/>
      </c>
      <c r="D3311" s="198" t="inlineStr">
        <is>
          <t>resultado</t>
        </is>
      </c>
    </row>
    <row r="3312">
      <c r="A3312" s="198" t="inlineStr">
        <is>
          <t>invocacao.5.exp.nome</t>
        </is>
      </c>
      <c r="B3312" s="198">
        <f>IF(ISBLANK('INVOCAÇÕES'!$O$1055),"",'INVOCAÇÕES'!$O$1055&amp;"")</f>
        <v/>
      </c>
      <c r="C3312" s="198">
        <f>"'INVOCAÇÕES'!O990"</f>
        <v/>
      </c>
      <c r="D3312" s="198" t="inlineStr">
        <is>
          <t>entrada</t>
        </is>
      </c>
    </row>
    <row r="3313">
      <c r="A3313" s="198" t="inlineStr">
        <is>
          <t>invocacao.5.exp.pe</t>
        </is>
      </c>
      <c r="B3313" s="198">
        <f>IF(ISBLANK('INVOCAÇÕES'!$S$1055),"",'INVOCAÇÕES'!$S$1055&amp;"")</f>
        <v/>
      </c>
      <c r="C3313" s="198">
        <f>"'INVOCAÇÕES'!S990"</f>
        <v/>
      </c>
      <c r="D3313" s="198" t="inlineStr">
        <is>
          <t>resultado</t>
        </is>
      </c>
    </row>
    <row r="3314">
      <c r="A3314" s="198" t="inlineStr">
        <is>
          <t>invocacao.5.exp.como</t>
        </is>
      </c>
      <c r="B3314" s="198">
        <f>IF(ISBLANK('INVOCAÇÕES'!$O$1056),"",'INVOCAÇÕES'!$O$1056&amp;"")</f>
        <v/>
      </c>
      <c r="C3314" s="198">
        <f>"'INVOCAÇÕES'!O991"</f>
        <v/>
      </c>
      <c r="D3314" s="198" t="inlineStr">
        <is>
          <t>entrada</t>
        </is>
      </c>
    </row>
    <row r="3315">
      <c r="A3315" s="198" t="inlineStr">
        <is>
          <t>invocacao.5.exp.degrau</t>
        </is>
      </c>
      <c r="B3315" s="198">
        <f>IF(ISBLANK('INVOCAÇÕES'!$O$1060),"",'INVOCAÇÕES'!$O$1060&amp;"")</f>
        <v/>
      </c>
      <c r="C3315" s="198">
        <f>"'INVOCAÇÕES'!O995"</f>
        <v/>
      </c>
      <c r="D3315" s="198" t="inlineStr">
        <is>
          <t>entrada</t>
        </is>
      </c>
    </row>
    <row r="3316">
      <c r="A3316" s="198" t="inlineStr">
        <is>
          <t>invocacao.5.exp.acerto</t>
        </is>
      </c>
      <c r="B3316" s="198">
        <f>IF(ISBLANK('INVOCAÇÕES'!$Q$1060),"",'INVOCAÇÕES'!$Q$1060&amp;"")</f>
        <v/>
      </c>
      <c r="C3316" s="198">
        <f>"'INVOCAÇÕES'!Q995"</f>
        <v/>
      </c>
      <c r="D3316" s="198" t="inlineStr">
        <is>
          <t>entrada</t>
        </is>
      </c>
    </row>
    <row r="3317">
      <c r="A3317" s="198" t="inlineStr">
        <is>
          <t>invocacao.5.exp.pede</t>
        </is>
      </c>
      <c r="B3317" s="198">
        <f>IF(ISBLANK('INVOCAÇÕES'!$O$1061),"",'INVOCAÇÕES'!$O$1061&amp;"")</f>
        <v/>
      </c>
      <c r="C3317" s="198">
        <f>"'INVOCAÇÕES'!O996"</f>
        <v/>
      </c>
      <c r="D3317" s="198" t="inlineStr">
        <is>
          <t>resultado</t>
        </is>
      </c>
    </row>
    <row r="3318">
      <c r="A3318" s="198" t="inlineStr">
        <is>
          <t>invocacao.6.atributo.forca.base</t>
        </is>
      </c>
      <c r="B3318" s="198">
        <f>IF(ISBLANK('INVOCAÇÕES'!$O$1075),"",'INVOCAÇÕES'!$O$1075&amp;"")</f>
        <v/>
      </c>
      <c r="C3318" s="198">
        <f>"'INVOCAÇÕES'!O1010"</f>
        <v/>
      </c>
      <c r="D3318" s="198" t="inlineStr">
        <is>
          <t>entrada</t>
        </is>
      </c>
    </row>
    <row r="3319">
      <c r="A3319" s="198" t="inlineStr">
        <is>
          <t>invocacao.6.atributo.forca.buff</t>
        </is>
      </c>
      <c r="B3319" s="198">
        <f>IF(ISBLANK('INVOCAÇÕES'!$O$1076),"",'INVOCAÇÕES'!$O$1076&amp;"")</f>
        <v/>
      </c>
      <c r="C3319" s="198">
        <f>"'INVOCAÇÕES'!O1011"</f>
        <v/>
      </c>
      <c r="D3319" s="198" t="inlineStr">
        <is>
          <t>entrada</t>
        </is>
      </c>
    </row>
    <row r="3320">
      <c r="A3320" s="198" t="inlineStr">
        <is>
          <t>invocacao.6.atributo.forca.total</t>
        </is>
      </c>
      <c r="B3320" s="198">
        <f>IF(ISBLANK('INVOCAÇÕES'!$O$1073),"",'INVOCAÇÕES'!$O$1073&amp;"")</f>
        <v/>
      </c>
      <c r="C3320" s="198">
        <f>"'INVOCAÇÕES'!O1008"</f>
        <v/>
      </c>
      <c r="D3320" s="198" t="inlineStr">
        <is>
          <t>resultado</t>
        </is>
      </c>
    </row>
    <row r="3321">
      <c r="A3321" s="198" t="inlineStr">
        <is>
          <t>invocacao.6.atributo.destreza.base</t>
        </is>
      </c>
      <c r="B3321" s="198">
        <f>IF(ISBLANK('INVOCAÇÕES'!$P$1075),"",'INVOCAÇÕES'!$P$1075&amp;"")</f>
        <v/>
      </c>
      <c r="C3321" s="198">
        <f>"'INVOCAÇÕES'!P1010"</f>
        <v/>
      </c>
      <c r="D3321" s="198" t="inlineStr">
        <is>
          <t>entrada</t>
        </is>
      </c>
    </row>
    <row r="3322">
      <c r="A3322" s="198" t="inlineStr">
        <is>
          <t>invocacao.6.atributo.destreza.buff</t>
        </is>
      </c>
      <c r="B3322" s="198">
        <f>IF(ISBLANK('INVOCAÇÕES'!$P$1076),"",'INVOCAÇÕES'!$P$1076&amp;"")</f>
        <v/>
      </c>
      <c r="C3322" s="198">
        <f>"'INVOCAÇÕES'!P1011"</f>
        <v/>
      </c>
      <c r="D3322" s="198" t="inlineStr">
        <is>
          <t>entrada</t>
        </is>
      </c>
    </row>
    <row r="3323">
      <c r="A3323" s="198" t="inlineStr">
        <is>
          <t>invocacao.6.atributo.destreza.total</t>
        </is>
      </c>
      <c r="B3323" s="198">
        <f>IF(ISBLANK('INVOCAÇÕES'!$P$1073),"",'INVOCAÇÕES'!$P$1073&amp;"")</f>
        <v/>
      </c>
      <c r="C3323" s="198">
        <f>"'INVOCAÇÕES'!P1008"</f>
        <v/>
      </c>
      <c r="D3323" s="198" t="inlineStr">
        <is>
          <t>resultado</t>
        </is>
      </c>
    </row>
    <row r="3324">
      <c r="A3324" s="198" t="inlineStr">
        <is>
          <t>invocacao.6.atributo.constituicao.base</t>
        </is>
      </c>
      <c r="B3324" s="198">
        <f>IF(ISBLANK('INVOCAÇÕES'!$Q$1075),"",'INVOCAÇÕES'!$Q$1075&amp;"")</f>
        <v/>
      </c>
      <c r="C3324" s="198">
        <f>"'INVOCAÇÕES'!Q1010"</f>
        <v/>
      </c>
      <c r="D3324" s="198" t="inlineStr">
        <is>
          <t>entrada</t>
        </is>
      </c>
    </row>
    <row r="3325">
      <c r="A3325" s="198" t="inlineStr">
        <is>
          <t>invocacao.6.atributo.constituicao.buff</t>
        </is>
      </c>
      <c r="B3325" s="198">
        <f>IF(ISBLANK('INVOCAÇÕES'!$Q$1076),"",'INVOCAÇÕES'!$Q$1076&amp;"")</f>
        <v/>
      </c>
      <c r="C3325" s="198">
        <f>"'INVOCAÇÕES'!Q1011"</f>
        <v/>
      </c>
      <c r="D3325" s="198" t="inlineStr">
        <is>
          <t>entrada</t>
        </is>
      </c>
    </row>
    <row r="3326">
      <c r="A3326" s="198" t="inlineStr">
        <is>
          <t>invocacao.6.atributo.constituicao.total</t>
        </is>
      </c>
      <c r="B3326" s="198">
        <f>IF(ISBLANK('INVOCAÇÕES'!$Q$1073),"",'INVOCAÇÕES'!$Q$1073&amp;"")</f>
        <v/>
      </c>
      <c r="C3326" s="198">
        <f>"'INVOCAÇÕES'!Q1008"</f>
        <v/>
      </c>
      <c r="D3326" s="198" t="inlineStr">
        <is>
          <t>resultado</t>
        </is>
      </c>
    </row>
    <row r="3327">
      <c r="A3327" s="198" t="inlineStr">
        <is>
          <t>invocacao.6.atributo.inteligencia.base</t>
        </is>
      </c>
      <c r="B3327" s="198">
        <f>IF(ISBLANK('INVOCAÇÕES'!$R$1075),"",'INVOCAÇÕES'!$R$1075&amp;"")</f>
        <v/>
      </c>
      <c r="C3327" s="198">
        <f>"'INVOCAÇÕES'!R1010"</f>
        <v/>
      </c>
      <c r="D3327" s="198" t="inlineStr">
        <is>
          <t>entrada</t>
        </is>
      </c>
    </row>
    <row r="3328">
      <c r="A3328" s="198" t="inlineStr">
        <is>
          <t>invocacao.6.atributo.inteligencia.buff</t>
        </is>
      </c>
      <c r="B3328" s="198">
        <f>IF(ISBLANK('INVOCAÇÕES'!$R$1076),"",'INVOCAÇÕES'!$R$1076&amp;"")</f>
        <v/>
      </c>
      <c r="C3328" s="198">
        <f>"'INVOCAÇÕES'!R1011"</f>
        <v/>
      </c>
      <c r="D3328" s="198" t="inlineStr">
        <is>
          <t>entrada</t>
        </is>
      </c>
    </row>
    <row r="3329">
      <c r="A3329" s="198" t="inlineStr">
        <is>
          <t>invocacao.6.atributo.inteligencia.total</t>
        </is>
      </c>
      <c r="B3329" s="198">
        <f>IF(ISBLANK('INVOCAÇÕES'!$R$1073),"",'INVOCAÇÕES'!$R$1073&amp;"")</f>
        <v/>
      </c>
      <c r="C3329" s="198">
        <f>"'INVOCAÇÕES'!R1008"</f>
        <v/>
      </c>
      <c r="D3329" s="198" t="inlineStr">
        <is>
          <t>resultado</t>
        </is>
      </c>
    </row>
    <row r="3330">
      <c r="A3330" s="198" t="inlineStr">
        <is>
          <t>invocacao.6.atributo.essencia.base</t>
        </is>
      </c>
      <c r="B3330" s="198">
        <f>IF(ISBLANK('INVOCAÇÕES'!$S$1075),"",'INVOCAÇÕES'!$S$1075&amp;"")</f>
        <v/>
      </c>
      <c r="C3330" s="198">
        <f>"'INVOCAÇÕES'!S1010"</f>
        <v/>
      </c>
      <c r="D3330" s="198" t="inlineStr">
        <is>
          <t>entrada</t>
        </is>
      </c>
    </row>
    <row r="3331">
      <c r="A3331" s="198" t="inlineStr">
        <is>
          <t>invocacao.6.atributo.essencia.buff</t>
        </is>
      </c>
      <c r="B3331" s="198">
        <f>IF(ISBLANK('INVOCAÇÕES'!$S$1076),"",'INVOCAÇÕES'!$S$1076&amp;"")</f>
        <v/>
      </c>
      <c r="C3331" s="198">
        <f>"'INVOCAÇÕES'!S1011"</f>
        <v/>
      </c>
      <c r="D3331" s="198" t="inlineStr">
        <is>
          <t>entrada</t>
        </is>
      </c>
    </row>
    <row r="3332">
      <c r="A3332" s="198" t="inlineStr">
        <is>
          <t>invocacao.6.atributo.essencia.total</t>
        </is>
      </c>
      <c r="B3332" s="198">
        <f>IF(ISBLANK('INVOCAÇÕES'!$S$1073),"",'INVOCAÇÕES'!$S$1073&amp;"")</f>
        <v/>
      </c>
      <c r="C3332" s="198">
        <f>"'INVOCAÇÕES'!S1008"</f>
        <v/>
      </c>
      <c r="D3332" s="198" t="inlineStr">
        <is>
          <t>resultado</t>
        </is>
      </c>
    </row>
    <row r="3333">
      <c r="A3333" s="198" t="inlineStr">
        <is>
          <t>invocacao.6.buff.acerto</t>
        </is>
      </c>
      <c r="B3333" s="198">
        <f>IF(ISBLANK('INVOCAÇÕES'!$O$1081),"",'INVOCAÇÕES'!$O$1081&amp;"")</f>
        <v/>
      </c>
      <c r="C3333" s="198">
        <f>"'INVOCAÇÕES'!O1016"</f>
        <v/>
      </c>
      <c r="D3333" s="198" t="inlineStr">
        <is>
          <t>entrada</t>
        </is>
      </c>
    </row>
    <row r="3334">
      <c r="A3334" s="198" t="inlineStr">
        <is>
          <t>invocacao.6.buff.cd</t>
        </is>
      </c>
      <c r="B3334" s="198">
        <f>IF(ISBLANK('INVOCAÇÕES'!$P$1081),"",'INVOCAÇÕES'!$P$1081&amp;"")</f>
        <v/>
      </c>
      <c r="C3334" s="198">
        <f>"'INVOCAÇÕES'!P1016"</f>
        <v/>
      </c>
      <c r="D3334" s="198" t="inlineStr">
        <is>
          <t>entrada</t>
        </is>
      </c>
    </row>
    <row r="3335">
      <c r="A3335" s="198" t="inlineStr">
        <is>
          <t>invocacao.6.buff.defesa</t>
        </is>
      </c>
      <c r="B3335" s="198">
        <f>IF(ISBLANK('INVOCAÇÕES'!$Q$1081),"",'INVOCAÇÕES'!$Q$1081&amp;"")</f>
        <v/>
      </c>
      <c r="C3335" s="198">
        <f>"'INVOCAÇÕES'!Q1016"</f>
        <v/>
      </c>
      <c r="D3335" s="198" t="inlineStr">
        <is>
          <t>entrada</t>
        </is>
      </c>
    </row>
    <row r="3336">
      <c r="A3336" s="198" t="inlineStr">
        <is>
          <t>invocacao.6.buff.vida</t>
        </is>
      </c>
      <c r="B3336" s="198">
        <f>IF(ISBLANK('INVOCAÇÕES'!$R$1081),"",'INVOCAÇÕES'!$R$1081&amp;"")</f>
        <v/>
      </c>
      <c r="C3336" s="198">
        <f>"'INVOCAÇÕES'!R1016"</f>
        <v/>
      </c>
      <c r="D3336" s="198" t="inlineStr">
        <is>
          <t>entrada</t>
        </is>
      </c>
    </row>
    <row r="3337">
      <c r="A3337" s="198" t="inlineStr">
        <is>
          <t>invocacao.6.buff.deslocamento</t>
        </is>
      </c>
      <c r="B3337" s="198">
        <f>IF(ISBLANK('INVOCAÇÕES'!$S$1081),"",'INVOCAÇÕES'!$S$1081&amp;"")</f>
        <v/>
      </c>
      <c r="C3337" s="198">
        <f>"'INVOCAÇÕES'!S1016"</f>
        <v/>
      </c>
      <c r="D3337" s="198" t="inlineStr">
        <is>
          <t>entrada</t>
        </is>
      </c>
    </row>
    <row r="3338">
      <c r="A3338" s="198" t="inlineStr">
        <is>
          <t>invocacao.6.buff.tr.fisico</t>
        </is>
      </c>
      <c r="B3338" s="198">
        <f>IF(ISBLANK('INVOCAÇÕES'!$O$1086),"",'INVOCAÇÕES'!$O$1086&amp;"")</f>
        <v/>
      </c>
      <c r="C3338" s="198">
        <f>"'INVOCAÇÕES'!O1021"</f>
        <v/>
      </c>
      <c r="D3338" s="198" t="inlineStr">
        <is>
          <t>entrada</t>
        </is>
      </c>
    </row>
    <row r="3339">
      <c r="A3339" s="198" t="inlineStr">
        <is>
          <t>invocacao.6.buff.tr.vigor</t>
        </is>
      </c>
      <c r="B3339" s="198">
        <f>IF(ISBLANK('INVOCAÇÕES'!$P$1086),"",'INVOCAÇÕES'!$P$1086&amp;"")</f>
        <v/>
      </c>
      <c r="C3339" s="198">
        <f>"'INVOCAÇÕES'!P1021"</f>
        <v/>
      </c>
      <c r="D3339" s="198" t="inlineStr">
        <is>
          <t>entrada</t>
        </is>
      </c>
    </row>
    <row r="3340">
      <c r="A3340" s="198" t="inlineStr">
        <is>
          <t>invocacao.6.buff.tr.intelecto</t>
        </is>
      </c>
      <c r="B3340" s="198">
        <f>IF(ISBLANK('INVOCAÇÕES'!$Q$1086),"",'INVOCAÇÕES'!$Q$1086&amp;"")</f>
        <v/>
      </c>
      <c r="C3340" s="198">
        <f>"'INVOCAÇÕES'!Q1021"</f>
        <v/>
      </c>
      <c r="D3340" s="198" t="inlineStr">
        <is>
          <t>entrada</t>
        </is>
      </c>
    </row>
    <row r="3341">
      <c r="A3341" s="198" t="inlineStr">
        <is>
          <t>invocacao.6.buff.tr.espirito</t>
        </is>
      </c>
      <c r="B3341" s="198">
        <f>IF(ISBLANK('INVOCAÇÕES'!$R$1086),"",'INVOCAÇÕES'!$R$1086&amp;"")</f>
        <v/>
      </c>
      <c r="C3341" s="198">
        <f>"'INVOCAÇÕES'!R1021"</f>
        <v/>
      </c>
      <c r="D3341" s="198" t="inlineStr">
        <is>
          <t>entrada</t>
        </is>
      </c>
    </row>
    <row r="3342">
      <c r="A3342" s="198" t="inlineStr">
        <is>
          <t>invocacao.6.atributo_acerto</t>
        </is>
      </c>
      <c r="B3342" s="198">
        <f>IF(ISBLANK('INVOCAÇÕES'!$O$1089),"",'INVOCAÇÕES'!$O$1089&amp;"")</f>
        <v/>
      </c>
      <c r="C3342" s="198">
        <f>"'INVOCAÇÕES'!O1024"</f>
        <v/>
      </c>
      <c r="D3342" s="198" t="inlineStr">
        <is>
          <t>entrada</t>
        </is>
      </c>
    </row>
    <row r="3343">
      <c r="A3343" s="198" t="inlineStr">
        <is>
          <t>invocacao.6.atributo_fisico</t>
        </is>
      </c>
      <c r="B3343" s="198">
        <f>IF(ISBLANK('INVOCAÇÕES'!$R$1089),"",'INVOCAÇÕES'!$R$1089&amp;"")</f>
        <v/>
      </c>
      <c r="C3343" s="198">
        <f>"'INVOCAÇÕES'!R1024"</f>
        <v/>
      </c>
      <c r="D3343" s="198" t="inlineStr">
        <is>
          <t>entrada</t>
        </is>
      </c>
    </row>
    <row r="3344">
      <c r="A3344" s="198" t="inlineStr">
        <is>
          <t>invocacao.6.tr_treinado</t>
        </is>
      </c>
      <c r="B3344" s="198">
        <f>IF(ISBLANK('INVOCAÇÕES'!$S$1084),"",'INVOCAÇÕES'!$S$1084&amp;"")</f>
        <v/>
      </c>
      <c r="C3344" s="198">
        <f>"'INVOCAÇÕES'!S1019"</f>
        <v/>
      </c>
      <c r="D3344" s="198" t="inlineStr">
        <is>
          <t>entrada</t>
        </is>
      </c>
    </row>
    <row r="3345">
      <c r="A3345" s="198" t="inlineStr">
        <is>
          <t>invocacao.6.alma</t>
        </is>
      </c>
      <c r="B3345" s="198">
        <f>IF(ISBLANK('INVOCAÇÕES'!$U$1073),"",'INVOCAÇÕES'!$U$1073&amp;"")</f>
        <v/>
      </c>
      <c r="C3345" s="198">
        <f>"'INVOCAÇÕES'!U1008"</f>
        <v/>
      </c>
      <c r="D3345" s="198" t="inlineStr">
        <is>
          <t>entrada</t>
        </is>
      </c>
    </row>
    <row r="3346">
      <c r="A3346" s="198" t="inlineStr">
        <is>
          <t>invocacao.6.notas</t>
        </is>
      </c>
      <c r="B3346" s="198">
        <f>IF(ISBLANK('INVOCAÇÕES'!$U$1082),"",'INVOCAÇÕES'!$U$1082&amp;"")</f>
        <v/>
      </c>
      <c r="C3346" s="198">
        <f>"'INVOCAÇÕES'!U1017"</f>
        <v/>
      </c>
      <c r="D3346" s="198" t="inlineStr">
        <is>
          <t>entrada</t>
        </is>
      </c>
    </row>
    <row r="3347">
      <c r="A3347" s="198" t="inlineStr">
        <is>
          <t>invocacao.6.definicao</t>
        </is>
      </c>
      <c r="B3347" s="198">
        <f>IF(ISBLANK('INVOCAÇÕES'!$I$1121),"",'INVOCAÇÕES'!$I$1121&amp;"")</f>
        <v/>
      </c>
      <c r="C3347" s="198">
        <f>"'INVOCAÇÕES'!I1043"</f>
        <v/>
      </c>
      <c r="D3347" s="198" t="inlineStr">
        <is>
          <t>entrada</t>
        </is>
      </c>
    </row>
    <row r="3348">
      <c r="A3348" s="198" t="inlineStr">
        <is>
          <t>invocacao.6.familia.1</t>
        </is>
      </c>
      <c r="B3348" s="198">
        <f>IF(ISBLANK('INVOCAÇÕES'!$O$1103),"",'INVOCAÇÕES'!$O$1103&amp;"")</f>
        <v/>
      </c>
      <c r="C3348" s="198">
        <f>"'INVOCAÇÕES'!O1038"</f>
        <v/>
      </c>
      <c r="D3348" s="198" t="inlineStr">
        <is>
          <t>entrada</t>
        </is>
      </c>
    </row>
    <row r="3349">
      <c r="A3349" s="198" t="inlineStr">
        <is>
          <t>invocacao.6.familia.2</t>
        </is>
      </c>
      <c r="B3349" s="198">
        <f>IF(ISBLANK('INVOCAÇÕES'!$P$1103),"",'INVOCAÇÕES'!$P$1103&amp;"")</f>
        <v/>
      </c>
      <c r="C3349" s="198">
        <f>"'INVOCAÇÕES'!P1038"</f>
        <v/>
      </c>
      <c r="D3349" s="198" t="inlineStr">
        <is>
          <t>entrada</t>
        </is>
      </c>
    </row>
    <row r="3350">
      <c r="A3350" s="198" t="inlineStr">
        <is>
          <t>invocacao.6.familia.3</t>
        </is>
      </c>
      <c r="B3350" s="198">
        <f>IF(ISBLANK('INVOCAÇÕES'!$Q$1103),"",'INVOCAÇÕES'!$Q$1103&amp;"")</f>
        <v/>
      </c>
      <c r="C3350" s="198">
        <f>"'INVOCAÇÕES'!Q1038"</f>
        <v/>
      </c>
      <c r="D3350" s="198" t="inlineStr">
        <is>
          <t>entrada</t>
        </is>
      </c>
    </row>
    <row r="3351">
      <c r="A3351" s="198" t="inlineStr">
        <is>
          <t>invocacao.6.familia.4</t>
        </is>
      </c>
      <c r="B3351" s="198">
        <f>IF(ISBLANK('INVOCAÇÕES'!$R$1103),"",'INVOCAÇÕES'!$R$1103&amp;"")</f>
        <v/>
      </c>
      <c r="C3351" s="198">
        <f>"'INVOCAÇÕES'!R1038"</f>
        <v/>
      </c>
      <c r="D3351" s="198" t="inlineStr">
        <is>
          <t>entrada</t>
        </is>
      </c>
    </row>
    <row r="3352">
      <c r="A3352" s="198" t="inlineStr">
        <is>
          <t>invocacao.6.familia.5</t>
        </is>
      </c>
      <c r="B3352" s="198">
        <f>IF(ISBLANK('INVOCAÇÕES'!$S$1103),"",'INVOCAÇÕES'!$S$1103&amp;"")</f>
        <v/>
      </c>
      <c r="C3352" s="198">
        <f>"'INVOCAÇÕES'!S1038"</f>
        <v/>
      </c>
      <c r="D3352" s="198" t="inlineStr">
        <is>
          <t>entrada</t>
        </is>
      </c>
    </row>
    <row r="3353">
      <c r="A3353" s="198" t="inlineStr">
        <is>
          <t>invocacao.6.pericia.1</t>
        </is>
      </c>
      <c r="B3353" s="198">
        <f>IF(ISBLANK('INVOCAÇÕES'!$O$1093),"",'INVOCAÇÕES'!$O$1093&amp;"")</f>
        <v/>
      </c>
      <c r="C3353" s="198">
        <f>"'INVOCAÇÕES'!O1028"</f>
        <v/>
      </c>
      <c r="D3353" s="198" t="inlineStr">
        <is>
          <t>entrada</t>
        </is>
      </c>
    </row>
    <row r="3354">
      <c r="A3354" s="198" t="inlineStr">
        <is>
          <t>invocacao.6.pericia.2</t>
        </is>
      </c>
      <c r="B3354" s="198">
        <f>IF(ISBLANK('INVOCAÇÕES'!$O$1094),"",'INVOCAÇÕES'!$O$1094&amp;"")</f>
        <v/>
      </c>
      <c r="C3354" s="198">
        <f>"'INVOCAÇÕES'!O1029"</f>
        <v/>
      </c>
      <c r="D3354" s="198" t="inlineStr">
        <is>
          <t>entrada</t>
        </is>
      </c>
    </row>
    <row r="3355">
      <c r="A3355" s="198" t="inlineStr">
        <is>
          <t>invocacao.6.pericia.3</t>
        </is>
      </c>
      <c r="B3355" s="198">
        <f>IF(ISBLANK('INVOCAÇÕES'!$O$1095),"",'INVOCAÇÕES'!$O$1095&amp;"")</f>
        <v/>
      </c>
      <c r="C3355" s="198">
        <f>"'INVOCAÇÕES'!O1030"</f>
        <v/>
      </c>
      <c r="D3355" s="198" t="inlineStr">
        <is>
          <t>entrada</t>
        </is>
      </c>
    </row>
    <row r="3356">
      <c r="A3356" s="198" t="inlineStr">
        <is>
          <t>invocacao.6.pericia.4</t>
        </is>
      </c>
      <c r="B3356" s="198">
        <f>IF(ISBLANK('INVOCAÇÕES'!$O$1096),"",'INVOCAÇÕES'!$O$1096&amp;"")</f>
        <v/>
      </c>
      <c r="C3356" s="198">
        <f>"'INVOCAÇÕES'!O1031"</f>
        <v/>
      </c>
      <c r="D3356" s="198" t="inlineStr">
        <is>
          <t>entrada</t>
        </is>
      </c>
    </row>
    <row r="3357">
      <c r="A3357" s="198" t="inlineStr">
        <is>
          <t>invocacao.6.pericia.5</t>
        </is>
      </c>
      <c r="B3357" s="198">
        <f>IF(ISBLANK('INVOCAÇÕES'!$O$1097),"",'INVOCAÇÕES'!$O$1097&amp;"")</f>
        <v/>
      </c>
      <c r="C3357" s="198">
        <f>"'INVOCAÇÕES'!O1032"</f>
        <v/>
      </c>
      <c r="D3357" s="198" t="inlineStr">
        <is>
          <t>entrada</t>
        </is>
      </c>
    </row>
    <row r="3358">
      <c r="A3358" s="198" t="inlineStr">
        <is>
          <t>invocacao.6.pericia.6</t>
        </is>
      </c>
      <c r="B3358" s="198">
        <f>IF(ISBLANK('INVOCAÇÕES'!$O$1098),"",'INVOCAÇÕES'!$O$1098&amp;"")</f>
        <v/>
      </c>
      <c r="C3358" s="198">
        <f>"'INVOCAÇÕES'!O1033"</f>
        <v/>
      </c>
      <c r="D3358" s="198" t="inlineStr">
        <is>
          <t>entrada</t>
        </is>
      </c>
    </row>
    <row r="3359">
      <c r="A3359" s="198" t="inlineStr">
        <is>
          <t>invocacao.6.pericia.7</t>
        </is>
      </c>
      <c r="B3359" s="198">
        <f>IF(ISBLANK('INVOCAÇÕES'!$O$1099),"",'INVOCAÇÕES'!$O$1099&amp;"")</f>
        <v/>
      </c>
      <c r="C3359" s="198">
        <f>"'INVOCAÇÕES'!O1034"</f>
        <v/>
      </c>
      <c r="D3359" s="198" t="inlineStr">
        <is>
          <t>entrada</t>
        </is>
      </c>
    </row>
    <row r="3360">
      <c r="A3360" s="198" t="inlineStr">
        <is>
          <t>invocacao.6.buff.pericia.1</t>
        </is>
      </c>
      <c r="B3360" s="198">
        <f>IF(ISBLANK('INVOCAÇÕES'!$R$1093),"",'INVOCAÇÕES'!$R$1093&amp;"")</f>
        <v/>
      </c>
      <c r="C3360" s="198">
        <f>"'INVOCAÇÕES'!R1028"</f>
        <v/>
      </c>
      <c r="D3360" s="198" t="inlineStr">
        <is>
          <t>entrada</t>
        </is>
      </c>
    </row>
    <row r="3361">
      <c r="A3361" s="198" t="inlineStr">
        <is>
          <t>invocacao.6.buff.pericia.2</t>
        </is>
      </c>
      <c r="B3361" s="198">
        <f>IF(ISBLANK('INVOCAÇÕES'!$R$1094),"",'INVOCAÇÕES'!$R$1094&amp;"")</f>
        <v/>
      </c>
      <c r="C3361" s="198">
        <f>"'INVOCAÇÕES'!R1029"</f>
        <v/>
      </c>
      <c r="D3361" s="198" t="inlineStr">
        <is>
          <t>entrada</t>
        </is>
      </c>
    </row>
    <row r="3362">
      <c r="A3362" s="198" t="inlineStr">
        <is>
          <t>invocacao.6.buff.pericia.3</t>
        </is>
      </c>
      <c r="B3362" s="198">
        <f>IF(ISBLANK('INVOCAÇÕES'!$R$1095),"",'INVOCAÇÕES'!$R$1095&amp;"")</f>
        <v/>
      </c>
      <c r="C3362" s="198">
        <f>"'INVOCAÇÕES'!R1030"</f>
        <v/>
      </c>
      <c r="D3362" s="198" t="inlineStr">
        <is>
          <t>entrada</t>
        </is>
      </c>
    </row>
    <row r="3363">
      <c r="A3363" s="198" t="inlineStr">
        <is>
          <t>invocacao.6.buff.pericia.4</t>
        </is>
      </c>
      <c r="B3363" s="198">
        <f>IF(ISBLANK('INVOCAÇÕES'!$R$1096),"",'INVOCAÇÕES'!$R$1096&amp;"")</f>
        <v/>
      </c>
      <c r="C3363" s="198">
        <f>"'INVOCAÇÕES'!R1031"</f>
        <v/>
      </c>
      <c r="D3363" s="198" t="inlineStr">
        <is>
          <t>entrada</t>
        </is>
      </c>
    </row>
    <row r="3364">
      <c r="A3364" s="198" t="inlineStr">
        <is>
          <t>invocacao.6.buff.pericia.5</t>
        </is>
      </c>
      <c r="B3364" s="198">
        <f>IF(ISBLANK('INVOCAÇÕES'!$R$1097),"",'INVOCAÇÕES'!$R$1097&amp;"")</f>
        <v/>
      </c>
      <c r="C3364" s="198">
        <f>"'INVOCAÇÕES'!R1032"</f>
        <v/>
      </c>
      <c r="D3364" s="198" t="inlineStr">
        <is>
          <t>entrada</t>
        </is>
      </c>
    </row>
    <row r="3365">
      <c r="A3365" s="198" t="inlineStr">
        <is>
          <t>invocacao.6.buff.pericia.6</t>
        </is>
      </c>
      <c r="B3365" s="198">
        <f>IF(ISBLANK('INVOCAÇÕES'!$R$1098),"",'INVOCAÇÕES'!$R$1098&amp;"")</f>
        <v/>
      </c>
      <c r="C3365" s="198">
        <f>"'INVOCAÇÕES'!R1033"</f>
        <v/>
      </c>
      <c r="D3365" s="198" t="inlineStr">
        <is>
          <t>entrada</t>
        </is>
      </c>
    </row>
    <row r="3366">
      <c r="A3366" s="198" t="inlineStr">
        <is>
          <t>invocacao.6.buff.pericia.7</t>
        </is>
      </c>
      <c r="B3366" s="198">
        <f>IF(ISBLANK('INVOCAÇÕES'!$R$1099),"",'INVOCAÇÕES'!$R$1099&amp;"")</f>
        <v/>
      </c>
      <c r="C3366" s="198">
        <f>"'INVOCAÇÕES'!R1034"</f>
        <v/>
      </c>
      <c r="D3366" s="198" t="inlineStr">
        <is>
          <t>entrada</t>
        </is>
      </c>
    </row>
    <row r="3367">
      <c r="A3367" s="198" t="inlineStr">
        <is>
          <t>invocacao.6.talento.1</t>
        </is>
      </c>
      <c r="B3367" s="198">
        <f>IF(ISBLANK('INVOCAÇÕES'!$J$1148),"",'INVOCAÇÕES'!$J$1148&amp;"")</f>
        <v/>
      </c>
      <c r="C3367" s="198">
        <f>"'INVOCAÇÕES'!J1070"</f>
        <v/>
      </c>
      <c r="D3367" s="198" t="inlineStr">
        <is>
          <t>entrada</t>
        </is>
      </c>
    </row>
    <row r="3368">
      <c r="A3368" s="198" t="inlineStr">
        <is>
          <t>invocacao.6.talento.2</t>
        </is>
      </c>
      <c r="B3368" s="198">
        <f>IF(ISBLANK('INVOCAÇÕES'!$J$1149),"",'INVOCAÇÕES'!$J$1149&amp;"")</f>
        <v/>
      </c>
      <c r="C3368" s="198">
        <f>"'INVOCAÇÕES'!J1071"</f>
        <v/>
      </c>
      <c r="D3368" s="198" t="inlineStr">
        <is>
          <t>entrada</t>
        </is>
      </c>
    </row>
    <row r="3369">
      <c r="A3369" s="198" t="inlineStr">
        <is>
          <t>invocacao.6.talento.3</t>
        </is>
      </c>
      <c r="B3369" s="198">
        <f>IF(ISBLANK('INVOCAÇÕES'!$J$1150),"",'INVOCAÇÕES'!$J$1150&amp;"")</f>
        <v/>
      </c>
      <c r="C3369" s="198">
        <f>"'INVOCAÇÕES'!J1072"</f>
        <v/>
      </c>
      <c r="D3369" s="198" t="inlineStr">
        <is>
          <t>entrada</t>
        </is>
      </c>
    </row>
    <row r="3370">
      <c r="A3370" s="198" t="inlineStr">
        <is>
          <t>invocacao.6.talento.4</t>
        </is>
      </c>
      <c r="B3370" s="198">
        <f>IF(ISBLANK('INVOCAÇÕES'!$J$1151),"",'INVOCAÇÕES'!$J$1151&amp;"")</f>
        <v/>
      </c>
      <c r="C3370" s="198">
        <f>"'INVOCAÇÕES'!J1073"</f>
        <v/>
      </c>
      <c r="D3370" s="198" t="inlineStr">
        <is>
          <t>entrada</t>
        </is>
      </c>
    </row>
    <row r="3371">
      <c r="A3371" s="198" t="inlineStr">
        <is>
          <t>invocacao.6.talento.5</t>
        </is>
      </c>
      <c r="B3371" s="198">
        <f>IF(ISBLANK('INVOCAÇÕES'!$J$1152),"",'INVOCAÇÕES'!$J$1152&amp;"")</f>
        <v/>
      </c>
      <c r="C3371" s="198">
        <f>"'INVOCAÇÕES'!J1074"</f>
        <v/>
      </c>
      <c r="D3371" s="198" t="inlineStr">
        <is>
          <t>entrada</t>
        </is>
      </c>
    </row>
    <row r="3372">
      <c r="A3372" s="198" t="inlineStr">
        <is>
          <t>invocacao.6.talento.6</t>
        </is>
      </c>
      <c r="B3372" s="198">
        <f>IF(ISBLANK('INVOCAÇÕES'!$J$1153),"",'INVOCAÇÕES'!$J$1153&amp;"")</f>
        <v/>
      </c>
      <c r="C3372" s="198">
        <f>"'INVOCAÇÕES'!J1075"</f>
        <v/>
      </c>
      <c r="D3372" s="198" t="inlineStr">
        <is>
          <t>entrada</t>
        </is>
      </c>
    </row>
    <row r="3373">
      <c r="A3373" s="198" t="inlineStr">
        <is>
          <t>invocacao.6.talento.7</t>
        </is>
      </c>
      <c r="B3373" s="198">
        <f>IF(ISBLANK('INVOCAÇÕES'!$J$1154),"",'INVOCAÇÕES'!$J$1154&amp;"")</f>
        <v/>
      </c>
      <c r="C3373" s="198">
        <f>"'INVOCAÇÕES'!J1076"</f>
        <v/>
      </c>
      <c r="D3373" s="198" t="inlineStr">
        <is>
          <t>entrada</t>
        </is>
      </c>
    </row>
    <row r="3374">
      <c r="A3374" s="198" t="inlineStr">
        <is>
          <t>invocacao.6.talento.8</t>
        </is>
      </c>
      <c r="B3374" s="198">
        <f>IF(ISBLANK('INVOCAÇÕES'!$J$1155),"",'INVOCAÇÕES'!$J$1155&amp;"")</f>
        <v/>
      </c>
      <c r="C3374" s="198">
        <f>"'INVOCAÇÕES'!J1077"</f>
        <v/>
      </c>
      <c r="D3374" s="198" t="inlineStr">
        <is>
          <t>entrada</t>
        </is>
      </c>
    </row>
    <row r="3375">
      <c r="A3375" s="198" t="inlineStr">
        <is>
          <t>invocacao.6.talento_extra.1</t>
        </is>
      </c>
      <c r="B3375" s="198">
        <f>IF(ISBLANK('INVOCAÇÕES'!$J$1250),"",'INVOCAÇÕES'!$J$1250&amp;"")</f>
        <v/>
      </c>
      <c r="C3375" s="198">
        <f>"'INVOCAÇÕES'!J1172"</f>
        <v/>
      </c>
      <c r="D3375" s="198" t="inlineStr">
        <is>
          <t>entrada</t>
        </is>
      </c>
    </row>
    <row r="3376">
      <c r="A3376" s="198" t="inlineStr">
        <is>
          <t>invocacao.6.talento_extra.2</t>
        </is>
      </c>
      <c r="B3376" s="198">
        <f>IF(ISBLANK('INVOCAÇÕES'!$J$1251),"",'INVOCAÇÕES'!$J$1251&amp;"")</f>
        <v/>
      </c>
      <c r="C3376" s="198">
        <f>"'INVOCAÇÕES'!J1173"</f>
        <v/>
      </c>
      <c r="D3376" s="198" t="inlineStr">
        <is>
          <t>entrada</t>
        </is>
      </c>
    </row>
    <row r="3377">
      <c r="A3377" s="198" t="inlineStr">
        <is>
          <t>invocacao.6.talento_extra.3</t>
        </is>
      </c>
      <c r="B3377" s="198">
        <f>IF(ISBLANK('INVOCAÇÕES'!$J$1252),"",'INVOCAÇÕES'!$J$1252&amp;"")</f>
        <v/>
      </c>
      <c r="C3377" s="198">
        <f>"'INVOCAÇÕES'!J1174"</f>
        <v/>
      </c>
      <c r="D3377" s="198" t="inlineStr">
        <is>
          <t>entrada</t>
        </is>
      </c>
    </row>
    <row r="3378">
      <c r="A3378" s="198" t="inlineStr">
        <is>
          <t>invocacao.6.equipamento.1</t>
        </is>
      </c>
      <c r="B3378" s="198">
        <f>IF(ISBLANK('INVOCAÇÕES'!$V$1088),"",'INVOCAÇÕES'!$V$1088&amp;"")</f>
        <v/>
      </c>
      <c r="C3378" s="198">
        <f>"'INVOCAÇÕES'!V1023"</f>
        <v/>
      </c>
      <c r="D3378" s="198" t="inlineStr">
        <is>
          <t>entrada</t>
        </is>
      </c>
    </row>
    <row r="3379">
      <c r="A3379" s="198" t="inlineStr">
        <is>
          <t>invocacao.6.equipamento.2</t>
        </is>
      </c>
      <c r="B3379" s="198">
        <f>IF(ISBLANK('INVOCAÇÕES'!$V$1089),"",'INVOCAÇÕES'!$V$1089&amp;"")</f>
        <v/>
      </c>
      <c r="C3379" s="198">
        <f>"'INVOCAÇÕES'!V1024"</f>
        <v/>
      </c>
      <c r="D3379" s="198" t="inlineStr">
        <is>
          <t>entrada</t>
        </is>
      </c>
    </row>
    <row r="3380">
      <c r="A3380" s="198" t="inlineStr">
        <is>
          <t>invocacao.6.equipamento.3</t>
        </is>
      </c>
      <c r="B3380" s="198">
        <f>IF(ISBLANK('INVOCAÇÕES'!$V$1090),"",'INVOCAÇÕES'!$V$1090&amp;"")</f>
        <v/>
      </c>
      <c r="C3380" s="198">
        <f>"'INVOCAÇÕES'!V1025"</f>
        <v/>
      </c>
      <c r="D3380" s="198" t="inlineStr">
        <is>
          <t>entrada</t>
        </is>
      </c>
    </row>
    <row r="3381">
      <c r="A3381" s="198" t="inlineStr">
        <is>
          <t>invocacao.6.liberacao.1.classe</t>
        </is>
      </c>
      <c r="B3381" s="198">
        <f>IF(ISBLANK('INVOCAÇÕES'!$I$1257),"",'INVOCAÇÕES'!$I$1257&amp;"")</f>
        <v/>
      </c>
      <c r="C3381" s="198">
        <f>"'INVOCAÇÕES'!I1179"</f>
        <v/>
      </c>
      <c r="D3381" s="198" t="inlineStr">
        <is>
          <t>entrada</t>
        </is>
      </c>
    </row>
    <row r="3382">
      <c r="A3382" s="198" t="inlineStr">
        <is>
          <t>invocacao.6.liberacao.1.nome</t>
        </is>
      </c>
      <c r="B3382" s="198">
        <f>IF(ISBLANK('INVOCAÇÕES'!$J$1257),"",'INVOCAÇÕES'!$J$1257&amp;"")</f>
        <v/>
      </c>
      <c r="C3382" s="198">
        <f>"'INVOCAÇÕES'!J1179"</f>
        <v/>
      </c>
      <c r="D3382" s="198" t="inlineStr">
        <is>
          <t>entrada</t>
        </is>
      </c>
    </row>
    <row r="3383">
      <c r="A3383" s="198" t="inlineStr">
        <is>
          <t>invocacao.6.liberacao.1.pe</t>
        </is>
      </c>
      <c r="B3383" s="198">
        <f>IF(ISBLANK('INVOCAÇÕES'!$M$1257),"",'INVOCAÇÕES'!$M$1257&amp;"")</f>
        <v/>
      </c>
      <c r="C3383" s="198">
        <f>"'INVOCAÇÕES'!M1179"</f>
        <v/>
      </c>
      <c r="D3383" s="198" t="inlineStr">
        <is>
          <t>resultado</t>
        </is>
      </c>
    </row>
    <row r="3384">
      <c r="A3384" s="198" t="inlineStr">
        <is>
          <t>invocacao.6.liberacao.1.como</t>
        </is>
      </c>
      <c r="B3384" s="198">
        <f>IF(ISBLANK('INVOCAÇÕES'!$I$1258),"",'INVOCAÇÕES'!$I$1258&amp;"")</f>
        <v/>
      </c>
      <c r="C3384" s="198">
        <f>"'INVOCAÇÕES'!I1180"</f>
        <v/>
      </c>
      <c r="D3384" s="198" t="inlineStr">
        <is>
          <t>entrada</t>
        </is>
      </c>
    </row>
    <row r="3385">
      <c r="A3385" s="198" t="inlineStr">
        <is>
          <t>invocacao.6.liberacao.1.pontos</t>
        </is>
      </c>
      <c r="B3385" s="198">
        <f>IF(ISBLANK('INVOCAÇÕES'!$I$1262),"",'INVOCAÇÕES'!$I$1262&amp;"")</f>
        <v/>
      </c>
      <c r="C3385" s="198">
        <f>"'INVOCAÇÕES'!I1184"</f>
        <v/>
      </c>
      <c r="D3385" s="198" t="inlineStr">
        <is>
          <t>resultado</t>
        </is>
      </c>
    </row>
    <row r="3386">
      <c r="A3386" s="198" t="inlineStr">
        <is>
          <t>invocacao.6.liberacao.1.acao</t>
        </is>
      </c>
      <c r="B3386" s="198">
        <f>IF(ISBLANK('INVOCAÇÕES'!$I$1263),"",'INVOCAÇÕES'!$I$1263&amp;"")</f>
        <v/>
      </c>
      <c r="C3386" s="198">
        <f>"'INVOCAÇÕES'!I1185"</f>
        <v/>
      </c>
      <c r="D3386" s="198" t="inlineStr">
        <is>
          <t>resultado</t>
        </is>
      </c>
    </row>
    <row r="3387">
      <c r="A3387" s="198" t="inlineStr">
        <is>
          <t>invocacao.6.liberacao.2.classe</t>
        </is>
      </c>
      <c r="B3387" s="198">
        <f>IF(ISBLANK('INVOCAÇÕES'!$O$1257),"",'INVOCAÇÕES'!$O$1257&amp;"")</f>
        <v/>
      </c>
      <c r="C3387" s="198">
        <f>"'INVOCAÇÕES'!O1179"</f>
        <v/>
      </c>
      <c r="D3387" s="198" t="inlineStr">
        <is>
          <t>entrada</t>
        </is>
      </c>
    </row>
    <row r="3388">
      <c r="A3388" s="198" t="inlineStr">
        <is>
          <t>invocacao.6.liberacao.2.nome</t>
        </is>
      </c>
      <c r="B3388" s="198">
        <f>IF(ISBLANK('INVOCAÇÕES'!$P$1257),"",'INVOCAÇÕES'!$P$1257&amp;"")</f>
        <v/>
      </c>
      <c r="C3388" s="198">
        <f>"'INVOCAÇÕES'!P1179"</f>
        <v/>
      </c>
      <c r="D3388" s="198" t="inlineStr">
        <is>
          <t>entrada</t>
        </is>
      </c>
    </row>
    <row r="3389">
      <c r="A3389" s="198" t="inlineStr">
        <is>
          <t>invocacao.6.liberacao.2.pe</t>
        </is>
      </c>
      <c r="B3389" s="198">
        <f>IF(ISBLANK('INVOCAÇÕES'!$S$1257),"",'INVOCAÇÕES'!$S$1257&amp;"")</f>
        <v/>
      </c>
      <c r="C3389" s="198">
        <f>"'INVOCAÇÕES'!S1179"</f>
        <v/>
      </c>
      <c r="D3389" s="198" t="inlineStr">
        <is>
          <t>resultado</t>
        </is>
      </c>
    </row>
    <row r="3390">
      <c r="A3390" s="198" t="inlineStr">
        <is>
          <t>invocacao.6.liberacao.2.como</t>
        </is>
      </c>
      <c r="B3390" s="198">
        <f>IF(ISBLANK('INVOCAÇÕES'!$O$1258),"",'INVOCAÇÕES'!$O$1258&amp;"")</f>
        <v/>
      </c>
      <c r="C3390" s="198">
        <f>"'INVOCAÇÕES'!O1180"</f>
        <v/>
      </c>
      <c r="D3390" s="198" t="inlineStr">
        <is>
          <t>entrada</t>
        </is>
      </c>
    </row>
    <row r="3391">
      <c r="A3391" s="198" t="inlineStr">
        <is>
          <t>invocacao.6.liberacao.2.pontos</t>
        </is>
      </c>
      <c r="B3391" s="198">
        <f>IF(ISBLANK('INVOCAÇÕES'!$O$1262),"",'INVOCAÇÕES'!$O$1262&amp;"")</f>
        <v/>
      </c>
      <c r="C3391" s="198">
        <f>"'INVOCAÇÕES'!O1184"</f>
        <v/>
      </c>
      <c r="D3391" s="198" t="inlineStr">
        <is>
          <t>resultado</t>
        </is>
      </c>
    </row>
    <row r="3392">
      <c r="A3392" s="198" t="inlineStr">
        <is>
          <t>invocacao.6.liberacao.2.acao</t>
        </is>
      </c>
      <c r="B3392" s="198">
        <f>IF(ISBLANK('INVOCAÇÕES'!$O$1263),"",'INVOCAÇÕES'!$O$1263&amp;"")</f>
        <v/>
      </c>
      <c r="C3392" s="198">
        <f>"'INVOCAÇÕES'!O1185"</f>
        <v/>
      </c>
      <c r="D3392" s="198" t="inlineStr">
        <is>
          <t>resultado</t>
        </is>
      </c>
    </row>
    <row r="3393">
      <c r="A3393" s="198" t="inlineStr">
        <is>
          <t>invocacao.6.liberacao.3.classe</t>
        </is>
      </c>
      <c r="B3393" s="198">
        <f>IF(ISBLANK('INVOCAÇÕES'!$U$1257),"",'INVOCAÇÕES'!$U$1257&amp;"")</f>
        <v/>
      </c>
      <c r="C3393" s="198">
        <f>"'INVOCAÇÕES'!U1179"</f>
        <v/>
      </c>
      <c r="D3393" s="198" t="inlineStr">
        <is>
          <t>entrada</t>
        </is>
      </c>
    </row>
    <row r="3394">
      <c r="A3394" s="198" t="inlineStr">
        <is>
          <t>invocacao.6.liberacao.3.nome</t>
        </is>
      </c>
      <c r="B3394" s="198">
        <f>IF(ISBLANK('INVOCAÇÕES'!$V$1257),"",'INVOCAÇÕES'!$V$1257&amp;"")</f>
        <v/>
      </c>
      <c r="C3394" s="198">
        <f>"'INVOCAÇÕES'!V1179"</f>
        <v/>
      </c>
      <c r="D3394" s="198" t="inlineStr">
        <is>
          <t>entrada</t>
        </is>
      </c>
    </row>
    <row r="3395">
      <c r="A3395" s="198" t="inlineStr">
        <is>
          <t>invocacao.6.liberacao.3.pe</t>
        </is>
      </c>
      <c r="B3395" s="198">
        <f>IF(ISBLANK('INVOCAÇÕES'!$Y$1257),"",'INVOCAÇÕES'!$Y$1257&amp;"")</f>
        <v/>
      </c>
      <c r="C3395" s="198">
        <f>"'INVOCAÇÕES'!Y1179"</f>
        <v/>
      </c>
      <c r="D3395" s="198" t="inlineStr">
        <is>
          <t>resultado</t>
        </is>
      </c>
    </row>
    <row r="3396">
      <c r="A3396" s="198" t="inlineStr">
        <is>
          <t>invocacao.6.liberacao.3.como</t>
        </is>
      </c>
      <c r="B3396" s="198">
        <f>IF(ISBLANK('INVOCAÇÕES'!$U$1258),"",'INVOCAÇÕES'!$U$1258&amp;"")</f>
        <v/>
      </c>
      <c r="C3396" s="198">
        <f>"'INVOCAÇÕES'!U1180"</f>
        <v/>
      </c>
      <c r="D3396" s="198" t="inlineStr">
        <is>
          <t>entrada</t>
        </is>
      </c>
    </row>
    <row r="3397">
      <c r="A3397" s="198" t="inlineStr">
        <is>
          <t>invocacao.6.liberacao.3.pontos</t>
        </is>
      </c>
      <c r="B3397" s="198">
        <f>IF(ISBLANK('INVOCAÇÕES'!$U$1262),"",'INVOCAÇÕES'!$U$1262&amp;"")</f>
        <v/>
      </c>
      <c r="C3397" s="198">
        <f>"'INVOCAÇÕES'!U1184"</f>
        <v/>
      </c>
      <c r="D3397" s="198" t="inlineStr">
        <is>
          <t>resultado</t>
        </is>
      </c>
    </row>
    <row r="3398">
      <c r="A3398" s="198" t="inlineStr">
        <is>
          <t>invocacao.6.liberacao.3.acao</t>
        </is>
      </c>
      <c r="B3398" s="198">
        <f>IF(ISBLANK('INVOCAÇÕES'!$U$1263),"",'INVOCAÇÕES'!$U$1263&amp;"")</f>
        <v/>
      </c>
      <c r="C3398" s="198">
        <f>"'INVOCAÇÕES'!U1185"</f>
        <v/>
      </c>
      <c r="D3398" s="198" t="inlineStr">
        <is>
          <t>resultado</t>
        </is>
      </c>
    </row>
    <row r="3399">
      <c r="A3399" s="198" t="inlineStr">
        <is>
          <t>invocacao.6.tm.nome</t>
        </is>
      </c>
      <c r="B3399" s="198">
        <f>IF(ISBLANK('INVOCAÇÕES'!$I$1266),"",'INVOCAÇÕES'!$I$1266&amp;"")</f>
        <v/>
      </c>
      <c r="C3399" s="198">
        <f>"'INVOCAÇÕES'!I1188"</f>
        <v/>
      </c>
      <c r="D3399" s="198" t="inlineStr">
        <is>
          <t>entrada</t>
        </is>
      </c>
    </row>
    <row r="3400">
      <c r="A3400" s="198" t="inlineStr">
        <is>
          <t>invocacao.6.tm.pe</t>
        </is>
      </c>
      <c r="B3400" s="198">
        <f>IF(ISBLANK('INVOCAÇÕES'!$M$1266),"",'INVOCAÇÕES'!$M$1266&amp;"")</f>
        <v/>
      </c>
      <c r="C3400" s="198">
        <f>"'INVOCAÇÕES'!M1188"</f>
        <v/>
      </c>
      <c r="D3400" s="198" t="inlineStr">
        <is>
          <t>resultado</t>
        </is>
      </c>
    </row>
    <row r="3401">
      <c r="A3401" s="198" t="inlineStr">
        <is>
          <t>invocacao.6.tm.como</t>
        </is>
      </c>
      <c r="B3401" s="198">
        <f>IF(ISBLANK('INVOCAÇÕES'!$I$1267),"",'INVOCAÇÕES'!$I$1267&amp;"")</f>
        <v/>
      </c>
      <c r="C3401" s="198">
        <f>"'INVOCAÇÕES'!I1189"</f>
        <v/>
      </c>
      <c r="D3401" s="198" t="inlineStr">
        <is>
          <t>entrada</t>
        </is>
      </c>
    </row>
    <row r="3402">
      <c r="A3402" s="198" t="inlineStr">
        <is>
          <t>invocacao.6.tm.dados</t>
        </is>
      </c>
      <c r="B3402" s="198">
        <f>IF(ISBLANK('INVOCAÇÕES'!$I$1271),"",'INVOCAÇÕES'!$I$1271&amp;"")</f>
        <v/>
      </c>
      <c r="C3402" s="198">
        <f>"'INVOCAÇÕES'!I1193"</f>
        <v/>
      </c>
      <c r="D3402" s="198" t="inlineStr">
        <is>
          <t>resultado</t>
        </is>
      </c>
    </row>
    <row r="3403">
      <c r="A3403" s="198" t="inlineStr">
        <is>
          <t>invocacao.6.tm.acao</t>
        </is>
      </c>
      <c r="B3403" s="198">
        <f>IF(ISBLANK('INVOCAÇÕES'!$I$1272),"",'INVOCAÇÕES'!$I$1272&amp;"")</f>
        <v/>
      </c>
      <c r="C3403" s="198">
        <f>"'INVOCAÇÕES'!I1194"</f>
        <v/>
      </c>
      <c r="D3403" s="198" t="inlineStr">
        <is>
          <t>resultado</t>
        </is>
      </c>
    </row>
    <row r="3404">
      <c r="A3404" s="198" t="inlineStr">
        <is>
          <t>invocacao.6.exp.nome</t>
        </is>
      </c>
      <c r="B3404" s="198">
        <f>IF(ISBLANK('INVOCAÇÕES'!$O$1266),"",'INVOCAÇÕES'!$O$1266&amp;"")</f>
        <v/>
      </c>
      <c r="C3404" s="198">
        <f>"'INVOCAÇÕES'!O1188"</f>
        <v/>
      </c>
      <c r="D3404" s="198" t="inlineStr">
        <is>
          <t>entrada</t>
        </is>
      </c>
    </row>
    <row r="3405">
      <c r="A3405" s="198" t="inlineStr">
        <is>
          <t>invocacao.6.exp.pe</t>
        </is>
      </c>
      <c r="B3405" s="198">
        <f>IF(ISBLANK('INVOCAÇÕES'!$S$1266),"",'INVOCAÇÕES'!$S$1266&amp;"")</f>
        <v/>
      </c>
      <c r="C3405" s="198">
        <f>"'INVOCAÇÕES'!S1188"</f>
        <v/>
      </c>
      <c r="D3405" s="198" t="inlineStr">
        <is>
          <t>resultado</t>
        </is>
      </c>
    </row>
    <row r="3406">
      <c r="A3406" s="198" t="inlineStr">
        <is>
          <t>invocacao.6.exp.como</t>
        </is>
      </c>
      <c r="B3406" s="198">
        <f>IF(ISBLANK('INVOCAÇÕES'!$O$1267),"",'INVOCAÇÕES'!$O$1267&amp;"")</f>
        <v/>
      </c>
      <c r="C3406" s="198">
        <f>"'INVOCAÇÕES'!O1189"</f>
        <v/>
      </c>
      <c r="D3406" s="198" t="inlineStr">
        <is>
          <t>entrada</t>
        </is>
      </c>
    </row>
    <row r="3407">
      <c r="A3407" s="198" t="inlineStr">
        <is>
          <t>invocacao.6.exp.degrau</t>
        </is>
      </c>
      <c r="B3407" s="198">
        <f>IF(ISBLANK('INVOCAÇÕES'!$O$1271),"",'INVOCAÇÕES'!$O$1271&amp;"")</f>
        <v/>
      </c>
      <c r="C3407" s="198">
        <f>"'INVOCAÇÕES'!O1193"</f>
        <v/>
      </c>
      <c r="D3407" s="198" t="inlineStr">
        <is>
          <t>entrada</t>
        </is>
      </c>
    </row>
    <row r="3408">
      <c r="A3408" s="198" t="inlineStr">
        <is>
          <t>invocacao.6.exp.acerto</t>
        </is>
      </c>
      <c r="B3408" s="198">
        <f>IF(ISBLANK('INVOCAÇÕES'!$Q$1271),"",'INVOCAÇÕES'!$Q$1271&amp;"")</f>
        <v/>
      </c>
      <c r="C3408" s="198">
        <f>"'INVOCAÇÕES'!Q1193"</f>
        <v/>
      </c>
      <c r="D3408" s="198" t="inlineStr">
        <is>
          <t>entrada</t>
        </is>
      </c>
    </row>
    <row r="3409">
      <c r="A3409" s="198" t="inlineStr">
        <is>
          <t>invocacao.6.exp.pede</t>
        </is>
      </c>
      <c r="B3409" s="198">
        <f>IF(ISBLANK('INVOCAÇÕES'!$O$1272),"",'INVOCAÇÕES'!$O$1272&amp;"")</f>
        <v/>
      </c>
      <c r="C3409" s="198">
        <f>"'INVOCAÇÕES'!O1194"</f>
        <v/>
      </c>
      <c r="D3409" s="198" t="inlineStr">
        <is>
          <t>resultado</t>
        </is>
      </c>
    </row>
    <row r="3410">
      <c r="A3410" s="198" t="inlineStr">
        <is>
          <t>invocacao.7.atributo.forca.base</t>
        </is>
      </c>
      <c r="B3410" s="198">
        <f>IF(ISBLANK('INVOCAÇÕES'!$AH$20),"",'INVOCAÇÕES'!$AH$20&amp;"")</f>
        <v/>
      </c>
      <c r="C3410" s="198">
        <f>"'INVOCAÇÕES'!AH20"</f>
        <v/>
      </c>
      <c r="D3410" s="198" t="inlineStr">
        <is>
          <t>entrada</t>
        </is>
      </c>
    </row>
    <row r="3411">
      <c r="A3411" s="198" t="inlineStr">
        <is>
          <t>invocacao.7.atributo.forca.buff</t>
        </is>
      </c>
      <c r="B3411" s="198">
        <f>IF(ISBLANK('INVOCAÇÕES'!$AH$21),"",'INVOCAÇÕES'!$AH$21&amp;"")</f>
        <v/>
      </c>
      <c r="C3411" s="198">
        <f>"'INVOCAÇÕES'!AH21"</f>
        <v/>
      </c>
      <c r="D3411" s="198" t="inlineStr">
        <is>
          <t>entrada</t>
        </is>
      </c>
    </row>
    <row r="3412">
      <c r="A3412" s="198" t="inlineStr">
        <is>
          <t>invocacao.7.atributo.forca.total</t>
        </is>
      </c>
      <c r="B3412" s="198">
        <f>IF(ISBLANK('INVOCAÇÕES'!$AH$18),"",'INVOCAÇÕES'!$AH$18&amp;"")</f>
        <v/>
      </c>
      <c r="C3412" s="198">
        <f>"'INVOCAÇÕES'!AH18"</f>
        <v/>
      </c>
      <c r="D3412" s="198" t="inlineStr">
        <is>
          <t>resultado</t>
        </is>
      </c>
    </row>
    <row r="3413">
      <c r="A3413" s="198" t="inlineStr">
        <is>
          <t>invocacao.7.atributo.destreza.base</t>
        </is>
      </c>
      <c r="B3413" s="198">
        <f>IF(ISBLANK('INVOCAÇÕES'!$AI$20),"",'INVOCAÇÕES'!$AI$20&amp;"")</f>
        <v/>
      </c>
      <c r="C3413" s="198">
        <f>"'INVOCAÇÕES'!AI20"</f>
        <v/>
      </c>
      <c r="D3413" s="198" t="inlineStr">
        <is>
          <t>entrada</t>
        </is>
      </c>
    </row>
    <row r="3414">
      <c r="A3414" s="198" t="inlineStr">
        <is>
          <t>invocacao.7.atributo.destreza.buff</t>
        </is>
      </c>
      <c r="B3414" s="198">
        <f>IF(ISBLANK('INVOCAÇÕES'!$AI$21),"",'INVOCAÇÕES'!$AI$21&amp;"")</f>
        <v/>
      </c>
      <c r="C3414" s="198">
        <f>"'INVOCAÇÕES'!AI21"</f>
        <v/>
      </c>
      <c r="D3414" s="198" t="inlineStr">
        <is>
          <t>entrada</t>
        </is>
      </c>
    </row>
    <row r="3415">
      <c r="A3415" s="198" t="inlineStr">
        <is>
          <t>invocacao.7.atributo.destreza.total</t>
        </is>
      </c>
      <c r="B3415" s="198">
        <f>IF(ISBLANK('INVOCAÇÕES'!$AI$18),"",'INVOCAÇÕES'!$AI$18&amp;"")</f>
        <v/>
      </c>
      <c r="C3415" s="198">
        <f>"'INVOCAÇÕES'!AI18"</f>
        <v/>
      </c>
      <c r="D3415" s="198" t="inlineStr">
        <is>
          <t>resultado</t>
        </is>
      </c>
    </row>
    <row r="3416">
      <c r="A3416" s="198" t="inlineStr">
        <is>
          <t>invocacao.7.atributo.constituicao.base</t>
        </is>
      </c>
      <c r="B3416" s="198">
        <f>IF(ISBLANK('INVOCAÇÕES'!$AJ$20),"",'INVOCAÇÕES'!$AJ$20&amp;"")</f>
        <v/>
      </c>
      <c r="C3416" s="198">
        <f>"'INVOCAÇÕES'!AJ20"</f>
        <v/>
      </c>
      <c r="D3416" s="198" t="inlineStr">
        <is>
          <t>entrada</t>
        </is>
      </c>
    </row>
    <row r="3417">
      <c r="A3417" s="198" t="inlineStr">
        <is>
          <t>invocacao.7.atributo.constituicao.buff</t>
        </is>
      </c>
      <c r="B3417" s="198">
        <f>IF(ISBLANK('INVOCAÇÕES'!$AJ$21),"",'INVOCAÇÕES'!$AJ$21&amp;"")</f>
        <v/>
      </c>
      <c r="C3417" s="198">
        <f>"'INVOCAÇÕES'!AJ21"</f>
        <v/>
      </c>
      <c r="D3417" s="198" t="inlineStr">
        <is>
          <t>entrada</t>
        </is>
      </c>
    </row>
    <row r="3418">
      <c r="A3418" s="198" t="inlineStr">
        <is>
          <t>invocacao.7.atributo.constituicao.total</t>
        </is>
      </c>
      <c r="B3418" s="198">
        <f>IF(ISBLANK('INVOCAÇÕES'!$AJ$18),"",'INVOCAÇÕES'!$AJ$18&amp;"")</f>
        <v/>
      </c>
      <c r="C3418" s="198">
        <f>"'INVOCAÇÕES'!AJ18"</f>
        <v/>
      </c>
      <c r="D3418" s="198" t="inlineStr">
        <is>
          <t>resultado</t>
        </is>
      </c>
    </row>
    <row r="3419">
      <c r="A3419" s="198" t="inlineStr">
        <is>
          <t>invocacao.7.atributo.inteligencia.base</t>
        </is>
      </c>
      <c r="B3419" s="198">
        <f>IF(ISBLANK('INVOCAÇÕES'!$AK$20),"",'INVOCAÇÕES'!$AK$20&amp;"")</f>
        <v/>
      </c>
      <c r="C3419" s="198">
        <f>"'INVOCAÇÕES'!AK20"</f>
        <v/>
      </c>
      <c r="D3419" s="198" t="inlineStr">
        <is>
          <t>entrada</t>
        </is>
      </c>
    </row>
    <row r="3420">
      <c r="A3420" s="198" t="inlineStr">
        <is>
          <t>invocacao.7.atributo.inteligencia.buff</t>
        </is>
      </c>
      <c r="B3420" s="198">
        <f>IF(ISBLANK('INVOCAÇÕES'!$AK$21),"",'INVOCAÇÕES'!$AK$21&amp;"")</f>
        <v/>
      </c>
      <c r="C3420" s="198">
        <f>"'INVOCAÇÕES'!AK21"</f>
        <v/>
      </c>
      <c r="D3420" s="198" t="inlineStr">
        <is>
          <t>entrada</t>
        </is>
      </c>
    </row>
    <row r="3421">
      <c r="A3421" s="198" t="inlineStr">
        <is>
          <t>invocacao.7.atributo.inteligencia.total</t>
        </is>
      </c>
      <c r="B3421" s="198">
        <f>IF(ISBLANK('INVOCAÇÕES'!$AK$18),"",'INVOCAÇÕES'!$AK$18&amp;"")</f>
        <v/>
      </c>
      <c r="C3421" s="198">
        <f>"'INVOCAÇÕES'!AK18"</f>
        <v/>
      </c>
      <c r="D3421" s="198" t="inlineStr">
        <is>
          <t>resultado</t>
        </is>
      </c>
    </row>
    <row r="3422">
      <c r="A3422" s="198" t="inlineStr">
        <is>
          <t>invocacao.7.atributo.essencia.base</t>
        </is>
      </c>
      <c r="B3422" s="198">
        <f>IF(ISBLANK('INVOCAÇÕES'!$AL$20),"",'INVOCAÇÕES'!$AL$20&amp;"")</f>
        <v/>
      </c>
      <c r="C3422" s="198">
        <f>"'INVOCAÇÕES'!AL20"</f>
        <v/>
      </c>
      <c r="D3422" s="198" t="inlineStr">
        <is>
          <t>entrada</t>
        </is>
      </c>
    </row>
    <row r="3423">
      <c r="A3423" s="198" t="inlineStr">
        <is>
          <t>invocacao.7.atributo.essencia.buff</t>
        </is>
      </c>
      <c r="B3423" s="198">
        <f>IF(ISBLANK('INVOCAÇÕES'!$AL$21),"",'INVOCAÇÕES'!$AL$21&amp;"")</f>
        <v/>
      </c>
      <c r="C3423" s="198">
        <f>"'INVOCAÇÕES'!AL21"</f>
        <v/>
      </c>
      <c r="D3423" s="198" t="inlineStr">
        <is>
          <t>entrada</t>
        </is>
      </c>
    </row>
    <row r="3424">
      <c r="A3424" s="198" t="inlineStr">
        <is>
          <t>invocacao.7.atributo.essencia.total</t>
        </is>
      </c>
      <c r="B3424" s="198">
        <f>IF(ISBLANK('INVOCAÇÕES'!$AL$18),"",'INVOCAÇÕES'!$AL$18&amp;"")</f>
        <v/>
      </c>
      <c r="C3424" s="198">
        <f>"'INVOCAÇÕES'!AL18"</f>
        <v/>
      </c>
      <c r="D3424" s="198" t="inlineStr">
        <is>
          <t>resultado</t>
        </is>
      </c>
    </row>
    <row r="3425">
      <c r="A3425" s="198" t="inlineStr">
        <is>
          <t>invocacao.7.buff.acerto</t>
        </is>
      </c>
      <c r="B3425" s="198">
        <f>IF(ISBLANK('INVOCAÇÕES'!$AH$26),"",'INVOCAÇÕES'!$AH$26&amp;"")</f>
        <v/>
      </c>
      <c r="C3425" s="198">
        <f>"'INVOCAÇÕES'!AH26"</f>
        <v/>
      </c>
      <c r="D3425" s="198" t="inlineStr">
        <is>
          <t>entrada</t>
        </is>
      </c>
    </row>
    <row r="3426">
      <c r="A3426" s="198" t="inlineStr">
        <is>
          <t>invocacao.7.buff.cd</t>
        </is>
      </c>
      <c r="B3426" s="198">
        <f>IF(ISBLANK('INVOCAÇÕES'!$AI$26),"",'INVOCAÇÕES'!$AI$26&amp;"")</f>
        <v/>
      </c>
      <c r="C3426" s="198">
        <f>"'INVOCAÇÕES'!AI26"</f>
        <v/>
      </c>
      <c r="D3426" s="198" t="inlineStr">
        <is>
          <t>entrada</t>
        </is>
      </c>
    </row>
    <row r="3427">
      <c r="A3427" s="198" t="inlineStr">
        <is>
          <t>invocacao.7.buff.defesa</t>
        </is>
      </c>
      <c r="B3427" s="198">
        <f>IF(ISBLANK('INVOCAÇÕES'!$AJ$26),"",'INVOCAÇÕES'!$AJ$26&amp;"")</f>
        <v/>
      </c>
      <c r="C3427" s="198">
        <f>"'INVOCAÇÕES'!AJ26"</f>
        <v/>
      </c>
      <c r="D3427" s="198" t="inlineStr">
        <is>
          <t>entrada</t>
        </is>
      </c>
    </row>
    <row r="3428">
      <c r="A3428" s="198" t="inlineStr">
        <is>
          <t>invocacao.7.buff.vida</t>
        </is>
      </c>
      <c r="B3428" s="198">
        <f>IF(ISBLANK('INVOCAÇÕES'!$AK$26),"",'INVOCAÇÕES'!$AK$26&amp;"")</f>
        <v/>
      </c>
      <c r="C3428" s="198">
        <f>"'INVOCAÇÕES'!AK26"</f>
        <v/>
      </c>
      <c r="D3428" s="198" t="inlineStr">
        <is>
          <t>entrada</t>
        </is>
      </c>
    </row>
    <row r="3429">
      <c r="A3429" s="198" t="inlineStr">
        <is>
          <t>invocacao.7.buff.deslocamento</t>
        </is>
      </c>
      <c r="B3429" s="198">
        <f>IF(ISBLANK('INVOCAÇÕES'!$AL$26),"",'INVOCAÇÕES'!$AL$26&amp;"")</f>
        <v/>
      </c>
      <c r="C3429" s="198">
        <f>"'INVOCAÇÕES'!AL26"</f>
        <v/>
      </c>
      <c r="D3429" s="198" t="inlineStr">
        <is>
          <t>entrada</t>
        </is>
      </c>
    </row>
    <row r="3430">
      <c r="A3430" s="198" t="inlineStr">
        <is>
          <t>invocacao.7.buff.tr.fisico</t>
        </is>
      </c>
      <c r="B3430" s="198">
        <f>IF(ISBLANK('INVOCAÇÕES'!$AH$31),"",'INVOCAÇÕES'!$AH$31&amp;"")</f>
        <v/>
      </c>
      <c r="C3430" s="198">
        <f>"'INVOCAÇÕES'!AH31"</f>
        <v/>
      </c>
      <c r="D3430" s="198" t="inlineStr">
        <is>
          <t>entrada</t>
        </is>
      </c>
    </row>
    <row r="3431">
      <c r="A3431" s="198" t="inlineStr">
        <is>
          <t>invocacao.7.buff.tr.vigor</t>
        </is>
      </c>
      <c r="B3431" s="198">
        <f>IF(ISBLANK('INVOCAÇÕES'!$AI$31),"",'INVOCAÇÕES'!$AI$31&amp;"")</f>
        <v/>
      </c>
      <c r="C3431" s="198">
        <f>"'INVOCAÇÕES'!AI31"</f>
        <v/>
      </c>
      <c r="D3431" s="198" t="inlineStr">
        <is>
          <t>entrada</t>
        </is>
      </c>
    </row>
    <row r="3432">
      <c r="A3432" s="198" t="inlineStr">
        <is>
          <t>invocacao.7.buff.tr.intelecto</t>
        </is>
      </c>
      <c r="B3432" s="198">
        <f>IF(ISBLANK('INVOCAÇÕES'!$AJ$31),"",'INVOCAÇÕES'!$AJ$31&amp;"")</f>
        <v/>
      </c>
      <c r="C3432" s="198">
        <f>"'INVOCAÇÕES'!AJ31"</f>
        <v/>
      </c>
      <c r="D3432" s="198" t="inlineStr">
        <is>
          <t>entrada</t>
        </is>
      </c>
    </row>
    <row r="3433">
      <c r="A3433" s="198" t="inlineStr">
        <is>
          <t>invocacao.7.buff.tr.espirito</t>
        </is>
      </c>
      <c r="B3433" s="198">
        <f>IF(ISBLANK('INVOCAÇÕES'!$AK$31),"",'INVOCAÇÕES'!$AK$31&amp;"")</f>
        <v/>
      </c>
      <c r="C3433" s="198">
        <f>"'INVOCAÇÕES'!AK31"</f>
        <v/>
      </c>
      <c r="D3433" s="198" t="inlineStr">
        <is>
          <t>entrada</t>
        </is>
      </c>
    </row>
    <row r="3434">
      <c r="A3434" s="198" t="inlineStr">
        <is>
          <t>invocacao.7.atributo_acerto</t>
        </is>
      </c>
      <c r="B3434" s="198">
        <f>IF(ISBLANK('INVOCAÇÕES'!$AH$34),"",'INVOCAÇÕES'!$AH$34&amp;"")</f>
        <v/>
      </c>
      <c r="C3434" s="198">
        <f>"'INVOCAÇÕES'!AH34"</f>
        <v/>
      </c>
      <c r="D3434" s="198" t="inlineStr">
        <is>
          <t>entrada</t>
        </is>
      </c>
    </row>
    <row r="3435">
      <c r="A3435" s="198" t="inlineStr">
        <is>
          <t>invocacao.7.atributo_fisico</t>
        </is>
      </c>
      <c r="B3435" s="198">
        <f>IF(ISBLANK('INVOCAÇÕES'!$AK$34),"",'INVOCAÇÕES'!$AK$34&amp;"")</f>
        <v/>
      </c>
      <c r="C3435" s="198">
        <f>"'INVOCAÇÕES'!AK34"</f>
        <v/>
      </c>
      <c r="D3435" s="198" t="inlineStr">
        <is>
          <t>entrada</t>
        </is>
      </c>
    </row>
    <row r="3436">
      <c r="A3436" s="198" t="inlineStr">
        <is>
          <t>invocacao.7.tr_treinado</t>
        </is>
      </c>
      <c r="B3436" s="198">
        <f>IF(ISBLANK('INVOCAÇÕES'!$AL$29),"",'INVOCAÇÕES'!$AL$29&amp;"")</f>
        <v/>
      </c>
      <c r="C3436" s="198">
        <f>"'INVOCAÇÕES'!AL29"</f>
        <v/>
      </c>
      <c r="D3436" s="198" t="inlineStr">
        <is>
          <t>entrada</t>
        </is>
      </c>
    </row>
    <row r="3437">
      <c r="A3437" s="198" t="inlineStr">
        <is>
          <t>invocacao.7.alma</t>
        </is>
      </c>
      <c r="B3437" s="198">
        <f>IF(ISBLANK('INVOCAÇÕES'!$AN$18),"",'INVOCAÇÕES'!$AN$18&amp;"")</f>
        <v/>
      </c>
      <c r="C3437" s="198">
        <f>"'INVOCAÇÕES'!AN18"</f>
        <v/>
      </c>
      <c r="D3437" s="198" t="inlineStr">
        <is>
          <t>entrada</t>
        </is>
      </c>
    </row>
    <row r="3438">
      <c r="A3438" s="198" t="inlineStr">
        <is>
          <t>invocacao.7.notas</t>
        </is>
      </c>
      <c r="B3438" s="198">
        <f>IF(ISBLANK('INVOCAÇÕES'!$AN$27),"",'INVOCAÇÕES'!$AN$27&amp;"")</f>
        <v/>
      </c>
      <c r="C3438" s="198">
        <f>"'INVOCAÇÕES'!AN27"</f>
        <v/>
      </c>
      <c r="D3438" s="198" t="inlineStr">
        <is>
          <t>entrada</t>
        </is>
      </c>
    </row>
    <row r="3439">
      <c r="A3439" s="198" t="inlineStr">
        <is>
          <t>invocacao.7.definicao</t>
        </is>
      </c>
      <c r="B3439" s="198">
        <f>IF(ISBLANK('INVOCAÇÕES'!$AB$66),"",'INVOCAÇÕES'!$AB$66&amp;"")</f>
        <v/>
      </c>
      <c r="C3439" s="198">
        <f>"'INVOCAÇÕES'!AB53"</f>
        <v/>
      </c>
      <c r="D3439" s="198" t="inlineStr">
        <is>
          <t>entrada</t>
        </is>
      </c>
    </row>
    <row r="3440">
      <c r="A3440" s="198" t="inlineStr">
        <is>
          <t>invocacao.7.familia.1</t>
        </is>
      </c>
      <c r="B3440" s="198">
        <f>IF(ISBLANK('INVOCAÇÕES'!$AH$48),"",'INVOCAÇÕES'!$AH$48&amp;"")</f>
        <v/>
      </c>
      <c r="C3440" s="198">
        <f>"'INVOCAÇÕES'!AH48"</f>
        <v/>
      </c>
      <c r="D3440" s="198" t="inlineStr">
        <is>
          <t>entrada</t>
        </is>
      </c>
    </row>
    <row r="3441">
      <c r="A3441" s="198" t="inlineStr">
        <is>
          <t>invocacao.7.familia.2</t>
        </is>
      </c>
      <c r="B3441" s="198">
        <f>IF(ISBLANK('INVOCAÇÕES'!$AI$48),"",'INVOCAÇÕES'!$AI$48&amp;"")</f>
        <v/>
      </c>
      <c r="C3441" s="198">
        <f>"'INVOCAÇÕES'!AI48"</f>
        <v/>
      </c>
      <c r="D3441" s="198" t="inlineStr">
        <is>
          <t>entrada</t>
        </is>
      </c>
    </row>
    <row r="3442">
      <c r="A3442" s="198" t="inlineStr">
        <is>
          <t>invocacao.7.familia.3</t>
        </is>
      </c>
      <c r="B3442" s="198">
        <f>IF(ISBLANK('INVOCAÇÕES'!$AJ$48),"",'INVOCAÇÕES'!$AJ$48&amp;"")</f>
        <v/>
      </c>
      <c r="C3442" s="198">
        <f>"'INVOCAÇÕES'!AJ48"</f>
        <v/>
      </c>
      <c r="D3442" s="198" t="inlineStr">
        <is>
          <t>entrada</t>
        </is>
      </c>
    </row>
    <row r="3443">
      <c r="A3443" s="198" t="inlineStr">
        <is>
          <t>invocacao.7.familia.4</t>
        </is>
      </c>
      <c r="B3443" s="198">
        <f>IF(ISBLANK('INVOCAÇÕES'!$AK$48),"",'INVOCAÇÕES'!$AK$48&amp;"")</f>
        <v/>
      </c>
      <c r="C3443" s="198">
        <f>"'INVOCAÇÕES'!AK48"</f>
        <v/>
      </c>
      <c r="D3443" s="198" t="inlineStr">
        <is>
          <t>entrada</t>
        </is>
      </c>
    </row>
    <row r="3444">
      <c r="A3444" s="198" t="inlineStr">
        <is>
          <t>invocacao.7.familia.5</t>
        </is>
      </c>
      <c r="B3444" s="198">
        <f>IF(ISBLANK('INVOCAÇÕES'!$AL$48),"",'INVOCAÇÕES'!$AL$48&amp;"")</f>
        <v/>
      </c>
      <c r="C3444" s="198">
        <f>"'INVOCAÇÕES'!AL48"</f>
        <v/>
      </c>
      <c r="D3444" s="198" t="inlineStr">
        <is>
          <t>entrada</t>
        </is>
      </c>
    </row>
    <row r="3445">
      <c r="A3445" s="198" t="inlineStr">
        <is>
          <t>invocacao.7.pericia.1</t>
        </is>
      </c>
      <c r="B3445" s="198">
        <f>IF(ISBLANK('INVOCAÇÕES'!$AH$38),"",'INVOCAÇÕES'!$AH$38&amp;"")</f>
        <v/>
      </c>
      <c r="C3445" s="198">
        <f>"'INVOCAÇÕES'!AH38"</f>
        <v/>
      </c>
      <c r="D3445" s="198" t="inlineStr">
        <is>
          <t>entrada</t>
        </is>
      </c>
    </row>
    <row r="3446">
      <c r="A3446" s="198" t="inlineStr">
        <is>
          <t>invocacao.7.pericia.2</t>
        </is>
      </c>
      <c r="B3446" s="198">
        <f>IF(ISBLANK('INVOCAÇÕES'!$AH$39),"",'INVOCAÇÕES'!$AH$39&amp;"")</f>
        <v/>
      </c>
      <c r="C3446" s="198">
        <f>"'INVOCAÇÕES'!AH39"</f>
        <v/>
      </c>
      <c r="D3446" s="198" t="inlineStr">
        <is>
          <t>entrada</t>
        </is>
      </c>
    </row>
    <row r="3447">
      <c r="A3447" s="198" t="inlineStr">
        <is>
          <t>invocacao.7.pericia.3</t>
        </is>
      </c>
      <c r="B3447" s="198">
        <f>IF(ISBLANK('INVOCAÇÕES'!$AH$40),"",'INVOCAÇÕES'!$AH$40&amp;"")</f>
        <v/>
      </c>
      <c r="C3447" s="198">
        <f>"'INVOCAÇÕES'!AH40"</f>
        <v/>
      </c>
      <c r="D3447" s="198" t="inlineStr">
        <is>
          <t>entrada</t>
        </is>
      </c>
    </row>
    <row r="3448">
      <c r="A3448" s="198" t="inlineStr">
        <is>
          <t>invocacao.7.pericia.4</t>
        </is>
      </c>
      <c r="B3448" s="198">
        <f>IF(ISBLANK('INVOCAÇÕES'!$AH$41),"",'INVOCAÇÕES'!$AH$41&amp;"")</f>
        <v/>
      </c>
      <c r="C3448" s="198">
        <f>"'INVOCAÇÕES'!AH41"</f>
        <v/>
      </c>
      <c r="D3448" s="198" t="inlineStr">
        <is>
          <t>entrada</t>
        </is>
      </c>
    </row>
    <row r="3449">
      <c r="A3449" s="198" t="inlineStr">
        <is>
          <t>invocacao.7.pericia.5</t>
        </is>
      </c>
      <c r="B3449" s="198">
        <f>IF(ISBLANK('INVOCAÇÕES'!$AH$42),"",'INVOCAÇÕES'!$AH$42&amp;"")</f>
        <v/>
      </c>
      <c r="C3449" s="198">
        <f>"'INVOCAÇÕES'!AH42"</f>
        <v/>
      </c>
      <c r="D3449" s="198" t="inlineStr">
        <is>
          <t>entrada</t>
        </is>
      </c>
    </row>
    <row r="3450">
      <c r="A3450" s="198" t="inlineStr">
        <is>
          <t>invocacao.7.pericia.6</t>
        </is>
      </c>
      <c r="B3450" s="198">
        <f>IF(ISBLANK('INVOCAÇÕES'!$AH$43),"",'INVOCAÇÕES'!$AH$43&amp;"")</f>
        <v/>
      </c>
      <c r="C3450" s="198">
        <f>"'INVOCAÇÕES'!AH43"</f>
        <v/>
      </c>
      <c r="D3450" s="198" t="inlineStr">
        <is>
          <t>entrada</t>
        </is>
      </c>
    </row>
    <row r="3451">
      <c r="A3451" s="198" t="inlineStr">
        <is>
          <t>invocacao.7.pericia.7</t>
        </is>
      </c>
      <c r="B3451" s="198">
        <f>IF(ISBLANK('INVOCAÇÕES'!$AH$44),"",'INVOCAÇÕES'!$AH$44&amp;"")</f>
        <v/>
      </c>
      <c r="C3451" s="198">
        <f>"'INVOCAÇÕES'!AH44"</f>
        <v/>
      </c>
      <c r="D3451" s="198" t="inlineStr">
        <is>
          <t>entrada</t>
        </is>
      </c>
    </row>
    <row r="3452">
      <c r="A3452" s="198" t="inlineStr">
        <is>
          <t>invocacao.7.buff.pericia.1</t>
        </is>
      </c>
      <c r="B3452" s="198">
        <f>IF(ISBLANK('INVOCAÇÕES'!$AK$38),"",'INVOCAÇÕES'!$AK$38&amp;"")</f>
        <v/>
      </c>
      <c r="C3452" s="198">
        <f>"'INVOCAÇÕES'!AK38"</f>
        <v/>
      </c>
      <c r="D3452" s="198" t="inlineStr">
        <is>
          <t>entrada</t>
        </is>
      </c>
    </row>
    <row r="3453">
      <c r="A3453" s="198" t="inlineStr">
        <is>
          <t>invocacao.7.buff.pericia.2</t>
        </is>
      </c>
      <c r="B3453" s="198">
        <f>IF(ISBLANK('INVOCAÇÕES'!$AK$39),"",'INVOCAÇÕES'!$AK$39&amp;"")</f>
        <v/>
      </c>
      <c r="C3453" s="198">
        <f>"'INVOCAÇÕES'!AK39"</f>
        <v/>
      </c>
      <c r="D3453" s="198" t="inlineStr">
        <is>
          <t>entrada</t>
        </is>
      </c>
    </row>
    <row r="3454">
      <c r="A3454" s="198" t="inlineStr">
        <is>
          <t>invocacao.7.buff.pericia.3</t>
        </is>
      </c>
      <c r="B3454" s="198">
        <f>IF(ISBLANK('INVOCAÇÕES'!$AK$40),"",'INVOCAÇÕES'!$AK$40&amp;"")</f>
        <v/>
      </c>
      <c r="C3454" s="198">
        <f>"'INVOCAÇÕES'!AK40"</f>
        <v/>
      </c>
      <c r="D3454" s="198" t="inlineStr">
        <is>
          <t>entrada</t>
        </is>
      </c>
    </row>
    <row r="3455">
      <c r="A3455" s="198" t="inlineStr">
        <is>
          <t>invocacao.7.buff.pericia.4</t>
        </is>
      </c>
      <c r="B3455" s="198">
        <f>IF(ISBLANK('INVOCAÇÕES'!$AK$41),"",'INVOCAÇÕES'!$AK$41&amp;"")</f>
        <v/>
      </c>
      <c r="C3455" s="198">
        <f>"'INVOCAÇÕES'!AK41"</f>
        <v/>
      </c>
      <c r="D3455" s="198" t="inlineStr">
        <is>
          <t>entrada</t>
        </is>
      </c>
    </row>
    <row r="3456">
      <c r="A3456" s="198" t="inlineStr">
        <is>
          <t>invocacao.7.buff.pericia.5</t>
        </is>
      </c>
      <c r="B3456" s="198">
        <f>IF(ISBLANK('INVOCAÇÕES'!$AK$42),"",'INVOCAÇÕES'!$AK$42&amp;"")</f>
        <v/>
      </c>
      <c r="C3456" s="198">
        <f>"'INVOCAÇÕES'!AK42"</f>
        <v/>
      </c>
      <c r="D3456" s="198" t="inlineStr">
        <is>
          <t>entrada</t>
        </is>
      </c>
    </row>
    <row r="3457">
      <c r="A3457" s="198" t="inlineStr">
        <is>
          <t>invocacao.7.buff.pericia.6</t>
        </is>
      </c>
      <c r="B3457" s="198">
        <f>IF(ISBLANK('INVOCAÇÕES'!$AK$43),"",'INVOCAÇÕES'!$AK$43&amp;"")</f>
        <v/>
      </c>
      <c r="C3457" s="198">
        <f>"'INVOCAÇÕES'!AK43"</f>
        <v/>
      </c>
      <c r="D3457" s="198" t="inlineStr">
        <is>
          <t>entrada</t>
        </is>
      </c>
    </row>
    <row r="3458">
      <c r="A3458" s="198" t="inlineStr">
        <is>
          <t>invocacao.7.buff.pericia.7</t>
        </is>
      </c>
      <c r="B3458" s="198">
        <f>IF(ISBLANK('INVOCAÇÕES'!$AK$44),"",'INVOCAÇÕES'!$AK$44&amp;"")</f>
        <v/>
      </c>
      <c r="C3458" s="198">
        <f>"'INVOCAÇÕES'!AK44"</f>
        <v/>
      </c>
      <c r="D3458" s="198" t="inlineStr">
        <is>
          <t>entrada</t>
        </is>
      </c>
    </row>
    <row r="3459">
      <c r="A3459" s="198" t="inlineStr">
        <is>
          <t>invocacao.7.talento.1</t>
        </is>
      </c>
      <c r="B3459" s="198">
        <f>IF(ISBLANK('INVOCAÇÕES'!$AC$93),"",'INVOCAÇÕES'!$AC$93&amp;"")</f>
        <v/>
      </c>
      <c r="C3459" s="198">
        <f>"'INVOCAÇÕES'!AC80"</f>
        <v/>
      </c>
      <c r="D3459" s="198" t="inlineStr">
        <is>
          <t>entrada</t>
        </is>
      </c>
    </row>
    <row r="3460">
      <c r="A3460" s="198" t="inlineStr">
        <is>
          <t>invocacao.7.talento.2</t>
        </is>
      </c>
      <c r="B3460" s="198">
        <f>IF(ISBLANK('INVOCAÇÕES'!$AC$94),"",'INVOCAÇÕES'!$AC$94&amp;"")</f>
        <v/>
      </c>
      <c r="C3460" s="198">
        <f>"'INVOCAÇÕES'!AC81"</f>
        <v/>
      </c>
      <c r="D3460" s="198" t="inlineStr">
        <is>
          <t>entrada</t>
        </is>
      </c>
    </row>
    <row r="3461">
      <c r="A3461" s="198" t="inlineStr">
        <is>
          <t>invocacao.7.talento.3</t>
        </is>
      </c>
      <c r="B3461" s="198">
        <f>IF(ISBLANK('INVOCAÇÕES'!$AC$95),"",'INVOCAÇÕES'!$AC$95&amp;"")</f>
        <v/>
      </c>
      <c r="C3461" s="198">
        <f>"'INVOCAÇÕES'!AC82"</f>
        <v/>
      </c>
      <c r="D3461" s="198" t="inlineStr">
        <is>
          <t>entrada</t>
        </is>
      </c>
    </row>
    <row r="3462">
      <c r="A3462" s="198" t="inlineStr">
        <is>
          <t>invocacao.7.talento.4</t>
        </is>
      </c>
      <c r="B3462" s="198">
        <f>IF(ISBLANK('INVOCAÇÕES'!$AC$96),"",'INVOCAÇÕES'!$AC$96&amp;"")</f>
        <v/>
      </c>
      <c r="C3462" s="198">
        <f>"'INVOCAÇÕES'!AC83"</f>
        <v/>
      </c>
      <c r="D3462" s="198" t="inlineStr">
        <is>
          <t>entrada</t>
        </is>
      </c>
    </row>
    <row r="3463">
      <c r="A3463" s="198" t="inlineStr">
        <is>
          <t>invocacao.7.talento.5</t>
        </is>
      </c>
      <c r="B3463" s="198">
        <f>IF(ISBLANK('INVOCAÇÕES'!$AC$97),"",'INVOCAÇÕES'!$AC$97&amp;"")</f>
        <v/>
      </c>
      <c r="C3463" s="198">
        <f>"'INVOCAÇÕES'!AC84"</f>
        <v/>
      </c>
      <c r="D3463" s="198" t="inlineStr">
        <is>
          <t>entrada</t>
        </is>
      </c>
    </row>
    <row r="3464">
      <c r="A3464" s="198" t="inlineStr">
        <is>
          <t>invocacao.7.talento.6</t>
        </is>
      </c>
      <c r="B3464" s="198">
        <f>IF(ISBLANK('INVOCAÇÕES'!$AC$98),"",'INVOCAÇÕES'!$AC$98&amp;"")</f>
        <v/>
      </c>
      <c r="C3464" s="198">
        <f>"'INVOCAÇÕES'!AC85"</f>
        <v/>
      </c>
      <c r="D3464" s="198" t="inlineStr">
        <is>
          <t>entrada</t>
        </is>
      </c>
    </row>
    <row r="3465">
      <c r="A3465" s="198" t="inlineStr">
        <is>
          <t>invocacao.7.talento.7</t>
        </is>
      </c>
      <c r="B3465" s="198">
        <f>IF(ISBLANK('INVOCAÇÕES'!$AC$99),"",'INVOCAÇÕES'!$AC$99&amp;"")</f>
        <v/>
      </c>
      <c r="C3465" s="198">
        <f>"'INVOCAÇÕES'!AC86"</f>
        <v/>
      </c>
      <c r="D3465" s="198" t="inlineStr">
        <is>
          <t>entrada</t>
        </is>
      </c>
    </row>
    <row r="3466">
      <c r="A3466" s="198" t="inlineStr">
        <is>
          <t>invocacao.7.talento.8</t>
        </is>
      </c>
      <c r="B3466" s="198">
        <f>IF(ISBLANK('INVOCAÇÕES'!$AC$100),"",'INVOCAÇÕES'!$AC$100&amp;"")</f>
        <v/>
      </c>
      <c r="C3466" s="198">
        <f>"'INVOCAÇÕES'!AC87"</f>
        <v/>
      </c>
      <c r="D3466" s="198" t="inlineStr">
        <is>
          <t>entrada</t>
        </is>
      </c>
    </row>
    <row r="3467">
      <c r="A3467" s="198" t="inlineStr">
        <is>
          <t>invocacao.7.talento_extra.1</t>
        </is>
      </c>
      <c r="B3467" s="198">
        <f>IF(ISBLANK('INVOCAÇÕES'!$AC$195),"",'INVOCAÇÕES'!$AC$195&amp;"")</f>
        <v/>
      </c>
      <c r="C3467" s="198">
        <f>"'INVOCAÇÕES'!AC182"</f>
        <v/>
      </c>
      <c r="D3467" s="198" t="inlineStr">
        <is>
          <t>entrada</t>
        </is>
      </c>
    </row>
    <row r="3468">
      <c r="A3468" s="198" t="inlineStr">
        <is>
          <t>invocacao.7.talento_extra.2</t>
        </is>
      </c>
      <c r="B3468" s="198">
        <f>IF(ISBLANK('INVOCAÇÕES'!$AC$196),"",'INVOCAÇÕES'!$AC$196&amp;"")</f>
        <v/>
      </c>
      <c r="C3468" s="198">
        <f>"'INVOCAÇÕES'!AC183"</f>
        <v/>
      </c>
      <c r="D3468" s="198" t="inlineStr">
        <is>
          <t>entrada</t>
        </is>
      </c>
    </row>
    <row r="3469">
      <c r="A3469" s="198" t="inlineStr">
        <is>
          <t>invocacao.7.talento_extra.3</t>
        </is>
      </c>
      <c r="B3469" s="198">
        <f>IF(ISBLANK('INVOCAÇÕES'!$AC$197),"",'INVOCAÇÕES'!$AC$197&amp;"")</f>
        <v/>
      </c>
      <c r="C3469" s="198">
        <f>"'INVOCAÇÕES'!AC184"</f>
        <v/>
      </c>
      <c r="D3469" s="198" t="inlineStr">
        <is>
          <t>entrada</t>
        </is>
      </c>
    </row>
    <row r="3470">
      <c r="A3470" s="198" t="inlineStr">
        <is>
          <t>invocacao.7.equipamento.1</t>
        </is>
      </c>
      <c r="B3470" s="198">
        <f>IF(ISBLANK('INVOCAÇÕES'!$AO$33),"",'INVOCAÇÕES'!$AO$33&amp;"")</f>
        <v/>
      </c>
      <c r="C3470" s="198">
        <f>"'INVOCAÇÕES'!AO33"</f>
        <v/>
      </c>
      <c r="D3470" s="198" t="inlineStr">
        <is>
          <t>entrada</t>
        </is>
      </c>
    </row>
    <row r="3471">
      <c r="A3471" s="198" t="inlineStr">
        <is>
          <t>invocacao.7.equipamento.2</t>
        </is>
      </c>
      <c r="B3471" s="198">
        <f>IF(ISBLANK('INVOCAÇÕES'!$AO$34),"",'INVOCAÇÕES'!$AO$34&amp;"")</f>
        <v/>
      </c>
      <c r="C3471" s="198">
        <f>"'INVOCAÇÕES'!AO34"</f>
        <v/>
      </c>
      <c r="D3471" s="198" t="inlineStr">
        <is>
          <t>entrada</t>
        </is>
      </c>
    </row>
    <row r="3472">
      <c r="A3472" s="198" t="inlineStr">
        <is>
          <t>invocacao.7.equipamento.3</t>
        </is>
      </c>
      <c r="B3472" s="198">
        <f>IF(ISBLANK('INVOCAÇÕES'!$AO$35),"",'INVOCAÇÕES'!$AO$35&amp;"")</f>
        <v/>
      </c>
      <c r="C3472" s="198">
        <f>"'INVOCAÇÕES'!AO35"</f>
        <v/>
      </c>
      <c r="D3472" s="198" t="inlineStr">
        <is>
          <t>entrada</t>
        </is>
      </c>
    </row>
    <row r="3473">
      <c r="A3473" s="198" t="inlineStr">
        <is>
          <t>invocacao.7.liberacao.1.classe</t>
        </is>
      </c>
      <c r="B3473" s="198">
        <f>IF(ISBLANK('INVOCAÇÕES'!$AB$202),"",'INVOCAÇÕES'!$AB$202&amp;"")</f>
        <v/>
      </c>
      <c r="C3473" s="198">
        <f>"'INVOCAÇÕES'!AB189"</f>
        <v/>
      </c>
      <c r="D3473" s="198" t="inlineStr">
        <is>
          <t>entrada</t>
        </is>
      </c>
    </row>
    <row r="3474">
      <c r="A3474" s="198" t="inlineStr">
        <is>
          <t>invocacao.7.liberacao.1.nome</t>
        </is>
      </c>
      <c r="B3474" s="198">
        <f>IF(ISBLANK('INVOCAÇÕES'!$AC$202),"",'INVOCAÇÕES'!$AC$202&amp;"")</f>
        <v/>
      </c>
      <c r="C3474" s="198">
        <f>"'INVOCAÇÕES'!AC189"</f>
        <v/>
      </c>
      <c r="D3474" s="198" t="inlineStr">
        <is>
          <t>entrada</t>
        </is>
      </c>
    </row>
    <row r="3475">
      <c r="A3475" s="198" t="inlineStr">
        <is>
          <t>invocacao.7.liberacao.1.pe</t>
        </is>
      </c>
      <c r="B3475" s="198">
        <f>IF(ISBLANK('INVOCAÇÕES'!$AF$202),"",'INVOCAÇÕES'!$AF$202&amp;"")</f>
        <v/>
      </c>
      <c r="C3475" s="198">
        <f>"'INVOCAÇÕES'!AF189"</f>
        <v/>
      </c>
      <c r="D3475" s="198" t="inlineStr">
        <is>
          <t>resultado</t>
        </is>
      </c>
    </row>
    <row r="3476">
      <c r="A3476" s="198" t="inlineStr">
        <is>
          <t>invocacao.7.liberacao.1.como</t>
        </is>
      </c>
      <c r="B3476" s="198">
        <f>IF(ISBLANK('INVOCAÇÕES'!$AB$203),"",'INVOCAÇÕES'!$AB$203&amp;"")</f>
        <v/>
      </c>
      <c r="C3476" s="198">
        <f>"'INVOCAÇÕES'!AB190"</f>
        <v/>
      </c>
      <c r="D3476" s="198" t="inlineStr">
        <is>
          <t>entrada</t>
        </is>
      </c>
    </row>
    <row r="3477">
      <c r="A3477" s="198" t="inlineStr">
        <is>
          <t>invocacao.7.liberacao.1.pontos</t>
        </is>
      </c>
      <c r="B3477" s="198">
        <f>IF(ISBLANK('INVOCAÇÕES'!$AB$207),"",'INVOCAÇÕES'!$AB$207&amp;"")</f>
        <v/>
      </c>
      <c r="C3477" s="198">
        <f>"'INVOCAÇÕES'!AB194"</f>
        <v/>
      </c>
      <c r="D3477" s="198" t="inlineStr">
        <is>
          <t>resultado</t>
        </is>
      </c>
    </row>
    <row r="3478">
      <c r="A3478" s="198" t="inlineStr">
        <is>
          <t>invocacao.7.liberacao.1.acao</t>
        </is>
      </c>
      <c r="B3478" s="198">
        <f>IF(ISBLANK('INVOCAÇÕES'!$AB$208),"",'INVOCAÇÕES'!$AB$208&amp;"")</f>
        <v/>
      </c>
      <c r="C3478" s="198">
        <f>"'INVOCAÇÕES'!AB195"</f>
        <v/>
      </c>
      <c r="D3478" s="198" t="inlineStr">
        <is>
          <t>resultado</t>
        </is>
      </c>
    </row>
    <row r="3479">
      <c r="A3479" s="198" t="inlineStr">
        <is>
          <t>invocacao.7.liberacao.2.classe</t>
        </is>
      </c>
      <c r="B3479" s="198">
        <f>IF(ISBLANK('INVOCAÇÕES'!$AH$202),"",'INVOCAÇÕES'!$AH$202&amp;"")</f>
        <v/>
      </c>
      <c r="C3479" s="198">
        <f>"'INVOCAÇÕES'!AH189"</f>
        <v/>
      </c>
      <c r="D3479" s="198" t="inlineStr">
        <is>
          <t>entrada</t>
        </is>
      </c>
    </row>
    <row r="3480">
      <c r="A3480" s="198" t="inlineStr">
        <is>
          <t>invocacao.7.liberacao.2.nome</t>
        </is>
      </c>
      <c r="B3480" s="198">
        <f>IF(ISBLANK('INVOCAÇÕES'!$AI$202),"",'INVOCAÇÕES'!$AI$202&amp;"")</f>
        <v/>
      </c>
      <c r="C3480" s="198">
        <f>"'INVOCAÇÕES'!AI189"</f>
        <v/>
      </c>
      <c r="D3480" s="198" t="inlineStr">
        <is>
          <t>entrada</t>
        </is>
      </c>
    </row>
    <row r="3481">
      <c r="A3481" s="198" t="inlineStr">
        <is>
          <t>invocacao.7.liberacao.2.pe</t>
        </is>
      </c>
      <c r="B3481" s="198">
        <f>IF(ISBLANK('INVOCAÇÕES'!$AL$202),"",'INVOCAÇÕES'!$AL$202&amp;"")</f>
        <v/>
      </c>
      <c r="C3481" s="198">
        <f>"'INVOCAÇÕES'!AL189"</f>
        <v/>
      </c>
      <c r="D3481" s="198" t="inlineStr">
        <is>
          <t>resultado</t>
        </is>
      </c>
    </row>
    <row r="3482">
      <c r="A3482" s="198" t="inlineStr">
        <is>
          <t>invocacao.7.liberacao.2.como</t>
        </is>
      </c>
      <c r="B3482" s="198">
        <f>IF(ISBLANK('INVOCAÇÕES'!$AH$203),"",'INVOCAÇÕES'!$AH$203&amp;"")</f>
        <v/>
      </c>
      <c r="C3482" s="198">
        <f>"'INVOCAÇÕES'!AH190"</f>
        <v/>
      </c>
      <c r="D3482" s="198" t="inlineStr">
        <is>
          <t>entrada</t>
        </is>
      </c>
    </row>
    <row r="3483">
      <c r="A3483" s="198" t="inlineStr">
        <is>
          <t>invocacao.7.liberacao.2.pontos</t>
        </is>
      </c>
      <c r="B3483" s="198">
        <f>IF(ISBLANK('INVOCAÇÕES'!$AH$207),"",'INVOCAÇÕES'!$AH$207&amp;"")</f>
        <v/>
      </c>
      <c r="C3483" s="198">
        <f>"'INVOCAÇÕES'!AH194"</f>
        <v/>
      </c>
      <c r="D3483" s="198" t="inlineStr">
        <is>
          <t>resultado</t>
        </is>
      </c>
    </row>
    <row r="3484">
      <c r="A3484" s="198" t="inlineStr">
        <is>
          <t>invocacao.7.liberacao.2.acao</t>
        </is>
      </c>
      <c r="B3484" s="198">
        <f>IF(ISBLANK('INVOCAÇÕES'!$AH$208),"",'INVOCAÇÕES'!$AH$208&amp;"")</f>
        <v/>
      </c>
      <c r="C3484" s="198">
        <f>"'INVOCAÇÕES'!AH195"</f>
        <v/>
      </c>
      <c r="D3484" s="198" t="inlineStr">
        <is>
          <t>resultado</t>
        </is>
      </c>
    </row>
    <row r="3485">
      <c r="A3485" s="198" t="inlineStr">
        <is>
          <t>invocacao.7.liberacao.3.classe</t>
        </is>
      </c>
      <c r="B3485" s="198">
        <f>IF(ISBLANK('INVOCAÇÕES'!$AN$202),"",'INVOCAÇÕES'!$AN$202&amp;"")</f>
        <v/>
      </c>
      <c r="C3485" s="198">
        <f>"'INVOCAÇÕES'!AN189"</f>
        <v/>
      </c>
      <c r="D3485" s="198" t="inlineStr">
        <is>
          <t>entrada</t>
        </is>
      </c>
    </row>
    <row r="3486">
      <c r="A3486" s="198" t="inlineStr">
        <is>
          <t>invocacao.7.liberacao.3.nome</t>
        </is>
      </c>
      <c r="B3486" s="198">
        <f>IF(ISBLANK('INVOCAÇÕES'!$AO$202),"",'INVOCAÇÕES'!$AO$202&amp;"")</f>
        <v/>
      </c>
      <c r="C3486" s="198">
        <f>"'INVOCAÇÕES'!AO189"</f>
        <v/>
      </c>
      <c r="D3486" s="198" t="inlineStr">
        <is>
          <t>entrada</t>
        </is>
      </c>
    </row>
    <row r="3487">
      <c r="A3487" s="198" t="inlineStr">
        <is>
          <t>invocacao.7.liberacao.3.pe</t>
        </is>
      </c>
      <c r="B3487" s="198">
        <f>IF(ISBLANK('INVOCAÇÕES'!$AR$202),"",'INVOCAÇÕES'!$AR$202&amp;"")</f>
        <v/>
      </c>
      <c r="C3487" s="198">
        <f>"'INVOCAÇÕES'!AR189"</f>
        <v/>
      </c>
      <c r="D3487" s="198" t="inlineStr">
        <is>
          <t>resultado</t>
        </is>
      </c>
    </row>
    <row r="3488">
      <c r="A3488" s="198" t="inlineStr">
        <is>
          <t>invocacao.7.liberacao.3.como</t>
        </is>
      </c>
      <c r="B3488" s="198">
        <f>IF(ISBLANK('INVOCAÇÕES'!$AN$203),"",'INVOCAÇÕES'!$AN$203&amp;"")</f>
        <v/>
      </c>
      <c r="C3488" s="198">
        <f>"'INVOCAÇÕES'!AN190"</f>
        <v/>
      </c>
      <c r="D3488" s="198" t="inlineStr">
        <is>
          <t>entrada</t>
        </is>
      </c>
    </row>
    <row r="3489">
      <c r="A3489" s="198" t="inlineStr">
        <is>
          <t>invocacao.7.liberacao.3.pontos</t>
        </is>
      </c>
      <c r="B3489" s="198">
        <f>IF(ISBLANK('INVOCAÇÕES'!$AN$207),"",'INVOCAÇÕES'!$AN$207&amp;"")</f>
        <v/>
      </c>
      <c r="C3489" s="198">
        <f>"'INVOCAÇÕES'!AN194"</f>
        <v/>
      </c>
      <c r="D3489" s="198" t="inlineStr">
        <is>
          <t>resultado</t>
        </is>
      </c>
    </row>
    <row r="3490">
      <c r="A3490" s="198" t="inlineStr">
        <is>
          <t>invocacao.7.liberacao.3.acao</t>
        </is>
      </c>
      <c r="B3490" s="198">
        <f>IF(ISBLANK('INVOCAÇÕES'!$AN$208),"",'INVOCAÇÕES'!$AN$208&amp;"")</f>
        <v/>
      </c>
      <c r="C3490" s="198">
        <f>"'INVOCAÇÕES'!AN195"</f>
        <v/>
      </c>
      <c r="D3490" s="198" t="inlineStr">
        <is>
          <t>resultado</t>
        </is>
      </c>
    </row>
    <row r="3491">
      <c r="A3491" s="198" t="inlineStr">
        <is>
          <t>invocacao.7.tm.nome</t>
        </is>
      </c>
      <c r="B3491" s="198">
        <f>IF(ISBLANK('INVOCAÇÕES'!$AB$211),"",'INVOCAÇÕES'!$AB$211&amp;"")</f>
        <v/>
      </c>
      <c r="C3491" s="198">
        <f>"'INVOCAÇÕES'!AB198"</f>
        <v/>
      </c>
      <c r="D3491" s="198" t="inlineStr">
        <is>
          <t>entrada</t>
        </is>
      </c>
    </row>
    <row r="3492">
      <c r="A3492" s="198" t="inlineStr">
        <is>
          <t>invocacao.7.tm.pe</t>
        </is>
      </c>
      <c r="B3492" s="198">
        <f>IF(ISBLANK('INVOCAÇÕES'!$AF$211),"",'INVOCAÇÕES'!$AF$211&amp;"")</f>
        <v/>
      </c>
      <c r="C3492" s="198">
        <f>"'INVOCAÇÕES'!AF198"</f>
        <v/>
      </c>
      <c r="D3492" s="198" t="inlineStr">
        <is>
          <t>resultado</t>
        </is>
      </c>
    </row>
    <row r="3493">
      <c r="A3493" s="198" t="inlineStr">
        <is>
          <t>invocacao.7.tm.como</t>
        </is>
      </c>
      <c r="B3493" s="198">
        <f>IF(ISBLANK('INVOCAÇÕES'!$AB$212),"",'INVOCAÇÕES'!$AB$212&amp;"")</f>
        <v/>
      </c>
      <c r="C3493" s="198">
        <f>"'INVOCAÇÕES'!AB199"</f>
        <v/>
      </c>
      <c r="D3493" s="198" t="inlineStr">
        <is>
          <t>entrada</t>
        </is>
      </c>
    </row>
    <row r="3494">
      <c r="A3494" s="198" t="inlineStr">
        <is>
          <t>invocacao.7.tm.dados</t>
        </is>
      </c>
      <c r="B3494" s="198">
        <f>IF(ISBLANK('INVOCAÇÕES'!$AB$216),"",'INVOCAÇÕES'!$AB$216&amp;"")</f>
        <v/>
      </c>
      <c r="C3494" s="198">
        <f>"'INVOCAÇÕES'!AB203"</f>
        <v/>
      </c>
      <c r="D3494" s="198" t="inlineStr">
        <is>
          <t>resultado</t>
        </is>
      </c>
    </row>
    <row r="3495">
      <c r="A3495" s="198" t="inlineStr">
        <is>
          <t>invocacao.7.tm.acao</t>
        </is>
      </c>
      <c r="B3495" s="198">
        <f>IF(ISBLANK('INVOCAÇÕES'!$AB$217),"",'INVOCAÇÕES'!$AB$217&amp;"")</f>
        <v/>
      </c>
      <c r="C3495" s="198">
        <f>"'INVOCAÇÕES'!AB204"</f>
        <v/>
      </c>
      <c r="D3495" s="198" t="inlineStr">
        <is>
          <t>resultado</t>
        </is>
      </c>
    </row>
    <row r="3496">
      <c r="A3496" s="198" t="inlineStr">
        <is>
          <t>invocacao.7.exp.nome</t>
        </is>
      </c>
      <c r="B3496" s="198">
        <f>IF(ISBLANK('INVOCAÇÕES'!$AH$211),"",'INVOCAÇÕES'!$AH$211&amp;"")</f>
        <v/>
      </c>
      <c r="C3496" s="198">
        <f>"'INVOCAÇÕES'!AH198"</f>
        <v/>
      </c>
      <c r="D3496" s="198" t="inlineStr">
        <is>
          <t>entrada</t>
        </is>
      </c>
    </row>
    <row r="3497">
      <c r="A3497" s="198" t="inlineStr">
        <is>
          <t>invocacao.7.exp.pe</t>
        </is>
      </c>
      <c r="B3497" s="198">
        <f>IF(ISBLANK('INVOCAÇÕES'!$AL$211),"",'INVOCAÇÕES'!$AL$211&amp;"")</f>
        <v/>
      </c>
      <c r="C3497" s="198">
        <f>"'INVOCAÇÕES'!AL198"</f>
        <v/>
      </c>
      <c r="D3497" s="198" t="inlineStr">
        <is>
          <t>resultado</t>
        </is>
      </c>
    </row>
    <row r="3498">
      <c r="A3498" s="198" t="inlineStr">
        <is>
          <t>invocacao.7.exp.como</t>
        </is>
      </c>
      <c r="B3498" s="198">
        <f>IF(ISBLANK('INVOCAÇÕES'!$AH$212),"",'INVOCAÇÕES'!$AH$212&amp;"")</f>
        <v/>
      </c>
      <c r="C3498" s="198">
        <f>"'INVOCAÇÕES'!AH199"</f>
        <v/>
      </c>
      <c r="D3498" s="198" t="inlineStr">
        <is>
          <t>entrada</t>
        </is>
      </c>
    </row>
    <row r="3499">
      <c r="A3499" s="198" t="inlineStr">
        <is>
          <t>invocacao.7.exp.degrau</t>
        </is>
      </c>
      <c r="B3499" s="198">
        <f>IF(ISBLANK('INVOCAÇÕES'!$AH$216),"",'INVOCAÇÕES'!$AH$216&amp;"")</f>
        <v/>
      </c>
      <c r="C3499" s="198">
        <f>"'INVOCAÇÕES'!AH203"</f>
        <v/>
      </c>
      <c r="D3499" s="198" t="inlineStr">
        <is>
          <t>entrada</t>
        </is>
      </c>
    </row>
    <row r="3500">
      <c r="A3500" s="198" t="inlineStr">
        <is>
          <t>invocacao.7.exp.acerto</t>
        </is>
      </c>
      <c r="B3500" s="198">
        <f>IF(ISBLANK('INVOCAÇÕES'!$AJ$216),"",'INVOCAÇÕES'!$AJ$216&amp;"")</f>
        <v/>
      </c>
      <c r="C3500" s="198">
        <f>"'INVOCAÇÕES'!AJ203"</f>
        <v/>
      </c>
      <c r="D3500" s="198" t="inlineStr">
        <is>
          <t>entrada</t>
        </is>
      </c>
    </row>
    <row r="3501">
      <c r="A3501" s="198" t="inlineStr">
        <is>
          <t>invocacao.7.exp.pede</t>
        </is>
      </c>
      <c r="B3501" s="198">
        <f>IF(ISBLANK('INVOCAÇÕES'!$AH$217),"",'INVOCAÇÕES'!$AH$217&amp;"")</f>
        <v/>
      </c>
      <c r="C3501" s="198">
        <f>"'INVOCAÇÕES'!AH204"</f>
        <v/>
      </c>
      <c r="D3501" s="198" t="inlineStr">
        <is>
          <t>resultado</t>
        </is>
      </c>
    </row>
    <row r="3502">
      <c r="A3502" s="198" t="inlineStr">
        <is>
          <t>invocacao.8.atributo.forca.base</t>
        </is>
      </c>
      <c r="B3502" s="198">
        <f>IF(ISBLANK('INVOCAÇÕES'!$AH$231),"",'INVOCAÇÕES'!$AH$231&amp;"")</f>
        <v/>
      </c>
      <c r="C3502" s="198">
        <f>"'INVOCAÇÕES'!AH218"</f>
        <v/>
      </c>
      <c r="D3502" s="198" t="inlineStr">
        <is>
          <t>entrada</t>
        </is>
      </c>
    </row>
    <row r="3503">
      <c r="A3503" s="198" t="inlineStr">
        <is>
          <t>invocacao.8.atributo.forca.buff</t>
        </is>
      </c>
      <c r="B3503" s="198">
        <f>IF(ISBLANK('INVOCAÇÕES'!$AH$232),"",'INVOCAÇÕES'!$AH$232&amp;"")</f>
        <v/>
      </c>
      <c r="C3503" s="198">
        <f>"'INVOCAÇÕES'!AH219"</f>
        <v/>
      </c>
      <c r="D3503" s="198" t="inlineStr">
        <is>
          <t>entrada</t>
        </is>
      </c>
    </row>
    <row r="3504">
      <c r="A3504" s="198" t="inlineStr">
        <is>
          <t>invocacao.8.atributo.forca.total</t>
        </is>
      </c>
      <c r="B3504" s="198">
        <f>IF(ISBLANK('INVOCAÇÕES'!$AH$229),"",'INVOCAÇÕES'!$AH$229&amp;"")</f>
        <v/>
      </c>
      <c r="C3504" s="198">
        <f>"'INVOCAÇÕES'!AH216"</f>
        <v/>
      </c>
      <c r="D3504" s="198" t="inlineStr">
        <is>
          <t>resultado</t>
        </is>
      </c>
    </row>
    <row r="3505">
      <c r="A3505" s="198" t="inlineStr">
        <is>
          <t>invocacao.8.atributo.destreza.base</t>
        </is>
      </c>
      <c r="B3505" s="198">
        <f>IF(ISBLANK('INVOCAÇÕES'!$AI$231),"",'INVOCAÇÕES'!$AI$231&amp;"")</f>
        <v/>
      </c>
      <c r="C3505" s="198">
        <f>"'INVOCAÇÕES'!AI218"</f>
        <v/>
      </c>
      <c r="D3505" s="198" t="inlineStr">
        <is>
          <t>entrada</t>
        </is>
      </c>
    </row>
    <row r="3506">
      <c r="A3506" s="198" t="inlineStr">
        <is>
          <t>invocacao.8.atributo.destreza.buff</t>
        </is>
      </c>
      <c r="B3506" s="198">
        <f>IF(ISBLANK('INVOCAÇÕES'!$AI$232),"",'INVOCAÇÕES'!$AI$232&amp;"")</f>
        <v/>
      </c>
      <c r="C3506" s="198">
        <f>"'INVOCAÇÕES'!AI219"</f>
        <v/>
      </c>
      <c r="D3506" s="198" t="inlineStr">
        <is>
          <t>entrada</t>
        </is>
      </c>
    </row>
    <row r="3507">
      <c r="A3507" s="198" t="inlineStr">
        <is>
          <t>invocacao.8.atributo.destreza.total</t>
        </is>
      </c>
      <c r="B3507" s="198">
        <f>IF(ISBLANK('INVOCAÇÕES'!$AI$229),"",'INVOCAÇÕES'!$AI$229&amp;"")</f>
        <v/>
      </c>
      <c r="C3507" s="198">
        <f>"'INVOCAÇÕES'!AI216"</f>
        <v/>
      </c>
      <c r="D3507" s="198" t="inlineStr">
        <is>
          <t>resultado</t>
        </is>
      </c>
    </row>
    <row r="3508">
      <c r="A3508" s="198" t="inlineStr">
        <is>
          <t>invocacao.8.atributo.constituicao.base</t>
        </is>
      </c>
      <c r="B3508" s="198">
        <f>IF(ISBLANK('INVOCAÇÕES'!$AJ$231),"",'INVOCAÇÕES'!$AJ$231&amp;"")</f>
        <v/>
      </c>
      <c r="C3508" s="198">
        <f>"'INVOCAÇÕES'!AJ218"</f>
        <v/>
      </c>
      <c r="D3508" s="198" t="inlineStr">
        <is>
          <t>entrada</t>
        </is>
      </c>
    </row>
    <row r="3509">
      <c r="A3509" s="198" t="inlineStr">
        <is>
          <t>invocacao.8.atributo.constituicao.buff</t>
        </is>
      </c>
      <c r="B3509" s="198">
        <f>IF(ISBLANK('INVOCAÇÕES'!$AJ$232),"",'INVOCAÇÕES'!$AJ$232&amp;"")</f>
        <v/>
      </c>
      <c r="C3509" s="198">
        <f>"'INVOCAÇÕES'!AJ219"</f>
        <v/>
      </c>
      <c r="D3509" s="198" t="inlineStr">
        <is>
          <t>entrada</t>
        </is>
      </c>
    </row>
    <row r="3510">
      <c r="A3510" s="198" t="inlineStr">
        <is>
          <t>invocacao.8.atributo.constituicao.total</t>
        </is>
      </c>
      <c r="B3510" s="198">
        <f>IF(ISBLANK('INVOCAÇÕES'!$AJ$229),"",'INVOCAÇÕES'!$AJ$229&amp;"")</f>
        <v/>
      </c>
      <c r="C3510" s="198">
        <f>"'INVOCAÇÕES'!AJ216"</f>
        <v/>
      </c>
      <c r="D3510" s="198" t="inlineStr">
        <is>
          <t>resultado</t>
        </is>
      </c>
    </row>
    <row r="3511">
      <c r="A3511" s="198" t="inlineStr">
        <is>
          <t>invocacao.8.atributo.inteligencia.base</t>
        </is>
      </c>
      <c r="B3511" s="198">
        <f>IF(ISBLANK('INVOCAÇÕES'!$AK$231),"",'INVOCAÇÕES'!$AK$231&amp;"")</f>
        <v/>
      </c>
      <c r="C3511" s="198">
        <f>"'INVOCAÇÕES'!AK218"</f>
        <v/>
      </c>
      <c r="D3511" s="198" t="inlineStr">
        <is>
          <t>entrada</t>
        </is>
      </c>
    </row>
    <row r="3512">
      <c r="A3512" s="198" t="inlineStr">
        <is>
          <t>invocacao.8.atributo.inteligencia.buff</t>
        </is>
      </c>
      <c r="B3512" s="198">
        <f>IF(ISBLANK('INVOCAÇÕES'!$AK$232),"",'INVOCAÇÕES'!$AK$232&amp;"")</f>
        <v/>
      </c>
      <c r="C3512" s="198">
        <f>"'INVOCAÇÕES'!AK219"</f>
        <v/>
      </c>
      <c r="D3512" s="198" t="inlineStr">
        <is>
          <t>entrada</t>
        </is>
      </c>
    </row>
    <row r="3513">
      <c r="A3513" s="198" t="inlineStr">
        <is>
          <t>invocacao.8.atributo.inteligencia.total</t>
        </is>
      </c>
      <c r="B3513" s="198">
        <f>IF(ISBLANK('INVOCAÇÕES'!$AK$229),"",'INVOCAÇÕES'!$AK$229&amp;"")</f>
        <v/>
      </c>
      <c r="C3513" s="198">
        <f>"'INVOCAÇÕES'!AK216"</f>
        <v/>
      </c>
      <c r="D3513" s="198" t="inlineStr">
        <is>
          <t>resultado</t>
        </is>
      </c>
    </row>
    <row r="3514">
      <c r="A3514" s="198" t="inlineStr">
        <is>
          <t>invocacao.8.atributo.essencia.base</t>
        </is>
      </c>
      <c r="B3514" s="198">
        <f>IF(ISBLANK('INVOCAÇÕES'!$AL$231),"",'INVOCAÇÕES'!$AL$231&amp;"")</f>
        <v/>
      </c>
      <c r="C3514" s="198">
        <f>"'INVOCAÇÕES'!AL218"</f>
        <v/>
      </c>
      <c r="D3514" s="198" t="inlineStr">
        <is>
          <t>entrada</t>
        </is>
      </c>
    </row>
    <row r="3515">
      <c r="A3515" s="198" t="inlineStr">
        <is>
          <t>invocacao.8.atributo.essencia.buff</t>
        </is>
      </c>
      <c r="B3515" s="198">
        <f>IF(ISBLANK('INVOCAÇÕES'!$AL$232),"",'INVOCAÇÕES'!$AL$232&amp;"")</f>
        <v/>
      </c>
      <c r="C3515" s="198">
        <f>"'INVOCAÇÕES'!AL219"</f>
        <v/>
      </c>
      <c r="D3515" s="198" t="inlineStr">
        <is>
          <t>entrada</t>
        </is>
      </c>
    </row>
    <row r="3516">
      <c r="A3516" s="198" t="inlineStr">
        <is>
          <t>invocacao.8.atributo.essencia.total</t>
        </is>
      </c>
      <c r="B3516" s="198">
        <f>IF(ISBLANK('INVOCAÇÕES'!$AL$229),"",'INVOCAÇÕES'!$AL$229&amp;"")</f>
        <v/>
      </c>
      <c r="C3516" s="198">
        <f>"'INVOCAÇÕES'!AL216"</f>
        <v/>
      </c>
      <c r="D3516" s="198" t="inlineStr">
        <is>
          <t>resultado</t>
        </is>
      </c>
    </row>
    <row r="3517">
      <c r="A3517" s="198" t="inlineStr">
        <is>
          <t>invocacao.8.buff.acerto</t>
        </is>
      </c>
      <c r="B3517" s="198">
        <f>IF(ISBLANK('INVOCAÇÕES'!$AH$237),"",'INVOCAÇÕES'!$AH$237&amp;"")</f>
        <v/>
      </c>
      <c r="C3517" s="198">
        <f>"'INVOCAÇÕES'!AH224"</f>
        <v/>
      </c>
      <c r="D3517" s="198" t="inlineStr">
        <is>
          <t>entrada</t>
        </is>
      </c>
    </row>
    <row r="3518">
      <c r="A3518" s="198" t="inlineStr">
        <is>
          <t>invocacao.8.buff.cd</t>
        </is>
      </c>
      <c r="B3518" s="198">
        <f>IF(ISBLANK('INVOCAÇÕES'!$AI$237),"",'INVOCAÇÕES'!$AI$237&amp;"")</f>
        <v/>
      </c>
      <c r="C3518" s="198">
        <f>"'INVOCAÇÕES'!AI224"</f>
        <v/>
      </c>
      <c r="D3518" s="198" t="inlineStr">
        <is>
          <t>entrada</t>
        </is>
      </c>
    </row>
    <row r="3519">
      <c r="A3519" s="198" t="inlineStr">
        <is>
          <t>invocacao.8.buff.defesa</t>
        </is>
      </c>
      <c r="B3519" s="198">
        <f>IF(ISBLANK('INVOCAÇÕES'!$AJ$237),"",'INVOCAÇÕES'!$AJ$237&amp;"")</f>
        <v/>
      </c>
      <c r="C3519" s="198">
        <f>"'INVOCAÇÕES'!AJ224"</f>
        <v/>
      </c>
      <c r="D3519" s="198" t="inlineStr">
        <is>
          <t>entrada</t>
        </is>
      </c>
    </row>
    <row r="3520">
      <c r="A3520" s="198" t="inlineStr">
        <is>
          <t>invocacao.8.buff.vida</t>
        </is>
      </c>
      <c r="B3520" s="198">
        <f>IF(ISBLANK('INVOCAÇÕES'!$AK$237),"",'INVOCAÇÕES'!$AK$237&amp;"")</f>
        <v/>
      </c>
      <c r="C3520" s="198">
        <f>"'INVOCAÇÕES'!AK224"</f>
        <v/>
      </c>
      <c r="D3520" s="198" t="inlineStr">
        <is>
          <t>entrada</t>
        </is>
      </c>
    </row>
    <row r="3521">
      <c r="A3521" s="198" t="inlineStr">
        <is>
          <t>invocacao.8.buff.deslocamento</t>
        </is>
      </c>
      <c r="B3521" s="198">
        <f>IF(ISBLANK('INVOCAÇÕES'!$AL$237),"",'INVOCAÇÕES'!$AL$237&amp;"")</f>
        <v/>
      </c>
      <c r="C3521" s="198">
        <f>"'INVOCAÇÕES'!AL224"</f>
        <v/>
      </c>
      <c r="D3521" s="198" t="inlineStr">
        <is>
          <t>entrada</t>
        </is>
      </c>
    </row>
    <row r="3522">
      <c r="A3522" s="198" t="inlineStr">
        <is>
          <t>invocacao.8.buff.tr.fisico</t>
        </is>
      </c>
      <c r="B3522" s="198">
        <f>IF(ISBLANK('INVOCAÇÕES'!$AH$242),"",'INVOCAÇÕES'!$AH$242&amp;"")</f>
        <v/>
      </c>
      <c r="C3522" s="198">
        <f>"'INVOCAÇÕES'!AH229"</f>
        <v/>
      </c>
      <c r="D3522" s="198" t="inlineStr">
        <is>
          <t>entrada</t>
        </is>
      </c>
    </row>
    <row r="3523">
      <c r="A3523" s="198" t="inlineStr">
        <is>
          <t>invocacao.8.buff.tr.vigor</t>
        </is>
      </c>
      <c r="B3523" s="198">
        <f>IF(ISBLANK('INVOCAÇÕES'!$AI$242),"",'INVOCAÇÕES'!$AI$242&amp;"")</f>
        <v/>
      </c>
      <c r="C3523" s="198">
        <f>"'INVOCAÇÕES'!AI229"</f>
        <v/>
      </c>
      <c r="D3523" s="198" t="inlineStr">
        <is>
          <t>entrada</t>
        </is>
      </c>
    </row>
    <row r="3524">
      <c r="A3524" s="198" t="inlineStr">
        <is>
          <t>invocacao.8.buff.tr.intelecto</t>
        </is>
      </c>
      <c r="B3524" s="198">
        <f>IF(ISBLANK('INVOCAÇÕES'!$AJ$242),"",'INVOCAÇÕES'!$AJ$242&amp;"")</f>
        <v/>
      </c>
      <c r="C3524" s="198">
        <f>"'INVOCAÇÕES'!AJ229"</f>
        <v/>
      </c>
      <c r="D3524" s="198" t="inlineStr">
        <is>
          <t>entrada</t>
        </is>
      </c>
    </row>
    <row r="3525">
      <c r="A3525" s="198" t="inlineStr">
        <is>
          <t>invocacao.8.buff.tr.espirito</t>
        </is>
      </c>
      <c r="B3525" s="198">
        <f>IF(ISBLANK('INVOCAÇÕES'!$AK$242),"",'INVOCAÇÕES'!$AK$242&amp;"")</f>
        <v/>
      </c>
      <c r="C3525" s="198">
        <f>"'INVOCAÇÕES'!AK229"</f>
        <v/>
      </c>
      <c r="D3525" s="198" t="inlineStr">
        <is>
          <t>entrada</t>
        </is>
      </c>
    </row>
    <row r="3526">
      <c r="A3526" s="198" t="inlineStr">
        <is>
          <t>invocacao.8.atributo_acerto</t>
        </is>
      </c>
      <c r="B3526" s="198">
        <f>IF(ISBLANK('INVOCAÇÕES'!$AH$245),"",'INVOCAÇÕES'!$AH$245&amp;"")</f>
        <v/>
      </c>
      <c r="C3526" s="198">
        <f>"'INVOCAÇÕES'!AH232"</f>
        <v/>
      </c>
      <c r="D3526" s="198" t="inlineStr">
        <is>
          <t>entrada</t>
        </is>
      </c>
    </row>
    <row r="3527">
      <c r="A3527" s="198" t="inlineStr">
        <is>
          <t>invocacao.8.atributo_fisico</t>
        </is>
      </c>
      <c r="B3527" s="198">
        <f>IF(ISBLANK('INVOCAÇÕES'!$AK$245),"",'INVOCAÇÕES'!$AK$245&amp;"")</f>
        <v/>
      </c>
      <c r="C3527" s="198">
        <f>"'INVOCAÇÕES'!AK232"</f>
        <v/>
      </c>
      <c r="D3527" s="198" t="inlineStr">
        <is>
          <t>entrada</t>
        </is>
      </c>
    </row>
    <row r="3528">
      <c r="A3528" s="198" t="inlineStr">
        <is>
          <t>invocacao.8.tr_treinado</t>
        </is>
      </c>
      <c r="B3528" s="198">
        <f>IF(ISBLANK('INVOCAÇÕES'!$AL$240),"",'INVOCAÇÕES'!$AL$240&amp;"")</f>
        <v/>
      </c>
      <c r="C3528" s="198">
        <f>"'INVOCAÇÕES'!AL227"</f>
        <v/>
      </c>
      <c r="D3528" s="198" t="inlineStr">
        <is>
          <t>entrada</t>
        </is>
      </c>
    </row>
    <row r="3529">
      <c r="A3529" s="198" t="inlineStr">
        <is>
          <t>invocacao.8.alma</t>
        </is>
      </c>
      <c r="B3529" s="198">
        <f>IF(ISBLANK('INVOCAÇÕES'!$AN$229),"",'INVOCAÇÕES'!$AN$229&amp;"")</f>
        <v/>
      </c>
      <c r="C3529" s="198">
        <f>"'INVOCAÇÕES'!AN216"</f>
        <v/>
      </c>
      <c r="D3529" s="198" t="inlineStr">
        <is>
          <t>entrada</t>
        </is>
      </c>
    </row>
    <row r="3530">
      <c r="A3530" s="198" t="inlineStr">
        <is>
          <t>invocacao.8.notas</t>
        </is>
      </c>
      <c r="B3530" s="198">
        <f>IF(ISBLANK('INVOCAÇÕES'!$AN$238),"",'INVOCAÇÕES'!$AN$238&amp;"")</f>
        <v/>
      </c>
      <c r="C3530" s="198">
        <f>"'INVOCAÇÕES'!AN225"</f>
        <v/>
      </c>
      <c r="D3530" s="198" t="inlineStr">
        <is>
          <t>entrada</t>
        </is>
      </c>
    </row>
    <row r="3531">
      <c r="A3531" s="198" t="inlineStr">
        <is>
          <t>invocacao.8.definicao</t>
        </is>
      </c>
      <c r="B3531" s="198">
        <f>IF(ISBLANK('INVOCAÇÕES'!$AB$277),"",'INVOCAÇÕES'!$AB$277&amp;"")</f>
        <v/>
      </c>
      <c r="C3531" s="198">
        <f>"'INVOCAÇÕES'!AB251"</f>
        <v/>
      </c>
      <c r="D3531" s="198" t="inlineStr">
        <is>
          <t>entrada</t>
        </is>
      </c>
    </row>
    <row r="3532">
      <c r="A3532" s="198" t="inlineStr">
        <is>
          <t>invocacao.8.familia.1</t>
        </is>
      </c>
      <c r="B3532" s="198">
        <f>IF(ISBLANK('INVOCAÇÕES'!$AH$259),"",'INVOCAÇÕES'!$AH$259&amp;"")</f>
        <v/>
      </c>
      <c r="C3532" s="198">
        <f>"'INVOCAÇÕES'!AH246"</f>
        <v/>
      </c>
      <c r="D3532" s="198" t="inlineStr">
        <is>
          <t>entrada</t>
        </is>
      </c>
    </row>
    <row r="3533">
      <c r="A3533" s="198" t="inlineStr">
        <is>
          <t>invocacao.8.familia.2</t>
        </is>
      </c>
      <c r="B3533" s="198">
        <f>IF(ISBLANK('INVOCAÇÕES'!$AI$259),"",'INVOCAÇÕES'!$AI$259&amp;"")</f>
        <v/>
      </c>
      <c r="C3533" s="198">
        <f>"'INVOCAÇÕES'!AI246"</f>
        <v/>
      </c>
      <c r="D3533" s="198" t="inlineStr">
        <is>
          <t>entrada</t>
        </is>
      </c>
    </row>
    <row r="3534">
      <c r="A3534" s="198" t="inlineStr">
        <is>
          <t>invocacao.8.familia.3</t>
        </is>
      </c>
      <c r="B3534" s="198">
        <f>IF(ISBLANK('INVOCAÇÕES'!$AJ$259),"",'INVOCAÇÕES'!$AJ$259&amp;"")</f>
        <v/>
      </c>
      <c r="C3534" s="198">
        <f>"'INVOCAÇÕES'!AJ246"</f>
        <v/>
      </c>
      <c r="D3534" s="198" t="inlineStr">
        <is>
          <t>entrada</t>
        </is>
      </c>
    </row>
    <row r="3535">
      <c r="A3535" s="198" t="inlineStr">
        <is>
          <t>invocacao.8.familia.4</t>
        </is>
      </c>
      <c r="B3535" s="198">
        <f>IF(ISBLANK('INVOCAÇÕES'!$AK$259),"",'INVOCAÇÕES'!$AK$259&amp;"")</f>
        <v/>
      </c>
      <c r="C3535" s="198">
        <f>"'INVOCAÇÕES'!AK246"</f>
        <v/>
      </c>
      <c r="D3535" s="198" t="inlineStr">
        <is>
          <t>entrada</t>
        </is>
      </c>
    </row>
    <row r="3536">
      <c r="A3536" s="198" t="inlineStr">
        <is>
          <t>invocacao.8.familia.5</t>
        </is>
      </c>
      <c r="B3536" s="198">
        <f>IF(ISBLANK('INVOCAÇÕES'!$AL$259),"",'INVOCAÇÕES'!$AL$259&amp;"")</f>
        <v/>
      </c>
      <c r="C3536" s="198">
        <f>"'INVOCAÇÕES'!AL246"</f>
        <v/>
      </c>
      <c r="D3536" s="198" t="inlineStr">
        <is>
          <t>entrada</t>
        </is>
      </c>
    </row>
    <row r="3537">
      <c r="A3537" s="198" t="inlineStr">
        <is>
          <t>invocacao.8.pericia.1</t>
        </is>
      </c>
      <c r="B3537" s="198">
        <f>IF(ISBLANK('INVOCAÇÕES'!$AH$249),"",'INVOCAÇÕES'!$AH$249&amp;"")</f>
        <v/>
      </c>
      <c r="C3537" s="198">
        <f>"'INVOCAÇÕES'!AH236"</f>
        <v/>
      </c>
      <c r="D3537" s="198" t="inlineStr">
        <is>
          <t>entrada</t>
        </is>
      </c>
    </row>
    <row r="3538">
      <c r="A3538" s="198" t="inlineStr">
        <is>
          <t>invocacao.8.pericia.2</t>
        </is>
      </c>
      <c r="B3538" s="198">
        <f>IF(ISBLANK('INVOCAÇÕES'!$AH$250),"",'INVOCAÇÕES'!$AH$250&amp;"")</f>
        <v/>
      </c>
      <c r="C3538" s="198">
        <f>"'INVOCAÇÕES'!AH237"</f>
        <v/>
      </c>
      <c r="D3538" s="198" t="inlineStr">
        <is>
          <t>entrada</t>
        </is>
      </c>
    </row>
    <row r="3539">
      <c r="A3539" s="198" t="inlineStr">
        <is>
          <t>invocacao.8.pericia.3</t>
        </is>
      </c>
      <c r="B3539" s="198">
        <f>IF(ISBLANK('INVOCAÇÕES'!$AH$251),"",'INVOCAÇÕES'!$AH$251&amp;"")</f>
        <v/>
      </c>
      <c r="C3539" s="198">
        <f>"'INVOCAÇÕES'!AH238"</f>
        <v/>
      </c>
      <c r="D3539" s="198" t="inlineStr">
        <is>
          <t>entrada</t>
        </is>
      </c>
    </row>
    <row r="3540">
      <c r="A3540" s="198" t="inlineStr">
        <is>
          <t>invocacao.8.pericia.4</t>
        </is>
      </c>
      <c r="B3540" s="198">
        <f>IF(ISBLANK('INVOCAÇÕES'!$AH$252),"",'INVOCAÇÕES'!$AH$252&amp;"")</f>
        <v/>
      </c>
      <c r="C3540" s="198">
        <f>"'INVOCAÇÕES'!AH239"</f>
        <v/>
      </c>
      <c r="D3540" s="198" t="inlineStr">
        <is>
          <t>entrada</t>
        </is>
      </c>
    </row>
    <row r="3541">
      <c r="A3541" s="198" t="inlineStr">
        <is>
          <t>invocacao.8.pericia.5</t>
        </is>
      </c>
      <c r="B3541" s="198">
        <f>IF(ISBLANK('INVOCAÇÕES'!$AH$253),"",'INVOCAÇÕES'!$AH$253&amp;"")</f>
        <v/>
      </c>
      <c r="C3541" s="198">
        <f>"'INVOCAÇÕES'!AH240"</f>
        <v/>
      </c>
      <c r="D3541" s="198" t="inlineStr">
        <is>
          <t>entrada</t>
        </is>
      </c>
    </row>
    <row r="3542">
      <c r="A3542" s="198" t="inlineStr">
        <is>
          <t>invocacao.8.pericia.6</t>
        </is>
      </c>
      <c r="B3542" s="198">
        <f>IF(ISBLANK('INVOCAÇÕES'!$AH$254),"",'INVOCAÇÕES'!$AH$254&amp;"")</f>
        <v/>
      </c>
      <c r="C3542" s="198">
        <f>"'INVOCAÇÕES'!AH241"</f>
        <v/>
      </c>
      <c r="D3542" s="198" t="inlineStr">
        <is>
          <t>entrada</t>
        </is>
      </c>
    </row>
    <row r="3543">
      <c r="A3543" s="198" t="inlineStr">
        <is>
          <t>invocacao.8.pericia.7</t>
        </is>
      </c>
      <c r="B3543" s="198">
        <f>IF(ISBLANK('INVOCAÇÕES'!$AH$255),"",'INVOCAÇÕES'!$AH$255&amp;"")</f>
        <v/>
      </c>
      <c r="C3543" s="198">
        <f>"'INVOCAÇÕES'!AH242"</f>
        <v/>
      </c>
      <c r="D3543" s="198" t="inlineStr">
        <is>
          <t>entrada</t>
        </is>
      </c>
    </row>
    <row r="3544">
      <c r="A3544" s="198" t="inlineStr">
        <is>
          <t>invocacao.8.buff.pericia.1</t>
        </is>
      </c>
      <c r="B3544" s="198">
        <f>IF(ISBLANK('INVOCAÇÕES'!$AK$249),"",'INVOCAÇÕES'!$AK$249&amp;"")</f>
        <v/>
      </c>
      <c r="C3544" s="198">
        <f>"'INVOCAÇÕES'!AK236"</f>
        <v/>
      </c>
      <c r="D3544" s="198" t="inlineStr">
        <is>
          <t>entrada</t>
        </is>
      </c>
    </row>
    <row r="3545">
      <c r="A3545" s="198" t="inlineStr">
        <is>
          <t>invocacao.8.buff.pericia.2</t>
        </is>
      </c>
      <c r="B3545" s="198">
        <f>IF(ISBLANK('INVOCAÇÕES'!$AK$250),"",'INVOCAÇÕES'!$AK$250&amp;"")</f>
        <v/>
      </c>
      <c r="C3545" s="198">
        <f>"'INVOCAÇÕES'!AK237"</f>
        <v/>
      </c>
      <c r="D3545" s="198" t="inlineStr">
        <is>
          <t>entrada</t>
        </is>
      </c>
    </row>
    <row r="3546">
      <c r="A3546" s="198" t="inlineStr">
        <is>
          <t>invocacao.8.buff.pericia.3</t>
        </is>
      </c>
      <c r="B3546" s="198">
        <f>IF(ISBLANK('INVOCAÇÕES'!$AK$251),"",'INVOCAÇÕES'!$AK$251&amp;"")</f>
        <v/>
      </c>
      <c r="C3546" s="198">
        <f>"'INVOCAÇÕES'!AK238"</f>
        <v/>
      </c>
      <c r="D3546" s="198" t="inlineStr">
        <is>
          <t>entrada</t>
        </is>
      </c>
    </row>
    <row r="3547">
      <c r="A3547" s="198" t="inlineStr">
        <is>
          <t>invocacao.8.buff.pericia.4</t>
        </is>
      </c>
      <c r="B3547" s="198">
        <f>IF(ISBLANK('INVOCAÇÕES'!$AK$252),"",'INVOCAÇÕES'!$AK$252&amp;"")</f>
        <v/>
      </c>
      <c r="C3547" s="198">
        <f>"'INVOCAÇÕES'!AK239"</f>
        <v/>
      </c>
      <c r="D3547" s="198" t="inlineStr">
        <is>
          <t>entrada</t>
        </is>
      </c>
    </row>
    <row r="3548">
      <c r="A3548" s="198" t="inlineStr">
        <is>
          <t>invocacao.8.buff.pericia.5</t>
        </is>
      </c>
      <c r="B3548" s="198">
        <f>IF(ISBLANK('INVOCAÇÕES'!$AK$253),"",'INVOCAÇÕES'!$AK$253&amp;"")</f>
        <v/>
      </c>
      <c r="C3548" s="198">
        <f>"'INVOCAÇÕES'!AK240"</f>
        <v/>
      </c>
      <c r="D3548" s="198" t="inlineStr">
        <is>
          <t>entrada</t>
        </is>
      </c>
    </row>
    <row r="3549">
      <c r="A3549" s="198" t="inlineStr">
        <is>
          <t>invocacao.8.buff.pericia.6</t>
        </is>
      </c>
      <c r="B3549" s="198">
        <f>IF(ISBLANK('INVOCAÇÕES'!$AK$254),"",'INVOCAÇÕES'!$AK$254&amp;"")</f>
        <v/>
      </c>
      <c r="C3549" s="198">
        <f>"'INVOCAÇÕES'!AK241"</f>
        <v/>
      </c>
      <c r="D3549" s="198" t="inlineStr">
        <is>
          <t>entrada</t>
        </is>
      </c>
    </row>
    <row r="3550">
      <c r="A3550" s="198" t="inlineStr">
        <is>
          <t>invocacao.8.buff.pericia.7</t>
        </is>
      </c>
      <c r="B3550" s="198">
        <f>IF(ISBLANK('INVOCAÇÕES'!$AK$255),"",'INVOCAÇÕES'!$AK$255&amp;"")</f>
        <v/>
      </c>
      <c r="C3550" s="198">
        <f>"'INVOCAÇÕES'!AK242"</f>
        <v/>
      </c>
      <c r="D3550" s="198" t="inlineStr">
        <is>
          <t>entrada</t>
        </is>
      </c>
    </row>
    <row r="3551">
      <c r="A3551" s="198" t="inlineStr">
        <is>
          <t>invocacao.8.talento.1</t>
        </is>
      </c>
      <c r="B3551" s="198">
        <f>IF(ISBLANK('INVOCAÇÕES'!$AC$304),"",'INVOCAÇÕES'!$AC$304&amp;"")</f>
        <v/>
      </c>
      <c r="C3551" s="198">
        <f>"'INVOCAÇÕES'!AC278"</f>
        <v/>
      </c>
      <c r="D3551" s="198" t="inlineStr">
        <is>
          <t>entrada</t>
        </is>
      </c>
    </row>
    <row r="3552">
      <c r="A3552" s="198" t="inlineStr">
        <is>
          <t>invocacao.8.talento.2</t>
        </is>
      </c>
      <c r="B3552" s="198">
        <f>IF(ISBLANK('INVOCAÇÕES'!$AC$305),"",'INVOCAÇÕES'!$AC$305&amp;"")</f>
        <v/>
      </c>
      <c r="C3552" s="198">
        <f>"'INVOCAÇÕES'!AC279"</f>
        <v/>
      </c>
      <c r="D3552" s="198" t="inlineStr">
        <is>
          <t>entrada</t>
        </is>
      </c>
    </row>
    <row r="3553">
      <c r="A3553" s="198" t="inlineStr">
        <is>
          <t>invocacao.8.talento.3</t>
        </is>
      </c>
      <c r="B3553" s="198">
        <f>IF(ISBLANK('INVOCAÇÕES'!$AC$306),"",'INVOCAÇÕES'!$AC$306&amp;"")</f>
        <v/>
      </c>
      <c r="C3553" s="198">
        <f>"'INVOCAÇÕES'!AC280"</f>
        <v/>
      </c>
      <c r="D3553" s="198" t="inlineStr">
        <is>
          <t>entrada</t>
        </is>
      </c>
    </row>
    <row r="3554">
      <c r="A3554" s="198" t="inlineStr">
        <is>
          <t>invocacao.8.talento.4</t>
        </is>
      </c>
      <c r="B3554" s="198">
        <f>IF(ISBLANK('INVOCAÇÕES'!$AC$307),"",'INVOCAÇÕES'!$AC$307&amp;"")</f>
        <v/>
      </c>
      <c r="C3554" s="198">
        <f>"'INVOCAÇÕES'!AC281"</f>
        <v/>
      </c>
      <c r="D3554" s="198" t="inlineStr">
        <is>
          <t>entrada</t>
        </is>
      </c>
    </row>
    <row r="3555">
      <c r="A3555" s="198" t="inlineStr">
        <is>
          <t>invocacao.8.talento.5</t>
        </is>
      </c>
      <c r="B3555" s="198">
        <f>IF(ISBLANK('INVOCAÇÕES'!$AC$308),"",'INVOCAÇÕES'!$AC$308&amp;"")</f>
        <v/>
      </c>
      <c r="C3555" s="198">
        <f>"'INVOCAÇÕES'!AC282"</f>
        <v/>
      </c>
      <c r="D3555" s="198" t="inlineStr">
        <is>
          <t>entrada</t>
        </is>
      </c>
    </row>
    <row r="3556">
      <c r="A3556" s="198" t="inlineStr">
        <is>
          <t>invocacao.8.talento.6</t>
        </is>
      </c>
      <c r="B3556" s="198">
        <f>IF(ISBLANK('INVOCAÇÕES'!$AC$309),"",'INVOCAÇÕES'!$AC$309&amp;"")</f>
        <v/>
      </c>
      <c r="C3556" s="198">
        <f>"'INVOCAÇÕES'!AC283"</f>
        <v/>
      </c>
      <c r="D3556" s="198" t="inlineStr">
        <is>
          <t>entrada</t>
        </is>
      </c>
    </row>
    <row r="3557">
      <c r="A3557" s="198" t="inlineStr">
        <is>
          <t>invocacao.8.talento.7</t>
        </is>
      </c>
      <c r="B3557" s="198">
        <f>IF(ISBLANK('INVOCAÇÕES'!$AC$310),"",'INVOCAÇÕES'!$AC$310&amp;"")</f>
        <v/>
      </c>
      <c r="C3557" s="198">
        <f>"'INVOCAÇÕES'!AC284"</f>
        <v/>
      </c>
      <c r="D3557" s="198" t="inlineStr">
        <is>
          <t>entrada</t>
        </is>
      </c>
    </row>
    <row r="3558">
      <c r="A3558" s="198" t="inlineStr">
        <is>
          <t>invocacao.8.talento.8</t>
        </is>
      </c>
      <c r="B3558" s="198">
        <f>IF(ISBLANK('INVOCAÇÕES'!$AC$311),"",'INVOCAÇÕES'!$AC$311&amp;"")</f>
        <v/>
      </c>
      <c r="C3558" s="198">
        <f>"'INVOCAÇÕES'!AC285"</f>
        <v/>
      </c>
      <c r="D3558" s="198" t="inlineStr">
        <is>
          <t>entrada</t>
        </is>
      </c>
    </row>
    <row r="3559">
      <c r="A3559" s="198" t="inlineStr">
        <is>
          <t>invocacao.8.talento_extra.1</t>
        </is>
      </c>
      <c r="B3559" s="198">
        <f>IF(ISBLANK('INVOCAÇÕES'!$AC$406),"",'INVOCAÇÕES'!$AC$406&amp;"")</f>
        <v/>
      </c>
      <c r="C3559" s="198">
        <f>"'INVOCAÇÕES'!AC380"</f>
        <v/>
      </c>
      <c r="D3559" s="198" t="inlineStr">
        <is>
          <t>entrada</t>
        </is>
      </c>
    </row>
    <row r="3560">
      <c r="A3560" s="198" t="inlineStr">
        <is>
          <t>invocacao.8.talento_extra.2</t>
        </is>
      </c>
      <c r="B3560" s="198">
        <f>IF(ISBLANK('INVOCAÇÕES'!$AC$407),"",'INVOCAÇÕES'!$AC$407&amp;"")</f>
        <v/>
      </c>
      <c r="C3560" s="198">
        <f>"'INVOCAÇÕES'!AC381"</f>
        <v/>
      </c>
      <c r="D3560" s="198" t="inlineStr">
        <is>
          <t>entrada</t>
        </is>
      </c>
    </row>
    <row r="3561">
      <c r="A3561" s="198" t="inlineStr">
        <is>
          <t>invocacao.8.talento_extra.3</t>
        </is>
      </c>
      <c r="B3561" s="198">
        <f>IF(ISBLANK('INVOCAÇÕES'!$AC$408),"",'INVOCAÇÕES'!$AC$408&amp;"")</f>
        <v/>
      </c>
      <c r="C3561" s="198">
        <f>"'INVOCAÇÕES'!AC382"</f>
        <v/>
      </c>
      <c r="D3561" s="198" t="inlineStr">
        <is>
          <t>entrada</t>
        </is>
      </c>
    </row>
    <row r="3562">
      <c r="A3562" s="198" t="inlineStr">
        <is>
          <t>invocacao.8.equipamento.1</t>
        </is>
      </c>
      <c r="B3562" s="198">
        <f>IF(ISBLANK('INVOCAÇÕES'!$AO$244),"",'INVOCAÇÕES'!$AO$244&amp;"")</f>
        <v/>
      </c>
      <c r="C3562" s="198">
        <f>"'INVOCAÇÕES'!AO231"</f>
        <v/>
      </c>
      <c r="D3562" s="198" t="inlineStr">
        <is>
          <t>entrada</t>
        </is>
      </c>
    </row>
    <row r="3563">
      <c r="A3563" s="198" t="inlineStr">
        <is>
          <t>invocacao.8.equipamento.2</t>
        </is>
      </c>
      <c r="B3563" s="198">
        <f>IF(ISBLANK('INVOCAÇÕES'!$AO$245),"",'INVOCAÇÕES'!$AO$245&amp;"")</f>
        <v/>
      </c>
      <c r="C3563" s="198">
        <f>"'INVOCAÇÕES'!AO232"</f>
        <v/>
      </c>
      <c r="D3563" s="198" t="inlineStr">
        <is>
          <t>entrada</t>
        </is>
      </c>
    </row>
    <row r="3564">
      <c r="A3564" s="198" t="inlineStr">
        <is>
          <t>invocacao.8.equipamento.3</t>
        </is>
      </c>
      <c r="B3564" s="198">
        <f>IF(ISBLANK('INVOCAÇÕES'!$AO$246),"",'INVOCAÇÕES'!$AO$246&amp;"")</f>
        <v/>
      </c>
      <c r="C3564" s="198">
        <f>"'INVOCAÇÕES'!AO233"</f>
        <v/>
      </c>
      <c r="D3564" s="198" t="inlineStr">
        <is>
          <t>entrada</t>
        </is>
      </c>
    </row>
    <row r="3565">
      <c r="A3565" s="198" t="inlineStr">
        <is>
          <t>invocacao.8.liberacao.1.classe</t>
        </is>
      </c>
      <c r="B3565" s="198">
        <f>IF(ISBLANK('INVOCAÇÕES'!$AB$413),"",'INVOCAÇÕES'!$AB$413&amp;"")</f>
        <v/>
      </c>
      <c r="C3565" s="198">
        <f>"'INVOCAÇÕES'!AB387"</f>
        <v/>
      </c>
      <c r="D3565" s="198" t="inlineStr">
        <is>
          <t>entrada</t>
        </is>
      </c>
    </row>
    <row r="3566">
      <c r="A3566" s="198" t="inlineStr">
        <is>
          <t>invocacao.8.liberacao.1.nome</t>
        </is>
      </c>
      <c r="B3566" s="198">
        <f>IF(ISBLANK('INVOCAÇÕES'!$AC$413),"",'INVOCAÇÕES'!$AC$413&amp;"")</f>
        <v/>
      </c>
      <c r="C3566" s="198">
        <f>"'INVOCAÇÕES'!AC387"</f>
        <v/>
      </c>
      <c r="D3566" s="198" t="inlineStr">
        <is>
          <t>entrada</t>
        </is>
      </c>
    </row>
    <row r="3567">
      <c r="A3567" s="198" t="inlineStr">
        <is>
          <t>invocacao.8.liberacao.1.pe</t>
        </is>
      </c>
      <c r="B3567" s="198">
        <f>IF(ISBLANK('INVOCAÇÕES'!$AF$413),"",'INVOCAÇÕES'!$AF$413&amp;"")</f>
        <v/>
      </c>
      <c r="C3567" s="198">
        <f>"'INVOCAÇÕES'!AF387"</f>
        <v/>
      </c>
      <c r="D3567" s="198" t="inlineStr">
        <is>
          <t>resultado</t>
        </is>
      </c>
    </row>
    <row r="3568">
      <c r="A3568" s="198" t="inlineStr">
        <is>
          <t>invocacao.8.liberacao.1.como</t>
        </is>
      </c>
      <c r="B3568" s="198">
        <f>IF(ISBLANK('INVOCAÇÕES'!$AB$414),"",'INVOCAÇÕES'!$AB$414&amp;"")</f>
        <v/>
      </c>
      <c r="C3568" s="198">
        <f>"'INVOCAÇÕES'!AB388"</f>
        <v/>
      </c>
      <c r="D3568" s="198" t="inlineStr">
        <is>
          <t>entrada</t>
        </is>
      </c>
    </row>
    <row r="3569">
      <c r="A3569" s="198" t="inlineStr">
        <is>
          <t>invocacao.8.liberacao.1.pontos</t>
        </is>
      </c>
      <c r="B3569" s="198">
        <f>IF(ISBLANK('INVOCAÇÕES'!$AB$418),"",'INVOCAÇÕES'!$AB$418&amp;"")</f>
        <v/>
      </c>
      <c r="C3569" s="198">
        <f>"'INVOCAÇÕES'!AB392"</f>
        <v/>
      </c>
      <c r="D3569" s="198" t="inlineStr">
        <is>
          <t>resultado</t>
        </is>
      </c>
    </row>
    <row r="3570">
      <c r="A3570" s="198" t="inlineStr">
        <is>
          <t>invocacao.8.liberacao.1.acao</t>
        </is>
      </c>
      <c r="B3570" s="198">
        <f>IF(ISBLANK('INVOCAÇÕES'!$AB$419),"",'INVOCAÇÕES'!$AB$419&amp;"")</f>
        <v/>
      </c>
      <c r="C3570" s="198">
        <f>"'INVOCAÇÕES'!AB393"</f>
        <v/>
      </c>
      <c r="D3570" s="198" t="inlineStr">
        <is>
          <t>resultado</t>
        </is>
      </c>
    </row>
    <row r="3571">
      <c r="A3571" s="198" t="inlineStr">
        <is>
          <t>invocacao.8.liberacao.2.classe</t>
        </is>
      </c>
      <c r="B3571" s="198">
        <f>IF(ISBLANK('INVOCAÇÕES'!$AH$413),"",'INVOCAÇÕES'!$AH$413&amp;"")</f>
        <v/>
      </c>
      <c r="C3571" s="198">
        <f>"'INVOCAÇÕES'!AH387"</f>
        <v/>
      </c>
      <c r="D3571" s="198" t="inlineStr">
        <is>
          <t>entrada</t>
        </is>
      </c>
    </row>
    <row r="3572">
      <c r="A3572" s="198" t="inlineStr">
        <is>
          <t>invocacao.8.liberacao.2.nome</t>
        </is>
      </c>
      <c r="B3572" s="198">
        <f>IF(ISBLANK('INVOCAÇÕES'!$AI$413),"",'INVOCAÇÕES'!$AI$413&amp;"")</f>
        <v/>
      </c>
      <c r="C3572" s="198">
        <f>"'INVOCAÇÕES'!AI387"</f>
        <v/>
      </c>
      <c r="D3572" s="198" t="inlineStr">
        <is>
          <t>entrada</t>
        </is>
      </c>
    </row>
    <row r="3573">
      <c r="A3573" s="198" t="inlineStr">
        <is>
          <t>invocacao.8.liberacao.2.pe</t>
        </is>
      </c>
      <c r="B3573" s="198">
        <f>IF(ISBLANK('INVOCAÇÕES'!$AL$413),"",'INVOCAÇÕES'!$AL$413&amp;"")</f>
        <v/>
      </c>
      <c r="C3573" s="198">
        <f>"'INVOCAÇÕES'!AL387"</f>
        <v/>
      </c>
      <c r="D3573" s="198" t="inlineStr">
        <is>
          <t>resultado</t>
        </is>
      </c>
    </row>
    <row r="3574">
      <c r="A3574" s="198" t="inlineStr">
        <is>
          <t>invocacao.8.liberacao.2.como</t>
        </is>
      </c>
      <c r="B3574" s="198">
        <f>IF(ISBLANK('INVOCAÇÕES'!$AH$414),"",'INVOCAÇÕES'!$AH$414&amp;"")</f>
        <v/>
      </c>
      <c r="C3574" s="198">
        <f>"'INVOCAÇÕES'!AH388"</f>
        <v/>
      </c>
      <c r="D3574" s="198" t="inlineStr">
        <is>
          <t>entrada</t>
        </is>
      </c>
    </row>
    <row r="3575">
      <c r="A3575" s="198" t="inlineStr">
        <is>
          <t>invocacao.8.liberacao.2.pontos</t>
        </is>
      </c>
      <c r="B3575" s="198">
        <f>IF(ISBLANK('INVOCAÇÕES'!$AH$418),"",'INVOCAÇÕES'!$AH$418&amp;"")</f>
        <v/>
      </c>
      <c r="C3575" s="198">
        <f>"'INVOCAÇÕES'!AH392"</f>
        <v/>
      </c>
      <c r="D3575" s="198" t="inlineStr">
        <is>
          <t>resultado</t>
        </is>
      </c>
    </row>
    <row r="3576">
      <c r="A3576" s="198" t="inlineStr">
        <is>
          <t>invocacao.8.liberacao.2.acao</t>
        </is>
      </c>
      <c r="B3576" s="198">
        <f>IF(ISBLANK('INVOCAÇÕES'!$AH$419),"",'INVOCAÇÕES'!$AH$419&amp;"")</f>
        <v/>
      </c>
      <c r="C3576" s="198">
        <f>"'INVOCAÇÕES'!AH393"</f>
        <v/>
      </c>
      <c r="D3576" s="198" t="inlineStr">
        <is>
          <t>resultado</t>
        </is>
      </c>
    </row>
    <row r="3577">
      <c r="A3577" s="198" t="inlineStr">
        <is>
          <t>invocacao.8.liberacao.3.classe</t>
        </is>
      </c>
      <c r="B3577" s="198">
        <f>IF(ISBLANK('INVOCAÇÕES'!$AN$413),"",'INVOCAÇÕES'!$AN$413&amp;"")</f>
        <v/>
      </c>
      <c r="C3577" s="198">
        <f>"'INVOCAÇÕES'!AN387"</f>
        <v/>
      </c>
      <c r="D3577" s="198" t="inlineStr">
        <is>
          <t>entrada</t>
        </is>
      </c>
    </row>
    <row r="3578">
      <c r="A3578" s="198" t="inlineStr">
        <is>
          <t>invocacao.8.liberacao.3.nome</t>
        </is>
      </c>
      <c r="B3578" s="198">
        <f>IF(ISBLANK('INVOCAÇÕES'!$AO$413),"",'INVOCAÇÕES'!$AO$413&amp;"")</f>
        <v/>
      </c>
      <c r="C3578" s="198">
        <f>"'INVOCAÇÕES'!AO387"</f>
        <v/>
      </c>
      <c r="D3578" s="198" t="inlineStr">
        <is>
          <t>entrada</t>
        </is>
      </c>
    </row>
    <row r="3579">
      <c r="A3579" s="198" t="inlineStr">
        <is>
          <t>invocacao.8.liberacao.3.pe</t>
        </is>
      </c>
      <c r="B3579" s="198">
        <f>IF(ISBLANK('INVOCAÇÕES'!$AR$413),"",'INVOCAÇÕES'!$AR$413&amp;"")</f>
        <v/>
      </c>
      <c r="C3579" s="198">
        <f>"'INVOCAÇÕES'!AR387"</f>
        <v/>
      </c>
      <c r="D3579" s="198" t="inlineStr">
        <is>
          <t>resultado</t>
        </is>
      </c>
    </row>
    <row r="3580">
      <c r="A3580" s="198" t="inlineStr">
        <is>
          <t>invocacao.8.liberacao.3.como</t>
        </is>
      </c>
      <c r="B3580" s="198">
        <f>IF(ISBLANK('INVOCAÇÕES'!$AN$414),"",'INVOCAÇÕES'!$AN$414&amp;"")</f>
        <v/>
      </c>
      <c r="C3580" s="198">
        <f>"'INVOCAÇÕES'!AN388"</f>
        <v/>
      </c>
      <c r="D3580" s="198" t="inlineStr">
        <is>
          <t>entrada</t>
        </is>
      </c>
    </row>
    <row r="3581">
      <c r="A3581" s="198" t="inlineStr">
        <is>
          <t>invocacao.8.liberacao.3.pontos</t>
        </is>
      </c>
      <c r="B3581" s="198">
        <f>IF(ISBLANK('INVOCAÇÕES'!$AN$418),"",'INVOCAÇÕES'!$AN$418&amp;"")</f>
        <v/>
      </c>
      <c r="C3581" s="198">
        <f>"'INVOCAÇÕES'!AN392"</f>
        <v/>
      </c>
      <c r="D3581" s="198" t="inlineStr">
        <is>
          <t>resultado</t>
        </is>
      </c>
    </row>
    <row r="3582">
      <c r="A3582" s="198" t="inlineStr">
        <is>
          <t>invocacao.8.liberacao.3.acao</t>
        </is>
      </c>
      <c r="B3582" s="198">
        <f>IF(ISBLANK('INVOCAÇÕES'!$AN$419),"",'INVOCAÇÕES'!$AN$419&amp;"")</f>
        <v/>
      </c>
      <c r="C3582" s="198">
        <f>"'INVOCAÇÕES'!AN393"</f>
        <v/>
      </c>
      <c r="D3582" s="198" t="inlineStr">
        <is>
          <t>resultado</t>
        </is>
      </c>
    </row>
    <row r="3583">
      <c r="A3583" s="198" t="inlineStr">
        <is>
          <t>invocacao.8.tm.nome</t>
        </is>
      </c>
      <c r="B3583" s="198">
        <f>IF(ISBLANK('INVOCAÇÕES'!$AB$422),"",'INVOCAÇÕES'!$AB$422&amp;"")</f>
        <v/>
      </c>
      <c r="C3583" s="198">
        <f>"'INVOCAÇÕES'!AB396"</f>
        <v/>
      </c>
      <c r="D3583" s="198" t="inlineStr">
        <is>
          <t>entrada</t>
        </is>
      </c>
    </row>
    <row r="3584">
      <c r="A3584" s="198" t="inlineStr">
        <is>
          <t>invocacao.8.tm.pe</t>
        </is>
      </c>
      <c r="B3584" s="198">
        <f>IF(ISBLANK('INVOCAÇÕES'!$AF$422),"",'INVOCAÇÕES'!$AF$422&amp;"")</f>
        <v/>
      </c>
      <c r="C3584" s="198">
        <f>"'INVOCAÇÕES'!AF396"</f>
        <v/>
      </c>
      <c r="D3584" s="198" t="inlineStr">
        <is>
          <t>resultado</t>
        </is>
      </c>
    </row>
    <row r="3585">
      <c r="A3585" s="198" t="inlineStr">
        <is>
          <t>invocacao.8.tm.como</t>
        </is>
      </c>
      <c r="B3585" s="198">
        <f>IF(ISBLANK('INVOCAÇÕES'!$AB$423),"",'INVOCAÇÕES'!$AB$423&amp;"")</f>
        <v/>
      </c>
      <c r="C3585" s="198">
        <f>"'INVOCAÇÕES'!AB397"</f>
        <v/>
      </c>
      <c r="D3585" s="198" t="inlineStr">
        <is>
          <t>entrada</t>
        </is>
      </c>
    </row>
    <row r="3586">
      <c r="A3586" s="198" t="inlineStr">
        <is>
          <t>invocacao.8.tm.dados</t>
        </is>
      </c>
      <c r="B3586" s="198">
        <f>IF(ISBLANK('INVOCAÇÕES'!$AB$427),"",'INVOCAÇÕES'!$AB$427&amp;"")</f>
        <v/>
      </c>
      <c r="C3586" s="198">
        <f>"'INVOCAÇÕES'!AB401"</f>
        <v/>
      </c>
      <c r="D3586" s="198" t="inlineStr">
        <is>
          <t>resultado</t>
        </is>
      </c>
    </row>
    <row r="3587">
      <c r="A3587" s="198" t="inlineStr">
        <is>
          <t>invocacao.8.tm.acao</t>
        </is>
      </c>
      <c r="B3587" s="198">
        <f>IF(ISBLANK('INVOCAÇÕES'!$AB$428),"",'INVOCAÇÕES'!$AB$428&amp;"")</f>
        <v/>
      </c>
      <c r="C3587" s="198">
        <f>"'INVOCAÇÕES'!AB402"</f>
        <v/>
      </c>
      <c r="D3587" s="198" t="inlineStr">
        <is>
          <t>resultado</t>
        </is>
      </c>
    </row>
    <row r="3588">
      <c r="A3588" s="198" t="inlineStr">
        <is>
          <t>invocacao.8.exp.nome</t>
        </is>
      </c>
      <c r="B3588" s="198">
        <f>IF(ISBLANK('INVOCAÇÕES'!$AH$422),"",'INVOCAÇÕES'!$AH$422&amp;"")</f>
        <v/>
      </c>
      <c r="C3588" s="198">
        <f>"'INVOCAÇÕES'!AH396"</f>
        <v/>
      </c>
      <c r="D3588" s="198" t="inlineStr">
        <is>
          <t>entrada</t>
        </is>
      </c>
    </row>
    <row r="3589">
      <c r="A3589" s="198" t="inlineStr">
        <is>
          <t>invocacao.8.exp.pe</t>
        </is>
      </c>
      <c r="B3589" s="198">
        <f>IF(ISBLANK('INVOCAÇÕES'!$AL$422),"",'INVOCAÇÕES'!$AL$422&amp;"")</f>
        <v/>
      </c>
      <c r="C3589" s="198">
        <f>"'INVOCAÇÕES'!AL396"</f>
        <v/>
      </c>
      <c r="D3589" s="198" t="inlineStr">
        <is>
          <t>resultado</t>
        </is>
      </c>
    </row>
    <row r="3590">
      <c r="A3590" s="198" t="inlineStr">
        <is>
          <t>invocacao.8.exp.como</t>
        </is>
      </c>
      <c r="B3590" s="198">
        <f>IF(ISBLANK('INVOCAÇÕES'!$AH$423),"",'INVOCAÇÕES'!$AH$423&amp;"")</f>
        <v/>
      </c>
      <c r="C3590" s="198">
        <f>"'INVOCAÇÕES'!AH397"</f>
        <v/>
      </c>
      <c r="D3590" s="198" t="inlineStr">
        <is>
          <t>entrada</t>
        </is>
      </c>
    </row>
    <row r="3591">
      <c r="A3591" s="198" t="inlineStr">
        <is>
          <t>invocacao.8.exp.degrau</t>
        </is>
      </c>
      <c r="B3591" s="198">
        <f>IF(ISBLANK('INVOCAÇÕES'!$AH$427),"",'INVOCAÇÕES'!$AH$427&amp;"")</f>
        <v/>
      </c>
      <c r="C3591" s="198">
        <f>"'INVOCAÇÕES'!AH401"</f>
        <v/>
      </c>
      <c r="D3591" s="198" t="inlineStr">
        <is>
          <t>entrada</t>
        </is>
      </c>
    </row>
    <row r="3592">
      <c r="A3592" s="198" t="inlineStr">
        <is>
          <t>invocacao.8.exp.acerto</t>
        </is>
      </c>
      <c r="B3592" s="198">
        <f>IF(ISBLANK('INVOCAÇÕES'!$AJ$427),"",'INVOCAÇÕES'!$AJ$427&amp;"")</f>
        <v/>
      </c>
      <c r="C3592" s="198">
        <f>"'INVOCAÇÕES'!AJ401"</f>
        <v/>
      </c>
      <c r="D3592" s="198" t="inlineStr">
        <is>
          <t>entrada</t>
        </is>
      </c>
    </row>
    <row r="3593">
      <c r="A3593" s="198" t="inlineStr">
        <is>
          <t>invocacao.8.exp.pede</t>
        </is>
      </c>
      <c r="B3593" s="198">
        <f>IF(ISBLANK('INVOCAÇÕES'!$AH$428),"",'INVOCAÇÕES'!$AH$428&amp;"")</f>
        <v/>
      </c>
      <c r="C3593" s="198">
        <f>"'INVOCAÇÕES'!AH402"</f>
        <v/>
      </c>
      <c r="D3593" s="198" t="inlineStr">
        <is>
          <t>resultado</t>
        </is>
      </c>
    </row>
    <row r="3594">
      <c r="A3594" s="198" t="inlineStr">
        <is>
          <t>invocacao.9.atributo.forca.base</t>
        </is>
      </c>
      <c r="B3594" s="198">
        <f>IF(ISBLANK('INVOCAÇÕES'!$AH$442),"",'INVOCAÇÕES'!$AH$442&amp;"")</f>
        <v/>
      </c>
      <c r="C3594" s="198">
        <f>"'INVOCAÇÕES'!AH416"</f>
        <v/>
      </c>
      <c r="D3594" s="198" t="inlineStr">
        <is>
          <t>entrada</t>
        </is>
      </c>
    </row>
    <row r="3595">
      <c r="A3595" s="198" t="inlineStr">
        <is>
          <t>invocacao.9.atributo.forca.buff</t>
        </is>
      </c>
      <c r="B3595" s="198">
        <f>IF(ISBLANK('INVOCAÇÕES'!$AH$443),"",'INVOCAÇÕES'!$AH$443&amp;"")</f>
        <v/>
      </c>
      <c r="C3595" s="198">
        <f>"'INVOCAÇÕES'!AH417"</f>
        <v/>
      </c>
      <c r="D3595" s="198" t="inlineStr">
        <is>
          <t>entrada</t>
        </is>
      </c>
    </row>
    <row r="3596">
      <c r="A3596" s="198" t="inlineStr">
        <is>
          <t>invocacao.9.atributo.forca.total</t>
        </is>
      </c>
      <c r="B3596" s="198">
        <f>IF(ISBLANK('INVOCAÇÕES'!$AH$440),"",'INVOCAÇÕES'!$AH$440&amp;"")</f>
        <v/>
      </c>
      <c r="C3596" s="198">
        <f>"'INVOCAÇÕES'!AH414"</f>
        <v/>
      </c>
      <c r="D3596" s="198" t="inlineStr">
        <is>
          <t>resultado</t>
        </is>
      </c>
    </row>
    <row r="3597">
      <c r="A3597" s="198" t="inlineStr">
        <is>
          <t>invocacao.9.atributo.destreza.base</t>
        </is>
      </c>
      <c r="B3597" s="198">
        <f>IF(ISBLANK('INVOCAÇÕES'!$AI$442),"",'INVOCAÇÕES'!$AI$442&amp;"")</f>
        <v/>
      </c>
      <c r="C3597" s="198">
        <f>"'INVOCAÇÕES'!AI416"</f>
        <v/>
      </c>
      <c r="D3597" s="198" t="inlineStr">
        <is>
          <t>entrada</t>
        </is>
      </c>
    </row>
    <row r="3598">
      <c r="A3598" s="198" t="inlineStr">
        <is>
          <t>invocacao.9.atributo.destreza.buff</t>
        </is>
      </c>
      <c r="B3598" s="198">
        <f>IF(ISBLANK('INVOCAÇÕES'!$AI$443),"",'INVOCAÇÕES'!$AI$443&amp;"")</f>
        <v/>
      </c>
      <c r="C3598" s="198">
        <f>"'INVOCAÇÕES'!AI417"</f>
        <v/>
      </c>
      <c r="D3598" s="198" t="inlineStr">
        <is>
          <t>entrada</t>
        </is>
      </c>
    </row>
    <row r="3599">
      <c r="A3599" s="198" t="inlineStr">
        <is>
          <t>invocacao.9.atributo.destreza.total</t>
        </is>
      </c>
      <c r="B3599" s="198">
        <f>IF(ISBLANK('INVOCAÇÕES'!$AI$440),"",'INVOCAÇÕES'!$AI$440&amp;"")</f>
        <v/>
      </c>
      <c r="C3599" s="198">
        <f>"'INVOCAÇÕES'!AI414"</f>
        <v/>
      </c>
      <c r="D3599" s="198" t="inlineStr">
        <is>
          <t>resultado</t>
        </is>
      </c>
    </row>
    <row r="3600">
      <c r="A3600" s="198" t="inlineStr">
        <is>
          <t>invocacao.9.atributo.constituicao.base</t>
        </is>
      </c>
      <c r="B3600" s="198">
        <f>IF(ISBLANK('INVOCAÇÕES'!$AJ$442),"",'INVOCAÇÕES'!$AJ$442&amp;"")</f>
        <v/>
      </c>
      <c r="C3600" s="198">
        <f>"'INVOCAÇÕES'!AJ416"</f>
        <v/>
      </c>
      <c r="D3600" s="198" t="inlineStr">
        <is>
          <t>entrada</t>
        </is>
      </c>
    </row>
    <row r="3601">
      <c r="A3601" s="198" t="inlineStr">
        <is>
          <t>invocacao.9.atributo.constituicao.buff</t>
        </is>
      </c>
      <c r="B3601" s="198">
        <f>IF(ISBLANK('INVOCAÇÕES'!$AJ$443),"",'INVOCAÇÕES'!$AJ$443&amp;"")</f>
        <v/>
      </c>
      <c r="C3601" s="198">
        <f>"'INVOCAÇÕES'!AJ417"</f>
        <v/>
      </c>
      <c r="D3601" s="198" t="inlineStr">
        <is>
          <t>entrada</t>
        </is>
      </c>
    </row>
    <row r="3602">
      <c r="A3602" s="198" t="inlineStr">
        <is>
          <t>invocacao.9.atributo.constituicao.total</t>
        </is>
      </c>
      <c r="B3602" s="198">
        <f>IF(ISBLANK('INVOCAÇÕES'!$AJ$440),"",'INVOCAÇÕES'!$AJ$440&amp;"")</f>
        <v/>
      </c>
      <c r="C3602" s="198">
        <f>"'INVOCAÇÕES'!AJ414"</f>
        <v/>
      </c>
      <c r="D3602" s="198" t="inlineStr">
        <is>
          <t>resultado</t>
        </is>
      </c>
    </row>
    <row r="3603">
      <c r="A3603" s="198" t="inlineStr">
        <is>
          <t>invocacao.9.atributo.inteligencia.base</t>
        </is>
      </c>
      <c r="B3603" s="198">
        <f>IF(ISBLANK('INVOCAÇÕES'!$AK$442),"",'INVOCAÇÕES'!$AK$442&amp;"")</f>
        <v/>
      </c>
      <c r="C3603" s="198">
        <f>"'INVOCAÇÕES'!AK416"</f>
        <v/>
      </c>
      <c r="D3603" s="198" t="inlineStr">
        <is>
          <t>entrada</t>
        </is>
      </c>
    </row>
    <row r="3604">
      <c r="A3604" s="198" t="inlineStr">
        <is>
          <t>invocacao.9.atributo.inteligencia.buff</t>
        </is>
      </c>
      <c r="B3604" s="198">
        <f>IF(ISBLANK('INVOCAÇÕES'!$AK$443),"",'INVOCAÇÕES'!$AK$443&amp;"")</f>
        <v/>
      </c>
      <c r="C3604" s="198">
        <f>"'INVOCAÇÕES'!AK417"</f>
        <v/>
      </c>
      <c r="D3604" s="198" t="inlineStr">
        <is>
          <t>entrada</t>
        </is>
      </c>
    </row>
    <row r="3605">
      <c r="A3605" s="198" t="inlineStr">
        <is>
          <t>invocacao.9.atributo.inteligencia.total</t>
        </is>
      </c>
      <c r="B3605" s="198">
        <f>IF(ISBLANK('INVOCAÇÕES'!$AK$440),"",'INVOCAÇÕES'!$AK$440&amp;"")</f>
        <v/>
      </c>
      <c r="C3605" s="198">
        <f>"'INVOCAÇÕES'!AK414"</f>
        <v/>
      </c>
      <c r="D3605" s="198" t="inlineStr">
        <is>
          <t>resultado</t>
        </is>
      </c>
    </row>
    <row r="3606">
      <c r="A3606" s="198" t="inlineStr">
        <is>
          <t>invocacao.9.atributo.essencia.base</t>
        </is>
      </c>
      <c r="B3606" s="198">
        <f>IF(ISBLANK('INVOCAÇÕES'!$AL$442),"",'INVOCAÇÕES'!$AL$442&amp;"")</f>
        <v/>
      </c>
      <c r="C3606" s="198">
        <f>"'INVOCAÇÕES'!AL416"</f>
        <v/>
      </c>
      <c r="D3606" s="198" t="inlineStr">
        <is>
          <t>entrada</t>
        </is>
      </c>
    </row>
    <row r="3607">
      <c r="A3607" s="198" t="inlineStr">
        <is>
          <t>invocacao.9.atributo.essencia.buff</t>
        </is>
      </c>
      <c r="B3607" s="198">
        <f>IF(ISBLANK('INVOCAÇÕES'!$AL$443),"",'INVOCAÇÕES'!$AL$443&amp;"")</f>
        <v/>
      </c>
      <c r="C3607" s="198">
        <f>"'INVOCAÇÕES'!AL417"</f>
        <v/>
      </c>
      <c r="D3607" s="198" t="inlineStr">
        <is>
          <t>entrada</t>
        </is>
      </c>
    </row>
    <row r="3608">
      <c r="A3608" s="198" t="inlineStr">
        <is>
          <t>invocacao.9.atributo.essencia.total</t>
        </is>
      </c>
      <c r="B3608" s="198">
        <f>IF(ISBLANK('INVOCAÇÕES'!$AL$440),"",'INVOCAÇÕES'!$AL$440&amp;"")</f>
        <v/>
      </c>
      <c r="C3608" s="198">
        <f>"'INVOCAÇÕES'!AL414"</f>
        <v/>
      </c>
      <c r="D3608" s="198" t="inlineStr">
        <is>
          <t>resultado</t>
        </is>
      </c>
    </row>
    <row r="3609">
      <c r="A3609" s="198" t="inlineStr">
        <is>
          <t>invocacao.9.buff.acerto</t>
        </is>
      </c>
      <c r="B3609" s="198">
        <f>IF(ISBLANK('INVOCAÇÕES'!$AH$448),"",'INVOCAÇÕES'!$AH$448&amp;"")</f>
        <v/>
      </c>
      <c r="C3609" s="198">
        <f>"'INVOCAÇÕES'!AH422"</f>
        <v/>
      </c>
      <c r="D3609" s="198" t="inlineStr">
        <is>
          <t>entrada</t>
        </is>
      </c>
    </row>
    <row r="3610">
      <c r="A3610" s="198" t="inlineStr">
        <is>
          <t>invocacao.9.buff.cd</t>
        </is>
      </c>
      <c r="B3610" s="198">
        <f>IF(ISBLANK('INVOCAÇÕES'!$AI$448),"",'INVOCAÇÕES'!$AI$448&amp;"")</f>
        <v/>
      </c>
      <c r="C3610" s="198">
        <f>"'INVOCAÇÕES'!AI422"</f>
        <v/>
      </c>
      <c r="D3610" s="198" t="inlineStr">
        <is>
          <t>entrada</t>
        </is>
      </c>
    </row>
    <row r="3611">
      <c r="A3611" s="198" t="inlineStr">
        <is>
          <t>invocacao.9.buff.defesa</t>
        </is>
      </c>
      <c r="B3611" s="198">
        <f>IF(ISBLANK('INVOCAÇÕES'!$AJ$448),"",'INVOCAÇÕES'!$AJ$448&amp;"")</f>
        <v/>
      </c>
      <c r="C3611" s="198">
        <f>"'INVOCAÇÕES'!AJ422"</f>
        <v/>
      </c>
      <c r="D3611" s="198" t="inlineStr">
        <is>
          <t>entrada</t>
        </is>
      </c>
    </row>
    <row r="3612">
      <c r="A3612" s="198" t="inlineStr">
        <is>
          <t>invocacao.9.buff.vida</t>
        </is>
      </c>
      <c r="B3612" s="198">
        <f>IF(ISBLANK('INVOCAÇÕES'!$AK$448),"",'INVOCAÇÕES'!$AK$448&amp;"")</f>
        <v/>
      </c>
      <c r="C3612" s="198">
        <f>"'INVOCAÇÕES'!AK422"</f>
        <v/>
      </c>
      <c r="D3612" s="198" t="inlineStr">
        <is>
          <t>entrada</t>
        </is>
      </c>
    </row>
    <row r="3613">
      <c r="A3613" s="198" t="inlineStr">
        <is>
          <t>invocacao.9.buff.deslocamento</t>
        </is>
      </c>
      <c r="B3613" s="198">
        <f>IF(ISBLANK('INVOCAÇÕES'!$AL$448),"",'INVOCAÇÕES'!$AL$448&amp;"")</f>
        <v/>
      </c>
      <c r="C3613" s="198">
        <f>"'INVOCAÇÕES'!AL422"</f>
        <v/>
      </c>
      <c r="D3613" s="198" t="inlineStr">
        <is>
          <t>entrada</t>
        </is>
      </c>
    </row>
    <row r="3614">
      <c r="A3614" s="198" t="inlineStr">
        <is>
          <t>invocacao.9.buff.tr.fisico</t>
        </is>
      </c>
      <c r="B3614" s="198">
        <f>IF(ISBLANK('INVOCAÇÕES'!$AH$453),"",'INVOCAÇÕES'!$AH$453&amp;"")</f>
        <v/>
      </c>
      <c r="C3614" s="198">
        <f>"'INVOCAÇÕES'!AH427"</f>
        <v/>
      </c>
      <c r="D3614" s="198" t="inlineStr">
        <is>
          <t>entrada</t>
        </is>
      </c>
    </row>
    <row r="3615">
      <c r="A3615" s="198" t="inlineStr">
        <is>
          <t>invocacao.9.buff.tr.vigor</t>
        </is>
      </c>
      <c r="B3615" s="198">
        <f>IF(ISBLANK('INVOCAÇÕES'!$AI$453),"",'INVOCAÇÕES'!$AI$453&amp;"")</f>
        <v/>
      </c>
      <c r="C3615" s="198">
        <f>"'INVOCAÇÕES'!AI427"</f>
        <v/>
      </c>
      <c r="D3615" s="198" t="inlineStr">
        <is>
          <t>entrada</t>
        </is>
      </c>
    </row>
    <row r="3616">
      <c r="A3616" s="198" t="inlineStr">
        <is>
          <t>invocacao.9.buff.tr.intelecto</t>
        </is>
      </c>
      <c r="B3616" s="198">
        <f>IF(ISBLANK('INVOCAÇÕES'!$AJ$453),"",'INVOCAÇÕES'!$AJ$453&amp;"")</f>
        <v/>
      </c>
      <c r="C3616" s="198">
        <f>"'INVOCAÇÕES'!AJ427"</f>
        <v/>
      </c>
      <c r="D3616" s="198" t="inlineStr">
        <is>
          <t>entrada</t>
        </is>
      </c>
    </row>
    <row r="3617">
      <c r="A3617" s="198" t="inlineStr">
        <is>
          <t>invocacao.9.buff.tr.espirito</t>
        </is>
      </c>
      <c r="B3617" s="198">
        <f>IF(ISBLANK('INVOCAÇÕES'!$AK$453),"",'INVOCAÇÕES'!$AK$453&amp;"")</f>
        <v/>
      </c>
      <c r="C3617" s="198">
        <f>"'INVOCAÇÕES'!AK427"</f>
        <v/>
      </c>
      <c r="D3617" s="198" t="inlineStr">
        <is>
          <t>entrada</t>
        </is>
      </c>
    </row>
    <row r="3618">
      <c r="A3618" s="198" t="inlineStr">
        <is>
          <t>invocacao.9.atributo_acerto</t>
        </is>
      </c>
      <c r="B3618" s="198">
        <f>IF(ISBLANK('INVOCAÇÕES'!$AH$456),"",'INVOCAÇÕES'!$AH$456&amp;"")</f>
        <v/>
      </c>
      <c r="C3618" s="198">
        <f>"'INVOCAÇÕES'!AH430"</f>
        <v/>
      </c>
      <c r="D3618" s="198" t="inlineStr">
        <is>
          <t>entrada</t>
        </is>
      </c>
    </row>
    <row r="3619">
      <c r="A3619" s="198" t="inlineStr">
        <is>
          <t>invocacao.9.atributo_fisico</t>
        </is>
      </c>
      <c r="B3619" s="198">
        <f>IF(ISBLANK('INVOCAÇÕES'!$AK$456),"",'INVOCAÇÕES'!$AK$456&amp;"")</f>
        <v/>
      </c>
      <c r="C3619" s="198">
        <f>"'INVOCAÇÕES'!AK430"</f>
        <v/>
      </c>
      <c r="D3619" s="198" t="inlineStr">
        <is>
          <t>entrada</t>
        </is>
      </c>
    </row>
    <row r="3620">
      <c r="A3620" s="198" t="inlineStr">
        <is>
          <t>invocacao.9.tr_treinado</t>
        </is>
      </c>
      <c r="B3620" s="198">
        <f>IF(ISBLANK('INVOCAÇÕES'!$AL$451),"",'INVOCAÇÕES'!$AL$451&amp;"")</f>
        <v/>
      </c>
      <c r="C3620" s="198">
        <f>"'INVOCAÇÕES'!AL425"</f>
        <v/>
      </c>
      <c r="D3620" s="198" t="inlineStr">
        <is>
          <t>entrada</t>
        </is>
      </c>
    </row>
    <row r="3621">
      <c r="A3621" s="198" t="inlineStr">
        <is>
          <t>invocacao.9.alma</t>
        </is>
      </c>
      <c r="B3621" s="198">
        <f>IF(ISBLANK('INVOCAÇÕES'!$AN$440),"",'INVOCAÇÕES'!$AN$440&amp;"")</f>
        <v/>
      </c>
      <c r="C3621" s="198">
        <f>"'INVOCAÇÕES'!AN414"</f>
        <v/>
      </c>
      <c r="D3621" s="198" t="inlineStr">
        <is>
          <t>entrada</t>
        </is>
      </c>
    </row>
    <row r="3622">
      <c r="A3622" s="198" t="inlineStr">
        <is>
          <t>invocacao.9.notas</t>
        </is>
      </c>
      <c r="B3622" s="198">
        <f>IF(ISBLANK('INVOCAÇÕES'!$AN$449),"",'INVOCAÇÕES'!$AN$449&amp;"")</f>
        <v/>
      </c>
      <c r="C3622" s="198">
        <f>"'INVOCAÇÕES'!AN423"</f>
        <v/>
      </c>
      <c r="D3622" s="198" t="inlineStr">
        <is>
          <t>entrada</t>
        </is>
      </c>
    </row>
    <row r="3623">
      <c r="A3623" s="198" t="inlineStr">
        <is>
          <t>invocacao.9.definicao</t>
        </is>
      </c>
      <c r="B3623" s="198">
        <f>IF(ISBLANK('INVOCAÇÕES'!$AB$488),"",'INVOCAÇÕES'!$AB$488&amp;"")</f>
        <v/>
      </c>
      <c r="C3623" s="198">
        <f>"'INVOCAÇÕES'!AB449"</f>
        <v/>
      </c>
      <c r="D3623" s="198" t="inlineStr">
        <is>
          <t>entrada</t>
        </is>
      </c>
    </row>
    <row r="3624">
      <c r="A3624" s="198" t="inlineStr">
        <is>
          <t>invocacao.9.familia.1</t>
        </is>
      </c>
      <c r="B3624" s="198">
        <f>IF(ISBLANK('INVOCAÇÕES'!$AH$470),"",'INVOCAÇÕES'!$AH$470&amp;"")</f>
        <v/>
      </c>
      <c r="C3624" s="198">
        <f>"'INVOCAÇÕES'!AH444"</f>
        <v/>
      </c>
      <c r="D3624" s="198" t="inlineStr">
        <is>
          <t>entrada</t>
        </is>
      </c>
    </row>
    <row r="3625">
      <c r="A3625" s="198" t="inlineStr">
        <is>
          <t>invocacao.9.familia.2</t>
        </is>
      </c>
      <c r="B3625" s="198">
        <f>IF(ISBLANK('INVOCAÇÕES'!$AI$470),"",'INVOCAÇÕES'!$AI$470&amp;"")</f>
        <v/>
      </c>
      <c r="C3625" s="198">
        <f>"'INVOCAÇÕES'!AI444"</f>
        <v/>
      </c>
      <c r="D3625" s="198" t="inlineStr">
        <is>
          <t>entrada</t>
        </is>
      </c>
    </row>
    <row r="3626">
      <c r="A3626" s="198" t="inlineStr">
        <is>
          <t>invocacao.9.familia.3</t>
        </is>
      </c>
      <c r="B3626" s="198">
        <f>IF(ISBLANK('INVOCAÇÕES'!$AJ$470),"",'INVOCAÇÕES'!$AJ$470&amp;"")</f>
        <v/>
      </c>
      <c r="C3626" s="198">
        <f>"'INVOCAÇÕES'!AJ444"</f>
        <v/>
      </c>
      <c r="D3626" s="198" t="inlineStr">
        <is>
          <t>entrada</t>
        </is>
      </c>
    </row>
    <row r="3627">
      <c r="A3627" s="198" t="inlineStr">
        <is>
          <t>invocacao.9.familia.4</t>
        </is>
      </c>
      <c r="B3627" s="198">
        <f>IF(ISBLANK('INVOCAÇÕES'!$AK$470),"",'INVOCAÇÕES'!$AK$470&amp;"")</f>
        <v/>
      </c>
      <c r="C3627" s="198">
        <f>"'INVOCAÇÕES'!AK444"</f>
        <v/>
      </c>
      <c r="D3627" s="198" t="inlineStr">
        <is>
          <t>entrada</t>
        </is>
      </c>
    </row>
    <row r="3628">
      <c r="A3628" s="198" t="inlineStr">
        <is>
          <t>invocacao.9.familia.5</t>
        </is>
      </c>
      <c r="B3628" s="198">
        <f>IF(ISBLANK('INVOCAÇÕES'!$AL$470),"",'INVOCAÇÕES'!$AL$470&amp;"")</f>
        <v/>
      </c>
      <c r="C3628" s="198">
        <f>"'INVOCAÇÕES'!AL444"</f>
        <v/>
      </c>
      <c r="D3628" s="198" t="inlineStr">
        <is>
          <t>entrada</t>
        </is>
      </c>
    </row>
    <row r="3629">
      <c r="A3629" s="198" t="inlineStr">
        <is>
          <t>invocacao.9.pericia.1</t>
        </is>
      </c>
      <c r="B3629" s="198">
        <f>IF(ISBLANK('INVOCAÇÕES'!$AH$460),"",'INVOCAÇÕES'!$AH$460&amp;"")</f>
        <v/>
      </c>
      <c r="C3629" s="198">
        <f>"'INVOCAÇÕES'!AH434"</f>
        <v/>
      </c>
      <c r="D3629" s="198" t="inlineStr">
        <is>
          <t>entrada</t>
        </is>
      </c>
    </row>
    <row r="3630">
      <c r="A3630" s="198" t="inlineStr">
        <is>
          <t>invocacao.9.pericia.2</t>
        </is>
      </c>
      <c r="B3630" s="198">
        <f>IF(ISBLANK('INVOCAÇÕES'!$AH$461),"",'INVOCAÇÕES'!$AH$461&amp;"")</f>
        <v/>
      </c>
      <c r="C3630" s="198">
        <f>"'INVOCAÇÕES'!AH435"</f>
        <v/>
      </c>
      <c r="D3630" s="198" t="inlineStr">
        <is>
          <t>entrada</t>
        </is>
      </c>
    </row>
    <row r="3631">
      <c r="A3631" s="198" t="inlineStr">
        <is>
          <t>invocacao.9.pericia.3</t>
        </is>
      </c>
      <c r="B3631" s="198">
        <f>IF(ISBLANK('INVOCAÇÕES'!$AH$462),"",'INVOCAÇÕES'!$AH$462&amp;"")</f>
        <v/>
      </c>
      <c r="C3631" s="198">
        <f>"'INVOCAÇÕES'!AH436"</f>
        <v/>
      </c>
      <c r="D3631" s="198" t="inlineStr">
        <is>
          <t>entrada</t>
        </is>
      </c>
    </row>
    <row r="3632">
      <c r="A3632" s="198" t="inlineStr">
        <is>
          <t>invocacao.9.pericia.4</t>
        </is>
      </c>
      <c r="B3632" s="198">
        <f>IF(ISBLANK('INVOCAÇÕES'!$AH$463),"",'INVOCAÇÕES'!$AH$463&amp;"")</f>
        <v/>
      </c>
      <c r="C3632" s="198">
        <f>"'INVOCAÇÕES'!AH437"</f>
        <v/>
      </c>
      <c r="D3632" s="198" t="inlineStr">
        <is>
          <t>entrada</t>
        </is>
      </c>
    </row>
    <row r="3633">
      <c r="A3633" s="198" t="inlineStr">
        <is>
          <t>invocacao.9.pericia.5</t>
        </is>
      </c>
      <c r="B3633" s="198">
        <f>IF(ISBLANK('INVOCAÇÕES'!$AH$464),"",'INVOCAÇÕES'!$AH$464&amp;"")</f>
        <v/>
      </c>
      <c r="C3633" s="198">
        <f>"'INVOCAÇÕES'!AH438"</f>
        <v/>
      </c>
      <c r="D3633" s="198" t="inlineStr">
        <is>
          <t>entrada</t>
        </is>
      </c>
    </row>
    <row r="3634">
      <c r="A3634" s="198" t="inlineStr">
        <is>
          <t>invocacao.9.pericia.6</t>
        </is>
      </c>
      <c r="B3634" s="198">
        <f>IF(ISBLANK('INVOCAÇÕES'!$AH$465),"",'INVOCAÇÕES'!$AH$465&amp;"")</f>
        <v/>
      </c>
      <c r="C3634" s="198">
        <f>"'INVOCAÇÕES'!AH439"</f>
        <v/>
      </c>
      <c r="D3634" s="198" t="inlineStr">
        <is>
          <t>entrada</t>
        </is>
      </c>
    </row>
    <row r="3635">
      <c r="A3635" s="198" t="inlineStr">
        <is>
          <t>invocacao.9.pericia.7</t>
        </is>
      </c>
      <c r="B3635" s="198">
        <f>IF(ISBLANK('INVOCAÇÕES'!$AH$466),"",'INVOCAÇÕES'!$AH$466&amp;"")</f>
        <v/>
      </c>
      <c r="C3635" s="198">
        <f>"'INVOCAÇÕES'!AH440"</f>
        <v/>
      </c>
      <c r="D3635" s="198" t="inlineStr">
        <is>
          <t>entrada</t>
        </is>
      </c>
    </row>
    <row r="3636">
      <c r="A3636" s="198" t="inlineStr">
        <is>
          <t>invocacao.9.buff.pericia.1</t>
        </is>
      </c>
      <c r="B3636" s="198">
        <f>IF(ISBLANK('INVOCAÇÕES'!$AK$460),"",'INVOCAÇÕES'!$AK$460&amp;"")</f>
        <v/>
      </c>
      <c r="C3636" s="198">
        <f>"'INVOCAÇÕES'!AK434"</f>
        <v/>
      </c>
      <c r="D3636" s="198" t="inlineStr">
        <is>
          <t>entrada</t>
        </is>
      </c>
    </row>
    <row r="3637">
      <c r="A3637" s="198" t="inlineStr">
        <is>
          <t>invocacao.9.buff.pericia.2</t>
        </is>
      </c>
      <c r="B3637" s="198">
        <f>IF(ISBLANK('INVOCAÇÕES'!$AK$461),"",'INVOCAÇÕES'!$AK$461&amp;"")</f>
        <v/>
      </c>
      <c r="C3637" s="198">
        <f>"'INVOCAÇÕES'!AK435"</f>
        <v/>
      </c>
      <c r="D3637" s="198" t="inlineStr">
        <is>
          <t>entrada</t>
        </is>
      </c>
    </row>
    <row r="3638">
      <c r="A3638" s="198" t="inlineStr">
        <is>
          <t>invocacao.9.buff.pericia.3</t>
        </is>
      </c>
      <c r="B3638" s="198">
        <f>IF(ISBLANK('INVOCAÇÕES'!$AK$462),"",'INVOCAÇÕES'!$AK$462&amp;"")</f>
        <v/>
      </c>
      <c r="C3638" s="198">
        <f>"'INVOCAÇÕES'!AK436"</f>
        <v/>
      </c>
      <c r="D3638" s="198" t="inlineStr">
        <is>
          <t>entrada</t>
        </is>
      </c>
    </row>
    <row r="3639">
      <c r="A3639" s="198" t="inlineStr">
        <is>
          <t>invocacao.9.buff.pericia.4</t>
        </is>
      </c>
      <c r="B3639" s="198">
        <f>IF(ISBLANK('INVOCAÇÕES'!$AK$463),"",'INVOCAÇÕES'!$AK$463&amp;"")</f>
        <v/>
      </c>
      <c r="C3639" s="198">
        <f>"'INVOCAÇÕES'!AK437"</f>
        <v/>
      </c>
      <c r="D3639" s="198" t="inlineStr">
        <is>
          <t>entrada</t>
        </is>
      </c>
    </row>
    <row r="3640">
      <c r="A3640" s="198" t="inlineStr">
        <is>
          <t>invocacao.9.buff.pericia.5</t>
        </is>
      </c>
      <c r="B3640" s="198">
        <f>IF(ISBLANK('INVOCAÇÕES'!$AK$464),"",'INVOCAÇÕES'!$AK$464&amp;"")</f>
        <v/>
      </c>
      <c r="C3640" s="198">
        <f>"'INVOCAÇÕES'!AK438"</f>
        <v/>
      </c>
      <c r="D3640" s="198" t="inlineStr">
        <is>
          <t>entrada</t>
        </is>
      </c>
    </row>
    <row r="3641">
      <c r="A3641" s="198" t="inlineStr">
        <is>
          <t>invocacao.9.buff.pericia.6</t>
        </is>
      </c>
      <c r="B3641" s="198">
        <f>IF(ISBLANK('INVOCAÇÕES'!$AK$465),"",'INVOCAÇÕES'!$AK$465&amp;"")</f>
        <v/>
      </c>
      <c r="C3641" s="198">
        <f>"'INVOCAÇÕES'!AK439"</f>
        <v/>
      </c>
      <c r="D3641" s="198" t="inlineStr">
        <is>
          <t>entrada</t>
        </is>
      </c>
    </row>
    <row r="3642">
      <c r="A3642" s="198" t="inlineStr">
        <is>
          <t>invocacao.9.buff.pericia.7</t>
        </is>
      </c>
      <c r="B3642" s="198">
        <f>IF(ISBLANK('INVOCAÇÕES'!$AK$466),"",'INVOCAÇÕES'!$AK$466&amp;"")</f>
        <v/>
      </c>
      <c r="C3642" s="198">
        <f>"'INVOCAÇÕES'!AK440"</f>
        <v/>
      </c>
      <c r="D3642" s="198" t="inlineStr">
        <is>
          <t>entrada</t>
        </is>
      </c>
    </row>
    <row r="3643">
      <c r="A3643" s="198" t="inlineStr">
        <is>
          <t>invocacao.9.talento.1</t>
        </is>
      </c>
      <c r="B3643" s="198">
        <f>IF(ISBLANK('INVOCAÇÕES'!$AC$515),"",'INVOCAÇÕES'!$AC$515&amp;"")</f>
        <v/>
      </c>
      <c r="C3643" s="198">
        <f>"'INVOCAÇÕES'!AC476"</f>
        <v/>
      </c>
      <c r="D3643" s="198" t="inlineStr">
        <is>
          <t>entrada</t>
        </is>
      </c>
    </row>
    <row r="3644">
      <c r="A3644" s="198" t="inlineStr">
        <is>
          <t>invocacao.9.talento.2</t>
        </is>
      </c>
      <c r="B3644" s="198">
        <f>IF(ISBLANK('INVOCAÇÕES'!$AC$516),"",'INVOCAÇÕES'!$AC$516&amp;"")</f>
        <v/>
      </c>
      <c r="C3644" s="198">
        <f>"'INVOCAÇÕES'!AC477"</f>
        <v/>
      </c>
      <c r="D3644" s="198" t="inlineStr">
        <is>
          <t>entrada</t>
        </is>
      </c>
    </row>
    <row r="3645">
      <c r="A3645" s="198" t="inlineStr">
        <is>
          <t>invocacao.9.talento.3</t>
        </is>
      </c>
      <c r="B3645" s="198">
        <f>IF(ISBLANK('INVOCAÇÕES'!$AC$517),"",'INVOCAÇÕES'!$AC$517&amp;"")</f>
        <v/>
      </c>
      <c r="C3645" s="198">
        <f>"'INVOCAÇÕES'!AC478"</f>
        <v/>
      </c>
      <c r="D3645" s="198" t="inlineStr">
        <is>
          <t>entrada</t>
        </is>
      </c>
    </row>
    <row r="3646">
      <c r="A3646" s="198" t="inlineStr">
        <is>
          <t>invocacao.9.talento.4</t>
        </is>
      </c>
      <c r="B3646" s="198">
        <f>IF(ISBLANK('INVOCAÇÕES'!$AC$518),"",'INVOCAÇÕES'!$AC$518&amp;"")</f>
        <v/>
      </c>
      <c r="C3646" s="198">
        <f>"'INVOCAÇÕES'!AC479"</f>
        <v/>
      </c>
      <c r="D3646" s="198" t="inlineStr">
        <is>
          <t>entrada</t>
        </is>
      </c>
    </row>
    <row r="3647">
      <c r="A3647" s="198" t="inlineStr">
        <is>
          <t>invocacao.9.talento.5</t>
        </is>
      </c>
      <c r="B3647" s="198">
        <f>IF(ISBLANK('INVOCAÇÕES'!$AC$519),"",'INVOCAÇÕES'!$AC$519&amp;"")</f>
        <v/>
      </c>
      <c r="C3647" s="198">
        <f>"'INVOCAÇÕES'!AC480"</f>
        <v/>
      </c>
      <c r="D3647" s="198" t="inlineStr">
        <is>
          <t>entrada</t>
        </is>
      </c>
    </row>
    <row r="3648">
      <c r="A3648" s="198" t="inlineStr">
        <is>
          <t>invocacao.9.talento.6</t>
        </is>
      </c>
      <c r="B3648" s="198">
        <f>IF(ISBLANK('INVOCAÇÕES'!$AC$520),"",'INVOCAÇÕES'!$AC$520&amp;"")</f>
        <v/>
      </c>
      <c r="C3648" s="198">
        <f>"'INVOCAÇÕES'!AC481"</f>
        <v/>
      </c>
      <c r="D3648" s="198" t="inlineStr">
        <is>
          <t>entrada</t>
        </is>
      </c>
    </row>
    <row r="3649">
      <c r="A3649" s="198" t="inlineStr">
        <is>
          <t>invocacao.9.talento.7</t>
        </is>
      </c>
      <c r="B3649" s="198">
        <f>IF(ISBLANK('INVOCAÇÕES'!$AC$521),"",'INVOCAÇÕES'!$AC$521&amp;"")</f>
        <v/>
      </c>
      <c r="C3649" s="198">
        <f>"'INVOCAÇÕES'!AC482"</f>
        <v/>
      </c>
      <c r="D3649" s="198" t="inlineStr">
        <is>
          <t>entrada</t>
        </is>
      </c>
    </row>
    <row r="3650">
      <c r="A3650" s="198" t="inlineStr">
        <is>
          <t>invocacao.9.talento.8</t>
        </is>
      </c>
      <c r="B3650" s="198">
        <f>IF(ISBLANK('INVOCAÇÕES'!$AC$522),"",'INVOCAÇÕES'!$AC$522&amp;"")</f>
        <v/>
      </c>
      <c r="C3650" s="198">
        <f>"'INVOCAÇÕES'!AC483"</f>
        <v/>
      </c>
      <c r="D3650" s="198" t="inlineStr">
        <is>
          <t>entrada</t>
        </is>
      </c>
    </row>
    <row r="3651">
      <c r="A3651" s="198" t="inlineStr">
        <is>
          <t>invocacao.9.talento_extra.1</t>
        </is>
      </c>
      <c r="B3651" s="198">
        <f>IF(ISBLANK('INVOCAÇÕES'!$AC$617),"",'INVOCAÇÕES'!$AC$617&amp;"")</f>
        <v/>
      </c>
      <c r="C3651" s="198">
        <f>"'INVOCAÇÕES'!AC578"</f>
        <v/>
      </c>
      <c r="D3651" s="198" t="inlineStr">
        <is>
          <t>entrada</t>
        </is>
      </c>
    </row>
    <row r="3652">
      <c r="A3652" s="198" t="inlineStr">
        <is>
          <t>invocacao.9.talento_extra.2</t>
        </is>
      </c>
      <c r="B3652" s="198">
        <f>IF(ISBLANK('INVOCAÇÕES'!$AC$618),"",'INVOCAÇÕES'!$AC$618&amp;"")</f>
        <v/>
      </c>
      <c r="C3652" s="198">
        <f>"'INVOCAÇÕES'!AC579"</f>
        <v/>
      </c>
      <c r="D3652" s="198" t="inlineStr">
        <is>
          <t>entrada</t>
        </is>
      </c>
    </row>
    <row r="3653">
      <c r="A3653" s="198" t="inlineStr">
        <is>
          <t>invocacao.9.talento_extra.3</t>
        </is>
      </c>
      <c r="B3653" s="198">
        <f>IF(ISBLANK('INVOCAÇÕES'!$AC$619),"",'INVOCAÇÕES'!$AC$619&amp;"")</f>
        <v/>
      </c>
      <c r="C3653" s="198">
        <f>"'INVOCAÇÕES'!AC580"</f>
        <v/>
      </c>
      <c r="D3653" s="198" t="inlineStr">
        <is>
          <t>entrada</t>
        </is>
      </c>
    </row>
    <row r="3654">
      <c r="A3654" s="198" t="inlineStr">
        <is>
          <t>invocacao.9.equipamento.1</t>
        </is>
      </c>
      <c r="B3654" s="198">
        <f>IF(ISBLANK('INVOCAÇÕES'!$AO$455),"",'INVOCAÇÕES'!$AO$455&amp;"")</f>
        <v/>
      </c>
      <c r="C3654" s="198">
        <f>"'INVOCAÇÕES'!AO429"</f>
        <v/>
      </c>
      <c r="D3654" s="198" t="inlineStr">
        <is>
          <t>entrada</t>
        </is>
      </c>
    </row>
    <row r="3655">
      <c r="A3655" s="198" t="inlineStr">
        <is>
          <t>invocacao.9.equipamento.2</t>
        </is>
      </c>
      <c r="B3655" s="198">
        <f>IF(ISBLANK('INVOCAÇÕES'!$AO$456),"",'INVOCAÇÕES'!$AO$456&amp;"")</f>
        <v/>
      </c>
      <c r="C3655" s="198">
        <f>"'INVOCAÇÕES'!AO430"</f>
        <v/>
      </c>
      <c r="D3655" s="198" t="inlineStr">
        <is>
          <t>entrada</t>
        </is>
      </c>
    </row>
    <row r="3656">
      <c r="A3656" s="198" t="inlineStr">
        <is>
          <t>invocacao.9.equipamento.3</t>
        </is>
      </c>
      <c r="B3656" s="198">
        <f>IF(ISBLANK('INVOCAÇÕES'!$AO$457),"",'INVOCAÇÕES'!$AO$457&amp;"")</f>
        <v/>
      </c>
      <c r="C3656" s="198">
        <f>"'INVOCAÇÕES'!AO431"</f>
        <v/>
      </c>
      <c r="D3656" s="198" t="inlineStr">
        <is>
          <t>entrada</t>
        </is>
      </c>
    </row>
    <row r="3657">
      <c r="A3657" s="198" t="inlineStr">
        <is>
          <t>invocacao.9.liberacao.1.classe</t>
        </is>
      </c>
      <c r="B3657" s="198">
        <f>IF(ISBLANK('INVOCAÇÕES'!$AB$624),"",'INVOCAÇÕES'!$AB$624&amp;"")</f>
        <v/>
      </c>
      <c r="C3657" s="198">
        <f>"'INVOCAÇÕES'!AB585"</f>
        <v/>
      </c>
      <c r="D3657" s="198" t="inlineStr">
        <is>
          <t>entrada</t>
        </is>
      </c>
    </row>
    <row r="3658">
      <c r="A3658" s="198" t="inlineStr">
        <is>
          <t>invocacao.9.liberacao.1.nome</t>
        </is>
      </c>
      <c r="B3658" s="198">
        <f>IF(ISBLANK('INVOCAÇÕES'!$AC$624),"",'INVOCAÇÕES'!$AC$624&amp;"")</f>
        <v/>
      </c>
      <c r="C3658" s="198">
        <f>"'INVOCAÇÕES'!AC585"</f>
        <v/>
      </c>
      <c r="D3658" s="198" t="inlineStr">
        <is>
          <t>entrada</t>
        </is>
      </c>
    </row>
    <row r="3659">
      <c r="A3659" s="198" t="inlineStr">
        <is>
          <t>invocacao.9.liberacao.1.pe</t>
        </is>
      </c>
      <c r="B3659" s="198">
        <f>IF(ISBLANK('INVOCAÇÕES'!$AF$624),"",'INVOCAÇÕES'!$AF$624&amp;"")</f>
        <v/>
      </c>
      <c r="C3659" s="198">
        <f>"'INVOCAÇÕES'!AF585"</f>
        <v/>
      </c>
      <c r="D3659" s="198" t="inlineStr">
        <is>
          <t>resultado</t>
        </is>
      </c>
    </row>
    <row r="3660">
      <c r="A3660" s="198" t="inlineStr">
        <is>
          <t>invocacao.9.liberacao.1.como</t>
        </is>
      </c>
      <c r="B3660" s="198">
        <f>IF(ISBLANK('INVOCAÇÕES'!$AB$625),"",'INVOCAÇÕES'!$AB$625&amp;"")</f>
        <v/>
      </c>
      <c r="C3660" s="198">
        <f>"'INVOCAÇÕES'!AB586"</f>
        <v/>
      </c>
      <c r="D3660" s="198" t="inlineStr">
        <is>
          <t>entrada</t>
        </is>
      </c>
    </row>
    <row r="3661">
      <c r="A3661" s="198" t="inlineStr">
        <is>
          <t>invocacao.9.liberacao.1.pontos</t>
        </is>
      </c>
      <c r="B3661" s="198">
        <f>IF(ISBLANK('INVOCAÇÕES'!$AB$629),"",'INVOCAÇÕES'!$AB$629&amp;"")</f>
        <v/>
      </c>
      <c r="C3661" s="198">
        <f>"'INVOCAÇÕES'!AB590"</f>
        <v/>
      </c>
      <c r="D3661" s="198" t="inlineStr">
        <is>
          <t>resultado</t>
        </is>
      </c>
    </row>
    <row r="3662">
      <c r="A3662" s="198" t="inlineStr">
        <is>
          <t>invocacao.9.liberacao.1.acao</t>
        </is>
      </c>
      <c r="B3662" s="198">
        <f>IF(ISBLANK('INVOCAÇÕES'!$AB$630),"",'INVOCAÇÕES'!$AB$630&amp;"")</f>
        <v/>
      </c>
      <c r="C3662" s="198">
        <f>"'INVOCAÇÕES'!AB591"</f>
        <v/>
      </c>
      <c r="D3662" s="198" t="inlineStr">
        <is>
          <t>resultado</t>
        </is>
      </c>
    </row>
    <row r="3663">
      <c r="A3663" s="198" t="inlineStr">
        <is>
          <t>invocacao.9.liberacao.2.classe</t>
        </is>
      </c>
      <c r="B3663" s="198">
        <f>IF(ISBLANK('INVOCAÇÕES'!$AH$624),"",'INVOCAÇÕES'!$AH$624&amp;"")</f>
        <v/>
      </c>
      <c r="C3663" s="198">
        <f>"'INVOCAÇÕES'!AH585"</f>
        <v/>
      </c>
      <c r="D3663" s="198" t="inlineStr">
        <is>
          <t>entrada</t>
        </is>
      </c>
    </row>
    <row r="3664">
      <c r="A3664" s="198" t="inlineStr">
        <is>
          <t>invocacao.9.liberacao.2.nome</t>
        </is>
      </c>
      <c r="B3664" s="198">
        <f>IF(ISBLANK('INVOCAÇÕES'!$AI$624),"",'INVOCAÇÕES'!$AI$624&amp;"")</f>
        <v/>
      </c>
      <c r="C3664" s="198">
        <f>"'INVOCAÇÕES'!AI585"</f>
        <v/>
      </c>
      <c r="D3664" s="198" t="inlineStr">
        <is>
          <t>entrada</t>
        </is>
      </c>
    </row>
    <row r="3665">
      <c r="A3665" s="198" t="inlineStr">
        <is>
          <t>invocacao.9.liberacao.2.pe</t>
        </is>
      </c>
      <c r="B3665" s="198">
        <f>IF(ISBLANK('INVOCAÇÕES'!$AL$624),"",'INVOCAÇÕES'!$AL$624&amp;"")</f>
        <v/>
      </c>
      <c r="C3665" s="198">
        <f>"'INVOCAÇÕES'!AL585"</f>
        <v/>
      </c>
      <c r="D3665" s="198" t="inlineStr">
        <is>
          <t>resultado</t>
        </is>
      </c>
    </row>
    <row r="3666">
      <c r="A3666" s="198" t="inlineStr">
        <is>
          <t>invocacao.9.liberacao.2.como</t>
        </is>
      </c>
      <c r="B3666" s="198">
        <f>IF(ISBLANK('INVOCAÇÕES'!$AH$625),"",'INVOCAÇÕES'!$AH$625&amp;"")</f>
        <v/>
      </c>
      <c r="C3666" s="198">
        <f>"'INVOCAÇÕES'!AH586"</f>
        <v/>
      </c>
      <c r="D3666" s="198" t="inlineStr">
        <is>
          <t>entrada</t>
        </is>
      </c>
    </row>
    <row r="3667">
      <c r="A3667" s="198" t="inlineStr">
        <is>
          <t>invocacao.9.liberacao.2.pontos</t>
        </is>
      </c>
      <c r="B3667" s="198">
        <f>IF(ISBLANK('INVOCAÇÕES'!$AH$629),"",'INVOCAÇÕES'!$AH$629&amp;"")</f>
        <v/>
      </c>
      <c r="C3667" s="198">
        <f>"'INVOCAÇÕES'!AH590"</f>
        <v/>
      </c>
      <c r="D3667" s="198" t="inlineStr">
        <is>
          <t>resultado</t>
        </is>
      </c>
    </row>
    <row r="3668">
      <c r="A3668" s="198" t="inlineStr">
        <is>
          <t>invocacao.9.liberacao.2.acao</t>
        </is>
      </c>
      <c r="B3668" s="198">
        <f>IF(ISBLANK('INVOCAÇÕES'!$AH$630),"",'INVOCAÇÕES'!$AH$630&amp;"")</f>
        <v/>
      </c>
      <c r="C3668" s="198">
        <f>"'INVOCAÇÕES'!AH591"</f>
        <v/>
      </c>
      <c r="D3668" s="198" t="inlineStr">
        <is>
          <t>resultado</t>
        </is>
      </c>
    </row>
    <row r="3669">
      <c r="A3669" s="198" t="inlineStr">
        <is>
          <t>invocacao.9.liberacao.3.classe</t>
        </is>
      </c>
      <c r="B3669" s="198">
        <f>IF(ISBLANK('INVOCAÇÕES'!$AN$624),"",'INVOCAÇÕES'!$AN$624&amp;"")</f>
        <v/>
      </c>
      <c r="C3669" s="198">
        <f>"'INVOCAÇÕES'!AN585"</f>
        <v/>
      </c>
      <c r="D3669" s="198" t="inlineStr">
        <is>
          <t>entrada</t>
        </is>
      </c>
    </row>
    <row r="3670">
      <c r="A3670" s="198" t="inlineStr">
        <is>
          <t>invocacao.9.liberacao.3.nome</t>
        </is>
      </c>
      <c r="B3670" s="198">
        <f>IF(ISBLANK('INVOCAÇÕES'!$AO$624),"",'INVOCAÇÕES'!$AO$624&amp;"")</f>
        <v/>
      </c>
      <c r="C3670" s="198">
        <f>"'INVOCAÇÕES'!AO585"</f>
        <v/>
      </c>
      <c r="D3670" s="198" t="inlineStr">
        <is>
          <t>entrada</t>
        </is>
      </c>
    </row>
    <row r="3671">
      <c r="A3671" s="198" t="inlineStr">
        <is>
          <t>invocacao.9.liberacao.3.pe</t>
        </is>
      </c>
      <c r="B3671" s="198">
        <f>IF(ISBLANK('INVOCAÇÕES'!$AR$624),"",'INVOCAÇÕES'!$AR$624&amp;"")</f>
        <v/>
      </c>
      <c r="C3671" s="198">
        <f>"'INVOCAÇÕES'!AR585"</f>
        <v/>
      </c>
      <c r="D3671" s="198" t="inlineStr">
        <is>
          <t>resultado</t>
        </is>
      </c>
    </row>
    <row r="3672">
      <c r="A3672" s="198" t="inlineStr">
        <is>
          <t>invocacao.9.liberacao.3.como</t>
        </is>
      </c>
      <c r="B3672" s="198">
        <f>IF(ISBLANK('INVOCAÇÕES'!$AN$625),"",'INVOCAÇÕES'!$AN$625&amp;"")</f>
        <v/>
      </c>
      <c r="C3672" s="198">
        <f>"'INVOCAÇÕES'!AN586"</f>
        <v/>
      </c>
      <c r="D3672" s="198" t="inlineStr">
        <is>
          <t>entrada</t>
        </is>
      </c>
    </row>
    <row r="3673">
      <c r="A3673" s="198" t="inlineStr">
        <is>
          <t>invocacao.9.liberacao.3.pontos</t>
        </is>
      </c>
      <c r="B3673" s="198">
        <f>IF(ISBLANK('INVOCAÇÕES'!$AN$629),"",'INVOCAÇÕES'!$AN$629&amp;"")</f>
        <v/>
      </c>
      <c r="C3673" s="198">
        <f>"'INVOCAÇÕES'!AN590"</f>
        <v/>
      </c>
      <c r="D3673" s="198" t="inlineStr">
        <is>
          <t>resultado</t>
        </is>
      </c>
    </row>
    <row r="3674">
      <c r="A3674" s="198" t="inlineStr">
        <is>
          <t>invocacao.9.liberacao.3.acao</t>
        </is>
      </c>
      <c r="B3674" s="198">
        <f>IF(ISBLANK('INVOCAÇÕES'!$AN$630),"",'INVOCAÇÕES'!$AN$630&amp;"")</f>
        <v/>
      </c>
      <c r="C3674" s="198">
        <f>"'INVOCAÇÕES'!AN591"</f>
        <v/>
      </c>
      <c r="D3674" s="198" t="inlineStr">
        <is>
          <t>resultado</t>
        </is>
      </c>
    </row>
    <row r="3675">
      <c r="A3675" s="198" t="inlineStr">
        <is>
          <t>invocacao.9.tm.nome</t>
        </is>
      </c>
      <c r="B3675" s="198">
        <f>IF(ISBLANK('INVOCAÇÕES'!$AB$633),"",'INVOCAÇÕES'!$AB$633&amp;"")</f>
        <v/>
      </c>
      <c r="C3675" s="198">
        <f>"'INVOCAÇÕES'!AB594"</f>
        <v/>
      </c>
      <c r="D3675" s="198" t="inlineStr">
        <is>
          <t>entrada</t>
        </is>
      </c>
    </row>
    <row r="3676">
      <c r="A3676" s="198" t="inlineStr">
        <is>
          <t>invocacao.9.tm.pe</t>
        </is>
      </c>
      <c r="B3676" s="198">
        <f>IF(ISBLANK('INVOCAÇÕES'!$AF$633),"",'INVOCAÇÕES'!$AF$633&amp;"")</f>
        <v/>
      </c>
      <c r="C3676" s="198">
        <f>"'INVOCAÇÕES'!AF594"</f>
        <v/>
      </c>
      <c r="D3676" s="198" t="inlineStr">
        <is>
          <t>resultado</t>
        </is>
      </c>
    </row>
    <row r="3677">
      <c r="A3677" s="198" t="inlineStr">
        <is>
          <t>invocacao.9.tm.como</t>
        </is>
      </c>
      <c r="B3677" s="198">
        <f>IF(ISBLANK('INVOCAÇÕES'!$AB$634),"",'INVOCAÇÕES'!$AB$634&amp;"")</f>
        <v/>
      </c>
      <c r="C3677" s="198">
        <f>"'INVOCAÇÕES'!AB595"</f>
        <v/>
      </c>
      <c r="D3677" s="198" t="inlineStr">
        <is>
          <t>entrada</t>
        </is>
      </c>
    </row>
    <row r="3678">
      <c r="A3678" s="198" t="inlineStr">
        <is>
          <t>invocacao.9.tm.dados</t>
        </is>
      </c>
      <c r="B3678" s="198">
        <f>IF(ISBLANK('INVOCAÇÕES'!$AB$638),"",'INVOCAÇÕES'!$AB$638&amp;"")</f>
        <v/>
      </c>
      <c r="C3678" s="198">
        <f>"'INVOCAÇÕES'!AB599"</f>
        <v/>
      </c>
      <c r="D3678" s="198" t="inlineStr">
        <is>
          <t>resultado</t>
        </is>
      </c>
    </row>
    <row r="3679">
      <c r="A3679" s="198" t="inlineStr">
        <is>
          <t>invocacao.9.tm.acao</t>
        </is>
      </c>
      <c r="B3679" s="198">
        <f>IF(ISBLANK('INVOCAÇÕES'!$AB$639),"",'INVOCAÇÕES'!$AB$639&amp;"")</f>
        <v/>
      </c>
      <c r="C3679" s="198">
        <f>"'INVOCAÇÕES'!AB600"</f>
        <v/>
      </c>
      <c r="D3679" s="198" t="inlineStr">
        <is>
          <t>resultado</t>
        </is>
      </c>
    </row>
    <row r="3680">
      <c r="A3680" s="198" t="inlineStr">
        <is>
          <t>invocacao.9.exp.nome</t>
        </is>
      </c>
      <c r="B3680" s="198">
        <f>IF(ISBLANK('INVOCAÇÕES'!$AH$633),"",'INVOCAÇÕES'!$AH$633&amp;"")</f>
        <v/>
      </c>
      <c r="C3680" s="198">
        <f>"'INVOCAÇÕES'!AH594"</f>
        <v/>
      </c>
      <c r="D3680" s="198" t="inlineStr">
        <is>
          <t>entrada</t>
        </is>
      </c>
    </row>
    <row r="3681">
      <c r="A3681" s="198" t="inlineStr">
        <is>
          <t>invocacao.9.exp.pe</t>
        </is>
      </c>
      <c r="B3681" s="198">
        <f>IF(ISBLANK('INVOCAÇÕES'!$AL$633),"",'INVOCAÇÕES'!$AL$633&amp;"")</f>
        <v/>
      </c>
      <c r="C3681" s="198">
        <f>"'INVOCAÇÕES'!AL594"</f>
        <v/>
      </c>
      <c r="D3681" s="198" t="inlineStr">
        <is>
          <t>resultado</t>
        </is>
      </c>
    </row>
    <row r="3682">
      <c r="A3682" s="198" t="inlineStr">
        <is>
          <t>invocacao.9.exp.como</t>
        </is>
      </c>
      <c r="B3682" s="198">
        <f>IF(ISBLANK('INVOCAÇÕES'!$AH$634),"",'INVOCAÇÕES'!$AH$634&amp;"")</f>
        <v/>
      </c>
      <c r="C3682" s="198">
        <f>"'INVOCAÇÕES'!AH595"</f>
        <v/>
      </c>
      <c r="D3682" s="198" t="inlineStr">
        <is>
          <t>entrada</t>
        </is>
      </c>
    </row>
    <row r="3683">
      <c r="A3683" s="198" t="inlineStr">
        <is>
          <t>invocacao.9.exp.degrau</t>
        </is>
      </c>
      <c r="B3683" s="198">
        <f>IF(ISBLANK('INVOCAÇÕES'!$AH$638),"",'INVOCAÇÕES'!$AH$638&amp;"")</f>
        <v/>
      </c>
      <c r="C3683" s="198">
        <f>"'INVOCAÇÕES'!AH599"</f>
        <v/>
      </c>
      <c r="D3683" s="198" t="inlineStr">
        <is>
          <t>entrada</t>
        </is>
      </c>
    </row>
    <row r="3684">
      <c r="A3684" s="198" t="inlineStr">
        <is>
          <t>invocacao.9.exp.acerto</t>
        </is>
      </c>
      <c r="B3684" s="198">
        <f>IF(ISBLANK('INVOCAÇÕES'!$AJ$638),"",'INVOCAÇÕES'!$AJ$638&amp;"")</f>
        <v/>
      </c>
      <c r="C3684" s="198">
        <f>"'INVOCAÇÕES'!AJ599"</f>
        <v/>
      </c>
      <c r="D3684" s="198" t="inlineStr">
        <is>
          <t>entrada</t>
        </is>
      </c>
    </row>
    <row r="3685">
      <c r="A3685" s="198" t="inlineStr">
        <is>
          <t>invocacao.9.exp.pede</t>
        </is>
      </c>
      <c r="B3685" s="198">
        <f>IF(ISBLANK('INVOCAÇÕES'!$AH$639),"",'INVOCAÇÕES'!$AH$639&amp;"")</f>
        <v/>
      </c>
      <c r="C3685" s="198">
        <f>"'INVOCAÇÕES'!AH600"</f>
        <v/>
      </c>
      <c r="D3685" s="198" t="inlineStr">
        <is>
          <t>resultado</t>
        </is>
      </c>
    </row>
    <row r="3686">
      <c r="A3686" s="198" t="inlineStr">
        <is>
          <t>invocacao.10.atributo.forca.base</t>
        </is>
      </c>
      <c r="B3686" s="198">
        <f>IF(ISBLANK('INVOCAÇÕES'!$AH$653),"",'INVOCAÇÕES'!$AH$653&amp;"")</f>
        <v/>
      </c>
      <c r="C3686" s="198">
        <f>"'INVOCAÇÕES'!AH614"</f>
        <v/>
      </c>
      <c r="D3686" s="198" t="inlineStr">
        <is>
          <t>entrada</t>
        </is>
      </c>
    </row>
    <row r="3687">
      <c r="A3687" s="198" t="inlineStr">
        <is>
          <t>invocacao.10.atributo.forca.buff</t>
        </is>
      </c>
      <c r="B3687" s="198">
        <f>IF(ISBLANK('INVOCAÇÕES'!$AH$654),"",'INVOCAÇÕES'!$AH$654&amp;"")</f>
        <v/>
      </c>
      <c r="C3687" s="198">
        <f>"'INVOCAÇÕES'!AH615"</f>
        <v/>
      </c>
      <c r="D3687" s="198" t="inlineStr">
        <is>
          <t>entrada</t>
        </is>
      </c>
    </row>
    <row r="3688">
      <c r="A3688" s="198" t="inlineStr">
        <is>
          <t>invocacao.10.atributo.forca.total</t>
        </is>
      </c>
      <c r="B3688" s="198">
        <f>IF(ISBLANK('INVOCAÇÕES'!$AH$651),"",'INVOCAÇÕES'!$AH$651&amp;"")</f>
        <v/>
      </c>
      <c r="C3688" s="198">
        <f>"'INVOCAÇÕES'!AH612"</f>
        <v/>
      </c>
      <c r="D3688" s="198" t="inlineStr">
        <is>
          <t>resultado</t>
        </is>
      </c>
    </row>
    <row r="3689">
      <c r="A3689" s="198" t="inlineStr">
        <is>
          <t>invocacao.10.atributo.destreza.base</t>
        </is>
      </c>
      <c r="B3689" s="198">
        <f>IF(ISBLANK('INVOCAÇÕES'!$AI$653),"",'INVOCAÇÕES'!$AI$653&amp;"")</f>
        <v/>
      </c>
      <c r="C3689" s="198">
        <f>"'INVOCAÇÕES'!AI614"</f>
        <v/>
      </c>
      <c r="D3689" s="198" t="inlineStr">
        <is>
          <t>entrada</t>
        </is>
      </c>
    </row>
    <row r="3690">
      <c r="A3690" s="198" t="inlineStr">
        <is>
          <t>invocacao.10.atributo.destreza.buff</t>
        </is>
      </c>
      <c r="B3690" s="198">
        <f>IF(ISBLANK('INVOCAÇÕES'!$AI$654),"",'INVOCAÇÕES'!$AI$654&amp;"")</f>
        <v/>
      </c>
      <c r="C3690" s="198">
        <f>"'INVOCAÇÕES'!AI615"</f>
        <v/>
      </c>
      <c r="D3690" s="198" t="inlineStr">
        <is>
          <t>entrada</t>
        </is>
      </c>
    </row>
    <row r="3691">
      <c r="A3691" s="198" t="inlineStr">
        <is>
          <t>invocacao.10.atributo.destreza.total</t>
        </is>
      </c>
      <c r="B3691" s="198">
        <f>IF(ISBLANK('INVOCAÇÕES'!$AI$651),"",'INVOCAÇÕES'!$AI$651&amp;"")</f>
        <v/>
      </c>
      <c r="C3691" s="198">
        <f>"'INVOCAÇÕES'!AI612"</f>
        <v/>
      </c>
      <c r="D3691" s="198" t="inlineStr">
        <is>
          <t>resultado</t>
        </is>
      </c>
    </row>
    <row r="3692">
      <c r="A3692" s="198" t="inlineStr">
        <is>
          <t>invocacao.10.atributo.constituicao.base</t>
        </is>
      </c>
      <c r="B3692" s="198">
        <f>IF(ISBLANK('INVOCAÇÕES'!$AJ$653),"",'INVOCAÇÕES'!$AJ$653&amp;"")</f>
        <v/>
      </c>
      <c r="C3692" s="198">
        <f>"'INVOCAÇÕES'!AJ614"</f>
        <v/>
      </c>
      <c r="D3692" s="198" t="inlineStr">
        <is>
          <t>entrada</t>
        </is>
      </c>
    </row>
    <row r="3693">
      <c r="A3693" s="198" t="inlineStr">
        <is>
          <t>invocacao.10.atributo.constituicao.buff</t>
        </is>
      </c>
      <c r="B3693" s="198">
        <f>IF(ISBLANK('INVOCAÇÕES'!$AJ$654),"",'INVOCAÇÕES'!$AJ$654&amp;"")</f>
        <v/>
      </c>
      <c r="C3693" s="198">
        <f>"'INVOCAÇÕES'!AJ615"</f>
        <v/>
      </c>
      <c r="D3693" s="198" t="inlineStr">
        <is>
          <t>entrada</t>
        </is>
      </c>
    </row>
    <row r="3694">
      <c r="A3694" s="198" t="inlineStr">
        <is>
          <t>invocacao.10.atributo.constituicao.total</t>
        </is>
      </c>
      <c r="B3694" s="198">
        <f>IF(ISBLANK('INVOCAÇÕES'!$AJ$651),"",'INVOCAÇÕES'!$AJ$651&amp;"")</f>
        <v/>
      </c>
      <c r="C3694" s="198">
        <f>"'INVOCAÇÕES'!AJ612"</f>
        <v/>
      </c>
      <c r="D3694" s="198" t="inlineStr">
        <is>
          <t>resultado</t>
        </is>
      </c>
    </row>
    <row r="3695">
      <c r="A3695" s="198" t="inlineStr">
        <is>
          <t>invocacao.10.atributo.inteligencia.base</t>
        </is>
      </c>
      <c r="B3695" s="198">
        <f>IF(ISBLANK('INVOCAÇÕES'!$AK$653),"",'INVOCAÇÕES'!$AK$653&amp;"")</f>
        <v/>
      </c>
      <c r="C3695" s="198">
        <f>"'INVOCAÇÕES'!AK614"</f>
        <v/>
      </c>
      <c r="D3695" s="198" t="inlineStr">
        <is>
          <t>entrada</t>
        </is>
      </c>
    </row>
    <row r="3696">
      <c r="A3696" s="198" t="inlineStr">
        <is>
          <t>invocacao.10.atributo.inteligencia.buff</t>
        </is>
      </c>
      <c r="B3696" s="198">
        <f>IF(ISBLANK('INVOCAÇÕES'!$AK$654),"",'INVOCAÇÕES'!$AK$654&amp;"")</f>
        <v/>
      </c>
      <c r="C3696" s="198">
        <f>"'INVOCAÇÕES'!AK615"</f>
        <v/>
      </c>
      <c r="D3696" s="198" t="inlineStr">
        <is>
          <t>entrada</t>
        </is>
      </c>
    </row>
    <row r="3697">
      <c r="A3697" s="198" t="inlineStr">
        <is>
          <t>invocacao.10.atributo.inteligencia.total</t>
        </is>
      </c>
      <c r="B3697" s="198">
        <f>IF(ISBLANK('INVOCAÇÕES'!$AK$651),"",'INVOCAÇÕES'!$AK$651&amp;"")</f>
        <v/>
      </c>
      <c r="C3697" s="198">
        <f>"'INVOCAÇÕES'!AK612"</f>
        <v/>
      </c>
      <c r="D3697" s="198" t="inlineStr">
        <is>
          <t>resultado</t>
        </is>
      </c>
    </row>
    <row r="3698">
      <c r="A3698" s="198" t="inlineStr">
        <is>
          <t>invocacao.10.atributo.essencia.base</t>
        </is>
      </c>
      <c r="B3698" s="198">
        <f>IF(ISBLANK('INVOCAÇÕES'!$AL$653),"",'INVOCAÇÕES'!$AL$653&amp;"")</f>
        <v/>
      </c>
      <c r="C3698" s="198">
        <f>"'INVOCAÇÕES'!AL614"</f>
        <v/>
      </c>
      <c r="D3698" s="198" t="inlineStr">
        <is>
          <t>entrada</t>
        </is>
      </c>
    </row>
    <row r="3699">
      <c r="A3699" s="198" t="inlineStr">
        <is>
          <t>invocacao.10.atributo.essencia.buff</t>
        </is>
      </c>
      <c r="B3699" s="198">
        <f>IF(ISBLANK('INVOCAÇÕES'!$AL$654),"",'INVOCAÇÕES'!$AL$654&amp;"")</f>
        <v/>
      </c>
      <c r="C3699" s="198">
        <f>"'INVOCAÇÕES'!AL615"</f>
        <v/>
      </c>
      <c r="D3699" s="198" t="inlineStr">
        <is>
          <t>entrada</t>
        </is>
      </c>
    </row>
    <row r="3700">
      <c r="A3700" s="198" t="inlineStr">
        <is>
          <t>invocacao.10.atributo.essencia.total</t>
        </is>
      </c>
      <c r="B3700" s="198">
        <f>IF(ISBLANK('INVOCAÇÕES'!$AL$651),"",'INVOCAÇÕES'!$AL$651&amp;"")</f>
        <v/>
      </c>
      <c r="C3700" s="198">
        <f>"'INVOCAÇÕES'!AL612"</f>
        <v/>
      </c>
      <c r="D3700" s="198" t="inlineStr">
        <is>
          <t>resultado</t>
        </is>
      </c>
    </row>
    <row r="3701">
      <c r="A3701" s="198" t="inlineStr">
        <is>
          <t>invocacao.10.buff.acerto</t>
        </is>
      </c>
      <c r="B3701" s="198">
        <f>IF(ISBLANK('INVOCAÇÕES'!$AH$659),"",'INVOCAÇÕES'!$AH$659&amp;"")</f>
        <v/>
      </c>
      <c r="C3701" s="198">
        <f>"'INVOCAÇÕES'!AH620"</f>
        <v/>
      </c>
      <c r="D3701" s="198" t="inlineStr">
        <is>
          <t>entrada</t>
        </is>
      </c>
    </row>
    <row r="3702">
      <c r="A3702" s="198" t="inlineStr">
        <is>
          <t>invocacao.10.buff.cd</t>
        </is>
      </c>
      <c r="B3702" s="198">
        <f>IF(ISBLANK('INVOCAÇÕES'!$AI$659),"",'INVOCAÇÕES'!$AI$659&amp;"")</f>
        <v/>
      </c>
      <c r="C3702" s="198">
        <f>"'INVOCAÇÕES'!AI620"</f>
        <v/>
      </c>
      <c r="D3702" s="198" t="inlineStr">
        <is>
          <t>entrada</t>
        </is>
      </c>
    </row>
    <row r="3703">
      <c r="A3703" s="198" t="inlineStr">
        <is>
          <t>invocacao.10.buff.defesa</t>
        </is>
      </c>
      <c r="B3703" s="198">
        <f>IF(ISBLANK('INVOCAÇÕES'!$AJ$659),"",'INVOCAÇÕES'!$AJ$659&amp;"")</f>
        <v/>
      </c>
      <c r="C3703" s="198">
        <f>"'INVOCAÇÕES'!AJ620"</f>
        <v/>
      </c>
      <c r="D3703" s="198" t="inlineStr">
        <is>
          <t>entrada</t>
        </is>
      </c>
    </row>
    <row r="3704">
      <c r="A3704" s="198" t="inlineStr">
        <is>
          <t>invocacao.10.buff.vida</t>
        </is>
      </c>
      <c r="B3704" s="198">
        <f>IF(ISBLANK('INVOCAÇÕES'!$AK$659),"",'INVOCAÇÕES'!$AK$659&amp;"")</f>
        <v/>
      </c>
      <c r="C3704" s="198">
        <f>"'INVOCAÇÕES'!AK620"</f>
        <v/>
      </c>
      <c r="D3704" s="198" t="inlineStr">
        <is>
          <t>entrada</t>
        </is>
      </c>
    </row>
    <row r="3705">
      <c r="A3705" s="198" t="inlineStr">
        <is>
          <t>invocacao.10.buff.deslocamento</t>
        </is>
      </c>
      <c r="B3705" s="198">
        <f>IF(ISBLANK('INVOCAÇÕES'!$AL$659),"",'INVOCAÇÕES'!$AL$659&amp;"")</f>
        <v/>
      </c>
      <c r="C3705" s="198">
        <f>"'INVOCAÇÕES'!AL620"</f>
        <v/>
      </c>
      <c r="D3705" s="198" t="inlineStr">
        <is>
          <t>entrada</t>
        </is>
      </c>
    </row>
    <row r="3706">
      <c r="A3706" s="198" t="inlineStr">
        <is>
          <t>invocacao.10.buff.tr.fisico</t>
        </is>
      </c>
      <c r="B3706" s="198">
        <f>IF(ISBLANK('INVOCAÇÕES'!$AH$664),"",'INVOCAÇÕES'!$AH$664&amp;"")</f>
        <v/>
      </c>
      <c r="C3706" s="198">
        <f>"'INVOCAÇÕES'!AH625"</f>
        <v/>
      </c>
      <c r="D3706" s="198" t="inlineStr">
        <is>
          <t>entrada</t>
        </is>
      </c>
    </row>
    <row r="3707">
      <c r="A3707" s="198" t="inlineStr">
        <is>
          <t>invocacao.10.buff.tr.vigor</t>
        </is>
      </c>
      <c r="B3707" s="198">
        <f>IF(ISBLANK('INVOCAÇÕES'!$AI$664),"",'INVOCAÇÕES'!$AI$664&amp;"")</f>
        <v/>
      </c>
      <c r="C3707" s="198">
        <f>"'INVOCAÇÕES'!AI625"</f>
        <v/>
      </c>
      <c r="D3707" s="198" t="inlineStr">
        <is>
          <t>entrada</t>
        </is>
      </c>
    </row>
    <row r="3708">
      <c r="A3708" s="198" t="inlineStr">
        <is>
          <t>invocacao.10.buff.tr.intelecto</t>
        </is>
      </c>
      <c r="B3708" s="198">
        <f>IF(ISBLANK('INVOCAÇÕES'!$AJ$664),"",'INVOCAÇÕES'!$AJ$664&amp;"")</f>
        <v/>
      </c>
      <c r="C3708" s="198">
        <f>"'INVOCAÇÕES'!AJ625"</f>
        <v/>
      </c>
      <c r="D3708" s="198" t="inlineStr">
        <is>
          <t>entrada</t>
        </is>
      </c>
    </row>
    <row r="3709">
      <c r="A3709" s="198" t="inlineStr">
        <is>
          <t>invocacao.10.buff.tr.espirito</t>
        </is>
      </c>
      <c r="B3709" s="198">
        <f>IF(ISBLANK('INVOCAÇÕES'!$AK$664),"",'INVOCAÇÕES'!$AK$664&amp;"")</f>
        <v/>
      </c>
      <c r="C3709" s="198">
        <f>"'INVOCAÇÕES'!AK625"</f>
        <v/>
      </c>
      <c r="D3709" s="198" t="inlineStr">
        <is>
          <t>entrada</t>
        </is>
      </c>
    </row>
    <row r="3710">
      <c r="A3710" s="198" t="inlineStr">
        <is>
          <t>invocacao.10.atributo_acerto</t>
        </is>
      </c>
      <c r="B3710" s="198">
        <f>IF(ISBLANK('INVOCAÇÕES'!$AH$667),"",'INVOCAÇÕES'!$AH$667&amp;"")</f>
        <v/>
      </c>
      <c r="C3710" s="198">
        <f>"'INVOCAÇÕES'!AH628"</f>
        <v/>
      </c>
      <c r="D3710" s="198" t="inlineStr">
        <is>
          <t>entrada</t>
        </is>
      </c>
    </row>
    <row r="3711">
      <c r="A3711" s="198" t="inlineStr">
        <is>
          <t>invocacao.10.atributo_fisico</t>
        </is>
      </c>
      <c r="B3711" s="198">
        <f>IF(ISBLANK('INVOCAÇÕES'!$AK$667),"",'INVOCAÇÕES'!$AK$667&amp;"")</f>
        <v/>
      </c>
      <c r="C3711" s="198">
        <f>"'INVOCAÇÕES'!AK628"</f>
        <v/>
      </c>
      <c r="D3711" s="198" t="inlineStr">
        <is>
          <t>entrada</t>
        </is>
      </c>
    </row>
    <row r="3712">
      <c r="A3712" s="198" t="inlineStr">
        <is>
          <t>invocacao.10.tr_treinado</t>
        </is>
      </c>
      <c r="B3712" s="198">
        <f>IF(ISBLANK('INVOCAÇÕES'!$AL$662),"",'INVOCAÇÕES'!$AL$662&amp;"")</f>
        <v/>
      </c>
      <c r="C3712" s="198">
        <f>"'INVOCAÇÕES'!AL623"</f>
        <v/>
      </c>
      <c r="D3712" s="198" t="inlineStr">
        <is>
          <t>entrada</t>
        </is>
      </c>
    </row>
    <row r="3713">
      <c r="A3713" s="198" t="inlineStr">
        <is>
          <t>invocacao.10.alma</t>
        </is>
      </c>
      <c r="B3713" s="198">
        <f>IF(ISBLANK('INVOCAÇÕES'!$AN$651),"",'INVOCAÇÕES'!$AN$651&amp;"")</f>
        <v/>
      </c>
      <c r="C3713" s="198">
        <f>"'INVOCAÇÕES'!AN612"</f>
        <v/>
      </c>
      <c r="D3713" s="198" t="inlineStr">
        <is>
          <t>entrada</t>
        </is>
      </c>
    </row>
    <row r="3714">
      <c r="A3714" s="198" t="inlineStr">
        <is>
          <t>invocacao.10.notas</t>
        </is>
      </c>
      <c r="B3714" s="198">
        <f>IF(ISBLANK('INVOCAÇÕES'!$AN$660),"",'INVOCAÇÕES'!$AN$660&amp;"")</f>
        <v/>
      </c>
      <c r="C3714" s="198">
        <f>"'INVOCAÇÕES'!AN621"</f>
        <v/>
      </c>
      <c r="D3714" s="198" t="inlineStr">
        <is>
          <t>entrada</t>
        </is>
      </c>
    </row>
    <row r="3715">
      <c r="A3715" s="198" t="inlineStr">
        <is>
          <t>invocacao.10.definicao</t>
        </is>
      </c>
      <c r="B3715" s="198">
        <f>IF(ISBLANK('INVOCAÇÕES'!$AB$699),"",'INVOCAÇÕES'!$AB$699&amp;"")</f>
        <v/>
      </c>
      <c r="C3715" s="198">
        <f>"'INVOCAÇÕES'!AB647"</f>
        <v/>
      </c>
      <c r="D3715" s="198" t="inlineStr">
        <is>
          <t>entrada</t>
        </is>
      </c>
    </row>
    <row r="3716">
      <c r="A3716" s="198" t="inlineStr">
        <is>
          <t>invocacao.10.familia.1</t>
        </is>
      </c>
      <c r="B3716" s="198">
        <f>IF(ISBLANK('INVOCAÇÕES'!$AH$681),"",'INVOCAÇÕES'!$AH$681&amp;"")</f>
        <v/>
      </c>
      <c r="C3716" s="198">
        <f>"'INVOCAÇÕES'!AH642"</f>
        <v/>
      </c>
      <c r="D3716" s="198" t="inlineStr">
        <is>
          <t>entrada</t>
        </is>
      </c>
    </row>
    <row r="3717">
      <c r="A3717" s="198" t="inlineStr">
        <is>
          <t>invocacao.10.familia.2</t>
        </is>
      </c>
      <c r="B3717" s="198">
        <f>IF(ISBLANK('INVOCAÇÕES'!$AI$681),"",'INVOCAÇÕES'!$AI$681&amp;"")</f>
        <v/>
      </c>
      <c r="C3717" s="198">
        <f>"'INVOCAÇÕES'!AI642"</f>
        <v/>
      </c>
      <c r="D3717" s="198" t="inlineStr">
        <is>
          <t>entrada</t>
        </is>
      </c>
    </row>
    <row r="3718">
      <c r="A3718" s="198" t="inlineStr">
        <is>
          <t>invocacao.10.familia.3</t>
        </is>
      </c>
      <c r="B3718" s="198">
        <f>IF(ISBLANK('INVOCAÇÕES'!$AJ$681),"",'INVOCAÇÕES'!$AJ$681&amp;"")</f>
        <v/>
      </c>
      <c r="C3718" s="198">
        <f>"'INVOCAÇÕES'!AJ642"</f>
        <v/>
      </c>
      <c r="D3718" s="198" t="inlineStr">
        <is>
          <t>entrada</t>
        </is>
      </c>
    </row>
    <row r="3719">
      <c r="A3719" s="198" t="inlineStr">
        <is>
          <t>invocacao.10.familia.4</t>
        </is>
      </c>
      <c r="B3719" s="198">
        <f>IF(ISBLANK('INVOCAÇÕES'!$AK$681),"",'INVOCAÇÕES'!$AK$681&amp;"")</f>
        <v/>
      </c>
      <c r="C3719" s="198">
        <f>"'INVOCAÇÕES'!AK642"</f>
        <v/>
      </c>
      <c r="D3719" s="198" t="inlineStr">
        <is>
          <t>entrada</t>
        </is>
      </c>
    </row>
    <row r="3720">
      <c r="A3720" s="198" t="inlineStr">
        <is>
          <t>invocacao.10.familia.5</t>
        </is>
      </c>
      <c r="B3720" s="198">
        <f>IF(ISBLANK('INVOCAÇÕES'!$AL$681),"",'INVOCAÇÕES'!$AL$681&amp;"")</f>
        <v/>
      </c>
      <c r="C3720" s="198">
        <f>"'INVOCAÇÕES'!AL642"</f>
        <v/>
      </c>
      <c r="D3720" s="198" t="inlineStr">
        <is>
          <t>entrada</t>
        </is>
      </c>
    </row>
    <row r="3721">
      <c r="A3721" s="198" t="inlineStr">
        <is>
          <t>invocacao.10.pericia.1</t>
        </is>
      </c>
      <c r="B3721" s="198">
        <f>IF(ISBLANK('INVOCAÇÕES'!$AH$671),"",'INVOCAÇÕES'!$AH$671&amp;"")</f>
        <v/>
      </c>
      <c r="C3721" s="198">
        <f>"'INVOCAÇÕES'!AH632"</f>
        <v/>
      </c>
      <c r="D3721" s="198" t="inlineStr">
        <is>
          <t>entrada</t>
        </is>
      </c>
    </row>
    <row r="3722">
      <c r="A3722" s="198" t="inlineStr">
        <is>
          <t>invocacao.10.pericia.2</t>
        </is>
      </c>
      <c r="B3722" s="198">
        <f>IF(ISBLANK('INVOCAÇÕES'!$AH$672),"",'INVOCAÇÕES'!$AH$672&amp;"")</f>
        <v/>
      </c>
      <c r="C3722" s="198">
        <f>"'INVOCAÇÕES'!AH633"</f>
        <v/>
      </c>
      <c r="D3722" s="198" t="inlineStr">
        <is>
          <t>entrada</t>
        </is>
      </c>
    </row>
    <row r="3723">
      <c r="A3723" s="198" t="inlineStr">
        <is>
          <t>invocacao.10.pericia.3</t>
        </is>
      </c>
      <c r="B3723" s="198">
        <f>IF(ISBLANK('INVOCAÇÕES'!$AH$673),"",'INVOCAÇÕES'!$AH$673&amp;"")</f>
        <v/>
      </c>
      <c r="C3723" s="198">
        <f>"'INVOCAÇÕES'!AH634"</f>
        <v/>
      </c>
      <c r="D3723" s="198" t="inlineStr">
        <is>
          <t>entrada</t>
        </is>
      </c>
    </row>
    <row r="3724">
      <c r="A3724" s="198" t="inlineStr">
        <is>
          <t>invocacao.10.pericia.4</t>
        </is>
      </c>
      <c r="B3724" s="198">
        <f>IF(ISBLANK('INVOCAÇÕES'!$AH$674),"",'INVOCAÇÕES'!$AH$674&amp;"")</f>
        <v/>
      </c>
      <c r="C3724" s="198">
        <f>"'INVOCAÇÕES'!AH635"</f>
        <v/>
      </c>
      <c r="D3724" s="198" t="inlineStr">
        <is>
          <t>entrada</t>
        </is>
      </c>
    </row>
    <row r="3725">
      <c r="A3725" s="198" t="inlineStr">
        <is>
          <t>invocacao.10.pericia.5</t>
        </is>
      </c>
      <c r="B3725" s="198">
        <f>IF(ISBLANK('INVOCAÇÕES'!$AH$675),"",'INVOCAÇÕES'!$AH$675&amp;"")</f>
        <v/>
      </c>
      <c r="C3725" s="198">
        <f>"'INVOCAÇÕES'!AH636"</f>
        <v/>
      </c>
      <c r="D3725" s="198" t="inlineStr">
        <is>
          <t>entrada</t>
        </is>
      </c>
    </row>
    <row r="3726">
      <c r="A3726" s="198" t="inlineStr">
        <is>
          <t>invocacao.10.pericia.6</t>
        </is>
      </c>
      <c r="B3726" s="198">
        <f>IF(ISBLANK('INVOCAÇÕES'!$AH$676),"",'INVOCAÇÕES'!$AH$676&amp;"")</f>
        <v/>
      </c>
      <c r="C3726" s="198">
        <f>"'INVOCAÇÕES'!AH637"</f>
        <v/>
      </c>
      <c r="D3726" s="198" t="inlineStr">
        <is>
          <t>entrada</t>
        </is>
      </c>
    </row>
    <row r="3727">
      <c r="A3727" s="198" t="inlineStr">
        <is>
          <t>invocacao.10.pericia.7</t>
        </is>
      </c>
      <c r="B3727" s="198">
        <f>IF(ISBLANK('INVOCAÇÕES'!$AH$677),"",'INVOCAÇÕES'!$AH$677&amp;"")</f>
        <v/>
      </c>
      <c r="C3727" s="198">
        <f>"'INVOCAÇÕES'!AH638"</f>
        <v/>
      </c>
      <c r="D3727" s="198" t="inlineStr">
        <is>
          <t>entrada</t>
        </is>
      </c>
    </row>
    <row r="3728">
      <c r="A3728" s="198" t="inlineStr">
        <is>
          <t>invocacao.10.buff.pericia.1</t>
        </is>
      </c>
      <c r="B3728" s="198">
        <f>IF(ISBLANK('INVOCAÇÕES'!$AK$671),"",'INVOCAÇÕES'!$AK$671&amp;"")</f>
        <v/>
      </c>
      <c r="C3728" s="198">
        <f>"'INVOCAÇÕES'!AK632"</f>
        <v/>
      </c>
      <c r="D3728" s="198" t="inlineStr">
        <is>
          <t>entrada</t>
        </is>
      </c>
    </row>
    <row r="3729">
      <c r="A3729" s="198" t="inlineStr">
        <is>
          <t>invocacao.10.buff.pericia.2</t>
        </is>
      </c>
      <c r="B3729" s="198">
        <f>IF(ISBLANK('INVOCAÇÕES'!$AK$672),"",'INVOCAÇÕES'!$AK$672&amp;"")</f>
        <v/>
      </c>
      <c r="C3729" s="198">
        <f>"'INVOCAÇÕES'!AK633"</f>
        <v/>
      </c>
      <c r="D3729" s="198" t="inlineStr">
        <is>
          <t>entrada</t>
        </is>
      </c>
    </row>
    <row r="3730">
      <c r="A3730" s="198" t="inlineStr">
        <is>
          <t>invocacao.10.buff.pericia.3</t>
        </is>
      </c>
      <c r="B3730" s="198">
        <f>IF(ISBLANK('INVOCAÇÕES'!$AK$673),"",'INVOCAÇÕES'!$AK$673&amp;"")</f>
        <v/>
      </c>
      <c r="C3730" s="198">
        <f>"'INVOCAÇÕES'!AK634"</f>
        <v/>
      </c>
      <c r="D3730" s="198" t="inlineStr">
        <is>
          <t>entrada</t>
        </is>
      </c>
    </row>
    <row r="3731">
      <c r="A3731" s="198" t="inlineStr">
        <is>
          <t>invocacao.10.buff.pericia.4</t>
        </is>
      </c>
      <c r="B3731" s="198">
        <f>IF(ISBLANK('INVOCAÇÕES'!$AK$674),"",'INVOCAÇÕES'!$AK$674&amp;"")</f>
        <v/>
      </c>
      <c r="C3731" s="198">
        <f>"'INVOCAÇÕES'!AK635"</f>
        <v/>
      </c>
      <c r="D3731" s="198" t="inlineStr">
        <is>
          <t>entrada</t>
        </is>
      </c>
    </row>
    <row r="3732">
      <c r="A3732" s="198" t="inlineStr">
        <is>
          <t>invocacao.10.buff.pericia.5</t>
        </is>
      </c>
      <c r="B3732" s="198">
        <f>IF(ISBLANK('INVOCAÇÕES'!$AK$675),"",'INVOCAÇÕES'!$AK$675&amp;"")</f>
        <v/>
      </c>
      <c r="C3732" s="198">
        <f>"'INVOCAÇÕES'!AK636"</f>
        <v/>
      </c>
      <c r="D3732" s="198" t="inlineStr">
        <is>
          <t>entrada</t>
        </is>
      </c>
    </row>
    <row r="3733">
      <c r="A3733" s="198" t="inlineStr">
        <is>
          <t>invocacao.10.buff.pericia.6</t>
        </is>
      </c>
      <c r="B3733" s="198">
        <f>IF(ISBLANK('INVOCAÇÕES'!$AK$676),"",'INVOCAÇÕES'!$AK$676&amp;"")</f>
        <v/>
      </c>
      <c r="C3733" s="198">
        <f>"'INVOCAÇÕES'!AK637"</f>
        <v/>
      </c>
      <c r="D3733" s="198" t="inlineStr">
        <is>
          <t>entrada</t>
        </is>
      </c>
    </row>
    <row r="3734">
      <c r="A3734" s="198" t="inlineStr">
        <is>
          <t>invocacao.10.buff.pericia.7</t>
        </is>
      </c>
      <c r="B3734" s="198">
        <f>IF(ISBLANK('INVOCAÇÕES'!$AK$677),"",'INVOCAÇÕES'!$AK$677&amp;"")</f>
        <v/>
      </c>
      <c r="C3734" s="198">
        <f>"'INVOCAÇÕES'!AK638"</f>
        <v/>
      </c>
      <c r="D3734" s="198" t="inlineStr">
        <is>
          <t>entrada</t>
        </is>
      </c>
    </row>
    <row r="3735">
      <c r="A3735" s="198" t="inlineStr">
        <is>
          <t>invocacao.10.talento.1</t>
        </is>
      </c>
      <c r="B3735" s="198">
        <f>IF(ISBLANK('INVOCAÇÕES'!$AC$726),"",'INVOCAÇÕES'!$AC$726&amp;"")</f>
        <v/>
      </c>
      <c r="C3735" s="198">
        <f>"'INVOCAÇÕES'!AC674"</f>
        <v/>
      </c>
      <c r="D3735" s="198" t="inlineStr">
        <is>
          <t>entrada</t>
        </is>
      </c>
    </row>
    <row r="3736">
      <c r="A3736" s="198" t="inlineStr">
        <is>
          <t>invocacao.10.talento.2</t>
        </is>
      </c>
      <c r="B3736" s="198">
        <f>IF(ISBLANK('INVOCAÇÕES'!$AC$727),"",'INVOCAÇÕES'!$AC$727&amp;"")</f>
        <v/>
      </c>
      <c r="C3736" s="198">
        <f>"'INVOCAÇÕES'!AC675"</f>
        <v/>
      </c>
      <c r="D3736" s="198" t="inlineStr">
        <is>
          <t>entrada</t>
        </is>
      </c>
    </row>
    <row r="3737">
      <c r="A3737" s="198" t="inlineStr">
        <is>
          <t>invocacao.10.talento.3</t>
        </is>
      </c>
      <c r="B3737" s="198">
        <f>IF(ISBLANK('INVOCAÇÕES'!$AC$728),"",'INVOCAÇÕES'!$AC$728&amp;"")</f>
        <v/>
      </c>
      <c r="C3737" s="198">
        <f>"'INVOCAÇÕES'!AC676"</f>
        <v/>
      </c>
      <c r="D3737" s="198" t="inlineStr">
        <is>
          <t>entrada</t>
        </is>
      </c>
    </row>
    <row r="3738">
      <c r="A3738" s="198" t="inlineStr">
        <is>
          <t>invocacao.10.talento.4</t>
        </is>
      </c>
      <c r="B3738" s="198">
        <f>IF(ISBLANK('INVOCAÇÕES'!$AC$729),"",'INVOCAÇÕES'!$AC$729&amp;"")</f>
        <v/>
      </c>
      <c r="C3738" s="198">
        <f>"'INVOCAÇÕES'!AC677"</f>
        <v/>
      </c>
      <c r="D3738" s="198" t="inlineStr">
        <is>
          <t>entrada</t>
        </is>
      </c>
    </row>
    <row r="3739">
      <c r="A3739" s="198" t="inlineStr">
        <is>
          <t>invocacao.10.talento.5</t>
        </is>
      </c>
      <c r="B3739" s="198">
        <f>IF(ISBLANK('INVOCAÇÕES'!$AC$730),"",'INVOCAÇÕES'!$AC$730&amp;"")</f>
        <v/>
      </c>
      <c r="C3739" s="198">
        <f>"'INVOCAÇÕES'!AC678"</f>
        <v/>
      </c>
      <c r="D3739" s="198" t="inlineStr">
        <is>
          <t>entrada</t>
        </is>
      </c>
    </row>
    <row r="3740">
      <c r="A3740" s="198" t="inlineStr">
        <is>
          <t>invocacao.10.talento.6</t>
        </is>
      </c>
      <c r="B3740" s="198">
        <f>IF(ISBLANK('INVOCAÇÕES'!$AC$731),"",'INVOCAÇÕES'!$AC$731&amp;"")</f>
        <v/>
      </c>
      <c r="C3740" s="198">
        <f>"'INVOCAÇÕES'!AC679"</f>
        <v/>
      </c>
      <c r="D3740" s="198" t="inlineStr">
        <is>
          <t>entrada</t>
        </is>
      </c>
    </row>
    <row r="3741">
      <c r="A3741" s="198" t="inlineStr">
        <is>
          <t>invocacao.10.talento.7</t>
        </is>
      </c>
      <c r="B3741" s="198">
        <f>IF(ISBLANK('INVOCAÇÕES'!$AC$732),"",'INVOCAÇÕES'!$AC$732&amp;"")</f>
        <v/>
      </c>
      <c r="C3741" s="198">
        <f>"'INVOCAÇÕES'!AC680"</f>
        <v/>
      </c>
      <c r="D3741" s="198" t="inlineStr">
        <is>
          <t>entrada</t>
        </is>
      </c>
    </row>
    <row r="3742">
      <c r="A3742" s="198" t="inlineStr">
        <is>
          <t>invocacao.10.talento.8</t>
        </is>
      </c>
      <c r="B3742" s="198">
        <f>IF(ISBLANK('INVOCAÇÕES'!$AC$733),"",'INVOCAÇÕES'!$AC$733&amp;"")</f>
        <v/>
      </c>
      <c r="C3742" s="198">
        <f>"'INVOCAÇÕES'!AC681"</f>
        <v/>
      </c>
      <c r="D3742" s="198" t="inlineStr">
        <is>
          <t>entrada</t>
        </is>
      </c>
    </row>
    <row r="3743">
      <c r="A3743" s="198" t="inlineStr">
        <is>
          <t>invocacao.10.talento_extra.1</t>
        </is>
      </c>
      <c r="B3743" s="198">
        <f>IF(ISBLANK('INVOCAÇÕES'!$AC$828),"",'INVOCAÇÕES'!$AC$828&amp;"")</f>
        <v/>
      </c>
      <c r="C3743" s="198">
        <f>"'INVOCAÇÕES'!AC776"</f>
        <v/>
      </c>
      <c r="D3743" s="198" t="inlineStr">
        <is>
          <t>entrada</t>
        </is>
      </c>
    </row>
    <row r="3744">
      <c r="A3744" s="198" t="inlineStr">
        <is>
          <t>invocacao.10.talento_extra.2</t>
        </is>
      </c>
      <c r="B3744" s="198">
        <f>IF(ISBLANK('INVOCAÇÕES'!$AC$829),"",'INVOCAÇÕES'!$AC$829&amp;"")</f>
        <v/>
      </c>
      <c r="C3744" s="198">
        <f>"'INVOCAÇÕES'!AC777"</f>
        <v/>
      </c>
      <c r="D3744" s="198" t="inlineStr">
        <is>
          <t>entrada</t>
        </is>
      </c>
    </row>
    <row r="3745">
      <c r="A3745" s="198" t="inlineStr">
        <is>
          <t>invocacao.10.talento_extra.3</t>
        </is>
      </c>
      <c r="B3745" s="198">
        <f>IF(ISBLANK('INVOCAÇÕES'!$AC$830),"",'INVOCAÇÕES'!$AC$830&amp;"")</f>
        <v/>
      </c>
      <c r="C3745" s="198">
        <f>"'INVOCAÇÕES'!AC778"</f>
        <v/>
      </c>
      <c r="D3745" s="198" t="inlineStr">
        <is>
          <t>entrada</t>
        </is>
      </c>
    </row>
    <row r="3746">
      <c r="A3746" s="198" t="inlineStr">
        <is>
          <t>invocacao.10.equipamento.1</t>
        </is>
      </c>
      <c r="B3746" s="198">
        <f>IF(ISBLANK('INVOCAÇÕES'!$AO$666),"",'INVOCAÇÕES'!$AO$666&amp;"")</f>
        <v/>
      </c>
      <c r="C3746" s="198">
        <f>"'INVOCAÇÕES'!AO627"</f>
        <v/>
      </c>
      <c r="D3746" s="198" t="inlineStr">
        <is>
          <t>entrada</t>
        </is>
      </c>
    </row>
    <row r="3747">
      <c r="A3747" s="198" t="inlineStr">
        <is>
          <t>invocacao.10.equipamento.2</t>
        </is>
      </c>
      <c r="B3747" s="198">
        <f>IF(ISBLANK('INVOCAÇÕES'!$AO$667),"",'INVOCAÇÕES'!$AO$667&amp;"")</f>
        <v/>
      </c>
      <c r="C3747" s="198">
        <f>"'INVOCAÇÕES'!AO628"</f>
        <v/>
      </c>
      <c r="D3747" s="198" t="inlineStr">
        <is>
          <t>entrada</t>
        </is>
      </c>
    </row>
    <row r="3748">
      <c r="A3748" s="198" t="inlineStr">
        <is>
          <t>invocacao.10.equipamento.3</t>
        </is>
      </c>
      <c r="B3748" s="198">
        <f>IF(ISBLANK('INVOCAÇÕES'!$AO$668),"",'INVOCAÇÕES'!$AO$668&amp;"")</f>
        <v/>
      </c>
      <c r="C3748" s="198">
        <f>"'INVOCAÇÕES'!AO629"</f>
        <v/>
      </c>
      <c r="D3748" s="198" t="inlineStr">
        <is>
          <t>entrada</t>
        </is>
      </c>
    </row>
    <row r="3749">
      <c r="A3749" s="198" t="inlineStr">
        <is>
          <t>invocacao.10.liberacao.1.classe</t>
        </is>
      </c>
      <c r="B3749" s="198">
        <f>IF(ISBLANK('INVOCAÇÕES'!$AB$835),"",'INVOCAÇÕES'!$AB$835&amp;"")</f>
        <v/>
      </c>
      <c r="C3749" s="198">
        <f>"'INVOCAÇÕES'!AB783"</f>
        <v/>
      </c>
      <c r="D3749" s="198" t="inlineStr">
        <is>
          <t>entrada</t>
        </is>
      </c>
    </row>
    <row r="3750">
      <c r="A3750" s="198" t="inlineStr">
        <is>
          <t>invocacao.10.liberacao.1.nome</t>
        </is>
      </c>
      <c r="B3750" s="198">
        <f>IF(ISBLANK('INVOCAÇÕES'!$AC$835),"",'INVOCAÇÕES'!$AC$835&amp;"")</f>
        <v/>
      </c>
      <c r="C3750" s="198">
        <f>"'INVOCAÇÕES'!AC783"</f>
        <v/>
      </c>
      <c r="D3750" s="198" t="inlineStr">
        <is>
          <t>entrada</t>
        </is>
      </c>
    </row>
    <row r="3751">
      <c r="A3751" s="198" t="inlineStr">
        <is>
          <t>invocacao.10.liberacao.1.pe</t>
        </is>
      </c>
      <c r="B3751" s="198">
        <f>IF(ISBLANK('INVOCAÇÕES'!$AF$835),"",'INVOCAÇÕES'!$AF$835&amp;"")</f>
        <v/>
      </c>
      <c r="C3751" s="198">
        <f>"'INVOCAÇÕES'!AF783"</f>
        <v/>
      </c>
      <c r="D3751" s="198" t="inlineStr">
        <is>
          <t>resultado</t>
        </is>
      </c>
    </row>
    <row r="3752">
      <c r="A3752" s="198" t="inlineStr">
        <is>
          <t>invocacao.10.liberacao.1.como</t>
        </is>
      </c>
      <c r="B3752" s="198">
        <f>IF(ISBLANK('INVOCAÇÕES'!$AB$836),"",'INVOCAÇÕES'!$AB$836&amp;"")</f>
        <v/>
      </c>
      <c r="C3752" s="198">
        <f>"'INVOCAÇÕES'!AB784"</f>
        <v/>
      </c>
      <c r="D3752" s="198" t="inlineStr">
        <is>
          <t>entrada</t>
        </is>
      </c>
    </row>
    <row r="3753">
      <c r="A3753" s="198" t="inlineStr">
        <is>
          <t>invocacao.10.liberacao.1.pontos</t>
        </is>
      </c>
      <c r="B3753" s="198">
        <f>IF(ISBLANK('INVOCAÇÕES'!$AB$840),"",'INVOCAÇÕES'!$AB$840&amp;"")</f>
        <v/>
      </c>
      <c r="C3753" s="198">
        <f>"'INVOCAÇÕES'!AB788"</f>
        <v/>
      </c>
      <c r="D3753" s="198" t="inlineStr">
        <is>
          <t>resultado</t>
        </is>
      </c>
    </row>
    <row r="3754">
      <c r="A3754" s="198" t="inlineStr">
        <is>
          <t>invocacao.10.liberacao.1.acao</t>
        </is>
      </c>
      <c r="B3754" s="198">
        <f>IF(ISBLANK('INVOCAÇÕES'!$AB$841),"",'INVOCAÇÕES'!$AB$841&amp;"")</f>
        <v/>
      </c>
      <c r="C3754" s="198">
        <f>"'INVOCAÇÕES'!AB789"</f>
        <v/>
      </c>
      <c r="D3754" s="198" t="inlineStr">
        <is>
          <t>resultado</t>
        </is>
      </c>
    </row>
    <row r="3755">
      <c r="A3755" s="198" t="inlineStr">
        <is>
          <t>invocacao.10.liberacao.2.classe</t>
        </is>
      </c>
      <c r="B3755" s="198">
        <f>IF(ISBLANK('INVOCAÇÕES'!$AH$835),"",'INVOCAÇÕES'!$AH$835&amp;"")</f>
        <v/>
      </c>
      <c r="C3755" s="198">
        <f>"'INVOCAÇÕES'!AH783"</f>
        <v/>
      </c>
      <c r="D3755" s="198" t="inlineStr">
        <is>
          <t>entrada</t>
        </is>
      </c>
    </row>
    <row r="3756">
      <c r="A3756" s="198" t="inlineStr">
        <is>
          <t>invocacao.10.liberacao.2.nome</t>
        </is>
      </c>
      <c r="B3756" s="198">
        <f>IF(ISBLANK('INVOCAÇÕES'!$AI$835),"",'INVOCAÇÕES'!$AI$835&amp;"")</f>
        <v/>
      </c>
      <c r="C3756" s="198">
        <f>"'INVOCAÇÕES'!AI783"</f>
        <v/>
      </c>
      <c r="D3756" s="198" t="inlineStr">
        <is>
          <t>entrada</t>
        </is>
      </c>
    </row>
    <row r="3757">
      <c r="A3757" s="198" t="inlineStr">
        <is>
          <t>invocacao.10.liberacao.2.pe</t>
        </is>
      </c>
      <c r="B3757" s="198">
        <f>IF(ISBLANK('INVOCAÇÕES'!$AL$835),"",'INVOCAÇÕES'!$AL$835&amp;"")</f>
        <v/>
      </c>
      <c r="C3757" s="198">
        <f>"'INVOCAÇÕES'!AL783"</f>
        <v/>
      </c>
      <c r="D3757" s="198" t="inlineStr">
        <is>
          <t>resultado</t>
        </is>
      </c>
    </row>
    <row r="3758">
      <c r="A3758" s="198" t="inlineStr">
        <is>
          <t>invocacao.10.liberacao.2.como</t>
        </is>
      </c>
      <c r="B3758" s="198">
        <f>IF(ISBLANK('INVOCAÇÕES'!$AH$836),"",'INVOCAÇÕES'!$AH$836&amp;"")</f>
        <v/>
      </c>
      <c r="C3758" s="198">
        <f>"'INVOCAÇÕES'!AH784"</f>
        <v/>
      </c>
      <c r="D3758" s="198" t="inlineStr">
        <is>
          <t>entrada</t>
        </is>
      </c>
    </row>
    <row r="3759">
      <c r="A3759" s="198" t="inlineStr">
        <is>
          <t>invocacao.10.liberacao.2.pontos</t>
        </is>
      </c>
      <c r="B3759" s="198">
        <f>IF(ISBLANK('INVOCAÇÕES'!$AH$840),"",'INVOCAÇÕES'!$AH$840&amp;"")</f>
        <v/>
      </c>
      <c r="C3759" s="198">
        <f>"'INVOCAÇÕES'!AH788"</f>
        <v/>
      </c>
      <c r="D3759" s="198" t="inlineStr">
        <is>
          <t>resultado</t>
        </is>
      </c>
    </row>
    <row r="3760">
      <c r="A3760" s="198" t="inlineStr">
        <is>
          <t>invocacao.10.liberacao.2.acao</t>
        </is>
      </c>
      <c r="B3760" s="198">
        <f>IF(ISBLANK('INVOCAÇÕES'!$AH$841),"",'INVOCAÇÕES'!$AH$841&amp;"")</f>
        <v/>
      </c>
      <c r="C3760" s="198">
        <f>"'INVOCAÇÕES'!AH789"</f>
        <v/>
      </c>
      <c r="D3760" s="198" t="inlineStr">
        <is>
          <t>resultado</t>
        </is>
      </c>
    </row>
    <row r="3761">
      <c r="A3761" s="198" t="inlineStr">
        <is>
          <t>invocacao.10.liberacao.3.classe</t>
        </is>
      </c>
      <c r="B3761" s="198">
        <f>IF(ISBLANK('INVOCAÇÕES'!$AN$835),"",'INVOCAÇÕES'!$AN$835&amp;"")</f>
        <v/>
      </c>
      <c r="C3761" s="198">
        <f>"'INVOCAÇÕES'!AN783"</f>
        <v/>
      </c>
      <c r="D3761" s="198" t="inlineStr">
        <is>
          <t>entrada</t>
        </is>
      </c>
    </row>
    <row r="3762">
      <c r="A3762" s="198" t="inlineStr">
        <is>
          <t>invocacao.10.liberacao.3.nome</t>
        </is>
      </c>
      <c r="B3762" s="198">
        <f>IF(ISBLANK('INVOCAÇÕES'!$AO$835),"",'INVOCAÇÕES'!$AO$835&amp;"")</f>
        <v/>
      </c>
      <c r="C3762" s="198">
        <f>"'INVOCAÇÕES'!AO783"</f>
        <v/>
      </c>
      <c r="D3762" s="198" t="inlineStr">
        <is>
          <t>entrada</t>
        </is>
      </c>
    </row>
    <row r="3763">
      <c r="A3763" s="198" t="inlineStr">
        <is>
          <t>invocacao.10.liberacao.3.pe</t>
        </is>
      </c>
      <c r="B3763" s="198">
        <f>IF(ISBLANK('INVOCAÇÕES'!$AR$835),"",'INVOCAÇÕES'!$AR$835&amp;"")</f>
        <v/>
      </c>
      <c r="C3763" s="198">
        <f>"'INVOCAÇÕES'!AR783"</f>
        <v/>
      </c>
      <c r="D3763" s="198" t="inlineStr">
        <is>
          <t>resultado</t>
        </is>
      </c>
    </row>
    <row r="3764">
      <c r="A3764" s="198" t="inlineStr">
        <is>
          <t>invocacao.10.liberacao.3.como</t>
        </is>
      </c>
      <c r="B3764" s="198">
        <f>IF(ISBLANK('INVOCAÇÕES'!$AN$836),"",'INVOCAÇÕES'!$AN$836&amp;"")</f>
        <v/>
      </c>
      <c r="C3764" s="198">
        <f>"'INVOCAÇÕES'!AN784"</f>
        <v/>
      </c>
      <c r="D3764" s="198" t="inlineStr">
        <is>
          <t>entrada</t>
        </is>
      </c>
    </row>
    <row r="3765">
      <c r="A3765" s="198" t="inlineStr">
        <is>
          <t>invocacao.10.liberacao.3.pontos</t>
        </is>
      </c>
      <c r="B3765" s="198">
        <f>IF(ISBLANK('INVOCAÇÕES'!$AN$840),"",'INVOCAÇÕES'!$AN$840&amp;"")</f>
        <v/>
      </c>
      <c r="C3765" s="198">
        <f>"'INVOCAÇÕES'!AN788"</f>
        <v/>
      </c>
      <c r="D3765" s="198" t="inlineStr">
        <is>
          <t>resultado</t>
        </is>
      </c>
    </row>
    <row r="3766">
      <c r="A3766" s="198" t="inlineStr">
        <is>
          <t>invocacao.10.liberacao.3.acao</t>
        </is>
      </c>
      <c r="B3766" s="198">
        <f>IF(ISBLANK('INVOCAÇÕES'!$AN$841),"",'INVOCAÇÕES'!$AN$841&amp;"")</f>
        <v/>
      </c>
      <c r="C3766" s="198">
        <f>"'INVOCAÇÕES'!AN789"</f>
        <v/>
      </c>
      <c r="D3766" s="198" t="inlineStr">
        <is>
          <t>resultado</t>
        </is>
      </c>
    </row>
    <row r="3767">
      <c r="A3767" s="198" t="inlineStr">
        <is>
          <t>invocacao.10.tm.nome</t>
        </is>
      </c>
      <c r="B3767" s="198">
        <f>IF(ISBLANK('INVOCAÇÕES'!$AB$844),"",'INVOCAÇÕES'!$AB$844&amp;"")</f>
        <v/>
      </c>
      <c r="C3767" s="198">
        <f>"'INVOCAÇÕES'!AB792"</f>
        <v/>
      </c>
      <c r="D3767" s="198" t="inlineStr">
        <is>
          <t>entrada</t>
        </is>
      </c>
    </row>
    <row r="3768">
      <c r="A3768" s="198" t="inlineStr">
        <is>
          <t>invocacao.10.tm.pe</t>
        </is>
      </c>
      <c r="B3768" s="198">
        <f>IF(ISBLANK('INVOCAÇÕES'!$AF$844),"",'INVOCAÇÕES'!$AF$844&amp;"")</f>
        <v/>
      </c>
      <c r="C3768" s="198">
        <f>"'INVOCAÇÕES'!AF792"</f>
        <v/>
      </c>
      <c r="D3768" s="198" t="inlineStr">
        <is>
          <t>resultado</t>
        </is>
      </c>
    </row>
    <row r="3769">
      <c r="A3769" s="198" t="inlineStr">
        <is>
          <t>invocacao.10.tm.como</t>
        </is>
      </c>
      <c r="B3769" s="198">
        <f>IF(ISBLANK('INVOCAÇÕES'!$AB$845),"",'INVOCAÇÕES'!$AB$845&amp;"")</f>
        <v/>
      </c>
      <c r="C3769" s="198">
        <f>"'INVOCAÇÕES'!AB793"</f>
        <v/>
      </c>
      <c r="D3769" s="198" t="inlineStr">
        <is>
          <t>entrada</t>
        </is>
      </c>
    </row>
    <row r="3770">
      <c r="A3770" s="198" t="inlineStr">
        <is>
          <t>invocacao.10.tm.dados</t>
        </is>
      </c>
      <c r="B3770" s="198">
        <f>IF(ISBLANK('INVOCAÇÕES'!$AB$849),"",'INVOCAÇÕES'!$AB$849&amp;"")</f>
        <v/>
      </c>
      <c r="C3770" s="198">
        <f>"'INVOCAÇÕES'!AB797"</f>
        <v/>
      </c>
      <c r="D3770" s="198" t="inlineStr">
        <is>
          <t>resultado</t>
        </is>
      </c>
    </row>
    <row r="3771">
      <c r="A3771" s="198" t="inlineStr">
        <is>
          <t>invocacao.10.tm.acao</t>
        </is>
      </c>
      <c r="B3771" s="198">
        <f>IF(ISBLANK('INVOCAÇÕES'!$AB$850),"",'INVOCAÇÕES'!$AB$850&amp;"")</f>
        <v/>
      </c>
      <c r="C3771" s="198">
        <f>"'INVOCAÇÕES'!AB798"</f>
        <v/>
      </c>
      <c r="D3771" s="198" t="inlineStr">
        <is>
          <t>resultado</t>
        </is>
      </c>
    </row>
    <row r="3772">
      <c r="A3772" s="198" t="inlineStr">
        <is>
          <t>invocacao.10.exp.nome</t>
        </is>
      </c>
      <c r="B3772" s="198">
        <f>IF(ISBLANK('INVOCAÇÕES'!$AH$844),"",'INVOCAÇÕES'!$AH$844&amp;"")</f>
        <v/>
      </c>
      <c r="C3772" s="198">
        <f>"'INVOCAÇÕES'!AH792"</f>
        <v/>
      </c>
      <c r="D3772" s="198" t="inlineStr">
        <is>
          <t>entrada</t>
        </is>
      </c>
    </row>
    <row r="3773">
      <c r="A3773" s="198" t="inlineStr">
        <is>
          <t>invocacao.10.exp.pe</t>
        </is>
      </c>
      <c r="B3773" s="198">
        <f>IF(ISBLANK('INVOCAÇÕES'!$AL$844),"",'INVOCAÇÕES'!$AL$844&amp;"")</f>
        <v/>
      </c>
      <c r="C3773" s="198">
        <f>"'INVOCAÇÕES'!AL792"</f>
        <v/>
      </c>
      <c r="D3773" s="198" t="inlineStr">
        <is>
          <t>resultado</t>
        </is>
      </c>
    </row>
    <row r="3774">
      <c r="A3774" s="198" t="inlineStr">
        <is>
          <t>invocacao.10.exp.como</t>
        </is>
      </c>
      <c r="B3774" s="198">
        <f>IF(ISBLANK('INVOCAÇÕES'!$AH$845),"",'INVOCAÇÕES'!$AH$845&amp;"")</f>
        <v/>
      </c>
      <c r="C3774" s="198">
        <f>"'INVOCAÇÕES'!AH793"</f>
        <v/>
      </c>
      <c r="D3774" s="198" t="inlineStr">
        <is>
          <t>entrada</t>
        </is>
      </c>
    </row>
    <row r="3775">
      <c r="A3775" s="198" t="inlineStr">
        <is>
          <t>invocacao.10.exp.degrau</t>
        </is>
      </c>
      <c r="B3775" s="198">
        <f>IF(ISBLANK('INVOCAÇÕES'!$AH$849),"",'INVOCAÇÕES'!$AH$849&amp;"")</f>
        <v/>
      </c>
      <c r="C3775" s="198">
        <f>"'INVOCAÇÕES'!AH797"</f>
        <v/>
      </c>
      <c r="D3775" s="198" t="inlineStr">
        <is>
          <t>entrada</t>
        </is>
      </c>
    </row>
    <row r="3776">
      <c r="A3776" s="198" t="inlineStr">
        <is>
          <t>invocacao.10.exp.acerto</t>
        </is>
      </c>
      <c r="B3776" s="198">
        <f>IF(ISBLANK('INVOCAÇÕES'!$AJ$849),"",'INVOCAÇÕES'!$AJ$849&amp;"")</f>
        <v/>
      </c>
      <c r="C3776" s="198">
        <f>"'INVOCAÇÕES'!AJ797"</f>
        <v/>
      </c>
      <c r="D3776" s="198" t="inlineStr">
        <is>
          <t>entrada</t>
        </is>
      </c>
    </row>
    <row r="3777">
      <c r="A3777" s="198" t="inlineStr">
        <is>
          <t>invocacao.10.exp.pede</t>
        </is>
      </c>
      <c r="B3777" s="198">
        <f>IF(ISBLANK('INVOCAÇÕES'!$AH$850),"",'INVOCAÇÕES'!$AH$850&amp;"")</f>
        <v/>
      </c>
      <c r="C3777" s="198">
        <f>"'INVOCAÇÕES'!AH798"</f>
        <v/>
      </c>
      <c r="D3777" s="198" t="inlineStr">
        <is>
          <t>resultado</t>
        </is>
      </c>
    </row>
    <row r="3778">
      <c r="A3778" s="198" t="inlineStr">
        <is>
          <t>invocacao.11.atributo.forca.base</t>
        </is>
      </c>
      <c r="B3778" s="198">
        <f>IF(ISBLANK('INVOCAÇÕES'!$AH$864),"",'INVOCAÇÕES'!$AH$864&amp;"")</f>
        <v/>
      </c>
      <c r="C3778" s="198">
        <f>"'INVOCAÇÕES'!AH812"</f>
        <v/>
      </c>
      <c r="D3778" s="198" t="inlineStr">
        <is>
          <t>entrada</t>
        </is>
      </c>
    </row>
    <row r="3779">
      <c r="A3779" s="198" t="inlineStr">
        <is>
          <t>invocacao.11.atributo.forca.buff</t>
        </is>
      </c>
      <c r="B3779" s="198">
        <f>IF(ISBLANK('INVOCAÇÕES'!$AH$865),"",'INVOCAÇÕES'!$AH$865&amp;"")</f>
        <v/>
      </c>
      <c r="C3779" s="198">
        <f>"'INVOCAÇÕES'!AH813"</f>
        <v/>
      </c>
      <c r="D3779" s="198" t="inlineStr">
        <is>
          <t>entrada</t>
        </is>
      </c>
    </row>
    <row r="3780">
      <c r="A3780" s="198" t="inlineStr">
        <is>
          <t>invocacao.11.atributo.forca.total</t>
        </is>
      </c>
      <c r="B3780" s="198">
        <f>IF(ISBLANK('INVOCAÇÕES'!$AH$862),"",'INVOCAÇÕES'!$AH$862&amp;"")</f>
        <v/>
      </c>
      <c r="C3780" s="198">
        <f>"'INVOCAÇÕES'!AH810"</f>
        <v/>
      </c>
      <c r="D3780" s="198" t="inlineStr">
        <is>
          <t>resultado</t>
        </is>
      </c>
    </row>
    <row r="3781">
      <c r="A3781" s="198" t="inlineStr">
        <is>
          <t>invocacao.11.atributo.destreza.base</t>
        </is>
      </c>
      <c r="B3781" s="198">
        <f>IF(ISBLANK('INVOCAÇÕES'!$AI$864),"",'INVOCAÇÕES'!$AI$864&amp;"")</f>
        <v/>
      </c>
      <c r="C3781" s="198">
        <f>"'INVOCAÇÕES'!AI812"</f>
        <v/>
      </c>
      <c r="D3781" s="198" t="inlineStr">
        <is>
          <t>entrada</t>
        </is>
      </c>
    </row>
    <row r="3782">
      <c r="A3782" s="198" t="inlineStr">
        <is>
          <t>invocacao.11.atributo.destreza.buff</t>
        </is>
      </c>
      <c r="B3782" s="198">
        <f>IF(ISBLANK('INVOCAÇÕES'!$AI$865),"",'INVOCAÇÕES'!$AI$865&amp;"")</f>
        <v/>
      </c>
      <c r="C3782" s="198">
        <f>"'INVOCAÇÕES'!AI813"</f>
        <v/>
      </c>
      <c r="D3782" s="198" t="inlineStr">
        <is>
          <t>entrada</t>
        </is>
      </c>
    </row>
    <row r="3783">
      <c r="A3783" s="198" t="inlineStr">
        <is>
          <t>invocacao.11.atributo.destreza.total</t>
        </is>
      </c>
      <c r="B3783" s="198">
        <f>IF(ISBLANK('INVOCAÇÕES'!$AI$862),"",'INVOCAÇÕES'!$AI$862&amp;"")</f>
        <v/>
      </c>
      <c r="C3783" s="198">
        <f>"'INVOCAÇÕES'!AI810"</f>
        <v/>
      </c>
      <c r="D3783" s="198" t="inlineStr">
        <is>
          <t>resultado</t>
        </is>
      </c>
    </row>
    <row r="3784">
      <c r="A3784" s="198" t="inlineStr">
        <is>
          <t>invocacao.11.atributo.constituicao.base</t>
        </is>
      </c>
      <c r="B3784" s="198">
        <f>IF(ISBLANK('INVOCAÇÕES'!$AJ$864),"",'INVOCAÇÕES'!$AJ$864&amp;"")</f>
        <v/>
      </c>
      <c r="C3784" s="198">
        <f>"'INVOCAÇÕES'!AJ812"</f>
        <v/>
      </c>
      <c r="D3784" s="198" t="inlineStr">
        <is>
          <t>entrada</t>
        </is>
      </c>
    </row>
    <row r="3785">
      <c r="A3785" s="198" t="inlineStr">
        <is>
          <t>invocacao.11.atributo.constituicao.buff</t>
        </is>
      </c>
      <c r="B3785" s="198">
        <f>IF(ISBLANK('INVOCAÇÕES'!$AJ$865),"",'INVOCAÇÕES'!$AJ$865&amp;"")</f>
        <v/>
      </c>
      <c r="C3785" s="198">
        <f>"'INVOCAÇÕES'!AJ813"</f>
        <v/>
      </c>
      <c r="D3785" s="198" t="inlineStr">
        <is>
          <t>entrada</t>
        </is>
      </c>
    </row>
    <row r="3786">
      <c r="A3786" s="198" t="inlineStr">
        <is>
          <t>invocacao.11.atributo.constituicao.total</t>
        </is>
      </c>
      <c r="B3786" s="198">
        <f>IF(ISBLANK('INVOCAÇÕES'!$AJ$862),"",'INVOCAÇÕES'!$AJ$862&amp;"")</f>
        <v/>
      </c>
      <c r="C3786" s="198">
        <f>"'INVOCAÇÕES'!AJ810"</f>
        <v/>
      </c>
      <c r="D3786" s="198" t="inlineStr">
        <is>
          <t>resultado</t>
        </is>
      </c>
    </row>
    <row r="3787">
      <c r="A3787" s="198" t="inlineStr">
        <is>
          <t>invocacao.11.atributo.inteligencia.base</t>
        </is>
      </c>
      <c r="B3787" s="198">
        <f>IF(ISBLANK('INVOCAÇÕES'!$AK$864),"",'INVOCAÇÕES'!$AK$864&amp;"")</f>
        <v/>
      </c>
      <c r="C3787" s="198">
        <f>"'INVOCAÇÕES'!AK812"</f>
        <v/>
      </c>
      <c r="D3787" s="198" t="inlineStr">
        <is>
          <t>entrada</t>
        </is>
      </c>
    </row>
    <row r="3788">
      <c r="A3788" s="198" t="inlineStr">
        <is>
          <t>invocacao.11.atributo.inteligencia.buff</t>
        </is>
      </c>
      <c r="B3788" s="198">
        <f>IF(ISBLANK('INVOCAÇÕES'!$AK$865),"",'INVOCAÇÕES'!$AK$865&amp;"")</f>
        <v/>
      </c>
      <c r="C3788" s="198">
        <f>"'INVOCAÇÕES'!AK813"</f>
        <v/>
      </c>
      <c r="D3788" s="198" t="inlineStr">
        <is>
          <t>entrada</t>
        </is>
      </c>
    </row>
    <row r="3789">
      <c r="A3789" s="198" t="inlineStr">
        <is>
          <t>invocacao.11.atributo.inteligencia.total</t>
        </is>
      </c>
      <c r="B3789" s="198">
        <f>IF(ISBLANK('INVOCAÇÕES'!$AK$862),"",'INVOCAÇÕES'!$AK$862&amp;"")</f>
        <v/>
      </c>
      <c r="C3789" s="198">
        <f>"'INVOCAÇÕES'!AK810"</f>
        <v/>
      </c>
      <c r="D3789" s="198" t="inlineStr">
        <is>
          <t>resultado</t>
        </is>
      </c>
    </row>
    <row r="3790">
      <c r="A3790" s="198" t="inlineStr">
        <is>
          <t>invocacao.11.atributo.essencia.base</t>
        </is>
      </c>
      <c r="B3790" s="198">
        <f>IF(ISBLANK('INVOCAÇÕES'!$AL$864),"",'INVOCAÇÕES'!$AL$864&amp;"")</f>
        <v/>
      </c>
      <c r="C3790" s="198">
        <f>"'INVOCAÇÕES'!AL812"</f>
        <v/>
      </c>
      <c r="D3790" s="198" t="inlineStr">
        <is>
          <t>entrada</t>
        </is>
      </c>
    </row>
    <row r="3791">
      <c r="A3791" s="198" t="inlineStr">
        <is>
          <t>invocacao.11.atributo.essencia.buff</t>
        </is>
      </c>
      <c r="B3791" s="198">
        <f>IF(ISBLANK('INVOCAÇÕES'!$AL$865),"",'INVOCAÇÕES'!$AL$865&amp;"")</f>
        <v/>
      </c>
      <c r="C3791" s="198">
        <f>"'INVOCAÇÕES'!AL813"</f>
        <v/>
      </c>
      <c r="D3791" s="198" t="inlineStr">
        <is>
          <t>entrada</t>
        </is>
      </c>
    </row>
    <row r="3792">
      <c r="A3792" s="198" t="inlineStr">
        <is>
          <t>invocacao.11.atributo.essencia.total</t>
        </is>
      </c>
      <c r="B3792" s="198">
        <f>IF(ISBLANK('INVOCAÇÕES'!$AL$862),"",'INVOCAÇÕES'!$AL$862&amp;"")</f>
        <v/>
      </c>
      <c r="C3792" s="198">
        <f>"'INVOCAÇÕES'!AL810"</f>
        <v/>
      </c>
      <c r="D3792" s="198" t="inlineStr">
        <is>
          <t>resultado</t>
        </is>
      </c>
    </row>
    <row r="3793">
      <c r="A3793" s="198" t="inlineStr">
        <is>
          <t>invocacao.11.buff.acerto</t>
        </is>
      </c>
      <c r="B3793" s="198">
        <f>IF(ISBLANK('INVOCAÇÕES'!$AH$870),"",'INVOCAÇÕES'!$AH$870&amp;"")</f>
        <v/>
      </c>
      <c r="C3793" s="198">
        <f>"'INVOCAÇÕES'!AH818"</f>
        <v/>
      </c>
      <c r="D3793" s="198" t="inlineStr">
        <is>
          <t>entrada</t>
        </is>
      </c>
    </row>
    <row r="3794">
      <c r="A3794" s="198" t="inlineStr">
        <is>
          <t>invocacao.11.buff.cd</t>
        </is>
      </c>
      <c r="B3794" s="198">
        <f>IF(ISBLANK('INVOCAÇÕES'!$AI$870),"",'INVOCAÇÕES'!$AI$870&amp;"")</f>
        <v/>
      </c>
      <c r="C3794" s="198">
        <f>"'INVOCAÇÕES'!AI818"</f>
        <v/>
      </c>
      <c r="D3794" s="198" t="inlineStr">
        <is>
          <t>entrada</t>
        </is>
      </c>
    </row>
    <row r="3795">
      <c r="A3795" s="198" t="inlineStr">
        <is>
          <t>invocacao.11.buff.defesa</t>
        </is>
      </c>
      <c r="B3795" s="198">
        <f>IF(ISBLANK('INVOCAÇÕES'!$AJ$870),"",'INVOCAÇÕES'!$AJ$870&amp;"")</f>
        <v/>
      </c>
      <c r="C3795" s="198">
        <f>"'INVOCAÇÕES'!AJ818"</f>
        <v/>
      </c>
      <c r="D3795" s="198" t="inlineStr">
        <is>
          <t>entrada</t>
        </is>
      </c>
    </row>
    <row r="3796">
      <c r="A3796" s="198" t="inlineStr">
        <is>
          <t>invocacao.11.buff.vida</t>
        </is>
      </c>
      <c r="B3796" s="198">
        <f>IF(ISBLANK('INVOCAÇÕES'!$AK$870),"",'INVOCAÇÕES'!$AK$870&amp;"")</f>
        <v/>
      </c>
      <c r="C3796" s="198">
        <f>"'INVOCAÇÕES'!AK818"</f>
        <v/>
      </c>
      <c r="D3796" s="198" t="inlineStr">
        <is>
          <t>entrada</t>
        </is>
      </c>
    </row>
    <row r="3797">
      <c r="A3797" s="198" t="inlineStr">
        <is>
          <t>invocacao.11.buff.deslocamento</t>
        </is>
      </c>
      <c r="B3797" s="198">
        <f>IF(ISBLANK('INVOCAÇÕES'!$AL$870),"",'INVOCAÇÕES'!$AL$870&amp;"")</f>
        <v/>
      </c>
      <c r="C3797" s="198">
        <f>"'INVOCAÇÕES'!AL818"</f>
        <v/>
      </c>
      <c r="D3797" s="198" t="inlineStr">
        <is>
          <t>entrada</t>
        </is>
      </c>
    </row>
    <row r="3798">
      <c r="A3798" s="198" t="inlineStr">
        <is>
          <t>invocacao.11.buff.tr.fisico</t>
        </is>
      </c>
      <c r="B3798" s="198">
        <f>IF(ISBLANK('INVOCAÇÕES'!$AH$875),"",'INVOCAÇÕES'!$AH$875&amp;"")</f>
        <v/>
      </c>
      <c r="C3798" s="198">
        <f>"'INVOCAÇÕES'!AH823"</f>
        <v/>
      </c>
      <c r="D3798" s="198" t="inlineStr">
        <is>
          <t>entrada</t>
        </is>
      </c>
    </row>
    <row r="3799">
      <c r="A3799" s="198" t="inlineStr">
        <is>
          <t>invocacao.11.buff.tr.vigor</t>
        </is>
      </c>
      <c r="B3799" s="198">
        <f>IF(ISBLANK('INVOCAÇÕES'!$AI$875),"",'INVOCAÇÕES'!$AI$875&amp;"")</f>
        <v/>
      </c>
      <c r="C3799" s="198">
        <f>"'INVOCAÇÕES'!AI823"</f>
        <v/>
      </c>
      <c r="D3799" s="198" t="inlineStr">
        <is>
          <t>entrada</t>
        </is>
      </c>
    </row>
    <row r="3800">
      <c r="A3800" s="198" t="inlineStr">
        <is>
          <t>invocacao.11.buff.tr.intelecto</t>
        </is>
      </c>
      <c r="B3800" s="198">
        <f>IF(ISBLANK('INVOCAÇÕES'!$AJ$875),"",'INVOCAÇÕES'!$AJ$875&amp;"")</f>
        <v/>
      </c>
      <c r="C3800" s="198">
        <f>"'INVOCAÇÕES'!AJ823"</f>
        <v/>
      </c>
      <c r="D3800" s="198" t="inlineStr">
        <is>
          <t>entrada</t>
        </is>
      </c>
    </row>
    <row r="3801">
      <c r="A3801" s="198" t="inlineStr">
        <is>
          <t>invocacao.11.buff.tr.espirito</t>
        </is>
      </c>
      <c r="B3801" s="198">
        <f>IF(ISBLANK('INVOCAÇÕES'!$AK$875),"",'INVOCAÇÕES'!$AK$875&amp;"")</f>
        <v/>
      </c>
      <c r="C3801" s="198">
        <f>"'INVOCAÇÕES'!AK823"</f>
        <v/>
      </c>
      <c r="D3801" s="198" t="inlineStr">
        <is>
          <t>entrada</t>
        </is>
      </c>
    </row>
    <row r="3802">
      <c r="A3802" s="198" t="inlineStr">
        <is>
          <t>invocacao.11.atributo_acerto</t>
        </is>
      </c>
      <c r="B3802" s="198">
        <f>IF(ISBLANK('INVOCAÇÕES'!$AH$878),"",'INVOCAÇÕES'!$AH$878&amp;"")</f>
        <v/>
      </c>
      <c r="C3802" s="198">
        <f>"'INVOCAÇÕES'!AH826"</f>
        <v/>
      </c>
      <c r="D3802" s="198" t="inlineStr">
        <is>
          <t>entrada</t>
        </is>
      </c>
    </row>
    <row r="3803">
      <c r="A3803" s="198" t="inlineStr">
        <is>
          <t>invocacao.11.atributo_fisico</t>
        </is>
      </c>
      <c r="B3803" s="198">
        <f>IF(ISBLANK('INVOCAÇÕES'!$AK$878),"",'INVOCAÇÕES'!$AK$878&amp;"")</f>
        <v/>
      </c>
      <c r="C3803" s="198">
        <f>"'INVOCAÇÕES'!AK826"</f>
        <v/>
      </c>
      <c r="D3803" s="198" t="inlineStr">
        <is>
          <t>entrada</t>
        </is>
      </c>
    </row>
    <row r="3804">
      <c r="A3804" s="198" t="inlineStr">
        <is>
          <t>invocacao.11.tr_treinado</t>
        </is>
      </c>
      <c r="B3804" s="198">
        <f>IF(ISBLANK('INVOCAÇÕES'!$AL$873),"",'INVOCAÇÕES'!$AL$873&amp;"")</f>
        <v/>
      </c>
      <c r="C3804" s="198">
        <f>"'INVOCAÇÕES'!AL821"</f>
        <v/>
      </c>
      <c r="D3804" s="198" t="inlineStr">
        <is>
          <t>entrada</t>
        </is>
      </c>
    </row>
    <row r="3805">
      <c r="A3805" s="198" t="inlineStr">
        <is>
          <t>invocacao.11.alma</t>
        </is>
      </c>
      <c r="B3805" s="198">
        <f>IF(ISBLANK('INVOCAÇÕES'!$AN$862),"",'INVOCAÇÕES'!$AN$862&amp;"")</f>
        <v/>
      </c>
      <c r="C3805" s="198">
        <f>"'INVOCAÇÕES'!AN810"</f>
        <v/>
      </c>
      <c r="D3805" s="198" t="inlineStr">
        <is>
          <t>entrada</t>
        </is>
      </c>
    </row>
    <row r="3806">
      <c r="A3806" s="198" t="inlineStr">
        <is>
          <t>invocacao.11.notas</t>
        </is>
      </c>
      <c r="B3806" s="198">
        <f>IF(ISBLANK('INVOCAÇÕES'!$AN$871),"",'INVOCAÇÕES'!$AN$871&amp;"")</f>
        <v/>
      </c>
      <c r="C3806" s="198">
        <f>"'INVOCAÇÕES'!AN819"</f>
        <v/>
      </c>
      <c r="D3806" s="198" t="inlineStr">
        <is>
          <t>entrada</t>
        </is>
      </c>
    </row>
    <row r="3807">
      <c r="A3807" s="198" t="inlineStr">
        <is>
          <t>invocacao.11.definicao</t>
        </is>
      </c>
      <c r="B3807" s="198">
        <f>IF(ISBLANK('INVOCAÇÕES'!$AB$910),"",'INVOCAÇÕES'!$AB$910&amp;"")</f>
        <v/>
      </c>
      <c r="C3807" s="198">
        <f>"'INVOCAÇÕES'!AB845"</f>
        <v/>
      </c>
      <c r="D3807" s="198" t="inlineStr">
        <is>
          <t>entrada</t>
        </is>
      </c>
    </row>
    <row r="3808">
      <c r="A3808" s="198" t="inlineStr">
        <is>
          <t>invocacao.11.familia.1</t>
        </is>
      </c>
      <c r="B3808" s="198">
        <f>IF(ISBLANK('INVOCAÇÕES'!$AH$892),"",'INVOCAÇÕES'!$AH$892&amp;"")</f>
        <v/>
      </c>
      <c r="C3808" s="198">
        <f>"'INVOCAÇÕES'!AH840"</f>
        <v/>
      </c>
      <c r="D3808" s="198" t="inlineStr">
        <is>
          <t>entrada</t>
        </is>
      </c>
    </row>
    <row r="3809">
      <c r="A3809" s="198" t="inlineStr">
        <is>
          <t>invocacao.11.familia.2</t>
        </is>
      </c>
      <c r="B3809" s="198">
        <f>IF(ISBLANK('INVOCAÇÕES'!$AI$892),"",'INVOCAÇÕES'!$AI$892&amp;"")</f>
        <v/>
      </c>
      <c r="C3809" s="198">
        <f>"'INVOCAÇÕES'!AI840"</f>
        <v/>
      </c>
      <c r="D3809" s="198" t="inlineStr">
        <is>
          <t>entrada</t>
        </is>
      </c>
    </row>
    <row r="3810">
      <c r="A3810" s="198" t="inlineStr">
        <is>
          <t>invocacao.11.familia.3</t>
        </is>
      </c>
      <c r="B3810" s="198">
        <f>IF(ISBLANK('INVOCAÇÕES'!$AJ$892),"",'INVOCAÇÕES'!$AJ$892&amp;"")</f>
        <v/>
      </c>
      <c r="C3810" s="198">
        <f>"'INVOCAÇÕES'!AJ840"</f>
        <v/>
      </c>
      <c r="D3810" s="198" t="inlineStr">
        <is>
          <t>entrada</t>
        </is>
      </c>
    </row>
    <row r="3811">
      <c r="A3811" s="198" t="inlineStr">
        <is>
          <t>invocacao.11.familia.4</t>
        </is>
      </c>
      <c r="B3811" s="198">
        <f>IF(ISBLANK('INVOCAÇÕES'!$AK$892),"",'INVOCAÇÕES'!$AK$892&amp;"")</f>
        <v/>
      </c>
      <c r="C3811" s="198">
        <f>"'INVOCAÇÕES'!AK840"</f>
        <v/>
      </c>
      <c r="D3811" s="198" t="inlineStr">
        <is>
          <t>entrada</t>
        </is>
      </c>
    </row>
    <row r="3812">
      <c r="A3812" s="198" t="inlineStr">
        <is>
          <t>invocacao.11.familia.5</t>
        </is>
      </c>
      <c r="B3812" s="198">
        <f>IF(ISBLANK('INVOCAÇÕES'!$AL$892),"",'INVOCAÇÕES'!$AL$892&amp;"")</f>
        <v/>
      </c>
      <c r="C3812" s="198">
        <f>"'INVOCAÇÕES'!AL840"</f>
        <v/>
      </c>
      <c r="D3812" s="198" t="inlineStr">
        <is>
          <t>entrada</t>
        </is>
      </c>
    </row>
    <row r="3813">
      <c r="A3813" s="198" t="inlineStr">
        <is>
          <t>invocacao.11.pericia.1</t>
        </is>
      </c>
      <c r="B3813" s="198">
        <f>IF(ISBLANK('INVOCAÇÕES'!$AH$882),"",'INVOCAÇÕES'!$AH$882&amp;"")</f>
        <v/>
      </c>
      <c r="C3813" s="198">
        <f>"'INVOCAÇÕES'!AH830"</f>
        <v/>
      </c>
      <c r="D3813" s="198" t="inlineStr">
        <is>
          <t>entrada</t>
        </is>
      </c>
    </row>
    <row r="3814">
      <c r="A3814" s="198" t="inlineStr">
        <is>
          <t>invocacao.11.pericia.2</t>
        </is>
      </c>
      <c r="B3814" s="198">
        <f>IF(ISBLANK('INVOCAÇÕES'!$AH$883),"",'INVOCAÇÕES'!$AH$883&amp;"")</f>
        <v/>
      </c>
      <c r="C3814" s="198">
        <f>"'INVOCAÇÕES'!AH831"</f>
        <v/>
      </c>
      <c r="D3814" s="198" t="inlineStr">
        <is>
          <t>entrada</t>
        </is>
      </c>
    </row>
    <row r="3815">
      <c r="A3815" s="198" t="inlineStr">
        <is>
          <t>invocacao.11.pericia.3</t>
        </is>
      </c>
      <c r="B3815" s="198">
        <f>IF(ISBLANK('INVOCAÇÕES'!$AH$884),"",'INVOCAÇÕES'!$AH$884&amp;"")</f>
        <v/>
      </c>
      <c r="C3815" s="198">
        <f>"'INVOCAÇÕES'!AH832"</f>
        <v/>
      </c>
      <c r="D3815" s="198" t="inlineStr">
        <is>
          <t>entrada</t>
        </is>
      </c>
    </row>
    <row r="3816">
      <c r="A3816" s="198" t="inlineStr">
        <is>
          <t>invocacao.11.pericia.4</t>
        </is>
      </c>
      <c r="B3816" s="198">
        <f>IF(ISBLANK('INVOCAÇÕES'!$AH$885),"",'INVOCAÇÕES'!$AH$885&amp;"")</f>
        <v/>
      </c>
      <c r="C3816" s="198">
        <f>"'INVOCAÇÕES'!AH833"</f>
        <v/>
      </c>
      <c r="D3816" s="198" t="inlineStr">
        <is>
          <t>entrada</t>
        </is>
      </c>
    </row>
    <row r="3817">
      <c r="A3817" s="198" t="inlineStr">
        <is>
          <t>invocacao.11.pericia.5</t>
        </is>
      </c>
      <c r="B3817" s="198">
        <f>IF(ISBLANK('INVOCAÇÕES'!$AH$886),"",'INVOCAÇÕES'!$AH$886&amp;"")</f>
        <v/>
      </c>
      <c r="C3817" s="198">
        <f>"'INVOCAÇÕES'!AH834"</f>
        <v/>
      </c>
      <c r="D3817" s="198" t="inlineStr">
        <is>
          <t>entrada</t>
        </is>
      </c>
    </row>
    <row r="3818">
      <c r="A3818" s="198" t="inlineStr">
        <is>
          <t>invocacao.11.pericia.6</t>
        </is>
      </c>
      <c r="B3818" s="198">
        <f>IF(ISBLANK('INVOCAÇÕES'!$AH$887),"",'INVOCAÇÕES'!$AH$887&amp;"")</f>
        <v/>
      </c>
      <c r="C3818" s="198">
        <f>"'INVOCAÇÕES'!AH835"</f>
        <v/>
      </c>
      <c r="D3818" s="198" t="inlineStr">
        <is>
          <t>entrada</t>
        </is>
      </c>
    </row>
    <row r="3819">
      <c r="A3819" s="198" t="inlineStr">
        <is>
          <t>invocacao.11.pericia.7</t>
        </is>
      </c>
      <c r="B3819" s="198">
        <f>IF(ISBLANK('INVOCAÇÕES'!$AH$888),"",'INVOCAÇÕES'!$AH$888&amp;"")</f>
        <v/>
      </c>
      <c r="C3819" s="198">
        <f>"'INVOCAÇÕES'!AH836"</f>
        <v/>
      </c>
      <c r="D3819" s="198" t="inlineStr">
        <is>
          <t>entrada</t>
        </is>
      </c>
    </row>
    <row r="3820">
      <c r="A3820" s="198" t="inlineStr">
        <is>
          <t>invocacao.11.buff.pericia.1</t>
        </is>
      </c>
      <c r="B3820" s="198">
        <f>IF(ISBLANK('INVOCAÇÕES'!$AK$882),"",'INVOCAÇÕES'!$AK$882&amp;"")</f>
        <v/>
      </c>
      <c r="C3820" s="198">
        <f>"'INVOCAÇÕES'!AK830"</f>
        <v/>
      </c>
      <c r="D3820" s="198" t="inlineStr">
        <is>
          <t>entrada</t>
        </is>
      </c>
    </row>
    <row r="3821">
      <c r="A3821" s="198" t="inlineStr">
        <is>
          <t>invocacao.11.buff.pericia.2</t>
        </is>
      </c>
      <c r="B3821" s="198">
        <f>IF(ISBLANK('INVOCAÇÕES'!$AK$883),"",'INVOCAÇÕES'!$AK$883&amp;"")</f>
        <v/>
      </c>
      <c r="C3821" s="198">
        <f>"'INVOCAÇÕES'!AK831"</f>
        <v/>
      </c>
      <c r="D3821" s="198" t="inlineStr">
        <is>
          <t>entrada</t>
        </is>
      </c>
    </row>
    <row r="3822">
      <c r="A3822" s="198" t="inlineStr">
        <is>
          <t>invocacao.11.buff.pericia.3</t>
        </is>
      </c>
      <c r="B3822" s="198">
        <f>IF(ISBLANK('INVOCAÇÕES'!$AK$884),"",'INVOCAÇÕES'!$AK$884&amp;"")</f>
        <v/>
      </c>
      <c r="C3822" s="198">
        <f>"'INVOCAÇÕES'!AK832"</f>
        <v/>
      </c>
      <c r="D3822" s="198" t="inlineStr">
        <is>
          <t>entrada</t>
        </is>
      </c>
    </row>
    <row r="3823">
      <c r="A3823" s="198" t="inlineStr">
        <is>
          <t>invocacao.11.buff.pericia.4</t>
        </is>
      </c>
      <c r="B3823" s="198">
        <f>IF(ISBLANK('INVOCAÇÕES'!$AK$885),"",'INVOCAÇÕES'!$AK$885&amp;"")</f>
        <v/>
      </c>
      <c r="C3823" s="198">
        <f>"'INVOCAÇÕES'!AK833"</f>
        <v/>
      </c>
      <c r="D3823" s="198" t="inlineStr">
        <is>
          <t>entrada</t>
        </is>
      </c>
    </row>
    <row r="3824">
      <c r="A3824" s="198" t="inlineStr">
        <is>
          <t>invocacao.11.buff.pericia.5</t>
        </is>
      </c>
      <c r="B3824" s="198">
        <f>IF(ISBLANK('INVOCAÇÕES'!$AK$886),"",'INVOCAÇÕES'!$AK$886&amp;"")</f>
        <v/>
      </c>
      <c r="C3824" s="198">
        <f>"'INVOCAÇÕES'!AK834"</f>
        <v/>
      </c>
      <c r="D3824" s="198" t="inlineStr">
        <is>
          <t>entrada</t>
        </is>
      </c>
    </row>
    <row r="3825">
      <c r="A3825" s="198" t="inlineStr">
        <is>
          <t>invocacao.11.buff.pericia.6</t>
        </is>
      </c>
      <c r="B3825" s="198">
        <f>IF(ISBLANK('INVOCAÇÕES'!$AK$887),"",'INVOCAÇÕES'!$AK$887&amp;"")</f>
        <v/>
      </c>
      <c r="C3825" s="198">
        <f>"'INVOCAÇÕES'!AK835"</f>
        <v/>
      </c>
      <c r="D3825" s="198" t="inlineStr">
        <is>
          <t>entrada</t>
        </is>
      </c>
    </row>
    <row r="3826">
      <c r="A3826" s="198" t="inlineStr">
        <is>
          <t>invocacao.11.buff.pericia.7</t>
        </is>
      </c>
      <c r="B3826" s="198">
        <f>IF(ISBLANK('INVOCAÇÕES'!$AK$888),"",'INVOCAÇÕES'!$AK$888&amp;"")</f>
        <v/>
      </c>
      <c r="C3826" s="198">
        <f>"'INVOCAÇÕES'!AK836"</f>
        <v/>
      </c>
      <c r="D3826" s="198" t="inlineStr">
        <is>
          <t>entrada</t>
        </is>
      </c>
    </row>
    <row r="3827">
      <c r="A3827" s="198" t="inlineStr">
        <is>
          <t>invocacao.11.talento.1</t>
        </is>
      </c>
      <c r="B3827" s="198">
        <f>IF(ISBLANK('INVOCAÇÕES'!$AC$937),"",'INVOCAÇÕES'!$AC$937&amp;"")</f>
        <v/>
      </c>
      <c r="C3827" s="198">
        <f>"'INVOCAÇÕES'!AC872"</f>
        <v/>
      </c>
      <c r="D3827" s="198" t="inlineStr">
        <is>
          <t>entrada</t>
        </is>
      </c>
    </row>
    <row r="3828">
      <c r="A3828" s="198" t="inlineStr">
        <is>
          <t>invocacao.11.talento.2</t>
        </is>
      </c>
      <c r="B3828" s="198">
        <f>IF(ISBLANK('INVOCAÇÕES'!$AC$938),"",'INVOCAÇÕES'!$AC$938&amp;"")</f>
        <v/>
      </c>
      <c r="C3828" s="198">
        <f>"'INVOCAÇÕES'!AC873"</f>
        <v/>
      </c>
      <c r="D3828" s="198" t="inlineStr">
        <is>
          <t>entrada</t>
        </is>
      </c>
    </row>
    <row r="3829">
      <c r="A3829" s="198" t="inlineStr">
        <is>
          <t>invocacao.11.talento.3</t>
        </is>
      </c>
      <c r="B3829" s="198">
        <f>IF(ISBLANK('INVOCAÇÕES'!$AC$939),"",'INVOCAÇÕES'!$AC$939&amp;"")</f>
        <v/>
      </c>
      <c r="C3829" s="198">
        <f>"'INVOCAÇÕES'!AC874"</f>
        <v/>
      </c>
      <c r="D3829" s="198" t="inlineStr">
        <is>
          <t>entrada</t>
        </is>
      </c>
    </row>
    <row r="3830">
      <c r="A3830" s="198" t="inlineStr">
        <is>
          <t>invocacao.11.talento.4</t>
        </is>
      </c>
      <c r="B3830" s="198">
        <f>IF(ISBLANK('INVOCAÇÕES'!$AC$940),"",'INVOCAÇÕES'!$AC$940&amp;"")</f>
        <v/>
      </c>
      <c r="C3830" s="198">
        <f>"'INVOCAÇÕES'!AC875"</f>
        <v/>
      </c>
      <c r="D3830" s="198" t="inlineStr">
        <is>
          <t>entrada</t>
        </is>
      </c>
    </row>
    <row r="3831">
      <c r="A3831" s="198" t="inlineStr">
        <is>
          <t>invocacao.11.talento.5</t>
        </is>
      </c>
      <c r="B3831" s="198">
        <f>IF(ISBLANK('INVOCAÇÕES'!$AC$941),"",'INVOCAÇÕES'!$AC$941&amp;"")</f>
        <v/>
      </c>
      <c r="C3831" s="198">
        <f>"'INVOCAÇÕES'!AC876"</f>
        <v/>
      </c>
      <c r="D3831" s="198" t="inlineStr">
        <is>
          <t>entrada</t>
        </is>
      </c>
    </row>
    <row r="3832">
      <c r="A3832" s="198" t="inlineStr">
        <is>
          <t>invocacao.11.talento.6</t>
        </is>
      </c>
      <c r="B3832" s="198">
        <f>IF(ISBLANK('INVOCAÇÕES'!$AC$942),"",'INVOCAÇÕES'!$AC$942&amp;"")</f>
        <v/>
      </c>
      <c r="C3832" s="198">
        <f>"'INVOCAÇÕES'!AC877"</f>
        <v/>
      </c>
      <c r="D3832" s="198" t="inlineStr">
        <is>
          <t>entrada</t>
        </is>
      </c>
    </row>
    <row r="3833">
      <c r="A3833" s="198" t="inlineStr">
        <is>
          <t>invocacao.11.talento.7</t>
        </is>
      </c>
      <c r="B3833" s="198">
        <f>IF(ISBLANK('INVOCAÇÕES'!$AC$943),"",'INVOCAÇÕES'!$AC$943&amp;"")</f>
        <v/>
      </c>
      <c r="C3833" s="198">
        <f>"'INVOCAÇÕES'!AC878"</f>
        <v/>
      </c>
      <c r="D3833" s="198" t="inlineStr">
        <is>
          <t>entrada</t>
        </is>
      </c>
    </row>
    <row r="3834">
      <c r="A3834" s="198" t="inlineStr">
        <is>
          <t>invocacao.11.talento.8</t>
        </is>
      </c>
      <c r="B3834" s="198">
        <f>IF(ISBLANK('INVOCAÇÕES'!$AC$944),"",'INVOCAÇÕES'!$AC$944&amp;"")</f>
        <v/>
      </c>
      <c r="C3834" s="198">
        <f>"'INVOCAÇÕES'!AC879"</f>
        <v/>
      </c>
      <c r="D3834" s="198" t="inlineStr">
        <is>
          <t>entrada</t>
        </is>
      </c>
    </row>
    <row r="3835">
      <c r="A3835" s="198" t="inlineStr">
        <is>
          <t>invocacao.11.talento_extra.1</t>
        </is>
      </c>
      <c r="B3835" s="198">
        <f>IF(ISBLANK('INVOCAÇÕES'!$AC$1039),"",'INVOCAÇÕES'!$AC$1039&amp;"")</f>
        <v/>
      </c>
      <c r="C3835" s="198">
        <f>"'INVOCAÇÕES'!AC974"</f>
        <v/>
      </c>
      <c r="D3835" s="198" t="inlineStr">
        <is>
          <t>entrada</t>
        </is>
      </c>
    </row>
    <row r="3836">
      <c r="A3836" s="198" t="inlineStr">
        <is>
          <t>invocacao.11.talento_extra.2</t>
        </is>
      </c>
      <c r="B3836" s="198">
        <f>IF(ISBLANK('INVOCAÇÕES'!$AC$1040),"",'INVOCAÇÕES'!$AC$1040&amp;"")</f>
        <v/>
      </c>
      <c r="C3836" s="198">
        <f>"'INVOCAÇÕES'!AC975"</f>
        <v/>
      </c>
      <c r="D3836" s="198" t="inlineStr">
        <is>
          <t>entrada</t>
        </is>
      </c>
    </row>
    <row r="3837">
      <c r="A3837" s="198" t="inlineStr">
        <is>
          <t>invocacao.11.talento_extra.3</t>
        </is>
      </c>
      <c r="B3837" s="198">
        <f>IF(ISBLANK('INVOCAÇÕES'!$AC$1041),"",'INVOCAÇÕES'!$AC$1041&amp;"")</f>
        <v/>
      </c>
      <c r="C3837" s="198">
        <f>"'INVOCAÇÕES'!AC976"</f>
        <v/>
      </c>
      <c r="D3837" s="198" t="inlineStr">
        <is>
          <t>entrada</t>
        </is>
      </c>
    </row>
    <row r="3838">
      <c r="A3838" s="198" t="inlineStr">
        <is>
          <t>invocacao.11.equipamento.1</t>
        </is>
      </c>
      <c r="B3838" s="198">
        <f>IF(ISBLANK('INVOCAÇÕES'!$AO$877),"",'INVOCAÇÕES'!$AO$877&amp;"")</f>
        <v/>
      </c>
      <c r="C3838" s="198">
        <f>"'INVOCAÇÕES'!AO825"</f>
        <v/>
      </c>
      <c r="D3838" s="198" t="inlineStr">
        <is>
          <t>entrada</t>
        </is>
      </c>
    </row>
    <row r="3839">
      <c r="A3839" s="198" t="inlineStr">
        <is>
          <t>invocacao.11.equipamento.2</t>
        </is>
      </c>
      <c r="B3839" s="198">
        <f>IF(ISBLANK('INVOCAÇÕES'!$AO$878),"",'INVOCAÇÕES'!$AO$878&amp;"")</f>
        <v/>
      </c>
      <c r="C3839" s="198">
        <f>"'INVOCAÇÕES'!AO826"</f>
        <v/>
      </c>
      <c r="D3839" s="198" t="inlineStr">
        <is>
          <t>entrada</t>
        </is>
      </c>
    </row>
    <row r="3840">
      <c r="A3840" s="198" t="inlineStr">
        <is>
          <t>invocacao.11.equipamento.3</t>
        </is>
      </c>
      <c r="B3840" s="198">
        <f>IF(ISBLANK('INVOCAÇÕES'!$AO$879),"",'INVOCAÇÕES'!$AO$879&amp;"")</f>
        <v/>
      </c>
      <c r="C3840" s="198">
        <f>"'INVOCAÇÕES'!AO827"</f>
        <v/>
      </c>
      <c r="D3840" s="198" t="inlineStr">
        <is>
          <t>entrada</t>
        </is>
      </c>
    </row>
    <row r="3841">
      <c r="A3841" s="198" t="inlineStr">
        <is>
          <t>invocacao.11.liberacao.1.classe</t>
        </is>
      </c>
      <c r="B3841" s="198">
        <f>IF(ISBLANK('INVOCAÇÕES'!$AB$1046),"",'INVOCAÇÕES'!$AB$1046&amp;"")</f>
        <v/>
      </c>
      <c r="C3841" s="198">
        <f>"'INVOCAÇÕES'!AB981"</f>
        <v/>
      </c>
      <c r="D3841" s="198" t="inlineStr">
        <is>
          <t>entrada</t>
        </is>
      </c>
    </row>
    <row r="3842">
      <c r="A3842" s="198" t="inlineStr">
        <is>
          <t>invocacao.11.liberacao.1.nome</t>
        </is>
      </c>
      <c r="B3842" s="198">
        <f>IF(ISBLANK('INVOCAÇÕES'!$AC$1046),"",'INVOCAÇÕES'!$AC$1046&amp;"")</f>
        <v/>
      </c>
      <c r="C3842" s="198">
        <f>"'INVOCAÇÕES'!AC981"</f>
        <v/>
      </c>
      <c r="D3842" s="198" t="inlineStr">
        <is>
          <t>entrada</t>
        </is>
      </c>
    </row>
    <row r="3843">
      <c r="A3843" s="198" t="inlineStr">
        <is>
          <t>invocacao.11.liberacao.1.pe</t>
        </is>
      </c>
      <c r="B3843" s="198">
        <f>IF(ISBLANK('INVOCAÇÕES'!$AF$1046),"",'INVOCAÇÕES'!$AF$1046&amp;"")</f>
        <v/>
      </c>
      <c r="C3843" s="198">
        <f>"'INVOCAÇÕES'!AF981"</f>
        <v/>
      </c>
      <c r="D3843" s="198" t="inlineStr">
        <is>
          <t>resultado</t>
        </is>
      </c>
    </row>
    <row r="3844">
      <c r="A3844" s="198" t="inlineStr">
        <is>
          <t>invocacao.11.liberacao.1.como</t>
        </is>
      </c>
      <c r="B3844" s="198">
        <f>IF(ISBLANK('INVOCAÇÕES'!$AB$1047),"",'INVOCAÇÕES'!$AB$1047&amp;"")</f>
        <v/>
      </c>
      <c r="C3844" s="198">
        <f>"'INVOCAÇÕES'!AB982"</f>
        <v/>
      </c>
      <c r="D3844" s="198" t="inlineStr">
        <is>
          <t>entrada</t>
        </is>
      </c>
    </row>
    <row r="3845">
      <c r="A3845" s="198" t="inlineStr">
        <is>
          <t>invocacao.11.liberacao.1.pontos</t>
        </is>
      </c>
      <c r="B3845" s="198">
        <f>IF(ISBLANK('INVOCAÇÕES'!$AB$1051),"",'INVOCAÇÕES'!$AB$1051&amp;"")</f>
        <v/>
      </c>
      <c r="C3845" s="198">
        <f>"'INVOCAÇÕES'!AB986"</f>
        <v/>
      </c>
      <c r="D3845" s="198" t="inlineStr">
        <is>
          <t>resultado</t>
        </is>
      </c>
    </row>
    <row r="3846">
      <c r="A3846" s="198" t="inlineStr">
        <is>
          <t>invocacao.11.liberacao.1.acao</t>
        </is>
      </c>
      <c r="B3846" s="198">
        <f>IF(ISBLANK('INVOCAÇÕES'!$AB$1052),"",'INVOCAÇÕES'!$AB$1052&amp;"")</f>
        <v/>
      </c>
      <c r="C3846" s="198">
        <f>"'INVOCAÇÕES'!AB987"</f>
        <v/>
      </c>
      <c r="D3846" s="198" t="inlineStr">
        <is>
          <t>resultado</t>
        </is>
      </c>
    </row>
    <row r="3847">
      <c r="A3847" s="198" t="inlineStr">
        <is>
          <t>invocacao.11.liberacao.2.classe</t>
        </is>
      </c>
      <c r="B3847" s="198">
        <f>IF(ISBLANK('INVOCAÇÕES'!$AH$1046),"",'INVOCAÇÕES'!$AH$1046&amp;"")</f>
        <v/>
      </c>
      <c r="C3847" s="198">
        <f>"'INVOCAÇÕES'!AH981"</f>
        <v/>
      </c>
      <c r="D3847" s="198" t="inlineStr">
        <is>
          <t>entrada</t>
        </is>
      </c>
    </row>
    <row r="3848">
      <c r="A3848" s="198" t="inlineStr">
        <is>
          <t>invocacao.11.liberacao.2.nome</t>
        </is>
      </c>
      <c r="B3848" s="198">
        <f>IF(ISBLANK('INVOCAÇÕES'!$AI$1046),"",'INVOCAÇÕES'!$AI$1046&amp;"")</f>
        <v/>
      </c>
      <c r="C3848" s="198">
        <f>"'INVOCAÇÕES'!AI981"</f>
        <v/>
      </c>
      <c r="D3848" s="198" t="inlineStr">
        <is>
          <t>entrada</t>
        </is>
      </c>
    </row>
    <row r="3849">
      <c r="A3849" s="198" t="inlineStr">
        <is>
          <t>invocacao.11.liberacao.2.pe</t>
        </is>
      </c>
      <c r="B3849" s="198">
        <f>IF(ISBLANK('INVOCAÇÕES'!$AL$1046),"",'INVOCAÇÕES'!$AL$1046&amp;"")</f>
        <v/>
      </c>
      <c r="C3849" s="198">
        <f>"'INVOCAÇÕES'!AL981"</f>
        <v/>
      </c>
      <c r="D3849" s="198" t="inlineStr">
        <is>
          <t>resultado</t>
        </is>
      </c>
    </row>
    <row r="3850">
      <c r="A3850" s="198" t="inlineStr">
        <is>
          <t>invocacao.11.liberacao.2.como</t>
        </is>
      </c>
      <c r="B3850" s="198">
        <f>IF(ISBLANK('INVOCAÇÕES'!$AH$1047),"",'INVOCAÇÕES'!$AH$1047&amp;"")</f>
        <v/>
      </c>
      <c r="C3850" s="198">
        <f>"'INVOCAÇÕES'!AH982"</f>
        <v/>
      </c>
      <c r="D3850" s="198" t="inlineStr">
        <is>
          <t>entrada</t>
        </is>
      </c>
    </row>
    <row r="3851">
      <c r="A3851" s="198" t="inlineStr">
        <is>
          <t>invocacao.11.liberacao.2.pontos</t>
        </is>
      </c>
      <c r="B3851" s="198">
        <f>IF(ISBLANK('INVOCAÇÕES'!$AH$1051),"",'INVOCAÇÕES'!$AH$1051&amp;"")</f>
        <v/>
      </c>
      <c r="C3851" s="198">
        <f>"'INVOCAÇÕES'!AH986"</f>
        <v/>
      </c>
      <c r="D3851" s="198" t="inlineStr">
        <is>
          <t>resultado</t>
        </is>
      </c>
    </row>
    <row r="3852">
      <c r="A3852" s="198" t="inlineStr">
        <is>
          <t>invocacao.11.liberacao.2.acao</t>
        </is>
      </c>
      <c r="B3852" s="198">
        <f>IF(ISBLANK('INVOCAÇÕES'!$AH$1052),"",'INVOCAÇÕES'!$AH$1052&amp;"")</f>
        <v/>
      </c>
      <c r="C3852" s="198">
        <f>"'INVOCAÇÕES'!AH987"</f>
        <v/>
      </c>
      <c r="D3852" s="198" t="inlineStr">
        <is>
          <t>resultado</t>
        </is>
      </c>
    </row>
    <row r="3853">
      <c r="A3853" s="198" t="inlineStr">
        <is>
          <t>invocacao.11.liberacao.3.classe</t>
        </is>
      </c>
      <c r="B3853" s="198">
        <f>IF(ISBLANK('INVOCAÇÕES'!$AN$1046),"",'INVOCAÇÕES'!$AN$1046&amp;"")</f>
        <v/>
      </c>
      <c r="C3853" s="198">
        <f>"'INVOCAÇÕES'!AN981"</f>
        <v/>
      </c>
      <c r="D3853" s="198" t="inlineStr">
        <is>
          <t>entrada</t>
        </is>
      </c>
    </row>
    <row r="3854">
      <c r="A3854" s="198" t="inlineStr">
        <is>
          <t>invocacao.11.liberacao.3.nome</t>
        </is>
      </c>
      <c r="B3854" s="198">
        <f>IF(ISBLANK('INVOCAÇÕES'!$AO$1046),"",'INVOCAÇÕES'!$AO$1046&amp;"")</f>
        <v/>
      </c>
      <c r="C3854" s="198">
        <f>"'INVOCAÇÕES'!AO981"</f>
        <v/>
      </c>
      <c r="D3854" s="198" t="inlineStr">
        <is>
          <t>entrada</t>
        </is>
      </c>
    </row>
    <row r="3855">
      <c r="A3855" s="198" t="inlineStr">
        <is>
          <t>invocacao.11.liberacao.3.pe</t>
        </is>
      </c>
      <c r="B3855" s="198">
        <f>IF(ISBLANK('INVOCAÇÕES'!$AR$1046),"",'INVOCAÇÕES'!$AR$1046&amp;"")</f>
        <v/>
      </c>
      <c r="C3855" s="198">
        <f>"'INVOCAÇÕES'!AR981"</f>
        <v/>
      </c>
      <c r="D3855" s="198" t="inlineStr">
        <is>
          <t>resultado</t>
        </is>
      </c>
    </row>
    <row r="3856">
      <c r="A3856" s="198" t="inlineStr">
        <is>
          <t>invocacao.11.liberacao.3.como</t>
        </is>
      </c>
      <c r="B3856" s="198">
        <f>IF(ISBLANK('INVOCAÇÕES'!$AN$1047),"",'INVOCAÇÕES'!$AN$1047&amp;"")</f>
        <v/>
      </c>
      <c r="C3856" s="198">
        <f>"'INVOCAÇÕES'!AN982"</f>
        <v/>
      </c>
      <c r="D3856" s="198" t="inlineStr">
        <is>
          <t>entrada</t>
        </is>
      </c>
    </row>
    <row r="3857">
      <c r="A3857" s="198" t="inlineStr">
        <is>
          <t>invocacao.11.liberacao.3.pontos</t>
        </is>
      </c>
      <c r="B3857" s="198">
        <f>IF(ISBLANK('INVOCAÇÕES'!$AN$1051),"",'INVOCAÇÕES'!$AN$1051&amp;"")</f>
        <v/>
      </c>
      <c r="C3857" s="198">
        <f>"'INVOCAÇÕES'!AN986"</f>
        <v/>
      </c>
      <c r="D3857" s="198" t="inlineStr">
        <is>
          <t>resultado</t>
        </is>
      </c>
    </row>
    <row r="3858">
      <c r="A3858" s="198" t="inlineStr">
        <is>
          <t>invocacao.11.liberacao.3.acao</t>
        </is>
      </c>
      <c r="B3858" s="198">
        <f>IF(ISBLANK('INVOCAÇÕES'!$AN$1052),"",'INVOCAÇÕES'!$AN$1052&amp;"")</f>
        <v/>
      </c>
      <c r="C3858" s="198">
        <f>"'INVOCAÇÕES'!AN987"</f>
        <v/>
      </c>
      <c r="D3858" s="198" t="inlineStr">
        <is>
          <t>resultado</t>
        </is>
      </c>
    </row>
    <row r="3859">
      <c r="A3859" s="198" t="inlineStr">
        <is>
          <t>invocacao.11.tm.nome</t>
        </is>
      </c>
      <c r="B3859" s="198">
        <f>IF(ISBLANK('INVOCAÇÕES'!$AB$1055),"",'INVOCAÇÕES'!$AB$1055&amp;"")</f>
        <v/>
      </c>
      <c r="C3859" s="198">
        <f>"'INVOCAÇÕES'!AB990"</f>
        <v/>
      </c>
      <c r="D3859" s="198" t="inlineStr">
        <is>
          <t>entrada</t>
        </is>
      </c>
    </row>
    <row r="3860">
      <c r="A3860" s="198" t="inlineStr">
        <is>
          <t>invocacao.11.tm.pe</t>
        </is>
      </c>
      <c r="B3860" s="198">
        <f>IF(ISBLANK('INVOCAÇÕES'!$AF$1055),"",'INVOCAÇÕES'!$AF$1055&amp;"")</f>
        <v/>
      </c>
      <c r="C3860" s="198">
        <f>"'INVOCAÇÕES'!AF990"</f>
        <v/>
      </c>
      <c r="D3860" s="198" t="inlineStr">
        <is>
          <t>resultado</t>
        </is>
      </c>
    </row>
    <row r="3861">
      <c r="A3861" s="198" t="inlineStr">
        <is>
          <t>invocacao.11.tm.como</t>
        </is>
      </c>
      <c r="B3861" s="198">
        <f>IF(ISBLANK('INVOCAÇÕES'!$AB$1056),"",'INVOCAÇÕES'!$AB$1056&amp;"")</f>
        <v/>
      </c>
      <c r="C3861" s="198">
        <f>"'INVOCAÇÕES'!AB991"</f>
        <v/>
      </c>
      <c r="D3861" s="198" t="inlineStr">
        <is>
          <t>entrada</t>
        </is>
      </c>
    </row>
    <row r="3862">
      <c r="A3862" s="198" t="inlineStr">
        <is>
          <t>invocacao.11.tm.dados</t>
        </is>
      </c>
      <c r="B3862" s="198">
        <f>IF(ISBLANK('INVOCAÇÕES'!$AB$1060),"",'INVOCAÇÕES'!$AB$1060&amp;"")</f>
        <v/>
      </c>
      <c r="C3862" s="198">
        <f>"'INVOCAÇÕES'!AB995"</f>
        <v/>
      </c>
      <c r="D3862" s="198" t="inlineStr">
        <is>
          <t>resultado</t>
        </is>
      </c>
    </row>
    <row r="3863">
      <c r="A3863" s="198" t="inlineStr">
        <is>
          <t>invocacao.11.tm.acao</t>
        </is>
      </c>
      <c r="B3863" s="198">
        <f>IF(ISBLANK('INVOCAÇÕES'!$AB$1061),"",'INVOCAÇÕES'!$AB$1061&amp;"")</f>
        <v/>
      </c>
      <c r="C3863" s="198">
        <f>"'INVOCAÇÕES'!AB996"</f>
        <v/>
      </c>
      <c r="D3863" s="198" t="inlineStr">
        <is>
          <t>resultado</t>
        </is>
      </c>
    </row>
    <row r="3864">
      <c r="A3864" s="198" t="inlineStr">
        <is>
          <t>invocacao.11.exp.nome</t>
        </is>
      </c>
      <c r="B3864" s="198">
        <f>IF(ISBLANK('INVOCAÇÕES'!$AH$1055),"",'INVOCAÇÕES'!$AH$1055&amp;"")</f>
        <v/>
      </c>
      <c r="C3864" s="198">
        <f>"'INVOCAÇÕES'!AH990"</f>
        <v/>
      </c>
      <c r="D3864" s="198" t="inlineStr">
        <is>
          <t>entrada</t>
        </is>
      </c>
    </row>
    <row r="3865">
      <c r="A3865" s="198" t="inlineStr">
        <is>
          <t>invocacao.11.exp.pe</t>
        </is>
      </c>
      <c r="B3865" s="198">
        <f>IF(ISBLANK('INVOCAÇÕES'!$AL$1055),"",'INVOCAÇÕES'!$AL$1055&amp;"")</f>
        <v/>
      </c>
      <c r="C3865" s="198">
        <f>"'INVOCAÇÕES'!AL990"</f>
        <v/>
      </c>
      <c r="D3865" s="198" t="inlineStr">
        <is>
          <t>resultado</t>
        </is>
      </c>
    </row>
    <row r="3866">
      <c r="A3866" s="198" t="inlineStr">
        <is>
          <t>invocacao.11.exp.como</t>
        </is>
      </c>
      <c r="B3866" s="198">
        <f>IF(ISBLANK('INVOCAÇÕES'!$AH$1056),"",'INVOCAÇÕES'!$AH$1056&amp;"")</f>
        <v/>
      </c>
      <c r="C3866" s="198">
        <f>"'INVOCAÇÕES'!AH991"</f>
        <v/>
      </c>
      <c r="D3866" s="198" t="inlineStr">
        <is>
          <t>entrada</t>
        </is>
      </c>
    </row>
    <row r="3867">
      <c r="A3867" s="198" t="inlineStr">
        <is>
          <t>invocacao.11.exp.degrau</t>
        </is>
      </c>
      <c r="B3867" s="198">
        <f>IF(ISBLANK('INVOCAÇÕES'!$AH$1060),"",'INVOCAÇÕES'!$AH$1060&amp;"")</f>
        <v/>
      </c>
      <c r="C3867" s="198">
        <f>"'INVOCAÇÕES'!AH995"</f>
        <v/>
      </c>
      <c r="D3867" s="198" t="inlineStr">
        <is>
          <t>entrada</t>
        </is>
      </c>
    </row>
    <row r="3868">
      <c r="A3868" s="198" t="inlineStr">
        <is>
          <t>invocacao.11.exp.acerto</t>
        </is>
      </c>
      <c r="B3868" s="198">
        <f>IF(ISBLANK('INVOCAÇÕES'!$AJ$1060),"",'INVOCAÇÕES'!$AJ$1060&amp;"")</f>
        <v/>
      </c>
      <c r="C3868" s="198">
        <f>"'INVOCAÇÕES'!AJ995"</f>
        <v/>
      </c>
      <c r="D3868" s="198" t="inlineStr">
        <is>
          <t>entrada</t>
        </is>
      </c>
    </row>
    <row r="3869">
      <c r="A3869" s="198" t="inlineStr">
        <is>
          <t>invocacao.11.exp.pede</t>
        </is>
      </c>
      <c r="B3869" s="198">
        <f>IF(ISBLANK('INVOCAÇÕES'!$AH$1061),"",'INVOCAÇÕES'!$AH$1061&amp;"")</f>
        <v/>
      </c>
      <c r="C3869" s="198">
        <f>"'INVOCAÇÕES'!AH996"</f>
        <v/>
      </c>
      <c r="D3869" s="198" t="inlineStr">
        <is>
          <t>resultado</t>
        </is>
      </c>
    </row>
    <row r="3870">
      <c r="A3870" s="198" t="inlineStr">
        <is>
          <t>invocacao.12.atributo.forca.base</t>
        </is>
      </c>
      <c r="B3870" s="198">
        <f>IF(ISBLANK('INVOCAÇÕES'!$AH$1075),"",'INVOCAÇÕES'!$AH$1075&amp;"")</f>
        <v/>
      </c>
      <c r="C3870" s="198">
        <f>"'INVOCAÇÕES'!AH1010"</f>
        <v/>
      </c>
      <c r="D3870" s="198" t="inlineStr">
        <is>
          <t>entrada</t>
        </is>
      </c>
    </row>
    <row r="3871">
      <c r="A3871" s="198" t="inlineStr">
        <is>
          <t>invocacao.12.atributo.forca.buff</t>
        </is>
      </c>
      <c r="B3871" s="198">
        <f>IF(ISBLANK('INVOCAÇÕES'!$AH$1076),"",'INVOCAÇÕES'!$AH$1076&amp;"")</f>
        <v/>
      </c>
      <c r="C3871" s="198">
        <f>"'INVOCAÇÕES'!AH1011"</f>
        <v/>
      </c>
      <c r="D3871" s="198" t="inlineStr">
        <is>
          <t>entrada</t>
        </is>
      </c>
    </row>
    <row r="3872">
      <c r="A3872" s="198" t="inlineStr">
        <is>
          <t>invocacao.12.atributo.forca.total</t>
        </is>
      </c>
      <c r="B3872" s="198">
        <f>IF(ISBLANK('INVOCAÇÕES'!$AH$1073),"",'INVOCAÇÕES'!$AH$1073&amp;"")</f>
        <v/>
      </c>
      <c r="C3872" s="198">
        <f>"'INVOCAÇÕES'!AH1008"</f>
        <v/>
      </c>
      <c r="D3872" s="198" t="inlineStr">
        <is>
          <t>resultado</t>
        </is>
      </c>
    </row>
    <row r="3873">
      <c r="A3873" s="198" t="inlineStr">
        <is>
          <t>invocacao.12.atributo.destreza.base</t>
        </is>
      </c>
      <c r="B3873" s="198">
        <f>IF(ISBLANK('INVOCAÇÕES'!$AI$1075),"",'INVOCAÇÕES'!$AI$1075&amp;"")</f>
        <v/>
      </c>
      <c r="C3873" s="198">
        <f>"'INVOCAÇÕES'!AI1010"</f>
        <v/>
      </c>
      <c r="D3873" s="198" t="inlineStr">
        <is>
          <t>entrada</t>
        </is>
      </c>
    </row>
    <row r="3874">
      <c r="A3874" s="198" t="inlineStr">
        <is>
          <t>invocacao.12.atributo.destreza.buff</t>
        </is>
      </c>
      <c r="B3874" s="198">
        <f>IF(ISBLANK('INVOCAÇÕES'!$AI$1076),"",'INVOCAÇÕES'!$AI$1076&amp;"")</f>
        <v/>
      </c>
      <c r="C3874" s="198">
        <f>"'INVOCAÇÕES'!AI1011"</f>
        <v/>
      </c>
      <c r="D3874" s="198" t="inlineStr">
        <is>
          <t>entrada</t>
        </is>
      </c>
    </row>
    <row r="3875">
      <c r="A3875" s="198" t="inlineStr">
        <is>
          <t>invocacao.12.atributo.destreza.total</t>
        </is>
      </c>
      <c r="B3875" s="198">
        <f>IF(ISBLANK('INVOCAÇÕES'!$AI$1073),"",'INVOCAÇÕES'!$AI$1073&amp;"")</f>
        <v/>
      </c>
      <c r="C3875" s="198">
        <f>"'INVOCAÇÕES'!AI1008"</f>
        <v/>
      </c>
      <c r="D3875" s="198" t="inlineStr">
        <is>
          <t>resultado</t>
        </is>
      </c>
    </row>
    <row r="3876">
      <c r="A3876" s="198" t="inlineStr">
        <is>
          <t>invocacao.12.atributo.constituicao.base</t>
        </is>
      </c>
      <c r="B3876" s="198">
        <f>IF(ISBLANK('INVOCAÇÕES'!$AJ$1075),"",'INVOCAÇÕES'!$AJ$1075&amp;"")</f>
        <v/>
      </c>
      <c r="C3876" s="198">
        <f>"'INVOCAÇÕES'!AJ1010"</f>
        <v/>
      </c>
      <c r="D3876" s="198" t="inlineStr">
        <is>
          <t>entrada</t>
        </is>
      </c>
    </row>
    <row r="3877">
      <c r="A3877" s="198" t="inlineStr">
        <is>
          <t>invocacao.12.atributo.constituicao.buff</t>
        </is>
      </c>
      <c r="B3877" s="198">
        <f>IF(ISBLANK('INVOCAÇÕES'!$AJ$1076),"",'INVOCAÇÕES'!$AJ$1076&amp;"")</f>
        <v/>
      </c>
      <c r="C3877" s="198">
        <f>"'INVOCAÇÕES'!AJ1011"</f>
        <v/>
      </c>
      <c r="D3877" s="198" t="inlineStr">
        <is>
          <t>entrada</t>
        </is>
      </c>
    </row>
    <row r="3878">
      <c r="A3878" s="198" t="inlineStr">
        <is>
          <t>invocacao.12.atributo.constituicao.total</t>
        </is>
      </c>
      <c r="B3878" s="198">
        <f>IF(ISBLANK('INVOCAÇÕES'!$AJ$1073),"",'INVOCAÇÕES'!$AJ$1073&amp;"")</f>
        <v/>
      </c>
      <c r="C3878" s="198">
        <f>"'INVOCAÇÕES'!AJ1008"</f>
        <v/>
      </c>
      <c r="D3878" s="198" t="inlineStr">
        <is>
          <t>resultado</t>
        </is>
      </c>
    </row>
    <row r="3879">
      <c r="A3879" s="198" t="inlineStr">
        <is>
          <t>invocacao.12.atributo.inteligencia.base</t>
        </is>
      </c>
      <c r="B3879" s="198">
        <f>IF(ISBLANK('INVOCAÇÕES'!$AK$1075),"",'INVOCAÇÕES'!$AK$1075&amp;"")</f>
        <v/>
      </c>
      <c r="C3879" s="198">
        <f>"'INVOCAÇÕES'!AK1010"</f>
        <v/>
      </c>
      <c r="D3879" s="198" t="inlineStr">
        <is>
          <t>entrada</t>
        </is>
      </c>
    </row>
    <row r="3880">
      <c r="A3880" s="198" t="inlineStr">
        <is>
          <t>invocacao.12.atributo.inteligencia.buff</t>
        </is>
      </c>
      <c r="B3880" s="198">
        <f>IF(ISBLANK('INVOCAÇÕES'!$AK$1076),"",'INVOCAÇÕES'!$AK$1076&amp;"")</f>
        <v/>
      </c>
      <c r="C3880" s="198">
        <f>"'INVOCAÇÕES'!AK1011"</f>
        <v/>
      </c>
      <c r="D3880" s="198" t="inlineStr">
        <is>
          <t>entrada</t>
        </is>
      </c>
    </row>
    <row r="3881">
      <c r="A3881" s="198" t="inlineStr">
        <is>
          <t>invocacao.12.atributo.inteligencia.total</t>
        </is>
      </c>
      <c r="B3881" s="198">
        <f>IF(ISBLANK('INVOCAÇÕES'!$AK$1073),"",'INVOCAÇÕES'!$AK$1073&amp;"")</f>
        <v/>
      </c>
      <c r="C3881" s="198">
        <f>"'INVOCAÇÕES'!AK1008"</f>
        <v/>
      </c>
      <c r="D3881" s="198" t="inlineStr">
        <is>
          <t>resultado</t>
        </is>
      </c>
    </row>
    <row r="3882">
      <c r="A3882" s="198" t="inlineStr">
        <is>
          <t>invocacao.12.atributo.essencia.base</t>
        </is>
      </c>
      <c r="B3882" s="198">
        <f>IF(ISBLANK('INVOCAÇÕES'!$AL$1075),"",'INVOCAÇÕES'!$AL$1075&amp;"")</f>
        <v/>
      </c>
      <c r="C3882" s="198">
        <f>"'INVOCAÇÕES'!AL1010"</f>
        <v/>
      </c>
      <c r="D3882" s="198" t="inlineStr">
        <is>
          <t>entrada</t>
        </is>
      </c>
    </row>
    <row r="3883">
      <c r="A3883" s="198" t="inlineStr">
        <is>
          <t>invocacao.12.atributo.essencia.buff</t>
        </is>
      </c>
      <c r="B3883" s="198">
        <f>IF(ISBLANK('INVOCAÇÕES'!$AL$1076),"",'INVOCAÇÕES'!$AL$1076&amp;"")</f>
        <v/>
      </c>
      <c r="C3883" s="198">
        <f>"'INVOCAÇÕES'!AL1011"</f>
        <v/>
      </c>
      <c r="D3883" s="198" t="inlineStr">
        <is>
          <t>entrada</t>
        </is>
      </c>
    </row>
    <row r="3884">
      <c r="A3884" s="198" t="inlineStr">
        <is>
          <t>invocacao.12.atributo.essencia.total</t>
        </is>
      </c>
      <c r="B3884" s="198">
        <f>IF(ISBLANK('INVOCAÇÕES'!$AL$1073),"",'INVOCAÇÕES'!$AL$1073&amp;"")</f>
        <v/>
      </c>
      <c r="C3884" s="198">
        <f>"'INVOCAÇÕES'!AL1008"</f>
        <v/>
      </c>
      <c r="D3884" s="198" t="inlineStr">
        <is>
          <t>resultado</t>
        </is>
      </c>
    </row>
    <row r="3885">
      <c r="A3885" s="198" t="inlineStr">
        <is>
          <t>invocacao.12.buff.acerto</t>
        </is>
      </c>
      <c r="B3885" s="198">
        <f>IF(ISBLANK('INVOCAÇÕES'!$AH$1081),"",'INVOCAÇÕES'!$AH$1081&amp;"")</f>
        <v/>
      </c>
      <c r="C3885" s="198">
        <f>"'INVOCAÇÕES'!AH1016"</f>
        <v/>
      </c>
      <c r="D3885" s="198" t="inlineStr">
        <is>
          <t>entrada</t>
        </is>
      </c>
    </row>
    <row r="3886">
      <c r="A3886" s="198" t="inlineStr">
        <is>
          <t>invocacao.12.buff.cd</t>
        </is>
      </c>
      <c r="B3886" s="198">
        <f>IF(ISBLANK('INVOCAÇÕES'!$AI$1081),"",'INVOCAÇÕES'!$AI$1081&amp;"")</f>
        <v/>
      </c>
      <c r="C3886" s="198">
        <f>"'INVOCAÇÕES'!AI1016"</f>
        <v/>
      </c>
      <c r="D3886" s="198" t="inlineStr">
        <is>
          <t>entrada</t>
        </is>
      </c>
    </row>
    <row r="3887">
      <c r="A3887" s="198" t="inlineStr">
        <is>
          <t>invocacao.12.buff.defesa</t>
        </is>
      </c>
      <c r="B3887" s="198">
        <f>IF(ISBLANK('INVOCAÇÕES'!$AJ$1081),"",'INVOCAÇÕES'!$AJ$1081&amp;"")</f>
        <v/>
      </c>
      <c r="C3887" s="198">
        <f>"'INVOCAÇÕES'!AJ1016"</f>
        <v/>
      </c>
      <c r="D3887" s="198" t="inlineStr">
        <is>
          <t>entrada</t>
        </is>
      </c>
    </row>
    <row r="3888">
      <c r="A3888" s="198" t="inlineStr">
        <is>
          <t>invocacao.12.buff.vida</t>
        </is>
      </c>
      <c r="B3888" s="198">
        <f>IF(ISBLANK('INVOCAÇÕES'!$AK$1081),"",'INVOCAÇÕES'!$AK$1081&amp;"")</f>
        <v/>
      </c>
      <c r="C3888" s="198">
        <f>"'INVOCAÇÕES'!AK1016"</f>
        <v/>
      </c>
      <c r="D3888" s="198" t="inlineStr">
        <is>
          <t>entrada</t>
        </is>
      </c>
    </row>
    <row r="3889">
      <c r="A3889" s="198" t="inlineStr">
        <is>
          <t>invocacao.12.buff.deslocamento</t>
        </is>
      </c>
      <c r="B3889" s="198">
        <f>IF(ISBLANK('INVOCAÇÕES'!$AL$1081),"",'INVOCAÇÕES'!$AL$1081&amp;"")</f>
        <v/>
      </c>
      <c r="C3889" s="198">
        <f>"'INVOCAÇÕES'!AL1016"</f>
        <v/>
      </c>
      <c r="D3889" s="198" t="inlineStr">
        <is>
          <t>entrada</t>
        </is>
      </c>
    </row>
    <row r="3890">
      <c r="A3890" s="198" t="inlineStr">
        <is>
          <t>invocacao.12.buff.tr.fisico</t>
        </is>
      </c>
      <c r="B3890" s="198">
        <f>IF(ISBLANK('INVOCAÇÕES'!$AH$1086),"",'INVOCAÇÕES'!$AH$1086&amp;"")</f>
        <v/>
      </c>
      <c r="C3890" s="198">
        <f>"'INVOCAÇÕES'!AH1021"</f>
        <v/>
      </c>
      <c r="D3890" s="198" t="inlineStr">
        <is>
          <t>entrada</t>
        </is>
      </c>
    </row>
    <row r="3891">
      <c r="A3891" s="198" t="inlineStr">
        <is>
          <t>invocacao.12.buff.tr.vigor</t>
        </is>
      </c>
      <c r="B3891" s="198">
        <f>IF(ISBLANK('INVOCAÇÕES'!$AI$1086),"",'INVOCAÇÕES'!$AI$1086&amp;"")</f>
        <v/>
      </c>
      <c r="C3891" s="198">
        <f>"'INVOCAÇÕES'!AI1021"</f>
        <v/>
      </c>
      <c r="D3891" s="198" t="inlineStr">
        <is>
          <t>entrada</t>
        </is>
      </c>
    </row>
    <row r="3892">
      <c r="A3892" s="198" t="inlineStr">
        <is>
          <t>invocacao.12.buff.tr.intelecto</t>
        </is>
      </c>
      <c r="B3892" s="198">
        <f>IF(ISBLANK('INVOCAÇÕES'!$AJ$1086),"",'INVOCAÇÕES'!$AJ$1086&amp;"")</f>
        <v/>
      </c>
      <c r="C3892" s="198">
        <f>"'INVOCAÇÕES'!AJ1021"</f>
        <v/>
      </c>
      <c r="D3892" s="198" t="inlineStr">
        <is>
          <t>entrada</t>
        </is>
      </c>
    </row>
    <row r="3893">
      <c r="A3893" s="198" t="inlineStr">
        <is>
          <t>invocacao.12.buff.tr.espirito</t>
        </is>
      </c>
      <c r="B3893" s="198">
        <f>IF(ISBLANK('INVOCAÇÕES'!$AK$1086),"",'INVOCAÇÕES'!$AK$1086&amp;"")</f>
        <v/>
      </c>
      <c r="C3893" s="198">
        <f>"'INVOCAÇÕES'!AK1021"</f>
        <v/>
      </c>
      <c r="D3893" s="198" t="inlineStr">
        <is>
          <t>entrada</t>
        </is>
      </c>
    </row>
    <row r="3894">
      <c r="A3894" s="198" t="inlineStr">
        <is>
          <t>invocacao.12.atributo_acerto</t>
        </is>
      </c>
      <c r="B3894" s="198">
        <f>IF(ISBLANK('INVOCAÇÕES'!$AH$1089),"",'INVOCAÇÕES'!$AH$1089&amp;"")</f>
        <v/>
      </c>
      <c r="C3894" s="198">
        <f>"'INVOCAÇÕES'!AH1024"</f>
        <v/>
      </c>
      <c r="D3894" s="198" t="inlineStr">
        <is>
          <t>entrada</t>
        </is>
      </c>
    </row>
    <row r="3895">
      <c r="A3895" s="198" t="inlineStr">
        <is>
          <t>invocacao.12.atributo_fisico</t>
        </is>
      </c>
      <c r="B3895" s="198">
        <f>IF(ISBLANK('INVOCAÇÕES'!$AK$1089),"",'INVOCAÇÕES'!$AK$1089&amp;"")</f>
        <v/>
      </c>
      <c r="C3895" s="198">
        <f>"'INVOCAÇÕES'!AK1024"</f>
        <v/>
      </c>
      <c r="D3895" s="198" t="inlineStr">
        <is>
          <t>entrada</t>
        </is>
      </c>
    </row>
    <row r="3896">
      <c r="A3896" s="198" t="inlineStr">
        <is>
          <t>invocacao.12.tr_treinado</t>
        </is>
      </c>
      <c r="B3896" s="198">
        <f>IF(ISBLANK('INVOCAÇÕES'!$AL$1084),"",'INVOCAÇÕES'!$AL$1084&amp;"")</f>
        <v/>
      </c>
      <c r="C3896" s="198">
        <f>"'INVOCAÇÕES'!AL1019"</f>
        <v/>
      </c>
      <c r="D3896" s="198" t="inlineStr">
        <is>
          <t>entrada</t>
        </is>
      </c>
    </row>
    <row r="3897">
      <c r="A3897" s="198" t="inlineStr">
        <is>
          <t>invocacao.12.alma</t>
        </is>
      </c>
      <c r="B3897" s="198">
        <f>IF(ISBLANK('INVOCAÇÕES'!$AN$1073),"",'INVOCAÇÕES'!$AN$1073&amp;"")</f>
        <v/>
      </c>
      <c r="C3897" s="198">
        <f>"'INVOCAÇÕES'!AN1008"</f>
        <v/>
      </c>
      <c r="D3897" s="198" t="inlineStr">
        <is>
          <t>entrada</t>
        </is>
      </c>
    </row>
    <row r="3898">
      <c r="A3898" s="198" t="inlineStr">
        <is>
          <t>invocacao.12.notas</t>
        </is>
      </c>
      <c r="B3898" s="198">
        <f>IF(ISBLANK('INVOCAÇÕES'!$AN$1082),"",'INVOCAÇÕES'!$AN$1082&amp;"")</f>
        <v/>
      </c>
      <c r="C3898" s="198">
        <f>"'INVOCAÇÕES'!AN1017"</f>
        <v/>
      </c>
      <c r="D3898" s="198" t="inlineStr">
        <is>
          <t>entrada</t>
        </is>
      </c>
    </row>
    <row r="3899">
      <c r="A3899" s="198" t="inlineStr">
        <is>
          <t>invocacao.12.definicao</t>
        </is>
      </c>
      <c r="B3899" s="198">
        <f>IF(ISBLANK('INVOCAÇÕES'!$AB$1121),"",'INVOCAÇÕES'!$AB$1121&amp;"")</f>
        <v/>
      </c>
      <c r="C3899" s="198">
        <f>"'INVOCAÇÕES'!AB1043"</f>
        <v/>
      </c>
      <c r="D3899" s="198" t="inlineStr">
        <is>
          <t>entrada</t>
        </is>
      </c>
    </row>
    <row r="3900">
      <c r="A3900" s="198" t="inlineStr">
        <is>
          <t>invocacao.12.familia.1</t>
        </is>
      </c>
      <c r="B3900" s="198">
        <f>IF(ISBLANK('INVOCAÇÕES'!$AH$1103),"",'INVOCAÇÕES'!$AH$1103&amp;"")</f>
        <v/>
      </c>
      <c r="C3900" s="198">
        <f>"'INVOCAÇÕES'!AH1038"</f>
        <v/>
      </c>
      <c r="D3900" s="198" t="inlineStr">
        <is>
          <t>entrada</t>
        </is>
      </c>
    </row>
    <row r="3901">
      <c r="A3901" s="198" t="inlineStr">
        <is>
          <t>invocacao.12.familia.2</t>
        </is>
      </c>
      <c r="B3901" s="198">
        <f>IF(ISBLANK('INVOCAÇÕES'!$AI$1103),"",'INVOCAÇÕES'!$AI$1103&amp;"")</f>
        <v/>
      </c>
      <c r="C3901" s="198">
        <f>"'INVOCAÇÕES'!AI1038"</f>
        <v/>
      </c>
      <c r="D3901" s="198" t="inlineStr">
        <is>
          <t>entrada</t>
        </is>
      </c>
    </row>
    <row r="3902">
      <c r="A3902" s="198" t="inlineStr">
        <is>
          <t>invocacao.12.familia.3</t>
        </is>
      </c>
      <c r="B3902" s="198">
        <f>IF(ISBLANK('INVOCAÇÕES'!$AJ$1103),"",'INVOCAÇÕES'!$AJ$1103&amp;"")</f>
        <v/>
      </c>
      <c r="C3902" s="198">
        <f>"'INVOCAÇÕES'!AJ1038"</f>
        <v/>
      </c>
      <c r="D3902" s="198" t="inlineStr">
        <is>
          <t>entrada</t>
        </is>
      </c>
    </row>
    <row r="3903">
      <c r="A3903" s="198" t="inlineStr">
        <is>
          <t>invocacao.12.familia.4</t>
        </is>
      </c>
      <c r="B3903" s="198">
        <f>IF(ISBLANK('INVOCAÇÕES'!$AK$1103),"",'INVOCAÇÕES'!$AK$1103&amp;"")</f>
        <v/>
      </c>
      <c r="C3903" s="198">
        <f>"'INVOCAÇÕES'!AK1038"</f>
        <v/>
      </c>
      <c r="D3903" s="198" t="inlineStr">
        <is>
          <t>entrada</t>
        </is>
      </c>
    </row>
    <row r="3904">
      <c r="A3904" s="198" t="inlineStr">
        <is>
          <t>invocacao.12.familia.5</t>
        </is>
      </c>
      <c r="B3904" s="198">
        <f>IF(ISBLANK('INVOCAÇÕES'!$AL$1103),"",'INVOCAÇÕES'!$AL$1103&amp;"")</f>
        <v/>
      </c>
      <c r="C3904" s="198">
        <f>"'INVOCAÇÕES'!AL1038"</f>
        <v/>
      </c>
      <c r="D3904" s="198" t="inlineStr">
        <is>
          <t>entrada</t>
        </is>
      </c>
    </row>
    <row r="3905">
      <c r="A3905" s="198" t="inlineStr">
        <is>
          <t>invocacao.12.pericia.1</t>
        </is>
      </c>
      <c r="B3905" s="198">
        <f>IF(ISBLANK('INVOCAÇÕES'!$AH$1093),"",'INVOCAÇÕES'!$AH$1093&amp;"")</f>
        <v/>
      </c>
      <c r="C3905" s="198">
        <f>"'INVOCAÇÕES'!AH1028"</f>
        <v/>
      </c>
      <c r="D3905" s="198" t="inlineStr">
        <is>
          <t>entrada</t>
        </is>
      </c>
    </row>
    <row r="3906">
      <c r="A3906" s="198" t="inlineStr">
        <is>
          <t>invocacao.12.pericia.2</t>
        </is>
      </c>
      <c r="B3906" s="198">
        <f>IF(ISBLANK('INVOCAÇÕES'!$AH$1094),"",'INVOCAÇÕES'!$AH$1094&amp;"")</f>
        <v/>
      </c>
      <c r="C3906" s="198">
        <f>"'INVOCAÇÕES'!AH1029"</f>
        <v/>
      </c>
      <c r="D3906" s="198" t="inlineStr">
        <is>
          <t>entrada</t>
        </is>
      </c>
    </row>
    <row r="3907">
      <c r="A3907" s="198" t="inlineStr">
        <is>
          <t>invocacao.12.pericia.3</t>
        </is>
      </c>
      <c r="B3907" s="198">
        <f>IF(ISBLANK('INVOCAÇÕES'!$AH$1095),"",'INVOCAÇÕES'!$AH$1095&amp;"")</f>
        <v/>
      </c>
      <c r="C3907" s="198">
        <f>"'INVOCAÇÕES'!AH1030"</f>
        <v/>
      </c>
      <c r="D3907" s="198" t="inlineStr">
        <is>
          <t>entrada</t>
        </is>
      </c>
    </row>
    <row r="3908">
      <c r="A3908" s="198" t="inlineStr">
        <is>
          <t>invocacao.12.pericia.4</t>
        </is>
      </c>
      <c r="B3908" s="198">
        <f>IF(ISBLANK('INVOCAÇÕES'!$AH$1096),"",'INVOCAÇÕES'!$AH$1096&amp;"")</f>
        <v/>
      </c>
      <c r="C3908" s="198">
        <f>"'INVOCAÇÕES'!AH1031"</f>
        <v/>
      </c>
      <c r="D3908" s="198" t="inlineStr">
        <is>
          <t>entrada</t>
        </is>
      </c>
    </row>
    <row r="3909">
      <c r="A3909" s="198" t="inlineStr">
        <is>
          <t>invocacao.12.pericia.5</t>
        </is>
      </c>
      <c r="B3909" s="198">
        <f>IF(ISBLANK('INVOCAÇÕES'!$AH$1097),"",'INVOCAÇÕES'!$AH$1097&amp;"")</f>
        <v/>
      </c>
      <c r="C3909" s="198">
        <f>"'INVOCAÇÕES'!AH1032"</f>
        <v/>
      </c>
      <c r="D3909" s="198" t="inlineStr">
        <is>
          <t>entrada</t>
        </is>
      </c>
    </row>
    <row r="3910">
      <c r="A3910" s="198" t="inlineStr">
        <is>
          <t>invocacao.12.pericia.6</t>
        </is>
      </c>
      <c r="B3910" s="198">
        <f>IF(ISBLANK('INVOCAÇÕES'!$AH$1098),"",'INVOCAÇÕES'!$AH$1098&amp;"")</f>
        <v/>
      </c>
      <c r="C3910" s="198">
        <f>"'INVOCAÇÕES'!AH1033"</f>
        <v/>
      </c>
      <c r="D3910" s="198" t="inlineStr">
        <is>
          <t>entrada</t>
        </is>
      </c>
    </row>
    <row r="3911">
      <c r="A3911" s="198" t="inlineStr">
        <is>
          <t>invocacao.12.pericia.7</t>
        </is>
      </c>
      <c r="B3911" s="198">
        <f>IF(ISBLANK('INVOCAÇÕES'!$AH$1099),"",'INVOCAÇÕES'!$AH$1099&amp;"")</f>
        <v/>
      </c>
      <c r="C3911" s="198">
        <f>"'INVOCAÇÕES'!AH1034"</f>
        <v/>
      </c>
      <c r="D3911" s="198" t="inlineStr">
        <is>
          <t>entrada</t>
        </is>
      </c>
    </row>
    <row r="3912">
      <c r="A3912" s="198" t="inlineStr">
        <is>
          <t>invocacao.12.buff.pericia.1</t>
        </is>
      </c>
      <c r="B3912" s="198">
        <f>IF(ISBLANK('INVOCAÇÕES'!$AK$1093),"",'INVOCAÇÕES'!$AK$1093&amp;"")</f>
        <v/>
      </c>
      <c r="C3912" s="198">
        <f>"'INVOCAÇÕES'!AK1028"</f>
        <v/>
      </c>
      <c r="D3912" s="198" t="inlineStr">
        <is>
          <t>entrada</t>
        </is>
      </c>
    </row>
    <row r="3913">
      <c r="A3913" s="198" t="inlineStr">
        <is>
          <t>invocacao.12.buff.pericia.2</t>
        </is>
      </c>
      <c r="B3913" s="198">
        <f>IF(ISBLANK('INVOCAÇÕES'!$AK$1094),"",'INVOCAÇÕES'!$AK$1094&amp;"")</f>
        <v/>
      </c>
      <c r="C3913" s="198">
        <f>"'INVOCAÇÕES'!AK1029"</f>
        <v/>
      </c>
      <c r="D3913" s="198" t="inlineStr">
        <is>
          <t>entrada</t>
        </is>
      </c>
    </row>
    <row r="3914">
      <c r="A3914" s="198" t="inlineStr">
        <is>
          <t>invocacao.12.buff.pericia.3</t>
        </is>
      </c>
      <c r="B3914" s="198">
        <f>IF(ISBLANK('INVOCAÇÕES'!$AK$1095),"",'INVOCAÇÕES'!$AK$1095&amp;"")</f>
        <v/>
      </c>
      <c r="C3914" s="198">
        <f>"'INVOCAÇÕES'!AK1030"</f>
        <v/>
      </c>
      <c r="D3914" s="198" t="inlineStr">
        <is>
          <t>entrada</t>
        </is>
      </c>
    </row>
    <row r="3915">
      <c r="A3915" s="198" t="inlineStr">
        <is>
          <t>invocacao.12.buff.pericia.4</t>
        </is>
      </c>
      <c r="B3915" s="198">
        <f>IF(ISBLANK('INVOCAÇÕES'!$AK$1096),"",'INVOCAÇÕES'!$AK$1096&amp;"")</f>
        <v/>
      </c>
      <c r="C3915" s="198">
        <f>"'INVOCAÇÕES'!AK1031"</f>
        <v/>
      </c>
      <c r="D3915" s="198" t="inlineStr">
        <is>
          <t>entrada</t>
        </is>
      </c>
    </row>
    <row r="3916">
      <c r="A3916" s="198" t="inlineStr">
        <is>
          <t>invocacao.12.buff.pericia.5</t>
        </is>
      </c>
      <c r="B3916" s="198">
        <f>IF(ISBLANK('INVOCAÇÕES'!$AK$1097),"",'INVOCAÇÕES'!$AK$1097&amp;"")</f>
        <v/>
      </c>
      <c r="C3916" s="198">
        <f>"'INVOCAÇÕES'!AK1032"</f>
        <v/>
      </c>
      <c r="D3916" s="198" t="inlineStr">
        <is>
          <t>entrada</t>
        </is>
      </c>
    </row>
    <row r="3917">
      <c r="A3917" s="198" t="inlineStr">
        <is>
          <t>invocacao.12.buff.pericia.6</t>
        </is>
      </c>
      <c r="B3917" s="198">
        <f>IF(ISBLANK('INVOCAÇÕES'!$AK$1098),"",'INVOCAÇÕES'!$AK$1098&amp;"")</f>
        <v/>
      </c>
      <c r="C3917" s="198">
        <f>"'INVOCAÇÕES'!AK1033"</f>
        <v/>
      </c>
      <c r="D3917" s="198" t="inlineStr">
        <is>
          <t>entrada</t>
        </is>
      </c>
    </row>
    <row r="3918">
      <c r="A3918" s="198" t="inlineStr">
        <is>
          <t>invocacao.12.buff.pericia.7</t>
        </is>
      </c>
      <c r="B3918" s="198">
        <f>IF(ISBLANK('INVOCAÇÕES'!$AK$1099),"",'INVOCAÇÕES'!$AK$1099&amp;"")</f>
        <v/>
      </c>
      <c r="C3918" s="198">
        <f>"'INVOCAÇÕES'!AK1034"</f>
        <v/>
      </c>
      <c r="D3918" s="198" t="inlineStr">
        <is>
          <t>entrada</t>
        </is>
      </c>
    </row>
    <row r="3919">
      <c r="A3919" s="198" t="inlineStr">
        <is>
          <t>invocacao.12.talento.1</t>
        </is>
      </c>
      <c r="B3919" s="198">
        <f>IF(ISBLANK('INVOCAÇÕES'!$AC$1148),"",'INVOCAÇÕES'!$AC$1148&amp;"")</f>
        <v/>
      </c>
      <c r="C3919" s="198">
        <f>"'INVOCAÇÕES'!AC1070"</f>
        <v/>
      </c>
      <c r="D3919" s="198" t="inlineStr">
        <is>
          <t>entrada</t>
        </is>
      </c>
    </row>
    <row r="3920">
      <c r="A3920" s="198" t="inlineStr">
        <is>
          <t>invocacao.12.talento.2</t>
        </is>
      </c>
      <c r="B3920" s="198">
        <f>IF(ISBLANK('INVOCAÇÕES'!$AC$1149),"",'INVOCAÇÕES'!$AC$1149&amp;"")</f>
        <v/>
      </c>
      <c r="C3920" s="198">
        <f>"'INVOCAÇÕES'!AC1071"</f>
        <v/>
      </c>
      <c r="D3920" s="198" t="inlineStr">
        <is>
          <t>entrada</t>
        </is>
      </c>
    </row>
    <row r="3921">
      <c r="A3921" s="198" t="inlineStr">
        <is>
          <t>invocacao.12.talento.3</t>
        </is>
      </c>
      <c r="B3921" s="198">
        <f>IF(ISBLANK('INVOCAÇÕES'!$AC$1150),"",'INVOCAÇÕES'!$AC$1150&amp;"")</f>
        <v/>
      </c>
      <c r="C3921" s="198">
        <f>"'INVOCAÇÕES'!AC1072"</f>
        <v/>
      </c>
      <c r="D3921" s="198" t="inlineStr">
        <is>
          <t>entrada</t>
        </is>
      </c>
    </row>
    <row r="3922">
      <c r="A3922" s="198" t="inlineStr">
        <is>
          <t>invocacao.12.talento.4</t>
        </is>
      </c>
      <c r="B3922" s="198">
        <f>IF(ISBLANK('INVOCAÇÕES'!$AC$1151),"",'INVOCAÇÕES'!$AC$1151&amp;"")</f>
        <v/>
      </c>
      <c r="C3922" s="198">
        <f>"'INVOCAÇÕES'!AC1073"</f>
        <v/>
      </c>
      <c r="D3922" s="198" t="inlineStr">
        <is>
          <t>entrada</t>
        </is>
      </c>
    </row>
    <row r="3923">
      <c r="A3923" s="198" t="inlineStr">
        <is>
          <t>invocacao.12.talento.5</t>
        </is>
      </c>
      <c r="B3923" s="198">
        <f>IF(ISBLANK('INVOCAÇÕES'!$AC$1152),"",'INVOCAÇÕES'!$AC$1152&amp;"")</f>
        <v/>
      </c>
      <c r="C3923" s="198">
        <f>"'INVOCAÇÕES'!AC1074"</f>
        <v/>
      </c>
      <c r="D3923" s="198" t="inlineStr">
        <is>
          <t>entrada</t>
        </is>
      </c>
    </row>
    <row r="3924">
      <c r="A3924" s="198" t="inlineStr">
        <is>
          <t>invocacao.12.talento.6</t>
        </is>
      </c>
      <c r="B3924" s="198">
        <f>IF(ISBLANK('INVOCAÇÕES'!$AC$1153),"",'INVOCAÇÕES'!$AC$1153&amp;"")</f>
        <v/>
      </c>
      <c r="C3924" s="198">
        <f>"'INVOCAÇÕES'!AC1075"</f>
        <v/>
      </c>
      <c r="D3924" s="198" t="inlineStr">
        <is>
          <t>entrada</t>
        </is>
      </c>
    </row>
    <row r="3925">
      <c r="A3925" s="198" t="inlineStr">
        <is>
          <t>invocacao.12.talento.7</t>
        </is>
      </c>
      <c r="B3925" s="198">
        <f>IF(ISBLANK('INVOCAÇÕES'!$AC$1154),"",'INVOCAÇÕES'!$AC$1154&amp;"")</f>
        <v/>
      </c>
      <c r="C3925" s="198">
        <f>"'INVOCAÇÕES'!AC1076"</f>
        <v/>
      </c>
      <c r="D3925" s="198" t="inlineStr">
        <is>
          <t>entrada</t>
        </is>
      </c>
    </row>
    <row r="3926">
      <c r="A3926" s="198" t="inlineStr">
        <is>
          <t>invocacao.12.talento.8</t>
        </is>
      </c>
      <c r="B3926" s="198">
        <f>IF(ISBLANK('INVOCAÇÕES'!$AC$1155),"",'INVOCAÇÕES'!$AC$1155&amp;"")</f>
        <v/>
      </c>
      <c r="C3926" s="198">
        <f>"'INVOCAÇÕES'!AC1077"</f>
        <v/>
      </c>
      <c r="D3926" s="198" t="inlineStr">
        <is>
          <t>entrada</t>
        </is>
      </c>
    </row>
    <row r="3927">
      <c r="A3927" s="198" t="inlineStr">
        <is>
          <t>invocacao.12.talento_extra.1</t>
        </is>
      </c>
      <c r="B3927" s="198">
        <f>IF(ISBLANK('INVOCAÇÕES'!$AC$1250),"",'INVOCAÇÕES'!$AC$1250&amp;"")</f>
        <v/>
      </c>
      <c r="C3927" s="198">
        <f>"'INVOCAÇÕES'!AC1172"</f>
        <v/>
      </c>
      <c r="D3927" s="198" t="inlineStr">
        <is>
          <t>entrada</t>
        </is>
      </c>
    </row>
    <row r="3928">
      <c r="A3928" s="198" t="inlineStr">
        <is>
          <t>invocacao.12.talento_extra.2</t>
        </is>
      </c>
      <c r="B3928" s="198">
        <f>IF(ISBLANK('INVOCAÇÕES'!$AC$1251),"",'INVOCAÇÕES'!$AC$1251&amp;"")</f>
        <v/>
      </c>
      <c r="C3928" s="198">
        <f>"'INVOCAÇÕES'!AC1173"</f>
        <v/>
      </c>
      <c r="D3928" s="198" t="inlineStr">
        <is>
          <t>entrada</t>
        </is>
      </c>
    </row>
    <row r="3929">
      <c r="A3929" s="198" t="inlineStr">
        <is>
          <t>invocacao.12.talento_extra.3</t>
        </is>
      </c>
      <c r="B3929" s="198">
        <f>IF(ISBLANK('INVOCAÇÕES'!$AC$1252),"",'INVOCAÇÕES'!$AC$1252&amp;"")</f>
        <v/>
      </c>
      <c r="C3929" s="198">
        <f>"'INVOCAÇÕES'!AC1174"</f>
        <v/>
      </c>
      <c r="D3929" s="198" t="inlineStr">
        <is>
          <t>entrada</t>
        </is>
      </c>
    </row>
    <row r="3930">
      <c r="A3930" s="198" t="inlineStr">
        <is>
          <t>invocacao.12.equipamento.1</t>
        </is>
      </c>
      <c r="B3930" s="198">
        <f>IF(ISBLANK('INVOCAÇÕES'!$AO$1088),"",'INVOCAÇÕES'!$AO$1088&amp;"")</f>
        <v/>
      </c>
      <c r="C3930" s="198">
        <f>"'INVOCAÇÕES'!AO1023"</f>
        <v/>
      </c>
      <c r="D3930" s="198" t="inlineStr">
        <is>
          <t>entrada</t>
        </is>
      </c>
    </row>
    <row r="3931">
      <c r="A3931" s="198" t="inlineStr">
        <is>
          <t>invocacao.12.equipamento.2</t>
        </is>
      </c>
      <c r="B3931" s="198">
        <f>IF(ISBLANK('INVOCAÇÕES'!$AO$1089),"",'INVOCAÇÕES'!$AO$1089&amp;"")</f>
        <v/>
      </c>
      <c r="C3931" s="198">
        <f>"'INVOCAÇÕES'!AO1024"</f>
        <v/>
      </c>
      <c r="D3931" s="198" t="inlineStr">
        <is>
          <t>entrada</t>
        </is>
      </c>
    </row>
    <row r="3932">
      <c r="A3932" s="198" t="inlineStr">
        <is>
          <t>invocacao.12.equipamento.3</t>
        </is>
      </c>
      <c r="B3932" s="198">
        <f>IF(ISBLANK('INVOCAÇÕES'!$AO$1090),"",'INVOCAÇÕES'!$AO$1090&amp;"")</f>
        <v/>
      </c>
      <c r="C3932" s="198">
        <f>"'INVOCAÇÕES'!AO1025"</f>
        <v/>
      </c>
      <c r="D3932" s="198" t="inlineStr">
        <is>
          <t>entrada</t>
        </is>
      </c>
    </row>
    <row r="3933">
      <c r="A3933" s="198" t="inlineStr">
        <is>
          <t>invocacao.12.liberacao.1.classe</t>
        </is>
      </c>
      <c r="B3933" s="198">
        <f>IF(ISBLANK('INVOCAÇÕES'!$AB$1257),"",'INVOCAÇÕES'!$AB$1257&amp;"")</f>
        <v/>
      </c>
      <c r="C3933" s="198">
        <f>"'INVOCAÇÕES'!AB1179"</f>
        <v/>
      </c>
      <c r="D3933" s="198" t="inlineStr">
        <is>
          <t>entrada</t>
        </is>
      </c>
    </row>
    <row r="3934">
      <c r="A3934" s="198" t="inlineStr">
        <is>
          <t>invocacao.12.liberacao.1.nome</t>
        </is>
      </c>
      <c r="B3934" s="198">
        <f>IF(ISBLANK('INVOCAÇÕES'!$AC$1257),"",'INVOCAÇÕES'!$AC$1257&amp;"")</f>
        <v/>
      </c>
      <c r="C3934" s="198">
        <f>"'INVOCAÇÕES'!AC1179"</f>
        <v/>
      </c>
      <c r="D3934" s="198" t="inlineStr">
        <is>
          <t>entrada</t>
        </is>
      </c>
    </row>
    <row r="3935">
      <c r="A3935" s="198" t="inlineStr">
        <is>
          <t>invocacao.12.liberacao.1.pe</t>
        </is>
      </c>
      <c r="B3935" s="198">
        <f>IF(ISBLANK('INVOCAÇÕES'!$AF$1257),"",'INVOCAÇÕES'!$AF$1257&amp;"")</f>
        <v/>
      </c>
      <c r="C3935" s="198">
        <f>"'INVOCAÇÕES'!AF1179"</f>
        <v/>
      </c>
      <c r="D3935" s="198" t="inlineStr">
        <is>
          <t>resultado</t>
        </is>
      </c>
    </row>
    <row r="3936">
      <c r="A3936" s="198" t="inlineStr">
        <is>
          <t>invocacao.12.liberacao.1.como</t>
        </is>
      </c>
      <c r="B3936" s="198">
        <f>IF(ISBLANK('INVOCAÇÕES'!$AB$1258),"",'INVOCAÇÕES'!$AB$1258&amp;"")</f>
        <v/>
      </c>
      <c r="C3936" s="198">
        <f>"'INVOCAÇÕES'!AB1180"</f>
        <v/>
      </c>
      <c r="D3936" s="198" t="inlineStr">
        <is>
          <t>entrada</t>
        </is>
      </c>
    </row>
    <row r="3937">
      <c r="A3937" s="198" t="inlineStr">
        <is>
          <t>invocacao.12.liberacao.1.pontos</t>
        </is>
      </c>
      <c r="B3937" s="198">
        <f>IF(ISBLANK('INVOCAÇÕES'!$AB$1262),"",'INVOCAÇÕES'!$AB$1262&amp;"")</f>
        <v/>
      </c>
      <c r="C3937" s="198">
        <f>"'INVOCAÇÕES'!AB1184"</f>
        <v/>
      </c>
      <c r="D3937" s="198" t="inlineStr">
        <is>
          <t>resultado</t>
        </is>
      </c>
    </row>
    <row r="3938">
      <c r="A3938" s="198" t="inlineStr">
        <is>
          <t>invocacao.12.liberacao.1.acao</t>
        </is>
      </c>
      <c r="B3938" s="198">
        <f>IF(ISBLANK('INVOCAÇÕES'!$AB$1263),"",'INVOCAÇÕES'!$AB$1263&amp;"")</f>
        <v/>
      </c>
      <c r="C3938" s="198">
        <f>"'INVOCAÇÕES'!AB1185"</f>
        <v/>
      </c>
      <c r="D3938" s="198" t="inlineStr">
        <is>
          <t>resultado</t>
        </is>
      </c>
    </row>
    <row r="3939">
      <c r="A3939" s="198" t="inlineStr">
        <is>
          <t>invocacao.12.liberacao.2.classe</t>
        </is>
      </c>
      <c r="B3939" s="198">
        <f>IF(ISBLANK('INVOCAÇÕES'!$AH$1257),"",'INVOCAÇÕES'!$AH$1257&amp;"")</f>
        <v/>
      </c>
      <c r="C3939" s="198">
        <f>"'INVOCAÇÕES'!AH1179"</f>
        <v/>
      </c>
      <c r="D3939" s="198" t="inlineStr">
        <is>
          <t>entrada</t>
        </is>
      </c>
    </row>
    <row r="3940">
      <c r="A3940" s="198" t="inlineStr">
        <is>
          <t>invocacao.12.liberacao.2.nome</t>
        </is>
      </c>
      <c r="B3940" s="198">
        <f>IF(ISBLANK('INVOCAÇÕES'!$AI$1257),"",'INVOCAÇÕES'!$AI$1257&amp;"")</f>
        <v/>
      </c>
      <c r="C3940" s="198">
        <f>"'INVOCAÇÕES'!AI1179"</f>
        <v/>
      </c>
      <c r="D3940" s="198" t="inlineStr">
        <is>
          <t>entrada</t>
        </is>
      </c>
    </row>
    <row r="3941">
      <c r="A3941" s="198" t="inlineStr">
        <is>
          <t>invocacao.12.liberacao.2.pe</t>
        </is>
      </c>
      <c r="B3941" s="198">
        <f>IF(ISBLANK('INVOCAÇÕES'!$AL$1257),"",'INVOCAÇÕES'!$AL$1257&amp;"")</f>
        <v/>
      </c>
      <c r="C3941" s="198">
        <f>"'INVOCAÇÕES'!AL1179"</f>
        <v/>
      </c>
      <c r="D3941" s="198" t="inlineStr">
        <is>
          <t>resultado</t>
        </is>
      </c>
    </row>
    <row r="3942">
      <c r="A3942" s="198" t="inlineStr">
        <is>
          <t>invocacao.12.liberacao.2.como</t>
        </is>
      </c>
      <c r="B3942" s="198">
        <f>IF(ISBLANK('INVOCAÇÕES'!$AH$1258),"",'INVOCAÇÕES'!$AH$1258&amp;"")</f>
        <v/>
      </c>
      <c r="C3942" s="198">
        <f>"'INVOCAÇÕES'!AH1180"</f>
        <v/>
      </c>
      <c r="D3942" s="198" t="inlineStr">
        <is>
          <t>entrada</t>
        </is>
      </c>
    </row>
    <row r="3943">
      <c r="A3943" s="198" t="inlineStr">
        <is>
          <t>invocacao.12.liberacao.2.pontos</t>
        </is>
      </c>
      <c r="B3943" s="198">
        <f>IF(ISBLANK('INVOCAÇÕES'!$AH$1262),"",'INVOCAÇÕES'!$AH$1262&amp;"")</f>
        <v/>
      </c>
      <c r="C3943" s="198">
        <f>"'INVOCAÇÕES'!AH1184"</f>
        <v/>
      </c>
      <c r="D3943" s="198" t="inlineStr">
        <is>
          <t>resultado</t>
        </is>
      </c>
    </row>
    <row r="3944">
      <c r="A3944" s="198" t="inlineStr">
        <is>
          <t>invocacao.12.liberacao.2.acao</t>
        </is>
      </c>
      <c r="B3944" s="198">
        <f>IF(ISBLANK('INVOCAÇÕES'!$AH$1263),"",'INVOCAÇÕES'!$AH$1263&amp;"")</f>
        <v/>
      </c>
      <c r="C3944" s="198">
        <f>"'INVOCAÇÕES'!AH1185"</f>
        <v/>
      </c>
      <c r="D3944" s="198" t="inlineStr">
        <is>
          <t>resultado</t>
        </is>
      </c>
    </row>
    <row r="3945">
      <c r="A3945" s="198" t="inlineStr">
        <is>
          <t>invocacao.12.liberacao.3.classe</t>
        </is>
      </c>
      <c r="B3945" s="198">
        <f>IF(ISBLANK('INVOCAÇÕES'!$AN$1257),"",'INVOCAÇÕES'!$AN$1257&amp;"")</f>
        <v/>
      </c>
      <c r="C3945" s="198">
        <f>"'INVOCAÇÕES'!AN1179"</f>
        <v/>
      </c>
      <c r="D3945" s="198" t="inlineStr">
        <is>
          <t>entrada</t>
        </is>
      </c>
    </row>
    <row r="3946">
      <c r="A3946" s="198" t="inlineStr">
        <is>
          <t>invocacao.12.liberacao.3.nome</t>
        </is>
      </c>
      <c r="B3946" s="198">
        <f>IF(ISBLANK('INVOCAÇÕES'!$AO$1257),"",'INVOCAÇÕES'!$AO$1257&amp;"")</f>
        <v/>
      </c>
      <c r="C3946" s="198">
        <f>"'INVOCAÇÕES'!AO1179"</f>
        <v/>
      </c>
      <c r="D3946" s="198" t="inlineStr">
        <is>
          <t>entrada</t>
        </is>
      </c>
    </row>
    <row r="3947">
      <c r="A3947" s="198" t="inlineStr">
        <is>
          <t>invocacao.12.liberacao.3.pe</t>
        </is>
      </c>
      <c r="B3947" s="198">
        <f>IF(ISBLANK('INVOCAÇÕES'!$AR$1257),"",'INVOCAÇÕES'!$AR$1257&amp;"")</f>
        <v/>
      </c>
      <c r="C3947" s="198">
        <f>"'INVOCAÇÕES'!AR1179"</f>
        <v/>
      </c>
      <c r="D3947" s="198" t="inlineStr">
        <is>
          <t>resultado</t>
        </is>
      </c>
    </row>
    <row r="3948">
      <c r="A3948" s="198" t="inlineStr">
        <is>
          <t>invocacao.12.liberacao.3.como</t>
        </is>
      </c>
      <c r="B3948" s="198">
        <f>IF(ISBLANK('INVOCAÇÕES'!$AN$1258),"",'INVOCAÇÕES'!$AN$1258&amp;"")</f>
        <v/>
      </c>
      <c r="C3948" s="198">
        <f>"'INVOCAÇÕES'!AN1180"</f>
        <v/>
      </c>
      <c r="D3948" s="198" t="inlineStr">
        <is>
          <t>entrada</t>
        </is>
      </c>
    </row>
    <row r="3949">
      <c r="A3949" s="198" t="inlineStr">
        <is>
          <t>invocacao.12.liberacao.3.pontos</t>
        </is>
      </c>
      <c r="B3949" s="198">
        <f>IF(ISBLANK('INVOCAÇÕES'!$AN$1262),"",'INVOCAÇÕES'!$AN$1262&amp;"")</f>
        <v/>
      </c>
      <c r="C3949" s="198">
        <f>"'INVOCAÇÕES'!AN1184"</f>
        <v/>
      </c>
      <c r="D3949" s="198" t="inlineStr">
        <is>
          <t>resultado</t>
        </is>
      </c>
    </row>
    <row r="3950">
      <c r="A3950" s="198" t="inlineStr">
        <is>
          <t>invocacao.12.liberacao.3.acao</t>
        </is>
      </c>
      <c r="B3950" s="198">
        <f>IF(ISBLANK('INVOCAÇÕES'!$AN$1263),"",'INVOCAÇÕES'!$AN$1263&amp;"")</f>
        <v/>
      </c>
      <c r="C3950" s="198">
        <f>"'INVOCAÇÕES'!AN1185"</f>
        <v/>
      </c>
      <c r="D3950" s="198" t="inlineStr">
        <is>
          <t>resultado</t>
        </is>
      </c>
    </row>
    <row r="3951">
      <c r="A3951" s="198" t="inlineStr">
        <is>
          <t>invocacao.12.tm.nome</t>
        </is>
      </c>
      <c r="B3951" s="198">
        <f>IF(ISBLANK('INVOCAÇÕES'!$AB$1266),"",'INVOCAÇÕES'!$AB$1266&amp;"")</f>
        <v/>
      </c>
      <c r="C3951" s="198">
        <f>"'INVOCAÇÕES'!AB1188"</f>
        <v/>
      </c>
      <c r="D3951" s="198" t="inlineStr">
        <is>
          <t>entrada</t>
        </is>
      </c>
    </row>
    <row r="3952">
      <c r="A3952" s="198" t="inlineStr">
        <is>
          <t>invocacao.12.tm.pe</t>
        </is>
      </c>
      <c r="B3952" s="198">
        <f>IF(ISBLANK('INVOCAÇÕES'!$AF$1266),"",'INVOCAÇÕES'!$AF$1266&amp;"")</f>
        <v/>
      </c>
      <c r="C3952" s="198">
        <f>"'INVOCAÇÕES'!AF1188"</f>
        <v/>
      </c>
      <c r="D3952" s="198" t="inlineStr">
        <is>
          <t>resultado</t>
        </is>
      </c>
    </row>
    <row r="3953">
      <c r="A3953" s="198" t="inlineStr">
        <is>
          <t>invocacao.12.tm.como</t>
        </is>
      </c>
      <c r="B3953" s="198">
        <f>IF(ISBLANK('INVOCAÇÕES'!$AB$1267),"",'INVOCAÇÕES'!$AB$1267&amp;"")</f>
        <v/>
      </c>
      <c r="C3953" s="198">
        <f>"'INVOCAÇÕES'!AB1189"</f>
        <v/>
      </c>
      <c r="D3953" s="198" t="inlineStr">
        <is>
          <t>entrada</t>
        </is>
      </c>
    </row>
    <row r="3954">
      <c r="A3954" s="198" t="inlineStr">
        <is>
          <t>invocacao.12.tm.dados</t>
        </is>
      </c>
      <c r="B3954" s="198">
        <f>IF(ISBLANK('INVOCAÇÕES'!$AB$1271),"",'INVOCAÇÕES'!$AB$1271&amp;"")</f>
        <v/>
      </c>
      <c r="C3954" s="198">
        <f>"'INVOCAÇÕES'!AB1193"</f>
        <v/>
      </c>
      <c r="D3954" s="198" t="inlineStr">
        <is>
          <t>resultado</t>
        </is>
      </c>
    </row>
    <row r="3955">
      <c r="A3955" s="198" t="inlineStr">
        <is>
          <t>invocacao.12.tm.acao</t>
        </is>
      </c>
      <c r="B3955" s="198">
        <f>IF(ISBLANK('INVOCAÇÕES'!$AB$1272),"",'INVOCAÇÕES'!$AB$1272&amp;"")</f>
        <v/>
      </c>
      <c r="C3955" s="198">
        <f>"'INVOCAÇÕES'!AB1194"</f>
        <v/>
      </c>
      <c r="D3955" s="198" t="inlineStr">
        <is>
          <t>resultado</t>
        </is>
      </c>
    </row>
    <row r="3956">
      <c r="A3956" s="198" t="inlineStr">
        <is>
          <t>invocacao.12.exp.nome</t>
        </is>
      </c>
      <c r="B3956" s="198">
        <f>IF(ISBLANK('INVOCAÇÕES'!$AH$1266),"",'INVOCAÇÕES'!$AH$1266&amp;"")</f>
        <v/>
      </c>
      <c r="C3956" s="198">
        <f>"'INVOCAÇÕES'!AH1188"</f>
        <v/>
      </c>
      <c r="D3956" s="198" t="inlineStr">
        <is>
          <t>entrada</t>
        </is>
      </c>
    </row>
    <row r="3957">
      <c r="A3957" s="198" t="inlineStr">
        <is>
          <t>invocacao.12.exp.pe</t>
        </is>
      </c>
      <c r="B3957" s="198">
        <f>IF(ISBLANK('INVOCAÇÕES'!$AL$1266),"",'INVOCAÇÕES'!$AL$1266&amp;"")</f>
        <v/>
      </c>
      <c r="C3957" s="198">
        <f>"'INVOCAÇÕES'!AL1188"</f>
        <v/>
      </c>
      <c r="D3957" s="198" t="inlineStr">
        <is>
          <t>resultado</t>
        </is>
      </c>
    </row>
    <row r="3958">
      <c r="A3958" s="198" t="inlineStr">
        <is>
          <t>invocacao.12.exp.como</t>
        </is>
      </c>
      <c r="B3958" s="198">
        <f>IF(ISBLANK('INVOCAÇÕES'!$AH$1267),"",'INVOCAÇÕES'!$AH$1267&amp;"")</f>
        <v/>
      </c>
      <c r="C3958" s="198">
        <f>"'INVOCAÇÕES'!AH1189"</f>
        <v/>
      </c>
      <c r="D3958" s="198" t="inlineStr">
        <is>
          <t>entrada</t>
        </is>
      </c>
    </row>
    <row r="3959">
      <c r="A3959" s="198" t="inlineStr">
        <is>
          <t>invocacao.12.exp.degrau</t>
        </is>
      </c>
      <c r="B3959" s="198">
        <f>IF(ISBLANK('INVOCAÇÕES'!$AH$1271),"",'INVOCAÇÕES'!$AH$1271&amp;"")</f>
        <v/>
      </c>
      <c r="C3959" s="198">
        <f>"'INVOCAÇÕES'!AH1193"</f>
        <v/>
      </c>
      <c r="D3959" s="198" t="inlineStr">
        <is>
          <t>entrada</t>
        </is>
      </c>
    </row>
    <row r="3960">
      <c r="A3960" s="198" t="inlineStr">
        <is>
          <t>invocacao.12.exp.acerto</t>
        </is>
      </c>
      <c r="B3960" s="198">
        <f>IF(ISBLANK('INVOCAÇÕES'!$AJ$1271),"",'INVOCAÇÕES'!$AJ$1271&amp;"")</f>
        <v/>
      </c>
      <c r="C3960" s="198">
        <f>"'INVOCAÇÕES'!AJ1193"</f>
        <v/>
      </c>
      <c r="D3960" s="198" t="inlineStr">
        <is>
          <t>entrada</t>
        </is>
      </c>
    </row>
    <row r="3961">
      <c r="A3961" s="198" t="inlineStr">
        <is>
          <t>invocacao.12.exp.pede</t>
        </is>
      </c>
      <c r="B3961" s="198">
        <f>IF(ISBLANK('INVOCAÇÕES'!$AH$1272),"",'INVOCAÇÕES'!$AH$1272&amp;"")</f>
        <v/>
      </c>
      <c r="C3961" s="198">
        <f>"'INVOCAÇÕES'!AH1194"</f>
        <v/>
      </c>
      <c r="D3961" s="198" t="inlineStr">
        <is>
          <t>resultado</t>
        </is>
      </c>
    </row>
    <row r="3962">
      <c r="A3962" s="198" t="inlineStr">
        <is>
          <t>invocacao.1.bas.1.texto</t>
        </is>
      </c>
      <c r="B3962" s="198">
        <f>IF(ISBLANK('INVOCAÇÕES'!$I$73),"",'INVOCAÇÕES'!$I$73&amp;"")</f>
        <v/>
      </c>
      <c r="C3962" s="198">
        <f>"'INVOCAÇÕES'!I60"</f>
        <v/>
      </c>
      <c r="D3962" s="198" t="inlineStr">
        <is>
          <t>entrada</t>
        </is>
      </c>
    </row>
    <row r="3963">
      <c r="A3963" s="198" t="inlineStr">
        <is>
          <t>invocacao.1.bas.1.tipo_dano</t>
        </is>
      </c>
      <c r="B3963" s="198">
        <f>IF(ISBLANK('INVOCAÇÕES'!$I$77),"",'INVOCAÇÕES'!$I$77&amp;"")</f>
        <v/>
      </c>
      <c r="C3963" s="198">
        <f>"'INVOCAÇÕES'!I64"</f>
        <v/>
      </c>
      <c r="D3963" s="198" t="inlineStr">
        <is>
          <t>entrada</t>
        </is>
      </c>
    </row>
    <row r="3964">
      <c r="A3964" s="198" t="inlineStr">
        <is>
          <t>invocacao.1.bas.1.resolucao_escolha</t>
        </is>
      </c>
      <c r="B3964" s="198">
        <f>IF(ISBLANK('INVOCAÇÕES'!$K$77),"",'INVOCAÇÕES'!$K$77&amp;"")</f>
        <v/>
      </c>
      <c r="C3964" s="198">
        <f>"'INVOCAÇÕES'!K64"</f>
        <v/>
      </c>
      <c r="D3964" s="198" t="inlineStr">
        <is>
          <t>entrada</t>
        </is>
      </c>
    </row>
    <row r="3965">
      <c r="A3965" s="198" t="inlineStr">
        <is>
          <t>invocacao.1.bas.1.acao</t>
        </is>
      </c>
      <c r="B3965" s="198">
        <f>IF(ISBLANK('INVOCAÇÕES'!$I$78),"",'INVOCAÇÕES'!$I$78&amp;"")</f>
        <v/>
      </c>
      <c r="C3965" s="198">
        <f>"'INVOCAÇÕES'!I65"</f>
        <v/>
      </c>
      <c r="D3965" s="198" t="inlineStr">
        <is>
          <t>resultado</t>
        </is>
      </c>
    </row>
    <row r="3966">
      <c r="A3966" s="198" t="inlineStr">
        <is>
          <t>invocacao.1.bas.1.resolve</t>
        </is>
      </c>
      <c r="B3966" s="198">
        <f>IF(ISBLANK('INVOCAÇÕES'!$K$78),"",'INVOCAÇÕES'!$K$78&amp;"")</f>
        <v/>
      </c>
      <c r="C3966" s="198">
        <f>"'INVOCAÇÕES'!K65"</f>
        <v/>
      </c>
      <c r="D3966" s="198" t="inlineStr">
        <is>
          <t>resultado</t>
        </is>
      </c>
    </row>
    <row r="3967">
      <c r="A3967" s="198" t="inlineStr">
        <is>
          <t>invocacao.1.bas.1.alcance</t>
        </is>
      </c>
      <c r="B3967" s="198">
        <f>IF(ISBLANK('INVOCAÇÕES'!$I$79),"",'INVOCAÇÕES'!$I$79&amp;"")</f>
        <v/>
      </c>
      <c r="C3967" s="198">
        <f>"'INVOCAÇÕES'!I66"</f>
        <v/>
      </c>
      <c r="D3967" s="198" t="inlineStr">
        <is>
          <t>resultado</t>
        </is>
      </c>
    </row>
    <row r="3968">
      <c r="A3968" s="198" t="inlineStr">
        <is>
          <t>invocacao.1.esp.1.texto</t>
        </is>
      </c>
      <c r="B3968" s="198">
        <f>IF(ISBLANK('INVOCAÇÕES'!$O$73),"",'INVOCAÇÕES'!$O$73&amp;"")</f>
        <v/>
      </c>
      <c r="C3968" s="198">
        <f>"'INVOCAÇÕES'!O60"</f>
        <v/>
      </c>
      <c r="D3968" s="198" t="inlineStr">
        <is>
          <t>entrada</t>
        </is>
      </c>
    </row>
    <row r="3969">
      <c r="A3969" s="198" t="inlineStr">
        <is>
          <t>invocacao.1.esp.1.tipo_dano</t>
        </is>
      </c>
      <c r="B3969" s="198">
        <f>IF(ISBLANK('INVOCAÇÕES'!$O$77),"",'INVOCAÇÕES'!$O$77&amp;"")</f>
        <v/>
      </c>
      <c r="C3969" s="198">
        <f>"'INVOCAÇÕES'!O64"</f>
        <v/>
      </c>
      <c r="D3969" s="198" t="inlineStr">
        <is>
          <t>entrada</t>
        </is>
      </c>
    </row>
    <row r="3970">
      <c r="A3970" s="198" t="inlineStr">
        <is>
          <t>invocacao.1.esp.1.resolucao_escolha</t>
        </is>
      </c>
      <c r="B3970" s="198">
        <f>IF(ISBLANK('INVOCAÇÕES'!$Q$77),"",'INVOCAÇÕES'!$Q$77&amp;"")</f>
        <v/>
      </c>
      <c r="C3970" s="198">
        <f>"'INVOCAÇÕES'!Q64"</f>
        <v/>
      </c>
      <c r="D3970" s="198" t="inlineStr">
        <is>
          <t>entrada</t>
        </is>
      </c>
    </row>
    <row r="3971">
      <c r="A3971" s="198" t="inlineStr">
        <is>
          <t>invocacao.1.esp.1.acao</t>
        </is>
      </c>
      <c r="B3971" s="198">
        <f>IF(ISBLANK('INVOCAÇÕES'!$O$78),"",'INVOCAÇÕES'!$O$78&amp;"")</f>
        <v/>
      </c>
      <c r="C3971" s="198">
        <f>"'INVOCAÇÕES'!O65"</f>
        <v/>
      </c>
      <c r="D3971" s="198" t="inlineStr">
        <is>
          <t>resultado</t>
        </is>
      </c>
    </row>
    <row r="3972">
      <c r="A3972" s="198" t="inlineStr">
        <is>
          <t>invocacao.1.esp.1.resolve</t>
        </is>
      </c>
      <c r="B3972" s="198">
        <f>IF(ISBLANK('INVOCAÇÕES'!$Q$78),"",'INVOCAÇÕES'!$Q$78&amp;"")</f>
        <v/>
      </c>
      <c r="C3972" s="198">
        <f>"'INVOCAÇÕES'!Q65"</f>
        <v/>
      </c>
      <c r="D3972" s="198" t="inlineStr">
        <is>
          <t>resultado</t>
        </is>
      </c>
    </row>
    <row r="3973">
      <c r="A3973" s="198" t="inlineStr">
        <is>
          <t>invocacao.1.esp.1.alcance</t>
        </is>
      </c>
      <c r="B3973" s="198">
        <f>IF(ISBLANK('INVOCAÇÕES'!$O$79),"",'INVOCAÇÕES'!$O$79&amp;"")</f>
        <v/>
      </c>
      <c r="C3973" s="198">
        <f>"'INVOCAÇÕES'!O66"</f>
        <v/>
      </c>
      <c r="D3973" s="198" t="inlineStr">
        <is>
          <t>resultado</t>
        </is>
      </c>
    </row>
    <row r="3974">
      <c r="A3974" s="198" t="inlineStr">
        <is>
          <t>invocacao.1.esp.2.texto</t>
        </is>
      </c>
      <c r="B3974" s="198">
        <f>IF(ISBLANK('INVOCAÇÕES'!$U$73),"",'INVOCAÇÕES'!$U$73&amp;"")</f>
        <v/>
      </c>
      <c r="C3974" s="198">
        <f>"'INVOCAÇÕES'!U60"</f>
        <v/>
      </c>
      <c r="D3974" s="198" t="inlineStr">
        <is>
          <t>entrada</t>
        </is>
      </c>
    </row>
    <row r="3975">
      <c r="A3975" s="198" t="inlineStr">
        <is>
          <t>invocacao.1.esp.2.tipo_dano</t>
        </is>
      </c>
      <c r="B3975" s="198">
        <f>IF(ISBLANK('INVOCAÇÕES'!$U$77),"",'INVOCAÇÕES'!$U$77&amp;"")</f>
        <v/>
      </c>
      <c r="C3975" s="198">
        <f>"'INVOCAÇÕES'!U64"</f>
        <v/>
      </c>
      <c r="D3975" s="198" t="inlineStr">
        <is>
          <t>entrada</t>
        </is>
      </c>
    </row>
    <row r="3976">
      <c r="A3976" s="198" t="inlineStr">
        <is>
          <t>invocacao.1.esp.2.resolucao_escolha</t>
        </is>
      </c>
      <c r="B3976" s="198">
        <f>IF(ISBLANK('INVOCAÇÕES'!$W$77),"",'INVOCAÇÕES'!$W$77&amp;"")</f>
        <v/>
      </c>
      <c r="C3976" s="198">
        <f>"'INVOCAÇÕES'!W64"</f>
        <v/>
      </c>
      <c r="D3976" s="198" t="inlineStr">
        <is>
          <t>entrada</t>
        </is>
      </c>
    </row>
    <row r="3977">
      <c r="A3977" s="198" t="inlineStr">
        <is>
          <t>invocacao.1.esp.2.acao</t>
        </is>
      </c>
      <c r="B3977" s="198">
        <f>IF(ISBLANK('INVOCAÇÕES'!$U$78),"",'INVOCAÇÕES'!$U$78&amp;"")</f>
        <v/>
      </c>
      <c r="C3977" s="198">
        <f>"'INVOCAÇÕES'!U65"</f>
        <v/>
      </c>
      <c r="D3977" s="198" t="inlineStr">
        <is>
          <t>resultado</t>
        </is>
      </c>
    </row>
    <row r="3978">
      <c r="A3978" s="198" t="inlineStr">
        <is>
          <t>invocacao.1.esp.2.resolve</t>
        </is>
      </c>
      <c r="B3978" s="198">
        <f>IF(ISBLANK('INVOCAÇÕES'!$W$78),"",'INVOCAÇÕES'!$W$78&amp;"")</f>
        <v/>
      </c>
      <c r="C3978" s="198">
        <f>"'INVOCAÇÕES'!W65"</f>
        <v/>
      </c>
      <c r="D3978" s="198" t="inlineStr">
        <is>
          <t>resultado</t>
        </is>
      </c>
    </row>
    <row r="3979">
      <c r="A3979" s="198" t="inlineStr">
        <is>
          <t>invocacao.1.esp.2.alcance</t>
        </is>
      </c>
      <c r="B3979" s="198">
        <f>IF(ISBLANK('INVOCAÇÕES'!$U$79),"",'INVOCAÇÕES'!$U$79&amp;"")</f>
        <v/>
      </c>
      <c r="C3979" s="198">
        <f>"'INVOCAÇÕES'!U66"</f>
        <v/>
      </c>
      <c r="D3979" s="198" t="inlineStr">
        <is>
          <t>resultado</t>
        </is>
      </c>
    </row>
    <row r="3980">
      <c r="A3980" s="198" t="inlineStr">
        <is>
          <t>invocacao.1.bas.2.texto</t>
        </is>
      </c>
      <c r="B3980" s="198">
        <f>IF(ISBLANK('INVOCAÇÕES'!$I$107),"",'INVOCAÇÕES'!$I$107&amp;"")</f>
        <v/>
      </c>
      <c r="C3980" s="198">
        <f>"'INVOCAÇÕES'!I94"</f>
        <v/>
      </c>
      <c r="D3980" s="198" t="inlineStr">
        <is>
          <t>entrada</t>
        </is>
      </c>
    </row>
    <row r="3981">
      <c r="A3981" s="198" t="inlineStr">
        <is>
          <t>invocacao.1.bas.2.tipo_dano</t>
        </is>
      </c>
      <c r="B3981" s="198">
        <f>IF(ISBLANK('INVOCAÇÕES'!$I$111),"",'INVOCAÇÕES'!$I$111&amp;"")</f>
        <v/>
      </c>
      <c r="C3981" s="198">
        <f>"'INVOCAÇÕES'!I98"</f>
        <v/>
      </c>
      <c r="D3981" s="198" t="inlineStr">
        <is>
          <t>entrada</t>
        </is>
      </c>
    </row>
    <row r="3982">
      <c r="A3982" s="198" t="inlineStr">
        <is>
          <t>invocacao.1.bas.2.resolucao_escolha</t>
        </is>
      </c>
      <c r="B3982" s="198">
        <f>IF(ISBLANK('INVOCAÇÕES'!$K$111),"",'INVOCAÇÕES'!$K$111&amp;"")</f>
        <v/>
      </c>
      <c r="C3982" s="198">
        <f>"'INVOCAÇÕES'!K98"</f>
        <v/>
      </c>
      <c r="D3982" s="198" t="inlineStr">
        <is>
          <t>entrada</t>
        </is>
      </c>
    </row>
    <row r="3983">
      <c r="A3983" s="198" t="inlineStr">
        <is>
          <t>invocacao.1.bas.2.acao</t>
        </is>
      </c>
      <c r="B3983" s="198">
        <f>IF(ISBLANK('INVOCAÇÕES'!$I$112),"",'INVOCAÇÕES'!$I$112&amp;"")</f>
        <v/>
      </c>
      <c r="C3983" s="198">
        <f>"'INVOCAÇÕES'!I99"</f>
        <v/>
      </c>
      <c r="D3983" s="198" t="inlineStr">
        <is>
          <t>resultado</t>
        </is>
      </c>
    </row>
    <row r="3984">
      <c r="A3984" s="198" t="inlineStr">
        <is>
          <t>invocacao.1.bas.2.resolve</t>
        </is>
      </c>
      <c r="B3984" s="198">
        <f>IF(ISBLANK('INVOCAÇÕES'!$K$112),"",'INVOCAÇÕES'!$K$112&amp;"")</f>
        <v/>
      </c>
      <c r="C3984" s="198">
        <f>"'INVOCAÇÕES'!K99"</f>
        <v/>
      </c>
      <c r="D3984" s="198" t="inlineStr">
        <is>
          <t>resultado</t>
        </is>
      </c>
    </row>
    <row r="3985">
      <c r="A3985" s="198" t="inlineStr">
        <is>
          <t>invocacao.1.bas.2.alcance</t>
        </is>
      </c>
      <c r="B3985" s="198">
        <f>IF(ISBLANK('INVOCAÇÕES'!$I$113),"",'INVOCAÇÕES'!$I$113&amp;"")</f>
        <v/>
      </c>
      <c r="C3985" s="198">
        <f>"'INVOCAÇÕES'!I100"</f>
        <v/>
      </c>
      <c r="D3985" s="198" t="inlineStr">
        <is>
          <t>resultado</t>
        </is>
      </c>
    </row>
    <row r="3986">
      <c r="A3986" s="198" t="inlineStr">
        <is>
          <t>invocacao.1.esp.3.texto</t>
        </is>
      </c>
      <c r="B3986" s="198">
        <f>IF(ISBLANK('INVOCAÇÕES'!$O$107),"",'INVOCAÇÕES'!$O$107&amp;"")</f>
        <v/>
      </c>
      <c r="C3986" s="198">
        <f>"'INVOCAÇÕES'!O94"</f>
        <v/>
      </c>
      <c r="D3986" s="198" t="inlineStr">
        <is>
          <t>entrada</t>
        </is>
      </c>
    </row>
    <row r="3987">
      <c r="A3987" s="198" t="inlineStr">
        <is>
          <t>invocacao.1.esp.3.tipo_dano</t>
        </is>
      </c>
      <c r="B3987" s="198">
        <f>IF(ISBLANK('INVOCAÇÕES'!$O$111),"",'INVOCAÇÕES'!$O$111&amp;"")</f>
        <v/>
      </c>
      <c r="C3987" s="198">
        <f>"'INVOCAÇÕES'!O98"</f>
        <v/>
      </c>
      <c r="D3987" s="198" t="inlineStr">
        <is>
          <t>entrada</t>
        </is>
      </c>
    </row>
    <row r="3988">
      <c r="A3988" s="198" t="inlineStr">
        <is>
          <t>invocacao.1.esp.3.resolucao_escolha</t>
        </is>
      </c>
      <c r="B3988" s="198">
        <f>IF(ISBLANK('INVOCAÇÕES'!$Q$111),"",'INVOCAÇÕES'!$Q$111&amp;"")</f>
        <v/>
      </c>
      <c r="C3988" s="198">
        <f>"'INVOCAÇÕES'!Q98"</f>
        <v/>
      </c>
      <c r="D3988" s="198" t="inlineStr">
        <is>
          <t>entrada</t>
        </is>
      </c>
    </row>
    <row r="3989">
      <c r="A3989" s="198" t="inlineStr">
        <is>
          <t>invocacao.1.esp.3.acao</t>
        </is>
      </c>
      <c r="B3989" s="198">
        <f>IF(ISBLANK('INVOCAÇÕES'!$O$112),"",'INVOCAÇÕES'!$O$112&amp;"")</f>
        <v/>
      </c>
      <c r="C3989" s="198">
        <f>"'INVOCAÇÕES'!O99"</f>
        <v/>
      </c>
      <c r="D3989" s="198" t="inlineStr">
        <is>
          <t>resultado</t>
        </is>
      </c>
    </row>
    <row r="3990">
      <c r="A3990" s="198" t="inlineStr">
        <is>
          <t>invocacao.1.esp.3.resolve</t>
        </is>
      </c>
      <c r="B3990" s="198">
        <f>IF(ISBLANK('INVOCAÇÕES'!$Q$112),"",'INVOCAÇÕES'!$Q$112&amp;"")</f>
        <v/>
      </c>
      <c r="C3990" s="198">
        <f>"'INVOCAÇÕES'!Q99"</f>
        <v/>
      </c>
      <c r="D3990" s="198" t="inlineStr">
        <is>
          <t>resultado</t>
        </is>
      </c>
    </row>
    <row r="3991">
      <c r="A3991" s="198" t="inlineStr">
        <is>
          <t>invocacao.1.esp.3.alcance</t>
        </is>
      </c>
      <c r="B3991" s="198">
        <f>IF(ISBLANK('INVOCAÇÕES'!$O$113),"",'INVOCAÇÕES'!$O$113&amp;"")</f>
        <v/>
      </c>
      <c r="C3991" s="198">
        <f>"'INVOCAÇÕES'!O100"</f>
        <v/>
      </c>
      <c r="D3991" s="198" t="inlineStr">
        <is>
          <t>resultado</t>
        </is>
      </c>
    </row>
    <row r="3992">
      <c r="A3992" s="198" t="inlineStr">
        <is>
          <t>invocacao.1.esp.4.texto</t>
        </is>
      </c>
      <c r="B3992" s="198">
        <f>IF(ISBLANK('INVOCAÇÕES'!$U$107),"",'INVOCAÇÕES'!$U$107&amp;"")</f>
        <v/>
      </c>
      <c r="C3992" s="198">
        <f>"'INVOCAÇÕES'!U94"</f>
        <v/>
      </c>
      <c r="D3992" s="198" t="inlineStr">
        <is>
          <t>entrada</t>
        </is>
      </c>
    </row>
    <row r="3993">
      <c r="A3993" s="198" t="inlineStr">
        <is>
          <t>invocacao.1.esp.4.tipo_dano</t>
        </is>
      </c>
      <c r="B3993" s="198">
        <f>IF(ISBLANK('INVOCAÇÕES'!$U$111),"",'INVOCAÇÕES'!$U$111&amp;"")</f>
        <v/>
      </c>
      <c r="C3993" s="198">
        <f>"'INVOCAÇÕES'!U98"</f>
        <v/>
      </c>
      <c r="D3993" s="198" t="inlineStr">
        <is>
          <t>entrada</t>
        </is>
      </c>
    </row>
    <row r="3994">
      <c r="A3994" s="198" t="inlineStr">
        <is>
          <t>invocacao.1.esp.4.resolucao_escolha</t>
        </is>
      </c>
      <c r="B3994" s="198">
        <f>IF(ISBLANK('INVOCAÇÕES'!$W$111),"",'INVOCAÇÕES'!$W$111&amp;"")</f>
        <v/>
      </c>
      <c r="C3994" s="198">
        <f>"'INVOCAÇÕES'!W98"</f>
        <v/>
      </c>
      <c r="D3994" s="198" t="inlineStr">
        <is>
          <t>entrada</t>
        </is>
      </c>
    </row>
    <row r="3995">
      <c r="A3995" s="198" t="inlineStr">
        <is>
          <t>invocacao.1.esp.4.acao</t>
        </is>
      </c>
      <c r="B3995" s="198">
        <f>IF(ISBLANK('INVOCAÇÕES'!$U$112),"",'INVOCAÇÕES'!$U$112&amp;"")</f>
        <v/>
      </c>
      <c r="C3995" s="198">
        <f>"'INVOCAÇÕES'!U99"</f>
        <v/>
      </c>
      <c r="D3995" s="198" t="inlineStr">
        <is>
          <t>resultado</t>
        </is>
      </c>
    </row>
    <row r="3996">
      <c r="A3996" s="198" t="inlineStr">
        <is>
          <t>invocacao.1.esp.4.resolve</t>
        </is>
      </c>
      <c r="B3996" s="198">
        <f>IF(ISBLANK('INVOCAÇÕES'!$W$112),"",'INVOCAÇÕES'!$W$112&amp;"")</f>
        <v/>
      </c>
      <c r="C3996" s="198">
        <f>"'INVOCAÇÕES'!W99"</f>
        <v/>
      </c>
      <c r="D3996" s="198" t="inlineStr">
        <is>
          <t>resultado</t>
        </is>
      </c>
    </row>
    <row r="3997">
      <c r="A3997" s="198" t="inlineStr">
        <is>
          <t>invocacao.1.esp.4.alcance</t>
        </is>
      </c>
      <c r="B3997" s="198">
        <f>IF(ISBLANK('INVOCAÇÕES'!$U$113),"",'INVOCAÇÕES'!$U$113&amp;"")</f>
        <v/>
      </c>
      <c r="C3997" s="198">
        <f>"'INVOCAÇÕES'!U100"</f>
        <v/>
      </c>
      <c r="D3997" s="198" t="inlineStr">
        <is>
          <t>resultado</t>
        </is>
      </c>
    </row>
    <row r="3998">
      <c r="A3998" s="198" t="inlineStr">
        <is>
          <t>invocacao.1.esp.5.texto</t>
        </is>
      </c>
      <c r="B3998" s="198">
        <f>IF(ISBLANK('INVOCAÇÕES'!$I$129),"",'INVOCAÇÕES'!$I$129&amp;"")</f>
        <v/>
      </c>
      <c r="C3998" s="198">
        <f>"'INVOCAÇÕES'!I116"</f>
        <v/>
      </c>
      <c r="D3998" s="198" t="inlineStr">
        <is>
          <t>entrada</t>
        </is>
      </c>
    </row>
    <row r="3999">
      <c r="A3999" s="198" t="inlineStr">
        <is>
          <t>invocacao.1.esp.5.tipo_dano</t>
        </is>
      </c>
      <c r="B3999" s="198">
        <f>IF(ISBLANK('INVOCAÇÕES'!$I$133),"",'INVOCAÇÕES'!$I$133&amp;"")</f>
        <v/>
      </c>
      <c r="C3999" s="198">
        <f>"'INVOCAÇÕES'!I120"</f>
        <v/>
      </c>
      <c r="D3999" s="198" t="inlineStr">
        <is>
          <t>entrada</t>
        </is>
      </c>
    </row>
    <row r="4000">
      <c r="A4000" s="198" t="inlineStr">
        <is>
          <t>invocacao.1.esp.5.resolucao_escolha</t>
        </is>
      </c>
      <c r="B4000" s="198">
        <f>IF(ISBLANK('INVOCAÇÕES'!$K$133),"",'INVOCAÇÕES'!$K$133&amp;"")</f>
        <v/>
      </c>
      <c r="C4000" s="198">
        <f>"'INVOCAÇÕES'!K120"</f>
        <v/>
      </c>
      <c r="D4000" s="198" t="inlineStr">
        <is>
          <t>entrada</t>
        </is>
      </c>
    </row>
    <row r="4001">
      <c r="A4001" s="198" t="inlineStr">
        <is>
          <t>invocacao.1.esp.5.acao</t>
        </is>
      </c>
      <c r="B4001" s="198">
        <f>IF(ISBLANK('INVOCAÇÕES'!$I$134),"",'INVOCAÇÕES'!$I$134&amp;"")</f>
        <v/>
      </c>
      <c r="C4001" s="198">
        <f>"'INVOCAÇÕES'!I121"</f>
        <v/>
      </c>
      <c r="D4001" s="198" t="inlineStr">
        <is>
          <t>resultado</t>
        </is>
      </c>
    </row>
    <row r="4002">
      <c r="A4002" s="198" t="inlineStr">
        <is>
          <t>invocacao.1.esp.5.resolve</t>
        </is>
      </c>
      <c r="B4002" s="198">
        <f>IF(ISBLANK('INVOCAÇÕES'!$K$134),"",'INVOCAÇÕES'!$K$134&amp;"")</f>
        <v/>
      </c>
      <c r="C4002" s="198">
        <f>"'INVOCAÇÕES'!K121"</f>
        <v/>
      </c>
      <c r="D4002" s="198" t="inlineStr">
        <is>
          <t>resultado</t>
        </is>
      </c>
    </row>
    <row r="4003">
      <c r="A4003" s="198" t="inlineStr">
        <is>
          <t>invocacao.1.esp.5.alcance</t>
        </is>
      </c>
      <c r="B4003" s="198">
        <f>IF(ISBLANK('INVOCAÇÕES'!$I$135),"",'INVOCAÇÕES'!$I$135&amp;"")</f>
        <v/>
      </c>
      <c r="C4003" s="198">
        <f>"'INVOCAÇÕES'!I122"</f>
        <v/>
      </c>
      <c r="D4003" s="198" t="inlineStr">
        <is>
          <t>resultado</t>
        </is>
      </c>
    </row>
    <row r="4004">
      <c r="A4004" s="198" t="inlineStr">
        <is>
          <t>invocacao.1.esp.6.texto</t>
        </is>
      </c>
      <c r="B4004" s="198">
        <f>IF(ISBLANK('INVOCAÇÕES'!$O$129),"",'INVOCAÇÕES'!$O$129&amp;"")</f>
        <v/>
      </c>
      <c r="C4004" s="198">
        <f>"'INVOCAÇÕES'!O116"</f>
        <v/>
      </c>
      <c r="D4004" s="198" t="inlineStr">
        <is>
          <t>entrada</t>
        </is>
      </c>
    </row>
    <row r="4005">
      <c r="A4005" s="198" t="inlineStr">
        <is>
          <t>invocacao.1.esp.6.tipo_dano</t>
        </is>
      </c>
      <c r="B4005" s="198">
        <f>IF(ISBLANK('INVOCAÇÕES'!$O$133),"",'INVOCAÇÕES'!$O$133&amp;"")</f>
        <v/>
      </c>
      <c r="C4005" s="198">
        <f>"'INVOCAÇÕES'!O120"</f>
        <v/>
      </c>
      <c r="D4005" s="198" t="inlineStr">
        <is>
          <t>entrada</t>
        </is>
      </c>
    </row>
    <row r="4006">
      <c r="A4006" s="198" t="inlineStr">
        <is>
          <t>invocacao.1.esp.6.resolucao_escolha</t>
        </is>
      </c>
      <c r="B4006" s="198">
        <f>IF(ISBLANK('INVOCAÇÕES'!$Q$133),"",'INVOCAÇÕES'!$Q$133&amp;"")</f>
        <v/>
      </c>
      <c r="C4006" s="198">
        <f>"'INVOCAÇÕES'!Q120"</f>
        <v/>
      </c>
      <c r="D4006" s="198" t="inlineStr">
        <is>
          <t>entrada</t>
        </is>
      </c>
    </row>
    <row r="4007">
      <c r="A4007" s="198" t="inlineStr">
        <is>
          <t>invocacao.1.esp.6.acao</t>
        </is>
      </c>
      <c r="B4007" s="198">
        <f>IF(ISBLANK('INVOCAÇÕES'!$O$134),"",'INVOCAÇÕES'!$O$134&amp;"")</f>
        <v/>
      </c>
      <c r="C4007" s="198">
        <f>"'INVOCAÇÕES'!O121"</f>
        <v/>
      </c>
      <c r="D4007" s="198" t="inlineStr">
        <is>
          <t>resultado</t>
        </is>
      </c>
    </row>
    <row r="4008">
      <c r="A4008" s="198" t="inlineStr">
        <is>
          <t>invocacao.1.esp.6.resolve</t>
        </is>
      </c>
      <c r="B4008" s="198">
        <f>IF(ISBLANK('INVOCAÇÕES'!$Q$134),"",'INVOCAÇÕES'!$Q$134&amp;"")</f>
        <v/>
      </c>
      <c r="C4008" s="198">
        <f>"'INVOCAÇÕES'!Q121"</f>
        <v/>
      </c>
      <c r="D4008" s="198" t="inlineStr">
        <is>
          <t>resultado</t>
        </is>
      </c>
    </row>
    <row r="4009">
      <c r="A4009" s="198" t="inlineStr">
        <is>
          <t>invocacao.1.esp.6.alcance</t>
        </is>
      </c>
      <c r="B4009" s="198">
        <f>IF(ISBLANK('INVOCAÇÕES'!$O$135),"",'INVOCAÇÕES'!$O$135&amp;"")</f>
        <v/>
      </c>
      <c r="C4009" s="198">
        <f>"'INVOCAÇÕES'!O122"</f>
        <v/>
      </c>
      <c r="D4009" s="198" t="inlineStr">
        <is>
          <t>resultado</t>
        </is>
      </c>
    </row>
    <row r="4010">
      <c r="A4010" s="198" t="inlineStr">
        <is>
          <t>invocacao.1.esp.7.texto</t>
        </is>
      </c>
      <c r="B4010" s="198">
        <f>IF(ISBLANK('INVOCAÇÕES'!$U$129),"",'INVOCAÇÕES'!$U$129&amp;"")</f>
        <v/>
      </c>
      <c r="C4010" s="198">
        <f>"'INVOCAÇÕES'!U116"</f>
        <v/>
      </c>
      <c r="D4010" s="198" t="inlineStr">
        <is>
          <t>entrada</t>
        </is>
      </c>
    </row>
    <row r="4011">
      <c r="A4011" s="198" t="inlineStr">
        <is>
          <t>invocacao.1.esp.7.tipo_dano</t>
        </is>
      </c>
      <c r="B4011" s="198">
        <f>IF(ISBLANK('INVOCAÇÕES'!$U$133),"",'INVOCAÇÕES'!$U$133&amp;"")</f>
        <v/>
      </c>
      <c r="C4011" s="198">
        <f>"'INVOCAÇÕES'!U120"</f>
        <v/>
      </c>
      <c r="D4011" s="198" t="inlineStr">
        <is>
          <t>entrada</t>
        </is>
      </c>
    </row>
    <row r="4012">
      <c r="A4012" s="198" t="inlineStr">
        <is>
          <t>invocacao.1.esp.7.resolucao_escolha</t>
        </is>
      </c>
      <c r="B4012" s="198">
        <f>IF(ISBLANK('INVOCAÇÕES'!$W$133),"",'INVOCAÇÕES'!$W$133&amp;"")</f>
        <v/>
      </c>
      <c r="C4012" s="198">
        <f>"'INVOCAÇÕES'!W120"</f>
        <v/>
      </c>
      <c r="D4012" s="198" t="inlineStr">
        <is>
          <t>entrada</t>
        </is>
      </c>
    </row>
    <row r="4013">
      <c r="A4013" s="198" t="inlineStr">
        <is>
          <t>invocacao.1.esp.7.acao</t>
        </is>
      </c>
      <c r="B4013" s="198">
        <f>IF(ISBLANK('INVOCAÇÕES'!$U$134),"",'INVOCAÇÕES'!$U$134&amp;"")</f>
        <v/>
      </c>
      <c r="C4013" s="198">
        <f>"'INVOCAÇÕES'!U121"</f>
        <v/>
      </c>
      <c r="D4013" s="198" t="inlineStr">
        <is>
          <t>resultado</t>
        </is>
      </c>
    </row>
    <row r="4014">
      <c r="A4014" s="198" t="inlineStr">
        <is>
          <t>invocacao.1.esp.7.resolve</t>
        </is>
      </c>
      <c r="B4014" s="198">
        <f>IF(ISBLANK('INVOCAÇÕES'!$W$134),"",'INVOCAÇÕES'!$W$134&amp;"")</f>
        <v/>
      </c>
      <c r="C4014" s="198">
        <f>"'INVOCAÇÕES'!W121"</f>
        <v/>
      </c>
      <c r="D4014" s="198" t="inlineStr">
        <is>
          <t>resultado</t>
        </is>
      </c>
    </row>
    <row r="4015">
      <c r="A4015" s="198" t="inlineStr">
        <is>
          <t>invocacao.1.esp.7.alcance</t>
        </is>
      </c>
      <c r="B4015" s="198">
        <f>IF(ISBLANK('INVOCAÇÕES'!$U$135),"",'INVOCAÇÕES'!$U$135&amp;"")</f>
        <v/>
      </c>
      <c r="C4015" s="198">
        <f>"'INVOCAÇÕES'!U122"</f>
        <v/>
      </c>
      <c r="D4015" s="198" t="inlineStr">
        <is>
          <t>resultado</t>
        </is>
      </c>
    </row>
    <row r="4016">
      <c r="A4016" s="198" t="inlineStr">
        <is>
          <t>invocacao.1.esp.8.texto</t>
        </is>
      </c>
      <c r="B4016" s="198">
        <f>IF(ISBLANK('INVOCAÇÕES'!$I$151),"",'INVOCAÇÕES'!$I$151&amp;"")</f>
        <v/>
      </c>
      <c r="C4016" s="198">
        <f>"'INVOCAÇÕES'!I138"</f>
        <v/>
      </c>
      <c r="D4016" s="198" t="inlineStr">
        <is>
          <t>entrada</t>
        </is>
      </c>
    </row>
    <row r="4017">
      <c r="A4017" s="198" t="inlineStr">
        <is>
          <t>invocacao.1.esp.8.tipo_dano</t>
        </is>
      </c>
      <c r="B4017" s="198">
        <f>IF(ISBLANK('INVOCAÇÕES'!$I$155),"",'INVOCAÇÕES'!$I$155&amp;"")</f>
        <v/>
      </c>
      <c r="C4017" s="198">
        <f>"'INVOCAÇÕES'!I142"</f>
        <v/>
      </c>
      <c r="D4017" s="198" t="inlineStr">
        <is>
          <t>entrada</t>
        </is>
      </c>
    </row>
    <row r="4018">
      <c r="A4018" s="198" t="inlineStr">
        <is>
          <t>invocacao.1.esp.8.resolucao_escolha</t>
        </is>
      </c>
      <c r="B4018" s="198">
        <f>IF(ISBLANK('INVOCAÇÕES'!$K$155),"",'INVOCAÇÕES'!$K$155&amp;"")</f>
        <v/>
      </c>
      <c r="C4018" s="198">
        <f>"'INVOCAÇÕES'!K142"</f>
        <v/>
      </c>
      <c r="D4018" s="198" t="inlineStr">
        <is>
          <t>entrada</t>
        </is>
      </c>
    </row>
    <row r="4019">
      <c r="A4019" s="198" t="inlineStr">
        <is>
          <t>invocacao.1.esp.8.acao</t>
        </is>
      </c>
      <c r="B4019" s="198">
        <f>IF(ISBLANK('INVOCAÇÕES'!$I$156),"",'INVOCAÇÕES'!$I$156&amp;"")</f>
        <v/>
      </c>
      <c r="C4019" s="198">
        <f>"'INVOCAÇÕES'!I143"</f>
        <v/>
      </c>
      <c r="D4019" s="198" t="inlineStr">
        <is>
          <t>resultado</t>
        </is>
      </c>
    </row>
    <row r="4020">
      <c r="A4020" s="198" t="inlineStr">
        <is>
          <t>invocacao.1.esp.8.resolve</t>
        </is>
      </c>
      <c r="B4020" s="198">
        <f>IF(ISBLANK('INVOCAÇÕES'!$K$156),"",'INVOCAÇÕES'!$K$156&amp;"")</f>
        <v/>
      </c>
      <c r="C4020" s="198">
        <f>"'INVOCAÇÕES'!K143"</f>
        <v/>
      </c>
      <c r="D4020" s="198" t="inlineStr">
        <is>
          <t>resultado</t>
        </is>
      </c>
    </row>
    <row r="4021">
      <c r="A4021" s="198" t="inlineStr">
        <is>
          <t>invocacao.1.esp.8.alcance</t>
        </is>
      </c>
      <c r="B4021" s="198">
        <f>IF(ISBLANK('INVOCAÇÕES'!$I$157),"",'INVOCAÇÕES'!$I$157&amp;"")</f>
        <v/>
      </c>
      <c r="C4021" s="198">
        <f>"'INVOCAÇÕES'!I144"</f>
        <v/>
      </c>
      <c r="D4021" s="198" t="inlineStr">
        <is>
          <t>resultado</t>
        </is>
      </c>
    </row>
    <row r="4022">
      <c r="A4022" s="198" t="inlineStr">
        <is>
          <t>invocacao.1.ext.1.texto</t>
        </is>
      </c>
      <c r="B4022" s="198">
        <f>IF(ISBLANK('INVOCAÇÕES'!$I$175),"",'INVOCAÇÕES'!$I$175&amp;"")</f>
        <v/>
      </c>
      <c r="C4022" s="198">
        <f>"'INVOCAÇÕES'!I162"</f>
        <v/>
      </c>
      <c r="D4022" s="198" t="inlineStr">
        <is>
          <t>entrada</t>
        </is>
      </c>
    </row>
    <row r="4023">
      <c r="A4023" s="198" t="inlineStr">
        <is>
          <t>invocacao.1.ext.1.tipo_dano</t>
        </is>
      </c>
      <c r="B4023" s="198">
        <f>IF(ISBLANK('INVOCAÇÕES'!$I$179),"",'INVOCAÇÕES'!$I$179&amp;"")</f>
        <v/>
      </c>
      <c r="C4023" s="198">
        <f>"'INVOCAÇÕES'!I166"</f>
        <v/>
      </c>
      <c r="D4023" s="198" t="inlineStr">
        <is>
          <t>entrada</t>
        </is>
      </c>
    </row>
    <row r="4024">
      <c r="A4024" s="198" t="inlineStr">
        <is>
          <t>invocacao.1.ext.1.resolucao_escolha</t>
        </is>
      </c>
      <c r="B4024" s="198">
        <f>IF(ISBLANK('INVOCAÇÕES'!$K$179),"",'INVOCAÇÕES'!$K$179&amp;"")</f>
        <v/>
      </c>
      <c r="C4024" s="198">
        <f>"'INVOCAÇÕES'!K166"</f>
        <v/>
      </c>
      <c r="D4024" s="198" t="inlineStr">
        <is>
          <t>entrada</t>
        </is>
      </c>
    </row>
    <row r="4025">
      <c r="A4025" s="198" t="inlineStr">
        <is>
          <t>invocacao.1.ext.1.acao</t>
        </is>
      </c>
      <c r="B4025" s="198">
        <f>IF(ISBLANK('INVOCAÇÕES'!$I$180),"",'INVOCAÇÕES'!$I$180&amp;"")</f>
        <v/>
      </c>
      <c r="C4025" s="198">
        <f>"'INVOCAÇÕES'!I167"</f>
        <v/>
      </c>
      <c r="D4025" s="198" t="inlineStr">
        <is>
          <t>resultado</t>
        </is>
      </c>
    </row>
    <row r="4026">
      <c r="A4026" s="198" t="inlineStr">
        <is>
          <t>invocacao.1.ext.1.resolve</t>
        </is>
      </c>
      <c r="B4026" s="198">
        <f>IF(ISBLANK('INVOCAÇÕES'!$K$180),"",'INVOCAÇÕES'!$K$180&amp;"")</f>
        <v/>
      </c>
      <c r="C4026" s="198">
        <f>"'INVOCAÇÕES'!K167"</f>
        <v/>
      </c>
      <c r="D4026" s="198" t="inlineStr">
        <is>
          <t>resultado</t>
        </is>
      </c>
    </row>
    <row r="4027">
      <c r="A4027" s="198" t="inlineStr">
        <is>
          <t>invocacao.1.ext.1.alcance</t>
        </is>
      </c>
      <c r="B4027" s="198">
        <f>IF(ISBLANK('INVOCAÇÕES'!$I$181),"",'INVOCAÇÕES'!$I$181&amp;"")</f>
        <v/>
      </c>
      <c r="C4027" s="198">
        <f>"'INVOCAÇÕES'!I168"</f>
        <v/>
      </c>
      <c r="D4027" s="198" t="inlineStr">
        <is>
          <t>resultado</t>
        </is>
      </c>
    </row>
    <row r="4028">
      <c r="A4028" s="198" t="inlineStr">
        <is>
          <t>invocacao.1.ext.2.texto</t>
        </is>
      </c>
      <c r="B4028" s="198">
        <f>IF(ISBLANK('INVOCAÇÕES'!$O$175),"",'INVOCAÇÕES'!$O$175&amp;"")</f>
        <v/>
      </c>
      <c r="C4028" s="198">
        <f>"'INVOCAÇÕES'!O162"</f>
        <v/>
      </c>
      <c r="D4028" s="198" t="inlineStr">
        <is>
          <t>entrada</t>
        </is>
      </c>
    </row>
    <row r="4029">
      <c r="A4029" s="198" t="inlineStr">
        <is>
          <t>invocacao.1.ext.2.tipo_dano</t>
        </is>
      </c>
      <c r="B4029" s="198">
        <f>IF(ISBLANK('INVOCAÇÕES'!$O$179),"",'INVOCAÇÕES'!$O$179&amp;"")</f>
        <v/>
      </c>
      <c r="C4029" s="198">
        <f>"'INVOCAÇÕES'!O166"</f>
        <v/>
      </c>
      <c r="D4029" s="198" t="inlineStr">
        <is>
          <t>entrada</t>
        </is>
      </c>
    </row>
    <row r="4030">
      <c r="A4030" s="198" t="inlineStr">
        <is>
          <t>invocacao.1.ext.2.resolucao_escolha</t>
        </is>
      </c>
      <c r="B4030" s="198">
        <f>IF(ISBLANK('INVOCAÇÕES'!$Q$179),"",'INVOCAÇÕES'!$Q$179&amp;"")</f>
        <v/>
      </c>
      <c r="C4030" s="198">
        <f>"'INVOCAÇÕES'!Q166"</f>
        <v/>
      </c>
      <c r="D4030" s="198" t="inlineStr">
        <is>
          <t>entrada</t>
        </is>
      </c>
    </row>
    <row r="4031">
      <c r="A4031" s="198" t="inlineStr">
        <is>
          <t>invocacao.1.ext.2.acao</t>
        </is>
      </c>
      <c r="B4031" s="198">
        <f>IF(ISBLANK('INVOCAÇÕES'!$O$180),"",'INVOCAÇÕES'!$O$180&amp;"")</f>
        <v/>
      </c>
      <c r="C4031" s="198">
        <f>"'INVOCAÇÕES'!O167"</f>
        <v/>
      </c>
      <c r="D4031" s="198" t="inlineStr">
        <is>
          <t>resultado</t>
        </is>
      </c>
    </row>
    <row r="4032">
      <c r="A4032" s="198" t="inlineStr">
        <is>
          <t>invocacao.1.ext.2.resolve</t>
        </is>
      </c>
      <c r="B4032" s="198">
        <f>IF(ISBLANK('INVOCAÇÕES'!$Q$180),"",'INVOCAÇÕES'!$Q$180&amp;"")</f>
        <v/>
      </c>
      <c r="C4032" s="198">
        <f>"'INVOCAÇÕES'!Q167"</f>
        <v/>
      </c>
      <c r="D4032" s="198" t="inlineStr">
        <is>
          <t>resultado</t>
        </is>
      </c>
    </row>
    <row r="4033">
      <c r="A4033" s="198" t="inlineStr">
        <is>
          <t>invocacao.1.ext.2.alcance</t>
        </is>
      </c>
      <c r="B4033" s="198">
        <f>IF(ISBLANK('INVOCAÇÕES'!$O$181),"",'INVOCAÇÕES'!$O$181&amp;"")</f>
        <v/>
      </c>
      <c r="C4033" s="198">
        <f>"'INVOCAÇÕES'!O168"</f>
        <v/>
      </c>
      <c r="D4033" s="198" t="inlineStr">
        <is>
          <t>resultado</t>
        </is>
      </c>
    </row>
    <row r="4034">
      <c r="A4034" s="198" t="inlineStr">
        <is>
          <t>invocacao.1.ext.3.texto</t>
        </is>
      </c>
      <c r="B4034" s="198">
        <f>IF(ISBLANK('INVOCAÇÕES'!$U$175),"",'INVOCAÇÕES'!$U$175&amp;"")</f>
        <v/>
      </c>
      <c r="C4034" s="198">
        <f>"'INVOCAÇÕES'!U162"</f>
        <v/>
      </c>
      <c r="D4034" s="198" t="inlineStr">
        <is>
          <t>entrada</t>
        </is>
      </c>
    </row>
    <row r="4035">
      <c r="A4035" s="198" t="inlineStr">
        <is>
          <t>invocacao.1.ext.3.tipo_dano</t>
        </is>
      </c>
      <c r="B4035" s="198">
        <f>IF(ISBLANK('INVOCAÇÕES'!$U$179),"",'INVOCAÇÕES'!$U$179&amp;"")</f>
        <v/>
      </c>
      <c r="C4035" s="198">
        <f>"'INVOCAÇÕES'!U166"</f>
        <v/>
      </c>
      <c r="D4035" s="198" t="inlineStr">
        <is>
          <t>entrada</t>
        </is>
      </c>
    </row>
    <row r="4036">
      <c r="A4036" s="198" t="inlineStr">
        <is>
          <t>invocacao.1.ext.3.resolucao_escolha</t>
        </is>
      </c>
      <c r="B4036" s="198">
        <f>IF(ISBLANK('INVOCAÇÕES'!$W$179),"",'INVOCAÇÕES'!$W$179&amp;"")</f>
        <v/>
      </c>
      <c r="C4036" s="198">
        <f>"'INVOCAÇÕES'!W166"</f>
        <v/>
      </c>
      <c r="D4036" s="198" t="inlineStr">
        <is>
          <t>entrada</t>
        </is>
      </c>
    </row>
    <row r="4037">
      <c r="A4037" s="198" t="inlineStr">
        <is>
          <t>invocacao.1.ext.3.acao</t>
        </is>
      </c>
      <c r="B4037" s="198">
        <f>IF(ISBLANK('INVOCAÇÕES'!$U$180),"",'INVOCAÇÕES'!$U$180&amp;"")</f>
        <v/>
      </c>
      <c r="C4037" s="198">
        <f>"'INVOCAÇÕES'!U167"</f>
        <v/>
      </c>
      <c r="D4037" s="198" t="inlineStr">
        <is>
          <t>resultado</t>
        </is>
      </c>
    </row>
    <row r="4038">
      <c r="A4038" s="198" t="inlineStr">
        <is>
          <t>invocacao.1.ext.3.resolve</t>
        </is>
      </c>
      <c r="B4038" s="198">
        <f>IF(ISBLANK('INVOCAÇÕES'!$W$180),"",'INVOCAÇÕES'!$W$180&amp;"")</f>
        <v/>
      </c>
      <c r="C4038" s="198">
        <f>"'INVOCAÇÕES'!W167"</f>
        <v/>
      </c>
      <c r="D4038" s="198" t="inlineStr">
        <is>
          <t>resultado</t>
        </is>
      </c>
    </row>
    <row r="4039">
      <c r="A4039" s="198" t="inlineStr">
        <is>
          <t>invocacao.1.ext.3.alcance</t>
        </is>
      </c>
      <c r="B4039" s="198">
        <f>IF(ISBLANK('INVOCAÇÕES'!$U$181),"",'INVOCAÇÕES'!$U$181&amp;"")</f>
        <v/>
      </c>
      <c r="C4039" s="198">
        <f>"'INVOCAÇÕES'!U168"</f>
        <v/>
      </c>
      <c r="D4039" s="198" t="inlineStr">
        <is>
          <t>resultado</t>
        </is>
      </c>
    </row>
    <row r="4040">
      <c r="A4040" s="198" t="inlineStr">
        <is>
          <t>invocacao.2.bas.1.texto</t>
        </is>
      </c>
      <c r="B4040" s="198">
        <f>IF(ISBLANK('INVOCAÇÕES'!$I$284),"",'INVOCAÇÕES'!$I$284&amp;"")</f>
        <v/>
      </c>
      <c r="C4040" s="198">
        <f>"'INVOCAÇÕES'!I258"</f>
        <v/>
      </c>
      <c r="D4040" s="198" t="inlineStr">
        <is>
          <t>entrada</t>
        </is>
      </c>
    </row>
    <row r="4041">
      <c r="A4041" s="198" t="inlineStr">
        <is>
          <t>invocacao.2.bas.1.tipo_dano</t>
        </is>
      </c>
      <c r="B4041" s="198">
        <f>IF(ISBLANK('INVOCAÇÕES'!$I$288),"",'INVOCAÇÕES'!$I$288&amp;"")</f>
        <v/>
      </c>
      <c r="C4041" s="198">
        <f>"'INVOCAÇÕES'!I262"</f>
        <v/>
      </c>
      <c r="D4041" s="198" t="inlineStr">
        <is>
          <t>entrada</t>
        </is>
      </c>
    </row>
    <row r="4042">
      <c r="A4042" s="198" t="inlineStr">
        <is>
          <t>invocacao.2.bas.1.resolucao_escolha</t>
        </is>
      </c>
      <c r="B4042" s="198">
        <f>IF(ISBLANK('INVOCAÇÕES'!$K$288),"",'INVOCAÇÕES'!$K$288&amp;"")</f>
        <v/>
      </c>
      <c r="C4042" s="198">
        <f>"'INVOCAÇÕES'!K262"</f>
        <v/>
      </c>
      <c r="D4042" s="198" t="inlineStr">
        <is>
          <t>entrada</t>
        </is>
      </c>
    </row>
    <row r="4043">
      <c r="A4043" s="198" t="inlineStr">
        <is>
          <t>invocacao.2.bas.1.acao</t>
        </is>
      </c>
      <c r="B4043" s="198">
        <f>IF(ISBLANK('INVOCAÇÕES'!$I$289),"",'INVOCAÇÕES'!$I$289&amp;"")</f>
        <v/>
      </c>
      <c r="C4043" s="198">
        <f>"'INVOCAÇÕES'!I263"</f>
        <v/>
      </c>
      <c r="D4043" s="198" t="inlineStr">
        <is>
          <t>resultado</t>
        </is>
      </c>
    </row>
    <row r="4044">
      <c r="A4044" s="198" t="inlineStr">
        <is>
          <t>invocacao.2.bas.1.resolve</t>
        </is>
      </c>
      <c r="B4044" s="198">
        <f>IF(ISBLANK('INVOCAÇÕES'!$K$289),"",'INVOCAÇÕES'!$K$289&amp;"")</f>
        <v/>
      </c>
      <c r="C4044" s="198">
        <f>"'INVOCAÇÕES'!K263"</f>
        <v/>
      </c>
      <c r="D4044" s="198" t="inlineStr">
        <is>
          <t>resultado</t>
        </is>
      </c>
    </row>
    <row r="4045">
      <c r="A4045" s="198" t="inlineStr">
        <is>
          <t>invocacao.2.bas.1.alcance</t>
        </is>
      </c>
      <c r="B4045" s="198">
        <f>IF(ISBLANK('INVOCAÇÕES'!$I$290),"",'INVOCAÇÕES'!$I$290&amp;"")</f>
        <v/>
      </c>
      <c r="C4045" s="198">
        <f>"'INVOCAÇÕES'!I264"</f>
        <v/>
      </c>
      <c r="D4045" s="198" t="inlineStr">
        <is>
          <t>resultado</t>
        </is>
      </c>
    </row>
    <row r="4046">
      <c r="A4046" s="198" t="inlineStr">
        <is>
          <t>invocacao.2.esp.1.texto</t>
        </is>
      </c>
      <c r="B4046" s="198">
        <f>IF(ISBLANK('INVOCAÇÕES'!$O$284),"",'INVOCAÇÕES'!$O$284&amp;"")</f>
        <v/>
      </c>
      <c r="C4046" s="198">
        <f>"'INVOCAÇÕES'!O258"</f>
        <v/>
      </c>
      <c r="D4046" s="198" t="inlineStr">
        <is>
          <t>entrada</t>
        </is>
      </c>
    </row>
    <row r="4047">
      <c r="A4047" s="198" t="inlineStr">
        <is>
          <t>invocacao.2.esp.1.tipo_dano</t>
        </is>
      </c>
      <c r="B4047" s="198">
        <f>IF(ISBLANK('INVOCAÇÕES'!$O$288),"",'INVOCAÇÕES'!$O$288&amp;"")</f>
        <v/>
      </c>
      <c r="C4047" s="198">
        <f>"'INVOCAÇÕES'!O262"</f>
        <v/>
      </c>
      <c r="D4047" s="198" t="inlineStr">
        <is>
          <t>entrada</t>
        </is>
      </c>
    </row>
    <row r="4048">
      <c r="A4048" s="198" t="inlineStr">
        <is>
          <t>invocacao.2.esp.1.resolucao_escolha</t>
        </is>
      </c>
      <c r="B4048" s="198">
        <f>IF(ISBLANK('INVOCAÇÕES'!$Q$288),"",'INVOCAÇÕES'!$Q$288&amp;"")</f>
        <v/>
      </c>
      <c r="C4048" s="198">
        <f>"'INVOCAÇÕES'!Q262"</f>
        <v/>
      </c>
      <c r="D4048" s="198" t="inlineStr">
        <is>
          <t>entrada</t>
        </is>
      </c>
    </row>
    <row r="4049">
      <c r="A4049" s="198" t="inlineStr">
        <is>
          <t>invocacao.2.esp.1.acao</t>
        </is>
      </c>
      <c r="B4049" s="198">
        <f>IF(ISBLANK('INVOCAÇÕES'!$O$289),"",'INVOCAÇÕES'!$O$289&amp;"")</f>
        <v/>
      </c>
      <c r="C4049" s="198">
        <f>"'INVOCAÇÕES'!O263"</f>
        <v/>
      </c>
      <c r="D4049" s="198" t="inlineStr">
        <is>
          <t>resultado</t>
        </is>
      </c>
    </row>
    <row r="4050">
      <c r="A4050" s="198" t="inlineStr">
        <is>
          <t>invocacao.2.esp.1.resolve</t>
        </is>
      </c>
      <c r="B4050" s="198">
        <f>IF(ISBLANK('INVOCAÇÕES'!$Q$289),"",'INVOCAÇÕES'!$Q$289&amp;"")</f>
        <v/>
      </c>
      <c r="C4050" s="198">
        <f>"'INVOCAÇÕES'!Q263"</f>
        <v/>
      </c>
      <c r="D4050" s="198" t="inlineStr">
        <is>
          <t>resultado</t>
        </is>
      </c>
    </row>
    <row r="4051">
      <c r="A4051" s="198" t="inlineStr">
        <is>
          <t>invocacao.2.esp.1.alcance</t>
        </is>
      </c>
      <c r="B4051" s="198">
        <f>IF(ISBLANK('INVOCAÇÕES'!$O$290),"",'INVOCAÇÕES'!$O$290&amp;"")</f>
        <v/>
      </c>
      <c r="C4051" s="198">
        <f>"'INVOCAÇÕES'!O264"</f>
        <v/>
      </c>
      <c r="D4051" s="198" t="inlineStr">
        <is>
          <t>resultado</t>
        </is>
      </c>
    </row>
    <row r="4052">
      <c r="A4052" s="198" t="inlineStr">
        <is>
          <t>invocacao.2.esp.2.texto</t>
        </is>
      </c>
      <c r="B4052" s="198">
        <f>IF(ISBLANK('INVOCAÇÕES'!$U$284),"",'INVOCAÇÕES'!$U$284&amp;"")</f>
        <v/>
      </c>
      <c r="C4052" s="198">
        <f>"'INVOCAÇÕES'!U258"</f>
        <v/>
      </c>
      <c r="D4052" s="198" t="inlineStr">
        <is>
          <t>entrada</t>
        </is>
      </c>
    </row>
    <row r="4053">
      <c r="A4053" s="198" t="inlineStr">
        <is>
          <t>invocacao.2.esp.2.tipo_dano</t>
        </is>
      </c>
      <c r="B4053" s="198">
        <f>IF(ISBLANK('INVOCAÇÕES'!$U$288),"",'INVOCAÇÕES'!$U$288&amp;"")</f>
        <v/>
      </c>
      <c r="C4053" s="198">
        <f>"'INVOCAÇÕES'!U262"</f>
        <v/>
      </c>
      <c r="D4053" s="198" t="inlineStr">
        <is>
          <t>entrada</t>
        </is>
      </c>
    </row>
    <row r="4054">
      <c r="A4054" s="198" t="inlineStr">
        <is>
          <t>invocacao.2.esp.2.resolucao_escolha</t>
        </is>
      </c>
      <c r="B4054" s="198">
        <f>IF(ISBLANK('INVOCAÇÕES'!$W$288),"",'INVOCAÇÕES'!$W$288&amp;"")</f>
        <v/>
      </c>
      <c r="C4054" s="198">
        <f>"'INVOCAÇÕES'!W262"</f>
        <v/>
      </c>
      <c r="D4054" s="198" t="inlineStr">
        <is>
          <t>entrada</t>
        </is>
      </c>
    </row>
    <row r="4055">
      <c r="A4055" s="198" t="inlineStr">
        <is>
          <t>invocacao.2.esp.2.acao</t>
        </is>
      </c>
      <c r="B4055" s="198">
        <f>IF(ISBLANK('INVOCAÇÕES'!$U$289),"",'INVOCAÇÕES'!$U$289&amp;"")</f>
        <v/>
      </c>
      <c r="C4055" s="198">
        <f>"'INVOCAÇÕES'!U263"</f>
        <v/>
      </c>
      <c r="D4055" s="198" t="inlineStr">
        <is>
          <t>resultado</t>
        </is>
      </c>
    </row>
    <row r="4056">
      <c r="A4056" s="198" t="inlineStr">
        <is>
          <t>invocacao.2.esp.2.resolve</t>
        </is>
      </c>
      <c r="B4056" s="198">
        <f>IF(ISBLANK('INVOCAÇÕES'!$W$289),"",'INVOCAÇÕES'!$W$289&amp;"")</f>
        <v/>
      </c>
      <c r="C4056" s="198">
        <f>"'INVOCAÇÕES'!W263"</f>
        <v/>
      </c>
      <c r="D4056" s="198" t="inlineStr">
        <is>
          <t>resultado</t>
        </is>
      </c>
    </row>
    <row r="4057">
      <c r="A4057" s="198" t="inlineStr">
        <is>
          <t>invocacao.2.esp.2.alcance</t>
        </is>
      </c>
      <c r="B4057" s="198">
        <f>IF(ISBLANK('INVOCAÇÕES'!$U$290),"",'INVOCAÇÕES'!$U$290&amp;"")</f>
        <v/>
      </c>
      <c r="C4057" s="198">
        <f>"'INVOCAÇÕES'!U264"</f>
        <v/>
      </c>
      <c r="D4057" s="198" t="inlineStr">
        <is>
          <t>resultado</t>
        </is>
      </c>
    </row>
    <row r="4058">
      <c r="A4058" s="198" t="inlineStr">
        <is>
          <t>invocacao.2.bas.2.texto</t>
        </is>
      </c>
      <c r="B4058" s="198">
        <f>IF(ISBLANK('INVOCAÇÕES'!$I$318),"",'INVOCAÇÕES'!$I$318&amp;"")</f>
        <v/>
      </c>
      <c r="C4058" s="198">
        <f>"'INVOCAÇÕES'!I292"</f>
        <v/>
      </c>
      <c r="D4058" s="198" t="inlineStr">
        <is>
          <t>entrada</t>
        </is>
      </c>
    </row>
    <row r="4059">
      <c r="A4059" s="198" t="inlineStr">
        <is>
          <t>invocacao.2.bas.2.tipo_dano</t>
        </is>
      </c>
      <c r="B4059" s="198">
        <f>IF(ISBLANK('INVOCAÇÕES'!$I$322),"",'INVOCAÇÕES'!$I$322&amp;"")</f>
        <v/>
      </c>
      <c r="C4059" s="198">
        <f>"'INVOCAÇÕES'!I296"</f>
        <v/>
      </c>
      <c r="D4059" s="198" t="inlineStr">
        <is>
          <t>entrada</t>
        </is>
      </c>
    </row>
    <row r="4060">
      <c r="A4060" s="198" t="inlineStr">
        <is>
          <t>invocacao.2.bas.2.resolucao_escolha</t>
        </is>
      </c>
      <c r="B4060" s="198">
        <f>IF(ISBLANK('INVOCAÇÕES'!$K$322),"",'INVOCAÇÕES'!$K$322&amp;"")</f>
        <v/>
      </c>
      <c r="C4060" s="198">
        <f>"'INVOCAÇÕES'!K296"</f>
        <v/>
      </c>
      <c r="D4060" s="198" t="inlineStr">
        <is>
          <t>entrada</t>
        </is>
      </c>
    </row>
    <row r="4061">
      <c r="A4061" s="198" t="inlineStr">
        <is>
          <t>invocacao.2.bas.2.acao</t>
        </is>
      </c>
      <c r="B4061" s="198">
        <f>IF(ISBLANK('INVOCAÇÕES'!$I$323),"",'INVOCAÇÕES'!$I$323&amp;"")</f>
        <v/>
      </c>
      <c r="C4061" s="198">
        <f>"'INVOCAÇÕES'!I297"</f>
        <v/>
      </c>
      <c r="D4061" s="198" t="inlineStr">
        <is>
          <t>resultado</t>
        </is>
      </c>
    </row>
    <row r="4062">
      <c r="A4062" s="198" t="inlineStr">
        <is>
          <t>invocacao.2.bas.2.resolve</t>
        </is>
      </c>
      <c r="B4062" s="198">
        <f>IF(ISBLANK('INVOCAÇÕES'!$K$323),"",'INVOCAÇÕES'!$K$323&amp;"")</f>
        <v/>
      </c>
      <c r="C4062" s="198">
        <f>"'INVOCAÇÕES'!K297"</f>
        <v/>
      </c>
      <c r="D4062" s="198" t="inlineStr">
        <is>
          <t>resultado</t>
        </is>
      </c>
    </row>
    <row r="4063">
      <c r="A4063" s="198" t="inlineStr">
        <is>
          <t>invocacao.2.bas.2.alcance</t>
        </is>
      </c>
      <c r="B4063" s="198">
        <f>IF(ISBLANK('INVOCAÇÕES'!$I$324),"",'INVOCAÇÕES'!$I$324&amp;"")</f>
        <v/>
      </c>
      <c r="C4063" s="198">
        <f>"'INVOCAÇÕES'!I298"</f>
        <v/>
      </c>
      <c r="D4063" s="198" t="inlineStr">
        <is>
          <t>resultado</t>
        </is>
      </c>
    </row>
    <row r="4064">
      <c r="A4064" s="198" t="inlineStr">
        <is>
          <t>invocacao.2.esp.3.texto</t>
        </is>
      </c>
      <c r="B4064" s="198">
        <f>IF(ISBLANK('INVOCAÇÕES'!$O$318),"",'INVOCAÇÕES'!$O$318&amp;"")</f>
        <v/>
      </c>
      <c r="C4064" s="198">
        <f>"'INVOCAÇÕES'!O292"</f>
        <v/>
      </c>
      <c r="D4064" s="198" t="inlineStr">
        <is>
          <t>entrada</t>
        </is>
      </c>
    </row>
    <row r="4065">
      <c r="A4065" s="198" t="inlineStr">
        <is>
          <t>invocacao.2.esp.3.tipo_dano</t>
        </is>
      </c>
      <c r="B4065" s="198">
        <f>IF(ISBLANK('INVOCAÇÕES'!$O$322),"",'INVOCAÇÕES'!$O$322&amp;"")</f>
        <v/>
      </c>
      <c r="C4065" s="198">
        <f>"'INVOCAÇÕES'!O296"</f>
        <v/>
      </c>
      <c r="D4065" s="198" t="inlineStr">
        <is>
          <t>entrada</t>
        </is>
      </c>
    </row>
    <row r="4066">
      <c r="A4066" s="198" t="inlineStr">
        <is>
          <t>invocacao.2.esp.3.resolucao_escolha</t>
        </is>
      </c>
      <c r="B4066" s="198">
        <f>IF(ISBLANK('INVOCAÇÕES'!$Q$322),"",'INVOCAÇÕES'!$Q$322&amp;"")</f>
        <v/>
      </c>
      <c r="C4066" s="198">
        <f>"'INVOCAÇÕES'!Q296"</f>
        <v/>
      </c>
      <c r="D4066" s="198" t="inlineStr">
        <is>
          <t>entrada</t>
        </is>
      </c>
    </row>
    <row r="4067">
      <c r="A4067" s="198" t="inlineStr">
        <is>
          <t>invocacao.2.esp.3.acao</t>
        </is>
      </c>
      <c r="B4067" s="198">
        <f>IF(ISBLANK('INVOCAÇÕES'!$O$323),"",'INVOCAÇÕES'!$O$323&amp;"")</f>
        <v/>
      </c>
      <c r="C4067" s="198">
        <f>"'INVOCAÇÕES'!O297"</f>
        <v/>
      </c>
      <c r="D4067" s="198" t="inlineStr">
        <is>
          <t>resultado</t>
        </is>
      </c>
    </row>
    <row r="4068">
      <c r="A4068" s="198" t="inlineStr">
        <is>
          <t>invocacao.2.esp.3.resolve</t>
        </is>
      </c>
      <c r="B4068" s="198">
        <f>IF(ISBLANK('INVOCAÇÕES'!$Q$323),"",'INVOCAÇÕES'!$Q$323&amp;"")</f>
        <v/>
      </c>
      <c r="C4068" s="198">
        <f>"'INVOCAÇÕES'!Q297"</f>
        <v/>
      </c>
      <c r="D4068" s="198" t="inlineStr">
        <is>
          <t>resultado</t>
        </is>
      </c>
    </row>
    <row r="4069">
      <c r="A4069" s="198" t="inlineStr">
        <is>
          <t>invocacao.2.esp.3.alcance</t>
        </is>
      </c>
      <c r="B4069" s="198">
        <f>IF(ISBLANK('INVOCAÇÕES'!$O$324),"",'INVOCAÇÕES'!$O$324&amp;"")</f>
        <v/>
      </c>
      <c r="C4069" s="198">
        <f>"'INVOCAÇÕES'!O298"</f>
        <v/>
      </c>
      <c r="D4069" s="198" t="inlineStr">
        <is>
          <t>resultado</t>
        </is>
      </c>
    </row>
    <row r="4070">
      <c r="A4070" s="198" t="inlineStr">
        <is>
          <t>invocacao.2.esp.4.texto</t>
        </is>
      </c>
      <c r="B4070" s="198">
        <f>IF(ISBLANK('INVOCAÇÕES'!$U$318),"",'INVOCAÇÕES'!$U$318&amp;"")</f>
        <v/>
      </c>
      <c r="C4070" s="198">
        <f>"'INVOCAÇÕES'!U292"</f>
        <v/>
      </c>
      <c r="D4070" s="198" t="inlineStr">
        <is>
          <t>entrada</t>
        </is>
      </c>
    </row>
    <row r="4071">
      <c r="A4071" s="198" t="inlineStr">
        <is>
          <t>invocacao.2.esp.4.tipo_dano</t>
        </is>
      </c>
      <c r="B4071" s="198">
        <f>IF(ISBLANK('INVOCAÇÕES'!$U$322),"",'INVOCAÇÕES'!$U$322&amp;"")</f>
        <v/>
      </c>
      <c r="C4071" s="198">
        <f>"'INVOCAÇÕES'!U296"</f>
        <v/>
      </c>
      <c r="D4071" s="198" t="inlineStr">
        <is>
          <t>entrada</t>
        </is>
      </c>
    </row>
    <row r="4072">
      <c r="A4072" s="198" t="inlineStr">
        <is>
          <t>invocacao.2.esp.4.resolucao_escolha</t>
        </is>
      </c>
      <c r="B4072" s="198">
        <f>IF(ISBLANK('INVOCAÇÕES'!$W$322),"",'INVOCAÇÕES'!$W$322&amp;"")</f>
        <v/>
      </c>
      <c r="C4072" s="198">
        <f>"'INVOCAÇÕES'!W296"</f>
        <v/>
      </c>
      <c r="D4072" s="198" t="inlineStr">
        <is>
          <t>entrada</t>
        </is>
      </c>
    </row>
    <row r="4073">
      <c r="A4073" s="198" t="inlineStr">
        <is>
          <t>invocacao.2.esp.4.acao</t>
        </is>
      </c>
      <c r="B4073" s="198">
        <f>IF(ISBLANK('INVOCAÇÕES'!$U$323),"",'INVOCAÇÕES'!$U$323&amp;"")</f>
        <v/>
      </c>
      <c r="C4073" s="198">
        <f>"'INVOCAÇÕES'!U297"</f>
        <v/>
      </c>
      <c r="D4073" s="198" t="inlineStr">
        <is>
          <t>resultado</t>
        </is>
      </c>
    </row>
    <row r="4074">
      <c r="A4074" s="198" t="inlineStr">
        <is>
          <t>invocacao.2.esp.4.resolve</t>
        </is>
      </c>
      <c r="B4074" s="198">
        <f>IF(ISBLANK('INVOCAÇÕES'!$W$323),"",'INVOCAÇÕES'!$W$323&amp;"")</f>
        <v/>
      </c>
      <c r="C4074" s="198">
        <f>"'INVOCAÇÕES'!W297"</f>
        <v/>
      </c>
      <c r="D4074" s="198" t="inlineStr">
        <is>
          <t>resultado</t>
        </is>
      </c>
    </row>
    <row r="4075">
      <c r="A4075" s="198" t="inlineStr">
        <is>
          <t>invocacao.2.esp.4.alcance</t>
        </is>
      </c>
      <c r="B4075" s="198">
        <f>IF(ISBLANK('INVOCAÇÕES'!$U$324),"",'INVOCAÇÕES'!$U$324&amp;"")</f>
        <v/>
      </c>
      <c r="C4075" s="198">
        <f>"'INVOCAÇÕES'!U298"</f>
        <v/>
      </c>
      <c r="D4075" s="198" t="inlineStr">
        <is>
          <t>resultado</t>
        </is>
      </c>
    </row>
    <row r="4076">
      <c r="A4076" s="198" t="inlineStr">
        <is>
          <t>invocacao.2.esp.5.texto</t>
        </is>
      </c>
      <c r="B4076" s="198">
        <f>IF(ISBLANK('INVOCAÇÕES'!$I$340),"",'INVOCAÇÕES'!$I$340&amp;"")</f>
        <v/>
      </c>
      <c r="C4076" s="198">
        <f>"'INVOCAÇÕES'!I314"</f>
        <v/>
      </c>
      <c r="D4076" s="198" t="inlineStr">
        <is>
          <t>entrada</t>
        </is>
      </c>
    </row>
    <row r="4077">
      <c r="A4077" s="198" t="inlineStr">
        <is>
          <t>invocacao.2.esp.5.tipo_dano</t>
        </is>
      </c>
      <c r="B4077" s="198">
        <f>IF(ISBLANK('INVOCAÇÕES'!$I$344),"",'INVOCAÇÕES'!$I$344&amp;"")</f>
        <v/>
      </c>
      <c r="C4077" s="198">
        <f>"'INVOCAÇÕES'!I318"</f>
        <v/>
      </c>
      <c r="D4077" s="198" t="inlineStr">
        <is>
          <t>entrada</t>
        </is>
      </c>
    </row>
    <row r="4078">
      <c r="A4078" s="198" t="inlineStr">
        <is>
          <t>invocacao.2.esp.5.resolucao_escolha</t>
        </is>
      </c>
      <c r="B4078" s="198">
        <f>IF(ISBLANK('INVOCAÇÕES'!$K$344),"",'INVOCAÇÕES'!$K$344&amp;"")</f>
        <v/>
      </c>
      <c r="C4078" s="198">
        <f>"'INVOCAÇÕES'!K318"</f>
        <v/>
      </c>
      <c r="D4078" s="198" t="inlineStr">
        <is>
          <t>entrada</t>
        </is>
      </c>
    </row>
    <row r="4079">
      <c r="A4079" s="198" t="inlineStr">
        <is>
          <t>invocacao.2.esp.5.acao</t>
        </is>
      </c>
      <c r="B4079" s="198">
        <f>IF(ISBLANK('INVOCAÇÕES'!$I$345),"",'INVOCAÇÕES'!$I$345&amp;"")</f>
        <v/>
      </c>
      <c r="C4079" s="198">
        <f>"'INVOCAÇÕES'!I319"</f>
        <v/>
      </c>
      <c r="D4079" s="198" t="inlineStr">
        <is>
          <t>resultado</t>
        </is>
      </c>
    </row>
    <row r="4080">
      <c r="A4080" s="198" t="inlineStr">
        <is>
          <t>invocacao.2.esp.5.resolve</t>
        </is>
      </c>
      <c r="B4080" s="198">
        <f>IF(ISBLANK('INVOCAÇÕES'!$K$345),"",'INVOCAÇÕES'!$K$345&amp;"")</f>
        <v/>
      </c>
      <c r="C4080" s="198">
        <f>"'INVOCAÇÕES'!K319"</f>
        <v/>
      </c>
      <c r="D4080" s="198" t="inlineStr">
        <is>
          <t>resultado</t>
        </is>
      </c>
    </row>
    <row r="4081">
      <c r="A4081" s="198" t="inlineStr">
        <is>
          <t>invocacao.2.esp.5.alcance</t>
        </is>
      </c>
      <c r="B4081" s="198">
        <f>IF(ISBLANK('INVOCAÇÕES'!$I$346),"",'INVOCAÇÕES'!$I$346&amp;"")</f>
        <v/>
      </c>
      <c r="C4081" s="198">
        <f>"'INVOCAÇÕES'!I320"</f>
        <v/>
      </c>
      <c r="D4081" s="198" t="inlineStr">
        <is>
          <t>resultado</t>
        </is>
      </c>
    </row>
    <row r="4082">
      <c r="A4082" s="198" t="inlineStr">
        <is>
          <t>invocacao.2.esp.6.texto</t>
        </is>
      </c>
      <c r="B4082" s="198">
        <f>IF(ISBLANK('INVOCAÇÕES'!$O$340),"",'INVOCAÇÕES'!$O$340&amp;"")</f>
        <v/>
      </c>
      <c r="C4082" s="198">
        <f>"'INVOCAÇÕES'!O314"</f>
        <v/>
      </c>
      <c r="D4082" s="198" t="inlineStr">
        <is>
          <t>entrada</t>
        </is>
      </c>
    </row>
    <row r="4083">
      <c r="A4083" s="198" t="inlineStr">
        <is>
          <t>invocacao.2.esp.6.tipo_dano</t>
        </is>
      </c>
      <c r="B4083" s="198">
        <f>IF(ISBLANK('INVOCAÇÕES'!$O$344),"",'INVOCAÇÕES'!$O$344&amp;"")</f>
        <v/>
      </c>
      <c r="C4083" s="198">
        <f>"'INVOCAÇÕES'!O318"</f>
        <v/>
      </c>
      <c r="D4083" s="198" t="inlineStr">
        <is>
          <t>entrada</t>
        </is>
      </c>
    </row>
    <row r="4084">
      <c r="A4084" s="198" t="inlineStr">
        <is>
          <t>invocacao.2.esp.6.resolucao_escolha</t>
        </is>
      </c>
      <c r="B4084" s="198">
        <f>IF(ISBLANK('INVOCAÇÕES'!$Q$344),"",'INVOCAÇÕES'!$Q$344&amp;"")</f>
        <v/>
      </c>
      <c r="C4084" s="198">
        <f>"'INVOCAÇÕES'!Q318"</f>
        <v/>
      </c>
      <c r="D4084" s="198" t="inlineStr">
        <is>
          <t>entrada</t>
        </is>
      </c>
    </row>
    <row r="4085">
      <c r="A4085" s="198" t="inlineStr">
        <is>
          <t>invocacao.2.esp.6.acao</t>
        </is>
      </c>
      <c r="B4085" s="198">
        <f>IF(ISBLANK('INVOCAÇÕES'!$O$345),"",'INVOCAÇÕES'!$O$345&amp;"")</f>
        <v/>
      </c>
      <c r="C4085" s="198">
        <f>"'INVOCAÇÕES'!O319"</f>
        <v/>
      </c>
      <c r="D4085" s="198" t="inlineStr">
        <is>
          <t>resultado</t>
        </is>
      </c>
    </row>
    <row r="4086">
      <c r="A4086" s="198" t="inlineStr">
        <is>
          <t>invocacao.2.esp.6.resolve</t>
        </is>
      </c>
      <c r="B4086" s="198">
        <f>IF(ISBLANK('INVOCAÇÕES'!$Q$345),"",'INVOCAÇÕES'!$Q$345&amp;"")</f>
        <v/>
      </c>
      <c r="C4086" s="198">
        <f>"'INVOCAÇÕES'!Q319"</f>
        <v/>
      </c>
      <c r="D4086" s="198" t="inlineStr">
        <is>
          <t>resultado</t>
        </is>
      </c>
    </row>
    <row r="4087">
      <c r="A4087" s="198" t="inlineStr">
        <is>
          <t>invocacao.2.esp.6.alcance</t>
        </is>
      </c>
      <c r="B4087" s="198">
        <f>IF(ISBLANK('INVOCAÇÕES'!$O$346),"",'INVOCAÇÕES'!$O$346&amp;"")</f>
        <v/>
      </c>
      <c r="C4087" s="198">
        <f>"'INVOCAÇÕES'!O320"</f>
        <v/>
      </c>
      <c r="D4087" s="198" t="inlineStr">
        <is>
          <t>resultado</t>
        </is>
      </c>
    </row>
    <row r="4088">
      <c r="A4088" s="198" t="inlineStr">
        <is>
          <t>invocacao.2.esp.7.texto</t>
        </is>
      </c>
      <c r="B4088" s="198">
        <f>IF(ISBLANK('INVOCAÇÕES'!$U$340),"",'INVOCAÇÕES'!$U$340&amp;"")</f>
        <v/>
      </c>
      <c r="C4088" s="198">
        <f>"'INVOCAÇÕES'!U314"</f>
        <v/>
      </c>
      <c r="D4088" s="198" t="inlineStr">
        <is>
          <t>entrada</t>
        </is>
      </c>
    </row>
    <row r="4089">
      <c r="A4089" s="198" t="inlineStr">
        <is>
          <t>invocacao.2.esp.7.tipo_dano</t>
        </is>
      </c>
      <c r="B4089" s="198">
        <f>IF(ISBLANK('INVOCAÇÕES'!$U$344),"",'INVOCAÇÕES'!$U$344&amp;"")</f>
        <v/>
      </c>
      <c r="C4089" s="198">
        <f>"'INVOCAÇÕES'!U318"</f>
        <v/>
      </c>
      <c r="D4089" s="198" t="inlineStr">
        <is>
          <t>entrada</t>
        </is>
      </c>
    </row>
    <row r="4090">
      <c r="A4090" s="198" t="inlineStr">
        <is>
          <t>invocacao.2.esp.7.resolucao_escolha</t>
        </is>
      </c>
      <c r="B4090" s="198">
        <f>IF(ISBLANK('INVOCAÇÕES'!$W$344),"",'INVOCAÇÕES'!$W$344&amp;"")</f>
        <v/>
      </c>
      <c r="C4090" s="198">
        <f>"'INVOCAÇÕES'!W318"</f>
        <v/>
      </c>
      <c r="D4090" s="198" t="inlineStr">
        <is>
          <t>entrada</t>
        </is>
      </c>
    </row>
    <row r="4091">
      <c r="A4091" s="198" t="inlineStr">
        <is>
          <t>invocacao.2.esp.7.acao</t>
        </is>
      </c>
      <c r="B4091" s="198">
        <f>IF(ISBLANK('INVOCAÇÕES'!$U$345),"",'INVOCAÇÕES'!$U$345&amp;"")</f>
        <v/>
      </c>
      <c r="C4091" s="198">
        <f>"'INVOCAÇÕES'!U319"</f>
        <v/>
      </c>
      <c r="D4091" s="198" t="inlineStr">
        <is>
          <t>resultado</t>
        </is>
      </c>
    </row>
    <row r="4092">
      <c r="A4092" s="198" t="inlineStr">
        <is>
          <t>invocacao.2.esp.7.resolve</t>
        </is>
      </c>
      <c r="B4092" s="198">
        <f>IF(ISBLANK('INVOCAÇÕES'!$W$345),"",'INVOCAÇÕES'!$W$345&amp;"")</f>
        <v/>
      </c>
      <c r="C4092" s="198">
        <f>"'INVOCAÇÕES'!W319"</f>
        <v/>
      </c>
      <c r="D4092" s="198" t="inlineStr">
        <is>
          <t>resultado</t>
        </is>
      </c>
    </row>
    <row r="4093">
      <c r="A4093" s="198" t="inlineStr">
        <is>
          <t>invocacao.2.esp.7.alcance</t>
        </is>
      </c>
      <c r="B4093" s="198">
        <f>IF(ISBLANK('INVOCAÇÕES'!$U$346),"",'INVOCAÇÕES'!$U$346&amp;"")</f>
        <v/>
      </c>
      <c r="C4093" s="198">
        <f>"'INVOCAÇÕES'!U320"</f>
        <v/>
      </c>
      <c r="D4093" s="198" t="inlineStr">
        <is>
          <t>resultado</t>
        </is>
      </c>
    </row>
    <row r="4094">
      <c r="A4094" s="198" t="inlineStr">
        <is>
          <t>invocacao.2.esp.8.texto</t>
        </is>
      </c>
      <c r="B4094" s="198">
        <f>IF(ISBLANK('INVOCAÇÕES'!$I$362),"",'INVOCAÇÕES'!$I$362&amp;"")</f>
        <v/>
      </c>
      <c r="C4094" s="198">
        <f>"'INVOCAÇÕES'!I336"</f>
        <v/>
      </c>
      <c r="D4094" s="198" t="inlineStr">
        <is>
          <t>entrada</t>
        </is>
      </c>
    </row>
    <row r="4095">
      <c r="A4095" s="198" t="inlineStr">
        <is>
          <t>invocacao.2.esp.8.tipo_dano</t>
        </is>
      </c>
      <c r="B4095" s="198">
        <f>IF(ISBLANK('INVOCAÇÕES'!$I$366),"",'INVOCAÇÕES'!$I$366&amp;"")</f>
        <v/>
      </c>
      <c r="C4095" s="198">
        <f>"'INVOCAÇÕES'!I340"</f>
        <v/>
      </c>
      <c r="D4095" s="198" t="inlineStr">
        <is>
          <t>entrada</t>
        </is>
      </c>
    </row>
    <row r="4096">
      <c r="A4096" s="198" t="inlineStr">
        <is>
          <t>invocacao.2.esp.8.resolucao_escolha</t>
        </is>
      </c>
      <c r="B4096" s="198">
        <f>IF(ISBLANK('INVOCAÇÕES'!$K$366),"",'INVOCAÇÕES'!$K$366&amp;"")</f>
        <v/>
      </c>
      <c r="C4096" s="198">
        <f>"'INVOCAÇÕES'!K340"</f>
        <v/>
      </c>
      <c r="D4096" s="198" t="inlineStr">
        <is>
          <t>entrada</t>
        </is>
      </c>
    </row>
    <row r="4097">
      <c r="A4097" s="198" t="inlineStr">
        <is>
          <t>invocacao.2.esp.8.acao</t>
        </is>
      </c>
      <c r="B4097" s="198">
        <f>IF(ISBLANK('INVOCAÇÕES'!$I$367),"",'INVOCAÇÕES'!$I$367&amp;"")</f>
        <v/>
      </c>
      <c r="C4097" s="198">
        <f>"'INVOCAÇÕES'!I341"</f>
        <v/>
      </c>
      <c r="D4097" s="198" t="inlineStr">
        <is>
          <t>resultado</t>
        </is>
      </c>
    </row>
    <row r="4098">
      <c r="A4098" s="198" t="inlineStr">
        <is>
          <t>invocacao.2.esp.8.resolve</t>
        </is>
      </c>
      <c r="B4098" s="198">
        <f>IF(ISBLANK('INVOCAÇÕES'!$K$367),"",'INVOCAÇÕES'!$K$367&amp;"")</f>
        <v/>
      </c>
      <c r="C4098" s="198">
        <f>"'INVOCAÇÕES'!K341"</f>
        <v/>
      </c>
      <c r="D4098" s="198" t="inlineStr">
        <is>
          <t>resultado</t>
        </is>
      </c>
    </row>
    <row r="4099">
      <c r="A4099" s="198" t="inlineStr">
        <is>
          <t>invocacao.2.esp.8.alcance</t>
        </is>
      </c>
      <c r="B4099" s="198">
        <f>IF(ISBLANK('INVOCAÇÕES'!$I$368),"",'INVOCAÇÕES'!$I$368&amp;"")</f>
        <v/>
      </c>
      <c r="C4099" s="198">
        <f>"'INVOCAÇÕES'!I342"</f>
        <v/>
      </c>
      <c r="D4099" s="198" t="inlineStr">
        <is>
          <t>resultado</t>
        </is>
      </c>
    </row>
    <row r="4100">
      <c r="A4100" s="198" t="inlineStr">
        <is>
          <t>invocacao.2.ext.1.texto</t>
        </is>
      </c>
      <c r="B4100" s="198">
        <f>IF(ISBLANK('INVOCAÇÕES'!$I$386),"",'INVOCAÇÕES'!$I$386&amp;"")</f>
        <v/>
      </c>
      <c r="C4100" s="198">
        <f>"'INVOCAÇÕES'!I360"</f>
        <v/>
      </c>
      <c r="D4100" s="198" t="inlineStr">
        <is>
          <t>entrada</t>
        </is>
      </c>
    </row>
    <row r="4101">
      <c r="A4101" s="198" t="inlineStr">
        <is>
          <t>invocacao.2.ext.1.tipo_dano</t>
        </is>
      </c>
      <c r="B4101" s="198">
        <f>IF(ISBLANK('INVOCAÇÕES'!$I$390),"",'INVOCAÇÕES'!$I$390&amp;"")</f>
        <v/>
      </c>
      <c r="C4101" s="198">
        <f>"'INVOCAÇÕES'!I364"</f>
        <v/>
      </c>
      <c r="D4101" s="198" t="inlineStr">
        <is>
          <t>entrada</t>
        </is>
      </c>
    </row>
    <row r="4102">
      <c r="A4102" s="198" t="inlineStr">
        <is>
          <t>invocacao.2.ext.1.resolucao_escolha</t>
        </is>
      </c>
      <c r="B4102" s="198">
        <f>IF(ISBLANK('INVOCAÇÕES'!$K$390),"",'INVOCAÇÕES'!$K$390&amp;"")</f>
        <v/>
      </c>
      <c r="C4102" s="198">
        <f>"'INVOCAÇÕES'!K364"</f>
        <v/>
      </c>
      <c r="D4102" s="198" t="inlineStr">
        <is>
          <t>entrada</t>
        </is>
      </c>
    </row>
    <row r="4103">
      <c r="A4103" s="198" t="inlineStr">
        <is>
          <t>invocacao.2.ext.1.acao</t>
        </is>
      </c>
      <c r="B4103" s="198">
        <f>IF(ISBLANK('INVOCAÇÕES'!$I$391),"",'INVOCAÇÕES'!$I$391&amp;"")</f>
        <v/>
      </c>
      <c r="C4103" s="198">
        <f>"'INVOCAÇÕES'!I365"</f>
        <v/>
      </c>
      <c r="D4103" s="198" t="inlineStr">
        <is>
          <t>resultado</t>
        </is>
      </c>
    </row>
    <row r="4104">
      <c r="A4104" s="198" t="inlineStr">
        <is>
          <t>invocacao.2.ext.1.resolve</t>
        </is>
      </c>
      <c r="B4104" s="198">
        <f>IF(ISBLANK('INVOCAÇÕES'!$K$391),"",'INVOCAÇÕES'!$K$391&amp;"")</f>
        <v/>
      </c>
      <c r="C4104" s="198">
        <f>"'INVOCAÇÕES'!K365"</f>
        <v/>
      </c>
      <c r="D4104" s="198" t="inlineStr">
        <is>
          <t>resultado</t>
        </is>
      </c>
    </row>
    <row r="4105">
      <c r="A4105" s="198" t="inlineStr">
        <is>
          <t>invocacao.2.ext.1.alcance</t>
        </is>
      </c>
      <c r="B4105" s="198">
        <f>IF(ISBLANK('INVOCAÇÕES'!$I$392),"",'INVOCAÇÕES'!$I$392&amp;"")</f>
        <v/>
      </c>
      <c r="C4105" s="198">
        <f>"'INVOCAÇÕES'!I366"</f>
        <v/>
      </c>
      <c r="D4105" s="198" t="inlineStr">
        <is>
          <t>resultado</t>
        </is>
      </c>
    </row>
    <row r="4106">
      <c r="A4106" s="198" t="inlineStr">
        <is>
          <t>invocacao.2.ext.2.texto</t>
        </is>
      </c>
      <c r="B4106" s="198">
        <f>IF(ISBLANK('INVOCAÇÕES'!$O$386),"",'INVOCAÇÕES'!$O$386&amp;"")</f>
        <v/>
      </c>
      <c r="C4106" s="198">
        <f>"'INVOCAÇÕES'!O360"</f>
        <v/>
      </c>
      <c r="D4106" s="198" t="inlineStr">
        <is>
          <t>entrada</t>
        </is>
      </c>
    </row>
    <row r="4107">
      <c r="A4107" s="198" t="inlineStr">
        <is>
          <t>invocacao.2.ext.2.tipo_dano</t>
        </is>
      </c>
      <c r="B4107" s="198">
        <f>IF(ISBLANK('INVOCAÇÕES'!$O$390),"",'INVOCAÇÕES'!$O$390&amp;"")</f>
        <v/>
      </c>
      <c r="C4107" s="198">
        <f>"'INVOCAÇÕES'!O364"</f>
        <v/>
      </c>
      <c r="D4107" s="198" t="inlineStr">
        <is>
          <t>entrada</t>
        </is>
      </c>
    </row>
    <row r="4108">
      <c r="A4108" s="198" t="inlineStr">
        <is>
          <t>invocacao.2.ext.2.resolucao_escolha</t>
        </is>
      </c>
      <c r="B4108" s="198">
        <f>IF(ISBLANK('INVOCAÇÕES'!$Q$390),"",'INVOCAÇÕES'!$Q$390&amp;"")</f>
        <v/>
      </c>
      <c r="C4108" s="198">
        <f>"'INVOCAÇÕES'!Q364"</f>
        <v/>
      </c>
      <c r="D4108" s="198" t="inlineStr">
        <is>
          <t>entrada</t>
        </is>
      </c>
    </row>
    <row r="4109">
      <c r="A4109" s="198" t="inlineStr">
        <is>
          <t>invocacao.2.ext.2.acao</t>
        </is>
      </c>
      <c r="B4109" s="198">
        <f>IF(ISBLANK('INVOCAÇÕES'!$O$391),"",'INVOCAÇÕES'!$O$391&amp;"")</f>
        <v/>
      </c>
      <c r="C4109" s="198">
        <f>"'INVOCAÇÕES'!O365"</f>
        <v/>
      </c>
      <c r="D4109" s="198" t="inlineStr">
        <is>
          <t>resultado</t>
        </is>
      </c>
    </row>
    <row r="4110">
      <c r="A4110" s="198" t="inlineStr">
        <is>
          <t>invocacao.2.ext.2.resolve</t>
        </is>
      </c>
      <c r="B4110" s="198">
        <f>IF(ISBLANK('INVOCAÇÕES'!$Q$391),"",'INVOCAÇÕES'!$Q$391&amp;"")</f>
        <v/>
      </c>
      <c r="C4110" s="198">
        <f>"'INVOCAÇÕES'!Q365"</f>
        <v/>
      </c>
      <c r="D4110" s="198" t="inlineStr">
        <is>
          <t>resultado</t>
        </is>
      </c>
    </row>
    <row r="4111">
      <c r="A4111" s="198" t="inlineStr">
        <is>
          <t>invocacao.2.ext.2.alcance</t>
        </is>
      </c>
      <c r="B4111" s="198">
        <f>IF(ISBLANK('INVOCAÇÕES'!$O$392),"",'INVOCAÇÕES'!$O$392&amp;"")</f>
        <v/>
      </c>
      <c r="C4111" s="198">
        <f>"'INVOCAÇÕES'!O366"</f>
        <v/>
      </c>
      <c r="D4111" s="198" t="inlineStr">
        <is>
          <t>resultado</t>
        </is>
      </c>
    </row>
    <row r="4112">
      <c r="A4112" s="198" t="inlineStr">
        <is>
          <t>invocacao.2.ext.3.texto</t>
        </is>
      </c>
      <c r="B4112" s="198">
        <f>IF(ISBLANK('INVOCAÇÕES'!$U$386),"",'INVOCAÇÕES'!$U$386&amp;"")</f>
        <v/>
      </c>
      <c r="C4112" s="198">
        <f>"'INVOCAÇÕES'!U360"</f>
        <v/>
      </c>
      <c r="D4112" s="198" t="inlineStr">
        <is>
          <t>entrada</t>
        </is>
      </c>
    </row>
    <row r="4113">
      <c r="A4113" s="198" t="inlineStr">
        <is>
          <t>invocacao.2.ext.3.tipo_dano</t>
        </is>
      </c>
      <c r="B4113" s="198">
        <f>IF(ISBLANK('INVOCAÇÕES'!$U$390),"",'INVOCAÇÕES'!$U$390&amp;"")</f>
        <v/>
      </c>
      <c r="C4113" s="198">
        <f>"'INVOCAÇÕES'!U364"</f>
        <v/>
      </c>
      <c r="D4113" s="198" t="inlineStr">
        <is>
          <t>entrada</t>
        </is>
      </c>
    </row>
    <row r="4114">
      <c r="A4114" s="198" t="inlineStr">
        <is>
          <t>invocacao.2.ext.3.resolucao_escolha</t>
        </is>
      </c>
      <c r="B4114" s="198">
        <f>IF(ISBLANK('INVOCAÇÕES'!$W$390),"",'INVOCAÇÕES'!$W$390&amp;"")</f>
        <v/>
      </c>
      <c r="C4114" s="198">
        <f>"'INVOCAÇÕES'!W364"</f>
        <v/>
      </c>
      <c r="D4114" s="198" t="inlineStr">
        <is>
          <t>entrada</t>
        </is>
      </c>
    </row>
    <row r="4115">
      <c r="A4115" s="198" t="inlineStr">
        <is>
          <t>invocacao.2.ext.3.acao</t>
        </is>
      </c>
      <c r="B4115" s="198">
        <f>IF(ISBLANK('INVOCAÇÕES'!$U$391),"",'INVOCAÇÕES'!$U$391&amp;"")</f>
        <v/>
      </c>
      <c r="C4115" s="198">
        <f>"'INVOCAÇÕES'!U365"</f>
        <v/>
      </c>
      <c r="D4115" s="198" t="inlineStr">
        <is>
          <t>resultado</t>
        </is>
      </c>
    </row>
    <row r="4116">
      <c r="A4116" s="198" t="inlineStr">
        <is>
          <t>invocacao.2.ext.3.resolve</t>
        </is>
      </c>
      <c r="B4116" s="198">
        <f>IF(ISBLANK('INVOCAÇÕES'!$W$391),"",'INVOCAÇÕES'!$W$391&amp;"")</f>
        <v/>
      </c>
      <c r="C4116" s="198">
        <f>"'INVOCAÇÕES'!W365"</f>
        <v/>
      </c>
      <c r="D4116" s="198" t="inlineStr">
        <is>
          <t>resultado</t>
        </is>
      </c>
    </row>
    <row r="4117">
      <c r="A4117" s="198" t="inlineStr">
        <is>
          <t>invocacao.2.ext.3.alcance</t>
        </is>
      </c>
      <c r="B4117" s="198">
        <f>IF(ISBLANK('INVOCAÇÕES'!$U$392),"",'INVOCAÇÕES'!$U$392&amp;"")</f>
        <v/>
      </c>
      <c r="C4117" s="198">
        <f>"'INVOCAÇÕES'!U366"</f>
        <v/>
      </c>
      <c r="D4117" s="198" t="inlineStr">
        <is>
          <t>resultado</t>
        </is>
      </c>
    </row>
    <row r="4118">
      <c r="A4118" s="198" t="inlineStr">
        <is>
          <t>invocacao.3.bas.1.texto</t>
        </is>
      </c>
      <c r="B4118" s="198">
        <f>IF(ISBLANK('INVOCAÇÕES'!$I$495),"",'INVOCAÇÕES'!$I$495&amp;"")</f>
        <v/>
      </c>
      <c r="C4118" s="198">
        <f>"'INVOCAÇÕES'!I456"</f>
        <v/>
      </c>
      <c r="D4118" s="198" t="inlineStr">
        <is>
          <t>entrada</t>
        </is>
      </c>
    </row>
    <row r="4119">
      <c r="A4119" s="198" t="inlineStr">
        <is>
          <t>invocacao.3.bas.1.tipo_dano</t>
        </is>
      </c>
      <c r="B4119" s="198">
        <f>IF(ISBLANK('INVOCAÇÕES'!$I$499),"",'INVOCAÇÕES'!$I$499&amp;"")</f>
        <v/>
      </c>
      <c r="C4119" s="198">
        <f>"'INVOCAÇÕES'!I460"</f>
        <v/>
      </c>
      <c r="D4119" s="198" t="inlineStr">
        <is>
          <t>entrada</t>
        </is>
      </c>
    </row>
    <row r="4120">
      <c r="A4120" s="198" t="inlineStr">
        <is>
          <t>invocacao.3.bas.1.resolucao_escolha</t>
        </is>
      </c>
      <c r="B4120" s="198">
        <f>IF(ISBLANK('INVOCAÇÕES'!$K$499),"",'INVOCAÇÕES'!$K$499&amp;"")</f>
        <v/>
      </c>
      <c r="C4120" s="198">
        <f>"'INVOCAÇÕES'!K460"</f>
        <v/>
      </c>
      <c r="D4120" s="198" t="inlineStr">
        <is>
          <t>entrada</t>
        </is>
      </c>
    </row>
    <row r="4121">
      <c r="A4121" s="198" t="inlineStr">
        <is>
          <t>invocacao.3.bas.1.acao</t>
        </is>
      </c>
      <c r="B4121" s="198">
        <f>IF(ISBLANK('INVOCAÇÕES'!$I$500),"",'INVOCAÇÕES'!$I$500&amp;"")</f>
        <v/>
      </c>
      <c r="C4121" s="198">
        <f>"'INVOCAÇÕES'!I461"</f>
        <v/>
      </c>
      <c r="D4121" s="198" t="inlineStr">
        <is>
          <t>resultado</t>
        </is>
      </c>
    </row>
    <row r="4122">
      <c r="A4122" s="198" t="inlineStr">
        <is>
          <t>invocacao.3.bas.1.resolve</t>
        </is>
      </c>
      <c r="B4122" s="198">
        <f>IF(ISBLANK('INVOCAÇÕES'!$K$500),"",'INVOCAÇÕES'!$K$500&amp;"")</f>
        <v/>
      </c>
      <c r="C4122" s="198">
        <f>"'INVOCAÇÕES'!K461"</f>
        <v/>
      </c>
      <c r="D4122" s="198" t="inlineStr">
        <is>
          <t>resultado</t>
        </is>
      </c>
    </row>
    <row r="4123">
      <c r="A4123" s="198" t="inlineStr">
        <is>
          <t>invocacao.3.bas.1.alcance</t>
        </is>
      </c>
      <c r="B4123" s="198">
        <f>IF(ISBLANK('INVOCAÇÕES'!$I$501),"",'INVOCAÇÕES'!$I$501&amp;"")</f>
        <v/>
      </c>
      <c r="C4123" s="198">
        <f>"'INVOCAÇÕES'!I462"</f>
        <v/>
      </c>
      <c r="D4123" s="198" t="inlineStr">
        <is>
          <t>resultado</t>
        </is>
      </c>
    </row>
    <row r="4124">
      <c r="A4124" s="198" t="inlineStr">
        <is>
          <t>invocacao.3.esp.1.texto</t>
        </is>
      </c>
      <c r="B4124" s="198">
        <f>IF(ISBLANK('INVOCAÇÕES'!$O$495),"",'INVOCAÇÕES'!$O$495&amp;"")</f>
        <v/>
      </c>
      <c r="C4124" s="198">
        <f>"'INVOCAÇÕES'!O456"</f>
        <v/>
      </c>
      <c r="D4124" s="198" t="inlineStr">
        <is>
          <t>entrada</t>
        </is>
      </c>
    </row>
    <row r="4125">
      <c r="A4125" s="198" t="inlineStr">
        <is>
          <t>invocacao.3.esp.1.tipo_dano</t>
        </is>
      </c>
      <c r="B4125" s="198">
        <f>IF(ISBLANK('INVOCAÇÕES'!$O$499),"",'INVOCAÇÕES'!$O$499&amp;"")</f>
        <v/>
      </c>
      <c r="C4125" s="198">
        <f>"'INVOCAÇÕES'!O460"</f>
        <v/>
      </c>
      <c r="D4125" s="198" t="inlineStr">
        <is>
          <t>entrada</t>
        </is>
      </c>
    </row>
    <row r="4126">
      <c r="A4126" s="198" t="inlineStr">
        <is>
          <t>invocacao.3.esp.1.resolucao_escolha</t>
        </is>
      </c>
      <c r="B4126" s="198">
        <f>IF(ISBLANK('INVOCAÇÕES'!$Q$499),"",'INVOCAÇÕES'!$Q$499&amp;"")</f>
        <v/>
      </c>
      <c r="C4126" s="198">
        <f>"'INVOCAÇÕES'!Q460"</f>
        <v/>
      </c>
      <c r="D4126" s="198" t="inlineStr">
        <is>
          <t>entrada</t>
        </is>
      </c>
    </row>
    <row r="4127">
      <c r="A4127" s="198" t="inlineStr">
        <is>
          <t>invocacao.3.esp.1.acao</t>
        </is>
      </c>
      <c r="B4127" s="198">
        <f>IF(ISBLANK('INVOCAÇÕES'!$O$500),"",'INVOCAÇÕES'!$O$500&amp;"")</f>
        <v/>
      </c>
      <c r="C4127" s="198">
        <f>"'INVOCAÇÕES'!O461"</f>
        <v/>
      </c>
      <c r="D4127" s="198" t="inlineStr">
        <is>
          <t>resultado</t>
        </is>
      </c>
    </row>
    <row r="4128">
      <c r="A4128" s="198" t="inlineStr">
        <is>
          <t>invocacao.3.esp.1.resolve</t>
        </is>
      </c>
      <c r="B4128" s="198">
        <f>IF(ISBLANK('INVOCAÇÕES'!$Q$500),"",'INVOCAÇÕES'!$Q$500&amp;"")</f>
        <v/>
      </c>
      <c r="C4128" s="198">
        <f>"'INVOCAÇÕES'!Q461"</f>
        <v/>
      </c>
      <c r="D4128" s="198" t="inlineStr">
        <is>
          <t>resultado</t>
        </is>
      </c>
    </row>
    <row r="4129">
      <c r="A4129" s="198" t="inlineStr">
        <is>
          <t>invocacao.3.esp.1.alcance</t>
        </is>
      </c>
      <c r="B4129" s="198">
        <f>IF(ISBLANK('INVOCAÇÕES'!$O$501),"",'INVOCAÇÕES'!$O$501&amp;"")</f>
        <v/>
      </c>
      <c r="C4129" s="198">
        <f>"'INVOCAÇÕES'!O462"</f>
        <v/>
      </c>
      <c r="D4129" s="198" t="inlineStr">
        <is>
          <t>resultado</t>
        </is>
      </c>
    </row>
    <row r="4130">
      <c r="A4130" s="198" t="inlineStr">
        <is>
          <t>invocacao.3.esp.2.texto</t>
        </is>
      </c>
      <c r="B4130" s="198">
        <f>IF(ISBLANK('INVOCAÇÕES'!$U$495),"",'INVOCAÇÕES'!$U$495&amp;"")</f>
        <v/>
      </c>
      <c r="C4130" s="198">
        <f>"'INVOCAÇÕES'!U456"</f>
        <v/>
      </c>
      <c r="D4130" s="198" t="inlineStr">
        <is>
          <t>entrada</t>
        </is>
      </c>
    </row>
    <row r="4131">
      <c r="A4131" s="198" t="inlineStr">
        <is>
          <t>invocacao.3.esp.2.tipo_dano</t>
        </is>
      </c>
      <c r="B4131" s="198">
        <f>IF(ISBLANK('INVOCAÇÕES'!$U$499),"",'INVOCAÇÕES'!$U$499&amp;"")</f>
        <v/>
      </c>
      <c r="C4131" s="198">
        <f>"'INVOCAÇÕES'!U460"</f>
        <v/>
      </c>
      <c r="D4131" s="198" t="inlineStr">
        <is>
          <t>entrada</t>
        </is>
      </c>
    </row>
    <row r="4132">
      <c r="A4132" s="198" t="inlineStr">
        <is>
          <t>invocacao.3.esp.2.resolucao_escolha</t>
        </is>
      </c>
      <c r="B4132" s="198">
        <f>IF(ISBLANK('INVOCAÇÕES'!$W$499),"",'INVOCAÇÕES'!$W$499&amp;"")</f>
        <v/>
      </c>
      <c r="C4132" s="198">
        <f>"'INVOCAÇÕES'!W460"</f>
        <v/>
      </c>
      <c r="D4132" s="198" t="inlineStr">
        <is>
          <t>entrada</t>
        </is>
      </c>
    </row>
    <row r="4133">
      <c r="A4133" s="198" t="inlineStr">
        <is>
          <t>invocacao.3.esp.2.acao</t>
        </is>
      </c>
      <c r="B4133" s="198">
        <f>IF(ISBLANK('INVOCAÇÕES'!$U$500),"",'INVOCAÇÕES'!$U$500&amp;"")</f>
        <v/>
      </c>
      <c r="C4133" s="198">
        <f>"'INVOCAÇÕES'!U461"</f>
        <v/>
      </c>
      <c r="D4133" s="198" t="inlineStr">
        <is>
          <t>resultado</t>
        </is>
      </c>
    </row>
    <row r="4134">
      <c r="A4134" s="198" t="inlineStr">
        <is>
          <t>invocacao.3.esp.2.resolve</t>
        </is>
      </c>
      <c r="B4134" s="198">
        <f>IF(ISBLANK('INVOCAÇÕES'!$W$500),"",'INVOCAÇÕES'!$W$500&amp;"")</f>
        <v/>
      </c>
      <c r="C4134" s="198">
        <f>"'INVOCAÇÕES'!W461"</f>
        <v/>
      </c>
      <c r="D4134" s="198" t="inlineStr">
        <is>
          <t>resultado</t>
        </is>
      </c>
    </row>
    <row r="4135">
      <c r="A4135" s="198" t="inlineStr">
        <is>
          <t>invocacao.3.esp.2.alcance</t>
        </is>
      </c>
      <c r="B4135" s="198">
        <f>IF(ISBLANK('INVOCAÇÕES'!$U$501),"",'INVOCAÇÕES'!$U$501&amp;"")</f>
        <v/>
      </c>
      <c r="C4135" s="198">
        <f>"'INVOCAÇÕES'!U462"</f>
        <v/>
      </c>
      <c r="D4135" s="198" t="inlineStr">
        <is>
          <t>resultado</t>
        </is>
      </c>
    </row>
    <row r="4136">
      <c r="A4136" s="198" t="inlineStr">
        <is>
          <t>invocacao.3.bas.2.texto</t>
        </is>
      </c>
      <c r="B4136" s="198">
        <f>IF(ISBLANK('INVOCAÇÕES'!$I$529),"",'INVOCAÇÕES'!$I$529&amp;"")</f>
        <v/>
      </c>
      <c r="C4136" s="198">
        <f>"'INVOCAÇÕES'!I490"</f>
        <v/>
      </c>
      <c r="D4136" s="198" t="inlineStr">
        <is>
          <t>entrada</t>
        </is>
      </c>
    </row>
    <row r="4137">
      <c r="A4137" s="198" t="inlineStr">
        <is>
          <t>invocacao.3.bas.2.tipo_dano</t>
        </is>
      </c>
      <c r="B4137" s="198">
        <f>IF(ISBLANK('INVOCAÇÕES'!$I$533),"",'INVOCAÇÕES'!$I$533&amp;"")</f>
        <v/>
      </c>
      <c r="C4137" s="198">
        <f>"'INVOCAÇÕES'!I494"</f>
        <v/>
      </c>
      <c r="D4137" s="198" t="inlineStr">
        <is>
          <t>entrada</t>
        </is>
      </c>
    </row>
    <row r="4138">
      <c r="A4138" s="198" t="inlineStr">
        <is>
          <t>invocacao.3.bas.2.resolucao_escolha</t>
        </is>
      </c>
      <c r="B4138" s="198">
        <f>IF(ISBLANK('INVOCAÇÕES'!$K$533),"",'INVOCAÇÕES'!$K$533&amp;"")</f>
        <v/>
      </c>
      <c r="C4138" s="198">
        <f>"'INVOCAÇÕES'!K494"</f>
        <v/>
      </c>
      <c r="D4138" s="198" t="inlineStr">
        <is>
          <t>entrada</t>
        </is>
      </c>
    </row>
    <row r="4139">
      <c r="A4139" s="198" t="inlineStr">
        <is>
          <t>invocacao.3.bas.2.acao</t>
        </is>
      </c>
      <c r="B4139" s="198">
        <f>IF(ISBLANK('INVOCAÇÕES'!$I$534),"",'INVOCAÇÕES'!$I$534&amp;"")</f>
        <v/>
      </c>
      <c r="C4139" s="198">
        <f>"'INVOCAÇÕES'!I495"</f>
        <v/>
      </c>
      <c r="D4139" s="198" t="inlineStr">
        <is>
          <t>resultado</t>
        </is>
      </c>
    </row>
    <row r="4140">
      <c r="A4140" s="198" t="inlineStr">
        <is>
          <t>invocacao.3.bas.2.resolve</t>
        </is>
      </c>
      <c r="B4140" s="198">
        <f>IF(ISBLANK('INVOCAÇÕES'!$K$534),"",'INVOCAÇÕES'!$K$534&amp;"")</f>
        <v/>
      </c>
      <c r="C4140" s="198">
        <f>"'INVOCAÇÕES'!K495"</f>
        <v/>
      </c>
      <c r="D4140" s="198" t="inlineStr">
        <is>
          <t>resultado</t>
        </is>
      </c>
    </row>
    <row r="4141">
      <c r="A4141" s="198" t="inlineStr">
        <is>
          <t>invocacao.3.bas.2.alcance</t>
        </is>
      </c>
      <c r="B4141" s="198">
        <f>IF(ISBLANK('INVOCAÇÕES'!$I$535),"",'INVOCAÇÕES'!$I$535&amp;"")</f>
        <v/>
      </c>
      <c r="C4141" s="198">
        <f>"'INVOCAÇÕES'!I496"</f>
        <v/>
      </c>
      <c r="D4141" s="198" t="inlineStr">
        <is>
          <t>resultado</t>
        </is>
      </c>
    </row>
    <row r="4142">
      <c r="A4142" s="198" t="inlineStr">
        <is>
          <t>invocacao.3.esp.3.texto</t>
        </is>
      </c>
      <c r="B4142" s="198">
        <f>IF(ISBLANK('INVOCAÇÕES'!$O$529),"",'INVOCAÇÕES'!$O$529&amp;"")</f>
        <v/>
      </c>
      <c r="C4142" s="198">
        <f>"'INVOCAÇÕES'!O490"</f>
        <v/>
      </c>
      <c r="D4142" s="198" t="inlineStr">
        <is>
          <t>entrada</t>
        </is>
      </c>
    </row>
    <row r="4143">
      <c r="A4143" s="198" t="inlineStr">
        <is>
          <t>invocacao.3.esp.3.tipo_dano</t>
        </is>
      </c>
      <c r="B4143" s="198">
        <f>IF(ISBLANK('INVOCAÇÕES'!$O$533),"",'INVOCAÇÕES'!$O$533&amp;"")</f>
        <v/>
      </c>
      <c r="C4143" s="198">
        <f>"'INVOCAÇÕES'!O494"</f>
        <v/>
      </c>
      <c r="D4143" s="198" t="inlineStr">
        <is>
          <t>entrada</t>
        </is>
      </c>
    </row>
    <row r="4144">
      <c r="A4144" s="198" t="inlineStr">
        <is>
          <t>invocacao.3.esp.3.resolucao_escolha</t>
        </is>
      </c>
      <c r="B4144" s="198">
        <f>IF(ISBLANK('INVOCAÇÕES'!$Q$533),"",'INVOCAÇÕES'!$Q$533&amp;"")</f>
        <v/>
      </c>
      <c r="C4144" s="198">
        <f>"'INVOCAÇÕES'!Q494"</f>
        <v/>
      </c>
      <c r="D4144" s="198" t="inlineStr">
        <is>
          <t>entrada</t>
        </is>
      </c>
    </row>
    <row r="4145">
      <c r="A4145" s="198" t="inlineStr">
        <is>
          <t>invocacao.3.esp.3.acao</t>
        </is>
      </c>
      <c r="B4145" s="198">
        <f>IF(ISBLANK('INVOCAÇÕES'!$O$534),"",'INVOCAÇÕES'!$O$534&amp;"")</f>
        <v/>
      </c>
      <c r="C4145" s="198">
        <f>"'INVOCAÇÕES'!O495"</f>
        <v/>
      </c>
      <c r="D4145" s="198" t="inlineStr">
        <is>
          <t>resultado</t>
        </is>
      </c>
    </row>
    <row r="4146">
      <c r="A4146" s="198" t="inlineStr">
        <is>
          <t>invocacao.3.esp.3.resolve</t>
        </is>
      </c>
      <c r="B4146" s="198">
        <f>IF(ISBLANK('INVOCAÇÕES'!$Q$534),"",'INVOCAÇÕES'!$Q$534&amp;"")</f>
        <v/>
      </c>
      <c r="C4146" s="198">
        <f>"'INVOCAÇÕES'!Q495"</f>
        <v/>
      </c>
      <c r="D4146" s="198" t="inlineStr">
        <is>
          <t>resultado</t>
        </is>
      </c>
    </row>
    <row r="4147">
      <c r="A4147" s="198" t="inlineStr">
        <is>
          <t>invocacao.3.esp.3.alcance</t>
        </is>
      </c>
      <c r="B4147" s="198">
        <f>IF(ISBLANK('INVOCAÇÕES'!$O$535),"",'INVOCAÇÕES'!$O$535&amp;"")</f>
        <v/>
      </c>
      <c r="C4147" s="198">
        <f>"'INVOCAÇÕES'!O496"</f>
        <v/>
      </c>
      <c r="D4147" s="198" t="inlineStr">
        <is>
          <t>resultado</t>
        </is>
      </c>
    </row>
    <row r="4148">
      <c r="A4148" s="198" t="inlineStr">
        <is>
          <t>invocacao.3.esp.4.texto</t>
        </is>
      </c>
      <c r="B4148" s="198">
        <f>IF(ISBLANK('INVOCAÇÕES'!$U$529),"",'INVOCAÇÕES'!$U$529&amp;"")</f>
        <v/>
      </c>
      <c r="C4148" s="198">
        <f>"'INVOCAÇÕES'!U490"</f>
        <v/>
      </c>
      <c r="D4148" s="198" t="inlineStr">
        <is>
          <t>entrada</t>
        </is>
      </c>
    </row>
    <row r="4149">
      <c r="A4149" s="198" t="inlineStr">
        <is>
          <t>invocacao.3.esp.4.tipo_dano</t>
        </is>
      </c>
      <c r="B4149" s="198">
        <f>IF(ISBLANK('INVOCAÇÕES'!$U$533),"",'INVOCAÇÕES'!$U$533&amp;"")</f>
        <v/>
      </c>
      <c r="C4149" s="198">
        <f>"'INVOCAÇÕES'!U494"</f>
        <v/>
      </c>
      <c r="D4149" s="198" t="inlineStr">
        <is>
          <t>entrada</t>
        </is>
      </c>
    </row>
    <row r="4150">
      <c r="A4150" s="198" t="inlineStr">
        <is>
          <t>invocacao.3.esp.4.resolucao_escolha</t>
        </is>
      </c>
      <c r="B4150" s="198">
        <f>IF(ISBLANK('INVOCAÇÕES'!$W$533),"",'INVOCAÇÕES'!$W$533&amp;"")</f>
        <v/>
      </c>
      <c r="C4150" s="198">
        <f>"'INVOCAÇÕES'!W494"</f>
        <v/>
      </c>
      <c r="D4150" s="198" t="inlineStr">
        <is>
          <t>entrada</t>
        </is>
      </c>
    </row>
    <row r="4151">
      <c r="A4151" s="198" t="inlineStr">
        <is>
          <t>invocacao.3.esp.4.acao</t>
        </is>
      </c>
      <c r="B4151" s="198">
        <f>IF(ISBLANK('INVOCAÇÕES'!$U$534),"",'INVOCAÇÕES'!$U$534&amp;"")</f>
        <v/>
      </c>
      <c r="C4151" s="198">
        <f>"'INVOCAÇÕES'!U495"</f>
        <v/>
      </c>
      <c r="D4151" s="198" t="inlineStr">
        <is>
          <t>resultado</t>
        </is>
      </c>
    </row>
    <row r="4152">
      <c r="A4152" s="198" t="inlineStr">
        <is>
          <t>invocacao.3.esp.4.resolve</t>
        </is>
      </c>
      <c r="B4152" s="198">
        <f>IF(ISBLANK('INVOCAÇÕES'!$W$534),"",'INVOCAÇÕES'!$W$534&amp;"")</f>
        <v/>
      </c>
      <c r="C4152" s="198">
        <f>"'INVOCAÇÕES'!W495"</f>
        <v/>
      </c>
      <c r="D4152" s="198" t="inlineStr">
        <is>
          <t>resultado</t>
        </is>
      </c>
    </row>
    <row r="4153">
      <c r="A4153" s="198" t="inlineStr">
        <is>
          <t>invocacao.3.esp.4.alcance</t>
        </is>
      </c>
      <c r="B4153" s="198">
        <f>IF(ISBLANK('INVOCAÇÕES'!$U$535),"",'INVOCAÇÕES'!$U$535&amp;"")</f>
        <v/>
      </c>
      <c r="C4153" s="198">
        <f>"'INVOCAÇÕES'!U496"</f>
        <v/>
      </c>
      <c r="D4153" s="198" t="inlineStr">
        <is>
          <t>resultado</t>
        </is>
      </c>
    </row>
    <row r="4154">
      <c r="A4154" s="198" t="inlineStr">
        <is>
          <t>invocacao.3.esp.5.texto</t>
        </is>
      </c>
      <c r="B4154" s="198">
        <f>IF(ISBLANK('INVOCAÇÕES'!$I$551),"",'INVOCAÇÕES'!$I$551&amp;"")</f>
        <v/>
      </c>
      <c r="C4154" s="198">
        <f>"'INVOCAÇÕES'!I512"</f>
        <v/>
      </c>
      <c r="D4154" s="198" t="inlineStr">
        <is>
          <t>entrada</t>
        </is>
      </c>
    </row>
    <row r="4155">
      <c r="A4155" s="198" t="inlineStr">
        <is>
          <t>invocacao.3.esp.5.tipo_dano</t>
        </is>
      </c>
      <c r="B4155" s="198">
        <f>IF(ISBLANK('INVOCAÇÕES'!$I$555),"",'INVOCAÇÕES'!$I$555&amp;"")</f>
        <v/>
      </c>
      <c r="C4155" s="198">
        <f>"'INVOCAÇÕES'!I516"</f>
        <v/>
      </c>
      <c r="D4155" s="198" t="inlineStr">
        <is>
          <t>entrada</t>
        </is>
      </c>
    </row>
    <row r="4156">
      <c r="A4156" s="198" t="inlineStr">
        <is>
          <t>invocacao.3.esp.5.resolucao_escolha</t>
        </is>
      </c>
      <c r="B4156" s="198">
        <f>IF(ISBLANK('INVOCAÇÕES'!$K$555),"",'INVOCAÇÕES'!$K$555&amp;"")</f>
        <v/>
      </c>
      <c r="C4156" s="198">
        <f>"'INVOCAÇÕES'!K516"</f>
        <v/>
      </c>
      <c r="D4156" s="198" t="inlineStr">
        <is>
          <t>entrada</t>
        </is>
      </c>
    </row>
    <row r="4157">
      <c r="A4157" s="198" t="inlineStr">
        <is>
          <t>invocacao.3.esp.5.acao</t>
        </is>
      </c>
      <c r="B4157" s="198">
        <f>IF(ISBLANK('INVOCAÇÕES'!$I$556),"",'INVOCAÇÕES'!$I$556&amp;"")</f>
        <v/>
      </c>
      <c r="C4157" s="198">
        <f>"'INVOCAÇÕES'!I517"</f>
        <v/>
      </c>
      <c r="D4157" s="198" t="inlineStr">
        <is>
          <t>resultado</t>
        </is>
      </c>
    </row>
    <row r="4158">
      <c r="A4158" s="198" t="inlineStr">
        <is>
          <t>invocacao.3.esp.5.resolve</t>
        </is>
      </c>
      <c r="B4158" s="198">
        <f>IF(ISBLANK('INVOCAÇÕES'!$K$556),"",'INVOCAÇÕES'!$K$556&amp;"")</f>
        <v/>
      </c>
      <c r="C4158" s="198">
        <f>"'INVOCAÇÕES'!K517"</f>
        <v/>
      </c>
      <c r="D4158" s="198" t="inlineStr">
        <is>
          <t>resultado</t>
        </is>
      </c>
    </row>
    <row r="4159">
      <c r="A4159" s="198" t="inlineStr">
        <is>
          <t>invocacao.3.esp.5.alcance</t>
        </is>
      </c>
      <c r="B4159" s="198">
        <f>IF(ISBLANK('INVOCAÇÕES'!$I$557),"",'INVOCAÇÕES'!$I$557&amp;"")</f>
        <v/>
      </c>
      <c r="C4159" s="198">
        <f>"'INVOCAÇÕES'!I518"</f>
        <v/>
      </c>
      <c r="D4159" s="198" t="inlineStr">
        <is>
          <t>resultado</t>
        </is>
      </c>
    </row>
    <row r="4160">
      <c r="A4160" s="198" t="inlineStr">
        <is>
          <t>invocacao.3.esp.6.texto</t>
        </is>
      </c>
      <c r="B4160" s="198">
        <f>IF(ISBLANK('INVOCAÇÕES'!$O$551),"",'INVOCAÇÕES'!$O$551&amp;"")</f>
        <v/>
      </c>
      <c r="C4160" s="198">
        <f>"'INVOCAÇÕES'!O512"</f>
        <v/>
      </c>
      <c r="D4160" s="198" t="inlineStr">
        <is>
          <t>entrada</t>
        </is>
      </c>
    </row>
    <row r="4161">
      <c r="A4161" s="198" t="inlineStr">
        <is>
          <t>invocacao.3.esp.6.tipo_dano</t>
        </is>
      </c>
      <c r="B4161" s="198">
        <f>IF(ISBLANK('INVOCAÇÕES'!$O$555),"",'INVOCAÇÕES'!$O$555&amp;"")</f>
        <v/>
      </c>
      <c r="C4161" s="198">
        <f>"'INVOCAÇÕES'!O516"</f>
        <v/>
      </c>
      <c r="D4161" s="198" t="inlineStr">
        <is>
          <t>entrada</t>
        </is>
      </c>
    </row>
    <row r="4162">
      <c r="A4162" s="198" t="inlineStr">
        <is>
          <t>invocacao.3.esp.6.resolucao_escolha</t>
        </is>
      </c>
      <c r="B4162" s="198">
        <f>IF(ISBLANK('INVOCAÇÕES'!$Q$555),"",'INVOCAÇÕES'!$Q$555&amp;"")</f>
        <v/>
      </c>
      <c r="C4162" s="198">
        <f>"'INVOCAÇÕES'!Q516"</f>
        <v/>
      </c>
      <c r="D4162" s="198" t="inlineStr">
        <is>
          <t>entrada</t>
        </is>
      </c>
    </row>
    <row r="4163">
      <c r="A4163" s="198" t="inlineStr">
        <is>
          <t>invocacao.3.esp.6.acao</t>
        </is>
      </c>
      <c r="B4163" s="198">
        <f>IF(ISBLANK('INVOCAÇÕES'!$O$556),"",'INVOCAÇÕES'!$O$556&amp;"")</f>
        <v/>
      </c>
      <c r="C4163" s="198">
        <f>"'INVOCAÇÕES'!O517"</f>
        <v/>
      </c>
      <c r="D4163" s="198" t="inlineStr">
        <is>
          <t>resultado</t>
        </is>
      </c>
    </row>
    <row r="4164">
      <c r="A4164" s="198" t="inlineStr">
        <is>
          <t>invocacao.3.esp.6.resolve</t>
        </is>
      </c>
      <c r="B4164" s="198">
        <f>IF(ISBLANK('INVOCAÇÕES'!$Q$556),"",'INVOCAÇÕES'!$Q$556&amp;"")</f>
        <v/>
      </c>
      <c r="C4164" s="198">
        <f>"'INVOCAÇÕES'!Q517"</f>
        <v/>
      </c>
      <c r="D4164" s="198" t="inlineStr">
        <is>
          <t>resultado</t>
        </is>
      </c>
    </row>
    <row r="4165">
      <c r="A4165" s="198" t="inlineStr">
        <is>
          <t>invocacao.3.esp.6.alcance</t>
        </is>
      </c>
      <c r="B4165" s="198">
        <f>IF(ISBLANK('INVOCAÇÕES'!$O$557),"",'INVOCAÇÕES'!$O$557&amp;"")</f>
        <v/>
      </c>
      <c r="C4165" s="198">
        <f>"'INVOCAÇÕES'!O518"</f>
        <v/>
      </c>
      <c r="D4165" s="198" t="inlineStr">
        <is>
          <t>resultado</t>
        </is>
      </c>
    </row>
    <row r="4166">
      <c r="A4166" s="198" t="inlineStr">
        <is>
          <t>invocacao.3.esp.7.texto</t>
        </is>
      </c>
      <c r="B4166" s="198">
        <f>IF(ISBLANK('INVOCAÇÕES'!$U$551),"",'INVOCAÇÕES'!$U$551&amp;"")</f>
        <v/>
      </c>
      <c r="C4166" s="198">
        <f>"'INVOCAÇÕES'!U512"</f>
        <v/>
      </c>
      <c r="D4166" s="198" t="inlineStr">
        <is>
          <t>entrada</t>
        </is>
      </c>
    </row>
    <row r="4167">
      <c r="A4167" s="198" t="inlineStr">
        <is>
          <t>invocacao.3.esp.7.tipo_dano</t>
        </is>
      </c>
      <c r="B4167" s="198">
        <f>IF(ISBLANK('INVOCAÇÕES'!$U$555),"",'INVOCAÇÕES'!$U$555&amp;"")</f>
        <v/>
      </c>
      <c r="C4167" s="198">
        <f>"'INVOCAÇÕES'!U516"</f>
        <v/>
      </c>
      <c r="D4167" s="198" t="inlineStr">
        <is>
          <t>entrada</t>
        </is>
      </c>
    </row>
    <row r="4168">
      <c r="A4168" s="198" t="inlineStr">
        <is>
          <t>invocacao.3.esp.7.resolucao_escolha</t>
        </is>
      </c>
      <c r="B4168" s="198">
        <f>IF(ISBLANK('INVOCAÇÕES'!$W$555),"",'INVOCAÇÕES'!$W$555&amp;"")</f>
        <v/>
      </c>
      <c r="C4168" s="198">
        <f>"'INVOCAÇÕES'!W516"</f>
        <v/>
      </c>
      <c r="D4168" s="198" t="inlineStr">
        <is>
          <t>entrada</t>
        </is>
      </c>
    </row>
    <row r="4169">
      <c r="A4169" s="198" t="inlineStr">
        <is>
          <t>invocacao.3.esp.7.acao</t>
        </is>
      </c>
      <c r="B4169" s="198">
        <f>IF(ISBLANK('INVOCAÇÕES'!$U$556),"",'INVOCAÇÕES'!$U$556&amp;"")</f>
        <v/>
      </c>
      <c r="C4169" s="198">
        <f>"'INVOCAÇÕES'!U517"</f>
        <v/>
      </c>
      <c r="D4169" s="198" t="inlineStr">
        <is>
          <t>resultado</t>
        </is>
      </c>
    </row>
    <row r="4170">
      <c r="A4170" s="198" t="inlineStr">
        <is>
          <t>invocacao.3.esp.7.resolve</t>
        </is>
      </c>
      <c r="B4170" s="198">
        <f>IF(ISBLANK('INVOCAÇÕES'!$W$556),"",'INVOCAÇÕES'!$W$556&amp;"")</f>
        <v/>
      </c>
      <c r="C4170" s="198">
        <f>"'INVOCAÇÕES'!W517"</f>
        <v/>
      </c>
      <c r="D4170" s="198" t="inlineStr">
        <is>
          <t>resultado</t>
        </is>
      </c>
    </row>
    <row r="4171">
      <c r="A4171" s="198" t="inlineStr">
        <is>
          <t>invocacao.3.esp.7.alcance</t>
        </is>
      </c>
      <c r="B4171" s="198">
        <f>IF(ISBLANK('INVOCAÇÕES'!$U$557),"",'INVOCAÇÕES'!$U$557&amp;"")</f>
        <v/>
      </c>
      <c r="C4171" s="198">
        <f>"'INVOCAÇÕES'!U518"</f>
        <v/>
      </c>
      <c r="D4171" s="198" t="inlineStr">
        <is>
          <t>resultado</t>
        </is>
      </c>
    </row>
    <row r="4172">
      <c r="A4172" s="198" t="inlineStr">
        <is>
          <t>invocacao.3.esp.8.texto</t>
        </is>
      </c>
      <c r="B4172" s="198">
        <f>IF(ISBLANK('INVOCAÇÕES'!$I$573),"",'INVOCAÇÕES'!$I$573&amp;"")</f>
        <v/>
      </c>
      <c r="C4172" s="198">
        <f>"'INVOCAÇÕES'!I534"</f>
        <v/>
      </c>
      <c r="D4172" s="198" t="inlineStr">
        <is>
          <t>entrada</t>
        </is>
      </c>
    </row>
    <row r="4173">
      <c r="A4173" s="198" t="inlineStr">
        <is>
          <t>invocacao.3.esp.8.tipo_dano</t>
        </is>
      </c>
      <c r="B4173" s="198">
        <f>IF(ISBLANK('INVOCAÇÕES'!$I$577),"",'INVOCAÇÕES'!$I$577&amp;"")</f>
        <v/>
      </c>
      <c r="C4173" s="198">
        <f>"'INVOCAÇÕES'!I538"</f>
        <v/>
      </c>
      <c r="D4173" s="198" t="inlineStr">
        <is>
          <t>entrada</t>
        </is>
      </c>
    </row>
    <row r="4174">
      <c r="A4174" s="198" t="inlineStr">
        <is>
          <t>invocacao.3.esp.8.resolucao_escolha</t>
        </is>
      </c>
      <c r="B4174" s="198">
        <f>IF(ISBLANK('INVOCAÇÕES'!$K$577),"",'INVOCAÇÕES'!$K$577&amp;"")</f>
        <v/>
      </c>
      <c r="C4174" s="198">
        <f>"'INVOCAÇÕES'!K538"</f>
        <v/>
      </c>
      <c r="D4174" s="198" t="inlineStr">
        <is>
          <t>entrada</t>
        </is>
      </c>
    </row>
    <row r="4175">
      <c r="A4175" s="198" t="inlineStr">
        <is>
          <t>invocacao.3.esp.8.acao</t>
        </is>
      </c>
      <c r="B4175" s="198">
        <f>IF(ISBLANK('INVOCAÇÕES'!$I$578),"",'INVOCAÇÕES'!$I$578&amp;"")</f>
        <v/>
      </c>
      <c r="C4175" s="198">
        <f>"'INVOCAÇÕES'!I539"</f>
        <v/>
      </c>
      <c r="D4175" s="198" t="inlineStr">
        <is>
          <t>resultado</t>
        </is>
      </c>
    </row>
    <row r="4176">
      <c r="A4176" s="198" t="inlineStr">
        <is>
          <t>invocacao.3.esp.8.resolve</t>
        </is>
      </c>
      <c r="B4176" s="198">
        <f>IF(ISBLANK('INVOCAÇÕES'!$K$578),"",'INVOCAÇÕES'!$K$578&amp;"")</f>
        <v/>
      </c>
      <c r="C4176" s="198">
        <f>"'INVOCAÇÕES'!K539"</f>
        <v/>
      </c>
      <c r="D4176" s="198" t="inlineStr">
        <is>
          <t>resultado</t>
        </is>
      </c>
    </row>
    <row r="4177">
      <c r="A4177" s="198" t="inlineStr">
        <is>
          <t>invocacao.3.esp.8.alcance</t>
        </is>
      </c>
      <c r="B4177" s="198">
        <f>IF(ISBLANK('INVOCAÇÕES'!$I$579),"",'INVOCAÇÕES'!$I$579&amp;"")</f>
        <v/>
      </c>
      <c r="C4177" s="198">
        <f>"'INVOCAÇÕES'!I540"</f>
        <v/>
      </c>
      <c r="D4177" s="198" t="inlineStr">
        <is>
          <t>resultado</t>
        </is>
      </c>
    </row>
    <row r="4178">
      <c r="A4178" s="198" t="inlineStr">
        <is>
          <t>invocacao.3.ext.1.texto</t>
        </is>
      </c>
      <c r="B4178" s="198">
        <f>IF(ISBLANK('INVOCAÇÕES'!$I$597),"",'INVOCAÇÕES'!$I$597&amp;"")</f>
        <v/>
      </c>
      <c r="C4178" s="198">
        <f>"'INVOCAÇÕES'!I558"</f>
        <v/>
      </c>
      <c r="D4178" s="198" t="inlineStr">
        <is>
          <t>entrada</t>
        </is>
      </c>
    </row>
    <row r="4179">
      <c r="A4179" s="198" t="inlineStr">
        <is>
          <t>invocacao.3.ext.1.tipo_dano</t>
        </is>
      </c>
      <c r="B4179" s="198">
        <f>IF(ISBLANK('INVOCAÇÕES'!$I$601),"",'INVOCAÇÕES'!$I$601&amp;"")</f>
        <v/>
      </c>
      <c r="C4179" s="198">
        <f>"'INVOCAÇÕES'!I562"</f>
        <v/>
      </c>
      <c r="D4179" s="198" t="inlineStr">
        <is>
          <t>entrada</t>
        </is>
      </c>
    </row>
    <row r="4180">
      <c r="A4180" s="198" t="inlineStr">
        <is>
          <t>invocacao.3.ext.1.resolucao_escolha</t>
        </is>
      </c>
      <c r="B4180" s="198">
        <f>IF(ISBLANK('INVOCAÇÕES'!$K$601),"",'INVOCAÇÕES'!$K$601&amp;"")</f>
        <v/>
      </c>
      <c r="C4180" s="198">
        <f>"'INVOCAÇÕES'!K562"</f>
        <v/>
      </c>
      <c r="D4180" s="198" t="inlineStr">
        <is>
          <t>entrada</t>
        </is>
      </c>
    </row>
    <row r="4181">
      <c r="A4181" s="198" t="inlineStr">
        <is>
          <t>invocacao.3.ext.1.acao</t>
        </is>
      </c>
      <c r="B4181" s="198">
        <f>IF(ISBLANK('INVOCAÇÕES'!$I$602),"",'INVOCAÇÕES'!$I$602&amp;"")</f>
        <v/>
      </c>
      <c r="C4181" s="198">
        <f>"'INVOCAÇÕES'!I563"</f>
        <v/>
      </c>
      <c r="D4181" s="198" t="inlineStr">
        <is>
          <t>resultado</t>
        </is>
      </c>
    </row>
    <row r="4182">
      <c r="A4182" s="198" t="inlineStr">
        <is>
          <t>invocacao.3.ext.1.resolve</t>
        </is>
      </c>
      <c r="B4182" s="198">
        <f>IF(ISBLANK('INVOCAÇÕES'!$K$602),"",'INVOCAÇÕES'!$K$602&amp;"")</f>
        <v/>
      </c>
      <c r="C4182" s="198">
        <f>"'INVOCAÇÕES'!K563"</f>
        <v/>
      </c>
      <c r="D4182" s="198" t="inlineStr">
        <is>
          <t>resultado</t>
        </is>
      </c>
    </row>
    <row r="4183">
      <c r="A4183" s="198" t="inlineStr">
        <is>
          <t>invocacao.3.ext.1.alcance</t>
        </is>
      </c>
      <c r="B4183" s="198">
        <f>IF(ISBLANK('INVOCAÇÕES'!$I$603),"",'INVOCAÇÕES'!$I$603&amp;"")</f>
        <v/>
      </c>
      <c r="C4183" s="198">
        <f>"'INVOCAÇÕES'!I564"</f>
        <v/>
      </c>
      <c r="D4183" s="198" t="inlineStr">
        <is>
          <t>resultado</t>
        </is>
      </c>
    </row>
    <row r="4184">
      <c r="A4184" s="198" t="inlineStr">
        <is>
          <t>invocacao.3.ext.2.texto</t>
        </is>
      </c>
      <c r="B4184" s="198">
        <f>IF(ISBLANK('INVOCAÇÕES'!$O$597),"",'INVOCAÇÕES'!$O$597&amp;"")</f>
        <v/>
      </c>
      <c r="C4184" s="198">
        <f>"'INVOCAÇÕES'!O558"</f>
        <v/>
      </c>
      <c r="D4184" s="198" t="inlineStr">
        <is>
          <t>entrada</t>
        </is>
      </c>
    </row>
    <row r="4185">
      <c r="A4185" s="198" t="inlineStr">
        <is>
          <t>invocacao.3.ext.2.tipo_dano</t>
        </is>
      </c>
      <c r="B4185" s="198">
        <f>IF(ISBLANK('INVOCAÇÕES'!$O$601),"",'INVOCAÇÕES'!$O$601&amp;"")</f>
        <v/>
      </c>
      <c r="C4185" s="198">
        <f>"'INVOCAÇÕES'!O562"</f>
        <v/>
      </c>
      <c r="D4185" s="198" t="inlineStr">
        <is>
          <t>entrada</t>
        </is>
      </c>
    </row>
    <row r="4186">
      <c r="A4186" s="198" t="inlineStr">
        <is>
          <t>invocacao.3.ext.2.resolucao_escolha</t>
        </is>
      </c>
      <c r="B4186" s="198">
        <f>IF(ISBLANK('INVOCAÇÕES'!$Q$601),"",'INVOCAÇÕES'!$Q$601&amp;"")</f>
        <v/>
      </c>
      <c r="C4186" s="198">
        <f>"'INVOCAÇÕES'!Q562"</f>
        <v/>
      </c>
      <c r="D4186" s="198" t="inlineStr">
        <is>
          <t>entrada</t>
        </is>
      </c>
    </row>
    <row r="4187">
      <c r="A4187" s="198" t="inlineStr">
        <is>
          <t>invocacao.3.ext.2.acao</t>
        </is>
      </c>
      <c r="B4187" s="198">
        <f>IF(ISBLANK('INVOCAÇÕES'!$O$602),"",'INVOCAÇÕES'!$O$602&amp;"")</f>
        <v/>
      </c>
      <c r="C4187" s="198">
        <f>"'INVOCAÇÕES'!O563"</f>
        <v/>
      </c>
      <c r="D4187" s="198" t="inlineStr">
        <is>
          <t>resultado</t>
        </is>
      </c>
    </row>
    <row r="4188">
      <c r="A4188" s="198" t="inlineStr">
        <is>
          <t>invocacao.3.ext.2.resolve</t>
        </is>
      </c>
      <c r="B4188" s="198">
        <f>IF(ISBLANK('INVOCAÇÕES'!$Q$602),"",'INVOCAÇÕES'!$Q$602&amp;"")</f>
        <v/>
      </c>
      <c r="C4188" s="198">
        <f>"'INVOCAÇÕES'!Q563"</f>
        <v/>
      </c>
      <c r="D4188" s="198" t="inlineStr">
        <is>
          <t>resultado</t>
        </is>
      </c>
    </row>
    <row r="4189">
      <c r="A4189" s="198" t="inlineStr">
        <is>
          <t>invocacao.3.ext.2.alcance</t>
        </is>
      </c>
      <c r="B4189" s="198">
        <f>IF(ISBLANK('INVOCAÇÕES'!$O$603),"",'INVOCAÇÕES'!$O$603&amp;"")</f>
        <v/>
      </c>
      <c r="C4189" s="198">
        <f>"'INVOCAÇÕES'!O564"</f>
        <v/>
      </c>
      <c r="D4189" s="198" t="inlineStr">
        <is>
          <t>resultado</t>
        </is>
      </c>
    </row>
    <row r="4190">
      <c r="A4190" s="198" t="inlineStr">
        <is>
          <t>invocacao.3.ext.3.texto</t>
        </is>
      </c>
      <c r="B4190" s="198">
        <f>IF(ISBLANK('INVOCAÇÕES'!$U$597),"",'INVOCAÇÕES'!$U$597&amp;"")</f>
        <v/>
      </c>
      <c r="C4190" s="198">
        <f>"'INVOCAÇÕES'!U558"</f>
        <v/>
      </c>
      <c r="D4190" s="198" t="inlineStr">
        <is>
          <t>entrada</t>
        </is>
      </c>
    </row>
    <row r="4191">
      <c r="A4191" s="198" t="inlineStr">
        <is>
          <t>invocacao.3.ext.3.tipo_dano</t>
        </is>
      </c>
      <c r="B4191" s="198">
        <f>IF(ISBLANK('INVOCAÇÕES'!$U$601),"",'INVOCAÇÕES'!$U$601&amp;"")</f>
        <v/>
      </c>
      <c r="C4191" s="198">
        <f>"'INVOCAÇÕES'!U562"</f>
        <v/>
      </c>
      <c r="D4191" s="198" t="inlineStr">
        <is>
          <t>entrada</t>
        </is>
      </c>
    </row>
    <row r="4192">
      <c r="A4192" s="198" t="inlineStr">
        <is>
          <t>invocacao.3.ext.3.resolucao_escolha</t>
        </is>
      </c>
      <c r="B4192" s="198">
        <f>IF(ISBLANK('INVOCAÇÕES'!$W$601),"",'INVOCAÇÕES'!$W$601&amp;"")</f>
        <v/>
      </c>
      <c r="C4192" s="198">
        <f>"'INVOCAÇÕES'!W562"</f>
        <v/>
      </c>
      <c r="D4192" s="198" t="inlineStr">
        <is>
          <t>entrada</t>
        </is>
      </c>
    </row>
    <row r="4193">
      <c r="A4193" s="198" t="inlineStr">
        <is>
          <t>invocacao.3.ext.3.acao</t>
        </is>
      </c>
      <c r="B4193" s="198">
        <f>IF(ISBLANK('INVOCAÇÕES'!$U$602),"",'INVOCAÇÕES'!$U$602&amp;"")</f>
        <v/>
      </c>
      <c r="C4193" s="198">
        <f>"'INVOCAÇÕES'!U563"</f>
        <v/>
      </c>
      <c r="D4193" s="198" t="inlineStr">
        <is>
          <t>resultado</t>
        </is>
      </c>
    </row>
    <row r="4194">
      <c r="A4194" s="198" t="inlineStr">
        <is>
          <t>invocacao.3.ext.3.resolve</t>
        </is>
      </c>
      <c r="B4194" s="198">
        <f>IF(ISBLANK('INVOCAÇÕES'!$W$602),"",'INVOCAÇÕES'!$W$602&amp;"")</f>
        <v/>
      </c>
      <c r="C4194" s="198">
        <f>"'INVOCAÇÕES'!W563"</f>
        <v/>
      </c>
      <c r="D4194" s="198" t="inlineStr">
        <is>
          <t>resultado</t>
        </is>
      </c>
    </row>
    <row r="4195">
      <c r="A4195" s="198" t="inlineStr">
        <is>
          <t>invocacao.3.ext.3.alcance</t>
        </is>
      </c>
      <c r="B4195" s="198">
        <f>IF(ISBLANK('INVOCAÇÕES'!$U$603),"",'INVOCAÇÕES'!$U$603&amp;"")</f>
        <v/>
      </c>
      <c r="C4195" s="198">
        <f>"'INVOCAÇÕES'!U564"</f>
        <v/>
      </c>
      <c r="D4195" s="198" t="inlineStr">
        <is>
          <t>resultado</t>
        </is>
      </c>
    </row>
    <row r="4196">
      <c r="A4196" s="198" t="inlineStr">
        <is>
          <t>invocacao.4.bas.1.texto</t>
        </is>
      </c>
      <c r="B4196" s="198">
        <f>IF(ISBLANK('INVOCAÇÕES'!$I$706),"",'INVOCAÇÕES'!$I$706&amp;"")</f>
        <v/>
      </c>
      <c r="C4196" s="198">
        <f>"'INVOCAÇÕES'!I654"</f>
        <v/>
      </c>
      <c r="D4196" s="198" t="inlineStr">
        <is>
          <t>entrada</t>
        </is>
      </c>
    </row>
    <row r="4197">
      <c r="A4197" s="198" t="inlineStr">
        <is>
          <t>invocacao.4.bas.1.tipo_dano</t>
        </is>
      </c>
      <c r="B4197" s="198">
        <f>IF(ISBLANK('INVOCAÇÕES'!$I$710),"",'INVOCAÇÕES'!$I$710&amp;"")</f>
        <v/>
      </c>
      <c r="C4197" s="198">
        <f>"'INVOCAÇÕES'!I658"</f>
        <v/>
      </c>
      <c r="D4197" s="198" t="inlineStr">
        <is>
          <t>entrada</t>
        </is>
      </c>
    </row>
    <row r="4198">
      <c r="A4198" s="198" t="inlineStr">
        <is>
          <t>invocacao.4.bas.1.resolucao_escolha</t>
        </is>
      </c>
      <c r="B4198" s="198">
        <f>IF(ISBLANK('INVOCAÇÕES'!$K$710),"",'INVOCAÇÕES'!$K$710&amp;"")</f>
        <v/>
      </c>
      <c r="C4198" s="198">
        <f>"'INVOCAÇÕES'!K658"</f>
        <v/>
      </c>
      <c r="D4198" s="198" t="inlineStr">
        <is>
          <t>entrada</t>
        </is>
      </c>
    </row>
    <row r="4199">
      <c r="A4199" s="198" t="inlineStr">
        <is>
          <t>invocacao.4.bas.1.acao</t>
        </is>
      </c>
      <c r="B4199" s="198">
        <f>IF(ISBLANK('INVOCAÇÕES'!$I$711),"",'INVOCAÇÕES'!$I$711&amp;"")</f>
        <v/>
      </c>
      <c r="C4199" s="198">
        <f>"'INVOCAÇÕES'!I659"</f>
        <v/>
      </c>
      <c r="D4199" s="198" t="inlineStr">
        <is>
          <t>resultado</t>
        </is>
      </c>
    </row>
    <row r="4200">
      <c r="A4200" s="198" t="inlineStr">
        <is>
          <t>invocacao.4.bas.1.resolve</t>
        </is>
      </c>
      <c r="B4200" s="198">
        <f>IF(ISBLANK('INVOCAÇÕES'!$K$711),"",'INVOCAÇÕES'!$K$711&amp;"")</f>
        <v/>
      </c>
      <c r="C4200" s="198">
        <f>"'INVOCAÇÕES'!K659"</f>
        <v/>
      </c>
      <c r="D4200" s="198" t="inlineStr">
        <is>
          <t>resultado</t>
        </is>
      </c>
    </row>
    <row r="4201">
      <c r="A4201" s="198" t="inlineStr">
        <is>
          <t>invocacao.4.bas.1.alcance</t>
        </is>
      </c>
      <c r="B4201" s="198">
        <f>IF(ISBLANK('INVOCAÇÕES'!$I$712),"",'INVOCAÇÕES'!$I$712&amp;"")</f>
        <v/>
      </c>
      <c r="C4201" s="198">
        <f>"'INVOCAÇÕES'!I660"</f>
        <v/>
      </c>
      <c r="D4201" s="198" t="inlineStr">
        <is>
          <t>resultado</t>
        </is>
      </c>
    </row>
    <row r="4202">
      <c r="A4202" s="198" t="inlineStr">
        <is>
          <t>invocacao.4.esp.1.texto</t>
        </is>
      </c>
      <c r="B4202" s="198">
        <f>IF(ISBLANK('INVOCAÇÕES'!$O$706),"",'INVOCAÇÕES'!$O$706&amp;"")</f>
        <v/>
      </c>
      <c r="C4202" s="198">
        <f>"'INVOCAÇÕES'!O654"</f>
        <v/>
      </c>
      <c r="D4202" s="198" t="inlineStr">
        <is>
          <t>entrada</t>
        </is>
      </c>
    </row>
    <row r="4203">
      <c r="A4203" s="198" t="inlineStr">
        <is>
          <t>invocacao.4.esp.1.tipo_dano</t>
        </is>
      </c>
      <c r="B4203" s="198">
        <f>IF(ISBLANK('INVOCAÇÕES'!$O$710),"",'INVOCAÇÕES'!$O$710&amp;"")</f>
        <v/>
      </c>
      <c r="C4203" s="198">
        <f>"'INVOCAÇÕES'!O658"</f>
        <v/>
      </c>
      <c r="D4203" s="198" t="inlineStr">
        <is>
          <t>entrada</t>
        </is>
      </c>
    </row>
    <row r="4204">
      <c r="A4204" s="198" t="inlineStr">
        <is>
          <t>invocacao.4.esp.1.resolucao_escolha</t>
        </is>
      </c>
      <c r="B4204" s="198">
        <f>IF(ISBLANK('INVOCAÇÕES'!$Q$710),"",'INVOCAÇÕES'!$Q$710&amp;"")</f>
        <v/>
      </c>
      <c r="C4204" s="198">
        <f>"'INVOCAÇÕES'!Q658"</f>
        <v/>
      </c>
      <c r="D4204" s="198" t="inlineStr">
        <is>
          <t>entrada</t>
        </is>
      </c>
    </row>
    <row r="4205">
      <c r="A4205" s="198" t="inlineStr">
        <is>
          <t>invocacao.4.esp.1.acao</t>
        </is>
      </c>
      <c r="B4205" s="198">
        <f>IF(ISBLANK('INVOCAÇÕES'!$O$711),"",'INVOCAÇÕES'!$O$711&amp;"")</f>
        <v/>
      </c>
      <c r="C4205" s="198">
        <f>"'INVOCAÇÕES'!O659"</f>
        <v/>
      </c>
      <c r="D4205" s="198" t="inlineStr">
        <is>
          <t>resultado</t>
        </is>
      </c>
    </row>
    <row r="4206">
      <c r="A4206" s="198" t="inlineStr">
        <is>
          <t>invocacao.4.esp.1.resolve</t>
        </is>
      </c>
      <c r="B4206" s="198">
        <f>IF(ISBLANK('INVOCAÇÕES'!$Q$711),"",'INVOCAÇÕES'!$Q$711&amp;"")</f>
        <v/>
      </c>
      <c r="C4206" s="198">
        <f>"'INVOCAÇÕES'!Q659"</f>
        <v/>
      </c>
      <c r="D4206" s="198" t="inlineStr">
        <is>
          <t>resultado</t>
        </is>
      </c>
    </row>
    <row r="4207">
      <c r="A4207" s="198" t="inlineStr">
        <is>
          <t>invocacao.4.esp.1.alcance</t>
        </is>
      </c>
      <c r="B4207" s="198">
        <f>IF(ISBLANK('INVOCAÇÕES'!$O$712),"",'INVOCAÇÕES'!$O$712&amp;"")</f>
        <v/>
      </c>
      <c r="C4207" s="198">
        <f>"'INVOCAÇÕES'!O660"</f>
        <v/>
      </c>
      <c r="D4207" s="198" t="inlineStr">
        <is>
          <t>resultado</t>
        </is>
      </c>
    </row>
    <row r="4208">
      <c r="A4208" s="198" t="inlineStr">
        <is>
          <t>invocacao.4.esp.2.texto</t>
        </is>
      </c>
      <c r="B4208" s="198">
        <f>IF(ISBLANK('INVOCAÇÕES'!$U$706),"",'INVOCAÇÕES'!$U$706&amp;"")</f>
        <v/>
      </c>
      <c r="C4208" s="198">
        <f>"'INVOCAÇÕES'!U654"</f>
        <v/>
      </c>
      <c r="D4208" s="198" t="inlineStr">
        <is>
          <t>entrada</t>
        </is>
      </c>
    </row>
    <row r="4209">
      <c r="A4209" s="198" t="inlineStr">
        <is>
          <t>invocacao.4.esp.2.tipo_dano</t>
        </is>
      </c>
      <c r="B4209" s="198">
        <f>IF(ISBLANK('INVOCAÇÕES'!$U$710),"",'INVOCAÇÕES'!$U$710&amp;"")</f>
        <v/>
      </c>
      <c r="C4209" s="198">
        <f>"'INVOCAÇÕES'!U658"</f>
        <v/>
      </c>
      <c r="D4209" s="198" t="inlineStr">
        <is>
          <t>entrada</t>
        </is>
      </c>
    </row>
    <row r="4210">
      <c r="A4210" s="198" t="inlineStr">
        <is>
          <t>invocacao.4.esp.2.resolucao_escolha</t>
        </is>
      </c>
      <c r="B4210" s="198">
        <f>IF(ISBLANK('INVOCAÇÕES'!$W$710),"",'INVOCAÇÕES'!$W$710&amp;"")</f>
        <v/>
      </c>
      <c r="C4210" s="198">
        <f>"'INVOCAÇÕES'!W658"</f>
        <v/>
      </c>
      <c r="D4210" s="198" t="inlineStr">
        <is>
          <t>entrada</t>
        </is>
      </c>
    </row>
    <row r="4211">
      <c r="A4211" s="198" t="inlineStr">
        <is>
          <t>invocacao.4.esp.2.acao</t>
        </is>
      </c>
      <c r="B4211" s="198">
        <f>IF(ISBLANK('INVOCAÇÕES'!$U$711),"",'INVOCAÇÕES'!$U$711&amp;"")</f>
        <v/>
      </c>
      <c r="C4211" s="198">
        <f>"'INVOCAÇÕES'!U659"</f>
        <v/>
      </c>
      <c r="D4211" s="198" t="inlineStr">
        <is>
          <t>resultado</t>
        </is>
      </c>
    </row>
    <row r="4212">
      <c r="A4212" s="198" t="inlineStr">
        <is>
          <t>invocacao.4.esp.2.resolve</t>
        </is>
      </c>
      <c r="B4212" s="198">
        <f>IF(ISBLANK('INVOCAÇÕES'!$W$711),"",'INVOCAÇÕES'!$W$711&amp;"")</f>
        <v/>
      </c>
      <c r="C4212" s="198">
        <f>"'INVOCAÇÕES'!W659"</f>
        <v/>
      </c>
      <c r="D4212" s="198" t="inlineStr">
        <is>
          <t>resultado</t>
        </is>
      </c>
    </row>
    <row r="4213">
      <c r="A4213" s="198" t="inlineStr">
        <is>
          <t>invocacao.4.esp.2.alcance</t>
        </is>
      </c>
      <c r="B4213" s="198">
        <f>IF(ISBLANK('INVOCAÇÕES'!$U$712),"",'INVOCAÇÕES'!$U$712&amp;"")</f>
        <v/>
      </c>
      <c r="C4213" s="198">
        <f>"'INVOCAÇÕES'!U660"</f>
        <v/>
      </c>
      <c r="D4213" s="198" t="inlineStr">
        <is>
          <t>resultado</t>
        </is>
      </c>
    </row>
    <row r="4214">
      <c r="A4214" s="198" t="inlineStr">
        <is>
          <t>invocacao.4.bas.2.texto</t>
        </is>
      </c>
      <c r="B4214" s="198">
        <f>IF(ISBLANK('INVOCAÇÕES'!$I$740),"",'INVOCAÇÕES'!$I$740&amp;"")</f>
        <v/>
      </c>
      <c r="C4214" s="198">
        <f>"'INVOCAÇÕES'!I688"</f>
        <v/>
      </c>
      <c r="D4214" s="198" t="inlineStr">
        <is>
          <t>entrada</t>
        </is>
      </c>
    </row>
    <row r="4215">
      <c r="A4215" s="198" t="inlineStr">
        <is>
          <t>invocacao.4.bas.2.tipo_dano</t>
        </is>
      </c>
      <c r="B4215" s="198">
        <f>IF(ISBLANK('INVOCAÇÕES'!$I$744),"",'INVOCAÇÕES'!$I$744&amp;"")</f>
        <v/>
      </c>
      <c r="C4215" s="198">
        <f>"'INVOCAÇÕES'!I692"</f>
        <v/>
      </c>
      <c r="D4215" s="198" t="inlineStr">
        <is>
          <t>entrada</t>
        </is>
      </c>
    </row>
    <row r="4216">
      <c r="A4216" s="198" t="inlineStr">
        <is>
          <t>invocacao.4.bas.2.resolucao_escolha</t>
        </is>
      </c>
      <c r="B4216" s="198">
        <f>IF(ISBLANK('INVOCAÇÕES'!$K$744),"",'INVOCAÇÕES'!$K$744&amp;"")</f>
        <v/>
      </c>
      <c r="C4216" s="198">
        <f>"'INVOCAÇÕES'!K692"</f>
        <v/>
      </c>
      <c r="D4216" s="198" t="inlineStr">
        <is>
          <t>entrada</t>
        </is>
      </c>
    </row>
    <row r="4217">
      <c r="A4217" s="198" t="inlineStr">
        <is>
          <t>invocacao.4.bas.2.acao</t>
        </is>
      </c>
      <c r="B4217" s="198">
        <f>IF(ISBLANK('INVOCAÇÕES'!$I$745),"",'INVOCAÇÕES'!$I$745&amp;"")</f>
        <v/>
      </c>
      <c r="C4217" s="198">
        <f>"'INVOCAÇÕES'!I693"</f>
        <v/>
      </c>
      <c r="D4217" s="198" t="inlineStr">
        <is>
          <t>resultado</t>
        </is>
      </c>
    </row>
    <row r="4218">
      <c r="A4218" s="198" t="inlineStr">
        <is>
          <t>invocacao.4.bas.2.resolve</t>
        </is>
      </c>
      <c r="B4218" s="198">
        <f>IF(ISBLANK('INVOCAÇÕES'!$K$745),"",'INVOCAÇÕES'!$K$745&amp;"")</f>
        <v/>
      </c>
      <c r="C4218" s="198">
        <f>"'INVOCAÇÕES'!K693"</f>
        <v/>
      </c>
      <c r="D4218" s="198" t="inlineStr">
        <is>
          <t>resultado</t>
        </is>
      </c>
    </row>
    <row r="4219">
      <c r="A4219" s="198" t="inlineStr">
        <is>
          <t>invocacao.4.bas.2.alcance</t>
        </is>
      </c>
      <c r="B4219" s="198">
        <f>IF(ISBLANK('INVOCAÇÕES'!$I$746),"",'INVOCAÇÕES'!$I$746&amp;"")</f>
        <v/>
      </c>
      <c r="C4219" s="198">
        <f>"'INVOCAÇÕES'!I694"</f>
        <v/>
      </c>
      <c r="D4219" s="198" t="inlineStr">
        <is>
          <t>resultado</t>
        </is>
      </c>
    </row>
    <row r="4220">
      <c r="A4220" s="198" t="inlineStr">
        <is>
          <t>invocacao.4.esp.3.texto</t>
        </is>
      </c>
      <c r="B4220" s="198">
        <f>IF(ISBLANK('INVOCAÇÕES'!$O$740),"",'INVOCAÇÕES'!$O$740&amp;"")</f>
        <v/>
      </c>
      <c r="C4220" s="198">
        <f>"'INVOCAÇÕES'!O688"</f>
        <v/>
      </c>
      <c r="D4220" s="198" t="inlineStr">
        <is>
          <t>entrada</t>
        </is>
      </c>
    </row>
    <row r="4221">
      <c r="A4221" s="198" t="inlineStr">
        <is>
          <t>invocacao.4.esp.3.tipo_dano</t>
        </is>
      </c>
      <c r="B4221" s="198">
        <f>IF(ISBLANK('INVOCAÇÕES'!$O$744),"",'INVOCAÇÕES'!$O$744&amp;"")</f>
        <v/>
      </c>
      <c r="C4221" s="198">
        <f>"'INVOCAÇÕES'!O692"</f>
        <v/>
      </c>
      <c r="D4221" s="198" t="inlineStr">
        <is>
          <t>entrada</t>
        </is>
      </c>
    </row>
    <row r="4222">
      <c r="A4222" s="198" t="inlineStr">
        <is>
          <t>invocacao.4.esp.3.resolucao_escolha</t>
        </is>
      </c>
      <c r="B4222" s="198">
        <f>IF(ISBLANK('INVOCAÇÕES'!$Q$744),"",'INVOCAÇÕES'!$Q$744&amp;"")</f>
        <v/>
      </c>
      <c r="C4222" s="198">
        <f>"'INVOCAÇÕES'!Q692"</f>
        <v/>
      </c>
      <c r="D4222" s="198" t="inlineStr">
        <is>
          <t>entrada</t>
        </is>
      </c>
    </row>
    <row r="4223">
      <c r="A4223" s="198" t="inlineStr">
        <is>
          <t>invocacao.4.esp.3.acao</t>
        </is>
      </c>
      <c r="B4223" s="198">
        <f>IF(ISBLANK('INVOCAÇÕES'!$O$745),"",'INVOCAÇÕES'!$O$745&amp;"")</f>
        <v/>
      </c>
      <c r="C4223" s="198">
        <f>"'INVOCAÇÕES'!O693"</f>
        <v/>
      </c>
      <c r="D4223" s="198" t="inlineStr">
        <is>
          <t>resultado</t>
        </is>
      </c>
    </row>
    <row r="4224">
      <c r="A4224" s="198" t="inlineStr">
        <is>
          <t>invocacao.4.esp.3.resolve</t>
        </is>
      </c>
      <c r="B4224" s="198">
        <f>IF(ISBLANK('INVOCAÇÕES'!$Q$745),"",'INVOCAÇÕES'!$Q$745&amp;"")</f>
        <v/>
      </c>
      <c r="C4224" s="198">
        <f>"'INVOCAÇÕES'!Q693"</f>
        <v/>
      </c>
      <c r="D4224" s="198" t="inlineStr">
        <is>
          <t>resultado</t>
        </is>
      </c>
    </row>
    <row r="4225">
      <c r="A4225" s="198" t="inlineStr">
        <is>
          <t>invocacao.4.esp.3.alcance</t>
        </is>
      </c>
      <c r="B4225" s="198">
        <f>IF(ISBLANK('INVOCAÇÕES'!$O$746),"",'INVOCAÇÕES'!$O$746&amp;"")</f>
        <v/>
      </c>
      <c r="C4225" s="198">
        <f>"'INVOCAÇÕES'!O694"</f>
        <v/>
      </c>
      <c r="D4225" s="198" t="inlineStr">
        <is>
          <t>resultado</t>
        </is>
      </c>
    </row>
    <row r="4226">
      <c r="A4226" s="198" t="inlineStr">
        <is>
          <t>invocacao.4.esp.4.texto</t>
        </is>
      </c>
      <c r="B4226" s="198">
        <f>IF(ISBLANK('INVOCAÇÕES'!$U$740),"",'INVOCAÇÕES'!$U$740&amp;"")</f>
        <v/>
      </c>
      <c r="C4226" s="198">
        <f>"'INVOCAÇÕES'!U688"</f>
        <v/>
      </c>
      <c r="D4226" s="198" t="inlineStr">
        <is>
          <t>entrada</t>
        </is>
      </c>
    </row>
    <row r="4227">
      <c r="A4227" s="198" t="inlineStr">
        <is>
          <t>invocacao.4.esp.4.tipo_dano</t>
        </is>
      </c>
      <c r="B4227" s="198">
        <f>IF(ISBLANK('INVOCAÇÕES'!$U$744),"",'INVOCAÇÕES'!$U$744&amp;"")</f>
        <v/>
      </c>
      <c r="C4227" s="198">
        <f>"'INVOCAÇÕES'!U692"</f>
        <v/>
      </c>
      <c r="D4227" s="198" t="inlineStr">
        <is>
          <t>entrada</t>
        </is>
      </c>
    </row>
    <row r="4228">
      <c r="A4228" s="198" t="inlineStr">
        <is>
          <t>invocacao.4.esp.4.resolucao_escolha</t>
        </is>
      </c>
      <c r="B4228" s="198">
        <f>IF(ISBLANK('INVOCAÇÕES'!$W$744),"",'INVOCAÇÕES'!$W$744&amp;"")</f>
        <v/>
      </c>
      <c r="C4228" s="198">
        <f>"'INVOCAÇÕES'!W692"</f>
        <v/>
      </c>
      <c r="D4228" s="198" t="inlineStr">
        <is>
          <t>entrada</t>
        </is>
      </c>
    </row>
    <row r="4229">
      <c r="A4229" s="198" t="inlineStr">
        <is>
          <t>invocacao.4.esp.4.acao</t>
        </is>
      </c>
      <c r="B4229" s="198">
        <f>IF(ISBLANK('INVOCAÇÕES'!$U$745),"",'INVOCAÇÕES'!$U$745&amp;"")</f>
        <v/>
      </c>
      <c r="C4229" s="198">
        <f>"'INVOCAÇÕES'!U693"</f>
        <v/>
      </c>
      <c r="D4229" s="198" t="inlineStr">
        <is>
          <t>resultado</t>
        </is>
      </c>
    </row>
    <row r="4230">
      <c r="A4230" s="198" t="inlineStr">
        <is>
          <t>invocacao.4.esp.4.resolve</t>
        </is>
      </c>
      <c r="B4230" s="198">
        <f>IF(ISBLANK('INVOCAÇÕES'!$W$745),"",'INVOCAÇÕES'!$W$745&amp;"")</f>
        <v/>
      </c>
      <c r="C4230" s="198">
        <f>"'INVOCAÇÕES'!W693"</f>
        <v/>
      </c>
      <c r="D4230" s="198" t="inlineStr">
        <is>
          <t>resultado</t>
        </is>
      </c>
    </row>
    <row r="4231">
      <c r="A4231" s="198" t="inlineStr">
        <is>
          <t>invocacao.4.esp.4.alcance</t>
        </is>
      </c>
      <c r="B4231" s="198">
        <f>IF(ISBLANK('INVOCAÇÕES'!$U$746),"",'INVOCAÇÕES'!$U$746&amp;"")</f>
        <v/>
      </c>
      <c r="C4231" s="198">
        <f>"'INVOCAÇÕES'!U694"</f>
        <v/>
      </c>
      <c r="D4231" s="198" t="inlineStr">
        <is>
          <t>resultado</t>
        </is>
      </c>
    </row>
    <row r="4232">
      <c r="A4232" s="198" t="inlineStr">
        <is>
          <t>invocacao.4.esp.5.texto</t>
        </is>
      </c>
      <c r="B4232" s="198">
        <f>IF(ISBLANK('INVOCAÇÕES'!$I$762),"",'INVOCAÇÕES'!$I$762&amp;"")</f>
        <v/>
      </c>
      <c r="C4232" s="198">
        <f>"'INVOCAÇÕES'!I710"</f>
        <v/>
      </c>
      <c r="D4232" s="198" t="inlineStr">
        <is>
          <t>entrada</t>
        </is>
      </c>
    </row>
    <row r="4233">
      <c r="A4233" s="198" t="inlineStr">
        <is>
          <t>invocacao.4.esp.5.tipo_dano</t>
        </is>
      </c>
      <c r="B4233" s="198">
        <f>IF(ISBLANK('INVOCAÇÕES'!$I$766),"",'INVOCAÇÕES'!$I$766&amp;"")</f>
        <v/>
      </c>
      <c r="C4233" s="198">
        <f>"'INVOCAÇÕES'!I714"</f>
        <v/>
      </c>
      <c r="D4233" s="198" t="inlineStr">
        <is>
          <t>entrada</t>
        </is>
      </c>
    </row>
    <row r="4234">
      <c r="A4234" s="198" t="inlineStr">
        <is>
          <t>invocacao.4.esp.5.resolucao_escolha</t>
        </is>
      </c>
      <c r="B4234" s="198">
        <f>IF(ISBLANK('INVOCAÇÕES'!$K$766),"",'INVOCAÇÕES'!$K$766&amp;"")</f>
        <v/>
      </c>
      <c r="C4234" s="198">
        <f>"'INVOCAÇÕES'!K714"</f>
        <v/>
      </c>
      <c r="D4234" s="198" t="inlineStr">
        <is>
          <t>entrada</t>
        </is>
      </c>
    </row>
    <row r="4235">
      <c r="A4235" s="198" t="inlineStr">
        <is>
          <t>invocacao.4.esp.5.acao</t>
        </is>
      </c>
      <c r="B4235" s="198">
        <f>IF(ISBLANK('INVOCAÇÕES'!$I$767),"",'INVOCAÇÕES'!$I$767&amp;"")</f>
        <v/>
      </c>
      <c r="C4235" s="198">
        <f>"'INVOCAÇÕES'!I715"</f>
        <v/>
      </c>
      <c r="D4235" s="198" t="inlineStr">
        <is>
          <t>resultado</t>
        </is>
      </c>
    </row>
    <row r="4236">
      <c r="A4236" s="198" t="inlineStr">
        <is>
          <t>invocacao.4.esp.5.resolve</t>
        </is>
      </c>
      <c r="B4236" s="198">
        <f>IF(ISBLANK('INVOCAÇÕES'!$K$767),"",'INVOCAÇÕES'!$K$767&amp;"")</f>
        <v/>
      </c>
      <c r="C4236" s="198">
        <f>"'INVOCAÇÕES'!K715"</f>
        <v/>
      </c>
      <c r="D4236" s="198" t="inlineStr">
        <is>
          <t>resultado</t>
        </is>
      </c>
    </row>
    <row r="4237">
      <c r="A4237" s="198" t="inlineStr">
        <is>
          <t>invocacao.4.esp.5.alcance</t>
        </is>
      </c>
      <c r="B4237" s="198">
        <f>IF(ISBLANK('INVOCAÇÕES'!$I$768),"",'INVOCAÇÕES'!$I$768&amp;"")</f>
        <v/>
      </c>
      <c r="C4237" s="198">
        <f>"'INVOCAÇÕES'!I716"</f>
        <v/>
      </c>
      <c r="D4237" s="198" t="inlineStr">
        <is>
          <t>resultado</t>
        </is>
      </c>
    </row>
    <row r="4238">
      <c r="A4238" s="198" t="inlineStr">
        <is>
          <t>invocacao.4.esp.6.texto</t>
        </is>
      </c>
      <c r="B4238" s="198">
        <f>IF(ISBLANK('INVOCAÇÕES'!$O$762),"",'INVOCAÇÕES'!$O$762&amp;"")</f>
        <v/>
      </c>
      <c r="C4238" s="198">
        <f>"'INVOCAÇÕES'!O710"</f>
        <v/>
      </c>
      <c r="D4238" s="198" t="inlineStr">
        <is>
          <t>entrada</t>
        </is>
      </c>
    </row>
    <row r="4239">
      <c r="A4239" s="198" t="inlineStr">
        <is>
          <t>invocacao.4.esp.6.tipo_dano</t>
        </is>
      </c>
      <c r="B4239" s="198">
        <f>IF(ISBLANK('INVOCAÇÕES'!$O$766),"",'INVOCAÇÕES'!$O$766&amp;"")</f>
        <v/>
      </c>
      <c r="C4239" s="198">
        <f>"'INVOCAÇÕES'!O714"</f>
        <v/>
      </c>
      <c r="D4239" s="198" t="inlineStr">
        <is>
          <t>entrada</t>
        </is>
      </c>
    </row>
    <row r="4240">
      <c r="A4240" s="198" t="inlineStr">
        <is>
          <t>invocacao.4.esp.6.resolucao_escolha</t>
        </is>
      </c>
      <c r="B4240" s="198">
        <f>IF(ISBLANK('INVOCAÇÕES'!$Q$766),"",'INVOCAÇÕES'!$Q$766&amp;"")</f>
        <v/>
      </c>
      <c r="C4240" s="198">
        <f>"'INVOCAÇÕES'!Q714"</f>
        <v/>
      </c>
      <c r="D4240" s="198" t="inlineStr">
        <is>
          <t>entrada</t>
        </is>
      </c>
    </row>
    <row r="4241">
      <c r="A4241" s="198" t="inlineStr">
        <is>
          <t>invocacao.4.esp.6.acao</t>
        </is>
      </c>
      <c r="B4241" s="198">
        <f>IF(ISBLANK('INVOCAÇÕES'!$O$767),"",'INVOCAÇÕES'!$O$767&amp;"")</f>
        <v/>
      </c>
      <c r="C4241" s="198">
        <f>"'INVOCAÇÕES'!O715"</f>
        <v/>
      </c>
      <c r="D4241" s="198" t="inlineStr">
        <is>
          <t>resultado</t>
        </is>
      </c>
    </row>
    <row r="4242">
      <c r="A4242" s="198" t="inlineStr">
        <is>
          <t>invocacao.4.esp.6.resolve</t>
        </is>
      </c>
      <c r="B4242" s="198">
        <f>IF(ISBLANK('INVOCAÇÕES'!$Q$767),"",'INVOCAÇÕES'!$Q$767&amp;"")</f>
        <v/>
      </c>
      <c r="C4242" s="198">
        <f>"'INVOCAÇÕES'!Q715"</f>
        <v/>
      </c>
      <c r="D4242" s="198" t="inlineStr">
        <is>
          <t>resultado</t>
        </is>
      </c>
    </row>
    <row r="4243">
      <c r="A4243" s="198" t="inlineStr">
        <is>
          <t>invocacao.4.esp.6.alcance</t>
        </is>
      </c>
      <c r="B4243" s="198">
        <f>IF(ISBLANK('INVOCAÇÕES'!$O$768),"",'INVOCAÇÕES'!$O$768&amp;"")</f>
        <v/>
      </c>
      <c r="C4243" s="198">
        <f>"'INVOCAÇÕES'!O716"</f>
        <v/>
      </c>
      <c r="D4243" s="198" t="inlineStr">
        <is>
          <t>resultado</t>
        </is>
      </c>
    </row>
    <row r="4244">
      <c r="A4244" s="198" t="inlineStr">
        <is>
          <t>invocacao.4.esp.7.texto</t>
        </is>
      </c>
      <c r="B4244" s="198">
        <f>IF(ISBLANK('INVOCAÇÕES'!$U$762),"",'INVOCAÇÕES'!$U$762&amp;"")</f>
        <v/>
      </c>
      <c r="C4244" s="198">
        <f>"'INVOCAÇÕES'!U710"</f>
        <v/>
      </c>
      <c r="D4244" s="198" t="inlineStr">
        <is>
          <t>entrada</t>
        </is>
      </c>
    </row>
    <row r="4245">
      <c r="A4245" s="198" t="inlineStr">
        <is>
          <t>invocacao.4.esp.7.tipo_dano</t>
        </is>
      </c>
      <c r="B4245" s="198">
        <f>IF(ISBLANK('INVOCAÇÕES'!$U$766),"",'INVOCAÇÕES'!$U$766&amp;"")</f>
        <v/>
      </c>
      <c r="C4245" s="198">
        <f>"'INVOCAÇÕES'!U714"</f>
        <v/>
      </c>
      <c r="D4245" s="198" t="inlineStr">
        <is>
          <t>entrada</t>
        </is>
      </c>
    </row>
    <row r="4246">
      <c r="A4246" s="198" t="inlineStr">
        <is>
          <t>invocacao.4.esp.7.resolucao_escolha</t>
        </is>
      </c>
      <c r="B4246" s="198">
        <f>IF(ISBLANK('INVOCAÇÕES'!$W$766),"",'INVOCAÇÕES'!$W$766&amp;"")</f>
        <v/>
      </c>
      <c r="C4246" s="198">
        <f>"'INVOCAÇÕES'!W714"</f>
        <v/>
      </c>
      <c r="D4246" s="198" t="inlineStr">
        <is>
          <t>entrada</t>
        </is>
      </c>
    </row>
    <row r="4247">
      <c r="A4247" s="198" t="inlineStr">
        <is>
          <t>invocacao.4.esp.7.acao</t>
        </is>
      </c>
      <c r="B4247" s="198">
        <f>IF(ISBLANK('INVOCAÇÕES'!$U$767),"",'INVOCAÇÕES'!$U$767&amp;"")</f>
        <v/>
      </c>
      <c r="C4247" s="198">
        <f>"'INVOCAÇÕES'!U715"</f>
        <v/>
      </c>
      <c r="D4247" s="198" t="inlineStr">
        <is>
          <t>resultado</t>
        </is>
      </c>
    </row>
    <row r="4248">
      <c r="A4248" s="198" t="inlineStr">
        <is>
          <t>invocacao.4.esp.7.resolve</t>
        </is>
      </c>
      <c r="B4248" s="198">
        <f>IF(ISBLANK('INVOCAÇÕES'!$W$767),"",'INVOCAÇÕES'!$W$767&amp;"")</f>
        <v/>
      </c>
      <c r="C4248" s="198">
        <f>"'INVOCAÇÕES'!W715"</f>
        <v/>
      </c>
      <c r="D4248" s="198" t="inlineStr">
        <is>
          <t>resultado</t>
        </is>
      </c>
    </row>
    <row r="4249">
      <c r="A4249" s="198" t="inlineStr">
        <is>
          <t>invocacao.4.esp.7.alcance</t>
        </is>
      </c>
      <c r="B4249" s="198">
        <f>IF(ISBLANK('INVOCAÇÕES'!$U$768),"",'INVOCAÇÕES'!$U$768&amp;"")</f>
        <v/>
      </c>
      <c r="C4249" s="198">
        <f>"'INVOCAÇÕES'!U716"</f>
        <v/>
      </c>
      <c r="D4249" s="198" t="inlineStr">
        <is>
          <t>resultado</t>
        </is>
      </c>
    </row>
    <row r="4250">
      <c r="A4250" s="198" t="inlineStr">
        <is>
          <t>invocacao.4.esp.8.texto</t>
        </is>
      </c>
      <c r="B4250" s="198">
        <f>IF(ISBLANK('INVOCAÇÕES'!$I$784),"",'INVOCAÇÕES'!$I$784&amp;"")</f>
        <v/>
      </c>
      <c r="C4250" s="198">
        <f>"'INVOCAÇÕES'!I732"</f>
        <v/>
      </c>
      <c r="D4250" s="198" t="inlineStr">
        <is>
          <t>entrada</t>
        </is>
      </c>
    </row>
    <row r="4251">
      <c r="A4251" s="198" t="inlineStr">
        <is>
          <t>invocacao.4.esp.8.tipo_dano</t>
        </is>
      </c>
      <c r="B4251" s="198">
        <f>IF(ISBLANK('INVOCAÇÕES'!$I$788),"",'INVOCAÇÕES'!$I$788&amp;"")</f>
        <v/>
      </c>
      <c r="C4251" s="198">
        <f>"'INVOCAÇÕES'!I736"</f>
        <v/>
      </c>
      <c r="D4251" s="198" t="inlineStr">
        <is>
          <t>entrada</t>
        </is>
      </c>
    </row>
    <row r="4252">
      <c r="A4252" s="198" t="inlineStr">
        <is>
          <t>invocacao.4.esp.8.resolucao_escolha</t>
        </is>
      </c>
      <c r="B4252" s="198">
        <f>IF(ISBLANK('INVOCAÇÕES'!$K$788),"",'INVOCAÇÕES'!$K$788&amp;"")</f>
        <v/>
      </c>
      <c r="C4252" s="198">
        <f>"'INVOCAÇÕES'!K736"</f>
        <v/>
      </c>
      <c r="D4252" s="198" t="inlineStr">
        <is>
          <t>entrada</t>
        </is>
      </c>
    </row>
    <row r="4253">
      <c r="A4253" s="198" t="inlineStr">
        <is>
          <t>invocacao.4.esp.8.acao</t>
        </is>
      </c>
      <c r="B4253" s="198">
        <f>IF(ISBLANK('INVOCAÇÕES'!$I$789),"",'INVOCAÇÕES'!$I$789&amp;"")</f>
        <v/>
      </c>
      <c r="C4253" s="198">
        <f>"'INVOCAÇÕES'!I737"</f>
        <v/>
      </c>
      <c r="D4253" s="198" t="inlineStr">
        <is>
          <t>resultado</t>
        </is>
      </c>
    </row>
    <row r="4254">
      <c r="A4254" s="198" t="inlineStr">
        <is>
          <t>invocacao.4.esp.8.resolve</t>
        </is>
      </c>
      <c r="B4254" s="198">
        <f>IF(ISBLANK('INVOCAÇÕES'!$K$789),"",'INVOCAÇÕES'!$K$789&amp;"")</f>
        <v/>
      </c>
      <c r="C4254" s="198">
        <f>"'INVOCAÇÕES'!K737"</f>
        <v/>
      </c>
      <c r="D4254" s="198" t="inlineStr">
        <is>
          <t>resultado</t>
        </is>
      </c>
    </row>
    <row r="4255">
      <c r="A4255" s="198" t="inlineStr">
        <is>
          <t>invocacao.4.esp.8.alcance</t>
        </is>
      </c>
      <c r="B4255" s="198">
        <f>IF(ISBLANK('INVOCAÇÕES'!$I$790),"",'INVOCAÇÕES'!$I$790&amp;"")</f>
        <v/>
      </c>
      <c r="C4255" s="198">
        <f>"'INVOCAÇÕES'!I738"</f>
        <v/>
      </c>
      <c r="D4255" s="198" t="inlineStr">
        <is>
          <t>resultado</t>
        </is>
      </c>
    </row>
    <row r="4256">
      <c r="A4256" s="198" t="inlineStr">
        <is>
          <t>invocacao.4.ext.1.texto</t>
        </is>
      </c>
      <c r="B4256" s="198">
        <f>IF(ISBLANK('INVOCAÇÕES'!$I$808),"",'INVOCAÇÕES'!$I$808&amp;"")</f>
        <v/>
      </c>
      <c r="C4256" s="198">
        <f>"'INVOCAÇÕES'!I756"</f>
        <v/>
      </c>
      <c r="D4256" s="198" t="inlineStr">
        <is>
          <t>entrada</t>
        </is>
      </c>
    </row>
    <row r="4257">
      <c r="A4257" s="198" t="inlineStr">
        <is>
          <t>invocacao.4.ext.1.tipo_dano</t>
        </is>
      </c>
      <c r="B4257" s="198">
        <f>IF(ISBLANK('INVOCAÇÕES'!$I$812),"",'INVOCAÇÕES'!$I$812&amp;"")</f>
        <v/>
      </c>
      <c r="C4257" s="198">
        <f>"'INVOCAÇÕES'!I760"</f>
        <v/>
      </c>
      <c r="D4257" s="198" t="inlineStr">
        <is>
          <t>entrada</t>
        </is>
      </c>
    </row>
    <row r="4258">
      <c r="A4258" s="198" t="inlineStr">
        <is>
          <t>invocacao.4.ext.1.resolucao_escolha</t>
        </is>
      </c>
      <c r="B4258" s="198">
        <f>IF(ISBLANK('INVOCAÇÕES'!$K$812),"",'INVOCAÇÕES'!$K$812&amp;"")</f>
        <v/>
      </c>
      <c r="C4258" s="198">
        <f>"'INVOCAÇÕES'!K760"</f>
        <v/>
      </c>
      <c r="D4258" s="198" t="inlineStr">
        <is>
          <t>entrada</t>
        </is>
      </c>
    </row>
    <row r="4259">
      <c r="A4259" s="198" t="inlineStr">
        <is>
          <t>invocacao.4.ext.1.acao</t>
        </is>
      </c>
      <c r="B4259" s="198">
        <f>IF(ISBLANK('INVOCAÇÕES'!$I$813),"",'INVOCAÇÕES'!$I$813&amp;"")</f>
        <v/>
      </c>
      <c r="C4259" s="198">
        <f>"'INVOCAÇÕES'!I761"</f>
        <v/>
      </c>
      <c r="D4259" s="198" t="inlineStr">
        <is>
          <t>resultado</t>
        </is>
      </c>
    </row>
    <row r="4260">
      <c r="A4260" s="198" t="inlineStr">
        <is>
          <t>invocacao.4.ext.1.resolve</t>
        </is>
      </c>
      <c r="B4260" s="198">
        <f>IF(ISBLANK('INVOCAÇÕES'!$K$813),"",'INVOCAÇÕES'!$K$813&amp;"")</f>
        <v/>
      </c>
      <c r="C4260" s="198">
        <f>"'INVOCAÇÕES'!K761"</f>
        <v/>
      </c>
      <c r="D4260" s="198" t="inlineStr">
        <is>
          <t>resultado</t>
        </is>
      </c>
    </row>
    <row r="4261">
      <c r="A4261" s="198" t="inlineStr">
        <is>
          <t>invocacao.4.ext.1.alcance</t>
        </is>
      </c>
      <c r="B4261" s="198">
        <f>IF(ISBLANK('INVOCAÇÕES'!$I$814),"",'INVOCAÇÕES'!$I$814&amp;"")</f>
        <v/>
      </c>
      <c r="C4261" s="198">
        <f>"'INVOCAÇÕES'!I762"</f>
        <v/>
      </c>
      <c r="D4261" s="198" t="inlineStr">
        <is>
          <t>resultado</t>
        </is>
      </c>
    </row>
    <row r="4262">
      <c r="A4262" s="198" t="inlineStr">
        <is>
          <t>invocacao.4.ext.2.texto</t>
        </is>
      </c>
      <c r="B4262" s="198">
        <f>IF(ISBLANK('INVOCAÇÕES'!$O$808),"",'INVOCAÇÕES'!$O$808&amp;"")</f>
        <v/>
      </c>
      <c r="C4262" s="198">
        <f>"'INVOCAÇÕES'!O756"</f>
        <v/>
      </c>
      <c r="D4262" s="198" t="inlineStr">
        <is>
          <t>entrada</t>
        </is>
      </c>
    </row>
    <row r="4263">
      <c r="A4263" s="198" t="inlineStr">
        <is>
          <t>invocacao.4.ext.2.tipo_dano</t>
        </is>
      </c>
      <c r="B4263" s="198">
        <f>IF(ISBLANK('INVOCAÇÕES'!$O$812),"",'INVOCAÇÕES'!$O$812&amp;"")</f>
        <v/>
      </c>
      <c r="C4263" s="198">
        <f>"'INVOCAÇÕES'!O760"</f>
        <v/>
      </c>
      <c r="D4263" s="198" t="inlineStr">
        <is>
          <t>entrada</t>
        </is>
      </c>
    </row>
    <row r="4264">
      <c r="A4264" s="198" t="inlineStr">
        <is>
          <t>invocacao.4.ext.2.resolucao_escolha</t>
        </is>
      </c>
      <c r="B4264" s="198">
        <f>IF(ISBLANK('INVOCAÇÕES'!$Q$812),"",'INVOCAÇÕES'!$Q$812&amp;"")</f>
        <v/>
      </c>
      <c r="C4264" s="198">
        <f>"'INVOCAÇÕES'!Q760"</f>
        <v/>
      </c>
      <c r="D4264" s="198" t="inlineStr">
        <is>
          <t>entrada</t>
        </is>
      </c>
    </row>
    <row r="4265">
      <c r="A4265" s="198" t="inlineStr">
        <is>
          <t>invocacao.4.ext.2.acao</t>
        </is>
      </c>
      <c r="B4265" s="198">
        <f>IF(ISBLANK('INVOCAÇÕES'!$O$813),"",'INVOCAÇÕES'!$O$813&amp;"")</f>
        <v/>
      </c>
      <c r="C4265" s="198">
        <f>"'INVOCAÇÕES'!O761"</f>
        <v/>
      </c>
      <c r="D4265" s="198" t="inlineStr">
        <is>
          <t>resultado</t>
        </is>
      </c>
    </row>
    <row r="4266">
      <c r="A4266" s="198" t="inlineStr">
        <is>
          <t>invocacao.4.ext.2.resolve</t>
        </is>
      </c>
      <c r="B4266" s="198">
        <f>IF(ISBLANK('INVOCAÇÕES'!$Q$813),"",'INVOCAÇÕES'!$Q$813&amp;"")</f>
        <v/>
      </c>
      <c r="C4266" s="198">
        <f>"'INVOCAÇÕES'!Q761"</f>
        <v/>
      </c>
      <c r="D4266" s="198" t="inlineStr">
        <is>
          <t>resultado</t>
        </is>
      </c>
    </row>
    <row r="4267">
      <c r="A4267" s="198" t="inlineStr">
        <is>
          <t>invocacao.4.ext.2.alcance</t>
        </is>
      </c>
      <c r="B4267" s="198">
        <f>IF(ISBLANK('INVOCAÇÕES'!$O$814),"",'INVOCAÇÕES'!$O$814&amp;"")</f>
        <v/>
      </c>
      <c r="C4267" s="198">
        <f>"'INVOCAÇÕES'!O762"</f>
        <v/>
      </c>
      <c r="D4267" s="198" t="inlineStr">
        <is>
          <t>resultado</t>
        </is>
      </c>
    </row>
    <row r="4268">
      <c r="A4268" s="198" t="inlineStr">
        <is>
          <t>invocacao.4.ext.3.texto</t>
        </is>
      </c>
      <c r="B4268" s="198">
        <f>IF(ISBLANK('INVOCAÇÕES'!$U$808),"",'INVOCAÇÕES'!$U$808&amp;"")</f>
        <v/>
      </c>
      <c r="C4268" s="198">
        <f>"'INVOCAÇÕES'!U756"</f>
        <v/>
      </c>
      <c r="D4268" s="198" t="inlineStr">
        <is>
          <t>entrada</t>
        </is>
      </c>
    </row>
    <row r="4269">
      <c r="A4269" s="198" t="inlineStr">
        <is>
          <t>invocacao.4.ext.3.tipo_dano</t>
        </is>
      </c>
      <c r="B4269" s="198">
        <f>IF(ISBLANK('INVOCAÇÕES'!$U$812),"",'INVOCAÇÕES'!$U$812&amp;"")</f>
        <v/>
      </c>
      <c r="C4269" s="198">
        <f>"'INVOCAÇÕES'!U760"</f>
        <v/>
      </c>
      <c r="D4269" s="198" t="inlineStr">
        <is>
          <t>entrada</t>
        </is>
      </c>
    </row>
    <row r="4270">
      <c r="A4270" s="198" t="inlineStr">
        <is>
          <t>invocacao.4.ext.3.resolucao_escolha</t>
        </is>
      </c>
      <c r="B4270" s="198">
        <f>IF(ISBLANK('INVOCAÇÕES'!$W$812),"",'INVOCAÇÕES'!$W$812&amp;"")</f>
        <v/>
      </c>
      <c r="C4270" s="198">
        <f>"'INVOCAÇÕES'!W760"</f>
        <v/>
      </c>
      <c r="D4270" s="198" t="inlineStr">
        <is>
          <t>entrada</t>
        </is>
      </c>
    </row>
    <row r="4271">
      <c r="A4271" s="198" t="inlineStr">
        <is>
          <t>invocacao.4.ext.3.acao</t>
        </is>
      </c>
      <c r="B4271" s="198">
        <f>IF(ISBLANK('INVOCAÇÕES'!$U$813),"",'INVOCAÇÕES'!$U$813&amp;"")</f>
        <v/>
      </c>
      <c r="C4271" s="198">
        <f>"'INVOCAÇÕES'!U761"</f>
        <v/>
      </c>
      <c r="D4271" s="198" t="inlineStr">
        <is>
          <t>resultado</t>
        </is>
      </c>
    </row>
    <row r="4272">
      <c r="A4272" s="198" t="inlineStr">
        <is>
          <t>invocacao.4.ext.3.resolve</t>
        </is>
      </c>
      <c r="B4272" s="198">
        <f>IF(ISBLANK('INVOCAÇÕES'!$W$813),"",'INVOCAÇÕES'!$W$813&amp;"")</f>
        <v/>
      </c>
      <c r="C4272" s="198">
        <f>"'INVOCAÇÕES'!W761"</f>
        <v/>
      </c>
      <c r="D4272" s="198" t="inlineStr">
        <is>
          <t>resultado</t>
        </is>
      </c>
    </row>
    <row r="4273">
      <c r="A4273" s="198" t="inlineStr">
        <is>
          <t>invocacao.4.ext.3.alcance</t>
        </is>
      </c>
      <c r="B4273" s="198">
        <f>IF(ISBLANK('INVOCAÇÕES'!$U$814),"",'INVOCAÇÕES'!$U$814&amp;"")</f>
        <v/>
      </c>
      <c r="C4273" s="198">
        <f>"'INVOCAÇÕES'!U762"</f>
        <v/>
      </c>
      <c r="D4273" s="198" t="inlineStr">
        <is>
          <t>resultado</t>
        </is>
      </c>
    </row>
    <row r="4274">
      <c r="A4274" s="198" t="inlineStr">
        <is>
          <t>invocacao.5.bas.1.texto</t>
        </is>
      </c>
      <c r="B4274" s="198">
        <f>IF(ISBLANK('INVOCAÇÕES'!$I$917),"",'INVOCAÇÕES'!$I$917&amp;"")</f>
        <v/>
      </c>
      <c r="C4274" s="198">
        <f>"'INVOCAÇÕES'!I852"</f>
        <v/>
      </c>
      <c r="D4274" s="198" t="inlineStr">
        <is>
          <t>entrada</t>
        </is>
      </c>
    </row>
    <row r="4275">
      <c r="A4275" s="198" t="inlineStr">
        <is>
          <t>invocacao.5.bas.1.tipo_dano</t>
        </is>
      </c>
      <c r="B4275" s="198">
        <f>IF(ISBLANK('INVOCAÇÕES'!$I$921),"",'INVOCAÇÕES'!$I$921&amp;"")</f>
        <v/>
      </c>
      <c r="C4275" s="198">
        <f>"'INVOCAÇÕES'!I856"</f>
        <v/>
      </c>
      <c r="D4275" s="198" t="inlineStr">
        <is>
          <t>entrada</t>
        </is>
      </c>
    </row>
    <row r="4276">
      <c r="A4276" s="198" t="inlineStr">
        <is>
          <t>invocacao.5.bas.1.resolucao_escolha</t>
        </is>
      </c>
      <c r="B4276" s="198">
        <f>IF(ISBLANK('INVOCAÇÕES'!$K$921),"",'INVOCAÇÕES'!$K$921&amp;"")</f>
        <v/>
      </c>
      <c r="C4276" s="198">
        <f>"'INVOCAÇÕES'!K856"</f>
        <v/>
      </c>
      <c r="D4276" s="198" t="inlineStr">
        <is>
          <t>entrada</t>
        </is>
      </c>
    </row>
    <row r="4277">
      <c r="A4277" s="198" t="inlineStr">
        <is>
          <t>invocacao.5.bas.1.acao</t>
        </is>
      </c>
      <c r="B4277" s="198">
        <f>IF(ISBLANK('INVOCAÇÕES'!$I$922),"",'INVOCAÇÕES'!$I$922&amp;"")</f>
        <v/>
      </c>
      <c r="C4277" s="198">
        <f>"'INVOCAÇÕES'!I857"</f>
        <v/>
      </c>
      <c r="D4277" s="198" t="inlineStr">
        <is>
          <t>resultado</t>
        </is>
      </c>
    </row>
    <row r="4278">
      <c r="A4278" s="198" t="inlineStr">
        <is>
          <t>invocacao.5.bas.1.resolve</t>
        </is>
      </c>
      <c r="B4278" s="198">
        <f>IF(ISBLANK('INVOCAÇÕES'!$K$922),"",'INVOCAÇÕES'!$K$922&amp;"")</f>
        <v/>
      </c>
      <c r="C4278" s="198">
        <f>"'INVOCAÇÕES'!K857"</f>
        <v/>
      </c>
      <c r="D4278" s="198" t="inlineStr">
        <is>
          <t>resultado</t>
        </is>
      </c>
    </row>
    <row r="4279">
      <c r="A4279" s="198" t="inlineStr">
        <is>
          <t>invocacao.5.bas.1.alcance</t>
        </is>
      </c>
      <c r="B4279" s="198">
        <f>IF(ISBLANK('INVOCAÇÕES'!$I$923),"",'INVOCAÇÕES'!$I$923&amp;"")</f>
        <v/>
      </c>
      <c r="C4279" s="198">
        <f>"'INVOCAÇÕES'!I858"</f>
        <v/>
      </c>
      <c r="D4279" s="198" t="inlineStr">
        <is>
          <t>resultado</t>
        </is>
      </c>
    </row>
    <row r="4280">
      <c r="A4280" s="198" t="inlineStr">
        <is>
          <t>invocacao.5.esp.1.texto</t>
        </is>
      </c>
      <c r="B4280" s="198">
        <f>IF(ISBLANK('INVOCAÇÕES'!$O$917),"",'INVOCAÇÕES'!$O$917&amp;"")</f>
        <v/>
      </c>
      <c r="C4280" s="198">
        <f>"'INVOCAÇÕES'!O852"</f>
        <v/>
      </c>
      <c r="D4280" s="198" t="inlineStr">
        <is>
          <t>entrada</t>
        </is>
      </c>
    </row>
    <row r="4281">
      <c r="A4281" s="198" t="inlineStr">
        <is>
          <t>invocacao.5.esp.1.tipo_dano</t>
        </is>
      </c>
      <c r="B4281" s="198">
        <f>IF(ISBLANK('INVOCAÇÕES'!$O$921),"",'INVOCAÇÕES'!$O$921&amp;"")</f>
        <v/>
      </c>
      <c r="C4281" s="198">
        <f>"'INVOCAÇÕES'!O856"</f>
        <v/>
      </c>
      <c r="D4281" s="198" t="inlineStr">
        <is>
          <t>entrada</t>
        </is>
      </c>
    </row>
    <row r="4282">
      <c r="A4282" s="198" t="inlineStr">
        <is>
          <t>invocacao.5.esp.1.resolucao_escolha</t>
        </is>
      </c>
      <c r="B4282" s="198">
        <f>IF(ISBLANK('INVOCAÇÕES'!$Q$921),"",'INVOCAÇÕES'!$Q$921&amp;"")</f>
        <v/>
      </c>
      <c r="C4282" s="198">
        <f>"'INVOCAÇÕES'!Q856"</f>
        <v/>
      </c>
      <c r="D4282" s="198" t="inlineStr">
        <is>
          <t>entrada</t>
        </is>
      </c>
    </row>
    <row r="4283">
      <c r="A4283" s="198" t="inlineStr">
        <is>
          <t>invocacao.5.esp.1.acao</t>
        </is>
      </c>
      <c r="B4283" s="198">
        <f>IF(ISBLANK('INVOCAÇÕES'!$O$922),"",'INVOCAÇÕES'!$O$922&amp;"")</f>
        <v/>
      </c>
      <c r="C4283" s="198">
        <f>"'INVOCAÇÕES'!O857"</f>
        <v/>
      </c>
      <c r="D4283" s="198" t="inlineStr">
        <is>
          <t>resultado</t>
        </is>
      </c>
    </row>
    <row r="4284">
      <c r="A4284" s="198" t="inlineStr">
        <is>
          <t>invocacao.5.esp.1.resolve</t>
        </is>
      </c>
      <c r="B4284" s="198">
        <f>IF(ISBLANK('INVOCAÇÕES'!$Q$922),"",'INVOCAÇÕES'!$Q$922&amp;"")</f>
        <v/>
      </c>
      <c r="C4284" s="198">
        <f>"'INVOCAÇÕES'!Q857"</f>
        <v/>
      </c>
      <c r="D4284" s="198" t="inlineStr">
        <is>
          <t>resultado</t>
        </is>
      </c>
    </row>
    <row r="4285">
      <c r="A4285" s="198" t="inlineStr">
        <is>
          <t>invocacao.5.esp.1.alcance</t>
        </is>
      </c>
      <c r="B4285" s="198">
        <f>IF(ISBLANK('INVOCAÇÕES'!$O$923),"",'INVOCAÇÕES'!$O$923&amp;"")</f>
        <v/>
      </c>
      <c r="C4285" s="198">
        <f>"'INVOCAÇÕES'!O858"</f>
        <v/>
      </c>
      <c r="D4285" s="198" t="inlineStr">
        <is>
          <t>resultado</t>
        </is>
      </c>
    </row>
    <row r="4286">
      <c r="A4286" s="198" t="inlineStr">
        <is>
          <t>invocacao.5.esp.2.texto</t>
        </is>
      </c>
      <c r="B4286" s="198">
        <f>IF(ISBLANK('INVOCAÇÕES'!$U$917),"",'INVOCAÇÕES'!$U$917&amp;"")</f>
        <v/>
      </c>
      <c r="C4286" s="198">
        <f>"'INVOCAÇÕES'!U852"</f>
        <v/>
      </c>
      <c r="D4286" s="198" t="inlineStr">
        <is>
          <t>entrada</t>
        </is>
      </c>
    </row>
    <row r="4287">
      <c r="A4287" s="198" t="inlineStr">
        <is>
          <t>invocacao.5.esp.2.tipo_dano</t>
        </is>
      </c>
      <c r="B4287" s="198">
        <f>IF(ISBLANK('INVOCAÇÕES'!$U$921),"",'INVOCAÇÕES'!$U$921&amp;"")</f>
        <v/>
      </c>
      <c r="C4287" s="198">
        <f>"'INVOCAÇÕES'!U856"</f>
        <v/>
      </c>
      <c r="D4287" s="198" t="inlineStr">
        <is>
          <t>entrada</t>
        </is>
      </c>
    </row>
    <row r="4288">
      <c r="A4288" s="198" t="inlineStr">
        <is>
          <t>invocacao.5.esp.2.resolucao_escolha</t>
        </is>
      </c>
      <c r="B4288" s="198">
        <f>IF(ISBLANK('INVOCAÇÕES'!$W$921),"",'INVOCAÇÕES'!$W$921&amp;"")</f>
        <v/>
      </c>
      <c r="C4288" s="198">
        <f>"'INVOCAÇÕES'!W856"</f>
        <v/>
      </c>
      <c r="D4288" s="198" t="inlineStr">
        <is>
          <t>entrada</t>
        </is>
      </c>
    </row>
    <row r="4289">
      <c r="A4289" s="198" t="inlineStr">
        <is>
          <t>invocacao.5.esp.2.acao</t>
        </is>
      </c>
      <c r="B4289" s="198">
        <f>IF(ISBLANK('INVOCAÇÕES'!$U$922),"",'INVOCAÇÕES'!$U$922&amp;"")</f>
        <v/>
      </c>
      <c r="C4289" s="198">
        <f>"'INVOCAÇÕES'!U857"</f>
        <v/>
      </c>
      <c r="D4289" s="198" t="inlineStr">
        <is>
          <t>resultado</t>
        </is>
      </c>
    </row>
    <row r="4290">
      <c r="A4290" s="198" t="inlineStr">
        <is>
          <t>invocacao.5.esp.2.resolve</t>
        </is>
      </c>
      <c r="B4290" s="198">
        <f>IF(ISBLANK('INVOCAÇÕES'!$W$922),"",'INVOCAÇÕES'!$W$922&amp;"")</f>
        <v/>
      </c>
      <c r="C4290" s="198">
        <f>"'INVOCAÇÕES'!W857"</f>
        <v/>
      </c>
      <c r="D4290" s="198" t="inlineStr">
        <is>
          <t>resultado</t>
        </is>
      </c>
    </row>
    <row r="4291">
      <c r="A4291" s="198" t="inlineStr">
        <is>
          <t>invocacao.5.esp.2.alcance</t>
        </is>
      </c>
      <c r="B4291" s="198">
        <f>IF(ISBLANK('INVOCAÇÕES'!$U$923),"",'INVOCAÇÕES'!$U$923&amp;"")</f>
        <v/>
      </c>
      <c r="C4291" s="198">
        <f>"'INVOCAÇÕES'!U858"</f>
        <v/>
      </c>
      <c r="D4291" s="198" t="inlineStr">
        <is>
          <t>resultado</t>
        </is>
      </c>
    </row>
    <row r="4292">
      <c r="A4292" s="198" t="inlineStr">
        <is>
          <t>invocacao.5.bas.2.texto</t>
        </is>
      </c>
      <c r="B4292" s="198">
        <f>IF(ISBLANK('INVOCAÇÕES'!$I$951),"",'INVOCAÇÕES'!$I$951&amp;"")</f>
        <v/>
      </c>
      <c r="C4292" s="198">
        <f>"'INVOCAÇÕES'!I886"</f>
        <v/>
      </c>
      <c r="D4292" s="198" t="inlineStr">
        <is>
          <t>entrada</t>
        </is>
      </c>
    </row>
    <row r="4293">
      <c r="A4293" s="198" t="inlineStr">
        <is>
          <t>invocacao.5.bas.2.tipo_dano</t>
        </is>
      </c>
      <c r="B4293" s="198">
        <f>IF(ISBLANK('INVOCAÇÕES'!$I$955),"",'INVOCAÇÕES'!$I$955&amp;"")</f>
        <v/>
      </c>
      <c r="C4293" s="198">
        <f>"'INVOCAÇÕES'!I890"</f>
        <v/>
      </c>
      <c r="D4293" s="198" t="inlineStr">
        <is>
          <t>entrada</t>
        </is>
      </c>
    </row>
    <row r="4294">
      <c r="A4294" s="198" t="inlineStr">
        <is>
          <t>invocacao.5.bas.2.resolucao_escolha</t>
        </is>
      </c>
      <c r="B4294" s="198">
        <f>IF(ISBLANK('INVOCAÇÕES'!$K$955),"",'INVOCAÇÕES'!$K$955&amp;"")</f>
        <v/>
      </c>
      <c r="C4294" s="198">
        <f>"'INVOCAÇÕES'!K890"</f>
        <v/>
      </c>
      <c r="D4294" s="198" t="inlineStr">
        <is>
          <t>entrada</t>
        </is>
      </c>
    </row>
    <row r="4295">
      <c r="A4295" s="198" t="inlineStr">
        <is>
          <t>invocacao.5.bas.2.acao</t>
        </is>
      </c>
      <c r="B4295" s="198">
        <f>IF(ISBLANK('INVOCAÇÕES'!$I$956),"",'INVOCAÇÕES'!$I$956&amp;"")</f>
        <v/>
      </c>
      <c r="C4295" s="198">
        <f>"'INVOCAÇÕES'!I891"</f>
        <v/>
      </c>
      <c r="D4295" s="198" t="inlineStr">
        <is>
          <t>resultado</t>
        </is>
      </c>
    </row>
    <row r="4296">
      <c r="A4296" s="198" t="inlineStr">
        <is>
          <t>invocacao.5.bas.2.resolve</t>
        </is>
      </c>
      <c r="B4296" s="198">
        <f>IF(ISBLANK('INVOCAÇÕES'!$K$956),"",'INVOCAÇÕES'!$K$956&amp;"")</f>
        <v/>
      </c>
      <c r="C4296" s="198">
        <f>"'INVOCAÇÕES'!K891"</f>
        <v/>
      </c>
      <c r="D4296" s="198" t="inlineStr">
        <is>
          <t>resultado</t>
        </is>
      </c>
    </row>
    <row r="4297">
      <c r="A4297" s="198" t="inlineStr">
        <is>
          <t>invocacao.5.bas.2.alcance</t>
        </is>
      </c>
      <c r="B4297" s="198">
        <f>IF(ISBLANK('INVOCAÇÕES'!$I$957),"",'INVOCAÇÕES'!$I$957&amp;"")</f>
        <v/>
      </c>
      <c r="C4297" s="198">
        <f>"'INVOCAÇÕES'!I892"</f>
        <v/>
      </c>
      <c r="D4297" s="198" t="inlineStr">
        <is>
          <t>resultado</t>
        </is>
      </c>
    </row>
    <row r="4298">
      <c r="A4298" s="198" t="inlineStr">
        <is>
          <t>invocacao.5.esp.3.texto</t>
        </is>
      </c>
      <c r="B4298" s="198">
        <f>IF(ISBLANK('INVOCAÇÕES'!$O$951),"",'INVOCAÇÕES'!$O$951&amp;"")</f>
        <v/>
      </c>
      <c r="C4298" s="198">
        <f>"'INVOCAÇÕES'!O886"</f>
        <v/>
      </c>
      <c r="D4298" s="198" t="inlineStr">
        <is>
          <t>entrada</t>
        </is>
      </c>
    </row>
    <row r="4299">
      <c r="A4299" s="198" t="inlineStr">
        <is>
          <t>invocacao.5.esp.3.tipo_dano</t>
        </is>
      </c>
      <c r="B4299" s="198">
        <f>IF(ISBLANK('INVOCAÇÕES'!$O$955),"",'INVOCAÇÕES'!$O$955&amp;"")</f>
        <v/>
      </c>
      <c r="C4299" s="198">
        <f>"'INVOCAÇÕES'!O890"</f>
        <v/>
      </c>
      <c r="D4299" s="198" t="inlineStr">
        <is>
          <t>entrada</t>
        </is>
      </c>
    </row>
    <row r="4300">
      <c r="A4300" s="198" t="inlineStr">
        <is>
          <t>invocacao.5.esp.3.resolucao_escolha</t>
        </is>
      </c>
      <c r="B4300" s="198">
        <f>IF(ISBLANK('INVOCAÇÕES'!$Q$955),"",'INVOCAÇÕES'!$Q$955&amp;"")</f>
        <v/>
      </c>
      <c r="C4300" s="198">
        <f>"'INVOCAÇÕES'!Q890"</f>
        <v/>
      </c>
      <c r="D4300" s="198" t="inlineStr">
        <is>
          <t>entrada</t>
        </is>
      </c>
    </row>
    <row r="4301">
      <c r="A4301" s="198" t="inlineStr">
        <is>
          <t>invocacao.5.esp.3.acao</t>
        </is>
      </c>
      <c r="B4301" s="198">
        <f>IF(ISBLANK('INVOCAÇÕES'!$O$956),"",'INVOCAÇÕES'!$O$956&amp;"")</f>
        <v/>
      </c>
      <c r="C4301" s="198">
        <f>"'INVOCAÇÕES'!O891"</f>
        <v/>
      </c>
      <c r="D4301" s="198" t="inlineStr">
        <is>
          <t>resultado</t>
        </is>
      </c>
    </row>
    <row r="4302">
      <c r="A4302" s="198" t="inlineStr">
        <is>
          <t>invocacao.5.esp.3.resolve</t>
        </is>
      </c>
      <c r="B4302" s="198">
        <f>IF(ISBLANK('INVOCAÇÕES'!$Q$956),"",'INVOCAÇÕES'!$Q$956&amp;"")</f>
        <v/>
      </c>
      <c r="C4302" s="198">
        <f>"'INVOCAÇÕES'!Q891"</f>
        <v/>
      </c>
      <c r="D4302" s="198" t="inlineStr">
        <is>
          <t>resultado</t>
        </is>
      </c>
    </row>
    <row r="4303">
      <c r="A4303" s="198" t="inlineStr">
        <is>
          <t>invocacao.5.esp.3.alcance</t>
        </is>
      </c>
      <c r="B4303" s="198">
        <f>IF(ISBLANK('INVOCAÇÕES'!$O$957),"",'INVOCAÇÕES'!$O$957&amp;"")</f>
        <v/>
      </c>
      <c r="C4303" s="198">
        <f>"'INVOCAÇÕES'!O892"</f>
        <v/>
      </c>
      <c r="D4303" s="198" t="inlineStr">
        <is>
          <t>resultado</t>
        </is>
      </c>
    </row>
    <row r="4304">
      <c r="A4304" s="198" t="inlineStr">
        <is>
          <t>invocacao.5.esp.4.texto</t>
        </is>
      </c>
      <c r="B4304" s="198">
        <f>IF(ISBLANK('INVOCAÇÕES'!$U$951),"",'INVOCAÇÕES'!$U$951&amp;"")</f>
        <v/>
      </c>
      <c r="C4304" s="198">
        <f>"'INVOCAÇÕES'!U886"</f>
        <v/>
      </c>
      <c r="D4304" s="198" t="inlineStr">
        <is>
          <t>entrada</t>
        </is>
      </c>
    </row>
    <row r="4305">
      <c r="A4305" s="198" t="inlineStr">
        <is>
          <t>invocacao.5.esp.4.tipo_dano</t>
        </is>
      </c>
      <c r="B4305" s="198">
        <f>IF(ISBLANK('INVOCAÇÕES'!$U$955),"",'INVOCAÇÕES'!$U$955&amp;"")</f>
        <v/>
      </c>
      <c r="C4305" s="198">
        <f>"'INVOCAÇÕES'!U890"</f>
        <v/>
      </c>
      <c r="D4305" s="198" t="inlineStr">
        <is>
          <t>entrada</t>
        </is>
      </c>
    </row>
    <row r="4306">
      <c r="A4306" s="198" t="inlineStr">
        <is>
          <t>invocacao.5.esp.4.resolucao_escolha</t>
        </is>
      </c>
      <c r="B4306" s="198">
        <f>IF(ISBLANK('INVOCAÇÕES'!$W$955),"",'INVOCAÇÕES'!$W$955&amp;"")</f>
        <v/>
      </c>
      <c r="C4306" s="198">
        <f>"'INVOCAÇÕES'!W890"</f>
        <v/>
      </c>
      <c r="D4306" s="198" t="inlineStr">
        <is>
          <t>entrada</t>
        </is>
      </c>
    </row>
    <row r="4307">
      <c r="A4307" s="198" t="inlineStr">
        <is>
          <t>invocacao.5.esp.4.acao</t>
        </is>
      </c>
      <c r="B4307" s="198">
        <f>IF(ISBLANK('INVOCAÇÕES'!$U$956),"",'INVOCAÇÕES'!$U$956&amp;"")</f>
        <v/>
      </c>
      <c r="C4307" s="198">
        <f>"'INVOCAÇÕES'!U891"</f>
        <v/>
      </c>
      <c r="D4307" s="198" t="inlineStr">
        <is>
          <t>resultado</t>
        </is>
      </c>
    </row>
    <row r="4308">
      <c r="A4308" s="198" t="inlineStr">
        <is>
          <t>invocacao.5.esp.4.resolve</t>
        </is>
      </c>
      <c r="B4308" s="198">
        <f>IF(ISBLANK('INVOCAÇÕES'!$W$956),"",'INVOCAÇÕES'!$W$956&amp;"")</f>
        <v/>
      </c>
      <c r="C4308" s="198">
        <f>"'INVOCAÇÕES'!W891"</f>
        <v/>
      </c>
      <c r="D4308" s="198" t="inlineStr">
        <is>
          <t>resultado</t>
        </is>
      </c>
    </row>
    <row r="4309">
      <c r="A4309" s="198" t="inlineStr">
        <is>
          <t>invocacao.5.esp.4.alcance</t>
        </is>
      </c>
      <c r="B4309" s="198">
        <f>IF(ISBLANK('INVOCAÇÕES'!$U$957),"",'INVOCAÇÕES'!$U$957&amp;"")</f>
        <v/>
      </c>
      <c r="C4309" s="198">
        <f>"'INVOCAÇÕES'!U892"</f>
        <v/>
      </c>
      <c r="D4309" s="198" t="inlineStr">
        <is>
          <t>resultado</t>
        </is>
      </c>
    </row>
    <row r="4310">
      <c r="A4310" s="198" t="inlineStr">
        <is>
          <t>invocacao.5.esp.5.texto</t>
        </is>
      </c>
      <c r="B4310" s="198">
        <f>IF(ISBLANK('INVOCAÇÕES'!$I$973),"",'INVOCAÇÕES'!$I$973&amp;"")</f>
        <v/>
      </c>
      <c r="C4310" s="198">
        <f>"'INVOCAÇÕES'!I908"</f>
        <v/>
      </c>
      <c r="D4310" s="198" t="inlineStr">
        <is>
          <t>entrada</t>
        </is>
      </c>
    </row>
    <row r="4311">
      <c r="A4311" s="198" t="inlineStr">
        <is>
          <t>invocacao.5.esp.5.tipo_dano</t>
        </is>
      </c>
      <c r="B4311" s="198">
        <f>IF(ISBLANK('INVOCAÇÕES'!$I$977),"",'INVOCAÇÕES'!$I$977&amp;"")</f>
        <v/>
      </c>
      <c r="C4311" s="198">
        <f>"'INVOCAÇÕES'!I912"</f>
        <v/>
      </c>
      <c r="D4311" s="198" t="inlineStr">
        <is>
          <t>entrada</t>
        </is>
      </c>
    </row>
    <row r="4312">
      <c r="A4312" s="198" t="inlineStr">
        <is>
          <t>invocacao.5.esp.5.resolucao_escolha</t>
        </is>
      </c>
      <c r="B4312" s="198">
        <f>IF(ISBLANK('INVOCAÇÕES'!$K$977),"",'INVOCAÇÕES'!$K$977&amp;"")</f>
        <v/>
      </c>
      <c r="C4312" s="198">
        <f>"'INVOCAÇÕES'!K912"</f>
        <v/>
      </c>
      <c r="D4312" s="198" t="inlineStr">
        <is>
          <t>entrada</t>
        </is>
      </c>
    </row>
    <row r="4313">
      <c r="A4313" s="198" t="inlineStr">
        <is>
          <t>invocacao.5.esp.5.acao</t>
        </is>
      </c>
      <c r="B4313" s="198">
        <f>IF(ISBLANK('INVOCAÇÕES'!$I$978),"",'INVOCAÇÕES'!$I$978&amp;"")</f>
        <v/>
      </c>
      <c r="C4313" s="198">
        <f>"'INVOCAÇÕES'!I913"</f>
        <v/>
      </c>
      <c r="D4313" s="198" t="inlineStr">
        <is>
          <t>resultado</t>
        </is>
      </c>
    </row>
    <row r="4314">
      <c r="A4314" s="198" t="inlineStr">
        <is>
          <t>invocacao.5.esp.5.resolve</t>
        </is>
      </c>
      <c r="B4314" s="198">
        <f>IF(ISBLANK('INVOCAÇÕES'!$K$978),"",'INVOCAÇÕES'!$K$978&amp;"")</f>
        <v/>
      </c>
      <c r="C4314" s="198">
        <f>"'INVOCAÇÕES'!K913"</f>
        <v/>
      </c>
      <c r="D4314" s="198" t="inlineStr">
        <is>
          <t>resultado</t>
        </is>
      </c>
    </row>
    <row r="4315">
      <c r="A4315" s="198" t="inlineStr">
        <is>
          <t>invocacao.5.esp.5.alcance</t>
        </is>
      </c>
      <c r="B4315" s="198">
        <f>IF(ISBLANK('INVOCAÇÕES'!$I$979),"",'INVOCAÇÕES'!$I$979&amp;"")</f>
        <v/>
      </c>
      <c r="C4315" s="198">
        <f>"'INVOCAÇÕES'!I914"</f>
        <v/>
      </c>
      <c r="D4315" s="198" t="inlineStr">
        <is>
          <t>resultado</t>
        </is>
      </c>
    </row>
    <row r="4316">
      <c r="A4316" s="198" t="inlineStr">
        <is>
          <t>invocacao.5.esp.6.texto</t>
        </is>
      </c>
      <c r="B4316" s="198">
        <f>IF(ISBLANK('INVOCAÇÕES'!$O$973),"",'INVOCAÇÕES'!$O$973&amp;"")</f>
        <v/>
      </c>
      <c r="C4316" s="198">
        <f>"'INVOCAÇÕES'!O908"</f>
        <v/>
      </c>
      <c r="D4316" s="198" t="inlineStr">
        <is>
          <t>entrada</t>
        </is>
      </c>
    </row>
    <row r="4317">
      <c r="A4317" s="198" t="inlineStr">
        <is>
          <t>invocacao.5.esp.6.tipo_dano</t>
        </is>
      </c>
      <c r="B4317" s="198">
        <f>IF(ISBLANK('INVOCAÇÕES'!$O$977),"",'INVOCAÇÕES'!$O$977&amp;"")</f>
        <v/>
      </c>
      <c r="C4317" s="198">
        <f>"'INVOCAÇÕES'!O912"</f>
        <v/>
      </c>
      <c r="D4317" s="198" t="inlineStr">
        <is>
          <t>entrada</t>
        </is>
      </c>
    </row>
    <row r="4318">
      <c r="A4318" s="198" t="inlineStr">
        <is>
          <t>invocacao.5.esp.6.resolucao_escolha</t>
        </is>
      </c>
      <c r="B4318" s="198">
        <f>IF(ISBLANK('INVOCAÇÕES'!$Q$977),"",'INVOCAÇÕES'!$Q$977&amp;"")</f>
        <v/>
      </c>
      <c r="C4318" s="198">
        <f>"'INVOCAÇÕES'!Q912"</f>
        <v/>
      </c>
      <c r="D4318" s="198" t="inlineStr">
        <is>
          <t>entrada</t>
        </is>
      </c>
    </row>
    <row r="4319">
      <c r="A4319" s="198" t="inlineStr">
        <is>
          <t>invocacao.5.esp.6.acao</t>
        </is>
      </c>
      <c r="B4319" s="198">
        <f>IF(ISBLANK('INVOCAÇÕES'!$O$978),"",'INVOCAÇÕES'!$O$978&amp;"")</f>
        <v/>
      </c>
      <c r="C4319" s="198">
        <f>"'INVOCAÇÕES'!O913"</f>
        <v/>
      </c>
      <c r="D4319" s="198" t="inlineStr">
        <is>
          <t>resultado</t>
        </is>
      </c>
    </row>
    <row r="4320">
      <c r="A4320" s="198" t="inlineStr">
        <is>
          <t>invocacao.5.esp.6.resolve</t>
        </is>
      </c>
      <c r="B4320" s="198">
        <f>IF(ISBLANK('INVOCAÇÕES'!$Q$978),"",'INVOCAÇÕES'!$Q$978&amp;"")</f>
        <v/>
      </c>
      <c r="C4320" s="198">
        <f>"'INVOCAÇÕES'!Q913"</f>
        <v/>
      </c>
      <c r="D4320" s="198" t="inlineStr">
        <is>
          <t>resultado</t>
        </is>
      </c>
    </row>
    <row r="4321">
      <c r="A4321" s="198" t="inlineStr">
        <is>
          <t>invocacao.5.esp.6.alcance</t>
        </is>
      </c>
      <c r="B4321" s="198">
        <f>IF(ISBLANK('INVOCAÇÕES'!$O$979),"",'INVOCAÇÕES'!$O$979&amp;"")</f>
        <v/>
      </c>
      <c r="C4321" s="198">
        <f>"'INVOCAÇÕES'!O914"</f>
        <v/>
      </c>
      <c r="D4321" s="198" t="inlineStr">
        <is>
          <t>resultado</t>
        </is>
      </c>
    </row>
    <row r="4322">
      <c r="A4322" s="198" t="inlineStr">
        <is>
          <t>invocacao.5.esp.7.texto</t>
        </is>
      </c>
      <c r="B4322" s="198">
        <f>IF(ISBLANK('INVOCAÇÕES'!$U$973),"",'INVOCAÇÕES'!$U$973&amp;"")</f>
        <v/>
      </c>
      <c r="C4322" s="198">
        <f>"'INVOCAÇÕES'!U908"</f>
        <v/>
      </c>
      <c r="D4322" s="198" t="inlineStr">
        <is>
          <t>entrada</t>
        </is>
      </c>
    </row>
    <row r="4323">
      <c r="A4323" s="198" t="inlineStr">
        <is>
          <t>invocacao.5.esp.7.tipo_dano</t>
        </is>
      </c>
      <c r="B4323" s="198">
        <f>IF(ISBLANK('INVOCAÇÕES'!$U$977),"",'INVOCAÇÕES'!$U$977&amp;"")</f>
        <v/>
      </c>
      <c r="C4323" s="198">
        <f>"'INVOCAÇÕES'!U912"</f>
        <v/>
      </c>
      <c r="D4323" s="198" t="inlineStr">
        <is>
          <t>entrada</t>
        </is>
      </c>
    </row>
    <row r="4324">
      <c r="A4324" s="198" t="inlineStr">
        <is>
          <t>invocacao.5.esp.7.resolucao_escolha</t>
        </is>
      </c>
      <c r="B4324" s="198">
        <f>IF(ISBLANK('INVOCAÇÕES'!$W$977),"",'INVOCAÇÕES'!$W$977&amp;"")</f>
        <v/>
      </c>
      <c r="C4324" s="198">
        <f>"'INVOCAÇÕES'!W912"</f>
        <v/>
      </c>
      <c r="D4324" s="198" t="inlineStr">
        <is>
          <t>entrada</t>
        </is>
      </c>
    </row>
    <row r="4325">
      <c r="A4325" s="198" t="inlineStr">
        <is>
          <t>invocacao.5.esp.7.acao</t>
        </is>
      </c>
      <c r="B4325" s="198">
        <f>IF(ISBLANK('INVOCAÇÕES'!$U$978),"",'INVOCAÇÕES'!$U$978&amp;"")</f>
        <v/>
      </c>
      <c r="C4325" s="198">
        <f>"'INVOCAÇÕES'!U913"</f>
        <v/>
      </c>
      <c r="D4325" s="198" t="inlineStr">
        <is>
          <t>resultado</t>
        </is>
      </c>
    </row>
    <row r="4326">
      <c r="A4326" s="198" t="inlineStr">
        <is>
          <t>invocacao.5.esp.7.resolve</t>
        </is>
      </c>
      <c r="B4326" s="198">
        <f>IF(ISBLANK('INVOCAÇÕES'!$W$978),"",'INVOCAÇÕES'!$W$978&amp;"")</f>
        <v/>
      </c>
      <c r="C4326" s="198">
        <f>"'INVOCAÇÕES'!W913"</f>
        <v/>
      </c>
      <c r="D4326" s="198" t="inlineStr">
        <is>
          <t>resultado</t>
        </is>
      </c>
    </row>
    <row r="4327">
      <c r="A4327" s="198" t="inlineStr">
        <is>
          <t>invocacao.5.esp.7.alcance</t>
        </is>
      </c>
      <c r="B4327" s="198">
        <f>IF(ISBLANK('INVOCAÇÕES'!$U$979),"",'INVOCAÇÕES'!$U$979&amp;"")</f>
        <v/>
      </c>
      <c r="C4327" s="198">
        <f>"'INVOCAÇÕES'!U914"</f>
        <v/>
      </c>
      <c r="D4327" s="198" t="inlineStr">
        <is>
          <t>resultado</t>
        </is>
      </c>
    </row>
    <row r="4328">
      <c r="A4328" s="198" t="inlineStr">
        <is>
          <t>invocacao.5.esp.8.texto</t>
        </is>
      </c>
      <c r="B4328" s="198">
        <f>IF(ISBLANK('INVOCAÇÕES'!$I$995),"",'INVOCAÇÕES'!$I$995&amp;"")</f>
        <v/>
      </c>
      <c r="C4328" s="198">
        <f>"'INVOCAÇÕES'!I930"</f>
        <v/>
      </c>
      <c r="D4328" s="198" t="inlineStr">
        <is>
          <t>entrada</t>
        </is>
      </c>
    </row>
    <row r="4329">
      <c r="A4329" s="198" t="inlineStr">
        <is>
          <t>invocacao.5.esp.8.tipo_dano</t>
        </is>
      </c>
      <c r="B4329" s="198">
        <f>IF(ISBLANK('INVOCAÇÕES'!$I$999),"",'INVOCAÇÕES'!$I$999&amp;"")</f>
        <v/>
      </c>
      <c r="C4329" s="198">
        <f>"'INVOCAÇÕES'!I934"</f>
        <v/>
      </c>
      <c r="D4329" s="198" t="inlineStr">
        <is>
          <t>entrada</t>
        </is>
      </c>
    </row>
    <row r="4330">
      <c r="A4330" s="198" t="inlineStr">
        <is>
          <t>invocacao.5.esp.8.resolucao_escolha</t>
        </is>
      </c>
      <c r="B4330" s="198">
        <f>IF(ISBLANK('INVOCAÇÕES'!$K$999),"",'INVOCAÇÕES'!$K$999&amp;"")</f>
        <v/>
      </c>
      <c r="C4330" s="198">
        <f>"'INVOCAÇÕES'!K934"</f>
        <v/>
      </c>
      <c r="D4330" s="198" t="inlineStr">
        <is>
          <t>entrada</t>
        </is>
      </c>
    </row>
    <row r="4331">
      <c r="A4331" s="198" t="inlineStr">
        <is>
          <t>invocacao.5.esp.8.acao</t>
        </is>
      </c>
      <c r="B4331" s="198">
        <f>IF(ISBLANK('INVOCAÇÕES'!$I$1000),"",'INVOCAÇÕES'!$I$1000&amp;"")</f>
        <v/>
      </c>
      <c r="C4331" s="198">
        <f>"'INVOCAÇÕES'!I935"</f>
        <v/>
      </c>
      <c r="D4331" s="198" t="inlineStr">
        <is>
          <t>resultado</t>
        </is>
      </c>
    </row>
    <row r="4332">
      <c r="A4332" s="198" t="inlineStr">
        <is>
          <t>invocacao.5.esp.8.resolve</t>
        </is>
      </c>
      <c r="B4332" s="198">
        <f>IF(ISBLANK('INVOCAÇÕES'!$K$1000),"",'INVOCAÇÕES'!$K$1000&amp;"")</f>
        <v/>
      </c>
      <c r="C4332" s="198">
        <f>"'INVOCAÇÕES'!K935"</f>
        <v/>
      </c>
      <c r="D4332" s="198" t="inlineStr">
        <is>
          <t>resultado</t>
        </is>
      </c>
    </row>
    <row r="4333">
      <c r="A4333" s="198" t="inlineStr">
        <is>
          <t>invocacao.5.esp.8.alcance</t>
        </is>
      </c>
      <c r="B4333" s="198">
        <f>IF(ISBLANK('INVOCAÇÕES'!$I$1001),"",'INVOCAÇÕES'!$I$1001&amp;"")</f>
        <v/>
      </c>
      <c r="C4333" s="198">
        <f>"'INVOCAÇÕES'!I936"</f>
        <v/>
      </c>
      <c r="D4333" s="198" t="inlineStr">
        <is>
          <t>resultado</t>
        </is>
      </c>
    </row>
    <row r="4334">
      <c r="A4334" s="198" t="inlineStr">
        <is>
          <t>invocacao.5.ext.1.texto</t>
        </is>
      </c>
      <c r="B4334" s="198">
        <f>IF(ISBLANK('INVOCAÇÕES'!$I$1019),"",'INVOCAÇÕES'!$I$1019&amp;"")</f>
        <v/>
      </c>
      <c r="C4334" s="198">
        <f>"'INVOCAÇÕES'!I954"</f>
        <v/>
      </c>
      <c r="D4334" s="198" t="inlineStr">
        <is>
          <t>entrada</t>
        </is>
      </c>
    </row>
    <row r="4335">
      <c r="A4335" s="198" t="inlineStr">
        <is>
          <t>invocacao.5.ext.1.tipo_dano</t>
        </is>
      </c>
      <c r="B4335" s="198">
        <f>IF(ISBLANK('INVOCAÇÕES'!$I$1023),"",'INVOCAÇÕES'!$I$1023&amp;"")</f>
        <v/>
      </c>
      <c r="C4335" s="198">
        <f>"'INVOCAÇÕES'!I958"</f>
        <v/>
      </c>
      <c r="D4335" s="198" t="inlineStr">
        <is>
          <t>entrada</t>
        </is>
      </c>
    </row>
    <row r="4336">
      <c r="A4336" s="198" t="inlineStr">
        <is>
          <t>invocacao.5.ext.1.resolucao_escolha</t>
        </is>
      </c>
      <c r="B4336" s="198">
        <f>IF(ISBLANK('INVOCAÇÕES'!$K$1023),"",'INVOCAÇÕES'!$K$1023&amp;"")</f>
        <v/>
      </c>
      <c r="C4336" s="198">
        <f>"'INVOCAÇÕES'!K958"</f>
        <v/>
      </c>
      <c r="D4336" s="198" t="inlineStr">
        <is>
          <t>entrada</t>
        </is>
      </c>
    </row>
    <row r="4337">
      <c r="A4337" s="198" t="inlineStr">
        <is>
          <t>invocacao.5.ext.1.acao</t>
        </is>
      </c>
      <c r="B4337" s="198">
        <f>IF(ISBLANK('INVOCAÇÕES'!$I$1024),"",'INVOCAÇÕES'!$I$1024&amp;"")</f>
        <v/>
      </c>
      <c r="C4337" s="198">
        <f>"'INVOCAÇÕES'!I959"</f>
        <v/>
      </c>
      <c r="D4337" s="198" t="inlineStr">
        <is>
          <t>resultado</t>
        </is>
      </c>
    </row>
    <row r="4338">
      <c r="A4338" s="198" t="inlineStr">
        <is>
          <t>invocacao.5.ext.1.resolve</t>
        </is>
      </c>
      <c r="B4338" s="198">
        <f>IF(ISBLANK('INVOCAÇÕES'!$K$1024),"",'INVOCAÇÕES'!$K$1024&amp;"")</f>
        <v/>
      </c>
      <c r="C4338" s="198">
        <f>"'INVOCAÇÕES'!K959"</f>
        <v/>
      </c>
      <c r="D4338" s="198" t="inlineStr">
        <is>
          <t>resultado</t>
        </is>
      </c>
    </row>
    <row r="4339">
      <c r="A4339" s="198" t="inlineStr">
        <is>
          <t>invocacao.5.ext.1.alcance</t>
        </is>
      </c>
      <c r="B4339" s="198">
        <f>IF(ISBLANK('INVOCAÇÕES'!$I$1025),"",'INVOCAÇÕES'!$I$1025&amp;"")</f>
        <v/>
      </c>
      <c r="C4339" s="198">
        <f>"'INVOCAÇÕES'!I960"</f>
        <v/>
      </c>
      <c r="D4339" s="198" t="inlineStr">
        <is>
          <t>resultado</t>
        </is>
      </c>
    </row>
    <row r="4340">
      <c r="A4340" s="198" t="inlineStr">
        <is>
          <t>invocacao.5.ext.2.texto</t>
        </is>
      </c>
      <c r="B4340" s="198">
        <f>IF(ISBLANK('INVOCAÇÕES'!$O$1019),"",'INVOCAÇÕES'!$O$1019&amp;"")</f>
        <v/>
      </c>
      <c r="C4340" s="198">
        <f>"'INVOCAÇÕES'!O954"</f>
        <v/>
      </c>
      <c r="D4340" s="198" t="inlineStr">
        <is>
          <t>entrada</t>
        </is>
      </c>
    </row>
    <row r="4341">
      <c r="A4341" s="198" t="inlineStr">
        <is>
          <t>invocacao.5.ext.2.tipo_dano</t>
        </is>
      </c>
      <c r="B4341" s="198">
        <f>IF(ISBLANK('INVOCAÇÕES'!$O$1023),"",'INVOCAÇÕES'!$O$1023&amp;"")</f>
        <v/>
      </c>
      <c r="C4341" s="198">
        <f>"'INVOCAÇÕES'!O958"</f>
        <v/>
      </c>
      <c r="D4341" s="198" t="inlineStr">
        <is>
          <t>entrada</t>
        </is>
      </c>
    </row>
    <row r="4342">
      <c r="A4342" s="198" t="inlineStr">
        <is>
          <t>invocacao.5.ext.2.resolucao_escolha</t>
        </is>
      </c>
      <c r="B4342" s="198">
        <f>IF(ISBLANK('INVOCAÇÕES'!$Q$1023),"",'INVOCAÇÕES'!$Q$1023&amp;"")</f>
        <v/>
      </c>
      <c r="C4342" s="198">
        <f>"'INVOCAÇÕES'!Q958"</f>
        <v/>
      </c>
      <c r="D4342" s="198" t="inlineStr">
        <is>
          <t>entrada</t>
        </is>
      </c>
    </row>
    <row r="4343">
      <c r="A4343" s="198" t="inlineStr">
        <is>
          <t>invocacao.5.ext.2.acao</t>
        </is>
      </c>
      <c r="B4343" s="198">
        <f>IF(ISBLANK('INVOCAÇÕES'!$O$1024),"",'INVOCAÇÕES'!$O$1024&amp;"")</f>
        <v/>
      </c>
      <c r="C4343" s="198">
        <f>"'INVOCAÇÕES'!O959"</f>
        <v/>
      </c>
      <c r="D4343" s="198" t="inlineStr">
        <is>
          <t>resultado</t>
        </is>
      </c>
    </row>
    <row r="4344">
      <c r="A4344" s="198" t="inlineStr">
        <is>
          <t>invocacao.5.ext.2.resolve</t>
        </is>
      </c>
      <c r="B4344" s="198">
        <f>IF(ISBLANK('INVOCAÇÕES'!$Q$1024),"",'INVOCAÇÕES'!$Q$1024&amp;"")</f>
        <v/>
      </c>
      <c r="C4344" s="198">
        <f>"'INVOCAÇÕES'!Q959"</f>
        <v/>
      </c>
      <c r="D4344" s="198" t="inlineStr">
        <is>
          <t>resultado</t>
        </is>
      </c>
    </row>
    <row r="4345">
      <c r="A4345" s="198" t="inlineStr">
        <is>
          <t>invocacao.5.ext.2.alcance</t>
        </is>
      </c>
      <c r="B4345" s="198">
        <f>IF(ISBLANK('INVOCAÇÕES'!$O$1025),"",'INVOCAÇÕES'!$O$1025&amp;"")</f>
        <v/>
      </c>
      <c r="C4345" s="198">
        <f>"'INVOCAÇÕES'!O960"</f>
        <v/>
      </c>
      <c r="D4345" s="198" t="inlineStr">
        <is>
          <t>resultado</t>
        </is>
      </c>
    </row>
    <row r="4346">
      <c r="A4346" s="198" t="inlineStr">
        <is>
          <t>invocacao.5.ext.3.texto</t>
        </is>
      </c>
      <c r="B4346" s="198">
        <f>IF(ISBLANK('INVOCAÇÕES'!$U$1019),"",'INVOCAÇÕES'!$U$1019&amp;"")</f>
        <v/>
      </c>
      <c r="C4346" s="198">
        <f>"'INVOCAÇÕES'!U954"</f>
        <v/>
      </c>
      <c r="D4346" s="198" t="inlineStr">
        <is>
          <t>entrada</t>
        </is>
      </c>
    </row>
    <row r="4347">
      <c r="A4347" s="198" t="inlineStr">
        <is>
          <t>invocacao.5.ext.3.tipo_dano</t>
        </is>
      </c>
      <c r="B4347" s="198">
        <f>IF(ISBLANK('INVOCAÇÕES'!$U$1023),"",'INVOCAÇÕES'!$U$1023&amp;"")</f>
        <v/>
      </c>
      <c r="C4347" s="198">
        <f>"'INVOCAÇÕES'!U958"</f>
        <v/>
      </c>
      <c r="D4347" s="198" t="inlineStr">
        <is>
          <t>entrada</t>
        </is>
      </c>
    </row>
    <row r="4348">
      <c r="A4348" s="198" t="inlineStr">
        <is>
          <t>invocacao.5.ext.3.resolucao_escolha</t>
        </is>
      </c>
      <c r="B4348" s="198">
        <f>IF(ISBLANK('INVOCAÇÕES'!$W$1023),"",'INVOCAÇÕES'!$W$1023&amp;"")</f>
        <v/>
      </c>
      <c r="C4348" s="198">
        <f>"'INVOCAÇÕES'!W958"</f>
        <v/>
      </c>
      <c r="D4348" s="198" t="inlineStr">
        <is>
          <t>entrada</t>
        </is>
      </c>
    </row>
    <row r="4349">
      <c r="A4349" s="198" t="inlineStr">
        <is>
          <t>invocacao.5.ext.3.acao</t>
        </is>
      </c>
      <c r="B4349" s="198">
        <f>IF(ISBLANK('INVOCAÇÕES'!$U$1024),"",'INVOCAÇÕES'!$U$1024&amp;"")</f>
        <v/>
      </c>
      <c r="C4349" s="198">
        <f>"'INVOCAÇÕES'!U959"</f>
        <v/>
      </c>
      <c r="D4349" s="198" t="inlineStr">
        <is>
          <t>resultado</t>
        </is>
      </c>
    </row>
    <row r="4350">
      <c r="A4350" s="198" t="inlineStr">
        <is>
          <t>invocacao.5.ext.3.resolve</t>
        </is>
      </c>
      <c r="B4350" s="198">
        <f>IF(ISBLANK('INVOCAÇÕES'!$W$1024),"",'INVOCAÇÕES'!$W$1024&amp;"")</f>
        <v/>
      </c>
      <c r="C4350" s="198">
        <f>"'INVOCAÇÕES'!W959"</f>
        <v/>
      </c>
      <c r="D4350" s="198" t="inlineStr">
        <is>
          <t>resultado</t>
        </is>
      </c>
    </row>
    <row r="4351">
      <c r="A4351" s="198" t="inlineStr">
        <is>
          <t>invocacao.5.ext.3.alcance</t>
        </is>
      </c>
      <c r="B4351" s="198">
        <f>IF(ISBLANK('INVOCAÇÕES'!$U$1025),"",'INVOCAÇÕES'!$U$1025&amp;"")</f>
        <v/>
      </c>
      <c r="C4351" s="198">
        <f>"'INVOCAÇÕES'!U960"</f>
        <v/>
      </c>
      <c r="D4351" s="198" t="inlineStr">
        <is>
          <t>resultado</t>
        </is>
      </c>
    </row>
    <row r="4352">
      <c r="A4352" s="198" t="inlineStr">
        <is>
          <t>invocacao.6.bas.1.texto</t>
        </is>
      </c>
      <c r="B4352" s="198">
        <f>IF(ISBLANK('INVOCAÇÕES'!$I$1128),"",'INVOCAÇÕES'!$I$1128&amp;"")</f>
        <v/>
      </c>
      <c r="C4352" s="198">
        <f>"'INVOCAÇÕES'!I1050"</f>
        <v/>
      </c>
      <c r="D4352" s="198" t="inlineStr">
        <is>
          <t>entrada</t>
        </is>
      </c>
    </row>
    <row r="4353">
      <c r="A4353" s="198" t="inlineStr">
        <is>
          <t>invocacao.6.bas.1.tipo_dano</t>
        </is>
      </c>
      <c r="B4353" s="198">
        <f>IF(ISBLANK('INVOCAÇÕES'!$I$1132),"",'INVOCAÇÕES'!$I$1132&amp;"")</f>
        <v/>
      </c>
      <c r="C4353" s="198">
        <f>"'INVOCAÇÕES'!I1054"</f>
        <v/>
      </c>
      <c r="D4353" s="198" t="inlineStr">
        <is>
          <t>entrada</t>
        </is>
      </c>
    </row>
    <row r="4354">
      <c r="A4354" s="198" t="inlineStr">
        <is>
          <t>invocacao.6.bas.1.resolucao_escolha</t>
        </is>
      </c>
      <c r="B4354" s="198">
        <f>IF(ISBLANK('INVOCAÇÕES'!$K$1132),"",'INVOCAÇÕES'!$K$1132&amp;"")</f>
        <v/>
      </c>
      <c r="C4354" s="198">
        <f>"'INVOCAÇÕES'!K1054"</f>
        <v/>
      </c>
      <c r="D4354" s="198" t="inlineStr">
        <is>
          <t>entrada</t>
        </is>
      </c>
    </row>
    <row r="4355">
      <c r="A4355" s="198" t="inlineStr">
        <is>
          <t>invocacao.6.bas.1.acao</t>
        </is>
      </c>
      <c r="B4355" s="198">
        <f>IF(ISBLANK('INVOCAÇÕES'!$I$1133),"",'INVOCAÇÕES'!$I$1133&amp;"")</f>
        <v/>
      </c>
      <c r="C4355" s="198">
        <f>"'INVOCAÇÕES'!I1055"</f>
        <v/>
      </c>
      <c r="D4355" s="198" t="inlineStr">
        <is>
          <t>resultado</t>
        </is>
      </c>
    </row>
    <row r="4356">
      <c r="A4356" s="198" t="inlineStr">
        <is>
          <t>invocacao.6.bas.1.resolve</t>
        </is>
      </c>
      <c r="B4356" s="198">
        <f>IF(ISBLANK('INVOCAÇÕES'!$K$1133),"",'INVOCAÇÕES'!$K$1133&amp;"")</f>
        <v/>
      </c>
      <c r="C4356" s="198">
        <f>"'INVOCAÇÕES'!K1055"</f>
        <v/>
      </c>
      <c r="D4356" s="198" t="inlineStr">
        <is>
          <t>resultado</t>
        </is>
      </c>
    </row>
    <row r="4357">
      <c r="A4357" s="198" t="inlineStr">
        <is>
          <t>invocacao.6.bas.1.alcance</t>
        </is>
      </c>
      <c r="B4357" s="198">
        <f>IF(ISBLANK('INVOCAÇÕES'!$I$1134),"",'INVOCAÇÕES'!$I$1134&amp;"")</f>
        <v/>
      </c>
      <c r="C4357" s="198">
        <f>"'INVOCAÇÕES'!I1056"</f>
        <v/>
      </c>
      <c r="D4357" s="198" t="inlineStr">
        <is>
          <t>resultado</t>
        </is>
      </c>
    </row>
    <row r="4358">
      <c r="A4358" s="198" t="inlineStr">
        <is>
          <t>invocacao.6.esp.1.texto</t>
        </is>
      </c>
      <c r="B4358" s="198">
        <f>IF(ISBLANK('INVOCAÇÕES'!$O$1128),"",'INVOCAÇÕES'!$O$1128&amp;"")</f>
        <v/>
      </c>
      <c r="C4358" s="198">
        <f>"'INVOCAÇÕES'!O1050"</f>
        <v/>
      </c>
      <c r="D4358" s="198" t="inlineStr">
        <is>
          <t>entrada</t>
        </is>
      </c>
    </row>
    <row r="4359">
      <c r="A4359" s="198" t="inlineStr">
        <is>
          <t>invocacao.6.esp.1.tipo_dano</t>
        </is>
      </c>
      <c r="B4359" s="198">
        <f>IF(ISBLANK('INVOCAÇÕES'!$O$1132),"",'INVOCAÇÕES'!$O$1132&amp;"")</f>
        <v/>
      </c>
      <c r="C4359" s="198">
        <f>"'INVOCAÇÕES'!O1054"</f>
        <v/>
      </c>
      <c r="D4359" s="198" t="inlineStr">
        <is>
          <t>entrada</t>
        </is>
      </c>
    </row>
    <row r="4360">
      <c r="A4360" s="198" t="inlineStr">
        <is>
          <t>invocacao.6.esp.1.resolucao_escolha</t>
        </is>
      </c>
      <c r="B4360" s="198">
        <f>IF(ISBLANK('INVOCAÇÕES'!$Q$1132),"",'INVOCAÇÕES'!$Q$1132&amp;"")</f>
        <v/>
      </c>
      <c r="C4360" s="198">
        <f>"'INVOCAÇÕES'!Q1054"</f>
        <v/>
      </c>
      <c r="D4360" s="198" t="inlineStr">
        <is>
          <t>entrada</t>
        </is>
      </c>
    </row>
    <row r="4361">
      <c r="A4361" s="198" t="inlineStr">
        <is>
          <t>invocacao.6.esp.1.acao</t>
        </is>
      </c>
      <c r="B4361" s="198">
        <f>IF(ISBLANK('INVOCAÇÕES'!$O$1133),"",'INVOCAÇÕES'!$O$1133&amp;"")</f>
        <v/>
      </c>
      <c r="C4361" s="198">
        <f>"'INVOCAÇÕES'!O1055"</f>
        <v/>
      </c>
      <c r="D4361" s="198" t="inlineStr">
        <is>
          <t>resultado</t>
        </is>
      </c>
    </row>
    <row r="4362">
      <c r="A4362" s="198" t="inlineStr">
        <is>
          <t>invocacao.6.esp.1.resolve</t>
        </is>
      </c>
      <c r="B4362" s="198">
        <f>IF(ISBLANK('INVOCAÇÕES'!$Q$1133),"",'INVOCAÇÕES'!$Q$1133&amp;"")</f>
        <v/>
      </c>
      <c r="C4362" s="198">
        <f>"'INVOCAÇÕES'!Q1055"</f>
        <v/>
      </c>
      <c r="D4362" s="198" t="inlineStr">
        <is>
          <t>resultado</t>
        </is>
      </c>
    </row>
    <row r="4363">
      <c r="A4363" s="198" t="inlineStr">
        <is>
          <t>invocacao.6.esp.1.alcance</t>
        </is>
      </c>
      <c r="B4363" s="198">
        <f>IF(ISBLANK('INVOCAÇÕES'!$O$1134),"",'INVOCAÇÕES'!$O$1134&amp;"")</f>
        <v/>
      </c>
      <c r="C4363" s="198">
        <f>"'INVOCAÇÕES'!O1056"</f>
        <v/>
      </c>
      <c r="D4363" s="198" t="inlineStr">
        <is>
          <t>resultado</t>
        </is>
      </c>
    </row>
    <row r="4364">
      <c r="A4364" s="198" t="inlineStr">
        <is>
          <t>invocacao.6.esp.2.texto</t>
        </is>
      </c>
      <c r="B4364" s="198">
        <f>IF(ISBLANK('INVOCAÇÕES'!$U$1128),"",'INVOCAÇÕES'!$U$1128&amp;"")</f>
        <v/>
      </c>
      <c r="C4364" s="198">
        <f>"'INVOCAÇÕES'!U1050"</f>
        <v/>
      </c>
      <c r="D4364" s="198" t="inlineStr">
        <is>
          <t>entrada</t>
        </is>
      </c>
    </row>
    <row r="4365">
      <c r="A4365" s="198" t="inlineStr">
        <is>
          <t>invocacao.6.esp.2.tipo_dano</t>
        </is>
      </c>
      <c r="B4365" s="198">
        <f>IF(ISBLANK('INVOCAÇÕES'!$U$1132),"",'INVOCAÇÕES'!$U$1132&amp;"")</f>
        <v/>
      </c>
      <c r="C4365" s="198">
        <f>"'INVOCAÇÕES'!U1054"</f>
        <v/>
      </c>
      <c r="D4365" s="198" t="inlineStr">
        <is>
          <t>entrada</t>
        </is>
      </c>
    </row>
    <row r="4366">
      <c r="A4366" s="198" t="inlineStr">
        <is>
          <t>invocacao.6.esp.2.resolucao_escolha</t>
        </is>
      </c>
      <c r="B4366" s="198">
        <f>IF(ISBLANK('INVOCAÇÕES'!$W$1132),"",'INVOCAÇÕES'!$W$1132&amp;"")</f>
        <v/>
      </c>
      <c r="C4366" s="198">
        <f>"'INVOCAÇÕES'!W1054"</f>
        <v/>
      </c>
      <c r="D4366" s="198" t="inlineStr">
        <is>
          <t>entrada</t>
        </is>
      </c>
    </row>
    <row r="4367">
      <c r="A4367" s="198" t="inlineStr">
        <is>
          <t>invocacao.6.esp.2.acao</t>
        </is>
      </c>
      <c r="B4367" s="198">
        <f>IF(ISBLANK('INVOCAÇÕES'!$U$1133),"",'INVOCAÇÕES'!$U$1133&amp;"")</f>
        <v/>
      </c>
      <c r="C4367" s="198">
        <f>"'INVOCAÇÕES'!U1055"</f>
        <v/>
      </c>
      <c r="D4367" s="198" t="inlineStr">
        <is>
          <t>resultado</t>
        </is>
      </c>
    </row>
    <row r="4368">
      <c r="A4368" s="198" t="inlineStr">
        <is>
          <t>invocacao.6.esp.2.resolve</t>
        </is>
      </c>
      <c r="B4368" s="198">
        <f>IF(ISBLANK('INVOCAÇÕES'!$W$1133),"",'INVOCAÇÕES'!$W$1133&amp;"")</f>
        <v/>
      </c>
      <c r="C4368" s="198">
        <f>"'INVOCAÇÕES'!W1055"</f>
        <v/>
      </c>
      <c r="D4368" s="198" t="inlineStr">
        <is>
          <t>resultado</t>
        </is>
      </c>
    </row>
    <row r="4369">
      <c r="A4369" s="198" t="inlineStr">
        <is>
          <t>invocacao.6.esp.2.alcance</t>
        </is>
      </c>
      <c r="B4369" s="198">
        <f>IF(ISBLANK('INVOCAÇÕES'!$U$1134),"",'INVOCAÇÕES'!$U$1134&amp;"")</f>
        <v/>
      </c>
      <c r="C4369" s="198">
        <f>"'INVOCAÇÕES'!U1056"</f>
        <v/>
      </c>
      <c r="D4369" s="198" t="inlineStr">
        <is>
          <t>resultado</t>
        </is>
      </c>
    </row>
    <row r="4370">
      <c r="A4370" s="198" t="inlineStr">
        <is>
          <t>invocacao.6.bas.2.texto</t>
        </is>
      </c>
      <c r="B4370" s="198">
        <f>IF(ISBLANK('INVOCAÇÕES'!$I$1162),"",'INVOCAÇÕES'!$I$1162&amp;"")</f>
        <v/>
      </c>
      <c r="C4370" s="198">
        <f>"'INVOCAÇÕES'!I1084"</f>
        <v/>
      </c>
      <c r="D4370" s="198" t="inlineStr">
        <is>
          <t>entrada</t>
        </is>
      </c>
    </row>
    <row r="4371">
      <c r="A4371" s="198" t="inlineStr">
        <is>
          <t>invocacao.6.bas.2.tipo_dano</t>
        </is>
      </c>
      <c r="B4371" s="198">
        <f>IF(ISBLANK('INVOCAÇÕES'!$I$1166),"",'INVOCAÇÕES'!$I$1166&amp;"")</f>
        <v/>
      </c>
      <c r="C4371" s="198">
        <f>"'INVOCAÇÕES'!I1088"</f>
        <v/>
      </c>
      <c r="D4371" s="198" t="inlineStr">
        <is>
          <t>entrada</t>
        </is>
      </c>
    </row>
    <row r="4372">
      <c r="A4372" s="198" t="inlineStr">
        <is>
          <t>invocacao.6.bas.2.resolucao_escolha</t>
        </is>
      </c>
      <c r="B4372" s="198">
        <f>IF(ISBLANK('INVOCAÇÕES'!$K$1166),"",'INVOCAÇÕES'!$K$1166&amp;"")</f>
        <v/>
      </c>
      <c r="C4372" s="198">
        <f>"'INVOCAÇÕES'!K1088"</f>
        <v/>
      </c>
      <c r="D4372" s="198" t="inlineStr">
        <is>
          <t>entrada</t>
        </is>
      </c>
    </row>
    <row r="4373">
      <c r="A4373" s="198" t="inlineStr">
        <is>
          <t>invocacao.6.bas.2.acao</t>
        </is>
      </c>
      <c r="B4373" s="198">
        <f>IF(ISBLANK('INVOCAÇÕES'!$I$1167),"",'INVOCAÇÕES'!$I$1167&amp;"")</f>
        <v/>
      </c>
      <c r="C4373" s="198">
        <f>"'INVOCAÇÕES'!I1089"</f>
        <v/>
      </c>
      <c r="D4373" s="198" t="inlineStr">
        <is>
          <t>resultado</t>
        </is>
      </c>
    </row>
    <row r="4374">
      <c r="A4374" s="198" t="inlineStr">
        <is>
          <t>invocacao.6.bas.2.resolve</t>
        </is>
      </c>
      <c r="B4374" s="198">
        <f>IF(ISBLANK('INVOCAÇÕES'!$K$1167),"",'INVOCAÇÕES'!$K$1167&amp;"")</f>
        <v/>
      </c>
      <c r="C4374" s="198">
        <f>"'INVOCAÇÕES'!K1089"</f>
        <v/>
      </c>
      <c r="D4374" s="198" t="inlineStr">
        <is>
          <t>resultado</t>
        </is>
      </c>
    </row>
    <row r="4375">
      <c r="A4375" s="198" t="inlineStr">
        <is>
          <t>invocacao.6.bas.2.alcance</t>
        </is>
      </c>
      <c r="B4375" s="198">
        <f>IF(ISBLANK('INVOCAÇÕES'!$I$1168),"",'INVOCAÇÕES'!$I$1168&amp;"")</f>
        <v/>
      </c>
      <c r="C4375" s="198">
        <f>"'INVOCAÇÕES'!I1090"</f>
        <v/>
      </c>
      <c r="D4375" s="198" t="inlineStr">
        <is>
          <t>resultado</t>
        </is>
      </c>
    </row>
    <row r="4376">
      <c r="A4376" s="198" t="inlineStr">
        <is>
          <t>invocacao.6.esp.3.texto</t>
        </is>
      </c>
      <c r="B4376" s="198">
        <f>IF(ISBLANK('INVOCAÇÕES'!$O$1162),"",'INVOCAÇÕES'!$O$1162&amp;"")</f>
        <v/>
      </c>
      <c r="C4376" s="198">
        <f>"'INVOCAÇÕES'!O1084"</f>
        <v/>
      </c>
      <c r="D4376" s="198" t="inlineStr">
        <is>
          <t>entrada</t>
        </is>
      </c>
    </row>
    <row r="4377">
      <c r="A4377" s="198" t="inlineStr">
        <is>
          <t>invocacao.6.esp.3.tipo_dano</t>
        </is>
      </c>
      <c r="B4377" s="198">
        <f>IF(ISBLANK('INVOCAÇÕES'!$O$1166),"",'INVOCAÇÕES'!$O$1166&amp;"")</f>
        <v/>
      </c>
      <c r="C4377" s="198">
        <f>"'INVOCAÇÕES'!O1088"</f>
        <v/>
      </c>
      <c r="D4377" s="198" t="inlineStr">
        <is>
          <t>entrada</t>
        </is>
      </c>
    </row>
    <row r="4378">
      <c r="A4378" s="198" t="inlineStr">
        <is>
          <t>invocacao.6.esp.3.resolucao_escolha</t>
        </is>
      </c>
      <c r="B4378" s="198">
        <f>IF(ISBLANK('INVOCAÇÕES'!$Q$1166),"",'INVOCAÇÕES'!$Q$1166&amp;"")</f>
        <v/>
      </c>
      <c r="C4378" s="198">
        <f>"'INVOCAÇÕES'!Q1088"</f>
        <v/>
      </c>
      <c r="D4378" s="198" t="inlineStr">
        <is>
          <t>entrada</t>
        </is>
      </c>
    </row>
    <row r="4379">
      <c r="A4379" s="198" t="inlineStr">
        <is>
          <t>invocacao.6.esp.3.acao</t>
        </is>
      </c>
      <c r="B4379" s="198">
        <f>IF(ISBLANK('INVOCAÇÕES'!$O$1167),"",'INVOCAÇÕES'!$O$1167&amp;"")</f>
        <v/>
      </c>
      <c r="C4379" s="198">
        <f>"'INVOCAÇÕES'!O1089"</f>
        <v/>
      </c>
      <c r="D4379" s="198" t="inlineStr">
        <is>
          <t>resultado</t>
        </is>
      </c>
    </row>
    <row r="4380">
      <c r="A4380" s="198" t="inlineStr">
        <is>
          <t>invocacao.6.esp.3.resolve</t>
        </is>
      </c>
      <c r="B4380" s="198">
        <f>IF(ISBLANK('INVOCAÇÕES'!$Q$1167),"",'INVOCAÇÕES'!$Q$1167&amp;"")</f>
        <v/>
      </c>
      <c r="C4380" s="198">
        <f>"'INVOCAÇÕES'!Q1089"</f>
        <v/>
      </c>
      <c r="D4380" s="198" t="inlineStr">
        <is>
          <t>resultado</t>
        </is>
      </c>
    </row>
    <row r="4381">
      <c r="A4381" s="198" t="inlineStr">
        <is>
          <t>invocacao.6.esp.3.alcance</t>
        </is>
      </c>
      <c r="B4381" s="198">
        <f>IF(ISBLANK('INVOCAÇÕES'!$O$1168),"",'INVOCAÇÕES'!$O$1168&amp;"")</f>
        <v/>
      </c>
      <c r="C4381" s="198">
        <f>"'INVOCAÇÕES'!O1090"</f>
        <v/>
      </c>
      <c r="D4381" s="198" t="inlineStr">
        <is>
          <t>resultado</t>
        </is>
      </c>
    </row>
    <row r="4382">
      <c r="A4382" s="198" t="inlineStr">
        <is>
          <t>invocacao.6.esp.4.texto</t>
        </is>
      </c>
      <c r="B4382" s="198">
        <f>IF(ISBLANK('INVOCAÇÕES'!$U$1162),"",'INVOCAÇÕES'!$U$1162&amp;"")</f>
        <v/>
      </c>
      <c r="C4382" s="198">
        <f>"'INVOCAÇÕES'!U1084"</f>
        <v/>
      </c>
      <c r="D4382" s="198" t="inlineStr">
        <is>
          <t>entrada</t>
        </is>
      </c>
    </row>
    <row r="4383">
      <c r="A4383" s="198" t="inlineStr">
        <is>
          <t>invocacao.6.esp.4.tipo_dano</t>
        </is>
      </c>
      <c r="B4383" s="198">
        <f>IF(ISBLANK('INVOCAÇÕES'!$U$1166),"",'INVOCAÇÕES'!$U$1166&amp;"")</f>
        <v/>
      </c>
      <c r="C4383" s="198">
        <f>"'INVOCAÇÕES'!U1088"</f>
        <v/>
      </c>
      <c r="D4383" s="198" t="inlineStr">
        <is>
          <t>entrada</t>
        </is>
      </c>
    </row>
    <row r="4384">
      <c r="A4384" s="198" t="inlineStr">
        <is>
          <t>invocacao.6.esp.4.resolucao_escolha</t>
        </is>
      </c>
      <c r="B4384" s="198">
        <f>IF(ISBLANK('INVOCAÇÕES'!$W$1166),"",'INVOCAÇÕES'!$W$1166&amp;"")</f>
        <v/>
      </c>
      <c r="C4384" s="198">
        <f>"'INVOCAÇÕES'!W1088"</f>
        <v/>
      </c>
      <c r="D4384" s="198" t="inlineStr">
        <is>
          <t>entrada</t>
        </is>
      </c>
    </row>
    <row r="4385">
      <c r="A4385" s="198" t="inlineStr">
        <is>
          <t>invocacao.6.esp.4.acao</t>
        </is>
      </c>
      <c r="B4385" s="198">
        <f>IF(ISBLANK('INVOCAÇÕES'!$U$1167),"",'INVOCAÇÕES'!$U$1167&amp;"")</f>
        <v/>
      </c>
      <c r="C4385" s="198">
        <f>"'INVOCAÇÕES'!U1089"</f>
        <v/>
      </c>
      <c r="D4385" s="198" t="inlineStr">
        <is>
          <t>resultado</t>
        </is>
      </c>
    </row>
    <row r="4386">
      <c r="A4386" s="198" t="inlineStr">
        <is>
          <t>invocacao.6.esp.4.resolve</t>
        </is>
      </c>
      <c r="B4386" s="198">
        <f>IF(ISBLANK('INVOCAÇÕES'!$W$1167),"",'INVOCAÇÕES'!$W$1167&amp;"")</f>
        <v/>
      </c>
      <c r="C4386" s="198">
        <f>"'INVOCAÇÕES'!W1089"</f>
        <v/>
      </c>
      <c r="D4386" s="198" t="inlineStr">
        <is>
          <t>resultado</t>
        </is>
      </c>
    </row>
    <row r="4387">
      <c r="A4387" s="198" t="inlineStr">
        <is>
          <t>invocacao.6.esp.4.alcance</t>
        </is>
      </c>
      <c r="B4387" s="198">
        <f>IF(ISBLANK('INVOCAÇÕES'!$U$1168),"",'INVOCAÇÕES'!$U$1168&amp;"")</f>
        <v/>
      </c>
      <c r="C4387" s="198">
        <f>"'INVOCAÇÕES'!U1090"</f>
        <v/>
      </c>
      <c r="D4387" s="198" t="inlineStr">
        <is>
          <t>resultado</t>
        </is>
      </c>
    </row>
    <row r="4388">
      <c r="A4388" s="198" t="inlineStr">
        <is>
          <t>invocacao.6.esp.5.texto</t>
        </is>
      </c>
      <c r="B4388" s="198">
        <f>IF(ISBLANK('INVOCAÇÕES'!$I$1184),"",'INVOCAÇÕES'!$I$1184&amp;"")</f>
        <v/>
      </c>
      <c r="C4388" s="198">
        <f>"'INVOCAÇÕES'!I1106"</f>
        <v/>
      </c>
      <c r="D4388" s="198" t="inlineStr">
        <is>
          <t>entrada</t>
        </is>
      </c>
    </row>
    <row r="4389">
      <c r="A4389" s="198" t="inlineStr">
        <is>
          <t>invocacao.6.esp.5.tipo_dano</t>
        </is>
      </c>
      <c r="B4389" s="198">
        <f>IF(ISBLANK('INVOCAÇÕES'!$I$1188),"",'INVOCAÇÕES'!$I$1188&amp;"")</f>
        <v/>
      </c>
      <c r="C4389" s="198">
        <f>"'INVOCAÇÕES'!I1110"</f>
        <v/>
      </c>
      <c r="D4389" s="198" t="inlineStr">
        <is>
          <t>entrada</t>
        </is>
      </c>
    </row>
    <row r="4390">
      <c r="A4390" s="198" t="inlineStr">
        <is>
          <t>invocacao.6.esp.5.resolucao_escolha</t>
        </is>
      </c>
      <c r="B4390" s="198">
        <f>IF(ISBLANK('INVOCAÇÕES'!$K$1188),"",'INVOCAÇÕES'!$K$1188&amp;"")</f>
        <v/>
      </c>
      <c r="C4390" s="198">
        <f>"'INVOCAÇÕES'!K1110"</f>
        <v/>
      </c>
      <c r="D4390" s="198" t="inlineStr">
        <is>
          <t>entrada</t>
        </is>
      </c>
    </row>
    <row r="4391">
      <c r="A4391" s="198" t="inlineStr">
        <is>
          <t>invocacao.6.esp.5.acao</t>
        </is>
      </c>
      <c r="B4391" s="198">
        <f>IF(ISBLANK('INVOCAÇÕES'!$I$1189),"",'INVOCAÇÕES'!$I$1189&amp;"")</f>
        <v/>
      </c>
      <c r="C4391" s="198">
        <f>"'INVOCAÇÕES'!I1111"</f>
        <v/>
      </c>
      <c r="D4391" s="198" t="inlineStr">
        <is>
          <t>resultado</t>
        </is>
      </c>
    </row>
    <row r="4392">
      <c r="A4392" s="198" t="inlineStr">
        <is>
          <t>invocacao.6.esp.5.resolve</t>
        </is>
      </c>
      <c r="B4392" s="198">
        <f>IF(ISBLANK('INVOCAÇÕES'!$K$1189),"",'INVOCAÇÕES'!$K$1189&amp;"")</f>
        <v/>
      </c>
      <c r="C4392" s="198">
        <f>"'INVOCAÇÕES'!K1111"</f>
        <v/>
      </c>
      <c r="D4392" s="198" t="inlineStr">
        <is>
          <t>resultado</t>
        </is>
      </c>
    </row>
    <row r="4393">
      <c r="A4393" s="198" t="inlineStr">
        <is>
          <t>invocacao.6.esp.5.alcance</t>
        </is>
      </c>
      <c r="B4393" s="198">
        <f>IF(ISBLANK('INVOCAÇÕES'!$I$1190),"",'INVOCAÇÕES'!$I$1190&amp;"")</f>
        <v/>
      </c>
      <c r="C4393" s="198">
        <f>"'INVOCAÇÕES'!I1112"</f>
        <v/>
      </c>
      <c r="D4393" s="198" t="inlineStr">
        <is>
          <t>resultado</t>
        </is>
      </c>
    </row>
    <row r="4394">
      <c r="A4394" s="198" t="inlineStr">
        <is>
          <t>invocacao.6.esp.6.texto</t>
        </is>
      </c>
      <c r="B4394" s="198">
        <f>IF(ISBLANK('INVOCAÇÕES'!$O$1184),"",'INVOCAÇÕES'!$O$1184&amp;"")</f>
        <v/>
      </c>
      <c r="C4394" s="198">
        <f>"'INVOCAÇÕES'!O1106"</f>
        <v/>
      </c>
      <c r="D4394" s="198" t="inlineStr">
        <is>
          <t>entrada</t>
        </is>
      </c>
    </row>
    <row r="4395">
      <c r="A4395" s="198" t="inlineStr">
        <is>
          <t>invocacao.6.esp.6.tipo_dano</t>
        </is>
      </c>
      <c r="B4395" s="198">
        <f>IF(ISBLANK('INVOCAÇÕES'!$O$1188),"",'INVOCAÇÕES'!$O$1188&amp;"")</f>
        <v/>
      </c>
      <c r="C4395" s="198">
        <f>"'INVOCAÇÕES'!O1110"</f>
        <v/>
      </c>
      <c r="D4395" s="198" t="inlineStr">
        <is>
          <t>entrada</t>
        </is>
      </c>
    </row>
    <row r="4396">
      <c r="A4396" s="198" t="inlineStr">
        <is>
          <t>invocacao.6.esp.6.resolucao_escolha</t>
        </is>
      </c>
      <c r="B4396" s="198">
        <f>IF(ISBLANK('INVOCAÇÕES'!$Q$1188),"",'INVOCAÇÕES'!$Q$1188&amp;"")</f>
        <v/>
      </c>
      <c r="C4396" s="198">
        <f>"'INVOCAÇÕES'!Q1110"</f>
        <v/>
      </c>
      <c r="D4396" s="198" t="inlineStr">
        <is>
          <t>entrada</t>
        </is>
      </c>
    </row>
    <row r="4397">
      <c r="A4397" s="198" t="inlineStr">
        <is>
          <t>invocacao.6.esp.6.acao</t>
        </is>
      </c>
      <c r="B4397" s="198">
        <f>IF(ISBLANK('INVOCAÇÕES'!$O$1189),"",'INVOCAÇÕES'!$O$1189&amp;"")</f>
        <v/>
      </c>
      <c r="C4397" s="198">
        <f>"'INVOCAÇÕES'!O1111"</f>
        <v/>
      </c>
      <c r="D4397" s="198" t="inlineStr">
        <is>
          <t>resultado</t>
        </is>
      </c>
    </row>
    <row r="4398">
      <c r="A4398" s="198" t="inlineStr">
        <is>
          <t>invocacao.6.esp.6.resolve</t>
        </is>
      </c>
      <c r="B4398" s="198">
        <f>IF(ISBLANK('INVOCAÇÕES'!$Q$1189),"",'INVOCAÇÕES'!$Q$1189&amp;"")</f>
        <v/>
      </c>
      <c r="C4398" s="198">
        <f>"'INVOCAÇÕES'!Q1111"</f>
        <v/>
      </c>
      <c r="D4398" s="198" t="inlineStr">
        <is>
          <t>resultado</t>
        </is>
      </c>
    </row>
    <row r="4399">
      <c r="A4399" s="198" t="inlineStr">
        <is>
          <t>invocacao.6.esp.6.alcance</t>
        </is>
      </c>
      <c r="B4399" s="198">
        <f>IF(ISBLANK('INVOCAÇÕES'!$O$1190),"",'INVOCAÇÕES'!$O$1190&amp;"")</f>
        <v/>
      </c>
      <c r="C4399" s="198">
        <f>"'INVOCAÇÕES'!O1112"</f>
        <v/>
      </c>
      <c r="D4399" s="198" t="inlineStr">
        <is>
          <t>resultado</t>
        </is>
      </c>
    </row>
    <row r="4400">
      <c r="A4400" s="198" t="inlineStr">
        <is>
          <t>invocacao.6.esp.7.texto</t>
        </is>
      </c>
      <c r="B4400" s="198">
        <f>IF(ISBLANK('INVOCAÇÕES'!$U$1184),"",'INVOCAÇÕES'!$U$1184&amp;"")</f>
        <v/>
      </c>
      <c r="C4400" s="198">
        <f>"'INVOCAÇÕES'!U1106"</f>
        <v/>
      </c>
      <c r="D4400" s="198" t="inlineStr">
        <is>
          <t>entrada</t>
        </is>
      </c>
    </row>
    <row r="4401">
      <c r="A4401" s="198" t="inlineStr">
        <is>
          <t>invocacao.6.esp.7.tipo_dano</t>
        </is>
      </c>
      <c r="B4401" s="198">
        <f>IF(ISBLANK('INVOCAÇÕES'!$U$1188),"",'INVOCAÇÕES'!$U$1188&amp;"")</f>
        <v/>
      </c>
      <c r="C4401" s="198">
        <f>"'INVOCAÇÕES'!U1110"</f>
        <v/>
      </c>
      <c r="D4401" s="198" t="inlineStr">
        <is>
          <t>entrada</t>
        </is>
      </c>
    </row>
    <row r="4402">
      <c r="A4402" s="198" t="inlineStr">
        <is>
          <t>invocacao.6.esp.7.resolucao_escolha</t>
        </is>
      </c>
      <c r="B4402" s="198">
        <f>IF(ISBLANK('INVOCAÇÕES'!$W$1188),"",'INVOCAÇÕES'!$W$1188&amp;"")</f>
        <v/>
      </c>
      <c r="C4402" s="198">
        <f>"'INVOCAÇÕES'!W1110"</f>
        <v/>
      </c>
      <c r="D4402" s="198" t="inlineStr">
        <is>
          <t>entrada</t>
        </is>
      </c>
    </row>
    <row r="4403">
      <c r="A4403" s="198" t="inlineStr">
        <is>
          <t>invocacao.6.esp.7.acao</t>
        </is>
      </c>
      <c r="B4403" s="198">
        <f>IF(ISBLANK('INVOCAÇÕES'!$U$1189),"",'INVOCAÇÕES'!$U$1189&amp;"")</f>
        <v/>
      </c>
      <c r="C4403" s="198">
        <f>"'INVOCAÇÕES'!U1111"</f>
        <v/>
      </c>
      <c r="D4403" s="198" t="inlineStr">
        <is>
          <t>resultado</t>
        </is>
      </c>
    </row>
    <row r="4404">
      <c r="A4404" s="198" t="inlineStr">
        <is>
          <t>invocacao.6.esp.7.resolve</t>
        </is>
      </c>
      <c r="B4404" s="198">
        <f>IF(ISBLANK('INVOCAÇÕES'!$W$1189),"",'INVOCAÇÕES'!$W$1189&amp;"")</f>
        <v/>
      </c>
      <c r="C4404" s="198">
        <f>"'INVOCAÇÕES'!W1111"</f>
        <v/>
      </c>
      <c r="D4404" s="198" t="inlineStr">
        <is>
          <t>resultado</t>
        </is>
      </c>
    </row>
    <row r="4405">
      <c r="A4405" s="198" t="inlineStr">
        <is>
          <t>invocacao.6.esp.7.alcance</t>
        </is>
      </c>
      <c r="B4405" s="198">
        <f>IF(ISBLANK('INVOCAÇÕES'!$U$1190),"",'INVOCAÇÕES'!$U$1190&amp;"")</f>
        <v/>
      </c>
      <c r="C4405" s="198">
        <f>"'INVOCAÇÕES'!U1112"</f>
        <v/>
      </c>
      <c r="D4405" s="198" t="inlineStr">
        <is>
          <t>resultado</t>
        </is>
      </c>
    </row>
    <row r="4406">
      <c r="A4406" s="198" t="inlineStr">
        <is>
          <t>invocacao.6.esp.8.texto</t>
        </is>
      </c>
      <c r="B4406" s="198">
        <f>IF(ISBLANK('INVOCAÇÕES'!$I$1206),"",'INVOCAÇÕES'!$I$1206&amp;"")</f>
        <v/>
      </c>
      <c r="C4406" s="198">
        <f>"'INVOCAÇÕES'!I1128"</f>
        <v/>
      </c>
      <c r="D4406" s="198" t="inlineStr">
        <is>
          <t>entrada</t>
        </is>
      </c>
    </row>
    <row r="4407">
      <c r="A4407" s="198" t="inlineStr">
        <is>
          <t>invocacao.6.esp.8.tipo_dano</t>
        </is>
      </c>
      <c r="B4407" s="198">
        <f>IF(ISBLANK('INVOCAÇÕES'!$I$1210),"",'INVOCAÇÕES'!$I$1210&amp;"")</f>
        <v/>
      </c>
      <c r="C4407" s="198">
        <f>"'INVOCAÇÕES'!I1132"</f>
        <v/>
      </c>
      <c r="D4407" s="198" t="inlineStr">
        <is>
          <t>entrada</t>
        </is>
      </c>
    </row>
    <row r="4408">
      <c r="A4408" s="198" t="inlineStr">
        <is>
          <t>invocacao.6.esp.8.resolucao_escolha</t>
        </is>
      </c>
      <c r="B4408" s="198">
        <f>IF(ISBLANK('INVOCAÇÕES'!$K$1210),"",'INVOCAÇÕES'!$K$1210&amp;"")</f>
        <v/>
      </c>
      <c r="C4408" s="198">
        <f>"'INVOCAÇÕES'!K1132"</f>
        <v/>
      </c>
      <c r="D4408" s="198" t="inlineStr">
        <is>
          <t>entrada</t>
        </is>
      </c>
    </row>
    <row r="4409">
      <c r="A4409" s="198" t="inlineStr">
        <is>
          <t>invocacao.6.esp.8.acao</t>
        </is>
      </c>
      <c r="B4409" s="198">
        <f>IF(ISBLANK('INVOCAÇÕES'!$I$1211),"",'INVOCAÇÕES'!$I$1211&amp;"")</f>
        <v/>
      </c>
      <c r="C4409" s="198">
        <f>"'INVOCAÇÕES'!I1133"</f>
        <v/>
      </c>
      <c r="D4409" s="198" t="inlineStr">
        <is>
          <t>resultado</t>
        </is>
      </c>
    </row>
    <row r="4410">
      <c r="A4410" s="198" t="inlineStr">
        <is>
          <t>invocacao.6.esp.8.resolve</t>
        </is>
      </c>
      <c r="B4410" s="198">
        <f>IF(ISBLANK('INVOCAÇÕES'!$K$1211),"",'INVOCAÇÕES'!$K$1211&amp;"")</f>
        <v/>
      </c>
      <c r="C4410" s="198">
        <f>"'INVOCAÇÕES'!K1133"</f>
        <v/>
      </c>
      <c r="D4410" s="198" t="inlineStr">
        <is>
          <t>resultado</t>
        </is>
      </c>
    </row>
    <row r="4411">
      <c r="A4411" s="198" t="inlineStr">
        <is>
          <t>invocacao.6.esp.8.alcance</t>
        </is>
      </c>
      <c r="B4411" s="198">
        <f>IF(ISBLANK('INVOCAÇÕES'!$I$1212),"",'INVOCAÇÕES'!$I$1212&amp;"")</f>
        <v/>
      </c>
      <c r="C4411" s="198">
        <f>"'INVOCAÇÕES'!I1134"</f>
        <v/>
      </c>
      <c r="D4411" s="198" t="inlineStr">
        <is>
          <t>resultado</t>
        </is>
      </c>
    </row>
    <row r="4412">
      <c r="A4412" s="198" t="inlineStr">
        <is>
          <t>invocacao.6.ext.1.texto</t>
        </is>
      </c>
      <c r="B4412" s="198">
        <f>IF(ISBLANK('INVOCAÇÕES'!$I$1230),"",'INVOCAÇÕES'!$I$1230&amp;"")</f>
        <v/>
      </c>
      <c r="C4412" s="198">
        <f>"'INVOCAÇÕES'!I1152"</f>
        <v/>
      </c>
      <c r="D4412" s="198" t="inlineStr">
        <is>
          <t>entrada</t>
        </is>
      </c>
    </row>
    <row r="4413">
      <c r="A4413" s="198" t="inlineStr">
        <is>
          <t>invocacao.6.ext.1.tipo_dano</t>
        </is>
      </c>
      <c r="B4413" s="198">
        <f>IF(ISBLANK('INVOCAÇÕES'!$I$1234),"",'INVOCAÇÕES'!$I$1234&amp;"")</f>
        <v/>
      </c>
      <c r="C4413" s="198">
        <f>"'INVOCAÇÕES'!I1156"</f>
        <v/>
      </c>
      <c r="D4413" s="198" t="inlineStr">
        <is>
          <t>entrada</t>
        </is>
      </c>
    </row>
    <row r="4414">
      <c r="A4414" s="198" t="inlineStr">
        <is>
          <t>invocacao.6.ext.1.resolucao_escolha</t>
        </is>
      </c>
      <c r="B4414" s="198">
        <f>IF(ISBLANK('INVOCAÇÕES'!$K$1234),"",'INVOCAÇÕES'!$K$1234&amp;"")</f>
        <v/>
      </c>
      <c r="C4414" s="198">
        <f>"'INVOCAÇÕES'!K1156"</f>
        <v/>
      </c>
      <c r="D4414" s="198" t="inlineStr">
        <is>
          <t>entrada</t>
        </is>
      </c>
    </row>
    <row r="4415">
      <c r="A4415" s="198" t="inlineStr">
        <is>
          <t>invocacao.6.ext.1.acao</t>
        </is>
      </c>
      <c r="B4415" s="198">
        <f>IF(ISBLANK('INVOCAÇÕES'!$I$1235),"",'INVOCAÇÕES'!$I$1235&amp;"")</f>
        <v/>
      </c>
      <c r="C4415" s="198">
        <f>"'INVOCAÇÕES'!I1157"</f>
        <v/>
      </c>
      <c r="D4415" s="198" t="inlineStr">
        <is>
          <t>resultado</t>
        </is>
      </c>
    </row>
    <row r="4416">
      <c r="A4416" s="198" t="inlineStr">
        <is>
          <t>invocacao.6.ext.1.resolve</t>
        </is>
      </c>
      <c r="B4416" s="198">
        <f>IF(ISBLANK('INVOCAÇÕES'!$K$1235),"",'INVOCAÇÕES'!$K$1235&amp;"")</f>
        <v/>
      </c>
      <c r="C4416" s="198">
        <f>"'INVOCAÇÕES'!K1157"</f>
        <v/>
      </c>
      <c r="D4416" s="198" t="inlineStr">
        <is>
          <t>resultado</t>
        </is>
      </c>
    </row>
    <row r="4417">
      <c r="A4417" s="198" t="inlineStr">
        <is>
          <t>invocacao.6.ext.1.alcance</t>
        </is>
      </c>
      <c r="B4417" s="198">
        <f>IF(ISBLANK('INVOCAÇÕES'!$I$1236),"",'INVOCAÇÕES'!$I$1236&amp;"")</f>
        <v/>
      </c>
      <c r="C4417" s="198">
        <f>"'INVOCAÇÕES'!I1158"</f>
        <v/>
      </c>
      <c r="D4417" s="198" t="inlineStr">
        <is>
          <t>resultado</t>
        </is>
      </c>
    </row>
    <row r="4418">
      <c r="A4418" s="198" t="inlineStr">
        <is>
          <t>invocacao.6.ext.2.texto</t>
        </is>
      </c>
      <c r="B4418" s="198">
        <f>IF(ISBLANK('INVOCAÇÕES'!$O$1230),"",'INVOCAÇÕES'!$O$1230&amp;"")</f>
        <v/>
      </c>
      <c r="C4418" s="198">
        <f>"'INVOCAÇÕES'!O1152"</f>
        <v/>
      </c>
      <c r="D4418" s="198" t="inlineStr">
        <is>
          <t>entrada</t>
        </is>
      </c>
    </row>
    <row r="4419">
      <c r="A4419" s="198" t="inlineStr">
        <is>
          <t>invocacao.6.ext.2.tipo_dano</t>
        </is>
      </c>
      <c r="B4419" s="198">
        <f>IF(ISBLANK('INVOCAÇÕES'!$O$1234),"",'INVOCAÇÕES'!$O$1234&amp;"")</f>
        <v/>
      </c>
      <c r="C4419" s="198">
        <f>"'INVOCAÇÕES'!O1156"</f>
        <v/>
      </c>
      <c r="D4419" s="198" t="inlineStr">
        <is>
          <t>entrada</t>
        </is>
      </c>
    </row>
    <row r="4420">
      <c r="A4420" s="198" t="inlineStr">
        <is>
          <t>invocacao.6.ext.2.resolucao_escolha</t>
        </is>
      </c>
      <c r="B4420" s="198">
        <f>IF(ISBLANK('INVOCAÇÕES'!$Q$1234),"",'INVOCAÇÕES'!$Q$1234&amp;"")</f>
        <v/>
      </c>
      <c r="C4420" s="198">
        <f>"'INVOCAÇÕES'!Q1156"</f>
        <v/>
      </c>
      <c r="D4420" s="198" t="inlineStr">
        <is>
          <t>entrada</t>
        </is>
      </c>
    </row>
    <row r="4421">
      <c r="A4421" s="198" t="inlineStr">
        <is>
          <t>invocacao.6.ext.2.acao</t>
        </is>
      </c>
      <c r="B4421" s="198">
        <f>IF(ISBLANK('INVOCAÇÕES'!$O$1235),"",'INVOCAÇÕES'!$O$1235&amp;"")</f>
        <v/>
      </c>
      <c r="C4421" s="198">
        <f>"'INVOCAÇÕES'!O1157"</f>
        <v/>
      </c>
      <c r="D4421" s="198" t="inlineStr">
        <is>
          <t>resultado</t>
        </is>
      </c>
    </row>
    <row r="4422">
      <c r="A4422" s="198" t="inlineStr">
        <is>
          <t>invocacao.6.ext.2.resolve</t>
        </is>
      </c>
      <c r="B4422" s="198">
        <f>IF(ISBLANK('INVOCAÇÕES'!$Q$1235),"",'INVOCAÇÕES'!$Q$1235&amp;"")</f>
        <v/>
      </c>
      <c r="C4422" s="198">
        <f>"'INVOCAÇÕES'!Q1157"</f>
        <v/>
      </c>
      <c r="D4422" s="198" t="inlineStr">
        <is>
          <t>resultado</t>
        </is>
      </c>
    </row>
    <row r="4423">
      <c r="A4423" s="198" t="inlineStr">
        <is>
          <t>invocacao.6.ext.2.alcance</t>
        </is>
      </c>
      <c r="B4423" s="198">
        <f>IF(ISBLANK('INVOCAÇÕES'!$O$1236),"",'INVOCAÇÕES'!$O$1236&amp;"")</f>
        <v/>
      </c>
      <c r="C4423" s="198">
        <f>"'INVOCAÇÕES'!O1158"</f>
        <v/>
      </c>
      <c r="D4423" s="198" t="inlineStr">
        <is>
          <t>resultado</t>
        </is>
      </c>
    </row>
    <row r="4424">
      <c r="A4424" s="198" t="inlineStr">
        <is>
          <t>invocacao.6.ext.3.texto</t>
        </is>
      </c>
      <c r="B4424" s="198">
        <f>IF(ISBLANK('INVOCAÇÕES'!$U$1230),"",'INVOCAÇÕES'!$U$1230&amp;"")</f>
        <v/>
      </c>
      <c r="C4424" s="198">
        <f>"'INVOCAÇÕES'!U1152"</f>
        <v/>
      </c>
      <c r="D4424" s="198" t="inlineStr">
        <is>
          <t>entrada</t>
        </is>
      </c>
    </row>
    <row r="4425">
      <c r="A4425" s="198" t="inlineStr">
        <is>
          <t>invocacao.6.ext.3.tipo_dano</t>
        </is>
      </c>
      <c r="B4425" s="198">
        <f>IF(ISBLANK('INVOCAÇÕES'!$U$1234),"",'INVOCAÇÕES'!$U$1234&amp;"")</f>
        <v/>
      </c>
      <c r="C4425" s="198">
        <f>"'INVOCAÇÕES'!U1156"</f>
        <v/>
      </c>
      <c r="D4425" s="198" t="inlineStr">
        <is>
          <t>entrada</t>
        </is>
      </c>
    </row>
    <row r="4426">
      <c r="A4426" s="198" t="inlineStr">
        <is>
          <t>invocacao.6.ext.3.resolucao_escolha</t>
        </is>
      </c>
      <c r="B4426" s="198">
        <f>IF(ISBLANK('INVOCAÇÕES'!$W$1234),"",'INVOCAÇÕES'!$W$1234&amp;"")</f>
        <v/>
      </c>
      <c r="C4426" s="198">
        <f>"'INVOCAÇÕES'!W1156"</f>
        <v/>
      </c>
      <c r="D4426" s="198" t="inlineStr">
        <is>
          <t>entrada</t>
        </is>
      </c>
    </row>
    <row r="4427">
      <c r="A4427" s="198" t="inlineStr">
        <is>
          <t>invocacao.6.ext.3.acao</t>
        </is>
      </c>
      <c r="B4427" s="198">
        <f>IF(ISBLANK('INVOCAÇÕES'!$U$1235),"",'INVOCAÇÕES'!$U$1235&amp;"")</f>
        <v/>
      </c>
      <c r="C4427" s="198">
        <f>"'INVOCAÇÕES'!U1157"</f>
        <v/>
      </c>
      <c r="D4427" s="198" t="inlineStr">
        <is>
          <t>resultado</t>
        </is>
      </c>
    </row>
    <row r="4428">
      <c r="A4428" s="198" t="inlineStr">
        <is>
          <t>invocacao.6.ext.3.resolve</t>
        </is>
      </c>
      <c r="B4428" s="198">
        <f>IF(ISBLANK('INVOCAÇÕES'!$W$1235),"",'INVOCAÇÕES'!$W$1235&amp;"")</f>
        <v/>
      </c>
      <c r="C4428" s="198">
        <f>"'INVOCAÇÕES'!W1157"</f>
        <v/>
      </c>
      <c r="D4428" s="198" t="inlineStr">
        <is>
          <t>resultado</t>
        </is>
      </c>
    </row>
    <row r="4429">
      <c r="A4429" s="198" t="inlineStr">
        <is>
          <t>invocacao.6.ext.3.alcance</t>
        </is>
      </c>
      <c r="B4429" s="198">
        <f>IF(ISBLANK('INVOCAÇÕES'!$U$1236),"",'INVOCAÇÕES'!$U$1236&amp;"")</f>
        <v/>
      </c>
      <c r="C4429" s="198">
        <f>"'INVOCAÇÕES'!U1158"</f>
        <v/>
      </c>
      <c r="D4429" s="198" t="inlineStr">
        <is>
          <t>resultado</t>
        </is>
      </c>
    </row>
    <row r="4430">
      <c r="A4430" s="198" t="inlineStr">
        <is>
          <t>invocacao.7.bas.1.texto</t>
        </is>
      </c>
      <c r="B4430" s="198">
        <f>IF(ISBLANK('INVOCAÇÕES'!$AB$73),"",'INVOCAÇÕES'!$AB$73&amp;"")</f>
        <v/>
      </c>
      <c r="C4430" s="198">
        <f>"'INVOCAÇÕES'!AB60"</f>
        <v/>
      </c>
      <c r="D4430" s="198" t="inlineStr">
        <is>
          <t>entrada</t>
        </is>
      </c>
    </row>
    <row r="4431">
      <c r="A4431" s="198" t="inlineStr">
        <is>
          <t>invocacao.7.bas.1.tipo_dano</t>
        </is>
      </c>
      <c r="B4431" s="198">
        <f>IF(ISBLANK('INVOCAÇÕES'!$AB$77),"",'INVOCAÇÕES'!$AB$77&amp;"")</f>
        <v/>
      </c>
      <c r="C4431" s="198">
        <f>"'INVOCAÇÕES'!AB64"</f>
        <v/>
      </c>
      <c r="D4431" s="198" t="inlineStr">
        <is>
          <t>entrada</t>
        </is>
      </c>
    </row>
    <row r="4432">
      <c r="A4432" s="198" t="inlineStr">
        <is>
          <t>invocacao.7.bas.1.resolucao_escolha</t>
        </is>
      </c>
      <c r="B4432" s="198">
        <f>IF(ISBLANK('INVOCAÇÕES'!$AD$77),"",'INVOCAÇÕES'!$AD$77&amp;"")</f>
        <v/>
      </c>
      <c r="C4432" s="198">
        <f>"'INVOCAÇÕES'!AD64"</f>
        <v/>
      </c>
      <c r="D4432" s="198" t="inlineStr">
        <is>
          <t>entrada</t>
        </is>
      </c>
    </row>
    <row r="4433">
      <c r="A4433" s="198" t="inlineStr">
        <is>
          <t>invocacao.7.bas.1.acao</t>
        </is>
      </c>
      <c r="B4433" s="198">
        <f>IF(ISBLANK('INVOCAÇÕES'!$AB$78),"",'INVOCAÇÕES'!$AB$78&amp;"")</f>
        <v/>
      </c>
      <c r="C4433" s="198">
        <f>"'INVOCAÇÕES'!AB65"</f>
        <v/>
      </c>
      <c r="D4433" s="198" t="inlineStr">
        <is>
          <t>resultado</t>
        </is>
      </c>
    </row>
    <row r="4434">
      <c r="A4434" s="198" t="inlineStr">
        <is>
          <t>invocacao.7.bas.1.resolve</t>
        </is>
      </c>
      <c r="B4434" s="198">
        <f>IF(ISBLANK('INVOCAÇÕES'!$AD$78),"",'INVOCAÇÕES'!$AD$78&amp;"")</f>
        <v/>
      </c>
      <c r="C4434" s="198">
        <f>"'INVOCAÇÕES'!AD65"</f>
        <v/>
      </c>
      <c r="D4434" s="198" t="inlineStr">
        <is>
          <t>resultado</t>
        </is>
      </c>
    </row>
    <row r="4435">
      <c r="A4435" s="198" t="inlineStr">
        <is>
          <t>invocacao.7.bas.1.alcance</t>
        </is>
      </c>
      <c r="B4435" s="198">
        <f>IF(ISBLANK('INVOCAÇÕES'!$AB$79),"",'INVOCAÇÕES'!$AB$79&amp;"")</f>
        <v/>
      </c>
      <c r="C4435" s="198">
        <f>"'INVOCAÇÕES'!AB66"</f>
        <v/>
      </c>
      <c r="D4435" s="198" t="inlineStr">
        <is>
          <t>resultado</t>
        </is>
      </c>
    </row>
    <row r="4436">
      <c r="A4436" s="198" t="inlineStr">
        <is>
          <t>invocacao.7.esp.1.texto</t>
        </is>
      </c>
      <c r="B4436" s="198">
        <f>IF(ISBLANK('INVOCAÇÕES'!$AH$73),"",'INVOCAÇÕES'!$AH$73&amp;"")</f>
        <v/>
      </c>
      <c r="C4436" s="198">
        <f>"'INVOCAÇÕES'!AH60"</f>
        <v/>
      </c>
      <c r="D4436" s="198" t="inlineStr">
        <is>
          <t>entrada</t>
        </is>
      </c>
    </row>
    <row r="4437">
      <c r="A4437" s="198" t="inlineStr">
        <is>
          <t>invocacao.7.esp.1.tipo_dano</t>
        </is>
      </c>
      <c r="B4437" s="198">
        <f>IF(ISBLANK('INVOCAÇÕES'!$AH$77),"",'INVOCAÇÕES'!$AH$77&amp;"")</f>
        <v/>
      </c>
      <c r="C4437" s="198">
        <f>"'INVOCAÇÕES'!AH64"</f>
        <v/>
      </c>
      <c r="D4437" s="198" t="inlineStr">
        <is>
          <t>entrada</t>
        </is>
      </c>
    </row>
    <row r="4438">
      <c r="A4438" s="198" t="inlineStr">
        <is>
          <t>invocacao.7.esp.1.resolucao_escolha</t>
        </is>
      </c>
      <c r="B4438" s="198">
        <f>IF(ISBLANK('INVOCAÇÕES'!$AJ$77),"",'INVOCAÇÕES'!$AJ$77&amp;"")</f>
        <v/>
      </c>
      <c r="C4438" s="198">
        <f>"'INVOCAÇÕES'!AJ64"</f>
        <v/>
      </c>
      <c r="D4438" s="198" t="inlineStr">
        <is>
          <t>entrada</t>
        </is>
      </c>
    </row>
    <row r="4439">
      <c r="A4439" s="198" t="inlineStr">
        <is>
          <t>invocacao.7.esp.1.acao</t>
        </is>
      </c>
      <c r="B4439" s="198">
        <f>IF(ISBLANK('INVOCAÇÕES'!$AH$78),"",'INVOCAÇÕES'!$AH$78&amp;"")</f>
        <v/>
      </c>
      <c r="C4439" s="198">
        <f>"'INVOCAÇÕES'!AH65"</f>
        <v/>
      </c>
      <c r="D4439" s="198" t="inlineStr">
        <is>
          <t>resultado</t>
        </is>
      </c>
    </row>
    <row r="4440">
      <c r="A4440" s="198" t="inlineStr">
        <is>
          <t>invocacao.7.esp.1.resolve</t>
        </is>
      </c>
      <c r="B4440" s="198">
        <f>IF(ISBLANK('INVOCAÇÕES'!$AJ$78),"",'INVOCAÇÕES'!$AJ$78&amp;"")</f>
        <v/>
      </c>
      <c r="C4440" s="198">
        <f>"'INVOCAÇÕES'!AJ65"</f>
        <v/>
      </c>
      <c r="D4440" s="198" t="inlineStr">
        <is>
          <t>resultado</t>
        </is>
      </c>
    </row>
    <row r="4441">
      <c r="A4441" s="198" t="inlineStr">
        <is>
          <t>invocacao.7.esp.1.alcance</t>
        </is>
      </c>
      <c r="B4441" s="198">
        <f>IF(ISBLANK('INVOCAÇÕES'!$AH$79),"",'INVOCAÇÕES'!$AH$79&amp;"")</f>
        <v/>
      </c>
      <c r="C4441" s="198">
        <f>"'INVOCAÇÕES'!AH66"</f>
        <v/>
      </c>
      <c r="D4441" s="198" t="inlineStr">
        <is>
          <t>resultado</t>
        </is>
      </c>
    </row>
    <row r="4442">
      <c r="A4442" s="198" t="inlineStr">
        <is>
          <t>invocacao.7.esp.2.texto</t>
        </is>
      </c>
      <c r="B4442" s="198">
        <f>IF(ISBLANK('INVOCAÇÕES'!$AN$73),"",'INVOCAÇÕES'!$AN$73&amp;"")</f>
        <v/>
      </c>
      <c r="C4442" s="198">
        <f>"'INVOCAÇÕES'!AN60"</f>
        <v/>
      </c>
      <c r="D4442" s="198" t="inlineStr">
        <is>
          <t>entrada</t>
        </is>
      </c>
    </row>
    <row r="4443">
      <c r="A4443" s="198" t="inlineStr">
        <is>
          <t>invocacao.7.esp.2.tipo_dano</t>
        </is>
      </c>
      <c r="B4443" s="198">
        <f>IF(ISBLANK('INVOCAÇÕES'!$AN$77),"",'INVOCAÇÕES'!$AN$77&amp;"")</f>
        <v/>
      </c>
      <c r="C4443" s="198">
        <f>"'INVOCAÇÕES'!AN64"</f>
        <v/>
      </c>
      <c r="D4443" s="198" t="inlineStr">
        <is>
          <t>entrada</t>
        </is>
      </c>
    </row>
    <row r="4444">
      <c r="A4444" s="198" t="inlineStr">
        <is>
          <t>invocacao.7.esp.2.resolucao_escolha</t>
        </is>
      </c>
      <c r="B4444" s="198">
        <f>IF(ISBLANK('INVOCAÇÕES'!$AP$77),"",'INVOCAÇÕES'!$AP$77&amp;"")</f>
        <v/>
      </c>
      <c r="C4444" s="198">
        <f>"'INVOCAÇÕES'!AP64"</f>
        <v/>
      </c>
      <c r="D4444" s="198" t="inlineStr">
        <is>
          <t>entrada</t>
        </is>
      </c>
    </row>
    <row r="4445">
      <c r="A4445" s="198" t="inlineStr">
        <is>
          <t>invocacao.7.esp.2.acao</t>
        </is>
      </c>
      <c r="B4445" s="198">
        <f>IF(ISBLANK('INVOCAÇÕES'!$AN$78),"",'INVOCAÇÕES'!$AN$78&amp;"")</f>
        <v/>
      </c>
      <c r="C4445" s="198">
        <f>"'INVOCAÇÕES'!AN65"</f>
        <v/>
      </c>
      <c r="D4445" s="198" t="inlineStr">
        <is>
          <t>resultado</t>
        </is>
      </c>
    </row>
    <row r="4446">
      <c r="A4446" s="198" t="inlineStr">
        <is>
          <t>invocacao.7.esp.2.resolve</t>
        </is>
      </c>
      <c r="B4446" s="198">
        <f>IF(ISBLANK('INVOCAÇÕES'!$AP$78),"",'INVOCAÇÕES'!$AP$78&amp;"")</f>
        <v/>
      </c>
      <c r="C4446" s="198">
        <f>"'INVOCAÇÕES'!AP65"</f>
        <v/>
      </c>
      <c r="D4446" s="198" t="inlineStr">
        <is>
          <t>resultado</t>
        </is>
      </c>
    </row>
    <row r="4447">
      <c r="A4447" s="198" t="inlineStr">
        <is>
          <t>invocacao.7.esp.2.alcance</t>
        </is>
      </c>
      <c r="B4447" s="198">
        <f>IF(ISBLANK('INVOCAÇÕES'!$AN$79),"",'INVOCAÇÕES'!$AN$79&amp;"")</f>
        <v/>
      </c>
      <c r="C4447" s="198">
        <f>"'INVOCAÇÕES'!AN66"</f>
        <v/>
      </c>
      <c r="D4447" s="198" t="inlineStr">
        <is>
          <t>resultado</t>
        </is>
      </c>
    </row>
    <row r="4448">
      <c r="A4448" s="198" t="inlineStr">
        <is>
          <t>invocacao.7.bas.2.texto</t>
        </is>
      </c>
      <c r="B4448" s="198">
        <f>IF(ISBLANK('INVOCAÇÕES'!$AB$107),"",'INVOCAÇÕES'!$AB$107&amp;"")</f>
        <v/>
      </c>
      <c r="C4448" s="198">
        <f>"'INVOCAÇÕES'!AB94"</f>
        <v/>
      </c>
      <c r="D4448" s="198" t="inlineStr">
        <is>
          <t>entrada</t>
        </is>
      </c>
    </row>
    <row r="4449">
      <c r="A4449" s="198" t="inlineStr">
        <is>
          <t>invocacao.7.bas.2.tipo_dano</t>
        </is>
      </c>
      <c r="B4449" s="198">
        <f>IF(ISBLANK('INVOCAÇÕES'!$AB$111),"",'INVOCAÇÕES'!$AB$111&amp;"")</f>
        <v/>
      </c>
      <c r="C4449" s="198">
        <f>"'INVOCAÇÕES'!AB98"</f>
        <v/>
      </c>
      <c r="D4449" s="198" t="inlineStr">
        <is>
          <t>entrada</t>
        </is>
      </c>
    </row>
    <row r="4450">
      <c r="A4450" s="198" t="inlineStr">
        <is>
          <t>invocacao.7.bas.2.resolucao_escolha</t>
        </is>
      </c>
      <c r="B4450" s="198">
        <f>IF(ISBLANK('INVOCAÇÕES'!$AD$111),"",'INVOCAÇÕES'!$AD$111&amp;"")</f>
        <v/>
      </c>
      <c r="C4450" s="198">
        <f>"'INVOCAÇÕES'!AD98"</f>
        <v/>
      </c>
      <c r="D4450" s="198" t="inlineStr">
        <is>
          <t>entrada</t>
        </is>
      </c>
    </row>
    <row r="4451">
      <c r="A4451" s="198" t="inlineStr">
        <is>
          <t>invocacao.7.bas.2.acao</t>
        </is>
      </c>
      <c r="B4451" s="198">
        <f>IF(ISBLANK('INVOCAÇÕES'!$AB$112),"",'INVOCAÇÕES'!$AB$112&amp;"")</f>
        <v/>
      </c>
      <c r="C4451" s="198">
        <f>"'INVOCAÇÕES'!AB99"</f>
        <v/>
      </c>
      <c r="D4451" s="198" t="inlineStr">
        <is>
          <t>resultado</t>
        </is>
      </c>
    </row>
    <row r="4452">
      <c r="A4452" s="198" t="inlineStr">
        <is>
          <t>invocacao.7.bas.2.resolve</t>
        </is>
      </c>
      <c r="B4452" s="198">
        <f>IF(ISBLANK('INVOCAÇÕES'!$AD$112),"",'INVOCAÇÕES'!$AD$112&amp;"")</f>
        <v/>
      </c>
      <c r="C4452" s="198">
        <f>"'INVOCAÇÕES'!AD99"</f>
        <v/>
      </c>
      <c r="D4452" s="198" t="inlineStr">
        <is>
          <t>resultado</t>
        </is>
      </c>
    </row>
    <row r="4453">
      <c r="A4453" s="198" t="inlineStr">
        <is>
          <t>invocacao.7.bas.2.alcance</t>
        </is>
      </c>
      <c r="B4453" s="198">
        <f>IF(ISBLANK('INVOCAÇÕES'!$AB$113),"",'INVOCAÇÕES'!$AB$113&amp;"")</f>
        <v/>
      </c>
      <c r="C4453" s="198">
        <f>"'INVOCAÇÕES'!AB100"</f>
        <v/>
      </c>
      <c r="D4453" s="198" t="inlineStr">
        <is>
          <t>resultado</t>
        </is>
      </c>
    </row>
    <row r="4454">
      <c r="A4454" s="198" t="inlineStr">
        <is>
          <t>invocacao.7.esp.3.texto</t>
        </is>
      </c>
      <c r="B4454" s="198">
        <f>IF(ISBLANK('INVOCAÇÕES'!$AH$107),"",'INVOCAÇÕES'!$AH$107&amp;"")</f>
        <v/>
      </c>
      <c r="C4454" s="198">
        <f>"'INVOCAÇÕES'!AH94"</f>
        <v/>
      </c>
      <c r="D4454" s="198" t="inlineStr">
        <is>
          <t>entrada</t>
        </is>
      </c>
    </row>
    <row r="4455">
      <c r="A4455" s="198" t="inlineStr">
        <is>
          <t>invocacao.7.esp.3.tipo_dano</t>
        </is>
      </c>
      <c r="B4455" s="198">
        <f>IF(ISBLANK('INVOCAÇÕES'!$AH$111),"",'INVOCAÇÕES'!$AH$111&amp;"")</f>
        <v/>
      </c>
      <c r="C4455" s="198">
        <f>"'INVOCAÇÕES'!AH98"</f>
        <v/>
      </c>
      <c r="D4455" s="198" t="inlineStr">
        <is>
          <t>entrada</t>
        </is>
      </c>
    </row>
    <row r="4456">
      <c r="A4456" s="198" t="inlineStr">
        <is>
          <t>invocacao.7.esp.3.resolucao_escolha</t>
        </is>
      </c>
      <c r="B4456" s="198">
        <f>IF(ISBLANK('INVOCAÇÕES'!$AJ$111),"",'INVOCAÇÕES'!$AJ$111&amp;"")</f>
        <v/>
      </c>
      <c r="C4456" s="198">
        <f>"'INVOCAÇÕES'!AJ98"</f>
        <v/>
      </c>
      <c r="D4456" s="198" t="inlineStr">
        <is>
          <t>entrada</t>
        </is>
      </c>
    </row>
    <row r="4457">
      <c r="A4457" s="198" t="inlineStr">
        <is>
          <t>invocacao.7.esp.3.acao</t>
        </is>
      </c>
      <c r="B4457" s="198">
        <f>IF(ISBLANK('INVOCAÇÕES'!$AH$112),"",'INVOCAÇÕES'!$AH$112&amp;"")</f>
        <v/>
      </c>
      <c r="C4457" s="198">
        <f>"'INVOCAÇÕES'!AH99"</f>
        <v/>
      </c>
      <c r="D4457" s="198" t="inlineStr">
        <is>
          <t>resultado</t>
        </is>
      </c>
    </row>
    <row r="4458">
      <c r="A4458" s="198" t="inlineStr">
        <is>
          <t>invocacao.7.esp.3.resolve</t>
        </is>
      </c>
      <c r="B4458" s="198">
        <f>IF(ISBLANK('INVOCAÇÕES'!$AJ$112),"",'INVOCAÇÕES'!$AJ$112&amp;"")</f>
        <v/>
      </c>
      <c r="C4458" s="198">
        <f>"'INVOCAÇÕES'!AJ99"</f>
        <v/>
      </c>
      <c r="D4458" s="198" t="inlineStr">
        <is>
          <t>resultado</t>
        </is>
      </c>
    </row>
    <row r="4459">
      <c r="A4459" s="198" t="inlineStr">
        <is>
          <t>invocacao.7.esp.3.alcance</t>
        </is>
      </c>
      <c r="B4459" s="198">
        <f>IF(ISBLANK('INVOCAÇÕES'!$AH$113),"",'INVOCAÇÕES'!$AH$113&amp;"")</f>
        <v/>
      </c>
      <c r="C4459" s="198">
        <f>"'INVOCAÇÕES'!AH100"</f>
        <v/>
      </c>
      <c r="D4459" s="198" t="inlineStr">
        <is>
          <t>resultado</t>
        </is>
      </c>
    </row>
    <row r="4460">
      <c r="A4460" s="198" t="inlineStr">
        <is>
          <t>invocacao.7.esp.4.texto</t>
        </is>
      </c>
      <c r="B4460" s="198">
        <f>IF(ISBLANK('INVOCAÇÕES'!$AN$107),"",'INVOCAÇÕES'!$AN$107&amp;"")</f>
        <v/>
      </c>
      <c r="C4460" s="198">
        <f>"'INVOCAÇÕES'!AN94"</f>
        <v/>
      </c>
      <c r="D4460" s="198" t="inlineStr">
        <is>
          <t>entrada</t>
        </is>
      </c>
    </row>
    <row r="4461">
      <c r="A4461" s="198" t="inlineStr">
        <is>
          <t>invocacao.7.esp.4.tipo_dano</t>
        </is>
      </c>
      <c r="B4461" s="198">
        <f>IF(ISBLANK('INVOCAÇÕES'!$AN$111),"",'INVOCAÇÕES'!$AN$111&amp;"")</f>
        <v/>
      </c>
      <c r="C4461" s="198">
        <f>"'INVOCAÇÕES'!AN98"</f>
        <v/>
      </c>
      <c r="D4461" s="198" t="inlineStr">
        <is>
          <t>entrada</t>
        </is>
      </c>
    </row>
    <row r="4462">
      <c r="A4462" s="198" t="inlineStr">
        <is>
          <t>invocacao.7.esp.4.resolucao_escolha</t>
        </is>
      </c>
      <c r="B4462" s="198">
        <f>IF(ISBLANK('INVOCAÇÕES'!$AP$111),"",'INVOCAÇÕES'!$AP$111&amp;"")</f>
        <v/>
      </c>
      <c r="C4462" s="198">
        <f>"'INVOCAÇÕES'!AP98"</f>
        <v/>
      </c>
      <c r="D4462" s="198" t="inlineStr">
        <is>
          <t>entrada</t>
        </is>
      </c>
    </row>
    <row r="4463">
      <c r="A4463" s="198" t="inlineStr">
        <is>
          <t>invocacao.7.esp.4.acao</t>
        </is>
      </c>
      <c r="B4463" s="198">
        <f>IF(ISBLANK('INVOCAÇÕES'!$AN$112),"",'INVOCAÇÕES'!$AN$112&amp;"")</f>
        <v/>
      </c>
      <c r="C4463" s="198">
        <f>"'INVOCAÇÕES'!AN99"</f>
        <v/>
      </c>
      <c r="D4463" s="198" t="inlineStr">
        <is>
          <t>resultado</t>
        </is>
      </c>
    </row>
    <row r="4464">
      <c r="A4464" s="198" t="inlineStr">
        <is>
          <t>invocacao.7.esp.4.resolve</t>
        </is>
      </c>
      <c r="B4464" s="198">
        <f>IF(ISBLANK('INVOCAÇÕES'!$AP$112),"",'INVOCAÇÕES'!$AP$112&amp;"")</f>
        <v/>
      </c>
      <c r="C4464" s="198">
        <f>"'INVOCAÇÕES'!AP99"</f>
        <v/>
      </c>
      <c r="D4464" s="198" t="inlineStr">
        <is>
          <t>resultado</t>
        </is>
      </c>
    </row>
    <row r="4465">
      <c r="A4465" s="198" t="inlineStr">
        <is>
          <t>invocacao.7.esp.4.alcance</t>
        </is>
      </c>
      <c r="B4465" s="198">
        <f>IF(ISBLANK('INVOCAÇÕES'!$AN$113),"",'INVOCAÇÕES'!$AN$113&amp;"")</f>
        <v/>
      </c>
      <c r="C4465" s="198">
        <f>"'INVOCAÇÕES'!AN100"</f>
        <v/>
      </c>
      <c r="D4465" s="198" t="inlineStr">
        <is>
          <t>resultado</t>
        </is>
      </c>
    </row>
    <row r="4466">
      <c r="A4466" s="198" t="inlineStr">
        <is>
          <t>invocacao.7.esp.5.texto</t>
        </is>
      </c>
      <c r="B4466" s="198">
        <f>IF(ISBLANK('INVOCAÇÕES'!$AB$129),"",'INVOCAÇÕES'!$AB$129&amp;"")</f>
        <v/>
      </c>
      <c r="C4466" s="198">
        <f>"'INVOCAÇÕES'!AB116"</f>
        <v/>
      </c>
      <c r="D4466" s="198" t="inlineStr">
        <is>
          <t>entrada</t>
        </is>
      </c>
    </row>
    <row r="4467">
      <c r="A4467" s="198" t="inlineStr">
        <is>
          <t>invocacao.7.esp.5.tipo_dano</t>
        </is>
      </c>
      <c r="B4467" s="198">
        <f>IF(ISBLANK('INVOCAÇÕES'!$AB$133),"",'INVOCAÇÕES'!$AB$133&amp;"")</f>
        <v/>
      </c>
      <c r="C4467" s="198">
        <f>"'INVOCAÇÕES'!AB120"</f>
        <v/>
      </c>
      <c r="D4467" s="198" t="inlineStr">
        <is>
          <t>entrada</t>
        </is>
      </c>
    </row>
    <row r="4468">
      <c r="A4468" s="198" t="inlineStr">
        <is>
          <t>invocacao.7.esp.5.resolucao_escolha</t>
        </is>
      </c>
      <c r="B4468" s="198">
        <f>IF(ISBLANK('INVOCAÇÕES'!$AD$133),"",'INVOCAÇÕES'!$AD$133&amp;"")</f>
        <v/>
      </c>
      <c r="C4468" s="198">
        <f>"'INVOCAÇÕES'!AD120"</f>
        <v/>
      </c>
      <c r="D4468" s="198" t="inlineStr">
        <is>
          <t>entrada</t>
        </is>
      </c>
    </row>
    <row r="4469">
      <c r="A4469" s="198" t="inlineStr">
        <is>
          <t>invocacao.7.esp.5.acao</t>
        </is>
      </c>
      <c r="B4469" s="198">
        <f>IF(ISBLANK('INVOCAÇÕES'!$AB$134),"",'INVOCAÇÕES'!$AB$134&amp;"")</f>
        <v/>
      </c>
      <c r="C4469" s="198">
        <f>"'INVOCAÇÕES'!AB121"</f>
        <v/>
      </c>
      <c r="D4469" s="198" t="inlineStr">
        <is>
          <t>resultado</t>
        </is>
      </c>
    </row>
    <row r="4470">
      <c r="A4470" s="198" t="inlineStr">
        <is>
          <t>invocacao.7.esp.5.resolve</t>
        </is>
      </c>
      <c r="B4470" s="198">
        <f>IF(ISBLANK('INVOCAÇÕES'!$AD$134),"",'INVOCAÇÕES'!$AD$134&amp;"")</f>
        <v/>
      </c>
      <c r="C4470" s="198">
        <f>"'INVOCAÇÕES'!AD121"</f>
        <v/>
      </c>
      <c r="D4470" s="198" t="inlineStr">
        <is>
          <t>resultado</t>
        </is>
      </c>
    </row>
    <row r="4471">
      <c r="A4471" s="198" t="inlineStr">
        <is>
          <t>invocacao.7.esp.5.alcance</t>
        </is>
      </c>
      <c r="B4471" s="198">
        <f>IF(ISBLANK('INVOCAÇÕES'!$AB$135),"",'INVOCAÇÕES'!$AB$135&amp;"")</f>
        <v/>
      </c>
      <c r="C4471" s="198">
        <f>"'INVOCAÇÕES'!AB122"</f>
        <v/>
      </c>
      <c r="D4471" s="198" t="inlineStr">
        <is>
          <t>resultado</t>
        </is>
      </c>
    </row>
    <row r="4472">
      <c r="A4472" s="198" t="inlineStr">
        <is>
          <t>invocacao.7.esp.6.texto</t>
        </is>
      </c>
      <c r="B4472" s="198">
        <f>IF(ISBLANK('INVOCAÇÕES'!$AH$129),"",'INVOCAÇÕES'!$AH$129&amp;"")</f>
        <v/>
      </c>
      <c r="C4472" s="198">
        <f>"'INVOCAÇÕES'!AH116"</f>
        <v/>
      </c>
      <c r="D4472" s="198" t="inlineStr">
        <is>
          <t>entrada</t>
        </is>
      </c>
    </row>
    <row r="4473">
      <c r="A4473" s="198" t="inlineStr">
        <is>
          <t>invocacao.7.esp.6.tipo_dano</t>
        </is>
      </c>
      <c r="B4473" s="198">
        <f>IF(ISBLANK('INVOCAÇÕES'!$AH$133),"",'INVOCAÇÕES'!$AH$133&amp;"")</f>
        <v/>
      </c>
      <c r="C4473" s="198">
        <f>"'INVOCAÇÕES'!AH120"</f>
        <v/>
      </c>
      <c r="D4473" s="198" t="inlineStr">
        <is>
          <t>entrada</t>
        </is>
      </c>
    </row>
    <row r="4474">
      <c r="A4474" s="198" t="inlineStr">
        <is>
          <t>invocacao.7.esp.6.resolucao_escolha</t>
        </is>
      </c>
      <c r="B4474" s="198">
        <f>IF(ISBLANK('INVOCAÇÕES'!$AJ$133),"",'INVOCAÇÕES'!$AJ$133&amp;"")</f>
        <v/>
      </c>
      <c r="C4474" s="198">
        <f>"'INVOCAÇÕES'!AJ120"</f>
        <v/>
      </c>
      <c r="D4474" s="198" t="inlineStr">
        <is>
          <t>entrada</t>
        </is>
      </c>
    </row>
    <row r="4475">
      <c r="A4475" s="198" t="inlineStr">
        <is>
          <t>invocacao.7.esp.6.acao</t>
        </is>
      </c>
      <c r="B4475" s="198">
        <f>IF(ISBLANK('INVOCAÇÕES'!$AH$134),"",'INVOCAÇÕES'!$AH$134&amp;"")</f>
        <v/>
      </c>
      <c r="C4475" s="198">
        <f>"'INVOCAÇÕES'!AH121"</f>
        <v/>
      </c>
      <c r="D4475" s="198" t="inlineStr">
        <is>
          <t>resultado</t>
        </is>
      </c>
    </row>
    <row r="4476">
      <c r="A4476" s="198" t="inlineStr">
        <is>
          <t>invocacao.7.esp.6.resolve</t>
        </is>
      </c>
      <c r="B4476" s="198">
        <f>IF(ISBLANK('INVOCAÇÕES'!$AJ$134),"",'INVOCAÇÕES'!$AJ$134&amp;"")</f>
        <v/>
      </c>
      <c r="C4476" s="198">
        <f>"'INVOCAÇÕES'!AJ121"</f>
        <v/>
      </c>
      <c r="D4476" s="198" t="inlineStr">
        <is>
          <t>resultado</t>
        </is>
      </c>
    </row>
    <row r="4477">
      <c r="A4477" s="198" t="inlineStr">
        <is>
          <t>invocacao.7.esp.6.alcance</t>
        </is>
      </c>
      <c r="B4477" s="198">
        <f>IF(ISBLANK('INVOCAÇÕES'!$AH$135),"",'INVOCAÇÕES'!$AH$135&amp;"")</f>
        <v/>
      </c>
      <c r="C4477" s="198">
        <f>"'INVOCAÇÕES'!AH122"</f>
        <v/>
      </c>
      <c r="D4477" s="198" t="inlineStr">
        <is>
          <t>resultado</t>
        </is>
      </c>
    </row>
    <row r="4478">
      <c r="A4478" s="198" t="inlineStr">
        <is>
          <t>invocacao.7.esp.7.texto</t>
        </is>
      </c>
      <c r="B4478" s="198">
        <f>IF(ISBLANK('INVOCAÇÕES'!$AN$129),"",'INVOCAÇÕES'!$AN$129&amp;"")</f>
        <v/>
      </c>
      <c r="C4478" s="198">
        <f>"'INVOCAÇÕES'!AN116"</f>
        <v/>
      </c>
      <c r="D4478" s="198" t="inlineStr">
        <is>
          <t>entrada</t>
        </is>
      </c>
    </row>
    <row r="4479">
      <c r="A4479" s="198" t="inlineStr">
        <is>
          <t>invocacao.7.esp.7.tipo_dano</t>
        </is>
      </c>
      <c r="B4479" s="198">
        <f>IF(ISBLANK('INVOCAÇÕES'!$AN$133),"",'INVOCAÇÕES'!$AN$133&amp;"")</f>
        <v/>
      </c>
      <c r="C4479" s="198">
        <f>"'INVOCAÇÕES'!AN120"</f>
        <v/>
      </c>
      <c r="D4479" s="198" t="inlineStr">
        <is>
          <t>entrada</t>
        </is>
      </c>
    </row>
    <row r="4480">
      <c r="A4480" s="198" t="inlineStr">
        <is>
          <t>invocacao.7.esp.7.resolucao_escolha</t>
        </is>
      </c>
      <c r="B4480" s="198">
        <f>IF(ISBLANK('INVOCAÇÕES'!$AP$133),"",'INVOCAÇÕES'!$AP$133&amp;"")</f>
        <v/>
      </c>
      <c r="C4480" s="198">
        <f>"'INVOCAÇÕES'!AP120"</f>
        <v/>
      </c>
      <c r="D4480" s="198" t="inlineStr">
        <is>
          <t>entrada</t>
        </is>
      </c>
    </row>
    <row r="4481">
      <c r="A4481" s="198" t="inlineStr">
        <is>
          <t>invocacao.7.esp.7.acao</t>
        </is>
      </c>
      <c r="B4481" s="198">
        <f>IF(ISBLANK('INVOCAÇÕES'!$AN$134),"",'INVOCAÇÕES'!$AN$134&amp;"")</f>
        <v/>
      </c>
      <c r="C4481" s="198">
        <f>"'INVOCAÇÕES'!AN121"</f>
        <v/>
      </c>
      <c r="D4481" s="198" t="inlineStr">
        <is>
          <t>resultado</t>
        </is>
      </c>
    </row>
    <row r="4482">
      <c r="A4482" s="198" t="inlineStr">
        <is>
          <t>invocacao.7.esp.7.resolve</t>
        </is>
      </c>
      <c r="B4482" s="198">
        <f>IF(ISBLANK('INVOCAÇÕES'!$AP$134),"",'INVOCAÇÕES'!$AP$134&amp;"")</f>
        <v/>
      </c>
      <c r="C4482" s="198">
        <f>"'INVOCAÇÕES'!AP121"</f>
        <v/>
      </c>
      <c r="D4482" s="198" t="inlineStr">
        <is>
          <t>resultado</t>
        </is>
      </c>
    </row>
    <row r="4483">
      <c r="A4483" s="198" t="inlineStr">
        <is>
          <t>invocacao.7.esp.7.alcance</t>
        </is>
      </c>
      <c r="B4483" s="198">
        <f>IF(ISBLANK('INVOCAÇÕES'!$AN$135),"",'INVOCAÇÕES'!$AN$135&amp;"")</f>
        <v/>
      </c>
      <c r="C4483" s="198">
        <f>"'INVOCAÇÕES'!AN122"</f>
        <v/>
      </c>
      <c r="D4483" s="198" t="inlineStr">
        <is>
          <t>resultado</t>
        </is>
      </c>
    </row>
    <row r="4484">
      <c r="A4484" s="198" t="inlineStr">
        <is>
          <t>invocacao.7.esp.8.texto</t>
        </is>
      </c>
      <c r="B4484" s="198">
        <f>IF(ISBLANK('INVOCAÇÕES'!$AB$151),"",'INVOCAÇÕES'!$AB$151&amp;"")</f>
        <v/>
      </c>
      <c r="C4484" s="198">
        <f>"'INVOCAÇÕES'!AB138"</f>
        <v/>
      </c>
      <c r="D4484" s="198" t="inlineStr">
        <is>
          <t>entrada</t>
        </is>
      </c>
    </row>
    <row r="4485">
      <c r="A4485" s="198" t="inlineStr">
        <is>
          <t>invocacao.7.esp.8.tipo_dano</t>
        </is>
      </c>
      <c r="B4485" s="198">
        <f>IF(ISBLANK('INVOCAÇÕES'!$AB$155),"",'INVOCAÇÕES'!$AB$155&amp;"")</f>
        <v/>
      </c>
      <c r="C4485" s="198">
        <f>"'INVOCAÇÕES'!AB142"</f>
        <v/>
      </c>
      <c r="D4485" s="198" t="inlineStr">
        <is>
          <t>entrada</t>
        </is>
      </c>
    </row>
    <row r="4486">
      <c r="A4486" s="198" t="inlineStr">
        <is>
          <t>invocacao.7.esp.8.resolucao_escolha</t>
        </is>
      </c>
      <c r="B4486" s="198">
        <f>IF(ISBLANK('INVOCAÇÕES'!$AD$155),"",'INVOCAÇÕES'!$AD$155&amp;"")</f>
        <v/>
      </c>
      <c r="C4486" s="198">
        <f>"'INVOCAÇÕES'!AD142"</f>
        <v/>
      </c>
      <c r="D4486" s="198" t="inlineStr">
        <is>
          <t>entrada</t>
        </is>
      </c>
    </row>
    <row r="4487">
      <c r="A4487" s="198" t="inlineStr">
        <is>
          <t>invocacao.7.esp.8.acao</t>
        </is>
      </c>
      <c r="B4487" s="198">
        <f>IF(ISBLANK('INVOCAÇÕES'!$AB$156),"",'INVOCAÇÕES'!$AB$156&amp;"")</f>
        <v/>
      </c>
      <c r="C4487" s="198">
        <f>"'INVOCAÇÕES'!AB143"</f>
        <v/>
      </c>
      <c r="D4487" s="198" t="inlineStr">
        <is>
          <t>resultado</t>
        </is>
      </c>
    </row>
    <row r="4488">
      <c r="A4488" s="198" t="inlineStr">
        <is>
          <t>invocacao.7.esp.8.resolve</t>
        </is>
      </c>
      <c r="B4488" s="198">
        <f>IF(ISBLANK('INVOCAÇÕES'!$AD$156),"",'INVOCAÇÕES'!$AD$156&amp;"")</f>
        <v/>
      </c>
      <c r="C4488" s="198">
        <f>"'INVOCAÇÕES'!AD143"</f>
        <v/>
      </c>
      <c r="D4488" s="198" t="inlineStr">
        <is>
          <t>resultado</t>
        </is>
      </c>
    </row>
    <row r="4489">
      <c r="A4489" s="198" t="inlineStr">
        <is>
          <t>invocacao.7.esp.8.alcance</t>
        </is>
      </c>
      <c r="B4489" s="198">
        <f>IF(ISBLANK('INVOCAÇÕES'!$AB$157),"",'INVOCAÇÕES'!$AB$157&amp;"")</f>
        <v/>
      </c>
      <c r="C4489" s="198">
        <f>"'INVOCAÇÕES'!AB144"</f>
        <v/>
      </c>
      <c r="D4489" s="198" t="inlineStr">
        <is>
          <t>resultado</t>
        </is>
      </c>
    </row>
    <row r="4490">
      <c r="A4490" s="198" t="inlineStr">
        <is>
          <t>invocacao.7.ext.1.texto</t>
        </is>
      </c>
      <c r="B4490" s="198">
        <f>IF(ISBLANK('INVOCAÇÕES'!$AB$175),"",'INVOCAÇÕES'!$AB$175&amp;"")</f>
        <v/>
      </c>
      <c r="C4490" s="198">
        <f>"'INVOCAÇÕES'!AB162"</f>
        <v/>
      </c>
      <c r="D4490" s="198" t="inlineStr">
        <is>
          <t>entrada</t>
        </is>
      </c>
    </row>
    <row r="4491">
      <c r="A4491" s="198" t="inlineStr">
        <is>
          <t>invocacao.7.ext.1.tipo_dano</t>
        </is>
      </c>
      <c r="B4491" s="198">
        <f>IF(ISBLANK('INVOCAÇÕES'!$AB$179),"",'INVOCAÇÕES'!$AB$179&amp;"")</f>
        <v/>
      </c>
      <c r="C4491" s="198">
        <f>"'INVOCAÇÕES'!AB166"</f>
        <v/>
      </c>
      <c r="D4491" s="198" t="inlineStr">
        <is>
          <t>entrada</t>
        </is>
      </c>
    </row>
    <row r="4492">
      <c r="A4492" s="198" t="inlineStr">
        <is>
          <t>invocacao.7.ext.1.resolucao_escolha</t>
        </is>
      </c>
      <c r="B4492" s="198">
        <f>IF(ISBLANK('INVOCAÇÕES'!$AD$179),"",'INVOCAÇÕES'!$AD$179&amp;"")</f>
        <v/>
      </c>
      <c r="C4492" s="198">
        <f>"'INVOCAÇÕES'!AD166"</f>
        <v/>
      </c>
      <c r="D4492" s="198" t="inlineStr">
        <is>
          <t>entrada</t>
        </is>
      </c>
    </row>
    <row r="4493">
      <c r="A4493" s="198" t="inlineStr">
        <is>
          <t>invocacao.7.ext.1.acao</t>
        </is>
      </c>
      <c r="B4493" s="198">
        <f>IF(ISBLANK('INVOCAÇÕES'!$AB$180),"",'INVOCAÇÕES'!$AB$180&amp;"")</f>
        <v/>
      </c>
      <c r="C4493" s="198">
        <f>"'INVOCAÇÕES'!AB167"</f>
        <v/>
      </c>
      <c r="D4493" s="198" t="inlineStr">
        <is>
          <t>resultado</t>
        </is>
      </c>
    </row>
    <row r="4494">
      <c r="A4494" s="198" t="inlineStr">
        <is>
          <t>invocacao.7.ext.1.resolve</t>
        </is>
      </c>
      <c r="B4494" s="198">
        <f>IF(ISBLANK('INVOCAÇÕES'!$AD$180),"",'INVOCAÇÕES'!$AD$180&amp;"")</f>
        <v/>
      </c>
      <c r="C4494" s="198">
        <f>"'INVOCAÇÕES'!AD167"</f>
        <v/>
      </c>
      <c r="D4494" s="198" t="inlineStr">
        <is>
          <t>resultado</t>
        </is>
      </c>
    </row>
    <row r="4495">
      <c r="A4495" s="198" t="inlineStr">
        <is>
          <t>invocacao.7.ext.1.alcance</t>
        </is>
      </c>
      <c r="B4495" s="198">
        <f>IF(ISBLANK('INVOCAÇÕES'!$AB$181),"",'INVOCAÇÕES'!$AB$181&amp;"")</f>
        <v/>
      </c>
      <c r="C4495" s="198">
        <f>"'INVOCAÇÕES'!AB168"</f>
        <v/>
      </c>
      <c r="D4495" s="198" t="inlineStr">
        <is>
          <t>resultado</t>
        </is>
      </c>
    </row>
    <row r="4496">
      <c r="A4496" s="198" t="inlineStr">
        <is>
          <t>invocacao.7.ext.2.texto</t>
        </is>
      </c>
      <c r="B4496" s="198">
        <f>IF(ISBLANK('INVOCAÇÕES'!$AH$175),"",'INVOCAÇÕES'!$AH$175&amp;"")</f>
        <v/>
      </c>
      <c r="C4496" s="198">
        <f>"'INVOCAÇÕES'!AH162"</f>
        <v/>
      </c>
      <c r="D4496" s="198" t="inlineStr">
        <is>
          <t>entrada</t>
        </is>
      </c>
    </row>
    <row r="4497">
      <c r="A4497" s="198" t="inlineStr">
        <is>
          <t>invocacao.7.ext.2.tipo_dano</t>
        </is>
      </c>
      <c r="B4497" s="198">
        <f>IF(ISBLANK('INVOCAÇÕES'!$AH$179),"",'INVOCAÇÕES'!$AH$179&amp;"")</f>
        <v/>
      </c>
      <c r="C4497" s="198">
        <f>"'INVOCAÇÕES'!AH166"</f>
        <v/>
      </c>
      <c r="D4497" s="198" t="inlineStr">
        <is>
          <t>entrada</t>
        </is>
      </c>
    </row>
    <row r="4498">
      <c r="A4498" s="198" t="inlineStr">
        <is>
          <t>invocacao.7.ext.2.resolucao_escolha</t>
        </is>
      </c>
      <c r="B4498" s="198">
        <f>IF(ISBLANK('INVOCAÇÕES'!$AJ$179),"",'INVOCAÇÕES'!$AJ$179&amp;"")</f>
        <v/>
      </c>
      <c r="C4498" s="198">
        <f>"'INVOCAÇÕES'!AJ166"</f>
        <v/>
      </c>
      <c r="D4498" s="198" t="inlineStr">
        <is>
          <t>entrada</t>
        </is>
      </c>
    </row>
    <row r="4499">
      <c r="A4499" s="198" t="inlineStr">
        <is>
          <t>invocacao.7.ext.2.acao</t>
        </is>
      </c>
      <c r="B4499" s="198">
        <f>IF(ISBLANK('INVOCAÇÕES'!$AH$180),"",'INVOCAÇÕES'!$AH$180&amp;"")</f>
        <v/>
      </c>
      <c r="C4499" s="198">
        <f>"'INVOCAÇÕES'!AH167"</f>
        <v/>
      </c>
      <c r="D4499" s="198" t="inlineStr">
        <is>
          <t>resultado</t>
        </is>
      </c>
    </row>
    <row r="4500">
      <c r="A4500" s="198" t="inlineStr">
        <is>
          <t>invocacao.7.ext.2.resolve</t>
        </is>
      </c>
      <c r="B4500" s="198">
        <f>IF(ISBLANK('INVOCAÇÕES'!$AJ$180),"",'INVOCAÇÕES'!$AJ$180&amp;"")</f>
        <v/>
      </c>
      <c r="C4500" s="198">
        <f>"'INVOCAÇÕES'!AJ167"</f>
        <v/>
      </c>
      <c r="D4500" s="198" t="inlineStr">
        <is>
          <t>resultado</t>
        </is>
      </c>
    </row>
    <row r="4501">
      <c r="A4501" s="198" t="inlineStr">
        <is>
          <t>invocacao.7.ext.2.alcance</t>
        </is>
      </c>
      <c r="B4501" s="198">
        <f>IF(ISBLANK('INVOCAÇÕES'!$AH$181),"",'INVOCAÇÕES'!$AH$181&amp;"")</f>
        <v/>
      </c>
      <c r="C4501" s="198">
        <f>"'INVOCAÇÕES'!AH168"</f>
        <v/>
      </c>
      <c r="D4501" s="198" t="inlineStr">
        <is>
          <t>resultado</t>
        </is>
      </c>
    </row>
    <row r="4502">
      <c r="A4502" s="198" t="inlineStr">
        <is>
          <t>invocacao.7.ext.3.texto</t>
        </is>
      </c>
      <c r="B4502" s="198">
        <f>IF(ISBLANK('INVOCAÇÕES'!$AN$175),"",'INVOCAÇÕES'!$AN$175&amp;"")</f>
        <v/>
      </c>
      <c r="C4502" s="198">
        <f>"'INVOCAÇÕES'!AN162"</f>
        <v/>
      </c>
      <c r="D4502" s="198" t="inlineStr">
        <is>
          <t>entrada</t>
        </is>
      </c>
    </row>
    <row r="4503">
      <c r="A4503" s="198" t="inlineStr">
        <is>
          <t>invocacao.7.ext.3.tipo_dano</t>
        </is>
      </c>
      <c r="B4503" s="198">
        <f>IF(ISBLANK('INVOCAÇÕES'!$AN$179),"",'INVOCAÇÕES'!$AN$179&amp;"")</f>
        <v/>
      </c>
      <c r="C4503" s="198">
        <f>"'INVOCAÇÕES'!AN166"</f>
        <v/>
      </c>
      <c r="D4503" s="198" t="inlineStr">
        <is>
          <t>entrada</t>
        </is>
      </c>
    </row>
    <row r="4504">
      <c r="A4504" s="198" t="inlineStr">
        <is>
          <t>invocacao.7.ext.3.resolucao_escolha</t>
        </is>
      </c>
      <c r="B4504" s="198">
        <f>IF(ISBLANK('INVOCAÇÕES'!$AP$179),"",'INVOCAÇÕES'!$AP$179&amp;"")</f>
        <v/>
      </c>
      <c r="C4504" s="198">
        <f>"'INVOCAÇÕES'!AP166"</f>
        <v/>
      </c>
      <c r="D4504" s="198" t="inlineStr">
        <is>
          <t>entrada</t>
        </is>
      </c>
    </row>
    <row r="4505">
      <c r="A4505" s="198" t="inlineStr">
        <is>
          <t>invocacao.7.ext.3.acao</t>
        </is>
      </c>
      <c r="B4505" s="198">
        <f>IF(ISBLANK('INVOCAÇÕES'!$AN$180),"",'INVOCAÇÕES'!$AN$180&amp;"")</f>
        <v/>
      </c>
      <c r="C4505" s="198">
        <f>"'INVOCAÇÕES'!AN167"</f>
        <v/>
      </c>
      <c r="D4505" s="198" t="inlineStr">
        <is>
          <t>resultado</t>
        </is>
      </c>
    </row>
    <row r="4506">
      <c r="A4506" s="198" t="inlineStr">
        <is>
          <t>invocacao.7.ext.3.resolve</t>
        </is>
      </c>
      <c r="B4506" s="198">
        <f>IF(ISBLANK('INVOCAÇÕES'!$AP$180),"",'INVOCAÇÕES'!$AP$180&amp;"")</f>
        <v/>
      </c>
      <c r="C4506" s="198">
        <f>"'INVOCAÇÕES'!AP167"</f>
        <v/>
      </c>
      <c r="D4506" s="198" t="inlineStr">
        <is>
          <t>resultado</t>
        </is>
      </c>
    </row>
    <row r="4507">
      <c r="A4507" s="198" t="inlineStr">
        <is>
          <t>invocacao.7.ext.3.alcance</t>
        </is>
      </c>
      <c r="B4507" s="198">
        <f>IF(ISBLANK('INVOCAÇÕES'!$AN$181),"",'INVOCAÇÕES'!$AN$181&amp;"")</f>
        <v/>
      </c>
      <c r="C4507" s="198">
        <f>"'INVOCAÇÕES'!AN168"</f>
        <v/>
      </c>
      <c r="D4507" s="198" t="inlineStr">
        <is>
          <t>resultado</t>
        </is>
      </c>
    </row>
    <row r="4508">
      <c r="A4508" s="198" t="inlineStr">
        <is>
          <t>invocacao.8.bas.1.texto</t>
        </is>
      </c>
      <c r="B4508" s="198">
        <f>IF(ISBLANK('INVOCAÇÕES'!$AB$284),"",'INVOCAÇÕES'!$AB$284&amp;"")</f>
        <v/>
      </c>
      <c r="C4508" s="198">
        <f>"'INVOCAÇÕES'!AB258"</f>
        <v/>
      </c>
      <c r="D4508" s="198" t="inlineStr">
        <is>
          <t>entrada</t>
        </is>
      </c>
    </row>
    <row r="4509">
      <c r="A4509" s="198" t="inlineStr">
        <is>
          <t>invocacao.8.bas.1.tipo_dano</t>
        </is>
      </c>
      <c r="B4509" s="198">
        <f>IF(ISBLANK('INVOCAÇÕES'!$AB$288),"",'INVOCAÇÕES'!$AB$288&amp;"")</f>
        <v/>
      </c>
      <c r="C4509" s="198">
        <f>"'INVOCAÇÕES'!AB262"</f>
        <v/>
      </c>
      <c r="D4509" s="198" t="inlineStr">
        <is>
          <t>entrada</t>
        </is>
      </c>
    </row>
    <row r="4510">
      <c r="A4510" s="198" t="inlineStr">
        <is>
          <t>invocacao.8.bas.1.resolucao_escolha</t>
        </is>
      </c>
      <c r="B4510" s="198">
        <f>IF(ISBLANK('INVOCAÇÕES'!$AD$288),"",'INVOCAÇÕES'!$AD$288&amp;"")</f>
        <v/>
      </c>
      <c r="C4510" s="198">
        <f>"'INVOCAÇÕES'!AD262"</f>
        <v/>
      </c>
      <c r="D4510" s="198" t="inlineStr">
        <is>
          <t>entrada</t>
        </is>
      </c>
    </row>
    <row r="4511">
      <c r="A4511" s="198" t="inlineStr">
        <is>
          <t>invocacao.8.bas.1.acao</t>
        </is>
      </c>
      <c r="B4511" s="198">
        <f>IF(ISBLANK('INVOCAÇÕES'!$AB$289),"",'INVOCAÇÕES'!$AB$289&amp;"")</f>
        <v/>
      </c>
      <c r="C4511" s="198">
        <f>"'INVOCAÇÕES'!AB263"</f>
        <v/>
      </c>
      <c r="D4511" s="198" t="inlineStr">
        <is>
          <t>resultado</t>
        </is>
      </c>
    </row>
    <row r="4512">
      <c r="A4512" s="198" t="inlineStr">
        <is>
          <t>invocacao.8.bas.1.resolve</t>
        </is>
      </c>
      <c r="B4512" s="198">
        <f>IF(ISBLANK('INVOCAÇÕES'!$AD$289),"",'INVOCAÇÕES'!$AD$289&amp;"")</f>
        <v/>
      </c>
      <c r="C4512" s="198">
        <f>"'INVOCAÇÕES'!AD263"</f>
        <v/>
      </c>
      <c r="D4512" s="198" t="inlineStr">
        <is>
          <t>resultado</t>
        </is>
      </c>
    </row>
    <row r="4513">
      <c r="A4513" s="198" t="inlineStr">
        <is>
          <t>invocacao.8.bas.1.alcance</t>
        </is>
      </c>
      <c r="B4513" s="198">
        <f>IF(ISBLANK('INVOCAÇÕES'!$AB$290),"",'INVOCAÇÕES'!$AB$290&amp;"")</f>
        <v/>
      </c>
      <c r="C4513" s="198">
        <f>"'INVOCAÇÕES'!AB264"</f>
        <v/>
      </c>
      <c r="D4513" s="198" t="inlineStr">
        <is>
          <t>resultado</t>
        </is>
      </c>
    </row>
    <row r="4514">
      <c r="A4514" s="198" t="inlineStr">
        <is>
          <t>invocacao.8.esp.1.texto</t>
        </is>
      </c>
      <c r="B4514" s="198">
        <f>IF(ISBLANK('INVOCAÇÕES'!$AH$284),"",'INVOCAÇÕES'!$AH$284&amp;"")</f>
        <v/>
      </c>
      <c r="C4514" s="198">
        <f>"'INVOCAÇÕES'!AH258"</f>
        <v/>
      </c>
      <c r="D4514" s="198" t="inlineStr">
        <is>
          <t>entrada</t>
        </is>
      </c>
    </row>
    <row r="4515">
      <c r="A4515" s="198" t="inlineStr">
        <is>
          <t>invocacao.8.esp.1.tipo_dano</t>
        </is>
      </c>
      <c r="B4515" s="198">
        <f>IF(ISBLANK('INVOCAÇÕES'!$AH$288),"",'INVOCAÇÕES'!$AH$288&amp;"")</f>
        <v/>
      </c>
      <c r="C4515" s="198">
        <f>"'INVOCAÇÕES'!AH262"</f>
        <v/>
      </c>
      <c r="D4515" s="198" t="inlineStr">
        <is>
          <t>entrada</t>
        </is>
      </c>
    </row>
    <row r="4516">
      <c r="A4516" s="198" t="inlineStr">
        <is>
          <t>invocacao.8.esp.1.resolucao_escolha</t>
        </is>
      </c>
      <c r="B4516" s="198">
        <f>IF(ISBLANK('INVOCAÇÕES'!$AJ$288),"",'INVOCAÇÕES'!$AJ$288&amp;"")</f>
        <v/>
      </c>
      <c r="C4516" s="198">
        <f>"'INVOCAÇÕES'!AJ262"</f>
        <v/>
      </c>
      <c r="D4516" s="198" t="inlineStr">
        <is>
          <t>entrada</t>
        </is>
      </c>
    </row>
    <row r="4517">
      <c r="A4517" s="198" t="inlineStr">
        <is>
          <t>invocacao.8.esp.1.acao</t>
        </is>
      </c>
      <c r="B4517" s="198">
        <f>IF(ISBLANK('INVOCAÇÕES'!$AH$289),"",'INVOCAÇÕES'!$AH$289&amp;"")</f>
        <v/>
      </c>
      <c r="C4517" s="198">
        <f>"'INVOCAÇÕES'!AH263"</f>
        <v/>
      </c>
      <c r="D4517" s="198" t="inlineStr">
        <is>
          <t>resultado</t>
        </is>
      </c>
    </row>
    <row r="4518">
      <c r="A4518" s="198" t="inlineStr">
        <is>
          <t>invocacao.8.esp.1.resolve</t>
        </is>
      </c>
      <c r="B4518" s="198">
        <f>IF(ISBLANK('INVOCAÇÕES'!$AJ$289),"",'INVOCAÇÕES'!$AJ$289&amp;"")</f>
        <v/>
      </c>
      <c r="C4518" s="198">
        <f>"'INVOCAÇÕES'!AJ263"</f>
        <v/>
      </c>
      <c r="D4518" s="198" t="inlineStr">
        <is>
          <t>resultado</t>
        </is>
      </c>
    </row>
    <row r="4519">
      <c r="A4519" s="198" t="inlineStr">
        <is>
          <t>invocacao.8.esp.1.alcance</t>
        </is>
      </c>
      <c r="B4519" s="198">
        <f>IF(ISBLANK('INVOCAÇÕES'!$AH$290),"",'INVOCAÇÕES'!$AH$290&amp;"")</f>
        <v/>
      </c>
      <c r="C4519" s="198">
        <f>"'INVOCAÇÕES'!AH264"</f>
        <v/>
      </c>
      <c r="D4519" s="198" t="inlineStr">
        <is>
          <t>resultado</t>
        </is>
      </c>
    </row>
    <row r="4520">
      <c r="A4520" s="198" t="inlineStr">
        <is>
          <t>invocacao.8.esp.2.texto</t>
        </is>
      </c>
      <c r="B4520" s="198">
        <f>IF(ISBLANK('INVOCAÇÕES'!$AN$284),"",'INVOCAÇÕES'!$AN$284&amp;"")</f>
        <v/>
      </c>
      <c r="C4520" s="198">
        <f>"'INVOCAÇÕES'!AN258"</f>
        <v/>
      </c>
      <c r="D4520" s="198" t="inlineStr">
        <is>
          <t>entrada</t>
        </is>
      </c>
    </row>
    <row r="4521">
      <c r="A4521" s="198" t="inlineStr">
        <is>
          <t>invocacao.8.esp.2.tipo_dano</t>
        </is>
      </c>
      <c r="B4521" s="198">
        <f>IF(ISBLANK('INVOCAÇÕES'!$AN$288),"",'INVOCAÇÕES'!$AN$288&amp;"")</f>
        <v/>
      </c>
      <c r="C4521" s="198">
        <f>"'INVOCAÇÕES'!AN262"</f>
        <v/>
      </c>
      <c r="D4521" s="198" t="inlineStr">
        <is>
          <t>entrada</t>
        </is>
      </c>
    </row>
    <row r="4522">
      <c r="A4522" s="198" t="inlineStr">
        <is>
          <t>invocacao.8.esp.2.resolucao_escolha</t>
        </is>
      </c>
      <c r="B4522" s="198">
        <f>IF(ISBLANK('INVOCAÇÕES'!$AP$288),"",'INVOCAÇÕES'!$AP$288&amp;"")</f>
        <v/>
      </c>
      <c r="C4522" s="198">
        <f>"'INVOCAÇÕES'!AP262"</f>
        <v/>
      </c>
      <c r="D4522" s="198" t="inlineStr">
        <is>
          <t>entrada</t>
        </is>
      </c>
    </row>
    <row r="4523">
      <c r="A4523" s="198" t="inlineStr">
        <is>
          <t>invocacao.8.esp.2.acao</t>
        </is>
      </c>
      <c r="B4523" s="198">
        <f>IF(ISBLANK('INVOCAÇÕES'!$AN$289),"",'INVOCAÇÕES'!$AN$289&amp;"")</f>
        <v/>
      </c>
      <c r="C4523" s="198">
        <f>"'INVOCAÇÕES'!AN263"</f>
        <v/>
      </c>
      <c r="D4523" s="198" t="inlineStr">
        <is>
          <t>resultado</t>
        </is>
      </c>
    </row>
    <row r="4524">
      <c r="A4524" s="198" t="inlineStr">
        <is>
          <t>invocacao.8.esp.2.resolve</t>
        </is>
      </c>
      <c r="B4524" s="198">
        <f>IF(ISBLANK('INVOCAÇÕES'!$AP$289),"",'INVOCAÇÕES'!$AP$289&amp;"")</f>
        <v/>
      </c>
      <c r="C4524" s="198">
        <f>"'INVOCAÇÕES'!AP263"</f>
        <v/>
      </c>
      <c r="D4524" s="198" t="inlineStr">
        <is>
          <t>resultado</t>
        </is>
      </c>
    </row>
    <row r="4525">
      <c r="A4525" s="198" t="inlineStr">
        <is>
          <t>invocacao.8.esp.2.alcance</t>
        </is>
      </c>
      <c r="B4525" s="198">
        <f>IF(ISBLANK('INVOCAÇÕES'!$AN$290),"",'INVOCAÇÕES'!$AN$290&amp;"")</f>
        <v/>
      </c>
      <c r="C4525" s="198">
        <f>"'INVOCAÇÕES'!AN264"</f>
        <v/>
      </c>
      <c r="D4525" s="198" t="inlineStr">
        <is>
          <t>resultado</t>
        </is>
      </c>
    </row>
    <row r="4526">
      <c r="A4526" s="198" t="inlineStr">
        <is>
          <t>invocacao.8.bas.2.texto</t>
        </is>
      </c>
      <c r="B4526" s="198">
        <f>IF(ISBLANK('INVOCAÇÕES'!$AB$318),"",'INVOCAÇÕES'!$AB$318&amp;"")</f>
        <v/>
      </c>
      <c r="C4526" s="198">
        <f>"'INVOCAÇÕES'!AB292"</f>
        <v/>
      </c>
      <c r="D4526" s="198" t="inlineStr">
        <is>
          <t>entrada</t>
        </is>
      </c>
    </row>
    <row r="4527">
      <c r="A4527" s="198" t="inlineStr">
        <is>
          <t>invocacao.8.bas.2.tipo_dano</t>
        </is>
      </c>
      <c r="B4527" s="198">
        <f>IF(ISBLANK('INVOCAÇÕES'!$AB$322),"",'INVOCAÇÕES'!$AB$322&amp;"")</f>
        <v/>
      </c>
      <c r="C4527" s="198">
        <f>"'INVOCAÇÕES'!AB296"</f>
        <v/>
      </c>
      <c r="D4527" s="198" t="inlineStr">
        <is>
          <t>entrada</t>
        </is>
      </c>
    </row>
    <row r="4528">
      <c r="A4528" s="198" t="inlineStr">
        <is>
          <t>invocacao.8.bas.2.resolucao_escolha</t>
        </is>
      </c>
      <c r="B4528" s="198">
        <f>IF(ISBLANK('INVOCAÇÕES'!$AD$322),"",'INVOCAÇÕES'!$AD$322&amp;"")</f>
        <v/>
      </c>
      <c r="C4528" s="198">
        <f>"'INVOCAÇÕES'!AD296"</f>
        <v/>
      </c>
      <c r="D4528" s="198" t="inlineStr">
        <is>
          <t>entrada</t>
        </is>
      </c>
    </row>
    <row r="4529">
      <c r="A4529" s="198" t="inlineStr">
        <is>
          <t>invocacao.8.bas.2.acao</t>
        </is>
      </c>
      <c r="B4529" s="198">
        <f>IF(ISBLANK('INVOCAÇÕES'!$AB$323),"",'INVOCAÇÕES'!$AB$323&amp;"")</f>
        <v/>
      </c>
      <c r="C4529" s="198">
        <f>"'INVOCAÇÕES'!AB297"</f>
        <v/>
      </c>
      <c r="D4529" s="198" t="inlineStr">
        <is>
          <t>resultado</t>
        </is>
      </c>
    </row>
    <row r="4530">
      <c r="A4530" s="198" t="inlineStr">
        <is>
          <t>invocacao.8.bas.2.resolve</t>
        </is>
      </c>
      <c r="B4530" s="198">
        <f>IF(ISBLANK('INVOCAÇÕES'!$AD$323),"",'INVOCAÇÕES'!$AD$323&amp;"")</f>
        <v/>
      </c>
      <c r="C4530" s="198">
        <f>"'INVOCAÇÕES'!AD297"</f>
        <v/>
      </c>
      <c r="D4530" s="198" t="inlineStr">
        <is>
          <t>resultado</t>
        </is>
      </c>
    </row>
    <row r="4531">
      <c r="A4531" s="198" t="inlineStr">
        <is>
          <t>invocacao.8.bas.2.alcance</t>
        </is>
      </c>
      <c r="B4531" s="198">
        <f>IF(ISBLANK('INVOCAÇÕES'!$AB$324),"",'INVOCAÇÕES'!$AB$324&amp;"")</f>
        <v/>
      </c>
      <c r="C4531" s="198">
        <f>"'INVOCAÇÕES'!AB298"</f>
        <v/>
      </c>
      <c r="D4531" s="198" t="inlineStr">
        <is>
          <t>resultado</t>
        </is>
      </c>
    </row>
    <row r="4532">
      <c r="A4532" s="198" t="inlineStr">
        <is>
          <t>invocacao.8.esp.3.texto</t>
        </is>
      </c>
      <c r="B4532" s="198">
        <f>IF(ISBLANK('INVOCAÇÕES'!$AH$318),"",'INVOCAÇÕES'!$AH$318&amp;"")</f>
        <v/>
      </c>
      <c r="C4532" s="198">
        <f>"'INVOCAÇÕES'!AH292"</f>
        <v/>
      </c>
      <c r="D4532" s="198" t="inlineStr">
        <is>
          <t>entrada</t>
        </is>
      </c>
    </row>
    <row r="4533">
      <c r="A4533" s="198" t="inlineStr">
        <is>
          <t>invocacao.8.esp.3.tipo_dano</t>
        </is>
      </c>
      <c r="B4533" s="198">
        <f>IF(ISBLANK('INVOCAÇÕES'!$AH$322),"",'INVOCAÇÕES'!$AH$322&amp;"")</f>
        <v/>
      </c>
      <c r="C4533" s="198">
        <f>"'INVOCAÇÕES'!AH296"</f>
        <v/>
      </c>
      <c r="D4533" s="198" t="inlineStr">
        <is>
          <t>entrada</t>
        </is>
      </c>
    </row>
    <row r="4534">
      <c r="A4534" s="198" t="inlineStr">
        <is>
          <t>invocacao.8.esp.3.resolucao_escolha</t>
        </is>
      </c>
      <c r="B4534" s="198">
        <f>IF(ISBLANK('INVOCAÇÕES'!$AJ$322),"",'INVOCAÇÕES'!$AJ$322&amp;"")</f>
        <v/>
      </c>
      <c r="C4534" s="198">
        <f>"'INVOCAÇÕES'!AJ296"</f>
        <v/>
      </c>
      <c r="D4534" s="198" t="inlineStr">
        <is>
          <t>entrada</t>
        </is>
      </c>
    </row>
    <row r="4535">
      <c r="A4535" s="198" t="inlineStr">
        <is>
          <t>invocacao.8.esp.3.acao</t>
        </is>
      </c>
      <c r="B4535" s="198">
        <f>IF(ISBLANK('INVOCAÇÕES'!$AH$323),"",'INVOCAÇÕES'!$AH$323&amp;"")</f>
        <v/>
      </c>
      <c r="C4535" s="198">
        <f>"'INVOCAÇÕES'!AH297"</f>
        <v/>
      </c>
      <c r="D4535" s="198" t="inlineStr">
        <is>
          <t>resultado</t>
        </is>
      </c>
    </row>
    <row r="4536">
      <c r="A4536" s="198" t="inlineStr">
        <is>
          <t>invocacao.8.esp.3.resolve</t>
        </is>
      </c>
      <c r="B4536" s="198">
        <f>IF(ISBLANK('INVOCAÇÕES'!$AJ$323),"",'INVOCAÇÕES'!$AJ$323&amp;"")</f>
        <v/>
      </c>
      <c r="C4536" s="198">
        <f>"'INVOCAÇÕES'!AJ297"</f>
        <v/>
      </c>
      <c r="D4536" s="198" t="inlineStr">
        <is>
          <t>resultado</t>
        </is>
      </c>
    </row>
    <row r="4537">
      <c r="A4537" s="198" t="inlineStr">
        <is>
          <t>invocacao.8.esp.3.alcance</t>
        </is>
      </c>
      <c r="B4537" s="198">
        <f>IF(ISBLANK('INVOCAÇÕES'!$AH$324),"",'INVOCAÇÕES'!$AH$324&amp;"")</f>
        <v/>
      </c>
      <c r="C4537" s="198">
        <f>"'INVOCAÇÕES'!AH298"</f>
        <v/>
      </c>
      <c r="D4537" s="198" t="inlineStr">
        <is>
          <t>resultado</t>
        </is>
      </c>
    </row>
    <row r="4538">
      <c r="A4538" s="198" t="inlineStr">
        <is>
          <t>invocacao.8.esp.4.texto</t>
        </is>
      </c>
      <c r="B4538" s="198">
        <f>IF(ISBLANK('INVOCAÇÕES'!$AN$318),"",'INVOCAÇÕES'!$AN$318&amp;"")</f>
        <v/>
      </c>
      <c r="C4538" s="198">
        <f>"'INVOCAÇÕES'!AN292"</f>
        <v/>
      </c>
      <c r="D4538" s="198" t="inlineStr">
        <is>
          <t>entrada</t>
        </is>
      </c>
    </row>
    <row r="4539">
      <c r="A4539" s="198" t="inlineStr">
        <is>
          <t>invocacao.8.esp.4.tipo_dano</t>
        </is>
      </c>
      <c r="B4539" s="198">
        <f>IF(ISBLANK('INVOCAÇÕES'!$AN$322),"",'INVOCAÇÕES'!$AN$322&amp;"")</f>
        <v/>
      </c>
      <c r="C4539" s="198">
        <f>"'INVOCAÇÕES'!AN296"</f>
        <v/>
      </c>
      <c r="D4539" s="198" t="inlineStr">
        <is>
          <t>entrada</t>
        </is>
      </c>
    </row>
    <row r="4540">
      <c r="A4540" s="198" t="inlineStr">
        <is>
          <t>invocacao.8.esp.4.resolucao_escolha</t>
        </is>
      </c>
      <c r="B4540" s="198">
        <f>IF(ISBLANK('INVOCAÇÕES'!$AP$322),"",'INVOCAÇÕES'!$AP$322&amp;"")</f>
        <v/>
      </c>
      <c r="C4540" s="198">
        <f>"'INVOCAÇÕES'!AP296"</f>
        <v/>
      </c>
      <c r="D4540" s="198" t="inlineStr">
        <is>
          <t>entrada</t>
        </is>
      </c>
    </row>
    <row r="4541">
      <c r="A4541" s="198" t="inlineStr">
        <is>
          <t>invocacao.8.esp.4.acao</t>
        </is>
      </c>
      <c r="B4541" s="198">
        <f>IF(ISBLANK('INVOCAÇÕES'!$AN$323),"",'INVOCAÇÕES'!$AN$323&amp;"")</f>
        <v/>
      </c>
      <c r="C4541" s="198">
        <f>"'INVOCAÇÕES'!AN297"</f>
        <v/>
      </c>
      <c r="D4541" s="198" t="inlineStr">
        <is>
          <t>resultado</t>
        </is>
      </c>
    </row>
    <row r="4542">
      <c r="A4542" s="198" t="inlineStr">
        <is>
          <t>invocacao.8.esp.4.resolve</t>
        </is>
      </c>
      <c r="B4542" s="198">
        <f>IF(ISBLANK('INVOCAÇÕES'!$AP$323),"",'INVOCAÇÕES'!$AP$323&amp;"")</f>
        <v/>
      </c>
      <c r="C4542" s="198">
        <f>"'INVOCAÇÕES'!AP297"</f>
        <v/>
      </c>
      <c r="D4542" s="198" t="inlineStr">
        <is>
          <t>resultado</t>
        </is>
      </c>
    </row>
    <row r="4543">
      <c r="A4543" s="198" t="inlineStr">
        <is>
          <t>invocacao.8.esp.4.alcance</t>
        </is>
      </c>
      <c r="B4543" s="198">
        <f>IF(ISBLANK('INVOCAÇÕES'!$AN$324),"",'INVOCAÇÕES'!$AN$324&amp;"")</f>
        <v/>
      </c>
      <c r="C4543" s="198">
        <f>"'INVOCAÇÕES'!AN298"</f>
        <v/>
      </c>
      <c r="D4543" s="198" t="inlineStr">
        <is>
          <t>resultado</t>
        </is>
      </c>
    </row>
    <row r="4544">
      <c r="A4544" s="198" t="inlineStr">
        <is>
          <t>invocacao.8.esp.5.texto</t>
        </is>
      </c>
      <c r="B4544" s="198">
        <f>IF(ISBLANK('INVOCAÇÕES'!$AB$340),"",'INVOCAÇÕES'!$AB$340&amp;"")</f>
        <v/>
      </c>
      <c r="C4544" s="198">
        <f>"'INVOCAÇÕES'!AB314"</f>
        <v/>
      </c>
      <c r="D4544" s="198" t="inlineStr">
        <is>
          <t>entrada</t>
        </is>
      </c>
    </row>
    <row r="4545">
      <c r="A4545" s="198" t="inlineStr">
        <is>
          <t>invocacao.8.esp.5.tipo_dano</t>
        </is>
      </c>
      <c r="B4545" s="198">
        <f>IF(ISBLANK('INVOCAÇÕES'!$AB$344),"",'INVOCAÇÕES'!$AB$344&amp;"")</f>
        <v/>
      </c>
      <c r="C4545" s="198">
        <f>"'INVOCAÇÕES'!AB318"</f>
        <v/>
      </c>
      <c r="D4545" s="198" t="inlineStr">
        <is>
          <t>entrada</t>
        </is>
      </c>
    </row>
    <row r="4546">
      <c r="A4546" s="198" t="inlineStr">
        <is>
          <t>invocacao.8.esp.5.resolucao_escolha</t>
        </is>
      </c>
      <c r="B4546" s="198">
        <f>IF(ISBLANK('INVOCAÇÕES'!$AD$344),"",'INVOCAÇÕES'!$AD$344&amp;"")</f>
        <v/>
      </c>
      <c r="C4546" s="198">
        <f>"'INVOCAÇÕES'!AD318"</f>
        <v/>
      </c>
      <c r="D4546" s="198" t="inlineStr">
        <is>
          <t>entrada</t>
        </is>
      </c>
    </row>
    <row r="4547">
      <c r="A4547" s="198" t="inlineStr">
        <is>
          <t>invocacao.8.esp.5.acao</t>
        </is>
      </c>
      <c r="B4547" s="198">
        <f>IF(ISBLANK('INVOCAÇÕES'!$AB$345),"",'INVOCAÇÕES'!$AB$345&amp;"")</f>
        <v/>
      </c>
      <c r="C4547" s="198">
        <f>"'INVOCAÇÕES'!AB319"</f>
        <v/>
      </c>
      <c r="D4547" s="198" t="inlineStr">
        <is>
          <t>resultado</t>
        </is>
      </c>
    </row>
    <row r="4548">
      <c r="A4548" s="198" t="inlineStr">
        <is>
          <t>invocacao.8.esp.5.resolve</t>
        </is>
      </c>
      <c r="B4548" s="198">
        <f>IF(ISBLANK('INVOCAÇÕES'!$AD$345),"",'INVOCAÇÕES'!$AD$345&amp;"")</f>
        <v/>
      </c>
      <c r="C4548" s="198">
        <f>"'INVOCAÇÕES'!AD319"</f>
        <v/>
      </c>
      <c r="D4548" s="198" t="inlineStr">
        <is>
          <t>resultado</t>
        </is>
      </c>
    </row>
    <row r="4549">
      <c r="A4549" s="198" t="inlineStr">
        <is>
          <t>invocacao.8.esp.5.alcance</t>
        </is>
      </c>
      <c r="B4549" s="198">
        <f>IF(ISBLANK('INVOCAÇÕES'!$AB$346),"",'INVOCAÇÕES'!$AB$346&amp;"")</f>
        <v/>
      </c>
      <c r="C4549" s="198">
        <f>"'INVOCAÇÕES'!AB320"</f>
        <v/>
      </c>
      <c r="D4549" s="198" t="inlineStr">
        <is>
          <t>resultado</t>
        </is>
      </c>
    </row>
    <row r="4550">
      <c r="A4550" s="198" t="inlineStr">
        <is>
          <t>invocacao.8.esp.6.texto</t>
        </is>
      </c>
      <c r="B4550" s="198">
        <f>IF(ISBLANK('INVOCAÇÕES'!$AH$340),"",'INVOCAÇÕES'!$AH$340&amp;"")</f>
        <v/>
      </c>
      <c r="C4550" s="198">
        <f>"'INVOCAÇÕES'!AH314"</f>
        <v/>
      </c>
      <c r="D4550" s="198" t="inlineStr">
        <is>
          <t>entrada</t>
        </is>
      </c>
    </row>
    <row r="4551">
      <c r="A4551" s="198" t="inlineStr">
        <is>
          <t>invocacao.8.esp.6.tipo_dano</t>
        </is>
      </c>
      <c r="B4551" s="198">
        <f>IF(ISBLANK('INVOCAÇÕES'!$AH$344),"",'INVOCAÇÕES'!$AH$344&amp;"")</f>
        <v/>
      </c>
      <c r="C4551" s="198">
        <f>"'INVOCAÇÕES'!AH318"</f>
        <v/>
      </c>
      <c r="D4551" s="198" t="inlineStr">
        <is>
          <t>entrada</t>
        </is>
      </c>
    </row>
    <row r="4552">
      <c r="A4552" s="198" t="inlineStr">
        <is>
          <t>invocacao.8.esp.6.resolucao_escolha</t>
        </is>
      </c>
      <c r="B4552" s="198">
        <f>IF(ISBLANK('INVOCAÇÕES'!$AJ$344),"",'INVOCAÇÕES'!$AJ$344&amp;"")</f>
        <v/>
      </c>
      <c r="C4552" s="198">
        <f>"'INVOCAÇÕES'!AJ318"</f>
        <v/>
      </c>
      <c r="D4552" s="198" t="inlineStr">
        <is>
          <t>entrada</t>
        </is>
      </c>
    </row>
    <row r="4553">
      <c r="A4553" s="198" t="inlineStr">
        <is>
          <t>invocacao.8.esp.6.acao</t>
        </is>
      </c>
      <c r="B4553" s="198">
        <f>IF(ISBLANK('INVOCAÇÕES'!$AH$345),"",'INVOCAÇÕES'!$AH$345&amp;"")</f>
        <v/>
      </c>
      <c r="C4553" s="198">
        <f>"'INVOCAÇÕES'!AH319"</f>
        <v/>
      </c>
      <c r="D4553" s="198" t="inlineStr">
        <is>
          <t>resultado</t>
        </is>
      </c>
    </row>
    <row r="4554">
      <c r="A4554" s="198" t="inlineStr">
        <is>
          <t>invocacao.8.esp.6.resolve</t>
        </is>
      </c>
      <c r="B4554" s="198">
        <f>IF(ISBLANK('INVOCAÇÕES'!$AJ$345),"",'INVOCAÇÕES'!$AJ$345&amp;"")</f>
        <v/>
      </c>
      <c r="C4554" s="198">
        <f>"'INVOCAÇÕES'!AJ319"</f>
        <v/>
      </c>
      <c r="D4554" s="198" t="inlineStr">
        <is>
          <t>resultado</t>
        </is>
      </c>
    </row>
    <row r="4555">
      <c r="A4555" s="198" t="inlineStr">
        <is>
          <t>invocacao.8.esp.6.alcance</t>
        </is>
      </c>
      <c r="B4555" s="198">
        <f>IF(ISBLANK('INVOCAÇÕES'!$AH$346),"",'INVOCAÇÕES'!$AH$346&amp;"")</f>
        <v/>
      </c>
      <c r="C4555" s="198">
        <f>"'INVOCAÇÕES'!AH320"</f>
        <v/>
      </c>
      <c r="D4555" s="198" t="inlineStr">
        <is>
          <t>resultado</t>
        </is>
      </c>
    </row>
    <row r="4556">
      <c r="A4556" s="198" t="inlineStr">
        <is>
          <t>invocacao.8.esp.7.texto</t>
        </is>
      </c>
      <c r="B4556" s="198">
        <f>IF(ISBLANK('INVOCAÇÕES'!$AN$340),"",'INVOCAÇÕES'!$AN$340&amp;"")</f>
        <v/>
      </c>
      <c r="C4556" s="198">
        <f>"'INVOCAÇÕES'!AN314"</f>
        <v/>
      </c>
      <c r="D4556" s="198" t="inlineStr">
        <is>
          <t>entrada</t>
        </is>
      </c>
    </row>
    <row r="4557">
      <c r="A4557" s="198" t="inlineStr">
        <is>
          <t>invocacao.8.esp.7.tipo_dano</t>
        </is>
      </c>
      <c r="B4557" s="198">
        <f>IF(ISBLANK('INVOCAÇÕES'!$AN$344),"",'INVOCAÇÕES'!$AN$344&amp;"")</f>
        <v/>
      </c>
      <c r="C4557" s="198">
        <f>"'INVOCAÇÕES'!AN318"</f>
        <v/>
      </c>
      <c r="D4557" s="198" t="inlineStr">
        <is>
          <t>entrada</t>
        </is>
      </c>
    </row>
    <row r="4558">
      <c r="A4558" s="198" t="inlineStr">
        <is>
          <t>invocacao.8.esp.7.resolucao_escolha</t>
        </is>
      </c>
      <c r="B4558" s="198">
        <f>IF(ISBLANK('INVOCAÇÕES'!$AP$344),"",'INVOCAÇÕES'!$AP$344&amp;"")</f>
        <v/>
      </c>
      <c r="C4558" s="198">
        <f>"'INVOCAÇÕES'!AP318"</f>
        <v/>
      </c>
      <c r="D4558" s="198" t="inlineStr">
        <is>
          <t>entrada</t>
        </is>
      </c>
    </row>
    <row r="4559">
      <c r="A4559" s="198" t="inlineStr">
        <is>
          <t>invocacao.8.esp.7.acao</t>
        </is>
      </c>
      <c r="B4559" s="198">
        <f>IF(ISBLANK('INVOCAÇÕES'!$AN$345),"",'INVOCAÇÕES'!$AN$345&amp;"")</f>
        <v/>
      </c>
      <c r="C4559" s="198">
        <f>"'INVOCAÇÕES'!AN319"</f>
        <v/>
      </c>
      <c r="D4559" s="198" t="inlineStr">
        <is>
          <t>resultado</t>
        </is>
      </c>
    </row>
    <row r="4560">
      <c r="A4560" s="198" t="inlineStr">
        <is>
          <t>invocacao.8.esp.7.resolve</t>
        </is>
      </c>
      <c r="B4560" s="198">
        <f>IF(ISBLANK('INVOCAÇÕES'!$AP$345),"",'INVOCAÇÕES'!$AP$345&amp;"")</f>
        <v/>
      </c>
      <c r="C4560" s="198">
        <f>"'INVOCAÇÕES'!AP319"</f>
        <v/>
      </c>
      <c r="D4560" s="198" t="inlineStr">
        <is>
          <t>resultado</t>
        </is>
      </c>
    </row>
    <row r="4561">
      <c r="A4561" s="198" t="inlineStr">
        <is>
          <t>invocacao.8.esp.7.alcance</t>
        </is>
      </c>
      <c r="B4561" s="198">
        <f>IF(ISBLANK('INVOCAÇÕES'!$AN$346),"",'INVOCAÇÕES'!$AN$346&amp;"")</f>
        <v/>
      </c>
      <c r="C4561" s="198">
        <f>"'INVOCAÇÕES'!AN320"</f>
        <v/>
      </c>
      <c r="D4561" s="198" t="inlineStr">
        <is>
          <t>resultado</t>
        </is>
      </c>
    </row>
    <row r="4562">
      <c r="A4562" s="198" t="inlineStr">
        <is>
          <t>invocacao.8.esp.8.texto</t>
        </is>
      </c>
      <c r="B4562" s="198">
        <f>IF(ISBLANK('INVOCAÇÕES'!$AB$362),"",'INVOCAÇÕES'!$AB$362&amp;"")</f>
        <v/>
      </c>
      <c r="C4562" s="198">
        <f>"'INVOCAÇÕES'!AB336"</f>
        <v/>
      </c>
      <c r="D4562" s="198" t="inlineStr">
        <is>
          <t>entrada</t>
        </is>
      </c>
    </row>
    <row r="4563">
      <c r="A4563" s="198" t="inlineStr">
        <is>
          <t>invocacao.8.esp.8.tipo_dano</t>
        </is>
      </c>
      <c r="B4563" s="198">
        <f>IF(ISBLANK('INVOCAÇÕES'!$AB$366),"",'INVOCAÇÕES'!$AB$366&amp;"")</f>
        <v/>
      </c>
      <c r="C4563" s="198">
        <f>"'INVOCAÇÕES'!AB340"</f>
        <v/>
      </c>
      <c r="D4563" s="198" t="inlineStr">
        <is>
          <t>entrada</t>
        </is>
      </c>
    </row>
    <row r="4564">
      <c r="A4564" s="198" t="inlineStr">
        <is>
          <t>invocacao.8.esp.8.resolucao_escolha</t>
        </is>
      </c>
      <c r="B4564" s="198">
        <f>IF(ISBLANK('INVOCAÇÕES'!$AD$366),"",'INVOCAÇÕES'!$AD$366&amp;"")</f>
        <v/>
      </c>
      <c r="C4564" s="198">
        <f>"'INVOCAÇÕES'!AD340"</f>
        <v/>
      </c>
      <c r="D4564" s="198" t="inlineStr">
        <is>
          <t>entrada</t>
        </is>
      </c>
    </row>
    <row r="4565">
      <c r="A4565" s="198" t="inlineStr">
        <is>
          <t>invocacao.8.esp.8.acao</t>
        </is>
      </c>
      <c r="B4565" s="198">
        <f>IF(ISBLANK('INVOCAÇÕES'!$AB$367),"",'INVOCAÇÕES'!$AB$367&amp;"")</f>
        <v/>
      </c>
      <c r="C4565" s="198">
        <f>"'INVOCAÇÕES'!AB341"</f>
        <v/>
      </c>
      <c r="D4565" s="198" t="inlineStr">
        <is>
          <t>resultado</t>
        </is>
      </c>
    </row>
    <row r="4566">
      <c r="A4566" s="198" t="inlineStr">
        <is>
          <t>invocacao.8.esp.8.resolve</t>
        </is>
      </c>
      <c r="B4566" s="198">
        <f>IF(ISBLANK('INVOCAÇÕES'!$AD$367),"",'INVOCAÇÕES'!$AD$367&amp;"")</f>
        <v/>
      </c>
      <c r="C4566" s="198">
        <f>"'INVOCAÇÕES'!AD341"</f>
        <v/>
      </c>
      <c r="D4566" s="198" t="inlineStr">
        <is>
          <t>resultado</t>
        </is>
      </c>
    </row>
    <row r="4567">
      <c r="A4567" s="198" t="inlineStr">
        <is>
          <t>invocacao.8.esp.8.alcance</t>
        </is>
      </c>
      <c r="B4567" s="198">
        <f>IF(ISBLANK('INVOCAÇÕES'!$AB$368),"",'INVOCAÇÕES'!$AB$368&amp;"")</f>
        <v/>
      </c>
      <c r="C4567" s="198">
        <f>"'INVOCAÇÕES'!AB342"</f>
        <v/>
      </c>
      <c r="D4567" s="198" t="inlineStr">
        <is>
          <t>resultado</t>
        </is>
      </c>
    </row>
    <row r="4568">
      <c r="A4568" s="198" t="inlineStr">
        <is>
          <t>invocacao.8.ext.1.texto</t>
        </is>
      </c>
      <c r="B4568" s="198">
        <f>IF(ISBLANK('INVOCAÇÕES'!$AB$386),"",'INVOCAÇÕES'!$AB$386&amp;"")</f>
        <v/>
      </c>
      <c r="C4568" s="198">
        <f>"'INVOCAÇÕES'!AB360"</f>
        <v/>
      </c>
      <c r="D4568" s="198" t="inlineStr">
        <is>
          <t>entrada</t>
        </is>
      </c>
    </row>
    <row r="4569">
      <c r="A4569" s="198" t="inlineStr">
        <is>
          <t>invocacao.8.ext.1.tipo_dano</t>
        </is>
      </c>
      <c r="B4569" s="198">
        <f>IF(ISBLANK('INVOCAÇÕES'!$AB$390),"",'INVOCAÇÕES'!$AB$390&amp;"")</f>
        <v/>
      </c>
      <c r="C4569" s="198">
        <f>"'INVOCAÇÕES'!AB364"</f>
        <v/>
      </c>
      <c r="D4569" s="198" t="inlineStr">
        <is>
          <t>entrada</t>
        </is>
      </c>
    </row>
    <row r="4570">
      <c r="A4570" s="198" t="inlineStr">
        <is>
          <t>invocacao.8.ext.1.resolucao_escolha</t>
        </is>
      </c>
      <c r="B4570" s="198">
        <f>IF(ISBLANK('INVOCAÇÕES'!$AD$390),"",'INVOCAÇÕES'!$AD$390&amp;"")</f>
        <v/>
      </c>
      <c r="C4570" s="198">
        <f>"'INVOCAÇÕES'!AD364"</f>
        <v/>
      </c>
      <c r="D4570" s="198" t="inlineStr">
        <is>
          <t>entrada</t>
        </is>
      </c>
    </row>
    <row r="4571">
      <c r="A4571" s="198" t="inlineStr">
        <is>
          <t>invocacao.8.ext.1.acao</t>
        </is>
      </c>
      <c r="B4571" s="198">
        <f>IF(ISBLANK('INVOCAÇÕES'!$AB$391),"",'INVOCAÇÕES'!$AB$391&amp;"")</f>
        <v/>
      </c>
      <c r="C4571" s="198">
        <f>"'INVOCAÇÕES'!AB365"</f>
        <v/>
      </c>
      <c r="D4571" s="198" t="inlineStr">
        <is>
          <t>resultado</t>
        </is>
      </c>
    </row>
    <row r="4572">
      <c r="A4572" s="198" t="inlineStr">
        <is>
          <t>invocacao.8.ext.1.resolve</t>
        </is>
      </c>
      <c r="B4572" s="198">
        <f>IF(ISBLANK('INVOCAÇÕES'!$AD$391),"",'INVOCAÇÕES'!$AD$391&amp;"")</f>
        <v/>
      </c>
      <c r="C4572" s="198">
        <f>"'INVOCAÇÕES'!AD365"</f>
        <v/>
      </c>
      <c r="D4572" s="198" t="inlineStr">
        <is>
          <t>resultado</t>
        </is>
      </c>
    </row>
    <row r="4573">
      <c r="A4573" s="198" t="inlineStr">
        <is>
          <t>invocacao.8.ext.1.alcance</t>
        </is>
      </c>
      <c r="B4573" s="198">
        <f>IF(ISBLANK('INVOCAÇÕES'!$AB$392),"",'INVOCAÇÕES'!$AB$392&amp;"")</f>
        <v/>
      </c>
      <c r="C4573" s="198">
        <f>"'INVOCAÇÕES'!AB366"</f>
        <v/>
      </c>
      <c r="D4573" s="198" t="inlineStr">
        <is>
          <t>resultado</t>
        </is>
      </c>
    </row>
    <row r="4574">
      <c r="A4574" s="198" t="inlineStr">
        <is>
          <t>invocacao.8.ext.2.texto</t>
        </is>
      </c>
      <c r="B4574" s="198">
        <f>IF(ISBLANK('INVOCAÇÕES'!$AH$386),"",'INVOCAÇÕES'!$AH$386&amp;"")</f>
        <v/>
      </c>
      <c r="C4574" s="198">
        <f>"'INVOCAÇÕES'!AH360"</f>
        <v/>
      </c>
      <c r="D4574" s="198" t="inlineStr">
        <is>
          <t>entrada</t>
        </is>
      </c>
    </row>
    <row r="4575">
      <c r="A4575" s="198" t="inlineStr">
        <is>
          <t>invocacao.8.ext.2.tipo_dano</t>
        </is>
      </c>
      <c r="B4575" s="198">
        <f>IF(ISBLANK('INVOCAÇÕES'!$AH$390),"",'INVOCAÇÕES'!$AH$390&amp;"")</f>
        <v/>
      </c>
      <c r="C4575" s="198">
        <f>"'INVOCAÇÕES'!AH364"</f>
        <v/>
      </c>
      <c r="D4575" s="198" t="inlineStr">
        <is>
          <t>entrada</t>
        </is>
      </c>
    </row>
    <row r="4576">
      <c r="A4576" s="198" t="inlineStr">
        <is>
          <t>invocacao.8.ext.2.resolucao_escolha</t>
        </is>
      </c>
      <c r="B4576" s="198">
        <f>IF(ISBLANK('INVOCAÇÕES'!$AJ$390),"",'INVOCAÇÕES'!$AJ$390&amp;"")</f>
        <v/>
      </c>
      <c r="C4576" s="198">
        <f>"'INVOCAÇÕES'!AJ364"</f>
        <v/>
      </c>
      <c r="D4576" s="198" t="inlineStr">
        <is>
          <t>entrada</t>
        </is>
      </c>
    </row>
    <row r="4577">
      <c r="A4577" s="198" t="inlineStr">
        <is>
          <t>invocacao.8.ext.2.acao</t>
        </is>
      </c>
      <c r="B4577" s="198">
        <f>IF(ISBLANK('INVOCAÇÕES'!$AH$391),"",'INVOCAÇÕES'!$AH$391&amp;"")</f>
        <v/>
      </c>
      <c r="C4577" s="198">
        <f>"'INVOCAÇÕES'!AH365"</f>
        <v/>
      </c>
      <c r="D4577" s="198" t="inlineStr">
        <is>
          <t>resultado</t>
        </is>
      </c>
    </row>
    <row r="4578">
      <c r="A4578" s="198" t="inlineStr">
        <is>
          <t>invocacao.8.ext.2.resolve</t>
        </is>
      </c>
      <c r="B4578" s="198">
        <f>IF(ISBLANK('INVOCAÇÕES'!$AJ$391),"",'INVOCAÇÕES'!$AJ$391&amp;"")</f>
        <v/>
      </c>
      <c r="C4578" s="198">
        <f>"'INVOCAÇÕES'!AJ365"</f>
        <v/>
      </c>
      <c r="D4578" s="198" t="inlineStr">
        <is>
          <t>resultado</t>
        </is>
      </c>
    </row>
    <row r="4579">
      <c r="A4579" s="198" t="inlineStr">
        <is>
          <t>invocacao.8.ext.2.alcance</t>
        </is>
      </c>
      <c r="B4579" s="198">
        <f>IF(ISBLANK('INVOCAÇÕES'!$AH$392),"",'INVOCAÇÕES'!$AH$392&amp;"")</f>
        <v/>
      </c>
      <c r="C4579" s="198">
        <f>"'INVOCAÇÕES'!AH366"</f>
        <v/>
      </c>
      <c r="D4579" s="198" t="inlineStr">
        <is>
          <t>resultado</t>
        </is>
      </c>
    </row>
    <row r="4580">
      <c r="A4580" s="198" t="inlineStr">
        <is>
          <t>invocacao.8.ext.3.texto</t>
        </is>
      </c>
      <c r="B4580" s="198">
        <f>IF(ISBLANK('INVOCAÇÕES'!$AN$386),"",'INVOCAÇÕES'!$AN$386&amp;"")</f>
        <v/>
      </c>
      <c r="C4580" s="198">
        <f>"'INVOCAÇÕES'!AN360"</f>
        <v/>
      </c>
      <c r="D4580" s="198" t="inlineStr">
        <is>
          <t>entrada</t>
        </is>
      </c>
    </row>
    <row r="4581">
      <c r="A4581" s="198" t="inlineStr">
        <is>
          <t>invocacao.8.ext.3.tipo_dano</t>
        </is>
      </c>
      <c r="B4581" s="198">
        <f>IF(ISBLANK('INVOCAÇÕES'!$AN$390),"",'INVOCAÇÕES'!$AN$390&amp;"")</f>
        <v/>
      </c>
      <c r="C4581" s="198">
        <f>"'INVOCAÇÕES'!AN364"</f>
        <v/>
      </c>
      <c r="D4581" s="198" t="inlineStr">
        <is>
          <t>entrada</t>
        </is>
      </c>
    </row>
    <row r="4582">
      <c r="A4582" s="198" t="inlineStr">
        <is>
          <t>invocacao.8.ext.3.resolucao_escolha</t>
        </is>
      </c>
      <c r="B4582" s="198">
        <f>IF(ISBLANK('INVOCAÇÕES'!$AP$390),"",'INVOCAÇÕES'!$AP$390&amp;"")</f>
        <v/>
      </c>
      <c r="C4582" s="198">
        <f>"'INVOCAÇÕES'!AP364"</f>
        <v/>
      </c>
      <c r="D4582" s="198" t="inlineStr">
        <is>
          <t>entrada</t>
        </is>
      </c>
    </row>
    <row r="4583">
      <c r="A4583" s="198" t="inlineStr">
        <is>
          <t>invocacao.8.ext.3.acao</t>
        </is>
      </c>
      <c r="B4583" s="198">
        <f>IF(ISBLANK('INVOCAÇÕES'!$AN$391),"",'INVOCAÇÕES'!$AN$391&amp;"")</f>
        <v/>
      </c>
      <c r="C4583" s="198">
        <f>"'INVOCAÇÕES'!AN365"</f>
        <v/>
      </c>
      <c r="D4583" s="198" t="inlineStr">
        <is>
          <t>resultado</t>
        </is>
      </c>
    </row>
    <row r="4584">
      <c r="A4584" s="198" t="inlineStr">
        <is>
          <t>invocacao.8.ext.3.resolve</t>
        </is>
      </c>
      <c r="B4584" s="198">
        <f>IF(ISBLANK('INVOCAÇÕES'!$AP$391),"",'INVOCAÇÕES'!$AP$391&amp;"")</f>
        <v/>
      </c>
      <c r="C4584" s="198">
        <f>"'INVOCAÇÕES'!AP365"</f>
        <v/>
      </c>
      <c r="D4584" s="198" t="inlineStr">
        <is>
          <t>resultado</t>
        </is>
      </c>
    </row>
    <row r="4585">
      <c r="A4585" s="198" t="inlineStr">
        <is>
          <t>invocacao.8.ext.3.alcance</t>
        </is>
      </c>
      <c r="B4585" s="198">
        <f>IF(ISBLANK('INVOCAÇÕES'!$AN$392),"",'INVOCAÇÕES'!$AN$392&amp;"")</f>
        <v/>
      </c>
      <c r="C4585" s="198">
        <f>"'INVOCAÇÕES'!AN366"</f>
        <v/>
      </c>
      <c r="D4585" s="198" t="inlineStr">
        <is>
          <t>resultado</t>
        </is>
      </c>
    </row>
    <row r="4586">
      <c r="A4586" s="198" t="inlineStr">
        <is>
          <t>invocacao.9.bas.1.texto</t>
        </is>
      </c>
      <c r="B4586" s="198">
        <f>IF(ISBLANK('INVOCAÇÕES'!$AB$495),"",'INVOCAÇÕES'!$AB$495&amp;"")</f>
        <v/>
      </c>
      <c r="C4586" s="198">
        <f>"'INVOCAÇÕES'!AB456"</f>
        <v/>
      </c>
      <c r="D4586" s="198" t="inlineStr">
        <is>
          <t>entrada</t>
        </is>
      </c>
    </row>
    <row r="4587">
      <c r="A4587" s="198" t="inlineStr">
        <is>
          <t>invocacao.9.bas.1.tipo_dano</t>
        </is>
      </c>
      <c r="B4587" s="198">
        <f>IF(ISBLANK('INVOCAÇÕES'!$AB$499),"",'INVOCAÇÕES'!$AB$499&amp;"")</f>
        <v/>
      </c>
      <c r="C4587" s="198">
        <f>"'INVOCAÇÕES'!AB460"</f>
        <v/>
      </c>
      <c r="D4587" s="198" t="inlineStr">
        <is>
          <t>entrada</t>
        </is>
      </c>
    </row>
    <row r="4588">
      <c r="A4588" s="198" t="inlineStr">
        <is>
          <t>invocacao.9.bas.1.resolucao_escolha</t>
        </is>
      </c>
      <c r="B4588" s="198">
        <f>IF(ISBLANK('INVOCAÇÕES'!$AD$499),"",'INVOCAÇÕES'!$AD$499&amp;"")</f>
        <v/>
      </c>
      <c r="C4588" s="198">
        <f>"'INVOCAÇÕES'!AD460"</f>
        <v/>
      </c>
      <c r="D4588" s="198" t="inlineStr">
        <is>
          <t>entrada</t>
        </is>
      </c>
    </row>
    <row r="4589">
      <c r="A4589" s="198" t="inlineStr">
        <is>
          <t>invocacao.9.bas.1.acao</t>
        </is>
      </c>
      <c r="B4589" s="198">
        <f>IF(ISBLANK('INVOCAÇÕES'!$AB$500),"",'INVOCAÇÕES'!$AB$500&amp;"")</f>
        <v/>
      </c>
      <c r="C4589" s="198">
        <f>"'INVOCAÇÕES'!AB461"</f>
        <v/>
      </c>
      <c r="D4589" s="198" t="inlineStr">
        <is>
          <t>resultado</t>
        </is>
      </c>
    </row>
    <row r="4590">
      <c r="A4590" s="198" t="inlineStr">
        <is>
          <t>invocacao.9.bas.1.resolve</t>
        </is>
      </c>
      <c r="B4590" s="198">
        <f>IF(ISBLANK('INVOCAÇÕES'!$AD$500),"",'INVOCAÇÕES'!$AD$500&amp;"")</f>
        <v/>
      </c>
      <c r="C4590" s="198">
        <f>"'INVOCAÇÕES'!AD461"</f>
        <v/>
      </c>
      <c r="D4590" s="198" t="inlineStr">
        <is>
          <t>resultado</t>
        </is>
      </c>
    </row>
    <row r="4591">
      <c r="A4591" s="198" t="inlineStr">
        <is>
          <t>invocacao.9.bas.1.alcance</t>
        </is>
      </c>
      <c r="B4591" s="198">
        <f>IF(ISBLANK('INVOCAÇÕES'!$AB$501),"",'INVOCAÇÕES'!$AB$501&amp;"")</f>
        <v/>
      </c>
      <c r="C4591" s="198">
        <f>"'INVOCAÇÕES'!AB462"</f>
        <v/>
      </c>
      <c r="D4591" s="198" t="inlineStr">
        <is>
          <t>resultado</t>
        </is>
      </c>
    </row>
    <row r="4592">
      <c r="A4592" s="198" t="inlineStr">
        <is>
          <t>invocacao.9.esp.1.texto</t>
        </is>
      </c>
      <c r="B4592" s="198">
        <f>IF(ISBLANK('INVOCAÇÕES'!$AH$495),"",'INVOCAÇÕES'!$AH$495&amp;"")</f>
        <v/>
      </c>
      <c r="C4592" s="198">
        <f>"'INVOCAÇÕES'!AH456"</f>
        <v/>
      </c>
      <c r="D4592" s="198" t="inlineStr">
        <is>
          <t>entrada</t>
        </is>
      </c>
    </row>
    <row r="4593">
      <c r="A4593" s="198" t="inlineStr">
        <is>
          <t>invocacao.9.esp.1.tipo_dano</t>
        </is>
      </c>
      <c r="B4593" s="198">
        <f>IF(ISBLANK('INVOCAÇÕES'!$AH$499),"",'INVOCAÇÕES'!$AH$499&amp;"")</f>
        <v/>
      </c>
      <c r="C4593" s="198">
        <f>"'INVOCAÇÕES'!AH460"</f>
        <v/>
      </c>
      <c r="D4593" s="198" t="inlineStr">
        <is>
          <t>entrada</t>
        </is>
      </c>
    </row>
    <row r="4594">
      <c r="A4594" s="198" t="inlineStr">
        <is>
          <t>invocacao.9.esp.1.resolucao_escolha</t>
        </is>
      </c>
      <c r="B4594" s="198">
        <f>IF(ISBLANK('INVOCAÇÕES'!$AJ$499),"",'INVOCAÇÕES'!$AJ$499&amp;"")</f>
        <v/>
      </c>
      <c r="C4594" s="198">
        <f>"'INVOCAÇÕES'!AJ460"</f>
        <v/>
      </c>
      <c r="D4594" s="198" t="inlineStr">
        <is>
          <t>entrada</t>
        </is>
      </c>
    </row>
    <row r="4595">
      <c r="A4595" s="198" t="inlineStr">
        <is>
          <t>invocacao.9.esp.1.acao</t>
        </is>
      </c>
      <c r="B4595" s="198">
        <f>IF(ISBLANK('INVOCAÇÕES'!$AH$500),"",'INVOCAÇÕES'!$AH$500&amp;"")</f>
        <v/>
      </c>
      <c r="C4595" s="198">
        <f>"'INVOCAÇÕES'!AH461"</f>
        <v/>
      </c>
      <c r="D4595" s="198" t="inlineStr">
        <is>
          <t>resultado</t>
        </is>
      </c>
    </row>
    <row r="4596">
      <c r="A4596" s="198" t="inlineStr">
        <is>
          <t>invocacao.9.esp.1.resolve</t>
        </is>
      </c>
      <c r="B4596" s="198">
        <f>IF(ISBLANK('INVOCAÇÕES'!$AJ$500),"",'INVOCAÇÕES'!$AJ$500&amp;"")</f>
        <v/>
      </c>
      <c r="C4596" s="198">
        <f>"'INVOCAÇÕES'!AJ461"</f>
        <v/>
      </c>
      <c r="D4596" s="198" t="inlineStr">
        <is>
          <t>resultado</t>
        </is>
      </c>
    </row>
    <row r="4597">
      <c r="A4597" s="198" t="inlineStr">
        <is>
          <t>invocacao.9.esp.1.alcance</t>
        </is>
      </c>
      <c r="B4597" s="198">
        <f>IF(ISBLANK('INVOCAÇÕES'!$AH$501),"",'INVOCAÇÕES'!$AH$501&amp;"")</f>
        <v/>
      </c>
      <c r="C4597" s="198">
        <f>"'INVOCAÇÕES'!AH462"</f>
        <v/>
      </c>
      <c r="D4597" s="198" t="inlineStr">
        <is>
          <t>resultado</t>
        </is>
      </c>
    </row>
    <row r="4598">
      <c r="A4598" s="198" t="inlineStr">
        <is>
          <t>invocacao.9.esp.2.texto</t>
        </is>
      </c>
      <c r="B4598" s="198">
        <f>IF(ISBLANK('INVOCAÇÕES'!$AN$495),"",'INVOCAÇÕES'!$AN$495&amp;"")</f>
        <v/>
      </c>
      <c r="C4598" s="198">
        <f>"'INVOCAÇÕES'!AN456"</f>
        <v/>
      </c>
      <c r="D4598" s="198" t="inlineStr">
        <is>
          <t>entrada</t>
        </is>
      </c>
    </row>
    <row r="4599">
      <c r="A4599" s="198" t="inlineStr">
        <is>
          <t>invocacao.9.esp.2.tipo_dano</t>
        </is>
      </c>
      <c r="B4599" s="198">
        <f>IF(ISBLANK('INVOCAÇÕES'!$AN$499),"",'INVOCAÇÕES'!$AN$499&amp;"")</f>
        <v/>
      </c>
      <c r="C4599" s="198">
        <f>"'INVOCAÇÕES'!AN460"</f>
        <v/>
      </c>
      <c r="D4599" s="198" t="inlineStr">
        <is>
          <t>entrada</t>
        </is>
      </c>
    </row>
    <row r="4600">
      <c r="A4600" s="198" t="inlineStr">
        <is>
          <t>invocacao.9.esp.2.resolucao_escolha</t>
        </is>
      </c>
      <c r="B4600" s="198">
        <f>IF(ISBLANK('INVOCAÇÕES'!$AP$499),"",'INVOCAÇÕES'!$AP$499&amp;"")</f>
        <v/>
      </c>
      <c r="C4600" s="198">
        <f>"'INVOCAÇÕES'!AP460"</f>
        <v/>
      </c>
      <c r="D4600" s="198" t="inlineStr">
        <is>
          <t>entrada</t>
        </is>
      </c>
    </row>
    <row r="4601">
      <c r="A4601" s="198" t="inlineStr">
        <is>
          <t>invocacao.9.esp.2.acao</t>
        </is>
      </c>
      <c r="B4601" s="198">
        <f>IF(ISBLANK('INVOCAÇÕES'!$AN$500),"",'INVOCAÇÕES'!$AN$500&amp;"")</f>
        <v/>
      </c>
      <c r="C4601" s="198">
        <f>"'INVOCAÇÕES'!AN461"</f>
        <v/>
      </c>
      <c r="D4601" s="198" t="inlineStr">
        <is>
          <t>resultado</t>
        </is>
      </c>
    </row>
    <row r="4602">
      <c r="A4602" s="198" t="inlineStr">
        <is>
          <t>invocacao.9.esp.2.resolve</t>
        </is>
      </c>
      <c r="B4602" s="198">
        <f>IF(ISBLANK('INVOCAÇÕES'!$AP$500),"",'INVOCAÇÕES'!$AP$500&amp;"")</f>
        <v/>
      </c>
      <c r="C4602" s="198">
        <f>"'INVOCAÇÕES'!AP461"</f>
        <v/>
      </c>
      <c r="D4602" s="198" t="inlineStr">
        <is>
          <t>resultado</t>
        </is>
      </c>
    </row>
    <row r="4603">
      <c r="A4603" s="198" t="inlineStr">
        <is>
          <t>invocacao.9.esp.2.alcance</t>
        </is>
      </c>
      <c r="B4603" s="198">
        <f>IF(ISBLANK('INVOCAÇÕES'!$AN$501),"",'INVOCAÇÕES'!$AN$501&amp;"")</f>
        <v/>
      </c>
      <c r="C4603" s="198">
        <f>"'INVOCAÇÕES'!AN462"</f>
        <v/>
      </c>
      <c r="D4603" s="198" t="inlineStr">
        <is>
          <t>resultado</t>
        </is>
      </c>
    </row>
    <row r="4604">
      <c r="A4604" s="198" t="inlineStr">
        <is>
          <t>invocacao.9.bas.2.texto</t>
        </is>
      </c>
      <c r="B4604" s="198">
        <f>IF(ISBLANK('INVOCAÇÕES'!$AB$529),"",'INVOCAÇÕES'!$AB$529&amp;"")</f>
        <v/>
      </c>
      <c r="C4604" s="198">
        <f>"'INVOCAÇÕES'!AB490"</f>
        <v/>
      </c>
      <c r="D4604" s="198" t="inlineStr">
        <is>
          <t>entrada</t>
        </is>
      </c>
    </row>
    <row r="4605">
      <c r="A4605" s="198" t="inlineStr">
        <is>
          <t>invocacao.9.bas.2.tipo_dano</t>
        </is>
      </c>
      <c r="B4605" s="198">
        <f>IF(ISBLANK('INVOCAÇÕES'!$AB$533),"",'INVOCAÇÕES'!$AB$533&amp;"")</f>
        <v/>
      </c>
      <c r="C4605" s="198">
        <f>"'INVOCAÇÕES'!AB494"</f>
        <v/>
      </c>
      <c r="D4605" s="198" t="inlineStr">
        <is>
          <t>entrada</t>
        </is>
      </c>
    </row>
    <row r="4606">
      <c r="A4606" s="198" t="inlineStr">
        <is>
          <t>invocacao.9.bas.2.resolucao_escolha</t>
        </is>
      </c>
      <c r="B4606" s="198">
        <f>IF(ISBLANK('INVOCAÇÕES'!$AD$533),"",'INVOCAÇÕES'!$AD$533&amp;"")</f>
        <v/>
      </c>
      <c r="C4606" s="198">
        <f>"'INVOCAÇÕES'!AD494"</f>
        <v/>
      </c>
      <c r="D4606" s="198" t="inlineStr">
        <is>
          <t>entrada</t>
        </is>
      </c>
    </row>
    <row r="4607">
      <c r="A4607" s="198" t="inlineStr">
        <is>
          <t>invocacao.9.bas.2.acao</t>
        </is>
      </c>
      <c r="B4607" s="198">
        <f>IF(ISBLANK('INVOCAÇÕES'!$AB$534),"",'INVOCAÇÕES'!$AB$534&amp;"")</f>
        <v/>
      </c>
      <c r="C4607" s="198">
        <f>"'INVOCAÇÕES'!AB495"</f>
        <v/>
      </c>
      <c r="D4607" s="198" t="inlineStr">
        <is>
          <t>resultado</t>
        </is>
      </c>
    </row>
    <row r="4608">
      <c r="A4608" s="198" t="inlineStr">
        <is>
          <t>invocacao.9.bas.2.resolve</t>
        </is>
      </c>
      <c r="B4608" s="198">
        <f>IF(ISBLANK('INVOCAÇÕES'!$AD$534),"",'INVOCAÇÕES'!$AD$534&amp;"")</f>
        <v/>
      </c>
      <c r="C4608" s="198">
        <f>"'INVOCAÇÕES'!AD495"</f>
        <v/>
      </c>
      <c r="D4608" s="198" t="inlineStr">
        <is>
          <t>resultado</t>
        </is>
      </c>
    </row>
    <row r="4609">
      <c r="A4609" s="198" t="inlineStr">
        <is>
          <t>invocacao.9.bas.2.alcance</t>
        </is>
      </c>
      <c r="B4609" s="198">
        <f>IF(ISBLANK('INVOCAÇÕES'!$AB$535),"",'INVOCAÇÕES'!$AB$535&amp;"")</f>
        <v/>
      </c>
      <c r="C4609" s="198">
        <f>"'INVOCAÇÕES'!AB496"</f>
        <v/>
      </c>
      <c r="D4609" s="198" t="inlineStr">
        <is>
          <t>resultado</t>
        </is>
      </c>
    </row>
    <row r="4610">
      <c r="A4610" s="198" t="inlineStr">
        <is>
          <t>invocacao.9.esp.3.texto</t>
        </is>
      </c>
      <c r="B4610" s="198">
        <f>IF(ISBLANK('INVOCAÇÕES'!$AH$529),"",'INVOCAÇÕES'!$AH$529&amp;"")</f>
        <v/>
      </c>
      <c r="C4610" s="198">
        <f>"'INVOCAÇÕES'!AH490"</f>
        <v/>
      </c>
      <c r="D4610" s="198" t="inlineStr">
        <is>
          <t>entrada</t>
        </is>
      </c>
    </row>
    <row r="4611">
      <c r="A4611" s="198" t="inlineStr">
        <is>
          <t>invocacao.9.esp.3.tipo_dano</t>
        </is>
      </c>
      <c r="B4611" s="198">
        <f>IF(ISBLANK('INVOCAÇÕES'!$AH$533),"",'INVOCAÇÕES'!$AH$533&amp;"")</f>
        <v/>
      </c>
      <c r="C4611" s="198">
        <f>"'INVOCAÇÕES'!AH494"</f>
        <v/>
      </c>
      <c r="D4611" s="198" t="inlineStr">
        <is>
          <t>entrada</t>
        </is>
      </c>
    </row>
    <row r="4612">
      <c r="A4612" s="198" t="inlineStr">
        <is>
          <t>invocacao.9.esp.3.resolucao_escolha</t>
        </is>
      </c>
      <c r="B4612" s="198">
        <f>IF(ISBLANK('INVOCAÇÕES'!$AJ$533),"",'INVOCAÇÕES'!$AJ$533&amp;"")</f>
        <v/>
      </c>
      <c r="C4612" s="198">
        <f>"'INVOCAÇÕES'!AJ494"</f>
        <v/>
      </c>
      <c r="D4612" s="198" t="inlineStr">
        <is>
          <t>entrada</t>
        </is>
      </c>
    </row>
    <row r="4613">
      <c r="A4613" s="198" t="inlineStr">
        <is>
          <t>invocacao.9.esp.3.acao</t>
        </is>
      </c>
      <c r="B4613" s="198">
        <f>IF(ISBLANK('INVOCAÇÕES'!$AH$534),"",'INVOCAÇÕES'!$AH$534&amp;"")</f>
        <v/>
      </c>
      <c r="C4613" s="198">
        <f>"'INVOCAÇÕES'!AH495"</f>
        <v/>
      </c>
      <c r="D4613" s="198" t="inlineStr">
        <is>
          <t>resultado</t>
        </is>
      </c>
    </row>
    <row r="4614">
      <c r="A4614" s="198" t="inlineStr">
        <is>
          <t>invocacao.9.esp.3.resolve</t>
        </is>
      </c>
      <c r="B4614" s="198">
        <f>IF(ISBLANK('INVOCAÇÕES'!$AJ$534),"",'INVOCAÇÕES'!$AJ$534&amp;"")</f>
        <v/>
      </c>
      <c r="C4614" s="198">
        <f>"'INVOCAÇÕES'!AJ495"</f>
        <v/>
      </c>
      <c r="D4614" s="198" t="inlineStr">
        <is>
          <t>resultado</t>
        </is>
      </c>
    </row>
    <row r="4615">
      <c r="A4615" s="198" t="inlineStr">
        <is>
          <t>invocacao.9.esp.3.alcance</t>
        </is>
      </c>
      <c r="B4615" s="198">
        <f>IF(ISBLANK('INVOCAÇÕES'!$AH$535),"",'INVOCAÇÕES'!$AH$535&amp;"")</f>
        <v/>
      </c>
      <c r="C4615" s="198">
        <f>"'INVOCAÇÕES'!AH496"</f>
        <v/>
      </c>
      <c r="D4615" s="198" t="inlineStr">
        <is>
          <t>resultado</t>
        </is>
      </c>
    </row>
    <row r="4616">
      <c r="A4616" s="198" t="inlineStr">
        <is>
          <t>invocacao.9.esp.4.texto</t>
        </is>
      </c>
      <c r="B4616" s="198">
        <f>IF(ISBLANK('INVOCAÇÕES'!$AN$529),"",'INVOCAÇÕES'!$AN$529&amp;"")</f>
        <v/>
      </c>
      <c r="C4616" s="198">
        <f>"'INVOCAÇÕES'!AN490"</f>
        <v/>
      </c>
      <c r="D4616" s="198" t="inlineStr">
        <is>
          <t>entrada</t>
        </is>
      </c>
    </row>
    <row r="4617">
      <c r="A4617" s="198" t="inlineStr">
        <is>
          <t>invocacao.9.esp.4.tipo_dano</t>
        </is>
      </c>
      <c r="B4617" s="198">
        <f>IF(ISBLANK('INVOCAÇÕES'!$AN$533),"",'INVOCAÇÕES'!$AN$533&amp;"")</f>
        <v/>
      </c>
      <c r="C4617" s="198">
        <f>"'INVOCAÇÕES'!AN494"</f>
        <v/>
      </c>
      <c r="D4617" s="198" t="inlineStr">
        <is>
          <t>entrada</t>
        </is>
      </c>
    </row>
    <row r="4618">
      <c r="A4618" s="198" t="inlineStr">
        <is>
          <t>invocacao.9.esp.4.resolucao_escolha</t>
        </is>
      </c>
      <c r="B4618" s="198">
        <f>IF(ISBLANK('INVOCAÇÕES'!$AP$533),"",'INVOCAÇÕES'!$AP$533&amp;"")</f>
        <v/>
      </c>
      <c r="C4618" s="198">
        <f>"'INVOCAÇÕES'!AP494"</f>
        <v/>
      </c>
      <c r="D4618" s="198" t="inlineStr">
        <is>
          <t>entrada</t>
        </is>
      </c>
    </row>
    <row r="4619">
      <c r="A4619" s="198" t="inlineStr">
        <is>
          <t>invocacao.9.esp.4.acao</t>
        </is>
      </c>
      <c r="B4619" s="198">
        <f>IF(ISBLANK('INVOCAÇÕES'!$AN$534),"",'INVOCAÇÕES'!$AN$534&amp;"")</f>
        <v/>
      </c>
      <c r="C4619" s="198">
        <f>"'INVOCAÇÕES'!AN495"</f>
        <v/>
      </c>
      <c r="D4619" s="198" t="inlineStr">
        <is>
          <t>resultado</t>
        </is>
      </c>
    </row>
    <row r="4620">
      <c r="A4620" s="198" t="inlineStr">
        <is>
          <t>invocacao.9.esp.4.resolve</t>
        </is>
      </c>
      <c r="B4620" s="198">
        <f>IF(ISBLANK('INVOCAÇÕES'!$AP$534),"",'INVOCAÇÕES'!$AP$534&amp;"")</f>
        <v/>
      </c>
      <c r="C4620" s="198">
        <f>"'INVOCAÇÕES'!AP495"</f>
        <v/>
      </c>
      <c r="D4620" s="198" t="inlineStr">
        <is>
          <t>resultado</t>
        </is>
      </c>
    </row>
    <row r="4621">
      <c r="A4621" s="198" t="inlineStr">
        <is>
          <t>invocacao.9.esp.4.alcance</t>
        </is>
      </c>
      <c r="B4621" s="198">
        <f>IF(ISBLANK('INVOCAÇÕES'!$AN$535),"",'INVOCAÇÕES'!$AN$535&amp;"")</f>
        <v/>
      </c>
      <c r="C4621" s="198">
        <f>"'INVOCAÇÕES'!AN496"</f>
        <v/>
      </c>
      <c r="D4621" s="198" t="inlineStr">
        <is>
          <t>resultado</t>
        </is>
      </c>
    </row>
    <row r="4622">
      <c r="A4622" s="198" t="inlineStr">
        <is>
          <t>invocacao.9.esp.5.texto</t>
        </is>
      </c>
      <c r="B4622" s="198">
        <f>IF(ISBLANK('INVOCAÇÕES'!$AB$551),"",'INVOCAÇÕES'!$AB$551&amp;"")</f>
        <v/>
      </c>
      <c r="C4622" s="198">
        <f>"'INVOCAÇÕES'!AB512"</f>
        <v/>
      </c>
      <c r="D4622" s="198" t="inlineStr">
        <is>
          <t>entrada</t>
        </is>
      </c>
    </row>
    <row r="4623">
      <c r="A4623" s="198" t="inlineStr">
        <is>
          <t>invocacao.9.esp.5.tipo_dano</t>
        </is>
      </c>
      <c r="B4623" s="198">
        <f>IF(ISBLANK('INVOCAÇÕES'!$AB$555),"",'INVOCAÇÕES'!$AB$555&amp;"")</f>
        <v/>
      </c>
      <c r="C4623" s="198">
        <f>"'INVOCAÇÕES'!AB516"</f>
        <v/>
      </c>
      <c r="D4623" s="198" t="inlineStr">
        <is>
          <t>entrada</t>
        </is>
      </c>
    </row>
    <row r="4624">
      <c r="A4624" s="198" t="inlineStr">
        <is>
          <t>invocacao.9.esp.5.resolucao_escolha</t>
        </is>
      </c>
      <c r="B4624" s="198">
        <f>IF(ISBLANK('INVOCAÇÕES'!$AD$555),"",'INVOCAÇÕES'!$AD$555&amp;"")</f>
        <v/>
      </c>
      <c r="C4624" s="198">
        <f>"'INVOCAÇÕES'!AD516"</f>
        <v/>
      </c>
      <c r="D4624" s="198" t="inlineStr">
        <is>
          <t>entrada</t>
        </is>
      </c>
    </row>
    <row r="4625">
      <c r="A4625" s="198" t="inlineStr">
        <is>
          <t>invocacao.9.esp.5.acao</t>
        </is>
      </c>
      <c r="B4625" s="198">
        <f>IF(ISBLANK('INVOCAÇÕES'!$AB$556),"",'INVOCAÇÕES'!$AB$556&amp;"")</f>
        <v/>
      </c>
      <c r="C4625" s="198">
        <f>"'INVOCAÇÕES'!AB517"</f>
        <v/>
      </c>
      <c r="D4625" s="198" t="inlineStr">
        <is>
          <t>resultado</t>
        </is>
      </c>
    </row>
    <row r="4626">
      <c r="A4626" s="198" t="inlineStr">
        <is>
          <t>invocacao.9.esp.5.resolve</t>
        </is>
      </c>
      <c r="B4626" s="198">
        <f>IF(ISBLANK('INVOCAÇÕES'!$AD$556),"",'INVOCAÇÕES'!$AD$556&amp;"")</f>
        <v/>
      </c>
      <c r="C4626" s="198">
        <f>"'INVOCAÇÕES'!AD517"</f>
        <v/>
      </c>
      <c r="D4626" s="198" t="inlineStr">
        <is>
          <t>resultado</t>
        </is>
      </c>
    </row>
    <row r="4627">
      <c r="A4627" s="198" t="inlineStr">
        <is>
          <t>invocacao.9.esp.5.alcance</t>
        </is>
      </c>
      <c r="B4627" s="198">
        <f>IF(ISBLANK('INVOCAÇÕES'!$AB$557),"",'INVOCAÇÕES'!$AB$557&amp;"")</f>
        <v/>
      </c>
      <c r="C4627" s="198">
        <f>"'INVOCAÇÕES'!AB518"</f>
        <v/>
      </c>
      <c r="D4627" s="198" t="inlineStr">
        <is>
          <t>resultado</t>
        </is>
      </c>
    </row>
    <row r="4628">
      <c r="A4628" s="198" t="inlineStr">
        <is>
          <t>invocacao.9.esp.6.texto</t>
        </is>
      </c>
      <c r="B4628" s="198">
        <f>IF(ISBLANK('INVOCAÇÕES'!$AH$551),"",'INVOCAÇÕES'!$AH$551&amp;"")</f>
        <v/>
      </c>
      <c r="C4628" s="198">
        <f>"'INVOCAÇÕES'!AH512"</f>
        <v/>
      </c>
      <c r="D4628" s="198" t="inlineStr">
        <is>
          <t>entrada</t>
        </is>
      </c>
    </row>
    <row r="4629">
      <c r="A4629" s="198" t="inlineStr">
        <is>
          <t>invocacao.9.esp.6.tipo_dano</t>
        </is>
      </c>
      <c r="B4629" s="198">
        <f>IF(ISBLANK('INVOCAÇÕES'!$AH$555),"",'INVOCAÇÕES'!$AH$555&amp;"")</f>
        <v/>
      </c>
      <c r="C4629" s="198">
        <f>"'INVOCAÇÕES'!AH516"</f>
        <v/>
      </c>
      <c r="D4629" s="198" t="inlineStr">
        <is>
          <t>entrada</t>
        </is>
      </c>
    </row>
    <row r="4630">
      <c r="A4630" s="198" t="inlineStr">
        <is>
          <t>invocacao.9.esp.6.resolucao_escolha</t>
        </is>
      </c>
      <c r="B4630" s="198">
        <f>IF(ISBLANK('INVOCAÇÕES'!$AJ$555),"",'INVOCAÇÕES'!$AJ$555&amp;"")</f>
        <v/>
      </c>
      <c r="C4630" s="198">
        <f>"'INVOCAÇÕES'!AJ516"</f>
        <v/>
      </c>
      <c r="D4630" s="198" t="inlineStr">
        <is>
          <t>entrada</t>
        </is>
      </c>
    </row>
    <row r="4631">
      <c r="A4631" s="198" t="inlineStr">
        <is>
          <t>invocacao.9.esp.6.acao</t>
        </is>
      </c>
      <c r="B4631" s="198">
        <f>IF(ISBLANK('INVOCAÇÕES'!$AH$556),"",'INVOCAÇÕES'!$AH$556&amp;"")</f>
        <v/>
      </c>
      <c r="C4631" s="198">
        <f>"'INVOCAÇÕES'!AH517"</f>
        <v/>
      </c>
      <c r="D4631" s="198" t="inlineStr">
        <is>
          <t>resultado</t>
        </is>
      </c>
    </row>
    <row r="4632">
      <c r="A4632" s="198" t="inlineStr">
        <is>
          <t>invocacao.9.esp.6.resolve</t>
        </is>
      </c>
      <c r="B4632" s="198">
        <f>IF(ISBLANK('INVOCAÇÕES'!$AJ$556),"",'INVOCAÇÕES'!$AJ$556&amp;"")</f>
        <v/>
      </c>
      <c r="C4632" s="198">
        <f>"'INVOCAÇÕES'!AJ517"</f>
        <v/>
      </c>
      <c r="D4632" s="198" t="inlineStr">
        <is>
          <t>resultado</t>
        </is>
      </c>
    </row>
    <row r="4633">
      <c r="A4633" s="198" t="inlineStr">
        <is>
          <t>invocacao.9.esp.6.alcance</t>
        </is>
      </c>
      <c r="B4633" s="198">
        <f>IF(ISBLANK('INVOCAÇÕES'!$AH$557),"",'INVOCAÇÕES'!$AH$557&amp;"")</f>
        <v/>
      </c>
      <c r="C4633" s="198">
        <f>"'INVOCAÇÕES'!AH518"</f>
        <v/>
      </c>
      <c r="D4633" s="198" t="inlineStr">
        <is>
          <t>resultado</t>
        </is>
      </c>
    </row>
    <row r="4634">
      <c r="A4634" s="198" t="inlineStr">
        <is>
          <t>invocacao.9.esp.7.texto</t>
        </is>
      </c>
      <c r="B4634" s="198">
        <f>IF(ISBLANK('INVOCAÇÕES'!$AN$551),"",'INVOCAÇÕES'!$AN$551&amp;"")</f>
        <v/>
      </c>
      <c r="C4634" s="198">
        <f>"'INVOCAÇÕES'!AN512"</f>
        <v/>
      </c>
      <c r="D4634" s="198" t="inlineStr">
        <is>
          <t>entrada</t>
        </is>
      </c>
    </row>
    <row r="4635">
      <c r="A4635" s="198" t="inlineStr">
        <is>
          <t>invocacao.9.esp.7.tipo_dano</t>
        </is>
      </c>
      <c r="B4635" s="198">
        <f>IF(ISBLANK('INVOCAÇÕES'!$AN$555),"",'INVOCAÇÕES'!$AN$555&amp;"")</f>
        <v/>
      </c>
      <c r="C4635" s="198">
        <f>"'INVOCAÇÕES'!AN516"</f>
        <v/>
      </c>
      <c r="D4635" s="198" t="inlineStr">
        <is>
          <t>entrada</t>
        </is>
      </c>
    </row>
    <row r="4636">
      <c r="A4636" s="198" t="inlineStr">
        <is>
          <t>invocacao.9.esp.7.resolucao_escolha</t>
        </is>
      </c>
      <c r="B4636" s="198">
        <f>IF(ISBLANK('INVOCAÇÕES'!$AP$555),"",'INVOCAÇÕES'!$AP$555&amp;"")</f>
        <v/>
      </c>
      <c r="C4636" s="198">
        <f>"'INVOCAÇÕES'!AP516"</f>
        <v/>
      </c>
      <c r="D4636" s="198" t="inlineStr">
        <is>
          <t>entrada</t>
        </is>
      </c>
    </row>
    <row r="4637">
      <c r="A4637" s="198" t="inlineStr">
        <is>
          <t>invocacao.9.esp.7.acao</t>
        </is>
      </c>
      <c r="B4637" s="198">
        <f>IF(ISBLANK('INVOCAÇÕES'!$AN$556),"",'INVOCAÇÕES'!$AN$556&amp;"")</f>
        <v/>
      </c>
      <c r="C4637" s="198">
        <f>"'INVOCAÇÕES'!AN517"</f>
        <v/>
      </c>
      <c r="D4637" s="198" t="inlineStr">
        <is>
          <t>resultado</t>
        </is>
      </c>
    </row>
    <row r="4638">
      <c r="A4638" s="198" t="inlineStr">
        <is>
          <t>invocacao.9.esp.7.resolve</t>
        </is>
      </c>
      <c r="B4638" s="198">
        <f>IF(ISBLANK('INVOCAÇÕES'!$AP$556),"",'INVOCAÇÕES'!$AP$556&amp;"")</f>
        <v/>
      </c>
      <c r="C4638" s="198">
        <f>"'INVOCAÇÕES'!AP517"</f>
        <v/>
      </c>
      <c r="D4638" s="198" t="inlineStr">
        <is>
          <t>resultado</t>
        </is>
      </c>
    </row>
    <row r="4639">
      <c r="A4639" s="198" t="inlineStr">
        <is>
          <t>invocacao.9.esp.7.alcance</t>
        </is>
      </c>
      <c r="B4639" s="198">
        <f>IF(ISBLANK('INVOCAÇÕES'!$AN$557),"",'INVOCAÇÕES'!$AN$557&amp;"")</f>
        <v/>
      </c>
      <c r="C4639" s="198">
        <f>"'INVOCAÇÕES'!AN518"</f>
        <v/>
      </c>
      <c r="D4639" s="198" t="inlineStr">
        <is>
          <t>resultado</t>
        </is>
      </c>
    </row>
    <row r="4640">
      <c r="A4640" s="198" t="inlineStr">
        <is>
          <t>invocacao.9.esp.8.texto</t>
        </is>
      </c>
      <c r="B4640" s="198">
        <f>IF(ISBLANK('INVOCAÇÕES'!$AB$573),"",'INVOCAÇÕES'!$AB$573&amp;"")</f>
        <v/>
      </c>
      <c r="C4640" s="198">
        <f>"'INVOCAÇÕES'!AB534"</f>
        <v/>
      </c>
      <c r="D4640" s="198" t="inlineStr">
        <is>
          <t>entrada</t>
        </is>
      </c>
    </row>
    <row r="4641">
      <c r="A4641" s="198" t="inlineStr">
        <is>
          <t>invocacao.9.esp.8.tipo_dano</t>
        </is>
      </c>
      <c r="B4641" s="198">
        <f>IF(ISBLANK('INVOCAÇÕES'!$AB$577),"",'INVOCAÇÕES'!$AB$577&amp;"")</f>
        <v/>
      </c>
      <c r="C4641" s="198">
        <f>"'INVOCAÇÕES'!AB538"</f>
        <v/>
      </c>
      <c r="D4641" s="198" t="inlineStr">
        <is>
          <t>entrada</t>
        </is>
      </c>
    </row>
    <row r="4642">
      <c r="A4642" s="198" t="inlineStr">
        <is>
          <t>invocacao.9.esp.8.resolucao_escolha</t>
        </is>
      </c>
      <c r="B4642" s="198">
        <f>IF(ISBLANK('INVOCAÇÕES'!$AD$577),"",'INVOCAÇÕES'!$AD$577&amp;"")</f>
        <v/>
      </c>
      <c r="C4642" s="198">
        <f>"'INVOCAÇÕES'!AD538"</f>
        <v/>
      </c>
      <c r="D4642" s="198" t="inlineStr">
        <is>
          <t>entrada</t>
        </is>
      </c>
    </row>
    <row r="4643">
      <c r="A4643" s="198" t="inlineStr">
        <is>
          <t>invocacao.9.esp.8.acao</t>
        </is>
      </c>
      <c r="B4643" s="198">
        <f>IF(ISBLANK('INVOCAÇÕES'!$AB$578),"",'INVOCAÇÕES'!$AB$578&amp;"")</f>
        <v/>
      </c>
      <c r="C4643" s="198">
        <f>"'INVOCAÇÕES'!AB539"</f>
        <v/>
      </c>
      <c r="D4643" s="198" t="inlineStr">
        <is>
          <t>resultado</t>
        </is>
      </c>
    </row>
    <row r="4644">
      <c r="A4644" s="198" t="inlineStr">
        <is>
          <t>invocacao.9.esp.8.resolve</t>
        </is>
      </c>
      <c r="B4644" s="198">
        <f>IF(ISBLANK('INVOCAÇÕES'!$AD$578),"",'INVOCAÇÕES'!$AD$578&amp;"")</f>
        <v/>
      </c>
      <c r="C4644" s="198">
        <f>"'INVOCAÇÕES'!AD539"</f>
        <v/>
      </c>
      <c r="D4644" s="198" t="inlineStr">
        <is>
          <t>resultado</t>
        </is>
      </c>
    </row>
    <row r="4645">
      <c r="A4645" s="198" t="inlineStr">
        <is>
          <t>invocacao.9.esp.8.alcance</t>
        </is>
      </c>
      <c r="B4645" s="198">
        <f>IF(ISBLANK('INVOCAÇÕES'!$AB$579),"",'INVOCAÇÕES'!$AB$579&amp;"")</f>
        <v/>
      </c>
      <c r="C4645" s="198">
        <f>"'INVOCAÇÕES'!AB540"</f>
        <v/>
      </c>
      <c r="D4645" s="198" t="inlineStr">
        <is>
          <t>resultado</t>
        </is>
      </c>
    </row>
    <row r="4646">
      <c r="A4646" s="198" t="inlineStr">
        <is>
          <t>invocacao.9.ext.1.texto</t>
        </is>
      </c>
      <c r="B4646" s="198">
        <f>IF(ISBLANK('INVOCAÇÕES'!$AB$597),"",'INVOCAÇÕES'!$AB$597&amp;"")</f>
        <v/>
      </c>
      <c r="C4646" s="198">
        <f>"'INVOCAÇÕES'!AB558"</f>
        <v/>
      </c>
      <c r="D4646" s="198" t="inlineStr">
        <is>
          <t>entrada</t>
        </is>
      </c>
    </row>
    <row r="4647">
      <c r="A4647" s="198" t="inlineStr">
        <is>
          <t>invocacao.9.ext.1.tipo_dano</t>
        </is>
      </c>
      <c r="B4647" s="198">
        <f>IF(ISBLANK('INVOCAÇÕES'!$AB$601),"",'INVOCAÇÕES'!$AB$601&amp;"")</f>
        <v/>
      </c>
      <c r="C4647" s="198">
        <f>"'INVOCAÇÕES'!AB562"</f>
        <v/>
      </c>
      <c r="D4647" s="198" t="inlineStr">
        <is>
          <t>entrada</t>
        </is>
      </c>
    </row>
    <row r="4648">
      <c r="A4648" s="198" t="inlineStr">
        <is>
          <t>invocacao.9.ext.1.resolucao_escolha</t>
        </is>
      </c>
      <c r="B4648" s="198">
        <f>IF(ISBLANK('INVOCAÇÕES'!$AD$601),"",'INVOCAÇÕES'!$AD$601&amp;"")</f>
        <v/>
      </c>
      <c r="C4648" s="198">
        <f>"'INVOCAÇÕES'!AD562"</f>
        <v/>
      </c>
      <c r="D4648" s="198" t="inlineStr">
        <is>
          <t>entrada</t>
        </is>
      </c>
    </row>
    <row r="4649">
      <c r="A4649" s="198" t="inlineStr">
        <is>
          <t>invocacao.9.ext.1.acao</t>
        </is>
      </c>
      <c r="B4649" s="198">
        <f>IF(ISBLANK('INVOCAÇÕES'!$AB$602),"",'INVOCAÇÕES'!$AB$602&amp;"")</f>
        <v/>
      </c>
      <c r="C4649" s="198">
        <f>"'INVOCAÇÕES'!AB563"</f>
        <v/>
      </c>
      <c r="D4649" s="198" t="inlineStr">
        <is>
          <t>resultado</t>
        </is>
      </c>
    </row>
    <row r="4650">
      <c r="A4650" s="198" t="inlineStr">
        <is>
          <t>invocacao.9.ext.1.resolve</t>
        </is>
      </c>
      <c r="B4650" s="198">
        <f>IF(ISBLANK('INVOCAÇÕES'!$AD$602),"",'INVOCAÇÕES'!$AD$602&amp;"")</f>
        <v/>
      </c>
      <c r="C4650" s="198">
        <f>"'INVOCAÇÕES'!AD563"</f>
        <v/>
      </c>
      <c r="D4650" s="198" t="inlineStr">
        <is>
          <t>resultado</t>
        </is>
      </c>
    </row>
    <row r="4651">
      <c r="A4651" s="198" t="inlineStr">
        <is>
          <t>invocacao.9.ext.1.alcance</t>
        </is>
      </c>
      <c r="B4651" s="198">
        <f>IF(ISBLANK('INVOCAÇÕES'!$AB$603),"",'INVOCAÇÕES'!$AB$603&amp;"")</f>
        <v/>
      </c>
      <c r="C4651" s="198">
        <f>"'INVOCAÇÕES'!AB564"</f>
        <v/>
      </c>
      <c r="D4651" s="198" t="inlineStr">
        <is>
          <t>resultado</t>
        </is>
      </c>
    </row>
    <row r="4652">
      <c r="A4652" s="198" t="inlineStr">
        <is>
          <t>invocacao.9.ext.2.texto</t>
        </is>
      </c>
      <c r="B4652" s="198">
        <f>IF(ISBLANK('INVOCAÇÕES'!$AH$597),"",'INVOCAÇÕES'!$AH$597&amp;"")</f>
        <v/>
      </c>
      <c r="C4652" s="198">
        <f>"'INVOCAÇÕES'!AH558"</f>
        <v/>
      </c>
      <c r="D4652" s="198" t="inlineStr">
        <is>
          <t>entrada</t>
        </is>
      </c>
    </row>
    <row r="4653">
      <c r="A4653" s="198" t="inlineStr">
        <is>
          <t>invocacao.9.ext.2.tipo_dano</t>
        </is>
      </c>
      <c r="B4653" s="198">
        <f>IF(ISBLANK('INVOCAÇÕES'!$AH$601),"",'INVOCAÇÕES'!$AH$601&amp;"")</f>
        <v/>
      </c>
      <c r="C4653" s="198">
        <f>"'INVOCAÇÕES'!AH562"</f>
        <v/>
      </c>
      <c r="D4653" s="198" t="inlineStr">
        <is>
          <t>entrada</t>
        </is>
      </c>
    </row>
    <row r="4654">
      <c r="A4654" s="198" t="inlineStr">
        <is>
          <t>invocacao.9.ext.2.resolucao_escolha</t>
        </is>
      </c>
      <c r="B4654" s="198">
        <f>IF(ISBLANK('INVOCAÇÕES'!$AJ$601),"",'INVOCAÇÕES'!$AJ$601&amp;"")</f>
        <v/>
      </c>
      <c r="C4654" s="198">
        <f>"'INVOCAÇÕES'!AJ562"</f>
        <v/>
      </c>
      <c r="D4654" s="198" t="inlineStr">
        <is>
          <t>entrada</t>
        </is>
      </c>
    </row>
    <row r="4655">
      <c r="A4655" s="198" t="inlineStr">
        <is>
          <t>invocacao.9.ext.2.acao</t>
        </is>
      </c>
      <c r="B4655" s="198">
        <f>IF(ISBLANK('INVOCAÇÕES'!$AH$602),"",'INVOCAÇÕES'!$AH$602&amp;"")</f>
        <v/>
      </c>
      <c r="C4655" s="198">
        <f>"'INVOCAÇÕES'!AH563"</f>
        <v/>
      </c>
      <c r="D4655" s="198" t="inlineStr">
        <is>
          <t>resultado</t>
        </is>
      </c>
    </row>
    <row r="4656">
      <c r="A4656" s="198" t="inlineStr">
        <is>
          <t>invocacao.9.ext.2.resolve</t>
        </is>
      </c>
      <c r="B4656" s="198">
        <f>IF(ISBLANK('INVOCAÇÕES'!$AJ$602),"",'INVOCAÇÕES'!$AJ$602&amp;"")</f>
        <v/>
      </c>
      <c r="C4656" s="198">
        <f>"'INVOCAÇÕES'!AJ563"</f>
        <v/>
      </c>
      <c r="D4656" s="198" t="inlineStr">
        <is>
          <t>resultado</t>
        </is>
      </c>
    </row>
    <row r="4657">
      <c r="A4657" s="198" t="inlineStr">
        <is>
          <t>invocacao.9.ext.2.alcance</t>
        </is>
      </c>
      <c r="B4657" s="198">
        <f>IF(ISBLANK('INVOCAÇÕES'!$AH$603),"",'INVOCAÇÕES'!$AH$603&amp;"")</f>
        <v/>
      </c>
      <c r="C4657" s="198">
        <f>"'INVOCAÇÕES'!AH564"</f>
        <v/>
      </c>
      <c r="D4657" s="198" t="inlineStr">
        <is>
          <t>resultado</t>
        </is>
      </c>
    </row>
    <row r="4658">
      <c r="A4658" s="198" t="inlineStr">
        <is>
          <t>invocacao.9.ext.3.texto</t>
        </is>
      </c>
      <c r="B4658" s="198">
        <f>IF(ISBLANK('INVOCAÇÕES'!$AN$597),"",'INVOCAÇÕES'!$AN$597&amp;"")</f>
        <v/>
      </c>
      <c r="C4658" s="198">
        <f>"'INVOCAÇÕES'!AN558"</f>
        <v/>
      </c>
      <c r="D4658" s="198" t="inlineStr">
        <is>
          <t>entrada</t>
        </is>
      </c>
    </row>
    <row r="4659">
      <c r="A4659" s="198" t="inlineStr">
        <is>
          <t>invocacao.9.ext.3.tipo_dano</t>
        </is>
      </c>
      <c r="B4659" s="198">
        <f>IF(ISBLANK('INVOCAÇÕES'!$AN$601),"",'INVOCAÇÕES'!$AN$601&amp;"")</f>
        <v/>
      </c>
      <c r="C4659" s="198">
        <f>"'INVOCAÇÕES'!AN562"</f>
        <v/>
      </c>
      <c r="D4659" s="198" t="inlineStr">
        <is>
          <t>entrada</t>
        </is>
      </c>
    </row>
    <row r="4660">
      <c r="A4660" s="198" t="inlineStr">
        <is>
          <t>invocacao.9.ext.3.resolucao_escolha</t>
        </is>
      </c>
      <c r="B4660" s="198">
        <f>IF(ISBLANK('INVOCAÇÕES'!$AP$601),"",'INVOCAÇÕES'!$AP$601&amp;"")</f>
        <v/>
      </c>
      <c r="C4660" s="198">
        <f>"'INVOCAÇÕES'!AP562"</f>
        <v/>
      </c>
      <c r="D4660" s="198" t="inlineStr">
        <is>
          <t>entrada</t>
        </is>
      </c>
    </row>
    <row r="4661">
      <c r="A4661" s="198" t="inlineStr">
        <is>
          <t>invocacao.9.ext.3.acao</t>
        </is>
      </c>
      <c r="B4661" s="198">
        <f>IF(ISBLANK('INVOCAÇÕES'!$AN$602),"",'INVOCAÇÕES'!$AN$602&amp;"")</f>
        <v/>
      </c>
      <c r="C4661" s="198">
        <f>"'INVOCAÇÕES'!AN563"</f>
        <v/>
      </c>
      <c r="D4661" s="198" t="inlineStr">
        <is>
          <t>resultado</t>
        </is>
      </c>
    </row>
    <row r="4662">
      <c r="A4662" s="198" t="inlineStr">
        <is>
          <t>invocacao.9.ext.3.resolve</t>
        </is>
      </c>
      <c r="B4662" s="198">
        <f>IF(ISBLANK('INVOCAÇÕES'!$AP$602),"",'INVOCAÇÕES'!$AP$602&amp;"")</f>
        <v/>
      </c>
      <c r="C4662" s="198">
        <f>"'INVOCAÇÕES'!AP563"</f>
        <v/>
      </c>
      <c r="D4662" s="198" t="inlineStr">
        <is>
          <t>resultado</t>
        </is>
      </c>
    </row>
    <row r="4663">
      <c r="A4663" s="198" t="inlineStr">
        <is>
          <t>invocacao.9.ext.3.alcance</t>
        </is>
      </c>
      <c r="B4663" s="198">
        <f>IF(ISBLANK('INVOCAÇÕES'!$AN$603),"",'INVOCAÇÕES'!$AN$603&amp;"")</f>
        <v/>
      </c>
      <c r="C4663" s="198">
        <f>"'INVOCAÇÕES'!AN564"</f>
        <v/>
      </c>
      <c r="D4663" s="198" t="inlineStr">
        <is>
          <t>resultado</t>
        </is>
      </c>
    </row>
    <row r="4664">
      <c r="A4664" s="198" t="inlineStr">
        <is>
          <t>invocacao.10.bas.1.texto</t>
        </is>
      </c>
      <c r="B4664" s="198">
        <f>IF(ISBLANK('INVOCAÇÕES'!$AB$706),"",'INVOCAÇÕES'!$AB$706&amp;"")</f>
        <v/>
      </c>
      <c r="C4664" s="198">
        <f>"'INVOCAÇÕES'!AB654"</f>
        <v/>
      </c>
      <c r="D4664" s="198" t="inlineStr">
        <is>
          <t>entrada</t>
        </is>
      </c>
    </row>
    <row r="4665">
      <c r="A4665" s="198" t="inlineStr">
        <is>
          <t>invocacao.10.bas.1.tipo_dano</t>
        </is>
      </c>
      <c r="B4665" s="198">
        <f>IF(ISBLANK('INVOCAÇÕES'!$AB$710),"",'INVOCAÇÕES'!$AB$710&amp;"")</f>
        <v/>
      </c>
      <c r="C4665" s="198">
        <f>"'INVOCAÇÕES'!AB658"</f>
        <v/>
      </c>
      <c r="D4665" s="198" t="inlineStr">
        <is>
          <t>entrada</t>
        </is>
      </c>
    </row>
    <row r="4666">
      <c r="A4666" s="198" t="inlineStr">
        <is>
          <t>invocacao.10.bas.1.resolucao_escolha</t>
        </is>
      </c>
      <c r="B4666" s="198">
        <f>IF(ISBLANK('INVOCAÇÕES'!$AD$710),"",'INVOCAÇÕES'!$AD$710&amp;"")</f>
        <v/>
      </c>
      <c r="C4666" s="198">
        <f>"'INVOCAÇÕES'!AD658"</f>
        <v/>
      </c>
      <c r="D4666" s="198" t="inlineStr">
        <is>
          <t>entrada</t>
        </is>
      </c>
    </row>
    <row r="4667">
      <c r="A4667" s="198" t="inlineStr">
        <is>
          <t>invocacao.10.bas.1.acao</t>
        </is>
      </c>
      <c r="B4667" s="198">
        <f>IF(ISBLANK('INVOCAÇÕES'!$AB$711),"",'INVOCAÇÕES'!$AB$711&amp;"")</f>
        <v/>
      </c>
      <c r="C4667" s="198">
        <f>"'INVOCAÇÕES'!AB659"</f>
        <v/>
      </c>
      <c r="D4667" s="198" t="inlineStr">
        <is>
          <t>resultado</t>
        </is>
      </c>
    </row>
    <row r="4668">
      <c r="A4668" s="198" t="inlineStr">
        <is>
          <t>invocacao.10.bas.1.resolve</t>
        </is>
      </c>
      <c r="B4668" s="198">
        <f>IF(ISBLANK('INVOCAÇÕES'!$AD$711),"",'INVOCAÇÕES'!$AD$711&amp;"")</f>
        <v/>
      </c>
      <c r="C4668" s="198">
        <f>"'INVOCAÇÕES'!AD659"</f>
        <v/>
      </c>
      <c r="D4668" s="198" t="inlineStr">
        <is>
          <t>resultado</t>
        </is>
      </c>
    </row>
    <row r="4669">
      <c r="A4669" s="198" t="inlineStr">
        <is>
          <t>invocacao.10.bas.1.alcance</t>
        </is>
      </c>
      <c r="B4669" s="198">
        <f>IF(ISBLANK('INVOCAÇÕES'!$AB$712),"",'INVOCAÇÕES'!$AB$712&amp;"")</f>
        <v/>
      </c>
      <c r="C4669" s="198">
        <f>"'INVOCAÇÕES'!AB660"</f>
        <v/>
      </c>
      <c r="D4669" s="198" t="inlineStr">
        <is>
          <t>resultado</t>
        </is>
      </c>
    </row>
    <row r="4670">
      <c r="A4670" s="198" t="inlineStr">
        <is>
          <t>invocacao.10.esp.1.texto</t>
        </is>
      </c>
      <c r="B4670" s="198">
        <f>IF(ISBLANK('INVOCAÇÕES'!$AH$706),"",'INVOCAÇÕES'!$AH$706&amp;"")</f>
        <v/>
      </c>
      <c r="C4670" s="198">
        <f>"'INVOCAÇÕES'!AH654"</f>
        <v/>
      </c>
      <c r="D4670" s="198" t="inlineStr">
        <is>
          <t>entrada</t>
        </is>
      </c>
    </row>
    <row r="4671">
      <c r="A4671" s="198" t="inlineStr">
        <is>
          <t>invocacao.10.esp.1.tipo_dano</t>
        </is>
      </c>
      <c r="B4671" s="198">
        <f>IF(ISBLANK('INVOCAÇÕES'!$AH$710),"",'INVOCAÇÕES'!$AH$710&amp;"")</f>
        <v/>
      </c>
      <c r="C4671" s="198">
        <f>"'INVOCAÇÕES'!AH658"</f>
        <v/>
      </c>
      <c r="D4671" s="198" t="inlineStr">
        <is>
          <t>entrada</t>
        </is>
      </c>
    </row>
    <row r="4672">
      <c r="A4672" s="198" t="inlineStr">
        <is>
          <t>invocacao.10.esp.1.resolucao_escolha</t>
        </is>
      </c>
      <c r="B4672" s="198">
        <f>IF(ISBLANK('INVOCAÇÕES'!$AJ$710),"",'INVOCAÇÕES'!$AJ$710&amp;"")</f>
        <v/>
      </c>
      <c r="C4672" s="198">
        <f>"'INVOCAÇÕES'!AJ658"</f>
        <v/>
      </c>
      <c r="D4672" s="198" t="inlineStr">
        <is>
          <t>entrada</t>
        </is>
      </c>
    </row>
    <row r="4673">
      <c r="A4673" s="198" t="inlineStr">
        <is>
          <t>invocacao.10.esp.1.acao</t>
        </is>
      </c>
      <c r="B4673" s="198">
        <f>IF(ISBLANK('INVOCAÇÕES'!$AH$711),"",'INVOCAÇÕES'!$AH$711&amp;"")</f>
        <v/>
      </c>
      <c r="C4673" s="198">
        <f>"'INVOCAÇÕES'!AH659"</f>
        <v/>
      </c>
      <c r="D4673" s="198" t="inlineStr">
        <is>
          <t>resultado</t>
        </is>
      </c>
    </row>
    <row r="4674">
      <c r="A4674" s="198" t="inlineStr">
        <is>
          <t>invocacao.10.esp.1.resolve</t>
        </is>
      </c>
      <c r="B4674" s="198">
        <f>IF(ISBLANK('INVOCAÇÕES'!$AJ$711),"",'INVOCAÇÕES'!$AJ$711&amp;"")</f>
        <v/>
      </c>
      <c r="C4674" s="198">
        <f>"'INVOCAÇÕES'!AJ659"</f>
        <v/>
      </c>
      <c r="D4674" s="198" t="inlineStr">
        <is>
          <t>resultado</t>
        </is>
      </c>
    </row>
    <row r="4675">
      <c r="A4675" s="198" t="inlineStr">
        <is>
          <t>invocacao.10.esp.1.alcance</t>
        </is>
      </c>
      <c r="B4675" s="198">
        <f>IF(ISBLANK('INVOCAÇÕES'!$AH$712),"",'INVOCAÇÕES'!$AH$712&amp;"")</f>
        <v/>
      </c>
      <c r="C4675" s="198">
        <f>"'INVOCAÇÕES'!AH660"</f>
        <v/>
      </c>
      <c r="D4675" s="198" t="inlineStr">
        <is>
          <t>resultado</t>
        </is>
      </c>
    </row>
    <row r="4676">
      <c r="A4676" s="198" t="inlineStr">
        <is>
          <t>invocacao.10.esp.2.texto</t>
        </is>
      </c>
      <c r="B4676" s="198">
        <f>IF(ISBLANK('INVOCAÇÕES'!$AN$706),"",'INVOCAÇÕES'!$AN$706&amp;"")</f>
        <v/>
      </c>
      <c r="C4676" s="198">
        <f>"'INVOCAÇÕES'!AN654"</f>
        <v/>
      </c>
      <c r="D4676" s="198" t="inlineStr">
        <is>
          <t>entrada</t>
        </is>
      </c>
    </row>
    <row r="4677">
      <c r="A4677" s="198" t="inlineStr">
        <is>
          <t>invocacao.10.esp.2.tipo_dano</t>
        </is>
      </c>
      <c r="B4677" s="198">
        <f>IF(ISBLANK('INVOCAÇÕES'!$AN$710),"",'INVOCAÇÕES'!$AN$710&amp;"")</f>
        <v/>
      </c>
      <c r="C4677" s="198">
        <f>"'INVOCAÇÕES'!AN658"</f>
        <v/>
      </c>
      <c r="D4677" s="198" t="inlineStr">
        <is>
          <t>entrada</t>
        </is>
      </c>
    </row>
    <row r="4678">
      <c r="A4678" s="198" t="inlineStr">
        <is>
          <t>invocacao.10.esp.2.resolucao_escolha</t>
        </is>
      </c>
      <c r="B4678" s="198">
        <f>IF(ISBLANK('INVOCAÇÕES'!$AP$710),"",'INVOCAÇÕES'!$AP$710&amp;"")</f>
        <v/>
      </c>
      <c r="C4678" s="198">
        <f>"'INVOCAÇÕES'!AP658"</f>
        <v/>
      </c>
      <c r="D4678" s="198" t="inlineStr">
        <is>
          <t>entrada</t>
        </is>
      </c>
    </row>
    <row r="4679">
      <c r="A4679" s="198" t="inlineStr">
        <is>
          <t>invocacao.10.esp.2.acao</t>
        </is>
      </c>
      <c r="B4679" s="198">
        <f>IF(ISBLANK('INVOCAÇÕES'!$AN$711),"",'INVOCAÇÕES'!$AN$711&amp;"")</f>
        <v/>
      </c>
      <c r="C4679" s="198">
        <f>"'INVOCAÇÕES'!AN659"</f>
        <v/>
      </c>
      <c r="D4679" s="198" t="inlineStr">
        <is>
          <t>resultado</t>
        </is>
      </c>
    </row>
    <row r="4680">
      <c r="A4680" s="198" t="inlineStr">
        <is>
          <t>invocacao.10.esp.2.resolve</t>
        </is>
      </c>
      <c r="B4680" s="198">
        <f>IF(ISBLANK('INVOCAÇÕES'!$AP$711),"",'INVOCAÇÕES'!$AP$711&amp;"")</f>
        <v/>
      </c>
      <c r="C4680" s="198">
        <f>"'INVOCAÇÕES'!AP659"</f>
        <v/>
      </c>
      <c r="D4680" s="198" t="inlineStr">
        <is>
          <t>resultado</t>
        </is>
      </c>
    </row>
    <row r="4681">
      <c r="A4681" s="198" t="inlineStr">
        <is>
          <t>invocacao.10.esp.2.alcance</t>
        </is>
      </c>
      <c r="B4681" s="198">
        <f>IF(ISBLANK('INVOCAÇÕES'!$AN$712),"",'INVOCAÇÕES'!$AN$712&amp;"")</f>
        <v/>
      </c>
      <c r="C4681" s="198">
        <f>"'INVOCAÇÕES'!AN660"</f>
        <v/>
      </c>
      <c r="D4681" s="198" t="inlineStr">
        <is>
          <t>resultado</t>
        </is>
      </c>
    </row>
    <row r="4682">
      <c r="A4682" s="198" t="inlineStr">
        <is>
          <t>invocacao.10.bas.2.texto</t>
        </is>
      </c>
      <c r="B4682" s="198">
        <f>IF(ISBLANK('INVOCAÇÕES'!$AB$740),"",'INVOCAÇÕES'!$AB$740&amp;"")</f>
        <v/>
      </c>
      <c r="C4682" s="198">
        <f>"'INVOCAÇÕES'!AB688"</f>
        <v/>
      </c>
      <c r="D4682" s="198" t="inlineStr">
        <is>
          <t>entrada</t>
        </is>
      </c>
    </row>
    <row r="4683">
      <c r="A4683" s="198" t="inlineStr">
        <is>
          <t>invocacao.10.bas.2.tipo_dano</t>
        </is>
      </c>
      <c r="B4683" s="198">
        <f>IF(ISBLANK('INVOCAÇÕES'!$AB$744),"",'INVOCAÇÕES'!$AB$744&amp;"")</f>
        <v/>
      </c>
      <c r="C4683" s="198">
        <f>"'INVOCAÇÕES'!AB692"</f>
        <v/>
      </c>
      <c r="D4683" s="198" t="inlineStr">
        <is>
          <t>entrada</t>
        </is>
      </c>
    </row>
    <row r="4684">
      <c r="A4684" s="198" t="inlineStr">
        <is>
          <t>invocacao.10.bas.2.resolucao_escolha</t>
        </is>
      </c>
      <c r="B4684" s="198">
        <f>IF(ISBLANK('INVOCAÇÕES'!$AD$744),"",'INVOCAÇÕES'!$AD$744&amp;"")</f>
        <v/>
      </c>
      <c r="C4684" s="198">
        <f>"'INVOCAÇÕES'!AD692"</f>
        <v/>
      </c>
      <c r="D4684" s="198" t="inlineStr">
        <is>
          <t>entrada</t>
        </is>
      </c>
    </row>
    <row r="4685">
      <c r="A4685" s="198" t="inlineStr">
        <is>
          <t>invocacao.10.bas.2.acao</t>
        </is>
      </c>
      <c r="B4685" s="198">
        <f>IF(ISBLANK('INVOCAÇÕES'!$AB$745),"",'INVOCAÇÕES'!$AB$745&amp;"")</f>
        <v/>
      </c>
      <c r="C4685" s="198">
        <f>"'INVOCAÇÕES'!AB693"</f>
        <v/>
      </c>
      <c r="D4685" s="198" t="inlineStr">
        <is>
          <t>resultado</t>
        </is>
      </c>
    </row>
    <row r="4686">
      <c r="A4686" s="198" t="inlineStr">
        <is>
          <t>invocacao.10.bas.2.resolve</t>
        </is>
      </c>
      <c r="B4686" s="198">
        <f>IF(ISBLANK('INVOCAÇÕES'!$AD$745),"",'INVOCAÇÕES'!$AD$745&amp;"")</f>
        <v/>
      </c>
      <c r="C4686" s="198">
        <f>"'INVOCAÇÕES'!AD693"</f>
        <v/>
      </c>
      <c r="D4686" s="198" t="inlineStr">
        <is>
          <t>resultado</t>
        </is>
      </c>
    </row>
    <row r="4687">
      <c r="A4687" s="198" t="inlineStr">
        <is>
          <t>invocacao.10.bas.2.alcance</t>
        </is>
      </c>
      <c r="B4687" s="198">
        <f>IF(ISBLANK('INVOCAÇÕES'!$AB$746),"",'INVOCAÇÕES'!$AB$746&amp;"")</f>
        <v/>
      </c>
      <c r="C4687" s="198">
        <f>"'INVOCAÇÕES'!AB694"</f>
        <v/>
      </c>
      <c r="D4687" s="198" t="inlineStr">
        <is>
          <t>resultado</t>
        </is>
      </c>
    </row>
    <row r="4688">
      <c r="A4688" s="198" t="inlineStr">
        <is>
          <t>invocacao.10.esp.3.texto</t>
        </is>
      </c>
      <c r="B4688" s="198">
        <f>IF(ISBLANK('INVOCAÇÕES'!$AH$740),"",'INVOCAÇÕES'!$AH$740&amp;"")</f>
        <v/>
      </c>
      <c r="C4688" s="198">
        <f>"'INVOCAÇÕES'!AH688"</f>
        <v/>
      </c>
      <c r="D4688" s="198" t="inlineStr">
        <is>
          <t>entrada</t>
        </is>
      </c>
    </row>
    <row r="4689">
      <c r="A4689" s="198" t="inlineStr">
        <is>
          <t>invocacao.10.esp.3.tipo_dano</t>
        </is>
      </c>
      <c r="B4689" s="198">
        <f>IF(ISBLANK('INVOCAÇÕES'!$AH$744),"",'INVOCAÇÕES'!$AH$744&amp;"")</f>
        <v/>
      </c>
      <c r="C4689" s="198">
        <f>"'INVOCAÇÕES'!AH692"</f>
        <v/>
      </c>
      <c r="D4689" s="198" t="inlineStr">
        <is>
          <t>entrada</t>
        </is>
      </c>
    </row>
    <row r="4690">
      <c r="A4690" s="198" t="inlineStr">
        <is>
          <t>invocacao.10.esp.3.resolucao_escolha</t>
        </is>
      </c>
      <c r="B4690" s="198">
        <f>IF(ISBLANK('INVOCAÇÕES'!$AJ$744),"",'INVOCAÇÕES'!$AJ$744&amp;"")</f>
        <v/>
      </c>
      <c r="C4690" s="198">
        <f>"'INVOCAÇÕES'!AJ692"</f>
        <v/>
      </c>
      <c r="D4690" s="198" t="inlineStr">
        <is>
          <t>entrada</t>
        </is>
      </c>
    </row>
    <row r="4691">
      <c r="A4691" s="198" t="inlineStr">
        <is>
          <t>invocacao.10.esp.3.acao</t>
        </is>
      </c>
      <c r="B4691" s="198">
        <f>IF(ISBLANK('INVOCAÇÕES'!$AH$745),"",'INVOCAÇÕES'!$AH$745&amp;"")</f>
        <v/>
      </c>
      <c r="C4691" s="198">
        <f>"'INVOCAÇÕES'!AH693"</f>
        <v/>
      </c>
      <c r="D4691" s="198" t="inlineStr">
        <is>
          <t>resultado</t>
        </is>
      </c>
    </row>
    <row r="4692">
      <c r="A4692" s="198" t="inlineStr">
        <is>
          <t>invocacao.10.esp.3.resolve</t>
        </is>
      </c>
      <c r="B4692" s="198">
        <f>IF(ISBLANK('INVOCAÇÕES'!$AJ$745),"",'INVOCAÇÕES'!$AJ$745&amp;"")</f>
        <v/>
      </c>
      <c r="C4692" s="198">
        <f>"'INVOCAÇÕES'!AJ693"</f>
        <v/>
      </c>
      <c r="D4692" s="198" t="inlineStr">
        <is>
          <t>resultado</t>
        </is>
      </c>
    </row>
    <row r="4693">
      <c r="A4693" s="198" t="inlineStr">
        <is>
          <t>invocacao.10.esp.3.alcance</t>
        </is>
      </c>
      <c r="B4693" s="198">
        <f>IF(ISBLANK('INVOCAÇÕES'!$AH$746),"",'INVOCAÇÕES'!$AH$746&amp;"")</f>
        <v/>
      </c>
      <c r="C4693" s="198">
        <f>"'INVOCAÇÕES'!AH694"</f>
        <v/>
      </c>
      <c r="D4693" s="198" t="inlineStr">
        <is>
          <t>resultado</t>
        </is>
      </c>
    </row>
    <row r="4694">
      <c r="A4694" s="198" t="inlineStr">
        <is>
          <t>invocacao.10.esp.4.texto</t>
        </is>
      </c>
      <c r="B4694" s="198">
        <f>IF(ISBLANK('INVOCAÇÕES'!$AN$740),"",'INVOCAÇÕES'!$AN$740&amp;"")</f>
        <v/>
      </c>
      <c r="C4694" s="198">
        <f>"'INVOCAÇÕES'!AN688"</f>
        <v/>
      </c>
      <c r="D4694" s="198" t="inlineStr">
        <is>
          <t>entrada</t>
        </is>
      </c>
    </row>
    <row r="4695">
      <c r="A4695" s="198" t="inlineStr">
        <is>
          <t>invocacao.10.esp.4.tipo_dano</t>
        </is>
      </c>
      <c r="B4695" s="198">
        <f>IF(ISBLANK('INVOCAÇÕES'!$AN$744),"",'INVOCAÇÕES'!$AN$744&amp;"")</f>
        <v/>
      </c>
      <c r="C4695" s="198">
        <f>"'INVOCAÇÕES'!AN692"</f>
        <v/>
      </c>
      <c r="D4695" s="198" t="inlineStr">
        <is>
          <t>entrada</t>
        </is>
      </c>
    </row>
    <row r="4696">
      <c r="A4696" s="198" t="inlineStr">
        <is>
          <t>invocacao.10.esp.4.resolucao_escolha</t>
        </is>
      </c>
      <c r="B4696" s="198">
        <f>IF(ISBLANK('INVOCAÇÕES'!$AP$744),"",'INVOCAÇÕES'!$AP$744&amp;"")</f>
        <v/>
      </c>
      <c r="C4696" s="198">
        <f>"'INVOCAÇÕES'!AP692"</f>
        <v/>
      </c>
      <c r="D4696" s="198" t="inlineStr">
        <is>
          <t>entrada</t>
        </is>
      </c>
    </row>
    <row r="4697">
      <c r="A4697" s="198" t="inlineStr">
        <is>
          <t>invocacao.10.esp.4.acao</t>
        </is>
      </c>
      <c r="B4697" s="198">
        <f>IF(ISBLANK('INVOCAÇÕES'!$AN$745),"",'INVOCAÇÕES'!$AN$745&amp;"")</f>
        <v/>
      </c>
      <c r="C4697" s="198">
        <f>"'INVOCAÇÕES'!AN693"</f>
        <v/>
      </c>
      <c r="D4697" s="198" t="inlineStr">
        <is>
          <t>resultado</t>
        </is>
      </c>
    </row>
    <row r="4698">
      <c r="A4698" s="198" t="inlineStr">
        <is>
          <t>invocacao.10.esp.4.resolve</t>
        </is>
      </c>
      <c r="B4698" s="198">
        <f>IF(ISBLANK('INVOCAÇÕES'!$AP$745),"",'INVOCAÇÕES'!$AP$745&amp;"")</f>
        <v/>
      </c>
      <c r="C4698" s="198">
        <f>"'INVOCAÇÕES'!AP693"</f>
        <v/>
      </c>
      <c r="D4698" s="198" t="inlineStr">
        <is>
          <t>resultado</t>
        </is>
      </c>
    </row>
    <row r="4699">
      <c r="A4699" s="198" t="inlineStr">
        <is>
          <t>invocacao.10.esp.4.alcance</t>
        </is>
      </c>
      <c r="B4699" s="198">
        <f>IF(ISBLANK('INVOCAÇÕES'!$AN$746),"",'INVOCAÇÕES'!$AN$746&amp;"")</f>
        <v/>
      </c>
      <c r="C4699" s="198">
        <f>"'INVOCAÇÕES'!AN694"</f>
        <v/>
      </c>
      <c r="D4699" s="198" t="inlineStr">
        <is>
          <t>resultado</t>
        </is>
      </c>
    </row>
    <row r="4700">
      <c r="A4700" s="198" t="inlineStr">
        <is>
          <t>invocacao.10.esp.5.texto</t>
        </is>
      </c>
      <c r="B4700" s="198">
        <f>IF(ISBLANK('INVOCAÇÕES'!$AB$762),"",'INVOCAÇÕES'!$AB$762&amp;"")</f>
        <v/>
      </c>
      <c r="C4700" s="198">
        <f>"'INVOCAÇÕES'!AB710"</f>
        <v/>
      </c>
      <c r="D4700" s="198" t="inlineStr">
        <is>
          <t>entrada</t>
        </is>
      </c>
    </row>
    <row r="4701">
      <c r="A4701" s="198" t="inlineStr">
        <is>
          <t>invocacao.10.esp.5.tipo_dano</t>
        </is>
      </c>
      <c r="B4701" s="198">
        <f>IF(ISBLANK('INVOCAÇÕES'!$AB$766),"",'INVOCAÇÕES'!$AB$766&amp;"")</f>
        <v/>
      </c>
      <c r="C4701" s="198">
        <f>"'INVOCAÇÕES'!AB714"</f>
        <v/>
      </c>
      <c r="D4701" s="198" t="inlineStr">
        <is>
          <t>entrada</t>
        </is>
      </c>
    </row>
    <row r="4702">
      <c r="A4702" s="198" t="inlineStr">
        <is>
          <t>invocacao.10.esp.5.resolucao_escolha</t>
        </is>
      </c>
      <c r="B4702" s="198">
        <f>IF(ISBLANK('INVOCAÇÕES'!$AD$766),"",'INVOCAÇÕES'!$AD$766&amp;"")</f>
        <v/>
      </c>
      <c r="C4702" s="198">
        <f>"'INVOCAÇÕES'!AD714"</f>
        <v/>
      </c>
      <c r="D4702" s="198" t="inlineStr">
        <is>
          <t>entrada</t>
        </is>
      </c>
    </row>
    <row r="4703">
      <c r="A4703" s="198" t="inlineStr">
        <is>
          <t>invocacao.10.esp.5.acao</t>
        </is>
      </c>
      <c r="B4703" s="198">
        <f>IF(ISBLANK('INVOCAÇÕES'!$AB$767),"",'INVOCAÇÕES'!$AB$767&amp;"")</f>
        <v/>
      </c>
      <c r="C4703" s="198">
        <f>"'INVOCAÇÕES'!AB715"</f>
        <v/>
      </c>
      <c r="D4703" s="198" t="inlineStr">
        <is>
          <t>resultado</t>
        </is>
      </c>
    </row>
    <row r="4704">
      <c r="A4704" s="198" t="inlineStr">
        <is>
          <t>invocacao.10.esp.5.resolve</t>
        </is>
      </c>
      <c r="B4704" s="198">
        <f>IF(ISBLANK('INVOCAÇÕES'!$AD$767),"",'INVOCAÇÕES'!$AD$767&amp;"")</f>
        <v/>
      </c>
      <c r="C4704" s="198">
        <f>"'INVOCAÇÕES'!AD715"</f>
        <v/>
      </c>
      <c r="D4704" s="198" t="inlineStr">
        <is>
          <t>resultado</t>
        </is>
      </c>
    </row>
    <row r="4705">
      <c r="A4705" s="198" t="inlineStr">
        <is>
          <t>invocacao.10.esp.5.alcance</t>
        </is>
      </c>
      <c r="B4705" s="198">
        <f>IF(ISBLANK('INVOCAÇÕES'!$AB$768),"",'INVOCAÇÕES'!$AB$768&amp;"")</f>
        <v/>
      </c>
      <c r="C4705" s="198">
        <f>"'INVOCAÇÕES'!AB716"</f>
        <v/>
      </c>
      <c r="D4705" s="198" t="inlineStr">
        <is>
          <t>resultado</t>
        </is>
      </c>
    </row>
    <row r="4706">
      <c r="A4706" s="198" t="inlineStr">
        <is>
          <t>invocacao.10.esp.6.texto</t>
        </is>
      </c>
      <c r="B4706" s="198">
        <f>IF(ISBLANK('INVOCAÇÕES'!$AH$762),"",'INVOCAÇÕES'!$AH$762&amp;"")</f>
        <v/>
      </c>
      <c r="C4706" s="198">
        <f>"'INVOCAÇÕES'!AH710"</f>
        <v/>
      </c>
      <c r="D4706" s="198" t="inlineStr">
        <is>
          <t>entrada</t>
        </is>
      </c>
    </row>
    <row r="4707">
      <c r="A4707" s="198" t="inlineStr">
        <is>
          <t>invocacao.10.esp.6.tipo_dano</t>
        </is>
      </c>
      <c r="B4707" s="198">
        <f>IF(ISBLANK('INVOCAÇÕES'!$AH$766),"",'INVOCAÇÕES'!$AH$766&amp;"")</f>
        <v/>
      </c>
      <c r="C4707" s="198">
        <f>"'INVOCAÇÕES'!AH714"</f>
        <v/>
      </c>
      <c r="D4707" s="198" t="inlineStr">
        <is>
          <t>entrada</t>
        </is>
      </c>
    </row>
    <row r="4708">
      <c r="A4708" s="198" t="inlineStr">
        <is>
          <t>invocacao.10.esp.6.resolucao_escolha</t>
        </is>
      </c>
      <c r="B4708" s="198">
        <f>IF(ISBLANK('INVOCAÇÕES'!$AJ$766),"",'INVOCAÇÕES'!$AJ$766&amp;"")</f>
        <v/>
      </c>
      <c r="C4708" s="198">
        <f>"'INVOCAÇÕES'!AJ714"</f>
        <v/>
      </c>
      <c r="D4708" s="198" t="inlineStr">
        <is>
          <t>entrada</t>
        </is>
      </c>
    </row>
    <row r="4709">
      <c r="A4709" s="198" t="inlineStr">
        <is>
          <t>invocacao.10.esp.6.acao</t>
        </is>
      </c>
      <c r="B4709" s="198">
        <f>IF(ISBLANK('INVOCAÇÕES'!$AH$767),"",'INVOCAÇÕES'!$AH$767&amp;"")</f>
        <v/>
      </c>
      <c r="C4709" s="198">
        <f>"'INVOCAÇÕES'!AH715"</f>
        <v/>
      </c>
      <c r="D4709" s="198" t="inlineStr">
        <is>
          <t>resultado</t>
        </is>
      </c>
    </row>
    <row r="4710">
      <c r="A4710" s="198" t="inlineStr">
        <is>
          <t>invocacao.10.esp.6.resolve</t>
        </is>
      </c>
      <c r="B4710" s="198">
        <f>IF(ISBLANK('INVOCAÇÕES'!$AJ$767),"",'INVOCAÇÕES'!$AJ$767&amp;"")</f>
        <v/>
      </c>
      <c r="C4710" s="198">
        <f>"'INVOCAÇÕES'!AJ715"</f>
        <v/>
      </c>
      <c r="D4710" s="198" t="inlineStr">
        <is>
          <t>resultado</t>
        </is>
      </c>
    </row>
    <row r="4711">
      <c r="A4711" s="198" t="inlineStr">
        <is>
          <t>invocacao.10.esp.6.alcance</t>
        </is>
      </c>
      <c r="B4711" s="198">
        <f>IF(ISBLANK('INVOCAÇÕES'!$AH$768),"",'INVOCAÇÕES'!$AH$768&amp;"")</f>
        <v/>
      </c>
      <c r="C4711" s="198">
        <f>"'INVOCAÇÕES'!AH716"</f>
        <v/>
      </c>
      <c r="D4711" s="198" t="inlineStr">
        <is>
          <t>resultado</t>
        </is>
      </c>
    </row>
    <row r="4712">
      <c r="A4712" s="198" t="inlineStr">
        <is>
          <t>invocacao.10.esp.7.texto</t>
        </is>
      </c>
      <c r="B4712" s="198">
        <f>IF(ISBLANK('INVOCAÇÕES'!$AN$762),"",'INVOCAÇÕES'!$AN$762&amp;"")</f>
        <v/>
      </c>
      <c r="C4712" s="198">
        <f>"'INVOCAÇÕES'!AN710"</f>
        <v/>
      </c>
      <c r="D4712" s="198" t="inlineStr">
        <is>
          <t>entrada</t>
        </is>
      </c>
    </row>
    <row r="4713">
      <c r="A4713" s="198" t="inlineStr">
        <is>
          <t>invocacao.10.esp.7.tipo_dano</t>
        </is>
      </c>
      <c r="B4713" s="198">
        <f>IF(ISBLANK('INVOCAÇÕES'!$AN$766),"",'INVOCAÇÕES'!$AN$766&amp;"")</f>
        <v/>
      </c>
      <c r="C4713" s="198">
        <f>"'INVOCAÇÕES'!AN714"</f>
        <v/>
      </c>
      <c r="D4713" s="198" t="inlineStr">
        <is>
          <t>entrada</t>
        </is>
      </c>
    </row>
    <row r="4714">
      <c r="A4714" s="198" t="inlineStr">
        <is>
          <t>invocacao.10.esp.7.resolucao_escolha</t>
        </is>
      </c>
      <c r="B4714" s="198">
        <f>IF(ISBLANK('INVOCAÇÕES'!$AP$766),"",'INVOCAÇÕES'!$AP$766&amp;"")</f>
        <v/>
      </c>
      <c r="C4714" s="198">
        <f>"'INVOCAÇÕES'!AP714"</f>
        <v/>
      </c>
      <c r="D4714" s="198" t="inlineStr">
        <is>
          <t>entrada</t>
        </is>
      </c>
    </row>
    <row r="4715">
      <c r="A4715" s="198" t="inlineStr">
        <is>
          <t>invocacao.10.esp.7.acao</t>
        </is>
      </c>
      <c r="B4715" s="198">
        <f>IF(ISBLANK('INVOCAÇÕES'!$AN$767),"",'INVOCAÇÕES'!$AN$767&amp;"")</f>
        <v/>
      </c>
      <c r="C4715" s="198">
        <f>"'INVOCAÇÕES'!AN715"</f>
        <v/>
      </c>
      <c r="D4715" s="198" t="inlineStr">
        <is>
          <t>resultado</t>
        </is>
      </c>
    </row>
    <row r="4716">
      <c r="A4716" s="198" t="inlineStr">
        <is>
          <t>invocacao.10.esp.7.resolve</t>
        </is>
      </c>
      <c r="B4716" s="198">
        <f>IF(ISBLANK('INVOCAÇÕES'!$AP$767),"",'INVOCAÇÕES'!$AP$767&amp;"")</f>
        <v/>
      </c>
      <c r="C4716" s="198">
        <f>"'INVOCAÇÕES'!AP715"</f>
        <v/>
      </c>
      <c r="D4716" s="198" t="inlineStr">
        <is>
          <t>resultado</t>
        </is>
      </c>
    </row>
    <row r="4717">
      <c r="A4717" s="198" t="inlineStr">
        <is>
          <t>invocacao.10.esp.7.alcance</t>
        </is>
      </c>
      <c r="B4717" s="198">
        <f>IF(ISBLANK('INVOCAÇÕES'!$AN$768),"",'INVOCAÇÕES'!$AN$768&amp;"")</f>
        <v/>
      </c>
      <c r="C4717" s="198">
        <f>"'INVOCAÇÕES'!AN716"</f>
        <v/>
      </c>
      <c r="D4717" s="198" t="inlineStr">
        <is>
          <t>resultado</t>
        </is>
      </c>
    </row>
    <row r="4718">
      <c r="A4718" s="198" t="inlineStr">
        <is>
          <t>invocacao.10.esp.8.texto</t>
        </is>
      </c>
      <c r="B4718" s="198">
        <f>IF(ISBLANK('INVOCAÇÕES'!$AB$784),"",'INVOCAÇÕES'!$AB$784&amp;"")</f>
        <v/>
      </c>
      <c r="C4718" s="198">
        <f>"'INVOCAÇÕES'!AB732"</f>
        <v/>
      </c>
      <c r="D4718" s="198" t="inlineStr">
        <is>
          <t>entrada</t>
        </is>
      </c>
    </row>
    <row r="4719">
      <c r="A4719" s="198" t="inlineStr">
        <is>
          <t>invocacao.10.esp.8.tipo_dano</t>
        </is>
      </c>
      <c r="B4719" s="198">
        <f>IF(ISBLANK('INVOCAÇÕES'!$AB$788),"",'INVOCAÇÕES'!$AB$788&amp;"")</f>
        <v/>
      </c>
      <c r="C4719" s="198">
        <f>"'INVOCAÇÕES'!AB736"</f>
        <v/>
      </c>
      <c r="D4719" s="198" t="inlineStr">
        <is>
          <t>entrada</t>
        </is>
      </c>
    </row>
    <row r="4720">
      <c r="A4720" s="198" t="inlineStr">
        <is>
          <t>invocacao.10.esp.8.resolucao_escolha</t>
        </is>
      </c>
      <c r="B4720" s="198">
        <f>IF(ISBLANK('INVOCAÇÕES'!$AD$788),"",'INVOCAÇÕES'!$AD$788&amp;"")</f>
        <v/>
      </c>
      <c r="C4720" s="198">
        <f>"'INVOCAÇÕES'!AD736"</f>
        <v/>
      </c>
      <c r="D4720" s="198" t="inlineStr">
        <is>
          <t>entrada</t>
        </is>
      </c>
    </row>
    <row r="4721">
      <c r="A4721" s="198" t="inlineStr">
        <is>
          <t>invocacao.10.esp.8.acao</t>
        </is>
      </c>
      <c r="B4721" s="198">
        <f>IF(ISBLANK('INVOCAÇÕES'!$AB$789),"",'INVOCAÇÕES'!$AB$789&amp;"")</f>
        <v/>
      </c>
      <c r="C4721" s="198">
        <f>"'INVOCAÇÕES'!AB737"</f>
        <v/>
      </c>
      <c r="D4721" s="198" t="inlineStr">
        <is>
          <t>resultado</t>
        </is>
      </c>
    </row>
    <row r="4722">
      <c r="A4722" s="198" t="inlineStr">
        <is>
          <t>invocacao.10.esp.8.resolve</t>
        </is>
      </c>
      <c r="B4722" s="198">
        <f>IF(ISBLANK('INVOCAÇÕES'!$AD$789),"",'INVOCAÇÕES'!$AD$789&amp;"")</f>
        <v/>
      </c>
      <c r="C4722" s="198">
        <f>"'INVOCAÇÕES'!AD737"</f>
        <v/>
      </c>
      <c r="D4722" s="198" t="inlineStr">
        <is>
          <t>resultado</t>
        </is>
      </c>
    </row>
    <row r="4723">
      <c r="A4723" s="198" t="inlineStr">
        <is>
          <t>invocacao.10.esp.8.alcance</t>
        </is>
      </c>
      <c r="B4723" s="198">
        <f>IF(ISBLANK('INVOCAÇÕES'!$AB$790),"",'INVOCAÇÕES'!$AB$790&amp;"")</f>
        <v/>
      </c>
      <c r="C4723" s="198">
        <f>"'INVOCAÇÕES'!AB738"</f>
        <v/>
      </c>
      <c r="D4723" s="198" t="inlineStr">
        <is>
          <t>resultado</t>
        </is>
      </c>
    </row>
    <row r="4724">
      <c r="A4724" s="198" t="inlineStr">
        <is>
          <t>invocacao.10.ext.1.texto</t>
        </is>
      </c>
      <c r="B4724" s="198">
        <f>IF(ISBLANK('INVOCAÇÕES'!$AB$808),"",'INVOCAÇÕES'!$AB$808&amp;"")</f>
        <v/>
      </c>
      <c r="C4724" s="198">
        <f>"'INVOCAÇÕES'!AB756"</f>
        <v/>
      </c>
      <c r="D4724" s="198" t="inlineStr">
        <is>
          <t>entrada</t>
        </is>
      </c>
    </row>
    <row r="4725">
      <c r="A4725" s="198" t="inlineStr">
        <is>
          <t>invocacao.10.ext.1.tipo_dano</t>
        </is>
      </c>
      <c r="B4725" s="198">
        <f>IF(ISBLANK('INVOCAÇÕES'!$AB$812),"",'INVOCAÇÕES'!$AB$812&amp;"")</f>
        <v/>
      </c>
      <c r="C4725" s="198">
        <f>"'INVOCAÇÕES'!AB760"</f>
        <v/>
      </c>
      <c r="D4725" s="198" t="inlineStr">
        <is>
          <t>entrada</t>
        </is>
      </c>
    </row>
    <row r="4726">
      <c r="A4726" s="198" t="inlineStr">
        <is>
          <t>invocacao.10.ext.1.resolucao_escolha</t>
        </is>
      </c>
      <c r="B4726" s="198">
        <f>IF(ISBLANK('INVOCAÇÕES'!$AD$812),"",'INVOCAÇÕES'!$AD$812&amp;"")</f>
        <v/>
      </c>
      <c r="C4726" s="198">
        <f>"'INVOCAÇÕES'!AD760"</f>
        <v/>
      </c>
      <c r="D4726" s="198" t="inlineStr">
        <is>
          <t>entrada</t>
        </is>
      </c>
    </row>
    <row r="4727">
      <c r="A4727" s="198" t="inlineStr">
        <is>
          <t>invocacao.10.ext.1.acao</t>
        </is>
      </c>
      <c r="B4727" s="198">
        <f>IF(ISBLANK('INVOCAÇÕES'!$AB$813),"",'INVOCAÇÕES'!$AB$813&amp;"")</f>
        <v/>
      </c>
      <c r="C4727" s="198">
        <f>"'INVOCAÇÕES'!AB761"</f>
        <v/>
      </c>
      <c r="D4727" s="198" t="inlineStr">
        <is>
          <t>resultado</t>
        </is>
      </c>
    </row>
    <row r="4728">
      <c r="A4728" s="198" t="inlineStr">
        <is>
          <t>invocacao.10.ext.1.resolve</t>
        </is>
      </c>
      <c r="B4728" s="198">
        <f>IF(ISBLANK('INVOCAÇÕES'!$AD$813),"",'INVOCAÇÕES'!$AD$813&amp;"")</f>
        <v/>
      </c>
      <c r="C4728" s="198">
        <f>"'INVOCAÇÕES'!AD761"</f>
        <v/>
      </c>
      <c r="D4728" s="198" t="inlineStr">
        <is>
          <t>resultado</t>
        </is>
      </c>
    </row>
    <row r="4729">
      <c r="A4729" s="198" t="inlineStr">
        <is>
          <t>invocacao.10.ext.1.alcance</t>
        </is>
      </c>
      <c r="B4729" s="198">
        <f>IF(ISBLANK('INVOCAÇÕES'!$AB$814),"",'INVOCAÇÕES'!$AB$814&amp;"")</f>
        <v/>
      </c>
      <c r="C4729" s="198">
        <f>"'INVOCAÇÕES'!AB762"</f>
        <v/>
      </c>
      <c r="D4729" s="198" t="inlineStr">
        <is>
          <t>resultado</t>
        </is>
      </c>
    </row>
    <row r="4730">
      <c r="A4730" s="198" t="inlineStr">
        <is>
          <t>invocacao.10.ext.2.texto</t>
        </is>
      </c>
      <c r="B4730" s="198">
        <f>IF(ISBLANK('INVOCAÇÕES'!$AH$808),"",'INVOCAÇÕES'!$AH$808&amp;"")</f>
        <v/>
      </c>
      <c r="C4730" s="198">
        <f>"'INVOCAÇÕES'!AH756"</f>
        <v/>
      </c>
      <c r="D4730" s="198" t="inlineStr">
        <is>
          <t>entrada</t>
        </is>
      </c>
    </row>
    <row r="4731">
      <c r="A4731" s="198" t="inlineStr">
        <is>
          <t>invocacao.10.ext.2.tipo_dano</t>
        </is>
      </c>
      <c r="B4731" s="198">
        <f>IF(ISBLANK('INVOCAÇÕES'!$AH$812),"",'INVOCAÇÕES'!$AH$812&amp;"")</f>
        <v/>
      </c>
      <c r="C4731" s="198">
        <f>"'INVOCAÇÕES'!AH760"</f>
        <v/>
      </c>
      <c r="D4731" s="198" t="inlineStr">
        <is>
          <t>entrada</t>
        </is>
      </c>
    </row>
    <row r="4732">
      <c r="A4732" s="198" t="inlineStr">
        <is>
          <t>invocacao.10.ext.2.resolucao_escolha</t>
        </is>
      </c>
      <c r="B4732" s="198">
        <f>IF(ISBLANK('INVOCAÇÕES'!$AJ$812),"",'INVOCAÇÕES'!$AJ$812&amp;"")</f>
        <v/>
      </c>
      <c r="C4732" s="198">
        <f>"'INVOCAÇÕES'!AJ760"</f>
        <v/>
      </c>
      <c r="D4732" s="198" t="inlineStr">
        <is>
          <t>entrada</t>
        </is>
      </c>
    </row>
    <row r="4733">
      <c r="A4733" s="198" t="inlineStr">
        <is>
          <t>invocacao.10.ext.2.acao</t>
        </is>
      </c>
      <c r="B4733" s="198">
        <f>IF(ISBLANK('INVOCAÇÕES'!$AH$813),"",'INVOCAÇÕES'!$AH$813&amp;"")</f>
        <v/>
      </c>
      <c r="C4733" s="198">
        <f>"'INVOCAÇÕES'!AH761"</f>
        <v/>
      </c>
      <c r="D4733" s="198" t="inlineStr">
        <is>
          <t>resultado</t>
        </is>
      </c>
    </row>
    <row r="4734">
      <c r="A4734" s="198" t="inlineStr">
        <is>
          <t>invocacao.10.ext.2.resolve</t>
        </is>
      </c>
      <c r="B4734" s="198">
        <f>IF(ISBLANK('INVOCAÇÕES'!$AJ$813),"",'INVOCAÇÕES'!$AJ$813&amp;"")</f>
        <v/>
      </c>
      <c r="C4734" s="198">
        <f>"'INVOCAÇÕES'!AJ761"</f>
        <v/>
      </c>
      <c r="D4734" s="198" t="inlineStr">
        <is>
          <t>resultado</t>
        </is>
      </c>
    </row>
    <row r="4735">
      <c r="A4735" s="198" t="inlineStr">
        <is>
          <t>invocacao.10.ext.2.alcance</t>
        </is>
      </c>
      <c r="B4735" s="198">
        <f>IF(ISBLANK('INVOCAÇÕES'!$AH$814),"",'INVOCAÇÕES'!$AH$814&amp;"")</f>
        <v/>
      </c>
      <c r="C4735" s="198">
        <f>"'INVOCAÇÕES'!AH762"</f>
        <v/>
      </c>
      <c r="D4735" s="198" t="inlineStr">
        <is>
          <t>resultado</t>
        </is>
      </c>
    </row>
    <row r="4736">
      <c r="A4736" s="198" t="inlineStr">
        <is>
          <t>invocacao.10.ext.3.texto</t>
        </is>
      </c>
      <c r="B4736" s="198">
        <f>IF(ISBLANK('INVOCAÇÕES'!$AN$808),"",'INVOCAÇÕES'!$AN$808&amp;"")</f>
        <v/>
      </c>
      <c r="C4736" s="198">
        <f>"'INVOCAÇÕES'!AN756"</f>
        <v/>
      </c>
      <c r="D4736" s="198" t="inlineStr">
        <is>
          <t>entrada</t>
        </is>
      </c>
    </row>
    <row r="4737">
      <c r="A4737" s="198" t="inlineStr">
        <is>
          <t>invocacao.10.ext.3.tipo_dano</t>
        </is>
      </c>
      <c r="B4737" s="198">
        <f>IF(ISBLANK('INVOCAÇÕES'!$AN$812),"",'INVOCAÇÕES'!$AN$812&amp;"")</f>
        <v/>
      </c>
      <c r="C4737" s="198">
        <f>"'INVOCAÇÕES'!AN760"</f>
        <v/>
      </c>
      <c r="D4737" s="198" t="inlineStr">
        <is>
          <t>entrada</t>
        </is>
      </c>
    </row>
    <row r="4738">
      <c r="A4738" s="198" t="inlineStr">
        <is>
          <t>invocacao.10.ext.3.resolucao_escolha</t>
        </is>
      </c>
      <c r="B4738" s="198">
        <f>IF(ISBLANK('INVOCAÇÕES'!$AP$812),"",'INVOCAÇÕES'!$AP$812&amp;"")</f>
        <v/>
      </c>
      <c r="C4738" s="198">
        <f>"'INVOCAÇÕES'!AP760"</f>
        <v/>
      </c>
      <c r="D4738" s="198" t="inlineStr">
        <is>
          <t>entrada</t>
        </is>
      </c>
    </row>
    <row r="4739">
      <c r="A4739" s="198" t="inlineStr">
        <is>
          <t>invocacao.10.ext.3.acao</t>
        </is>
      </c>
      <c r="B4739" s="198">
        <f>IF(ISBLANK('INVOCAÇÕES'!$AN$813),"",'INVOCAÇÕES'!$AN$813&amp;"")</f>
        <v/>
      </c>
      <c r="C4739" s="198">
        <f>"'INVOCAÇÕES'!AN761"</f>
        <v/>
      </c>
      <c r="D4739" s="198" t="inlineStr">
        <is>
          <t>resultado</t>
        </is>
      </c>
    </row>
    <row r="4740">
      <c r="A4740" s="198" t="inlineStr">
        <is>
          <t>invocacao.10.ext.3.resolve</t>
        </is>
      </c>
      <c r="B4740" s="198">
        <f>IF(ISBLANK('INVOCAÇÕES'!$AP$813),"",'INVOCAÇÕES'!$AP$813&amp;"")</f>
        <v/>
      </c>
      <c r="C4740" s="198">
        <f>"'INVOCAÇÕES'!AP761"</f>
        <v/>
      </c>
      <c r="D4740" s="198" t="inlineStr">
        <is>
          <t>resultado</t>
        </is>
      </c>
    </row>
    <row r="4741">
      <c r="A4741" s="198" t="inlineStr">
        <is>
          <t>invocacao.10.ext.3.alcance</t>
        </is>
      </c>
      <c r="B4741" s="198">
        <f>IF(ISBLANK('INVOCAÇÕES'!$AN$814),"",'INVOCAÇÕES'!$AN$814&amp;"")</f>
        <v/>
      </c>
      <c r="C4741" s="198">
        <f>"'INVOCAÇÕES'!AN762"</f>
        <v/>
      </c>
      <c r="D4741" s="198" t="inlineStr">
        <is>
          <t>resultado</t>
        </is>
      </c>
    </row>
    <row r="4742">
      <c r="A4742" s="198" t="inlineStr">
        <is>
          <t>invocacao.11.bas.1.texto</t>
        </is>
      </c>
      <c r="B4742" s="198">
        <f>IF(ISBLANK('INVOCAÇÕES'!$AB$917),"",'INVOCAÇÕES'!$AB$917&amp;"")</f>
        <v/>
      </c>
      <c r="C4742" s="198">
        <f>"'INVOCAÇÕES'!AB852"</f>
        <v/>
      </c>
      <c r="D4742" s="198" t="inlineStr">
        <is>
          <t>entrada</t>
        </is>
      </c>
    </row>
    <row r="4743">
      <c r="A4743" s="198" t="inlineStr">
        <is>
          <t>invocacao.11.bas.1.tipo_dano</t>
        </is>
      </c>
      <c r="B4743" s="198">
        <f>IF(ISBLANK('INVOCAÇÕES'!$AB$921),"",'INVOCAÇÕES'!$AB$921&amp;"")</f>
        <v/>
      </c>
      <c r="C4743" s="198">
        <f>"'INVOCAÇÕES'!AB856"</f>
        <v/>
      </c>
      <c r="D4743" s="198" t="inlineStr">
        <is>
          <t>entrada</t>
        </is>
      </c>
    </row>
    <row r="4744">
      <c r="A4744" s="198" t="inlineStr">
        <is>
          <t>invocacao.11.bas.1.resolucao_escolha</t>
        </is>
      </c>
      <c r="B4744" s="198">
        <f>IF(ISBLANK('INVOCAÇÕES'!$AD$921),"",'INVOCAÇÕES'!$AD$921&amp;"")</f>
        <v/>
      </c>
      <c r="C4744" s="198">
        <f>"'INVOCAÇÕES'!AD856"</f>
        <v/>
      </c>
      <c r="D4744" s="198" t="inlineStr">
        <is>
          <t>entrada</t>
        </is>
      </c>
    </row>
    <row r="4745">
      <c r="A4745" s="198" t="inlineStr">
        <is>
          <t>invocacao.11.bas.1.acao</t>
        </is>
      </c>
      <c r="B4745" s="198">
        <f>IF(ISBLANK('INVOCAÇÕES'!$AB$922),"",'INVOCAÇÕES'!$AB$922&amp;"")</f>
        <v/>
      </c>
      <c r="C4745" s="198">
        <f>"'INVOCAÇÕES'!AB857"</f>
        <v/>
      </c>
      <c r="D4745" s="198" t="inlineStr">
        <is>
          <t>resultado</t>
        </is>
      </c>
    </row>
    <row r="4746">
      <c r="A4746" s="198" t="inlineStr">
        <is>
          <t>invocacao.11.bas.1.resolve</t>
        </is>
      </c>
      <c r="B4746" s="198">
        <f>IF(ISBLANK('INVOCAÇÕES'!$AD$922),"",'INVOCAÇÕES'!$AD$922&amp;"")</f>
        <v/>
      </c>
      <c r="C4746" s="198">
        <f>"'INVOCAÇÕES'!AD857"</f>
        <v/>
      </c>
      <c r="D4746" s="198" t="inlineStr">
        <is>
          <t>resultado</t>
        </is>
      </c>
    </row>
    <row r="4747">
      <c r="A4747" s="198" t="inlineStr">
        <is>
          <t>invocacao.11.bas.1.alcance</t>
        </is>
      </c>
      <c r="B4747" s="198">
        <f>IF(ISBLANK('INVOCAÇÕES'!$AB$923),"",'INVOCAÇÕES'!$AB$923&amp;"")</f>
        <v/>
      </c>
      <c r="C4747" s="198">
        <f>"'INVOCAÇÕES'!AB858"</f>
        <v/>
      </c>
      <c r="D4747" s="198" t="inlineStr">
        <is>
          <t>resultado</t>
        </is>
      </c>
    </row>
    <row r="4748">
      <c r="A4748" s="198" t="inlineStr">
        <is>
          <t>invocacao.11.esp.1.texto</t>
        </is>
      </c>
      <c r="B4748" s="198">
        <f>IF(ISBLANK('INVOCAÇÕES'!$AH$917),"",'INVOCAÇÕES'!$AH$917&amp;"")</f>
        <v/>
      </c>
      <c r="C4748" s="198">
        <f>"'INVOCAÇÕES'!AH852"</f>
        <v/>
      </c>
      <c r="D4748" s="198" t="inlineStr">
        <is>
          <t>entrada</t>
        </is>
      </c>
    </row>
    <row r="4749">
      <c r="A4749" s="198" t="inlineStr">
        <is>
          <t>invocacao.11.esp.1.tipo_dano</t>
        </is>
      </c>
      <c r="B4749" s="198">
        <f>IF(ISBLANK('INVOCAÇÕES'!$AH$921),"",'INVOCAÇÕES'!$AH$921&amp;"")</f>
        <v/>
      </c>
      <c r="C4749" s="198">
        <f>"'INVOCAÇÕES'!AH856"</f>
        <v/>
      </c>
      <c r="D4749" s="198" t="inlineStr">
        <is>
          <t>entrada</t>
        </is>
      </c>
    </row>
    <row r="4750">
      <c r="A4750" s="198" t="inlineStr">
        <is>
          <t>invocacao.11.esp.1.resolucao_escolha</t>
        </is>
      </c>
      <c r="B4750" s="198">
        <f>IF(ISBLANK('INVOCAÇÕES'!$AJ$921),"",'INVOCAÇÕES'!$AJ$921&amp;"")</f>
        <v/>
      </c>
      <c r="C4750" s="198">
        <f>"'INVOCAÇÕES'!AJ856"</f>
        <v/>
      </c>
      <c r="D4750" s="198" t="inlineStr">
        <is>
          <t>entrada</t>
        </is>
      </c>
    </row>
    <row r="4751">
      <c r="A4751" s="198" t="inlineStr">
        <is>
          <t>invocacao.11.esp.1.acao</t>
        </is>
      </c>
      <c r="B4751" s="198">
        <f>IF(ISBLANK('INVOCAÇÕES'!$AH$922),"",'INVOCAÇÕES'!$AH$922&amp;"")</f>
        <v/>
      </c>
      <c r="C4751" s="198">
        <f>"'INVOCAÇÕES'!AH857"</f>
        <v/>
      </c>
      <c r="D4751" s="198" t="inlineStr">
        <is>
          <t>resultado</t>
        </is>
      </c>
    </row>
    <row r="4752">
      <c r="A4752" s="198" t="inlineStr">
        <is>
          <t>invocacao.11.esp.1.resolve</t>
        </is>
      </c>
      <c r="B4752" s="198">
        <f>IF(ISBLANK('INVOCAÇÕES'!$AJ$922),"",'INVOCAÇÕES'!$AJ$922&amp;"")</f>
        <v/>
      </c>
      <c r="C4752" s="198">
        <f>"'INVOCAÇÕES'!AJ857"</f>
        <v/>
      </c>
      <c r="D4752" s="198" t="inlineStr">
        <is>
          <t>resultado</t>
        </is>
      </c>
    </row>
    <row r="4753">
      <c r="A4753" s="198" t="inlineStr">
        <is>
          <t>invocacao.11.esp.1.alcance</t>
        </is>
      </c>
      <c r="B4753" s="198">
        <f>IF(ISBLANK('INVOCAÇÕES'!$AH$923),"",'INVOCAÇÕES'!$AH$923&amp;"")</f>
        <v/>
      </c>
      <c r="C4753" s="198">
        <f>"'INVOCAÇÕES'!AH858"</f>
        <v/>
      </c>
      <c r="D4753" s="198" t="inlineStr">
        <is>
          <t>resultado</t>
        </is>
      </c>
    </row>
    <row r="4754">
      <c r="A4754" s="198" t="inlineStr">
        <is>
          <t>invocacao.11.esp.2.texto</t>
        </is>
      </c>
      <c r="B4754" s="198">
        <f>IF(ISBLANK('INVOCAÇÕES'!$AN$917),"",'INVOCAÇÕES'!$AN$917&amp;"")</f>
        <v/>
      </c>
      <c r="C4754" s="198">
        <f>"'INVOCAÇÕES'!AN852"</f>
        <v/>
      </c>
      <c r="D4754" s="198" t="inlineStr">
        <is>
          <t>entrada</t>
        </is>
      </c>
    </row>
    <row r="4755">
      <c r="A4755" s="198" t="inlineStr">
        <is>
          <t>invocacao.11.esp.2.tipo_dano</t>
        </is>
      </c>
      <c r="B4755" s="198">
        <f>IF(ISBLANK('INVOCAÇÕES'!$AN$921),"",'INVOCAÇÕES'!$AN$921&amp;"")</f>
        <v/>
      </c>
      <c r="C4755" s="198">
        <f>"'INVOCAÇÕES'!AN856"</f>
        <v/>
      </c>
      <c r="D4755" s="198" t="inlineStr">
        <is>
          <t>entrada</t>
        </is>
      </c>
    </row>
    <row r="4756">
      <c r="A4756" s="198" t="inlineStr">
        <is>
          <t>invocacao.11.esp.2.resolucao_escolha</t>
        </is>
      </c>
      <c r="B4756" s="198">
        <f>IF(ISBLANK('INVOCAÇÕES'!$AP$921),"",'INVOCAÇÕES'!$AP$921&amp;"")</f>
        <v/>
      </c>
      <c r="C4756" s="198">
        <f>"'INVOCAÇÕES'!AP856"</f>
        <v/>
      </c>
      <c r="D4756" s="198" t="inlineStr">
        <is>
          <t>entrada</t>
        </is>
      </c>
    </row>
    <row r="4757">
      <c r="A4757" s="198" t="inlineStr">
        <is>
          <t>invocacao.11.esp.2.acao</t>
        </is>
      </c>
      <c r="B4757" s="198">
        <f>IF(ISBLANK('INVOCAÇÕES'!$AN$922),"",'INVOCAÇÕES'!$AN$922&amp;"")</f>
        <v/>
      </c>
      <c r="C4757" s="198">
        <f>"'INVOCAÇÕES'!AN857"</f>
        <v/>
      </c>
      <c r="D4757" s="198" t="inlineStr">
        <is>
          <t>resultado</t>
        </is>
      </c>
    </row>
    <row r="4758">
      <c r="A4758" s="198" t="inlineStr">
        <is>
          <t>invocacao.11.esp.2.resolve</t>
        </is>
      </c>
      <c r="B4758" s="198">
        <f>IF(ISBLANK('INVOCAÇÕES'!$AP$922),"",'INVOCAÇÕES'!$AP$922&amp;"")</f>
        <v/>
      </c>
      <c r="C4758" s="198">
        <f>"'INVOCAÇÕES'!AP857"</f>
        <v/>
      </c>
      <c r="D4758" s="198" t="inlineStr">
        <is>
          <t>resultado</t>
        </is>
      </c>
    </row>
    <row r="4759">
      <c r="A4759" s="198" t="inlineStr">
        <is>
          <t>invocacao.11.esp.2.alcance</t>
        </is>
      </c>
      <c r="B4759" s="198">
        <f>IF(ISBLANK('INVOCAÇÕES'!$AN$923),"",'INVOCAÇÕES'!$AN$923&amp;"")</f>
        <v/>
      </c>
      <c r="C4759" s="198">
        <f>"'INVOCAÇÕES'!AN858"</f>
        <v/>
      </c>
      <c r="D4759" s="198" t="inlineStr">
        <is>
          <t>resultado</t>
        </is>
      </c>
    </row>
    <row r="4760">
      <c r="A4760" s="198" t="inlineStr">
        <is>
          <t>invocacao.11.bas.2.texto</t>
        </is>
      </c>
      <c r="B4760" s="198">
        <f>IF(ISBLANK('INVOCAÇÕES'!$AB$951),"",'INVOCAÇÕES'!$AB$951&amp;"")</f>
        <v/>
      </c>
      <c r="C4760" s="198">
        <f>"'INVOCAÇÕES'!AB886"</f>
        <v/>
      </c>
      <c r="D4760" s="198" t="inlineStr">
        <is>
          <t>entrada</t>
        </is>
      </c>
    </row>
    <row r="4761">
      <c r="A4761" s="198" t="inlineStr">
        <is>
          <t>invocacao.11.bas.2.tipo_dano</t>
        </is>
      </c>
      <c r="B4761" s="198">
        <f>IF(ISBLANK('INVOCAÇÕES'!$AB$955),"",'INVOCAÇÕES'!$AB$955&amp;"")</f>
        <v/>
      </c>
      <c r="C4761" s="198">
        <f>"'INVOCAÇÕES'!AB890"</f>
        <v/>
      </c>
      <c r="D4761" s="198" t="inlineStr">
        <is>
          <t>entrada</t>
        </is>
      </c>
    </row>
    <row r="4762">
      <c r="A4762" s="198" t="inlineStr">
        <is>
          <t>invocacao.11.bas.2.resolucao_escolha</t>
        </is>
      </c>
      <c r="B4762" s="198">
        <f>IF(ISBLANK('INVOCAÇÕES'!$AD$955),"",'INVOCAÇÕES'!$AD$955&amp;"")</f>
        <v/>
      </c>
      <c r="C4762" s="198">
        <f>"'INVOCAÇÕES'!AD890"</f>
        <v/>
      </c>
      <c r="D4762" s="198" t="inlineStr">
        <is>
          <t>entrada</t>
        </is>
      </c>
    </row>
    <row r="4763">
      <c r="A4763" s="198" t="inlineStr">
        <is>
          <t>invocacao.11.bas.2.acao</t>
        </is>
      </c>
      <c r="B4763" s="198">
        <f>IF(ISBLANK('INVOCAÇÕES'!$AB$956),"",'INVOCAÇÕES'!$AB$956&amp;"")</f>
        <v/>
      </c>
      <c r="C4763" s="198">
        <f>"'INVOCAÇÕES'!AB891"</f>
        <v/>
      </c>
      <c r="D4763" s="198" t="inlineStr">
        <is>
          <t>resultado</t>
        </is>
      </c>
    </row>
    <row r="4764">
      <c r="A4764" s="198" t="inlineStr">
        <is>
          <t>invocacao.11.bas.2.resolve</t>
        </is>
      </c>
      <c r="B4764" s="198">
        <f>IF(ISBLANK('INVOCAÇÕES'!$AD$956),"",'INVOCAÇÕES'!$AD$956&amp;"")</f>
        <v/>
      </c>
      <c r="C4764" s="198">
        <f>"'INVOCAÇÕES'!AD891"</f>
        <v/>
      </c>
      <c r="D4764" s="198" t="inlineStr">
        <is>
          <t>resultado</t>
        </is>
      </c>
    </row>
    <row r="4765">
      <c r="A4765" s="198" t="inlineStr">
        <is>
          <t>invocacao.11.bas.2.alcance</t>
        </is>
      </c>
      <c r="B4765" s="198">
        <f>IF(ISBLANK('INVOCAÇÕES'!$AB$957),"",'INVOCAÇÕES'!$AB$957&amp;"")</f>
        <v/>
      </c>
      <c r="C4765" s="198">
        <f>"'INVOCAÇÕES'!AB892"</f>
        <v/>
      </c>
      <c r="D4765" s="198" t="inlineStr">
        <is>
          <t>resultado</t>
        </is>
      </c>
    </row>
    <row r="4766">
      <c r="A4766" s="198" t="inlineStr">
        <is>
          <t>invocacao.11.esp.3.texto</t>
        </is>
      </c>
      <c r="B4766" s="198">
        <f>IF(ISBLANK('INVOCAÇÕES'!$AH$951),"",'INVOCAÇÕES'!$AH$951&amp;"")</f>
        <v/>
      </c>
      <c r="C4766" s="198">
        <f>"'INVOCAÇÕES'!AH886"</f>
        <v/>
      </c>
      <c r="D4766" s="198" t="inlineStr">
        <is>
          <t>entrada</t>
        </is>
      </c>
    </row>
    <row r="4767">
      <c r="A4767" s="198" t="inlineStr">
        <is>
          <t>invocacao.11.esp.3.tipo_dano</t>
        </is>
      </c>
      <c r="B4767" s="198">
        <f>IF(ISBLANK('INVOCAÇÕES'!$AH$955),"",'INVOCAÇÕES'!$AH$955&amp;"")</f>
        <v/>
      </c>
      <c r="C4767" s="198">
        <f>"'INVOCAÇÕES'!AH890"</f>
        <v/>
      </c>
      <c r="D4767" s="198" t="inlineStr">
        <is>
          <t>entrada</t>
        </is>
      </c>
    </row>
    <row r="4768">
      <c r="A4768" s="198" t="inlineStr">
        <is>
          <t>invocacao.11.esp.3.resolucao_escolha</t>
        </is>
      </c>
      <c r="B4768" s="198">
        <f>IF(ISBLANK('INVOCAÇÕES'!$AJ$955),"",'INVOCAÇÕES'!$AJ$955&amp;"")</f>
        <v/>
      </c>
      <c r="C4768" s="198">
        <f>"'INVOCAÇÕES'!AJ890"</f>
        <v/>
      </c>
      <c r="D4768" s="198" t="inlineStr">
        <is>
          <t>entrada</t>
        </is>
      </c>
    </row>
    <row r="4769">
      <c r="A4769" s="198" t="inlineStr">
        <is>
          <t>invocacao.11.esp.3.acao</t>
        </is>
      </c>
      <c r="B4769" s="198">
        <f>IF(ISBLANK('INVOCAÇÕES'!$AH$956),"",'INVOCAÇÕES'!$AH$956&amp;"")</f>
        <v/>
      </c>
      <c r="C4769" s="198">
        <f>"'INVOCAÇÕES'!AH891"</f>
        <v/>
      </c>
      <c r="D4769" s="198" t="inlineStr">
        <is>
          <t>resultado</t>
        </is>
      </c>
    </row>
    <row r="4770">
      <c r="A4770" s="198" t="inlineStr">
        <is>
          <t>invocacao.11.esp.3.resolve</t>
        </is>
      </c>
      <c r="B4770" s="198">
        <f>IF(ISBLANK('INVOCAÇÕES'!$AJ$956),"",'INVOCAÇÕES'!$AJ$956&amp;"")</f>
        <v/>
      </c>
      <c r="C4770" s="198">
        <f>"'INVOCAÇÕES'!AJ891"</f>
        <v/>
      </c>
      <c r="D4770" s="198" t="inlineStr">
        <is>
          <t>resultado</t>
        </is>
      </c>
    </row>
    <row r="4771">
      <c r="A4771" s="198" t="inlineStr">
        <is>
          <t>invocacao.11.esp.3.alcance</t>
        </is>
      </c>
      <c r="B4771" s="198">
        <f>IF(ISBLANK('INVOCAÇÕES'!$AH$957),"",'INVOCAÇÕES'!$AH$957&amp;"")</f>
        <v/>
      </c>
      <c r="C4771" s="198">
        <f>"'INVOCAÇÕES'!AH892"</f>
        <v/>
      </c>
      <c r="D4771" s="198" t="inlineStr">
        <is>
          <t>resultado</t>
        </is>
      </c>
    </row>
    <row r="4772">
      <c r="A4772" s="198" t="inlineStr">
        <is>
          <t>invocacao.11.esp.4.texto</t>
        </is>
      </c>
      <c r="B4772" s="198">
        <f>IF(ISBLANK('INVOCAÇÕES'!$AN$951),"",'INVOCAÇÕES'!$AN$951&amp;"")</f>
        <v/>
      </c>
      <c r="C4772" s="198">
        <f>"'INVOCAÇÕES'!AN886"</f>
        <v/>
      </c>
      <c r="D4772" s="198" t="inlineStr">
        <is>
          <t>entrada</t>
        </is>
      </c>
    </row>
    <row r="4773">
      <c r="A4773" s="198" t="inlineStr">
        <is>
          <t>invocacao.11.esp.4.tipo_dano</t>
        </is>
      </c>
      <c r="B4773" s="198">
        <f>IF(ISBLANK('INVOCAÇÕES'!$AN$955),"",'INVOCAÇÕES'!$AN$955&amp;"")</f>
        <v/>
      </c>
      <c r="C4773" s="198">
        <f>"'INVOCAÇÕES'!AN890"</f>
        <v/>
      </c>
      <c r="D4773" s="198" t="inlineStr">
        <is>
          <t>entrada</t>
        </is>
      </c>
    </row>
    <row r="4774">
      <c r="A4774" s="198" t="inlineStr">
        <is>
          <t>invocacao.11.esp.4.resolucao_escolha</t>
        </is>
      </c>
      <c r="B4774" s="198">
        <f>IF(ISBLANK('INVOCAÇÕES'!$AP$955),"",'INVOCAÇÕES'!$AP$955&amp;"")</f>
        <v/>
      </c>
      <c r="C4774" s="198">
        <f>"'INVOCAÇÕES'!AP890"</f>
        <v/>
      </c>
      <c r="D4774" s="198" t="inlineStr">
        <is>
          <t>entrada</t>
        </is>
      </c>
    </row>
    <row r="4775">
      <c r="A4775" s="198" t="inlineStr">
        <is>
          <t>invocacao.11.esp.4.acao</t>
        </is>
      </c>
      <c r="B4775" s="198">
        <f>IF(ISBLANK('INVOCAÇÕES'!$AN$956),"",'INVOCAÇÕES'!$AN$956&amp;"")</f>
        <v/>
      </c>
      <c r="C4775" s="198">
        <f>"'INVOCAÇÕES'!AN891"</f>
        <v/>
      </c>
      <c r="D4775" s="198" t="inlineStr">
        <is>
          <t>resultado</t>
        </is>
      </c>
    </row>
    <row r="4776">
      <c r="A4776" s="198" t="inlineStr">
        <is>
          <t>invocacao.11.esp.4.resolve</t>
        </is>
      </c>
      <c r="B4776" s="198">
        <f>IF(ISBLANK('INVOCAÇÕES'!$AP$956),"",'INVOCAÇÕES'!$AP$956&amp;"")</f>
        <v/>
      </c>
      <c r="C4776" s="198">
        <f>"'INVOCAÇÕES'!AP891"</f>
        <v/>
      </c>
      <c r="D4776" s="198" t="inlineStr">
        <is>
          <t>resultado</t>
        </is>
      </c>
    </row>
    <row r="4777">
      <c r="A4777" s="198" t="inlineStr">
        <is>
          <t>invocacao.11.esp.4.alcance</t>
        </is>
      </c>
      <c r="B4777" s="198">
        <f>IF(ISBLANK('INVOCAÇÕES'!$AN$957),"",'INVOCAÇÕES'!$AN$957&amp;"")</f>
        <v/>
      </c>
      <c r="C4777" s="198">
        <f>"'INVOCAÇÕES'!AN892"</f>
        <v/>
      </c>
      <c r="D4777" s="198" t="inlineStr">
        <is>
          <t>resultado</t>
        </is>
      </c>
    </row>
    <row r="4778">
      <c r="A4778" s="198" t="inlineStr">
        <is>
          <t>invocacao.11.esp.5.texto</t>
        </is>
      </c>
      <c r="B4778" s="198">
        <f>IF(ISBLANK('INVOCAÇÕES'!$AB$973),"",'INVOCAÇÕES'!$AB$973&amp;"")</f>
        <v/>
      </c>
      <c r="C4778" s="198">
        <f>"'INVOCAÇÕES'!AB908"</f>
        <v/>
      </c>
      <c r="D4778" s="198" t="inlineStr">
        <is>
          <t>entrada</t>
        </is>
      </c>
    </row>
    <row r="4779">
      <c r="A4779" s="198" t="inlineStr">
        <is>
          <t>invocacao.11.esp.5.tipo_dano</t>
        </is>
      </c>
      <c r="B4779" s="198">
        <f>IF(ISBLANK('INVOCAÇÕES'!$AB$977),"",'INVOCAÇÕES'!$AB$977&amp;"")</f>
        <v/>
      </c>
      <c r="C4779" s="198">
        <f>"'INVOCAÇÕES'!AB912"</f>
        <v/>
      </c>
      <c r="D4779" s="198" t="inlineStr">
        <is>
          <t>entrada</t>
        </is>
      </c>
    </row>
    <row r="4780">
      <c r="A4780" s="198" t="inlineStr">
        <is>
          <t>invocacao.11.esp.5.resolucao_escolha</t>
        </is>
      </c>
      <c r="B4780" s="198">
        <f>IF(ISBLANK('INVOCAÇÕES'!$AD$977),"",'INVOCAÇÕES'!$AD$977&amp;"")</f>
        <v/>
      </c>
      <c r="C4780" s="198">
        <f>"'INVOCAÇÕES'!AD912"</f>
        <v/>
      </c>
      <c r="D4780" s="198" t="inlineStr">
        <is>
          <t>entrada</t>
        </is>
      </c>
    </row>
    <row r="4781">
      <c r="A4781" s="198" t="inlineStr">
        <is>
          <t>invocacao.11.esp.5.acao</t>
        </is>
      </c>
      <c r="B4781" s="198">
        <f>IF(ISBLANK('INVOCAÇÕES'!$AB$978),"",'INVOCAÇÕES'!$AB$978&amp;"")</f>
        <v/>
      </c>
      <c r="C4781" s="198">
        <f>"'INVOCAÇÕES'!AB913"</f>
        <v/>
      </c>
      <c r="D4781" s="198" t="inlineStr">
        <is>
          <t>resultado</t>
        </is>
      </c>
    </row>
    <row r="4782">
      <c r="A4782" s="198" t="inlineStr">
        <is>
          <t>invocacao.11.esp.5.resolve</t>
        </is>
      </c>
      <c r="B4782" s="198">
        <f>IF(ISBLANK('INVOCAÇÕES'!$AD$978),"",'INVOCAÇÕES'!$AD$978&amp;"")</f>
        <v/>
      </c>
      <c r="C4782" s="198">
        <f>"'INVOCAÇÕES'!AD913"</f>
        <v/>
      </c>
      <c r="D4782" s="198" t="inlineStr">
        <is>
          <t>resultado</t>
        </is>
      </c>
    </row>
    <row r="4783">
      <c r="A4783" s="198" t="inlineStr">
        <is>
          <t>invocacao.11.esp.5.alcance</t>
        </is>
      </c>
      <c r="B4783" s="198">
        <f>IF(ISBLANK('INVOCAÇÕES'!$AB$979),"",'INVOCAÇÕES'!$AB$979&amp;"")</f>
        <v/>
      </c>
      <c r="C4783" s="198">
        <f>"'INVOCAÇÕES'!AB914"</f>
        <v/>
      </c>
      <c r="D4783" s="198" t="inlineStr">
        <is>
          <t>resultado</t>
        </is>
      </c>
    </row>
    <row r="4784">
      <c r="A4784" s="198" t="inlineStr">
        <is>
          <t>invocacao.11.esp.6.texto</t>
        </is>
      </c>
      <c r="B4784" s="198">
        <f>IF(ISBLANK('INVOCAÇÕES'!$AH$973),"",'INVOCAÇÕES'!$AH$973&amp;"")</f>
        <v/>
      </c>
      <c r="C4784" s="198">
        <f>"'INVOCAÇÕES'!AH908"</f>
        <v/>
      </c>
      <c r="D4784" s="198" t="inlineStr">
        <is>
          <t>entrada</t>
        </is>
      </c>
    </row>
    <row r="4785">
      <c r="A4785" s="198" t="inlineStr">
        <is>
          <t>invocacao.11.esp.6.tipo_dano</t>
        </is>
      </c>
      <c r="B4785" s="198">
        <f>IF(ISBLANK('INVOCAÇÕES'!$AH$977),"",'INVOCAÇÕES'!$AH$977&amp;"")</f>
        <v/>
      </c>
      <c r="C4785" s="198">
        <f>"'INVOCAÇÕES'!AH912"</f>
        <v/>
      </c>
      <c r="D4785" s="198" t="inlineStr">
        <is>
          <t>entrada</t>
        </is>
      </c>
    </row>
    <row r="4786">
      <c r="A4786" s="198" t="inlineStr">
        <is>
          <t>invocacao.11.esp.6.resolucao_escolha</t>
        </is>
      </c>
      <c r="B4786" s="198">
        <f>IF(ISBLANK('INVOCAÇÕES'!$AJ$977),"",'INVOCAÇÕES'!$AJ$977&amp;"")</f>
        <v/>
      </c>
      <c r="C4786" s="198">
        <f>"'INVOCAÇÕES'!AJ912"</f>
        <v/>
      </c>
      <c r="D4786" s="198" t="inlineStr">
        <is>
          <t>entrada</t>
        </is>
      </c>
    </row>
    <row r="4787">
      <c r="A4787" s="198" t="inlineStr">
        <is>
          <t>invocacao.11.esp.6.acao</t>
        </is>
      </c>
      <c r="B4787" s="198">
        <f>IF(ISBLANK('INVOCAÇÕES'!$AH$978),"",'INVOCAÇÕES'!$AH$978&amp;"")</f>
        <v/>
      </c>
      <c r="C4787" s="198">
        <f>"'INVOCAÇÕES'!AH913"</f>
        <v/>
      </c>
      <c r="D4787" s="198" t="inlineStr">
        <is>
          <t>resultado</t>
        </is>
      </c>
    </row>
    <row r="4788">
      <c r="A4788" s="198" t="inlineStr">
        <is>
          <t>invocacao.11.esp.6.resolve</t>
        </is>
      </c>
      <c r="B4788" s="198">
        <f>IF(ISBLANK('INVOCAÇÕES'!$AJ$978),"",'INVOCAÇÕES'!$AJ$978&amp;"")</f>
        <v/>
      </c>
      <c r="C4788" s="198">
        <f>"'INVOCAÇÕES'!AJ913"</f>
        <v/>
      </c>
      <c r="D4788" s="198" t="inlineStr">
        <is>
          <t>resultado</t>
        </is>
      </c>
    </row>
    <row r="4789">
      <c r="A4789" s="198" t="inlineStr">
        <is>
          <t>invocacao.11.esp.6.alcance</t>
        </is>
      </c>
      <c r="B4789" s="198">
        <f>IF(ISBLANK('INVOCAÇÕES'!$AH$979),"",'INVOCAÇÕES'!$AH$979&amp;"")</f>
        <v/>
      </c>
      <c r="C4789" s="198">
        <f>"'INVOCAÇÕES'!AH914"</f>
        <v/>
      </c>
      <c r="D4789" s="198" t="inlineStr">
        <is>
          <t>resultado</t>
        </is>
      </c>
    </row>
    <row r="4790">
      <c r="A4790" s="198" t="inlineStr">
        <is>
          <t>invocacao.11.esp.7.texto</t>
        </is>
      </c>
      <c r="B4790" s="198">
        <f>IF(ISBLANK('INVOCAÇÕES'!$AN$973),"",'INVOCAÇÕES'!$AN$973&amp;"")</f>
        <v/>
      </c>
      <c r="C4790" s="198">
        <f>"'INVOCAÇÕES'!AN908"</f>
        <v/>
      </c>
      <c r="D4790" s="198" t="inlineStr">
        <is>
          <t>entrada</t>
        </is>
      </c>
    </row>
    <row r="4791">
      <c r="A4791" s="198" t="inlineStr">
        <is>
          <t>invocacao.11.esp.7.tipo_dano</t>
        </is>
      </c>
      <c r="B4791" s="198">
        <f>IF(ISBLANK('INVOCAÇÕES'!$AN$977),"",'INVOCAÇÕES'!$AN$977&amp;"")</f>
        <v/>
      </c>
      <c r="C4791" s="198">
        <f>"'INVOCAÇÕES'!AN912"</f>
        <v/>
      </c>
      <c r="D4791" s="198" t="inlineStr">
        <is>
          <t>entrada</t>
        </is>
      </c>
    </row>
    <row r="4792">
      <c r="A4792" s="198" t="inlineStr">
        <is>
          <t>invocacao.11.esp.7.resolucao_escolha</t>
        </is>
      </c>
      <c r="B4792" s="198">
        <f>IF(ISBLANK('INVOCAÇÕES'!$AP$977),"",'INVOCAÇÕES'!$AP$977&amp;"")</f>
        <v/>
      </c>
      <c r="C4792" s="198">
        <f>"'INVOCAÇÕES'!AP912"</f>
        <v/>
      </c>
      <c r="D4792" s="198" t="inlineStr">
        <is>
          <t>entrada</t>
        </is>
      </c>
    </row>
    <row r="4793">
      <c r="A4793" s="198" t="inlineStr">
        <is>
          <t>invocacao.11.esp.7.acao</t>
        </is>
      </c>
      <c r="B4793" s="198">
        <f>IF(ISBLANK('INVOCAÇÕES'!$AN$978),"",'INVOCAÇÕES'!$AN$978&amp;"")</f>
        <v/>
      </c>
      <c r="C4793" s="198">
        <f>"'INVOCAÇÕES'!AN913"</f>
        <v/>
      </c>
      <c r="D4793" s="198" t="inlineStr">
        <is>
          <t>resultado</t>
        </is>
      </c>
    </row>
    <row r="4794">
      <c r="A4794" s="198" t="inlineStr">
        <is>
          <t>invocacao.11.esp.7.resolve</t>
        </is>
      </c>
      <c r="B4794" s="198">
        <f>IF(ISBLANK('INVOCAÇÕES'!$AP$978),"",'INVOCAÇÕES'!$AP$978&amp;"")</f>
        <v/>
      </c>
      <c r="C4794" s="198">
        <f>"'INVOCAÇÕES'!AP913"</f>
        <v/>
      </c>
      <c r="D4794" s="198" t="inlineStr">
        <is>
          <t>resultado</t>
        </is>
      </c>
    </row>
    <row r="4795">
      <c r="A4795" s="198" t="inlineStr">
        <is>
          <t>invocacao.11.esp.7.alcance</t>
        </is>
      </c>
      <c r="B4795" s="198">
        <f>IF(ISBLANK('INVOCAÇÕES'!$AN$979),"",'INVOCAÇÕES'!$AN$979&amp;"")</f>
        <v/>
      </c>
      <c r="C4795" s="198">
        <f>"'INVOCAÇÕES'!AN914"</f>
        <v/>
      </c>
      <c r="D4795" s="198" t="inlineStr">
        <is>
          <t>resultado</t>
        </is>
      </c>
    </row>
    <row r="4796">
      <c r="A4796" s="198" t="inlineStr">
        <is>
          <t>invocacao.11.esp.8.texto</t>
        </is>
      </c>
      <c r="B4796" s="198">
        <f>IF(ISBLANK('INVOCAÇÕES'!$AB$995),"",'INVOCAÇÕES'!$AB$995&amp;"")</f>
        <v/>
      </c>
      <c r="C4796" s="198">
        <f>"'INVOCAÇÕES'!AB930"</f>
        <v/>
      </c>
      <c r="D4796" s="198" t="inlineStr">
        <is>
          <t>entrada</t>
        </is>
      </c>
    </row>
    <row r="4797">
      <c r="A4797" s="198" t="inlineStr">
        <is>
          <t>invocacao.11.esp.8.tipo_dano</t>
        </is>
      </c>
      <c r="B4797" s="198">
        <f>IF(ISBLANK('INVOCAÇÕES'!$AB$999),"",'INVOCAÇÕES'!$AB$999&amp;"")</f>
        <v/>
      </c>
      <c r="C4797" s="198">
        <f>"'INVOCAÇÕES'!AB934"</f>
        <v/>
      </c>
      <c r="D4797" s="198" t="inlineStr">
        <is>
          <t>entrada</t>
        </is>
      </c>
    </row>
    <row r="4798">
      <c r="A4798" s="198" t="inlineStr">
        <is>
          <t>invocacao.11.esp.8.resolucao_escolha</t>
        </is>
      </c>
      <c r="B4798" s="198">
        <f>IF(ISBLANK('INVOCAÇÕES'!$AD$999),"",'INVOCAÇÕES'!$AD$999&amp;"")</f>
        <v/>
      </c>
      <c r="C4798" s="198">
        <f>"'INVOCAÇÕES'!AD934"</f>
        <v/>
      </c>
      <c r="D4798" s="198" t="inlineStr">
        <is>
          <t>entrada</t>
        </is>
      </c>
    </row>
    <row r="4799">
      <c r="A4799" s="198" t="inlineStr">
        <is>
          <t>invocacao.11.esp.8.acao</t>
        </is>
      </c>
      <c r="B4799" s="198">
        <f>IF(ISBLANK('INVOCAÇÕES'!$AB$1000),"",'INVOCAÇÕES'!$AB$1000&amp;"")</f>
        <v/>
      </c>
      <c r="C4799" s="198">
        <f>"'INVOCAÇÕES'!AB935"</f>
        <v/>
      </c>
      <c r="D4799" s="198" t="inlineStr">
        <is>
          <t>resultado</t>
        </is>
      </c>
    </row>
    <row r="4800">
      <c r="A4800" s="198" t="inlineStr">
        <is>
          <t>invocacao.11.esp.8.resolve</t>
        </is>
      </c>
      <c r="B4800" s="198">
        <f>IF(ISBLANK('INVOCAÇÕES'!$AD$1000),"",'INVOCAÇÕES'!$AD$1000&amp;"")</f>
        <v/>
      </c>
      <c r="C4800" s="198">
        <f>"'INVOCAÇÕES'!AD935"</f>
        <v/>
      </c>
      <c r="D4800" s="198" t="inlineStr">
        <is>
          <t>resultado</t>
        </is>
      </c>
    </row>
    <row r="4801">
      <c r="A4801" s="198" t="inlineStr">
        <is>
          <t>invocacao.11.esp.8.alcance</t>
        </is>
      </c>
      <c r="B4801" s="198">
        <f>IF(ISBLANK('INVOCAÇÕES'!$AB$1001),"",'INVOCAÇÕES'!$AB$1001&amp;"")</f>
        <v/>
      </c>
      <c r="C4801" s="198">
        <f>"'INVOCAÇÕES'!AB936"</f>
        <v/>
      </c>
      <c r="D4801" s="198" t="inlineStr">
        <is>
          <t>resultado</t>
        </is>
      </c>
    </row>
    <row r="4802">
      <c r="A4802" s="198" t="inlineStr">
        <is>
          <t>invocacao.11.ext.1.texto</t>
        </is>
      </c>
      <c r="B4802" s="198">
        <f>IF(ISBLANK('INVOCAÇÕES'!$AB$1019),"",'INVOCAÇÕES'!$AB$1019&amp;"")</f>
        <v/>
      </c>
      <c r="C4802" s="198">
        <f>"'INVOCAÇÕES'!AB954"</f>
        <v/>
      </c>
      <c r="D4802" s="198" t="inlineStr">
        <is>
          <t>entrada</t>
        </is>
      </c>
    </row>
    <row r="4803">
      <c r="A4803" s="198" t="inlineStr">
        <is>
          <t>invocacao.11.ext.1.tipo_dano</t>
        </is>
      </c>
      <c r="B4803" s="198">
        <f>IF(ISBLANK('INVOCAÇÕES'!$AB$1023),"",'INVOCAÇÕES'!$AB$1023&amp;"")</f>
        <v/>
      </c>
      <c r="C4803" s="198">
        <f>"'INVOCAÇÕES'!AB958"</f>
        <v/>
      </c>
      <c r="D4803" s="198" t="inlineStr">
        <is>
          <t>entrada</t>
        </is>
      </c>
    </row>
    <row r="4804">
      <c r="A4804" s="198" t="inlineStr">
        <is>
          <t>invocacao.11.ext.1.resolucao_escolha</t>
        </is>
      </c>
      <c r="B4804" s="198">
        <f>IF(ISBLANK('INVOCAÇÕES'!$AD$1023),"",'INVOCAÇÕES'!$AD$1023&amp;"")</f>
        <v/>
      </c>
      <c r="C4804" s="198">
        <f>"'INVOCAÇÕES'!AD958"</f>
        <v/>
      </c>
      <c r="D4804" s="198" t="inlineStr">
        <is>
          <t>entrada</t>
        </is>
      </c>
    </row>
    <row r="4805">
      <c r="A4805" s="198" t="inlineStr">
        <is>
          <t>invocacao.11.ext.1.acao</t>
        </is>
      </c>
      <c r="B4805" s="198">
        <f>IF(ISBLANK('INVOCAÇÕES'!$AB$1024),"",'INVOCAÇÕES'!$AB$1024&amp;"")</f>
        <v/>
      </c>
      <c r="C4805" s="198">
        <f>"'INVOCAÇÕES'!AB959"</f>
        <v/>
      </c>
      <c r="D4805" s="198" t="inlineStr">
        <is>
          <t>resultado</t>
        </is>
      </c>
    </row>
    <row r="4806">
      <c r="A4806" s="198" t="inlineStr">
        <is>
          <t>invocacao.11.ext.1.resolve</t>
        </is>
      </c>
      <c r="B4806" s="198">
        <f>IF(ISBLANK('INVOCAÇÕES'!$AD$1024),"",'INVOCAÇÕES'!$AD$1024&amp;"")</f>
        <v/>
      </c>
      <c r="C4806" s="198">
        <f>"'INVOCAÇÕES'!AD959"</f>
        <v/>
      </c>
      <c r="D4806" s="198" t="inlineStr">
        <is>
          <t>resultado</t>
        </is>
      </c>
    </row>
    <row r="4807">
      <c r="A4807" s="198" t="inlineStr">
        <is>
          <t>invocacao.11.ext.1.alcance</t>
        </is>
      </c>
      <c r="B4807" s="198">
        <f>IF(ISBLANK('INVOCAÇÕES'!$AB$1025),"",'INVOCAÇÕES'!$AB$1025&amp;"")</f>
        <v/>
      </c>
      <c r="C4807" s="198">
        <f>"'INVOCAÇÕES'!AB960"</f>
        <v/>
      </c>
      <c r="D4807" s="198" t="inlineStr">
        <is>
          <t>resultado</t>
        </is>
      </c>
    </row>
    <row r="4808">
      <c r="A4808" s="198" t="inlineStr">
        <is>
          <t>invocacao.11.ext.2.texto</t>
        </is>
      </c>
      <c r="B4808" s="198">
        <f>IF(ISBLANK('INVOCAÇÕES'!$AH$1019),"",'INVOCAÇÕES'!$AH$1019&amp;"")</f>
        <v/>
      </c>
      <c r="C4808" s="198">
        <f>"'INVOCAÇÕES'!AH954"</f>
        <v/>
      </c>
      <c r="D4808" s="198" t="inlineStr">
        <is>
          <t>entrada</t>
        </is>
      </c>
    </row>
    <row r="4809">
      <c r="A4809" s="198" t="inlineStr">
        <is>
          <t>invocacao.11.ext.2.tipo_dano</t>
        </is>
      </c>
      <c r="B4809" s="198">
        <f>IF(ISBLANK('INVOCAÇÕES'!$AH$1023),"",'INVOCAÇÕES'!$AH$1023&amp;"")</f>
        <v/>
      </c>
      <c r="C4809" s="198">
        <f>"'INVOCAÇÕES'!AH958"</f>
        <v/>
      </c>
      <c r="D4809" s="198" t="inlineStr">
        <is>
          <t>entrada</t>
        </is>
      </c>
    </row>
    <row r="4810">
      <c r="A4810" s="198" t="inlineStr">
        <is>
          <t>invocacao.11.ext.2.resolucao_escolha</t>
        </is>
      </c>
      <c r="B4810" s="198">
        <f>IF(ISBLANK('INVOCAÇÕES'!$AJ$1023),"",'INVOCAÇÕES'!$AJ$1023&amp;"")</f>
        <v/>
      </c>
      <c r="C4810" s="198">
        <f>"'INVOCAÇÕES'!AJ958"</f>
        <v/>
      </c>
      <c r="D4810" s="198" t="inlineStr">
        <is>
          <t>entrada</t>
        </is>
      </c>
    </row>
    <row r="4811">
      <c r="A4811" s="198" t="inlineStr">
        <is>
          <t>invocacao.11.ext.2.acao</t>
        </is>
      </c>
      <c r="B4811" s="198">
        <f>IF(ISBLANK('INVOCAÇÕES'!$AH$1024),"",'INVOCAÇÕES'!$AH$1024&amp;"")</f>
        <v/>
      </c>
      <c r="C4811" s="198">
        <f>"'INVOCAÇÕES'!AH959"</f>
        <v/>
      </c>
      <c r="D4811" s="198" t="inlineStr">
        <is>
          <t>resultado</t>
        </is>
      </c>
    </row>
    <row r="4812">
      <c r="A4812" s="198" t="inlineStr">
        <is>
          <t>invocacao.11.ext.2.resolve</t>
        </is>
      </c>
      <c r="B4812" s="198">
        <f>IF(ISBLANK('INVOCAÇÕES'!$AJ$1024),"",'INVOCAÇÕES'!$AJ$1024&amp;"")</f>
        <v/>
      </c>
      <c r="C4812" s="198">
        <f>"'INVOCAÇÕES'!AJ959"</f>
        <v/>
      </c>
      <c r="D4812" s="198" t="inlineStr">
        <is>
          <t>resultado</t>
        </is>
      </c>
    </row>
    <row r="4813">
      <c r="A4813" s="198" t="inlineStr">
        <is>
          <t>invocacao.11.ext.2.alcance</t>
        </is>
      </c>
      <c r="B4813" s="198">
        <f>IF(ISBLANK('INVOCAÇÕES'!$AH$1025),"",'INVOCAÇÕES'!$AH$1025&amp;"")</f>
        <v/>
      </c>
      <c r="C4813" s="198">
        <f>"'INVOCAÇÕES'!AH960"</f>
        <v/>
      </c>
      <c r="D4813" s="198" t="inlineStr">
        <is>
          <t>resultado</t>
        </is>
      </c>
    </row>
    <row r="4814">
      <c r="A4814" s="198" t="inlineStr">
        <is>
          <t>invocacao.11.ext.3.texto</t>
        </is>
      </c>
      <c r="B4814" s="198">
        <f>IF(ISBLANK('INVOCAÇÕES'!$AN$1019),"",'INVOCAÇÕES'!$AN$1019&amp;"")</f>
        <v/>
      </c>
      <c r="C4814" s="198">
        <f>"'INVOCAÇÕES'!AN954"</f>
        <v/>
      </c>
      <c r="D4814" s="198" t="inlineStr">
        <is>
          <t>entrada</t>
        </is>
      </c>
    </row>
    <row r="4815">
      <c r="A4815" s="198" t="inlineStr">
        <is>
          <t>invocacao.11.ext.3.tipo_dano</t>
        </is>
      </c>
      <c r="B4815" s="198">
        <f>IF(ISBLANK('INVOCAÇÕES'!$AN$1023),"",'INVOCAÇÕES'!$AN$1023&amp;"")</f>
        <v/>
      </c>
      <c r="C4815" s="198">
        <f>"'INVOCAÇÕES'!AN958"</f>
        <v/>
      </c>
      <c r="D4815" s="198" t="inlineStr">
        <is>
          <t>entrada</t>
        </is>
      </c>
    </row>
    <row r="4816">
      <c r="A4816" s="198" t="inlineStr">
        <is>
          <t>invocacao.11.ext.3.resolucao_escolha</t>
        </is>
      </c>
      <c r="B4816" s="198">
        <f>IF(ISBLANK('INVOCAÇÕES'!$AP$1023),"",'INVOCAÇÕES'!$AP$1023&amp;"")</f>
        <v/>
      </c>
      <c r="C4816" s="198">
        <f>"'INVOCAÇÕES'!AP958"</f>
        <v/>
      </c>
      <c r="D4816" s="198" t="inlineStr">
        <is>
          <t>entrada</t>
        </is>
      </c>
    </row>
    <row r="4817">
      <c r="A4817" s="198" t="inlineStr">
        <is>
          <t>invocacao.11.ext.3.acao</t>
        </is>
      </c>
      <c r="B4817" s="198">
        <f>IF(ISBLANK('INVOCAÇÕES'!$AN$1024),"",'INVOCAÇÕES'!$AN$1024&amp;"")</f>
        <v/>
      </c>
      <c r="C4817" s="198">
        <f>"'INVOCAÇÕES'!AN959"</f>
        <v/>
      </c>
      <c r="D4817" s="198" t="inlineStr">
        <is>
          <t>resultado</t>
        </is>
      </c>
    </row>
    <row r="4818">
      <c r="A4818" s="198" t="inlineStr">
        <is>
          <t>invocacao.11.ext.3.resolve</t>
        </is>
      </c>
      <c r="B4818" s="198">
        <f>IF(ISBLANK('INVOCAÇÕES'!$AP$1024),"",'INVOCAÇÕES'!$AP$1024&amp;"")</f>
        <v/>
      </c>
      <c r="C4818" s="198">
        <f>"'INVOCAÇÕES'!AP959"</f>
        <v/>
      </c>
      <c r="D4818" s="198" t="inlineStr">
        <is>
          <t>resultado</t>
        </is>
      </c>
    </row>
    <row r="4819">
      <c r="A4819" s="198" t="inlineStr">
        <is>
          <t>invocacao.11.ext.3.alcance</t>
        </is>
      </c>
      <c r="B4819" s="198">
        <f>IF(ISBLANK('INVOCAÇÕES'!$AN$1025),"",'INVOCAÇÕES'!$AN$1025&amp;"")</f>
        <v/>
      </c>
      <c r="C4819" s="198">
        <f>"'INVOCAÇÕES'!AN960"</f>
        <v/>
      </c>
      <c r="D4819" s="198" t="inlineStr">
        <is>
          <t>resultado</t>
        </is>
      </c>
    </row>
    <row r="4820">
      <c r="A4820" s="198" t="inlineStr">
        <is>
          <t>invocacao.12.bas.1.texto</t>
        </is>
      </c>
      <c r="B4820" s="198">
        <f>IF(ISBLANK('INVOCAÇÕES'!$AB$1128),"",'INVOCAÇÕES'!$AB$1128&amp;"")</f>
        <v/>
      </c>
      <c r="C4820" s="198">
        <f>"'INVOCAÇÕES'!AB1050"</f>
        <v/>
      </c>
      <c r="D4820" s="198" t="inlineStr">
        <is>
          <t>entrada</t>
        </is>
      </c>
    </row>
    <row r="4821">
      <c r="A4821" s="198" t="inlineStr">
        <is>
          <t>invocacao.12.bas.1.tipo_dano</t>
        </is>
      </c>
      <c r="B4821" s="198">
        <f>IF(ISBLANK('INVOCAÇÕES'!$AB$1132),"",'INVOCAÇÕES'!$AB$1132&amp;"")</f>
        <v/>
      </c>
      <c r="C4821" s="198">
        <f>"'INVOCAÇÕES'!AB1054"</f>
        <v/>
      </c>
      <c r="D4821" s="198" t="inlineStr">
        <is>
          <t>entrada</t>
        </is>
      </c>
    </row>
    <row r="4822">
      <c r="A4822" s="198" t="inlineStr">
        <is>
          <t>invocacao.12.bas.1.resolucao_escolha</t>
        </is>
      </c>
      <c r="B4822" s="198">
        <f>IF(ISBLANK('INVOCAÇÕES'!$AD$1132),"",'INVOCAÇÕES'!$AD$1132&amp;"")</f>
        <v/>
      </c>
      <c r="C4822" s="198">
        <f>"'INVOCAÇÕES'!AD1054"</f>
        <v/>
      </c>
      <c r="D4822" s="198" t="inlineStr">
        <is>
          <t>entrada</t>
        </is>
      </c>
    </row>
    <row r="4823">
      <c r="A4823" s="198" t="inlineStr">
        <is>
          <t>invocacao.12.bas.1.acao</t>
        </is>
      </c>
      <c r="B4823" s="198">
        <f>IF(ISBLANK('INVOCAÇÕES'!$AB$1133),"",'INVOCAÇÕES'!$AB$1133&amp;"")</f>
        <v/>
      </c>
      <c r="C4823" s="198">
        <f>"'INVOCAÇÕES'!AB1055"</f>
        <v/>
      </c>
      <c r="D4823" s="198" t="inlineStr">
        <is>
          <t>resultado</t>
        </is>
      </c>
    </row>
    <row r="4824">
      <c r="A4824" s="198" t="inlineStr">
        <is>
          <t>invocacao.12.bas.1.resolve</t>
        </is>
      </c>
      <c r="B4824" s="198">
        <f>IF(ISBLANK('INVOCAÇÕES'!$AD$1133),"",'INVOCAÇÕES'!$AD$1133&amp;"")</f>
        <v/>
      </c>
      <c r="C4824" s="198">
        <f>"'INVOCAÇÕES'!AD1055"</f>
        <v/>
      </c>
      <c r="D4824" s="198" t="inlineStr">
        <is>
          <t>resultado</t>
        </is>
      </c>
    </row>
    <row r="4825">
      <c r="A4825" s="198" t="inlineStr">
        <is>
          <t>invocacao.12.bas.1.alcance</t>
        </is>
      </c>
      <c r="B4825" s="198">
        <f>IF(ISBLANK('INVOCAÇÕES'!$AB$1134),"",'INVOCAÇÕES'!$AB$1134&amp;"")</f>
        <v/>
      </c>
      <c r="C4825" s="198">
        <f>"'INVOCAÇÕES'!AB1056"</f>
        <v/>
      </c>
      <c r="D4825" s="198" t="inlineStr">
        <is>
          <t>resultado</t>
        </is>
      </c>
    </row>
    <row r="4826">
      <c r="A4826" s="198" t="inlineStr">
        <is>
          <t>invocacao.12.esp.1.texto</t>
        </is>
      </c>
      <c r="B4826" s="198">
        <f>IF(ISBLANK('INVOCAÇÕES'!$AH$1128),"",'INVOCAÇÕES'!$AH$1128&amp;"")</f>
        <v/>
      </c>
      <c r="C4826" s="198">
        <f>"'INVOCAÇÕES'!AH1050"</f>
        <v/>
      </c>
      <c r="D4826" s="198" t="inlineStr">
        <is>
          <t>entrada</t>
        </is>
      </c>
    </row>
    <row r="4827">
      <c r="A4827" s="198" t="inlineStr">
        <is>
          <t>invocacao.12.esp.1.tipo_dano</t>
        </is>
      </c>
      <c r="B4827" s="198">
        <f>IF(ISBLANK('INVOCAÇÕES'!$AH$1132),"",'INVOCAÇÕES'!$AH$1132&amp;"")</f>
        <v/>
      </c>
      <c r="C4827" s="198">
        <f>"'INVOCAÇÕES'!AH1054"</f>
        <v/>
      </c>
      <c r="D4827" s="198" t="inlineStr">
        <is>
          <t>entrada</t>
        </is>
      </c>
    </row>
    <row r="4828">
      <c r="A4828" s="198" t="inlineStr">
        <is>
          <t>invocacao.12.esp.1.resolucao_escolha</t>
        </is>
      </c>
      <c r="B4828" s="198">
        <f>IF(ISBLANK('INVOCAÇÕES'!$AJ$1132),"",'INVOCAÇÕES'!$AJ$1132&amp;"")</f>
        <v/>
      </c>
      <c r="C4828" s="198">
        <f>"'INVOCAÇÕES'!AJ1054"</f>
        <v/>
      </c>
      <c r="D4828" s="198" t="inlineStr">
        <is>
          <t>entrada</t>
        </is>
      </c>
    </row>
    <row r="4829">
      <c r="A4829" s="198" t="inlineStr">
        <is>
          <t>invocacao.12.esp.1.acao</t>
        </is>
      </c>
      <c r="B4829" s="198">
        <f>IF(ISBLANK('INVOCAÇÕES'!$AH$1133),"",'INVOCAÇÕES'!$AH$1133&amp;"")</f>
        <v/>
      </c>
      <c r="C4829" s="198">
        <f>"'INVOCAÇÕES'!AH1055"</f>
        <v/>
      </c>
      <c r="D4829" s="198" t="inlineStr">
        <is>
          <t>resultado</t>
        </is>
      </c>
    </row>
    <row r="4830">
      <c r="A4830" s="198" t="inlineStr">
        <is>
          <t>invocacao.12.esp.1.resolve</t>
        </is>
      </c>
      <c r="B4830" s="198">
        <f>IF(ISBLANK('INVOCAÇÕES'!$AJ$1133),"",'INVOCAÇÕES'!$AJ$1133&amp;"")</f>
        <v/>
      </c>
      <c r="C4830" s="198">
        <f>"'INVOCAÇÕES'!AJ1055"</f>
        <v/>
      </c>
      <c r="D4830" s="198" t="inlineStr">
        <is>
          <t>resultado</t>
        </is>
      </c>
    </row>
    <row r="4831">
      <c r="A4831" s="198" t="inlineStr">
        <is>
          <t>invocacao.12.esp.1.alcance</t>
        </is>
      </c>
      <c r="B4831" s="198">
        <f>IF(ISBLANK('INVOCAÇÕES'!$AH$1134),"",'INVOCAÇÕES'!$AH$1134&amp;"")</f>
        <v/>
      </c>
      <c r="C4831" s="198">
        <f>"'INVOCAÇÕES'!AH1056"</f>
        <v/>
      </c>
      <c r="D4831" s="198" t="inlineStr">
        <is>
          <t>resultado</t>
        </is>
      </c>
    </row>
    <row r="4832">
      <c r="A4832" s="198" t="inlineStr">
        <is>
          <t>invocacao.12.esp.2.texto</t>
        </is>
      </c>
      <c r="B4832" s="198">
        <f>IF(ISBLANK('INVOCAÇÕES'!$AN$1128),"",'INVOCAÇÕES'!$AN$1128&amp;"")</f>
        <v/>
      </c>
      <c r="C4832" s="198">
        <f>"'INVOCAÇÕES'!AN1050"</f>
        <v/>
      </c>
      <c r="D4832" s="198" t="inlineStr">
        <is>
          <t>entrada</t>
        </is>
      </c>
    </row>
    <row r="4833">
      <c r="A4833" s="198" t="inlineStr">
        <is>
          <t>invocacao.12.esp.2.tipo_dano</t>
        </is>
      </c>
      <c r="B4833" s="198">
        <f>IF(ISBLANK('INVOCAÇÕES'!$AN$1132),"",'INVOCAÇÕES'!$AN$1132&amp;"")</f>
        <v/>
      </c>
      <c r="C4833" s="198">
        <f>"'INVOCAÇÕES'!AN1054"</f>
        <v/>
      </c>
      <c r="D4833" s="198" t="inlineStr">
        <is>
          <t>entrada</t>
        </is>
      </c>
    </row>
    <row r="4834">
      <c r="A4834" s="198" t="inlineStr">
        <is>
          <t>invocacao.12.esp.2.resolucao_escolha</t>
        </is>
      </c>
      <c r="B4834" s="198">
        <f>IF(ISBLANK('INVOCAÇÕES'!$AP$1132),"",'INVOCAÇÕES'!$AP$1132&amp;"")</f>
        <v/>
      </c>
      <c r="C4834" s="198">
        <f>"'INVOCAÇÕES'!AP1054"</f>
        <v/>
      </c>
      <c r="D4834" s="198" t="inlineStr">
        <is>
          <t>entrada</t>
        </is>
      </c>
    </row>
    <row r="4835">
      <c r="A4835" s="198" t="inlineStr">
        <is>
          <t>invocacao.12.esp.2.acao</t>
        </is>
      </c>
      <c r="B4835" s="198">
        <f>IF(ISBLANK('INVOCAÇÕES'!$AN$1133),"",'INVOCAÇÕES'!$AN$1133&amp;"")</f>
        <v/>
      </c>
      <c r="C4835" s="198">
        <f>"'INVOCAÇÕES'!AN1055"</f>
        <v/>
      </c>
      <c r="D4835" s="198" t="inlineStr">
        <is>
          <t>resultado</t>
        </is>
      </c>
    </row>
    <row r="4836">
      <c r="A4836" s="198" t="inlineStr">
        <is>
          <t>invocacao.12.esp.2.resolve</t>
        </is>
      </c>
      <c r="B4836" s="198">
        <f>IF(ISBLANK('INVOCAÇÕES'!$AP$1133),"",'INVOCAÇÕES'!$AP$1133&amp;"")</f>
        <v/>
      </c>
      <c r="C4836" s="198">
        <f>"'INVOCAÇÕES'!AP1055"</f>
        <v/>
      </c>
      <c r="D4836" s="198" t="inlineStr">
        <is>
          <t>resultado</t>
        </is>
      </c>
    </row>
    <row r="4837">
      <c r="A4837" s="198" t="inlineStr">
        <is>
          <t>invocacao.12.esp.2.alcance</t>
        </is>
      </c>
      <c r="B4837" s="198">
        <f>IF(ISBLANK('INVOCAÇÕES'!$AN$1134),"",'INVOCAÇÕES'!$AN$1134&amp;"")</f>
        <v/>
      </c>
      <c r="C4837" s="198">
        <f>"'INVOCAÇÕES'!AN1056"</f>
        <v/>
      </c>
      <c r="D4837" s="198" t="inlineStr">
        <is>
          <t>resultado</t>
        </is>
      </c>
    </row>
    <row r="4838">
      <c r="A4838" s="198" t="inlineStr">
        <is>
          <t>invocacao.12.bas.2.texto</t>
        </is>
      </c>
      <c r="B4838" s="198">
        <f>IF(ISBLANK('INVOCAÇÕES'!$AB$1162),"",'INVOCAÇÕES'!$AB$1162&amp;"")</f>
        <v/>
      </c>
      <c r="C4838" s="198">
        <f>"'INVOCAÇÕES'!AB1084"</f>
        <v/>
      </c>
      <c r="D4838" s="198" t="inlineStr">
        <is>
          <t>entrada</t>
        </is>
      </c>
    </row>
    <row r="4839">
      <c r="A4839" s="198" t="inlineStr">
        <is>
          <t>invocacao.12.bas.2.tipo_dano</t>
        </is>
      </c>
      <c r="B4839" s="198">
        <f>IF(ISBLANK('INVOCAÇÕES'!$AB$1166),"",'INVOCAÇÕES'!$AB$1166&amp;"")</f>
        <v/>
      </c>
      <c r="C4839" s="198">
        <f>"'INVOCAÇÕES'!AB1088"</f>
        <v/>
      </c>
      <c r="D4839" s="198" t="inlineStr">
        <is>
          <t>entrada</t>
        </is>
      </c>
    </row>
    <row r="4840">
      <c r="A4840" s="198" t="inlineStr">
        <is>
          <t>invocacao.12.bas.2.resolucao_escolha</t>
        </is>
      </c>
      <c r="B4840" s="198">
        <f>IF(ISBLANK('INVOCAÇÕES'!$AD$1166),"",'INVOCAÇÕES'!$AD$1166&amp;"")</f>
        <v/>
      </c>
      <c r="C4840" s="198">
        <f>"'INVOCAÇÕES'!AD1088"</f>
        <v/>
      </c>
      <c r="D4840" s="198" t="inlineStr">
        <is>
          <t>entrada</t>
        </is>
      </c>
    </row>
    <row r="4841">
      <c r="A4841" s="198" t="inlineStr">
        <is>
          <t>invocacao.12.bas.2.acao</t>
        </is>
      </c>
      <c r="B4841" s="198">
        <f>IF(ISBLANK('INVOCAÇÕES'!$AB$1167),"",'INVOCAÇÕES'!$AB$1167&amp;"")</f>
        <v/>
      </c>
      <c r="C4841" s="198">
        <f>"'INVOCAÇÕES'!AB1089"</f>
        <v/>
      </c>
      <c r="D4841" s="198" t="inlineStr">
        <is>
          <t>resultado</t>
        </is>
      </c>
    </row>
    <row r="4842">
      <c r="A4842" s="198" t="inlineStr">
        <is>
          <t>invocacao.12.bas.2.resolve</t>
        </is>
      </c>
      <c r="B4842" s="198">
        <f>IF(ISBLANK('INVOCAÇÕES'!$AD$1167),"",'INVOCAÇÕES'!$AD$1167&amp;"")</f>
        <v/>
      </c>
      <c r="C4842" s="198">
        <f>"'INVOCAÇÕES'!AD1089"</f>
        <v/>
      </c>
      <c r="D4842" s="198" t="inlineStr">
        <is>
          <t>resultado</t>
        </is>
      </c>
    </row>
    <row r="4843">
      <c r="A4843" s="198" t="inlineStr">
        <is>
          <t>invocacao.12.bas.2.alcance</t>
        </is>
      </c>
      <c r="B4843" s="198">
        <f>IF(ISBLANK('INVOCAÇÕES'!$AB$1168),"",'INVOCAÇÕES'!$AB$1168&amp;"")</f>
        <v/>
      </c>
      <c r="C4843" s="198">
        <f>"'INVOCAÇÕES'!AB1090"</f>
        <v/>
      </c>
      <c r="D4843" s="198" t="inlineStr">
        <is>
          <t>resultado</t>
        </is>
      </c>
    </row>
    <row r="4844">
      <c r="A4844" s="198" t="inlineStr">
        <is>
          <t>invocacao.12.esp.3.texto</t>
        </is>
      </c>
      <c r="B4844" s="198">
        <f>IF(ISBLANK('INVOCAÇÕES'!$AH$1162),"",'INVOCAÇÕES'!$AH$1162&amp;"")</f>
        <v/>
      </c>
      <c r="C4844" s="198">
        <f>"'INVOCAÇÕES'!AH1084"</f>
        <v/>
      </c>
      <c r="D4844" s="198" t="inlineStr">
        <is>
          <t>entrada</t>
        </is>
      </c>
    </row>
    <row r="4845">
      <c r="A4845" s="198" t="inlineStr">
        <is>
          <t>invocacao.12.esp.3.tipo_dano</t>
        </is>
      </c>
      <c r="B4845" s="198">
        <f>IF(ISBLANK('INVOCAÇÕES'!$AH$1166),"",'INVOCAÇÕES'!$AH$1166&amp;"")</f>
        <v/>
      </c>
      <c r="C4845" s="198">
        <f>"'INVOCAÇÕES'!AH1088"</f>
        <v/>
      </c>
      <c r="D4845" s="198" t="inlineStr">
        <is>
          <t>entrada</t>
        </is>
      </c>
    </row>
    <row r="4846">
      <c r="A4846" s="198" t="inlineStr">
        <is>
          <t>invocacao.12.esp.3.resolucao_escolha</t>
        </is>
      </c>
      <c r="B4846" s="198">
        <f>IF(ISBLANK('INVOCAÇÕES'!$AJ$1166),"",'INVOCAÇÕES'!$AJ$1166&amp;"")</f>
        <v/>
      </c>
      <c r="C4846" s="198">
        <f>"'INVOCAÇÕES'!AJ1088"</f>
        <v/>
      </c>
      <c r="D4846" s="198" t="inlineStr">
        <is>
          <t>entrada</t>
        </is>
      </c>
    </row>
    <row r="4847">
      <c r="A4847" s="198" t="inlineStr">
        <is>
          <t>invocacao.12.esp.3.acao</t>
        </is>
      </c>
      <c r="B4847" s="198">
        <f>IF(ISBLANK('INVOCAÇÕES'!$AH$1167),"",'INVOCAÇÕES'!$AH$1167&amp;"")</f>
        <v/>
      </c>
      <c r="C4847" s="198">
        <f>"'INVOCAÇÕES'!AH1089"</f>
        <v/>
      </c>
      <c r="D4847" s="198" t="inlineStr">
        <is>
          <t>resultado</t>
        </is>
      </c>
    </row>
    <row r="4848">
      <c r="A4848" s="198" t="inlineStr">
        <is>
          <t>invocacao.12.esp.3.resolve</t>
        </is>
      </c>
      <c r="B4848" s="198">
        <f>IF(ISBLANK('INVOCAÇÕES'!$AJ$1167),"",'INVOCAÇÕES'!$AJ$1167&amp;"")</f>
        <v/>
      </c>
      <c r="C4848" s="198">
        <f>"'INVOCAÇÕES'!AJ1089"</f>
        <v/>
      </c>
      <c r="D4848" s="198" t="inlineStr">
        <is>
          <t>resultado</t>
        </is>
      </c>
    </row>
    <row r="4849">
      <c r="A4849" s="198" t="inlineStr">
        <is>
          <t>invocacao.12.esp.3.alcance</t>
        </is>
      </c>
      <c r="B4849" s="198">
        <f>IF(ISBLANK('INVOCAÇÕES'!$AH$1168),"",'INVOCAÇÕES'!$AH$1168&amp;"")</f>
        <v/>
      </c>
      <c r="C4849" s="198">
        <f>"'INVOCAÇÕES'!AH1090"</f>
        <v/>
      </c>
      <c r="D4849" s="198" t="inlineStr">
        <is>
          <t>resultado</t>
        </is>
      </c>
    </row>
    <row r="4850">
      <c r="A4850" s="198" t="inlineStr">
        <is>
          <t>invocacao.12.esp.4.texto</t>
        </is>
      </c>
      <c r="B4850" s="198">
        <f>IF(ISBLANK('INVOCAÇÕES'!$AN$1162),"",'INVOCAÇÕES'!$AN$1162&amp;"")</f>
        <v/>
      </c>
      <c r="C4850" s="198">
        <f>"'INVOCAÇÕES'!AN1084"</f>
        <v/>
      </c>
      <c r="D4850" s="198" t="inlineStr">
        <is>
          <t>entrada</t>
        </is>
      </c>
    </row>
    <row r="4851">
      <c r="A4851" s="198" t="inlineStr">
        <is>
          <t>invocacao.12.esp.4.tipo_dano</t>
        </is>
      </c>
      <c r="B4851" s="198">
        <f>IF(ISBLANK('INVOCAÇÕES'!$AN$1166),"",'INVOCAÇÕES'!$AN$1166&amp;"")</f>
        <v/>
      </c>
      <c r="C4851" s="198">
        <f>"'INVOCAÇÕES'!AN1088"</f>
        <v/>
      </c>
      <c r="D4851" s="198" t="inlineStr">
        <is>
          <t>entrada</t>
        </is>
      </c>
    </row>
    <row r="4852">
      <c r="A4852" s="198" t="inlineStr">
        <is>
          <t>invocacao.12.esp.4.resolucao_escolha</t>
        </is>
      </c>
      <c r="B4852" s="198">
        <f>IF(ISBLANK('INVOCAÇÕES'!$AP$1166),"",'INVOCAÇÕES'!$AP$1166&amp;"")</f>
        <v/>
      </c>
      <c r="C4852" s="198">
        <f>"'INVOCAÇÕES'!AP1088"</f>
        <v/>
      </c>
      <c r="D4852" s="198" t="inlineStr">
        <is>
          <t>entrada</t>
        </is>
      </c>
    </row>
    <row r="4853">
      <c r="A4853" s="198" t="inlineStr">
        <is>
          <t>invocacao.12.esp.4.acao</t>
        </is>
      </c>
      <c r="B4853" s="198">
        <f>IF(ISBLANK('INVOCAÇÕES'!$AN$1167),"",'INVOCAÇÕES'!$AN$1167&amp;"")</f>
        <v/>
      </c>
      <c r="C4853" s="198">
        <f>"'INVOCAÇÕES'!AN1089"</f>
        <v/>
      </c>
      <c r="D4853" s="198" t="inlineStr">
        <is>
          <t>resultado</t>
        </is>
      </c>
    </row>
    <row r="4854">
      <c r="A4854" s="198" t="inlineStr">
        <is>
          <t>invocacao.12.esp.4.resolve</t>
        </is>
      </c>
      <c r="B4854" s="198">
        <f>IF(ISBLANK('INVOCAÇÕES'!$AP$1167),"",'INVOCAÇÕES'!$AP$1167&amp;"")</f>
        <v/>
      </c>
      <c r="C4854" s="198">
        <f>"'INVOCAÇÕES'!AP1089"</f>
        <v/>
      </c>
      <c r="D4854" s="198" t="inlineStr">
        <is>
          <t>resultado</t>
        </is>
      </c>
    </row>
    <row r="4855">
      <c r="A4855" s="198" t="inlineStr">
        <is>
          <t>invocacao.12.esp.4.alcance</t>
        </is>
      </c>
      <c r="B4855" s="198">
        <f>IF(ISBLANK('INVOCAÇÕES'!$AN$1168),"",'INVOCAÇÕES'!$AN$1168&amp;"")</f>
        <v/>
      </c>
      <c r="C4855" s="198">
        <f>"'INVOCAÇÕES'!AN1090"</f>
        <v/>
      </c>
      <c r="D4855" s="198" t="inlineStr">
        <is>
          <t>resultado</t>
        </is>
      </c>
    </row>
    <row r="4856">
      <c r="A4856" s="198" t="inlineStr">
        <is>
          <t>invocacao.12.esp.5.texto</t>
        </is>
      </c>
      <c r="B4856" s="198">
        <f>IF(ISBLANK('INVOCAÇÕES'!$AB$1184),"",'INVOCAÇÕES'!$AB$1184&amp;"")</f>
        <v/>
      </c>
      <c r="C4856" s="198">
        <f>"'INVOCAÇÕES'!AB1106"</f>
        <v/>
      </c>
      <c r="D4856" s="198" t="inlineStr">
        <is>
          <t>entrada</t>
        </is>
      </c>
    </row>
    <row r="4857">
      <c r="A4857" s="198" t="inlineStr">
        <is>
          <t>invocacao.12.esp.5.tipo_dano</t>
        </is>
      </c>
      <c r="B4857" s="198">
        <f>IF(ISBLANK('INVOCAÇÕES'!$AB$1188),"",'INVOCAÇÕES'!$AB$1188&amp;"")</f>
        <v/>
      </c>
      <c r="C4857" s="198">
        <f>"'INVOCAÇÕES'!AB1110"</f>
        <v/>
      </c>
      <c r="D4857" s="198" t="inlineStr">
        <is>
          <t>entrada</t>
        </is>
      </c>
    </row>
    <row r="4858">
      <c r="A4858" s="198" t="inlineStr">
        <is>
          <t>invocacao.12.esp.5.resolucao_escolha</t>
        </is>
      </c>
      <c r="B4858" s="198">
        <f>IF(ISBLANK('INVOCAÇÕES'!$AD$1188),"",'INVOCAÇÕES'!$AD$1188&amp;"")</f>
        <v/>
      </c>
      <c r="C4858" s="198">
        <f>"'INVOCAÇÕES'!AD1110"</f>
        <v/>
      </c>
      <c r="D4858" s="198" t="inlineStr">
        <is>
          <t>entrada</t>
        </is>
      </c>
    </row>
    <row r="4859">
      <c r="A4859" s="198" t="inlineStr">
        <is>
          <t>invocacao.12.esp.5.acao</t>
        </is>
      </c>
      <c r="B4859" s="198">
        <f>IF(ISBLANK('INVOCAÇÕES'!$AB$1189),"",'INVOCAÇÕES'!$AB$1189&amp;"")</f>
        <v/>
      </c>
      <c r="C4859" s="198">
        <f>"'INVOCAÇÕES'!AB1111"</f>
        <v/>
      </c>
      <c r="D4859" s="198" t="inlineStr">
        <is>
          <t>resultado</t>
        </is>
      </c>
    </row>
    <row r="4860">
      <c r="A4860" s="198" t="inlineStr">
        <is>
          <t>invocacao.12.esp.5.resolve</t>
        </is>
      </c>
      <c r="B4860" s="198">
        <f>IF(ISBLANK('INVOCAÇÕES'!$AD$1189),"",'INVOCAÇÕES'!$AD$1189&amp;"")</f>
        <v/>
      </c>
      <c r="C4860" s="198">
        <f>"'INVOCAÇÕES'!AD1111"</f>
        <v/>
      </c>
      <c r="D4860" s="198" t="inlineStr">
        <is>
          <t>resultado</t>
        </is>
      </c>
    </row>
    <row r="4861">
      <c r="A4861" s="198" t="inlineStr">
        <is>
          <t>invocacao.12.esp.5.alcance</t>
        </is>
      </c>
      <c r="B4861" s="198">
        <f>IF(ISBLANK('INVOCAÇÕES'!$AB$1190),"",'INVOCAÇÕES'!$AB$1190&amp;"")</f>
        <v/>
      </c>
      <c r="C4861" s="198">
        <f>"'INVOCAÇÕES'!AB1112"</f>
        <v/>
      </c>
      <c r="D4861" s="198" t="inlineStr">
        <is>
          <t>resultado</t>
        </is>
      </c>
    </row>
    <row r="4862">
      <c r="A4862" s="198" t="inlineStr">
        <is>
          <t>invocacao.12.esp.6.texto</t>
        </is>
      </c>
      <c r="B4862" s="198">
        <f>IF(ISBLANK('INVOCAÇÕES'!$AH$1184),"",'INVOCAÇÕES'!$AH$1184&amp;"")</f>
        <v/>
      </c>
      <c r="C4862" s="198">
        <f>"'INVOCAÇÕES'!AH1106"</f>
        <v/>
      </c>
      <c r="D4862" s="198" t="inlineStr">
        <is>
          <t>entrada</t>
        </is>
      </c>
    </row>
    <row r="4863">
      <c r="A4863" s="198" t="inlineStr">
        <is>
          <t>invocacao.12.esp.6.tipo_dano</t>
        </is>
      </c>
      <c r="B4863" s="198">
        <f>IF(ISBLANK('INVOCAÇÕES'!$AH$1188),"",'INVOCAÇÕES'!$AH$1188&amp;"")</f>
        <v/>
      </c>
      <c r="C4863" s="198">
        <f>"'INVOCAÇÕES'!AH1110"</f>
        <v/>
      </c>
      <c r="D4863" s="198" t="inlineStr">
        <is>
          <t>entrada</t>
        </is>
      </c>
    </row>
    <row r="4864">
      <c r="A4864" s="198" t="inlineStr">
        <is>
          <t>invocacao.12.esp.6.resolucao_escolha</t>
        </is>
      </c>
      <c r="B4864" s="198">
        <f>IF(ISBLANK('INVOCAÇÕES'!$AJ$1188),"",'INVOCAÇÕES'!$AJ$1188&amp;"")</f>
        <v/>
      </c>
      <c r="C4864" s="198">
        <f>"'INVOCAÇÕES'!AJ1110"</f>
        <v/>
      </c>
      <c r="D4864" s="198" t="inlineStr">
        <is>
          <t>entrada</t>
        </is>
      </c>
    </row>
    <row r="4865">
      <c r="A4865" s="198" t="inlineStr">
        <is>
          <t>invocacao.12.esp.6.acao</t>
        </is>
      </c>
      <c r="B4865" s="198">
        <f>IF(ISBLANK('INVOCAÇÕES'!$AH$1189),"",'INVOCAÇÕES'!$AH$1189&amp;"")</f>
        <v/>
      </c>
      <c r="C4865" s="198">
        <f>"'INVOCAÇÕES'!AH1111"</f>
        <v/>
      </c>
      <c r="D4865" s="198" t="inlineStr">
        <is>
          <t>resultado</t>
        </is>
      </c>
    </row>
    <row r="4866">
      <c r="A4866" s="198" t="inlineStr">
        <is>
          <t>invocacao.12.esp.6.resolve</t>
        </is>
      </c>
      <c r="B4866" s="198">
        <f>IF(ISBLANK('INVOCAÇÕES'!$AJ$1189),"",'INVOCAÇÕES'!$AJ$1189&amp;"")</f>
        <v/>
      </c>
      <c r="C4866" s="198">
        <f>"'INVOCAÇÕES'!AJ1111"</f>
        <v/>
      </c>
      <c r="D4866" s="198" t="inlineStr">
        <is>
          <t>resultado</t>
        </is>
      </c>
    </row>
    <row r="4867">
      <c r="A4867" s="198" t="inlineStr">
        <is>
          <t>invocacao.12.esp.6.alcance</t>
        </is>
      </c>
      <c r="B4867" s="198">
        <f>IF(ISBLANK('INVOCAÇÕES'!$AH$1190),"",'INVOCAÇÕES'!$AH$1190&amp;"")</f>
        <v/>
      </c>
      <c r="C4867" s="198">
        <f>"'INVOCAÇÕES'!AH1112"</f>
        <v/>
      </c>
      <c r="D4867" s="198" t="inlineStr">
        <is>
          <t>resultado</t>
        </is>
      </c>
    </row>
    <row r="4868">
      <c r="A4868" s="198" t="inlineStr">
        <is>
          <t>invocacao.12.esp.7.texto</t>
        </is>
      </c>
      <c r="B4868" s="198">
        <f>IF(ISBLANK('INVOCAÇÕES'!$AN$1184),"",'INVOCAÇÕES'!$AN$1184&amp;"")</f>
        <v/>
      </c>
      <c r="C4868" s="198">
        <f>"'INVOCAÇÕES'!AN1106"</f>
        <v/>
      </c>
      <c r="D4868" s="198" t="inlineStr">
        <is>
          <t>entrada</t>
        </is>
      </c>
    </row>
    <row r="4869">
      <c r="A4869" s="198" t="inlineStr">
        <is>
          <t>invocacao.12.esp.7.tipo_dano</t>
        </is>
      </c>
      <c r="B4869" s="198">
        <f>IF(ISBLANK('INVOCAÇÕES'!$AN$1188),"",'INVOCAÇÕES'!$AN$1188&amp;"")</f>
        <v/>
      </c>
      <c r="C4869" s="198">
        <f>"'INVOCAÇÕES'!AN1110"</f>
        <v/>
      </c>
      <c r="D4869" s="198" t="inlineStr">
        <is>
          <t>entrada</t>
        </is>
      </c>
    </row>
    <row r="4870">
      <c r="A4870" s="198" t="inlineStr">
        <is>
          <t>invocacao.12.esp.7.resolucao_escolha</t>
        </is>
      </c>
      <c r="B4870" s="198">
        <f>IF(ISBLANK('INVOCAÇÕES'!$AP$1188),"",'INVOCAÇÕES'!$AP$1188&amp;"")</f>
        <v/>
      </c>
      <c r="C4870" s="198">
        <f>"'INVOCAÇÕES'!AP1110"</f>
        <v/>
      </c>
      <c r="D4870" s="198" t="inlineStr">
        <is>
          <t>entrada</t>
        </is>
      </c>
    </row>
    <row r="4871">
      <c r="A4871" s="198" t="inlineStr">
        <is>
          <t>invocacao.12.esp.7.acao</t>
        </is>
      </c>
      <c r="B4871" s="198">
        <f>IF(ISBLANK('INVOCAÇÕES'!$AN$1189),"",'INVOCAÇÕES'!$AN$1189&amp;"")</f>
        <v/>
      </c>
      <c r="C4871" s="198">
        <f>"'INVOCAÇÕES'!AN1111"</f>
        <v/>
      </c>
      <c r="D4871" s="198" t="inlineStr">
        <is>
          <t>resultado</t>
        </is>
      </c>
    </row>
    <row r="4872">
      <c r="A4872" s="198" t="inlineStr">
        <is>
          <t>invocacao.12.esp.7.resolve</t>
        </is>
      </c>
      <c r="B4872" s="198">
        <f>IF(ISBLANK('INVOCAÇÕES'!$AP$1189),"",'INVOCAÇÕES'!$AP$1189&amp;"")</f>
        <v/>
      </c>
      <c r="C4872" s="198">
        <f>"'INVOCAÇÕES'!AP1111"</f>
        <v/>
      </c>
      <c r="D4872" s="198" t="inlineStr">
        <is>
          <t>resultado</t>
        </is>
      </c>
    </row>
    <row r="4873">
      <c r="A4873" s="198" t="inlineStr">
        <is>
          <t>invocacao.12.esp.7.alcance</t>
        </is>
      </c>
      <c r="B4873" s="198">
        <f>IF(ISBLANK('INVOCAÇÕES'!$AN$1190),"",'INVOCAÇÕES'!$AN$1190&amp;"")</f>
        <v/>
      </c>
      <c r="C4873" s="198">
        <f>"'INVOCAÇÕES'!AN1112"</f>
        <v/>
      </c>
      <c r="D4873" s="198" t="inlineStr">
        <is>
          <t>resultado</t>
        </is>
      </c>
    </row>
    <row r="4874">
      <c r="A4874" s="198" t="inlineStr">
        <is>
          <t>invocacao.12.esp.8.texto</t>
        </is>
      </c>
      <c r="B4874" s="198">
        <f>IF(ISBLANK('INVOCAÇÕES'!$AB$1206),"",'INVOCAÇÕES'!$AB$1206&amp;"")</f>
        <v/>
      </c>
      <c r="C4874" s="198">
        <f>"'INVOCAÇÕES'!AB1128"</f>
        <v/>
      </c>
      <c r="D4874" s="198" t="inlineStr">
        <is>
          <t>entrada</t>
        </is>
      </c>
    </row>
    <row r="4875">
      <c r="A4875" s="198" t="inlineStr">
        <is>
          <t>invocacao.12.esp.8.tipo_dano</t>
        </is>
      </c>
      <c r="B4875" s="198">
        <f>IF(ISBLANK('INVOCAÇÕES'!$AB$1210),"",'INVOCAÇÕES'!$AB$1210&amp;"")</f>
        <v/>
      </c>
      <c r="C4875" s="198">
        <f>"'INVOCAÇÕES'!AB1132"</f>
        <v/>
      </c>
      <c r="D4875" s="198" t="inlineStr">
        <is>
          <t>entrada</t>
        </is>
      </c>
    </row>
    <row r="4876">
      <c r="A4876" s="198" t="inlineStr">
        <is>
          <t>invocacao.12.esp.8.resolucao_escolha</t>
        </is>
      </c>
      <c r="B4876" s="198">
        <f>IF(ISBLANK('INVOCAÇÕES'!$AD$1210),"",'INVOCAÇÕES'!$AD$1210&amp;"")</f>
        <v/>
      </c>
      <c r="C4876" s="198">
        <f>"'INVOCAÇÕES'!AD1132"</f>
        <v/>
      </c>
      <c r="D4876" s="198" t="inlineStr">
        <is>
          <t>entrada</t>
        </is>
      </c>
    </row>
    <row r="4877">
      <c r="A4877" s="198" t="inlineStr">
        <is>
          <t>invocacao.12.esp.8.acao</t>
        </is>
      </c>
      <c r="B4877" s="198">
        <f>IF(ISBLANK('INVOCAÇÕES'!$AB$1211),"",'INVOCAÇÕES'!$AB$1211&amp;"")</f>
        <v/>
      </c>
      <c r="C4877" s="198">
        <f>"'INVOCAÇÕES'!AB1133"</f>
        <v/>
      </c>
      <c r="D4877" s="198" t="inlineStr">
        <is>
          <t>resultado</t>
        </is>
      </c>
    </row>
    <row r="4878">
      <c r="A4878" s="198" t="inlineStr">
        <is>
          <t>invocacao.12.esp.8.resolve</t>
        </is>
      </c>
      <c r="B4878" s="198">
        <f>IF(ISBLANK('INVOCAÇÕES'!$AD$1211),"",'INVOCAÇÕES'!$AD$1211&amp;"")</f>
        <v/>
      </c>
      <c r="C4878" s="198">
        <f>"'INVOCAÇÕES'!AD1133"</f>
        <v/>
      </c>
      <c r="D4878" s="198" t="inlineStr">
        <is>
          <t>resultado</t>
        </is>
      </c>
    </row>
    <row r="4879">
      <c r="A4879" s="198" t="inlineStr">
        <is>
          <t>invocacao.12.esp.8.alcance</t>
        </is>
      </c>
      <c r="B4879" s="198">
        <f>IF(ISBLANK('INVOCAÇÕES'!$AB$1212),"",'INVOCAÇÕES'!$AB$1212&amp;"")</f>
        <v/>
      </c>
      <c r="C4879" s="198">
        <f>"'INVOCAÇÕES'!AB1134"</f>
        <v/>
      </c>
      <c r="D4879" s="198" t="inlineStr">
        <is>
          <t>resultado</t>
        </is>
      </c>
    </row>
    <row r="4880">
      <c r="A4880" s="198" t="inlineStr">
        <is>
          <t>invocacao.12.ext.1.texto</t>
        </is>
      </c>
      <c r="B4880" s="198">
        <f>IF(ISBLANK('INVOCAÇÕES'!$AB$1230),"",'INVOCAÇÕES'!$AB$1230&amp;"")</f>
        <v/>
      </c>
      <c r="C4880" s="198">
        <f>"'INVOCAÇÕES'!AB1152"</f>
        <v/>
      </c>
      <c r="D4880" s="198" t="inlineStr">
        <is>
          <t>entrada</t>
        </is>
      </c>
    </row>
    <row r="4881">
      <c r="A4881" s="198" t="inlineStr">
        <is>
          <t>invocacao.12.ext.1.tipo_dano</t>
        </is>
      </c>
      <c r="B4881" s="198">
        <f>IF(ISBLANK('INVOCAÇÕES'!$AB$1234),"",'INVOCAÇÕES'!$AB$1234&amp;"")</f>
        <v/>
      </c>
      <c r="C4881" s="198">
        <f>"'INVOCAÇÕES'!AB1156"</f>
        <v/>
      </c>
      <c r="D4881" s="198" t="inlineStr">
        <is>
          <t>entrada</t>
        </is>
      </c>
    </row>
    <row r="4882">
      <c r="A4882" s="198" t="inlineStr">
        <is>
          <t>invocacao.12.ext.1.resolucao_escolha</t>
        </is>
      </c>
      <c r="B4882" s="198">
        <f>IF(ISBLANK('INVOCAÇÕES'!$AD$1234),"",'INVOCAÇÕES'!$AD$1234&amp;"")</f>
        <v/>
      </c>
      <c r="C4882" s="198">
        <f>"'INVOCAÇÕES'!AD1156"</f>
        <v/>
      </c>
      <c r="D4882" s="198" t="inlineStr">
        <is>
          <t>entrada</t>
        </is>
      </c>
    </row>
    <row r="4883">
      <c r="A4883" s="198" t="inlineStr">
        <is>
          <t>invocacao.12.ext.1.acao</t>
        </is>
      </c>
      <c r="B4883" s="198">
        <f>IF(ISBLANK('INVOCAÇÕES'!$AB$1235),"",'INVOCAÇÕES'!$AB$1235&amp;"")</f>
        <v/>
      </c>
      <c r="C4883" s="198">
        <f>"'INVOCAÇÕES'!AB1157"</f>
        <v/>
      </c>
      <c r="D4883" s="198" t="inlineStr">
        <is>
          <t>resultado</t>
        </is>
      </c>
    </row>
    <row r="4884">
      <c r="A4884" s="198" t="inlineStr">
        <is>
          <t>invocacao.12.ext.1.resolve</t>
        </is>
      </c>
      <c r="B4884" s="198">
        <f>IF(ISBLANK('INVOCAÇÕES'!$AD$1235),"",'INVOCAÇÕES'!$AD$1235&amp;"")</f>
        <v/>
      </c>
      <c r="C4884" s="198">
        <f>"'INVOCAÇÕES'!AD1157"</f>
        <v/>
      </c>
      <c r="D4884" s="198" t="inlineStr">
        <is>
          <t>resultado</t>
        </is>
      </c>
    </row>
    <row r="4885">
      <c r="A4885" s="198" t="inlineStr">
        <is>
          <t>invocacao.12.ext.1.alcance</t>
        </is>
      </c>
      <c r="B4885" s="198">
        <f>IF(ISBLANK('INVOCAÇÕES'!$AB$1236),"",'INVOCAÇÕES'!$AB$1236&amp;"")</f>
        <v/>
      </c>
      <c r="C4885" s="198">
        <f>"'INVOCAÇÕES'!AB1158"</f>
        <v/>
      </c>
      <c r="D4885" s="198" t="inlineStr">
        <is>
          <t>resultado</t>
        </is>
      </c>
    </row>
    <row r="4886">
      <c r="A4886" s="198" t="inlineStr">
        <is>
          <t>invocacao.12.ext.2.texto</t>
        </is>
      </c>
      <c r="B4886" s="198">
        <f>IF(ISBLANK('INVOCAÇÕES'!$AH$1230),"",'INVOCAÇÕES'!$AH$1230&amp;"")</f>
        <v/>
      </c>
      <c r="C4886" s="198">
        <f>"'INVOCAÇÕES'!AH1152"</f>
        <v/>
      </c>
      <c r="D4886" s="198" t="inlineStr">
        <is>
          <t>entrada</t>
        </is>
      </c>
    </row>
    <row r="4887">
      <c r="A4887" s="198" t="inlineStr">
        <is>
          <t>invocacao.12.ext.2.tipo_dano</t>
        </is>
      </c>
      <c r="B4887" s="198">
        <f>IF(ISBLANK('INVOCAÇÕES'!$AH$1234),"",'INVOCAÇÕES'!$AH$1234&amp;"")</f>
        <v/>
      </c>
      <c r="C4887" s="198">
        <f>"'INVOCAÇÕES'!AH1156"</f>
        <v/>
      </c>
      <c r="D4887" s="198" t="inlineStr">
        <is>
          <t>entrada</t>
        </is>
      </c>
    </row>
    <row r="4888">
      <c r="A4888" s="198" t="inlineStr">
        <is>
          <t>invocacao.12.ext.2.resolucao_escolha</t>
        </is>
      </c>
      <c r="B4888" s="198">
        <f>IF(ISBLANK('INVOCAÇÕES'!$AJ$1234),"",'INVOCAÇÕES'!$AJ$1234&amp;"")</f>
        <v/>
      </c>
      <c r="C4888" s="198">
        <f>"'INVOCAÇÕES'!AJ1156"</f>
        <v/>
      </c>
      <c r="D4888" s="198" t="inlineStr">
        <is>
          <t>entrada</t>
        </is>
      </c>
    </row>
    <row r="4889">
      <c r="A4889" s="198" t="inlineStr">
        <is>
          <t>invocacao.12.ext.2.acao</t>
        </is>
      </c>
      <c r="B4889" s="198">
        <f>IF(ISBLANK('INVOCAÇÕES'!$AH$1235),"",'INVOCAÇÕES'!$AH$1235&amp;"")</f>
        <v/>
      </c>
      <c r="C4889" s="198">
        <f>"'INVOCAÇÕES'!AH1157"</f>
        <v/>
      </c>
      <c r="D4889" s="198" t="inlineStr">
        <is>
          <t>resultado</t>
        </is>
      </c>
    </row>
    <row r="4890">
      <c r="A4890" s="198" t="inlineStr">
        <is>
          <t>invocacao.12.ext.2.resolve</t>
        </is>
      </c>
      <c r="B4890" s="198">
        <f>IF(ISBLANK('INVOCAÇÕES'!$AJ$1235),"",'INVOCAÇÕES'!$AJ$1235&amp;"")</f>
        <v/>
      </c>
      <c r="C4890" s="198">
        <f>"'INVOCAÇÕES'!AJ1157"</f>
        <v/>
      </c>
      <c r="D4890" s="198" t="inlineStr">
        <is>
          <t>resultado</t>
        </is>
      </c>
    </row>
    <row r="4891">
      <c r="A4891" s="198" t="inlineStr">
        <is>
          <t>invocacao.12.ext.2.alcance</t>
        </is>
      </c>
      <c r="B4891" s="198">
        <f>IF(ISBLANK('INVOCAÇÕES'!$AH$1236),"",'INVOCAÇÕES'!$AH$1236&amp;"")</f>
        <v/>
      </c>
      <c r="C4891" s="198">
        <f>"'INVOCAÇÕES'!AH1158"</f>
        <v/>
      </c>
      <c r="D4891" s="198" t="inlineStr">
        <is>
          <t>resultado</t>
        </is>
      </c>
    </row>
    <row r="4892">
      <c r="A4892" s="198" t="inlineStr">
        <is>
          <t>invocacao.12.ext.3.texto</t>
        </is>
      </c>
      <c r="B4892" s="198">
        <f>IF(ISBLANK('INVOCAÇÕES'!$AN$1230),"",'INVOCAÇÕES'!$AN$1230&amp;"")</f>
        <v/>
      </c>
      <c r="C4892" s="198">
        <f>"'INVOCAÇÕES'!AN1152"</f>
        <v/>
      </c>
      <c r="D4892" s="198" t="inlineStr">
        <is>
          <t>entrada</t>
        </is>
      </c>
    </row>
    <row r="4893">
      <c r="A4893" s="198" t="inlineStr">
        <is>
          <t>invocacao.12.ext.3.tipo_dano</t>
        </is>
      </c>
      <c r="B4893" s="198">
        <f>IF(ISBLANK('INVOCAÇÕES'!$AN$1234),"",'INVOCAÇÕES'!$AN$1234&amp;"")</f>
        <v/>
      </c>
      <c r="C4893" s="198">
        <f>"'INVOCAÇÕES'!AN1156"</f>
        <v/>
      </c>
      <c r="D4893" s="198" t="inlineStr">
        <is>
          <t>entrada</t>
        </is>
      </c>
    </row>
    <row r="4894">
      <c r="A4894" s="198" t="inlineStr">
        <is>
          <t>invocacao.12.ext.3.resolucao_escolha</t>
        </is>
      </c>
      <c r="B4894" s="198">
        <f>IF(ISBLANK('INVOCAÇÕES'!$AP$1234),"",'INVOCAÇÕES'!$AP$1234&amp;"")</f>
        <v/>
      </c>
      <c r="C4894" s="198">
        <f>"'INVOCAÇÕES'!AP1156"</f>
        <v/>
      </c>
      <c r="D4894" s="198" t="inlineStr">
        <is>
          <t>entrada</t>
        </is>
      </c>
    </row>
    <row r="4895">
      <c r="A4895" s="198" t="inlineStr">
        <is>
          <t>invocacao.12.ext.3.acao</t>
        </is>
      </c>
      <c r="B4895" s="198">
        <f>IF(ISBLANK('INVOCAÇÕES'!$AN$1235),"",'INVOCAÇÕES'!$AN$1235&amp;"")</f>
        <v/>
      </c>
      <c r="C4895" s="198">
        <f>"'INVOCAÇÕES'!AN1157"</f>
        <v/>
      </c>
      <c r="D4895" s="198" t="inlineStr">
        <is>
          <t>resultado</t>
        </is>
      </c>
    </row>
    <row r="4896">
      <c r="A4896" s="198" t="inlineStr">
        <is>
          <t>invocacao.12.ext.3.resolve</t>
        </is>
      </c>
      <c r="B4896" s="198">
        <f>IF(ISBLANK('INVOCAÇÕES'!$AP$1235),"",'INVOCAÇÕES'!$AP$1235&amp;"")</f>
        <v/>
      </c>
      <c r="C4896" s="198">
        <f>"'INVOCAÇÕES'!AP1157"</f>
        <v/>
      </c>
      <c r="D4896" s="198" t="inlineStr">
        <is>
          <t>resultado</t>
        </is>
      </c>
    </row>
    <row r="4897">
      <c r="A4897" s="198" t="inlineStr">
        <is>
          <t>invocacao.12.ext.3.alcance</t>
        </is>
      </c>
      <c r="B4897" s="198">
        <f>IF(ISBLANK('INVOCAÇÕES'!$AN$1236),"",'INVOCAÇÕES'!$AN$1236&amp;"")</f>
        <v/>
      </c>
      <c r="C4897" s="198">
        <f>"'INVOCAÇÕES'!AN1158"</f>
        <v/>
      </c>
      <c r="D4897" s="198" t="inlineStr">
        <is>
          <t>resultado</t>
        </is>
      </c>
    </row>
    <row r="4898">
      <c r="A4898" s="198" t="inlineStr">
        <is>
          <t>efeito.1.ligado</t>
        </is>
      </c>
      <c r="B4898" s="198">
        <f>N('CONFIGURAÇÃO'!$C$11)&amp;""</f>
        <v/>
      </c>
      <c r="C4898" s="198">
        <f>"'CONFIGURAÇÃO'!C11"</f>
        <v/>
      </c>
      <c r="D4898" s="198" t="inlineStr">
        <is>
          <t>configuração</t>
        </is>
      </c>
    </row>
    <row r="4899">
      <c r="A4899" s="198" t="inlineStr">
        <is>
          <t>efeito.1.caixa</t>
        </is>
      </c>
      <c r="B4899" s="198">
        <f>IF(ISBLANK('CONFIGURAÇÃO'!$D$11),"",'CONFIGURAÇÃO'!$D$11&amp;"")</f>
        <v/>
      </c>
      <c r="C4899" s="198">
        <f>"'CONFIGURAÇÃO'!D11"</f>
        <v/>
      </c>
      <c r="D4899" s="198" t="inlineStr">
        <is>
          <t>configuração</t>
        </is>
      </c>
    </row>
    <row r="4900">
      <c r="A4900" s="198" t="inlineStr">
        <is>
          <t>efeito.1.como</t>
        </is>
      </c>
      <c r="B4900" s="198">
        <f>IF(ISBLANK('CONFIGURAÇÃO'!$E$11),"",'CONFIGURAÇÃO'!$E$11&amp;"")</f>
        <v/>
      </c>
      <c r="C4900" s="198">
        <f>"'CONFIGURAÇÃO'!E11"</f>
        <v/>
      </c>
      <c r="D4900" s="198" t="inlineStr">
        <is>
          <t>configuração</t>
        </is>
      </c>
    </row>
    <row r="4901">
      <c r="A4901" s="198" t="inlineStr">
        <is>
          <t>efeito.1.valor</t>
        </is>
      </c>
      <c r="B4901" s="198">
        <f>IF(ISBLANK('CONFIGURAÇÃO'!$F$11),"",'CONFIGURAÇÃO'!$F$11&amp;"")</f>
        <v/>
      </c>
      <c r="C4901" s="198">
        <f>"'CONFIGURAÇÃO'!F11"</f>
        <v/>
      </c>
      <c r="D4901" s="198" t="inlineStr">
        <is>
          <t>configuração</t>
        </is>
      </c>
    </row>
    <row r="4902">
      <c r="A4902" s="198" t="inlineStr">
        <is>
          <t>efeito.1.tipo_de_fonte</t>
        </is>
      </c>
      <c r="B4902" s="198">
        <f>IF(ISBLANK('CONFIGURAÇÃO'!$G$11),"",'CONFIGURAÇÃO'!$G$11&amp;"")</f>
        <v/>
      </c>
      <c r="C4902" s="198">
        <f>"'CONFIGURAÇÃO'!G11"</f>
        <v/>
      </c>
      <c r="D4902" s="198" t="inlineStr">
        <is>
          <t>configuração</t>
        </is>
      </c>
    </row>
    <row r="4903">
      <c r="A4903" s="198" t="inlineStr">
        <is>
          <t>efeito.1.fonte</t>
        </is>
      </c>
      <c r="B4903" s="198">
        <f>IF(ISBLANK('CONFIGURAÇÃO'!$H$11),"",'CONFIGURAÇÃO'!$H$11&amp;"")</f>
        <v/>
      </c>
      <c r="C4903" s="198">
        <f>"'CONFIGURAÇÃO'!H11"</f>
        <v/>
      </c>
      <c r="D4903" s="198" t="inlineStr">
        <is>
          <t>configuração</t>
        </is>
      </c>
    </row>
    <row r="4904">
      <c r="A4904" s="198" t="inlineStr">
        <is>
          <t>aviso.efeito.1</t>
        </is>
      </c>
      <c r="B4904" s="198">
        <f>DADOS_CONFIG!$M$2&amp;""</f>
        <v/>
      </c>
      <c r="C4904" s="198" t="inlineStr">
        <is>
          <t>DADOS_CONFIG!M2</t>
        </is>
      </c>
      <c r="D4904" s="198" t="inlineStr">
        <is>
          <t>aviso</t>
        </is>
      </c>
    </row>
    <row r="4905">
      <c r="A4905" s="198" t="inlineStr">
        <is>
          <t>efeito.2.ligado</t>
        </is>
      </c>
      <c r="B4905" s="198">
        <f>N('CONFIGURAÇÃO'!$C$12)&amp;""</f>
        <v/>
      </c>
      <c r="C4905" s="198">
        <f>"'CONFIGURAÇÃO'!C12"</f>
        <v/>
      </c>
      <c r="D4905" s="198" t="inlineStr">
        <is>
          <t>configuração</t>
        </is>
      </c>
    </row>
    <row r="4906">
      <c r="A4906" s="198" t="inlineStr">
        <is>
          <t>efeito.2.caixa</t>
        </is>
      </c>
      <c r="B4906" s="198">
        <f>IF(ISBLANK('CONFIGURAÇÃO'!$D$12),"",'CONFIGURAÇÃO'!$D$12&amp;"")</f>
        <v/>
      </c>
      <c r="C4906" s="198">
        <f>"'CONFIGURAÇÃO'!D12"</f>
        <v/>
      </c>
      <c r="D4906" s="198" t="inlineStr">
        <is>
          <t>configuração</t>
        </is>
      </c>
    </row>
    <row r="4907">
      <c r="A4907" s="198" t="inlineStr">
        <is>
          <t>efeito.2.como</t>
        </is>
      </c>
      <c r="B4907" s="198">
        <f>IF(ISBLANK('CONFIGURAÇÃO'!$E$12),"",'CONFIGURAÇÃO'!$E$12&amp;"")</f>
        <v/>
      </c>
      <c r="C4907" s="198">
        <f>"'CONFIGURAÇÃO'!E12"</f>
        <v/>
      </c>
      <c r="D4907" s="198" t="inlineStr">
        <is>
          <t>configuração</t>
        </is>
      </c>
    </row>
    <row r="4908">
      <c r="A4908" s="198" t="inlineStr">
        <is>
          <t>efeito.2.valor</t>
        </is>
      </c>
      <c r="B4908" s="198">
        <f>IF(ISBLANK('CONFIGURAÇÃO'!$F$12),"",'CONFIGURAÇÃO'!$F$12&amp;"")</f>
        <v/>
      </c>
      <c r="C4908" s="198">
        <f>"'CONFIGURAÇÃO'!F12"</f>
        <v/>
      </c>
      <c r="D4908" s="198" t="inlineStr">
        <is>
          <t>configuração</t>
        </is>
      </c>
    </row>
    <row r="4909">
      <c r="A4909" s="198" t="inlineStr">
        <is>
          <t>efeito.2.tipo_de_fonte</t>
        </is>
      </c>
      <c r="B4909" s="198">
        <f>IF(ISBLANK('CONFIGURAÇÃO'!$G$12),"",'CONFIGURAÇÃO'!$G$12&amp;"")</f>
        <v/>
      </c>
      <c r="C4909" s="198">
        <f>"'CONFIGURAÇÃO'!G12"</f>
        <v/>
      </c>
      <c r="D4909" s="198" t="inlineStr">
        <is>
          <t>configuração</t>
        </is>
      </c>
    </row>
    <row r="4910">
      <c r="A4910" s="198" t="inlineStr">
        <is>
          <t>efeito.2.fonte</t>
        </is>
      </c>
      <c r="B4910" s="198">
        <f>IF(ISBLANK('CONFIGURAÇÃO'!$H$12),"",'CONFIGURAÇÃO'!$H$12&amp;"")</f>
        <v/>
      </c>
      <c r="C4910" s="198">
        <f>"'CONFIGURAÇÃO'!H12"</f>
        <v/>
      </c>
      <c r="D4910" s="198" t="inlineStr">
        <is>
          <t>configuração</t>
        </is>
      </c>
    </row>
    <row r="4911">
      <c r="A4911" s="198" t="inlineStr">
        <is>
          <t>aviso.efeito.2</t>
        </is>
      </c>
      <c r="B4911" s="198">
        <f>DADOS_CONFIG!$M$3&amp;""</f>
        <v/>
      </c>
      <c r="C4911" s="198" t="inlineStr">
        <is>
          <t>DADOS_CONFIG!M3</t>
        </is>
      </c>
      <c r="D4911" s="198" t="inlineStr">
        <is>
          <t>aviso</t>
        </is>
      </c>
    </row>
    <row r="4912">
      <c r="A4912" s="198" t="inlineStr">
        <is>
          <t>efeito.3.ligado</t>
        </is>
      </c>
      <c r="B4912" s="198">
        <f>N('CONFIGURAÇÃO'!$C$13)&amp;""</f>
        <v/>
      </c>
      <c r="C4912" s="198">
        <f>"'CONFIGURAÇÃO'!C13"</f>
        <v/>
      </c>
      <c r="D4912" s="198" t="inlineStr">
        <is>
          <t>configuração</t>
        </is>
      </c>
    </row>
    <row r="4913">
      <c r="A4913" s="198" t="inlineStr">
        <is>
          <t>efeito.3.caixa</t>
        </is>
      </c>
      <c r="B4913" s="198">
        <f>IF(ISBLANK('CONFIGURAÇÃO'!$D$13),"",'CONFIGURAÇÃO'!$D$13&amp;"")</f>
        <v/>
      </c>
      <c r="C4913" s="198">
        <f>"'CONFIGURAÇÃO'!D13"</f>
        <v/>
      </c>
      <c r="D4913" s="198" t="inlineStr">
        <is>
          <t>configuração</t>
        </is>
      </c>
    </row>
    <row r="4914">
      <c r="A4914" s="198" t="inlineStr">
        <is>
          <t>efeito.3.como</t>
        </is>
      </c>
      <c r="B4914" s="198">
        <f>IF(ISBLANK('CONFIGURAÇÃO'!$E$13),"",'CONFIGURAÇÃO'!$E$13&amp;"")</f>
        <v/>
      </c>
      <c r="C4914" s="198">
        <f>"'CONFIGURAÇÃO'!E13"</f>
        <v/>
      </c>
      <c r="D4914" s="198" t="inlineStr">
        <is>
          <t>configuração</t>
        </is>
      </c>
    </row>
    <row r="4915">
      <c r="A4915" s="198" t="inlineStr">
        <is>
          <t>efeito.3.valor</t>
        </is>
      </c>
      <c r="B4915" s="198">
        <f>IF(ISBLANK('CONFIGURAÇÃO'!$F$13),"",'CONFIGURAÇÃO'!$F$13&amp;"")</f>
        <v/>
      </c>
      <c r="C4915" s="198">
        <f>"'CONFIGURAÇÃO'!F13"</f>
        <v/>
      </c>
      <c r="D4915" s="198" t="inlineStr">
        <is>
          <t>configuração</t>
        </is>
      </c>
    </row>
    <row r="4916">
      <c r="A4916" s="198" t="inlineStr">
        <is>
          <t>efeito.3.tipo_de_fonte</t>
        </is>
      </c>
      <c r="B4916" s="198">
        <f>IF(ISBLANK('CONFIGURAÇÃO'!$G$13),"",'CONFIGURAÇÃO'!$G$13&amp;"")</f>
        <v/>
      </c>
      <c r="C4916" s="198">
        <f>"'CONFIGURAÇÃO'!G13"</f>
        <v/>
      </c>
      <c r="D4916" s="198" t="inlineStr">
        <is>
          <t>configuração</t>
        </is>
      </c>
    </row>
    <row r="4917">
      <c r="A4917" s="198" t="inlineStr">
        <is>
          <t>efeito.3.fonte</t>
        </is>
      </c>
      <c r="B4917" s="198">
        <f>IF(ISBLANK('CONFIGURAÇÃO'!$H$13),"",'CONFIGURAÇÃO'!$H$13&amp;"")</f>
        <v/>
      </c>
      <c r="C4917" s="198">
        <f>"'CONFIGURAÇÃO'!H13"</f>
        <v/>
      </c>
      <c r="D4917" s="198" t="inlineStr">
        <is>
          <t>configuração</t>
        </is>
      </c>
    </row>
    <row r="4918">
      <c r="A4918" s="198" t="inlineStr">
        <is>
          <t>aviso.efeito.3</t>
        </is>
      </c>
      <c r="B4918" s="198">
        <f>DADOS_CONFIG!$M$4&amp;""</f>
        <v/>
      </c>
      <c r="C4918" s="198" t="inlineStr">
        <is>
          <t>DADOS_CONFIG!M4</t>
        </is>
      </c>
      <c r="D4918" s="198" t="inlineStr">
        <is>
          <t>aviso</t>
        </is>
      </c>
    </row>
    <row r="4919">
      <c r="A4919" s="198" t="inlineStr">
        <is>
          <t>efeito.4.ligado</t>
        </is>
      </c>
      <c r="B4919" s="198">
        <f>N('CONFIGURAÇÃO'!$C$14)&amp;""</f>
        <v/>
      </c>
      <c r="C4919" s="198">
        <f>"'CONFIGURAÇÃO'!C14"</f>
        <v/>
      </c>
      <c r="D4919" s="198" t="inlineStr">
        <is>
          <t>configuração</t>
        </is>
      </c>
    </row>
    <row r="4920">
      <c r="A4920" s="198" t="inlineStr">
        <is>
          <t>efeito.4.caixa</t>
        </is>
      </c>
      <c r="B4920" s="198">
        <f>IF(ISBLANK('CONFIGURAÇÃO'!$D$14),"",'CONFIGURAÇÃO'!$D$14&amp;"")</f>
        <v/>
      </c>
      <c r="C4920" s="198">
        <f>"'CONFIGURAÇÃO'!D14"</f>
        <v/>
      </c>
      <c r="D4920" s="198" t="inlineStr">
        <is>
          <t>configuração</t>
        </is>
      </c>
    </row>
    <row r="4921">
      <c r="A4921" s="198" t="inlineStr">
        <is>
          <t>efeito.4.como</t>
        </is>
      </c>
      <c r="B4921" s="198">
        <f>IF(ISBLANK('CONFIGURAÇÃO'!$E$14),"",'CONFIGURAÇÃO'!$E$14&amp;"")</f>
        <v/>
      </c>
      <c r="C4921" s="198">
        <f>"'CONFIGURAÇÃO'!E14"</f>
        <v/>
      </c>
      <c r="D4921" s="198" t="inlineStr">
        <is>
          <t>configuração</t>
        </is>
      </c>
    </row>
    <row r="4922">
      <c r="A4922" s="198" t="inlineStr">
        <is>
          <t>efeito.4.valor</t>
        </is>
      </c>
      <c r="B4922" s="198">
        <f>IF(ISBLANK('CONFIGURAÇÃO'!$F$14),"",'CONFIGURAÇÃO'!$F$14&amp;"")</f>
        <v/>
      </c>
      <c r="C4922" s="198">
        <f>"'CONFIGURAÇÃO'!F14"</f>
        <v/>
      </c>
      <c r="D4922" s="198" t="inlineStr">
        <is>
          <t>configuração</t>
        </is>
      </c>
    </row>
    <row r="4923">
      <c r="A4923" s="198" t="inlineStr">
        <is>
          <t>efeito.4.tipo_de_fonte</t>
        </is>
      </c>
      <c r="B4923" s="198">
        <f>IF(ISBLANK('CONFIGURAÇÃO'!$G$14),"",'CONFIGURAÇÃO'!$G$14&amp;"")</f>
        <v/>
      </c>
      <c r="C4923" s="198">
        <f>"'CONFIGURAÇÃO'!G14"</f>
        <v/>
      </c>
      <c r="D4923" s="198" t="inlineStr">
        <is>
          <t>configuração</t>
        </is>
      </c>
    </row>
    <row r="4924">
      <c r="A4924" s="198" t="inlineStr">
        <is>
          <t>efeito.4.fonte</t>
        </is>
      </c>
      <c r="B4924" s="198">
        <f>IF(ISBLANK('CONFIGURAÇÃO'!$H$14),"",'CONFIGURAÇÃO'!$H$14&amp;"")</f>
        <v/>
      </c>
      <c r="C4924" s="198">
        <f>"'CONFIGURAÇÃO'!H14"</f>
        <v/>
      </c>
      <c r="D4924" s="198" t="inlineStr">
        <is>
          <t>configuração</t>
        </is>
      </c>
    </row>
    <row r="4925">
      <c r="A4925" s="198" t="inlineStr">
        <is>
          <t>aviso.efeito.4</t>
        </is>
      </c>
      <c r="B4925" s="198">
        <f>DADOS_CONFIG!$M$5&amp;""</f>
        <v/>
      </c>
      <c r="C4925" s="198" t="inlineStr">
        <is>
          <t>DADOS_CONFIG!M5</t>
        </is>
      </c>
      <c r="D4925" s="198" t="inlineStr">
        <is>
          <t>aviso</t>
        </is>
      </c>
    </row>
    <row r="4926">
      <c r="A4926" s="198" t="inlineStr">
        <is>
          <t>efeito.5.ligado</t>
        </is>
      </c>
      <c r="B4926" s="198">
        <f>N('CONFIGURAÇÃO'!$C$15)&amp;""</f>
        <v/>
      </c>
      <c r="C4926" s="198">
        <f>"'CONFIGURAÇÃO'!C15"</f>
        <v/>
      </c>
      <c r="D4926" s="198" t="inlineStr">
        <is>
          <t>configuração</t>
        </is>
      </c>
    </row>
    <row r="4927">
      <c r="A4927" s="198" t="inlineStr">
        <is>
          <t>efeito.5.caixa</t>
        </is>
      </c>
      <c r="B4927" s="198">
        <f>IF(ISBLANK('CONFIGURAÇÃO'!$D$15),"",'CONFIGURAÇÃO'!$D$15&amp;"")</f>
        <v/>
      </c>
      <c r="C4927" s="198">
        <f>"'CONFIGURAÇÃO'!D15"</f>
        <v/>
      </c>
      <c r="D4927" s="198" t="inlineStr">
        <is>
          <t>configuração</t>
        </is>
      </c>
    </row>
    <row r="4928">
      <c r="A4928" s="198" t="inlineStr">
        <is>
          <t>efeito.5.como</t>
        </is>
      </c>
      <c r="B4928" s="198">
        <f>IF(ISBLANK('CONFIGURAÇÃO'!$E$15),"",'CONFIGURAÇÃO'!$E$15&amp;"")</f>
        <v/>
      </c>
      <c r="C4928" s="198">
        <f>"'CONFIGURAÇÃO'!E15"</f>
        <v/>
      </c>
      <c r="D4928" s="198" t="inlineStr">
        <is>
          <t>configuração</t>
        </is>
      </c>
    </row>
    <row r="4929">
      <c r="A4929" s="198" t="inlineStr">
        <is>
          <t>efeito.5.valor</t>
        </is>
      </c>
      <c r="B4929" s="198">
        <f>IF(ISBLANK('CONFIGURAÇÃO'!$F$15),"",'CONFIGURAÇÃO'!$F$15&amp;"")</f>
        <v/>
      </c>
      <c r="C4929" s="198">
        <f>"'CONFIGURAÇÃO'!F15"</f>
        <v/>
      </c>
      <c r="D4929" s="198" t="inlineStr">
        <is>
          <t>configuração</t>
        </is>
      </c>
    </row>
    <row r="4930">
      <c r="A4930" s="198" t="inlineStr">
        <is>
          <t>efeito.5.tipo_de_fonte</t>
        </is>
      </c>
      <c r="B4930" s="198">
        <f>IF(ISBLANK('CONFIGURAÇÃO'!$G$15),"",'CONFIGURAÇÃO'!$G$15&amp;"")</f>
        <v/>
      </c>
      <c r="C4930" s="198">
        <f>"'CONFIGURAÇÃO'!G15"</f>
        <v/>
      </c>
      <c r="D4930" s="198" t="inlineStr">
        <is>
          <t>configuração</t>
        </is>
      </c>
    </row>
    <row r="4931">
      <c r="A4931" s="198" t="inlineStr">
        <is>
          <t>efeito.5.fonte</t>
        </is>
      </c>
      <c r="B4931" s="198">
        <f>IF(ISBLANK('CONFIGURAÇÃO'!$H$15),"",'CONFIGURAÇÃO'!$H$15&amp;"")</f>
        <v/>
      </c>
      <c r="C4931" s="198">
        <f>"'CONFIGURAÇÃO'!H15"</f>
        <v/>
      </c>
      <c r="D4931" s="198" t="inlineStr">
        <is>
          <t>configuração</t>
        </is>
      </c>
    </row>
    <row r="4932">
      <c r="A4932" s="198" t="inlineStr">
        <is>
          <t>aviso.efeito.5</t>
        </is>
      </c>
      <c r="B4932" s="198">
        <f>DADOS_CONFIG!$M$6&amp;""</f>
        <v/>
      </c>
      <c r="C4932" s="198" t="inlineStr">
        <is>
          <t>DADOS_CONFIG!M6</t>
        </is>
      </c>
      <c r="D4932" s="198" t="inlineStr">
        <is>
          <t>aviso</t>
        </is>
      </c>
    </row>
    <row r="4933">
      <c r="A4933" s="198" t="inlineStr">
        <is>
          <t>efeito.6.ligado</t>
        </is>
      </c>
      <c r="B4933" s="198">
        <f>N('CONFIGURAÇÃO'!$C$16)&amp;""</f>
        <v/>
      </c>
      <c r="C4933" s="198">
        <f>"'CONFIGURAÇÃO'!C16"</f>
        <v/>
      </c>
      <c r="D4933" s="198" t="inlineStr">
        <is>
          <t>configuração</t>
        </is>
      </c>
    </row>
    <row r="4934">
      <c r="A4934" s="198" t="inlineStr">
        <is>
          <t>efeito.6.caixa</t>
        </is>
      </c>
      <c r="B4934" s="198">
        <f>IF(ISBLANK('CONFIGURAÇÃO'!$D$16),"",'CONFIGURAÇÃO'!$D$16&amp;"")</f>
        <v/>
      </c>
      <c r="C4934" s="198">
        <f>"'CONFIGURAÇÃO'!D16"</f>
        <v/>
      </c>
      <c r="D4934" s="198" t="inlineStr">
        <is>
          <t>configuração</t>
        </is>
      </c>
    </row>
    <row r="4935">
      <c r="A4935" s="198" t="inlineStr">
        <is>
          <t>efeito.6.como</t>
        </is>
      </c>
      <c r="B4935" s="198">
        <f>IF(ISBLANK('CONFIGURAÇÃO'!$E$16),"",'CONFIGURAÇÃO'!$E$16&amp;"")</f>
        <v/>
      </c>
      <c r="C4935" s="198">
        <f>"'CONFIGURAÇÃO'!E16"</f>
        <v/>
      </c>
      <c r="D4935" s="198" t="inlineStr">
        <is>
          <t>configuração</t>
        </is>
      </c>
    </row>
    <row r="4936">
      <c r="A4936" s="198" t="inlineStr">
        <is>
          <t>efeito.6.valor</t>
        </is>
      </c>
      <c r="B4936" s="198">
        <f>IF(ISBLANK('CONFIGURAÇÃO'!$F$16),"",'CONFIGURAÇÃO'!$F$16&amp;"")</f>
        <v/>
      </c>
      <c r="C4936" s="198">
        <f>"'CONFIGURAÇÃO'!F16"</f>
        <v/>
      </c>
      <c r="D4936" s="198" t="inlineStr">
        <is>
          <t>configuração</t>
        </is>
      </c>
    </row>
    <row r="4937">
      <c r="A4937" s="198" t="inlineStr">
        <is>
          <t>efeito.6.tipo_de_fonte</t>
        </is>
      </c>
      <c r="B4937" s="198">
        <f>IF(ISBLANK('CONFIGURAÇÃO'!$G$16),"",'CONFIGURAÇÃO'!$G$16&amp;"")</f>
        <v/>
      </c>
      <c r="C4937" s="198">
        <f>"'CONFIGURAÇÃO'!G16"</f>
        <v/>
      </c>
      <c r="D4937" s="198" t="inlineStr">
        <is>
          <t>configuração</t>
        </is>
      </c>
    </row>
    <row r="4938">
      <c r="A4938" s="198" t="inlineStr">
        <is>
          <t>efeito.6.fonte</t>
        </is>
      </c>
      <c r="B4938" s="198">
        <f>IF(ISBLANK('CONFIGURAÇÃO'!$H$16),"",'CONFIGURAÇÃO'!$H$16&amp;"")</f>
        <v/>
      </c>
      <c r="C4938" s="198">
        <f>"'CONFIGURAÇÃO'!H16"</f>
        <v/>
      </c>
      <c r="D4938" s="198" t="inlineStr">
        <is>
          <t>configuração</t>
        </is>
      </c>
    </row>
    <row r="4939">
      <c r="A4939" s="198" t="inlineStr">
        <is>
          <t>aviso.efeito.6</t>
        </is>
      </c>
      <c r="B4939" s="198">
        <f>DADOS_CONFIG!$M$7&amp;""</f>
        <v/>
      </c>
      <c r="C4939" s="198" t="inlineStr">
        <is>
          <t>DADOS_CONFIG!M7</t>
        </is>
      </c>
      <c r="D4939" s="198" t="inlineStr">
        <is>
          <t>aviso</t>
        </is>
      </c>
    </row>
    <row r="4940">
      <c r="A4940" s="198" t="inlineStr">
        <is>
          <t>efeito.7.ligado</t>
        </is>
      </c>
      <c r="B4940" s="198">
        <f>N('CONFIGURAÇÃO'!$C$17)&amp;""</f>
        <v/>
      </c>
      <c r="C4940" s="198">
        <f>"'CONFIGURAÇÃO'!C17"</f>
        <v/>
      </c>
      <c r="D4940" s="198" t="inlineStr">
        <is>
          <t>configuração</t>
        </is>
      </c>
    </row>
    <row r="4941">
      <c r="A4941" s="198" t="inlineStr">
        <is>
          <t>efeito.7.caixa</t>
        </is>
      </c>
      <c r="B4941" s="198">
        <f>IF(ISBLANK('CONFIGURAÇÃO'!$D$17),"",'CONFIGURAÇÃO'!$D$17&amp;"")</f>
        <v/>
      </c>
      <c r="C4941" s="198">
        <f>"'CONFIGURAÇÃO'!D17"</f>
        <v/>
      </c>
      <c r="D4941" s="198" t="inlineStr">
        <is>
          <t>configuração</t>
        </is>
      </c>
    </row>
    <row r="4942">
      <c r="A4942" s="198" t="inlineStr">
        <is>
          <t>efeito.7.como</t>
        </is>
      </c>
      <c r="B4942" s="198">
        <f>IF(ISBLANK('CONFIGURAÇÃO'!$E$17),"",'CONFIGURAÇÃO'!$E$17&amp;"")</f>
        <v/>
      </c>
      <c r="C4942" s="198">
        <f>"'CONFIGURAÇÃO'!E17"</f>
        <v/>
      </c>
      <c r="D4942" s="198" t="inlineStr">
        <is>
          <t>configuração</t>
        </is>
      </c>
    </row>
    <row r="4943">
      <c r="A4943" s="198" t="inlineStr">
        <is>
          <t>efeito.7.valor</t>
        </is>
      </c>
      <c r="B4943" s="198">
        <f>IF(ISBLANK('CONFIGURAÇÃO'!$F$17),"",'CONFIGURAÇÃO'!$F$17&amp;"")</f>
        <v/>
      </c>
      <c r="C4943" s="198">
        <f>"'CONFIGURAÇÃO'!F17"</f>
        <v/>
      </c>
      <c r="D4943" s="198" t="inlineStr">
        <is>
          <t>configuração</t>
        </is>
      </c>
    </row>
    <row r="4944">
      <c r="A4944" s="198" t="inlineStr">
        <is>
          <t>efeito.7.tipo_de_fonte</t>
        </is>
      </c>
      <c r="B4944" s="198">
        <f>IF(ISBLANK('CONFIGURAÇÃO'!$G$17),"",'CONFIGURAÇÃO'!$G$17&amp;"")</f>
        <v/>
      </c>
      <c r="C4944" s="198">
        <f>"'CONFIGURAÇÃO'!G17"</f>
        <v/>
      </c>
      <c r="D4944" s="198" t="inlineStr">
        <is>
          <t>configuração</t>
        </is>
      </c>
    </row>
    <row r="4945">
      <c r="A4945" s="198" t="inlineStr">
        <is>
          <t>efeito.7.fonte</t>
        </is>
      </c>
      <c r="B4945" s="198">
        <f>IF(ISBLANK('CONFIGURAÇÃO'!$H$17),"",'CONFIGURAÇÃO'!$H$17&amp;"")</f>
        <v/>
      </c>
      <c r="C4945" s="198">
        <f>"'CONFIGURAÇÃO'!H17"</f>
        <v/>
      </c>
      <c r="D4945" s="198" t="inlineStr">
        <is>
          <t>configuração</t>
        </is>
      </c>
    </row>
    <row r="4946">
      <c r="A4946" s="198" t="inlineStr">
        <is>
          <t>aviso.efeito.7</t>
        </is>
      </c>
      <c r="B4946" s="198">
        <f>DADOS_CONFIG!$M$8&amp;""</f>
        <v/>
      </c>
      <c r="C4946" s="198" t="inlineStr">
        <is>
          <t>DADOS_CONFIG!M8</t>
        </is>
      </c>
      <c r="D4946" s="198" t="inlineStr">
        <is>
          <t>aviso</t>
        </is>
      </c>
    </row>
    <row r="4947">
      <c r="A4947" s="198" t="inlineStr">
        <is>
          <t>efeito.8.ligado</t>
        </is>
      </c>
      <c r="B4947" s="198">
        <f>N('CONFIGURAÇÃO'!$C$18)&amp;""</f>
        <v/>
      </c>
      <c r="C4947" s="198">
        <f>"'CONFIGURAÇÃO'!C18"</f>
        <v/>
      </c>
      <c r="D4947" s="198" t="inlineStr">
        <is>
          <t>configuração</t>
        </is>
      </c>
    </row>
    <row r="4948">
      <c r="A4948" s="198" t="inlineStr">
        <is>
          <t>efeito.8.caixa</t>
        </is>
      </c>
      <c r="B4948" s="198">
        <f>IF(ISBLANK('CONFIGURAÇÃO'!$D$18),"",'CONFIGURAÇÃO'!$D$18&amp;"")</f>
        <v/>
      </c>
      <c r="C4948" s="198">
        <f>"'CONFIGURAÇÃO'!D18"</f>
        <v/>
      </c>
      <c r="D4948" s="198" t="inlineStr">
        <is>
          <t>configuração</t>
        </is>
      </c>
    </row>
    <row r="4949">
      <c r="A4949" s="198" t="inlineStr">
        <is>
          <t>efeito.8.como</t>
        </is>
      </c>
      <c r="B4949" s="198">
        <f>IF(ISBLANK('CONFIGURAÇÃO'!$E$18),"",'CONFIGURAÇÃO'!$E$18&amp;"")</f>
        <v/>
      </c>
      <c r="C4949" s="198">
        <f>"'CONFIGURAÇÃO'!E18"</f>
        <v/>
      </c>
      <c r="D4949" s="198" t="inlineStr">
        <is>
          <t>configuração</t>
        </is>
      </c>
    </row>
    <row r="4950">
      <c r="A4950" s="198" t="inlineStr">
        <is>
          <t>efeito.8.valor</t>
        </is>
      </c>
      <c r="B4950" s="198">
        <f>IF(ISBLANK('CONFIGURAÇÃO'!$F$18),"",'CONFIGURAÇÃO'!$F$18&amp;"")</f>
        <v/>
      </c>
      <c r="C4950" s="198">
        <f>"'CONFIGURAÇÃO'!F18"</f>
        <v/>
      </c>
      <c r="D4950" s="198" t="inlineStr">
        <is>
          <t>configuração</t>
        </is>
      </c>
    </row>
    <row r="4951">
      <c r="A4951" s="198" t="inlineStr">
        <is>
          <t>efeito.8.tipo_de_fonte</t>
        </is>
      </c>
      <c r="B4951" s="198">
        <f>IF(ISBLANK('CONFIGURAÇÃO'!$G$18),"",'CONFIGURAÇÃO'!$G$18&amp;"")</f>
        <v/>
      </c>
      <c r="C4951" s="198">
        <f>"'CONFIGURAÇÃO'!G18"</f>
        <v/>
      </c>
      <c r="D4951" s="198" t="inlineStr">
        <is>
          <t>configuração</t>
        </is>
      </c>
    </row>
    <row r="4952">
      <c r="A4952" s="198" t="inlineStr">
        <is>
          <t>efeito.8.fonte</t>
        </is>
      </c>
      <c r="B4952" s="198">
        <f>IF(ISBLANK('CONFIGURAÇÃO'!$H$18),"",'CONFIGURAÇÃO'!$H$18&amp;"")</f>
        <v/>
      </c>
      <c r="C4952" s="198">
        <f>"'CONFIGURAÇÃO'!H18"</f>
        <v/>
      </c>
      <c r="D4952" s="198" t="inlineStr">
        <is>
          <t>configuração</t>
        </is>
      </c>
    </row>
    <row r="4953">
      <c r="A4953" s="198" t="inlineStr">
        <is>
          <t>aviso.efeito.8</t>
        </is>
      </c>
      <c r="B4953" s="198">
        <f>DADOS_CONFIG!$M$9&amp;""</f>
        <v/>
      </c>
      <c r="C4953" s="198" t="inlineStr">
        <is>
          <t>DADOS_CONFIG!M9</t>
        </is>
      </c>
      <c r="D4953" s="198" t="inlineStr">
        <is>
          <t>aviso</t>
        </is>
      </c>
    </row>
    <row r="4954">
      <c r="A4954" s="198" t="inlineStr">
        <is>
          <t>efeito.9.ligado</t>
        </is>
      </c>
      <c r="B4954" s="198">
        <f>N('CONFIGURAÇÃO'!$C$19)&amp;""</f>
        <v/>
      </c>
      <c r="C4954" s="198">
        <f>"'CONFIGURAÇÃO'!C19"</f>
        <v/>
      </c>
      <c r="D4954" s="198" t="inlineStr">
        <is>
          <t>configuração</t>
        </is>
      </c>
    </row>
    <row r="4955">
      <c r="A4955" s="198" t="inlineStr">
        <is>
          <t>efeito.9.caixa</t>
        </is>
      </c>
      <c r="B4955" s="198">
        <f>IF(ISBLANK('CONFIGURAÇÃO'!$D$19),"",'CONFIGURAÇÃO'!$D$19&amp;"")</f>
        <v/>
      </c>
      <c r="C4955" s="198">
        <f>"'CONFIGURAÇÃO'!D19"</f>
        <v/>
      </c>
      <c r="D4955" s="198" t="inlineStr">
        <is>
          <t>configuração</t>
        </is>
      </c>
    </row>
    <row r="4956">
      <c r="A4956" s="198" t="inlineStr">
        <is>
          <t>efeito.9.como</t>
        </is>
      </c>
      <c r="B4956" s="198">
        <f>IF(ISBLANK('CONFIGURAÇÃO'!$E$19),"",'CONFIGURAÇÃO'!$E$19&amp;"")</f>
        <v/>
      </c>
      <c r="C4956" s="198">
        <f>"'CONFIGURAÇÃO'!E19"</f>
        <v/>
      </c>
      <c r="D4956" s="198" t="inlineStr">
        <is>
          <t>configuração</t>
        </is>
      </c>
    </row>
    <row r="4957">
      <c r="A4957" s="198" t="inlineStr">
        <is>
          <t>efeito.9.valor</t>
        </is>
      </c>
      <c r="B4957" s="198">
        <f>IF(ISBLANK('CONFIGURAÇÃO'!$F$19),"",'CONFIGURAÇÃO'!$F$19&amp;"")</f>
        <v/>
      </c>
      <c r="C4957" s="198">
        <f>"'CONFIGURAÇÃO'!F19"</f>
        <v/>
      </c>
      <c r="D4957" s="198" t="inlineStr">
        <is>
          <t>configuração</t>
        </is>
      </c>
    </row>
    <row r="4958">
      <c r="A4958" s="198" t="inlineStr">
        <is>
          <t>efeito.9.tipo_de_fonte</t>
        </is>
      </c>
      <c r="B4958" s="198">
        <f>IF(ISBLANK('CONFIGURAÇÃO'!$G$19),"",'CONFIGURAÇÃO'!$G$19&amp;"")</f>
        <v/>
      </c>
      <c r="C4958" s="198">
        <f>"'CONFIGURAÇÃO'!G19"</f>
        <v/>
      </c>
      <c r="D4958" s="198" t="inlineStr">
        <is>
          <t>configuração</t>
        </is>
      </c>
    </row>
    <row r="4959">
      <c r="A4959" s="198" t="inlineStr">
        <is>
          <t>efeito.9.fonte</t>
        </is>
      </c>
      <c r="B4959" s="198">
        <f>IF(ISBLANK('CONFIGURAÇÃO'!$H$19),"",'CONFIGURAÇÃO'!$H$19&amp;"")</f>
        <v/>
      </c>
      <c r="C4959" s="198">
        <f>"'CONFIGURAÇÃO'!H19"</f>
        <v/>
      </c>
      <c r="D4959" s="198" t="inlineStr">
        <is>
          <t>configuração</t>
        </is>
      </c>
    </row>
    <row r="4960">
      <c r="A4960" s="198" t="inlineStr">
        <is>
          <t>aviso.efeito.9</t>
        </is>
      </c>
      <c r="B4960" s="198">
        <f>DADOS_CONFIG!$M$10&amp;""</f>
        <v/>
      </c>
      <c r="C4960" s="198" t="inlineStr">
        <is>
          <t>DADOS_CONFIG!M10</t>
        </is>
      </c>
      <c r="D4960" s="198" t="inlineStr">
        <is>
          <t>aviso</t>
        </is>
      </c>
    </row>
    <row r="4961">
      <c r="A4961" s="198" t="inlineStr">
        <is>
          <t>efeito.10.ligado</t>
        </is>
      </c>
      <c r="B4961" s="198">
        <f>N('CONFIGURAÇÃO'!$C$20)&amp;""</f>
        <v/>
      </c>
      <c r="C4961" s="198">
        <f>"'CONFIGURAÇÃO'!C20"</f>
        <v/>
      </c>
      <c r="D4961" s="198" t="inlineStr">
        <is>
          <t>configuração</t>
        </is>
      </c>
    </row>
    <row r="4962">
      <c r="A4962" s="198" t="inlineStr">
        <is>
          <t>efeito.10.caixa</t>
        </is>
      </c>
      <c r="B4962" s="198">
        <f>IF(ISBLANK('CONFIGURAÇÃO'!$D$20),"",'CONFIGURAÇÃO'!$D$20&amp;"")</f>
        <v/>
      </c>
      <c r="C4962" s="198">
        <f>"'CONFIGURAÇÃO'!D20"</f>
        <v/>
      </c>
      <c r="D4962" s="198" t="inlineStr">
        <is>
          <t>configuração</t>
        </is>
      </c>
    </row>
    <row r="4963">
      <c r="A4963" s="198" t="inlineStr">
        <is>
          <t>efeito.10.como</t>
        </is>
      </c>
      <c r="B4963" s="198">
        <f>IF(ISBLANK('CONFIGURAÇÃO'!$E$20),"",'CONFIGURAÇÃO'!$E$20&amp;"")</f>
        <v/>
      </c>
      <c r="C4963" s="198">
        <f>"'CONFIGURAÇÃO'!E20"</f>
        <v/>
      </c>
      <c r="D4963" s="198" t="inlineStr">
        <is>
          <t>configuração</t>
        </is>
      </c>
    </row>
    <row r="4964">
      <c r="A4964" s="198" t="inlineStr">
        <is>
          <t>efeito.10.valor</t>
        </is>
      </c>
      <c r="B4964" s="198">
        <f>IF(ISBLANK('CONFIGURAÇÃO'!$F$20),"",'CONFIGURAÇÃO'!$F$20&amp;"")</f>
        <v/>
      </c>
      <c r="C4964" s="198">
        <f>"'CONFIGURAÇÃO'!F20"</f>
        <v/>
      </c>
      <c r="D4964" s="198" t="inlineStr">
        <is>
          <t>configuração</t>
        </is>
      </c>
    </row>
    <row r="4965">
      <c r="A4965" s="198" t="inlineStr">
        <is>
          <t>efeito.10.tipo_de_fonte</t>
        </is>
      </c>
      <c r="B4965" s="198">
        <f>IF(ISBLANK('CONFIGURAÇÃO'!$G$20),"",'CONFIGURAÇÃO'!$G$20&amp;"")</f>
        <v/>
      </c>
      <c r="C4965" s="198">
        <f>"'CONFIGURAÇÃO'!G20"</f>
        <v/>
      </c>
      <c r="D4965" s="198" t="inlineStr">
        <is>
          <t>configuração</t>
        </is>
      </c>
    </row>
    <row r="4966">
      <c r="A4966" s="198" t="inlineStr">
        <is>
          <t>efeito.10.fonte</t>
        </is>
      </c>
      <c r="B4966" s="198">
        <f>IF(ISBLANK('CONFIGURAÇÃO'!$H$20),"",'CONFIGURAÇÃO'!$H$20&amp;"")</f>
        <v/>
      </c>
      <c r="C4966" s="198">
        <f>"'CONFIGURAÇÃO'!H20"</f>
        <v/>
      </c>
      <c r="D4966" s="198" t="inlineStr">
        <is>
          <t>configuração</t>
        </is>
      </c>
    </row>
    <row r="4967">
      <c r="A4967" s="198" t="inlineStr">
        <is>
          <t>aviso.efeito.10</t>
        </is>
      </c>
      <c r="B4967" s="198">
        <f>DADOS_CONFIG!$M$11&amp;""</f>
        <v/>
      </c>
      <c r="C4967" s="198" t="inlineStr">
        <is>
          <t>DADOS_CONFIG!M11</t>
        </is>
      </c>
      <c r="D4967" s="198" t="inlineStr">
        <is>
          <t>aviso</t>
        </is>
      </c>
    </row>
    <row r="4968">
      <c r="A4968" s="198" t="inlineStr">
        <is>
          <t>efeito.11.ligado</t>
        </is>
      </c>
      <c r="B4968" s="198">
        <f>N('CONFIGURAÇÃO'!$C$21)&amp;""</f>
        <v/>
      </c>
      <c r="C4968" s="198">
        <f>"'CONFIGURAÇÃO'!C21"</f>
        <v/>
      </c>
      <c r="D4968" s="198" t="inlineStr">
        <is>
          <t>configuração</t>
        </is>
      </c>
    </row>
    <row r="4969">
      <c r="A4969" s="198" t="inlineStr">
        <is>
          <t>efeito.11.caixa</t>
        </is>
      </c>
      <c r="B4969" s="198">
        <f>IF(ISBLANK('CONFIGURAÇÃO'!$D$21),"",'CONFIGURAÇÃO'!$D$21&amp;"")</f>
        <v/>
      </c>
      <c r="C4969" s="198">
        <f>"'CONFIGURAÇÃO'!D21"</f>
        <v/>
      </c>
      <c r="D4969" s="198" t="inlineStr">
        <is>
          <t>configuração</t>
        </is>
      </c>
    </row>
    <row r="4970">
      <c r="A4970" s="198" t="inlineStr">
        <is>
          <t>efeito.11.como</t>
        </is>
      </c>
      <c r="B4970" s="198">
        <f>IF(ISBLANK('CONFIGURAÇÃO'!$E$21),"",'CONFIGURAÇÃO'!$E$21&amp;"")</f>
        <v/>
      </c>
      <c r="C4970" s="198">
        <f>"'CONFIGURAÇÃO'!E21"</f>
        <v/>
      </c>
      <c r="D4970" s="198" t="inlineStr">
        <is>
          <t>configuração</t>
        </is>
      </c>
    </row>
    <row r="4971">
      <c r="A4971" s="198" t="inlineStr">
        <is>
          <t>efeito.11.valor</t>
        </is>
      </c>
      <c r="B4971" s="198">
        <f>IF(ISBLANK('CONFIGURAÇÃO'!$F$21),"",'CONFIGURAÇÃO'!$F$21&amp;"")</f>
        <v/>
      </c>
      <c r="C4971" s="198">
        <f>"'CONFIGURAÇÃO'!F21"</f>
        <v/>
      </c>
      <c r="D4971" s="198" t="inlineStr">
        <is>
          <t>configuração</t>
        </is>
      </c>
    </row>
    <row r="4972">
      <c r="A4972" s="198" t="inlineStr">
        <is>
          <t>efeito.11.tipo_de_fonte</t>
        </is>
      </c>
      <c r="B4972" s="198">
        <f>IF(ISBLANK('CONFIGURAÇÃO'!$G$21),"",'CONFIGURAÇÃO'!$G$21&amp;"")</f>
        <v/>
      </c>
      <c r="C4972" s="198">
        <f>"'CONFIGURAÇÃO'!G21"</f>
        <v/>
      </c>
      <c r="D4972" s="198" t="inlineStr">
        <is>
          <t>configuração</t>
        </is>
      </c>
    </row>
    <row r="4973">
      <c r="A4973" s="198" t="inlineStr">
        <is>
          <t>efeito.11.fonte</t>
        </is>
      </c>
      <c r="B4973" s="198">
        <f>IF(ISBLANK('CONFIGURAÇÃO'!$H$21),"",'CONFIGURAÇÃO'!$H$21&amp;"")</f>
        <v/>
      </c>
      <c r="C4973" s="198">
        <f>"'CONFIGURAÇÃO'!H21"</f>
        <v/>
      </c>
      <c r="D4973" s="198" t="inlineStr">
        <is>
          <t>configuração</t>
        </is>
      </c>
    </row>
    <row r="4974">
      <c r="A4974" s="198" t="inlineStr">
        <is>
          <t>aviso.efeito.11</t>
        </is>
      </c>
      <c r="B4974" s="198">
        <f>DADOS_CONFIG!$M$12&amp;""</f>
        <v/>
      </c>
      <c r="C4974" s="198" t="inlineStr">
        <is>
          <t>DADOS_CONFIG!M12</t>
        </is>
      </c>
      <c r="D4974" s="198" t="inlineStr">
        <is>
          <t>aviso</t>
        </is>
      </c>
    </row>
    <row r="4975">
      <c r="A4975" s="198" t="inlineStr">
        <is>
          <t>efeito.12.ligado</t>
        </is>
      </c>
      <c r="B4975" s="198">
        <f>N('CONFIGURAÇÃO'!$C$22)&amp;""</f>
        <v/>
      </c>
      <c r="C4975" s="198">
        <f>"'CONFIGURAÇÃO'!C22"</f>
        <v/>
      </c>
      <c r="D4975" s="198" t="inlineStr">
        <is>
          <t>configuração</t>
        </is>
      </c>
    </row>
    <row r="4976">
      <c r="A4976" s="198" t="inlineStr">
        <is>
          <t>efeito.12.caixa</t>
        </is>
      </c>
      <c r="B4976" s="198">
        <f>IF(ISBLANK('CONFIGURAÇÃO'!$D$22),"",'CONFIGURAÇÃO'!$D$22&amp;"")</f>
        <v/>
      </c>
      <c r="C4976" s="198">
        <f>"'CONFIGURAÇÃO'!D22"</f>
        <v/>
      </c>
      <c r="D4976" s="198" t="inlineStr">
        <is>
          <t>configuração</t>
        </is>
      </c>
    </row>
    <row r="4977">
      <c r="A4977" s="198" t="inlineStr">
        <is>
          <t>efeito.12.como</t>
        </is>
      </c>
      <c r="B4977" s="198">
        <f>IF(ISBLANK('CONFIGURAÇÃO'!$E$22),"",'CONFIGURAÇÃO'!$E$22&amp;"")</f>
        <v/>
      </c>
      <c r="C4977" s="198">
        <f>"'CONFIGURAÇÃO'!E22"</f>
        <v/>
      </c>
      <c r="D4977" s="198" t="inlineStr">
        <is>
          <t>configuração</t>
        </is>
      </c>
    </row>
    <row r="4978">
      <c r="A4978" s="198" t="inlineStr">
        <is>
          <t>efeito.12.valor</t>
        </is>
      </c>
      <c r="B4978" s="198">
        <f>IF(ISBLANK('CONFIGURAÇÃO'!$F$22),"",'CONFIGURAÇÃO'!$F$22&amp;"")</f>
        <v/>
      </c>
      <c r="C4978" s="198">
        <f>"'CONFIGURAÇÃO'!F22"</f>
        <v/>
      </c>
      <c r="D4978" s="198" t="inlineStr">
        <is>
          <t>configuração</t>
        </is>
      </c>
    </row>
    <row r="4979">
      <c r="A4979" s="198" t="inlineStr">
        <is>
          <t>efeito.12.tipo_de_fonte</t>
        </is>
      </c>
      <c r="B4979" s="198">
        <f>IF(ISBLANK('CONFIGURAÇÃO'!$G$22),"",'CONFIGURAÇÃO'!$G$22&amp;"")</f>
        <v/>
      </c>
      <c r="C4979" s="198">
        <f>"'CONFIGURAÇÃO'!G22"</f>
        <v/>
      </c>
      <c r="D4979" s="198" t="inlineStr">
        <is>
          <t>configuração</t>
        </is>
      </c>
    </row>
    <row r="4980">
      <c r="A4980" s="198" t="inlineStr">
        <is>
          <t>efeito.12.fonte</t>
        </is>
      </c>
      <c r="B4980" s="198">
        <f>IF(ISBLANK('CONFIGURAÇÃO'!$H$22),"",'CONFIGURAÇÃO'!$H$22&amp;"")</f>
        <v/>
      </c>
      <c r="C4980" s="198">
        <f>"'CONFIGURAÇÃO'!H22"</f>
        <v/>
      </c>
      <c r="D4980" s="198" t="inlineStr">
        <is>
          <t>configuração</t>
        </is>
      </c>
    </row>
    <row r="4981">
      <c r="A4981" s="198" t="inlineStr">
        <is>
          <t>aviso.efeito.12</t>
        </is>
      </c>
      <c r="B4981" s="198">
        <f>DADOS_CONFIG!$M$13&amp;""</f>
        <v/>
      </c>
      <c r="C4981" s="198" t="inlineStr">
        <is>
          <t>DADOS_CONFIG!M13</t>
        </is>
      </c>
      <c r="D4981" s="198" t="inlineStr">
        <is>
          <t>aviso</t>
        </is>
      </c>
    </row>
    <row r="4982">
      <c r="A4982" s="198" t="inlineStr">
        <is>
          <t>efeito.13.ligado</t>
        </is>
      </c>
      <c r="B4982" s="198">
        <f>N('CONFIGURAÇÃO'!$C$23)&amp;""</f>
        <v/>
      </c>
      <c r="C4982" s="198">
        <f>"'CONFIGURAÇÃO'!C23"</f>
        <v/>
      </c>
      <c r="D4982" s="198" t="inlineStr">
        <is>
          <t>configuração</t>
        </is>
      </c>
    </row>
    <row r="4983">
      <c r="A4983" s="198" t="inlineStr">
        <is>
          <t>efeito.13.caixa</t>
        </is>
      </c>
      <c r="B4983" s="198">
        <f>IF(ISBLANK('CONFIGURAÇÃO'!$D$23),"",'CONFIGURAÇÃO'!$D$23&amp;"")</f>
        <v/>
      </c>
      <c r="C4983" s="198">
        <f>"'CONFIGURAÇÃO'!D23"</f>
        <v/>
      </c>
      <c r="D4983" s="198" t="inlineStr">
        <is>
          <t>configuração</t>
        </is>
      </c>
    </row>
    <row r="4984">
      <c r="A4984" s="198" t="inlineStr">
        <is>
          <t>efeito.13.como</t>
        </is>
      </c>
      <c r="B4984" s="198">
        <f>IF(ISBLANK('CONFIGURAÇÃO'!$E$23),"",'CONFIGURAÇÃO'!$E$23&amp;"")</f>
        <v/>
      </c>
      <c r="C4984" s="198">
        <f>"'CONFIGURAÇÃO'!E23"</f>
        <v/>
      </c>
      <c r="D4984" s="198" t="inlineStr">
        <is>
          <t>configuração</t>
        </is>
      </c>
    </row>
    <row r="4985">
      <c r="A4985" s="198" t="inlineStr">
        <is>
          <t>efeito.13.valor</t>
        </is>
      </c>
      <c r="B4985" s="198">
        <f>IF(ISBLANK('CONFIGURAÇÃO'!$F$23),"",'CONFIGURAÇÃO'!$F$23&amp;"")</f>
        <v/>
      </c>
      <c r="C4985" s="198">
        <f>"'CONFIGURAÇÃO'!F23"</f>
        <v/>
      </c>
      <c r="D4985" s="198" t="inlineStr">
        <is>
          <t>configuração</t>
        </is>
      </c>
    </row>
    <row r="4986">
      <c r="A4986" s="198" t="inlineStr">
        <is>
          <t>efeito.13.tipo_de_fonte</t>
        </is>
      </c>
      <c r="B4986" s="198">
        <f>IF(ISBLANK('CONFIGURAÇÃO'!$G$23),"",'CONFIGURAÇÃO'!$G$23&amp;"")</f>
        <v/>
      </c>
      <c r="C4986" s="198">
        <f>"'CONFIGURAÇÃO'!G23"</f>
        <v/>
      </c>
      <c r="D4986" s="198" t="inlineStr">
        <is>
          <t>configuração</t>
        </is>
      </c>
    </row>
    <row r="4987">
      <c r="A4987" s="198" t="inlineStr">
        <is>
          <t>efeito.13.fonte</t>
        </is>
      </c>
      <c r="B4987" s="198">
        <f>IF(ISBLANK('CONFIGURAÇÃO'!$H$23),"",'CONFIGURAÇÃO'!$H$23&amp;"")</f>
        <v/>
      </c>
      <c r="C4987" s="198">
        <f>"'CONFIGURAÇÃO'!H23"</f>
        <v/>
      </c>
      <c r="D4987" s="198" t="inlineStr">
        <is>
          <t>configuração</t>
        </is>
      </c>
    </row>
    <row r="4988">
      <c r="A4988" s="198" t="inlineStr">
        <is>
          <t>aviso.efeito.13</t>
        </is>
      </c>
      <c r="B4988" s="198">
        <f>DADOS_CONFIG!$M$14&amp;""</f>
        <v/>
      </c>
      <c r="C4988" s="198" t="inlineStr">
        <is>
          <t>DADOS_CONFIG!M14</t>
        </is>
      </c>
      <c r="D4988" s="198" t="inlineStr">
        <is>
          <t>aviso</t>
        </is>
      </c>
    </row>
    <row r="4989">
      <c r="A4989" s="198" t="inlineStr">
        <is>
          <t>efeito.14.ligado</t>
        </is>
      </c>
      <c r="B4989" s="198">
        <f>N('CONFIGURAÇÃO'!$C$24)&amp;""</f>
        <v/>
      </c>
      <c r="C4989" s="198">
        <f>"'CONFIGURAÇÃO'!C24"</f>
        <v/>
      </c>
      <c r="D4989" s="198" t="inlineStr">
        <is>
          <t>configuração</t>
        </is>
      </c>
    </row>
    <row r="4990">
      <c r="A4990" s="198" t="inlineStr">
        <is>
          <t>efeito.14.caixa</t>
        </is>
      </c>
      <c r="B4990" s="198">
        <f>IF(ISBLANK('CONFIGURAÇÃO'!$D$24),"",'CONFIGURAÇÃO'!$D$24&amp;"")</f>
        <v/>
      </c>
      <c r="C4990" s="198">
        <f>"'CONFIGURAÇÃO'!D24"</f>
        <v/>
      </c>
      <c r="D4990" s="198" t="inlineStr">
        <is>
          <t>configuração</t>
        </is>
      </c>
    </row>
    <row r="4991">
      <c r="A4991" s="198" t="inlineStr">
        <is>
          <t>efeito.14.como</t>
        </is>
      </c>
      <c r="B4991" s="198">
        <f>IF(ISBLANK('CONFIGURAÇÃO'!$E$24),"",'CONFIGURAÇÃO'!$E$24&amp;"")</f>
        <v/>
      </c>
      <c r="C4991" s="198">
        <f>"'CONFIGURAÇÃO'!E24"</f>
        <v/>
      </c>
      <c r="D4991" s="198" t="inlineStr">
        <is>
          <t>configuração</t>
        </is>
      </c>
    </row>
    <row r="4992">
      <c r="A4992" s="198" t="inlineStr">
        <is>
          <t>efeito.14.valor</t>
        </is>
      </c>
      <c r="B4992" s="198">
        <f>IF(ISBLANK('CONFIGURAÇÃO'!$F$24),"",'CONFIGURAÇÃO'!$F$24&amp;"")</f>
        <v/>
      </c>
      <c r="C4992" s="198">
        <f>"'CONFIGURAÇÃO'!F24"</f>
        <v/>
      </c>
      <c r="D4992" s="198" t="inlineStr">
        <is>
          <t>configuração</t>
        </is>
      </c>
    </row>
    <row r="4993">
      <c r="A4993" s="198" t="inlineStr">
        <is>
          <t>efeito.14.tipo_de_fonte</t>
        </is>
      </c>
      <c r="B4993" s="198">
        <f>IF(ISBLANK('CONFIGURAÇÃO'!$G$24),"",'CONFIGURAÇÃO'!$G$24&amp;"")</f>
        <v/>
      </c>
      <c r="C4993" s="198">
        <f>"'CONFIGURAÇÃO'!G24"</f>
        <v/>
      </c>
      <c r="D4993" s="198" t="inlineStr">
        <is>
          <t>configuração</t>
        </is>
      </c>
    </row>
    <row r="4994">
      <c r="A4994" s="198" t="inlineStr">
        <is>
          <t>efeito.14.fonte</t>
        </is>
      </c>
      <c r="B4994" s="198">
        <f>IF(ISBLANK('CONFIGURAÇÃO'!$H$24),"",'CONFIGURAÇÃO'!$H$24&amp;"")</f>
        <v/>
      </c>
      <c r="C4994" s="198">
        <f>"'CONFIGURAÇÃO'!H24"</f>
        <v/>
      </c>
      <c r="D4994" s="198" t="inlineStr">
        <is>
          <t>configuração</t>
        </is>
      </c>
    </row>
    <row r="4995">
      <c r="A4995" s="198" t="inlineStr">
        <is>
          <t>aviso.efeito.14</t>
        </is>
      </c>
      <c r="B4995" s="198">
        <f>DADOS_CONFIG!$M$15&amp;""</f>
        <v/>
      </c>
      <c r="C4995" s="198" t="inlineStr">
        <is>
          <t>DADOS_CONFIG!M15</t>
        </is>
      </c>
      <c r="D4995" s="198" t="inlineStr">
        <is>
          <t>aviso</t>
        </is>
      </c>
    </row>
    <row r="4996">
      <c r="A4996" s="198" t="inlineStr">
        <is>
          <t>efeito.15.ligado</t>
        </is>
      </c>
      <c r="B4996" s="198">
        <f>N('CONFIGURAÇÃO'!$C$25)&amp;""</f>
        <v/>
      </c>
      <c r="C4996" s="198">
        <f>"'CONFIGURAÇÃO'!C25"</f>
        <v/>
      </c>
      <c r="D4996" s="198" t="inlineStr">
        <is>
          <t>configuração</t>
        </is>
      </c>
    </row>
    <row r="4997">
      <c r="A4997" s="198" t="inlineStr">
        <is>
          <t>efeito.15.caixa</t>
        </is>
      </c>
      <c r="B4997" s="198">
        <f>IF(ISBLANK('CONFIGURAÇÃO'!$D$25),"",'CONFIGURAÇÃO'!$D$25&amp;"")</f>
        <v/>
      </c>
      <c r="C4997" s="198">
        <f>"'CONFIGURAÇÃO'!D25"</f>
        <v/>
      </c>
      <c r="D4997" s="198" t="inlineStr">
        <is>
          <t>configuração</t>
        </is>
      </c>
    </row>
    <row r="4998">
      <c r="A4998" s="198" t="inlineStr">
        <is>
          <t>efeito.15.como</t>
        </is>
      </c>
      <c r="B4998" s="198">
        <f>IF(ISBLANK('CONFIGURAÇÃO'!$E$25),"",'CONFIGURAÇÃO'!$E$25&amp;"")</f>
        <v/>
      </c>
      <c r="C4998" s="198">
        <f>"'CONFIGURAÇÃO'!E25"</f>
        <v/>
      </c>
      <c r="D4998" s="198" t="inlineStr">
        <is>
          <t>configuração</t>
        </is>
      </c>
    </row>
    <row r="4999">
      <c r="A4999" s="198" t="inlineStr">
        <is>
          <t>efeito.15.valor</t>
        </is>
      </c>
      <c r="B4999" s="198">
        <f>IF(ISBLANK('CONFIGURAÇÃO'!$F$25),"",'CONFIGURAÇÃO'!$F$25&amp;"")</f>
        <v/>
      </c>
      <c r="C4999" s="198">
        <f>"'CONFIGURAÇÃO'!F25"</f>
        <v/>
      </c>
      <c r="D4999" s="198" t="inlineStr">
        <is>
          <t>configuração</t>
        </is>
      </c>
    </row>
    <row r="5000">
      <c r="A5000" s="198" t="inlineStr">
        <is>
          <t>efeito.15.tipo_de_fonte</t>
        </is>
      </c>
      <c r="B5000" s="198">
        <f>IF(ISBLANK('CONFIGURAÇÃO'!$G$25),"",'CONFIGURAÇÃO'!$G$25&amp;"")</f>
        <v/>
      </c>
      <c r="C5000" s="198">
        <f>"'CONFIGURAÇÃO'!G25"</f>
        <v/>
      </c>
      <c r="D5000" s="198" t="inlineStr">
        <is>
          <t>configuração</t>
        </is>
      </c>
    </row>
    <row r="5001">
      <c r="A5001" s="198" t="inlineStr">
        <is>
          <t>efeito.15.fonte</t>
        </is>
      </c>
      <c r="B5001" s="198">
        <f>IF(ISBLANK('CONFIGURAÇÃO'!$H$25),"",'CONFIGURAÇÃO'!$H$25&amp;"")</f>
        <v/>
      </c>
      <c r="C5001" s="198">
        <f>"'CONFIGURAÇÃO'!H25"</f>
        <v/>
      </c>
      <c r="D5001" s="198" t="inlineStr">
        <is>
          <t>configuração</t>
        </is>
      </c>
    </row>
    <row r="5002">
      <c r="A5002" s="198" t="inlineStr">
        <is>
          <t>aviso.efeito.15</t>
        </is>
      </c>
      <c r="B5002" s="198">
        <f>DADOS_CONFIG!$M$16&amp;""</f>
        <v/>
      </c>
      <c r="C5002" s="198" t="inlineStr">
        <is>
          <t>DADOS_CONFIG!M16</t>
        </is>
      </c>
      <c r="D5002" s="198" t="inlineStr">
        <is>
          <t>aviso</t>
        </is>
      </c>
    </row>
    <row r="5003">
      <c r="A5003" s="198" t="inlineStr">
        <is>
          <t>efeito.16.ligado</t>
        </is>
      </c>
      <c r="B5003" s="198">
        <f>N('CONFIGURAÇÃO'!$C$26)&amp;""</f>
        <v/>
      </c>
      <c r="C5003" s="198">
        <f>"'CONFIGURAÇÃO'!C26"</f>
        <v/>
      </c>
      <c r="D5003" s="198" t="inlineStr">
        <is>
          <t>configuração</t>
        </is>
      </c>
    </row>
    <row r="5004">
      <c r="A5004" s="198" t="inlineStr">
        <is>
          <t>efeito.16.caixa</t>
        </is>
      </c>
      <c r="B5004" s="198">
        <f>IF(ISBLANK('CONFIGURAÇÃO'!$D$26),"",'CONFIGURAÇÃO'!$D$26&amp;"")</f>
        <v/>
      </c>
      <c r="C5004" s="198">
        <f>"'CONFIGURAÇÃO'!D26"</f>
        <v/>
      </c>
      <c r="D5004" s="198" t="inlineStr">
        <is>
          <t>configuração</t>
        </is>
      </c>
    </row>
    <row r="5005">
      <c r="A5005" s="198" t="inlineStr">
        <is>
          <t>efeito.16.como</t>
        </is>
      </c>
      <c r="B5005" s="198">
        <f>IF(ISBLANK('CONFIGURAÇÃO'!$E$26),"",'CONFIGURAÇÃO'!$E$26&amp;"")</f>
        <v/>
      </c>
      <c r="C5005" s="198">
        <f>"'CONFIGURAÇÃO'!E26"</f>
        <v/>
      </c>
      <c r="D5005" s="198" t="inlineStr">
        <is>
          <t>configuração</t>
        </is>
      </c>
    </row>
    <row r="5006">
      <c r="A5006" s="198" t="inlineStr">
        <is>
          <t>efeito.16.valor</t>
        </is>
      </c>
      <c r="B5006" s="198">
        <f>IF(ISBLANK('CONFIGURAÇÃO'!$F$26),"",'CONFIGURAÇÃO'!$F$26&amp;"")</f>
        <v/>
      </c>
      <c r="C5006" s="198">
        <f>"'CONFIGURAÇÃO'!F26"</f>
        <v/>
      </c>
      <c r="D5006" s="198" t="inlineStr">
        <is>
          <t>configuração</t>
        </is>
      </c>
    </row>
    <row r="5007">
      <c r="A5007" s="198" t="inlineStr">
        <is>
          <t>efeito.16.tipo_de_fonte</t>
        </is>
      </c>
      <c r="B5007" s="198">
        <f>IF(ISBLANK('CONFIGURAÇÃO'!$G$26),"",'CONFIGURAÇÃO'!$G$26&amp;"")</f>
        <v/>
      </c>
      <c r="C5007" s="198">
        <f>"'CONFIGURAÇÃO'!G26"</f>
        <v/>
      </c>
      <c r="D5007" s="198" t="inlineStr">
        <is>
          <t>configuração</t>
        </is>
      </c>
    </row>
    <row r="5008">
      <c r="A5008" s="198" t="inlineStr">
        <is>
          <t>efeito.16.fonte</t>
        </is>
      </c>
      <c r="B5008" s="198">
        <f>IF(ISBLANK('CONFIGURAÇÃO'!$H$26),"",'CONFIGURAÇÃO'!$H$26&amp;"")</f>
        <v/>
      </c>
      <c r="C5008" s="198">
        <f>"'CONFIGURAÇÃO'!H26"</f>
        <v/>
      </c>
      <c r="D5008" s="198" t="inlineStr">
        <is>
          <t>configuração</t>
        </is>
      </c>
    </row>
    <row r="5009">
      <c r="A5009" s="198" t="inlineStr">
        <is>
          <t>aviso.efeito.16</t>
        </is>
      </c>
      <c r="B5009" s="198">
        <f>DADOS_CONFIG!$M$17&amp;""</f>
        <v/>
      </c>
      <c r="C5009" s="198" t="inlineStr">
        <is>
          <t>DADOS_CONFIG!M17</t>
        </is>
      </c>
      <c r="D5009" s="198" t="inlineStr">
        <is>
          <t>aviso</t>
        </is>
      </c>
    </row>
    <row r="5010">
      <c r="A5010" s="198" t="inlineStr">
        <is>
          <t>efeito.17.ligado</t>
        </is>
      </c>
      <c r="B5010" s="198">
        <f>N('CONFIGURAÇÃO'!$C$27)&amp;""</f>
        <v/>
      </c>
      <c r="C5010" s="198">
        <f>"'CONFIGURAÇÃO'!C27"</f>
        <v/>
      </c>
      <c r="D5010" s="198" t="inlineStr">
        <is>
          <t>configuração</t>
        </is>
      </c>
    </row>
    <row r="5011">
      <c r="A5011" s="198" t="inlineStr">
        <is>
          <t>efeito.17.caixa</t>
        </is>
      </c>
      <c r="B5011" s="198">
        <f>IF(ISBLANK('CONFIGURAÇÃO'!$D$27),"",'CONFIGURAÇÃO'!$D$27&amp;"")</f>
        <v/>
      </c>
      <c r="C5011" s="198">
        <f>"'CONFIGURAÇÃO'!D27"</f>
        <v/>
      </c>
      <c r="D5011" s="198" t="inlineStr">
        <is>
          <t>configuração</t>
        </is>
      </c>
    </row>
    <row r="5012">
      <c r="A5012" s="198" t="inlineStr">
        <is>
          <t>efeito.17.como</t>
        </is>
      </c>
      <c r="B5012" s="198">
        <f>IF(ISBLANK('CONFIGURAÇÃO'!$E$27),"",'CONFIGURAÇÃO'!$E$27&amp;"")</f>
        <v/>
      </c>
      <c r="C5012" s="198">
        <f>"'CONFIGURAÇÃO'!E27"</f>
        <v/>
      </c>
      <c r="D5012" s="198" t="inlineStr">
        <is>
          <t>configuração</t>
        </is>
      </c>
    </row>
    <row r="5013">
      <c r="A5013" s="198" t="inlineStr">
        <is>
          <t>efeito.17.valor</t>
        </is>
      </c>
      <c r="B5013" s="198">
        <f>IF(ISBLANK('CONFIGURAÇÃO'!$F$27),"",'CONFIGURAÇÃO'!$F$27&amp;"")</f>
        <v/>
      </c>
      <c r="C5013" s="198">
        <f>"'CONFIGURAÇÃO'!F27"</f>
        <v/>
      </c>
      <c r="D5013" s="198" t="inlineStr">
        <is>
          <t>configuração</t>
        </is>
      </c>
    </row>
    <row r="5014">
      <c r="A5014" s="198" t="inlineStr">
        <is>
          <t>efeito.17.tipo_de_fonte</t>
        </is>
      </c>
      <c r="B5014" s="198">
        <f>IF(ISBLANK('CONFIGURAÇÃO'!$G$27),"",'CONFIGURAÇÃO'!$G$27&amp;"")</f>
        <v/>
      </c>
      <c r="C5014" s="198">
        <f>"'CONFIGURAÇÃO'!G27"</f>
        <v/>
      </c>
      <c r="D5014" s="198" t="inlineStr">
        <is>
          <t>configuração</t>
        </is>
      </c>
    </row>
    <row r="5015">
      <c r="A5015" s="198" t="inlineStr">
        <is>
          <t>efeito.17.fonte</t>
        </is>
      </c>
      <c r="B5015" s="198">
        <f>IF(ISBLANK('CONFIGURAÇÃO'!$H$27),"",'CONFIGURAÇÃO'!$H$27&amp;"")</f>
        <v/>
      </c>
      <c r="C5015" s="198">
        <f>"'CONFIGURAÇÃO'!H27"</f>
        <v/>
      </c>
      <c r="D5015" s="198" t="inlineStr">
        <is>
          <t>configuração</t>
        </is>
      </c>
    </row>
    <row r="5016">
      <c r="A5016" s="198" t="inlineStr">
        <is>
          <t>aviso.efeito.17</t>
        </is>
      </c>
      <c r="B5016" s="198">
        <f>DADOS_CONFIG!$M$18&amp;""</f>
        <v/>
      </c>
      <c r="C5016" s="198" t="inlineStr">
        <is>
          <t>DADOS_CONFIG!M18</t>
        </is>
      </c>
      <c r="D5016" s="198" t="inlineStr">
        <is>
          <t>aviso</t>
        </is>
      </c>
    </row>
    <row r="5017">
      <c r="A5017" s="198" t="inlineStr">
        <is>
          <t>efeito.18.ligado</t>
        </is>
      </c>
      <c r="B5017" s="198">
        <f>N('CONFIGURAÇÃO'!$C$28)&amp;""</f>
        <v/>
      </c>
      <c r="C5017" s="198">
        <f>"'CONFIGURAÇÃO'!C28"</f>
        <v/>
      </c>
      <c r="D5017" s="198" t="inlineStr">
        <is>
          <t>configuração</t>
        </is>
      </c>
    </row>
    <row r="5018">
      <c r="A5018" s="198" t="inlineStr">
        <is>
          <t>efeito.18.caixa</t>
        </is>
      </c>
      <c r="B5018" s="198">
        <f>IF(ISBLANK('CONFIGURAÇÃO'!$D$28),"",'CONFIGURAÇÃO'!$D$28&amp;"")</f>
        <v/>
      </c>
      <c r="C5018" s="198">
        <f>"'CONFIGURAÇÃO'!D28"</f>
        <v/>
      </c>
      <c r="D5018" s="198" t="inlineStr">
        <is>
          <t>configuração</t>
        </is>
      </c>
    </row>
    <row r="5019">
      <c r="A5019" s="198" t="inlineStr">
        <is>
          <t>efeito.18.como</t>
        </is>
      </c>
      <c r="B5019" s="198">
        <f>IF(ISBLANK('CONFIGURAÇÃO'!$E$28),"",'CONFIGURAÇÃO'!$E$28&amp;"")</f>
        <v/>
      </c>
      <c r="C5019" s="198">
        <f>"'CONFIGURAÇÃO'!E28"</f>
        <v/>
      </c>
      <c r="D5019" s="198" t="inlineStr">
        <is>
          <t>configuração</t>
        </is>
      </c>
    </row>
    <row r="5020">
      <c r="A5020" s="198" t="inlineStr">
        <is>
          <t>efeito.18.valor</t>
        </is>
      </c>
      <c r="B5020" s="198">
        <f>IF(ISBLANK('CONFIGURAÇÃO'!$F$28),"",'CONFIGURAÇÃO'!$F$28&amp;"")</f>
        <v/>
      </c>
      <c r="C5020" s="198">
        <f>"'CONFIGURAÇÃO'!F28"</f>
        <v/>
      </c>
      <c r="D5020" s="198" t="inlineStr">
        <is>
          <t>configuração</t>
        </is>
      </c>
    </row>
    <row r="5021">
      <c r="A5021" s="198" t="inlineStr">
        <is>
          <t>efeito.18.tipo_de_fonte</t>
        </is>
      </c>
      <c r="B5021" s="198">
        <f>IF(ISBLANK('CONFIGURAÇÃO'!$G$28),"",'CONFIGURAÇÃO'!$G$28&amp;"")</f>
        <v/>
      </c>
      <c r="C5021" s="198">
        <f>"'CONFIGURAÇÃO'!G28"</f>
        <v/>
      </c>
      <c r="D5021" s="198" t="inlineStr">
        <is>
          <t>configuração</t>
        </is>
      </c>
    </row>
    <row r="5022">
      <c r="A5022" s="198" t="inlineStr">
        <is>
          <t>efeito.18.fonte</t>
        </is>
      </c>
      <c r="B5022" s="198">
        <f>IF(ISBLANK('CONFIGURAÇÃO'!$H$28),"",'CONFIGURAÇÃO'!$H$28&amp;"")</f>
        <v/>
      </c>
      <c r="C5022" s="198">
        <f>"'CONFIGURAÇÃO'!H28"</f>
        <v/>
      </c>
      <c r="D5022" s="198" t="inlineStr">
        <is>
          <t>configuração</t>
        </is>
      </c>
    </row>
    <row r="5023">
      <c r="A5023" s="198" t="inlineStr">
        <is>
          <t>aviso.efeito.18</t>
        </is>
      </c>
      <c r="B5023" s="198">
        <f>DADOS_CONFIG!$M$19&amp;""</f>
        <v/>
      </c>
      <c r="C5023" s="198" t="inlineStr">
        <is>
          <t>DADOS_CONFIG!M19</t>
        </is>
      </c>
      <c r="D5023" s="198" t="inlineStr">
        <is>
          <t>aviso</t>
        </is>
      </c>
    </row>
    <row r="5024">
      <c r="A5024" s="198" t="inlineStr">
        <is>
          <t>efeito.19.ligado</t>
        </is>
      </c>
      <c r="B5024" s="198">
        <f>N('CONFIGURAÇÃO'!$C$29)&amp;""</f>
        <v/>
      </c>
      <c r="C5024" s="198">
        <f>"'CONFIGURAÇÃO'!C29"</f>
        <v/>
      </c>
      <c r="D5024" s="198" t="inlineStr">
        <is>
          <t>configuração</t>
        </is>
      </c>
    </row>
    <row r="5025">
      <c r="A5025" s="198" t="inlineStr">
        <is>
          <t>efeito.19.caixa</t>
        </is>
      </c>
      <c r="B5025" s="198">
        <f>IF(ISBLANK('CONFIGURAÇÃO'!$D$29),"",'CONFIGURAÇÃO'!$D$29&amp;"")</f>
        <v/>
      </c>
      <c r="C5025" s="198">
        <f>"'CONFIGURAÇÃO'!D29"</f>
        <v/>
      </c>
      <c r="D5025" s="198" t="inlineStr">
        <is>
          <t>configuração</t>
        </is>
      </c>
    </row>
    <row r="5026">
      <c r="A5026" s="198" t="inlineStr">
        <is>
          <t>efeito.19.como</t>
        </is>
      </c>
      <c r="B5026" s="198">
        <f>IF(ISBLANK('CONFIGURAÇÃO'!$E$29),"",'CONFIGURAÇÃO'!$E$29&amp;"")</f>
        <v/>
      </c>
      <c r="C5026" s="198">
        <f>"'CONFIGURAÇÃO'!E29"</f>
        <v/>
      </c>
      <c r="D5026" s="198" t="inlineStr">
        <is>
          <t>configuração</t>
        </is>
      </c>
    </row>
    <row r="5027">
      <c r="A5027" s="198" t="inlineStr">
        <is>
          <t>efeito.19.valor</t>
        </is>
      </c>
      <c r="B5027" s="198">
        <f>IF(ISBLANK('CONFIGURAÇÃO'!$F$29),"",'CONFIGURAÇÃO'!$F$29&amp;"")</f>
        <v/>
      </c>
      <c r="C5027" s="198">
        <f>"'CONFIGURAÇÃO'!F29"</f>
        <v/>
      </c>
      <c r="D5027" s="198" t="inlineStr">
        <is>
          <t>configuração</t>
        </is>
      </c>
    </row>
    <row r="5028">
      <c r="A5028" s="198" t="inlineStr">
        <is>
          <t>efeito.19.tipo_de_fonte</t>
        </is>
      </c>
      <c r="B5028" s="198">
        <f>IF(ISBLANK('CONFIGURAÇÃO'!$G$29),"",'CONFIGURAÇÃO'!$G$29&amp;"")</f>
        <v/>
      </c>
      <c r="C5028" s="198">
        <f>"'CONFIGURAÇÃO'!G29"</f>
        <v/>
      </c>
      <c r="D5028" s="198" t="inlineStr">
        <is>
          <t>configuração</t>
        </is>
      </c>
    </row>
    <row r="5029">
      <c r="A5029" s="198" t="inlineStr">
        <is>
          <t>efeito.19.fonte</t>
        </is>
      </c>
      <c r="B5029" s="198">
        <f>IF(ISBLANK('CONFIGURAÇÃO'!$H$29),"",'CONFIGURAÇÃO'!$H$29&amp;"")</f>
        <v/>
      </c>
      <c r="C5029" s="198">
        <f>"'CONFIGURAÇÃO'!H29"</f>
        <v/>
      </c>
      <c r="D5029" s="198" t="inlineStr">
        <is>
          <t>configuração</t>
        </is>
      </c>
    </row>
    <row r="5030">
      <c r="A5030" s="198" t="inlineStr">
        <is>
          <t>aviso.efeito.19</t>
        </is>
      </c>
      <c r="B5030" s="198">
        <f>DADOS_CONFIG!$M$20&amp;""</f>
        <v/>
      </c>
      <c r="C5030" s="198" t="inlineStr">
        <is>
          <t>DADOS_CONFIG!M20</t>
        </is>
      </c>
      <c r="D5030" s="198" t="inlineStr">
        <is>
          <t>aviso</t>
        </is>
      </c>
    </row>
    <row r="5031">
      <c r="A5031" s="198" t="inlineStr">
        <is>
          <t>efeito.20.ligado</t>
        </is>
      </c>
      <c r="B5031" s="198">
        <f>N('CONFIGURAÇÃO'!$C$30)&amp;""</f>
        <v/>
      </c>
      <c r="C5031" s="198">
        <f>"'CONFIGURAÇÃO'!C30"</f>
        <v/>
      </c>
      <c r="D5031" s="198" t="inlineStr">
        <is>
          <t>configuração</t>
        </is>
      </c>
    </row>
    <row r="5032">
      <c r="A5032" s="198" t="inlineStr">
        <is>
          <t>efeito.20.caixa</t>
        </is>
      </c>
      <c r="B5032" s="198">
        <f>IF(ISBLANK('CONFIGURAÇÃO'!$D$30),"",'CONFIGURAÇÃO'!$D$30&amp;"")</f>
        <v/>
      </c>
      <c r="C5032" s="198">
        <f>"'CONFIGURAÇÃO'!D30"</f>
        <v/>
      </c>
      <c r="D5032" s="198" t="inlineStr">
        <is>
          <t>configuração</t>
        </is>
      </c>
    </row>
    <row r="5033">
      <c r="A5033" s="198" t="inlineStr">
        <is>
          <t>efeito.20.como</t>
        </is>
      </c>
      <c r="B5033" s="198">
        <f>IF(ISBLANK('CONFIGURAÇÃO'!$E$30),"",'CONFIGURAÇÃO'!$E$30&amp;"")</f>
        <v/>
      </c>
      <c r="C5033" s="198">
        <f>"'CONFIGURAÇÃO'!E30"</f>
        <v/>
      </c>
      <c r="D5033" s="198" t="inlineStr">
        <is>
          <t>configuração</t>
        </is>
      </c>
    </row>
    <row r="5034">
      <c r="A5034" s="198" t="inlineStr">
        <is>
          <t>efeito.20.valor</t>
        </is>
      </c>
      <c r="B5034" s="198">
        <f>IF(ISBLANK('CONFIGURAÇÃO'!$F$30),"",'CONFIGURAÇÃO'!$F$30&amp;"")</f>
        <v/>
      </c>
      <c r="C5034" s="198">
        <f>"'CONFIGURAÇÃO'!F30"</f>
        <v/>
      </c>
      <c r="D5034" s="198" t="inlineStr">
        <is>
          <t>configuração</t>
        </is>
      </c>
    </row>
    <row r="5035">
      <c r="A5035" s="198" t="inlineStr">
        <is>
          <t>efeito.20.tipo_de_fonte</t>
        </is>
      </c>
      <c r="B5035" s="198">
        <f>IF(ISBLANK('CONFIGURAÇÃO'!$G$30),"",'CONFIGURAÇÃO'!$G$30&amp;"")</f>
        <v/>
      </c>
      <c r="C5035" s="198">
        <f>"'CONFIGURAÇÃO'!G30"</f>
        <v/>
      </c>
      <c r="D5035" s="198" t="inlineStr">
        <is>
          <t>configuração</t>
        </is>
      </c>
    </row>
    <row r="5036">
      <c r="A5036" s="198" t="inlineStr">
        <is>
          <t>efeito.20.fonte</t>
        </is>
      </c>
      <c r="B5036" s="198">
        <f>IF(ISBLANK('CONFIGURAÇÃO'!$H$30),"",'CONFIGURAÇÃO'!$H$30&amp;"")</f>
        <v/>
      </c>
      <c r="C5036" s="198">
        <f>"'CONFIGURAÇÃO'!H30"</f>
        <v/>
      </c>
      <c r="D5036" s="198" t="inlineStr">
        <is>
          <t>configuração</t>
        </is>
      </c>
    </row>
    <row r="5037">
      <c r="A5037" s="198" t="inlineStr">
        <is>
          <t>aviso.efeito.20</t>
        </is>
      </c>
      <c r="B5037" s="198">
        <f>DADOS_CONFIG!$M$21&amp;""</f>
        <v/>
      </c>
      <c r="C5037" s="198" t="inlineStr">
        <is>
          <t>DADOS_CONFIG!M21</t>
        </is>
      </c>
      <c r="D5037" s="198" t="inlineStr">
        <is>
          <t>aviso</t>
        </is>
      </c>
    </row>
    <row r="5038">
      <c r="A5038" s="198" t="inlineStr">
        <is>
          <t>efeito.21.ligado</t>
        </is>
      </c>
      <c r="B5038" s="198">
        <f>N('CONFIGURAÇÃO'!$C$31)&amp;""</f>
        <v/>
      </c>
      <c r="C5038" s="198">
        <f>"'CONFIGURAÇÃO'!C31"</f>
        <v/>
      </c>
      <c r="D5038" s="198" t="inlineStr">
        <is>
          <t>configuração</t>
        </is>
      </c>
    </row>
    <row r="5039">
      <c r="A5039" s="198" t="inlineStr">
        <is>
          <t>efeito.21.caixa</t>
        </is>
      </c>
      <c r="B5039" s="198">
        <f>IF(ISBLANK('CONFIGURAÇÃO'!$D$31),"",'CONFIGURAÇÃO'!$D$31&amp;"")</f>
        <v/>
      </c>
      <c r="C5039" s="198">
        <f>"'CONFIGURAÇÃO'!D31"</f>
        <v/>
      </c>
      <c r="D5039" s="198" t="inlineStr">
        <is>
          <t>configuração</t>
        </is>
      </c>
    </row>
    <row r="5040">
      <c r="A5040" s="198" t="inlineStr">
        <is>
          <t>efeito.21.como</t>
        </is>
      </c>
      <c r="B5040" s="198">
        <f>IF(ISBLANK('CONFIGURAÇÃO'!$E$31),"",'CONFIGURAÇÃO'!$E$31&amp;"")</f>
        <v/>
      </c>
      <c r="C5040" s="198">
        <f>"'CONFIGURAÇÃO'!E31"</f>
        <v/>
      </c>
      <c r="D5040" s="198" t="inlineStr">
        <is>
          <t>configuração</t>
        </is>
      </c>
    </row>
    <row r="5041">
      <c r="A5041" s="198" t="inlineStr">
        <is>
          <t>efeito.21.valor</t>
        </is>
      </c>
      <c r="B5041" s="198">
        <f>IF(ISBLANK('CONFIGURAÇÃO'!$F$31),"",'CONFIGURAÇÃO'!$F$31&amp;"")</f>
        <v/>
      </c>
      <c r="C5041" s="198">
        <f>"'CONFIGURAÇÃO'!F31"</f>
        <v/>
      </c>
      <c r="D5041" s="198" t="inlineStr">
        <is>
          <t>configuração</t>
        </is>
      </c>
    </row>
    <row r="5042">
      <c r="A5042" s="198" t="inlineStr">
        <is>
          <t>efeito.21.tipo_de_fonte</t>
        </is>
      </c>
      <c r="B5042" s="198">
        <f>IF(ISBLANK('CONFIGURAÇÃO'!$G$31),"",'CONFIGURAÇÃO'!$G$31&amp;"")</f>
        <v/>
      </c>
      <c r="C5042" s="198">
        <f>"'CONFIGURAÇÃO'!G31"</f>
        <v/>
      </c>
      <c r="D5042" s="198" t="inlineStr">
        <is>
          <t>configuração</t>
        </is>
      </c>
    </row>
    <row r="5043">
      <c r="A5043" s="198" t="inlineStr">
        <is>
          <t>efeito.21.fonte</t>
        </is>
      </c>
      <c r="B5043" s="198">
        <f>IF(ISBLANK('CONFIGURAÇÃO'!$H$31),"",'CONFIGURAÇÃO'!$H$31&amp;"")</f>
        <v/>
      </c>
      <c r="C5043" s="198">
        <f>"'CONFIGURAÇÃO'!H31"</f>
        <v/>
      </c>
      <c r="D5043" s="198" t="inlineStr">
        <is>
          <t>configuração</t>
        </is>
      </c>
    </row>
    <row r="5044">
      <c r="A5044" s="198" t="inlineStr">
        <is>
          <t>aviso.efeito.21</t>
        </is>
      </c>
      <c r="B5044" s="198">
        <f>DADOS_CONFIG!$M$22&amp;""</f>
        <v/>
      </c>
      <c r="C5044" s="198" t="inlineStr">
        <is>
          <t>DADOS_CONFIG!M22</t>
        </is>
      </c>
      <c r="D5044" s="198" t="inlineStr">
        <is>
          <t>aviso</t>
        </is>
      </c>
    </row>
    <row r="5045">
      <c r="A5045" s="198" t="inlineStr">
        <is>
          <t>efeito.22.ligado</t>
        </is>
      </c>
      <c r="B5045" s="198">
        <f>N('CONFIGURAÇÃO'!$C$32)&amp;""</f>
        <v/>
      </c>
      <c r="C5045" s="198">
        <f>"'CONFIGURAÇÃO'!C32"</f>
        <v/>
      </c>
      <c r="D5045" s="198" t="inlineStr">
        <is>
          <t>configuração</t>
        </is>
      </c>
    </row>
    <row r="5046">
      <c r="A5046" s="198" t="inlineStr">
        <is>
          <t>efeito.22.caixa</t>
        </is>
      </c>
      <c r="B5046" s="198">
        <f>IF(ISBLANK('CONFIGURAÇÃO'!$D$32),"",'CONFIGURAÇÃO'!$D$32&amp;"")</f>
        <v/>
      </c>
      <c r="C5046" s="198">
        <f>"'CONFIGURAÇÃO'!D32"</f>
        <v/>
      </c>
      <c r="D5046" s="198" t="inlineStr">
        <is>
          <t>configuração</t>
        </is>
      </c>
    </row>
    <row r="5047">
      <c r="A5047" s="198" t="inlineStr">
        <is>
          <t>efeito.22.como</t>
        </is>
      </c>
      <c r="B5047" s="198">
        <f>IF(ISBLANK('CONFIGURAÇÃO'!$E$32),"",'CONFIGURAÇÃO'!$E$32&amp;"")</f>
        <v/>
      </c>
      <c r="C5047" s="198">
        <f>"'CONFIGURAÇÃO'!E32"</f>
        <v/>
      </c>
      <c r="D5047" s="198" t="inlineStr">
        <is>
          <t>configuração</t>
        </is>
      </c>
    </row>
    <row r="5048">
      <c r="A5048" s="198" t="inlineStr">
        <is>
          <t>efeito.22.valor</t>
        </is>
      </c>
      <c r="B5048" s="198">
        <f>IF(ISBLANK('CONFIGURAÇÃO'!$F$32),"",'CONFIGURAÇÃO'!$F$32&amp;"")</f>
        <v/>
      </c>
      <c r="C5048" s="198">
        <f>"'CONFIGURAÇÃO'!F32"</f>
        <v/>
      </c>
      <c r="D5048" s="198" t="inlineStr">
        <is>
          <t>configuração</t>
        </is>
      </c>
    </row>
    <row r="5049">
      <c r="A5049" s="198" t="inlineStr">
        <is>
          <t>efeito.22.tipo_de_fonte</t>
        </is>
      </c>
      <c r="B5049" s="198">
        <f>IF(ISBLANK('CONFIGURAÇÃO'!$G$32),"",'CONFIGURAÇÃO'!$G$32&amp;"")</f>
        <v/>
      </c>
      <c r="C5049" s="198">
        <f>"'CONFIGURAÇÃO'!G32"</f>
        <v/>
      </c>
      <c r="D5049" s="198" t="inlineStr">
        <is>
          <t>configuração</t>
        </is>
      </c>
    </row>
    <row r="5050">
      <c r="A5050" s="198" t="inlineStr">
        <is>
          <t>efeito.22.fonte</t>
        </is>
      </c>
      <c r="B5050" s="198">
        <f>IF(ISBLANK('CONFIGURAÇÃO'!$H$32),"",'CONFIGURAÇÃO'!$H$32&amp;"")</f>
        <v/>
      </c>
      <c r="C5050" s="198">
        <f>"'CONFIGURAÇÃO'!H32"</f>
        <v/>
      </c>
      <c r="D5050" s="198" t="inlineStr">
        <is>
          <t>configuração</t>
        </is>
      </c>
    </row>
    <row r="5051">
      <c r="A5051" s="198" t="inlineStr">
        <is>
          <t>aviso.efeito.22</t>
        </is>
      </c>
      <c r="B5051" s="198">
        <f>DADOS_CONFIG!$M$23&amp;""</f>
        <v/>
      </c>
      <c r="C5051" s="198" t="inlineStr">
        <is>
          <t>DADOS_CONFIG!M23</t>
        </is>
      </c>
      <c r="D5051" s="198" t="inlineStr">
        <is>
          <t>aviso</t>
        </is>
      </c>
    </row>
    <row r="5052">
      <c r="A5052" s="198" t="inlineStr">
        <is>
          <t>efeito.23.ligado</t>
        </is>
      </c>
      <c r="B5052" s="198">
        <f>N('CONFIGURAÇÃO'!$C$33)&amp;""</f>
        <v/>
      </c>
      <c r="C5052" s="198">
        <f>"'CONFIGURAÇÃO'!C33"</f>
        <v/>
      </c>
      <c r="D5052" s="198" t="inlineStr">
        <is>
          <t>configuração</t>
        </is>
      </c>
    </row>
    <row r="5053">
      <c r="A5053" s="198" t="inlineStr">
        <is>
          <t>efeito.23.caixa</t>
        </is>
      </c>
      <c r="B5053" s="198">
        <f>IF(ISBLANK('CONFIGURAÇÃO'!$D$33),"",'CONFIGURAÇÃO'!$D$33&amp;"")</f>
        <v/>
      </c>
      <c r="C5053" s="198">
        <f>"'CONFIGURAÇÃO'!D33"</f>
        <v/>
      </c>
      <c r="D5053" s="198" t="inlineStr">
        <is>
          <t>configuração</t>
        </is>
      </c>
    </row>
    <row r="5054">
      <c r="A5054" s="198" t="inlineStr">
        <is>
          <t>efeito.23.como</t>
        </is>
      </c>
      <c r="B5054" s="198">
        <f>IF(ISBLANK('CONFIGURAÇÃO'!$E$33),"",'CONFIGURAÇÃO'!$E$33&amp;"")</f>
        <v/>
      </c>
      <c r="C5054" s="198">
        <f>"'CONFIGURAÇÃO'!E33"</f>
        <v/>
      </c>
      <c r="D5054" s="198" t="inlineStr">
        <is>
          <t>configuração</t>
        </is>
      </c>
    </row>
    <row r="5055">
      <c r="A5055" s="198" t="inlineStr">
        <is>
          <t>efeito.23.valor</t>
        </is>
      </c>
      <c r="B5055" s="198">
        <f>IF(ISBLANK('CONFIGURAÇÃO'!$F$33),"",'CONFIGURAÇÃO'!$F$33&amp;"")</f>
        <v/>
      </c>
      <c r="C5055" s="198">
        <f>"'CONFIGURAÇÃO'!F33"</f>
        <v/>
      </c>
      <c r="D5055" s="198" t="inlineStr">
        <is>
          <t>configuração</t>
        </is>
      </c>
    </row>
    <row r="5056">
      <c r="A5056" s="198" t="inlineStr">
        <is>
          <t>efeito.23.tipo_de_fonte</t>
        </is>
      </c>
      <c r="B5056" s="198">
        <f>IF(ISBLANK('CONFIGURAÇÃO'!$G$33),"",'CONFIGURAÇÃO'!$G$33&amp;"")</f>
        <v/>
      </c>
      <c r="C5056" s="198">
        <f>"'CONFIGURAÇÃO'!G33"</f>
        <v/>
      </c>
      <c r="D5056" s="198" t="inlineStr">
        <is>
          <t>configuração</t>
        </is>
      </c>
    </row>
    <row r="5057">
      <c r="A5057" s="198" t="inlineStr">
        <is>
          <t>efeito.23.fonte</t>
        </is>
      </c>
      <c r="B5057" s="198">
        <f>IF(ISBLANK('CONFIGURAÇÃO'!$H$33),"",'CONFIGURAÇÃO'!$H$33&amp;"")</f>
        <v/>
      </c>
      <c r="C5057" s="198">
        <f>"'CONFIGURAÇÃO'!H33"</f>
        <v/>
      </c>
      <c r="D5057" s="198" t="inlineStr">
        <is>
          <t>configuração</t>
        </is>
      </c>
    </row>
    <row r="5058">
      <c r="A5058" s="198" t="inlineStr">
        <is>
          <t>aviso.efeito.23</t>
        </is>
      </c>
      <c r="B5058" s="198">
        <f>DADOS_CONFIG!$M$24&amp;""</f>
        <v/>
      </c>
      <c r="C5058" s="198" t="inlineStr">
        <is>
          <t>DADOS_CONFIG!M24</t>
        </is>
      </c>
      <c r="D5058" s="198" t="inlineStr">
        <is>
          <t>aviso</t>
        </is>
      </c>
    </row>
    <row r="5059">
      <c r="A5059" s="198" t="inlineStr">
        <is>
          <t>efeito.24.ligado</t>
        </is>
      </c>
      <c r="B5059" s="198">
        <f>N('CONFIGURAÇÃO'!$C$34)&amp;""</f>
        <v/>
      </c>
      <c r="C5059" s="198">
        <f>"'CONFIGURAÇÃO'!C34"</f>
        <v/>
      </c>
      <c r="D5059" s="198" t="inlineStr">
        <is>
          <t>configuração</t>
        </is>
      </c>
    </row>
    <row r="5060">
      <c r="A5060" s="198" t="inlineStr">
        <is>
          <t>efeito.24.caixa</t>
        </is>
      </c>
      <c r="B5060" s="198">
        <f>IF(ISBLANK('CONFIGURAÇÃO'!$D$34),"",'CONFIGURAÇÃO'!$D$34&amp;"")</f>
        <v/>
      </c>
      <c r="C5060" s="198">
        <f>"'CONFIGURAÇÃO'!D34"</f>
        <v/>
      </c>
      <c r="D5060" s="198" t="inlineStr">
        <is>
          <t>configuração</t>
        </is>
      </c>
    </row>
    <row r="5061">
      <c r="A5061" s="198" t="inlineStr">
        <is>
          <t>efeito.24.como</t>
        </is>
      </c>
      <c r="B5061" s="198">
        <f>IF(ISBLANK('CONFIGURAÇÃO'!$E$34),"",'CONFIGURAÇÃO'!$E$34&amp;"")</f>
        <v/>
      </c>
      <c r="C5061" s="198">
        <f>"'CONFIGURAÇÃO'!E34"</f>
        <v/>
      </c>
      <c r="D5061" s="198" t="inlineStr">
        <is>
          <t>configuração</t>
        </is>
      </c>
    </row>
    <row r="5062">
      <c r="A5062" s="198" t="inlineStr">
        <is>
          <t>efeito.24.valor</t>
        </is>
      </c>
      <c r="B5062" s="198">
        <f>IF(ISBLANK('CONFIGURAÇÃO'!$F$34),"",'CONFIGURAÇÃO'!$F$34&amp;"")</f>
        <v/>
      </c>
      <c r="C5062" s="198">
        <f>"'CONFIGURAÇÃO'!F34"</f>
        <v/>
      </c>
      <c r="D5062" s="198" t="inlineStr">
        <is>
          <t>configuração</t>
        </is>
      </c>
    </row>
    <row r="5063">
      <c r="A5063" s="198" t="inlineStr">
        <is>
          <t>efeito.24.tipo_de_fonte</t>
        </is>
      </c>
      <c r="B5063" s="198">
        <f>IF(ISBLANK('CONFIGURAÇÃO'!$G$34),"",'CONFIGURAÇÃO'!$G$34&amp;"")</f>
        <v/>
      </c>
      <c r="C5063" s="198">
        <f>"'CONFIGURAÇÃO'!G34"</f>
        <v/>
      </c>
      <c r="D5063" s="198" t="inlineStr">
        <is>
          <t>configuração</t>
        </is>
      </c>
    </row>
    <row r="5064">
      <c r="A5064" s="198" t="inlineStr">
        <is>
          <t>efeito.24.fonte</t>
        </is>
      </c>
      <c r="B5064" s="198">
        <f>IF(ISBLANK('CONFIGURAÇÃO'!$H$34),"",'CONFIGURAÇÃO'!$H$34&amp;"")</f>
        <v/>
      </c>
      <c r="C5064" s="198">
        <f>"'CONFIGURAÇÃO'!H34"</f>
        <v/>
      </c>
      <c r="D5064" s="198" t="inlineStr">
        <is>
          <t>configuração</t>
        </is>
      </c>
    </row>
    <row r="5065">
      <c r="A5065" s="198" t="inlineStr">
        <is>
          <t>aviso.efeito.24</t>
        </is>
      </c>
      <c r="B5065" s="198">
        <f>DADOS_CONFIG!$M$25&amp;""</f>
        <v/>
      </c>
      <c r="C5065" s="198" t="inlineStr">
        <is>
          <t>DADOS_CONFIG!M25</t>
        </is>
      </c>
      <c r="D5065" s="198" t="inlineStr">
        <is>
          <t>aviso</t>
        </is>
      </c>
    </row>
    <row r="5066">
      <c r="A5066" s="198" t="inlineStr">
        <is>
          <t>efeito.25.ligado</t>
        </is>
      </c>
      <c r="B5066" s="198">
        <f>N('CONFIGURAÇÃO'!$C$35)&amp;""</f>
        <v/>
      </c>
      <c r="C5066" s="198">
        <f>"'CONFIGURAÇÃO'!C35"</f>
        <v/>
      </c>
      <c r="D5066" s="198" t="inlineStr">
        <is>
          <t>configuração</t>
        </is>
      </c>
    </row>
    <row r="5067">
      <c r="A5067" s="198" t="inlineStr">
        <is>
          <t>efeito.25.caixa</t>
        </is>
      </c>
      <c r="B5067" s="198">
        <f>IF(ISBLANK('CONFIGURAÇÃO'!$D$35),"",'CONFIGURAÇÃO'!$D$35&amp;"")</f>
        <v/>
      </c>
      <c r="C5067" s="198">
        <f>"'CONFIGURAÇÃO'!D35"</f>
        <v/>
      </c>
      <c r="D5067" s="198" t="inlineStr">
        <is>
          <t>configuração</t>
        </is>
      </c>
    </row>
    <row r="5068">
      <c r="A5068" s="198" t="inlineStr">
        <is>
          <t>efeito.25.como</t>
        </is>
      </c>
      <c r="B5068" s="198">
        <f>IF(ISBLANK('CONFIGURAÇÃO'!$E$35),"",'CONFIGURAÇÃO'!$E$35&amp;"")</f>
        <v/>
      </c>
      <c r="C5068" s="198">
        <f>"'CONFIGURAÇÃO'!E35"</f>
        <v/>
      </c>
      <c r="D5068" s="198" t="inlineStr">
        <is>
          <t>configuração</t>
        </is>
      </c>
    </row>
    <row r="5069">
      <c r="A5069" s="198" t="inlineStr">
        <is>
          <t>efeito.25.valor</t>
        </is>
      </c>
      <c r="B5069" s="198">
        <f>IF(ISBLANK('CONFIGURAÇÃO'!$F$35),"",'CONFIGURAÇÃO'!$F$35&amp;"")</f>
        <v/>
      </c>
      <c r="C5069" s="198">
        <f>"'CONFIGURAÇÃO'!F35"</f>
        <v/>
      </c>
      <c r="D5069" s="198" t="inlineStr">
        <is>
          <t>configuração</t>
        </is>
      </c>
    </row>
    <row r="5070">
      <c r="A5070" s="198" t="inlineStr">
        <is>
          <t>efeito.25.tipo_de_fonte</t>
        </is>
      </c>
      <c r="B5070" s="198">
        <f>IF(ISBLANK('CONFIGURAÇÃO'!$G$35),"",'CONFIGURAÇÃO'!$G$35&amp;"")</f>
        <v/>
      </c>
      <c r="C5070" s="198">
        <f>"'CONFIGURAÇÃO'!G35"</f>
        <v/>
      </c>
      <c r="D5070" s="198" t="inlineStr">
        <is>
          <t>configuração</t>
        </is>
      </c>
    </row>
    <row r="5071">
      <c r="A5071" s="198" t="inlineStr">
        <is>
          <t>efeito.25.fonte</t>
        </is>
      </c>
      <c r="B5071" s="198">
        <f>IF(ISBLANK('CONFIGURAÇÃO'!$H$35),"",'CONFIGURAÇÃO'!$H$35&amp;"")</f>
        <v/>
      </c>
      <c r="C5071" s="198">
        <f>"'CONFIGURAÇÃO'!H35"</f>
        <v/>
      </c>
      <c r="D5071" s="198" t="inlineStr">
        <is>
          <t>configuração</t>
        </is>
      </c>
    </row>
    <row r="5072">
      <c r="A5072" s="198" t="inlineStr">
        <is>
          <t>aviso.efeito.25</t>
        </is>
      </c>
      <c r="B5072" s="198">
        <f>DADOS_CONFIG!$M$26&amp;""</f>
        <v/>
      </c>
      <c r="C5072" s="198" t="inlineStr">
        <is>
          <t>DADOS_CONFIG!M26</t>
        </is>
      </c>
      <c r="D5072" s="198" t="inlineStr">
        <is>
          <t>aviso</t>
        </is>
      </c>
    </row>
    <row r="5073">
      <c r="A5073" s="198" t="inlineStr">
        <is>
          <t>efeito.26.ligado</t>
        </is>
      </c>
      <c r="B5073" s="198">
        <f>N('CONFIGURAÇÃO'!$C$36)&amp;""</f>
        <v/>
      </c>
      <c r="C5073" s="198">
        <f>"'CONFIGURAÇÃO'!C36"</f>
        <v/>
      </c>
      <c r="D5073" s="198" t="inlineStr">
        <is>
          <t>configuração</t>
        </is>
      </c>
    </row>
    <row r="5074">
      <c r="A5074" s="198" t="inlineStr">
        <is>
          <t>efeito.26.caixa</t>
        </is>
      </c>
      <c r="B5074" s="198">
        <f>IF(ISBLANK('CONFIGURAÇÃO'!$D$36),"",'CONFIGURAÇÃO'!$D$36&amp;"")</f>
        <v/>
      </c>
      <c r="C5074" s="198">
        <f>"'CONFIGURAÇÃO'!D36"</f>
        <v/>
      </c>
      <c r="D5074" s="198" t="inlineStr">
        <is>
          <t>configuração</t>
        </is>
      </c>
    </row>
    <row r="5075">
      <c r="A5075" s="198" t="inlineStr">
        <is>
          <t>efeito.26.como</t>
        </is>
      </c>
      <c r="B5075" s="198">
        <f>IF(ISBLANK('CONFIGURAÇÃO'!$E$36),"",'CONFIGURAÇÃO'!$E$36&amp;"")</f>
        <v/>
      </c>
      <c r="C5075" s="198">
        <f>"'CONFIGURAÇÃO'!E36"</f>
        <v/>
      </c>
      <c r="D5075" s="198" t="inlineStr">
        <is>
          <t>configuração</t>
        </is>
      </c>
    </row>
    <row r="5076">
      <c r="A5076" s="198" t="inlineStr">
        <is>
          <t>efeito.26.valor</t>
        </is>
      </c>
      <c r="B5076" s="198">
        <f>IF(ISBLANK('CONFIGURAÇÃO'!$F$36),"",'CONFIGURAÇÃO'!$F$36&amp;"")</f>
        <v/>
      </c>
      <c r="C5076" s="198">
        <f>"'CONFIGURAÇÃO'!F36"</f>
        <v/>
      </c>
      <c r="D5076" s="198" t="inlineStr">
        <is>
          <t>configuração</t>
        </is>
      </c>
    </row>
    <row r="5077">
      <c r="A5077" s="198" t="inlineStr">
        <is>
          <t>efeito.26.tipo_de_fonte</t>
        </is>
      </c>
      <c r="B5077" s="198">
        <f>IF(ISBLANK('CONFIGURAÇÃO'!$G$36),"",'CONFIGURAÇÃO'!$G$36&amp;"")</f>
        <v/>
      </c>
      <c r="C5077" s="198">
        <f>"'CONFIGURAÇÃO'!G36"</f>
        <v/>
      </c>
      <c r="D5077" s="198" t="inlineStr">
        <is>
          <t>configuração</t>
        </is>
      </c>
    </row>
    <row r="5078">
      <c r="A5078" s="198" t="inlineStr">
        <is>
          <t>efeito.26.fonte</t>
        </is>
      </c>
      <c r="B5078" s="198">
        <f>IF(ISBLANK('CONFIGURAÇÃO'!$H$36),"",'CONFIGURAÇÃO'!$H$36&amp;"")</f>
        <v/>
      </c>
      <c r="C5078" s="198">
        <f>"'CONFIGURAÇÃO'!H36"</f>
        <v/>
      </c>
      <c r="D5078" s="198" t="inlineStr">
        <is>
          <t>configuração</t>
        </is>
      </c>
    </row>
    <row r="5079">
      <c r="A5079" s="198" t="inlineStr">
        <is>
          <t>aviso.efeito.26</t>
        </is>
      </c>
      <c r="B5079" s="198">
        <f>DADOS_CONFIG!$M$27&amp;""</f>
        <v/>
      </c>
      <c r="C5079" s="198" t="inlineStr">
        <is>
          <t>DADOS_CONFIG!M27</t>
        </is>
      </c>
      <c r="D5079" s="198" t="inlineStr">
        <is>
          <t>aviso</t>
        </is>
      </c>
    </row>
    <row r="5080">
      <c r="A5080" s="198" t="inlineStr">
        <is>
          <t>efeito.27.ligado</t>
        </is>
      </c>
      <c r="B5080" s="198">
        <f>N('CONFIGURAÇÃO'!$C$37)&amp;""</f>
        <v/>
      </c>
      <c r="C5080" s="198">
        <f>"'CONFIGURAÇÃO'!C37"</f>
        <v/>
      </c>
      <c r="D5080" s="198" t="inlineStr">
        <is>
          <t>configuração</t>
        </is>
      </c>
    </row>
    <row r="5081">
      <c r="A5081" s="198" t="inlineStr">
        <is>
          <t>efeito.27.caixa</t>
        </is>
      </c>
      <c r="B5081" s="198">
        <f>IF(ISBLANK('CONFIGURAÇÃO'!$D$37),"",'CONFIGURAÇÃO'!$D$37&amp;"")</f>
        <v/>
      </c>
      <c r="C5081" s="198">
        <f>"'CONFIGURAÇÃO'!D37"</f>
        <v/>
      </c>
      <c r="D5081" s="198" t="inlineStr">
        <is>
          <t>configuração</t>
        </is>
      </c>
    </row>
    <row r="5082">
      <c r="A5082" s="198" t="inlineStr">
        <is>
          <t>efeito.27.como</t>
        </is>
      </c>
      <c r="B5082" s="198">
        <f>IF(ISBLANK('CONFIGURAÇÃO'!$E$37),"",'CONFIGURAÇÃO'!$E$37&amp;"")</f>
        <v/>
      </c>
      <c r="C5082" s="198">
        <f>"'CONFIGURAÇÃO'!E37"</f>
        <v/>
      </c>
      <c r="D5082" s="198" t="inlineStr">
        <is>
          <t>configuração</t>
        </is>
      </c>
    </row>
    <row r="5083">
      <c r="A5083" s="198" t="inlineStr">
        <is>
          <t>efeito.27.valor</t>
        </is>
      </c>
      <c r="B5083" s="198">
        <f>IF(ISBLANK('CONFIGURAÇÃO'!$F$37),"",'CONFIGURAÇÃO'!$F$37&amp;"")</f>
        <v/>
      </c>
      <c r="C5083" s="198">
        <f>"'CONFIGURAÇÃO'!F37"</f>
        <v/>
      </c>
      <c r="D5083" s="198" t="inlineStr">
        <is>
          <t>configuração</t>
        </is>
      </c>
    </row>
    <row r="5084">
      <c r="A5084" s="198" t="inlineStr">
        <is>
          <t>efeito.27.tipo_de_fonte</t>
        </is>
      </c>
      <c r="B5084" s="198">
        <f>IF(ISBLANK('CONFIGURAÇÃO'!$G$37),"",'CONFIGURAÇÃO'!$G$37&amp;"")</f>
        <v/>
      </c>
      <c r="C5084" s="198">
        <f>"'CONFIGURAÇÃO'!G37"</f>
        <v/>
      </c>
      <c r="D5084" s="198" t="inlineStr">
        <is>
          <t>configuração</t>
        </is>
      </c>
    </row>
    <row r="5085">
      <c r="A5085" s="198" t="inlineStr">
        <is>
          <t>efeito.27.fonte</t>
        </is>
      </c>
      <c r="B5085" s="198">
        <f>IF(ISBLANK('CONFIGURAÇÃO'!$H$37),"",'CONFIGURAÇÃO'!$H$37&amp;"")</f>
        <v/>
      </c>
      <c r="C5085" s="198">
        <f>"'CONFIGURAÇÃO'!H37"</f>
        <v/>
      </c>
      <c r="D5085" s="198" t="inlineStr">
        <is>
          <t>configuração</t>
        </is>
      </c>
    </row>
    <row r="5086">
      <c r="A5086" s="198" t="inlineStr">
        <is>
          <t>aviso.efeito.27</t>
        </is>
      </c>
      <c r="B5086" s="198">
        <f>DADOS_CONFIG!$M$28&amp;""</f>
        <v/>
      </c>
      <c r="C5086" s="198" t="inlineStr">
        <is>
          <t>DADOS_CONFIG!M28</t>
        </is>
      </c>
      <c r="D5086" s="198" t="inlineStr">
        <is>
          <t>aviso</t>
        </is>
      </c>
    </row>
    <row r="5087">
      <c r="A5087" s="198" t="inlineStr">
        <is>
          <t>efeito.28.ligado</t>
        </is>
      </c>
      <c r="B5087" s="198">
        <f>N('CONFIGURAÇÃO'!$C$38)&amp;""</f>
        <v/>
      </c>
      <c r="C5087" s="198">
        <f>"'CONFIGURAÇÃO'!C38"</f>
        <v/>
      </c>
      <c r="D5087" s="198" t="inlineStr">
        <is>
          <t>configuração</t>
        </is>
      </c>
    </row>
    <row r="5088">
      <c r="A5088" s="198" t="inlineStr">
        <is>
          <t>efeito.28.caixa</t>
        </is>
      </c>
      <c r="B5088" s="198">
        <f>IF(ISBLANK('CONFIGURAÇÃO'!$D$38),"",'CONFIGURAÇÃO'!$D$38&amp;"")</f>
        <v/>
      </c>
      <c r="C5088" s="198">
        <f>"'CONFIGURAÇÃO'!D38"</f>
        <v/>
      </c>
      <c r="D5088" s="198" t="inlineStr">
        <is>
          <t>configuração</t>
        </is>
      </c>
    </row>
    <row r="5089">
      <c r="A5089" s="198" t="inlineStr">
        <is>
          <t>efeito.28.como</t>
        </is>
      </c>
      <c r="B5089" s="198">
        <f>IF(ISBLANK('CONFIGURAÇÃO'!$E$38),"",'CONFIGURAÇÃO'!$E$38&amp;"")</f>
        <v/>
      </c>
      <c r="C5089" s="198">
        <f>"'CONFIGURAÇÃO'!E38"</f>
        <v/>
      </c>
      <c r="D5089" s="198" t="inlineStr">
        <is>
          <t>configuração</t>
        </is>
      </c>
    </row>
    <row r="5090">
      <c r="A5090" s="198" t="inlineStr">
        <is>
          <t>efeito.28.valor</t>
        </is>
      </c>
      <c r="B5090" s="198">
        <f>IF(ISBLANK('CONFIGURAÇÃO'!$F$38),"",'CONFIGURAÇÃO'!$F$38&amp;"")</f>
        <v/>
      </c>
      <c r="C5090" s="198">
        <f>"'CONFIGURAÇÃO'!F38"</f>
        <v/>
      </c>
      <c r="D5090" s="198" t="inlineStr">
        <is>
          <t>configuração</t>
        </is>
      </c>
    </row>
    <row r="5091">
      <c r="A5091" s="198" t="inlineStr">
        <is>
          <t>efeito.28.tipo_de_fonte</t>
        </is>
      </c>
      <c r="B5091" s="198">
        <f>IF(ISBLANK('CONFIGURAÇÃO'!$G$38),"",'CONFIGURAÇÃO'!$G$38&amp;"")</f>
        <v/>
      </c>
      <c r="C5091" s="198">
        <f>"'CONFIGURAÇÃO'!G38"</f>
        <v/>
      </c>
      <c r="D5091" s="198" t="inlineStr">
        <is>
          <t>configuração</t>
        </is>
      </c>
    </row>
    <row r="5092">
      <c r="A5092" s="198" t="inlineStr">
        <is>
          <t>efeito.28.fonte</t>
        </is>
      </c>
      <c r="B5092" s="198">
        <f>IF(ISBLANK('CONFIGURAÇÃO'!$H$38),"",'CONFIGURAÇÃO'!$H$38&amp;"")</f>
        <v/>
      </c>
      <c r="C5092" s="198">
        <f>"'CONFIGURAÇÃO'!H38"</f>
        <v/>
      </c>
      <c r="D5092" s="198" t="inlineStr">
        <is>
          <t>configuração</t>
        </is>
      </c>
    </row>
    <row r="5093">
      <c r="A5093" s="198" t="inlineStr">
        <is>
          <t>aviso.efeito.28</t>
        </is>
      </c>
      <c r="B5093" s="198">
        <f>DADOS_CONFIG!$M$29&amp;""</f>
        <v/>
      </c>
      <c r="C5093" s="198" t="inlineStr">
        <is>
          <t>DADOS_CONFIG!M29</t>
        </is>
      </c>
      <c r="D5093" s="198" t="inlineStr">
        <is>
          <t>aviso</t>
        </is>
      </c>
    </row>
    <row r="5094">
      <c r="A5094" s="198" t="inlineStr">
        <is>
          <t>efeito.29.ligado</t>
        </is>
      </c>
      <c r="B5094" s="198">
        <f>N('CONFIGURAÇÃO'!$C$39)&amp;""</f>
        <v/>
      </c>
      <c r="C5094" s="198">
        <f>"'CONFIGURAÇÃO'!C39"</f>
        <v/>
      </c>
      <c r="D5094" s="198" t="inlineStr">
        <is>
          <t>configuração</t>
        </is>
      </c>
    </row>
    <row r="5095">
      <c r="A5095" s="198" t="inlineStr">
        <is>
          <t>efeito.29.caixa</t>
        </is>
      </c>
      <c r="B5095" s="198">
        <f>IF(ISBLANK('CONFIGURAÇÃO'!$D$39),"",'CONFIGURAÇÃO'!$D$39&amp;"")</f>
        <v/>
      </c>
      <c r="C5095" s="198">
        <f>"'CONFIGURAÇÃO'!D39"</f>
        <v/>
      </c>
      <c r="D5095" s="198" t="inlineStr">
        <is>
          <t>configuração</t>
        </is>
      </c>
    </row>
    <row r="5096">
      <c r="A5096" s="198" t="inlineStr">
        <is>
          <t>efeito.29.como</t>
        </is>
      </c>
      <c r="B5096" s="198">
        <f>IF(ISBLANK('CONFIGURAÇÃO'!$E$39),"",'CONFIGURAÇÃO'!$E$39&amp;"")</f>
        <v/>
      </c>
      <c r="C5096" s="198">
        <f>"'CONFIGURAÇÃO'!E39"</f>
        <v/>
      </c>
      <c r="D5096" s="198" t="inlineStr">
        <is>
          <t>configuração</t>
        </is>
      </c>
    </row>
    <row r="5097">
      <c r="A5097" s="198" t="inlineStr">
        <is>
          <t>efeito.29.valor</t>
        </is>
      </c>
      <c r="B5097" s="198">
        <f>IF(ISBLANK('CONFIGURAÇÃO'!$F$39),"",'CONFIGURAÇÃO'!$F$39&amp;"")</f>
        <v/>
      </c>
      <c r="C5097" s="198">
        <f>"'CONFIGURAÇÃO'!F39"</f>
        <v/>
      </c>
      <c r="D5097" s="198" t="inlineStr">
        <is>
          <t>configuração</t>
        </is>
      </c>
    </row>
    <row r="5098">
      <c r="A5098" s="198" t="inlineStr">
        <is>
          <t>efeito.29.tipo_de_fonte</t>
        </is>
      </c>
      <c r="B5098" s="198">
        <f>IF(ISBLANK('CONFIGURAÇÃO'!$G$39),"",'CONFIGURAÇÃO'!$G$39&amp;"")</f>
        <v/>
      </c>
      <c r="C5098" s="198">
        <f>"'CONFIGURAÇÃO'!G39"</f>
        <v/>
      </c>
      <c r="D5098" s="198" t="inlineStr">
        <is>
          <t>configuração</t>
        </is>
      </c>
    </row>
    <row r="5099">
      <c r="A5099" s="198" t="inlineStr">
        <is>
          <t>efeito.29.fonte</t>
        </is>
      </c>
      <c r="B5099" s="198">
        <f>IF(ISBLANK('CONFIGURAÇÃO'!$H$39),"",'CONFIGURAÇÃO'!$H$39&amp;"")</f>
        <v/>
      </c>
      <c r="C5099" s="198">
        <f>"'CONFIGURAÇÃO'!H39"</f>
        <v/>
      </c>
      <c r="D5099" s="198" t="inlineStr">
        <is>
          <t>configuração</t>
        </is>
      </c>
    </row>
    <row r="5100">
      <c r="A5100" s="198" t="inlineStr">
        <is>
          <t>aviso.efeito.29</t>
        </is>
      </c>
      <c r="B5100" s="198">
        <f>DADOS_CONFIG!$M$30&amp;""</f>
        <v/>
      </c>
      <c r="C5100" s="198" t="inlineStr">
        <is>
          <t>DADOS_CONFIG!M30</t>
        </is>
      </c>
      <c r="D5100" s="198" t="inlineStr">
        <is>
          <t>aviso</t>
        </is>
      </c>
    </row>
    <row r="5101">
      <c r="A5101" s="198" t="inlineStr">
        <is>
          <t>efeito.30.ligado</t>
        </is>
      </c>
      <c r="B5101" s="198">
        <f>N('CONFIGURAÇÃO'!$C$40)&amp;""</f>
        <v/>
      </c>
      <c r="C5101" s="198">
        <f>"'CONFIGURAÇÃO'!C40"</f>
        <v/>
      </c>
      <c r="D5101" s="198" t="inlineStr">
        <is>
          <t>configuração</t>
        </is>
      </c>
    </row>
    <row r="5102">
      <c r="A5102" s="198" t="inlineStr">
        <is>
          <t>efeito.30.caixa</t>
        </is>
      </c>
      <c r="B5102" s="198">
        <f>IF(ISBLANK('CONFIGURAÇÃO'!$D$40),"",'CONFIGURAÇÃO'!$D$40&amp;"")</f>
        <v/>
      </c>
      <c r="C5102" s="198">
        <f>"'CONFIGURAÇÃO'!D40"</f>
        <v/>
      </c>
      <c r="D5102" s="198" t="inlineStr">
        <is>
          <t>configuração</t>
        </is>
      </c>
    </row>
    <row r="5103">
      <c r="A5103" s="198" t="inlineStr">
        <is>
          <t>efeito.30.como</t>
        </is>
      </c>
      <c r="B5103" s="198">
        <f>IF(ISBLANK('CONFIGURAÇÃO'!$E$40),"",'CONFIGURAÇÃO'!$E$40&amp;"")</f>
        <v/>
      </c>
      <c r="C5103" s="198">
        <f>"'CONFIGURAÇÃO'!E40"</f>
        <v/>
      </c>
      <c r="D5103" s="198" t="inlineStr">
        <is>
          <t>configuração</t>
        </is>
      </c>
    </row>
    <row r="5104">
      <c r="A5104" s="198" t="inlineStr">
        <is>
          <t>efeito.30.valor</t>
        </is>
      </c>
      <c r="B5104" s="198">
        <f>IF(ISBLANK('CONFIGURAÇÃO'!$F$40),"",'CONFIGURAÇÃO'!$F$40&amp;"")</f>
        <v/>
      </c>
      <c r="C5104" s="198">
        <f>"'CONFIGURAÇÃO'!F40"</f>
        <v/>
      </c>
      <c r="D5104" s="198" t="inlineStr">
        <is>
          <t>configuração</t>
        </is>
      </c>
    </row>
    <row r="5105">
      <c r="A5105" s="198" t="inlineStr">
        <is>
          <t>efeito.30.tipo_de_fonte</t>
        </is>
      </c>
      <c r="B5105" s="198">
        <f>IF(ISBLANK('CONFIGURAÇÃO'!$G$40),"",'CONFIGURAÇÃO'!$G$40&amp;"")</f>
        <v/>
      </c>
      <c r="C5105" s="198">
        <f>"'CONFIGURAÇÃO'!G40"</f>
        <v/>
      </c>
      <c r="D5105" s="198" t="inlineStr">
        <is>
          <t>configuração</t>
        </is>
      </c>
    </row>
    <row r="5106">
      <c r="A5106" s="198" t="inlineStr">
        <is>
          <t>efeito.30.fonte</t>
        </is>
      </c>
      <c r="B5106" s="198">
        <f>IF(ISBLANK('CONFIGURAÇÃO'!$H$40),"",'CONFIGURAÇÃO'!$H$40&amp;"")</f>
        <v/>
      </c>
      <c r="C5106" s="198">
        <f>"'CONFIGURAÇÃO'!H40"</f>
        <v/>
      </c>
      <c r="D5106" s="198" t="inlineStr">
        <is>
          <t>configuração</t>
        </is>
      </c>
    </row>
    <row r="5107">
      <c r="A5107" s="198" t="inlineStr">
        <is>
          <t>aviso.efeito.30</t>
        </is>
      </c>
      <c r="B5107" s="198">
        <f>DADOS_CONFIG!$M$31&amp;""</f>
        <v/>
      </c>
      <c r="C5107" s="198" t="inlineStr">
        <is>
          <t>DADOS_CONFIG!M31</t>
        </is>
      </c>
      <c r="D5107" s="198" t="inlineStr">
        <is>
          <t>aviso</t>
        </is>
      </c>
    </row>
    <row r="5108">
      <c r="A5108" s="198" t="inlineStr">
        <is>
          <t>aviso.efeito_caixa.vida_maxima</t>
        </is>
      </c>
      <c r="B5108" s="198">
        <f>DADOS_CONFIG!$E$2&amp;""</f>
        <v/>
      </c>
      <c r="C5108" s="198" t="inlineStr">
        <is>
          <t>DADOS_CONFIG!E2</t>
        </is>
      </c>
      <c r="D5108" s="198" t="inlineStr">
        <is>
          <t>aviso</t>
        </is>
      </c>
    </row>
    <row r="5109">
      <c r="A5109" s="198" t="inlineStr">
        <is>
          <t>aviso.efeito_caixa.pe_maximo</t>
        </is>
      </c>
      <c r="B5109" s="198">
        <f>DADOS_CONFIG!$E$3&amp;""</f>
        <v/>
      </c>
      <c r="C5109" s="198" t="inlineStr">
        <is>
          <t>DADOS_CONFIG!E3</t>
        </is>
      </c>
      <c r="D5109" s="198" t="inlineStr">
        <is>
          <t>aviso</t>
        </is>
      </c>
    </row>
    <row r="5110">
      <c r="A5110" s="198" t="inlineStr">
        <is>
          <t>aviso.efeito_caixa.integridade_maxima</t>
        </is>
      </c>
      <c r="B5110" s="198">
        <f>DADOS_CONFIG!$E$4&amp;""</f>
        <v/>
      </c>
      <c r="C5110" s="198" t="inlineStr">
        <is>
          <t>DADOS_CONFIG!E4</t>
        </is>
      </c>
      <c r="D5110" s="198" t="inlineStr">
        <is>
          <t>aviso</t>
        </is>
      </c>
    </row>
    <row r="5111">
      <c r="A5111" s="198" t="inlineStr">
        <is>
          <t>aviso.efeito_caixa.defesa</t>
        </is>
      </c>
      <c r="B5111" s="198">
        <f>DADOS_CONFIG!$E$5&amp;""</f>
        <v/>
      </c>
      <c r="C5111" s="198" t="inlineStr">
        <is>
          <t>DADOS_CONFIG!E5</t>
        </is>
      </c>
      <c r="D5111" s="198" t="inlineStr">
        <is>
          <t>aviso</t>
        </is>
      </c>
    </row>
    <row r="5112">
      <c r="A5112" s="198" t="inlineStr">
        <is>
          <t>aviso.efeito_caixa.protecao</t>
        </is>
      </c>
      <c r="B5112" s="198">
        <f>DADOS_CONFIG!$E$6&amp;""</f>
        <v/>
      </c>
      <c r="C5112" s="198" t="inlineStr">
        <is>
          <t>DADOS_CONFIG!E6</t>
        </is>
      </c>
      <c r="D5112" s="198" t="inlineStr">
        <is>
          <t>aviso</t>
        </is>
      </c>
    </row>
    <row r="5113">
      <c r="A5113" s="198" t="inlineStr">
        <is>
          <t>aviso.efeito_caixa.iniciativa</t>
        </is>
      </c>
      <c r="B5113" s="198">
        <f>DADOS_CONFIG!$E$7&amp;""</f>
        <v/>
      </c>
      <c r="C5113" s="198" t="inlineStr">
        <is>
          <t>DADOS_CONFIG!E7</t>
        </is>
      </c>
      <c r="D5113" s="198" t="inlineStr">
        <is>
          <t>aviso</t>
        </is>
      </c>
    </row>
    <row r="5114">
      <c r="A5114" s="198" t="inlineStr">
        <is>
          <t>aviso.efeito_caixa.cd_de_feitico</t>
        </is>
      </c>
      <c r="B5114" s="198">
        <f>DADOS_CONFIG!$E$8&amp;""</f>
        <v/>
      </c>
      <c r="C5114" s="198" t="inlineStr">
        <is>
          <t>DADOS_CONFIG!E8</t>
        </is>
      </c>
      <c r="D5114" s="198" t="inlineStr">
        <is>
          <t>aviso</t>
        </is>
      </c>
    </row>
    <row r="5115">
      <c r="A5115" s="198" t="inlineStr">
        <is>
          <t>aviso.efeito_caixa.conjuracao</t>
        </is>
      </c>
      <c r="B5115" s="198">
        <f>DADOS_CONFIG!$E$9&amp;""</f>
        <v/>
      </c>
      <c r="C5115" s="198" t="inlineStr">
        <is>
          <t>DADOS_CONFIG!E9</t>
        </is>
      </c>
      <c r="D5115" s="198" t="inlineStr">
        <is>
          <t>aviso</t>
        </is>
      </c>
    </row>
    <row r="5116">
      <c r="A5116" s="198" t="inlineStr">
        <is>
          <t>aviso.efeito_caixa.corpo_a_corpo</t>
        </is>
      </c>
      <c r="B5116" s="198">
        <f>DADOS_CONFIG!$E$10&amp;""</f>
        <v/>
      </c>
      <c r="C5116" s="198" t="inlineStr">
        <is>
          <t>DADOS_CONFIG!E10</t>
        </is>
      </c>
      <c r="D5116" s="198" t="inlineStr">
        <is>
          <t>aviso</t>
        </is>
      </c>
    </row>
    <row r="5117">
      <c r="A5117" s="198" t="inlineStr">
        <is>
          <t>aviso.efeito_caixa.a_distancia</t>
        </is>
      </c>
      <c r="B5117" s="198">
        <f>DADOS_CONFIG!$E$11&amp;""</f>
        <v/>
      </c>
      <c r="C5117" s="198" t="inlineStr">
        <is>
          <t>DADOS_CONFIG!E11</t>
        </is>
      </c>
      <c r="D5117" s="198" t="inlineStr">
        <is>
          <t>aviso</t>
        </is>
      </c>
    </row>
    <row r="5118">
      <c r="A5118" s="198" t="inlineStr">
        <is>
          <t>aviso.efeito_caixa.deslocamento</t>
        </is>
      </c>
      <c r="B5118" s="198">
        <f>DADOS_CONFIG!$E$12&amp;""</f>
        <v/>
      </c>
      <c r="C5118" s="198" t="inlineStr">
        <is>
          <t>DADOS_CONFIG!E12</t>
        </is>
      </c>
      <c r="D5118" s="198" t="inlineStr">
        <is>
          <t>aviso</t>
        </is>
      </c>
    </row>
    <row r="5119">
      <c r="A5119" s="198" t="inlineStr">
        <is>
          <t>aviso.efeito_caixa.limite_de_carga</t>
        </is>
      </c>
      <c r="B5119" s="198">
        <f>DADOS_CONFIG!$E$13&amp;""</f>
        <v/>
      </c>
      <c r="C5119" s="198" t="inlineStr">
        <is>
          <t>DADOS_CONFIG!E13</t>
        </is>
      </c>
      <c r="D5119" s="198" t="inlineStr">
        <is>
          <t>aviso</t>
        </is>
      </c>
    </row>
    <row r="5120">
      <c r="A5120" s="198" t="inlineStr">
        <is>
          <t>aviso.efeito_caixa.pericia.atletismo</t>
        </is>
      </c>
      <c r="B5120" s="198">
        <f>DADOS_CONFIG!$E$14&amp;""</f>
        <v/>
      </c>
      <c r="C5120" s="198" t="inlineStr">
        <is>
          <t>DADOS_CONFIG!E14</t>
        </is>
      </c>
      <c r="D5120" s="198" t="inlineStr">
        <is>
          <t>aviso</t>
        </is>
      </c>
    </row>
    <row r="5121">
      <c r="A5121" s="198" t="inlineStr">
        <is>
          <t>aviso.efeito_caixa.pericia.acrobacia</t>
        </is>
      </c>
      <c r="B5121" s="198">
        <f>DADOS_CONFIG!$E$15&amp;""</f>
        <v/>
      </c>
      <c r="C5121" s="198" t="inlineStr">
        <is>
          <t>DADOS_CONFIG!E15</t>
        </is>
      </c>
      <c r="D5121" s="198" t="inlineStr">
        <is>
          <t>aviso</t>
        </is>
      </c>
    </row>
    <row r="5122">
      <c r="A5122" s="198" t="inlineStr">
        <is>
          <t>aviso.efeito_caixa.pericia.furtividade</t>
        </is>
      </c>
      <c r="B5122" s="198">
        <f>DADOS_CONFIG!$E$16&amp;""</f>
        <v/>
      </c>
      <c r="C5122" s="198" t="inlineStr">
        <is>
          <t>DADOS_CONFIG!E16</t>
        </is>
      </c>
      <c r="D5122" s="198" t="inlineStr">
        <is>
          <t>aviso</t>
        </is>
      </c>
    </row>
    <row r="5123">
      <c r="A5123" s="198" t="inlineStr">
        <is>
          <t>aviso.efeito_caixa.pericia.pontaria</t>
        </is>
      </c>
      <c r="B5123" s="198">
        <f>DADOS_CONFIG!$E$17&amp;""</f>
        <v/>
      </c>
      <c r="C5123" s="198" t="inlineStr">
        <is>
          <t>DADOS_CONFIG!E17</t>
        </is>
      </c>
      <c r="D5123" s="198" t="inlineStr">
        <is>
          <t>aviso</t>
        </is>
      </c>
    </row>
    <row r="5124">
      <c r="A5124" s="198" t="inlineStr">
        <is>
          <t>aviso.efeito_caixa.pericia.prestidigitacao</t>
        </is>
      </c>
      <c r="B5124" s="198">
        <f>DADOS_CONFIG!$E$18&amp;""</f>
        <v/>
      </c>
      <c r="C5124" s="198" t="inlineStr">
        <is>
          <t>DADOS_CONFIG!E18</t>
        </is>
      </c>
      <c r="D5124" s="198" t="inlineStr">
        <is>
          <t>aviso</t>
        </is>
      </c>
    </row>
    <row r="5125">
      <c r="A5125" s="198" t="inlineStr">
        <is>
          <t>aviso.efeito_caixa.pericia.investigacao</t>
        </is>
      </c>
      <c r="B5125" s="198">
        <f>DADOS_CONFIG!$E$19&amp;""</f>
        <v/>
      </c>
      <c r="C5125" s="198" t="inlineStr">
        <is>
          <t>DADOS_CONFIG!E19</t>
        </is>
      </c>
      <c r="D5125" s="198" t="inlineStr">
        <is>
          <t>aviso</t>
        </is>
      </c>
    </row>
    <row r="5126">
      <c r="A5126" s="198" t="inlineStr">
        <is>
          <t>aviso.efeito_caixa.pericia.intuicao</t>
        </is>
      </c>
      <c r="B5126" s="198">
        <f>DADOS_CONFIG!$E$20&amp;""</f>
        <v/>
      </c>
      <c r="C5126" s="198" t="inlineStr">
        <is>
          <t>DADOS_CONFIG!E20</t>
        </is>
      </c>
      <c r="D5126" s="198" t="inlineStr">
        <is>
          <t>aviso</t>
        </is>
      </c>
    </row>
    <row r="5127">
      <c r="A5127" s="198" t="inlineStr">
        <is>
          <t>aviso.efeito_caixa.pericia.ocultismo</t>
        </is>
      </c>
      <c r="B5127" s="198">
        <f>DADOS_CONFIG!$E$21&amp;""</f>
        <v/>
      </c>
      <c r="C5127" s="198" t="inlineStr">
        <is>
          <t>DADOS_CONFIG!E21</t>
        </is>
      </c>
      <c r="D5127" s="198" t="inlineStr">
        <is>
          <t>aviso</t>
        </is>
      </c>
    </row>
    <row r="5128">
      <c r="A5128" s="198" t="inlineStr">
        <is>
          <t>aviso.efeito_caixa.pericia.religiao</t>
        </is>
      </c>
      <c r="B5128" s="198">
        <f>DADOS_CONFIG!$E$22&amp;""</f>
        <v/>
      </c>
      <c r="C5128" s="198" t="inlineStr">
        <is>
          <t>DADOS_CONFIG!E22</t>
        </is>
      </c>
      <c r="D5128" s="198" t="inlineStr">
        <is>
          <t>aviso</t>
        </is>
      </c>
    </row>
    <row r="5129">
      <c r="A5129" s="198" t="inlineStr">
        <is>
          <t>aviso.efeito_caixa.pericia.historia</t>
        </is>
      </c>
      <c r="B5129" s="198">
        <f>DADOS_CONFIG!$E$23&amp;""</f>
        <v/>
      </c>
      <c r="C5129" s="198" t="inlineStr">
        <is>
          <t>DADOS_CONFIG!E23</t>
        </is>
      </c>
      <c r="D5129" s="198" t="inlineStr">
        <is>
          <t>aviso</t>
        </is>
      </c>
    </row>
    <row r="5130">
      <c r="A5130" s="198" t="inlineStr">
        <is>
          <t>aviso.efeito_caixa.pericia.hierarquia</t>
        </is>
      </c>
      <c r="B5130" s="198">
        <f>DADOS_CONFIG!$E$24&amp;""</f>
        <v/>
      </c>
      <c r="C5130" s="198" t="inlineStr">
        <is>
          <t>DADOS_CONFIG!E24</t>
        </is>
      </c>
      <c r="D5130" s="198" t="inlineStr">
        <is>
          <t>aviso</t>
        </is>
      </c>
    </row>
    <row r="5131">
      <c r="A5131" s="198" t="inlineStr">
        <is>
          <t>aviso.efeito_caixa.pericia.medicina</t>
        </is>
      </c>
      <c r="B5131" s="198">
        <f>DADOS_CONFIG!$E$25&amp;""</f>
        <v/>
      </c>
      <c r="C5131" s="198" t="inlineStr">
        <is>
          <t>DADOS_CONFIG!E25</t>
        </is>
      </c>
      <c r="D5131" s="198" t="inlineStr">
        <is>
          <t>aviso</t>
        </is>
      </c>
    </row>
    <row r="5132">
      <c r="A5132" s="198" t="inlineStr">
        <is>
          <t>aviso.efeito_caixa.pericia.sobrevivencia</t>
        </is>
      </c>
      <c r="B5132" s="198">
        <f>DADOS_CONFIG!$E$26&amp;""</f>
        <v/>
      </c>
      <c r="C5132" s="198" t="inlineStr">
        <is>
          <t>DADOS_CONFIG!E26</t>
        </is>
      </c>
      <c r="D5132" s="198" t="inlineStr">
        <is>
          <t>aviso</t>
        </is>
      </c>
    </row>
    <row r="5133">
      <c r="A5133" s="198" t="inlineStr">
        <is>
          <t>aviso.efeito_caixa.pericia.natureza</t>
        </is>
      </c>
      <c r="B5133" s="198">
        <f>DADOS_CONFIG!$E$27&amp;""</f>
        <v/>
      </c>
      <c r="C5133" s="198" t="inlineStr">
        <is>
          <t>DADOS_CONFIG!E27</t>
        </is>
      </c>
      <c r="D5133" s="198" t="inlineStr">
        <is>
          <t>aviso</t>
        </is>
      </c>
    </row>
    <row r="5134">
      <c r="A5134" s="198" t="inlineStr">
        <is>
          <t>aviso.efeito_caixa.pericia.lidar_com_animais</t>
        </is>
      </c>
      <c r="B5134" s="198">
        <f>DADOS_CONFIG!$E$28&amp;""</f>
        <v/>
      </c>
      <c r="C5134" s="198" t="inlineStr">
        <is>
          <t>DADOS_CONFIG!E28</t>
        </is>
      </c>
      <c r="D5134" s="198" t="inlineStr">
        <is>
          <t>aviso</t>
        </is>
      </c>
    </row>
    <row r="5135">
      <c r="A5135" s="198" t="inlineStr">
        <is>
          <t>aviso.efeito_caixa.pericia.tecnologia</t>
        </is>
      </c>
      <c r="B5135" s="198">
        <f>DADOS_CONFIG!$E$29&amp;""</f>
        <v/>
      </c>
      <c r="C5135" s="198" t="inlineStr">
        <is>
          <t>DADOS_CONFIG!E29</t>
        </is>
      </c>
      <c r="D5135" s="198" t="inlineStr">
        <is>
          <t>aviso</t>
        </is>
      </c>
    </row>
    <row r="5136">
      <c r="A5136" s="198" t="inlineStr">
        <is>
          <t>aviso.efeito_caixa.pericia.sentir_energia</t>
        </is>
      </c>
      <c r="B5136" s="198">
        <f>DADOS_CONFIG!$E$30&amp;""</f>
        <v/>
      </c>
      <c r="C5136" s="198" t="inlineStr">
        <is>
          <t>DADOS_CONFIG!E30</t>
        </is>
      </c>
      <c r="D5136" s="198" t="inlineStr">
        <is>
          <t>aviso</t>
        </is>
      </c>
    </row>
    <row r="5137">
      <c r="A5137" s="198" t="inlineStr">
        <is>
          <t>aviso.efeito_caixa.pericia.percepcao</t>
        </is>
      </c>
      <c r="B5137" s="198">
        <f>DADOS_CONFIG!$E$31&amp;""</f>
        <v/>
      </c>
      <c r="C5137" s="198" t="inlineStr">
        <is>
          <t>DADOS_CONFIG!E31</t>
        </is>
      </c>
      <c r="D5137" s="198" t="inlineStr">
        <is>
          <t>aviso</t>
        </is>
      </c>
    </row>
    <row r="5138">
      <c r="A5138" s="198" t="inlineStr">
        <is>
          <t>aviso.efeito_caixa.pericia.persuasao</t>
        </is>
      </c>
      <c r="B5138" s="198">
        <f>DADOS_CONFIG!$E$32&amp;""</f>
        <v/>
      </c>
      <c r="C5138" s="198" t="inlineStr">
        <is>
          <t>DADOS_CONFIG!E32</t>
        </is>
      </c>
      <c r="D5138" s="198" t="inlineStr">
        <is>
          <t>aviso</t>
        </is>
      </c>
    </row>
    <row r="5139">
      <c r="A5139" s="198" t="inlineStr">
        <is>
          <t>aviso.efeito_caixa.pericia.enganacao</t>
        </is>
      </c>
      <c r="B5139" s="198">
        <f>DADOS_CONFIG!$E$33&amp;""</f>
        <v/>
      </c>
      <c r="C5139" s="198" t="inlineStr">
        <is>
          <t>DADOS_CONFIG!E33</t>
        </is>
      </c>
      <c r="D5139" s="198" t="inlineStr">
        <is>
          <t>aviso</t>
        </is>
      </c>
    </row>
    <row r="5140">
      <c r="A5140" s="198" t="inlineStr">
        <is>
          <t>aviso.efeito_caixa.pericia.intimidacao</t>
        </is>
      </c>
      <c r="B5140" s="198">
        <f>DADOS_CONFIG!$E$34&amp;""</f>
        <v/>
      </c>
      <c r="C5140" s="198" t="inlineStr">
        <is>
          <t>DADOS_CONFIG!E34</t>
        </is>
      </c>
      <c r="D5140" s="198" t="inlineStr">
        <is>
          <t>aviso</t>
        </is>
      </c>
    </row>
    <row r="5141">
      <c r="A5141" s="198" t="inlineStr">
        <is>
          <t>aviso.efeito_caixa.pericia.atuacao</t>
        </is>
      </c>
      <c r="B5141" s="198">
        <f>DADOS_CONFIG!$E$35&amp;""</f>
        <v/>
      </c>
      <c r="C5141" s="198" t="inlineStr">
        <is>
          <t>DADOS_CONFIG!E35</t>
        </is>
      </c>
      <c r="D5141" s="198" t="inlineStr">
        <is>
          <t>aviso</t>
        </is>
      </c>
    </row>
    <row r="5142">
      <c r="A5142" s="198" t="inlineStr">
        <is>
          <t>aviso.efeito_caixa.pericia.provocar</t>
        </is>
      </c>
      <c r="B5142" s="198">
        <f>DADOS_CONFIG!$E$36&amp;""</f>
        <v/>
      </c>
      <c r="C5142" s="198" t="inlineStr">
        <is>
          <t>DADOS_CONFIG!E36</t>
        </is>
      </c>
      <c r="D5142" s="198" t="inlineStr">
        <is>
          <t>aviso</t>
        </is>
      </c>
    </row>
    <row r="5143">
      <c r="A5143" s="198" t="inlineStr">
        <is>
          <t>aviso.efeito_caixa.oficio.conducao</t>
        </is>
      </c>
      <c r="B5143" s="198">
        <f>DADOS_CONFIG!$E$37&amp;""</f>
        <v/>
      </c>
      <c r="C5143" s="198" t="inlineStr">
        <is>
          <t>DADOS_CONFIG!E37</t>
        </is>
      </c>
      <c r="D5143" s="198" t="inlineStr">
        <is>
          <t>aviso</t>
        </is>
      </c>
    </row>
    <row r="5144">
      <c r="A5144" s="198" t="inlineStr">
        <is>
          <t>aviso.efeito_caixa.oficio.arrombamento</t>
        </is>
      </c>
      <c r="B5144" s="198">
        <f>DADOS_CONFIG!$E$38&amp;""</f>
        <v/>
      </c>
      <c r="C5144" s="198" t="inlineStr">
        <is>
          <t>DADOS_CONFIG!E38</t>
        </is>
      </c>
      <c r="D5144" s="198" t="inlineStr">
        <is>
          <t>aviso</t>
        </is>
      </c>
    </row>
    <row r="5145">
      <c r="A5145" s="198" t="inlineStr">
        <is>
          <t>aviso.efeito_caixa.oficio.herbalismo</t>
        </is>
      </c>
      <c r="B5145" s="198">
        <f>DADOS_CONFIG!$E$39&amp;""</f>
        <v/>
      </c>
      <c r="C5145" s="198" t="inlineStr">
        <is>
          <t>DADOS_CONFIG!E39</t>
        </is>
      </c>
      <c r="D5145" s="198" t="inlineStr">
        <is>
          <t>aviso</t>
        </is>
      </c>
    </row>
    <row r="5146">
      <c r="A5146" s="198" t="inlineStr">
        <is>
          <t>aviso.efeito_caixa.oficio.forja</t>
        </is>
      </c>
      <c r="B5146" s="198">
        <f>DADOS_CONFIG!$E$40&amp;""</f>
        <v/>
      </c>
      <c r="C5146" s="198" t="inlineStr">
        <is>
          <t>DADOS_CONFIG!E40</t>
        </is>
      </c>
      <c r="D5146" s="198" t="inlineStr">
        <is>
          <t>aviso</t>
        </is>
      </c>
    </row>
    <row r="5147">
      <c r="A5147" s="198" t="inlineStr">
        <is>
          <t>aviso.efeito_caixa.oficio.caligrafia</t>
        </is>
      </c>
      <c r="B5147" s="198">
        <f>DADOS_CONFIG!$E$41&amp;""</f>
        <v/>
      </c>
      <c r="C5147" s="198" t="inlineStr">
        <is>
          <t>DADOS_CONFIG!E41</t>
        </is>
      </c>
      <c r="D5147" s="198" t="inlineStr">
        <is>
          <t>aviso</t>
        </is>
      </c>
    </row>
    <row r="5148">
      <c r="A5148" s="198" t="inlineStr">
        <is>
          <t>aviso.efeito_caixa.oficio.burocracia</t>
        </is>
      </c>
      <c r="B5148" s="198">
        <f>DADOS_CONFIG!$E$42&amp;""</f>
        <v/>
      </c>
      <c r="C5148" s="198" t="inlineStr">
        <is>
          <t>DADOS_CONFIG!E42</t>
        </is>
      </c>
      <c r="D5148" s="198" t="inlineStr">
        <is>
          <t>aviso</t>
        </is>
      </c>
    </row>
    <row r="5149">
      <c r="A5149" s="198" t="inlineStr">
        <is>
          <t>aviso.efeito_caixa.oficio.entalhador</t>
        </is>
      </c>
      <c r="B5149" s="198">
        <f>DADOS_CONFIG!$E$43&amp;""</f>
        <v/>
      </c>
      <c r="C5149" s="198" t="inlineStr">
        <is>
          <t>DADOS_CONFIG!E43</t>
        </is>
      </c>
      <c r="D5149" s="198" t="inlineStr">
        <is>
          <t>aviso</t>
        </is>
      </c>
    </row>
    <row r="5150">
      <c r="A5150" s="198" t="inlineStr">
        <is>
          <t>aviso.efeito_caixa.oficio.alfaiate</t>
        </is>
      </c>
      <c r="B5150" s="198">
        <f>DADOS_CONFIG!$E$44&amp;""</f>
        <v/>
      </c>
      <c r="C5150" s="198" t="inlineStr">
        <is>
          <t>DADOS_CONFIG!E44</t>
        </is>
      </c>
      <c r="D5150" s="198" t="inlineStr">
        <is>
          <t>aviso</t>
        </is>
      </c>
    </row>
    <row r="5151">
      <c r="A5151" s="198" t="inlineStr">
        <is>
          <t>aviso.efeito_caixa.oficio.culinaria</t>
        </is>
      </c>
      <c r="B5151" s="198">
        <f>DADOS_CONFIG!$E$45&amp;""</f>
        <v/>
      </c>
      <c r="C5151" s="198" t="inlineStr">
        <is>
          <t>DADOS_CONFIG!E45</t>
        </is>
      </c>
      <c r="D5151" s="198" t="inlineStr">
        <is>
          <t>aviso</t>
        </is>
      </c>
    </row>
    <row r="5152">
      <c r="A5152" s="198" t="inlineStr">
        <is>
          <t>aviso.efeito_caixa.oficio.instrumento</t>
        </is>
      </c>
      <c r="B5152" s="198">
        <f>DADOS_CONFIG!$E$46&amp;""</f>
        <v/>
      </c>
      <c r="C5152" s="198" t="inlineStr">
        <is>
          <t>DADOS_CONFIG!E46</t>
        </is>
      </c>
      <c r="D5152" s="198" t="inlineStr">
        <is>
          <t>aviso</t>
        </is>
      </c>
    </row>
    <row r="5153">
      <c r="A5153" s="198" t="inlineStr">
        <is>
          <t>aviso.efeito_caixa.oficio.jogatina</t>
        </is>
      </c>
      <c r="B5153" s="198">
        <f>DADOS_CONFIG!$E$47&amp;""</f>
        <v/>
      </c>
      <c r="C5153" s="198" t="inlineStr">
        <is>
          <t>DADOS_CONFIG!E47</t>
        </is>
      </c>
      <c r="D5153" s="198" t="inlineStr">
        <is>
          <t>aviso</t>
        </is>
      </c>
    </row>
    <row r="5154">
      <c r="A5154" s="198" t="inlineStr">
        <is>
          <t>aviso.efeito_caixa.tr.fisico</t>
        </is>
      </c>
      <c r="B5154" s="198">
        <f>DADOS_CONFIG!$E$48&amp;""</f>
        <v/>
      </c>
      <c r="C5154" s="198" t="inlineStr">
        <is>
          <t>DADOS_CONFIG!E48</t>
        </is>
      </c>
      <c r="D5154" s="198" t="inlineStr">
        <is>
          <t>aviso</t>
        </is>
      </c>
    </row>
    <row r="5155">
      <c r="A5155" s="198" t="inlineStr">
        <is>
          <t>aviso.efeito_caixa.tr.vigor</t>
        </is>
      </c>
      <c r="B5155" s="198">
        <f>DADOS_CONFIG!$E$49&amp;""</f>
        <v/>
      </c>
      <c r="C5155" s="198" t="inlineStr">
        <is>
          <t>DADOS_CONFIG!E49</t>
        </is>
      </c>
      <c r="D5155" s="198" t="inlineStr">
        <is>
          <t>aviso</t>
        </is>
      </c>
    </row>
    <row r="5156">
      <c r="A5156" s="198" t="inlineStr">
        <is>
          <t>aviso.efeito_caixa.tr.intelecto</t>
        </is>
      </c>
      <c r="B5156" s="198">
        <f>DADOS_CONFIG!$E$50&amp;""</f>
        <v/>
      </c>
      <c r="C5156" s="198" t="inlineStr">
        <is>
          <t>DADOS_CONFIG!E50</t>
        </is>
      </c>
      <c r="D5156" s="198" t="inlineStr">
        <is>
          <t>aviso</t>
        </is>
      </c>
    </row>
    <row r="5157">
      <c r="A5157" s="198" t="inlineStr">
        <is>
          <t>aviso.efeito_caixa.tr.espirito</t>
        </is>
      </c>
      <c r="B5157" s="198">
        <f>DADOS_CONFIG!$E$51&amp;""</f>
        <v/>
      </c>
      <c r="C5157" s="198" t="inlineStr">
        <is>
          <t>DADOS_CONFIG!E51</t>
        </is>
      </c>
      <c r="D5157" s="198" t="inlineStr">
        <is>
          <t>aviso</t>
        </is>
      </c>
    </row>
    <row r="5158">
      <c r="A5158" s="198" t="inlineStr">
        <is>
          <t>regra.nivel_inicial</t>
        </is>
      </c>
      <c r="B5158" s="198">
        <f>IF(ISBLANK(DADOS_CONFIG!$S$2),"",DADOS_CONFIG!$S$2&amp;"")</f>
        <v/>
      </c>
      <c r="C5158" s="198" t="inlineStr">
        <is>
          <t>DADOS_CONFIG!S2</t>
        </is>
      </c>
      <c r="D5158" s="198" t="inlineStr">
        <is>
          <t>configuração</t>
        </is>
      </c>
    </row>
    <row r="5159">
      <c r="A5159" s="198" t="inlineStr">
        <is>
          <t>regra.nivel_inicial.campanha</t>
        </is>
      </c>
      <c r="B5159" s="198">
        <f>IF(ISBLANK('CONFIGURAÇÃO'!$F$46),"",'CONFIGURAÇÃO'!$F$46&amp;"")</f>
        <v/>
      </c>
      <c r="C5159" s="198">
        <f>"'CONFIGURAÇÃO'!F46"</f>
        <v/>
      </c>
      <c r="D5159" s="198" t="inlineStr">
        <is>
          <t>configuração</t>
        </is>
      </c>
    </row>
    <row r="5160">
      <c r="A5160" s="198" t="inlineStr">
        <is>
          <t>regra.atributos_pontos</t>
        </is>
      </c>
      <c r="B5160" s="198">
        <f>IF(ISBLANK(DADOS_CONFIG!$S$3),"",DADOS_CONFIG!$S$3&amp;"")</f>
        <v/>
      </c>
      <c r="C5160" s="198" t="inlineStr">
        <is>
          <t>DADOS_CONFIG!S3</t>
        </is>
      </c>
      <c r="D5160" s="198" t="inlineStr">
        <is>
          <t>configuração</t>
        </is>
      </c>
    </row>
    <row r="5161">
      <c r="A5161" s="198" t="inlineStr">
        <is>
          <t>regra.atributos_pontos.campanha</t>
        </is>
      </c>
      <c r="B5161" s="198">
        <f>IF(ISBLANK('CONFIGURAÇÃO'!$F$47),"",'CONFIGURAÇÃO'!$F$47&amp;"")</f>
        <v/>
      </c>
      <c r="C5161" s="198">
        <f>"'CONFIGURAÇÃO'!F47"</f>
        <v/>
      </c>
      <c r="D5161" s="198" t="inlineStr">
        <is>
          <t>configuração</t>
        </is>
      </c>
    </row>
    <row r="5162">
      <c r="A5162" s="198" t="inlineStr">
        <is>
          <t>regra.atributos_teto_criacao</t>
        </is>
      </c>
      <c r="B5162" s="198">
        <f>IF(ISBLANK(DADOS_CONFIG!$S$4),"",DADOS_CONFIG!$S$4&amp;"")</f>
        <v/>
      </c>
      <c r="C5162" s="198" t="inlineStr">
        <is>
          <t>DADOS_CONFIG!S4</t>
        </is>
      </c>
      <c r="D5162" s="198" t="inlineStr">
        <is>
          <t>configuração</t>
        </is>
      </c>
    </row>
    <row r="5163">
      <c r="A5163" s="198" t="inlineStr">
        <is>
          <t>regra.atributos_teto_criacao.campanha</t>
        </is>
      </c>
      <c r="B5163" s="198">
        <f>IF(ISBLANK('CONFIGURAÇÃO'!$F$48),"",'CONFIGURAÇÃO'!$F$48&amp;"")</f>
        <v/>
      </c>
      <c r="C5163" s="198">
        <f>"'CONFIGURAÇÃO'!F48"</f>
        <v/>
      </c>
      <c r="D5163" s="198" t="inlineStr">
        <is>
          <t>configuração</t>
        </is>
      </c>
    </row>
    <row r="5164">
      <c r="A5164" s="198" t="inlineStr">
        <is>
          <t>regra.atributos_teto</t>
        </is>
      </c>
      <c r="B5164" s="198">
        <f>IF(ISBLANK(DADOS_CONFIG!$S$5),"",DADOS_CONFIG!$S$5&amp;"")</f>
        <v/>
      </c>
      <c r="C5164" s="198" t="inlineStr">
        <is>
          <t>DADOS_CONFIG!S5</t>
        </is>
      </c>
      <c r="D5164" s="198" t="inlineStr">
        <is>
          <t>configuração</t>
        </is>
      </c>
    </row>
    <row r="5165">
      <c r="A5165" s="198" t="inlineStr">
        <is>
          <t>regra.atributos_teto.campanha</t>
        </is>
      </c>
      <c r="B5165" s="198">
        <f>IF(ISBLANK('CONFIGURAÇÃO'!$F$49),"",'CONFIGURAÇÃO'!$F$49&amp;"")</f>
        <v/>
      </c>
      <c r="C5165" s="198">
        <f>"'CONFIGURAÇÃO'!F49"</f>
        <v/>
      </c>
      <c r="D5165" s="198" t="inlineStr">
        <is>
          <t>configuração</t>
        </is>
      </c>
    </row>
    <row r="5166">
      <c r="A5166" s="198" t="inlineStr">
        <is>
          <t>regra.pericias_com_oficio</t>
        </is>
      </c>
      <c r="B5166" s="198">
        <f>IF(ISBLANK(DADOS_CONFIG!$S$6),"",DADOS_CONFIG!$S$6&amp;"")</f>
        <v/>
      </c>
      <c r="C5166" s="198" t="inlineStr">
        <is>
          <t>DADOS_CONFIG!S6</t>
        </is>
      </c>
      <c r="D5166" s="198" t="inlineStr">
        <is>
          <t>configuração</t>
        </is>
      </c>
    </row>
    <row r="5167">
      <c r="A5167" s="198" t="inlineStr">
        <is>
          <t>regra.pericias_com_oficio.campanha</t>
        </is>
      </c>
      <c r="B5167" s="198">
        <f>IF(ISBLANK('CONFIGURAÇÃO'!$F$50),"",'CONFIGURAÇÃO'!$F$50&amp;"")</f>
        <v/>
      </c>
      <c r="C5167" s="198">
        <f>"'CONFIGURAÇÃO'!F50"</f>
        <v/>
      </c>
      <c r="D5167" s="198" t="inlineStr">
        <is>
          <t>configuração</t>
        </is>
      </c>
    </row>
    <row r="5168">
      <c r="A5168" s="198" t="inlineStr">
        <is>
          <t>regra.oficios_criacao</t>
        </is>
      </c>
      <c r="B5168" s="198">
        <f>IF(ISBLANK(DADOS_CONFIG!$S$7),"",DADOS_CONFIG!$S$7&amp;"")</f>
        <v/>
      </c>
      <c r="C5168" s="198" t="inlineStr">
        <is>
          <t>DADOS_CONFIG!S7</t>
        </is>
      </c>
      <c r="D5168" s="198" t="inlineStr">
        <is>
          <t>configuração</t>
        </is>
      </c>
    </row>
    <row r="5169">
      <c r="A5169" s="198" t="inlineStr">
        <is>
          <t>regra.oficios_criacao.campanha</t>
        </is>
      </c>
      <c r="B5169" s="198">
        <f>IF(ISBLANK('CONFIGURAÇÃO'!$F$51),"",'CONFIGURAÇÃO'!$F$51&amp;"")</f>
        <v/>
      </c>
      <c r="C5169" s="198">
        <f>"'CONFIGURAÇÃO'!F51"</f>
        <v/>
      </c>
      <c r="D5169" s="198" t="inlineStr">
        <is>
          <t>configuração</t>
        </is>
      </c>
    </row>
    <row r="5170">
      <c r="A5170" s="198" t="inlineStr">
        <is>
          <t>regra.pericias_sem_oficio</t>
        </is>
      </c>
      <c r="B5170" s="198">
        <f>IF(ISBLANK(DADOS_CONFIG!$S$8),"",DADOS_CONFIG!$S$8&amp;"")</f>
        <v/>
      </c>
      <c r="C5170" s="198" t="inlineStr">
        <is>
          <t>DADOS_CONFIG!S8</t>
        </is>
      </c>
      <c r="D5170" s="198" t="inlineStr">
        <is>
          <t>configuração</t>
        </is>
      </c>
    </row>
    <row r="5171">
      <c r="A5171" s="198" t="inlineStr">
        <is>
          <t>regra.pericias_sem_oficio.campanha</t>
        </is>
      </c>
      <c r="B5171" s="198">
        <f>IF(ISBLANK('CONFIGURAÇÃO'!$F$52),"",'CONFIGURAÇÃO'!$F$52&amp;"")</f>
        <v/>
      </c>
      <c r="C5171" s="198">
        <f>"'CONFIGURAÇÃO'!F52"</f>
        <v/>
      </c>
      <c r="D5171" s="198" t="inlineStr">
        <is>
          <t>configuração</t>
        </is>
      </c>
    </row>
    <row r="5172">
      <c r="A5172" s="198" t="inlineStr">
        <is>
          <t>regra.deslocamento_base</t>
        </is>
      </c>
      <c r="B5172" s="198">
        <f>IF(ISBLANK(DADOS_CONFIG!$S$9),"",DADOS_CONFIG!$S$9&amp;"")</f>
        <v/>
      </c>
      <c r="C5172" s="198" t="inlineStr">
        <is>
          <t>DADOS_CONFIG!S9</t>
        </is>
      </c>
      <c r="D5172" s="198" t="inlineStr">
        <is>
          <t>configuração</t>
        </is>
      </c>
    </row>
    <row r="5173">
      <c r="A5173" s="198" t="inlineStr">
        <is>
          <t>regra.deslocamento_base.campanha</t>
        </is>
      </c>
      <c r="B5173" s="198">
        <f>IF(ISBLANK('CONFIGURAÇÃO'!$F$53),"",'CONFIGURAÇÃO'!$F$53&amp;"")</f>
        <v/>
      </c>
      <c r="C5173" s="198">
        <f>"'CONFIGURAÇÃO'!F53"</f>
        <v/>
      </c>
      <c r="D5173" s="198" t="inlineStr">
        <is>
          <t>configuração</t>
        </is>
      </c>
    </row>
    <row r="5174">
      <c r="A5174" s="198" t="inlineStr">
        <is>
          <t>regra.morrendo_aguentar</t>
        </is>
      </c>
      <c r="B5174" s="198">
        <f>IF(ISBLANK(DADOS_CONFIG!$S$10),"",DADOS_CONFIG!$S$10&amp;"")</f>
        <v/>
      </c>
      <c r="C5174" s="198" t="inlineStr">
        <is>
          <t>DADOS_CONFIG!S10</t>
        </is>
      </c>
      <c r="D5174" s="198" t="inlineStr">
        <is>
          <t>configuração</t>
        </is>
      </c>
    </row>
    <row r="5175">
      <c r="A5175" s="198" t="inlineStr">
        <is>
          <t>regra.morrendo_aguentar.campanha</t>
        </is>
      </c>
      <c r="B5175" s="198">
        <f>IF(ISBLANK('CONFIGURAÇÃO'!$F$54),"",'CONFIGURAÇÃO'!$F$54&amp;"")</f>
        <v/>
      </c>
      <c r="C5175" s="198">
        <f>"'CONFIGURAÇÃO'!F54"</f>
        <v/>
      </c>
      <c r="D5175" s="198" t="inlineStr">
        <is>
          <t>configuração</t>
        </is>
      </c>
    </row>
    <row r="5176">
      <c r="A5176" s="198" t="inlineStr">
        <is>
          <t>regra.morrendo_insistir_1</t>
        </is>
      </c>
      <c r="B5176" s="198">
        <f>IF(ISBLANK(DADOS_CONFIG!$S$11),"",DADOS_CONFIG!$S$11&amp;"")</f>
        <v/>
      </c>
      <c r="C5176" s="198" t="inlineStr">
        <is>
          <t>DADOS_CONFIG!S11</t>
        </is>
      </c>
      <c r="D5176" s="198" t="inlineStr">
        <is>
          <t>configuração</t>
        </is>
      </c>
    </row>
    <row r="5177">
      <c r="A5177" s="198" t="inlineStr">
        <is>
          <t>regra.morrendo_insistir_1.campanha</t>
        </is>
      </c>
      <c r="B5177" s="198">
        <f>IF(ISBLANK('CONFIGURAÇÃO'!$F$55),"",'CONFIGURAÇÃO'!$F$55&amp;"")</f>
        <v/>
      </c>
      <c r="C5177" s="198">
        <f>"'CONFIGURAÇÃO'!F55"</f>
        <v/>
      </c>
      <c r="D5177" s="198" t="inlineStr">
        <is>
          <t>configuração</t>
        </is>
      </c>
    </row>
    <row r="5178">
      <c r="A5178" s="198" t="inlineStr">
        <is>
          <t>regra.morrendo_insistir_2</t>
        </is>
      </c>
      <c r="B5178" s="198">
        <f>IF(ISBLANK(DADOS_CONFIG!$S$12),"",DADOS_CONFIG!$S$12&amp;"")</f>
        <v/>
      </c>
      <c r="C5178" s="198" t="inlineStr">
        <is>
          <t>DADOS_CONFIG!S12</t>
        </is>
      </c>
      <c r="D5178" s="198" t="inlineStr">
        <is>
          <t>configuração</t>
        </is>
      </c>
    </row>
    <row r="5179">
      <c r="A5179" s="198" t="inlineStr">
        <is>
          <t>regra.morrendo_insistir_2.campanha</t>
        </is>
      </c>
      <c r="B5179" s="198">
        <f>IF(ISBLANK('CONFIGURAÇÃO'!$F$56),"",'CONFIGURAÇÃO'!$F$56&amp;"")</f>
        <v/>
      </c>
      <c r="C5179" s="198">
        <f>"'CONFIGURAÇÃO'!F56"</f>
        <v/>
      </c>
      <c r="D5179" s="198" t="inlineStr">
        <is>
          <t>configuração</t>
        </is>
      </c>
    </row>
    <row r="5180">
      <c r="A5180" s="198" t="inlineStr">
        <is>
          <t>regra.morrendo_teto</t>
        </is>
      </c>
      <c r="B5180" s="198">
        <f>IF(ISBLANK(DADOS_CONFIG!$S$13),"",DADOS_CONFIG!$S$13&amp;"")</f>
        <v/>
      </c>
      <c r="C5180" s="198" t="inlineStr">
        <is>
          <t>DADOS_CONFIG!S13</t>
        </is>
      </c>
      <c r="D5180" s="198" t="inlineStr">
        <is>
          <t>configuração</t>
        </is>
      </c>
    </row>
    <row r="5181">
      <c r="A5181" s="198" t="inlineStr">
        <is>
          <t>regra.morrendo_teto.campanha</t>
        </is>
      </c>
      <c r="B5181" s="198">
        <f>IF(ISBLANK('CONFIGURAÇÃO'!$F$57),"",'CONFIGURAÇÃO'!$F$57&amp;"")</f>
        <v/>
      </c>
      <c r="C5181" s="198">
        <f>"'CONFIGURAÇÃO'!F57"</f>
        <v/>
      </c>
      <c r="D5181" s="198" t="inlineStr">
        <is>
          <t>configuração</t>
        </is>
      </c>
    </row>
    <row r="5182">
      <c r="A5182" s="198" t="inlineStr">
        <is>
          <t>regra.morrendo_prazo</t>
        </is>
      </c>
      <c r="B5182" s="198">
        <f>IF(ISBLANK(DADOS_CONFIG!$S$14),"",DADOS_CONFIG!$S$14&amp;"")</f>
        <v/>
      </c>
      <c r="C5182" s="198" t="inlineStr">
        <is>
          <t>DADOS_CONFIG!S14</t>
        </is>
      </c>
      <c r="D5182" s="198" t="inlineStr">
        <is>
          <t>configuração</t>
        </is>
      </c>
    </row>
    <row r="5183">
      <c r="A5183" s="198" t="inlineStr">
        <is>
          <t>regra.morrendo_prazo.campanha</t>
        </is>
      </c>
      <c r="B5183" s="198">
        <f>IF(ISBLANK('CONFIGURAÇÃO'!$F$58),"",'CONFIGURAÇÃO'!$F$58&amp;"")</f>
        <v/>
      </c>
      <c r="C5183" s="198">
        <f>"'CONFIGURAÇÃO'!F58"</f>
        <v/>
      </c>
      <c r="D5183" s="198" t="inlineStr">
        <is>
          <t>configuração</t>
        </is>
      </c>
    </row>
    <row r="5184">
      <c r="A5184" s="198" t="inlineStr">
        <is>
          <t>regra.vida_rolada</t>
        </is>
      </c>
      <c r="B5184" s="198">
        <f>IF(ISBLANK(DADOS_CONFIG!$S$15),"",DADOS_CONFIG!$S$15&amp;"")</f>
        <v/>
      </c>
      <c r="C5184" s="198" t="inlineStr">
        <is>
          <t>DADOS_CONFIG!S15</t>
        </is>
      </c>
      <c r="D5184" s="198" t="inlineStr">
        <is>
          <t>configuração</t>
        </is>
      </c>
    </row>
    <row r="5185">
      <c r="A5185" s="198" t="inlineStr">
        <is>
          <t>regra.vida_rolada.campanha</t>
        </is>
      </c>
      <c r="B5185" s="198">
        <f>IF(ISBLANK('CONFIGURAÇÃO'!$F$59),"",'CONFIGURAÇÃO'!$F$59&amp;"")</f>
        <v/>
      </c>
      <c r="C5185" s="198">
        <f>"'CONFIGURAÇÃO'!F59"</f>
        <v/>
      </c>
      <c r="D5185" s="198" t="inlineStr">
        <is>
          <t>configuração</t>
        </is>
      </c>
    </row>
    <row r="5186">
      <c r="A5186" s="198" t="inlineStr">
        <is>
          <t>regra.xp.1</t>
        </is>
      </c>
      <c r="B5186" s="198">
        <f>IF(ISBLANK('CONFIGURAÇÃO'!$G$65),"",'CONFIGURAÇÃO'!$G$65&amp;"")</f>
        <v/>
      </c>
      <c r="C5186" s="198">
        <f>"'CONFIGURAÇÃO'!G65"</f>
        <v/>
      </c>
      <c r="D5186" s="198" t="inlineStr">
        <is>
          <t>configuração</t>
        </is>
      </c>
    </row>
    <row r="5187">
      <c r="A5187" s="198" t="inlineStr">
        <is>
          <t>regra.xp.1.campanha</t>
        </is>
      </c>
      <c r="B5187" s="198">
        <f>IF(ISBLANK('CONFIGURAÇÃO'!$F$65),"",'CONFIGURAÇÃO'!$F$65&amp;"")</f>
        <v/>
      </c>
      <c r="C5187" s="198">
        <f>"'CONFIGURAÇÃO'!F65"</f>
        <v/>
      </c>
      <c r="D5187" s="198" t="inlineStr">
        <is>
          <t>configuração</t>
        </is>
      </c>
    </row>
    <row r="5188">
      <c r="A5188" s="198" t="inlineStr">
        <is>
          <t>regra.xp.2</t>
        </is>
      </c>
      <c r="B5188" s="198">
        <f>IF(ISBLANK('CONFIGURAÇÃO'!$G$66),"",'CONFIGURAÇÃO'!$G$66&amp;"")</f>
        <v/>
      </c>
      <c r="C5188" s="198">
        <f>"'CONFIGURAÇÃO'!G66"</f>
        <v/>
      </c>
      <c r="D5188" s="198" t="inlineStr">
        <is>
          <t>configuração</t>
        </is>
      </c>
    </row>
    <row r="5189">
      <c r="A5189" s="198" t="inlineStr">
        <is>
          <t>regra.xp.2.campanha</t>
        </is>
      </c>
      <c r="B5189" s="198">
        <f>IF(ISBLANK('CONFIGURAÇÃO'!$F$66),"",'CONFIGURAÇÃO'!$F$66&amp;"")</f>
        <v/>
      </c>
      <c r="C5189" s="198">
        <f>"'CONFIGURAÇÃO'!F66"</f>
        <v/>
      </c>
      <c r="D5189" s="198" t="inlineStr">
        <is>
          <t>configuração</t>
        </is>
      </c>
    </row>
    <row r="5190">
      <c r="A5190" s="198" t="inlineStr">
        <is>
          <t>regra.xp.3</t>
        </is>
      </c>
      <c r="B5190" s="198">
        <f>IF(ISBLANK('CONFIGURAÇÃO'!$G$67),"",'CONFIGURAÇÃO'!$G$67&amp;"")</f>
        <v/>
      </c>
      <c r="C5190" s="198">
        <f>"'CONFIGURAÇÃO'!G67"</f>
        <v/>
      </c>
      <c r="D5190" s="198" t="inlineStr">
        <is>
          <t>configuração</t>
        </is>
      </c>
    </row>
    <row r="5191">
      <c r="A5191" s="198" t="inlineStr">
        <is>
          <t>regra.xp.3.campanha</t>
        </is>
      </c>
      <c r="B5191" s="198">
        <f>IF(ISBLANK('CONFIGURAÇÃO'!$F$67),"",'CONFIGURAÇÃO'!$F$67&amp;"")</f>
        <v/>
      </c>
      <c r="C5191" s="198">
        <f>"'CONFIGURAÇÃO'!F67"</f>
        <v/>
      </c>
      <c r="D5191" s="198" t="inlineStr">
        <is>
          <t>configuração</t>
        </is>
      </c>
    </row>
    <row r="5192">
      <c r="A5192" s="198" t="inlineStr">
        <is>
          <t>regra.xp.4</t>
        </is>
      </c>
      <c r="B5192" s="198">
        <f>IF(ISBLANK('CONFIGURAÇÃO'!$G$68),"",'CONFIGURAÇÃO'!$G$68&amp;"")</f>
        <v/>
      </c>
      <c r="C5192" s="198">
        <f>"'CONFIGURAÇÃO'!G68"</f>
        <v/>
      </c>
      <c r="D5192" s="198" t="inlineStr">
        <is>
          <t>configuração</t>
        </is>
      </c>
    </row>
    <row r="5193">
      <c r="A5193" s="198" t="inlineStr">
        <is>
          <t>regra.xp.4.campanha</t>
        </is>
      </c>
      <c r="B5193" s="198">
        <f>IF(ISBLANK('CONFIGURAÇÃO'!$F$68),"",'CONFIGURAÇÃO'!$F$68&amp;"")</f>
        <v/>
      </c>
      <c r="C5193" s="198">
        <f>"'CONFIGURAÇÃO'!F68"</f>
        <v/>
      </c>
      <c r="D5193" s="198" t="inlineStr">
        <is>
          <t>configuração</t>
        </is>
      </c>
    </row>
    <row r="5194">
      <c r="A5194" s="198" t="inlineStr">
        <is>
          <t>regra.xp.5</t>
        </is>
      </c>
      <c r="B5194" s="198">
        <f>IF(ISBLANK('CONFIGURAÇÃO'!$G$69),"",'CONFIGURAÇÃO'!$G$69&amp;"")</f>
        <v/>
      </c>
      <c r="C5194" s="198">
        <f>"'CONFIGURAÇÃO'!G69"</f>
        <v/>
      </c>
      <c r="D5194" s="198" t="inlineStr">
        <is>
          <t>configuração</t>
        </is>
      </c>
    </row>
    <row r="5195">
      <c r="A5195" s="198" t="inlineStr">
        <is>
          <t>regra.xp.5.campanha</t>
        </is>
      </c>
      <c r="B5195" s="198">
        <f>IF(ISBLANK('CONFIGURAÇÃO'!$F$69),"",'CONFIGURAÇÃO'!$F$69&amp;"")</f>
        <v/>
      </c>
      <c r="C5195" s="198">
        <f>"'CONFIGURAÇÃO'!F69"</f>
        <v/>
      </c>
      <c r="D5195" s="198" t="inlineStr">
        <is>
          <t>configuração</t>
        </is>
      </c>
    </row>
    <row r="5196">
      <c r="A5196" s="198" t="inlineStr">
        <is>
          <t>regra.xp.6</t>
        </is>
      </c>
      <c r="B5196" s="198">
        <f>IF(ISBLANK('CONFIGURAÇÃO'!$G$70),"",'CONFIGURAÇÃO'!$G$70&amp;"")</f>
        <v/>
      </c>
      <c r="C5196" s="198">
        <f>"'CONFIGURAÇÃO'!G70"</f>
        <v/>
      </c>
      <c r="D5196" s="198" t="inlineStr">
        <is>
          <t>configuração</t>
        </is>
      </c>
    </row>
    <row r="5197">
      <c r="A5197" s="198" t="inlineStr">
        <is>
          <t>regra.xp.6.campanha</t>
        </is>
      </c>
      <c r="B5197" s="198">
        <f>IF(ISBLANK('CONFIGURAÇÃO'!$F$70),"",'CONFIGURAÇÃO'!$F$70&amp;"")</f>
        <v/>
      </c>
      <c r="C5197" s="198">
        <f>"'CONFIGURAÇÃO'!F70"</f>
        <v/>
      </c>
      <c r="D5197" s="198" t="inlineStr">
        <is>
          <t>configuração</t>
        </is>
      </c>
    </row>
    <row r="5198">
      <c r="A5198" s="198" t="inlineStr">
        <is>
          <t>regra.xp.7</t>
        </is>
      </c>
      <c r="B5198" s="198">
        <f>IF(ISBLANK('CONFIGURAÇÃO'!$G$71),"",'CONFIGURAÇÃO'!$G$71&amp;"")</f>
        <v/>
      </c>
      <c r="C5198" s="198">
        <f>"'CONFIGURAÇÃO'!G71"</f>
        <v/>
      </c>
      <c r="D5198" s="198" t="inlineStr">
        <is>
          <t>configuração</t>
        </is>
      </c>
    </row>
    <row r="5199">
      <c r="A5199" s="198" t="inlineStr">
        <is>
          <t>regra.xp.7.campanha</t>
        </is>
      </c>
      <c r="B5199" s="198">
        <f>IF(ISBLANK('CONFIGURAÇÃO'!$F$71),"",'CONFIGURAÇÃO'!$F$71&amp;"")</f>
        <v/>
      </c>
      <c r="C5199" s="198">
        <f>"'CONFIGURAÇÃO'!F71"</f>
        <v/>
      </c>
      <c r="D5199" s="198" t="inlineStr">
        <is>
          <t>configuração</t>
        </is>
      </c>
    </row>
    <row r="5200">
      <c r="A5200" s="198" t="inlineStr">
        <is>
          <t>regra.xp.8</t>
        </is>
      </c>
      <c r="B5200" s="198">
        <f>IF(ISBLANK('CONFIGURAÇÃO'!$G$72),"",'CONFIGURAÇÃO'!$G$72&amp;"")</f>
        <v/>
      </c>
      <c r="C5200" s="198">
        <f>"'CONFIGURAÇÃO'!G72"</f>
        <v/>
      </c>
      <c r="D5200" s="198" t="inlineStr">
        <is>
          <t>configuração</t>
        </is>
      </c>
    </row>
    <row r="5201">
      <c r="A5201" s="198" t="inlineStr">
        <is>
          <t>regra.xp.8.campanha</t>
        </is>
      </c>
      <c r="B5201" s="198">
        <f>IF(ISBLANK('CONFIGURAÇÃO'!$F$72),"",'CONFIGURAÇÃO'!$F$72&amp;"")</f>
        <v/>
      </c>
      <c r="C5201" s="198">
        <f>"'CONFIGURAÇÃO'!F72"</f>
        <v/>
      </c>
      <c r="D5201" s="198" t="inlineStr">
        <is>
          <t>configuração</t>
        </is>
      </c>
    </row>
    <row r="5202">
      <c r="A5202" s="198" t="inlineStr">
        <is>
          <t>regra.xp.9</t>
        </is>
      </c>
      <c r="B5202" s="198">
        <f>IF(ISBLANK('CONFIGURAÇÃO'!$G$73),"",'CONFIGURAÇÃO'!$G$73&amp;"")</f>
        <v/>
      </c>
      <c r="C5202" s="198">
        <f>"'CONFIGURAÇÃO'!G73"</f>
        <v/>
      </c>
      <c r="D5202" s="198" t="inlineStr">
        <is>
          <t>configuração</t>
        </is>
      </c>
    </row>
    <row r="5203">
      <c r="A5203" s="198" t="inlineStr">
        <is>
          <t>regra.xp.9.campanha</t>
        </is>
      </c>
      <c r="B5203" s="198">
        <f>IF(ISBLANK('CONFIGURAÇÃO'!$F$73),"",'CONFIGURAÇÃO'!$F$73&amp;"")</f>
        <v/>
      </c>
      <c r="C5203" s="198">
        <f>"'CONFIGURAÇÃO'!F73"</f>
        <v/>
      </c>
      <c r="D5203" s="198" t="inlineStr">
        <is>
          <t>configuração</t>
        </is>
      </c>
    </row>
    <row r="5204">
      <c r="A5204" s="198" t="inlineStr">
        <is>
          <t>regra.xp.10</t>
        </is>
      </c>
      <c r="B5204" s="198">
        <f>IF(ISBLANK('CONFIGURAÇÃO'!$G$74),"",'CONFIGURAÇÃO'!$G$74&amp;"")</f>
        <v/>
      </c>
      <c r="C5204" s="198">
        <f>"'CONFIGURAÇÃO'!G74"</f>
        <v/>
      </c>
      <c r="D5204" s="198" t="inlineStr">
        <is>
          <t>configuração</t>
        </is>
      </c>
    </row>
    <row r="5205">
      <c r="A5205" s="198" t="inlineStr">
        <is>
          <t>regra.xp.10.campanha</t>
        </is>
      </c>
      <c r="B5205" s="198">
        <f>IF(ISBLANK('CONFIGURAÇÃO'!$F$74),"",'CONFIGURAÇÃO'!$F$74&amp;"")</f>
        <v/>
      </c>
      <c r="C5205" s="198">
        <f>"'CONFIGURAÇÃO'!F74"</f>
        <v/>
      </c>
      <c r="D5205" s="198" t="inlineStr">
        <is>
          <t>configuração</t>
        </is>
      </c>
    </row>
    <row r="5206">
      <c r="A5206" s="198" t="inlineStr">
        <is>
          <t>regra.xp.11</t>
        </is>
      </c>
      <c r="B5206" s="198">
        <f>IF(ISBLANK('CONFIGURAÇÃO'!$G$75),"",'CONFIGURAÇÃO'!$G$75&amp;"")</f>
        <v/>
      </c>
      <c r="C5206" s="198">
        <f>"'CONFIGURAÇÃO'!G75"</f>
        <v/>
      </c>
      <c r="D5206" s="198" t="inlineStr">
        <is>
          <t>configuração</t>
        </is>
      </c>
    </row>
    <row r="5207">
      <c r="A5207" s="198" t="inlineStr">
        <is>
          <t>regra.xp.11.campanha</t>
        </is>
      </c>
      <c r="B5207" s="198">
        <f>IF(ISBLANK('CONFIGURAÇÃO'!$F$75),"",'CONFIGURAÇÃO'!$F$75&amp;"")</f>
        <v/>
      </c>
      <c r="C5207" s="198">
        <f>"'CONFIGURAÇÃO'!F75"</f>
        <v/>
      </c>
      <c r="D5207" s="198" t="inlineStr">
        <is>
          <t>configuração</t>
        </is>
      </c>
    </row>
    <row r="5208">
      <c r="A5208" s="198" t="inlineStr">
        <is>
          <t>regra.xp.12</t>
        </is>
      </c>
      <c r="B5208" s="198">
        <f>IF(ISBLANK('CONFIGURAÇÃO'!$G$76),"",'CONFIGURAÇÃO'!$G$76&amp;"")</f>
        <v/>
      </c>
      <c r="C5208" s="198">
        <f>"'CONFIGURAÇÃO'!G76"</f>
        <v/>
      </c>
      <c r="D5208" s="198" t="inlineStr">
        <is>
          <t>configuração</t>
        </is>
      </c>
    </row>
    <row r="5209">
      <c r="A5209" s="198" t="inlineStr">
        <is>
          <t>regra.xp.12.campanha</t>
        </is>
      </c>
      <c r="B5209" s="198">
        <f>IF(ISBLANK('CONFIGURAÇÃO'!$F$76),"",'CONFIGURAÇÃO'!$F$76&amp;"")</f>
        <v/>
      </c>
      <c r="C5209" s="198">
        <f>"'CONFIGURAÇÃO'!F76"</f>
        <v/>
      </c>
      <c r="D5209" s="198" t="inlineStr">
        <is>
          <t>configuração</t>
        </is>
      </c>
    </row>
    <row r="5210">
      <c r="A5210" s="198" t="inlineStr">
        <is>
          <t>regra.xp.13</t>
        </is>
      </c>
      <c r="B5210" s="198">
        <f>IF(ISBLANK('CONFIGURAÇÃO'!$G$77),"",'CONFIGURAÇÃO'!$G$77&amp;"")</f>
        <v/>
      </c>
      <c r="C5210" s="198">
        <f>"'CONFIGURAÇÃO'!G77"</f>
        <v/>
      </c>
      <c r="D5210" s="198" t="inlineStr">
        <is>
          <t>configuração</t>
        </is>
      </c>
    </row>
    <row r="5211">
      <c r="A5211" s="198" t="inlineStr">
        <is>
          <t>regra.xp.13.campanha</t>
        </is>
      </c>
      <c r="B5211" s="198">
        <f>IF(ISBLANK('CONFIGURAÇÃO'!$F$77),"",'CONFIGURAÇÃO'!$F$77&amp;"")</f>
        <v/>
      </c>
      <c r="C5211" s="198">
        <f>"'CONFIGURAÇÃO'!F77"</f>
        <v/>
      </c>
      <c r="D5211" s="198" t="inlineStr">
        <is>
          <t>configuração</t>
        </is>
      </c>
    </row>
    <row r="5212">
      <c r="A5212" s="198" t="inlineStr">
        <is>
          <t>regra.xp.14</t>
        </is>
      </c>
      <c r="B5212" s="198">
        <f>IF(ISBLANK('CONFIGURAÇÃO'!$G$78),"",'CONFIGURAÇÃO'!$G$78&amp;"")</f>
        <v/>
      </c>
      <c r="C5212" s="198">
        <f>"'CONFIGURAÇÃO'!G78"</f>
        <v/>
      </c>
      <c r="D5212" s="198" t="inlineStr">
        <is>
          <t>configuração</t>
        </is>
      </c>
    </row>
    <row r="5213">
      <c r="A5213" s="198" t="inlineStr">
        <is>
          <t>regra.xp.14.campanha</t>
        </is>
      </c>
      <c r="B5213" s="198">
        <f>IF(ISBLANK('CONFIGURAÇÃO'!$F$78),"",'CONFIGURAÇÃO'!$F$78&amp;"")</f>
        <v/>
      </c>
      <c r="C5213" s="198">
        <f>"'CONFIGURAÇÃO'!F78"</f>
        <v/>
      </c>
      <c r="D5213" s="198" t="inlineStr">
        <is>
          <t>configuração</t>
        </is>
      </c>
    </row>
    <row r="5214">
      <c r="A5214" s="198" t="inlineStr">
        <is>
          <t>regra.xp.15</t>
        </is>
      </c>
      <c r="B5214" s="198">
        <f>IF(ISBLANK('CONFIGURAÇÃO'!$G$79),"",'CONFIGURAÇÃO'!$G$79&amp;"")</f>
        <v/>
      </c>
      <c r="C5214" s="198">
        <f>"'CONFIGURAÇÃO'!G79"</f>
        <v/>
      </c>
      <c r="D5214" s="198" t="inlineStr">
        <is>
          <t>configuração</t>
        </is>
      </c>
    </row>
    <row r="5215">
      <c r="A5215" s="198" t="inlineStr">
        <is>
          <t>regra.xp.15.campanha</t>
        </is>
      </c>
      <c r="B5215" s="198">
        <f>IF(ISBLANK('CONFIGURAÇÃO'!$F$79),"",'CONFIGURAÇÃO'!$F$79&amp;"")</f>
        <v/>
      </c>
      <c r="C5215" s="198">
        <f>"'CONFIGURAÇÃO'!F79"</f>
        <v/>
      </c>
      <c r="D5215" s="198" t="inlineStr">
        <is>
          <t>configuração</t>
        </is>
      </c>
    </row>
    <row r="5216">
      <c r="A5216" s="198" t="inlineStr">
        <is>
          <t>regra.xp.16</t>
        </is>
      </c>
      <c r="B5216" s="198">
        <f>IF(ISBLANK('CONFIGURAÇÃO'!$G$80),"",'CONFIGURAÇÃO'!$G$80&amp;"")</f>
        <v/>
      </c>
      <c r="C5216" s="198">
        <f>"'CONFIGURAÇÃO'!G80"</f>
        <v/>
      </c>
      <c r="D5216" s="198" t="inlineStr">
        <is>
          <t>configuração</t>
        </is>
      </c>
    </row>
    <row r="5217">
      <c r="A5217" s="198" t="inlineStr">
        <is>
          <t>regra.xp.16.campanha</t>
        </is>
      </c>
      <c r="B5217" s="198">
        <f>IF(ISBLANK('CONFIGURAÇÃO'!$F$80),"",'CONFIGURAÇÃO'!$F$80&amp;"")</f>
        <v/>
      </c>
      <c r="C5217" s="198">
        <f>"'CONFIGURAÇÃO'!F80"</f>
        <v/>
      </c>
      <c r="D5217" s="198" t="inlineStr">
        <is>
          <t>configuração</t>
        </is>
      </c>
    </row>
    <row r="5218">
      <c r="A5218" s="198" t="inlineStr">
        <is>
          <t>regra.xp.17</t>
        </is>
      </c>
      <c r="B5218" s="198">
        <f>IF(ISBLANK('CONFIGURAÇÃO'!$G$81),"",'CONFIGURAÇÃO'!$G$81&amp;"")</f>
        <v/>
      </c>
      <c r="C5218" s="198">
        <f>"'CONFIGURAÇÃO'!G81"</f>
        <v/>
      </c>
      <c r="D5218" s="198" t="inlineStr">
        <is>
          <t>configuração</t>
        </is>
      </c>
    </row>
    <row r="5219">
      <c r="A5219" s="198" t="inlineStr">
        <is>
          <t>regra.xp.17.campanha</t>
        </is>
      </c>
      <c r="B5219" s="198">
        <f>IF(ISBLANK('CONFIGURAÇÃO'!$F$81),"",'CONFIGURAÇÃO'!$F$81&amp;"")</f>
        <v/>
      </c>
      <c r="C5219" s="198">
        <f>"'CONFIGURAÇÃO'!F81"</f>
        <v/>
      </c>
      <c r="D5219" s="198" t="inlineStr">
        <is>
          <t>configuração</t>
        </is>
      </c>
    </row>
    <row r="5220">
      <c r="A5220" s="198" t="inlineStr">
        <is>
          <t>regra.xp.18</t>
        </is>
      </c>
      <c r="B5220" s="198">
        <f>IF(ISBLANK('CONFIGURAÇÃO'!$G$82),"",'CONFIGURAÇÃO'!$G$82&amp;"")</f>
        <v/>
      </c>
      <c r="C5220" s="198">
        <f>"'CONFIGURAÇÃO'!G82"</f>
        <v/>
      </c>
      <c r="D5220" s="198" t="inlineStr">
        <is>
          <t>configuração</t>
        </is>
      </c>
    </row>
    <row r="5221">
      <c r="A5221" s="198" t="inlineStr">
        <is>
          <t>regra.xp.18.campanha</t>
        </is>
      </c>
      <c r="B5221" s="198">
        <f>IF(ISBLANK('CONFIGURAÇÃO'!$F$82),"",'CONFIGURAÇÃO'!$F$82&amp;"")</f>
        <v/>
      </c>
      <c r="C5221" s="198">
        <f>"'CONFIGURAÇÃO'!F82"</f>
        <v/>
      </c>
      <c r="D5221" s="198" t="inlineStr">
        <is>
          <t>configuração</t>
        </is>
      </c>
    </row>
    <row r="5222">
      <c r="A5222" s="198" t="inlineStr">
        <is>
          <t>regra.xp.19</t>
        </is>
      </c>
      <c r="B5222" s="198">
        <f>IF(ISBLANK('CONFIGURAÇÃO'!$G$83),"",'CONFIGURAÇÃO'!$G$83&amp;"")</f>
        <v/>
      </c>
      <c r="C5222" s="198">
        <f>"'CONFIGURAÇÃO'!G83"</f>
        <v/>
      </c>
      <c r="D5222" s="198" t="inlineStr">
        <is>
          <t>configuração</t>
        </is>
      </c>
    </row>
    <row r="5223">
      <c r="A5223" s="198" t="inlineStr">
        <is>
          <t>regra.xp.19.campanha</t>
        </is>
      </c>
      <c r="B5223" s="198">
        <f>IF(ISBLANK('CONFIGURAÇÃO'!$F$83),"",'CONFIGURAÇÃO'!$F$83&amp;"")</f>
        <v/>
      </c>
      <c r="C5223" s="198">
        <f>"'CONFIGURAÇÃO'!F83"</f>
        <v/>
      </c>
      <c r="D5223" s="198" t="inlineStr">
        <is>
          <t>configuração</t>
        </is>
      </c>
    </row>
    <row r="5224">
      <c r="A5224" s="198" t="inlineStr">
        <is>
          <t>regra.xp.20</t>
        </is>
      </c>
      <c r="B5224" s="198">
        <f>IF(ISBLANK('CONFIGURAÇÃO'!$G$84),"",'CONFIGURAÇÃO'!$G$84&amp;"")</f>
        <v/>
      </c>
      <c r="C5224" s="198">
        <f>"'CONFIGURAÇÃO'!G84"</f>
        <v/>
      </c>
      <c r="D5224" s="198" t="inlineStr">
        <is>
          <t>configuração</t>
        </is>
      </c>
    </row>
    <row r="5225">
      <c r="A5225" s="198" t="inlineStr">
        <is>
          <t>regra.xp.20.campanha</t>
        </is>
      </c>
      <c r="B5225" s="198">
        <f>IF(ISBLANK('CONFIGURAÇÃO'!$F$84),"",'CONFIGURAÇÃO'!$F$84&amp;"")</f>
        <v/>
      </c>
      <c r="C5225" s="198">
        <f>"'CONFIGURAÇÃO'!F84"</f>
        <v/>
      </c>
      <c r="D5225" s="198" t="inlineStr">
        <is>
          <t>configuração</t>
        </is>
      </c>
    </row>
    <row r="5226">
      <c r="A5226" s="198" t="inlineStr">
        <is>
          <t>regra.xp.21</t>
        </is>
      </c>
      <c r="B5226" s="198">
        <f>IF(ISBLANK('CONFIGURAÇÃO'!$G$85),"",'CONFIGURAÇÃO'!$G$85&amp;"")</f>
        <v/>
      </c>
      <c r="C5226" s="198">
        <f>"'CONFIGURAÇÃO'!G85"</f>
        <v/>
      </c>
      <c r="D5226" s="198" t="inlineStr">
        <is>
          <t>configuração</t>
        </is>
      </c>
    </row>
    <row r="5227">
      <c r="A5227" s="198" t="inlineStr">
        <is>
          <t>regra.xp.21.campanha</t>
        </is>
      </c>
      <c r="B5227" s="198">
        <f>IF(ISBLANK('CONFIGURAÇÃO'!$F$85),"",'CONFIGURAÇÃO'!$F$85&amp;"")</f>
        <v/>
      </c>
      <c r="C5227" s="198">
        <f>"'CONFIGURAÇÃO'!F85"</f>
        <v/>
      </c>
      <c r="D5227" s="198" t="inlineStr">
        <is>
          <t>configuração</t>
        </is>
      </c>
    </row>
    <row r="5228">
      <c r="A5228" s="198" t="inlineStr">
        <is>
          <t>regra.xp.22</t>
        </is>
      </c>
      <c r="B5228" s="198">
        <f>IF(ISBLANK('CONFIGURAÇÃO'!$G$86),"",'CONFIGURAÇÃO'!$G$86&amp;"")</f>
        <v/>
      </c>
      <c r="C5228" s="198">
        <f>"'CONFIGURAÇÃO'!G86"</f>
        <v/>
      </c>
      <c r="D5228" s="198" t="inlineStr">
        <is>
          <t>configuração</t>
        </is>
      </c>
    </row>
    <row r="5229">
      <c r="A5229" s="198" t="inlineStr">
        <is>
          <t>regra.xp.22.campanha</t>
        </is>
      </c>
      <c r="B5229" s="198">
        <f>IF(ISBLANK('CONFIGURAÇÃO'!$F$86),"",'CONFIGURAÇÃO'!$F$86&amp;"")</f>
        <v/>
      </c>
      <c r="C5229" s="198">
        <f>"'CONFIGURAÇÃO'!F86"</f>
        <v/>
      </c>
      <c r="D5229" s="198" t="inlineStr">
        <is>
          <t>configuração</t>
        </is>
      </c>
    </row>
    <row r="5230">
      <c r="A5230" s="198" t="inlineStr">
        <is>
          <t>regra.xp.23</t>
        </is>
      </c>
      <c r="B5230" s="198">
        <f>IF(ISBLANK('CONFIGURAÇÃO'!$G$87),"",'CONFIGURAÇÃO'!$G$87&amp;"")</f>
        <v/>
      </c>
      <c r="C5230" s="198">
        <f>"'CONFIGURAÇÃO'!G87"</f>
        <v/>
      </c>
      <c r="D5230" s="198" t="inlineStr">
        <is>
          <t>configuração</t>
        </is>
      </c>
    </row>
    <row r="5231">
      <c r="A5231" s="198" t="inlineStr">
        <is>
          <t>regra.xp.23.campanha</t>
        </is>
      </c>
      <c r="B5231" s="198">
        <f>IF(ISBLANK('CONFIGURAÇÃO'!$F$87),"",'CONFIGURAÇÃO'!$F$87&amp;"")</f>
        <v/>
      </c>
      <c r="C5231" s="198">
        <f>"'CONFIGURAÇÃO'!F87"</f>
        <v/>
      </c>
      <c r="D5231" s="198" t="inlineStr">
        <is>
          <t>configuração</t>
        </is>
      </c>
    </row>
    <row r="5232">
      <c r="A5232" s="198" t="inlineStr">
        <is>
          <t>regra.xp.24</t>
        </is>
      </c>
      <c r="B5232" s="198">
        <f>IF(ISBLANK('CONFIGURAÇÃO'!$G$88),"",'CONFIGURAÇÃO'!$G$88&amp;"")</f>
        <v/>
      </c>
      <c r="C5232" s="198">
        <f>"'CONFIGURAÇÃO'!G88"</f>
        <v/>
      </c>
      <c r="D5232" s="198" t="inlineStr">
        <is>
          <t>configuração</t>
        </is>
      </c>
    </row>
    <row r="5233">
      <c r="A5233" s="198" t="inlineStr">
        <is>
          <t>regra.xp.24.campanha</t>
        </is>
      </c>
      <c r="B5233" s="198">
        <f>IF(ISBLANK('CONFIGURAÇÃO'!$F$88),"",'CONFIGURAÇÃO'!$F$88&amp;"")</f>
        <v/>
      </c>
      <c r="C5233" s="198">
        <f>"'CONFIGURAÇÃO'!F88"</f>
        <v/>
      </c>
      <c r="D5233" s="198" t="inlineStr">
        <is>
          <t>configuração</t>
        </is>
      </c>
    </row>
    <row r="5234">
      <c r="A5234" s="198" t="inlineStr">
        <is>
          <t>regra.xp.25</t>
        </is>
      </c>
      <c r="B5234" s="198">
        <f>IF(ISBLANK('CONFIGURAÇÃO'!$G$89),"",'CONFIGURAÇÃO'!$G$89&amp;"")</f>
        <v/>
      </c>
      <c r="C5234" s="198">
        <f>"'CONFIGURAÇÃO'!G89"</f>
        <v/>
      </c>
      <c r="D5234" s="198" t="inlineStr">
        <is>
          <t>configuração</t>
        </is>
      </c>
    </row>
    <row r="5235">
      <c r="A5235" s="198" t="inlineStr">
        <is>
          <t>regra.xp.25.campanha</t>
        </is>
      </c>
      <c r="B5235" s="198">
        <f>IF(ISBLANK('CONFIGURAÇÃO'!$F$89),"",'CONFIGURAÇÃO'!$F$89&amp;"")</f>
        <v/>
      </c>
      <c r="C5235" s="198">
        <f>"'CONFIGURAÇÃO'!F89"</f>
        <v/>
      </c>
      <c r="D5235" s="198" t="inlineStr">
        <is>
          <t>configuração</t>
        </is>
      </c>
    </row>
    <row r="5236">
      <c r="A5236" s="198" t="inlineStr">
        <is>
          <t>regra.xp.26</t>
        </is>
      </c>
      <c r="B5236" s="198">
        <f>IF(ISBLANK('CONFIGURAÇÃO'!$G$90),"",'CONFIGURAÇÃO'!$G$90&amp;"")</f>
        <v/>
      </c>
      <c r="C5236" s="198">
        <f>"'CONFIGURAÇÃO'!G90"</f>
        <v/>
      </c>
      <c r="D5236" s="198" t="inlineStr">
        <is>
          <t>configuração</t>
        </is>
      </c>
    </row>
    <row r="5237">
      <c r="A5237" s="198" t="inlineStr">
        <is>
          <t>regra.xp.26.campanha</t>
        </is>
      </c>
      <c r="B5237" s="198">
        <f>IF(ISBLANK('CONFIGURAÇÃO'!$F$90),"",'CONFIGURAÇÃO'!$F$90&amp;"")</f>
        <v/>
      </c>
      <c r="C5237" s="198">
        <f>"'CONFIGURAÇÃO'!F90"</f>
        <v/>
      </c>
      <c r="D5237" s="198" t="inlineStr">
        <is>
          <t>configuração</t>
        </is>
      </c>
    </row>
    <row r="5238">
      <c r="A5238" s="198" t="inlineStr">
        <is>
          <t>regra.xp.27</t>
        </is>
      </c>
      <c r="B5238" s="198">
        <f>IF(ISBLANK('CONFIGURAÇÃO'!$G$91),"",'CONFIGURAÇÃO'!$G$91&amp;"")</f>
        <v/>
      </c>
      <c r="C5238" s="198">
        <f>"'CONFIGURAÇÃO'!G91"</f>
        <v/>
      </c>
      <c r="D5238" s="198" t="inlineStr">
        <is>
          <t>configuração</t>
        </is>
      </c>
    </row>
    <row r="5239">
      <c r="A5239" s="198" t="inlineStr">
        <is>
          <t>regra.xp.27.campanha</t>
        </is>
      </c>
      <c r="B5239" s="198">
        <f>IF(ISBLANK('CONFIGURAÇÃO'!$F$91),"",'CONFIGURAÇÃO'!$F$91&amp;"")</f>
        <v/>
      </c>
      <c r="C5239" s="198">
        <f>"'CONFIGURAÇÃO'!F91"</f>
        <v/>
      </c>
      <c r="D5239" s="198" t="inlineStr">
        <is>
          <t>configuração</t>
        </is>
      </c>
    </row>
    <row r="5240">
      <c r="A5240" s="198" t="inlineStr">
        <is>
          <t>regra.xp.28</t>
        </is>
      </c>
      <c r="B5240" s="198">
        <f>IF(ISBLANK('CONFIGURAÇÃO'!$G$92),"",'CONFIGURAÇÃO'!$G$92&amp;"")</f>
        <v/>
      </c>
      <c r="C5240" s="198">
        <f>"'CONFIGURAÇÃO'!G92"</f>
        <v/>
      </c>
      <c r="D5240" s="198" t="inlineStr">
        <is>
          <t>configuração</t>
        </is>
      </c>
    </row>
    <row r="5241">
      <c r="A5241" s="198" t="inlineStr">
        <is>
          <t>regra.xp.28.campanha</t>
        </is>
      </c>
      <c r="B5241" s="198">
        <f>IF(ISBLANK('CONFIGURAÇÃO'!$F$92),"",'CONFIGURAÇÃO'!$F$92&amp;"")</f>
        <v/>
      </c>
      <c r="C5241" s="198">
        <f>"'CONFIGURAÇÃO'!F92"</f>
        <v/>
      </c>
      <c r="D5241" s="198" t="inlineStr">
        <is>
          <t>configuração</t>
        </is>
      </c>
    </row>
    <row r="5242">
      <c r="A5242" s="198" t="inlineStr">
        <is>
          <t>regra.xp.29</t>
        </is>
      </c>
      <c r="B5242" s="198">
        <f>IF(ISBLANK('CONFIGURAÇÃO'!$G$93),"",'CONFIGURAÇÃO'!$G$93&amp;"")</f>
        <v/>
      </c>
      <c r="C5242" s="198">
        <f>"'CONFIGURAÇÃO'!G93"</f>
        <v/>
      </c>
      <c r="D5242" s="198" t="inlineStr">
        <is>
          <t>configuração</t>
        </is>
      </c>
    </row>
    <row r="5243">
      <c r="A5243" s="198" t="inlineStr">
        <is>
          <t>regra.xp.29.campanha</t>
        </is>
      </c>
      <c r="B5243" s="198">
        <f>IF(ISBLANK('CONFIGURAÇÃO'!$F$93),"",'CONFIGURAÇÃO'!$F$93&amp;"")</f>
        <v/>
      </c>
      <c r="C5243" s="198">
        <f>"'CONFIGURAÇÃO'!F93"</f>
        <v/>
      </c>
      <c r="D5243" s="198" t="inlineStr">
        <is>
          <t>configuração</t>
        </is>
      </c>
    </row>
    <row r="5244">
      <c r="A5244" s="198" t="inlineStr">
        <is>
          <t>vida.rolagem.2</t>
        </is>
      </c>
      <c r="B5244" s="198">
        <f>IF(ISBLANK('CONFIGURAÇÃO'!$F$101),"",'CONFIGURAÇÃO'!$F$101&amp;"")</f>
        <v/>
      </c>
      <c r="C5244" s="198">
        <f>"'CONFIGURAÇÃO'!F101"</f>
        <v/>
      </c>
      <c r="D5244" s="198" t="inlineStr">
        <is>
          <t>configuração</t>
        </is>
      </c>
    </row>
    <row r="5245">
      <c r="A5245" s="198" t="inlineStr">
        <is>
          <t>vida.rolagem.3</t>
        </is>
      </c>
      <c r="B5245" s="198">
        <f>IF(ISBLANK('CONFIGURAÇÃO'!$F$102),"",'CONFIGURAÇÃO'!$F$102&amp;"")</f>
        <v/>
      </c>
      <c r="C5245" s="198">
        <f>"'CONFIGURAÇÃO'!F102"</f>
        <v/>
      </c>
      <c r="D5245" s="198" t="inlineStr">
        <is>
          <t>configuração</t>
        </is>
      </c>
    </row>
    <row r="5246">
      <c r="A5246" s="198" t="inlineStr">
        <is>
          <t>vida.rolagem.4</t>
        </is>
      </c>
      <c r="B5246" s="198">
        <f>IF(ISBLANK('CONFIGURAÇÃO'!$F$103),"",'CONFIGURAÇÃO'!$F$103&amp;"")</f>
        <v/>
      </c>
      <c r="C5246" s="198">
        <f>"'CONFIGURAÇÃO'!F103"</f>
        <v/>
      </c>
      <c r="D5246" s="198" t="inlineStr">
        <is>
          <t>configuração</t>
        </is>
      </c>
    </row>
    <row r="5247">
      <c r="A5247" s="198" t="inlineStr">
        <is>
          <t>vida.rolagem.5</t>
        </is>
      </c>
      <c r="B5247" s="198">
        <f>IF(ISBLANK('CONFIGURAÇÃO'!$F$104),"",'CONFIGURAÇÃO'!$F$104&amp;"")</f>
        <v/>
      </c>
      <c r="C5247" s="198">
        <f>"'CONFIGURAÇÃO'!F104"</f>
        <v/>
      </c>
      <c r="D5247" s="198" t="inlineStr">
        <is>
          <t>configuração</t>
        </is>
      </c>
    </row>
    <row r="5248">
      <c r="A5248" s="198" t="inlineStr">
        <is>
          <t>vida.rolagem.6</t>
        </is>
      </c>
      <c r="B5248" s="198">
        <f>IF(ISBLANK('CONFIGURAÇÃO'!$F$105),"",'CONFIGURAÇÃO'!$F$105&amp;"")</f>
        <v/>
      </c>
      <c r="C5248" s="198">
        <f>"'CONFIGURAÇÃO'!F105"</f>
        <v/>
      </c>
      <c r="D5248" s="198" t="inlineStr">
        <is>
          <t>configuração</t>
        </is>
      </c>
    </row>
    <row r="5249">
      <c r="A5249" s="198" t="inlineStr">
        <is>
          <t>vida.rolagem.7</t>
        </is>
      </c>
      <c r="B5249" s="198">
        <f>IF(ISBLANK('CONFIGURAÇÃO'!$F$106),"",'CONFIGURAÇÃO'!$F$106&amp;"")</f>
        <v/>
      </c>
      <c r="C5249" s="198">
        <f>"'CONFIGURAÇÃO'!F106"</f>
        <v/>
      </c>
      <c r="D5249" s="198" t="inlineStr">
        <is>
          <t>configuração</t>
        </is>
      </c>
    </row>
    <row r="5250">
      <c r="A5250" s="198" t="inlineStr">
        <is>
          <t>vida.rolagem.8</t>
        </is>
      </c>
      <c r="B5250" s="198">
        <f>IF(ISBLANK('CONFIGURAÇÃO'!$F$107),"",'CONFIGURAÇÃO'!$F$107&amp;"")</f>
        <v/>
      </c>
      <c r="C5250" s="198">
        <f>"'CONFIGURAÇÃO'!F107"</f>
        <v/>
      </c>
      <c r="D5250" s="198" t="inlineStr">
        <is>
          <t>configuração</t>
        </is>
      </c>
    </row>
    <row r="5251">
      <c r="A5251" s="198" t="inlineStr">
        <is>
          <t>vida.rolagem.9</t>
        </is>
      </c>
      <c r="B5251" s="198">
        <f>IF(ISBLANK('CONFIGURAÇÃO'!$F$108),"",'CONFIGURAÇÃO'!$F$108&amp;"")</f>
        <v/>
      </c>
      <c r="C5251" s="198">
        <f>"'CONFIGURAÇÃO'!F108"</f>
        <v/>
      </c>
      <c r="D5251" s="198" t="inlineStr">
        <is>
          <t>configuração</t>
        </is>
      </c>
    </row>
    <row r="5252">
      <c r="A5252" s="198" t="inlineStr">
        <is>
          <t>vida.rolagem.10</t>
        </is>
      </c>
      <c r="B5252" s="198">
        <f>IF(ISBLANK('CONFIGURAÇÃO'!$F$109),"",'CONFIGURAÇÃO'!$F$109&amp;"")</f>
        <v/>
      </c>
      <c r="C5252" s="198">
        <f>"'CONFIGURAÇÃO'!F109"</f>
        <v/>
      </c>
      <c r="D5252" s="198" t="inlineStr">
        <is>
          <t>configuração</t>
        </is>
      </c>
    </row>
    <row r="5253">
      <c r="A5253" s="198" t="inlineStr">
        <is>
          <t>vida.rolagem.11</t>
        </is>
      </c>
      <c r="B5253" s="198">
        <f>IF(ISBLANK('CONFIGURAÇÃO'!$F$110),"",'CONFIGURAÇÃO'!$F$110&amp;"")</f>
        <v/>
      </c>
      <c r="C5253" s="198">
        <f>"'CONFIGURAÇÃO'!F110"</f>
        <v/>
      </c>
      <c r="D5253" s="198" t="inlineStr">
        <is>
          <t>configuração</t>
        </is>
      </c>
    </row>
    <row r="5254">
      <c r="A5254" s="198" t="inlineStr">
        <is>
          <t>vida.rolagem.12</t>
        </is>
      </c>
      <c r="B5254" s="198">
        <f>IF(ISBLANK('CONFIGURAÇÃO'!$F$111),"",'CONFIGURAÇÃO'!$F$111&amp;"")</f>
        <v/>
      </c>
      <c r="C5254" s="198">
        <f>"'CONFIGURAÇÃO'!F111"</f>
        <v/>
      </c>
      <c r="D5254" s="198" t="inlineStr">
        <is>
          <t>configuração</t>
        </is>
      </c>
    </row>
    <row r="5255">
      <c r="A5255" s="198" t="inlineStr">
        <is>
          <t>vida.rolagem.13</t>
        </is>
      </c>
      <c r="B5255" s="198">
        <f>IF(ISBLANK('CONFIGURAÇÃO'!$F$112),"",'CONFIGURAÇÃO'!$F$112&amp;"")</f>
        <v/>
      </c>
      <c r="C5255" s="198">
        <f>"'CONFIGURAÇÃO'!F112"</f>
        <v/>
      </c>
      <c r="D5255" s="198" t="inlineStr">
        <is>
          <t>configuração</t>
        </is>
      </c>
    </row>
    <row r="5256">
      <c r="A5256" s="198" t="inlineStr">
        <is>
          <t>vida.rolagem.14</t>
        </is>
      </c>
      <c r="B5256" s="198">
        <f>IF(ISBLANK('CONFIGURAÇÃO'!$F$113),"",'CONFIGURAÇÃO'!$F$113&amp;"")</f>
        <v/>
      </c>
      <c r="C5256" s="198">
        <f>"'CONFIGURAÇÃO'!F113"</f>
        <v/>
      </c>
      <c r="D5256" s="198" t="inlineStr">
        <is>
          <t>configuração</t>
        </is>
      </c>
    </row>
    <row r="5257">
      <c r="A5257" s="198" t="inlineStr">
        <is>
          <t>vida.rolagem.15</t>
        </is>
      </c>
      <c r="B5257" s="198">
        <f>IF(ISBLANK('CONFIGURAÇÃO'!$F$114),"",'CONFIGURAÇÃO'!$F$114&amp;"")</f>
        <v/>
      </c>
      <c r="C5257" s="198">
        <f>"'CONFIGURAÇÃO'!F114"</f>
        <v/>
      </c>
      <c r="D5257" s="198" t="inlineStr">
        <is>
          <t>configuração</t>
        </is>
      </c>
    </row>
    <row r="5258">
      <c r="A5258" s="198" t="inlineStr">
        <is>
          <t>vida.rolagem.16</t>
        </is>
      </c>
      <c r="B5258" s="198">
        <f>IF(ISBLANK('CONFIGURAÇÃO'!$F$115),"",'CONFIGURAÇÃO'!$F$115&amp;"")</f>
        <v/>
      </c>
      <c r="C5258" s="198">
        <f>"'CONFIGURAÇÃO'!F115"</f>
        <v/>
      </c>
      <c r="D5258" s="198" t="inlineStr">
        <is>
          <t>configuração</t>
        </is>
      </c>
    </row>
    <row r="5259">
      <c r="A5259" s="198" t="inlineStr">
        <is>
          <t>vida.rolagem.17</t>
        </is>
      </c>
      <c r="B5259" s="198">
        <f>IF(ISBLANK('CONFIGURAÇÃO'!$F$116),"",'CONFIGURAÇÃO'!$F$116&amp;"")</f>
        <v/>
      </c>
      <c r="C5259" s="198">
        <f>"'CONFIGURAÇÃO'!F116"</f>
        <v/>
      </c>
      <c r="D5259" s="198" t="inlineStr">
        <is>
          <t>configuração</t>
        </is>
      </c>
    </row>
    <row r="5260">
      <c r="A5260" s="198" t="inlineStr">
        <is>
          <t>vida.rolagem.18</t>
        </is>
      </c>
      <c r="B5260" s="198">
        <f>IF(ISBLANK('CONFIGURAÇÃO'!$F$117),"",'CONFIGURAÇÃO'!$F$117&amp;"")</f>
        <v/>
      </c>
      <c r="C5260" s="198">
        <f>"'CONFIGURAÇÃO'!F117"</f>
        <v/>
      </c>
      <c r="D5260" s="198" t="inlineStr">
        <is>
          <t>configuração</t>
        </is>
      </c>
    </row>
    <row r="5261">
      <c r="A5261" s="198" t="inlineStr">
        <is>
          <t>vida.rolagem.19</t>
        </is>
      </c>
      <c r="B5261" s="198">
        <f>IF(ISBLANK('CONFIGURAÇÃO'!$F$118),"",'CONFIGURAÇÃO'!$F$118&amp;"")</f>
        <v/>
      </c>
      <c r="C5261" s="198">
        <f>"'CONFIGURAÇÃO'!F118"</f>
        <v/>
      </c>
      <c r="D5261" s="198" t="inlineStr">
        <is>
          <t>configuração</t>
        </is>
      </c>
    </row>
    <row r="5262">
      <c r="A5262" s="198" t="inlineStr">
        <is>
          <t>vida.rolagem.20</t>
        </is>
      </c>
      <c r="B5262" s="198">
        <f>IF(ISBLANK('CONFIGURAÇÃO'!$F$119),"",'CONFIGURAÇÃO'!$F$119&amp;"")</f>
        <v/>
      </c>
      <c r="C5262" s="198">
        <f>"'CONFIGURAÇÃO'!F119"</f>
        <v/>
      </c>
      <c r="D5262" s="198" t="inlineStr">
        <is>
          <t>configuração</t>
        </is>
      </c>
    </row>
    <row r="5263">
      <c r="A5263" s="198" t="inlineStr">
        <is>
          <t>vida.rolagem.21</t>
        </is>
      </c>
      <c r="B5263" s="198">
        <f>IF(ISBLANK('CONFIGURAÇÃO'!$F$120),"",'CONFIGURAÇÃO'!$F$120&amp;"")</f>
        <v/>
      </c>
      <c r="C5263" s="198">
        <f>"'CONFIGURAÇÃO'!F120"</f>
        <v/>
      </c>
      <c r="D5263" s="198" t="inlineStr">
        <is>
          <t>configuração</t>
        </is>
      </c>
    </row>
    <row r="5264">
      <c r="A5264" s="198" t="inlineStr">
        <is>
          <t>vida.rolagem.22</t>
        </is>
      </c>
      <c r="B5264" s="198">
        <f>IF(ISBLANK('CONFIGURAÇÃO'!$F$121),"",'CONFIGURAÇÃO'!$F$121&amp;"")</f>
        <v/>
      </c>
      <c r="C5264" s="198">
        <f>"'CONFIGURAÇÃO'!F121"</f>
        <v/>
      </c>
      <c r="D5264" s="198" t="inlineStr">
        <is>
          <t>configuração</t>
        </is>
      </c>
    </row>
    <row r="5265">
      <c r="A5265" s="198" t="inlineStr">
        <is>
          <t>vida.rolagem.23</t>
        </is>
      </c>
      <c r="B5265" s="198">
        <f>IF(ISBLANK('CONFIGURAÇÃO'!$F$122),"",'CONFIGURAÇÃO'!$F$122&amp;"")</f>
        <v/>
      </c>
      <c r="C5265" s="198">
        <f>"'CONFIGURAÇÃO'!F122"</f>
        <v/>
      </c>
      <c r="D5265" s="198" t="inlineStr">
        <is>
          <t>configuração</t>
        </is>
      </c>
    </row>
    <row r="5266">
      <c r="A5266" s="198" t="inlineStr">
        <is>
          <t>vida.rolagem.24</t>
        </is>
      </c>
      <c r="B5266" s="198">
        <f>IF(ISBLANK('CONFIGURAÇÃO'!$F$123),"",'CONFIGURAÇÃO'!$F$123&amp;"")</f>
        <v/>
      </c>
      <c r="C5266" s="198">
        <f>"'CONFIGURAÇÃO'!F123"</f>
        <v/>
      </c>
      <c r="D5266" s="198" t="inlineStr">
        <is>
          <t>configuração</t>
        </is>
      </c>
    </row>
    <row r="5267">
      <c r="A5267" s="198" t="inlineStr">
        <is>
          <t>vida.rolagem.25</t>
        </is>
      </c>
      <c r="B5267" s="198">
        <f>IF(ISBLANK('CONFIGURAÇÃO'!$F$124),"",'CONFIGURAÇÃO'!$F$124&amp;"")</f>
        <v/>
      </c>
      <c r="C5267" s="198">
        <f>"'CONFIGURAÇÃO'!F124"</f>
        <v/>
      </c>
      <c r="D5267" s="198" t="inlineStr">
        <is>
          <t>configuração</t>
        </is>
      </c>
    </row>
    <row r="5268">
      <c r="A5268" s="198" t="inlineStr">
        <is>
          <t>vida.rolagem.26</t>
        </is>
      </c>
      <c r="B5268" s="198">
        <f>IF(ISBLANK('CONFIGURAÇÃO'!$F$125),"",'CONFIGURAÇÃO'!$F$125&amp;"")</f>
        <v/>
      </c>
      <c r="C5268" s="198">
        <f>"'CONFIGURAÇÃO'!F125"</f>
        <v/>
      </c>
      <c r="D5268" s="198" t="inlineStr">
        <is>
          <t>configuração</t>
        </is>
      </c>
    </row>
    <row r="5269">
      <c r="A5269" s="198" t="inlineStr">
        <is>
          <t>vida.rolagem.27</t>
        </is>
      </c>
      <c r="B5269" s="198">
        <f>IF(ISBLANK('CONFIGURAÇÃO'!$F$126),"",'CONFIGURAÇÃO'!$F$126&amp;"")</f>
        <v/>
      </c>
      <c r="C5269" s="198">
        <f>"'CONFIGURAÇÃO'!F126"</f>
        <v/>
      </c>
      <c r="D5269" s="198" t="inlineStr">
        <is>
          <t>configuração</t>
        </is>
      </c>
    </row>
    <row r="5270">
      <c r="A5270" s="198" t="inlineStr">
        <is>
          <t>vida.rolagem.28</t>
        </is>
      </c>
      <c r="B5270" s="198">
        <f>IF(ISBLANK('CONFIGURAÇÃO'!$F$127),"",'CONFIGURAÇÃO'!$F$127&amp;"")</f>
        <v/>
      </c>
      <c r="C5270" s="198">
        <f>"'CONFIGURAÇÃO'!F127"</f>
        <v/>
      </c>
      <c r="D5270" s="198" t="inlineStr">
        <is>
          <t>configuração</t>
        </is>
      </c>
    </row>
    <row r="5271">
      <c r="A5271" s="198" t="inlineStr">
        <is>
          <t>vida.rolagem.29</t>
        </is>
      </c>
      <c r="B5271" s="198">
        <f>IF(ISBLANK('CONFIGURAÇÃO'!$F$128),"",'CONFIGURAÇÃO'!$F$128&amp;"")</f>
        <v/>
      </c>
      <c r="C5271" s="198">
        <f>"'CONFIGURAÇÃO'!F128"</f>
        <v/>
      </c>
      <c r="D5271" s="198" t="inlineStr">
        <is>
          <t>configuração</t>
        </is>
      </c>
    </row>
    <row r="5272">
      <c r="A5272" s="198" t="inlineStr">
        <is>
          <t>vida.rolagem.30</t>
        </is>
      </c>
      <c r="B5272" s="198">
        <f>IF(ISBLANK('CONFIGURAÇÃO'!$F$129),"",'CONFIGURAÇÃO'!$F$129&amp;"")</f>
        <v/>
      </c>
      <c r="C5272" s="198">
        <f>"'CONFIGURAÇÃO'!F129"</f>
        <v/>
      </c>
      <c r="D5272" s="198" t="inlineStr">
        <is>
          <t>configuração</t>
        </is>
      </c>
    </row>
    <row r="5273">
      <c r="A5273" s="198" t="inlineStr">
        <is>
          <t>aviso.regras_campanha</t>
        </is>
      </c>
      <c r="B5273" s="198">
        <f>IF(ISBLANK(DADOS_CONFIG!$T$17),"",DADOS_CONFIG!$T$17&amp;"")</f>
        <v/>
      </c>
      <c r="C5273" s="198" t="inlineStr">
        <is>
          <t>DADOS_CONFIG!T17</t>
        </is>
      </c>
      <c r="D5273" s="198" t="inlineStr">
        <is>
          <t>configuração</t>
        </is>
      </c>
    </row>
    <row r="5274">
      <c r="A5274" s="198" t="inlineStr">
        <is>
          <t>aviso.vida_rolada</t>
        </is>
      </c>
      <c r="B5274" s="198">
        <f>IF(ISBLANK(DADOS_CONFIG!$AF$32),"",DADOS_CONFIG!$AF$32&amp;"")</f>
        <v/>
      </c>
      <c r="C5274" s="198" t="inlineStr">
        <is>
          <t>DADOS_CONFIG!AF32</t>
        </is>
      </c>
      <c r="D5274" s="198" t="inlineStr">
        <is>
          <t>configuração</t>
        </is>
      </c>
    </row>
    <row r="5275">
      <c r="A5275" s="198" t="inlineStr">
        <is>
          <t>sequela.extras</t>
        </is>
      </c>
      <c r="B5275" s="198">
        <f>IF(ISBLANK('FICHA'!$J$50),"",'FICHA'!$J$50&amp;"")</f>
        <v/>
      </c>
      <c r="C5275" s="198">
        <f>"'FICHA'!J50"</f>
        <v/>
      </c>
      <c r="D5275" s="198" t="inlineStr">
        <is>
          <t>configuração</t>
        </is>
      </c>
    </row>
    <row r="5276">
      <c r="A5276" s="198" t="inlineStr">
        <is>
          <t>custom.1.tipo</t>
        </is>
      </c>
      <c r="B5276" s="198">
        <f>IF(ISBLANK('CONFIGURAÇÃO'!$T$14),"",'CONFIGURAÇÃO'!$T$14&amp;"")</f>
        <v/>
      </c>
      <c r="C5276" s="198">
        <f>"'CONFIGURAÇÃO'!T14"</f>
        <v/>
      </c>
      <c r="D5276" s="198" t="inlineStr">
        <is>
          <t>configuração</t>
        </is>
      </c>
    </row>
    <row r="5277">
      <c r="A5277" s="198" t="inlineStr">
        <is>
          <t>custom.1.nome</t>
        </is>
      </c>
      <c r="B5277" s="198">
        <f>IF(ISBLANK('CONFIGURAÇÃO'!$T$16),"",'CONFIGURAÇÃO'!$T$16&amp;"")</f>
        <v/>
      </c>
      <c r="C5277" s="198">
        <f>"'CONFIGURAÇÃO'!T16"</f>
        <v/>
      </c>
      <c r="D5277" s="198" t="inlineStr">
        <is>
          <t>configuração</t>
        </is>
      </c>
    </row>
    <row r="5278">
      <c r="A5278" s="198" t="inlineStr">
        <is>
          <t>custom.1.mestre_viu</t>
        </is>
      </c>
      <c r="B5278" s="198">
        <f>N('CONFIGURAÇÃO'!$X$14)&amp;""</f>
        <v/>
      </c>
      <c r="C5278" s="198">
        <f>"'CONFIGURAÇÃO'!X14"</f>
        <v/>
      </c>
      <c r="D5278" s="198" t="inlineStr">
        <is>
          <t>configuração</t>
        </is>
      </c>
    </row>
    <row r="5279">
      <c r="A5279" s="198" t="inlineStr">
        <is>
          <t>custom.1.efeito</t>
        </is>
      </c>
      <c r="B5279" s="198">
        <f>IF(ISBLANK('CONFIGURAÇÃO'!$T$31),"",'CONFIGURAÇÃO'!$T$31&amp;"")</f>
        <v/>
      </c>
      <c r="C5279" s="198">
        <f>"'CONFIGURAÇÃO'!T31"</f>
        <v/>
      </c>
      <c r="D5279" s="198" t="inlineStr">
        <is>
          <t>configuração</t>
        </is>
      </c>
    </row>
    <row r="5280">
      <c r="A5280" s="198" t="inlineStr">
        <is>
          <t>custom.1.campo.alcance</t>
        </is>
      </c>
      <c r="B5280" s="198">
        <f>SWITCH('CONFIGURAÇÃO'!$T$14,"Arma",IF(ISBLANK('CONFIGURAÇÃO'!$V$27),"",'CONFIGURAÇÃO'!$V$27&amp;""),"")</f>
        <v/>
      </c>
      <c r="C5280" s="198">
        <f>"'CONFIGURAÇÃO'!V27"</f>
        <v/>
      </c>
      <c r="D5280" s="198" t="inlineStr">
        <is>
          <t>configuração</t>
        </is>
      </c>
    </row>
    <row r="5281">
      <c r="A5281" s="198" t="inlineStr">
        <is>
          <t>custom.1.campo.base</t>
        </is>
      </c>
      <c r="B5281" s="198">
        <f>SWITCH('CONFIGURAÇÃO'!$T$14,"Ferramenta amaldiçoada",IF(ISBLANK('CONFIGURAÇÃO'!$V$17),"",'CONFIGURAÇÃO'!$V$17&amp;""),"")</f>
        <v/>
      </c>
      <c r="C5281" s="198">
        <f>"'CONFIGURAÇÃO'!V17"</f>
        <v/>
      </c>
      <c r="D5281" s="198" t="inlineStr">
        <is>
          <t>configuração</t>
        </is>
      </c>
    </row>
    <row r="5282">
      <c r="A5282" s="198" t="inlineStr">
        <is>
          <t>custom.1.campo.base_do_livro</t>
        </is>
      </c>
      <c r="B5282" s="198">
        <f>SWITCH('CONFIGURAÇÃO'!$T$14,"Origem",IF(ISBLANK('CONFIGURAÇÃO'!$V$22),"",'CONFIGURAÇÃO'!$V$22&amp;""),"")</f>
        <v/>
      </c>
      <c r="C5282" s="198">
        <f>"'CONFIGURAÇÃO'!V22"</f>
        <v/>
      </c>
      <c r="D5282" s="198" t="inlineStr">
        <is>
          <t>configuração</t>
        </is>
      </c>
    </row>
    <row r="5283">
      <c r="A5283" s="198" t="inlineStr">
        <is>
          <t>custom.1.campo.categoria</t>
        </is>
      </c>
      <c r="B5283" s="198">
        <f>SWITCH('CONFIGURAÇÃO'!$T$14,"Arma",IF(ISBLANK('CONFIGURAÇÃO'!$V$17),"",'CONFIGURAÇÃO'!$V$17&amp;""),"")</f>
        <v/>
      </c>
      <c r="C5283" s="198">
        <f>"'CONFIGURAÇÃO'!V17"</f>
        <v/>
      </c>
      <c r="D5283" s="198" t="inlineStr">
        <is>
          <t>configuração</t>
        </is>
      </c>
    </row>
    <row r="5284">
      <c r="A5284" s="198" t="inlineStr">
        <is>
          <t>custom.1.campo.dado</t>
        </is>
      </c>
      <c r="B5284" s="198">
        <f>SWITCH('CONFIGURAÇÃO'!$T$14,"Arma",IF(ISBLANK('CONFIGURAÇÃO'!$V$24),"",'CONFIGURAÇÃO'!$V$24&amp;""),"")</f>
        <v/>
      </c>
      <c r="C5284" s="198">
        <f>"'CONFIGURAÇÃO'!V24"</f>
        <v/>
      </c>
      <c r="D5284" s="198" t="inlineStr">
        <is>
          <t>configuração</t>
        </is>
      </c>
    </row>
    <row r="5285">
      <c r="A5285" s="198" t="inlineStr">
        <is>
          <t>custom.1.campo.desgaste</t>
        </is>
      </c>
      <c r="B5285" s="198">
        <f>SWITCH('CONFIGURAÇÃO'!$T$14,"Ferramenta amaldiçoada",IF(ISBLANK('CONFIGURAÇÃO'!$V$25),"",'CONFIGURAÇÃO'!$V$25&amp;""),"")</f>
        <v/>
      </c>
      <c r="C5285" s="198">
        <f>"'CONFIGURAÇÃO'!V25"</f>
        <v/>
      </c>
      <c r="D5285" s="198" t="inlineStr">
        <is>
          <t>configuração</t>
        </is>
      </c>
    </row>
    <row r="5286">
      <c r="A5286" s="198" t="inlineStr">
        <is>
          <t>custom.1.campo.estigma</t>
        </is>
      </c>
      <c r="B5286" s="198">
        <f>SWITCH('CONFIGURAÇÃO'!$T$14,"Ferramenta amaldiçoada",IF(ISBLANK('CONFIGURAÇÃO'!$V$24),"",'CONFIGURAÇÃO'!$V$24&amp;""),"")</f>
        <v/>
      </c>
      <c r="C5286" s="198">
        <f>"'CONFIGURAÇÃO'!V24"</f>
        <v/>
      </c>
      <c r="D5286" s="198" t="inlineStr">
        <is>
          <t>configuração</t>
        </is>
      </c>
    </row>
    <row r="5287">
      <c r="A5287" s="198" t="inlineStr">
        <is>
          <t>custom.1.campo.exige_marcante</t>
        </is>
      </c>
      <c r="B5287" s="198">
        <f>SWITCH('CONFIGURAÇÃO'!$T$14,"Menor",IF(ISBLANK('CONFIGURAÇÃO'!$V$18),"",'CONFIGURAÇÃO'!$V$18&amp;""),"")</f>
        <v/>
      </c>
      <c r="C5287" s="198">
        <f>"'CONFIGURAÇÃO'!V18"</f>
        <v/>
      </c>
      <c r="D5287" s="198" t="inlineStr">
        <is>
          <t>configuração</t>
        </is>
      </c>
    </row>
    <row r="5288">
      <c r="A5288" s="198" t="inlineStr">
        <is>
          <t>custom.1.campo.forca</t>
        </is>
      </c>
      <c r="B5288" s="198">
        <f>SWITCH('CONFIGURAÇÃO'!$T$14,"Arma",IF(ISBLANK('CONFIGURAÇÃO'!$V$25),"",'CONFIGURAÇÃO'!$V$25&amp;""),"Escudo",IF(ISBLANK('CONFIGURAÇÃO'!$V$26),"",'CONFIGURAÇÃO'!$V$26&amp;""),"Uniforme",IF(ISBLANK('CONFIGURAÇÃO'!$V$26),"",'CONFIGURAÇÃO'!$V$26&amp;""),"")</f>
        <v/>
      </c>
      <c r="C5288" s="198">
        <f>"'CONFIGURAÇÃO'!L22 'CONFIGURAÇÃO'!L23 'CONFIGURAÇÃO'!L23"</f>
        <v/>
      </c>
      <c r="D5288" s="198" t="inlineStr">
        <is>
          <t>configuração</t>
        </is>
      </c>
    </row>
    <row r="5289">
      <c r="A5289" s="198" t="inlineStr">
        <is>
          <t>custom.1.campo.frequencia</t>
        </is>
      </c>
      <c r="B5289" s="198">
        <f>SWITCH('CONFIGURAÇÃO'!$T$14,"Marcante",IF(ISBLANK('CONFIGURAÇÃO'!$V$24),"",'CONFIGURAÇÃO'!$V$24&amp;""),"Menor",IF(ISBLANK('CONFIGURAÇÃO'!$V$24),"",'CONFIGURAÇÃO'!$V$24&amp;""),"")</f>
        <v/>
      </c>
      <c r="C5289" s="198">
        <f>"'CONFIGURAÇÃO'!L21 'CONFIGURAÇÃO'!L21"</f>
        <v/>
      </c>
      <c r="D5289" s="198" t="inlineStr">
        <is>
          <t>configuração</t>
        </is>
      </c>
    </row>
    <row r="5290">
      <c r="A5290" s="198" t="inlineStr">
        <is>
          <t>custom.1.campo.grau</t>
        </is>
      </c>
      <c r="B5290" s="198">
        <f>SWITCH('CONFIGURAÇÃO'!$T$14,"Ferramenta amaldiçoada",IF(ISBLANK('CONFIGURAÇÃO'!$V$18),"",'CONFIGURAÇÃO'!$V$18&amp;""),"")</f>
        <v/>
      </c>
      <c r="C5290" s="198">
        <f>"'CONFIGURAÇÃO'!V18"</f>
        <v/>
      </c>
      <c r="D5290" s="198" t="inlineStr">
        <is>
          <t>configuração</t>
        </is>
      </c>
    </row>
    <row r="5291">
      <c r="A5291" s="198" t="inlineStr">
        <is>
          <t>custom.1.campo.grau_minimo</t>
        </is>
      </c>
      <c r="B5291" s="198">
        <f>SWITCH('CONFIGURAÇÃO'!$T$14,"Uniforme",IF(ISBLANK('CONFIGURAÇÃO'!$V$17),"",'CONFIGURAÇÃO'!$V$17&amp;""),"")</f>
        <v/>
      </c>
      <c r="C5291" s="198">
        <f>"'CONFIGURAÇÃO'!V17"</f>
        <v/>
      </c>
      <c r="D5291" s="198" t="inlineStr">
        <is>
          <t>configuração</t>
        </is>
      </c>
    </row>
    <row r="5292">
      <c r="A5292" s="198" t="inlineStr">
        <is>
          <t>custom.1.campo.mao</t>
        </is>
      </c>
      <c r="B5292" s="198">
        <f>SWITCH('CONFIGURAÇÃO'!$T$14,"Arma",IF(ISBLANK('CONFIGURAÇÃO'!$V$18),"",'CONFIGURAÇÃO'!$V$18&amp;""),"")</f>
        <v/>
      </c>
      <c r="C5292" s="198">
        <f>"'CONFIGURAÇÃO'!V18"</f>
        <v/>
      </c>
      <c r="D5292" s="198" t="inlineStr">
        <is>
          <t>configuração</t>
        </is>
      </c>
    </row>
    <row r="5293">
      <c r="A5293" s="198" t="inlineStr">
        <is>
          <t>custom.1.campo.oficio</t>
        </is>
      </c>
      <c r="B5293" s="198">
        <f>SWITCH('CONFIGURAÇÃO'!$T$14,"Origem",IF(ISBLANK('CONFIGURAÇÃO'!$V$23),"",'CONFIGURAÇÃO'!$V$23&amp;""),"")</f>
        <v/>
      </c>
      <c r="C5293" s="198">
        <f>"'CONFIGURAÇÃO'!V23"</f>
        <v/>
      </c>
      <c r="D5293" s="198" t="inlineStr">
        <is>
          <t>configuração</t>
        </is>
      </c>
    </row>
    <row r="5294">
      <c r="A5294" s="198" t="inlineStr">
        <is>
          <t>custom.1.campo.origem</t>
        </is>
      </c>
      <c r="B5294" s="198">
        <f>SWITCH('CONFIGURAÇÃO'!$T$14,"Marcante",IF(ISBLANK('CONFIGURAÇÃO'!$V$17),"",'CONFIGURAÇÃO'!$V$17&amp;""),"Menor",IF(ISBLANK('CONFIGURAÇÃO'!$V$17),"",'CONFIGURAÇÃO'!$V$17&amp;""),"")</f>
        <v/>
      </c>
      <c r="C5294" s="198">
        <f>"'CONFIGURAÇÃO'!L14 'CONFIGURAÇÃO'!L14"</f>
        <v/>
      </c>
      <c r="D5294" s="198" t="inlineStr">
        <is>
          <t>configuração</t>
        </is>
      </c>
    </row>
    <row r="5295">
      <c r="A5295" s="198" t="inlineStr">
        <is>
          <t>custom.1.campo.pericia_1</t>
        </is>
      </c>
      <c r="B5295" s="198">
        <f>SWITCH('CONFIGURAÇÃO'!$T$14,"Origem",IF(ISBLANK('CONFIGURAÇÃO'!$V$17),"",'CONFIGURAÇÃO'!$V$17&amp;""),"")</f>
        <v/>
      </c>
      <c r="C5295" s="198">
        <f>"'CONFIGURAÇÃO'!V17"</f>
        <v/>
      </c>
      <c r="D5295" s="198" t="inlineStr">
        <is>
          <t>configuração</t>
        </is>
      </c>
    </row>
    <row r="5296">
      <c r="A5296" s="198" t="inlineStr">
        <is>
          <t>custom.1.campo.pericia_2</t>
        </is>
      </c>
      <c r="B5296" s="198">
        <f>SWITCH('CONFIGURAÇÃO'!$T$14,"Origem",IF(ISBLANK('CONFIGURAÇÃO'!$V$18),"",'CONFIGURAÇÃO'!$V$18&amp;""),"")</f>
        <v/>
      </c>
      <c r="C5296" s="198">
        <f>"'CONFIGURAÇÃO'!V18"</f>
        <v/>
      </c>
      <c r="D5296" s="198" t="inlineStr">
        <is>
          <t>configuração</t>
        </is>
      </c>
    </row>
    <row r="5297">
      <c r="A5297" s="198" t="inlineStr">
        <is>
          <t>custom.1.campo.pericia_3</t>
        </is>
      </c>
      <c r="B5297" s="198">
        <f>SWITCH('CONFIGURAÇÃO'!$T$14,"Origem",IF(ISBLANK('CONFIGURAÇÃO'!$V$19),"",'CONFIGURAÇÃO'!$V$19&amp;""),"")</f>
        <v/>
      </c>
      <c r="C5297" s="198">
        <f>"'CONFIGURAÇÃO'!V19"</f>
        <v/>
      </c>
      <c r="D5297" s="198" t="inlineStr">
        <is>
          <t>configuração</t>
        </is>
      </c>
    </row>
    <row r="5298">
      <c r="A5298" s="198" t="inlineStr">
        <is>
          <t>custom.1.campo.pericia_4</t>
        </is>
      </c>
      <c r="B5298" s="198">
        <f>SWITCH('CONFIGURAÇÃO'!$T$14,"Origem",IF(ISBLANK('CONFIGURAÇÃO'!$V$20),"",'CONFIGURAÇÃO'!$V$20&amp;""),"")</f>
        <v/>
      </c>
      <c r="C5298" s="198">
        <f>"'CONFIGURAÇÃO'!V20"</f>
        <v/>
      </c>
      <c r="D5298" s="198" t="inlineStr">
        <is>
          <t>configuração</t>
        </is>
      </c>
    </row>
    <row r="5299">
      <c r="A5299" s="198" t="inlineStr">
        <is>
          <t>custom.1.campo.preco</t>
        </is>
      </c>
      <c r="B5299" s="198">
        <f>SWITCH('CONFIGURAÇÃO'!$T$14,"Arma",IF(ISBLANK('CONFIGURAÇÃO'!$V$29),"",'CONFIGURAÇÃO'!$V$29&amp;""),"Escudo",IF(ISBLANK('CONFIGURAÇÃO'!$V$28),"",'CONFIGURAÇÃO'!$V$28&amp;""),"Uniforme",IF(ISBLANK('CONFIGURAÇÃO'!$V$28),"",'CONFIGURAÇÃO'!$V$28&amp;""),"Item comum",IF(ISBLANK('CONFIGURAÇÃO'!$V$25),"",'CONFIGURAÇÃO'!$V$25&amp;""),"Ferramenta amaldiçoada",IF(ISBLANK('CONFIGURAÇÃO'!$V$27),"",'CONFIGURAÇÃO'!$V$27&amp;""),"")</f>
        <v/>
      </c>
      <c r="C5299" s="198">
        <f>"'CONFIGURAÇÃO'!L26 'CONFIGURAÇÃO'!L25 'CONFIGURAÇÃO'!L25 'CONFIGURAÇÃO'!L22 'CONFIGURAÇÃO'!L24"</f>
        <v/>
      </c>
      <c r="D5299" s="198" t="inlineStr">
        <is>
          <t>configuração</t>
        </is>
      </c>
    </row>
    <row r="5300">
      <c r="A5300" s="198" t="inlineStr">
        <is>
          <t>custom.1.campo.propriedade_1</t>
        </is>
      </c>
      <c r="B5300" s="198">
        <f>SWITCH('CONFIGURAÇÃO'!$T$14,"Arma",IF(ISBLANK('CONFIGURAÇÃO'!$V$20),"",'CONFIGURAÇÃO'!$V$20&amp;""),"")</f>
        <v/>
      </c>
      <c r="C5300" s="198">
        <f>"'CONFIGURAÇÃO'!V20"</f>
        <v/>
      </c>
      <c r="D5300" s="198" t="inlineStr">
        <is>
          <t>configuração</t>
        </is>
      </c>
    </row>
    <row r="5301">
      <c r="A5301" s="198" t="inlineStr">
        <is>
          <t>custom.1.campo.propriedade_2</t>
        </is>
      </c>
      <c r="B5301" s="198">
        <f>SWITCH('CONFIGURAÇÃO'!$T$14,"Arma",IF(ISBLANK('CONFIGURAÇÃO'!$V$21),"",'CONFIGURAÇÃO'!$V$21&amp;""),"")</f>
        <v/>
      </c>
      <c r="C5301" s="198">
        <f>"'CONFIGURAÇÃO'!V21"</f>
        <v/>
      </c>
      <c r="D5301" s="198" t="inlineStr">
        <is>
          <t>configuração</t>
        </is>
      </c>
    </row>
    <row r="5302">
      <c r="A5302" s="198" t="inlineStr">
        <is>
          <t>custom.1.campo.propriedade_3</t>
        </is>
      </c>
      <c r="B5302" s="198">
        <f>SWITCH('CONFIGURAÇÃO'!$T$14,"Arma",IF(ISBLANK('CONFIGURAÇÃO'!$V$22),"",'CONFIGURAÇÃO'!$V$22&amp;""),"")</f>
        <v/>
      </c>
      <c r="C5302" s="198">
        <f>"'CONFIGURAÇÃO'!V22"</f>
        <v/>
      </c>
      <c r="D5302" s="198" t="inlineStr">
        <is>
          <t>configuração</t>
        </is>
      </c>
    </row>
    <row r="5303">
      <c r="A5303" s="198" t="inlineStr">
        <is>
          <t>custom.1.campo.propriedade_4</t>
        </is>
      </c>
      <c r="B5303" s="198">
        <f>SWITCH('CONFIGURAÇÃO'!$T$14,"Arma",IF(ISBLANK('CONFIGURAÇÃO'!$V$23),"",'CONFIGURAÇÃO'!$V$23&amp;""),"")</f>
        <v/>
      </c>
      <c r="C5303" s="198">
        <f>"'CONFIGURAÇÃO'!V23"</f>
        <v/>
      </c>
      <c r="D5303" s="198" t="inlineStr">
        <is>
          <t>configuração</t>
        </is>
      </c>
    </row>
    <row r="5304">
      <c r="A5304" s="198" t="inlineStr">
        <is>
          <t>custom.1.campo.protecao</t>
        </is>
      </c>
      <c r="B5304" s="198">
        <f>SWITCH('CONFIGURAÇÃO'!$T$14,"Escudo",IF(ISBLANK('CONFIGURAÇÃO'!$V$24),"",'CONFIGURAÇÃO'!$V$24&amp;""),"Uniforme",IF(ISBLANK('CONFIGURAÇÃO'!$V$24),"",'CONFIGURAÇÃO'!$V$24&amp;""),"")</f>
        <v/>
      </c>
      <c r="C5304" s="198">
        <f>"'CONFIGURAÇÃO'!L21 'CONFIGURAÇÃO'!L21"</f>
        <v/>
      </c>
      <c r="D5304" s="198" t="inlineStr">
        <is>
          <t>configuração</t>
        </is>
      </c>
    </row>
    <row r="5305">
      <c r="A5305" s="198" t="inlineStr">
        <is>
          <t>custom.1.campo.recarga</t>
        </is>
      </c>
      <c r="B5305" s="198">
        <f>SWITCH('CONFIGURAÇÃO'!$T$14,"Arma",IF(ISBLANK('CONFIGURAÇÃO'!$V$28),"",'CONFIGURAÇÃO'!$V$28&amp;""),"")</f>
        <v/>
      </c>
      <c r="C5305" s="198">
        <f>"'CONFIGURAÇÃO'!V28"</f>
        <v/>
      </c>
      <c r="D5305" s="198" t="inlineStr">
        <is>
          <t>configuração</t>
        </is>
      </c>
    </row>
    <row r="5306">
      <c r="A5306" s="198" t="inlineStr">
        <is>
          <t>custom.1.campo.rota</t>
        </is>
      </c>
      <c r="B5306" s="198">
        <f>SWITCH('CONFIGURAÇÃO'!$T$14,"Origem",IF(ISBLANK('CONFIGURAÇÃO'!$V$21),"",'CONFIGURAÇÃO'!$V$21&amp;""),"")</f>
        <v/>
      </c>
      <c r="C5306" s="198">
        <f>"'CONFIGURAÇÃO'!V21"</f>
        <v/>
      </c>
      <c r="D5306" s="198" t="inlineStr">
        <is>
          <t>configuração</t>
        </is>
      </c>
    </row>
    <row r="5307">
      <c r="A5307" s="198" t="inlineStr">
        <is>
          <t>custom.1.campo.talento_ce_4</t>
        </is>
      </c>
      <c r="B5307" s="198">
        <f>SWITCH('CONFIGURAÇÃO'!$T$14,"Origem",IF(ISBLANK('CONFIGURAÇÃO'!$V$24),"",'CONFIGURAÇÃO'!$V$24&amp;""),"")</f>
        <v/>
      </c>
      <c r="C5307" s="198">
        <f>"'CONFIGURAÇÃO'!V24"</f>
        <v/>
      </c>
      <c r="D5307" s="198" t="inlineStr">
        <is>
          <t>configuração</t>
        </is>
      </c>
    </row>
    <row r="5308">
      <c r="A5308" s="198" t="inlineStr">
        <is>
          <t>custom.1.campo.teto_de_destreza</t>
        </is>
      </c>
      <c r="B5308" s="198">
        <f>SWITCH('CONFIGURAÇÃO'!$T$14,"Escudo",IF(ISBLANK('CONFIGURAÇÃO'!$V$25),"",'CONFIGURAÇÃO'!$V$25&amp;""),"Uniforme",IF(ISBLANK('CONFIGURAÇÃO'!$V$25),"",'CONFIGURAÇÃO'!$V$25&amp;""),"")</f>
        <v/>
      </c>
      <c r="C5308" s="198">
        <f>"'CONFIGURAÇÃO'!L22 'CONFIGURAÇÃO'!L22"</f>
        <v/>
      </c>
      <c r="D5308" s="198" t="inlineStr">
        <is>
          <t>configuração</t>
        </is>
      </c>
    </row>
    <row r="5309">
      <c r="A5309" s="198" t="inlineStr">
        <is>
          <t>custom.1.campo.tipo_de_dano</t>
        </is>
      </c>
      <c r="B5309" s="198">
        <f>SWITCH('CONFIGURAÇÃO'!$T$14,"Arma",IF(ISBLANK('CONFIGURAÇÃO'!$V$19),"",'CONFIGURAÇÃO'!$V$19&amp;""),"")</f>
        <v/>
      </c>
      <c r="C5309" s="198">
        <f>"'CONFIGURAÇÃO'!V19"</f>
        <v/>
      </c>
      <c r="D5309" s="198" t="inlineStr">
        <is>
          <t>configuração</t>
        </is>
      </c>
    </row>
    <row r="5310">
      <c r="A5310" s="198" t="inlineStr">
        <is>
          <t>custom.1.campo.volume</t>
        </is>
      </c>
      <c r="B5310" s="198">
        <f>SWITCH('CONFIGURAÇÃO'!$T$14,"Arma",IF(ISBLANK('CONFIGURAÇÃO'!$V$26),"",'CONFIGURAÇÃO'!$V$26&amp;""),"Escudo",IF(ISBLANK('CONFIGURAÇÃO'!$V$27),"",'CONFIGURAÇÃO'!$V$27&amp;""),"Uniforme",IF(ISBLANK('CONFIGURAÇÃO'!$V$27),"",'CONFIGURAÇÃO'!$V$27&amp;""),"Item comum",IF(ISBLANK('CONFIGURAÇÃO'!$V$24),"",'CONFIGURAÇÃO'!$V$24&amp;""),"Ferramenta amaldiçoada",IF(ISBLANK('CONFIGURAÇÃO'!$V$26),"",'CONFIGURAÇÃO'!$V$26&amp;""),"")</f>
        <v/>
      </c>
      <c r="C5310" s="198">
        <f>"'CONFIGURAÇÃO'!L23 'CONFIGURAÇÃO'!L24 'CONFIGURAÇÃO'!L24 'CONFIGURAÇÃO'!L21 'CONFIGURAÇÃO'!L23"</f>
        <v/>
      </c>
      <c r="D5310" s="198" t="inlineStr">
        <is>
          <t>configuração</t>
        </is>
      </c>
    </row>
    <row r="5311">
      <c r="A5311" s="198" t="inlineStr">
        <is>
          <t>aviso.custom.1</t>
        </is>
      </c>
      <c r="B5311" s="198">
        <f>'DADOS_CUSTOM'!$S$2&amp;""</f>
        <v/>
      </c>
      <c r="C5311" s="198" t="inlineStr">
        <is>
          <t>DADOS_CUSTOM!S2</t>
        </is>
      </c>
      <c r="D5311" s="198" t="inlineStr">
        <is>
          <t>aviso</t>
        </is>
      </c>
    </row>
    <row r="5312">
      <c r="A5312" s="198" t="inlineStr">
        <is>
          <t>custom.2.tipo</t>
        </is>
      </c>
      <c r="B5312" s="198">
        <f>IF(ISBLANK('CONFIGURAÇÃO'!$AB$14),"",'CONFIGURAÇÃO'!$AB$14&amp;"")</f>
        <v/>
      </c>
      <c r="C5312" s="198">
        <f>"'CONFIGURAÇÃO'!AB14"</f>
        <v/>
      </c>
      <c r="D5312" s="198" t="inlineStr">
        <is>
          <t>configuração</t>
        </is>
      </c>
    </row>
    <row r="5313">
      <c r="A5313" s="198" t="inlineStr">
        <is>
          <t>custom.2.nome</t>
        </is>
      </c>
      <c r="B5313" s="198">
        <f>IF(ISBLANK('CONFIGURAÇÃO'!$AB$16),"",'CONFIGURAÇÃO'!$AB$16&amp;"")</f>
        <v/>
      </c>
      <c r="C5313" s="198">
        <f>"'CONFIGURAÇÃO'!AB16"</f>
        <v/>
      </c>
      <c r="D5313" s="198" t="inlineStr">
        <is>
          <t>configuração</t>
        </is>
      </c>
    </row>
    <row r="5314">
      <c r="A5314" s="198" t="inlineStr">
        <is>
          <t>custom.2.mestre_viu</t>
        </is>
      </c>
      <c r="B5314" s="198">
        <f>N('CONFIGURAÇÃO'!$AF$14)&amp;""</f>
        <v/>
      </c>
      <c r="C5314" s="198">
        <f>"'CONFIGURAÇÃO'!AF14"</f>
        <v/>
      </c>
      <c r="D5314" s="198" t="inlineStr">
        <is>
          <t>configuração</t>
        </is>
      </c>
    </row>
    <row r="5315">
      <c r="A5315" s="198" t="inlineStr">
        <is>
          <t>custom.2.efeito</t>
        </is>
      </c>
      <c r="B5315" s="198">
        <f>IF(ISBLANK('CONFIGURAÇÃO'!$AB$31),"",'CONFIGURAÇÃO'!$AB$31&amp;"")</f>
        <v/>
      </c>
      <c r="C5315" s="198">
        <f>"'CONFIGURAÇÃO'!AB31"</f>
        <v/>
      </c>
      <c r="D5315" s="198" t="inlineStr">
        <is>
          <t>configuração</t>
        </is>
      </c>
    </row>
    <row r="5316">
      <c r="A5316" s="198" t="inlineStr">
        <is>
          <t>custom.2.campo.alcance</t>
        </is>
      </c>
      <c r="B5316" s="198">
        <f>SWITCH('CONFIGURAÇÃO'!$AB$14,"Arma",IF(ISBLANK('CONFIGURAÇÃO'!$AD$27),"",'CONFIGURAÇÃO'!$AD$27&amp;""),"")</f>
        <v/>
      </c>
      <c r="C5316" s="198">
        <f>"'CONFIGURAÇÃO'!AD27"</f>
        <v/>
      </c>
      <c r="D5316" s="198" t="inlineStr">
        <is>
          <t>configuração</t>
        </is>
      </c>
    </row>
    <row r="5317">
      <c r="A5317" s="198" t="inlineStr">
        <is>
          <t>custom.2.campo.base</t>
        </is>
      </c>
      <c r="B5317" s="198">
        <f>SWITCH('CONFIGURAÇÃO'!$AB$14,"Ferramenta amaldiçoada",IF(ISBLANK('CONFIGURAÇÃO'!$AD$17),"",'CONFIGURAÇÃO'!$AD$17&amp;""),"")</f>
        <v/>
      </c>
      <c r="C5317" s="198">
        <f>"'CONFIGURAÇÃO'!AD17"</f>
        <v/>
      </c>
      <c r="D5317" s="198" t="inlineStr">
        <is>
          <t>configuração</t>
        </is>
      </c>
    </row>
    <row r="5318">
      <c r="A5318" s="198" t="inlineStr">
        <is>
          <t>custom.2.campo.base_do_livro</t>
        </is>
      </c>
      <c r="B5318" s="198">
        <f>SWITCH('CONFIGURAÇÃO'!$AB$14,"Origem",IF(ISBLANK('CONFIGURAÇÃO'!$AD$22),"",'CONFIGURAÇÃO'!$AD$22&amp;""),"")</f>
        <v/>
      </c>
      <c r="C5318" s="198">
        <f>"'CONFIGURAÇÃO'!AD22"</f>
        <v/>
      </c>
      <c r="D5318" s="198" t="inlineStr">
        <is>
          <t>configuração</t>
        </is>
      </c>
    </row>
    <row r="5319">
      <c r="A5319" s="198" t="inlineStr">
        <is>
          <t>custom.2.campo.categoria</t>
        </is>
      </c>
      <c r="B5319" s="198">
        <f>SWITCH('CONFIGURAÇÃO'!$AB$14,"Arma",IF(ISBLANK('CONFIGURAÇÃO'!$AD$17),"",'CONFIGURAÇÃO'!$AD$17&amp;""),"")</f>
        <v/>
      </c>
      <c r="C5319" s="198">
        <f>"'CONFIGURAÇÃO'!AD17"</f>
        <v/>
      </c>
      <c r="D5319" s="198" t="inlineStr">
        <is>
          <t>configuração</t>
        </is>
      </c>
    </row>
    <row r="5320">
      <c r="A5320" s="198" t="inlineStr">
        <is>
          <t>custom.2.campo.dado</t>
        </is>
      </c>
      <c r="B5320" s="198">
        <f>SWITCH('CONFIGURAÇÃO'!$AB$14,"Arma",IF(ISBLANK('CONFIGURAÇÃO'!$AD$24),"",'CONFIGURAÇÃO'!$AD$24&amp;""),"")</f>
        <v/>
      </c>
      <c r="C5320" s="198">
        <f>"'CONFIGURAÇÃO'!AD24"</f>
        <v/>
      </c>
      <c r="D5320" s="198" t="inlineStr">
        <is>
          <t>configuração</t>
        </is>
      </c>
    </row>
    <row r="5321">
      <c r="A5321" s="198" t="inlineStr">
        <is>
          <t>custom.2.campo.desgaste</t>
        </is>
      </c>
      <c r="B5321" s="198">
        <f>SWITCH('CONFIGURAÇÃO'!$AB$14,"Ferramenta amaldiçoada",IF(ISBLANK('CONFIGURAÇÃO'!$AD$25),"",'CONFIGURAÇÃO'!$AD$25&amp;""),"")</f>
        <v/>
      </c>
      <c r="C5321" s="198">
        <f>"'CONFIGURAÇÃO'!AD25"</f>
        <v/>
      </c>
      <c r="D5321" s="198" t="inlineStr">
        <is>
          <t>configuração</t>
        </is>
      </c>
    </row>
    <row r="5322">
      <c r="A5322" s="198" t="inlineStr">
        <is>
          <t>custom.2.campo.estigma</t>
        </is>
      </c>
      <c r="B5322" s="198">
        <f>SWITCH('CONFIGURAÇÃO'!$AB$14,"Ferramenta amaldiçoada",IF(ISBLANK('CONFIGURAÇÃO'!$AD$24),"",'CONFIGURAÇÃO'!$AD$24&amp;""),"")</f>
        <v/>
      </c>
      <c r="C5322" s="198">
        <f>"'CONFIGURAÇÃO'!AD24"</f>
        <v/>
      </c>
      <c r="D5322" s="198" t="inlineStr">
        <is>
          <t>configuração</t>
        </is>
      </c>
    </row>
    <row r="5323">
      <c r="A5323" s="198" t="inlineStr">
        <is>
          <t>custom.2.campo.exige_marcante</t>
        </is>
      </c>
      <c r="B5323" s="198">
        <f>SWITCH('CONFIGURAÇÃO'!$AB$14,"Menor",IF(ISBLANK('CONFIGURAÇÃO'!$AD$18),"",'CONFIGURAÇÃO'!$AD$18&amp;""),"")</f>
        <v/>
      </c>
      <c r="C5323" s="198">
        <f>"'CONFIGURAÇÃO'!AD18"</f>
        <v/>
      </c>
      <c r="D5323" s="198" t="inlineStr">
        <is>
          <t>configuração</t>
        </is>
      </c>
    </row>
    <row r="5324">
      <c r="A5324" s="198" t="inlineStr">
        <is>
          <t>custom.2.campo.forca</t>
        </is>
      </c>
      <c r="B5324" s="198">
        <f>SWITCH('CONFIGURAÇÃO'!$AB$14,"Arma",IF(ISBLANK('CONFIGURAÇÃO'!$AD$25),"",'CONFIGURAÇÃO'!$AD$25&amp;""),"Escudo",IF(ISBLANK('CONFIGURAÇÃO'!$AD$26),"",'CONFIGURAÇÃO'!$AD$26&amp;""),"Uniforme",IF(ISBLANK('CONFIGURAÇÃO'!$AD$26),"",'CONFIGURAÇÃO'!$AD$26&amp;""),"")</f>
        <v/>
      </c>
      <c r="C5324" s="198">
        <f>"'CONFIGURAÇÃO'!L51 'CONFIGURAÇÃO'!L52 'CONFIGURAÇÃO'!L52"</f>
        <v/>
      </c>
      <c r="D5324" s="198" t="inlineStr">
        <is>
          <t>configuração</t>
        </is>
      </c>
    </row>
    <row r="5325">
      <c r="A5325" s="198" t="inlineStr">
        <is>
          <t>custom.2.campo.frequencia</t>
        </is>
      </c>
      <c r="B5325" s="198">
        <f>SWITCH('CONFIGURAÇÃO'!$AB$14,"Marcante",IF(ISBLANK('CONFIGURAÇÃO'!$AD$24),"",'CONFIGURAÇÃO'!$AD$24&amp;""),"Menor",IF(ISBLANK('CONFIGURAÇÃO'!$AD$24),"",'CONFIGURAÇÃO'!$AD$24&amp;""),"")</f>
        <v/>
      </c>
      <c r="C5325" s="198">
        <f>"'CONFIGURAÇÃO'!L50 'CONFIGURAÇÃO'!L50"</f>
        <v/>
      </c>
      <c r="D5325" s="198" t="inlineStr">
        <is>
          <t>configuração</t>
        </is>
      </c>
    </row>
    <row r="5326">
      <c r="A5326" s="198" t="inlineStr">
        <is>
          <t>custom.2.campo.grau</t>
        </is>
      </c>
      <c r="B5326" s="198">
        <f>SWITCH('CONFIGURAÇÃO'!$AB$14,"Ferramenta amaldiçoada",IF(ISBLANK('CONFIGURAÇÃO'!$AD$18),"",'CONFIGURAÇÃO'!$AD$18&amp;""),"")</f>
        <v/>
      </c>
      <c r="C5326" s="198">
        <f>"'CONFIGURAÇÃO'!AD18"</f>
        <v/>
      </c>
      <c r="D5326" s="198" t="inlineStr">
        <is>
          <t>configuração</t>
        </is>
      </c>
    </row>
    <row r="5327">
      <c r="A5327" s="198" t="inlineStr">
        <is>
          <t>custom.2.campo.grau_minimo</t>
        </is>
      </c>
      <c r="B5327" s="198">
        <f>SWITCH('CONFIGURAÇÃO'!$AB$14,"Uniforme",IF(ISBLANK('CONFIGURAÇÃO'!$AD$17),"",'CONFIGURAÇÃO'!$AD$17&amp;""),"")</f>
        <v/>
      </c>
      <c r="C5327" s="198">
        <f>"'CONFIGURAÇÃO'!AD17"</f>
        <v/>
      </c>
      <c r="D5327" s="198" t="inlineStr">
        <is>
          <t>configuração</t>
        </is>
      </c>
    </row>
    <row r="5328">
      <c r="A5328" s="198" t="inlineStr">
        <is>
          <t>custom.2.campo.mao</t>
        </is>
      </c>
      <c r="B5328" s="198">
        <f>SWITCH('CONFIGURAÇÃO'!$AB$14,"Arma",IF(ISBLANK('CONFIGURAÇÃO'!$AD$18),"",'CONFIGURAÇÃO'!$AD$18&amp;""),"")</f>
        <v/>
      </c>
      <c r="C5328" s="198">
        <f>"'CONFIGURAÇÃO'!AD18"</f>
        <v/>
      </c>
      <c r="D5328" s="198" t="inlineStr">
        <is>
          <t>configuração</t>
        </is>
      </c>
    </row>
    <row r="5329">
      <c r="A5329" s="198" t="inlineStr">
        <is>
          <t>custom.2.campo.oficio</t>
        </is>
      </c>
      <c r="B5329" s="198">
        <f>SWITCH('CONFIGURAÇÃO'!$AB$14,"Origem",IF(ISBLANK('CONFIGURAÇÃO'!$AD$23),"",'CONFIGURAÇÃO'!$AD$23&amp;""),"")</f>
        <v/>
      </c>
      <c r="C5329" s="198">
        <f>"'CONFIGURAÇÃO'!AD23"</f>
        <v/>
      </c>
      <c r="D5329" s="198" t="inlineStr">
        <is>
          <t>configuração</t>
        </is>
      </c>
    </row>
    <row r="5330">
      <c r="A5330" s="198" t="inlineStr">
        <is>
          <t>custom.2.campo.origem</t>
        </is>
      </c>
      <c r="B5330" s="198">
        <f>SWITCH('CONFIGURAÇÃO'!$AB$14,"Marcante",IF(ISBLANK('CONFIGURAÇÃO'!$AD$17),"",'CONFIGURAÇÃO'!$AD$17&amp;""),"Menor",IF(ISBLANK('CONFIGURAÇÃO'!$AD$17),"",'CONFIGURAÇÃO'!$AD$17&amp;""),"")</f>
        <v/>
      </c>
      <c r="C5330" s="198">
        <f>"'CONFIGURAÇÃO'!L43 'CONFIGURAÇÃO'!L43"</f>
        <v/>
      </c>
      <c r="D5330" s="198" t="inlineStr">
        <is>
          <t>configuração</t>
        </is>
      </c>
    </row>
    <row r="5331">
      <c r="A5331" s="198" t="inlineStr">
        <is>
          <t>custom.2.campo.pericia_1</t>
        </is>
      </c>
      <c r="B5331" s="198">
        <f>SWITCH('CONFIGURAÇÃO'!$AB$14,"Origem",IF(ISBLANK('CONFIGURAÇÃO'!$AD$17),"",'CONFIGURAÇÃO'!$AD$17&amp;""),"")</f>
        <v/>
      </c>
      <c r="C5331" s="198">
        <f>"'CONFIGURAÇÃO'!AD17"</f>
        <v/>
      </c>
      <c r="D5331" s="198" t="inlineStr">
        <is>
          <t>configuração</t>
        </is>
      </c>
    </row>
    <row r="5332">
      <c r="A5332" s="198" t="inlineStr">
        <is>
          <t>custom.2.campo.pericia_2</t>
        </is>
      </c>
      <c r="B5332" s="198">
        <f>SWITCH('CONFIGURAÇÃO'!$AB$14,"Origem",IF(ISBLANK('CONFIGURAÇÃO'!$AD$18),"",'CONFIGURAÇÃO'!$AD$18&amp;""),"")</f>
        <v/>
      </c>
      <c r="C5332" s="198">
        <f>"'CONFIGURAÇÃO'!AD18"</f>
        <v/>
      </c>
      <c r="D5332" s="198" t="inlineStr">
        <is>
          <t>configuração</t>
        </is>
      </c>
    </row>
    <row r="5333">
      <c r="A5333" s="198" t="inlineStr">
        <is>
          <t>custom.2.campo.pericia_3</t>
        </is>
      </c>
      <c r="B5333" s="198">
        <f>SWITCH('CONFIGURAÇÃO'!$AB$14,"Origem",IF(ISBLANK('CONFIGURAÇÃO'!$AD$19),"",'CONFIGURAÇÃO'!$AD$19&amp;""),"")</f>
        <v/>
      </c>
      <c r="C5333" s="198">
        <f>"'CONFIGURAÇÃO'!AD19"</f>
        <v/>
      </c>
      <c r="D5333" s="198" t="inlineStr">
        <is>
          <t>configuração</t>
        </is>
      </c>
    </row>
    <row r="5334">
      <c r="A5334" s="198" t="inlineStr">
        <is>
          <t>custom.2.campo.pericia_4</t>
        </is>
      </c>
      <c r="B5334" s="198">
        <f>SWITCH('CONFIGURAÇÃO'!$AB$14,"Origem",IF(ISBLANK('CONFIGURAÇÃO'!$AD$20),"",'CONFIGURAÇÃO'!$AD$20&amp;""),"")</f>
        <v/>
      </c>
      <c r="C5334" s="198">
        <f>"'CONFIGURAÇÃO'!AD20"</f>
        <v/>
      </c>
      <c r="D5334" s="198" t="inlineStr">
        <is>
          <t>configuração</t>
        </is>
      </c>
    </row>
    <row r="5335">
      <c r="A5335" s="198" t="inlineStr">
        <is>
          <t>custom.2.campo.preco</t>
        </is>
      </c>
      <c r="B5335" s="198">
        <f>SWITCH('CONFIGURAÇÃO'!$AB$14,"Arma",IF(ISBLANK('CONFIGURAÇÃO'!$AD$29),"",'CONFIGURAÇÃO'!$AD$29&amp;""),"Escudo",IF(ISBLANK('CONFIGURAÇÃO'!$AD$28),"",'CONFIGURAÇÃO'!$AD$28&amp;""),"Uniforme",IF(ISBLANK('CONFIGURAÇÃO'!$AD$28),"",'CONFIGURAÇÃO'!$AD$28&amp;""),"Item comum",IF(ISBLANK('CONFIGURAÇÃO'!$AD$25),"",'CONFIGURAÇÃO'!$AD$25&amp;""),"Ferramenta amaldiçoada",IF(ISBLANK('CONFIGURAÇÃO'!$AD$27),"",'CONFIGURAÇÃO'!$AD$27&amp;""),"")</f>
        <v/>
      </c>
      <c r="C5335" s="198">
        <f>"'CONFIGURAÇÃO'!L55 'CONFIGURAÇÃO'!L54 'CONFIGURAÇÃO'!L54 'CONFIGURAÇÃO'!L51 'CONFIGURAÇÃO'!L53"</f>
        <v/>
      </c>
      <c r="D5335" s="198" t="inlineStr">
        <is>
          <t>configuração</t>
        </is>
      </c>
    </row>
    <row r="5336">
      <c r="A5336" s="198" t="inlineStr">
        <is>
          <t>custom.2.campo.propriedade_1</t>
        </is>
      </c>
      <c r="B5336" s="198">
        <f>SWITCH('CONFIGURAÇÃO'!$AB$14,"Arma",IF(ISBLANK('CONFIGURAÇÃO'!$AD$20),"",'CONFIGURAÇÃO'!$AD$20&amp;""),"")</f>
        <v/>
      </c>
      <c r="C5336" s="198">
        <f>"'CONFIGURAÇÃO'!AD20"</f>
        <v/>
      </c>
      <c r="D5336" s="198" t="inlineStr">
        <is>
          <t>configuração</t>
        </is>
      </c>
    </row>
    <row r="5337">
      <c r="A5337" s="198" t="inlineStr">
        <is>
          <t>custom.2.campo.propriedade_2</t>
        </is>
      </c>
      <c r="B5337" s="198">
        <f>SWITCH('CONFIGURAÇÃO'!$AB$14,"Arma",IF(ISBLANK('CONFIGURAÇÃO'!$AD$21),"",'CONFIGURAÇÃO'!$AD$21&amp;""),"")</f>
        <v/>
      </c>
      <c r="C5337" s="198">
        <f>"'CONFIGURAÇÃO'!AD21"</f>
        <v/>
      </c>
      <c r="D5337" s="198" t="inlineStr">
        <is>
          <t>configuração</t>
        </is>
      </c>
    </row>
    <row r="5338">
      <c r="A5338" s="198" t="inlineStr">
        <is>
          <t>custom.2.campo.propriedade_3</t>
        </is>
      </c>
      <c r="B5338" s="198">
        <f>SWITCH('CONFIGURAÇÃO'!$AB$14,"Arma",IF(ISBLANK('CONFIGURAÇÃO'!$AD$22),"",'CONFIGURAÇÃO'!$AD$22&amp;""),"")</f>
        <v/>
      </c>
      <c r="C5338" s="198">
        <f>"'CONFIGURAÇÃO'!AD22"</f>
        <v/>
      </c>
      <c r="D5338" s="198" t="inlineStr">
        <is>
          <t>configuração</t>
        </is>
      </c>
    </row>
    <row r="5339">
      <c r="A5339" s="198" t="inlineStr">
        <is>
          <t>custom.2.campo.propriedade_4</t>
        </is>
      </c>
      <c r="B5339" s="198">
        <f>SWITCH('CONFIGURAÇÃO'!$AB$14,"Arma",IF(ISBLANK('CONFIGURAÇÃO'!$AD$23),"",'CONFIGURAÇÃO'!$AD$23&amp;""),"")</f>
        <v/>
      </c>
      <c r="C5339" s="198">
        <f>"'CONFIGURAÇÃO'!AD23"</f>
        <v/>
      </c>
      <c r="D5339" s="198" t="inlineStr">
        <is>
          <t>configuração</t>
        </is>
      </c>
    </row>
    <row r="5340">
      <c r="A5340" s="198" t="inlineStr">
        <is>
          <t>custom.2.campo.protecao</t>
        </is>
      </c>
      <c r="B5340" s="198">
        <f>SWITCH('CONFIGURAÇÃO'!$AB$14,"Escudo",IF(ISBLANK('CONFIGURAÇÃO'!$AD$24),"",'CONFIGURAÇÃO'!$AD$24&amp;""),"Uniforme",IF(ISBLANK('CONFIGURAÇÃO'!$AD$24),"",'CONFIGURAÇÃO'!$AD$24&amp;""),"")</f>
        <v/>
      </c>
      <c r="C5340" s="198">
        <f>"'CONFIGURAÇÃO'!L50 'CONFIGURAÇÃO'!L50"</f>
        <v/>
      </c>
      <c r="D5340" s="198" t="inlineStr">
        <is>
          <t>configuração</t>
        </is>
      </c>
    </row>
    <row r="5341">
      <c r="A5341" s="198" t="inlineStr">
        <is>
          <t>custom.2.campo.recarga</t>
        </is>
      </c>
      <c r="B5341" s="198">
        <f>SWITCH('CONFIGURAÇÃO'!$AB$14,"Arma",IF(ISBLANK('CONFIGURAÇÃO'!$AD$28),"",'CONFIGURAÇÃO'!$AD$28&amp;""),"")</f>
        <v/>
      </c>
      <c r="C5341" s="198">
        <f>"'CONFIGURAÇÃO'!AD28"</f>
        <v/>
      </c>
      <c r="D5341" s="198" t="inlineStr">
        <is>
          <t>configuração</t>
        </is>
      </c>
    </row>
    <row r="5342">
      <c r="A5342" s="198" t="inlineStr">
        <is>
          <t>custom.2.campo.rota</t>
        </is>
      </c>
      <c r="B5342" s="198">
        <f>SWITCH('CONFIGURAÇÃO'!$AB$14,"Origem",IF(ISBLANK('CONFIGURAÇÃO'!$AD$21),"",'CONFIGURAÇÃO'!$AD$21&amp;""),"")</f>
        <v/>
      </c>
      <c r="C5342" s="198">
        <f>"'CONFIGURAÇÃO'!AD21"</f>
        <v/>
      </c>
      <c r="D5342" s="198" t="inlineStr">
        <is>
          <t>configuração</t>
        </is>
      </c>
    </row>
    <row r="5343">
      <c r="A5343" s="198" t="inlineStr">
        <is>
          <t>custom.2.campo.talento_ce_4</t>
        </is>
      </c>
      <c r="B5343" s="198">
        <f>SWITCH('CONFIGURAÇÃO'!$AB$14,"Origem",IF(ISBLANK('CONFIGURAÇÃO'!$AD$24),"",'CONFIGURAÇÃO'!$AD$24&amp;""),"")</f>
        <v/>
      </c>
      <c r="C5343" s="198">
        <f>"'CONFIGURAÇÃO'!AD24"</f>
        <v/>
      </c>
      <c r="D5343" s="198" t="inlineStr">
        <is>
          <t>configuração</t>
        </is>
      </c>
    </row>
    <row r="5344">
      <c r="A5344" s="198" t="inlineStr">
        <is>
          <t>custom.2.campo.teto_de_destreza</t>
        </is>
      </c>
      <c r="B5344" s="198">
        <f>SWITCH('CONFIGURAÇÃO'!$AB$14,"Escudo",IF(ISBLANK('CONFIGURAÇÃO'!$AD$25),"",'CONFIGURAÇÃO'!$AD$25&amp;""),"Uniforme",IF(ISBLANK('CONFIGURAÇÃO'!$AD$25),"",'CONFIGURAÇÃO'!$AD$25&amp;""),"")</f>
        <v/>
      </c>
      <c r="C5344" s="198">
        <f>"'CONFIGURAÇÃO'!L51 'CONFIGURAÇÃO'!L51"</f>
        <v/>
      </c>
      <c r="D5344" s="198" t="inlineStr">
        <is>
          <t>configuração</t>
        </is>
      </c>
    </row>
    <row r="5345">
      <c r="A5345" s="198" t="inlineStr">
        <is>
          <t>custom.2.campo.tipo_de_dano</t>
        </is>
      </c>
      <c r="B5345" s="198">
        <f>SWITCH('CONFIGURAÇÃO'!$AB$14,"Arma",IF(ISBLANK('CONFIGURAÇÃO'!$AD$19),"",'CONFIGURAÇÃO'!$AD$19&amp;""),"")</f>
        <v/>
      </c>
      <c r="C5345" s="198">
        <f>"'CONFIGURAÇÃO'!AD19"</f>
        <v/>
      </c>
      <c r="D5345" s="198" t="inlineStr">
        <is>
          <t>configuração</t>
        </is>
      </c>
    </row>
    <row r="5346">
      <c r="A5346" s="198" t="inlineStr">
        <is>
          <t>custom.2.campo.volume</t>
        </is>
      </c>
      <c r="B5346" s="198">
        <f>SWITCH('CONFIGURAÇÃO'!$AB$14,"Arma",IF(ISBLANK('CONFIGURAÇÃO'!$AD$26),"",'CONFIGURAÇÃO'!$AD$26&amp;""),"Escudo",IF(ISBLANK('CONFIGURAÇÃO'!$AD$27),"",'CONFIGURAÇÃO'!$AD$27&amp;""),"Uniforme",IF(ISBLANK('CONFIGURAÇÃO'!$AD$27),"",'CONFIGURAÇÃO'!$AD$27&amp;""),"Item comum",IF(ISBLANK('CONFIGURAÇÃO'!$AD$24),"",'CONFIGURAÇÃO'!$AD$24&amp;""),"Ferramenta amaldiçoada",IF(ISBLANK('CONFIGURAÇÃO'!$AD$26),"",'CONFIGURAÇÃO'!$AD$26&amp;""),"")</f>
        <v/>
      </c>
      <c r="C5346" s="198">
        <f>"'CONFIGURAÇÃO'!L52 'CONFIGURAÇÃO'!L53 'CONFIGURAÇÃO'!L53 'CONFIGURAÇÃO'!L50 'CONFIGURAÇÃO'!L52"</f>
        <v/>
      </c>
      <c r="D5346" s="198" t="inlineStr">
        <is>
          <t>configuração</t>
        </is>
      </c>
    </row>
    <row r="5347">
      <c r="A5347" s="198" t="inlineStr">
        <is>
          <t>aviso.custom.2</t>
        </is>
      </c>
      <c r="B5347" s="198">
        <f>'DADOS_CUSTOM'!$S$3&amp;""</f>
        <v/>
      </c>
      <c r="C5347" s="198" t="inlineStr">
        <is>
          <t>DADOS_CUSTOM!S3</t>
        </is>
      </c>
      <c r="D5347" s="198" t="inlineStr">
        <is>
          <t>aviso</t>
        </is>
      </c>
    </row>
    <row r="5348">
      <c r="A5348" s="198" t="inlineStr">
        <is>
          <t>custom.3.tipo</t>
        </is>
      </c>
      <c r="B5348" s="198">
        <f>IF(ISBLANK('CONFIGURAÇÃO'!$T$43),"",'CONFIGURAÇÃO'!$T$43&amp;"")</f>
        <v/>
      </c>
      <c r="C5348" s="198">
        <f>"'CONFIGURAÇÃO'!T43"</f>
        <v/>
      </c>
      <c r="D5348" s="198" t="inlineStr">
        <is>
          <t>configuração</t>
        </is>
      </c>
    </row>
    <row r="5349">
      <c r="A5349" s="198" t="inlineStr">
        <is>
          <t>custom.3.nome</t>
        </is>
      </c>
      <c r="B5349" s="198">
        <f>IF(ISBLANK('CONFIGURAÇÃO'!$T$45),"",'CONFIGURAÇÃO'!$T$45&amp;"")</f>
        <v/>
      </c>
      <c r="C5349" s="198">
        <f>"'CONFIGURAÇÃO'!T45"</f>
        <v/>
      </c>
      <c r="D5349" s="198" t="inlineStr">
        <is>
          <t>configuração</t>
        </is>
      </c>
    </row>
    <row r="5350">
      <c r="A5350" s="198" t="inlineStr">
        <is>
          <t>custom.3.mestre_viu</t>
        </is>
      </c>
      <c r="B5350" s="198">
        <f>N('CONFIGURAÇÃO'!$X$43)&amp;""</f>
        <v/>
      </c>
      <c r="C5350" s="198">
        <f>"'CONFIGURAÇÃO'!X43"</f>
        <v/>
      </c>
      <c r="D5350" s="198" t="inlineStr">
        <is>
          <t>configuração</t>
        </is>
      </c>
    </row>
    <row r="5351">
      <c r="A5351" s="198" t="inlineStr">
        <is>
          <t>custom.3.efeito</t>
        </is>
      </c>
      <c r="B5351" s="198">
        <f>IF(ISBLANK('CONFIGURAÇÃO'!$T$60),"",'CONFIGURAÇÃO'!$T$60&amp;"")</f>
        <v/>
      </c>
      <c r="C5351" s="198">
        <f>"'CONFIGURAÇÃO'!T60"</f>
        <v/>
      </c>
      <c r="D5351" s="198" t="inlineStr">
        <is>
          <t>configuração</t>
        </is>
      </c>
    </row>
    <row r="5352">
      <c r="A5352" s="198" t="inlineStr">
        <is>
          <t>custom.3.campo.alcance</t>
        </is>
      </c>
      <c r="B5352" s="198">
        <f>SWITCH('CONFIGURAÇÃO'!$T$43,"Arma",IF(ISBLANK('CONFIGURAÇÃO'!$V$56),"",'CONFIGURAÇÃO'!$V$56&amp;""),"")</f>
        <v/>
      </c>
      <c r="C5352" s="198">
        <f>"'CONFIGURAÇÃO'!V56"</f>
        <v/>
      </c>
      <c r="D5352" s="198" t="inlineStr">
        <is>
          <t>configuração</t>
        </is>
      </c>
    </row>
    <row r="5353">
      <c r="A5353" s="198" t="inlineStr">
        <is>
          <t>custom.3.campo.base</t>
        </is>
      </c>
      <c r="B5353" s="198">
        <f>SWITCH('CONFIGURAÇÃO'!$T$43,"Ferramenta amaldiçoada",IF(ISBLANK('CONFIGURAÇÃO'!$V$46),"",'CONFIGURAÇÃO'!$V$46&amp;""),"")</f>
        <v/>
      </c>
      <c r="C5353" s="198">
        <f>"'CONFIGURAÇÃO'!V46"</f>
        <v/>
      </c>
      <c r="D5353" s="198" t="inlineStr">
        <is>
          <t>configuração</t>
        </is>
      </c>
    </row>
    <row r="5354">
      <c r="A5354" s="198" t="inlineStr">
        <is>
          <t>custom.3.campo.base_do_livro</t>
        </is>
      </c>
      <c r="B5354" s="198">
        <f>SWITCH('CONFIGURAÇÃO'!$T$43,"Origem",IF(ISBLANK('CONFIGURAÇÃO'!$V$51),"",'CONFIGURAÇÃO'!$V$51&amp;""),"")</f>
        <v/>
      </c>
      <c r="C5354" s="198">
        <f>"'CONFIGURAÇÃO'!V51"</f>
        <v/>
      </c>
      <c r="D5354" s="198" t="inlineStr">
        <is>
          <t>configuração</t>
        </is>
      </c>
    </row>
    <row r="5355">
      <c r="A5355" s="198" t="inlineStr">
        <is>
          <t>custom.3.campo.categoria</t>
        </is>
      </c>
      <c r="B5355" s="198">
        <f>SWITCH('CONFIGURAÇÃO'!$T$43,"Arma",IF(ISBLANK('CONFIGURAÇÃO'!$V$46),"",'CONFIGURAÇÃO'!$V$46&amp;""),"")</f>
        <v/>
      </c>
      <c r="C5355" s="198">
        <f>"'CONFIGURAÇÃO'!V46"</f>
        <v/>
      </c>
      <c r="D5355" s="198" t="inlineStr">
        <is>
          <t>configuração</t>
        </is>
      </c>
    </row>
    <row r="5356">
      <c r="A5356" s="198" t="inlineStr">
        <is>
          <t>custom.3.campo.dado</t>
        </is>
      </c>
      <c r="B5356" s="198">
        <f>SWITCH('CONFIGURAÇÃO'!$T$43,"Arma",IF(ISBLANK('CONFIGURAÇÃO'!$V$53),"",'CONFIGURAÇÃO'!$V$53&amp;""),"")</f>
        <v/>
      </c>
      <c r="C5356" s="198">
        <f>"'CONFIGURAÇÃO'!V53"</f>
        <v/>
      </c>
      <c r="D5356" s="198" t="inlineStr">
        <is>
          <t>configuração</t>
        </is>
      </c>
    </row>
    <row r="5357">
      <c r="A5357" s="198" t="inlineStr">
        <is>
          <t>custom.3.campo.desgaste</t>
        </is>
      </c>
      <c r="B5357" s="198">
        <f>SWITCH('CONFIGURAÇÃO'!$T$43,"Ferramenta amaldiçoada",IF(ISBLANK('CONFIGURAÇÃO'!$V$54),"",'CONFIGURAÇÃO'!$V$54&amp;""),"")</f>
        <v/>
      </c>
      <c r="C5357" s="198">
        <f>"'CONFIGURAÇÃO'!V54"</f>
        <v/>
      </c>
      <c r="D5357" s="198" t="inlineStr">
        <is>
          <t>configuração</t>
        </is>
      </c>
    </row>
    <row r="5358">
      <c r="A5358" s="198" t="inlineStr">
        <is>
          <t>custom.3.campo.estigma</t>
        </is>
      </c>
      <c r="B5358" s="198">
        <f>SWITCH('CONFIGURAÇÃO'!$T$43,"Ferramenta amaldiçoada",IF(ISBLANK('CONFIGURAÇÃO'!$V$53),"",'CONFIGURAÇÃO'!$V$53&amp;""),"")</f>
        <v/>
      </c>
      <c r="C5358" s="198">
        <f>"'CONFIGURAÇÃO'!V53"</f>
        <v/>
      </c>
      <c r="D5358" s="198" t="inlineStr">
        <is>
          <t>configuração</t>
        </is>
      </c>
    </row>
    <row r="5359">
      <c r="A5359" s="198" t="inlineStr">
        <is>
          <t>custom.3.campo.exige_marcante</t>
        </is>
      </c>
      <c r="B5359" s="198">
        <f>SWITCH('CONFIGURAÇÃO'!$T$43,"Menor",IF(ISBLANK('CONFIGURAÇÃO'!$V$47),"",'CONFIGURAÇÃO'!$V$47&amp;""),"")</f>
        <v/>
      </c>
      <c r="C5359" s="198">
        <f>"'CONFIGURAÇÃO'!V47"</f>
        <v/>
      </c>
      <c r="D5359" s="198" t="inlineStr">
        <is>
          <t>configuração</t>
        </is>
      </c>
    </row>
    <row r="5360">
      <c r="A5360" s="198" t="inlineStr">
        <is>
          <t>custom.3.campo.forca</t>
        </is>
      </c>
      <c r="B5360" s="198">
        <f>SWITCH('CONFIGURAÇÃO'!$T$43,"Arma",IF(ISBLANK('CONFIGURAÇÃO'!$V$54),"",'CONFIGURAÇÃO'!$V$54&amp;""),"Escudo",IF(ISBLANK('CONFIGURAÇÃO'!$V$55),"",'CONFIGURAÇÃO'!$V$55&amp;""),"Uniforme",IF(ISBLANK('CONFIGURAÇÃO'!$V$55),"",'CONFIGURAÇÃO'!$V$55&amp;""),"")</f>
        <v/>
      </c>
      <c r="C5360" s="198">
        <f>"'CONFIGURAÇÃO'!L80 'CONFIGURAÇÃO'!L81 'CONFIGURAÇÃO'!L81"</f>
        <v/>
      </c>
      <c r="D5360" s="198" t="inlineStr">
        <is>
          <t>configuração</t>
        </is>
      </c>
    </row>
    <row r="5361">
      <c r="A5361" s="198" t="inlineStr">
        <is>
          <t>custom.3.campo.frequencia</t>
        </is>
      </c>
      <c r="B5361" s="198">
        <f>SWITCH('CONFIGURAÇÃO'!$T$43,"Marcante",IF(ISBLANK('CONFIGURAÇÃO'!$V$53),"",'CONFIGURAÇÃO'!$V$53&amp;""),"Menor",IF(ISBLANK('CONFIGURAÇÃO'!$V$53),"",'CONFIGURAÇÃO'!$V$53&amp;""),"")</f>
        <v/>
      </c>
      <c r="C5361" s="198">
        <f>"'CONFIGURAÇÃO'!L79 'CONFIGURAÇÃO'!L79"</f>
        <v/>
      </c>
      <c r="D5361" s="198" t="inlineStr">
        <is>
          <t>configuração</t>
        </is>
      </c>
    </row>
    <row r="5362">
      <c r="A5362" s="198" t="inlineStr">
        <is>
          <t>custom.3.campo.grau</t>
        </is>
      </c>
      <c r="B5362" s="198">
        <f>SWITCH('CONFIGURAÇÃO'!$T$43,"Ferramenta amaldiçoada",IF(ISBLANK('CONFIGURAÇÃO'!$V$47),"",'CONFIGURAÇÃO'!$V$47&amp;""),"")</f>
        <v/>
      </c>
      <c r="C5362" s="198">
        <f>"'CONFIGURAÇÃO'!V47"</f>
        <v/>
      </c>
      <c r="D5362" s="198" t="inlineStr">
        <is>
          <t>configuração</t>
        </is>
      </c>
    </row>
    <row r="5363">
      <c r="A5363" s="198" t="inlineStr">
        <is>
          <t>custom.3.campo.grau_minimo</t>
        </is>
      </c>
      <c r="B5363" s="198">
        <f>SWITCH('CONFIGURAÇÃO'!$T$43,"Uniforme",IF(ISBLANK('CONFIGURAÇÃO'!$V$46),"",'CONFIGURAÇÃO'!$V$46&amp;""),"")</f>
        <v/>
      </c>
      <c r="C5363" s="198">
        <f>"'CONFIGURAÇÃO'!V46"</f>
        <v/>
      </c>
      <c r="D5363" s="198" t="inlineStr">
        <is>
          <t>configuração</t>
        </is>
      </c>
    </row>
    <row r="5364">
      <c r="A5364" s="198" t="inlineStr">
        <is>
          <t>custom.3.campo.mao</t>
        </is>
      </c>
      <c r="B5364" s="198">
        <f>SWITCH('CONFIGURAÇÃO'!$T$43,"Arma",IF(ISBLANK('CONFIGURAÇÃO'!$V$47),"",'CONFIGURAÇÃO'!$V$47&amp;""),"")</f>
        <v/>
      </c>
      <c r="C5364" s="198">
        <f>"'CONFIGURAÇÃO'!V47"</f>
        <v/>
      </c>
      <c r="D5364" s="198" t="inlineStr">
        <is>
          <t>configuração</t>
        </is>
      </c>
    </row>
    <row r="5365">
      <c r="A5365" s="198" t="inlineStr">
        <is>
          <t>custom.3.campo.oficio</t>
        </is>
      </c>
      <c r="B5365" s="198">
        <f>SWITCH('CONFIGURAÇÃO'!$T$43,"Origem",IF(ISBLANK('CONFIGURAÇÃO'!$V$52),"",'CONFIGURAÇÃO'!$V$52&amp;""),"")</f>
        <v/>
      </c>
      <c r="C5365" s="198">
        <f>"'CONFIGURAÇÃO'!V52"</f>
        <v/>
      </c>
      <c r="D5365" s="198" t="inlineStr">
        <is>
          <t>configuração</t>
        </is>
      </c>
    </row>
    <row r="5366">
      <c r="A5366" s="198" t="inlineStr">
        <is>
          <t>custom.3.campo.origem</t>
        </is>
      </c>
      <c r="B5366" s="198">
        <f>SWITCH('CONFIGURAÇÃO'!$T$43,"Marcante",IF(ISBLANK('CONFIGURAÇÃO'!$V$46),"",'CONFIGURAÇÃO'!$V$46&amp;""),"Menor",IF(ISBLANK('CONFIGURAÇÃO'!$V$46),"",'CONFIGURAÇÃO'!$V$46&amp;""),"")</f>
        <v/>
      </c>
      <c r="C5366" s="198">
        <f>"'CONFIGURAÇÃO'!L72 'CONFIGURAÇÃO'!L72"</f>
        <v/>
      </c>
      <c r="D5366" s="198" t="inlineStr">
        <is>
          <t>configuração</t>
        </is>
      </c>
    </row>
    <row r="5367">
      <c r="A5367" s="198" t="inlineStr">
        <is>
          <t>custom.3.campo.pericia_1</t>
        </is>
      </c>
      <c r="B5367" s="198">
        <f>SWITCH('CONFIGURAÇÃO'!$T$43,"Origem",IF(ISBLANK('CONFIGURAÇÃO'!$V$46),"",'CONFIGURAÇÃO'!$V$46&amp;""),"")</f>
        <v/>
      </c>
      <c r="C5367" s="198">
        <f>"'CONFIGURAÇÃO'!V46"</f>
        <v/>
      </c>
      <c r="D5367" s="198" t="inlineStr">
        <is>
          <t>configuração</t>
        </is>
      </c>
    </row>
    <row r="5368">
      <c r="A5368" s="198" t="inlineStr">
        <is>
          <t>custom.3.campo.pericia_2</t>
        </is>
      </c>
      <c r="B5368" s="198">
        <f>SWITCH('CONFIGURAÇÃO'!$T$43,"Origem",IF(ISBLANK('CONFIGURAÇÃO'!$V$47),"",'CONFIGURAÇÃO'!$V$47&amp;""),"")</f>
        <v/>
      </c>
      <c r="C5368" s="198">
        <f>"'CONFIGURAÇÃO'!V47"</f>
        <v/>
      </c>
      <c r="D5368" s="198" t="inlineStr">
        <is>
          <t>configuração</t>
        </is>
      </c>
    </row>
    <row r="5369">
      <c r="A5369" s="198" t="inlineStr">
        <is>
          <t>custom.3.campo.pericia_3</t>
        </is>
      </c>
      <c r="B5369" s="198">
        <f>SWITCH('CONFIGURAÇÃO'!$T$43,"Origem",IF(ISBLANK('CONFIGURAÇÃO'!$V$48),"",'CONFIGURAÇÃO'!$V$48&amp;""),"")</f>
        <v/>
      </c>
      <c r="C5369" s="198">
        <f>"'CONFIGURAÇÃO'!V48"</f>
        <v/>
      </c>
      <c r="D5369" s="198" t="inlineStr">
        <is>
          <t>configuração</t>
        </is>
      </c>
    </row>
    <row r="5370">
      <c r="A5370" s="198" t="inlineStr">
        <is>
          <t>custom.3.campo.pericia_4</t>
        </is>
      </c>
      <c r="B5370" s="198">
        <f>SWITCH('CONFIGURAÇÃO'!$T$43,"Origem",IF(ISBLANK('CONFIGURAÇÃO'!$V$49),"",'CONFIGURAÇÃO'!$V$49&amp;""),"")</f>
        <v/>
      </c>
      <c r="C5370" s="198">
        <f>"'CONFIGURAÇÃO'!V49"</f>
        <v/>
      </c>
      <c r="D5370" s="198" t="inlineStr">
        <is>
          <t>configuração</t>
        </is>
      </c>
    </row>
    <row r="5371">
      <c r="A5371" s="198" t="inlineStr">
        <is>
          <t>custom.3.campo.preco</t>
        </is>
      </c>
      <c r="B5371" s="198">
        <f>SWITCH('CONFIGURAÇÃO'!$T$43,"Arma",IF(ISBLANK('CONFIGURAÇÃO'!$V$58),"",'CONFIGURAÇÃO'!$V$58&amp;""),"Escudo",IF(ISBLANK('CONFIGURAÇÃO'!$V$57),"",'CONFIGURAÇÃO'!$V$57&amp;""),"Uniforme",IF(ISBLANK('CONFIGURAÇÃO'!$V$57),"",'CONFIGURAÇÃO'!$V$57&amp;""),"Item comum",IF(ISBLANK('CONFIGURAÇÃO'!$V$54),"",'CONFIGURAÇÃO'!$V$54&amp;""),"Ferramenta amaldiçoada",IF(ISBLANK('CONFIGURAÇÃO'!$V$56),"",'CONFIGURAÇÃO'!$V$56&amp;""),"")</f>
        <v/>
      </c>
      <c r="C5371" s="198">
        <f>"'CONFIGURAÇÃO'!L84 'CONFIGURAÇÃO'!L83 'CONFIGURAÇÃO'!L83 'CONFIGURAÇÃO'!L80 'CONFIGURAÇÃO'!L82"</f>
        <v/>
      </c>
      <c r="D5371" s="198" t="inlineStr">
        <is>
          <t>configuração</t>
        </is>
      </c>
    </row>
    <row r="5372">
      <c r="A5372" s="198" t="inlineStr">
        <is>
          <t>custom.3.campo.propriedade_1</t>
        </is>
      </c>
      <c r="B5372" s="198">
        <f>SWITCH('CONFIGURAÇÃO'!$T$43,"Arma",IF(ISBLANK('CONFIGURAÇÃO'!$V$49),"",'CONFIGURAÇÃO'!$V$49&amp;""),"")</f>
        <v/>
      </c>
      <c r="C5372" s="198">
        <f>"'CONFIGURAÇÃO'!V49"</f>
        <v/>
      </c>
      <c r="D5372" s="198" t="inlineStr">
        <is>
          <t>configuração</t>
        </is>
      </c>
    </row>
    <row r="5373">
      <c r="A5373" s="198" t="inlineStr">
        <is>
          <t>custom.3.campo.propriedade_2</t>
        </is>
      </c>
      <c r="B5373" s="198">
        <f>SWITCH('CONFIGURAÇÃO'!$T$43,"Arma",IF(ISBLANK('CONFIGURAÇÃO'!$V$50),"",'CONFIGURAÇÃO'!$V$50&amp;""),"")</f>
        <v/>
      </c>
      <c r="C5373" s="198">
        <f>"'CONFIGURAÇÃO'!V50"</f>
        <v/>
      </c>
      <c r="D5373" s="198" t="inlineStr">
        <is>
          <t>configuração</t>
        </is>
      </c>
    </row>
    <row r="5374">
      <c r="A5374" s="198" t="inlineStr">
        <is>
          <t>custom.3.campo.propriedade_3</t>
        </is>
      </c>
      <c r="B5374" s="198">
        <f>SWITCH('CONFIGURAÇÃO'!$T$43,"Arma",IF(ISBLANK('CONFIGURAÇÃO'!$V$51),"",'CONFIGURAÇÃO'!$V$51&amp;""),"")</f>
        <v/>
      </c>
      <c r="C5374" s="198">
        <f>"'CONFIGURAÇÃO'!V51"</f>
        <v/>
      </c>
      <c r="D5374" s="198" t="inlineStr">
        <is>
          <t>configuração</t>
        </is>
      </c>
    </row>
    <row r="5375">
      <c r="A5375" s="198" t="inlineStr">
        <is>
          <t>custom.3.campo.propriedade_4</t>
        </is>
      </c>
      <c r="B5375" s="198">
        <f>SWITCH('CONFIGURAÇÃO'!$T$43,"Arma",IF(ISBLANK('CONFIGURAÇÃO'!$V$52),"",'CONFIGURAÇÃO'!$V$52&amp;""),"")</f>
        <v/>
      </c>
      <c r="C5375" s="198">
        <f>"'CONFIGURAÇÃO'!V52"</f>
        <v/>
      </c>
      <c r="D5375" s="198" t="inlineStr">
        <is>
          <t>configuração</t>
        </is>
      </c>
    </row>
    <row r="5376">
      <c r="A5376" s="198" t="inlineStr">
        <is>
          <t>custom.3.campo.protecao</t>
        </is>
      </c>
      <c r="B5376" s="198">
        <f>SWITCH('CONFIGURAÇÃO'!$T$43,"Escudo",IF(ISBLANK('CONFIGURAÇÃO'!$V$53),"",'CONFIGURAÇÃO'!$V$53&amp;""),"Uniforme",IF(ISBLANK('CONFIGURAÇÃO'!$V$53),"",'CONFIGURAÇÃO'!$V$53&amp;""),"")</f>
        <v/>
      </c>
      <c r="C5376" s="198">
        <f>"'CONFIGURAÇÃO'!L79 'CONFIGURAÇÃO'!L79"</f>
        <v/>
      </c>
      <c r="D5376" s="198" t="inlineStr">
        <is>
          <t>configuração</t>
        </is>
      </c>
    </row>
    <row r="5377">
      <c r="A5377" s="198" t="inlineStr">
        <is>
          <t>custom.3.campo.recarga</t>
        </is>
      </c>
      <c r="B5377" s="198">
        <f>SWITCH('CONFIGURAÇÃO'!$T$43,"Arma",IF(ISBLANK('CONFIGURAÇÃO'!$V$57),"",'CONFIGURAÇÃO'!$V$57&amp;""),"")</f>
        <v/>
      </c>
      <c r="C5377" s="198">
        <f>"'CONFIGURAÇÃO'!V57"</f>
        <v/>
      </c>
      <c r="D5377" s="198" t="inlineStr">
        <is>
          <t>configuração</t>
        </is>
      </c>
    </row>
    <row r="5378">
      <c r="A5378" s="198" t="inlineStr">
        <is>
          <t>custom.3.campo.rota</t>
        </is>
      </c>
      <c r="B5378" s="198">
        <f>SWITCH('CONFIGURAÇÃO'!$T$43,"Origem",IF(ISBLANK('CONFIGURAÇÃO'!$V$50),"",'CONFIGURAÇÃO'!$V$50&amp;""),"")</f>
        <v/>
      </c>
      <c r="C5378" s="198">
        <f>"'CONFIGURAÇÃO'!V50"</f>
        <v/>
      </c>
      <c r="D5378" s="198" t="inlineStr">
        <is>
          <t>configuração</t>
        </is>
      </c>
    </row>
    <row r="5379">
      <c r="A5379" s="198" t="inlineStr">
        <is>
          <t>custom.3.campo.talento_ce_4</t>
        </is>
      </c>
      <c r="B5379" s="198">
        <f>SWITCH('CONFIGURAÇÃO'!$T$43,"Origem",IF(ISBLANK('CONFIGURAÇÃO'!$V$53),"",'CONFIGURAÇÃO'!$V$53&amp;""),"")</f>
        <v/>
      </c>
      <c r="C5379" s="198">
        <f>"'CONFIGURAÇÃO'!V53"</f>
        <v/>
      </c>
      <c r="D5379" s="198" t="inlineStr">
        <is>
          <t>configuração</t>
        </is>
      </c>
    </row>
    <row r="5380">
      <c r="A5380" s="198" t="inlineStr">
        <is>
          <t>custom.3.campo.teto_de_destreza</t>
        </is>
      </c>
      <c r="B5380" s="198">
        <f>SWITCH('CONFIGURAÇÃO'!$T$43,"Escudo",IF(ISBLANK('CONFIGURAÇÃO'!$V$54),"",'CONFIGURAÇÃO'!$V$54&amp;""),"Uniforme",IF(ISBLANK('CONFIGURAÇÃO'!$V$54),"",'CONFIGURAÇÃO'!$V$54&amp;""),"")</f>
        <v/>
      </c>
      <c r="C5380" s="198">
        <f>"'CONFIGURAÇÃO'!L80 'CONFIGURAÇÃO'!L80"</f>
        <v/>
      </c>
      <c r="D5380" s="198" t="inlineStr">
        <is>
          <t>configuração</t>
        </is>
      </c>
    </row>
    <row r="5381">
      <c r="A5381" s="198" t="inlineStr">
        <is>
          <t>custom.3.campo.tipo_de_dano</t>
        </is>
      </c>
      <c r="B5381" s="198">
        <f>SWITCH('CONFIGURAÇÃO'!$T$43,"Arma",IF(ISBLANK('CONFIGURAÇÃO'!$V$48),"",'CONFIGURAÇÃO'!$V$48&amp;""),"")</f>
        <v/>
      </c>
      <c r="C5381" s="198">
        <f>"'CONFIGURAÇÃO'!V48"</f>
        <v/>
      </c>
      <c r="D5381" s="198" t="inlineStr">
        <is>
          <t>configuração</t>
        </is>
      </c>
    </row>
    <row r="5382">
      <c r="A5382" s="198" t="inlineStr">
        <is>
          <t>custom.3.campo.volume</t>
        </is>
      </c>
      <c r="B5382" s="198">
        <f>SWITCH('CONFIGURAÇÃO'!$T$43,"Arma",IF(ISBLANK('CONFIGURAÇÃO'!$V$55),"",'CONFIGURAÇÃO'!$V$55&amp;""),"Escudo",IF(ISBLANK('CONFIGURAÇÃO'!$V$56),"",'CONFIGURAÇÃO'!$V$56&amp;""),"Uniforme",IF(ISBLANK('CONFIGURAÇÃO'!$V$56),"",'CONFIGURAÇÃO'!$V$56&amp;""),"Item comum",IF(ISBLANK('CONFIGURAÇÃO'!$V$53),"",'CONFIGURAÇÃO'!$V$53&amp;""),"Ferramenta amaldiçoada",IF(ISBLANK('CONFIGURAÇÃO'!$V$55),"",'CONFIGURAÇÃO'!$V$55&amp;""),"")</f>
        <v/>
      </c>
      <c r="C5382" s="198">
        <f>"'CONFIGURAÇÃO'!L81 'CONFIGURAÇÃO'!L82 'CONFIGURAÇÃO'!L82 'CONFIGURAÇÃO'!L79 'CONFIGURAÇÃO'!L81"</f>
        <v/>
      </c>
      <c r="D5382" s="198" t="inlineStr">
        <is>
          <t>configuração</t>
        </is>
      </c>
    </row>
    <row r="5383">
      <c r="A5383" s="198" t="inlineStr">
        <is>
          <t>aviso.custom.3</t>
        </is>
      </c>
      <c r="B5383" s="198">
        <f>'DADOS_CUSTOM'!$S$4&amp;""</f>
        <v/>
      </c>
      <c r="C5383" s="198" t="inlineStr">
        <is>
          <t>DADOS_CUSTOM!S4</t>
        </is>
      </c>
      <c r="D5383" s="198" t="inlineStr">
        <is>
          <t>aviso</t>
        </is>
      </c>
    </row>
    <row r="5384">
      <c r="A5384" s="198" t="inlineStr">
        <is>
          <t>custom.4.tipo</t>
        </is>
      </c>
      <c r="B5384" s="198">
        <f>IF(ISBLANK('CONFIGURAÇÃO'!$AB$43),"",'CONFIGURAÇÃO'!$AB$43&amp;"")</f>
        <v/>
      </c>
      <c r="C5384" s="198">
        <f>"'CONFIGURAÇÃO'!AB43"</f>
        <v/>
      </c>
      <c r="D5384" s="198" t="inlineStr">
        <is>
          <t>configuração</t>
        </is>
      </c>
    </row>
    <row r="5385">
      <c r="A5385" s="198" t="inlineStr">
        <is>
          <t>custom.4.nome</t>
        </is>
      </c>
      <c r="B5385" s="198">
        <f>IF(ISBLANK('CONFIGURAÇÃO'!$AB$45),"",'CONFIGURAÇÃO'!$AB$45&amp;"")</f>
        <v/>
      </c>
      <c r="C5385" s="198">
        <f>"'CONFIGURAÇÃO'!AB45"</f>
        <v/>
      </c>
      <c r="D5385" s="198" t="inlineStr">
        <is>
          <t>configuração</t>
        </is>
      </c>
    </row>
    <row r="5386">
      <c r="A5386" s="198" t="inlineStr">
        <is>
          <t>custom.4.mestre_viu</t>
        </is>
      </c>
      <c r="B5386" s="198">
        <f>N('CONFIGURAÇÃO'!$AF$43)&amp;""</f>
        <v/>
      </c>
      <c r="C5386" s="198">
        <f>"'CONFIGURAÇÃO'!AF43"</f>
        <v/>
      </c>
      <c r="D5386" s="198" t="inlineStr">
        <is>
          <t>configuração</t>
        </is>
      </c>
    </row>
    <row r="5387">
      <c r="A5387" s="198" t="inlineStr">
        <is>
          <t>custom.4.efeito</t>
        </is>
      </c>
      <c r="B5387" s="198">
        <f>IF(ISBLANK('CONFIGURAÇÃO'!$AB$60),"",'CONFIGURAÇÃO'!$AB$60&amp;"")</f>
        <v/>
      </c>
      <c r="C5387" s="198">
        <f>"'CONFIGURAÇÃO'!AB60"</f>
        <v/>
      </c>
      <c r="D5387" s="198" t="inlineStr">
        <is>
          <t>configuração</t>
        </is>
      </c>
    </row>
    <row r="5388">
      <c r="A5388" s="198" t="inlineStr">
        <is>
          <t>custom.4.campo.alcance</t>
        </is>
      </c>
      <c r="B5388" s="198">
        <f>SWITCH('CONFIGURAÇÃO'!$AB$43,"Arma",IF(ISBLANK('CONFIGURAÇÃO'!$AD$56),"",'CONFIGURAÇÃO'!$AD$56&amp;""),"")</f>
        <v/>
      </c>
      <c r="C5388" s="198">
        <f>"'CONFIGURAÇÃO'!AD56"</f>
        <v/>
      </c>
      <c r="D5388" s="198" t="inlineStr">
        <is>
          <t>configuração</t>
        </is>
      </c>
    </row>
    <row r="5389">
      <c r="A5389" s="198" t="inlineStr">
        <is>
          <t>custom.4.campo.base</t>
        </is>
      </c>
      <c r="B5389" s="198">
        <f>SWITCH('CONFIGURAÇÃO'!$AB$43,"Ferramenta amaldiçoada",IF(ISBLANK('CONFIGURAÇÃO'!$AD$46),"",'CONFIGURAÇÃO'!$AD$46&amp;""),"")</f>
        <v/>
      </c>
      <c r="C5389" s="198">
        <f>"'CONFIGURAÇÃO'!AD46"</f>
        <v/>
      </c>
      <c r="D5389" s="198" t="inlineStr">
        <is>
          <t>configuração</t>
        </is>
      </c>
    </row>
    <row r="5390">
      <c r="A5390" s="198" t="inlineStr">
        <is>
          <t>custom.4.campo.base_do_livro</t>
        </is>
      </c>
      <c r="B5390" s="198">
        <f>SWITCH('CONFIGURAÇÃO'!$AB$43,"Origem",IF(ISBLANK('CONFIGURAÇÃO'!$AD$51),"",'CONFIGURAÇÃO'!$AD$51&amp;""),"")</f>
        <v/>
      </c>
      <c r="C5390" s="198">
        <f>"'CONFIGURAÇÃO'!AD51"</f>
        <v/>
      </c>
      <c r="D5390" s="198" t="inlineStr">
        <is>
          <t>configuração</t>
        </is>
      </c>
    </row>
    <row r="5391">
      <c r="A5391" s="198" t="inlineStr">
        <is>
          <t>custom.4.campo.categoria</t>
        </is>
      </c>
      <c r="B5391" s="198">
        <f>SWITCH('CONFIGURAÇÃO'!$AB$43,"Arma",IF(ISBLANK('CONFIGURAÇÃO'!$AD$46),"",'CONFIGURAÇÃO'!$AD$46&amp;""),"")</f>
        <v/>
      </c>
      <c r="C5391" s="198">
        <f>"'CONFIGURAÇÃO'!AD46"</f>
        <v/>
      </c>
      <c r="D5391" s="198" t="inlineStr">
        <is>
          <t>configuração</t>
        </is>
      </c>
    </row>
    <row r="5392">
      <c r="A5392" s="198" t="inlineStr">
        <is>
          <t>custom.4.campo.dado</t>
        </is>
      </c>
      <c r="B5392" s="198">
        <f>SWITCH('CONFIGURAÇÃO'!$AB$43,"Arma",IF(ISBLANK('CONFIGURAÇÃO'!$AD$53),"",'CONFIGURAÇÃO'!$AD$53&amp;""),"")</f>
        <v/>
      </c>
      <c r="C5392" s="198">
        <f>"'CONFIGURAÇÃO'!AD53"</f>
        <v/>
      </c>
      <c r="D5392" s="198" t="inlineStr">
        <is>
          <t>configuração</t>
        </is>
      </c>
    </row>
    <row r="5393">
      <c r="A5393" s="198" t="inlineStr">
        <is>
          <t>custom.4.campo.desgaste</t>
        </is>
      </c>
      <c r="B5393" s="198">
        <f>SWITCH('CONFIGURAÇÃO'!$AB$43,"Ferramenta amaldiçoada",IF(ISBLANK('CONFIGURAÇÃO'!$AD$54),"",'CONFIGURAÇÃO'!$AD$54&amp;""),"")</f>
        <v/>
      </c>
      <c r="C5393" s="198">
        <f>"'CONFIGURAÇÃO'!AD54"</f>
        <v/>
      </c>
      <c r="D5393" s="198" t="inlineStr">
        <is>
          <t>configuração</t>
        </is>
      </c>
    </row>
    <row r="5394">
      <c r="A5394" s="198" t="inlineStr">
        <is>
          <t>custom.4.campo.estigma</t>
        </is>
      </c>
      <c r="B5394" s="198">
        <f>SWITCH('CONFIGURAÇÃO'!$AB$43,"Ferramenta amaldiçoada",IF(ISBLANK('CONFIGURAÇÃO'!$AD$53),"",'CONFIGURAÇÃO'!$AD$53&amp;""),"")</f>
        <v/>
      </c>
      <c r="C5394" s="198">
        <f>"'CONFIGURAÇÃO'!AD53"</f>
        <v/>
      </c>
      <c r="D5394" s="198" t="inlineStr">
        <is>
          <t>configuração</t>
        </is>
      </c>
    </row>
    <row r="5395">
      <c r="A5395" s="198" t="inlineStr">
        <is>
          <t>custom.4.campo.exige_marcante</t>
        </is>
      </c>
      <c r="B5395" s="198">
        <f>SWITCH('CONFIGURAÇÃO'!$AB$43,"Menor",IF(ISBLANK('CONFIGURAÇÃO'!$AD$47),"",'CONFIGURAÇÃO'!$AD$47&amp;""),"")</f>
        <v/>
      </c>
      <c r="C5395" s="198">
        <f>"'CONFIGURAÇÃO'!AD47"</f>
        <v/>
      </c>
      <c r="D5395" s="198" t="inlineStr">
        <is>
          <t>configuração</t>
        </is>
      </c>
    </row>
    <row r="5396">
      <c r="A5396" s="198" t="inlineStr">
        <is>
          <t>custom.4.campo.forca</t>
        </is>
      </c>
      <c r="B5396" s="198">
        <f>SWITCH('CONFIGURAÇÃO'!$AB$43,"Arma",IF(ISBLANK('CONFIGURAÇÃO'!$AD$54),"",'CONFIGURAÇÃO'!$AD$54&amp;""),"Escudo",IF(ISBLANK('CONFIGURAÇÃO'!$AD$55),"",'CONFIGURAÇÃO'!$AD$55&amp;""),"Uniforme",IF(ISBLANK('CONFIGURAÇÃO'!$AD$55),"",'CONFIGURAÇÃO'!$AD$55&amp;""),"")</f>
        <v/>
      </c>
      <c r="C5396" s="198">
        <f>"'CONFIGURAÇÃO'!L109 'CONFIGURAÇÃO'!L110 'CONFIGURAÇÃO'!L110"</f>
        <v/>
      </c>
      <c r="D5396" s="198" t="inlineStr">
        <is>
          <t>configuração</t>
        </is>
      </c>
    </row>
    <row r="5397">
      <c r="A5397" s="198" t="inlineStr">
        <is>
          <t>custom.4.campo.frequencia</t>
        </is>
      </c>
      <c r="B5397" s="198">
        <f>SWITCH('CONFIGURAÇÃO'!$AB$43,"Marcante",IF(ISBLANK('CONFIGURAÇÃO'!$AD$53),"",'CONFIGURAÇÃO'!$AD$53&amp;""),"Menor",IF(ISBLANK('CONFIGURAÇÃO'!$AD$53),"",'CONFIGURAÇÃO'!$AD$53&amp;""),"")</f>
        <v/>
      </c>
      <c r="C5397" s="198">
        <f>"'CONFIGURAÇÃO'!L108 'CONFIGURAÇÃO'!L108"</f>
        <v/>
      </c>
      <c r="D5397" s="198" t="inlineStr">
        <is>
          <t>configuração</t>
        </is>
      </c>
    </row>
    <row r="5398">
      <c r="A5398" s="198" t="inlineStr">
        <is>
          <t>custom.4.campo.grau</t>
        </is>
      </c>
      <c r="B5398" s="198">
        <f>SWITCH('CONFIGURAÇÃO'!$AB$43,"Ferramenta amaldiçoada",IF(ISBLANK('CONFIGURAÇÃO'!$AD$47),"",'CONFIGURAÇÃO'!$AD$47&amp;""),"")</f>
        <v/>
      </c>
      <c r="C5398" s="198">
        <f>"'CONFIGURAÇÃO'!AD47"</f>
        <v/>
      </c>
      <c r="D5398" s="198" t="inlineStr">
        <is>
          <t>configuração</t>
        </is>
      </c>
    </row>
    <row r="5399">
      <c r="A5399" s="198" t="inlineStr">
        <is>
          <t>custom.4.campo.grau_minimo</t>
        </is>
      </c>
      <c r="B5399" s="198">
        <f>SWITCH('CONFIGURAÇÃO'!$AB$43,"Uniforme",IF(ISBLANK('CONFIGURAÇÃO'!$AD$46),"",'CONFIGURAÇÃO'!$AD$46&amp;""),"")</f>
        <v/>
      </c>
      <c r="C5399" s="198">
        <f>"'CONFIGURAÇÃO'!AD46"</f>
        <v/>
      </c>
      <c r="D5399" s="198" t="inlineStr">
        <is>
          <t>configuração</t>
        </is>
      </c>
    </row>
    <row r="5400">
      <c r="A5400" s="198" t="inlineStr">
        <is>
          <t>custom.4.campo.mao</t>
        </is>
      </c>
      <c r="B5400" s="198">
        <f>SWITCH('CONFIGURAÇÃO'!$AB$43,"Arma",IF(ISBLANK('CONFIGURAÇÃO'!$AD$47),"",'CONFIGURAÇÃO'!$AD$47&amp;""),"")</f>
        <v/>
      </c>
      <c r="C5400" s="198">
        <f>"'CONFIGURAÇÃO'!AD47"</f>
        <v/>
      </c>
      <c r="D5400" s="198" t="inlineStr">
        <is>
          <t>configuração</t>
        </is>
      </c>
    </row>
    <row r="5401">
      <c r="A5401" s="198" t="inlineStr">
        <is>
          <t>custom.4.campo.oficio</t>
        </is>
      </c>
      <c r="B5401" s="198">
        <f>SWITCH('CONFIGURAÇÃO'!$AB$43,"Origem",IF(ISBLANK('CONFIGURAÇÃO'!$AD$52),"",'CONFIGURAÇÃO'!$AD$52&amp;""),"")</f>
        <v/>
      </c>
      <c r="C5401" s="198">
        <f>"'CONFIGURAÇÃO'!AD52"</f>
        <v/>
      </c>
      <c r="D5401" s="198" t="inlineStr">
        <is>
          <t>configuração</t>
        </is>
      </c>
    </row>
    <row r="5402">
      <c r="A5402" s="198" t="inlineStr">
        <is>
          <t>custom.4.campo.origem</t>
        </is>
      </c>
      <c r="B5402" s="198">
        <f>SWITCH('CONFIGURAÇÃO'!$AB$43,"Marcante",IF(ISBLANK('CONFIGURAÇÃO'!$AD$46),"",'CONFIGURAÇÃO'!$AD$46&amp;""),"Menor",IF(ISBLANK('CONFIGURAÇÃO'!$AD$46),"",'CONFIGURAÇÃO'!$AD$46&amp;""),"")</f>
        <v/>
      </c>
      <c r="C5402" s="198">
        <f>"'CONFIGURAÇÃO'!L101 'CONFIGURAÇÃO'!L101"</f>
        <v/>
      </c>
      <c r="D5402" s="198" t="inlineStr">
        <is>
          <t>configuração</t>
        </is>
      </c>
    </row>
    <row r="5403">
      <c r="A5403" s="198" t="inlineStr">
        <is>
          <t>custom.4.campo.pericia_1</t>
        </is>
      </c>
      <c r="B5403" s="198">
        <f>SWITCH('CONFIGURAÇÃO'!$AB$43,"Origem",IF(ISBLANK('CONFIGURAÇÃO'!$AD$46),"",'CONFIGURAÇÃO'!$AD$46&amp;""),"")</f>
        <v/>
      </c>
      <c r="C5403" s="198">
        <f>"'CONFIGURAÇÃO'!AD46"</f>
        <v/>
      </c>
      <c r="D5403" s="198" t="inlineStr">
        <is>
          <t>configuração</t>
        </is>
      </c>
    </row>
    <row r="5404">
      <c r="A5404" s="198" t="inlineStr">
        <is>
          <t>custom.4.campo.pericia_2</t>
        </is>
      </c>
      <c r="B5404" s="198">
        <f>SWITCH('CONFIGURAÇÃO'!$AB$43,"Origem",IF(ISBLANK('CONFIGURAÇÃO'!$AD$47),"",'CONFIGURAÇÃO'!$AD$47&amp;""),"")</f>
        <v/>
      </c>
      <c r="C5404" s="198">
        <f>"'CONFIGURAÇÃO'!AD47"</f>
        <v/>
      </c>
      <c r="D5404" s="198" t="inlineStr">
        <is>
          <t>configuração</t>
        </is>
      </c>
    </row>
    <row r="5405">
      <c r="A5405" s="198" t="inlineStr">
        <is>
          <t>custom.4.campo.pericia_3</t>
        </is>
      </c>
      <c r="B5405" s="198">
        <f>SWITCH('CONFIGURAÇÃO'!$AB$43,"Origem",IF(ISBLANK('CONFIGURAÇÃO'!$AD$48),"",'CONFIGURAÇÃO'!$AD$48&amp;""),"")</f>
        <v/>
      </c>
      <c r="C5405" s="198">
        <f>"'CONFIGURAÇÃO'!AD48"</f>
        <v/>
      </c>
      <c r="D5405" s="198" t="inlineStr">
        <is>
          <t>configuração</t>
        </is>
      </c>
    </row>
    <row r="5406">
      <c r="A5406" s="198" t="inlineStr">
        <is>
          <t>custom.4.campo.pericia_4</t>
        </is>
      </c>
      <c r="B5406" s="198">
        <f>SWITCH('CONFIGURAÇÃO'!$AB$43,"Origem",IF(ISBLANK('CONFIGURAÇÃO'!$AD$49),"",'CONFIGURAÇÃO'!$AD$49&amp;""),"")</f>
        <v/>
      </c>
      <c r="C5406" s="198">
        <f>"'CONFIGURAÇÃO'!AD49"</f>
        <v/>
      </c>
      <c r="D5406" s="198" t="inlineStr">
        <is>
          <t>configuração</t>
        </is>
      </c>
    </row>
    <row r="5407">
      <c r="A5407" s="198" t="inlineStr">
        <is>
          <t>custom.4.campo.preco</t>
        </is>
      </c>
      <c r="B5407" s="198">
        <f>SWITCH('CONFIGURAÇÃO'!$AB$43,"Arma",IF(ISBLANK('CONFIGURAÇÃO'!$AD$58),"",'CONFIGURAÇÃO'!$AD$58&amp;""),"Escudo",IF(ISBLANK('CONFIGURAÇÃO'!$AD$57),"",'CONFIGURAÇÃO'!$AD$57&amp;""),"Uniforme",IF(ISBLANK('CONFIGURAÇÃO'!$AD$57),"",'CONFIGURAÇÃO'!$AD$57&amp;""),"Item comum",IF(ISBLANK('CONFIGURAÇÃO'!$AD$54),"",'CONFIGURAÇÃO'!$AD$54&amp;""),"Ferramenta amaldiçoada",IF(ISBLANK('CONFIGURAÇÃO'!$AD$56),"",'CONFIGURAÇÃO'!$AD$56&amp;""),"")</f>
        <v/>
      </c>
      <c r="C5407" s="198">
        <f>"'CONFIGURAÇÃO'!L113 'CONFIGURAÇÃO'!L112 'CONFIGURAÇÃO'!L112 'CONFIGURAÇÃO'!L109 'CONFIGURAÇÃO'!L111"</f>
        <v/>
      </c>
      <c r="D5407" s="198" t="inlineStr">
        <is>
          <t>configuração</t>
        </is>
      </c>
    </row>
    <row r="5408">
      <c r="A5408" s="198" t="inlineStr">
        <is>
          <t>custom.4.campo.propriedade_1</t>
        </is>
      </c>
      <c r="B5408" s="198">
        <f>SWITCH('CONFIGURAÇÃO'!$AB$43,"Arma",IF(ISBLANK('CONFIGURAÇÃO'!$AD$49),"",'CONFIGURAÇÃO'!$AD$49&amp;""),"")</f>
        <v/>
      </c>
      <c r="C5408" s="198">
        <f>"'CONFIGURAÇÃO'!AD49"</f>
        <v/>
      </c>
      <c r="D5408" s="198" t="inlineStr">
        <is>
          <t>configuração</t>
        </is>
      </c>
    </row>
    <row r="5409">
      <c r="A5409" s="198" t="inlineStr">
        <is>
          <t>custom.4.campo.propriedade_2</t>
        </is>
      </c>
      <c r="B5409" s="198">
        <f>SWITCH('CONFIGURAÇÃO'!$AB$43,"Arma",IF(ISBLANK('CONFIGURAÇÃO'!$AD$50),"",'CONFIGURAÇÃO'!$AD$50&amp;""),"")</f>
        <v/>
      </c>
      <c r="C5409" s="198">
        <f>"'CONFIGURAÇÃO'!AD50"</f>
        <v/>
      </c>
      <c r="D5409" s="198" t="inlineStr">
        <is>
          <t>configuração</t>
        </is>
      </c>
    </row>
    <row r="5410">
      <c r="A5410" s="198" t="inlineStr">
        <is>
          <t>custom.4.campo.propriedade_3</t>
        </is>
      </c>
      <c r="B5410" s="198">
        <f>SWITCH('CONFIGURAÇÃO'!$AB$43,"Arma",IF(ISBLANK('CONFIGURAÇÃO'!$AD$51),"",'CONFIGURAÇÃO'!$AD$51&amp;""),"")</f>
        <v/>
      </c>
      <c r="C5410" s="198">
        <f>"'CONFIGURAÇÃO'!AD51"</f>
        <v/>
      </c>
      <c r="D5410" s="198" t="inlineStr">
        <is>
          <t>configuração</t>
        </is>
      </c>
    </row>
    <row r="5411">
      <c r="A5411" s="198" t="inlineStr">
        <is>
          <t>custom.4.campo.propriedade_4</t>
        </is>
      </c>
      <c r="B5411" s="198">
        <f>SWITCH('CONFIGURAÇÃO'!$AB$43,"Arma",IF(ISBLANK('CONFIGURAÇÃO'!$AD$52),"",'CONFIGURAÇÃO'!$AD$52&amp;""),"")</f>
        <v/>
      </c>
      <c r="C5411" s="198">
        <f>"'CONFIGURAÇÃO'!AD52"</f>
        <v/>
      </c>
      <c r="D5411" s="198" t="inlineStr">
        <is>
          <t>configuração</t>
        </is>
      </c>
    </row>
    <row r="5412">
      <c r="A5412" s="198" t="inlineStr">
        <is>
          <t>custom.4.campo.protecao</t>
        </is>
      </c>
      <c r="B5412" s="198">
        <f>SWITCH('CONFIGURAÇÃO'!$AB$43,"Escudo",IF(ISBLANK('CONFIGURAÇÃO'!$AD$53),"",'CONFIGURAÇÃO'!$AD$53&amp;""),"Uniforme",IF(ISBLANK('CONFIGURAÇÃO'!$AD$53),"",'CONFIGURAÇÃO'!$AD$53&amp;""),"")</f>
        <v/>
      </c>
      <c r="C5412" s="198">
        <f>"'CONFIGURAÇÃO'!L108 'CONFIGURAÇÃO'!L108"</f>
        <v/>
      </c>
      <c r="D5412" s="198" t="inlineStr">
        <is>
          <t>configuração</t>
        </is>
      </c>
    </row>
    <row r="5413">
      <c r="A5413" s="198" t="inlineStr">
        <is>
          <t>custom.4.campo.recarga</t>
        </is>
      </c>
      <c r="B5413" s="198">
        <f>SWITCH('CONFIGURAÇÃO'!$AB$43,"Arma",IF(ISBLANK('CONFIGURAÇÃO'!$AD$57),"",'CONFIGURAÇÃO'!$AD$57&amp;""),"")</f>
        <v/>
      </c>
      <c r="C5413" s="198">
        <f>"'CONFIGURAÇÃO'!AD57"</f>
        <v/>
      </c>
      <c r="D5413" s="198" t="inlineStr">
        <is>
          <t>configuração</t>
        </is>
      </c>
    </row>
    <row r="5414">
      <c r="A5414" s="198" t="inlineStr">
        <is>
          <t>custom.4.campo.rota</t>
        </is>
      </c>
      <c r="B5414" s="198">
        <f>SWITCH('CONFIGURAÇÃO'!$AB$43,"Origem",IF(ISBLANK('CONFIGURAÇÃO'!$AD$50),"",'CONFIGURAÇÃO'!$AD$50&amp;""),"")</f>
        <v/>
      </c>
      <c r="C5414" s="198">
        <f>"'CONFIGURAÇÃO'!AD50"</f>
        <v/>
      </c>
      <c r="D5414" s="198" t="inlineStr">
        <is>
          <t>configuração</t>
        </is>
      </c>
    </row>
    <row r="5415">
      <c r="A5415" s="198" t="inlineStr">
        <is>
          <t>custom.4.campo.talento_ce_4</t>
        </is>
      </c>
      <c r="B5415" s="198">
        <f>SWITCH('CONFIGURAÇÃO'!$AB$43,"Origem",IF(ISBLANK('CONFIGURAÇÃO'!$AD$53),"",'CONFIGURAÇÃO'!$AD$53&amp;""),"")</f>
        <v/>
      </c>
      <c r="C5415" s="198">
        <f>"'CONFIGURAÇÃO'!AD53"</f>
        <v/>
      </c>
      <c r="D5415" s="198" t="inlineStr">
        <is>
          <t>configuração</t>
        </is>
      </c>
    </row>
    <row r="5416">
      <c r="A5416" s="198" t="inlineStr">
        <is>
          <t>custom.4.campo.teto_de_destreza</t>
        </is>
      </c>
      <c r="B5416" s="198">
        <f>SWITCH('CONFIGURAÇÃO'!$AB$43,"Escudo",IF(ISBLANK('CONFIGURAÇÃO'!$AD$54),"",'CONFIGURAÇÃO'!$AD$54&amp;""),"Uniforme",IF(ISBLANK('CONFIGURAÇÃO'!$AD$54),"",'CONFIGURAÇÃO'!$AD$54&amp;""),"")</f>
        <v/>
      </c>
      <c r="C5416" s="198">
        <f>"'CONFIGURAÇÃO'!L109 'CONFIGURAÇÃO'!L109"</f>
        <v/>
      </c>
      <c r="D5416" s="198" t="inlineStr">
        <is>
          <t>configuração</t>
        </is>
      </c>
    </row>
    <row r="5417">
      <c r="A5417" s="198" t="inlineStr">
        <is>
          <t>custom.4.campo.tipo_de_dano</t>
        </is>
      </c>
      <c r="B5417" s="198">
        <f>SWITCH('CONFIGURAÇÃO'!$AB$43,"Arma",IF(ISBLANK('CONFIGURAÇÃO'!$AD$48),"",'CONFIGURAÇÃO'!$AD$48&amp;""),"")</f>
        <v/>
      </c>
      <c r="C5417" s="198">
        <f>"'CONFIGURAÇÃO'!AD48"</f>
        <v/>
      </c>
      <c r="D5417" s="198" t="inlineStr">
        <is>
          <t>configuração</t>
        </is>
      </c>
    </row>
    <row r="5418">
      <c r="A5418" s="198" t="inlineStr">
        <is>
          <t>custom.4.campo.volume</t>
        </is>
      </c>
      <c r="B5418" s="198">
        <f>SWITCH('CONFIGURAÇÃO'!$AB$43,"Arma",IF(ISBLANK('CONFIGURAÇÃO'!$AD$55),"",'CONFIGURAÇÃO'!$AD$55&amp;""),"Escudo",IF(ISBLANK('CONFIGURAÇÃO'!$AD$56),"",'CONFIGURAÇÃO'!$AD$56&amp;""),"Uniforme",IF(ISBLANK('CONFIGURAÇÃO'!$AD$56),"",'CONFIGURAÇÃO'!$AD$56&amp;""),"Item comum",IF(ISBLANK('CONFIGURAÇÃO'!$AD$53),"",'CONFIGURAÇÃO'!$AD$53&amp;""),"Ferramenta amaldiçoada",IF(ISBLANK('CONFIGURAÇÃO'!$AD$55),"",'CONFIGURAÇÃO'!$AD$55&amp;""),"")</f>
        <v/>
      </c>
      <c r="C5418" s="198">
        <f>"'CONFIGURAÇÃO'!L110 'CONFIGURAÇÃO'!L111 'CONFIGURAÇÃO'!L111 'CONFIGURAÇÃO'!L108 'CONFIGURAÇÃO'!L110"</f>
        <v/>
      </c>
      <c r="D5418" s="198" t="inlineStr">
        <is>
          <t>configuração</t>
        </is>
      </c>
    </row>
    <row r="5419">
      <c r="A5419" s="198" t="inlineStr">
        <is>
          <t>aviso.custom.4</t>
        </is>
      </c>
      <c r="B5419" s="198">
        <f>'DADOS_CUSTOM'!$S$5&amp;""</f>
        <v/>
      </c>
      <c r="C5419" s="198" t="inlineStr">
        <is>
          <t>DADOS_CUSTOM!S5</t>
        </is>
      </c>
      <c r="D5419" s="198" t="inlineStr">
        <is>
          <t>aviso</t>
        </is>
      </c>
    </row>
    <row r="5420">
      <c r="A5420" s="198" t="inlineStr">
        <is>
          <t>custom.5.tipo</t>
        </is>
      </c>
      <c r="B5420" s="198">
        <f>IF(ISBLANK('CONFIGURAÇÃO'!$T$72),"",'CONFIGURAÇÃO'!$T$72&amp;"")</f>
        <v/>
      </c>
      <c r="C5420" s="198">
        <f>"'CONFIGURAÇÃO'!T72"</f>
        <v/>
      </c>
      <c r="D5420" s="198" t="inlineStr">
        <is>
          <t>configuração</t>
        </is>
      </c>
    </row>
    <row r="5421">
      <c r="A5421" s="198" t="inlineStr">
        <is>
          <t>custom.5.nome</t>
        </is>
      </c>
      <c r="B5421" s="198">
        <f>IF(ISBLANK('CONFIGURAÇÃO'!$T$74),"",'CONFIGURAÇÃO'!$T$74&amp;"")</f>
        <v/>
      </c>
      <c r="C5421" s="198">
        <f>"'CONFIGURAÇÃO'!T74"</f>
        <v/>
      </c>
      <c r="D5421" s="198" t="inlineStr">
        <is>
          <t>configuração</t>
        </is>
      </c>
    </row>
    <row r="5422">
      <c r="A5422" s="198" t="inlineStr">
        <is>
          <t>custom.5.mestre_viu</t>
        </is>
      </c>
      <c r="B5422" s="198">
        <f>N('CONFIGURAÇÃO'!$X$72)&amp;""</f>
        <v/>
      </c>
      <c r="C5422" s="198">
        <f>"'CONFIGURAÇÃO'!X72"</f>
        <v/>
      </c>
      <c r="D5422" s="198" t="inlineStr">
        <is>
          <t>configuração</t>
        </is>
      </c>
    </row>
    <row r="5423">
      <c r="A5423" s="198" t="inlineStr">
        <is>
          <t>custom.5.efeito</t>
        </is>
      </c>
      <c r="B5423" s="198">
        <f>IF(ISBLANK('CONFIGURAÇÃO'!$T$89),"",'CONFIGURAÇÃO'!$T$89&amp;"")</f>
        <v/>
      </c>
      <c r="C5423" s="198">
        <f>"'CONFIGURAÇÃO'!T89"</f>
        <v/>
      </c>
      <c r="D5423" s="198" t="inlineStr">
        <is>
          <t>configuração</t>
        </is>
      </c>
    </row>
    <row r="5424">
      <c r="A5424" s="198" t="inlineStr">
        <is>
          <t>custom.5.campo.alcance</t>
        </is>
      </c>
      <c r="B5424" s="198">
        <f>SWITCH('CONFIGURAÇÃO'!$T$72,"Arma",IF(ISBLANK('CONFIGURAÇÃO'!$V$85),"",'CONFIGURAÇÃO'!$V$85&amp;""),"")</f>
        <v/>
      </c>
      <c r="C5424" s="198">
        <f>"'CONFIGURAÇÃO'!V85"</f>
        <v/>
      </c>
      <c r="D5424" s="198" t="inlineStr">
        <is>
          <t>configuração</t>
        </is>
      </c>
    </row>
    <row r="5425">
      <c r="A5425" s="198" t="inlineStr">
        <is>
          <t>custom.5.campo.base</t>
        </is>
      </c>
      <c r="B5425" s="198">
        <f>SWITCH('CONFIGURAÇÃO'!$T$72,"Ferramenta amaldiçoada",IF(ISBLANK('CONFIGURAÇÃO'!$V$75),"",'CONFIGURAÇÃO'!$V$75&amp;""),"")</f>
        <v/>
      </c>
      <c r="C5425" s="198">
        <f>"'CONFIGURAÇÃO'!V75"</f>
        <v/>
      </c>
      <c r="D5425" s="198" t="inlineStr">
        <is>
          <t>configuração</t>
        </is>
      </c>
    </row>
    <row r="5426">
      <c r="A5426" s="198" t="inlineStr">
        <is>
          <t>custom.5.campo.base_do_livro</t>
        </is>
      </c>
      <c r="B5426" s="198">
        <f>SWITCH('CONFIGURAÇÃO'!$T$72,"Origem",IF(ISBLANK('CONFIGURAÇÃO'!$V$80),"",'CONFIGURAÇÃO'!$V$80&amp;""),"")</f>
        <v/>
      </c>
      <c r="C5426" s="198">
        <f>"'CONFIGURAÇÃO'!V80"</f>
        <v/>
      </c>
      <c r="D5426" s="198" t="inlineStr">
        <is>
          <t>configuração</t>
        </is>
      </c>
    </row>
    <row r="5427">
      <c r="A5427" s="198" t="inlineStr">
        <is>
          <t>custom.5.campo.categoria</t>
        </is>
      </c>
      <c r="B5427" s="198">
        <f>SWITCH('CONFIGURAÇÃO'!$T$72,"Arma",IF(ISBLANK('CONFIGURAÇÃO'!$V$75),"",'CONFIGURAÇÃO'!$V$75&amp;""),"")</f>
        <v/>
      </c>
      <c r="C5427" s="198">
        <f>"'CONFIGURAÇÃO'!V75"</f>
        <v/>
      </c>
      <c r="D5427" s="198" t="inlineStr">
        <is>
          <t>configuração</t>
        </is>
      </c>
    </row>
    <row r="5428">
      <c r="A5428" s="198" t="inlineStr">
        <is>
          <t>custom.5.campo.dado</t>
        </is>
      </c>
      <c r="B5428" s="198">
        <f>SWITCH('CONFIGURAÇÃO'!$T$72,"Arma",IF(ISBLANK('CONFIGURAÇÃO'!$V$82),"",'CONFIGURAÇÃO'!$V$82&amp;""),"")</f>
        <v/>
      </c>
      <c r="C5428" s="198">
        <f>"'CONFIGURAÇÃO'!V82"</f>
        <v/>
      </c>
      <c r="D5428" s="198" t="inlineStr">
        <is>
          <t>configuração</t>
        </is>
      </c>
    </row>
    <row r="5429">
      <c r="A5429" s="198" t="inlineStr">
        <is>
          <t>custom.5.campo.desgaste</t>
        </is>
      </c>
      <c r="B5429" s="198">
        <f>SWITCH('CONFIGURAÇÃO'!$T$72,"Ferramenta amaldiçoada",IF(ISBLANK('CONFIGURAÇÃO'!$V$83),"",'CONFIGURAÇÃO'!$V$83&amp;""),"")</f>
        <v/>
      </c>
      <c r="C5429" s="198">
        <f>"'CONFIGURAÇÃO'!V83"</f>
        <v/>
      </c>
      <c r="D5429" s="198" t="inlineStr">
        <is>
          <t>configuração</t>
        </is>
      </c>
    </row>
    <row r="5430">
      <c r="A5430" s="198" t="inlineStr">
        <is>
          <t>custom.5.campo.estigma</t>
        </is>
      </c>
      <c r="B5430" s="198">
        <f>SWITCH('CONFIGURAÇÃO'!$T$72,"Ferramenta amaldiçoada",IF(ISBLANK('CONFIGURAÇÃO'!$V$82),"",'CONFIGURAÇÃO'!$V$82&amp;""),"")</f>
        <v/>
      </c>
      <c r="C5430" s="198">
        <f>"'CONFIGURAÇÃO'!V82"</f>
        <v/>
      </c>
      <c r="D5430" s="198" t="inlineStr">
        <is>
          <t>configuração</t>
        </is>
      </c>
    </row>
    <row r="5431">
      <c r="A5431" s="198" t="inlineStr">
        <is>
          <t>custom.5.campo.exige_marcante</t>
        </is>
      </c>
      <c r="B5431" s="198">
        <f>SWITCH('CONFIGURAÇÃO'!$T$72,"Menor",IF(ISBLANK('CONFIGURAÇÃO'!$V$76),"",'CONFIGURAÇÃO'!$V$76&amp;""),"")</f>
        <v/>
      </c>
      <c r="C5431" s="198">
        <f>"'CONFIGURAÇÃO'!V76"</f>
        <v/>
      </c>
      <c r="D5431" s="198" t="inlineStr">
        <is>
          <t>configuração</t>
        </is>
      </c>
    </row>
    <row r="5432">
      <c r="A5432" s="198" t="inlineStr">
        <is>
          <t>custom.5.campo.forca</t>
        </is>
      </c>
      <c r="B5432" s="198">
        <f>SWITCH('CONFIGURAÇÃO'!$T$72,"Arma",IF(ISBLANK('CONFIGURAÇÃO'!$V$83),"",'CONFIGURAÇÃO'!$V$83&amp;""),"Escudo",IF(ISBLANK('CONFIGURAÇÃO'!$V$84),"",'CONFIGURAÇÃO'!$V$84&amp;""),"Uniforme",IF(ISBLANK('CONFIGURAÇÃO'!$V$84),"",'CONFIGURAÇÃO'!$V$84&amp;""),"")</f>
        <v/>
      </c>
      <c r="C5432" s="198">
        <f>"'CONFIGURAÇÃO'!L138 'CONFIGURAÇÃO'!L139 'CONFIGURAÇÃO'!L139"</f>
        <v/>
      </c>
      <c r="D5432" s="198" t="inlineStr">
        <is>
          <t>configuração</t>
        </is>
      </c>
    </row>
    <row r="5433">
      <c r="A5433" s="198" t="inlineStr">
        <is>
          <t>custom.5.campo.frequencia</t>
        </is>
      </c>
      <c r="B5433" s="198">
        <f>SWITCH('CONFIGURAÇÃO'!$T$72,"Marcante",IF(ISBLANK('CONFIGURAÇÃO'!$V$82),"",'CONFIGURAÇÃO'!$V$82&amp;""),"Menor",IF(ISBLANK('CONFIGURAÇÃO'!$V$82),"",'CONFIGURAÇÃO'!$V$82&amp;""),"")</f>
        <v/>
      </c>
      <c r="C5433" s="198">
        <f>"'CONFIGURAÇÃO'!L137 'CONFIGURAÇÃO'!L137"</f>
        <v/>
      </c>
      <c r="D5433" s="198" t="inlineStr">
        <is>
          <t>configuração</t>
        </is>
      </c>
    </row>
    <row r="5434">
      <c r="A5434" s="198" t="inlineStr">
        <is>
          <t>custom.5.campo.grau</t>
        </is>
      </c>
      <c r="B5434" s="198">
        <f>SWITCH('CONFIGURAÇÃO'!$T$72,"Ferramenta amaldiçoada",IF(ISBLANK('CONFIGURAÇÃO'!$V$76),"",'CONFIGURAÇÃO'!$V$76&amp;""),"")</f>
        <v/>
      </c>
      <c r="C5434" s="198">
        <f>"'CONFIGURAÇÃO'!V76"</f>
        <v/>
      </c>
      <c r="D5434" s="198" t="inlineStr">
        <is>
          <t>configuração</t>
        </is>
      </c>
    </row>
    <row r="5435">
      <c r="A5435" s="198" t="inlineStr">
        <is>
          <t>custom.5.campo.grau_minimo</t>
        </is>
      </c>
      <c r="B5435" s="198">
        <f>SWITCH('CONFIGURAÇÃO'!$T$72,"Uniforme",IF(ISBLANK('CONFIGURAÇÃO'!$V$75),"",'CONFIGURAÇÃO'!$V$75&amp;""),"")</f>
        <v/>
      </c>
      <c r="C5435" s="198">
        <f>"'CONFIGURAÇÃO'!V75"</f>
        <v/>
      </c>
      <c r="D5435" s="198" t="inlineStr">
        <is>
          <t>configuração</t>
        </is>
      </c>
    </row>
    <row r="5436">
      <c r="A5436" s="198" t="inlineStr">
        <is>
          <t>custom.5.campo.mao</t>
        </is>
      </c>
      <c r="B5436" s="198">
        <f>SWITCH('CONFIGURAÇÃO'!$T$72,"Arma",IF(ISBLANK('CONFIGURAÇÃO'!$V$76),"",'CONFIGURAÇÃO'!$V$76&amp;""),"")</f>
        <v/>
      </c>
      <c r="C5436" s="198">
        <f>"'CONFIGURAÇÃO'!V76"</f>
        <v/>
      </c>
      <c r="D5436" s="198" t="inlineStr">
        <is>
          <t>configuração</t>
        </is>
      </c>
    </row>
    <row r="5437">
      <c r="A5437" s="198" t="inlineStr">
        <is>
          <t>custom.5.campo.oficio</t>
        </is>
      </c>
      <c r="B5437" s="198">
        <f>SWITCH('CONFIGURAÇÃO'!$T$72,"Origem",IF(ISBLANK('CONFIGURAÇÃO'!$V$81),"",'CONFIGURAÇÃO'!$V$81&amp;""),"")</f>
        <v/>
      </c>
      <c r="C5437" s="198">
        <f>"'CONFIGURAÇÃO'!V81"</f>
        <v/>
      </c>
      <c r="D5437" s="198" t="inlineStr">
        <is>
          <t>configuração</t>
        </is>
      </c>
    </row>
    <row r="5438">
      <c r="A5438" s="198" t="inlineStr">
        <is>
          <t>custom.5.campo.origem</t>
        </is>
      </c>
      <c r="B5438" s="198">
        <f>SWITCH('CONFIGURAÇÃO'!$T$72,"Marcante",IF(ISBLANK('CONFIGURAÇÃO'!$V$75),"",'CONFIGURAÇÃO'!$V$75&amp;""),"Menor",IF(ISBLANK('CONFIGURAÇÃO'!$V$75),"",'CONFIGURAÇÃO'!$V$75&amp;""),"")</f>
        <v/>
      </c>
      <c r="C5438" s="198">
        <f>"'CONFIGURAÇÃO'!L130 'CONFIGURAÇÃO'!L130"</f>
        <v/>
      </c>
      <c r="D5438" s="198" t="inlineStr">
        <is>
          <t>configuração</t>
        </is>
      </c>
    </row>
    <row r="5439">
      <c r="A5439" s="198" t="inlineStr">
        <is>
          <t>custom.5.campo.pericia_1</t>
        </is>
      </c>
      <c r="B5439" s="198">
        <f>SWITCH('CONFIGURAÇÃO'!$T$72,"Origem",IF(ISBLANK('CONFIGURAÇÃO'!$V$75),"",'CONFIGURAÇÃO'!$V$75&amp;""),"")</f>
        <v/>
      </c>
      <c r="C5439" s="198">
        <f>"'CONFIGURAÇÃO'!V75"</f>
        <v/>
      </c>
      <c r="D5439" s="198" t="inlineStr">
        <is>
          <t>configuração</t>
        </is>
      </c>
    </row>
    <row r="5440">
      <c r="A5440" s="198" t="inlineStr">
        <is>
          <t>custom.5.campo.pericia_2</t>
        </is>
      </c>
      <c r="B5440" s="198">
        <f>SWITCH('CONFIGURAÇÃO'!$T$72,"Origem",IF(ISBLANK('CONFIGURAÇÃO'!$V$76),"",'CONFIGURAÇÃO'!$V$76&amp;""),"")</f>
        <v/>
      </c>
      <c r="C5440" s="198">
        <f>"'CONFIGURAÇÃO'!V76"</f>
        <v/>
      </c>
      <c r="D5440" s="198" t="inlineStr">
        <is>
          <t>configuração</t>
        </is>
      </c>
    </row>
    <row r="5441">
      <c r="A5441" s="198" t="inlineStr">
        <is>
          <t>custom.5.campo.pericia_3</t>
        </is>
      </c>
      <c r="B5441" s="198">
        <f>SWITCH('CONFIGURAÇÃO'!$T$72,"Origem",IF(ISBLANK('CONFIGURAÇÃO'!$V$77),"",'CONFIGURAÇÃO'!$V$77&amp;""),"")</f>
        <v/>
      </c>
      <c r="C5441" s="198">
        <f>"'CONFIGURAÇÃO'!V77"</f>
        <v/>
      </c>
      <c r="D5441" s="198" t="inlineStr">
        <is>
          <t>configuração</t>
        </is>
      </c>
    </row>
    <row r="5442">
      <c r="A5442" s="198" t="inlineStr">
        <is>
          <t>custom.5.campo.pericia_4</t>
        </is>
      </c>
      <c r="B5442" s="198">
        <f>SWITCH('CONFIGURAÇÃO'!$T$72,"Origem",IF(ISBLANK('CONFIGURAÇÃO'!$V$78),"",'CONFIGURAÇÃO'!$V$78&amp;""),"")</f>
        <v/>
      </c>
      <c r="C5442" s="198">
        <f>"'CONFIGURAÇÃO'!V78"</f>
        <v/>
      </c>
      <c r="D5442" s="198" t="inlineStr">
        <is>
          <t>configuração</t>
        </is>
      </c>
    </row>
    <row r="5443">
      <c r="A5443" s="198" t="inlineStr">
        <is>
          <t>custom.5.campo.preco</t>
        </is>
      </c>
      <c r="B5443" s="198">
        <f>SWITCH('CONFIGURAÇÃO'!$T$72,"Arma",IF(ISBLANK('CONFIGURAÇÃO'!$V$87),"",'CONFIGURAÇÃO'!$V$87&amp;""),"Escudo",IF(ISBLANK('CONFIGURAÇÃO'!$V$86),"",'CONFIGURAÇÃO'!$V$86&amp;""),"Uniforme",IF(ISBLANK('CONFIGURAÇÃO'!$V$86),"",'CONFIGURAÇÃO'!$V$86&amp;""),"Item comum",IF(ISBLANK('CONFIGURAÇÃO'!$V$83),"",'CONFIGURAÇÃO'!$V$83&amp;""),"Ferramenta amaldiçoada",IF(ISBLANK('CONFIGURAÇÃO'!$V$85),"",'CONFIGURAÇÃO'!$V$85&amp;""),"")</f>
        <v/>
      </c>
      <c r="C5443" s="198">
        <f>"'CONFIGURAÇÃO'!L142 'CONFIGURAÇÃO'!L141 'CONFIGURAÇÃO'!L141 'CONFIGURAÇÃO'!L138 'CONFIGURAÇÃO'!L140"</f>
        <v/>
      </c>
      <c r="D5443" s="198" t="inlineStr">
        <is>
          <t>configuração</t>
        </is>
      </c>
    </row>
    <row r="5444">
      <c r="A5444" s="198" t="inlineStr">
        <is>
          <t>custom.5.campo.propriedade_1</t>
        </is>
      </c>
      <c r="B5444" s="198">
        <f>SWITCH('CONFIGURAÇÃO'!$T$72,"Arma",IF(ISBLANK('CONFIGURAÇÃO'!$V$78),"",'CONFIGURAÇÃO'!$V$78&amp;""),"")</f>
        <v/>
      </c>
      <c r="C5444" s="198">
        <f>"'CONFIGURAÇÃO'!V78"</f>
        <v/>
      </c>
      <c r="D5444" s="198" t="inlineStr">
        <is>
          <t>configuração</t>
        </is>
      </c>
    </row>
    <row r="5445">
      <c r="A5445" s="198" t="inlineStr">
        <is>
          <t>custom.5.campo.propriedade_2</t>
        </is>
      </c>
      <c r="B5445" s="198">
        <f>SWITCH('CONFIGURAÇÃO'!$T$72,"Arma",IF(ISBLANK('CONFIGURAÇÃO'!$V$79),"",'CONFIGURAÇÃO'!$V$79&amp;""),"")</f>
        <v/>
      </c>
      <c r="C5445" s="198">
        <f>"'CONFIGURAÇÃO'!V79"</f>
        <v/>
      </c>
      <c r="D5445" s="198" t="inlineStr">
        <is>
          <t>configuração</t>
        </is>
      </c>
    </row>
    <row r="5446">
      <c r="A5446" s="198" t="inlineStr">
        <is>
          <t>custom.5.campo.propriedade_3</t>
        </is>
      </c>
      <c r="B5446" s="198">
        <f>SWITCH('CONFIGURAÇÃO'!$T$72,"Arma",IF(ISBLANK('CONFIGURAÇÃO'!$V$80),"",'CONFIGURAÇÃO'!$V$80&amp;""),"")</f>
        <v/>
      </c>
      <c r="C5446" s="198">
        <f>"'CONFIGURAÇÃO'!V80"</f>
        <v/>
      </c>
      <c r="D5446" s="198" t="inlineStr">
        <is>
          <t>configuração</t>
        </is>
      </c>
    </row>
    <row r="5447">
      <c r="A5447" s="198" t="inlineStr">
        <is>
          <t>custom.5.campo.propriedade_4</t>
        </is>
      </c>
      <c r="B5447" s="198">
        <f>SWITCH('CONFIGURAÇÃO'!$T$72,"Arma",IF(ISBLANK('CONFIGURAÇÃO'!$V$81),"",'CONFIGURAÇÃO'!$V$81&amp;""),"")</f>
        <v/>
      </c>
      <c r="C5447" s="198">
        <f>"'CONFIGURAÇÃO'!V81"</f>
        <v/>
      </c>
      <c r="D5447" s="198" t="inlineStr">
        <is>
          <t>configuração</t>
        </is>
      </c>
    </row>
    <row r="5448">
      <c r="A5448" s="198" t="inlineStr">
        <is>
          <t>custom.5.campo.protecao</t>
        </is>
      </c>
      <c r="B5448" s="198">
        <f>SWITCH('CONFIGURAÇÃO'!$T$72,"Escudo",IF(ISBLANK('CONFIGURAÇÃO'!$V$82),"",'CONFIGURAÇÃO'!$V$82&amp;""),"Uniforme",IF(ISBLANK('CONFIGURAÇÃO'!$V$82),"",'CONFIGURAÇÃO'!$V$82&amp;""),"")</f>
        <v/>
      </c>
      <c r="C5448" s="198">
        <f>"'CONFIGURAÇÃO'!L137 'CONFIGURAÇÃO'!L137"</f>
        <v/>
      </c>
      <c r="D5448" s="198" t="inlineStr">
        <is>
          <t>configuração</t>
        </is>
      </c>
    </row>
    <row r="5449">
      <c r="A5449" s="198" t="inlineStr">
        <is>
          <t>custom.5.campo.recarga</t>
        </is>
      </c>
      <c r="B5449" s="198">
        <f>SWITCH('CONFIGURAÇÃO'!$T$72,"Arma",IF(ISBLANK('CONFIGURAÇÃO'!$V$86),"",'CONFIGURAÇÃO'!$V$86&amp;""),"")</f>
        <v/>
      </c>
      <c r="C5449" s="198">
        <f>"'CONFIGURAÇÃO'!V86"</f>
        <v/>
      </c>
      <c r="D5449" s="198" t="inlineStr">
        <is>
          <t>configuração</t>
        </is>
      </c>
    </row>
    <row r="5450">
      <c r="A5450" s="198" t="inlineStr">
        <is>
          <t>custom.5.campo.rota</t>
        </is>
      </c>
      <c r="B5450" s="198">
        <f>SWITCH('CONFIGURAÇÃO'!$T$72,"Origem",IF(ISBLANK('CONFIGURAÇÃO'!$V$79),"",'CONFIGURAÇÃO'!$V$79&amp;""),"")</f>
        <v/>
      </c>
      <c r="C5450" s="198">
        <f>"'CONFIGURAÇÃO'!V79"</f>
        <v/>
      </c>
      <c r="D5450" s="198" t="inlineStr">
        <is>
          <t>configuração</t>
        </is>
      </c>
    </row>
    <row r="5451">
      <c r="A5451" s="198" t="inlineStr">
        <is>
          <t>custom.5.campo.talento_ce_4</t>
        </is>
      </c>
      <c r="B5451" s="198">
        <f>SWITCH('CONFIGURAÇÃO'!$T$72,"Origem",IF(ISBLANK('CONFIGURAÇÃO'!$V$82),"",'CONFIGURAÇÃO'!$V$82&amp;""),"")</f>
        <v/>
      </c>
      <c r="C5451" s="198">
        <f>"'CONFIGURAÇÃO'!V82"</f>
        <v/>
      </c>
      <c r="D5451" s="198" t="inlineStr">
        <is>
          <t>configuração</t>
        </is>
      </c>
    </row>
    <row r="5452">
      <c r="A5452" s="198" t="inlineStr">
        <is>
          <t>custom.5.campo.teto_de_destreza</t>
        </is>
      </c>
      <c r="B5452" s="198">
        <f>SWITCH('CONFIGURAÇÃO'!$T$72,"Escudo",IF(ISBLANK('CONFIGURAÇÃO'!$V$83),"",'CONFIGURAÇÃO'!$V$83&amp;""),"Uniforme",IF(ISBLANK('CONFIGURAÇÃO'!$V$83),"",'CONFIGURAÇÃO'!$V$83&amp;""),"")</f>
        <v/>
      </c>
      <c r="C5452" s="198">
        <f>"'CONFIGURAÇÃO'!L138 'CONFIGURAÇÃO'!L138"</f>
        <v/>
      </c>
      <c r="D5452" s="198" t="inlineStr">
        <is>
          <t>configuração</t>
        </is>
      </c>
    </row>
    <row r="5453">
      <c r="A5453" s="198" t="inlineStr">
        <is>
          <t>custom.5.campo.tipo_de_dano</t>
        </is>
      </c>
      <c r="B5453" s="198">
        <f>SWITCH('CONFIGURAÇÃO'!$T$72,"Arma",IF(ISBLANK('CONFIGURAÇÃO'!$V$77),"",'CONFIGURAÇÃO'!$V$77&amp;""),"")</f>
        <v/>
      </c>
      <c r="C5453" s="198">
        <f>"'CONFIGURAÇÃO'!V77"</f>
        <v/>
      </c>
      <c r="D5453" s="198" t="inlineStr">
        <is>
          <t>configuração</t>
        </is>
      </c>
    </row>
    <row r="5454">
      <c r="A5454" s="198" t="inlineStr">
        <is>
          <t>custom.5.campo.volume</t>
        </is>
      </c>
      <c r="B5454" s="198">
        <f>SWITCH('CONFIGURAÇÃO'!$T$72,"Arma",IF(ISBLANK('CONFIGURAÇÃO'!$V$84),"",'CONFIGURAÇÃO'!$V$84&amp;""),"Escudo",IF(ISBLANK('CONFIGURAÇÃO'!$V$85),"",'CONFIGURAÇÃO'!$V$85&amp;""),"Uniforme",IF(ISBLANK('CONFIGURAÇÃO'!$V$85),"",'CONFIGURAÇÃO'!$V$85&amp;""),"Item comum",IF(ISBLANK('CONFIGURAÇÃO'!$V$82),"",'CONFIGURAÇÃO'!$V$82&amp;""),"Ferramenta amaldiçoada",IF(ISBLANK('CONFIGURAÇÃO'!$V$84),"",'CONFIGURAÇÃO'!$V$84&amp;""),"")</f>
        <v/>
      </c>
      <c r="C5454" s="198">
        <f>"'CONFIGURAÇÃO'!L139 'CONFIGURAÇÃO'!L140 'CONFIGURAÇÃO'!L140 'CONFIGURAÇÃO'!L137 'CONFIGURAÇÃO'!L139"</f>
        <v/>
      </c>
      <c r="D5454" s="198" t="inlineStr">
        <is>
          <t>configuração</t>
        </is>
      </c>
    </row>
    <row r="5455">
      <c r="A5455" s="198" t="inlineStr">
        <is>
          <t>aviso.custom.5</t>
        </is>
      </c>
      <c r="B5455" s="198">
        <f>'DADOS_CUSTOM'!$S$6&amp;""</f>
        <v/>
      </c>
      <c r="C5455" s="198" t="inlineStr">
        <is>
          <t>DADOS_CUSTOM!S6</t>
        </is>
      </c>
      <c r="D5455" s="198" t="inlineStr">
        <is>
          <t>aviso</t>
        </is>
      </c>
    </row>
    <row r="5456">
      <c r="A5456" s="198" t="inlineStr">
        <is>
          <t>custom.6.tipo</t>
        </is>
      </c>
      <c r="B5456" s="198">
        <f>IF(ISBLANK('CONFIGURAÇÃO'!$AB$72),"",'CONFIGURAÇÃO'!$AB$72&amp;"")</f>
        <v/>
      </c>
      <c r="C5456" s="198">
        <f>"'CONFIGURAÇÃO'!AB72"</f>
        <v/>
      </c>
      <c r="D5456" s="198" t="inlineStr">
        <is>
          <t>configuração</t>
        </is>
      </c>
    </row>
    <row r="5457">
      <c r="A5457" s="198" t="inlineStr">
        <is>
          <t>custom.6.nome</t>
        </is>
      </c>
      <c r="B5457" s="198">
        <f>IF(ISBLANK('CONFIGURAÇÃO'!$AB$74),"",'CONFIGURAÇÃO'!$AB$74&amp;"")</f>
        <v/>
      </c>
      <c r="C5457" s="198">
        <f>"'CONFIGURAÇÃO'!AB74"</f>
        <v/>
      </c>
      <c r="D5457" s="198" t="inlineStr">
        <is>
          <t>configuração</t>
        </is>
      </c>
    </row>
    <row r="5458">
      <c r="A5458" s="198" t="inlineStr">
        <is>
          <t>custom.6.mestre_viu</t>
        </is>
      </c>
      <c r="B5458" s="198">
        <f>N('CONFIGURAÇÃO'!$AF$72)&amp;""</f>
        <v/>
      </c>
      <c r="C5458" s="198">
        <f>"'CONFIGURAÇÃO'!AF72"</f>
        <v/>
      </c>
      <c r="D5458" s="198" t="inlineStr">
        <is>
          <t>configuração</t>
        </is>
      </c>
    </row>
    <row r="5459">
      <c r="A5459" s="198" t="inlineStr">
        <is>
          <t>custom.6.efeito</t>
        </is>
      </c>
      <c r="B5459" s="198">
        <f>IF(ISBLANK('CONFIGURAÇÃO'!$AB$89),"",'CONFIGURAÇÃO'!$AB$89&amp;"")</f>
        <v/>
      </c>
      <c r="C5459" s="198">
        <f>"'CONFIGURAÇÃO'!AB89"</f>
        <v/>
      </c>
      <c r="D5459" s="198" t="inlineStr">
        <is>
          <t>configuração</t>
        </is>
      </c>
    </row>
    <row r="5460">
      <c r="A5460" s="198" t="inlineStr">
        <is>
          <t>custom.6.campo.alcance</t>
        </is>
      </c>
      <c r="B5460" s="198">
        <f>SWITCH('CONFIGURAÇÃO'!$AB$72,"Arma",IF(ISBLANK('CONFIGURAÇÃO'!$AD$85),"",'CONFIGURAÇÃO'!$AD$85&amp;""),"")</f>
        <v/>
      </c>
      <c r="C5460" s="198">
        <f>"'CONFIGURAÇÃO'!AD85"</f>
        <v/>
      </c>
      <c r="D5460" s="198" t="inlineStr">
        <is>
          <t>configuração</t>
        </is>
      </c>
    </row>
    <row r="5461">
      <c r="A5461" s="198" t="inlineStr">
        <is>
          <t>custom.6.campo.base</t>
        </is>
      </c>
      <c r="B5461" s="198">
        <f>SWITCH('CONFIGURAÇÃO'!$AB$72,"Ferramenta amaldiçoada",IF(ISBLANK('CONFIGURAÇÃO'!$AD$75),"",'CONFIGURAÇÃO'!$AD$75&amp;""),"")</f>
        <v/>
      </c>
      <c r="C5461" s="198">
        <f>"'CONFIGURAÇÃO'!AD75"</f>
        <v/>
      </c>
      <c r="D5461" s="198" t="inlineStr">
        <is>
          <t>configuração</t>
        </is>
      </c>
    </row>
    <row r="5462">
      <c r="A5462" s="198" t="inlineStr">
        <is>
          <t>custom.6.campo.base_do_livro</t>
        </is>
      </c>
      <c r="B5462" s="198">
        <f>SWITCH('CONFIGURAÇÃO'!$AB$72,"Origem",IF(ISBLANK('CONFIGURAÇÃO'!$AD$80),"",'CONFIGURAÇÃO'!$AD$80&amp;""),"")</f>
        <v/>
      </c>
      <c r="C5462" s="198">
        <f>"'CONFIGURAÇÃO'!AD80"</f>
        <v/>
      </c>
      <c r="D5462" s="198" t="inlineStr">
        <is>
          <t>configuração</t>
        </is>
      </c>
    </row>
    <row r="5463">
      <c r="A5463" s="198" t="inlineStr">
        <is>
          <t>custom.6.campo.categoria</t>
        </is>
      </c>
      <c r="B5463" s="198">
        <f>SWITCH('CONFIGURAÇÃO'!$AB$72,"Arma",IF(ISBLANK('CONFIGURAÇÃO'!$AD$75),"",'CONFIGURAÇÃO'!$AD$75&amp;""),"")</f>
        <v/>
      </c>
      <c r="C5463" s="198">
        <f>"'CONFIGURAÇÃO'!AD75"</f>
        <v/>
      </c>
      <c r="D5463" s="198" t="inlineStr">
        <is>
          <t>configuração</t>
        </is>
      </c>
    </row>
    <row r="5464">
      <c r="A5464" s="198" t="inlineStr">
        <is>
          <t>custom.6.campo.dado</t>
        </is>
      </c>
      <c r="B5464" s="198">
        <f>SWITCH('CONFIGURAÇÃO'!$AB$72,"Arma",IF(ISBLANK('CONFIGURAÇÃO'!$AD$82),"",'CONFIGURAÇÃO'!$AD$82&amp;""),"")</f>
        <v/>
      </c>
      <c r="C5464" s="198">
        <f>"'CONFIGURAÇÃO'!AD82"</f>
        <v/>
      </c>
      <c r="D5464" s="198" t="inlineStr">
        <is>
          <t>configuração</t>
        </is>
      </c>
    </row>
    <row r="5465">
      <c r="A5465" s="198" t="inlineStr">
        <is>
          <t>custom.6.campo.desgaste</t>
        </is>
      </c>
      <c r="B5465" s="198">
        <f>SWITCH('CONFIGURAÇÃO'!$AB$72,"Ferramenta amaldiçoada",IF(ISBLANK('CONFIGURAÇÃO'!$AD$83),"",'CONFIGURAÇÃO'!$AD$83&amp;""),"")</f>
        <v/>
      </c>
      <c r="C5465" s="198">
        <f>"'CONFIGURAÇÃO'!AD83"</f>
        <v/>
      </c>
      <c r="D5465" s="198" t="inlineStr">
        <is>
          <t>configuração</t>
        </is>
      </c>
    </row>
    <row r="5466">
      <c r="A5466" s="198" t="inlineStr">
        <is>
          <t>custom.6.campo.estigma</t>
        </is>
      </c>
      <c r="B5466" s="198">
        <f>SWITCH('CONFIGURAÇÃO'!$AB$72,"Ferramenta amaldiçoada",IF(ISBLANK('CONFIGURAÇÃO'!$AD$82),"",'CONFIGURAÇÃO'!$AD$82&amp;""),"")</f>
        <v/>
      </c>
      <c r="C5466" s="198">
        <f>"'CONFIGURAÇÃO'!AD82"</f>
        <v/>
      </c>
      <c r="D5466" s="198" t="inlineStr">
        <is>
          <t>configuração</t>
        </is>
      </c>
    </row>
    <row r="5467">
      <c r="A5467" s="198" t="inlineStr">
        <is>
          <t>custom.6.campo.exige_marcante</t>
        </is>
      </c>
      <c r="B5467" s="198">
        <f>SWITCH('CONFIGURAÇÃO'!$AB$72,"Menor",IF(ISBLANK('CONFIGURAÇÃO'!$AD$76),"",'CONFIGURAÇÃO'!$AD$76&amp;""),"")</f>
        <v/>
      </c>
      <c r="C5467" s="198">
        <f>"'CONFIGURAÇÃO'!AD76"</f>
        <v/>
      </c>
      <c r="D5467" s="198" t="inlineStr">
        <is>
          <t>configuração</t>
        </is>
      </c>
    </row>
    <row r="5468">
      <c r="A5468" s="198" t="inlineStr">
        <is>
          <t>custom.6.campo.forca</t>
        </is>
      </c>
      <c r="B5468" s="198">
        <f>SWITCH('CONFIGURAÇÃO'!$AB$72,"Arma",IF(ISBLANK('CONFIGURAÇÃO'!$AD$83),"",'CONFIGURAÇÃO'!$AD$83&amp;""),"Escudo",IF(ISBLANK('CONFIGURAÇÃO'!$AD$84),"",'CONFIGURAÇÃO'!$AD$84&amp;""),"Uniforme",IF(ISBLANK('CONFIGURAÇÃO'!$AD$84),"",'CONFIGURAÇÃO'!$AD$84&amp;""),"")</f>
        <v/>
      </c>
      <c r="C5468" s="198">
        <f>"'CONFIGURAÇÃO'!L167 'CONFIGURAÇÃO'!L168 'CONFIGURAÇÃO'!L168"</f>
        <v/>
      </c>
      <c r="D5468" s="198" t="inlineStr">
        <is>
          <t>configuração</t>
        </is>
      </c>
    </row>
    <row r="5469">
      <c r="A5469" s="198" t="inlineStr">
        <is>
          <t>custom.6.campo.frequencia</t>
        </is>
      </c>
      <c r="B5469" s="198">
        <f>SWITCH('CONFIGURAÇÃO'!$AB$72,"Marcante",IF(ISBLANK('CONFIGURAÇÃO'!$AD$82),"",'CONFIGURAÇÃO'!$AD$82&amp;""),"Menor",IF(ISBLANK('CONFIGURAÇÃO'!$AD$82),"",'CONFIGURAÇÃO'!$AD$82&amp;""),"")</f>
        <v/>
      </c>
      <c r="C5469" s="198">
        <f>"'CONFIGURAÇÃO'!L166 'CONFIGURAÇÃO'!L166"</f>
        <v/>
      </c>
      <c r="D5469" s="198" t="inlineStr">
        <is>
          <t>configuração</t>
        </is>
      </c>
    </row>
    <row r="5470">
      <c r="A5470" s="198" t="inlineStr">
        <is>
          <t>custom.6.campo.grau</t>
        </is>
      </c>
      <c r="B5470" s="198">
        <f>SWITCH('CONFIGURAÇÃO'!$AB$72,"Ferramenta amaldiçoada",IF(ISBLANK('CONFIGURAÇÃO'!$AD$76),"",'CONFIGURAÇÃO'!$AD$76&amp;""),"")</f>
        <v/>
      </c>
      <c r="C5470" s="198">
        <f>"'CONFIGURAÇÃO'!AD76"</f>
        <v/>
      </c>
      <c r="D5470" s="198" t="inlineStr">
        <is>
          <t>configuração</t>
        </is>
      </c>
    </row>
    <row r="5471">
      <c r="A5471" s="198" t="inlineStr">
        <is>
          <t>custom.6.campo.grau_minimo</t>
        </is>
      </c>
      <c r="B5471" s="198">
        <f>SWITCH('CONFIGURAÇÃO'!$AB$72,"Uniforme",IF(ISBLANK('CONFIGURAÇÃO'!$AD$75),"",'CONFIGURAÇÃO'!$AD$75&amp;""),"")</f>
        <v/>
      </c>
      <c r="C5471" s="198">
        <f>"'CONFIGURAÇÃO'!AD75"</f>
        <v/>
      </c>
      <c r="D5471" s="198" t="inlineStr">
        <is>
          <t>configuração</t>
        </is>
      </c>
    </row>
    <row r="5472">
      <c r="A5472" s="198" t="inlineStr">
        <is>
          <t>custom.6.campo.mao</t>
        </is>
      </c>
      <c r="B5472" s="198">
        <f>SWITCH('CONFIGURAÇÃO'!$AB$72,"Arma",IF(ISBLANK('CONFIGURAÇÃO'!$AD$76),"",'CONFIGURAÇÃO'!$AD$76&amp;""),"")</f>
        <v/>
      </c>
      <c r="C5472" s="198">
        <f>"'CONFIGURAÇÃO'!AD76"</f>
        <v/>
      </c>
      <c r="D5472" s="198" t="inlineStr">
        <is>
          <t>configuração</t>
        </is>
      </c>
    </row>
    <row r="5473">
      <c r="A5473" s="198" t="inlineStr">
        <is>
          <t>custom.6.campo.oficio</t>
        </is>
      </c>
      <c r="B5473" s="198">
        <f>SWITCH('CONFIGURAÇÃO'!$AB$72,"Origem",IF(ISBLANK('CONFIGURAÇÃO'!$AD$81),"",'CONFIGURAÇÃO'!$AD$81&amp;""),"")</f>
        <v/>
      </c>
      <c r="C5473" s="198">
        <f>"'CONFIGURAÇÃO'!AD81"</f>
        <v/>
      </c>
      <c r="D5473" s="198" t="inlineStr">
        <is>
          <t>configuração</t>
        </is>
      </c>
    </row>
    <row r="5474">
      <c r="A5474" s="198" t="inlineStr">
        <is>
          <t>custom.6.campo.origem</t>
        </is>
      </c>
      <c r="B5474" s="198">
        <f>SWITCH('CONFIGURAÇÃO'!$AB$72,"Marcante",IF(ISBLANK('CONFIGURAÇÃO'!$AD$75),"",'CONFIGURAÇÃO'!$AD$75&amp;""),"Menor",IF(ISBLANK('CONFIGURAÇÃO'!$AD$75),"",'CONFIGURAÇÃO'!$AD$75&amp;""),"")</f>
        <v/>
      </c>
      <c r="C5474" s="198">
        <f>"'CONFIGURAÇÃO'!L159 'CONFIGURAÇÃO'!L159"</f>
        <v/>
      </c>
      <c r="D5474" s="198" t="inlineStr">
        <is>
          <t>configuração</t>
        </is>
      </c>
    </row>
    <row r="5475">
      <c r="A5475" s="198" t="inlineStr">
        <is>
          <t>custom.6.campo.pericia_1</t>
        </is>
      </c>
      <c r="B5475" s="198">
        <f>SWITCH('CONFIGURAÇÃO'!$AB$72,"Origem",IF(ISBLANK('CONFIGURAÇÃO'!$AD$75),"",'CONFIGURAÇÃO'!$AD$75&amp;""),"")</f>
        <v/>
      </c>
      <c r="C5475" s="198">
        <f>"'CONFIGURAÇÃO'!AD75"</f>
        <v/>
      </c>
      <c r="D5475" s="198" t="inlineStr">
        <is>
          <t>configuração</t>
        </is>
      </c>
    </row>
    <row r="5476">
      <c r="A5476" s="198" t="inlineStr">
        <is>
          <t>custom.6.campo.pericia_2</t>
        </is>
      </c>
      <c r="B5476" s="198">
        <f>SWITCH('CONFIGURAÇÃO'!$AB$72,"Origem",IF(ISBLANK('CONFIGURAÇÃO'!$AD$76),"",'CONFIGURAÇÃO'!$AD$76&amp;""),"")</f>
        <v/>
      </c>
      <c r="C5476" s="198">
        <f>"'CONFIGURAÇÃO'!AD76"</f>
        <v/>
      </c>
      <c r="D5476" s="198" t="inlineStr">
        <is>
          <t>configuração</t>
        </is>
      </c>
    </row>
    <row r="5477">
      <c r="A5477" s="198" t="inlineStr">
        <is>
          <t>custom.6.campo.pericia_3</t>
        </is>
      </c>
      <c r="B5477" s="198">
        <f>SWITCH('CONFIGURAÇÃO'!$AB$72,"Origem",IF(ISBLANK('CONFIGURAÇÃO'!$AD$77),"",'CONFIGURAÇÃO'!$AD$77&amp;""),"")</f>
        <v/>
      </c>
      <c r="C5477" s="198">
        <f>"'CONFIGURAÇÃO'!AD77"</f>
        <v/>
      </c>
      <c r="D5477" s="198" t="inlineStr">
        <is>
          <t>configuração</t>
        </is>
      </c>
    </row>
    <row r="5478">
      <c r="A5478" s="198" t="inlineStr">
        <is>
          <t>custom.6.campo.pericia_4</t>
        </is>
      </c>
      <c r="B5478" s="198">
        <f>SWITCH('CONFIGURAÇÃO'!$AB$72,"Origem",IF(ISBLANK('CONFIGURAÇÃO'!$AD$78),"",'CONFIGURAÇÃO'!$AD$78&amp;""),"")</f>
        <v/>
      </c>
      <c r="C5478" s="198">
        <f>"'CONFIGURAÇÃO'!AD78"</f>
        <v/>
      </c>
      <c r="D5478" s="198" t="inlineStr">
        <is>
          <t>configuração</t>
        </is>
      </c>
    </row>
    <row r="5479">
      <c r="A5479" s="198" t="inlineStr">
        <is>
          <t>custom.6.campo.preco</t>
        </is>
      </c>
      <c r="B5479" s="198">
        <f>SWITCH('CONFIGURAÇÃO'!$AB$72,"Arma",IF(ISBLANK('CONFIGURAÇÃO'!$AD$87),"",'CONFIGURAÇÃO'!$AD$87&amp;""),"Escudo",IF(ISBLANK('CONFIGURAÇÃO'!$AD$86),"",'CONFIGURAÇÃO'!$AD$86&amp;""),"Uniforme",IF(ISBLANK('CONFIGURAÇÃO'!$AD$86),"",'CONFIGURAÇÃO'!$AD$86&amp;""),"Item comum",IF(ISBLANK('CONFIGURAÇÃO'!$AD$83),"",'CONFIGURAÇÃO'!$AD$83&amp;""),"Ferramenta amaldiçoada",IF(ISBLANK('CONFIGURAÇÃO'!$AD$85),"",'CONFIGURAÇÃO'!$AD$85&amp;""),"")</f>
        <v/>
      </c>
      <c r="C5479" s="198">
        <f>"'CONFIGURAÇÃO'!L171 'CONFIGURAÇÃO'!L170 'CONFIGURAÇÃO'!L170 'CONFIGURAÇÃO'!L167 'CONFIGURAÇÃO'!L169"</f>
        <v/>
      </c>
      <c r="D5479" s="198" t="inlineStr">
        <is>
          <t>configuração</t>
        </is>
      </c>
    </row>
    <row r="5480">
      <c r="A5480" s="198" t="inlineStr">
        <is>
          <t>custom.6.campo.propriedade_1</t>
        </is>
      </c>
      <c r="B5480" s="198">
        <f>SWITCH('CONFIGURAÇÃO'!$AB$72,"Arma",IF(ISBLANK('CONFIGURAÇÃO'!$AD$78),"",'CONFIGURAÇÃO'!$AD$78&amp;""),"")</f>
        <v/>
      </c>
      <c r="C5480" s="198">
        <f>"'CONFIGURAÇÃO'!AD78"</f>
        <v/>
      </c>
      <c r="D5480" s="198" t="inlineStr">
        <is>
          <t>configuração</t>
        </is>
      </c>
    </row>
    <row r="5481">
      <c r="A5481" s="198" t="inlineStr">
        <is>
          <t>custom.6.campo.propriedade_2</t>
        </is>
      </c>
      <c r="B5481" s="198">
        <f>SWITCH('CONFIGURAÇÃO'!$AB$72,"Arma",IF(ISBLANK('CONFIGURAÇÃO'!$AD$79),"",'CONFIGURAÇÃO'!$AD$79&amp;""),"")</f>
        <v/>
      </c>
      <c r="C5481" s="198">
        <f>"'CONFIGURAÇÃO'!AD79"</f>
        <v/>
      </c>
      <c r="D5481" s="198" t="inlineStr">
        <is>
          <t>configuração</t>
        </is>
      </c>
    </row>
    <row r="5482">
      <c r="A5482" s="198" t="inlineStr">
        <is>
          <t>custom.6.campo.propriedade_3</t>
        </is>
      </c>
      <c r="B5482" s="198">
        <f>SWITCH('CONFIGURAÇÃO'!$AB$72,"Arma",IF(ISBLANK('CONFIGURAÇÃO'!$AD$80),"",'CONFIGURAÇÃO'!$AD$80&amp;""),"")</f>
        <v/>
      </c>
      <c r="C5482" s="198">
        <f>"'CONFIGURAÇÃO'!AD80"</f>
        <v/>
      </c>
      <c r="D5482" s="198" t="inlineStr">
        <is>
          <t>configuração</t>
        </is>
      </c>
    </row>
    <row r="5483">
      <c r="A5483" s="198" t="inlineStr">
        <is>
          <t>custom.6.campo.propriedade_4</t>
        </is>
      </c>
      <c r="B5483" s="198">
        <f>SWITCH('CONFIGURAÇÃO'!$AB$72,"Arma",IF(ISBLANK('CONFIGURAÇÃO'!$AD$81),"",'CONFIGURAÇÃO'!$AD$81&amp;""),"")</f>
        <v/>
      </c>
      <c r="C5483" s="198">
        <f>"'CONFIGURAÇÃO'!AD81"</f>
        <v/>
      </c>
      <c r="D5483" s="198" t="inlineStr">
        <is>
          <t>configuração</t>
        </is>
      </c>
    </row>
    <row r="5484">
      <c r="A5484" s="198" t="inlineStr">
        <is>
          <t>custom.6.campo.protecao</t>
        </is>
      </c>
      <c r="B5484" s="198">
        <f>SWITCH('CONFIGURAÇÃO'!$AB$72,"Escudo",IF(ISBLANK('CONFIGURAÇÃO'!$AD$82),"",'CONFIGURAÇÃO'!$AD$82&amp;""),"Uniforme",IF(ISBLANK('CONFIGURAÇÃO'!$AD$82),"",'CONFIGURAÇÃO'!$AD$82&amp;""),"")</f>
        <v/>
      </c>
      <c r="C5484" s="198">
        <f>"'CONFIGURAÇÃO'!L166 'CONFIGURAÇÃO'!L166"</f>
        <v/>
      </c>
      <c r="D5484" s="198" t="inlineStr">
        <is>
          <t>configuração</t>
        </is>
      </c>
    </row>
    <row r="5485">
      <c r="A5485" s="198" t="inlineStr">
        <is>
          <t>custom.6.campo.recarga</t>
        </is>
      </c>
      <c r="B5485" s="198">
        <f>SWITCH('CONFIGURAÇÃO'!$AB$72,"Arma",IF(ISBLANK('CONFIGURAÇÃO'!$AD$86),"",'CONFIGURAÇÃO'!$AD$86&amp;""),"")</f>
        <v/>
      </c>
      <c r="C5485" s="198">
        <f>"'CONFIGURAÇÃO'!AD86"</f>
        <v/>
      </c>
      <c r="D5485" s="198" t="inlineStr">
        <is>
          <t>configuração</t>
        </is>
      </c>
    </row>
    <row r="5486">
      <c r="A5486" s="198" t="inlineStr">
        <is>
          <t>custom.6.campo.rota</t>
        </is>
      </c>
      <c r="B5486" s="198">
        <f>SWITCH('CONFIGURAÇÃO'!$AB$72,"Origem",IF(ISBLANK('CONFIGURAÇÃO'!$AD$79),"",'CONFIGURAÇÃO'!$AD$79&amp;""),"")</f>
        <v/>
      </c>
      <c r="C5486" s="198">
        <f>"'CONFIGURAÇÃO'!AD79"</f>
        <v/>
      </c>
      <c r="D5486" s="198" t="inlineStr">
        <is>
          <t>configuração</t>
        </is>
      </c>
    </row>
    <row r="5487">
      <c r="A5487" s="198" t="inlineStr">
        <is>
          <t>custom.6.campo.talento_ce_4</t>
        </is>
      </c>
      <c r="B5487" s="198">
        <f>SWITCH('CONFIGURAÇÃO'!$AB$72,"Origem",IF(ISBLANK('CONFIGURAÇÃO'!$AD$82),"",'CONFIGURAÇÃO'!$AD$82&amp;""),"")</f>
        <v/>
      </c>
      <c r="C5487" s="198">
        <f>"'CONFIGURAÇÃO'!AD82"</f>
        <v/>
      </c>
      <c r="D5487" s="198" t="inlineStr">
        <is>
          <t>configuração</t>
        </is>
      </c>
    </row>
    <row r="5488">
      <c r="A5488" s="198" t="inlineStr">
        <is>
          <t>custom.6.campo.teto_de_destreza</t>
        </is>
      </c>
      <c r="B5488" s="198">
        <f>SWITCH('CONFIGURAÇÃO'!$AB$72,"Escudo",IF(ISBLANK('CONFIGURAÇÃO'!$AD$83),"",'CONFIGURAÇÃO'!$AD$83&amp;""),"Uniforme",IF(ISBLANK('CONFIGURAÇÃO'!$AD$83),"",'CONFIGURAÇÃO'!$AD$83&amp;""),"")</f>
        <v/>
      </c>
      <c r="C5488" s="198">
        <f>"'CONFIGURAÇÃO'!L167 'CONFIGURAÇÃO'!L167"</f>
        <v/>
      </c>
      <c r="D5488" s="198" t="inlineStr">
        <is>
          <t>configuração</t>
        </is>
      </c>
    </row>
    <row r="5489">
      <c r="A5489" s="198" t="inlineStr">
        <is>
          <t>custom.6.campo.tipo_de_dano</t>
        </is>
      </c>
      <c r="B5489" s="198">
        <f>SWITCH('CONFIGURAÇÃO'!$AB$72,"Arma",IF(ISBLANK('CONFIGURAÇÃO'!$AD$77),"",'CONFIGURAÇÃO'!$AD$77&amp;""),"")</f>
        <v/>
      </c>
      <c r="C5489" s="198">
        <f>"'CONFIGURAÇÃO'!AD77"</f>
        <v/>
      </c>
      <c r="D5489" s="198" t="inlineStr">
        <is>
          <t>configuração</t>
        </is>
      </c>
    </row>
    <row r="5490">
      <c r="A5490" s="198" t="inlineStr">
        <is>
          <t>custom.6.campo.volume</t>
        </is>
      </c>
      <c r="B5490" s="198">
        <f>SWITCH('CONFIGURAÇÃO'!$AB$72,"Arma",IF(ISBLANK('CONFIGURAÇÃO'!$AD$84),"",'CONFIGURAÇÃO'!$AD$84&amp;""),"Escudo",IF(ISBLANK('CONFIGURAÇÃO'!$AD$85),"",'CONFIGURAÇÃO'!$AD$85&amp;""),"Uniforme",IF(ISBLANK('CONFIGURAÇÃO'!$AD$85),"",'CONFIGURAÇÃO'!$AD$85&amp;""),"Item comum",IF(ISBLANK('CONFIGURAÇÃO'!$AD$82),"",'CONFIGURAÇÃO'!$AD$82&amp;""),"Ferramenta amaldiçoada",IF(ISBLANK('CONFIGURAÇÃO'!$AD$84),"",'CONFIGURAÇÃO'!$AD$84&amp;""),"")</f>
        <v/>
      </c>
      <c r="C5490" s="198">
        <f>"'CONFIGURAÇÃO'!L168 'CONFIGURAÇÃO'!L169 'CONFIGURAÇÃO'!L169 'CONFIGURAÇÃO'!L166 'CONFIGURAÇÃO'!L168"</f>
        <v/>
      </c>
      <c r="D5490" s="198" t="inlineStr">
        <is>
          <t>configuração</t>
        </is>
      </c>
    </row>
    <row r="5491">
      <c r="A5491" s="198" t="inlineStr">
        <is>
          <t>aviso.custom.6</t>
        </is>
      </c>
      <c r="B5491" s="198">
        <f>'DADOS_CUSTOM'!$S$7&amp;""</f>
        <v/>
      </c>
      <c r="C5491" s="198" t="inlineStr">
        <is>
          <t>DADOS_CUSTOM!S7</t>
        </is>
      </c>
      <c r="D5491" s="198" t="inlineStr">
        <is>
          <t>aviso</t>
        </is>
      </c>
    </row>
    <row r="5492">
      <c r="A5492" s="198" t="inlineStr">
        <is>
          <t>custom.7.tipo</t>
        </is>
      </c>
      <c r="B5492" s="198">
        <f>IF(ISBLANK('CONFIGURAÇÃO'!$T$101),"",'CONFIGURAÇÃO'!$T$101&amp;"")</f>
        <v/>
      </c>
      <c r="C5492" s="198">
        <f>"'CONFIGURAÇÃO'!T101"</f>
        <v/>
      </c>
      <c r="D5492" s="198" t="inlineStr">
        <is>
          <t>configuração</t>
        </is>
      </c>
    </row>
    <row r="5493">
      <c r="A5493" s="198" t="inlineStr">
        <is>
          <t>custom.7.nome</t>
        </is>
      </c>
      <c r="B5493" s="198">
        <f>IF(ISBLANK('CONFIGURAÇÃO'!$T$103),"",'CONFIGURAÇÃO'!$T$103&amp;"")</f>
        <v/>
      </c>
      <c r="C5493" s="198">
        <f>"'CONFIGURAÇÃO'!T103"</f>
        <v/>
      </c>
      <c r="D5493" s="198" t="inlineStr">
        <is>
          <t>configuração</t>
        </is>
      </c>
    </row>
    <row r="5494">
      <c r="A5494" s="198" t="inlineStr">
        <is>
          <t>custom.7.mestre_viu</t>
        </is>
      </c>
      <c r="B5494" s="198">
        <f>N('CONFIGURAÇÃO'!$X$101)&amp;""</f>
        <v/>
      </c>
      <c r="C5494" s="198">
        <f>"'CONFIGURAÇÃO'!X101"</f>
        <v/>
      </c>
      <c r="D5494" s="198" t="inlineStr">
        <is>
          <t>configuração</t>
        </is>
      </c>
    </row>
    <row r="5495">
      <c r="A5495" s="198" t="inlineStr">
        <is>
          <t>custom.7.efeito</t>
        </is>
      </c>
      <c r="B5495" s="198">
        <f>IF(ISBLANK('CONFIGURAÇÃO'!$T$118),"",'CONFIGURAÇÃO'!$T$118&amp;"")</f>
        <v/>
      </c>
      <c r="C5495" s="198">
        <f>"'CONFIGURAÇÃO'!T118"</f>
        <v/>
      </c>
      <c r="D5495" s="198" t="inlineStr">
        <is>
          <t>configuração</t>
        </is>
      </c>
    </row>
    <row r="5496">
      <c r="A5496" s="198" t="inlineStr">
        <is>
          <t>custom.7.campo.alcance</t>
        </is>
      </c>
      <c r="B5496" s="198">
        <f>SWITCH('CONFIGURAÇÃO'!$T$101,"Arma",IF(ISBLANK('CONFIGURAÇÃO'!$V$114),"",'CONFIGURAÇÃO'!$V$114&amp;""),"")</f>
        <v/>
      </c>
      <c r="C5496" s="198">
        <f>"'CONFIGURAÇÃO'!V114"</f>
        <v/>
      </c>
      <c r="D5496" s="198" t="inlineStr">
        <is>
          <t>configuração</t>
        </is>
      </c>
    </row>
    <row r="5497">
      <c r="A5497" s="198" t="inlineStr">
        <is>
          <t>custom.7.campo.base</t>
        </is>
      </c>
      <c r="B5497" s="198">
        <f>SWITCH('CONFIGURAÇÃO'!$T$101,"Ferramenta amaldiçoada",IF(ISBLANK('CONFIGURAÇÃO'!$V$104),"",'CONFIGURAÇÃO'!$V$104&amp;""),"")</f>
        <v/>
      </c>
      <c r="C5497" s="198">
        <f>"'CONFIGURAÇÃO'!V104"</f>
        <v/>
      </c>
      <c r="D5497" s="198" t="inlineStr">
        <is>
          <t>configuração</t>
        </is>
      </c>
    </row>
    <row r="5498">
      <c r="A5498" s="198" t="inlineStr">
        <is>
          <t>custom.7.campo.base_do_livro</t>
        </is>
      </c>
      <c r="B5498" s="198">
        <f>SWITCH('CONFIGURAÇÃO'!$T$101,"Origem",IF(ISBLANK('CONFIGURAÇÃO'!$V$109),"",'CONFIGURAÇÃO'!$V$109&amp;""),"")</f>
        <v/>
      </c>
      <c r="C5498" s="198">
        <f>"'CONFIGURAÇÃO'!V109"</f>
        <v/>
      </c>
      <c r="D5498" s="198" t="inlineStr">
        <is>
          <t>configuração</t>
        </is>
      </c>
    </row>
    <row r="5499">
      <c r="A5499" s="198" t="inlineStr">
        <is>
          <t>custom.7.campo.categoria</t>
        </is>
      </c>
      <c r="B5499" s="198">
        <f>SWITCH('CONFIGURAÇÃO'!$T$101,"Arma",IF(ISBLANK('CONFIGURAÇÃO'!$V$104),"",'CONFIGURAÇÃO'!$V$104&amp;""),"")</f>
        <v/>
      </c>
      <c r="C5499" s="198">
        <f>"'CONFIGURAÇÃO'!V104"</f>
        <v/>
      </c>
      <c r="D5499" s="198" t="inlineStr">
        <is>
          <t>configuração</t>
        </is>
      </c>
    </row>
    <row r="5500">
      <c r="A5500" s="198" t="inlineStr">
        <is>
          <t>custom.7.campo.dado</t>
        </is>
      </c>
      <c r="B5500" s="198">
        <f>SWITCH('CONFIGURAÇÃO'!$T$101,"Arma",IF(ISBLANK('CONFIGURAÇÃO'!$V$111),"",'CONFIGURAÇÃO'!$V$111&amp;""),"")</f>
        <v/>
      </c>
      <c r="C5500" s="198">
        <f>"'CONFIGURAÇÃO'!V111"</f>
        <v/>
      </c>
      <c r="D5500" s="198" t="inlineStr">
        <is>
          <t>configuração</t>
        </is>
      </c>
    </row>
    <row r="5501">
      <c r="A5501" s="198" t="inlineStr">
        <is>
          <t>custom.7.campo.desgaste</t>
        </is>
      </c>
      <c r="B5501" s="198">
        <f>SWITCH('CONFIGURAÇÃO'!$T$101,"Ferramenta amaldiçoada",IF(ISBLANK('CONFIGURAÇÃO'!$V$112),"",'CONFIGURAÇÃO'!$V$112&amp;""),"")</f>
        <v/>
      </c>
      <c r="C5501" s="198">
        <f>"'CONFIGURAÇÃO'!V112"</f>
        <v/>
      </c>
      <c r="D5501" s="198" t="inlineStr">
        <is>
          <t>configuração</t>
        </is>
      </c>
    </row>
    <row r="5502">
      <c r="A5502" s="198" t="inlineStr">
        <is>
          <t>custom.7.campo.estigma</t>
        </is>
      </c>
      <c r="B5502" s="198">
        <f>SWITCH('CONFIGURAÇÃO'!$T$101,"Ferramenta amaldiçoada",IF(ISBLANK('CONFIGURAÇÃO'!$V$111),"",'CONFIGURAÇÃO'!$V$111&amp;""),"")</f>
        <v/>
      </c>
      <c r="C5502" s="198">
        <f>"'CONFIGURAÇÃO'!V111"</f>
        <v/>
      </c>
      <c r="D5502" s="198" t="inlineStr">
        <is>
          <t>configuração</t>
        </is>
      </c>
    </row>
    <row r="5503">
      <c r="A5503" s="198" t="inlineStr">
        <is>
          <t>custom.7.campo.exige_marcante</t>
        </is>
      </c>
      <c r="B5503" s="198">
        <f>SWITCH('CONFIGURAÇÃO'!$T$101,"Menor",IF(ISBLANK('CONFIGURAÇÃO'!$V$105),"",'CONFIGURAÇÃO'!$V$105&amp;""),"")</f>
        <v/>
      </c>
      <c r="C5503" s="198">
        <f>"'CONFIGURAÇÃO'!V105"</f>
        <v/>
      </c>
      <c r="D5503" s="198" t="inlineStr">
        <is>
          <t>configuração</t>
        </is>
      </c>
    </row>
    <row r="5504">
      <c r="A5504" s="198" t="inlineStr">
        <is>
          <t>custom.7.campo.forca</t>
        </is>
      </c>
      <c r="B5504" s="198">
        <f>SWITCH('CONFIGURAÇÃO'!$T$101,"Arma",IF(ISBLANK('CONFIGURAÇÃO'!$V$112),"",'CONFIGURAÇÃO'!$V$112&amp;""),"Escudo",IF(ISBLANK('CONFIGURAÇÃO'!$V$113),"",'CONFIGURAÇÃO'!$V$113&amp;""),"Uniforme",IF(ISBLANK('CONFIGURAÇÃO'!$V$113),"",'CONFIGURAÇÃO'!$V$113&amp;""),"")</f>
        <v/>
      </c>
      <c r="C5504" s="198">
        <f>"'CONFIGURAÇÃO'!L196 'CONFIGURAÇÃO'!L197 'CONFIGURAÇÃO'!L197"</f>
        <v/>
      </c>
      <c r="D5504" s="198" t="inlineStr">
        <is>
          <t>configuração</t>
        </is>
      </c>
    </row>
    <row r="5505">
      <c r="A5505" s="198" t="inlineStr">
        <is>
          <t>custom.7.campo.frequencia</t>
        </is>
      </c>
      <c r="B5505" s="198">
        <f>SWITCH('CONFIGURAÇÃO'!$T$101,"Marcante",IF(ISBLANK('CONFIGURAÇÃO'!$V$111),"",'CONFIGURAÇÃO'!$V$111&amp;""),"Menor",IF(ISBLANK('CONFIGURAÇÃO'!$V$111),"",'CONFIGURAÇÃO'!$V$111&amp;""),"")</f>
        <v/>
      </c>
      <c r="C5505" s="198">
        <f>"'CONFIGURAÇÃO'!L195 'CONFIGURAÇÃO'!L195"</f>
        <v/>
      </c>
      <c r="D5505" s="198" t="inlineStr">
        <is>
          <t>configuração</t>
        </is>
      </c>
    </row>
    <row r="5506">
      <c r="A5506" s="198" t="inlineStr">
        <is>
          <t>custom.7.campo.grau</t>
        </is>
      </c>
      <c r="B5506" s="198">
        <f>SWITCH('CONFIGURAÇÃO'!$T$101,"Ferramenta amaldiçoada",IF(ISBLANK('CONFIGURAÇÃO'!$V$105),"",'CONFIGURAÇÃO'!$V$105&amp;""),"")</f>
        <v/>
      </c>
      <c r="C5506" s="198">
        <f>"'CONFIGURAÇÃO'!V105"</f>
        <v/>
      </c>
      <c r="D5506" s="198" t="inlineStr">
        <is>
          <t>configuração</t>
        </is>
      </c>
    </row>
    <row r="5507">
      <c r="A5507" s="198" t="inlineStr">
        <is>
          <t>custom.7.campo.grau_minimo</t>
        </is>
      </c>
      <c r="B5507" s="198">
        <f>SWITCH('CONFIGURAÇÃO'!$T$101,"Uniforme",IF(ISBLANK('CONFIGURAÇÃO'!$V$104),"",'CONFIGURAÇÃO'!$V$104&amp;""),"")</f>
        <v/>
      </c>
      <c r="C5507" s="198">
        <f>"'CONFIGURAÇÃO'!V104"</f>
        <v/>
      </c>
      <c r="D5507" s="198" t="inlineStr">
        <is>
          <t>configuração</t>
        </is>
      </c>
    </row>
    <row r="5508">
      <c r="A5508" s="198" t="inlineStr">
        <is>
          <t>custom.7.campo.mao</t>
        </is>
      </c>
      <c r="B5508" s="198">
        <f>SWITCH('CONFIGURAÇÃO'!$T$101,"Arma",IF(ISBLANK('CONFIGURAÇÃO'!$V$105),"",'CONFIGURAÇÃO'!$V$105&amp;""),"")</f>
        <v/>
      </c>
      <c r="C5508" s="198">
        <f>"'CONFIGURAÇÃO'!V105"</f>
        <v/>
      </c>
      <c r="D5508" s="198" t="inlineStr">
        <is>
          <t>configuração</t>
        </is>
      </c>
    </row>
    <row r="5509">
      <c r="A5509" s="198" t="inlineStr">
        <is>
          <t>custom.7.campo.oficio</t>
        </is>
      </c>
      <c r="B5509" s="198">
        <f>SWITCH('CONFIGURAÇÃO'!$T$101,"Origem",IF(ISBLANK('CONFIGURAÇÃO'!$V$110),"",'CONFIGURAÇÃO'!$V$110&amp;""),"")</f>
        <v/>
      </c>
      <c r="C5509" s="198">
        <f>"'CONFIGURAÇÃO'!V110"</f>
        <v/>
      </c>
      <c r="D5509" s="198" t="inlineStr">
        <is>
          <t>configuração</t>
        </is>
      </c>
    </row>
    <row r="5510">
      <c r="A5510" s="198" t="inlineStr">
        <is>
          <t>custom.7.campo.origem</t>
        </is>
      </c>
      <c r="B5510" s="198">
        <f>SWITCH('CONFIGURAÇÃO'!$T$101,"Marcante",IF(ISBLANK('CONFIGURAÇÃO'!$V$104),"",'CONFIGURAÇÃO'!$V$104&amp;""),"Menor",IF(ISBLANK('CONFIGURAÇÃO'!$V$104),"",'CONFIGURAÇÃO'!$V$104&amp;""),"")</f>
        <v/>
      </c>
      <c r="C5510" s="198">
        <f>"'CONFIGURAÇÃO'!L188 'CONFIGURAÇÃO'!L188"</f>
        <v/>
      </c>
      <c r="D5510" s="198" t="inlineStr">
        <is>
          <t>configuração</t>
        </is>
      </c>
    </row>
    <row r="5511">
      <c r="A5511" s="198" t="inlineStr">
        <is>
          <t>custom.7.campo.pericia_1</t>
        </is>
      </c>
      <c r="B5511" s="198">
        <f>SWITCH('CONFIGURAÇÃO'!$T$101,"Origem",IF(ISBLANK('CONFIGURAÇÃO'!$V$104),"",'CONFIGURAÇÃO'!$V$104&amp;""),"")</f>
        <v/>
      </c>
      <c r="C5511" s="198">
        <f>"'CONFIGURAÇÃO'!V104"</f>
        <v/>
      </c>
      <c r="D5511" s="198" t="inlineStr">
        <is>
          <t>configuração</t>
        </is>
      </c>
    </row>
    <row r="5512">
      <c r="A5512" s="198" t="inlineStr">
        <is>
          <t>custom.7.campo.pericia_2</t>
        </is>
      </c>
      <c r="B5512" s="198">
        <f>SWITCH('CONFIGURAÇÃO'!$T$101,"Origem",IF(ISBLANK('CONFIGURAÇÃO'!$V$105),"",'CONFIGURAÇÃO'!$V$105&amp;""),"")</f>
        <v/>
      </c>
      <c r="C5512" s="198">
        <f>"'CONFIGURAÇÃO'!V105"</f>
        <v/>
      </c>
      <c r="D5512" s="198" t="inlineStr">
        <is>
          <t>configuração</t>
        </is>
      </c>
    </row>
    <row r="5513">
      <c r="A5513" s="198" t="inlineStr">
        <is>
          <t>custom.7.campo.pericia_3</t>
        </is>
      </c>
      <c r="B5513" s="198">
        <f>SWITCH('CONFIGURAÇÃO'!$T$101,"Origem",IF(ISBLANK('CONFIGURAÇÃO'!$V$106),"",'CONFIGURAÇÃO'!$V$106&amp;""),"")</f>
        <v/>
      </c>
      <c r="C5513" s="198">
        <f>"'CONFIGURAÇÃO'!V106"</f>
        <v/>
      </c>
      <c r="D5513" s="198" t="inlineStr">
        <is>
          <t>configuração</t>
        </is>
      </c>
    </row>
    <row r="5514">
      <c r="A5514" s="198" t="inlineStr">
        <is>
          <t>custom.7.campo.pericia_4</t>
        </is>
      </c>
      <c r="B5514" s="198">
        <f>SWITCH('CONFIGURAÇÃO'!$T$101,"Origem",IF(ISBLANK('CONFIGURAÇÃO'!$V$107),"",'CONFIGURAÇÃO'!$V$107&amp;""),"")</f>
        <v/>
      </c>
      <c r="C5514" s="198">
        <f>"'CONFIGURAÇÃO'!V107"</f>
        <v/>
      </c>
      <c r="D5514" s="198" t="inlineStr">
        <is>
          <t>configuração</t>
        </is>
      </c>
    </row>
    <row r="5515">
      <c r="A5515" s="198" t="inlineStr">
        <is>
          <t>custom.7.campo.preco</t>
        </is>
      </c>
      <c r="B5515" s="198">
        <f>SWITCH('CONFIGURAÇÃO'!$T$101,"Arma",IF(ISBLANK('CONFIGURAÇÃO'!$V$116),"",'CONFIGURAÇÃO'!$V$116&amp;""),"Escudo",IF(ISBLANK('CONFIGURAÇÃO'!$V$115),"",'CONFIGURAÇÃO'!$V$115&amp;""),"Uniforme",IF(ISBLANK('CONFIGURAÇÃO'!$V$115),"",'CONFIGURAÇÃO'!$V$115&amp;""),"Item comum",IF(ISBLANK('CONFIGURAÇÃO'!$V$112),"",'CONFIGURAÇÃO'!$V$112&amp;""),"Ferramenta amaldiçoada",IF(ISBLANK('CONFIGURAÇÃO'!$V$114),"",'CONFIGURAÇÃO'!$V$114&amp;""),"")</f>
        <v/>
      </c>
      <c r="C5515" s="198">
        <f>"'CONFIGURAÇÃO'!L200 'CONFIGURAÇÃO'!L199 'CONFIGURAÇÃO'!L199 'CONFIGURAÇÃO'!L196 'CONFIGURAÇÃO'!L198"</f>
        <v/>
      </c>
      <c r="D5515" s="198" t="inlineStr">
        <is>
          <t>configuração</t>
        </is>
      </c>
    </row>
    <row r="5516">
      <c r="A5516" s="198" t="inlineStr">
        <is>
          <t>custom.7.campo.propriedade_1</t>
        </is>
      </c>
      <c r="B5516" s="198">
        <f>SWITCH('CONFIGURAÇÃO'!$T$101,"Arma",IF(ISBLANK('CONFIGURAÇÃO'!$V$107),"",'CONFIGURAÇÃO'!$V$107&amp;""),"")</f>
        <v/>
      </c>
      <c r="C5516" s="198">
        <f>"'CONFIGURAÇÃO'!V107"</f>
        <v/>
      </c>
      <c r="D5516" s="198" t="inlineStr">
        <is>
          <t>configuração</t>
        </is>
      </c>
    </row>
    <row r="5517">
      <c r="A5517" s="198" t="inlineStr">
        <is>
          <t>custom.7.campo.propriedade_2</t>
        </is>
      </c>
      <c r="B5517" s="198">
        <f>SWITCH('CONFIGURAÇÃO'!$T$101,"Arma",IF(ISBLANK('CONFIGURAÇÃO'!$V$108),"",'CONFIGURAÇÃO'!$V$108&amp;""),"")</f>
        <v/>
      </c>
      <c r="C5517" s="198">
        <f>"'CONFIGURAÇÃO'!V108"</f>
        <v/>
      </c>
      <c r="D5517" s="198" t="inlineStr">
        <is>
          <t>configuração</t>
        </is>
      </c>
    </row>
    <row r="5518">
      <c r="A5518" s="198" t="inlineStr">
        <is>
          <t>custom.7.campo.propriedade_3</t>
        </is>
      </c>
      <c r="B5518" s="198">
        <f>SWITCH('CONFIGURAÇÃO'!$T$101,"Arma",IF(ISBLANK('CONFIGURAÇÃO'!$V$109),"",'CONFIGURAÇÃO'!$V$109&amp;""),"")</f>
        <v/>
      </c>
      <c r="C5518" s="198">
        <f>"'CONFIGURAÇÃO'!V109"</f>
        <v/>
      </c>
      <c r="D5518" s="198" t="inlineStr">
        <is>
          <t>configuração</t>
        </is>
      </c>
    </row>
    <row r="5519">
      <c r="A5519" s="198" t="inlineStr">
        <is>
          <t>custom.7.campo.propriedade_4</t>
        </is>
      </c>
      <c r="B5519" s="198">
        <f>SWITCH('CONFIGURAÇÃO'!$T$101,"Arma",IF(ISBLANK('CONFIGURAÇÃO'!$V$110),"",'CONFIGURAÇÃO'!$V$110&amp;""),"")</f>
        <v/>
      </c>
      <c r="C5519" s="198">
        <f>"'CONFIGURAÇÃO'!V110"</f>
        <v/>
      </c>
      <c r="D5519" s="198" t="inlineStr">
        <is>
          <t>configuração</t>
        </is>
      </c>
    </row>
    <row r="5520">
      <c r="A5520" s="198" t="inlineStr">
        <is>
          <t>custom.7.campo.protecao</t>
        </is>
      </c>
      <c r="B5520" s="198">
        <f>SWITCH('CONFIGURAÇÃO'!$T$101,"Escudo",IF(ISBLANK('CONFIGURAÇÃO'!$V$111),"",'CONFIGURAÇÃO'!$V$111&amp;""),"Uniforme",IF(ISBLANK('CONFIGURAÇÃO'!$V$111),"",'CONFIGURAÇÃO'!$V$111&amp;""),"")</f>
        <v/>
      </c>
      <c r="C5520" s="198">
        <f>"'CONFIGURAÇÃO'!L195 'CONFIGURAÇÃO'!L195"</f>
        <v/>
      </c>
      <c r="D5520" s="198" t="inlineStr">
        <is>
          <t>configuração</t>
        </is>
      </c>
    </row>
    <row r="5521">
      <c r="A5521" s="198" t="inlineStr">
        <is>
          <t>custom.7.campo.recarga</t>
        </is>
      </c>
      <c r="B5521" s="198">
        <f>SWITCH('CONFIGURAÇÃO'!$T$101,"Arma",IF(ISBLANK('CONFIGURAÇÃO'!$V$115),"",'CONFIGURAÇÃO'!$V$115&amp;""),"")</f>
        <v/>
      </c>
      <c r="C5521" s="198">
        <f>"'CONFIGURAÇÃO'!V115"</f>
        <v/>
      </c>
      <c r="D5521" s="198" t="inlineStr">
        <is>
          <t>configuração</t>
        </is>
      </c>
    </row>
    <row r="5522">
      <c r="A5522" s="198" t="inlineStr">
        <is>
          <t>custom.7.campo.rota</t>
        </is>
      </c>
      <c r="B5522" s="198">
        <f>SWITCH('CONFIGURAÇÃO'!$T$101,"Origem",IF(ISBLANK('CONFIGURAÇÃO'!$V$108),"",'CONFIGURAÇÃO'!$V$108&amp;""),"")</f>
        <v/>
      </c>
      <c r="C5522" s="198">
        <f>"'CONFIGURAÇÃO'!V108"</f>
        <v/>
      </c>
      <c r="D5522" s="198" t="inlineStr">
        <is>
          <t>configuração</t>
        </is>
      </c>
    </row>
    <row r="5523">
      <c r="A5523" s="198" t="inlineStr">
        <is>
          <t>custom.7.campo.talento_ce_4</t>
        </is>
      </c>
      <c r="B5523" s="198">
        <f>SWITCH('CONFIGURAÇÃO'!$T$101,"Origem",IF(ISBLANK('CONFIGURAÇÃO'!$V$111),"",'CONFIGURAÇÃO'!$V$111&amp;""),"")</f>
        <v/>
      </c>
      <c r="C5523" s="198">
        <f>"'CONFIGURAÇÃO'!V111"</f>
        <v/>
      </c>
      <c r="D5523" s="198" t="inlineStr">
        <is>
          <t>configuração</t>
        </is>
      </c>
    </row>
    <row r="5524">
      <c r="A5524" s="198" t="inlineStr">
        <is>
          <t>custom.7.campo.teto_de_destreza</t>
        </is>
      </c>
      <c r="B5524" s="198">
        <f>SWITCH('CONFIGURAÇÃO'!$T$101,"Escudo",IF(ISBLANK('CONFIGURAÇÃO'!$V$112),"",'CONFIGURAÇÃO'!$V$112&amp;""),"Uniforme",IF(ISBLANK('CONFIGURAÇÃO'!$V$112),"",'CONFIGURAÇÃO'!$V$112&amp;""),"")</f>
        <v/>
      </c>
      <c r="C5524" s="198">
        <f>"'CONFIGURAÇÃO'!L196 'CONFIGURAÇÃO'!L196"</f>
        <v/>
      </c>
      <c r="D5524" s="198" t="inlineStr">
        <is>
          <t>configuração</t>
        </is>
      </c>
    </row>
    <row r="5525">
      <c r="A5525" s="198" t="inlineStr">
        <is>
          <t>custom.7.campo.tipo_de_dano</t>
        </is>
      </c>
      <c r="B5525" s="198">
        <f>SWITCH('CONFIGURAÇÃO'!$T$101,"Arma",IF(ISBLANK('CONFIGURAÇÃO'!$V$106),"",'CONFIGURAÇÃO'!$V$106&amp;""),"")</f>
        <v/>
      </c>
      <c r="C5525" s="198">
        <f>"'CONFIGURAÇÃO'!V106"</f>
        <v/>
      </c>
      <c r="D5525" s="198" t="inlineStr">
        <is>
          <t>configuração</t>
        </is>
      </c>
    </row>
    <row r="5526">
      <c r="A5526" s="198" t="inlineStr">
        <is>
          <t>custom.7.campo.volume</t>
        </is>
      </c>
      <c r="B5526" s="198">
        <f>SWITCH('CONFIGURAÇÃO'!$T$101,"Arma",IF(ISBLANK('CONFIGURAÇÃO'!$V$113),"",'CONFIGURAÇÃO'!$V$113&amp;""),"Escudo",IF(ISBLANK('CONFIGURAÇÃO'!$V$114),"",'CONFIGURAÇÃO'!$V$114&amp;""),"Uniforme",IF(ISBLANK('CONFIGURAÇÃO'!$V$114),"",'CONFIGURAÇÃO'!$V$114&amp;""),"Item comum",IF(ISBLANK('CONFIGURAÇÃO'!$V$111),"",'CONFIGURAÇÃO'!$V$111&amp;""),"Ferramenta amaldiçoada",IF(ISBLANK('CONFIGURAÇÃO'!$V$113),"",'CONFIGURAÇÃO'!$V$113&amp;""),"")</f>
        <v/>
      </c>
      <c r="C5526" s="198">
        <f>"'CONFIGURAÇÃO'!L197 'CONFIGURAÇÃO'!L198 'CONFIGURAÇÃO'!L198 'CONFIGURAÇÃO'!L195 'CONFIGURAÇÃO'!L197"</f>
        <v/>
      </c>
      <c r="D5526" s="198" t="inlineStr">
        <is>
          <t>configuração</t>
        </is>
      </c>
    </row>
    <row r="5527">
      <c r="A5527" s="198" t="inlineStr">
        <is>
          <t>aviso.custom.7</t>
        </is>
      </c>
      <c r="B5527" s="198">
        <f>'DADOS_CUSTOM'!$S$8&amp;""</f>
        <v/>
      </c>
      <c r="C5527" s="198" t="inlineStr">
        <is>
          <t>DADOS_CUSTOM!S8</t>
        </is>
      </c>
      <c r="D5527" s="198" t="inlineStr">
        <is>
          <t>aviso</t>
        </is>
      </c>
    </row>
    <row r="5528">
      <c r="A5528" s="198" t="inlineStr">
        <is>
          <t>custom.8.tipo</t>
        </is>
      </c>
      <c r="B5528" s="198">
        <f>IF(ISBLANK('CONFIGURAÇÃO'!$AB$101),"",'CONFIGURAÇÃO'!$AB$101&amp;"")</f>
        <v/>
      </c>
      <c r="C5528" s="198">
        <f>"'CONFIGURAÇÃO'!AB101"</f>
        <v/>
      </c>
      <c r="D5528" s="198" t="inlineStr">
        <is>
          <t>configuração</t>
        </is>
      </c>
    </row>
    <row r="5529">
      <c r="A5529" s="198" t="inlineStr">
        <is>
          <t>custom.8.nome</t>
        </is>
      </c>
      <c r="B5529" s="198">
        <f>IF(ISBLANK('CONFIGURAÇÃO'!$AB$103),"",'CONFIGURAÇÃO'!$AB$103&amp;"")</f>
        <v/>
      </c>
      <c r="C5529" s="198">
        <f>"'CONFIGURAÇÃO'!AB103"</f>
        <v/>
      </c>
      <c r="D5529" s="198" t="inlineStr">
        <is>
          <t>configuração</t>
        </is>
      </c>
    </row>
    <row r="5530">
      <c r="A5530" s="198" t="inlineStr">
        <is>
          <t>custom.8.mestre_viu</t>
        </is>
      </c>
      <c r="B5530" s="198">
        <f>N('CONFIGURAÇÃO'!$AF$101)&amp;""</f>
        <v/>
      </c>
      <c r="C5530" s="198">
        <f>"'CONFIGURAÇÃO'!AF101"</f>
        <v/>
      </c>
      <c r="D5530" s="198" t="inlineStr">
        <is>
          <t>configuração</t>
        </is>
      </c>
    </row>
    <row r="5531">
      <c r="A5531" s="198" t="inlineStr">
        <is>
          <t>custom.8.efeito</t>
        </is>
      </c>
      <c r="B5531" s="198">
        <f>IF(ISBLANK('CONFIGURAÇÃO'!$AB$118),"",'CONFIGURAÇÃO'!$AB$118&amp;"")</f>
        <v/>
      </c>
      <c r="C5531" s="198">
        <f>"'CONFIGURAÇÃO'!AB118"</f>
        <v/>
      </c>
      <c r="D5531" s="198" t="inlineStr">
        <is>
          <t>configuração</t>
        </is>
      </c>
    </row>
    <row r="5532">
      <c r="A5532" s="198" t="inlineStr">
        <is>
          <t>custom.8.campo.alcance</t>
        </is>
      </c>
      <c r="B5532" s="198">
        <f>SWITCH('CONFIGURAÇÃO'!$AB$101,"Arma",IF(ISBLANK('CONFIGURAÇÃO'!$AD$114),"",'CONFIGURAÇÃO'!$AD$114&amp;""),"")</f>
        <v/>
      </c>
      <c r="C5532" s="198">
        <f>"'CONFIGURAÇÃO'!AD114"</f>
        <v/>
      </c>
      <c r="D5532" s="198" t="inlineStr">
        <is>
          <t>configuração</t>
        </is>
      </c>
    </row>
    <row r="5533">
      <c r="A5533" s="198" t="inlineStr">
        <is>
          <t>custom.8.campo.base</t>
        </is>
      </c>
      <c r="B5533" s="198">
        <f>SWITCH('CONFIGURAÇÃO'!$AB$101,"Ferramenta amaldiçoada",IF(ISBLANK('CONFIGURAÇÃO'!$AD$104),"",'CONFIGURAÇÃO'!$AD$104&amp;""),"")</f>
        <v/>
      </c>
      <c r="C5533" s="198">
        <f>"'CONFIGURAÇÃO'!AD104"</f>
        <v/>
      </c>
      <c r="D5533" s="198" t="inlineStr">
        <is>
          <t>configuração</t>
        </is>
      </c>
    </row>
    <row r="5534">
      <c r="A5534" s="198" t="inlineStr">
        <is>
          <t>custom.8.campo.base_do_livro</t>
        </is>
      </c>
      <c r="B5534" s="198">
        <f>SWITCH('CONFIGURAÇÃO'!$AB$101,"Origem",IF(ISBLANK('CONFIGURAÇÃO'!$AD$109),"",'CONFIGURAÇÃO'!$AD$109&amp;""),"")</f>
        <v/>
      </c>
      <c r="C5534" s="198">
        <f>"'CONFIGURAÇÃO'!AD109"</f>
        <v/>
      </c>
      <c r="D5534" s="198" t="inlineStr">
        <is>
          <t>configuração</t>
        </is>
      </c>
    </row>
    <row r="5535">
      <c r="A5535" s="198" t="inlineStr">
        <is>
          <t>custom.8.campo.categoria</t>
        </is>
      </c>
      <c r="B5535" s="198">
        <f>SWITCH('CONFIGURAÇÃO'!$AB$101,"Arma",IF(ISBLANK('CONFIGURAÇÃO'!$AD$104),"",'CONFIGURAÇÃO'!$AD$104&amp;""),"")</f>
        <v/>
      </c>
      <c r="C5535" s="198">
        <f>"'CONFIGURAÇÃO'!AD104"</f>
        <v/>
      </c>
      <c r="D5535" s="198" t="inlineStr">
        <is>
          <t>configuração</t>
        </is>
      </c>
    </row>
    <row r="5536">
      <c r="A5536" s="198" t="inlineStr">
        <is>
          <t>custom.8.campo.dado</t>
        </is>
      </c>
      <c r="B5536" s="198">
        <f>SWITCH('CONFIGURAÇÃO'!$AB$101,"Arma",IF(ISBLANK('CONFIGURAÇÃO'!$AD$111),"",'CONFIGURAÇÃO'!$AD$111&amp;""),"")</f>
        <v/>
      </c>
      <c r="C5536" s="198">
        <f>"'CONFIGURAÇÃO'!AD111"</f>
        <v/>
      </c>
      <c r="D5536" s="198" t="inlineStr">
        <is>
          <t>configuração</t>
        </is>
      </c>
    </row>
    <row r="5537">
      <c r="A5537" s="198" t="inlineStr">
        <is>
          <t>custom.8.campo.desgaste</t>
        </is>
      </c>
      <c r="B5537" s="198">
        <f>SWITCH('CONFIGURAÇÃO'!$AB$101,"Ferramenta amaldiçoada",IF(ISBLANK('CONFIGURAÇÃO'!$AD$112),"",'CONFIGURAÇÃO'!$AD$112&amp;""),"")</f>
        <v/>
      </c>
      <c r="C5537" s="198">
        <f>"'CONFIGURAÇÃO'!AD112"</f>
        <v/>
      </c>
      <c r="D5537" s="198" t="inlineStr">
        <is>
          <t>configuração</t>
        </is>
      </c>
    </row>
    <row r="5538">
      <c r="A5538" s="198" t="inlineStr">
        <is>
          <t>custom.8.campo.estigma</t>
        </is>
      </c>
      <c r="B5538" s="198">
        <f>SWITCH('CONFIGURAÇÃO'!$AB$101,"Ferramenta amaldiçoada",IF(ISBLANK('CONFIGURAÇÃO'!$AD$111),"",'CONFIGURAÇÃO'!$AD$111&amp;""),"")</f>
        <v/>
      </c>
      <c r="C5538" s="198">
        <f>"'CONFIGURAÇÃO'!AD111"</f>
        <v/>
      </c>
      <c r="D5538" s="198" t="inlineStr">
        <is>
          <t>configuração</t>
        </is>
      </c>
    </row>
    <row r="5539">
      <c r="A5539" s="198" t="inlineStr">
        <is>
          <t>custom.8.campo.exige_marcante</t>
        </is>
      </c>
      <c r="B5539" s="198">
        <f>SWITCH('CONFIGURAÇÃO'!$AB$101,"Menor",IF(ISBLANK('CONFIGURAÇÃO'!$AD$105),"",'CONFIGURAÇÃO'!$AD$105&amp;""),"")</f>
        <v/>
      </c>
      <c r="C5539" s="198">
        <f>"'CONFIGURAÇÃO'!AD105"</f>
        <v/>
      </c>
      <c r="D5539" s="198" t="inlineStr">
        <is>
          <t>configuração</t>
        </is>
      </c>
    </row>
    <row r="5540">
      <c r="A5540" s="198" t="inlineStr">
        <is>
          <t>custom.8.campo.forca</t>
        </is>
      </c>
      <c r="B5540" s="198">
        <f>SWITCH('CONFIGURAÇÃO'!$AB$101,"Arma",IF(ISBLANK('CONFIGURAÇÃO'!$AD$112),"",'CONFIGURAÇÃO'!$AD$112&amp;""),"Escudo",IF(ISBLANK('CONFIGURAÇÃO'!$AD$113),"",'CONFIGURAÇÃO'!$AD$113&amp;""),"Uniforme",IF(ISBLANK('CONFIGURAÇÃO'!$AD$113),"",'CONFIGURAÇÃO'!$AD$113&amp;""),"")</f>
        <v/>
      </c>
      <c r="C5540" s="198">
        <f>"'CONFIGURAÇÃO'!L225 'CONFIGURAÇÃO'!L226 'CONFIGURAÇÃO'!L226"</f>
        <v/>
      </c>
      <c r="D5540" s="198" t="inlineStr">
        <is>
          <t>configuração</t>
        </is>
      </c>
    </row>
    <row r="5541">
      <c r="A5541" s="198" t="inlineStr">
        <is>
          <t>custom.8.campo.frequencia</t>
        </is>
      </c>
      <c r="B5541" s="198">
        <f>SWITCH('CONFIGURAÇÃO'!$AB$101,"Marcante",IF(ISBLANK('CONFIGURAÇÃO'!$AD$111),"",'CONFIGURAÇÃO'!$AD$111&amp;""),"Menor",IF(ISBLANK('CONFIGURAÇÃO'!$AD$111),"",'CONFIGURAÇÃO'!$AD$111&amp;""),"")</f>
        <v/>
      </c>
      <c r="C5541" s="198">
        <f>"'CONFIGURAÇÃO'!L224 'CONFIGURAÇÃO'!L224"</f>
        <v/>
      </c>
      <c r="D5541" s="198" t="inlineStr">
        <is>
          <t>configuração</t>
        </is>
      </c>
    </row>
    <row r="5542">
      <c r="A5542" s="198" t="inlineStr">
        <is>
          <t>custom.8.campo.grau</t>
        </is>
      </c>
      <c r="B5542" s="198">
        <f>SWITCH('CONFIGURAÇÃO'!$AB$101,"Ferramenta amaldiçoada",IF(ISBLANK('CONFIGURAÇÃO'!$AD$105),"",'CONFIGURAÇÃO'!$AD$105&amp;""),"")</f>
        <v/>
      </c>
      <c r="C5542" s="198">
        <f>"'CONFIGURAÇÃO'!AD105"</f>
        <v/>
      </c>
      <c r="D5542" s="198" t="inlineStr">
        <is>
          <t>configuração</t>
        </is>
      </c>
    </row>
    <row r="5543">
      <c r="A5543" s="198" t="inlineStr">
        <is>
          <t>custom.8.campo.grau_minimo</t>
        </is>
      </c>
      <c r="B5543" s="198">
        <f>SWITCH('CONFIGURAÇÃO'!$AB$101,"Uniforme",IF(ISBLANK('CONFIGURAÇÃO'!$AD$104),"",'CONFIGURAÇÃO'!$AD$104&amp;""),"")</f>
        <v/>
      </c>
      <c r="C5543" s="198">
        <f>"'CONFIGURAÇÃO'!AD104"</f>
        <v/>
      </c>
      <c r="D5543" s="198" t="inlineStr">
        <is>
          <t>configuração</t>
        </is>
      </c>
    </row>
    <row r="5544">
      <c r="A5544" s="198" t="inlineStr">
        <is>
          <t>custom.8.campo.mao</t>
        </is>
      </c>
      <c r="B5544" s="198">
        <f>SWITCH('CONFIGURAÇÃO'!$AB$101,"Arma",IF(ISBLANK('CONFIGURAÇÃO'!$AD$105),"",'CONFIGURAÇÃO'!$AD$105&amp;""),"")</f>
        <v/>
      </c>
      <c r="C5544" s="198">
        <f>"'CONFIGURAÇÃO'!AD105"</f>
        <v/>
      </c>
      <c r="D5544" s="198" t="inlineStr">
        <is>
          <t>configuração</t>
        </is>
      </c>
    </row>
    <row r="5545">
      <c r="A5545" s="198" t="inlineStr">
        <is>
          <t>custom.8.campo.oficio</t>
        </is>
      </c>
      <c r="B5545" s="198">
        <f>SWITCH('CONFIGURAÇÃO'!$AB$101,"Origem",IF(ISBLANK('CONFIGURAÇÃO'!$AD$110),"",'CONFIGURAÇÃO'!$AD$110&amp;""),"")</f>
        <v/>
      </c>
      <c r="C5545" s="198">
        <f>"'CONFIGURAÇÃO'!AD110"</f>
        <v/>
      </c>
      <c r="D5545" s="198" t="inlineStr">
        <is>
          <t>configuração</t>
        </is>
      </c>
    </row>
    <row r="5546">
      <c r="A5546" s="198" t="inlineStr">
        <is>
          <t>custom.8.campo.origem</t>
        </is>
      </c>
      <c r="B5546" s="198">
        <f>SWITCH('CONFIGURAÇÃO'!$AB$101,"Marcante",IF(ISBLANK('CONFIGURAÇÃO'!$AD$104),"",'CONFIGURAÇÃO'!$AD$104&amp;""),"Menor",IF(ISBLANK('CONFIGURAÇÃO'!$AD$104),"",'CONFIGURAÇÃO'!$AD$104&amp;""),"")</f>
        <v/>
      </c>
      <c r="C5546" s="198">
        <f>"'CONFIGURAÇÃO'!L217 'CONFIGURAÇÃO'!L217"</f>
        <v/>
      </c>
      <c r="D5546" s="198" t="inlineStr">
        <is>
          <t>configuração</t>
        </is>
      </c>
    </row>
    <row r="5547">
      <c r="A5547" s="198" t="inlineStr">
        <is>
          <t>custom.8.campo.pericia_1</t>
        </is>
      </c>
      <c r="B5547" s="198">
        <f>SWITCH('CONFIGURAÇÃO'!$AB$101,"Origem",IF(ISBLANK('CONFIGURAÇÃO'!$AD$104),"",'CONFIGURAÇÃO'!$AD$104&amp;""),"")</f>
        <v/>
      </c>
      <c r="C5547" s="198">
        <f>"'CONFIGURAÇÃO'!AD104"</f>
        <v/>
      </c>
      <c r="D5547" s="198" t="inlineStr">
        <is>
          <t>configuração</t>
        </is>
      </c>
    </row>
    <row r="5548">
      <c r="A5548" s="198" t="inlineStr">
        <is>
          <t>custom.8.campo.pericia_2</t>
        </is>
      </c>
      <c r="B5548" s="198">
        <f>SWITCH('CONFIGURAÇÃO'!$AB$101,"Origem",IF(ISBLANK('CONFIGURAÇÃO'!$AD$105),"",'CONFIGURAÇÃO'!$AD$105&amp;""),"")</f>
        <v/>
      </c>
      <c r="C5548" s="198">
        <f>"'CONFIGURAÇÃO'!AD105"</f>
        <v/>
      </c>
      <c r="D5548" s="198" t="inlineStr">
        <is>
          <t>configuração</t>
        </is>
      </c>
    </row>
    <row r="5549">
      <c r="A5549" s="198" t="inlineStr">
        <is>
          <t>custom.8.campo.pericia_3</t>
        </is>
      </c>
      <c r="B5549" s="198">
        <f>SWITCH('CONFIGURAÇÃO'!$AB$101,"Origem",IF(ISBLANK('CONFIGURAÇÃO'!$AD$106),"",'CONFIGURAÇÃO'!$AD$106&amp;""),"")</f>
        <v/>
      </c>
      <c r="C5549" s="198">
        <f>"'CONFIGURAÇÃO'!AD106"</f>
        <v/>
      </c>
      <c r="D5549" s="198" t="inlineStr">
        <is>
          <t>configuração</t>
        </is>
      </c>
    </row>
    <row r="5550">
      <c r="A5550" s="198" t="inlineStr">
        <is>
          <t>custom.8.campo.pericia_4</t>
        </is>
      </c>
      <c r="B5550" s="198">
        <f>SWITCH('CONFIGURAÇÃO'!$AB$101,"Origem",IF(ISBLANK('CONFIGURAÇÃO'!$AD$107),"",'CONFIGURAÇÃO'!$AD$107&amp;""),"")</f>
        <v/>
      </c>
      <c r="C5550" s="198">
        <f>"'CONFIGURAÇÃO'!AD107"</f>
        <v/>
      </c>
      <c r="D5550" s="198" t="inlineStr">
        <is>
          <t>configuração</t>
        </is>
      </c>
    </row>
    <row r="5551">
      <c r="A5551" s="198" t="inlineStr">
        <is>
          <t>custom.8.campo.preco</t>
        </is>
      </c>
      <c r="B5551" s="198">
        <f>SWITCH('CONFIGURAÇÃO'!$AB$101,"Arma",IF(ISBLANK('CONFIGURAÇÃO'!$AD$116),"",'CONFIGURAÇÃO'!$AD$116&amp;""),"Escudo",IF(ISBLANK('CONFIGURAÇÃO'!$AD$115),"",'CONFIGURAÇÃO'!$AD$115&amp;""),"Uniforme",IF(ISBLANK('CONFIGURAÇÃO'!$AD$115),"",'CONFIGURAÇÃO'!$AD$115&amp;""),"Item comum",IF(ISBLANK('CONFIGURAÇÃO'!$AD$112),"",'CONFIGURAÇÃO'!$AD$112&amp;""),"Ferramenta amaldiçoada",IF(ISBLANK('CONFIGURAÇÃO'!$AD$114),"",'CONFIGURAÇÃO'!$AD$114&amp;""),"")</f>
        <v/>
      </c>
      <c r="C5551" s="198">
        <f>"'CONFIGURAÇÃO'!L229 'CONFIGURAÇÃO'!L228 'CONFIGURAÇÃO'!L228 'CONFIGURAÇÃO'!L225 'CONFIGURAÇÃO'!L227"</f>
        <v/>
      </c>
      <c r="D5551" s="198" t="inlineStr">
        <is>
          <t>configuração</t>
        </is>
      </c>
    </row>
    <row r="5552">
      <c r="A5552" s="198" t="inlineStr">
        <is>
          <t>custom.8.campo.propriedade_1</t>
        </is>
      </c>
      <c r="B5552" s="198">
        <f>SWITCH('CONFIGURAÇÃO'!$AB$101,"Arma",IF(ISBLANK('CONFIGURAÇÃO'!$AD$107),"",'CONFIGURAÇÃO'!$AD$107&amp;""),"")</f>
        <v/>
      </c>
      <c r="C5552" s="198">
        <f>"'CONFIGURAÇÃO'!AD107"</f>
        <v/>
      </c>
      <c r="D5552" s="198" t="inlineStr">
        <is>
          <t>configuração</t>
        </is>
      </c>
    </row>
    <row r="5553">
      <c r="A5553" s="198" t="inlineStr">
        <is>
          <t>custom.8.campo.propriedade_2</t>
        </is>
      </c>
      <c r="B5553" s="198">
        <f>SWITCH('CONFIGURAÇÃO'!$AB$101,"Arma",IF(ISBLANK('CONFIGURAÇÃO'!$AD$108),"",'CONFIGURAÇÃO'!$AD$108&amp;""),"")</f>
        <v/>
      </c>
      <c r="C5553" s="198">
        <f>"'CONFIGURAÇÃO'!AD108"</f>
        <v/>
      </c>
      <c r="D5553" s="198" t="inlineStr">
        <is>
          <t>configuração</t>
        </is>
      </c>
    </row>
    <row r="5554">
      <c r="A5554" s="198" t="inlineStr">
        <is>
          <t>custom.8.campo.propriedade_3</t>
        </is>
      </c>
      <c r="B5554" s="198">
        <f>SWITCH('CONFIGURAÇÃO'!$AB$101,"Arma",IF(ISBLANK('CONFIGURAÇÃO'!$AD$109),"",'CONFIGURAÇÃO'!$AD$109&amp;""),"")</f>
        <v/>
      </c>
      <c r="C5554" s="198">
        <f>"'CONFIGURAÇÃO'!AD109"</f>
        <v/>
      </c>
      <c r="D5554" s="198" t="inlineStr">
        <is>
          <t>configuração</t>
        </is>
      </c>
    </row>
    <row r="5555">
      <c r="A5555" s="198" t="inlineStr">
        <is>
          <t>custom.8.campo.propriedade_4</t>
        </is>
      </c>
      <c r="B5555" s="198">
        <f>SWITCH('CONFIGURAÇÃO'!$AB$101,"Arma",IF(ISBLANK('CONFIGURAÇÃO'!$AD$110),"",'CONFIGURAÇÃO'!$AD$110&amp;""),"")</f>
        <v/>
      </c>
      <c r="C5555" s="198">
        <f>"'CONFIGURAÇÃO'!AD110"</f>
        <v/>
      </c>
      <c r="D5555" s="198" t="inlineStr">
        <is>
          <t>configuração</t>
        </is>
      </c>
    </row>
    <row r="5556">
      <c r="A5556" s="198" t="inlineStr">
        <is>
          <t>custom.8.campo.protecao</t>
        </is>
      </c>
      <c r="B5556" s="198">
        <f>SWITCH('CONFIGURAÇÃO'!$AB$101,"Escudo",IF(ISBLANK('CONFIGURAÇÃO'!$AD$111),"",'CONFIGURAÇÃO'!$AD$111&amp;""),"Uniforme",IF(ISBLANK('CONFIGURAÇÃO'!$AD$111),"",'CONFIGURAÇÃO'!$AD$111&amp;""),"")</f>
        <v/>
      </c>
      <c r="C5556" s="198">
        <f>"'CONFIGURAÇÃO'!L224 'CONFIGURAÇÃO'!L224"</f>
        <v/>
      </c>
      <c r="D5556" s="198" t="inlineStr">
        <is>
          <t>configuração</t>
        </is>
      </c>
    </row>
    <row r="5557">
      <c r="A5557" s="198" t="inlineStr">
        <is>
          <t>custom.8.campo.recarga</t>
        </is>
      </c>
      <c r="B5557" s="198">
        <f>SWITCH('CONFIGURAÇÃO'!$AB$101,"Arma",IF(ISBLANK('CONFIGURAÇÃO'!$AD$115),"",'CONFIGURAÇÃO'!$AD$115&amp;""),"")</f>
        <v/>
      </c>
      <c r="C5557" s="198">
        <f>"'CONFIGURAÇÃO'!AD115"</f>
        <v/>
      </c>
      <c r="D5557" s="198" t="inlineStr">
        <is>
          <t>configuração</t>
        </is>
      </c>
    </row>
    <row r="5558">
      <c r="A5558" s="198" t="inlineStr">
        <is>
          <t>custom.8.campo.rota</t>
        </is>
      </c>
      <c r="B5558" s="198">
        <f>SWITCH('CONFIGURAÇÃO'!$AB$101,"Origem",IF(ISBLANK('CONFIGURAÇÃO'!$AD$108),"",'CONFIGURAÇÃO'!$AD$108&amp;""),"")</f>
        <v/>
      </c>
      <c r="C5558" s="198">
        <f>"'CONFIGURAÇÃO'!AD108"</f>
        <v/>
      </c>
      <c r="D5558" s="198" t="inlineStr">
        <is>
          <t>configuração</t>
        </is>
      </c>
    </row>
    <row r="5559">
      <c r="A5559" s="198" t="inlineStr">
        <is>
          <t>custom.8.campo.talento_ce_4</t>
        </is>
      </c>
      <c r="B5559" s="198">
        <f>SWITCH('CONFIGURAÇÃO'!$AB$101,"Origem",IF(ISBLANK('CONFIGURAÇÃO'!$AD$111),"",'CONFIGURAÇÃO'!$AD$111&amp;""),"")</f>
        <v/>
      </c>
      <c r="C5559" s="198">
        <f>"'CONFIGURAÇÃO'!AD111"</f>
        <v/>
      </c>
      <c r="D5559" s="198" t="inlineStr">
        <is>
          <t>configuração</t>
        </is>
      </c>
    </row>
    <row r="5560">
      <c r="A5560" s="198" t="inlineStr">
        <is>
          <t>custom.8.campo.teto_de_destreza</t>
        </is>
      </c>
      <c r="B5560" s="198">
        <f>SWITCH('CONFIGURAÇÃO'!$AB$101,"Escudo",IF(ISBLANK('CONFIGURAÇÃO'!$AD$112),"",'CONFIGURAÇÃO'!$AD$112&amp;""),"Uniforme",IF(ISBLANK('CONFIGURAÇÃO'!$AD$112),"",'CONFIGURAÇÃO'!$AD$112&amp;""),"")</f>
        <v/>
      </c>
      <c r="C5560" s="198">
        <f>"'CONFIGURAÇÃO'!L225 'CONFIGURAÇÃO'!L225"</f>
        <v/>
      </c>
      <c r="D5560" s="198" t="inlineStr">
        <is>
          <t>configuração</t>
        </is>
      </c>
    </row>
    <row r="5561">
      <c r="A5561" s="198" t="inlineStr">
        <is>
          <t>custom.8.campo.tipo_de_dano</t>
        </is>
      </c>
      <c r="B5561" s="198">
        <f>SWITCH('CONFIGURAÇÃO'!$AB$101,"Arma",IF(ISBLANK('CONFIGURAÇÃO'!$AD$106),"",'CONFIGURAÇÃO'!$AD$106&amp;""),"")</f>
        <v/>
      </c>
      <c r="C5561" s="198">
        <f>"'CONFIGURAÇÃO'!AD106"</f>
        <v/>
      </c>
      <c r="D5561" s="198" t="inlineStr">
        <is>
          <t>configuração</t>
        </is>
      </c>
    </row>
    <row r="5562">
      <c r="A5562" s="198" t="inlineStr">
        <is>
          <t>custom.8.campo.volume</t>
        </is>
      </c>
      <c r="B5562" s="198">
        <f>SWITCH('CONFIGURAÇÃO'!$AB$101,"Arma",IF(ISBLANK('CONFIGURAÇÃO'!$AD$113),"",'CONFIGURAÇÃO'!$AD$113&amp;""),"Escudo",IF(ISBLANK('CONFIGURAÇÃO'!$AD$114),"",'CONFIGURAÇÃO'!$AD$114&amp;""),"Uniforme",IF(ISBLANK('CONFIGURAÇÃO'!$AD$114),"",'CONFIGURAÇÃO'!$AD$114&amp;""),"Item comum",IF(ISBLANK('CONFIGURAÇÃO'!$AD$111),"",'CONFIGURAÇÃO'!$AD$111&amp;""),"Ferramenta amaldiçoada",IF(ISBLANK('CONFIGURAÇÃO'!$AD$113),"",'CONFIGURAÇÃO'!$AD$113&amp;""),"")</f>
        <v/>
      </c>
      <c r="C5562" s="198">
        <f>"'CONFIGURAÇÃO'!L226 'CONFIGURAÇÃO'!L227 'CONFIGURAÇÃO'!L227 'CONFIGURAÇÃO'!L224 'CONFIGURAÇÃO'!L226"</f>
        <v/>
      </c>
      <c r="D5562" s="198" t="inlineStr">
        <is>
          <t>configuração</t>
        </is>
      </c>
    </row>
    <row r="5563">
      <c r="A5563" s="198" t="inlineStr">
        <is>
          <t>aviso.custom.8</t>
        </is>
      </c>
      <c r="B5563" s="198">
        <f>'DADOS_CUSTOM'!$S$9&amp;""</f>
        <v/>
      </c>
      <c r="C5563" s="198" t="inlineStr">
        <is>
          <t>DADOS_CUSTOM!S9</t>
        </is>
      </c>
      <c r="D5563" s="198" t="inlineStr">
        <is>
          <t>aviso</t>
        </is>
      </c>
    </row>
    <row r="5564">
      <c r="A5564" s="198" t="inlineStr">
        <is>
          <t>custom.9.tipo</t>
        </is>
      </c>
      <c r="B5564" s="198">
        <f>IF(ISBLANK('CONFIGURAÇÃO'!$T$130),"",'CONFIGURAÇÃO'!$T$130&amp;"")</f>
        <v/>
      </c>
      <c r="C5564" s="198">
        <f>"'CONFIGURAÇÃO'!T130"</f>
        <v/>
      </c>
      <c r="D5564" s="198" t="inlineStr">
        <is>
          <t>configuração</t>
        </is>
      </c>
    </row>
    <row r="5565">
      <c r="A5565" s="198" t="inlineStr">
        <is>
          <t>custom.9.nome</t>
        </is>
      </c>
      <c r="B5565" s="198">
        <f>IF(ISBLANK('CONFIGURAÇÃO'!$T$132),"",'CONFIGURAÇÃO'!$T$132&amp;"")</f>
        <v/>
      </c>
      <c r="C5565" s="198">
        <f>"'CONFIGURAÇÃO'!T132"</f>
        <v/>
      </c>
      <c r="D5565" s="198" t="inlineStr">
        <is>
          <t>configuração</t>
        </is>
      </c>
    </row>
    <row r="5566">
      <c r="A5566" s="198" t="inlineStr">
        <is>
          <t>custom.9.mestre_viu</t>
        </is>
      </c>
      <c r="B5566" s="198">
        <f>N('CONFIGURAÇÃO'!$X$130)&amp;""</f>
        <v/>
      </c>
      <c r="C5566" s="198">
        <f>"'CONFIGURAÇÃO'!X130"</f>
        <v/>
      </c>
      <c r="D5566" s="198" t="inlineStr">
        <is>
          <t>configuração</t>
        </is>
      </c>
    </row>
    <row r="5567">
      <c r="A5567" s="198" t="inlineStr">
        <is>
          <t>custom.9.efeito</t>
        </is>
      </c>
      <c r="B5567" s="198">
        <f>IF(ISBLANK('CONFIGURAÇÃO'!$T$147),"",'CONFIGURAÇÃO'!$T$147&amp;"")</f>
        <v/>
      </c>
      <c r="C5567" s="198">
        <f>"'CONFIGURAÇÃO'!T147"</f>
        <v/>
      </c>
      <c r="D5567" s="198" t="inlineStr">
        <is>
          <t>configuração</t>
        </is>
      </c>
    </row>
    <row r="5568">
      <c r="A5568" s="198" t="inlineStr">
        <is>
          <t>custom.9.campo.alcance</t>
        </is>
      </c>
      <c r="B5568" s="198">
        <f>SWITCH('CONFIGURAÇÃO'!$T$130,"Arma",IF(ISBLANK('CONFIGURAÇÃO'!$V$143),"",'CONFIGURAÇÃO'!$V$143&amp;""),"")</f>
        <v/>
      </c>
      <c r="C5568" s="198">
        <f>"'CONFIGURAÇÃO'!V143"</f>
        <v/>
      </c>
      <c r="D5568" s="198" t="inlineStr">
        <is>
          <t>configuração</t>
        </is>
      </c>
    </row>
    <row r="5569">
      <c r="A5569" s="198" t="inlineStr">
        <is>
          <t>custom.9.campo.base</t>
        </is>
      </c>
      <c r="B5569" s="198">
        <f>SWITCH('CONFIGURAÇÃO'!$T$130,"Ferramenta amaldiçoada",IF(ISBLANK('CONFIGURAÇÃO'!$V$133),"",'CONFIGURAÇÃO'!$V$133&amp;""),"")</f>
        <v/>
      </c>
      <c r="C5569" s="198">
        <f>"'CONFIGURAÇÃO'!V133"</f>
        <v/>
      </c>
      <c r="D5569" s="198" t="inlineStr">
        <is>
          <t>configuração</t>
        </is>
      </c>
    </row>
    <row r="5570">
      <c r="A5570" s="198" t="inlineStr">
        <is>
          <t>custom.9.campo.base_do_livro</t>
        </is>
      </c>
      <c r="B5570" s="198">
        <f>SWITCH('CONFIGURAÇÃO'!$T$130,"Origem",IF(ISBLANK('CONFIGURAÇÃO'!$V$138),"",'CONFIGURAÇÃO'!$V$138&amp;""),"")</f>
        <v/>
      </c>
      <c r="C5570" s="198">
        <f>"'CONFIGURAÇÃO'!V138"</f>
        <v/>
      </c>
      <c r="D5570" s="198" t="inlineStr">
        <is>
          <t>configuração</t>
        </is>
      </c>
    </row>
    <row r="5571">
      <c r="A5571" s="198" t="inlineStr">
        <is>
          <t>custom.9.campo.categoria</t>
        </is>
      </c>
      <c r="B5571" s="198">
        <f>SWITCH('CONFIGURAÇÃO'!$T$130,"Arma",IF(ISBLANK('CONFIGURAÇÃO'!$V$133),"",'CONFIGURAÇÃO'!$V$133&amp;""),"")</f>
        <v/>
      </c>
      <c r="C5571" s="198">
        <f>"'CONFIGURAÇÃO'!V133"</f>
        <v/>
      </c>
      <c r="D5571" s="198" t="inlineStr">
        <is>
          <t>configuração</t>
        </is>
      </c>
    </row>
    <row r="5572">
      <c r="A5572" s="198" t="inlineStr">
        <is>
          <t>custom.9.campo.dado</t>
        </is>
      </c>
      <c r="B5572" s="198">
        <f>SWITCH('CONFIGURAÇÃO'!$T$130,"Arma",IF(ISBLANK('CONFIGURAÇÃO'!$V$140),"",'CONFIGURAÇÃO'!$V$140&amp;""),"")</f>
        <v/>
      </c>
      <c r="C5572" s="198">
        <f>"'CONFIGURAÇÃO'!V140"</f>
        <v/>
      </c>
      <c r="D5572" s="198" t="inlineStr">
        <is>
          <t>configuração</t>
        </is>
      </c>
    </row>
    <row r="5573">
      <c r="A5573" s="198" t="inlineStr">
        <is>
          <t>custom.9.campo.desgaste</t>
        </is>
      </c>
      <c r="B5573" s="198">
        <f>SWITCH('CONFIGURAÇÃO'!$T$130,"Ferramenta amaldiçoada",IF(ISBLANK('CONFIGURAÇÃO'!$V$141),"",'CONFIGURAÇÃO'!$V$141&amp;""),"")</f>
        <v/>
      </c>
      <c r="C5573" s="198">
        <f>"'CONFIGURAÇÃO'!V141"</f>
        <v/>
      </c>
      <c r="D5573" s="198" t="inlineStr">
        <is>
          <t>configuração</t>
        </is>
      </c>
    </row>
    <row r="5574">
      <c r="A5574" s="198" t="inlineStr">
        <is>
          <t>custom.9.campo.estigma</t>
        </is>
      </c>
      <c r="B5574" s="198">
        <f>SWITCH('CONFIGURAÇÃO'!$T$130,"Ferramenta amaldiçoada",IF(ISBLANK('CONFIGURAÇÃO'!$V$140),"",'CONFIGURAÇÃO'!$V$140&amp;""),"")</f>
        <v/>
      </c>
      <c r="C5574" s="198">
        <f>"'CONFIGURAÇÃO'!V140"</f>
        <v/>
      </c>
      <c r="D5574" s="198" t="inlineStr">
        <is>
          <t>configuração</t>
        </is>
      </c>
    </row>
    <row r="5575">
      <c r="A5575" s="198" t="inlineStr">
        <is>
          <t>custom.9.campo.exige_marcante</t>
        </is>
      </c>
      <c r="B5575" s="198">
        <f>SWITCH('CONFIGURAÇÃO'!$T$130,"Menor",IF(ISBLANK('CONFIGURAÇÃO'!$V$134),"",'CONFIGURAÇÃO'!$V$134&amp;""),"")</f>
        <v/>
      </c>
      <c r="C5575" s="198">
        <f>"'CONFIGURAÇÃO'!V134"</f>
        <v/>
      </c>
      <c r="D5575" s="198" t="inlineStr">
        <is>
          <t>configuração</t>
        </is>
      </c>
    </row>
    <row r="5576">
      <c r="A5576" s="198" t="inlineStr">
        <is>
          <t>custom.9.campo.forca</t>
        </is>
      </c>
      <c r="B5576" s="198">
        <f>SWITCH('CONFIGURAÇÃO'!$T$130,"Arma",IF(ISBLANK('CONFIGURAÇÃO'!$V$141),"",'CONFIGURAÇÃO'!$V$141&amp;""),"Escudo",IF(ISBLANK('CONFIGURAÇÃO'!$V$142),"",'CONFIGURAÇÃO'!$V$142&amp;""),"Uniforme",IF(ISBLANK('CONFIGURAÇÃO'!$V$142),"",'CONFIGURAÇÃO'!$V$142&amp;""),"")</f>
        <v/>
      </c>
      <c r="C5576" s="198">
        <f>"'CONFIGURAÇÃO'!L254 'CONFIGURAÇÃO'!L255 'CONFIGURAÇÃO'!L255"</f>
        <v/>
      </c>
      <c r="D5576" s="198" t="inlineStr">
        <is>
          <t>configuração</t>
        </is>
      </c>
    </row>
    <row r="5577">
      <c r="A5577" s="198" t="inlineStr">
        <is>
          <t>custom.9.campo.frequencia</t>
        </is>
      </c>
      <c r="B5577" s="198">
        <f>SWITCH('CONFIGURAÇÃO'!$T$130,"Marcante",IF(ISBLANK('CONFIGURAÇÃO'!$V$140),"",'CONFIGURAÇÃO'!$V$140&amp;""),"Menor",IF(ISBLANK('CONFIGURAÇÃO'!$V$140),"",'CONFIGURAÇÃO'!$V$140&amp;""),"")</f>
        <v/>
      </c>
      <c r="C5577" s="198">
        <f>"'CONFIGURAÇÃO'!L253 'CONFIGURAÇÃO'!L253"</f>
        <v/>
      </c>
      <c r="D5577" s="198" t="inlineStr">
        <is>
          <t>configuração</t>
        </is>
      </c>
    </row>
    <row r="5578">
      <c r="A5578" s="198" t="inlineStr">
        <is>
          <t>custom.9.campo.grau</t>
        </is>
      </c>
      <c r="B5578" s="198">
        <f>SWITCH('CONFIGURAÇÃO'!$T$130,"Ferramenta amaldiçoada",IF(ISBLANK('CONFIGURAÇÃO'!$V$134),"",'CONFIGURAÇÃO'!$V$134&amp;""),"")</f>
        <v/>
      </c>
      <c r="C5578" s="198">
        <f>"'CONFIGURAÇÃO'!V134"</f>
        <v/>
      </c>
      <c r="D5578" s="198" t="inlineStr">
        <is>
          <t>configuração</t>
        </is>
      </c>
    </row>
    <row r="5579">
      <c r="A5579" s="198" t="inlineStr">
        <is>
          <t>custom.9.campo.grau_minimo</t>
        </is>
      </c>
      <c r="B5579" s="198">
        <f>SWITCH('CONFIGURAÇÃO'!$T$130,"Uniforme",IF(ISBLANK('CONFIGURAÇÃO'!$V$133),"",'CONFIGURAÇÃO'!$V$133&amp;""),"")</f>
        <v/>
      </c>
      <c r="C5579" s="198">
        <f>"'CONFIGURAÇÃO'!V133"</f>
        <v/>
      </c>
      <c r="D5579" s="198" t="inlineStr">
        <is>
          <t>configuração</t>
        </is>
      </c>
    </row>
    <row r="5580">
      <c r="A5580" s="198" t="inlineStr">
        <is>
          <t>custom.9.campo.mao</t>
        </is>
      </c>
      <c r="B5580" s="198">
        <f>SWITCH('CONFIGURAÇÃO'!$T$130,"Arma",IF(ISBLANK('CONFIGURAÇÃO'!$V$134),"",'CONFIGURAÇÃO'!$V$134&amp;""),"")</f>
        <v/>
      </c>
      <c r="C5580" s="198">
        <f>"'CONFIGURAÇÃO'!V134"</f>
        <v/>
      </c>
      <c r="D5580" s="198" t="inlineStr">
        <is>
          <t>configuração</t>
        </is>
      </c>
    </row>
    <row r="5581">
      <c r="A5581" s="198" t="inlineStr">
        <is>
          <t>custom.9.campo.oficio</t>
        </is>
      </c>
      <c r="B5581" s="198">
        <f>SWITCH('CONFIGURAÇÃO'!$T$130,"Origem",IF(ISBLANK('CONFIGURAÇÃO'!$V$139),"",'CONFIGURAÇÃO'!$V$139&amp;""),"")</f>
        <v/>
      </c>
      <c r="C5581" s="198">
        <f>"'CONFIGURAÇÃO'!V139"</f>
        <v/>
      </c>
      <c r="D5581" s="198" t="inlineStr">
        <is>
          <t>configuração</t>
        </is>
      </c>
    </row>
    <row r="5582">
      <c r="A5582" s="198" t="inlineStr">
        <is>
          <t>custom.9.campo.origem</t>
        </is>
      </c>
      <c r="B5582" s="198">
        <f>SWITCH('CONFIGURAÇÃO'!$T$130,"Marcante",IF(ISBLANK('CONFIGURAÇÃO'!$V$133),"",'CONFIGURAÇÃO'!$V$133&amp;""),"Menor",IF(ISBLANK('CONFIGURAÇÃO'!$V$133),"",'CONFIGURAÇÃO'!$V$133&amp;""),"")</f>
        <v/>
      </c>
      <c r="C5582" s="198">
        <f>"'CONFIGURAÇÃO'!L246 'CONFIGURAÇÃO'!L246"</f>
        <v/>
      </c>
      <c r="D5582" s="198" t="inlineStr">
        <is>
          <t>configuração</t>
        </is>
      </c>
    </row>
    <row r="5583">
      <c r="A5583" s="198" t="inlineStr">
        <is>
          <t>custom.9.campo.pericia_1</t>
        </is>
      </c>
      <c r="B5583" s="198">
        <f>SWITCH('CONFIGURAÇÃO'!$T$130,"Origem",IF(ISBLANK('CONFIGURAÇÃO'!$V$133),"",'CONFIGURAÇÃO'!$V$133&amp;""),"")</f>
        <v/>
      </c>
      <c r="C5583" s="198">
        <f>"'CONFIGURAÇÃO'!V133"</f>
        <v/>
      </c>
      <c r="D5583" s="198" t="inlineStr">
        <is>
          <t>configuração</t>
        </is>
      </c>
    </row>
    <row r="5584">
      <c r="A5584" s="198" t="inlineStr">
        <is>
          <t>custom.9.campo.pericia_2</t>
        </is>
      </c>
      <c r="B5584" s="198">
        <f>SWITCH('CONFIGURAÇÃO'!$T$130,"Origem",IF(ISBLANK('CONFIGURAÇÃO'!$V$134),"",'CONFIGURAÇÃO'!$V$134&amp;""),"")</f>
        <v/>
      </c>
      <c r="C5584" s="198">
        <f>"'CONFIGURAÇÃO'!V134"</f>
        <v/>
      </c>
      <c r="D5584" s="198" t="inlineStr">
        <is>
          <t>configuração</t>
        </is>
      </c>
    </row>
    <row r="5585">
      <c r="A5585" s="198" t="inlineStr">
        <is>
          <t>custom.9.campo.pericia_3</t>
        </is>
      </c>
      <c r="B5585" s="198">
        <f>SWITCH('CONFIGURAÇÃO'!$T$130,"Origem",IF(ISBLANK('CONFIGURAÇÃO'!$V$135),"",'CONFIGURAÇÃO'!$V$135&amp;""),"")</f>
        <v/>
      </c>
      <c r="C5585" s="198">
        <f>"'CONFIGURAÇÃO'!V135"</f>
        <v/>
      </c>
      <c r="D5585" s="198" t="inlineStr">
        <is>
          <t>configuração</t>
        </is>
      </c>
    </row>
    <row r="5586">
      <c r="A5586" s="198" t="inlineStr">
        <is>
          <t>custom.9.campo.pericia_4</t>
        </is>
      </c>
      <c r="B5586" s="198">
        <f>SWITCH('CONFIGURAÇÃO'!$T$130,"Origem",IF(ISBLANK('CONFIGURAÇÃO'!$V$136),"",'CONFIGURAÇÃO'!$V$136&amp;""),"")</f>
        <v/>
      </c>
      <c r="C5586" s="198">
        <f>"'CONFIGURAÇÃO'!V136"</f>
        <v/>
      </c>
      <c r="D5586" s="198" t="inlineStr">
        <is>
          <t>configuração</t>
        </is>
      </c>
    </row>
    <row r="5587">
      <c r="A5587" s="198" t="inlineStr">
        <is>
          <t>custom.9.campo.preco</t>
        </is>
      </c>
      <c r="B5587" s="198">
        <f>SWITCH('CONFIGURAÇÃO'!$T$130,"Arma",IF(ISBLANK('CONFIGURAÇÃO'!$V$145),"",'CONFIGURAÇÃO'!$V$145&amp;""),"Escudo",IF(ISBLANK('CONFIGURAÇÃO'!$V$144),"",'CONFIGURAÇÃO'!$V$144&amp;""),"Uniforme",IF(ISBLANK('CONFIGURAÇÃO'!$V$144),"",'CONFIGURAÇÃO'!$V$144&amp;""),"Item comum",IF(ISBLANK('CONFIGURAÇÃO'!$V$141),"",'CONFIGURAÇÃO'!$V$141&amp;""),"Ferramenta amaldiçoada",IF(ISBLANK('CONFIGURAÇÃO'!$V$143),"",'CONFIGURAÇÃO'!$V$143&amp;""),"")</f>
        <v/>
      </c>
      <c r="C5587" s="198">
        <f>"'CONFIGURAÇÃO'!L258 'CONFIGURAÇÃO'!L257 'CONFIGURAÇÃO'!L257 'CONFIGURAÇÃO'!L254 'CONFIGURAÇÃO'!L256"</f>
        <v/>
      </c>
      <c r="D5587" s="198" t="inlineStr">
        <is>
          <t>configuração</t>
        </is>
      </c>
    </row>
    <row r="5588">
      <c r="A5588" s="198" t="inlineStr">
        <is>
          <t>custom.9.campo.propriedade_1</t>
        </is>
      </c>
      <c r="B5588" s="198">
        <f>SWITCH('CONFIGURAÇÃO'!$T$130,"Arma",IF(ISBLANK('CONFIGURAÇÃO'!$V$136),"",'CONFIGURAÇÃO'!$V$136&amp;""),"")</f>
        <v/>
      </c>
      <c r="C5588" s="198">
        <f>"'CONFIGURAÇÃO'!V136"</f>
        <v/>
      </c>
      <c r="D5588" s="198" t="inlineStr">
        <is>
          <t>configuração</t>
        </is>
      </c>
    </row>
    <row r="5589">
      <c r="A5589" s="198" t="inlineStr">
        <is>
          <t>custom.9.campo.propriedade_2</t>
        </is>
      </c>
      <c r="B5589" s="198">
        <f>SWITCH('CONFIGURAÇÃO'!$T$130,"Arma",IF(ISBLANK('CONFIGURAÇÃO'!$V$137),"",'CONFIGURAÇÃO'!$V$137&amp;""),"")</f>
        <v/>
      </c>
      <c r="C5589" s="198">
        <f>"'CONFIGURAÇÃO'!V137"</f>
        <v/>
      </c>
      <c r="D5589" s="198" t="inlineStr">
        <is>
          <t>configuração</t>
        </is>
      </c>
    </row>
    <row r="5590">
      <c r="A5590" s="198" t="inlineStr">
        <is>
          <t>custom.9.campo.propriedade_3</t>
        </is>
      </c>
      <c r="B5590" s="198">
        <f>SWITCH('CONFIGURAÇÃO'!$T$130,"Arma",IF(ISBLANK('CONFIGURAÇÃO'!$V$138),"",'CONFIGURAÇÃO'!$V$138&amp;""),"")</f>
        <v/>
      </c>
      <c r="C5590" s="198">
        <f>"'CONFIGURAÇÃO'!V138"</f>
        <v/>
      </c>
      <c r="D5590" s="198" t="inlineStr">
        <is>
          <t>configuração</t>
        </is>
      </c>
    </row>
    <row r="5591">
      <c r="A5591" s="198" t="inlineStr">
        <is>
          <t>custom.9.campo.propriedade_4</t>
        </is>
      </c>
      <c r="B5591" s="198">
        <f>SWITCH('CONFIGURAÇÃO'!$T$130,"Arma",IF(ISBLANK('CONFIGURAÇÃO'!$V$139),"",'CONFIGURAÇÃO'!$V$139&amp;""),"")</f>
        <v/>
      </c>
      <c r="C5591" s="198">
        <f>"'CONFIGURAÇÃO'!V139"</f>
        <v/>
      </c>
      <c r="D5591" s="198" t="inlineStr">
        <is>
          <t>configuração</t>
        </is>
      </c>
    </row>
    <row r="5592">
      <c r="A5592" s="198" t="inlineStr">
        <is>
          <t>custom.9.campo.protecao</t>
        </is>
      </c>
      <c r="B5592" s="198">
        <f>SWITCH('CONFIGURAÇÃO'!$T$130,"Escudo",IF(ISBLANK('CONFIGURAÇÃO'!$V$140),"",'CONFIGURAÇÃO'!$V$140&amp;""),"Uniforme",IF(ISBLANK('CONFIGURAÇÃO'!$V$140),"",'CONFIGURAÇÃO'!$V$140&amp;""),"")</f>
        <v/>
      </c>
      <c r="C5592" s="198">
        <f>"'CONFIGURAÇÃO'!L253 'CONFIGURAÇÃO'!L253"</f>
        <v/>
      </c>
      <c r="D5592" s="198" t="inlineStr">
        <is>
          <t>configuração</t>
        </is>
      </c>
    </row>
    <row r="5593">
      <c r="A5593" s="198" t="inlineStr">
        <is>
          <t>custom.9.campo.recarga</t>
        </is>
      </c>
      <c r="B5593" s="198">
        <f>SWITCH('CONFIGURAÇÃO'!$T$130,"Arma",IF(ISBLANK('CONFIGURAÇÃO'!$V$144),"",'CONFIGURAÇÃO'!$V$144&amp;""),"")</f>
        <v/>
      </c>
      <c r="C5593" s="198">
        <f>"'CONFIGURAÇÃO'!V144"</f>
        <v/>
      </c>
      <c r="D5593" s="198" t="inlineStr">
        <is>
          <t>configuração</t>
        </is>
      </c>
    </row>
    <row r="5594">
      <c r="A5594" s="198" t="inlineStr">
        <is>
          <t>custom.9.campo.rota</t>
        </is>
      </c>
      <c r="B5594" s="198">
        <f>SWITCH('CONFIGURAÇÃO'!$T$130,"Origem",IF(ISBLANK('CONFIGURAÇÃO'!$V$137),"",'CONFIGURAÇÃO'!$V$137&amp;""),"")</f>
        <v/>
      </c>
      <c r="C5594" s="198">
        <f>"'CONFIGURAÇÃO'!V137"</f>
        <v/>
      </c>
      <c r="D5594" s="198" t="inlineStr">
        <is>
          <t>configuração</t>
        </is>
      </c>
    </row>
    <row r="5595">
      <c r="A5595" s="198" t="inlineStr">
        <is>
          <t>custom.9.campo.talento_ce_4</t>
        </is>
      </c>
      <c r="B5595" s="198">
        <f>SWITCH('CONFIGURAÇÃO'!$T$130,"Origem",IF(ISBLANK('CONFIGURAÇÃO'!$V$140),"",'CONFIGURAÇÃO'!$V$140&amp;""),"")</f>
        <v/>
      </c>
      <c r="C5595" s="198">
        <f>"'CONFIGURAÇÃO'!V140"</f>
        <v/>
      </c>
      <c r="D5595" s="198" t="inlineStr">
        <is>
          <t>configuração</t>
        </is>
      </c>
    </row>
    <row r="5596">
      <c r="A5596" s="198" t="inlineStr">
        <is>
          <t>custom.9.campo.teto_de_destreza</t>
        </is>
      </c>
      <c r="B5596" s="198">
        <f>SWITCH('CONFIGURAÇÃO'!$T$130,"Escudo",IF(ISBLANK('CONFIGURAÇÃO'!$V$141),"",'CONFIGURAÇÃO'!$V$141&amp;""),"Uniforme",IF(ISBLANK('CONFIGURAÇÃO'!$V$141),"",'CONFIGURAÇÃO'!$V$141&amp;""),"")</f>
        <v/>
      </c>
      <c r="C5596" s="198">
        <f>"'CONFIGURAÇÃO'!L254 'CONFIGURAÇÃO'!L254"</f>
        <v/>
      </c>
      <c r="D5596" s="198" t="inlineStr">
        <is>
          <t>configuração</t>
        </is>
      </c>
    </row>
    <row r="5597">
      <c r="A5597" s="198" t="inlineStr">
        <is>
          <t>custom.9.campo.tipo_de_dano</t>
        </is>
      </c>
      <c r="B5597" s="198">
        <f>SWITCH('CONFIGURAÇÃO'!$T$130,"Arma",IF(ISBLANK('CONFIGURAÇÃO'!$V$135),"",'CONFIGURAÇÃO'!$V$135&amp;""),"")</f>
        <v/>
      </c>
      <c r="C5597" s="198">
        <f>"'CONFIGURAÇÃO'!V135"</f>
        <v/>
      </c>
      <c r="D5597" s="198" t="inlineStr">
        <is>
          <t>configuração</t>
        </is>
      </c>
    </row>
    <row r="5598">
      <c r="A5598" s="198" t="inlineStr">
        <is>
          <t>custom.9.campo.volume</t>
        </is>
      </c>
      <c r="B5598" s="198">
        <f>SWITCH('CONFIGURAÇÃO'!$T$130,"Arma",IF(ISBLANK('CONFIGURAÇÃO'!$V$142),"",'CONFIGURAÇÃO'!$V$142&amp;""),"Escudo",IF(ISBLANK('CONFIGURAÇÃO'!$V$143),"",'CONFIGURAÇÃO'!$V$143&amp;""),"Uniforme",IF(ISBLANK('CONFIGURAÇÃO'!$V$143),"",'CONFIGURAÇÃO'!$V$143&amp;""),"Item comum",IF(ISBLANK('CONFIGURAÇÃO'!$V$140),"",'CONFIGURAÇÃO'!$V$140&amp;""),"Ferramenta amaldiçoada",IF(ISBLANK('CONFIGURAÇÃO'!$V$142),"",'CONFIGURAÇÃO'!$V$142&amp;""),"")</f>
        <v/>
      </c>
      <c r="C5598" s="198">
        <f>"'CONFIGURAÇÃO'!L255 'CONFIGURAÇÃO'!L256 'CONFIGURAÇÃO'!L256 'CONFIGURAÇÃO'!L253 'CONFIGURAÇÃO'!L255"</f>
        <v/>
      </c>
      <c r="D5598" s="198" t="inlineStr">
        <is>
          <t>configuração</t>
        </is>
      </c>
    </row>
    <row r="5599">
      <c r="A5599" s="198" t="inlineStr">
        <is>
          <t>aviso.custom.9</t>
        </is>
      </c>
      <c r="B5599" s="198">
        <f>'DADOS_CUSTOM'!$S$10&amp;""</f>
        <v/>
      </c>
      <c r="C5599" s="198" t="inlineStr">
        <is>
          <t>DADOS_CUSTOM!S10</t>
        </is>
      </c>
      <c r="D5599" s="198" t="inlineStr">
        <is>
          <t>aviso</t>
        </is>
      </c>
    </row>
    <row r="5600">
      <c r="A5600" s="198" t="inlineStr">
        <is>
          <t>custom.10.tipo</t>
        </is>
      </c>
      <c r="B5600" s="198">
        <f>IF(ISBLANK('CONFIGURAÇÃO'!$AB$130),"",'CONFIGURAÇÃO'!$AB$130&amp;"")</f>
        <v/>
      </c>
      <c r="C5600" s="198">
        <f>"'CONFIGURAÇÃO'!AB130"</f>
        <v/>
      </c>
      <c r="D5600" s="198" t="inlineStr">
        <is>
          <t>configuração</t>
        </is>
      </c>
    </row>
    <row r="5601">
      <c r="A5601" s="198" t="inlineStr">
        <is>
          <t>custom.10.nome</t>
        </is>
      </c>
      <c r="B5601" s="198">
        <f>IF(ISBLANK('CONFIGURAÇÃO'!$AB$132),"",'CONFIGURAÇÃO'!$AB$132&amp;"")</f>
        <v/>
      </c>
      <c r="C5601" s="198">
        <f>"'CONFIGURAÇÃO'!AB132"</f>
        <v/>
      </c>
      <c r="D5601" s="198" t="inlineStr">
        <is>
          <t>configuração</t>
        </is>
      </c>
    </row>
    <row r="5602">
      <c r="A5602" s="198" t="inlineStr">
        <is>
          <t>custom.10.mestre_viu</t>
        </is>
      </c>
      <c r="B5602" s="198">
        <f>N('CONFIGURAÇÃO'!$AF$130)&amp;""</f>
        <v/>
      </c>
      <c r="C5602" s="198">
        <f>"'CONFIGURAÇÃO'!AF130"</f>
        <v/>
      </c>
      <c r="D5602" s="198" t="inlineStr">
        <is>
          <t>configuração</t>
        </is>
      </c>
    </row>
    <row r="5603">
      <c r="A5603" s="198" t="inlineStr">
        <is>
          <t>custom.10.efeito</t>
        </is>
      </c>
      <c r="B5603" s="198">
        <f>IF(ISBLANK('CONFIGURAÇÃO'!$AB$147),"",'CONFIGURAÇÃO'!$AB$147&amp;"")</f>
        <v/>
      </c>
      <c r="C5603" s="198">
        <f>"'CONFIGURAÇÃO'!AB147"</f>
        <v/>
      </c>
      <c r="D5603" s="198" t="inlineStr">
        <is>
          <t>configuração</t>
        </is>
      </c>
    </row>
    <row r="5604">
      <c r="A5604" s="198" t="inlineStr">
        <is>
          <t>custom.10.campo.alcance</t>
        </is>
      </c>
      <c r="B5604" s="198">
        <f>SWITCH('CONFIGURAÇÃO'!$AB$130,"Arma",IF(ISBLANK('CONFIGURAÇÃO'!$AD$143),"",'CONFIGURAÇÃO'!$AD$143&amp;""),"")</f>
        <v/>
      </c>
      <c r="C5604" s="198">
        <f>"'CONFIGURAÇÃO'!AD143"</f>
        <v/>
      </c>
      <c r="D5604" s="198" t="inlineStr">
        <is>
          <t>configuração</t>
        </is>
      </c>
    </row>
    <row r="5605">
      <c r="A5605" s="198" t="inlineStr">
        <is>
          <t>custom.10.campo.base</t>
        </is>
      </c>
      <c r="B5605" s="198">
        <f>SWITCH('CONFIGURAÇÃO'!$AB$130,"Ferramenta amaldiçoada",IF(ISBLANK('CONFIGURAÇÃO'!$AD$133),"",'CONFIGURAÇÃO'!$AD$133&amp;""),"")</f>
        <v/>
      </c>
      <c r="C5605" s="198">
        <f>"'CONFIGURAÇÃO'!AD133"</f>
        <v/>
      </c>
      <c r="D5605" s="198" t="inlineStr">
        <is>
          <t>configuração</t>
        </is>
      </c>
    </row>
    <row r="5606">
      <c r="A5606" s="198" t="inlineStr">
        <is>
          <t>custom.10.campo.base_do_livro</t>
        </is>
      </c>
      <c r="B5606" s="198">
        <f>SWITCH('CONFIGURAÇÃO'!$AB$130,"Origem",IF(ISBLANK('CONFIGURAÇÃO'!$AD$138),"",'CONFIGURAÇÃO'!$AD$138&amp;""),"")</f>
        <v/>
      </c>
      <c r="C5606" s="198">
        <f>"'CONFIGURAÇÃO'!AD138"</f>
        <v/>
      </c>
      <c r="D5606" s="198" t="inlineStr">
        <is>
          <t>configuração</t>
        </is>
      </c>
    </row>
    <row r="5607">
      <c r="A5607" s="198" t="inlineStr">
        <is>
          <t>custom.10.campo.categoria</t>
        </is>
      </c>
      <c r="B5607" s="198">
        <f>SWITCH('CONFIGURAÇÃO'!$AB$130,"Arma",IF(ISBLANK('CONFIGURAÇÃO'!$AD$133),"",'CONFIGURAÇÃO'!$AD$133&amp;""),"")</f>
        <v/>
      </c>
      <c r="C5607" s="198">
        <f>"'CONFIGURAÇÃO'!AD133"</f>
        <v/>
      </c>
      <c r="D5607" s="198" t="inlineStr">
        <is>
          <t>configuração</t>
        </is>
      </c>
    </row>
    <row r="5608">
      <c r="A5608" s="198" t="inlineStr">
        <is>
          <t>custom.10.campo.dado</t>
        </is>
      </c>
      <c r="B5608" s="198">
        <f>SWITCH('CONFIGURAÇÃO'!$AB$130,"Arma",IF(ISBLANK('CONFIGURAÇÃO'!$AD$140),"",'CONFIGURAÇÃO'!$AD$140&amp;""),"")</f>
        <v/>
      </c>
      <c r="C5608" s="198">
        <f>"'CONFIGURAÇÃO'!AD140"</f>
        <v/>
      </c>
      <c r="D5608" s="198" t="inlineStr">
        <is>
          <t>configuração</t>
        </is>
      </c>
    </row>
    <row r="5609">
      <c r="A5609" s="198" t="inlineStr">
        <is>
          <t>custom.10.campo.desgaste</t>
        </is>
      </c>
      <c r="B5609" s="198">
        <f>SWITCH('CONFIGURAÇÃO'!$AB$130,"Ferramenta amaldiçoada",IF(ISBLANK('CONFIGURAÇÃO'!$AD$141),"",'CONFIGURAÇÃO'!$AD$141&amp;""),"")</f>
        <v/>
      </c>
      <c r="C5609" s="198">
        <f>"'CONFIGURAÇÃO'!AD141"</f>
        <v/>
      </c>
      <c r="D5609" s="198" t="inlineStr">
        <is>
          <t>configuração</t>
        </is>
      </c>
    </row>
    <row r="5610">
      <c r="A5610" s="198" t="inlineStr">
        <is>
          <t>custom.10.campo.estigma</t>
        </is>
      </c>
      <c r="B5610" s="198">
        <f>SWITCH('CONFIGURAÇÃO'!$AB$130,"Ferramenta amaldiçoada",IF(ISBLANK('CONFIGURAÇÃO'!$AD$140),"",'CONFIGURAÇÃO'!$AD$140&amp;""),"")</f>
        <v/>
      </c>
      <c r="C5610" s="198">
        <f>"'CONFIGURAÇÃO'!AD140"</f>
        <v/>
      </c>
      <c r="D5610" s="198" t="inlineStr">
        <is>
          <t>configuração</t>
        </is>
      </c>
    </row>
    <row r="5611">
      <c r="A5611" s="198" t="inlineStr">
        <is>
          <t>custom.10.campo.exige_marcante</t>
        </is>
      </c>
      <c r="B5611" s="198">
        <f>SWITCH('CONFIGURAÇÃO'!$AB$130,"Menor",IF(ISBLANK('CONFIGURAÇÃO'!$AD$134),"",'CONFIGURAÇÃO'!$AD$134&amp;""),"")</f>
        <v/>
      </c>
      <c r="C5611" s="198">
        <f>"'CONFIGURAÇÃO'!AD134"</f>
        <v/>
      </c>
      <c r="D5611" s="198" t="inlineStr">
        <is>
          <t>configuração</t>
        </is>
      </c>
    </row>
    <row r="5612">
      <c r="A5612" s="198" t="inlineStr">
        <is>
          <t>custom.10.campo.forca</t>
        </is>
      </c>
      <c r="B5612" s="198">
        <f>SWITCH('CONFIGURAÇÃO'!$AB$130,"Arma",IF(ISBLANK('CONFIGURAÇÃO'!$AD$141),"",'CONFIGURAÇÃO'!$AD$141&amp;""),"Escudo",IF(ISBLANK('CONFIGURAÇÃO'!$AD$142),"",'CONFIGURAÇÃO'!$AD$142&amp;""),"Uniforme",IF(ISBLANK('CONFIGURAÇÃO'!$AD$142),"",'CONFIGURAÇÃO'!$AD$142&amp;""),"")</f>
        <v/>
      </c>
      <c r="C5612" s="198">
        <f>"'CONFIGURAÇÃO'!L283 'CONFIGURAÇÃO'!L284 'CONFIGURAÇÃO'!L284"</f>
        <v/>
      </c>
      <c r="D5612" s="198" t="inlineStr">
        <is>
          <t>configuração</t>
        </is>
      </c>
    </row>
    <row r="5613">
      <c r="A5613" s="198" t="inlineStr">
        <is>
          <t>custom.10.campo.frequencia</t>
        </is>
      </c>
      <c r="B5613" s="198">
        <f>SWITCH('CONFIGURAÇÃO'!$AB$130,"Marcante",IF(ISBLANK('CONFIGURAÇÃO'!$AD$140),"",'CONFIGURAÇÃO'!$AD$140&amp;""),"Menor",IF(ISBLANK('CONFIGURAÇÃO'!$AD$140),"",'CONFIGURAÇÃO'!$AD$140&amp;""),"")</f>
        <v/>
      </c>
      <c r="C5613" s="198">
        <f>"'CONFIGURAÇÃO'!L282 'CONFIGURAÇÃO'!L282"</f>
        <v/>
      </c>
      <c r="D5613" s="198" t="inlineStr">
        <is>
          <t>configuração</t>
        </is>
      </c>
    </row>
    <row r="5614">
      <c r="A5614" s="198" t="inlineStr">
        <is>
          <t>custom.10.campo.grau</t>
        </is>
      </c>
      <c r="B5614" s="198">
        <f>SWITCH('CONFIGURAÇÃO'!$AB$130,"Ferramenta amaldiçoada",IF(ISBLANK('CONFIGURAÇÃO'!$AD$134),"",'CONFIGURAÇÃO'!$AD$134&amp;""),"")</f>
        <v/>
      </c>
      <c r="C5614" s="198">
        <f>"'CONFIGURAÇÃO'!AD134"</f>
        <v/>
      </c>
      <c r="D5614" s="198" t="inlineStr">
        <is>
          <t>configuração</t>
        </is>
      </c>
    </row>
    <row r="5615">
      <c r="A5615" s="198" t="inlineStr">
        <is>
          <t>custom.10.campo.grau_minimo</t>
        </is>
      </c>
      <c r="B5615" s="198">
        <f>SWITCH('CONFIGURAÇÃO'!$AB$130,"Uniforme",IF(ISBLANK('CONFIGURAÇÃO'!$AD$133),"",'CONFIGURAÇÃO'!$AD$133&amp;""),"")</f>
        <v/>
      </c>
      <c r="C5615" s="198">
        <f>"'CONFIGURAÇÃO'!AD133"</f>
        <v/>
      </c>
      <c r="D5615" s="198" t="inlineStr">
        <is>
          <t>configuração</t>
        </is>
      </c>
    </row>
    <row r="5616">
      <c r="A5616" s="198" t="inlineStr">
        <is>
          <t>custom.10.campo.mao</t>
        </is>
      </c>
      <c r="B5616" s="198">
        <f>SWITCH('CONFIGURAÇÃO'!$AB$130,"Arma",IF(ISBLANK('CONFIGURAÇÃO'!$AD$134),"",'CONFIGURAÇÃO'!$AD$134&amp;""),"")</f>
        <v/>
      </c>
      <c r="C5616" s="198">
        <f>"'CONFIGURAÇÃO'!AD134"</f>
        <v/>
      </c>
      <c r="D5616" s="198" t="inlineStr">
        <is>
          <t>configuração</t>
        </is>
      </c>
    </row>
    <row r="5617">
      <c r="A5617" s="198" t="inlineStr">
        <is>
          <t>custom.10.campo.oficio</t>
        </is>
      </c>
      <c r="B5617" s="198">
        <f>SWITCH('CONFIGURAÇÃO'!$AB$130,"Origem",IF(ISBLANK('CONFIGURAÇÃO'!$AD$139),"",'CONFIGURAÇÃO'!$AD$139&amp;""),"")</f>
        <v/>
      </c>
      <c r="C5617" s="198">
        <f>"'CONFIGURAÇÃO'!AD139"</f>
        <v/>
      </c>
      <c r="D5617" s="198" t="inlineStr">
        <is>
          <t>configuração</t>
        </is>
      </c>
    </row>
    <row r="5618">
      <c r="A5618" s="198" t="inlineStr">
        <is>
          <t>custom.10.campo.origem</t>
        </is>
      </c>
      <c r="B5618" s="198">
        <f>SWITCH('CONFIGURAÇÃO'!$AB$130,"Marcante",IF(ISBLANK('CONFIGURAÇÃO'!$AD$133),"",'CONFIGURAÇÃO'!$AD$133&amp;""),"Menor",IF(ISBLANK('CONFIGURAÇÃO'!$AD$133),"",'CONFIGURAÇÃO'!$AD$133&amp;""),"")</f>
        <v/>
      </c>
      <c r="C5618" s="198">
        <f>"'CONFIGURAÇÃO'!L275 'CONFIGURAÇÃO'!L275"</f>
        <v/>
      </c>
      <c r="D5618" s="198" t="inlineStr">
        <is>
          <t>configuração</t>
        </is>
      </c>
    </row>
    <row r="5619">
      <c r="A5619" s="198" t="inlineStr">
        <is>
          <t>custom.10.campo.pericia_1</t>
        </is>
      </c>
      <c r="B5619" s="198">
        <f>SWITCH('CONFIGURAÇÃO'!$AB$130,"Origem",IF(ISBLANK('CONFIGURAÇÃO'!$AD$133),"",'CONFIGURAÇÃO'!$AD$133&amp;""),"")</f>
        <v/>
      </c>
      <c r="C5619" s="198">
        <f>"'CONFIGURAÇÃO'!AD133"</f>
        <v/>
      </c>
      <c r="D5619" s="198" t="inlineStr">
        <is>
          <t>configuração</t>
        </is>
      </c>
    </row>
    <row r="5620">
      <c r="A5620" s="198" t="inlineStr">
        <is>
          <t>custom.10.campo.pericia_2</t>
        </is>
      </c>
      <c r="B5620" s="198">
        <f>SWITCH('CONFIGURAÇÃO'!$AB$130,"Origem",IF(ISBLANK('CONFIGURAÇÃO'!$AD$134),"",'CONFIGURAÇÃO'!$AD$134&amp;""),"")</f>
        <v/>
      </c>
      <c r="C5620" s="198">
        <f>"'CONFIGURAÇÃO'!AD134"</f>
        <v/>
      </c>
      <c r="D5620" s="198" t="inlineStr">
        <is>
          <t>configuração</t>
        </is>
      </c>
    </row>
    <row r="5621">
      <c r="A5621" s="198" t="inlineStr">
        <is>
          <t>custom.10.campo.pericia_3</t>
        </is>
      </c>
      <c r="B5621" s="198">
        <f>SWITCH('CONFIGURAÇÃO'!$AB$130,"Origem",IF(ISBLANK('CONFIGURAÇÃO'!$AD$135),"",'CONFIGURAÇÃO'!$AD$135&amp;""),"")</f>
        <v/>
      </c>
      <c r="C5621" s="198">
        <f>"'CONFIGURAÇÃO'!AD135"</f>
        <v/>
      </c>
      <c r="D5621" s="198" t="inlineStr">
        <is>
          <t>configuração</t>
        </is>
      </c>
    </row>
    <row r="5622">
      <c r="A5622" s="198" t="inlineStr">
        <is>
          <t>custom.10.campo.pericia_4</t>
        </is>
      </c>
      <c r="B5622" s="198">
        <f>SWITCH('CONFIGURAÇÃO'!$AB$130,"Origem",IF(ISBLANK('CONFIGURAÇÃO'!$AD$136),"",'CONFIGURAÇÃO'!$AD$136&amp;""),"")</f>
        <v/>
      </c>
      <c r="C5622" s="198">
        <f>"'CONFIGURAÇÃO'!AD136"</f>
        <v/>
      </c>
      <c r="D5622" s="198" t="inlineStr">
        <is>
          <t>configuração</t>
        </is>
      </c>
    </row>
    <row r="5623">
      <c r="A5623" s="198" t="inlineStr">
        <is>
          <t>custom.10.campo.preco</t>
        </is>
      </c>
      <c r="B5623" s="198">
        <f>SWITCH('CONFIGURAÇÃO'!$AB$130,"Arma",IF(ISBLANK('CONFIGURAÇÃO'!$AD$145),"",'CONFIGURAÇÃO'!$AD$145&amp;""),"Escudo",IF(ISBLANK('CONFIGURAÇÃO'!$AD$144),"",'CONFIGURAÇÃO'!$AD$144&amp;""),"Uniforme",IF(ISBLANK('CONFIGURAÇÃO'!$AD$144),"",'CONFIGURAÇÃO'!$AD$144&amp;""),"Item comum",IF(ISBLANK('CONFIGURAÇÃO'!$AD$141),"",'CONFIGURAÇÃO'!$AD$141&amp;""),"Ferramenta amaldiçoada",IF(ISBLANK('CONFIGURAÇÃO'!$AD$143),"",'CONFIGURAÇÃO'!$AD$143&amp;""),"")</f>
        <v/>
      </c>
      <c r="C5623" s="198">
        <f>"'CONFIGURAÇÃO'!L287 'CONFIGURAÇÃO'!L286 'CONFIGURAÇÃO'!L286 'CONFIGURAÇÃO'!L283 'CONFIGURAÇÃO'!L285"</f>
        <v/>
      </c>
      <c r="D5623" s="198" t="inlineStr">
        <is>
          <t>configuração</t>
        </is>
      </c>
    </row>
    <row r="5624">
      <c r="A5624" s="198" t="inlineStr">
        <is>
          <t>custom.10.campo.propriedade_1</t>
        </is>
      </c>
      <c r="B5624" s="198">
        <f>SWITCH('CONFIGURAÇÃO'!$AB$130,"Arma",IF(ISBLANK('CONFIGURAÇÃO'!$AD$136),"",'CONFIGURAÇÃO'!$AD$136&amp;""),"")</f>
        <v/>
      </c>
      <c r="C5624" s="198">
        <f>"'CONFIGURAÇÃO'!AD136"</f>
        <v/>
      </c>
      <c r="D5624" s="198" t="inlineStr">
        <is>
          <t>configuração</t>
        </is>
      </c>
    </row>
    <row r="5625">
      <c r="A5625" s="198" t="inlineStr">
        <is>
          <t>custom.10.campo.propriedade_2</t>
        </is>
      </c>
      <c r="B5625" s="198">
        <f>SWITCH('CONFIGURAÇÃO'!$AB$130,"Arma",IF(ISBLANK('CONFIGURAÇÃO'!$AD$137),"",'CONFIGURAÇÃO'!$AD$137&amp;""),"")</f>
        <v/>
      </c>
      <c r="C5625" s="198">
        <f>"'CONFIGURAÇÃO'!AD137"</f>
        <v/>
      </c>
      <c r="D5625" s="198" t="inlineStr">
        <is>
          <t>configuração</t>
        </is>
      </c>
    </row>
    <row r="5626">
      <c r="A5626" s="198" t="inlineStr">
        <is>
          <t>custom.10.campo.propriedade_3</t>
        </is>
      </c>
      <c r="B5626" s="198">
        <f>SWITCH('CONFIGURAÇÃO'!$AB$130,"Arma",IF(ISBLANK('CONFIGURAÇÃO'!$AD$138),"",'CONFIGURAÇÃO'!$AD$138&amp;""),"")</f>
        <v/>
      </c>
      <c r="C5626" s="198">
        <f>"'CONFIGURAÇÃO'!AD138"</f>
        <v/>
      </c>
      <c r="D5626" s="198" t="inlineStr">
        <is>
          <t>configuração</t>
        </is>
      </c>
    </row>
    <row r="5627">
      <c r="A5627" s="198" t="inlineStr">
        <is>
          <t>custom.10.campo.propriedade_4</t>
        </is>
      </c>
      <c r="B5627" s="198">
        <f>SWITCH('CONFIGURAÇÃO'!$AB$130,"Arma",IF(ISBLANK('CONFIGURAÇÃO'!$AD$139),"",'CONFIGURAÇÃO'!$AD$139&amp;""),"")</f>
        <v/>
      </c>
      <c r="C5627" s="198">
        <f>"'CONFIGURAÇÃO'!AD139"</f>
        <v/>
      </c>
      <c r="D5627" s="198" t="inlineStr">
        <is>
          <t>configuração</t>
        </is>
      </c>
    </row>
    <row r="5628">
      <c r="A5628" s="198" t="inlineStr">
        <is>
          <t>custom.10.campo.protecao</t>
        </is>
      </c>
      <c r="B5628" s="198">
        <f>SWITCH('CONFIGURAÇÃO'!$AB$130,"Escudo",IF(ISBLANK('CONFIGURAÇÃO'!$AD$140),"",'CONFIGURAÇÃO'!$AD$140&amp;""),"Uniforme",IF(ISBLANK('CONFIGURAÇÃO'!$AD$140),"",'CONFIGURAÇÃO'!$AD$140&amp;""),"")</f>
        <v/>
      </c>
      <c r="C5628" s="198">
        <f>"'CONFIGURAÇÃO'!L282 'CONFIGURAÇÃO'!L282"</f>
        <v/>
      </c>
      <c r="D5628" s="198" t="inlineStr">
        <is>
          <t>configuração</t>
        </is>
      </c>
    </row>
    <row r="5629">
      <c r="A5629" s="198" t="inlineStr">
        <is>
          <t>custom.10.campo.recarga</t>
        </is>
      </c>
      <c r="B5629" s="198">
        <f>SWITCH('CONFIGURAÇÃO'!$AB$130,"Arma",IF(ISBLANK('CONFIGURAÇÃO'!$AD$144),"",'CONFIGURAÇÃO'!$AD$144&amp;""),"")</f>
        <v/>
      </c>
      <c r="C5629" s="198">
        <f>"'CONFIGURAÇÃO'!AD144"</f>
        <v/>
      </c>
      <c r="D5629" s="198" t="inlineStr">
        <is>
          <t>configuração</t>
        </is>
      </c>
    </row>
    <row r="5630">
      <c r="A5630" s="198" t="inlineStr">
        <is>
          <t>custom.10.campo.rota</t>
        </is>
      </c>
      <c r="B5630" s="198">
        <f>SWITCH('CONFIGURAÇÃO'!$AB$130,"Origem",IF(ISBLANK('CONFIGURAÇÃO'!$AD$137),"",'CONFIGURAÇÃO'!$AD$137&amp;""),"")</f>
        <v/>
      </c>
      <c r="C5630" s="198">
        <f>"'CONFIGURAÇÃO'!AD137"</f>
        <v/>
      </c>
      <c r="D5630" s="198" t="inlineStr">
        <is>
          <t>configuração</t>
        </is>
      </c>
    </row>
    <row r="5631">
      <c r="A5631" s="198" t="inlineStr">
        <is>
          <t>custom.10.campo.talento_ce_4</t>
        </is>
      </c>
      <c r="B5631" s="198">
        <f>SWITCH('CONFIGURAÇÃO'!$AB$130,"Origem",IF(ISBLANK('CONFIGURAÇÃO'!$AD$140),"",'CONFIGURAÇÃO'!$AD$140&amp;""),"")</f>
        <v/>
      </c>
      <c r="C5631" s="198">
        <f>"'CONFIGURAÇÃO'!AD140"</f>
        <v/>
      </c>
      <c r="D5631" s="198" t="inlineStr">
        <is>
          <t>configuração</t>
        </is>
      </c>
    </row>
    <row r="5632">
      <c r="A5632" s="198" t="inlineStr">
        <is>
          <t>custom.10.campo.teto_de_destreza</t>
        </is>
      </c>
      <c r="B5632" s="198">
        <f>SWITCH('CONFIGURAÇÃO'!$AB$130,"Escudo",IF(ISBLANK('CONFIGURAÇÃO'!$AD$141),"",'CONFIGURAÇÃO'!$AD$141&amp;""),"Uniforme",IF(ISBLANK('CONFIGURAÇÃO'!$AD$141),"",'CONFIGURAÇÃO'!$AD$141&amp;""),"")</f>
        <v/>
      </c>
      <c r="C5632" s="198">
        <f>"'CONFIGURAÇÃO'!L283 'CONFIGURAÇÃO'!L283"</f>
        <v/>
      </c>
      <c r="D5632" s="198" t="inlineStr">
        <is>
          <t>configuração</t>
        </is>
      </c>
    </row>
    <row r="5633">
      <c r="A5633" s="198" t="inlineStr">
        <is>
          <t>custom.10.campo.tipo_de_dano</t>
        </is>
      </c>
      <c r="B5633" s="198">
        <f>SWITCH('CONFIGURAÇÃO'!$AB$130,"Arma",IF(ISBLANK('CONFIGURAÇÃO'!$AD$135),"",'CONFIGURAÇÃO'!$AD$135&amp;""),"")</f>
        <v/>
      </c>
      <c r="C5633" s="198">
        <f>"'CONFIGURAÇÃO'!AD135"</f>
        <v/>
      </c>
      <c r="D5633" s="198" t="inlineStr">
        <is>
          <t>configuração</t>
        </is>
      </c>
    </row>
    <row r="5634">
      <c r="A5634" s="198" t="inlineStr">
        <is>
          <t>custom.10.campo.volume</t>
        </is>
      </c>
      <c r="B5634" s="198">
        <f>SWITCH('CONFIGURAÇÃO'!$AB$130,"Arma",IF(ISBLANK('CONFIGURAÇÃO'!$AD$142),"",'CONFIGURAÇÃO'!$AD$142&amp;""),"Escudo",IF(ISBLANK('CONFIGURAÇÃO'!$AD$143),"",'CONFIGURAÇÃO'!$AD$143&amp;""),"Uniforme",IF(ISBLANK('CONFIGURAÇÃO'!$AD$143),"",'CONFIGURAÇÃO'!$AD$143&amp;""),"Item comum",IF(ISBLANK('CONFIGURAÇÃO'!$AD$140),"",'CONFIGURAÇÃO'!$AD$140&amp;""),"Ferramenta amaldiçoada",IF(ISBLANK('CONFIGURAÇÃO'!$AD$142),"",'CONFIGURAÇÃO'!$AD$142&amp;""),"")</f>
        <v/>
      </c>
      <c r="C5634" s="198">
        <f>"'CONFIGURAÇÃO'!L284 'CONFIGURAÇÃO'!L285 'CONFIGURAÇÃO'!L285 'CONFIGURAÇÃO'!L282 'CONFIGURAÇÃO'!L284"</f>
        <v/>
      </c>
      <c r="D5634" s="198" t="inlineStr">
        <is>
          <t>configuração</t>
        </is>
      </c>
    </row>
    <row r="5635">
      <c r="A5635" s="198" t="inlineStr">
        <is>
          <t>aviso.custom.10</t>
        </is>
      </c>
      <c r="B5635" s="198">
        <f>'DADOS_CUSTOM'!$S$11&amp;""</f>
        <v/>
      </c>
      <c r="C5635" s="198" t="inlineStr">
        <is>
          <t>DADOS_CUSTOM!S11</t>
        </is>
      </c>
      <c r="D5635" s="198" t="inlineStr">
        <is>
          <t>aviso</t>
        </is>
      </c>
    </row>
    <row r="5636">
      <c r="A5636" s="198" t="inlineStr">
        <is>
          <t>custom.11.tipo</t>
        </is>
      </c>
      <c r="B5636" s="198">
        <f>IF(ISBLANK('CONFIGURAÇÃO'!$T$159),"",'CONFIGURAÇÃO'!$T$159&amp;"")</f>
        <v/>
      </c>
      <c r="C5636" s="198">
        <f>"'CONFIGURAÇÃO'!T159"</f>
        <v/>
      </c>
      <c r="D5636" s="198" t="inlineStr">
        <is>
          <t>configuração</t>
        </is>
      </c>
    </row>
    <row r="5637">
      <c r="A5637" s="198" t="inlineStr">
        <is>
          <t>custom.11.nome</t>
        </is>
      </c>
      <c r="B5637" s="198">
        <f>IF(ISBLANK('CONFIGURAÇÃO'!$T$161),"",'CONFIGURAÇÃO'!$T$161&amp;"")</f>
        <v/>
      </c>
      <c r="C5637" s="198">
        <f>"'CONFIGURAÇÃO'!T161"</f>
        <v/>
      </c>
      <c r="D5637" s="198" t="inlineStr">
        <is>
          <t>configuração</t>
        </is>
      </c>
    </row>
    <row r="5638">
      <c r="A5638" s="198" t="inlineStr">
        <is>
          <t>custom.11.mestre_viu</t>
        </is>
      </c>
      <c r="B5638" s="198">
        <f>N('CONFIGURAÇÃO'!$X$159)&amp;""</f>
        <v/>
      </c>
      <c r="C5638" s="198">
        <f>"'CONFIGURAÇÃO'!X159"</f>
        <v/>
      </c>
      <c r="D5638" s="198" t="inlineStr">
        <is>
          <t>configuração</t>
        </is>
      </c>
    </row>
    <row r="5639">
      <c r="A5639" s="198" t="inlineStr">
        <is>
          <t>custom.11.efeito</t>
        </is>
      </c>
      <c r="B5639" s="198">
        <f>IF(ISBLANK('CONFIGURAÇÃO'!$T$176),"",'CONFIGURAÇÃO'!$T$176&amp;"")</f>
        <v/>
      </c>
      <c r="C5639" s="198">
        <f>"'CONFIGURAÇÃO'!T176"</f>
        <v/>
      </c>
      <c r="D5639" s="198" t="inlineStr">
        <is>
          <t>configuração</t>
        </is>
      </c>
    </row>
    <row r="5640">
      <c r="A5640" s="198" t="inlineStr">
        <is>
          <t>custom.11.campo.alcance</t>
        </is>
      </c>
      <c r="B5640" s="198">
        <f>SWITCH('CONFIGURAÇÃO'!$T$159,"Arma",IF(ISBLANK('CONFIGURAÇÃO'!$V$172),"",'CONFIGURAÇÃO'!$V$172&amp;""),"")</f>
        <v/>
      </c>
      <c r="C5640" s="198">
        <f>"'CONFIGURAÇÃO'!V172"</f>
        <v/>
      </c>
      <c r="D5640" s="198" t="inlineStr">
        <is>
          <t>configuração</t>
        </is>
      </c>
    </row>
    <row r="5641">
      <c r="A5641" s="198" t="inlineStr">
        <is>
          <t>custom.11.campo.base</t>
        </is>
      </c>
      <c r="B5641" s="198">
        <f>SWITCH('CONFIGURAÇÃO'!$T$159,"Ferramenta amaldiçoada",IF(ISBLANK('CONFIGURAÇÃO'!$V$162),"",'CONFIGURAÇÃO'!$V$162&amp;""),"")</f>
        <v/>
      </c>
      <c r="C5641" s="198">
        <f>"'CONFIGURAÇÃO'!V162"</f>
        <v/>
      </c>
      <c r="D5641" s="198" t="inlineStr">
        <is>
          <t>configuração</t>
        </is>
      </c>
    </row>
    <row r="5642">
      <c r="A5642" s="198" t="inlineStr">
        <is>
          <t>custom.11.campo.base_do_livro</t>
        </is>
      </c>
      <c r="B5642" s="198">
        <f>SWITCH('CONFIGURAÇÃO'!$T$159,"Origem",IF(ISBLANK('CONFIGURAÇÃO'!$V$167),"",'CONFIGURAÇÃO'!$V$167&amp;""),"")</f>
        <v/>
      </c>
      <c r="C5642" s="198">
        <f>"'CONFIGURAÇÃO'!V167"</f>
        <v/>
      </c>
      <c r="D5642" s="198" t="inlineStr">
        <is>
          <t>configuração</t>
        </is>
      </c>
    </row>
    <row r="5643">
      <c r="A5643" s="198" t="inlineStr">
        <is>
          <t>custom.11.campo.categoria</t>
        </is>
      </c>
      <c r="B5643" s="198">
        <f>SWITCH('CONFIGURAÇÃO'!$T$159,"Arma",IF(ISBLANK('CONFIGURAÇÃO'!$V$162),"",'CONFIGURAÇÃO'!$V$162&amp;""),"")</f>
        <v/>
      </c>
      <c r="C5643" s="198">
        <f>"'CONFIGURAÇÃO'!V162"</f>
        <v/>
      </c>
      <c r="D5643" s="198" t="inlineStr">
        <is>
          <t>configuração</t>
        </is>
      </c>
    </row>
    <row r="5644">
      <c r="A5644" s="198" t="inlineStr">
        <is>
          <t>custom.11.campo.dado</t>
        </is>
      </c>
      <c r="B5644" s="198">
        <f>SWITCH('CONFIGURAÇÃO'!$T$159,"Arma",IF(ISBLANK('CONFIGURAÇÃO'!$V$169),"",'CONFIGURAÇÃO'!$V$169&amp;""),"")</f>
        <v/>
      </c>
      <c r="C5644" s="198">
        <f>"'CONFIGURAÇÃO'!V169"</f>
        <v/>
      </c>
      <c r="D5644" s="198" t="inlineStr">
        <is>
          <t>configuração</t>
        </is>
      </c>
    </row>
    <row r="5645">
      <c r="A5645" s="198" t="inlineStr">
        <is>
          <t>custom.11.campo.desgaste</t>
        </is>
      </c>
      <c r="B5645" s="198">
        <f>SWITCH('CONFIGURAÇÃO'!$T$159,"Ferramenta amaldiçoada",IF(ISBLANK('CONFIGURAÇÃO'!$V$170),"",'CONFIGURAÇÃO'!$V$170&amp;""),"")</f>
        <v/>
      </c>
      <c r="C5645" s="198">
        <f>"'CONFIGURAÇÃO'!V170"</f>
        <v/>
      </c>
      <c r="D5645" s="198" t="inlineStr">
        <is>
          <t>configuração</t>
        </is>
      </c>
    </row>
    <row r="5646">
      <c r="A5646" s="198" t="inlineStr">
        <is>
          <t>custom.11.campo.estigma</t>
        </is>
      </c>
      <c r="B5646" s="198">
        <f>SWITCH('CONFIGURAÇÃO'!$T$159,"Ferramenta amaldiçoada",IF(ISBLANK('CONFIGURAÇÃO'!$V$169),"",'CONFIGURAÇÃO'!$V$169&amp;""),"")</f>
        <v/>
      </c>
      <c r="C5646" s="198">
        <f>"'CONFIGURAÇÃO'!V169"</f>
        <v/>
      </c>
      <c r="D5646" s="198" t="inlineStr">
        <is>
          <t>configuração</t>
        </is>
      </c>
    </row>
    <row r="5647">
      <c r="A5647" s="198" t="inlineStr">
        <is>
          <t>custom.11.campo.exige_marcante</t>
        </is>
      </c>
      <c r="B5647" s="198">
        <f>SWITCH('CONFIGURAÇÃO'!$T$159,"Menor",IF(ISBLANK('CONFIGURAÇÃO'!$V$163),"",'CONFIGURAÇÃO'!$V$163&amp;""),"")</f>
        <v/>
      </c>
      <c r="C5647" s="198">
        <f>"'CONFIGURAÇÃO'!V163"</f>
        <v/>
      </c>
      <c r="D5647" s="198" t="inlineStr">
        <is>
          <t>configuração</t>
        </is>
      </c>
    </row>
    <row r="5648">
      <c r="A5648" s="198" t="inlineStr">
        <is>
          <t>custom.11.campo.forca</t>
        </is>
      </c>
      <c r="B5648" s="198">
        <f>SWITCH('CONFIGURAÇÃO'!$T$159,"Arma",IF(ISBLANK('CONFIGURAÇÃO'!$V$170),"",'CONFIGURAÇÃO'!$V$170&amp;""),"Escudo",IF(ISBLANK('CONFIGURAÇÃO'!$V$171),"",'CONFIGURAÇÃO'!$V$171&amp;""),"Uniforme",IF(ISBLANK('CONFIGURAÇÃO'!$V$171),"",'CONFIGURAÇÃO'!$V$171&amp;""),"")</f>
        <v/>
      </c>
      <c r="C5648" s="198">
        <f>"'CONFIGURAÇÃO'!L312 'CONFIGURAÇÃO'!L313 'CONFIGURAÇÃO'!L313"</f>
        <v/>
      </c>
      <c r="D5648" s="198" t="inlineStr">
        <is>
          <t>configuração</t>
        </is>
      </c>
    </row>
    <row r="5649">
      <c r="A5649" s="198" t="inlineStr">
        <is>
          <t>custom.11.campo.frequencia</t>
        </is>
      </c>
      <c r="B5649" s="198">
        <f>SWITCH('CONFIGURAÇÃO'!$T$159,"Marcante",IF(ISBLANK('CONFIGURAÇÃO'!$V$169),"",'CONFIGURAÇÃO'!$V$169&amp;""),"Menor",IF(ISBLANK('CONFIGURAÇÃO'!$V$169),"",'CONFIGURAÇÃO'!$V$169&amp;""),"")</f>
        <v/>
      </c>
      <c r="C5649" s="198">
        <f>"'CONFIGURAÇÃO'!L311 'CONFIGURAÇÃO'!L311"</f>
        <v/>
      </c>
      <c r="D5649" s="198" t="inlineStr">
        <is>
          <t>configuração</t>
        </is>
      </c>
    </row>
    <row r="5650">
      <c r="A5650" s="198" t="inlineStr">
        <is>
          <t>custom.11.campo.grau</t>
        </is>
      </c>
      <c r="B5650" s="198">
        <f>SWITCH('CONFIGURAÇÃO'!$T$159,"Ferramenta amaldiçoada",IF(ISBLANK('CONFIGURAÇÃO'!$V$163),"",'CONFIGURAÇÃO'!$V$163&amp;""),"")</f>
        <v/>
      </c>
      <c r="C5650" s="198">
        <f>"'CONFIGURAÇÃO'!V163"</f>
        <v/>
      </c>
      <c r="D5650" s="198" t="inlineStr">
        <is>
          <t>configuração</t>
        </is>
      </c>
    </row>
    <row r="5651">
      <c r="A5651" s="198" t="inlineStr">
        <is>
          <t>custom.11.campo.grau_minimo</t>
        </is>
      </c>
      <c r="B5651" s="198">
        <f>SWITCH('CONFIGURAÇÃO'!$T$159,"Uniforme",IF(ISBLANK('CONFIGURAÇÃO'!$V$162),"",'CONFIGURAÇÃO'!$V$162&amp;""),"")</f>
        <v/>
      </c>
      <c r="C5651" s="198">
        <f>"'CONFIGURAÇÃO'!V162"</f>
        <v/>
      </c>
      <c r="D5651" s="198" t="inlineStr">
        <is>
          <t>configuração</t>
        </is>
      </c>
    </row>
    <row r="5652">
      <c r="A5652" s="198" t="inlineStr">
        <is>
          <t>custom.11.campo.mao</t>
        </is>
      </c>
      <c r="B5652" s="198">
        <f>SWITCH('CONFIGURAÇÃO'!$T$159,"Arma",IF(ISBLANK('CONFIGURAÇÃO'!$V$163),"",'CONFIGURAÇÃO'!$V$163&amp;""),"")</f>
        <v/>
      </c>
      <c r="C5652" s="198">
        <f>"'CONFIGURAÇÃO'!V163"</f>
        <v/>
      </c>
      <c r="D5652" s="198" t="inlineStr">
        <is>
          <t>configuração</t>
        </is>
      </c>
    </row>
    <row r="5653">
      <c r="A5653" s="198" t="inlineStr">
        <is>
          <t>custom.11.campo.oficio</t>
        </is>
      </c>
      <c r="B5653" s="198">
        <f>SWITCH('CONFIGURAÇÃO'!$T$159,"Origem",IF(ISBLANK('CONFIGURAÇÃO'!$V$168),"",'CONFIGURAÇÃO'!$V$168&amp;""),"")</f>
        <v/>
      </c>
      <c r="C5653" s="198">
        <f>"'CONFIGURAÇÃO'!V168"</f>
        <v/>
      </c>
      <c r="D5653" s="198" t="inlineStr">
        <is>
          <t>configuração</t>
        </is>
      </c>
    </row>
    <row r="5654">
      <c r="A5654" s="198" t="inlineStr">
        <is>
          <t>custom.11.campo.origem</t>
        </is>
      </c>
      <c r="B5654" s="198">
        <f>SWITCH('CONFIGURAÇÃO'!$T$159,"Marcante",IF(ISBLANK('CONFIGURAÇÃO'!$V$162),"",'CONFIGURAÇÃO'!$V$162&amp;""),"Menor",IF(ISBLANK('CONFIGURAÇÃO'!$V$162),"",'CONFIGURAÇÃO'!$V$162&amp;""),"")</f>
        <v/>
      </c>
      <c r="C5654" s="198">
        <f>"'CONFIGURAÇÃO'!L304 'CONFIGURAÇÃO'!L304"</f>
        <v/>
      </c>
      <c r="D5654" s="198" t="inlineStr">
        <is>
          <t>configuração</t>
        </is>
      </c>
    </row>
    <row r="5655">
      <c r="A5655" s="198" t="inlineStr">
        <is>
          <t>custom.11.campo.pericia_1</t>
        </is>
      </c>
      <c r="B5655" s="198">
        <f>SWITCH('CONFIGURAÇÃO'!$T$159,"Origem",IF(ISBLANK('CONFIGURAÇÃO'!$V$162),"",'CONFIGURAÇÃO'!$V$162&amp;""),"")</f>
        <v/>
      </c>
      <c r="C5655" s="198">
        <f>"'CONFIGURAÇÃO'!V162"</f>
        <v/>
      </c>
      <c r="D5655" s="198" t="inlineStr">
        <is>
          <t>configuração</t>
        </is>
      </c>
    </row>
    <row r="5656">
      <c r="A5656" s="198" t="inlineStr">
        <is>
          <t>custom.11.campo.pericia_2</t>
        </is>
      </c>
      <c r="B5656" s="198">
        <f>SWITCH('CONFIGURAÇÃO'!$T$159,"Origem",IF(ISBLANK('CONFIGURAÇÃO'!$V$163),"",'CONFIGURAÇÃO'!$V$163&amp;""),"")</f>
        <v/>
      </c>
      <c r="C5656" s="198">
        <f>"'CONFIGURAÇÃO'!V163"</f>
        <v/>
      </c>
      <c r="D5656" s="198" t="inlineStr">
        <is>
          <t>configuração</t>
        </is>
      </c>
    </row>
    <row r="5657">
      <c r="A5657" s="198" t="inlineStr">
        <is>
          <t>custom.11.campo.pericia_3</t>
        </is>
      </c>
      <c r="B5657" s="198">
        <f>SWITCH('CONFIGURAÇÃO'!$T$159,"Origem",IF(ISBLANK('CONFIGURAÇÃO'!$V$164),"",'CONFIGURAÇÃO'!$V$164&amp;""),"")</f>
        <v/>
      </c>
      <c r="C5657" s="198">
        <f>"'CONFIGURAÇÃO'!V164"</f>
        <v/>
      </c>
      <c r="D5657" s="198" t="inlineStr">
        <is>
          <t>configuração</t>
        </is>
      </c>
    </row>
    <row r="5658">
      <c r="A5658" s="198" t="inlineStr">
        <is>
          <t>custom.11.campo.pericia_4</t>
        </is>
      </c>
      <c r="B5658" s="198">
        <f>SWITCH('CONFIGURAÇÃO'!$T$159,"Origem",IF(ISBLANK('CONFIGURAÇÃO'!$V$165),"",'CONFIGURAÇÃO'!$V$165&amp;""),"")</f>
        <v/>
      </c>
      <c r="C5658" s="198">
        <f>"'CONFIGURAÇÃO'!V165"</f>
        <v/>
      </c>
      <c r="D5658" s="198" t="inlineStr">
        <is>
          <t>configuração</t>
        </is>
      </c>
    </row>
    <row r="5659">
      <c r="A5659" s="198" t="inlineStr">
        <is>
          <t>custom.11.campo.preco</t>
        </is>
      </c>
      <c r="B5659" s="198">
        <f>SWITCH('CONFIGURAÇÃO'!$T$159,"Arma",IF(ISBLANK('CONFIGURAÇÃO'!$V$174),"",'CONFIGURAÇÃO'!$V$174&amp;""),"Escudo",IF(ISBLANK('CONFIGURAÇÃO'!$V$173),"",'CONFIGURAÇÃO'!$V$173&amp;""),"Uniforme",IF(ISBLANK('CONFIGURAÇÃO'!$V$173),"",'CONFIGURAÇÃO'!$V$173&amp;""),"Item comum",IF(ISBLANK('CONFIGURAÇÃO'!$V$170),"",'CONFIGURAÇÃO'!$V$170&amp;""),"Ferramenta amaldiçoada",IF(ISBLANK('CONFIGURAÇÃO'!$V$172),"",'CONFIGURAÇÃO'!$V$172&amp;""),"")</f>
        <v/>
      </c>
      <c r="C5659" s="198">
        <f>"'CONFIGURAÇÃO'!L316 'CONFIGURAÇÃO'!L315 'CONFIGURAÇÃO'!L315 'CONFIGURAÇÃO'!L312 'CONFIGURAÇÃO'!L314"</f>
        <v/>
      </c>
      <c r="D5659" s="198" t="inlineStr">
        <is>
          <t>configuração</t>
        </is>
      </c>
    </row>
    <row r="5660">
      <c r="A5660" s="198" t="inlineStr">
        <is>
          <t>custom.11.campo.propriedade_1</t>
        </is>
      </c>
      <c r="B5660" s="198">
        <f>SWITCH('CONFIGURAÇÃO'!$T$159,"Arma",IF(ISBLANK('CONFIGURAÇÃO'!$V$165),"",'CONFIGURAÇÃO'!$V$165&amp;""),"")</f>
        <v/>
      </c>
      <c r="C5660" s="198">
        <f>"'CONFIGURAÇÃO'!V165"</f>
        <v/>
      </c>
      <c r="D5660" s="198" t="inlineStr">
        <is>
          <t>configuração</t>
        </is>
      </c>
    </row>
    <row r="5661">
      <c r="A5661" s="198" t="inlineStr">
        <is>
          <t>custom.11.campo.propriedade_2</t>
        </is>
      </c>
      <c r="B5661" s="198">
        <f>SWITCH('CONFIGURAÇÃO'!$T$159,"Arma",IF(ISBLANK('CONFIGURAÇÃO'!$V$166),"",'CONFIGURAÇÃO'!$V$166&amp;""),"")</f>
        <v/>
      </c>
      <c r="C5661" s="198">
        <f>"'CONFIGURAÇÃO'!V166"</f>
        <v/>
      </c>
      <c r="D5661" s="198" t="inlineStr">
        <is>
          <t>configuração</t>
        </is>
      </c>
    </row>
    <row r="5662">
      <c r="A5662" s="198" t="inlineStr">
        <is>
          <t>custom.11.campo.propriedade_3</t>
        </is>
      </c>
      <c r="B5662" s="198">
        <f>SWITCH('CONFIGURAÇÃO'!$T$159,"Arma",IF(ISBLANK('CONFIGURAÇÃO'!$V$167),"",'CONFIGURAÇÃO'!$V$167&amp;""),"")</f>
        <v/>
      </c>
      <c r="C5662" s="198">
        <f>"'CONFIGURAÇÃO'!V167"</f>
        <v/>
      </c>
      <c r="D5662" s="198" t="inlineStr">
        <is>
          <t>configuração</t>
        </is>
      </c>
    </row>
    <row r="5663">
      <c r="A5663" s="198" t="inlineStr">
        <is>
          <t>custom.11.campo.propriedade_4</t>
        </is>
      </c>
      <c r="B5663" s="198">
        <f>SWITCH('CONFIGURAÇÃO'!$T$159,"Arma",IF(ISBLANK('CONFIGURAÇÃO'!$V$168),"",'CONFIGURAÇÃO'!$V$168&amp;""),"")</f>
        <v/>
      </c>
      <c r="C5663" s="198">
        <f>"'CONFIGURAÇÃO'!V168"</f>
        <v/>
      </c>
      <c r="D5663" s="198" t="inlineStr">
        <is>
          <t>configuração</t>
        </is>
      </c>
    </row>
    <row r="5664">
      <c r="A5664" s="198" t="inlineStr">
        <is>
          <t>custom.11.campo.protecao</t>
        </is>
      </c>
      <c r="B5664" s="198">
        <f>SWITCH('CONFIGURAÇÃO'!$T$159,"Escudo",IF(ISBLANK('CONFIGURAÇÃO'!$V$169),"",'CONFIGURAÇÃO'!$V$169&amp;""),"Uniforme",IF(ISBLANK('CONFIGURAÇÃO'!$V$169),"",'CONFIGURAÇÃO'!$V$169&amp;""),"")</f>
        <v/>
      </c>
      <c r="C5664" s="198">
        <f>"'CONFIGURAÇÃO'!L311 'CONFIGURAÇÃO'!L311"</f>
        <v/>
      </c>
      <c r="D5664" s="198" t="inlineStr">
        <is>
          <t>configuração</t>
        </is>
      </c>
    </row>
    <row r="5665">
      <c r="A5665" s="198" t="inlineStr">
        <is>
          <t>custom.11.campo.recarga</t>
        </is>
      </c>
      <c r="B5665" s="198">
        <f>SWITCH('CONFIGURAÇÃO'!$T$159,"Arma",IF(ISBLANK('CONFIGURAÇÃO'!$V$173),"",'CONFIGURAÇÃO'!$V$173&amp;""),"")</f>
        <v/>
      </c>
      <c r="C5665" s="198">
        <f>"'CONFIGURAÇÃO'!V173"</f>
        <v/>
      </c>
      <c r="D5665" s="198" t="inlineStr">
        <is>
          <t>configuração</t>
        </is>
      </c>
    </row>
    <row r="5666">
      <c r="A5666" s="198" t="inlineStr">
        <is>
          <t>custom.11.campo.rota</t>
        </is>
      </c>
      <c r="B5666" s="198">
        <f>SWITCH('CONFIGURAÇÃO'!$T$159,"Origem",IF(ISBLANK('CONFIGURAÇÃO'!$V$166),"",'CONFIGURAÇÃO'!$V$166&amp;""),"")</f>
        <v/>
      </c>
      <c r="C5666" s="198">
        <f>"'CONFIGURAÇÃO'!V166"</f>
        <v/>
      </c>
      <c r="D5666" s="198" t="inlineStr">
        <is>
          <t>configuração</t>
        </is>
      </c>
    </row>
    <row r="5667">
      <c r="A5667" s="198" t="inlineStr">
        <is>
          <t>custom.11.campo.talento_ce_4</t>
        </is>
      </c>
      <c r="B5667" s="198">
        <f>SWITCH('CONFIGURAÇÃO'!$T$159,"Origem",IF(ISBLANK('CONFIGURAÇÃO'!$V$169),"",'CONFIGURAÇÃO'!$V$169&amp;""),"")</f>
        <v/>
      </c>
      <c r="C5667" s="198">
        <f>"'CONFIGURAÇÃO'!V169"</f>
        <v/>
      </c>
      <c r="D5667" s="198" t="inlineStr">
        <is>
          <t>configuração</t>
        </is>
      </c>
    </row>
    <row r="5668">
      <c r="A5668" s="198" t="inlineStr">
        <is>
          <t>custom.11.campo.teto_de_destreza</t>
        </is>
      </c>
      <c r="B5668" s="198">
        <f>SWITCH('CONFIGURAÇÃO'!$T$159,"Escudo",IF(ISBLANK('CONFIGURAÇÃO'!$V$170),"",'CONFIGURAÇÃO'!$V$170&amp;""),"Uniforme",IF(ISBLANK('CONFIGURAÇÃO'!$V$170),"",'CONFIGURAÇÃO'!$V$170&amp;""),"")</f>
        <v/>
      </c>
      <c r="C5668" s="198">
        <f>"'CONFIGURAÇÃO'!L312 'CONFIGURAÇÃO'!L312"</f>
        <v/>
      </c>
      <c r="D5668" s="198" t="inlineStr">
        <is>
          <t>configuração</t>
        </is>
      </c>
    </row>
    <row r="5669">
      <c r="A5669" s="198" t="inlineStr">
        <is>
          <t>custom.11.campo.tipo_de_dano</t>
        </is>
      </c>
      <c r="B5669" s="198">
        <f>SWITCH('CONFIGURAÇÃO'!$T$159,"Arma",IF(ISBLANK('CONFIGURAÇÃO'!$V$164),"",'CONFIGURAÇÃO'!$V$164&amp;""),"")</f>
        <v/>
      </c>
      <c r="C5669" s="198">
        <f>"'CONFIGURAÇÃO'!V164"</f>
        <v/>
      </c>
      <c r="D5669" s="198" t="inlineStr">
        <is>
          <t>configuração</t>
        </is>
      </c>
    </row>
    <row r="5670">
      <c r="A5670" s="198" t="inlineStr">
        <is>
          <t>custom.11.campo.volume</t>
        </is>
      </c>
      <c r="B5670" s="198">
        <f>SWITCH('CONFIGURAÇÃO'!$T$159,"Arma",IF(ISBLANK('CONFIGURAÇÃO'!$V$171),"",'CONFIGURAÇÃO'!$V$171&amp;""),"Escudo",IF(ISBLANK('CONFIGURAÇÃO'!$V$172),"",'CONFIGURAÇÃO'!$V$172&amp;""),"Uniforme",IF(ISBLANK('CONFIGURAÇÃO'!$V$172),"",'CONFIGURAÇÃO'!$V$172&amp;""),"Item comum",IF(ISBLANK('CONFIGURAÇÃO'!$V$169),"",'CONFIGURAÇÃO'!$V$169&amp;""),"Ferramenta amaldiçoada",IF(ISBLANK('CONFIGURAÇÃO'!$V$171),"",'CONFIGURAÇÃO'!$V$171&amp;""),"")</f>
        <v/>
      </c>
      <c r="C5670" s="198">
        <f>"'CONFIGURAÇÃO'!L313 'CONFIGURAÇÃO'!L314 'CONFIGURAÇÃO'!L314 'CONFIGURAÇÃO'!L311 'CONFIGURAÇÃO'!L313"</f>
        <v/>
      </c>
      <c r="D5670" s="198" t="inlineStr">
        <is>
          <t>configuração</t>
        </is>
      </c>
    </row>
    <row r="5671">
      <c r="A5671" s="198" t="inlineStr">
        <is>
          <t>aviso.custom.11</t>
        </is>
      </c>
      <c r="B5671" s="198">
        <f>'DADOS_CUSTOM'!$S$12&amp;""</f>
        <v/>
      </c>
      <c r="C5671" s="198" t="inlineStr">
        <is>
          <t>DADOS_CUSTOM!S12</t>
        </is>
      </c>
      <c r="D5671" s="198" t="inlineStr">
        <is>
          <t>aviso</t>
        </is>
      </c>
    </row>
    <row r="5672">
      <c r="A5672" s="198" t="inlineStr">
        <is>
          <t>custom.12.tipo</t>
        </is>
      </c>
      <c r="B5672" s="198">
        <f>IF(ISBLANK('CONFIGURAÇÃO'!$AB$159),"",'CONFIGURAÇÃO'!$AB$159&amp;"")</f>
        <v/>
      </c>
      <c r="C5672" s="198">
        <f>"'CONFIGURAÇÃO'!AB159"</f>
        <v/>
      </c>
      <c r="D5672" s="198" t="inlineStr">
        <is>
          <t>configuração</t>
        </is>
      </c>
    </row>
    <row r="5673">
      <c r="A5673" s="198" t="inlineStr">
        <is>
          <t>custom.12.nome</t>
        </is>
      </c>
      <c r="B5673" s="198">
        <f>IF(ISBLANK('CONFIGURAÇÃO'!$AB$161),"",'CONFIGURAÇÃO'!$AB$161&amp;"")</f>
        <v/>
      </c>
      <c r="C5673" s="198">
        <f>"'CONFIGURAÇÃO'!AB161"</f>
        <v/>
      </c>
      <c r="D5673" s="198" t="inlineStr">
        <is>
          <t>configuração</t>
        </is>
      </c>
    </row>
    <row r="5674">
      <c r="A5674" s="198" t="inlineStr">
        <is>
          <t>custom.12.mestre_viu</t>
        </is>
      </c>
      <c r="B5674" s="198">
        <f>N('CONFIGURAÇÃO'!$AF$159)&amp;""</f>
        <v/>
      </c>
      <c r="C5674" s="198">
        <f>"'CONFIGURAÇÃO'!AF159"</f>
        <v/>
      </c>
      <c r="D5674" s="198" t="inlineStr">
        <is>
          <t>configuração</t>
        </is>
      </c>
    </row>
    <row r="5675">
      <c r="A5675" s="198" t="inlineStr">
        <is>
          <t>custom.12.efeito</t>
        </is>
      </c>
      <c r="B5675" s="198">
        <f>IF(ISBLANK('CONFIGURAÇÃO'!$AB$176),"",'CONFIGURAÇÃO'!$AB$176&amp;"")</f>
        <v/>
      </c>
      <c r="C5675" s="198">
        <f>"'CONFIGURAÇÃO'!AB176"</f>
        <v/>
      </c>
      <c r="D5675" s="198" t="inlineStr">
        <is>
          <t>configuração</t>
        </is>
      </c>
    </row>
    <row r="5676">
      <c r="A5676" s="198" t="inlineStr">
        <is>
          <t>custom.12.campo.alcance</t>
        </is>
      </c>
      <c r="B5676" s="198">
        <f>SWITCH('CONFIGURAÇÃO'!$AB$159,"Arma",IF(ISBLANK('CONFIGURAÇÃO'!$AD$172),"",'CONFIGURAÇÃO'!$AD$172&amp;""),"")</f>
        <v/>
      </c>
      <c r="C5676" s="198">
        <f>"'CONFIGURAÇÃO'!AD172"</f>
        <v/>
      </c>
      <c r="D5676" s="198" t="inlineStr">
        <is>
          <t>configuração</t>
        </is>
      </c>
    </row>
    <row r="5677">
      <c r="A5677" s="198" t="inlineStr">
        <is>
          <t>custom.12.campo.base</t>
        </is>
      </c>
      <c r="B5677" s="198">
        <f>SWITCH('CONFIGURAÇÃO'!$AB$159,"Ferramenta amaldiçoada",IF(ISBLANK('CONFIGURAÇÃO'!$AD$162),"",'CONFIGURAÇÃO'!$AD$162&amp;""),"")</f>
        <v/>
      </c>
      <c r="C5677" s="198">
        <f>"'CONFIGURAÇÃO'!AD162"</f>
        <v/>
      </c>
      <c r="D5677" s="198" t="inlineStr">
        <is>
          <t>configuração</t>
        </is>
      </c>
    </row>
    <row r="5678">
      <c r="A5678" s="198" t="inlineStr">
        <is>
          <t>custom.12.campo.base_do_livro</t>
        </is>
      </c>
      <c r="B5678" s="198">
        <f>SWITCH('CONFIGURAÇÃO'!$AB$159,"Origem",IF(ISBLANK('CONFIGURAÇÃO'!$AD$167),"",'CONFIGURAÇÃO'!$AD$167&amp;""),"")</f>
        <v/>
      </c>
      <c r="C5678" s="198">
        <f>"'CONFIGURAÇÃO'!AD167"</f>
        <v/>
      </c>
      <c r="D5678" s="198" t="inlineStr">
        <is>
          <t>configuração</t>
        </is>
      </c>
    </row>
    <row r="5679">
      <c r="A5679" s="198" t="inlineStr">
        <is>
          <t>custom.12.campo.categoria</t>
        </is>
      </c>
      <c r="B5679" s="198">
        <f>SWITCH('CONFIGURAÇÃO'!$AB$159,"Arma",IF(ISBLANK('CONFIGURAÇÃO'!$AD$162),"",'CONFIGURAÇÃO'!$AD$162&amp;""),"")</f>
        <v/>
      </c>
      <c r="C5679" s="198">
        <f>"'CONFIGURAÇÃO'!AD162"</f>
        <v/>
      </c>
      <c r="D5679" s="198" t="inlineStr">
        <is>
          <t>configuração</t>
        </is>
      </c>
    </row>
    <row r="5680">
      <c r="A5680" s="198" t="inlineStr">
        <is>
          <t>custom.12.campo.dado</t>
        </is>
      </c>
      <c r="B5680" s="198">
        <f>SWITCH('CONFIGURAÇÃO'!$AB$159,"Arma",IF(ISBLANK('CONFIGURAÇÃO'!$AD$169),"",'CONFIGURAÇÃO'!$AD$169&amp;""),"")</f>
        <v/>
      </c>
      <c r="C5680" s="198">
        <f>"'CONFIGURAÇÃO'!AD169"</f>
        <v/>
      </c>
      <c r="D5680" s="198" t="inlineStr">
        <is>
          <t>configuração</t>
        </is>
      </c>
    </row>
    <row r="5681">
      <c r="A5681" s="198" t="inlineStr">
        <is>
          <t>custom.12.campo.desgaste</t>
        </is>
      </c>
      <c r="B5681" s="198">
        <f>SWITCH('CONFIGURAÇÃO'!$AB$159,"Ferramenta amaldiçoada",IF(ISBLANK('CONFIGURAÇÃO'!$AD$170),"",'CONFIGURAÇÃO'!$AD$170&amp;""),"")</f>
        <v/>
      </c>
      <c r="C5681" s="198">
        <f>"'CONFIGURAÇÃO'!AD170"</f>
        <v/>
      </c>
      <c r="D5681" s="198" t="inlineStr">
        <is>
          <t>configuração</t>
        </is>
      </c>
    </row>
    <row r="5682">
      <c r="A5682" s="198" t="inlineStr">
        <is>
          <t>custom.12.campo.estigma</t>
        </is>
      </c>
      <c r="B5682" s="198">
        <f>SWITCH('CONFIGURAÇÃO'!$AB$159,"Ferramenta amaldiçoada",IF(ISBLANK('CONFIGURAÇÃO'!$AD$169),"",'CONFIGURAÇÃO'!$AD$169&amp;""),"")</f>
        <v/>
      </c>
      <c r="C5682" s="198">
        <f>"'CONFIGURAÇÃO'!AD169"</f>
        <v/>
      </c>
      <c r="D5682" s="198" t="inlineStr">
        <is>
          <t>configuração</t>
        </is>
      </c>
    </row>
    <row r="5683">
      <c r="A5683" s="198" t="inlineStr">
        <is>
          <t>custom.12.campo.exige_marcante</t>
        </is>
      </c>
      <c r="B5683" s="198">
        <f>SWITCH('CONFIGURAÇÃO'!$AB$159,"Menor",IF(ISBLANK('CONFIGURAÇÃO'!$AD$163),"",'CONFIGURAÇÃO'!$AD$163&amp;""),"")</f>
        <v/>
      </c>
      <c r="C5683" s="198">
        <f>"'CONFIGURAÇÃO'!AD163"</f>
        <v/>
      </c>
      <c r="D5683" s="198" t="inlineStr">
        <is>
          <t>configuração</t>
        </is>
      </c>
    </row>
    <row r="5684">
      <c r="A5684" s="198" t="inlineStr">
        <is>
          <t>custom.12.campo.forca</t>
        </is>
      </c>
      <c r="B5684" s="198">
        <f>SWITCH('CONFIGURAÇÃO'!$AB$159,"Arma",IF(ISBLANK('CONFIGURAÇÃO'!$AD$170),"",'CONFIGURAÇÃO'!$AD$170&amp;""),"Escudo",IF(ISBLANK('CONFIGURAÇÃO'!$AD$171),"",'CONFIGURAÇÃO'!$AD$171&amp;""),"Uniforme",IF(ISBLANK('CONFIGURAÇÃO'!$AD$171),"",'CONFIGURAÇÃO'!$AD$171&amp;""),"")</f>
        <v/>
      </c>
      <c r="C5684" s="198">
        <f>"'CONFIGURAÇÃO'!L341 'CONFIGURAÇÃO'!L342 'CONFIGURAÇÃO'!L342"</f>
        <v/>
      </c>
      <c r="D5684" s="198" t="inlineStr">
        <is>
          <t>configuração</t>
        </is>
      </c>
    </row>
    <row r="5685">
      <c r="A5685" s="198" t="inlineStr">
        <is>
          <t>custom.12.campo.frequencia</t>
        </is>
      </c>
      <c r="B5685" s="198">
        <f>SWITCH('CONFIGURAÇÃO'!$AB$159,"Marcante",IF(ISBLANK('CONFIGURAÇÃO'!$AD$169),"",'CONFIGURAÇÃO'!$AD$169&amp;""),"Menor",IF(ISBLANK('CONFIGURAÇÃO'!$AD$169),"",'CONFIGURAÇÃO'!$AD$169&amp;""),"")</f>
        <v/>
      </c>
      <c r="C5685" s="198">
        <f>"'CONFIGURAÇÃO'!L340 'CONFIGURAÇÃO'!L340"</f>
        <v/>
      </c>
      <c r="D5685" s="198" t="inlineStr">
        <is>
          <t>configuração</t>
        </is>
      </c>
    </row>
    <row r="5686">
      <c r="A5686" s="198" t="inlineStr">
        <is>
          <t>custom.12.campo.grau</t>
        </is>
      </c>
      <c r="B5686" s="198">
        <f>SWITCH('CONFIGURAÇÃO'!$AB$159,"Ferramenta amaldiçoada",IF(ISBLANK('CONFIGURAÇÃO'!$AD$163),"",'CONFIGURAÇÃO'!$AD$163&amp;""),"")</f>
        <v/>
      </c>
      <c r="C5686" s="198">
        <f>"'CONFIGURAÇÃO'!AD163"</f>
        <v/>
      </c>
      <c r="D5686" s="198" t="inlineStr">
        <is>
          <t>configuração</t>
        </is>
      </c>
    </row>
    <row r="5687">
      <c r="A5687" s="198" t="inlineStr">
        <is>
          <t>custom.12.campo.grau_minimo</t>
        </is>
      </c>
      <c r="B5687" s="198">
        <f>SWITCH('CONFIGURAÇÃO'!$AB$159,"Uniforme",IF(ISBLANK('CONFIGURAÇÃO'!$AD$162),"",'CONFIGURAÇÃO'!$AD$162&amp;""),"")</f>
        <v/>
      </c>
      <c r="C5687" s="198">
        <f>"'CONFIGURAÇÃO'!AD162"</f>
        <v/>
      </c>
      <c r="D5687" s="198" t="inlineStr">
        <is>
          <t>configuração</t>
        </is>
      </c>
    </row>
    <row r="5688">
      <c r="A5688" s="198" t="inlineStr">
        <is>
          <t>custom.12.campo.mao</t>
        </is>
      </c>
      <c r="B5688" s="198">
        <f>SWITCH('CONFIGURAÇÃO'!$AB$159,"Arma",IF(ISBLANK('CONFIGURAÇÃO'!$AD$163),"",'CONFIGURAÇÃO'!$AD$163&amp;""),"")</f>
        <v/>
      </c>
      <c r="C5688" s="198">
        <f>"'CONFIGURAÇÃO'!AD163"</f>
        <v/>
      </c>
      <c r="D5688" s="198" t="inlineStr">
        <is>
          <t>configuração</t>
        </is>
      </c>
    </row>
    <row r="5689">
      <c r="A5689" s="198" t="inlineStr">
        <is>
          <t>custom.12.campo.oficio</t>
        </is>
      </c>
      <c r="B5689" s="198">
        <f>SWITCH('CONFIGURAÇÃO'!$AB$159,"Origem",IF(ISBLANK('CONFIGURAÇÃO'!$AD$168),"",'CONFIGURAÇÃO'!$AD$168&amp;""),"")</f>
        <v/>
      </c>
      <c r="C5689" s="198">
        <f>"'CONFIGURAÇÃO'!AD168"</f>
        <v/>
      </c>
      <c r="D5689" s="198" t="inlineStr">
        <is>
          <t>configuração</t>
        </is>
      </c>
    </row>
    <row r="5690">
      <c r="A5690" s="198" t="inlineStr">
        <is>
          <t>custom.12.campo.origem</t>
        </is>
      </c>
      <c r="B5690" s="198">
        <f>SWITCH('CONFIGURAÇÃO'!$AB$159,"Marcante",IF(ISBLANK('CONFIGURAÇÃO'!$AD$162),"",'CONFIGURAÇÃO'!$AD$162&amp;""),"Menor",IF(ISBLANK('CONFIGURAÇÃO'!$AD$162),"",'CONFIGURAÇÃO'!$AD$162&amp;""),"")</f>
        <v/>
      </c>
      <c r="C5690" s="198">
        <f>"'CONFIGURAÇÃO'!L333 'CONFIGURAÇÃO'!L333"</f>
        <v/>
      </c>
      <c r="D5690" s="198" t="inlineStr">
        <is>
          <t>configuração</t>
        </is>
      </c>
    </row>
    <row r="5691">
      <c r="A5691" s="198" t="inlineStr">
        <is>
          <t>custom.12.campo.pericia_1</t>
        </is>
      </c>
      <c r="B5691" s="198">
        <f>SWITCH('CONFIGURAÇÃO'!$AB$159,"Origem",IF(ISBLANK('CONFIGURAÇÃO'!$AD$162),"",'CONFIGURAÇÃO'!$AD$162&amp;""),"")</f>
        <v/>
      </c>
      <c r="C5691" s="198">
        <f>"'CONFIGURAÇÃO'!AD162"</f>
        <v/>
      </c>
      <c r="D5691" s="198" t="inlineStr">
        <is>
          <t>configuração</t>
        </is>
      </c>
    </row>
    <row r="5692">
      <c r="A5692" s="198" t="inlineStr">
        <is>
          <t>custom.12.campo.pericia_2</t>
        </is>
      </c>
      <c r="B5692" s="198">
        <f>SWITCH('CONFIGURAÇÃO'!$AB$159,"Origem",IF(ISBLANK('CONFIGURAÇÃO'!$AD$163),"",'CONFIGURAÇÃO'!$AD$163&amp;""),"")</f>
        <v/>
      </c>
      <c r="C5692" s="198">
        <f>"'CONFIGURAÇÃO'!AD163"</f>
        <v/>
      </c>
      <c r="D5692" s="198" t="inlineStr">
        <is>
          <t>configuração</t>
        </is>
      </c>
    </row>
    <row r="5693">
      <c r="A5693" s="198" t="inlineStr">
        <is>
          <t>custom.12.campo.pericia_3</t>
        </is>
      </c>
      <c r="B5693" s="198">
        <f>SWITCH('CONFIGURAÇÃO'!$AB$159,"Origem",IF(ISBLANK('CONFIGURAÇÃO'!$AD$164),"",'CONFIGURAÇÃO'!$AD$164&amp;""),"")</f>
        <v/>
      </c>
      <c r="C5693" s="198">
        <f>"'CONFIGURAÇÃO'!AD164"</f>
        <v/>
      </c>
      <c r="D5693" s="198" t="inlineStr">
        <is>
          <t>configuração</t>
        </is>
      </c>
    </row>
    <row r="5694">
      <c r="A5694" s="198" t="inlineStr">
        <is>
          <t>custom.12.campo.pericia_4</t>
        </is>
      </c>
      <c r="B5694" s="198">
        <f>SWITCH('CONFIGURAÇÃO'!$AB$159,"Origem",IF(ISBLANK('CONFIGURAÇÃO'!$AD$165),"",'CONFIGURAÇÃO'!$AD$165&amp;""),"")</f>
        <v/>
      </c>
      <c r="C5694" s="198">
        <f>"'CONFIGURAÇÃO'!AD165"</f>
        <v/>
      </c>
      <c r="D5694" s="198" t="inlineStr">
        <is>
          <t>configuração</t>
        </is>
      </c>
    </row>
    <row r="5695">
      <c r="A5695" s="198" t="inlineStr">
        <is>
          <t>custom.12.campo.preco</t>
        </is>
      </c>
      <c r="B5695" s="198">
        <f>SWITCH('CONFIGURAÇÃO'!$AB$159,"Arma",IF(ISBLANK('CONFIGURAÇÃO'!$AD$174),"",'CONFIGURAÇÃO'!$AD$174&amp;""),"Escudo",IF(ISBLANK('CONFIGURAÇÃO'!$AD$173),"",'CONFIGURAÇÃO'!$AD$173&amp;""),"Uniforme",IF(ISBLANK('CONFIGURAÇÃO'!$AD$173),"",'CONFIGURAÇÃO'!$AD$173&amp;""),"Item comum",IF(ISBLANK('CONFIGURAÇÃO'!$AD$170),"",'CONFIGURAÇÃO'!$AD$170&amp;""),"Ferramenta amaldiçoada",IF(ISBLANK('CONFIGURAÇÃO'!$AD$172),"",'CONFIGURAÇÃO'!$AD$172&amp;""),"")</f>
        <v/>
      </c>
      <c r="C5695" s="198">
        <f>"'CONFIGURAÇÃO'!L345 'CONFIGURAÇÃO'!L344 'CONFIGURAÇÃO'!L344 'CONFIGURAÇÃO'!L341 'CONFIGURAÇÃO'!L343"</f>
        <v/>
      </c>
      <c r="D5695" s="198" t="inlineStr">
        <is>
          <t>configuração</t>
        </is>
      </c>
    </row>
    <row r="5696">
      <c r="A5696" s="198" t="inlineStr">
        <is>
          <t>custom.12.campo.propriedade_1</t>
        </is>
      </c>
      <c r="B5696" s="198">
        <f>SWITCH('CONFIGURAÇÃO'!$AB$159,"Arma",IF(ISBLANK('CONFIGURAÇÃO'!$AD$165),"",'CONFIGURAÇÃO'!$AD$165&amp;""),"")</f>
        <v/>
      </c>
      <c r="C5696" s="198">
        <f>"'CONFIGURAÇÃO'!AD165"</f>
        <v/>
      </c>
      <c r="D5696" s="198" t="inlineStr">
        <is>
          <t>configuração</t>
        </is>
      </c>
    </row>
    <row r="5697">
      <c r="A5697" s="198" t="inlineStr">
        <is>
          <t>custom.12.campo.propriedade_2</t>
        </is>
      </c>
      <c r="B5697" s="198">
        <f>SWITCH('CONFIGURAÇÃO'!$AB$159,"Arma",IF(ISBLANK('CONFIGURAÇÃO'!$AD$166),"",'CONFIGURAÇÃO'!$AD$166&amp;""),"")</f>
        <v/>
      </c>
      <c r="C5697" s="198">
        <f>"'CONFIGURAÇÃO'!AD166"</f>
        <v/>
      </c>
      <c r="D5697" s="198" t="inlineStr">
        <is>
          <t>configuração</t>
        </is>
      </c>
    </row>
    <row r="5698">
      <c r="A5698" s="198" t="inlineStr">
        <is>
          <t>custom.12.campo.propriedade_3</t>
        </is>
      </c>
      <c r="B5698" s="198">
        <f>SWITCH('CONFIGURAÇÃO'!$AB$159,"Arma",IF(ISBLANK('CONFIGURAÇÃO'!$AD$167),"",'CONFIGURAÇÃO'!$AD$167&amp;""),"")</f>
        <v/>
      </c>
      <c r="C5698" s="198">
        <f>"'CONFIGURAÇÃO'!AD167"</f>
        <v/>
      </c>
      <c r="D5698" s="198" t="inlineStr">
        <is>
          <t>configuração</t>
        </is>
      </c>
    </row>
    <row r="5699">
      <c r="A5699" s="198" t="inlineStr">
        <is>
          <t>custom.12.campo.propriedade_4</t>
        </is>
      </c>
      <c r="B5699" s="198">
        <f>SWITCH('CONFIGURAÇÃO'!$AB$159,"Arma",IF(ISBLANK('CONFIGURAÇÃO'!$AD$168),"",'CONFIGURAÇÃO'!$AD$168&amp;""),"")</f>
        <v/>
      </c>
      <c r="C5699" s="198">
        <f>"'CONFIGURAÇÃO'!AD168"</f>
        <v/>
      </c>
      <c r="D5699" s="198" t="inlineStr">
        <is>
          <t>configuração</t>
        </is>
      </c>
    </row>
    <row r="5700">
      <c r="A5700" s="198" t="inlineStr">
        <is>
          <t>custom.12.campo.protecao</t>
        </is>
      </c>
      <c r="B5700" s="198">
        <f>SWITCH('CONFIGURAÇÃO'!$AB$159,"Escudo",IF(ISBLANK('CONFIGURAÇÃO'!$AD$169),"",'CONFIGURAÇÃO'!$AD$169&amp;""),"Uniforme",IF(ISBLANK('CONFIGURAÇÃO'!$AD$169),"",'CONFIGURAÇÃO'!$AD$169&amp;""),"")</f>
        <v/>
      </c>
      <c r="C5700" s="198">
        <f>"'CONFIGURAÇÃO'!L340 'CONFIGURAÇÃO'!L340"</f>
        <v/>
      </c>
      <c r="D5700" s="198" t="inlineStr">
        <is>
          <t>configuração</t>
        </is>
      </c>
    </row>
    <row r="5701">
      <c r="A5701" s="198" t="inlineStr">
        <is>
          <t>custom.12.campo.recarga</t>
        </is>
      </c>
      <c r="B5701" s="198">
        <f>SWITCH('CONFIGURAÇÃO'!$AB$159,"Arma",IF(ISBLANK('CONFIGURAÇÃO'!$AD$173),"",'CONFIGURAÇÃO'!$AD$173&amp;""),"")</f>
        <v/>
      </c>
      <c r="C5701" s="198">
        <f>"'CONFIGURAÇÃO'!AD173"</f>
        <v/>
      </c>
      <c r="D5701" s="198" t="inlineStr">
        <is>
          <t>configuração</t>
        </is>
      </c>
    </row>
    <row r="5702">
      <c r="A5702" s="198" t="inlineStr">
        <is>
          <t>custom.12.campo.rota</t>
        </is>
      </c>
      <c r="B5702" s="198">
        <f>SWITCH('CONFIGURAÇÃO'!$AB$159,"Origem",IF(ISBLANK('CONFIGURAÇÃO'!$AD$166),"",'CONFIGURAÇÃO'!$AD$166&amp;""),"")</f>
        <v/>
      </c>
      <c r="C5702" s="198">
        <f>"'CONFIGURAÇÃO'!AD166"</f>
        <v/>
      </c>
      <c r="D5702" s="198" t="inlineStr">
        <is>
          <t>configuração</t>
        </is>
      </c>
    </row>
    <row r="5703">
      <c r="A5703" s="198" t="inlineStr">
        <is>
          <t>custom.12.campo.talento_ce_4</t>
        </is>
      </c>
      <c r="B5703" s="198">
        <f>SWITCH('CONFIGURAÇÃO'!$AB$159,"Origem",IF(ISBLANK('CONFIGURAÇÃO'!$AD$169),"",'CONFIGURAÇÃO'!$AD$169&amp;""),"")</f>
        <v/>
      </c>
      <c r="C5703" s="198">
        <f>"'CONFIGURAÇÃO'!AD169"</f>
        <v/>
      </c>
      <c r="D5703" s="198" t="inlineStr">
        <is>
          <t>configuração</t>
        </is>
      </c>
    </row>
    <row r="5704">
      <c r="A5704" s="198" t="inlineStr">
        <is>
          <t>custom.12.campo.teto_de_destreza</t>
        </is>
      </c>
      <c r="B5704" s="198">
        <f>SWITCH('CONFIGURAÇÃO'!$AB$159,"Escudo",IF(ISBLANK('CONFIGURAÇÃO'!$AD$170),"",'CONFIGURAÇÃO'!$AD$170&amp;""),"Uniforme",IF(ISBLANK('CONFIGURAÇÃO'!$AD$170),"",'CONFIGURAÇÃO'!$AD$170&amp;""),"")</f>
        <v/>
      </c>
      <c r="C5704" s="198">
        <f>"'CONFIGURAÇÃO'!L341 'CONFIGURAÇÃO'!L341"</f>
        <v/>
      </c>
      <c r="D5704" s="198" t="inlineStr">
        <is>
          <t>configuração</t>
        </is>
      </c>
    </row>
    <row r="5705">
      <c r="A5705" s="198" t="inlineStr">
        <is>
          <t>custom.12.campo.tipo_de_dano</t>
        </is>
      </c>
      <c r="B5705" s="198">
        <f>SWITCH('CONFIGURAÇÃO'!$AB$159,"Arma",IF(ISBLANK('CONFIGURAÇÃO'!$AD$164),"",'CONFIGURAÇÃO'!$AD$164&amp;""),"")</f>
        <v/>
      </c>
      <c r="C5705" s="198">
        <f>"'CONFIGURAÇÃO'!AD164"</f>
        <v/>
      </c>
      <c r="D5705" s="198" t="inlineStr">
        <is>
          <t>configuração</t>
        </is>
      </c>
    </row>
    <row r="5706">
      <c r="A5706" s="198" t="inlineStr">
        <is>
          <t>custom.12.campo.volume</t>
        </is>
      </c>
      <c r="B5706" s="198">
        <f>SWITCH('CONFIGURAÇÃO'!$AB$159,"Arma",IF(ISBLANK('CONFIGURAÇÃO'!$AD$171),"",'CONFIGURAÇÃO'!$AD$171&amp;""),"Escudo",IF(ISBLANK('CONFIGURAÇÃO'!$AD$172),"",'CONFIGURAÇÃO'!$AD$172&amp;""),"Uniforme",IF(ISBLANK('CONFIGURAÇÃO'!$AD$172),"",'CONFIGURAÇÃO'!$AD$172&amp;""),"Item comum",IF(ISBLANK('CONFIGURAÇÃO'!$AD$169),"",'CONFIGURAÇÃO'!$AD$169&amp;""),"Ferramenta amaldiçoada",IF(ISBLANK('CONFIGURAÇÃO'!$AD$171),"",'CONFIGURAÇÃO'!$AD$171&amp;""),"")</f>
        <v/>
      </c>
      <c r="C5706" s="198">
        <f>"'CONFIGURAÇÃO'!L342 'CONFIGURAÇÃO'!L343 'CONFIGURAÇÃO'!L343 'CONFIGURAÇÃO'!L340 'CONFIGURAÇÃO'!L342"</f>
        <v/>
      </c>
      <c r="D5706" s="198" t="inlineStr">
        <is>
          <t>configuração</t>
        </is>
      </c>
    </row>
    <row r="5707">
      <c r="A5707" s="198" t="inlineStr">
        <is>
          <t>aviso.custom.12</t>
        </is>
      </c>
      <c r="B5707" s="198">
        <f>'DADOS_CUSTOM'!$S$13&amp;""</f>
        <v/>
      </c>
      <c r="C5707" s="198" t="inlineStr">
        <is>
          <t>DADOS_CUSTOM!S13</t>
        </is>
      </c>
      <c r="D5707" s="198" t="inlineStr">
        <is>
          <t>aviso</t>
        </is>
      </c>
    </row>
    <row r="5708">
      <c r="A5708" s="198" t="inlineStr">
        <is>
          <t>custom.13.tipo</t>
        </is>
      </c>
      <c r="B5708" s="198">
        <f>IF(ISBLANK('CONFIGURAÇÃO'!$T$188),"",'CONFIGURAÇÃO'!$T$188&amp;"")</f>
        <v/>
      </c>
      <c r="C5708" s="198">
        <f>"'CONFIGURAÇÃO'!T188"</f>
        <v/>
      </c>
      <c r="D5708" s="198" t="inlineStr">
        <is>
          <t>configuração</t>
        </is>
      </c>
    </row>
    <row r="5709">
      <c r="A5709" s="198" t="inlineStr">
        <is>
          <t>custom.13.nome</t>
        </is>
      </c>
      <c r="B5709" s="198">
        <f>IF(ISBLANK('CONFIGURAÇÃO'!$T$190),"",'CONFIGURAÇÃO'!$T$190&amp;"")</f>
        <v/>
      </c>
      <c r="C5709" s="198">
        <f>"'CONFIGURAÇÃO'!T190"</f>
        <v/>
      </c>
      <c r="D5709" s="198" t="inlineStr">
        <is>
          <t>configuração</t>
        </is>
      </c>
    </row>
    <row r="5710">
      <c r="A5710" s="198" t="inlineStr">
        <is>
          <t>custom.13.mestre_viu</t>
        </is>
      </c>
      <c r="B5710" s="198">
        <f>N('CONFIGURAÇÃO'!$X$188)&amp;""</f>
        <v/>
      </c>
      <c r="C5710" s="198">
        <f>"'CONFIGURAÇÃO'!X188"</f>
        <v/>
      </c>
      <c r="D5710" s="198" t="inlineStr">
        <is>
          <t>configuração</t>
        </is>
      </c>
    </row>
    <row r="5711">
      <c r="A5711" s="198" t="inlineStr">
        <is>
          <t>custom.13.efeito</t>
        </is>
      </c>
      <c r="B5711" s="198">
        <f>IF(ISBLANK('CONFIGURAÇÃO'!$T$205),"",'CONFIGURAÇÃO'!$T$205&amp;"")</f>
        <v/>
      </c>
      <c r="C5711" s="198">
        <f>"'CONFIGURAÇÃO'!T205"</f>
        <v/>
      </c>
      <c r="D5711" s="198" t="inlineStr">
        <is>
          <t>configuração</t>
        </is>
      </c>
    </row>
    <row r="5712">
      <c r="A5712" s="198" t="inlineStr">
        <is>
          <t>custom.13.campo.alcance</t>
        </is>
      </c>
      <c r="B5712" s="198">
        <f>SWITCH('CONFIGURAÇÃO'!$T$188,"Arma",IF(ISBLANK('CONFIGURAÇÃO'!$V$201),"",'CONFIGURAÇÃO'!$V$201&amp;""),"")</f>
        <v/>
      </c>
      <c r="C5712" s="198">
        <f>"'CONFIGURAÇÃO'!V201"</f>
        <v/>
      </c>
      <c r="D5712" s="198" t="inlineStr">
        <is>
          <t>configuração</t>
        </is>
      </c>
    </row>
    <row r="5713">
      <c r="A5713" s="198" t="inlineStr">
        <is>
          <t>custom.13.campo.base</t>
        </is>
      </c>
      <c r="B5713" s="198">
        <f>SWITCH('CONFIGURAÇÃO'!$T$188,"Ferramenta amaldiçoada",IF(ISBLANK('CONFIGURAÇÃO'!$V$191),"",'CONFIGURAÇÃO'!$V$191&amp;""),"")</f>
        <v/>
      </c>
      <c r="C5713" s="198">
        <f>"'CONFIGURAÇÃO'!V191"</f>
        <v/>
      </c>
      <c r="D5713" s="198" t="inlineStr">
        <is>
          <t>configuração</t>
        </is>
      </c>
    </row>
    <row r="5714">
      <c r="A5714" s="198" t="inlineStr">
        <is>
          <t>custom.13.campo.base_do_livro</t>
        </is>
      </c>
      <c r="B5714" s="198">
        <f>SWITCH('CONFIGURAÇÃO'!$T$188,"Origem",IF(ISBLANK('CONFIGURAÇÃO'!$V$196),"",'CONFIGURAÇÃO'!$V$196&amp;""),"")</f>
        <v/>
      </c>
      <c r="C5714" s="198">
        <f>"'CONFIGURAÇÃO'!V196"</f>
        <v/>
      </c>
      <c r="D5714" s="198" t="inlineStr">
        <is>
          <t>configuração</t>
        </is>
      </c>
    </row>
    <row r="5715">
      <c r="A5715" s="198" t="inlineStr">
        <is>
          <t>custom.13.campo.categoria</t>
        </is>
      </c>
      <c r="B5715" s="198">
        <f>SWITCH('CONFIGURAÇÃO'!$T$188,"Arma",IF(ISBLANK('CONFIGURAÇÃO'!$V$191),"",'CONFIGURAÇÃO'!$V$191&amp;""),"")</f>
        <v/>
      </c>
      <c r="C5715" s="198">
        <f>"'CONFIGURAÇÃO'!V191"</f>
        <v/>
      </c>
      <c r="D5715" s="198" t="inlineStr">
        <is>
          <t>configuração</t>
        </is>
      </c>
    </row>
    <row r="5716">
      <c r="A5716" s="198" t="inlineStr">
        <is>
          <t>custom.13.campo.dado</t>
        </is>
      </c>
      <c r="B5716" s="198">
        <f>SWITCH('CONFIGURAÇÃO'!$T$188,"Arma",IF(ISBLANK('CONFIGURAÇÃO'!$V$198),"",'CONFIGURAÇÃO'!$V$198&amp;""),"")</f>
        <v/>
      </c>
      <c r="C5716" s="198">
        <f>"'CONFIGURAÇÃO'!V198"</f>
        <v/>
      </c>
      <c r="D5716" s="198" t="inlineStr">
        <is>
          <t>configuração</t>
        </is>
      </c>
    </row>
    <row r="5717">
      <c r="A5717" s="198" t="inlineStr">
        <is>
          <t>custom.13.campo.desgaste</t>
        </is>
      </c>
      <c r="B5717" s="198">
        <f>SWITCH('CONFIGURAÇÃO'!$T$188,"Ferramenta amaldiçoada",IF(ISBLANK('CONFIGURAÇÃO'!$V$199),"",'CONFIGURAÇÃO'!$V$199&amp;""),"")</f>
        <v/>
      </c>
      <c r="C5717" s="198">
        <f>"'CONFIGURAÇÃO'!V199"</f>
        <v/>
      </c>
      <c r="D5717" s="198" t="inlineStr">
        <is>
          <t>configuração</t>
        </is>
      </c>
    </row>
    <row r="5718">
      <c r="A5718" s="198" t="inlineStr">
        <is>
          <t>custom.13.campo.estigma</t>
        </is>
      </c>
      <c r="B5718" s="198">
        <f>SWITCH('CONFIGURAÇÃO'!$T$188,"Ferramenta amaldiçoada",IF(ISBLANK('CONFIGURAÇÃO'!$V$198),"",'CONFIGURAÇÃO'!$V$198&amp;""),"")</f>
        <v/>
      </c>
      <c r="C5718" s="198">
        <f>"'CONFIGURAÇÃO'!V198"</f>
        <v/>
      </c>
      <c r="D5718" s="198" t="inlineStr">
        <is>
          <t>configuração</t>
        </is>
      </c>
    </row>
    <row r="5719">
      <c r="A5719" s="198" t="inlineStr">
        <is>
          <t>custom.13.campo.exige_marcante</t>
        </is>
      </c>
      <c r="B5719" s="198">
        <f>SWITCH('CONFIGURAÇÃO'!$T$188,"Menor",IF(ISBLANK('CONFIGURAÇÃO'!$V$192),"",'CONFIGURAÇÃO'!$V$192&amp;""),"")</f>
        <v/>
      </c>
      <c r="C5719" s="198">
        <f>"'CONFIGURAÇÃO'!V192"</f>
        <v/>
      </c>
      <c r="D5719" s="198" t="inlineStr">
        <is>
          <t>configuração</t>
        </is>
      </c>
    </row>
    <row r="5720">
      <c r="A5720" s="198" t="inlineStr">
        <is>
          <t>custom.13.campo.forca</t>
        </is>
      </c>
      <c r="B5720" s="198">
        <f>SWITCH('CONFIGURAÇÃO'!$T$188,"Arma",IF(ISBLANK('CONFIGURAÇÃO'!$V$199),"",'CONFIGURAÇÃO'!$V$199&amp;""),"Escudo",IF(ISBLANK('CONFIGURAÇÃO'!$V$200),"",'CONFIGURAÇÃO'!$V$200&amp;""),"Uniforme",IF(ISBLANK('CONFIGURAÇÃO'!$V$200),"",'CONFIGURAÇÃO'!$V$200&amp;""),"")</f>
        <v/>
      </c>
      <c r="C5720" s="198">
        <f>"'CONFIGURAÇÃO'!L370 'CONFIGURAÇÃO'!L371 'CONFIGURAÇÃO'!L371"</f>
        <v/>
      </c>
      <c r="D5720" s="198" t="inlineStr">
        <is>
          <t>configuração</t>
        </is>
      </c>
    </row>
    <row r="5721">
      <c r="A5721" s="198" t="inlineStr">
        <is>
          <t>custom.13.campo.frequencia</t>
        </is>
      </c>
      <c r="B5721" s="198">
        <f>SWITCH('CONFIGURAÇÃO'!$T$188,"Marcante",IF(ISBLANK('CONFIGURAÇÃO'!$V$198),"",'CONFIGURAÇÃO'!$V$198&amp;""),"Menor",IF(ISBLANK('CONFIGURAÇÃO'!$V$198),"",'CONFIGURAÇÃO'!$V$198&amp;""),"")</f>
        <v/>
      </c>
      <c r="C5721" s="198">
        <f>"'CONFIGURAÇÃO'!L369 'CONFIGURAÇÃO'!L369"</f>
        <v/>
      </c>
      <c r="D5721" s="198" t="inlineStr">
        <is>
          <t>configuração</t>
        </is>
      </c>
    </row>
    <row r="5722">
      <c r="A5722" s="198" t="inlineStr">
        <is>
          <t>custom.13.campo.grau</t>
        </is>
      </c>
      <c r="B5722" s="198">
        <f>SWITCH('CONFIGURAÇÃO'!$T$188,"Ferramenta amaldiçoada",IF(ISBLANK('CONFIGURAÇÃO'!$V$192),"",'CONFIGURAÇÃO'!$V$192&amp;""),"")</f>
        <v/>
      </c>
      <c r="C5722" s="198">
        <f>"'CONFIGURAÇÃO'!V192"</f>
        <v/>
      </c>
      <c r="D5722" s="198" t="inlineStr">
        <is>
          <t>configuração</t>
        </is>
      </c>
    </row>
    <row r="5723">
      <c r="A5723" s="198" t="inlineStr">
        <is>
          <t>custom.13.campo.grau_minimo</t>
        </is>
      </c>
      <c r="B5723" s="198">
        <f>SWITCH('CONFIGURAÇÃO'!$T$188,"Uniforme",IF(ISBLANK('CONFIGURAÇÃO'!$V$191),"",'CONFIGURAÇÃO'!$V$191&amp;""),"")</f>
        <v/>
      </c>
      <c r="C5723" s="198">
        <f>"'CONFIGURAÇÃO'!V191"</f>
        <v/>
      </c>
      <c r="D5723" s="198" t="inlineStr">
        <is>
          <t>configuração</t>
        </is>
      </c>
    </row>
    <row r="5724">
      <c r="A5724" s="198" t="inlineStr">
        <is>
          <t>custom.13.campo.mao</t>
        </is>
      </c>
      <c r="B5724" s="198">
        <f>SWITCH('CONFIGURAÇÃO'!$T$188,"Arma",IF(ISBLANK('CONFIGURAÇÃO'!$V$192),"",'CONFIGURAÇÃO'!$V$192&amp;""),"")</f>
        <v/>
      </c>
      <c r="C5724" s="198">
        <f>"'CONFIGURAÇÃO'!V192"</f>
        <v/>
      </c>
      <c r="D5724" s="198" t="inlineStr">
        <is>
          <t>configuração</t>
        </is>
      </c>
    </row>
    <row r="5725">
      <c r="A5725" s="198" t="inlineStr">
        <is>
          <t>custom.13.campo.oficio</t>
        </is>
      </c>
      <c r="B5725" s="198">
        <f>SWITCH('CONFIGURAÇÃO'!$T$188,"Origem",IF(ISBLANK('CONFIGURAÇÃO'!$V$197),"",'CONFIGURAÇÃO'!$V$197&amp;""),"")</f>
        <v/>
      </c>
      <c r="C5725" s="198">
        <f>"'CONFIGURAÇÃO'!V197"</f>
        <v/>
      </c>
      <c r="D5725" s="198" t="inlineStr">
        <is>
          <t>configuração</t>
        </is>
      </c>
    </row>
    <row r="5726">
      <c r="A5726" s="198" t="inlineStr">
        <is>
          <t>custom.13.campo.origem</t>
        </is>
      </c>
      <c r="B5726" s="198">
        <f>SWITCH('CONFIGURAÇÃO'!$T$188,"Marcante",IF(ISBLANK('CONFIGURAÇÃO'!$V$191),"",'CONFIGURAÇÃO'!$V$191&amp;""),"Menor",IF(ISBLANK('CONFIGURAÇÃO'!$V$191),"",'CONFIGURAÇÃO'!$V$191&amp;""),"")</f>
        <v/>
      </c>
      <c r="C5726" s="198">
        <f>"'CONFIGURAÇÃO'!L362 'CONFIGURAÇÃO'!L362"</f>
        <v/>
      </c>
      <c r="D5726" s="198" t="inlineStr">
        <is>
          <t>configuração</t>
        </is>
      </c>
    </row>
    <row r="5727">
      <c r="A5727" s="198" t="inlineStr">
        <is>
          <t>custom.13.campo.pericia_1</t>
        </is>
      </c>
      <c r="B5727" s="198">
        <f>SWITCH('CONFIGURAÇÃO'!$T$188,"Origem",IF(ISBLANK('CONFIGURAÇÃO'!$V$191),"",'CONFIGURAÇÃO'!$V$191&amp;""),"")</f>
        <v/>
      </c>
      <c r="C5727" s="198">
        <f>"'CONFIGURAÇÃO'!V191"</f>
        <v/>
      </c>
      <c r="D5727" s="198" t="inlineStr">
        <is>
          <t>configuração</t>
        </is>
      </c>
    </row>
    <row r="5728">
      <c r="A5728" s="198" t="inlineStr">
        <is>
          <t>custom.13.campo.pericia_2</t>
        </is>
      </c>
      <c r="B5728" s="198">
        <f>SWITCH('CONFIGURAÇÃO'!$T$188,"Origem",IF(ISBLANK('CONFIGURAÇÃO'!$V$192),"",'CONFIGURAÇÃO'!$V$192&amp;""),"")</f>
        <v/>
      </c>
      <c r="C5728" s="198">
        <f>"'CONFIGURAÇÃO'!V192"</f>
        <v/>
      </c>
      <c r="D5728" s="198" t="inlineStr">
        <is>
          <t>configuração</t>
        </is>
      </c>
    </row>
    <row r="5729">
      <c r="A5729" s="198" t="inlineStr">
        <is>
          <t>custom.13.campo.pericia_3</t>
        </is>
      </c>
      <c r="B5729" s="198">
        <f>SWITCH('CONFIGURAÇÃO'!$T$188,"Origem",IF(ISBLANK('CONFIGURAÇÃO'!$V$193),"",'CONFIGURAÇÃO'!$V$193&amp;""),"")</f>
        <v/>
      </c>
      <c r="C5729" s="198">
        <f>"'CONFIGURAÇÃO'!V193"</f>
        <v/>
      </c>
      <c r="D5729" s="198" t="inlineStr">
        <is>
          <t>configuração</t>
        </is>
      </c>
    </row>
    <row r="5730">
      <c r="A5730" s="198" t="inlineStr">
        <is>
          <t>custom.13.campo.pericia_4</t>
        </is>
      </c>
      <c r="B5730" s="198">
        <f>SWITCH('CONFIGURAÇÃO'!$T$188,"Origem",IF(ISBLANK('CONFIGURAÇÃO'!$V$194),"",'CONFIGURAÇÃO'!$V$194&amp;""),"")</f>
        <v/>
      </c>
      <c r="C5730" s="198">
        <f>"'CONFIGURAÇÃO'!V194"</f>
        <v/>
      </c>
      <c r="D5730" s="198" t="inlineStr">
        <is>
          <t>configuração</t>
        </is>
      </c>
    </row>
    <row r="5731">
      <c r="A5731" s="198" t="inlineStr">
        <is>
          <t>custom.13.campo.preco</t>
        </is>
      </c>
      <c r="B5731" s="198">
        <f>SWITCH('CONFIGURAÇÃO'!$T$188,"Arma",IF(ISBLANK('CONFIGURAÇÃO'!$V$203),"",'CONFIGURAÇÃO'!$V$203&amp;""),"Escudo",IF(ISBLANK('CONFIGURAÇÃO'!$V$202),"",'CONFIGURAÇÃO'!$V$202&amp;""),"Uniforme",IF(ISBLANK('CONFIGURAÇÃO'!$V$202),"",'CONFIGURAÇÃO'!$V$202&amp;""),"Item comum",IF(ISBLANK('CONFIGURAÇÃO'!$V$199),"",'CONFIGURAÇÃO'!$V$199&amp;""),"Ferramenta amaldiçoada",IF(ISBLANK('CONFIGURAÇÃO'!$V$201),"",'CONFIGURAÇÃO'!$V$201&amp;""),"")</f>
        <v/>
      </c>
      <c r="C5731" s="198">
        <f>"'CONFIGURAÇÃO'!L374 'CONFIGURAÇÃO'!L373 'CONFIGURAÇÃO'!L373 'CONFIGURAÇÃO'!L370 'CONFIGURAÇÃO'!L372"</f>
        <v/>
      </c>
      <c r="D5731" s="198" t="inlineStr">
        <is>
          <t>configuração</t>
        </is>
      </c>
    </row>
    <row r="5732">
      <c r="A5732" s="198" t="inlineStr">
        <is>
          <t>custom.13.campo.propriedade_1</t>
        </is>
      </c>
      <c r="B5732" s="198">
        <f>SWITCH('CONFIGURAÇÃO'!$T$188,"Arma",IF(ISBLANK('CONFIGURAÇÃO'!$V$194),"",'CONFIGURAÇÃO'!$V$194&amp;""),"")</f>
        <v/>
      </c>
      <c r="C5732" s="198">
        <f>"'CONFIGURAÇÃO'!V194"</f>
        <v/>
      </c>
      <c r="D5732" s="198" t="inlineStr">
        <is>
          <t>configuração</t>
        </is>
      </c>
    </row>
    <row r="5733">
      <c r="A5733" s="198" t="inlineStr">
        <is>
          <t>custom.13.campo.propriedade_2</t>
        </is>
      </c>
      <c r="B5733" s="198">
        <f>SWITCH('CONFIGURAÇÃO'!$T$188,"Arma",IF(ISBLANK('CONFIGURAÇÃO'!$V$195),"",'CONFIGURAÇÃO'!$V$195&amp;""),"")</f>
        <v/>
      </c>
      <c r="C5733" s="198">
        <f>"'CONFIGURAÇÃO'!V195"</f>
        <v/>
      </c>
      <c r="D5733" s="198" t="inlineStr">
        <is>
          <t>configuração</t>
        </is>
      </c>
    </row>
    <row r="5734">
      <c r="A5734" s="198" t="inlineStr">
        <is>
          <t>custom.13.campo.propriedade_3</t>
        </is>
      </c>
      <c r="B5734" s="198">
        <f>SWITCH('CONFIGURAÇÃO'!$T$188,"Arma",IF(ISBLANK('CONFIGURAÇÃO'!$V$196),"",'CONFIGURAÇÃO'!$V$196&amp;""),"")</f>
        <v/>
      </c>
      <c r="C5734" s="198">
        <f>"'CONFIGURAÇÃO'!V196"</f>
        <v/>
      </c>
      <c r="D5734" s="198" t="inlineStr">
        <is>
          <t>configuração</t>
        </is>
      </c>
    </row>
    <row r="5735">
      <c r="A5735" s="198" t="inlineStr">
        <is>
          <t>custom.13.campo.propriedade_4</t>
        </is>
      </c>
      <c r="B5735" s="198">
        <f>SWITCH('CONFIGURAÇÃO'!$T$188,"Arma",IF(ISBLANK('CONFIGURAÇÃO'!$V$197),"",'CONFIGURAÇÃO'!$V$197&amp;""),"")</f>
        <v/>
      </c>
      <c r="C5735" s="198">
        <f>"'CONFIGURAÇÃO'!V197"</f>
        <v/>
      </c>
      <c r="D5735" s="198" t="inlineStr">
        <is>
          <t>configuração</t>
        </is>
      </c>
    </row>
    <row r="5736">
      <c r="A5736" s="198" t="inlineStr">
        <is>
          <t>custom.13.campo.protecao</t>
        </is>
      </c>
      <c r="B5736" s="198">
        <f>SWITCH('CONFIGURAÇÃO'!$T$188,"Escudo",IF(ISBLANK('CONFIGURAÇÃO'!$V$198),"",'CONFIGURAÇÃO'!$V$198&amp;""),"Uniforme",IF(ISBLANK('CONFIGURAÇÃO'!$V$198),"",'CONFIGURAÇÃO'!$V$198&amp;""),"")</f>
        <v/>
      </c>
      <c r="C5736" s="198">
        <f>"'CONFIGURAÇÃO'!L369 'CONFIGURAÇÃO'!L369"</f>
        <v/>
      </c>
      <c r="D5736" s="198" t="inlineStr">
        <is>
          <t>configuração</t>
        </is>
      </c>
    </row>
    <row r="5737">
      <c r="A5737" s="198" t="inlineStr">
        <is>
          <t>custom.13.campo.recarga</t>
        </is>
      </c>
      <c r="B5737" s="198">
        <f>SWITCH('CONFIGURAÇÃO'!$T$188,"Arma",IF(ISBLANK('CONFIGURAÇÃO'!$V$202),"",'CONFIGURAÇÃO'!$V$202&amp;""),"")</f>
        <v/>
      </c>
      <c r="C5737" s="198">
        <f>"'CONFIGURAÇÃO'!V202"</f>
        <v/>
      </c>
      <c r="D5737" s="198" t="inlineStr">
        <is>
          <t>configuração</t>
        </is>
      </c>
    </row>
    <row r="5738">
      <c r="A5738" s="198" t="inlineStr">
        <is>
          <t>custom.13.campo.rota</t>
        </is>
      </c>
      <c r="B5738" s="198">
        <f>SWITCH('CONFIGURAÇÃO'!$T$188,"Origem",IF(ISBLANK('CONFIGURAÇÃO'!$V$195),"",'CONFIGURAÇÃO'!$V$195&amp;""),"")</f>
        <v/>
      </c>
      <c r="C5738" s="198">
        <f>"'CONFIGURAÇÃO'!V195"</f>
        <v/>
      </c>
      <c r="D5738" s="198" t="inlineStr">
        <is>
          <t>configuração</t>
        </is>
      </c>
    </row>
    <row r="5739">
      <c r="A5739" s="198" t="inlineStr">
        <is>
          <t>custom.13.campo.talento_ce_4</t>
        </is>
      </c>
      <c r="B5739" s="198">
        <f>SWITCH('CONFIGURAÇÃO'!$T$188,"Origem",IF(ISBLANK('CONFIGURAÇÃO'!$V$198),"",'CONFIGURAÇÃO'!$V$198&amp;""),"")</f>
        <v/>
      </c>
      <c r="C5739" s="198">
        <f>"'CONFIGURAÇÃO'!V198"</f>
        <v/>
      </c>
      <c r="D5739" s="198" t="inlineStr">
        <is>
          <t>configuração</t>
        </is>
      </c>
    </row>
    <row r="5740">
      <c r="A5740" s="198" t="inlineStr">
        <is>
          <t>custom.13.campo.teto_de_destreza</t>
        </is>
      </c>
      <c r="B5740" s="198">
        <f>SWITCH('CONFIGURAÇÃO'!$T$188,"Escudo",IF(ISBLANK('CONFIGURAÇÃO'!$V$199),"",'CONFIGURAÇÃO'!$V$199&amp;""),"Uniforme",IF(ISBLANK('CONFIGURAÇÃO'!$V$199),"",'CONFIGURAÇÃO'!$V$199&amp;""),"")</f>
        <v/>
      </c>
      <c r="C5740" s="198">
        <f>"'CONFIGURAÇÃO'!L370 'CONFIGURAÇÃO'!L370"</f>
        <v/>
      </c>
      <c r="D5740" s="198" t="inlineStr">
        <is>
          <t>configuração</t>
        </is>
      </c>
    </row>
    <row r="5741">
      <c r="A5741" s="198" t="inlineStr">
        <is>
          <t>custom.13.campo.tipo_de_dano</t>
        </is>
      </c>
      <c r="B5741" s="198">
        <f>SWITCH('CONFIGURAÇÃO'!$T$188,"Arma",IF(ISBLANK('CONFIGURAÇÃO'!$V$193),"",'CONFIGURAÇÃO'!$V$193&amp;""),"")</f>
        <v/>
      </c>
      <c r="C5741" s="198">
        <f>"'CONFIGURAÇÃO'!V193"</f>
        <v/>
      </c>
      <c r="D5741" s="198" t="inlineStr">
        <is>
          <t>configuração</t>
        </is>
      </c>
    </row>
    <row r="5742">
      <c r="A5742" s="198" t="inlineStr">
        <is>
          <t>custom.13.campo.volume</t>
        </is>
      </c>
      <c r="B5742" s="198">
        <f>SWITCH('CONFIGURAÇÃO'!$T$188,"Arma",IF(ISBLANK('CONFIGURAÇÃO'!$V$200),"",'CONFIGURAÇÃO'!$V$200&amp;""),"Escudo",IF(ISBLANK('CONFIGURAÇÃO'!$V$201),"",'CONFIGURAÇÃO'!$V$201&amp;""),"Uniforme",IF(ISBLANK('CONFIGURAÇÃO'!$V$201),"",'CONFIGURAÇÃO'!$V$201&amp;""),"Item comum",IF(ISBLANK('CONFIGURAÇÃO'!$V$198),"",'CONFIGURAÇÃO'!$V$198&amp;""),"Ferramenta amaldiçoada",IF(ISBLANK('CONFIGURAÇÃO'!$V$200),"",'CONFIGURAÇÃO'!$V$200&amp;""),"")</f>
        <v/>
      </c>
      <c r="C5742" s="198">
        <f>"'CONFIGURAÇÃO'!L371 'CONFIGURAÇÃO'!L372 'CONFIGURAÇÃO'!L372 'CONFIGURAÇÃO'!L369 'CONFIGURAÇÃO'!L371"</f>
        <v/>
      </c>
      <c r="D5742" s="198" t="inlineStr">
        <is>
          <t>configuração</t>
        </is>
      </c>
    </row>
    <row r="5743">
      <c r="A5743" s="198" t="inlineStr">
        <is>
          <t>aviso.custom.13</t>
        </is>
      </c>
      <c r="B5743" s="198">
        <f>'DADOS_CUSTOM'!$S$14&amp;""</f>
        <v/>
      </c>
      <c r="C5743" s="198" t="inlineStr">
        <is>
          <t>DADOS_CUSTOM!S14</t>
        </is>
      </c>
      <c r="D5743" s="198" t="inlineStr">
        <is>
          <t>aviso</t>
        </is>
      </c>
    </row>
    <row r="5744">
      <c r="A5744" s="198" t="inlineStr">
        <is>
          <t>custom.14.tipo</t>
        </is>
      </c>
      <c r="B5744" s="198">
        <f>IF(ISBLANK('CONFIGURAÇÃO'!$AB$188),"",'CONFIGURAÇÃO'!$AB$188&amp;"")</f>
        <v/>
      </c>
      <c r="C5744" s="198">
        <f>"'CONFIGURAÇÃO'!AB188"</f>
        <v/>
      </c>
      <c r="D5744" s="198" t="inlineStr">
        <is>
          <t>configuração</t>
        </is>
      </c>
    </row>
    <row r="5745">
      <c r="A5745" s="198" t="inlineStr">
        <is>
          <t>custom.14.nome</t>
        </is>
      </c>
      <c r="B5745" s="198">
        <f>IF(ISBLANK('CONFIGURAÇÃO'!$AB$190),"",'CONFIGURAÇÃO'!$AB$190&amp;"")</f>
        <v/>
      </c>
      <c r="C5745" s="198">
        <f>"'CONFIGURAÇÃO'!AB190"</f>
        <v/>
      </c>
      <c r="D5745" s="198" t="inlineStr">
        <is>
          <t>configuração</t>
        </is>
      </c>
    </row>
    <row r="5746">
      <c r="A5746" s="198" t="inlineStr">
        <is>
          <t>custom.14.mestre_viu</t>
        </is>
      </c>
      <c r="B5746" s="198">
        <f>N('CONFIGURAÇÃO'!$AF$188)&amp;""</f>
        <v/>
      </c>
      <c r="C5746" s="198">
        <f>"'CONFIGURAÇÃO'!AF188"</f>
        <v/>
      </c>
      <c r="D5746" s="198" t="inlineStr">
        <is>
          <t>configuração</t>
        </is>
      </c>
    </row>
    <row r="5747">
      <c r="A5747" s="198" t="inlineStr">
        <is>
          <t>custom.14.efeito</t>
        </is>
      </c>
      <c r="B5747" s="198">
        <f>IF(ISBLANK('CONFIGURAÇÃO'!$AB$205),"",'CONFIGURAÇÃO'!$AB$205&amp;"")</f>
        <v/>
      </c>
      <c r="C5747" s="198">
        <f>"'CONFIGURAÇÃO'!AB205"</f>
        <v/>
      </c>
      <c r="D5747" s="198" t="inlineStr">
        <is>
          <t>configuração</t>
        </is>
      </c>
    </row>
    <row r="5748">
      <c r="A5748" s="198" t="inlineStr">
        <is>
          <t>custom.14.campo.alcance</t>
        </is>
      </c>
      <c r="B5748" s="198">
        <f>SWITCH('CONFIGURAÇÃO'!$AB$188,"Arma",IF(ISBLANK('CONFIGURAÇÃO'!$AD$201),"",'CONFIGURAÇÃO'!$AD$201&amp;""),"")</f>
        <v/>
      </c>
      <c r="C5748" s="198">
        <f>"'CONFIGURAÇÃO'!AD201"</f>
        <v/>
      </c>
      <c r="D5748" s="198" t="inlineStr">
        <is>
          <t>configuração</t>
        </is>
      </c>
    </row>
    <row r="5749">
      <c r="A5749" s="198" t="inlineStr">
        <is>
          <t>custom.14.campo.base</t>
        </is>
      </c>
      <c r="B5749" s="198">
        <f>SWITCH('CONFIGURAÇÃO'!$AB$188,"Ferramenta amaldiçoada",IF(ISBLANK('CONFIGURAÇÃO'!$AD$191),"",'CONFIGURAÇÃO'!$AD$191&amp;""),"")</f>
        <v/>
      </c>
      <c r="C5749" s="198">
        <f>"'CONFIGURAÇÃO'!AD191"</f>
        <v/>
      </c>
      <c r="D5749" s="198" t="inlineStr">
        <is>
          <t>configuração</t>
        </is>
      </c>
    </row>
    <row r="5750">
      <c r="A5750" s="198" t="inlineStr">
        <is>
          <t>custom.14.campo.base_do_livro</t>
        </is>
      </c>
      <c r="B5750" s="198">
        <f>SWITCH('CONFIGURAÇÃO'!$AB$188,"Origem",IF(ISBLANK('CONFIGURAÇÃO'!$AD$196),"",'CONFIGURAÇÃO'!$AD$196&amp;""),"")</f>
        <v/>
      </c>
      <c r="C5750" s="198">
        <f>"'CONFIGURAÇÃO'!AD196"</f>
        <v/>
      </c>
      <c r="D5750" s="198" t="inlineStr">
        <is>
          <t>configuração</t>
        </is>
      </c>
    </row>
    <row r="5751">
      <c r="A5751" s="198" t="inlineStr">
        <is>
          <t>custom.14.campo.categoria</t>
        </is>
      </c>
      <c r="B5751" s="198">
        <f>SWITCH('CONFIGURAÇÃO'!$AB$188,"Arma",IF(ISBLANK('CONFIGURAÇÃO'!$AD$191),"",'CONFIGURAÇÃO'!$AD$191&amp;""),"")</f>
        <v/>
      </c>
      <c r="C5751" s="198">
        <f>"'CONFIGURAÇÃO'!AD191"</f>
        <v/>
      </c>
      <c r="D5751" s="198" t="inlineStr">
        <is>
          <t>configuração</t>
        </is>
      </c>
    </row>
    <row r="5752">
      <c r="A5752" s="198" t="inlineStr">
        <is>
          <t>custom.14.campo.dado</t>
        </is>
      </c>
      <c r="B5752" s="198">
        <f>SWITCH('CONFIGURAÇÃO'!$AB$188,"Arma",IF(ISBLANK('CONFIGURAÇÃO'!$AD$198),"",'CONFIGURAÇÃO'!$AD$198&amp;""),"")</f>
        <v/>
      </c>
      <c r="C5752" s="198">
        <f>"'CONFIGURAÇÃO'!AD198"</f>
        <v/>
      </c>
      <c r="D5752" s="198" t="inlineStr">
        <is>
          <t>configuração</t>
        </is>
      </c>
    </row>
    <row r="5753">
      <c r="A5753" s="198" t="inlineStr">
        <is>
          <t>custom.14.campo.desgaste</t>
        </is>
      </c>
      <c r="B5753" s="198">
        <f>SWITCH('CONFIGURAÇÃO'!$AB$188,"Ferramenta amaldiçoada",IF(ISBLANK('CONFIGURAÇÃO'!$AD$199),"",'CONFIGURAÇÃO'!$AD$199&amp;""),"")</f>
        <v/>
      </c>
      <c r="C5753" s="198">
        <f>"'CONFIGURAÇÃO'!AD199"</f>
        <v/>
      </c>
      <c r="D5753" s="198" t="inlineStr">
        <is>
          <t>configuração</t>
        </is>
      </c>
    </row>
    <row r="5754">
      <c r="A5754" s="198" t="inlineStr">
        <is>
          <t>custom.14.campo.estigma</t>
        </is>
      </c>
      <c r="B5754" s="198">
        <f>SWITCH('CONFIGURAÇÃO'!$AB$188,"Ferramenta amaldiçoada",IF(ISBLANK('CONFIGURAÇÃO'!$AD$198),"",'CONFIGURAÇÃO'!$AD$198&amp;""),"")</f>
        <v/>
      </c>
      <c r="C5754" s="198">
        <f>"'CONFIGURAÇÃO'!AD198"</f>
        <v/>
      </c>
      <c r="D5754" s="198" t="inlineStr">
        <is>
          <t>configuração</t>
        </is>
      </c>
    </row>
    <row r="5755">
      <c r="A5755" s="198" t="inlineStr">
        <is>
          <t>custom.14.campo.exige_marcante</t>
        </is>
      </c>
      <c r="B5755" s="198">
        <f>SWITCH('CONFIGURAÇÃO'!$AB$188,"Menor",IF(ISBLANK('CONFIGURAÇÃO'!$AD$192),"",'CONFIGURAÇÃO'!$AD$192&amp;""),"")</f>
        <v/>
      </c>
      <c r="C5755" s="198">
        <f>"'CONFIGURAÇÃO'!AD192"</f>
        <v/>
      </c>
      <c r="D5755" s="198" t="inlineStr">
        <is>
          <t>configuração</t>
        </is>
      </c>
    </row>
    <row r="5756">
      <c r="A5756" s="198" t="inlineStr">
        <is>
          <t>custom.14.campo.forca</t>
        </is>
      </c>
      <c r="B5756" s="198">
        <f>SWITCH('CONFIGURAÇÃO'!$AB$188,"Arma",IF(ISBLANK('CONFIGURAÇÃO'!$AD$199),"",'CONFIGURAÇÃO'!$AD$199&amp;""),"Escudo",IF(ISBLANK('CONFIGURAÇÃO'!$AD$200),"",'CONFIGURAÇÃO'!$AD$200&amp;""),"Uniforme",IF(ISBLANK('CONFIGURAÇÃO'!$AD$200),"",'CONFIGURAÇÃO'!$AD$200&amp;""),"")</f>
        <v/>
      </c>
      <c r="C5756" s="198">
        <f>"'CONFIGURAÇÃO'!L399 'CONFIGURAÇÃO'!L400 'CONFIGURAÇÃO'!L400"</f>
        <v/>
      </c>
      <c r="D5756" s="198" t="inlineStr">
        <is>
          <t>configuração</t>
        </is>
      </c>
    </row>
    <row r="5757">
      <c r="A5757" s="198" t="inlineStr">
        <is>
          <t>custom.14.campo.frequencia</t>
        </is>
      </c>
      <c r="B5757" s="198">
        <f>SWITCH('CONFIGURAÇÃO'!$AB$188,"Marcante",IF(ISBLANK('CONFIGURAÇÃO'!$AD$198),"",'CONFIGURAÇÃO'!$AD$198&amp;""),"Menor",IF(ISBLANK('CONFIGURAÇÃO'!$AD$198),"",'CONFIGURAÇÃO'!$AD$198&amp;""),"")</f>
        <v/>
      </c>
      <c r="C5757" s="198">
        <f>"'CONFIGURAÇÃO'!L398 'CONFIGURAÇÃO'!L398"</f>
        <v/>
      </c>
      <c r="D5757" s="198" t="inlineStr">
        <is>
          <t>configuração</t>
        </is>
      </c>
    </row>
    <row r="5758">
      <c r="A5758" s="198" t="inlineStr">
        <is>
          <t>custom.14.campo.grau</t>
        </is>
      </c>
      <c r="B5758" s="198">
        <f>SWITCH('CONFIGURAÇÃO'!$AB$188,"Ferramenta amaldiçoada",IF(ISBLANK('CONFIGURAÇÃO'!$AD$192),"",'CONFIGURAÇÃO'!$AD$192&amp;""),"")</f>
        <v/>
      </c>
      <c r="C5758" s="198">
        <f>"'CONFIGURAÇÃO'!AD192"</f>
        <v/>
      </c>
      <c r="D5758" s="198" t="inlineStr">
        <is>
          <t>configuração</t>
        </is>
      </c>
    </row>
    <row r="5759">
      <c r="A5759" s="198" t="inlineStr">
        <is>
          <t>custom.14.campo.grau_minimo</t>
        </is>
      </c>
      <c r="B5759" s="198">
        <f>SWITCH('CONFIGURAÇÃO'!$AB$188,"Uniforme",IF(ISBLANK('CONFIGURAÇÃO'!$AD$191),"",'CONFIGURAÇÃO'!$AD$191&amp;""),"")</f>
        <v/>
      </c>
      <c r="C5759" s="198">
        <f>"'CONFIGURAÇÃO'!AD191"</f>
        <v/>
      </c>
      <c r="D5759" s="198" t="inlineStr">
        <is>
          <t>configuração</t>
        </is>
      </c>
    </row>
    <row r="5760">
      <c r="A5760" s="198" t="inlineStr">
        <is>
          <t>custom.14.campo.mao</t>
        </is>
      </c>
      <c r="B5760" s="198">
        <f>SWITCH('CONFIGURAÇÃO'!$AB$188,"Arma",IF(ISBLANK('CONFIGURAÇÃO'!$AD$192),"",'CONFIGURAÇÃO'!$AD$192&amp;""),"")</f>
        <v/>
      </c>
      <c r="C5760" s="198">
        <f>"'CONFIGURAÇÃO'!AD192"</f>
        <v/>
      </c>
      <c r="D5760" s="198" t="inlineStr">
        <is>
          <t>configuração</t>
        </is>
      </c>
    </row>
    <row r="5761">
      <c r="A5761" s="198" t="inlineStr">
        <is>
          <t>custom.14.campo.oficio</t>
        </is>
      </c>
      <c r="B5761" s="198">
        <f>SWITCH('CONFIGURAÇÃO'!$AB$188,"Origem",IF(ISBLANK('CONFIGURAÇÃO'!$AD$197),"",'CONFIGURAÇÃO'!$AD$197&amp;""),"")</f>
        <v/>
      </c>
      <c r="C5761" s="198">
        <f>"'CONFIGURAÇÃO'!AD197"</f>
        <v/>
      </c>
      <c r="D5761" s="198" t="inlineStr">
        <is>
          <t>configuração</t>
        </is>
      </c>
    </row>
    <row r="5762">
      <c r="A5762" s="198" t="inlineStr">
        <is>
          <t>custom.14.campo.origem</t>
        </is>
      </c>
      <c r="B5762" s="198">
        <f>SWITCH('CONFIGURAÇÃO'!$AB$188,"Marcante",IF(ISBLANK('CONFIGURAÇÃO'!$AD$191),"",'CONFIGURAÇÃO'!$AD$191&amp;""),"Menor",IF(ISBLANK('CONFIGURAÇÃO'!$AD$191),"",'CONFIGURAÇÃO'!$AD$191&amp;""),"")</f>
        <v/>
      </c>
      <c r="C5762" s="198">
        <f>"'CONFIGURAÇÃO'!L391 'CONFIGURAÇÃO'!L391"</f>
        <v/>
      </c>
      <c r="D5762" s="198" t="inlineStr">
        <is>
          <t>configuração</t>
        </is>
      </c>
    </row>
    <row r="5763">
      <c r="A5763" s="198" t="inlineStr">
        <is>
          <t>custom.14.campo.pericia_1</t>
        </is>
      </c>
      <c r="B5763" s="198">
        <f>SWITCH('CONFIGURAÇÃO'!$AB$188,"Origem",IF(ISBLANK('CONFIGURAÇÃO'!$AD$191),"",'CONFIGURAÇÃO'!$AD$191&amp;""),"")</f>
        <v/>
      </c>
      <c r="C5763" s="198">
        <f>"'CONFIGURAÇÃO'!AD191"</f>
        <v/>
      </c>
      <c r="D5763" s="198" t="inlineStr">
        <is>
          <t>configuração</t>
        </is>
      </c>
    </row>
    <row r="5764">
      <c r="A5764" s="198" t="inlineStr">
        <is>
          <t>custom.14.campo.pericia_2</t>
        </is>
      </c>
      <c r="B5764" s="198">
        <f>SWITCH('CONFIGURAÇÃO'!$AB$188,"Origem",IF(ISBLANK('CONFIGURAÇÃO'!$AD$192),"",'CONFIGURAÇÃO'!$AD$192&amp;""),"")</f>
        <v/>
      </c>
      <c r="C5764" s="198">
        <f>"'CONFIGURAÇÃO'!AD192"</f>
        <v/>
      </c>
      <c r="D5764" s="198" t="inlineStr">
        <is>
          <t>configuração</t>
        </is>
      </c>
    </row>
    <row r="5765">
      <c r="A5765" s="198" t="inlineStr">
        <is>
          <t>custom.14.campo.pericia_3</t>
        </is>
      </c>
      <c r="B5765" s="198">
        <f>SWITCH('CONFIGURAÇÃO'!$AB$188,"Origem",IF(ISBLANK('CONFIGURAÇÃO'!$AD$193),"",'CONFIGURAÇÃO'!$AD$193&amp;""),"")</f>
        <v/>
      </c>
      <c r="C5765" s="198">
        <f>"'CONFIGURAÇÃO'!AD193"</f>
        <v/>
      </c>
      <c r="D5765" s="198" t="inlineStr">
        <is>
          <t>configuração</t>
        </is>
      </c>
    </row>
    <row r="5766">
      <c r="A5766" s="198" t="inlineStr">
        <is>
          <t>custom.14.campo.pericia_4</t>
        </is>
      </c>
      <c r="B5766" s="198">
        <f>SWITCH('CONFIGURAÇÃO'!$AB$188,"Origem",IF(ISBLANK('CONFIGURAÇÃO'!$AD$194),"",'CONFIGURAÇÃO'!$AD$194&amp;""),"")</f>
        <v/>
      </c>
      <c r="C5766" s="198">
        <f>"'CONFIGURAÇÃO'!AD194"</f>
        <v/>
      </c>
      <c r="D5766" s="198" t="inlineStr">
        <is>
          <t>configuração</t>
        </is>
      </c>
    </row>
    <row r="5767">
      <c r="A5767" s="198" t="inlineStr">
        <is>
          <t>custom.14.campo.preco</t>
        </is>
      </c>
      <c r="B5767" s="198">
        <f>SWITCH('CONFIGURAÇÃO'!$AB$188,"Arma",IF(ISBLANK('CONFIGURAÇÃO'!$AD$203),"",'CONFIGURAÇÃO'!$AD$203&amp;""),"Escudo",IF(ISBLANK('CONFIGURAÇÃO'!$AD$202),"",'CONFIGURAÇÃO'!$AD$202&amp;""),"Uniforme",IF(ISBLANK('CONFIGURAÇÃO'!$AD$202),"",'CONFIGURAÇÃO'!$AD$202&amp;""),"Item comum",IF(ISBLANK('CONFIGURAÇÃO'!$AD$199),"",'CONFIGURAÇÃO'!$AD$199&amp;""),"Ferramenta amaldiçoada",IF(ISBLANK('CONFIGURAÇÃO'!$AD$201),"",'CONFIGURAÇÃO'!$AD$201&amp;""),"")</f>
        <v/>
      </c>
      <c r="C5767" s="198">
        <f>"'CONFIGURAÇÃO'!L403 'CONFIGURAÇÃO'!L402 'CONFIGURAÇÃO'!L402 'CONFIGURAÇÃO'!L399 'CONFIGURAÇÃO'!L401"</f>
        <v/>
      </c>
      <c r="D5767" s="198" t="inlineStr">
        <is>
          <t>configuração</t>
        </is>
      </c>
    </row>
    <row r="5768">
      <c r="A5768" s="198" t="inlineStr">
        <is>
          <t>custom.14.campo.propriedade_1</t>
        </is>
      </c>
      <c r="B5768" s="198">
        <f>SWITCH('CONFIGURAÇÃO'!$AB$188,"Arma",IF(ISBLANK('CONFIGURAÇÃO'!$AD$194),"",'CONFIGURAÇÃO'!$AD$194&amp;""),"")</f>
        <v/>
      </c>
      <c r="C5768" s="198">
        <f>"'CONFIGURAÇÃO'!AD194"</f>
        <v/>
      </c>
      <c r="D5768" s="198" t="inlineStr">
        <is>
          <t>configuração</t>
        </is>
      </c>
    </row>
    <row r="5769">
      <c r="A5769" s="198" t="inlineStr">
        <is>
          <t>custom.14.campo.propriedade_2</t>
        </is>
      </c>
      <c r="B5769" s="198">
        <f>SWITCH('CONFIGURAÇÃO'!$AB$188,"Arma",IF(ISBLANK('CONFIGURAÇÃO'!$AD$195),"",'CONFIGURAÇÃO'!$AD$195&amp;""),"")</f>
        <v/>
      </c>
      <c r="C5769" s="198">
        <f>"'CONFIGURAÇÃO'!AD195"</f>
        <v/>
      </c>
      <c r="D5769" s="198" t="inlineStr">
        <is>
          <t>configuração</t>
        </is>
      </c>
    </row>
    <row r="5770">
      <c r="A5770" s="198" t="inlineStr">
        <is>
          <t>custom.14.campo.propriedade_3</t>
        </is>
      </c>
      <c r="B5770" s="198">
        <f>SWITCH('CONFIGURAÇÃO'!$AB$188,"Arma",IF(ISBLANK('CONFIGURAÇÃO'!$AD$196),"",'CONFIGURAÇÃO'!$AD$196&amp;""),"")</f>
        <v/>
      </c>
      <c r="C5770" s="198">
        <f>"'CONFIGURAÇÃO'!AD196"</f>
        <v/>
      </c>
      <c r="D5770" s="198" t="inlineStr">
        <is>
          <t>configuração</t>
        </is>
      </c>
    </row>
    <row r="5771">
      <c r="A5771" s="198" t="inlineStr">
        <is>
          <t>custom.14.campo.propriedade_4</t>
        </is>
      </c>
      <c r="B5771" s="198">
        <f>SWITCH('CONFIGURAÇÃO'!$AB$188,"Arma",IF(ISBLANK('CONFIGURAÇÃO'!$AD$197),"",'CONFIGURAÇÃO'!$AD$197&amp;""),"")</f>
        <v/>
      </c>
      <c r="C5771" s="198">
        <f>"'CONFIGURAÇÃO'!AD197"</f>
        <v/>
      </c>
      <c r="D5771" s="198" t="inlineStr">
        <is>
          <t>configuração</t>
        </is>
      </c>
    </row>
    <row r="5772">
      <c r="A5772" s="198" t="inlineStr">
        <is>
          <t>custom.14.campo.protecao</t>
        </is>
      </c>
      <c r="B5772" s="198">
        <f>SWITCH('CONFIGURAÇÃO'!$AB$188,"Escudo",IF(ISBLANK('CONFIGURAÇÃO'!$AD$198),"",'CONFIGURAÇÃO'!$AD$198&amp;""),"Uniforme",IF(ISBLANK('CONFIGURAÇÃO'!$AD$198),"",'CONFIGURAÇÃO'!$AD$198&amp;""),"")</f>
        <v/>
      </c>
      <c r="C5772" s="198">
        <f>"'CONFIGURAÇÃO'!L398 'CONFIGURAÇÃO'!L398"</f>
        <v/>
      </c>
      <c r="D5772" s="198" t="inlineStr">
        <is>
          <t>configuração</t>
        </is>
      </c>
    </row>
    <row r="5773">
      <c r="A5773" s="198" t="inlineStr">
        <is>
          <t>custom.14.campo.recarga</t>
        </is>
      </c>
      <c r="B5773" s="198">
        <f>SWITCH('CONFIGURAÇÃO'!$AB$188,"Arma",IF(ISBLANK('CONFIGURAÇÃO'!$AD$202),"",'CONFIGURAÇÃO'!$AD$202&amp;""),"")</f>
        <v/>
      </c>
      <c r="C5773" s="198">
        <f>"'CONFIGURAÇÃO'!AD202"</f>
        <v/>
      </c>
      <c r="D5773" s="198" t="inlineStr">
        <is>
          <t>configuração</t>
        </is>
      </c>
    </row>
    <row r="5774">
      <c r="A5774" s="198" t="inlineStr">
        <is>
          <t>custom.14.campo.rota</t>
        </is>
      </c>
      <c r="B5774" s="198">
        <f>SWITCH('CONFIGURAÇÃO'!$AB$188,"Origem",IF(ISBLANK('CONFIGURAÇÃO'!$AD$195),"",'CONFIGURAÇÃO'!$AD$195&amp;""),"")</f>
        <v/>
      </c>
      <c r="C5774" s="198">
        <f>"'CONFIGURAÇÃO'!AD195"</f>
        <v/>
      </c>
      <c r="D5774" s="198" t="inlineStr">
        <is>
          <t>configuração</t>
        </is>
      </c>
    </row>
    <row r="5775">
      <c r="A5775" s="198" t="inlineStr">
        <is>
          <t>custom.14.campo.talento_ce_4</t>
        </is>
      </c>
      <c r="B5775" s="198">
        <f>SWITCH('CONFIGURAÇÃO'!$AB$188,"Origem",IF(ISBLANK('CONFIGURAÇÃO'!$AD$198),"",'CONFIGURAÇÃO'!$AD$198&amp;""),"")</f>
        <v/>
      </c>
      <c r="C5775" s="198">
        <f>"'CONFIGURAÇÃO'!AD198"</f>
        <v/>
      </c>
      <c r="D5775" s="198" t="inlineStr">
        <is>
          <t>configuração</t>
        </is>
      </c>
    </row>
    <row r="5776">
      <c r="A5776" s="198" t="inlineStr">
        <is>
          <t>custom.14.campo.teto_de_destreza</t>
        </is>
      </c>
      <c r="B5776" s="198">
        <f>SWITCH('CONFIGURAÇÃO'!$AB$188,"Escudo",IF(ISBLANK('CONFIGURAÇÃO'!$AD$199),"",'CONFIGURAÇÃO'!$AD$199&amp;""),"Uniforme",IF(ISBLANK('CONFIGURAÇÃO'!$AD$199),"",'CONFIGURAÇÃO'!$AD$199&amp;""),"")</f>
        <v/>
      </c>
      <c r="C5776" s="198">
        <f>"'CONFIGURAÇÃO'!L399 'CONFIGURAÇÃO'!L399"</f>
        <v/>
      </c>
      <c r="D5776" s="198" t="inlineStr">
        <is>
          <t>configuração</t>
        </is>
      </c>
    </row>
    <row r="5777">
      <c r="A5777" s="198" t="inlineStr">
        <is>
          <t>custom.14.campo.tipo_de_dano</t>
        </is>
      </c>
      <c r="B5777" s="198">
        <f>SWITCH('CONFIGURAÇÃO'!$AB$188,"Arma",IF(ISBLANK('CONFIGURAÇÃO'!$AD$193),"",'CONFIGURAÇÃO'!$AD$193&amp;""),"")</f>
        <v/>
      </c>
      <c r="C5777" s="198">
        <f>"'CONFIGURAÇÃO'!AD193"</f>
        <v/>
      </c>
      <c r="D5777" s="198" t="inlineStr">
        <is>
          <t>configuração</t>
        </is>
      </c>
    </row>
    <row r="5778">
      <c r="A5778" s="198" t="inlineStr">
        <is>
          <t>custom.14.campo.volume</t>
        </is>
      </c>
      <c r="B5778" s="198">
        <f>SWITCH('CONFIGURAÇÃO'!$AB$188,"Arma",IF(ISBLANK('CONFIGURAÇÃO'!$AD$200),"",'CONFIGURAÇÃO'!$AD$200&amp;""),"Escudo",IF(ISBLANK('CONFIGURAÇÃO'!$AD$201),"",'CONFIGURAÇÃO'!$AD$201&amp;""),"Uniforme",IF(ISBLANK('CONFIGURAÇÃO'!$AD$201),"",'CONFIGURAÇÃO'!$AD$201&amp;""),"Item comum",IF(ISBLANK('CONFIGURAÇÃO'!$AD$198),"",'CONFIGURAÇÃO'!$AD$198&amp;""),"Ferramenta amaldiçoada",IF(ISBLANK('CONFIGURAÇÃO'!$AD$200),"",'CONFIGURAÇÃO'!$AD$200&amp;""),"")</f>
        <v/>
      </c>
      <c r="C5778" s="198">
        <f>"'CONFIGURAÇÃO'!L400 'CONFIGURAÇÃO'!L401 'CONFIGURAÇÃO'!L401 'CONFIGURAÇÃO'!L398 'CONFIGURAÇÃO'!L400"</f>
        <v/>
      </c>
      <c r="D5778" s="198" t="inlineStr">
        <is>
          <t>configuração</t>
        </is>
      </c>
    </row>
    <row r="5779">
      <c r="A5779" s="198" t="inlineStr">
        <is>
          <t>aviso.custom.14</t>
        </is>
      </c>
      <c r="B5779" s="198">
        <f>'DADOS_CUSTOM'!$S$15&amp;""</f>
        <v/>
      </c>
      <c r="C5779" s="198" t="inlineStr">
        <is>
          <t>DADOS_CUSTOM!S15</t>
        </is>
      </c>
      <c r="D5779" s="198" t="inlineStr">
        <is>
          <t>aviso</t>
        </is>
      </c>
    </row>
    <row r="5780">
      <c r="A5780" s="198" t="inlineStr">
        <is>
          <t>custom.15.tipo</t>
        </is>
      </c>
      <c r="B5780" s="198">
        <f>IF(ISBLANK('CONFIGURAÇÃO'!$T$217),"",'CONFIGURAÇÃO'!$T$217&amp;"")</f>
        <v/>
      </c>
      <c r="C5780" s="198">
        <f>"'CONFIGURAÇÃO'!T217"</f>
        <v/>
      </c>
      <c r="D5780" s="198" t="inlineStr">
        <is>
          <t>configuração</t>
        </is>
      </c>
    </row>
    <row r="5781">
      <c r="A5781" s="198" t="inlineStr">
        <is>
          <t>custom.15.nome</t>
        </is>
      </c>
      <c r="B5781" s="198">
        <f>IF(ISBLANK('CONFIGURAÇÃO'!$T$219),"",'CONFIGURAÇÃO'!$T$219&amp;"")</f>
        <v/>
      </c>
      <c r="C5781" s="198">
        <f>"'CONFIGURAÇÃO'!T219"</f>
        <v/>
      </c>
      <c r="D5781" s="198" t="inlineStr">
        <is>
          <t>configuração</t>
        </is>
      </c>
    </row>
    <row r="5782">
      <c r="A5782" s="198" t="inlineStr">
        <is>
          <t>custom.15.mestre_viu</t>
        </is>
      </c>
      <c r="B5782" s="198">
        <f>N('CONFIGURAÇÃO'!$X$217)&amp;""</f>
        <v/>
      </c>
      <c r="C5782" s="198">
        <f>"'CONFIGURAÇÃO'!X217"</f>
        <v/>
      </c>
      <c r="D5782" s="198" t="inlineStr">
        <is>
          <t>configuração</t>
        </is>
      </c>
    </row>
    <row r="5783">
      <c r="A5783" s="198" t="inlineStr">
        <is>
          <t>custom.15.efeito</t>
        </is>
      </c>
      <c r="B5783" s="198">
        <f>IF(ISBLANK('CONFIGURAÇÃO'!$T$234),"",'CONFIGURAÇÃO'!$T$234&amp;"")</f>
        <v/>
      </c>
      <c r="C5783" s="198">
        <f>"'CONFIGURAÇÃO'!T234"</f>
        <v/>
      </c>
      <c r="D5783" s="198" t="inlineStr">
        <is>
          <t>configuração</t>
        </is>
      </c>
    </row>
    <row r="5784">
      <c r="A5784" s="198" t="inlineStr">
        <is>
          <t>custom.15.campo.alcance</t>
        </is>
      </c>
      <c r="B5784" s="198">
        <f>SWITCH('CONFIGURAÇÃO'!$T$217,"Arma",IF(ISBLANK('CONFIGURAÇÃO'!$V$230),"",'CONFIGURAÇÃO'!$V$230&amp;""),"")</f>
        <v/>
      </c>
      <c r="C5784" s="198">
        <f>"'CONFIGURAÇÃO'!V230"</f>
        <v/>
      </c>
      <c r="D5784" s="198" t="inlineStr">
        <is>
          <t>configuração</t>
        </is>
      </c>
    </row>
    <row r="5785">
      <c r="A5785" s="198" t="inlineStr">
        <is>
          <t>custom.15.campo.base</t>
        </is>
      </c>
      <c r="B5785" s="198">
        <f>SWITCH('CONFIGURAÇÃO'!$T$217,"Ferramenta amaldiçoada",IF(ISBLANK('CONFIGURAÇÃO'!$V$220),"",'CONFIGURAÇÃO'!$V$220&amp;""),"")</f>
        <v/>
      </c>
      <c r="C5785" s="198">
        <f>"'CONFIGURAÇÃO'!V220"</f>
        <v/>
      </c>
      <c r="D5785" s="198" t="inlineStr">
        <is>
          <t>configuração</t>
        </is>
      </c>
    </row>
    <row r="5786">
      <c r="A5786" s="198" t="inlineStr">
        <is>
          <t>custom.15.campo.base_do_livro</t>
        </is>
      </c>
      <c r="B5786" s="198">
        <f>SWITCH('CONFIGURAÇÃO'!$T$217,"Origem",IF(ISBLANK('CONFIGURAÇÃO'!$V$225),"",'CONFIGURAÇÃO'!$V$225&amp;""),"")</f>
        <v/>
      </c>
      <c r="C5786" s="198">
        <f>"'CONFIGURAÇÃO'!V225"</f>
        <v/>
      </c>
      <c r="D5786" s="198" t="inlineStr">
        <is>
          <t>configuração</t>
        </is>
      </c>
    </row>
    <row r="5787">
      <c r="A5787" s="198" t="inlineStr">
        <is>
          <t>custom.15.campo.categoria</t>
        </is>
      </c>
      <c r="B5787" s="198">
        <f>SWITCH('CONFIGURAÇÃO'!$T$217,"Arma",IF(ISBLANK('CONFIGURAÇÃO'!$V$220),"",'CONFIGURAÇÃO'!$V$220&amp;""),"")</f>
        <v/>
      </c>
      <c r="C5787" s="198">
        <f>"'CONFIGURAÇÃO'!V220"</f>
        <v/>
      </c>
      <c r="D5787" s="198" t="inlineStr">
        <is>
          <t>configuração</t>
        </is>
      </c>
    </row>
    <row r="5788">
      <c r="A5788" s="198" t="inlineStr">
        <is>
          <t>custom.15.campo.dado</t>
        </is>
      </c>
      <c r="B5788" s="198">
        <f>SWITCH('CONFIGURAÇÃO'!$T$217,"Arma",IF(ISBLANK('CONFIGURAÇÃO'!$V$227),"",'CONFIGURAÇÃO'!$V$227&amp;""),"")</f>
        <v/>
      </c>
      <c r="C5788" s="198">
        <f>"'CONFIGURAÇÃO'!V227"</f>
        <v/>
      </c>
      <c r="D5788" s="198" t="inlineStr">
        <is>
          <t>configuração</t>
        </is>
      </c>
    </row>
    <row r="5789">
      <c r="A5789" s="198" t="inlineStr">
        <is>
          <t>custom.15.campo.desgaste</t>
        </is>
      </c>
      <c r="B5789" s="198">
        <f>SWITCH('CONFIGURAÇÃO'!$T$217,"Ferramenta amaldiçoada",IF(ISBLANK('CONFIGURAÇÃO'!$V$228),"",'CONFIGURAÇÃO'!$V$228&amp;""),"")</f>
        <v/>
      </c>
      <c r="C5789" s="198">
        <f>"'CONFIGURAÇÃO'!V228"</f>
        <v/>
      </c>
      <c r="D5789" s="198" t="inlineStr">
        <is>
          <t>configuração</t>
        </is>
      </c>
    </row>
    <row r="5790">
      <c r="A5790" s="198" t="inlineStr">
        <is>
          <t>custom.15.campo.estigma</t>
        </is>
      </c>
      <c r="B5790" s="198">
        <f>SWITCH('CONFIGURAÇÃO'!$T$217,"Ferramenta amaldiçoada",IF(ISBLANK('CONFIGURAÇÃO'!$V$227),"",'CONFIGURAÇÃO'!$V$227&amp;""),"")</f>
        <v/>
      </c>
      <c r="C5790" s="198">
        <f>"'CONFIGURAÇÃO'!V227"</f>
        <v/>
      </c>
      <c r="D5790" s="198" t="inlineStr">
        <is>
          <t>configuração</t>
        </is>
      </c>
    </row>
    <row r="5791">
      <c r="A5791" s="198" t="inlineStr">
        <is>
          <t>custom.15.campo.exige_marcante</t>
        </is>
      </c>
      <c r="B5791" s="198">
        <f>SWITCH('CONFIGURAÇÃO'!$T$217,"Menor",IF(ISBLANK('CONFIGURAÇÃO'!$V$221),"",'CONFIGURAÇÃO'!$V$221&amp;""),"")</f>
        <v/>
      </c>
      <c r="C5791" s="198">
        <f>"'CONFIGURAÇÃO'!V221"</f>
        <v/>
      </c>
      <c r="D5791" s="198" t="inlineStr">
        <is>
          <t>configuração</t>
        </is>
      </c>
    </row>
    <row r="5792">
      <c r="A5792" s="198" t="inlineStr">
        <is>
          <t>custom.15.campo.forca</t>
        </is>
      </c>
      <c r="B5792" s="198">
        <f>SWITCH('CONFIGURAÇÃO'!$T$217,"Arma",IF(ISBLANK('CONFIGURAÇÃO'!$V$228),"",'CONFIGURAÇÃO'!$V$228&amp;""),"Escudo",IF(ISBLANK('CONFIGURAÇÃO'!$V$229),"",'CONFIGURAÇÃO'!$V$229&amp;""),"Uniforme",IF(ISBLANK('CONFIGURAÇÃO'!$V$229),"",'CONFIGURAÇÃO'!$V$229&amp;""),"")</f>
        <v/>
      </c>
      <c r="C5792" s="198">
        <f>"'CONFIGURAÇÃO'!L428 'CONFIGURAÇÃO'!L429 'CONFIGURAÇÃO'!L429"</f>
        <v/>
      </c>
      <c r="D5792" s="198" t="inlineStr">
        <is>
          <t>configuração</t>
        </is>
      </c>
    </row>
    <row r="5793">
      <c r="A5793" s="198" t="inlineStr">
        <is>
          <t>custom.15.campo.frequencia</t>
        </is>
      </c>
      <c r="B5793" s="198">
        <f>SWITCH('CONFIGURAÇÃO'!$T$217,"Marcante",IF(ISBLANK('CONFIGURAÇÃO'!$V$227),"",'CONFIGURAÇÃO'!$V$227&amp;""),"Menor",IF(ISBLANK('CONFIGURAÇÃO'!$V$227),"",'CONFIGURAÇÃO'!$V$227&amp;""),"")</f>
        <v/>
      </c>
      <c r="C5793" s="198">
        <f>"'CONFIGURAÇÃO'!L427 'CONFIGURAÇÃO'!L427"</f>
        <v/>
      </c>
      <c r="D5793" s="198" t="inlineStr">
        <is>
          <t>configuração</t>
        </is>
      </c>
    </row>
    <row r="5794">
      <c r="A5794" s="198" t="inlineStr">
        <is>
          <t>custom.15.campo.grau</t>
        </is>
      </c>
      <c r="B5794" s="198">
        <f>SWITCH('CONFIGURAÇÃO'!$T$217,"Ferramenta amaldiçoada",IF(ISBLANK('CONFIGURAÇÃO'!$V$221),"",'CONFIGURAÇÃO'!$V$221&amp;""),"")</f>
        <v/>
      </c>
      <c r="C5794" s="198">
        <f>"'CONFIGURAÇÃO'!V221"</f>
        <v/>
      </c>
      <c r="D5794" s="198" t="inlineStr">
        <is>
          <t>configuração</t>
        </is>
      </c>
    </row>
    <row r="5795">
      <c r="A5795" s="198" t="inlineStr">
        <is>
          <t>custom.15.campo.grau_minimo</t>
        </is>
      </c>
      <c r="B5795" s="198">
        <f>SWITCH('CONFIGURAÇÃO'!$T$217,"Uniforme",IF(ISBLANK('CONFIGURAÇÃO'!$V$220),"",'CONFIGURAÇÃO'!$V$220&amp;""),"")</f>
        <v/>
      </c>
      <c r="C5795" s="198">
        <f>"'CONFIGURAÇÃO'!V220"</f>
        <v/>
      </c>
      <c r="D5795" s="198" t="inlineStr">
        <is>
          <t>configuração</t>
        </is>
      </c>
    </row>
    <row r="5796">
      <c r="A5796" s="198" t="inlineStr">
        <is>
          <t>custom.15.campo.mao</t>
        </is>
      </c>
      <c r="B5796" s="198">
        <f>SWITCH('CONFIGURAÇÃO'!$T$217,"Arma",IF(ISBLANK('CONFIGURAÇÃO'!$V$221),"",'CONFIGURAÇÃO'!$V$221&amp;""),"")</f>
        <v/>
      </c>
      <c r="C5796" s="198">
        <f>"'CONFIGURAÇÃO'!V221"</f>
        <v/>
      </c>
      <c r="D5796" s="198" t="inlineStr">
        <is>
          <t>configuração</t>
        </is>
      </c>
    </row>
    <row r="5797">
      <c r="A5797" s="198" t="inlineStr">
        <is>
          <t>custom.15.campo.oficio</t>
        </is>
      </c>
      <c r="B5797" s="198">
        <f>SWITCH('CONFIGURAÇÃO'!$T$217,"Origem",IF(ISBLANK('CONFIGURAÇÃO'!$V$226),"",'CONFIGURAÇÃO'!$V$226&amp;""),"")</f>
        <v/>
      </c>
      <c r="C5797" s="198">
        <f>"'CONFIGURAÇÃO'!V226"</f>
        <v/>
      </c>
      <c r="D5797" s="198" t="inlineStr">
        <is>
          <t>configuração</t>
        </is>
      </c>
    </row>
    <row r="5798">
      <c r="A5798" s="198" t="inlineStr">
        <is>
          <t>custom.15.campo.origem</t>
        </is>
      </c>
      <c r="B5798" s="198">
        <f>SWITCH('CONFIGURAÇÃO'!$T$217,"Marcante",IF(ISBLANK('CONFIGURAÇÃO'!$V$220),"",'CONFIGURAÇÃO'!$V$220&amp;""),"Menor",IF(ISBLANK('CONFIGURAÇÃO'!$V$220),"",'CONFIGURAÇÃO'!$V$220&amp;""),"")</f>
        <v/>
      </c>
      <c r="C5798" s="198">
        <f>"'CONFIGURAÇÃO'!L420 'CONFIGURAÇÃO'!L420"</f>
        <v/>
      </c>
      <c r="D5798" s="198" t="inlineStr">
        <is>
          <t>configuração</t>
        </is>
      </c>
    </row>
    <row r="5799">
      <c r="A5799" s="198" t="inlineStr">
        <is>
          <t>custom.15.campo.pericia_1</t>
        </is>
      </c>
      <c r="B5799" s="198">
        <f>SWITCH('CONFIGURAÇÃO'!$T$217,"Origem",IF(ISBLANK('CONFIGURAÇÃO'!$V$220),"",'CONFIGURAÇÃO'!$V$220&amp;""),"")</f>
        <v/>
      </c>
      <c r="C5799" s="198">
        <f>"'CONFIGURAÇÃO'!V220"</f>
        <v/>
      </c>
      <c r="D5799" s="198" t="inlineStr">
        <is>
          <t>configuração</t>
        </is>
      </c>
    </row>
    <row r="5800">
      <c r="A5800" s="198" t="inlineStr">
        <is>
          <t>custom.15.campo.pericia_2</t>
        </is>
      </c>
      <c r="B5800" s="198">
        <f>SWITCH('CONFIGURAÇÃO'!$T$217,"Origem",IF(ISBLANK('CONFIGURAÇÃO'!$V$221),"",'CONFIGURAÇÃO'!$V$221&amp;""),"")</f>
        <v/>
      </c>
      <c r="C5800" s="198">
        <f>"'CONFIGURAÇÃO'!V221"</f>
        <v/>
      </c>
      <c r="D5800" s="198" t="inlineStr">
        <is>
          <t>configuração</t>
        </is>
      </c>
    </row>
    <row r="5801">
      <c r="A5801" s="198" t="inlineStr">
        <is>
          <t>custom.15.campo.pericia_3</t>
        </is>
      </c>
      <c r="B5801" s="198">
        <f>SWITCH('CONFIGURAÇÃO'!$T$217,"Origem",IF(ISBLANK('CONFIGURAÇÃO'!$V$222),"",'CONFIGURAÇÃO'!$V$222&amp;""),"")</f>
        <v/>
      </c>
      <c r="C5801" s="198">
        <f>"'CONFIGURAÇÃO'!V222"</f>
        <v/>
      </c>
      <c r="D5801" s="198" t="inlineStr">
        <is>
          <t>configuração</t>
        </is>
      </c>
    </row>
    <row r="5802">
      <c r="A5802" s="198" t="inlineStr">
        <is>
          <t>custom.15.campo.pericia_4</t>
        </is>
      </c>
      <c r="B5802" s="198">
        <f>SWITCH('CONFIGURAÇÃO'!$T$217,"Origem",IF(ISBLANK('CONFIGURAÇÃO'!$V$223),"",'CONFIGURAÇÃO'!$V$223&amp;""),"")</f>
        <v/>
      </c>
      <c r="C5802" s="198">
        <f>"'CONFIGURAÇÃO'!V223"</f>
        <v/>
      </c>
      <c r="D5802" s="198" t="inlineStr">
        <is>
          <t>configuração</t>
        </is>
      </c>
    </row>
    <row r="5803">
      <c r="A5803" s="198" t="inlineStr">
        <is>
          <t>custom.15.campo.preco</t>
        </is>
      </c>
      <c r="B5803" s="198">
        <f>SWITCH('CONFIGURAÇÃO'!$T$217,"Arma",IF(ISBLANK('CONFIGURAÇÃO'!$V$232),"",'CONFIGURAÇÃO'!$V$232&amp;""),"Escudo",IF(ISBLANK('CONFIGURAÇÃO'!$V$231),"",'CONFIGURAÇÃO'!$V$231&amp;""),"Uniforme",IF(ISBLANK('CONFIGURAÇÃO'!$V$231),"",'CONFIGURAÇÃO'!$V$231&amp;""),"Item comum",IF(ISBLANK('CONFIGURAÇÃO'!$V$228),"",'CONFIGURAÇÃO'!$V$228&amp;""),"Ferramenta amaldiçoada",IF(ISBLANK('CONFIGURAÇÃO'!$V$230),"",'CONFIGURAÇÃO'!$V$230&amp;""),"")</f>
        <v/>
      </c>
      <c r="C5803" s="198">
        <f>"'CONFIGURAÇÃO'!L432 'CONFIGURAÇÃO'!L431 'CONFIGURAÇÃO'!L431 'CONFIGURAÇÃO'!L428 'CONFIGURAÇÃO'!L430"</f>
        <v/>
      </c>
      <c r="D5803" s="198" t="inlineStr">
        <is>
          <t>configuração</t>
        </is>
      </c>
    </row>
    <row r="5804">
      <c r="A5804" s="198" t="inlineStr">
        <is>
          <t>custom.15.campo.propriedade_1</t>
        </is>
      </c>
      <c r="B5804" s="198">
        <f>SWITCH('CONFIGURAÇÃO'!$T$217,"Arma",IF(ISBLANK('CONFIGURAÇÃO'!$V$223),"",'CONFIGURAÇÃO'!$V$223&amp;""),"")</f>
        <v/>
      </c>
      <c r="C5804" s="198">
        <f>"'CONFIGURAÇÃO'!V223"</f>
        <v/>
      </c>
      <c r="D5804" s="198" t="inlineStr">
        <is>
          <t>configuração</t>
        </is>
      </c>
    </row>
    <row r="5805">
      <c r="A5805" s="198" t="inlineStr">
        <is>
          <t>custom.15.campo.propriedade_2</t>
        </is>
      </c>
      <c r="B5805" s="198">
        <f>SWITCH('CONFIGURAÇÃO'!$T$217,"Arma",IF(ISBLANK('CONFIGURAÇÃO'!$V$224),"",'CONFIGURAÇÃO'!$V$224&amp;""),"")</f>
        <v/>
      </c>
      <c r="C5805" s="198">
        <f>"'CONFIGURAÇÃO'!V224"</f>
        <v/>
      </c>
      <c r="D5805" s="198" t="inlineStr">
        <is>
          <t>configuração</t>
        </is>
      </c>
    </row>
    <row r="5806">
      <c r="A5806" s="198" t="inlineStr">
        <is>
          <t>custom.15.campo.propriedade_3</t>
        </is>
      </c>
      <c r="B5806" s="198">
        <f>SWITCH('CONFIGURAÇÃO'!$T$217,"Arma",IF(ISBLANK('CONFIGURAÇÃO'!$V$225),"",'CONFIGURAÇÃO'!$V$225&amp;""),"")</f>
        <v/>
      </c>
      <c r="C5806" s="198">
        <f>"'CONFIGURAÇÃO'!V225"</f>
        <v/>
      </c>
      <c r="D5806" s="198" t="inlineStr">
        <is>
          <t>configuração</t>
        </is>
      </c>
    </row>
    <row r="5807">
      <c r="A5807" s="198" t="inlineStr">
        <is>
          <t>custom.15.campo.propriedade_4</t>
        </is>
      </c>
      <c r="B5807" s="198">
        <f>SWITCH('CONFIGURAÇÃO'!$T$217,"Arma",IF(ISBLANK('CONFIGURAÇÃO'!$V$226),"",'CONFIGURAÇÃO'!$V$226&amp;""),"")</f>
        <v/>
      </c>
      <c r="C5807" s="198">
        <f>"'CONFIGURAÇÃO'!V226"</f>
        <v/>
      </c>
      <c r="D5807" s="198" t="inlineStr">
        <is>
          <t>configuração</t>
        </is>
      </c>
    </row>
    <row r="5808">
      <c r="A5808" s="198" t="inlineStr">
        <is>
          <t>custom.15.campo.protecao</t>
        </is>
      </c>
      <c r="B5808" s="198">
        <f>SWITCH('CONFIGURAÇÃO'!$T$217,"Escudo",IF(ISBLANK('CONFIGURAÇÃO'!$V$227),"",'CONFIGURAÇÃO'!$V$227&amp;""),"Uniforme",IF(ISBLANK('CONFIGURAÇÃO'!$V$227),"",'CONFIGURAÇÃO'!$V$227&amp;""),"")</f>
        <v/>
      </c>
      <c r="C5808" s="198">
        <f>"'CONFIGURAÇÃO'!L427 'CONFIGURAÇÃO'!L427"</f>
        <v/>
      </c>
      <c r="D5808" s="198" t="inlineStr">
        <is>
          <t>configuração</t>
        </is>
      </c>
    </row>
    <row r="5809">
      <c r="A5809" s="198" t="inlineStr">
        <is>
          <t>custom.15.campo.recarga</t>
        </is>
      </c>
      <c r="B5809" s="198">
        <f>SWITCH('CONFIGURAÇÃO'!$T$217,"Arma",IF(ISBLANK('CONFIGURAÇÃO'!$V$231),"",'CONFIGURAÇÃO'!$V$231&amp;""),"")</f>
        <v/>
      </c>
      <c r="C5809" s="198">
        <f>"'CONFIGURAÇÃO'!V231"</f>
        <v/>
      </c>
      <c r="D5809" s="198" t="inlineStr">
        <is>
          <t>configuração</t>
        </is>
      </c>
    </row>
    <row r="5810">
      <c r="A5810" s="198" t="inlineStr">
        <is>
          <t>custom.15.campo.rota</t>
        </is>
      </c>
      <c r="B5810" s="198">
        <f>SWITCH('CONFIGURAÇÃO'!$T$217,"Origem",IF(ISBLANK('CONFIGURAÇÃO'!$V$224),"",'CONFIGURAÇÃO'!$V$224&amp;""),"")</f>
        <v/>
      </c>
      <c r="C5810" s="198">
        <f>"'CONFIGURAÇÃO'!V224"</f>
        <v/>
      </c>
      <c r="D5810" s="198" t="inlineStr">
        <is>
          <t>configuração</t>
        </is>
      </c>
    </row>
    <row r="5811">
      <c r="A5811" s="198" t="inlineStr">
        <is>
          <t>custom.15.campo.talento_ce_4</t>
        </is>
      </c>
      <c r="B5811" s="198">
        <f>SWITCH('CONFIGURAÇÃO'!$T$217,"Origem",IF(ISBLANK('CONFIGURAÇÃO'!$V$227),"",'CONFIGURAÇÃO'!$V$227&amp;""),"")</f>
        <v/>
      </c>
      <c r="C5811" s="198">
        <f>"'CONFIGURAÇÃO'!V227"</f>
        <v/>
      </c>
      <c r="D5811" s="198" t="inlineStr">
        <is>
          <t>configuração</t>
        </is>
      </c>
    </row>
    <row r="5812">
      <c r="A5812" s="198" t="inlineStr">
        <is>
          <t>custom.15.campo.teto_de_destreza</t>
        </is>
      </c>
      <c r="B5812" s="198">
        <f>SWITCH('CONFIGURAÇÃO'!$T$217,"Escudo",IF(ISBLANK('CONFIGURAÇÃO'!$V$228),"",'CONFIGURAÇÃO'!$V$228&amp;""),"Uniforme",IF(ISBLANK('CONFIGURAÇÃO'!$V$228),"",'CONFIGURAÇÃO'!$V$228&amp;""),"")</f>
        <v/>
      </c>
      <c r="C5812" s="198">
        <f>"'CONFIGURAÇÃO'!L428 'CONFIGURAÇÃO'!L428"</f>
        <v/>
      </c>
      <c r="D5812" s="198" t="inlineStr">
        <is>
          <t>configuração</t>
        </is>
      </c>
    </row>
    <row r="5813">
      <c r="A5813" s="198" t="inlineStr">
        <is>
          <t>custom.15.campo.tipo_de_dano</t>
        </is>
      </c>
      <c r="B5813" s="198">
        <f>SWITCH('CONFIGURAÇÃO'!$T$217,"Arma",IF(ISBLANK('CONFIGURAÇÃO'!$V$222),"",'CONFIGURAÇÃO'!$V$222&amp;""),"")</f>
        <v/>
      </c>
      <c r="C5813" s="198">
        <f>"'CONFIGURAÇÃO'!V222"</f>
        <v/>
      </c>
      <c r="D5813" s="198" t="inlineStr">
        <is>
          <t>configuração</t>
        </is>
      </c>
    </row>
    <row r="5814">
      <c r="A5814" s="198" t="inlineStr">
        <is>
          <t>custom.15.campo.volume</t>
        </is>
      </c>
      <c r="B5814" s="198">
        <f>SWITCH('CONFIGURAÇÃO'!$T$217,"Arma",IF(ISBLANK('CONFIGURAÇÃO'!$V$229),"",'CONFIGURAÇÃO'!$V$229&amp;""),"Escudo",IF(ISBLANK('CONFIGURAÇÃO'!$V$230),"",'CONFIGURAÇÃO'!$V$230&amp;""),"Uniforme",IF(ISBLANK('CONFIGURAÇÃO'!$V$230),"",'CONFIGURAÇÃO'!$V$230&amp;""),"Item comum",IF(ISBLANK('CONFIGURAÇÃO'!$V$227),"",'CONFIGURAÇÃO'!$V$227&amp;""),"Ferramenta amaldiçoada",IF(ISBLANK('CONFIGURAÇÃO'!$V$229),"",'CONFIGURAÇÃO'!$V$229&amp;""),"")</f>
        <v/>
      </c>
      <c r="C5814" s="198">
        <f>"'CONFIGURAÇÃO'!L429 'CONFIGURAÇÃO'!L430 'CONFIGURAÇÃO'!L430 'CONFIGURAÇÃO'!L427 'CONFIGURAÇÃO'!L429"</f>
        <v/>
      </c>
      <c r="D5814" s="198" t="inlineStr">
        <is>
          <t>configuração</t>
        </is>
      </c>
    </row>
    <row r="5815">
      <c r="A5815" s="198" t="inlineStr">
        <is>
          <t>aviso.custom.15</t>
        </is>
      </c>
      <c r="B5815" s="198">
        <f>'DADOS_CUSTOM'!$S$16&amp;""</f>
        <v/>
      </c>
      <c r="C5815" s="198" t="inlineStr">
        <is>
          <t>DADOS_CUSTOM!S16</t>
        </is>
      </c>
      <c r="D5815" s="198" t="inlineStr">
        <is>
          <t>aviso</t>
        </is>
      </c>
    </row>
    <row r="5816">
      <c r="A5816" s="198" t="inlineStr">
        <is>
          <t>custom.16.tipo</t>
        </is>
      </c>
      <c r="B5816" s="198">
        <f>IF(ISBLANK('CONFIGURAÇÃO'!$AB$217),"",'CONFIGURAÇÃO'!$AB$217&amp;"")</f>
        <v/>
      </c>
      <c r="C5816" s="198">
        <f>"'CONFIGURAÇÃO'!AB217"</f>
        <v/>
      </c>
      <c r="D5816" s="198" t="inlineStr">
        <is>
          <t>configuração</t>
        </is>
      </c>
    </row>
    <row r="5817">
      <c r="A5817" s="198" t="inlineStr">
        <is>
          <t>custom.16.nome</t>
        </is>
      </c>
      <c r="B5817" s="198">
        <f>IF(ISBLANK('CONFIGURAÇÃO'!$AB$219),"",'CONFIGURAÇÃO'!$AB$219&amp;"")</f>
        <v/>
      </c>
      <c r="C5817" s="198">
        <f>"'CONFIGURAÇÃO'!AB219"</f>
        <v/>
      </c>
      <c r="D5817" s="198" t="inlineStr">
        <is>
          <t>configuração</t>
        </is>
      </c>
    </row>
    <row r="5818">
      <c r="A5818" s="198" t="inlineStr">
        <is>
          <t>custom.16.mestre_viu</t>
        </is>
      </c>
      <c r="B5818" s="198">
        <f>N('CONFIGURAÇÃO'!$AF$217)&amp;""</f>
        <v/>
      </c>
      <c r="C5818" s="198">
        <f>"'CONFIGURAÇÃO'!AF217"</f>
        <v/>
      </c>
      <c r="D5818" s="198" t="inlineStr">
        <is>
          <t>configuração</t>
        </is>
      </c>
    </row>
    <row r="5819">
      <c r="A5819" s="198" t="inlineStr">
        <is>
          <t>custom.16.efeito</t>
        </is>
      </c>
      <c r="B5819" s="198">
        <f>IF(ISBLANK('CONFIGURAÇÃO'!$AB$234),"",'CONFIGURAÇÃO'!$AB$234&amp;"")</f>
        <v/>
      </c>
      <c r="C5819" s="198">
        <f>"'CONFIGURAÇÃO'!AB234"</f>
        <v/>
      </c>
      <c r="D5819" s="198" t="inlineStr">
        <is>
          <t>configuração</t>
        </is>
      </c>
    </row>
    <row r="5820">
      <c r="A5820" s="198" t="inlineStr">
        <is>
          <t>custom.16.campo.alcance</t>
        </is>
      </c>
      <c r="B5820" s="198">
        <f>SWITCH('CONFIGURAÇÃO'!$AB$217,"Arma",IF(ISBLANK('CONFIGURAÇÃO'!$AD$230),"",'CONFIGURAÇÃO'!$AD$230&amp;""),"")</f>
        <v/>
      </c>
      <c r="C5820" s="198">
        <f>"'CONFIGURAÇÃO'!AD230"</f>
        <v/>
      </c>
      <c r="D5820" s="198" t="inlineStr">
        <is>
          <t>configuração</t>
        </is>
      </c>
    </row>
    <row r="5821">
      <c r="A5821" s="198" t="inlineStr">
        <is>
          <t>custom.16.campo.base</t>
        </is>
      </c>
      <c r="B5821" s="198">
        <f>SWITCH('CONFIGURAÇÃO'!$AB$217,"Ferramenta amaldiçoada",IF(ISBLANK('CONFIGURAÇÃO'!$AD$220),"",'CONFIGURAÇÃO'!$AD$220&amp;""),"")</f>
        <v/>
      </c>
      <c r="C5821" s="198">
        <f>"'CONFIGURAÇÃO'!AD220"</f>
        <v/>
      </c>
      <c r="D5821" s="198" t="inlineStr">
        <is>
          <t>configuração</t>
        </is>
      </c>
    </row>
    <row r="5822">
      <c r="A5822" s="198" t="inlineStr">
        <is>
          <t>custom.16.campo.base_do_livro</t>
        </is>
      </c>
      <c r="B5822" s="198">
        <f>SWITCH('CONFIGURAÇÃO'!$AB$217,"Origem",IF(ISBLANK('CONFIGURAÇÃO'!$AD$225),"",'CONFIGURAÇÃO'!$AD$225&amp;""),"")</f>
        <v/>
      </c>
      <c r="C5822" s="198">
        <f>"'CONFIGURAÇÃO'!AD225"</f>
        <v/>
      </c>
      <c r="D5822" s="198" t="inlineStr">
        <is>
          <t>configuração</t>
        </is>
      </c>
    </row>
    <row r="5823">
      <c r="A5823" s="198" t="inlineStr">
        <is>
          <t>custom.16.campo.categoria</t>
        </is>
      </c>
      <c r="B5823" s="198">
        <f>SWITCH('CONFIGURAÇÃO'!$AB$217,"Arma",IF(ISBLANK('CONFIGURAÇÃO'!$AD$220),"",'CONFIGURAÇÃO'!$AD$220&amp;""),"")</f>
        <v/>
      </c>
      <c r="C5823" s="198">
        <f>"'CONFIGURAÇÃO'!AD220"</f>
        <v/>
      </c>
      <c r="D5823" s="198" t="inlineStr">
        <is>
          <t>configuração</t>
        </is>
      </c>
    </row>
    <row r="5824">
      <c r="A5824" s="198" t="inlineStr">
        <is>
          <t>custom.16.campo.dado</t>
        </is>
      </c>
      <c r="B5824" s="198">
        <f>SWITCH('CONFIGURAÇÃO'!$AB$217,"Arma",IF(ISBLANK('CONFIGURAÇÃO'!$AD$227),"",'CONFIGURAÇÃO'!$AD$227&amp;""),"")</f>
        <v/>
      </c>
      <c r="C5824" s="198">
        <f>"'CONFIGURAÇÃO'!AD227"</f>
        <v/>
      </c>
      <c r="D5824" s="198" t="inlineStr">
        <is>
          <t>configuração</t>
        </is>
      </c>
    </row>
    <row r="5825">
      <c r="A5825" s="198" t="inlineStr">
        <is>
          <t>custom.16.campo.desgaste</t>
        </is>
      </c>
      <c r="B5825" s="198">
        <f>SWITCH('CONFIGURAÇÃO'!$AB$217,"Ferramenta amaldiçoada",IF(ISBLANK('CONFIGURAÇÃO'!$AD$228),"",'CONFIGURAÇÃO'!$AD$228&amp;""),"")</f>
        <v/>
      </c>
      <c r="C5825" s="198">
        <f>"'CONFIGURAÇÃO'!AD228"</f>
        <v/>
      </c>
      <c r="D5825" s="198" t="inlineStr">
        <is>
          <t>configuração</t>
        </is>
      </c>
    </row>
    <row r="5826">
      <c r="A5826" s="198" t="inlineStr">
        <is>
          <t>custom.16.campo.estigma</t>
        </is>
      </c>
      <c r="B5826" s="198">
        <f>SWITCH('CONFIGURAÇÃO'!$AB$217,"Ferramenta amaldiçoada",IF(ISBLANK('CONFIGURAÇÃO'!$AD$227),"",'CONFIGURAÇÃO'!$AD$227&amp;""),"")</f>
        <v/>
      </c>
      <c r="C5826" s="198">
        <f>"'CONFIGURAÇÃO'!AD227"</f>
        <v/>
      </c>
      <c r="D5826" s="198" t="inlineStr">
        <is>
          <t>configuração</t>
        </is>
      </c>
    </row>
    <row r="5827">
      <c r="A5827" s="198" t="inlineStr">
        <is>
          <t>custom.16.campo.exige_marcante</t>
        </is>
      </c>
      <c r="B5827" s="198">
        <f>SWITCH('CONFIGURAÇÃO'!$AB$217,"Menor",IF(ISBLANK('CONFIGURAÇÃO'!$AD$221),"",'CONFIGURAÇÃO'!$AD$221&amp;""),"")</f>
        <v/>
      </c>
      <c r="C5827" s="198">
        <f>"'CONFIGURAÇÃO'!AD221"</f>
        <v/>
      </c>
      <c r="D5827" s="198" t="inlineStr">
        <is>
          <t>configuração</t>
        </is>
      </c>
    </row>
    <row r="5828">
      <c r="A5828" s="198" t="inlineStr">
        <is>
          <t>custom.16.campo.forca</t>
        </is>
      </c>
      <c r="B5828" s="198">
        <f>SWITCH('CONFIGURAÇÃO'!$AB$217,"Arma",IF(ISBLANK('CONFIGURAÇÃO'!$AD$228),"",'CONFIGURAÇÃO'!$AD$228&amp;""),"Escudo",IF(ISBLANK('CONFIGURAÇÃO'!$AD$229),"",'CONFIGURAÇÃO'!$AD$229&amp;""),"Uniforme",IF(ISBLANK('CONFIGURAÇÃO'!$AD$229),"",'CONFIGURAÇÃO'!$AD$229&amp;""),"")</f>
        <v/>
      </c>
      <c r="C5828" s="198">
        <f>"'CONFIGURAÇÃO'!L457 'CONFIGURAÇÃO'!L458 'CONFIGURAÇÃO'!L458"</f>
        <v/>
      </c>
      <c r="D5828" s="198" t="inlineStr">
        <is>
          <t>configuração</t>
        </is>
      </c>
    </row>
    <row r="5829">
      <c r="A5829" s="198" t="inlineStr">
        <is>
          <t>custom.16.campo.frequencia</t>
        </is>
      </c>
      <c r="B5829" s="198">
        <f>SWITCH('CONFIGURAÇÃO'!$AB$217,"Marcante",IF(ISBLANK('CONFIGURAÇÃO'!$AD$227),"",'CONFIGURAÇÃO'!$AD$227&amp;""),"Menor",IF(ISBLANK('CONFIGURAÇÃO'!$AD$227),"",'CONFIGURAÇÃO'!$AD$227&amp;""),"")</f>
        <v/>
      </c>
      <c r="C5829" s="198">
        <f>"'CONFIGURAÇÃO'!L456 'CONFIGURAÇÃO'!L456"</f>
        <v/>
      </c>
      <c r="D5829" s="198" t="inlineStr">
        <is>
          <t>configuração</t>
        </is>
      </c>
    </row>
    <row r="5830">
      <c r="A5830" s="198" t="inlineStr">
        <is>
          <t>custom.16.campo.grau</t>
        </is>
      </c>
      <c r="B5830" s="198">
        <f>SWITCH('CONFIGURAÇÃO'!$AB$217,"Ferramenta amaldiçoada",IF(ISBLANK('CONFIGURAÇÃO'!$AD$221),"",'CONFIGURAÇÃO'!$AD$221&amp;""),"")</f>
        <v/>
      </c>
      <c r="C5830" s="198">
        <f>"'CONFIGURAÇÃO'!AD221"</f>
        <v/>
      </c>
      <c r="D5830" s="198" t="inlineStr">
        <is>
          <t>configuração</t>
        </is>
      </c>
    </row>
    <row r="5831">
      <c r="A5831" s="198" t="inlineStr">
        <is>
          <t>custom.16.campo.grau_minimo</t>
        </is>
      </c>
      <c r="B5831" s="198">
        <f>SWITCH('CONFIGURAÇÃO'!$AB$217,"Uniforme",IF(ISBLANK('CONFIGURAÇÃO'!$AD$220),"",'CONFIGURAÇÃO'!$AD$220&amp;""),"")</f>
        <v/>
      </c>
      <c r="C5831" s="198">
        <f>"'CONFIGURAÇÃO'!AD220"</f>
        <v/>
      </c>
      <c r="D5831" s="198" t="inlineStr">
        <is>
          <t>configuração</t>
        </is>
      </c>
    </row>
    <row r="5832">
      <c r="A5832" s="198" t="inlineStr">
        <is>
          <t>custom.16.campo.mao</t>
        </is>
      </c>
      <c r="B5832" s="198">
        <f>SWITCH('CONFIGURAÇÃO'!$AB$217,"Arma",IF(ISBLANK('CONFIGURAÇÃO'!$AD$221),"",'CONFIGURAÇÃO'!$AD$221&amp;""),"")</f>
        <v/>
      </c>
      <c r="C5832" s="198">
        <f>"'CONFIGURAÇÃO'!AD221"</f>
        <v/>
      </c>
      <c r="D5832" s="198" t="inlineStr">
        <is>
          <t>configuração</t>
        </is>
      </c>
    </row>
    <row r="5833">
      <c r="A5833" s="198" t="inlineStr">
        <is>
          <t>custom.16.campo.oficio</t>
        </is>
      </c>
      <c r="B5833" s="198">
        <f>SWITCH('CONFIGURAÇÃO'!$AB$217,"Origem",IF(ISBLANK('CONFIGURAÇÃO'!$AD$226),"",'CONFIGURAÇÃO'!$AD$226&amp;""),"")</f>
        <v/>
      </c>
      <c r="C5833" s="198">
        <f>"'CONFIGURAÇÃO'!AD226"</f>
        <v/>
      </c>
      <c r="D5833" s="198" t="inlineStr">
        <is>
          <t>configuração</t>
        </is>
      </c>
    </row>
    <row r="5834">
      <c r="A5834" s="198" t="inlineStr">
        <is>
          <t>custom.16.campo.origem</t>
        </is>
      </c>
      <c r="B5834" s="198">
        <f>SWITCH('CONFIGURAÇÃO'!$AB$217,"Marcante",IF(ISBLANK('CONFIGURAÇÃO'!$AD$220),"",'CONFIGURAÇÃO'!$AD$220&amp;""),"Menor",IF(ISBLANK('CONFIGURAÇÃO'!$AD$220),"",'CONFIGURAÇÃO'!$AD$220&amp;""),"")</f>
        <v/>
      </c>
      <c r="C5834" s="198">
        <f>"'CONFIGURAÇÃO'!L449 'CONFIGURAÇÃO'!L449"</f>
        <v/>
      </c>
      <c r="D5834" s="198" t="inlineStr">
        <is>
          <t>configuração</t>
        </is>
      </c>
    </row>
    <row r="5835">
      <c r="A5835" s="198" t="inlineStr">
        <is>
          <t>custom.16.campo.pericia_1</t>
        </is>
      </c>
      <c r="B5835" s="198">
        <f>SWITCH('CONFIGURAÇÃO'!$AB$217,"Origem",IF(ISBLANK('CONFIGURAÇÃO'!$AD$220),"",'CONFIGURAÇÃO'!$AD$220&amp;""),"")</f>
        <v/>
      </c>
      <c r="C5835" s="198">
        <f>"'CONFIGURAÇÃO'!AD220"</f>
        <v/>
      </c>
      <c r="D5835" s="198" t="inlineStr">
        <is>
          <t>configuração</t>
        </is>
      </c>
    </row>
    <row r="5836">
      <c r="A5836" s="198" t="inlineStr">
        <is>
          <t>custom.16.campo.pericia_2</t>
        </is>
      </c>
      <c r="B5836" s="198">
        <f>SWITCH('CONFIGURAÇÃO'!$AB$217,"Origem",IF(ISBLANK('CONFIGURAÇÃO'!$AD$221),"",'CONFIGURAÇÃO'!$AD$221&amp;""),"")</f>
        <v/>
      </c>
      <c r="C5836" s="198">
        <f>"'CONFIGURAÇÃO'!AD221"</f>
        <v/>
      </c>
      <c r="D5836" s="198" t="inlineStr">
        <is>
          <t>configuração</t>
        </is>
      </c>
    </row>
    <row r="5837">
      <c r="A5837" s="198" t="inlineStr">
        <is>
          <t>custom.16.campo.pericia_3</t>
        </is>
      </c>
      <c r="B5837" s="198">
        <f>SWITCH('CONFIGURAÇÃO'!$AB$217,"Origem",IF(ISBLANK('CONFIGURAÇÃO'!$AD$222),"",'CONFIGURAÇÃO'!$AD$222&amp;""),"")</f>
        <v/>
      </c>
      <c r="C5837" s="198">
        <f>"'CONFIGURAÇÃO'!AD222"</f>
        <v/>
      </c>
      <c r="D5837" s="198" t="inlineStr">
        <is>
          <t>configuração</t>
        </is>
      </c>
    </row>
    <row r="5838">
      <c r="A5838" s="198" t="inlineStr">
        <is>
          <t>custom.16.campo.pericia_4</t>
        </is>
      </c>
      <c r="B5838" s="198">
        <f>SWITCH('CONFIGURAÇÃO'!$AB$217,"Origem",IF(ISBLANK('CONFIGURAÇÃO'!$AD$223),"",'CONFIGURAÇÃO'!$AD$223&amp;""),"")</f>
        <v/>
      </c>
      <c r="C5838" s="198">
        <f>"'CONFIGURAÇÃO'!AD223"</f>
        <v/>
      </c>
      <c r="D5838" s="198" t="inlineStr">
        <is>
          <t>configuração</t>
        </is>
      </c>
    </row>
    <row r="5839">
      <c r="A5839" s="198" t="inlineStr">
        <is>
          <t>custom.16.campo.preco</t>
        </is>
      </c>
      <c r="B5839" s="198">
        <f>SWITCH('CONFIGURAÇÃO'!$AB$217,"Arma",IF(ISBLANK('CONFIGURAÇÃO'!$AD$232),"",'CONFIGURAÇÃO'!$AD$232&amp;""),"Escudo",IF(ISBLANK('CONFIGURAÇÃO'!$AD$231),"",'CONFIGURAÇÃO'!$AD$231&amp;""),"Uniforme",IF(ISBLANK('CONFIGURAÇÃO'!$AD$231),"",'CONFIGURAÇÃO'!$AD$231&amp;""),"Item comum",IF(ISBLANK('CONFIGURAÇÃO'!$AD$228),"",'CONFIGURAÇÃO'!$AD$228&amp;""),"Ferramenta amaldiçoada",IF(ISBLANK('CONFIGURAÇÃO'!$AD$230),"",'CONFIGURAÇÃO'!$AD$230&amp;""),"")</f>
        <v/>
      </c>
      <c r="C5839" s="198">
        <f>"'CONFIGURAÇÃO'!L461 'CONFIGURAÇÃO'!L460 'CONFIGURAÇÃO'!L460 'CONFIGURAÇÃO'!L457 'CONFIGURAÇÃO'!L459"</f>
        <v/>
      </c>
      <c r="D5839" s="198" t="inlineStr">
        <is>
          <t>configuração</t>
        </is>
      </c>
    </row>
    <row r="5840">
      <c r="A5840" s="198" t="inlineStr">
        <is>
          <t>custom.16.campo.propriedade_1</t>
        </is>
      </c>
      <c r="B5840" s="198">
        <f>SWITCH('CONFIGURAÇÃO'!$AB$217,"Arma",IF(ISBLANK('CONFIGURAÇÃO'!$AD$223),"",'CONFIGURAÇÃO'!$AD$223&amp;""),"")</f>
        <v/>
      </c>
      <c r="C5840" s="198">
        <f>"'CONFIGURAÇÃO'!AD223"</f>
        <v/>
      </c>
      <c r="D5840" s="198" t="inlineStr">
        <is>
          <t>configuração</t>
        </is>
      </c>
    </row>
    <row r="5841">
      <c r="A5841" s="198" t="inlineStr">
        <is>
          <t>custom.16.campo.propriedade_2</t>
        </is>
      </c>
      <c r="B5841" s="198">
        <f>SWITCH('CONFIGURAÇÃO'!$AB$217,"Arma",IF(ISBLANK('CONFIGURAÇÃO'!$AD$224),"",'CONFIGURAÇÃO'!$AD$224&amp;""),"")</f>
        <v/>
      </c>
      <c r="C5841" s="198">
        <f>"'CONFIGURAÇÃO'!AD224"</f>
        <v/>
      </c>
      <c r="D5841" s="198" t="inlineStr">
        <is>
          <t>configuração</t>
        </is>
      </c>
    </row>
    <row r="5842">
      <c r="A5842" s="198" t="inlineStr">
        <is>
          <t>custom.16.campo.propriedade_3</t>
        </is>
      </c>
      <c r="B5842" s="198">
        <f>SWITCH('CONFIGURAÇÃO'!$AB$217,"Arma",IF(ISBLANK('CONFIGURAÇÃO'!$AD$225),"",'CONFIGURAÇÃO'!$AD$225&amp;""),"")</f>
        <v/>
      </c>
      <c r="C5842" s="198">
        <f>"'CONFIGURAÇÃO'!AD225"</f>
        <v/>
      </c>
      <c r="D5842" s="198" t="inlineStr">
        <is>
          <t>configuração</t>
        </is>
      </c>
    </row>
    <row r="5843">
      <c r="A5843" s="198" t="inlineStr">
        <is>
          <t>custom.16.campo.propriedade_4</t>
        </is>
      </c>
      <c r="B5843" s="198">
        <f>SWITCH('CONFIGURAÇÃO'!$AB$217,"Arma",IF(ISBLANK('CONFIGURAÇÃO'!$AD$226),"",'CONFIGURAÇÃO'!$AD$226&amp;""),"")</f>
        <v/>
      </c>
      <c r="C5843" s="198">
        <f>"'CONFIGURAÇÃO'!AD226"</f>
        <v/>
      </c>
      <c r="D5843" s="198" t="inlineStr">
        <is>
          <t>configuração</t>
        </is>
      </c>
    </row>
    <row r="5844">
      <c r="A5844" s="198" t="inlineStr">
        <is>
          <t>custom.16.campo.protecao</t>
        </is>
      </c>
      <c r="B5844" s="198">
        <f>SWITCH('CONFIGURAÇÃO'!$AB$217,"Escudo",IF(ISBLANK('CONFIGURAÇÃO'!$AD$227),"",'CONFIGURAÇÃO'!$AD$227&amp;""),"Uniforme",IF(ISBLANK('CONFIGURAÇÃO'!$AD$227),"",'CONFIGURAÇÃO'!$AD$227&amp;""),"")</f>
        <v/>
      </c>
      <c r="C5844" s="198">
        <f>"'CONFIGURAÇÃO'!L456 'CONFIGURAÇÃO'!L456"</f>
        <v/>
      </c>
      <c r="D5844" s="198" t="inlineStr">
        <is>
          <t>configuração</t>
        </is>
      </c>
    </row>
    <row r="5845">
      <c r="A5845" s="198" t="inlineStr">
        <is>
          <t>custom.16.campo.recarga</t>
        </is>
      </c>
      <c r="B5845" s="198">
        <f>SWITCH('CONFIGURAÇÃO'!$AB$217,"Arma",IF(ISBLANK('CONFIGURAÇÃO'!$AD$231),"",'CONFIGURAÇÃO'!$AD$231&amp;""),"")</f>
        <v/>
      </c>
      <c r="C5845" s="198">
        <f>"'CONFIGURAÇÃO'!AD231"</f>
        <v/>
      </c>
      <c r="D5845" s="198" t="inlineStr">
        <is>
          <t>configuração</t>
        </is>
      </c>
    </row>
    <row r="5846">
      <c r="A5846" s="198" t="inlineStr">
        <is>
          <t>custom.16.campo.rota</t>
        </is>
      </c>
      <c r="B5846" s="198">
        <f>SWITCH('CONFIGURAÇÃO'!$AB$217,"Origem",IF(ISBLANK('CONFIGURAÇÃO'!$AD$224),"",'CONFIGURAÇÃO'!$AD$224&amp;""),"")</f>
        <v/>
      </c>
      <c r="C5846" s="198">
        <f>"'CONFIGURAÇÃO'!AD224"</f>
        <v/>
      </c>
      <c r="D5846" s="198" t="inlineStr">
        <is>
          <t>configuração</t>
        </is>
      </c>
    </row>
    <row r="5847">
      <c r="A5847" s="198" t="inlineStr">
        <is>
          <t>custom.16.campo.talento_ce_4</t>
        </is>
      </c>
      <c r="B5847" s="198">
        <f>SWITCH('CONFIGURAÇÃO'!$AB$217,"Origem",IF(ISBLANK('CONFIGURAÇÃO'!$AD$227),"",'CONFIGURAÇÃO'!$AD$227&amp;""),"")</f>
        <v/>
      </c>
      <c r="C5847" s="198">
        <f>"'CONFIGURAÇÃO'!AD227"</f>
        <v/>
      </c>
      <c r="D5847" s="198" t="inlineStr">
        <is>
          <t>configuração</t>
        </is>
      </c>
    </row>
    <row r="5848">
      <c r="A5848" s="198" t="inlineStr">
        <is>
          <t>custom.16.campo.teto_de_destreza</t>
        </is>
      </c>
      <c r="B5848" s="198">
        <f>SWITCH('CONFIGURAÇÃO'!$AB$217,"Escudo",IF(ISBLANK('CONFIGURAÇÃO'!$AD$228),"",'CONFIGURAÇÃO'!$AD$228&amp;""),"Uniforme",IF(ISBLANK('CONFIGURAÇÃO'!$AD$228),"",'CONFIGURAÇÃO'!$AD$228&amp;""),"")</f>
        <v/>
      </c>
      <c r="C5848" s="198">
        <f>"'CONFIGURAÇÃO'!L457 'CONFIGURAÇÃO'!L457"</f>
        <v/>
      </c>
      <c r="D5848" s="198" t="inlineStr">
        <is>
          <t>configuração</t>
        </is>
      </c>
    </row>
    <row r="5849">
      <c r="A5849" s="198" t="inlineStr">
        <is>
          <t>custom.16.campo.tipo_de_dano</t>
        </is>
      </c>
      <c r="B5849" s="198">
        <f>SWITCH('CONFIGURAÇÃO'!$AB$217,"Arma",IF(ISBLANK('CONFIGURAÇÃO'!$AD$222),"",'CONFIGURAÇÃO'!$AD$222&amp;""),"")</f>
        <v/>
      </c>
      <c r="C5849" s="198">
        <f>"'CONFIGURAÇÃO'!AD222"</f>
        <v/>
      </c>
      <c r="D5849" s="198" t="inlineStr">
        <is>
          <t>configuração</t>
        </is>
      </c>
    </row>
    <row r="5850">
      <c r="A5850" s="198" t="inlineStr">
        <is>
          <t>custom.16.campo.volume</t>
        </is>
      </c>
      <c r="B5850" s="198">
        <f>SWITCH('CONFIGURAÇÃO'!$AB$217,"Arma",IF(ISBLANK('CONFIGURAÇÃO'!$AD$229),"",'CONFIGURAÇÃO'!$AD$229&amp;""),"Escudo",IF(ISBLANK('CONFIGURAÇÃO'!$AD$230),"",'CONFIGURAÇÃO'!$AD$230&amp;""),"Uniforme",IF(ISBLANK('CONFIGURAÇÃO'!$AD$230),"",'CONFIGURAÇÃO'!$AD$230&amp;""),"Item comum",IF(ISBLANK('CONFIGURAÇÃO'!$AD$227),"",'CONFIGURAÇÃO'!$AD$227&amp;""),"Ferramenta amaldiçoada",IF(ISBLANK('CONFIGURAÇÃO'!$AD$229),"",'CONFIGURAÇÃO'!$AD$229&amp;""),"")</f>
        <v/>
      </c>
      <c r="C5850" s="198">
        <f>"'CONFIGURAÇÃO'!L458 'CONFIGURAÇÃO'!L459 'CONFIGURAÇÃO'!L459 'CONFIGURAÇÃO'!L456 'CONFIGURAÇÃO'!L458"</f>
        <v/>
      </c>
      <c r="D5850" s="198" t="inlineStr">
        <is>
          <t>configuração</t>
        </is>
      </c>
    </row>
    <row r="5851">
      <c r="A5851" s="198" t="inlineStr">
        <is>
          <t>aviso.custom.16</t>
        </is>
      </c>
      <c r="B5851" s="198">
        <f>'DADOS_CUSTOM'!$S$17&amp;""</f>
        <v/>
      </c>
      <c r="C5851" s="198" t="inlineStr">
        <is>
          <t>DADOS_CUSTOM!S17</t>
        </is>
      </c>
      <c r="D5851" s="198" t="inlineStr">
        <is>
          <t>aviso</t>
        </is>
      </c>
    </row>
    <row r="5852">
      <c r="A5852" s="198" t="inlineStr">
        <is>
          <t>custom.17.tipo</t>
        </is>
      </c>
      <c r="B5852" s="198">
        <f>IF(ISBLANK('CONFIGURAÇÃO'!$T$246),"",'CONFIGURAÇÃO'!$T$246&amp;"")</f>
        <v/>
      </c>
      <c r="C5852" s="198">
        <f>"'CONFIGURAÇÃO'!T246"</f>
        <v/>
      </c>
      <c r="D5852" s="198" t="inlineStr">
        <is>
          <t>configuração</t>
        </is>
      </c>
    </row>
    <row r="5853">
      <c r="A5853" s="198" t="inlineStr">
        <is>
          <t>custom.17.nome</t>
        </is>
      </c>
      <c r="B5853" s="198">
        <f>IF(ISBLANK('CONFIGURAÇÃO'!$T$248),"",'CONFIGURAÇÃO'!$T$248&amp;"")</f>
        <v/>
      </c>
      <c r="C5853" s="198">
        <f>"'CONFIGURAÇÃO'!T248"</f>
        <v/>
      </c>
      <c r="D5853" s="198" t="inlineStr">
        <is>
          <t>configuração</t>
        </is>
      </c>
    </row>
    <row r="5854">
      <c r="A5854" s="198" t="inlineStr">
        <is>
          <t>custom.17.mestre_viu</t>
        </is>
      </c>
      <c r="B5854" s="198">
        <f>N('CONFIGURAÇÃO'!$X$246)&amp;""</f>
        <v/>
      </c>
      <c r="C5854" s="198">
        <f>"'CONFIGURAÇÃO'!X246"</f>
        <v/>
      </c>
      <c r="D5854" s="198" t="inlineStr">
        <is>
          <t>configuração</t>
        </is>
      </c>
    </row>
    <row r="5855">
      <c r="A5855" s="198" t="inlineStr">
        <is>
          <t>custom.17.efeito</t>
        </is>
      </c>
      <c r="B5855" s="198">
        <f>IF(ISBLANK('CONFIGURAÇÃO'!$T$263),"",'CONFIGURAÇÃO'!$T$263&amp;"")</f>
        <v/>
      </c>
      <c r="C5855" s="198">
        <f>"'CONFIGURAÇÃO'!T263"</f>
        <v/>
      </c>
      <c r="D5855" s="198" t="inlineStr">
        <is>
          <t>configuração</t>
        </is>
      </c>
    </row>
    <row r="5856">
      <c r="A5856" s="198" t="inlineStr">
        <is>
          <t>custom.17.campo.alcance</t>
        </is>
      </c>
      <c r="B5856" s="198">
        <f>SWITCH('CONFIGURAÇÃO'!$T$246,"Arma",IF(ISBLANK('CONFIGURAÇÃO'!$V$259),"",'CONFIGURAÇÃO'!$V$259&amp;""),"")</f>
        <v/>
      </c>
      <c r="C5856" s="198">
        <f>"'CONFIGURAÇÃO'!V259"</f>
        <v/>
      </c>
      <c r="D5856" s="198" t="inlineStr">
        <is>
          <t>configuração</t>
        </is>
      </c>
    </row>
    <row r="5857">
      <c r="A5857" s="198" t="inlineStr">
        <is>
          <t>custom.17.campo.base</t>
        </is>
      </c>
      <c r="B5857" s="198">
        <f>SWITCH('CONFIGURAÇÃO'!$T$246,"Ferramenta amaldiçoada",IF(ISBLANK('CONFIGURAÇÃO'!$V$249),"",'CONFIGURAÇÃO'!$V$249&amp;""),"")</f>
        <v/>
      </c>
      <c r="C5857" s="198">
        <f>"'CONFIGURAÇÃO'!V249"</f>
        <v/>
      </c>
      <c r="D5857" s="198" t="inlineStr">
        <is>
          <t>configuração</t>
        </is>
      </c>
    </row>
    <row r="5858">
      <c r="A5858" s="198" t="inlineStr">
        <is>
          <t>custom.17.campo.base_do_livro</t>
        </is>
      </c>
      <c r="B5858" s="198">
        <f>SWITCH('CONFIGURAÇÃO'!$T$246,"Origem",IF(ISBLANK('CONFIGURAÇÃO'!$V$254),"",'CONFIGURAÇÃO'!$V$254&amp;""),"")</f>
        <v/>
      </c>
      <c r="C5858" s="198">
        <f>"'CONFIGURAÇÃO'!V254"</f>
        <v/>
      </c>
      <c r="D5858" s="198" t="inlineStr">
        <is>
          <t>configuração</t>
        </is>
      </c>
    </row>
    <row r="5859">
      <c r="A5859" s="198" t="inlineStr">
        <is>
          <t>custom.17.campo.categoria</t>
        </is>
      </c>
      <c r="B5859" s="198">
        <f>SWITCH('CONFIGURAÇÃO'!$T$246,"Arma",IF(ISBLANK('CONFIGURAÇÃO'!$V$249),"",'CONFIGURAÇÃO'!$V$249&amp;""),"")</f>
        <v/>
      </c>
      <c r="C5859" s="198">
        <f>"'CONFIGURAÇÃO'!V249"</f>
        <v/>
      </c>
      <c r="D5859" s="198" t="inlineStr">
        <is>
          <t>configuração</t>
        </is>
      </c>
    </row>
    <row r="5860">
      <c r="A5860" s="198" t="inlineStr">
        <is>
          <t>custom.17.campo.dado</t>
        </is>
      </c>
      <c r="B5860" s="198">
        <f>SWITCH('CONFIGURAÇÃO'!$T$246,"Arma",IF(ISBLANK('CONFIGURAÇÃO'!$V$256),"",'CONFIGURAÇÃO'!$V$256&amp;""),"")</f>
        <v/>
      </c>
      <c r="C5860" s="198">
        <f>"'CONFIGURAÇÃO'!V256"</f>
        <v/>
      </c>
      <c r="D5860" s="198" t="inlineStr">
        <is>
          <t>configuração</t>
        </is>
      </c>
    </row>
    <row r="5861">
      <c r="A5861" s="198" t="inlineStr">
        <is>
          <t>custom.17.campo.desgaste</t>
        </is>
      </c>
      <c r="B5861" s="198">
        <f>SWITCH('CONFIGURAÇÃO'!$T$246,"Ferramenta amaldiçoada",IF(ISBLANK('CONFIGURAÇÃO'!$V$257),"",'CONFIGURAÇÃO'!$V$257&amp;""),"")</f>
        <v/>
      </c>
      <c r="C5861" s="198">
        <f>"'CONFIGURAÇÃO'!V257"</f>
        <v/>
      </c>
      <c r="D5861" s="198" t="inlineStr">
        <is>
          <t>configuração</t>
        </is>
      </c>
    </row>
    <row r="5862">
      <c r="A5862" s="198" t="inlineStr">
        <is>
          <t>custom.17.campo.estigma</t>
        </is>
      </c>
      <c r="B5862" s="198">
        <f>SWITCH('CONFIGURAÇÃO'!$T$246,"Ferramenta amaldiçoada",IF(ISBLANK('CONFIGURAÇÃO'!$V$256),"",'CONFIGURAÇÃO'!$V$256&amp;""),"")</f>
        <v/>
      </c>
      <c r="C5862" s="198">
        <f>"'CONFIGURAÇÃO'!V256"</f>
        <v/>
      </c>
      <c r="D5862" s="198" t="inlineStr">
        <is>
          <t>configuração</t>
        </is>
      </c>
    </row>
    <row r="5863">
      <c r="A5863" s="198" t="inlineStr">
        <is>
          <t>custom.17.campo.exige_marcante</t>
        </is>
      </c>
      <c r="B5863" s="198">
        <f>SWITCH('CONFIGURAÇÃO'!$T$246,"Menor",IF(ISBLANK('CONFIGURAÇÃO'!$V$250),"",'CONFIGURAÇÃO'!$V$250&amp;""),"")</f>
        <v/>
      </c>
      <c r="C5863" s="198">
        <f>"'CONFIGURAÇÃO'!V250"</f>
        <v/>
      </c>
      <c r="D5863" s="198" t="inlineStr">
        <is>
          <t>configuração</t>
        </is>
      </c>
    </row>
    <row r="5864">
      <c r="A5864" s="198" t="inlineStr">
        <is>
          <t>custom.17.campo.forca</t>
        </is>
      </c>
      <c r="B5864" s="198">
        <f>SWITCH('CONFIGURAÇÃO'!$T$246,"Arma",IF(ISBLANK('CONFIGURAÇÃO'!$V$257),"",'CONFIGURAÇÃO'!$V$257&amp;""),"Escudo",IF(ISBLANK('CONFIGURAÇÃO'!$V$258),"",'CONFIGURAÇÃO'!$V$258&amp;""),"Uniforme",IF(ISBLANK('CONFIGURAÇÃO'!$V$258),"",'CONFIGURAÇÃO'!$V$258&amp;""),"")</f>
        <v/>
      </c>
      <c r="C5864" s="198">
        <f>"'CONFIGURAÇÃO'!L486 'CONFIGURAÇÃO'!L487 'CONFIGURAÇÃO'!L487"</f>
        <v/>
      </c>
      <c r="D5864" s="198" t="inlineStr">
        <is>
          <t>configuração</t>
        </is>
      </c>
    </row>
    <row r="5865">
      <c r="A5865" s="198" t="inlineStr">
        <is>
          <t>custom.17.campo.frequencia</t>
        </is>
      </c>
      <c r="B5865" s="198">
        <f>SWITCH('CONFIGURAÇÃO'!$T$246,"Marcante",IF(ISBLANK('CONFIGURAÇÃO'!$V$256),"",'CONFIGURAÇÃO'!$V$256&amp;""),"Menor",IF(ISBLANK('CONFIGURAÇÃO'!$V$256),"",'CONFIGURAÇÃO'!$V$256&amp;""),"")</f>
        <v/>
      </c>
      <c r="C5865" s="198">
        <f>"'CONFIGURAÇÃO'!L485 'CONFIGURAÇÃO'!L485"</f>
        <v/>
      </c>
      <c r="D5865" s="198" t="inlineStr">
        <is>
          <t>configuração</t>
        </is>
      </c>
    </row>
    <row r="5866">
      <c r="A5866" s="198" t="inlineStr">
        <is>
          <t>custom.17.campo.grau</t>
        </is>
      </c>
      <c r="B5866" s="198">
        <f>SWITCH('CONFIGURAÇÃO'!$T$246,"Ferramenta amaldiçoada",IF(ISBLANK('CONFIGURAÇÃO'!$V$250),"",'CONFIGURAÇÃO'!$V$250&amp;""),"")</f>
        <v/>
      </c>
      <c r="C5866" s="198">
        <f>"'CONFIGURAÇÃO'!V250"</f>
        <v/>
      </c>
      <c r="D5866" s="198" t="inlineStr">
        <is>
          <t>configuração</t>
        </is>
      </c>
    </row>
    <row r="5867">
      <c r="A5867" s="198" t="inlineStr">
        <is>
          <t>custom.17.campo.grau_minimo</t>
        </is>
      </c>
      <c r="B5867" s="198">
        <f>SWITCH('CONFIGURAÇÃO'!$T$246,"Uniforme",IF(ISBLANK('CONFIGURAÇÃO'!$V$249),"",'CONFIGURAÇÃO'!$V$249&amp;""),"")</f>
        <v/>
      </c>
      <c r="C5867" s="198">
        <f>"'CONFIGURAÇÃO'!V249"</f>
        <v/>
      </c>
      <c r="D5867" s="198" t="inlineStr">
        <is>
          <t>configuração</t>
        </is>
      </c>
    </row>
    <row r="5868">
      <c r="A5868" s="198" t="inlineStr">
        <is>
          <t>custom.17.campo.mao</t>
        </is>
      </c>
      <c r="B5868" s="198">
        <f>SWITCH('CONFIGURAÇÃO'!$T$246,"Arma",IF(ISBLANK('CONFIGURAÇÃO'!$V$250),"",'CONFIGURAÇÃO'!$V$250&amp;""),"")</f>
        <v/>
      </c>
      <c r="C5868" s="198">
        <f>"'CONFIGURAÇÃO'!V250"</f>
        <v/>
      </c>
      <c r="D5868" s="198" t="inlineStr">
        <is>
          <t>configuração</t>
        </is>
      </c>
    </row>
    <row r="5869">
      <c r="A5869" s="198" t="inlineStr">
        <is>
          <t>custom.17.campo.oficio</t>
        </is>
      </c>
      <c r="B5869" s="198">
        <f>SWITCH('CONFIGURAÇÃO'!$T$246,"Origem",IF(ISBLANK('CONFIGURAÇÃO'!$V$255),"",'CONFIGURAÇÃO'!$V$255&amp;""),"")</f>
        <v/>
      </c>
      <c r="C5869" s="198">
        <f>"'CONFIGURAÇÃO'!V255"</f>
        <v/>
      </c>
      <c r="D5869" s="198" t="inlineStr">
        <is>
          <t>configuração</t>
        </is>
      </c>
    </row>
    <row r="5870">
      <c r="A5870" s="198" t="inlineStr">
        <is>
          <t>custom.17.campo.origem</t>
        </is>
      </c>
      <c r="B5870" s="198">
        <f>SWITCH('CONFIGURAÇÃO'!$T$246,"Marcante",IF(ISBLANK('CONFIGURAÇÃO'!$V$249),"",'CONFIGURAÇÃO'!$V$249&amp;""),"Menor",IF(ISBLANK('CONFIGURAÇÃO'!$V$249),"",'CONFIGURAÇÃO'!$V$249&amp;""),"")</f>
        <v/>
      </c>
      <c r="C5870" s="198">
        <f>"'CONFIGURAÇÃO'!L478 'CONFIGURAÇÃO'!L478"</f>
        <v/>
      </c>
      <c r="D5870" s="198" t="inlineStr">
        <is>
          <t>configuração</t>
        </is>
      </c>
    </row>
    <row r="5871">
      <c r="A5871" s="198" t="inlineStr">
        <is>
          <t>custom.17.campo.pericia_1</t>
        </is>
      </c>
      <c r="B5871" s="198">
        <f>SWITCH('CONFIGURAÇÃO'!$T$246,"Origem",IF(ISBLANK('CONFIGURAÇÃO'!$V$249),"",'CONFIGURAÇÃO'!$V$249&amp;""),"")</f>
        <v/>
      </c>
      <c r="C5871" s="198">
        <f>"'CONFIGURAÇÃO'!V249"</f>
        <v/>
      </c>
      <c r="D5871" s="198" t="inlineStr">
        <is>
          <t>configuração</t>
        </is>
      </c>
    </row>
    <row r="5872">
      <c r="A5872" s="198" t="inlineStr">
        <is>
          <t>custom.17.campo.pericia_2</t>
        </is>
      </c>
      <c r="B5872" s="198">
        <f>SWITCH('CONFIGURAÇÃO'!$T$246,"Origem",IF(ISBLANK('CONFIGURAÇÃO'!$V$250),"",'CONFIGURAÇÃO'!$V$250&amp;""),"")</f>
        <v/>
      </c>
      <c r="C5872" s="198">
        <f>"'CONFIGURAÇÃO'!V250"</f>
        <v/>
      </c>
      <c r="D5872" s="198" t="inlineStr">
        <is>
          <t>configuração</t>
        </is>
      </c>
    </row>
    <row r="5873">
      <c r="A5873" s="198" t="inlineStr">
        <is>
          <t>custom.17.campo.pericia_3</t>
        </is>
      </c>
      <c r="B5873" s="198">
        <f>SWITCH('CONFIGURAÇÃO'!$T$246,"Origem",IF(ISBLANK('CONFIGURAÇÃO'!$V$251),"",'CONFIGURAÇÃO'!$V$251&amp;""),"")</f>
        <v/>
      </c>
      <c r="C5873" s="198">
        <f>"'CONFIGURAÇÃO'!V251"</f>
        <v/>
      </c>
      <c r="D5873" s="198" t="inlineStr">
        <is>
          <t>configuração</t>
        </is>
      </c>
    </row>
    <row r="5874">
      <c r="A5874" s="198" t="inlineStr">
        <is>
          <t>custom.17.campo.pericia_4</t>
        </is>
      </c>
      <c r="B5874" s="198">
        <f>SWITCH('CONFIGURAÇÃO'!$T$246,"Origem",IF(ISBLANK('CONFIGURAÇÃO'!$V$252),"",'CONFIGURAÇÃO'!$V$252&amp;""),"")</f>
        <v/>
      </c>
      <c r="C5874" s="198">
        <f>"'CONFIGURAÇÃO'!V252"</f>
        <v/>
      </c>
      <c r="D5874" s="198" t="inlineStr">
        <is>
          <t>configuração</t>
        </is>
      </c>
    </row>
    <row r="5875">
      <c r="A5875" s="198" t="inlineStr">
        <is>
          <t>custom.17.campo.preco</t>
        </is>
      </c>
      <c r="B5875" s="198">
        <f>SWITCH('CONFIGURAÇÃO'!$T$246,"Arma",IF(ISBLANK('CONFIGURAÇÃO'!$V$261),"",'CONFIGURAÇÃO'!$V$261&amp;""),"Escudo",IF(ISBLANK('CONFIGURAÇÃO'!$V$260),"",'CONFIGURAÇÃO'!$V$260&amp;""),"Uniforme",IF(ISBLANK('CONFIGURAÇÃO'!$V$260),"",'CONFIGURAÇÃO'!$V$260&amp;""),"Item comum",IF(ISBLANK('CONFIGURAÇÃO'!$V$257),"",'CONFIGURAÇÃO'!$V$257&amp;""),"Ferramenta amaldiçoada",IF(ISBLANK('CONFIGURAÇÃO'!$V$259),"",'CONFIGURAÇÃO'!$V$259&amp;""),"")</f>
        <v/>
      </c>
      <c r="C5875" s="198">
        <f>"'CONFIGURAÇÃO'!L490 'CONFIGURAÇÃO'!L489 'CONFIGURAÇÃO'!L489 'CONFIGURAÇÃO'!L486 'CONFIGURAÇÃO'!L488"</f>
        <v/>
      </c>
      <c r="D5875" s="198" t="inlineStr">
        <is>
          <t>configuração</t>
        </is>
      </c>
    </row>
    <row r="5876">
      <c r="A5876" s="198" t="inlineStr">
        <is>
          <t>custom.17.campo.propriedade_1</t>
        </is>
      </c>
      <c r="B5876" s="198">
        <f>SWITCH('CONFIGURAÇÃO'!$T$246,"Arma",IF(ISBLANK('CONFIGURAÇÃO'!$V$252),"",'CONFIGURAÇÃO'!$V$252&amp;""),"")</f>
        <v/>
      </c>
      <c r="C5876" s="198">
        <f>"'CONFIGURAÇÃO'!V252"</f>
        <v/>
      </c>
      <c r="D5876" s="198" t="inlineStr">
        <is>
          <t>configuração</t>
        </is>
      </c>
    </row>
    <row r="5877">
      <c r="A5877" s="198" t="inlineStr">
        <is>
          <t>custom.17.campo.propriedade_2</t>
        </is>
      </c>
      <c r="B5877" s="198">
        <f>SWITCH('CONFIGURAÇÃO'!$T$246,"Arma",IF(ISBLANK('CONFIGURAÇÃO'!$V$253),"",'CONFIGURAÇÃO'!$V$253&amp;""),"")</f>
        <v/>
      </c>
      <c r="C5877" s="198">
        <f>"'CONFIGURAÇÃO'!V253"</f>
        <v/>
      </c>
      <c r="D5877" s="198" t="inlineStr">
        <is>
          <t>configuração</t>
        </is>
      </c>
    </row>
    <row r="5878">
      <c r="A5878" s="198" t="inlineStr">
        <is>
          <t>custom.17.campo.propriedade_3</t>
        </is>
      </c>
      <c r="B5878" s="198">
        <f>SWITCH('CONFIGURAÇÃO'!$T$246,"Arma",IF(ISBLANK('CONFIGURAÇÃO'!$V$254),"",'CONFIGURAÇÃO'!$V$254&amp;""),"")</f>
        <v/>
      </c>
      <c r="C5878" s="198">
        <f>"'CONFIGURAÇÃO'!V254"</f>
        <v/>
      </c>
      <c r="D5878" s="198" t="inlineStr">
        <is>
          <t>configuração</t>
        </is>
      </c>
    </row>
    <row r="5879">
      <c r="A5879" s="198" t="inlineStr">
        <is>
          <t>custom.17.campo.propriedade_4</t>
        </is>
      </c>
      <c r="B5879" s="198">
        <f>SWITCH('CONFIGURAÇÃO'!$T$246,"Arma",IF(ISBLANK('CONFIGURAÇÃO'!$V$255),"",'CONFIGURAÇÃO'!$V$255&amp;""),"")</f>
        <v/>
      </c>
      <c r="C5879" s="198">
        <f>"'CONFIGURAÇÃO'!V255"</f>
        <v/>
      </c>
      <c r="D5879" s="198" t="inlineStr">
        <is>
          <t>configuração</t>
        </is>
      </c>
    </row>
    <row r="5880">
      <c r="A5880" s="198" t="inlineStr">
        <is>
          <t>custom.17.campo.protecao</t>
        </is>
      </c>
      <c r="B5880" s="198">
        <f>SWITCH('CONFIGURAÇÃO'!$T$246,"Escudo",IF(ISBLANK('CONFIGURAÇÃO'!$V$256),"",'CONFIGURAÇÃO'!$V$256&amp;""),"Uniforme",IF(ISBLANK('CONFIGURAÇÃO'!$V$256),"",'CONFIGURAÇÃO'!$V$256&amp;""),"")</f>
        <v/>
      </c>
      <c r="C5880" s="198">
        <f>"'CONFIGURAÇÃO'!L485 'CONFIGURAÇÃO'!L485"</f>
        <v/>
      </c>
      <c r="D5880" s="198" t="inlineStr">
        <is>
          <t>configuração</t>
        </is>
      </c>
    </row>
    <row r="5881">
      <c r="A5881" s="198" t="inlineStr">
        <is>
          <t>custom.17.campo.recarga</t>
        </is>
      </c>
      <c r="B5881" s="198">
        <f>SWITCH('CONFIGURAÇÃO'!$T$246,"Arma",IF(ISBLANK('CONFIGURAÇÃO'!$V$260),"",'CONFIGURAÇÃO'!$V$260&amp;""),"")</f>
        <v/>
      </c>
      <c r="C5881" s="198">
        <f>"'CONFIGURAÇÃO'!V260"</f>
        <v/>
      </c>
      <c r="D5881" s="198" t="inlineStr">
        <is>
          <t>configuração</t>
        </is>
      </c>
    </row>
    <row r="5882">
      <c r="A5882" s="198" t="inlineStr">
        <is>
          <t>custom.17.campo.rota</t>
        </is>
      </c>
      <c r="B5882" s="198">
        <f>SWITCH('CONFIGURAÇÃO'!$T$246,"Origem",IF(ISBLANK('CONFIGURAÇÃO'!$V$253),"",'CONFIGURAÇÃO'!$V$253&amp;""),"")</f>
        <v/>
      </c>
      <c r="C5882" s="198">
        <f>"'CONFIGURAÇÃO'!V253"</f>
        <v/>
      </c>
      <c r="D5882" s="198" t="inlineStr">
        <is>
          <t>configuração</t>
        </is>
      </c>
    </row>
    <row r="5883">
      <c r="A5883" s="198" t="inlineStr">
        <is>
          <t>custom.17.campo.talento_ce_4</t>
        </is>
      </c>
      <c r="B5883" s="198">
        <f>SWITCH('CONFIGURAÇÃO'!$T$246,"Origem",IF(ISBLANK('CONFIGURAÇÃO'!$V$256),"",'CONFIGURAÇÃO'!$V$256&amp;""),"")</f>
        <v/>
      </c>
      <c r="C5883" s="198">
        <f>"'CONFIGURAÇÃO'!V256"</f>
        <v/>
      </c>
      <c r="D5883" s="198" t="inlineStr">
        <is>
          <t>configuração</t>
        </is>
      </c>
    </row>
    <row r="5884">
      <c r="A5884" s="198" t="inlineStr">
        <is>
          <t>custom.17.campo.teto_de_destreza</t>
        </is>
      </c>
      <c r="B5884" s="198">
        <f>SWITCH('CONFIGURAÇÃO'!$T$246,"Escudo",IF(ISBLANK('CONFIGURAÇÃO'!$V$257),"",'CONFIGURAÇÃO'!$V$257&amp;""),"Uniforme",IF(ISBLANK('CONFIGURAÇÃO'!$V$257),"",'CONFIGURAÇÃO'!$V$257&amp;""),"")</f>
        <v/>
      </c>
      <c r="C5884" s="198">
        <f>"'CONFIGURAÇÃO'!L486 'CONFIGURAÇÃO'!L486"</f>
        <v/>
      </c>
      <c r="D5884" s="198" t="inlineStr">
        <is>
          <t>configuração</t>
        </is>
      </c>
    </row>
    <row r="5885">
      <c r="A5885" s="198" t="inlineStr">
        <is>
          <t>custom.17.campo.tipo_de_dano</t>
        </is>
      </c>
      <c r="B5885" s="198">
        <f>SWITCH('CONFIGURAÇÃO'!$T$246,"Arma",IF(ISBLANK('CONFIGURAÇÃO'!$V$251),"",'CONFIGURAÇÃO'!$V$251&amp;""),"")</f>
        <v/>
      </c>
      <c r="C5885" s="198">
        <f>"'CONFIGURAÇÃO'!V251"</f>
        <v/>
      </c>
      <c r="D5885" s="198" t="inlineStr">
        <is>
          <t>configuração</t>
        </is>
      </c>
    </row>
    <row r="5886">
      <c r="A5886" s="198" t="inlineStr">
        <is>
          <t>custom.17.campo.volume</t>
        </is>
      </c>
      <c r="B5886" s="198">
        <f>SWITCH('CONFIGURAÇÃO'!$T$246,"Arma",IF(ISBLANK('CONFIGURAÇÃO'!$V$258),"",'CONFIGURAÇÃO'!$V$258&amp;""),"Escudo",IF(ISBLANK('CONFIGURAÇÃO'!$V$259),"",'CONFIGURAÇÃO'!$V$259&amp;""),"Uniforme",IF(ISBLANK('CONFIGURAÇÃO'!$V$259),"",'CONFIGURAÇÃO'!$V$259&amp;""),"Item comum",IF(ISBLANK('CONFIGURAÇÃO'!$V$256),"",'CONFIGURAÇÃO'!$V$256&amp;""),"Ferramenta amaldiçoada",IF(ISBLANK('CONFIGURAÇÃO'!$V$258),"",'CONFIGURAÇÃO'!$V$258&amp;""),"")</f>
        <v/>
      </c>
      <c r="C5886" s="198">
        <f>"'CONFIGURAÇÃO'!L487 'CONFIGURAÇÃO'!L488 'CONFIGURAÇÃO'!L488 'CONFIGURAÇÃO'!L485 'CONFIGURAÇÃO'!L487"</f>
        <v/>
      </c>
      <c r="D5886" s="198" t="inlineStr">
        <is>
          <t>configuração</t>
        </is>
      </c>
    </row>
    <row r="5887">
      <c r="A5887" s="198" t="inlineStr">
        <is>
          <t>aviso.custom.17</t>
        </is>
      </c>
      <c r="B5887" s="198">
        <f>'DADOS_CUSTOM'!$S$18&amp;""</f>
        <v/>
      </c>
      <c r="C5887" s="198" t="inlineStr">
        <is>
          <t>DADOS_CUSTOM!S18</t>
        </is>
      </c>
      <c r="D5887" s="198" t="inlineStr">
        <is>
          <t>aviso</t>
        </is>
      </c>
    </row>
    <row r="5888">
      <c r="A5888" s="198" t="inlineStr">
        <is>
          <t>custom.18.tipo</t>
        </is>
      </c>
      <c r="B5888" s="198">
        <f>IF(ISBLANK('CONFIGURAÇÃO'!$AB$246),"",'CONFIGURAÇÃO'!$AB$246&amp;"")</f>
        <v/>
      </c>
      <c r="C5888" s="198">
        <f>"'CONFIGURAÇÃO'!AB246"</f>
        <v/>
      </c>
      <c r="D5888" s="198" t="inlineStr">
        <is>
          <t>configuração</t>
        </is>
      </c>
    </row>
    <row r="5889">
      <c r="A5889" s="198" t="inlineStr">
        <is>
          <t>custom.18.nome</t>
        </is>
      </c>
      <c r="B5889" s="198">
        <f>IF(ISBLANK('CONFIGURAÇÃO'!$AB$248),"",'CONFIGURAÇÃO'!$AB$248&amp;"")</f>
        <v/>
      </c>
      <c r="C5889" s="198">
        <f>"'CONFIGURAÇÃO'!AB248"</f>
        <v/>
      </c>
      <c r="D5889" s="198" t="inlineStr">
        <is>
          <t>configuração</t>
        </is>
      </c>
    </row>
    <row r="5890">
      <c r="A5890" s="198" t="inlineStr">
        <is>
          <t>custom.18.mestre_viu</t>
        </is>
      </c>
      <c r="B5890" s="198">
        <f>N('CONFIGURAÇÃO'!$AF$246)&amp;""</f>
        <v/>
      </c>
      <c r="C5890" s="198">
        <f>"'CONFIGURAÇÃO'!AF246"</f>
        <v/>
      </c>
      <c r="D5890" s="198" t="inlineStr">
        <is>
          <t>configuração</t>
        </is>
      </c>
    </row>
    <row r="5891">
      <c r="A5891" s="198" t="inlineStr">
        <is>
          <t>custom.18.efeito</t>
        </is>
      </c>
      <c r="B5891" s="198">
        <f>IF(ISBLANK('CONFIGURAÇÃO'!$AB$263),"",'CONFIGURAÇÃO'!$AB$263&amp;"")</f>
        <v/>
      </c>
      <c r="C5891" s="198">
        <f>"'CONFIGURAÇÃO'!AB263"</f>
        <v/>
      </c>
      <c r="D5891" s="198" t="inlineStr">
        <is>
          <t>configuração</t>
        </is>
      </c>
    </row>
    <row r="5892">
      <c r="A5892" s="198" t="inlineStr">
        <is>
          <t>custom.18.campo.alcance</t>
        </is>
      </c>
      <c r="B5892" s="198">
        <f>SWITCH('CONFIGURAÇÃO'!$AB$246,"Arma",IF(ISBLANK('CONFIGURAÇÃO'!$AD$259),"",'CONFIGURAÇÃO'!$AD$259&amp;""),"")</f>
        <v/>
      </c>
      <c r="C5892" s="198">
        <f>"'CONFIGURAÇÃO'!AD259"</f>
        <v/>
      </c>
      <c r="D5892" s="198" t="inlineStr">
        <is>
          <t>configuração</t>
        </is>
      </c>
    </row>
    <row r="5893">
      <c r="A5893" s="198" t="inlineStr">
        <is>
          <t>custom.18.campo.base</t>
        </is>
      </c>
      <c r="B5893" s="198">
        <f>SWITCH('CONFIGURAÇÃO'!$AB$246,"Ferramenta amaldiçoada",IF(ISBLANK('CONFIGURAÇÃO'!$AD$249),"",'CONFIGURAÇÃO'!$AD$249&amp;""),"")</f>
        <v/>
      </c>
      <c r="C5893" s="198">
        <f>"'CONFIGURAÇÃO'!AD249"</f>
        <v/>
      </c>
      <c r="D5893" s="198" t="inlineStr">
        <is>
          <t>configuração</t>
        </is>
      </c>
    </row>
    <row r="5894">
      <c r="A5894" s="198" t="inlineStr">
        <is>
          <t>custom.18.campo.base_do_livro</t>
        </is>
      </c>
      <c r="B5894" s="198">
        <f>SWITCH('CONFIGURAÇÃO'!$AB$246,"Origem",IF(ISBLANK('CONFIGURAÇÃO'!$AD$254),"",'CONFIGURAÇÃO'!$AD$254&amp;""),"")</f>
        <v/>
      </c>
      <c r="C5894" s="198">
        <f>"'CONFIGURAÇÃO'!AD254"</f>
        <v/>
      </c>
      <c r="D5894" s="198" t="inlineStr">
        <is>
          <t>configuração</t>
        </is>
      </c>
    </row>
    <row r="5895">
      <c r="A5895" s="198" t="inlineStr">
        <is>
          <t>custom.18.campo.categoria</t>
        </is>
      </c>
      <c r="B5895" s="198">
        <f>SWITCH('CONFIGURAÇÃO'!$AB$246,"Arma",IF(ISBLANK('CONFIGURAÇÃO'!$AD$249),"",'CONFIGURAÇÃO'!$AD$249&amp;""),"")</f>
        <v/>
      </c>
      <c r="C5895" s="198">
        <f>"'CONFIGURAÇÃO'!AD249"</f>
        <v/>
      </c>
      <c r="D5895" s="198" t="inlineStr">
        <is>
          <t>configuração</t>
        </is>
      </c>
    </row>
    <row r="5896">
      <c r="A5896" s="198" t="inlineStr">
        <is>
          <t>custom.18.campo.dado</t>
        </is>
      </c>
      <c r="B5896" s="198">
        <f>SWITCH('CONFIGURAÇÃO'!$AB$246,"Arma",IF(ISBLANK('CONFIGURAÇÃO'!$AD$256),"",'CONFIGURAÇÃO'!$AD$256&amp;""),"")</f>
        <v/>
      </c>
      <c r="C5896" s="198">
        <f>"'CONFIGURAÇÃO'!AD256"</f>
        <v/>
      </c>
      <c r="D5896" s="198" t="inlineStr">
        <is>
          <t>configuração</t>
        </is>
      </c>
    </row>
    <row r="5897">
      <c r="A5897" s="198" t="inlineStr">
        <is>
          <t>custom.18.campo.desgaste</t>
        </is>
      </c>
      <c r="B5897" s="198">
        <f>SWITCH('CONFIGURAÇÃO'!$AB$246,"Ferramenta amaldiçoada",IF(ISBLANK('CONFIGURAÇÃO'!$AD$257),"",'CONFIGURAÇÃO'!$AD$257&amp;""),"")</f>
        <v/>
      </c>
      <c r="C5897" s="198">
        <f>"'CONFIGURAÇÃO'!AD257"</f>
        <v/>
      </c>
      <c r="D5897" s="198" t="inlineStr">
        <is>
          <t>configuração</t>
        </is>
      </c>
    </row>
    <row r="5898">
      <c r="A5898" s="198" t="inlineStr">
        <is>
          <t>custom.18.campo.estigma</t>
        </is>
      </c>
      <c r="B5898" s="198">
        <f>SWITCH('CONFIGURAÇÃO'!$AB$246,"Ferramenta amaldiçoada",IF(ISBLANK('CONFIGURAÇÃO'!$AD$256),"",'CONFIGURAÇÃO'!$AD$256&amp;""),"")</f>
        <v/>
      </c>
      <c r="C5898" s="198">
        <f>"'CONFIGURAÇÃO'!AD256"</f>
        <v/>
      </c>
      <c r="D5898" s="198" t="inlineStr">
        <is>
          <t>configuração</t>
        </is>
      </c>
    </row>
    <row r="5899">
      <c r="A5899" s="198" t="inlineStr">
        <is>
          <t>custom.18.campo.exige_marcante</t>
        </is>
      </c>
      <c r="B5899" s="198">
        <f>SWITCH('CONFIGURAÇÃO'!$AB$246,"Menor",IF(ISBLANK('CONFIGURAÇÃO'!$AD$250),"",'CONFIGURAÇÃO'!$AD$250&amp;""),"")</f>
        <v/>
      </c>
      <c r="C5899" s="198">
        <f>"'CONFIGURAÇÃO'!AD250"</f>
        <v/>
      </c>
      <c r="D5899" s="198" t="inlineStr">
        <is>
          <t>configuração</t>
        </is>
      </c>
    </row>
    <row r="5900">
      <c r="A5900" s="198" t="inlineStr">
        <is>
          <t>custom.18.campo.forca</t>
        </is>
      </c>
      <c r="B5900" s="198">
        <f>SWITCH('CONFIGURAÇÃO'!$AB$246,"Arma",IF(ISBLANK('CONFIGURAÇÃO'!$AD$257),"",'CONFIGURAÇÃO'!$AD$257&amp;""),"Escudo",IF(ISBLANK('CONFIGURAÇÃO'!$AD$258),"",'CONFIGURAÇÃO'!$AD$258&amp;""),"Uniforme",IF(ISBLANK('CONFIGURAÇÃO'!$AD$258),"",'CONFIGURAÇÃO'!$AD$258&amp;""),"")</f>
        <v/>
      </c>
      <c r="C5900" s="198">
        <f>"'CONFIGURAÇÃO'!L515 'CONFIGURAÇÃO'!L516 'CONFIGURAÇÃO'!L516"</f>
        <v/>
      </c>
      <c r="D5900" s="198" t="inlineStr">
        <is>
          <t>configuração</t>
        </is>
      </c>
    </row>
    <row r="5901">
      <c r="A5901" s="198" t="inlineStr">
        <is>
          <t>custom.18.campo.frequencia</t>
        </is>
      </c>
      <c r="B5901" s="198">
        <f>SWITCH('CONFIGURAÇÃO'!$AB$246,"Marcante",IF(ISBLANK('CONFIGURAÇÃO'!$AD$256),"",'CONFIGURAÇÃO'!$AD$256&amp;""),"Menor",IF(ISBLANK('CONFIGURAÇÃO'!$AD$256),"",'CONFIGURAÇÃO'!$AD$256&amp;""),"")</f>
        <v/>
      </c>
      <c r="C5901" s="198">
        <f>"'CONFIGURAÇÃO'!L514 'CONFIGURAÇÃO'!L514"</f>
        <v/>
      </c>
      <c r="D5901" s="198" t="inlineStr">
        <is>
          <t>configuração</t>
        </is>
      </c>
    </row>
    <row r="5902">
      <c r="A5902" s="198" t="inlineStr">
        <is>
          <t>custom.18.campo.grau</t>
        </is>
      </c>
      <c r="B5902" s="198">
        <f>SWITCH('CONFIGURAÇÃO'!$AB$246,"Ferramenta amaldiçoada",IF(ISBLANK('CONFIGURAÇÃO'!$AD$250),"",'CONFIGURAÇÃO'!$AD$250&amp;""),"")</f>
        <v/>
      </c>
      <c r="C5902" s="198">
        <f>"'CONFIGURAÇÃO'!AD250"</f>
        <v/>
      </c>
      <c r="D5902" s="198" t="inlineStr">
        <is>
          <t>configuração</t>
        </is>
      </c>
    </row>
    <row r="5903">
      <c r="A5903" s="198" t="inlineStr">
        <is>
          <t>custom.18.campo.grau_minimo</t>
        </is>
      </c>
      <c r="B5903" s="198">
        <f>SWITCH('CONFIGURAÇÃO'!$AB$246,"Uniforme",IF(ISBLANK('CONFIGURAÇÃO'!$AD$249),"",'CONFIGURAÇÃO'!$AD$249&amp;""),"")</f>
        <v/>
      </c>
      <c r="C5903" s="198">
        <f>"'CONFIGURAÇÃO'!AD249"</f>
        <v/>
      </c>
      <c r="D5903" s="198" t="inlineStr">
        <is>
          <t>configuração</t>
        </is>
      </c>
    </row>
    <row r="5904">
      <c r="A5904" s="198" t="inlineStr">
        <is>
          <t>custom.18.campo.mao</t>
        </is>
      </c>
      <c r="B5904" s="198">
        <f>SWITCH('CONFIGURAÇÃO'!$AB$246,"Arma",IF(ISBLANK('CONFIGURAÇÃO'!$AD$250),"",'CONFIGURAÇÃO'!$AD$250&amp;""),"")</f>
        <v/>
      </c>
      <c r="C5904" s="198">
        <f>"'CONFIGURAÇÃO'!AD250"</f>
        <v/>
      </c>
      <c r="D5904" s="198" t="inlineStr">
        <is>
          <t>configuração</t>
        </is>
      </c>
    </row>
    <row r="5905">
      <c r="A5905" s="198" t="inlineStr">
        <is>
          <t>custom.18.campo.oficio</t>
        </is>
      </c>
      <c r="B5905" s="198">
        <f>SWITCH('CONFIGURAÇÃO'!$AB$246,"Origem",IF(ISBLANK('CONFIGURAÇÃO'!$AD$255),"",'CONFIGURAÇÃO'!$AD$255&amp;""),"")</f>
        <v/>
      </c>
      <c r="C5905" s="198">
        <f>"'CONFIGURAÇÃO'!AD255"</f>
        <v/>
      </c>
      <c r="D5905" s="198" t="inlineStr">
        <is>
          <t>configuração</t>
        </is>
      </c>
    </row>
    <row r="5906">
      <c r="A5906" s="198" t="inlineStr">
        <is>
          <t>custom.18.campo.origem</t>
        </is>
      </c>
      <c r="B5906" s="198">
        <f>SWITCH('CONFIGURAÇÃO'!$AB$246,"Marcante",IF(ISBLANK('CONFIGURAÇÃO'!$AD$249),"",'CONFIGURAÇÃO'!$AD$249&amp;""),"Menor",IF(ISBLANK('CONFIGURAÇÃO'!$AD$249),"",'CONFIGURAÇÃO'!$AD$249&amp;""),"")</f>
        <v/>
      </c>
      <c r="C5906" s="198">
        <f>"'CONFIGURAÇÃO'!L507 'CONFIGURAÇÃO'!L507"</f>
        <v/>
      </c>
      <c r="D5906" s="198" t="inlineStr">
        <is>
          <t>configuração</t>
        </is>
      </c>
    </row>
    <row r="5907">
      <c r="A5907" s="198" t="inlineStr">
        <is>
          <t>custom.18.campo.pericia_1</t>
        </is>
      </c>
      <c r="B5907" s="198">
        <f>SWITCH('CONFIGURAÇÃO'!$AB$246,"Origem",IF(ISBLANK('CONFIGURAÇÃO'!$AD$249),"",'CONFIGURAÇÃO'!$AD$249&amp;""),"")</f>
        <v/>
      </c>
      <c r="C5907" s="198">
        <f>"'CONFIGURAÇÃO'!AD249"</f>
        <v/>
      </c>
      <c r="D5907" s="198" t="inlineStr">
        <is>
          <t>configuração</t>
        </is>
      </c>
    </row>
    <row r="5908">
      <c r="A5908" s="198" t="inlineStr">
        <is>
          <t>custom.18.campo.pericia_2</t>
        </is>
      </c>
      <c r="B5908" s="198">
        <f>SWITCH('CONFIGURAÇÃO'!$AB$246,"Origem",IF(ISBLANK('CONFIGURAÇÃO'!$AD$250),"",'CONFIGURAÇÃO'!$AD$250&amp;""),"")</f>
        <v/>
      </c>
      <c r="C5908" s="198">
        <f>"'CONFIGURAÇÃO'!AD250"</f>
        <v/>
      </c>
      <c r="D5908" s="198" t="inlineStr">
        <is>
          <t>configuração</t>
        </is>
      </c>
    </row>
    <row r="5909">
      <c r="A5909" s="198" t="inlineStr">
        <is>
          <t>custom.18.campo.pericia_3</t>
        </is>
      </c>
      <c r="B5909" s="198">
        <f>SWITCH('CONFIGURAÇÃO'!$AB$246,"Origem",IF(ISBLANK('CONFIGURAÇÃO'!$AD$251),"",'CONFIGURAÇÃO'!$AD$251&amp;""),"")</f>
        <v/>
      </c>
      <c r="C5909" s="198">
        <f>"'CONFIGURAÇÃO'!AD251"</f>
        <v/>
      </c>
      <c r="D5909" s="198" t="inlineStr">
        <is>
          <t>configuração</t>
        </is>
      </c>
    </row>
    <row r="5910">
      <c r="A5910" s="198" t="inlineStr">
        <is>
          <t>custom.18.campo.pericia_4</t>
        </is>
      </c>
      <c r="B5910" s="198">
        <f>SWITCH('CONFIGURAÇÃO'!$AB$246,"Origem",IF(ISBLANK('CONFIGURAÇÃO'!$AD$252),"",'CONFIGURAÇÃO'!$AD$252&amp;""),"")</f>
        <v/>
      </c>
      <c r="C5910" s="198">
        <f>"'CONFIGURAÇÃO'!AD252"</f>
        <v/>
      </c>
      <c r="D5910" s="198" t="inlineStr">
        <is>
          <t>configuração</t>
        </is>
      </c>
    </row>
    <row r="5911">
      <c r="A5911" s="198" t="inlineStr">
        <is>
          <t>custom.18.campo.preco</t>
        </is>
      </c>
      <c r="B5911" s="198">
        <f>SWITCH('CONFIGURAÇÃO'!$AB$246,"Arma",IF(ISBLANK('CONFIGURAÇÃO'!$AD$261),"",'CONFIGURAÇÃO'!$AD$261&amp;""),"Escudo",IF(ISBLANK('CONFIGURAÇÃO'!$AD$260),"",'CONFIGURAÇÃO'!$AD$260&amp;""),"Uniforme",IF(ISBLANK('CONFIGURAÇÃO'!$AD$260),"",'CONFIGURAÇÃO'!$AD$260&amp;""),"Item comum",IF(ISBLANK('CONFIGURAÇÃO'!$AD$257),"",'CONFIGURAÇÃO'!$AD$257&amp;""),"Ferramenta amaldiçoada",IF(ISBLANK('CONFIGURAÇÃO'!$AD$259),"",'CONFIGURAÇÃO'!$AD$259&amp;""),"")</f>
        <v/>
      </c>
      <c r="C5911" s="198">
        <f>"'CONFIGURAÇÃO'!L519 'CONFIGURAÇÃO'!L518 'CONFIGURAÇÃO'!L518 'CONFIGURAÇÃO'!L515 'CONFIGURAÇÃO'!L517"</f>
        <v/>
      </c>
      <c r="D5911" s="198" t="inlineStr">
        <is>
          <t>configuração</t>
        </is>
      </c>
    </row>
    <row r="5912">
      <c r="A5912" s="198" t="inlineStr">
        <is>
          <t>custom.18.campo.propriedade_1</t>
        </is>
      </c>
      <c r="B5912" s="198">
        <f>SWITCH('CONFIGURAÇÃO'!$AB$246,"Arma",IF(ISBLANK('CONFIGURAÇÃO'!$AD$252),"",'CONFIGURAÇÃO'!$AD$252&amp;""),"")</f>
        <v/>
      </c>
      <c r="C5912" s="198">
        <f>"'CONFIGURAÇÃO'!AD252"</f>
        <v/>
      </c>
      <c r="D5912" s="198" t="inlineStr">
        <is>
          <t>configuração</t>
        </is>
      </c>
    </row>
    <row r="5913">
      <c r="A5913" s="198" t="inlineStr">
        <is>
          <t>custom.18.campo.propriedade_2</t>
        </is>
      </c>
      <c r="B5913" s="198">
        <f>SWITCH('CONFIGURAÇÃO'!$AB$246,"Arma",IF(ISBLANK('CONFIGURAÇÃO'!$AD$253),"",'CONFIGURAÇÃO'!$AD$253&amp;""),"")</f>
        <v/>
      </c>
      <c r="C5913" s="198">
        <f>"'CONFIGURAÇÃO'!AD253"</f>
        <v/>
      </c>
      <c r="D5913" s="198" t="inlineStr">
        <is>
          <t>configuração</t>
        </is>
      </c>
    </row>
    <row r="5914">
      <c r="A5914" s="198" t="inlineStr">
        <is>
          <t>custom.18.campo.propriedade_3</t>
        </is>
      </c>
      <c r="B5914" s="198">
        <f>SWITCH('CONFIGURAÇÃO'!$AB$246,"Arma",IF(ISBLANK('CONFIGURAÇÃO'!$AD$254),"",'CONFIGURAÇÃO'!$AD$254&amp;""),"")</f>
        <v/>
      </c>
      <c r="C5914" s="198">
        <f>"'CONFIGURAÇÃO'!AD254"</f>
        <v/>
      </c>
      <c r="D5914" s="198" t="inlineStr">
        <is>
          <t>configuração</t>
        </is>
      </c>
    </row>
    <row r="5915">
      <c r="A5915" s="198" t="inlineStr">
        <is>
          <t>custom.18.campo.propriedade_4</t>
        </is>
      </c>
      <c r="B5915" s="198">
        <f>SWITCH('CONFIGURAÇÃO'!$AB$246,"Arma",IF(ISBLANK('CONFIGURAÇÃO'!$AD$255),"",'CONFIGURAÇÃO'!$AD$255&amp;""),"")</f>
        <v/>
      </c>
      <c r="C5915" s="198">
        <f>"'CONFIGURAÇÃO'!AD255"</f>
        <v/>
      </c>
      <c r="D5915" s="198" t="inlineStr">
        <is>
          <t>configuração</t>
        </is>
      </c>
    </row>
    <row r="5916">
      <c r="A5916" s="198" t="inlineStr">
        <is>
          <t>custom.18.campo.protecao</t>
        </is>
      </c>
      <c r="B5916" s="198">
        <f>SWITCH('CONFIGURAÇÃO'!$AB$246,"Escudo",IF(ISBLANK('CONFIGURAÇÃO'!$AD$256),"",'CONFIGURAÇÃO'!$AD$256&amp;""),"Uniforme",IF(ISBLANK('CONFIGURAÇÃO'!$AD$256),"",'CONFIGURAÇÃO'!$AD$256&amp;""),"")</f>
        <v/>
      </c>
      <c r="C5916" s="198">
        <f>"'CONFIGURAÇÃO'!L514 'CONFIGURAÇÃO'!L514"</f>
        <v/>
      </c>
      <c r="D5916" s="198" t="inlineStr">
        <is>
          <t>configuração</t>
        </is>
      </c>
    </row>
    <row r="5917">
      <c r="A5917" s="198" t="inlineStr">
        <is>
          <t>custom.18.campo.recarga</t>
        </is>
      </c>
      <c r="B5917" s="198">
        <f>SWITCH('CONFIGURAÇÃO'!$AB$246,"Arma",IF(ISBLANK('CONFIGURAÇÃO'!$AD$260),"",'CONFIGURAÇÃO'!$AD$260&amp;""),"")</f>
        <v/>
      </c>
      <c r="C5917" s="198">
        <f>"'CONFIGURAÇÃO'!AD260"</f>
        <v/>
      </c>
      <c r="D5917" s="198" t="inlineStr">
        <is>
          <t>configuração</t>
        </is>
      </c>
    </row>
    <row r="5918">
      <c r="A5918" s="198" t="inlineStr">
        <is>
          <t>custom.18.campo.rota</t>
        </is>
      </c>
      <c r="B5918" s="198">
        <f>SWITCH('CONFIGURAÇÃO'!$AB$246,"Origem",IF(ISBLANK('CONFIGURAÇÃO'!$AD$253),"",'CONFIGURAÇÃO'!$AD$253&amp;""),"")</f>
        <v/>
      </c>
      <c r="C5918" s="198">
        <f>"'CONFIGURAÇÃO'!AD253"</f>
        <v/>
      </c>
      <c r="D5918" s="198" t="inlineStr">
        <is>
          <t>configuração</t>
        </is>
      </c>
    </row>
    <row r="5919">
      <c r="A5919" s="198" t="inlineStr">
        <is>
          <t>custom.18.campo.talento_ce_4</t>
        </is>
      </c>
      <c r="B5919" s="198">
        <f>SWITCH('CONFIGURAÇÃO'!$AB$246,"Origem",IF(ISBLANK('CONFIGURAÇÃO'!$AD$256),"",'CONFIGURAÇÃO'!$AD$256&amp;""),"")</f>
        <v/>
      </c>
      <c r="C5919" s="198">
        <f>"'CONFIGURAÇÃO'!AD256"</f>
        <v/>
      </c>
      <c r="D5919" s="198" t="inlineStr">
        <is>
          <t>configuração</t>
        </is>
      </c>
    </row>
    <row r="5920">
      <c r="A5920" s="198" t="inlineStr">
        <is>
          <t>custom.18.campo.teto_de_destreza</t>
        </is>
      </c>
      <c r="B5920" s="198">
        <f>SWITCH('CONFIGURAÇÃO'!$AB$246,"Escudo",IF(ISBLANK('CONFIGURAÇÃO'!$AD$257),"",'CONFIGURAÇÃO'!$AD$257&amp;""),"Uniforme",IF(ISBLANK('CONFIGURAÇÃO'!$AD$257),"",'CONFIGURAÇÃO'!$AD$257&amp;""),"")</f>
        <v/>
      </c>
      <c r="C5920" s="198">
        <f>"'CONFIGURAÇÃO'!L515 'CONFIGURAÇÃO'!L515"</f>
        <v/>
      </c>
      <c r="D5920" s="198" t="inlineStr">
        <is>
          <t>configuração</t>
        </is>
      </c>
    </row>
    <row r="5921">
      <c r="A5921" s="198" t="inlineStr">
        <is>
          <t>custom.18.campo.tipo_de_dano</t>
        </is>
      </c>
      <c r="B5921" s="198">
        <f>SWITCH('CONFIGURAÇÃO'!$AB$246,"Arma",IF(ISBLANK('CONFIGURAÇÃO'!$AD$251),"",'CONFIGURAÇÃO'!$AD$251&amp;""),"")</f>
        <v/>
      </c>
      <c r="C5921" s="198">
        <f>"'CONFIGURAÇÃO'!AD251"</f>
        <v/>
      </c>
      <c r="D5921" s="198" t="inlineStr">
        <is>
          <t>configuração</t>
        </is>
      </c>
    </row>
    <row r="5922">
      <c r="A5922" s="198" t="inlineStr">
        <is>
          <t>custom.18.campo.volume</t>
        </is>
      </c>
      <c r="B5922" s="198">
        <f>SWITCH('CONFIGURAÇÃO'!$AB$246,"Arma",IF(ISBLANK('CONFIGURAÇÃO'!$AD$258),"",'CONFIGURAÇÃO'!$AD$258&amp;""),"Escudo",IF(ISBLANK('CONFIGURAÇÃO'!$AD$259),"",'CONFIGURAÇÃO'!$AD$259&amp;""),"Uniforme",IF(ISBLANK('CONFIGURAÇÃO'!$AD$259),"",'CONFIGURAÇÃO'!$AD$259&amp;""),"Item comum",IF(ISBLANK('CONFIGURAÇÃO'!$AD$256),"",'CONFIGURAÇÃO'!$AD$256&amp;""),"Ferramenta amaldiçoada",IF(ISBLANK('CONFIGURAÇÃO'!$AD$258),"",'CONFIGURAÇÃO'!$AD$258&amp;""),"")</f>
        <v/>
      </c>
      <c r="C5922" s="198">
        <f>"'CONFIGURAÇÃO'!L516 'CONFIGURAÇÃO'!L517 'CONFIGURAÇÃO'!L517 'CONFIGURAÇÃO'!L514 'CONFIGURAÇÃO'!L516"</f>
        <v/>
      </c>
      <c r="D5922" s="198" t="inlineStr">
        <is>
          <t>configuração</t>
        </is>
      </c>
    </row>
    <row r="5923">
      <c r="A5923" s="198" t="inlineStr">
        <is>
          <t>aviso.custom.18</t>
        </is>
      </c>
      <c r="B5923" s="198">
        <f>'DADOS_CUSTOM'!$S$19&amp;""</f>
        <v/>
      </c>
      <c r="C5923" s="198" t="inlineStr">
        <is>
          <t>DADOS_CUSTOM!S19</t>
        </is>
      </c>
      <c r="D5923" s="198" t="inlineStr">
        <is>
          <t>aviso</t>
        </is>
      </c>
    </row>
    <row r="5924">
      <c r="A5924" s="198" t="inlineStr">
        <is>
          <t>custom.19.tipo</t>
        </is>
      </c>
      <c r="B5924" s="198">
        <f>IF(ISBLANK('CONFIGURAÇÃO'!$T$275),"",'CONFIGURAÇÃO'!$T$275&amp;"")</f>
        <v/>
      </c>
      <c r="C5924" s="198">
        <f>"'CONFIGURAÇÃO'!T275"</f>
        <v/>
      </c>
      <c r="D5924" s="198" t="inlineStr">
        <is>
          <t>configuração</t>
        </is>
      </c>
    </row>
    <row r="5925">
      <c r="A5925" s="198" t="inlineStr">
        <is>
          <t>custom.19.nome</t>
        </is>
      </c>
      <c r="B5925" s="198">
        <f>IF(ISBLANK('CONFIGURAÇÃO'!$T$277),"",'CONFIGURAÇÃO'!$T$277&amp;"")</f>
        <v/>
      </c>
      <c r="C5925" s="198">
        <f>"'CONFIGURAÇÃO'!T277"</f>
        <v/>
      </c>
      <c r="D5925" s="198" t="inlineStr">
        <is>
          <t>configuração</t>
        </is>
      </c>
    </row>
    <row r="5926">
      <c r="A5926" s="198" t="inlineStr">
        <is>
          <t>custom.19.mestre_viu</t>
        </is>
      </c>
      <c r="B5926" s="198">
        <f>N('CONFIGURAÇÃO'!$X$275)&amp;""</f>
        <v/>
      </c>
      <c r="C5926" s="198">
        <f>"'CONFIGURAÇÃO'!X275"</f>
        <v/>
      </c>
      <c r="D5926" s="198" t="inlineStr">
        <is>
          <t>configuração</t>
        </is>
      </c>
    </row>
    <row r="5927">
      <c r="A5927" s="198" t="inlineStr">
        <is>
          <t>custom.19.efeito</t>
        </is>
      </c>
      <c r="B5927" s="198">
        <f>IF(ISBLANK('CONFIGURAÇÃO'!$T$292),"",'CONFIGURAÇÃO'!$T$292&amp;"")</f>
        <v/>
      </c>
      <c r="C5927" s="198">
        <f>"'CONFIGURAÇÃO'!T292"</f>
        <v/>
      </c>
      <c r="D5927" s="198" t="inlineStr">
        <is>
          <t>configuração</t>
        </is>
      </c>
    </row>
    <row r="5928">
      <c r="A5928" s="198" t="inlineStr">
        <is>
          <t>custom.19.campo.alcance</t>
        </is>
      </c>
      <c r="B5928" s="198">
        <f>SWITCH('CONFIGURAÇÃO'!$T$275,"Arma",IF(ISBLANK('CONFIGURAÇÃO'!$V$288),"",'CONFIGURAÇÃO'!$V$288&amp;""),"")</f>
        <v/>
      </c>
      <c r="C5928" s="198">
        <f>"'CONFIGURAÇÃO'!V288"</f>
        <v/>
      </c>
      <c r="D5928" s="198" t="inlineStr">
        <is>
          <t>configuração</t>
        </is>
      </c>
    </row>
    <row r="5929">
      <c r="A5929" s="198" t="inlineStr">
        <is>
          <t>custom.19.campo.base</t>
        </is>
      </c>
      <c r="B5929" s="198">
        <f>SWITCH('CONFIGURAÇÃO'!$T$275,"Ferramenta amaldiçoada",IF(ISBLANK('CONFIGURAÇÃO'!$V$278),"",'CONFIGURAÇÃO'!$V$278&amp;""),"")</f>
        <v/>
      </c>
      <c r="C5929" s="198">
        <f>"'CONFIGURAÇÃO'!V278"</f>
        <v/>
      </c>
      <c r="D5929" s="198" t="inlineStr">
        <is>
          <t>configuração</t>
        </is>
      </c>
    </row>
    <row r="5930">
      <c r="A5930" s="198" t="inlineStr">
        <is>
          <t>custom.19.campo.base_do_livro</t>
        </is>
      </c>
      <c r="B5930" s="198">
        <f>SWITCH('CONFIGURAÇÃO'!$T$275,"Origem",IF(ISBLANK('CONFIGURAÇÃO'!$V$283),"",'CONFIGURAÇÃO'!$V$283&amp;""),"")</f>
        <v/>
      </c>
      <c r="C5930" s="198">
        <f>"'CONFIGURAÇÃO'!V283"</f>
        <v/>
      </c>
      <c r="D5930" s="198" t="inlineStr">
        <is>
          <t>configuração</t>
        </is>
      </c>
    </row>
    <row r="5931">
      <c r="A5931" s="198" t="inlineStr">
        <is>
          <t>custom.19.campo.categoria</t>
        </is>
      </c>
      <c r="B5931" s="198">
        <f>SWITCH('CONFIGURAÇÃO'!$T$275,"Arma",IF(ISBLANK('CONFIGURAÇÃO'!$V$278),"",'CONFIGURAÇÃO'!$V$278&amp;""),"")</f>
        <v/>
      </c>
      <c r="C5931" s="198">
        <f>"'CONFIGURAÇÃO'!V278"</f>
        <v/>
      </c>
      <c r="D5931" s="198" t="inlineStr">
        <is>
          <t>configuração</t>
        </is>
      </c>
    </row>
    <row r="5932">
      <c r="A5932" s="198" t="inlineStr">
        <is>
          <t>custom.19.campo.dado</t>
        </is>
      </c>
      <c r="B5932" s="198">
        <f>SWITCH('CONFIGURAÇÃO'!$T$275,"Arma",IF(ISBLANK('CONFIGURAÇÃO'!$V$285),"",'CONFIGURAÇÃO'!$V$285&amp;""),"")</f>
        <v/>
      </c>
      <c r="C5932" s="198">
        <f>"'CONFIGURAÇÃO'!V285"</f>
        <v/>
      </c>
      <c r="D5932" s="198" t="inlineStr">
        <is>
          <t>configuração</t>
        </is>
      </c>
    </row>
    <row r="5933">
      <c r="A5933" s="198" t="inlineStr">
        <is>
          <t>custom.19.campo.desgaste</t>
        </is>
      </c>
      <c r="B5933" s="198">
        <f>SWITCH('CONFIGURAÇÃO'!$T$275,"Ferramenta amaldiçoada",IF(ISBLANK('CONFIGURAÇÃO'!$V$286),"",'CONFIGURAÇÃO'!$V$286&amp;""),"")</f>
        <v/>
      </c>
      <c r="C5933" s="198">
        <f>"'CONFIGURAÇÃO'!V286"</f>
        <v/>
      </c>
      <c r="D5933" s="198" t="inlineStr">
        <is>
          <t>configuração</t>
        </is>
      </c>
    </row>
    <row r="5934">
      <c r="A5934" s="198" t="inlineStr">
        <is>
          <t>custom.19.campo.estigma</t>
        </is>
      </c>
      <c r="B5934" s="198">
        <f>SWITCH('CONFIGURAÇÃO'!$T$275,"Ferramenta amaldiçoada",IF(ISBLANK('CONFIGURAÇÃO'!$V$285),"",'CONFIGURAÇÃO'!$V$285&amp;""),"")</f>
        <v/>
      </c>
      <c r="C5934" s="198">
        <f>"'CONFIGURAÇÃO'!V285"</f>
        <v/>
      </c>
      <c r="D5934" s="198" t="inlineStr">
        <is>
          <t>configuração</t>
        </is>
      </c>
    </row>
    <row r="5935">
      <c r="A5935" s="198" t="inlineStr">
        <is>
          <t>custom.19.campo.exige_marcante</t>
        </is>
      </c>
      <c r="B5935" s="198">
        <f>SWITCH('CONFIGURAÇÃO'!$T$275,"Menor",IF(ISBLANK('CONFIGURAÇÃO'!$V$279),"",'CONFIGURAÇÃO'!$V$279&amp;""),"")</f>
        <v/>
      </c>
      <c r="C5935" s="198">
        <f>"'CONFIGURAÇÃO'!V279"</f>
        <v/>
      </c>
      <c r="D5935" s="198" t="inlineStr">
        <is>
          <t>configuração</t>
        </is>
      </c>
    </row>
    <row r="5936">
      <c r="A5936" s="198" t="inlineStr">
        <is>
          <t>custom.19.campo.forca</t>
        </is>
      </c>
      <c r="B5936" s="198">
        <f>SWITCH('CONFIGURAÇÃO'!$T$275,"Arma",IF(ISBLANK('CONFIGURAÇÃO'!$V$286),"",'CONFIGURAÇÃO'!$V$286&amp;""),"Escudo",IF(ISBLANK('CONFIGURAÇÃO'!$V$287),"",'CONFIGURAÇÃO'!$V$287&amp;""),"Uniforme",IF(ISBLANK('CONFIGURAÇÃO'!$V$287),"",'CONFIGURAÇÃO'!$V$287&amp;""),"")</f>
        <v/>
      </c>
      <c r="C5936" s="198">
        <f>"'CONFIGURAÇÃO'!L544 'CONFIGURAÇÃO'!L545 'CONFIGURAÇÃO'!L545"</f>
        <v/>
      </c>
      <c r="D5936" s="198" t="inlineStr">
        <is>
          <t>configuração</t>
        </is>
      </c>
    </row>
    <row r="5937">
      <c r="A5937" s="198" t="inlineStr">
        <is>
          <t>custom.19.campo.frequencia</t>
        </is>
      </c>
      <c r="B5937" s="198">
        <f>SWITCH('CONFIGURAÇÃO'!$T$275,"Marcante",IF(ISBLANK('CONFIGURAÇÃO'!$V$285),"",'CONFIGURAÇÃO'!$V$285&amp;""),"Menor",IF(ISBLANK('CONFIGURAÇÃO'!$V$285),"",'CONFIGURAÇÃO'!$V$285&amp;""),"")</f>
        <v/>
      </c>
      <c r="C5937" s="198">
        <f>"'CONFIGURAÇÃO'!L543 'CONFIGURAÇÃO'!L543"</f>
        <v/>
      </c>
      <c r="D5937" s="198" t="inlineStr">
        <is>
          <t>configuração</t>
        </is>
      </c>
    </row>
    <row r="5938">
      <c r="A5938" s="198" t="inlineStr">
        <is>
          <t>custom.19.campo.grau</t>
        </is>
      </c>
      <c r="B5938" s="198">
        <f>SWITCH('CONFIGURAÇÃO'!$T$275,"Ferramenta amaldiçoada",IF(ISBLANK('CONFIGURAÇÃO'!$V$279),"",'CONFIGURAÇÃO'!$V$279&amp;""),"")</f>
        <v/>
      </c>
      <c r="C5938" s="198">
        <f>"'CONFIGURAÇÃO'!V279"</f>
        <v/>
      </c>
      <c r="D5938" s="198" t="inlineStr">
        <is>
          <t>configuração</t>
        </is>
      </c>
    </row>
    <row r="5939">
      <c r="A5939" s="198" t="inlineStr">
        <is>
          <t>custom.19.campo.grau_minimo</t>
        </is>
      </c>
      <c r="B5939" s="198">
        <f>SWITCH('CONFIGURAÇÃO'!$T$275,"Uniforme",IF(ISBLANK('CONFIGURAÇÃO'!$V$278),"",'CONFIGURAÇÃO'!$V$278&amp;""),"")</f>
        <v/>
      </c>
      <c r="C5939" s="198">
        <f>"'CONFIGURAÇÃO'!V278"</f>
        <v/>
      </c>
      <c r="D5939" s="198" t="inlineStr">
        <is>
          <t>configuração</t>
        </is>
      </c>
    </row>
    <row r="5940">
      <c r="A5940" s="198" t="inlineStr">
        <is>
          <t>custom.19.campo.mao</t>
        </is>
      </c>
      <c r="B5940" s="198">
        <f>SWITCH('CONFIGURAÇÃO'!$T$275,"Arma",IF(ISBLANK('CONFIGURAÇÃO'!$V$279),"",'CONFIGURAÇÃO'!$V$279&amp;""),"")</f>
        <v/>
      </c>
      <c r="C5940" s="198">
        <f>"'CONFIGURAÇÃO'!V279"</f>
        <v/>
      </c>
      <c r="D5940" s="198" t="inlineStr">
        <is>
          <t>configuração</t>
        </is>
      </c>
    </row>
    <row r="5941">
      <c r="A5941" s="198" t="inlineStr">
        <is>
          <t>custom.19.campo.oficio</t>
        </is>
      </c>
      <c r="B5941" s="198">
        <f>SWITCH('CONFIGURAÇÃO'!$T$275,"Origem",IF(ISBLANK('CONFIGURAÇÃO'!$V$284),"",'CONFIGURAÇÃO'!$V$284&amp;""),"")</f>
        <v/>
      </c>
      <c r="C5941" s="198">
        <f>"'CONFIGURAÇÃO'!V284"</f>
        <v/>
      </c>
      <c r="D5941" s="198" t="inlineStr">
        <is>
          <t>configuração</t>
        </is>
      </c>
    </row>
    <row r="5942">
      <c r="A5942" s="198" t="inlineStr">
        <is>
          <t>custom.19.campo.origem</t>
        </is>
      </c>
      <c r="B5942" s="198">
        <f>SWITCH('CONFIGURAÇÃO'!$T$275,"Marcante",IF(ISBLANK('CONFIGURAÇÃO'!$V$278),"",'CONFIGURAÇÃO'!$V$278&amp;""),"Menor",IF(ISBLANK('CONFIGURAÇÃO'!$V$278),"",'CONFIGURAÇÃO'!$V$278&amp;""),"")</f>
        <v/>
      </c>
      <c r="C5942" s="198">
        <f>"'CONFIGURAÇÃO'!L536 'CONFIGURAÇÃO'!L536"</f>
        <v/>
      </c>
      <c r="D5942" s="198" t="inlineStr">
        <is>
          <t>configuração</t>
        </is>
      </c>
    </row>
    <row r="5943">
      <c r="A5943" s="198" t="inlineStr">
        <is>
          <t>custom.19.campo.pericia_1</t>
        </is>
      </c>
      <c r="B5943" s="198">
        <f>SWITCH('CONFIGURAÇÃO'!$T$275,"Origem",IF(ISBLANK('CONFIGURAÇÃO'!$V$278),"",'CONFIGURAÇÃO'!$V$278&amp;""),"")</f>
        <v/>
      </c>
      <c r="C5943" s="198">
        <f>"'CONFIGURAÇÃO'!V278"</f>
        <v/>
      </c>
      <c r="D5943" s="198" t="inlineStr">
        <is>
          <t>configuração</t>
        </is>
      </c>
    </row>
    <row r="5944">
      <c r="A5944" s="198" t="inlineStr">
        <is>
          <t>custom.19.campo.pericia_2</t>
        </is>
      </c>
      <c r="B5944" s="198">
        <f>SWITCH('CONFIGURAÇÃO'!$T$275,"Origem",IF(ISBLANK('CONFIGURAÇÃO'!$V$279),"",'CONFIGURAÇÃO'!$V$279&amp;""),"")</f>
        <v/>
      </c>
      <c r="C5944" s="198">
        <f>"'CONFIGURAÇÃO'!V279"</f>
        <v/>
      </c>
      <c r="D5944" s="198" t="inlineStr">
        <is>
          <t>configuração</t>
        </is>
      </c>
    </row>
    <row r="5945">
      <c r="A5945" s="198" t="inlineStr">
        <is>
          <t>custom.19.campo.pericia_3</t>
        </is>
      </c>
      <c r="B5945" s="198">
        <f>SWITCH('CONFIGURAÇÃO'!$T$275,"Origem",IF(ISBLANK('CONFIGURAÇÃO'!$V$280),"",'CONFIGURAÇÃO'!$V$280&amp;""),"")</f>
        <v/>
      </c>
      <c r="C5945" s="198">
        <f>"'CONFIGURAÇÃO'!V280"</f>
        <v/>
      </c>
      <c r="D5945" s="198" t="inlineStr">
        <is>
          <t>configuração</t>
        </is>
      </c>
    </row>
    <row r="5946">
      <c r="A5946" s="198" t="inlineStr">
        <is>
          <t>custom.19.campo.pericia_4</t>
        </is>
      </c>
      <c r="B5946" s="198">
        <f>SWITCH('CONFIGURAÇÃO'!$T$275,"Origem",IF(ISBLANK('CONFIGURAÇÃO'!$V$281),"",'CONFIGURAÇÃO'!$V$281&amp;""),"")</f>
        <v/>
      </c>
      <c r="C5946" s="198">
        <f>"'CONFIGURAÇÃO'!V281"</f>
        <v/>
      </c>
      <c r="D5946" s="198" t="inlineStr">
        <is>
          <t>configuração</t>
        </is>
      </c>
    </row>
    <row r="5947">
      <c r="A5947" s="198" t="inlineStr">
        <is>
          <t>custom.19.campo.preco</t>
        </is>
      </c>
      <c r="B5947" s="198">
        <f>SWITCH('CONFIGURAÇÃO'!$T$275,"Arma",IF(ISBLANK('CONFIGURAÇÃO'!$V$290),"",'CONFIGURAÇÃO'!$V$290&amp;""),"Escudo",IF(ISBLANK('CONFIGURAÇÃO'!$V$289),"",'CONFIGURAÇÃO'!$V$289&amp;""),"Uniforme",IF(ISBLANK('CONFIGURAÇÃO'!$V$289),"",'CONFIGURAÇÃO'!$V$289&amp;""),"Item comum",IF(ISBLANK('CONFIGURAÇÃO'!$V$286),"",'CONFIGURAÇÃO'!$V$286&amp;""),"Ferramenta amaldiçoada",IF(ISBLANK('CONFIGURAÇÃO'!$V$288),"",'CONFIGURAÇÃO'!$V$288&amp;""),"")</f>
        <v/>
      </c>
      <c r="C5947" s="198">
        <f>"'CONFIGURAÇÃO'!L548 'CONFIGURAÇÃO'!L547 'CONFIGURAÇÃO'!L547 'CONFIGURAÇÃO'!L544 'CONFIGURAÇÃO'!L546"</f>
        <v/>
      </c>
      <c r="D5947" s="198" t="inlineStr">
        <is>
          <t>configuração</t>
        </is>
      </c>
    </row>
    <row r="5948">
      <c r="A5948" s="198" t="inlineStr">
        <is>
          <t>custom.19.campo.propriedade_1</t>
        </is>
      </c>
      <c r="B5948" s="198">
        <f>SWITCH('CONFIGURAÇÃO'!$T$275,"Arma",IF(ISBLANK('CONFIGURAÇÃO'!$V$281),"",'CONFIGURAÇÃO'!$V$281&amp;""),"")</f>
        <v/>
      </c>
      <c r="C5948" s="198">
        <f>"'CONFIGURAÇÃO'!V281"</f>
        <v/>
      </c>
      <c r="D5948" s="198" t="inlineStr">
        <is>
          <t>configuração</t>
        </is>
      </c>
    </row>
    <row r="5949">
      <c r="A5949" s="198" t="inlineStr">
        <is>
          <t>custom.19.campo.propriedade_2</t>
        </is>
      </c>
      <c r="B5949" s="198">
        <f>SWITCH('CONFIGURAÇÃO'!$T$275,"Arma",IF(ISBLANK('CONFIGURAÇÃO'!$V$282),"",'CONFIGURAÇÃO'!$V$282&amp;""),"")</f>
        <v/>
      </c>
      <c r="C5949" s="198">
        <f>"'CONFIGURAÇÃO'!V282"</f>
        <v/>
      </c>
      <c r="D5949" s="198" t="inlineStr">
        <is>
          <t>configuração</t>
        </is>
      </c>
    </row>
    <row r="5950">
      <c r="A5950" s="198" t="inlineStr">
        <is>
          <t>custom.19.campo.propriedade_3</t>
        </is>
      </c>
      <c r="B5950" s="198">
        <f>SWITCH('CONFIGURAÇÃO'!$T$275,"Arma",IF(ISBLANK('CONFIGURAÇÃO'!$V$283),"",'CONFIGURAÇÃO'!$V$283&amp;""),"")</f>
        <v/>
      </c>
      <c r="C5950" s="198">
        <f>"'CONFIGURAÇÃO'!V283"</f>
        <v/>
      </c>
      <c r="D5950" s="198" t="inlineStr">
        <is>
          <t>configuração</t>
        </is>
      </c>
    </row>
    <row r="5951">
      <c r="A5951" s="198" t="inlineStr">
        <is>
          <t>custom.19.campo.propriedade_4</t>
        </is>
      </c>
      <c r="B5951" s="198">
        <f>SWITCH('CONFIGURAÇÃO'!$T$275,"Arma",IF(ISBLANK('CONFIGURAÇÃO'!$V$284),"",'CONFIGURAÇÃO'!$V$284&amp;""),"")</f>
        <v/>
      </c>
      <c r="C5951" s="198">
        <f>"'CONFIGURAÇÃO'!V284"</f>
        <v/>
      </c>
      <c r="D5951" s="198" t="inlineStr">
        <is>
          <t>configuração</t>
        </is>
      </c>
    </row>
    <row r="5952">
      <c r="A5952" s="198" t="inlineStr">
        <is>
          <t>custom.19.campo.protecao</t>
        </is>
      </c>
      <c r="B5952" s="198">
        <f>SWITCH('CONFIGURAÇÃO'!$T$275,"Escudo",IF(ISBLANK('CONFIGURAÇÃO'!$V$285),"",'CONFIGURAÇÃO'!$V$285&amp;""),"Uniforme",IF(ISBLANK('CONFIGURAÇÃO'!$V$285),"",'CONFIGURAÇÃO'!$V$285&amp;""),"")</f>
        <v/>
      </c>
      <c r="C5952" s="198">
        <f>"'CONFIGURAÇÃO'!L543 'CONFIGURAÇÃO'!L543"</f>
        <v/>
      </c>
      <c r="D5952" s="198" t="inlineStr">
        <is>
          <t>configuração</t>
        </is>
      </c>
    </row>
    <row r="5953">
      <c r="A5953" s="198" t="inlineStr">
        <is>
          <t>custom.19.campo.recarga</t>
        </is>
      </c>
      <c r="B5953" s="198">
        <f>SWITCH('CONFIGURAÇÃO'!$T$275,"Arma",IF(ISBLANK('CONFIGURAÇÃO'!$V$289),"",'CONFIGURAÇÃO'!$V$289&amp;""),"")</f>
        <v/>
      </c>
      <c r="C5953" s="198">
        <f>"'CONFIGURAÇÃO'!V289"</f>
        <v/>
      </c>
      <c r="D5953" s="198" t="inlineStr">
        <is>
          <t>configuração</t>
        </is>
      </c>
    </row>
    <row r="5954">
      <c r="A5954" s="198" t="inlineStr">
        <is>
          <t>custom.19.campo.rota</t>
        </is>
      </c>
      <c r="B5954" s="198">
        <f>SWITCH('CONFIGURAÇÃO'!$T$275,"Origem",IF(ISBLANK('CONFIGURAÇÃO'!$V$282),"",'CONFIGURAÇÃO'!$V$282&amp;""),"")</f>
        <v/>
      </c>
      <c r="C5954" s="198">
        <f>"'CONFIGURAÇÃO'!V282"</f>
        <v/>
      </c>
      <c r="D5954" s="198" t="inlineStr">
        <is>
          <t>configuração</t>
        </is>
      </c>
    </row>
    <row r="5955">
      <c r="A5955" s="198" t="inlineStr">
        <is>
          <t>custom.19.campo.talento_ce_4</t>
        </is>
      </c>
      <c r="B5955" s="198">
        <f>SWITCH('CONFIGURAÇÃO'!$T$275,"Origem",IF(ISBLANK('CONFIGURAÇÃO'!$V$285),"",'CONFIGURAÇÃO'!$V$285&amp;""),"")</f>
        <v/>
      </c>
      <c r="C5955" s="198">
        <f>"'CONFIGURAÇÃO'!V285"</f>
        <v/>
      </c>
      <c r="D5955" s="198" t="inlineStr">
        <is>
          <t>configuração</t>
        </is>
      </c>
    </row>
    <row r="5956">
      <c r="A5956" s="198" t="inlineStr">
        <is>
          <t>custom.19.campo.teto_de_destreza</t>
        </is>
      </c>
      <c r="B5956" s="198">
        <f>SWITCH('CONFIGURAÇÃO'!$T$275,"Escudo",IF(ISBLANK('CONFIGURAÇÃO'!$V$286),"",'CONFIGURAÇÃO'!$V$286&amp;""),"Uniforme",IF(ISBLANK('CONFIGURAÇÃO'!$V$286),"",'CONFIGURAÇÃO'!$V$286&amp;""),"")</f>
        <v/>
      </c>
      <c r="C5956" s="198">
        <f>"'CONFIGURAÇÃO'!L544 'CONFIGURAÇÃO'!L544"</f>
        <v/>
      </c>
      <c r="D5956" s="198" t="inlineStr">
        <is>
          <t>configuração</t>
        </is>
      </c>
    </row>
    <row r="5957">
      <c r="A5957" s="198" t="inlineStr">
        <is>
          <t>custom.19.campo.tipo_de_dano</t>
        </is>
      </c>
      <c r="B5957" s="198">
        <f>SWITCH('CONFIGURAÇÃO'!$T$275,"Arma",IF(ISBLANK('CONFIGURAÇÃO'!$V$280),"",'CONFIGURAÇÃO'!$V$280&amp;""),"")</f>
        <v/>
      </c>
      <c r="C5957" s="198">
        <f>"'CONFIGURAÇÃO'!V280"</f>
        <v/>
      </c>
      <c r="D5957" s="198" t="inlineStr">
        <is>
          <t>configuração</t>
        </is>
      </c>
    </row>
    <row r="5958">
      <c r="A5958" s="198" t="inlineStr">
        <is>
          <t>custom.19.campo.volume</t>
        </is>
      </c>
      <c r="B5958" s="198">
        <f>SWITCH('CONFIGURAÇÃO'!$T$275,"Arma",IF(ISBLANK('CONFIGURAÇÃO'!$V$287),"",'CONFIGURAÇÃO'!$V$287&amp;""),"Escudo",IF(ISBLANK('CONFIGURAÇÃO'!$V$288),"",'CONFIGURAÇÃO'!$V$288&amp;""),"Uniforme",IF(ISBLANK('CONFIGURAÇÃO'!$V$288),"",'CONFIGURAÇÃO'!$V$288&amp;""),"Item comum",IF(ISBLANK('CONFIGURAÇÃO'!$V$285),"",'CONFIGURAÇÃO'!$V$285&amp;""),"Ferramenta amaldiçoada",IF(ISBLANK('CONFIGURAÇÃO'!$V$287),"",'CONFIGURAÇÃO'!$V$287&amp;""),"")</f>
        <v/>
      </c>
      <c r="C5958" s="198">
        <f>"'CONFIGURAÇÃO'!L545 'CONFIGURAÇÃO'!L546 'CONFIGURAÇÃO'!L546 'CONFIGURAÇÃO'!L543 'CONFIGURAÇÃO'!L545"</f>
        <v/>
      </c>
      <c r="D5958" s="198" t="inlineStr">
        <is>
          <t>configuração</t>
        </is>
      </c>
    </row>
    <row r="5959">
      <c r="A5959" s="198" t="inlineStr">
        <is>
          <t>aviso.custom.19</t>
        </is>
      </c>
      <c r="B5959" s="198">
        <f>'DADOS_CUSTOM'!$S$20&amp;""</f>
        <v/>
      </c>
      <c r="C5959" s="198" t="inlineStr">
        <is>
          <t>DADOS_CUSTOM!S20</t>
        </is>
      </c>
      <c r="D5959" s="198" t="inlineStr">
        <is>
          <t>aviso</t>
        </is>
      </c>
    </row>
    <row r="5960">
      <c r="A5960" s="198" t="inlineStr">
        <is>
          <t>custom.20.tipo</t>
        </is>
      </c>
      <c r="B5960" s="198">
        <f>IF(ISBLANK('CONFIGURAÇÃO'!$AB$275),"",'CONFIGURAÇÃO'!$AB$275&amp;"")</f>
        <v/>
      </c>
      <c r="C5960" s="198">
        <f>"'CONFIGURAÇÃO'!AB275"</f>
        <v/>
      </c>
      <c r="D5960" s="198" t="inlineStr">
        <is>
          <t>configuração</t>
        </is>
      </c>
    </row>
    <row r="5961">
      <c r="A5961" s="198" t="inlineStr">
        <is>
          <t>custom.20.nome</t>
        </is>
      </c>
      <c r="B5961" s="198">
        <f>IF(ISBLANK('CONFIGURAÇÃO'!$AB$277),"",'CONFIGURAÇÃO'!$AB$277&amp;"")</f>
        <v/>
      </c>
      <c r="C5961" s="198">
        <f>"'CONFIGURAÇÃO'!AB277"</f>
        <v/>
      </c>
      <c r="D5961" s="198" t="inlineStr">
        <is>
          <t>configuração</t>
        </is>
      </c>
    </row>
    <row r="5962">
      <c r="A5962" s="198" t="inlineStr">
        <is>
          <t>custom.20.mestre_viu</t>
        </is>
      </c>
      <c r="B5962" s="198">
        <f>N('CONFIGURAÇÃO'!$AF$275)&amp;""</f>
        <v/>
      </c>
      <c r="C5962" s="198">
        <f>"'CONFIGURAÇÃO'!AF275"</f>
        <v/>
      </c>
      <c r="D5962" s="198" t="inlineStr">
        <is>
          <t>configuração</t>
        </is>
      </c>
    </row>
    <row r="5963">
      <c r="A5963" s="198" t="inlineStr">
        <is>
          <t>custom.20.efeito</t>
        </is>
      </c>
      <c r="B5963" s="198">
        <f>IF(ISBLANK('CONFIGURAÇÃO'!$AB$292),"",'CONFIGURAÇÃO'!$AB$292&amp;"")</f>
        <v/>
      </c>
      <c r="C5963" s="198">
        <f>"'CONFIGURAÇÃO'!AB292"</f>
        <v/>
      </c>
      <c r="D5963" s="198" t="inlineStr">
        <is>
          <t>configuração</t>
        </is>
      </c>
    </row>
    <row r="5964">
      <c r="A5964" s="198" t="inlineStr">
        <is>
          <t>custom.20.campo.alcance</t>
        </is>
      </c>
      <c r="B5964" s="198">
        <f>SWITCH('CONFIGURAÇÃO'!$AB$275,"Arma",IF(ISBLANK('CONFIGURAÇÃO'!$AD$288),"",'CONFIGURAÇÃO'!$AD$288&amp;""),"")</f>
        <v/>
      </c>
      <c r="C5964" s="198">
        <f>"'CONFIGURAÇÃO'!AD288"</f>
        <v/>
      </c>
      <c r="D5964" s="198" t="inlineStr">
        <is>
          <t>configuração</t>
        </is>
      </c>
    </row>
    <row r="5965">
      <c r="A5965" s="198" t="inlineStr">
        <is>
          <t>custom.20.campo.base</t>
        </is>
      </c>
      <c r="B5965" s="198">
        <f>SWITCH('CONFIGURAÇÃO'!$AB$275,"Ferramenta amaldiçoada",IF(ISBLANK('CONFIGURAÇÃO'!$AD$278),"",'CONFIGURAÇÃO'!$AD$278&amp;""),"")</f>
        <v/>
      </c>
      <c r="C5965" s="198">
        <f>"'CONFIGURAÇÃO'!AD278"</f>
        <v/>
      </c>
      <c r="D5965" s="198" t="inlineStr">
        <is>
          <t>configuração</t>
        </is>
      </c>
    </row>
    <row r="5966">
      <c r="A5966" s="198" t="inlineStr">
        <is>
          <t>custom.20.campo.base_do_livro</t>
        </is>
      </c>
      <c r="B5966" s="198">
        <f>SWITCH('CONFIGURAÇÃO'!$AB$275,"Origem",IF(ISBLANK('CONFIGURAÇÃO'!$AD$283),"",'CONFIGURAÇÃO'!$AD$283&amp;""),"")</f>
        <v/>
      </c>
      <c r="C5966" s="198">
        <f>"'CONFIGURAÇÃO'!AD283"</f>
        <v/>
      </c>
      <c r="D5966" s="198" t="inlineStr">
        <is>
          <t>configuração</t>
        </is>
      </c>
    </row>
    <row r="5967">
      <c r="A5967" s="198" t="inlineStr">
        <is>
          <t>custom.20.campo.categoria</t>
        </is>
      </c>
      <c r="B5967" s="198">
        <f>SWITCH('CONFIGURAÇÃO'!$AB$275,"Arma",IF(ISBLANK('CONFIGURAÇÃO'!$AD$278),"",'CONFIGURAÇÃO'!$AD$278&amp;""),"")</f>
        <v/>
      </c>
      <c r="C5967" s="198">
        <f>"'CONFIGURAÇÃO'!AD278"</f>
        <v/>
      </c>
      <c r="D5967" s="198" t="inlineStr">
        <is>
          <t>configuração</t>
        </is>
      </c>
    </row>
    <row r="5968">
      <c r="A5968" s="198" t="inlineStr">
        <is>
          <t>custom.20.campo.dado</t>
        </is>
      </c>
      <c r="B5968" s="198">
        <f>SWITCH('CONFIGURAÇÃO'!$AB$275,"Arma",IF(ISBLANK('CONFIGURAÇÃO'!$AD$285),"",'CONFIGURAÇÃO'!$AD$285&amp;""),"")</f>
        <v/>
      </c>
      <c r="C5968" s="198">
        <f>"'CONFIGURAÇÃO'!AD285"</f>
        <v/>
      </c>
      <c r="D5968" s="198" t="inlineStr">
        <is>
          <t>configuração</t>
        </is>
      </c>
    </row>
    <row r="5969">
      <c r="A5969" s="198" t="inlineStr">
        <is>
          <t>custom.20.campo.desgaste</t>
        </is>
      </c>
      <c r="B5969" s="198">
        <f>SWITCH('CONFIGURAÇÃO'!$AB$275,"Ferramenta amaldiçoada",IF(ISBLANK('CONFIGURAÇÃO'!$AD$286),"",'CONFIGURAÇÃO'!$AD$286&amp;""),"")</f>
        <v/>
      </c>
      <c r="C5969" s="198">
        <f>"'CONFIGURAÇÃO'!AD286"</f>
        <v/>
      </c>
      <c r="D5969" s="198" t="inlineStr">
        <is>
          <t>configuração</t>
        </is>
      </c>
    </row>
    <row r="5970">
      <c r="A5970" s="198" t="inlineStr">
        <is>
          <t>custom.20.campo.estigma</t>
        </is>
      </c>
      <c r="B5970" s="198">
        <f>SWITCH('CONFIGURAÇÃO'!$AB$275,"Ferramenta amaldiçoada",IF(ISBLANK('CONFIGURAÇÃO'!$AD$285),"",'CONFIGURAÇÃO'!$AD$285&amp;""),"")</f>
        <v/>
      </c>
      <c r="C5970" s="198">
        <f>"'CONFIGURAÇÃO'!AD285"</f>
        <v/>
      </c>
      <c r="D5970" s="198" t="inlineStr">
        <is>
          <t>configuração</t>
        </is>
      </c>
    </row>
    <row r="5971">
      <c r="A5971" s="198" t="inlineStr">
        <is>
          <t>custom.20.campo.exige_marcante</t>
        </is>
      </c>
      <c r="B5971" s="198">
        <f>SWITCH('CONFIGURAÇÃO'!$AB$275,"Menor",IF(ISBLANK('CONFIGURAÇÃO'!$AD$279),"",'CONFIGURAÇÃO'!$AD$279&amp;""),"")</f>
        <v/>
      </c>
      <c r="C5971" s="198">
        <f>"'CONFIGURAÇÃO'!AD279"</f>
        <v/>
      </c>
      <c r="D5971" s="198" t="inlineStr">
        <is>
          <t>configuração</t>
        </is>
      </c>
    </row>
    <row r="5972">
      <c r="A5972" s="198" t="inlineStr">
        <is>
          <t>custom.20.campo.forca</t>
        </is>
      </c>
      <c r="B5972" s="198">
        <f>SWITCH('CONFIGURAÇÃO'!$AB$275,"Arma",IF(ISBLANK('CONFIGURAÇÃO'!$AD$286),"",'CONFIGURAÇÃO'!$AD$286&amp;""),"Escudo",IF(ISBLANK('CONFIGURAÇÃO'!$AD$287),"",'CONFIGURAÇÃO'!$AD$287&amp;""),"Uniforme",IF(ISBLANK('CONFIGURAÇÃO'!$AD$287),"",'CONFIGURAÇÃO'!$AD$287&amp;""),"")</f>
        <v/>
      </c>
      <c r="C5972" s="198">
        <f>"'CONFIGURAÇÃO'!L573 'CONFIGURAÇÃO'!L574 'CONFIGURAÇÃO'!L574"</f>
        <v/>
      </c>
      <c r="D5972" s="198" t="inlineStr">
        <is>
          <t>configuração</t>
        </is>
      </c>
    </row>
    <row r="5973">
      <c r="A5973" s="198" t="inlineStr">
        <is>
          <t>custom.20.campo.frequencia</t>
        </is>
      </c>
      <c r="B5973" s="198">
        <f>SWITCH('CONFIGURAÇÃO'!$AB$275,"Marcante",IF(ISBLANK('CONFIGURAÇÃO'!$AD$285),"",'CONFIGURAÇÃO'!$AD$285&amp;""),"Menor",IF(ISBLANK('CONFIGURAÇÃO'!$AD$285),"",'CONFIGURAÇÃO'!$AD$285&amp;""),"")</f>
        <v/>
      </c>
      <c r="C5973" s="198">
        <f>"'CONFIGURAÇÃO'!L572 'CONFIGURAÇÃO'!L572"</f>
        <v/>
      </c>
      <c r="D5973" s="198" t="inlineStr">
        <is>
          <t>configuração</t>
        </is>
      </c>
    </row>
    <row r="5974">
      <c r="A5974" s="198" t="inlineStr">
        <is>
          <t>custom.20.campo.grau</t>
        </is>
      </c>
      <c r="B5974" s="198">
        <f>SWITCH('CONFIGURAÇÃO'!$AB$275,"Ferramenta amaldiçoada",IF(ISBLANK('CONFIGURAÇÃO'!$AD$279),"",'CONFIGURAÇÃO'!$AD$279&amp;""),"")</f>
        <v/>
      </c>
      <c r="C5974" s="198">
        <f>"'CONFIGURAÇÃO'!AD279"</f>
        <v/>
      </c>
      <c r="D5974" s="198" t="inlineStr">
        <is>
          <t>configuração</t>
        </is>
      </c>
    </row>
    <row r="5975">
      <c r="A5975" s="198" t="inlineStr">
        <is>
          <t>custom.20.campo.grau_minimo</t>
        </is>
      </c>
      <c r="B5975" s="198">
        <f>SWITCH('CONFIGURAÇÃO'!$AB$275,"Uniforme",IF(ISBLANK('CONFIGURAÇÃO'!$AD$278),"",'CONFIGURAÇÃO'!$AD$278&amp;""),"")</f>
        <v/>
      </c>
      <c r="C5975" s="198">
        <f>"'CONFIGURAÇÃO'!AD278"</f>
        <v/>
      </c>
      <c r="D5975" s="198" t="inlineStr">
        <is>
          <t>configuração</t>
        </is>
      </c>
    </row>
    <row r="5976">
      <c r="A5976" s="198" t="inlineStr">
        <is>
          <t>custom.20.campo.mao</t>
        </is>
      </c>
      <c r="B5976" s="198">
        <f>SWITCH('CONFIGURAÇÃO'!$AB$275,"Arma",IF(ISBLANK('CONFIGURAÇÃO'!$AD$279),"",'CONFIGURAÇÃO'!$AD$279&amp;""),"")</f>
        <v/>
      </c>
      <c r="C5976" s="198">
        <f>"'CONFIGURAÇÃO'!AD279"</f>
        <v/>
      </c>
      <c r="D5976" s="198" t="inlineStr">
        <is>
          <t>configuração</t>
        </is>
      </c>
    </row>
    <row r="5977">
      <c r="A5977" s="198" t="inlineStr">
        <is>
          <t>custom.20.campo.oficio</t>
        </is>
      </c>
      <c r="B5977" s="198">
        <f>SWITCH('CONFIGURAÇÃO'!$AB$275,"Origem",IF(ISBLANK('CONFIGURAÇÃO'!$AD$284),"",'CONFIGURAÇÃO'!$AD$284&amp;""),"")</f>
        <v/>
      </c>
      <c r="C5977" s="198">
        <f>"'CONFIGURAÇÃO'!AD284"</f>
        <v/>
      </c>
      <c r="D5977" s="198" t="inlineStr">
        <is>
          <t>configuração</t>
        </is>
      </c>
    </row>
    <row r="5978">
      <c r="A5978" s="198" t="inlineStr">
        <is>
          <t>custom.20.campo.origem</t>
        </is>
      </c>
      <c r="B5978" s="198">
        <f>SWITCH('CONFIGURAÇÃO'!$AB$275,"Marcante",IF(ISBLANK('CONFIGURAÇÃO'!$AD$278),"",'CONFIGURAÇÃO'!$AD$278&amp;""),"Menor",IF(ISBLANK('CONFIGURAÇÃO'!$AD$278),"",'CONFIGURAÇÃO'!$AD$278&amp;""),"")</f>
        <v/>
      </c>
      <c r="C5978" s="198">
        <f>"'CONFIGURAÇÃO'!L565 'CONFIGURAÇÃO'!L565"</f>
        <v/>
      </c>
      <c r="D5978" s="198" t="inlineStr">
        <is>
          <t>configuração</t>
        </is>
      </c>
    </row>
    <row r="5979">
      <c r="A5979" s="198" t="inlineStr">
        <is>
          <t>custom.20.campo.pericia_1</t>
        </is>
      </c>
      <c r="B5979" s="198">
        <f>SWITCH('CONFIGURAÇÃO'!$AB$275,"Origem",IF(ISBLANK('CONFIGURAÇÃO'!$AD$278),"",'CONFIGURAÇÃO'!$AD$278&amp;""),"")</f>
        <v/>
      </c>
      <c r="C5979" s="198">
        <f>"'CONFIGURAÇÃO'!AD278"</f>
        <v/>
      </c>
      <c r="D5979" s="198" t="inlineStr">
        <is>
          <t>configuração</t>
        </is>
      </c>
    </row>
    <row r="5980">
      <c r="A5980" s="198" t="inlineStr">
        <is>
          <t>custom.20.campo.pericia_2</t>
        </is>
      </c>
      <c r="B5980" s="198">
        <f>SWITCH('CONFIGURAÇÃO'!$AB$275,"Origem",IF(ISBLANK('CONFIGURAÇÃO'!$AD$279),"",'CONFIGURAÇÃO'!$AD$279&amp;""),"")</f>
        <v/>
      </c>
      <c r="C5980" s="198">
        <f>"'CONFIGURAÇÃO'!AD279"</f>
        <v/>
      </c>
      <c r="D5980" s="198" t="inlineStr">
        <is>
          <t>configuração</t>
        </is>
      </c>
    </row>
    <row r="5981">
      <c r="A5981" s="198" t="inlineStr">
        <is>
          <t>custom.20.campo.pericia_3</t>
        </is>
      </c>
      <c r="B5981" s="198">
        <f>SWITCH('CONFIGURAÇÃO'!$AB$275,"Origem",IF(ISBLANK('CONFIGURAÇÃO'!$AD$280),"",'CONFIGURAÇÃO'!$AD$280&amp;""),"")</f>
        <v/>
      </c>
      <c r="C5981" s="198">
        <f>"'CONFIGURAÇÃO'!AD280"</f>
        <v/>
      </c>
      <c r="D5981" s="198" t="inlineStr">
        <is>
          <t>configuração</t>
        </is>
      </c>
    </row>
    <row r="5982">
      <c r="A5982" s="198" t="inlineStr">
        <is>
          <t>custom.20.campo.pericia_4</t>
        </is>
      </c>
      <c r="B5982" s="198">
        <f>SWITCH('CONFIGURAÇÃO'!$AB$275,"Origem",IF(ISBLANK('CONFIGURAÇÃO'!$AD$281),"",'CONFIGURAÇÃO'!$AD$281&amp;""),"")</f>
        <v/>
      </c>
      <c r="C5982" s="198">
        <f>"'CONFIGURAÇÃO'!AD281"</f>
        <v/>
      </c>
      <c r="D5982" s="198" t="inlineStr">
        <is>
          <t>configuração</t>
        </is>
      </c>
    </row>
    <row r="5983">
      <c r="A5983" s="198" t="inlineStr">
        <is>
          <t>custom.20.campo.preco</t>
        </is>
      </c>
      <c r="B5983" s="198">
        <f>SWITCH('CONFIGURAÇÃO'!$AB$275,"Arma",IF(ISBLANK('CONFIGURAÇÃO'!$AD$290),"",'CONFIGURAÇÃO'!$AD$290&amp;""),"Escudo",IF(ISBLANK('CONFIGURAÇÃO'!$AD$289),"",'CONFIGURAÇÃO'!$AD$289&amp;""),"Uniforme",IF(ISBLANK('CONFIGURAÇÃO'!$AD$289),"",'CONFIGURAÇÃO'!$AD$289&amp;""),"Item comum",IF(ISBLANK('CONFIGURAÇÃO'!$AD$286),"",'CONFIGURAÇÃO'!$AD$286&amp;""),"Ferramenta amaldiçoada",IF(ISBLANK('CONFIGURAÇÃO'!$AD$288),"",'CONFIGURAÇÃO'!$AD$288&amp;""),"")</f>
        <v/>
      </c>
      <c r="C5983" s="198">
        <f>"'CONFIGURAÇÃO'!L577 'CONFIGURAÇÃO'!L576 'CONFIGURAÇÃO'!L576 'CONFIGURAÇÃO'!L573 'CONFIGURAÇÃO'!L575"</f>
        <v/>
      </c>
      <c r="D5983" s="198" t="inlineStr">
        <is>
          <t>configuração</t>
        </is>
      </c>
    </row>
    <row r="5984">
      <c r="A5984" s="198" t="inlineStr">
        <is>
          <t>custom.20.campo.propriedade_1</t>
        </is>
      </c>
      <c r="B5984" s="198">
        <f>SWITCH('CONFIGURAÇÃO'!$AB$275,"Arma",IF(ISBLANK('CONFIGURAÇÃO'!$AD$281),"",'CONFIGURAÇÃO'!$AD$281&amp;""),"")</f>
        <v/>
      </c>
      <c r="C5984" s="198">
        <f>"'CONFIGURAÇÃO'!AD281"</f>
        <v/>
      </c>
      <c r="D5984" s="198" t="inlineStr">
        <is>
          <t>configuração</t>
        </is>
      </c>
    </row>
    <row r="5985">
      <c r="A5985" s="198" t="inlineStr">
        <is>
          <t>custom.20.campo.propriedade_2</t>
        </is>
      </c>
      <c r="B5985" s="198">
        <f>SWITCH('CONFIGURAÇÃO'!$AB$275,"Arma",IF(ISBLANK('CONFIGURAÇÃO'!$AD$282),"",'CONFIGURAÇÃO'!$AD$282&amp;""),"")</f>
        <v/>
      </c>
      <c r="C5985" s="198">
        <f>"'CONFIGURAÇÃO'!AD282"</f>
        <v/>
      </c>
      <c r="D5985" s="198" t="inlineStr">
        <is>
          <t>configuração</t>
        </is>
      </c>
    </row>
    <row r="5986">
      <c r="A5986" s="198" t="inlineStr">
        <is>
          <t>custom.20.campo.propriedade_3</t>
        </is>
      </c>
      <c r="B5986" s="198">
        <f>SWITCH('CONFIGURAÇÃO'!$AB$275,"Arma",IF(ISBLANK('CONFIGURAÇÃO'!$AD$283),"",'CONFIGURAÇÃO'!$AD$283&amp;""),"")</f>
        <v/>
      </c>
      <c r="C5986" s="198">
        <f>"'CONFIGURAÇÃO'!AD283"</f>
        <v/>
      </c>
      <c r="D5986" s="198" t="inlineStr">
        <is>
          <t>configuração</t>
        </is>
      </c>
    </row>
    <row r="5987">
      <c r="A5987" s="198" t="inlineStr">
        <is>
          <t>custom.20.campo.propriedade_4</t>
        </is>
      </c>
      <c r="B5987" s="198">
        <f>SWITCH('CONFIGURAÇÃO'!$AB$275,"Arma",IF(ISBLANK('CONFIGURAÇÃO'!$AD$284),"",'CONFIGURAÇÃO'!$AD$284&amp;""),"")</f>
        <v/>
      </c>
      <c r="C5987" s="198">
        <f>"'CONFIGURAÇÃO'!AD284"</f>
        <v/>
      </c>
      <c r="D5987" s="198" t="inlineStr">
        <is>
          <t>configuração</t>
        </is>
      </c>
    </row>
    <row r="5988">
      <c r="A5988" s="198" t="inlineStr">
        <is>
          <t>custom.20.campo.protecao</t>
        </is>
      </c>
      <c r="B5988" s="198">
        <f>SWITCH('CONFIGURAÇÃO'!$AB$275,"Escudo",IF(ISBLANK('CONFIGURAÇÃO'!$AD$285),"",'CONFIGURAÇÃO'!$AD$285&amp;""),"Uniforme",IF(ISBLANK('CONFIGURAÇÃO'!$AD$285),"",'CONFIGURAÇÃO'!$AD$285&amp;""),"")</f>
        <v/>
      </c>
      <c r="C5988" s="198">
        <f>"'CONFIGURAÇÃO'!L572 'CONFIGURAÇÃO'!L572"</f>
        <v/>
      </c>
      <c r="D5988" s="198" t="inlineStr">
        <is>
          <t>configuração</t>
        </is>
      </c>
    </row>
    <row r="5989">
      <c r="A5989" s="198" t="inlineStr">
        <is>
          <t>custom.20.campo.recarga</t>
        </is>
      </c>
      <c r="B5989" s="198">
        <f>SWITCH('CONFIGURAÇÃO'!$AB$275,"Arma",IF(ISBLANK('CONFIGURAÇÃO'!$AD$289),"",'CONFIGURAÇÃO'!$AD$289&amp;""),"")</f>
        <v/>
      </c>
      <c r="C5989" s="198">
        <f>"'CONFIGURAÇÃO'!AD289"</f>
        <v/>
      </c>
      <c r="D5989" s="198" t="inlineStr">
        <is>
          <t>configuração</t>
        </is>
      </c>
    </row>
    <row r="5990">
      <c r="A5990" s="198" t="inlineStr">
        <is>
          <t>custom.20.campo.rota</t>
        </is>
      </c>
      <c r="B5990" s="198">
        <f>SWITCH('CONFIGURAÇÃO'!$AB$275,"Origem",IF(ISBLANK('CONFIGURAÇÃO'!$AD$282),"",'CONFIGURAÇÃO'!$AD$282&amp;""),"")</f>
        <v/>
      </c>
      <c r="C5990" s="198">
        <f>"'CONFIGURAÇÃO'!AD282"</f>
        <v/>
      </c>
      <c r="D5990" s="198" t="inlineStr">
        <is>
          <t>configuração</t>
        </is>
      </c>
    </row>
    <row r="5991">
      <c r="A5991" s="198" t="inlineStr">
        <is>
          <t>custom.20.campo.talento_ce_4</t>
        </is>
      </c>
      <c r="B5991" s="198">
        <f>SWITCH('CONFIGURAÇÃO'!$AB$275,"Origem",IF(ISBLANK('CONFIGURAÇÃO'!$AD$285),"",'CONFIGURAÇÃO'!$AD$285&amp;""),"")</f>
        <v/>
      </c>
      <c r="C5991" s="198">
        <f>"'CONFIGURAÇÃO'!AD285"</f>
        <v/>
      </c>
      <c r="D5991" s="198" t="inlineStr">
        <is>
          <t>configuração</t>
        </is>
      </c>
    </row>
    <row r="5992">
      <c r="A5992" s="198" t="inlineStr">
        <is>
          <t>custom.20.campo.teto_de_destreza</t>
        </is>
      </c>
      <c r="B5992" s="198">
        <f>SWITCH('CONFIGURAÇÃO'!$AB$275,"Escudo",IF(ISBLANK('CONFIGURAÇÃO'!$AD$286),"",'CONFIGURAÇÃO'!$AD$286&amp;""),"Uniforme",IF(ISBLANK('CONFIGURAÇÃO'!$AD$286),"",'CONFIGURAÇÃO'!$AD$286&amp;""),"")</f>
        <v/>
      </c>
      <c r="C5992" s="198">
        <f>"'CONFIGURAÇÃO'!L573 'CONFIGURAÇÃO'!L573"</f>
        <v/>
      </c>
      <c r="D5992" s="198" t="inlineStr">
        <is>
          <t>configuração</t>
        </is>
      </c>
    </row>
    <row r="5993">
      <c r="A5993" s="198" t="inlineStr">
        <is>
          <t>custom.20.campo.tipo_de_dano</t>
        </is>
      </c>
      <c r="B5993" s="198">
        <f>SWITCH('CONFIGURAÇÃO'!$AB$275,"Arma",IF(ISBLANK('CONFIGURAÇÃO'!$AD$280),"",'CONFIGURAÇÃO'!$AD$280&amp;""),"")</f>
        <v/>
      </c>
      <c r="C5993" s="198">
        <f>"'CONFIGURAÇÃO'!AD280"</f>
        <v/>
      </c>
      <c r="D5993" s="198" t="inlineStr">
        <is>
          <t>configuração</t>
        </is>
      </c>
    </row>
    <row r="5994">
      <c r="A5994" s="198" t="inlineStr">
        <is>
          <t>custom.20.campo.volume</t>
        </is>
      </c>
      <c r="B5994" s="198">
        <f>SWITCH('CONFIGURAÇÃO'!$AB$275,"Arma",IF(ISBLANK('CONFIGURAÇÃO'!$AD$287),"",'CONFIGURAÇÃO'!$AD$287&amp;""),"Escudo",IF(ISBLANK('CONFIGURAÇÃO'!$AD$288),"",'CONFIGURAÇÃO'!$AD$288&amp;""),"Uniforme",IF(ISBLANK('CONFIGURAÇÃO'!$AD$288),"",'CONFIGURAÇÃO'!$AD$288&amp;""),"Item comum",IF(ISBLANK('CONFIGURAÇÃO'!$AD$285),"",'CONFIGURAÇÃO'!$AD$285&amp;""),"Ferramenta amaldiçoada",IF(ISBLANK('CONFIGURAÇÃO'!$AD$287),"",'CONFIGURAÇÃO'!$AD$287&amp;""),"")</f>
        <v/>
      </c>
      <c r="C5994" s="198">
        <f>"'CONFIGURAÇÃO'!L574 'CONFIGURAÇÃO'!L575 'CONFIGURAÇÃO'!L575 'CONFIGURAÇÃO'!L572 'CONFIGURAÇÃO'!L574"</f>
        <v/>
      </c>
      <c r="D5994" s="198" t="inlineStr">
        <is>
          <t>configuração</t>
        </is>
      </c>
    </row>
    <row r="5995">
      <c r="A5995" s="198" t="inlineStr">
        <is>
          <t>aviso.custom.20</t>
        </is>
      </c>
      <c r="B5995" s="198">
        <f>'DADOS_CUSTOM'!$S$21&amp;""</f>
        <v/>
      </c>
      <c r="C5995" s="198" t="inlineStr">
        <is>
          <t>DADOS_CUSTOM!S21</t>
        </is>
      </c>
      <c r="D5995" s="198" t="inlineStr">
        <is>
          <t>aviso</t>
        </is>
      </c>
    </row>
    <row r="5996">
      <c r="A5996" s="198" t="inlineStr">
        <is>
          <t>custom.21.tipo</t>
        </is>
      </c>
      <c r="B5996" s="198">
        <f>IF(ISBLANK('CONFIGURAÇÃO'!$T$304),"",'CONFIGURAÇÃO'!$T$304&amp;"")</f>
        <v/>
      </c>
      <c r="C5996" s="198">
        <f>"'CONFIGURAÇÃO'!T304"</f>
        <v/>
      </c>
      <c r="D5996" s="198" t="inlineStr">
        <is>
          <t>configuração</t>
        </is>
      </c>
    </row>
    <row r="5997">
      <c r="A5997" s="198" t="inlineStr">
        <is>
          <t>custom.21.nome</t>
        </is>
      </c>
      <c r="B5997" s="198">
        <f>IF(ISBLANK('CONFIGURAÇÃO'!$T$306),"",'CONFIGURAÇÃO'!$T$306&amp;"")</f>
        <v/>
      </c>
      <c r="C5997" s="198">
        <f>"'CONFIGURAÇÃO'!T306"</f>
        <v/>
      </c>
      <c r="D5997" s="198" t="inlineStr">
        <is>
          <t>configuração</t>
        </is>
      </c>
    </row>
    <row r="5998">
      <c r="A5998" s="198" t="inlineStr">
        <is>
          <t>custom.21.mestre_viu</t>
        </is>
      </c>
      <c r="B5998" s="198">
        <f>N('CONFIGURAÇÃO'!$X$304)&amp;""</f>
        <v/>
      </c>
      <c r="C5998" s="198">
        <f>"'CONFIGURAÇÃO'!X304"</f>
        <v/>
      </c>
      <c r="D5998" s="198" t="inlineStr">
        <is>
          <t>configuração</t>
        </is>
      </c>
    </row>
    <row r="5999">
      <c r="A5999" s="198" t="inlineStr">
        <is>
          <t>custom.21.efeito</t>
        </is>
      </c>
      <c r="B5999" s="198">
        <f>IF(ISBLANK('CONFIGURAÇÃO'!$T$321),"",'CONFIGURAÇÃO'!$T$321&amp;"")</f>
        <v/>
      </c>
      <c r="C5999" s="198">
        <f>"'CONFIGURAÇÃO'!T321"</f>
        <v/>
      </c>
      <c r="D5999" s="198" t="inlineStr">
        <is>
          <t>configuração</t>
        </is>
      </c>
    </row>
    <row r="6000">
      <c r="A6000" s="198" t="inlineStr">
        <is>
          <t>custom.21.campo.alcance</t>
        </is>
      </c>
      <c r="B6000" s="198">
        <f>SWITCH('CONFIGURAÇÃO'!$T$304,"Arma",IF(ISBLANK('CONFIGURAÇÃO'!$V$317),"",'CONFIGURAÇÃO'!$V$317&amp;""),"")</f>
        <v/>
      </c>
      <c r="C6000" s="198">
        <f>"'CONFIGURAÇÃO'!V317"</f>
        <v/>
      </c>
      <c r="D6000" s="198" t="inlineStr">
        <is>
          <t>configuração</t>
        </is>
      </c>
    </row>
    <row r="6001">
      <c r="A6001" s="198" t="inlineStr">
        <is>
          <t>custom.21.campo.base</t>
        </is>
      </c>
      <c r="B6001" s="198">
        <f>SWITCH('CONFIGURAÇÃO'!$T$304,"Ferramenta amaldiçoada",IF(ISBLANK('CONFIGURAÇÃO'!$V$307),"",'CONFIGURAÇÃO'!$V$307&amp;""),"")</f>
        <v/>
      </c>
      <c r="C6001" s="198">
        <f>"'CONFIGURAÇÃO'!V307"</f>
        <v/>
      </c>
      <c r="D6001" s="198" t="inlineStr">
        <is>
          <t>configuração</t>
        </is>
      </c>
    </row>
    <row r="6002">
      <c r="A6002" s="198" t="inlineStr">
        <is>
          <t>custom.21.campo.base_do_livro</t>
        </is>
      </c>
      <c r="B6002" s="198">
        <f>SWITCH('CONFIGURAÇÃO'!$T$304,"Origem",IF(ISBLANK('CONFIGURAÇÃO'!$V$312),"",'CONFIGURAÇÃO'!$V$312&amp;""),"")</f>
        <v/>
      </c>
      <c r="C6002" s="198">
        <f>"'CONFIGURAÇÃO'!V312"</f>
        <v/>
      </c>
      <c r="D6002" s="198" t="inlineStr">
        <is>
          <t>configuração</t>
        </is>
      </c>
    </row>
    <row r="6003">
      <c r="A6003" s="198" t="inlineStr">
        <is>
          <t>custom.21.campo.categoria</t>
        </is>
      </c>
      <c r="B6003" s="198">
        <f>SWITCH('CONFIGURAÇÃO'!$T$304,"Arma",IF(ISBLANK('CONFIGURAÇÃO'!$V$307),"",'CONFIGURAÇÃO'!$V$307&amp;""),"")</f>
        <v/>
      </c>
      <c r="C6003" s="198">
        <f>"'CONFIGURAÇÃO'!V307"</f>
        <v/>
      </c>
      <c r="D6003" s="198" t="inlineStr">
        <is>
          <t>configuração</t>
        </is>
      </c>
    </row>
    <row r="6004">
      <c r="A6004" s="198" t="inlineStr">
        <is>
          <t>custom.21.campo.dado</t>
        </is>
      </c>
      <c r="B6004" s="198">
        <f>SWITCH('CONFIGURAÇÃO'!$T$304,"Arma",IF(ISBLANK('CONFIGURAÇÃO'!$V$314),"",'CONFIGURAÇÃO'!$V$314&amp;""),"")</f>
        <v/>
      </c>
      <c r="C6004" s="198">
        <f>"'CONFIGURAÇÃO'!V314"</f>
        <v/>
      </c>
      <c r="D6004" s="198" t="inlineStr">
        <is>
          <t>configuração</t>
        </is>
      </c>
    </row>
    <row r="6005">
      <c r="A6005" s="198" t="inlineStr">
        <is>
          <t>custom.21.campo.desgaste</t>
        </is>
      </c>
      <c r="B6005" s="198">
        <f>SWITCH('CONFIGURAÇÃO'!$T$304,"Ferramenta amaldiçoada",IF(ISBLANK('CONFIGURAÇÃO'!$V$315),"",'CONFIGURAÇÃO'!$V$315&amp;""),"")</f>
        <v/>
      </c>
      <c r="C6005" s="198">
        <f>"'CONFIGURAÇÃO'!V315"</f>
        <v/>
      </c>
      <c r="D6005" s="198" t="inlineStr">
        <is>
          <t>configuração</t>
        </is>
      </c>
    </row>
    <row r="6006">
      <c r="A6006" s="198" t="inlineStr">
        <is>
          <t>custom.21.campo.estigma</t>
        </is>
      </c>
      <c r="B6006" s="198">
        <f>SWITCH('CONFIGURAÇÃO'!$T$304,"Ferramenta amaldiçoada",IF(ISBLANK('CONFIGURAÇÃO'!$V$314),"",'CONFIGURAÇÃO'!$V$314&amp;""),"")</f>
        <v/>
      </c>
      <c r="C6006" s="198">
        <f>"'CONFIGURAÇÃO'!V314"</f>
        <v/>
      </c>
      <c r="D6006" s="198" t="inlineStr">
        <is>
          <t>configuração</t>
        </is>
      </c>
    </row>
    <row r="6007">
      <c r="A6007" s="198" t="inlineStr">
        <is>
          <t>custom.21.campo.exige_marcante</t>
        </is>
      </c>
      <c r="B6007" s="198">
        <f>SWITCH('CONFIGURAÇÃO'!$T$304,"Menor",IF(ISBLANK('CONFIGURAÇÃO'!$V$308),"",'CONFIGURAÇÃO'!$V$308&amp;""),"")</f>
        <v/>
      </c>
      <c r="C6007" s="198">
        <f>"'CONFIGURAÇÃO'!V308"</f>
        <v/>
      </c>
      <c r="D6007" s="198" t="inlineStr">
        <is>
          <t>configuração</t>
        </is>
      </c>
    </row>
    <row r="6008">
      <c r="A6008" s="198" t="inlineStr">
        <is>
          <t>custom.21.campo.forca</t>
        </is>
      </c>
      <c r="B6008" s="198">
        <f>SWITCH('CONFIGURAÇÃO'!$T$304,"Arma",IF(ISBLANK('CONFIGURAÇÃO'!$V$315),"",'CONFIGURAÇÃO'!$V$315&amp;""),"Escudo",IF(ISBLANK('CONFIGURAÇÃO'!$V$316),"",'CONFIGURAÇÃO'!$V$316&amp;""),"Uniforme",IF(ISBLANK('CONFIGURAÇÃO'!$V$316),"",'CONFIGURAÇÃO'!$V$316&amp;""),"")</f>
        <v/>
      </c>
      <c r="C6008" s="198">
        <f>"'CONFIGURAÇÃO'!L602 'CONFIGURAÇÃO'!L603 'CONFIGURAÇÃO'!L603"</f>
        <v/>
      </c>
      <c r="D6008" s="198" t="inlineStr">
        <is>
          <t>configuração</t>
        </is>
      </c>
    </row>
    <row r="6009">
      <c r="A6009" s="198" t="inlineStr">
        <is>
          <t>custom.21.campo.frequencia</t>
        </is>
      </c>
      <c r="B6009" s="198">
        <f>SWITCH('CONFIGURAÇÃO'!$T$304,"Marcante",IF(ISBLANK('CONFIGURAÇÃO'!$V$314),"",'CONFIGURAÇÃO'!$V$314&amp;""),"Menor",IF(ISBLANK('CONFIGURAÇÃO'!$V$314),"",'CONFIGURAÇÃO'!$V$314&amp;""),"")</f>
        <v/>
      </c>
      <c r="C6009" s="198">
        <f>"'CONFIGURAÇÃO'!L601 'CONFIGURAÇÃO'!L601"</f>
        <v/>
      </c>
      <c r="D6009" s="198" t="inlineStr">
        <is>
          <t>configuração</t>
        </is>
      </c>
    </row>
    <row r="6010">
      <c r="A6010" s="198" t="inlineStr">
        <is>
          <t>custom.21.campo.grau</t>
        </is>
      </c>
      <c r="B6010" s="198">
        <f>SWITCH('CONFIGURAÇÃO'!$T$304,"Ferramenta amaldiçoada",IF(ISBLANK('CONFIGURAÇÃO'!$V$308),"",'CONFIGURAÇÃO'!$V$308&amp;""),"")</f>
        <v/>
      </c>
      <c r="C6010" s="198">
        <f>"'CONFIGURAÇÃO'!V308"</f>
        <v/>
      </c>
      <c r="D6010" s="198" t="inlineStr">
        <is>
          <t>configuração</t>
        </is>
      </c>
    </row>
    <row r="6011">
      <c r="A6011" s="198" t="inlineStr">
        <is>
          <t>custom.21.campo.grau_minimo</t>
        </is>
      </c>
      <c r="B6011" s="198">
        <f>SWITCH('CONFIGURAÇÃO'!$T$304,"Uniforme",IF(ISBLANK('CONFIGURAÇÃO'!$V$307),"",'CONFIGURAÇÃO'!$V$307&amp;""),"")</f>
        <v/>
      </c>
      <c r="C6011" s="198">
        <f>"'CONFIGURAÇÃO'!V307"</f>
        <v/>
      </c>
      <c r="D6011" s="198" t="inlineStr">
        <is>
          <t>configuração</t>
        </is>
      </c>
    </row>
    <row r="6012">
      <c r="A6012" s="198" t="inlineStr">
        <is>
          <t>custom.21.campo.mao</t>
        </is>
      </c>
      <c r="B6012" s="198">
        <f>SWITCH('CONFIGURAÇÃO'!$T$304,"Arma",IF(ISBLANK('CONFIGURAÇÃO'!$V$308),"",'CONFIGURAÇÃO'!$V$308&amp;""),"")</f>
        <v/>
      </c>
      <c r="C6012" s="198">
        <f>"'CONFIGURAÇÃO'!V308"</f>
        <v/>
      </c>
      <c r="D6012" s="198" t="inlineStr">
        <is>
          <t>configuração</t>
        </is>
      </c>
    </row>
    <row r="6013">
      <c r="A6013" s="198" t="inlineStr">
        <is>
          <t>custom.21.campo.oficio</t>
        </is>
      </c>
      <c r="B6013" s="198">
        <f>SWITCH('CONFIGURAÇÃO'!$T$304,"Origem",IF(ISBLANK('CONFIGURAÇÃO'!$V$313),"",'CONFIGURAÇÃO'!$V$313&amp;""),"")</f>
        <v/>
      </c>
      <c r="C6013" s="198">
        <f>"'CONFIGURAÇÃO'!V313"</f>
        <v/>
      </c>
      <c r="D6013" s="198" t="inlineStr">
        <is>
          <t>configuração</t>
        </is>
      </c>
    </row>
    <row r="6014">
      <c r="A6014" s="198" t="inlineStr">
        <is>
          <t>custom.21.campo.origem</t>
        </is>
      </c>
      <c r="B6014" s="198">
        <f>SWITCH('CONFIGURAÇÃO'!$T$304,"Marcante",IF(ISBLANK('CONFIGURAÇÃO'!$V$307),"",'CONFIGURAÇÃO'!$V$307&amp;""),"Menor",IF(ISBLANK('CONFIGURAÇÃO'!$V$307),"",'CONFIGURAÇÃO'!$V$307&amp;""),"")</f>
        <v/>
      </c>
      <c r="C6014" s="198">
        <f>"'CONFIGURAÇÃO'!L594 'CONFIGURAÇÃO'!L594"</f>
        <v/>
      </c>
      <c r="D6014" s="198" t="inlineStr">
        <is>
          <t>configuração</t>
        </is>
      </c>
    </row>
    <row r="6015">
      <c r="A6015" s="198" t="inlineStr">
        <is>
          <t>custom.21.campo.pericia_1</t>
        </is>
      </c>
      <c r="B6015" s="198">
        <f>SWITCH('CONFIGURAÇÃO'!$T$304,"Origem",IF(ISBLANK('CONFIGURAÇÃO'!$V$307),"",'CONFIGURAÇÃO'!$V$307&amp;""),"")</f>
        <v/>
      </c>
      <c r="C6015" s="198">
        <f>"'CONFIGURAÇÃO'!V307"</f>
        <v/>
      </c>
      <c r="D6015" s="198" t="inlineStr">
        <is>
          <t>configuração</t>
        </is>
      </c>
    </row>
    <row r="6016">
      <c r="A6016" s="198" t="inlineStr">
        <is>
          <t>custom.21.campo.pericia_2</t>
        </is>
      </c>
      <c r="B6016" s="198">
        <f>SWITCH('CONFIGURAÇÃO'!$T$304,"Origem",IF(ISBLANK('CONFIGURAÇÃO'!$V$308),"",'CONFIGURAÇÃO'!$V$308&amp;""),"")</f>
        <v/>
      </c>
      <c r="C6016" s="198">
        <f>"'CONFIGURAÇÃO'!V308"</f>
        <v/>
      </c>
      <c r="D6016" s="198" t="inlineStr">
        <is>
          <t>configuração</t>
        </is>
      </c>
    </row>
    <row r="6017">
      <c r="A6017" s="198" t="inlineStr">
        <is>
          <t>custom.21.campo.pericia_3</t>
        </is>
      </c>
      <c r="B6017" s="198">
        <f>SWITCH('CONFIGURAÇÃO'!$T$304,"Origem",IF(ISBLANK('CONFIGURAÇÃO'!$V$309),"",'CONFIGURAÇÃO'!$V$309&amp;""),"")</f>
        <v/>
      </c>
      <c r="C6017" s="198">
        <f>"'CONFIGURAÇÃO'!V309"</f>
        <v/>
      </c>
      <c r="D6017" s="198" t="inlineStr">
        <is>
          <t>configuração</t>
        </is>
      </c>
    </row>
    <row r="6018">
      <c r="A6018" s="198" t="inlineStr">
        <is>
          <t>custom.21.campo.pericia_4</t>
        </is>
      </c>
      <c r="B6018" s="198">
        <f>SWITCH('CONFIGURAÇÃO'!$T$304,"Origem",IF(ISBLANK('CONFIGURAÇÃO'!$V$310),"",'CONFIGURAÇÃO'!$V$310&amp;""),"")</f>
        <v/>
      </c>
      <c r="C6018" s="198">
        <f>"'CONFIGURAÇÃO'!V310"</f>
        <v/>
      </c>
      <c r="D6018" s="198" t="inlineStr">
        <is>
          <t>configuração</t>
        </is>
      </c>
    </row>
    <row r="6019">
      <c r="A6019" s="198" t="inlineStr">
        <is>
          <t>custom.21.campo.preco</t>
        </is>
      </c>
      <c r="B6019" s="198">
        <f>SWITCH('CONFIGURAÇÃO'!$T$304,"Arma",IF(ISBLANK('CONFIGURAÇÃO'!$V$319),"",'CONFIGURAÇÃO'!$V$319&amp;""),"Escudo",IF(ISBLANK('CONFIGURAÇÃO'!$V$318),"",'CONFIGURAÇÃO'!$V$318&amp;""),"Uniforme",IF(ISBLANK('CONFIGURAÇÃO'!$V$318),"",'CONFIGURAÇÃO'!$V$318&amp;""),"Item comum",IF(ISBLANK('CONFIGURAÇÃO'!$V$315),"",'CONFIGURAÇÃO'!$V$315&amp;""),"Ferramenta amaldiçoada",IF(ISBLANK('CONFIGURAÇÃO'!$V$317),"",'CONFIGURAÇÃO'!$V$317&amp;""),"")</f>
        <v/>
      </c>
      <c r="C6019" s="198">
        <f>"'CONFIGURAÇÃO'!L606 'CONFIGURAÇÃO'!L605 'CONFIGURAÇÃO'!L605 'CONFIGURAÇÃO'!L602 'CONFIGURAÇÃO'!L604"</f>
        <v/>
      </c>
      <c r="D6019" s="198" t="inlineStr">
        <is>
          <t>configuração</t>
        </is>
      </c>
    </row>
    <row r="6020">
      <c r="A6020" s="198" t="inlineStr">
        <is>
          <t>custom.21.campo.propriedade_1</t>
        </is>
      </c>
      <c r="B6020" s="198">
        <f>SWITCH('CONFIGURAÇÃO'!$T$304,"Arma",IF(ISBLANK('CONFIGURAÇÃO'!$V$310),"",'CONFIGURAÇÃO'!$V$310&amp;""),"")</f>
        <v/>
      </c>
      <c r="C6020" s="198">
        <f>"'CONFIGURAÇÃO'!V310"</f>
        <v/>
      </c>
      <c r="D6020" s="198" t="inlineStr">
        <is>
          <t>configuração</t>
        </is>
      </c>
    </row>
    <row r="6021">
      <c r="A6021" s="198" t="inlineStr">
        <is>
          <t>custom.21.campo.propriedade_2</t>
        </is>
      </c>
      <c r="B6021" s="198">
        <f>SWITCH('CONFIGURAÇÃO'!$T$304,"Arma",IF(ISBLANK('CONFIGURAÇÃO'!$V$311),"",'CONFIGURAÇÃO'!$V$311&amp;""),"")</f>
        <v/>
      </c>
      <c r="C6021" s="198">
        <f>"'CONFIGURAÇÃO'!V311"</f>
        <v/>
      </c>
      <c r="D6021" s="198" t="inlineStr">
        <is>
          <t>configuração</t>
        </is>
      </c>
    </row>
    <row r="6022">
      <c r="A6022" s="198" t="inlineStr">
        <is>
          <t>custom.21.campo.propriedade_3</t>
        </is>
      </c>
      <c r="B6022" s="198">
        <f>SWITCH('CONFIGURAÇÃO'!$T$304,"Arma",IF(ISBLANK('CONFIGURAÇÃO'!$V$312),"",'CONFIGURAÇÃO'!$V$312&amp;""),"")</f>
        <v/>
      </c>
      <c r="C6022" s="198">
        <f>"'CONFIGURAÇÃO'!V312"</f>
        <v/>
      </c>
      <c r="D6022" s="198" t="inlineStr">
        <is>
          <t>configuração</t>
        </is>
      </c>
    </row>
    <row r="6023">
      <c r="A6023" s="198" t="inlineStr">
        <is>
          <t>custom.21.campo.propriedade_4</t>
        </is>
      </c>
      <c r="B6023" s="198">
        <f>SWITCH('CONFIGURAÇÃO'!$T$304,"Arma",IF(ISBLANK('CONFIGURAÇÃO'!$V$313),"",'CONFIGURAÇÃO'!$V$313&amp;""),"")</f>
        <v/>
      </c>
      <c r="C6023" s="198">
        <f>"'CONFIGURAÇÃO'!V313"</f>
        <v/>
      </c>
      <c r="D6023" s="198" t="inlineStr">
        <is>
          <t>configuração</t>
        </is>
      </c>
    </row>
    <row r="6024">
      <c r="A6024" s="198" t="inlineStr">
        <is>
          <t>custom.21.campo.protecao</t>
        </is>
      </c>
      <c r="B6024" s="198">
        <f>SWITCH('CONFIGURAÇÃO'!$T$304,"Escudo",IF(ISBLANK('CONFIGURAÇÃO'!$V$314),"",'CONFIGURAÇÃO'!$V$314&amp;""),"Uniforme",IF(ISBLANK('CONFIGURAÇÃO'!$V$314),"",'CONFIGURAÇÃO'!$V$314&amp;""),"")</f>
        <v/>
      </c>
      <c r="C6024" s="198">
        <f>"'CONFIGURAÇÃO'!L601 'CONFIGURAÇÃO'!L601"</f>
        <v/>
      </c>
      <c r="D6024" s="198" t="inlineStr">
        <is>
          <t>configuração</t>
        </is>
      </c>
    </row>
    <row r="6025">
      <c r="A6025" s="198" t="inlineStr">
        <is>
          <t>custom.21.campo.recarga</t>
        </is>
      </c>
      <c r="B6025" s="198">
        <f>SWITCH('CONFIGURAÇÃO'!$T$304,"Arma",IF(ISBLANK('CONFIGURAÇÃO'!$V$318),"",'CONFIGURAÇÃO'!$V$318&amp;""),"")</f>
        <v/>
      </c>
      <c r="C6025" s="198">
        <f>"'CONFIGURAÇÃO'!V318"</f>
        <v/>
      </c>
      <c r="D6025" s="198" t="inlineStr">
        <is>
          <t>configuração</t>
        </is>
      </c>
    </row>
    <row r="6026">
      <c r="A6026" s="198" t="inlineStr">
        <is>
          <t>custom.21.campo.rota</t>
        </is>
      </c>
      <c r="B6026" s="198">
        <f>SWITCH('CONFIGURAÇÃO'!$T$304,"Origem",IF(ISBLANK('CONFIGURAÇÃO'!$V$311),"",'CONFIGURAÇÃO'!$V$311&amp;""),"")</f>
        <v/>
      </c>
      <c r="C6026" s="198">
        <f>"'CONFIGURAÇÃO'!V311"</f>
        <v/>
      </c>
      <c r="D6026" s="198" t="inlineStr">
        <is>
          <t>configuração</t>
        </is>
      </c>
    </row>
    <row r="6027">
      <c r="A6027" s="198" t="inlineStr">
        <is>
          <t>custom.21.campo.talento_ce_4</t>
        </is>
      </c>
      <c r="B6027" s="198">
        <f>SWITCH('CONFIGURAÇÃO'!$T$304,"Origem",IF(ISBLANK('CONFIGURAÇÃO'!$V$314),"",'CONFIGURAÇÃO'!$V$314&amp;""),"")</f>
        <v/>
      </c>
      <c r="C6027" s="198">
        <f>"'CONFIGURAÇÃO'!V314"</f>
        <v/>
      </c>
      <c r="D6027" s="198" t="inlineStr">
        <is>
          <t>configuração</t>
        </is>
      </c>
    </row>
    <row r="6028">
      <c r="A6028" s="198" t="inlineStr">
        <is>
          <t>custom.21.campo.teto_de_destreza</t>
        </is>
      </c>
      <c r="B6028" s="198">
        <f>SWITCH('CONFIGURAÇÃO'!$T$304,"Escudo",IF(ISBLANK('CONFIGURAÇÃO'!$V$315),"",'CONFIGURAÇÃO'!$V$315&amp;""),"Uniforme",IF(ISBLANK('CONFIGURAÇÃO'!$V$315),"",'CONFIGURAÇÃO'!$V$315&amp;""),"")</f>
        <v/>
      </c>
      <c r="C6028" s="198">
        <f>"'CONFIGURAÇÃO'!L602 'CONFIGURAÇÃO'!L602"</f>
        <v/>
      </c>
      <c r="D6028" s="198" t="inlineStr">
        <is>
          <t>configuração</t>
        </is>
      </c>
    </row>
    <row r="6029">
      <c r="A6029" s="198" t="inlineStr">
        <is>
          <t>custom.21.campo.tipo_de_dano</t>
        </is>
      </c>
      <c r="B6029" s="198">
        <f>SWITCH('CONFIGURAÇÃO'!$T$304,"Arma",IF(ISBLANK('CONFIGURAÇÃO'!$V$309),"",'CONFIGURAÇÃO'!$V$309&amp;""),"")</f>
        <v/>
      </c>
      <c r="C6029" s="198">
        <f>"'CONFIGURAÇÃO'!V309"</f>
        <v/>
      </c>
      <c r="D6029" s="198" t="inlineStr">
        <is>
          <t>configuração</t>
        </is>
      </c>
    </row>
    <row r="6030">
      <c r="A6030" s="198" t="inlineStr">
        <is>
          <t>custom.21.campo.volume</t>
        </is>
      </c>
      <c r="B6030" s="198">
        <f>SWITCH('CONFIGURAÇÃO'!$T$304,"Arma",IF(ISBLANK('CONFIGURAÇÃO'!$V$316),"",'CONFIGURAÇÃO'!$V$316&amp;""),"Escudo",IF(ISBLANK('CONFIGURAÇÃO'!$V$317),"",'CONFIGURAÇÃO'!$V$317&amp;""),"Uniforme",IF(ISBLANK('CONFIGURAÇÃO'!$V$317),"",'CONFIGURAÇÃO'!$V$317&amp;""),"Item comum",IF(ISBLANK('CONFIGURAÇÃO'!$V$314),"",'CONFIGURAÇÃO'!$V$314&amp;""),"Ferramenta amaldiçoada",IF(ISBLANK('CONFIGURAÇÃO'!$V$316),"",'CONFIGURAÇÃO'!$V$316&amp;""),"")</f>
        <v/>
      </c>
      <c r="C6030" s="198">
        <f>"'CONFIGURAÇÃO'!L603 'CONFIGURAÇÃO'!L604 'CONFIGURAÇÃO'!L604 'CONFIGURAÇÃO'!L601 'CONFIGURAÇÃO'!L603"</f>
        <v/>
      </c>
      <c r="D6030" s="198" t="inlineStr">
        <is>
          <t>configuração</t>
        </is>
      </c>
    </row>
    <row r="6031">
      <c r="A6031" s="198" t="inlineStr">
        <is>
          <t>aviso.custom.21</t>
        </is>
      </c>
      <c r="B6031" s="198">
        <f>'DADOS_CUSTOM'!$S$22&amp;""</f>
        <v/>
      </c>
      <c r="C6031" s="198" t="inlineStr">
        <is>
          <t>DADOS_CUSTOM!S22</t>
        </is>
      </c>
      <c r="D6031" s="198" t="inlineStr">
        <is>
          <t>aviso</t>
        </is>
      </c>
    </row>
    <row r="6032">
      <c r="A6032" s="198" t="inlineStr">
        <is>
          <t>custom.22.tipo</t>
        </is>
      </c>
      <c r="B6032" s="198">
        <f>IF(ISBLANK('CONFIGURAÇÃO'!$AB$304),"",'CONFIGURAÇÃO'!$AB$304&amp;"")</f>
        <v/>
      </c>
      <c r="C6032" s="198">
        <f>"'CONFIGURAÇÃO'!AB304"</f>
        <v/>
      </c>
      <c r="D6032" s="198" t="inlineStr">
        <is>
          <t>configuração</t>
        </is>
      </c>
    </row>
    <row r="6033">
      <c r="A6033" s="198" t="inlineStr">
        <is>
          <t>custom.22.nome</t>
        </is>
      </c>
      <c r="B6033" s="198">
        <f>IF(ISBLANK('CONFIGURAÇÃO'!$AB$306),"",'CONFIGURAÇÃO'!$AB$306&amp;"")</f>
        <v/>
      </c>
      <c r="C6033" s="198">
        <f>"'CONFIGURAÇÃO'!AB306"</f>
        <v/>
      </c>
      <c r="D6033" s="198" t="inlineStr">
        <is>
          <t>configuração</t>
        </is>
      </c>
    </row>
    <row r="6034">
      <c r="A6034" s="198" t="inlineStr">
        <is>
          <t>custom.22.mestre_viu</t>
        </is>
      </c>
      <c r="B6034" s="198">
        <f>N('CONFIGURAÇÃO'!$AF$304)&amp;""</f>
        <v/>
      </c>
      <c r="C6034" s="198">
        <f>"'CONFIGURAÇÃO'!AF304"</f>
        <v/>
      </c>
      <c r="D6034" s="198" t="inlineStr">
        <is>
          <t>configuração</t>
        </is>
      </c>
    </row>
    <row r="6035">
      <c r="A6035" s="198" t="inlineStr">
        <is>
          <t>custom.22.efeito</t>
        </is>
      </c>
      <c r="B6035" s="198">
        <f>IF(ISBLANK('CONFIGURAÇÃO'!$AB$321),"",'CONFIGURAÇÃO'!$AB$321&amp;"")</f>
        <v/>
      </c>
      <c r="C6035" s="198">
        <f>"'CONFIGURAÇÃO'!AB321"</f>
        <v/>
      </c>
      <c r="D6035" s="198" t="inlineStr">
        <is>
          <t>configuração</t>
        </is>
      </c>
    </row>
    <row r="6036">
      <c r="A6036" s="198" t="inlineStr">
        <is>
          <t>custom.22.campo.alcance</t>
        </is>
      </c>
      <c r="B6036" s="198">
        <f>SWITCH('CONFIGURAÇÃO'!$AB$304,"Arma",IF(ISBLANK('CONFIGURAÇÃO'!$AD$317),"",'CONFIGURAÇÃO'!$AD$317&amp;""),"")</f>
        <v/>
      </c>
      <c r="C6036" s="198">
        <f>"'CONFIGURAÇÃO'!AD317"</f>
        <v/>
      </c>
      <c r="D6036" s="198" t="inlineStr">
        <is>
          <t>configuração</t>
        </is>
      </c>
    </row>
    <row r="6037">
      <c r="A6037" s="198" t="inlineStr">
        <is>
          <t>custom.22.campo.base</t>
        </is>
      </c>
      <c r="B6037" s="198">
        <f>SWITCH('CONFIGURAÇÃO'!$AB$304,"Ferramenta amaldiçoada",IF(ISBLANK('CONFIGURAÇÃO'!$AD$307),"",'CONFIGURAÇÃO'!$AD$307&amp;""),"")</f>
        <v/>
      </c>
      <c r="C6037" s="198">
        <f>"'CONFIGURAÇÃO'!AD307"</f>
        <v/>
      </c>
      <c r="D6037" s="198" t="inlineStr">
        <is>
          <t>configuração</t>
        </is>
      </c>
    </row>
    <row r="6038">
      <c r="A6038" s="198" t="inlineStr">
        <is>
          <t>custom.22.campo.base_do_livro</t>
        </is>
      </c>
      <c r="B6038" s="198">
        <f>SWITCH('CONFIGURAÇÃO'!$AB$304,"Origem",IF(ISBLANK('CONFIGURAÇÃO'!$AD$312),"",'CONFIGURAÇÃO'!$AD$312&amp;""),"")</f>
        <v/>
      </c>
      <c r="C6038" s="198">
        <f>"'CONFIGURAÇÃO'!AD312"</f>
        <v/>
      </c>
      <c r="D6038" s="198" t="inlineStr">
        <is>
          <t>configuração</t>
        </is>
      </c>
    </row>
    <row r="6039">
      <c r="A6039" s="198" t="inlineStr">
        <is>
          <t>custom.22.campo.categoria</t>
        </is>
      </c>
      <c r="B6039" s="198">
        <f>SWITCH('CONFIGURAÇÃO'!$AB$304,"Arma",IF(ISBLANK('CONFIGURAÇÃO'!$AD$307),"",'CONFIGURAÇÃO'!$AD$307&amp;""),"")</f>
        <v/>
      </c>
      <c r="C6039" s="198">
        <f>"'CONFIGURAÇÃO'!AD307"</f>
        <v/>
      </c>
      <c r="D6039" s="198" t="inlineStr">
        <is>
          <t>configuração</t>
        </is>
      </c>
    </row>
    <row r="6040">
      <c r="A6040" s="198" t="inlineStr">
        <is>
          <t>custom.22.campo.dado</t>
        </is>
      </c>
      <c r="B6040" s="198">
        <f>SWITCH('CONFIGURAÇÃO'!$AB$304,"Arma",IF(ISBLANK('CONFIGURAÇÃO'!$AD$314),"",'CONFIGURAÇÃO'!$AD$314&amp;""),"")</f>
        <v/>
      </c>
      <c r="C6040" s="198">
        <f>"'CONFIGURAÇÃO'!AD314"</f>
        <v/>
      </c>
      <c r="D6040" s="198" t="inlineStr">
        <is>
          <t>configuração</t>
        </is>
      </c>
    </row>
    <row r="6041">
      <c r="A6041" s="198" t="inlineStr">
        <is>
          <t>custom.22.campo.desgaste</t>
        </is>
      </c>
      <c r="B6041" s="198">
        <f>SWITCH('CONFIGURAÇÃO'!$AB$304,"Ferramenta amaldiçoada",IF(ISBLANK('CONFIGURAÇÃO'!$AD$315),"",'CONFIGURAÇÃO'!$AD$315&amp;""),"")</f>
        <v/>
      </c>
      <c r="C6041" s="198">
        <f>"'CONFIGURAÇÃO'!AD315"</f>
        <v/>
      </c>
      <c r="D6041" s="198" t="inlineStr">
        <is>
          <t>configuração</t>
        </is>
      </c>
    </row>
    <row r="6042">
      <c r="A6042" s="198" t="inlineStr">
        <is>
          <t>custom.22.campo.estigma</t>
        </is>
      </c>
      <c r="B6042" s="198">
        <f>SWITCH('CONFIGURAÇÃO'!$AB$304,"Ferramenta amaldiçoada",IF(ISBLANK('CONFIGURAÇÃO'!$AD$314),"",'CONFIGURAÇÃO'!$AD$314&amp;""),"")</f>
        <v/>
      </c>
      <c r="C6042" s="198">
        <f>"'CONFIGURAÇÃO'!AD314"</f>
        <v/>
      </c>
      <c r="D6042" s="198" t="inlineStr">
        <is>
          <t>configuração</t>
        </is>
      </c>
    </row>
    <row r="6043">
      <c r="A6043" s="198" t="inlineStr">
        <is>
          <t>custom.22.campo.exige_marcante</t>
        </is>
      </c>
      <c r="B6043" s="198">
        <f>SWITCH('CONFIGURAÇÃO'!$AB$304,"Menor",IF(ISBLANK('CONFIGURAÇÃO'!$AD$308),"",'CONFIGURAÇÃO'!$AD$308&amp;""),"")</f>
        <v/>
      </c>
      <c r="C6043" s="198">
        <f>"'CONFIGURAÇÃO'!AD308"</f>
        <v/>
      </c>
      <c r="D6043" s="198" t="inlineStr">
        <is>
          <t>configuração</t>
        </is>
      </c>
    </row>
    <row r="6044">
      <c r="A6044" s="198" t="inlineStr">
        <is>
          <t>custom.22.campo.forca</t>
        </is>
      </c>
      <c r="B6044" s="198">
        <f>SWITCH('CONFIGURAÇÃO'!$AB$304,"Arma",IF(ISBLANK('CONFIGURAÇÃO'!$AD$315),"",'CONFIGURAÇÃO'!$AD$315&amp;""),"Escudo",IF(ISBLANK('CONFIGURAÇÃO'!$AD$316),"",'CONFIGURAÇÃO'!$AD$316&amp;""),"Uniforme",IF(ISBLANK('CONFIGURAÇÃO'!$AD$316),"",'CONFIGURAÇÃO'!$AD$316&amp;""),"")</f>
        <v/>
      </c>
      <c r="C6044" s="198">
        <f>"'CONFIGURAÇÃO'!L631 'CONFIGURAÇÃO'!L632 'CONFIGURAÇÃO'!L632"</f>
        <v/>
      </c>
      <c r="D6044" s="198" t="inlineStr">
        <is>
          <t>configuração</t>
        </is>
      </c>
    </row>
    <row r="6045">
      <c r="A6045" s="198" t="inlineStr">
        <is>
          <t>custom.22.campo.frequencia</t>
        </is>
      </c>
      <c r="B6045" s="198">
        <f>SWITCH('CONFIGURAÇÃO'!$AB$304,"Marcante",IF(ISBLANK('CONFIGURAÇÃO'!$AD$314),"",'CONFIGURAÇÃO'!$AD$314&amp;""),"Menor",IF(ISBLANK('CONFIGURAÇÃO'!$AD$314),"",'CONFIGURAÇÃO'!$AD$314&amp;""),"")</f>
        <v/>
      </c>
      <c r="C6045" s="198">
        <f>"'CONFIGURAÇÃO'!L630 'CONFIGURAÇÃO'!L630"</f>
        <v/>
      </c>
      <c r="D6045" s="198" t="inlineStr">
        <is>
          <t>configuração</t>
        </is>
      </c>
    </row>
    <row r="6046">
      <c r="A6046" s="198" t="inlineStr">
        <is>
          <t>custom.22.campo.grau</t>
        </is>
      </c>
      <c r="B6046" s="198">
        <f>SWITCH('CONFIGURAÇÃO'!$AB$304,"Ferramenta amaldiçoada",IF(ISBLANK('CONFIGURAÇÃO'!$AD$308),"",'CONFIGURAÇÃO'!$AD$308&amp;""),"")</f>
        <v/>
      </c>
      <c r="C6046" s="198">
        <f>"'CONFIGURAÇÃO'!AD308"</f>
        <v/>
      </c>
      <c r="D6046" s="198" t="inlineStr">
        <is>
          <t>configuração</t>
        </is>
      </c>
    </row>
    <row r="6047">
      <c r="A6047" s="198" t="inlineStr">
        <is>
          <t>custom.22.campo.grau_minimo</t>
        </is>
      </c>
      <c r="B6047" s="198">
        <f>SWITCH('CONFIGURAÇÃO'!$AB$304,"Uniforme",IF(ISBLANK('CONFIGURAÇÃO'!$AD$307),"",'CONFIGURAÇÃO'!$AD$307&amp;""),"")</f>
        <v/>
      </c>
      <c r="C6047" s="198">
        <f>"'CONFIGURAÇÃO'!AD307"</f>
        <v/>
      </c>
      <c r="D6047" s="198" t="inlineStr">
        <is>
          <t>configuração</t>
        </is>
      </c>
    </row>
    <row r="6048">
      <c r="A6048" s="198" t="inlineStr">
        <is>
          <t>custom.22.campo.mao</t>
        </is>
      </c>
      <c r="B6048" s="198">
        <f>SWITCH('CONFIGURAÇÃO'!$AB$304,"Arma",IF(ISBLANK('CONFIGURAÇÃO'!$AD$308),"",'CONFIGURAÇÃO'!$AD$308&amp;""),"")</f>
        <v/>
      </c>
      <c r="C6048" s="198">
        <f>"'CONFIGURAÇÃO'!AD308"</f>
        <v/>
      </c>
      <c r="D6048" s="198" t="inlineStr">
        <is>
          <t>configuração</t>
        </is>
      </c>
    </row>
    <row r="6049">
      <c r="A6049" s="198" t="inlineStr">
        <is>
          <t>custom.22.campo.oficio</t>
        </is>
      </c>
      <c r="B6049" s="198">
        <f>SWITCH('CONFIGURAÇÃO'!$AB$304,"Origem",IF(ISBLANK('CONFIGURAÇÃO'!$AD$313),"",'CONFIGURAÇÃO'!$AD$313&amp;""),"")</f>
        <v/>
      </c>
      <c r="C6049" s="198">
        <f>"'CONFIGURAÇÃO'!AD313"</f>
        <v/>
      </c>
      <c r="D6049" s="198" t="inlineStr">
        <is>
          <t>configuração</t>
        </is>
      </c>
    </row>
    <row r="6050">
      <c r="A6050" s="198" t="inlineStr">
        <is>
          <t>custom.22.campo.origem</t>
        </is>
      </c>
      <c r="B6050" s="198">
        <f>SWITCH('CONFIGURAÇÃO'!$AB$304,"Marcante",IF(ISBLANK('CONFIGURAÇÃO'!$AD$307),"",'CONFIGURAÇÃO'!$AD$307&amp;""),"Menor",IF(ISBLANK('CONFIGURAÇÃO'!$AD$307),"",'CONFIGURAÇÃO'!$AD$307&amp;""),"")</f>
        <v/>
      </c>
      <c r="C6050" s="198">
        <f>"'CONFIGURAÇÃO'!L623 'CONFIGURAÇÃO'!L623"</f>
        <v/>
      </c>
      <c r="D6050" s="198" t="inlineStr">
        <is>
          <t>configuração</t>
        </is>
      </c>
    </row>
    <row r="6051">
      <c r="A6051" s="198" t="inlineStr">
        <is>
          <t>custom.22.campo.pericia_1</t>
        </is>
      </c>
      <c r="B6051" s="198">
        <f>SWITCH('CONFIGURAÇÃO'!$AB$304,"Origem",IF(ISBLANK('CONFIGURAÇÃO'!$AD$307),"",'CONFIGURAÇÃO'!$AD$307&amp;""),"")</f>
        <v/>
      </c>
      <c r="C6051" s="198">
        <f>"'CONFIGURAÇÃO'!AD307"</f>
        <v/>
      </c>
      <c r="D6051" s="198" t="inlineStr">
        <is>
          <t>configuração</t>
        </is>
      </c>
    </row>
    <row r="6052">
      <c r="A6052" s="198" t="inlineStr">
        <is>
          <t>custom.22.campo.pericia_2</t>
        </is>
      </c>
      <c r="B6052" s="198">
        <f>SWITCH('CONFIGURAÇÃO'!$AB$304,"Origem",IF(ISBLANK('CONFIGURAÇÃO'!$AD$308),"",'CONFIGURAÇÃO'!$AD$308&amp;""),"")</f>
        <v/>
      </c>
      <c r="C6052" s="198">
        <f>"'CONFIGURAÇÃO'!AD308"</f>
        <v/>
      </c>
      <c r="D6052" s="198" t="inlineStr">
        <is>
          <t>configuração</t>
        </is>
      </c>
    </row>
    <row r="6053">
      <c r="A6053" s="198" t="inlineStr">
        <is>
          <t>custom.22.campo.pericia_3</t>
        </is>
      </c>
      <c r="B6053" s="198">
        <f>SWITCH('CONFIGURAÇÃO'!$AB$304,"Origem",IF(ISBLANK('CONFIGURAÇÃO'!$AD$309),"",'CONFIGURAÇÃO'!$AD$309&amp;""),"")</f>
        <v/>
      </c>
      <c r="C6053" s="198">
        <f>"'CONFIGURAÇÃO'!AD309"</f>
        <v/>
      </c>
      <c r="D6053" s="198" t="inlineStr">
        <is>
          <t>configuração</t>
        </is>
      </c>
    </row>
    <row r="6054">
      <c r="A6054" s="198" t="inlineStr">
        <is>
          <t>custom.22.campo.pericia_4</t>
        </is>
      </c>
      <c r="B6054" s="198">
        <f>SWITCH('CONFIGURAÇÃO'!$AB$304,"Origem",IF(ISBLANK('CONFIGURAÇÃO'!$AD$310),"",'CONFIGURAÇÃO'!$AD$310&amp;""),"")</f>
        <v/>
      </c>
      <c r="C6054" s="198">
        <f>"'CONFIGURAÇÃO'!AD310"</f>
        <v/>
      </c>
      <c r="D6054" s="198" t="inlineStr">
        <is>
          <t>configuração</t>
        </is>
      </c>
    </row>
    <row r="6055">
      <c r="A6055" s="198" t="inlineStr">
        <is>
          <t>custom.22.campo.preco</t>
        </is>
      </c>
      <c r="B6055" s="198">
        <f>SWITCH('CONFIGURAÇÃO'!$AB$304,"Arma",IF(ISBLANK('CONFIGURAÇÃO'!$AD$319),"",'CONFIGURAÇÃO'!$AD$319&amp;""),"Escudo",IF(ISBLANK('CONFIGURAÇÃO'!$AD$318),"",'CONFIGURAÇÃO'!$AD$318&amp;""),"Uniforme",IF(ISBLANK('CONFIGURAÇÃO'!$AD$318),"",'CONFIGURAÇÃO'!$AD$318&amp;""),"Item comum",IF(ISBLANK('CONFIGURAÇÃO'!$AD$315),"",'CONFIGURAÇÃO'!$AD$315&amp;""),"Ferramenta amaldiçoada",IF(ISBLANK('CONFIGURAÇÃO'!$AD$317),"",'CONFIGURAÇÃO'!$AD$317&amp;""),"")</f>
        <v/>
      </c>
      <c r="C6055" s="198">
        <f>"'CONFIGURAÇÃO'!L635 'CONFIGURAÇÃO'!L634 'CONFIGURAÇÃO'!L634 'CONFIGURAÇÃO'!L631 'CONFIGURAÇÃO'!L633"</f>
        <v/>
      </c>
      <c r="D6055" s="198" t="inlineStr">
        <is>
          <t>configuração</t>
        </is>
      </c>
    </row>
    <row r="6056">
      <c r="A6056" s="198" t="inlineStr">
        <is>
          <t>custom.22.campo.propriedade_1</t>
        </is>
      </c>
      <c r="B6056" s="198">
        <f>SWITCH('CONFIGURAÇÃO'!$AB$304,"Arma",IF(ISBLANK('CONFIGURAÇÃO'!$AD$310),"",'CONFIGURAÇÃO'!$AD$310&amp;""),"")</f>
        <v/>
      </c>
      <c r="C6056" s="198">
        <f>"'CONFIGURAÇÃO'!AD310"</f>
        <v/>
      </c>
      <c r="D6056" s="198" t="inlineStr">
        <is>
          <t>configuração</t>
        </is>
      </c>
    </row>
    <row r="6057">
      <c r="A6057" s="198" t="inlineStr">
        <is>
          <t>custom.22.campo.propriedade_2</t>
        </is>
      </c>
      <c r="B6057" s="198">
        <f>SWITCH('CONFIGURAÇÃO'!$AB$304,"Arma",IF(ISBLANK('CONFIGURAÇÃO'!$AD$311),"",'CONFIGURAÇÃO'!$AD$311&amp;""),"")</f>
        <v/>
      </c>
      <c r="C6057" s="198">
        <f>"'CONFIGURAÇÃO'!AD311"</f>
        <v/>
      </c>
      <c r="D6057" s="198" t="inlineStr">
        <is>
          <t>configuração</t>
        </is>
      </c>
    </row>
    <row r="6058">
      <c r="A6058" s="198" t="inlineStr">
        <is>
          <t>custom.22.campo.propriedade_3</t>
        </is>
      </c>
      <c r="B6058" s="198">
        <f>SWITCH('CONFIGURAÇÃO'!$AB$304,"Arma",IF(ISBLANK('CONFIGURAÇÃO'!$AD$312),"",'CONFIGURAÇÃO'!$AD$312&amp;""),"")</f>
        <v/>
      </c>
      <c r="C6058" s="198">
        <f>"'CONFIGURAÇÃO'!AD312"</f>
        <v/>
      </c>
      <c r="D6058" s="198" t="inlineStr">
        <is>
          <t>configuração</t>
        </is>
      </c>
    </row>
    <row r="6059">
      <c r="A6059" s="198" t="inlineStr">
        <is>
          <t>custom.22.campo.propriedade_4</t>
        </is>
      </c>
      <c r="B6059" s="198">
        <f>SWITCH('CONFIGURAÇÃO'!$AB$304,"Arma",IF(ISBLANK('CONFIGURAÇÃO'!$AD$313),"",'CONFIGURAÇÃO'!$AD$313&amp;""),"")</f>
        <v/>
      </c>
      <c r="C6059" s="198">
        <f>"'CONFIGURAÇÃO'!AD313"</f>
        <v/>
      </c>
      <c r="D6059" s="198" t="inlineStr">
        <is>
          <t>configuração</t>
        </is>
      </c>
    </row>
    <row r="6060">
      <c r="A6060" s="198" t="inlineStr">
        <is>
          <t>custom.22.campo.protecao</t>
        </is>
      </c>
      <c r="B6060" s="198">
        <f>SWITCH('CONFIGURAÇÃO'!$AB$304,"Escudo",IF(ISBLANK('CONFIGURAÇÃO'!$AD$314),"",'CONFIGURAÇÃO'!$AD$314&amp;""),"Uniforme",IF(ISBLANK('CONFIGURAÇÃO'!$AD$314),"",'CONFIGURAÇÃO'!$AD$314&amp;""),"")</f>
        <v/>
      </c>
      <c r="C6060" s="198">
        <f>"'CONFIGURAÇÃO'!L630 'CONFIGURAÇÃO'!L630"</f>
        <v/>
      </c>
      <c r="D6060" s="198" t="inlineStr">
        <is>
          <t>configuração</t>
        </is>
      </c>
    </row>
    <row r="6061">
      <c r="A6061" s="198" t="inlineStr">
        <is>
          <t>custom.22.campo.recarga</t>
        </is>
      </c>
      <c r="B6061" s="198">
        <f>SWITCH('CONFIGURAÇÃO'!$AB$304,"Arma",IF(ISBLANK('CONFIGURAÇÃO'!$AD$318),"",'CONFIGURAÇÃO'!$AD$318&amp;""),"")</f>
        <v/>
      </c>
      <c r="C6061" s="198">
        <f>"'CONFIGURAÇÃO'!AD318"</f>
        <v/>
      </c>
      <c r="D6061" s="198" t="inlineStr">
        <is>
          <t>configuração</t>
        </is>
      </c>
    </row>
    <row r="6062">
      <c r="A6062" s="198" t="inlineStr">
        <is>
          <t>custom.22.campo.rota</t>
        </is>
      </c>
      <c r="B6062" s="198">
        <f>SWITCH('CONFIGURAÇÃO'!$AB$304,"Origem",IF(ISBLANK('CONFIGURAÇÃO'!$AD$311),"",'CONFIGURAÇÃO'!$AD$311&amp;""),"")</f>
        <v/>
      </c>
      <c r="C6062" s="198">
        <f>"'CONFIGURAÇÃO'!AD311"</f>
        <v/>
      </c>
      <c r="D6062" s="198" t="inlineStr">
        <is>
          <t>configuração</t>
        </is>
      </c>
    </row>
    <row r="6063">
      <c r="A6063" s="198" t="inlineStr">
        <is>
          <t>custom.22.campo.talento_ce_4</t>
        </is>
      </c>
      <c r="B6063" s="198">
        <f>SWITCH('CONFIGURAÇÃO'!$AB$304,"Origem",IF(ISBLANK('CONFIGURAÇÃO'!$AD$314),"",'CONFIGURAÇÃO'!$AD$314&amp;""),"")</f>
        <v/>
      </c>
      <c r="C6063" s="198">
        <f>"'CONFIGURAÇÃO'!AD314"</f>
        <v/>
      </c>
      <c r="D6063" s="198" t="inlineStr">
        <is>
          <t>configuração</t>
        </is>
      </c>
    </row>
    <row r="6064">
      <c r="A6064" s="198" t="inlineStr">
        <is>
          <t>custom.22.campo.teto_de_destreza</t>
        </is>
      </c>
      <c r="B6064" s="198">
        <f>SWITCH('CONFIGURAÇÃO'!$AB$304,"Escudo",IF(ISBLANK('CONFIGURAÇÃO'!$AD$315),"",'CONFIGURAÇÃO'!$AD$315&amp;""),"Uniforme",IF(ISBLANK('CONFIGURAÇÃO'!$AD$315),"",'CONFIGURAÇÃO'!$AD$315&amp;""),"")</f>
        <v/>
      </c>
      <c r="C6064" s="198">
        <f>"'CONFIGURAÇÃO'!L631 'CONFIGURAÇÃO'!L631"</f>
        <v/>
      </c>
      <c r="D6064" s="198" t="inlineStr">
        <is>
          <t>configuração</t>
        </is>
      </c>
    </row>
    <row r="6065">
      <c r="A6065" s="198" t="inlineStr">
        <is>
          <t>custom.22.campo.tipo_de_dano</t>
        </is>
      </c>
      <c r="B6065" s="198">
        <f>SWITCH('CONFIGURAÇÃO'!$AB$304,"Arma",IF(ISBLANK('CONFIGURAÇÃO'!$AD$309),"",'CONFIGURAÇÃO'!$AD$309&amp;""),"")</f>
        <v/>
      </c>
      <c r="C6065" s="198">
        <f>"'CONFIGURAÇÃO'!AD309"</f>
        <v/>
      </c>
      <c r="D6065" s="198" t="inlineStr">
        <is>
          <t>configuração</t>
        </is>
      </c>
    </row>
    <row r="6066">
      <c r="A6066" s="198" t="inlineStr">
        <is>
          <t>custom.22.campo.volume</t>
        </is>
      </c>
      <c r="B6066" s="198">
        <f>SWITCH('CONFIGURAÇÃO'!$AB$304,"Arma",IF(ISBLANK('CONFIGURAÇÃO'!$AD$316),"",'CONFIGURAÇÃO'!$AD$316&amp;""),"Escudo",IF(ISBLANK('CONFIGURAÇÃO'!$AD$317),"",'CONFIGURAÇÃO'!$AD$317&amp;""),"Uniforme",IF(ISBLANK('CONFIGURAÇÃO'!$AD$317),"",'CONFIGURAÇÃO'!$AD$317&amp;""),"Item comum",IF(ISBLANK('CONFIGURAÇÃO'!$AD$314),"",'CONFIGURAÇÃO'!$AD$314&amp;""),"Ferramenta amaldiçoada",IF(ISBLANK('CONFIGURAÇÃO'!$AD$316),"",'CONFIGURAÇÃO'!$AD$316&amp;""),"")</f>
        <v/>
      </c>
      <c r="C6066" s="198">
        <f>"'CONFIGURAÇÃO'!L632 'CONFIGURAÇÃO'!L633 'CONFIGURAÇÃO'!L633 'CONFIGURAÇÃO'!L630 'CONFIGURAÇÃO'!L632"</f>
        <v/>
      </c>
      <c r="D6066" s="198" t="inlineStr">
        <is>
          <t>configuração</t>
        </is>
      </c>
    </row>
    <row r="6067">
      <c r="A6067" s="198" t="inlineStr">
        <is>
          <t>aviso.custom.22</t>
        </is>
      </c>
      <c r="B6067" s="198">
        <f>'DADOS_CUSTOM'!$S$23&amp;""</f>
        <v/>
      </c>
      <c r="C6067" s="198" t="inlineStr">
        <is>
          <t>DADOS_CUSTOM!S23</t>
        </is>
      </c>
      <c r="D6067" s="198" t="inlineStr">
        <is>
          <t>aviso</t>
        </is>
      </c>
    </row>
    <row r="6068">
      <c r="A6068" s="198" t="inlineStr">
        <is>
          <t>custom.23.tipo</t>
        </is>
      </c>
      <c r="B6068" s="198">
        <f>IF(ISBLANK('CONFIGURAÇÃO'!$T$333),"",'CONFIGURAÇÃO'!$T$333&amp;"")</f>
        <v/>
      </c>
      <c r="C6068" s="198">
        <f>"'CONFIGURAÇÃO'!T333"</f>
        <v/>
      </c>
      <c r="D6068" s="198" t="inlineStr">
        <is>
          <t>configuração</t>
        </is>
      </c>
    </row>
    <row r="6069">
      <c r="A6069" s="198" t="inlineStr">
        <is>
          <t>custom.23.nome</t>
        </is>
      </c>
      <c r="B6069" s="198">
        <f>IF(ISBLANK('CONFIGURAÇÃO'!$T$335),"",'CONFIGURAÇÃO'!$T$335&amp;"")</f>
        <v/>
      </c>
      <c r="C6069" s="198">
        <f>"'CONFIGURAÇÃO'!T335"</f>
        <v/>
      </c>
      <c r="D6069" s="198" t="inlineStr">
        <is>
          <t>configuração</t>
        </is>
      </c>
    </row>
    <row r="6070">
      <c r="A6070" s="198" t="inlineStr">
        <is>
          <t>custom.23.mestre_viu</t>
        </is>
      </c>
      <c r="B6070" s="198">
        <f>N('CONFIGURAÇÃO'!$X$333)&amp;""</f>
        <v/>
      </c>
      <c r="C6070" s="198">
        <f>"'CONFIGURAÇÃO'!X333"</f>
        <v/>
      </c>
      <c r="D6070" s="198" t="inlineStr">
        <is>
          <t>configuração</t>
        </is>
      </c>
    </row>
    <row r="6071">
      <c r="A6071" s="198" t="inlineStr">
        <is>
          <t>custom.23.efeito</t>
        </is>
      </c>
      <c r="B6071" s="198">
        <f>IF(ISBLANK('CONFIGURAÇÃO'!$T$350),"",'CONFIGURAÇÃO'!$T$350&amp;"")</f>
        <v/>
      </c>
      <c r="C6071" s="198">
        <f>"'CONFIGURAÇÃO'!T350"</f>
        <v/>
      </c>
      <c r="D6071" s="198" t="inlineStr">
        <is>
          <t>configuração</t>
        </is>
      </c>
    </row>
    <row r="6072">
      <c r="A6072" s="198" t="inlineStr">
        <is>
          <t>custom.23.campo.alcance</t>
        </is>
      </c>
      <c r="B6072" s="198">
        <f>SWITCH('CONFIGURAÇÃO'!$T$333,"Arma",IF(ISBLANK('CONFIGURAÇÃO'!$V$346),"",'CONFIGURAÇÃO'!$V$346&amp;""),"")</f>
        <v/>
      </c>
      <c r="C6072" s="198">
        <f>"'CONFIGURAÇÃO'!V346"</f>
        <v/>
      </c>
      <c r="D6072" s="198" t="inlineStr">
        <is>
          <t>configuração</t>
        </is>
      </c>
    </row>
    <row r="6073">
      <c r="A6073" s="198" t="inlineStr">
        <is>
          <t>custom.23.campo.base</t>
        </is>
      </c>
      <c r="B6073" s="198">
        <f>SWITCH('CONFIGURAÇÃO'!$T$333,"Ferramenta amaldiçoada",IF(ISBLANK('CONFIGURAÇÃO'!$V$336),"",'CONFIGURAÇÃO'!$V$336&amp;""),"")</f>
        <v/>
      </c>
      <c r="C6073" s="198">
        <f>"'CONFIGURAÇÃO'!V336"</f>
        <v/>
      </c>
      <c r="D6073" s="198" t="inlineStr">
        <is>
          <t>configuração</t>
        </is>
      </c>
    </row>
    <row r="6074">
      <c r="A6074" s="198" t="inlineStr">
        <is>
          <t>custom.23.campo.base_do_livro</t>
        </is>
      </c>
      <c r="B6074" s="198">
        <f>SWITCH('CONFIGURAÇÃO'!$T$333,"Origem",IF(ISBLANK('CONFIGURAÇÃO'!$V$341),"",'CONFIGURAÇÃO'!$V$341&amp;""),"")</f>
        <v/>
      </c>
      <c r="C6074" s="198">
        <f>"'CONFIGURAÇÃO'!V341"</f>
        <v/>
      </c>
      <c r="D6074" s="198" t="inlineStr">
        <is>
          <t>configuração</t>
        </is>
      </c>
    </row>
    <row r="6075">
      <c r="A6075" s="198" t="inlineStr">
        <is>
          <t>custom.23.campo.categoria</t>
        </is>
      </c>
      <c r="B6075" s="198">
        <f>SWITCH('CONFIGURAÇÃO'!$T$333,"Arma",IF(ISBLANK('CONFIGURAÇÃO'!$V$336),"",'CONFIGURAÇÃO'!$V$336&amp;""),"")</f>
        <v/>
      </c>
      <c r="C6075" s="198">
        <f>"'CONFIGURAÇÃO'!V336"</f>
        <v/>
      </c>
      <c r="D6075" s="198" t="inlineStr">
        <is>
          <t>configuração</t>
        </is>
      </c>
    </row>
    <row r="6076">
      <c r="A6076" s="198" t="inlineStr">
        <is>
          <t>custom.23.campo.dado</t>
        </is>
      </c>
      <c r="B6076" s="198">
        <f>SWITCH('CONFIGURAÇÃO'!$T$333,"Arma",IF(ISBLANK('CONFIGURAÇÃO'!$V$343),"",'CONFIGURAÇÃO'!$V$343&amp;""),"")</f>
        <v/>
      </c>
      <c r="C6076" s="198">
        <f>"'CONFIGURAÇÃO'!V343"</f>
        <v/>
      </c>
      <c r="D6076" s="198" t="inlineStr">
        <is>
          <t>configuração</t>
        </is>
      </c>
    </row>
    <row r="6077">
      <c r="A6077" s="198" t="inlineStr">
        <is>
          <t>custom.23.campo.desgaste</t>
        </is>
      </c>
      <c r="B6077" s="198">
        <f>SWITCH('CONFIGURAÇÃO'!$T$333,"Ferramenta amaldiçoada",IF(ISBLANK('CONFIGURAÇÃO'!$V$344),"",'CONFIGURAÇÃO'!$V$344&amp;""),"")</f>
        <v/>
      </c>
      <c r="C6077" s="198">
        <f>"'CONFIGURAÇÃO'!V344"</f>
        <v/>
      </c>
      <c r="D6077" s="198" t="inlineStr">
        <is>
          <t>configuração</t>
        </is>
      </c>
    </row>
    <row r="6078">
      <c r="A6078" s="198" t="inlineStr">
        <is>
          <t>custom.23.campo.estigma</t>
        </is>
      </c>
      <c r="B6078" s="198">
        <f>SWITCH('CONFIGURAÇÃO'!$T$333,"Ferramenta amaldiçoada",IF(ISBLANK('CONFIGURAÇÃO'!$V$343),"",'CONFIGURAÇÃO'!$V$343&amp;""),"")</f>
        <v/>
      </c>
      <c r="C6078" s="198">
        <f>"'CONFIGURAÇÃO'!V343"</f>
        <v/>
      </c>
      <c r="D6078" s="198" t="inlineStr">
        <is>
          <t>configuração</t>
        </is>
      </c>
    </row>
    <row r="6079">
      <c r="A6079" s="198" t="inlineStr">
        <is>
          <t>custom.23.campo.exige_marcante</t>
        </is>
      </c>
      <c r="B6079" s="198">
        <f>SWITCH('CONFIGURAÇÃO'!$T$333,"Menor",IF(ISBLANK('CONFIGURAÇÃO'!$V$337),"",'CONFIGURAÇÃO'!$V$337&amp;""),"")</f>
        <v/>
      </c>
      <c r="C6079" s="198">
        <f>"'CONFIGURAÇÃO'!V337"</f>
        <v/>
      </c>
      <c r="D6079" s="198" t="inlineStr">
        <is>
          <t>configuração</t>
        </is>
      </c>
    </row>
    <row r="6080">
      <c r="A6080" s="198" t="inlineStr">
        <is>
          <t>custom.23.campo.forca</t>
        </is>
      </c>
      <c r="B6080" s="198">
        <f>SWITCH('CONFIGURAÇÃO'!$T$333,"Arma",IF(ISBLANK('CONFIGURAÇÃO'!$V$344),"",'CONFIGURAÇÃO'!$V$344&amp;""),"Escudo",IF(ISBLANK('CONFIGURAÇÃO'!$V$345),"",'CONFIGURAÇÃO'!$V$345&amp;""),"Uniforme",IF(ISBLANK('CONFIGURAÇÃO'!$V$345),"",'CONFIGURAÇÃO'!$V$345&amp;""),"")</f>
        <v/>
      </c>
      <c r="C6080" s="198">
        <f>"'CONFIGURAÇÃO'!L660 'CONFIGURAÇÃO'!L661 'CONFIGURAÇÃO'!L661"</f>
        <v/>
      </c>
      <c r="D6080" s="198" t="inlineStr">
        <is>
          <t>configuração</t>
        </is>
      </c>
    </row>
    <row r="6081">
      <c r="A6081" s="198" t="inlineStr">
        <is>
          <t>custom.23.campo.frequencia</t>
        </is>
      </c>
      <c r="B6081" s="198">
        <f>SWITCH('CONFIGURAÇÃO'!$T$333,"Marcante",IF(ISBLANK('CONFIGURAÇÃO'!$V$343),"",'CONFIGURAÇÃO'!$V$343&amp;""),"Menor",IF(ISBLANK('CONFIGURAÇÃO'!$V$343),"",'CONFIGURAÇÃO'!$V$343&amp;""),"")</f>
        <v/>
      </c>
      <c r="C6081" s="198">
        <f>"'CONFIGURAÇÃO'!L659 'CONFIGURAÇÃO'!L659"</f>
        <v/>
      </c>
      <c r="D6081" s="198" t="inlineStr">
        <is>
          <t>configuração</t>
        </is>
      </c>
    </row>
    <row r="6082">
      <c r="A6082" s="198" t="inlineStr">
        <is>
          <t>custom.23.campo.grau</t>
        </is>
      </c>
      <c r="B6082" s="198">
        <f>SWITCH('CONFIGURAÇÃO'!$T$333,"Ferramenta amaldiçoada",IF(ISBLANK('CONFIGURAÇÃO'!$V$337),"",'CONFIGURAÇÃO'!$V$337&amp;""),"")</f>
        <v/>
      </c>
      <c r="C6082" s="198">
        <f>"'CONFIGURAÇÃO'!V337"</f>
        <v/>
      </c>
      <c r="D6082" s="198" t="inlineStr">
        <is>
          <t>configuração</t>
        </is>
      </c>
    </row>
    <row r="6083">
      <c r="A6083" s="198" t="inlineStr">
        <is>
          <t>custom.23.campo.grau_minimo</t>
        </is>
      </c>
      <c r="B6083" s="198">
        <f>SWITCH('CONFIGURAÇÃO'!$T$333,"Uniforme",IF(ISBLANK('CONFIGURAÇÃO'!$V$336),"",'CONFIGURAÇÃO'!$V$336&amp;""),"")</f>
        <v/>
      </c>
      <c r="C6083" s="198">
        <f>"'CONFIGURAÇÃO'!V336"</f>
        <v/>
      </c>
      <c r="D6083" s="198" t="inlineStr">
        <is>
          <t>configuração</t>
        </is>
      </c>
    </row>
    <row r="6084">
      <c r="A6084" s="198" t="inlineStr">
        <is>
          <t>custom.23.campo.mao</t>
        </is>
      </c>
      <c r="B6084" s="198">
        <f>SWITCH('CONFIGURAÇÃO'!$T$333,"Arma",IF(ISBLANK('CONFIGURAÇÃO'!$V$337),"",'CONFIGURAÇÃO'!$V$337&amp;""),"")</f>
        <v/>
      </c>
      <c r="C6084" s="198">
        <f>"'CONFIGURAÇÃO'!V337"</f>
        <v/>
      </c>
      <c r="D6084" s="198" t="inlineStr">
        <is>
          <t>configuração</t>
        </is>
      </c>
    </row>
    <row r="6085">
      <c r="A6085" s="198" t="inlineStr">
        <is>
          <t>custom.23.campo.oficio</t>
        </is>
      </c>
      <c r="B6085" s="198">
        <f>SWITCH('CONFIGURAÇÃO'!$T$333,"Origem",IF(ISBLANK('CONFIGURAÇÃO'!$V$342),"",'CONFIGURAÇÃO'!$V$342&amp;""),"")</f>
        <v/>
      </c>
      <c r="C6085" s="198">
        <f>"'CONFIGURAÇÃO'!V342"</f>
        <v/>
      </c>
      <c r="D6085" s="198" t="inlineStr">
        <is>
          <t>configuração</t>
        </is>
      </c>
    </row>
    <row r="6086">
      <c r="A6086" s="198" t="inlineStr">
        <is>
          <t>custom.23.campo.origem</t>
        </is>
      </c>
      <c r="B6086" s="198">
        <f>SWITCH('CONFIGURAÇÃO'!$T$333,"Marcante",IF(ISBLANK('CONFIGURAÇÃO'!$V$336),"",'CONFIGURAÇÃO'!$V$336&amp;""),"Menor",IF(ISBLANK('CONFIGURAÇÃO'!$V$336),"",'CONFIGURAÇÃO'!$V$336&amp;""),"")</f>
        <v/>
      </c>
      <c r="C6086" s="198">
        <f>"'CONFIGURAÇÃO'!L652 'CONFIGURAÇÃO'!L652"</f>
        <v/>
      </c>
      <c r="D6086" s="198" t="inlineStr">
        <is>
          <t>configuração</t>
        </is>
      </c>
    </row>
    <row r="6087">
      <c r="A6087" s="198" t="inlineStr">
        <is>
          <t>custom.23.campo.pericia_1</t>
        </is>
      </c>
      <c r="B6087" s="198">
        <f>SWITCH('CONFIGURAÇÃO'!$T$333,"Origem",IF(ISBLANK('CONFIGURAÇÃO'!$V$336),"",'CONFIGURAÇÃO'!$V$336&amp;""),"")</f>
        <v/>
      </c>
      <c r="C6087" s="198">
        <f>"'CONFIGURAÇÃO'!V336"</f>
        <v/>
      </c>
      <c r="D6087" s="198" t="inlineStr">
        <is>
          <t>configuração</t>
        </is>
      </c>
    </row>
    <row r="6088">
      <c r="A6088" s="198" t="inlineStr">
        <is>
          <t>custom.23.campo.pericia_2</t>
        </is>
      </c>
      <c r="B6088" s="198">
        <f>SWITCH('CONFIGURAÇÃO'!$T$333,"Origem",IF(ISBLANK('CONFIGURAÇÃO'!$V$337),"",'CONFIGURAÇÃO'!$V$337&amp;""),"")</f>
        <v/>
      </c>
      <c r="C6088" s="198">
        <f>"'CONFIGURAÇÃO'!V337"</f>
        <v/>
      </c>
      <c r="D6088" s="198" t="inlineStr">
        <is>
          <t>configuração</t>
        </is>
      </c>
    </row>
    <row r="6089">
      <c r="A6089" s="198" t="inlineStr">
        <is>
          <t>custom.23.campo.pericia_3</t>
        </is>
      </c>
      <c r="B6089" s="198">
        <f>SWITCH('CONFIGURAÇÃO'!$T$333,"Origem",IF(ISBLANK('CONFIGURAÇÃO'!$V$338),"",'CONFIGURAÇÃO'!$V$338&amp;""),"")</f>
        <v/>
      </c>
      <c r="C6089" s="198">
        <f>"'CONFIGURAÇÃO'!V338"</f>
        <v/>
      </c>
      <c r="D6089" s="198" t="inlineStr">
        <is>
          <t>configuração</t>
        </is>
      </c>
    </row>
    <row r="6090">
      <c r="A6090" s="198" t="inlineStr">
        <is>
          <t>custom.23.campo.pericia_4</t>
        </is>
      </c>
      <c r="B6090" s="198">
        <f>SWITCH('CONFIGURAÇÃO'!$T$333,"Origem",IF(ISBLANK('CONFIGURAÇÃO'!$V$339),"",'CONFIGURAÇÃO'!$V$339&amp;""),"")</f>
        <v/>
      </c>
      <c r="C6090" s="198">
        <f>"'CONFIGURAÇÃO'!V339"</f>
        <v/>
      </c>
      <c r="D6090" s="198" t="inlineStr">
        <is>
          <t>configuração</t>
        </is>
      </c>
    </row>
    <row r="6091">
      <c r="A6091" s="198" t="inlineStr">
        <is>
          <t>custom.23.campo.preco</t>
        </is>
      </c>
      <c r="B6091" s="198">
        <f>SWITCH('CONFIGURAÇÃO'!$T$333,"Arma",IF(ISBLANK('CONFIGURAÇÃO'!$V$348),"",'CONFIGURAÇÃO'!$V$348&amp;""),"Escudo",IF(ISBLANK('CONFIGURAÇÃO'!$V$347),"",'CONFIGURAÇÃO'!$V$347&amp;""),"Uniforme",IF(ISBLANK('CONFIGURAÇÃO'!$V$347),"",'CONFIGURAÇÃO'!$V$347&amp;""),"Item comum",IF(ISBLANK('CONFIGURAÇÃO'!$V$344),"",'CONFIGURAÇÃO'!$V$344&amp;""),"Ferramenta amaldiçoada",IF(ISBLANK('CONFIGURAÇÃO'!$V$346),"",'CONFIGURAÇÃO'!$V$346&amp;""),"")</f>
        <v/>
      </c>
      <c r="C6091" s="198">
        <f>"'CONFIGURAÇÃO'!L664 'CONFIGURAÇÃO'!L663 'CONFIGURAÇÃO'!L663 'CONFIGURAÇÃO'!L660 'CONFIGURAÇÃO'!L662"</f>
        <v/>
      </c>
      <c r="D6091" s="198" t="inlineStr">
        <is>
          <t>configuração</t>
        </is>
      </c>
    </row>
    <row r="6092">
      <c r="A6092" s="198" t="inlineStr">
        <is>
          <t>custom.23.campo.propriedade_1</t>
        </is>
      </c>
      <c r="B6092" s="198">
        <f>SWITCH('CONFIGURAÇÃO'!$T$333,"Arma",IF(ISBLANK('CONFIGURAÇÃO'!$V$339),"",'CONFIGURAÇÃO'!$V$339&amp;""),"")</f>
        <v/>
      </c>
      <c r="C6092" s="198">
        <f>"'CONFIGURAÇÃO'!V339"</f>
        <v/>
      </c>
      <c r="D6092" s="198" t="inlineStr">
        <is>
          <t>configuração</t>
        </is>
      </c>
    </row>
    <row r="6093">
      <c r="A6093" s="198" t="inlineStr">
        <is>
          <t>custom.23.campo.propriedade_2</t>
        </is>
      </c>
      <c r="B6093" s="198">
        <f>SWITCH('CONFIGURAÇÃO'!$T$333,"Arma",IF(ISBLANK('CONFIGURAÇÃO'!$V$340),"",'CONFIGURAÇÃO'!$V$340&amp;""),"")</f>
        <v/>
      </c>
      <c r="C6093" s="198">
        <f>"'CONFIGURAÇÃO'!V340"</f>
        <v/>
      </c>
      <c r="D6093" s="198" t="inlineStr">
        <is>
          <t>configuração</t>
        </is>
      </c>
    </row>
    <row r="6094">
      <c r="A6094" s="198" t="inlineStr">
        <is>
          <t>custom.23.campo.propriedade_3</t>
        </is>
      </c>
      <c r="B6094" s="198">
        <f>SWITCH('CONFIGURAÇÃO'!$T$333,"Arma",IF(ISBLANK('CONFIGURAÇÃO'!$V$341),"",'CONFIGURAÇÃO'!$V$341&amp;""),"")</f>
        <v/>
      </c>
      <c r="C6094" s="198">
        <f>"'CONFIGURAÇÃO'!V341"</f>
        <v/>
      </c>
      <c r="D6094" s="198" t="inlineStr">
        <is>
          <t>configuração</t>
        </is>
      </c>
    </row>
    <row r="6095">
      <c r="A6095" s="198" t="inlineStr">
        <is>
          <t>custom.23.campo.propriedade_4</t>
        </is>
      </c>
      <c r="B6095" s="198">
        <f>SWITCH('CONFIGURAÇÃO'!$T$333,"Arma",IF(ISBLANK('CONFIGURAÇÃO'!$V$342),"",'CONFIGURAÇÃO'!$V$342&amp;""),"")</f>
        <v/>
      </c>
      <c r="C6095" s="198">
        <f>"'CONFIGURAÇÃO'!V342"</f>
        <v/>
      </c>
      <c r="D6095" s="198" t="inlineStr">
        <is>
          <t>configuração</t>
        </is>
      </c>
    </row>
    <row r="6096">
      <c r="A6096" s="198" t="inlineStr">
        <is>
          <t>custom.23.campo.protecao</t>
        </is>
      </c>
      <c r="B6096" s="198">
        <f>SWITCH('CONFIGURAÇÃO'!$T$333,"Escudo",IF(ISBLANK('CONFIGURAÇÃO'!$V$343),"",'CONFIGURAÇÃO'!$V$343&amp;""),"Uniforme",IF(ISBLANK('CONFIGURAÇÃO'!$V$343),"",'CONFIGURAÇÃO'!$V$343&amp;""),"")</f>
        <v/>
      </c>
      <c r="C6096" s="198">
        <f>"'CONFIGURAÇÃO'!L659 'CONFIGURAÇÃO'!L659"</f>
        <v/>
      </c>
      <c r="D6096" s="198" t="inlineStr">
        <is>
          <t>configuração</t>
        </is>
      </c>
    </row>
    <row r="6097">
      <c r="A6097" s="198" t="inlineStr">
        <is>
          <t>custom.23.campo.recarga</t>
        </is>
      </c>
      <c r="B6097" s="198">
        <f>SWITCH('CONFIGURAÇÃO'!$T$333,"Arma",IF(ISBLANK('CONFIGURAÇÃO'!$V$347),"",'CONFIGURAÇÃO'!$V$347&amp;""),"")</f>
        <v/>
      </c>
      <c r="C6097" s="198">
        <f>"'CONFIGURAÇÃO'!V347"</f>
        <v/>
      </c>
      <c r="D6097" s="198" t="inlineStr">
        <is>
          <t>configuração</t>
        </is>
      </c>
    </row>
    <row r="6098">
      <c r="A6098" s="198" t="inlineStr">
        <is>
          <t>custom.23.campo.rota</t>
        </is>
      </c>
      <c r="B6098" s="198">
        <f>SWITCH('CONFIGURAÇÃO'!$T$333,"Origem",IF(ISBLANK('CONFIGURAÇÃO'!$V$340),"",'CONFIGURAÇÃO'!$V$340&amp;""),"")</f>
        <v/>
      </c>
      <c r="C6098" s="198">
        <f>"'CONFIGURAÇÃO'!V340"</f>
        <v/>
      </c>
      <c r="D6098" s="198" t="inlineStr">
        <is>
          <t>configuração</t>
        </is>
      </c>
    </row>
    <row r="6099">
      <c r="A6099" s="198" t="inlineStr">
        <is>
          <t>custom.23.campo.talento_ce_4</t>
        </is>
      </c>
      <c r="B6099" s="198">
        <f>SWITCH('CONFIGURAÇÃO'!$T$333,"Origem",IF(ISBLANK('CONFIGURAÇÃO'!$V$343),"",'CONFIGURAÇÃO'!$V$343&amp;""),"")</f>
        <v/>
      </c>
      <c r="C6099" s="198">
        <f>"'CONFIGURAÇÃO'!V343"</f>
        <v/>
      </c>
      <c r="D6099" s="198" t="inlineStr">
        <is>
          <t>configuração</t>
        </is>
      </c>
    </row>
    <row r="6100">
      <c r="A6100" s="198" t="inlineStr">
        <is>
          <t>custom.23.campo.teto_de_destreza</t>
        </is>
      </c>
      <c r="B6100" s="198">
        <f>SWITCH('CONFIGURAÇÃO'!$T$333,"Escudo",IF(ISBLANK('CONFIGURAÇÃO'!$V$344),"",'CONFIGURAÇÃO'!$V$344&amp;""),"Uniforme",IF(ISBLANK('CONFIGURAÇÃO'!$V$344),"",'CONFIGURAÇÃO'!$V$344&amp;""),"")</f>
        <v/>
      </c>
      <c r="C6100" s="198">
        <f>"'CONFIGURAÇÃO'!L660 'CONFIGURAÇÃO'!L660"</f>
        <v/>
      </c>
      <c r="D6100" s="198" t="inlineStr">
        <is>
          <t>configuração</t>
        </is>
      </c>
    </row>
    <row r="6101">
      <c r="A6101" s="198" t="inlineStr">
        <is>
          <t>custom.23.campo.tipo_de_dano</t>
        </is>
      </c>
      <c r="B6101" s="198">
        <f>SWITCH('CONFIGURAÇÃO'!$T$333,"Arma",IF(ISBLANK('CONFIGURAÇÃO'!$V$338),"",'CONFIGURAÇÃO'!$V$338&amp;""),"")</f>
        <v/>
      </c>
      <c r="C6101" s="198">
        <f>"'CONFIGURAÇÃO'!V338"</f>
        <v/>
      </c>
      <c r="D6101" s="198" t="inlineStr">
        <is>
          <t>configuração</t>
        </is>
      </c>
    </row>
    <row r="6102">
      <c r="A6102" s="198" t="inlineStr">
        <is>
          <t>custom.23.campo.volume</t>
        </is>
      </c>
      <c r="B6102" s="198">
        <f>SWITCH('CONFIGURAÇÃO'!$T$333,"Arma",IF(ISBLANK('CONFIGURAÇÃO'!$V$345),"",'CONFIGURAÇÃO'!$V$345&amp;""),"Escudo",IF(ISBLANK('CONFIGURAÇÃO'!$V$346),"",'CONFIGURAÇÃO'!$V$346&amp;""),"Uniforme",IF(ISBLANK('CONFIGURAÇÃO'!$V$346),"",'CONFIGURAÇÃO'!$V$346&amp;""),"Item comum",IF(ISBLANK('CONFIGURAÇÃO'!$V$343),"",'CONFIGURAÇÃO'!$V$343&amp;""),"Ferramenta amaldiçoada",IF(ISBLANK('CONFIGURAÇÃO'!$V$345),"",'CONFIGURAÇÃO'!$V$345&amp;""),"")</f>
        <v/>
      </c>
      <c r="C6102" s="198">
        <f>"'CONFIGURAÇÃO'!L661 'CONFIGURAÇÃO'!L662 'CONFIGURAÇÃO'!L662 'CONFIGURAÇÃO'!L659 'CONFIGURAÇÃO'!L661"</f>
        <v/>
      </c>
      <c r="D6102" s="198" t="inlineStr">
        <is>
          <t>configuração</t>
        </is>
      </c>
    </row>
    <row r="6103">
      <c r="A6103" s="198" t="inlineStr">
        <is>
          <t>aviso.custom.23</t>
        </is>
      </c>
      <c r="B6103" s="198">
        <f>'DADOS_CUSTOM'!$S$24&amp;""</f>
        <v/>
      </c>
      <c r="C6103" s="198" t="inlineStr">
        <is>
          <t>DADOS_CUSTOM!S24</t>
        </is>
      </c>
      <c r="D6103" s="198" t="inlineStr">
        <is>
          <t>aviso</t>
        </is>
      </c>
    </row>
    <row r="6104">
      <c r="A6104" s="198" t="inlineStr">
        <is>
          <t>custom.24.tipo</t>
        </is>
      </c>
      <c r="B6104" s="198">
        <f>IF(ISBLANK('CONFIGURAÇÃO'!$AB$333),"",'CONFIGURAÇÃO'!$AB$333&amp;"")</f>
        <v/>
      </c>
      <c r="C6104" s="198">
        <f>"'CONFIGURAÇÃO'!AB333"</f>
        <v/>
      </c>
      <c r="D6104" s="198" t="inlineStr">
        <is>
          <t>configuração</t>
        </is>
      </c>
    </row>
    <row r="6105">
      <c r="A6105" s="198" t="inlineStr">
        <is>
          <t>custom.24.nome</t>
        </is>
      </c>
      <c r="B6105" s="198">
        <f>IF(ISBLANK('CONFIGURAÇÃO'!$AB$335),"",'CONFIGURAÇÃO'!$AB$335&amp;"")</f>
        <v/>
      </c>
      <c r="C6105" s="198">
        <f>"'CONFIGURAÇÃO'!AB335"</f>
        <v/>
      </c>
      <c r="D6105" s="198" t="inlineStr">
        <is>
          <t>configuração</t>
        </is>
      </c>
    </row>
    <row r="6106">
      <c r="A6106" s="198" t="inlineStr">
        <is>
          <t>custom.24.mestre_viu</t>
        </is>
      </c>
      <c r="B6106" s="198">
        <f>N('CONFIGURAÇÃO'!$AF$333)&amp;""</f>
        <v/>
      </c>
      <c r="C6106" s="198">
        <f>"'CONFIGURAÇÃO'!AF333"</f>
        <v/>
      </c>
      <c r="D6106" s="198" t="inlineStr">
        <is>
          <t>configuração</t>
        </is>
      </c>
    </row>
    <row r="6107">
      <c r="A6107" s="198" t="inlineStr">
        <is>
          <t>custom.24.efeito</t>
        </is>
      </c>
      <c r="B6107" s="198">
        <f>IF(ISBLANK('CONFIGURAÇÃO'!$AB$350),"",'CONFIGURAÇÃO'!$AB$350&amp;"")</f>
        <v/>
      </c>
      <c r="C6107" s="198">
        <f>"'CONFIGURAÇÃO'!AB350"</f>
        <v/>
      </c>
      <c r="D6107" s="198" t="inlineStr">
        <is>
          <t>configuração</t>
        </is>
      </c>
    </row>
    <row r="6108">
      <c r="A6108" s="198" t="inlineStr">
        <is>
          <t>custom.24.campo.alcance</t>
        </is>
      </c>
      <c r="B6108" s="198">
        <f>SWITCH('CONFIGURAÇÃO'!$AB$333,"Arma",IF(ISBLANK('CONFIGURAÇÃO'!$AD$346),"",'CONFIGURAÇÃO'!$AD$346&amp;""),"")</f>
        <v/>
      </c>
      <c r="C6108" s="198">
        <f>"'CONFIGURAÇÃO'!AD346"</f>
        <v/>
      </c>
      <c r="D6108" s="198" t="inlineStr">
        <is>
          <t>configuração</t>
        </is>
      </c>
    </row>
    <row r="6109">
      <c r="A6109" s="198" t="inlineStr">
        <is>
          <t>custom.24.campo.base</t>
        </is>
      </c>
      <c r="B6109" s="198">
        <f>SWITCH('CONFIGURAÇÃO'!$AB$333,"Ferramenta amaldiçoada",IF(ISBLANK('CONFIGURAÇÃO'!$AD$336),"",'CONFIGURAÇÃO'!$AD$336&amp;""),"")</f>
        <v/>
      </c>
      <c r="C6109" s="198">
        <f>"'CONFIGURAÇÃO'!AD336"</f>
        <v/>
      </c>
      <c r="D6109" s="198" t="inlineStr">
        <is>
          <t>configuração</t>
        </is>
      </c>
    </row>
    <row r="6110">
      <c r="A6110" s="198" t="inlineStr">
        <is>
          <t>custom.24.campo.base_do_livro</t>
        </is>
      </c>
      <c r="B6110" s="198">
        <f>SWITCH('CONFIGURAÇÃO'!$AB$333,"Origem",IF(ISBLANK('CONFIGURAÇÃO'!$AD$341),"",'CONFIGURAÇÃO'!$AD$341&amp;""),"")</f>
        <v/>
      </c>
      <c r="C6110" s="198">
        <f>"'CONFIGURAÇÃO'!AD341"</f>
        <v/>
      </c>
      <c r="D6110" s="198" t="inlineStr">
        <is>
          <t>configuração</t>
        </is>
      </c>
    </row>
    <row r="6111">
      <c r="A6111" s="198" t="inlineStr">
        <is>
          <t>custom.24.campo.categoria</t>
        </is>
      </c>
      <c r="B6111" s="198">
        <f>SWITCH('CONFIGURAÇÃO'!$AB$333,"Arma",IF(ISBLANK('CONFIGURAÇÃO'!$AD$336),"",'CONFIGURAÇÃO'!$AD$336&amp;""),"")</f>
        <v/>
      </c>
      <c r="C6111" s="198">
        <f>"'CONFIGURAÇÃO'!AD336"</f>
        <v/>
      </c>
      <c r="D6111" s="198" t="inlineStr">
        <is>
          <t>configuração</t>
        </is>
      </c>
    </row>
    <row r="6112">
      <c r="A6112" s="198" t="inlineStr">
        <is>
          <t>custom.24.campo.dado</t>
        </is>
      </c>
      <c r="B6112" s="198">
        <f>SWITCH('CONFIGURAÇÃO'!$AB$333,"Arma",IF(ISBLANK('CONFIGURAÇÃO'!$AD$343),"",'CONFIGURAÇÃO'!$AD$343&amp;""),"")</f>
        <v/>
      </c>
      <c r="C6112" s="198">
        <f>"'CONFIGURAÇÃO'!AD343"</f>
        <v/>
      </c>
      <c r="D6112" s="198" t="inlineStr">
        <is>
          <t>configuração</t>
        </is>
      </c>
    </row>
    <row r="6113">
      <c r="A6113" s="198" t="inlineStr">
        <is>
          <t>custom.24.campo.desgaste</t>
        </is>
      </c>
      <c r="B6113" s="198">
        <f>SWITCH('CONFIGURAÇÃO'!$AB$333,"Ferramenta amaldiçoada",IF(ISBLANK('CONFIGURAÇÃO'!$AD$344),"",'CONFIGURAÇÃO'!$AD$344&amp;""),"")</f>
        <v/>
      </c>
      <c r="C6113" s="198">
        <f>"'CONFIGURAÇÃO'!AD344"</f>
        <v/>
      </c>
      <c r="D6113" s="198" t="inlineStr">
        <is>
          <t>configuração</t>
        </is>
      </c>
    </row>
    <row r="6114">
      <c r="A6114" s="198" t="inlineStr">
        <is>
          <t>custom.24.campo.estigma</t>
        </is>
      </c>
      <c r="B6114" s="198">
        <f>SWITCH('CONFIGURAÇÃO'!$AB$333,"Ferramenta amaldiçoada",IF(ISBLANK('CONFIGURAÇÃO'!$AD$343),"",'CONFIGURAÇÃO'!$AD$343&amp;""),"")</f>
        <v/>
      </c>
      <c r="C6114" s="198">
        <f>"'CONFIGURAÇÃO'!AD343"</f>
        <v/>
      </c>
      <c r="D6114" s="198" t="inlineStr">
        <is>
          <t>configuração</t>
        </is>
      </c>
    </row>
    <row r="6115">
      <c r="A6115" s="198" t="inlineStr">
        <is>
          <t>custom.24.campo.exige_marcante</t>
        </is>
      </c>
      <c r="B6115" s="198">
        <f>SWITCH('CONFIGURAÇÃO'!$AB$333,"Menor",IF(ISBLANK('CONFIGURAÇÃO'!$AD$337),"",'CONFIGURAÇÃO'!$AD$337&amp;""),"")</f>
        <v/>
      </c>
      <c r="C6115" s="198">
        <f>"'CONFIGURAÇÃO'!AD337"</f>
        <v/>
      </c>
      <c r="D6115" s="198" t="inlineStr">
        <is>
          <t>configuração</t>
        </is>
      </c>
    </row>
    <row r="6116">
      <c r="A6116" s="198" t="inlineStr">
        <is>
          <t>custom.24.campo.forca</t>
        </is>
      </c>
      <c r="B6116" s="198">
        <f>SWITCH('CONFIGURAÇÃO'!$AB$333,"Arma",IF(ISBLANK('CONFIGURAÇÃO'!$AD$344),"",'CONFIGURAÇÃO'!$AD$344&amp;""),"Escudo",IF(ISBLANK('CONFIGURAÇÃO'!$AD$345),"",'CONFIGURAÇÃO'!$AD$345&amp;""),"Uniforme",IF(ISBLANK('CONFIGURAÇÃO'!$AD$345),"",'CONFIGURAÇÃO'!$AD$345&amp;""),"")</f>
        <v/>
      </c>
      <c r="C6116" s="198">
        <f>"'CONFIGURAÇÃO'!L689 'CONFIGURAÇÃO'!L690 'CONFIGURAÇÃO'!L690"</f>
        <v/>
      </c>
      <c r="D6116" s="198" t="inlineStr">
        <is>
          <t>configuração</t>
        </is>
      </c>
    </row>
    <row r="6117">
      <c r="A6117" s="198" t="inlineStr">
        <is>
          <t>custom.24.campo.frequencia</t>
        </is>
      </c>
      <c r="B6117" s="198">
        <f>SWITCH('CONFIGURAÇÃO'!$AB$333,"Marcante",IF(ISBLANK('CONFIGURAÇÃO'!$AD$343),"",'CONFIGURAÇÃO'!$AD$343&amp;""),"Menor",IF(ISBLANK('CONFIGURAÇÃO'!$AD$343),"",'CONFIGURAÇÃO'!$AD$343&amp;""),"")</f>
        <v/>
      </c>
      <c r="C6117" s="198">
        <f>"'CONFIGURAÇÃO'!L688 'CONFIGURAÇÃO'!L688"</f>
        <v/>
      </c>
      <c r="D6117" s="198" t="inlineStr">
        <is>
          <t>configuração</t>
        </is>
      </c>
    </row>
    <row r="6118">
      <c r="A6118" s="198" t="inlineStr">
        <is>
          <t>custom.24.campo.grau</t>
        </is>
      </c>
      <c r="B6118" s="198">
        <f>SWITCH('CONFIGURAÇÃO'!$AB$333,"Ferramenta amaldiçoada",IF(ISBLANK('CONFIGURAÇÃO'!$AD$337),"",'CONFIGURAÇÃO'!$AD$337&amp;""),"")</f>
        <v/>
      </c>
      <c r="C6118" s="198">
        <f>"'CONFIGURAÇÃO'!AD337"</f>
        <v/>
      </c>
      <c r="D6118" s="198" t="inlineStr">
        <is>
          <t>configuração</t>
        </is>
      </c>
    </row>
    <row r="6119">
      <c r="A6119" s="198" t="inlineStr">
        <is>
          <t>custom.24.campo.grau_minimo</t>
        </is>
      </c>
      <c r="B6119" s="198">
        <f>SWITCH('CONFIGURAÇÃO'!$AB$333,"Uniforme",IF(ISBLANK('CONFIGURAÇÃO'!$AD$336),"",'CONFIGURAÇÃO'!$AD$336&amp;""),"")</f>
        <v/>
      </c>
      <c r="C6119" s="198">
        <f>"'CONFIGURAÇÃO'!AD336"</f>
        <v/>
      </c>
      <c r="D6119" s="198" t="inlineStr">
        <is>
          <t>configuração</t>
        </is>
      </c>
    </row>
    <row r="6120">
      <c r="A6120" s="198" t="inlineStr">
        <is>
          <t>custom.24.campo.mao</t>
        </is>
      </c>
      <c r="B6120" s="198">
        <f>SWITCH('CONFIGURAÇÃO'!$AB$333,"Arma",IF(ISBLANK('CONFIGURAÇÃO'!$AD$337),"",'CONFIGURAÇÃO'!$AD$337&amp;""),"")</f>
        <v/>
      </c>
      <c r="C6120" s="198">
        <f>"'CONFIGURAÇÃO'!AD337"</f>
        <v/>
      </c>
      <c r="D6120" s="198" t="inlineStr">
        <is>
          <t>configuração</t>
        </is>
      </c>
    </row>
    <row r="6121">
      <c r="A6121" s="198" t="inlineStr">
        <is>
          <t>custom.24.campo.oficio</t>
        </is>
      </c>
      <c r="B6121" s="198">
        <f>SWITCH('CONFIGURAÇÃO'!$AB$333,"Origem",IF(ISBLANK('CONFIGURAÇÃO'!$AD$342),"",'CONFIGURAÇÃO'!$AD$342&amp;""),"")</f>
        <v/>
      </c>
      <c r="C6121" s="198">
        <f>"'CONFIGURAÇÃO'!AD342"</f>
        <v/>
      </c>
      <c r="D6121" s="198" t="inlineStr">
        <is>
          <t>configuração</t>
        </is>
      </c>
    </row>
    <row r="6122">
      <c r="A6122" s="198" t="inlineStr">
        <is>
          <t>custom.24.campo.origem</t>
        </is>
      </c>
      <c r="B6122" s="198">
        <f>SWITCH('CONFIGURAÇÃO'!$AB$333,"Marcante",IF(ISBLANK('CONFIGURAÇÃO'!$AD$336),"",'CONFIGURAÇÃO'!$AD$336&amp;""),"Menor",IF(ISBLANK('CONFIGURAÇÃO'!$AD$336),"",'CONFIGURAÇÃO'!$AD$336&amp;""),"")</f>
        <v/>
      </c>
      <c r="C6122" s="198">
        <f>"'CONFIGURAÇÃO'!L681 'CONFIGURAÇÃO'!L681"</f>
        <v/>
      </c>
      <c r="D6122" s="198" t="inlineStr">
        <is>
          <t>configuração</t>
        </is>
      </c>
    </row>
    <row r="6123">
      <c r="A6123" s="198" t="inlineStr">
        <is>
          <t>custom.24.campo.pericia_1</t>
        </is>
      </c>
      <c r="B6123" s="198">
        <f>SWITCH('CONFIGURAÇÃO'!$AB$333,"Origem",IF(ISBLANK('CONFIGURAÇÃO'!$AD$336),"",'CONFIGURAÇÃO'!$AD$336&amp;""),"")</f>
        <v/>
      </c>
      <c r="C6123" s="198">
        <f>"'CONFIGURAÇÃO'!AD336"</f>
        <v/>
      </c>
      <c r="D6123" s="198" t="inlineStr">
        <is>
          <t>configuração</t>
        </is>
      </c>
    </row>
    <row r="6124">
      <c r="A6124" s="198" t="inlineStr">
        <is>
          <t>custom.24.campo.pericia_2</t>
        </is>
      </c>
      <c r="B6124" s="198">
        <f>SWITCH('CONFIGURAÇÃO'!$AB$333,"Origem",IF(ISBLANK('CONFIGURAÇÃO'!$AD$337),"",'CONFIGURAÇÃO'!$AD$337&amp;""),"")</f>
        <v/>
      </c>
      <c r="C6124" s="198">
        <f>"'CONFIGURAÇÃO'!AD337"</f>
        <v/>
      </c>
      <c r="D6124" s="198" t="inlineStr">
        <is>
          <t>configuração</t>
        </is>
      </c>
    </row>
    <row r="6125">
      <c r="A6125" s="198" t="inlineStr">
        <is>
          <t>custom.24.campo.pericia_3</t>
        </is>
      </c>
      <c r="B6125" s="198">
        <f>SWITCH('CONFIGURAÇÃO'!$AB$333,"Origem",IF(ISBLANK('CONFIGURAÇÃO'!$AD$338),"",'CONFIGURAÇÃO'!$AD$338&amp;""),"")</f>
        <v/>
      </c>
      <c r="C6125" s="198">
        <f>"'CONFIGURAÇÃO'!AD338"</f>
        <v/>
      </c>
      <c r="D6125" s="198" t="inlineStr">
        <is>
          <t>configuração</t>
        </is>
      </c>
    </row>
    <row r="6126">
      <c r="A6126" s="198" t="inlineStr">
        <is>
          <t>custom.24.campo.pericia_4</t>
        </is>
      </c>
      <c r="B6126" s="198">
        <f>SWITCH('CONFIGURAÇÃO'!$AB$333,"Origem",IF(ISBLANK('CONFIGURAÇÃO'!$AD$339),"",'CONFIGURAÇÃO'!$AD$339&amp;""),"")</f>
        <v/>
      </c>
      <c r="C6126" s="198">
        <f>"'CONFIGURAÇÃO'!AD339"</f>
        <v/>
      </c>
      <c r="D6126" s="198" t="inlineStr">
        <is>
          <t>configuração</t>
        </is>
      </c>
    </row>
    <row r="6127">
      <c r="A6127" s="198" t="inlineStr">
        <is>
          <t>custom.24.campo.preco</t>
        </is>
      </c>
      <c r="B6127" s="198">
        <f>SWITCH('CONFIGURAÇÃO'!$AB$333,"Arma",IF(ISBLANK('CONFIGURAÇÃO'!$AD$348),"",'CONFIGURAÇÃO'!$AD$348&amp;""),"Escudo",IF(ISBLANK('CONFIGURAÇÃO'!$AD$347),"",'CONFIGURAÇÃO'!$AD$347&amp;""),"Uniforme",IF(ISBLANK('CONFIGURAÇÃO'!$AD$347),"",'CONFIGURAÇÃO'!$AD$347&amp;""),"Item comum",IF(ISBLANK('CONFIGURAÇÃO'!$AD$344),"",'CONFIGURAÇÃO'!$AD$344&amp;""),"Ferramenta amaldiçoada",IF(ISBLANK('CONFIGURAÇÃO'!$AD$346),"",'CONFIGURAÇÃO'!$AD$346&amp;""),"")</f>
        <v/>
      </c>
      <c r="C6127" s="198">
        <f>"'CONFIGURAÇÃO'!L693 'CONFIGURAÇÃO'!L692 'CONFIGURAÇÃO'!L692 'CONFIGURAÇÃO'!L689 'CONFIGURAÇÃO'!L691"</f>
        <v/>
      </c>
      <c r="D6127" s="198" t="inlineStr">
        <is>
          <t>configuração</t>
        </is>
      </c>
    </row>
    <row r="6128">
      <c r="A6128" s="198" t="inlineStr">
        <is>
          <t>custom.24.campo.propriedade_1</t>
        </is>
      </c>
      <c r="B6128" s="198">
        <f>SWITCH('CONFIGURAÇÃO'!$AB$333,"Arma",IF(ISBLANK('CONFIGURAÇÃO'!$AD$339),"",'CONFIGURAÇÃO'!$AD$339&amp;""),"")</f>
        <v/>
      </c>
      <c r="C6128" s="198">
        <f>"'CONFIGURAÇÃO'!AD339"</f>
        <v/>
      </c>
      <c r="D6128" s="198" t="inlineStr">
        <is>
          <t>configuração</t>
        </is>
      </c>
    </row>
    <row r="6129">
      <c r="A6129" s="198" t="inlineStr">
        <is>
          <t>custom.24.campo.propriedade_2</t>
        </is>
      </c>
      <c r="B6129" s="198">
        <f>SWITCH('CONFIGURAÇÃO'!$AB$333,"Arma",IF(ISBLANK('CONFIGURAÇÃO'!$AD$340),"",'CONFIGURAÇÃO'!$AD$340&amp;""),"")</f>
        <v/>
      </c>
      <c r="C6129" s="198">
        <f>"'CONFIGURAÇÃO'!AD340"</f>
        <v/>
      </c>
      <c r="D6129" s="198" t="inlineStr">
        <is>
          <t>configuração</t>
        </is>
      </c>
    </row>
    <row r="6130">
      <c r="A6130" s="198" t="inlineStr">
        <is>
          <t>custom.24.campo.propriedade_3</t>
        </is>
      </c>
      <c r="B6130" s="198">
        <f>SWITCH('CONFIGURAÇÃO'!$AB$333,"Arma",IF(ISBLANK('CONFIGURAÇÃO'!$AD$341),"",'CONFIGURAÇÃO'!$AD$341&amp;""),"")</f>
        <v/>
      </c>
      <c r="C6130" s="198">
        <f>"'CONFIGURAÇÃO'!AD341"</f>
        <v/>
      </c>
      <c r="D6130" s="198" t="inlineStr">
        <is>
          <t>configuração</t>
        </is>
      </c>
    </row>
    <row r="6131">
      <c r="A6131" s="198" t="inlineStr">
        <is>
          <t>custom.24.campo.propriedade_4</t>
        </is>
      </c>
      <c r="B6131" s="198">
        <f>SWITCH('CONFIGURAÇÃO'!$AB$333,"Arma",IF(ISBLANK('CONFIGURAÇÃO'!$AD$342),"",'CONFIGURAÇÃO'!$AD$342&amp;""),"")</f>
        <v/>
      </c>
      <c r="C6131" s="198">
        <f>"'CONFIGURAÇÃO'!AD342"</f>
        <v/>
      </c>
      <c r="D6131" s="198" t="inlineStr">
        <is>
          <t>configuração</t>
        </is>
      </c>
    </row>
    <row r="6132">
      <c r="A6132" s="198" t="inlineStr">
        <is>
          <t>custom.24.campo.protecao</t>
        </is>
      </c>
      <c r="B6132" s="198">
        <f>SWITCH('CONFIGURAÇÃO'!$AB$333,"Escudo",IF(ISBLANK('CONFIGURAÇÃO'!$AD$343),"",'CONFIGURAÇÃO'!$AD$343&amp;""),"Uniforme",IF(ISBLANK('CONFIGURAÇÃO'!$AD$343),"",'CONFIGURAÇÃO'!$AD$343&amp;""),"")</f>
        <v/>
      </c>
      <c r="C6132" s="198">
        <f>"'CONFIGURAÇÃO'!L688 'CONFIGURAÇÃO'!L688"</f>
        <v/>
      </c>
      <c r="D6132" s="198" t="inlineStr">
        <is>
          <t>configuração</t>
        </is>
      </c>
    </row>
    <row r="6133">
      <c r="A6133" s="198" t="inlineStr">
        <is>
          <t>custom.24.campo.recarga</t>
        </is>
      </c>
      <c r="B6133" s="198">
        <f>SWITCH('CONFIGURAÇÃO'!$AB$333,"Arma",IF(ISBLANK('CONFIGURAÇÃO'!$AD$347),"",'CONFIGURAÇÃO'!$AD$347&amp;""),"")</f>
        <v/>
      </c>
      <c r="C6133" s="198">
        <f>"'CONFIGURAÇÃO'!AD347"</f>
        <v/>
      </c>
      <c r="D6133" s="198" t="inlineStr">
        <is>
          <t>configuração</t>
        </is>
      </c>
    </row>
    <row r="6134">
      <c r="A6134" s="198" t="inlineStr">
        <is>
          <t>custom.24.campo.rota</t>
        </is>
      </c>
      <c r="B6134" s="198">
        <f>SWITCH('CONFIGURAÇÃO'!$AB$333,"Origem",IF(ISBLANK('CONFIGURAÇÃO'!$AD$340),"",'CONFIGURAÇÃO'!$AD$340&amp;""),"")</f>
        <v/>
      </c>
      <c r="C6134" s="198">
        <f>"'CONFIGURAÇÃO'!AD340"</f>
        <v/>
      </c>
      <c r="D6134" s="198" t="inlineStr">
        <is>
          <t>configuração</t>
        </is>
      </c>
    </row>
    <row r="6135">
      <c r="A6135" s="198" t="inlineStr">
        <is>
          <t>custom.24.campo.talento_ce_4</t>
        </is>
      </c>
      <c r="B6135" s="198">
        <f>SWITCH('CONFIGURAÇÃO'!$AB$333,"Origem",IF(ISBLANK('CONFIGURAÇÃO'!$AD$343),"",'CONFIGURAÇÃO'!$AD$343&amp;""),"")</f>
        <v/>
      </c>
      <c r="C6135" s="198">
        <f>"'CONFIGURAÇÃO'!AD343"</f>
        <v/>
      </c>
      <c r="D6135" s="198" t="inlineStr">
        <is>
          <t>configuração</t>
        </is>
      </c>
    </row>
    <row r="6136">
      <c r="A6136" s="198" t="inlineStr">
        <is>
          <t>custom.24.campo.teto_de_destreza</t>
        </is>
      </c>
      <c r="B6136" s="198">
        <f>SWITCH('CONFIGURAÇÃO'!$AB$333,"Escudo",IF(ISBLANK('CONFIGURAÇÃO'!$AD$344),"",'CONFIGURAÇÃO'!$AD$344&amp;""),"Uniforme",IF(ISBLANK('CONFIGURAÇÃO'!$AD$344),"",'CONFIGURAÇÃO'!$AD$344&amp;""),"")</f>
        <v/>
      </c>
      <c r="C6136" s="198">
        <f>"'CONFIGURAÇÃO'!L689 'CONFIGURAÇÃO'!L689"</f>
        <v/>
      </c>
      <c r="D6136" s="198" t="inlineStr">
        <is>
          <t>configuração</t>
        </is>
      </c>
    </row>
    <row r="6137">
      <c r="A6137" s="198" t="inlineStr">
        <is>
          <t>custom.24.campo.tipo_de_dano</t>
        </is>
      </c>
      <c r="B6137" s="198">
        <f>SWITCH('CONFIGURAÇÃO'!$AB$333,"Arma",IF(ISBLANK('CONFIGURAÇÃO'!$AD$338),"",'CONFIGURAÇÃO'!$AD$338&amp;""),"")</f>
        <v/>
      </c>
      <c r="C6137" s="198">
        <f>"'CONFIGURAÇÃO'!AD338"</f>
        <v/>
      </c>
      <c r="D6137" s="198" t="inlineStr">
        <is>
          <t>configuração</t>
        </is>
      </c>
    </row>
    <row r="6138">
      <c r="A6138" s="198" t="inlineStr">
        <is>
          <t>custom.24.campo.volume</t>
        </is>
      </c>
      <c r="B6138" s="198">
        <f>SWITCH('CONFIGURAÇÃO'!$AB$333,"Arma",IF(ISBLANK('CONFIGURAÇÃO'!$AD$345),"",'CONFIGURAÇÃO'!$AD$345&amp;""),"Escudo",IF(ISBLANK('CONFIGURAÇÃO'!$AD$346),"",'CONFIGURAÇÃO'!$AD$346&amp;""),"Uniforme",IF(ISBLANK('CONFIGURAÇÃO'!$AD$346),"",'CONFIGURAÇÃO'!$AD$346&amp;""),"Item comum",IF(ISBLANK('CONFIGURAÇÃO'!$AD$343),"",'CONFIGURAÇÃO'!$AD$343&amp;""),"Ferramenta amaldiçoada",IF(ISBLANK('CONFIGURAÇÃO'!$AD$345),"",'CONFIGURAÇÃO'!$AD$345&amp;""),"")</f>
        <v/>
      </c>
      <c r="C6138" s="198">
        <f>"'CONFIGURAÇÃO'!L690 'CONFIGURAÇÃO'!L691 'CONFIGURAÇÃO'!L691 'CONFIGURAÇÃO'!L688 'CONFIGURAÇÃO'!L690"</f>
        <v/>
      </c>
      <c r="D6138" s="198" t="inlineStr">
        <is>
          <t>configuração</t>
        </is>
      </c>
    </row>
    <row r="6139">
      <c r="A6139" s="198" t="inlineStr">
        <is>
          <t>aviso.custom.24</t>
        </is>
      </c>
      <c r="B6139" s="198">
        <f>'DADOS_CUSTOM'!$S$25&amp;""</f>
        <v/>
      </c>
      <c r="C6139" s="198" t="inlineStr">
        <is>
          <t>DADOS_CUSTOM!S25</t>
        </is>
      </c>
      <c r="D6139" s="198" t="inlineStr">
        <is>
          <t>aviso</t>
        </is>
      </c>
    </row>
    <row r="6140">
      <c r="A6140" s="198" t="inlineStr">
        <is>
          <t>custom.25.tipo</t>
        </is>
      </c>
      <c r="B6140" s="198">
        <f>IF(ISBLANK('CONFIGURAÇÃO'!$T$362),"",'CONFIGURAÇÃO'!$T$362&amp;"")</f>
        <v/>
      </c>
      <c r="C6140" s="198">
        <f>"'CONFIGURAÇÃO'!T362"</f>
        <v/>
      </c>
      <c r="D6140" s="198" t="inlineStr">
        <is>
          <t>configuração</t>
        </is>
      </c>
    </row>
    <row r="6141">
      <c r="A6141" s="198" t="inlineStr">
        <is>
          <t>custom.25.nome</t>
        </is>
      </c>
      <c r="B6141" s="198">
        <f>IF(ISBLANK('CONFIGURAÇÃO'!$T$364),"",'CONFIGURAÇÃO'!$T$364&amp;"")</f>
        <v/>
      </c>
      <c r="C6141" s="198">
        <f>"'CONFIGURAÇÃO'!T364"</f>
        <v/>
      </c>
      <c r="D6141" s="198" t="inlineStr">
        <is>
          <t>configuração</t>
        </is>
      </c>
    </row>
    <row r="6142">
      <c r="A6142" s="198" t="inlineStr">
        <is>
          <t>custom.25.mestre_viu</t>
        </is>
      </c>
      <c r="B6142" s="198">
        <f>N('CONFIGURAÇÃO'!$X$362)&amp;""</f>
        <v/>
      </c>
      <c r="C6142" s="198">
        <f>"'CONFIGURAÇÃO'!X362"</f>
        <v/>
      </c>
      <c r="D6142" s="198" t="inlineStr">
        <is>
          <t>configuração</t>
        </is>
      </c>
    </row>
    <row r="6143">
      <c r="A6143" s="198" t="inlineStr">
        <is>
          <t>custom.25.efeito</t>
        </is>
      </c>
      <c r="B6143" s="198">
        <f>IF(ISBLANK('CONFIGURAÇÃO'!$T$379),"",'CONFIGURAÇÃO'!$T$379&amp;"")</f>
        <v/>
      </c>
      <c r="C6143" s="198">
        <f>"'CONFIGURAÇÃO'!T379"</f>
        <v/>
      </c>
      <c r="D6143" s="198" t="inlineStr">
        <is>
          <t>configuração</t>
        </is>
      </c>
    </row>
    <row r="6144">
      <c r="A6144" s="198" t="inlineStr">
        <is>
          <t>custom.25.campo.alcance</t>
        </is>
      </c>
      <c r="B6144" s="198">
        <f>SWITCH('CONFIGURAÇÃO'!$T$362,"Arma",IF(ISBLANK('CONFIGURAÇÃO'!$V$375),"",'CONFIGURAÇÃO'!$V$375&amp;""),"")</f>
        <v/>
      </c>
      <c r="C6144" s="198">
        <f>"'CONFIGURAÇÃO'!V375"</f>
        <v/>
      </c>
      <c r="D6144" s="198" t="inlineStr">
        <is>
          <t>configuração</t>
        </is>
      </c>
    </row>
    <row r="6145">
      <c r="A6145" s="198" t="inlineStr">
        <is>
          <t>custom.25.campo.base</t>
        </is>
      </c>
      <c r="B6145" s="198">
        <f>SWITCH('CONFIGURAÇÃO'!$T$362,"Ferramenta amaldiçoada",IF(ISBLANK('CONFIGURAÇÃO'!$V$365),"",'CONFIGURAÇÃO'!$V$365&amp;""),"")</f>
        <v/>
      </c>
      <c r="C6145" s="198">
        <f>"'CONFIGURAÇÃO'!V365"</f>
        <v/>
      </c>
      <c r="D6145" s="198" t="inlineStr">
        <is>
          <t>configuração</t>
        </is>
      </c>
    </row>
    <row r="6146">
      <c r="A6146" s="198" t="inlineStr">
        <is>
          <t>custom.25.campo.base_do_livro</t>
        </is>
      </c>
      <c r="B6146" s="198">
        <f>SWITCH('CONFIGURAÇÃO'!$T$362,"Origem",IF(ISBLANK('CONFIGURAÇÃO'!$V$370),"",'CONFIGURAÇÃO'!$V$370&amp;""),"")</f>
        <v/>
      </c>
      <c r="C6146" s="198">
        <f>"'CONFIGURAÇÃO'!V370"</f>
        <v/>
      </c>
      <c r="D6146" s="198" t="inlineStr">
        <is>
          <t>configuração</t>
        </is>
      </c>
    </row>
    <row r="6147">
      <c r="A6147" s="198" t="inlineStr">
        <is>
          <t>custom.25.campo.categoria</t>
        </is>
      </c>
      <c r="B6147" s="198">
        <f>SWITCH('CONFIGURAÇÃO'!$T$362,"Arma",IF(ISBLANK('CONFIGURAÇÃO'!$V$365),"",'CONFIGURAÇÃO'!$V$365&amp;""),"")</f>
        <v/>
      </c>
      <c r="C6147" s="198">
        <f>"'CONFIGURAÇÃO'!V365"</f>
        <v/>
      </c>
      <c r="D6147" s="198" t="inlineStr">
        <is>
          <t>configuração</t>
        </is>
      </c>
    </row>
    <row r="6148">
      <c r="A6148" s="198" t="inlineStr">
        <is>
          <t>custom.25.campo.dado</t>
        </is>
      </c>
      <c r="B6148" s="198">
        <f>SWITCH('CONFIGURAÇÃO'!$T$362,"Arma",IF(ISBLANK('CONFIGURAÇÃO'!$V$372),"",'CONFIGURAÇÃO'!$V$372&amp;""),"")</f>
        <v/>
      </c>
      <c r="C6148" s="198">
        <f>"'CONFIGURAÇÃO'!V372"</f>
        <v/>
      </c>
      <c r="D6148" s="198" t="inlineStr">
        <is>
          <t>configuração</t>
        </is>
      </c>
    </row>
    <row r="6149">
      <c r="A6149" s="198" t="inlineStr">
        <is>
          <t>custom.25.campo.desgaste</t>
        </is>
      </c>
      <c r="B6149" s="198">
        <f>SWITCH('CONFIGURAÇÃO'!$T$362,"Ferramenta amaldiçoada",IF(ISBLANK('CONFIGURAÇÃO'!$V$373),"",'CONFIGURAÇÃO'!$V$373&amp;""),"")</f>
        <v/>
      </c>
      <c r="C6149" s="198">
        <f>"'CONFIGURAÇÃO'!V373"</f>
        <v/>
      </c>
      <c r="D6149" s="198" t="inlineStr">
        <is>
          <t>configuração</t>
        </is>
      </c>
    </row>
    <row r="6150">
      <c r="A6150" s="198" t="inlineStr">
        <is>
          <t>custom.25.campo.estigma</t>
        </is>
      </c>
      <c r="B6150" s="198">
        <f>SWITCH('CONFIGURAÇÃO'!$T$362,"Ferramenta amaldiçoada",IF(ISBLANK('CONFIGURAÇÃO'!$V$372),"",'CONFIGURAÇÃO'!$V$372&amp;""),"")</f>
        <v/>
      </c>
      <c r="C6150" s="198">
        <f>"'CONFIGURAÇÃO'!V372"</f>
        <v/>
      </c>
      <c r="D6150" s="198" t="inlineStr">
        <is>
          <t>configuração</t>
        </is>
      </c>
    </row>
    <row r="6151">
      <c r="A6151" s="198" t="inlineStr">
        <is>
          <t>custom.25.campo.exige_marcante</t>
        </is>
      </c>
      <c r="B6151" s="198">
        <f>SWITCH('CONFIGURAÇÃO'!$T$362,"Menor",IF(ISBLANK('CONFIGURAÇÃO'!$V$366),"",'CONFIGURAÇÃO'!$V$366&amp;""),"")</f>
        <v/>
      </c>
      <c r="C6151" s="198">
        <f>"'CONFIGURAÇÃO'!V366"</f>
        <v/>
      </c>
      <c r="D6151" s="198" t="inlineStr">
        <is>
          <t>configuração</t>
        </is>
      </c>
    </row>
    <row r="6152">
      <c r="A6152" s="198" t="inlineStr">
        <is>
          <t>custom.25.campo.forca</t>
        </is>
      </c>
      <c r="B6152" s="198">
        <f>SWITCH('CONFIGURAÇÃO'!$T$362,"Arma",IF(ISBLANK('CONFIGURAÇÃO'!$V$373),"",'CONFIGURAÇÃO'!$V$373&amp;""),"Escudo",IF(ISBLANK('CONFIGURAÇÃO'!$V$374),"",'CONFIGURAÇÃO'!$V$374&amp;""),"Uniforme",IF(ISBLANK('CONFIGURAÇÃO'!$V$374),"",'CONFIGURAÇÃO'!$V$374&amp;""),"")</f>
        <v/>
      </c>
      <c r="C6152" s="198">
        <f>"'CONFIGURAÇÃO'!L718 'CONFIGURAÇÃO'!L719 'CONFIGURAÇÃO'!L719"</f>
        <v/>
      </c>
      <c r="D6152" s="198" t="inlineStr">
        <is>
          <t>configuração</t>
        </is>
      </c>
    </row>
    <row r="6153">
      <c r="A6153" s="198" t="inlineStr">
        <is>
          <t>custom.25.campo.frequencia</t>
        </is>
      </c>
      <c r="B6153" s="198">
        <f>SWITCH('CONFIGURAÇÃO'!$T$362,"Marcante",IF(ISBLANK('CONFIGURAÇÃO'!$V$372),"",'CONFIGURAÇÃO'!$V$372&amp;""),"Menor",IF(ISBLANK('CONFIGURAÇÃO'!$V$372),"",'CONFIGURAÇÃO'!$V$372&amp;""),"")</f>
        <v/>
      </c>
      <c r="C6153" s="198">
        <f>"'CONFIGURAÇÃO'!L717 'CONFIGURAÇÃO'!L717"</f>
        <v/>
      </c>
      <c r="D6153" s="198" t="inlineStr">
        <is>
          <t>configuração</t>
        </is>
      </c>
    </row>
    <row r="6154">
      <c r="A6154" s="198" t="inlineStr">
        <is>
          <t>custom.25.campo.grau</t>
        </is>
      </c>
      <c r="B6154" s="198">
        <f>SWITCH('CONFIGURAÇÃO'!$T$362,"Ferramenta amaldiçoada",IF(ISBLANK('CONFIGURAÇÃO'!$V$366),"",'CONFIGURAÇÃO'!$V$366&amp;""),"")</f>
        <v/>
      </c>
      <c r="C6154" s="198">
        <f>"'CONFIGURAÇÃO'!V366"</f>
        <v/>
      </c>
      <c r="D6154" s="198" t="inlineStr">
        <is>
          <t>configuração</t>
        </is>
      </c>
    </row>
    <row r="6155">
      <c r="A6155" s="198" t="inlineStr">
        <is>
          <t>custom.25.campo.grau_minimo</t>
        </is>
      </c>
      <c r="B6155" s="198">
        <f>SWITCH('CONFIGURAÇÃO'!$T$362,"Uniforme",IF(ISBLANK('CONFIGURAÇÃO'!$V$365),"",'CONFIGURAÇÃO'!$V$365&amp;""),"")</f>
        <v/>
      </c>
      <c r="C6155" s="198">
        <f>"'CONFIGURAÇÃO'!V365"</f>
        <v/>
      </c>
      <c r="D6155" s="198" t="inlineStr">
        <is>
          <t>configuração</t>
        </is>
      </c>
    </row>
    <row r="6156">
      <c r="A6156" s="198" t="inlineStr">
        <is>
          <t>custom.25.campo.mao</t>
        </is>
      </c>
      <c r="B6156" s="198">
        <f>SWITCH('CONFIGURAÇÃO'!$T$362,"Arma",IF(ISBLANK('CONFIGURAÇÃO'!$V$366),"",'CONFIGURAÇÃO'!$V$366&amp;""),"")</f>
        <v/>
      </c>
      <c r="C6156" s="198">
        <f>"'CONFIGURAÇÃO'!V366"</f>
        <v/>
      </c>
      <c r="D6156" s="198" t="inlineStr">
        <is>
          <t>configuração</t>
        </is>
      </c>
    </row>
    <row r="6157">
      <c r="A6157" s="198" t="inlineStr">
        <is>
          <t>custom.25.campo.oficio</t>
        </is>
      </c>
      <c r="B6157" s="198">
        <f>SWITCH('CONFIGURAÇÃO'!$T$362,"Origem",IF(ISBLANK('CONFIGURAÇÃO'!$V$371),"",'CONFIGURAÇÃO'!$V$371&amp;""),"")</f>
        <v/>
      </c>
      <c r="C6157" s="198">
        <f>"'CONFIGURAÇÃO'!V371"</f>
        <v/>
      </c>
      <c r="D6157" s="198" t="inlineStr">
        <is>
          <t>configuração</t>
        </is>
      </c>
    </row>
    <row r="6158">
      <c r="A6158" s="198" t="inlineStr">
        <is>
          <t>custom.25.campo.origem</t>
        </is>
      </c>
      <c r="B6158" s="198">
        <f>SWITCH('CONFIGURAÇÃO'!$T$362,"Marcante",IF(ISBLANK('CONFIGURAÇÃO'!$V$365),"",'CONFIGURAÇÃO'!$V$365&amp;""),"Menor",IF(ISBLANK('CONFIGURAÇÃO'!$V$365),"",'CONFIGURAÇÃO'!$V$365&amp;""),"")</f>
        <v/>
      </c>
      <c r="C6158" s="198">
        <f>"'CONFIGURAÇÃO'!L710 'CONFIGURAÇÃO'!L710"</f>
        <v/>
      </c>
      <c r="D6158" s="198" t="inlineStr">
        <is>
          <t>configuração</t>
        </is>
      </c>
    </row>
    <row r="6159">
      <c r="A6159" s="198" t="inlineStr">
        <is>
          <t>custom.25.campo.pericia_1</t>
        </is>
      </c>
      <c r="B6159" s="198">
        <f>SWITCH('CONFIGURAÇÃO'!$T$362,"Origem",IF(ISBLANK('CONFIGURAÇÃO'!$V$365),"",'CONFIGURAÇÃO'!$V$365&amp;""),"")</f>
        <v/>
      </c>
      <c r="C6159" s="198">
        <f>"'CONFIGURAÇÃO'!V365"</f>
        <v/>
      </c>
      <c r="D6159" s="198" t="inlineStr">
        <is>
          <t>configuração</t>
        </is>
      </c>
    </row>
    <row r="6160">
      <c r="A6160" s="198" t="inlineStr">
        <is>
          <t>custom.25.campo.pericia_2</t>
        </is>
      </c>
      <c r="B6160" s="198">
        <f>SWITCH('CONFIGURAÇÃO'!$T$362,"Origem",IF(ISBLANK('CONFIGURAÇÃO'!$V$366),"",'CONFIGURAÇÃO'!$V$366&amp;""),"")</f>
        <v/>
      </c>
      <c r="C6160" s="198">
        <f>"'CONFIGURAÇÃO'!V366"</f>
        <v/>
      </c>
      <c r="D6160" s="198" t="inlineStr">
        <is>
          <t>configuração</t>
        </is>
      </c>
    </row>
    <row r="6161">
      <c r="A6161" s="198" t="inlineStr">
        <is>
          <t>custom.25.campo.pericia_3</t>
        </is>
      </c>
      <c r="B6161" s="198">
        <f>SWITCH('CONFIGURAÇÃO'!$T$362,"Origem",IF(ISBLANK('CONFIGURAÇÃO'!$V$367),"",'CONFIGURAÇÃO'!$V$367&amp;""),"")</f>
        <v/>
      </c>
      <c r="C6161" s="198">
        <f>"'CONFIGURAÇÃO'!V367"</f>
        <v/>
      </c>
      <c r="D6161" s="198" t="inlineStr">
        <is>
          <t>configuração</t>
        </is>
      </c>
    </row>
    <row r="6162">
      <c r="A6162" s="198" t="inlineStr">
        <is>
          <t>custom.25.campo.pericia_4</t>
        </is>
      </c>
      <c r="B6162" s="198">
        <f>SWITCH('CONFIGURAÇÃO'!$T$362,"Origem",IF(ISBLANK('CONFIGURAÇÃO'!$V$368),"",'CONFIGURAÇÃO'!$V$368&amp;""),"")</f>
        <v/>
      </c>
      <c r="C6162" s="198">
        <f>"'CONFIGURAÇÃO'!V368"</f>
        <v/>
      </c>
      <c r="D6162" s="198" t="inlineStr">
        <is>
          <t>configuração</t>
        </is>
      </c>
    </row>
    <row r="6163">
      <c r="A6163" s="198" t="inlineStr">
        <is>
          <t>custom.25.campo.preco</t>
        </is>
      </c>
      <c r="B6163" s="198">
        <f>SWITCH('CONFIGURAÇÃO'!$T$362,"Arma",IF(ISBLANK('CONFIGURAÇÃO'!$V$377),"",'CONFIGURAÇÃO'!$V$377&amp;""),"Escudo",IF(ISBLANK('CONFIGURAÇÃO'!$V$376),"",'CONFIGURAÇÃO'!$V$376&amp;""),"Uniforme",IF(ISBLANK('CONFIGURAÇÃO'!$V$376),"",'CONFIGURAÇÃO'!$V$376&amp;""),"Item comum",IF(ISBLANK('CONFIGURAÇÃO'!$V$373),"",'CONFIGURAÇÃO'!$V$373&amp;""),"Ferramenta amaldiçoada",IF(ISBLANK('CONFIGURAÇÃO'!$V$375),"",'CONFIGURAÇÃO'!$V$375&amp;""),"")</f>
        <v/>
      </c>
      <c r="C6163" s="198">
        <f>"'CONFIGURAÇÃO'!L722 'CONFIGURAÇÃO'!L721 'CONFIGURAÇÃO'!L721 'CONFIGURAÇÃO'!L718 'CONFIGURAÇÃO'!L720"</f>
        <v/>
      </c>
      <c r="D6163" s="198" t="inlineStr">
        <is>
          <t>configuração</t>
        </is>
      </c>
    </row>
    <row r="6164">
      <c r="A6164" s="198" t="inlineStr">
        <is>
          <t>custom.25.campo.propriedade_1</t>
        </is>
      </c>
      <c r="B6164" s="198">
        <f>SWITCH('CONFIGURAÇÃO'!$T$362,"Arma",IF(ISBLANK('CONFIGURAÇÃO'!$V$368),"",'CONFIGURAÇÃO'!$V$368&amp;""),"")</f>
        <v/>
      </c>
      <c r="C6164" s="198">
        <f>"'CONFIGURAÇÃO'!V368"</f>
        <v/>
      </c>
      <c r="D6164" s="198" t="inlineStr">
        <is>
          <t>configuração</t>
        </is>
      </c>
    </row>
    <row r="6165">
      <c r="A6165" s="198" t="inlineStr">
        <is>
          <t>custom.25.campo.propriedade_2</t>
        </is>
      </c>
      <c r="B6165" s="198">
        <f>SWITCH('CONFIGURAÇÃO'!$T$362,"Arma",IF(ISBLANK('CONFIGURAÇÃO'!$V$369),"",'CONFIGURAÇÃO'!$V$369&amp;""),"")</f>
        <v/>
      </c>
      <c r="C6165" s="198">
        <f>"'CONFIGURAÇÃO'!V369"</f>
        <v/>
      </c>
      <c r="D6165" s="198" t="inlineStr">
        <is>
          <t>configuração</t>
        </is>
      </c>
    </row>
    <row r="6166">
      <c r="A6166" s="198" t="inlineStr">
        <is>
          <t>custom.25.campo.propriedade_3</t>
        </is>
      </c>
      <c r="B6166" s="198">
        <f>SWITCH('CONFIGURAÇÃO'!$T$362,"Arma",IF(ISBLANK('CONFIGURAÇÃO'!$V$370),"",'CONFIGURAÇÃO'!$V$370&amp;""),"")</f>
        <v/>
      </c>
      <c r="C6166" s="198">
        <f>"'CONFIGURAÇÃO'!V370"</f>
        <v/>
      </c>
      <c r="D6166" s="198" t="inlineStr">
        <is>
          <t>configuração</t>
        </is>
      </c>
    </row>
    <row r="6167">
      <c r="A6167" s="198" t="inlineStr">
        <is>
          <t>custom.25.campo.propriedade_4</t>
        </is>
      </c>
      <c r="B6167" s="198">
        <f>SWITCH('CONFIGURAÇÃO'!$T$362,"Arma",IF(ISBLANK('CONFIGURAÇÃO'!$V$371),"",'CONFIGURAÇÃO'!$V$371&amp;""),"")</f>
        <v/>
      </c>
      <c r="C6167" s="198">
        <f>"'CONFIGURAÇÃO'!V371"</f>
        <v/>
      </c>
      <c r="D6167" s="198" t="inlineStr">
        <is>
          <t>configuração</t>
        </is>
      </c>
    </row>
    <row r="6168">
      <c r="A6168" s="198" t="inlineStr">
        <is>
          <t>custom.25.campo.protecao</t>
        </is>
      </c>
      <c r="B6168" s="198">
        <f>SWITCH('CONFIGURAÇÃO'!$T$362,"Escudo",IF(ISBLANK('CONFIGURAÇÃO'!$V$372),"",'CONFIGURAÇÃO'!$V$372&amp;""),"Uniforme",IF(ISBLANK('CONFIGURAÇÃO'!$V$372),"",'CONFIGURAÇÃO'!$V$372&amp;""),"")</f>
        <v/>
      </c>
      <c r="C6168" s="198">
        <f>"'CONFIGURAÇÃO'!L717 'CONFIGURAÇÃO'!L717"</f>
        <v/>
      </c>
      <c r="D6168" s="198" t="inlineStr">
        <is>
          <t>configuração</t>
        </is>
      </c>
    </row>
    <row r="6169">
      <c r="A6169" s="198" t="inlineStr">
        <is>
          <t>custom.25.campo.recarga</t>
        </is>
      </c>
      <c r="B6169" s="198">
        <f>SWITCH('CONFIGURAÇÃO'!$T$362,"Arma",IF(ISBLANK('CONFIGURAÇÃO'!$V$376),"",'CONFIGURAÇÃO'!$V$376&amp;""),"")</f>
        <v/>
      </c>
      <c r="C6169" s="198">
        <f>"'CONFIGURAÇÃO'!V376"</f>
        <v/>
      </c>
      <c r="D6169" s="198" t="inlineStr">
        <is>
          <t>configuração</t>
        </is>
      </c>
    </row>
    <row r="6170">
      <c r="A6170" s="198" t="inlineStr">
        <is>
          <t>custom.25.campo.rota</t>
        </is>
      </c>
      <c r="B6170" s="198">
        <f>SWITCH('CONFIGURAÇÃO'!$T$362,"Origem",IF(ISBLANK('CONFIGURAÇÃO'!$V$369),"",'CONFIGURAÇÃO'!$V$369&amp;""),"")</f>
        <v/>
      </c>
      <c r="C6170" s="198">
        <f>"'CONFIGURAÇÃO'!V369"</f>
        <v/>
      </c>
      <c r="D6170" s="198" t="inlineStr">
        <is>
          <t>configuração</t>
        </is>
      </c>
    </row>
    <row r="6171">
      <c r="A6171" s="198" t="inlineStr">
        <is>
          <t>custom.25.campo.talento_ce_4</t>
        </is>
      </c>
      <c r="B6171" s="198">
        <f>SWITCH('CONFIGURAÇÃO'!$T$362,"Origem",IF(ISBLANK('CONFIGURAÇÃO'!$V$372),"",'CONFIGURAÇÃO'!$V$372&amp;""),"")</f>
        <v/>
      </c>
      <c r="C6171" s="198">
        <f>"'CONFIGURAÇÃO'!V372"</f>
        <v/>
      </c>
      <c r="D6171" s="198" t="inlineStr">
        <is>
          <t>configuração</t>
        </is>
      </c>
    </row>
    <row r="6172">
      <c r="A6172" s="198" t="inlineStr">
        <is>
          <t>custom.25.campo.teto_de_destreza</t>
        </is>
      </c>
      <c r="B6172" s="198">
        <f>SWITCH('CONFIGURAÇÃO'!$T$362,"Escudo",IF(ISBLANK('CONFIGURAÇÃO'!$V$373),"",'CONFIGURAÇÃO'!$V$373&amp;""),"Uniforme",IF(ISBLANK('CONFIGURAÇÃO'!$V$373),"",'CONFIGURAÇÃO'!$V$373&amp;""),"")</f>
        <v/>
      </c>
      <c r="C6172" s="198">
        <f>"'CONFIGURAÇÃO'!L718 'CONFIGURAÇÃO'!L718"</f>
        <v/>
      </c>
      <c r="D6172" s="198" t="inlineStr">
        <is>
          <t>configuração</t>
        </is>
      </c>
    </row>
    <row r="6173">
      <c r="A6173" s="198" t="inlineStr">
        <is>
          <t>custom.25.campo.tipo_de_dano</t>
        </is>
      </c>
      <c r="B6173" s="198">
        <f>SWITCH('CONFIGURAÇÃO'!$T$362,"Arma",IF(ISBLANK('CONFIGURAÇÃO'!$V$367),"",'CONFIGURAÇÃO'!$V$367&amp;""),"")</f>
        <v/>
      </c>
      <c r="C6173" s="198">
        <f>"'CONFIGURAÇÃO'!V367"</f>
        <v/>
      </c>
      <c r="D6173" s="198" t="inlineStr">
        <is>
          <t>configuração</t>
        </is>
      </c>
    </row>
    <row r="6174">
      <c r="A6174" s="198" t="inlineStr">
        <is>
          <t>custom.25.campo.volume</t>
        </is>
      </c>
      <c r="B6174" s="198">
        <f>SWITCH('CONFIGURAÇÃO'!$T$362,"Arma",IF(ISBLANK('CONFIGURAÇÃO'!$V$374),"",'CONFIGURAÇÃO'!$V$374&amp;""),"Escudo",IF(ISBLANK('CONFIGURAÇÃO'!$V$375),"",'CONFIGURAÇÃO'!$V$375&amp;""),"Uniforme",IF(ISBLANK('CONFIGURAÇÃO'!$V$375),"",'CONFIGURAÇÃO'!$V$375&amp;""),"Item comum",IF(ISBLANK('CONFIGURAÇÃO'!$V$372),"",'CONFIGURAÇÃO'!$V$372&amp;""),"Ferramenta amaldiçoada",IF(ISBLANK('CONFIGURAÇÃO'!$V$374),"",'CONFIGURAÇÃO'!$V$374&amp;""),"")</f>
        <v/>
      </c>
      <c r="C6174" s="198">
        <f>"'CONFIGURAÇÃO'!L719 'CONFIGURAÇÃO'!L720 'CONFIGURAÇÃO'!L720 'CONFIGURAÇÃO'!L717 'CONFIGURAÇÃO'!L719"</f>
        <v/>
      </c>
      <c r="D6174" s="198" t="inlineStr">
        <is>
          <t>configuração</t>
        </is>
      </c>
    </row>
    <row r="6175">
      <c r="A6175" s="198" t="inlineStr">
        <is>
          <t>aviso.custom.25</t>
        </is>
      </c>
      <c r="B6175" s="198">
        <f>'DADOS_CUSTOM'!$S$26&amp;""</f>
        <v/>
      </c>
      <c r="C6175" s="198" t="inlineStr">
        <is>
          <t>DADOS_CUSTOM!S26</t>
        </is>
      </c>
      <c r="D6175" s="198" t="inlineStr">
        <is>
          <t>aviso</t>
        </is>
      </c>
    </row>
    <row r="6176">
      <c r="A6176" s="198" t="inlineStr">
        <is>
          <t>custom.caminho.nome</t>
        </is>
      </c>
      <c r="B6176" s="198">
        <f>IF(ISBLANK('CONFIGURAÇÃO'!$AK$13),"",'CONFIGURAÇÃO'!$AK$13&amp;"")</f>
        <v/>
      </c>
      <c r="C6176" s="198">
        <f>"'CONFIGURAÇÃO'!AK13"</f>
        <v/>
      </c>
      <c r="D6176" s="198" t="inlineStr">
        <is>
          <t>configuração</t>
        </is>
      </c>
    </row>
    <row r="6177">
      <c r="A6177" s="198" t="inlineStr">
        <is>
          <t>custom.caminho.mestre_viu</t>
        </is>
      </c>
      <c r="B6177" s="198">
        <f>N('CONFIGURAÇÃO'!$AO$11)&amp;""</f>
        <v/>
      </c>
      <c r="C6177" s="198">
        <f>"'CONFIGURAÇÃO'!AO11"</f>
        <v/>
      </c>
      <c r="D6177" s="198" t="inlineStr">
        <is>
          <t>configuração</t>
        </is>
      </c>
    </row>
    <row r="6178">
      <c r="A6178" s="198" t="inlineStr">
        <is>
          <t>custom.caminho.efeito</t>
        </is>
      </c>
      <c r="B6178" s="198">
        <f>IF(ISBLANK('CONFIGURAÇÃO'!$AK$41),"",'CONFIGURAÇÃO'!$AK$41&amp;"")</f>
        <v/>
      </c>
      <c r="C6178" s="198">
        <f>"'CONFIGURAÇÃO'!AK41"</f>
        <v/>
      </c>
      <c r="D6178" s="198" t="inlineStr">
        <is>
          <t>configuração</t>
        </is>
      </c>
    </row>
    <row r="6179">
      <c r="A6179" s="198" t="inlineStr">
        <is>
          <t>custom.caminho.campo.vida_inicial</t>
        </is>
      </c>
      <c r="B6179" s="198">
        <f>IF(ISBLANK('CONFIGURAÇÃO'!$AN$14),"",'CONFIGURAÇÃO'!$AN$14&amp;"")</f>
        <v/>
      </c>
      <c r="C6179" s="198">
        <f>"'CONFIGURAÇÃO'!AN14"</f>
        <v/>
      </c>
      <c r="D6179" s="198" t="inlineStr">
        <is>
          <t>configuração</t>
        </is>
      </c>
    </row>
    <row r="6180">
      <c r="A6180" s="198" t="inlineStr">
        <is>
          <t>custom.caminho.campo.vida_por_nivel</t>
        </is>
      </c>
      <c r="B6180" s="198">
        <f>IF(ISBLANK('CONFIGURAÇÃO'!$AN$15),"",'CONFIGURAÇÃO'!$AN$15&amp;"")</f>
        <v/>
      </c>
      <c r="C6180" s="198">
        <f>"'CONFIGURAÇÃO'!AN15"</f>
        <v/>
      </c>
      <c r="D6180" s="198" t="inlineStr">
        <is>
          <t>configuração</t>
        </is>
      </c>
    </row>
    <row r="6181">
      <c r="A6181" s="198" t="inlineStr">
        <is>
          <t>custom.caminho.campo.dado_de_vida</t>
        </is>
      </c>
      <c r="B6181" s="198">
        <f>IF(ISBLANK('CONFIGURAÇÃO'!$AN$16),"",'CONFIGURAÇÃO'!$AN$16&amp;"")</f>
        <v/>
      </c>
      <c r="C6181" s="198">
        <f>"'CONFIGURAÇÃO'!AN16"</f>
        <v/>
      </c>
      <c r="D6181" s="198" t="inlineStr">
        <is>
          <t>configuração</t>
        </is>
      </c>
    </row>
    <row r="6182">
      <c r="A6182" s="198" t="inlineStr">
        <is>
          <t>custom.caminho.campo.pe_por_nivel</t>
        </is>
      </c>
      <c r="B6182" s="198">
        <f>IF(ISBLANK('CONFIGURAÇÃO'!$AN$17),"",'CONFIGURAÇÃO'!$AN$17&amp;"")</f>
        <v/>
      </c>
      <c r="C6182" s="198">
        <f>"'CONFIGURAÇÃO'!AN17"</f>
        <v/>
      </c>
      <c r="D6182" s="198" t="inlineStr">
        <is>
          <t>configuração</t>
        </is>
      </c>
    </row>
    <row r="6183">
      <c r="A6183" s="198" t="inlineStr">
        <is>
          <t>custom.caminho.campo.atributo_natural_1</t>
        </is>
      </c>
      <c r="B6183" s="198">
        <f>IF(ISBLANK('CONFIGURAÇÃO'!$AN$18),"",'CONFIGURAÇÃO'!$AN$18&amp;"")</f>
        <v/>
      </c>
      <c r="C6183" s="198">
        <f>"'CONFIGURAÇÃO'!AN18"</f>
        <v/>
      </c>
      <c r="D6183" s="198" t="inlineStr">
        <is>
          <t>configuração</t>
        </is>
      </c>
    </row>
    <row r="6184">
      <c r="A6184" s="198" t="inlineStr">
        <is>
          <t>custom.caminho.campo.atributo_natural_2</t>
        </is>
      </c>
      <c r="B6184" s="198">
        <f>IF(ISBLANK('CONFIGURAÇÃO'!$AN$19),"",'CONFIGURAÇÃO'!$AN$19&amp;"")</f>
        <v/>
      </c>
      <c r="C6184" s="198">
        <f>"'CONFIGURAÇÃO'!AN19"</f>
        <v/>
      </c>
      <c r="D6184" s="198" t="inlineStr">
        <is>
          <t>configuração</t>
        </is>
      </c>
    </row>
    <row r="6185">
      <c r="A6185" s="198" t="inlineStr">
        <is>
          <t>custom.caminho.campo.pericia_fixa_1</t>
        </is>
      </c>
      <c r="B6185" s="198">
        <f>IF(ISBLANK('CONFIGURAÇÃO'!$AN$20),"",'CONFIGURAÇÃO'!$AN$20&amp;"")</f>
        <v/>
      </c>
      <c r="C6185" s="198">
        <f>"'CONFIGURAÇÃO'!AN20"</f>
        <v/>
      </c>
      <c r="D6185" s="198" t="inlineStr">
        <is>
          <t>configuração</t>
        </is>
      </c>
    </row>
    <row r="6186">
      <c r="A6186" s="198" t="inlineStr">
        <is>
          <t>custom.caminho.campo.pericia_fixa_2</t>
        </is>
      </c>
      <c r="B6186" s="198">
        <f>IF(ISBLANK('CONFIGURAÇÃO'!$AN$21),"",'CONFIGURAÇÃO'!$AN$21&amp;"")</f>
        <v/>
      </c>
      <c r="C6186" s="198">
        <f>"'CONFIGURAÇÃO'!AN21"</f>
        <v/>
      </c>
      <c r="D6186" s="198" t="inlineStr">
        <is>
          <t>configuração</t>
        </is>
      </c>
    </row>
    <row r="6187">
      <c r="A6187" s="198" t="inlineStr">
        <is>
          <t>custom.caminho.campo.troca_pericias_por_arma</t>
        </is>
      </c>
      <c r="B6187" s="198">
        <f>IF(ISBLANK('CONFIGURAÇÃO'!$AN$22),"",'CONFIGURAÇÃO'!$AN$22&amp;"")</f>
        <v/>
      </c>
      <c r="C6187" s="198">
        <f>"'CONFIGURAÇÃO'!AN22"</f>
        <v/>
      </c>
      <c r="D6187" s="198" t="inlineStr">
        <is>
          <t>configuração</t>
        </is>
      </c>
    </row>
    <row r="6188">
      <c r="A6188" s="198" t="inlineStr">
        <is>
          <t>custom.caminho.campo.treino_de_arma</t>
        </is>
      </c>
      <c r="B6188" s="198">
        <f>IF(ISBLANK('CONFIGURAÇÃO'!$AN$23),"",'CONFIGURAÇÃO'!$AN$23&amp;"")</f>
        <v/>
      </c>
      <c r="C6188" s="198">
        <f>"'CONFIGURAÇÃO'!AN23"</f>
        <v/>
      </c>
      <c r="D6188" s="198" t="inlineStr">
        <is>
          <t>configuração</t>
        </is>
      </c>
    </row>
    <row r="6189">
      <c r="A6189" s="198" t="inlineStr">
        <is>
          <t>custom.caminho.campo.categoria_de_arma_1</t>
        </is>
      </c>
      <c r="B6189" s="198">
        <f>IF(ISBLANK('CONFIGURAÇÃO'!$AN$24),"",'CONFIGURAÇÃO'!$AN$24&amp;"")</f>
        <v/>
      </c>
      <c r="C6189" s="198">
        <f>"'CONFIGURAÇÃO'!AN24"</f>
        <v/>
      </c>
      <c r="D6189" s="198" t="inlineStr">
        <is>
          <t>configuração</t>
        </is>
      </c>
    </row>
    <row r="6190">
      <c r="A6190" s="198" t="inlineStr">
        <is>
          <t>custom.caminho.campo.categoria_de_arma_2</t>
        </is>
      </c>
      <c r="B6190" s="198">
        <f>IF(ISBLANK('CONFIGURAÇÃO'!$AN$25),"",'CONFIGURAÇÃO'!$AN$25&amp;"")</f>
        <v/>
      </c>
      <c r="C6190" s="198">
        <f>"'CONFIGURAÇÃO'!AN25"</f>
        <v/>
      </c>
      <c r="D6190" s="198" t="inlineStr">
        <is>
          <t>configuração</t>
        </is>
      </c>
    </row>
    <row r="6191">
      <c r="A6191" s="198" t="inlineStr">
        <is>
          <t>custom.caminho.campo.categoria_de_arma_3</t>
        </is>
      </c>
      <c r="B6191" s="198">
        <f>IF(ISBLANK('CONFIGURAÇÃO'!$AN$26),"",'CONFIGURAÇÃO'!$AN$26&amp;"")</f>
        <v/>
      </c>
      <c r="C6191" s="198">
        <f>"'CONFIGURAÇÃO'!AN26"</f>
        <v/>
      </c>
      <c r="D6191" s="198" t="inlineStr">
        <is>
          <t>configuração</t>
        </is>
      </c>
    </row>
    <row r="6192">
      <c r="A6192" s="198" t="inlineStr">
        <is>
          <t>custom.caminho.campo.categoria_de_arma_4</t>
        </is>
      </c>
      <c r="B6192" s="198">
        <f>IF(ISBLANK('CONFIGURAÇÃO'!$AN$27),"",'CONFIGURAÇÃO'!$AN$27&amp;"")</f>
        <v/>
      </c>
      <c r="C6192" s="198">
        <f>"'CONFIGURAÇÃO'!AN27"</f>
        <v/>
      </c>
      <c r="D6192" s="198" t="inlineStr">
        <is>
          <t>configuração</t>
        </is>
      </c>
    </row>
    <row r="6193">
      <c r="A6193" s="198" t="inlineStr">
        <is>
          <t>custom.caminho.campo.categoria_de_arma_5</t>
        </is>
      </c>
      <c r="B6193" s="198">
        <f>IF(ISBLANK('CONFIGURAÇÃO'!$AN$28),"",'CONFIGURAÇÃO'!$AN$28&amp;"")</f>
        <v/>
      </c>
      <c r="C6193" s="198">
        <f>"'CONFIGURAÇÃO'!AN28"</f>
        <v/>
      </c>
      <c r="D6193" s="198" t="inlineStr">
        <is>
          <t>configuração</t>
        </is>
      </c>
    </row>
    <row r="6194">
      <c r="A6194" s="198" t="inlineStr">
        <is>
          <t>custom.caminho.campo.categoria_de_arma_6</t>
        </is>
      </c>
      <c r="B6194" s="198">
        <f>IF(ISBLANK('CONFIGURAÇÃO'!$AN$29),"",'CONFIGURAÇÃO'!$AN$29&amp;"")</f>
        <v/>
      </c>
      <c r="C6194" s="198">
        <f>"'CONFIGURAÇÃO'!AN29"</f>
        <v/>
      </c>
      <c r="D6194" s="198" t="inlineStr">
        <is>
          <t>configuração</t>
        </is>
      </c>
    </row>
    <row r="6195">
      <c r="A6195" s="198" t="inlineStr">
        <is>
          <t>custom.caminho.campo.categoria_de_arma_7</t>
        </is>
      </c>
      <c r="B6195" s="198">
        <f>IF(ISBLANK('CONFIGURAÇÃO'!$AN$30),"",'CONFIGURAÇÃO'!$AN$30&amp;"")</f>
        <v/>
      </c>
      <c r="C6195" s="198">
        <f>"'CONFIGURAÇÃO'!AN30"</f>
        <v/>
      </c>
      <c r="D6195" s="198" t="inlineStr">
        <is>
          <t>configuração</t>
        </is>
      </c>
    </row>
    <row r="6196">
      <c r="A6196" s="198" t="inlineStr">
        <is>
          <t>custom.caminho.campo.categoria_de_arma_8</t>
        </is>
      </c>
      <c r="B6196" s="198">
        <f>IF(ISBLANK('CONFIGURAÇÃO'!$AN$31),"",'CONFIGURAÇÃO'!$AN$31&amp;"")</f>
        <v/>
      </c>
      <c r="C6196" s="198">
        <f>"'CONFIGURAÇÃO'!AN31"</f>
        <v/>
      </c>
      <c r="D6196" s="198" t="inlineStr">
        <is>
          <t>configuração</t>
        </is>
      </c>
    </row>
    <row r="6197">
      <c r="A6197" s="198" t="inlineStr">
        <is>
          <t>custom.caminho.campo.categoria_de_arma_9</t>
        </is>
      </c>
      <c r="B6197" s="198">
        <f>IF(ISBLANK('CONFIGURAÇÃO'!$AN$32),"",'CONFIGURAÇÃO'!$AN$32&amp;"")</f>
        <v/>
      </c>
      <c r="C6197" s="198">
        <f>"'CONFIGURAÇÃO'!AN32"</f>
        <v/>
      </c>
      <c r="D6197" s="198" t="inlineStr">
        <is>
          <t>configuração</t>
        </is>
      </c>
    </row>
    <row r="6198">
      <c r="A6198" s="198" t="inlineStr">
        <is>
          <t>custom.caminho.campo.categoria_de_arma_10</t>
        </is>
      </c>
      <c r="B6198" s="198">
        <f>IF(ISBLANK('CONFIGURAÇÃO'!$AN$33),"",'CONFIGURAÇÃO'!$AN$33&amp;"")</f>
        <v/>
      </c>
      <c r="C6198" s="198">
        <f>"'CONFIGURAÇÃO'!AN33"</f>
        <v/>
      </c>
      <c r="D6198" s="198" t="inlineStr">
        <is>
          <t>configuração</t>
        </is>
      </c>
    </row>
    <row r="6199">
      <c r="A6199" s="198" t="inlineStr">
        <is>
          <t>custom.caminho.campo.categoria_de_arma_11</t>
        </is>
      </c>
      <c r="B6199" s="198">
        <f>IF(ISBLANK('CONFIGURAÇÃO'!$AN$34),"",'CONFIGURAÇÃO'!$AN$34&amp;"")</f>
        <v/>
      </c>
      <c r="C6199" s="198">
        <f>"'CONFIGURAÇÃO'!AN34"</f>
        <v/>
      </c>
      <c r="D6199" s="198" t="inlineStr">
        <is>
          <t>configuração</t>
        </is>
      </c>
    </row>
    <row r="6200">
      <c r="A6200" s="198" t="inlineStr">
        <is>
          <t>custom.caminho.campo.categoria_de_arma_12</t>
        </is>
      </c>
      <c r="B6200" s="198">
        <f>IF(ISBLANK('CONFIGURAÇÃO'!$AN$35),"",'CONFIGURAÇÃO'!$AN$35&amp;"")</f>
        <v/>
      </c>
      <c r="C6200" s="198">
        <f>"'CONFIGURAÇÃO'!AN35"</f>
        <v/>
      </c>
      <c r="D6200" s="198" t="inlineStr">
        <is>
          <t>configuração</t>
        </is>
      </c>
    </row>
    <row r="6201">
      <c r="A6201" s="198" t="inlineStr">
        <is>
          <t>custom.caminho.campo.categoria_de_arma_13</t>
        </is>
      </c>
      <c r="B6201" s="198">
        <f>IF(ISBLANK('CONFIGURAÇÃO'!$AN$36),"",'CONFIGURAÇÃO'!$AN$36&amp;"")</f>
        <v/>
      </c>
      <c r="C6201" s="198">
        <f>"'CONFIGURAÇÃO'!AN36"</f>
        <v/>
      </c>
      <c r="D6201" s="198" t="inlineStr">
        <is>
          <t>configuração</t>
        </is>
      </c>
    </row>
    <row r="6202">
      <c r="A6202" s="198" t="inlineStr">
        <is>
          <t>custom.caminho.nivel.1.nome</t>
        </is>
      </c>
      <c r="B6202" s="198">
        <f>""</f>
        <v/>
      </c>
      <c r="C6202" s="198" t="inlineStr"/>
      <c r="D6202" s="198" t="inlineStr">
        <is>
          <t>configuração</t>
        </is>
      </c>
    </row>
    <row r="6203">
      <c r="A6203" s="198" t="inlineStr">
        <is>
          <t>custom.caminho.nivel.1.texto</t>
        </is>
      </c>
      <c r="B6203" s="198">
        <f>""</f>
        <v/>
      </c>
      <c r="C6203" s="198" t="inlineStr"/>
      <c r="D6203" s="198" t="inlineStr">
        <is>
          <t>configuração</t>
        </is>
      </c>
    </row>
    <row r="6204">
      <c r="A6204" s="198" t="inlineStr">
        <is>
          <t>custom.caminho.nivel.2.nome</t>
        </is>
      </c>
      <c r="B6204" s="198">
        <f>IF(ISBLANK('CONFIGURAÇÃO'!$AL$50),"",'CONFIGURAÇÃO'!$AL$50&amp;"")</f>
        <v/>
      </c>
      <c r="C6204" s="198">
        <f>"'CONFIGURAÇÃO'!AL50"</f>
        <v/>
      </c>
      <c r="D6204" s="198" t="inlineStr">
        <is>
          <t>configuração</t>
        </is>
      </c>
    </row>
    <row r="6205">
      <c r="A6205" s="198" t="inlineStr">
        <is>
          <t>custom.caminho.nivel.2.texto</t>
        </is>
      </c>
      <c r="B6205" s="198">
        <f>IF(ISBLANK('CONFIGURAÇÃO'!$AK$51),"",'CONFIGURAÇÃO'!$AK$51&amp;"")</f>
        <v/>
      </c>
      <c r="C6205" s="198">
        <f>"'CONFIGURAÇÃO'!AK51"</f>
        <v/>
      </c>
      <c r="D6205" s="198" t="inlineStr">
        <is>
          <t>configuração</t>
        </is>
      </c>
    </row>
    <row r="6206">
      <c r="A6206" s="198" t="inlineStr">
        <is>
          <t>custom.caminho.nivel.3.nome</t>
        </is>
      </c>
      <c r="B6206" s="198">
        <f>""</f>
        <v/>
      </c>
      <c r="C6206" s="198" t="inlineStr"/>
      <c r="D6206" s="198" t="inlineStr">
        <is>
          <t>configuração</t>
        </is>
      </c>
    </row>
    <row r="6207">
      <c r="A6207" s="198" t="inlineStr">
        <is>
          <t>custom.caminho.nivel.3.texto</t>
        </is>
      </c>
      <c r="B6207" s="198">
        <f>""</f>
        <v/>
      </c>
      <c r="C6207" s="198" t="inlineStr"/>
      <c r="D6207" s="198" t="inlineStr">
        <is>
          <t>configuração</t>
        </is>
      </c>
    </row>
    <row r="6208">
      <c r="A6208" s="198" t="inlineStr">
        <is>
          <t>custom.caminho.nivel.4.nome</t>
        </is>
      </c>
      <c r="B6208" s="198">
        <f>""</f>
        <v/>
      </c>
      <c r="C6208" s="198" t="inlineStr"/>
      <c r="D6208" s="198" t="inlineStr">
        <is>
          <t>configuração</t>
        </is>
      </c>
    </row>
    <row r="6209">
      <c r="A6209" s="198" t="inlineStr">
        <is>
          <t>custom.caminho.nivel.4.texto</t>
        </is>
      </c>
      <c r="B6209" s="198">
        <f>""</f>
        <v/>
      </c>
      <c r="C6209" s="198" t="inlineStr"/>
      <c r="D6209" s="198" t="inlineStr">
        <is>
          <t>configuração</t>
        </is>
      </c>
    </row>
    <row r="6210">
      <c r="A6210" s="198" t="inlineStr">
        <is>
          <t>custom.caminho.nivel.5.nome</t>
        </is>
      </c>
      <c r="B6210" s="198">
        <f>""</f>
        <v/>
      </c>
      <c r="C6210" s="198" t="inlineStr"/>
      <c r="D6210" s="198" t="inlineStr">
        <is>
          <t>configuração</t>
        </is>
      </c>
    </row>
    <row r="6211">
      <c r="A6211" s="198" t="inlineStr">
        <is>
          <t>custom.caminho.nivel.5.texto</t>
        </is>
      </c>
      <c r="B6211" s="198">
        <f>""</f>
        <v/>
      </c>
      <c r="C6211" s="198" t="inlineStr"/>
      <c r="D6211" s="198" t="inlineStr">
        <is>
          <t>configuração</t>
        </is>
      </c>
    </row>
    <row r="6212">
      <c r="A6212" s="198" t="inlineStr">
        <is>
          <t>custom.caminho.nivel.6.nome</t>
        </is>
      </c>
      <c r="B6212" s="198">
        <f>""</f>
        <v/>
      </c>
      <c r="C6212" s="198" t="inlineStr"/>
      <c r="D6212" s="198" t="inlineStr">
        <is>
          <t>configuração</t>
        </is>
      </c>
    </row>
    <row r="6213">
      <c r="A6213" s="198" t="inlineStr">
        <is>
          <t>custom.caminho.nivel.6.texto</t>
        </is>
      </c>
      <c r="B6213" s="198">
        <f>""</f>
        <v/>
      </c>
      <c r="C6213" s="198" t="inlineStr"/>
      <c r="D6213" s="198" t="inlineStr">
        <is>
          <t>configuração</t>
        </is>
      </c>
    </row>
    <row r="6214">
      <c r="A6214" s="198" t="inlineStr">
        <is>
          <t>custom.caminho.nivel.7.nome</t>
        </is>
      </c>
      <c r="B6214" s="198">
        <f>IF(ISBLANK('CONFIGURAÇÃO'!$AL$53),"",'CONFIGURAÇÃO'!$AL$53&amp;"")</f>
        <v/>
      </c>
      <c r="C6214" s="198">
        <f>"'CONFIGURAÇÃO'!AL53"</f>
        <v/>
      </c>
      <c r="D6214" s="198" t="inlineStr">
        <is>
          <t>configuração</t>
        </is>
      </c>
    </row>
    <row r="6215">
      <c r="A6215" s="198" t="inlineStr">
        <is>
          <t>custom.caminho.nivel.7.texto</t>
        </is>
      </c>
      <c r="B6215" s="198">
        <f>IF(ISBLANK('CONFIGURAÇÃO'!$AK$54),"",'CONFIGURAÇÃO'!$AK$54&amp;"")</f>
        <v/>
      </c>
      <c r="C6215" s="198">
        <f>"'CONFIGURAÇÃO'!AK54"</f>
        <v/>
      </c>
      <c r="D6215" s="198" t="inlineStr">
        <is>
          <t>configuração</t>
        </is>
      </c>
    </row>
    <row r="6216">
      <c r="A6216" s="198" t="inlineStr">
        <is>
          <t>custom.caminho.nivel.8.nome</t>
        </is>
      </c>
      <c r="B6216" s="198">
        <f>""</f>
        <v/>
      </c>
      <c r="C6216" s="198" t="inlineStr"/>
      <c r="D6216" s="198" t="inlineStr">
        <is>
          <t>configuração</t>
        </is>
      </c>
    </row>
    <row r="6217">
      <c r="A6217" s="198" t="inlineStr">
        <is>
          <t>custom.caminho.nivel.8.texto</t>
        </is>
      </c>
      <c r="B6217" s="198">
        <f>""</f>
        <v/>
      </c>
      <c r="C6217" s="198" t="inlineStr"/>
      <c r="D6217" s="198" t="inlineStr">
        <is>
          <t>configuração</t>
        </is>
      </c>
    </row>
    <row r="6218">
      <c r="A6218" s="198" t="inlineStr">
        <is>
          <t>custom.caminho.nivel.9.nome</t>
        </is>
      </c>
      <c r="B6218" s="198">
        <f>""</f>
        <v/>
      </c>
      <c r="C6218" s="198" t="inlineStr"/>
      <c r="D6218" s="198" t="inlineStr">
        <is>
          <t>configuração</t>
        </is>
      </c>
    </row>
    <row r="6219">
      <c r="A6219" s="198" t="inlineStr">
        <is>
          <t>custom.caminho.nivel.9.texto</t>
        </is>
      </c>
      <c r="B6219" s="198">
        <f>""</f>
        <v/>
      </c>
      <c r="C6219" s="198" t="inlineStr"/>
      <c r="D6219" s="198" t="inlineStr">
        <is>
          <t>configuração</t>
        </is>
      </c>
    </row>
    <row r="6220">
      <c r="A6220" s="198" t="inlineStr">
        <is>
          <t>custom.caminho.nivel.10.nome</t>
        </is>
      </c>
      <c r="B6220" s="198">
        <f>""</f>
        <v/>
      </c>
      <c r="C6220" s="198" t="inlineStr"/>
      <c r="D6220" s="198" t="inlineStr">
        <is>
          <t>configuração</t>
        </is>
      </c>
    </row>
    <row r="6221">
      <c r="A6221" s="198" t="inlineStr">
        <is>
          <t>custom.caminho.nivel.10.texto</t>
        </is>
      </c>
      <c r="B6221" s="198">
        <f>""</f>
        <v/>
      </c>
      <c r="C6221" s="198" t="inlineStr"/>
      <c r="D6221" s="198" t="inlineStr">
        <is>
          <t>configuração</t>
        </is>
      </c>
    </row>
    <row r="6222">
      <c r="A6222" s="198" t="inlineStr">
        <is>
          <t>custom.caminho.nivel.11.nome</t>
        </is>
      </c>
      <c r="B6222" s="198">
        <f>""</f>
        <v/>
      </c>
      <c r="C6222" s="198" t="inlineStr"/>
      <c r="D6222" s="198" t="inlineStr">
        <is>
          <t>configuração</t>
        </is>
      </c>
    </row>
    <row r="6223">
      <c r="A6223" s="198" t="inlineStr">
        <is>
          <t>custom.caminho.nivel.11.texto</t>
        </is>
      </c>
      <c r="B6223" s="198">
        <f>""</f>
        <v/>
      </c>
      <c r="C6223" s="198" t="inlineStr"/>
      <c r="D6223" s="198" t="inlineStr">
        <is>
          <t>configuração</t>
        </is>
      </c>
    </row>
    <row r="6224">
      <c r="A6224" s="198" t="inlineStr">
        <is>
          <t>custom.caminho.nivel.12.nome</t>
        </is>
      </c>
      <c r="B6224" s="198">
        <f>""</f>
        <v/>
      </c>
      <c r="C6224" s="198" t="inlineStr"/>
      <c r="D6224" s="198" t="inlineStr">
        <is>
          <t>configuração</t>
        </is>
      </c>
    </row>
    <row r="6225">
      <c r="A6225" s="198" t="inlineStr">
        <is>
          <t>custom.caminho.nivel.12.texto</t>
        </is>
      </c>
      <c r="B6225" s="198">
        <f>""</f>
        <v/>
      </c>
      <c r="C6225" s="198" t="inlineStr"/>
      <c r="D6225" s="198" t="inlineStr">
        <is>
          <t>configuração</t>
        </is>
      </c>
    </row>
    <row r="6226">
      <c r="A6226" s="198" t="inlineStr">
        <is>
          <t>custom.caminho.nivel.13.nome</t>
        </is>
      </c>
      <c r="B6226" s="198">
        <f>""</f>
        <v/>
      </c>
      <c r="C6226" s="198" t="inlineStr"/>
      <c r="D6226" s="198" t="inlineStr">
        <is>
          <t>configuração</t>
        </is>
      </c>
    </row>
    <row r="6227">
      <c r="A6227" s="198" t="inlineStr">
        <is>
          <t>custom.caminho.nivel.13.texto</t>
        </is>
      </c>
      <c r="B6227" s="198">
        <f>""</f>
        <v/>
      </c>
      <c r="C6227" s="198" t="inlineStr"/>
      <c r="D6227" s="198" t="inlineStr">
        <is>
          <t>configuração</t>
        </is>
      </c>
    </row>
    <row r="6228">
      <c r="A6228" s="198" t="inlineStr">
        <is>
          <t>custom.caminho.nivel.14.nome</t>
        </is>
      </c>
      <c r="B6228" s="198">
        <f>""</f>
        <v/>
      </c>
      <c r="C6228" s="198" t="inlineStr"/>
      <c r="D6228" s="198" t="inlineStr">
        <is>
          <t>configuração</t>
        </is>
      </c>
    </row>
    <row r="6229">
      <c r="A6229" s="198" t="inlineStr">
        <is>
          <t>custom.caminho.nivel.14.texto</t>
        </is>
      </c>
      <c r="B6229" s="198">
        <f>""</f>
        <v/>
      </c>
      <c r="C6229" s="198" t="inlineStr"/>
      <c r="D6229" s="198" t="inlineStr">
        <is>
          <t>configuração</t>
        </is>
      </c>
    </row>
    <row r="6230">
      <c r="A6230" s="198" t="inlineStr">
        <is>
          <t>custom.caminho.nivel.15.nome</t>
        </is>
      </c>
      <c r="B6230" s="198">
        <f>IF(ISBLANK('CONFIGURAÇÃO'!$AL$56),"",'CONFIGURAÇÃO'!$AL$56&amp;"")</f>
        <v/>
      </c>
      <c r="C6230" s="198">
        <f>"'CONFIGURAÇÃO'!AL56"</f>
        <v/>
      </c>
      <c r="D6230" s="198" t="inlineStr">
        <is>
          <t>configuração</t>
        </is>
      </c>
    </row>
    <row r="6231">
      <c r="A6231" s="198" t="inlineStr">
        <is>
          <t>custom.caminho.nivel.15.texto</t>
        </is>
      </c>
      <c r="B6231" s="198">
        <f>IF(ISBLANK('CONFIGURAÇÃO'!$AK$57),"",'CONFIGURAÇÃO'!$AK$57&amp;"")</f>
        <v/>
      </c>
      <c r="C6231" s="198">
        <f>"'CONFIGURAÇÃO'!AK57"</f>
        <v/>
      </c>
      <c r="D6231" s="198" t="inlineStr">
        <is>
          <t>configuração</t>
        </is>
      </c>
    </row>
    <row r="6232">
      <c r="A6232" s="198" t="inlineStr">
        <is>
          <t>custom.caminho.nivel.16.nome</t>
        </is>
      </c>
      <c r="B6232" s="198">
        <f>""</f>
        <v/>
      </c>
      <c r="C6232" s="198" t="inlineStr"/>
      <c r="D6232" s="198" t="inlineStr">
        <is>
          <t>configuração</t>
        </is>
      </c>
    </row>
    <row r="6233">
      <c r="A6233" s="198" t="inlineStr">
        <is>
          <t>custom.caminho.nivel.16.texto</t>
        </is>
      </c>
      <c r="B6233" s="198">
        <f>""</f>
        <v/>
      </c>
      <c r="C6233" s="198" t="inlineStr"/>
      <c r="D6233" s="198" t="inlineStr">
        <is>
          <t>configuração</t>
        </is>
      </c>
    </row>
    <row r="6234">
      <c r="A6234" s="198" t="inlineStr">
        <is>
          <t>custom.caminho.nivel.17.nome</t>
        </is>
      </c>
      <c r="B6234" s="198">
        <f>""</f>
        <v/>
      </c>
      <c r="C6234" s="198" t="inlineStr"/>
      <c r="D6234" s="198" t="inlineStr">
        <is>
          <t>configuração</t>
        </is>
      </c>
    </row>
    <row r="6235">
      <c r="A6235" s="198" t="inlineStr">
        <is>
          <t>custom.caminho.nivel.17.texto</t>
        </is>
      </c>
      <c r="B6235" s="198">
        <f>""</f>
        <v/>
      </c>
      <c r="C6235" s="198" t="inlineStr"/>
      <c r="D6235" s="198" t="inlineStr">
        <is>
          <t>configuração</t>
        </is>
      </c>
    </row>
    <row r="6236">
      <c r="A6236" s="198" t="inlineStr">
        <is>
          <t>custom.caminho.nivel.18.nome</t>
        </is>
      </c>
      <c r="B6236" s="198">
        <f>""</f>
        <v/>
      </c>
      <c r="C6236" s="198" t="inlineStr"/>
      <c r="D6236" s="198" t="inlineStr">
        <is>
          <t>configuração</t>
        </is>
      </c>
    </row>
    <row r="6237">
      <c r="A6237" s="198" t="inlineStr">
        <is>
          <t>custom.caminho.nivel.18.texto</t>
        </is>
      </c>
      <c r="B6237" s="198">
        <f>""</f>
        <v/>
      </c>
      <c r="C6237" s="198" t="inlineStr"/>
      <c r="D6237" s="198" t="inlineStr">
        <is>
          <t>configuração</t>
        </is>
      </c>
    </row>
    <row r="6238">
      <c r="A6238" s="198" t="inlineStr">
        <is>
          <t>custom.caminho.nivel.19.nome</t>
        </is>
      </c>
      <c r="B6238" s="198">
        <f>""</f>
        <v/>
      </c>
      <c r="C6238" s="198" t="inlineStr"/>
      <c r="D6238" s="198" t="inlineStr">
        <is>
          <t>configuração</t>
        </is>
      </c>
    </row>
    <row r="6239">
      <c r="A6239" s="198" t="inlineStr">
        <is>
          <t>custom.caminho.nivel.19.texto</t>
        </is>
      </c>
      <c r="B6239" s="198">
        <f>""</f>
        <v/>
      </c>
      <c r="C6239" s="198" t="inlineStr"/>
      <c r="D6239" s="198" t="inlineStr">
        <is>
          <t>configuração</t>
        </is>
      </c>
    </row>
    <row r="6240">
      <c r="A6240" s="198" t="inlineStr">
        <is>
          <t>custom.caminho.nivel.20.nome</t>
        </is>
      </c>
      <c r="B6240" s="198">
        <f>""</f>
        <v/>
      </c>
      <c r="C6240" s="198" t="inlineStr"/>
      <c r="D6240" s="198" t="inlineStr">
        <is>
          <t>configuração</t>
        </is>
      </c>
    </row>
    <row r="6241">
      <c r="A6241" s="198" t="inlineStr">
        <is>
          <t>custom.caminho.nivel.20.texto</t>
        </is>
      </c>
      <c r="B6241" s="198">
        <f>""</f>
        <v/>
      </c>
      <c r="C6241" s="198" t="inlineStr"/>
      <c r="D6241" s="198" t="inlineStr">
        <is>
          <t>configuração</t>
        </is>
      </c>
    </row>
    <row r="6242">
      <c r="A6242" s="198" t="inlineStr">
        <is>
          <t>custom.caminho.nivel.21.nome</t>
        </is>
      </c>
      <c r="B6242" s="198">
        <f>""</f>
        <v/>
      </c>
      <c r="C6242" s="198" t="inlineStr"/>
      <c r="D6242" s="198" t="inlineStr">
        <is>
          <t>configuração</t>
        </is>
      </c>
    </row>
    <row r="6243">
      <c r="A6243" s="198" t="inlineStr">
        <is>
          <t>custom.caminho.nivel.21.texto</t>
        </is>
      </c>
      <c r="B6243" s="198">
        <f>""</f>
        <v/>
      </c>
      <c r="C6243" s="198" t="inlineStr"/>
      <c r="D6243" s="198" t="inlineStr">
        <is>
          <t>configuração</t>
        </is>
      </c>
    </row>
    <row r="6244">
      <c r="A6244" s="198" t="inlineStr">
        <is>
          <t>custom.caminho.nivel.22.nome</t>
        </is>
      </c>
      <c r="B6244" s="198">
        <f>""</f>
        <v/>
      </c>
      <c r="C6244" s="198" t="inlineStr"/>
      <c r="D6244" s="198" t="inlineStr">
        <is>
          <t>configuração</t>
        </is>
      </c>
    </row>
    <row r="6245">
      <c r="A6245" s="198" t="inlineStr">
        <is>
          <t>custom.caminho.nivel.22.texto</t>
        </is>
      </c>
      <c r="B6245" s="198">
        <f>""</f>
        <v/>
      </c>
      <c r="C6245" s="198" t="inlineStr"/>
      <c r="D6245" s="198" t="inlineStr">
        <is>
          <t>configuração</t>
        </is>
      </c>
    </row>
    <row r="6246">
      <c r="A6246" s="198" t="inlineStr">
        <is>
          <t>custom.caminho.nivel.23.nome</t>
        </is>
      </c>
      <c r="B6246" s="198">
        <f>IF(ISBLANK('CONFIGURAÇÃO'!$AL$59),"",'CONFIGURAÇÃO'!$AL$59&amp;"")</f>
        <v/>
      </c>
      <c r="C6246" s="198">
        <f>"'CONFIGURAÇÃO'!AL59"</f>
        <v/>
      </c>
      <c r="D6246" s="198" t="inlineStr">
        <is>
          <t>configuração</t>
        </is>
      </c>
    </row>
    <row r="6247">
      <c r="A6247" s="198" t="inlineStr">
        <is>
          <t>custom.caminho.nivel.23.texto</t>
        </is>
      </c>
      <c r="B6247" s="198">
        <f>IF(ISBLANK('CONFIGURAÇÃO'!$AK$60),"",'CONFIGURAÇÃO'!$AK$60&amp;"")</f>
        <v/>
      </c>
      <c r="C6247" s="198">
        <f>"'CONFIGURAÇÃO'!AK60"</f>
        <v/>
      </c>
      <c r="D6247" s="198" t="inlineStr">
        <is>
          <t>configuração</t>
        </is>
      </c>
    </row>
    <row r="6248">
      <c r="A6248" s="198" t="inlineStr">
        <is>
          <t>custom.caminho.nivel.24.nome</t>
        </is>
      </c>
      <c r="B6248" s="198">
        <f>""</f>
        <v/>
      </c>
      <c r="C6248" s="198" t="inlineStr"/>
      <c r="D6248" s="198" t="inlineStr">
        <is>
          <t>configuração</t>
        </is>
      </c>
    </row>
    <row r="6249">
      <c r="A6249" s="198" t="inlineStr">
        <is>
          <t>custom.caminho.nivel.24.texto</t>
        </is>
      </c>
      <c r="B6249" s="198">
        <f>""</f>
        <v/>
      </c>
      <c r="C6249" s="198" t="inlineStr"/>
      <c r="D6249" s="198" t="inlineStr">
        <is>
          <t>configuração</t>
        </is>
      </c>
    </row>
    <row r="6250">
      <c r="A6250" s="198" t="inlineStr">
        <is>
          <t>custom.caminho.nivel.25.nome</t>
        </is>
      </c>
      <c r="B6250" s="198">
        <f>""</f>
        <v/>
      </c>
      <c r="C6250" s="198" t="inlineStr"/>
      <c r="D6250" s="198" t="inlineStr">
        <is>
          <t>configuração</t>
        </is>
      </c>
    </row>
    <row r="6251">
      <c r="A6251" s="198" t="inlineStr">
        <is>
          <t>custom.caminho.nivel.25.texto</t>
        </is>
      </c>
      <c r="B6251" s="198">
        <f>""</f>
        <v/>
      </c>
      <c r="C6251" s="198" t="inlineStr"/>
      <c r="D6251" s="198" t="inlineStr">
        <is>
          <t>configuração</t>
        </is>
      </c>
    </row>
    <row r="6252">
      <c r="A6252" s="198" t="inlineStr">
        <is>
          <t>custom.caminho.nivel.26.nome</t>
        </is>
      </c>
      <c r="B6252" s="198">
        <f>""</f>
        <v/>
      </c>
      <c r="C6252" s="198" t="inlineStr"/>
      <c r="D6252" s="198" t="inlineStr">
        <is>
          <t>configuração</t>
        </is>
      </c>
    </row>
    <row r="6253">
      <c r="A6253" s="198" t="inlineStr">
        <is>
          <t>custom.caminho.nivel.26.texto</t>
        </is>
      </c>
      <c r="B6253" s="198">
        <f>""</f>
        <v/>
      </c>
      <c r="C6253" s="198" t="inlineStr"/>
      <c r="D6253" s="198" t="inlineStr">
        <is>
          <t>configuração</t>
        </is>
      </c>
    </row>
    <row r="6254">
      <c r="A6254" s="198" t="inlineStr">
        <is>
          <t>custom.caminho.nivel.27.nome</t>
        </is>
      </c>
      <c r="B6254" s="198">
        <f>""</f>
        <v/>
      </c>
      <c r="C6254" s="198" t="inlineStr"/>
      <c r="D6254" s="198" t="inlineStr">
        <is>
          <t>configuração</t>
        </is>
      </c>
    </row>
    <row r="6255">
      <c r="A6255" s="198" t="inlineStr">
        <is>
          <t>custom.caminho.nivel.27.texto</t>
        </is>
      </c>
      <c r="B6255" s="198">
        <f>""</f>
        <v/>
      </c>
      <c r="C6255" s="198" t="inlineStr"/>
      <c r="D6255" s="198" t="inlineStr">
        <is>
          <t>configuração</t>
        </is>
      </c>
    </row>
    <row r="6256">
      <c r="A6256" s="198" t="inlineStr">
        <is>
          <t>custom.caminho.nivel.28.nome</t>
        </is>
      </c>
      <c r="B6256" s="198">
        <f>""</f>
        <v/>
      </c>
      <c r="C6256" s="198" t="inlineStr"/>
      <c r="D6256" s="198" t="inlineStr">
        <is>
          <t>configuração</t>
        </is>
      </c>
    </row>
    <row r="6257">
      <c r="A6257" s="198" t="inlineStr">
        <is>
          <t>custom.caminho.nivel.28.texto</t>
        </is>
      </c>
      <c r="B6257" s="198">
        <f>""</f>
        <v/>
      </c>
      <c r="C6257" s="198" t="inlineStr"/>
      <c r="D6257" s="198" t="inlineStr">
        <is>
          <t>configuração</t>
        </is>
      </c>
    </row>
    <row r="6258">
      <c r="A6258" s="198" t="inlineStr">
        <is>
          <t>custom.caminho.nivel.29.nome</t>
        </is>
      </c>
      <c r="B6258" s="198">
        <f>""</f>
        <v/>
      </c>
      <c r="C6258" s="198" t="inlineStr"/>
      <c r="D6258" s="198" t="inlineStr">
        <is>
          <t>configuração</t>
        </is>
      </c>
    </row>
    <row r="6259">
      <c r="A6259" s="198" t="inlineStr">
        <is>
          <t>custom.caminho.nivel.29.texto</t>
        </is>
      </c>
      <c r="B6259" s="198">
        <f>""</f>
        <v/>
      </c>
      <c r="C6259" s="198" t="inlineStr"/>
      <c r="D6259" s="198" t="inlineStr">
        <is>
          <t>configuração</t>
        </is>
      </c>
    </row>
    <row r="6260">
      <c r="A6260" s="198" t="inlineStr">
        <is>
          <t>custom.caminho.nivel.30.nome</t>
        </is>
      </c>
      <c r="B6260" s="198">
        <f>IF(ISBLANK('CONFIGURAÇÃO'!$AL$62),"",'CONFIGURAÇÃO'!$AL$62&amp;"")</f>
        <v/>
      </c>
      <c r="C6260" s="198">
        <f>"'CONFIGURAÇÃO'!AL62"</f>
        <v/>
      </c>
      <c r="D6260" s="198" t="inlineStr">
        <is>
          <t>configuração</t>
        </is>
      </c>
    </row>
    <row r="6261">
      <c r="A6261" s="198" t="inlineStr">
        <is>
          <t>custom.caminho.nivel.30.texto</t>
        </is>
      </c>
      <c r="B6261" s="198">
        <f>IF(ISBLANK('CONFIGURAÇÃO'!$AK$63),"",'CONFIGURAÇÃO'!$AK$63&amp;"")</f>
        <v/>
      </c>
      <c r="C6261" s="198">
        <f>"'CONFIGURAÇÃO'!AK63"</f>
        <v/>
      </c>
      <c r="D6261" s="198" t="inlineStr">
        <is>
          <t>configuração</t>
        </is>
      </c>
    </row>
    <row r="6262">
      <c r="A6262" s="198" t="inlineStr">
        <is>
          <t>custom.trilha.nome</t>
        </is>
      </c>
      <c r="B6262" s="198">
        <f>IF(ISBLANK('CONFIGURAÇÃO'!$AS$13),"",'CONFIGURAÇÃO'!$AS$13&amp;"")</f>
        <v/>
      </c>
      <c r="C6262" s="198">
        <f>"'CONFIGURAÇÃO'!AS13"</f>
        <v/>
      </c>
      <c r="D6262" s="198" t="inlineStr">
        <is>
          <t>configuração</t>
        </is>
      </c>
    </row>
    <row r="6263">
      <c r="A6263" s="198" t="inlineStr">
        <is>
          <t>custom.trilha.mestre_viu</t>
        </is>
      </c>
      <c r="B6263" s="198">
        <f>N('CONFIGURAÇÃO'!$AW$11)&amp;""</f>
        <v/>
      </c>
      <c r="C6263" s="198">
        <f>"'CONFIGURAÇÃO'!AW11"</f>
        <v/>
      </c>
      <c r="D6263" s="198" t="inlineStr">
        <is>
          <t>configuração</t>
        </is>
      </c>
    </row>
    <row r="6264">
      <c r="A6264" s="198" t="inlineStr">
        <is>
          <t>custom.trilha.efeito</t>
        </is>
      </c>
      <c r="B6264" s="198">
        <f>IF(ISBLANK('CONFIGURAÇÃO'!$AS$41),"",'CONFIGURAÇÃO'!$AS$41&amp;"")</f>
        <v/>
      </c>
      <c r="C6264" s="198">
        <f>"'CONFIGURAÇÃO'!AS41"</f>
        <v/>
      </c>
      <c r="D6264" s="198" t="inlineStr">
        <is>
          <t>configuração</t>
        </is>
      </c>
    </row>
    <row r="6265">
      <c r="A6265" s="198" t="inlineStr">
        <is>
          <t>custom.trilha.campo.caminho</t>
        </is>
      </c>
      <c r="B6265" s="198">
        <f>IF(ISBLANK('CONFIGURAÇÃO'!$AV$14),"",'CONFIGURAÇÃO'!$AV$14&amp;"")</f>
        <v/>
      </c>
      <c r="C6265" s="198">
        <f>"'CONFIGURAÇÃO'!AV14"</f>
        <v/>
      </c>
      <c r="D6265" s="198" t="inlineStr">
        <is>
          <t>configuração</t>
        </is>
      </c>
    </row>
    <row r="6266">
      <c r="A6266" s="198" t="inlineStr">
        <is>
          <t>custom.trilha.campo.base_do_livro</t>
        </is>
      </c>
      <c r="B6266" s="198">
        <f>IF(ISBLANK('CONFIGURAÇÃO'!$AV$15),"",'CONFIGURAÇÃO'!$AV$15&amp;"")</f>
        <v/>
      </c>
      <c r="C6266" s="198">
        <f>"'CONFIGURAÇÃO'!AV15"</f>
        <v/>
      </c>
      <c r="D6266" s="198" t="inlineStr">
        <is>
          <t>configuração</t>
        </is>
      </c>
    </row>
    <row r="6267">
      <c r="A6267" s="198" t="inlineStr">
        <is>
          <t>custom.trilha.nivel.1.nome</t>
        </is>
      </c>
      <c r="B6267" s="198">
        <f>""</f>
        <v/>
      </c>
      <c r="C6267" s="198" t="inlineStr"/>
      <c r="D6267" s="198" t="inlineStr">
        <is>
          <t>configuração</t>
        </is>
      </c>
    </row>
    <row r="6268">
      <c r="A6268" s="198" t="inlineStr">
        <is>
          <t>custom.trilha.nivel.1.texto</t>
        </is>
      </c>
      <c r="B6268" s="198">
        <f>""</f>
        <v/>
      </c>
      <c r="C6268" s="198" t="inlineStr"/>
      <c r="D6268" s="198" t="inlineStr">
        <is>
          <t>configuração</t>
        </is>
      </c>
    </row>
    <row r="6269">
      <c r="A6269" s="198" t="inlineStr">
        <is>
          <t>custom.trilha.nivel.2.nome</t>
        </is>
      </c>
      <c r="B6269" s="198">
        <f>IF(ISBLANK('CONFIGURAÇÃO'!$AT$50),"",'CONFIGURAÇÃO'!$AT$50&amp;"")</f>
        <v/>
      </c>
      <c r="C6269" s="198">
        <f>"'CONFIGURAÇÃO'!AT50"</f>
        <v/>
      </c>
      <c r="D6269" s="198" t="inlineStr">
        <is>
          <t>configuração</t>
        </is>
      </c>
    </row>
    <row r="6270">
      <c r="A6270" s="198" t="inlineStr">
        <is>
          <t>custom.trilha.nivel.2.texto</t>
        </is>
      </c>
      <c r="B6270" s="198">
        <f>IF(ISBLANK('CONFIGURAÇÃO'!$AS$51),"",'CONFIGURAÇÃO'!$AS$51&amp;"")</f>
        <v/>
      </c>
      <c r="C6270" s="198">
        <f>"'CONFIGURAÇÃO'!AS51"</f>
        <v/>
      </c>
      <c r="D6270" s="198" t="inlineStr">
        <is>
          <t>configuração</t>
        </is>
      </c>
    </row>
    <row r="6271">
      <c r="A6271" s="198" t="inlineStr">
        <is>
          <t>custom.trilha.nivel.3.nome</t>
        </is>
      </c>
      <c r="B6271" s="198">
        <f>""</f>
        <v/>
      </c>
      <c r="C6271" s="198" t="inlineStr"/>
      <c r="D6271" s="198" t="inlineStr">
        <is>
          <t>configuração</t>
        </is>
      </c>
    </row>
    <row r="6272">
      <c r="A6272" s="198" t="inlineStr">
        <is>
          <t>custom.trilha.nivel.3.texto</t>
        </is>
      </c>
      <c r="B6272" s="198">
        <f>""</f>
        <v/>
      </c>
      <c r="C6272" s="198" t="inlineStr"/>
      <c r="D6272" s="198" t="inlineStr">
        <is>
          <t>configuração</t>
        </is>
      </c>
    </row>
    <row r="6273">
      <c r="A6273" s="198" t="inlineStr">
        <is>
          <t>custom.trilha.nivel.4.nome</t>
        </is>
      </c>
      <c r="B6273" s="198">
        <f>""</f>
        <v/>
      </c>
      <c r="C6273" s="198" t="inlineStr"/>
      <c r="D6273" s="198" t="inlineStr">
        <is>
          <t>configuração</t>
        </is>
      </c>
    </row>
    <row r="6274">
      <c r="A6274" s="198" t="inlineStr">
        <is>
          <t>custom.trilha.nivel.4.texto</t>
        </is>
      </c>
      <c r="B6274" s="198">
        <f>""</f>
        <v/>
      </c>
      <c r="C6274" s="198" t="inlineStr"/>
      <c r="D6274" s="198" t="inlineStr">
        <is>
          <t>configuração</t>
        </is>
      </c>
    </row>
    <row r="6275">
      <c r="A6275" s="198" t="inlineStr">
        <is>
          <t>custom.trilha.nivel.5.nome</t>
        </is>
      </c>
      <c r="B6275" s="198">
        <f>""</f>
        <v/>
      </c>
      <c r="C6275" s="198" t="inlineStr"/>
      <c r="D6275" s="198" t="inlineStr">
        <is>
          <t>configuração</t>
        </is>
      </c>
    </row>
    <row r="6276">
      <c r="A6276" s="198" t="inlineStr">
        <is>
          <t>custom.trilha.nivel.5.texto</t>
        </is>
      </c>
      <c r="B6276" s="198">
        <f>""</f>
        <v/>
      </c>
      <c r="C6276" s="198" t="inlineStr"/>
      <c r="D6276" s="198" t="inlineStr">
        <is>
          <t>configuração</t>
        </is>
      </c>
    </row>
    <row r="6277">
      <c r="A6277" s="198" t="inlineStr">
        <is>
          <t>custom.trilha.nivel.6.nome</t>
        </is>
      </c>
      <c r="B6277" s="198">
        <f>""</f>
        <v/>
      </c>
      <c r="C6277" s="198" t="inlineStr"/>
      <c r="D6277" s="198" t="inlineStr">
        <is>
          <t>configuração</t>
        </is>
      </c>
    </row>
    <row r="6278">
      <c r="A6278" s="198" t="inlineStr">
        <is>
          <t>custom.trilha.nivel.6.texto</t>
        </is>
      </c>
      <c r="B6278" s="198">
        <f>""</f>
        <v/>
      </c>
      <c r="C6278" s="198" t="inlineStr"/>
      <c r="D6278" s="198" t="inlineStr">
        <is>
          <t>configuração</t>
        </is>
      </c>
    </row>
    <row r="6279">
      <c r="A6279" s="198" t="inlineStr">
        <is>
          <t>custom.trilha.nivel.7.nome</t>
        </is>
      </c>
      <c r="B6279" s="198">
        <f>""</f>
        <v/>
      </c>
      <c r="C6279" s="198" t="inlineStr"/>
      <c r="D6279" s="198" t="inlineStr">
        <is>
          <t>configuração</t>
        </is>
      </c>
    </row>
    <row r="6280">
      <c r="A6280" s="198" t="inlineStr">
        <is>
          <t>custom.trilha.nivel.7.texto</t>
        </is>
      </c>
      <c r="B6280" s="198">
        <f>""</f>
        <v/>
      </c>
      <c r="C6280" s="198" t="inlineStr"/>
      <c r="D6280" s="198" t="inlineStr">
        <is>
          <t>configuração</t>
        </is>
      </c>
    </row>
    <row r="6281">
      <c r="A6281" s="198" t="inlineStr">
        <is>
          <t>custom.trilha.nivel.8.nome</t>
        </is>
      </c>
      <c r="B6281" s="198">
        <f>""</f>
        <v/>
      </c>
      <c r="C6281" s="198" t="inlineStr"/>
      <c r="D6281" s="198" t="inlineStr">
        <is>
          <t>configuração</t>
        </is>
      </c>
    </row>
    <row r="6282">
      <c r="A6282" s="198" t="inlineStr">
        <is>
          <t>custom.trilha.nivel.8.texto</t>
        </is>
      </c>
      <c r="B6282" s="198">
        <f>""</f>
        <v/>
      </c>
      <c r="C6282" s="198" t="inlineStr"/>
      <c r="D6282" s="198" t="inlineStr">
        <is>
          <t>configuração</t>
        </is>
      </c>
    </row>
    <row r="6283">
      <c r="A6283" s="198" t="inlineStr">
        <is>
          <t>custom.trilha.nivel.9.nome</t>
        </is>
      </c>
      <c r="B6283" s="198">
        <f>""</f>
        <v/>
      </c>
      <c r="C6283" s="198" t="inlineStr"/>
      <c r="D6283" s="198" t="inlineStr">
        <is>
          <t>configuração</t>
        </is>
      </c>
    </row>
    <row r="6284">
      <c r="A6284" s="198" t="inlineStr">
        <is>
          <t>custom.trilha.nivel.9.texto</t>
        </is>
      </c>
      <c r="B6284" s="198">
        <f>""</f>
        <v/>
      </c>
      <c r="C6284" s="198" t="inlineStr"/>
      <c r="D6284" s="198" t="inlineStr">
        <is>
          <t>configuração</t>
        </is>
      </c>
    </row>
    <row r="6285">
      <c r="A6285" s="198" t="inlineStr">
        <is>
          <t>custom.trilha.nivel.10.nome</t>
        </is>
      </c>
      <c r="B6285" s="198">
        <f>""</f>
        <v/>
      </c>
      <c r="C6285" s="198" t="inlineStr"/>
      <c r="D6285" s="198" t="inlineStr">
        <is>
          <t>configuração</t>
        </is>
      </c>
    </row>
    <row r="6286">
      <c r="A6286" s="198" t="inlineStr">
        <is>
          <t>custom.trilha.nivel.10.texto</t>
        </is>
      </c>
      <c r="B6286" s="198">
        <f>""</f>
        <v/>
      </c>
      <c r="C6286" s="198" t="inlineStr"/>
      <c r="D6286" s="198" t="inlineStr">
        <is>
          <t>configuração</t>
        </is>
      </c>
    </row>
    <row r="6287">
      <c r="A6287" s="198" t="inlineStr">
        <is>
          <t>custom.trilha.nivel.11.nome</t>
        </is>
      </c>
      <c r="B6287" s="198">
        <f>IF(ISBLANK('CONFIGURAÇÃO'!$AT$53),"",'CONFIGURAÇÃO'!$AT$53&amp;"")</f>
        <v/>
      </c>
      <c r="C6287" s="198">
        <f>"'CONFIGURAÇÃO'!AT53"</f>
        <v/>
      </c>
      <c r="D6287" s="198" t="inlineStr">
        <is>
          <t>configuração</t>
        </is>
      </c>
    </row>
    <row r="6288">
      <c r="A6288" s="198" t="inlineStr">
        <is>
          <t>custom.trilha.nivel.11.texto</t>
        </is>
      </c>
      <c r="B6288" s="198">
        <f>IF(ISBLANK('CONFIGURAÇÃO'!$AS$54),"",'CONFIGURAÇÃO'!$AS$54&amp;"")</f>
        <v/>
      </c>
      <c r="C6288" s="198">
        <f>"'CONFIGURAÇÃO'!AS54"</f>
        <v/>
      </c>
      <c r="D6288" s="198" t="inlineStr">
        <is>
          <t>configuração</t>
        </is>
      </c>
    </row>
    <row r="6289">
      <c r="A6289" s="198" t="inlineStr">
        <is>
          <t>custom.trilha.nivel.12.nome</t>
        </is>
      </c>
      <c r="B6289" s="198">
        <f>""</f>
        <v/>
      </c>
      <c r="C6289" s="198" t="inlineStr"/>
      <c r="D6289" s="198" t="inlineStr">
        <is>
          <t>configuração</t>
        </is>
      </c>
    </row>
    <row r="6290">
      <c r="A6290" s="198" t="inlineStr">
        <is>
          <t>custom.trilha.nivel.12.texto</t>
        </is>
      </c>
      <c r="B6290" s="198">
        <f>""</f>
        <v/>
      </c>
      <c r="C6290" s="198" t="inlineStr"/>
      <c r="D6290" s="198" t="inlineStr">
        <is>
          <t>configuração</t>
        </is>
      </c>
    </row>
    <row r="6291">
      <c r="A6291" s="198" t="inlineStr">
        <is>
          <t>custom.trilha.nivel.13.nome</t>
        </is>
      </c>
      <c r="B6291" s="198">
        <f>""</f>
        <v/>
      </c>
      <c r="C6291" s="198" t="inlineStr"/>
      <c r="D6291" s="198" t="inlineStr">
        <is>
          <t>configuração</t>
        </is>
      </c>
    </row>
    <row r="6292">
      <c r="A6292" s="198" t="inlineStr">
        <is>
          <t>custom.trilha.nivel.13.texto</t>
        </is>
      </c>
      <c r="B6292" s="198">
        <f>""</f>
        <v/>
      </c>
      <c r="C6292" s="198" t="inlineStr"/>
      <c r="D6292" s="198" t="inlineStr">
        <is>
          <t>configuração</t>
        </is>
      </c>
    </row>
    <row r="6293">
      <c r="A6293" s="198" t="inlineStr">
        <is>
          <t>custom.trilha.nivel.14.nome</t>
        </is>
      </c>
      <c r="B6293" s="198">
        <f>""</f>
        <v/>
      </c>
      <c r="C6293" s="198" t="inlineStr"/>
      <c r="D6293" s="198" t="inlineStr">
        <is>
          <t>configuração</t>
        </is>
      </c>
    </row>
    <row r="6294">
      <c r="A6294" s="198" t="inlineStr">
        <is>
          <t>custom.trilha.nivel.14.texto</t>
        </is>
      </c>
      <c r="B6294" s="198">
        <f>""</f>
        <v/>
      </c>
      <c r="C6294" s="198" t="inlineStr"/>
      <c r="D6294" s="198" t="inlineStr">
        <is>
          <t>configuração</t>
        </is>
      </c>
    </row>
    <row r="6295">
      <c r="A6295" s="198" t="inlineStr">
        <is>
          <t>custom.trilha.nivel.15.nome</t>
        </is>
      </c>
      <c r="B6295" s="198">
        <f>""</f>
        <v/>
      </c>
      <c r="C6295" s="198" t="inlineStr"/>
      <c r="D6295" s="198" t="inlineStr">
        <is>
          <t>configuração</t>
        </is>
      </c>
    </row>
    <row r="6296">
      <c r="A6296" s="198" t="inlineStr">
        <is>
          <t>custom.trilha.nivel.15.texto</t>
        </is>
      </c>
      <c r="B6296" s="198">
        <f>""</f>
        <v/>
      </c>
      <c r="C6296" s="198" t="inlineStr"/>
      <c r="D6296" s="198" t="inlineStr">
        <is>
          <t>configuração</t>
        </is>
      </c>
    </row>
    <row r="6297">
      <c r="A6297" s="198" t="inlineStr">
        <is>
          <t>custom.trilha.nivel.16.nome</t>
        </is>
      </c>
      <c r="B6297" s="198">
        <f>""</f>
        <v/>
      </c>
      <c r="C6297" s="198" t="inlineStr"/>
      <c r="D6297" s="198" t="inlineStr">
        <is>
          <t>configuração</t>
        </is>
      </c>
    </row>
    <row r="6298">
      <c r="A6298" s="198" t="inlineStr">
        <is>
          <t>custom.trilha.nivel.16.texto</t>
        </is>
      </c>
      <c r="B6298" s="198">
        <f>""</f>
        <v/>
      </c>
      <c r="C6298" s="198" t="inlineStr"/>
      <c r="D6298" s="198" t="inlineStr">
        <is>
          <t>configuração</t>
        </is>
      </c>
    </row>
    <row r="6299">
      <c r="A6299" s="198" t="inlineStr">
        <is>
          <t>custom.trilha.nivel.17.nome</t>
        </is>
      </c>
      <c r="B6299" s="198">
        <f>""</f>
        <v/>
      </c>
      <c r="C6299" s="198" t="inlineStr"/>
      <c r="D6299" s="198" t="inlineStr">
        <is>
          <t>configuração</t>
        </is>
      </c>
    </row>
    <row r="6300">
      <c r="A6300" s="198" t="inlineStr">
        <is>
          <t>custom.trilha.nivel.17.texto</t>
        </is>
      </c>
      <c r="B6300" s="198">
        <f>""</f>
        <v/>
      </c>
      <c r="C6300" s="198" t="inlineStr"/>
      <c r="D6300" s="198" t="inlineStr">
        <is>
          <t>configuração</t>
        </is>
      </c>
    </row>
    <row r="6301">
      <c r="A6301" s="198" t="inlineStr">
        <is>
          <t>custom.trilha.nivel.18.nome</t>
        </is>
      </c>
      <c r="B6301" s="198">
        <f>""</f>
        <v/>
      </c>
      <c r="C6301" s="198" t="inlineStr"/>
      <c r="D6301" s="198" t="inlineStr">
        <is>
          <t>configuração</t>
        </is>
      </c>
    </row>
    <row r="6302">
      <c r="A6302" s="198" t="inlineStr">
        <is>
          <t>custom.trilha.nivel.18.texto</t>
        </is>
      </c>
      <c r="B6302" s="198">
        <f>""</f>
        <v/>
      </c>
      <c r="C6302" s="198" t="inlineStr"/>
      <c r="D6302" s="198" t="inlineStr">
        <is>
          <t>configuração</t>
        </is>
      </c>
    </row>
    <row r="6303">
      <c r="A6303" s="198" t="inlineStr">
        <is>
          <t>custom.trilha.nivel.19.nome</t>
        </is>
      </c>
      <c r="B6303" s="198">
        <f>IF(ISBLANK('CONFIGURAÇÃO'!$AT$56),"",'CONFIGURAÇÃO'!$AT$56&amp;"")</f>
        <v/>
      </c>
      <c r="C6303" s="198">
        <f>"'CONFIGURAÇÃO'!AT56"</f>
        <v/>
      </c>
      <c r="D6303" s="198" t="inlineStr">
        <is>
          <t>configuração</t>
        </is>
      </c>
    </row>
    <row r="6304">
      <c r="A6304" s="198" t="inlineStr">
        <is>
          <t>custom.trilha.nivel.19.texto</t>
        </is>
      </c>
      <c r="B6304" s="198">
        <f>IF(ISBLANK('CONFIGURAÇÃO'!$AS$57),"",'CONFIGURAÇÃO'!$AS$57&amp;"")</f>
        <v/>
      </c>
      <c r="C6304" s="198">
        <f>"'CONFIGURAÇÃO'!AS57"</f>
        <v/>
      </c>
      <c r="D6304" s="198" t="inlineStr">
        <is>
          <t>configuração</t>
        </is>
      </c>
    </row>
    <row r="6305">
      <c r="A6305" s="198" t="inlineStr">
        <is>
          <t>custom.trilha.nivel.20.nome</t>
        </is>
      </c>
      <c r="B6305" s="198">
        <f>""</f>
        <v/>
      </c>
      <c r="C6305" s="198" t="inlineStr"/>
      <c r="D6305" s="198" t="inlineStr">
        <is>
          <t>configuração</t>
        </is>
      </c>
    </row>
    <row r="6306">
      <c r="A6306" s="198" t="inlineStr">
        <is>
          <t>custom.trilha.nivel.20.texto</t>
        </is>
      </c>
      <c r="B6306" s="198">
        <f>""</f>
        <v/>
      </c>
      <c r="C6306" s="198" t="inlineStr"/>
      <c r="D6306" s="198" t="inlineStr">
        <is>
          <t>configuração</t>
        </is>
      </c>
    </row>
    <row r="6307">
      <c r="A6307" s="198" t="inlineStr">
        <is>
          <t>custom.trilha.nivel.21.nome</t>
        </is>
      </c>
      <c r="B6307" s="198">
        <f>""</f>
        <v/>
      </c>
      <c r="C6307" s="198" t="inlineStr"/>
      <c r="D6307" s="198" t="inlineStr">
        <is>
          <t>configuração</t>
        </is>
      </c>
    </row>
    <row r="6308">
      <c r="A6308" s="198" t="inlineStr">
        <is>
          <t>custom.trilha.nivel.21.texto</t>
        </is>
      </c>
      <c r="B6308" s="198">
        <f>""</f>
        <v/>
      </c>
      <c r="C6308" s="198" t="inlineStr"/>
      <c r="D6308" s="198" t="inlineStr">
        <is>
          <t>configuração</t>
        </is>
      </c>
    </row>
    <row r="6309">
      <c r="A6309" s="198" t="inlineStr">
        <is>
          <t>custom.trilha.nivel.22.nome</t>
        </is>
      </c>
      <c r="B6309" s="198">
        <f>""</f>
        <v/>
      </c>
      <c r="C6309" s="198" t="inlineStr"/>
      <c r="D6309" s="198" t="inlineStr">
        <is>
          <t>configuração</t>
        </is>
      </c>
    </row>
    <row r="6310">
      <c r="A6310" s="198" t="inlineStr">
        <is>
          <t>custom.trilha.nivel.22.texto</t>
        </is>
      </c>
      <c r="B6310" s="198">
        <f>""</f>
        <v/>
      </c>
      <c r="C6310" s="198" t="inlineStr"/>
      <c r="D6310" s="198" t="inlineStr">
        <is>
          <t>configuração</t>
        </is>
      </c>
    </row>
    <row r="6311">
      <c r="A6311" s="198" t="inlineStr">
        <is>
          <t>custom.trilha.nivel.23.nome</t>
        </is>
      </c>
      <c r="B6311" s="198">
        <f>""</f>
        <v/>
      </c>
      <c r="C6311" s="198" t="inlineStr"/>
      <c r="D6311" s="198" t="inlineStr">
        <is>
          <t>configuração</t>
        </is>
      </c>
    </row>
    <row r="6312">
      <c r="A6312" s="198" t="inlineStr">
        <is>
          <t>custom.trilha.nivel.23.texto</t>
        </is>
      </c>
      <c r="B6312" s="198">
        <f>""</f>
        <v/>
      </c>
      <c r="C6312" s="198" t="inlineStr"/>
      <c r="D6312" s="198" t="inlineStr">
        <is>
          <t>configuração</t>
        </is>
      </c>
    </row>
    <row r="6313">
      <c r="A6313" s="198" t="inlineStr">
        <is>
          <t>custom.trilha.nivel.24.nome</t>
        </is>
      </c>
      <c r="B6313" s="198">
        <f>""</f>
        <v/>
      </c>
      <c r="C6313" s="198" t="inlineStr"/>
      <c r="D6313" s="198" t="inlineStr">
        <is>
          <t>configuração</t>
        </is>
      </c>
    </row>
    <row r="6314">
      <c r="A6314" s="198" t="inlineStr">
        <is>
          <t>custom.trilha.nivel.24.texto</t>
        </is>
      </c>
      <c r="B6314" s="198">
        <f>""</f>
        <v/>
      </c>
      <c r="C6314" s="198" t="inlineStr"/>
      <c r="D6314" s="198" t="inlineStr">
        <is>
          <t>configuração</t>
        </is>
      </c>
    </row>
    <row r="6315">
      <c r="A6315" s="198" t="inlineStr">
        <is>
          <t>custom.trilha.nivel.25.nome</t>
        </is>
      </c>
      <c r="B6315" s="198">
        <f>""</f>
        <v/>
      </c>
      <c r="C6315" s="198" t="inlineStr"/>
      <c r="D6315" s="198" t="inlineStr">
        <is>
          <t>configuração</t>
        </is>
      </c>
    </row>
    <row r="6316">
      <c r="A6316" s="198" t="inlineStr">
        <is>
          <t>custom.trilha.nivel.25.texto</t>
        </is>
      </c>
      <c r="B6316" s="198">
        <f>""</f>
        <v/>
      </c>
      <c r="C6316" s="198" t="inlineStr"/>
      <c r="D6316" s="198" t="inlineStr">
        <is>
          <t>configuração</t>
        </is>
      </c>
    </row>
    <row r="6317">
      <c r="A6317" s="198" t="inlineStr">
        <is>
          <t>custom.trilha.nivel.26.nome</t>
        </is>
      </c>
      <c r="B6317" s="198">
        <f>""</f>
        <v/>
      </c>
      <c r="C6317" s="198" t="inlineStr"/>
      <c r="D6317" s="198" t="inlineStr">
        <is>
          <t>configuração</t>
        </is>
      </c>
    </row>
    <row r="6318">
      <c r="A6318" s="198" t="inlineStr">
        <is>
          <t>custom.trilha.nivel.26.texto</t>
        </is>
      </c>
      <c r="B6318" s="198">
        <f>""</f>
        <v/>
      </c>
      <c r="C6318" s="198" t="inlineStr"/>
      <c r="D6318" s="198" t="inlineStr">
        <is>
          <t>configuração</t>
        </is>
      </c>
    </row>
    <row r="6319">
      <c r="A6319" s="198" t="inlineStr">
        <is>
          <t>custom.trilha.nivel.27.nome</t>
        </is>
      </c>
      <c r="B6319" s="198">
        <f>IF(ISBLANK('CONFIGURAÇÃO'!$AT$59),"",'CONFIGURAÇÃO'!$AT$59&amp;"")</f>
        <v/>
      </c>
      <c r="C6319" s="198">
        <f>"'CONFIGURAÇÃO'!AT59"</f>
        <v/>
      </c>
      <c r="D6319" s="198" t="inlineStr">
        <is>
          <t>configuração</t>
        </is>
      </c>
    </row>
    <row r="6320">
      <c r="A6320" s="198" t="inlineStr">
        <is>
          <t>custom.trilha.nivel.27.texto</t>
        </is>
      </c>
      <c r="B6320" s="198">
        <f>IF(ISBLANK('CONFIGURAÇÃO'!$AS$60),"",'CONFIGURAÇÃO'!$AS$60&amp;"")</f>
        <v/>
      </c>
      <c r="C6320" s="198">
        <f>"'CONFIGURAÇÃO'!AS60"</f>
        <v/>
      </c>
      <c r="D6320" s="198" t="inlineStr">
        <is>
          <t>configuração</t>
        </is>
      </c>
    </row>
    <row r="6321">
      <c r="A6321" s="198" t="inlineStr">
        <is>
          <t>custom.trilha.nivel.28.nome</t>
        </is>
      </c>
      <c r="B6321" s="198">
        <f>""</f>
        <v/>
      </c>
      <c r="C6321" s="198" t="inlineStr"/>
      <c r="D6321" s="198" t="inlineStr">
        <is>
          <t>configuração</t>
        </is>
      </c>
    </row>
    <row r="6322">
      <c r="A6322" s="198" t="inlineStr">
        <is>
          <t>custom.trilha.nivel.28.texto</t>
        </is>
      </c>
      <c r="B6322" s="198">
        <f>""</f>
        <v/>
      </c>
      <c r="C6322" s="198" t="inlineStr"/>
      <c r="D6322" s="198" t="inlineStr">
        <is>
          <t>configuração</t>
        </is>
      </c>
    </row>
    <row r="6323">
      <c r="A6323" s="198" t="inlineStr">
        <is>
          <t>custom.trilha.nivel.29.nome</t>
        </is>
      </c>
      <c r="B6323" s="198">
        <f>""</f>
        <v/>
      </c>
      <c r="C6323" s="198" t="inlineStr"/>
      <c r="D6323" s="198" t="inlineStr">
        <is>
          <t>configuração</t>
        </is>
      </c>
    </row>
    <row r="6324">
      <c r="A6324" s="198" t="inlineStr">
        <is>
          <t>custom.trilha.nivel.29.texto</t>
        </is>
      </c>
      <c r="B6324" s="198">
        <f>""</f>
        <v/>
      </c>
      <c r="C6324" s="198" t="inlineStr"/>
      <c r="D6324" s="198" t="inlineStr">
        <is>
          <t>configuração</t>
        </is>
      </c>
    </row>
    <row r="6325">
      <c r="A6325" s="198" t="inlineStr">
        <is>
          <t>custom.trilha.nivel.30.nome</t>
        </is>
      </c>
      <c r="B6325" s="198">
        <f>""</f>
        <v/>
      </c>
      <c r="C6325" s="198" t="inlineStr"/>
      <c r="D6325" s="198" t="inlineStr">
        <is>
          <t>configuração</t>
        </is>
      </c>
    </row>
    <row r="6326">
      <c r="A6326" s="198" t="inlineStr">
        <is>
          <t>custom.trilha.nivel.30.texto</t>
        </is>
      </c>
      <c r="B6326" s="198">
        <f>""</f>
        <v/>
      </c>
      <c r="C6326" s="198" t="inlineStr"/>
      <c r="D6326" s="198" t="inlineStr">
        <is>
          <t>configuração</t>
        </is>
      </c>
    </row>
    <row r="6327">
      <c r="A6327" s="198" t="inlineStr">
        <is>
          <t>custom.pericia.1.tipo</t>
        </is>
      </c>
      <c r="B6327" s="198">
        <f>IF(ISBLANK('CONFIGURAÇÃO'!$BB$11),"",'CONFIGURAÇÃO'!$BB$11&amp;"")</f>
        <v/>
      </c>
      <c r="C6327" s="198">
        <f>"'CONFIGURAÇÃO'!BB11"</f>
        <v/>
      </c>
      <c r="D6327" s="198" t="inlineStr">
        <is>
          <t>configuração</t>
        </is>
      </c>
    </row>
    <row r="6328">
      <c r="A6328" s="198" t="inlineStr">
        <is>
          <t>custom.pericia.1.nome</t>
        </is>
      </c>
      <c r="B6328" s="198">
        <f>IF(ISBLANK('CONFIGURAÇÃO'!$BB$13),"",'CONFIGURAÇÃO'!$BB$13&amp;"")</f>
        <v/>
      </c>
      <c r="C6328" s="198">
        <f>"'CONFIGURAÇÃO'!BB13"</f>
        <v/>
      </c>
      <c r="D6328" s="198" t="inlineStr">
        <is>
          <t>configuração</t>
        </is>
      </c>
    </row>
    <row r="6329">
      <c r="A6329" s="198" t="inlineStr">
        <is>
          <t>custom.pericia.1.mestre_viu</t>
        </is>
      </c>
      <c r="B6329" s="198">
        <f>N('CONFIGURAÇÃO'!$BF$11)&amp;""</f>
        <v/>
      </c>
      <c r="C6329" s="198">
        <f>"'CONFIGURAÇÃO'!BF11"</f>
        <v/>
      </c>
      <c r="D6329" s="198" t="inlineStr">
        <is>
          <t>configuração</t>
        </is>
      </c>
    </row>
    <row r="6330">
      <c r="A6330" s="198" t="inlineStr">
        <is>
          <t>custom.pericia.1.atributo</t>
        </is>
      </c>
      <c r="B6330" s="198">
        <f>IF(ISBLANK('CONFIGURAÇÃO'!$BE$14),"",'CONFIGURAÇÃO'!$BE$14&amp;"")</f>
        <v/>
      </c>
      <c r="C6330" s="198">
        <f>"'CONFIGURAÇÃO'!BE14"</f>
        <v/>
      </c>
      <c r="D6330" s="198" t="inlineStr">
        <is>
          <t>configuração</t>
        </is>
      </c>
    </row>
    <row r="6331">
      <c r="A6331" s="198" t="inlineStr">
        <is>
          <t>custom.pericia.1.efeito</t>
        </is>
      </c>
      <c r="B6331" s="198">
        <f>IF(ISBLANK('CONFIGURAÇÃO'!$BB$16),"",'CONFIGURAÇÃO'!$BB$16&amp;"")</f>
        <v/>
      </c>
      <c r="C6331" s="198">
        <f>"'CONFIGURAÇÃO'!BB16"</f>
        <v/>
      </c>
      <c r="D6331" s="198" t="inlineStr">
        <is>
          <t>configuração</t>
        </is>
      </c>
    </row>
    <row r="6332">
      <c r="A6332" s="198" t="inlineStr">
        <is>
          <t>custom.pericia.2.tipo</t>
        </is>
      </c>
      <c r="B6332" s="198">
        <f>IF(ISBLANK('CONFIGURAÇÃO'!$BJ$11),"",'CONFIGURAÇÃO'!$BJ$11&amp;"")</f>
        <v/>
      </c>
      <c r="C6332" s="198">
        <f>"'CONFIGURAÇÃO'!BJ11"</f>
        <v/>
      </c>
      <c r="D6332" s="198" t="inlineStr">
        <is>
          <t>configuração</t>
        </is>
      </c>
    </row>
    <row r="6333">
      <c r="A6333" s="198" t="inlineStr">
        <is>
          <t>custom.pericia.2.nome</t>
        </is>
      </c>
      <c r="B6333" s="198">
        <f>IF(ISBLANK('CONFIGURAÇÃO'!$BJ$13),"",'CONFIGURAÇÃO'!$BJ$13&amp;"")</f>
        <v/>
      </c>
      <c r="C6333" s="198">
        <f>"'CONFIGURAÇÃO'!BJ13"</f>
        <v/>
      </c>
      <c r="D6333" s="198" t="inlineStr">
        <is>
          <t>configuração</t>
        </is>
      </c>
    </row>
    <row r="6334">
      <c r="A6334" s="198" t="inlineStr">
        <is>
          <t>custom.pericia.2.mestre_viu</t>
        </is>
      </c>
      <c r="B6334" s="198">
        <f>N('CONFIGURAÇÃO'!$BN$11)&amp;""</f>
        <v/>
      </c>
      <c r="C6334" s="198">
        <f>"'CONFIGURAÇÃO'!BN11"</f>
        <v/>
      </c>
      <c r="D6334" s="198" t="inlineStr">
        <is>
          <t>configuração</t>
        </is>
      </c>
    </row>
    <row r="6335">
      <c r="A6335" s="198" t="inlineStr">
        <is>
          <t>custom.pericia.2.atributo</t>
        </is>
      </c>
      <c r="B6335" s="198">
        <f>IF(ISBLANK('CONFIGURAÇÃO'!$BM$14),"",'CONFIGURAÇÃO'!$BM$14&amp;"")</f>
        <v/>
      </c>
      <c r="C6335" s="198">
        <f>"'CONFIGURAÇÃO'!BM14"</f>
        <v/>
      </c>
      <c r="D6335" s="198" t="inlineStr">
        <is>
          <t>configuração</t>
        </is>
      </c>
    </row>
    <row r="6336">
      <c r="A6336" s="198" t="inlineStr">
        <is>
          <t>custom.pericia.2.efeito</t>
        </is>
      </c>
      <c r="B6336" s="198">
        <f>IF(ISBLANK('CONFIGURAÇÃO'!$BJ$16),"",'CONFIGURAÇÃO'!$BJ$16&amp;"")</f>
        <v/>
      </c>
      <c r="C6336" s="198">
        <f>"'CONFIGURAÇÃO'!BJ16"</f>
        <v/>
      </c>
      <c r="D6336" s="198" t="inlineStr">
        <is>
          <t>configuração</t>
        </is>
      </c>
    </row>
    <row r="6337">
      <c r="A6337" s="198" t="inlineStr">
        <is>
          <t>custom.pericia.3.tipo</t>
        </is>
      </c>
      <c r="B6337" s="198">
        <f>IF(ISBLANK('CONFIGURAÇÃO'!$BB$25),"",'CONFIGURAÇÃO'!$BB$25&amp;"")</f>
        <v/>
      </c>
      <c r="C6337" s="198">
        <f>"'CONFIGURAÇÃO'!BB25"</f>
        <v/>
      </c>
      <c r="D6337" s="198" t="inlineStr">
        <is>
          <t>configuração</t>
        </is>
      </c>
    </row>
    <row r="6338">
      <c r="A6338" s="198" t="inlineStr">
        <is>
          <t>custom.pericia.3.nome</t>
        </is>
      </c>
      <c r="B6338" s="198">
        <f>IF(ISBLANK('CONFIGURAÇÃO'!$BB$27),"",'CONFIGURAÇÃO'!$BB$27&amp;"")</f>
        <v/>
      </c>
      <c r="C6338" s="198">
        <f>"'CONFIGURAÇÃO'!BB27"</f>
        <v/>
      </c>
      <c r="D6338" s="198" t="inlineStr">
        <is>
          <t>configuração</t>
        </is>
      </c>
    </row>
    <row r="6339">
      <c r="A6339" s="198" t="inlineStr">
        <is>
          <t>custom.pericia.3.mestre_viu</t>
        </is>
      </c>
      <c r="B6339" s="198">
        <f>N('CONFIGURAÇÃO'!$BF$25)&amp;""</f>
        <v/>
      </c>
      <c r="C6339" s="198">
        <f>"'CONFIGURAÇÃO'!BF25"</f>
        <v/>
      </c>
      <c r="D6339" s="198" t="inlineStr">
        <is>
          <t>configuração</t>
        </is>
      </c>
    </row>
    <row r="6340">
      <c r="A6340" s="198" t="inlineStr">
        <is>
          <t>custom.pericia.3.atributo</t>
        </is>
      </c>
      <c r="B6340" s="198">
        <f>IF(ISBLANK('CONFIGURAÇÃO'!$BE$28),"",'CONFIGURAÇÃO'!$BE$28&amp;"")</f>
        <v/>
      </c>
      <c r="C6340" s="198">
        <f>"'CONFIGURAÇÃO'!BE28"</f>
        <v/>
      </c>
      <c r="D6340" s="198" t="inlineStr">
        <is>
          <t>configuração</t>
        </is>
      </c>
    </row>
    <row r="6341">
      <c r="A6341" s="198" t="inlineStr">
        <is>
          <t>custom.pericia.3.efeito</t>
        </is>
      </c>
      <c r="B6341" s="198">
        <f>IF(ISBLANK('CONFIGURAÇÃO'!$BB$30),"",'CONFIGURAÇÃO'!$BB$30&amp;"")</f>
        <v/>
      </c>
      <c r="C6341" s="198">
        <f>"'CONFIGURAÇÃO'!BB30"</f>
        <v/>
      </c>
      <c r="D6341" s="198" t="inlineStr">
        <is>
          <t>configuração</t>
        </is>
      </c>
    </row>
    <row r="6342">
      <c r="A6342" s="198" t="inlineStr">
        <is>
          <t>custom.pericia.4.tipo</t>
        </is>
      </c>
      <c r="B6342" s="198">
        <f>IF(ISBLANK('CONFIGURAÇÃO'!$BJ$25),"",'CONFIGURAÇÃO'!$BJ$25&amp;"")</f>
        <v/>
      </c>
      <c r="C6342" s="198">
        <f>"'CONFIGURAÇÃO'!BJ25"</f>
        <v/>
      </c>
      <c r="D6342" s="198" t="inlineStr">
        <is>
          <t>configuração</t>
        </is>
      </c>
    </row>
    <row r="6343">
      <c r="A6343" s="198" t="inlineStr">
        <is>
          <t>custom.pericia.4.nome</t>
        </is>
      </c>
      <c r="B6343" s="198">
        <f>IF(ISBLANK('CONFIGURAÇÃO'!$BJ$27),"",'CONFIGURAÇÃO'!$BJ$27&amp;"")</f>
        <v/>
      </c>
      <c r="C6343" s="198">
        <f>"'CONFIGURAÇÃO'!BJ27"</f>
        <v/>
      </c>
      <c r="D6343" s="198" t="inlineStr">
        <is>
          <t>configuração</t>
        </is>
      </c>
    </row>
    <row r="6344">
      <c r="A6344" s="198" t="inlineStr">
        <is>
          <t>custom.pericia.4.mestre_viu</t>
        </is>
      </c>
      <c r="B6344" s="198">
        <f>N('CONFIGURAÇÃO'!$BN$25)&amp;""</f>
        <v/>
      </c>
      <c r="C6344" s="198">
        <f>"'CONFIGURAÇÃO'!BN25"</f>
        <v/>
      </c>
      <c r="D6344" s="198" t="inlineStr">
        <is>
          <t>configuração</t>
        </is>
      </c>
    </row>
    <row r="6345">
      <c r="A6345" s="198" t="inlineStr">
        <is>
          <t>custom.pericia.4.atributo</t>
        </is>
      </c>
      <c r="B6345" s="198">
        <f>IF(ISBLANK('CONFIGURAÇÃO'!$BM$28),"",'CONFIGURAÇÃO'!$BM$28&amp;"")</f>
        <v/>
      </c>
      <c r="C6345" s="198">
        <f>"'CONFIGURAÇÃO'!BM28"</f>
        <v/>
      </c>
      <c r="D6345" s="198" t="inlineStr">
        <is>
          <t>configuração</t>
        </is>
      </c>
    </row>
    <row r="6346">
      <c r="A6346" s="198" t="inlineStr">
        <is>
          <t>custom.pericia.4.efeito</t>
        </is>
      </c>
      <c r="B6346" s="198">
        <f>IF(ISBLANK('CONFIGURAÇÃO'!$BJ$30),"",'CONFIGURAÇÃO'!$BJ$30&amp;"")</f>
        <v/>
      </c>
      <c r="C6346" s="198">
        <f>"'CONFIGURAÇÃO'!BJ30"</f>
        <v/>
      </c>
      <c r="D6346" s="198" t="inlineStr">
        <is>
          <t>configuração</t>
        </is>
      </c>
    </row>
    <row r="6347">
      <c r="A6347" s="198" t="inlineStr">
        <is>
          <t>custom.pericia.5.tipo</t>
        </is>
      </c>
      <c r="B6347" s="198">
        <f>IF(ISBLANK('CONFIGURAÇÃO'!$BB$39),"",'CONFIGURAÇÃO'!$BB$39&amp;"")</f>
        <v/>
      </c>
      <c r="C6347" s="198">
        <f>"'CONFIGURAÇÃO'!BB39"</f>
        <v/>
      </c>
      <c r="D6347" s="198" t="inlineStr">
        <is>
          <t>configuração</t>
        </is>
      </c>
    </row>
    <row r="6348">
      <c r="A6348" s="198" t="inlineStr">
        <is>
          <t>custom.pericia.5.nome</t>
        </is>
      </c>
      <c r="B6348" s="198">
        <f>IF(ISBLANK('CONFIGURAÇÃO'!$BB$41),"",'CONFIGURAÇÃO'!$BB$41&amp;"")</f>
        <v/>
      </c>
      <c r="C6348" s="198">
        <f>"'CONFIGURAÇÃO'!BB41"</f>
        <v/>
      </c>
      <c r="D6348" s="198" t="inlineStr">
        <is>
          <t>configuração</t>
        </is>
      </c>
    </row>
    <row r="6349">
      <c r="A6349" s="198" t="inlineStr">
        <is>
          <t>custom.pericia.5.mestre_viu</t>
        </is>
      </c>
      <c r="B6349" s="198">
        <f>N('CONFIGURAÇÃO'!$BF$39)&amp;""</f>
        <v/>
      </c>
      <c r="C6349" s="198">
        <f>"'CONFIGURAÇÃO'!BF39"</f>
        <v/>
      </c>
      <c r="D6349" s="198" t="inlineStr">
        <is>
          <t>configuração</t>
        </is>
      </c>
    </row>
    <row r="6350">
      <c r="A6350" s="198" t="inlineStr">
        <is>
          <t>custom.pericia.5.atributo</t>
        </is>
      </c>
      <c r="B6350" s="198">
        <f>IF(ISBLANK('CONFIGURAÇÃO'!$BE$42),"",'CONFIGURAÇÃO'!$BE$42&amp;"")</f>
        <v/>
      </c>
      <c r="C6350" s="198">
        <f>"'CONFIGURAÇÃO'!BE42"</f>
        <v/>
      </c>
      <c r="D6350" s="198" t="inlineStr">
        <is>
          <t>configuração</t>
        </is>
      </c>
    </row>
    <row r="6351">
      <c r="A6351" s="198" t="inlineStr">
        <is>
          <t>custom.pericia.5.efeito</t>
        </is>
      </c>
      <c r="B6351" s="198">
        <f>IF(ISBLANK('CONFIGURAÇÃO'!$BB$44),"",'CONFIGURAÇÃO'!$BB$44&amp;"")</f>
        <v/>
      </c>
      <c r="C6351" s="198">
        <f>"'CONFIGURAÇÃO'!BB44"</f>
        <v/>
      </c>
      <c r="D6351" s="198" t="inlineStr">
        <is>
          <t>configuração</t>
        </is>
      </c>
    </row>
    <row r="6352">
      <c r="A6352" s="198" t="inlineStr">
        <is>
          <t>custom.pericia.6.tipo</t>
        </is>
      </c>
      <c r="B6352" s="198">
        <f>IF(ISBLANK('CONFIGURAÇÃO'!$BJ$39),"",'CONFIGURAÇÃO'!$BJ$39&amp;"")</f>
        <v/>
      </c>
      <c r="C6352" s="198">
        <f>"'CONFIGURAÇÃO'!BJ39"</f>
        <v/>
      </c>
      <c r="D6352" s="198" t="inlineStr">
        <is>
          <t>configuração</t>
        </is>
      </c>
    </row>
    <row r="6353">
      <c r="A6353" s="198" t="inlineStr">
        <is>
          <t>custom.pericia.6.nome</t>
        </is>
      </c>
      <c r="B6353" s="198">
        <f>IF(ISBLANK('CONFIGURAÇÃO'!$BJ$41),"",'CONFIGURAÇÃO'!$BJ$41&amp;"")</f>
        <v/>
      </c>
      <c r="C6353" s="198">
        <f>"'CONFIGURAÇÃO'!BJ41"</f>
        <v/>
      </c>
      <c r="D6353" s="198" t="inlineStr">
        <is>
          <t>configuração</t>
        </is>
      </c>
    </row>
    <row r="6354">
      <c r="A6354" s="198" t="inlineStr">
        <is>
          <t>custom.pericia.6.mestre_viu</t>
        </is>
      </c>
      <c r="B6354" s="198">
        <f>N('CONFIGURAÇÃO'!$BN$39)&amp;""</f>
        <v/>
      </c>
      <c r="C6354" s="198">
        <f>"'CONFIGURAÇÃO'!BN39"</f>
        <v/>
      </c>
      <c r="D6354" s="198" t="inlineStr">
        <is>
          <t>configuração</t>
        </is>
      </c>
    </row>
    <row r="6355">
      <c r="A6355" s="198" t="inlineStr">
        <is>
          <t>custom.pericia.6.atributo</t>
        </is>
      </c>
      <c r="B6355" s="198">
        <f>IF(ISBLANK('CONFIGURAÇÃO'!$BM$42),"",'CONFIGURAÇÃO'!$BM$42&amp;"")</f>
        <v/>
      </c>
      <c r="C6355" s="198">
        <f>"'CONFIGURAÇÃO'!BM42"</f>
        <v/>
      </c>
      <c r="D6355" s="198" t="inlineStr">
        <is>
          <t>configuração</t>
        </is>
      </c>
    </row>
    <row r="6356">
      <c r="A6356" s="198" t="inlineStr">
        <is>
          <t>custom.pericia.6.efeito</t>
        </is>
      </c>
      <c r="B6356" s="198">
        <f>IF(ISBLANK('CONFIGURAÇÃO'!$BJ$44),"",'CONFIGURAÇÃO'!$BJ$44&amp;"")</f>
        <v/>
      </c>
      <c r="C6356" s="198">
        <f>"'CONFIGURAÇÃO'!BJ44"</f>
        <v/>
      </c>
      <c r="D6356" s="198" t="inlineStr">
        <is>
          <t>configuração</t>
        </is>
      </c>
    </row>
    <row r="6357">
      <c r="A6357" s="198" t="inlineStr">
        <is>
          <t>custom.pericia.7.tipo</t>
        </is>
      </c>
      <c r="B6357" s="198">
        <f>IF(ISBLANK('CONFIGURAÇÃO'!$BB$53),"",'CONFIGURAÇÃO'!$BB$53&amp;"")</f>
        <v/>
      </c>
      <c r="C6357" s="198">
        <f>"'CONFIGURAÇÃO'!BB53"</f>
        <v/>
      </c>
      <c r="D6357" s="198" t="inlineStr">
        <is>
          <t>configuração</t>
        </is>
      </c>
    </row>
    <row r="6358">
      <c r="A6358" s="198" t="inlineStr">
        <is>
          <t>custom.pericia.7.nome</t>
        </is>
      </c>
      <c r="B6358" s="198">
        <f>IF(ISBLANK('CONFIGURAÇÃO'!$BB$55),"",'CONFIGURAÇÃO'!$BB$55&amp;"")</f>
        <v/>
      </c>
      <c r="C6358" s="198">
        <f>"'CONFIGURAÇÃO'!BB55"</f>
        <v/>
      </c>
      <c r="D6358" s="198" t="inlineStr">
        <is>
          <t>configuração</t>
        </is>
      </c>
    </row>
    <row r="6359">
      <c r="A6359" s="198" t="inlineStr">
        <is>
          <t>custom.pericia.7.mestre_viu</t>
        </is>
      </c>
      <c r="B6359" s="198">
        <f>N('CONFIGURAÇÃO'!$BF$53)&amp;""</f>
        <v/>
      </c>
      <c r="C6359" s="198">
        <f>"'CONFIGURAÇÃO'!BF53"</f>
        <v/>
      </c>
      <c r="D6359" s="198" t="inlineStr">
        <is>
          <t>configuração</t>
        </is>
      </c>
    </row>
    <row r="6360">
      <c r="A6360" s="198" t="inlineStr">
        <is>
          <t>custom.pericia.7.atributo</t>
        </is>
      </c>
      <c r="B6360" s="198">
        <f>IF(ISBLANK('CONFIGURAÇÃO'!$BE$56),"",'CONFIGURAÇÃO'!$BE$56&amp;"")</f>
        <v/>
      </c>
      <c r="C6360" s="198">
        <f>"'CONFIGURAÇÃO'!BE56"</f>
        <v/>
      </c>
      <c r="D6360" s="198" t="inlineStr">
        <is>
          <t>configuração</t>
        </is>
      </c>
    </row>
    <row r="6361">
      <c r="A6361" s="198" t="inlineStr">
        <is>
          <t>custom.pericia.7.efeito</t>
        </is>
      </c>
      <c r="B6361" s="198">
        <f>IF(ISBLANK('CONFIGURAÇÃO'!$BB$58),"",'CONFIGURAÇÃO'!$BB$58&amp;"")</f>
        <v/>
      </c>
      <c r="C6361" s="198">
        <f>"'CONFIGURAÇÃO'!BB58"</f>
        <v/>
      </c>
      <c r="D6361" s="198" t="inlineStr">
        <is>
          <t>configuração</t>
        </is>
      </c>
    </row>
    <row r="6362">
      <c r="A6362" s="198" t="inlineStr">
        <is>
          <t>custom.pericia.8.tipo</t>
        </is>
      </c>
      <c r="B6362" s="198">
        <f>IF(ISBLANK('CONFIGURAÇÃO'!$BJ$53),"",'CONFIGURAÇÃO'!$BJ$53&amp;"")</f>
        <v/>
      </c>
      <c r="C6362" s="198">
        <f>"'CONFIGURAÇÃO'!BJ53"</f>
        <v/>
      </c>
      <c r="D6362" s="198" t="inlineStr">
        <is>
          <t>configuração</t>
        </is>
      </c>
    </row>
    <row r="6363">
      <c r="A6363" s="198" t="inlineStr">
        <is>
          <t>custom.pericia.8.nome</t>
        </is>
      </c>
      <c r="B6363" s="198">
        <f>IF(ISBLANK('CONFIGURAÇÃO'!$BJ$55),"",'CONFIGURAÇÃO'!$BJ$55&amp;"")</f>
        <v/>
      </c>
      <c r="C6363" s="198">
        <f>"'CONFIGURAÇÃO'!BJ55"</f>
        <v/>
      </c>
      <c r="D6363" s="198" t="inlineStr">
        <is>
          <t>configuração</t>
        </is>
      </c>
    </row>
    <row r="6364">
      <c r="A6364" s="198" t="inlineStr">
        <is>
          <t>custom.pericia.8.mestre_viu</t>
        </is>
      </c>
      <c r="B6364" s="198">
        <f>N('CONFIGURAÇÃO'!$BN$53)&amp;""</f>
        <v/>
      </c>
      <c r="C6364" s="198">
        <f>"'CONFIGURAÇÃO'!BN53"</f>
        <v/>
      </c>
      <c r="D6364" s="198" t="inlineStr">
        <is>
          <t>configuração</t>
        </is>
      </c>
    </row>
    <row r="6365">
      <c r="A6365" s="198" t="inlineStr">
        <is>
          <t>custom.pericia.8.atributo</t>
        </is>
      </c>
      <c r="B6365" s="198">
        <f>IF(ISBLANK('CONFIGURAÇÃO'!$BM$56),"",'CONFIGURAÇÃO'!$BM$56&amp;"")</f>
        <v/>
      </c>
      <c r="C6365" s="198">
        <f>"'CONFIGURAÇÃO'!BM56"</f>
        <v/>
      </c>
      <c r="D6365" s="198" t="inlineStr">
        <is>
          <t>configuração</t>
        </is>
      </c>
    </row>
    <row r="6366">
      <c r="A6366" s="198" t="inlineStr">
        <is>
          <t>custom.pericia.8.efeito</t>
        </is>
      </c>
      <c r="B6366" s="198">
        <f>IF(ISBLANK('CONFIGURAÇÃO'!$BJ$58),"",'CONFIGURAÇÃO'!$BJ$58&amp;"")</f>
        <v/>
      </c>
      <c r="C6366" s="198">
        <f>"'CONFIGURAÇÃO'!BJ58"</f>
        <v/>
      </c>
      <c r="D6366" s="198" t="inlineStr">
        <is>
          <t>configuração</t>
        </is>
      </c>
    </row>
    <row r="6367">
      <c r="A6367" s="198" t="inlineStr">
        <is>
          <t>custom.pericia.9.tipo</t>
        </is>
      </c>
      <c r="B6367" s="198">
        <f>IF(ISBLANK('CONFIGURAÇÃO'!$BB$67),"",'CONFIGURAÇÃO'!$BB$67&amp;"")</f>
        <v/>
      </c>
      <c r="C6367" s="198">
        <f>"'CONFIGURAÇÃO'!BB67"</f>
        <v/>
      </c>
      <c r="D6367" s="198" t="inlineStr">
        <is>
          <t>configuração</t>
        </is>
      </c>
    </row>
    <row r="6368">
      <c r="A6368" s="198" t="inlineStr">
        <is>
          <t>custom.pericia.9.nome</t>
        </is>
      </c>
      <c r="B6368" s="198">
        <f>IF(ISBLANK('CONFIGURAÇÃO'!$BB$69),"",'CONFIGURAÇÃO'!$BB$69&amp;"")</f>
        <v/>
      </c>
      <c r="C6368" s="198">
        <f>"'CONFIGURAÇÃO'!BB69"</f>
        <v/>
      </c>
      <c r="D6368" s="198" t="inlineStr">
        <is>
          <t>configuração</t>
        </is>
      </c>
    </row>
    <row r="6369">
      <c r="A6369" s="198" t="inlineStr">
        <is>
          <t>custom.pericia.9.mestre_viu</t>
        </is>
      </c>
      <c r="B6369" s="198">
        <f>N('CONFIGURAÇÃO'!$BF$67)&amp;""</f>
        <v/>
      </c>
      <c r="C6369" s="198">
        <f>"'CONFIGURAÇÃO'!BF67"</f>
        <v/>
      </c>
      <c r="D6369" s="198" t="inlineStr">
        <is>
          <t>configuração</t>
        </is>
      </c>
    </row>
    <row r="6370">
      <c r="A6370" s="198" t="inlineStr">
        <is>
          <t>custom.pericia.9.atributo</t>
        </is>
      </c>
      <c r="B6370" s="198">
        <f>IF(ISBLANK('CONFIGURAÇÃO'!$BE$70),"",'CONFIGURAÇÃO'!$BE$70&amp;"")</f>
        <v/>
      </c>
      <c r="C6370" s="198">
        <f>"'CONFIGURAÇÃO'!BE70"</f>
        <v/>
      </c>
      <c r="D6370" s="198" t="inlineStr">
        <is>
          <t>configuração</t>
        </is>
      </c>
    </row>
    <row r="6371">
      <c r="A6371" s="198" t="inlineStr">
        <is>
          <t>custom.pericia.9.efeito</t>
        </is>
      </c>
      <c r="B6371" s="198">
        <f>IF(ISBLANK('CONFIGURAÇÃO'!$BB$72),"",'CONFIGURAÇÃO'!$BB$72&amp;"")</f>
        <v/>
      </c>
      <c r="C6371" s="198">
        <f>"'CONFIGURAÇÃO'!BB72"</f>
        <v/>
      </c>
      <c r="D6371" s="198" t="inlineStr">
        <is>
          <t>configuração</t>
        </is>
      </c>
    </row>
    <row r="6372">
      <c r="A6372" s="198" t="inlineStr">
        <is>
          <t>custom.pericia.10.tipo</t>
        </is>
      </c>
      <c r="B6372" s="198">
        <f>IF(ISBLANK('CONFIGURAÇÃO'!$BJ$67),"",'CONFIGURAÇÃO'!$BJ$67&amp;"")</f>
        <v/>
      </c>
      <c r="C6372" s="198">
        <f>"'CONFIGURAÇÃO'!BJ67"</f>
        <v/>
      </c>
      <c r="D6372" s="198" t="inlineStr">
        <is>
          <t>configuração</t>
        </is>
      </c>
    </row>
    <row r="6373">
      <c r="A6373" s="198" t="inlineStr">
        <is>
          <t>custom.pericia.10.nome</t>
        </is>
      </c>
      <c r="B6373" s="198">
        <f>IF(ISBLANK('CONFIGURAÇÃO'!$BJ$69),"",'CONFIGURAÇÃO'!$BJ$69&amp;"")</f>
        <v/>
      </c>
      <c r="C6373" s="198">
        <f>"'CONFIGURAÇÃO'!BJ69"</f>
        <v/>
      </c>
      <c r="D6373" s="198" t="inlineStr">
        <is>
          <t>configuração</t>
        </is>
      </c>
    </row>
    <row r="6374">
      <c r="A6374" s="198" t="inlineStr">
        <is>
          <t>custom.pericia.10.mestre_viu</t>
        </is>
      </c>
      <c r="B6374" s="198">
        <f>N('CONFIGURAÇÃO'!$BN$67)&amp;""</f>
        <v/>
      </c>
      <c r="C6374" s="198">
        <f>"'CONFIGURAÇÃO'!BN67"</f>
        <v/>
      </c>
      <c r="D6374" s="198" t="inlineStr">
        <is>
          <t>configuração</t>
        </is>
      </c>
    </row>
    <row r="6375">
      <c r="A6375" s="198" t="inlineStr">
        <is>
          <t>custom.pericia.10.atributo</t>
        </is>
      </c>
      <c r="B6375" s="198">
        <f>IF(ISBLANK('CONFIGURAÇÃO'!$BM$70),"",'CONFIGURAÇÃO'!$BM$70&amp;"")</f>
        <v/>
      </c>
      <c r="C6375" s="198">
        <f>"'CONFIGURAÇÃO'!BM70"</f>
        <v/>
      </c>
      <c r="D6375" s="198" t="inlineStr">
        <is>
          <t>configuração</t>
        </is>
      </c>
    </row>
    <row r="6376">
      <c r="A6376" s="198" t="inlineStr">
        <is>
          <t>custom.pericia.10.efeito</t>
        </is>
      </c>
      <c r="B6376" s="198">
        <f>IF(ISBLANK('CONFIGURAÇÃO'!$BJ$72),"",'CONFIGURAÇÃO'!$BJ$72&amp;"")</f>
        <v/>
      </c>
      <c r="C6376" s="198">
        <f>"'CONFIGURAÇÃO'!BJ72"</f>
        <v/>
      </c>
      <c r="D6376" s="198" t="inlineStr">
        <is>
          <t>configuração</t>
        </is>
      </c>
    </row>
    <row r="6377">
      <c r="A6377" s="198" t="inlineStr">
        <is>
          <t>custom.oficio.1.tipo</t>
        </is>
      </c>
      <c r="B6377" s="198">
        <f>IF(ISBLANK('CONFIGURAÇÃO'!$BS$11),"",'CONFIGURAÇÃO'!$BS$11&amp;"")</f>
        <v/>
      </c>
      <c r="C6377" s="198">
        <f>"'CONFIGURAÇÃO'!BS11"</f>
        <v/>
      </c>
      <c r="D6377" s="198" t="inlineStr">
        <is>
          <t>configuração</t>
        </is>
      </c>
    </row>
    <row r="6378">
      <c r="A6378" s="198" t="inlineStr">
        <is>
          <t>custom.oficio.1.nome</t>
        </is>
      </c>
      <c r="B6378" s="198">
        <f>IF(ISBLANK('CONFIGURAÇÃO'!$BS$13),"",'CONFIGURAÇÃO'!$BS$13&amp;"")</f>
        <v/>
      </c>
      <c r="C6378" s="198">
        <f>"'CONFIGURAÇÃO'!BS13"</f>
        <v/>
      </c>
      <c r="D6378" s="198" t="inlineStr">
        <is>
          <t>configuração</t>
        </is>
      </c>
    </row>
    <row r="6379">
      <c r="A6379" s="198" t="inlineStr">
        <is>
          <t>custom.oficio.1.mestre_viu</t>
        </is>
      </c>
      <c r="B6379" s="198">
        <f>N('CONFIGURAÇÃO'!$BW$11)&amp;""</f>
        <v/>
      </c>
      <c r="C6379" s="198">
        <f>"'CONFIGURAÇÃO'!BW11"</f>
        <v/>
      </c>
      <c r="D6379" s="198" t="inlineStr">
        <is>
          <t>configuração</t>
        </is>
      </c>
    </row>
    <row r="6380">
      <c r="A6380" s="198" t="inlineStr">
        <is>
          <t>custom.oficio.1.atributo</t>
        </is>
      </c>
      <c r="B6380" s="198">
        <f>IF(ISBLANK('CONFIGURAÇÃO'!$BV$14),"",'CONFIGURAÇÃO'!$BV$14&amp;"")</f>
        <v/>
      </c>
      <c r="C6380" s="198">
        <f>"'CONFIGURAÇÃO'!BV14"</f>
        <v/>
      </c>
      <c r="D6380" s="198" t="inlineStr">
        <is>
          <t>configuração</t>
        </is>
      </c>
    </row>
    <row r="6381">
      <c r="A6381" s="198" t="inlineStr">
        <is>
          <t>custom.oficio.1.efeito</t>
        </is>
      </c>
      <c r="B6381" s="198">
        <f>IF(ISBLANK('CONFIGURAÇÃO'!$BS$16),"",'CONFIGURAÇÃO'!$BS$16&amp;"")</f>
        <v/>
      </c>
      <c r="C6381" s="198">
        <f>"'CONFIGURAÇÃO'!BS16"</f>
        <v/>
      </c>
      <c r="D6381" s="198" t="inlineStr">
        <is>
          <t>configuração</t>
        </is>
      </c>
    </row>
    <row r="6382">
      <c r="A6382" s="198" t="inlineStr">
        <is>
          <t>custom.oficio.2.tipo</t>
        </is>
      </c>
      <c r="B6382" s="198">
        <f>IF(ISBLANK('CONFIGURAÇÃO'!$CA$11),"",'CONFIGURAÇÃO'!$CA$11&amp;"")</f>
        <v/>
      </c>
      <c r="C6382" s="198">
        <f>"'CONFIGURAÇÃO'!CA11"</f>
        <v/>
      </c>
      <c r="D6382" s="198" t="inlineStr">
        <is>
          <t>configuração</t>
        </is>
      </c>
    </row>
    <row r="6383">
      <c r="A6383" s="198" t="inlineStr">
        <is>
          <t>custom.oficio.2.nome</t>
        </is>
      </c>
      <c r="B6383" s="198">
        <f>IF(ISBLANK('CONFIGURAÇÃO'!$CA$13),"",'CONFIGURAÇÃO'!$CA$13&amp;"")</f>
        <v/>
      </c>
      <c r="C6383" s="198">
        <f>"'CONFIGURAÇÃO'!CA13"</f>
        <v/>
      </c>
      <c r="D6383" s="198" t="inlineStr">
        <is>
          <t>configuração</t>
        </is>
      </c>
    </row>
    <row r="6384">
      <c r="A6384" s="198" t="inlineStr">
        <is>
          <t>custom.oficio.2.mestre_viu</t>
        </is>
      </c>
      <c r="B6384" s="198">
        <f>N('CONFIGURAÇÃO'!$CE$11)&amp;""</f>
        <v/>
      </c>
      <c r="C6384" s="198">
        <f>"'CONFIGURAÇÃO'!CE11"</f>
        <v/>
      </c>
      <c r="D6384" s="198" t="inlineStr">
        <is>
          <t>configuração</t>
        </is>
      </c>
    </row>
    <row r="6385">
      <c r="A6385" s="198" t="inlineStr">
        <is>
          <t>custom.oficio.2.atributo</t>
        </is>
      </c>
      <c r="B6385" s="198">
        <f>IF(ISBLANK('CONFIGURAÇÃO'!$CD$14),"",'CONFIGURAÇÃO'!$CD$14&amp;"")</f>
        <v/>
      </c>
      <c r="C6385" s="198">
        <f>"'CONFIGURAÇÃO'!CD14"</f>
        <v/>
      </c>
      <c r="D6385" s="198" t="inlineStr">
        <is>
          <t>configuração</t>
        </is>
      </c>
    </row>
    <row r="6386">
      <c r="A6386" s="198" t="inlineStr">
        <is>
          <t>custom.oficio.2.efeito</t>
        </is>
      </c>
      <c r="B6386" s="198">
        <f>IF(ISBLANK('CONFIGURAÇÃO'!$CA$16),"",'CONFIGURAÇÃO'!$CA$16&amp;"")</f>
        <v/>
      </c>
      <c r="C6386" s="198">
        <f>"'CONFIGURAÇÃO'!CA16"</f>
        <v/>
      </c>
      <c r="D6386" s="198" t="inlineStr">
        <is>
          <t>configuração</t>
        </is>
      </c>
    </row>
    <row r="6387">
      <c r="A6387" s="198" t="inlineStr">
        <is>
          <t>custom.oficio.3.tipo</t>
        </is>
      </c>
      <c r="B6387" s="198">
        <f>IF(ISBLANK('CONFIGURAÇÃO'!$BS$25),"",'CONFIGURAÇÃO'!$BS$25&amp;"")</f>
        <v/>
      </c>
      <c r="C6387" s="198">
        <f>"'CONFIGURAÇÃO'!BS25"</f>
        <v/>
      </c>
      <c r="D6387" s="198" t="inlineStr">
        <is>
          <t>configuração</t>
        </is>
      </c>
    </row>
    <row r="6388">
      <c r="A6388" s="198" t="inlineStr">
        <is>
          <t>custom.oficio.3.nome</t>
        </is>
      </c>
      <c r="B6388" s="198">
        <f>IF(ISBLANK('CONFIGURAÇÃO'!$BS$27),"",'CONFIGURAÇÃO'!$BS$27&amp;"")</f>
        <v/>
      </c>
      <c r="C6388" s="198">
        <f>"'CONFIGURAÇÃO'!BS27"</f>
        <v/>
      </c>
      <c r="D6388" s="198" t="inlineStr">
        <is>
          <t>configuração</t>
        </is>
      </c>
    </row>
    <row r="6389">
      <c r="A6389" s="198" t="inlineStr">
        <is>
          <t>custom.oficio.3.mestre_viu</t>
        </is>
      </c>
      <c r="B6389" s="198">
        <f>N('CONFIGURAÇÃO'!$BW$25)&amp;""</f>
        <v/>
      </c>
      <c r="C6389" s="198">
        <f>"'CONFIGURAÇÃO'!BW25"</f>
        <v/>
      </c>
      <c r="D6389" s="198" t="inlineStr">
        <is>
          <t>configuração</t>
        </is>
      </c>
    </row>
    <row r="6390">
      <c r="A6390" s="198" t="inlineStr">
        <is>
          <t>custom.oficio.3.atributo</t>
        </is>
      </c>
      <c r="B6390" s="198">
        <f>IF(ISBLANK('CONFIGURAÇÃO'!$BV$28),"",'CONFIGURAÇÃO'!$BV$28&amp;"")</f>
        <v/>
      </c>
      <c r="C6390" s="198">
        <f>"'CONFIGURAÇÃO'!BV28"</f>
        <v/>
      </c>
      <c r="D6390" s="198" t="inlineStr">
        <is>
          <t>configuração</t>
        </is>
      </c>
    </row>
    <row r="6391">
      <c r="A6391" s="198" t="inlineStr">
        <is>
          <t>custom.oficio.3.efeito</t>
        </is>
      </c>
      <c r="B6391" s="198">
        <f>IF(ISBLANK('CONFIGURAÇÃO'!$BS$30),"",'CONFIGURAÇÃO'!$BS$30&amp;"")</f>
        <v/>
      </c>
      <c r="C6391" s="198">
        <f>"'CONFIGURAÇÃO'!BS30"</f>
        <v/>
      </c>
      <c r="D6391" s="198" t="inlineStr">
        <is>
          <t>configuração</t>
        </is>
      </c>
    </row>
    <row r="6392">
      <c r="A6392" s="198" t="inlineStr">
        <is>
          <t>custom.oficio.4.tipo</t>
        </is>
      </c>
      <c r="B6392" s="198">
        <f>IF(ISBLANK('CONFIGURAÇÃO'!$CA$25),"",'CONFIGURAÇÃO'!$CA$25&amp;"")</f>
        <v/>
      </c>
      <c r="C6392" s="198">
        <f>"'CONFIGURAÇÃO'!CA25"</f>
        <v/>
      </c>
      <c r="D6392" s="198" t="inlineStr">
        <is>
          <t>configuração</t>
        </is>
      </c>
    </row>
    <row r="6393">
      <c r="A6393" s="198" t="inlineStr">
        <is>
          <t>custom.oficio.4.nome</t>
        </is>
      </c>
      <c r="B6393" s="198">
        <f>IF(ISBLANK('CONFIGURAÇÃO'!$CA$27),"",'CONFIGURAÇÃO'!$CA$27&amp;"")</f>
        <v/>
      </c>
      <c r="C6393" s="198">
        <f>"'CONFIGURAÇÃO'!CA27"</f>
        <v/>
      </c>
      <c r="D6393" s="198" t="inlineStr">
        <is>
          <t>configuração</t>
        </is>
      </c>
    </row>
    <row r="6394">
      <c r="A6394" s="198" t="inlineStr">
        <is>
          <t>custom.oficio.4.mestre_viu</t>
        </is>
      </c>
      <c r="B6394" s="198">
        <f>N('CONFIGURAÇÃO'!$CE$25)&amp;""</f>
        <v/>
      </c>
      <c r="C6394" s="198">
        <f>"'CONFIGURAÇÃO'!CE25"</f>
        <v/>
      </c>
      <c r="D6394" s="198" t="inlineStr">
        <is>
          <t>configuração</t>
        </is>
      </c>
    </row>
    <row r="6395">
      <c r="A6395" s="198" t="inlineStr">
        <is>
          <t>custom.oficio.4.atributo</t>
        </is>
      </c>
      <c r="B6395" s="198">
        <f>IF(ISBLANK('CONFIGURAÇÃO'!$CD$28),"",'CONFIGURAÇÃO'!$CD$28&amp;"")</f>
        <v/>
      </c>
      <c r="C6395" s="198">
        <f>"'CONFIGURAÇÃO'!CD28"</f>
        <v/>
      </c>
      <c r="D6395" s="198" t="inlineStr">
        <is>
          <t>configuração</t>
        </is>
      </c>
    </row>
    <row r="6396">
      <c r="A6396" s="198" t="inlineStr">
        <is>
          <t>custom.oficio.4.efeito</t>
        </is>
      </c>
      <c r="B6396" s="198">
        <f>IF(ISBLANK('CONFIGURAÇÃO'!$CA$30),"",'CONFIGURAÇÃO'!$CA$30&amp;"")</f>
        <v/>
      </c>
      <c r="C6396" s="198">
        <f>"'CONFIGURAÇÃO'!CA30"</f>
        <v/>
      </c>
      <c r="D6396" s="198" t="inlineStr">
        <is>
          <t>configuração</t>
        </is>
      </c>
    </row>
    <row r="6397">
      <c r="A6397" s="198" t="inlineStr">
        <is>
          <t>custom.oficio.5.tipo</t>
        </is>
      </c>
      <c r="B6397" s="198">
        <f>IF(ISBLANK('CONFIGURAÇÃO'!$BS$39),"",'CONFIGURAÇÃO'!$BS$39&amp;"")</f>
        <v/>
      </c>
      <c r="C6397" s="198">
        <f>"'CONFIGURAÇÃO'!BS39"</f>
        <v/>
      </c>
      <c r="D6397" s="198" t="inlineStr">
        <is>
          <t>configuração</t>
        </is>
      </c>
    </row>
    <row r="6398">
      <c r="A6398" s="198" t="inlineStr">
        <is>
          <t>custom.oficio.5.nome</t>
        </is>
      </c>
      <c r="B6398" s="198">
        <f>IF(ISBLANK('CONFIGURAÇÃO'!$BS$41),"",'CONFIGURAÇÃO'!$BS$41&amp;"")</f>
        <v/>
      </c>
      <c r="C6398" s="198">
        <f>"'CONFIGURAÇÃO'!BS41"</f>
        <v/>
      </c>
      <c r="D6398" s="198" t="inlineStr">
        <is>
          <t>configuração</t>
        </is>
      </c>
    </row>
    <row r="6399">
      <c r="A6399" s="198" t="inlineStr">
        <is>
          <t>custom.oficio.5.mestre_viu</t>
        </is>
      </c>
      <c r="B6399" s="198">
        <f>N('CONFIGURAÇÃO'!$BW$39)&amp;""</f>
        <v/>
      </c>
      <c r="C6399" s="198">
        <f>"'CONFIGURAÇÃO'!BW39"</f>
        <v/>
      </c>
      <c r="D6399" s="198" t="inlineStr">
        <is>
          <t>configuração</t>
        </is>
      </c>
    </row>
    <row r="6400">
      <c r="A6400" s="198" t="inlineStr">
        <is>
          <t>custom.oficio.5.atributo</t>
        </is>
      </c>
      <c r="B6400" s="198">
        <f>IF(ISBLANK('CONFIGURAÇÃO'!$BV$42),"",'CONFIGURAÇÃO'!$BV$42&amp;"")</f>
        <v/>
      </c>
      <c r="C6400" s="198">
        <f>"'CONFIGURAÇÃO'!BV42"</f>
        <v/>
      </c>
      <c r="D6400" s="198" t="inlineStr">
        <is>
          <t>configuração</t>
        </is>
      </c>
    </row>
    <row r="6401">
      <c r="A6401" s="198" t="inlineStr">
        <is>
          <t>custom.oficio.5.efeito</t>
        </is>
      </c>
      <c r="B6401" s="198">
        <f>IF(ISBLANK('CONFIGURAÇÃO'!$BS$44),"",'CONFIGURAÇÃO'!$BS$44&amp;"")</f>
        <v/>
      </c>
      <c r="C6401" s="198">
        <f>"'CONFIGURAÇÃO'!BS44"</f>
        <v/>
      </c>
      <c r="D6401" s="198" t="inlineStr">
        <is>
          <t>configuração</t>
        </is>
      </c>
    </row>
    <row r="6402">
      <c r="A6402" s="198" t="inlineStr">
        <is>
          <t>custom.oficio.6.tipo</t>
        </is>
      </c>
      <c r="B6402" s="198">
        <f>IF(ISBLANK('CONFIGURAÇÃO'!$CA$39),"",'CONFIGURAÇÃO'!$CA$39&amp;"")</f>
        <v/>
      </c>
      <c r="C6402" s="198">
        <f>"'CONFIGURAÇÃO'!CA39"</f>
        <v/>
      </c>
      <c r="D6402" s="198" t="inlineStr">
        <is>
          <t>configuração</t>
        </is>
      </c>
    </row>
    <row r="6403">
      <c r="A6403" s="198" t="inlineStr">
        <is>
          <t>custom.oficio.6.nome</t>
        </is>
      </c>
      <c r="B6403" s="198">
        <f>IF(ISBLANK('CONFIGURAÇÃO'!$CA$41),"",'CONFIGURAÇÃO'!$CA$41&amp;"")</f>
        <v/>
      </c>
      <c r="C6403" s="198">
        <f>"'CONFIGURAÇÃO'!CA41"</f>
        <v/>
      </c>
      <c r="D6403" s="198" t="inlineStr">
        <is>
          <t>configuração</t>
        </is>
      </c>
    </row>
    <row r="6404">
      <c r="A6404" s="198" t="inlineStr">
        <is>
          <t>custom.oficio.6.mestre_viu</t>
        </is>
      </c>
      <c r="B6404" s="198">
        <f>N('CONFIGURAÇÃO'!$CE$39)&amp;""</f>
        <v/>
      </c>
      <c r="C6404" s="198">
        <f>"'CONFIGURAÇÃO'!CE39"</f>
        <v/>
      </c>
      <c r="D6404" s="198" t="inlineStr">
        <is>
          <t>configuração</t>
        </is>
      </c>
    </row>
    <row r="6405">
      <c r="A6405" s="198" t="inlineStr">
        <is>
          <t>custom.oficio.6.atributo</t>
        </is>
      </c>
      <c r="B6405" s="198">
        <f>IF(ISBLANK('CONFIGURAÇÃO'!$CD$42),"",'CONFIGURAÇÃO'!$CD$42&amp;"")</f>
        <v/>
      </c>
      <c r="C6405" s="198">
        <f>"'CONFIGURAÇÃO'!CD42"</f>
        <v/>
      </c>
      <c r="D6405" s="198" t="inlineStr">
        <is>
          <t>configuração</t>
        </is>
      </c>
    </row>
    <row r="6406">
      <c r="A6406" s="198" t="inlineStr">
        <is>
          <t>custom.oficio.6.efeito</t>
        </is>
      </c>
      <c r="B6406" s="198">
        <f>IF(ISBLANK('CONFIGURAÇÃO'!$CA$44),"",'CONFIGURAÇÃO'!$CA$44&amp;"")</f>
        <v/>
      </c>
      <c r="C6406" s="198">
        <f>"'CONFIGURAÇÃO'!CA44"</f>
        <v/>
      </c>
      <c r="D6406" s="198" t="inlineStr">
        <is>
          <t>configuração</t>
        </is>
      </c>
    </row>
    <row r="6407">
      <c r="A6407" s="198" t="inlineStr">
        <is>
          <t>custom.oficio.7.tipo</t>
        </is>
      </c>
      <c r="B6407" s="198">
        <f>IF(ISBLANK('CONFIGURAÇÃO'!$BS$53),"",'CONFIGURAÇÃO'!$BS$53&amp;"")</f>
        <v/>
      </c>
      <c r="C6407" s="198">
        <f>"'CONFIGURAÇÃO'!BS53"</f>
        <v/>
      </c>
      <c r="D6407" s="198" t="inlineStr">
        <is>
          <t>configuração</t>
        </is>
      </c>
    </row>
    <row r="6408">
      <c r="A6408" s="198" t="inlineStr">
        <is>
          <t>custom.oficio.7.nome</t>
        </is>
      </c>
      <c r="B6408" s="198">
        <f>IF(ISBLANK('CONFIGURAÇÃO'!$BS$55),"",'CONFIGURAÇÃO'!$BS$55&amp;"")</f>
        <v/>
      </c>
      <c r="C6408" s="198">
        <f>"'CONFIGURAÇÃO'!BS55"</f>
        <v/>
      </c>
      <c r="D6408" s="198" t="inlineStr">
        <is>
          <t>configuração</t>
        </is>
      </c>
    </row>
    <row r="6409">
      <c r="A6409" s="198" t="inlineStr">
        <is>
          <t>custom.oficio.7.mestre_viu</t>
        </is>
      </c>
      <c r="B6409" s="198">
        <f>N('CONFIGURAÇÃO'!$BW$53)&amp;""</f>
        <v/>
      </c>
      <c r="C6409" s="198">
        <f>"'CONFIGURAÇÃO'!BW53"</f>
        <v/>
      </c>
      <c r="D6409" s="198" t="inlineStr">
        <is>
          <t>configuração</t>
        </is>
      </c>
    </row>
    <row r="6410">
      <c r="A6410" s="198" t="inlineStr">
        <is>
          <t>custom.oficio.7.atributo</t>
        </is>
      </c>
      <c r="B6410" s="198">
        <f>IF(ISBLANK('CONFIGURAÇÃO'!$BV$56),"",'CONFIGURAÇÃO'!$BV$56&amp;"")</f>
        <v/>
      </c>
      <c r="C6410" s="198">
        <f>"'CONFIGURAÇÃO'!BV56"</f>
        <v/>
      </c>
      <c r="D6410" s="198" t="inlineStr">
        <is>
          <t>configuração</t>
        </is>
      </c>
    </row>
    <row r="6411">
      <c r="A6411" s="198" t="inlineStr">
        <is>
          <t>custom.oficio.7.efeito</t>
        </is>
      </c>
      <c r="B6411" s="198">
        <f>IF(ISBLANK('CONFIGURAÇÃO'!$BS$58),"",'CONFIGURAÇÃO'!$BS$58&amp;"")</f>
        <v/>
      </c>
      <c r="C6411" s="198">
        <f>"'CONFIGURAÇÃO'!BS58"</f>
        <v/>
      </c>
      <c r="D6411" s="198" t="inlineStr">
        <is>
          <t>configuração</t>
        </is>
      </c>
    </row>
    <row r="6412">
      <c r="A6412" s="198" t="inlineStr">
        <is>
          <t>custom.oficio.8.tipo</t>
        </is>
      </c>
      <c r="B6412" s="198">
        <f>IF(ISBLANK('CONFIGURAÇÃO'!$CA$53),"",'CONFIGURAÇÃO'!$CA$53&amp;"")</f>
        <v/>
      </c>
      <c r="C6412" s="198">
        <f>"'CONFIGURAÇÃO'!CA53"</f>
        <v/>
      </c>
      <c r="D6412" s="198" t="inlineStr">
        <is>
          <t>configuração</t>
        </is>
      </c>
    </row>
    <row r="6413">
      <c r="A6413" s="198" t="inlineStr">
        <is>
          <t>custom.oficio.8.nome</t>
        </is>
      </c>
      <c r="B6413" s="198">
        <f>IF(ISBLANK('CONFIGURAÇÃO'!$CA$55),"",'CONFIGURAÇÃO'!$CA$55&amp;"")</f>
        <v/>
      </c>
      <c r="C6413" s="198">
        <f>"'CONFIGURAÇÃO'!CA55"</f>
        <v/>
      </c>
      <c r="D6413" s="198" t="inlineStr">
        <is>
          <t>configuração</t>
        </is>
      </c>
    </row>
    <row r="6414">
      <c r="A6414" s="198" t="inlineStr">
        <is>
          <t>custom.oficio.8.mestre_viu</t>
        </is>
      </c>
      <c r="B6414" s="198">
        <f>N('CONFIGURAÇÃO'!$CE$53)&amp;""</f>
        <v/>
      </c>
      <c r="C6414" s="198">
        <f>"'CONFIGURAÇÃO'!CE53"</f>
        <v/>
      </c>
      <c r="D6414" s="198" t="inlineStr">
        <is>
          <t>configuração</t>
        </is>
      </c>
    </row>
    <row r="6415">
      <c r="A6415" s="198" t="inlineStr">
        <is>
          <t>custom.oficio.8.atributo</t>
        </is>
      </c>
      <c r="B6415" s="198">
        <f>IF(ISBLANK('CONFIGURAÇÃO'!$CD$56),"",'CONFIGURAÇÃO'!$CD$56&amp;"")</f>
        <v/>
      </c>
      <c r="C6415" s="198">
        <f>"'CONFIGURAÇÃO'!CD56"</f>
        <v/>
      </c>
      <c r="D6415" s="198" t="inlineStr">
        <is>
          <t>configuração</t>
        </is>
      </c>
    </row>
    <row r="6416">
      <c r="A6416" s="198" t="inlineStr">
        <is>
          <t>custom.oficio.8.efeito</t>
        </is>
      </c>
      <c r="B6416" s="198">
        <f>IF(ISBLANK('CONFIGURAÇÃO'!$CA$58),"",'CONFIGURAÇÃO'!$CA$58&amp;"")</f>
        <v/>
      </c>
      <c r="C6416" s="198">
        <f>"'CONFIGURAÇÃO'!CA58"</f>
        <v/>
      </c>
      <c r="D6416" s="198" t="inlineStr">
        <is>
          <t>configuração</t>
        </is>
      </c>
    </row>
    <row r="6417">
      <c r="A6417" s="198" t="inlineStr">
        <is>
          <t>custom.oficio.9.tipo</t>
        </is>
      </c>
      <c r="B6417" s="198">
        <f>IF(ISBLANK('CONFIGURAÇÃO'!$BS$67),"",'CONFIGURAÇÃO'!$BS$67&amp;"")</f>
        <v/>
      </c>
      <c r="C6417" s="198">
        <f>"'CONFIGURAÇÃO'!BS67"</f>
        <v/>
      </c>
      <c r="D6417" s="198" t="inlineStr">
        <is>
          <t>configuração</t>
        </is>
      </c>
    </row>
    <row r="6418">
      <c r="A6418" s="198" t="inlineStr">
        <is>
          <t>custom.oficio.9.nome</t>
        </is>
      </c>
      <c r="B6418" s="198">
        <f>IF(ISBLANK('CONFIGURAÇÃO'!$BS$69),"",'CONFIGURAÇÃO'!$BS$69&amp;"")</f>
        <v/>
      </c>
      <c r="C6418" s="198">
        <f>"'CONFIGURAÇÃO'!BS69"</f>
        <v/>
      </c>
      <c r="D6418" s="198" t="inlineStr">
        <is>
          <t>configuração</t>
        </is>
      </c>
    </row>
    <row r="6419">
      <c r="A6419" s="198" t="inlineStr">
        <is>
          <t>custom.oficio.9.mestre_viu</t>
        </is>
      </c>
      <c r="B6419" s="198">
        <f>N('CONFIGURAÇÃO'!$BW$67)&amp;""</f>
        <v/>
      </c>
      <c r="C6419" s="198">
        <f>"'CONFIGURAÇÃO'!BW67"</f>
        <v/>
      </c>
      <c r="D6419" s="198" t="inlineStr">
        <is>
          <t>configuração</t>
        </is>
      </c>
    </row>
    <row r="6420">
      <c r="A6420" s="198" t="inlineStr">
        <is>
          <t>custom.oficio.9.atributo</t>
        </is>
      </c>
      <c r="B6420" s="198">
        <f>IF(ISBLANK('CONFIGURAÇÃO'!$BV$70),"",'CONFIGURAÇÃO'!$BV$70&amp;"")</f>
        <v/>
      </c>
      <c r="C6420" s="198">
        <f>"'CONFIGURAÇÃO'!BV70"</f>
        <v/>
      </c>
      <c r="D6420" s="198" t="inlineStr">
        <is>
          <t>configuração</t>
        </is>
      </c>
    </row>
    <row r="6421">
      <c r="A6421" s="198" t="inlineStr">
        <is>
          <t>custom.oficio.9.efeito</t>
        </is>
      </c>
      <c r="B6421" s="198">
        <f>IF(ISBLANK('CONFIGURAÇÃO'!$BS$72),"",'CONFIGURAÇÃO'!$BS$72&amp;"")</f>
        <v/>
      </c>
      <c r="C6421" s="198">
        <f>"'CONFIGURAÇÃO'!BS72"</f>
        <v/>
      </c>
      <c r="D6421" s="198" t="inlineStr">
        <is>
          <t>configuração</t>
        </is>
      </c>
    </row>
    <row r="6422">
      <c r="A6422" s="198" t="inlineStr">
        <is>
          <t>custom.oficio.10.tipo</t>
        </is>
      </c>
      <c r="B6422" s="198">
        <f>IF(ISBLANK('CONFIGURAÇÃO'!$CA$67),"",'CONFIGURAÇÃO'!$CA$67&amp;"")</f>
        <v/>
      </c>
      <c r="C6422" s="198">
        <f>"'CONFIGURAÇÃO'!CA67"</f>
        <v/>
      </c>
      <c r="D6422" s="198" t="inlineStr">
        <is>
          <t>configuração</t>
        </is>
      </c>
    </row>
    <row r="6423">
      <c r="A6423" s="198" t="inlineStr">
        <is>
          <t>custom.oficio.10.nome</t>
        </is>
      </c>
      <c r="B6423" s="198">
        <f>IF(ISBLANK('CONFIGURAÇÃO'!$CA$69),"",'CONFIGURAÇÃO'!$CA$69&amp;"")</f>
        <v/>
      </c>
      <c r="C6423" s="198">
        <f>"'CONFIGURAÇÃO'!CA69"</f>
        <v/>
      </c>
      <c r="D6423" s="198" t="inlineStr">
        <is>
          <t>configuração</t>
        </is>
      </c>
    </row>
    <row r="6424">
      <c r="A6424" s="198" t="inlineStr">
        <is>
          <t>custom.oficio.10.mestre_viu</t>
        </is>
      </c>
      <c r="B6424" s="198">
        <f>N('CONFIGURAÇÃO'!$CE$67)&amp;""</f>
        <v/>
      </c>
      <c r="C6424" s="198">
        <f>"'CONFIGURAÇÃO'!CE67"</f>
        <v/>
      </c>
      <c r="D6424" s="198" t="inlineStr">
        <is>
          <t>configuração</t>
        </is>
      </c>
    </row>
    <row r="6425">
      <c r="A6425" s="198" t="inlineStr">
        <is>
          <t>custom.oficio.10.atributo</t>
        </is>
      </c>
      <c r="B6425" s="198">
        <f>IF(ISBLANK('CONFIGURAÇÃO'!$CD$70),"",'CONFIGURAÇÃO'!$CD$70&amp;"")</f>
        <v/>
      </c>
      <c r="C6425" s="198">
        <f>"'CONFIGURAÇÃO'!CD70"</f>
        <v/>
      </c>
      <c r="D6425" s="198" t="inlineStr">
        <is>
          <t>configuração</t>
        </is>
      </c>
    </row>
    <row r="6426">
      <c r="A6426" s="198" t="inlineStr">
        <is>
          <t>custom.oficio.10.efeito</t>
        </is>
      </c>
      <c r="B6426" s="198">
        <f>IF(ISBLANK('CONFIGURAÇÃO'!$CA$72),"",'CONFIGURAÇÃO'!$CA$72&amp;"")</f>
        <v/>
      </c>
      <c r="C6426" s="198">
        <f>"'CONFIGURAÇÃO'!CA72"</f>
        <v/>
      </c>
      <c r="D6426" s="198" t="inlineStr">
        <is>
          <t>configuração</t>
        </is>
      </c>
    </row>
    <row r="6427">
      <c r="A6427" s="198" t="inlineStr">
        <is>
          <t>aviso.custom.pericia.1</t>
        </is>
      </c>
      <c r="B6427" s="198">
        <f>IF('DADOS_PROGRESSAO'!$G$2="","","⚠ "&amp;'DADOS_PROGRESSAO'!$G$2)</f>
        <v/>
      </c>
      <c r="C6427" s="198" t="inlineStr">
        <is>
          <t>DADOS_PROGRESSAO!G2</t>
        </is>
      </c>
      <c r="D6427" s="198" t="inlineStr">
        <is>
          <t>aviso</t>
        </is>
      </c>
    </row>
    <row r="6428">
      <c r="A6428" s="198" t="inlineStr">
        <is>
          <t>aviso.custom.pericia.2</t>
        </is>
      </c>
      <c r="B6428" s="198">
        <f>IF('DADOS_PROGRESSAO'!$G$3="","","⚠ "&amp;'DADOS_PROGRESSAO'!$G$3)</f>
        <v/>
      </c>
      <c r="C6428" s="198" t="inlineStr">
        <is>
          <t>DADOS_PROGRESSAO!G3</t>
        </is>
      </c>
      <c r="D6428" s="198" t="inlineStr">
        <is>
          <t>aviso</t>
        </is>
      </c>
    </row>
    <row r="6429">
      <c r="A6429" s="198" t="inlineStr">
        <is>
          <t>aviso.custom.pericia.3</t>
        </is>
      </c>
      <c r="B6429" s="198">
        <f>IF('DADOS_PROGRESSAO'!$G$4="","","⚠ "&amp;'DADOS_PROGRESSAO'!$G$4)</f>
        <v/>
      </c>
      <c r="C6429" s="198" t="inlineStr">
        <is>
          <t>DADOS_PROGRESSAO!G4</t>
        </is>
      </c>
      <c r="D6429" s="198" t="inlineStr">
        <is>
          <t>aviso</t>
        </is>
      </c>
    </row>
    <row r="6430">
      <c r="A6430" s="198" t="inlineStr">
        <is>
          <t>aviso.custom.pericia.4</t>
        </is>
      </c>
      <c r="B6430" s="198">
        <f>IF('DADOS_PROGRESSAO'!$G$5="","","⚠ "&amp;'DADOS_PROGRESSAO'!$G$5)</f>
        <v/>
      </c>
      <c r="C6430" s="198" t="inlineStr">
        <is>
          <t>DADOS_PROGRESSAO!G5</t>
        </is>
      </c>
      <c r="D6430" s="198" t="inlineStr">
        <is>
          <t>aviso</t>
        </is>
      </c>
    </row>
    <row r="6431">
      <c r="A6431" s="198" t="inlineStr">
        <is>
          <t>aviso.custom.pericia.5</t>
        </is>
      </c>
      <c r="B6431" s="198">
        <f>IF('DADOS_PROGRESSAO'!$G$6="","","⚠ "&amp;'DADOS_PROGRESSAO'!$G$6)</f>
        <v/>
      </c>
      <c r="C6431" s="198" t="inlineStr">
        <is>
          <t>DADOS_PROGRESSAO!G6</t>
        </is>
      </c>
      <c r="D6431" s="198" t="inlineStr">
        <is>
          <t>aviso</t>
        </is>
      </c>
    </row>
    <row r="6432">
      <c r="A6432" s="198" t="inlineStr">
        <is>
          <t>aviso.custom.pericia.6</t>
        </is>
      </c>
      <c r="B6432" s="198">
        <f>IF('DADOS_PROGRESSAO'!$G$7="","","⚠ "&amp;'DADOS_PROGRESSAO'!$G$7)</f>
        <v/>
      </c>
      <c r="C6432" s="198" t="inlineStr">
        <is>
          <t>DADOS_PROGRESSAO!G7</t>
        </is>
      </c>
      <c r="D6432" s="198" t="inlineStr">
        <is>
          <t>aviso</t>
        </is>
      </c>
    </row>
    <row r="6433">
      <c r="A6433" s="198" t="inlineStr">
        <is>
          <t>aviso.custom.pericia.7</t>
        </is>
      </c>
      <c r="B6433" s="198">
        <f>IF('DADOS_PROGRESSAO'!$G$8="","","⚠ "&amp;'DADOS_PROGRESSAO'!$G$8)</f>
        <v/>
      </c>
      <c r="C6433" s="198" t="inlineStr">
        <is>
          <t>DADOS_PROGRESSAO!G8</t>
        </is>
      </c>
      <c r="D6433" s="198" t="inlineStr">
        <is>
          <t>aviso</t>
        </is>
      </c>
    </row>
    <row r="6434">
      <c r="A6434" s="198" t="inlineStr">
        <is>
          <t>aviso.custom.pericia.8</t>
        </is>
      </c>
      <c r="B6434" s="198">
        <f>IF('DADOS_PROGRESSAO'!$G$9="","","⚠ "&amp;'DADOS_PROGRESSAO'!$G$9)</f>
        <v/>
      </c>
      <c r="C6434" s="198" t="inlineStr">
        <is>
          <t>DADOS_PROGRESSAO!G9</t>
        </is>
      </c>
      <c r="D6434" s="198" t="inlineStr">
        <is>
          <t>aviso</t>
        </is>
      </c>
    </row>
    <row r="6435">
      <c r="A6435" s="198" t="inlineStr">
        <is>
          <t>aviso.custom.pericia.9</t>
        </is>
      </c>
      <c r="B6435" s="198">
        <f>IF('DADOS_PROGRESSAO'!$G$10="","","⚠ "&amp;'DADOS_PROGRESSAO'!$G$10)</f>
        <v/>
      </c>
      <c r="C6435" s="198" t="inlineStr">
        <is>
          <t>DADOS_PROGRESSAO!G10</t>
        </is>
      </c>
      <c r="D6435" s="198" t="inlineStr">
        <is>
          <t>aviso</t>
        </is>
      </c>
    </row>
    <row r="6436">
      <c r="A6436" s="198" t="inlineStr">
        <is>
          <t>aviso.custom.pericia.10</t>
        </is>
      </c>
      <c r="B6436" s="198">
        <f>IF('DADOS_PROGRESSAO'!$G$11="","","⚠ "&amp;'DADOS_PROGRESSAO'!$G$11)</f>
        <v/>
      </c>
      <c r="C6436" s="198" t="inlineStr">
        <is>
          <t>DADOS_PROGRESSAO!G11</t>
        </is>
      </c>
      <c r="D6436" s="198" t="inlineStr">
        <is>
          <t>aviso</t>
        </is>
      </c>
    </row>
    <row r="6437">
      <c r="A6437" s="198" t="inlineStr">
        <is>
          <t>aviso.custom.oficio.1</t>
        </is>
      </c>
      <c r="B6437" s="198">
        <f>IF('DADOS_PROGRESSAO'!$G$12="","","⚠ "&amp;'DADOS_PROGRESSAO'!$G$12)</f>
        <v/>
      </c>
      <c r="C6437" s="198" t="inlineStr">
        <is>
          <t>DADOS_PROGRESSAO!G12</t>
        </is>
      </c>
      <c r="D6437" s="198" t="inlineStr">
        <is>
          <t>aviso</t>
        </is>
      </c>
    </row>
    <row r="6438">
      <c r="A6438" s="198" t="inlineStr">
        <is>
          <t>aviso.custom.oficio.2</t>
        </is>
      </c>
      <c r="B6438" s="198">
        <f>IF('DADOS_PROGRESSAO'!$G$13="","","⚠ "&amp;'DADOS_PROGRESSAO'!$G$13)</f>
        <v/>
      </c>
      <c r="C6438" s="198" t="inlineStr">
        <is>
          <t>DADOS_PROGRESSAO!G13</t>
        </is>
      </c>
      <c r="D6438" s="198" t="inlineStr">
        <is>
          <t>aviso</t>
        </is>
      </c>
    </row>
    <row r="6439">
      <c r="A6439" s="198" t="inlineStr">
        <is>
          <t>aviso.custom.oficio.3</t>
        </is>
      </c>
      <c r="B6439" s="198">
        <f>IF('DADOS_PROGRESSAO'!$G$14="","","⚠ "&amp;'DADOS_PROGRESSAO'!$G$14)</f>
        <v/>
      </c>
      <c r="C6439" s="198" t="inlineStr">
        <is>
          <t>DADOS_PROGRESSAO!G14</t>
        </is>
      </c>
      <c r="D6439" s="198" t="inlineStr">
        <is>
          <t>aviso</t>
        </is>
      </c>
    </row>
    <row r="6440">
      <c r="A6440" s="198" t="inlineStr">
        <is>
          <t>aviso.custom.oficio.4</t>
        </is>
      </c>
      <c r="B6440" s="198">
        <f>IF('DADOS_PROGRESSAO'!$G$15="","","⚠ "&amp;'DADOS_PROGRESSAO'!$G$15)</f>
        <v/>
      </c>
      <c r="C6440" s="198" t="inlineStr">
        <is>
          <t>DADOS_PROGRESSAO!G15</t>
        </is>
      </c>
      <c r="D6440" s="198" t="inlineStr">
        <is>
          <t>aviso</t>
        </is>
      </c>
    </row>
    <row r="6441">
      <c r="A6441" s="198" t="inlineStr">
        <is>
          <t>aviso.custom.oficio.5</t>
        </is>
      </c>
      <c r="B6441" s="198">
        <f>IF('DADOS_PROGRESSAO'!$G$16="","","⚠ "&amp;'DADOS_PROGRESSAO'!$G$16)</f>
        <v/>
      </c>
      <c r="C6441" s="198" t="inlineStr">
        <is>
          <t>DADOS_PROGRESSAO!G16</t>
        </is>
      </c>
      <c r="D6441" s="198" t="inlineStr">
        <is>
          <t>aviso</t>
        </is>
      </c>
    </row>
    <row r="6442">
      <c r="A6442" s="198" t="inlineStr">
        <is>
          <t>aviso.custom.oficio.6</t>
        </is>
      </c>
      <c r="B6442" s="198">
        <f>IF('DADOS_PROGRESSAO'!$G$17="","","⚠ "&amp;'DADOS_PROGRESSAO'!$G$17)</f>
        <v/>
      </c>
      <c r="C6442" s="198" t="inlineStr">
        <is>
          <t>DADOS_PROGRESSAO!G17</t>
        </is>
      </c>
      <c r="D6442" s="198" t="inlineStr">
        <is>
          <t>aviso</t>
        </is>
      </c>
    </row>
    <row r="6443">
      <c r="A6443" s="198" t="inlineStr">
        <is>
          <t>aviso.custom.oficio.7</t>
        </is>
      </c>
      <c r="B6443" s="198">
        <f>IF('DADOS_PROGRESSAO'!$G$18="","","⚠ "&amp;'DADOS_PROGRESSAO'!$G$18)</f>
        <v/>
      </c>
      <c r="C6443" s="198" t="inlineStr">
        <is>
          <t>DADOS_PROGRESSAO!G18</t>
        </is>
      </c>
      <c r="D6443" s="198" t="inlineStr">
        <is>
          <t>aviso</t>
        </is>
      </c>
    </row>
    <row r="6444">
      <c r="A6444" s="198" t="inlineStr">
        <is>
          <t>aviso.custom.oficio.8</t>
        </is>
      </c>
      <c r="B6444" s="198">
        <f>IF('DADOS_PROGRESSAO'!$G$19="","","⚠ "&amp;'DADOS_PROGRESSAO'!$G$19)</f>
        <v/>
      </c>
      <c r="C6444" s="198" t="inlineStr">
        <is>
          <t>DADOS_PROGRESSAO!G19</t>
        </is>
      </c>
      <c r="D6444" s="198" t="inlineStr">
        <is>
          <t>aviso</t>
        </is>
      </c>
    </row>
    <row r="6445">
      <c r="A6445" s="198" t="inlineStr">
        <is>
          <t>aviso.custom.oficio.9</t>
        </is>
      </c>
      <c r="B6445" s="198">
        <f>IF('DADOS_PROGRESSAO'!$G$20="","","⚠ "&amp;'DADOS_PROGRESSAO'!$G$20)</f>
        <v/>
      </c>
      <c r="C6445" s="198" t="inlineStr">
        <is>
          <t>DADOS_PROGRESSAO!G20</t>
        </is>
      </c>
      <c r="D6445" s="198" t="inlineStr">
        <is>
          <t>aviso</t>
        </is>
      </c>
    </row>
    <row r="6446">
      <c r="A6446" s="198" t="inlineStr">
        <is>
          <t>aviso.custom.oficio.10</t>
        </is>
      </c>
      <c r="B6446" s="198">
        <f>IF('DADOS_PROGRESSAO'!$G$21="","","⚠ "&amp;'DADOS_PROGRESSAO'!$G$21)</f>
        <v/>
      </c>
      <c r="C6446" s="198" t="inlineStr">
        <is>
          <t>DADOS_PROGRESSAO!G21</t>
        </is>
      </c>
      <c r="D6446" s="198" t="inlineStr">
        <is>
          <t>aviso</t>
        </is>
      </c>
    </row>
    <row r="6447">
      <c r="A6447" s="198" t="inlineStr">
        <is>
          <t>aviso.custom.caminho</t>
        </is>
      </c>
      <c r="B6447" s="198">
        <f>IF('DADOS_PROGRESSAO'!$K$2="","","⚠ "&amp;'DADOS_PROGRESSAO'!$K$2)</f>
        <v/>
      </c>
      <c r="C6447" s="198" t="inlineStr">
        <is>
          <t>DADOS_PROGRESSAO!K2</t>
        </is>
      </c>
      <c r="D6447" s="198" t="inlineStr">
        <is>
          <t>aviso</t>
        </is>
      </c>
    </row>
    <row r="6448">
      <c r="A6448" s="198" t="inlineStr">
        <is>
          <t>aviso.custom.trilha</t>
        </is>
      </c>
      <c r="B6448" s="198">
        <f>IF('DADOS_PROGRESSAO'!$K$3="","","⚠ "&amp;'DADOS_PROGRESSAO'!$K$3)</f>
        <v/>
      </c>
      <c r="C6448" s="198" t="inlineStr">
        <is>
          <t>DADOS_PROGRESSAO!K3</t>
        </is>
      </c>
      <c r="D6448" s="198" t="inlineStr">
        <is>
          <t>aviso</t>
        </is>
      </c>
    </row>
    <row r="6449">
      <c r="A6449" s="198" t="inlineStr">
        <is>
          <t>personagem.pericia_custom.1.nome</t>
        </is>
      </c>
      <c r="B6449" s="198">
        <f>IF(ISBLANK('FICHA'!$F$439),"",'FICHA'!$F$439&amp;"")</f>
        <v/>
      </c>
      <c r="C6449" s="198">
        <f>"'FICHA'!F413"</f>
        <v/>
      </c>
      <c r="D6449" s="198" t="inlineStr">
        <is>
          <t>entrada</t>
        </is>
      </c>
    </row>
    <row r="6450">
      <c r="A6450" s="198" t="inlineStr">
        <is>
          <t>personagem.pericia_custom.1.treino</t>
        </is>
      </c>
      <c r="B6450" s="198">
        <f>N('FICHA'!$D$439)&amp;""</f>
        <v/>
      </c>
      <c r="C6450" s="198">
        <f>"'FICHA'!D413"</f>
        <v/>
      </c>
      <c r="D6450" s="198" t="inlineStr">
        <is>
          <t>entrada</t>
        </is>
      </c>
    </row>
    <row r="6451">
      <c r="A6451" s="198" t="inlineStr">
        <is>
          <t>personagem.pericia_custom.1.especializacao</t>
        </is>
      </c>
      <c r="B6451" s="198">
        <f>N('FICHA'!$E$439)&amp;""</f>
        <v/>
      </c>
      <c r="C6451" s="198">
        <f>"'FICHA'!E413"</f>
        <v/>
      </c>
      <c r="D6451" s="198" t="inlineStr">
        <is>
          <t>entrada</t>
        </is>
      </c>
    </row>
    <row r="6452">
      <c r="A6452" s="198" t="inlineStr">
        <is>
          <t>personagem.pericia_custom.1.atributo</t>
        </is>
      </c>
      <c r="B6452" s="198">
        <f>IF(ISBLANK('FICHA'!$N$439),"",'FICHA'!$N$439&amp;"")</f>
        <v/>
      </c>
      <c r="C6452" s="198">
        <f>"'FICHA'!N413"</f>
        <v/>
      </c>
      <c r="D6452" s="198" t="inlineStr">
        <is>
          <t>entrada</t>
        </is>
      </c>
    </row>
    <row r="6453">
      <c r="A6453" s="198" t="inlineStr">
        <is>
          <t>personagem.pericia_custom.1.resultado</t>
        </is>
      </c>
      <c r="B6453" s="198">
        <f>IF(ISBLANK('FICHA'!$R$439),"",'FICHA'!$R$439&amp;"")</f>
        <v/>
      </c>
      <c r="C6453" s="198">
        <f>"'FICHA'!R413"</f>
        <v/>
      </c>
      <c r="D6453" s="198" t="inlineStr">
        <is>
          <t>resultado</t>
        </is>
      </c>
    </row>
    <row r="6454">
      <c r="A6454" s="198" t="inlineStr">
        <is>
          <t>personagem.pericia_custom.1.bonus</t>
        </is>
      </c>
      <c r="B6454" s="198">
        <f>IF(ISBLANK('FICHA'!$T$439),"",'FICHA'!$T$439&amp;"")</f>
        <v/>
      </c>
      <c r="C6454" s="198">
        <f>"'FICHA'!T413"</f>
        <v/>
      </c>
      <c r="D6454" s="198" t="inlineStr">
        <is>
          <t>entrada</t>
        </is>
      </c>
    </row>
    <row r="6455">
      <c r="A6455" s="198" t="inlineStr">
        <is>
          <t>aviso.efeito_caixa.pericia_custom.1</t>
        </is>
      </c>
      <c r="B6455" s="198">
        <f>DADOS_CONFIG!$E$54&amp;""</f>
        <v/>
      </c>
      <c r="C6455" s="198" t="inlineStr">
        <is>
          <t>DADOS_CONFIG!E54</t>
        </is>
      </c>
      <c r="D6455" s="198" t="inlineStr">
        <is>
          <t>aviso</t>
        </is>
      </c>
    </row>
    <row r="6456">
      <c r="A6456" s="198" t="inlineStr">
        <is>
          <t>aviso.personagem.pericia_custom.1</t>
        </is>
      </c>
      <c r="B6456" s="198">
        <f>IF('FICHA'!$F$439="","",IF(AND(AND('FICHA'!$F$439&lt;&gt;"",COUNTIF('DADOS_PROGRESSAO'!$AV$2:$AV$11,SUBSTITUTE(SUBSTITUTE(SUBSTITUTE('FICHA'!$F$439,"~","~~"),"*","~*"),"?","~?"))=1,(COUNTIF('FICHA'!$F$439:$F$450,SUBSTITUTE(SUBSTITUTE(SUBSTITUTE('FICHA'!$F$439,"~","~~"),"*","~*"),"?","~?"))+COUNTIF('FICHA'!$Z$439:$Z$449,SUBSTITUTE(SUBSTITUTE(SUBSTITUTE('FICHA'!$F$439,"~","~~"),"*","~*"),"?","~?")))=1),COUNTIF('DADOS_PROGRESSAO'!$AN$2:$AN$6,'FICHA'!$N$439)=1),"","⚠ Custom inválido ou repetido; confira NOME e ATRIBUTO"))</f>
        <v/>
      </c>
      <c r="C6456" s="198">
        <f>"'FICHA'!F413"</f>
        <v/>
      </c>
      <c r="D6456" s="198" t="inlineStr">
        <is>
          <t>aviso</t>
        </is>
      </c>
    </row>
    <row r="6457">
      <c r="A6457" s="198" t="inlineStr">
        <is>
          <t>personagem.pericia_custom.2.nome</t>
        </is>
      </c>
      <c r="B6457" s="198">
        <f>IF(ISBLANK('FICHA'!$F$440),"",'FICHA'!$F$440&amp;"")</f>
        <v/>
      </c>
      <c r="C6457" s="198">
        <f>"'FICHA'!F414"</f>
        <v/>
      </c>
      <c r="D6457" s="198" t="inlineStr">
        <is>
          <t>entrada</t>
        </is>
      </c>
    </row>
    <row r="6458">
      <c r="A6458" s="198" t="inlineStr">
        <is>
          <t>personagem.pericia_custom.2.treino</t>
        </is>
      </c>
      <c r="B6458" s="198">
        <f>N('FICHA'!$D$440)&amp;""</f>
        <v/>
      </c>
      <c r="C6458" s="198">
        <f>"'FICHA'!D414"</f>
        <v/>
      </c>
      <c r="D6458" s="198" t="inlineStr">
        <is>
          <t>entrada</t>
        </is>
      </c>
    </row>
    <row r="6459">
      <c r="A6459" s="198" t="inlineStr">
        <is>
          <t>personagem.pericia_custom.2.especializacao</t>
        </is>
      </c>
      <c r="B6459" s="198">
        <f>N('FICHA'!$E$440)&amp;""</f>
        <v/>
      </c>
      <c r="C6459" s="198">
        <f>"'FICHA'!E414"</f>
        <v/>
      </c>
      <c r="D6459" s="198" t="inlineStr">
        <is>
          <t>entrada</t>
        </is>
      </c>
    </row>
    <row r="6460">
      <c r="A6460" s="198" t="inlineStr">
        <is>
          <t>personagem.pericia_custom.2.atributo</t>
        </is>
      </c>
      <c r="B6460" s="198">
        <f>IF(ISBLANK('FICHA'!$N$440),"",'FICHA'!$N$440&amp;"")</f>
        <v/>
      </c>
      <c r="C6460" s="198">
        <f>"'FICHA'!N414"</f>
        <v/>
      </c>
      <c r="D6460" s="198" t="inlineStr">
        <is>
          <t>entrada</t>
        </is>
      </c>
    </row>
    <row r="6461">
      <c r="A6461" s="198" t="inlineStr">
        <is>
          <t>personagem.pericia_custom.2.resultado</t>
        </is>
      </c>
      <c r="B6461" s="198">
        <f>IF(ISBLANK('FICHA'!$R$440),"",'FICHA'!$R$440&amp;"")</f>
        <v/>
      </c>
      <c r="C6461" s="198">
        <f>"'FICHA'!R414"</f>
        <v/>
      </c>
      <c r="D6461" s="198" t="inlineStr">
        <is>
          <t>resultado</t>
        </is>
      </c>
    </row>
    <row r="6462">
      <c r="A6462" s="198" t="inlineStr">
        <is>
          <t>personagem.pericia_custom.2.bonus</t>
        </is>
      </c>
      <c r="B6462" s="198">
        <f>IF(ISBLANK('FICHA'!$T$440),"",'FICHA'!$T$440&amp;"")</f>
        <v/>
      </c>
      <c r="C6462" s="198">
        <f>"'FICHA'!T414"</f>
        <v/>
      </c>
      <c r="D6462" s="198" t="inlineStr">
        <is>
          <t>entrada</t>
        </is>
      </c>
    </row>
    <row r="6463">
      <c r="A6463" s="198" t="inlineStr">
        <is>
          <t>aviso.efeito_caixa.pericia_custom.2</t>
        </is>
      </c>
      <c r="B6463" s="198">
        <f>DADOS_CONFIG!$E$55&amp;""</f>
        <v/>
      </c>
      <c r="C6463" s="198" t="inlineStr">
        <is>
          <t>DADOS_CONFIG!E55</t>
        </is>
      </c>
      <c r="D6463" s="198" t="inlineStr">
        <is>
          <t>aviso</t>
        </is>
      </c>
    </row>
    <row r="6464">
      <c r="A6464" s="198" t="inlineStr">
        <is>
          <t>aviso.personagem.pericia_custom.2</t>
        </is>
      </c>
      <c r="B6464" s="198">
        <f>IF('FICHA'!$F$440="","",IF(AND(AND('FICHA'!$F$440&lt;&gt;"",COUNTIF('DADOS_PROGRESSAO'!$AV$2:$AV$11,SUBSTITUTE(SUBSTITUTE(SUBSTITUTE('FICHA'!$F$440,"~","~~"),"*","~*"),"?","~?"))=1,(COUNTIF('FICHA'!$F$439:$F$450,SUBSTITUTE(SUBSTITUTE(SUBSTITUTE('FICHA'!$F$440,"~","~~"),"*","~*"),"?","~?"))+COUNTIF('FICHA'!$Z$439:$Z$449,SUBSTITUTE(SUBSTITUTE(SUBSTITUTE('FICHA'!$F$440,"~","~~"),"*","~*"),"?","~?")))=1),COUNTIF('DADOS_PROGRESSAO'!$AN$2:$AN$6,'FICHA'!$N$440)=1),"","⚠ Custom inválido ou repetido; confira NOME e ATRIBUTO"))</f>
        <v/>
      </c>
      <c r="C6464" s="198">
        <f>"'FICHA'!F414"</f>
        <v/>
      </c>
      <c r="D6464" s="198" t="inlineStr">
        <is>
          <t>aviso</t>
        </is>
      </c>
    </row>
    <row r="6465">
      <c r="A6465" s="198" t="inlineStr">
        <is>
          <t>personagem.pericia_custom.3.nome</t>
        </is>
      </c>
      <c r="B6465" s="198">
        <f>IF(ISBLANK('FICHA'!$F$441),"",'FICHA'!$F$441&amp;"")</f>
        <v/>
      </c>
      <c r="C6465" s="198">
        <f>"'FICHA'!F415"</f>
        <v/>
      </c>
      <c r="D6465" s="198" t="inlineStr">
        <is>
          <t>entrada</t>
        </is>
      </c>
    </row>
    <row r="6466">
      <c r="A6466" s="198" t="inlineStr">
        <is>
          <t>personagem.pericia_custom.3.treino</t>
        </is>
      </c>
      <c r="B6466" s="198">
        <f>N('FICHA'!$D$441)&amp;""</f>
        <v/>
      </c>
      <c r="C6466" s="198">
        <f>"'FICHA'!D415"</f>
        <v/>
      </c>
      <c r="D6466" s="198" t="inlineStr">
        <is>
          <t>entrada</t>
        </is>
      </c>
    </row>
    <row r="6467">
      <c r="A6467" s="198" t="inlineStr">
        <is>
          <t>personagem.pericia_custom.3.especializacao</t>
        </is>
      </c>
      <c r="B6467" s="198">
        <f>N('FICHA'!$E$441)&amp;""</f>
        <v/>
      </c>
      <c r="C6467" s="198">
        <f>"'FICHA'!E415"</f>
        <v/>
      </c>
      <c r="D6467" s="198" t="inlineStr">
        <is>
          <t>entrada</t>
        </is>
      </c>
    </row>
    <row r="6468">
      <c r="A6468" s="198" t="inlineStr">
        <is>
          <t>personagem.pericia_custom.3.atributo</t>
        </is>
      </c>
      <c r="B6468" s="198">
        <f>IF(ISBLANK('FICHA'!$N$441),"",'FICHA'!$N$441&amp;"")</f>
        <v/>
      </c>
      <c r="C6468" s="198">
        <f>"'FICHA'!N415"</f>
        <v/>
      </c>
      <c r="D6468" s="198" t="inlineStr">
        <is>
          <t>entrada</t>
        </is>
      </c>
    </row>
    <row r="6469">
      <c r="A6469" s="198" t="inlineStr">
        <is>
          <t>personagem.pericia_custom.3.resultado</t>
        </is>
      </c>
      <c r="B6469" s="198">
        <f>IF(ISBLANK('FICHA'!$R$441),"",'FICHA'!$R$441&amp;"")</f>
        <v/>
      </c>
      <c r="C6469" s="198">
        <f>"'FICHA'!R415"</f>
        <v/>
      </c>
      <c r="D6469" s="198" t="inlineStr">
        <is>
          <t>resultado</t>
        </is>
      </c>
    </row>
    <row r="6470">
      <c r="A6470" s="198" t="inlineStr">
        <is>
          <t>personagem.pericia_custom.3.bonus</t>
        </is>
      </c>
      <c r="B6470" s="198">
        <f>IF(ISBLANK('FICHA'!$T$441),"",'FICHA'!$T$441&amp;"")</f>
        <v/>
      </c>
      <c r="C6470" s="198">
        <f>"'FICHA'!T415"</f>
        <v/>
      </c>
      <c r="D6470" s="198" t="inlineStr">
        <is>
          <t>entrada</t>
        </is>
      </c>
    </row>
    <row r="6471">
      <c r="A6471" s="198" t="inlineStr">
        <is>
          <t>aviso.efeito_caixa.pericia_custom.3</t>
        </is>
      </c>
      <c r="B6471" s="198">
        <f>DADOS_CONFIG!$E$56&amp;""</f>
        <v/>
      </c>
      <c r="C6471" s="198" t="inlineStr">
        <is>
          <t>DADOS_CONFIG!E56</t>
        </is>
      </c>
      <c r="D6471" s="198" t="inlineStr">
        <is>
          <t>aviso</t>
        </is>
      </c>
    </row>
    <row r="6472">
      <c r="A6472" s="198" t="inlineStr">
        <is>
          <t>aviso.personagem.pericia_custom.3</t>
        </is>
      </c>
      <c r="B6472" s="198">
        <f>IF('FICHA'!$F$441="","",IF(AND(AND('FICHA'!$F$441&lt;&gt;"",COUNTIF('DADOS_PROGRESSAO'!$AV$2:$AV$11,SUBSTITUTE(SUBSTITUTE(SUBSTITUTE('FICHA'!$F$441,"~","~~"),"*","~*"),"?","~?"))=1,(COUNTIF('FICHA'!$F$439:$F$450,SUBSTITUTE(SUBSTITUTE(SUBSTITUTE('FICHA'!$F$441,"~","~~"),"*","~*"),"?","~?"))+COUNTIF('FICHA'!$Z$439:$Z$449,SUBSTITUTE(SUBSTITUTE(SUBSTITUTE('FICHA'!$F$441,"~","~~"),"*","~*"),"?","~?")))=1),COUNTIF('DADOS_PROGRESSAO'!$AN$2:$AN$6,'FICHA'!$N$441)=1),"","⚠ Custom inválido ou repetido; confira NOME e ATRIBUTO"))</f>
        <v/>
      </c>
      <c r="C6472" s="198">
        <f>"'FICHA'!F415"</f>
        <v/>
      </c>
      <c r="D6472" s="198" t="inlineStr">
        <is>
          <t>aviso</t>
        </is>
      </c>
    </row>
    <row r="6473">
      <c r="A6473" s="198" t="inlineStr">
        <is>
          <t>personagem.pericia_custom.4.nome</t>
        </is>
      </c>
      <c r="B6473" s="198">
        <f>IF(ISBLANK('FICHA'!$F$442),"",'FICHA'!$F$442&amp;"")</f>
        <v/>
      </c>
      <c r="C6473" s="198">
        <f>"'FICHA'!F416"</f>
        <v/>
      </c>
      <c r="D6473" s="198" t="inlineStr">
        <is>
          <t>entrada</t>
        </is>
      </c>
    </row>
    <row r="6474">
      <c r="A6474" s="198" t="inlineStr">
        <is>
          <t>personagem.pericia_custom.4.treino</t>
        </is>
      </c>
      <c r="B6474" s="198">
        <f>N('FICHA'!$D$442)&amp;""</f>
        <v/>
      </c>
      <c r="C6474" s="198">
        <f>"'FICHA'!D416"</f>
        <v/>
      </c>
      <c r="D6474" s="198" t="inlineStr">
        <is>
          <t>entrada</t>
        </is>
      </c>
    </row>
    <row r="6475">
      <c r="A6475" s="198" t="inlineStr">
        <is>
          <t>personagem.pericia_custom.4.especializacao</t>
        </is>
      </c>
      <c r="B6475" s="198">
        <f>N('FICHA'!$E$442)&amp;""</f>
        <v/>
      </c>
      <c r="C6475" s="198">
        <f>"'FICHA'!E416"</f>
        <v/>
      </c>
      <c r="D6475" s="198" t="inlineStr">
        <is>
          <t>entrada</t>
        </is>
      </c>
    </row>
    <row r="6476">
      <c r="A6476" s="198" t="inlineStr">
        <is>
          <t>personagem.pericia_custom.4.atributo</t>
        </is>
      </c>
      <c r="B6476" s="198">
        <f>IF(ISBLANK('FICHA'!$N$442),"",'FICHA'!$N$442&amp;"")</f>
        <v/>
      </c>
      <c r="C6476" s="198">
        <f>"'FICHA'!N416"</f>
        <v/>
      </c>
      <c r="D6476" s="198" t="inlineStr">
        <is>
          <t>entrada</t>
        </is>
      </c>
    </row>
    <row r="6477">
      <c r="A6477" s="198" t="inlineStr">
        <is>
          <t>personagem.pericia_custom.4.resultado</t>
        </is>
      </c>
      <c r="B6477" s="198">
        <f>IF(ISBLANK('FICHA'!$R$442),"",'FICHA'!$R$442&amp;"")</f>
        <v/>
      </c>
      <c r="C6477" s="198">
        <f>"'FICHA'!R416"</f>
        <v/>
      </c>
      <c r="D6477" s="198" t="inlineStr">
        <is>
          <t>resultado</t>
        </is>
      </c>
    </row>
    <row r="6478">
      <c r="A6478" s="198" t="inlineStr">
        <is>
          <t>personagem.pericia_custom.4.bonus</t>
        </is>
      </c>
      <c r="B6478" s="198">
        <f>IF(ISBLANK('FICHA'!$T$442),"",'FICHA'!$T$442&amp;"")</f>
        <v/>
      </c>
      <c r="C6478" s="198">
        <f>"'FICHA'!T416"</f>
        <v/>
      </c>
      <c r="D6478" s="198" t="inlineStr">
        <is>
          <t>entrada</t>
        </is>
      </c>
    </row>
    <row r="6479">
      <c r="A6479" s="198" t="inlineStr">
        <is>
          <t>aviso.efeito_caixa.pericia_custom.4</t>
        </is>
      </c>
      <c r="B6479" s="198">
        <f>DADOS_CONFIG!$E$57&amp;""</f>
        <v/>
      </c>
      <c r="C6479" s="198" t="inlineStr">
        <is>
          <t>DADOS_CONFIG!E57</t>
        </is>
      </c>
      <c r="D6479" s="198" t="inlineStr">
        <is>
          <t>aviso</t>
        </is>
      </c>
    </row>
    <row r="6480">
      <c r="A6480" s="198" t="inlineStr">
        <is>
          <t>aviso.personagem.pericia_custom.4</t>
        </is>
      </c>
      <c r="B6480" s="198">
        <f>IF('FICHA'!$F$442="","",IF(AND(AND('FICHA'!$F$442&lt;&gt;"",COUNTIF('DADOS_PROGRESSAO'!$AV$2:$AV$11,SUBSTITUTE(SUBSTITUTE(SUBSTITUTE('FICHA'!$F$442,"~","~~"),"*","~*"),"?","~?"))=1,(COUNTIF('FICHA'!$F$439:$F$450,SUBSTITUTE(SUBSTITUTE(SUBSTITUTE('FICHA'!$F$442,"~","~~"),"*","~*"),"?","~?"))+COUNTIF('FICHA'!$Z$439:$Z$449,SUBSTITUTE(SUBSTITUTE(SUBSTITUTE('FICHA'!$F$442,"~","~~"),"*","~*"),"?","~?")))=1),COUNTIF('DADOS_PROGRESSAO'!$AN$2:$AN$6,'FICHA'!$N$442)=1),"","⚠ Custom inválido ou repetido; confira NOME e ATRIBUTO"))</f>
        <v/>
      </c>
      <c r="C6480" s="198">
        <f>"'FICHA'!F416"</f>
        <v/>
      </c>
      <c r="D6480" s="198" t="inlineStr">
        <is>
          <t>aviso</t>
        </is>
      </c>
    </row>
    <row r="6481">
      <c r="A6481" s="198" t="inlineStr">
        <is>
          <t>personagem.pericia_custom.5.nome</t>
        </is>
      </c>
      <c r="B6481" s="198">
        <f>IF(ISBLANK('FICHA'!$F$443),"",'FICHA'!$F$443&amp;"")</f>
        <v/>
      </c>
      <c r="C6481" s="198">
        <f>"'FICHA'!F417"</f>
        <v/>
      </c>
      <c r="D6481" s="198" t="inlineStr">
        <is>
          <t>entrada</t>
        </is>
      </c>
    </row>
    <row r="6482">
      <c r="A6482" s="198" t="inlineStr">
        <is>
          <t>personagem.pericia_custom.5.treino</t>
        </is>
      </c>
      <c r="B6482" s="198">
        <f>N('FICHA'!$D$443)&amp;""</f>
        <v/>
      </c>
      <c r="C6482" s="198">
        <f>"'FICHA'!D417"</f>
        <v/>
      </c>
      <c r="D6482" s="198" t="inlineStr">
        <is>
          <t>entrada</t>
        </is>
      </c>
    </row>
    <row r="6483">
      <c r="A6483" s="198" t="inlineStr">
        <is>
          <t>personagem.pericia_custom.5.especializacao</t>
        </is>
      </c>
      <c r="B6483" s="198">
        <f>N('FICHA'!$E$443)&amp;""</f>
        <v/>
      </c>
      <c r="C6483" s="198">
        <f>"'FICHA'!E417"</f>
        <v/>
      </c>
      <c r="D6483" s="198" t="inlineStr">
        <is>
          <t>entrada</t>
        </is>
      </c>
    </row>
    <row r="6484">
      <c r="A6484" s="198" t="inlineStr">
        <is>
          <t>personagem.pericia_custom.5.atributo</t>
        </is>
      </c>
      <c r="B6484" s="198">
        <f>IF(ISBLANK('FICHA'!$N$443),"",'FICHA'!$N$443&amp;"")</f>
        <v/>
      </c>
      <c r="C6484" s="198">
        <f>"'FICHA'!N417"</f>
        <v/>
      </c>
      <c r="D6484" s="198" t="inlineStr">
        <is>
          <t>entrada</t>
        </is>
      </c>
    </row>
    <row r="6485">
      <c r="A6485" s="198" t="inlineStr">
        <is>
          <t>personagem.pericia_custom.5.resultado</t>
        </is>
      </c>
      <c r="B6485" s="198">
        <f>IF(ISBLANK('FICHA'!$R$443),"",'FICHA'!$R$443&amp;"")</f>
        <v/>
      </c>
      <c r="C6485" s="198">
        <f>"'FICHA'!R417"</f>
        <v/>
      </c>
      <c r="D6485" s="198" t="inlineStr">
        <is>
          <t>resultado</t>
        </is>
      </c>
    </row>
    <row r="6486">
      <c r="A6486" s="198" t="inlineStr">
        <is>
          <t>personagem.pericia_custom.5.bonus</t>
        </is>
      </c>
      <c r="B6486" s="198">
        <f>IF(ISBLANK('FICHA'!$T$443),"",'FICHA'!$T$443&amp;"")</f>
        <v/>
      </c>
      <c r="C6486" s="198">
        <f>"'FICHA'!T417"</f>
        <v/>
      </c>
      <c r="D6486" s="198" t="inlineStr">
        <is>
          <t>entrada</t>
        </is>
      </c>
    </row>
    <row r="6487">
      <c r="A6487" s="198" t="inlineStr">
        <is>
          <t>aviso.efeito_caixa.pericia_custom.5</t>
        </is>
      </c>
      <c r="B6487" s="198">
        <f>DADOS_CONFIG!$E$58&amp;""</f>
        <v/>
      </c>
      <c r="C6487" s="198" t="inlineStr">
        <is>
          <t>DADOS_CONFIG!E58</t>
        </is>
      </c>
      <c r="D6487" s="198" t="inlineStr">
        <is>
          <t>aviso</t>
        </is>
      </c>
    </row>
    <row r="6488">
      <c r="A6488" s="198" t="inlineStr">
        <is>
          <t>aviso.personagem.pericia_custom.5</t>
        </is>
      </c>
      <c r="B6488" s="198">
        <f>IF('FICHA'!$F$443="","",IF(AND(AND('FICHA'!$F$443&lt;&gt;"",COUNTIF('DADOS_PROGRESSAO'!$AV$2:$AV$11,SUBSTITUTE(SUBSTITUTE(SUBSTITUTE('FICHA'!$F$443,"~","~~"),"*","~*"),"?","~?"))=1,(COUNTIF('FICHA'!$F$439:$F$450,SUBSTITUTE(SUBSTITUTE(SUBSTITUTE('FICHA'!$F$443,"~","~~"),"*","~*"),"?","~?"))+COUNTIF('FICHA'!$Z$439:$Z$449,SUBSTITUTE(SUBSTITUTE(SUBSTITUTE('FICHA'!$F$443,"~","~~"),"*","~*"),"?","~?")))=1),COUNTIF('DADOS_PROGRESSAO'!$AN$2:$AN$6,'FICHA'!$N$443)=1),"","⚠ Custom inválido ou repetido; confira NOME e ATRIBUTO"))</f>
        <v/>
      </c>
      <c r="C6488" s="198">
        <f>"'FICHA'!F417"</f>
        <v/>
      </c>
      <c r="D6488" s="198" t="inlineStr">
        <is>
          <t>aviso</t>
        </is>
      </c>
    </row>
    <row r="6489">
      <c r="A6489" s="198" t="inlineStr">
        <is>
          <t>personagem.pericia_custom.6.nome</t>
        </is>
      </c>
      <c r="B6489" s="198">
        <f>IF(ISBLANK('FICHA'!$F$444),"",'FICHA'!$F$444&amp;"")</f>
        <v/>
      </c>
      <c r="C6489" s="198">
        <f>"'FICHA'!F418"</f>
        <v/>
      </c>
      <c r="D6489" s="198" t="inlineStr">
        <is>
          <t>entrada</t>
        </is>
      </c>
    </row>
    <row r="6490">
      <c r="A6490" s="198" t="inlineStr">
        <is>
          <t>personagem.pericia_custom.6.treino</t>
        </is>
      </c>
      <c r="B6490" s="198">
        <f>N('FICHA'!$D$444)&amp;""</f>
        <v/>
      </c>
      <c r="C6490" s="198">
        <f>"'FICHA'!D418"</f>
        <v/>
      </c>
      <c r="D6490" s="198" t="inlineStr">
        <is>
          <t>entrada</t>
        </is>
      </c>
    </row>
    <row r="6491">
      <c r="A6491" s="198" t="inlineStr">
        <is>
          <t>personagem.pericia_custom.6.especializacao</t>
        </is>
      </c>
      <c r="B6491" s="198">
        <f>N('FICHA'!$E$444)&amp;""</f>
        <v/>
      </c>
      <c r="C6491" s="198">
        <f>"'FICHA'!E418"</f>
        <v/>
      </c>
      <c r="D6491" s="198" t="inlineStr">
        <is>
          <t>entrada</t>
        </is>
      </c>
    </row>
    <row r="6492">
      <c r="A6492" s="198" t="inlineStr">
        <is>
          <t>personagem.pericia_custom.6.atributo</t>
        </is>
      </c>
      <c r="B6492" s="198">
        <f>IF(ISBLANK('FICHA'!$N$444),"",'FICHA'!$N$444&amp;"")</f>
        <v/>
      </c>
      <c r="C6492" s="198">
        <f>"'FICHA'!N418"</f>
        <v/>
      </c>
      <c r="D6492" s="198" t="inlineStr">
        <is>
          <t>entrada</t>
        </is>
      </c>
    </row>
    <row r="6493">
      <c r="A6493" s="198" t="inlineStr">
        <is>
          <t>personagem.pericia_custom.6.resultado</t>
        </is>
      </c>
      <c r="B6493" s="198">
        <f>IF(ISBLANK('FICHA'!$R$444),"",'FICHA'!$R$444&amp;"")</f>
        <v/>
      </c>
      <c r="C6493" s="198">
        <f>"'FICHA'!R418"</f>
        <v/>
      </c>
      <c r="D6493" s="198" t="inlineStr">
        <is>
          <t>resultado</t>
        </is>
      </c>
    </row>
    <row r="6494">
      <c r="A6494" s="198" t="inlineStr">
        <is>
          <t>personagem.pericia_custom.6.bonus</t>
        </is>
      </c>
      <c r="B6494" s="198">
        <f>IF(ISBLANK('FICHA'!$T$444),"",'FICHA'!$T$444&amp;"")</f>
        <v/>
      </c>
      <c r="C6494" s="198">
        <f>"'FICHA'!T418"</f>
        <v/>
      </c>
      <c r="D6494" s="198" t="inlineStr">
        <is>
          <t>entrada</t>
        </is>
      </c>
    </row>
    <row r="6495">
      <c r="A6495" s="198" t="inlineStr">
        <is>
          <t>aviso.efeito_caixa.pericia_custom.6</t>
        </is>
      </c>
      <c r="B6495" s="198">
        <f>DADOS_CONFIG!$E$59&amp;""</f>
        <v/>
      </c>
      <c r="C6495" s="198" t="inlineStr">
        <is>
          <t>DADOS_CONFIG!E59</t>
        </is>
      </c>
      <c r="D6495" s="198" t="inlineStr">
        <is>
          <t>aviso</t>
        </is>
      </c>
    </row>
    <row r="6496">
      <c r="A6496" s="198" t="inlineStr">
        <is>
          <t>aviso.personagem.pericia_custom.6</t>
        </is>
      </c>
      <c r="B6496" s="198">
        <f>IF('FICHA'!$F$444="","",IF(AND(AND('FICHA'!$F$444&lt;&gt;"",COUNTIF('DADOS_PROGRESSAO'!$AV$2:$AV$11,SUBSTITUTE(SUBSTITUTE(SUBSTITUTE('FICHA'!$F$444,"~","~~"),"*","~*"),"?","~?"))=1,(COUNTIF('FICHA'!$F$439:$F$450,SUBSTITUTE(SUBSTITUTE(SUBSTITUTE('FICHA'!$F$444,"~","~~"),"*","~*"),"?","~?"))+COUNTIF('FICHA'!$Z$439:$Z$449,SUBSTITUTE(SUBSTITUTE(SUBSTITUTE('FICHA'!$F$444,"~","~~"),"*","~*"),"?","~?")))=1),COUNTIF('DADOS_PROGRESSAO'!$AN$2:$AN$6,'FICHA'!$N$444)=1),"","⚠ Custom inválido ou repetido; confira NOME e ATRIBUTO"))</f>
        <v/>
      </c>
      <c r="C6496" s="198">
        <f>"'FICHA'!F418"</f>
        <v/>
      </c>
      <c r="D6496" s="198" t="inlineStr">
        <is>
          <t>aviso</t>
        </is>
      </c>
    </row>
    <row r="6497">
      <c r="A6497" s="198" t="inlineStr">
        <is>
          <t>personagem.pericia_custom.7.nome</t>
        </is>
      </c>
      <c r="B6497" s="198">
        <f>IF(ISBLANK('FICHA'!$F$445),"",'FICHA'!$F$445&amp;"")</f>
        <v/>
      </c>
      <c r="C6497" s="198">
        <f>"'FICHA'!F419"</f>
        <v/>
      </c>
      <c r="D6497" s="198" t="inlineStr">
        <is>
          <t>entrada</t>
        </is>
      </c>
    </row>
    <row r="6498">
      <c r="A6498" s="198" t="inlineStr">
        <is>
          <t>personagem.pericia_custom.7.treino</t>
        </is>
      </c>
      <c r="B6498" s="198">
        <f>N('FICHA'!$D$445)&amp;""</f>
        <v/>
      </c>
      <c r="C6498" s="198">
        <f>"'FICHA'!D419"</f>
        <v/>
      </c>
      <c r="D6498" s="198" t="inlineStr">
        <is>
          <t>entrada</t>
        </is>
      </c>
    </row>
    <row r="6499">
      <c r="A6499" s="198" t="inlineStr">
        <is>
          <t>personagem.pericia_custom.7.especializacao</t>
        </is>
      </c>
      <c r="B6499" s="198">
        <f>N('FICHA'!$E$445)&amp;""</f>
        <v/>
      </c>
      <c r="C6499" s="198">
        <f>"'FICHA'!E419"</f>
        <v/>
      </c>
      <c r="D6499" s="198" t="inlineStr">
        <is>
          <t>entrada</t>
        </is>
      </c>
    </row>
    <row r="6500">
      <c r="A6500" s="198" t="inlineStr">
        <is>
          <t>personagem.pericia_custom.7.atributo</t>
        </is>
      </c>
      <c r="B6500" s="198">
        <f>IF(ISBLANK('FICHA'!$N$445),"",'FICHA'!$N$445&amp;"")</f>
        <v/>
      </c>
      <c r="C6500" s="198">
        <f>"'FICHA'!N419"</f>
        <v/>
      </c>
      <c r="D6500" s="198" t="inlineStr">
        <is>
          <t>entrada</t>
        </is>
      </c>
    </row>
    <row r="6501">
      <c r="A6501" s="198" t="inlineStr">
        <is>
          <t>personagem.pericia_custom.7.resultado</t>
        </is>
      </c>
      <c r="B6501" s="198">
        <f>IF(ISBLANK('FICHA'!$R$445),"",'FICHA'!$R$445&amp;"")</f>
        <v/>
      </c>
      <c r="C6501" s="198">
        <f>"'FICHA'!R419"</f>
        <v/>
      </c>
      <c r="D6501" s="198" t="inlineStr">
        <is>
          <t>resultado</t>
        </is>
      </c>
    </row>
    <row r="6502">
      <c r="A6502" s="198" t="inlineStr">
        <is>
          <t>personagem.pericia_custom.7.bonus</t>
        </is>
      </c>
      <c r="B6502" s="198">
        <f>IF(ISBLANK('FICHA'!$T$445),"",'FICHA'!$T$445&amp;"")</f>
        <v/>
      </c>
      <c r="C6502" s="198">
        <f>"'FICHA'!T419"</f>
        <v/>
      </c>
      <c r="D6502" s="198" t="inlineStr">
        <is>
          <t>entrada</t>
        </is>
      </c>
    </row>
    <row r="6503">
      <c r="A6503" s="198" t="inlineStr">
        <is>
          <t>aviso.efeito_caixa.pericia_custom.7</t>
        </is>
      </c>
      <c r="B6503" s="198">
        <f>DADOS_CONFIG!$E$60&amp;""</f>
        <v/>
      </c>
      <c r="C6503" s="198" t="inlineStr">
        <is>
          <t>DADOS_CONFIG!E60</t>
        </is>
      </c>
      <c r="D6503" s="198" t="inlineStr">
        <is>
          <t>aviso</t>
        </is>
      </c>
    </row>
    <row r="6504">
      <c r="A6504" s="198" t="inlineStr">
        <is>
          <t>aviso.personagem.pericia_custom.7</t>
        </is>
      </c>
      <c r="B6504" s="198">
        <f>IF('FICHA'!$F$445="","",IF(AND(AND('FICHA'!$F$445&lt;&gt;"",COUNTIF('DADOS_PROGRESSAO'!$AV$2:$AV$11,SUBSTITUTE(SUBSTITUTE(SUBSTITUTE('FICHA'!$F$445,"~","~~"),"*","~*"),"?","~?"))=1,(COUNTIF('FICHA'!$F$439:$F$450,SUBSTITUTE(SUBSTITUTE(SUBSTITUTE('FICHA'!$F$445,"~","~~"),"*","~*"),"?","~?"))+COUNTIF('FICHA'!$Z$439:$Z$449,SUBSTITUTE(SUBSTITUTE(SUBSTITUTE('FICHA'!$F$445,"~","~~"),"*","~*"),"?","~?")))=1),COUNTIF('DADOS_PROGRESSAO'!$AN$2:$AN$6,'FICHA'!$N$445)=1),"","⚠ Custom inválido ou repetido; confira NOME e ATRIBUTO"))</f>
        <v/>
      </c>
      <c r="C6504" s="198">
        <f>"'FICHA'!F419"</f>
        <v/>
      </c>
      <c r="D6504" s="198" t="inlineStr">
        <is>
          <t>aviso</t>
        </is>
      </c>
    </row>
    <row r="6505">
      <c r="A6505" s="198" t="inlineStr">
        <is>
          <t>personagem.pericia_custom.8.nome</t>
        </is>
      </c>
      <c r="B6505" s="198">
        <f>IF(ISBLANK('FICHA'!$F$446),"",'FICHA'!$F$446&amp;"")</f>
        <v/>
      </c>
      <c r="C6505" s="198">
        <f>"'FICHA'!F420"</f>
        <v/>
      </c>
      <c r="D6505" s="198" t="inlineStr">
        <is>
          <t>entrada</t>
        </is>
      </c>
    </row>
    <row r="6506">
      <c r="A6506" s="198" t="inlineStr">
        <is>
          <t>personagem.pericia_custom.8.treino</t>
        </is>
      </c>
      <c r="B6506" s="198">
        <f>N('FICHA'!$D$446)&amp;""</f>
        <v/>
      </c>
      <c r="C6506" s="198">
        <f>"'FICHA'!D420"</f>
        <v/>
      </c>
      <c r="D6506" s="198" t="inlineStr">
        <is>
          <t>entrada</t>
        </is>
      </c>
    </row>
    <row r="6507">
      <c r="A6507" s="198" t="inlineStr">
        <is>
          <t>personagem.pericia_custom.8.especializacao</t>
        </is>
      </c>
      <c r="B6507" s="198">
        <f>N('FICHA'!$E$446)&amp;""</f>
        <v/>
      </c>
      <c r="C6507" s="198">
        <f>"'FICHA'!E420"</f>
        <v/>
      </c>
      <c r="D6507" s="198" t="inlineStr">
        <is>
          <t>entrada</t>
        </is>
      </c>
    </row>
    <row r="6508">
      <c r="A6508" s="198" t="inlineStr">
        <is>
          <t>personagem.pericia_custom.8.atributo</t>
        </is>
      </c>
      <c r="B6508" s="198">
        <f>IF(ISBLANK('FICHA'!$N$446),"",'FICHA'!$N$446&amp;"")</f>
        <v/>
      </c>
      <c r="C6508" s="198">
        <f>"'FICHA'!N420"</f>
        <v/>
      </c>
      <c r="D6508" s="198" t="inlineStr">
        <is>
          <t>entrada</t>
        </is>
      </c>
    </row>
    <row r="6509">
      <c r="A6509" s="198" t="inlineStr">
        <is>
          <t>personagem.pericia_custom.8.resultado</t>
        </is>
      </c>
      <c r="B6509" s="198">
        <f>IF(ISBLANK('FICHA'!$R$446),"",'FICHA'!$R$446&amp;"")</f>
        <v/>
      </c>
      <c r="C6509" s="198">
        <f>"'FICHA'!R420"</f>
        <v/>
      </c>
      <c r="D6509" s="198" t="inlineStr">
        <is>
          <t>resultado</t>
        </is>
      </c>
    </row>
    <row r="6510">
      <c r="A6510" s="198" t="inlineStr">
        <is>
          <t>personagem.pericia_custom.8.bonus</t>
        </is>
      </c>
      <c r="B6510" s="198">
        <f>IF(ISBLANK('FICHA'!$T$446),"",'FICHA'!$T$446&amp;"")</f>
        <v/>
      </c>
      <c r="C6510" s="198">
        <f>"'FICHA'!T420"</f>
        <v/>
      </c>
      <c r="D6510" s="198" t="inlineStr">
        <is>
          <t>entrada</t>
        </is>
      </c>
    </row>
    <row r="6511">
      <c r="A6511" s="198" t="inlineStr">
        <is>
          <t>aviso.efeito_caixa.pericia_custom.8</t>
        </is>
      </c>
      <c r="B6511" s="198">
        <f>DADOS_CONFIG!$E$61&amp;""</f>
        <v/>
      </c>
      <c r="C6511" s="198" t="inlineStr">
        <is>
          <t>DADOS_CONFIG!E61</t>
        </is>
      </c>
      <c r="D6511" s="198" t="inlineStr">
        <is>
          <t>aviso</t>
        </is>
      </c>
    </row>
    <row r="6512">
      <c r="A6512" s="198" t="inlineStr">
        <is>
          <t>aviso.personagem.pericia_custom.8</t>
        </is>
      </c>
      <c r="B6512" s="198">
        <f>IF('FICHA'!$F$446="","",IF(AND(AND('FICHA'!$F$446&lt;&gt;"",COUNTIF('DADOS_PROGRESSAO'!$AV$2:$AV$11,SUBSTITUTE(SUBSTITUTE(SUBSTITUTE('FICHA'!$F$446,"~","~~"),"*","~*"),"?","~?"))=1,(COUNTIF('FICHA'!$F$439:$F$450,SUBSTITUTE(SUBSTITUTE(SUBSTITUTE('FICHA'!$F$446,"~","~~"),"*","~*"),"?","~?"))+COUNTIF('FICHA'!$Z$439:$Z$449,SUBSTITUTE(SUBSTITUTE(SUBSTITUTE('FICHA'!$F$446,"~","~~"),"*","~*"),"?","~?")))=1),COUNTIF('DADOS_PROGRESSAO'!$AN$2:$AN$6,'FICHA'!$N$446)=1),"","⚠ Custom inválido ou repetido; confira NOME e ATRIBUTO"))</f>
        <v/>
      </c>
      <c r="C6512" s="198">
        <f>"'FICHA'!F420"</f>
        <v/>
      </c>
      <c r="D6512" s="198" t="inlineStr">
        <is>
          <t>aviso</t>
        </is>
      </c>
    </row>
    <row r="6513">
      <c r="A6513" s="198" t="inlineStr">
        <is>
          <t>personagem.pericia_custom.9.nome</t>
        </is>
      </c>
      <c r="B6513" s="198">
        <f>IF(ISBLANK('FICHA'!$F$447),"",'FICHA'!$F$447&amp;"")</f>
        <v/>
      </c>
      <c r="C6513" s="198">
        <f>"'FICHA'!F421"</f>
        <v/>
      </c>
      <c r="D6513" s="198" t="inlineStr">
        <is>
          <t>entrada</t>
        </is>
      </c>
    </row>
    <row r="6514">
      <c r="A6514" s="198" t="inlineStr">
        <is>
          <t>personagem.pericia_custom.9.treino</t>
        </is>
      </c>
      <c r="B6514" s="198">
        <f>N('FICHA'!$D$447)&amp;""</f>
        <v/>
      </c>
      <c r="C6514" s="198">
        <f>"'FICHA'!D421"</f>
        <v/>
      </c>
      <c r="D6514" s="198" t="inlineStr">
        <is>
          <t>entrada</t>
        </is>
      </c>
    </row>
    <row r="6515">
      <c r="A6515" s="198" t="inlineStr">
        <is>
          <t>personagem.pericia_custom.9.especializacao</t>
        </is>
      </c>
      <c r="B6515" s="198">
        <f>N('FICHA'!$E$447)&amp;""</f>
        <v/>
      </c>
      <c r="C6515" s="198">
        <f>"'FICHA'!E421"</f>
        <v/>
      </c>
      <c r="D6515" s="198" t="inlineStr">
        <is>
          <t>entrada</t>
        </is>
      </c>
    </row>
    <row r="6516">
      <c r="A6516" s="198" t="inlineStr">
        <is>
          <t>personagem.pericia_custom.9.atributo</t>
        </is>
      </c>
      <c r="B6516" s="198">
        <f>IF(ISBLANK('FICHA'!$N$447),"",'FICHA'!$N$447&amp;"")</f>
        <v/>
      </c>
      <c r="C6516" s="198">
        <f>"'FICHA'!N421"</f>
        <v/>
      </c>
      <c r="D6516" s="198" t="inlineStr">
        <is>
          <t>entrada</t>
        </is>
      </c>
    </row>
    <row r="6517">
      <c r="A6517" s="198" t="inlineStr">
        <is>
          <t>personagem.pericia_custom.9.resultado</t>
        </is>
      </c>
      <c r="B6517" s="198">
        <f>IF(ISBLANK('FICHA'!$R$447),"",'FICHA'!$R$447&amp;"")</f>
        <v/>
      </c>
      <c r="C6517" s="198">
        <f>"'FICHA'!R421"</f>
        <v/>
      </c>
      <c r="D6517" s="198" t="inlineStr">
        <is>
          <t>resultado</t>
        </is>
      </c>
    </row>
    <row r="6518">
      <c r="A6518" s="198" t="inlineStr">
        <is>
          <t>personagem.pericia_custom.9.bonus</t>
        </is>
      </c>
      <c r="B6518" s="198">
        <f>IF(ISBLANK('FICHA'!$T$447),"",'FICHA'!$T$447&amp;"")</f>
        <v/>
      </c>
      <c r="C6518" s="198">
        <f>"'FICHA'!T421"</f>
        <v/>
      </c>
      <c r="D6518" s="198" t="inlineStr">
        <is>
          <t>entrada</t>
        </is>
      </c>
    </row>
    <row r="6519">
      <c r="A6519" s="198" t="inlineStr">
        <is>
          <t>aviso.efeito_caixa.pericia_custom.9</t>
        </is>
      </c>
      <c r="B6519" s="198">
        <f>DADOS_CONFIG!$E$62&amp;""</f>
        <v/>
      </c>
      <c r="C6519" s="198" t="inlineStr">
        <is>
          <t>DADOS_CONFIG!E62</t>
        </is>
      </c>
      <c r="D6519" s="198" t="inlineStr">
        <is>
          <t>aviso</t>
        </is>
      </c>
    </row>
    <row r="6520">
      <c r="A6520" s="198" t="inlineStr">
        <is>
          <t>aviso.personagem.pericia_custom.9</t>
        </is>
      </c>
      <c r="B6520" s="198">
        <f>IF('FICHA'!$F$447="","",IF(AND(AND('FICHA'!$F$447&lt;&gt;"",COUNTIF('DADOS_PROGRESSAO'!$AV$2:$AV$11,SUBSTITUTE(SUBSTITUTE(SUBSTITUTE('FICHA'!$F$447,"~","~~"),"*","~*"),"?","~?"))=1,(COUNTIF('FICHA'!$F$439:$F$450,SUBSTITUTE(SUBSTITUTE(SUBSTITUTE('FICHA'!$F$447,"~","~~"),"*","~*"),"?","~?"))+COUNTIF('FICHA'!$Z$439:$Z$449,SUBSTITUTE(SUBSTITUTE(SUBSTITUTE('FICHA'!$F$447,"~","~~"),"*","~*"),"?","~?")))=1),COUNTIF('DADOS_PROGRESSAO'!$AN$2:$AN$6,'FICHA'!$N$447)=1),"","⚠ Custom inválido ou repetido; confira NOME e ATRIBUTO"))</f>
        <v/>
      </c>
      <c r="C6520" s="198">
        <f>"'FICHA'!F421"</f>
        <v/>
      </c>
      <c r="D6520" s="198" t="inlineStr">
        <is>
          <t>aviso</t>
        </is>
      </c>
    </row>
    <row r="6521">
      <c r="A6521" s="198" t="inlineStr">
        <is>
          <t>personagem.pericia_custom.10.nome</t>
        </is>
      </c>
      <c r="B6521" s="198">
        <f>IF(ISBLANK('FICHA'!$F$448),"",'FICHA'!$F$448&amp;"")</f>
        <v/>
      </c>
      <c r="C6521" s="198">
        <f>"'FICHA'!F422"</f>
        <v/>
      </c>
      <c r="D6521" s="198" t="inlineStr">
        <is>
          <t>entrada</t>
        </is>
      </c>
    </row>
    <row r="6522">
      <c r="A6522" s="198" t="inlineStr">
        <is>
          <t>personagem.pericia_custom.10.treino</t>
        </is>
      </c>
      <c r="B6522" s="198">
        <f>N('FICHA'!$D$448)&amp;""</f>
        <v/>
      </c>
      <c r="C6522" s="198">
        <f>"'FICHA'!D422"</f>
        <v/>
      </c>
      <c r="D6522" s="198" t="inlineStr">
        <is>
          <t>entrada</t>
        </is>
      </c>
    </row>
    <row r="6523">
      <c r="A6523" s="198" t="inlineStr">
        <is>
          <t>personagem.pericia_custom.10.especializacao</t>
        </is>
      </c>
      <c r="B6523" s="198">
        <f>N('FICHA'!$E$448)&amp;""</f>
        <v/>
      </c>
      <c r="C6523" s="198">
        <f>"'FICHA'!E422"</f>
        <v/>
      </c>
      <c r="D6523" s="198" t="inlineStr">
        <is>
          <t>entrada</t>
        </is>
      </c>
    </row>
    <row r="6524">
      <c r="A6524" s="198" t="inlineStr">
        <is>
          <t>personagem.pericia_custom.10.atributo</t>
        </is>
      </c>
      <c r="B6524" s="198">
        <f>IF(ISBLANK('FICHA'!$N$448),"",'FICHA'!$N$448&amp;"")</f>
        <v/>
      </c>
      <c r="C6524" s="198">
        <f>"'FICHA'!N422"</f>
        <v/>
      </c>
      <c r="D6524" s="198" t="inlineStr">
        <is>
          <t>entrada</t>
        </is>
      </c>
    </row>
    <row r="6525">
      <c r="A6525" s="198" t="inlineStr">
        <is>
          <t>personagem.pericia_custom.10.resultado</t>
        </is>
      </c>
      <c r="B6525" s="198">
        <f>IF(ISBLANK('FICHA'!$R$448),"",'FICHA'!$R$448&amp;"")</f>
        <v/>
      </c>
      <c r="C6525" s="198">
        <f>"'FICHA'!R422"</f>
        <v/>
      </c>
      <c r="D6525" s="198" t="inlineStr">
        <is>
          <t>resultado</t>
        </is>
      </c>
    </row>
    <row r="6526">
      <c r="A6526" s="198" t="inlineStr">
        <is>
          <t>personagem.pericia_custom.10.bonus</t>
        </is>
      </c>
      <c r="B6526" s="198">
        <f>IF(ISBLANK('FICHA'!$T$448),"",'FICHA'!$T$448&amp;"")</f>
        <v/>
      </c>
      <c r="C6526" s="198">
        <f>"'FICHA'!T422"</f>
        <v/>
      </c>
      <c r="D6526" s="198" t="inlineStr">
        <is>
          <t>entrada</t>
        </is>
      </c>
    </row>
    <row r="6527">
      <c r="A6527" s="198" t="inlineStr">
        <is>
          <t>aviso.efeito_caixa.pericia_custom.10</t>
        </is>
      </c>
      <c r="B6527" s="198">
        <f>DADOS_CONFIG!$E$63&amp;""</f>
        <v/>
      </c>
      <c r="C6527" s="198" t="inlineStr">
        <is>
          <t>DADOS_CONFIG!E63</t>
        </is>
      </c>
      <c r="D6527" s="198" t="inlineStr">
        <is>
          <t>aviso</t>
        </is>
      </c>
    </row>
    <row r="6528">
      <c r="A6528" s="198" t="inlineStr">
        <is>
          <t>aviso.personagem.pericia_custom.10</t>
        </is>
      </c>
      <c r="B6528" s="198">
        <f>IF('FICHA'!$F$448="","",IF(AND(AND('FICHA'!$F$448&lt;&gt;"",COUNTIF('DADOS_PROGRESSAO'!$AV$2:$AV$11,SUBSTITUTE(SUBSTITUTE(SUBSTITUTE('FICHA'!$F$448,"~","~~"),"*","~*"),"?","~?"))=1,(COUNTIF('FICHA'!$F$439:$F$450,SUBSTITUTE(SUBSTITUTE(SUBSTITUTE('FICHA'!$F$448,"~","~~"),"*","~*"),"?","~?"))+COUNTIF('FICHA'!$Z$439:$Z$449,SUBSTITUTE(SUBSTITUTE(SUBSTITUTE('FICHA'!$F$448,"~","~~"),"*","~*"),"?","~?")))=1),COUNTIF('DADOS_PROGRESSAO'!$AN$2:$AN$6,'FICHA'!$N$448)=1),"","⚠ Custom inválido ou repetido; confira NOME e ATRIBUTO"))</f>
        <v/>
      </c>
      <c r="C6528" s="198">
        <f>"'FICHA'!F422"</f>
        <v/>
      </c>
      <c r="D6528" s="198" t="inlineStr">
        <is>
          <t>aviso</t>
        </is>
      </c>
    </row>
    <row r="6529">
      <c r="A6529" s="198" t="inlineStr">
        <is>
          <t>personagem.pericia_custom.11.nome</t>
        </is>
      </c>
      <c r="B6529" s="198">
        <f>IF(ISBLANK('FICHA'!$F$449),"",'FICHA'!$F$449&amp;"")</f>
        <v/>
      </c>
      <c r="C6529" s="198">
        <f>"'FICHA'!F423"</f>
        <v/>
      </c>
      <c r="D6529" s="198" t="inlineStr">
        <is>
          <t>entrada</t>
        </is>
      </c>
    </row>
    <row r="6530">
      <c r="A6530" s="198" t="inlineStr">
        <is>
          <t>personagem.pericia_custom.11.treino</t>
        </is>
      </c>
      <c r="B6530" s="198">
        <f>N('FICHA'!$D$449)&amp;""</f>
        <v/>
      </c>
      <c r="C6530" s="198">
        <f>"'FICHA'!D423"</f>
        <v/>
      </c>
      <c r="D6530" s="198" t="inlineStr">
        <is>
          <t>entrada</t>
        </is>
      </c>
    </row>
    <row r="6531">
      <c r="A6531" s="198" t="inlineStr">
        <is>
          <t>personagem.pericia_custom.11.especializacao</t>
        </is>
      </c>
      <c r="B6531" s="198">
        <f>N('FICHA'!$E$449)&amp;""</f>
        <v/>
      </c>
      <c r="C6531" s="198">
        <f>"'FICHA'!E423"</f>
        <v/>
      </c>
      <c r="D6531" s="198" t="inlineStr">
        <is>
          <t>entrada</t>
        </is>
      </c>
    </row>
    <row r="6532">
      <c r="A6532" s="198" t="inlineStr">
        <is>
          <t>personagem.pericia_custom.11.atributo</t>
        </is>
      </c>
      <c r="B6532" s="198">
        <f>IF(ISBLANK('FICHA'!$N$449),"",'FICHA'!$N$449&amp;"")</f>
        <v/>
      </c>
      <c r="C6532" s="198">
        <f>"'FICHA'!N423"</f>
        <v/>
      </c>
      <c r="D6532" s="198" t="inlineStr">
        <is>
          <t>entrada</t>
        </is>
      </c>
    </row>
    <row r="6533">
      <c r="A6533" s="198" t="inlineStr">
        <is>
          <t>personagem.pericia_custom.11.resultado</t>
        </is>
      </c>
      <c r="B6533" s="198">
        <f>IF(ISBLANK('FICHA'!$R$449),"",'FICHA'!$R$449&amp;"")</f>
        <v/>
      </c>
      <c r="C6533" s="198">
        <f>"'FICHA'!R423"</f>
        <v/>
      </c>
      <c r="D6533" s="198" t="inlineStr">
        <is>
          <t>resultado</t>
        </is>
      </c>
    </row>
    <row r="6534">
      <c r="A6534" s="198" t="inlineStr">
        <is>
          <t>personagem.pericia_custom.11.bonus</t>
        </is>
      </c>
      <c r="B6534" s="198">
        <f>IF(ISBLANK('FICHA'!$T$449),"",'FICHA'!$T$449&amp;"")</f>
        <v/>
      </c>
      <c r="C6534" s="198">
        <f>"'FICHA'!T423"</f>
        <v/>
      </c>
      <c r="D6534" s="198" t="inlineStr">
        <is>
          <t>entrada</t>
        </is>
      </c>
    </row>
    <row r="6535">
      <c r="A6535" s="198" t="inlineStr">
        <is>
          <t>aviso.efeito_caixa.pericia_custom.11</t>
        </is>
      </c>
      <c r="B6535" s="198">
        <f>DADOS_CONFIG!$E$64&amp;""</f>
        <v/>
      </c>
      <c r="C6535" s="198" t="inlineStr">
        <is>
          <t>DADOS_CONFIG!E64</t>
        </is>
      </c>
      <c r="D6535" s="198" t="inlineStr">
        <is>
          <t>aviso</t>
        </is>
      </c>
    </row>
    <row r="6536">
      <c r="A6536" s="198" t="inlineStr">
        <is>
          <t>aviso.personagem.pericia_custom.11</t>
        </is>
      </c>
      <c r="B6536" s="198">
        <f>IF('FICHA'!$F$449="","",IF(AND(AND('FICHA'!$F$449&lt;&gt;"",COUNTIF('DADOS_PROGRESSAO'!$AV$2:$AV$11,SUBSTITUTE(SUBSTITUTE(SUBSTITUTE('FICHA'!$F$449,"~","~~"),"*","~*"),"?","~?"))=1,(COUNTIF('FICHA'!$F$439:$F$450,SUBSTITUTE(SUBSTITUTE(SUBSTITUTE('FICHA'!$F$449,"~","~~"),"*","~*"),"?","~?"))+COUNTIF('FICHA'!$Z$439:$Z$449,SUBSTITUTE(SUBSTITUTE(SUBSTITUTE('FICHA'!$F$449,"~","~~"),"*","~*"),"?","~?")))=1),COUNTIF('DADOS_PROGRESSAO'!$AN$2:$AN$6,'FICHA'!$N$449)=1),"","⚠ Custom inválido ou repetido; confira NOME e ATRIBUTO"))</f>
        <v/>
      </c>
      <c r="C6536" s="198">
        <f>"'FICHA'!F423"</f>
        <v/>
      </c>
      <c r="D6536" s="198" t="inlineStr">
        <is>
          <t>aviso</t>
        </is>
      </c>
    </row>
    <row r="6537">
      <c r="A6537" s="198" t="inlineStr">
        <is>
          <t>personagem.pericia_custom.12.nome</t>
        </is>
      </c>
      <c r="B6537" s="198">
        <f>IF(ISBLANK('FICHA'!$F$450),"",'FICHA'!$F$450&amp;"")</f>
        <v/>
      </c>
      <c r="C6537" s="198">
        <f>"'FICHA'!F424"</f>
        <v/>
      </c>
      <c r="D6537" s="198" t="inlineStr">
        <is>
          <t>entrada</t>
        </is>
      </c>
    </row>
    <row r="6538">
      <c r="A6538" s="198" t="inlineStr">
        <is>
          <t>personagem.pericia_custom.12.treino</t>
        </is>
      </c>
      <c r="B6538" s="198">
        <f>N('FICHA'!$D$450)&amp;""</f>
        <v/>
      </c>
      <c r="C6538" s="198">
        <f>"'FICHA'!D424"</f>
        <v/>
      </c>
      <c r="D6538" s="198" t="inlineStr">
        <is>
          <t>entrada</t>
        </is>
      </c>
    </row>
    <row r="6539">
      <c r="A6539" s="198" t="inlineStr">
        <is>
          <t>personagem.pericia_custom.12.especializacao</t>
        </is>
      </c>
      <c r="B6539" s="198">
        <f>N('FICHA'!$E$450)&amp;""</f>
        <v/>
      </c>
      <c r="C6539" s="198">
        <f>"'FICHA'!E424"</f>
        <v/>
      </c>
      <c r="D6539" s="198" t="inlineStr">
        <is>
          <t>entrada</t>
        </is>
      </c>
    </row>
    <row r="6540">
      <c r="A6540" s="198" t="inlineStr">
        <is>
          <t>personagem.pericia_custom.12.atributo</t>
        </is>
      </c>
      <c r="B6540" s="198">
        <f>IF(ISBLANK('FICHA'!$N$450),"",'FICHA'!$N$450&amp;"")</f>
        <v/>
      </c>
      <c r="C6540" s="198">
        <f>"'FICHA'!N424"</f>
        <v/>
      </c>
      <c r="D6540" s="198" t="inlineStr">
        <is>
          <t>entrada</t>
        </is>
      </c>
    </row>
    <row r="6541">
      <c r="A6541" s="198" t="inlineStr">
        <is>
          <t>personagem.pericia_custom.12.resultado</t>
        </is>
      </c>
      <c r="B6541" s="198">
        <f>IF(ISBLANK('FICHA'!$R$450),"",'FICHA'!$R$450&amp;"")</f>
        <v/>
      </c>
      <c r="C6541" s="198">
        <f>"'FICHA'!R424"</f>
        <v/>
      </c>
      <c r="D6541" s="198" t="inlineStr">
        <is>
          <t>resultado</t>
        </is>
      </c>
    </row>
    <row r="6542">
      <c r="A6542" s="198" t="inlineStr">
        <is>
          <t>personagem.pericia_custom.12.bonus</t>
        </is>
      </c>
      <c r="B6542" s="198">
        <f>IF(ISBLANK('FICHA'!$T$450),"",'FICHA'!$T$450&amp;"")</f>
        <v/>
      </c>
      <c r="C6542" s="198">
        <f>"'FICHA'!T424"</f>
        <v/>
      </c>
      <c r="D6542" s="198" t="inlineStr">
        <is>
          <t>entrada</t>
        </is>
      </c>
    </row>
    <row r="6543">
      <c r="A6543" s="198" t="inlineStr">
        <is>
          <t>aviso.efeito_caixa.pericia_custom.12</t>
        </is>
      </c>
      <c r="B6543" s="198">
        <f>DADOS_CONFIG!$E$65&amp;""</f>
        <v/>
      </c>
      <c r="C6543" s="198" t="inlineStr">
        <is>
          <t>DADOS_CONFIG!E65</t>
        </is>
      </c>
      <c r="D6543" s="198" t="inlineStr">
        <is>
          <t>aviso</t>
        </is>
      </c>
    </row>
    <row r="6544">
      <c r="A6544" s="198" t="inlineStr">
        <is>
          <t>aviso.personagem.pericia_custom.12</t>
        </is>
      </c>
      <c r="B6544" s="198">
        <f>IF('FICHA'!$F$450="","",IF(AND(AND('FICHA'!$F$450&lt;&gt;"",COUNTIF('DADOS_PROGRESSAO'!$AV$2:$AV$11,SUBSTITUTE(SUBSTITUTE(SUBSTITUTE('FICHA'!$F$450,"~","~~"),"*","~*"),"?","~?"))=1,(COUNTIF('FICHA'!$F$439:$F$450,SUBSTITUTE(SUBSTITUTE(SUBSTITUTE('FICHA'!$F$450,"~","~~"),"*","~*"),"?","~?"))+COUNTIF('FICHA'!$Z$439:$Z$449,SUBSTITUTE(SUBSTITUTE(SUBSTITUTE('FICHA'!$F$450,"~","~~"),"*","~*"),"?","~?")))=1),COUNTIF('DADOS_PROGRESSAO'!$AN$2:$AN$6,'FICHA'!$N$450)=1),"","⚠ Custom inválido ou repetido; confira NOME e ATRIBUTO"))</f>
        <v/>
      </c>
      <c r="C6544" s="198">
        <f>"'FICHA'!F424"</f>
        <v/>
      </c>
      <c r="D6544" s="198" t="inlineStr">
        <is>
          <t>aviso</t>
        </is>
      </c>
    </row>
    <row r="6545">
      <c r="A6545" s="198" t="inlineStr">
        <is>
          <t>personagem.pericia_custom.13.nome</t>
        </is>
      </c>
      <c r="B6545" s="198">
        <f>IF(ISBLANK('FICHA'!$Z$439),"",'FICHA'!$Z$439&amp;"")</f>
        <v/>
      </c>
      <c r="C6545" s="198">
        <f>"'FICHA'!Z413"</f>
        <v/>
      </c>
      <c r="D6545" s="198" t="inlineStr">
        <is>
          <t>entrada</t>
        </is>
      </c>
    </row>
    <row r="6546">
      <c r="A6546" s="198" t="inlineStr">
        <is>
          <t>personagem.pericia_custom.13.treino</t>
        </is>
      </c>
      <c r="B6546" s="198">
        <f>N('FICHA'!$X$439)&amp;""</f>
        <v/>
      </c>
      <c r="C6546" s="198">
        <f>"'FICHA'!X413"</f>
        <v/>
      </c>
      <c r="D6546" s="198" t="inlineStr">
        <is>
          <t>entrada</t>
        </is>
      </c>
    </row>
    <row r="6547">
      <c r="A6547" s="198" t="inlineStr">
        <is>
          <t>personagem.pericia_custom.13.especializacao</t>
        </is>
      </c>
      <c r="B6547" s="198">
        <f>N('FICHA'!$Y$439)&amp;""</f>
        <v/>
      </c>
      <c r="C6547" s="198">
        <f>"'FICHA'!Y413"</f>
        <v/>
      </c>
      <c r="D6547" s="198" t="inlineStr">
        <is>
          <t>entrada</t>
        </is>
      </c>
    </row>
    <row r="6548">
      <c r="A6548" s="198" t="inlineStr">
        <is>
          <t>personagem.pericia_custom.13.atributo</t>
        </is>
      </c>
      <c r="B6548" s="198">
        <f>IF(ISBLANK('FICHA'!$AH$439),"",'FICHA'!$AH$439&amp;"")</f>
        <v/>
      </c>
      <c r="C6548" s="198">
        <f>"'FICHA'!AH413"</f>
        <v/>
      </c>
      <c r="D6548" s="198" t="inlineStr">
        <is>
          <t>entrada</t>
        </is>
      </c>
    </row>
    <row r="6549">
      <c r="A6549" s="198" t="inlineStr">
        <is>
          <t>personagem.pericia_custom.13.resultado</t>
        </is>
      </c>
      <c r="B6549" s="198">
        <f>IF(ISBLANK('FICHA'!$AL$439),"",'FICHA'!$AL$439&amp;"")</f>
        <v/>
      </c>
      <c r="C6549" s="198">
        <f>"'FICHA'!AL413"</f>
        <v/>
      </c>
      <c r="D6549" s="198" t="inlineStr">
        <is>
          <t>resultado</t>
        </is>
      </c>
    </row>
    <row r="6550">
      <c r="A6550" s="198" t="inlineStr">
        <is>
          <t>personagem.pericia_custom.13.bonus</t>
        </is>
      </c>
      <c r="B6550" s="198">
        <f>IF(ISBLANK('FICHA'!$AN$439),"",'FICHA'!$AN$439&amp;"")</f>
        <v/>
      </c>
      <c r="C6550" s="198">
        <f>"'FICHA'!AN413"</f>
        <v/>
      </c>
      <c r="D6550" s="198" t="inlineStr">
        <is>
          <t>entrada</t>
        </is>
      </c>
    </row>
    <row r="6551">
      <c r="A6551" s="198" t="inlineStr">
        <is>
          <t>aviso.efeito_caixa.pericia_custom.13</t>
        </is>
      </c>
      <c r="B6551" s="198">
        <f>DADOS_CONFIG!$E$66&amp;""</f>
        <v/>
      </c>
      <c r="C6551" s="198" t="inlineStr">
        <is>
          <t>DADOS_CONFIG!E66</t>
        </is>
      </c>
      <c r="D6551" s="198" t="inlineStr">
        <is>
          <t>aviso</t>
        </is>
      </c>
    </row>
    <row r="6552">
      <c r="A6552" s="198" t="inlineStr">
        <is>
          <t>aviso.personagem.pericia_custom.13</t>
        </is>
      </c>
      <c r="B6552" s="198">
        <f>IF('FICHA'!$Z$439="","",IF(AND(AND('FICHA'!$Z$439&lt;&gt;"",COUNTIF('DADOS_PROGRESSAO'!$AV$2:$AV$11,SUBSTITUTE(SUBSTITUTE(SUBSTITUTE('FICHA'!$Z$439,"~","~~"),"*","~*"),"?","~?"))=1,(COUNTIF('FICHA'!$F$439:$F$450,SUBSTITUTE(SUBSTITUTE(SUBSTITUTE('FICHA'!$Z$439,"~","~~"),"*","~*"),"?","~?"))+COUNTIF('FICHA'!$Z$439:$Z$449,SUBSTITUTE(SUBSTITUTE(SUBSTITUTE('FICHA'!$Z$439,"~","~~"),"*","~*"),"?","~?")))=1),COUNTIF('DADOS_PROGRESSAO'!$AN$2:$AN$6,'FICHA'!$AH$439)=1),"","⚠ Custom inválido ou repetido; confira NOME e ATRIBUTO"))</f>
        <v/>
      </c>
      <c r="C6552" s="198">
        <f>"'FICHA'!Z413"</f>
        <v/>
      </c>
      <c r="D6552" s="198" t="inlineStr">
        <is>
          <t>aviso</t>
        </is>
      </c>
    </row>
    <row r="6553">
      <c r="A6553" s="198" t="inlineStr">
        <is>
          <t>personagem.pericia_custom.14.nome</t>
        </is>
      </c>
      <c r="B6553" s="198">
        <f>IF(ISBLANK('FICHA'!$Z$440),"",'FICHA'!$Z$440&amp;"")</f>
        <v/>
      </c>
      <c r="C6553" s="198">
        <f>"'FICHA'!Z414"</f>
        <v/>
      </c>
      <c r="D6553" s="198" t="inlineStr">
        <is>
          <t>entrada</t>
        </is>
      </c>
    </row>
    <row r="6554">
      <c r="A6554" s="198" t="inlineStr">
        <is>
          <t>personagem.pericia_custom.14.treino</t>
        </is>
      </c>
      <c r="B6554" s="198">
        <f>N('FICHA'!$X$440)&amp;""</f>
        <v/>
      </c>
      <c r="C6554" s="198">
        <f>"'FICHA'!X414"</f>
        <v/>
      </c>
      <c r="D6554" s="198" t="inlineStr">
        <is>
          <t>entrada</t>
        </is>
      </c>
    </row>
    <row r="6555">
      <c r="A6555" s="198" t="inlineStr">
        <is>
          <t>personagem.pericia_custom.14.especializacao</t>
        </is>
      </c>
      <c r="B6555" s="198">
        <f>N('FICHA'!$Y$440)&amp;""</f>
        <v/>
      </c>
      <c r="C6555" s="198">
        <f>"'FICHA'!Y414"</f>
        <v/>
      </c>
      <c r="D6555" s="198" t="inlineStr">
        <is>
          <t>entrada</t>
        </is>
      </c>
    </row>
    <row r="6556">
      <c r="A6556" s="198" t="inlineStr">
        <is>
          <t>personagem.pericia_custom.14.atributo</t>
        </is>
      </c>
      <c r="B6556" s="198">
        <f>IF(ISBLANK('FICHA'!$AH$440),"",'FICHA'!$AH$440&amp;"")</f>
        <v/>
      </c>
      <c r="C6556" s="198">
        <f>"'FICHA'!AH414"</f>
        <v/>
      </c>
      <c r="D6556" s="198" t="inlineStr">
        <is>
          <t>entrada</t>
        </is>
      </c>
    </row>
    <row r="6557">
      <c r="A6557" s="198" t="inlineStr">
        <is>
          <t>personagem.pericia_custom.14.resultado</t>
        </is>
      </c>
      <c r="B6557" s="198">
        <f>IF(ISBLANK('FICHA'!$AL$440),"",'FICHA'!$AL$440&amp;"")</f>
        <v/>
      </c>
      <c r="C6557" s="198">
        <f>"'FICHA'!AL414"</f>
        <v/>
      </c>
      <c r="D6557" s="198" t="inlineStr">
        <is>
          <t>resultado</t>
        </is>
      </c>
    </row>
    <row r="6558">
      <c r="A6558" s="198" t="inlineStr">
        <is>
          <t>personagem.pericia_custom.14.bonus</t>
        </is>
      </c>
      <c r="B6558" s="198">
        <f>IF(ISBLANK('FICHA'!$AN$440),"",'FICHA'!$AN$440&amp;"")</f>
        <v/>
      </c>
      <c r="C6558" s="198">
        <f>"'FICHA'!AN414"</f>
        <v/>
      </c>
      <c r="D6558" s="198" t="inlineStr">
        <is>
          <t>entrada</t>
        </is>
      </c>
    </row>
    <row r="6559">
      <c r="A6559" s="198" t="inlineStr">
        <is>
          <t>aviso.efeito_caixa.pericia_custom.14</t>
        </is>
      </c>
      <c r="B6559" s="198">
        <f>DADOS_CONFIG!$E$67&amp;""</f>
        <v/>
      </c>
      <c r="C6559" s="198" t="inlineStr">
        <is>
          <t>DADOS_CONFIG!E67</t>
        </is>
      </c>
      <c r="D6559" s="198" t="inlineStr">
        <is>
          <t>aviso</t>
        </is>
      </c>
    </row>
    <row r="6560">
      <c r="A6560" s="198" t="inlineStr">
        <is>
          <t>aviso.personagem.pericia_custom.14</t>
        </is>
      </c>
      <c r="B6560" s="198">
        <f>IF('FICHA'!$Z$440="","",IF(AND(AND('FICHA'!$Z$440&lt;&gt;"",COUNTIF('DADOS_PROGRESSAO'!$AV$2:$AV$11,SUBSTITUTE(SUBSTITUTE(SUBSTITUTE('FICHA'!$Z$440,"~","~~"),"*","~*"),"?","~?"))=1,(COUNTIF('FICHA'!$F$439:$F$450,SUBSTITUTE(SUBSTITUTE(SUBSTITUTE('FICHA'!$Z$440,"~","~~"),"*","~*"),"?","~?"))+COUNTIF('FICHA'!$Z$439:$Z$449,SUBSTITUTE(SUBSTITUTE(SUBSTITUTE('FICHA'!$Z$440,"~","~~"),"*","~*"),"?","~?")))=1),COUNTIF('DADOS_PROGRESSAO'!$AN$2:$AN$6,'FICHA'!$AH$440)=1),"","⚠ Custom inválido ou repetido; confira NOME e ATRIBUTO"))</f>
        <v/>
      </c>
      <c r="C6560" s="198">
        <f>"'FICHA'!Z414"</f>
        <v/>
      </c>
      <c r="D6560" s="198" t="inlineStr">
        <is>
          <t>aviso</t>
        </is>
      </c>
    </row>
    <row r="6561">
      <c r="A6561" s="198" t="inlineStr">
        <is>
          <t>personagem.pericia_custom.15.nome</t>
        </is>
      </c>
      <c r="B6561" s="198">
        <f>IF(ISBLANK('FICHA'!$Z$441),"",'FICHA'!$Z$441&amp;"")</f>
        <v/>
      </c>
      <c r="C6561" s="198">
        <f>"'FICHA'!Z415"</f>
        <v/>
      </c>
      <c r="D6561" s="198" t="inlineStr">
        <is>
          <t>entrada</t>
        </is>
      </c>
    </row>
    <row r="6562">
      <c r="A6562" s="198" t="inlineStr">
        <is>
          <t>personagem.pericia_custom.15.treino</t>
        </is>
      </c>
      <c r="B6562" s="198">
        <f>N('FICHA'!$X$441)&amp;""</f>
        <v/>
      </c>
      <c r="C6562" s="198">
        <f>"'FICHA'!X415"</f>
        <v/>
      </c>
      <c r="D6562" s="198" t="inlineStr">
        <is>
          <t>entrada</t>
        </is>
      </c>
    </row>
    <row r="6563">
      <c r="A6563" s="198" t="inlineStr">
        <is>
          <t>personagem.pericia_custom.15.especializacao</t>
        </is>
      </c>
      <c r="B6563" s="198">
        <f>N('FICHA'!$Y$441)&amp;""</f>
        <v/>
      </c>
      <c r="C6563" s="198">
        <f>"'FICHA'!Y415"</f>
        <v/>
      </c>
      <c r="D6563" s="198" t="inlineStr">
        <is>
          <t>entrada</t>
        </is>
      </c>
    </row>
    <row r="6564">
      <c r="A6564" s="198" t="inlineStr">
        <is>
          <t>personagem.pericia_custom.15.atributo</t>
        </is>
      </c>
      <c r="B6564" s="198">
        <f>IF(ISBLANK('FICHA'!$AH$441),"",'FICHA'!$AH$441&amp;"")</f>
        <v/>
      </c>
      <c r="C6564" s="198">
        <f>"'FICHA'!AH415"</f>
        <v/>
      </c>
      <c r="D6564" s="198" t="inlineStr">
        <is>
          <t>entrada</t>
        </is>
      </c>
    </row>
    <row r="6565">
      <c r="A6565" s="198" t="inlineStr">
        <is>
          <t>personagem.pericia_custom.15.resultado</t>
        </is>
      </c>
      <c r="B6565" s="198">
        <f>IF(ISBLANK('FICHA'!$AL$441),"",'FICHA'!$AL$441&amp;"")</f>
        <v/>
      </c>
      <c r="C6565" s="198">
        <f>"'FICHA'!AL415"</f>
        <v/>
      </c>
      <c r="D6565" s="198" t="inlineStr">
        <is>
          <t>resultado</t>
        </is>
      </c>
    </row>
    <row r="6566">
      <c r="A6566" s="198" t="inlineStr">
        <is>
          <t>personagem.pericia_custom.15.bonus</t>
        </is>
      </c>
      <c r="B6566" s="198">
        <f>IF(ISBLANK('FICHA'!$AN$441),"",'FICHA'!$AN$441&amp;"")</f>
        <v/>
      </c>
      <c r="C6566" s="198">
        <f>"'FICHA'!AN415"</f>
        <v/>
      </c>
      <c r="D6566" s="198" t="inlineStr">
        <is>
          <t>entrada</t>
        </is>
      </c>
    </row>
    <row r="6567">
      <c r="A6567" s="198" t="inlineStr">
        <is>
          <t>aviso.efeito_caixa.pericia_custom.15</t>
        </is>
      </c>
      <c r="B6567" s="198">
        <f>DADOS_CONFIG!$E$68&amp;""</f>
        <v/>
      </c>
      <c r="C6567" s="198" t="inlineStr">
        <is>
          <t>DADOS_CONFIG!E68</t>
        </is>
      </c>
      <c r="D6567" s="198" t="inlineStr">
        <is>
          <t>aviso</t>
        </is>
      </c>
    </row>
    <row r="6568">
      <c r="A6568" s="198" t="inlineStr">
        <is>
          <t>aviso.personagem.pericia_custom.15</t>
        </is>
      </c>
      <c r="B6568" s="198">
        <f>IF('FICHA'!$Z$441="","",IF(AND(AND('FICHA'!$Z$441&lt;&gt;"",COUNTIF('DADOS_PROGRESSAO'!$AV$2:$AV$11,SUBSTITUTE(SUBSTITUTE(SUBSTITUTE('FICHA'!$Z$441,"~","~~"),"*","~*"),"?","~?"))=1,(COUNTIF('FICHA'!$F$439:$F$450,SUBSTITUTE(SUBSTITUTE(SUBSTITUTE('FICHA'!$Z$441,"~","~~"),"*","~*"),"?","~?"))+COUNTIF('FICHA'!$Z$439:$Z$449,SUBSTITUTE(SUBSTITUTE(SUBSTITUTE('FICHA'!$Z$441,"~","~~"),"*","~*"),"?","~?")))=1),COUNTIF('DADOS_PROGRESSAO'!$AN$2:$AN$6,'FICHA'!$AH$441)=1),"","⚠ Custom inválido ou repetido; confira NOME e ATRIBUTO"))</f>
        <v/>
      </c>
      <c r="C6568" s="198">
        <f>"'FICHA'!Z415"</f>
        <v/>
      </c>
      <c r="D6568" s="198" t="inlineStr">
        <is>
          <t>aviso</t>
        </is>
      </c>
    </row>
    <row r="6569">
      <c r="A6569" s="198" t="inlineStr">
        <is>
          <t>personagem.pericia_custom.16.nome</t>
        </is>
      </c>
      <c r="B6569" s="198">
        <f>IF(ISBLANK('FICHA'!$Z$442),"",'FICHA'!$Z$442&amp;"")</f>
        <v/>
      </c>
      <c r="C6569" s="198">
        <f>"'FICHA'!Z416"</f>
        <v/>
      </c>
      <c r="D6569" s="198" t="inlineStr">
        <is>
          <t>entrada</t>
        </is>
      </c>
    </row>
    <row r="6570">
      <c r="A6570" s="198" t="inlineStr">
        <is>
          <t>personagem.pericia_custom.16.treino</t>
        </is>
      </c>
      <c r="B6570" s="198">
        <f>N('FICHA'!$X$442)&amp;""</f>
        <v/>
      </c>
      <c r="C6570" s="198">
        <f>"'FICHA'!X416"</f>
        <v/>
      </c>
      <c r="D6570" s="198" t="inlineStr">
        <is>
          <t>entrada</t>
        </is>
      </c>
    </row>
    <row r="6571">
      <c r="A6571" s="198" t="inlineStr">
        <is>
          <t>personagem.pericia_custom.16.especializacao</t>
        </is>
      </c>
      <c r="B6571" s="198">
        <f>N('FICHA'!$Y$442)&amp;""</f>
        <v/>
      </c>
      <c r="C6571" s="198">
        <f>"'FICHA'!Y416"</f>
        <v/>
      </c>
      <c r="D6571" s="198" t="inlineStr">
        <is>
          <t>entrada</t>
        </is>
      </c>
    </row>
    <row r="6572">
      <c r="A6572" s="198" t="inlineStr">
        <is>
          <t>personagem.pericia_custom.16.atributo</t>
        </is>
      </c>
      <c r="B6572" s="198">
        <f>IF(ISBLANK('FICHA'!$AH$442),"",'FICHA'!$AH$442&amp;"")</f>
        <v/>
      </c>
      <c r="C6572" s="198">
        <f>"'FICHA'!AH416"</f>
        <v/>
      </c>
      <c r="D6572" s="198" t="inlineStr">
        <is>
          <t>entrada</t>
        </is>
      </c>
    </row>
    <row r="6573">
      <c r="A6573" s="198" t="inlineStr">
        <is>
          <t>personagem.pericia_custom.16.resultado</t>
        </is>
      </c>
      <c r="B6573" s="198">
        <f>IF(ISBLANK('FICHA'!$AL$442),"",'FICHA'!$AL$442&amp;"")</f>
        <v/>
      </c>
      <c r="C6573" s="198">
        <f>"'FICHA'!AL416"</f>
        <v/>
      </c>
      <c r="D6573" s="198" t="inlineStr">
        <is>
          <t>resultado</t>
        </is>
      </c>
    </row>
    <row r="6574">
      <c r="A6574" s="198" t="inlineStr">
        <is>
          <t>personagem.pericia_custom.16.bonus</t>
        </is>
      </c>
      <c r="B6574" s="198">
        <f>IF(ISBLANK('FICHA'!$AN$442),"",'FICHA'!$AN$442&amp;"")</f>
        <v/>
      </c>
      <c r="C6574" s="198">
        <f>"'FICHA'!AN416"</f>
        <v/>
      </c>
      <c r="D6574" s="198" t="inlineStr">
        <is>
          <t>entrada</t>
        </is>
      </c>
    </row>
    <row r="6575">
      <c r="A6575" s="198" t="inlineStr">
        <is>
          <t>aviso.efeito_caixa.pericia_custom.16</t>
        </is>
      </c>
      <c r="B6575" s="198">
        <f>DADOS_CONFIG!$E$69&amp;""</f>
        <v/>
      </c>
      <c r="C6575" s="198" t="inlineStr">
        <is>
          <t>DADOS_CONFIG!E69</t>
        </is>
      </c>
      <c r="D6575" s="198" t="inlineStr">
        <is>
          <t>aviso</t>
        </is>
      </c>
    </row>
    <row r="6576">
      <c r="A6576" s="198" t="inlineStr">
        <is>
          <t>aviso.personagem.pericia_custom.16</t>
        </is>
      </c>
      <c r="B6576" s="198">
        <f>IF('FICHA'!$Z$442="","",IF(AND(AND('FICHA'!$Z$442&lt;&gt;"",COUNTIF('DADOS_PROGRESSAO'!$AV$2:$AV$11,SUBSTITUTE(SUBSTITUTE(SUBSTITUTE('FICHA'!$Z$442,"~","~~"),"*","~*"),"?","~?"))=1,(COUNTIF('FICHA'!$F$439:$F$450,SUBSTITUTE(SUBSTITUTE(SUBSTITUTE('FICHA'!$Z$442,"~","~~"),"*","~*"),"?","~?"))+COUNTIF('FICHA'!$Z$439:$Z$449,SUBSTITUTE(SUBSTITUTE(SUBSTITUTE('FICHA'!$Z$442,"~","~~"),"*","~*"),"?","~?")))=1),COUNTIF('DADOS_PROGRESSAO'!$AN$2:$AN$6,'FICHA'!$AH$442)=1),"","⚠ Custom inválido ou repetido; confira NOME e ATRIBUTO"))</f>
        <v/>
      </c>
      <c r="C6576" s="198">
        <f>"'FICHA'!Z416"</f>
        <v/>
      </c>
      <c r="D6576" s="198" t="inlineStr">
        <is>
          <t>aviso</t>
        </is>
      </c>
    </row>
    <row r="6577">
      <c r="A6577" s="198" t="inlineStr">
        <is>
          <t>personagem.pericia_custom.17.nome</t>
        </is>
      </c>
      <c r="B6577" s="198">
        <f>IF(ISBLANK('FICHA'!$Z$443),"",'FICHA'!$Z$443&amp;"")</f>
        <v/>
      </c>
      <c r="C6577" s="198">
        <f>"'FICHA'!Z417"</f>
        <v/>
      </c>
      <c r="D6577" s="198" t="inlineStr">
        <is>
          <t>entrada</t>
        </is>
      </c>
    </row>
    <row r="6578">
      <c r="A6578" s="198" t="inlineStr">
        <is>
          <t>personagem.pericia_custom.17.treino</t>
        </is>
      </c>
      <c r="B6578" s="198">
        <f>N('FICHA'!$X$443)&amp;""</f>
        <v/>
      </c>
      <c r="C6578" s="198">
        <f>"'FICHA'!X417"</f>
        <v/>
      </c>
      <c r="D6578" s="198" t="inlineStr">
        <is>
          <t>entrada</t>
        </is>
      </c>
    </row>
    <row r="6579">
      <c r="A6579" s="198" t="inlineStr">
        <is>
          <t>personagem.pericia_custom.17.especializacao</t>
        </is>
      </c>
      <c r="B6579" s="198">
        <f>N('FICHA'!$Y$443)&amp;""</f>
        <v/>
      </c>
      <c r="C6579" s="198">
        <f>"'FICHA'!Y417"</f>
        <v/>
      </c>
      <c r="D6579" s="198" t="inlineStr">
        <is>
          <t>entrada</t>
        </is>
      </c>
    </row>
    <row r="6580">
      <c r="A6580" s="198" t="inlineStr">
        <is>
          <t>personagem.pericia_custom.17.atributo</t>
        </is>
      </c>
      <c r="B6580" s="198">
        <f>IF(ISBLANK('FICHA'!$AH$443),"",'FICHA'!$AH$443&amp;"")</f>
        <v/>
      </c>
      <c r="C6580" s="198">
        <f>"'FICHA'!AH417"</f>
        <v/>
      </c>
      <c r="D6580" s="198" t="inlineStr">
        <is>
          <t>entrada</t>
        </is>
      </c>
    </row>
    <row r="6581">
      <c r="A6581" s="198" t="inlineStr">
        <is>
          <t>personagem.pericia_custom.17.resultado</t>
        </is>
      </c>
      <c r="B6581" s="198">
        <f>IF(ISBLANK('FICHA'!$AL$443),"",'FICHA'!$AL$443&amp;"")</f>
        <v/>
      </c>
      <c r="C6581" s="198">
        <f>"'FICHA'!AL417"</f>
        <v/>
      </c>
      <c r="D6581" s="198" t="inlineStr">
        <is>
          <t>resultado</t>
        </is>
      </c>
    </row>
    <row r="6582">
      <c r="A6582" s="198" t="inlineStr">
        <is>
          <t>personagem.pericia_custom.17.bonus</t>
        </is>
      </c>
      <c r="B6582" s="198">
        <f>IF(ISBLANK('FICHA'!$AN$443),"",'FICHA'!$AN$443&amp;"")</f>
        <v/>
      </c>
      <c r="C6582" s="198">
        <f>"'FICHA'!AN417"</f>
        <v/>
      </c>
      <c r="D6582" s="198" t="inlineStr">
        <is>
          <t>entrada</t>
        </is>
      </c>
    </row>
    <row r="6583">
      <c r="A6583" s="198" t="inlineStr">
        <is>
          <t>aviso.efeito_caixa.pericia_custom.17</t>
        </is>
      </c>
      <c r="B6583" s="198">
        <f>DADOS_CONFIG!$E$70&amp;""</f>
        <v/>
      </c>
      <c r="C6583" s="198" t="inlineStr">
        <is>
          <t>DADOS_CONFIG!E70</t>
        </is>
      </c>
      <c r="D6583" s="198" t="inlineStr">
        <is>
          <t>aviso</t>
        </is>
      </c>
    </row>
    <row r="6584">
      <c r="A6584" s="198" t="inlineStr">
        <is>
          <t>aviso.personagem.pericia_custom.17</t>
        </is>
      </c>
      <c r="B6584" s="198">
        <f>IF('FICHA'!$Z$443="","",IF(AND(AND('FICHA'!$Z$443&lt;&gt;"",COUNTIF('DADOS_PROGRESSAO'!$AV$2:$AV$11,SUBSTITUTE(SUBSTITUTE(SUBSTITUTE('FICHA'!$Z$443,"~","~~"),"*","~*"),"?","~?"))=1,(COUNTIF('FICHA'!$F$439:$F$450,SUBSTITUTE(SUBSTITUTE(SUBSTITUTE('FICHA'!$Z$443,"~","~~"),"*","~*"),"?","~?"))+COUNTIF('FICHA'!$Z$439:$Z$449,SUBSTITUTE(SUBSTITUTE(SUBSTITUTE('FICHA'!$Z$443,"~","~~"),"*","~*"),"?","~?")))=1),COUNTIF('DADOS_PROGRESSAO'!$AN$2:$AN$6,'FICHA'!$AH$443)=1),"","⚠ Custom inválido ou repetido; confira NOME e ATRIBUTO"))</f>
        <v/>
      </c>
      <c r="C6584" s="198">
        <f>"'FICHA'!Z417"</f>
        <v/>
      </c>
      <c r="D6584" s="198" t="inlineStr">
        <is>
          <t>aviso</t>
        </is>
      </c>
    </row>
    <row r="6585">
      <c r="A6585" s="198" t="inlineStr">
        <is>
          <t>personagem.pericia_custom.18.nome</t>
        </is>
      </c>
      <c r="B6585" s="198">
        <f>IF(ISBLANK('FICHA'!$Z$444),"",'FICHA'!$Z$444&amp;"")</f>
        <v/>
      </c>
      <c r="C6585" s="198">
        <f>"'FICHA'!Z418"</f>
        <v/>
      </c>
      <c r="D6585" s="198" t="inlineStr">
        <is>
          <t>entrada</t>
        </is>
      </c>
    </row>
    <row r="6586">
      <c r="A6586" s="198" t="inlineStr">
        <is>
          <t>personagem.pericia_custom.18.treino</t>
        </is>
      </c>
      <c r="B6586" s="198">
        <f>N('FICHA'!$X$444)&amp;""</f>
        <v/>
      </c>
      <c r="C6586" s="198">
        <f>"'FICHA'!X418"</f>
        <v/>
      </c>
      <c r="D6586" s="198" t="inlineStr">
        <is>
          <t>entrada</t>
        </is>
      </c>
    </row>
    <row r="6587">
      <c r="A6587" s="198" t="inlineStr">
        <is>
          <t>personagem.pericia_custom.18.especializacao</t>
        </is>
      </c>
      <c r="B6587" s="198">
        <f>N('FICHA'!$Y$444)&amp;""</f>
        <v/>
      </c>
      <c r="C6587" s="198">
        <f>"'FICHA'!Y418"</f>
        <v/>
      </c>
      <c r="D6587" s="198" t="inlineStr">
        <is>
          <t>entrada</t>
        </is>
      </c>
    </row>
    <row r="6588">
      <c r="A6588" s="198" t="inlineStr">
        <is>
          <t>personagem.pericia_custom.18.atributo</t>
        </is>
      </c>
      <c r="B6588" s="198">
        <f>IF(ISBLANK('FICHA'!$AH$444),"",'FICHA'!$AH$444&amp;"")</f>
        <v/>
      </c>
      <c r="C6588" s="198">
        <f>"'FICHA'!AH418"</f>
        <v/>
      </c>
      <c r="D6588" s="198" t="inlineStr">
        <is>
          <t>entrada</t>
        </is>
      </c>
    </row>
    <row r="6589">
      <c r="A6589" s="198" t="inlineStr">
        <is>
          <t>personagem.pericia_custom.18.resultado</t>
        </is>
      </c>
      <c r="B6589" s="198">
        <f>IF(ISBLANK('FICHA'!$AL$444),"",'FICHA'!$AL$444&amp;"")</f>
        <v/>
      </c>
      <c r="C6589" s="198">
        <f>"'FICHA'!AL418"</f>
        <v/>
      </c>
      <c r="D6589" s="198" t="inlineStr">
        <is>
          <t>resultado</t>
        </is>
      </c>
    </row>
    <row r="6590">
      <c r="A6590" s="198" t="inlineStr">
        <is>
          <t>personagem.pericia_custom.18.bonus</t>
        </is>
      </c>
      <c r="B6590" s="198">
        <f>IF(ISBLANK('FICHA'!$AN$444),"",'FICHA'!$AN$444&amp;"")</f>
        <v/>
      </c>
      <c r="C6590" s="198">
        <f>"'FICHA'!AN418"</f>
        <v/>
      </c>
      <c r="D6590" s="198" t="inlineStr">
        <is>
          <t>entrada</t>
        </is>
      </c>
    </row>
    <row r="6591">
      <c r="A6591" s="198" t="inlineStr">
        <is>
          <t>aviso.efeito_caixa.pericia_custom.18</t>
        </is>
      </c>
      <c r="B6591" s="198">
        <f>DADOS_CONFIG!$E$71&amp;""</f>
        <v/>
      </c>
      <c r="C6591" s="198" t="inlineStr">
        <is>
          <t>DADOS_CONFIG!E71</t>
        </is>
      </c>
      <c r="D6591" s="198" t="inlineStr">
        <is>
          <t>aviso</t>
        </is>
      </c>
    </row>
    <row r="6592">
      <c r="A6592" s="198" t="inlineStr">
        <is>
          <t>aviso.personagem.pericia_custom.18</t>
        </is>
      </c>
      <c r="B6592" s="198">
        <f>IF('FICHA'!$Z$444="","",IF(AND(AND('FICHA'!$Z$444&lt;&gt;"",COUNTIF('DADOS_PROGRESSAO'!$AV$2:$AV$11,SUBSTITUTE(SUBSTITUTE(SUBSTITUTE('FICHA'!$Z$444,"~","~~"),"*","~*"),"?","~?"))=1,(COUNTIF('FICHA'!$F$439:$F$450,SUBSTITUTE(SUBSTITUTE(SUBSTITUTE('FICHA'!$Z$444,"~","~~"),"*","~*"),"?","~?"))+COUNTIF('FICHA'!$Z$439:$Z$449,SUBSTITUTE(SUBSTITUTE(SUBSTITUTE('FICHA'!$Z$444,"~","~~"),"*","~*"),"?","~?")))=1),COUNTIF('DADOS_PROGRESSAO'!$AN$2:$AN$6,'FICHA'!$AH$444)=1),"","⚠ Custom inválido ou repetido; confira NOME e ATRIBUTO"))</f>
        <v/>
      </c>
      <c r="C6592" s="198">
        <f>"'FICHA'!Z418"</f>
        <v/>
      </c>
      <c r="D6592" s="198" t="inlineStr">
        <is>
          <t>aviso</t>
        </is>
      </c>
    </row>
    <row r="6593">
      <c r="A6593" s="198" t="inlineStr">
        <is>
          <t>personagem.pericia_custom.19.nome</t>
        </is>
      </c>
      <c r="B6593" s="198">
        <f>IF(ISBLANK('FICHA'!$Z$445),"",'FICHA'!$Z$445&amp;"")</f>
        <v/>
      </c>
      <c r="C6593" s="198">
        <f>"'FICHA'!Z419"</f>
        <v/>
      </c>
      <c r="D6593" s="198" t="inlineStr">
        <is>
          <t>entrada</t>
        </is>
      </c>
    </row>
    <row r="6594">
      <c r="A6594" s="198" t="inlineStr">
        <is>
          <t>personagem.pericia_custom.19.treino</t>
        </is>
      </c>
      <c r="B6594" s="198">
        <f>N('FICHA'!$X$445)&amp;""</f>
        <v/>
      </c>
      <c r="C6594" s="198">
        <f>"'FICHA'!X419"</f>
        <v/>
      </c>
      <c r="D6594" s="198" t="inlineStr">
        <is>
          <t>entrada</t>
        </is>
      </c>
    </row>
    <row r="6595">
      <c r="A6595" s="198" t="inlineStr">
        <is>
          <t>personagem.pericia_custom.19.especializacao</t>
        </is>
      </c>
      <c r="B6595" s="198">
        <f>N('FICHA'!$Y$445)&amp;""</f>
        <v/>
      </c>
      <c r="C6595" s="198">
        <f>"'FICHA'!Y419"</f>
        <v/>
      </c>
      <c r="D6595" s="198" t="inlineStr">
        <is>
          <t>entrada</t>
        </is>
      </c>
    </row>
    <row r="6596">
      <c r="A6596" s="198" t="inlineStr">
        <is>
          <t>personagem.pericia_custom.19.atributo</t>
        </is>
      </c>
      <c r="B6596" s="198">
        <f>IF(ISBLANK('FICHA'!$AH$445),"",'FICHA'!$AH$445&amp;"")</f>
        <v/>
      </c>
      <c r="C6596" s="198">
        <f>"'FICHA'!AH419"</f>
        <v/>
      </c>
      <c r="D6596" s="198" t="inlineStr">
        <is>
          <t>entrada</t>
        </is>
      </c>
    </row>
    <row r="6597">
      <c r="A6597" s="198" t="inlineStr">
        <is>
          <t>personagem.pericia_custom.19.resultado</t>
        </is>
      </c>
      <c r="B6597" s="198">
        <f>IF(ISBLANK('FICHA'!$AL$445),"",'FICHA'!$AL$445&amp;"")</f>
        <v/>
      </c>
      <c r="C6597" s="198">
        <f>"'FICHA'!AL419"</f>
        <v/>
      </c>
      <c r="D6597" s="198" t="inlineStr">
        <is>
          <t>resultado</t>
        </is>
      </c>
    </row>
    <row r="6598">
      <c r="A6598" s="198" t="inlineStr">
        <is>
          <t>personagem.pericia_custom.19.bonus</t>
        </is>
      </c>
      <c r="B6598" s="198">
        <f>IF(ISBLANK('FICHA'!$AN$445),"",'FICHA'!$AN$445&amp;"")</f>
        <v/>
      </c>
      <c r="C6598" s="198">
        <f>"'FICHA'!AN419"</f>
        <v/>
      </c>
      <c r="D6598" s="198" t="inlineStr">
        <is>
          <t>entrada</t>
        </is>
      </c>
    </row>
    <row r="6599">
      <c r="A6599" s="198" t="inlineStr">
        <is>
          <t>aviso.efeito_caixa.pericia_custom.19</t>
        </is>
      </c>
      <c r="B6599" s="198">
        <f>DADOS_CONFIG!$E$72&amp;""</f>
        <v/>
      </c>
      <c r="C6599" s="198" t="inlineStr">
        <is>
          <t>DADOS_CONFIG!E72</t>
        </is>
      </c>
      <c r="D6599" s="198" t="inlineStr">
        <is>
          <t>aviso</t>
        </is>
      </c>
    </row>
    <row r="6600">
      <c r="A6600" s="198" t="inlineStr">
        <is>
          <t>aviso.personagem.pericia_custom.19</t>
        </is>
      </c>
      <c r="B6600" s="198">
        <f>IF('FICHA'!$Z$445="","",IF(AND(AND('FICHA'!$Z$445&lt;&gt;"",COUNTIF('DADOS_PROGRESSAO'!$AV$2:$AV$11,SUBSTITUTE(SUBSTITUTE(SUBSTITUTE('FICHA'!$Z$445,"~","~~"),"*","~*"),"?","~?"))=1,(COUNTIF('FICHA'!$F$439:$F$450,SUBSTITUTE(SUBSTITUTE(SUBSTITUTE('FICHA'!$Z$445,"~","~~"),"*","~*"),"?","~?"))+COUNTIF('FICHA'!$Z$439:$Z$449,SUBSTITUTE(SUBSTITUTE(SUBSTITUTE('FICHA'!$Z$445,"~","~~"),"*","~*"),"?","~?")))=1),COUNTIF('DADOS_PROGRESSAO'!$AN$2:$AN$6,'FICHA'!$AH$445)=1),"","⚠ Custom inválido ou repetido; confira NOME e ATRIBUTO"))</f>
        <v/>
      </c>
      <c r="C6600" s="198">
        <f>"'FICHA'!Z419"</f>
        <v/>
      </c>
      <c r="D6600" s="198" t="inlineStr">
        <is>
          <t>aviso</t>
        </is>
      </c>
    </row>
    <row r="6601">
      <c r="A6601" s="198" t="inlineStr">
        <is>
          <t>personagem.pericia_custom.20.nome</t>
        </is>
      </c>
      <c r="B6601" s="198">
        <f>IF(ISBLANK('FICHA'!$Z$446),"",'FICHA'!$Z$446&amp;"")</f>
        <v/>
      </c>
      <c r="C6601" s="198">
        <f>"'FICHA'!Z420"</f>
        <v/>
      </c>
      <c r="D6601" s="198" t="inlineStr">
        <is>
          <t>entrada</t>
        </is>
      </c>
    </row>
    <row r="6602">
      <c r="A6602" s="198" t="inlineStr">
        <is>
          <t>personagem.pericia_custom.20.treino</t>
        </is>
      </c>
      <c r="B6602" s="198">
        <f>N('FICHA'!$X$446)&amp;""</f>
        <v/>
      </c>
      <c r="C6602" s="198">
        <f>"'FICHA'!X420"</f>
        <v/>
      </c>
      <c r="D6602" s="198" t="inlineStr">
        <is>
          <t>entrada</t>
        </is>
      </c>
    </row>
    <row r="6603">
      <c r="A6603" s="198" t="inlineStr">
        <is>
          <t>personagem.pericia_custom.20.especializacao</t>
        </is>
      </c>
      <c r="B6603" s="198">
        <f>N('FICHA'!$Y$446)&amp;""</f>
        <v/>
      </c>
      <c r="C6603" s="198">
        <f>"'FICHA'!Y420"</f>
        <v/>
      </c>
      <c r="D6603" s="198" t="inlineStr">
        <is>
          <t>entrada</t>
        </is>
      </c>
    </row>
    <row r="6604">
      <c r="A6604" s="198" t="inlineStr">
        <is>
          <t>personagem.pericia_custom.20.atributo</t>
        </is>
      </c>
      <c r="B6604" s="198">
        <f>IF(ISBLANK('FICHA'!$AH$446),"",'FICHA'!$AH$446&amp;"")</f>
        <v/>
      </c>
      <c r="C6604" s="198">
        <f>"'FICHA'!AH420"</f>
        <v/>
      </c>
      <c r="D6604" s="198" t="inlineStr">
        <is>
          <t>entrada</t>
        </is>
      </c>
    </row>
    <row r="6605">
      <c r="A6605" s="198" t="inlineStr">
        <is>
          <t>personagem.pericia_custom.20.resultado</t>
        </is>
      </c>
      <c r="B6605" s="198">
        <f>IF(ISBLANK('FICHA'!$AL$446),"",'FICHA'!$AL$446&amp;"")</f>
        <v/>
      </c>
      <c r="C6605" s="198">
        <f>"'FICHA'!AL420"</f>
        <v/>
      </c>
      <c r="D6605" s="198" t="inlineStr">
        <is>
          <t>resultado</t>
        </is>
      </c>
    </row>
    <row r="6606">
      <c r="A6606" s="198" t="inlineStr">
        <is>
          <t>personagem.pericia_custom.20.bonus</t>
        </is>
      </c>
      <c r="B6606" s="198">
        <f>IF(ISBLANK('FICHA'!$AN$446),"",'FICHA'!$AN$446&amp;"")</f>
        <v/>
      </c>
      <c r="C6606" s="198">
        <f>"'FICHA'!AN420"</f>
        <v/>
      </c>
      <c r="D6606" s="198" t="inlineStr">
        <is>
          <t>entrada</t>
        </is>
      </c>
    </row>
    <row r="6607">
      <c r="A6607" s="198" t="inlineStr">
        <is>
          <t>aviso.efeito_caixa.pericia_custom.20</t>
        </is>
      </c>
      <c r="B6607" s="198">
        <f>DADOS_CONFIG!$E$73&amp;""</f>
        <v/>
      </c>
      <c r="C6607" s="198" t="inlineStr">
        <is>
          <t>DADOS_CONFIG!E73</t>
        </is>
      </c>
      <c r="D6607" s="198" t="inlineStr">
        <is>
          <t>aviso</t>
        </is>
      </c>
    </row>
    <row r="6608">
      <c r="A6608" s="198" t="inlineStr">
        <is>
          <t>aviso.personagem.pericia_custom.20</t>
        </is>
      </c>
      <c r="B6608" s="198">
        <f>IF('FICHA'!$Z$446="","",IF(AND(AND('FICHA'!$Z$446&lt;&gt;"",COUNTIF('DADOS_PROGRESSAO'!$AV$2:$AV$11,SUBSTITUTE(SUBSTITUTE(SUBSTITUTE('FICHA'!$Z$446,"~","~~"),"*","~*"),"?","~?"))=1,(COUNTIF('FICHA'!$F$439:$F$450,SUBSTITUTE(SUBSTITUTE(SUBSTITUTE('FICHA'!$Z$446,"~","~~"),"*","~*"),"?","~?"))+COUNTIF('FICHA'!$Z$439:$Z$449,SUBSTITUTE(SUBSTITUTE(SUBSTITUTE('FICHA'!$Z$446,"~","~~"),"*","~*"),"?","~?")))=1),COUNTIF('DADOS_PROGRESSAO'!$AN$2:$AN$6,'FICHA'!$AH$446)=1),"","⚠ Custom inválido ou repetido; confira NOME e ATRIBUTO"))</f>
        <v/>
      </c>
      <c r="C6608" s="198">
        <f>"'FICHA'!Z420"</f>
        <v/>
      </c>
      <c r="D6608" s="198" t="inlineStr">
        <is>
          <t>aviso</t>
        </is>
      </c>
    </row>
    <row r="6609">
      <c r="A6609" s="198" t="inlineStr">
        <is>
          <t>personagem.pericia_custom.21.nome</t>
        </is>
      </c>
      <c r="B6609" s="198">
        <f>IF(ISBLANK('FICHA'!$Z$447),"",'FICHA'!$Z$447&amp;"")</f>
        <v/>
      </c>
      <c r="C6609" s="198">
        <f>"'FICHA'!Z421"</f>
        <v/>
      </c>
      <c r="D6609" s="198" t="inlineStr">
        <is>
          <t>entrada</t>
        </is>
      </c>
    </row>
    <row r="6610">
      <c r="A6610" s="198" t="inlineStr">
        <is>
          <t>personagem.pericia_custom.21.treino</t>
        </is>
      </c>
      <c r="B6610" s="198">
        <f>N('FICHA'!$X$447)&amp;""</f>
        <v/>
      </c>
      <c r="C6610" s="198">
        <f>"'FICHA'!X421"</f>
        <v/>
      </c>
      <c r="D6610" s="198" t="inlineStr">
        <is>
          <t>entrada</t>
        </is>
      </c>
    </row>
    <row r="6611">
      <c r="A6611" s="198" t="inlineStr">
        <is>
          <t>personagem.pericia_custom.21.especializacao</t>
        </is>
      </c>
      <c r="B6611" s="198">
        <f>N('FICHA'!$Y$447)&amp;""</f>
        <v/>
      </c>
      <c r="C6611" s="198">
        <f>"'FICHA'!Y421"</f>
        <v/>
      </c>
      <c r="D6611" s="198" t="inlineStr">
        <is>
          <t>entrada</t>
        </is>
      </c>
    </row>
    <row r="6612">
      <c r="A6612" s="198" t="inlineStr">
        <is>
          <t>personagem.pericia_custom.21.atributo</t>
        </is>
      </c>
      <c r="B6612" s="198">
        <f>IF(ISBLANK('FICHA'!$AH$447),"",'FICHA'!$AH$447&amp;"")</f>
        <v/>
      </c>
      <c r="C6612" s="198">
        <f>"'FICHA'!AH421"</f>
        <v/>
      </c>
      <c r="D6612" s="198" t="inlineStr">
        <is>
          <t>entrada</t>
        </is>
      </c>
    </row>
    <row r="6613">
      <c r="A6613" s="198" t="inlineStr">
        <is>
          <t>personagem.pericia_custom.21.resultado</t>
        </is>
      </c>
      <c r="B6613" s="198">
        <f>IF(ISBLANK('FICHA'!$AL$447),"",'FICHA'!$AL$447&amp;"")</f>
        <v/>
      </c>
      <c r="C6613" s="198">
        <f>"'FICHA'!AL421"</f>
        <v/>
      </c>
      <c r="D6613" s="198" t="inlineStr">
        <is>
          <t>resultado</t>
        </is>
      </c>
    </row>
    <row r="6614">
      <c r="A6614" s="198" t="inlineStr">
        <is>
          <t>personagem.pericia_custom.21.bonus</t>
        </is>
      </c>
      <c r="B6614" s="198">
        <f>IF(ISBLANK('FICHA'!$AN$447),"",'FICHA'!$AN$447&amp;"")</f>
        <v/>
      </c>
      <c r="C6614" s="198">
        <f>"'FICHA'!AN421"</f>
        <v/>
      </c>
      <c r="D6614" s="198" t="inlineStr">
        <is>
          <t>entrada</t>
        </is>
      </c>
    </row>
    <row r="6615">
      <c r="A6615" s="198" t="inlineStr">
        <is>
          <t>aviso.efeito_caixa.pericia_custom.21</t>
        </is>
      </c>
      <c r="B6615" s="198">
        <f>DADOS_CONFIG!$E$74&amp;""</f>
        <v/>
      </c>
      <c r="C6615" s="198" t="inlineStr">
        <is>
          <t>DADOS_CONFIG!E74</t>
        </is>
      </c>
      <c r="D6615" s="198" t="inlineStr">
        <is>
          <t>aviso</t>
        </is>
      </c>
    </row>
    <row r="6616">
      <c r="A6616" s="198" t="inlineStr">
        <is>
          <t>aviso.personagem.pericia_custom.21</t>
        </is>
      </c>
      <c r="B6616" s="198">
        <f>IF('FICHA'!$Z$447="","",IF(AND(AND('FICHA'!$Z$447&lt;&gt;"",COUNTIF('DADOS_PROGRESSAO'!$AV$2:$AV$11,SUBSTITUTE(SUBSTITUTE(SUBSTITUTE('FICHA'!$Z$447,"~","~~"),"*","~*"),"?","~?"))=1,(COUNTIF('FICHA'!$F$439:$F$450,SUBSTITUTE(SUBSTITUTE(SUBSTITUTE('FICHA'!$Z$447,"~","~~"),"*","~*"),"?","~?"))+COUNTIF('FICHA'!$Z$439:$Z$449,SUBSTITUTE(SUBSTITUTE(SUBSTITUTE('FICHA'!$Z$447,"~","~~"),"*","~*"),"?","~?")))=1),COUNTIF('DADOS_PROGRESSAO'!$AN$2:$AN$6,'FICHA'!$AH$447)=1),"","⚠ Custom inválido ou repetido; confira NOME e ATRIBUTO"))</f>
        <v/>
      </c>
      <c r="C6616" s="198">
        <f>"'FICHA'!Z421"</f>
        <v/>
      </c>
      <c r="D6616" s="198" t="inlineStr">
        <is>
          <t>aviso</t>
        </is>
      </c>
    </row>
    <row r="6617">
      <c r="A6617" s="198" t="inlineStr">
        <is>
          <t>personagem.pericia_custom.22.nome</t>
        </is>
      </c>
      <c r="B6617" s="198">
        <f>IF(ISBLANK('FICHA'!$Z$448),"",'FICHA'!$Z$448&amp;"")</f>
        <v/>
      </c>
      <c r="C6617" s="198">
        <f>"'FICHA'!Z422"</f>
        <v/>
      </c>
      <c r="D6617" s="198" t="inlineStr">
        <is>
          <t>entrada</t>
        </is>
      </c>
    </row>
    <row r="6618">
      <c r="A6618" s="198" t="inlineStr">
        <is>
          <t>personagem.pericia_custom.22.treino</t>
        </is>
      </c>
      <c r="B6618" s="198">
        <f>N('FICHA'!$X$448)&amp;""</f>
        <v/>
      </c>
      <c r="C6618" s="198">
        <f>"'FICHA'!X422"</f>
        <v/>
      </c>
      <c r="D6618" s="198" t="inlineStr">
        <is>
          <t>entrada</t>
        </is>
      </c>
    </row>
    <row r="6619">
      <c r="A6619" s="198" t="inlineStr">
        <is>
          <t>personagem.pericia_custom.22.especializacao</t>
        </is>
      </c>
      <c r="B6619" s="198">
        <f>N('FICHA'!$Y$448)&amp;""</f>
        <v/>
      </c>
      <c r="C6619" s="198">
        <f>"'FICHA'!Y422"</f>
        <v/>
      </c>
      <c r="D6619" s="198" t="inlineStr">
        <is>
          <t>entrada</t>
        </is>
      </c>
    </row>
    <row r="6620">
      <c r="A6620" s="198" t="inlineStr">
        <is>
          <t>personagem.pericia_custom.22.atributo</t>
        </is>
      </c>
      <c r="B6620" s="198">
        <f>IF(ISBLANK('FICHA'!$AH$448),"",'FICHA'!$AH$448&amp;"")</f>
        <v/>
      </c>
      <c r="C6620" s="198">
        <f>"'FICHA'!AH422"</f>
        <v/>
      </c>
      <c r="D6620" s="198" t="inlineStr">
        <is>
          <t>entrada</t>
        </is>
      </c>
    </row>
    <row r="6621">
      <c r="A6621" s="198" t="inlineStr">
        <is>
          <t>personagem.pericia_custom.22.resultado</t>
        </is>
      </c>
      <c r="B6621" s="198">
        <f>IF(ISBLANK('FICHA'!$AL$448),"",'FICHA'!$AL$448&amp;"")</f>
        <v/>
      </c>
      <c r="C6621" s="198">
        <f>"'FICHA'!AL422"</f>
        <v/>
      </c>
      <c r="D6621" s="198" t="inlineStr">
        <is>
          <t>resultado</t>
        </is>
      </c>
    </row>
    <row r="6622">
      <c r="A6622" s="198" t="inlineStr">
        <is>
          <t>personagem.pericia_custom.22.bonus</t>
        </is>
      </c>
      <c r="B6622" s="198">
        <f>IF(ISBLANK('FICHA'!$AN$448),"",'FICHA'!$AN$448&amp;"")</f>
        <v/>
      </c>
      <c r="C6622" s="198">
        <f>"'FICHA'!AN422"</f>
        <v/>
      </c>
      <c r="D6622" s="198" t="inlineStr">
        <is>
          <t>entrada</t>
        </is>
      </c>
    </row>
    <row r="6623">
      <c r="A6623" s="198" t="inlineStr">
        <is>
          <t>aviso.efeito_caixa.pericia_custom.22</t>
        </is>
      </c>
      <c r="B6623" s="198">
        <f>DADOS_CONFIG!$E$75&amp;""</f>
        <v/>
      </c>
      <c r="C6623" s="198" t="inlineStr">
        <is>
          <t>DADOS_CONFIG!E75</t>
        </is>
      </c>
      <c r="D6623" s="198" t="inlineStr">
        <is>
          <t>aviso</t>
        </is>
      </c>
    </row>
    <row r="6624">
      <c r="A6624" s="198" t="inlineStr">
        <is>
          <t>aviso.personagem.pericia_custom.22</t>
        </is>
      </c>
      <c r="B6624" s="198">
        <f>IF('FICHA'!$Z$448="","",IF(AND(AND('FICHA'!$Z$448&lt;&gt;"",COUNTIF('DADOS_PROGRESSAO'!$AV$2:$AV$11,SUBSTITUTE(SUBSTITUTE(SUBSTITUTE('FICHA'!$Z$448,"~","~~"),"*","~*"),"?","~?"))=1,(COUNTIF('FICHA'!$F$439:$F$450,SUBSTITUTE(SUBSTITUTE(SUBSTITUTE('FICHA'!$Z$448,"~","~~"),"*","~*"),"?","~?"))+COUNTIF('FICHA'!$Z$439:$Z$449,SUBSTITUTE(SUBSTITUTE(SUBSTITUTE('FICHA'!$Z$448,"~","~~"),"*","~*"),"?","~?")))=1),COUNTIF('DADOS_PROGRESSAO'!$AN$2:$AN$6,'FICHA'!$AH$448)=1),"","⚠ Custom inválido ou repetido; confira NOME e ATRIBUTO"))</f>
        <v/>
      </c>
      <c r="C6624" s="198">
        <f>"'FICHA'!Z422"</f>
        <v/>
      </c>
      <c r="D6624" s="198" t="inlineStr">
        <is>
          <t>aviso</t>
        </is>
      </c>
    </row>
    <row r="6625">
      <c r="A6625" s="198" t="inlineStr">
        <is>
          <t>personagem.pericia_custom.23.nome</t>
        </is>
      </c>
      <c r="B6625" s="198">
        <f>IF(ISBLANK('FICHA'!$Z$449),"",'FICHA'!$Z$449&amp;"")</f>
        <v/>
      </c>
      <c r="C6625" s="198">
        <f>"'FICHA'!Z423"</f>
        <v/>
      </c>
      <c r="D6625" s="198" t="inlineStr">
        <is>
          <t>entrada</t>
        </is>
      </c>
    </row>
    <row r="6626">
      <c r="A6626" s="198" t="inlineStr">
        <is>
          <t>personagem.pericia_custom.23.treino</t>
        </is>
      </c>
      <c r="B6626" s="198">
        <f>N('FICHA'!$X$449)&amp;""</f>
        <v/>
      </c>
      <c r="C6626" s="198">
        <f>"'FICHA'!X423"</f>
        <v/>
      </c>
      <c r="D6626" s="198" t="inlineStr">
        <is>
          <t>entrada</t>
        </is>
      </c>
    </row>
    <row r="6627">
      <c r="A6627" s="198" t="inlineStr">
        <is>
          <t>personagem.pericia_custom.23.especializacao</t>
        </is>
      </c>
      <c r="B6627" s="198">
        <f>N('FICHA'!$Y$449)&amp;""</f>
        <v/>
      </c>
      <c r="C6627" s="198">
        <f>"'FICHA'!Y423"</f>
        <v/>
      </c>
      <c r="D6627" s="198" t="inlineStr">
        <is>
          <t>entrada</t>
        </is>
      </c>
    </row>
    <row r="6628">
      <c r="A6628" s="198" t="inlineStr">
        <is>
          <t>personagem.pericia_custom.23.atributo</t>
        </is>
      </c>
      <c r="B6628" s="198">
        <f>IF(ISBLANK('FICHA'!$AH$449),"",'FICHA'!$AH$449&amp;"")</f>
        <v/>
      </c>
      <c r="C6628" s="198">
        <f>"'FICHA'!AH423"</f>
        <v/>
      </c>
      <c r="D6628" s="198" t="inlineStr">
        <is>
          <t>entrada</t>
        </is>
      </c>
    </row>
    <row r="6629">
      <c r="A6629" s="198" t="inlineStr">
        <is>
          <t>personagem.pericia_custom.23.resultado</t>
        </is>
      </c>
      <c r="B6629" s="198">
        <f>IF(ISBLANK('FICHA'!$AL$449),"",'FICHA'!$AL$449&amp;"")</f>
        <v/>
      </c>
      <c r="C6629" s="198">
        <f>"'FICHA'!AL423"</f>
        <v/>
      </c>
      <c r="D6629" s="198" t="inlineStr">
        <is>
          <t>resultado</t>
        </is>
      </c>
    </row>
    <row r="6630">
      <c r="A6630" s="198" t="inlineStr">
        <is>
          <t>personagem.pericia_custom.23.bonus</t>
        </is>
      </c>
      <c r="B6630" s="198">
        <f>IF(ISBLANK('FICHA'!$AN$449),"",'FICHA'!$AN$449&amp;"")</f>
        <v/>
      </c>
      <c r="C6630" s="198">
        <f>"'FICHA'!AN423"</f>
        <v/>
      </c>
      <c r="D6630" s="198" t="inlineStr">
        <is>
          <t>entrada</t>
        </is>
      </c>
    </row>
    <row r="6631">
      <c r="A6631" s="198" t="inlineStr">
        <is>
          <t>aviso.efeito_caixa.pericia_custom.23</t>
        </is>
      </c>
      <c r="B6631" s="198">
        <f>DADOS_CONFIG!$E$76&amp;""</f>
        <v/>
      </c>
      <c r="C6631" s="198" t="inlineStr">
        <is>
          <t>DADOS_CONFIG!E76</t>
        </is>
      </c>
      <c r="D6631" s="198" t="inlineStr">
        <is>
          <t>aviso</t>
        </is>
      </c>
    </row>
    <row r="6632">
      <c r="A6632" s="198" t="inlineStr">
        <is>
          <t>aviso.personagem.pericia_custom.23</t>
        </is>
      </c>
      <c r="B6632" s="198">
        <f>IF('FICHA'!$Z$449="","",IF(AND(AND('FICHA'!$Z$449&lt;&gt;"",COUNTIF('DADOS_PROGRESSAO'!$AV$2:$AV$11,SUBSTITUTE(SUBSTITUTE(SUBSTITUTE('FICHA'!$Z$449,"~","~~"),"*","~*"),"?","~?"))=1,(COUNTIF('FICHA'!$F$439:$F$450,SUBSTITUTE(SUBSTITUTE(SUBSTITUTE('FICHA'!$Z$449,"~","~~"),"*","~*"),"?","~?"))+COUNTIF('FICHA'!$Z$439:$Z$449,SUBSTITUTE(SUBSTITUTE(SUBSTITUTE('FICHA'!$Z$449,"~","~~"),"*","~*"),"?","~?")))=1),COUNTIF('DADOS_PROGRESSAO'!$AN$2:$AN$6,'FICHA'!$AH$449)=1),"","⚠ Custom inválido ou repetido; confira NOME e ATRIBUTO"))</f>
        <v/>
      </c>
      <c r="C6632" s="198">
        <f>"'FICHA'!Z423"</f>
        <v/>
      </c>
      <c r="D6632" s="198" t="inlineStr">
        <is>
          <t>aviso</t>
        </is>
      </c>
    </row>
    <row r="6633">
      <c r="A6633" s="198" t="inlineStr">
        <is>
          <t>personagem.oficio_custom.1.nome</t>
        </is>
      </c>
      <c r="B6633" s="198">
        <f>IF(ISBLANK('FICHA'!$F$455),"",'FICHA'!$F$455&amp;"")</f>
        <v/>
      </c>
      <c r="C6633" s="198">
        <f>"'FICHA'!F429"</f>
        <v/>
      </c>
      <c r="D6633" s="198" t="inlineStr">
        <is>
          <t>entrada</t>
        </is>
      </c>
    </row>
    <row r="6634">
      <c r="A6634" s="198" t="inlineStr">
        <is>
          <t>personagem.oficio_custom.1.treino</t>
        </is>
      </c>
      <c r="B6634" s="198">
        <f>N('FICHA'!$D$455)&amp;""</f>
        <v/>
      </c>
      <c r="C6634" s="198">
        <f>"'FICHA'!D429"</f>
        <v/>
      </c>
      <c r="D6634" s="198" t="inlineStr">
        <is>
          <t>entrada</t>
        </is>
      </c>
    </row>
    <row r="6635">
      <c r="A6635" s="198" t="inlineStr">
        <is>
          <t>personagem.oficio_custom.1.especializacao</t>
        </is>
      </c>
      <c r="B6635" s="198">
        <f>N('FICHA'!$E$455)&amp;""</f>
        <v/>
      </c>
      <c r="C6635" s="198">
        <f>"'FICHA'!E429"</f>
        <v/>
      </c>
      <c r="D6635" s="198" t="inlineStr">
        <is>
          <t>entrada</t>
        </is>
      </c>
    </row>
    <row r="6636">
      <c r="A6636" s="198" t="inlineStr">
        <is>
          <t>personagem.oficio_custom.1.atributo</t>
        </is>
      </c>
      <c r="B6636" s="198">
        <f>IF(ISBLANK('FICHA'!$N$455),"",'FICHA'!$N$455&amp;"")</f>
        <v/>
      </c>
      <c r="C6636" s="198">
        <f>"'FICHA'!N429"</f>
        <v/>
      </c>
      <c r="D6636" s="198" t="inlineStr">
        <is>
          <t>entrada</t>
        </is>
      </c>
    </row>
    <row r="6637">
      <c r="A6637" s="198" t="inlineStr">
        <is>
          <t>personagem.oficio_custom.1.resultado</t>
        </is>
      </c>
      <c r="B6637" s="198">
        <f>IF(ISBLANK('FICHA'!$R$455),"",'FICHA'!$R$455&amp;"")</f>
        <v/>
      </c>
      <c r="C6637" s="198">
        <f>"'FICHA'!R429"</f>
        <v/>
      </c>
      <c r="D6637" s="198" t="inlineStr">
        <is>
          <t>resultado</t>
        </is>
      </c>
    </row>
    <row r="6638">
      <c r="A6638" s="198" t="inlineStr">
        <is>
          <t>personagem.oficio_custom.1.bonus</t>
        </is>
      </c>
      <c r="B6638" s="198">
        <f>IF(ISBLANK('FICHA'!$T$455),"",'FICHA'!$T$455&amp;"")</f>
        <v/>
      </c>
      <c r="C6638" s="198">
        <f>"'FICHA'!T429"</f>
        <v/>
      </c>
      <c r="D6638" s="198" t="inlineStr">
        <is>
          <t>entrada</t>
        </is>
      </c>
    </row>
    <row r="6639">
      <c r="A6639" s="198" t="inlineStr">
        <is>
          <t>aviso.efeito_caixa.oficio_custom.1</t>
        </is>
      </c>
      <c r="B6639" s="198">
        <f>DADOS_CONFIG!$E$77&amp;""</f>
        <v/>
      </c>
      <c r="C6639" s="198" t="inlineStr">
        <is>
          <t>DADOS_CONFIG!E77</t>
        </is>
      </c>
      <c r="D6639" s="198" t="inlineStr">
        <is>
          <t>aviso</t>
        </is>
      </c>
    </row>
    <row r="6640">
      <c r="A6640" s="198" t="inlineStr">
        <is>
          <t>aviso.personagem.oficio_custom.1</t>
        </is>
      </c>
      <c r="B6640" s="198">
        <f>IF('FICHA'!$F$455="","",IF(AND(AND('FICHA'!$F$455&lt;&gt;"",COUNTIF('DADOS_PROGRESSAO'!$AW$2:$AW$11,SUBSTITUTE(SUBSTITUTE(SUBSTITUTE('FICHA'!$F$455,"~","~~"),"*","~*"),"?","~?"))=1,(COUNTIF('FICHA'!$F$455:$F$460,SUBSTITUTE(SUBSTITUTE(SUBSTITUTE('FICHA'!$F$455,"~","~~"),"*","~*"),"?","~?"))+COUNTIF('FICHA'!$Z$455:$Z$459,SUBSTITUTE(SUBSTITUTE(SUBSTITUTE('FICHA'!$F$455,"~","~~"),"*","~*"),"?","~?")))=1),COUNTIF('DADOS_PROGRESSAO'!$AN$2:$AN$6,'FICHA'!$N$455)=1),"","⚠ Custom inválido ou repetido; confira NOME e ATRIBUTO"))</f>
        <v/>
      </c>
      <c r="C6640" s="198">
        <f>"'FICHA'!F429"</f>
        <v/>
      </c>
      <c r="D6640" s="198" t="inlineStr">
        <is>
          <t>aviso</t>
        </is>
      </c>
    </row>
    <row r="6641">
      <c r="A6641" s="198" t="inlineStr">
        <is>
          <t>personagem.oficio_custom.2.nome</t>
        </is>
      </c>
      <c r="B6641" s="198">
        <f>IF(ISBLANK('FICHA'!$F$456),"",'FICHA'!$F$456&amp;"")</f>
        <v/>
      </c>
      <c r="C6641" s="198">
        <f>"'FICHA'!F430"</f>
        <v/>
      </c>
      <c r="D6641" s="198" t="inlineStr">
        <is>
          <t>entrada</t>
        </is>
      </c>
    </row>
    <row r="6642">
      <c r="A6642" s="198" t="inlineStr">
        <is>
          <t>personagem.oficio_custom.2.treino</t>
        </is>
      </c>
      <c r="B6642" s="198">
        <f>N('FICHA'!$D$456)&amp;""</f>
        <v/>
      </c>
      <c r="C6642" s="198">
        <f>"'FICHA'!D430"</f>
        <v/>
      </c>
      <c r="D6642" s="198" t="inlineStr">
        <is>
          <t>entrada</t>
        </is>
      </c>
    </row>
    <row r="6643">
      <c r="A6643" s="198" t="inlineStr">
        <is>
          <t>personagem.oficio_custom.2.especializacao</t>
        </is>
      </c>
      <c r="B6643" s="198">
        <f>N('FICHA'!$E$456)&amp;""</f>
        <v/>
      </c>
      <c r="C6643" s="198">
        <f>"'FICHA'!E430"</f>
        <v/>
      </c>
      <c r="D6643" s="198" t="inlineStr">
        <is>
          <t>entrada</t>
        </is>
      </c>
    </row>
    <row r="6644">
      <c r="A6644" s="198" t="inlineStr">
        <is>
          <t>personagem.oficio_custom.2.atributo</t>
        </is>
      </c>
      <c r="B6644" s="198">
        <f>IF(ISBLANK('FICHA'!$N$456),"",'FICHA'!$N$456&amp;"")</f>
        <v/>
      </c>
      <c r="C6644" s="198">
        <f>"'FICHA'!N430"</f>
        <v/>
      </c>
      <c r="D6644" s="198" t="inlineStr">
        <is>
          <t>entrada</t>
        </is>
      </c>
    </row>
    <row r="6645">
      <c r="A6645" s="198" t="inlineStr">
        <is>
          <t>personagem.oficio_custom.2.resultado</t>
        </is>
      </c>
      <c r="B6645" s="198">
        <f>IF(ISBLANK('FICHA'!$R$456),"",'FICHA'!$R$456&amp;"")</f>
        <v/>
      </c>
      <c r="C6645" s="198">
        <f>"'FICHA'!R430"</f>
        <v/>
      </c>
      <c r="D6645" s="198" t="inlineStr">
        <is>
          <t>resultado</t>
        </is>
      </c>
    </row>
    <row r="6646">
      <c r="A6646" s="198" t="inlineStr">
        <is>
          <t>personagem.oficio_custom.2.bonus</t>
        </is>
      </c>
      <c r="B6646" s="198">
        <f>IF(ISBLANK('FICHA'!$T$456),"",'FICHA'!$T$456&amp;"")</f>
        <v/>
      </c>
      <c r="C6646" s="198">
        <f>"'FICHA'!T430"</f>
        <v/>
      </c>
      <c r="D6646" s="198" t="inlineStr">
        <is>
          <t>entrada</t>
        </is>
      </c>
    </row>
    <row r="6647">
      <c r="A6647" s="198" t="inlineStr">
        <is>
          <t>aviso.efeito_caixa.oficio_custom.2</t>
        </is>
      </c>
      <c r="B6647" s="198">
        <f>DADOS_CONFIG!$E$78&amp;""</f>
        <v/>
      </c>
      <c r="C6647" s="198" t="inlineStr">
        <is>
          <t>DADOS_CONFIG!E78</t>
        </is>
      </c>
      <c r="D6647" s="198" t="inlineStr">
        <is>
          <t>aviso</t>
        </is>
      </c>
    </row>
    <row r="6648">
      <c r="A6648" s="198" t="inlineStr">
        <is>
          <t>aviso.personagem.oficio_custom.2</t>
        </is>
      </c>
      <c r="B6648" s="198">
        <f>IF('FICHA'!$F$456="","",IF(AND(AND('FICHA'!$F$456&lt;&gt;"",COUNTIF('DADOS_PROGRESSAO'!$AW$2:$AW$11,SUBSTITUTE(SUBSTITUTE(SUBSTITUTE('FICHA'!$F$456,"~","~~"),"*","~*"),"?","~?"))=1,(COUNTIF('FICHA'!$F$455:$F$460,SUBSTITUTE(SUBSTITUTE(SUBSTITUTE('FICHA'!$F$456,"~","~~"),"*","~*"),"?","~?"))+COUNTIF('FICHA'!$Z$455:$Z$459,SUBSTITUTE(SUBSTITUTE(SUBSTITUTE('FICHA'!$F$456,"~","~~"),"*","~*"),"?","~?")))=1),COUNTIF('DADOS_PROGRESSAO'!$AN$2:$AN$6,'FICHA'!$N$456)=1),"","⚠ Custom inválido ou repetido; confira NOME e ATRIBUTO"))</f>
        <v/>
      </c>
      <c r="C6648" s="198">
        <f>"'FICHA'!F430"</f>
        <v/>
      </c>
      <c r="D6648" s="198" t="inlineStr">
        <is>
          <t>aviso</t>
        </is>
      </c>
    </row>
    <row r="6649">
      <c r="A6649" s="198" t="inlineStr">
        <is>
          <t>personagem.oficio_custom.3.nome</t>
        </is>
      </c>
      <c r="B6649" s="198">
        <f>IF(ISBLANK('FICHA'!$F$457),"",'FICHA'!$F$457&amp;"")</f>
        <v/>
      </c>
      <c r="C6649" s="198">
        <f>"'FICHA'!F431"</f>
        <v/>
      </c>
      <c r="D6649" s="198" t="inlineStr">
        <is>
          <t>entrada</t>
        </is>
      </c>
    </row>
    <row r="6650">
      <c r="A6650" s="198" t="inlineStr">
        <is>
          <t>personagem.oficio_custom.3.treino</t>
        </is>
      </c>
      <c r="B6650" s="198">
        <f>N('FICHA'!$D$457)&amp;""</f>
        <v/>
      </c>
      <c r="C6650" s="198">
        <f>"'FICHA'!D431"</f>
        <v/>
      </c>
      <c r="D6650" s="198" t="inlineStr">
        <is>
          <t>entrada</t>
        </is>
      </c>
    </row>
    <row r="6651">
      <c r="A6651" s="198" t="inlineStr">
        <is>
          <t>personagem.oficio_custom.3.especializacao</t>
        </is>
      </c>
      <c r="B6651" s="198">
        <f>N('FICHA'!$E$457)&amp;""</f>
        <v/>
      </c>
      <c r="C6651" s="198">
        <f>"'FICHA'!E431"</f>
        <v/>
      </c>
      <c r="D6651" s="198" t="inlineStr">
        <is>
          <t>entrada</t>
        </is>
      </c>
    </row>
    <row r="6652">
      <c r="A6652" s="198" t="inlineStr">
        <is>
          <t>personagem.oficio_custom.3.atributo</t>
        </is>
      </c>
      <c r="B6652" s="198">
        <f>IF(ISBLANK('FICHA'!$N$457),"",'FICHA'!$N$457&amp;"")</f>
        <v/>
      </c>
      <c r="C6652" s="198">
        <f>"'FICHA'!N431"</f>
        <v/>
      </c>
      <c r="D6652" s="198" t="inlineStr">
        <is>
          <t>entrada</t>
        </is>
      </c>
    </row>
    <row r="6653">
      <c r="A6653" s="198" t="inlineStr">
        <is>
          <t>personagem.oficio_custom.3.resultado</t>
        </is>
      </c>
      <c r="B6653" s="198">
        <f>IF(ISBLANK('FICHA'!$R$457),"",'FICHA'!$R$457&amp;"")</f>
        <v/>
      </c>
      <c r="C6653" s="198">
        <f>"'FICHA'!R431"</f>
        <v/>
      </c>
      <c r="D6653" s="198" t="inlineStr">
        <is>
          <t>resultado</t>
        </is>
      </c>
    </row>
    <row r="6654">
      <c r="A6654" s="198" t="inlineStr">
        <is>
          <t>personagem.oficio_custom.3.bonus</t>
        </is>
      </c>
      <c r="B6654" s="198">
        <f>IF(ISBLANK('FICHA'!$T$457),"",'FICHA'!$T$457&amp;"")</f>
        <v/>
      </c>
      <c r="C6654" s="198">
        <f>"'FICHA'!T431"</f>
        <v/>
      </c>
      <c r="D6654" s="198" t="inlineStr">
        <is>
          <t>entrada</t>
        </is>
      </c>
    </row>
    <row r="6655">
      <c r="A6655" s="198" t="inlineStr">
        <is>
          <t>aviso.efeito_caixa.oficio_custom.3</t>
        </is>
      </c>
      <c r="B6655" s="198">
        <f>DADOS_CONFIG!$E$79&amp;""</f>
        <v/>
      </c>
      <c r="C6655" s="198" t="inlineStr">
        <is>
          <t>DADOS_CONFIG!E79</t>
        </is>
      </c>
      <c r="D6655" s="198" t="inlineStr">
        <is>
          <t>aviso</t>
        </is>
      </c>
    </row>
    <row r="6656">
      <c r="A6656" s="198" t="inlineStr">
        <is>
          <t>aviso.personagem.oficio_custom.3</t>
        </is>
      </c>
      <c r="B6656" s="198">
        <f>IF('FICHA'!$F$457="","",IF(AND(AND('FICHA'!$F$457&lt;&gt;"",COUNTIF('DADOS_PROGRESSAO'!$AW$2:$AW$11,SUBSTITUTE(SUBSTITUTE(SUBSTITUTE('FICHA'!$F$457,"~","~~"),"*","~*"),"?","~?"))=1,(COUNTIF('FICHA'!$F$455:$F$460,SUBSTITUTE(SUBSTITUTE(SUBSTITUTE('FICHA'!$F$457,"~","~~"),"*","~*"),"?","~?"))+COUNTIF('FICHA'!$Z$455:$Z$459,SUBSTITUTE(SUBSTITUTE(SUBSTITUTE('FICHA'!$F$457,"~","~~"),"*","~*"),"?","~?")))=1),COUNTIF('DADOS_PROGRESSAO'!$AN$2:$AN$6,'FICHA'!$N$457)=1),"","⚠ Custom inválido ou repetido; confira NOME e ATRIBUTO"))</f>
        <v/>
      </c>
      <c r="C6656" s="198">
        <f>"'FICHA'!F431"</f>
        <v/>
      </c>
      <c r="D6656" s="198" t="inlineStr">
        <is>
          <t>aviso</t>
        </is>
      </c>
    </row>
    <row r="6657">
      <c r="A6657" s="198" t="inlineStr">
        <is>
          <t>personagem.oficio_custom.4.nome</t>
        </is>
      </c>
      <c r="B6657" s="198">
        <f>IF(ISBLANK('FICHA'!$F$458),"",'FICHA'!$F$458&amp;"")</f>
        <v/>
      </c>
      <c r="C6657" s="198">
        <f>"'FICHA'!F432"</f>
        <v/>
      </c>
      <c r="D6657" s="198" t="inlineStr">
        <is>
          <t>entrada</t>
        </is>
      </c>
    </row>
    <row r="6658">
      <c r="A6658" s="198" t="inlineStr">
        <is>
          <t>personagem.oficio_custom.4.treino</t>
        </is>
      </c>
      <c r="B6658" s="198">
        <f>N('FICHA'!$D$458)&amp;""</f>
        <v/>
      </c>
      <c r="C6658" s="198">
        <f>"'FICHA'!D432"</f>
        <v/>
      </c>
      <c r="D6658" s="198" t="inlineStr">
        <is>
          <t>entrada</t>
        </is>
      </c>
    </row>
    <row r="6659">
      <c r="A6659" s="198" t="inlineStr">
        <is>
          <t>personagem.oficio_custom.4.especializacao</t>
        </is>
      </c>
      <c r="B6659" s="198">
        <f>N('FICHA'!$E$458)&amp;""</f>
        <v/>
      </c>
      <c r="C6659" s="198">
        <f>"'FICHA'!E432"</f>
        <v/>
      </c>
      <c r="D6659" s="198" t="inlineStr">
        <is>
          <t>entrada</t>
        </is>
      </c>
    </row>
    <row r="6660">
      <c r="A6660" s="198" t="inlineStr">
        <is>
          <t>personagem.oficio_custom.4.atributo</t>
        </is>
      </c>
      <c r="B6660" s="198">
        <f>IF(ISBLANK('FICHA'!$N$458),"",'FICHA'!$N$458&amp;"")</f>
        <v/>
      </c>
      <c r="C6660" s="198">
        <f>"'FICHA'!N432"</f>
        <v/>
      </c>
      <c r="D6660" s="198" t="inlineStr">
        <is>
          <t>entrada</t>
        </is>
      </c>
    </row>
    <row r="6661">
      <c r="A6661" s="198" t="inlineStr">
        <is>
          <t>personagem.oficio_custom.4.resultado</t>
        </is>
      </c>
      <c r="B6661" s="198">
        <f>IF(ISBLANK('FICHA'!$R$458),"",'FICHA'!$R$458&amp;"")</f>
        <v/>
      </c>
      <c r="C6661" s="198">
        <f>"'FICHA'!R432"</f>
        <v/>
      </c>
      <c r="D6661" s="198" t="inlineStr">
        <is>
          <t>resultado</t>
        </is>
      </c>
    </row>
    <row r="6662">
      <c r="A6662" s="198" t="inlineStr">
        <is>
          <t>personagem.oficio_custom.4.bonus</t>
        </is>
      </c>
      <c r="B6662" s="198">
        <f>IF(ISBLANK('FICHA'!$T$458),"",'FICHA'!$T$458&amp;"")</f>
        <v/>
      </c>
      <c r="C6662" s="198">
        <f>"'FICHA'!T432"</f>
        <v/>
      </c>
      <c r="D6662" s="198" t="inlineStr">
        <is>
          <t>entrada</t>
        </is>
      </c>
    </row>
    <row r="6663">
      <c r="A6663" s="198" t="inlineStr">
        <is>
          <t>aviso.efeito_caixa.oficio_custom.4</t>
        </is>
      </c>
      <c r="B6663" s="198">
        <f>DADOS_CONFIG!$E$80&amp;""</f>
        <v/>
      </c>
      <c r="C6663" s="198" t="inlineStr">
        <is>
          <t>DADOS_CONFIG!E80</t>
        </is>
      </c>
      <c r="D6663" s="198" t="inlineStr">
        <is>
          <t>aviso</t>
        </is>
      </c>
    </row>
    <row r="6664">
      <c r="A6664" s="198" t="inlineStr">
        <is>
          <t>aviso.personagem.oficio_custom.4</t>
        </is>
      </c>
      <c r="B6664" s="198">
        <f>IF('FICHA'!$F$458="","",IF(AND(AND('FICHA'!$F$458&lt;&gt;"",COUNTIF('DADOS_PROGRESSAO'!$AW$2:$AW$11,SUBSTITUTE(SUBSTITUTE(SUBSTITUTE('FICHA'!$F$458,"~","~~"),"*","~*"),"?","~?"))=1,(COUNTIF('FICHA'!$F$455:$F$460,SUBSTITUTE(SUBSTITUTE(SUBSTITUTE('FICHA'!$F$458,"~","~~"),"*","~*"),"?","~?"))+COUNTIF('FICHA'!$Z$455:$Z$459,SUBSTITUTE(SUBSTITUTE(SUBSTITUTE('FICHA'!$F$458,"~","~~"),"*","~*"),"?","~?")))=1),COUNTIF('DADOS_PROGRESSAO'!$AN$2:$AN$6,'FICHA'!$N$458)=1),"","⚠ Custom inválido ou repetido; confira NOME e ATRIBUTO"))</f>
        <v/>
      </c>
      <c r="C6664" s="198">
        <f>"'FICHA'!F432"</f>
        <v/>
      </c>
      <c r="D6664" s="198" t="inlineStr">
        <is>
          <t>aviso</t>
        </is>
      </c>
    </row>
    <row r="6665">
      <c r="A6665" s="198" t="inlineStr">
        <is>
          <t>personagem.oficio_custom.5.nome</t>
        </is>
      </c>
      <c r="B6665" s="198">
        <f>IF(ISBLANK('FICHA'!$F$459),"",'FICHA'!$F$459&amp;"")</f>
        <v/>
      </c>
      <c r="C6665" s="198">
        <f>"'FICHA'!F433"</f>
        <v/>
      </c>
      <c r="D6665" s="198" t="inlineStr">
        <is>
          <t>entrada</t>
        </is>
      </c>
    </row>
    <row r="6666">
      <c r="A6666" s="198" t="inlineStr">
        <is>
          <t>personagem.oficio_custom.5.treino</t>
        </is>
      </c>
      <c r="B6666" s="198">
        <f>N('FICHA'!$D$459)&amp;""</f>
        <v/>
      </c>
      <c r="C6666" s="198">
        <f>"'FICHA'!D433"</f>
        <v/>
      </c>
      <c r="D6666" s="198" t="inlineStr">
        <is>
          <t>entrada</t>
        </is>
      </c>
    </row>
    <row r="6667">
      <c r="A6667" s="198" t="inlineStr">
        <is>
          <t>personagem.oficio_custom.5.especializacao</t>
        </is>
      </c>
      <c r="B6667" s="198">
        <f>N('FICHA'!$E$459)&amp;""</f>
        <v/>
      </c>
      <c r="C6667" s="198">
        <f>"'FICHA'!E433"</f>
        <v/>
      </c>
      <c r="D6667" s="198" t="inlineStr">
        <is>
          <t>entrada</t>
        </is>
      </c>
    </row>
    <row r="6668">
      <c r="A6668" s="198" t="inlineStr">
        <is>
          <t>personagem.oficio_custom.5.atributo</t>
        </is>
      </c>
      <c r="B6668" s="198">
        <f>IF(ISBLANK('FICHA'!$N$459),"",'FICHA'!$N$459&amp;"")</f>
        <v/>
      </c>
      <c r="C6668" s="198">
        <f>"'FICHA'!N433"</f>
        <v/>
      </c>
      <c r="D6668" s="198" t="inlineStr">
        <is>
          <t>entrada</t>
        </is>
      </c>
    </row>
    <row r="6669">
      <c r="A6669" s="198" t="inlineStr">
        <is>
          <t>personagem.oficio_custom.5.resultado</t>
        </is>
      </c>
      <c r="B6669" s="198">
        <f>IF(ISBLANK('FICHA'!$R$459),"",'FICHA'!$R$459&amp;"")</f>
        <v/>
      </c>
      <c r="C6669" s="198">
        <f>"'FICHA'!R433"</f>
        <v/>
      </c>
      <c r="D6669" s="198" t="inlineStr">
        <is>
          <t>resultado</t>
        </is>
      </c>
    </row>
    <row r="6670">
      <c r="A6670" s="198" t="inlineStr">
        <is>
          <t>personagem.oficio_custom.5.bonus</t>
        </is>
      </c>
      <c r="B6670" s="198">
        <f>IF(ISBLANK('FICHA'!$T$459),"",'FICHA'!$T$459&amp;"")</f>
        <v/>
      </c>
      <c r="C6670" s="198">
        <f>"'FICHA'!T433"</f>
        <v/>
      </c>
      <c r="D6670" s="198" t="inlineStr">
        <is>
          <t>entrada</t>
        </is>
      </c>
    </row>
    <row r="6671">
      <c r="A6671" s="198" t="inlineStr">
        <is>
          <t>aviso.efeito_caixa.oficio_custom.5</t>
        </is>
      </c>
      <c r="B6671" s="198">
        <f>DADOS_CONFIG!$E$81&amp;""</f>
        <v/>
      </c>
      <c r="C6671" s="198" t="inlineStr">
        <is>
          <t>DADOS_CONFIG!E81</t>
        </is>
      </c>
      <c r="D6671" s="198" t="inlineStr">
        <is>
          <t>aviso</t>
        </is>
      </c>
    </row>
    <row r="6672">
      <c r="A6672" s="198" t="inlineStr">
        <is>
          <t>aviso.personagem.oficio_custom.5</t>
        </is>
      </c>
      <c r="B6672" s="198">
        <f>IF('FICHA'!$F$459="","",IF(AND(AND('FICHA'!$F$459&lt;&gt;"",COUNTIF('DADOS_PROGRESSAO'!$AW$2:$AW$11,SUBSTITUTE(SUBSTITUTE(SUBSTITUTE('FICHA'!$F$459,"~","~~"),"*","~*"),"?","~?"))=1,(COUNTIF('FICHA'!$F$455:$F$460,SUBSTITUTE(SUBSTITUTE(SUBSTITUTE('FICHA'!$F$459,"~","~~"),"*","~*"),"?","~?"))+COUNTIF('FICHA'!$Z$455:$Z$459,SUBSTITUTE(SUBSTITUTE(SUBSTITUTE('FICHA'!$F$459,"~","~~"),"*","~*"),"?","~?")))=1),COUNTIF('DADOS_PROGRESSAO'!$AN$2:$AN$6,'FICHA'!$N$459)=1),"","⚠ Custom inválido ou repetido; confira NOME e ATRIBUTO"))</f>
        <v/>
      </c>
      <c r="C6672" s="198">
        <f>"'FICHA'!F433"</f>
        <v/>
      </c>
      <c r="D6672" s="198" t="inlineStr">
        <is>
          <t>aviso</t>
        </is>
      </c>
    </row>
    <row r="6673">
      <c r="A6673" s="198" t="inlineStr">
        <is>
          <t>personagem.oficio_custom.6.nome</t>
        </is>
      </c>
      <c r="B6673" s="198">
        <f>IF(ISBLANK('FICHA'!$F$460),"",'FICHA'!$F$460&amp;"")</f>
        <v/>
      </c>
      <c r="C6673" s="198">
        <f>"'FICHA'!F434"</f>
        <v/>
      </c>
      <c r="D6673" s="198" t="inlineStr">
        <is>
          <t>entrada</t>
        </is>
      </c>
    </row>
    <row r="6674">
      <c r="A6674" s="198" t="inlineStr">
        <is>
          <t>personagem.oficio_custom.6.treino</t>
        </is>
      </c>
      <c r="B6674" s="198">
        <f>N('FICHA'!$D$460)&amp;""</f>
        <v/>
      </c>
      <c r="C6674" s="198">
        <f>"'FICHA'!D434"</f>
        <v/>
      </c>
      <c r="D6674" s="198" t="inlineStr">
        <is>
          <t>entrada</t>
        </is>
      </c>
    </row>
    <row r="6675">
      <c r="A6675" s="198" t="inlineStr">
        <is>
          <t>personagem.oficio_custom.6.especializacao</t>
        </is>
      </c>
      <c r="B6675" s="198">
        <f>N('FICHA'!$E$460)&amp;""</f>
        <v/>
      </c>
      <c r="C6675" s="198">
        <f>"'FICHA'!E434"</f>
        <v/>
      </c>
      <c r="D6675" s="198" t="inlineStr">
        <is>
          <t>entrada</t>
        </is>
      </c>
    </row>
    <row r="6676">
      <c r="A6676" s="198" t="inlineStr">
        <is>
          <t>personagem.oficio_custom.6.atributo</t>
        </is>
      </c>
      <c r="B6676" s="198">
        <f>IF(ISBLANK('FICHA'!$N$460),"",'FICHA'!$N$460&amp;"")</f>
        <v/>
      </c>
      <c r="C6676" s="198">
        <f>"'FICHA'!N434"</f>
        <v/>
      </c>
      <c r="D6676" s="198" t="inlineStr">
        <is>
          <t>entrada</t>
        </is>
      </c>
    </row>
    <row r="6677">
      <c r="A6677" s="198" t="inlineStr">
        <is>
          <t>personagem.oficio_custom.6.resultado</t>
        </is>
      </c>
      <c r="B6677" s="198">
        <f>IF(ISBLANK('FICHA'!$R$460),"",'FICHA'!$R$460&amp;"")</f>
        <v/>
      </c>
      <c r="C6677" s="198">
        <f>"'FICHA'!R434"</f>
        <v/>
      </c>
      <c r="D6677" s="198" t="inlineStr">
        <is>
          <t>resultado</t>
        </is>
      </c>
    </row>
    <row r="6678">
      <c r="A6678" s="198" t="inlineStr">
        <is>
          <t>personagem.oficio_custom.6.bonus</t>
        </is>
      </c>
      <c r="B6678" s="198">
        <f>IF(ISBLANK('FICHA'!$T$460),"",'FICHA'!$T$460&amp;"")</f>
        <v/>
      </c>
      <c r="C6678" s="198">
        <f>"'FICHA'!T434"</f>
        <v/>
      </c>
      <c r="D6678" s="198" t="inlineStr">
        <is>
          <t>entrada</t>
        </is>
      </c>
    </row>
    <row r="6679">
      <c r="A6679" s="198" t="inlineStr">
        <is>
          <t>aviso.efeito_caixa.oficio_custom.6</t>
        </is>
      </c>
      <c r="B6679" s="198">
        <f>DADOS_CONFIG!$E$82&amp;""</f>
        <v/>
      </c>
      <c r="C6679" s="198" t="inlineStr">
        <is>
          <t>DADOS_CONFIG!E82</t>
        </is>
      </c>
      <c r="D6679" s="198" t="inlineStr">
        <is>
          <t>aviso</t>
        </is>
      </c>
    </row>
    <row r="6680">
      <c r="A6680" s="198" t="inlineStr">
        <is>
          <t>aviso.personagem.oficio_custom.6</t>
        </is>
      </c>
      <c r="B6680" s="198">
        <f>IF('FICHA'!$F$460="","",IF(AND(AND('FICHA'!$F$460&lt;&gt;"",COUNTIF('DADOS_PROGRESSAO'!$AW$2:$AW$11,SUBSTITUTE(SUBSTITUTE(SUBSTITUTE('FICHA'!$F$460,"~","~~"),"*","~*"),"?","~?"))=1,(COUNTIF('FICHA'!$F$455:$F$460,SUBSTITUTE(SUBSTITUTE(SUBSTITUTE('FICHA'!$F$460,"~","~~"),"*","~*"),"?","~?"))+COUNTIF('FICHA'!$Z$455:$Z$459,SUBSTITUTE(SUBSTITUTE(SUBSTITUTE('FICHA'!$F$460,"~","~~"),"*","~*"),"?","~?")))=1),COUNTIF('DADOS_PROGRESSAO'!$AN$2:$AN$6,'FICHA'!$N$460)=1),"","⚠ Custom inválido ou repetido; confira NOME e ATRIBUTO"))</f>
        <v/>
      </c>
      <c r="C6680" s="198">
        <f>"'FICHA'!F434"</f>
        <v/>
      </c>
      <c r="D6680" s="198" t="inlineStr">
        <is>
          <t>aviso</t>
        </is>
      </c>
    </row>
    <row r="6681">
      <c r="A6681" s="198" t="inlineStr">
        <is>
          <t>personagem.oficio_custom.7.nome</t>
        </is>
      </c>
      <c r="B6681" s="198">
        <f>IF(ISBLANK('FICHA'!$Z$455),"",'FICHA'!$Z$455&amp;"")</f>
        <v/>
      </c>
      <c r="C6681" s="198">
        <f>"'FICHA'!Z429"</f>
        <v/>
      </c>
      <c r="D6681" s="198" t="inlineStr">
        <is>
          <t>entrada</t>
        </is>
      </c>
    </row>
    <row r="6682">
      <c r="A6682" s="198" t="inlineStr">
        <is>
          <t>personagem.oficio_custom.7.treino</t>
        </is>
      </c>
      <c r="B6682" s="198">
        <f>N('FICHA'!$X$455)&amp;""</f>
        <v/>
      </c>
      <c r="C6682" s="198">
        <f>"'FICHA'!X429"</f>
        <v/>
      </c>
      <c r="D6682" s="198" t="inlineStr">
        <is>
          <t>entrada</t>
        </is>
      </c>
    </row>
    <row r="6683">
      <c r="A6683" s="198" t="inlineStr">
        <is>
          <t>personagem.oficio_custom.7.especializacao</t>
        </is>
      </c>
      <c r="B6683" s="198">
        <f>N('FICHA'!$Y$455)&amp;""</f>
        <v/>
      </c>
      <c r="C6683" s="198">
        <f>"'FICHA'!Y429"</f>
        <v/>
      </c>
      <c r="D6683" s="198" t="inlineStr">
        <is>
          <t>entrada</t>
        </is>
      </c>
    </row>
    <row r="6684">
      <c r="A6684" s="198" t="inlineStr">
        <is>
          <t>personagem.oficio_custom.7.atributo</t>
        </is>
      </c>
      <c r="B6684" s="198">
        <f>IF(ISBLANK('FICHA'!$AH$455),"",'FICHA'!$AH$455&amp;"")</f>
        <v/>
      </c>
      <c r="C6684" s="198">
        <f>"'FICHA'!AH429"</f>
        <v/>
      </c>
      <c r="D6684" s="198" t="inlineStr">
        <is>
          <t>entrada</t>
        </is>
      </c>
    </row>
    <row r="6685">
      <c r="A6685" s="198" t="inlineStr">
        <is>
          <t>personagem.oficio_custom.7.resultado</t>
        </is>
      </c>
      <c r="B6685" s="198">
        <f>IF(ISBLANK('FICHA'!$AL$455),"",'FICHA'!$AL$455&amp;"")</f>
        <v/>
      </c>
      <c r="C6685" s="198">
        <f>"'FICHA'!AL429"</f>
        <v/>
      </c>
      <c r="D6685" s="198" t="inlineStr">
        <is>
          <t>resultado</t>
        </is>
      </c>
    </row>
    <row r="6686">
      <c r="A6686" s="198" t="inlineStr">
        <is>
          <t>personagem.oficio_custom.7.bonus</t>
        </is>
      </c>
      <c r="B6686" s="198">
        <f>IF(ISBLANK('FICHA'!$AN$455),"",'FICHA'!$AN$455&amp;"")</f>
        <v/>
      </c>
      <c r="C6686" s="198">
        <f>"'FICHA'!AN429"</f>
        <v/>
      </c>
      <c r="D6686" s="198" t="inlineStr">
        <is>
          <t>entrada</t>
        </is>
      </c>
    </row>
    <row r="6687">
      <c r="A6687" s="198" t="inlineStr">
        <is>
          <t>aviso.efeito_caixa.oficio_custom.7</t>
        </is>
      </c>
      <c r="B6687" s="198">
        <f>DADOS_CONFIG!$E$83&amp;""</f>
        <v/>
      </c>
      <c r="C6687" s="198" t="inlineStr">
        <is>
          <t>DADOS_CONFIG!E83</t>
        </is>
      </c>
      <c r="D6687" s="198" t="inlineStr">
        <is>
          <t>aviso</t>
        </is>
      </c>
    </row>
    <row r="6688">
      <c r="A6688" s="198" t="inlineStr">
        <is>
          <t>aviso.personagem.oficio_custom.7</t>
        </is>
      </c>
      <c r="B6688" s="198">
        <f>IF('FICHA'!$Z$455="","",IF(AND(AND('FICHA'!$Z$455&lt;&gt;"",COUNTIF('DADOS_PROGRESSAO'!$AW$2:$AW$11,SUBSTITUTE(SUBSTITUTE(SUBSTITUTE('FICHA'!$Z$455,"~","~~"),"*","~*"),"?","~?"))=1,(COUNTIF('FICHA'!$F$455:$F$460,SUBSTITUTE(SUBSTITUTE(SUBSTITUTE('FICHA'!$Z$455,"~","~~"),"*","~*"),"?","~?"))+COUNTIF('FICHA'!$Z$455:$Z$459,SUBSTITUTE(SUBSTITUTE(SUBSTITUTE('FICHA'!$Z$455,"~","~~"),"*","~*"),"?","~?")))=1),COUNTIF('DADOS_PROGRESSAO'!$AN$2:$AN$6,'FICHA'!$AH$455)=1),"","⚠ Custom inválido ou repetido; confira NOME e ATRIBUTO"))</f>
        <v/>
      </c>
      <c r="C6688" s="198">
        <f>"'FICHA'!Z429"</f>
        <v/>
      </c>
      <c r="D6688" s="198" t="inlineStr">
        <is>
          <t>aviso</t>
        </is>
      </c>
    </row>
    <row r="6689">
      <c r="A6689" s="198" t="inlineStr">
        <is>
          <t>personagem.oficio_custom.8.nome</t>
        </is>
      </c>
      <c r="B6689" s="198">
        <f>IF(ISBLANK('FICHA'!$Z$456),"",'FICHA'!$Z$456&amp;"")</f>
        <v/>
      </c>
      <c r="C6689" s="198">
        <f>"'FICHA'!Z430"</f>
        <v/>
      </c>
      <c r="D6689" s="198" t="inlineStr">
        <is>
          <t>entrada</t>
        </is>
      </c>
    </row>
    <row r="6690">
      <c r="A6690" s="198" t="inlineStr">
        <is>
          <t>personagem.oficio_custom.8.treino</t>
        </is>
      </c>
      <c r="B6690" s="198">
        <f>N('FICHA'!$X$456)&amp;""</f>
        <v/>
      </c>
      <c r="C6690" s="198">
        <f>"'FICHA'!X430"</f>
        <v/>
      </c>
      <c r="D6690" s="198" t="inlineStr">
        <is>
          <t>entrada</t>
        </is>
      </c>
    </row>
    <row r="6691">
      <c r="A6691" s="198" t="inlineStr">
        <is>
          <t>personagem.oficio_custom.8.especializacao</t>
        </is>
      </c>
      <c r="B6691" s="198">
        <f>N('FICHA'!$Y$456)&amp;""</f>
        <v/>
      </c>
      <c r="C6691" s="198">
        <f>"'FICHA'!Y430"</f>
        <v/>
      </c>
      <c r="D6691" s="198" t="inlineStr">
        <is>
          <t>entrada</t>
        </is>
      </c>
    </row>
    <row r="6692">
      <c r="A6692" s="198" t="inlineStr">
        <is>
          <t>personagem.oficio_custom.8.atributo</t>
        </is>
      </c>
      <c r="B6692" s="198">
        <f>IF(ISBLANK('FICHA'!$AH$456),"",'FICHA'!$AH$456&amp;"")</f>
        <v/>
      </c>
      <c r="C6692" s="198">
        <f>"'FICHA'!AH430"</f>
        <v/>
      </c>
      <c r="D6692" s="198" t="inlineStr">
        <is>
          <t>entrada</t>
        </is>
      </c>
    </row>
    <row r="6693">
      <c r="A6693" s="198" t="inlineStr">
        <is>
          <t>personagem.oficio_custom.8.resultado</t>
        </is>
      </c>
      <c r="B6693" s="198">
        <f>IF(ISBLANK('FICHA'!$AL$456),"",'FICHA'!$AL$456&amp;"")</f>
        <v/>
      </c>
      <c r="C6693" s="198">
        <f>"'FICHA'!AL430"</f>
        <v/>
      </c>
      <c r="D6693" s="198" t="inlineStr">
        <is>
          <t>resultado</t>
        </is>
      </c>
    </row>
    <row r="6694">
      <c r="A6694" s="198" t="inlineStr">
        <is>
          <t>personagem.oficio_custom.8.bonus</t>
        </is>
      </c>
      <c r="B6694" s="198">
        <f>IF(ISBLANK('FICHA'!$AN$456),"",'FICHA'!$AN$456&amp;"")</f>
        <v/>
      </c>
      <c r="C6694" s="198">
        <f>"'FICHA'!AN430"</f>
        <v/>
      </c>
      <c r="D6694" s="198" t="inlineStr">
        <is>
          <t>entrada</t>
        </is>
      </c>
    </row>
    <row r="6695">
      <c r="A6695" s="198" t="inlineStr">
        <is>
          <t>aviso.efeito_caixa.oficio_custom.8</t>
        </is>
      </c>
      <c r="B6695" s="198">
        <f>DADOS_CONFIG!$E$84&amp;""</f>
        <v/>
      </c>
      <c r="C6695" s="198" t="inlineStr">
        <is>
          <t>DADOS_CONFIG!E84</t>
        </is>
      </c>
      <c r="D6695" s="198" t="inlineStr">
        <is>
          <t>aviso</t>
        </is>
      </c>
    </row>
    <row r="6696">
      <c r="A6696" s="198" t="inlineStr">
        <is>
          <t>aviso.personagem.oficio_custom.8</t>
        </is>
      </c>
      <c r="B6696" s="198">
        <f>IF('FICHA'!$Z$456="","",IF(AND(AND('FICHA'!$Z$456&lt;&gt;"",COUNTIF('DADOS_PROGRESSAO'!$AW$2:$AW$11,SUBSTITUTE(SUBSTITUTE(SUBSTITUTE('FICHA'!$Z$456,"~","~~"),"*","~*"),"?","~?"))=1,(COUNTIF('FICHA'!$F$455:$F$460,SUBSTITUTE(SUBSTITUTE(SUBSTITUTE('FICHA'!$Z$456,"~","~~"),"*","~*"),"?","~?"))+COUNTIF('FICHA'!$Z$455:$Z$459,SUBSTITUTE(SUBSTITUTE(SUBSTITUTE('FICHA'!$Z$456,"~","~~"),"*","~*"),"?","~?")))=1),COUNTIF('DADOS_PROGRESSAO'!$AN$2:$AN$6,'FICHA'!$AH$456)=1),"","⚠ Custom inválido ou repetido; confira NOME e ATRIBUTO"))</f>
        <v/>
      </c>
      <c r="C6696" s="198">
        <f>"'FICHA'!Z430"</f>
        <v/>
      </c>
      <c r="D6696" s="198" t="inlineStr">
        <is>
          <t>aviso</t>
        </is>
      </c>
    </row>
    <row r="6697">
      <c r="A6697" s="198" t="inlineStr">
        <is>
          <t>personagem.oficio_custom.9.nome</t>
        </is>
      </c>
      <c r="B6697" s="198">
        <f>IF(ISBLANK('FICHA'!$Z$457),"",'FICHA'!$Z$457&amp;"")</f>
        <v/>
      </c>
      <c r="C6697" s="198">
        <f>"'FICHA'!Z431"</f>
        <v/>
      </c>
      <c r="D6697" s="198" t="inlineStr">
        <is>
          <t>entrada</t>
        </is>
      </c>
    </row>
    <row r="6698">
      <c r="A6698" s="198" t="inlineStr">
        <is>
          <t>personagem.oficio_custom.9.treino</t>
        </is>
      </c>
      <c r="B6698" s="198">
        <f>N('FICHA'!$X$457)&amp;""</f>
        <v/>
      </c>
      <c r="C6698" s="198">
        <f>"'FICHA'!X431"</f>
        <v/>
      </c>
      <c r="D6698" s="198" t="inlineStr">
        <is>
          <t>entrada</t>
        </is>
      </c>
    </row>
    <row r="6699">
      <c r="A6699" s="198" t="inlineStr">
        <is>
          <t>personagem.oficio_custom.9.especializacao</t>
        </is>
      </c>
      <c r="B6699" s="198">
        <f>N('FICHA'!$Y$457)&amp;""</f>
        <v/>
      </c>
      <c r="C6699" s="198">
        <f>"'FICHA'!Y431"</f>
        <v/>
      </c>
      <c r="D6699" s="198" t="inlineStr">
        <is>
          <t>entrada</t>
        </is>
      </c>
    </row>
    <row r="6700">
      <c r="A6700" s="198" t="inlineStr">
        <is>
          <t>personagem.oficio_custom.9.atributo</t>
        </is>
      </c>
      <c r="B6700" s="198">
        <f>IF(ISBLANK('FICHA'!$AH$457),"",'FICHA'!$AH$457&amp;"")</f>
        <v/>
      </c>
      <c r="C6700" s="198">
        <f>"'FICHA'!AH431"</f>
        <v/>
      </c>
      <c r="D6700" s="198" t="inlineStr">
        <is>
          <t>entrada</t>
        </is>
      </c>
    </row>
    <row r="6701">
      <c r="A6701" s="198" t="inlineStr">
        <is>
          <t>personagem.oficio_custom.9.resultado</t>
        </is>
      </c>
      <c r="B6701" s="198">
        <f>IF(ISBLANK('FICHA'!$AL$457),"",'FICHA'!$AL$457&amp;"")</f>
        <v/>
      </c>
      <c r="C6701" s="198">
        <f>"'FICHA'!AL431"</f>
        <v/>
      </c>
      <c r="D6701" s="198" t="inlineStr">
        <is>
          <t>resultado</t>
        </is>
      </c>
    </row>
    <row r="6702">
      <c r="A6702" s="198" t="inlineStr">
        <is>
          <t>personagem.oficio_custom.9.bonus</t>
        </is>
      </c>
      <c r="B6702" s="198">
        <f>IF(ISBLANK('FICHA'!$AN$457),"",'FICHA'!$AN$457&amp;"")</f>
        <v/>
      </c>
      <c r="C6702" s="198">
        <f>"'FICHA'!AN431"</f>
        <v/>
      </c>
      <c r="D6702" s="198" t="inlineStr">
        <is>
          <t>entrada</t>
        </is>
      </c>
    </row>
    <row r="6703">
      <c r="A6703" s="198" t="inlineStr">
        <is>
          <t>aviso.efeito_caixa.oficio_custom.9</t>
        </is>
      </c>
      <c r="B6703" s="198">
        <f>DADOS_CONFIG!$E$85&amp;""</f>
        <v/>
      </c>
      <c r="C6703" s="198" t="inlineStr">
        <is>
          <t>DADOS_CONFIG!E85</t>
        </is>
      </c>
      <c r="D6703" s="198" t="inlineStr">
        <is>
          <t>aviso</t>
        </is>
      </c>
    </row>
    <row r="6704">
      <c r="A6704" s="198" t="inlineStr">
        <is>
          <t>aviso.personagem.oficio_custom.9</t>
        </is>
      </c>
      <c r="B6704" s="198">
        <f>IF('FICHA'!$Z$457="","",IF(AND(AND('FICHA'!$Z$457&lt;&gt;"",COUNTIF('DADOS_PROGRESSAO'!$AW$2:$AW$11,SUBSTITUTE(SUBSTITUTE(SUBSTITUTE('FICHA'!$Z$457,"~","~~"),"*","~*"),"?","~?"))=1,(COUNTIF('FICHA'!$F$455:$F$460,SUBSTITUTE(SUBSTITUTE(SUBSTITUTE('FICHA'!$Z$457,"~","~~"),"*","~*"),"?","~?"))+COUNTIF('FICHA'!$Z$455:$Z$459,SUBSTITUTE(SUBSTITUTE(SUBSTITUTE('FICHA'!$Z$457,"~","~~"),"*","~*"),"?","~?")))=1),COUNTIF('DADOS_PROGRESSAO'!$AN$2:$AN$6,'FICHA'!$AH$457)=1),"","⚠ Custom inválido ou repetido; confira NOME e ATRIBUTO"))</f>
        <v/>
      </c>
      <c r="C6704" s="198">
        <f>"'FICHA'!Z431"</f>
        <v/>
      </c>
      <c r="D6704" s="198" t="inlineStr">
        <is>
          <t>aviso</t>
        </is>
      </c>
    </row>
    <row r="6705">
      <c r="A6705" s="198" t="inlineStr">
        <is>
          <t>personagem.oficio_custom.10.nome</t>
        </is>
      </c>
      <c r="B6705" s="198">
        <f>IF(ISBLANK('FICHA'!$Z$458),"",'FICHA'!$Z$458&amp;"")</f>
        <v/>
      </c>
      <c r="C6705" s="198">
        <f>"'FICHA'!Z432"</f>
        <v/>
      </c>
      <c r="D6705" s="198" t="inlineStr">
        <is>
          <t>entrada</t>
        </is>
      </c>
    </row>
    <row r="6706">
      <c r="A6706" s="198" t="inlineStr">
        <is>
          <t>personagem.oficio_custom.10.treino</t>
        </is>
      </c>
      <c r="B6706" s="198">
        <f>N('FICHA'!$X$458)&amp;""</f>
        <v/>
      </c>
      <c r="C6706" s="198">
        <f>"'FICHA'!X432"</f>
        <v/>
      </c>
      <c r="D6706" s="198" t="inlineStr">
        <is>
          <t>entrada</t>
        </is>
      </c>
    </row>
    <row r="6707">
      <c r="A6707" s="198" t="inlineStr">
        <is>
          <t>personagem.oficio_custom.10.especializacao</t>
        </is>
      </c>
      <c r="B6707" s="198">
        <f>N('FICHA'!$Y$458)&amp;""</f>
        <v/>
      </c>
      <c r="C6707" s="198">
        <f>"'FICHA'!Y432"</f>
        <v/>
      </c>
      <c r="D6707" s="198" t="inlineStr">
        <is>
          <t>entrada</t>
        </is>
      </c>
    </row>
    <row r="6708">
      <c r="A6708" s="198" t="inlineStr">
        <is>
          <t>personagem.oficio_custom.10.atributo</t>
        </is>
      </c>
      <c r="B6708" s="198">
        <f>IF(ISBLANK('FICHA'!$AH$458),"",'FICHA'!$AH$458&amp;"")</f>
        <v/>
      </c>
      <c r="C6708" s="198">
        <f>"'FICHA'!AH432"</f>
        <v/>
      </c>
      <c r="D6708" s="198" t="inlineStr">
        <is>
          <t>entrada</t>
        </is>
      </c>
    </row>
    <row r="6709">
      <c r="A6709" s="198" t="inlineStr">
        <is>
          <t>personagem.oficio_custom.10.resultado</t>
        </is>
      </c>
      <c r="B6709" s="198">
        <f>IF(ISBLANK('FICHA'!$AL$458),"",'FICHA'!$AL$458&amp;"")</f>
        <v/>
      </c>
      <c r="C6709" s="198">
        <f>"'FICHA'!AL432"</f>
        <v/>
      </c>
      <c r="D6709" s="198" t="inlineStr">
        <is>
          <t>resultado</t>
        </is>
      </c>
    </row>
    <row r="6710">
      <c r="A6710" s="198" t="inlineStr">
        <is>
          <t>personagem.oficio_custom.10.bonus</t>
        </is>
      </c>
      <c r="B6710" s="198">
        <f>IF(ISBLANK('FICHA'!$AN$458),"",'FICHA'!$AN$458&amp;"")</f>
        <v/>
      </c>
      <c r="C6710" s="198">
        <f>"'FICHA'!AN432"</f>
        <v/>
      </c>
      <c r="D6710" s="198" t="inlineStr">
        <is>
          <t>entrada</t>
        </is>
      </c>
    </row>
    <row r="6711">
      <c r="A6711" s="198" t="inlineStr">
        <is>
          <t>aviso.efeito_caixa.oficio_custom.10</t>
        </is>
      </c>
      <c r="B6711" s="198">
        <f>DADOS_CONFIG!$E$86&amp;""</f>
        <v/>
      </c>
      <c r="C6711" s="198" t="inlineStr">
        <is>
          <t>DADOS_CONFIG!E86</t>
        </is>
      </c>
      <c r="D6711" s="198" t="inlineStr">
        <is>
          <t>aviso</t>
        </is>
      </c>
    </row>
    <row r="6712">
      <c r="A6712" s="198" t="inlineStr">
        <is>
          <t>aviso.personagem.oficio_custom.10</t>
        </is>
      </c>
      <c r="B6712" s="198">
        <f>IF('FICHA'!$Z$458="","",IF(AND(AND('FICHA'!$Z$458&lt;&gt;"",COUNTIF('DADOS_PROGRESSAO'!$AW$2:$AW$11,SUBSTITUTE(SUBSTITUTE(SUBSTITUTE('FICHA'!$Z$458,"~","~~"),"*","~*"),"?","~?"))=1,(COUNTIF('FICHA'!$F$455:$F$460,SUBSTITUTE(SUBSTITUTE(SUBSTITUTE('FICHA'!$Z$458,"~","~~"),"*","~*"),"?","~?"))+COUNTIF('FICHA'!$Z$455:$Z$459,SUBSTITUTE(SUBSTITUTE(SUBSTITUTE('FICHA'!$Z$458,"~","~~"),"*","~*"),"?","~?")))=1),COUNTIF('DADOS_PROGRESSAO'!$AN$2:$AN$6,'FICHA'!$AH$458)=1),"","⚠ Custom inválido ou repetido; confira NOME e ATRIBUTO"))</f>
        <v/>
      </c>
      <c r="C6712" s="198">
        <f>"'FICHA'!Z432"</f>
        <v/>
      </c>
      <c r="D6712" s="198" t="inlineStr">
        <is>
          <t>aviso</t>
        </is>
      </c>
    </row>
    <row r="6713">
      <c r="A6713" s="198" t="inlineStr">
        <is>
          <t>personagem.oficio_custom.11.nome</t>
        </is>
      </c>
      <c r="B6713" s="198">
        <f>IF(ISBLANK('FICHA'!$Z$459),"",'FICHA'!$Z$459&amp;"")</f>
        <v/>
      </c>
      <c r="C6713" s="198">
        <f>"'FICHA'!Z433"</f>
        <v/>
      </c>
      <c r="D6713" s="198" t="inlineStr">
        <is>
          <t>entrada</t>
        </is>
      </c>
    </row>
    <row r="6714">
      <c r="A6714" s="198" t="inlineStr">
        <is>
          <t>personagem.oficio_custom.11.treino</t>
        </is>
      </c>
      <c r="B6714" s="198">
        <f>N('FICHA'!$X$459)&amp;""</f>
        <v/>
      </c>
      <c r="C6714" s="198">
        <f>"'FICHA'!X433"</f>
        <v/>
      </c>
      <c r="D6714" s="198" t="inlineStr">
        <is>
          <t>entrada</t>
        </is>
      </c>
    </row>
    <row r="6715">
      <c r="A6715" s="198" t="inlineStr">
        <is>
          <t>personagem.oficio_custom.11.especializacao</t>
        </is>
      </c>
      <c r="B6715" s="198">
        <f>N('FICHA'!$Y$459)&amp;""</f>
        <v/>
      </c>
      <c r="C6715" s="198">
        <f>"'FICHA'!Y433"</f>
        <v/>
      </c>
      <c r="D6715" s="198" t="inlineStr">
        <is>
          <t>entrada</t>
        </is>
      </c>
    </row>
    <row r="6716">
      <c r="A6716" s="198" t="inlineStr">
        <is>
          <t>personagem.oficio_custom.11.atributo</t>
        </is>
      </c>
      <c r="B6716" s="198">
        <f>IF(ISBLANK('FICHA'!$AH$459),"",'FICHA'!$AH$459&amp;"")</f>
        <v/>
      </c>
      <c r="C6716" s="198">
        <f>"'FICHA'!AH433"</f>
        <v/>
      </c>
      <c r="D6716" s="198" t="inlineStr">
        <is>
          <t>entrada</t>
        </is>
      </c>
    </row>
    <row r="6717">
      <c r="A6717" s="198" t="inlineStr">
        <is>
          <t>personagem.oficio_custom.11.resultado</t>
        </is>
      </c>
      <c r="B6717" s="198">
        <f>IF(ISBLANK('FICHA'!$AL$459),"",'FICHA'!$AL$459&amp;"")</f>
        <v/>
      </c>
      <c r="C6717" s="198">
        <f>"'FICHA'!AL433"</f>
        <v/>
      </c>
      <c r="D6717" s="198" t="inlineStr">
        <is>
          <t>resultado</t>
        </is>
      </c>
    </row>
    <row r="6718">
      <c r="A6718" s="198" t="inlineStr">
        <is>
          <t>personagem.oficio_custom.11.bonus</t>
        </is>
      </c>
      <c r="B6718" s="198">
        <f>IF(ISBLANK('FICHA'!$AN$459),"",'FICHA'!$AN$459&amp;"")</f>
        <v/>
      </c>
      <c r="C6718" s="198">
        <f>"'FICHA'!AN433"</f>
        <v/>
      </c>
      <c r="D6718" s="198" t="inlineStr">
        <is>
          <t>entrada</t>
        </is>
      </c>
    </row>
    <row r="6719">
      <c r="A6719" s="198" t="inlineStr">
        <is>
          <t>aviso.efeito_caixa.oficio_custom.11</t>
        </is>
      </c>
      <c r="B6719" s="198">
        <f>DADOS_CONFIG!$E$87&amp;""</f>
        <v/>
      </c>
      <c r="C6719" s="198" t="inlineStr">
        <is>
          <t>DADOS_CONFIG!E87</t>
        </is>
      </c>
      <c r="D6719" s="198" t="inlineStr">
        <is>
          <t>aviso</t>
        </is>
      </c>
    </row>
    <row r="6720">
      <c r="A6720" s="198" t="inlineStr">
        <is>
          <t>aviso.personagem.oficio_custom.11</t>
        </is>
      </c>
      <c r="B6720" s="198">
        <f>IF('FICHA'!$Z$459="","",IF(AND(AND('FICHA'!$Z$459&lt;&gt;"",COUNTIF('DADOS_PROGRESSAO'!$AW$2:$AW$11,SUBSTITUTE(SUBSTITUTE(SUBSTITUTE('FICHA'!$Z$459,"~","~~"),"*","~*"),"?","~?"))=1,(COUNTIF('FICHA'!$F$455:$F$460,SUBSTITUTE(SUBSTITUTE(SUBSTITUTE('FICHA'!$Z$459,"~","~~"),"*","~*"),"?","~?"))+COUNTIF('FICHA'!$Z$455:$Z$459,SUBSTITUTE(SUBSTITUTE(SUBSTITUTE('FICHA'!$Z$459,"~","~~"),"*","~*"),"?","~?")))=1),COUNTIF('DADOS_PROGRESSAO'!$AN$2:$AN$6,'FICHA'!$AH$459)=1),"","⚠ Custom inválido ou repetido; confira NOME e ATRIBUTO"))</f>
        <v/>
      </c>
      <c r="C6720" s="198">
        <f>"'FICHA'!Z433"</f>
        <v/>
      </c>
      <c r="D6720" s="198" t="inlineStr">
        <is>
          <t>aviso</t>
        </is>
      </c>
    </row>
    <row r="6721">
      <c r="A6721" s="198" t="inlineStr">
        <is>
          <t>aviso.efeito_caixa.invocacoes.teto_de_ativas</t>
        </is>
      </c>
      <c r="B6721" s="198">
        <f>DADOS_CONFIG!$E$88&amp;""</f>
        <v/>
      </c>
      <c r="C6721" s="198" t="inlineStr">
        <is>
          <t>DADOS_CONFIG!E88</t>
        </is>
      </c>
      <c r="D6721" s="198" t="inlineStr">
        <is>
          <t>aviso</t>
        </is>
      </c>
    </row>
    <row r="6722">
      <c r="A6722" s="198" t="inlineStr">
        <is>
          <t>aviso.efeito_caixa.invocacoes.familias_da_trilha</t>
        </is>
      </c>
      <c r="B6722" s="198">
        <f>DADOS_CONFIG!$E$89&amp;""</f>
        <v/>
      </c>
      <c r="C6722" s="198" t="inlineStr">
        <is>
          <t>DADOS_CONFIG!E89</t>
        </is>
      </c>
      <c r="D6722" s="198" t="inlineStr">
        <is>
          <t>aviso</t>
        </is>
      </c>
    </row>
    <row r="6723">
      <c r="A6723" s="198" t="inlineStr">
        <is>
          <t>invocacao.1.familia.6</t>
        </is>
      </c>
      <c r="B6723" s="198">
        <f>IF(ISBLANK('INVOCAÇÕES'!$O$50),"",'INVOCAÇÕES'!$O$50&amp;"")</f>
        <v/>
      </c>
      <c r="C6723" s="198">
        <f>"'INVOCAÇÕES'!O50"</f>
        <v/>
      </c>
      <c r="D6723" s="198" t="inlineStr">
        <is>
          <t>entrada</t>
        </is>
      </c>
    </row>
    <row r="6724">
      <c r="A6724" s="198" t="inlineStr">
        <is>
          <t>invocacao.1.familia.7</t>
        </is>
      </c>
      <c r="B6724" s="198">
        <f>IF(ISBLANK('INVOCAÇÕES'!$P$50),"",'INVOCAÇÕES'!$P$50&amp;"")</f>
        <v/>
      </c>
      <c r="C6724" s="198">
        <f>"'INVOCAÇÕES'!P50"</f>
        <v/>
      </c>
      <c r="D6724" s="198" t="inlineStr">
        <is>
          <t>entrada</t>
        </is>
      </c>
    </row>
    <row r="6725">
      <c r="A6725" s="198" t="inlineStr">
        <is>
          <t>invocacao.2.familia.6</t>
        </is>
      </c>
      <c r="B6725" s="198">
        <f>IF(ISBLANK('INVOCAÇÕES'!$O$261),"",'INVOCAÇÕES'!$O$261&amp;"")</f>
        <v/>
      </c>
      <c r="C6725" s="198">
        <f>"'INVOCAÇÕES'!O248"</f>
        <v/>
      </c>
      <c r="D6725" s="198" t="inlineStr">
        <is>
          <t>entrada</t>
        </is>
      </c>
    </row>
    <row r="6726">
      <c r="A6726" s="198" t="inlineStr">
        <is>
          <t>invocacao.2.familia.7</t>
        </is>
      </c>
      <c r="B6726" s="198">
        <f>IF(ISBLANK('INVOCAÇÕES'!$P$261),"",'INVOCAÇÕES'!$P$261&amp;"")</f>
        <v/>
      </c>
      <c r="C6726" s="198">
        <f>"'INVOCAÇÕES'!P248"</f>
        <v/>
      </c>
      <c r="D6726" s="198" t="inlineStr">
        <is>
          <t>entrada</t>
        </is>
      </c>
    </row>
    <row r="6727">
      <c r="A6727" s="198" t="inlineStr">
        <is>
          <t>invocacao.3.familia.6</t>
        </is>
      </c>
      <c r="B6727" s="198">
        <f>IF(ISBLANK('INVOCAÇÕES'!$O$472),"",'INVOCAÇÕES'!$O$472&amp;"")</f>
        <v/>
      </c>
      <c r="C6727" s="198">
        <f>"'INVOCAÇÕES'!O446"</f>
        <v/>
      </c>
      <c r="D6727" s="198" t="inlineStr">
        <is>
          <t>entrada</t>
        </is>
      </c>
    </row>
    <row r="6728">
      <c r="A6728" s="198" t="inlineStr">
        <is>
          <t>invocacao.3.familia.7</t>
        </is>
      </c>
      <c r="B6728" s="198">
        <f>IF(ISBLANK('INVOCAÇÕES'!$P$472),"",'INVOCAÇÕES'!$P$472&amp;"")</f>
        <v/>
      </c>
      <c r="C6728" s="198">
        <f>"'INVOCAÇÕES'!P446"</f>
        <v/>
      </c>
      <c r="D6728" s="198" t="inlineStr">
        <is>
          <t>entrada</t>
        </is>
      </c>
    </row>
    <row r="6729">
      <c r="A6729" s="198" t="inlineStr">
        <is>
          <t>invocacao.4.familia.6</t>
        </is>
      </c>
      <c r="B6729" s="198">
        <f>IF(ISBLANK('INVOCAÇÕES'!$O$683),"",'INVOCAÇÕES'!$O$683&amp;"")</f>
        <v/>
      </c>
      <c r="C6729" s="198">
        <f>"'INVOCAÇÕES'!O644"</f>
        <v/>
      </c>
      <c r="D6729" s="198" t="inlineStr">
        <is>
          <t>entrada</t>
        </is>
      </c>
    </row>
    <row r="6730">
      <c r="A6730" s="198" t="inlineStr">
        <is>
          <t>invocacao.4.familia.7</t>
        </is>
      </c>
      <c r="B6730" s="198">
        <f>IF(ISBLANK('INVOCAÇÕES'!$P$683),"",'INVOCAÇÕES'!$P$683&amp;"")</f>
        <v/>
      </c>
      <c r="C6730" s="198">
        <f>"'INVOCAÇÕES'!P644"</f>
        <v/>
      </c>
      <c r="D6730" s="198" t="inlineStr">
        <is>
          <t>entrada</t>
        </is>
      </c>
    </row>
    <row r="6731">
      <c r="A6731" s="198" t="inlineStr">
        <is>
          <t>invocacao.5.familia.6</t>
        </is>
      </c>
      <c r="B6731" s="198">
        <f>IF(ISBLANK('INVOCAÇÕES'!$O$894),"",'INVOCAÇÕES'!$O$894&amp;"")</f>
        <v/>
      </c>
      <c r="C6731" s="198">
        <f>"'INVOCAÇÕES'!O842"</f>
        <v/>
      </c>
      <c r="D6731" s="198" t="inlineStr">
        <is>
          <t>entrada</t>
        </is>
      </c>
    </row>
    <row r="6732">
      <c r="A6732" s="198" t="inlineStr">
        <is>
          <t>invocacao.5.familia.7</t>
        </is>
      </c>
      <c r="B6732" s="198">
        <f>IF(ISBLANK('INVOCAÇÕES'!$P$894),"",'INVOCAÇÕES'!$P$894&amp;"")</f>
        <v/>
      </c>
      <c r="C6732" s="198">
        <f>"'INVOCAÇÕES'!P842"</f>
        <v/>
      </c>
      <c r="D6732" s="198" t="inlineStr">
        <is>
          <t>entrada</t>
        </is>
      </c>
    </row>
    <row r="6733">
      <c r="A6733" s="198" t="inlineStr">
        <is>
          <t>invocacao.6.familia.6</t>
        </is>
      </c>
      <c r="B6733" s="198">
        <f>IF(ISBLANK('INVOCAÇÕES'!$O$1105),"",'INVOCAÇÕES'!$O$1105&amp;"")</f>
        <v/>
      </c>
      <c r="C6733" s="198">
        <f>"'INVOCAÇÕES'!O1040"</f>
        <v/>
      </c>
      <c r="D6733" s="198" t="inlineStr">
        <is>
          <t>entrada</t>
        </is>
      </c>
    </row>
    <row r="6734">
      <c r="A6734" s="198" t="inlineStr">
        <is>
          <t>invocacao.6.familia.7</t>
        </is>
      </c>
      <c r="B6734" s="198">
        <f>IF(ISBLANK('INVOCAÇÕES'!$P$1105),"",'INVOCAÇÕES'!$P$1105&amp;"")</f>
        <v/>
      </c>
      <c r="C6734" s="198">
        <f>"'INVOCAÇÕES'!P1040"</f>
        <v/>
      </c>
      <c r="D6734" s="198" t="inlineStr">
        <is>
          <t>entrada</t>
        </is>
      </c>
    </row>
    <row r="6735">
      <c r="A6735" s="198" t="inlineStr">
        <is>
          <t>invocacao.7.familia.6</t>
        </is>
      </c>
      <c r="B6735" s="198">
        <f>IF(ISBLANK('INVOCAÇÕES'!$AH$50),"",'INVOCAÇÕES'!$AH$50&amp;"")</f>
        <v/>
      </c>
      <c r="C6735" s="198">
        <f>"'INVOCAÇÕES'!AH50"</f>
        <v/>
      </c>
      <c r="D6735" s="198" t="inlineStr">
        <is>
          <t>entrada</t>
        </is>
      </c>
    </row>
    <row r="6736">
      <c r="A6736" s="198" t="inlineStr">
        <is>
          <t>invocacao.7.familia.7</t>
        </is>
      </c>
      <c r="B6736" s="198">
        <f>IF(ISBLANK('INVOCAÇÕES'!$AI$50),"",'INVOCAÇÕES'!$AI$50&amp;"")</f>
        <v/>
      </c>
      <c r="C6736" s="198">
        <f>"'INVOCAÇÕES'!AI50"</f>
        <v/>
      </c>
      <c r="D6736" s="198" t="inlineStr">
        <is>
          <t>entrada</t>
        </is>
      </c>
    </row>
    <row r="6737">
      <c r="A6737" s="198" t="inlineStr">
        <is>
          <t>invocacao.8.familia.6</t>
        </is>
      </c>
      <c r="B6737" s="198">
        <f>IF(ISBLANK('INVOCAÇÕES'!$AH$261),"",'INVOCAÇÕES'!$AH$261&amp;"")</f>
        <v/>
      </c>
      <c r="C6737" s="198">
        <f>"'INVOCAÇÕES'!AH248"</f>
        <v/>
      </c>
      <c r="D6737" s="198" t="inlineStr">
        <is>
          <t>entrada</t>
        </is>
      </c>
    </row>
    <row r="6738">
      <c r="A6738" s="198" t="inlineStr">
        <is>
          <t>invocacao.8.familia.7</t>
        </is>
      </c>
      <c r="B6738" s="198">
        <f>IF(ISBLANK('INVOCAÇÕES'!$AI$261),"",'INVOCAÇÕES'!$AI$261&amp;"")</f>
        <v/>
      </c>
      <c r="C6738" s="198">
        <f>"'INVOCAÇÕES'!AI248"</f>
        <v/>
      </c>
      <c r="D6738" s="198" t="inlineStr">
        <is>
          <t>entrada</t>
        </is>
      </c>
    </row>
    <row r="6739">
      <c r="A6739" s="198" t="inlineStr">
        <is>
          <t>invocacao.9.familia.6</t>
        </is>
      </c>
      <c r="B6739" s="198">
        <f>IF(ISBLANK('INVOCAÇÕES'!$AH$472),"",'INVOCAÇÕES'!$AH$472&amp;"")</f>
        <v/>
      </c>
      <c r="C6739" s="198">
        <f>"'INVOCAÇÕES'!AH446"</f>
        <v/>
      </c>
      <c r="D6739" s="198" t="inlineStr">
        <is>
          <t>entrada</t>
        </is>
      </c>
    </row>
    <row r="6740">
      <c r="A6740" s="198" t="inlineStr">
        <is>
          <t>invocacao.9.familia.7</t>
        </is>
      </c>
      <c r="B6740" s="198">
        <f>IF(ISBLANK('INVOCAÇÕES'!$AI$472),"",'INVOCAÇÕES'!$AI$472&amp;"")</f>
        <v/>
      </c>
      <c r="C6740" s="198">
        <f>"'INVOCAÇÕES'!AI446"</f>
        <v/>
      </c>
      <c r="D6740" s="198" t="inlineStr">
        <is>
          <t>entrada</t>
        </is>
      </c>
    </row>
    <row r="6741">
      <c r="A6741" s="198" t="inlineStr">
        <is>
          <t>invocacao.10.familia.6</t>
        </is>
      </c>
      <c r="B6741" s="198">
        <f>IF(ISBLANK('INVOCAÇÕES'!$AH$683),"",'INVOCAÇÕES'!$AH$683&amp;"")</f>
        <v/>
      </c>
      <c r="C6741" s="198">
        <f>"'INVOCAÇÕES'!AH644"</f>
        <v/>
      </c>
      <c r="D6741" s="198" t="inlineStr">
        <is>
          <t>entrada</t>
        </is>
      </c>
    </row>
    <row r="6742">
      <c r="A6742" s="198" t="inlineStr">
        <is>
          <t>invocacao.10.familia.7</t>
        </is>
      </c>
      <c r="B6742" s="198">
        <f>IF(ISBLANK('INVOCAÇÕES'!$AI$683),"",'INVOCAÇÕES'!$AI$683&amp;"")</f>
        <v/>
      </c>
      <c r="C6742" s="198">
        <f>"'INVOCAÇÕES'!AI644"</f>
        <v/>
      </c>
      <c r="D6742" s="198" t="inlineStr">
        <is>
          <t>entrada</t>
        </is>
      </c>
    </row>
    <row r="6743">
      <c r="A6743" s="198" t="inlineStr">
        <is>
          <t>invocacao.11.familia.6</t>
        </is>
      </c>
      <c r="B6743" s="198">
        <f>IF(ISBLANK('INVOCAÇÕES'!$AH$894),"",'INVOCAÇÕES'!$AH$894&amp;"")</f>
        <v/>
      </c>
      <c r="C6743" s="198">
        <f>"'INVOCAÇÕES'!AH842"</f>
        <v/>
      </c>
      <c r="D6743" s="198" t="inlineStr">
        <is>
          <t>entrada</t>
        </is>
      </c>
    </row>
    <row r="6744">
      <c r="A6744" s="198" t="inlineStr">
        <is>
          <t>invocacao.11.familia.7</t>
        </is>
      </c>
      <c r="B6744" s="198">
        <f>IF(ISBLANK('INVOCAÇÕES'!$AI$894),"",'INVOCAÇÕES'!$AI$894&amp;"")</f>
        <v/>
      </c>
      <c r="C6744" s="198">
        <f>"'INVOCAÇÕES'!AI842"</f>
        <v/>
      </c>
      <c r="D6744" s="198" t="inlineStr">
        <is>
          <t>entrada</t>
        </is>
      </c>
    </row>
    <row r="6745">
      <c r="A6745" s="198" t="inlineStr">
        <is>
          <t>invocacao.12.familia.6</t>
        </is>
      </c>
      <c r="B6745" s="198">
        <f>IF(ISBLANK('INVOCAÇÕES'!$AH$1105),"",'INVOCAÇÕES'!$AH$1105&amp;"")</f>
        <v/>
      </c>
      <c r="C6745" s="198">
        <f>"'INVOCAÇÕES'!AH1040"</f>
        <v/>
      </c>
      <c r="D6745" s="198" t="inlineStr">
        <is>
          <t>entrada</t>
        </is>
      </c>
    </row>
    <row r="6746">
      <c r="A6746" s="198" t="inlineStr">
        <is>
          <t>invocacao.12.familia.7</t>
        </is>
      </c>
      <c r="B6746" s="198">
        <f>IF(ISBLANK('INVOCAÇÕES'!$AI$1105),"",'INVOCAÇÕES'!$AI$1105&amp;"")</f>
        <v/>
      </c>
      <c r="C6746" s="198">
        <f>"'INVOCAÇÕES'!AI1040"</f>
        <v/>
      </c>
      <c r="D6746" s="198" t="inlineStr">
        <is>
          <t>entrada</t>
        </is>
      </c>
    </row>
    <row r="6747">
      <c r="A6747" s="198" t="inlineStr">
        <is>
          <t>invocacao.1.familia.8</t>
        </is>
      </c>
      <c r="B6747" s="198">
        <f>IF(ISBLANK('INVOCAÇÕES'!$Q$50),"",'INVOCAÇÕES'!$Q$50&amp;"")</f>
        <v/>
      </c>
      <c r="C6747" s="198">
        <f>"'INVOCAÇÕES'!Q50"</f>
        <v/>
      </c>
      <c r="D6747" s="198" t="inlineStr">
        <is>
          <t>entrada</t>
        </is>
      </c>
    </row>
    <row r="6748">
      <c r="A6748" s="198" t="inlineStr">
        <is>
          <t>invocacao.1.familia.9</t>
        </is>
      </c>
      <c r="B6748" s="198">
        <f>IF(ISBLANK('INVOCAÇÕES'!$R$50),"",'INVOCAÇÕES'!$R$50&amp;"")</f>
        <v/>
      </c>
      <c r="C6748" s="198">
        <f>"'INVOCAÇÕES'!R50"</f>
        <v/>
      </c>
      <c r="D6748" s="198" t="inlineStr">
        <is>
          <t>entrada</t>
        </is>
      </c>
    </row>
    <row r="6749">
      <c r="A6749" s="198" t="inlineStr">
        <is>
          <t>invocacao.2.familia.8</t>
        </is>
      </c>
      <c r="B6749" s="198">
        <f>IF(ISBLANK('INVOCAÇÕES'!$Q$261),"",'INVOCAÇÕES'!$Q$261&amp;"")</f>
        <v/>
      </c>
      <c r="C6749" s="198">
        <f>"'INVOCAÇÕES'!Q248"</f>
        <v/>
      </c>
      <c r="D6749" s="198" t="inlineStr">
        <is>
          <t>entrada</t>
        </is>
      </c>
    </row>
    <row r="6750">
      <c r="A6750" s="198" t="inlineStr">
        <is>
          <t>invocacao.2.familia.9</t>
        </is>
      </c>
      <c r="B6750" s="198">
        <f>IF(ISBLANK('INVOCAÇÕES'!$R$261),"",'INVOCAÇÕES'!$R$261&amp;"")</f>
        <v/>
      </c>
      <c r="C6750" s="198">
        <f>"'INVOCAÇÕES'!R248"</f>
        <v/>
      </c>
      <c r="D6750" s="198" t="inlineStr">
        <is>
          <t>entrada</t>
        </is>
      </c>
    </row>
    <row r="6751">
      <c r="A6751" s="198" t="inlineStr">
        <is>
          <t>invocacao.3.familia.8</t>
        </is>
      </c>
      <c r="B6751" s="198">
        <f>IF(ISBLANK('INVOCAÇÕES'!$Q$472),"",'INVOCAÇÕES'!$Q$472&amp;"")</f>
        <v/>
      </c>
      <c r="C6751" s="198">
        <f>"'INVOCAÇÕES'!Q446"</f>
        <v/>
      </c>
      <c r="D6751" s="198" t="inlineStr">
        <is>
          <t>entrada</t>
        </is>
      </c>
    </row>
    <row r="6752">
      <c r="A6752" s="198" t="inlineStr">
        <is>
          <t>invocacao.3.familia.9</t>
        </is>
      </c>
      <c r="B6752" s="198">
        <f>IF(ISBLANK('INVOCAÇÕES'!$R$472),"",'INVOCAÇÕES'!$R$472&amp;"")</f>
        <v/>
      </c>
      <c r="C6752" s="198">
        <f>"'INVOCAÇÕES'!R446"</f>
        <v/>
      </c>
      <c r="D6752" s="198" t="inlineStr">
        <is>
          <t>entrada</t>
        </is>
      </c>
    </row>
    <row r="6753">
      <c r="A6753" s="198" t="inlineStr">
        <is>
          <t>invocacao.4.familia.8</t>
        </is>
      </c>
      <c r="B6753" s="198">
        <f>IF(ISBLANK('INVOCAÇÕES'!$Q$683),"",'INVOCAÇÕES'!$Q$683&amp;"")</f>
        <v/>
      </c>
      <c r="C6753" s="198">
        <f>"'INVOCAÇÕES'!Q644"</f>
        <v/>
      </c>
      <c r="D6753" s="198" t="inlineStr">
        <is>
          <t>entrada</t>
        </is>
      </c>
    </row>
    <row r="6754">
      <c r="A6754" s="198" t="inlineStr">
        <is>
          <t>invocacao.4.familia.9</t>
        </is>
      </c>
      <c r="B6754" s="198">
        <f>IF(ISBLANK('INVOCAÇÕES'!$R$683),"",'INVOCAÇÕES'!$R$683&amp;"")</f>
        <v/>
      </c>
      <c r="C6754" s="198">
        <f>"'INVOCAÇÕES'!R644"</f>
        <v/>
      </c>
      <c r="D6754" s="198" t="inlineStr">
        <is>
          <t>entrada</t>
        </is>
      </c>
    </row>
    <row r="6755">
      <c r="A6755" s="198" t="inlineStr">
        <is>
          <t>invocacao.5.familia.8</t>
        </is>
      </c>
      <c r="B6755" s="198">
        <f>IF(ISBLANK('INVOCAÇÕES'!$Q$894),"",'INVOCAÇÕES'!$Q$894&amp;"")</f>
        <v/>
      </c>
      <c r="C6755" s="198">
        <f>"'INVOCAÇÕES'!Q842"</f>
        <v/>
      </c>
      <c r="D6755" s="198" t="inlineStr">
        <is>
          <t>entrada</t>
        </is>
      </c>
    </row>
    <row r="6756">
      <c r="A6756" s="198" t="inlineStr">
        <is>
          <t>invocacao.5.familia.9</t>
        </is>
      </c>
      <c r="B6756" s="198">
        <f>IF(ISBLANK('INVOCAÇÕES'!$R$894),"",'INVOCAÇÕES'!$R$894&amp;"")</f>
        <v/>
      </c>
      <c r="C6756" s="198">
        <f>"'INVOCAÇÕES'!R842"</f>
        <v/>
      </c>
      <c r="D6756" s="198" t="inlineStr">
        <is>
          <t>entrada</t>
        </is>
      </c>
    </row>
    <row r="6757">
      <c r="A6757" s="198" t="inlineStr">
        <is>
          <t>invocacao.6.familia.8</t>
        </is>
      </c>
      <c r="B6757" s="198">
        <f>IF(ISBLANK('INVOCAÇÕES'!$Q$1105),"",'INVOCAÇÕES'!$Q$1105&amp;"")</f>
        <v/>
      </c>
      <c r="C6757" s="198">
        <f>"'INVOCAÇÕES'!Q1040"</f>
        <v/>
      </c>
      <c r="D6757" s="198" t="inlineStr">
        <is>
          <t>entrada</t>
        </is>
      </c>
    </row>
    <row r="6758">
      <c r="A6758" s="198" t="inlineStr">
        <is>
          <t>invocacao.6.familia.9</t>
        </is>
      </c>
      <c r="B6758" s="198">
        <f>IF(ISBLANK('INVOCAÇÕES'!$R$1105),"",'INVOCAÇÕES'!$R$1105&amp;"")</f>
        <v/>
      </c>
      <c r="C6758" s="198">
        <f>"'INVOCAÇÕES'!R1040"</f>
        <v/>
      </c>
      <c r="D6758" s="198" t="inlineStr">
        <is>
          <t>entrada</t>
        </is>
      </c>
    </row>
    <row r="6759">
      <c r="A6759" s="198" t="inlineStr">
        <is>
          <t>invocacao.7.familia.8</t>
        </is>
      </c>
      <c r="B6759" s="198">
        <f>IF(ISBLANK('INVOCAÇÕES'!$AJ$50),"",'INVOCAÇÕES'!$AJ$50&amp;"")</f>
        <v/>
      </c>
      <c r="C6759" s="198">
        <f>"'INVOCAÇÕES'!AJ50"</f>
        <v/>
      </c>
      <c r="D6759" s="198" t="inlineStr">
        <is>
          <t>entrada</t>
        </is>
      </c>
    </row>
    <row r="6760">
      <c r="A6760" s="198" t="inlineStr">
        <is>
          <t>invocacao.7.familia.9</t>
        </is>
      </c>
      <c r="B6760" s="198">
        <f>IF(ISBLANK('INVOCAÇÕES'!$AK$50),"",'INVOCAÇÕES'!$AK$50&amp;"")</f>
        <v/>
      </c>
      <c r="C6760" s="198">
        <f>"'INVOCAÇÕES'!AK50"</f>
        <v/>
      </c>
      <c r="D6760" s="198" t="inlineStr">
        <is>
          <t>entrada</t>
        </is>
      </c>
    </row>
    <row r="6761">
      <c r="A6761" s="198" t="inlineStr">
        <is>
          <t>invocacao.8.familia.8</t>
        </is>
      </c>
      <c r="B6761" s="198">
        <f>IF(ISBLANK('INVOCAÇÕES'!$AJ$261),"",'INVOCAÇÕES'!$AJ$261&amp;"")</f>
        <v/>
      </c>
      <c r="C6761" s="198">
        <f>"'INVOCAÇÕES'!AJ248"</f>
        <v/>
      </c>
      <c r="D6761" s="198" t="inlineStr">
        <is>
          <t>entrada</t>
        </is>
      </c>
    </row>
    <row r="6762">
      <c r="A6762" s="198" t="inlineStr">
        <is>
          <t>invocacao.8.familia.9</t>
        </is>
      </c>
      <c r="B6762" s="198">
        <f>IF(ISBLANK('INVOCAÇÕES'!$AK$261),"",'INVOCAÇÕES'!$AK$261&amp;"")</f>
        <v/>
      </c>
      <c r="C6762" s="198">
        <f>"'INVOCAÇÕES'!AK248"</f>
        <v/>
      </c>
      <c r="D6762" s="198" t="inlineStr">
        <is>
          <t>entrada</t>
        </is>
      </c>
    </row>
    <row r="6763">
      <c r="A6763" s="198" t="inlineStr">
        <is>
          <t>invocacao.9.familia.8</t>
        </is>
      </c>
      <c r="B6763" s="198">
        <f>IF(ISBLANK('INVOCAÇÕES'!$AJ$472),"",'INVOCAÇÕES'!$AJ$472&amp;"")</f>
        <v/>
      </c>
      <c r="C6763" s="198">
        <f>"'INVOCAÇÕES'!AJ446"</f>
        <v/>
      </c>
      <c r="D6763" s="198" t="inlineStr">
        <is>
          <t>entrada</t>
        </is>
      </c>
    </row>
    <row r="6764">
      <c r="A6764" s="198" t="inlineStr">
        <is>
          <t>invocacao.9.familia.9</t>
        </is>
      </c>
      <c r="B6764" s="198">
        <f>IF(ISBLANK('INVOCAÇÕES'!$AK$472),"",'INVOCAÇÕES'!$AK$472&amp;"")</f>
        <v/>
      </c>
      <c r="C6764" s="198">
        <f>"'INVOCAÇÕES'!AK446"</f>
        <v/>
      </c>
      <c r="D6764" s="198" t="inlineStr">
        <is>
          <t>entrada</t>
        </is>
      </c>
    </row>
    <row r="6765">
      <c r="A6765" s="198" t="inlineStr">
        <is>
          <t>invocacao.10.familia.8</t>
        </is>
      </c>
      <c r="B6765" s="198">
        <f>IF(ISBLANK('INVOCAÇÕES'!$AJ$683),"",'INVOCAÇÕES'!$AJ$683&amp;"")</f>
        <v/>
      </c>
      <c r="C6765" s="198">
        <f>"'INVOCAÇÕES'!AJ644"</f>
        <v/>
      </c>
      <c r="D6765" s="198" t="inlineStr">
        <is>
          <t>entrada</t>
        </is>
      </c>
    </row>
    <row r="6766">
      <c r="A6766" s="198" t="inlineStr">
        <is>
          <t>invocacao.10.familia.9</t>
        </is>
      </c>
      <c r="B6766" s="198">
        <f>IF(ISBLANK('INVOCAÇÕES'!$AK$683),"",'INVOCAÇÕES'!$AK$683&amp;"")</f>
        <v/>
      </c>
      <c r="C6766" s="198">
        <f>"'INVOCAÇÕES'!AK644"</f>
        <v/>
      </c>
      <c r="D6766" s="198" t="inlineStr">
        <is>
          <t>entrada</t>
        </is>
      </c>
    </row>
    <row r="6767">
      <c r="A6767" s="198" t="inlineStr">
        <is>
          <t>invocacao.11.familia.8</t>
        </is>
      </c>
      <c r="B6767" s="198">
        <f>IF(ISBLANK('INVOCAÇÕES'!$AJ$894),"",'INVOCAÇÕES'!$AJ$894&amp;"")</f>
        <v/>
      </c>
      <c r="C6767" s="198">
        <f>"'INVOCAÇÕES'!AJ842"</f>
        <v/>
      </c>
      <c r="D6767" s="198" t="inlineStr">
        <is>
          <t>entrada</t>
        </is>
      </c>
    </row>
    <row r="6768">
      <c r="A6768" s="198" t="inlineStr">
        <is>
          <t>invocacao.11.familia.9</t>
        </is>
      </c>
      <c r="B6768" s="198">
        <f>IF(ISBLANK('INVOCAÇÕES'!$AK$894),"",'INVOCAÇÕES'!$AK$894&amp;"")</f>
        <v/>
      </c>
      <c r="C6768" s="198">
        <f>"'INVOCAÇÕES'!AK842"</f>
        <v/>
      </c>
      <c r="D6768" s="198" t="inlineStr">
        <is>
          <t>entrada</t>
        </is>
      </c>
    </row>
    <row r="6769">
      <c r="A6769" s="198" t="inlineStr">
        <is>
          <t>invocacao.12.familia.8</t>
        </is>
      </c>
      <c r="B6769" s="198">
        <f>IF(ISBLANK('INVOCAÇÕES'!$AJ$1105),"",'INVOCAÇÕES'!$AJ$1105&amp;"")</f>
        <v/>
      </c>
      <c r="C6769" s="198">
        <f>"'INVOCAÇÕES'!AJ1040"</f>
        <v/>
      </c>
      <c r="D6769" s="198" t="inlineStr">
        <is>
          <t>entrada</t>
        </is>
      </c>
    </row>
    <row r="6770">
      <c r="A6770" s="198" t="inlineStr">
        <is>
          <t>invocacao.12.familia.9</t>
        </is>
      </c>
      <c r="B6770" s="198">
        <f>IF(ISBLANK('INVOCAÇÕES'!$AK$1105),"",'INVOCAÇÕES'!$AK$1105&amp;"")</f>
        <v/>
      </c>
      <c r="C6770" s="198">
        <f>"'INVOCAÇÕES'!AK1040"</f>
        <v/>
      </c>
      <c r="D6770" s="198" t="inlineStr">
        <is>
          <t>entrada</t>
        </is>
      </c>
    </row>
    <row r="6771">
      <c r="A6771" s="198" t="inlineStr">
        <is>
          <t>invocacao.1.autonomia</t>
        </is>
      </c>
      <c r="B6771" s="198">
        <f>IF('INVOCAÇÕES'!$K$50="","Autônoma",'INVOCAÇÕES'!$K$50&amp;"")</f>
        <v/>
      </c>
      <c r="C6771" s="198">
        <f>"'INVOCAÇÕES'!K50"</f>
        <v/>
      </c>
      <c r="D6771" s="198" t="inlineStr">
        <is>
          <t>entrada</t>
        </is>
      </c>
    </row>
    <row r="6772">
      <c r="A6772" s="198" t="inlineStr">
        <is>
          <t>invocacao.1.limite_familias</t>
        </is>
      </c>
      <c r="B6772" s="198">
        <f>DADOS_INVOC!$HF$2</f>
        <v/>
      </c>
      <c r="C6772" s="198" t="inlineStr">
        <is>
          <t>DADOS_INVOC!HF2</t>
        </is>
      </c>
      <c r="D6772" s="198" t="inlineStr">
        <is>
          <t>resultado</t>
        </is>
      </c>
    </row>
    <row r="6773">
      <c r="A6773" s="198" t="inlineStr">
        <is>
          <t>invocacao.1.limite_livres</t>
        </is>
      </c>
      <c r="B6773" s="198">
        <f>DADOS_INVOC!$RA$2</f>
        <v/>
      </c>
      <c r="C6773" s="198" t="inlineStr">
        <is>
          <t>DADOS_INVOC!RA2</t>
        </is>
      </c>
      <c r="D6773" s="198" t="inlineStr">
        <is>
          <t>resultado</t>
        </is>
      </c>
    </row>
    <row r="6774">
      <c r="A6774" s="198" t="inlineStr">
        <is>
          <t>invocacao.2.autonomia</t>
        </is>
      </c>
      <c r="B6774" s="198">
        <f>IF('INVOCAÇÕES'!$K$261="","Autônoma",'INVOCAÇÕES'!$K$261&amp;"")</f>
        <v/>
      </c>
      <c r="C6774" s="198">
        <f>"'INVOCAÇÕES'!K248"</f>
        <v/>
      </c>
      <c r="D6774" s="198" t="inlineStr">
        <is>
          <t>entrada</t>
        </is>
      </c>
    </row>
    <row r="6775">
      <c r="A6775" s="198" t="inlineStr">
        <is>
          <t>invocacao.2.limite_familias</t>
        </is>
      </c>
      <c r="B6775" s="198">
        <f>DADOS_INVOC!$HF$3</f>
        <v/>
      </c>
      <c r="C6775" s="198" t="inlineStr">
        <is>
          <t>DADOS_INVOC!HF3</t>
        </is>
      </c>
      <c r="D6775" s="198" t="inlineStr">
        <is>
          <t>resultado</t>
        </is>
      </c>
    </row>
    <row r="6776">
      <c r="A6776" s="198" t="inlineStr">
        <is>
          <t>invocacao.2.limite_livres</t>
        </is>
      </c>
      <c r="B6776" s="198">
        <f>DADOS_INVOC!$RA$3</f>
        <v/>
      </c>
      <c r="C6776" s="198" t="inlineStr">
        <is>
          <t>DADOS_INVOC!RA3</t>
        </is>
      </c>
      <c r="D6776" s="198" t="inlineStr">
        <is>
          <t>resultado</t>
        </is>
      </c>
    </row>
    <row r="6777">
      <c r="A6777" s="198" t="inlineStr">
        <is>
          <t>invocacao.3.autonomia</t>
        </is>
      </c>
      <c r="B6777" s="198">
        <f>IF('INVOCAÇÕES'!$K$472="","Autônoma",'INVOCAÇÕES'!$K$472&amp;"")</f>
        <v/>
      </c>
      <c r="C6777" s="198">
        <f>"'INVOCAÇÕES'!K446"</f>
        <v/>
      </c>
      <c r="D6777" s="198" t="inlineStr">
        <is>
          <t>entrada</t>
        </is>
      </c>
    </row>
    <row r="6778">
      <c r="A6778" s="198" t="inlineStr">
        <is>
          <t>invocacao.3.limite_familias</t>
        </is>
      </c>
      <c r="B6778" s="198">
        <f>DADOS_INVOC!$HF$4</f>
        <v/>
      </c>
      <c r="C6778" s="198" t="inlineStr">
        <is>
          <t>DADOS_INVOC!HF4</t>
        </is>
      </c>
      <c r="D6778" s="198" t="inlineStr">
        <is>
          <t>resultado</t>
        </is>
      </c>
    </row>
    <row r="6779">
      <c r="A6779" s="198" t="inlineStr">
        <is>
          <t>invocacao.3.limite_livres</t>
        </is>
      </c>
      <c r="B6779" s="198">
        <f>DADOS_INVOC!$RA$4</f>
        <v/>
      </c>
      <c r="C6779" s="198" t="inlineStr">
        <is>
          <t>DADOS_INVOC!RA4</t>
        </is>
      </c>
      <c r="D6779" s="198" t="inlineStr">
        <is>
          <t>resultado</t>
        </is>
      </c>
    </row>
    <row r="6780">
      <c r="A6780" s="198" t="inlineStr">
        <is>
          <t>invocacao.4.autonomia</t>
        </is>
      </c>
      <c r="B6780" s="198">
        <f>IF('INVOCAÇÕES'!$K$683="","Autônoma",'INVOCAÇÕES'!$K$683&amp;"")</f>
        <v/>
      </c>
      <c r="C6780" s="198">
        <f>"'INVOCAÇÕES'!K644"</f>
        <v/>
      </c>
      <c r="D6780" s="198" t="inlineStr">
        <is>
          <t>entrada</t>
        </is>
      </c>
    </row>
    <row r="6781">
      <c r="A6781" s="198" t="inlineStr">
        <is>
          <t>invocacao.4.limite_familias</t>
        </is>
      </c>
      <c r="B6781" s="198">
        <f>DADOS_INVOC!$HF$5</f>
        <v/>
      </c>
      <c r="C6781" s="198" t="inlineStr">
        <is>
          <t>DADOS_INVOC!HF5</t>
        </is>
      </c>
      <c r="D6781" s="198" t="inlineStr">
        <is>
          <t>resultado</t>
        </is>
      </c>
    </row>
    <row r="6782">
      <c r="A6782" s="198" t="inlineStr">
        <is>
          <t>invocacao.4.limite_livres</t>
        </is>
      </c>
      <c r="B6782" s="198">
        <f>DADOS_INVOC!$RA$5</f>
        <v/>
      </c>
      <c r="C6782" s="198" t="inlineStr">
        <is>
          <t>DADOS_INVOC!RA5</t>
        </is>
      </c>
      <c r="D6782" s="198" t="inlineStr">
        <is>
          <t>resultado</t>
        </is>
      </c>
    </row>
    <row r="6783">
      <c r="A6783" s="198" t="inlineStr">
        <is>
          <t>invocacao.5.autonomia</t>
        </is>
      </c>
      <c r="B6783" s="198">
        <f>IF('INVOCAÇÕES'!$K$894="","Autônoma",'INVOCAÇÕES'!$K$894&amp;"")</f>
        <v/>
      </c>
      <c r="C6783" s="198">
        <f>"'INVOCAÇÕES'!K842"</f>
        <v/>
      </c>
      <c r="D6783" s="198" t="inlineStr">
        <is>
          <t>entrada</t>
        </is>
      </c>
    </row>
    <row r="6784">
      <c r="A6784" s="198" t="inlineStr">
        <is>
          <t>invocacao.5.limite_familias</t>
        </is>
      </c>
      <c r="B6784" s="198">
        <f>DADOS_INVOC!$HF$6</f>
        <v/>
      </c>
      <c r="C6784" s="198" t="inlineStr">
        <is>
          <t>DADOS_INVOC!HF6</t>
        </is>
      </c>
      <c r="D6784" s="198" t="inlineStr">
        <is>
          <t>resultado</t>
        </is>
      </c>
    </row>
    <row r="6785">
      <c r="A6785" s="198" t="inlineStr">
        <is>
          <t>invocacao.5.limite_livres</t>
        </is>
      </c>
      <c r="B6785" s="198">
        <f>DADOS_INVOC!$RA$6</f>
        <v/>
      </c>
      <c r="C6785" s="198" t="inlineStr">
        <is>
          <t>DADOS_INVOC!RA6</t>
        </is>
      </c>
      <c r="D6785" s="198" t="inlineStr">
        <is>
          <t>resultado</t>
        </is>
      </c>
    </row>
    <row r="6786">
      <c r="A6786" s="198" t="inlineStr">
        <is>
          <t>invocacao.6.autonomia</t>
        </is>
      </c>
      <c r="B6786" s="198">
        <f>IF('INVOCAÇÕES'!$K$1105="","Autônoma",'INVOCAÇÕES'!$K$1105&amp;"")</f>
        <v/>
      </c>
      <c r="C6786" s="198">
        <f>"'INVOCAÇÕES'!K1040"</f>
        <v/>
      </c>
      <c r="D6786" s="198" t="inlineStr">
        <is>
          <t>entrada</t>
        </is>
      </c>
    </row>
    <row r="6787">
      <c r="A6787" s="198" t="inlineStr">
        <is>
          <t>invocacao.6.limite_familias</t>
        </is>
      </c>
      <c r="B6787" s="198">
        <f>DADOS_INVOC!$HF$7</f>
        <v/>
      </c>
      <c r="C6787" s="198" t="inlineStr">
        <is>
          <t>DADOS_INVOC!HF7</t>
        </is>
      </c>
      <c r="D6787" s="198" t="inlineStr">
        <is>
          <t>resultado</t>
        </is>
      </c>
    </row>
    <row r="6788">
      <c r="A6788" s="198" t="inlineStr">
        <is>
          <t>invocacao.6.limite_livres</t>
        </is>
      </c>
      <c r="B6788" s="198">
        <f>DADOS_INVOC!$RA$7</f>
        <v/>
      </c>
      <c r="C6788" s="198" t="inlineStr">
        <is>
          <t>DADOS_INVOC!RA7</t>
        </is>
      </c>
      <c r="D6788" s="198" t="inlineStr">
        <is>
          <t>resultado</t>
        </is>
      </c>
    </row>
    <row r="6789">
      <c r="A6789" s="198" t="inlineStr">
        <is>
          <t>invocacao.7.autonomia</t>
        </is>
      </c>
      <c r="B6789" s="198">
        <f>IF('INVOCAÇÕES'!$AD$50="","Autônoma",'INVOCAÇÕES'!$AD$50&amp;"")</f>
        <v/>
      </c>
      <c r="C6789" s="198">
        <f>"'INVOCAÇÕES'!AD50"</f>
        <v/>
      </c>
      <c r="D6789" s="198" t="inlineStr">
        <is>
          <t>entrada</t>
        </is>
      </c>
    </row>
    <row r="6790">
      <c r="A6790" s="198" t="inlineStr">
        <is>
          <t>invocacao.7.limite_familias</t>
        </is>
      </c>
      <c r="B6790" s="198">
        <f>DADOS_INVOC!$HF$8</f>
        <v/>
      </c>
      <c r="C6790" s="198" t="inlineStr">
        <is>
          <t>DADOS_INVOC!HF8</t>
        </is>
      </c>
      <c r="D6790" s="198" t="inlineStr">
        <is>
          <t>resultado</t>
        </is>
      </c>
    </row>
    <row r="6791">
      <c r="A6791" s="198" t="inlineStr">
        <is>
          <t>invocacao.7.limite_livres</t>
        </is>
      </c>
      <c r="B6791" s="198">
        <f>DADOS_INVOC!$RA$8</f>
        <v/>
      </c>
      <c r="C6791" s="198" t="inlineStr">
        <is>
          <t>DADOS_INVOC!RA8</t>
        </is>
      </c>
      <c r="D6791" s="198" t="inlineStr">
        <is>
          <t>resultado</t>
        </is>
      </c>
    </row>
    <row r="6792">
      <c r="A6792" s="198" t="inlineStr">
        <is>
          <t>invocacao.8.autonomia</t>
        </is>
      </c>
      <c r="B6792" s="198">
        <f>IF('INVOCAÇÕES'!$AD$261="","Autônoma",'INVOCAÇÕES'!$AD$261&amp;"")</f>
        <v/>
      </c>
      <c r="C6792" s="198">
        <f>"'INVOCAÇÕES'!AD248"</f>
        <v/>
      </c>
      <c r="D6792" s="198" t="inlineStr">
        <is>
          <t>entrada</t>
        </is>
      </c>
    </row>
    <row r="6793">
      <c r="A6793" s="198" t="inlineStr">
        <is>
          <t>invocacao.8.limite_familias</t>
        </is>
      </c>
      <c r="B6793" s="198">
        <f>DADOS_INVOC!$HF$9</f>
        <v/>
      </c>
      <c r="C6793" s="198" t="inlineStr">
        <is>
          <t>DADOS_INVOC!HF9</t>
        </is>
      </c>
      <c r="D6793" s="198" t="inlineStr">
        <is>
          <t>resultado</t>
        </is>
      </c>
    </row>
    <row r="6794">
      <c r="A6794" s="198" t="inlineStr">
        <is>
          <t>invocacao.8.limite_livres</t>
        </is>
      </c>
      <c r="B6794" s="198">
        <f>DADOS_INVOC!$RA$9</f>
        <v/>
      </c>
      <c r="C6794" s="198" t="inlineStr">
        <is>
          <t>DADOS_INVOC!RA9</t>
        </is>
      </c>
      <c r="D6794" s="198" t="inlineStr">
        <is>
          <t>resultado</t>
        </is>
      </c>
    </row>
    <row r="6795">
      <c r="A6795" s="198" t="inlineStr">
        <is>
          <t>invocacao.9.autonomia</t>
        </is>
      </c>
      <c r="B6795" s="198">
        <f>IF('INVOCAÇÕES'!$AD$472="","Autônoma",'INVOCAÇÕES'!$AD$472&amp;"")</f>
        <v/>
      </c>
      <c r="C6795" s="198">
        <f>"'INVOCAÇÕES'!AD446"</f>
        <v/>
      </c>
      <c r="D6795" s="198" t="inlineStr">
        <is>
          <t>entrada</t>
        </is>
      </c>
    </row>
    <row r="6796">
      <c r="A6796" s="198" t="inlineStr">
        <is>
          <t>invocacao.9.limite_familias</t>
        </is>
      </c>
      <c r="B6796" s="198">
        <f>DADOS_INVOC!$HF$10</f>
        <v/>
      </c>
      <c r="C6796" s="198" t="inlineStr">
        <is>
          <t>DADOS_INVOC!HF10</t>
        </is>
      </c>
      <c r="D6796" s="198" t="inlineStr">
        <is>
          <t>resultado</t>
        </is>
      </c>
    </row>
    <row r="6797">
      <c r="A6797" s="198" t="inlineStr">
        <is>
          <t>invocacao.9.limite_livres</t>
        </is>
      </c>
      <c r="B6797" s="198">
        <f>DADOS_INVOC!$RA$10</f>
        <v/>
      </c>
      <c r="C6797" s="198" t="inlineStr">
        <is>
          <t>DADOS_INVOC!RA10</t>
        </is>
      </c>
      <c r="D6797" s="198" t="inlineStr">
        <is>
          <t>resultado</t>
        </is>
      </c>
    </row>
    <row r="6798">
      <c r="A6798" s="198" t="inlineStr">
        <is>
          <t>invocacao.10.autonomia</t>
        </is>
      </c>
      <c r="B6798" s="198">
        <f>IF('INVOCAÇÕES'!$AD$683="","Autônoma",'INVOCAÇÕES'!$AD$683&amp;"")</f>
        <v/>
      </c>
      <c r="C6798" s="198">
        <f>"'INVOCAÇÕES'!AD644"</f>
        <v/>
      </c>
      <c r="D6798" s="198" t="inlineStr">
        <is>
          <t>entrada</t>
        </is>
      </c>
    </row>
    <row r="6799">
      <c r="A6799" s="198" t="inlineStr">
        <is>
          <t>invocacao.10.limite_familias</t>
        </is>
      </c>
      <c r="B6799" s="198">
        <f>DADOS_INVOC!$HF$11</f>
        <v/>
      </c>
      <c r="C6799" s="198" t="inlineStr">
        <is>
          <t>DADOS_INVOC!HF11</t>
        </is>
      </c>
      <c r="D6799" s="198" t="inlineStr">
        <is>
          <t>resultado</t>
        </is>
      </c>
    </row>
    <row r="6800">
      <c r="A6800" s="198" t="inlineStr">
        <is>
          <t>invocacao.10.limite_livres</t>
        </is>
      </c>
      <c r="B6800" s="198">
        <f>DADOS_INVOC!$RA$11</f>
        <v/>
      </c>
      <c r="C6800" s="198" t="inlineStr">
        <is>
          <t>DADOS_INVOC!RA11</t>
        </is>
      </c>
      <c r="D6800" s="198" t="inlineStr">
        <is>
          <t>resultado</t>
        </is>
      </c>
    </row>
    <row r="6801">
      <c r="A6801" s="198" t="inlineStr">
        <is>
          <t>invocacao.11.autonomia</t>
        </is>
      </c>
      <c r="B6801" s="198">
        <f>IF('INVOCAÇÕES'!$AD$894="","Autônoma",'INVOCAÇÕES'!$AD$894&amp;"")</f>
        <v/>
      </c>
      <c r="C6801" s="198">
        <f>"'INVOCAÇÕES'!AD842"</f>
        <v/>
      </c>
      <c r="D6801" s="198" t="inlineStr">
        <is>
          <t>entrada</t>
        </is>
      </c>
    </row>
    <row r="6802">
      <c r="A6802" s="198" t="inlineStr">
        <is>
          <t>invocacao.11.limite_familias</t>
        </is>
      </c>
      <c r="B6802" s="198">
        <f>DADOS_INVOC!$HF$12</f>
        <v/>
      </c>
      <c r="C6802" s="198" t="inlineStr">
        <is>
          <t>DADOS_INVOC!HF12</t>
        </is>
      </c>
      <c r="D6802" s="198" t="inlineStr">
        <is>
          <t>resultado</t>
        </is>
      </c>
    </row>
    <row r="6803">
      <c r="A6803" s="198" t="inlineStr">
        <is>
          <t>invocacao.11.limite_livres</t>
        </is>
      </c>
      <c r="B6803" s="198">
        <f>DADOS_INVOC!$RA$12</f>
        <v/>
      </c>
      <c r="C6803" s="198" t="inlineStr">
        <is>
          <t>DADOS_INVOC!RA12</t>
        </is>
      </c>
      <c r="D6803" s="198" t="inlineStr">
        <is>
          <t>resultado</t>
        </is>
      </c>
    </row>
    <row r="6804">
      <c r="A6804" s="198" t="inlineStr">
        <is>
          <t>invocacao.12.autonomia</t>
        </is>
      </c>
      <c r="B6804" s="198">
        <f>IF('INVOCAÇÕES'!$AD$1105="","Autônoma",'INVOCAÇÕES'!$AD$1105&amp;"")</f>
        <v/>
      </c>
      <c r="C6804" s="198">
        <f>"'INVOCAÇÕES'!AD1040"</f>
        <v/>
      </c>
      <c r="D6804" s="198" t="inlineStr">
        <is>
          <t>entrada</t>
        </is>
      </c>
    </row>
    <row r="6805">
      <c r="A6805" s="198" t="inlineStr">
        <is>
          <t>invocacao.12.limite_familias</t>
        </is>
      </c>
      <c r="B6805" s="198">
        <f>DADOS_INVOC!$HF$13</f>
        <v/>
      </c>
      <c r="C6805" s="198" t="inlineStr">
        <is>
          <t>DADOS_INVOC!HF13</t>
        </is>
      </c>
      <c r="D6805" s="198" t="inlineStr">
        <is>
          <t>resultado</t>
        </is>
      </c>
    </row>
    <row r="6806">
      <c r="A6806" s="198" t="inlineStr">
        <is>
          <t>invocacao.12.limite_livres</t>
        </is>
      </c>
      <c r="B6806" s="198">
        <f>DADOS_INVOC!$RA$13</f>
        <v/>
      </c>
      <c r="C6806" s="198" t="inlineStr">
        <is>
          <t>DADOS_INVOC!RA13</t>
        </is>
      </c>
      <c r="D6806" s="198" t="inlineStr">
        <is>
          <t>resultado</t>
        </is>
      </c>
    </row>
    <row r="6807">
      <c r="A6807" s="198" t="inlineStr">
        <is>
          <t>regra.invocacao_familias_abertas_padrao</t>
        </is>
      </c>
      <c r="B6807" s="198">
        <f>IF(ISBLANK('CONFIGURAÇÃO'!$H$139),"",'CONFIGURAÇÃO'!$H$139)</f>
        <v/>
      </c>
      <c r="C6807" s="198">
        <f>"'CONFIGURAÇÃO'!H139"</f>
        <v/>
      </c>
      <c r="D6807" s="198" t="inlineStr">
        <is>
          <t>configuração</t>
        </is>
      </c>
    </row>
    <row r="6808">
      <c r="A6808" s="198" t="inlineStr">
        <is>
          <t>regra.invocacao_familias_abertas_padrao.campanha</t>
        </is>
      </c>
      <c r="B6808" s="198">
        <f>IF(ISBLANK('CONFIGURAÇÃO'!$G$139),"",'CONFIGURAÇÃO'!$G$139)</f>
        <v/>
      </c>
      <c r="C6808" s="198">
        <f>"'CONFIGURAÇÃO'!G139"</f>
        <v/>
      </c>
      <c r="D6808" s="198" t="inlineStr">
        <is>
          <t>configuração</t>
        </is>
      </c>
    </row>
    <row r="6809">
      <c r="A6809" s="198" t="inlineStr">
        <is>
          <t>regra.invocacao_familias_livres_padrao</t>
        </is>
      </c>
      <c r="B6809" s="198">
        <f>IF(ISBLANK('CONFIGURAÇÃO'!$H$140),"",'CONFIGURAÇÃO'!$H$140)</f>
        <v/>
      </c>
      <c r="C6809" s="198">
        <f>"'CONFIGURAÇÃO'!H140"</f>
        <v/>
      </c>
      <c r="D6809" s="198" t="inlineStr">
        <is>
          <t>configuração</t>
        </is>
      </c>
    </row>
    <row r="6810">
      <c r="A6810" s="198" t="inlineStr">
        <is>
          <t>regra.invocacao_familias_livres_padrao.campanha</t>
        </is>
      </c>
      <c r="B6810" s="198">
        <f>IF(ISBLANK('CONFIGURAÇÃO'!$G$140),"",'CONFIGURAÇÃO'!$G$140)</f>
        <v/>
      </c>
      <c r="C6810" s="198">
        <f>"'CONFIGURAÇÃO'!G140"</f>
        <v/>
      </c>
      <c r="D6810" s="198" t="inlineStr">
        <is>
          <t>configuração</t>
        </is>
      </c>
    </row>
    <row r="6811">
      <c r="A6811" s="198" t="inlineStr">
        <is>
          <t>regra.invocacao_familias_abertas_parceria</t>
        </is>
      </c>
      <c r="B6811" s="198">
        <f>IF(ISBLANK('CONFIGURAÇÃO'!$H$141),"",'CONFIGURAÇÃO'!$H$141)</f>
        <v/>
      </c>
      <c r="C6811" s="198">
        <f>"'CONFIGURAÇÃO'!H141"</f>
        <v/>
      </c>
      <c r="D6811" s="198" t="inlineStr">
        <is>
          <t>configuração</t>
        </is>
      </c>
    </row>
    <row r="6812">
      <c r="A6812" s="198" t="inlineStr">
        <is>
          <t>regra.invocacao_familias_abertas_parceria.campanha</t>
        </is>
      </c>
      <c r="B6812" s="198">
        <f>IF(ISBLANK('CONFIGURAÇÃO'!$G$141),"",'CONFIGURAÇÃO'!$G$141)</f>
        <v/>
      </c>
      <c r="C6812" s="198">
        <f>"'CONFIGURAÇÃO'!G141"</f>
        <v/>
      </c>
      <c r="D6812" s="198" t="inlineStr">
        <is>
          <t>configuração</t>
        </is>
      </c>
    </row>
    <row r="6813">
      <c r="A6813" s="198" t="inlineStr">
        <is>
          <t>regra.invocacao_familias_livres_parceria</t>
        </is>
      </c>
      <c r="B6813" s="198">
        <f>IF(ISBLANK('CONFIGURAÇÃO'!$H$142),"",'CONFIGURAÇÃO'!$H$142)</f>
        <v/>
      </c>
      <c r="C6813" s="198">
        <f>"'CONFIGURAÇÃO'!H142"</f>
        <v/>
      </c>
      <c r="D6813" s="198" t="inlineStr">
        <is>
          <t>configuração</t>
        </is>
      </c>
    </row>
    <row r="6814">
      <c r="A6814" s="198" t="inlineStr">
        <is>
          <t>regra.invocacao_familias_livres_parceria.campanha</t>
        </is>
      </c>
      <c r="B6814" s="198">
        <f>IF(ISBLANK('CONFIGURAÇÃO'!$G$142),"",'CONFIGURAÇÃO'!$G$142)</f>
        <v/>
      </c>
      <c r="C6814" s="198">
        <f>"'CONFIGURAÇÃO'!G142"</f>
        <v/>
      </c>
      <c r="D6814" s="198" t="inlineStr">
        <is>
          <t>configuração</t>
        </is>
      </c>
    </row>
    <row r="6815">
      <c r="A6815" s="198" t="inlineStr">
        <is>
          <t>regra.invocacao_familias_abertas_principal</t>
        </is>
      </c>
      <c r="B6815" s="198">
        <f>IF(ISBLANK('CONFIGURAÇÃO'!$H$143),"",'CONFIGURAÇÃO'!$H$143)</f>
        <v/>
      </c>
      <c r="C6815" s="198">
        <f>"'CONFIGURAÇÃO'!H143"</f>
        <v/>
      </c>
      <c r="D6815" s="198" t="inlineStr">
        <is>
          <t>configuração</t>
        </is>
      </c>
    </row>
    <row r="6816">
      <c r="A6816" s="198" t="inlineStr">
        <is>
          <t>regra.invocacao_familias_abertas_principal.campanha</t>
        </is>
      </c>
      <c r="B6816" s="198">
        <f>IF(ISBLANK('CONFIGURAÇÃO'!$G$143),"",'CONFIGURAÇÃO'!$G$143)</f>
        <v/>
      </c>
      <c r="C6816" s="198">
        <f>"'CONFIGURAÇÃO'!G143"</f>
        <v/>
      </c>
      <c r="D6816" s="198" t="inlineStr">
        <is>
          <t>configuração</t>
        </is>
      </c>
    </row>
    <row r="6817">
      <c r="A6817" s="198" t="inlineStr">
        <is>
          <t>regra.invocacao_familias_livres_principal</t>
        </is>
      </c>
      <c r="B6817" s="198">
        <f>IF(ISBLANK('CONFIGURAÇÃO'!$H$144),"",'CONFIGURAÇÃO'!$H$144)</f>
        <v/>
      </c>
      <c r="C6817" s="198">
        <f>"'CONFIGURAÇÃO'!H144"</f>
        <v/>
      </c>
      <c r="D6817" s="198" t="inlineStr">
        <is>
          <t>configuração</t>
        </is>
      </c>
    </row>
    <row r="6818">
      <c r="A6818" s="198" t="inlineStr">
        <is>
          <t>regra.invocacao_familias_livres_principal.campanha</t>
        </is>
      </c>
      <c r="B6818" s="198">
        <f>IF(ISBLANK('CONFIGURAÇÃO'!$G$144),"",'CONFIGURAÇÃO'!$G$144)</f>
        <v/>
      </c>
      <c r="C6818" s="198">
        <f>"'CONFIGURAÇÃO'!G144"</f>
        <v/>
      </c>
      <c r="D6818" s="198" t="inlineStr">
        <is>
          <t>configuração</t>
        </is>
      </c>
    </row>
    <row r="6819">
      <c r="A6819" s="198" t="inlineStr">
        <is>
          <t>regra.invocacao_familias_livres_nao_autonoma</t>
        </is>
      </c>
      <c r="B6819" s="198">
        <f>IF(ISBLANK('CONFIGURAÇÃO'!$H$145),"",'CONFIGURAÇÃO'!$H$145)</f>
        <v/>
      </c>
      <c r="C6819" s="198">
        <f>"'CONFIGURAÇÃO'!H145"</f>
        <v/>
      </c>
      <c r="D6819" s="198" t="inlineStr">
        <is>
          <t>configuração</t>
        </is>
      </c>
    </row>
    <row r="6820">
      <c r="A6820" s="198" t="inlineStr">
        <is>
          <t>regra.invocacao_familias_livres_nao_autonoma.campanha</t>
        </is>
      </c>
      <c r="B6820" s="198">
        <f>IF(ISBLANK('CONFIGURAÇÃO'!$G$145),"",'CONFIGURAÇÃO'!$G$145)</f>
        <v/>
      </c>
      <c r="C6820" s="198">
        <f>"'CONFIGURAÇÃO'!G145"</f>
        <v/>
      </c>
      <c r="D6820" s="198" t="inlineStr">
        <is>
          <t>configuração</t>
        </is>
      </c>
    </row>
    <row r="6821">
      <c r="A6821" s="198" t="inlineStr">
        <is>
          <t>custom.familia.1.nome</t>
        </is>
      </c>
      <c r="B6821" s="198">
        <f>IF(ISBLANK('CONFIGURAÇÃO'!$CJ$15),"",'CONFIGURAÇÃO'!$CJ$15&amp;"")</f>
        <v/>
      </c>
      <c r="C6821" s="198">
        <f>"'CONFIGURAÇÃO'!CJ15"</f>
        <v/>
      </c>
      <c r="D6821" s="198" t="inlineStr">
        <is>
          <t>configuração</t>
        </is>
      </c>
    </row>
    <row r="6822">
      <c r="A6822" s="198" t="inlineStr">
        <is>
          <t>custom.familia.1.estado</t>
        </is>
      </c>
      <c r="B6822" s="198">
        <f>IF(ISBLANK('CONFIGURAÇÃO'!$CM$16),"",'CONFIGURAÇÃO'!$CM$16&amp;"")</f>
        <v/>
      </c>
      <c r="C6822" s="198">
        <f>"'CONFIGURAÇÃO'!CM16"</f>
        <v/>
      </c>
      <c r="D6822" s="198" t="inlineStr">
        <is>
          <t>configuração</t>
        </is>
      </c>
    </row>
    <row r="6823">
      <c r="A6823" s="198" t="inlineStr">
        <is>
          <t>custom.familia.1.mestre_viu</t>
        </is>
      </c>
      <c r="B6823" s="198">
        <f>N('CONFIGURAÇÃO'!$CN$13)&amp;""</f>
        <v/>
      </c>
      <c r="C6823" s="198">
        <f>"'CONFIGURAÇÃO'!CN13"</f>
        <v/>
      </c>
      <c r="D6823" s="198" t="inlineStr">
        <is>
          <t>configuração</t>
        </is>
      </c>
    </row>
    <row r="6824">
      <c r="A6824" s="198" t="inlineStr">
        <is>
          <t>custom.familia.1.descricao</t>
        </is>
      </c>
      <c r="B6824" s="198">
        <f>IF(ISBLANK('CONFIGURAÇÃO'!$CJ$18),"",'CONFIGURAÇÃO'!$CJ$18&amp;"")</f>
        <v/>
      </c>
      <c r="C6824" s="198">
        <f>"'CONFIGURAÇÃO'!CJ18"</f>
        <v/>
      </c>
      <c r="D6824" s="198" t="inlineStr">
        <is>
          <t>configuração</t>
        </is>
      </c>
    </row>
    <row r="6825">
      <c r="A6825" s="198" t="inlineStr">
        <is>
          <t>custom.familia.2.nome</t>
        </is>
      </c>
      <c r="B6825" s="198">
        <f>IF(ISBLANK('CONFIGURAÇÃO'!$CR$15),"",'CONFIGURAÇÃO'!$CR$15&amp;"")</f>
        <v/>
      </c>
      <c r="C6825" s="198">
        <f>"'CONFIGURAÇÃO'!CR15"</f>
        <v/>
      </c>
      <c r="D6825" s="198" t="inlineStr">
        <is>
          <t>configuração</t>
        </is>
      </c>
    </row>
    <row r="6826">
      <c r="A6826" s="198" t="inlineStr">
        <is>
          <t>custom.familia.2.estado</t>
        </is>
      </c>
      <c r="B6826" s="198">
        <f>IF(ISBLANK('CONFIGURAÇÃO'!$CU$16),"",'CONFIGURAÇÃO'!$CU$16&amp;"")</f>
        <v/>
      </c>
      <c r="C6826" s="198">
        <f>"'CONFIGURAÇÃO'!CU16"</f>
        <v/>
      </c>
      <c r="D6826" s="198" t="inlineStr">
        <is>
          <t>configuração</t>
        </is>
      </c>
    </row>
    <row r="6827">
      <c r="A6827" s="198" t="inlineStr">
        <is>
          <t>custom.familia.2.mestre_viu</t>
        </is>
      </c>
      <c r="B6827" s="198">
        <f>N('CONFIGURAÇÃO'!$CV$13)&amp;""</f>
        <v/>
      </c>
      <c r="C6827" s="198">
        <f>"'CONFIGURAÇÃO'!CV13"</f>
        <v/>
      </c>
      <c r="D6827" s="198" t="inlineStr">
        <is>
          <t>configuração</t>
        </is>
      </c>
    </row>
    <row r="6828">
      <c r="A6828" s="198" t="inlineStr">
        <is>
          <t>custom.familia.2.descricao</t>
        </is>
      </c>
      <c r="B6828" s="198">
        <f>IF(ISBLANK('CONFIGURAÇÃO'!$CR$18),"",'CONFIGURAÇÃO'!$CR$18&amp;"")</f>
        <v/>
      </c>
      <c r="C6828" s="198">
        <f>"'CONFIGURAÇÃO'!CR18"</f>
        <v/>
      </c>
      <c r="D6828" s="198" t="inlineStr">
        <is>
          <t>configuração</t>
        </is>
      </c>
    </row>
    <row r="6829">
      <c r="A6829" s="198" t="inlineStr">
        <is>
          <t>custom.familia.3.nome</t>
        </is>
      </c>
      <c r="B6829" s="198">
        <f>IF(ISBLANK('CONFIGURAÇÃO'!$CJ$29),"",'CONFIGURAÇÃO'!$CJ$29&amp;"")</f>
        <v/>
      </c>
      <c r="C6829" s="198">
        <f>"'CONFIGURAÇÃO'!CJ29"</f>
        <v/>
      </c>
      <c r="D6829" s="198" t="inlineStr">
        <is>
          <t>configuração</t>
        </is>
      </c>
    </row>
    <row r="6830">
      <c r="A6830" s="198" t="inlineStr">
        <is>
          <t>custom.familia.3.estado</t>
        </is>
      </c>
      <c r="B6830" s="198">
        <f>IF(ISBLANK('CONFIGURAÇÃO'!$CM$30),"",'CONFIGURAÇÃO'!$CM$30&amp;"")</f>
        <v/>
      </c>
      <c r="C6830" s="198">
        <f>"'CONFIGURAÇÃO'!CM30"</f>
        <v/>
      </c>
      <c r="D6830" s="198" t="inlineStr">
        <is>
          <t>configuração</t>
        </is>
      </c>
    </row>
    <row r="6831">
      <c r="A6831" s="198" t="inlineStr">
        <is>
          <t>custom.familia.3.mestre_viu</t>
        </is>
      </c>
      <c r="B6831" s="198">
        <f>N('CONFIGURAÇÃO'!$CN$27)&amp;""</f>
        <v/>
      </c>
      <c r="C6831" s="198">
        <f>"'CONFIGURAÇÃO'!CN27"</f>
        <v/>
      </c>
      <c r="D6831" s="198" t="inlineStr">
        <is>
          <t>configuração</t>
        </is>
      </c>
    </row>
    <row r="6832">
      <c r="A6832" s="198" t="inlineStr">
        <is>
          <t>custom.familia.3.descricao</t>
        </is>
      </c>
      <c r="B6832" s="198">
        <f>IF(ISBLANK('CONFIGURAÇÃO'!$CJ$32),"",'CONFIGURAÇÃO'!$CJ$32&amp;"")</f>
        <v/>
      </c>
      <c r="C6832" s="198">
        <f>"'CONFIGURAÇÃO'!CJ32"</f>
        <v/>
      </c>
      <c r="D6832" s="198" t="inlineStr">
        <is>
          <t>configuração</t>
        </is>
      </c>
    </row>
    <row r="6833">
      <c r="A6833" s="198" t="inlineStr">
        <is>
          <t>custom.familia.4.nome</t>
        </is>
      </c>
      <c r="B6833" s="198">
        <f>IF(ISBLANK('CONFIGURAÇÃO'!$CR$29),"",'CONFIGURAÇÃO'!$CR$29&amp;"")</f>
        <v/>
      </c>
      <c r="C6833" s="198">
        <f>"'CONFIGURAÇÃO'!CR29"</f>
        <v/>
      </c>
      <c r="D6833" s="198" t="inlineStr">
        <is>
          <t>configuração</t>
        </is>
      </c>
    </row>
    <row r="6834">
      <c r="A6834" s="198" t="inlineStr">
        <is>
          <t>custom.familia.4.estado</t>
        </is>
      </c>
      <c r="B6834" s="198">
        <f>IF(ISBLANK('CONFIGURAÇÃO'!$CU$30),"",'CONFIGURAÇÃO'!$CU$30&amp;"")</f>
        <v/>
      </c>
      <c r="C6834" s="198">
        <f>"'CONFIGURAÇÃO'!CU30"</f>
        <v/>
      </c>
      <c r="D6834" s="198" t="inlineStr">
        <is>
          <t>configuração</t>
        </is>
      </c>
    </row>
    <row r="6835">
      <c r="A6835" s="198" t="inlineStr">
        <is>
          <t>custom.familia.4.mestre_viu</t>
        </is>
      </c>
      <c r="B6835" s="198">
        <f>N('CONFIGURAÇÃO'!$CV$27)&amp;""</f>
        <v/>
      </c>
      <c r="C6835" s="198">
        <f>"'CONFIGURAÇÃO'!CV27"</f>
        <v/>
      </c>
      <c r="D6835" s="198" t="inlineStr">
        <is>
          <t>configuração</t>
        </is>
      </c>
    </row>
    <row r="6836">
      <c r="A6836" s="198" t="inlineStr">
        <is>
          <t>custom.familia.4.descricao</t>
        </is>
      </c>
      <c r="B6836" s="198">
        <f>IF(ISBLANK('CONFIGURAÇÃO'!$CR$32),"",'CONFIGURAÇÃO'!$CR$32&amp;"")</f>
        <v/>
      </c>
      <c r="C6836" s="198">
        <f>"'CONFIGURAÇÃO'!CR32"</f>
        <v/>
      </c>
      <c r="D6836" s="198" t="inlineStr">
        <is>
          <t>configuração</t>
        </is>
      </c>
    </row>
    <row r="6837">
      <c r="A6837" s="198" t="inlineStr">
        <is>
          <t>custom.familia.5.nome</t>
        </is>
      </c>
      <c r="B6837" s="198">
        <f>IF(ISBLANK('CONFIGURAÇÃO'!$CJ$43),"",'CONFIGURAÇÃO'!$CJ$43&amp;"")</f>
        <v/>
      </c>
      <c r="C6837" s="198">
        <f>"'CONFIGURAÇÃO'!CJ43"</f>
        <v/>
      </c>
      <c r="D6837" s="198" t="inlineStr">
        <is>
          <t>configuração</t>
        </is>
      </c>
    </row>
    <row r="6838">
      <c r="A6838" s="198" t="inlineStr">
        <is>
          <t>custom.familia.5.estado</t>
        </is>
      </c>
      <c r="B6838" s="198">
        <f>IF(ISBLANK('CONFIGURAÇÃO'!$CM$44),"",'CONFIGURAÇÃO'!$CM$44&amp;"")</f>
        <v/>
      </c>
      <c r="C6838" s="198">
        <f>"'CONFIGURAÇÃO'!CM44"</f>
        <v/>
      </c>
      <c r="D6838" s="198" t="inlineStr">
        <is>
          <t>configuração</t>
        </is>
      </c>
    </row>
    <row r="6839">
      <c r="A6839" s="198" t="inlineStr">
        <is>
          <t>custom.familia.5.mestre_viu</t>
        </is>
      </c>
      <c r="B6839" s="198">
        <f>N('CONFIGURAÇÃO'!$CN$41)&amp;""</f>
        <v/>
      </c>
      <c r="C6839" s="198">
        <f>"'CONFIGURAÇÃO'!CN41"</f>
        <v/>
      </c>
      <c r="D6839" s="198" t="inlineStr">
        <is>
          <t>configuração</t>
        </is>
      </c>
    </row>
    <row r="6840">
      <c r="A6840" s="198" t="inlineStr">
        <is>
          <t>custom.familia.5.descricao</t>
        </is>
      </c>
      <c r="B6840" s="198">
        <f>IF(ISBLANK('CONFIGURAÇÃO'!$CJ$46),"",'CONFIGURAÇÃO'!$CJ$46&amp;"")</f>
        <v/>
      </c>
      <c r="C6840" s="198">
        <f>"'CONFIGURAÇÃO'!CJ46"</f>
        <v/>
      </c>
      <c r="D6840" s="198" t="inlineStr">
        <is>
          <t>configuração</t>
        </is>
      </c>
    </row>
    <row r="6841">
      <c r="A6841" s="198" t="inlineStr">
        <is>
          <t>custom.familia.6.nome</t>
        </is>
      </c>
      <c r="B6841" s="198">
        <f>IF(ISBLANK('CONFIGURAÇÃO'!$CR$43),"",'CONFIGURAÇÃO'!$CR$43&amp;"")</f>
        <v/>
      </c>
      <c r="C6841" s="198">
        <f>"'CONFIGURAÇÃO'!CR43"</f>
        <v/>
      </c>
      <c r="D6841" s="198" t="inlineStr">
        <is>
          <t>configuração</t>
        </is>
      </c>
    </row>
    <row r="6842">
      <c r="A6842" s="198" t="inlineStr">
        <is>
          <t>custom.familia.6.estado</t>
        </is>
      </c>
      <c r="B6842" s="198">
        <f>IF(ISBLANK('CONFIGURAÇÃO'!$CU$44),"",'CONFIGURAÇÃO'!$CU$44&amp;"")</f>
        <v/>
      </c>
      <c r="C6842" s="198">
        <f>"'CONFIGURAÇÃO'!CU44"</f>
        <v/>
      </c>
      <c r="D6842" s="198" t="inlineStr">
        <is>
          <t>configuração</t>
        </is>
      </c>
    </row>
    <row r="6843">
      <c r="A6843" s="198" t="inlineStr">
        <is>
          <t>custom.familia.6.mestre_viu</t>
        </is>
      </c>
      <c r="B6843" s="198">
        <f>N('CONFIGURAÇÃO'!$CV$41)&amp;""</f>
        <v/>
      </c>
      <c r="C6843" s="198">
        <f>"'CONFIGURAÇÃO'!CV41"</f>
        <v/>
      </c>
      <c r="D6843" s="198" t="inlineStr">
        <is>
          <t>configuração</t>
        </is>
      </c>
    </row>
    <row r="6844">
      <c r="A6844" s="198" t="inlineStr">
        <is>
          <t>custom.familia.6.descricao</t>
        </is>
      </c>
      <c r="B6844" s="198">
        <f>IF(ISBLANK('CONFIGURAÇÃO'!$CR$46),"",'CONFIGURAÇÃO'!$CR$46&amp;"")</f>
        <v/>
      </c>
      <c r="C6844" s="198">
        <f>"'CONFIGURAÇÃO'!CR46"</f>
        <v/>
      </c>
      <c r="D6844" s="198" t="inlineStr">
        <is>
          <t>configuração</t>
        </is>
      </c>
    </row>
    <row r="6845">
      <c r="A6845" s="198" t="inlineStr">
        <is>
          <t>custom.familia.7.nome</t>
        </is>
      </c>
      <c r="B6845" s="198">
        <f>IF(ISBLANK('CONFIGURAÇÃO'!$CJ$57),"",'CONFIGURAÇÃO'!$CJ$57&amp;"")</f>
        <v/>
      </c>
      <c r="C6845" s="198">
        <f>"'CONFIGURAÇÃO'!CJ57"</f>
        <v/>
      </c>
      <c r="D6845" s="198" t="inlineStr">
        <is>
          <t>configuração</t>
        </is>
      </c>
    </row>
    <row r="6846">
      <c r="A6846" s="198" t="inlineStr">
        <is>
          <t>custom.familia.7.estado</t>
        </is>
      </c>
      <c r="B6846" s="198">
        <f>IF(ISBLANK('CONFIGURAÇÃO'!$CM$58),"",'CONFIGURAÇÃO'!$CM$58&amp;"")</f>
        <v/>
      </c>
      <c r="C6846" s="198">
        <f>"'CONFIGURAÇÃO'!CM58"</f>
        <v/>
      </c>
      <c r="D6846" s="198" t="inlineStr">
        <is>
          <t>configuração</t>
        </is>
      </c>
    </row>
    <row r="6847">
      <c r="A6847" s="198" t="inlineStr">
        <is>
          <t>custom.familia.7.mestre_viu</t>
        </is>
      </c>
      <c r="B6847" s="198">
        <f>N('CONFIGURAÇÃO'!$CN$55)&amp;""</f>
        <v/>
      </c>
      <c r="C6847" s="198">
        <f>"'CONFIGURAÇÃO'!CN55"</f>
        <v/>
      </c>
      <c r="D6847" s="198" t="inlineStr">
        <is>
          <t>configuração</t>
        </is>
      </c>
    </row>
    <row r="6848">
      <c r="A6848" s="198" t="inlineStr">
        <is>
          <t>custom.familia.7.descricao</t>
        </is>
      </c>
      <c r="B6848" s="198">
        <f>IF(ISBLANK('CONFIGURAÇÃO'!$CJ$60),"",'CONFIGURAÇÃO'!$CJ$60&amp;"")</f>
        <v/>
      </c>
      <c r="C6848" s="198">
        <f>"'CONFIGURAÇÃO'!CJ60"</f>
        <v/>
      </c>
      <c r="D6848" s="198" t="inlineStr">
        <is>
          <t>configuração</t>
        </is>
      </c>
    </row>
    <row r="6849">
      <c r="A6849" s="198" t="inlineStr">
        <is>
          <t>custom.familia.8.nome</t>
        </is>
      </c>
      <c r="B6849" s="198">
        <f>IF(ISBLANK('CONFIGURAÇÃO'!$CR$57),"",'CONFIGURAÇÃO'!$CR$57&amp;"")</f>
        <v/>
      </c>
      <c r="C6849" s="198">
        <f>"'CONFIGURAÇÃO'!CR57"</f>
        <v/>
      </c>
      <c r="D6849" s="198" t="inlineStr">
        <is>
          <t>configuração</t>
        </is>
      </c>
    </row>
    <row r="6850">
      <c r="A6850" s="198" t="inlineStr">
        <is>
          <t>custom.familia.8.estado</t>
        </is>
      </c>
      <c r="B6850" s="198">
        <f>IF(ISBLANK('CONFIGURAÇÃO'!$CU$58),"",'CONFIGURAÇÃO'!$CU$58&amp;"")</f>
        <v/>
      </c>
      <c r="C6850" s="198">
        <f>"'CONFIGURAÇÃO'!CU58"</f>
        <v/>
      </c>
      <c r="D6850" s="198" t="inlineStr">
        <is>
          <t>configuração</t>
        </is>
      </c>
    </row>
    <row r="6851">
      <c r="A6851" s="198" t="inlineStr">
        <is>
          <t>custom.familia.8.mestre_viu</t>
        </is>
      </c>
      <c r="B6851" s="198">
        <f>N('CONFIGURAÇÃO'!$CV$55)&amp;""</f>
        <v/>
      </c>
      <c r="C6851" s="198">
        <f>"'CONFIGURAÇÃO'!CV55"</f>
        <v/>
      </c>
      <c r="D6851" s="198" t="inlineStr">
        <is>
          <t>configuração</t>
        </is>
      </c>
    </row>
    <row r="6852">
      <c r="A6852" s="198" t="inlineStr">
        <is>
          <t>custom.familia.8.descricao</t>
        </is>
      </c>
      <c r="B6852" s="198">
        <f>IF(ISBLANK('CONFIGURAÇÃO'!$CR$60),"",'CONFIGURAÇÃO'!$CR$60&amp;"")</f>
        <v/>
      </c>
      <c r="C6852" s="198">
        <f>"'CONFIGURAÇÃO'!CR60"</f>
        <v/>
      </c>
      <c r="D6852" s="198" t="inlineStr">
        <is>
          <t>configuração</t>
        </is>
      </c>
    </row>
    <row r="6853">
      <c r="A6853" s="198" t="inlineStr">
        <is>
          <t>custom.familia.9.nome</t>
        </is>
      </c>
      <c r="B6853" s="198">
        <f>IF(ISBLANK('CONFIGURAÇÃO'!$CJ$71),"",'CONFIGURAÇÃO'!$CJ$71&amp;"")</f>
        <v/>
      </c>
      <c r="C6853" s="198">
        <f>"'CONFIGURAÇÃO'!CJ71"</f>
        <v/>
      </c>
      <c r="D6853" s="198" t="inlineStr">
        <is>
          <t>configuração</t>
        </is>
      </c>
    </row>
    <row r="6854">
      <c r="A6854" s="198" t="inlineStr">
        <is>
          <t>custom.familia.9.estado</t>
        </is>
      </c>
      <c r="B6854" s="198">
        <f>IF(ISBLANK('CONFIGURAÇÃO'!$CM$72),"",'CONFIGURAÇÃO'!$CM$72&amp;"")</f>
        <v/>
      </c>
      <c r="C6854" s="198">
        <f>"'CONFIGURAÇÃO'!CM72"</f>
        <v/>
      </c>
      <c r="D6854" s="198" t="inlineStr">
        <is>
          <t>configuração</t>
        </is>
      </c>
    </row>
    <row r="6855">
      <c r="A6855" s="198" t="inlineStr">
        <is>
          <t>custom.familia.9.mestre_viu</t>
        </is>
      </c>
      <c r="B6855" s="198">
        <f>N('CONFIGURAÇÃO'!$CN$69)&amp;""</f>
        <v/>
      </c>
      <c r="C6855" s="198">
        <f>"'CONFIGURAÇÃO'!CN69"</f>
        <v/>
      </c>
      <c r="D6855" s="198" t="inlineStr">
        <is>
          <t>configuração</t>
        </is>
      </c>
    </row>
    <row r="6856">
      <c r="A6856" s="198" t="inlineStr">
        <is>
          <t>custom.familia.9.descricao</t>
        </is>
      </c>
      <c r="B6856" s="198">
        <f>IF(ISBLANK('CONFIGURAÇÃO'!$CJ$74),"",'CONFIGURAÇÃO'!$CJ$74&amp;"")</f>
        <v/>
      </c>
      <c r="C6856" s="198">
        <f>"'CONFIGURAÇÃO'!CJ74"</f>
        <v/>
      </c>
      <c r="D6856" s="198" t="inlineStr">
        <is>
          <t>configuração</t>
        </is>
      </c>
    </row>
    <row r="6857">
      <c r="A6857" s="198" t="inlineStr">
        <is>
          <t>custom.familia.10.nome</t>
        </is>
      </c>
      <c r="B6857" s="198">
        <f>IF(ISBLANK('CONFIGURAÇÃO'!$CR$71),"",'CONFIGURAÇÃO'!$CR$71&amp;"")</f>
        <v/>
      </c>
      <c r="C6857" s="198">
        <f>"'CONFIGURAÇÃO'!CR71"</f>
        <v/>
      </c>
      <c r="D6857" s="198" t="inlineStr">
        <is>
          <t>configuração</t>
        </is>
      </c>
    </row>
    <row r="6858">
      <c r="A6858" s="198" t="inlineStr">
        <is>
          <t>custom.familia.10.estado</t>
        </is>
      </c>
      <c r="B6858" s="198">
        <f>IF(ISBLANK('CONFIGURAÇÃO'!$CU$72),"",'CONFIGURAÇÃO'!$CU$72&amp;"")</f>
        <v/>
      </c>
      <c r="C6858" s="198">
        <f>"'CONFIGURAÇÃO'!CU72"</f>
        <v/>
      </c>
      <c r="D6858" s="198" t="inlineStr">
        <is>
          <t>configuração</t>
        </is>
      </c>
    </row>
    <row r="6859">
      <c r="A6859" s="198" t="inlineStr">
        <is>
          <t>custom.familia.10.mestre_viu</t>
        </is>
      </c>
      <c r="B6859" s="198">
        <f>N('CONFIGURAÇÃO'!$CV$69)&amp;""</f>
        <v/>
      </c>
      <c r="C6859" s="198">
        <f>"'CONFIGURAÇÃO'!CV69"</f>
        <v/>
      </c>
      <c r="D6859" s="198" t="inlineStr">
        <is>
          <t>configuração</t>
        </is>
      </c>
    </row>
    <row r="6860">
      <c r="A6860" s="198" t="inlineStr">
        <is>
          <t>custom.familia.10.descricao</t>
        </is>
      </c>
      <c r="B6860" s="198">
        <f>IF(ISBLANK('CONFIGURAÇÃO'!$CR$74),"",'CONFIGURAÇÃO'!$CR$74&amp;"")</f>
        <v/>
      </c>
      <c r="C6860" s="198">
        <f>"'CONFIGURAÇÃO'!CR74"</f>
        <v/>
      </c>
      <c r="D6860" s="198" t="inlineStr">
        <is>
          <t>configuração</t>
        </is>
      </c>
    </row>
    <row r="6861">
      <c r="A6861" s="198" t="inlineStr">
        <is>
          <t>aviso.custom.familia.1</t>
        </is>
      </c>
      <c r="B6861" s="198">
        <f>'DADOS_CRIACAO'!$F$2&amp;""</f>
        <v/>
      </c>
      <c r="C6861" s="198">
        <f>"'DADOS_CRIACAO'!F2"</f>
        <v/>
      </c>
      <c r="D6861" s="198" t="inlineStr">
        <is>
          <t>aviso</t>
        </is>
      </c>
    </row>
    <row r="6862">
      <c r="A6862" s="198" t="inlineStr">
        <is>
          <t>aviso.custom.familia.2</t>
        </is>
      </c>
      <c r="B6862" s="198">
        <f>'DADOS_CRIACAO'!$F$3&amp;""</f>
        <v/>
      </c>
      <c r="C6862" s="198">
        <f>"'DADOS_CRIACAO'!F3"</f>
        <v/>
      </c>
      <c r="D6862" s="198" t="inlineStr">
        <is>
          <t>aviso</t>
        </is>
      </c>
    </row>
    <row r="6863">
      <c r="A6863" s="198" t="inlineStr">
        <is>
          <t>aviso.custom.familia.3</t>
        </is>
      </c>
      <c r="B6863" s="198">
        <f>'DADOS_CRIACAO'!$F$4&amp;""</f>
        <v/>
      </c>
      <c r="C6863" s="198">
        <f>"'DADOS_CRIACAO'!F4"</f>
        <v/>
      </c>
      <c r="D6863" s="198" t="inlineStr">
        <is>
          <t>aviso</t>
        </is>
      </c>
    </row>
    <row r="6864">
      <c r="A6864" s="198" t="inlineStr">
        <is>
          <t>aviso.custom.familia.4</t>
        </is>
      </c>
      <c r="B6864" s="198">
        <f>'DADOS_CRIACAO'!$F$5&amp;""</f>
        <v/>
      </c>
      <c r="C6864" s="198">
        <f>"'DADOS_CRIACAO'!F5"</f>
        <v/>
      </c>
      <c r="D6864" s="198" t="inlineStr">
        <is>
          <t>aviso</t>
        </is>
      </c>
    </row>
    <row r="6865">
      <c r="A6865" s="198" t="inlineStr">
        <is>
          <t>aviso.custom.familia.5</t>
        </is>
      </c>
      <c r="B6865" s="198">
        <f>'DADOS_CRIACAO'!$F$6&amp;""</f>
        <v/>
      </c>
      <c r="C6865" s="198">
        <f>"'DADOS_CRIACAO'!F6"</f>
        <v/>
      </c>
      <c r="D6865" s="198" t="inlineStr">
        <is>
          <t>aviso</t>
        </is>
      </c>
    </row>
    <row r="6866">
      <c r="A6866" s="198" t="inlineStr">
        <is>
          <t>aviso.custom.familia.6</t>
        </is>
      </c>
      <c r="B6866" s="198">
        <f>'DADOS_CRIACAO'!$F$7&amp;""</f>
        <v/>
      </c>
      <c r="C6866" s="198">
        <f>"'DADOS_CRIACAO'!F7"</f>
        <v/>
      </c>
      <c r="D6866" s="198" t="inlineStr">
        <is>
          <t>aviso</t>
        </is>
      </c>
    </row>
    <row r="6867">
      <c r="A6867" s="198" t="inlineStr">
        <is>
          <t>aviso.custom.familia.7</t>
        </is>
      </c>
      <c r="B6867" s="198">
        <f>'DADOS_CRIACAO'!$F$8&amp;""</f>
        <v/>
      </c>
      <c r="C6867" s="198">
        <f>"'DADOS_CRIACAO'!F8"</f>
        <v/>
      </c>
      <c r="D6867" s="198" t="inlineStr">
        <is>
          <t>aviso</t>
        </is>
      </c>
    </row>
    <row r="6868">
      <c r="A6868" s="198" t="inlineStr">
        <is>
          <t>aviso.custom.familia.8</t>
        </is>
      </c>
      <c r="B6868" s="198">
        <f>'DADOS_CRIACAO'!$F$9&amp;""</f>
        <v/>
      </c>
      <c r="C6868" s="198">
        <f>"'DADOS_CRIACAO'!F9"</f>
        <v/>
      </c>
      <c r="D6868" s="198" t="inlineStr">
        <is>
          <t>aviso</t>
        </is>
      </c>
    </row>
    <row r="6869">
      <c r="A6869" s="198" t="inlineStr">
        <is>
          <t>aviso.custom.familia.9</t>
        </is>
      </c>
      <c r="B6869" s="198">
        <f>'DADOS_CRIACAO'!$F$10&amp;""</f>
        <v/>
      </c>
      <c r="C6869" s="198">
        <f>"'DADOS_CRIACAO'!F10"</f>
        <v/>
      </c>
      <c r="D6869" s="198" t="inlineStr">
        <is>
          <t>aviso</t>
        </is>
      </c>
    </row>
    <row r="6870">
      <c r="A6870" s="198" t="inlineStr">
        <is>
          <t>aviso.custom.familia.10</t>
        </is>
      </c>
      <c r="B6870" s="198">
        <f>'DADOS_CRIACAO'!$F$11&amp;""</f>
        <v/>
      </c>
      <c r="C6870" s="198">
        <f>"'DADOS_CRIACAO'!F11"</f>
        <v/>
      </c>
      <c r="D6870" s="198" t="inlineStr">
        <is>
          <t>aviso</t>
        </is>
      </c>
    </row>
    <row r="6871">
      <c r="A6871" s="198" t="inlineStr">
        <is>
          <t>regra.familias_livres</t>
        </is>
      </c>
      <c r="B6871" s="198">
        <f>'CONFIGURAÇÃO'!$H$157&amp;""</f>
        <v/>
      </c>
      <c r="C6871" s="198">
        <f>"'CONFIGURAÇÃO'!H157"</f>
        <v/>
      </c>
      <c r="D6871" s="198" t="inlineStr">
        <is>
          <t>configuração</t>
        </is>
      </c>
    </row>
    <row r="6872">
      <c r="A6872" s="198" t="inlineStr">
        <is>
          <t>regra.familias_livres.campanha</t>
        </is>
      </c>
      <c r="B6872" s="198">
        <f>IF(ISBLANK('CONFIGURAÇÃO'!$G$157),"",'CONFIGURAÇÃO'!$G$157&amp;"")</f>
        <v/>
      </c>
      <c r="C6872" s="198">
        <f>"'CONFIGURAÇÃO'!G157"</f>
        <v/>
      </c>
      <c r="D6872" s="198" t="inlineStr">
        <is>
          <t>entrada</t>
        </is>
      </c>
    </row>
    <row r="6873">
      <c r="A6873" s="198" t="inlineStr">
        <is>
          <t>regra.familias_fechadas</t>
        </is>
      </c>
      <c r="B6873" s="198">
        <f>'CONFIGURAÇÃO'!$H$158&amp;""</f>
        <v/>
      </c>
      <c r="C6873" s="198">
        <f>"'CONFIGURAÇÃO'!H158"</f>
        <v/>
      </c>
      <c r="D6873" s="198" t="inlineStr">
        <is>
          <t>configuração</t>
        </is>
      </c>
    </row>
    <row r="6874">
      <c r="A6874" s="198" t="inlineStr">
        <is>
          <t>regra.familias_fechadas.campanha</t>
        </is>
      </c>
      <c r="B6874" s="198">
        <f>IF(ISBLANK('CONFIGURAÇÃO'!$G$158),"",'CONFIGURAÇÃO'!$G$158&amp;"")</f>
        <v/>
      </c>
      <c r="C6874" s="198">
        <f>"'CONFIGURAÇÃO'!G158"</f>
        <v/>
      </c>
      <c r="D6874" s="198" t="inlineStr">
        <is>
          <t>entrada</t>
        </is>
      </c>
    </row>
    <row r="6875">
      <c r="A6875" s="198" t="inlineStr">
        <is>
          <t>regra.familias_neutras</t>
        </is>
      </c>
      <c r="B6875" s="198">
        <f>'CONFIGURAÇÃO'!$H$159&amp;""</f>
        <v/>
      </c>
      <c r="C6875" s="198">
        <f>"'CONFIGURAÇÃO'!H159"</f>
        <v/>
      </c>
      <c r="D6875" s="198" t="inlineStr">
        <is>
          <t>configuração</t>
        </is>
      </c>
    </row>
    <row r="6876">
      <c r="A6876" s="198" t="inlineStr">
        <is>
          <t>regra.familias_total</t>
        </is>
      </c>
      <c r="B6876" s="198">
        <f>'CONFIGURAÇÃO'!$H$160&amp;""</f>
        <v/>
      </c>
      <c r="C6876" s="198">
        <f>"'CONFIGURAÇÃO'!H160"</f>
        <v/>
      </c>
      <c r="D6876" s="198" t="inlineStr">
        <is>
          <t>configuração</t>
        </is>
      </c>
    </row>
    <row r="6877">
      <c r="A6877" s="198" t="inlineStr">
        <is>
          <t>aviso.regras_familias</t>
        </is>
      </c>
      <c r="B6877" s="198">
        <f>'CONFIGURAÇÃO'!$C$162&amp;""</f>
        <v/>
      </c>
      <c r="C6877" s="198">
        <f>"'CONFIGURAÇÃO'!C162"</f>
        <v/>
      </c>
      <c r="D6877" s="198" t="inlineStr">
        <is>
          <t>aviso</t>
        </is>
      </c>
    </row>
    <row r="6878">
      <c r="A6878" s="198" t="inlineStr">
        <is>
          <t>custom.melhoria.1.nome</t>
        </is>
      </c>
      <c r="B6878" s="198">
        <f>IF(ISBLANK('CONFIGURAÇÃO'!$DA$15),"",'CONFIGURAÇÃO'!$DA$15&amp;"")</f>
        <v/>
      </c>
      <c r="C6878" s="198">
        <f>"'CONFIGURAÇÃO'!DA15"</f>
        <v/>
      </c>
      <c r="D6878" s="198" t="inlineStr">
        <is>
          <t>configuração</t>
        </is>
      </c>
    </row>
    <row r="6879">
      <c r="A6879" s="198" t="inlineStr">
        <is>
          <t>custom.melhoria.1.base</t>
        </is>
      </c>
      <c r="B6879" s="198">
        <f>IF(ISBLANK('CONFIGURAÇÃO'!$DD$16),"",'CONFIGURAÇÃO'!$DD$16&amp;"")</f>
        <v/>
      </c>
      <c r="C6879" s="198">
        <f>"'CONFIGURAÇÃO'!DD16"</f>
        <v/>
      </c>
      <c r="D6879" s="198" t="inlineStr">
        <is>
          <t>configuração</t>
        </is>
      </c>
    </row>
    <row r="6880">
      <c r="A6880" s="198" t="inlineStr">
        <is>
          <t>custom.melhoria.1.familia</t>
        </is>
      </c>
      <c r="B6880" s="198">
        <f>IF(ISBLANK('CONFIGURAÇÃO'!$DD$17),"",'CONFIGURAÇÃO'!$DD$17&amp;"")</f>
        <v/>
      </c>
      <c r="C6880" s="198">
        <f>"'CONFIGURAÇÃO'!DD17"</f>
        <v/>
      </c>
      <c r="D6880" s="198" t="inlineStr">
        <is>
          <t>configuração</t>
        </is>
      </c>
    </row>
    <row r="6881">
      <c r="A6881" s="198" t="inlineStr">
        <is>
          <t>custom.melhoria.1.peso</t>
        </is>
      </c>
      <c r="B6881" s="198">
        <f>IF(ISBLANK('CONFIGURAÇÃO'!$DD$18),"",'CONFIGURAÇÃO'!$DD$18&amp;"")</f>
        <v/>
      </c>
      <c r="C6881" s="198">
        <f>"'CONFIGURAÇÃO'!DD18"</f>
        <v/>
      </c>
      <c r="D6881" s="198" t="inlineStr">
        <is>
          <t>configuração</t>
        </is>
      </c>
    </row>
    <row r="6882">
      <c r="A6882" s="198" t="inlineStr">
        <is>
          <t>custom.melhoria.1.exige_tr</t>
        </is>
      </c>
      <c r="B6882" s="198">
        <f>IF(ISBLANK('CONFIGURAÇÃO'!$DD$19),"",'CONFIGURAÇÃO'!$DD$19&amp;"")</f>
        <v/>
      </c>
      <c r="C6882" s="198">
        <f>"'CONFIGURAÇÃO'!DD19"</f>
        <v/>
      </c>
      <c r="D6882" s="198" t="inlineStr">
        <is>
          <t>configuração</t>
        </is>
      </c>
    </row>
    <row r="6883">
      <c r="A6883" s="198" t="inlineStr">
        <is>
          <t>custom.melhoria.1.requisitos</t>
        </is>
      </c>
      <c r="B6883" s="198">
        <f>IF(ISBLANK('CONFIGURAÇÃO'!$DA$22),"",'CONFIGURAÇÃO'!$DA$22&amp;"")</f>
        <v/>
      </c>
      <c r="C6883" s="198">
        <f>"'CONFIGURAÇÃO'!DA22"</f>
        <v/>
      </c>
      <c r="D6883" s="198" t="inlineStr">
        <is>
          <t>configuração</t>
        </is>
      </c>
    </row>
    <row r="6884">
      <c r="A6884" s="198" t="inlineStr">
        <is>
          <t>custom.melhoria.1.efeito</t>
        </is>
      </c>
      <c r="B6884" s="198">
        <f>IF(ISBLANK('CONFIGURAÇÃO'!$DA$28),"",'CONFIGURAÇÃO'!$DA$28&amp;"")</f>
        <v/>
      </c>
      <c r="C6884" s="198">
        <f>"'CONFIGURAÇÃO'!DA28"</f>
        <v/>
      </c>
      <c r="D6884" s="198" t="inlineStr">
        <is>
          <t>configuração</t>
        </is>
      </c>
    </row>
    <row r="6885">
      <c r="A6885" s="198" t="inlineStr">
        <is>
          <t>custom.melhoria.1.mestre_viu</t>
        </is>
      </c>
      <c r="B6885" s="198">
        <f>N('CONFIGURAÇÃO'!$DE$13)&amp;""</f>
        <v/>
      </c>
      <c r="C6885" s="198">
        <f>"'CONFIGURAÇÃO'!DE13"</f>
        <v/>
      </c>
      <c r="D6885" s="198" t="inlineStr">
        <is>
          <t>configuração</t>
        </is>
      </c>
    </row>
    <row r="6886">
      <c r="A6886" s="198" t="inlineStr">
        <is>
          <t>custom.melhoria.2.nome</t>
        </is>
      </c>
      <c r="B6886" s="198">
        <f>IF(ISBLANK('CONFIGURAÇÃO'!$DI$15),"",'CONFIGURAÇÃO'!$DI$15&amp;"")</f>
        <v/>
      </c>
      <c r="C6886" s="198">
        <f>"'CONFIGURAÇÃO'!DI15"</f>
        <v/>
      </c>
      <c r="D6886" s="198" t="inlineStr">
        <is>
          <t>configuração</t>
        </is>
      </c>
    </row>
    <row r="6887">
      <c r="A6887" s="198" t="inlineStr">
        <is>
          <t>custom.melhoria.2.base</t>
        </is>
      </c>
      <c r="B6887" s="198">
        <f>IF(ISBLANK('CONFIGURAÇÃO'!$DL$16),"",'CONFIGURAÇÃO'!$DL$16&amp;"")</f>
        <v/>
      </c>
      <c r="C6887" s="198">
        <f>"'CONFIGURAÇÃO'!DL16"</f>
        <v/>
      </c>
      <c r="D6887" s="198" t="inlineStr">
        <is>
          <t>configuração</t>
        </is>
      </c>
    </row>
    <row r="6888">
      <c r="A6888" s="198" t="inlineStr">
        <is>
          <t>custom.melhoria.2.familia</t>
        </is>
      </c>
      <c r="B6888" s="198">
        <f>IF(ISBLANK('CONFIGURAÇÃO'!$DL$17),"",'CONFIGURAÇÃO'!$DL$17&amp;"")</f>
        <v/>
      </c>
      <c r="C6888" s="198">
        <f>"'CONFIGURAÇÃO'!DL17"</f>
        <v/>
      </c>
      <c r="D6888" s="198" t="inlineStr">
        <is>
          <t>configuração</t>
        </is>
      </c>
    </row>
    <row r="6889">
      <c r="A6889" s="198" t="inlineStr">
        <is>
          <t>custom.melhoria.2.peso</t>
        </is>
      </c>
      <c r="B6889" s="198">
        <f>IF(ISBLANK('CONFIGURAÇÃO'!$DL$18),"",'CONFIGURAÇÃO'!$DL$18&amp;"")</f>
        <v/>
      </c>
      <c r="C6889" s="198">
        <f>"'CONFIGURAÇÃO'!DL18"</f>
        <v/>
      </c>
      <c r="D6889" s="198" t="inlineStr">
        <is>
          <t>configuração</t>
        </is>
      </c>
    </row>
    <row r="6890">
      <c r="A6890" s="198" t="inlineStr">
        <is>
          <t>custom.melhoria.2.exige_tr</t>
        </is>
      </c>
      <c r="B6890" s="198">
        <f>IF(ISBLANK('CONFIGURAÇÃO'!$DL$19),"",'CONFIGURAÇÃO'!$DL$19&amp;"")</f>
        <v/>
      </c>
      <c r="C6890" s="198">
        <f>"'CONFIGURAÇÃO'!DL19"</f>
        <v/>
      </c>
      <c r="D6890" s="198" t="inlineStr">
        <is>
          <t>configuração</t>
        </is>
      </c>
    </row>
    <row r="6891">
      <c r="A6891" s="198" t="inlineStr">
        <is>
          <t>custom.melhoria.2.requisitos</t>
        </is>
      </c>
      <c r="B6891" s="198">
        <f>IF(ISBLANK('CONFIGURAÇÃO'!$DI$22),"",'CONFIGURAÇÃO'!$DI$22&amp;"")</f>
        <v/>
      </c>
      <c r="C6891" s="198">
        <f>"'CONFIGURAÇÃO'!DI22"</f>
        <v/>
      </c>
      <c r="D6891" s="198" t="inlineStr">
        <is>
          <t>configuração</t>
        </is>
      </c>
    </row>
    <row r="6892">
      <c r="A6892" s="198" t="inlineStr">
        <is>
          <t>custom.melhoria.2.efeito</t>
        </is>
      </c>
      <c r="B6892" s="198">
        <f>IF(ISBLANK('CONFIGURAÇÃO'!$DI$28),"",'CONFIGURAÇÃO'!$DI$28&amp;"")</f>
        <v/>
      </c>
      <c r="C6892" s="198">
        <f>"'CONFIGURAÇÃO'!DI28"</f>
        <v/>
      </c>
      <c r="D6892" s="198" t="inlineStr">
        <is>
          <t>configuração</t>
        </is>
      </c>
    </row>
    <row r="6893">
      <c r="A6893" s="198" t="inlineStr">
        <is>
          <t>custom.melhoria.2.mestre_viu</t>
        </is>
      </c>
      <c r="B6893" s="198">
        <f>N('CONFIGURAÇÃO'!$DM$13)&amp;""</f>
        <v/>
      </c>
      <c r="C6893" s="198">
        <f>"'CONFIGURAÇÃO'!DM13"</f>
        <v/>
      </c>
      <c r="D6893" s="198" t="inlineStr">
        <is>
          <t>configuração</t>
        </is>
      </c>
    </row>
    <row r="6894">
      <c r="A6894" s="198" t="inlineStr">
        <is>
          <t>custom.melhoria.3.nome</t>
        </is>
      </c>
      <c r="B6894" s="198">
        <f>IF(ISBLANK('CONFIGURAÇÃO'!$DA$41),"",'CONFIGURAÇÃO'!$DA$41&amp;"")</f>
        <v/>
      </c>
      <c r="C6894" s="198">
        <f>"'CONFIGURAÇÃO'!DA41"</f>
        <v/>
      </c>
      <c r="D6894" s="198" t="inlineStr">
        <is>
          <t>configuração</t>
        </is>
      </c>
    </row>
    <row r="6895">
      <c r="A6895" s="198" t="inlineStr">
        <is>
          <t>custom.melhoria.3.base</t>
        </is>
      </c>
      <c r="B6895" s="198">
        <f>IF(ISBLANK('CONFIGURAÇÃO'!$DD$42),"",'CONFIGURAÇÃO'!$DD$42&amp;"")</f>
        <v/>
      </c>
      <c r="C6895" s="198">
        <f>"'CONFIGURAÇÃO'!DD42"</f>
        <v/>
      </c>
      <c r="D6895" s="198" t="inlineStr">
        <is>
          <t>configuração</t>
        </is>
      </c>
    </row>
    <row r="6896">
      <c r="A6896" s="198" t="inlineStr">
        <is>
          <t>custom.melhoria.3.familia</t>
        </is>
      </c>
      <c r="B6896" s="198">
        <f>IF(ISBLANK('CONFIGURAÇÃO'!$DD$43),"",'CONFIGURAÇÃO'!$DD$43&amp;"")</f>
        <v/>
      </c>
      <c r="C6896" s="198">
        <f>"'CONFIGURAÇÃO'!DD43"</f>
        <v/>
      </c>
      <c r="D6896" s="198" t="inlineStr">
        <is>
          <t>configuração</t>
        </is>
      </c>
    </row>
    <row r="6897">
      <c r="A6897" s="198" t="inlineStr">
        <is>
          <t>custom.melhoria.3.peso</t>
        </is>
      </c>
      <c r="B6897" s="198">
        <f>IF(ISBLANK('CONFIGURAÇÃO'!$DD$44),"",'CONFIGURAÇÃO'!$DD$44&amp;"")</f>
        <v/>
      </c>
      <c r="C6897" s="198">
        <f>"'CONFIGURAÇÃO'!DD44"</f>
        <v/>
      </c>
      <c r="D6897" s="198" t="inlineStr">
        <is>
          <t>configuração</t>
        </is>
      </c>
    </row>
    <row r="6898">
      <c r="A6898" s="198" t="inlineStr">
        <is>
          <t>custom.melhoria.3.exige_tr</t>
        </is>
      </c>
      <c r="B6898" s="198">
        <f>IF(ISBLANK('CONFIGURAÇÃO'!$DD$45),"",'CONFIGURAÇÃO'!$DD$45&amp;"")</f>
        <v/>
      </c>
      <c r="C6898" s="198">
        <f>"'CONFIGURAÇÃO'!DD45"</f>
        <v/>
      </c>
      <c r="D6898" s="198" t="inlineStr">
        <is>
          <t>configuração</t>
        </is>
      </c>
    </row>
    <row r="6899">
      <c r="A6899" s="198" t="inlineStr">
        <is>
          <t>custom.melhoria.3.requisitos</t>
        </is>
      </c>
      <c r="B6899" s="198">
        <f>IF(ISBLANK('CONFIGURAÇÃO'!$DA$48),"",'CONFIGURAÇÃO'!$DA$48&amp;"")</f>
        <v/>
      </c>
      <c r="C6899" s="198">
        <f>"'CONFIGURAÇÃO'!DA48"</f>
        <v/>
      </c>
      <c r="D6899" s="198" t="inlineStr">
        <is>
          <t>configuração</t>
        </is>
      </c>
    </row>
    <row r="6900">
      <c r="A6900" s="198" t="inlineStr">
        <is>
          <t>custom.melhoria.3.efeito</t>
        </is>
      </c>
      <c r="B6900" s="198">
        <f>IF(ISBLANK('CONFIGURAÇÃO'!$DA$54),"",'CONFIGURAÇÃO'!$DA$54&amp;"")</f>
        <v/>
      </c>
      <c r="C6900" s="198">
        <f>"'CONFIGURAÇÃO'!DA54"</f>
        <v/>
      </c>
      <c r="D6900" s="198" t="inlineStr">
        <is>
          <t>configuração</t>
        </is>
      </c>
    </row>
    <row r="6901">
      <c r="A6901" s="198" t="inlineStr">
        <is>
          <t>custom.melhoria.3.mestre_viu</t>
        </is>
      </c>
      <c r="B6901" s="198">
        <f>N('CONFIGURAÇÃO'!$DE$39)&amp;""</f>
        <v/>
      </c>
      <c r="C6901" s="198">
        <f>"'CONFIGURAÇÃO'!DE39"</f>
        <v/>
      </c>
      <c r="D6901" s="198" t="inlineStr">
        <is>
          <t>configuração</t>
        </is>
      </c>
    </row>
    <row r="6902">
      <c r="A6902" s="198" t="inlineStr">
        <is>
          <t>custom.melhoria.4.nome</t>
        </is>
      </c>
      <c r="B6902" s="198">
        <f>IF(ISBLANK('CONFIGURAÇÃO'!$DI$41),"",'CONFIGURAÇÃO'!$DI$41&amp;"")</f>
        <v/>
      </c>
      <c r="C6902" s="198">
        <f>"'CONFIGURAÇÃO'!DI41"</f>
        <v/>
      </c>
      <c r="D6902" s="198" t="inlineStr">
        <is>
          <t>configuração</t>
        </is>
      </c>
    </row>
    <row r="6903">
      <c r="A6903" s="198" t="inlineStr">
        <is>
          <t>custom.melhoria.4.base</t>
        </is>
      </c>
      <c r="B6903" s="198">
        <f>IF(ISBLANK('CONFIGURAÇÃO'!$DL$42),"",'CONFIGURAÇÃO'!$DL$42&amp;"")</f>
        <v/>
      </c>
      <c r="C6903" s="198">
        <f>"'CONFIGURAÇÃO'!DL42"</f>
        <v/>
      </c>
      <c r="D6903" s="198" t="inlineStr">
        <is>
          <t>configuração</t>
        </is>
      </c>
    </row>
    <row r="6904">
      <c r="A6904" s="198" t="inlineStr">
        <is>
          <t>custom.melhoria.4.familia</t>
        </is>
      </c>
      <c r="B6904" s="198">
        <f>IF(ISBLANK('CONFIGURAÇÃO'!$DL$43),"",'CONFIGURAÇÃO'!$DL$43&amp;"")</f>
        <v/>
      </c>
      <c r="C6904" s="198">
        <f>"'CONFIGURAÇÃO'!DL43"</f>
        <v/>
      </c>
      <c r="D6904" s="198" t="inlineStr">
        <is>
          <t>configuração</t>
        </is>
      </c>
    </row>
    <row r="6905">
      <c r="A6905" s="198" t="inlineStr">
        <is>
          <t>custom.melhoria.4.peso</t>
        </is>
      </c>
      <c r="B6905" s="198">
        <f>IF(ISBLANK('CONFIGURAÇÃO'!$DL$44),"",'CONFIGURAÇÃO'!$DL$44&amp;"")</f>
        <v/>
      </c>
      <c r="C6905" s="198">
        <f>"'CONFIGURAÇÃO'!DL44"</f>
        <v/>
      </c>
      <c r="D6905" s="198" t="inlineStr">
        <is>
          <t>configuração</t>
        </is>
      </c>
    </row>
    <row r="6906">
      <c r="A6906" s="198" t="inlineStr">
        <is>
          <t>custom.melhoria.4.exige_tr</t>
        </is>
      </c>
      <c r="B6906" s="198">
        <f>IF(ISBLANK('CONFIGURAÇÃO'!$DL$45),"",'CONFIGURAÇÃO'!$DL$45&amp;"")</f>
        <v/>
      </c>
      <c r="C6906" s="198">
        <f>"'CONFIGURAÇÃO'!DL45"</f>
        <v/>
      </c>
      <c r="D6906" s="198" t="inlineStr">
        <is>
          <t>configuração</t>
        </is>
      </c>
    </row>
    <row r="6907">
      <c r="A6907" s="198" t="inlineStr">
        <is>
          <t>custom.melhoria.4.requisitos</t>
        </is>
      </c>
      <c r="B6907" s="198">
        <f>IF(ISBLANK('CONFIGURAÇÃO'!$DI$48),"",'CONFIGURAÇÃO'!$DI$48&amp;"")</f>
        <v/>
      </c>
      <c r="C6907" s="198">
        <f>"'CONFIGURAÇÃO'!DI48"</f>
        <v/>
      </c>
      <c r="D6907" s="198" t="inlineStr">
        <is>
          <t>configuração</t>
        </is>
      </c>
    </row>
    <row r="6908">
      <c r="A6908" s="198" t="inlineStr">
        <is>
          <t>custom.melhoria.4.efeito</t>
        </is>
      </c>
      <c r="B6908" s="198">
        <f>IF(ISBLANK('CONFIGURAÇÃO'!$DI$54),"",'CONFIGURAÇÃO'!$DI$54&amp;"")</f>
        <v/>
      </c>
      <c r="C6908" s="198">
        <f>"'CONFIGURAÇÃO'!DI54"</f>
        <v/>
      </c>
      <c r="D6908" s="198" t="inlineStr">
        <is>
          <t>configuração</t>
        </is>
      </c>
    </row>
    <row r="6909">
      <c r="A6909" s="198" t="inlineStr">
        <is>
          <t>custom.melhoria.4.mestre_viu</t>
        </is>
      </c>
      <c r="B6909" s="198">
        <f>N('CONFIGURAÇÃO'!$DM$39)&amp;""</f>
        <v/>
      </c>
      <c r="C6909" s="198">
        <f>"'CONFIGURAÇÃO'!DM39"</f>
        <v/>
      </c>
      <c r="D6909" s="198" t="inlineStr">
        <is>
          <t>configuração</t>
        </is>
      </c>
    </row>
    <row r="6910">
      <c r="A6910" s="198" t="inlineStr">
        <is>
          <t>custom.melhoria.5.nome</t>
        </is>
      </c>
      <c r="B6910" s="198">
        <f>IF(ISBLANK('CONFIGURAÇÃO'!$DA$67),"",'CONFIGURAÇÃO'!$DA$67&amp;"")</f>
        <v/>
      </c>
      <c r="C6910" s="198">
        <f>"'CONFIGURAÇÃO'!DA67"</f>
        <v/>
      </c>
      <c r="D6910" s="198" t="inlineStr">
        <is>
          <t>configuração</t>
        </is>
      </c>
    </row>
    <row r="6911">
      <c r="A6911" s="198" t="inlineStr">
        <is>
          <t>custom.melhoria.5.base</t>
        </is>
      </c>
      <c r="B6911" s="198">
        <f>IF(ISBLANK('CONFIGURAÇÃO'!$DD$68),"",'CONFIGURAÇÃO'!$DD$68&amp;"")</f>
        <v/>
      </c>
      <c r="C6911" s="198">
        <f>"'CONFIGURAÇÃO'!DD68"</f>
        <v/>
      </c>
      <c r="D6911" s="198" t="inlineStr">
        <is>
          <t>configuração</t>
        </is>
      </c>
    </row>
    <row r="6912">
      <c r="A6912" s="198" t="inlineStr">
        <is>
          <t>custom.melhoria.5.familia</t>
        </is>
      </c>
      <c r="B6912" s="198">
        <f>IF(ISBLANK('CONFIGURAÇÃO'!$DD$69),"",'CONFIGURAÇÃO'!$DD$69&amp;"")</f>
        <v/>
      </c>
      <c r="C6912" s="198">
        <f>"'CONFIGURAÇÃO'!DD69"</f>
        <v/>
      </c>
      <c r="D6912" s="198" t="inlineStr">
        <is>
          <t>configuração</t>
        </is>
      </c>
    </row>
    <row r="6913">
      <c r="A6913" s="198" t="inlineStr">
        <is>
          <t>custom.melhoria.5.peso</t>
        </is>
      </c>
      <c r="B6913" s="198">
        <f>IF(ISBLANK('CONFIGURAÇÃO'!$DD$70),"",'CONFIGURAÇÃO'!$DD$70&amp;"")</f>
        <v/>
      </c>
      <c r="C6913" s="198">
        <f>"'CONFIGURAÇÃO'!DD70"</f>
        <v/>
      </c>
      <c r="D6913" s="198" t="inlineStr">
        <is>
          <t>configuração</t>
        </is>
      </c>
    </row>
    <row r="6914">
      <c r="A6914" s="198" t="inlineStr">
        <is>
          <t>custom.melhoria.5.exige_tr</t>
        </is>
      </c>
      <c r="B6914" s="198">
        <f>IF(ISBLANK('CONFIGURAÇÃO'!$DD$71),"",'CONFIGURAÇÃO'!$DD$71&amp;"")</f>
        <v/>
      </c>
      <c r="C6914" s="198">
        <f>"'CONFIGURAÇÃO'!DD71"</f>
        <v/>
      </c>
      <c r="D6914" s="198" t="inlineStr">
        <is>
          <t>configuração</t>
        </is>
      </c>
    </row>
    <row r="6915">
      <c r="A6915" s="198" t="inlineStr">
        <is>
          <t>custom.melhoria.5.requisitos</t>
        </is>
      </c>
      <c r="B6915" s="198">
        <f>IF(ISBLANK('CONFIGURAÇÃO'!$DA$74),"",'CONFIGURAÇÃO'!$DA$74&amp;"")</f>
        <v/>
      </c>
      <c r="C6915" s="198">
        <f>"'CONFIGURAÇÃO'!DA74"</f>
        <v/>
      </c>
      <c r="D6915" s="198" t="inlineStr">
        <is>
          <t>configuração</t>
        </is>
      </c>
    </row>
    <row r="6916">
      <c r="A6916" s="198" t="inlineStr">
        <is>
          <t>custom.melhoria.5.efeito</t>
        </is>
      </c>
      <c r="B6916" s="198">
        <f>IF(ISBLANK('CONFIGURAÇÃO'!$DA$80),"",'CONFIGURAÇÃO'!$DA$80&amp;"")</f>
        <v/>
      </c>
      <c r="C6916" s="198">
        <f>"'CONFIGURAÇÃO'!DA80"</f>
        <v/>
      </c>
      <c r="D6916" s="198" t="inlineStr">
        <is>
          <t>configuração</t>
        </is>
      </c>
    </row>
    <row r="6917">
      <c r="A6917" s="198" t="inlineStr">
        <is>
          <t>custom.melhoria.5.mestre_viu</t>
        </is>
      </c>
      <c r="B6917" s="198">
        <f>N('CONFIGURAÇÃO'!$DE$65)&amp;""</f>
        <v/>
      </c>
      <c r="C6917" s="198">
        <f>"'CONFIGURAÇÃO'!DE65"</f>
        <v/>
      </c>
      <c r="D6917" s="198" t="inlineStr">
        <is>
          <t>configuração</t>
        </is>
      </c>
    </row>
    <row r="6918">
      <c r="A6918" s="198" t="inlineStr">
        <is>
          <t>custom.melhoria.6.nome</t>
        </is>
      </c>
      <c r="B6918" s="198">
        <f>IF(ISBLANK('CONFIGURAÇÃO'!$DI$67),"",'CONFIGURAÇÃO'!$DI$67&amp;"")</f>
        <v/>
      </c>
      <c r="C6918" s="198">
        <f>"'CONFIGURAÇÃO'!DI67"</f>
        <v/>
      </c>
      <c r="D6918" s="198" t="inlineStr">
        <is>
          <t>configuração</t>
        </is>
      </c>
    </row>
    <row r="6919">
      <c r="A6919" s="198" t="inlineStr">
        <is>
          <t>custom.melhoria.6.base</t>
        </is>
      </c>
      <c r="B6919" s="198">
        <f>IF(ISBLANK('CONFIGURAÇÃO'!$DL$68),"",'CONFIGURAÇÃO'!$DL$68&amp;"")</f>
        <v/>
      </c>
      <c r="C6919" s="198">
        <f>"'CONFIGURAÇÃO'!DL68"</f>
        <v/>
      </c>
      <c r="D6919" s="198" t="inlineStr">
        <is>
          <t>configuração</t>
        </is>
      </c>
    </row>
    <row r="6920">
      <c r="A6920" s="198" t="inlineStr">
        <is>
          <t>custom.melhoria.6.familia</t>
        </is>
      </c>
      <c r="B6920" s="198">
        <f>IF(ISBLANK('CONFIGURAÇÃO'!$DL$69),"",'CONFIGURAÇÃO'!$DL$69&amp;"")</f>
        <v/>
      </c>
      <c r="C6920" s="198">
        <f>"'CONFIGURAÇÃO'!DL69"</f>
        <v/>
      </c>
      <c r="D6920" s="198" t="inlineStr">
        <is>
          <t>configuração</t>
        </is>
      </c>
    </row>
    <row r="6921">
      <c r="A6921" s="198" t="inlineStr">
        <is>
          <t>custom.melhoria.6.peso</t>
        </is>
      </c>
      <c r="B6921" s="198">
        <f>IF(ISBLANK('CONFIGURAÇÃO'!$DL$70),"",'CONFIGURAÇÃO'!$DL$70&amp;"")</f>
        <v/>
      </c>
      <c r="C6921" s="198">
        <f>"'CONFIGURAÇÃO'!DL70"</f>
        <v/>
      </c>
      <c r="D6921" s="198" t="inlineStr">
        <is>
          <t>configuração</t>
        </is>
      </c>
    </row>
    <row r="6922">
      <c r="A6922" s="198" t="inlineStr">
        <is>
          <t>custom.melhoria.6.exige_tr</t>
        </is>
      </c>
      <c r="B6922" s="198">
        <f>IF(ISBLANK('CONFIGURAÇÃO'!$DL$71),"",'CONFIGURAÇÃO'!$DL$71&amp;"")</f>
        <v/>
      </c>
      <c r="C6922" s="198">
        <f>"'CONFIGURAÇÃO'!DL71"</f>
        <v/>
      </c>
      <c r="D6922" s="198" t="inlineStr">
        <is>
          <t>configuração</t>
        </is>
      </c>
    </row>
    <row r="6923">
      <c r="A6923" s="198" t="inlineStr">
        <is>
          <t>custom.melhoria.6.requisitos</t>
        </is>
      </c>
      <c r="B6923" s="198">
        <f>IF(ISBLANK('CONFIGURAÇÃO'!$DI$74),"",'CONFIGURAÇÃO'!$DI$74&amp;"")</f>
        <v/>
      </c>
      <c r="C6923" s="198">
        <f>"'CONFIGURAÇÃO'!DI74"</f>
        <v/>
      </c>
      <c r="D6923" s="198" t="inlineStr">
        <is>
          <t>configuração</t>
        </is>
      </c>
    </row>
    <row r="6924">
      <c r="A6924" s="198" t="inlineStr">
        <is>
          <t>custom.melhoria.6.efeito</t>
        </is>
      </c>
      <c r="B6924" s="198">
        <f>IF(ISBLANK('CONFIGURAÇÃO'!$DI$80),"",'CONFIGURAÇÃO'!$DI$80&amp;"")</f>
        <v/>
      </c>
      <c r="C6924" s="198">
        <f>"'CONFIGURAÇÃO'!DI80"</f>
        <v/>
      </c>
      <c r="D6924" s="198" t="inlineStr">
        <is>
          <t>configuração</t>
        </is>
      </c>
    </row>
    <row r="6925">
      <c r="A6925" s="198" t="inlineStr">
        <is>
          <t>custom.melhoria.6.mestre_viu</t>
        </is>
      </c>
      <c r="B6925" s="198">
        <f>N('CONFIGURAÇÃO'!$DM$65)&amp;""</f>
        <v/>
      </c>
      <c r="C6925" s="198">
        <f>"'CONFIGURAÇÃO'!DM65"</f>
        <v/>
      </c>
      <c r="D6925" s="198" t="inlineStr">
        <is>
          <t>configuração</t>
        </is>
      </c>
    </row>
    <row r="6926">
      <c r="A6926" s="198" t="inlineStr">
        <is>
          <t>custom.melhoria.7.nome</t>
        </is>
      </c>
      <c r="B6926" s="198">
        <f>IF(ISBLANK('CONFIGURAÇÃO'!$DA$93),"",'CONFIGURAÇÃO'!$DA$93&amp;"")</f>
        <v/>
      </c>
      <c r="C6926" s="198">
        <f>"'CONFIGURAÇÃO'!DA93"</f>
        <v/>
      </c>
      <c r="D6926" s="198" t="inlineStr">
        <is>
          <t>configuração</t>
        </is>
      </c>
    </row>
    <row r="6927">
      <c r="A6927" s="198" t="inlineStr">
        <is>
          <t>custom.melhoria.7.base</t>
        </is>
      </c>
      <c r="B6927" s="198">
        <f>IF(ISBLANK('CONFIGURAÇÃO'!$DD$94),"",'CONFIGURAÇÃO'!$DD$94&amp;"")</f>
        <v/>
      </c>
      <c r="C6927" s="198">
        <f>"'CONFIGURAÇÃO'!DD94"</f>
        <v/>
      </c>
      <c r="D6927" s="198" t="inlineStr">
        <is>
          <t>configuração</t>
        </is>
      </c>
    </row>
    <row r="6928">
      <c r="A6928" s="198" t="inlineStr">
        <is>
          <t>custom.melhoria.7.familia</t>
        </is>
      </c>
      <c r="B6928" s="198">
        <f>IF(ISBLANK('CONFIGURAÇÃO'!$DD$95),"",'CONFIGURAÇÃO'!$DD$95&amp;"")</f>
        <v/>
      </c>
      <c r="C6928" s="198">
        <f>"'CONFIGURAÇÃO'!DD95"</f>
        <v/>
      </c>
      <c r="D6928" s="198" t="inlineStr">
        <is>
          <t>configuração</t>
        </is>
      </c>
    </row>
    <row r="6929">
      <c r="A6929" s="198" t="inlineStr">
        <is>
          <t>custom.melhoria.7.peso</t>
        </is>
      </c>
      <c r="B6929" s="198">
        <f>IF(ISBLANK('CONFIGURAÇÃO'!$DD$96),"",'CONFIGURAÇÃO'!$DD$96&amp;"")</f>
        <v/>
      </c>
      <c r="C6929" s="198">
        <f>"'CONFIGURAÇÃO'!DD96"</f>
        <v/>
      </c>
      <c r="D6929" s="198" t="inlineStr">
        <is>
          <t>configuração</t>
        </is>
      </c>
    </row>
    <row r="6930">
      <c r="A6930" s="198" t="inlineStr">
        <is>
          <t>custom.melhoria.7.exige_tr</t>
        </is>
      </c>
      <c r="B6930" s="198">
        <f>IF(ISBLANK('CONFIGURAÇÃO'!$DD$97),"",'CONFIGURAÇÃO'!$DD$97&amp;"")</f>
        <v/>
      </c>
      <c r="C6930" s="198">
        <f>"'CONFIGURAÇÃO'!DD97"</f>
        <v/>
      </c>
      <c r="D6930" s="198" t="inlineStr">
        <is>
          <t>configuração</t>
        </is>
      </c>
    </row>
    <row r="6931">
      <c r="A6931" s="198" t="inlineStr">
        <is>
          <t>custom.melhoria.7.requisitos</t>
        </is>
      </c>
      <c r="B6931" s="198">
        <f>IF(ISBLANK('CONFIGURAÇÃO'!$DA$100),"",'CONFIGURAÇÃO'!$DA$100&amp;"")</f>
        <v/>
      </c>
      <c r="C6931" s="198">
        <f>"'CONFIGURAÇÃO'!DA100"</f>
        <v/>
      </c>
      <c r="D6931" s="198" t="inlineStr">
        <is>
          <t>configuração</t>
        </is>
      </c>
    </row>
    <row r="6932">
      <c r="A6932" s="198" t="inlineStr">
        <is>
          <t>custom.melhoria.7.efeito</t>
        </is>
      </c>
      <c r="B6932" s="198">
        <f>IF(ISBLANK('CONFIGURAÇÃO'!$DA$106),"",'CONFIGURAÇÃO'!$DA$106&amp;"")</f>
        <v/>
      </c>
      <c r="C6932" s="198">
        <f>"'CONFIGURAÇÃO'!DA106"</f>
        <v/>
      </c>
      <c r="D6932" s="198" t="inlineStr">
        <is>
          <t>configuração</t>
        </is>
      </c>
    </row>
    <row r="6933">
      <c r="A6933" s="198" t="inlineStr">
        <is>
          <t>custom.melhoria.7.mestre_viu</t>
        </is>
      </c>
      <c r="B6933" s="198">
        <f>N('CONFIGURAÇÃO'!$DE$91)&amp;""</f>
        <v/>
      </c>
      <c r="C6933" s="198">
        <f>"'CONFIGURAÇÃO'!DE91"</f>
        <v/>
      </c>
      <c r="D6933" s="198" t="inlineStr">
        <is>
          <t>configuração</t>
        </is>
      </c>
    </row>
    <row r="6934">
      <c r="A6934" s="198" t="inlineStr">
        <is>
          <t>custom.melhoria.8.nome</t>
        </is>
      </c>
      <c r="B6934" s="198">
        <f>IF(ISBLANK('CONFIGURAÇÃO'!$DI$93),"",'CONFIGURAÇÃO'!$DI$93&amp;"")</f>
        <v/>
      </c>
      <c r="C6934" s="198">
        <f>"'CONFIGURAÇÃO'!DI93"</f>
        <v/>
      </c>
      <c r="D6934" s="198" t="inlineStr">
        <is>
          <t>configuração</t>
        </is>
      </c>
    </row>
    <row r="6935">
      <c r="A6935" s="198" t="inlineStr">
        <is>
          <t>custom.melhoria.8.base</t>
        </is>
      </c>
      <c r="B6935" s="198">
        <f>IF(ISBLANK('CONFIGURAÇÃO'!$DL$94),"",'CONFIGURAÇÃO'!$DL$94&amp;"")</f>
        <v/>
      </c>
      <c r="C6935" s="198">
        <f>"'CONFIGURAÇÃO'!DL94"</f>
        <v/>
      </c>
      <c r="D6935" s="198" t="inlineStr">
        <is>
          <t>configuração</t>
        </is>
      </c>
    </row>
    <row r="6936">
      <c r="A6936" s="198" t="inlineStr">
        <is>
          <t>custom.melhoria.8.familia</t>
        </is>
      </c>
      <c r="B6936" s="198">
        <f>IF(ISBLANK('CONFIGURAÇÃO'!$DL$95),"",'CONFIGURAÇÃO'!$DL$95&amp;"")</f>
        <v/>
      </c>
      <c r="C6936" s="198">
        <f>"'CONFIGURAÇÃO'!DL95"</f>
        <v/>
      </c>
      <c r="D6936" s="198" t="inlineStr">
        <is>
          <t>configuração</t>
        </is>
      </c>
    </row>
    <row r="6937">
      <c r="A6937" s="198" t="inlineStr">
        <is>
          <t>custom.melhoria.8.peso</t>
        </is>
      </c>
      <c r="B6937" s="198">
        <f>IF(ISBLANK('CONFIGURAÇÃO'!$DL$96),"",'CONFIGURAÇÃO'!$DL$96&amp;"")</f>
        <v/>
      </c>
      <c r="C6937" s="198">
        <f>"'CONFIGURAÇÃO'!DL96"</f>
        <v/>
      </c>
      <c r="D6937" s="198" t="inlineStr">
        <is>
          <t>configuração</t>
        </is>
      </c>
    </row>
    <row r="6938">
      <c r="A6938" s="198" t="inlineStr">
        <is>
          <t>custom.melhoria.8.exige_tr</t>
        </is>
      </c>
      <c r="B6938" s="198">
        <f>IF(ISBLANK('CONFIGURAÇÃO'!$DL$97),"",'CONFIGURAÇÃO'!$DL$97&amp;"")</f>
        <v/>
      </c>
      <c r="C6938" s="198">
        <f>"'CONFIGURAÇÃO'!DL97"</f>
        <v/>
      </c>
      <c r="D6938" s="198" t="inlineStr">
        <is>
          <t>configuração</t>
        </is>
      </c>
    </row>
    <row r="6939">
      <c r="A6939" s="198" t="inlineStr">
        <is>
          <t>custom.melhoria.8.requisitos</t>
        </is>
      </c>
      <c r="B6939" s="198">
        <f>IF(ISBLANK('CONFIGURAÇÃO'!$DI$100),"",'CONFIGURAÇÃO'!$DI$100&amp;"")</f>
        <v/>
      </c>
      <c r="C6939" s="198">
        <f>"'CONFIGURAÇÃO'!DI100"</f>
        <v/>
      </c>
      <c r="D6939" s="198" t="inlineStr">
        <is>
          <t>configuração</t>
        </is>
      </c>
    </row>
    <row r="6940">
      <c r="A6940" s="198" t="inlineStr">
        <is>
          <t>custom.melhoria.8.efeito</t>
        </is>
      </c>
      <c r="B6940" s="198">
        <f>IF(ISBLANK('CONFIGURAÇÃO'!$DI$106),"",'CONFIGURAÇÃO'!$DI$106&amp;"")</f>
        <v/>
      </c>
      <c r="C6940" s="198">
        <f>"'CONFIGURAÇÃO'!DI106"</f>
        <v/>
      </c>
      <c r="D6940" s="198" t="inlineStr">
        <is>
          <t>configuração</t>
        </is>
      </c>
    </row>
    <row r="6941">
      <c r="A6941" s="198" t="inlineStr">
        <is>
          <t>custom.melhoria.8.mestre_viu</t>
        </is>
      </c>
      <c r="B6941" s="198">
        <f>N('CONFIGURAÇÃO'!$DM$91)&amp;""</f>
        <v/>
      </c>
      <c r="C6941" s="198">
        <f>"'CONFIGURAÇÃO'!DM91"</f>
        <v/>
      </c>
      <c r="D6941" s="198" t="inlineStr">
        <is>
          <t>configuração</t>
        </is>
      </c>
    </row>
    <row r="6942">
      <c r="A6942" s="198" t="inlineStr">
        <is>
          <t>custom.melhoria.9.nome</t>
        </is>
      </c>
      <c r="B6942" s="198">
        <f>IF(ISBLANK('CONFIGURAÇÃO'!$DA$119),"",'CONFIGURAÇÃO'!$DA$119&amp;"")</f>
        <v/>
      </c>
      <c r="C6942" s="198">
        <f>"'CONFIGURAÇÃO'!DA119"</f>
        <v/>
      </c>
      <c r="D6942" s="198" t="inlineStr">
        <is>
          <t>configuração</t>
        </is>
      </c>
    </row>
    <row r="6943">
      <c r="A6943" s="198" t="inlineStr">
        <is>
          <t>custom.melhoria.9.base</t>
        </is>
      </c>
      <c r="B6943" s="198">
        <f>IF(ISBLANK('CONFIGURAÇÃO'!$DD$120),"",'CONFIGURAÇÃO'!$DD$120&amp;"")</f>
        <v/>
      </c>
      <c r="C6943" s="198">
        <f>"'CONFIGURAÇÃO'!DD120"</f>
        <v/>
      </c>
      <c r="D6943" s="198" t="inlineStr">
        <is>
          <t>configuração</t>
        </is>
      </c>
    </row>
    <row r="6944">
      <c r="A6944" s="198" t="inlineStr">
        <is>
          <t>custom.melhoria.9.familia</t>
        </is>
      </c>
      <c r="B6944" s="198">
        <f>IF(ISBLANK('CONFIGURAÇÃO'!$DD$121),"",'CONFIGURAÇÃO'!$DD$121&amp;"")</f>
        <v/>
      </c>
      <c r="C6944" s="198">
        <f>"'CONFIGURAÇÃO'!DD121"</f>
        <v/>
      </c>
      <c r="D6944" s="198" t="inlineStr">
        <is>
          <t>configuração</t>
        </is>
      </c>
    </row>
    <row r="6945">
      <c r="A6945" s="198" t="inlineStr">
        <is>
          <t>custom.melhoria.9.peso</t>
        </is>
      </c>
      <c r="B6945" s="198">
        <f>IF(ISBLANK('CONFIGURAÇÃO'!$DD$122),"",'CONFIGURAÇÃO'!$DD$122&amp;"")</f>
        <v/>
      </c>
      <c r="C6945" s="198">
        <f>"'CONFIGURAÇÃO'!DD122"</f>
        <v/>
      </c>
      <c r="D6945" s="198" t="inlineStr">
        <is>
          <t>configuração</t>
        </is>
      </c>
    </row>
    <row r="6946">
      <c r="A6946" s="198" t="inlineStr">
        <is>
          <t>custom.melhoria.9.exige_tr</t>
        </is>
      </c>
      <c r="B6946" s="198">
        <f>IF(ISBLANK('CONFIGURAÇÃO'!$DD$123),"",'CONFIGURAÇÃO'!$DD$123&amp;"")</f>
        <v/>
      </c>
      <c r="C6946" s="198">
        <f>"'CONFIGURAÇÃO'!DD123"</f>
        <v/>
      </c>
      <c r="D6946" s="198" t="inlineStr">
        <is>
          <t>configuração</t>
        </is>
      </c>
    </row>
    <row r="6947">
      <c r="A6947" s="198" t="inlineStr">
        <is>
          <t>custom.melhoria.9.requisitos</t>
        </is>
      </c>
      <c r="B6947" s="198">
        <f>IF(ISBLANK('CONFIGURAÇÃO'!$DA$126),"",'CONFIGURAÇÃO'!$DA$126&amp;"")</f>
        <v/>
      </c>
      <c r="C6947" s="198">
        <f>"'CONFIGURAÇÃO'!DA126"</f>
        <v/>
      </c>
      <c r="D6947" s="198" t="inlineStr">
        <is>
          <t>configuração</t>
        </is>
      </c>
    </row>
    <row r="6948">
      <c r="A6948" s="198" t="inlineStr">
        <is>
          <t>custom.melhoria.9.efeito</t>
        </is>
      </c>
      <c r="B6948" s="198">
        <f>IF(ISBLANK('CONFIGURAÇÃO'!$DA$132),"",'CONFIGURAÇÃO'!$DA$132&amp;"")</f>
        <v/>
      </c>
      <c r="C6948" s="198">
        <f>"'CONFIGURAÇÃO'!DA132"</f>
        <v/>
      </c>
      <c r="D6948" s="198" t="inlineStr">
        <is>
          <t>configuração</t>
        </is>
      </c>
    </row>
    <row r="6949">
      <c r="A6949" s="198" t="inlineStr">
        <is>
          <t>custom.melhoria.9.mestre_viu</t>
        </is>
      </c>
      <c r="B6949" s="198">
        <f>N('CONFIGURAÇÃO'!$DE$117)&amp;""</f>
        <v/>
      </c>
      <c r="C6949" s="198">
        <f>"'CONFIGURAÇÃO'!DE117"</f>
        <v/>
      </c>
      <c r="D6949" s="198" t="inlineStr">
        <is>
          <t>configuração</t>
        </is>
      </c>
    </row>
    <row r="6950">
      <c r="A6950" s="198" t="inlineStr">
        <is>
          <t>custom.melhoria.10.nome</t>
        </is>
      </c>
      <c r="B6950" s="198">
        <f>IF(ISBLANK('CONFIGURAÇÃO'!$DI$119),"",'CONFIGURAÇÃO'!$DI$119&amp;"")</f>
        <v/>
      </c>
      <c r="C6950" s="198">
        <f>"'CONFIGURAÇÃO'!DI119"</f>
        <v/>
      </c>
      <c r="D6950" s="198" t="inlineStr">
        <is>
          <t>configuração</t>
        </is>
      </c>
    </row>
    <row r="6951">
      <c r="A6951" s="198" t="inlineStr">
        <is>
          <t>custom.melhoria.10.base</t>
        </is>
      </c>
      <c r="B6951" s="198">
        <f>IF(ISBLANK('CONFIGURAÇÃO'!$DL$120),"",'CONFIGURAÇÃO'!$DL$120&amp;"")</f>
        <v/>
      </c>
      <c r="C6951" s="198">
        <f>"'CONFIGURAÇÃO'!DL120"</f>
        <v/>
      </c>
      <c r="D6951" s="198" t="inlineStr">
        <is>
          <t>configuração</t>
        </is>
      </c>
    </row>
    <row r="6952">
      <c r="A6952" s="198" t="inlineStr">
        <is>
          <t>custom.melhoria.10.familia</t>
        </is>
      </c>
      <c r="B6952" s="198">
        <f>IF(ISBLANK('CONFIGURAÇÃO'!$DL$121),"",'CONFIGURAÇÃO'!$DL$121&amp;"")</f>
        <v/>
      </c>
      <c r="C6952" s="198">
        <f>"'CONFIGURAÇÃO'!DL121"</f>
        <v/>
      </c>
      <c r="D6952" s="198" t="inlineStr">
        <is>
          <t>configuração</t>
        </is>
      </c>
    </row>
    <row r="6953">
      <c r="A6953" s="198" t="inlineStr">
        <is>
          <t>custom.melhoria.10.peso</t>
        </is>
      </c>
      <c r="B6953" s="198">
        <f>IF(ISBLANK('CONFIGURAÇÃO'!$DL$122),"",'CONFIGURAÇÃO'!$DL$122&amp;"")</f>
        <v/>
      </c>
      <c r="C6953" s="198">
        <f>"'CONFIGURAÇÃO'!DL122"</f>
        <v/>
      </c>
      <c r="D6953" s="198" t="inlineStr">
        <is>
          <t>configuração</t>
        </is>
      </c>
    </row>
    <row r="6954">
      <c r="A6954" s="198" t="inlineStr">
        <is>
          <t>custom.melhoria.10.exige_tr</t>
        </is>
      </c>
      <c r="B6954" s="198">
        <f>IF(ISBLANK('CONFIGURAÇÃO'!$DL$123),"",'CONFIGURAÇÃO'!$DL$123&amp;"")</f>
        <v/>
      </c>
      <c r="C6954" s="198">
        <f>"'CONFIGURAÇÃO'!DL123"</f>
        <v/>
      </c>
      <c r="D6954" s="198" t="inlineStr">
        <is>
          <t>configuração</t>
        </is>
      </c>
    </row>
    <row r="6955">
      <c r="A6955" s="198" t="inlineStr">
        <is>
          <t>custom.melhoria.10.requisitos</t>
        </is>
      </c>
      <c r="B6955" s="198">
        <f>IF(ISBLANK('CONFIGURAÇÃO'!$DI$126),"",'CONFIGURAÇÃO'!$DI$126&amp;"")</f>
        <v/>
      </c>
      <c r="C6955" s="198">
        <f>"'CONFIGURAÇÃO'!DI126"</f>
        <v/>
      </c>
      <c r="D6955" s="198" t="inlineStr">
        <is>
          <t>configuração</t>
        </is>
      </c>
    </row>
    <row r="6956">
      <c r="A6956" s="198" t="inlineStr">
        <is>
          <t>custom.melhoria.10.efeito</t>
        </is>
      </c>
      <c r="B6956" s="198">
        <f>IF(ISBLANK('CONFIGURAÇÃO'!$DI$132),"",'CONFIGURAÇÃO'!$DI$132&amp;"")</f>
        <v/>
      </c>
      <c r="C6956" s="198">
        <f>"'CONFIGURAÇÃO'!DI132"</f>
        <v/>
      </c>
      <c r="D6956" s="198" t="inlineStr">
        <is>
          <t>configuração</t>
        </is>
      </c>
    </row>
    <row r="6957">
      <c r="A6957" s="198" t="inlineStr">
        <is>
          <t>custom.melhoria.10.mestre_viu</t>
        </is>
      </c>
      <c r="B6957" s="198">
        <f>N('CONFIGURAÇÃO'!$DM$117)&amp;""</f>
        <v/>
      </c>
      <c r="C6957" s="198">
        <f>"'CONFIGURAÇÃO'!DM117"</f>
        <v/>
      </c>
      <c r="D6957" s="198" t="inlineStr">
        <is>
          <t>configuração</t>
        </is>
      </c>
    </row>
    <row r="6958">
      <c r="A6958" s="198" t="inlineStr">
        <is>
          <t>custom.melhoria.11.nome</t>
        </is>
      </c>
      <c r="B6958" s="198">
        <f>IF(ISBLANK('CONFIGURAÇÃO'!$DA$145),"",'CONFIGURAÇÃO'!$DA$145&amp;"")</f>
        <v/>
      </c>
      <c r="C6958" s="198">
        <f>"'CONFIGURAÇÃO'!DA145"</f>
        <v/>
      </c>
      <c r="D6958" s="198" t="inlineStr">
        <is>
          <t>configuração</t>
        </is>
      </c>
    </row>
    <row r="6959">
      <c r="A6959" s="198" t="inlineStr">
        <is>
          <t>custom.melhoria.11.base</t>
        </is>
      </c>
      <c r="B6959" s="198">
        <f>IF(ISBLANK('CONFIGURAÇÃO'!$DD$146),"",'CONFIGURAÇÃO'!$DD$146&amp;"")</f>
        <v/>
      </c>
      <c r="C6959" s="198">
        <f>"'CONFIGURAÇÃO'!DD146"</f>
        <v/>
      </c>
      <c r="D6959" s="198" t="inlineStr">
        <is>
          <t>configuração</t>
        </is>
      </c>
    </row>
    <row r="6960">
      <c r="A6960" s="198" t="inlineStr">
        <is>
          <t>custom.melhoria.11.familia</t>
        </is>
      </c>
      <c r="B6960" s="198">
        <f>IF(ISBLANK('CONFIGURAÇÃO'!$DD$147),"",'CONFIGURAÇÃO'!$DD$147&amp;"")</f>
        <v/>
      </c>
      <c r="C6960" s="198">
        <f>"'CONFIGURAÇÃO'!DD147"</f>
        <v/>
      </c>
      <c r="D6960" s="198" t="inlineStr">
        <is>
          <t>configuração</t>
        </is>
      </c>
    </row>
    <row r="6961">
      <c r="A6961" s="198" t="inlineStr">
        <is>
          <t>custom.melhoria.11.peso</t>
        </is>
      </c>
      <c r="B6961" s="198">
        <f>IF(ISBLANK('CONFIGURAÇÃO'!$DD$148),"",'CONFIGURAÇÃO'!$DD$148&amp;"")</f>
        <v/>
      </c>
      <c r="C6961" s="198">
        <f>"'CONFIGURAÇÃO'!DD148"</f>
        <v/>
      </c>
      <c r="D6961" s="198" t="inlineStr">
        <is>
          <t>configuração</t>
        </is>
      </c>
    </row>
    <row r="6962">
      <c r="A6962" s="198" t="inlineStr">
        <is>
          <t>custom.melhoria.11.exige_tr</t>
        </is>
      </c>
      <c r="B6962" s="198">
        <f>IF(ISBLANK('CONFIGURAÇÃO'!$DD$149),"",'CONFIGURAÇÃO'!$DD$149&amp;"")</f>
        <v/>
      </c>
      <c r="C6962" s="198">
        <f>"'CONFIGURAÇÃO'!DD149"</f>
        <v/>
      </c>
      <c r="D6962" s="198" t="inlineStr">
        <is>
          <t>configuração</t>
        </is>
      </c>
    </row>
    <row r="6963">
      <c r="A6963" s="198" t="inlineStr">
        <is>
          <t>custom.melhoria.11.requisitos</t>
        </is>
      </c>
      <c r="B6963" s="198">
        <f>IF(ISBLANK('CONFIGURAÇÃO'!$DA$152),"",'CONFIGURAÇÃO'!$DA$152&amp;"")</f>
        <v/>
      </c>
      <c r="C6963" s="198">
        <f>"'CONFIGURAÇÃO'!DA152"</f>
        <v/>
      </c>
      <c r="D6963" s="198" t="inlineStr">
        <is>
          <t>configuração</t>
        </is>
      </c>
    </row>
    <row r="6964">
      <c r="A6964" s="198" t="inlineStr">
        <is>
          <t>custom.melhoria.11.efeito</t>
        </is>
      </c>
      <c r="B6964" s="198">
        <f>IF(ISBLANK('CONFIGURAÇÃO'!$DA$158),"",'CONFIGURAÇÃO'!$DA$158&amp;"")</f>
        <v/>
      </c>
      <c r="C6964" s="198">
        <f>"'CONFIGURAÇÃO'!DA158"</f>
        <v/>
      </c>
      <c r="D6964" s="198" t="inlineStr">
        <is>
          <t>configuração</t>
        </is>
      </c>
    </row>
    <row r="6965">
      <c r="A6965" s="198" t="inlineStr">
        <is>
          <t>custom.melhoria.11.mestre_viu</t>
        </is>
      </c>
      <c r="B6965" s="198">
        <f>N('CONFIGURAÇÃO'!$DE$143)&amp;""</f>
        <v/>
      </c>
      <c r="C6965" s="198">
        <f>"'CONFIGURAÇÃO'!DE143"</f>
        <v/>
      </c>
      <c r="D6965" s="198" t="inlineStr">
        <is>
          <t>configuração</t>
        </is>
      </c>
    </row>
    <row r="6966">
      <c r="A6966" s="198" t="inlineStr">
        <is>
          <t>custom.melhoria.12.nome</t>
        </is>
      </c>
      <c r="B6966" s="198">
        <f>IF(ISBLANK('CONFIGURAÇÃO'!$DI$145),"",'CONFIGURAÇÃO'!$DI$145&amp;"")</f>
        <v/>
      </c>
      <c r="C6966" s="198">
        <f>"'CONFIGURAÇÃO'!DI145"</f>
        <v/>
      </c>
      <c r="D6966" s="198" t="inlineStr">
        <is>
          <t>configuração</t>
        </is>
      </c>
    </row>
    <row r="6967">
      <c r="A6967" s="198" t="inlineStr">
        <is>
          <t>custom.melhoria.12.base</t>
        </is>
      </c>
      <c r="B6967" s="198">
        <f>IF(ISBLANK('CONFIGURAÇÃO'!$DL$146),"",'CONFIGURAÇÃO'!$DL$146&amp;"")</f>
        <v/>
      </c>
      <c r="C6967" s="198">
        <f>"'CONFIGURAÇÃO'!DL146"</f>
        <v/>
      </c>
      <c r="D6967" s="198" t="inlineStr">
        <is>
          <t>configuração</t>
        </is>
      </c>
    </row>
    <row r="6968">
      <c r="A6968" s="198" t="inlineStr">
        <is>
          <t>custom.melhoria.12.familia</t>
        </is>
      </c>
      <c r="B6968" s="198">
        <f>IF(ISBLANK('CONFIGURAÇÃO'!$DL$147),"",'CONFIGURAÇÃO'!$DL$147&amp;"")</f>
        <v/>
      </c>
      <c r="C6968" s="198">
        <f>"'CONFIGURAÇÃO'!DL147"</f>
        <v/>
      </c>
      <c r="D6968" s="198" t="inlineStr">
        <is>
          <t>configuração</t>
        </is>
      </c>
    </row>
    <row r="6969">
      <c r="A6969" s="198" t="inlineStr">
        <is>
          <t>custom.melhoria.12.peso</t>
        </is>
      </c>
      <c r="B6969" s="198">
        <f>IF(ISBLANK('CONFIGURAÇÃO'!$DL$148),"",'CONFIGURAÇÃO'!$DL$148&amp;"")</f>
        <v/>
      </c>
      <c r="C6969" s="198">
        <f>"'CONFIGURAÇÃO'!DL148"</f>
        <v/>
      </c>
      <c r="D6969" s="198" t="inlineStr">
        <is>
          <t>configuração</t>
        </is>
      </c>
    </row>
    <row r="6970">
      <c r="A6970" s="198" t="inlineStr">
        <is>
          <t>custom.melhoria.12.exige_tr</t>
        </is>
      </c>
      <c r="B6970" s="198">
        <f>IF(ISBLANK('CONFIGURAÇÃO'!$DL$149),"",'CONFIGURAÇÃO'!$DL$149&amp;"")</f>
        <v/>
      </c>
      <c r="C6970" s="198">
        <f>"'CONFIGURAÇÃO'!DL149"</f>
        <v/>
      </c>
      <c r="D6970" s="198" t="inlineStr">
        <is>
          <t>configuração</t>
        </is>
      </c>
    </row>
    <row r="6971">
      <c r="A6971" s="198" t="inlineStr">
        <is>
          <t>custom.melhoria.12.requisitos</t>
        </is>
      </c>
      <c r="B6971" s="198">
        <f>IF(ISBLANK('CONFIGURAÇÃO'!$DI$152),"",'CONFIGURAÇÃO'!$DI$152&amp;"")</f>
        <v/>
      </c>
      <c r="C6971" s="198">
        <f>"'CONFIGURAÇÃO'!DI152"</f>
        <v/>
      </c>
      <c r="D6971" s="198" t="inlineStr">
        <is>
          <t>configuração</t>
        </is>
      </c>
    </row>
    <row r="6972">
      <c r="A6972" s="198" t="inlineStr">
        <is>
          <t>custom.melhoria.12.efeito</t>
        </is>
      </c>
      <c r="B6972" s="198">
        <f>IF(ISBLANK('CONFIGURAÇÃO'!$DI$158),"",'CONFIGURAÇÃO'!$DI$158&amp;"")</f>
        <v/>
      </c>
      <c r="C6972" s="198">
        <f>"'CONFIGURAÇÃO'!DI158"</f>
        <v/>
      </c>
      <c r="D6972" s="198" t="inlineStr">
        <is>
          <t>configuração</t>
        </is>
      </c>
    </row>
    <row r="6973">
      <c r="A6973" s="198" t="inlineStr">
        <is>
          <t>custom.melhoria.12.mestre_viu</t>
        </is>
      </c>
      <c r="B6973" s="198">
        <f>N('CONFIGURAÇÃO'!$DM$143)&amp;""</f>
        <v/>
      </c>
      <c r="C6973" s="198">
        <f>"'CONFIGURAÇÃO'!DM143"</f>
        <v/>
      </c>
      <c r="D6973" s="198" t="inlineStr">
        <is>
          <t>configuração</t>
        </is>
      </c>
    </row>
    <row r="6974">
      <c r="A6974" s="198" t="inlineStr">
        <is>
          <t>custom.melhoria.13.nome</t>
        </is>
      </c>
      <c r="B6974" s="198">
        <f>IF(ISBLANK('CONFIGURAÇÃO'!$DA$171),"",'CONFIGURAÇÃO'!$DA$171&amp;"")</f>
        <v/>
      </c>
      <c r="C6974" s="198">
        <f>"'CONFIGURAÇÃO'!DA171"</f>
        <v/>
      </c>
      <c r="D6974" s="198" t="inlineStr">
        <is>
          <t>configuração</t>
        </is>
      </c>
    </row>
    <row r="6975">
      <c r="A6975" s="198" t="inlineStr">
        <is>
          <t>custom.melhoria.13.base</t>
        </is>
      </c>
      <c r="B6975" s="198">
        <f>IF(ISBLANK('CONFIGURAÇÃO'!$DD$172),"",'CONFIGURAÇÃO'!$DD$172&amp;"")</f>
        <v/>
      </c>
      <c r="C6975" s="198">
        <f>"'CONFIGURAÇÃO'!DD172"</f>
        <v/>
      </c>
      <c r="D6975" s="198" t="inlineStr">
        <is>
          <t>configuração</t>
        </is>
      </c>
    </row>
    <row r="6976">
      <c r="A6976" s="198" t="inlineStr">
        <is>
          <t>custom.melhoria.13.familia</t>
        </is>
      </c>
      <c r="B6976" s="198">
        <f>IF(ISBLANK('CONFIGURAÇÃO'!$DD$173),"",'CONFIGURAÇÃO'!$DD$173&amp;"")</f>
        <v/>
      </c>
      <c r="C6976" s="198">
        <f>"'CONFIGURAÇÃO'!DD173"</f>
        <v/>
      </c>
      <c r="D6976" s="198" t="inlineStr">
        <is>
          <t>configuração</t>
        </is>
      </c>
    </row>
    <row r="6977">
      <c r="A6977" s="198" t="inlineStr">
        <is>
          <t>custom.melhoria.13.peso</t>
        </is>
      </c>
      <c r="B6977" s="198">
        <f>IF(ISBLANK('CONFIGURAÇÃO'!$DD$174),"",'CONFIGURAÇÃO'!$DD$174&amp;"")</f>
        <v/>
      </c>
      <c r="C6977" s="198">
        <f>"'CONFIGURAÇÃO'!DD174"</f>
        <v/>
      </c>
      <c r="D6977" s="198" t="inlineStr">
        <is>
          <t>configuração</t>
        </is>
      </c>
    </row>
    <row r="6978">
      <c r="A6978" s="198" t="inlineStr">
        <is>
          <t>custom.melhoria.13.exige_tr</t>
        </is>
      </c>
      <c r="B6978" s="198">
        <f>IF(ISBLANK('CONFIGURAÇÃO'!$DD$175),"",'CONFIGURAÇÃO'!$DD$175&amp;"")</f>
        <v/>
      </c>
      <c r="C6978" s="198">
        <f>"'CONFIGURAÇÃO'!DD175"</f>
        <v/>
      </c>
      <c r="D6978" s="198" t="inlineStr">
        <is>
          <t>configuração</t>
        </is>
      </c>
    </row>
    <row r="6979">
      <c r="A6979" s="198" t="inlineStr">
        <is>
          <t>custom.melhoria.13.requisitos</t>
        </is>
      </c>
      <c r="B6979" s="198">
        <f>IF(ISBLANK('CONFIGURAÇÃO'!$DA$178),"",'CONFIGURAÇÃO'!$DA$178&amp;"")</f>
        <v/>
      </c>
      <c r="C6979" s="198">
        <f>"'CONFIGURAÇÃO'!DA178"</f>
        <v/>
      </c>
      <c r="D6979" s="198" t="inlineStr">
        <is>
          <t>configuração</t>
        </is>
      </c>
    </row>
    <row r="6980">
      <c r="A6980" s="198" t="inlineStr">
        <is>
          <t>custom.melhoria.13.efeito</t>
        </is>
      </c>
      <c r="B6980" s="198">
        <f>IF(ISBLANK('CONFIGURAÇÃO'!$DA$184),"",'CONFIGURAÇÃO'!$DA$184&amp;"")</f>
        <v/>
      </c>
      <c r="C6980" s="198">
        <f>"'CONFIGURAÇÃO'!DA184"</f>
        <v/>
      </c>
      <c r="D6980" s="198" t="inlineStr">
        <is>
          <t>configuração</t>
        </is>
      </c>
    </row>
    <row r="6981">
      <c r="A6981" s="198" t="inlineStr">
        <is>
          <t>custom.melhoria.13.mestre_viu</t>
        </is>
      </c>
      <c r="B6981" s="198">
        <f>N('CONFIGURAÇÃO'!$DE$169)&amp;""</f>
        <v/>
      </c>
      <c r="C6981" s="198">
        <f>"'CONFIGURAÇÃO'!DE169"</f>
        <v/>
      </c>
      <c r="D6981" s="198" t="inlineStr">
        <is>
          <t>configuração</t>
        </is>
      </c>
    </row>
    <row r="6982">
      <c r="A6982" s="198" t="inlineStr">
        <is>
          <t>custom.melhoria.14.nome</t>
        </is>
      </c>
      <c r="B6982" s="198">
        <f>IF(ISBLANK('CONFIGURAÇÃO'!$DI$171),"",'CONFIGURAÇÃO'!$DI$171&amp;"")</f>
        <v/>
      </c>
      <c r="C6982" s="198">
        <f>"'CONFIGURAÇÃO'!DI171"</f>
        <v/>
      </c>
      <c r="D6982" s="198" t="inlineStr">
        <is>
          <t>configuração</t>
        </is>
      </c>
    </row>
    <row r="6983">
      <c r="A6983" s="198" t="inlineStr">
        <is>
          <t>custom.melhoria.14.base</t>
        </is>
      </c>
      <c r="B6983" s="198">
        <f>IF(ISBLANK('CONFIGURAÇÃO'!$DL$172),"",'CONFIGURAÇÃO'!$DL$172&amp;"")</f>
        <v/>
      </c>
      <c r="C6983" s="198">
        <f>"'CONFIGURAÇÃO'!DL172"</f>
        <v/>
      </c>
      <c r="D6983" s="198" t="inlineStr">
        <is>
          <t>configuração</t>
        </is>
      </c>
    </row>
    <row r="6984">
      <c r="A6984" s="198" t="inlineStr">
        <is>
          <t>custom.melhoria.14.familia</t>
        </is>
      </c>
      <c r="B6984" s="198">
        <f>IF(ISBLANK('CONFIGURAÇÃO'!$DL$173),"",'CONFIGURAÇÃO'!$DL$173&amp;"")</f>
        <v/>
      </c>
      <c r="C6984" s="198">
        <f>"'CONFIGURAÇÃO'!DL173"</f>
        <v/>
      </c>
      <c r="D6984" s="198" t="inlineStr">
        <is>
          <t>configuração</t>
        </is>
      </c>
    </row>
    <row r="6985">
      <c r="A6985" s="198" t="inlineStr">
        <is>
          <t>custom.melhoria.14.peso</t>
        </is>
      </c>
      <c r="B6985" s="198">
        <f>IF(ISBLANK('CONFIGURAÇÃO'!$DL$174),"",'CONFIGURAÇÃO'!$DL$174&amp;"")</f>
        <v/>
      </c>
      <c r="C6985" s="198">
        <f>"'CONFIGURAÇÃO'!DL174"</f>
        <v/>
      </c>
      <c r="D6985" s="198" t="inlineStr">
        <is>
          <t>configuração</t>
        </is>
      </c>
    </row>
    <row r="6986">
      <c r="A6986" s="198" t="inlineStr">
        <is>
          <t>custom.melhoria.14.exige_tr</t>
        </is>
      </c>
      <c r="B6986" s="198">
        <f>IF(ISBLANK('CONFIGURAÇÃO'!$DL$175),"",'CONFIGURAÇÃO'!$DL$175&amp;"")</f>
        <v/>
      </c>
      <c r="C6986" s="198">
        <f>"'CONFIGURAÇÃO'!DL175"</f>
        <v/>
      </c>
      <c r="D6986" s="198" t="inlineStr">
        <is>
          <t>configuração</t>
        </is>
      </c>
    </row>
    <row r="6987">
      <c r="A6987" s="198" t="inlineStr">
        <is>
          <t>custom.melhoria.14.requisitos</t>
        </is>
      </c>
      <c r="B6987" s="198">
        <f>IF(ISBLANK('CONFIGURAÇÃO'!$DI$178),"",'CONFIGURAÇÃO'!$DI$178&amp;"")</f>
        <v/>
      </c>
      <c r="C6987" s="198">
        <f>"'CONFIGURAÇÃO'!DI178"</f>
        <v/>
      </c>
      <c r="D6987" s="198" t="inlineStr">
        <is>
          <t>configuração</t>
        </is>
      </c>
    </row>
    <row r="6988">
      <c r="A6988" s="198" t="inlineStr">
        <is>
          <t>custom.melhoria.14.efeito</t>
        </is>
      </c>
      <c r="B6988" s="198">
        <f>IF(ISBLANK('CONFIGURAÇÃO'!$DI$184),"",'CONFIGURAÇÃO'!$DI$184&amp;"")</f>
        <v/>
      </c>
      <c r="C6988" s="198">
        <f>"'CONFIGURAÇÃO'!DI184"</f>
        <v/>
      </c>
      <c r="D6988" s="198" t="inlineStr">
        <is>
          <t>configuração</t>
        </is>
      </c>
    </row>
    <row r="6989">
      <c r="A6989" s="198" t="inlineStr">
        <is>
          <t>custom.melhoria.14.mestre_viu</t>
        </is>
      </c>
      <c r="B6989" s="198">
        <f>N('CONFIGURAÇÃO'!$DM$169)&amp;""</f>
        <v/>
      </c>
      <c r="C6989" s="198">
        <f>"'CONFIGURAÇÃO'!DM169"</f>
        <v/>
      </c>
      <c r="D6989" s="198" t="inlineStr">
        <is>
          <t>configuração</t>
        </is>
      </c>
    </row>
    <row r="6990">
      <c r="A6990" s="198" t="inlineStr">
        <is>
          <t>custom.melhoria.15.nome</t>
        </is>
      </c>
      <c r="B6990" s="198">
        <f>IF(ISBLANK('CONFIGURAÇÃO'!$DA$197),"",'CONFIGURAÇÃO'!$DA$197&amp;"")</f>
        <v/>
      </c>
      <c r="C6990" s="198">
        <f>"'CONFIGURAÇÃO'!DA197"</f>
        <v/>
      </c>
      <c r="D6990" s="198" t="inlineStr">
        <is>
          <t>configuração</t>
        </is>
      </c>
    </row>
    <row r="6991">
      <c r="A6991" s="198" t="inlineStr">
        <is>
          <t>custom.melhoria.15.base</t>
        </is>
      </c>
      <c r="B6991" s="198">
        <f>IF(ISBLANK('CONFIGURAÇÃO'!$DD$198),"",'CONFIGURAÇÃO'!$DD$198&amp;"")</f>
        <v/>
      </c>
      <c r="C6991" s="198">
        <f>"'CONFIGURAÇÃO'!DD198"</f>
        <v/>
      </c>
      <c r="D6991" s="198" t="inlineStr">
        <is>
          <t>configuração</t>
        </is>
      </c>
    </row>
    <row r="6992">
      <c r="A6992" s="198" t="inlineStr">
        <is>
          <t>custom.melhoria.15.familia</t>
        </is>
      </c>
      <c r="B6992" s="198">
        <f>IF(ISBLANK('CONFIGURAÇÃO'!$DD$199),"",'CONFIGURAÇÃO'!$DD$199&amp;"")</f>
        <v/>
      </c>
      <c r="C6992" s="198">
        <f>"'CONFIGURAÇÃO'!DD199"</f>
        <v/>
      </c>
      <c r="D6992" s="198" t="inlineStr">
        <is>
          <t>configuração</t>
        </is>
      </c>
    </row>
    <row r="6993">
      <c r="A6993" s="198" t="inlineStr">
        <is>
          <t>custom.melhoria.15.peso</t>
        </is>
      </c>
      <c r="B6993" s="198">
        <f>IF(ISBLANK('CONFIGURAÇÃO'!$DD$200),"",'CONFIGURAÇÃO'!$DD$200&amp;"")</f>
        <v/>
      </c>
      <c r="C6993" s="198">
        <f>"'CONFIGURAÇÃO'!DD200"</f>
        <v/>
      </c>
      <c r="D6993" s="198" t="inlineStr">
        <is>
          <t>configuração</t>
        </is>
      </c>
    </row>
    <row r="6994">
      <c r="A6994" s="198" t="inlineStr">
        <is>
          <t>custom.melhoria.15.exige_tr</t>
        </is>
      </c>
      <c r="B6994" s="198">
        <f>IF(ISBLANK('CONFIGURAÇÃO'!$DD$201),"",'CONFIGURAÇÃO'!$DD$201&amp;"")</f>
        <v/>
      </c>
      <c r="C6994" s="198">
        <f>"'CONFIGURAÇÃO'!DD201"</f>
        <v/>
      </c>
      <c r="D6994" s="198" t="inlineStr">
        <is>
          <t>configuração</t>
        </is>
      </c>
    </row>
    <row r="6995">
      <c r="A6995" s="198" t="inlineStr">
        <is>
          <t>custom.melhoria.15.requisitos</t>
        </is>
      </c>
      <c r="B6995" s="198">
        <f>IF(ISBLANK('CONFIGURAÇÃO'!$DA$204),"",'CONFIGURAÇÃO'!$DA$204&amp;"")</f>
        <v/>
      </c>
      <c r="C6995" s="198">
        <f>"'CONFIGURAÇÃO'!DA204"</f>
        <v/>
      </c>
      <c r="D6995" s="198" t="inlineStr">
        <is>
          <t>configuração</t>
        </is>
      </c>
    </row>
    <row r="6996">
      <c r="A6996" s="198" t="inlineStr">
        <is>
          <t>custom.melhoria.15.efeito</t>
        </is>
      </c>
      <c r="B6996" s="198">
        <f>IF(ISBLANK('CONFIGURAÇÃO'!$DA$210),"",'CONFIGURAÇÃO'!$DA$210&amp;"")</f>
        <v/>
      </c>
      <c r="C6996" s="198">
        <f>"'CONFIGURAÇÃO'!DA210"</f>
        <v/>
      </c>
      <c r="D6996" s="198" t="inlineStr">
        <is>
          <t>configuração</t>
        </is>
      </c>
    </row>
    <row r="6997">
      <c r="A6997" s="198" t="inlineStr">
        <is>
          <t>custom.melhoria.15.mestre_viu</t>
        </is>
      </c>
      <c r="B6997" s="198">
        <f>N('CONFIGURAÇÃO'!$DE$195)&amp;""</f>
        <v/>
      </c>
      <c r="C6997" s="198">
        <f>"'CONFIGURAÇÃO'!DE195"</f>
        <v/>
      </c>
      <c r="D6997" s="198" t="inlineStr">
        <is>
          <t>configuração</t>
        </is>
      </c>
    </row>
    <row r="6998">
      <c r="A6998" s="198" t="inlineStr">
        <is>
          <t>custom.melhoria.16.nome</t>
        </is>
      </c>
      <c r="B6998" s="198">
        <f>IF(ISBLANK('CONFIGURAÇÃO'!$DI$197),"",'CONFIGURAÇÃO'!$DI$197&amp;"")</f>
        <v/>
      </c>
      <c r="C6998" s="198">
        <f>"'CONFIGURAÇÃO'!DI197"</f>
        <v/>
      </c>
      <c r="D6998" s="198" t="inlineStr">
        <is>
          <t>configuração</t>
        </is>
      </c>
    </row>
    <row r="6999">
      <c r="A6999" s="198" t="inlineStr">
        <is>
          <t>custom.melhoria.16.base</t>
        </is>
      </c>
      <c r="B6999" s="198">
        <f>IF(ISBLANK('CONFIGURAÇÃO'!$DL$198),"",'CONFIGURAÇÃO'!$DL$198&amp;"")</f>
        <v/>
      </c>
      <c r="C6999" s="198">
        <f>"'CONFIGURAÇÃO'!DL198"</f>
        <v/>
      </c>
      <c r="D6999" s="198" t="inlineStr">
        <is>
          <t>configuração</t>
        </is>
      </c>
    </row>
    <row r="7000">
      <c r="A7000" s="198" t="inlineStr">
        <is>
          <t>custom.melhoria.16.familia</t>
        </is>
      </c>
      <c r="B7000" s="198">
        <f>IF(ISBLANK('CONFIGURAÇÃO'!$DL$199),"",'CONFIGURAÇÃO'!$DL$199&amp;"")</f>
        <v/>
      </c>
      <c r="C7000" s="198">
        <f>"'CONFIGURAÇÃO'!DL199"</f>
        <v/>
      </c>
      <c r="D7000" s="198" t="inlineStr">
        <is>
          <t>configuração</t>
        </is>
      </c>
    </row>
    <row r="7001">
      <c r="A7001" s="198" t="inlineStr">
        <is>
          <t>custom.melhoria.16.peso</t>
        </is>
      </c>
      <c r="B7001" s="198">
        <f>IF(ISBLANK('CONFIGURAÇÃO'!$DL$200),"",'CONFIGURAÇÃO'!$DL$200&amp;"")</f>
        <v/>
      </c>
      <c r="C7001" s="198">
        <f>"'CONFIGURAÇÃO'!DL200"</f>
        <v/>
      </c>
      <c r="D7001" s="198" t="inlineStr">
        <is>
          <t>configuração</t>
        </is>
      </c>
    </row>
    <row r="7002">
      <c r="A7002" s="198" t="inlineStr">
        <is>
          <t>custom.melhoria.16.exige_tr</t>
        </is>
      </c>
      <c r="B7002" s="198">
        <f>IF(ISBLANK('CONFIGURAÇÃO'!$DL$201),"",'CONFIGURAÇÃO'!$DL$201&amp;"")</f>
        <v/>
      </c>
      <c r="C7002" s="198">
        <f>"'CONFIGURAÇÃO'!DL201"</f>
        <v/>
      </c>
      <c r="D7002" s="198" t="inlineStr">
        <is>
          <t>configuração</t>
        </is>
      </c>
    </row>
    <row r="7003">
      <c r="A7003" s="198" t="inlineStr">
        <is>
          <t>custom.melhoria.16.requisitos</t>
        </is>
      </c>
      <c r="B7003" s="198">
        <f>IF(ISBLANK('CONFIGURAÇÃO'!$DI$204),"",'CONFIGURAÇÃO'!$DI$204&amp;"")</f>
        <v/>
      </c>
      <c r="C7003" s="198">
        <f>"'CONFIGURAÇÃO'!DI204"</f>
        <v/>
      </c>
      <c r="D7003" s="198" t="inlineStr">
        <is>
          <t>configuração</t>
        </is>
      </c>
    </row>
    <row r="7004">
      <c r="A7004" s="198" t="inlineStr">
        <is>
          <t>custom.melhoria.16.efeito</t>
        </is>
      </c>
      <c r="B7004" s="198">
        <f>IF(ISBLANK('CONFIGURAÇÃO'!$DI$210),"",'CONFIGURAÇÃO'!$DI$210&amp;"")</f>
        <v/>
      </c>
      <c r="C7004" s="198">
        <f>"'CONFIGURAÇÃO'!DI210"</f>
        <v/>
      </c>
      <c r="D7004" s="198" t="inlineStr">
        <is>
          <t>configuração</t>
        </is>
      </c>
    </row>
    <row r="7005">
      <c r="A7005" s="198" t="inlineStr">
        <is>
          <t>custom.melhoria.16.mestre_viu</t>
        </is>
      </c>
      <c r="B7005" s="198">
        <f>N('CONFIGURAÇÃO'!$DM$195)&amp;""</f>
        <v/>
      </c>
      <c r="C7005" s="198">
        <f>"'CONFIGURAÇÃO'!DM195"</f>
        <v/>
      </c>
      <c r="D7005" s="198" t="inlineStr">
        <is>
          <t>configuração</t>
        </is>
      </c>
    </row>
    <row r="7006">
      <c r="A7006" s="198" t="inlineStr">
        <is>
          <t>custom.melhoria.17.nome</t>
        </is>
      </c>
      <c r="B7006" s="198">
        <f>IF(ISBLANK('CONFIGURAÇÃO'!$DA$223),"",'CONFIGURAÇÃO'!$DA$223&amp;"")</f>
        <v/>
      </c>
      <c r="C7006" s="198">
        <f>"'CONFIGURAÇÃO'!DA223"</f>
        <v/>
      </c>
      <c r="D7006" s="198" t="inlineStr">
        <is>
          <t>configuração</t>
        </is>
      </c>
    </row>
    <row r="7007">
      <c r="A7007" s="198" t="inlineStr">
        <is>
          <t>custom.melhoria.17.base</t>
        </is>
      </c>
      <c r="B7007" s="198">
        <f>IF(ISBLANK('CONFIGURAÇÃO'!$DD$224),"",'CONFIGURAÇÃO'!$DD$224&amp;"")</f>
        <v/>
      </c>
      <c r="C7007" s="198">
        <f>"'CONFIGURAÇÃO'!DD224"</f>
        <v/>
      </c>
      <c r="D7007" s="198" t="inlineStr">
        <is>
          <t>configuração</t>
        </is>
      </c>
    </row>
    <row r="7008">
      <c r="A7008" s="198" t="inlineStr">
        <is>
          <t>custom.melhoria.17.familia</t>
        </is>
      </c>
      <c r="B7008" s="198">
        <f>IF(ISBLANK('CONFIGURAÇÃO'!$DD$225),"",'CONFIGURAÇÃO'!$DD$225&amp;"")</f>
        <v/>
      </c>
      <c r="C7008" s="198">
        <f>"'CONFIGURAÇÃO'!DD225"</f>
        <v/>
      </c>
      <c r="D7008" s="198" t="inlineStr">
        <is>
          <t>configuração</t>
        </is>
      </c>
    </row>
    <row r="7009">
      <c r="A7009" s="198" t="inlineStr">
        <is>
          <t>custom.melhoria.17.peso</t>
        </is>
      </c>
      <c r="B7009" s="198">
        <f>IF(ISBLANK('CONFIGURAÇÃO'!$DD$226),"",'CONFIGURAÇÃO'!$DD$226&amp;"")</f>
        <v/>
      </c>
      <c r="C7009" s="198">
        <f>"'CONFIGURAÇÃO'!DD226"</f>
        <v/>
      </c>
      <c r="D7009" s="198" t="inlineStr">
        <is>
          <t>configuração</t>
        </is>
      </c>
    </row>
    <row r="7010">
      <c r="A7010" s="198" t="inlineStr">
        <is>
          <t>custom.melhoria.17.exige_tr</t>
        </is>
      </c>
      <c r="B7010" s="198">
        <f>IF(ISBLANK('CONFIGURAÇÃO'!$DD$227),"",'CONFIGURAÇÃO'!$DD$227&amp;"")</f>
        <v/>
      </c>
      <c r="C7010" s="198">
        <f>"'CONFIGURAÇÃO'!DD227"</f>
        <v/>
      </c>
      <c r="D7010" s="198" t="inlineStr">
        <is>
          <t>configuração</t>
        </is>
      </c>
    </row>
    <row r="7011">
      <c r="A7011" s="198" t="inlineStr">
        <is>
          <t>custom.melhoria.17.requisitos</t>
        </is>
      </c>
      <c r="B7011" s="198">
        <f>IF(ISBLANK('CONFIGURAÇÃO'!$DA$230),"",'CONFIGURAÇÃO'!$DA$230&amp;"")</f>
        <v/>
      </c>
      <c r="C7011" s="198">
        <f>"'CONFIGURAÇÃO'!DA230"</f>
        <v/>
      </c>
      <c r="D7011" s="198" t="inlineStr">
        <is>
          <t>configuração</t>
        </is>
      </c>
    </row>
    <row r="7012">
      <c r="A7012" s="198" t="inlineStr">
        <is>
          <t>custom.melhoria.17.efeito</t>
        </is>
      </c>
      <c r="B7012" s="198">
        <f>IF(ISBLANK('CONFIGURAÇÃO'!$DA$236),"",'CONFIGURAÇÃO'!$DA$236&amp;"")</f>
        <v/>
      </c>
      <c r="C7012" s="198">
        <f>"'CONFIGURAÇÃO'!DA236"</f>
        <v/>
      </c>
      <c r="D7012" s="198" t="inlineStr">
        <is>
          <t>configuração</t>
        </is>
      </c>
    </row>
    <row r="7013">
      <c r="A7013" s="198" t="inlineStr">
        <is>
          <t>custom.melhoria.17.mestre_viu</t>
        </is>
      </c>
      <c r="B7013" s="198">
        <f>N('CONFIGURAÇÃO'!$DE$221)&amp;""</f>
        <v/>
      </c>
      <c r="C7013" s="198">
        <f>"'CONFIGURAÇÃO'!DE221"</f>
        <v/>
      </c>
      <c r="D7013" s="198" t="inlineStr">
        <is>
          <t>configuração</t>
        </is>
      </c>
    </row>
    <row r="7014">
      <c r="A7014" s="198" t="inlineStr">
        <is>
          <t>custom.melhoria.18.nome</t>
        </is>
      </c>
      <c r="B7014" s="198">
        <f>IF(ISBLANK('CONFIGURAÇÃO'!$DI$223),"",'CONFIGURAÇÃO'!$DI$223&amp;"")</f>
        <v/>
      </c>
      <c r="C7014" s="198">
        <f>"'CONFIGURAÇÃO'!DI223"</f>
        <v/>
      </c>
      <c r="D7014" s="198" t="inlineStr">
        <is>
          <t>configuração</t>
        </is>
      </c>
    </row>
    <row r="7015">
      <c r="A7015" s="198" t="inlineStr">
        <is>
          <t>custom.melhoria.18.base</t>
        </is>
      </c>
      <c r="B7015" s="198">
        <f>IF(ISBLANK('CONFIGURAÇÃO'!$DL$224),"",'CONFIGURAÇÃO'!$DL$224&amp;"")</f>
        <v/>
      </c>
      <c r="C7015" s="198">
        <f>"'CONFIGURAÇÃO'!DL224"</f>
        <v/>
      </c>
      <c r="D7015" s="198" t="inlineStr">
        <is>
          <t>configuração</t>
        </is>
      </c>
    </row>
    <row r="7016">
      <c r="A7016" s="198" t="inlineStr">
        <is>
          <t>custom.melhoria.18.familia</t>
        </is>
      </c>
      <c r="B7016" s="198">
        <f>IF(ISBLANK('CONFIGURAÇÃO'!$DL$225),"",'CONFIGURAÇÃO'!$DL$225&amp;"")</f>
        <v/>
      </c>
      <c r="C7016" s="198">
        <f>"'CONFIGURAÇÃO'!DL225"</f>
        <v/>
      </c>
      <c r="D7016" s="198" t="inlineStr">
        <is>
          <t>configuração</t>
        </is>
      </c>
    </row>
    <row r="7017">
      <c r="A7017" s="198" t="inlineStr">
        <is>
          <t>custom.melhoria.18.peso</t>
        </is>
      </c>
      <c r="B7017" s="198">
        <f>IF(ISBLANK('CONFIGURAÇÃO'!$DL$226),"",'CONFIGURAÇÃO'!$DL$226&amp;"")</f>
        <v/>
      </c>
      <c r="C7017" s="198">
        <f>"'CONFIGURAÇÃO'!DL226"</f>
        <v/>
      </c>
      <c r="D7017" s="198" t="inlineStr">
        <is>
          <t>configuração</t>
        </is>
      </c>
    </row>
    <row r="7018">
      <c r="A7018" s="198" t="inlineStr">
        <is>
          <t>custom.melhoria.18.exige_tr</t>
        </is>
      </c>
      <c r="B7018" s="198">
        <f>IF(ISBLANK('CONFIGURAÇÃO'!$DL$227),"",'CONFIGURAÇÃO'!$DL$227&amp;"")</f>
        <v/>
      </c>
      <c r="C7018" s="198">
        <f>"'CONFIGURAÇÃO'!DL227"</f>
        <v/>
      </c>
      <c r="D7018" s="198" t="inlineStr">
        <is>
          <t>configuração</t>
        </is>
      </c>
    </row>
    <row r="7019">
      <c r="A7019" s="198" t="inlineStr">
        <is>
          <t>custom.melhoria.18.requisitos</t>
        </is>
      </c>
      <c r="B7019" s="198">
        <f>IF(ISBLANK('CONFIGURAÇÃO'!$DI$230),"",'CONFIGURAÇÃO'!$DI$230&amp;"")</f>
        <v/>
      </c>
      <c r="C7019" s="198">
        <f>"'CONFIGURAÇÃO'!DI230"</f>
        <v/>
      </c>
      <c r="D7019" s="198" t="inlineStr">
        <is>
          <t>configuração</t>
        </is>
      </c>
    </row>
    <row r="7020">
      <c r="A7020" s="198" t="inlineStr">
        <is>
          <t>custom.melhoria.18.efeito</t>
        </is>
      </c>
      <c r="B7020" s="198">
        <f>IF(ISBLANK('CONFIGURAÇÃO'!$DI$236),"",'CONFIGURAÇÃO'!$DI$236&amp;"")</f>
        <v/>
      </c>
      <c r="C7020" s="198">
        <f>"'CONFIGURAÇÃO'!DI236"</f>
        <v/>
      </c>
      <c r="D7020" s="198" t="inlineStr">
        <is>
          <t>configuração</t>
        </is>
      </c>
    </row>
    <row r="7021">
      <c r="A7021" s="198" t="inlineStr">
        <is>
          <t>custom.melhoria.18.mestre_viu</t>
        </is>
      </c>
      <c r="B7021" s="198">
        <f>N('CONFIGURAÇÃO'!$DM$221)&amp;""</f>
        <v/>
      </c>
      <c r="C7021" s="198">
        <f>"'CONFIGURAÇÃO'!DM221"</f>
        <v/>
      </c>
      <c r="D7021" s="198" t="inlineStr">
        <is>
          <t>configuração</t>
        </is>
      </c>
    </row>
    <row r="7022">
      <c r="A7022" s="198" t="inlineStr">
        <is>
          <t>custom.melhoria.19.nome</t>
        </is>
      </c>
      <c r="B7022" s="198">
        <f>IF(ISBLANK('CONFIGURAÇÃO'!$DA$249),"",'CONFIGURAÇÃO'!$DA$249&amp;"")</f>
        <v/>
      </c>
      <c r="C7022" s="198">
        <f>"'CONFIGURAÇÃO'!DA249"</f>
        <v/>
      </c>
      <c r="D7022" s="198" t="inlineStr">
        <is>
          <t>configuração</t>
        </is>
      </c>
    </row>
    <row r="7023">
      <c r="A7023" s="198" t="inlineStr">
        <is>
          <t>custom.melhoria.19.base</t>
        </is>
      </c>
      <c r="B7023" s="198">
        <f>IF(ISBLANK('CONFIGURAÇÃO'!$DD$250),"",'CONFIGURAÇÃO'!$DD$250&amp;"")</f>
        <v/>
      </c>
      <c r="C7023" s="198">
        <f>"'CONFIGURAÇÃO'!DD250"</f>
        <v/>
      </c>
      <c r="D7023" s="198" t="inlineStr">
        <is>
          <t>configuração</t>
        </is>
      </c>
    </row>
    <row r="7024">
      <c r="A7024" s="198" t="inlineStr">
        <is>
          <t>custom.melhoria.19.familia</t>
        </is>
      </c>
      <c r="B7024" s="198">
        <f>IF(ISBLANK('CONFIGURAÇÃO'!$DD$251),"",'CONFIGURAÇÃO'!$DD$251&amp;"")</f>
        <v/>
      </c>
      <c r="C7024" s="198">
        <f>"'CONFIGURAÇÃO'!DD251"</f>
        <v/>
      </c>
      <c r="D7024" s="198" t="inlineStr">
        <is>
          <t>configuração</t>
        </is>
      </c>
    </row>
    <row r="7025">
      <c r="A7025" s="198" t="inlineStr">
        <is>
          <t>custom.melhoria.19.peso</t>
        </is>
      </c>
      <c r="B7025" s="198">
        <f>IF(ISBLANK('CONFIGURAÇÃO'!$DD$252),"",'CONFIGURAÇÃO'!$DD$252&amp;"")</f>
        <v/>
      </c>
      <c r="C7025" s="198">
        <f>"'CONFIGURAÇÃO'!DD252"</f>
        <v/>
      </c>
      <c r="D7025" s="198" t="inlineStr">
        <is>
          <t>configuração</t>
        </is>
      </c>
    </row>
    <row r="7026">
      <c r="A7026" s="198" t="inlineStr">
        <is>
          <t>custom.melhoria.19.exige_tr</t>
        </is>
      </c>
      <c r="B7026" s="198">
        <f>IF(ISBLANK('CONFIGURAÇÃO'!$DD$253),"",'CONFIGURAÇÃO'!$DD$253&amp;"")</f>
        <v/>
      </c>
      <c r="C7026" s="198">
        <f>"'CONFIGURAÇÃO'!DD253"</f>
        <v/>
      </c>
      <c r="D7026" s="198" t="inlineStr">
        <is>
          <t>configuração</t>
        </is>
      </c>
    </row>
    <row r="7027">
      <c r="A7027" s="198" t="inlineStr">
        <is>
          <t>custom.melhoria.19.requisitos</t>
        </is>
      </c>
      <c r="B7027" s="198">
        <f>IF(ISBLANK('CONFIGURAÇÃO'!$DA$256),"",'CONFIGURAÇÃO'!$DA$256&amp;"")</f>
        <v/>
      </c>
      <c r="C7027" s="198">
        <f>"'CONFIGURAÇÃO'!DA256"</f>
        <v/>
      </c>
      <c r="D7027" s="198" t="inlineStr">
        <is>
          <t>configuração</t>
        </is>
      </c>
    </row>
    <row r="7028">
      <c r="A7028" s="198" t="inlineStr">
        <is>
          <t>custom.melhoria.19.efeito</t>
        </is>
      </c>
      <c r="B7028" s="198">
        <f>IF(ISBLANK('CONFIGURAÇÃO'!$DA$262),"",'CONFIGURAÇÃO'!$DA$262&amp;"")</f>
        <v/>
      </c>
      <c r="C7028" s="198">
        <f>"'CONFIGURAÇÃO'!DA262"</f>
        <v/>
      </c>
      <c r="D7028" s="198" t="inlineStr">
        <is>
          <t>configuração</t>
        </is>
      </c>
    </row>
    <row r="7029">
      <c r="A7029" s="198" t="inlineStr">
        <is>
          <t>custom.melhoria.19.mestre_viu</t>
        </is>
      </c>
      <c r="B7029" s="198">
        <f>N('CONFIGURAÇÃO'!$DE$247)&amp;""</f>
        <v/>
      </c>
      <c r="C7029" s="198">
        <f>"'CONFIGURAÇÃO'!DE247"</f>
        <v/>
      </c>
      <c r="D7029" s="198" t="inlineStr">
        <is>
          <t>configuração</t>
        </is>
      </c>
    </row>
    <row r="7030">
      <c r="A7030" s="198" t="inlineStr">
        <is>
          <t>custom.melhoria.20.nome</t>
        </is>
      </c>
      <c r="B7030" s="198">
        <f>IF(ISBLANK('CONFIGURAÇÃO'!$DI$249),"",'CONFIGURAÇÃO'!$DI$249&amp;"")</f>
        <v/>
      </c>
      <c r="C7030" s="198">
        <f>"'CONFIGURAÇÃO'!DI249"</f>
        <v/>
      </c>
      <c r="D7030" s="198" t="inlineStr">
        <is>
          <t>configuração</t>
        </is>
      </c>
    </row>
    <row r="7031">
      <c r="A7031" s="198" t="inlineStr">
        <is>
          <t>custom.melhoria.20.base</t>
        </is>
      </c>
      <c r="B7031" s="198">
        <f>IF(ISBLANK('CONFIGURAÇÃO'!$DL$250),"",'CONFIGURAÇÃO'!$DL$250&amp;"")</f>
        <v/>
      </c>
      <c r="C7031" s="198">
        <f>"'CONFIGURAÇÃO'!DL250"</f>
        <v/>
      </c>
      <c r="D7031" s="198" t="inlineStr">
        <is>
          <t>configuração</t>
        </is>
      </c>
    </row>
    <row r="7032">
      <c r="A7032" s="198" t="inlineStr">
        <is>
          <t>custom.melhoria.20.familia</t>
        </is>
      </c>
      <c r="B7032" s="198">
        <f>IF(ISBLANK('CONFIGURAÇÃO'!$DL$251),"",'CONFIGURAÇÃO'!$DL$251&amp;"")</f>
        <v/>
      </c>
      <c r="C7032" s="198">
        <f>"'CONFIGURAÇÃO'!DL251"</f>
        <v/>
      </c>
      <c r="D7032" s="198" t="inlineStr">
        <is>
          <t>configuração</t>
        </is>
      </c>
    </row>
    <row r="7033">
      <c r="A7033" s="198" t="inlineStr">
        <is>
          <t>custom.melhoria.20.peso</t>
        </is>
      </c>
      <c r="B7033" s="198">
        <f>IF(ISBLANK('CONFIGURAÇÃO'!$DL$252),"",'CONFIGURAÇÃO'!$DL$252&amp;"")</f>
        <v/>
      </c>
      <c r="C7033" s="198">
        <f>"'CONFIGURAÇÃO'!DL252"</f>
        <v/>
      </c>
      <c r="D7033" s="198" t="inlineStr">
        <is>
          <t>configuração</t>
        </is>
      </c>
    </row>
    <row r="7034">
      <c r="A7034" s="198" t="inlineStr">
        <is>
          <t>custom.melhoria.20.exige_tr</t>
        </is>
      </c>
      <c r="B7034" s="198">
        <f>IF(ISBLANK('CONFIGURAÇÃO'!$DL$253),"",'CONFIGURAÇÃO'!$DL$253&amp;"")</f>
        <v/>
      </c>
      <c r="C7034" s="198">
        <f>"'CONFIGURAÇÃO'!DL253"</f>
        <v/>
      </c>
      <c r="D7034" s="198" t="inlineStr">
        <is>
          <t>configuração</t>
        </is>
      </c>
    </row>
    <row r="7035">
      <c r="A7035" s="198" t="inlineStr">
        <is>
          <t>custom.melhoria.20.requisitos</t>
        </is>
      </c>
      <c r="B7035" s="198">
        <f>IF(ISBLANK('CONFIGURAÇÃO'!$DI$256),"",'CONFIGURAÇÃO'!$DI$256&amp;"")</f>
        <v/>
      </c>
      <c r="C7035" s="198">
        <f>"'CONFIGURAÇÃO'!DI256"</f>
        <v/>
      </c>
      <c r="D7035" s="198" t="inlineStr">
        <is>
          <t>configuração</t>
        </is>
      </c>
    </row>
    <row r="7036">
      <c r="A7036" s="198" t="inlineStr">
        <is>
          <t>custom.melhoria.20.efeito</t>
        </is>
      </c>
      <c r="B7036" s="198">
        <f>IF(ISBLANK('CONFIGURAÇÃO'!$DI$262),"",'CONFIGURAÇÃO'!$DI$262&amp;"")</f>
        <v/>
      </c>
      <c r="C7036" s="198">
        <f>"'CONFIGURAÇÃO'!DI262"</f>
        <v/>
      </c>
      <c r="D7036" s="198" t="inlineStr">
        <is>
          <t>configuração</t>
        </is>
      </c>
    </row>
    <row r="7037">
      <c r="A7037" s="198" t="inlineStr">
        <is>
          <t>custom.melhoria.20.mestre_viu</t>
        </is>
      </c>
      <c r="B7037" s="198">
        <f>N('CONFIGURAÇÃO'!$DM$247)&amp;""</f>
        <v/>
      </c>
      <c r="C7037" s="198">
        <f>"'CONFIGURAÇÃO'!DM247"</f>
        <v/>
      </c>
      <c r="D7037" s="198" t="inlineStr">
        <is>
          <t>configuração</t>
        </is>
      </c>
    </row>
    <row r="7038">
      <c r="A7038" s="198" t="inlineStr">
        <is>
          <t>custom.melhoria.21.nome</t>
        </is>
      </c>
      <c r="B7038" s="198">
        <f>IF(ISBLANK('CONFIGURAÇÃO'!$DA$275),"",'CONFIGURAÇÃO'!$DA$275&amp;"")</f>
        <v/>
      </c>
      <c r="C7038" s="198">
        <f>"'CONFIGURAÇÃO'!DA275"</f>
        <v/>
      </c>
      <c r="D7038" s="198" t="inlineStr">
        <is>
          <t>configuração</t>
        </is>
      </c>
    </row>
    <row r="7039">
      <c r="A7039" s="198" t="inlineStr">
        <is>
          <t>custom.melhoria.21.base</t>
        </is>
      </c>
      <c r="B7039" s="198">
        <f>IF(ISBLANK('CONFIGURAÇÃO'!$DD$276),"",'CONFIGURAÇÃO'!$DD$276&amp;"")</f>
        <v/>
      </c>
      <c r="C7039" s="198">
        <f>"'CONFIGURAÇÃO'!DD276"</f>
        <v/>
      </c>
      <c r="D7039" s="198" t="inlineStr">
        <is>
          <t>configuração</t>
        </is>
      </c>
    </row>
    <row r="7040">
      <c r="A7040" s="198" t="inlineStr">
        <is>
          <t>custom.melhoria.21.familia</t>
        </is>
      </c>
      <c r="B7040" s="198">
        <f>IF(ISBLANK('CONFIGURAÇÃO'!$DD$277),"",'CONFIGURAÇÃO'!$DD$277&amp;"")</f>
        <v/>
      </c>
      <c r="C7040" s="198">
        <f>"'CONFIGURAÇÃO'!DD277"</f>
        <v/>
      </c>
      <c r="D7040" s="198" t="inlineStr">
        <is>
          <t>configuração</t>
        </is>
      </c>
    </row>
    <row r="7041">
      <c r="A7041" s="198" t="inlineStr">
        <is>
          <t>custom.melhoria.21.peso</t>
        </is>
      </c>
      <c r="B7041" s="198">
        <f>IF(ISBLANK('CONFIGURAÇÃO'!$DD$278),"",'CONFIGURAÇÃO'!$DD$278&amp;"")</f>
        <v/>
      </c>
      <c r="C7041" s="198">
        <f>"'CONFIGURAÇÃO'!DD278"</f>
        <v/>
      </c>
      <c r="D7041" s="198" t="inlineStr">
        <is>
          <t>configuração</t>
        </is>
      </c>
    </row>
    <row r="7042">
      <c r="A7042" s="198" t="inlineStr">
        <is>
          <t>custom.melhoria.21.exige_tr</t>
        </is>
      </c>
      <c r="B7042" s="198">
        <f>IF(ISBLANK('CONFIGURAÇÃO'!$DD$279),"",'CONFIGURAÇÃO'!$DD$279&amp;"")</f>
        <v/>
      </c>
      <c r="C7042" s="198">
        <f>"'CONFIGURAÇÃO'!DD279"</f>
        <v/>
      </c>
      <c r="D7042" s="198" t="inlineStr">
        <is>
          <t>configuração</t>
        </is>
      </c>
    </row>
    <row r="7043">
      <c r="A7043" s="198" t="inlineStr">
        <is>
          <t>custom.melhoria.21.requisitos</t>
        </is>
      </c>
      <c r="B7043" s="198">
        <f>IF(ISBLANK('CONFIGURAÇÃO'!$DA$282),"",'CONFIGURAÇÃO'!$DA$282&amp;"")</f>
        <v/>
      </c>
      <c r="C7043" s="198">
        <f>"'CONFIGURAÇÃO'!DA282"</f>
        <v/>
      </c>
      <c r="D7043" s="198" t="inlineStr">
        <is>
          <t>configuração</t>
        </is>
      </c>
    </row>
    <row r="7044">
      <c r="A7044" s="198" t="inlineStr">
        <is>
          <t>custom.melhoria.21.efeito</t>
        </is>
      </c>
      <c r="B7044" s="198">
        <f>IF(ISBLANK('CONFIGURAÇÃO'!$DA$288),"",'CONFIGURAÇÃO'!$DA$288&amp;"")</f>
        <v/>
      </c>
      <c r="C7044" s="198">
        <f>"'CONFIGURAÇÃO'!DA288"</f>
        <v/>
      </c>
      <c r="D7044" s="198" t="inlineStr">
        <is>
          <t>configuração</t>
        </is>
      </c>
    </row>
    <row r="7045">
      <c r="A7045" s="198" t="inlineStr">
        <is>
          <t>custom.melhoria.21.mestre_viu</t>
        </is>
      </c>
      <c r="B7045" s="198">
        <f>N('CONFIGURAÇÃO'!$DE$273)&amp;""</f>
        <v/>
      </c>
      <c r="C7045" s="198">
        <f>"'CONFIGURAÇÃO'!DE273"</f>
        <v/>
      </c>
      <c r="D7045" s="198" t="inlineStr">
        <is>
          <t>configuração</t>
        </is>
      </c>
    </row>
    <row r="7046">
      <c r="A7046" s="198" t="inlineStr">
        <is>
          <t>custom.melhoria.22.nome</t>
        </is>
      </c>
      <c r="B7046" s="198">
        <f>IF(ISBLANK('CONFIGURAÇÃO'!$DI$275),"",'CONFIGURAÇÃO'!$DI$275&amp;"")</f>
        <v/>
      </c>
      <c r="C7046" s="198">
        <f>"'CONFIGURAÇÃO'!DI275"</f>
        <v/>
      </c>
      <c r="D7046" s="198" t="inlineStr">
        <is>
          <t>configuração</t>
        </is>
      </c>
    </row>
    <row r="7047">
      <c r="A7047" s="198" t="inlineStr">
        <is>
          <t>custom.melhoria.22.base</t>
        </is>
      </c>
      <c r="B7047" s="198">
        <f>IF(ISBLANK('CONFIGURAÇÃO'!$DL$276),"",'CONFIGURAÇÃO'!$DL$276&amp;"")</f>
        <v/>
      </c>
      <c r="C7047" s="198">
        <f>"'CONFIGURAÇÃO'!DL276"</f>
        <v/>
      </c>
      <c r="D7047" s="198" t="inlineStr">
        <is>
          <t>configuração</t>
        </is>
      </c>
    </row>
    <row r="7048">
      <c r="A7048" s="198" t="inlineStr">
        <is>
          <t>custom.melhoria.22.familia</t>
        </is>
      </c>
      <c r="B7048" s="198">
        <f>IF(ISBLANK('CONFIGURAÇÃO'!$DL$277),"",'CONFIGURAÇÃO'!$DL$277&amp;"")</f>
        <v/>
      </c>
      <c r="C7048" s="198">
        <f>"'CONFIGURAÇÃO'!DL277"</f>
        <v/>
      </c>
      <c r="D7048" s="198" t="inlineStr">
        <is>
          <t>configuração</t>
        </is>
      </c>
    </row>
    <row r="7049">
      <c r="A7049" s="198" t="inlineStr">
        <is>
          <t>custom.melhoria.22.peso</t>
        </is>
      </c>
      <c r="B7049" s="198">
        <f>IF(ISBLANK('CONFIGURAÇÃO'!$DL$278),"",'CONFIGURAÇÃO'!$DL$278&amp;"")</f>
        <v/>
      </c>
      <c r="C7049" s="198">
        <f>"'CONFIGURAÇÃO'!DL278"</f>
        <v/>
      </c>
      <c r="D7049" s="198" t="inlineStr">
        <is>
          <t>configuração</t>
        </is>
      </c>
    </row>
    <row r="7050">
      <c r="A7050" s="198" t="inlineStr">
        <is>
          <t>custom.melhoria.22.exige_tr</t>
        </is>
      </c>
      <c r="B7050" s="198">
        <f>IF(ISBLANK('CONFIGURAÇÃO'!$DL$279),"",'CONFIGURAÇÃO'!$DL$279&amp;"")</f>
        <v/>
      </c>
      <c r="C7050" s="198">
        <f>"'CONFIGURAÇÃO'!DL279"</f>
        <v/>
      </c>
      <c r="D7050" s="198" t="inlineStr">
        <is>
          <t>configuração</t>
        </is>
      </c>
    </row>
    <row r="7051">
      <c r="A7051" s="198" t="inlineStr">
        <is>
          <t>custom.melhoria.22.requisitos</t>
        </is>
      </c>
      <c r="B7051" s="198">
        <f>IF(ISBLANK('CONFIGURAÇÃO'!$DI$282),"",'CONFIGURAÇÃO'!$DI$282&amp;"")</f>
        <v/>
      </c>
      <c r="C7051" s="198">
        <f>"'CONFIGURAÇÃO'!DI282"</f>
        <v/>
      </c>
      <c r="D7051" s="198" t="inlineStr">
        <is>
          <t>configuração</t>
        </is>
      </c>
    </row>
    <row r="7052">
      <c r="A7052" s="198" t="inlineStr">
        <is>
          <t>custom.melhoria.22.efeito</t>
        </is>
      </c>
      <c r="B7052" s="198">
        <f>IF(ISBLANK('CONFIGURAÇÃO'!$DI$288),"",'CONFIGURAÇÃO'!$DI$288&amp;"")</f>
        <v/>
      </c>
      <c r="C7052" s="198">
        <f>"'CONFIGURAÇÃO'!DI288"</f>
        <v/>
      </c>
      <c r="D7052" s="198" t="inlineStr">
        <is>
          <t>configuração</t>
        </is>
      </c>
    </row>
    <row r="7053">
      <c r="A7053" s="198" t="inlineStr">
        <is>
          <t>custom.melhoria.22.mestre_viu</t>
        </is>
      </c>
      <c r="B7053" s="198">
        <f>N('CONFIGURAÇÃO'!$DM$273)&amp;""</f>
        <v/>
      </c>
      <c r="C7053" s="198">
        <f>"'CONFIGURAÇÃO'!DM273"</f>
        <v/>
      </c>
      <c r="D7053" s="198" t="inlineStr">
        <is>
          <t>configuração</t>
        </is>
      </c>
    </row>
    <row r="7054">
      <c r="A7054" s="198" t="inlineStr">
        <is>
          <t>custom.melhoria.23.nome</t>
        </is>
      </c>
      <c r="B7054" s="198">
        <f>IF(ISBLANK('CONFIGURAÇÃO'!$DA$301),"",'CONFIGURAÇÃO'!$DA$301&amp;"")</f>
        <v/>
      </c>
      <c r="C7054" s="198">
        <f>"'CONFIGURAÇÃO'!DA301"</f>
        <v/>
      </c>
      <c r="D7054" s="198" t="inlineStr">
        <is>
          <t>configuração</t>
        </is>
      </c>
    </row>
    <row r="7055">
      <c r="A7055" s="198" t="inlineStr">
        <is>
          <t>custom.melhoria.23.base</t>
        </is>
      </c>
      <c r="B7055" s="198">
        <f>IF(ISBLANK('CONFIGURAÇÃO'!$DD$302),"",'CONFIGURAÇÃO'!$DD$302&amp;"")</f>
        <v/>
      </c>
      <c r="C7055" s="198">
        <f>"'CONFIGURAÇÃO'!DD302"</f>
        <v/>
      </c>
      <c r="D7055" s="198" t="inlineStr">
        <is>
          <t>configuração</t>
        </is>
      </c>
    </row>
    <row r="7056">
      <c r="A7056" s="198" t="inlineStr">
        <is>
          <t>custom.melhoria.23.familia</t>
        </is>
      </c>
      <c r="B7056" s="198">
        <f>IF(ISBLANK('CONFIGURAÇÃO'!$DD$303),"",'CONFIGURAÇÃO'!$DD$303&amp;"")</f>
        <v/>
      </c>
      <c r="C7056" s="198">
        <f>"'CONFIGURAÇÃO'!DD303"</f>
        <v/>
      </c>
      <c r="D7056" s="198" t="inlineStr">
        <is>
          <t>configuração</t>
        </is>
      </c>
    </row>
    <row r="7057">
      <c r="A7057" s="198" t="inlineStr">
        <is>
          <t>custom.melhoria.23.peso</t>
        </is>
      </c>
      <c r="B7057" s="198">
        <f>IF(ISBLANK('CONFIGURAÇÃO'!$DD$304),"",'CONFIGURAÇÃO'!$DD$304&amp;"")</f>
        <v/>
      </c>
      <c r="C7057" s="198">
        <f>"'CONFIGURAÇÃO'!DD304"</f>
        <v/>
      </c>
      <c r="D7057" s="198" t="inlineStr">
        <is>
          <t>configuração</t>
        </is>
      </c>
    </row>
    <row r="7058">
      <c r="A7058" s="198" t="inlineStr">
        <is>
          <t>custom.melhoria.23.exige_tr</t>
        </is>
      </c>
      <c r="B7058" s="198">
        <f>IF(ISBLANK('CONFIGURAÇÃO'!$DD$305),"",'CONFIGURAÇÃO'!$DD$305&amp;"")</f>
        <v/>
      </c>
      <c r="C7058" s="198">
        <f>"'CONFIGURAÇÃO'!DD305"</f>
        <v/>
      </c>
      <c r="D7058" s="198" t="inlineStr">
        <is>
          <t>configuração</t>
        </is>
      </c>
    </row>
    <row r="7059">
      <c r="A7059" s="198" t="inlineStr">
        <is>
          <t>custom.melhoria.23.requisitos</t>
        </is>
      </c>
      <c r="B7059" s="198">
        <f>IF(ISBLANK('CONFIGURAÇÃO'!$DA$308),"",'CONFIGURAÇÃO'!$DA$308&amp;"")</f>
        <v/>
      </c>
      <c r="C7059" s="198">
        <f>"'CONFIGURAÇÃO'!DA308"</f>
        <v/>
      </c>
      <c r="D7059" s="198" t="inlineStr">
        <is>
          <t>configuração</t>
        </is>
      </c>
    </row>
    <row r="7060">
      <c r="A7060" s="198" t="inlineStr">
        <is>
          <t>custom.melhoria.23.efeito</t>
        </is>
      </c>
      <c r="B7060" s="198">
        <f>IF(ISBLANK('CONFIGURAÇÃO'!$DA$314),"",'CONFIGURAÇÃO'!$DA$314&amp;"")</f>
        <v/>
      </c>
      <c r="C7060" s="198">
        <f>"'CONFIGURAÇÃO'!DA314"</f>
        <v/>
      </c>
      <c r="D7060" s="198" t="inlineStr">
        <is>
          <t>configuração</t>
        </is>
      </c>
    </row>
    <row r="7061">
      <c r="A7061" s="198" t="inlineStr">
        <is>
          <t>custom.melhoria.23.mestre_viu</t>
        </is>
      </c>
      <c r="B7061" s="198">
        <f>N('CONFIGURAÇÃO'!$DE$299)&amp;""</f>
        <v/>
      </c>
      <c r="C7061" s="198">
        <f>"'CONFIGURAÇÃO'!DE299"</f>
        <v/>
      </c>
      <c r="D7061" s="198" t="inlineStr">
        <is>
          <t>configuração</t>
        </is>
      </c>
    </row>
    <row r="7062">
      <c r="A7062" s="198" t="inlineStr">
        <is>
          <t>custom.melhoria.24.nome</t>
        </is>
      </c>
      <c r="B7062" s="198">
        <f>IF(ISBLANK('CONFIGURAÇÃO'!$DI$301),"",'CONFIGURAÇÃO'!$DI$301&amp;"")</f>
        <v/>
      </c>
      <c r="C7062" s="198">
        <f>"'CONFIGURAÇÃO'!DI301"</f>
        <v/>
      </c>
      <c r="D7062" s="198" t="inlineStr">
        <is>
          <t>configuração</t>
        </is>
      </c>
    </row>
    <row r="7063">
      <c r="A7063" s="198" t="inlineStr">
        <is>
          <t>custom.melhoria.24.base</t>
        </is>
      </c>
      <c r="B7063" s="198">
        <f>IF(ISBLANK('CONFIGURAÇÃO'!$DL$302),"",'CONFIGURAÇÃO'!$DL$302&amp;"")</f>
        <v/>
      </c>
      <c r="C7063" s="198">
        <f>"'CONFIGURAÇÃO'!DL302"</f>
        <v/>
      </c>
      <c r="D7063" s="198" t="inlineStr">
        <is>
          <t>configuração</t>
        </is>
      </c>
    </row>
    <row r="7064">
      <c r="A7064" s="198" t="inlineStr">
        <is>
          <t>custom.melhoria.24.familia</t>
        </is>
      </c>
      <c r="B7064" s="198">
        <f>IF(ISBLANK('CONFIGURAÇÃO'!$DL$303),"",'CONFIGURAÇÃO'!$DL$303&amp;"")</f>
        <v/>
      </c>
      <c r="C7064" s="198">
        <f>"'CONFIGURAÇÃO'!DL303"</f>
        <v/>
      </c>
      <c r="D7064" s="198" t="inlineStr">
        <is>
          <t>configuração</t>
        </is>
      </c>
    </row>
    <row r="7065">
      <c r="A7065" s="198" t="inlineStr">
        <is>
          <t>custom.melhoria.24.peso</t>
        </is>
      </c>
      <c r="B7065" s="198">
        <f>IF(ISBLANK('CONFIGURAÇÃO'!$DL$304),"",'CONFIGURAÇÃO'!$DL$304&amp;"")</f>
        <v/>
      </c>
      <c r="C7065" s="198">
        <f>"'CONFIGURAÇÃO'!DL304"</f>
        <v/>
      </c>
      <c r="D7065" s="198" t="inlineStr">
        <is>
          <t>configuração</t>
        </is>
      </c>
    </row>
    <row r="7066">
      <c r="A7066" s="198" t="inlineStr">
        <is>
          <t>custom.melhoria.24.exige_tr</t>
        </is>
      </c>
      <c r="B7066" s="198">
        <f>IF(ISBLANK('CONFIGURAÇÃO'!$DL$305),"",'CONFIGURAÇÃO'!$DL$305&amp;"")</f>
        <v/>
      </c>
      <c r="C7066" s="198">
        <f>"'CONFIGURAÇÃO'!DL305"</f>
        <v/>
      </c>
      <c r="D7066" s="198" t="inlineStr">
        <is>
          <t>configuração</t>
        </is>
      </c>
    </row>
    <row r="7067">
      <c r="A7067" s="198" t="inlineStr">
        <is>
          <t>custom.melhoria.24.requisitos</t>
        </is>
      </c>
      <c r="B7067" s="198">
        <f>IF(ISBLANK('CONFIGURAÇÃO'!$DI$308),"",'CONFIGURAÇÃO'!$DI$308&amp;"")</f>
        <v/>
      </c>
      <c r="C7067" s="198">
        <f>"'CONFIGURAÇÃO'!DI308"</f>
        <v/>
      </c>
      <c r="D7067" s="198" t="inlineStr">
        <is>
          <t>configuração</t>
        </is>
      </c>
    </row>
    <row r="7068">
      <c r="A7068" s="198" t="inlineStr">
        <is>
          <t>custom.melhoria.24.efeito</t>
        </is>
      </c>
      <c r="B7068" s="198">
        <f>IF(ISBLANK('CONFIGURAÇÃO'!$DI$314),"",'CONFIGURAÇÃO'!$DI$314&amp;"")</f>
        <v/>
      </c>
      <c r="C7068" s="198">
        <f>"'CONFIGURAÇÃO'!DI314"</f>
        <v/>
      </c>
      <c r="D7068" s="198" t="inlineStr">
        <is>
          <t>configuração</t>
        </is>
      </c>
    </row>
    <row r="7069">
      <c r="A7069" s="198" t="inlineStr">
        <is>
          <t>custom.melhoria.24.mestre_viu</t>
        </is>
      </c>
      <c r="B7069" s="198">
        <f>N('CONFIGURAÇÃO'!$DM$299)&amp;""</f>
        <v/>
      </c>
      <c r="C7069" s="198">
        <f>"'CONFIGURAÇÃO'!DM299"</f>
        <v/>
      </c>
      <c r="D7069" s="198" t="inlineStr">
        <is>
          <t>configuração</t>
        </is>
      </c>
    </row>
    <row r="7070">
      <c r="A7070" s="198" t="inlineStr">
        <is>
          <t>custom.melhoria.25.nome</t>
        </is>
      </c>
      <c r="B7070" s="198">
        <f>IF(ISBLANK('CONFIGURAÇÃO'!$DA$327),"",'CONFIGURAÇÃO'!$DA$327&amp;"")</f>
        <v/>
      </c>
      <c r="C7070" s="198">
        <f>"'CONFIGURAÇÃO'!DA327"</f>
        <v/>
      </c>
      <c r="D7070" s="198" t="inlineStr">
        <is>
          <t>configuração</t>
        </is>
      </c>
    </row>
    <row r="7071">
      <c r="A7071" s="198" t="inlineStr">
        <is>
          <t>custom.melhoria.25.base</t>
        </is>
      </c>
      <c r="B7071" s="198">
        <f>IF(ISBLANK('CONFIGURAÇÃO'!$DD$328),"",'CONFIGURAÇÃO'!$DD$328&amp;"")</f>
        <v/>
      </c>
      <c r="C7071" s="198">
        <f>"'CONFIGURAÇÃO'!DD328"</f>
        <v/>
      </c>
      <c r="D7071" s="198" t="inlineStr">
        <is>
          <t>configuração</t>
        </is>
      </c>
    </row>
    <row r="7072">
      <c r="A7072" s="198" t="inlineStr">
        <is>
          <t>custom.melhoria.25.familia</t>
        </is>
      </c>
      <c r="B7072" s="198">
        <f>IF(ISBLANK('CONFIGURAÇÃO'!$DD$329),"",'CONFIGURAÇÃO'!$DD$329&amp;"")</f>
        <v/>
      </c>
      <c r="C7072" s="198">
        <f>"'CONFIGURAÇÃO'!DD329"</f>
        <v/>
      </c>
      <c r="D7072" s="198" t="inlineStr">
        <is>
          <t>configuração</t>
        </is>
      </c>
    </row>
    <row r="7073">
      <c r="A7073" s="198" t="inlineStr">
        <is>
          <t>custom.melhoria.25.peso</t>
        </is>
      </c>
      <c r="B7073" s="198">
        <f>IF(ISBLANK('CONFIGURAÇÃO'!$DD$330),"",'CONFIGURAÇÃO'!$DD$330&amp;"")</f>
        <v/>
      </c>
      <c r="C7073" s="198">
        <f>"'CONFIGURAÇÃO'!DD330"</f>
        <v/>
      </c>
      <c r="D7073" s="198" t="inlineStr">
        <is>
          <t>configuração</t>
        </is>
      </c>
    </row>
    <row r="7074">
      <c r="A7074" s="198" t="inlineStr">
        <is>
          <t>custom.melhoria.25.exige_tr</t>
        </is>
      </c>
      <c r="B7074" s="198">
        <f>IF(ISBLANK('CONFIGURAÇÃO'!$DD$331),"",'CONFIGURAÇÃO'!$DD$331&amp;"")</f>
        <v/>
      </c>
      <c r="C7074" s="198">
        <f>"'CONFIGURAÇÃO'!DD331"</f>
        <v/>
      </c>
      <c r="D7074" s="198" t="inlineStr">
        <is>
          <t>configuração</t>
        </is>
      </c>
    </row>
    <row r="7075">
      <c r="A7075" s="198" t="inlineStr">
        <is>
          <t>custom.melhoria.25.requisitos</t>
        </is>
      </c>
      <c r="B7075" s="198">
        <f>IF(ISBLANK('CONFIGURAÇÃO'!$DA$334),"",'CONFIGURAÇÃO'!$DA$334&amp;"")</f>
        <v/>
      </c>
      <c r="C7075" s="198">
        <f>"'CONFIGURAÇÃO'!DA334"</f>
        <v/>
      </c>
      <c r="D7075" s="198" t="inlineStr">
        <is>
          <t>configuração</t>
        </is>
      </c>
    </row>
    <row r="7076">
      <c r="A7076" s="198" t="inlineStr">
        <is>
          <t>custom.melhoria.25.efeito</t>
        </is>
      </c>
      <c r="B7076" s="198">
        <f>IF(ISBLANK('CONFIGURAÇÃO'!$DA$340),"",'CONFIGURAÇÃO'!$DA$340&amp;"")</f>
        <v/>
      </c>
      <c r="C7076" s="198">
        <f>"'CONFIGURAÇÃO'!DA340"</f>
        <v/>
      </c>
      <c r="D7076" s="198" t="inlineStr">
        <is>
          <t>configuração</t>
        </is>
      </c>
    </row>
    <row r="7077">
      <c r="A7077" s="198" t="inlineStr">
        <is>
          <t>custom.melhoria.25.mestre_viu</t>
        </is>
      </c>
      <c r="B7077" s="198">
        <f>N('CONFIGURAÇÃO'!$DE$325)&amp;""</f>
        <v/>
      </c>
      <c r="C7077" s="198">
        <f>"'CONFIGURAÇÃO'!DE325"</f>
        <v/>
      </c>
      <c r="D7077" s="198" t="inlineStr">
        <is>
          <t>configuração</t>
        </is>
      </c>
    </row>
    <row r="7078">
      <c r="A7078" s="198" t="inlineStr">
        <is>
          <t>custom.melhoria.26.nome</t>
        </is>
      </c>
      <c r="B7078" s="198">
        <f>IF(ISBLANK('CONFIGURAÇÃO'!$DI$327),"",'CONFIGURAÇÃO'!$DI$327&amp;"")</f>
        <v/>
      </c>
      <c r="C7078" s="198">
        <f>"'CONFIGURAÇÃO'!DI327"</f>
        <v/>
      </c>
      <c r="D7078" s="198" t="inlineStr">
        <is>
          <t>configuração</t>
        </is>
      </c>
    </row>
    <row r="7079">
      <c r="A7079" s="198" t="inlineStr">
        <is>
          <t>custom.melhoria.26.base</t>
        </is>
      </c>
      <c r="B7079" s="198">
        <f>IF(ISBLANK('CONFIGURAÇÃO'!$DL$328),"",'CONFIGURAÇÃO'!$DL$328&amp;"")</f>
        <v/>
      </c>
      <c r="C7079" s="198">
        <f>"'CONFIGURAÇÃO'!DL328"</f>
        <v/>
      </c>
      <c r="D7079" s="198" t="inlineStr">
        <is>
          <t>configuração</t>
        </is>
      </c>
    </row>
    <row r="7080">
      <c r="A7080" s="198" t="inlineStr">
        <is>
          <t>custom.melhoria.26.familia</t>
        </is>
      </c>
      <c r="B7080" s="198">
        <f>IF(ISBLANK('CONFIGURAÇÃO'!$DL$329),"",'CONFIGURAÇÃO'!$DL$329&amp;"")</f>
        <v/>
      </c>
      <c r="C7080" s="198">
        <f>"'CONFIGURAÇÃO'!DL329"</f>
        <v/>
      </c>
      <c r="D7080" s="198" t="inlineStr">
        <is>
          <t>configuração</t>
        </is>
      </c>
    </row>
    <row r="7081">
      <c r="A7081" s="198" t="inlineStr">
        <is>
          <t>custom.melhoria.26.peso</t>
        </is>
      </c>
      <c r="B7081" s="198">
        <f>IF(ISBLANK('CONFIGURAÇÃO'!$DL$330),"",'CONFIGURAÇÃO'!$DL$330&amp;"")</f>
        <v/>
      </c>
      <c r="C7081" s="198">
        <f>"'CONFIGURAÇÃO'!DL330"</f>
        <v/>
      </c>
      <c r="D7081" s="198" t="inlineStr">
        <is>
          <t>configuração</t>
        </is>
      </c>
    </row>
    <row r="7082">
      <c r="A7082" s="198" t="inlineStr">
        <is>
          <t>custom.melhoria.26.exige_tr</t>
        </is>
      </c>
      <c r="B7082" s="198">
        <f>IF(ISBLANK('CONFIGURAÇÃO'!$DL$331),"",'CONFIGURAÇÃO'!$DL$331&amp;"")</f>
        <v/>
      </c>
      <c r="C7082" s="198">
        <f>"'CONFIGURAÇÃO'!DL331"</f>
        <v/>
      </c>
      <c r="D7082" s="198" t="inlineStr">
        <is>
          <t>configuração</t>
        </is>
      </c>
    </row>
    <row r="7083">
      <c r="A7083" s="198" t="inlineStr">
        <is>
          <t>custom.melhoria.26.requisitos</t>
        </is>
      </c>
      <c r="B7083" s="198">
        <f>IF(ISBLANK('CONFIGURAÇÃO'!$DI$334),"",'CONFIGURAÇÃO'!$DI$334&amp;"")</f>
        <v/>
      </c>
      <c r="C7083" s="198">
        <f>"'CONFIGURAÇÃO'!DI334"</f>
        <v/>
      </c>
      <c r="D7083" s="198" t="inlineStr">
        <is>
          <t>configuração</t>
        </is>
      </c>
    </row>
    <row r="7084">
      <c r="A7084" s="198" t="inlineStr">
        <is>
          <t>custom.melhoria.26.efeito</t>
        </is>
      </c>
      <c r="B7084" s="198">
        <f>IF(ISBLANK('CONFIGURAÇÃO'!$DI$340),"",'CONFIGURAÇÃO'!$DI$340&amp;"")</f>
        <v/>
      </c>
      <c r="C7084" s="198">
        <f>"'CONFIGURAÇÃO'!DI340"</f>
        <v/>
      </c>
      <c r="D7084" s="198" t="inlineStr">
        <is>
          <t>configuração</t>
        </is>
      </c>
    </row>
    <row r="7085">
      <c r="A7085" s="198" t="inlineStr">
        <is>
          <t>custom.melhoria.26.mestre_viu</t>
        </is>
      </c>
      <c r="B7085" s="198">
        <f>N('CONFIGURAÇÃO'!$DM$325)&amp;""</f>
        <v/>
      </c>
      <c r="C7085" s="198">
        <f>"'CONFIGURAÇÃO'!DM325"</f>
        <v/>
      </c>
      <c r="D7085" s="198" t="inlineStr">
        <is>
          <t>configuração</t>
        </is>
      </c>
    </row>
    <row r="7086">
      <c r="A7086" s="198" t="inlineStr">
        <is>
          <t>custom.melhoria.27.nome</t>
        </is>
      </c>
      <c r="B7086" s="198">
        <f>IF(ISBLANK('CONFIGURAÇÃO'!$DA$353),"",'CONFIGURAÇÃO'!$DA$353&amp;"")</f>
        <v/>
      </c>
      <c r="C7086" s="198">
        <f>"'CONFIGURAÇÃO'!DA353"</f>
        <v/>
      </c>
      <c r="D7086" s="198" t="inlineStr">
        <is>
          <t>configuração</t>
        </is>
      </c>
    </row>
    <row r="7087">
      <c r="A7087" s="198" t="inlineStr">
        <is>
          <t>custom.melhoria.27.base</t>
        </is>
      </c>
      <c r="B7087" s="198">
        <f>IF(ISBLANK('CONFIGURAÇÃO'!$DD$354),"",'CONFIGURAÇÃO'!$DD$354&amp;"")</f>
        <v/>
      </c>
      <c r="C7087" s="198">
        <f>"'CONFIGURAÇÃO'!DD354"</f>
        <v/>
      </c>
      <c r="D7087" s="198" t="inlineStr">
        <is>
          <t>configuração</t>
        </is>
      </c>
    </row>
    <row r="7088">
      <c r="A7088" s="198" t="inlineStr">
        <is>
          <t>custom.melhoria.27.familia</t>
        </is>
      </c>
      <c r="B7088" s="198">
        <f>IF(ISBLANK('CONFIGURAÇÃO'!$DD$355),"",'CONFIGURAÇÃO'!$DD$355&amp;"")</f>
        <v/>
      </c>
      <c r="C7088" s="198">
        <f>"'CONFIGURAÇÃO'!DD355"</f>
        <v/>
      </c>
      <c r="D7088" s="198" t="inlineStr">
        <is>
          <t>configuração</t>
        </is>
      </c>
    </row>
    <row r="7089">
      <c r="A7089" s="198" t="inlineStr">
        <is>
          <t>custom.melhoria.27.peso</t>
        </is>
      </c>
      <c r="B7089" s="198">
        <f>IF(ISBLANK('CONFIGURAÇÃO'!$DD$356),"",'CONFIGURAÇÃO'!$DD$356&amp;"")</f>
        <v/>
      </c>
      <c r="C7089" s="198">
        <f>"'CONFIGURAÇÃO'!DD356"</f>
        <v/>
      </c>
      <c r="D7089" s="198" t="inlineStr">
        <is>
          <t>configuração</t>
        </is>
      </c>
    </row>
    <row r="7090">
      <c r="A7090" s="198" t="inlineStr">
        <is>
          <t>custom.melhoria.27.exige_tr</t>
        </is>
      </c>
      <c r="B7090" s="198">
        <f>IF(ISBLANK('CONFIGURAÇÃO'!$DD$357),"",'CONFIGURAÇÃO'!$DD$357&amp;"")</f>
        <v/>
      </c>
      <c r="C7090" s="198">
        <f>"'CONFIGURAÇÃO'!DD357"</f>
        <v/>
      </c>
      <c r="D7090" s="198" t="inlineStr">
        <is>
          <t>configuração</t>
        </is>
      </c>
    </row>
    <row r="7091">
      <c r="A7091" s="198" t="inlineStr">
        <is>
          <t>custom.melhoria.27.requisitos</t>
        </is>
      </c>
      <c r="B7091" s="198">
        <f>IF(ISBLANK('CONFIGURAÇÃO'!$DA$360),"",'CONFIGURAÇÃO'!$DA$360&amp;"")</f>
        <v/>
      </c>
      <c r="C7091" s="198">
        <f>"'CONFIGURAÇÃO'!DA360"</f>
        <v/>
      </c>
      <c r="D7091" s="198" t="inlineStr">
        <is>
          <t>configuração</t>
        </is>
      </c>
    </row>
    <row r="7092">
      <c r="A7092" s="198" t="inlineStr">
        <is>
          <t>custom.melhoria.27.efeito</t>
        </is>
      </c>
      <c r="B7092" s="198">
        <f>IF(ISBLANK('CONFIGURAÇÃO'!$DA$366),"",'CONFIGURAÇÃO'!$DA$366&amp;"")</f>
        <v/>
      </c>
      <c r="C7092" s="198">
        <f>"'CONFIGURAÇÃO'!DA366"</f>
        <v/>
      </c>
      <c r="D7092" s="198" t="inlineStr">
        <is>
          <t>configuração</t>
        </is>
      </c>
    </row>
    <row r="7093">
      <c r="A7093" s="198" t="inlineStr">
        <is>
          <t>custom.melhoria.27.mestre_viu</t>
        </is>
      </c>
      <c r="B7093" s="198">
        <f>N('CONFIGURAÇÃO'!$DE$351)&amp;""</f>
        <v/>
      </c>
      <c r="C7093" s="198">
        <f>"'CONFIGURAÇÃO'!DE351"</f>
        <v/>
      </c>
      <c r="D7093" s="198" t="inlineStr">
        <is>
          <t>configuração</t>
        </is>
      </c>
    </row>
    <row r="7094">
      <c r="A7094" s="198" t="inlineStr">
        <is>
          <t>custom.melhoria.28.nome</t>
        </is>
      </c>
      <c r="B7094" s="198">
        <f>IF(ISBLANK('CONFIGURAÇÃO'!$DI$353),"",'CONFIGURAÇÃO'!$DI$353&amp;"")</f>
        <v/>
      </c>
      <c r="C7094" s="198">
        <f>"'CONFIGURAÇÃO'!DI353"</f>
        <v/>
      </c>
      <c r="D7094" s="198" t="inlineStr">
        <is>
          <t>configuração</t>
        </is>
      </c>
    </row>
    <row r="7095">
      <c r="A7095" s="198" t="inlineStr">
        <is>
          <t>custom.melhoria.28.base</t>
        </is>
      </c>
      <c r="B7095" s="198">
        <f>IF(ISBLANK('CONFIGURAÇÃO'!$DL$354),"",'CONFIGURAÇÃO'!$DL$354&amp;"")</f>
        <v/>
      </c>
      <c r="C7095" s="198">
        <f>"'CONFIGURAÇÃO'!DL354"</f>
        <v/>
      </c>
      <c r="D7095" s="198" t="inlineStr">
        <is>
          <t>configuração</t>
        </is>
      </c>
    </row>
    <row r="7096">
      <c r="A7096" s="198" t="inlineStr">
        <is>
          <t>custom.melhoria.28.familia</t>
        </is>
      </c>
      <c r="B7096" s="198">
        <f>IF(ISBLANK('CONFIGURAÇÃO'!$DL$355),"",'CONFIGURAÇÃO'!$DL$355&amp;"")</f>
        <v/>
      </c>
      <c r="C7096" s="198">
        <f>"'CONFIGURAÇÃO'!DL355"</f>
        <v/>
      </c>
      <c r="D7096" s="198" t="inlineStr">
        <is>
          <t>configuração</t>
        </is>
      </c>
    </row>
    <row r="7097">
      <c r="A7097" s="198" t="inlineStr">
        <is>
          <t>custom.melhoria.28.peso</t>
        </is>
      </c>
      <c r="B7097" s="198">
        <f>IF(ISBLANK('CONFIGURAÇÃO'!$DL$356),"",'CONFIGURAÇÃO'!$DL$356&amp;"")</f>
        <v/>
      </c>
      <c r="C7097" s="198">
        <f>"'CONFIGURAÇÃO'!DL356"</f>
        <v/>
      </c>
      <c r="D7097" s="198" t="inlineStr">
        <is>
          <t>configuração</t>
        </is>
      </c>
    </row>
    <row r="7098">
      <c r="A7098" s="198" t="inlineStr">
        <is>
          <t>custom.melhoria.28.exige_tr</t>
        </is>
      </c>
      <c r="B7098" s="198">
        <f>IF(ISBLANK('CONFIGURAÇÃO'!$DL$357),"",'CONFIGURAÇÃO'!$DL$357&amp;"")</f>
        <v/>
      </c>
      <c r="C7098" s="198">
        <f>"'CONFIGURAÇÃO'!DL357"</f>
        <v/>
      </c>
      <c r="D7098" s="198" t="inlineStr">
        <is>
          <t>configuração</t>
        </is>
      </c>
    </row>
    <row r="7099">
      <c r="A7099" s="198" t="inlineStr">
        <is>
          <t>custom.melhoria.28.requisitos</t>
        </is>
      </c>
      <c r="B7099" s="198">
        <f>IF(ISBLANK('CONFIGURAÇÃO'!$DI$360),"",'CONFIGURAÇÃO'!$DI$360&amp;"")</f>
        <v/>
      </c>
      <c r="C7099" s="198">
        <f>"'CONFIGURAÇÃO'!DI360"</f>
        <v/>
      </c>
      <c r="D7099" s="198" t="inlineStr">
        <is>
          <t>configuração</t>
        </is>
      </c>
    </row>
    <row r="7100">
      <c r="A7100" s="198" t="inlineStr">
        <is>
          <t>custom.melhoria.28.efeito</t>
        </is>
      </c>
      <c r="B7100" s="198">
        <f>IF(ISBLANK('CONFIGURAÇÃO'!$DI$366),"",'CONFIGURAÇÃO'!$DI$366&amp;"")</f>
        <v/>
      </c>
      <c r="C7100" s="198">
        <f>"'CONFIGURAÇÃO'!DI366"</f>
        <v/>
      </c>
      <c r="D7100" s="198" t="inlineStr">
        <is>
          <t>configuração</t>
        </is>
      </c>
    </row>
    <row r="7101">
      <c r="A7101" s="198" t="inlineStr">
        <is>
          <t>custom.melhoria.28.mestre_viu</t>
        </is>
      </c>
      <c r="B7101" s="198">
        <f>N('CONFIGURAÇÃO'!$DM$351)&amp;""</f>
        <v/>
      </c>
      <c r="C7101" s="198">
        <f>"'CONFIGURAÇÃO'!DM351"</f>
        <v/>
      </c>
      <c r="D7101" s="198" t="inlineStr">
        <is>
          <t>configuração</t>
        </is>
      </c>
    </row>
    <row r="7102">
      <c r="A7102" s="198" t="inlineStr">
        <is>
          <t>custom.melhoria.29.nome</t>
        </is>
      </c>
      <c r="B7102" s="198">
        <f>IF(ISBLANK('CONFIGURAÇÃO'!$DA$379),"",'CONFIGURAÇÃO'!$DA$379&amp;"")</f>
        <v/>
      </c>
      <c r="C7102" s="198">
        <f>"'CONFIGURAÇÃO'!DA379"</f>
        <v/>
      </c>
      <c r="D7102" s="198" t="inlineStr">
        <is>
          <t>configuração</t>
        </is>
      </c>
    </row>
    <row r="7103">
      <c r="A7103" s="198" t="inlineStr">
        <is>
          <t>custom.melhoria.29.base</t>
        </is>
      </c>
      <c r="B7103" s="198">
        <f>IF(ISBLANK('CONFIGURAÇÃO'!$DD$380),"",'CONFIGURAÇÃO'!$DD$380&amp;"")</f>
        <v/>
      </c>
      <c r="C7103" s="198">
        <f>"'CONFIGURAÇÃO'!DD380"</f>
        <v/>
      </c>
      <c r="D7103" s="198" t="inlineStr">
        <is>
          <t>configuração</t>
        </is>
      </c>
    </row>
    <row r="7104">
      <c r="A7104" s="198" t="inlineStr">
        <is>
          <t>custom.melhoria.29.familia</t>
        </is>
      </c>
      <c r="B7104" s="198">
        <f>IF(ISBLANK('CONFIGURAÇÃO'!$DD$381),"",'CONFIGURAÇÃO'!$DD$381&amp;"")</f>
        <v/>
      </c>
      <c r="C7104" s="198">
        <f>"'CONFIGURAÇÃO'!DD381"</f>
        <v/>
      </c>
      <c r="D7104" s="198" t="inlineStr">
        <is>
          <t>configuração</t>
        </is>
      </c>
    </row>
    <row r="7105">
      <c r="A7105" s="198" t="inlineStr">
        <is>
          <t>custom.melhoria.29.peso</t>
        </is>
      </c>
      <c r="B7105" s="198">
        <f>IF(ISBLANK('CONFIGURAÇÃO'!$DD$382),"",'CONFIGURAÇÃO'!$DD$382&amp;"")</f>
        <v/>
      </c>
      <c r="C7105" s="198">
        <f>"'CONFIGURAÇÃO'!DD382"</f>
        <v/>
      </c>
      <c r="D7105" s="198" t="inlineStr">
        <is>
          <t>configuração</t>
        </is>
      </c>
    </row>
    <row r="7106">
      <c r="A7106" s="198" t="inlineStr">
        <is>
          <t>custom.melhoria.29.exige_tr</t>
        </is>
      </c>
      <c r="B7106" s="198">
        <f>IF(ISBLANK('CONFIGURAÇÃO'!$DD$383),"",'CONFIGURAÇÃO'!$DD$383&amp;"")</f>
        <v/>
      </c>
      <c r="C7106" s="198">
        <f>"'CONFIGURAÇÃO'!DD383"</f>
        <v/>
      </c>
      <c r="D7106" s="198" t="inlineStr">
        <is>
          <t>configuração</t>
        </is>
      </c>
    </row>
    <row r="7107">
      <c r="A7107" s="198" t="inlineStr">
        <is>
          <t>custom.melhoria.29.requisitos</t>
        </is>
      </c>
      <c r="B7107" s="198">
        <f>IF(ISBLANK('CONFIGURAÇÃO'!$DA$386),"",'CONFIGURAÇÃO'!$DA$386&amp;"")</f>
        <v/>
      </c>
      <c r="C7107" s="198">
        <f>"'CONFIGURAÇÃO'!DA386"</f>
        <v/>
      </c>
      <c r="D7107" s="198" t="inlineStr">
        <is>
          <t>configuração</t>
        </is>
      </c>
    </row>
    <row r="7108">
      <c r="A7108" s="198" t="inlineStr">
        <is>
          <t>custom.melhoria.29.efeito</t>
        </is>
      </c>
      <c r="B7108" s="198">
        <f>IF(ISBLANK('CONFIGURAÇÃO'!$DA$392),"",'CONFIGURAÇÃO'!$DA$392&amp;"")</f>
        <v/>
      </c>
      <c r="C7108" s="198">
        <f>"'CONFIGURAÇÃO'!DA392"</f>
        <v/>
      </c>
      <c r="D7108" s="198" t="inlineStr">
        <is>
          <t>configuração</t>
        </is>
      </c>
    </row>
    <row r="7109">
      <c r="A7109" s="198" t="inlineStr">
        <is>
          <t>custom.melhoria.29.mestre_viu</t>
        </is>
      </c>
      <c r="B7109" s="198">
        <f>N('CONFIGURAÇÃO'!$DE$377)&amp;""</f>
        <v/>
      </c>
      <c r="C7109" s="198">
        <f>"'CONFIGURAÇÃO'!DE377"</f>
        <v/>
      </c>
      <c r="D7109" s="198" t="inlineStr">
        <is>
          <t>configuração</t>
        </is>
      </c>
    </row>
    <row r="7110">
      <c r="A7110" s="198" t="inlineStr">
        <is>
          <t>custom.melhoria.30.nome</t>
        </is>
      </c>
      <c r="B7110" s="198">
        <f>IF(ISBLANK('CONFIGURAÇÃO'!$DI$379),"",'CONFIGURAÇÃO'!$DI$379&amp;"")</f>
        <v/>
      </c>
      <c r="C7110" s="198">
        <f>"'CONFIGURAÇÃO'!DI379"</f>
        <v/>
      </c>
      <c r="D7110" s="198" t="inlineStr">
        <is>
          <t>configuração</t>
        </is>
      </c>
    </row>
    <row r="7111">
      <c r="A7111" s="198" t="inlineStr">
        <is>
          <t>custom.melhoria.30.base</t>
        </is>
      </c>
      <c r="B7111" s="198">
        <f>IF(ISBLANK('CONFIGURAÇÃO'!$DL$380),"",'CONFIGURAÇÃO'!$DL$380&amp;"")</f>
        <v/>
      </c>
      <c r="C7111" s="198">
        <f>"'CONFIGURAÇÃO'!DL380"</f>
        <v/>
      </c>
      <c r="D7111" s="198" t="inlineStr">
        <is>
          <t>configuração</t>
        </is>
      </c>
    </row>
    <row r="7112">
      <c r="A7112" s="198" t="inlineStr">
        <is>
          <t>custom.melhoria.30.familia</t>
        </is>
      </c>
      <c r="B7112" s="198">
        <f>IF(ISBLANK('CONFIGURAÇÃO'!$DL$381),"",'CONFIGURAÇÃO'!$DL$381&amp;"")</f>
        <v/>
      </c>
      <c r="C7112" s="198">
        <f>"'CONFIGURAÇÃO'!DL381"</f>
        <v/>
      </c>
      <c r="D7112" s="198" t="inlineStr">
        <is>
          <t>configuração</t>
        </is>
      </c>
    </row>
    <row r="7113">
      <c r="A7113" s="198" t="inlineStr">
        <is>
          <t>custom.melhoria.30.peso</t>
        </is>
      </c>
      <c r="B7113" s="198">
        <f>IF(ISBLANK('CONFIGURAÇÃO'!$DL$382),"",'CONFIGURAÇÃO'!$DL$382&amp;"")</f>
        <v/>
      </c>
      <c r="C7113" s="198">
        <f>"'CONFIGURAÇÃO'!DL382"</f>
        <v/>
      </c>
      <c r="D7113" s="198" t="inlineStr">
        <is>
          <t>configuração</t>
        </is>
      </c>
    </row>
    <row r="7114">
      <c r="A7114" s="198" t="inlineStr">
        <is>
          <t>custom.melhoria.30.exige_tr</t>
        </is>
      </c>
      <c r="B7114" s="198">
        <f>IF(ISBLANK('CONFIGURAÇÃO'!$DL$383),"",'CONFIGURAÇÃO'!$DL$383&amp;"")</f>
        <v/>
      </c>
      <c r="C7114" s="198">
        <f>"'CONFIGURAÇÃO'!DL383"</f>
        <v/>
      </c>
      <c r="D7114" s="198" t="inlineStr">
        <is>
          <t>configuração</t>
        </is>
      </c>
    </row>
    <row r="7115">
      <c r="A7115" s="198" t="inlineStr">
        <is>
          <t>custom.melhoria.30.requisitos</t>
        </is>
      </c>
      <c r="B7115" s="198">
        <f>IF(ISBLANK('CONFIGURAÇÃO'!$DI$386),"",'CONFIGURAÇÃO'!$DI$386&amp;"")</f>
        <v/>
      </c>
      <c r="C7115" s="198">
        <f>"'CONFIGURAÇÃO'!DI386"</f>
        <v/>
      </c>
      <c r="D7115" s="198" t="inlineStr">
        <is>
          <t>configuração</t>
        </is>
      </c>
    </row>
    <row r="7116">
      <c r="A7116" s="198" t="inlineStr">
        <is>
          <t>custom.melhoria.30.efeito</t>
        </is>
      </c>
      <c r="B7116" s="198">
        <f>IF(ISBLANK('CONFIGURAÇÃO'!$DI$392),"",'CONFIGURAÇÃO'!$DI$392&amp;"")</f>
        <v/>
      </c>
      <c r="C7116" s="198">
        <f>"'CONFIGURAÇÃO'!DI392"</f>
        <v/>
      </c>
      <c r="D7116" s="198" t="inlineStr">
        <is>
          <t>configuração</t>
        </is>
      </c>
    </row>
    <row r="7117">
      <c r="A7117" s="198" t="inlineStr">
        <is>
          <t>custom.melhoria.30.mestre_viu</t>
        </is>
      </c>
      <c r="B7117" s="198">
        <f>N('CONFIGURAÇÃO'!$DM$377)&amp;""</f>
        <v/>
      </c>
      <c r="C7117" s="198">
        <f>"'CONFIGURAÇÃO'!DM377"</f>
        <v/>
      </c>
      <c r="D7117" s="198" t="inlineStr">
        <is>
          <t>configuração</t>
        </is>
      </c>
    </row>
    <row r="7118">
      <c r="A7118" s="198" t="inlineStr">
        <is>
          <t>custom.restricao.1.nome</t>
        </is>
      </c>
      <c r="B7118" s="198">
        <f>IF(ISBLANK('CONFIGURAÇÃO'!$DR$15),"",'CONFIGURAÇÃO'!$DR$15&amp;"")</f>
        <v/>
      </c>
      <c r="C7118" s="198">
        <f>"'CONFIGURAÇÃO'!DR15"</f>
        <v/>
      </c>
      <c r="D7118" s="198" t="inlineStr">
        <is>
          <t>configuração</t>
        </is>
      </c>
    </row>
    <row r="7119">
      <c r="A7119" s="198" t="inlineStr">
        <is>
          <t>custom.restricao.1.base</t>
        </is>
      </c>
      <c r="B7119" s="198">
        <f>IF(ISBLANK('CONFIGURAÇÃO'!$DU$16),"",'CONFIGURAÇÃO'!$DU$16&amp;"")</f>
        <v/>
      </c>
      <c r="C7119" s="198">
        <f>"'CONFIGURAÇÃO'!DU16"</f>
        <v/>
      </c>
      <c r="D7119" s="198" t="inlineStr">
        <is>
          <t>configuração</t>
        </is>
      </c>
    </row>
    <row r="7120">
      <c r="A7120" s="198" t="inlineStr">
        <is>
          <t>custom.restricao.1.devolucao</t>
        </is>
      </c>
      <c r="B7120" s="198">
        <f>IF(ISBLANK('CONFIGURAÇÃO'!$DU$17),"",'CONFIGURAÇÃO'!$DU$17&amp;"")</f>
        <v/>
      </c>
      <c r="C7120" s="198">
        <f>"'CONFIGURAÇÃO'!DU17"</f>
        <v/>
      </c>
      <c r="D7120" s="198" t="inlineStr">
        <is>
          <t>configuração</t>
        </is>
      </c>
    </row>
    <row r="7121">
      <c r="A7121" s="198" t="inlineStr">
        <is>
          <t>custom.restricao.1.frequencia</t>
        </is>
      </c>
      <c r="B7121" s="198">
        <f>IF(ISBLANK('CONFIGURAÇÃO'!$DU$18),"",'CONFIGURAÇÃO'!$DU$18&amp;"")</f>
        <v/>
      </c>
      <c r="C7121" s="198">
        <f>"'CONFIGURAÇÃO'!DU18"</f>
        <v/>
      </c>
      <c r="D7121" s="198" t="inlineStr">
        <is>
          <t>configuração</t>
        </is>
      </c>
    </row>
    <row r="7122">
      <c r="A7122" s="198" t="inlineStr">
        <is>
          <t>custom.restricao.1.efeito</t>
        </is>
      </c>
      <c r="B7122" s="198">
        <f>IF(ISBLANK('CONFIGURAÇÃO'!$DR$21),"",'CONFIGURAÇÃO'!$DR$21&amp;"")</f>
        <v/>
      </c>
      <c r="C7122" s="198">
        <f>"'CONFIGURAÇÃO'!DR21"</f>
        <v/>
      </c>
      <c r="D7122" s="198" t="inlineStr">
        <is>
          <t>configuração</t>
        </is>
      </c>
    </row>
    <row r="7123">
      <c r="A7123" s="198" t="inlineStr">
        <is>
          <t>custom.restricao.1.mestre_viu</t>
        </is>
      </c>
      <c r="B7123" s="198">
        <f>N('CONFIGURAÇÃO'!$DV$13)&amp;""</f>
        <v/>
      </c>
      <c r="C7123" s="198">
        <f>"'CONFIGURAÇÃO'!DV13"</f>
        <v/>
      </c>
      <c r="D7123" s="198" t="inlineStr">
        <is>
          <t>configuração</t>
        </is>
      </c>
    </row>
    <row r="7124">
      <c r="A7124" s="198" t="inlineStr">
        <is>
          <t>custom.restricao.2.nome</t>
        </is>
      </c>
      <c r="B7124" s="198">
        <f>IF(ISBLANK('CONFIGURAÇÃO'!$DZ$15),"",'CONFIGURAÇÃO'!$DZ$15&amp;"")</f>
        <v/>
      </c>
      <c r="C7124" s="198">
        <f>"'CONFIGURAÇÃO'!DZ15"</f>
        <v/>
      </c>
      <c r="D7124" s="198" t="inlineStr">
        <is>
          <t>configuração</t>
        </is>
      </c>
    </row>
    <row r="7125">
      <c r="A7125" s="198" t="inlineStr">
        <is>
          <t>custom.restricao.2.base</t>
        </is>
      </c>
      <c r="B7125" s="198">
        <f>IF(ISBLANK('CONFIGURAÇÃO'!$EC$16),"",'CONFIGURAÇÃO'!$EC$16&amp;"")</f>
        <v/>
      </c>
      <c r="C7125" s="198">
        <f>"'CONFIGURAÇÃO'!EC16"</f>
        <v/>
      </c>
      <c r="D7125" s="198" t="inlineStr">
        <is>
          <t>configuração</t>
        </is>
      </c>
    </row>
    <row r="7126">
      <c r="A7126" s="198" t="inlineStr">
        <is>
          <t>custom.restricao.2.devolucao</t>
        </is>
      </c>
      <c r="B7126" s="198">
        <f>IF(ISBLANK('CONFIGURAÇÃO'!$EC$17),"",'CONFIGURAÇÃO'!$EC$17&amp;"")</f>
        <v/>
      </c>
      <c r="C7126" s="198">
        <f>"'CONFIGURAÇÃO'!EC17"</f>
        <v/>
      </c>
      <c r="D7126" s="198" t="inlineStr">
        <is>
          <t>configuração</t>
        </is>
      </c>
    </row>
    <row r="7127">
      <c r="A7127" s="198" t="inlineStr">
        <is>
          <t>custom.restricao.2.frequencia</t>
        </is>
      </c>
      <c r="B7127" s="198">
        <f>IF(ISBLANK('CONFIGURAÇÃO'!$EC$18),"",'CONFIGURAÇÃO'!$EC$18&amp;"")</f>
        <v/>
      </c>
      <c r="C7127" s="198">
        <f>"'CONFIGURAÇÃO'!EC18"</f>
        <v/>
      </c>
      <c r="D7127" s="198" t="inlineStr">
        <is>
          <t>configuração</t>
        </is>
      </c>
    </row>
    <row r="7128">
      <c r="A7128" s="198" t="inlineStr">
        <is>
          <t>custom.restricao.2.efeito</t>
        </is>
      </c>
      <c r="B7128" s="198">
        <f>IF(ISBLANK('CONFIGURAÇÃO'!$DZ$21),"",'CONFIGURAÇÃO'!$DZ$21&amp;"")</f>
        <v/>
      </c>
      <c r="C7128" s="198">
        <f>"'CONFIGURAÇÃO'!DZ21"</f>
        <v/>
      </c>
      <c r="D7128" s="198" t="inlineStr">
        <is>
          <t>configuração</t>
        </is>
      </c>
    </row>
    <row r="7129">
      <c r="A7129" s="198" t="inlineStr">
        <is>
          <t>custom.restricao.2.mestre_viu</t>
        </is>
      </c>
      <c r="B7129" s="198">
        <f>N('CONFIGURAÇÃO'!$ED$13)&amp;""</f>
        <v/>
      </c>
      <c r="C7129" s="198">
        <f>"'CONFIGURAÇÃO'!ED13"</f>
        <v/>
      </c>
      <c r="D7129" s="198" t="inlineStr">
        <is>
          <t>configuração</t>
        </is>
      </c>
    </row>
    <row r="7130">
      <c r="A7130" s="198" t="inlineStr">
        <is>
          <t>custom.restricao.3.nome</t>
        </is>
      </c>
      <c r="B7130" s="198">
        <f>IF(ISBLANK('CONFIGURAÇÃO'!$DR$37),"",'CONFIGURAÇÃO'!$DR$37&amp;"")</f>
        <v/>
      </c>
      <c r="C7130" s="198">
        <f>"'CONFIGURAÇÃO'!DR37"</f>
        <v/>
      </c>
      <c r="D7130" s="198" t="inlineStr">
        <is>
          <t>configuração</t>
        </is>
      </c>
    </row>
    <row r="7131">
      <c r="A7131" s="198" t="inlineStr">
        <is>
          <t>custom.restricao.3.base</t>
        </is>
      </c>
      <c r="B7131" s="198">
        <f>IF(ISBLANK('CONFIGURAÇÃO'!$DU$38),"",'CONFIGURAÇÃO'!$DU$38&amp;"")</f>
        <v/>
      </c>
      <c r="C7131" s="198">
        <f>"'CONFIGURAÇÃO'!DU38"</f>
        <v/>
      </c>
      <c r="D7131" s="198" t="inlineStr">
        <is>
          <t>configuração</t>
        </is>
      </c>
    </row>
    <row r="7132">
      <c r="A7132" s="198" t="inlineStr">
        <is>
          <t>custom.restricao.3.devolucao</t>
        </is>
      </c>
      <c r="B7132" s="198">
        <f>IF(ISBLANK('CONFIGURAÇÃO'!$DU$39),"",'CONFIGURAÇÃO'!$DU$39&amp;"")</f>
        <v/>
      </c>
      <c r="C7132" s="198">
        <f>"'CONFIGURAÇÃO'!DU39"</f>
        <v/>
      </c>
      <c r="D7132" s="198" t="inlineStr">
        <is>
          <t>configuração</t>
        </is>
      </c>
    </row>
    <row r="7133">
      <c r="A7133" s="198" t="inlineStr">
        <is>
          <t>custom.restricao.3.frequencia</t>
        </is>
      </c>
      <c r="B7133" s="198">
        <f>IF(ISBLANK('CONFIGURAÇÃO'!$DU$40),"",'CONFIGURAÇÃO'!$DU$40&amp;"")</f>
        <v/>
      </c>
      <c r="C7133" s="198">
        <f>"'CONFIGURAÇÃO'!DU40"</f>
        <v/>
      </c>
      <c r="D7133" s="198" t="inlineStr">
        <is>
          <t>configuração</t>
        </is>
      </c>
    </row>
    <row r="7134">
      <c r="A7134" s="198" t="inlineStr">
        <is>
          <t>custom.restricao.3.efeito</t>
        </is>
      </c>
      <c r="B7134" s="198">
        <f>IF(ISBLANK('CONFIGURAÇÃO'!$DR$43),"",'CONFIGURAÇÃO'!$DR$43&amp;"")</f>
        <v/>
      </c>
      <c r="C7134" s="198">
        <f>"'CONFIGURAÇÃO'!DR43"</f>
        <v/>
      </c>
      <c r="D7134" s="198" t="inlineStr">
        <is>
          <t>configuração</t>
        </is>
      </c>
    </row>
    <row r="7135">
      <c r="A7135" s="198" t="inlineStr">
        <is>
          <t>custom.restricao.3.mestre_viu</t>
        </is>
      </c>
      <c r="B7135" s="198">
        <f>N('CONFIGURAÇÃO'!$DV$35)&amp;""</f>
        <v/>
      </c>
      <c r="C7135" s="198">
        <f>"'CONFIGURAÇÃO'!DV35"</f>
        <v/>
      </c>
      <c r="D7135" s="198" t="inlineStr">
        <is>
          <t>configuração</t>
        </is>
      </c>
    </row>
    <row r="7136">
      <c r="A7136" s="198" t="inlineStr">
        <is>
          <t>custom.restricao.4.nome</t>
        </is>
      </c>
      <c r="B7136" s="198">
        <f>IF(ISBLANK('CONFIGURAÇÃO'!$DZ$37),"",'CONFIGURAÇÃO'!$DZ$37&amp;"")</f>
        <v/>
      </c>
      <c r="C7136" s="198">
        <f>"'CONFIGURAÇÃO'!DZ37"</f>
        <v/>
      </c>
      <c r="D7136" s="198" t="inlineStr">
        <is>
          <t>configuração</t>
        </is>
      </c>
    </row>
    <row r="7137">
      <c r="A7137" s="198" t="inlineStr">
        <is>
          <t>custom.restricao.4.base</t>
        </is>
      </c>
      <c r="B7137" s="198">
        <f>IF(ISBLANK('CONFIGURAÇÃO'!$EC$38),"",'CONFIGURAÇÃO'!$EC$38&amp;"")</f>
        <v/>
      </c>
      <c r="C7137" s="198">
        <f>"'CONFIGURAÇÃO'!EC38"</f>
        <v/>
      </c>
      <c r="D7137" s="198" t="inlineStr">
        <is>
          <t>configuração</t>
        </is>
      </c>
    </row>
    <row r="7138">
      <c r="A7138" s="198" t="inlineStr">
        <is>
          <t>custom.restricao.4.devolucao</t>
        </is>
      </c>
      <c r="B7138" s="198">
        <f>IF(ISBLANK('CONFIGURAÇÃO'!$EC$39),"",'CONFIGURAÇÃO'!$EC$39&amp;"")</f>
        <v/>
      </c>
      <c r="C7138" s="198">
        <f>"'CONFIGURAÇÃO'!EC39"</f>
        <v/>
      </c>
      <c r="D7138" s="198" t="inlineStr">
        <is>
          <t>configuração</t>
        </is>
      </c>
    </row>
    <row r="7139">
      <c r="A7139" s="198" t="inlineStr">
        <is>
          <t>custom.restricao.4.frequencia</t>
        </is>
      </c>
      <c r="B7139" s="198">
        <f>IF(ISBLANK('CONFIGURAÇÃO'!$EC$40),"",'CONFIGURAÇÃO'!$EC$40&amp;"")</f>
        <v/>
      </c>
      <c r="C7139" s="198">
        <f>"'CONFIGURAÇÃO'!EC40"</f>
        <v/>
      </c>
      <c r="D7139" s="198" t="inlineStr">
        <is>
          <t>configuração</t>
        </is>
      </c>
    </row>
    <row r="7140">
      <c r="A7140" s="198" t="inlineStr">
        <is>
          <t>custom.restricao.4.efeito</t>
        </is>
      </c>
      <c r="B7140" s="198">
        <f>IF(ISBLANK('CONFIGURAÇÃO'!$DZ$43),"",'CONFIGURAÇÃO'!$DZ$43&amp;"")</f>
        <v/>
      </c>
      <c r="C7140" s="198">
        <f>"'CONFIGURAÇÃO'!DZ43"</f>
        <v/>
      </c>
      <c r="D7140" s="198" t="inlineStr">
        <is>
          <t>configuração</t>
        </is>
      </c>
    </row>
    <row r="7141">
      <c r="A7141" s="198" t="inlineStr">
        <is>
          <t>custom.restricao.4.mestre_viu</t>
        </is>
      </c>
      <c r="B7141" s="198">
        <f>N('CONFIGURAÇÃO'!$ED$35)&amp;""</f>
        <v/>
      </c>
      <c r="C7141" s="198">
        <f>"'CONFIGURAÇÃO'!ED35"</f>
        <v/>
      </c>
      <c r="D7141" s="198" t="inlineStr">
        <is>
          <t>configuração</t>
        </is>
      </c>
    </row>
    <row r="7142">
      <c r="A7142" s="198" t="inlineStr">
        <is>
          <t>custom.restricao.5.nome</t>
        </is>
      </c>
      <c r="B7142" s="198">
        <f>IF(ISBLANK('CONFIGURAÇÃO'!$DR$59),"",'CONFIGURAÇÃO'!$DR$59&amp;"")</f>
        <v/>
      </c>
      <c r="C7142" s="198">
        <f>"'CONFIGURAÇÃO'!DR59"</f>
        <v/>
      </c>
      <c r="D7142" s="198" t="inlineStr">
        <is>
          <t>configuração</t>
        </is>
      </c>
    </row>
    <row r="7143">
      <c r="A7143" s="198" t="inlineStr">
        <is>
          <t>custom.restricao.5.base</t>
        </is>
      </c>
      <c r="B7143" s="198">
        <f>IF(ISBLANK('CONFIGURAÇÃO'!$DU$60),"",'CONFIGURAÇÃO'!$DU$60&amp;"")</f>
        <v/>
      </c>
      <c r="C7143" s="198">
        <f>"'CONFIGURAÇÃO'!DU60"</f>
        <v/>
      </c>
      <c r="D7143" s="198" t="inlineStr">
        <is>
          <t>configuração</t>
        </is>
      </c>
    </row>
    <row r="7144">
      <c r="A7144" s="198" t="inlineStr">
        <is>
          <t>custom.restricao.5.devolucao</t>
        </is>
      </c>
      <c r="B7144" s="198">
        <f>IF(ISBLANK('CONFIGURAÇÃO'!$DU$61),"",'CONFIGURAÇÃO'!$DU$61&amp;"")</f>
        <v/>
      </c>
      <c r="C7144" s="198">
        <f>"'CONFIGURAÇÃO'!DU61"</f>
        <v/>
      </c>
      <c r="D7144" s="198" t="inlineStr">
        <is>
          <t>configuração</t>
        </is>
      </c>
    </row>
    <row r="7145">
      <c r="A7145" s="198" t="inlineStr">
        <is>
          <t>custom.restricao.5.frequencia</t>
        </is>
      </c>
      <c r="B7145" s="198">
        <f>IF(ISBLANK('CONFIGURAÇÃO'!$DU$62),"",'CONFIGURAÇÃO'!$DU$62&amp;"")</f>
        <v/>
      </c>
      <c r="C7145" s="198">
        <f>"'CONFIGURAÇÃO'!DU62"</f>
        <v/>
      </c>
      <c r="D7145" s="198" t="inlineStr">
        <is>
          <t>configuração</t>
        </is>
      </c>
    </row>
    <row r="7146">
      <c r="A7146" s="198" t="inlineStr">
        <is>
          <t>custom.restricao.5.efeito</t>
        </is>
      </c>
      <c r="B7146" s="198">
        <f>IF(ISBLANK('CONFIGURAÇÃO'!$DR$65),"",'CONFIGURAÇÃO'!$DR$65&amp;"")</f>
        <v/>
      </c>
      <c r="C7146" s="198">
        <f>"'CONFIGURAÇÃO'!DR65"</f>
        <v/>
      </c>
      <c r="D7146" s="198" t="inlineStr">
        <is>
          <t>configuração</t>
        </is>
      </c>
    </row>
    <row r="7147">
      <c r="A7147" s="198" t="inlineStr">
        <is>
          <t>custom.restricao.5.mestre_viu</t>
        </is>
      </c>
      <c r="B7147" s="198">
        <f>N('CONFIGURAÇÃO'!$DV$57)&amp;""</f>
        <v/>
      </c>
      <c r="C7147" s="198">
        <f>"'CONFIGURAÇÃO'!DV57"</f>
        <v/>
      </c>
      <c r="D7147" s="198" t="inlineStr">
        <is>
          <t>configuração</t>
        </is>
      </c>
    </row>
    <row r="7148">
      <c r="A7148" s="198" t="inlineStr">
        <is>
          <t>custom.restricao.6.nome</t>
        </is>
      </c>
      <c r="B7148" s="198">
        <f>IF(ISBLANK('CONFIGURAÇÃO'!$DZ$59),"",'CONFIGURAÇÃO'!$DZ$59&amp;"")</f>
        <v/>
      </c>
      <c r="C7148" s="198">
        <f>"'CONFIGURAÇÃO'!DZ59"</f>
        <v/>
      </c>
      <c r="D7148" s="198" t="inlineStr">
        <is>
          <t>configuração</t>
        </is>
      </c>
    </row>
    <row r="7149">
      <c r="A7149" s="198" t="inlineStr">
        <is>
          <t>custom.restricao.6.base</t>
        </is>
      </c>
      <c r="B7149" s="198">
        <f>IF(ISBLANK('CONFIGURAÇÃO'!$EC$60),"",'CONFIGURAÇÃO'!$EC$60&amp;"")</f>
        <v/>
      </c>
      <c r="C7149" s="198">
        <f>"'CONFIGURAÇÃO'!EC60"</f>
        <v/>
      </c>
      <c r="D7149" s="198" t="inlineStr">
        <is>
          <t>configuração</t>
        </is>
      </c>
    </row>
    <row r="7150">
      <c r="A7150" s="198" t="inlineStr">
        <is>
          <t>custom.restricao.6.devolucao</t>
        </is>
      </c>
      <c r="B7150" s="198">
        <f>IF(ISBLANK('CONFIGURAÇÃO'!$EC$61),"",'CONFIGURAÇÃO'!$EC$61&amp;"")</f>
        <v/>
      </c>
      <c r="C7150" s="198">
        <f>"'CONFIGURAÇÃO'!EC61"</f>
        <v/>
      </c>
      <c r="D7150" s="198" t="inlineStr">
        <is>
          <t>configuração</t>
        </is>
      </c>
    </row>
    <row r="7151">
      <c r="A7151" s="198" t="inlineStr">
        <is>
          <t>custom.restricao.6.frequencia</t>
        </is>
      </c>
      <c r="B7151" s="198">
        <f>IF(ISBLANK('CONFIGURAÇÃO'!$EC$62),"",'CONFIGURAÇÃO'!$EC$62&amp;"")</f>
        <v/>
      </c>
      <c r="C7151" s="198">
        <f>"'CONFIGURAÇÃO'!EC62"</f>
        <v/>
      </c>
      <c r="D7151" s="198" t="inlineStr">
        <is>
          <t>configuração</t>
        </is>
      </c>
    </row>
    <row r="7152">
      <c r="A7152" s="198" t="inlineStr">
        <is>
          <t>custom.restricao.6.efeito</t>
        </is>
      </c>
      <c r="B7152" s="198">
        <f>IF(ISBLANK('CONFIGURAÇÃO'!$DZ$65),"",'CONFIGURAÇÃO'!$DZ$65&amp;"")</f>
        <v/>
      </c>
      <c r="C7152" s="198">
        <f>"'CONFIGURAÇÃO'!DZ65"</f>
        <v/>
      </c>
      <c r="D7152" s="198" t="inlineStr">
        <is>
          <t>configuração</t>
        </is>
      </c>
    </row>
    <row r="7153">
      <c r="A7153" s="198" t="inlineStr">
        <is>
          <t>custom.restricao.6.mestre_viu</t>
        </is>
      </c>
      <c r="B7153" s="198">
        <f>N('CONFIGURAÇÃO'!$ED$57)&amp;""</f>
        <v/>
      </c>
      <c r="C7153" s="198">
        <f>"'CONFIGURAÇÃO'!ED57"</f>
        <v/>
      </c>
      <c r="D7153" s="198" t="inlineStr">
        <is>
          <t>configuração</t>
        </is>
      </c>
    </row>
    <row r="7154">
      <c r="A7154" s="198" t="inlineStr">
        <is>
          <t>custom.restricao.7.nome</t>
        </is>
      </c>
      <c r="B7154" s="198">
        <f>IF(ISBLANK('CONFIGURAÇÃO'!$DR$81),"",'CONFIGURAÇÃO'!$DR$81&amp;"")</f>
        <v/>
      </c>
      <c r="C7154" s="198">
        <f>"'CONFIGURAÇÃO'!DR81"</f>
        <v/>
      </c>
      <c r="D7154" s="198" t="inlineStr">
        <is>
          <t>configuração</t>
        </is>
      </c>
    </row>
    <row r="7155">
      <c r="A7155" s="198" t="inlineStr">
        <is>
          <t>custom.restricao.7.base</t>
        </is>
      </c>
      <c r="B7155" s="198">
        <f>IF(ISBLANK('CONFIGURAÇÃO'!$DU$82),"",'CONFIGURAÇÃO'!$DU$82&amp;"")</f>
        <v/>
      </c>
      <c r="C7155" s="198">
        <f>"'CONFIGURAÇÃO'!DU82"</f>
        <v/>
      </c>
      <c r="D7155" s="198" t="inlineStr">
        <is>
          <t>configuração</t>
        </is>
      </c>
    </row>
    <row r="7156">
      <c r="A7156" s="198" t="inlineStr">
        <is>
          <t>custom.restricao.7.devolucao</t>
        </is>
      </c>
      <c r="B7156" s="198">
        <f>IF(ISBLANK('CONFIGURAÇÃO'!$DU$83),"",'CONFIGURAÇÃO'!$DU$83&amp;"")</f>
        <v/>
      </c>
      <c r="C7156" s="198">
        <f>"'CONFIGURAÇÃO'!DU83"</f>
        <v/>
      </c>
      <c r="D7156" s="198" t="inlineStr">
        <is>
          <t>configuração</t>
        </is>
      </c>
    </row>
    <row r="7157">
      <c r="A7157" s="198" t="inlineStr">
        <is>
          <t>custom.restricao.7.frequencia</t>
        </is>
      </c>
      <c r="B7157" s="198">
        <f>IF(ISBLANK('CONFIGURAÇÃO'!$DU$84),"",'CONFIGURAÇÃO'!$DU$84&amp;"")</f>
        <v/>
      </c>
      <c r="C7157" s="198">
        <f>"'CONFIGURAÇÃO'!DU84"</f>
        <v/>
      </c>
      <c r="D7157" s="198" t="inlineStr">
        <is>
          <t>configuração</t>
        </is>
      </c>
    </row>
    <row r="7158">
      <c r="A7158" s="198" t="inlineStr">
        <is>
          <t>custom.restricao.7.efeito</t>
        </is>
      </c>
      <c r="B7158" s="198">
        <f>IF(ISBLANK('CONFIGURAÇÃO'!$DR$87),"",'CONFIGURAÇÃO'!$DR$87&amp;"")</f>
        <v/>
      </c>
      <c r="C7158" s="198">
        <f>"'CONFIGURAÇÃO'!DR87"</f>
        <v/>
      </c>
      <c r="D7158" s="198" t="inlineStr">
        <is>
          <t>configuração</t>
        </is>
      </c>
    </row>
    <row r="7159">
      <c r="A7159" s="198" t="inlineStr">
        <is>
          <t>custom.restricao.7.mestre_viu</t>
        </is>
      </c>
      <c r="B7159" s="198">
        <f>N('CONFIGURAÇÃO'!$DV$79)&amp;""</f>
        <v/>
      </c>
      <c r="C7159" s="198">
        <f>"'CONFIGURAÇÃO'!DV79"</f>
        <v/>
      </c>
      <c r="D7159" s="198" t="inlineStr">
        <is>
          <t>configuração</t>
        </is>
      </c>
    </row>
    <row r="7160">
      <c r="A7160" s="198" t="inlineStr">
        <is>
          <t>custom.restricao.8.nome</t>
        </is>
      </c>
      <c r="B7160" s="198">
        <f>IF(ISBLANK('CONFIGURAÇÃO'!$DZ$81),"",'CONFIGURAÇÃO'!$DZ$81&amp;"")</f>
        <v/>
      </c>
      <c r="C7160" s="198">
        <f>"'CONFIGURAÇÃO'!DZ81"</f>
        <v/>
      </c>
      <c r="D7160" s="198" t="inlineStr">
        <is>
          <t>configuração</t>
        </is>
      </c>
    </row>
    <row r="7161">
      <c r="A7161" s="198" t="inlineStr">
        <is>
          <t>custom.restricao.8.base</t>
        </is>
      </c>
      <c r="B7161" s="198">
        <f>IF(ISBLANK('CONFIGURAÇÃO'!$EC$82),"",'CONFIGURAÇÃO'!$EC$82&amp;"")</f>
        <v/>
      </c>
      <c r="C7161" s="198">
        <f>"'CONFIGURAÇÃO'!EC82"</f>
        <v/>
      </c>
      <c r="D7161" s="198" t="inlineStr">
        <is>
          <t>configuração</t>
        </is>
      </c>
    </row>
    <row r="7162">
      <c r="A7162" s="198" t="inlineStr">
        <is>
          <t>custom.restricao.8.devolucao</t>
        </is>
      </c>
      <c r="B7162" s="198">
        <f>IF(ISBLANK('CONFIGURAÇÃO'!$EC$83),"",'CONFIGURAÇÃO'!$EC$83&amp;"")</f>
        <v/>
      </c>
      <c r="C7162" s="198">
        <f>"'CONFIGURAÇÃO'!EC83"</f>
        <v/>
      </c>
      <c r="D7162" s="198" t="inlineStr">
        <is>
          <t>configuração</t>
        </is>
      </c>
    </row>
    <row r="7163">
      <c r="A7163" s="198" t="inlineStr">
        <is>
          <t>custom.restricao.8.frequencia</t>
        </is>
      </c>
      <c r="B7163" s="198">
        <f>IF(ISBLANK('CONFIGURAÇÃO'!$EC$84),"",'CONFIGURAÇÃO'!$EC$84&amp;"")</f>
        <v/>
      </c>
      <c r="C7163" s="198">
        <f>"'CONFIGURAÇÃO'!EC84"</f>
        <v/>
      </c>
      <c r="D7163" s="198" t="inlineStr">
        <is>
          <t>configuração</t>
        </is>
      </c>
    </row>
    <row r="7164">
      <c r="A7164" s="198" t="inlineStr">
        <is>
          <t>custom.restricao.8.efeito</t>
        </is>
      </c>
      <c r="B7164" s="198">
        <f>IF(ISBLANK('CONFIGURAÇÃO'!$DZ$87),"",'CONFIGURAÇÃO'!$DZ$87&amp;"")</f>
        <v/>
      </c>
      <c r="C7164" s="198">
        <f>"'CONFIGURAÇÃO'!DZ87"</f>
        <v/>
      </c>
      <c r="D7164" s="198" t="inlineStr">
        <is>
          <t>configuração</t>
        </is>
      </c>
    </row>
    <row r="7165">
      <c r="A7165" s="198" t="inlineStr">
        <is>
          <t>custom.restricao.8.mestre_viu</t>
        </is>
      </c>
      <c r="B7165" s="198">
        <f>N('CONFIGURAÇÃO'!$ED$79)&amp;""</f>
        <v/>
      </c>
      <c r="C7165" s="198">
        <f>"'CONFIGURAÇÃO'!ED79"</f>
        <v/>
      </c>
      <c r="D7165" s="198" t="inlineStr">
        <is>
          <t>configuração</t>
        </is>
      </c>
    </row>
    <row r="7166">
      <c r="A7166" s="198" t="inlineStr">
        <is>
          <t>custom.restricao.9.nome</t>
        </is>
      </c>
      <c r="B7166" s="198">
        <f>IF(ISBLANK('CONFIGURAÇÃO'!$DR$103),"",'CONFIGURAÇÃO'!$DR$103&amp;"")</f>
        <v/>
      </c>
      <c r="C7166" s="198">
        <f>"'CONFIGURAÇÃO'!DR103"</f>
        <v/>
      </c>
      <c r="D7166" s="198" t="inlineStr">
        <is>
          <t>configuração</t>
        </is>
      </c>
    </row>
    <row r="7167">
      <c r="A7167" s="198" t="inlineStr">
        <is>
          <t>custom.restricao.9.base</t>
        </is>
      </c>
      <c r="B7167" s="198">
        <f>IF(ISBLANK('CONFIGURAÇÃO'!$DU$104),"",'CONFIGURAÇÃO'!$DU$104&amp;"")</f>
        <v/>
      </c>
      <c r="C7167" s="198">
        <f>"'CONFIGURAÇÃO'!DU104"</f>
        <v/>
      </c>
      <c r="D7167" s="198" t="inlineStr">
        <is>
          <t>configuração</t>
        </is>
      </c>
    </row>
    <row r="7168">
      <c r="A7168" s="198" t="inlineStr">
        <is>
          <t>custom.restricao.9.devolucao</t>
        </is>
      </c>
      <c r="B7168" s="198">
        <f>IF(ISBLANK('CONFIGURAÇÃO'!$DU$105),"",'CONFIGURAÇÃO'!$DU$105&amp;"")</f>
        <v/>
      </c>
      <c r="C7168" s="198">
        <f>"'CONFIGURAÇÃO'!DU105"</f>
        <v/>
      </c>
      <c r="D7168" s="198" t="inlineStr">
        <is>
          <t>configuração</t>
        </is>
      </c>
    </row>
    <row r="7169">
      <c r="A7169" s="198" t="inlineStr">
        <is>
          <t>custom.restricao.9.frequencia</t>
        </is>
      </c>
      <c r="B7169" s="198">
        <f>IF(ISBLANK('CONFIGURAÇÃO'!$DU$106),"",'CONFIGURAÇÃO'!$DU$106&amp;"")</f>
        <v/>
      </c>
      <c r="C7169" s="198">
        <f>"'CONFIGURAÇÃO'!DU106"</f>
        <v/>
      </c>
      <c r="D7169" s="198" t="inlineStr">
        <is>
          <t>configuração</t>
        </is>
      </c>
    </row>
    <row r="7170">
      <c r="A7170" s="198" t="inlineStr">
        <is>
          <t>custom.restricao.9.efeito</t>
        </is>
      </c>
      <c r="B7170" s="198">
        <f>IF(ISBLANK('CONFIGURAÇÃO'!$DR$109),"",'CONFIGURAÇÃO'!$DR$109&amp;"")</f>
        <v/>
      </c>
      <c r="C7170" s="198">
        <f>"'CONFIGURAÇÃO'!DR109"</f>
        <v/>
      </c>
      <c r="D7170" s="198" t="inlineStr">
        <is>
          <t>configuração</t>
        </is>
      </c>
    </row>
    <row r="7171">
      <c r="A7171" s="198" t="inlineStr">
        <is>
          <t>custom.restricao.9.mestre_viu</t>
        </is>
      </c>
      <c r="B7171" s="198">
        <f>N('CONFIGURAÇÃO'!$DV$101)&amp;""</f>
        <v/>
      </c>
      <c r="C7171" s="198">
        <f>"'CONFIGURAÇÃO'!DV101"</f>
        <v/>
      </c>
      <c r="D7171" s="198" t="inlineStr">
        <is>
          <t>configuração</t>
        </is>
      </c>
    </row>
    <row r="7172">
      <c r="A7172" s="198" t="inlineStr">
        <is>
          <t>custom.restricao.10.nome</t>
        </is>
      </c>
      <c r="B7172" s="198">
        <f>IF(ISBLANK('CONFIGURAÇÃO'!$DZ$103),"",'CONFIGURAÇÃO'!$DZ$103&amp;"")</f>
        <v/>
      </c>
      <c r="C7172" s="198">
        <f>"'CONFIGURAÇÃO'!DZ103"</f>
        <v/>
      </c>
      <c r="D7172" s="198" t="inlineStr">
        <is>
          <t>configuração</t>
        </is>
      </c>
    </row>
    <row r="7173">
      <c r="A7173" s="198" t="inlineStr">
        <is>
          <t>custom.restricao.10.base</t>
        </is>
      </c>
      <c r="B7173" s="198">
        <f>IF(ISBLANK('CONFIGURAÇÃO'!$EC$104),"",'CONFIGURAÇÃO'!$EC$104&amp;"")</f>
        <v/>
      </c>
      <c r="C7173" s="198">
        <f>"'CONFIGURAÇÃO'!EC104"</f>
        <v/>
      </c>
      <c r="D7173" s="198" t="inlineStr">
        <is>
          <t>configuração</t>
        </is>
      </c>
    </row>
    <row r="7174">
      <c r="A7174" s="198" t="inlineStr">
        <is>
          <t>custom.restricao.10.devolucao</t>
        </is>
      </c>
      <c r="B7174" s="198">
        <f>IF(ISBLANK('CONFIGURAÇÃO'!$EC$105),"",'CONFIGURAÇÃO'!$EC$105&amp;"")</f>
        <v/>
      </c>
      <c r="C7174" s="198">
        <f>"'CONFIGURAÇÃO'!EC105"</f>
        <v/>
      </c>
      <c r="D7174" s="198" t="inlineStr">
        <is>
          <t>configuração</t>
        </is>
      </c>
    </row>
    <row r="7175">
      <c r="A7175" s="198" t="inlineStr">
        <is>
          <t>custom.restricao.10.frequencia</t>
        </is>
      </c>
      <c r="B7175" s="198">
        <f>IF(ISBLANK('CONFIGURAÇÃO'!$EC$106),"",'CONFIGURAÇÃO'!$EC$106&amp;"")</f>
        <v/>
      </c>
      <c r="C7175" s="198">
        <f>"'CONFIGURAÇÃO'!EC106"</f>
        <v/>
      </c>
      <c r="D7175" s="198" t="inlineStr">
        <is>
          <t>configuração</t>
        </is>
      </c>
    </row>
    <row r="7176">
      <c r="A7176" s="198" t="inlineStr">
        <is>
          <t>custom.restricao.10.efeito</t>
        </is>
      </c>
      <c r="B7176" s="198">
        <f>IF(ISBLANK('CONFIGURAÇÃO'!$DZ$109),"",'CONFIGURAÇÃO'!$DZ$109&amp;"")</f>
        <v/>
      </c>
      <c r="C7176" s="198">
        <f>"'CONFIGURAÇÃO'!DZ109"</f>
        <v/>
      </c>
      <c r="D7176" s="198" t="inlineStr">
        <is>
          <t>configuração</t>
        </is>
      </c>
    </row>
    <row r="7177">
      <c r="A7177" s="198" t="inlineStr">
        <is>
          <t>custom.restricao.10.mestre_viu</t>
        </is>
      </c>
      <c r="B7177" s="198">
        <f>N('CONFIGURAÇÃO'!$ED$101)&amp;""</f>
        <v/>
      </c>
      <c r="C7177" s="198">
        <f>"'CONFIGURAÇÃO'!ED101"</f>
        <v/>
      </c>
      <c r="D7177" s="198" t="inlineStr">
        <is>
          <t>configuração</t>
        </is>
      </c>
    </row>
    <row r="7178">
      <c r="A7178" s="198" t="inlineStr">
        <is>
          <t>custom.restricao.11.nome</t>
        </is>
      </c>
      <c r="B7178" s="198">
        <f>IF(ISBLANK('CONFIGURAÇÃO'!$DR$125),"",'CONFIGURAÇÃO'!$DR$125&amp;"")</f>
        <v/>
      </c>
      <c r="C7178" s="198">
        <f>"'CONFIGURAÇÃO'!DR125"</f>
        <v/>
      </c>
      <c r="D7178" s="198" t="inlineStr">
        <is>
          <t>configuração</t>
        </is>
      </c>
    </row>
    <row r="7179">
      <c r="A7179" s="198" t="inlineStr">
        <is>
          <t>custom.restricao.11.base</t>
        </is>
      </c>
      <c r="B7179" s="198">
        <f>IF(ISBLANK('CONFIGURAÇÃO'!$DU$126),"",'CONFIGURAÇÃO'!$DU$126&amp;"")</f>
        <v/>
      </c>
      <c r="C7179" s="198">
        <f>"'CONFIGURAÇÃO'!DU126"</f>
        <v/>
      </c>
      <c r="D7179" s="198" t="inlineStr">
        <is>
          <t>configuração</t>
        </is>
      </c>
    </row>
    <row r="7180">
      <c r="A7180" s="198" t="inlineStr">
        <is>
          <t>custom.restricao.11.devolucao</t>
        </is>
      </c>
      <c r="B7180" s="198">
        <f>IF(ISBLANK('CONFIGURAÇÃO'!$DU$127),"",'CONFIGURAÇÃO'!$DU$127&amp;"")</f>
        <v/>
      </c>
      <c r="C7180" s="198">
        <f>"'CONFIGURAÇÃO'!DU127"</f>
        <v/>
      </c>
      <c r="D7180" s="198" t="inlineStr">
        <is>
          <t>configuração</t>
        </is>
      </c>
    </row>
    <row r="7181">
      <c r="A7181" s="198" t="inlineStr">
        <is>
          <t>custom.restricao.11.frequencia</t>
        </is>
      </c>
      <c r="B7181" s="198">
        <f>IF(ISBLANK('CONFIGURAÇÃO'!$DU$128),"",'CONFIGURAÇÃO'!$DU$128&amp;"")</f>
        <v/>
      </c>
      <c r="C7181" s="198">
        <f>"'CONFIGURAÇÃO'!DU128"</f>
        <v/>
      </c>
      <c r="D7181" s="198" t="inlineStr">
        <is>
          <t>configuração</t>
        </is>
      </c>
    </row>
    <row r="7182">
      <c r="A7182" s="198" t="inlineStr">
        <is>
          <t>custom.restricao.11.efeito</t>
        </is>
      </c>
      <c r="B7182" s="198">
        <f>IF(ISBLANK('CONFIGURAÇÃO'!$DR$131),"",'CONFIGURAÇÃO'!$DR$131&amp;"")</f>
        <v/>
      </c>
      <c r="C7182" s="198">
        <f>"'CONFIGURAÇÃO'!DR131"</f>
        <v/>
      </c>
      <c r="D7182" s="198" t="inlineStr">
        <is>
          <t>configuração</t>
        </is>
      </c>
    </row>
    <row r="7183">
      <c r="A7183" s="198" t="inlineStr">
        <is>
          <t>custom.restricao.11.mestre_viu</t>
        </is>
      </c>
      <c r="B7183" s="198">
        <f>N('CONFIGURAÇÃO'!$DV$123)&amp;""</f>
        <v/>
      </c>
      <c r="C7183" s="198">
        <f>"'CONFIGURAÇÃO'!DV123"</f>
        <v/>
      </c>
      <c r="D7183" s="198" t="inlineStr">
        <is>
          <t>configuração</t>
        </is>
      </c>
    </row>
    <row r="7184">
      <c r="A7184" s="198" t="inlineStr">
        <is>
          <t>custom.restricao.12.nome</t>
        </is>
      </c>
      <c r="B7184" s="198">
        <f>IF(ISBLANK('CONFIGURAÇÃO'!$DZ$125),"",'CONFIGURAÇÃO'!$DZ$125&amp;"")</f>
        <v/>
      </c>
      <c r="C7184" s="198">
        <f>"'CONFIGURAÇÃO'!DZ125"</f>
        <v/>
      </c>
      <c r="D7184" s="198" t="inlineStr">
        <is>
          <t>configuração</t>
        </is>
      </c>
    </row>
    <row r="7185">
      <c r="A7185" s="198" t="inlineStr">
        <is>
          <t>custom.restricao.12.base</t>
        </is>
      </c>
      <c r="B7185" s="198">
        <f>IF(ISBLANK('CONFIGURAÇÃO'!$EC$126),"",'CONFIGURAÇÃO'!$EC$126&amp;"")</f>
        <v/>
      </c>
      <c r="C7185" s="198">
        <f>"'CONFIGURAÇÃO'!EC126"</f>
        <v/>
      </c>
      <c r="D7185" s="198" t="inlineStr">
        <is>
          <t>configuração</t>
        </is>
      </c>
    </row>
    <row r="7186">
      <c r="A7186" s="198" t="inlineStr">
        <is>
          <t>custom.restricao.12.devolucao</t>
        </is>
      </c>
      <c r="B7186" s="198">
        <f>IF(ISBLANK('CONFIGURAÇÃO'!$EC$127),"",'CONFIGURAÇÃO'!$EC$127&amp;"")</f>
        <v/>
      </c>
      <c r="C7186" s="198">
        <f>"'CONFIGURAÇÃO'!EC127"</f>
        <v/>
      </c>
      <c r="D7186" s="198" t="inlineStr">
        <is>
          <t>configuração</t>
        </is>
      </c>
    </row>
    <row r="7187">
      <c r="A7187" s="198" t="inlineStr">
        <is>
          <t>custom.restricao.12.frequencia</t>
        </is>
      </c>
      <c r="B7187" s="198">
        <f>IF(ISBLANK('CONFIGURAÇÃO'!$EC$128),"",'CONFIGURAÇÃO'!$EC$128&amp;"")</f>
        <v/>
      </c>
      <c r="C7187" s="198">
        <f>"'CONFIGURAÇÃO'!EC128"</f>
        <v/>
      </c>
      <c r="D7187" s="198" t="inlineStr">
        <is>
          <t>configuração</t>
        </is>
      </c>
    </row>
    <row r="7188">
      <c r="A7188" s="198" t="inlineStr">
        <is>
          <t>custom.restricao.12.efeito</t>
        </is>
      </c>
      <c r="B7188" s="198">
        <f>IF(ISBLANK('CONFIGURAÇÃO'!$DZ$131),"",'CONFIGURAÇÃO'!$DZ$131&amp;"")</f>
        <v/>
      </c>
      <c r="C7188" s="198">
        <f>"'CONFIGURAÇÃO'!DZ131"</f>
        <v/>
      </c>
      <c r="D7188" s="198" t="inlineStr">
        <is>
          <t>configuração</t>
        </is>
      </c>
    </row>
    <row r="7189">
      <c r="A7189" s="198" t="inlineStr">
        <is>
          <t>custom.restricao.12.mestre_viu</t>
        </is>
      </c>
      <c r="B7189" s="198">
        <f>N('CONFIGURAÇÃO'!$ED$123)&amp;""</f>
        <v/>
      </c>
      <c r="C7189" s="198">
        <f>"'CONFIGURAÇÃO'!ED123"</f>
        <v/>
      </c>
      <c r="D7189" s="198" t="inlineStr">
        <is>
          <t>configuração</t>
        </is>
      </c>
    </row>
    <row r="7190">
      <c r="A7190" s="198" t="inlineStr">
        <is>
          <t>custom.restricao.13.nome</t>
        </is>
      </c>
      <c r="B7190" s="198">
        <f>IF(ISBLANK('CONFIGURAÇÃO'!$DR$147),"",'CONFIGURAÇÃO'!$DR$147&amp;"")</f>
        <v/>
      </c>
      <c r="C7190" s="198">
        <f>"'CONFIGURAÇÃO'!DR147"</f>
        <v/>
      </c>
      <c r="D7190" s="198" t="inlineStr">
        <is>
          <t>configuração</t>
        </is>
      </c>
    </row>
    <row r="7191">
      <c r="A7191" s="198" t="inlineStr">
        <is>
          <t>custom.restricao.13.base</t>
        </is>
      </c>
      <c r="B7191" s="198">
        <f>IF(ISBLANK('CONFIGURAÇÃO'!$DU$148),"",'CONFIGURAÇÃO'!$DU$148&amp;"")</f>
        <v/>
      </c>
      <c r="C7191" s="198">
        <f>"'CONFIGURAÇÃO'!DU148"</f>
        <v/>
      </c>
      <c r="D7191" s="198" t="inlineStr">
        <is>
          <t>configuração</t>
        </is>
      </c>
    </row>
    <row r="7192">
      <c r="A7192" s="198" t="inlineStr">
        <is>
          <t>custom.restricao.13.devolucao</t>
        </is>
      </c>
      <c r="B7192" s="198">
        <f>IF(ISBLANK('CONFIGURAÇÃO'!$DU$149),"",'CONFIGURAÇÃO'!$DU$149&amp;"")</f>
        <v/>
      </c>
      <c r="C7192" s="198">
        <f>"'CONFIGURAÇÃO'!DU149"</f>
        <v/>
      </c>
      <c r="D7192" s="198" t="inlineStr">
        <is>
          <t>configuração</t>
        </is>
      </c>
    </row>
    <row r="7193">
      <c r="A7193" s="198" t="inlineStr">
        <is>
          <t>custom.restricao.13.frequencia</t>
        </is>
      </c>
      <c r="B7193" s="198">
        <f>IF(ISBLANK('CONFIGURAÇÃO'!$DU$150),"",'CONFIGURAÇÃO'!$DU$150&amp;"")</f>
        <v/>
      </c>
      <c r="C7193" s="198">
        <f>"'CONFIGURAÇÃO'!DU150"</f>
        <v/>
      </c>
      <c r="D7193" s="198" t="inlineStr">
        <is>
          <t>configuração</t>
        </is>
      </c>
    </row>
    <row r="7194">
      <c r="A7194" s="198" t="inlineStr">
        <is>
          <t>custom.restricao.13.efeito</t>
        </is>
      </c>
      <c r="B7194" s="198">
        <f>IF(ISBLANK('CONFIGURAÇÃO'!$DR$153),"",'CONFIGURAÇÃO'!$DR$153&amp;"")</f>
        <v/>
      </c>
      <c r="C7194" s="198">
        <f>"'CONFIGURAÇÃO'!DR153"</f>
        <v/>
      </c>
      <c r="D7194" s="198" t="inlineStr">
        <is>
          <t>configuração</t>
        </is>
      </c>
    </row>
    <row r="7195">
      <c r="A7195" s="198" t="inlineStr">
        <is>
          <t>custom.restricao.13.mestre_viu</t>
        </is>
      </c>
      <c r="B7195" s="198">
        <f>N('CONFIGURAÇÃO'!$DV$145)&amp;""</f>
        <v/>
      </c>
      <c r="C7195" s="198">
        <f>"'CONFIGURAÇÃO'!DV145"</f>
        <v/>
      </c>
      <c r="D7195" s="198" t="inlineStr">
        <is>
          <t>configuração</t>
        </is>
      </c>
    </row>
    <row r="7196">
      <c r="A7196" s="198" t="inlineStr">
        <is>
          <t>custom.restricao.14.nome</t>
        </is>
      </c>
      <c r="B7196" s="198">
        <f>IF(ISBLANK('CONFIGURAÇÃO'!$DZ$147),"",'CONFIGURAÇÃO'!$DZ$147&amp;"")</f>
        <v/>
      </c>
      <c r="C7196" s="198">
        <f>"'CONFIGURAÇÃO'!DZ147"</f>
        <v/>
      </c>
      <c r="D7196" s="198" t="inlineStr">
        <is>
          <t>configuração</t>
        </is>
      </c>
    </row>
    <row r="7197">
      <c r="A7197" s="198" t="inlineStr">
        <is>
          <t>custom.restricao.14.base</t>
        </is>
      </c>
      <c r="B7197" s="198">
        <f>IF(ISBLANK('CONFIGURAÇÃO'!$EC$148),"",'CONFIGURAÇÃO'!$EC$148&amp;"")</f>
        <v/>
      </c>
      <c r="C7197" s="198">
        <f>"'CONFIGURAÇÃO'!EC148"</f>
        <v/>
      </c>
      <c r="D7197" s="198" t="inlineStr">
        <is>
          <t>configuração</t>
        </is>
      </c>
    </row>
    <row r="7198">
      <c r="A7198" s="198" t="inlineStr">
        <is>
          <t>custom.restricao.14.devolucao</t>
        </is>
      </c>
      <c r="B7198" s="198">
        <f>IF(ISBLANK('CONFIGURAÇÃO'!$EC$149),"",'CONFIGURAÇÃO'!$EC$149&amp;"")</f>
        <v/>
      </c>
      <c r="C7198" s="198">
        <f>"'CONFIGURAÇÃO'!EC149"</f>
        <v/>
      </c>
      <c r="D7198" s="198" t="inlineStr">
        <is>
          <t>configuração</t>
        </is>
      </c>
    </row>
    <row r="7199">
      <c r="A7199" s="198" t="inlineStr">
        <is>
          <t>custom.restricao.14.frequencia</t>
        </is>
      </c>
      <c r="B7199" s="198">
        <f>IF(ISBLANK('CONFIGURAÇÃO'!$EC$150),"",'CONFIGURAÇÃO'!$EC$150&amp;"")</f>
        <v/>
      </c>
      <c r="C7199" s="198">
        <f>"'CONFIGURAÇÃO'!EC150"</f>
        <v/>
      </c>
      <c r="D7199" s="198" t="inlineStr">
        <is>
          <t>configuração</t>
        </is>
      </c>
    </row>
    <row r="7200">
      <c r="A7200" s="198" t="inlineStr">
        <is>
          <t>custom.restricao.14.efeito</t>
        </is>
      </c>
      <c r="B7200" s="198">
        <f>IF(ISBLANK('CONFIGURAÇÃO'!$DZ$153),"",'CONFIGURAÇÃO'!$DZ$153&amp;"")</f>
        <v/>
      </c>
      <c r="C7200" s="198">
        <f>"'CONFIGURAÇÃO'!DZ153"</f>
        <v/>
      </c>
      <c r="D7200" s="198" t="inlineStr">
        <is>
          <t>configuração</t>
        </is>
      </c>
    </row>
    <row r="7201">
      <c r="A7201" s="198" t="inlineStr">
        <is>
          <t>custom.restricao.14.mestre_viu</t>
        </is>
      </c>
      <c r="B7201" s="198">
        <f>N('CONFIGURAÇÃO'!$ED$145)&amp;""</f>
        <v/>
      </c>
      <c r="C7201" s="198">
        <f>"'CONFIGURAÇÃO'!ED145"</f>
        <v/>
      </c>
      <c r="D7201" s="198" t="inlineStr">
        <is>
          <t>configuração</t>
        </is>
      </c>
    </row>
    <row r="7202">
      <c r="A7202" s="198" t="inlineStr">
        <is>
          <t>custom.restricao.15.nome</t>
        </is>
      </c>
      <c r="B7202" s="198">
        <f>IF(ISBLANK('CONFIGURAÇÃO'!$DR$169),"",'CONFIGURAÇÃO'!$DR$169&amp;"")</f>
        <v/>
      </c>
      <c r="C7202" s="198">
        <f>"'CONFIGURAÇÃO'!DR169"</f>
        <v/>
      </c>
      <c r="D7202" s="198" t="inlineStr">
        <is>
          <t>configuração</t>
        </is>
      </c>
    </row>
    <row r="7203">
      <c r="A7203" s="198" t="inlineStr">
        <is>
          <t>custom.restricao.15.base</t>
        </is>
      </c>
      <c r="B7203" s="198">
        <f>IF(ISBLANK('CONFIGURAÇÃO'!$DU$170),"",'CONFIGURAÇÃO'!$DU$170&amp;"")</f>
        <v/>
      </c>
      <c r="C7203" s="198">
        <f>"'CONFIGURAÇÃO'!DU170"</f>
        <v/>
      </c>
      <c r="D7203" s="198" t="inlineStr">
        <is>
          <t>configuração</t>
        </is>
      </c>
    </row>
    <row r="7204">
      <c r="A7204" s="198" t="inlineStr">
        <is>
          <t>custom.restricao.15.devolucao</t>
        </is>
      </c>
      <c r="B7204" s="198">
        <f>IF(ISBLANK('CONFIGURAÇÃO'!$DU$171),"",'CONFIGURAÇÃO'!$DU$171&amp;"")</f>
        <v/>
      </c>
      <c r="C7204" s="198">
        <f>"'CONFIGURAÇÃO'!DU171"</f>
        <v/>
      </c>
      <c r="D7204" s="198" t="inlineStr">
        <is>
          <t>configuração</t>
        </is>
      </c>
    </row>
    <row r="7205">
      <c r="A7205" s="198" t="inlineStr">
        <is>
          <t>custom.restricao.15.frequencia</t>
        </is>
      </c>
      <c r="B7205" s="198">
        <f>IF(ISBLANK('CONFIGURAÇÃO'!$DU$172),"",'CONFIGURAÇÃO'!$DU$172&amp;"")</f>
        <v/>
      </c>
      <c r="C7205" s="198">
        <f>"'CONFIGURAÇÃO'!DU172"</f>
        <v/>
      </c>
      <c r="D7205" s="198" t="inlineStr">
        <is>
          <t>configuração</t>
        </is>
      </c>
    </row>
    <row r="7206">
      <c r="A7206" s="198" t="inlineStr">
        <is>
          <t>custom.restricao.15.efeito</t>
        </is>
      </c>
      <c r="B7206" s="198">
        <f>IF(ISBLANK('CONFIGURAÇÃO'!$DR$175),"",'CONFIGURAÇÃO'!$DR$175&amp;"")</f>
        <v/>
      </c>
      <c r="C7206" s="198">
        <f>"'CONFIGURAÇÃO'!DR175"</f>
        <v/>
      </c>
      <c r="D7206" s="198" t="inlineStr">
        <is>
          <t>configuração</t>
        </is>
      </c>
    </row>
    <row r="7207">
      <c r="A7207" s="198" t="inlineStr">
        <is>
          <t>custom.restricao.15.mestre_viu</t>
        </is>
      </c>
      <c r="B7207" s="198">
        <f>N('CONFIGURAÇÃO'!$DV$167)&amp;""</f>
        <v/>
      </c>
      <c r="C7207" s="198">
        <f>"'CONFIGURAÇÃO'!DV167"</f>
        <v/>
      </c>
      <c r="D7207" s="198" t="inlineStr">
        <is>
          <t>configuração</t>
        </is>
      </c>
    </row>
    <row r="7208">
      <c r="A7208" s="198" t="inlineStr">
        <is>
          <t>custom.restricao.16.nome</t>
        </is>
      </c>
      <c r="B7208" s="198">
        <f>IF(ISBLANK('CONFIGURAÇÃO'!$DZ$169),"",'CONFIGURAÇÃO'!$DZ$169&amp;"")</f>
        <v/>
      </c>
      <c r="C7208" s="198">
        <f>"'CONFIGURAÇÃO'!DZ169"</f>
        <v/>
      </c>
      <c r="D7208" s="198" t="inlineStr">
        <is>
          <t>configuração</t>
        </is>
      </c>
    </row>
    <row r="7209">
      <c r="A7209" s="198" t="inlineStr">
        <is>
          <t>custom.restricao.16.base</t>
        </is>
      </c>
      <c r="B7209" s="198">
        <f>IF(ISBLANK('CONFIGURAÇÃO'!$EC$170),"",'CONFIGURAÇÃO'!$EC$170&amp;"")</f>
        <v/>
      </c>
      <c r="C7209" s="198">
        <f>"'CONFIGURAÇÃO'!EC170"</f>
        <v/>
      </c>
      <c r="D7209" s="198" t="inlineStr">
        <is>
          <t>configuração</t>
        </is>
      </c>
    </row>
    <row r="7210">
      <c r="A7210" s="198" t="inlineStr">
        <is>
          <t>custom.restricao.16.devolucao</t>
        </is>
      </c>
      <c r="B7210" s="198">
        <f>IF(ISBLANK('CONFIGURAÇÃO'!$EC$171),"",'CONFIGURAÇÃO'!$EC$171&amp;"")</f>
        <v/>
      </c>
      <c r="C7210" s="198">
        <f>"'CONFIGURAÇÃO'!EC171"</f>
        <v/>
      </c>
      <c r="D7210" s="198" t="inlineStr">
        <is>
          <t>configuração</t>
        </is>
      </c>
    </row>
    <row r="7211">
      <c r="A7211" s="198" t="inlineStr">
        <is>
          <t>custom.restricao.16.frequencia</t>
        </is>
      </c>
      <c r="B7211" s="198">
        <f>IF(ISBLANK('CONFIGURAÇÃO'!$EC$172),"",'CONFIGURAÇÃO'!$EC$172&amp;"")</f>
        <v/>
      </c>
      <c r="C7211" s="198">
        <f>"'CONFIGURAÇÃO'!EC172"</f>
        <v/>
      </c>
      <c r="D7211" s="198" t="inlineStr">
        <is>
          <t>configuração</t>
        </is>
      </c>
    </row>
    <row r="7212">
      <c r="A7212" s="198" t="inlineStr">
        <is>
          <t>custom.restricao.16.efeito</t>
        </is>
      </c>
      <c r="B7212" s="198">
        <f>IF(ISBLANK('CONFIGURAÇÃO'!$DZ$175),"",'CONFIGURAÇÃO'!$DZ$175&amp;"")</f>
        <v/>
      </c>
      <c r="C7212" s="198">
        <f>"'CONFIGURAÇÃO'!DZ175"</f>
        <v/>
      </c>
      <c r="D7212" s="198" t="inlineStr">
        <is>
          <t>configuração</t>
        </is>
      </c>
    </row>
    <row r="7213">
      <c r="A7213" s="198" t="inlineStr">
        <is>
          <t>custom.restricao.16.mestre_viu</t>
        </is>
      </c>
      <c r="B7213" s="198">
        <f>N('CONFIGURAÇÃO'!$ED$167)&amp;""</f>
        <v/>
      </c>
      <c r="C7213" s="198">
        <f>"'CONFIGURAÇÃO'!ED167"</f>
        <v/>
      </c>
      <c r="D7213" s="198" t="inlineStr">
        <is>
          <t>configuração</t>
        </is>
      </c>
    </row>
    <row r="7214">
      <c r="A7214" s="198" t="inlineStr">
        <is>
          <t>custom.restricao.17.nome</t>
        </is>
      </c>
      <c r="B7214" s="198">
        <f>IF(ISBLANK('CONFIGURAÇÃO'!$DR$191),"",'CONFIGURAÇÃO'!$DR$191&amp;"")</f>
        <v/>
      </c>
      <c r="C7214" s="198">
        <f>"'CONFIGURAÇÃO'!DR191"</f>
        <v/>
      </c>
      <c r="D7214" s="198" t="inlineStr">
        <is>
          <t>configuração</t>
        </is>
      </c>
    </row>
    <row r="7215">
      <c r="A7215" s="198" t="inlineStr">
        <is>
          <t>custom.restricao.17.base</t>
        </is>
      </c>
      <c r="B7215" s="198">
        <f>IF(ISBLANK('CONFIGURAÇÃO'!$DU$192),"",'CONFIGURAÇÃO'!$DU$192&amp;"")</f>
        <v/>
      </c>
      <c r="C7215" s="198">
        <f>"'CONFIGURAÇÃO'!DU192"</f>
        <v/>
      </c>
      <c r="D7215" s="198" t="inlineStr">
        <is>
          <t>configuração</t>
        </is>
      </c>
    </row>
    <row r="7216">
      <c r="A7216" s="198" t="inlineStr">
        <is>
          <t>custom.restricao.17.devolucao</t>
        </is>
      </c>
      <c r="B7216" s="198">
        <f>IF(ISBLANK('CONFIGURAÇÃO'!$DU$193),"",'CONFIGURAÇÃO'!$DU$193&amp;"")</f>
        <v/>
      </c>
      <c r="C7216" s="198">
        <f>"'CONFIGURAÇÃO'!DU193"</f>
        <v/>
      </c>
      <c r="D7216" s="198" t="inlineStr">
        <is>
          <t>configuração</t>
        </is>
      </c>
    </row>
    <row r="7217">
      <c r="A7217" s="198" t="inlineStr">
        <is>
          <t>custom.restricao.17.frequencia</t>
        </is>
      </c>
      <c r="B7217" s="198">
        <f>IF(ISBLANK('CONFIGURAÇÃO'!$DU$194),"",'CONFIGURAÇÃO'!$DU$194&amp;"")</f>
        <v/>
      </c>
      <c r="C7217" s="198">
        <f>"'CONFIGURAÇÃO'!DU194"</f>
        <v/>
      </c>
      <c r="D7217" s="198" t="inlineStr">
        <is>
          <t>configuração</t>
        </is>
      </c>
    </row>
    <row r="7218">
      <c r="A7218" s="198" t="inlineStr">
        <is>
          <t>custom.restricao.17.efeito</t>
        </is>
      </c>
      <c r="B7218" s="198">
        <f>IF(ISBLANK('CONFIGURAÇÃO'!$DR$197),"",'CONFIGURAÇÃO'!$DR$197&amp;"")</f>
        <v/>
      </c>
      <c r="C7218" s="198">
        <f>"'CONFIGURAÇÃO'!DR197"</f>
        <v/>
      </c>
      <c r="D7218" s="198" t="inlineStr">
        <is>
          <t>configuração</t>
        </is>
      </c>
    </row>
    <row r="7219">
      <c r="A7219" s="198" t="inlineStr">
        <is>
          <t>custom.restricao.17.mestre_viu</t>
        </is>
      </c>
      <c r="B7219" s="198">
        <f>N('CONFIGURAÇÃO'!$DV$189)&amp;""</f>
        <v/>
      </c>
      <c r="C7219" s="198">
        <f>"'CONFIGURAÇÃO'!DV189"</f>
        <v/>
      </c>
      <c r="D7219" s="198" t="inlineStr">
        <is>
          <t>configuração</t>
        </is>
      </c>
    </row>
    <row r="7220">
      <c r="A7220" s="198" t="inlineStr">
        <is>
          <t>custom.restricao.18.nome</t>
        </is>
      </c>
      <c r="B7220" s="198">
        <f>IF(ISBLANK('CONFIGURAÇÃO'!$DZ$191),"",'CONFIGURAÇÃO'!$DZ$191&amp;"")</f>
        <v/>
      </c>
      <c r="C7220" s="198">
        <f>"'CONFIGURAÇÃO'!DZ191"</f>
        <v/>
      </c>
      <c r="D7220" s="198" t="inlineStr">
        <is>
          <t>configuração</t>
        </is>
      </c>
    </row>
    <row r="7221">
      <c r="A7221" s="198" t="inlineStr">
        <is>
          <t>custom.restricao.18.base</t>
        </is>
      </c>
      <c r="B7221" s="198">
        <f>IF(ISBLANK('CONFIGURAÇÃO'!$EC$192),"",'CONFIGURAÇÃO'!$EC$192&amp;"")</f>
        <v/>
      </c>
      <c r="C7221" s="198">
        <f>"'CONFIGURAÇÃO'!EC192"</f>
        <v/>
      </c>
      <c r="D7221" s="198" t="inlineStr">
        <is>
          <t>configuração</t>
        </is>
      </c>
    </row>
    <row r="7222">
      <c r="A7222" s="198" t="inlineStr">
        <is>
          <t>custom.restricao.18.devolucao</t>
        </is>
      </c>
      <c r="B7222" s="198">
        <f>IF(ISBLANK('CONFIGURAÇÃO'!$EC$193),"",'CONFIGURAÇÃO'!$EC$193&amp;"")</f>
        <v/>
      </c>
      <c r="C7222" s="198">
        <f>"'CONFIGURAÇÃO'!EC193"</f>
        <v/>
      </c>
      <c r="D7222" s="198" t="inlineStr">
        <is>
          <t>configuração</t>
        </is>
      </c>
    </row>
    <row r="7223">
      <c r="A7223" s="198" t="inlineStr">
        <is>
          <t>custom.restricao.18.frequencia</t>
        </is>
      </c>
      <c r="B7223" s="198">
        <f>IF(ISBLANK('CONFIGURAÇÃO'!$EC$194),"",'CONFIGURAÇÃO'!$EC$194&amp;"")</f>
        <v/>
      </c>
      <c r="C7223" s="198">
        <f>"'CONFIGURAÇÃO'!EC194"</f>
        <v/>
      </c>
      <c r="D7223" s="198" t="inlineStr">
        <is>
          <t>configuração</t>
        </is>
      </c>
    </row>
    <row r="7224">
      <c r="A7224" s="198" t="inlineStr">
        <is>
          <t>custom.restricao.18.efeito</t>
        </is>
      </c>
      <c r="B7224" s="198">
        <f>IF(ISBLANK('CONFIGURAÇÃO'!$DZ$197),"",'CONFIGURAÇÃO'!$DZ$197&amp;"")</f>
        <v/>
      </c>
      <c r="C7224" s="198">
        <f>"'CONFIGURAÇÃO'!DZ197"</f>
        <v/>
      </c>
      <c r="D7224" s="198" t="inlineStr">
        <is>
          <t>configuração</t>
        </is>
      </c>
    </row>
    <row r="7225">
      <c r="A7225" s="198" t="inlineStr">
        <is>
          <t>custom.restricao.18.mestre_viu</t>
        </is>
      </c>
      <c r="B7225" s="198">
        <f>N('CONFIGURAÇÃO'!$ED$189)&amp;""</f>
        <v/>
      </c>
      <c r="C7225" s="198">
        <f>"'CONFIGURAÇÃO'!ED189"</f>
        <v/>
      </c>
      <c r="D7225" s="198" t="inlineStr">
        <is>
          <t>configuração</t>
        </is>
      </c>
    </row>
    <row r="7226">
      <c r="A7226" s="198" t="inlineStr">
        <is>
          <t>custom.restricao.19.nome</t>
        </is>
      </c>
      <c r="B7226" s="198">
        <f>IF(ISBLANK('CONFIGURAÇÃO'!$DR$213),"",'CONFIGURAÇÃO'!$DR$213&amp;"")</f>
        <v/>
      </c>
      <c r="C7226" s="198">
        <f>"'CONFIGURAÇÃO'!DR213"</f>
        <v/>
      </c>
      <c r="D7226" s="198" t="inlineStr">
        <is>
          <t>configuração</t>
        </is>
      </c>
    </row>
    <row r="7227">
      <c r="A7227" s="198" t="inlineStr">
        <is>
          <t>custom.restricao.19.base</t>
        </is>
      </c>
      <c r="B7227" s="198">
        <f>IF(ISBLANK('CONFIGURAÇÃO'!$DU$214),"",'CONFIGURAÇÃO'!$DU$214&amp;"")</f>
        <v/>
      </c>
      <c r="C7227" s="198">
        <f>"'CONFIGURAÇÃO'!DU214"</f>
        <v/>
      </c>
      <c r="D7227" s="198" t="inlineStr">
        <is>
          <t>configuração</t>
        </is>
      </c>
    </row>
    <row r="7228">
      <c r="A7228" s="198" t="inlineStr">
        <is>
          <t>custom.restricao.19.devolucao</t>
        </is>
      </c>
      <c r="B7228" s="198">
        <f>IF(ISBLANK('CONFIGURAÇÃO'!$DU$215),"",'CONFIGURAÇÃO'!$DU$215&amp;"")</f>
        <v/>
      </c>
      <c r="C7228" s="198">
        <f>"'CONFIGURAÇÃO'!DU215"</f>
        <v/>
      </c>
      <c r="D7228" s="198" t="inlineStr">
        <is>
          <t>configuração</t>
        </is>
      </c>
    </row>
    <row r="7229">
      <c r="A7229" s="198" t="inlineStr">
        <is>
          <t>custom.restricao.19.frequencia</t>
        </is>
      </c>
      <c r="B7229" s="198">
        <f>IF(ISBLANK('CONFIGURAÇÃO'!$DU$216),"",'CONFIGURAÇÃO'!$DU$216&amp;"")</f>
        <v/>
      </c>
      <c r="C7229" s="198">
        <f>"'CONFIGURAÇÃO'!DU216"</f>
        <v/>
      </c>
      <c r="D7229" s="198" t="inlineStr">
        <is>
          <t>configuração</t>
        </is>
      </c>
    </row>
    <row r="7230">
      <c r="A7230" s="198" t="inlineStr">
        <is>
          <t>custom.restricao.19.efeito</t>
        </is>
      </c>
      <c r="B7230" s="198">
        <f>IF(ISBLANK('CONFIGURAÇÃO'!$DR$219),"",'CONFIGURAÇÃO'!$DR$219&amp;"")</f>
        <v/>
      </c>
      <c r="C7230" s="198">
        <f>"'CONFIGURAÇÃO'!DR219"</f>
        <v/>
      </c>
      <c r="D7230" s="198" t="inlineStr">
        <is>
          <t>configuração</t>
        </is>
      </c>
    </row>
    <row r="7231">
      <c r="A7231" s="198" t="inlineStr">
        <is>
          <t>custom.restricao.19.mestre_viu</t>
        </is>
      </c>
      <c r="B7231" s="198">
        <f>N('CONFIGURAÇÃO'!$DV$211)&amp;""</f>
        <v/>
      </c>
      <c r="C7231" s="198">
        <f>"'CONFIGURAÇÃO'!DV211"</f>
        <v/>
      </c>
      <c r="D7231" s="198" t="inlineStr">
        <is>
          <t>configuração</t>
        </is>
      </c>
    </row>
    <row r="7232">
      <c r="A7232" s="198" t="inlineStr">
        <is>
          <t>custom.restricao.20.nome</t>
        </is>
      </c>
      <c r="B7232" s="198">
        <f>IF(ISBLANK('CONFIGURAÇÃO'!$DZ$213),"",'CONFIGURAÇÃO'!$DZ$213&amp;"")</f>
        <v/>
      </c>
      <c r="C7232" s="198">
        <f>"'CONFIGURAÇÃO'!DZ213"</f>
        <v/>
      </c>
      <c r="D7232" s="198" t="inlineStr">
        <is>
          <t>configuração</t>
        </is>
      </c>
    </row>
    <row r="7233">
      <c r="A7233" s="198" t="inlineStr">
        <is>
          <t>custom.restricao.20.base</t>
        </is>
      </c>
      <c r="B7233" s="198">
        <f>IF(ISBLANK('CONFIGURAÇÃO'!$EC$214),"",'CONFIGURAÇÃO'!$EC$214&amp;"")</f>
        <v/>
      </c>
      <c r="C7233" s="198">
        <f>"'CONFIGURAÇÃO'!EC214"</f>
        <v/>
      </c>
      <c r="D7233" s="198" t="inlineStr">
        <is>
          <t>configuração</t>
        </is>
      </c>
    </row>
    <row r="7234">
      <c r="A7234" s="198" t="inlineStr">
        <is>
          <t>custom.restricao.20.devolucao</t>
        </is>
      </c>
      <c r="B7234" s="198">
        <f>IF(ISBLANK('CONFIGURAÇÃO'!$EC$215),"",'CONFIGURAÇÃO'!$EC$215&amp;"")</f>
        <v/>
      </c>
      <c r="C7234" s="198">
        <f>"'CONFIGURAÇÃO'!EC215"</f>
        <v/>
      </c>
      <c r="D7234" s="198" t="inlineStr">
        <is>
          <t>configuração</t>
        </is>
      </c>
    </row>
    <row r="7235">
      <c r="A7235" s="198" t="inlineStr">
        <is>
          <t>custom.restricao.20.frequencia</t>
        </is>
      </c>
      <c r="B7235" s="198">
        <f>IF(ISBLANK('CONFIGURAÇÃO'!$EC$216),"",'CONFIGURAÇÃO'!$EC$216&amp;"")</f>
        <v/>
      </c>
      <c r="C7235" s="198">
        <f>"'CONFIGURAÇÃO'!EC216"</f>
        <v/>
      </c>
      <c r="D7235" s="198" t="inlineStr">
        <is>
          <t>configuração</t>
        </is>
      </c>
    </row>
    <row r="7236">
      <c r="A7236" s="198" t="inlineStr">
        <is>
          <t>custom.restricao.20.efeito</t>
        </is>
      </c>
      <c r="B7236" s="198">
        <f>IF(ISBLANK('CONFIGURAÇÃO'!$DZ$219),"",'CONFIGURAÇÃO'!$DZ$219&amp;"")</f>
        <v/>
      </c>
      <c r="C7236" s="198">
        <f>"'CONFIGURAÇÃO'!DZ219"</f>
        <v/>
      </c>
      <c r="D7236" s="198" t="inlineStr">
        <is>
          <t>configuração</t>
        </is>
      </c>
    </row>
    <row r="7237">
      <c r="A7237" s="198" t="inlineStr">
        <is>
          <t>custom.restricao.20.mestre_viu</t>
        </is>
      </c>
      <c r="B7237" s="198">
        <f>N('CONFIGURAÇÃO'!$ED$211)&amp;""</f>
        <v/>
      </c>
      <c r="C7237" s="198">
        <f>"'CONFIGURAÇÃO'!ED211"</f>
        <v/>
      </c>
      <c r="D7237" s="198" t="inlineStr">
        <is>
          <t>configuração</t>
        </is>
      </c>
    </row>
    <row r="7238">
      <c r="A7238" s="198" t="inlineStr">
        <is>
          <t>custom.restricao.21.nome</t>
        </is>
      </c>
      <c r="B7238" s="198">
        <f>IF(ISBLANK('CONFIGURAÇÃO'!$DR$235),"",'CONFIGURAÇÃO'!$DR$235&amp;"")</f>
        <v/>
      </c>
      <c r="C7238" s="198">
        <f>"'CONFIGURAÇÃO'!DR235"</f>
        <v/>
      </c>
      <c r="D7238" s="198" t="inlineStr">
        <is>
          <t>configuração</t>
        </is>
      </c>
    </row>
    <row r="7239">
      <c r="A7239" s="198" t="inlineStr">
        <is>
          <t>custom.restricao.21.base</t>
        </is>
      </c>
      <c r="B7239" s="198">
        <f>IF(ISBLANK('CONFIGURAÇÃO'!$DU$236),"",'CONFIGURAÇÃO'!$DU$236&amp;"")</f>
        <v/>
      </c>
      <c r="C7239" s="198">
        <f>"'CONFIGURAÇÃO'!DU236"</f>
        <v/>
      </c>
      <c r="D7239" s="198" t="inlineStr">
        <is>
          <t>configuração</t>
        </is>
      </c>
    </row>
    <row r="7240">
      <c r="A7240" s="198" t="inlineStr">
        <is>
          <t>custom.restricao.21.devolucao</t>
        </is>
      </c>
      <c r="B7240" s="198">
        <f>IF(ISBLANK('CONFIGURAÇÃO'!$DU$237),"",'CONFIGURAÇÃO'!$DU$237&amp;"")</f>
        <v/>
      </c>
      <c r="C7240" s="198">
        <f>"'CONFIGURAÇÃO'!DU237"</f>
        <v/>
      </c>
      <c r="D7240" s="198" t="inlineStr">
        <is>
          <t>configuração</t>
        </is>
      </c>
    </row>
    <row r="7241">
      <c r="A7241" s="198" t="inlineStr">
        <is>
          <t>custom.restricao.21.frequencia</t>
        </is>
      </c>
      <c r="B7241" s="198">
        <f>IF(ISBLANK('CONFIGURAÇÃO'!$DU$238),"",'CONFIGURAÇÃO'!$DU$238&amp;"")</f>
        <v/>
      </c>
      <c r="C7241" s="198">
        <f>"'CONFIGURAÇÃO'!DU238"</f>
        <v/>
      </c>
      <c r="D7241" s="198" t="inlineStr">
        <is>
          <t>configuração</t>
        </is>
      </c>
    </row>
    <row r="7242">
      <c r="A7242" s="198" t="inlineStr">
        <is>
          <t>custom.restricao.21.efeito</t>
        </is>
      </c>
      <c r="B7242" s="198">
        <f>IF(ISBLANK('CONFIGURAÇÃO'!$DR$241),"",'CONFIGURAÇÃO'!$DR$241&amp;"")</f>
        <v/>
      </c>
      <c r="C7242" s="198">
        <f>"'CONFIGURAÇÃO'!DR241"</f>
        <v/>
      </c>
      <c r="D7242" s="198" t="inlineStr">
        <is>
          <t>configuração</t>
        </is>
      </c>
    </row>
    <row r="7243">
      <c r="A7243" s="198" t="inlineStr">
        <is>
          <t>custom.restricao.21.mestre_viu</t>
        </is>
      </c>
      <c r="B7243" s="198">
        <f>N('CONFIGURAÇÃO'!$DV$233)&amp;""</f>
        <v/>
      </c>
      <c r="C7243" s="198">
        <f>"'CONFIGURAÇÃO'!DV233"</f>
        <v/>
      </c>
      <c r="D7243" s="198" t="inlineStr">
        <is>
          <t>configuração</t>
        </is>
      </c>
    </row>
    <row r="7244">
      <c r="A7244" s="198" t="inlineStr">
        <is>
          <t>custom.restricao.22.nome</t>
        </is>
      </c>
      <c r="B7244" s="198">
        <f>IF(ISBLANK('CONFIGURAÇÃO'!$DZ$235),"",'CONFIGURAÇÃO'!$DZ$235&amp;"")</f>
        <v/>
      </c>
      <c r="C7244" s="198">
        <f>"'CONFIGURAÇÃO'!DZ235"</f>
        <v/>
      </c>
      <c r="D7244" s="198" t="inlineStr">
        <is>
          <t>configuração</t>
        </is>
      </c>
    </row>
    <row r="7245">
      <c r="A7245" s="198" t="inlineStr">
        <is>
          <t>custom.restricao.22.base</t>
        </is>
      </c>
      <c r="B7245" s="198">
        <f>IF(ISBLANK('CONFIGURAÇÃO'!$EC$236),"",'CONFIGURAÇÃO'!$EC$236&amp;"")</f>
        <v/>
      </c>
      <c r="C7245" s="198">
        <f>"'CONFIGURAÇÃO'!EC236"</f>
        <v/>
      </c>
      <c r="D7245" s="198" t="inlineStr">
        <is>
          <t>configuração</t>
        </is>
      </c>
    </row>
    <row r="7246">
      <c r="A7246" s="198" t="inlineStr">
        <is>
          <t>custom.restricao.22.devolucao</t>
        </is>
      </c>
      <c r="B7246" s="198">
        <f>IF(ISBLANK('CONFIGURAÇÃO'!$EC$237),"",'CONFIGURAÇÃO'!$EC$237&amp;"")</f>
        <v/>
      </c>
      <c r="C7246" s="198">
        <f>"'CONFIGURAÇÃO'!EC237"</f>
        <v/>
      </c>
      <c r="D7246" s="198" t="inlineStr">
        <is>
          <t>configuração</t>
        </is>
      </c>
    </row>
    <row r="7247">
      <c r="A7247" s="198" t="inlineStr">
        <is>
          <t>custom.restricao.22.frequencia</t>
        </is>
      </c>
      <c r="B7247" s="198">
        <f>IF(ISBLANK('CONFIGURAÇÃO'!$EC$238),"",'CONFIGURAÇÃO'!$EC$238&amp;"")</f>
        <v/>
      </c>
      <c r="C7247" s="198">
        <f>"'CONFIGURAÇÃO'!EC238"</f>
        <v/>
      </c>
      <c r="D7247" s="198" t="inlineStr">
        <is>
          <t>configuração</t>
        </is>
      </c>
    </row>
    <row r="7248">
      <c r="A7248" s="198" t="inlineStr">
        <is>
          <t>custom.restricao.22.efeito</t>
        </is>
      </c>
      <c r="B7248" s="198">
        <f>IF(ISBLANK('CONFIGURAÇÃO'!$DZ$241),"",'CONFIGURAÇÃO'!$DZ$241&amp;"")</f>
        <v/>
      </c>
      <c r="C7248" s="198">
        <f>"'CONFIGURAÇÃO'!DZ241"</f>
        <v/>
      </c>
      <c r="D7248" s="198" t="inlineStr">
        <is>
          <t>configuração</t>
        </is>
      </c>
    </row>
    <row r="7249">
      <c r="A7249" s="198" t="inlineStr">
        <is>
          <t>custom.restricao.22.mestre_viu</t>
        </is>
      </c>
      <c r="B7249" s="198">
        <f>N('CONFIGURAÇÃO'!$ED$233)&amp;""</f>
        <v/>
      </c>
      <c r="C7249" s="198">
        <f>"'CONFIGURAÇÃO'!ED233"</f>
        <v/>
      </c>
      <c r="D7249" s="198" t="inlineStr">
        <is>
          <t>configuração</t>
        </is>
      </c>
    </row>
    <row r="7250">
      <c r="A7250" s="198" t="inlineStr">
        <is>
          <t>custom.restricao.23.nome</t>
        </is>
      </c>
      <c r="B7250" s="198">
        <f>IF(ISBLANK('CONFIGURAÇÃO'!$DR$257),"",'CONFIGURAÇÃO'!$DR$257&amp;"")</f>
        <v/>
      </c>
      <c r="C7250" s="198">
        <f>"'CONFIGURAÇÃO'!DR257"</f>
        <v/>
      </c>
      <c r="D7250" s="198" t="inlineStr">
        <is>
          <t>configuração</t>
        </is>
      </c>
    </row>
    <row r="7251">
      <c r="A7251" s="198" t="inlineStr">
        <is>
          <t>custom.restricao.23.base</t>
        </is>
      </c>
      <c r="B7251" s="198">
        <f>IF(ISBLANK('CONFIGURAÇÃO'!$DU$258),"",'CONFIGURAÇÃO'!$DU$258&amp;"")</f>
        <v/>
      </c>
      <c r="C7251" s="198">
        <f>"'CONFIGURAÇÃO'!DU258"</f>
        <v/>
      </c>
      <c r="D7251" s="198" t="inlineStr">
        <is>
          <t>configuração</t>
        </is>
      </c>
    </row>
    <row r="7252">
      <c r="A7252" s="198" t="inlineStr">
        <is>
          <t>custom.restricao.23.devolucao</t>
        </is>
      </c>
      <c r="B7252" s="198">
        <f>IF(ISBLANK('CONFIGURAÇÃO'!$DU$259),"",'CONFIGURAÇÃO'!$DU$259&amp;"")</f>
        <v/>
      </c>
      <c r="C7252" s="198">
        <f>"'CONFIGURAÇÃO'!DU259"</f>
        <v/>
      </c>
      <c r="D7252" s="198" t="inlineStr">
        <is>
          <t>configuração</t>
        </is>
      </c>
    </row>
    <row r="7253">
      <c r="A7253" s="198" t="inlineStr">
        <is>
          <t>custom.restricao.23.frequencia</t>
        </is>
      </c>
      <c r="B7253" s="198">
        <f>IF(ISBLANK('CONFIGURAÇÃO'!$DU$260),"",'CONFIGURAÇÃO'!$DU$260&amp;"")</f>
        <v/>
      </c>
      <c r="C7253" s="198">
        <f>"'CONFIGURAÇÃO'!DU260"</f>
        <v/>
      </c>
      <c r="D7253" s="198" t="inlineStr">
        <is>
          <t>configuração</t>
        </is>
      </c>
    </row>
    <row r="7254">
      <c r="A7254" s="198" t="inlineStr">
        <is>
          <t>custom.restricao.23.efeito</t>
        </is>
      </c>
      <c r="B7254" s="198">
        <f>IF(ISBLANK('CONFIGURAÇÃO'!$DR$263),"",'CONFIGURAÇÃO'!$DR$263&amp;"")</f>
        <v/>
      </c>
      <c r="C7254" s="198">
        <f>"'CONFIGURAÇÃO'!DR263"</f>
        <v/>
      </c>
      <c r="D7254" s="198" t="inlineStr">
        <is>
          <t>configuração</t>
        </is>
      </c>
    </row>
    <row r="7255">
      <c r="A7255" s="198" t="inlineStr">
        <is>
          <t>custom.restricao.23.mestre_viu</t>
        </is>
      </c>
      <c r="B7255" s="198">
        <f>N('CONFIGURAÇÃO'!$DV$255)&amp;""</f>
        <v/>
      </c>
      <c r="C7255" s="198">
        <f>"'CONFIGURAÇÃO'!DV255"</f>
        <v/>
      </c>
      <c r="D7255" s="198" t="inlineStr">
        <is>
          <t>configuração</t>
        </is>
      </c>
    </row>
    <row r="7256">
      <c r="A7256" s="198" t="inlineStr">
        <is>
          <t>custom.restricao.24.nome</t>
        </is>
      </c>
      <c r="B7256" s="198">
        <f>IF(ISBLANK('CONFIGURAÇÃO'!$DZ$257),"",'CONFIGURAÇÃO'!$DZ$257&amp;"")</f>
        <v/>
      </c>
      <c r="C7256" s="198">
        <f>"'CONFIGURAÇÃO'!DZ257"</f>
        <v/>
      </c>
      <c r="D7256" s="198" t="inlineStr">
        <is>
          <t>configuração</t>
        </is>
      </c>
    </row>
    <row r="7257">
      <c r="A7257" s="198" t="inlineStr">
        <is>
          <t>custom.restricao.24.base</t>
        </is>
      </c>
      <c r="B7257" s="198">
        <f>IF(ISBLANK('CONFIGURAÇÃO'!$EC$258),"",'CONFIGURAÇÃO'!$EC$258&amp;"")</f>
        <v/>
      </c>
      <c r="C7257" s="198">
        <f>"'CONFIGURAÇÃO'!EC258"</f>
        <v/>
      </c>
      <c r="D7257" s="198" t="inlineStr">
        <is>
          <t>configuração</t>
        </is>
      </c>
    </row>
    <row r="7258">
      <c r="A7258" s="198" t="inlineStr">
        <is>
          <t>custom.restricao.24.devolucao</t>
        </is>
      </c>
      <c r="B7258" s="198">
        <f>IF(ISBLANK('CONFIGURAÇÃO'!$EC$259),"",'CONFIGURAÇÃO'!$EC$259&amp;"")</f>
        <v/>
      </c>
      <c r="C7258" s="198">
        <f>"'CONFIGURAÇÃO'!EC259"</f>
        <v/>
      </c>
      <c r="D7258" s="198" t="inlineStr">
        <is>
          <t>configuração</t>
        </is>
      </c>
    </row>
    <row r="7259">
      <c r="A7259" s="198" t="inlineStr">
        <is>
          <t>custom.restricao.24.frequencia</t>
        </is>
      </c>
      <c r="B7259" s="198">
        <f>IF(ISBLANK('CONFIGURAÇÃO'!$EC$260),"",'CONFIGURAÇÃO'!$EC$260&amp;"")</f>
        <v/>
      </c>
      <c r="C7259" s="198">
        <f>"'CONFIGURAÇÃO'!EC260"</f>
        <v/>
      </c>
      <c r="D7259" s="198" t="inlineStr">
        <is>
          <t>configuração</t>
        </is>
      </c>
    </row>
    <row r="7260">
      <c r="A7260" s="198" t="inlineStr">
        <is>
          <t>custom.restricao.24.efeito</t>
        </is>
      </c>
      <c r="B7260" s="198">
        <f>IF(ISBLANK('CONFIGURAÇÃO'!$DZ$263),"",'CONFIGURAÇÃO'!$DZ$263&amp;"")</f>
        <v/>
      </c>
      <c r="C7260" s="198">
        <f>"'CONFIGURAÇÃO'!DZ263"</f>
        <v/>
      </c>
      <c r="D7260" s="198" t="inlineStr">
        <is>
          <t>configuração</t>
        </is>
      </c>
    </row>
    <row r="7261">
      <c r="A7261" s="198" t="inlineStr">
        <is>
          <t>custom.restricao.24.mestre_viu</t>
        </is>
      </c>
      <c r="B7261" s="198">
        <f>N('CONFIGURAÇÃO'!$ED$255)&amp;""</f>
        <v/>
      </c>
      <c r="C7261" s="198">
        <f>"'CONFIGURAÇÃO'!ED255"</f>
        <v/>
      </c>
      <c r="D7261" s="198" t="inlineStr">
        <is>
          <t>configuração</t>
        </is>
      </c>
    </row>
    <row r="7262">
      <c r="A7262" s="198" t="inlineStr">
        <is>
          <t>custom.restricao.25.nome</t>
        </is>
      </c>
      <c r="B7262" s="198">
        <f>IF(ISBLANK('CONFIGURAÇÃO'!$DR$279),"",'CONFIGURAÇÃO'!$DR$279&amp;"")</f>
        <v/>
      </c>
      <c r="C7262" s="198">
        <f>"'CONFIGURAÇÃO'!DR279"</f>
        <v/>
      </c>
      <c r="D7262" s="198" t="inlineStr">
        <is>
          <t>configuração</t>
        </is>
      </c>
    </row>
    <row r="7263">
      <c r="A7263" s="198" t="inlineStr">
        <is>
          <t>custom.restricao.25.base</t>
        </is>
      </c>
      <c r="B7263" s="198">
        <f>IF(ISBLANK('CONFIGURAÇÃO'!$DU$280),"",'CONFIGURAÇÃO'!$DU$280&amp;"")</f>
        <v/>
      </c>
      <c r="C7263" s="198">
        <f>"'CONFIGURAÇÃO'!DU280"</f>
        <v/>
      </c>
      <c r="D7263" s="198" t="inlineStr">
        <is>
          <t>configuração</t>
        </is>
      </c>
    </row>
    <row r="7264">
      <c r="A7264" s="198" t="inlineStr">
        <is>
          <t>custom.restricao.25.devolucao</t>
        </is>
      </c>
      <c r="B7264" s="198">
        <f>IF(ISBLANK('CONFIGURAÇÃO'!$DU$281),"",'CONFIGURAÇÃO'!$DU$281&amp;"")</f>
        <v/>
      </c>
      <c r="C7264" s="198">
        <f>"'CONFIGURAÇÃO'!DU281"</f>
        <v/>
      </c>
      <c r="D7264" s="198" t="inlineStr">
        <is>
          <t>configuração</t>
        </is>
      </c>
    </row>
    <row r="7265">
      <c r="A7265" s="198" t="inlineStr">
        <is>
          <t>custom.restricao.25.frequencia</t>
        </is>
      </c>
      <c r="B7265" s="198">
        <f>IF(ISBLANK('CONFIGURAÇÃO'!$DU$282),"",'CONFIGURAÇÃO'!$DU$282&amp;"")</f>
        <v/>
      </c>
      <c r="C7265" s="198">
        <f>"'CONFIGURAÇÃO'!DU282"</f>
        <v/>
      </c>
      <c r="D7265" s="198" t="inlineStr">
        <is>
          <t>configuração</t>
        </is>
      </c>
    </row>
    <row r="7266">
      <c r="A7266" s="198" t="inlineStr">
        <is>
          <t>custom.restricao.25.efeito</t>
        </is>
      </c>
      <c r="B7266" s="198">
        <f>IF(ISBLANK('CONFIGURAÇÃO'!$DR$285),"",'CONFIGURAÇÃO'!$DR$285&amp;"")</f>
        <v/>
      </c>
      <c r="C7266" s="198">
        <f>"'CONFIGURAÇÃO'!DR285"</f>
        <v/>
      </c>
      <c r="D7266" s="198" t="inlineStr">
        <is>
          <t>configuração</t>
        </is>
      </c>
    </row>
    <row r="7267">
      <c r="A7267" s="198" t="inlineStr">
        <is>
          <t>custom.restricao.25.mestre_viu</t>
        </is>
      </c>
      <c r="B7267" s="198">
        <f>N('CONFIGURAÇÃO'!$DV$277)&amp;""</f>
        <v/>
      </c>
      <c r="C7267" s="198">
        <f>"'CONFIGURAÇÃO'!DV277"</f>
        <v/>
      </c>
      <c r="D7267" s="198" t="inlineStr">
        <is>
          <t>configuração</t>
        </is>
      </c>
    </row>
    <row r="7268">
      <c r="A7268" s="198" t="inlineStr">
        <is>
          <t>custom.restricao.26.nome</t>
        </is>
      </c>
      <c r="B7268" s="198">
        <f>IF(ISBLANK('CONFIGURAÇÃO'!$DZ$279),"",'CONFIGURAÇÃO'!$DZ$279&amp;"")</f>
        <v/>
      </c>
      <c r="C7268" s="198">
        <f>"'CONFIGURAÇÃO'!DZ279"</f>
        <v/>
      </c>
      <c r="D7268" s="198" t="inlineStr">
        <is>
          <t>configuração</t>
        </is>
      </c>
    </row>
    <row r="7269">
      <c r="A7269" s="198" t="inlineStr">
        <is>
          <t>custom.restricao.26.base</t>
        </is>
      </c>
      <c r="B7269" s="198">
        <f>IF(ISBLANK('CONFIGURAÇÃO'!$EC$280),"",'CONFIGURAÇÃO'!$EC$280&amp;"")</f>
        <v/>
      </c>
      <c r="C7269" s="198">
        <f>"'CONFIGURAÇÃO'!EC280"</f>
        <v/>
      </c>
      <c r="D7269" s="198" t="inlineStr">
        <is>
          <t>configuração</t>
        </is>
      </c>
    </row>
    <row r="7270">
      <c r="A7270" s="198" t="inlineStr">
        <is>
          <t>custom.restricao.26.devolucao</t>
        </is>
      </c>
      <c r="B7270" s="198">
        <f>IF(ISBLANK('CONFIGURAÇÃO'!$EC$281),"",'CONFIGURAÇÃO'!$EC$281&amp;"")</f>
        <v/>
      </c>
      <c r="C7270" s="198">
        <f>"'CONFIGURAÇÃO'!EC281"</f>
        <v/>
      </c>
      <c r="D7270" s="198" t="inlineStr">
        <is>
          <t>configuração</t>
        </is>
      </c>
    </row>
    <row r="7271">
      <c r="A7271" s="198" t="inlineStr">
        <is>
          <t>custom.restricao.26.frequencia</t>
        </is>
      </c>
      <c r="B7271" s="198">
        <f>IF(ISBLANK('CONFIGURAÇÃO'!$EC$282),"",'CONFIGURAÇÃO'!$EC$282&amp;"")</f>
        <v/>
      </c>
      <c r="C7271" s="198">
        <f>"'CONFIGURAÇÃO'!EC282"</f>
        <v/>
      </c>
      <c r="D7271" s="198" t="inlineStr">
        <is>
          <t>configuração</t>
        </is>
      </c>
    </row>
    <row r="7272">
      <c r="A7272" s="198" t="inlineStr">
        <is>
          <t>custom.restricao.26.efeito</t>
        </is>
      </c>
      <c r="B7272" s="198">
        <f>IF(ISBLANK('CONFIGURAÇÃO'!$DZ$285),"",'CONFIGURAÇÃO'!$DZ$285&amp;"")</f>
        <v/>
      </c>
      <c r="C7272" s="198">
        <f>"'CONFIGURAÇÃO'!DZ285"</f>
        <v/>
      </c>
      <c r="D7272" s="198" t="inlineStr">
        <is>
          <t>configuração</t>
        </is>
      </c>
    </row>
    <row r="7273">
      <c r="A7273" s="198" t="inlineStr">
        <is>
          <t>custom.restricao.26.mestre_viu</t>
        </is>
      </c>
      <c r="B7273" s="198">
        <f>N('CONFIGURAÇÃO'!$ED$277)&amp;""</f>
        <v/>
      </c>
      <c r="C7273" s="198">
        <f>"'CONFIGURAÇÃO'!ED277"</f>
        <v/>
      </c>
      <c r="D7273" s="198" t="inlineStr">
        <is>
          <t>configuração</t>
        </is>
      </c>
    </row>
    <row r="7274">
      <c r="A7274" s="198" t="inlineStr">
        <is>
          <t>custom.restricao.27.nome</t>
        </is>
      </c>
      <c r="B7274" s="198">
        <f>IF(ISBLANK('CONFIGURAÇÃO'!$DR$301),"",'CONFIGURAÇÃO'!$DR$301&amp;"")</f>
        <v/>
      </c>
      <c r="C7274" s="198">
        <f>"'CONFIGURAÇÃO'!DR301"</f>
        <v/>
      </c>
      <c r="D7274" s="198" t="inlineStr">
        <is>
          <t>configuração</t>
        </is>
      </c>
    </row>
    <row r="7275">
      <c r="A7275" s="198" t="inlineStr">
        <is>
          <t>custom.restricao.27.base</t>
        </is>
      </c>
      <c r="B7275" s="198">
        <f>IF(ISBLANK('CONFIGURAÇÃO'!$DU$302),"",'CONFIGURAÇÃO'!$DU$302&amp;"")</f>
        <v/>
      </c>
      <c r="C7275" s="198">
        <f>"'CONFIGURAÇÃO'!DU302"</f>
        <v/>
      </c>
      <c r="D7275" s="198" t="inlineStr">
        <is>
          <t>configuração</t>
        </is>
      </c>
    </row>
    <row r="7276">
      <c r="A7276" s="198" t="inlineStr">
        <is>
          <t>custom.restricao.27.devolucao</t>
        </is>
      </c>
      <c r="B7276" s="198">
        <f>IF(ISBLANK('CONFIGURAÇÃO'!$DU$303),"",'CONFIGURAÇÃO'!$DU$303&amp;"")</f>
        <v/>
      </c>
      <c r="C7276" s="198">
        <f>"'CONFIGURAÇÃO'!DU303"</f>
        <v/>
      </c>
      <c r="D7276" s="198" t="inlineStr">
        <is>
          <t>configuração</t>
        </is>
      </c>
    </row>
    <row r="7277">
      <c r="A7277" s="198" t="inlineStr">
        <is>
          <t>custom.restricao.27.frequencia</t>
        </is>
      </c>
      <c r="B7277" s="198">
        <f>IF(ISBLANK('CONFIGURAÇÃO'!$DU$304),"",'CONFIGURAÇÃO'!$DU$304&amp;"")</f>
        <v/>
      </c>
      <c r="C7277" s="198">
        <f>"'CONFIGURAÇÃO'!DU304"</f>
        <v/>
      </c>
      <c r="D7277" s="198" t="inlineStr">
        <is>
          <t>configuração</t>
        </is>
      </c>
    </row>
    <row r="7278">
      <c r="A7278" s="198" t="inlineStr">
        <is>
          <t>custom.restricao.27.efeito</t>
        </is>
      </c>
      <c r="B7278" s="198">
        <f>IF(ISBLANK('CONFIGURAÇÃO'!$DR$307),"",'CONFIGURAÇÃO'!$DR$307&amp;"")</f>
        <v/>
      </c>
      <c r="C7278" s="198">
        <f>"'CONFIGURAÇÃO'!DR307"</f>
        <v/>
      </c>
      <c r="D7278" s="198" t="inlineStr">
        <is>
          <t>configuração</t>
        </is>
      </c>
    </row>
    <row r="7279">
      <c r="A7279" s="198" t="inlineStr">
        <is>
          <t>custom.restricao.27.mestre_viu</t>
        </is>
      </c>
      <c r="B7279" s="198">
        <f>N('CONFIGURAÇÃO'!$DV$299)&amp;""</f>
        <v/>
      </c>
      <c r="C7279" s="198">
        <f>"'CONFIGURAÇÃO'!DV299"</f>
        <v/>
      </c>
      <c r="D7279" s="198" t="inlineStr">
        <is>
          <t>configuração</t>
        </is>
      </c>
    </row>
    <row r="7280">
      <c r="A7280" s="198" t="inlineStr">
        <is>
          <t>custom.restricao.28.nome</t>
        </is>
      </c>
      <c r="B7280" s="198">
        <f>IF(ISBLANK('CONFIGURAÇÃO'!$DZ$301),"",'CONFIGURAÇÃO'!$DZ$301&amp;"")</f>
        <v/>
      </c>
      <c r="C7280" s="198">
        <f>"'CONFIGURAÇÃO'!DZ301"</f>
        <v/>
      </c>
      <c r="D7280" s="198" t="inlineStr">
        <is>
          <t>configuração</t>
        </is>
      </c>
    </row>
    <row r="7281">
      <c r="A7281" s="198" t="inlineStr">
        <is>
          <t>custom.restricao.28.base</t>
        </is>
      </c>
      <c r="B7281" s="198">
        <f>IF(ISBLANK('CONFIGURAÇÃO'!$EC$302),"",'CONFIGURAÇÃO'!$EC$302&amp;"")</f>
        <v/>
      </c>
      <c r="C7281" s="198">
        <f>"'CONFIGURAÇÃO'!EC302"</f>
        <v/>
      </c>
      <c r="D7281" s="198" t="inlineStr">
        <is>
          <t>configuração</t>
        </is>
      </c>
    </row>
    <row r="7282">
      <c r="A7282" s="198" t="inlineStr">
        <is>
          <t>custom.restricao.28.devolucao</t>
        </is>
      </c>
      <c r="B7282" s="198">
        <f>IF(ISBLANK('CONFIGURAÇÃO'!$EC$303),"",'CONFIGURAÇÃO'!$EC$303&amp;"")</f>
        <v/>
      </c>
      <c r="C7282" s="198">
        <f>"'CONFIGURAÇÃO'!EC303"</f>
        <v/>
      </c>
      <c r="D7282" s="198" t="inlineStr">
        <is>
          <t>configuração</t>
        </is>
      </c>
    </row>
    <row r="7283">
      <c r="A7283" s="198" t="inlineStr">
        <is>
          <t>custom.restricao.28.frequencia</t>
        </is>
      </c>
      <c r="B7283" s="198">
        <f>IF(ISBLANK('CONFIGURAÇÃO'!$EC$304),"",'CONFIGURAÇÃO'!$EC$304&amp;"")</f>
        <v/>
      </c>
      <c r="C7283" s="198">
        <f>"'CONFIGURAÇÃO'!EC304"</f>
        <v/>
      </c>
      <c r="D7283" s="198" t="inlineStr">
        <is>
          <t>configuração</t>
        </is>
      </c>
    </row>
    <row r="7284">
      <c r="A7284" s="198" t="inlineStr">
        <is>
          <t>custom.restricao.28.efeito</t>
        </is>
      </c>
      <c r="B7284" s="198">
        <f>IF(ISBLANK('CONFIGURAÇÃO'!$DZ$307),"",'CONFIGURAÇÃO'!$DZ$307&amp;"")</f>
        <v/>
      </c>
      <c r="C7284" s="198">
        <f>"'CONFIGURAÇÃO'!DZ307"</f>
        <v/>
      </c>
      <c r="D7284" s="198" t="inlineStr">
        <is>
          <t>configuração</t>
        </is>
      </c>
    </row>
    <row r="7285">
      <c r="A7285" s="198" t="inlineStr">
        <is>
          <t>custom.restricao.28.mestre_viu</t>
        </is>
      </c>
      <c r="B7285" s="198">
        <f>N('CONFIGURAÇÃO'!$ED$299)&amp;""</f>
        <v/>
      </c>
      <c r="C7285" s="198">
        <f>"'CONFIGURAÇÃO'!ED299"</f>
        <v/>
      </c>
      <c r="D7285" s="198" t="inlineStr">
        <is>
          <t>configuração</t>
        </is>
      </c>
    </row>
    <row r="7286">
      <c r="A7286" s="198" t="inlineStr">
        <is>
          <t>custom.restricao.29.nome</t>
        </is>
      </c>
      <c r="B7286" s="198">
        <f>IF(ISBLANK('CONFIGURAÇÃO'!$DR$323),"",'CONFIGURAÇÃO'!$DR$323&amp;"")</f>
        <v/>
      </c>
      <c r="C7286" s="198">
        <f>"'CONFIGURAÇÃO'!DR323"</f>
        <v/>
      </c>
      <c r="D7286" s="198" t="inlineStr">
        <is>
          <t>configuração</t>
        </is>
      </c>
    </row>
    <row r="7287">
      <c r="A7287" s="198" t="inlineStr">
        <is>
          <t>custom.restricao.29.base</t>
        </is>
      </c>
      <c r="B7287" s="198">
        <f>IF(ISBLANK('CONFIGURAÇÃO'!$DU$324),"",'CONFIGURAÇÃO'!$DU$324&amp;"")</f>
        <v/>
      </c>
      <c r="C7287" s="198">
        <f>"'CONFIGURAÇÃO'!DU324"</f>
        <v/>
      </c>
      <c r="D7287" s="198" t="inlineStr">
        <is>
          <t>configuração</t>
        </is>
      </c>
    </row>
    <row r="7288">
      <c r="A7288" s="198" t="inlineStr">
        <is>
          <t>custom.restricao.29.devolucao</t>
        </is>
      </c>
      <c r="B7288" s="198">
        <f>IF(ISBLANK('CONFIGURAÇÃO'!$DU$325),"",'CONFIGURAÇÃO'!$DU$325&amp;"")</f>
        <v/>
      </c>
      <c r="C7288" s="198">
        <f>"'CONFIGURAÇÃO'!DU325"</f>
        <v/>
      </c>
      <c r="D7288" s="198" t="inlineStr">
        <is>
          <t>configuração</t>
        </is>
      </c>
    </row>
    <row r="7289">
      <c r="A7289" s="198" t="inlineStr">
        <is>
          <t>custom.restricao.29.frequencia</t>
        </is>
      </c>
      <c r="B7289" s="198">
        <f>IF(ISBLANK('CONFIGURAÇÃO'!$DU$326),"",'CONFIGURAÇÃO'!$DU$326&amp;"")</f>
        <v/>
      </c>
      <c r="C7289" s="198">
        <f>"'CONFIGURAÇÃO'!DU326"</f>
        <v/>
      </c>
      <c r="D7289" s="198" t="inlineStr">
        <is>
          <t>configuração</t>
        </is>
      </c>
    </row>
    <row r="7290">
      <c r="A7290" s="198" t="inlineStr">
        <is>
          <t>custom.restricao.29.efeito</t>
        </is>
      </c>
      <c r="B7290" s="198">
        <f>IF(ISBLANK('CONFIGURAÇÃO'!$DR$329),"",'CONFIGURAÇÃO'!$DR$329&amp;"")</f>
        <v/>
      </c>
      <c r="C7290" s="198">
        <f>"'CONFIGURAÇÃO'!DR329"</f>
        <v/>
      </c>
      <c r="D7290" s="198" t="inlineStr">
        <is>
          <t>configuração</t>
        </is>
      </c>
    </row>
    <row r="7291">
      <c r="A7291" s="198" t="inlineStr">
        <is>
          <t>custom.restricao.29.mestre_viu</t>
        </is>
      </c>
      <c r="B7291" s="198">
        <f>N('CONFIGURAÇÃO'!$DV$321)&amp;""</f>
        <v/>
      </c>
      <c r="C7291" s="198">
        <f>"'CONFIGURAÇÃO'!DV321"</f>
        <v/>
      </c>
      <c r="D7291" s="198" t="inlineStr">
        <is>
          <t>configuração</t>
        </is>
      </c>
    </row>
    <row r="7292">
      <c r="A7292" s="198" t="inlineStr">
        <is>
          <t>custom.restricao.30.nome</t>
        </is>
      </c>
      <c r="B7292" s="198">
        <f>IF(ISBLANK('CONFIGURAÇÃO'!$DZ$323),"",'CONFIGURAÇÃO'!$DZ$323&amp;"")</f>
        <v/>
      </c>
      <c r="C7292" s="198">
        <f>"'CONFIGURAÇÃO'!DZ323"</f>
        <v/>
      </c>
      <c r="D7292" s="198" t="inlineStr">
        <is>
          <t>configuração</t>
        </is>
      </c>
    </row>
    <row r="7293">
      <c r="A7293" s="198" t="inlineStr">
        <is>
          <t>custom.restricao.30.base</t>
        </is>
      </c>
      <c r="B7293" s="198">
        <f>IF(ISBLANK('CONFIGURAÇÃO'!$EC$324),"",'CONFIGURAÇÃO'!$EC$324&amp;"")</f>
        <v/>
      </c>
      <c r="C7293" s="198">
        <f>"'CONFIGURAÇÃO'!EC324"</f>
        <v/>
      </c>
      <c r="D7293" s="198" t="inlineStr">
        <is>
          <t>configuração</t>
        </is>
      </c>
    </row>
    <row r="7294">
      <c r="A7294" s="198" t="inlineStr">
        <is>
          <t>custom.restricao.30.devolucao</t>
        </is>
      </c>
      <c r="B7294" s="198">
        <f>IF(ISBLANK('CONFIGURAÇÃO'!$EC$325),"",'CONFIGURAÇÃO'!$EC$325&amp;"")</f>
        <v/>
      </c>
      <c r="C7294" s="198">
        <f>"'CONFIGURAÇÃO'!EC325"</f>
        <v/>
      </c>
      <c r="D7294" s="198" t="inlineStr">
        <is>
          <t>configuração</t>
        </is>
      </c>
    </row>
    <row r="7295">
      <c r="A7295" s="198" t="inlineStr">
        <is>
          <t>custom.restricao.30.frequencia</t>
        </is>
      </c>
      <c r="B7295" s="198">
        <f>IF(ISBLANK('CONFIGURAÇÃO'!$EC$326),"",'CONFIGURAÇÃO'!$EC$326&amp;"")</f>
        <v/>
      </c>
      <c r="C7295" s="198">
        <f>"'CONFIGURAÇÃO'!EC326"</f>
        <v/>
      </c>
      <c r="D7295" s="198" t="inlineStr">
        <is>
          <t>configuração</t>
        </is>
      </c>
    </row>
    <row r="7296">
      <c r="A7296" s="198" t="inlineStr">
        <is>
          <t>custom.restricao.30.efeito</t>
        </is>
      </c>
      <c r="B7296" s="198">
        <f>IF(ISBLANK('CONFIGURAÇÃO'!$DZ$329),"",'CONFIGURAÇÃO'!$DZ$329&amp;"")</f>
        <v/>
      </c>
      <c r="C7296" s="198">
        <f>"'CONFIGURAÇÃO'!DZ329"</f>
        <v/>
      </c>
      <c r="D7296" s="198" t="inlineStr">
        <is>
          <t>configuração</t>
        </is>
      </c>
    </row>
    <row r="7297">
      <c r="A7297" s="198" t="inlineStr">
        <is>
          <t>custom.restricao.30.mestre_viu</t>
        </is>
      </c>
      <c r="B7297" s="198">
        <f>N('CONFIGURAÇÃO'!$ED$321)&amp;""</f>
        <v/>
      </c>
      <c r="C7297" s="198">
        <f>"'CONFIGURAÇÃO'!ED321"</f>
        <v/>
      </c>
      <c r="D7297" s="198" t="inlineStr">
        <is>
          <t>configuração</t>
        </is>
      </c>
    </row>
    <row r="7298">
      <c r="A7298" s="198" t="inlineStr">
        <is>
          <t>aviso.custom.melhoria.1</t>
        </is>
      </c>
      <c r="B7298" s="198">
        <f>'DADOS_MELHORIAS'!$M$2&amp;""</f>
        <v/>
      </c>
      <c r="C7298" s="198">
        <f>"'DADOS_MELHORIAS'!M2"</f>
        <v/>
      </c>
      <c r="D7298" s="198" t="inlineStr">
        <is>
          <t>aviso</t>
        </is>
      </c>
    </row>
    <row r="7299">
      <c r="A7299" s="198" t="inlineStr">
        <is>
          <t>aviso.custom.melhoria.2</t>
        </is>
      </c>
      <c r="B7299" s="198">
        <f>'DADOS_MELHORIAS'!$M$3&amp;""</f>
        <v/>
      </c>
      <c r="C7299" s="198">
        <f>"'DADOS_MELHORIAS'!M3"</f>
        <v/>
      </c>
      <c r="D7299" s="198" t="inlineStr">
        <is>
          <t>aviso</t>
        </is>
      </c>
    </row>
    <row r="7300">
      <c r="A7300" s="198" t="inlineStr">
        <is>
          <t>aviso.custom.melhoria.3</t>
        </is>
      </c>
      <c r="B7300" s="198">
        <f>'DADOS_MELHORIAS'!$M$4&amp;""</f>
        <v/>
      </c>
      <c r="C7300" s="198">
        <f>"'DADOS_MELHORIAS'!M4"</f>
        <v/>
      </c>
      <c r="D7300" s="198" t="inlineStr">
        <is>
          <t>aviso</t>
        </is>
      </c>
    </row>
    <row r="7301">
      <c r="A7301" s="198" t="inlineStr">
        <is>
          <t>aviso.custom.melhoria.4</t>
        </is>
      </c>
      <c r="B7301" s="198">
        <f>'DADOS_MELHORIAS'!$M$5&amp;""</f>
        <v/>
      </c>
      <c r="C7301" s="198">
        <f>"'DADOS_MELHORIAS'!M5"</f>
        <v/>
      </c>
      <c r="D7301" s="198" t="inlineStr">
        <is>
          <t>aviso</t>
        </is>
      </c>
    </row>
    <row r="7302">
      <c r="A7302" s="198" t="inlineStr">
        <is>
          <t>aviso.custom.melhoria.5</t>
        </is>
      </c>
      <c r="B7302" s="198">
        <f>'DADOS_MELHORIAS'!$M$6&amp;""</f>
        <v/>
      </c>
      <c r="C7302" s="198">
        <f>"'DADOS_MELHORIAS'!M6"</f>
        <v/>
      </c>
      <c r="D7302" s="198" t="inlineStr">
        <is>
          <t>aviso</t>
        </is>
      </c>
    </row>
    <row r="7303">
      <c r="A7303" s="198" t="inlineStr">
        <is>
          <t>aviso.custom.melhoria.6</t>
        </is>
      </c>
      <c r="B7303" s="198">
        <f>'DADOS_MELHORIAS'!$M$7&amp;""</f>
        <v/>
      </c>
      <c r="C7303" s="198">
        <f>"'DADOS_MELHORIAS'!M7"</f>
        <v/>
      </c>
      <c r="D7303" s="198" t="inlineStr">
        <is>
          <t>aviso</t>
        </is>
      </c>
    </row>
    <row r="7304">
      <c r="A7304" s="198" t="inlineStr">
        <is>
          <t>aviso.custom.melhoria.7</t>
        </is>
      </c>
      <c r="B7304" s="198">
        <f>'DADOS_MELHORIAS'!$M$8&amp;""</f>
        <v/>
      </c>
      <c r="C7304" s="198">
        <f>"'DADOS_MELHORIAS'!M8"</f>
        <v/>
      </c>
      <c r="D7304" s="198" t="inlineStr">
        <is>
          <t>aviso</t>
        </is>
      </c>
    </row>
    <row r="7305">
      <c r="A7305" s="198" t="inlineStr">
        <is>
          <t>aviso.custom.melhoria.8</t>
        </is>
      </c>
      <c r="B7305" s="198">
        <f>'DADOS_MELHORIAS'!$M$9&amp;""</f>
        <v/>
      </c>
      <c r="C7305" s="198">
        <f>"'DADOS_MELHORIAS'!M9"</f>
        <v/>
      </c>
      <c r="D7305" s="198" t="inlineStr">
        <is>
          <t>aviso</t>
        </is>
      </c>
    </row>
    <row r="7306">
      <c r="A7306" s="198" t="inlineStr">
        <is>
          <t>aviso.custom.melhoria.9</t>
        </is>
      </c>
      <c r="B7306" s="198">
        <f>'DADOS_MELHORIAS'!$M$10&amp;""</f>
        <v/>
      </c>
      <c r="C7306" s="198">
        <f>"'DADOS_MELHORIAS'!M10"</f>
        <v/>
      </c>
      <c r="D7306" s="198" t="inlineStr">
        <is>
          <t>aviso</t>
        </is>
      </c>
    </row>
    <row r="7307">
      <c r="A7307" s="198" t="inlineStr">
        <is>
          <t>aviso.custom.melhoria.10</t>
        </is>
      </c>
      <c r="B7307" s="198">
        <f>'DADOS_MELHORIAS'!$M$11&amp;""</f>
        <v/>
      </c>
      <c r="C7307" s="198">
        <f>"'DADOS_MELHORIAS'!M11"</f>
        <v/>
      </c>
      <c r="D7307" s="198" t="inlineStr">
        <is>
          <t>aviso</t>
        </is>
      </c>
    </row>
    <row r="7308">
      <c r="A7308" s="198" t="inlineStr">
        <is>
          <t>aviso.custom.melhoria.11</t>
        </is>
      </c>
      <c r="B7308" s="198">
        <f>'DADOS_MELHORIAS'!$M$12&amp;""</f>
        <v/>
      </c>
      <c r="C7308" s="198">
        <f>"'DADOS_MELHORIAS'!M12"</f>
        <v/>
      </c>
      <c r="D7308" s="198" t="inlineStr">
        <is>
          <t>aviso</t>
        </is>
      </c>
    </row>
    <row r="7309">
      <c r="A7309" s="198" t="inlineStr">
        <is>
          <t>aviso.custom.melhoria.12</t>
        </is>
      </c>
      <c r="B7309" s="198">
        <f>'DADOS_MELHORIAS'!$M$13&amp;""</f>
        <v/>
      </c>
      <c r="C7309" s="198">
        <f>"'DADOS_MELHORIAS'!M13"</f>
        <v/>
      </c>
      <c r="D7309" s="198" t="inlineStr">
        <is>
          <t>aviso</t>
        </is>
      </c>
    </row>
    <row r="7310">
      <c r="A7310" s="198" t="inlineStr">
        <is>
          <t>aviso.custom.melhoria.13</t>
        </is>
      </c>
      <c r="B7310" s="198">
        <f>'DADOS_MELHORIAS'!$M$14&amp;""</f>
        <v/>
      </c>
      <c r="C7310" s="198">
        <f>"'DADOS_MELHORIAS'!M14"</f>
        <v/>
      </c>
      <c r="D7310" s="198" t="inlineStr">
        <is>
          <t>aviso</t>
        </is>
      </c>
    </row>
    <row r="7311">
      <c r="A7311" s="198" t="inlineStr">
        <is>
          <t>aviso.custom.melhoria.14</t>
        </is>
      </c>
      <c r="B7311" s="198">
        <f>'DADOS_MELHORIAS'!$M$15&amp;""</f>
        <v/>
      </c>
      <c r="C7311" s="198">
        <f>"'DADOS_MELHORIAS'!M15"</f>
        <v/>
      </c>
      <c r="D7311" s="198" t="inlineStr">
        <is>
          <t>aviso</t>
        </is>
      </c>
    </row>
    <row r="7312">
      <c r="A7312" s="198" t="inlineStr">
        <is>
          <t>aviso.custom.melhoria.15</t>
        </is>
      </c>
      <c r="B7312" s="198">
        <f>'DADOS_MELHORIAS'!$M$16&amp;""</f>
        <v/>
      </c>
      <c r="C7312" s="198">
        <f>"'DADOS_MELHORIAS'!M16"</f>
        <v/>
      </c>
      <c r="D7312" s="198" t="inlineStr">
        <is>
          <t>aviso</t>
        </is>
      </c>
    </row>
    <row r="7313">
      <c r="A7313" s="198" t="inlineStr">
        <is>
          <t>aviso.custom.melhoria.16</t>
        </is>
      </c>
      <c r="B7313" s="198">
        <f>'DADOS_MELHORIAS'!$M$17&amp;""</f>
        <v/>
      </c>
      <c r="C7313" s="198">
        <f>"'DADOS_MELHORIAS'!M17"</f>
        <v/>
      </c>
      <c r="D7313" s="198" t="inlineStr">
        <is>
          <t>aviso</t>
        </is>
      </c>
    </row>
    <row r="7314">
      <c r="A7314" s="198" t="inlineStr">
        <is>
          <t>aviso.custom.melhoria.17</t>
        </is>
      </c>
      <c r="B7314" s="198">
        <f>'DADOS_MELHORIAS'!$M$18&amp;""</f>
        <v/>
      </c>
      <c r="C7314" s="198">
        <f>"'DADOS_MELHORIAS'!M18"</f>
        <v/>
      </c>
      <c r="D7314" s="198" t="inlineStr">
        <is>
          <t>aviso</t>
        </is>
      </c>
    </row>
    <row r="7315">
      <c r="A7315" s="198" t="inlineStr">
        <is>
          <t>aviso.custom.melhoria.18</t>
        </is>
      </c>
      <c r="B7315" s="198">
        <f>'DADOS_MELHORIAS'!$M$19&amp;""</f>
        <v/>
      </c>
      <c r="C7315" s="198">
        <f>"'DADOS_MELHORIAS'!M19"</f>
        <v/>
      </c>
      <c r="D7315" s="198" t="inlineStr">
        <is>
          <t>aviso</t>
        </is>
      </c>
    </row>
    <row r="7316">
      <c r="A7316" s="198" t="inlineStr">
        <is>
          <t>aviso.custom.melhoria.19</t>
        </is>
      </c>
      <c r="B7316" s="198">
        <f>'DADOS_MELHORIAS'!$M$20&amp;""</f>
        <v/>
      </c>
      <c r="C7316" s="198">
        <f>"'DADOS_MELHORIAS'!M20"</f>
        <v/>
      </c>
      <c r="D7316" s="198" t="inlineStr">
        <is>
          <t>aviso</t>
        </is>
      </c>
    </row>
    <row r="7317">
      <c r="A7317" s="198" t="inlineStr">
        <is>
          <t>aviso.custom.melhoria.20</t>
        </is>
      </c>
      <c r="B7317" s="198">
        <f>'DADOS_MELHORIAS'!$M$21&amp;""</f>
        <v/>
      </c>
      <c r="C7317" s="198">
        <f>"'DADOS_MELHORIAS'!M21"</f>
        <v/>
      </c>
      <c r="D7317" s="198" t="inlineStr">
        <is>
          <t>aviso</t>
        </is>
      </c>
    </row>
    <row r="7318">
      <c r="A7318" s="198" t="inlineStr">
        <is>
          <t>aviso.custom.melhoria.21</t>
        </is>
      </c>
      <c r="B7318" s="198">
        <f>'DADOS_MELHORIAS'!$M$22&amp;""</f>
        <v/>
      </c>
      <c r="C7318" s="198">
        <f>"'DADOS_MELHORIAS'!M22"</f>
        <v/>
      </c>
      <c r="D7318" s="198" t="inlineStr">
        <is>
          <t>aviso</t>
        </is>
      </c>
    </row>
    <row r="7319">
      <c r="A7319" s="198" t="inlineStr">
        <is>
          <t>aviso.custom.melhoria.22</t>
        </is>
      </c>
      <c r="B7319" s="198">
        <f>'DADOS_MELHORIAS'!$M$23&amp;""</f>
        <v/>
      </c>
      <c r="C7319" s="198">
        <f>"'DADOS_MELHORIAS'!M23"</f>
        <v/>
      </c>
      <c r="D7319" s="198" t="inlineStr">
        <is>
          <t>aviso</t>
        </is>
      </c>
    </row>
    <row r="7320">
      <c r="A7320" s="198" t="inlineStr">
        <is>
          <t>aviso.custom.melhoria.23</t>
        </is>
      </c>
      <c r="B7320" s="198">
        <f>'DADOS_MELHORIAS'!$M$24&amp;""</f>
        <v/>
      </c>
      <c r="C7320" s="198">
        <f>"'DADOS_MELHORIAS'!M24"</f>
        <v/>
      </c>
      <c r="D7320" s="198" t="inlineStr">
        <is>
          <t>aviso</t>
        </is>
      </c>
    </row>
    <row r="7321">
      <c r="A7321" s="198" t="inlineStr">
        <is>
          <t>aviso.custom.melhoria.24</t>
        </is>
      </c>
      <c r="B7321" s="198">
        <f>'DADOS_MELHORIAS'!$M$25&amp;""</f>
        <v/>
      </c>
      <c r="C7321" s="198">
        <f>"'DADOS_MELHORIAS'!M25"</f>
        <v/>
      </c>
      <c r="D7321" s="198" t="inlineStr">
        <is>
          <t>aviso</t>
        </is>
      </c>
    </row>
    <row r="7322">
      <c r="A7322" s="198" t="inlineStr">
        <is>
          <t>aviso.custom.melhoria.25</t>
        </is>
      </c>
      <c r="B7322" s="198">
        <f>'DADOS_MELHORIAS'!$M$26&amp;""</f>
        <v/>
      </c>
      <c r="C7322" s="198">
        <f>"'DADOS_MELHORIAS'!M26"</f>
        <v/>
      </c>
      <c r="D7322" s="198" t="inlineStr">
        <is>
          <t>aviso</t>
        </is>
      </c>
    </row>
    <row r="7323">
      <c r="A7323" s="198" t="inlineStr">
        <is>
          <t>aviso.custom.melhoria.26</t>
        </is>
      </c>
      <c r="B7323" s="198">
        <f>'DADOS_MELHORIAS'!$M$27&amp;""</f>
        <v/>
      </c>
      <c r="C7323" s="198">
        <f>"'DADOS_MELHORIAS'!M27"</f>
        <v/>
      </c>
      <c r="D7323" s="198" t="inlineStr">
        <is>
          <t>aviso</t>
        </is>
      </c>
    </row>
    <row r="7324">
      <c r="A7324" s="198" t="inlineStr">
        <is>
          <t>aviso.custom.melhoria.27</t>
        </is>
      </c>
      <c r="B7324" s="198">
        <f>'DADOS_MELHORIAS'!$M$28&amp;""</f>
        <v/>
      </c>
      <c r="C7324" s="198">
        <f>"'DADOS_MELHORIAS'!M28"</f>
        <v/>
      </c>
      <c r="D7324" s="198" t="inlineStr">
        <is>
          <t>aviso</t>
        </is>
      </c>
    </row>
    <row r="7325">
      <c r="A7325" s="198" t="inlineStr">
        <is>
          <t>aviso.custom.melhoria.28</t>
        </is>
      </c>
      <c r="B7325" s="198">
        <f>'DADOS_MELHORIAS'!$M$29&amp;""</f>
        <v/>
      </c>
      <c r="C7325" s="198">
        <f>"'DADOS_MELHORIAS'!M29"</f>
        <v/>
      </c>
      <c r="D7325" s="198" t="inlineStr">
        <is>
          <t>aviso</t>
        </is>
      </c>
    </row>
    <row r="7326">
      <c r="A7326" s="198" t="inlineStr">
        <is>
          <t>aviso.custom.melhoria.29</t>
        </is>
      </c>
      <c r="B7326" s="198">
        <f>'DADOS_MELHORIAS'!$M$30&amp;""</f>
        <v/>
      </c>
      <c r="C7326" s="198">
        <f>"'DADOS_MELHORIAS'!M30"</f>
        <v/>
      </c>
      <c r="D7326" s="198" t="inlineStr">
        <is>
          <t>aviso</t>
        </is>
      </c>
    </row>
    <row r="7327">
      <c r="A7327" s="198" t="inlineStr">
        <is>
          <t>aviso.custom.melhoria.30</t>
        </is>
      </c>
      <c r="B7327" s="198">
        <f>'DADOS_MELHORIAS'!$M$31&amp;""</f>
        <v/>
      </c>
      <c r="C7327" s="198">
        <f>"'DADOS_MELHORIAS'!M31"</f>
        <v/>
      </c>
      <c r="D7327" s="198" t="inlineStr">
        <is>
          <t>aviso</t>
        </is>
      </c>
    </row>
    <row r="7328">
      <c r="A7328" s="198" t="inlineStr">
        <is>
          <t>aviso.custom.restricao.1</t>
        </is>
      </c>
      <c r="B7328" s="198">
        <f>'DADOS_RESTRICOES'!$K$2&amp;""</f>
        <v/>
      </c>
      <c r="C7328" s="198">
        <f>"'DADOS_RESTRICOES'!K2"</f>
        <v/>
      </c>
      <c r="D7328" s="198" t="inlineStr">
        <is>
          <t>aviso</t>
        </is>
      </c>
    </row>
    <row r="7329">
      <c r="A7329" s="198" t="inlineStr">
        <is>
          <t>aviso.custom.restricao.2</t>
        </is>
      </c>
      <c r="B7329" s="198">
        <f>'DADOS_RESTRICOES'!$K$3&amp;""</f>
        <v/>
      </c>
      <c r="C7329" s="198">
        <f>"'DADOS_RESTRICOES'!K3"</f>
        <v/>
      </c>
      <c r="D7329" s="198" t="inlineStr">
        <is>
          <t>aviso</t>
        </is>
      </c>
    </row>
    <row r="7330">
      <c r="A7330" s="198" t="inlineStr">
        <is>
          <t>aviso.custom.restricao.3</t>
        </is>
      </c>
      <c r="B7330" s="198">
        <f>'DADOS_RESTRICOES'!$K$4&amp;""</f>
        <v/>
      </c>
      <c r="C7330" s="198">
        <f>"'DADOS_RESTRICOES'!K4"</f>
        <v/>
      </c>
      <c r="D7330" s="198" t="inlineStr">
        <is>
          <t>aviso</t>
        </is>
      </c>
    </row>
    <row r="7331">
      <c r="A7331" s="198" t="inlineStr">
        <is>
          <t>aviso.custom.restricao.4</t>
        </is>
      </c>
      <c r="B7331" s="198">
        <f>'DADOS_RESTRICOES'!$K$5&amp;""</f>
        <v/>
      </c>
      <c r="C7331" s="198">
        <f>"'DADOS_RESTRICOES'!K5"</f>
        <v/>
      </c>
      <c r="D7331" s="198" t="inlineStr">
        <is>
          <t>aviso</t>
        </is>
      </c>
    </row>
    <row r="7332">
      <c r="A7332" s="198" t="inlineStr">
        <is>
          <t>aviso.custom.restricao.5</t>
        </is>
      </c>
      <c r="B7332" s="198">
        <f>'DADOS_RESTRICOES'!$K$6&amp;""</f>
        <v/>
      </c>
      <c r="C7332" s="198">
        <f>"'DADOS_RESTRICOES'!K6"</f>
        <v/>
      </c>
      <c r="D7332" s="198" t="inlineStr">
        <is>
          <t>aviso</t>
        </is>
      </c>
    </row>
    <row r="7333">
      <c r="A7333" s="198" t="inlineStr">
        <is>
          <t>aviso.custom.restricao.6</t>
        </is>
      </c>
      <c r="B7333" s="198">
        <f>'DADOS_RESTRICOES'!$K$7&amp;""</f>
        <v/>
      </c>
      <c r="C7333" s="198">
        <f>"'DADOS_RESTRICOES'!K7"</f>
        <v/>
      </c>
      <c r="D7333" s="198" t="inlineStr">
        <is>
          <t>aviso</t>
        </is>
      </c>
    </row>
    <row r="7334">
      <c r="A7334" s="198" t="inlineStr">
        <is>
          <t>aviso.custom.restricao.7</t>
        </is>
      </c>
      <c r="B7334" s="198">
        <f>'DADOS_RESTRICOES'!$K$8&amp;""</f>
        <v/>
      </c>
      <c r="C7334" s="198">
        <f>"'DADOS_RESTRICOES'!K8"</f>
        <v/>
      </c>
      <c r="D7334" s="198" t="inlineStr">
        <is>
          <t>aviso</t>
        </is>
      </c>
    </row>
    <row r="7335">
      <c r="A7335" s="198" t="inlineStr">
        <is>
          <t>aviso.custom.restricao.8</t>
        </is>
      </c>
      <c r="B7335" s="198">
        <f>'DADOS_RESTRICOES'!$K$9&amp;""</f>
        <v/>
      </c>
      <c r="C7335" s="198">
        <f>"'DADOS_RESTRICOES'!K9"</f>
        <v/>
      </c>
      <c r="D7335" s="198" t="inlineStr">
        <is>
          <t>aviso</t>
        </is>
      </c>
    </row>
    <row r="7336">
      <c r="A7336" s="198" t="inlineStr">
        <is>
          <t>aviso.custom.restricao.9</t>
        </is>
      </c>
      <c r="B7336" s="198">
        <f>'DADOS_RESTRICOES'!$K$10&amp;""</f>
        <v/>
      </c>
      <c r="C7336" s="198">
        <f>"'DADOS_RESTRICOES'!K10"</f>
        <v/>
      </c>
      <c r="D7336" s="198" t="inlineStr">
        <is>
          <t>aviso</t>
        </is>
      </c>
    </row>
    <row r="7337">
      <c r="A7337" s="198" t="inlineStr">
        <is>
          <t>aviso.custom.restricao.10</t>
        </is>
      </c>
      <c r="B7337" s="198">
        <f>'DADOS_RESTRICOES'!$K$11&amp;""</f>
        <v/>
      </c>
      <c r="C7337" s="198">
        <f>"'DADOS_RESTRICOES'!K11"</f>
        <v/>
      </c>
      <c r="D7337" s="198" t="inlineStr">
        <is>
          <t>aviso</t>
        </is>
      </c>
    </row>
    <row r="7338">
      <c r="A7338" s="198" t="inlineStr">
        <is>
          <t>aviso.custom.restricao.11</t>
        </is>
      </c>
      <c r="B7338" s="198">
        <f>'DADOS_RESTRICOES'!$K$12&amp;""</f>
        <v/>
      </c>
      <c r="C7338" s="198">
        <f>"'DADOS_RESTRICOES'!K12"</f>
        <v/>
      </c>
      <c r="D7338" s="198" t="inlineStr">
        <is>
          <t>aviso</t>
        </is>
      </c>
    </row>
    <row r="7339">
      <c r="A7339" s="198" t="inlineStr">
        <is>
          <t>aviso.custom.restricao.12</t>
        </is>
      </c>
      <c r="B7339" s="198">
        <f>'DADOS_RESTRICOES'!$K$13&amp;""</f>
        <v/>
      </c>
      <c r="C7339" s="198">
        <f>"'DADOS_RESTRICOES'!K13"</f>
        <v/>
      </c>
      <c r="D7339" s="198" t="inlineStr">
        <is>
          <t>aviso</t>
        </is>
      </c>
    </row>
    <row r="7340">
      <c r="A7340" s="198" t="inlineStr">
        <is>
          <t>aviso.custom.restricao.13</t>
        </is>
      </c>
      <c r="B7340" s="198">
        <f>'DADOS_RESTRICOES'!$K$14&amp;""</f>
        <v/>
      </c>
      <c r="C7340" s="198">
        <f>"'DADOS_RESTRICOES'!K14"</f>
        <v/>
      </c>
      <c r="D7340" s="198" t="inlineStr">
        <is>
          <t>aviso</t>
        </is>
      </c>
    </row>
    <row r="7341">
      <c r="A7341" s="198" t="inlineStr">
        <is>
          <t>aviso.custom.restricao.14</t>
        </is>
      </c>
      <c r="B7341" s="198">
        <f>'DADOS_RESTRICOES'!$K$15&amp;""</f>
        <v/>
      </c>
      <c r="C7341" s="198">
        <f>"'DADOS_RESTRICOES'!K15"</f>
        <v/>
      </c>
      <c r="D7341" s="198" t="inlineStr">
        <is>
          <t>aviso</t>
        </is>
      </c>
    </row>
    <row r="7342">
      <c r="A7342" s="198" t="inlineStr">
        <is>
          <t>aviso.custom.restricao.15</t>
        </is>
      </c>
      <c r="B7342" s="198">
        <f>'DADOS_RESTRICOES'!$K$16&amp;""</f>
        <v/>
      </c>
      <c r="C7342" s="198">
        <f>"'DADOS_RESTRICOES'!K16"</f>
        <v/>
      </c>
      <c r="D7342" s="198" t="inlineStr">
        <is>
          <t>aviso</t>
        </is>
      </c>
    </row>
    <row r="7343">
      <c r="A7343" s="198" t="inlineStr">
        <is>
          <t>aviso.custom.restricao.16</t>
        </is>
      </c>
      <c r="B7343" s="198">
        <f>'DADOS_RESTRICOES'!$K$17&amp;""</f>
        <v/>
      </c>
      <c r="C7343" s="198">
        <f>"'DADOS_RESTRICOES'!K17"</f>
        <v/>
      </c>
      <c r="D7343" s="198" t="inlineStr">
        <is>
          <t>aviso</t>
        </is>
      </c>
    </row>
    <row r="7344">
      <c r="A7344" s="198" t="inlineStr">
        <is>
          <t>aviso.custom.restricao.17</t>
        </is>
      </c>
      <c r="B7344" s="198">
        <f>'DADOS_RESTRICOES'!$K$18&amp;""</f>
        <v/>
      </c>
      <c r="C7344" s="198">
        <f>"'DADOS_RESTRICOES'!K18"</f>
        <v/>
      </c>
      <c r="D7344" s="198" t="inlineStr">
        <is>
          <t>aviso</t>
        </is>
      </c>
    </row>
    <row r="7345">
      <c r="A7345" s="198" t="inlineStr">
        <is>
          <t>aviso.custom.restricao.18</t>
        </is>
      </c>
      <c r="B7345" s="198">
        <f>'DADOS_RESTRICOES'!$K$19&amp;""</f>
        <v/>
      </c>
      <c r="C7345" s="198">
        <f>"'DADOS_RESTRICOES'!K19"</f>
        <v/>
      </c>
      <c r="D7345" s="198" t="inlineStr">
        <is>
          <t>aviso</t>
        </is>
      </c>
    </row>
    <row r="7346">
      <c r="A7346" s="198" t="inlineStr">
        <is>
          <t>aviso.custom.restricao.19</t>
        </is>
      </c>
      <c r="B7346" s="198">
        <f>'DADOS_RESTRICOES'!$K$20&amp;""</f>
        <v/>
      </c>
      <c r="C7346" s="198">
        <f>"'DADOS_RESTRICOES'!K20"</f>
        <v/>
      </c>
      <c r="D7346" s="198" t="inlineStr">
        <is>
          <t>aviso</t>
        </is>
      </c>
    </row>
    <row r="7347">
      <c r="A7347" s="198" t="inlineStr">
        <is>
          <t>aviso.custom.restricao.20</t>
        </is>
      </c>
      <c r="B7347" s="198">
        <f>'DADOS_RESTRICOES'!$K$21&amp;""</f>
        <v/>
      </c>
      <c r="C7347" s="198">
        <f>"'DADOS_RESTRICOES'!K21"</f>
        <v/>
      </c>
      <c r="D7347" s="198" t="inlineStr">
        <is>
          <t>aviso</t>
        </is>
      </c>
    </row>
    <row r="7348">
      <c r="A7348" s="198" t="inlineStr">
        <is>
          <t>aviso.custom.restricao.21</t>
        </is>
      </c>
      <c r="B7348" s="198">
        <f>'DADOS_RESTRICOES'!$K$22&amp;""</f>
        <v/>
      </c>
      <c r="C7348" s="198">
        <f>"'DADOS_RESTRICOES'!K22"</f>
        <v/>
      </c>
      <c r="D7348" s="198" t="inlineStr">
        <is>
          <t>aviso</t>
        </is>
      </c>
    </row>
    <row r="7349">
      <c r="A7349" s="198" t="inlineStr">
        <is>
          <t>aviso.custom.restricao.22</t>
        </is>
      </c>
      <c r="B7349" s="198">
        <f>'DADOS_RESTRICOES'!$K$23&amp;""</f>
        <v/>
      </c>
      <c r="C7349" s="198">
        <f>"'DADOS_RESTRICOES'!K23"</f>
        <v/>
      </c>
      <c r="D7349" s="198" t="inlineStr">
        <is>
          <t>aviso</t>
        </is>
      </c>
    </row>
    <row r="7350">
      <c r="A7350" s="198" t="inlineStr">
        <is>
          <t>aviso.custom.restricao.23</t>
        </is>
      </c>
      <c r="B7350" s="198">
        <f>'DADOS_RESTRICOES'!$K$24&amp;""</f>
        <v/>
      </c>
      <c r="C7350" s="198">
        <f>"'DADOS_RESTRICOES'!K24"</f>
        <v/>
      </c>
      <c r="D7350" s="198" t="inlineStr">
        <is>
          <t>aviso</t>
        </is>
      </c>
    </row>
    <row r="7351">
      <c r="A7351" s="198" t="inlineStr">
        <is>
          <t>aviso.custom.restricao.24</t>
        </is>
      </c>
      <c r="B7351" s="198">
        <f>'DADOS_RESTRICOES'!$K$25&amp;""</f>
        <v/>
      </c>
      <c r="C7351" s="198">
        <f>"'DADOS_RESTRICOES'!K25"</f>
        <v/>
      </c>
      <c r="D7351" s="198" t="inlineStr">
        <is>
          <t>aviso</t>
        </is>
      </c>
    </row>
    <row r="7352">
      <c r="A7352" s="198" t="inlineStr">
        <is>
          <t>aviso.custom.restricao.25</t>
        </is>
      </c>
      <c r="B7352" s="198">
        <f>'DADOS_RESTRICOES'!$K$26&amp;""</f>
        <v/>
      </c>
      <c r="C7352" s="198">
        <f>"'DADOS_RESTRICOES'!K26"</f>
        <v/>
      </c>
      <c r="D7352" s="198" t="inlineStr">
        <is>
          <t>aviso</t>
        </is>
      </c>
    </row>
    <row r="7353">
      <c r="A7353" s="198" t="inlineStr">
        <is>
          <t>aviso.custom.restricao.26</t>
        </is>
      </c>
      <c r="B7353" s="198">
        <f>'DADOS_RESTRICOES'!$K$27&amp;""</f>
        <v/>
      </c>
      <c r="C7353" s="198">
        <f>"'DADOS_RESTRICOES'!K27"</f>
        <v/>
      </c>
      <c r="D7353" s="198" t="inlineStr">
        <is>
          <t>aviso</t>
        </is>
      </c>
    </row>
    <row r="7354">
      <c r="A7354" s="198" t="inlineStr">
        <is>
          <t>aviso.custom.restricao.27</t>
        </is>
      </c>
      <c r="B7354" s="198">
        <f>'DADOS_RESTRICOES'!$K$28&amp;""</f>
        <v/>
      </c>
      <c r="C7354" s="198">
        <f>"'DADOS_RESTRICOES'!K28"</f>
        <v/>
      </c>
      <c r="D7354" s="198" t="inlineStr">
        <is>
          <t>aviso</t>
        </is>
      </c>
    </row>
    <row r="7355">
      <c r="A7355" s="198" t="inlineStr">
        <is>
          <t>aviso.custom.restricao.28</t>
        </is>
      </c>
      <c r="B7355" s="198">
        <f>'DADOS_RESTRICOES'!$K$29&amp;""</f>
        <v/>
      </c>
      <c r="C7355" s="198">
        <f>"'DADOS_RESTRICOES'!K29"</f>
        <v/>
      </c>
      <c r="D7355" s="198" t="inlineStr">
        <is>
          <t>aviso</t>
        </is>
      </c>
    </row>
    <row r="7356">
      <c r="A7356" s="198" t="inlineStr">
        <is>
          <t>aviso.custom.restricao.29</t>
        </is>
      </c>
      <c r="B7356" s="198">
        <f>'DADOS_RESTRICOES'!$K$30&amp;""</f>
        <v/>
      </c>
      <c r="C7356" s="198">
        <f>"'DADOS_RESTRICOES'!K30"</f>
        <v/>
      </c>
      <c r="D7356" s="198" t="inlineStr">
        <is>
          <t>aviso</t>
        </is>
      </c>
    </row>
    <row r="7357">
      <c r="A7357" s="198" t="inlineStr">
        <is>
          <t>aviso.custom.restricao.30</t>
        </is>
      </c>
      <c r="B7357" s="198">
        <f>'DADOS_RESTRICOES'!$K$31&amp;""</f>
        <v/>
      </c>
      <c r="C7357" s="198">
        <f>"'DADOS_RESTRICOES'!K31"</f>
        <v/>
      </c>
      <c r="D7357" s="198" t="inlineStr">
        <is>
          <t>aviso</t>
        </is>
      </c>
    </row>
    <row r="7358">
      <c r="A7358" s="198" t="inlineStr">
        <is>
          <t>custom.melhoria.1.modalidade</t>
        </is>
      </c>
      <c r="B7358" s="198">
        <f>IF(ISBLANK('CONFIGURAÇÃO'!$DA$13),"",'CONFIGURAÇÃO'!$DA$13&amp;"")</f>
        <v/>
      </c>
      <c r="C7358" s="198">
        <f>"'CONFIGURAÇÃO'!DA13"</f>
        <v/>
      </c>
      <c r="D7358" s="198" t="inlineStr">
        <is>
          <t>configuração</t>
        </is>
      </c>
    </row>
    <row r="7359">
      <c r="A7359" s="198" t="inlineStr">
        <is>
          <t>custom.melhoria.2.modalidade</t>
        </is>
      </c>
      <c r="B7359" s="198">
        <f>IF(ISBLANK('CONFIGURAÇÃO'!$DI$13),"",'CONFIGURAÇÃO'!$DI$13&amp;"")</f>
        <v/>
      </c>
      <c r="C7359" s="198">
        <f>"'CONFIGURAÇÃO'!DI13"</f>
        <v/>
      </c>
      <c r="D7359" s="198" t="inlineStr">
        <is>
          <t>configuração</t>
        </is>
      </c>
    </row>
    <row r="7360">
      <c r="A7360" s="198" t="inlineStr">
        <is>
          <t>custom.melhoria.3.modalidade</t>
        </is>
      </c>
      <c r="B7360" s="198">
        <f>IF(ISBLANK('CONFIGURAÇÃO'!$DA$39),"",'CONFIGURAÇÃO'!$DA$39&amp;"")</f>
        <v/>
      </c>
      <c r="C7360" s="198">
        <f>"'CONFIGURAÇÃO'!DA39"</f>
        <v/>
      </c>
      <c r="D7360" s="198" t="inlineStr">
        <is>
          <t>configuração</t>
        </is>
      </c>
    </row>
    <row r="7361">
      <c r="A7361" s="198" t="inlineStr">
        <is>
          <t>custom.melhoria.4.modalidade</t>
        </is>
      </c>
      <c r="B7361" s="198">
        <f>IF(ISBLANK('CONFIGURAÇÃO'!$DI$39),"",'CONFIGURAÇÃO'!$DI$39&amp;"")</f>
        <v/>
      </c>
      <c r="C7361" s="198">
        <f>"'CONFIGURAÇÃO'!DI39"</f>
        <v/>
      </c>
      <c r="D7361" s="198" t="inlineStr">
        <is>
          <t>configuração</t>
        </is>
      </c>
    </row>
    <row r="7362">
      <c r="A7362" s="198" t="inlineStr">
        <is>
          <t>custom.melhoria.5.modalidade</t>
        </is>
      </c>
      <c r="B7362" s="198">
        <f>IF(ISBLANK('CONFIGURAÇÃO'!$DA$65),"",'CONFIGURAÇÃO'!$DA$65&amp;"")</f>
        <v/>
      </c>
      <c r="C7362" s="198">
        <f>"'CONFIGURAÇÃO'!DA65"</f>
        <v/>
      </c>
      <c r="D7362" s="198" t="inlineStr">
        <is>
          <t>configuração</t>
        </is>
      </c>
    </row>
    <row r="7363">
      <c r="A7363" s="198" t="inlineStr">
        <is>
          <t>custom.melhoria.6.modalidade</t>
        </is>
      </c>
      <c r="B7363" s="198">
        <f>IF(ISBLANK('CONFIGURAÇÃO'!$DI$65),"",'CONFIGURAÇÃO'!$DI$65&amp;"")</f>
        <v/>
      </c>
      <c r="C7363" s="198">
        <f>"'CONFIGURAÇÃO'!DI65"</f>
        <v/>
      </c>
      <c r="D7363" s="198" t="inlineStr">
        <is>
          <t>configuração</t>
        </is>
      </c>
    </row>
    <row r="7364">
      <c r="A7364" s="198" t="inlineStr">
        <is>
          <t>custom.melhoria.7.modalidade</t>
        </is>
      </c>
      <c r="B7364" s="198">
        <f>IF(ISBLANK('CONFIGURAÇÃO'!$DA$91),"",'CONFIGURAÇÃO'!$DA$91&amp;"")</f>
        <v/>
      </c>
      <c r="C7364" s="198">
        <f>"'CONFIGURAÇÃO'!DA91"</f>
        <v/>
      </c>
      <c r="D7364" s="198" t="inlineStr">
        <is>
          <t>configuração</t>
        </is>
      </c>
    </row>
    <row r="7365">
      <c r="A7365" s="198" t="inlineStr">
        <is>
          <t>custom.melhoria.8.modalidade</t>
        </is>
      </c>
      <c r="B7365" s="198">
        <f>IF(ISBLANK('CONFIGURAÇÃO'!$DI$91),"",'CONFIGURAÇÃO'!$DI$91&amp;"")</f>
        <v/>
      </c>
      <c r="C7365" s="198">
        <f>"'CONFIGURAÇÃO'!DI91"</f>
        <v/>
      </c>
      <c r="D7365" s="198" t="inlineStr">
        <is>
          <t>configuração</t>
        </is>
      </c>
    </row>
    <row r="7366">
      <c r="A7366" s="198" t="inlineStr">
        <is>
          <t>custom.melhoria.9.modalidade</t>
        </is>
      </c>
      <c r="B7366" s="198">
        <f>IF(ISBLANK('CONFIGURAÇÃO'!$DA$117),"",'CONFIGURAÇÃO'!$DA$117&amp;"")</f>
        <v/>
      </c>
      <c r="C7366" s="198">
        <f>"'CONFIGURAÇÃO'!DA117"</f>
        <v/>
      </c>
      <c r="D7366" s="198" t="inlineStr">
        <is>
          <t>configuração</t>
        </is>
      </c>
    </row>
    <row r="7367">
      <c r="A7367" s="198" t="inlineStr">
        <is>
          <t>custom.melhoria.10.modalidade</t>
        </is>
      </c>
      <c r="B7367" s="198">
        <f>IF(ISBLANK('CONFIGURAÇÃO'!$DI$117),"",'CONFIGURAÇÃO'!$DI$117&amp;"")</f>
        <v/>
      </c>
      <c r="C7367" s="198">
        <f>"'CONFIGURAÇÃO'!DI117"</f>
        <v/>
      </c>
      <c r="D7367" s="198" t="inlineStr">
        <is>
          <t>configuração</t>
        </is>
      </c>
    </row>
    <row r="7368">
      <c r="A7368" s="198" t="inlineStr">
        <is>
          <t>custom.melhoria.11.modalidade</t>
        </is>
      </c>
      <c r="B7368" s="198">
        <f>IF(ISBLANK('CONFIGURAÇÃO'!$DA$143),"",'CONFIGURAÇÃO'!$DA$143&amp;"")</f>
        <v/>
      </c>
      <c r="C7368" s="198">
        <f>"'CONFIGURAÇÃO'!DA143"</f>
        <v/>
      </c>
      <c r="D7368" s="198" t="inlineStr">
        <is>
          <t>configuração</t>
        </is>
      </c>
    </row>
    <row r="7369">
      <c r="A7369" s="198" t="inlineStr">
        <is>
          <t>custom.melhoria.12.modalidade</t>
        </is>
      </c>
      <c r="B7369" s="198">
        <f>IF(ISBLANK('CONFIGURAÇÃO'!$DI$143),"",'CONFIGURAÇÃO'!$DI$143&amp;"")</f>
        <v/>
      </c>
      <c r="C7369" s="198">
        <f>"'CONFIGURAÇÃO'!DI143"</f>
        <v/>
      </c>
      <c r="D7369" s="198" t="inlineStr">
        <is>
          <t>configuração</t>
        </is>
      </c>
    </row>
    <row r="7370">
      <c r="A7370" s="198" t="inlineStr">
        <is>
          <t>custom.melhoria.13.modalidade</t>
        </is>
      </c>
      <c r="B7370" s="198">
        <f>IF(ISBLANK('CONFIGURAÇÃO'!$DA$169),"",'CONFIGURAÇÃO'!$DA$169&amp;"")</f>
        <v/>
      </c>
      <c r="C7370" s="198">
        <f>"'CONFIGURAÇÃO'!DA169"</f>
        <v/>
      </c>
      <c r="D7370" s="198" t="inlineStr">
        <is>
          <t>configuração</t>
        </is>
      </c>
    </row>
    <row r="7371">
      <c r="A7371" s="198" t="inlineStr">
        <is>
          <t>custom.melhoria.14.modalidade</t>
        </is>
      </c>
      <c r="B7371" s="198">
        <f>IF(ISBLANK('CONFIGURAÇÃO'!$DI$169),"",'CONFIGURAÇÃO'!$DI$169&amp;"")</f>
        <v/>
      </c>
      <c r="C7371" s="198">
        <f>"'CONFIGURAÇÃO'!DI169"</f>
        <v/>
      </c>
      <c r="D7371" s="198" t="inlineStr">
        <is>
          <t>configuração</t>
        </is>
      </c>
    </row>
    <row r="7372">
      <c r="A7372" s="198" t="inlineStr">
        <is>
          <t>custom.melhoria.15.modalidade</t>
        </is>
      </c>
      <c r="B7372" s="198">
        <f>IF(ISBLANK('CONFIGURAÇÃO'!$DA$195),"",'CONFIGURAÇÃO'!$DA$195&amp;"")</f>
        <v/>
      </c>
      <c r="C7372" s="198">
        <f>"'CONFIGURAÇÃO'!DA195"</f>
        <v/>
      </c>
      <c r="D7372" s="198" t="inlineStr">
        <is>
          <t>configuração</t>
        </is>
      </c>
    </row>
    <row r="7373">
      <c r="A7373" s="198" t="inlineStr">
        <is>
          <t>custom.melhoria.16.modalidade</t>
        </is>
      </c>
      <c r="B7373" s="198">
        <f>IF(ISBLANK('CONFIGURAÇÃO'!$DI$195),"",'CONFIGURAÇÃO'!$DI$195&amp;"")</f>
        <v/>
      </c>
      <c r="C7373" s="198">
        <f>"'CONFIGURAÇÃO'!DI195"</f>
        <v/>
      </c>
      <c r="D7373" s="198" t="inlineStr">
        <is>
          <t>configuração</t>
        </is>
      </c>
    </row>
    <row r="7374">
      <c r="A7374" s="198" t="inlineStr">
        <is>
          <t>custom.melhoria.17.modalidade</t>
        </is>
      </c>
      <c r="B7374" s="198">
        <f>IF(ISBLANK('CONFIGURAÇÃO'!$DA$221),"",'CONFIGURAÇÃO'!$DA$221&amp;"")</f>
        <v/>
      </c>
      <c r="C7374" s="198">
        <f>"'CONFIGURAÇÃO'!DA221"</f>
        <v/>
      </c>
      <c r="D7374" s="198" t="inlineStr">
        <is>
          <t>configuração</t>
        </is>
      </c>
    </row>
    <row r="7375">
      <c r="A7375" s="198" t="inlineStr">
        <is>
          <t>custom.melhoria.18.modalidade</t>
        </is>
      </c>
      <c r="B7375" s="198">
        <f>IF(ISBLANK('CONFIGURAÇÃO'!$DI$221),"",'CONFIGURAÇÃO'!$DI$221&amp;"")</f>
        <v/>
      </c>
      <c r="C7375" s="198">
        <f>"'CONFIGURAÇÃO'!DI221"</f>
        <v/>
      </c>
      <c r="D7375" s="198" t="inlineStr">
        <is>
          <t>configuração</t>
        </is>
      </c>
    </row>
    <row r="7376">
      <c r="A7376" s="198" t="inlineStr">
        <is>
          <t>custom.melhoria.19.modalidade</t>
        </is>
      </c>
      <c r="B7376" s="198">
        <f>IF(ISBLANK('CONFIGURAÇÃO'!$DA$247),"",'CONFIGURAÇÃO'!$DA$247&amp;"")</f>
        <v/>
      </c>
      <c r="C7376" s="198">
        <f>"'CONFIGURAÇÃO'!DA247"</f>
        <v/>
      </c>
      <c r="D7376" s="198" t="inlineStr">
        <is>
          <t>configuração</t>
        </is>
      </c>
    </row>
    <row r="7377">
      <c r="A7377" s="198" t="inlineStr">
        <is>
          <t>custom.melhoria.20.modalidade</t>
        </is>
      </c>
      <c r="B7377" s="198">
        <f>IF(ISBLANK('CONFIGURAÇÃO'!$DI$247),"",'CONFIGURAÇÃO'!$DI$247&amp;"")</f>
        <v/>
      </c>
      <c r="C7377" s="198">
        <f>"'CONFIGURAÇÃO'!DI247"</f>
        <v/>
      </c>
      <c r="D7377" s="198" t="inlineStr">
        <is>
          <t>configuração</t>
        </is>
      </c>
    </row>
    <row r="7378">
      <c r="A7378" s="198" t="inlineStr">
        <is>
          <t>custom.melhoria.21.modalidade</t>
        </is>
      </c>
      <c r="B7378" s="198">
        <f>IF(ISBLANK('CONFIGURAÇÃO'!$DA$273),"",'CONFIGURAÇÃO'!$DA$273&amp;"")</f>
        <v/>
      </c>
      <c r="C7378" s="198">
        <f>"'CONFIGURAÇÃO'!DA273"</f>
        <v/>
      </c>
      <c r="D7378" s="198" t="inlineStr">
        <is>
          <t>configuração</t>
        </is>
      </c>
    </row>
    <row r="7379">
      <c r="A7379" s="198" t="inlineStr">
        <is>
          <t>custom.melhoria.22.modalidade</t>
        </is>
      </c>
      <c r="B7379" s="198">
        <f>IF(ISBLANK('CONFIGURAÇÃO'!$DI$273),"",'CONFIGURAÇÃO'!$DI$273&amp;"")</f>
        <v/>
      </c>
      <c r="C7379" s="198">
        <f>"'CONFIGURAÇÃO'!DI273"</f>
        <v/>
      </c>
      <c r="D7379" s="198" t="inlineStr">
        <is>
          <t>configuração</t>
        </is>
      </c>
    </row>
    <row r="7380">
      <c r="A7380" s="198" t="inlineStr">
        <is>
          <t>custom.melhoria.23.modalidade</t>
        </is>
      </c>
      <c r="B7380" s="198">
        <f>IF(ISBLANK('CONFIGURAÇÃO'!$DA$299),"",'CONFIGURAÇÃO'!$DA$299&amp;"")</f>
        <v/>
      </c>
      <c r="C7380" s="198">
        <f>"'CONFIGURAÇÃO'!DA299"</f>
        <v/>
      </c>
      <c r="D7380" s="198" t="inlineStr">
        <is>
          <t>configuração</t>
        </is>
      </c>
    </row>
    <row r="7381">
      <c r="A7381" s="198" t="inlineStr">
        <is>
          <t>custom.melhoria.24.modalidade</t>
        </is>
      </c>
      <c r="B7381" s="198">
        <f>IF(ISBLANK('CONFIGURAÇÃO'!$DI$299),"",'CONFIGURAÇÃO'!$DI$299&amp;"")</f>
        <v/>
      </c>
      <c r="C7381" s="198">
        <f>"'CONFIGURAÇÃO'!DI299"</f>
        <v/>
      </c>
      <c r="D7381" s="198" t="inlineStr">
        <is>
          <t>configuração</t>
        </is>
      </c>
    </row>
    <row r="7382">
      <c r="A7382" s="198" t="inlineStr">
        <is>
          <t>custom.melhoria.25.modalidade</t>
        </is>
      </c>
      <c r="B7382" s="198">
        <f>IF(ISBLANK('CONFIGURAÇÃO'!$DA$325),"",'CONFIGURAÇÃO'!$DA$325&amp;"")</f>
        <v/>
      </c>
      <c r="C7382" s="198">
        <f>"'CONFIGURAÇÃO'!DA325"</f>
        <v/>
      </c>
      <c r="D7382" s="198" t="inlineStr">
        <is>
          <t>configuração</t>
        </is>
      </c>
    </row>
    <row r="7383">
      <c r="A7383" s="198" t="inlineStr">
        <is>
          <t>custom.melhoria.26.modalidade</t>
        </is>
      </c>
      <c r="B7383" s="198">
        <f>IF(ISBLANK('CONFIGURAÇÃO'!$DI$325),"",'CONFIGURAÇÃO'!$DI$325&amp;"")</f>
        <v/>
      </c>
      <c r="C7383" s="198">
        <f>"'CONFIGURAÇÃO'!DI325"</f>
        <v/>
      </c>
      <c r="D7383" s="198" t="inlineStr">
        <is>
          <t>configuração</t>
        </is>
      </c>
    </row>
    <row r="7384">
      <c r="A7384" s="198" t="inlineStr">
        <is>
          <t>custom.melhoria.27.modalidade</t>
        </is>
      </c>
      <c r="B7384" s="198">
        <f>IF(ISBLANK('CONFIGURAÇÃO'!$DA$351),"",'CONFIGURAÇÃO'!$DA$351&amp;"")</f>
        <v/>
      </c>
      <c r="C7384" s="198">
        <f>"'CONFIGURAÇÃO'!DA351"</f>
        <v/>
      </c>
      <c r="D7384" s="198" t="inlineStr">
        <is>
          <t>configuração</t>
        </is>
      </c>
    </row>
    <row r="7385">
      <c r="A7385" s="198" t="inlineStr">
        <is>
          <t>custom.melhoria.28.modalidade</t>
        </is>
      </c>
      <c r="B7385" s="198">
        <f>IF(ISBLANK('CONFIGURAÇÃO'!$DI$351),"",'CONFIGURAÇÃO'!$DI$351&amp;"")</f>
        <v/>
      </c>
      <c r="C7385" s="198">
        <f>"'CONFIGURAÇÃO'!DI351"</f>
        <v/>
      </c>
      <c r="D7385" s="198" t="inlineStr">
        <is>
          <t>configuração</t>
        </is>
      </c>
    </row>
    <row r="7386">
      <c r="A7386" s="198" t="inlineStr">
        <is>
          <t>custom.melhoria.29.modalidade</t>
        </is>
      </c>
      <c r="B7386" s="198">
        <f>IF(ISBLANK('CONFIGURAÇÃO'!$DA$377),"",'CONFIGURAÇÃO'!$DA$377&amp;"")</f>
        <v/>
      </c>
      <c r="C7386" s="198">
        <f>"'CONFIGURAÇÃO'!DA377"</f>
        <v/>
      </c>
      <c r="D7386" s="198" t="inlineStr">
        <is>
          <t>configuração</t>
        </is>
      </c>
    </row>
    <row r="7387">
      <c r="A7387" s="198" t="inlineStr">
        <is>
          <t>custom.melhoria.30.modalidade</t>
        </is>
      </c>
      <c r="B7387" s="198">
        <f>IF(ISBLANK('CONFIGURAÇÃO'!$DI$377),"",'CONFIGURAÇÃO'!$DI$377&amp;"")</f>
        <v/>
      </c>
      <c r="C7387" s="198">
        <f>"'CONFIGURAÇÃO'!DI377"</f>
        <v/>
      </c>
      <c r="D7387" s="198" t="inlineStr">
        <is>
          <t>configuração</t>
        </is>
      </c>
    </row>
    <row r="7388">
      <c r="A7388" s="198" t="inlineStr">
        <is>
          <t>custom.dano.1.nome</t>
        </is>
      </c>
      <c r="B7388" s="198">
        <f>IF(ISBLANK('CONFIGURAÇÃO'!$EI$13),"",'CONFIGURAÇÃO'!$EI$13&amp;"")</f>
        <v/>
      </c>
      <c r="C7388" s="198">
        <f>"'CONFIGURAÇÃO'!EI13"</f>
        <v/>
      </c>
      <c r="D7388" s="198" t="inlineStr">
        <is>
          <t>configuração</t>
        </is>
      </c>
    </row>
    <row r="7389">
      <c r="A7389" s="198" t="inlineStr">
        <is>
          <t>custom.dano.1.mestre_viu</t>
        </is>
      </c>
      <c r="B7389" s="198">
        <f>N('CONFIGURAÇÃO'!$EM$13)&amp;""</f>
        <v/>
      </c>
      <c r="C7389" s="198">
        <f>"'CONFIGURAÇÃO'!EM13"</f>
        <v/>
      </c>
      <c r="D7389" s="198" t="inlineStr">
        <is>
          <t>configuração</t>
        </is>
      </c>
    </row>
    <row r="7390">
      <c r="A7390" s="198" t="inlineStr">
        <is>
          <t>custom.dano.1.definicao</t>
        </is>
      </c>
      <c r="B7390" s="198">
        <f>IF(ISBLANK('CONFIGURAÇÃO'!$EI$17),"",'CONFIGURAÇÃO'!$EI$17&amp;"")</f>
        <v/>
      </c>
      <c r="C7390" s="198">
        <f>"'CONFIGURAÇÃO'!EI17"</f>
        <v/>
      </c>
      <c r="D7390" s="198" t="inlineStr">
        <is>
          <t>configuração</t>
        </is>
      </c>
    </row>
    <row r="7391">
      <c r="A7391" s="198" t="inlineStr">
        <is>
          <t>custom.dano.1.efeito</t>
        </is>
      </c>
      <c r="B7391" s="198">
        <f>IF(ISBLANK('CONFIGURAÇÃO'!$EI$24),"",'CONFIGURAÇÃO'!$EI$24&amp;"")</f>
        <v/>
      </c>
      <c r="C7391" s="198">
        <f>"'CONFIGURAÇÃO'!EI24"</f>
        <v/>
      </c>
      <c r="D7391" s="198" t="inlineStr">
        <is>
          <t>configuração</t>
        </is>
      </c>
    </row>
    <row r="7392">
      <c r="A7392" s="198" t="inlineStr">
        <is>
          <t>custom.dano.2.nome</t>
        </is>
      </c>
      <c r="B7392" s="198">
        <f>IF(ISBLANK('CONFIGURAÇÃO'!$EQ$13),"",'CONFIGURAÇÃO'!$EQ$13&amp;"")</f>
        <v/>
      </c>
      <c r="C7392" s="198">
        <f>"'CONFIGURAÇÃO'!EQ13"</f>
        <v/>
      </c>
      <c r="D7392" s="198" t="inlineStr">
        <is>
          <t>configuração</t>
        </is>
      </c>
    </row>
    <row r="7393">
      <c r="A7393" s="198" t="inlineStr">
        <is>
          <t>custom.dano.2.mestre_viu</t>
        </is>
      </c>
      <c r="B7393" s="198">
        <f>N('CONFIGURAÇÃO'!$EU$13)&amp;""</f>
        <v/>
      </c>
      <c r="C7393" s="198">
        <f>"'CONFIGURAÇÃO'!EU13"</f>
        <v/>
      </c>
      <c r="D7393" s="198" t="inlineStr">
        <is>
          <t>configuração</t>
        </is>
      </c>
    </row>
    <row r="7394">
      <c r="A7394" s="198" t="inlineStr">
        <is>
          <t>custom.dano.2.definicao</t>
        </is>
      </c>
      <c r="B7394" s="198">
        <f>IF(ISBLANK('CONFIGURAÇÃO'!$EQ$17),"",'CONFIGURAÇÃO'!$EQ$17&amp;"")</f>
        <v/>
      </c>
      <c r="C7394" s="198">
        <f>"'CONFIGURAÇÃO'!EQ17"</f>
        <v/>
      </c>
      <c r="D7394" s="198" t="inlineStr">
        <is>
          <t>configuração</t>
        </is>
      </c>
    </row>
    <row r="7395">
      <c r="A7395" s="198" t="inlineStr">
        <is>
          <t>custom.dano.2.efeito</t>
        </is>
      </c>
      <c r="B7395" s="198">
        <f>IF(ISBLANK('CONFIGURAÇÃO'!$EQ$24),"",'CONFIGURAÇÃO'!$EQ$24&amp;"")</f>
        <v/>
      </c>
      <c r="C7395" s="198">
        <f>"'CONFIGURAÇÃO'!EQ24"</f>
        <v/>
      </c>
      <c r="D7395" s="198" t="inlineStr">
        <is>
          <t>configuração</t>
        </is>
      </c>
    </row>
    <row r="7396">
      <c r="A7396" s="198" t="inlineStr">
        <is>
          <t>custom.dano.3.nome</t>
        </is>
      </c>
      <c r="B7396" s="198">
        <f>IF(ISBLANK('CONFIGURAÇÃO'!$EI$41),"",'CONFIGURAÇÃO'!$EI$41&amp;"")</f>
        <v/>
      </c>
      <c r="C7396" s="198">
        <f>"'CONFIGURAÇÃO'!EI41"</f>
        <v/>
      </c>
      <c r="D7396" s="198" t="inlineStr">
        <is>
          <t>configuração</t>
        </is>
      </c>
    </row>
    <row r="7397">
      <c r="A7397" s="198" t="inlineStr">
        <is>
          <t>custom.dano.3.mestre_viu</t>
        </is>
      </c>
      <c r="B7397" s="198">
        <f>N('CONFIGURAÇÃO'!$EM$41)&amp;""</f>
        <v/>
      </c>
      <c r="C7397" s="198">
        <f>"'CONFIGURAÇÃO'!EM41"</f>
        <v/>
      </c>
      <c r="D7397" s="198" t="inlineStr">
        <is>
          <t>configuração</t>
        </is>
      </c>
    </row>
    <row r="7398">
      <c r="A7398" s="198" t="inlineStr">
        <is>
          <t>custom.dano.3.definicao</t>
        </is>
      </c>
      <c r="B7398" s="198">
        <f>IF(ISBLANK('CONFIGURAÇÃO'!$EI$45),"",'CONFIGURAÇÃO'!$EI$45&amp;"")</f>
        <v/>
      </c>
      <c r="C7398" s="198">
        <f>"'CONFIGURAÇÃO'!EI45"</f>
        <v/>
      </c>
      <c r="D7398" s="198" t="inlineStr">
        <is>
          <t>configuração</t>
        </is>
      </c>
    </row>
    <row r="7399">
      <c r="A7399" s="198" t="inlineStr">
        <is>
          <t>custom.dano.3.efeito</t>
        </is>
      </c>
      <c r="B7399" s="198">
        <f>IF(ISBLANK('CONFIGURAÇÃO'!$EI$52),"",'CONFIGURAÇÃO'!$EI$52&amp;"")</f>
        <v/>
      </c>
      <c r="C7399" s="198">
        <f>"'CONFIGURAÇÃO'!EI52"</f>
        <v/>
      </c>
      <c r="D7399" s="198" t="inlineStr">
        <is>
          <t>configuração</t>
        </is>
      </c>
    </row>
    <row r="7400">
      <c r="A7400" s="198" t="inlineStr">
        <is>
          <t>custom.dano.4.nome</t>
        </is>
      </c>
      <c r="B7400" s="198">
        <f>IF(ISBLANK('CONFIGURAÇÃO'!$EQ$41),"",'CONFIGURAÇÃO'!$EQ$41&amp;"")</f>
        <v/>
      </c>
      <c r="C7400" s="198">
        <f>"'CONFIGURAÇÃO'!EQ41"</f>
        <v/>
      </c>
      <c r="D7400" s="198" t="inlineStr">
        <is>
          <t>configuração</t>
        </is>
      </c>
    </row>
    <row r="7401">
      <c r="A7401" s="198" t="inlineStr">
        <is>
          <t>custom.dano.4.mestre_viu</t>
        </is>
      </c>
      <c r="B7401" s="198">
        <f>N('CONFIGURAÇÃO'!$EU$41)&amp;""</f>
        <v/>
      </c>
      <c r="C7401" s="198">
        <f>"'CONFIGURAÇÃO'!EU41"</f>
        <v/>
      </c>
      <c r="D7401" s="198" t="inlineStr">
        <is>
          <t>configuração</t>
        </is>
      </c>
    </row>
    <row r="7402">
      <c r="A7402" s="198" t="inlineStr">
        <is>
          <t>custom.dano.4.definicao</t>
        </is>
      </c>
      <c r="B7402" s="198">
        <f>IF(ISBLANK('CONFIGURAÇÃO'!$EQ$45),"",'CONFIGURAÇÃO'!$EQ$45&amp;"")</f>
        <v/>
      </c>
      <c r="C7402" s="198">
        <f>"'CONFIGURAÇÃO'!EQ45"</f>
        <v/>
      </c>
      <c r="D7402" s="198" t="inlineStr">
        <is>
          <t>configuração</t>
        </is>
      </c>
    </row>
    <row r="7403">
      <c r="A7403" s="198" t="inlineStr">
        <is>
          <t>custom.dano.4.efeito</t>
        </is>
      </c>
      <c r="B7403" s="198">
        <f>IF(ISBLANK('CONFIGURAÇÃO'!$EQ$52),"",'CONFIGURAÇÃO'!$EQ$52&amp;"")</f>
        <v/>
      </c>
      <c r="C7403" s="198">
        <f>"'CONFIGURAÇÃO'!EQ52"</f>
        <v/>
      </c>
      <c r="D7403" s="198" t="inlineStr">
        <is>
          <t>configuração</t>
        </is>
      </c>
    </row>
    <row r="7404">
      <c r="A7404" s="198" t="inlineStr">
        <is>
          <t>custom.dano.5.nome</t>
        </is>
      </c>
      <c r="B7404" s="198">
        <f>IF(ISBLANK('CONFIGURAÇÃO'!$EI$69),"",'CONFIGURAÇÃO'!$EI$69&amp;"")</f>
        <v/>
      </c>
      <c r="C7404" s="198">
        <f>"'CONFIGURAÇÃO'!EI69"</f>
        <v/>
      </c>
      <c r="D7404" s="198" t="inlineStr">
        <is>
          <t>configuração</t>
        </is>
      </c>
    </row>
    <row r="7405">
      <c r="A7405" s="198" t="inlineStr">
        <is>
          <t>custom.dano.5.mestre_viu</t>
        </is>
      </c>
      <c r="B7405" s="198">
        <f>N('CONFIGURAÇÃO'!$EM$69)&amp;""</f>
        <v/>
      </c>
      <c r="C7405" s="198">
        <f>"'CONFIGURAÇÃO'!EM69"</f>
        <v/>
      </c>
      <c r="D7405" s="198" t="inlineStr">
        <is>
          <t>configuração</t>
        </is>
      </c>
    </row>
    <row r="7406">
      <c r="A7406" s="198" t="inlineStr">
        <is>
          <t>custom.dano.5.definicao</t>
        </is>
      </c>
      <c r="B7406" s="198">
        <f>IF(ISBLANK('CONFIGURAÇÃO'!$EI$73),"",'CONFIGURAÇÃO'!$EI$73&amp;"")</f>
        <v/>
      </c>
      <c r="C7406" s="198">
        <f>"'CONFIGURAÇÃO'!EI73"</f>
        <v/>
      </c>
      <c r="D7406" s="198" t="inlineStr">
        <is>
          <t>configuração</t>
        </is>
      </c>
    </row>
    <row r="7407">
      <c r="A7407" s="198" t="inlineStr">
        <is>
          <t>custom.dano.5.efeito</t>
        </is>
      </c>
      <c r="B7407" s="198">
        <f>IF(ISBLANK('CONFIGURAÇÃO'!$EI$80),"",'CONFIGURAÇÃO'!$EI$80&amp;"")</f>
        <v/>
      </c>
      <c r="C7407" s="198">
        <f>"'CONFIGURAÇÃO'!EI80"</f>
        <v/>
      </c>
      <c r="D7407" s="198" t="inlineStr">
        <is>
          <t>configuração</t>
        </is>
      </c>
    </row>
    <row r="7408">
      <c r="A7408" s="198" t="inlineStr">
        <is>
          <t>custom.dano.6.nome</t>
        </is>
      </c>
      <c r="B7408" s="198">
        <f>IF(ISBLANK('CONFIGURAÇÃO'!$EQ$69),"",'CONFIGURAÇÃO'!$EQ$69&amp;"")</f>
        <v/>
      </c>
      <c r="C7408" s="198">
        <f>"'CONFIGURAÇÃO'!EQ69"</f>
        <v/>
      </c>
      <c r="D7408" s="198" t="inlineStr">
        <is>
          <t>configuração</t>
        </is>
      </c>
    </row>
    <row r="7409">
      <c r="A7409" s="198" t="inlineStr">
        <is>
          <t>custom.dano.6.mestre_viu</t>
        </is>
      </c>
      <c r="B7409" s="198">
        <f>N('CONFIGURAÇÃO'!$EU$69)&amp;""</f>
        <v/>
      </c>
      <c r="C7409" s="198">
        <f>"'CONFIGURAÇÃO'!EU69"</f>
        <v/>
      </c>
      <c r="D7409" s="198" t="inlineStr">
        <is>
          <t>configuração</t>
        </is>
      </c>
    </row>
    <row r="7410">
      <c r="A7410" s="198" t="inlineStr">
        <is>
          <t>custom.dano.6.definicao</t>
        </is>
      </c>
      <c r="B7410" s="198">
        <f>IF(ISBLANK('CONFIGURAÇÃO'!$EQ$73),"",'CONFIGURAÇÃO'!$EQ$73&amp;"")</f>
        <v/>
      </c>
      <c r="C7410" s="198">
        <f>"'CONFIGURAÇÃO'!EQ73"</f>
        <v/>
      </c>
      <c r="D7410" s="198" t="inlineStr">
        <is>
          <t>configuração</t>
        </is>
      </c>
    </row>
    <row r="7411">
      <c r="A7411" s="198" t="inlineStr">
        <is>
          <t>custom.dano.6.efeito</t>
        </is>
      </c>
      <c r="B7411" s="198">
        <f>IF(ISBLANK('CONFIGURAÇÃO'!$EQ$80),"",'CONFIGURAÇÃO'!$EQ$80&amp;"")</f>
        <v/>
      </c>
      <c r="C7411" s="198">
        <f>"'CONFIGURAÇÃO'!EQ80"</f>
        <v/>
      </c>
      <c r="D7411" s="198" t="inlineStr">
        <is>
          <t>configuração</t>
        </is>
      </c>
    </row>
    <row r="7412">
      <c r="A7412" s="198" t="inlineStr">
        <is>
          <t>custom.dano.7.nome</t>
        </is>
      </c>
      <c r="B7412" s="198">
        <f>IF(ISBLANK('CONFIGURAÇÃO'!$EI$97),"",'CONFIGURAÇÃO'!$EI$97&amp;"")</f>
        <v/>
      </c>
      <c r="C7412" s="198">
        <f>"'CONFIGURAÇÃO'!EI97"</f>
        <v/>
      </c>
      <c r="D7412" s="198" t="inlineStr">
        <is>
          <t>configuração</t>
        </is>
      </c>
    </row>
    <row r="7413">
      <c r="A7413" s="198" t="inlineStr">
        <is>
          <t>custom.dano.7.mestre_viu</t>
        </is>
      </c>
      <c r="B7413" s="198">
        <f>N('CONFIGURAÇÃO'!$EM$97)&amp;""</f>
        <v/>
      </c>
      <c r="C7413" s="198">
        <f>"'CONFIGURAÇÃO'!EM97"</f>
        <v/>
      </c>
      <c r="D7413" s="198" t="inlineStr">
        <is>
          <t>configuração</t>
        </is>
      </c>
    </row>
    <row r="7414">
      <c r="A7414" s="198" t="inlineStr">
        <is>
          <t>custom.dano.7.definicao</t>
        </is>
      </c>
      <c r="B7414" s="198">
        <f>IF(ISBLANK('CONFIGURAÇÃO'!$EI$101),"",'CONFIGURAÇÃO'!$EI$101&amp;"")</f>
        <v/>
      </c>
      <c r="C7414" s="198">
        <f>"'CONFIGURAÇÃO'!EI101"</f>
        <v/>
      </c>
      <c r="D7414" s="198" t="inlineStr">
        <is>
          <t>configuração</t>
        </is>
      </c>
    </row>
    <row r="7415">
      <c r="A7415" s="198" t="inlineStr">
        <is>
          <t>custom.dano.7.efeito</t>
        </is>
      </c>
      <c r="B7415" s="198">
        <f>IF(ISBLANK('CONFIGURAÇÃO'!$EI$108),"",'CONFIGURAÇÃO'!$EI$108&amp;"")</f>
        <v/>
      </c>
      <c r="C7415" s="198">
        <f>"'CONFIGURAÇÃO'!EI108"</f>
        <v/>
      </c>
      <c r="D7415" s="198" t="inlineStr">
        <is>
          <t>configuração</t>
        </is>
      </c>
    </row>
    <row r="7416">
      <c r="A7416" s="198" t="inlineStr">
        <is>
          <t>custom.dano.8.nome</t>
        </is>
      </c>
      <c r="B7416" s="198">
        <f>IF(ISBLANK('CONFIGURAÇÃO'!$EQ$97),"",'CONFIGURAÇÃO'!$EQ$97&amp;"")</f>
        <v/>
      </c>
      <c r="C7416" s="198">
        <f>"'CONFIGURAÇÃO'!EQ97"</f>
        <v/>
      </c>
      <c r="D7416" s="198" t="inlineStr">
        <is>
          <t>configuração</t>
        </is>
      </c>
    </row>
    <row r="7417">
      <c r="A7417" s="198" t="inlineStr">
        <is>
          <t>custom.dano.8.mestre_viu</t>
        </is>
      </c>
      <c r="B7417" s="198">
        <f>N('CONFIGURAÇÃO'!$EU$97)&amp;""</f>
        <v/>
      </c>
      <c r="C7417" s="198">
        <f>"'CONFIGURAÇÃO'!EU97"</f>
        <v/>
      </c>
      <c r="D7417" s="198" t="inlineStr">
        <is>
          <t>configuração</t>
        </is>
      </c>
    </row>
    <row r="7418">
      <c r="A7418" s="198" t="inlineStr">
        <is>
          <t>custom.dano.8.definicao</t>
        </is>
      </c>
      <c r="B7418" s="198">
        <f>IF(ISBLANK('CONFIGURAÇÃO'!$EQ$101),"",'CONFIGURAÇÃO'!$EQ$101&amp;"")</f>
        <v/>
      </c>
      <c r="C7418" s="198">
        <f>"'CONFIGURAÇÃO'!EQ101"</f>
        <v/>
      </c>
      <c r="D7418" s="198" t="inlineStr">
        <is>
          <t>configuração</t>
        </is>
      </c>
    </row>
    <row r="7419">
      <c r="A7419" s="198" t="inlineStr">
        <is>
          <t>custom.dano.8.efeito</t>
        </is>
      </c>
      <c r="B7419" s="198">
        <f>IF(ISBLANK('CONFIGURAÇÃO'!$EQ$108),"",'CONFIGURAÇÃO'!$EQ$108&amp;"")</f>
        <v/>
      </c>
      <c r="C7419" s="198">
        <f>"'CONFIGURAÇÃO'!EQ108"</f>
        <v/>
      </c>
      <c r="D7419" s="198" t="inlineStr">
        <is>
          <t>configuração</t>
        </is>
      </c>
    </row>
    <row r="7420">
      <c r="A7420" s="198" t="inlineStr">
        <is>
          <t>custom.dano.9.nome</t>
        </is>
      </c>
      <c r="B7420" s="198">
        <f>IF(ISBLANK('CONFIGURAÇÃO'!$EI$125),"",'CONFIGURAÇÃO'!$EI$125&amp;"")</f>
        <v/>
      </c>
      <c r="C7420" s="198">
        <f>"'CONFIGURAÇÃO'!EI125"</f>
        <v/>
      </c>
      <c r="D7420" s="198" t="inlineStr">
        <is>
          <t>configuração</t>
        </is>
      </c>
    </row>
    <row r="7421">
      <c r="A7421" s="198" t="inlineStr">
        <is>
          <t>custom.dano.9.mestre_viu</t>
        </is>
      </c>
      <c r="B7421" s="198">
        <f>N('CONFIGURAÇÃO'!$EM$125)&amp;""</f>
        <v/>
      </c>
      <c r="C7421" s="198">
        <f>"'CONFIGURAÇÃO'!EM125"</f>
        <v/>
      </c>
      <c r="D7421" s="198" t="inlineStr">
        <is>
          <t>configuração</t>
        </is>
      </c>
    </row>
    <row r="7422">
      <c r="A7422" s="198" t="inlineStr">
        <is>
          <t>custom.dano.9.definicao</t>
        </is>
      </c>
      <c r="B7422" s="198">
        <f>IF(ISBLANK('CONFIGURAÇÃO'!$EI$129),"",'CONFIGURAÇÃO'!$EI$129&amp;"")</f>
        <v/>
      </c>
      <c r="C7422" s="198">
        <f>"'CONFIGURAÇÃO'!EI129"</f>
        <v/>
      </c>
      <c r="D7422" s="198" t="inlineStr">
        <is>
          <t>configuração</t>
        </is>
      </c>
    </row>
    <row r="7423">
      <c r="A7423" s="198" t="inlineStr">
        <is>
          <t>custom.dano.9.efeito</t>
        </is>
      </c>
      <c r="B7423" s="198">
        <f>IF(ISBLANK('CONFIGURAÇÃO'!$EI$136),"",'CONFIGURAÇÃO'!$EI$136&amp;"")</f>
        <v/>
      </c>
      <c r="C7423" s="198">
        <f>"'CONFIGURAÇÃO'!EI136"</f>
        <v/>
      </c>
      <c r="D7423" s="198" t="inlineStr">
        <is>
          <t>configuração</t>
        </is>
      </c>
    </row>
    <row r="7424">
      <c r="A7424" s="198" t="inlineStr">
        <is>
          <t>custom.dano.10.nome</t>
        </is>
      </c>
      <c r="B7424" s="198">
        <f>IF(ISBLANK('CONFIGURAÇÃO'!$EQ$125),"",'CONFIGURAÇÃO'!$EQ$125&amp;"")</f>
        <v/>
      </c>
      <c r="C7424" s="198">
        <f>"'CONFIGURAÇÃO'!EQ125"</f>
        <v/>
      </c>
      <c r="D7424" s="198" t="inlineStr">
        <is>
          <t>configuração</t>
        </is>
      </c>
    </row>
    <row r="7425">
      <c r="A7425" s="198" t="inlineStr">
        <is>
          <t>custom.dano.10.mestre_viu</t>
        </is>
      </c>
      <c r="B7425" s="198">
        <f>N('CONFIGURAÇÃO'!$EU$125)&amp;""</f>
        <v/>
      </c>
      <c r="C7425" s="198">
        <f>"'CONFIGURAÇÃO'!EU125"</f>
        <v/>
      </c>
      <c r="D7425" s="198" t="inlineStr">
        <is>
          <t>configuração</t>
        </is>
      </c>
    </row>
    <row r="7426">
      <c r="A7426" s="198" t="inlineStr">
        <is>
          <t>custom.dano.10.definicao</t>
        </is>
      </c>
      <c r="B7426" s="198">
        <f>IF(ISBLANK('CONFIGURAÇÃO'!$EQ$129),"",'CONFIGURAÇÃO'!$EQ$129&amp;"")</f>
        <v/>
      </c>
      <c r="C7426" s="198">
        <f>"'CONFIGURAÇÃO'!EQ129"</f>
        <v/>
      </c>
      <c r="D7426" s="198" t="inlineStr">
        <is>
          <t>configuração</t>
        </is>
      </c>
    </row>
    <row r="7427">
      <c r="A7427" s="198" t="inlineStr">
        <is>
          <t>custom.dano.10.efeito</t>
        </is>
      </c>
      <c r="B7427" s="198">
        <f>IF(ISBLANK('CONFIGURAÇÃO'!$EQ$136),"",'CONFIGURAÇÃO'!$EQ$136&amp;"")</f>
        <v/>
      </c>
      <c r="C7427" s="198">
        <f>"'CONFIGURAÇÃO'!EQ136"</f>
        <v/>
      </c>
      <c r="D7427" s="198" t="inlineStr">
        <is>
          <t>configuração</t>
        </is>
      </c>
    </row>
    <row r="7428">
      <c r="A7428" s="198" t="inlineStr">
        <is>
          <t>aviso.custom.dano.1</t>
        </is>
      </c>
      <c r="B7428" s="198">
        <f>'DADOS_DANOS'!$H$2&amp;""</f>
        <v/>
      </c>
      <c r="C7428" s="198">
        <f>"'DADOS_DANOS'!H2"</f>
        <v/>
      </c>
      <c r="D7428" s="198" t="inlineStr">
        <is>
          <t>aviso</t>
        </is>
      </c>
    </row>
    <row r="7429">
      <c r="A7429" s="198" t="inlineStr">
        <is>
          <t>aviso.custom.dano.2</t>
        </is>
      </c>
      <c r="B7429" s="198">
        <f>'DADOS_DANOS'!$H$3&amp;""</f>
        <v/>
      </c>
      <c r="C7429" s="198">
        <f>"'DADOS_DANOS'!H3"</f>
        <v/>
      </c>
      <c r="D7429" s="198" t="inlineStr">
        <is>
          <t>aviso</t>
        </is>
      </c>
    </row>
    <row r="7430">
      <c r="A7430" s="198" t="inlineStr">
        <is>
          <t>aviso.custom.dano.3</t>
        </is>
      </c>
      <c r="B7430" s="198">
        <f>'DADOS_DANOS'!$H$4&amp;""</f>
        <v/>
      </c>
      <c r="C7430" s="198">
        <f>"'DADOS_DANOS'!H4"</f>
        <v/>
      </c>
      <c r="D7430" s="198" t="inlineStr">
        <is>
          <t>aviso</t>
        </is>
      </c>
    </row>
    <row r="7431">
      <c r="A7431" s="198" t="inlineStr">
        <is>
          <t>aviso.custom.dano.4</t>
        </is>
      </c>
      <c r="B7431" s="198">
        <f>'DADOS_DANOS'!$H$5&amp;""</f>
        <v/>
      </c>
      <c r="C7431" s="198">
        <f>"'DADOS_DANOS'!H5"</f>
        <v/>
      </c>
      <c r="D7431" s="198" t="inlineStr">
        <is>
          <t>aviso</t>
        </is>
      </c>
    </row>
    <row r="7432">
      <c r="A7432" s="198" t="inlineStr">
        <is>
          <t>aviso.custom.dano.5</t>
        </is>
      </c>
      <c r="B7432" s="198">
        <f>'DADOS_DANOS'!$H$6&amp;""</f>
        <v/>
      </c>
      <c r="C7432" s="198">
        <f>"'DADOS_DANOS'!H6"</f>
        <v/>
      </c>
      <c r="D7432" s="198" t="inlineStr">
        <is>
          <t>aviso</t>
        </is>
      </c>
    </row>
    <row r="7433">
      <c r="A7433" s="198" t="inlineStr">
        <is>
          <t>aviso.custom.dano.6</t>
        </is>
      </c>
      <c r="B7433" s="198">
        <f>'DADOS_DANOS'!$H$7&amp;""</f>
        <v/>
      </c>
      <c r="C7433" s="198">
        <f>"'DADOS_DANOS'!H7"</f>
        <v/>
      </c>
      <c r="D7433" s="198" t="inlineStr">
        <is>
          <t>aviso</t>
        </is>
      </c>
    </row>
    <row r="7434">
      <c r="A7434" s="198" t="inlineStr">
        <is>
          <t>aviso.custom.dano.7</t>
        </is>
      </c>
      <c r="B7434" s="198">
        <f>'DADOS_DANOS'!$H$8&amp;""</f>
        <v/>
      </c>
      <c r="C7434" s="198">
        <f>"'DADOS_DANOS'!H8"</f>
        <v/>
      </c>
      <c r="D7434" s="198" t="inlineStr">
        <is>
          <t>aviso</t>
        </is>
      </c>
    </row>
    <row r="7435">
      <c r="A7435" s="198" t="inlineStr">
        <is>
          <t>aviso.custom.dano.8</t>
        </is>
      </c>
      <c r="B7435" s="198">
        <f>'DADOS_DANOS'!$H$9&amp;""</f>
        <v/>
      </c>
      <c r="C7435" s="198">
        <f>"'DADOS_DANOS'!H9"</f>
        <v/>
      </c>
      <c r="D7435" s="198" t="inlineStr">
        <is>
          <t>aviso</t>
        </is>
      </c>
    </row>
    <row r="7436">
      <c r="A7436" s="198" t="inlineStr">
        <is>
          <t>aviso.custom.dano.9</t>
        </is>
      </c>
      <c r="B7436" s="198">
        <f>'DADOS_DANOS'!$H$10&amp;""</f>
        <v/>
      </c>
      <c r="C7436" s="198">
        <f>"'DADOS_DANOS'!H10"</f>
        <v/>
      </c>
      <c r="D7436" s="198" t="inlineStr">
        <is>
          <t>aviso</t>
        </is>
      </c>
    </row>
    <row r="7437">
      <c r="A7437" s="198" t="inlineStr">
        <is>
          <t>aviso.custom.dano.10</t>
        </is>
      </c>
      <c r="B7437" s="198">
        <f>'DADOS_DANOS'!$H$11&amp;""</f>
        <v/>
      </c>
      <c r="C7437" s="198">
        <f>"'DADOS_DANOS'!H11"</f>
        <v/>
      </c>
      <c r="D7437" s="198" t="inlineStr">
        <is>
          <t>aviso</t>
        </is>
      </c>
    </row>
    <row r="7438">
      <c r="A7438" s="198" t="inlineStr">
        <is>
          <t>custom.forma.1.tipo</t>
        </is>
      </c>
      <c r="B7438" s="198">
        <f>IF(ISBLANK('CONFIGURAÇÃO'!$EZ$14),"",'CONFIGURAÇÃO'!$EZ$14&amp;"")</f>
        <v/>
      </c>
      <c r="C7438" s="198">
        <f>"'CONFIGURAÇÃO'!EZ14"</f>
        <v/>
      </c>
      <c r="D7438" s="198" t="inlineStr">
        <is>
          <t>configuração</t>
        </is>
      </c>
    </row>
    <row r="7439">
      <c r="A7439" s="198" t="inlineStr">
        <is>
          <t>custom.forma.1.nome</t>
        </is>
      </c>
      <c r="B7439" s="198">
        <f>IF(ISBLANK('CONFIGURAÇÃO'!$EZ$16),"",'CONFIGURAÇÃO'!$EZ$16&amp;"")</f>
        <v/>
      </c>
      <c r="C7439" s="198">
        <f>"'CONFIGURAÇÃO'!EZ16"</f>
        <v/>
      </c>
      <c r="D7439" s="198" t="inlineStr">
        <is>
          <t>configuração</t>
        </is>
      </c>
    </row>
    <row r="7440">
      <c r="A7440" s="198" t="inlineStr">
        <is>
          <t>custom.forma.1.base</t>
        </is>
      </c>
      <c r="B7440" s="198">
        <f>IF(ISBLANK('CONFIGURAÇÃO'!$FC$17),"",'CONFIGURAÇÃO'!$FC$17&amp;"")</f>
        <v/>
      </c>
      <c r="C7440" s="198">
        <f>"'CONFIGURAÇÃO'!FC17"</f>
        <v/>
      </c>
      <c r="D7440" s="198" t="inlineStr">
        <is>
          <t>configuração</t>
        </is>
      </c>
    </row>
    <row r="7441">
      <c r="A7441" s="198" t="inlineStr">
        <is>
          <t>custom.forma.1.mestre_viu</t>
        </is>
      </c>
      <c r="B7441" s="198">
        <f>N('CONFIGURAÇÃO'!$FD$14)&amp;""</f>
        <v/>
      </c>
      <c r="C7441" s="198">
        <f>"'CONFIGURAÇÃO'!FD14"</f>
        <v/>
      </c>
      <c r="D7441" s="198" t="inlineStr">
        <is>
          <t>configuração</t>
        </is>
      </c>
    </row>
    <row r="7442">
      <c r="A7442" s="198" t="inlineStr">
        <is>
          <t>custom.forma.1.requisitos</t>
        </is>
      </c>
      <c r="B7442" s="198">
        <f>IF(ISBLANK('CONFIGURAÇÃO'!$EZ$43),"",'CONFIGURAÇÃO'!$EZ$43&amp;"")</f>
        <v/>
      </c>
      <c r="C7442" s="198">
        <f>"'CONFIGURAÇÃO'!EZ43"</f>
        <v/>
      </c>
      <c r="D7442" s="198" t="inlineStr">
        <is>
          <t>configuração</t>
        </is>
      </c>
    </row>
    <row r="7443">
      <c r="A7443" s="198" t="inlineStr">
        <is>
          <t>custom.forma.1.efeito</t>
        </is>
      </c>
      <c r="B7443" s="198">
        <f>IF(ISBLANK('CONFIGURAÇÃO'!$EZ$49),"",'CONFIGURAÇÃO'!$EZ$49&amp;"")</f>
        <v/>
      </c>
      <c r="C7443" s="198">
        <f>"'CONFIGURAÇÃO'!EZ49"</f>
        <v/>
      </c>
      <c r="D7443" s="198" t="inlineStr">
        <is>
          <t>configuração</t>
        </is>
      </c>
    </row>
    <row r="7444">
      <c r="A7444" s="198" t="inlineStr">
        <is>
          <t>custom.forma.1.familia</t>
        </is>
      </c>
      <c r="B7444" s="198">
        <f>IF(ISBLANK('CONFIGURAÇÃO'!$FC$18),"",'CONFIGURAÇÃO'!$FC$18&amp;"")</f>
        <v/>
      </c>
      <c r="C7444" s="198">
        <f>"'CONFIGURAÇÃO'!FC18"</f>
        <v/>
      </c>
      <c r="D7444" s="198" t="inlineStr">
        <is>
          <t>configuração</t>
        </is>
      </c>
    </row>
    <row r="7445">
      <c r="A7445" s="198" t="inlineStr">
        <is>
          <t>custom.forma.1.peso</t>
        </is>
      </c>
      <c r="B7445" s="198">
        <f>IF(ISBLANK('CONFIGURAÇÃO'!$FC$19),"",'CONFIGURAÇÃO'!$FC$19&amp;"")</f>
        <v/>
      </c>
      <c r="C7445" s="198">
        <f>"'CONFIGURAÇÃO'!FC19"</f>
        <v/>
      </c>
      <c r="D7445" s="198" t="inlineStr">
        <is>
          <t>configuração</t>
        </is>
      </c>
    </row>
    <row r="7446">
      <c r="A7446" s="198" t="inlineStr">
        <is>
          <t>custom.forma.1.resolucao</t>
        </is>
      </c>
      <c r="B7446" s="198">
        <f>IF(ISBLANK('CONFIGURAÇÃO'!$FC$20),"",'CONFIGURAÇÃO'!$FC$20&amp;"")</f>
        <v/>
      </c>
      <c r="C7446" s="198">
        <f>"'CONFIGURAÇÃO'!FC20"</f>
        <v/>
      </c>
      <c r="D7446" s="198" t="inlineStr">
        <is>
          <t>configuração</t>
        </is>
      </c>
    </row>
    <row r="7447">
      <c r="A7447" s="198" t="inlineStr">
        <is>
          <t>custom.forma.1.resultado</t>
        </is>
      </c>
      <c r="B7447" s="198">
        <f>IF(ISBLANK('CONFIGURAÇÃO'!$FC$21),"",'CONFIGURAÇÃO'!$FC$21&amp;"")</f>
        <v/>
      </c>
      <c r="C7447" s="198">
        <f>"'CONFIGURAÇÃO'!FC21"</f>
        <v/>
      </c>
      <c r="D7447" s="198" t="inlineStr">
        <is>
          <t>configuração</t>
        </is>
      </c>
    </row>
    <row r="7448">
      <c r="A7448" s="198" t="inlineStr">
        <is>
          <t>custom.forma.1.exige_tr</t>
        </is>
      </c>
      <c r="B7448" s="198">
        <f>IF(ISBLANK('CONFIGURAÇÃO'!$FC$22),"",'CONFIGURAÇÃO'!$FC$22&amp;"")</f>
        <v/>
      </c>
      <c r="C7448" s="198">
        <f>"'CONFIGURAÇÃO'!FC22"</f>
        <v/>
      </c>
      <c r="D7448" s="198" t="inlineStr">
        <is>
          <t>configuração</t>
        </is>
      </c>
    </row>
    <row r="7449">
      <c r="A7449" s="198" t="inlineStr">
        <is>
          <t>custom.forma.1.classe_zero</t>
        </is>
      </c>
      <c r="B7449" s="198">
        <f>IF(ISBLANK('CONFIGURAÇÃO'!$FC$23),"",'CONFIGURAÇÃO'!$FC$23&amp;"")</f>
        <v/>
      </c>
      <c r="C7449" s="198">
        <f>"'CONFIGURAÇÃO'!FC23"</f>
        <v/>
      </c>
      <c r="D7449" s="198" t="inlineStr">
        <is>
          <t>configuração</t>
        </is>
      </c>
    </row>
    <row r="7450">
      <c r="A7450" s="198" t="inlineStr">
        <is>
          <t>custom.forma.1.restricao_embutida</t>
        </is>
      </c>
      <c r="B7450" s="198">
        <f>IF(ISBLANK('CONFIGURAÇÃO'!$FC$24),"",'CONFIGURAÇÃO'!$FC$24&amp;"")</f>
        <v/>
      </c>
      <c r="C7450" s="198">
        <f>"'CONFIGURAÇÃO'!FC24"</f>
        <v/>
      </c>
      <c r="D7450" s="198" t="inlineStr">
        <is>
          <t>configuração</t>
        </is>
      </c>
    </row>
    <row r="7451">
      <c r="A7451" s="198" t="inlineStr">
        <is>
          <t>custom.forma.1.alcance_escada</t>
        </is>
      </c>
      <c r="B7451" s="198">
        <f>IF(ISBLANK('CONFIGURAÇÃO'!$FC$25),"",'CONFIGURAÇÃO'!$FC$25&amp;"")</f>
        <v/>
      </c>
      <c r="C7451" s="198">
        <f>"'CONFIGURAÇÃO'!FC25"</f>
        <v/>
      </c>
      <c r="D7451" s="198" t="inlineStr">
        <is>
          <t>configuração</t>
        </is>
      </c>
    </row>
    <row r="7452">
      <c r="A7452" s="198" t="inlineStr">
        <is>
          <t>custom.forma.1.area_escada</t>
        </is>
      </c>
      <c r="B7452" s="198">
        <f>IF(ISBLANK('CONFIGURAÇÃO'!$FC$26),"",'CONFIGURAÇÃO'!$FC$26&amp;"")</f>
        <v/>
      </c>
      <c r="C7452" s="198">
        <f>"'CONFIGURAÇÃO'!FC26"</f>
        <v/>
      </c>
      <c r="D7452" s="198" t="inlineStr">
        <is>
          <t>configuração</t>
        </is>
      </c>
    </row>
    <row r="7453">
      <c r="A7453" s="198" t="inlineStr">
        <is>
          <t>custom.forma.1.alcance_personagem_classe_0</t>
        </is>
      </c>
      <c r="B7453" s="198">
        <f>IF(ISBLANK('CONFIGURAÇÃO'!$FC$27),"",'CONFIGURAÇÃO'!$FC$27&amp;"")</f>
        <v/>
      </c>
      <c r="C7453" s="198">
        <f>"'CONFIGURAÇÃO'!FC27"</f>
        <v/>
      </c>
      <c r="D7453" s="198" t="inlineStr">
        <is>
          <t>configuração</t>
        </is>
      </c>
    </row>
    <row r="7454">
      <c r="A7454" s="198" t="inlineStr">
        <is>
          <t>custom.forma.1.alcance_personagem_classes_1_a_5</t>
        </is>
      </c>
      <c r="B7454" s="198">
        <f>IF(ISBLANK('CONFIGURAÇÃO'!$FC$28),"",'CONFIGURAÇÃO'!$FC$28&amp;"")</f>
        <v/>
      </c>
      <c r="C7454" s="198">
        <f>"'CONFIGURAÇÃO'!FC28"</f>
        <v/>
      </c>
      <c r="D7454" s="198" t="inlineStr">
        <is>
          <t>configuração</t>
        </is>
      </c>
    </row>
    <row r="7455">
      <c r="A7455" s="198" t="inlineStr">
        <is>
          <t>custom.forma.1.alcance_personagem_classes_6_e_7</t>
        </is>
      </c>
      <c r="B7455" s="198">
        <f>IF(ISBLANK('CONFIGURAÇÃO'!$FC$29),"",'CONFIGURAÇÃO'!$FC$29&amp;"")</f>
        <v/>
      </c>
      <c r="C7455" s="198">
        <f>"'CONFIGURAÇÃO'!FC29"</f>
        <v/>
      </c>
      <c r="D7455" s="198" t="inlineStr">
        <is>
          <t>configuração</t>
        </is>
      </c>
    </row>
    <row r="7456">
      <c r="A7456" s="198" t="inlineStr">
        <is>
          <t>custom.forma.1.alcance_entidade_classe_0</t>
        </is>
      </c>
      <c r="B7456" s="198">
        <f>IF(ISBLANK('CONFIGURAÇÃO'!$FC$30),"",'CONFIGURAÇÃO'!$FC$30&amp;"")</f>
        <v/>
      </c>
      <c r="C7456" s="198">
        <f>"'CONFIGURAÇÃO'!FC30"</f>
        <v/>
      </c>
      <c r="D7456" s="198" t="inlineStr">
        <is>
          <t>configuração</t>
        </is>
      </c>
    </row>
    <row r="7457">
      <c r="A7457" s="198" t="inlineStr">
        <is>
          <t>custom.forma.1.alcance_entidade_classes_1_a_5</t>
        </is>
      </c>
      <c r="B7457" s="198">
        <f>IF(ISBLANK('CONFIGURAÇÃO'!$FC$31),"",'CONFIGURAÇÃO'!$FC$31&amp;"")</f>
        <v/>
      </c>
      <c r="C7457" s="198">
        <f>"'CONFIGURAÇÃO'!FC31"</f>
        <v/>
      </c>
      <c r="D7457" s="198" t="inlineStr">
        <is>
          <t>configuração</t>
        </is>
      </c>
    </row>
    <row r="7458">
      <c r="A7458" s="198" t="inlineStr">
        <is>
          <t>custom.forma.1.alcance_entidade_classe_6</t>
        </is>
      </c>
      <c r="B7458" s="198">
        <f>IF(ISBLANK('CONFIGURAÇÃO'!$FC$32),"",'CONFIGURAÇÃO'!$FC$32&amp;"")</f>
        <v/>
      </c>
      <c r="C7458" s="198">
        <f>"'CONFIGURAÇÃO'!FC32"</f>
        <v/>
      </c>
      <c r="D7458" s="198" t="inlineStr">
        <is>
          <t>configuração</t>
        </is>
      </c>
    </row>
    <row r="7459">
      <c r="A7459" s="198" t="inlineStr">
        <is>
          <t>custom.forma.1.alcance_entidade_classe_7</t>
        </is>
      </c>
      <c r="B7459" s="198">
        <f>IF(ISBLANK('CONFIGURAÇÃO'!$FC$33),"",'CONFIGURAÇÃO'!$FC$33&amp;"")</f>
        <v/>
      </c>
      <c r="C7459" s="198">
        <f>"'CONFIGURAÇÃO'!FC33"</f>
        <v/>
      </c>
      <c r="D7459" s="198" t="inlineStr">
        <is>
          <t>configuração</t>
        </is>
      </c>
    </row>
    <row r="7460">
      <c r="A7460" s="198" t="inlineStr">
        <is>
          <t>custom.forma.1.area_personagem_classe_0</t>
        </is>
      </c>
      <c r="B7460" s="198">
        <f>IF(ISBLANK('CONFIGURAÇÃO'!$FC$34),"",'CONFIGURAÇÃO'!$FC$34&amp;"")</f>
        <v/>
      </c>
      <c r="C7460" s="198">
        <f>"'CONFIGURAÇÃO'!FC34"</f>
        <v/>
      </c>
      <c r="D7460" s="198" t="inlineStr">
        <is>
          <t>configuração</t>
        </is>
      </c>
    </row>
    <row r="7461">
      <c r="A7461" s="198" t="inlineStr">
        <is>
          <t>custom.forma.1.area_personagem_classes_1_a_5</t>
        </is>
      </c>
      <c r="B7461" s="198">
        <f>IF(ISBLANK('CONFIGURAÇÃO'!$FC$35),"",'CONFIGURAÇÃO'!$FC$35&amp;"")</f>
        <v/>
      </c>
      <c r="C7461" s="198">
        <f>"'CONFIGURAÇÃO'!FC35"</f>
        <v/>
      </c>
      <c r="D7461" s="198" t="inlineStr">
        <is>
          <t>configuração</t>
        </is>
      </c>
    </row>
    <row r="7462">
      <c r="A7462" s="198" t="inlineStr">
        <is>
          <t>custom.forma.1.area_personagem_classes_6_e_7</t>
        </is>
      </c>
      <c r="B7462" s="198">
        <f>IF(ISBLANK('CONFIGURAÇÃO'!$FC$36),"",'CONFIGURAÇÃO'!$FC$36&amp;"")</f>
        <v/>
      </c>
      <c r="C7462" s="198">
        <f>"'CONFIGURAÇÃO'!FC36"</f>
        <v/>
      </c>
      <c r="D7462" s="198" t="inlineStr">
        <is>
          <t>configuração</t>
        </is>
      </c>
    </row>
    <row r="7463">
      <c r="A7463" s="198" t="inlineStr">
        <is>
          <t>custom.forma.1.area_entidade_classe_0</t>
        </is>
      </c>
      <c r="B7463" s="198">
        <f>IF(ISBLANK('CONFIGURAÇÃO'!$FC$37),"",'CONFIGURAÇÃO'!$FC$37&amp;"")</f>
        <v/>
      </c>
      <c r="C7463" s="198">
        <f>"'CONFIGURAÇÃO'!FC37"</f>
        <v/>
      </c>
      <c r="D7463" s="198" t="inlineStr">
        <is>
          <t>configuração</t>
        </is>
      </c>
    </row>
    <row r="7464">
      <c r="A7464" s="198" t="inlineStr">
        <is>
          <t>custom.forma.1.area_entidade_classes_1_a_5</t>
        </is>
      </c>
      <c r="B7464" s="198">
        <f>IF(ISBLANK('CONFIGURAÇÃO'!$FC$38),"",'CONFIGURAÇÃO'!$FC$38&amp;"")</f>
        <v/>
      </c>
      <c r="C7464" s="198">
        <f>"'CONFIGURAÇÃO'!FC38"</f>
        <v/>
      </c>
      <c r="D7464" s="198" t="inlineStr">
        <is>
          <t>configuração</t>
        </is>
      </c>
    </row>
    <row r="7465">
      <c r="A7465" s="198" t="inlineStr">
        <is>
          <t>custom.forma.1.area_entidade_classe_6</t>
        </is>
      </c>
      <c r="B7465" s="198">
        <f>IF(ISBLANK('CONFIGURAÇÃO'!$FC$39),"",'CONFIGURAÇÃO'!$FC$39&amp;"")</f>
        <v/>
      </c>
      <c r="C7465" s="198">
        <f>"'CONFIGURAÇÃO'!FC39"</f>
        <v/>
      </c>
      <c r="D7465" s="198" t="inlineStr">
        <is>
          <t>configuração</t>
        </is>
      </c>
    </row>
    <row r="7466">
      <c r="A7466" s="198" t="inlineStr">
        <is>
          <t>custom.forma.1.area_entidade_classe_7</t>
        </is>
      </c>
      <c r="B7466" s="198">
        <f>IF(ISBLANK('CONFIGURAÇÃO'!$FC$40),"",'CONFIGURAÇÃO'!$FC$40&amp;"")</f>
        <v/>
      </c>
      <c r="C7466" s="198">
        <f>"'CONFIGURAÇÃO'!FC40"</f>
        <v/>
      </c>
      <c r="D7466" s="198" t="inlineStr">
        <is>
          <t>configuração</t>
        </is>
      </c>
    </row>
    <row r="7467">
      <c r="A7467" s="198" t="inlineStr">
        <is>
          <t>custom.forma.2.tipo</t>
        </is>
      </c>
      <c r="B7467" s="198">
        <f>IF(ISBLANK('CONFIGURAÇÃO'!$FH$14),"",'CONFIGURAÇÃO'!$FH$14&amp;"")</f>
        <v/>
      </c>
      <c r="C7467" s="198">
        <f>"'CONFIGURAÇÃO'!FH14"</f>
        <v/>
      </c>
      <c r="D7467" s="198" t="inlineStr">
        <is>
          <t>configuração</t>
        </is>
      </c>
    </row>
    <row r="7468">
      <c r="A7468" s="198" t="inlineStr">
        <is>
          <t>custom.forma.2.nome</t>
        </is>
      </c>
      <c r="B7468" s="198">
        <f>IF(ISBLANK('CONFIGURAÇÃO'!$FH$16),"",'CONFIGURAÇÃO'!$FH$16&amp;"")</f>
        <v/>
      </c>
      <c r="C7468" s="198">
        <f>"'CONFIGURAÇÃO'!FH16"</f>
        <v/>
      </c>
      <c r="D7468" s="198" t="inlineStr">
        <is>
          <t>configuração</t>
        </is>
      </c>
    </row>
    <row r="7469">
      <c r="A7469" s="198" t="inlineStr">
        <is>
          <t>custom.forma.2.base</t>
        </is>
      </c>
      <c r="B7469" s="198">
        <f>IF(ISBLANK('CONFIGURAÇÃO'!$FK$17),"",'CONFIGURAÇÃO'!$FK$17&amp;"")</f>
        <v/>
      </c>
      <c r="C7469" s="198">
        <f>"'CONFIGURAÇÃO'!FK17"</f>
        <v/>
      </c>
      <c r="D7469" s="198" t="inlineStr">
        <is>
          <t>configuração</t>
        </is>
      </c>
    </row>
    <row r="7470">
      <c r="A7470" s="198" t="inlineStr">
        <is>
          <t>custom.forma.2.mestre_viu</t>
        </is>
      </c>
      <c r="B7470" s="198">
        <f>N('CONFIGURAÇÃO'!$FL$14)&amp;""</f>
        <v/>
      </c>
      <c r="C7470" s="198">
        <f>"'CONFIGURAÇÃO'!FL14"</f>
        <v/>
      </c>
      <c r="D7470" s="198" t="inlineStr">
        <is>
          <t>configuração</t>
        </is>
      </c>
    </row>
    <row r="7471">
      <c r="A7471" s="198" t="inlineStr">
        <is>
          <t>custom.forma.2.requisitos</t>
        </is>
      </c>
      <c r="B7471" s="198">
        <f>IF(ISBLANK('CONFIGURAÇÃO'!$FH$43),"",'CONFIGURAÇÃO'!$FH$43&amp;"")</f>
        <v/>
      </c>
      <c r="C7471" s="198">
        <f>"'CONFIGURAÇÃO'!FH43"</f>
        <v/>
      </c>
      <c r="D7471" s="198" t="inlineStr">
        <is>
          <t>configuração</t>
        </is>
      </c>
    </row>
    <row r="7472">
      <c r="A7472" s="198" t="inlineStr">
        <is>
          <t>custom.forma.2.efeito</t>
        </is>
      </c>
      <c r="B7472" s="198">
        <f>IF(ISBLANK('CONFIGURAÇÃO'!$FH$49),"",'CONFIGURAÇÃO'!$FH$49&amp;"")</f>
        <v/>
      </c>
      <c r="C7472" s="198">
        <f>"'CONFIGURAÇÃO'!FH49"</f>
        <v/>
      </c>
      <c r="D7472" s="198" t="inlineStr">
        <is>
          <t>configuração</t>
        </is>
      </c>
    </row>
    <row r="7473">
      <c r="A7473" s="198" t="inlineStr">
        <is>
          <t>custom.forma.2.familia</t>
        </is>
      </c>
      <c r="B7473" s="198">
        <f>IF(ISBLANK('CONFIGURAÇÃO'!$FK$18),"",'CONFIGURAÇÃO'!$FK$18&amp;"")</f>
        <v/>
      </c>
      <c r="C7473" s="198">
        <f>"'CONFIGURAÇÃO'!FK18"</f>
        <v/>
      </c>
      <c r="D7473" s="198" t="inlineStr">
        <is>
          <t>configuração</t>
        </is>
      </c>
    </row>
    <row r="7474">
      <c r="A7474" s="198" t="inlineStr">
        <is>
          <t>custom.forma.2.peso</t>
        </is>
      </c>
      <c r="B7474" s="198">
        <f>IF(ISBLANK('CONFIGURAÇÃO'!$FK$19),"",'CONFIGURAÇÃO'!$FK$19&amp;"")</f>
        <v/>
      </c>
      <c r="C7474" s="198">
        <f>"'CONFIGURAÇÃO'!FK19"</f>
        <v/>
      </c>
      <c r="D7474" s="198" t="inlineStr">
        <is>
          <t>configuração</t>
        </is>
      </c>
    </row>
    <row r="7475">
      <c r="A7475" s="198" t="inlineStr">
        <is>
          <t>custom.forma.2.resolucao</t>
        </is>
      </c>
      <c r="B7475" s="198">
        <f>IF(ISBLANK('CONFIGURAÇÃO'!$FK$20),"",'CONFIGURAÇÃO'!$FK$20&amp;"")</f>
        <v/>
      </c>
      <c r="C7475" s="198">
        <f>"'CONFIGURAÇÃO'!FK20"</f>
        <v/>
      </c>
      <c r="D7475" s="198" t="inlineStr">
        <is>
          <t>configuração</t>
        </is>
      </c>
    </row>
    <row r="7476">
      <c r="A7476" s="198" t="inlineStr">
        <is>
          <t>custom.forma.2.resultado</t>
        </is>
      </c>
      <c r="B7476" s="198">
        <f>IF(ISBLANK('CONFIGURAÇÃO'!$FK$21),"",'CONFIGURAÇÃO'!$FK$21&amp;"")</f>
        <v/>
      </c>
      <c r="C7476" s="198">
        <f>"'CONFIGURAÇÃO'!FK21"</f>
        <v/>
      </c>
      <c r="D7476" s="198" t="inlineStr">
        <is>
          <t>configuração</t>
        </is>
      </c>
    </row>
    <row r="7477">
      <c r="A7477" s="198" t="inlineStr">
        <is>
          <t>custom.forma.2.exige_tr</t>
        </is>
      </c>
      <c r="B7477" s="198">
        <f>IF(ISBLANK('CONFIGURAÇÃO'!$FK$22),"",'CONFIGURAÇÃO'!$FK$22&amp;"")</f>
        <v/>
      </c>
      <c r="C7477" s="198">
        <f>"'CONFIGURAÇÃO'!FK22"</f>
        <v/>
      </c>
      <c r="D7477" s="198" t="inlineStr">
        <is>
          <t>configuração</t>
        </is>
      </c>
    </row>
    <row r="7478">
      <c r="A7478" s="198" t="inlineStr">
        <is>
          <t>custom.forma.2.classe_zero</t>
        </is>
      </c>
      <c r="B7478" s="198">
        <f>IF(ISBLANK('CONFIGURAÇÃO'!$FK$23),"",'CONFIGURAÇÃO'!$FK$23&amp;"")</f>
        <v/>
      </c>
      <c r="C7478" s="198">
        <f>"'CONFIGURAÇÃO'!FK23"</f>
        <v/>
      </c>
      <c r="D7478" s="198" t="inlineStr">
        <is>
          <t>configuração</t>
        </is>
      </c>
    </row>
    <row r="7479">
      <c r="A7479" s="198" t="inlineStr">
        <is>
          <t>custom.forma.2.restricao_embutida</t>
        </is>
      </c>
      <c r="B7479" s="198">
        <f>IF(ISBLANK('CONFIGURAÇÃO'!$FK$24),"",'CONFIGURAÇÃO'!$FK$24&amp;"")</f>
        <v/>
      </c>
      <c r="C7479" s="198">
        <f>"'CONFIGURAÇÃO'!FK24"</f>
        <v/>
      </c>
      <c r="D7479" s="198" t="inlineStr">
        <is>
          <t>configuração</t>
        </is>
      </c>
    </row>
    <row r="7480">
      <c r="A7480" s="198" t="inlineStr">
        <is>
          <t>custom.forma.2.alcance_escada</t>
        </is>
      </c>
      <c r="B7480" s="198">
        <f>IF(ISBLANK('CONFIGURAÇÃO'!$FK$25),"",'CONFIGURAÇÃO'!$FK$25&amp;"")</f>
        <v/>
      </c>
      <c r="C7480" s="198">
        <f>"'CONFIGURAÇÃO'!FK25"</f>
        <v/>
      </c>
      <c r="D7480" s="198" t="inlineStr">
        <is>
          <t>configuração</t>
        </is>
      </c>
    </row>
    <row r="7481">
      <c r="A7481" s="198" t="inlineStr">
        <is>
          <t>custom.forma.2.area_escada</t>
        </is>
      </c>
      <c r="B7481" s="198">
        <f>IF(ISBLANK('CONFIGURAÇÃO'!$FK$26),"",'CONFIGURAÇÃO'!$FK$26&amp;"")</f>
        <v/>
      </c>
      <c r="C7481" s="198">
        <f>"'CONFIGURAÇÃO'!FK26"</f>
        <v/>
      </c>
      <c r="D7481" s="198" t="inlineStr">
        <is>
          <t>configuração</t>
        </is>
      </c>
    </row>
    <row r="7482">
      <c r="A7482" s="198" t="inlineStr">
        <is>
          <t>custom.forma.2.alcance_personagem_classe_0</t>
        </is>
      </c>
      <c r="B7482" s="198">
        <f>IF(ISBLANK('CONFIGURAÇÃO'!$FK$27),"",'CONFIGURAÇÃO'!$FK$27&amp;"")</f>
        <v/>
      </c>
      <c r="C7482" s="198">
        <f>"'CONFIGURAÇÃO'!FK27"</f>
        <v/>
      </c>
      <c r="D7482" s="198" t="inlineStr">
        <is>
          <t>configuração</t>
        </is>
      </c>
    </row>
    <row r="7483">
      <c r="A7483" s="198" t="inlineStr">
        <is>
          <t>custom.forma.2.alcance_personagem_classes_1_a_5</t>
        </is>
      </c>
      <c r="B7483" s="198">
        <f>IF(ISBLANK('CONFIGURAÇÃO'!$FK$28),"",'CONFIGURAÇÃO'!$FK$28&amp;"")</f>
        <v/>
      </c>
      <c r="C7483" s="198">
        <f>"'CONFIGURAÇÃO'!FK28"</f>
        <v/>
      </c>
      <c r="D7483" s="198" t="inlineStr">
        <is>
          <t>configuração</t>
        </is>
      </c>
    </row>
    <row r="7484">
      <c r="A7484" s="198" t="inlineStr">
        <is>
          <t>custom.forma.2.alcance_personagem_classes_6_e_7</t>
        </is>
      </c>
      <c r="B7484" s="198">
        <f>IF(ISBLANK('CONFIGURAÇÃO'!$FK$29),"",'CONFIGURAÇÃO'!$FK$29&amp;"")</f>
        <v/>
      </c>
      <c r="C7484" s="198">
        <f>"'CONFIGURAÇÃO'!FK29"</f>
        <v/>
      </c>
      <c r="D7484" s="198" t="inlineStr">
        <is>
          <t>configuração</t>
        </is>
      </c>
    </row>
    <row r="7485">
      <c r="A7485" s="198" t="inlineStr">
        <is>
          <t>custom.forma.2.alcance_entidade_classe_0</t>
        </is>
      </c>
      <c r="B7485" s="198">
        <f>IF(ISBLANK('CONFIGURAÇÃO'!$FK$30),"",'CONFIGURAÇÃO'!$FK$30&amp;"")</f>
        <v/>
      </c>
      <c r="C7485" s="198">
        <f>"'CONFIGURAÇÃO'!FK30"</f>
        <v/>
      </c>
      <c r="D7485" s="198" t="inlineStr">
        <is>
          <t>configuração</t>
        </is>
      </c>
    </row>
    <row r="7486">
      <c r="A7486" s="198" t="inlineStr">
        <is>
          <t>custom.forma.2.alcance_entidade_classes_1_a_5</t>
        </is>
      </c>
      <c r="B7486" s="198">
        <f>IF(ISBLANK('CONFIGURAÇÃO'!$FK$31),"",'CONFIGURAÇÃO'!$FK$31&amp;"")</f>
        <v/>
      </c>
      <c r="C7486" s="198">
        <f>"'CONFIGURAÇÃO'!FK31"</f>
        <v/>
      </c>
      <c r="D7486" s="198" t="inlineStr">
        <is>
          <t>configuração</t>
        </is>
      </c>
    </row>
    <row r="7487">
      <c r="A7487" s="198" t="inlineStr">
        <is>
          <t>custom.forma.2.alcance_entidade_classe_6</t>
        </is>
      </c>
      <c r="B7487" s="198">
        <f>IF(ISBLANK('CONFIGURAÇÃO'!$FK$32),"",'CONFIGURAÇÃO'!$FK$32&amp;"")</f>
        <v/>
      </c>
      <c r="C7487" s="198">
        <f>"'CONFIGURAÇÃO'!FK32"</f>
        <v/>
      </c>
      <c r="D7487" s="198" t="inlineStr">
        <is>
          <t>configuração</t>
        </is>
      </c>
    </row>
    <row r="7488">
      <c r="A7488" s="198" t="inlineStr">
        <is>
          <t>custom.forma.2.alcance_entidade_classe_7</t>
        </is>
      </c>
      <c r="B7488" s="198">
        <f>IF(ISBLANK('CONFIGURAÇÃO'!$FK$33),"",'CONFIGURAÇÃO'!$FK$33&amp;"")</f>
        <v/>
      </c>
      <c r="C7488" s="198">
        <f>"'CONFIGURAÇÃO'!FK33"</f>
        <v/>
      </c>
      <c r="D7488" s="198" t="inlineStr">
        <is>
          <t>configuração</t>
        </is>
      </c>
    </row>
    <row r="7489">
      <c r="A7489" s="198" t="inlineStr">
        <is>
          <t>custom.forma.2.area_personagem_classe_0</t>
        </is>
      </c>
      <c r="B7489" s="198">
        <f>IF(ISBLANK('CONFIGURAÇÃO'!$FK$34),"",'CONFIGURAÇÃO'!$FK$34&amp;"")</f>
        <v/>
      </c>
      <c r="C7489" s="198">
        <f>"'CONFIGURAÇÃO'!FK34"</f>
        <v/>
      </c>
      <c r="D7489" s="198" t="inlineStr">
        <is>
          <t>configuração</t>
        </is>
      </c>
    </row>
    <row r="7490">
      <c r="A7490" s="198" t="inlineStr">
        <is>
          <t>custom.forma.2.area_personagem_classes_1_a_5</t>
        </is>
      </c>
      <c r="B7490" s="198">
        <f>IF(ISBLANK('CONFIGURAÇÃO'!$FK$35),"",'CONFIGURAÇÃO'!$FK$35&amp;"")</f>
        <v/>
      </c>
      <c r="C7490" s="198">
        <f>"'CONFIGURAÇÃO'!FK35"</f>
        <v/>
      </c>
      <c r="D7490" s="198" t="inlineStr">
        <is>
          <t>configuração</t>
        </is>
      </c>
    </row>
    <row r="7491">
      <c r="A7491" s="198" t="inlineStr">
        <is>
          <t>custom.forma.2.area_personagem_classes_6_e_7</t>
        </is>
      </c>
      <c r="B7491" s="198">
        <f>IF(ISBLANK('CONFIGURAÇÃO'!$FK$36),"",'CONFIGURAÇÃO'!$FK$36&amp;"")</f>
        <v/>
      </c>
      <c r="C7491" s="198">
        <f>"'CONFIGURAÇÃO'!FK36"</f>
        <v/>
      </c>
      <c r="D7491" s="198" t="inlineStr">
        <is>
          <t>configuração</t>
        </is>
      </c>
    </row>
    <row r="7492">
      <c r="A7492" s="198" t="inlineStr">
        <is>
          <t>custom.forma.2.area_entidade_classe_0</t>
        </is>
      </c>
      <c r="B7492" s="198">
        <f>IF(ISBLANK('CONFIGURAÇÃO'!$FK$37),"",'CONFIGURAÇÃO'!$FK$37&amp;"")</f>
        <v/>
      </c>
      <c r="C7492" s="198">
        <f>"'CONFIGURAÇÃO'!FK37"</f>
        <v/>
      </c>
      <c r="D7492" s="198" t="inlineStr">
        <is>
          <t>configuração</t>
        </is>
      </c>
    </row>
    <row r="7493">
      <c r="A7493" s="198" t="inlineStr">
        <is>
          <t>custom.forma.2.area_entidade_classes_1_a_5</t>
        </is>
      </c>
      <c r="B7493" s="198">
        <f>IF(ISBLANK('CONFIGURAÇÃO'!$FK$38),"",'CONFIGURAÇÃO'!$FK$38&amp;"")</f>
        <v/>
      </c>
      <c r="C7493" s="198">
        <f>"'CONFIGURAÇÃO'!FK38"</f>
        <v/>
      </c>
      <c r="D7493" s="198" t="inlineStr">
        <is>
          <t>configuração</t>
        </is>
      </c>
    </row>
    <row r="7494">
      <c r="A7494" s="198" t="inlineStr">
        <is>
          <t>custom.forma.2.area_entidade_classe_6</t>
        </is>
      </c>
      <c r="B7494" s="198">
        <f>IF(ISBLANK('CONFIGURAÇÃO'!$FK$39),"",'CONFIGURAÇÃO'!$FK$39&amp;"")</f>
        <v/>
      </c>
      <c r="C7494" s="198">
        <f>"'CONFIGURAÇÃO'!FK39"</f>
        <v/>
      </c>
      <c r="D7494" s="198" t="inlineStr">
        <is>
          <t>configuração</t>
        </is>
      </c>
    </row>
    <row r="7495">
      <c r="A7495" s="198" t="inlineStr">
        <is>
          <t>custom.forma.2.area_entidade_classe_7</t>
        </is>
      </c>
      <c r="B7495" s="198">
        <f>IF(ISBLANK('CONFIGURAÇÃO'!$FK$40),"",'CONFIGURAÇÃO'!$FK$40&amp;"")</f>
        <v/>
      </c>
      <c r="C7495" s="198">
        <f>"'CONFIGURAÇÃO'!FK40"</f>
        <v/>
      </c>
      <c r="D7495" s="198" t="inlineStr">
        <is>
          <t>configuração</t>
        </is>
      </c>
    </row>
    <row r="7496">
      <c r="A7496" s="198" t="inlineStr">
        <is>
          <t>custom.forma.3.tipo</t>
        </is>
      </c>
      <c r="B7496" s="198">
        <f>IF(ISBLANK('CONFIGURAÇÃO'!$EZ$60),"",'CONFIGURAÇÃO'!$EZ$60&amp;"")</f>
        <v/>
      </c>
      <c r="C7496" s="198">
        <f>"'CONFIGURAÇÃO'!EZ60"</f>
        <v/>
      </c>
      <c r="D7496" s="198" t="inlineStr">
        <is>
          <t>configuração</t>
        </is>
      </c>
    </row>
    <row r="7497">
      <c r="A7497" s="198" t="inlineStr">
        <is>
          <t>custom.forma.3.nome</t>
        </is>
      </c>
      <c r="B7497" s="198">
        <f>IF(ISBLANK('CONFIGURAÇÃO'!$EZ$62),"",'CONFIGURAÇÃO'!$EZ$62&amp;"")</f>
        <v/>
      </c>
      <c r="C7497" s="198">
        <f>"'CONFIGURAÇÃO'!EZ62"</f>
        <v/>
      </c>
      <c r="D7497" s="198" t="inlineStr">
        <is>
          <t>configuração</t>
        </is>
      </c>
    </row>
    <row r="7498">
      <c r="A7498" s="198" t="inlineStr">
        <is>
          <t>custom.forma.3.base</t>
        </is>
      </c>
      <c r="B7498" s="198">
        <f>IF(ISBLANK('CONFIGURAÇÃO'!$FC$63),"",'CONFIGURAÇÃO'!$FC$63&amp;"")</f>
        <v/>
      </c>
      <c r="C7498" s="198">
        <f>"'CONFIGURAÇÃO'!FC63"</f>
        <v/>
      </c>
      <c r="D7498" s="198" t="inlineStr">
        <is>
          <t>configuração</t>
        </is>
      </c>
    </row>
    <row r="7499">
      <c r="A7499" s="198" t="inlineStr">
        <is>
          <t>custom.forma.3.mestre_viu</t>
        </is>
      </c>
      <c r="B7499" s="198">
        <f>N('CONFIGURAÇÃO'!$FD$60)&amp;""</f>
        <v/>
      </c>
      <c r="C7499" s="198">
        <f>"'CONFIGURAÇÃO'!FD60"</f>
        <v/>
      </c>
      <c r="D7499" s="198" t="inlineStr">
        <is>
          <t>configuração</t>
        </is>
      </c>
    </row>
    <row r="7500">
      <c r="A7500" s="198" t="inlineStr">
        <is>
          <t>custom.forma.3.requisitos</t>
        </is>
      </c>
      <c r="B7500" s="198">
        <f>IF(ISBLANK('CONFIGURAÇÃO'!$EZ$89),"",'CONFIGURAÇÃO'!$EZ$89&amp;"")</f>
        <v/>
      </c>
      <c r="C7500" s="198">
        <f>"'CONFIGURAÇÃO'!EZ89"</f>
        <v/>
      </c>
      <c r="D7500" s="198" t="inlineStr">
        <is>
          <t>configuração</t>
        </is>
      </c>
    </row>
    <row r="7501">
      <c r="A7501" s="198" t="inlineStr">
        <is>
          <t>custom.forma.3.efeito</t>
        </is>
      </c>
      <c r="B7501" s="198">
        <f>IF(ISBLANK('CONFIGURAÇÃO'!$EZ$95),"",'CONFIGURAÇÃO'!$EZ$95&amp;"")</f>
        <v/>
      </c>
      <c r="C7501" s="198">
        <f>"'CONFIGURAÇÃO'!EZ95"</f>
        <v/>
      </c>
      <c r="D7501" s="198" t="inlineStr">
        <is>
          <t>configuração</t>
        </is>
      </c>
    </row>
    <row r="7502">
      <c r="A7502" s="198" t="inlineStr">
        <is>
          <t>custom.forma.3.familia</t>
        </is>
      </c>
      <c r="B7502" s="198">
        <f>IF(ISBLANK('CONFIGURAÇÃO'!$FC$64),"",'CONFIGURAÇÃO'!$FC$64&amp;"")</f>
        <v/>
      </c>
      <c r="C7502" s="198">
        <f>"'CONFIGURAÇÃO'!FC64"</f>
        <v/>
      </c>
      <c r="D7502" s="198" t="inlineStr">
        <is>
          <t>configuração</t>
        </is>
      </c>
    </row>
    <row r="7503">
      <c r="A7503" s="198" t="inlineStr">
        <is>
          <t>custom.forma.3.peso</t>
        </is>
      </c>
      <c r="B7503" s="198">
        <f>IF(ISBLANK('CONFIGURAÇÃO'!$FC$65),"",'CONFIGURAÇÃO'!$FC$65&amp;"")</f>
        <v/>
      </c>
      <c r="C7503" s="198">
        <f>"'CONFIGURAÇÃO'!FC65"</f>
        <v/>
      </c>
      <c r="D7503" s="198" t="inlineStr">
        <is>
          <t>configuração</t>
        </is>
      </c>
    </row>
    <row r="7504">
      <c r="A7504" s="198" t="inlineStr">
        <is>
          <t>custom.forma.3.resolucao</t>
        </is>
      </c>
      <c r="B7504" s="198">
        <f>IF(ISBLANK('CONFIGURAÇÃO'!$FC$66),"",'CONFIGURAÇÃO'!$FC$66&amp;"")</f>
        <v/>
      </c>
      <c r="C7504" s="198">
        <f>"'CONFIGURAÇÃO'!FC66"</f>
        <v/>
      </c>
      <c r="D7504" s="198" t="inlineStr">
        <is>
          <t>configuração</t>
        </is>
      </c>
    </row>
    <row r="7505">
      <c r="A7505" s="198" t="inlineStr">
        <is>
          <t>custom.forma.3.resultado</t>
        </is>
      </c>
      <c r="B7505" s="198">
        <f>IF(ISBLANK('CONFIGURAÇÃO'!$FC$67),"",'CONFIGURAÇÃO'!$FC$67&amp;"")</f>
        <v/>
      </c>
      <c r="C7505" s="198">
        <f>"'CONFIGURAÇÃO'!FC67"</f>
        <v/>
      </c>
      <c r="D7505" s="198" t="inlineStr">
        <is>
          <t>configuração</t>
        </is>
      </c>
    </row>
    <row r="7506">
      <c r="A7506" s="198" t="inlineStr">
        <is>
          <t>custom.forma.3.exige_tr</t>
        </is>
      </c>
      <c r="B7506" s="198">
        <f>IF(ISBLANK('CONFIGURAÇÃO'!$FC$68),"",'CONFIGURAÇÃO'!$FC$68&amp;"")</f>
        <v/>
      </c>
      <c r="C7506" s="198">
        <f>"'CONFIGURAÇÃO'!FC68"</f>
        <v/>
      </c>
      <c r="D7506" s="198" t="inlineStr">
        <is>
          <t>configuração</t>
        </is>
      </c>
    </row>
    <row r="7507">
      <c r="A7507" s="198" t="inlineStr">
        <is>
          <t>custom.forma.3.classe_zero</t>
        </is>
      </c>
      <c r="B7507" s="198">
        <f>IF(ISBLANK('CONFIGURAÇÃO'!$FC$69),"",'CONFIGURAÇÃO'!$FC$69&amp;"")</f>
        <v/>
      </c>
      <c r="C7507" s="198">
        <f>"'CONFIGURAÇÃO'!FC69"</f>
        <v/>
      </c>
      <c r="D7507" s="198" t="inlineStr">
        <is>
          <t>configuração</t>
        </is>
      </c>
    </row>
    <row r="7508">
      <c r="A7508" s="198" t="inlineStr">
        <is>
          <t>custom.forma.3.restricao_embutida</t>
        </is>
      </c>
      <c r="B7508" s="198">
        <f>IF(ISBLANK('CONFIGURAÇÃO'!$FC$70),"",'CONFIGURAÇÃO'!$FC$70&amp;"")</f>
        <v/>
      </c>
      <c r="C7508" s="198">
        <f>"'CONFIGURAÇÃO'!FC70"</f>
        <v/>
      </c>
      <c r="D7508" s="198" t="inlineStr">
        <is>
          <t>configuração</t>
        </is>
      </c>
    </row>
    <row r="7509">
      <c r="A7509" s="198" t="inlineStr">
        <is>
          <t>custom.forma.3.alcance_escada</t>
        </is>
      </c>
      <c r="B7509" s="198">
        <f>IF(ISBLANK('CONFIGURAÇÃO'!$FC$71),"",'CONFIGURAÇÃO'!$FC$71&amp;"")</f>
        <v/>
      </c>
      <c r="C7509" s="198">
        <f>"'CONFIGURAÇÃO'!FC71"</f>
        <v/>
      </c>
      <c r="D7509" s="198" t="inlineStr">
        <is>
          <t>configuração</t>
        </is>
      </c>
    </row>
    <row r="7510">
      <c r="A7510" s="198" t="inlineStr">
        <is>
          <t>custom.forma.3.area_escada</t>
        </is>
      </c>
      <c r="B7510" s="198">
        <f>IF(ISBLANK('CONFIGURAÇÃO'!$FC$72),"",'CONFIGURAÇÃO'!$FC$72&amp;"")</f>
        <v/>
      </c>
      <c r="C7510" s="198">
        <f>"'CONFIGURAÇÃO'!FC72"</f>
        <v/>
      </c>
      <c r="D7510" s="198" t="inlineStr">
        <is>
          <t>configuração</t>
        </is>
      </c>
    </row>
    <row r="7511">
      <c r="A7511" s="198" t="inlineStr">
        <is>
          <t>custom.forma.3.alcance_personagem_classe_0</t>
        </is>
      </c>
      <c r="B7511" s="198">
        <f>IF(ISBLANK('CONFIGURAÇÃO'!$FC$73),"",'CONFIGURAÇÃO'!$FC$73&amp;"")</f>
        <v/>
      </c>
      <c r="C7511" s="198">
        <f>"'CONFIGURAÇÃO'!FC73"</f>
        <v/>
      </c>
      <c r="D7511" s="198" t="inlineStr">
        <is>
          <t>configuração</t>
        </is>
      </c>
    </row>
    <row r="7512">
      <c r="A7512" s="198" t="inlineStr">
        <is>
          <t>custom.forma.3.alcance_personagem_classes_1_a_5</t>
        </is>
      </c>
      <c r="B7512" s="198">
        <f>IF(ISBLANK('CONFIGURAÇÃO'!$FC$74),"",'CONFIGURAÇÃO'!$FC$74&amp;"")</f>
        <v/>
      </c>
      <c r="C7512" s="198">
        <f>"'CONFIGURAÇÃO'!FC74"</f>
        <v/>
      </c>
      <c r="D7512" s="198" t="inlineStr">
        <is>
          <t>configuração</t>
        </is>
      </c>
    </row>
    <row r="7513">
      <c r="A7513" s="198" t="inlineStr">
        <is>
          <t>custom.forma.3.alcance_personagem_classes_6_e_7</t>
        </is>
      </c>
      <c r="B7513" s="198">
        <f>IF(ISBLANK('CONFIGURAÇÃO'!$FC$75),"",'CONFIGURAÇÃO'!$FC$75&amp;"")</f>
        <v/>
      </c>
      <c r="C7513" s="198">
        <f>"'CONFIGURAÇÃO'!FC75"</f>
        <v/>
      </c>
      <c r="D7513" s="198" t="inlineStr">
        <is>
          <t>configuração</t>
        </is>
      </c>
    </row>
    <row r="7514">
      <c r="A7514" s="198" t="inlineStr">
        <is>
          <t>custom.forma.3.alcance_entidade_classe_0</t>
        </is>
      </c>
      <c r="B7514" s="198">
        <f>IF(ISBLANK('CONFIGURAÇÃO'!$FC$76),"",'CONFIGURAÇÃO'!$FC$76&amp;"")</f>
        <v/>
      </c>
      <c r="C7514" s="198">
        <f>"'CONFIGURAÇÃO'!FC76"</f>
        <v/>
      </c>
      <c r="D7514" s="198" t="inlineStr">
        <is>
          <t>configuração</t>
        </is>
      </c>
    </row>
    <row r="7515">
      <c r="A7515" s="198" t="inlineStr">
        <is>
          <t>custom.forma.3.alcance_entidade_classes_1_a_5</t>
        </is>
      </c>
      <c r="B7515" s="198">
        <f>IF(ISBLANK('CONFIGURAÇÃO'!$FC$77),"",'CONFIGURAÇÃO'!$FC$77&amp;"")</f>
        <v/>
      </c>
      <c r="C7515" s="198">
        <f>"'CONFIGURAÇÃO'!FC77"</f>
        <v/>
      </c>
      <c r="D7515" s="198" t="inlineStr">
        <is>
          <t>configuração</t>
        </is>
      </c>
    </row>
    <row r="7516">
      <c r="A7516" s="198" t="inlineStr">
        <is>
          <t>custom.forma.3.alcance_entidade_classe_6</t>
        </is>
      </c>
      <c r="B7516" s="198">
        <f>IF(ISBLANK('CONFIGURAÇÃO'!$FC$78),"",'CONFIGURAÇÃO'!$FC$78&amp;"")</f>
        <v/>
      </c>
      <c r="C7516" s="198">
        <f>"'CONFIGURAÇÃO'!FC78"</f>
        <v/>
      </c>
      <c r="D7516" s="198" t="inlineStr">
        <is>
          <t>configuração</t>
        </is>
      </c>
    </row>
    <row r="7517">
      <c r="A7517" s="198" t="inlineStr">
        <is>
          <t>custom.forma.3.alcance_entidade_classe_7</t>
        </is>
      </c>
      <c r="B7517" s="198">
        <f>IF(ISBLANK('CONFIGURAÇÃO'!$FC$79),"",'CONFIGURAÇÃO'!$FC$79&amp;"")</f>
        <v/>
      </c>
      <c r="C7517" s="198">
        <f>"'CONFIGURAÇÃO'!FC79"</f>
        <v/>
      </c>
      <c r="D7517" s="198" t="inlineStr">
        <is>
          <t>configuração</t>
        </is>
      </c>
    </row>
    <row r="7518">
      <c r="A7518" s="198" t="inlineStr">
        <is>
          <t>custom.forma.3.area_personagem_classe_0</t>
        </is>
      </c>
      <c r="B7518" s="198">
        <f>IF(ISBLANK('CONFIGURAÇÃO'!$FC$80),"",'CONFIGURAÇÃO'!$FC$80&amp;"")</f>
        <v/>
      </c>
      <c r="C7518" s="198">
        <f>"'CONFIGURAÇÃO'!FC80"</f>
        <v/>
      </c>
      <c r="D7518" s="198" t="inlineStr">
        <is>
          <t>configuração</t>
        </is>
      </c>
    </row>
    <row r="7519">
      <c r="A7519" s="198" t="inlineStr">
        <is>
          <t>custom.forma.3.area_personagem_classes_1_a_5</t>
        </is>
      </c>
      <c r="B7519" s="198">
        <f>IF(ISBLANK('CONFIGURAÇÃO'!$FC$81),"",'CONFIGURAÇÃO'!$FC$81&amp;"")</f>
        <v/>
      </c>
      <c r="C7519" s="198">
        <f>"'CONFIGURAÇÃO'!FC81"</f>
        <v/>
      </c>
      <c r="D7519" s="198" t="inlineStr">
        <is>
          <t>configuração</t>
        </is>
      </c>
    </row>
    <row r="7520">
      <c r="A7520" s="198" t="inlineStr">
        <is>
          <t>custom.forma.3.area_personagem_classes_6_e_7</t>
        </is>
      </c>
      <c r="B7520" s="198">
        <f>IF(ISBLANK('CONFIGURAÇÃO'!$FC$82),"",'CONFIGURAÇÃO'!$FC$82&amp;"")</f>
        <v/>
      </c>
      <c r="C7520" s="198">
        <f>"'CONFIGURAÇÃO'!FC82"</f>
        <v/>
      </c>
      <c r="D7520" s="198" t="inlineStr">
        <is>
          <t>configuração</t>
        </is>
      </c>
    </row>
    <row r="7521">
      <c r="A7521" s="198" t="inlineStr">
        <is>
          <t>custom.forma.3.area_entidade_classe_0</t>
        </is>
      </c>
      <c r="B7521" s="198">
        <f>IF(ISBLANK('CONFIGURAÇÃO'!$FC$83),"",'CONFIGURAÇÃO'!$FC$83&amp;"")</f>
        <v/>
      </c>
      <c r="C7521" s="198">
        <f>"'CONFIGURAÇÃO'!FC83"</f>
        <v/>
      </c>
      <c r="D7521" s="198" t="inlineStr">
        <is>
          <t>configuração</t>
        </is>
      </c>
    </row>
    <row r="7522">
      <c r="A7522" s="198" t="inlineStr">
        <is>
          <t>custom.forma.3.area_entidade_classes_1_a_5</t>
        </is>
      </c>
      <c r="B7522" s="198">
        <f>IF(ISBLANK('CONFIGURAÇÃO'!$FC$84),"",'CONFIGURAÇÃO'!$FC$84&amp;"")</f>
        <v/>
      </c>
      <c r="C7522" s="198">
        <f>"'CONFIGURAÇÃO'!FC84"</f>
        <v/>
      </c>
      <c r="D7522" s="198" t="inlineStr">
        <is>
          <t>configuração</t>
        </is>
      </c>
    </row>
    <row r="7523">
      <c r="A7523" s="198" t="inlineStr">
        <is>
          <t>custom.forma.3.area_entidade_classe_6</t>
        </is>
      </c>
      <c r="B7523" s="198">
        <f>IF(ISBLANK('CONFIGURAÇÃO'!$FC$85),"",'CONFIGURAÇÃO'!$FC$85&amp;"")</f>
        <v/>
      </c>
      <c r="C7523" s="198">
        <f>"'CONFIGURAÇÃO'!FC85"</f>
        <v/>
      </c>
      <c r="D7523" s="198" t="inlineStr">
        <is>
          <t>configuração</t>
        </is>
      </c>
    </row>
    <row r="7524">
      <c r="A7524" s="198" t="inlineStr">
        <is>
          <t>custom.forma.3.area_entidade_classe_7</t>
        </is>
      </c>
      <c r="B7524" s="198">
        <f>IF(ISBLANK('CONFIGURAÇÃO'!$FC$86),"",'CONFIGURAÇÃO'!$FC$86&amp;"")</f>
        <v/>
      </c>
      <c r="C7524" s="198">
        <f>"'CONFIGURAÇÃO'!FC86"</f>
        <v/>
      </c>
      <c r="D7524" s="198" t="inlineStr">
        <is>
          <t>configuração</t>
        </is>
      </c>
    </row>
    <row r="7525">
      <c r="A7525" s="198" t="inlineStr">
        <is>
          <t>custom.forma.4.tipo</t>
        </is>
      </c>
      <c r="B7525" s="198">
        <f>IF(ISBLANK('CONFIGURAÇÃO'!$FH$60),"",'CONFIGURAÇÃO'!$FH$60&amp;"")</f>
        <v/>
      </c>
      <c r="C7525" s="198">
        <f>"'CONFIGURAÇÃO'!FH60"</f>
        <v/>
      </c>
      <c r="D7525" s="198" t="inlineStr">
        <is>
          <t>configuração</t>
        </is>
      </c>
    </row>
    <row r="7526">
      <c r="A7526" s="198" t="inlineStr">
        <is>
          <t>custom.forma.4.nome</t>
        </is>
      </c>
      <c r="B7526" s="198">
        <f>IF(ISBLANK('CONFIGURAÇÃO'!$FH$62),"",'CONFIGURAÇÃO'!$FH$62&amp;"")</f>
        <v/>
      </c>
      <c r="C7526" s="198">
        <f>"'CONFIGURAÇÃO'!FH62"</f>
        <v/>
      </c>
      <c r="D7526" s="198" t="inlineStr">
        <is>
          <t>configuração</t>
        </is>
      </c>
    </row>
    <row r="7527">
      <c r="A7527" s="198" t="inlineStr">
        <is>
          <t>custom.forma.4.base</t>
        </is>
      </c>
      <c r="B7527" s="198">
        <f>IF(ISBLANK('CONFIGURAÇÃO'!$FK$63),"",'CONFIGURAÇÃO'!$FK$63&amp;"")</f>
        <v/>
      </c>
      <c r="C7527" s="198">
        <f>"'CONFIGURAÇÃO'!FK63"</f>
        <v/>
      </c>
      <c r="D7527" s="198" t="inlineStr">
        <is>
          <t>configuração</t>
        </is>
      </c>
    </row>
    <row r="7528">
      <c r="A7528" s="198" t="inlineStr">
        <is>
          <t>custom.forma.4.mestre_viu</t>
        </is>
      </c>
      <c r="B7528" s="198">
        <f>N('CONFIGURAÇÃO'!$FL$60)&amp;""</f>
        <v/>
      </c>
      <c r="C7528" s="198">
        <f>"'CONFIGURAÇÃO'!FL60"</f>
        <v/>
      </c>
      <c r="D7528" s="198" t="inlineStr">
        <is>
          <t>configuração</t>
        </is>
      </c>
    </row>
    <row r="7529">
      <c r="A7529" s="198" t="inlineStr">
        <is>
          <t>custom.forma.4.requisitos</t>
        </is>
      </c>
      <c r="B7529" s="198">
        <f>IF(ISBLANK('CONFIGURAÇÃO'!$FH$89),"",'CONFIGURAÇÃO'!$FH$89&amp;"")</f>
        <v/>
      </c>
      <c r="C7529" s="198">
        <f>"'CONFIGURAÇÃO'!FH89"</f>
        <v/>
      </c>
      <c r="D7529" s="198" t="inlineStr">
        <is>
          <t>configuração</t>
        </is>
      </c>
    </row>
    <row r="7530">
      <c r="A7530" s="198" t="inlineStr">
        <is>
          <t>custom.forma.4.efeito</t>
        </is>
      </c>
      <c r="B7530" s="198">
        <f>IF(ISBLANK('CONFIGURAÇÃO'!$FH$95),"",'CONFIGURAÇÃO'!$FH$95&amp;"")</f>
        <v/>
      </c>
      <c r="C7530" s="198">
        <f>"'CONFIGURAÇÃO'!FH95"</f>
        <v/>
      </c>
      <c r="D7530" s="198" t="inlineStr">
        <is>
          <t>configuração</t>
        </is>
      </c>
    </row>
    <row r="7531">
      <c r="A7531" s="198" t="inlineStr">
        <is>
          <t>custom.forma.4.familia</t>
        </is>
      </c>
      <c r="B7531" s="198">
        <f>IF(ISBLANK('CONFIGURAÇÃO'!$FK$64),"",'CONFIGURAÇÃO'!$FK$64&amp;"")</f>
        <v/>
      </c>
      <c r="C7531" s="198">
        <f>"'CONFIGURAÇÃO'!FK64"</f>
        <v/>
      </c>
      <c r="D7531" s="198" t="inlineStr">
        <is>
          <t>configuração</t>
        </is>
      </c>
    </row>
    <row r="7532">
      <c r="A7532" s="198" t="inlineStr">
        <is>
          <t>custom.forma.4.peso</t>
        </is>
      </c>
      <c r="B7532" s="198">
        <f>IF(ISBLANK('CONFIGURAÇÃO'!$FK$65),"",'CONFIGURAÇÃO'!$FK$65&amp;"")</f>
        <v/>
      </c>
      <c r="C7532" s="198">
        <f>"'CONFIGURAÇÃO'!FK65"</f>
        <v/>
      </c>
      <c r="D7532" s="198" t="inlineStr">
        <is>
          <t>configuração</t>
        </is>
      </c>
    </row>
    <row r="7533">
      <c r="A7533" s="198" t="inlineStr">
        <is>
          <t>custom.forma.4.resolucao</t>
        </is>
      </c>
      <c r="B7533" s="198">
        <f>IF(ISBLANK('CONFIGURAÇÃO'!$FK$66),"",'CONFIGURAÇÃO'!$FK$66&amp;"")</f>
        <v/>
      </c>
      <c r="C7533" s="198">
        <f>"'CONFIGURAÇÃO'!FK66"</f>
        <v/>
      </c>
      <c r="D7533" s="198" t="inlineStr">
        <is>
          <t>configuração</t>
        </is>
      </c>
    </row>
    <row r="7534">
      <c r="A7534" s="198" t="inlineStr">
        <is>
          <t>custom.forma.4.resultado</t>
        </is>
      </c>
      <c r="B7534" s="198">
        <f>IF(ISBLANK('CONFIGURAÇÃO'!$FK$67),"",'CONFIGURAÇÃO'!$FK$67&amp;"")</f>
        <v/>
      </c>
      <c r="C7534" s="198">
        <f>"'CONFIGURAÇÃO'!FK67"</f>
        <v/>
      </c>
      <c r="D7534" s="198" t="inlineStr">
        <is>
          <t>configuração</t>
        </is>
      </c>
    </row>
    <row r="7535">
      <c r="A7535" s="198" t="inlineStr">
        <is>
          <t>custom.forma.4.exige_tr</t>
        </is>
      </c>
      <c r="B7535" s="198">
        <f>IF(ISBLANK('CONFIGURAÇÃO'!$FK$68),"",'CONFIGURAÇÃO'!$FK$68&amp;"")</f>
        <v/>
      </c>
      <c r="C7535" s="198">
        <f>"'CONFIGURAÇÃO'!FK68"</f>
        <v/>
      </c>
      <c r="D7535" s="198" t="inlineStr">
        <is>
          <t>configuração</t>
        </is>
      </c>
    </row>
    <row r="7536">
      <c r="A7536" s="198" t="inlineStr">
        <is>
          <t>custom.forma.4.classe_zero</t>
        </is>
      </c>
      <c r="B7536" s="198">
        <f>IF(ISBLANK('CONFIGURAÇÃO'!$FK$69),"",'CONFIGURAÇÃO'!$FK$69&amp;"")</f>
        <v/>
      </c>
      <c r="C7536" s="198">
        <f>"'CONFIGURAÇÃO'!FK69"</f>
        <v/>
      </c>
      <c r="D7536" s="198" t="inlineStr">
        <is>
          <t>configuração</t>
        </is>
      </c>
    </row>
    <row r="7537">
      <c r="A7537" s="198" t="inlineStr">
        <is>
          <t>custom.forma.4.restricao_embutida</t>
        </is>
      </c>
      <c r="B7537" s="198">
        <f>IF(ISBLANK('CONFIGURAÇÃO'!$FK$70),"",'CONFIGURAÇÃO'!$FK$70&amp;"")</f>
        <v/>
      </c>
      <c r="C7537" s="198">
        <f>"'CONFIGURAÇÃO'!FK70"</f>
        <v/>
      </c>
      <c r="D7537" s="198" t="inlineStr">
        <is>
          <t>configuração</t>
        </is>
      </c>
    </row>
    <row r="7538">
      <c r="A7538" s="198" t="inlineStr">
        <is>
          <t>custom.forma.4.alcance_escada</t>
        </is>
      </c>
      <c r="B7538" s="198">
        <f>IF(ISBLANK('CONFIGURAÇÃO'!$FK$71),"",'CONFIGURAÇÃO'!$FK$71&amp;"")</f>
        <v/>
      </c>
      <c r="C7538" s="198">
        <f>"'CONFIGURAÇÃO'!FK71"</f>
        <v/>
      </c>
      <c r="D7538" s="198" t="inlineStr">
        <is>
          <t>configuração</t>
        </is>
      </c>
    </row>
    <row r="7539">
      <c r="A7539" s="198" t="inlineStr">
        <is>
          <t>custom.forma.4.area_escada</t>
        </is>
      </c>
      <c r="B7539" s="198">
        <f>IF(ISBLANK('CONFIGURAÇÃO'!$FK$72),"",'CONFIGURAÇÃO'!$FK$72&amp;"")</f>
        <v/>
      </c>
      <c r="C7539" s="198">
        <f>"'CONFIGURAÇÃO'!FK72"</f>
        <v/>
      </c>
      <c r="D7539" s="198" t="inlineStr">
        <is>
          <t>configuração</t>
        </is>
      </c>
    </row>
    <row r="7540">
      <c r="A7540" s="198" t="inlineStr">
        <is>
          <t>custom.forma.4.alcance_personagem_classe_0</t>
        </is>
      </c>
      <c r="B7540" s="198">
        <f>IF(ISBLANK('CONFIGURAÇÃO'!$FK$73),"",'CONFIGURAÇÃO'!$FK$73&amp;"")</f>
        <v/>
      </c>
      <c r="C7540" s="198">
        <f>"'CONFIGURAÇÃO'!FK73"</f>
        <v/>
      </c>
      <c r="D7540" s="198" t="inlineStr">
        <is>
          <t>configuração</t>
        </is>
      </c>
    </row>
    <row r="7541">
      <c r="A7541" s="198" t="inlineStr">
        <is>
          <t>custom.forma.4.alcance_personagem_classes_1_a_5</t>
        </is>
      </c>
      <c r="B7541" s="198">
        <f>IF(ISBLANK('CONFIGURAÇÃO'!$FK$74),"",'CONFIGURAÇÃO'!$FK$74&amp;"")</f>
        <v/>
      </c>
      <c r="C7541" s="198">
        <f>"'CONFIGURAÇÃO'!FK74"</f>
        <v/>
      </c>
      <c r="D7541" s="198" t="inlineStr">
        <is>
          <t>configuração</t>
        </is>
      </c>
    </row>
    <row r="7542">
      <c r="A7542" s="198" t="inlineStr">
        <is>
          <t>custom.forma.4.alcance_personagem_classes_6_e_7</t>
        </is>
      </c>
      <c r="B7542" s="198">
        <f>IF(ISBLANK('CONFIGURAÇÃO'!$FK$75),"",'CONFIGURAÇÃO'!$FK$75&amp;"")</f>
        <v/>
      </c>
      <c r="C7542" s="198">
        <f>"'CONFIGURAÇÃO'!FK75"</f>
        <v/>
      </c>
      <c r="D7542" s="198" t="inlineStr">
        <is>
          <t>configuração</t>
        </is>
      </c>
    </row>
    <row r="7543">
      <c r="A7543" s="198" t="inlineStr">
        <is>
          <t>custom.forma.4.alcance_entidade_classe_0</t>
        </is>
      </c>
      <c r="B7543" s="198">
        <f>IF(ISBLANK('CONFIGURAÇÃO'!$FK$76),"",'CONFIGURAÇÃO'!$FK$76&amp;"")</f>
        <v/>
      </c>
      <c r="C7543" s="198">
        <f>"'CONFIGURAÇÃO'!FK76"</f>
        <v/>
      </c>
      <c r="D7543" s="198" t="inlineStr">
        <is>
          <t>configuração</t>
        </is>
      </c>
    </row>
    <row r="7544">
      <c r="A7544" s="198" t="inlineStr">
        <is>
          <t>custom.forma.4.alcance_entidade_classes_1_a_5</t>
        </is>
      </c>
      <c r="B7544" s="198">
        <f>IF(ISBLANK('CONFIGURAÇÃO'!$FK$77),"",'CONFIGURAÇÃO'!$FK$77&amp;"")</f>
        <v/>
      </c>
      <c r="C7544" s="198">
        <f>"'CONFIGURAÇÃO'!FK77"</f>
        <v/>
      </c>
      <c r="D7544" s="198" t="inlineStr">
        <is>
          <t>configuração</t>
        </is>
      </c>
    </row>
    <row r="7545">
      <c r="A7545" s="198" t="inlineStr">
        <is>
          <t>custom.forma.4.alcance_entidade_classe_6</t>
        </is>
      </c>
      <c r="B7545" s="198">
        <f>IF(ISBLANK('CONFIGURAÇÃO'!$FK$78),"",'CONFIGURAÇÃO'!$FK$78&amp;"")</f>
        <v/>
      </c>
      <c r="C7545" s="198">
        <f>"'CONFIGURAÇÃO'!FK78"</f>
        <v/>
      </c>
      <c r="D7545" s="198" t="inlineStr">
        <is>
          <t>configuração</t>
        </is>
      </c>
    </row>
    <row r="7546">
      <c r="A7546" s="198" t="inlineStr">
        <is>
          <t>custom.forma.4.alcance_entidade_classe_7</t>
        </is>
      </c>
      <c r="B7546" s="198">
        <f>IF(ISBLANK('CONFIGURAÇÃO'!$FK$79),"",'CONFIGURAÇÃO'!$FK$79&amp;"")</f>
        <v/>
      </c>
      <c r="C7546" s="198">
        <f>"'CONFIGURAÇÃO'!FK79"</f>
        <v/>
      </c>
      <c r="D7546" s="198" t="inlineStr">
        <is>
          <t>configuração</t>
        </is>
      </c>
    </row>
    <row r="7547">
      <c r="A7547" s="198" t="inlineStr">
        <is>
          <t>custom.forma.4.area_personagem_classe_0</t>
        </is>
      </c>
      <c r="B7547" s="198">
        <f>IF(ISBLANK('CONFIGURAÇÃO'!$FK$80),"",'CONFIGURAÇÃO'!$FK$80&amp;"")</f>
        <v/>
      </c>
      <c r="C7547" s="198">
        <f>"'CONFIGURAÇÃO'!FK80"</f>
        <v/>
      </c>
      <c r="D7547" s="198" t="inlineStr">
        <is>
          <t>configuração</t>
        </is>
      </c>
    </row>
    <row r="7548">
      <c r="A7548" s="198" t="inlineStr">
        <is>
          <t>custom.forma.4.area_personagem_classes_1_a_5</t>
        </is>
      </c>
      <c r="B7548" s="198">
        <f>IF(ISBLANK('CONFIGURAÇÃO'!$FK$81),"",'CONFIGURAÇÃO'!$FK$81&amp;"")</f>
        <v/>
      </c>
      <c r="C7548" s="198">
        <f>"'CONFIGURAÇÃO'!FK81"</f>
        <v/>
      </c>
      <c r="D7548" s="198" t="inlineStr">
        <is>
          <t>configuração</t>
        </is>
      </c>
    </row>
    <row r="7549">
      <c r="A7549" s="198" t="inlineStr">
        <is>
          <t>custom.forma.4.area_personagem_classes_6_e_7</t>
        </is>
      </c>
      <c r="B7549" s="198">
        <f>IF(ISBLANK('CONFIGURAÇÃO'!$FK$82),"",'CONFIGURAÇÃO'!$FK$82&amp;"")</f>
        <v/>
      </c>
      <c r="C7549" s="198">
        <f>"'CONFIGURAÇÃO'!FK82"</f>
        <v/>
      </c>
      <c r="D7549" s="198" t="inlineStr">
        <is>
          <t>configuração</t>
        </is>
      </c>
    </row>
    <row r="7550">
      <c r="A7550" s="198" t="inlineStr">
        <is>
          <t>custom.forma.4.area_entidade_classe_0</t>
        </is>
      </c>
      <c r="B7550" s="198">
        <f>IF(ISBLANK('CONFIGURAÇÃO'!$FK$83),"",'CONFIGURAÇÃO'!$FK$83&amp;"")</f>
        <v/>
      </c>
      <c r="C7550" s="198">
        <f>"'CONFIGURAÇÃO'!FK83"</f>
        <v/>
      </c>
      <c r="D7550" s="198" t="inlineStr">
        <is>
          <t>configuração</t>
        </is>
      </c>
    </row>
    <row r="7551">
      <c r="A7551" s="198" t="inlineStr">
        <is>
          <t>custom.forma.4.area_entidade_classes_1_a_5</t>
        </is>
      </c>
      <c r="B7551" s="198">
        <f>IF(ISBLANK('CONFIGURAÇÃO'!$FK$84),"",'CONFIGURAÇÃO'!$FK$84&amp;"")</f>
        <v/>
      </c>
      <c r="C7551" s="198">
        <f>"'CONFIGURAÇÃO'!FK84"</f>
        <v/>
      </c>
      <c r="D7551" s="198" t="inlineStr">
        <is>
          <t>configuração</t>
        </is>
      </c>
    </row>
    <row r="7552">
      <c r="A7552" s="198" t="inlineStr">
        <is>
          <t>custom.forma.4.area_entidade_classe_6</t>
        </is>
      </c>
      <c r="B7552" s="198">
        <f>IF(ISBLANK('CONFIGURAÇÃO'!$FK$85),"",'CONFIGURAÇÃO'!$FK$85&amp;"")</f>
        <v/>
      </c>
      <c r="C7552" s="198">
        <f>"'CONFIGURAÇÃO'!FK85"</f>
        <v/>
      </c>
      <c r="D7552" s="198" t="inlineStr">
        <is>
          <t>configuração</t>
        </is>
      </c>
    </row>
    <row r="7553">
      <c r="A7553" s="198" t="inlineStr">
        <is>
          <t>custom.forma.4.area_entidade_classe_7</t>
        </is>
      </c>
      <c r="B7553" s="198">
        <f>IF(ISBLANK('CONFIGURAÇÃO'!$FK$86),"",'CONFIGURAÇÃO'!$FK$86&amp;"")</f>
        <v/>
      </c>
      <c r="C7553" s="198">
        <f>"'CONFIGURAÇÃO'!FK86"</f>
        <v/>
      </c>
      <c r="D7553" s="198" t="inlineStr">
        <is>
          <t>configuração</t>
        </is>
      </c>
    </row>
    <row r="7554">
      <c r="A7554" s="198" t="inlineStr">
        <is>
          <t>custom.forma.5.tipo</t>
        </is>
      </c>
      <c r="B7554" s="198">
        <f>IF(ISBLANK('CONFIGURAÇÃO'!$EZ$106),"",'CONFIGURAÇÃO'!$EZ$106&amp;"")</f>
        <v/>
      </c>
      <c r="C7554" s="198">
        <f>"'CONFIGURAÇÃO'!EZ106"</f>
        <v/>
      </c>
      <c r="D7554" s="198" t="inlineStr">
        <is>
          <t>configuração</t>
        </is>
      </c>
    </row>
    <row r="7555">
      <c r="A7555" s="198" t="inlineStr">
        <is>
          <t>custom.forma.5.nome</t>
        </is>
      </c>
      <c r="B7555" s="198">
        <f>IF(ISBLANK('CONFIGURAÇÃO'!$EZ$108),"",'CONFIGURAÇÃO'!$EZ$108&amp;"")</f>
        <v/>
      </c>
      <c r="C7555" s="198">
        <f>"'CONFIGURAÇÃO'!EZ108"</f>
        <v/>
      </c>
      <c r="D7555" s="198" t="inlineStr">
        <is>
          <t>configuração</t>
        </is>
      </c>
    </row>
    <row r="7556">
      <c r="A7556" s="198" t="inlineStr">
        <is>
          <t>custom.forma.5.base</t>
        </is>
      </c>
      <c r="B7556" s="198">
        <f>IF(ISBLANK('CONFIGURAÇÃO'!$FC$109),"",'CONFIGURAÇÃO'!$FC$109&amp;"")</f>
        <v/>
      </c>
      <c r="C7556" s="198">
        <f>"'CONFIGURAÇÃO'!FC109"</f>
        <v/>
      </c>
      <c r="D7556" s="198" t="inlineStr">
        <is>
          <t>configuração</t>
        </is>
      </c>
    </row>
    <row r="7557">
      <c r="A7557" s="198" t="inlineStr">
        <is>
          <t>custom.forma.5.mestre_viu</t>
        </is>
      </c>
      <c r="B7557" s="198">
        <f>N('CONFIGURAÇÃO'!$FD$106)&amp;""</f>
        <v/>
      </c>
      <c r="C7557" s="198">
        <f>"'CONFIGURAÇÃO'!FD106"</f>
        <v/>
      </c>
      <c r="D7557" s="198" t="inlineStr">
        <is>
          <t>configuração</t>
        </is>
      </c>
    </row>
    <row r="7558">
      <c r="A7558" s="198" t="inlineStr">
        <is>
          <t>custom.forma.5.requisitos</t>
        </is>
      </c>
      <c r="B7558" s="198">
        <f>IF(ISBLANK('CONFIGURAÇÃO'!$EZ$135),"",'CONFIGURAÇÃO'!$EZ$135&amp;"")</f>
        <v/>
      </c>
      <c r="C7558" s="198">
        <f>"'CONFIGURAÇÃO'!EZ135"</f>
        <v/>
      </c>
      <c r="D7558" s="198" t="inlineStr">
        <is>
          <t>configuração</t>
        </is>
      </c>
    </row>
    <row r="7559">
      <c r="A7559" s="198" t="inlineStr">
        <is>
          <t>custom.forma.5.efeito</t>
        </is>
      </c>
      <c r="B7559" s="198">
        <f>IF(ISBLANK('CONFIGURAÇÃO'!$EZ$141),"",'CONFIGURAÇÃO'!$EZ$141&amp;"")</f>
        <v/>
      </c>
      <c r="C7559" s="198">
        <f>"'CONFIGURAÇÃO'!EZ141"</f>
        <v/>
      </c>
      <c r="D7559" s="198" t="inlineStr">
        <is>
          <t>configuração</t>
        </is>
      </c>
    </row>
    <row r="7560">
      <c r="A7560" s="198" t="inlineStr">
        <is>
          <t>custom.forma.5.familia</t>
        </is>
      </c>
      <c r="B7560" s="198">
        <f>IF(ISBLANK('CONFIGURAÇÃO'!$FC$110),"",'CONFIGURAÇÃO'!$FC$110&amp;"")</f>
        <v/>
      </c>
      <c r="C7560" s="198">
        <f>"'CONFIGURAÇÃO'!FC110"</f>
        <v/>
      </c>
      <c r="D7560" s="198" t="inlineStr">
        <is>
          <t>configuração</t>
        </is>
      </c>
    </row>
    <row r="7561">
      <c r="A7561" s="198" t="inlineStr">
        <is>
          <t>custom.forma.5.peso</t>
        </is>
      </c>
      <c r="B7561" s="198">
        <f>IF(ISBLANK('CONFIGURAÇÃO'!$FC$111),"",'CONFIGURAÇÃO'!$FC$111&amp;"")</f>
        <v/>
      </c>
      <c r="C7561" s="198">
        <f>"'CONFIGURAÇÃO'!FC111"</f>
        <v/>
      </c>
      <c r="D7561" s="198" t="inlineStr">
        <is>
          <t>configuração</t>
        </is>
      </c>
    </row>
    <row r="7562">
      <c r="A7562" s="198" t="inlineStr">
        <is>
          <t>custom.forma.5.resolucao</t>
        </is>
      </c>
      <c r="B7562" s="198">
        <f>IF(ISBLANK('CONFIGURAÇÃO'!$FC$112),"",'CONFIGURAÇÃO'!$FC$112&amp;"")</f>
        <v/>
      </c>
      <c r="C7562" s="198">
        <f>"'CONFIGURAÇÃO'!FC112"</f>
        <v/>
      </c>
      <c r="D7562" s="198" t="inlineStr">
        <is>
          <t>configuração</t>
        </is>
      </c>
    </row>
    <row r="7563">
      <c r="A7563" s="198" t="inlineStr">
        <is>
          <t>custom.forma.5.resultado</t>
        </is>
      </c>
      <c r="B7563" s="198">
        <f>IF(ISBLANK('CONFIGURAÇÃO'!$FC$113),"",'CONFIGURAÇÃO'!$FC$113&amp;"")</f>
        <v/>
      </c>
      <c r="C7563" s="198">
        <f>"'CONFIGURAÇÃO'!FC113"</f>
        <v/>
      </c>
      <c r="D7563" s="198" t="inlineStr">
        <is>
          <t>configuração</t>
        </is>
      </c>
    </row>
    <row r="7564">
      <c r="A7564" s="198" t="inlineStr">
        <is>
          <t>custom.forma.5.exige_tr</t>
        </is>
      </c>
      <c r="B7564" s="198">
        <f>IF(ISBLANK('CONFIGURAÇÃO'!$FC$114),"",'CONFIGURAÇÃO'!$FC$114&amp;"")</f>
        <v/>
      </c>
      <c r="C7564" s="198">
        <f>"'CONFIGURAÇÃO'!FC114"</f>
        <v/>
      </c>
      <c r="D7564" s="198" t="inlineStr">
        <is>
          <t>configuração</t>
        </is>
      </c>
    </row>
    <row r="7565">
      <c r="A7565" s="198" t="inlineStr">
        <is>
          <t>custom.forma.5.classe_zero</t>
        </is>
      </c>
      <c r="B7565" s="198">
        <f>IF(ISBLANK('CONFIGURAÇÃO'!$FC$115),"",'CONFIGURAÇÃO'!$FC$115&amp;"")</f>
        <v/>
      </c>
      <c r="C7565" s="198">
        <f>"'CONFIGURAÇÃO'!FC115"</f>
        <v/>
      </c>
      <c r="D7565" s="198" t="inlineStr">
        <is>
          <t>configuração</t>
        </is>
      </c>
    </row>
    <row r="7566">
      <c r="A7566" s="198" t="inlineStr">
        <is>
          <t>custom.forma.5.restricao_embutida</t>
        </is>
      </c>
      <c r="B7566" s="198">
        <f>IF(ISBLANK('CONFIGURAÇÃO'!$FC$116),"",'CONFIGURAÇÃO'!$FC$116&amp;"")</f>
        <v/>
      </c>
      <c r="C7566" s="198">
        <f>"'CONFIGURAÇÃO'!FC116"</f>
        <v/>
      </c>
      <c r="D7566" s="198" t="inlineStr">
        <is>
          <t>configuração</t>
        </is>
      </c>
    </row>
    <row r="7567">
      <c r="A7567" s="198" t="inlineStr">
        <is>
          <t>custom.forma.5.alcance_escada</t>
        </is>
      </c>
      <c r="B7567" s="198">
        <f>IF(ISBLANK('CONFIGURAÇÃO'!$FC$117),"",'CONFIGURAÇÃO'!$FC$117&amp;"")</f>
        <v/>
      </c>
      <c r="C7567" s="198">
        <f>"'CONFIGURAÇÃO'!FC117"</f>
        <v/>
      </c>
      <c r="D7567" s="198" t="inlineStr">
        <is>
          <t>configuração</t>
        </is>
      </c>
    </row>
    <row r="7568">
      <c r="A7568" s="198" t="inlineStr">
        <is>
          <t>custom.forma.5.area_escada</t>
        </is>
      </c>
      <c r="B7568" s="198">
        <f>IF(ISBLANK('CONFIGURAÇÃO'!$FC$118),"",'CONFIGURAÇÃO'!$FC$118&amp;"")</f>
        <v/>
      </c>
      <c r="C7568" s="198">
        <f>"'CONFIGURAÇÃO'!FC118"</f>
        <v/>
      </c>
      <c r="D7568" s="198" t="inlineStr">
        <is>
          <t>configuração</t>
        </is>
      </c>
    </row>
    <row r="7569">
      <c r="A7569" s="198" t="inlineStr">
        <is>
          <t>custom.forma.5.alcance_personagem_classe_0</t>
        </is>
      </c>
      <c r="B7569" s="198">
        <f>IF(ISBLANK('CONFIGURAÇÃO'!$FC$119),"",'CONFIGURAÇÃO'!$FC$119&amp;"")</f>
        <v/>
      </c>
      <c r="C7569" s="198">
        <f>"'CONFIGURAÇÃO'!FC119"</f>
        <v/>
      </c>
      <c r="D7569" s="198" t="inlineStr">
        <is>
          <t>configuração</t>
        </is>
      </c>
    </row>
    <row r="7570">
      <c r="A7570" s="198" t="inlineStr">
        <is>
          <t>custom.forma.5.alcance_personagem_classes_1_a_5</t>
        </is>
      </c>
      <c r="B7570" s="198">
        <f>IF(ISBLANK('CONFIGURAÇÃO'!$FC$120),"",'CONFIGURAÇÃO'!$FC$120&amp;"")</f>
        <v/>
      </c>
      <c r="C7570" s="198">
        <f>"'CONFIGURAÇÃO'!FC120"</f>
        <v/>
      </c>
      <c r="D7570" s="198" t="inlineStr">
        <is>
          <t>configuração</t>
        </is>
      </c>
    </row>
    <row r="7571">
      <c r="A7571" s="198" t="inlineStr">
        <is>
          <t>custom.forma.5.alcance_personagem_classes_6_e_7</t>
        </is>
      </c>
      <c r="B7571" s="198">
        <f>IF(ISBLANK('CONFIGURAÇÃO'!$FC$121),"",'CONFIGURAÇÃO'!$FC$121&amp;"")</f>
        <v/>
      </c>
      <c r="C7571" s="198">
        <f>"'CONFIGURAÇÃO'!FC121"</f>
        <v/>
      </c>
      <c r="D7571" s="198" t="inlineStr">
        <is>
          <t>configuração</t>
        </is>
      </c>
    </row>
    <row r="7572">
      <c r="A7572" s="198" t="inlineStr">
        <is>
          <t>custom.forma.5.alcance_entidade_classe_0</t>
        </is>
      </c>
      <c r="B7572" s="198">
        <f>IF(ISBLANK('CONFIGURAÇÃO'!$FC$122),"",'CONFIGURAÇÃO'!$FC$122&amp;"")</f>
        <v/>
      </c>
      <c r="C7572" s="198">
        <f>"'CONFIGURAÇÃO'!FC122"</f>
        <v/>
      </c>
      <c r="D7572" s="198" t="inlineStr">
        <is>
          <t>configuração</t>
        </is>
      </c>
    </row>
    <row r="7573">
      <c r="A7573" s="198" t="inlineStr">
        <is>
          <t>custom.forma.5.alcance_entidade_classes_1_a_5</t>
        </is>
      </c>
      <c r="B7573" s="198">
        <f>IF(ISBLANK('CONFIGURAÇÃO'!$FC$123),"",'CONFIGURAÇÃO'!$FC$123&amp;"")</f>
        <v/>
      </c>
      <c r="C7573" s="198">
        <f>"'CONFIGURAÇÃO'!FC123"</f>
        <v/>
      </c>
      <c r="D7573" s="198" t="inlineStr">
        <is>
          <t>configuração</t>
        </is>
      </c>
    </row>
    <row r="7574">
      <c r="A7574" s="198" t="inlineStr">
        <is>
          <t>custom.forma.5.alcance_entidade_classe_6</t>
        </is>
      </c>
      <c r="B7574" s="198">
        <f>IF(ISBLANK('CONFIGURAÇÃO'!$FC$124),"",'CONFIGURAÇÃO'!$FC$124&amp;"")</f>
        <v/>
      </c>
      <c r="C7574" s="198">
        <f>"'CONFIGURAÇÃO'!FC124"</f>
        <v/>
      </c>
      <c r="D7574" s="198" t="inlineStr">
        <is>
          <t>configuração</t>
        </is>
      </c>
    </row>
    <row r="7575">
      <c r="A7575" s="198" t="inlineStr">
        <is>
          <t>custom.forma.5.alcance_entidade_classe_7</t>
        </is>
      </c>
      <c r="B7575" s="198">
        <f>IF(ISBLANK('CONFIGURAÇÃO'!$FC$125),"",'CONFIGURAÇÃO'!$FC$125&amp;"")</f>
        <v/>
      </c>
      <c r="C7575" s="198">
        <f>"'CONFIGURAÇÃO'!FC125"</f>
        <v/>
      </c>
      <c r="D7575" s="198" t="inlineStr">
        <is>
          <t>configuração</t>
        </is>
      </c>
    </row>
    <row r="7576">
      <c r="A7576" s="198" t="inlineStr">
        <is>
          <t>custom.forma.5.area_personagem_classe_0</t>
        </is>
      </c>
      <c r="B7576" s="198">
        <f>IF(ISBLANK('CONFIGURAÇÃO'!$FC$126),"",'CONFIGURAÇÃO'!$FC$126&amp;"")</f>
        <v/>
      </c>
      <c r="C7576" s="198">
        <f>"'CONFIGURAÇÃO'!FC126"</f>
        <v/>
      </c>
      <c r="D7576" s="198" t="inlineStr">
        <is>
          <t>configuração</t>
        </is>
      </c>
    </row>
    <row r="7577">
      <c r="A7577" s="198" t="inlineStr">
        <is>
          <t>custom.forma.5.area_personagem_classes_1_a_5</t>
        </is>
      </c>
      <c r="B7577" s="198">
        <f>IF(ISBLANK('CONFIGURAÇÃO'!$FC$127),"",'CONFIGURAÇÃO'!$FC$127&amp;"")</f>
        <v/>
      </c>
      <c r="C7577" s="198">
        <f>"'CONFIGURAÇÃO'!FC127"</f>
        <v/>
      </c>
      <c r="D7577" s="198" t="inlineStr">
        <is>
          <t>configuração</t>
        </is>
      </c>
    </row>
    <row r="7578">
      <c r="A7578" s="198" t="inlineStr">
        <is>
          <t>custom.forma.5.area_personagem_classes_6_e_7</t>
        </is>
      </c>
      <c r="B7578" s="198">
        <f>IF(ISBLANK('CONFIGURAÇÃO'!$FC$128),"",'CONFIGURAÇÃO'!$FC$128&amp;"")</f>
        <v/>
      </c>
      <c r="C7578" s="198">
        <f>"'CONFIGURAÇÃO'!FC128"</f>
        <v/>
      </c>
      <c r="D7578" s="198" t="inlineStr">
        <is>
          <t>configuração</t>
        </is>
      </c>
    </row>
    <row r="7579">
      <c r="A7579" s="198" t="inlineStr">
        <is>
          <t>custom.forma.5.area_entidade_classe_0</t>
        </is>
      </c>
      <c r="B7579" s="198">
        <f>IF(ISBLANK('CONFIGURAÇÃO'!$FC$129),"",'CONFIGURAÇÃO'!$FC$129&amp;"")</f>
        <v/>
      </c>
      <c r="C7579" s="198">
        <f>"'CONFIGURAÇÃO'!FC129"</f>
        <v/>
      </c>
      <c r="D7579" s="198" t="inlineStr">
        <is>
          <t>configuração</t>
        </is>
      </c>
    </row>
    <row r="7580">
      <c r="A7580" s="198" t="inlineStr">
        <is>
          <t>custom.forma.5.area_entidade_classes_1_a_5</t>
        </is>
      </c>
      <c r="B7580" s="198">
        <f>IF(ISBLANK('CONFIGURAÇÃO'!$FC$130),"",'CONFIGURAÇÃO'!$FC$130&amp;"")</f>
        <v/>
      </c>
      <c r="C7580" s="198">
        <f>"'CONFIGURAÇÃO'!FC130"</f>
        <v/>
      </c>
      <c r="D7580" s="198" t="inlineStr">
        <is>
          <t>configuração</t>
        </is>
      </c>
    </row>
    <row r="7581">
      <c r="A7581" s="198" t="inlineStr">
        <is>
          <t>custom.forma.5.area_entidade_classe_6</t>
        </is>
      </c>
      <c r="B7581" s="198">
        <f>IF(ISBLANK('CONFIGURAÇÃO'!$FC$131),"",'CONFIGURAÇÃO'!$FC$131&amp;"")</f>
        <v/>
      </c>
      <c r="C7581" s="198">
        <f>"'CONFIGURAÇÃO'!FC131"</f>
        <v/>
      </c>
      <c r="D7581" s="198" t="inlineStr">
        <is>
          <t>configuração</t>
        </is>
      </c>
    </row>
    <row r="7582">
      <c r="A7582" s="198" t="inlineStr">
        <is>
          <t>custom.forma.5.area_entidade_classe_7</t>
        </is>
      </c>
      <c r="B7582" s="198">
        <f>IF(ISBLANK('CONFIGURAÇÃO'!$FC$132),"",'CONFIGURAÇÃO'!$FC$132&amp;"")</f>
        <v/>
      </c>
      <c r="C7582" s="198">
        <f>"'CONFIGURAÇÃO'!FC132"</f>
        <v/>
      </c>
      <c r="D7582" s="198" t="inlineStr">
        <is>
          <t>configuração</t>
        </is>
      </c>
    </row>
    <row r="7583">
      <c r="A7583" s="198" t="inlineStr">
        <is>
          <t>custom.forma.6.tipo</t>
        </is>
      </c>
      <c r="B7583" s="198">
        <f>IF(ISBLANK('CONFIGURAÇÃO'!$FH$106),"",'CONFIGURAÇÃO'!$FH$106&amp;"")</f>
        <v/>
      </c>
      <c r="C7583" s="198">
        <f>"'CONFIGURAÇÃO'!FH106"</f>
        <v/>
      </c>
      <c r="D7583" s="198" t="inlineStr">
        <is>
          <t>configuração</t>
        </is>
      </c>
    </row>
    <row r="7584">
      <c r="A7584" s="198" t="inlineStr">
        <is>
          <t>custom.forma.6.nome</t>
        </is>
      </c>
      <c r="B7584" s="198">
        <f>IF(ISBLANK('CONFIGURAÇÃO'!$FH$108),"",'CONFIGURAÇÃO'!$FH$108&amp;"")</f>
        <v/>
      </c>
      <c r="C7584" s="198">
        <f>"'CONFIGURAÇÃO'!FH108"</f>
        <v/>
      </c>
      <c r="D7584" s="198" t="inlineStr">
        <is>
          <t>configuração</t>
        </is>
      </c>
    </row>
    <row r="7585">
      <c r="A7585" s="198" t="inlineStr">
        <is>
          <t>custom.forma.6.base</t>
        </is>
      </c>
      <c r="B7585" s="198">
        <f>IF(ISBLANK('CONFIGURAÇÃO'!$FK$109),"",'CONFIGURAÇÃO'!$FK$109&amp;"")</f>
        <v/>
      </c>
      <c r="C7585" s="198">
        <f>"'CONFIGURAÇÃO'!FK109"</f>
        <v/>
      </c>
      <c r="D7585" s="198" t="inlineStr">
        <is>
          <t>configuração</t>
        </is>
      </c>
    </row>
    <row r="7586">
      <c r="A7586" s="198" t="inlineStr">
        <is>
          <t>custom.forma.6.mestre_viu</t>
        </is>
      </c>
      <c r="B7586" s="198">
        <f>N('CONFIGURAÇÃO'!$FL$106)&amp;""</f>
        <v/>
      </c>
      <c r="C7586" s="198">
        <f>"'CONFIGURAÇÃO'!FL106"</f>
        <v/>
      </c>
      <c r="D7586" s="198" t="inlineStr">
        <is>
          <t>configuração</t>
        </is>
      </c>
    </row>
    <row r="7587">
      <c r="A7587" s="198" t="inlineStr">
        <is>
          <t>custom.forma.6.requisitos</t>
        </is>
      </c>
      <c r="B7587" s="198">
        <f>IF(ISBLANK('CONFIGURAÇÃO'!$FH$135),"",'CONFIGURAÇÃO'!$FH$135&amp;"")</f>
        <v/>
      </c>
      <c r="C7587" s="198">
        <f>"'CONFIGURAÇÃO'!FH135"</f>
        <v/>
      </c>
      <c r="D7587" s="198" t="inlineStr">
        <is>
          <t>configuração</t>
        </is>
      </c>
    </row>
    <row r="7588">
      <c r="A7588" s="198" t="inlineStr">
        <is>
          <t>custom.forma.6.efeito</t>
        </is>
      </c>
      <c r="B7588" s="198">
        <f>IF(ISBLANK('CONFIGURAÇÃO'!$FH$141),"",'CONFIGURAÇÃO'!$FH$141&amp;"")</f>
        <v/>
      </c>
      <c r="C7588" s="198">
        <f>"'CONFIGURAÇÃO'!FH141"</f>
        <v/>
      </c>
      <c r="D7588" s="198" t="inlineStr">
        <is>
          <t>configuração</t>
        </is>
      </c>
    </row>
    <row r="7589">
      <c r="A7589" s="198" t="inlineStr">
        <is>
          <t>custom.forma.6.familia</t>
        </is>
      </c>
      <c r="B7589" s="198">
        <f>IF(ISBLANK('CONFIGURAÇÃO'!$FK$110),"",'CONFIGURAÇÃO'!$FK$110&amp;"")</f>
        <v/>
      </c>
      <c r="C7589" s="198">
        <f>"'CONFIGURAÇÃO'!FK110"</f>
        <v/>
      </c>
      <c r="D7589" s="198" t="inlineStr">
        <is>
          <t>configuração</t>
        </is>
      </c>
    </row>
    <row r="7590">
      <c r="A7590" s="198" t="inlineStr">
        <is>
          <t>custom.forma.6.peso</t>
        </is>
      </c>
      <c r="B7590" s="198">
        <f>IF(ISBLANK('CONFIGURAÇÃO'!$FK$111),"",'CONFIGURAÇÃO'!$FK$111&amp;"")</f>
        <v/>
      </c>
      <c r="C7590" s="198">
        <f>"'CONFIGURAÇÃO'!FK111"</f>
        <v/>
      </c>
      <c r="D7590" s="198" t="inlineStr">
        <is>
          <t>configuração</t>
        </is>
      </c>
    </row>
    <row r="7591">
      <c r="A7591" s="198" t="inlineStr">
        <is>
          <t>custom.forma.6.resolucao</t>
        </is>
      </c>
      <c r="B7591" s="198">
        <f>IF(ISBLANK('CONFIGURAÇÃO'!$FK$112),"",'CONFIGURAÇÃO'!$FK$112&amp;"")</f>
        <v/>
      </c>
      <c r="C7591" s="198">
        <f>"'CONFIGURAÇÃO'!FK112"</f>
        <v/>
      </c>
      <c r="D7591" s="198" t="inlineStr">
        <is>
          <t>configuração</t>
        </is>
      </c>
    </row>
    <row r="7592">
      <c r="A7592" s="198" t="inlineStr">
        <is>
          <t>custom.forma.6.resultado</t>
        </is>
      </c>
      <c r="B7592" s="198">
        <f>IF(ISBLANK('CONFIGURAÇÃO'!$FK$113),"",'CONFIGURAÇÃO'!$FK$113&amp;"")</f>
        <v/>
      </c>
      <c r="C7592" s="198">
        <f>"'CONFIGURAÇÃO'!FK113"</f>
        <v/>
      </c>
      <c r="D7592" s="198" t="inlineStr">
        <is>
          <t>configuração</t>
        </is>
      </c>
    </row>
    <row r="7593">
      <c r="A7593" s="198" t="inlineStr">
        <is>
          <t>custom.forma.6.exige_tr</t>
        </is>
      </c>
      <c r="B7593" s="198">
        <f>IF(ISBLANK('CONFIGURAÇÃO'!$FK$114),"",'CONFIGURAÇÃO'!$FK$114&amp;"")</f>
        <v/>
      </c>
      <c r="C7593" s="198">
        <f>"'CONFIGURAÇÃO'!FK114"</f>
        <v/>
      </c>
      <c r="D7593" s="198" t="inlineStr">
        <is>
          <t>configuração</t>
        </is>
      </c>
    </row>
    <row r="7594">
      <c r="A7594" s="198" t="inlineStr">
        <is>
          <t>custom.forma.6.classe_zero</t>
        </is>
      </c>
      <c r="B7594" s="198">
        <f>IF(ISBLANK('CONFIGURAÇÃO'!$FK$115),"",'CONFIGURAÇÃO'!$FK$115&amp;"")</f>
        <v/>
      </c>
      <c r="C7594" s="198">
        <f>"'CONFIGURAÇÃO'!FK115"</f>
        <v/>
      </c>
      <c r="D7594" s="198" t="inlineStr">
        <is>
          <t>configuração</t>
        </is>
      </c>
    </row>
    <row r="7595">
      <c r="A7595" s="198" t="inlineStr">
        <is>
          <t>custom.forma.6.restricao_embutida</t>
        </is>
      </c>
      <c r="B7595" s="198">
        <f>IF(ISBLANK('CONFIGURAÇÃO'!$FK$116),"",'CONFIGURAÇÃO'!$FK$116&amp;"")</f>
        <v/>
      </c>
      <c r="C7595" s="198">
        <f>"'CONFIGURAÇÃO'!FK116"</f>
        <v/>
      </c>
      <c r="D7595" s="198" t="inlineStr">
        <is>
          <t>configuração</t>
        </is>
      </c>
    </row>
    <row r="7596">
      <c r="A7596" s="198" t="inlineStr">
        <is>
          <t>custom.forma.6.alcance_escada</t>
        </is>
      </c>
      <c r="B7596" s="198">
        <f>IF(ISBLANK('CONFIGURAÇÃO'!$FK$117),"",'CONFIGURAÇÃO'!$FK$117&amp;"")</f>
        <v/>
      </c>
      <c r="C7596" s="198">
        <f>"'CONFIGURAÇÃO'!FK117"</f>
        <v/>
      </c>
      <c r="D7596" s="198" t="inlineStr">
        <is>
          <t>configuração</t>
        </is>
      </c>
    </row>
    <row r="7597">
      <c r="A7597" s="198" t="inlineStr">
        <is>
          <t>custom.forma.6.area_escada</t>
        </is>
      </c>
      <c r="B7597" s="198">
        <f>IF(ISBLANK('CONFIGURAÇÃO'!$FK$118),"",'CONFIGURAÇÃO'!$FK$118&amp;"")</f>
        <v/>
      </c>
      <c r="C7597" s="198">
        <f>"'CONFIGURAÇÃO'!FK118"</f>
        <v/>
      </c>
      <c r="D7597" s="198" t="inlineStr">
        <is>
          <t>configuração</t>
        </is>
      </c>
    </row>
    <row r="7598">
      <c r="A7598" s="198" t="inlineStr">
        <is>
          <t>custom.forma.6.alcance_personagem_classe_0</t>
        </is>
      </c>
      <c r="B7598" s="198">
        <f>IF(ISBLANK('CONFIGURAÇÃO'!$FK$119),"",'CONFIGURAÇÃO'!$FK$119&amp;"")</f>
        <v/>
      </c>
      <c r="C7598" s="198">
        <f>"'CONFIGURAÇÃO'!FK119"</f>
        <v/>
      </c>
      <c r="D7598" s="198" t="inlineStr">
        <is>
          <t>configuração</t>
        </is>
      </c>
    </row>
    <row r="7599">
      <c r="A7599" s="198" t="inlineStr">
        <is>
          <t>custom.forma.6.alcance_personagem_classes_1_a_5</t>
        </is>
      </c>
      <c r="B7599" s="198">
        <f>IF(ISBLANK('CONFIGURAÇÃO'!$FK$120),"",'CONFIGURAÇÃO'!$FK$120&amp;"")</f>
        <v/>
      </c>
      <c r="C7599" s="198">
        <f>"'CONFIGURAÇÃO'!FK120"</f>
        <v/>
      </c>
      <c r="D7599" s="198" t="inlineStr">
        <is>
          <t>configuração</t>
        </is>
      </c>
    </row>
    <row r="7600">
      <c r="A7600" s="198" t="inlineStr">
        <is>
          <t>custom.forma.6.alcance_personagem_classes_6_e_7</t>
        </is>
      </c>
      <c r="B7600" s="198">
        <f>IF(ISBLANK('CONFIGURAÇÃO'!$FK$121),"",'CONFIGURAÇÃO'!$FK$121&amp;"")</f>
        <v/>
      </c>
      <c r="C7600" s="198">
        <f>"'CONFIGURAÇÃO'!FK121"</f>
        <v/>
      </c>
      <c r="D7600" s="198" t="inlineStr">
        <is>
          <t>configuração</t>
        </is>
      </c>
    </row>
    <row r="7601">
      <c r="A7601" s="198" t="inlineStr">
        <is>
          <t>custom.forma.6.alcance_entidade_classe_0</t>
        </is>
      </c>
      <c r="B7601" s="198">
        <f>IF(ISBLANK('CONFIGURAÇÃO'!$FK$122),"",'CONFIGURAÇÃO'!$FK$122&amp;"")</f>
        <v/>
      </c>
      <c r="C7601" s="198">
        <f>"'CONFIGURAÇÃO'!FK122"</f>
        <v/>
      </c>
      <c r="D7601" s="198" t="inlineStr">
        <is>
          <t>configuração</t>
        </is>
      </c>
    </row>
    <row r="7602">
      <c r="A7602" s="198" t="inlineStr">
        <is>
          <t>custom.forma.6.alcance_entidade_classes_1_a_5</t>
        </is>
      </c>
      <c r="B7602" s="198">
        <f>IF(ISBLANK('CONFIGURAÇÃO'!$FK$123),"",'CONFIGURAÇÃO'!$FK$123&amp;"")</f>
        <v/>
      </c>
      <c r="C7602" s="198">
        <f>"'CONFIGURAÇÃO'!FK123"</f>
        <v/>
      </c>
      <c r="D7602" s="198" t="inlineStr">
        <is>
          <t>configuração</t>
        </is>
      </c>
    </row>
    <row r="7603">
      <c r="A7603" s="198" t="inlineStr">
        <is>
          <t>custom.forma.6.alcance_entidade_classe_6</t>
        </is>
      </c>
      <c r="B7603" s="198">
        <f>IF(ISBLANK('CONFIGURAÇÃO'!$FK$124),"",'CONFIGURAÇÃO'!$FK$124&amp;"")</f>
        <v/>
      </c>
      <c r="C7603" s="198">
        <f>"'CONFIGURAÇÃO'!FK124"</f>
        <v/>
      </c>
      <c r="D7603" s="198" t="inlineStr">
        <is>
          <t>configuração</t>
        </is>
      </c>
    </row>
    <row r="7604">
      <c r="A7604" s="198" t="inlineStr">
        <is>
          <t>custom.forma.6.alcance_entidade_classe_7</t>
        </is>
      </c>
      <c r="B7604" s="198">
        <f>IF(ISBLANK('CONFIGURAÇÃO'!$FK$125),"",'CONFIGURAÇÃO'!$FK$125&amp;"")</f>
        <v/>
      </c>
      <c r="C7604" s="198">
        <f>"'CONFIGURAÇÃO'!FK125"</f>
        <v/>
      </c>
      <c r="D7604" s="198" t="inlineStr">
        <is>
          <t>configuração</t>
        </is>
      </c>
    </row>
    <row r="7605">
      <c r="A7605" s="198" t="inlineStr">
        <is>
          <t>custom.forma.6.area_personagem_classe_0</t>
        </is>
      </c>
      <c r="B7605" s="198">
        <f>IF(ISBLANK('CONFIGURAÇÃO'!$FK$126),"",'CONFIGURAÇÃO'!$FK$126&amp;"")</f>
        <v/>
      </c>
      <c r="C7605" s="198">
        <f>"'CONFIGURAÇÃO'!FK126"</f>
        <v/>
      </c>
      <c r="D7605" s="198" t="inlineStr">
        <is>
          <t>configuração</t>
        </is>
      </c>
    </row>
    <row r="7606">
      <c r="A7606" s="198" t="inlineStr">
        <is>
          <t>custom.forma.6.area_personagem_classes_1_a_5</t>
        </is>
      </c>
      <c r="B7606" s="198">
        <f>IF(ISBLANK('CONFIGURAÇÃO'!$FK$127),"",'CONFIGURAÇÃO'!$FK$127&amp;"")</f>
        <v/>
      </c>
      <c r="C7606" s="198">
        <f>"'CONFIGURAÇÃO'!FK127"</f>
        <v/>
      </c>
      <c r="D7606" s="198" t="inlineStr">
        <is>
          <t>configuração</t>
        </is>
      </c>
    </row>
    <row r="7607">
      <c r="A7607" s="198" t="inlineStr">
        <is>
          <t>custom.forma.6.area_personagem_classes_6_e_7</t>
        </is>
      </c>
      <c r="B7607" s="198">
        <f>IF(ISBLANK('CONFIGURAÇÃO'!$FK$128),"",'CONFIGURAÇÃO'!$FK$128&amp;"")</f>
        <v/>
      </c>
      <c r="C7607" s="198">
        <f>"'CONFIGURAÇÃO'!FK128"</f>
        <v/>
      </c>
      <c r="D7607" s="198" t="inlineStr">
        <is>
          <t>configuração</t>
        </is>
      </c>
    </row>
    <row r="7608">
      <c r="A7608" s="198" t="inlineStr">
        <is>
          <t>custom.forma.6.area_entidade_classe_0</t>
        </is>
      </c>
      <c r="B7608" s="198">
        <f>IF(ISBLANK('CONFIGURAÇÃO'!$FK$129),"",'CONFIGURAÇÃO'!$FK$129&amp;"")</f>
        <v/>
      </c>
      <c r="C7608" s="198">
        <f>"'CONFIGURAÇÃO'!FK129"</f>
        <v/>
      </c>
      <c r="D7608" s="198" t="inlineStr">
        <is>
          <t>configuração</t>
        </is>
      </c>
    </row>
    <row r="7609">
      <c r="A7609" s="198" t="inlineStr">
        <is>
          <t>custom.forma.6.area_entidade_classes_1_a_5</t>
        </is>
      </c>
      <c r="B7609" s="198">
        <f>IF(ISBLANK('CONFIGURAÇÃO'!$FK$130),"",'CONFIGURAÇÃO'!$FK$130&amp;"")</f>
        <v/>
      </c>
      <c r="C7609" s="198">
        <f>"'CONFIGURAÇÃO'!FK130"</f>
        <v/>
      </c>
      <c r="D7609" s="198" t="inlineStr">
        <is>
          <t>configuração</t>
        </is>
      </c>
    </row>
    <row r="7610">
      <c r="A7610" s="198" t="inlineStr">
        <is>
          <t>custom.forma.6.area_entidade_classe_6</t>
        </is>
      </c>
      <c r="B7610" s="198">
        <f>IF(ISBLANK('CONFIGURAÇÃO'!$FK$131),"",'CONFIGURAÇÃO'!$FK$131&amp;"")</f>
        <v/>
      </c>
      <c r="C7610" s="198">
        <f>"'CONFIGURAÇÃO'!FK131"</f>
        <v/>
      </c>
      <c r="D7610" s="198" t="inlineStr">
        <is>
          <t>configuração</t>
        </is>
      </c>
    </row>
    <row r="7611">
      <c r="A7611" s="198" t="inlineStr">
        <is>
          <t>custom.forma.6.area_entidade_classe_7</t>
        </is>
      </c>
      <c r="B7611" s="198">
        <f>IF(ISBLANK('CONFIGURAÇÃO'!$FK$132),"",'CONFIGURAÇÃO'!$FK$132&amp;"")</f>
        <v/>
      </c>
      <c r="C7611" s="198">
        <f>"'CONFIGURAÇÃO'!FK132"</f>
        <v/>
      </c>
      <c r="D7611" s="198" t="inlineStr">
        <is>
          <t>configuração</t>
        </is>
      </c>
    </row>
    <row r="7612">
      <c r="A7612" s="198" t="inlineStr">
        <is>
          <t>custom.forma.7.tipo</t>
        </is>
      </c>
      <c r="B7612" s="198">
        <f>IF(ISBLANK('CONFIGURAÇÃO'!$EZ$152),"",'CONFIGURAÇÃO'!$EZ$152&amp;"")</f>
        <v/>
      </c>
      <c r="C7612" s="198">
        <f>"'CONFIGURAÇÃO'!EZ152"</f>
        <v/>
      </c>
      <c r="D7612" s="198" t="inlineStr">
        <is>
          <t>configuração</t>
        </is>
      </c>
    </row>
    <row r="7613">
      <c r="A7613" s="198" t="inlineStr">
        <is>
          <t>custom.forma.7.nome</t>
        </is>
      </c>
      <c r="B7613" s="198">
        <f>IF(ISBLANK('CONFIGURAÇÃO'!$EZ$154),"",'CONFIGURAÇÃO'!$EZ$154&amp;"")</f>
        <v/>
      </c>
      <c r="C7613" s="198">
        <f>"'CONFIGURAÇÃO'!EZ154"</f>
        <v/>
      </c>
      <c r="D7613" s="198" t="inlineStr">
        <is>
          <t>configuração</t>
        </is>
      </c>
    </row>
    <row r="7614">
      <c r="A7614" s="198" t="inlineStr">
        <is>
          <t>custom.forma.7.base</t>
        </is>
      </c>
      <c r="B7614" s="198">
        <f>IF(ISBLANK('CONFIGURAÇÃO'!$FC$155),"",'CONFIGURAÇÃO'!$FC$155&amp;"")</f>
        <v/>
      </c>
      <c r="C7614" s="198">
        <f>"'CONFIGURAÇÃO'!FC155"</f>
        <v/>
      </c>
      <c r="D7614" s="198" t="inlineStr">
        <is>
          <t>configuração</t>
        </is>
      </c>
    </row>
    <row r="7615">
      <c r="A7615" s="198" t="inlineStr">
        <is>
          <t>custom.forma.7.mestre_viu</t>
        </is>
      </c>
      <c r="B7615" s="198">
        <f>N('CONFIGURAÇÃO'!$FD$152)&amp;""</f>
        <v/>
      </c>
      <c r="C7615" s="198">
        <f>"'CONFIGURAÇÃO'!FD152"</f>
        <v/>
      </c>
      <c r="D7615" s="198" t="inlineStr">
        <is>
          <t>configuração</t>
        </is>
      </c>
    </row>
    <row r="7616">
      <c r="A7616" s="198" t="inlineStr">
        <is>
          <t>custom.forma.7.requisitos</t>
        </is>
      </c>
      <c r="B7616" s="198">
        <f>IF(ISBLANK('CONFIGURAÇÃO'!$EZ$181),"",'CONFIGURAÇÃO'!$EZ$181&amp;"")</f>
        <v/>
      </c>
      <c r="C7616" s="198">
        <f>"'CONFIGURAÇÃO'!EZ181"</f>
        <v/>
      </c>
      <c r="D7616" s="198" t="inlineStr">
        <is>
          <t>configuração</t>
        </is>
      </c>
    </row>
    <row r="7617">
      <c r="A7617" s="198" t="inlineStr">
        <is>
          <t>custom.forma.7.efeito</t>
        </is>
      </c>
      <c r="B7617" s="198">
        <f>IF(ISBLANK('CONFIGURAÇÃO'!$EZ$187),"",'CONFIGURAÇÃO'!$EZ$187&amp;"")</f>
        <v/>
      </c>
      <c r="C7617" s="198">
        <f>"'CONFIGURAÇÃO'!EZ187"</f>
        <v/>
      </c>
      <c r="D7617" s="198" t="inlineStr">
        <is>
          <t>configuração</t>
        </is>
      </c>
    </row>
    <row r="7618">
      <c r="A7618" s="198" t="inlineStr">
        <is>
          <t>custom.forma.7.familia</t>
        </is>
      </c>
      <c r="B7618" s="198">
        <f>IF(ISBLANK('CONFIGURAÇÃO'!$FC$156),"",'CONFIGURAÇÃO'!$FC$156&amp;"")</f>
        <v/>
      </c>
      <c r="C7618" s="198">
        <f>"'CONFIGURAÇÃO'!FC156"</f>
        <v/>
      </c>
      <c r="D7618" s="198" t="inlineStr">
        <is>
          <t>configuração</t>
        </is>
      </c>
    </row>
    <row r="7619">
      <c r="A7619" s="198" t="inlineStr">
        <is>
          <t>custom.forma.7.peso</t>
        </is>
      </c>
      <c r="B7619" s="198">
        <f>IF(ISBLANK('CONFIGURAÇÃO'!$FC$157),"",'CONFIGURAÇÃO'!$FC$157&amp;"")</f>
        <v/>
      </c>
      <c r="C7619" s="198">
        <f>"'CONFIGURAÇÃO'!FC157"</f>
        <v/>
      </c>
      <c r="D7619" s="198" t="inlineStr">
        <is>
          <t>configuração</t>
        </is>
      </c>
    </row>
    <row r="7620">
      <c r="A7620" s="198" t="inlineStr">
        <is>
          <t>custom.forma.7.resolucao</t>
        </is>
      </c>
      <c r="B7620" s="198">
        <f>IF(ISBLANK('CONFIGURAÇÃO'!$FC$158),"",'CONFIGURAÇÃO'!$FC$158&amp;"")</f>
        <v/>
      </c>
      <c r="C7620" s="198">
        <f>"'CONFIGURAÇÃO'!FC158"</f>
        <v/>
      </c>
      <c r="D7620" s="198" t="inlineStr">
        <is>
          <t>configuração</t>
        </is>
      </c>
    </row>
    <row r="7621">
      <c r="A7621" s="198" t="inlineStr">
        <is>
          <t>custom.forma.7.resultado</t>
        </is>
      </c>
      <c r="B7621" s="198">
        <f>IF(ISBLANK('CONFIGURAÇÃO'!$FC$159),"",'CONFIGURAÇÃO'!$FC$159&amp;"")</f>
        <v/>
      </c>
      <c r="C7621" s="198">
        <f>"'CONFIGURAÇÃO'!FC159"</f>
        <v/>
      </c>
      <c r="D7621" s="198" t="inlineStr">
        <is>
          <t>configuração</t>
        </is>
      </c>
    </row>
    <row r="7622">
      <c r="A7622" s="198" t="inlineStr">
        <is>
          <t>custom.forma.7.exige_tr</t>
        </is>
      </c>
      <c r="B7622" s="198">
        <f>IF(ISBLANK('CONFIGURAÇÃO'!$FC$160),"",'CONFIGURAÇÃO'!$FC$160&amp;"")</f>
        <v/>
      </c>
      <c r="C7622" s="198">
        <f>"'CONFIGURAÇÃO'!FC160"</f>
        <v/>
      </c>
      <c r="D7622" s="198" t="inlineStr">
        <is>
          <t>configuração</t>
        </is>
      </c>
    </row>
    <row r="7623">
      <c r="A7623" s="198" t="inlineStr">
        <is>
          <t>custom.forma.7.classe_zero</t>
        </is>
      </c>
      <c r="B7623" s="198">
        <f>IF(ISBLANK('CONFIGURAÇÃO'!$FC$161),"",'CONFIGURAÇÃO'!$FC$161&amp;"")</f>
        <v/>
      </c>
      <c r="C7623" s="198">
        <f>"'CONFIGURAÇÃO'!FC161"</f>
        <v/>
      </c>
      <c r="D7623" s="198" t="inlineStr">
        <is>
          <t>configuração</t>
        </is>
      </c>
    </row>
    <row r="7624">
      <c r="A7624" s="198" t="inlineStr">
        <is>
          <t>custom.forma.7.restricao_embutida</t>
        </is>
      </c>
      <c r="B7624" s="198">
        <f>IF(ISBLANK('CONFIGURAÇÃO'!$FC$162),"",'CONFIGURAÇÃO'!$FC$162&amp;"")</f>
        <v/>
      </c>
      <c r="C7624" s="198">
        <f>"'CONFIGURAÇÃO'!FC162"</f>
        <v/>
      </c>
      <c r="D7624" s="198" t="inlineStr">
        <is>
          <t>configuração</t>
        </is>
      </c>
    </row>
    <row r="7625">
      <c r="A7625" s="198" t="inlineStr">
        <is>
          <t>custom.forma.7.alcance_escada</t>
        </is>
      </c>
      <c r="B7625" s="198">
        <f>IF(ISBLANK('CONFIGURAÇÃO'!$FC$163),"",'CONFIGURAÇÃO'!$FC$163&amp;"")</f>
        <v/>
      </c>
      <c r="C7625" s="198">
        <f>"'CONFIGURAÇÃO'!FC163"</f>
        <v/>
      </c>
      <c r="D7625" s="198" t="inlineStr">
        <is>
          <t>configuração</t>
        </is>
      </c>
    </row>
    <row r="7626">
      <c r="A7626" s="198" t="inlineStr">
        <is>
          <t>custom.forma.7.area_escada</t>
        </is>
      </c>
      <c r="B7626" s="198">
        <f>IF(ISBLANK('CONFIGURAÇÃO'!$FC$164),"",'CONFIGURAÇÃO'!$FC$164&amp;"")</f>
        <v/>
      </c>
      <c r="C7626" s="198">
        <f>"'CONFIGURAÇÃO'!FC164"</f>
        <v/>
      </c>
      <c r="D7626" s="198" t="inlineStr">
        <is>
          <t>configuração</t>
        </is>
      </c>
    </row>
    <row r="7627">
      <c r="A7627" s="198" t="inlineStr">
        <is>
          <t>custom.forma.7.alcance_personagem_classe_0</t>
        </is>
      </c>
      <c r="B7627" s="198">
        <f>IF(ISBLANK('CONFIGURAÇÃO'!$FC$165),"",'CONFIGURAÇÃO'!$FC$165&amp;"")</f>
        <v/>
      </c>
      <c r="C7627" s="198">
        <f>"'CONFIGURAÇÃO'!FC165"</f>
        <v/>
      </c>
      <c r="D7627" s="198" t="inlineStr">
        <is>
          <t>configuração</t>
        </is>
      </c>
    </row>
    <row r="7628">
      <c r="A7628" s="198" t="inlineStr">
        <is>
          <t>custom.forma.7.alcance_personagem_classes_1_a_5</t>
        </is>
      </c>
      <c r="B7628" s="198">
        <f>IF(ISBLANK('CONFIGURAÇÃO'!$FC$166),"",'CONFIGURAÇÃO'!$FC$166&amp;"")</f>
        <v/>
      </c>
      <c r="C7628" s="198">
        <f>"'CONFIGURAÇÃO'!FC166"</f>
        <v/>
      </c>
      <c r="D7628" s="198" t="inlineStr">
        <is>
          <t>configuração</t>
        </is>
      </c>
    </row>
    <row r="7629">
      <c r="A7629" s="198" t="inlineStr">
        <is>
          <t>custom.forma.7.alcance_personagem_classes_6_e_7</t>
        </is>
      </c>
      <c r="B7629" s="198">
        <f>IF(ISBLANK('CONFIGURAÇÃO'!$FC$167),"",'CONFIGURAÇÃO'!$FC$167&amp;"")</f>
        <v/>
      </c>
      <c r="C7629" s="198">
        <f>"'CONFIGURAÇÃO'!FC167"</f>
        <v/>
      </c>
      <c r="D7629" s="198" t="inlineStr">
        <is>
          <t>configuração</t>
        </is>
      </c>
    </row>
    <row r="7630">
      <c r="A7630" s="198" t="inlineStr">
        <is>
          <t>custom.forma.7.alcance_entidade_classe_0</t>
        </is>
      </c>
      <c r="B7630" s="198">
        <f>IF(ISBLANK('CONFIGURAÇÃO'!$FC$168),"",'CONFIGURAÇÃO'!$FC$168&amp;"")</f>
        <v/>
      </c>
      <c r="C7630" s="198">
        <f>"'CONFIGURAÇÃO'!FC168"</f>
        <v/>
      </c>
      <c r="D7630" s="198" t="inlineStr">
        <is>
          <t>configuração</t>
        </is>
      </c>
    </row>
    <row r="7631">
      <c r="A7631" s="198" t="inlineStr">
        <is>
          <t>custom.forma.7.alcance_entidade_classes_1_a_5</t>
        </is>
      </c>
      <c r="B7631" s="198">
        <f>IF(ISBLANK('CONFIGURAÇÃO'!$FC$169),"",'CONFIGURAÇÃO'!$FC$169&amp;"")</f>
        <v/>
      </c>
      <c r="C7631" s="198">
        <f>"'CONFIGURAÇÃO'!FC169"</f>
        <v/>
      </c>
      <c r="D7631" s="198" t="inlineStr">
        <is>
          <t>configuração</t>
        </is>
      </c>
    </row>
    <row r="7632">
      <c r="A7632" s="198" t="inlineStr">
        <is>
          <t>custom.forma.7.alcance_entidade_classe_6</t>
        </is>
      </c>
      <c r="B7632" s="198">
        <f>IF(ISBLANK('CONFIGURAÇÃO'!$FC$170),"",'CONFIGURAÇÃO'!$FC$170&amp;"")</f>
        <v/>
      </c>
      <c r="C7632" s="198">
        <f>"'CONFIGURAÇÃO'!FC170"</f>
        <v/>
      </c>
      <c r="D7632" s="198" t="inlineStr">
        <is>
          <t>configuração</t>
        </is>
      </c>
    </row>
    <row r="7633">
      <c r="A7633" s="198" t="inlineStr">
        <is>
          <t>custom.forma.7.alcance_entidade_classe_7</t>
        </is>
      </c>
      <c r="B7633" s="198">
        <f>IF(ISBLANK('CONFIGURAÇÃO'!$FC$171),"",'CONFIGURAÇÃO'!$FC$171&amp;"")</f>
        <v/>
      </c>
      <c r="C7633" s="198">
        <f>"'CONFIGURAÇÃO'!FC171"</f>
        <v/>
      </c>
      <c r="D7633" s="198" t="inlineStr">
        <is>
          <t>configuração</t>
        </is>
      </c>
    </row>
    <row r="7634">
      <c r="A7634" s="198" t="inlineStr">
        <is>
          <t>custom.forma.7.area_personagem_classe_0</t>
        </is>
      </c>
      <c r="B7634" s="198">
        <f>IF(ISBLANK('CONFIGURAÇÃO'!$FC$172),"",'CONFIGURAÇÃO'!$FC$172&amp;"")</f>
        <v/>
      </c>
      <c r="C7634" s="198">
        <f>"'CONFIGURAÇÃO'!FC172"</f>
        <v/>
      </c>
      <c r="D7634" s="198" t="inlineStr">
        <is>
          <t>configuração</t>
        </is>
      </c>
    </row>
    <row r="7635">
      <c r="A7635" s="198" t="inlineStr">
        <is>
          <t>custom.forma.7.area_personagem_classes_1_a_5</t>
        </is>
      </c>
      <c r="B7635" s="198">
        <f>IF(ISBLANK('CONFIGURAÇÃO'!$FC$173),"",'CONFIGURAÇÃO'!$FC$173&amp;"")</f>
        <v/>
      </c>
      <c r="C7635" s="198">
        <f>"'CONFIGURAÇÃO'!FC173"</f>
        <v/>
      </c>
      <c r="D7635" s="198" t="inlineStr">
        <is>
          <t>configuração</t>
        </is>
      </c>
    </row>
    <row r="7636">
      <c r="A7636" s="198" t="inlineStr">
        <is>
          <t>custom.forma.7.area_personagem_classes_6_e_7</t>
        </is>
      </c>
      <c r="B7636" s="198">
        <f>IF(ISBLANK('CONFIGURAÇÃO'!$FC$174),"",'CONFIGURAÇÃO'!$FC$174&amp;"")</f>
        <v/>
      </c>
      <c r="C7636" s="198">
        <f>"'CONFIGURAÇÃO'!FC174"</f>
        <v/>
      </c>
      <c r="D7636" s="198" t="inlineStr">
        <is>
          <t>configuração</t>
        </is>
      </c>
    </row>
    <row r="7637">
      <c r="A7637" s="198" t="inlineStr">
        <is>
          <t>custom.forma.7.area_entidade_classe_0</t>
        </is>
      </c>
      <c r="B7637" s="198">
        <f>IF(ISBLANK('CONFIGURAÇÃO'!$FC$175),"",'CONFIGURAÇÃO'!$FC$175&amp;"")</f>
        <v/>
      </c>
      <c r="C7637" s="198">
        <f>"'CONFIGURAÇÃO'!FC175"</f>
        <v/>
      </c>
      <c r="D7637" s="198" t="inlineStr">
        <is>
          <t>configuração</t>
        </is>
      </c>
    </row>
    <row r="7638">
      <c r="A7638" s="198" t="inlineStr">
        <is>
          <t>custom.forma.7.area_entidade_classes_1_a_5</t>
        </is>
      </c>
      <c r="B7638" s="198">
        <f>IF(ISBLANK('CONFIGURAÇÃO'!$FC$176),"",'CONFIGURAÇÃO'!$FC$176&amp;"")</f>
        <v/>
      </c>
      <c r="C7638" s="198">
        <f>"'CONFIGURAÇÃO'!FC176"</f>
        <v/>
      </c>
      <c r="D7638" s="198" t="inlineStr">
        <is>
          <t>configuração</t>
        </is>
      </c>
    </row>
    <row r="7639">
      <c r="A7639" s="198" t="inlineStr">
        <is>
          <t>custom.forma.7.area_entidade_classe_6</t>
        </is>
      </c>
      <c r="B7639" s="198">
        <f>IF(ISBLANK('CONFIGURAÇÃO'!$FC$177),"",'CONFIGURAÇÃO'!$FC$177&amp;"")</f>
        <v/>
      </c>
      <c r="C7639" s="198">
        <f>"'CONFIGURAÇÃO'!FC177"</f>
        <v/>
      </c>
      <c r="D7639" s="198" t="inlineStr">
        <is>
          <t>configuração</t>
        </is>
      </c>
    </row>
    <row r="7640">
      <c r="A7640" s="198" t="inlineStr">
        <is>
          <t>custom.forma.7.area_entidade_classe_7</t>
        </is>
      </c>
      <c r="B7640" s="198">
        <f>IF(ISBLANK('CONFIGURAÇÃO'!$FC$178),"",'CONFIGURAÇÃO'!$FC$178&amp;"")</f>
        <v/>
      </c>
      <c r="C7640" s="198">
        <f>"'CONFIGURAÇÃO'!FC178"</f>
        <v/>
      </c>
      <c r="D7640" s="198" t="inlineStr">
        <is>
          <t>configuração</t>
        </is>
      </c>
    </row>
    <row r="7641">
      <c r="A7641" s="198" t="inlineStr">
        <is>
          <t>custom.forma.8.tipo</t>
        </is>
      </c>
      <c r="B7641" s="198">
        <f>IF(ISBLANK('CONFIGURAÇÃO'!$FH$152),"",'CONFIGURAÇÃO'!$FH$152&amp;"")</f>
        <v/>
      </c>
      <c r="C7641" s="198">
        <f>"'CONFIGURAÇÃO'!FH152"</f>
        <v/>
      </c>
      <c r="D7641" s="198" t="inlineStr">
        <is>
          <t>configuração</t>
        </is>
      </c>
    </row>
    <row r="7642">
      <c r="A7642" s="198" t="inlineStr">
        <is>
          <t>custom.forma.8.nome</t>
        </is>
      </c>
      <c r="B7642" s="198">
        <f>IF(ISBLANK('CONFIGURAÇÃO'!$FH$154),"",'CONFIGURAÇÃO'!$FH$154&amp;"")</f>
        <v/>
      </c>
      <c r="C7642" s="198">
        <f>"'CONFIGURAÇÃO'!FH154"</f>
        <v/>
      </c>
      <c r="D7642" s="198" t="inlineStr">
        <is>
          <t>configuração</t>
        </is>
      </c>
    </row>
    <row r="7643">
      <c r="A7643" s="198" t="inlineStr">
        <is>
          <t>custom.forma.8.base</t>
        </is>
      </c>
      <c r="B7643" s="198">
        <f>IF(ISBLANK('CONFIGURAÇÃO'!$FK$155),"",'CONFIGURAÇÃO'!$FK$155&amp;"")</f>
        <v/>
      </c>
      <c r="C7643" s="198">
        <f>"'CONFIGURAÇÃO'!FK155"</f>
        <v/>
      </c>
      <c r="D7643" s="198" t="inlineStr">
        <is>
          <t>configuração</t>
        </is>
      </c>
    </row>
    <row r="7644">
      <c r="A7644" s="198" t="inlineStr">
        <is>
          <t>custom.forma.8.mestre_viu</t>
        </is>
      </c>
      <c r="B7644" s="198">
        <f>N('CONFIGURAÇÃO'!$FL$152)&amp;""</f>
        <v/>
      </c>
      <c r="C7644" s="198">
        <f>"'CONFIGURAÇÃO'!FL152"</f>
        <v/>
      </c>
      <c r="D7644" s="198" t="inlineStr">
        <is>
          <t>configuração</t>
        </is>
      </c>
    </row>
    <row r="7645">
      <c r="A7645" s="198" t="inlineStr">
        <is>
          <t>custom.forma.8.requisitos</t>
        </is>
      </c>
      <c r="B7645" s="198">
        <f>IF(ISBLANK('CONFIGURAÇÃO'!$FH$181),"",'CONFIGURAÇÃO'!$FH$181&amp;"")</f>
        <v/>
      </c>
      <c r="C7645" s="198">
        <f>"'CONFIGURAÇÃO'!FH181"</f>
        <v/>
      </c>
      <c r="D7645" s="198" t="inlineStr">
        <is>
          <t>configuração</t>
        </is>
      </c>
    </row>
    <row r="7646">
      <c r="A7646" s="198" t="inlineStr">
        <is>
          <t>custom.forma.8.efeito</t>
        </is>
      </c>
      <c r="B7646" s="198">
        <f>IF(ISBLANK('CONFIGURAÇÃO'!$FH$187),"",'CONFIGURAÇÃO'!$FH$187&amp;"")</f>
        <v/>
      </c>
      <c r="C7646" s="198">
        <f>"'CONFIGURAÇÃO'!FH187"</f>
        <v/>
      </c>
      <c r="D7646" s="198" t="inlineStr">
        <is>
          <t>configuração</t>
        </is>
      </c>
    </row>
    <row r="7647">
      <c r="A7647" s="198" t="inlineStr">
        <is>
          <t>custom.forma.8.familia</t>
        </is>
      </c>
      <c r="B7647" s="198">
        <f>IF(ISBLANK('CONFIGURAÇÃO'!$FK$156),"",'CONFIGURAÇÃO'!$FK$156&amp;"")</f>
        <v/>
      </c>
      <c r="C7647" s="198">
        <f>"'CONFIGURAÇÃO'!FK156"</f>
        <v/>
      </c>
      <c r="D7647" s="198" t="inlineStr">
        <is>
          <t>configuração</t>
        </is>
      </c>
    </row>
    <row r="7648">
      <c r="A7648" s="198" t="inlineStr">
        <is>
          <t>custom.forma.8.peso</t>
        </is>
      </c>
      <c r="B7648" s="198">
        <f>IF(ISBLANK('CONFIGURAÇÃO'!$FK$157),"",'CONFIGURAÇÃO'!$FK$157&amp;"")</f>
        <v/>
      </c>
      <c r="C7648" s="198">
        <f>"'CONFIGURAÇÃO'!FK157"</f>
        <v/>
      </c>
      <c r="D7648" s="198" t="inlineStr">
        <is>
          <t>configuração</t>
        </is>
      </c>
    </row>
    <row r="7649">
      <c r="A7649" s="198" t="inlineStr">
        <is>
          <t>custom.forma.8.resolucao</t>
        </is>
      </c>
      <c r="B7649" s="198">
        <f>IF(ISBLANK('CONFIGURAÇÃO'!$FK$158),"",'CONFIGURAÇÃO'!$FK$158&amp;"")</f>
        <v/>
      </c>
      <c r="C7649" s="198">
        <f>"'CONFIGURAÇÃO'!FK158"</f>
        <v/>
      </c>
      <c r="D7649" s="198" t="inlineStr">
        <is>
          <t>configuração</t>
        </is>
      </c>
    </row>
    <row r="7650">
      <c r="A7650" s="198" t="inlineStr">
        <is>
          <t>custom.forma.8.resultado</t>
        </is>
      </c>
      <c r="B7650" s="198">
        <f>IF(ISBLANK('CONFIGURAÇÃO'!$FK$159),"",'CONFIGURAÇÃO'!$FK$159&amp;"")</f>
        <v/>
      </c>
      <c r="C7650" s="198">
        <f>"'CONFIGURAÇÃO'!FK159"</f>
        <v/>
      </c>
      <c r="D7650" s="198" t="inlineStr">
        <is>
          <t>configuração</t>
        </is>
      </c>
    </row>
    <row r="7651">
      <c r="A7651" s="198" t="inlineStr">
        <is>
          <t>custom.forma.8.exige_tr</t>
        </is>
      </c>
      <c r="B7651" s="198">
        <f>IF(ISBLANK('CONFIGURAÇÃO'!$FK$160),"",'CONFIGURAÇÃO'!$FK$160&amp;"")</f>
        <v/>
      </c>
      <c r="C7651" s="198">
        <f>"'CONFIGURAÇÃO'!FK160"</f>
        <v/>
      </c>
      <c r="D7651" s="198" t="inlineStr">
        <is>
          <t>configuração</t>
        </is>
      </c>
    </row>
    <row r="7652">
      <c r="A7652" s="198" t="inlineStr">
        <is>
          <t>custom.forma.8.classe_zero</t>
        </is>
      </c>
      <c r="B7652" s="198">
        <f>IF(ISBLANK('CONFIGURAÇÃO'!$FK$161),"",'CONFIGURAÇÃO'!$FK$161&amp;"")</f>
        <v/>
      </c>
      <c r="C7652" s="198">
        <f>"'CONFIGURAÇÃO'!FK161"</f>
        <v/>
      </c>
      <c r="D7652" s="198" t="inlineStr">
        <is>
          <t>configuração</t>
        </is>
      </c>
    </row>
    <row r="7653">
      <c r="A7653" s="198" t="inlineStr">
        <is>
          <t>custom.forma.8.restricao_embutida</t>
        </is>
      </c>
      <c r="B7653" s="198">
        <f>IF(ISBLANK('CONFIGURAÇÃO'!$FK$162),"",'CONFIGURAÇÃO'!$FK$162&amp;"")</f>
        <v/>
      </c>
      <c r="C7653" s="198">
        <f>"'CONFIGURAÇÃO'!FK162"</f>
        <v/>
      </c>
      <c r="D7653" s="198" t="inlineStr">
        <is>
          <t>configuração</t>
        </is>
      </c>
    </row>
    <row r="7654">
      <c r="A7654" s="198" t="inlineStr">
        <is>
          <t>custom.forma.8.alcance_escada</t>
        </is>
      </c>
      <c r="B7654" s="198">
        <f>IF(ISBLANK('CONFIGURAÇÃO'!$FK$163),"",'CONFIGURAÇÃO'!$FK$163&amp;"")</f>
        <v/>
      </c>
      <c r="C7654" s="198">
        <f>"'CONFIGURAÇÃO'!FK163"</f>
        <v/>
      </c>
      <c r="D7654" s="198" t="inlineStr">
        <is>
          <t>configuração</t>
        </is>
      </c>
    </row>
    <row r="7655">
      <c r="A7655" s="198" t="inlineStr">
        <is>
          <t>custom.forma.8.area_escada</t>
        </is>
      </c>
      <c r="B7655" s="198">
        <f>IF(ISBLANK('CONFIGURAÇÃO'!$FK$164),"",'CONFIGURAÇÃO'!$FK$164&amp;"")</f>
        <v/>
      </c>
      <c r="C7655" s="198">
        <f>"'CONFIGURAÇÃO'!FK164"</f>
        <v/>
      </c>
      <c r="D7655" s="198" t="inlineStr">
        <is>
          <t>configuração</t>
        </is>
      </c>
    </row>
    <row r="7656">
      <c r="A7656" s="198" t="inlineStr">
        <is>
          <t>custom.forma.8.alcance_personagem_classe_0</t>
        </is>
      </c>
      <c r="B7656" s="198">
        <f>IF(ISBLANK('CONFIGURAÇÃO'!$FK$165),"",'CONFIGURAÇÃO'!$FK$165&amp;"")</f>
        <v/>
      </c>
      <c r="C7656" s="198">
        <f>"'CONFIGURAÇÃO'!FK165"</f>
        <v/>
      </c>
      <c r="D7656" s="198" t="inlineStr">
        <is>
          <t>configuração</t>
        </is>
      </c>
    </row>
    <row r="7657">
      <c r="A7657" s="198" t="inlineStr">
        <is>
          <t>custom.forma.8.alcance_personagem_classes_1_a_5</t>
        </is>
      </c>
      <c r="B7657" s="198">
        <f>IF(ISBLANK('CONFIGURAÇÃO'!$FK$166),"",'CONFIGURAÇÃO'!$FK$166&amp;"")</f>
        <v/>
      </c>
      <c r="C7657" s="198">
        <f>"'CONFIGURAÇÃO'!FK166"</f>
        <v/>
      </c>
      <c r="D7657" s="198" t="inlineStr">
        <is>
          <t>configuração</t>
        </is>
      </c>
    </row>
    <row r="7658">
      <c r="A7658" s="198" t="inlineStr">
        <is>
          <t>custom.forma.8.alcance_personagem_classes_6_e_7</t>
        </is>
      </c>
      <c r="B7658" s="198">
        <f>IF(ISBLANK('CONFIGURAÇÃO'!$FK$167),"",'CONFIGURAÇÃO'!$FK$167&amp;"")</f>
        <v/>
      </c>
      <c r="C7658" s="198">
        <f>"'CONFIGURAÇÃO'!FK167"</f>
        <v/>
      </c>
      <c r="D7658" s="198" t="inlineStr">
        <is>
          <t>configuração</t>
        </is>
      </c>
    </row>
    <row r="7659">
      <c r="A7659" s="198" t="inlineStr">
        <is>
          <t>custom.forma.8.alcance_entidade_classe_0</t>
        </is>
      </c>
      <c r="B7659" s="198">
        <f>IF(ISBLANK('CONFIGURAÇÃO'!$FK$168),"",'CONFIGURAÇÃO'!$FK$168&amp;"")</f>
        <v/>
      </c>
      <c r="C7659" s="198">
        <f>"'CONFIGURAÇÃO'!FK168"</f>
        <v/>
      </c>
      <c r="D7659" s="198" t="inlineStr">
        <is>
          <t>configuração</t>
        </is>
      </c>
    </row>
    <row r="7660">
      <c r="A7660" s="198" t="inlineStr">
        <is>
          <t>custom.forma.8.alcance_entidade_classes_1_a_5</t>
        </is>
      </c>
      <c r="B7660" s="198">
        <f>IF(ISBLANK('CONFIGURAÇÃO'!$FK$169),"",'CONFIGURAÇÃO'!$FK$169&amp;"")</f>
        <v/>
      </c>
      <c r="C7660" s="198">
        <f>"'CONFIGURAÇÃO'!FK169"</f>
        <v/>
      </c>
      <c r="D7660" s="198" t="inlineStr">
        <is>
          <t>configuração</t>
        </is>
      </c>
    </row>
    <row r="7661">
      <c r="A7661" s="198" t="inlineStr">
        <is>
          <t>custom.forma.8.alcance_entidade_classe_6</t>
        </is>
      </c>
      <c r="B7661" s="198">
        <f>IF(ISBLANK('CONFIGURAÇÃO'!$FK$170),"",'CONFIGURAÇÃO'!$FK$170&amp;"")</f>
        <v/>
      </c>
      <c r="C7661" s="198">
        <f>"'CONFIGURAÇÃO'!FK170"</f>
        <v/>
      </c>
      <c r="D7661" s="198" t="inlineStr">
        <is>
          <t>configuração</t>
        </is>
      </c>
    </row>
    <row r="7662">
      <c r="A7662" s="198" t="inlineStr">
        <is>
          <t>custom.forma.8.alcance_entidade_classe_7</t>
        </is>
      </c>
      <c r="B7662" s="198">
        <f>IF(ISBLANK('CONFIGURAÇÃO'!$FK$171),"",'CONFIGURAÇÃO'!$FK$171&amp;"")</f>
        <v/>
      </c>
      <c r="C7662" s="198">
        <f>"'CONFIGURAÇÃO'!FK171"</f>
        <v/>
      </c>
      <c r="D7662" s="198" t="inlineStr">
        <is>
          <t>configuração</t>
        </is>
      </c>
    </row>
    <row r="7663">
      <c r="A7663" s="198" t="inlineStr">
        <is>
          <t>custom.forma.8.area_personagem_classe_0</t>
        </is>
      </c>
      <c r="B7663" s="198">
        <f>IF(ISBLANK('CONFIGURAÇÃO'!$FK$172),"",'CONFIGURAÇÃO'!$FK$172&amp;"")</f>
        <v/>
      </c>
      <c r="C7663" s="198">
        <f>"'CONFIGURAÇÃO'!FK172"</f>
        <v/>
      </c>
      <c r="D7663" s="198" t="inlineStr">
        <is>
          <t>configuração</t>
        </is>
      </c>
    </row>
    <row r="7664">
      <c r="A7664" s="198" t="inlineStr">
        <is>
          <t>custom.forma.8.area_personagem_classes_1_a_5</t>
        </is>
      </c>
      <c r="B7664" s="198">
        <f>IF(ISBLANK('CONFIGURAÇÃO'!$FK$173),"",'CONFIGURAÇÃO'!$FK$173&amp;"")</f>
        <v/>
      </c>
      <c r="C7664" s="198">
        <f>"'CONFIGURAÇÃO'!FK173"</f>
        <v/>
      </c>
      <c r="D7664" s="198" t="inlineStr">
        <is>
          <t>configuração</t>
        </is>
      </c>
    </row>
    <row r="7665">
      <c r="A7665" s="198" t="inlineStr">
        <is>
          <t>custom.forma.8.area_personagem_classes_6_e_7</t>
        </is>
      </c>
      <c r="B7665" s="198">
        <f>IF(ISBLANK('CONFIGURAÇÃO'!$FK$174),"",'CONFIGURAÇÃO'!$FK$174&amp;"")</f>
        <v/>
      </c>
      <c r="C7665" s="198">
        <f>"'CONFIGURAÇÃO'!FK174"</f>
        <v/>
      </c>
      <c r="D7665" s="198" t="inlineStr">
        <is>
          <t>configuração</t>
        </is>
      </c>
    </row>
    <row r="7666">
      <c r="A7666" s="198" t="inlineStr">
        <is>
          <t>custom.forma.8.area_entidade_classe_0</t>
        </is>
      </c>
      <c r="B7666" s="198">
        <f>IF(ISBLANK('CONFIGURAÇÃO'!$FK$175),"",'CONFIGURAÇÃO'!$FK$175&amp;"")</f>
        <v/>
      </c>
      <c r="C7666" s="198">
        <f>"'CONFIGURAÇÃO'!FK175"</f>
        <v/>
      </c>
      <c r="D7666" s="198" t="inlineStr">
        <is>
          <t>configuração</t>
        </is>
      </c>
    </row>
    <row r="7667">
      <c r="A7667" s="198" t="inlineStr">
        <is>
          <t>custom.forma.8.area_entidade_classes_1_a_5</t>
        </is>
      </c>
      <c r="B7667" s="198">
        <f>IF(ISBLANK('CONFIGURAÇÃO'!$FK$176),"",'CONFIGURAÇÃO'!$FK$176&amp;"")</f>
        <v/>
      </c>
      <c r="C7667" s="198">
        <f>"'CONFIGURAÇÃO'!FK176"</f>
        <v/>
      </c>
      <c r="D7667" s="198" t="inlineStr">
        <is>
          <t>configuração</t>
        </is>
      </c>
    </row>
    <row r="7668">
      <c r="A7668" s="198" t="inlineStr">
        <is>
          <t>custom.forma.8.area_entidade_classe_6</t>
        </is>
      </c>
      <c r="B7668" s="198">
        <f>IF(ISBLANK('CONFIGURAÇÃO'!$FK$177),"",'CONFIGURAÇÃO'!$FK$177&amp;"")</f>
        <v/>
      </c>
      <c r="C7668" s="198">
        <f>"'CONFIGURAÇÃO'!FK177"</f>
        <v/>
      </c>
      <c r="D7668" s="198" t="inlineStr">
        <is>
          <t>configuração</t>
        </is>
      </c>
    </row>
    <row r="7669">
      <c r="A7669" s="198" t="inlineStr">
        <is>
          <t>custom.forma.8.area_entidade_classe_7</t>
        </is>
      </c>
      <c r="B7669" s="198">
        <f>IF(ISBLANK('CONFIGURAÇÃO'!$FK$178),"",'CONFIGURAÇÃO'!$FK$178&amp;"")</f>
        <v/>
      </c>
      <c r="C7669" s="198">
        <f>"'CONFIGURAÇÃO'!FK178"</f>
        <v/>
      </c>
      <c r="D7669" s="198" t="inlineStr">
        <is>
          <t>configuração</t>
        </is>
      </c>
    </row>
    <row r="7670">
      <c r="A7670" s="198" t="inlineStr">
        <is>
          <t>custom.forma.9.tipo</t>
        </is>
      </c>
      <c r="B7670" s="198">
        <f>IF(ISBLANK('CONFIGURAÇÃO'!$EZ$198),"",'CONFIGURAÇÃO'!$EZ$198&amp;"")</f>
        <v/>
      </c>
      <c r="C7670" s="198">
        <f>"'CONFIGURAÇÃO'!EZ198"</f>
        <v/>
      </c>
      <c r="D7670" s="198" t="inlineStr">
        <is>
          <t>configuração</t>
        </is>
      </c>
    </row>
    <row r="7671">
      <c r="A7671" s="198" t="inlineStr">
        <is>
          <t>custom.forma.9.nome</t>
        </is>
      </c>
      <c r="B7671" s="198">
        <f>IF(ISBLANK('CONFIGURAÇÃO'!$EZ$200),"",'CONFIGURAÇÃO'!$EZ$200&amp;"")</f>
        <v/>
      </c>
      <c r="C7671" s="198">
        <f>"'CONFIGURAÇÃO'!EZ200"</f>
        <v/>
      </c>
      <c r="D7671" s="198" t="inlineStr">
        <is>
          <t>configuração</t>
        </is>
      </c>
    </row>
    <row r="7672">
      <c r="A7672" s="198" t="inlineStr">
        <is>
          <t>custom.forma.9.base</t>
        </is>
      </c>
      <c r="B7672" s="198">
        <f>IF(ISBLANK('CONFIGURAÇÃO'!$FC$201),"",'CONFIGURAÇÃO'!$FC$201&amp;"")</f>
        <v/>
      </c>
      <c r="C7672" s="198">
        <f>"'CONFIGURAÇÃO'!FC201"</f>
        <v/>
      </c>
      <c r="D7672" s="198" t="inlineStr">
        <is>
          <t>configuração</t>
        </is>
      </c>
    </row>
    <row r="7673">
      <c r="A7673" s="198" t="inlineStr">
        <is>
          <t>custom.forma.9.mestre_viu</t>
        </is>
      </c>
      <c r="B7673" s="198">
        <f>N('CONFIGURAÇÃO'!$FD$198)&amp;""</f>
        <v/>
      </c>
      <c r="C7673" s="198">
        <f>"'CONFIGURAÇÃO'!FD198"</f>
        <v/>
      </c>
      <c r="D7673" s="198" t="inlineStr">
        <is>
          <t>configuração</t>
        </is>
      </c>
    </row>
    <row r="7674">
      <c r="A7674" s="198" t="inlineStr">
        <is>
          <t>custom.forma.9.requisitos</t>
        </is>
      </c>
      <c r="B7674" s="198">
        <f>IF(ISBLANK('CONFIGURAÇÃO'!$EZ$227),"",'CONFIGURAÇÃO'!$EZ$227&amp;"")</f>
        <v/>
      </c>
      <c r="C7674" s="198">
        <f>"'CONFIGURAÇÃO'!EZ227"</f>
        <v/>
      </c>
      <c r="D7674" s="198" t="inlineStr">
        <is>
          <t>configuração</t>
        </is>
      </c>
    </row>
    <row r="7675">
      <c r="A7675" s="198" t="inlineStr">
        <is>
          <t>custom.forma.9.efeito</t>
        </is>
      </c>
      <c r="B7675" s="198">
        <f>IF(ISBLANK('CONFIGURAÇÃO'!$EZ$233),"",'CONFIGURAÇÃO'!$EZ$233&amp;"")</f>
        <v/>
      </c>
      <c r="C7675" s="198">
        <f>"'CONFIGURAÇÃO'!EZ233"</f>
        <v/>
      </c>
      <c r="D7675" s="198" t="inlineStr">
        <is>
          <t>configuração</t>
        </is>
      </c>
    </row>
    <row r="7676">
      <c r="A7676" s="198" t="inlineStr">
        <is>
          <t>custom.forma.9.familia</t>
        </is>
      </c>
      <c r="B7676" s="198">
        <f>IF(ISBLANK('CONFIGURAÇÃO'!$FC$202),"",'CONFIGURAÇÃO'!$FC$202&amp;"")</f>
        <v/>
      </c>
      <c r="C7676" s="198">
        <f>"'CONFIGURAÇÃO'!FC202"</f>
        <v/>
      </c>
      <c r="D7676" s="198" t="inlineStr">
        <is>
          <t>configuração</t>
        </is>
      </c>
    </row>
    <row r="7677">
      <c r="A7677" s="198" t="inlineStr">
        <is>
          <t>custom.forma.9.peso</t>
        </is>
      </c>
      <c r="B7677" s="198">
        <f>IF(ISBLANK('CONFIGURAÇÃO'!$FC$203),"",'CONFIGURAÇÃO'!$FC$203&amp;"")</f>
        <v/>
      </c>
      <c r="C7677" s="198">
        <f>"'CONFIGURAÇÃO'!FC203"</f>
        <v/>
      </c>
      <c r="D7677" s="198" t="inlineStr">
        <is>
          <t>configuração</t>
        </is>
      </c>
    </row>
    <row r="7678">
      <c r="A7678" s="198" t="inlineStr">
        <is>
          <t>custom.forma.9.resolucao</t>
        </is>
      </c>
      <c r="B7678" s="198">
        <f>IF(ISBLANK('CONFIGURAÇÃO'!$FC$204),"",'CONFIGURAÇÃO'!$FC$204&amp;"")</f>
        <v/>
      </c>
      <c r="C7678" s="198">
        <f>"'CONFIGURAÇÃO'!FC204"</f>
        <v/>
      </c>
      <c r="D7678" s="198" t="inlineStr">
        <is>
          <t>configuração</t>
        </is>
      </c>
    </row>
    <row r="7679">
      <c r="A7679" s="198" t="inlineStr">
        <is>
          <t>custom.forma.9.resultado</t>
        </is>
      </c>
      <c r="B7679" s="198">
        <f>IF(ISBLANK('CONFIGURAÇÃO'!$FC$205),"",'CONFIGURAÇÃO'!$FC$205&amp;"")</f>
        <v/>
      </c>
      <c r="C7679" s="198">
        <f>"'CONFIGURAÇÃO'!FC205"</f>
        <v/>
      </c>
      <c r="D7679" s="198" t="inlineStr">
        <is>
          <t>configuração</t>
        </is>
      </c>
    </row>
    <row r="7680">
      <c r="A7680" s="198" t="inlineStr">
        <is>
          <t>custom.forma.9.exige_tr</t>
        </is>
      </c>
      <c r="B7680" s="198">
        <f>IF(ISBLANK('CONFIGURAÇÃO'!$FC$206),"",'CONFIGURAÇÃO'!$FC$206&amp;"")</f>
        <v/>
      </c>
      <c r="C7680" s="198">
        <f>"'CONFIGURAÇÃO'!FC206"</f>
        <v/>
      </c>
      <c r="D7680" s="198" t="inlineStr">
        <is>
          <t>configuração</t>
        </is>
      </c>
    </row>
    <row r="7681">
      <c r="A7681" s="198" t="inlineStr">
        <is>
          <t>custom.forma.9.classe_zero</t>
        </is>
      </c>
      <c r="B7681" s="198">
        <f>IF(ISBLANK('CONFIGURAÇÃO'!$FC$207),"",'CONFIGURAÇÃO'!$FC$207&amp;"")</f>
        <v/>
      </c>
      <c r="C7681" s="198">
        <f>"'CONFIGURAÇÃO'!FC207"</f>
        <v/>
      </c>
      <c r="D7681" s="198" t="inlineStr">
        <is>
          <t>configuração</t>
        </is>
      </c>
    </row>
    <row r="7682">
      <c r="A7682" s="198" t="inlineStr">
        <is>
          <t>custom.forma.9.restricao_embutida</t>
        </is>
      </c>
      <c r="B7682" s="198">
        <f>IF(ISBLANK('CONFIGURAÇÃO'!$FC$208),"",'CONFIGURAÇÃO'!$FC$208&amp;"")</f>
        <v/>
      </c>
      <c r="C7682" s="198">
        <f>"'CONFIGURAÇÃO'!FC208"</f>
        <v/>
      </c>
      <c r="D7682" s="198" t="inlineStr">
        <is>
          <t>configuração</t>
        </is>
      </c>
    </row>
    <row r="7683">
      <c r="A7683" s="198" t="inlineStr">
        <is>
          <t>custom.forma.9.alcance_escada</t>
        </is>
      </c>
      <c r="B7683" s="198">
        <f>IF(ISBLANK('CONFIGURAÇÃO'!$FC$209),"",'CONFIGURAÇÃO'!$FC$209&amp;"")</f>
        <v/>
      </c>
      <c r="C7683" s="198">
        <f>"'CONFIGURAÇÃO'!FC209"</f>
        <v/>
      </c>
      <c r="D7683" s="198" t="inlineStr">
        <is>
          <t>configuração</t>
        </is>
      </c>
    </row>
    <row r="7684">
      <c r="A7684" s="198" t="inlineStr">
        <is>
          <t>custom.forma.9.area_escada</t>
        </is>
      </c>
      <c r="B7684" s="198">
        <f>IF(ISBLANK('CONFIGURAÇÃO'!$FC$210),"",'CONFIGURAÇÃO'!$FC$210&amp;"")</f>
        <v/>
      </c>
      <c r="C7684" s="198">
        <f>"'CONFIGURAÇÃO'!FC210"</f>
        <v/>
      </c>
      <c r="D7684" s="198" t="inlineStr">
        <is>
          <t>configuração</t>
        </is>
      </c>
    </row>
    <row r="7685">
      <c r="A7685" s="198" t="inlineStr">
        <is>
          <t>custom.forma.9.alcance_personagem_classe_0</t>
        </is>
      </c>
      <c r="B7685" s="198">
        <f>IF(ISBLANK('CONFIGURAÇÃO'!$FC$211),"",'CONFIGURAÇÃO'!$FC$211&amp;"")</f>
        <v/>
      </c>
      <c r="C7685" s="198">
        <f>"'CONFIGURAÇÃO'!FC211"</f>
        <v/>
      </c>
      <c r="D7685" s="198" t="inlineStr">
        <is>
          <t>configuração</t>
        </is>
      </c>
    </row>
    <row r="7686">
      <c r="A7686" s="198" t="inlineStr">
        <is>
          <t>custom.forma.9.alcance_personagem_classes_1_a_5</t>
        </is>
      </c>
      <c r="B7686" s="198">
        <f>IF(ISBLANK('CONFIGURAÇÃO'!$FC$212),"",'CONFIGURAÇÃO'!$FC$212&amp;"")</f>
        <v/>
      </c>
      <c r="C7686" s="198">
        <f>"'CONFIGURAÇÃO'!FC212"</f>
        <v/>
      </c>
      <c r="D7686" s="198" t="inlineStr">
        <is>
          <t>configuração</t>
        </is>
      </c>
    </row>
    <row r="7687">
      <c r="A7687" s="198" t="inlineStr">
        <is>
          <t>custom.forma.9.alcance_personagem_classes_6_e_7</t>
        </is>
      </c>
      <c r="B7687" s="198">
        <f>IF(ISBLANK('CONFIGURAÇÃO'!$FC$213),"",'CONFIGURAÇÃO'!$FC$213&amp;"")</f>
        <v/>
      </c>
      <c r="C7687" s="198">
        <f>"'CONFIGURAÇÃO'!FC213"</f>
        <v/>
      </c>
      <c r="D7687" s="198" t="inlineStr">
        <is>
          <t>configuração</t>
        </is>
      </c>
    </row>
    <row r="7688">
      <c r="A7688" s="198" t="inlineStr">
        <is>
          <t>custom.forma.9.alcance_entidade_classe_0</t>
        </is>
      </c>
      <c r="B7688" s="198">
        <f>IF(ISBLANK('CONFIGURAÇÃO'!$FC$214),"",'CONFIGURAÇÃO'!$FC$214&amp;"")</f>
        <v/>
      </c>
      <c r="C7688" s="198">
        <f>"'CONFIGURAÇÃO'!FC214"</f>
        <v/>
      </c>
      <c r="D7688" s="198" t="inlineStr">
        <is>
          <t>configuração</t>
        </is>
      </c>
    </row>
    <row r="7689">
      <c r="A7689" s="198" t="inlineStr">
        <is>
          <t>custom.forma.9.alcance_entidade_classes_1_a_5</t>
        </is>
      </c>
      <c r="B7689" s="198">
        <f>IF(ISBLANK('CONFIGURAÇÃO'!$FC$215),"",'CONFIGURAÇÃO'!$FC$215&amp;"")</f>
        <v/>
      </c>
      <c r="C7689" s="198">
        <f>"'CONFIGURAÇÃO'!FC215"</f>
        <v/>
      </c>
      <c r="D7689" s="198" t="inlineStr">
        <is>
          <t>configuração</t>
        </is>
      </c>
    </row>
    <row r="7690">
      <c r="A7690" s="198" t="inlineStr">
        <is>
          <t>custom.forma.9.alcance_entidade_classe_6</t>
        </is>
      </c>
      <c r="B7690" s="198">
        <f>IF(ISBLANK('CONFIGURAÇÃO'!$FC$216),"",'CONFIGURAÇÃO'!$FC$216&amp;"")</f>
        <v/>
      </c>
      <c r="C7690" s="198">
        <f>"'CONFIGURAÇÃO'!FC216"</f>
        <v/>
      </c>
      <c r="D7690" s="198" t="inlineStr">
        <is>
          <t>configuração</t>
        </is>
      </c>
    </row>
    <row r="7691">
      <c r="A7691" s="198" t="inlineStr">
        <is>
          <t>custom.forma.9.alcance_entidade_classe_7</t>
        </is>
      </c>
      <c r="B7691" s="198">
        <f>IF(ISBLANK('CONFIGURAÇÃO'!$FC$217),"",'CONFIGURAÇÃO'!$FC$217&amp;"")</f>
        <v/>
      </c>
      <c r="C7691" s="198">
        <f>"'CONFIGURAÇÃO'!FC217"</f>
        <v/>
      </c>
      <c r="D7691" s="198" t="inlineStr">
        <is>
          <t>configuração</t>
        </is>
      </c>
    </row>
    <row r="7692">
      <c r="A7692" s="198" t="inlineStr">
        <is>
          <t>custom.forma.9.area_personagem_classe_0</t>
        </is>
      </c>
      <c r="B7692" s="198">
        <f>IF(ISBLANK('CONFIGURAÇÃO'!$FC$218),"",'CONFIGURAÇÃO'!$FC$218&amp;"")</f>
        <v/>
      </c>
      <c r="C7692" s="198">
        <f>"'CONFIGURAÇÃO'!FC218"</f>
        <v/>
      </c>
      <c r="D7692" s="198" t="inlineStr">
        <is>
          <t>configuração</t>
        </is>
      </c>
    </row>
    <row r="7693">
      <c r="A7693" s="198" t="inlineStr">
        <is>
          <t>custom.forma.9.area_personagem_classes_1_a_5</t>
        </is>
      </c>
      <c r="B7693" s="198">
        <f>IF(ISBLANK('CONFIGURAÇÃO'!$FC$219),"",'CONFIGURAÇÃO'!$FC$219&amp;"")</f>
        <v/>
      </c>
      <c r="C7693" s="198">
        <f>"'CONFIGURAÇÃO'!FC219"</f>
        <v/>
      </c>
      <c r="D7693" s="198" t="inlineStr">
        <is>
          <t>configuração</t>
        </is>
      </c>
    </row>
    <row r="7694">
      <c r="A7694" s="198" t="inlineStr">
        <is>
          <t>custom.forma.9.area_personagem_classes_6_e_7</t>
        </is>
      </c>
      <c r="B7694" s="198">
        <f>IF(ISBLANK('CONFIGURAÇÃO'!$FC$220),"",'CONFIGURAÇÃO'!$FC$220&amp;"")</f>
        <v/>
      </c>
      <c r="C7694" s="198">
        <f>"'CONFIGURAÇÃO'!FC220"</f>
        <v/>
      </c>
      <c r="D7694" s="198" t="inlineStr">
        <is>
          <t>configuração</t>
        </is>
      </c>
    </row>
    <row r="7695">
      <c r="A7695" s="198" t="inlineStr">
        <is>
          <t>custom.forma.9.area_entidade_classe_0</t>
        </is>
      </c>
      <c r="B7695" s="198">
        <f>IF(ISBLANK('CONFIGURAÇÃO'!$FC$221),"",'CONFIGURAÇÃO'!$FC$221&amp;"")</f>
        <v/>
      </c>
      <c r="C7695" s="198">
        <f>"'CONFIGURAÇÃO'!FC221"</f>
        <v/>
      </c>
      <c r="D7695" s="198" t="inlineStr">
        <is>
          <t>configuração</t>
        </is>
      </c>
    </row>
    <row r="7696">
      <c r="A7696" s="198" t="inlineStr">
        <is>
          <t>custom.forma.9.area_entidade_classes_1_a_5</t>
        </is>
      </c>
      <c r="B7696" s="198">
        <f>IF(ISBLANK('CONFIGURAÇÃO'!$FC$222),"",'CONFIGURAÇÃO'!$FC$222&amp;"")</f>
        <v/>
      </c>
      <c r="C7696" s="198">
        <f>"'CONFIGURAÇÃO'!FC222"</f>
        <v/>
      </c>
      <c r="D7696" s="198" t="inlineStr">
        <is>
          <t>configuração</t>
        </is>
      </c>
    </row>
    <row r="7697">
      <c r="A7697" s="198" t="inlineStr">
        <is>
          <t>custom.forma.9.area_entidade_classe_6</t>
        </is>
      </c>
      <c r="B7697" s="198">
        <f>IF(ISBLANK('CONFIGURAÇÃO'!$FC$223),"",'CONFIGURAÇÃO'!$FC$223&amp;"")</f>
        <v/>
      </c>
      <c r="C7697" s="198">
        <f>"'CONFIGURAÇÃO'!FC223"</f>
        <v/>
      </c>
      <c r="D7697" s="198" t="inlineStr">
        <is>
          <t>configuração</t>
        </is>
      </c>
    </row>
    <row r="7698">
      <c r="A7698" s="198" t="inlineStr">
        <is>
          <t>custom.forma.9.area_entidade_classe_7</t>
        </is>
      </c>
      <c r="B7698" s="198">
        <f>IF(ISBLANK('CONFIGURAÇÃO'!$FC$224),"",'CONFIGURAÇÃO'!$FC$224&amp;"")</f>
        <v/>
      </c>
      <c r="C7698" s="198">
        <f>"'CONFIGURAÇÃO'!FC224"</f>
        <v/>
      </c>
      <c r="D7698" s="198" t="inlineStr">
        <is>
          <t>configuração</t>
        </is>
      </c>
    </row>
    <row r="7699">
      <c r="A7699" s="198" t="inlineStr">
        <is>
          <t>custom.forma.10.tipo</t>
        </is>
      </c>
      <c r="B7699" s="198">
        <f>IF(ISBLANK('CONFIGURAÇÃO'!$FH$198),"",'CONFIGURAÇÃO'!$FH$198&amp;"")</f>
        <v/>
      </c>
      <c r="C7699" s="198">
        <f>"'CONFIGURAÇÃO'!FH198"</f>
        <v/>
      </c>
      <c r="D7699" s="198" t="inlineStr">
        <is>
          <t>configuração</t>
        </is>
      </c>
    </row>
    <row r="7700">
      <c r="A7700" s="198" t="inlineStr">
        <is>
          <t>custom.forma.10.nome</t>
        </is>
      </c>
      <c r="B7700" s="198">
        <f>IF(ISBLANK('CONFIGURAÇÃO'!$FH$200),"",'CONFIGURAÇÃO'!$FH$200&amp;"")</f>
        <v/>
      </c>
      <c r="C7700" s="198">
        <f>"'CONFIGURAÇÃO'!FH200"</f>
        <v/>
      </c>
      <c r="D7700" s="198" t="inlineStr">
        <is>
          <t>configuração</t>
        </is>
      </c>
    </row>
    <row r="7701">
      <c r="A7701" s="198" t="inlineStr">
        <is>
          <t>custom.forma.10.base</t>
        </is>
      </c>
      <c r="B7701" s="198">
        <f>IF(ISBLANK('CONFIGURAÇÃO'!$FK$201),"",'CONFIGURAÇÃO'!$FK$201&amp;"")</f>
        <v/>
      </c>
      <c r="C7701" s="198">
        <f>"'CONFIGURAÇÃO'!FK201"</f>
        <v/>
      </c>
      <c r="D7701" s="198" t="inlineStr">
        <is>
          <t>configuração</t>
        </is>
      </c>
    </row>
    <row r="7702">
      <c r="A7702" s="198" t="inlineStr">
        <is>
          <t>custom.forma.10.mestre_viu</t>
        </is>
      </c>
      <c r="B7702" s="198">
        <f>N('CONFIGURAÇÃO'!$FL$198)&amp;""</f>
        <v/>
      </c>
      <c r="C7702" s="198">
        <f>"'CONFIGURAÇÃO'!FL198"</f>
        <v/>
      </c>
      <c r="D7702" s="198" t="inlineStr">
        <is>
          <t>configuração</t>
        </is>
      </c>
    </row>
    <row r="7703">
      <c r="A7703" s="198" t="inlineStr">
        <is>
          <t>custom.forma.10.requisitos</t>
        </is>
      </c>
      <c r="B7703" s="198">
        <f>IF(ISBLANK('CONFIGURAÇÃO'!$FH$227),"",'CONFIGURAÇÃO'!$FH$227&amp;"")</f>
        <v/>
      </c>
      <c r="C7703" s="198">
        <f>"'CONFIGURAÇÃO'!FH227"</f>
        <v/>
      </c>
      <c r="D7703" s="198" t="inlineStr">
        <is>
          <t>configuração</t>
        </is>
      </c>
    </row>
    <row r="7704">
      <c r="A7704" s="198" t="inlineStr">
        <is>
          <t>custom.forma.10.efeito</t>
        </is>
      </c>
      <c r="B7704" s="198">
        <f>IF(ISBLANK('CONFIGURAÇÃO'!$FH$233),"",'CONFIGURAÇÃO'!$FH$233&amp;"")</f>
        <v/>
      </c>
      <c r="C7704" s="198">
        <f>"'CONFIGURAÇÃO'!FH233"</f>
        <v/>
      </c>
      <c r="D7704" s="198" t="inlineStr">
        <is>
          <t>configuração</t>
        </is>
      </c>
    </row>
    <row r="7705">
      <c r="A7705" s="198" t="inlineStr">
        <is>
          <t>custom.forma.10.familia</t>
        </is>
      </c>
      <c r="B7705" s="198">
        <f>IF(ISBLANK('CONFIGURAÇÃO'!$FK$202),"",'CONFIGURAÇÃO'!$FK$202&amp;"")</f>
        <v/>
      </c>
      <c r="C7705" s="198">
        <f>"'CONFIGURAÇÃO'!FK202"</f>
        <v/>
      </c>
      <c r="D7705" s="198" t="inlineStr">
        <is>
          <t>configuração</t>
        </is>
      </c>
    </row>
    <row r="7706">
      <c r="A7706" s="198" t="inlineStr">
        <is>
          <t>custom.forma.10.peso</t>
        </is>
      </c>
      <c r="B7706" s="198">
        <f>IF(ISBLANK('CONFIGURAÇÃO'!$FK$203),"",'CONFIGURAÇÃO'!$FK$203&amp;"")</f>
        <v/>
      </c>
      <c r="C7706" s="198">
        <f>"'CONFIGURAÇÃO'!FK203"</f>
        <v/>
      </c>
      <c r="D7706" s="198" t="inlineStr">
        <is>
          <t>configuração</t>
        </is>
      </c>
    </row>
    <row r="7707">
      <c r="A7707" s="198" t="inlineStr">
        <is>
          <t>custom.forma.10.resolucao</t>
        </is>
      </c>
      <c r="B7707" s="198">
        <f>IF(ISBLANK('CONFIGURAÇÃO'!$FK$204),"",'CONFIGURAÇÃO'!$FK$204&amp;"")</f>
        <v/>
      </c>
      <c r="C7707" s="198">
        <f>"'CONFIGURAÇÃO'!FK204"</f>
        <v/>
      </c>
      <c r="D7707" s="198" t="inlineStr">
        <is>
          <t>configuração</t>
        </is>
      </c>
    </row>
    <row r="7708">
      <c r="A7708" s="198" t="inlineStr">
        <is>
          <t>custom.forma.10.resultado</t>
        </is>
      </c>
      <c r="B7708" s="198">
        <f>IF(ISBLANK('CONFIGURAÇÃO'!$FK$205),"",'CONFIGURAÇÃO'!$FK$205&amp;"")</f>
        <v/>
      </c>
      <c r="C7708" s="198">
        <f>"'CONFIGURAÇÃO'!FK205"</f>
        <v/>
      </c>
      <c r="D7708" s="198" t="inlineStr">
        <is>
          <t>configuração</t>
        </is>
      </c>
    </row>
    <row r="7709">
      <c r="A7709" s="198" t="inlineStr">
        <is>
          <t>custom.forma.10.exige_tr</t>
        </is>
      </c>
      <c r="B7709" s="198">
        <f>IF(ISBLANK('CONFIGURAÇÃO'!$FK$206),"",'CONFIGURAÇÃO'!$FK$206&amp;"")</f>
        <v/>
      </c>
      <c r="C7709" s="198">
        <f>"'CONFIGURAÇÃO'!FK206"</f>
        <v/>
      </c>
      <c r="D7709" s="198" t="inlineStr">
        <is>
          <t>configuração</t>
        </is>
      </c>
    </row>
    <row r="7710">
      <c r="A7710" s="198" t="inlineStr">
        <is>
          <t>custom.forma.10.classe_zero</t>
        </is>
      </c>
      <c r="B7710" s="198">
        <f>IF(ISBLANK('CONFIGURAÇÃO'!$FK$207),"",'CONFIGURAÇÃO'!$FK$207&amp;"")</f>
        <v/>
      </c>
      <c r="C7710" s="198">
        <f>"'CONFIGURAÇÃO'!FK207"</f>
        <v/>
      </c>
      <c r="D7710" s="198" t="inlineStr">
        <is>
          <t>configuração</t>
        </is>
      </c>
    </row>
    <row r="7711">
      <c r="A7711" s="198" t="inlineStr">
        <is>
          <t>custom.forma.10.restricao_embutida</t>
        </is>
      </c>
      <c r="B7711" s="198">
        <f>IF(ISBLANK('CONFIGURAÇÃO'!$FK$208),"",'CONFIGURAÇÃO'!$FK$208&amp;"")</f>
        <v/>
      </c>
      <c r="C7711" s="198">
        <f>"'CONFIGURAÇÃO'!FK208"</f>
        <v/>
      </c>
      <c r="D7711" s="198" t="inlineStr">
        <is>
          <t>configuração</t>
        </is>
      </c>
    </row>
    <row r="7712">
      <c r="A7712" s="198" t="inlineStr">
        <is>
          <t>custom.forma.10.alcance_escada</t>
        </is>
      </c>
      <c r="B7712" s="198">
        <f>IF(ISBLANK('CONFIGURAÇÃO'!$FK$209),"",'CONFIGURAÇÃO'!$FK$209&amp;"")</f>
        <v/>
      </c>
      <c r="C7712" s="198">
        <f>"'CONFIGURAÇÃO'!FK209"</f>
        <v/>
      </c>
      <c r="D7712" s="198" t="inlineStr">
        <is>
          <t>configuração</t>
        </is>
      </c>
    </row>
    <row r="7713">
      <c r="A7713" s="198" t="inlineStr">
        <is>
          <t>custom.forma.10.area_escada</t>
        </is>
      </c>
      <c r="B7713" s="198">
        <f>IF(ISBLANK('CONFIGURAÇÃO'!$FK$210),"",'CONFIGURAÇÃO'!$FK$210&amp;"")</f>
        <v/>
      </c>
      <c r="C7713" s="198">
        <f>"'CONFIGURAÇÃO'!FK210"</f>
        <v/>
      </c>
      <c r="D7713" s="198" t="inlineStr">
        <is>
          <t>configuração</t>
        </is>
      </c>
    </row>
    <row r="7714">
      <c r="A7714" s="198" t="inlineStr">
        <is>
          <t>custom.forma.10.alcance_personagem_classe_0</t>
        </is>
      </c>
      <c r="B7714" s="198">
        <f>IF(ISBLANK('CONFIGURAÇÃO'!$FK$211),"",'CONFIGURAÇÃO'!$FK$211&amp;"")</f>
        <v/>
      </c>
      <c r="C7714" s="198">
        <f>"'CONFIGURAÇÃO'!FK211"</f>
        <v/>
      </c>
      <c r="D7714" s="198" t="inlineStr">
        <is>
          <t>configuração</t>
        </is>
      </c>
    </row>
    <row r="7715">
      <c r="A7715" s="198" t="inlineStr">
        <is>
          <t>custom.forma.10.alcance_personagem_classes_1_a_5</t>
        </is>
      </c>
      <c r="B7715" s="198">
        <f>IF(ISBLANK('CONFIGURAÇÃO'!$FK$212),"",'CONFIGURAÇÃO'!$FK$212&amp;"")</f>
        <v/>
      </c>
      <c r="C7715" s="198">
        <f>"'CONFIGURAÇÃO'!FK212"</f>
        <v/>
      </c>
      <c r="D7715" s="198" t="inlineStr">
        <is>
          <t>configuração</t>
        </is>
      </c>
    </row>
    <row r="7716">
      <c r="A7716" s="198" t="inlineStr">
        <is>
          <t>custom.forma.10.alcance_personagem_classes_6_e_7</t>
        </is>
      </c>
      <c r="B7716" s="198">
        <f>IF(ISBLANK('CONFIGURAÇÃO'!$FK$213),"",'CONFIGURAÇÃO'!$FK$213&amp;"")</f>
        <v/>
      </c>
      <c r="C7716" s="198">
        <f>"'CONFIGURAÇÃO'!FK213"</f>
        <v/>
      </c>
      <c r="D7716" s="198" t="inlineStr">
        <is>
          <t>configuração</t>
        </is>
      </c>
    </row>
    <row r="7717">
      <c r="A7717" s="198" t="inlineStr">
        <is>
          <t>custom.forma.10.alcance_entidade_classe_0</t>
        </is>
      </c>
      <c r="B7717" s="198">
        <f>IF(ISBLANK('CONFIGURAÇÃO'!$FK$214),"",'CONFIGURAÇÃO'!$FK$214&amp;"")</f>
        <v/>
      </c>
      <c r="C7717" s="198">
        <f>"'CONFIGURAÇÃO'!FK214"</f>
        <v/>
      </c>
      <c r="D7717" s="198" t="inlineStr">
        <is>
          <t>configuração</t>
        </is>
      </c>
    </row>
    <row r="7718">
      <c r="A7718" s="198" t="inlineStr">
        <is>
          <t>custom.forma.10.alcance_entidade_classes_1_a_5</t>
        </is>
      </c>
      <c r="B7718" s="198">
        <f>IF(ISBLANK('CONFIGURAÇÃO'!$FK$215),"",'CONFIGURAÇÃO'!$FK$215&amp;"")</f>
        <v/>
      </c>
      <c r="C7718" s="198">
        <f>"'CONFIGURAÇÃO'!FK215"</f>
        <v/>
      </c>
      <c r="D7718" s="198" t="inlineStr">
        <is>
          <t>configuração</t>
        </is>
      </c>
    </row>
    <row r="7719">
      <c r="A7719" s="198" t="inlineStr">
        <is>
          <t>custom.forma.10.alcance_entidade_classe_6</t>
        </is>
      </c>
      <c r="B7719" s="198">
        <f>IF(ISBLANK('CONFIGURAÇÃO'!$FK$216),"",'CONFIGURAÇÃO'!$FK$216&amp;"")</f>
        <v/>
      </c>
      <c r="C7719" s="198">
        <f>"'CONFIGURAÇÃO'!FK216"</f>
        <v/>
      </c>
      <c r="D7719" s="198" t="inlineStr">
        <is>
          <t>configuração</t>
        </is>
      </c>
    </row>
    <row r="7720">
      <c r="A7720" s="198" t="inlineStr">
        <is>
          <t>custom.forma.10.alcance_entidade_classe_7</t>
        </is>
      </c>
      <c r="B7720" s="198">
        <f>IF(ISBLANK('CONFIGURAÇÃO'!$FK$217),"",'CONFIGURAÇÃO'!$FK$217&amp;"")</f>
        <v/>
      </c>
      <c r="C7720" s="198">
        <f>"'CONFIGURAÇÃO'!FK217"</f>
        <v/>
      </c>
      <c r="D7720" s="198" t="inlineStr">
        <is>
          <t>configuração</t>
        </is>
      </c>
    </row>
    <row r="7721">
      <c r="A7721" s="198" t="inlineStr">
        <is>
          <t>custom.forma.10.area_personagem_classe_0</t>
        </is>
      </c>
      <c r="B7721" s="198">
        <f>IF(ISBLANK('CONFIGURAÇÃO'!$FK$218),"",'CONFIGURAÇÃO'!$FK$218&amp;"")</f>
        <v/>
      </c>
      <c r="C7721" s="198">
        <f>"'CONFIGURAÇÃO'!FK218"</f>
        <v/>
      </c>
      <c r="D7721" s="198" t="inlineStr">
        <is>
          <t>configuração</t>
        </is>
      </c>
    </row>
    <row r="7722">
      <c r="A7722" s="198" t="inlineStr">
        <is>
          <t>custom.forma.10.area_personagem_classes_1_a_5</t>
        </is>
      </c>
      <c r="B7722" s="198">
        <f>IF(ISBLANK('CONFIGURAÇÃO'!$FK$219),"",'CONFIGURAÇÃO'!$FK$219&amp;"")</f>
        <v/>
      </c>
      <c r="C7722" s="198">
        <f>"'CONFIGURAÇÃO'!FK219"</f>
        <v/>
      </c>
      <c r="D7722" s="198" t="inlineStr">
        <is>
          <t>configuração</t>
        </is>
      </c>
    </row>
    <row r="7723">
      <c r="A7723" s="198" t="inlineStr">
        <is>
          <t>custom.forma.10.area_personagem_classes_6_e_7</t>
        </is>
      </c>
      <c r="B7723" s="198">
        <f>IF(ISBLANK('CONFIGURAÇÃO'!$FK$220),"",'CONFIGURAÇÃO'!$FK$220&amp;"")</f>
        <v/>
      </c>
      <c r="C7723" s="198">
        <f>"'CONFIGURAÇÃO'!FK220"</f>
        <v/>
      </c>
      <c r="D7723" s="198" t="inlineStr">
        <is>
          <t>configuração</t>
        </is>
      </c>
    </row>
    <row r="7724">
      <c r="A7724" s="198" t="inlineStr">
        <is>
          <t>custom.forma.10.area_entidade_classe_0</t>
        </is>
      </c>
      <c r="B7724" s="198">
        <f>IF(ISBLANK('CONFIGURAÇÃO'!$FK$221),"",'CONFIGURAÇÃO'!$FK$221&amp;"")</f>
        <v/>
      </c>
      <c r="C7724" s="198">
        <f>"'CONFIGURAÇÃO'!FK221"</f>
        <v/>
      </c>
      <c r="D7724" s="198" t="inlineStr">
        <is>
          <t>configuração</t>
        </is>
      </c>
    </row>
    <row r="7725">
      <c r="A7725" s="198" t="inlineStr">
        <is>
          <t>custom.forma.10.area_entidade_classes_1_a_5</t>
        </is>
      </c>
      <c r="B7725" s="198">
        <f>IF(ISBLANK('CONFIGURAÇÃO'!$FK$222),"",'CONFIGURAÇÃO'!$FK$222&amp;"")</f>
        <v/>
      </c>
      <c r="C7725" s="198">
        <f>"'CONFIGURAÇÃO'!FK222"</f>
        <v/>
      </c>
      <c r="D7725" s="198" t="inlineStr">
        <is>
          <t>configuração</t>
        </is>
      </c>
    </row>
    <row r="7726">
      <c r="A7726" s="198" t="inlineStr">
        <is>
          <t>custom.forma.10.area_entidade_classe_6</t>
        </is>
      </c>
      <c r="B7726" s="198">
        <f>IF(ISBLANK('CONFIGURAÇÃO'!$FK$223),"",'CONFIGURAÇÃO'!$FK$223&amp;"")</f>
        <v/>
      </c>
      <c r="C7726" s="198">
        <f>"'CONFIGURAÇÃO'!FK223"</f>
        <v/>
      </c>
      <c r="D7726" s="198" t="inlineStr">
        <is>
          <t>configuração</t>
        </is>
      </c>
    </row>
    <row r="7727">
      <c r="A7727" s="198" t="inlineStr">
        <is>
          <t>custom.forma.10.area_entidade_classe_7</t>
        </is>
      </c>
      <c r="B7727" s="198">
        <f>IF(ISBLANK('CONFIGURAÇÃO'!$FK$224),"",'CONFIGURAÇÃO'!$FK$224&amp;"")</f>
        <v/>
      </c>
      <c r="C7727" s="198">
        <f>"'CONFIGURAÇÃO'!FK224"</f>
        <v/>
      </c>
      <c r="D7727" s="198" t="inlineStr">
        <is>
          <t>configuração</t>
        </is>
      </c>
    </row>
    <row r="7728">
      <c r="A7728" s="198" t="inlineStr">
        <is>
          <t>custom.aptidao.1.tipo</t>
        </is>
      </c>
      <c r="B7728" s="198">
        <f>IF(ISBLANK('CONFIGURAÇÃO'!$FQ$14),"",'CONFIGURAÇÃO'!$FQ$14&amp;"")</f>
        <v/>
      </c>
      <c r="C7728" s="198">
        <f>"'CONFIGURAÇÃO'!FQ14"</f>
        <v/>
      </c>
      <c r="D7728" s="198" t="inlineStr">
        <is>
          <t>configuração</t>
        </is>
      </c>
    </row>
    <row r="7729">
      <c r="A7729" s="198" t="inlineStr">
        <is>
          <t>custom.aptidao.1.nome</t>
        </is>
      </c>
      <c r="B7729" s="198">
        <f>IF(ISBLANK('CONFIGURAÇÃO'!$FQ$16),"",'CONFIGURAÇÃO'!$FQ$16&amp;"")</f>
        <v/>
      </c>
      <c r="C7729" s="198">
        <f>"'CONFIGURAÇÃO'!FQ16"</f>
        <v/>
      </c>
      <c r="D7729" s="198" t="inlineStr">
        <is>
          <t>configuração</t>
        </is>
      </c>
    </row>
    <row r="7730">
      <c r="A7730" s="198" t="inlineStr">
        <is>
          <t>custom.aptidao.1.base</t>
        </is>
      </c>
      <c r="B7730" s="198">
        <f>IF(ISBLANK('CONFIGURAÇÃO'!$FT$17),"",'CONFIGURAÇÃO'!$FT$17&amp;"")</f>
        <v/>
      </c>
      <c r="C7730" s="198">
        <f>"'CONFIGURAÇÃO'!FT17"</f>
        <v/>
      </c>
      <c r="D7730" s="198" t="inlineStr">
        <is>
          <t>configuração</t>
        </is>
      </c>
    </row>
    <row r="7731">
      <c r="A7731" s="198" t="inlineStr">
        <is>
          <t>custom.aptidao.1.mestre_viu</t>
        </is>
      </c>
      <c r="B7731" s="198">
        <f>N('CONFIGURAÇÃO'!$FU$14)&amp;""</f>
        <v/>
      </c>
      <c r="C7731" s="198">
        <f>"'CONFIGURAÇÃO'!FU14"</f>
        <v/>
      </c>
      <c r="D7731" s="198" t="inlineStr">
        <is>
          <t>configuração</t>
        </is>
      </c>
    </row>
    <row r="7732">
      <c r="A7732" s="198" t="inlineStr">
        <is>
          <t>custom.aptidao.1.requisitos</t>
        </is>
      </c>
      <c r="B7732" s="198">
        <f>IF(ISBLANK('CONFIGURAÇÃO'!$FQ$24),"",'CONFIGURAÇÃO'!$FQ$24&amp;"")</f>
        <v/>
      </c>
      <c r="C7732" s="198">
        <f>"'CONFIGURAÇÃO'!FQ24"</f>
        <v/>
      </c>
      <c r="D7732" s="198" t="inlineStr">
        <is>
          <t>configuração</t>
        </is>
      </c>
    </row>
    <row r="7733">
      <c r="A7733" s="198" t="inlineStr">
        <is>
          <t>custom.aptidao.1.efeito</t>
        </is>
      </c>
      <c r="B7733" s="198">
        <f>IF(ISBLANK('CONFIGURAÇÃO'!$FQ$30),"",'CONFIGURAÇÃO'!$FQ$30&amp;"")</f>
        <v/>
      </c>
      <c r="C7733" s="198">
        <f>"'CONFIGURAÇÃO'!FQ30"</f>
        <v/>
      </c>
      <c r="D7733" s="198" t="inlineStr">
        <is>
          <t>configuração</t>
        </is>
      </c>
    </row>
    <row r="7734">
      <c r="A7734" s="198" t="inlineStr">
        <is>
          <t>custom.aptidao.1.categoria</t>
        </is>
      </c>
      <c r="B7734" s="198">
        <f>IF(ISBLANK('CONFIGURAÇÃO'!$FT$18),"",'CONFIGURAÇÃO'!$FT$18&amp;"")</f>
        <v/>
      </c>
      <c r="C7734" s="198">
        <f>"'CONFIGURAÇÃO'!FT18"</f>
        <v/>
      </c>
      <c r="D7734" s="198" t="inlineStr">
        <is>
          <t>configuração</t>
        </is>
      </c>
    </row>
    <row r="7735">
      <c r="A7735" s="198" t="inlineStr">
        <is>
          <t>custom.aptidao.1.nivel_minimo</t>
        </is>
      </c>
      <c r="B7735" s="198">
        <f>IF(ISBLANK('CONFIGURAÇÃO'!$FT$19),"",'CONFIGURAÇÃO'!$FT$19&amp;"")</f>
        <v/>
      </c>
      <c r="C7735" s="198">
        <f>"'CONFIGURAÇÃO'!FT19"</f>
        <v/>
      </c>
      <c r="D7735" s="198" t="inlineStr">
        <is>
          <t>configuração</t>
        </is>
      </c>
    </row>
    <row r="7736">
      <c r="A7736" s="198" t="inlineStr">
        <is>
          <t>custom.aptidao.1.refino_minimo</t>
        </is>
      </c>
      <c r="B7736" s="198">
        <f>IF(ISBLANK('CONFIGURAÇÃO'!$FT$20),"",'CONFIGURAÇÃO'!$FT$20&amp;"")</f>
        <v/>
      </c>
      <c r="C7736" s="198">
        <f>"'CONFIGURAÇÃO'!FT20"</f>
        <v/>
      </c>
      <c r="D7736" s="198" t="inlineStr">
        <is>
          <t>configuração</t>
        </is>
      </c>
    </row>
    <row r="7737">
      <c r="A7737" s="198" t="inlineStr">
        <is>
          <t>custom.aptidao.1.escolha</t>
        </is>
      </c>
      <c r="B7737" s="198">
        <f>IF(ISBLANK('CONFIGURAÇÃO'!$FT$21),"",'CONFIGURAÇÃO'!$FT$21&amp;"")</f>
        <v/>
      </c>
      <c r="C7737" s="198">
        <f>"'CONFIGURAÇÃO'!FT21"</f>
        <v/>
      </c>
      <c r="D7737" s="198" t="inlineStr">
        <is>
          <t>configuração</t>
        </is>
      </c>
    </row>
    <row r="7738">
      <c r="A7738" s="198" t="inlineStr">
        <is>
          <t>custom.aptidao.2.tipo</t>
        </is>
      </c>
      <c r="B7738" s="198">
        <f>IF(ISBLANK('CONFIGURAÇÃO'!$FY$14),"",'CONFIGURAÇÃO'!$FY$14&amp;"")</f>
        <v/>
      </c>
      <c r="C7738" s="198">
        <f>"'CONFIGURAÇÃO'!FY14"</f>
        <v/>
      </c>
      <c r="D7738" s="198" t="inlineStr">
        <is>
          <t>configuração</t>
        </is>
      </c>
    </row>
    <row r="7739">
      <c r="A7739" s="198" t="inlineStr">
        <is>
          <t>custom.aptidao.2.nome</t>
        </is>
      </c>
      <c r="B7739" s="198">
        <f>IF(ISBLANK('CONFIGURAÇÃO'!$FY$16),"",'CONFIGURAÇÃO'!$FY$16&amp;"")</f>
        <v/>
      </c>
      <c r="C7739" s="198">
        <f>"'CONFIGURAÇÃO'!FY16"</f>
        <v/>
      </c>
      <c r="D7739" s="198" t="inlineStr">
        <is>
          <t>configuração</t>
        </is>
      </c>
    </row>
    <row r="7740">
      <c r="A7740" s="198" t="inlineStr">
        <is>
          <t>custom.aptidao.2.base</t>
        </is>
      </c>
      <c r="B7740" s="198">
        <f>IF(ISBLANK('CONFIGURAÇÃO'!$GB$17),"",'CONFIGURAÇÃO'!$GB$17&amp;"")</f>
        <v/>
      </c>
      <c r="C7740" s="198">
        <f>"'CONFIGURAÇÃO'!GB17"</f>
        <v/>
      </c>
      <c r="D7740" s="198" t="inlineStr">
        <is>
          <t>configuração</t>
        </is>
      </c>
    </row>
    <row r="7741">
      <c r="A7741" s="198" t="inlineStr">
        <is>
          <t>custom.aptidao.2.mestre_viu</t>
        </is>
      </c>
      <c r="B7741" s="198">
        <f>N('CONFIGURAÇÃO'!$GC$14)&amp;""</f>
        <v/>
      </c>
      <c r="C7741" s="198">
        <f>"'CONFIGURAÇÃO'!GC14"</f>
        <v/>
      </c>
      <c r="D7741" s="198" t="inlineStr">
        <is>
          <t>configuração</t>
        </is>
      </c>
    </row>
    <row r="7742">
      <c r="A7742" s="198" t="inlineStr">
        <is>
          <t>custom.aptidao.2.requisitos</t>
        </is>
      </c>
      <c r="B7742" s="198">
        <f>IF(ISBLANK('CONFIGURAÇÃO'!$FY$24),"",'CONFIGURAÇÃO'!$FY$24&amp;"")</f>
        <v/>
      </c>
      <c r="C7742" s="198">
        <f>"'CONFIGURAÇÃO'!FY24"</f>
        <v/>
      </c>
      <c r="D7742" s="198" t="inlineStr">
        <is>
          <t>configuração</t>
        </is>
      </c>
    </row>
    <row r="7743">
      <c r="A7743" s="198" t="inlineStr">
        <is>
          <t>custom.aptidao.2.efeito</t>
        </is>
      </c>
      <c r="B7743" s="198">
        <f>IF(ISBLANK('CONFIGURAÇÃO'!$FY$30),"",'CONFIGURAÇÃO'!$FY$30&amp;"")</f>
        <v/>
      </c>
      <c r="C7743" s="198">
        <f>"'CONFIGURAÇÃO'!FY30"</f>
        <v/>
      </c>
      <c r="D7743" s="198" t="inlineStr">
        <is>
          <t>configuração</t>
        </is>
      </c>
    </row>
    <row r="7744">
      <c r="A7744" s="198" t="inlineStr">
        <is>
          <t>custom.aptidao.2.categoria</t>
        </is>
      </c>
      <c r="B7744" s="198">
        <f>IF(ISBLANK('CONFIGURAÇÃO'!$GB$18),"",'CONFIGURAÇÃO'!$GB$18&amp;"")</f>
        <v/>
      </c>
      <c r="C7744" s="198">
        <f>"'CONFIGURAÇÃO'!GB18"</f>
        <v/>
      </c>
      <c r="D7744" s="198" t="inlineStr">
        <is>
          <t>configuração</t>
        </is>
      </c>
    </row>
    <row r="7745">
      <c r="A7745" s="198" t="inlineStr">
        <is>
          <t>custom.aptidao.2.nivel_minimo</t>
        </is>
      </c>
      <c r="B7745" s="198">
        <f>IF(ISBLANK('CONFIGURAÇÃO'!$GB$19),"",'CONFIGURAÇÃO'!$GB$19&amp;"")</f>
        <v/>
      </c>
      <c r="C7745" s="198">
        <f>"'CONFIGURAÇÃO'!GB19"</f>
        <v/>
      </c>
      <c r="D7745" s="198" t="inlineStr">
        <is>
          <t>configuração</t>
        </is>
      </c>
    </row>
    <row r="7746">
      <c r="A7746" s="198" t="inlineStr">
        <is>
          <t>custom.aptidao.2.refino_minimo</t>
        </is>
      </c>
      <c r="B7746" s="198">
        <f>IF(ISBLANK('CONFIGURAÇÃO'!$GB$20),"",'CONFIGURAÇÃO'!$GB$20&amp;"")</f>
        <v/>
      </c>
      <c r="C7746" s="198">
        <f>"'CONFIGURAÇÃO'!GB20"</f>
        <v/>
      </c>
      <c r="D7746" s="198" t="inlineStr">
        <is>
          <t>configuração</t>
        </is>
      </c>
    </row>
    <row r="7747">
      <c r="A7747" s="198" t="inlineStr">
        <is>
          <t>custom.aptidao.2.escolha</t>
        </is>
      </c>
      <c r="B7747" s="198">
        <f>IF(ISBLANK('CONFIGURAÇÃO'!$GB$21),"",'CONFIGURAÇÃO'!$GB$21&amp;"")</f>
        <v/>
      </c>
      <c r="C7747" s="198">
        <f>"'CONFIGURAÇÃO'!GB21"</f>
        <v/>
      </c>
      <c r="D7747" s="198" t="inlineStr">
        <is>
          <t>configuração</t>
        </is>
      </c>
    </row>
    <row r="7748">
      <c r="A7748" s="198" t="inlineStr">
        <is>
          <t>custom.aptidao.3.tipo</t>
        </is>
      </c>
      <c r="B7748" s="198">
        <f>IF(ISBLANK('CONFIGURAÇÃO'!$FQ$41),"",'CONFIGURAÇÃO'!$FQ$41&amp;"")</f>
        <v/>
      </c>
      <c r="C7748" s="198">
        <f>"'CONFIGURAÇÃO'!FQ41"</f>
        <v/>
      </c>
      <c r="D7748" s="198" t="inlineStr">
        <is>
          <t>configuração</t>
        </is>
      </c>
    </row>
    <row r="7749">
      <c r="A7749" s="198" t="inlineStr">
        <is>
          <t>custom.aptidao.3.nome</t>
        </is>
      </c>
      <c r="B7749" s="198">
        <f>IF(ISBLANK('CONFIGURAÇÃO'!$FQ$43),"",'CONFIGURAÇÃO'!$FQ$43&amp;"")</f>
        <v/>
      </c>
      <c r="C7749" s="198">
        <f>"'CONFIGURAÇÃO'!FQ43"</f>
        <v/>
      </c>
      <c r="D7749" s="198" t="inlineStr">
        <is>
          <t>configuração</t>
        </is>
      </c>
    </row>
    <row r="7750">
      <c r="A7750" s="198" t="inlineStr">
        <is>
          <t>custom.aptidao.3.base</t>
        </is>
      </c>
      <c r="B7750" s="198">
        <f>IF(ISBLANK('CONFIGURAÇÃO'!$FT$44),"",'CONFIGURAÇÃO'!$FT$44&amp;"")</f>
        <v/>
      </c>
      <c r="C7750" s="198">
        <f>"'CONFIGURAÇÃO'!FT44"</f>
        <v/>
      </c>
      <c r="D7750" s="198" t="inlineStr">
        <is>
          <t>configuração</t>
        </is>
      </c>
    </row>
    <row r="7751">
      <c r="A7751" s="198" t="inlineStr">
        <is>
          <t>custom.aptidao.3.mestre_viu</t>
        </is>
      </c>
      <c r="B7751" s="198">
        <f>N('CONFIGURAÇÃO'!$FU$41)&amp;""</f>
        <v/>
      </c>
      <c r="C7751" s="198">
        <f>"'CONFIGURAÇÃO'!FU41"</f>
        <v/>
      </c>
      <c r="D7751" s="198" t="inlineStr">
        <is>
          <t>configuração</t>
        </is>
      </c>
    </row>
    <row r="7752">
      <c r="A7752" s="198" t="inlineStr">
        <is>
          <t>custom.aptidao.3.requisitos</t>
        </is>
      </c>
      <c r="B7752" s="198">
        <f>IF(ISBLANK('CONFIGURAÇÃO'!$FQ$51),"",'CONFIGURAÇÃO'!$FQ$51&amp;"")</f>
        <v/>
      </c>
      <c r="C7752" s="198">
        <f>"'CONFIGURAÇÃO'!FQ51"</f>
        <v/>
      </c>
      <c r="D7752" s="198" t="inlineStr">
        <is>
          <t>configuração</t>
        </is>
      </c>
    </row>
    <row r="7753">
      <c r="A7753" s="198" t="inlineStr">
        <is>
          <t>custom.aptidao.3.efeito</t>
        </is>
      </c>
      <c r="B7753" s="198">
        <f>IF(ISBLANK('CONFIGURAÇÃO'!$FQ$57),"",'CONFIGURAÇÃO'!$FQ$57&amp;"")</f>
        <v/>
      </c>
      <c r="C7753" s="198">
        <f>"'CONFIGURAÇÃO'!FQ57"</f>
        <v/>
      </c>
      <c r="D7753" s="198" t="inlineStr">
        <is>
          <t>configuração</t>
        </is>
      </c>
    </row>
    <row r="7754">
      <c r="A7754" s="198" t="inlineStr">
        <is>
          <t>custom.aptidao.3.categoria</t>
        </is>
      </c>
      <c r="B7754" s="198">
        <f>IF(ISBLANK('CONFIGURAÇÃO'!$FT$45),"",'CONFIGURAÇÃO'!$FT$45&amp;"")</f>
        <v/>
      </c>
      <c r="C7754" s="198">
        <f>"'CONFIGURAÇÃO'!FT45"</f>
        <v/>
      </c>
      <c r="D7754" s="198" t="inlineStr">
        <is>
          <t>configuração</t>
        </is>
      </c>
    </row>
    <row r="7755">
      <c r="A7755" s="198" t="inlineStr">
        <is>
          <t>custom.aptidao.3.nivel_minimo</t>
        </is>
      </c>
      <c r="B7755" s="198">
        <f>IF(ISBLANK('CONFIGURAÇÃO'!$FT$46),"",'CONFIGURAÇÃO'!$FT$46&amp;"")</f>
        <v/>
      </c>
      <c r="C7755" s="198">
        <f>"'CONFIGURAÇÃO'!FT46"</f>
        <v/>
      </c>
      <c r="D7755" s="198" t="inlineStr">
        <is>
          <t>configuração</t>
        </is>
      </c>
    </row>
    <row r="7756">
      <c r="A7756" s="198" t="inlineStr">
        <is>
          <t>custom.aptidao.3.refino_minimo</t>
        </is>
      </c>
      <c r="B7756" s="198">
        <f>IF(ISBLANK('CONFIGURAÇÃO'!$FT$47),"",'CONFIGURAÇÃO'!$FT$47&amp;"")</f>
        <v/>
      </c>
      <c r="C7756" s="198">
        <f>"'CONFIGURAÇÃO'!FT47"</f>
        <v/>
      </c>
      <c r="D7756" s="198" t="inlineStr">
        <is>
          <t>configuração</t>
        </is>
      </c>
    </row>
    <row r="7757">
      <c r="A7757" s="198" t="inlineStr">
        <is>
          <t>custom.aptidao.3.escolha</t>
        </is>
      </c>
      <c r="B7757" s="198">
        <f>IF(ISBLANK('CONFIGURAÇÃO'!$FT$48),"",'CONFIGURAÇÃO'!$FT$48&amp;"")</f>
        <v/>
      </c>
      <c r="C7757" s="198">
        <f>"'CONFIGURAÇÃO'!FT48"</f>
        <v/>
      </c>
      <c r="D7757" s="198" t="inlineStr">
        <is>
          <t>configuração</t>
        </is>
      </c>
    </row>
    <row r="7758">
      <c r="A7758" s="198" t="inlineStr">
        <is>
          <t>custom.aptidao.4.tipo</t>
        </is>
      </c>
      <c r="B7758" s="198">
        <f>IF(ISBLANK('CONFIGURAÇÃO'!$FY$41),"",'CONFIGURAÇÃO'!$FY$41&amp;"")</f>
        <v/>
      </c>
      <c r="C7758" s="198">
        <f>"'CONFIGURAÇÃO'!FY41"</f>
        <v/>
      </c>
      <c r="D7758" s="198" t="inlineStr">
        <is>
          <t>configuração</t>
        </is>
      </c>
    </row>
    <row r="7759">
      <c r="A7759" s="198" t="inlineStr">
        <is>
          <t>custom.aptidao.4.nome</t>
        </is>
      </c>
      <c r="B7759" s="198">
        <f>IF(ISBLANK('CONFIGURAÇÃO'!$FY$43),"",'CONFIGURAÇÃO'!$FY$43&amp;"")</f>
        <v/>
      </c>
      <c r="C7759" s="198">
        <f>"'CONFIGURAÇÃO'!FY43"</f>
        <v/>
      </c>
      <c r="D7759" s="198" t="inlineStr">
        <is>
          <t>configuração</t>
        </is>
      </c>
    </row>
    <row r="7760">
      <c r="A7760" s="198" t="inlineStr">
        <is>
          <t>custom.aptidao.4.base</t>
        </is>
      </c>
      <c r="B7760" s="198">
        <f>IF(ISBLANK('CONFIGURAÇÃO'!$GB$44),"",'CONFIGURAÇÃO'!$GB$44&amp;"")</f>
        <v/>
      </c>
      <c r="C7760" s="198">
        <f>"'CONFIGURAÇÃO'!GB44"</f>
        <v/>
      </c>
      <c r="D7760" s="198" t="inlineStr">
        <is>
          <t>configuração</t>
        </is>
      </c>
    </row>
    <row r="7761">
      <c r="A7761" s="198" t="inlineStr">
        <is>
          <t>custom.aptidao.4.mestre_viu</t>
        </is>
      </c>
      <c r="B7761" s="198">
        <f>N('CONFIGURAÇÃO'!$GC$41)&amp;""</f>
        <v/>
      </c>
      <c r="C7761" s="198">
        <f>"'CONFIGURAÇÃO'!GC41"</f>
        <v/>
      </c>
      <c r="D7761" s="198" t="inlineStr">
        <is>
          <t>configuração</t>
        </is>
      </c>
    </row>
    <row r="7762">
      <c r="A7762" s="198" t="inlineStr">
        <is>
          <t>custom.aptidao.4.requisitos</t>
        </is>
      </c>
      <c r="B7762" s="198">
        <f>IF(ISBLANK('CONFIGURAÇÃO'!$FY$51),"",'CONFIGURAÇÃO'!$FY$51&amp;"")</f>
        <v/>
      </c>
      <c r="C7762" s="198">
        <f>"'CONFIGURAÇÃO'!FY51"</f>
        <v/>
      </c>
      <c r="D7762" s="198" t="inlineStr">
        <is>
          <t>configuração</t>
        </is>
      </c>
    </row>
    <row r="7763">
      <c r="A7763" s="198" t="inlineStr">
        <is>
          <t>custom.aptidao.4.efeito</t>
        </is>
      </c>
      <c r="B7763" s="198">
        <f>IF(ISBLANK('CONFIGURAÇÃO'!$FY$57),"",'CONFIGURAÇÃO'!$FY$57&amp;"")</f>
        <v/>
      </c>
      <c r="C7763" s="198">
        <f>"'CONFIGURAÇÃO'!FY57"</f>
        <v/>
      </c>
      <c r="D7763" s="198" t="inlineStr">
        <is>
          <t>configuração</t>
        </is>
      </c>
    </row>
    <row r="7764">
      <c r="A7764" s="198" t="inlineStr">
        <is>
          <t>custom.aptidao.4.categoria</t>
        </is>
      </c>
      <c r="B7764" s="198">
        <f>IF(ISBLANK('CONFIGURAÇÃO'!$GB$45),"",'CONFIGURAÇÃO'!$GB$45&amp;"")</f>
        <v/>
      </c>
      <c r="C7764" s="198">
        <f>"'CONFIGURAÇÃO'!GB45"</f>
        <v/>
      </c>
      <c r="D7764" s="198" t="inlineStr">
        <is>
          <t>configuração</t>
        </is>
      </c>
    </row>
    <row r="7765">
      <c r="A7765" s="198" t="inlineStr">
        <is>
          <t>custom.aptidao.4.nivel_minimo</t>
        </is>
      </c>
      <c r="B7765" s="198">
        <f>IF(ISBLANK('CONFIGURAÇÃO'!$GB$46),"",'CONFIGURAÇÃO'!$GB$46&amp;"")</f>
        <v/>
      </c>
      <c r="C7765" s="198">
        <f>"'CONFIGURAÇÃO'!GB46"</f>
        <v/>
      </c>
      <c r="D7765" s="198" t="inlineStr">
        <is>
          <t>configuração</t>
        </is>
      </c>
    </row>
    <row r="7766">
      <c r="A7766" s="198" t="inlineStr">
        <is>
          <t>custom.aptidao.4.refino_minimo</t>
        </is>
      </c>
      <c r="B7766" s="198">
        <f>IF(ISBLANK('CONFIGURAÇÃO'!$GB$47),"",'CONFIGURAÇÃO'!$GB$47&amp;"")</f>
        <v/>
      </c>
      <c r="C7766" s="198">
        <f>"'CONFIGURAÇÃO'!GB47"</f>
        <v/>
      </c>
      <c r="D7766" s="198" t="inlineStr">
        <is>
          <t>configuração</t>
        </is>
      </c>
    </row>
    <row r="7767">
      <c r="A7767" s="198" t="inlineStr">
        <is>
          <t>custom.aptidao.4.escolha</t>
        </is>
      </c>
      <c r="B7767" s="198">
        <f>IF(ISBLANK('CONFIGURAÇÃO'!$GB$48),"",'CONFIGURAÇÃO'!$GB$48&amp;"")</f>
        <v/>
      </c>
      <c r="C7767" s="198">
        <f>"'CONFIGURAÇÃO'!GB48"</f>
        <v/>
      </c>
      <c r="D7767" s="198" t="inlineStr">
        <is>
          <t>configuração</t>
        </is>
      </c>
    </row>
    <row r="7768">
      <c r="A7768" s="198" t="inlineStr">
        <is>
          <t>custom.aptidao.5.tipo</t>
        </is>
      </c>
      <c r="B7768" s="198">
        <f>IF(ISBLANK('CONFIGURAÇÃO'!$FQ$68),"",'CONFIGURAÇÃO'!$FQ$68&amp;"")</f>
        <v/>
      </c>
      <c r="C7768" s="198">
        <f>"'CONFIGURAÇÃO'!FQ68"</f>
        <v/>
      </c>
      <c r="D7768" s="198" t="inlineStr">
        <is>
          <t>configuração</t>
        </is>
      </c>
    </row>
    <row r="7769">
      <c r="A7769" s="198" t="inlineStr">
        <is>
          <t>custom.aptidao.5.nome</t>
        </is>
      </c>
      <c r="B7769" s="198">
        <f>IF(ISBLANK('CONFIGURAÇÃO'!$FQ$70),"",'CONFIGURAÇÃO'!$FQ$70&amp;"")</f>
        <v/>
      </c>
      <c r="C7769" s="198">
        <f>"'CONFIGURAÇÃO'!FQ70"</f>
        <v/>
      </c>
      <c r="D7769" s="198" t="inlineStr">
        <is>
          <t>configuração</t>
        </is>
      </c>
    </row>
    <row r="7770">
      <c r="A7770" s="198" t="inlineStr">
        <is>
          <t>custom.aptidao.5.base</t>
        </is>
      </c>
      <c r="B7770" s="198">
        <f>IF(ISBLANK('CONFIGURAÇÃO'!$FT$71),"",'CONFIGURAÇÃO'!$FT$71&amp;"")</f>
        <v/>
      </c>
      <c r="C7770" s="198">
        <f>"'CONFIGURAÇÃO'!FT71"</f>
        <v/>
      </c>
      <c r="D7770" s="198" t="inlineStr">
        <is>
          <t>configuração</t>
        </is>
      </c>
    </row>
    <row r="7771">
      <c r="A7771" s="198" t="inlineStr">
        <is>
          <t>custom.aptidao.5.mestre_viu</t>
        </is>
      </c>
      <c r="B7771" s="198">
        <f>N('CONFIGURAÇÃO'!$FU$68)&amp;""</f>
        <v/>
      </c>
      <c r="C7771" s="198">
        <f>"'CONFIGURAÇÃO'!FU68"</f>
        <v/>
      </c>
      <c r="D7771" s="198" t="inlineStr">
        <is>
          <t>configuração</t>
        </is>
      </c>
    </row>
    <row r="7772">
      <c r="A7772" s="198" t="inlineStr">
        <is>
          <t>custom.aptidao.5.requisitos</t>
        </is>
      </c>
      <c r="B7772" s="198">
        <f>IF(ISBLANK('CONFIGURAÇÃO'!$FQ$78),"",'CONFIGURAÇÃO'!$FQ$78&amp;"")</f>
        <v/>
      </c>
      <c r="C7772" s="198">
        <f>"'CONFIGURAÇÃO'!FQ78"</f>
        <v/>
      </c>
      <c r="D7772" s="198" t="inlineStr">
        <is>
          <t>configuração</t>
        </is>
      </c>
    </row>
    <row r="7773">
      <c r="A7773" s="198" t="inlineStr">
        <is>
          <t>custom.aptidao.5.efeito</t>
        </is>
      </c>
      <c r="B7773" s="198">
        <f>IF(ISBLANK('CONFIGURAÇÃO'!$FQ$84),"",'CONFIGURAÇÃO'!$FQ$84&amp;"")</f>
        <v/>
      </c>
      <c r="C7773" s="198">
        <f>"'CONFIGURAÇÃO'!FQ84"</f>
        <v/>
      </c>
      <c r="D7773" s="198" t="inlineStr">
        <is>
          <t>configuração</t>
        </is>
      </c>
    </row>
    <row r="7774">
      <c r="A7774" s="198" t="inlineStr">
        <is>
          <t>custom.aptidao.5.categoria</t>
        </is>
      </c>
      <c r="B7774" s="198">
        <f>IF(ISBLANK('CONFIGURAÇÃO'!$FT$72),"",'CONFIGURAÇÃO'!$FT$72&amp;"")</f>
        <v/>
      </c>
      <c r="C7774" s="198">
        <f>"'CONFIGURAÇÃO'!FT72"</f>
        <v/>
      </c>
      <c r="D7774" s="198" t="inlineStr">
        <is>
          <t>configuração</t>
        </is>
      </c>
    </row>
    <row r="7775">
      <c r="A7775" s="198" t="inlineStr">
        <is>
          <t>custom.aptidao.5.nivel_minimo</t>
        </is>
      </c>
      <c r="B7775" s="198">
        <f>IF(ISBLANK('CONFIGURAÇÃO'!$FT$73),"",'CONFIGURAÇÃO'!$FT$73&amp;"")</f>
        <v/>
      </c>
      <c r="C7775" s="198">
        <f>"'CONFIGURAÇÃO'!FT73"</f>
        <v/>
      </c>
      <c r="D7775" s="198" t="inlineStr">
        <is>
          <t>configuração</t>
        </is>
      </c>
    </row>
    <row r="7776">
      <c r="A7776" s="198" t="inlineStr">
        <is>
          <t>custom.aptidao.5.refino_minimo</t>
        </is>
      </c>
      <c r="B7776" s="198">
        <f>IF(ISBLANK('CONFIGURAÇÃO'!$FT$74),"",'CONFIGURAÇÃO'!$FT$74&amp;"")</f>
        <v/>
      </c>
      <c r="C7776" s="198">
        <f>"'CONFIGURAÇÃO'!FT74"</f>
        <v/>
      </c>
      <c r="D7776" s="198" t="inlineStr">
        <is>
          <t>configuração</t>
        </is>
      </c>
    </row>
    <row r="7777">
      <c r="A7777" s="198" t="inlineStr">
        <is>
          <t>custom.aptidao.5.escolha</t>
        </is>
      </c>
      <c r="B7777" s="198">
        <f>IF(ISBLANK('CONFIGURAÇÃO'!$FT$75),"",'CONFIGURAÇÃO'!$FT$75&amp;"")</f>
        <v/>
      </c>
      <c r="C7777" s="198">
        <f>"'CONFIGURAÇÃO'!FT75"</f>
        <v/>
      </c>
      <c r="D7777" s="198" t="inlineStr">
        <is>
          <t>configuração</t>
        </is>
      </c>
    </row>
    <row r="7778">
      <c r="A7778" s="198" t="inlineStr">
        <is>
          <t>custom.aptidao.6.tipo</t>
        </is>
      </c>
      <c r="B7778" s="198">
        <f>IF(ISBLANK('CONFIGURAÇÃO'!$FY$68),"",'CONFIGURAÇÃO'!$FY$68&amp;"")</f>
        <v/>
      </c>
      <c r="C7778" s="198">
        <f>"'CONFIGURAÇÃO'!FY68"</f>
        <v/>
      </c>
      <c r="D7778" s="198" t="inlineStr">
        <is>
          <t>configuração</t>
        </is>
      </c>
    </row>
    <row r="7779">
      <c r="A7779" s="198" t="inlineStr">
        <is>
          <t>custom.aptidao.6.nome</t>
        </is>
      </c>
      <c r="B7779" s="198">
        <f>IF(ISBLANK('CONFIGURAÇÃO'!$FY$70),"",'CONFIGURAÇÃO'!$FY$70&amp;"")</f>
        <v/>
      </c>
      <c r="C7779" s="198">
        <f>"'CONFIGURAÇÃO'!FY70"</f>
        <v/>
      </c>
      <c r="D7779" s="198" t="inlineStr">
        <is>
          <t>configuração</t>
        </is>
      </c>
    </row>
    <row r="7780">
      <c r="A7780" s="198" t="inlineStr">
        <is>
          <t>custom.aptidao.6.base</t>
        </is>
      </c>
      <c r="B7780" s="198">
        <f>IF(ISBLANK('CONFIGURAÇÃO'!$GB$71),"",'CONFIGURAÇÃO'!$GB$71&amp;"")</f>
        <v/>
      </c>
      <c r="C7780" s="198">
        <f>"'CONFIGURAÇÃO'!GB71"</f>
        <v/>
      </c>
      <c r="D7780" s="198" t="inlineStr">
        <is>
          <t>configuração</t>
        </is>
      </c>
    </row>
    <row r="7781">
      <c r="A7781" s="198" t="inlineStr">
        <is>
          <t>custom.aptidao.6.mestre_viu</t>
        </is>
      </c>
      <c r="B7781" s="198">
        <f>N('CONFIGURAÇÃO'!$GC$68)&amp;""</f>
        <v/>
      </c>
      <c r="C7781" s="198">
        <f>"'CONFIGURAÇÃO'!GC68"</f>
        <v/>
      </c>
      <c r="D7781" s="198" t="inlineStr">
        <is>
          <t>configuração</t>
        </is>
      </c>
    </row>
    <row r="7782">
      <c r="A7782" s="198" t="inlineStr">
        <is>
          <t>custom.aptidao.6.requisitos</t>
        </is>
      </c>
      <c r="B7782" s="198">
        <f>IF(ISBLANK('CONFIGURAÇÃO'!$FY$78),"",'CONFIGURAÇÃO'!$FY$78&amp;"")</f>
        <v/>
      </c>
      <c r="C7782" s="198">
        <f>"'CONFIGURAÇÃO'!FY78"</f>
        <v/>
      </c>
      <c r="D7782" s="198" t="inlineStr">
        <is>
          <t>configuração</t>
        </is>
      </c>
    </row>
    <row r="7783">
      <c r="A7783" s="198" t="inlineStr">
        <is>
          <t>custom.aptidao.6.efeito</t>
        </is>
      </c>
      <c r="B7783" s="198">
        <f>IF(ISBLANK('CONFIGURAÇÃO'!$FY$84),"",'CONFIGURAÇÃO'!$FY$84&amp;"")</f>
        <v/>
      </c>
      <c r="C7783" s="198">
        <f>"'CONFIGURAÇÃO'!FY84"</f>
        <v/>
      </c>
      <c r="D7783" s="198" t="inlineStr">
        <is>
          <t>configuração</t>
        </is>
      </c>
    </row>
    <row r="7784">
      <c r="A7784" s="198" t="inlineStr">
        <is>
          <t>custom.aptidao.6.categoria</t>
        </is>
      </c>
      <c r="B7784" s="198">
        <f>IF(ISBLANK('CONFIGURAÇÃO'!$GB$72),"",'CONFIGURAÇÃO'!$GB$72&amp;"")</f>
        <v/>
      </c>
      <c r="C7784" s="198">
        <f>"'CONFIGURAÇÃO'!GB72"</f>
        <v/>
      </c>
      <c r="D7784" s="198" t="inlineStr">
        <is>
          <t>configuração</t>
        </is>
      </c>
    </row>
    <row r="7785">
      <c r="A7785" s="198" t="inlineStr">
        <is>
          <t>custom.aptidao.6.nivel_minimo</t>
        </is>
      </c>
      <c r="B7785" s="198">
        <f>IF(ISBLANK('CONFIGURAÇÃO'!$GB$73),"",'CONFIGURAÇÃO'!$GB$73&amp;"")</f>
        <v/>
      </c>
      <c r="C7785" s="198">
        <f>"'CONFIGURAÇÃO'!GB73"</f>
        <v/>
      </c>
      <c r="D7785" s="198" t="inlineStr">
        <is>
          <t>configuração</t>
        </is>
      </c>
    </row>
    <row r="7786">
      <c r="A7786" s="198" t="inlineStr">
        <is>
          <t>custom.aptidao.6.refino_minimo</t>
        </is>
      </c>
      <c r="B7786" s="198">
        <f>IF(ISBLANK('CONFIGURAÇÃO'!$GB$74),"",'CONFIGURAÇÃO'!$GB$74&amp;"")</f>
        <v/>
      </c>
      <c r="C7786" s="198">
        <f>"'CONFIGURAÇÃO'!GB74"</f>
        <v/>
      </c>
      <c r="D7786" s="198" t="inlineStr">
        <is>
          <t>configuração</t>
        </is>
      </c>
    </row>
    <row r="7787">
      <c r="A7787" s="198" t="inlineStr">
        <is>
          <t>custom.aptidao.6.escolha</t>
        </is>
      </c>
      <c r="B7787" s="198">
        <f>IF(ISBLANK('CONFIGURAÇÃO'!$GB$75),"",'CONFIGURAÇÃO'!$GB$75&amp;"")</f>
        <v/>
      </c>
      <c r="C7787" s="198">
        <f>"'CONFIGURAÇÃO'!GB75"</f>
        <v/>
      </c>
      <c r="D7787" s="198" t="inlineStr">
        <is>
          <t>configuração</t>
        </is>
      </c>
    </row>
    <row r="7788">
      <c r="A7788" s="198" t="inlineStr">
        <is>
          <t>custom.aptidao.7.tipo</t>
        </is>
      </c>
      <c r="B7788" s="198">
        <f>IF(ISBLANK('CONFIGURAÇÃO'!$FQ$95),"",'CONFIGURAÇÃO'!$FQ$95&amp;"")</f>
        <v/>
      </c>
      <c r="C7788" s="198">
        <f>"'CONFIGURAÇÃO'!FQ95"</f>
        <v/>
      </c>
      <c r="D7788" s="198" t="inlineStr">
        <is>
          <t>configuração</t>
        </is>
      </c>
    </row>
    <row r="7789">
      <c r="A7789" s="198" t="inlineStr">
        <is>
          <t>custom.aptidao.7.nome</t>
        </is>
      </c>
      <c r="B7789" s="198">
        <f>IF(ISBLANK('CONFIGURAÇÃO'!$FQ$97),"",'CONFIGURAÇÃO'!$FQ$97&amp;"")</f>
        <v/>
      </c>
      <c r="C7789" s="198">
        <f>"'CONFIGURAÇÃO'!FQ97"</f>
        <v/>
      </c>
      <c r="D7789" s="198" t="inlineStr">
        <is>
          <t>configuração</t>
        </is>
      </c>
    </row>
    <row r="7790">
      <c r="A7790" s="198" t="inlineStr">
        <is>
          <t>custom.aptidao.7.base</t>
        </is>
      </c>
      <c r="B7790" s="198">
        <f>IF(ISBLANK('CONFIGURAÇÃO'!$FT$98),"",'CONFIGURAÇÃO'!$FT$98&amp;"")</f>
        <v/>
      </c>
      <c r="C7790" s="198">
        <f>"'CONFIGURAÇÃO'!FT98"</f>
        <v/>
      </c>
      <c r="D7790" s="198" t="inlineStr">
        <is>
          <t>configuração</t>
        </is>
      </c>
    </row>
    <row r="7791">
      <c r="A7791" s="198" t="inlineStr">
        <is>
          <t>custom.aptidao.7.mestre_viu</t>
        </is>
      </c>
      <c r="B7791" s="198">
        <f>N('CONFIGURAÇÃO'!$FU$95)&amp;""</f>
        <v/>
      </c>
      <c r="C7791" s="198">
        <f>"'CONFIGURAÇÃO'!FU95"</f>
        <v/>
      </c>
      <c r="D7791" s="198" t="inlineStr">
        <is>
          <t>configuração</t>
        </is>
      </c>
    </row>
    <row r="7792">
      <c r="A7792" s="198" t="inlineStr">
        <is>
          <t>custom.aptidao.7.requisitos</t>
        </is>
      </c>
      <c r="B7792" s="198">
        <f>IF(ISBLANK('CONFIGURAÇÃO'!$FQ$105),"",'CONFIGURAÇÃO'!$FQ$105&amp;"")</f>
        <v/>
      </c>
      <c r="C7792" s="198">
        <f>"'CONFIGURAÇÃO'!FQ105"</f>
        <v/>
      </c>
      <c r="D7792" s="198" t="inlineStr">
        <is>
          <t>configuração</t>
        </is>
      </c>
    </row>
    <row r="7793">
      <c r="A7793" s="198" t="inlineStr">
        <is>
          <t>custom.aptidao.7.efeito</t>
        </is>
      </c>
      <c r="B7793" s="198">
        <f>IF(ISBLANK('CONFIGURAÇÃO'!$FQ$111),"",'CONFIGURAÇÃO'!$FQ$111&amp;"")</f>
        <v/>
      </c>
      <c r="C7793" s="198">
        <f>"'CONFIGURAÇÃO'!FQ111"</f>
        <v/>
      </c>
      <c r="D7793" s="198" t="inlineStr">
        <is>
          <t>configuração</t>
        </is>
      </c>
    </row>
    <row r="7794">
      <c r="A7794" s="198" t="inlineStr">
        <is>
          <t>custom.aptidao.7.categoria</t>
        </is>
      </c>
      <c r="B7794" s="198">
        <f>IF(ISBLANK('CONFIGURAÇÃO'!$FT$99),"",'CONFIGURAÇÃO'!$FT$99&amp;"")</f>
        <v/>
      </c>
      <c r="C7794" s="198">
        <f>"'CONFIGURAÇÃO'!FT99"</f>
        <v/>
      </c>
      <c r="D7794" s="198" t="inlineStr">
        <is>
          <t>configuração</t>
        </is>
      </c>
    </row>
    <row r="7795">
      <c r="A7795" s="198" t="inlineStr">
        <is>
          <t>custom.aptidao.7.nivel_minimo</t>
        </is>
      </c>
      <c r="B7795" s="198">
        <f>IF(ISBLANK('CONFIGURAÇÃO'!$FT$100),"",'CONFIGURAÇÃO'!$FT$100&amp;"")</f>
        <v/>
      </c>
      <c r="C7795" s="198">
        <f>"'CONFIGURAÇÃO'!FT100"</f>
        <v/>
      </c>
      <c r="D7795" s="198" t="inlineStr">
        <is>
          <t>configuração</t>
        </is>
      </c>
    </row>
    <row r="7796">
      <c r="A7796" s="198" t="inlineStr">
        <is>
          <t>custom.aptidao.7.refino_minimo</t>
        </is>
      </c>
      <c r="B7796" s="198">
        <f>IF(ISBLANK('CONFIGURAÇÃO'!$FT$101),"",'CONFIGURAÇÃO'!$FT$101&amp;"")</f>
        <v/>
      </c>
      <c r="C7796" s="198">
        <f>"'CONFIGURAÇÃO'!FT101"</f>
        <v/>
      </c>
      <c r="D7796" s="198" t="inlineStr">
        <is>
          <t>configuração</t>
        </is>
      </c>
    </row>
    <row r="7797">
      <c r="A7797" s="198" t="inlineStr">
        <is>
          <t>custom.aptidao.7.escolha</t>
        </is>
      </c>
      <c r="B7797" s="198">
        <f>IF(ISBLANK('CONFIGURAÇÃO'!$FT$102),"",'CONFIGURAÇÃO'!$FT$102&amp;"")</f>
        <v/>
      </c>
      <c r="C7797" s="198">
        <f>"'CONFIGURAÇÃO'!FT102"</f>
        <v/>
      </c>
      <c r="D7797" s="198" t="inlineStr">
        <is>
          <t>configuração</t>
        </is>
      </c>
    </row>
    <row r="7798">
      <c r="A7798" s="198" t="inlineStr">
        <is>
          <t>custom.aptidao.8.tipo</t>
        </is>
      </c>
      <c r="B7798" s="198">
        <f>IF(ISBLANK('CONFIGURAÇÃO'!$FY$95),"",'CONFIGURAÇÃO'!$FY$95&amp;"")</f>
        <v/>
      </c>
      <c r="C7798" s="198">
        <f>"'CONFIGURAÇÃO'!FY95"</f>
        <v/>
      </c>
      <c r="D7798" s="198" t="inlineStr">
        <is>
          <t>configuração</t>
        </is>
      </c>
    </row>
    <row r="7799">
      <c r="A7799" s="198" t="inlineStr">
        <is>
          <t>custom.aptidao.8.nome</t>
        </is>
      </c>
      <c r="B7799" s="198">
        <f>IF(ISBLANK('CONFIGURAÇÃO'!$FY$97),"",'CONFIGURAÇÃO'!$FY$97&amp;"")</f>
        <v/>
      </c>
      <c r="C7799" s="198">
        <f>"'CONFIGURAÇÃO'!FY97"</f>
        <v/>
      </c>
      <c r="D7799" s="198" t="inlineStr">
        <is>
          <t>configuração</t>
        </is>
      </c>
    </row>
    <row r="7800">
      <c r="A7800" s="198" t="inlineStr">
        <is>
          <t>custom.aptidao.8.base</t>
        </is>
      </c>
      <c r="B7800" s="198">
        <f>IF(ISBLANK('CONFIGURAÇÃO'!$GB$98),"",'CONFIGURAÇÃO'!$GB$98&amp;"")</f>
        <v/>
      </c>
      <c r="C7800" s="198">
        <f>"'CONFIGURAÇÃO'!GB98"</f>
        <v/>
      </c>
      <c r="D7800" s="198" t="inlineStr">
        <is>
          <t>configuração</t>
        </is>
      </c>
    </row>
    <row r="7801">
      <c r="A7801" s="198" t="inlineStr">
        <is>
          <t>custom.aptidao.8.mestre_viu</t>
        </is>
      </c>
      <c r="B7801" s="198">
        <f>N('CONFIGURAÇÃO'!$GC$95)&amp;""</f>
        <v/>
      </c>
      <c r="C7801" s="198">
        <f>"'CONFIGURAÇÃO'!GC95"</f>
        <v/>
      </c>
      <c r="D7801" s="198" t="inlineStr">
        <is>
          <t>configuração</t>
        </is>
      </c>
    </row>
    <row r="7802">
      <c r="A7802" s="198" t="inlineStr">
        <is>
          <t>custom.aptidao.8.requisitos</t>
        </is>
      </c>
      <c r="B7802" s="198">
        <f>IF(ISBLANK('CONFIGURAÇÃO'!$FY$105),"",'CONFIGURAÇÃO'!$FY$105&amp;"")</f>
        <v/>
      </c>
      <c r="C7802" s="198">
        <f>"'CONFIGURAÇÃO'!FY105"</f>
        <v/>
      </c>
      <c r="D7802" s="198" t="inlineStr">
        <is>
          <t>configuração</t>
        </is>
      </c>
    </row>
    <row r="7803">
      <c r="A7803" s="198" t="inlineStr">
        <is>
          <t>custom.aptidao.8.efeito</t>
        </is>
      </c>
      <c r="B7803" s="198">
        <f>IF(ISBLANK('CONFIGURAÇÃO'!$FY$111),"",'CONFIGURAÇÃO'!$FY$111&amp;"")</f>
        <v/>
      </c>
      <c r="C7803" s="198">
        <f>"'CONFIGURAÇÃO'!FY111"</f>
        <v/>
      </c>
      <c r="D7803" s="198" t="inlineStr">
        <is>
          <t>configuração</t>
        </is>
      </c>
    </row>
    <row r="7804">
      <c r="A7804" s="198" t="inlineStr">
        <is>
          <t>custom.aptidao.8.categoria</t>
        </is>
      </c>
      <c r="B7804" s="198">
        <f>IF(ISBLANK('CONFIGURAÇÃO'!$GB$99),"",'CONFIGURAÇÃO'!$GB$99&amp;"")</f>
        <v/>
      </c>
      <c r="C7804" s="198">
        <f>"'CONFIGURAÇÃO'!GB99"</f>
        <v/>
      </c>
      <c r="D7804" s="198" t="inlineStr">
        <is>
          <t>configuração</t>
        </is>
      </c>
    </row>
    <row r="7805">
      <c r="A7805" s="198" t="inlineStr">
        <is>
          <t>custom.aptidao.8.nivel_minimo</t>
        </is>
      </c>
      <c r="B7805" s="198">
        <f>IF(ISBLANK('CONFIGURAÇÃO'!$GB$100),"",'CONFIGURAÇÃO'!$GB$100&amp;"")</f>
        <v/>
      </c>
      <c r="C7805" s="198">
        <f>"'CONFIGURAÇÃO'!GB100"</f>
        <v/>
      </c>
      <c r="D7805" s="198" t="inlineStr">
        <is>
          <t>configuração</t>
        </is>
      </c>
    </row>
    <row r="7806">
      <c r="A7806" s="198" t="inlineStr">
        <is>
          <t>custom.aptidao.8.refino_minimo</t>
        </is>
      </c>
      <c r="B7806" s="198">
        <f>IF(ISBLANK('CONFIGURAÇÃO'!$GB$101),"",'CONFIGURAÇÃO'!$GB$101&amp;"")</f>
        <v/>
      </c>
      <c r="C7806" s="198">
        <f>"'CONFIGURAÇÃO'!GB101"</f>
        <v/>
      </c>
      <c r="D7806" s="198" t="inlineStr">
        <is>
          <t>configuração</t>
        </is>
      </c>
    </row>
    <row r="7807">
      <c r="A7807" s="198" t="inlineStr">
        <is>
          <t>custom.aptidao.8.escolha</t>
        </is>
      </c>
      <c r="B7807" s="198">
        <f>IF(ISBLANK('CONFIGURAÇÃO'!$GB$102),"",'CONFIGURAÇÃO'!$GB$102&amp;"")</f>
        <v/>
      </c>
      <c r="C7807" s="198">
        <f>"'CONFIGURAÇÃO'!GB102"</f>
        <v/>
      </c>
      <c r="D7807" s="198" t="inlineStr">
        <is>
          <t>configuração</t>
        </is>
      </c>
    </row>
    <row r="7808">
      <c r="A7808" s="198" t="inlineStr">
        <is>
          <t>custom.aptidao.9.tipo</t>
        </is>
      </c>
      <c r="B7808" s="198">
        <f>IF(ISBLANK('CONFIGURAÇÃO'!$FQ$122),"",'CONFIGURAÇÃO'!$FQ$122&amp;"")</f>
        <v/>
      </c>
      <c r="C7808" s="198">
        <f>"'CONFIGURAÇÃO'!FQ122"</f>
        <v/>
      </c>
      <c r="D7808" s="198" t="inlineStr">
        <is>
          <t>configuração</t>
        </is>
      </c>
    </row>
    <row r="7809">
      <c r="A7809" s="198" t="inlineStr">
        <is>
          <t>custom.aptidao.9.nome</t>
        </is>
      </c>
      <c r="B7809" s="198">
        <f>IF(ISBLANK('CONFIGURAÇÃO'!$FQ$124),"",'CONFIGURAÇÃO'!$FQ$124&amp;"")</f>
        <v/>
      </c>
      <c r="C7809" s="198">
        <f>"'CONFIGURAÇÃO'!FQ124"</f>
        <v/>
      </c>
      <c r="D7809" s="198" t="inlineStr">
        <is>
          <t>configuração</t>
        </is>
      </c>
    </row>
    <row r="7810">
      <c r="A7810" s="198" t="inlineStr">
        <is>
          <t>custom.aptidao.9.base</t>
        </is>
      </c>
      <c r="B7810" s="198">
        <f>IF(ISBLANK('CONFIGURAÇÃO'!$FT$125),"",'CONFIGURAÇÃO'!$FT$125&amp;"")</f>
        <v/>
      </c>
      <c r="C7810" s="198">
        <f>"'CONFIGURAÇÃO'!FT125"</f>
        <v/>
      </c>
      <c r="D7810" s="198" t="inlineStr">
        <is>
          <t>configuração</t>
        </is>
      </c>
    </row>
    <row r="7811">
      <c r="A7811" s="198" t="inlineStr">
        <is>
          <t>custom.aptidao.9.mestre_viu</t>
        </is>
      </c>
      <c r="B7811" s="198">
        <f>N('CONFIGURAÇÃO'!$FU$122)&amp;""</f>
        <v/>
      </c>
      <c r="C7811" s="198">
        <f>"'CONFIGURAÇÃO'!FU122"</f>
        <v/>
      </c>
      <c r="D7811" s="198" t="inlineStr">
        <is>
          <t>configuração</t>
        </is>
      </c>
    </row>
    <row r="7812">
      <c r="A7812" s="198" t="inlineStr">
        <is>
          <t>custom.aptidao.9.requisitos</t>
        </is>
      </c>
      <c r="B7812" s="198">
        <f>IF(ISBLANK('CONFIGURAÇÃO'!$FQ$132),"",'CONFIGURAÇÃO'!$FQ$132&amp;"")</f>
        <v/>
      </c>
      <c r="C7812" s="198">
        <f>"'CONFIGURAÇÃO'!FQ132"</f>
        <v/>
      </c>
      <c r="D7812" s="198" t="inlineStr">
        <is>
          <t>configuração</t>
        </is>
      </c>
    </row>
    <row r="7813">
      <c r="A7813" s="198" t="inlineStr">
        <is>
          <t>custom.aptidao.9.efeito</t>
        </is>
      </c>
      <c r="B7813" s="198">
        <f>IF(ISBLANK('CONFIGURAÇÃO'!$FQ$138),"",'CONFIGURAÇÃO'!$FQ$138&amp;"")</f>
        <v/>
      </c>
      <c r="C7813" s="198">
        <f>"'CONFIGURAÇÃO'!FQ138"</f>
        <v/>
      </c>
      <c r="D7813" s="198" t="inlineStr">
        <is>
          <t>configuração</t>
        </is>
      </c>
    </row>
    <row r="7814">
      <c r="A7814" s="198" t="inlineStr">
        <is>
          <t>custom.aptidao.9.categoria</t>
        </is>
      </c>
      <c r="B7814" s="198">
        <f>IF(ISBLANK('CONFIGURAÇÃO'!$FT$126),"",'CONFIGURAÇÃO'!$FT$126&amp;"")</f>
        <v/>
      </c>
      <c r="C7814" s="198">
        <f>"'CONFIGURAÇÃO'!FT126"</f>
        <v/>
      </c>
      <c r="D7814" s="198" t="inlineStr">
        <is>
          <t>configuração</t>
        </is>
      </c>
    </row>
    <row r="7815">
      <c r="A7815" s="198" t="inlineStr">
        <is>
          <t>custom.aptidao.9.nivel_minimo</t>
        </is>
      </c>
      <c r="B7815" s="198">
        <f>IF(ISBLANK('CONFIGURAÇÃO'!$FT$127),"",'CONFIGURAÇÃO'!$FT$127&amp;"")</f>
        <v/>
      </c>
      <c r="C7815" s="198">
        <f>"'CONFIGURAÇÃO'!FT127"</f>
        <v/>
      </c>
      <c r="D7815" s="198" t="inlineStr">
        <is>
          <t>configuração</t>
        </is>
      </c>
    </row>
    <row r="7816">
      <c r="A7816" s="198" t="inlineStr">
        <is>
          <t>custom.aptidao.9.refino_minimo</t>
        </is>
      </c>
      <c r="B7816" s="198">
        <f>IF(ISBLANK('CONFIGURAÇÃO'!$FT$128),"",'CONFIGURAÇÃO'!$FT$128&amp;"")</f>
        <v/>
      </c>
      <c r="C7816" s="198">
        <f>"'CONFIGURAÇÃO'!FT128"</f>
        <v/>
      </c>
      <c r="D7816" s="198" t="inlineStr">
        <is>
          <t>configuração</t>
        </is>
      </c>
    </row>
    <row r="7817">
      <c r="A7817" s="198" t="inlineStr">
        <is>
          <t>custom.aptidao.9.escolha</t>
        </is>
      </c>
      <c r="B7817" s="198">
        <f>IF(ISBLANK('CONFIGURAÇÃO'!$FT$129),"",'CONFIGURAÇÃO'!$FT$129&amp;"")</f>
        <v/>
      </c>
      <c r="C7817" s="198">
        <f>"'CONFIGURAÇÃO'!FT129"</f>
        <v/>
      </c>
      <c r="D7817" s="198" t="inlineStr">
        <is>
          <t>configuração</t>
        </is>
      </c>
    </row>
    <row r="7818">
      <c r="A7818" s="198" t="inlineStr">
        <is>
          <t>custom.aptidao.10.tipo</t>
        </is>
      </c>
      <c r="B7818" s="198">
        <f>IF(ISBLANK('CONFIGURAÇÃO'!$FY$122),"",'CONFIGURAÇÃO'!$FY$122&amp;"")</f>
        <v/>
      </c>
      <c r="C7818" s="198">
        <f>"'CONFIGURAÇÃO'!FY122"</f>
        <v/>
      </c>
      <c r="D7818" s="198" t="inlineStr">
        <is>
          <t>configuração</t>
        </is>
      </c>
    </row>
    <row r="7819">
      <c r="A7819" s="198" t="inlineStr">
        <is>
          <t>custom.aptidao.10.nome</t>
        </is>
      </c>
      <c r="B7819" s="198">
        <f>IF(ISBLANK('CONFIGURAÇÃO'!$FY$124),"",'CONFIGURAÇÃO'!$FY$124&amp;"")</f>
        <v/>
      </c>
      <c r="C7819" s="198">
        <f>"'CONFIGURAÇÃO'!FY124"</f>
        <v/>
      </c>
      <c r="D7819" s="198" t="inlineStr">
        <is>
          <t>configuração</t>
        </is>
      </c>
    </row>
    <row r="7820">
      <c r="A7820" s="198" t="inlineStr">
        <is>
          <t>custom.aptidao.10.base</t>
        </is>
      </c>
      <c r="B7820" s="198">
        <f>IF(ISBLANK('CONFIGURAÇÃO'!$GB$125),"",'CONFIGURAÇÃO'!$GB$125&amp;"")</f>
        <v/>
      </c>
      <c r="C7820" s="198">
        <f>"'CONFIGURAÇÃO'!GB125"</f>
        <v/>
      </c>
      <c r="D7820" s="198" t="inlineStr">
        <is>
          <t>configuração</t>
        </is>
      </c>
    </row>
    <row r="7821">
      <c r="A7821" s="198" t="inlineStr">
        <is>
          <t>custom.aptidao.10.mestre_viu</t>
        </is>
      </c>
      <c r="B7821" s="198">
        <f>N('CONFIGURAÇÃO'!$GC$122)&amp;""</f>
        <v/>
      </c>
      <c r="C7821" s="198">
        <f>"'CONFIGURAÇÃO'!GC122"</f>
        <v/>
      </c>
      <c r="D7821" s="198" t="inlineStr">
        <is>
          <t>configuração</t>
        </is>
      </c>
    </row>
    <row r="7822">
      <c r="A7822" s="198" t="inlineStr">
        <is>
          <t>custom.aptidao.10.requisitos</t>
        </is>
      </c>
      <c r="B7822" s="198">
        <f>IF(ISBLANK('CONFIGURAÇÃO'!$FY$132),"",'CONFIGURAÇÃO'!$FY$132&amp;"")</f>
        <v/>
      </c>
      <c r="C7822" s="198">
        <f>"'CONFIGURAÇÃO'!FY132"</f>
        <v/>
      </c>
      <c r="D7822" s="198" t="inlineStr">
        <is>
          <t>configuração</t>
        </is>
      </c>
    </row>
    <row r="7823">
      <c r="A7823" s="198" t="inlineStr">
        <is>
          <t>custom.aptidao.10.efeito</t>
        </is>
      </c>
      <c r="B7823" s="198">
        <f>IF(ISBLANK('CONFIGURAÇÃO'!$FY$138),"",'CONFIGURAÇÃO'!$FY$138&amp;"")</f>
        <v/>
      </c>
      <c r="C7823" s="198">
        <f>"'CONFIGURAÇÃO'!FY138"</f>
        <v/>
      </c>
      <c r="D7823" s="198" t="inlineStr">
        <is>
          <t>configuração</t>
        </is>
      </c>
    </row>
    <row r="7824">
      <c r="A7824" s="198" t="inlineStr">
        <is>
          <t>custom.aptidao.10.categoria</t>
        </is>
      </c>
      <c r="B7824" s="198">
        <f>IF(ISBLANK('CONFIGURAÇÃO'!$GB$126),"",'CONFIGURAÇÃO'!$GB$126&amp;"")</f>
        <v/>
      </c>
      <c r="C7824" s="198">
        <f>"'CONFIGURAÇÃO'!GB126"</f>
        <v/>
      </c>
      <c r="D7824" s="198" t="inlineStr">
        <is>
          <t>configuração</t>
        </is>
      </c>
    </row>
    <row r="7825">
      <c r="A7825" s="198" t="inlineStr">
        <is>
          <t>custom.aptidao.10.nivel_minimo</t>
        </is>
      </c>
      <c r="B7825" s="198">
        <f>IF(ISBLANK('CONFIGURAÇÃO'!$GB$127),"",'CONFIGURAÇÃO'!$GB$127&amp;"")</f>
        <v/>
      </c>
      <c r="C7825" s="198">
        <f>"'CONFIGURAÇÃO'!GB127"</f>
        <v/>
      </c>
      <c r="D7825" s="198" t="inlineStr">
        <is>
          <t>configuração</t>
        </is>
      </c>
    </row>
    <row r="7826">
      <c r="A7826" s="198" t="inlineStr">
        <is>
          <t>custom.aptidao.10.refino_minimo</t>
        </is>
      </c>
      <c r="B7826" s="198">
        <f>IF(ISBLANK('CONFIGURAÇÃO'!$GB$128),"",'CONFIGURAÇÃO'!$GB$128&amp;"")</f>
        <v/>
      </c>
      <c r="C7826" s="198">
        <f>"'CONFIGURAÇÃO'!GB128"</f>
        <v/>
      </c>
      <c r="D7826" s="198" t="inlineStr">
        <is>
          <t>configuração</t>
        </is>
      </c>
    </row>
    <row r="7827">
      <c r="A7827" s="198" t="inlineStr">
        <is>
          <t>custom.aptidao.10.escolha</t>
        </is>
      </c>
      <c r="B7827" s="198">
        <f>IF(ISBLANK('CONFIGURAÇÃO'!$GB$129),"",'CONFIGURAÇÃO'!$GB$129&amp;"")</f>
        <v/>
      </c>
      <c r="C7827" s="198">
        <f>"'CONFIGURAÇÃO'!GB129"</f>
        <v/>
      </c>
      <c r="D7827" s="198" t="inlineStr">
        <is>
          <t>configuração</t>
        </is>
      </c>
    </row>
    <row r="7828">
      <c r="A7828" s="198" t="inlineStr">
        <is>
          <t>custom.talento.1.tipo</t>
        </is>
      </c>
      <c r="B7828" s="198">
        <f>IF(ISBLANK('CONFIGURAÇÃO'!$GH$14),"",'CONFIGURAÇÃO'!$GH$14&amp;"")</f>
        <v/>
      </c>
      <c r="C7828" s="198">
        <f>"'CONFIGURAÇÃO'!GH14"</f>
        <v/>
      </c>
      <c r="D7828" s="198" t="inlineStr">
        <is>
          <t>configuração</t>
        </is>
      </c>
    </row>
    <row r="7829">
      <c r="A7829" s="198" t="inlineStr">
        <is>
          <t>custom.talento.1.nome</t>
        </is>
      </c>
      <c r="B7829" s="198">
        <f>IF(ISBLANK('CONFIGURAÇÃO'!$GH$16),"",'CONFIGURAÇÃO'!$GH$16&amp;"")</f>
        <v/>
      </c>
      <c r="C7829" s="198">
        <f>"'CONFIGURAÇÃO'!GH16"</f>
        <v/>
      </c>
      <c r="D7829" s="198" t="inlineStr">
        <is>
          <t>configuração</t>
        </is>
      </c>
    </row>
    <row r="7830">
      <c r="A7830" s="198" t="inlineStr">
        <is>
          <t>custom.talento.1.base</t>
        </is>
      </c>
      <c r="B7830" s="198">
        <f>IF(ISBLANK('CONFIGURAÇÃO'!$GK$17),"",'CONFIGURAÇÃO'!$GK$17&amp;"")</f>
        <v/>
      </c>
      <c r="C7830" s="198">
        <f>"'CONFIGURAÇÃO'!GK17"</f>
        <v/>
      </c>
      <c r="D7830" s="198" t="inlineStr">
        <is>
          <t>configuração</t>
        </is>
      </c>
    </row>
    <row r="7831">
      <c r="A7831" s="198" t="inlineStr">
        <is>
          <t>custom.talento.1.mestre_viu</t>
        </is>
      </c>
      <c r="B7831" s="198">
        <f>N('CONFIGURAÇÃO'!$GL$14)&amp;""</f>
        <v/>
      </c>
      <c r="C7831" s="198">
        <f>"'CONFIGURAÇÃO'!GL14"</f>
        <v/>
      </c>
      <c r="D7831" s="198" t="inlineStr">
        <is>
          <t>configuração</t>
        </is>
      </c>
    </row>
    <row r="7832">
      <c r="A7832" s="198" t="inlineStr">
        <is>
          <t>custom.talento.1.requisitos</t>
        </is>
      </c>
      <c r="B7832" s="198">
        <f>IF(ISBLANK('CONFIGURAÇÃO'!$GH$22),"",'CONFIGURAÇÃO'!$GH$22&amp;"")</f>
        <v/>
      </c>
      <c r="C7832" s="198">
        <f>"'CONFIGURAÇÃO'!GH22"</f>
        <v/>
      </c>
      <c r="D7832" s="198" t="inlineStr">
        <is>
          <t>configuração</t>
        </is>
      </c>
    </row>
    <row r="7833">
      <c r="A7833" s="198" t="inlineStr">
        <is>
          <t>custom.talento.1.efeito</t>
        </is>
      </c>
      <c r="B7833" s="198">
        <f>IF(ISBLANK('CONFIGURAÇÃO'!$GH$28),"",'CONFIGURAÇÃO'!$GH$28&amp;"")</f>
        <v/>
      </c>
      <c r="C7833" s="198">
        <f>"'CONFIGURAÇÃO'!GH28"</f>
        <v/>
      </c>
      <c r="D7833" s="198" t="inlineStr">
        <is>
          <t>configuração</t>
        </is>
      </c>
    </row>
    <row r="7834">
      <c r="A7834" s="198" t="inlineStr">
        <is>
          <t>custom.talento.1.categoria</t>
        </is>
      </c>
      <c r="B7834" s="198">
        <f>IF(ISBLANK('CONFIGURAÇÃO'!$GK$18),"",'CONFIGURAÇÃO'!$GK$18&amp;"")</f>
        <v/>
      </c>
      <c r="C7834" s="198">
        <f>"'CONFIGURAÇÃO'!GK18"</f>
        <v/>
      </c>
      <c r="D7834" s="198" t="inlineStr">
        <is>
          <t>configuração</t>
        </is>
      </c>
    </row>
    <row r="7835">
      <c r="A7835" s="198" t="inlineStr">
        <is>
          <t>custom.talento.1.rota</t>
        </is>
      </c>
      <c r="B7835" s="198">
        <f>IF(ISBLANK('CONFIGURAÇÃO'!$GK$19),"",'CONFIGURAÇÃO'!$GK$19&amp;"")</f>
        <v/>
      </c>
      <c r="C7835" s="198">
        <f>"'CONFIGURAÇÃO'!GK19"</f>
        <v/>
      </c>
      <c r="D7835" s="198" t="inlineStr">
        <is>
          <t>configuração</t>
        </is>
      </c>
    </row>
    <row r="7836">
      <c r="A7836" s="198" t="inlineStr">
        <is>
          <t>custom.talento.2.tipo</t>
        </is>
      </c>
      <c r="B7836" s="198">
        <f>IF(ISBLANK('CONFIGURAÇÃO'!$GP$14),"",'CONFIGURAÇÃO'!$GP$14&amp;"")</f>
        <v/>
      </c>
      <c r="C7836" s="198">
        <f>"'CONFIGURAÇÃO'!GP14"</f>
        <v/>
      </c>
      <c r="D7836" s="198" t="inlineStr">
        <is>
          <t>configuração</t>
        </is>
      </c>
    </row>
    <row r="7837">
      <c r="A7837" s="198" t="inlineStr">
        <is>
          <t>custom.talento.2.nome</t>
        </is>
      </c>
      <c r="B7837" s="198">
        <f>IF(ISBLANK('CONFIGURAÇÃO'!$GP$16),"",'CONFIGURAÇÃO'!$GP$16&amp;"")</f>
        <v/>
      </c>
      <c r="C7837" s="198">
        <f>"'CONFIGURAÇÃO'!GP16"</f>
        <v/>
      </c>
      <c r="D7837" s="198" t="inlineStr">
        <is>
          <t>configuração</t>
        </is>
      </c>
    </row>
    <row r="7838">
      <c r="A7838" s="198" t="inlineStr">
        <is>
          <t>custom.talento.2.base</t>
        </is>
      </c>
      <c r="B7838" s="198">
        <f>IF(ISBLANK('CONFIGURAÇÃO'!$GS$17),"",'CONFIGURAÇÃO'!$GS$17&amp;"")</f>
        <v/>
      </c>
      <c r="C7838" s="198">
        <f>"'CONFIGURAÇÃO'!GS17"</f>
        <v/>
      </c>
      <c r="D7838" s="198" t="inlineStr">
        <is>
          <t>configuração</t>
        </is>
      </c>
    </row>
    <row r="7839">
      <c r="A7839" s="198" t="inlineStr">
        <is>
          <t>custom.talento.2.mestre_viu</t>
        </is>
      </c>
      <c r="B7839" s="198">
        <f>N('CONFIGURAÇÃO'!$GT$14)&amp;""</f>
        <v/>
      </c>
      <c r="C7839" s="198">
        <f>"'CONFIGURAÇÃO'!GT14"</f>
        <v/>
      </c>
      <c r="D7839" s="198" t="inlineStr">
        <is>
          <t>configuração</t>
        </is>
      </c>
    </row>
    <row r="7840">
      <c r="A7840" s="198" t="inlineStr">
        <is>
          <t>custom.talento.2.requisitos</t>
        </is>
      </c>
      <c r="B7840" s="198">
        <f>IF(ISBLANK('CONFIGURAÇÃO'!$GP$22),"",'CONFIGURAÇÃO'!$GP$22&amp;"")</f>
        <v/>
      </c>
      <c r="C7840" s="198">
        <f>"'CONFIGURAÇÃO'!GP22"</f>
        <v/>
      </c>
      <c r="D7840" s="198" t="inlineStr">
        <is>
          <t>configuração</t>
        </is>
      </c>
    </row>
    <row r="7841">
      <c r="A7841" s="198" t="inlineStr">
        <is>
          <t>custom.talento.2.efeito</t>
        </is>
      </c>
      <c r="B7841" s="198">
        <f>IF(ISBLANK('CONFIGURAÇÃO'!$GP$28),"",'CONFIGURAÇÃO'!$GP$28&amp;"")</f>
        <v/>
      </c>
      <c r="C7841" s="198">
        <f>"'CONFIGURAÇÃO'!GP28"</f>
        <v/>
      </c>
      <c r="D7841" s="198" t="inlineStr">
        <is>
          <t>configuração</t>
        </is>
      </c>
    </row>
    <row r="7842">
      <c r="A7842" s="198" t="inlineStr">
        <is>
          <t>custom.talento.2.categoria</t>
        </is>
      </c>
      <c r="B7842" s="198">
        <f>IF(ISBLANK('CONFIGURAÇÃO'!$GS$18),"",'CONFIGURAÇÃO'!$GS$18&amp;"")</f>
        <v/>
      </c>
      <c r="C7842" s="198">
        <f>"'CONFIGURAÇÃO'!GS18"</f>
        <v/>
      </c>
      <c r="D7842" s="198" t="inlineStr">
        <is>
          <t>configuração</t>
        </is>
      </c>
    </row>
    <row r="7843">
      <c r="A7843" s="198" t="inlineStr">
        <is>
          <t>custom.talento.2.rota</t>
        </is>
      </c>
      <c r="B7843" s="198">
        <f>IF(ISBLANK('CONFIGURAÇÃO'!$GS$19),"",'CONFIGURAÇÃO'!$GS$19&amp;"")</f>
        <v/>
      </c>
      <c r="C7843" s="198">
        <f>"'CONFIGURAÇÃO'!GS19"</f>
        <v/>
      </c>
      <c r="D7843" s="198" t="inlineStr">
        <is>
          <t>configuração</t>
        </is>
      </c>
    </row>
    <row r="7844">
      <c r="A7844" s="198" t="inlineStr">
        <is>
          <t>custom.talento.3.tipo</t>
        </is>
      </c>
      <c r="B7844" s="198">
        <f>IF(ISBLANK('CONFIGURAÇÃO'!$GH$39),"",'CONFIGURAÇÃO'!$GH$39&amp;"")</f>
        <v/>
      </c>
      <c r="C7844" s="198">
        <f>"'CONFIGURAÇÃO'!GH39"</f>
        <v/>
      </c>
      <c r="D7844" s="198" t="inlineStr">
        <is>
          <t>configuração</t>
        </is>
      </c>
    </row>
    <row r="7845">
      <c r="A7845" s="198" t="inlineStr">
        <is>
          <t>custom.talento.3.nome</t>
        </is>
      </c>
      <c r="B7845" s="198">
        <f>IF(ISBLANK('CONFIGURAÇÃO'!$GH$41),"",'CONFIGURAÇÃO'!$GH$41&amp;"")</f>
        <v/>
      </c>
      <c r="C7845" s="198">
        <f>"'CONFIGURAÇÃO'!GH41"</f>
        <v/>
      </c>
      <c r="D7845" s="198" t="inlineStr">
        <is>
          <t>configuração</t>
        </is>
      </c>
    </row>
    <row r="7846">
      <c r="A7846" s="198" t="inlineStr">
        <is>
          <t>custom.talento.3.base</t>
        </is>
      </c>
      <c r="B7846" s="198">
        <f>IF(ISBLANK('CONFIGURAÇÃO'!$GK$42),"",'CONFIGURAÇÃO'!$GK$42&amp;"")</f>
        <v/>
      </c>
      <c r="C7846" s="198">
        <f>"'CONFIGURAÇÃO'!GK42"</f>
        <v/>
      </c>
      <c r="D7846" s="198" t="inlineStr">
        <is>
          <t>configuração</t>
        </is>
      </c>
    </row>
    <row r="7847">
      <c r="A7847" s="198" t="inlineStr">
        <is>
          <t>custom.talento.3.mestre_viu</t>
        </is>
      </c>
      <c r="B7847" s="198">
        <f>N('CONFIGURAÇÃO'!$GL$39)&amp;""</f>
        <v/>
      </c>
      <c r="C7847" s="198">
        <f>"'CONFIGURAÇÃO'!GL39"</f>
        <v/>
      </c>
      <c r="D7847" s="198" t="inlineStr">
        <is>
          <t>configuração</t>
        </is>
      </c>
    </row>
    <row r="7848">
      <c r="A7848" s="198" t="inlineStr">
        <is>
          <t>custom.talento.3.requisitos</t>
        </is>
      </c>
      <c r="B7848" s="198">
        <f>IF(ISBLANK('CONFIGURAÇÃO'!$GH$47),"",'CONFIGURAÇÃO'!$GH$47&amp;"")</f>
        <v/>
      </c>
      <c r="C7848" s="198">
        <f>"'CONFIGURAÇÃO'!GH47"</f>
        <v/>
      </c>
      <c r="D7848" s="198" t="inlineStr">
        <is>
          <t>configuração</t>
        </is>
      </c>
    </row>
    <row r="7849">
      <c r="A7849" s="198" t="inlineStr">
        <is>
          <t>custom.talento.3.efeito</t>
        </is>
      </c>
      <c r="B7849" s="198">
        <f>IF(ISBLANK('CONFIGURAÇÃO'!$GH$53),"",'CONFIGURAÇÃO'!$GH$53&amp;"")</f>
        <v/>
      </c>
      <c r="C7849" s="198">
        <f>"'CONFIGURAÇÃO'!GH53"</f>
        <v/>
      </c>
      <c r="D7849" s="198" t="inlineStr">
        <is>
          <t>configuração</t>
        </is>
      </c>
    </row>
    <row r="7850">
      <c r="A7850" s="198" t="inlineStr">
        <is>
          <t>custom.talento.3.categoria</t>
        </is>
      </c>
      <c r="B7850" s="198">
        <f>IF(ISBLANK('CONFIGURAÇÃO'!$GK$43),"",'CONFIGURAÇÃO'!$GK$43&amp;"")</f>
        <v/>
      </c>
      <c r="C7850" s="198">
        <f>"'CONFIGURAÇÃO'!GK43"</f>
        <v/>
      </c>
      <c r="D7850" s="198" t="inlineStr">
        <is>
          <t>configuração</t>
        </is>
      </c>
    </row>
    <row r="7851">
      <c r="A7851" s="198" t="inlineStr">
        <is>
          <t>custom.talento.3.rota</t>
        </is>
      </c>
      <c r="B7851" s="198">
        <f>IF(ISBLANK('CONFIGURAÇÃO'!$GK$44),"",'CONFIGURAÇÃO'!$GK$44&amp;"")</f>
        <v/>
      </c>
      <c r="C7851" s="198">
        <f>"'CONFIGURAÇÃO'!GK44"</f>
        <v/>
      </c>
      <c r="D7851" s="198" t="inlineStr">
        <is>
          <t>configuração</t>
        </is>
      </c>
    </row>
    <row r="7852">
      <c r="A7852" s="198" t="inlineStr">
        <is>
          <t>custom.talento.4.tipo</t>
        </is>
      </c>
      <c r="B7852" s="198">
        <f>IF(ISBLANK('CONFIGURAÇÃO'!$GP$39),"",'CONFIGURAÇÃO'!$GP$39&amp;"")</f>
        <v/>
      </c>
      <c r="C7852" s="198">
        <f>"'CONFIGURAÇÃO'!GP39"</f>
        <v/>
      </c>
      <c r="D7852" s="198" t="inlineStr">
        <is>
          <t>configuração</t>
        </is>
      </c>
    </row>
    <row r="7853">
      <c r="A7853" s="198" t="inlineStr">
        <is>
          <t>custom.talento.4.nome</t>
        </is>
      </c>
      <c r="B7853" s="198">
        <f>IF(ISBLANK('CONFIGURAÇÃO'!$GP$41),"",'CONFIGURAÇÃO'!$GP$41&amp;"")</f>
        <v/>
      </c>
      <c r="C7853" s="198">
        <f>"'CONFIGURAÇÃO'!GP41"</f>
        <v/>
      </c>
      <c r="D7853" s="198" t="inlineStr">
        <is>
          <t>configuração</t>
        </is>
      </c>
    </row>
    <row r="7854">
      <c r="A7854" s="198" t="inlineStr">
        <is>
          <t>custom.talento.4.base</t>
        </is>
      </c>
      <c r="B7854" s="198">
        <f>IF(ISBLANK('CONFIGURAÇÃO'!$GS$42),"",'CONFIGURAÇÃO'!$GS$42&amp;"")</f>
        <v/>
      </c>
      <c r="C7854" s="198">
        <f>"'CONFIGURAÇÃO'!GS42"</f>
        <v/>
      </c>
      <c r="D7854" s="198" t="inlineStr">
        <is>
          <t>configuração</t>
        </is>
      </c>
    </row>
    <row r="7855">
      <c r="A7855" s="198" t="inlineStr">
        <is>
          <t>custom.talento.4.mestre_viu</t>
        </is>
      </c>
      <c r="B7855" s="198">
        <f>N('CONFIGURAÇÃO'!$GT$39)&amp;""</f>
        <v/>
      </c>
      <c r="C7855" s="198">
        <f>"'CONFIGURAÇÃO'!GT39"</f>
        <v/>
      </c>
      <c r="D7855" s="198" t="inlineStr">
        <is>
          <t>configuração</t>
        </is>
      </c>
    </row>
    <row r="7856">
      <c r="A7856" s="198" t="inlineStr">
        <is>
          <t>custom.talento.4.requisitos</t>
        </is>
      </c>
      <c r="B7856" s="198">
        <f>IF(ISBLANK('CONFIGURAÇÃO'!$GP$47),"",'CONFIGURAÇÃO'!$GP$47&amp;"")</f>
        <v/>
      </c>
      <c r="C7856" s="198">
        <f>"'CONFIGURAÇÃO'!GP47"</f>
        <v/>
      </c>
      <c r="D7856" s="198" t="inlineStr">
        <is>
          <t>configuração</t>
        </is>
      </c>
    </row>
    <row r="7857">
      <c r="A7857" s="198" t="inlineStr">
        <is>
          <t>custom.talento.4.efeito</t>
        </is>
      </c>
      <c r="B7857" s="198">
        <f>IF(ISBLANK('CONFIGURAÇÃO'!$GP$53),"",'CONFIGURAÇÃO'!$GP$53&amp;"")</f>
        <v/>
      </c>
      <c r="C7857" s="198">
        <f>"'CONFIGURAÇÃO'!GP53"</f>
        <v/>
      </c>
      <c r="D7857" s="198" t="inlineStr">
        <is>
          <t>configuração</t>
        </is>
      </c>
    </row>
    <row r="7858">
      <c r="A7858" s="198" t="inlineStr">
        <is>
          <t>custom.talento.4.categoria</t>
        </is>
      </c>
      <c r="B7858" s="198">
        <f>IF(ISBLANK('CONFIGURAÇÃO'!$GS$43),"",'CONFIGURAÇÃO'!$GS$43&amp;"")</f>
        <v/>
      </c>
      <c r="C7858" s="198">
        <f>"'CONFIGURAÇÃO'!GS43"</f>
        <v/>
      </c>
      <c r="D7858" s="198" t="inlineStr">
        <is>
          <t>configuração</t>
        </is>
      </c>
    </row>
    <row r="7859">
      <c r="A7859" s="198" t="inlineStr">
        <is>
          <t>custom.talento.4.rota</t>
        </is>
      </c>
      <c r="B7859" s="198">
        <f>IF(ISBLANK('CONFIGURAÇÃO'!$GS$44),"",'CONFIGURAÇÃO'!$GS$44&amp;"")</f>
        <v/>
      </c>
      <c r="C7859" s="198">
        <f>"'CONFIGURAÇÃO'!GS44"</f>
        <v/>
      </c>
      <c r="D7859" s="198" t="inlineStr">
        <is>
          <t>configuração</t>
        </is>
      </c>
    </row>
    <row r="7860">
      <c r="A7860" s="198" t="inlineStr">
        <is>
          <t>custom.talento.5.tipo</t>
        </is>
      </c>
      <c r="B7860" s="198">
        <f>IF(ISBLANK('CONFIGURAÇÃO'!$GH$64),"",'CONFIGURAÇÃO'!$GH$64&amp;"")</f>
        <v/>
      </c>
      <c r="C7860" s="198">
        <f>"'CONFIGURAÇÃO'!GH64"</f>
        <v/>
      </c>
      <c r="D7860" s="198" t="inlineStr">
        <is>
          <t>configuração</t>
        </is>
      </c>
    </row>
    <row r="7861">
      <c r="A7861" s="198" t="inlineStr">
        <is>
          <t>custom.talento.5.nome</t>
        </is>
      </c>
      <c r="B7861" s="198">
        <f>IF(ISBLANK('CONFIGURAÇÃO'!$GH$66),"",'CONFIGURAÇÃO'!$GH$66&amp;"")</f>
        <v/>
      </c>
      <c r="C7861" s="198">
        <f>"'CONFIGURAÇÃO'!GH66"</f>
        <v/>
      </c>
      <c r="D7861" s="198" t="inlineStr">
        <is>
          <t>configuração</t>
        </is>
      </c>
    </row>
    <row r="7862">
      <c r="A7862" s="198" t="inlineStr">
        <is>
          <t>custom.talento.5.base</t>
        </is>
      </c>
      <c r="B7862" s="198">
        <f>IF(ISBLANK('CONFIGURAÇÃO'!$GK$67),"",'CONFIGURAÇÃO'!$GK$67&amp;"")</f>
        <v/>
      </c>
      <c r="C7862" s="198">
        <f>"'CONFIGURAÇÃO'!GK67"</f>
        <v/>
      </c>
      <c r="D7862" s="198" t="inlineStr">
        <is>
          <t>configuração</t>
        </is>
      </c>
    </row>
    <row r="7863">
      <c r="A7863" s="198" t="inlineStr">
        <is>
          <t>custom.talento.5.mestre_viu</t>
        </is>
      </c>
      <c r="B7863" s="198">
        <f>N('CONFIGURAÇÃO'!$GL$64)&amp;""</f>
        <v/>
      </c>
      <c r="C7863" s="198">
        <f>"'CONFIGURAÇÃO'!GL64"</f>
        <v/>
      </c>
      <c r="D7863" s="198" t="inlineStr">
        <is>
          <t>configuração</t>
        </is>
      </c>
    </row>
    <row r="7864">
      <c r="A7864" s="198" t="inlineStr">
        <is>
          <t>custom.talento.5.requisitos</t>
        </is>
      </c>
      <c r="B7864" s="198">
        <f>IF(ISBLANK('CONFIGURAÇÃO'!$GH$72),"",'CONFIGURAÇÃO'!$GH$72&amp;"")</f>
        <v/>
      </c>
      <c r="C7864" s="198">
        <f>"'CONFIGURAÇÃO'!GH72"</f>
        <v/>
      </c>
      <c r="D7864" s="198" t="inlineStr">
        <is>
          <t>configuração</t>
        </is>
      </c>
    </row>
    <row r="7865">
      <c r="A7865" s="198" t="inlineStr">
        <is>
          <t>custom.talento.5.efeito</t>
        </is>
      </c>
      <c r="B7865" s="198">
        <f>IF(ISBLANK('CONFIGURAÇÃO'!$GH$78),"",'CONFIGURAÇÃO'!$GH$78&amp;"")</f>
        <v/>
      </c>
      <c r="C7865" s="198">
        <f>"'CONFIGURAÇÃO'!GH78"</f>
        <v/>
      </c>
      <c r="D7865" s="198" t="inlineStr">
        <is>
          <t>configuração</t>
        </is>
      </c>
    </row>
    <row r="7866">
      <c r="A7866" s="198" t="inlineStr">
        <is>
          <t>custom.talento.5.categoria</t>
        </is>
      </c>
      <c r="B7866" s="198">
        <f>IF(ISBLANK('CONFIGURAÇÃO'!$GK$68),"",'CONFIGURAÇÃO'!$GK$68&amp;"")</f>
        <v/>
      </c>
      <c r="C7866" s="198">
        <f>"'CONFIGURAÇÃO'!GK68"</f>
        <v/>
      </c>
      <c r="D7866" s="198" t="inlineStr">
        <is>
          <t>configuração</t>
        </is>
      </c>
    </row>
    <row r="7867">
      <c r="A7867" s="198" t="inlineStr">
        <is>
          <t>custom.talento.5.rota</t>
        </is>
      </c>
      <c r="B7867" s="198">
        <f>IF(ISBLANK('CONFIGURAÇÃO'!$GK$69),"",'CONFIGURAÇÃO'!$GK$69&amp;"")</f>
        <v/>
      </c>
      <c r="C7867" s="198">
        <f>"'CONFIGURAÇÃO'!GK69"</f>
        <v/>
      </c>
      <c r="D7867" s="198" t="inlineStr">
        <is>
          <t>configuração</t>
        </is>
      </c>
    </row>
    <row r="7868">
      <c r="A7868" s="198" t="inlineStr">
        <is>
          <t>custom.talento.6.tipo</t>
        </is>
      </c>
      <c r="B7868" s="198">
        <f>IF(ISBLANK('CONFIGURAÇÃO'!$GP$64),"",'CONFIGURAÇÃO'!$GP$64&amp;"")</f>
        <v/>
      </c>
      <c r="C7868" s="198">
        <f>"'CONFIGURAÇÃO'!GP64"</f>
        <v/>
      </c>
      <c r="D7868" s="198" t="inlineStr">
        <is>
          <t>configuração</t>
        </is>
      </c>
    </row>
    <row r="7869">
      <c r="A7869" s="198" t="inlineStr">
        <is>
          <t>custom.talento.6.nome</t>
        </is>
      </c>
      <c r="B7869" s="198">
        <f>IF(ISBLANK('CONFIGURAÇÃO'!$GP$66),"",'CONFIGURAÇÃO'!$GP$66&amp;"")</f>
        <v/>
      </c>
      <c r="C7869" s="198">
        <f>"'CONFIGURAÇÃO'!GP66"</f>
        <v/>
      </c>
      <c r="D7869" s="198" t="inlineStr">
        <is>
          <t>configuração</t>
        </is>
      </c>
    </row>
    <row r="7870">
      <c r="A7870" s="198" t="inlineStr">
        <is>
          <t>custom.talento.6.base</t>
        </is>
      </c>
      <c r="B7870" s="198">
        <f>IF(ISBLANK('CONFIGURAÇÃO'!$GS$67),"",'CONFIGURAÇÃO'!$GS$67&amp;"")</f>
        <v/>
      </c>
      <c r="C7870" s="198">
        <f>"'CONFIGURAÇÃO'!GS67"</f>
        <v/>
      </c>
      <c r="D7870" s="198" t="inlineStr">
        <is>
          <t>configuração</t>
        </is>
      </c>
    </row>
    <row r="7871">
      <c r="A7871" s="198" t="inlineStr">
        <is>
          <t>custom.talento.6.mestre_viu</t>
        </is>
      </c>
      <c r="B7871" s="198">
        <f>N('CONFIGURAÇÃO'!$GT$64)&amp;""</f>
        <v/>
      </c>
      <c r="C7871" s="198">
        <f>"'CONFIGURAÇÃO'!GT64"</f>
        <v/>
      </c>
      <c r="D7871" s="198" t="inlineStr">
        <is>
          <t>configuração</t>
        </is>
      </c>
    </row>
    <row r="7872">
      <c r="A7872" s="198" t="inlineStr">
        <is>
          <t>custom.talento.6.requisitos</t>
        </is>
      </c>
      <c r="B7872" s="198">
        <f>IF(ISBLANK('CONFIGURAÇÃO'!$GP$72),"",'CONFIGURAÇÃO'!$GP$72&amp;"")</f>
        <v/>
      </c>
      <c r="C7872" s="198">
        <f>"'CONFIGURAÇÃO'!GP72"</f>
        <v/>
      </c>
      <c r="D7872" s="198" t="inlineStr">
        <is>
          <t>configuração</t>
        </is>
      </c>
    </row>
    <row r="7873">
      <c r="A7873" s="198" t="inlineStr">
        <is>
          <t>custom.talento.6.efeito</t>
        </is>
      </c>
      <c r="B7873" s="198">
        <f>IF(ISBLANK('CONFIGURAÇÃO'!$GP$78),"",'CONFIGURAÇÃO'!$GP$78&amp;"")</f>
        <v/>
      </c>
      <c r="C7873" s="198">
        <f>"'CONFIGURAÇÃO'!GP78"</f>
        <v/>
      </c>
      <c r="D7873" s="198" t="inlineStr">
        <is>
          <t>configuração</t>
        </is>
      </c>
    </row>
    <row r="7874">
      <c r="A7874" s="198" t="inlineStr">
        <is>
          <t>custom.talento.6.categoria</t>
        </is>
      </c>
      <c r="B7874" s="198">
        <f>IF(ISBLANK('CONFIGURAÇÃO'!$GS$68),"",'CONFIGURAÇÃO'!$GS$68&amp;"")</f>
        <v/>
      </c>
      <c r="C7874" s="198">
        <f>"'CONFIGURAÇÃO'!GS68"</f>
        <v/>
      </c>
      <c r="D7874" s="198" t="inlineStr">
        <is>
          <t>configuração</t>
        </is>
      </c>
    </row>
    <row r="7875">
      <c r="A7875" s="198" t="inlineStr">
        <is>
          <t>custom.talento.6.rota</t>
        </is>
      </c>
      <c r="B7875" s="198">
        <f>IF(ISBLANK('CONFIGURAÇÃO'!$GS$69),"",'CONFIGURAÇÃO'!$GS$69&amp;"")</f>
        <v/>
      </c>
      <c r="C7875" s="198">
        <f>"'CONFIGURAÇÃO'!GS69"</f>
        <v/>
      </c>
      <c r="D7875" s="198" t="inlineStr">
        <is>
          <t>configuração</t>
        </is>
      </c>
    </row>
    <row r="7876">
      <c r="A7876" s="198" t="inlineStr">
        <is>
          <t>custom.talento.7.tipo</t>
        </is>
      </c>
      <c r="B7876" s="198">
        <f>IF(ISBLANK('CONFIGURAÇÃO'!$GH$89),"",'CONFIGURAÇÃO'!$GH$89&amp;"")</f>
        <v/>
      </c>
      <c r="C7876" s="198">
        <f>"'CONFIGURAÇÃO'!GH89"</f>
        <v/>
      </c>
      <c r="D7876" s="198" t="inlineStr">
        <is>
          <t>configuração</t>
        </is>
      </c>
    </row>
    <row r="7877">
      <c r="A7877" s="198" t="inlineStr">
        <is>
          <t>custom.talento.7.nome</t>
        </is>
      </c>
      <c r="B7877" s="198">
        <f>IF(ISBLANK('CONFIGURAÇÃO'!$GH$91),"",'CONFIGURAÇÃO'!$GH$91&amp;"")</f>
        <v/>
      </c>
      <c r="C7877" s="198">
        <f>"'CONFIGURAÇÃO'!GH91"</f>
        <v/>
      </c>
      <c r="D7877" s="198" t="inlineStr">
        <is>
          <t>configuração</t>
        </is>
      </c>
    </row>
    <row r="7878">
      <c r="A7878" s="198" t="inlineStr">
        <is>
          <t>custom.talento.7.base</t>
        </is>
      </c>
      <c r="B7878" s="198">
        <f>IF(ISBLANK('CONFIGURAÇÃO'!$GK$92),"",'CONFIGURAÇÃO'!$GK$92&amp;"")</f>
        <v/>
      </c>
      <c r="C7878" s="198">
        <f>"'CONFIGURAÇÃO'!GK92"</f>
        <v/>
      </c>
      <c r="D7878" s="198" t="inlineStr">
        <is>
          <t>configuração</t>
        </is>
      </c>
    </row>
    <row r="7879">
      <c r="A7879" s="198" t="inlineStr">
        <is>
          <t>custom.talento.7.mestre_viu</t>
        </is>
      </c>
      <c r="B7879" s="198">
        <f>N('CONFIGURAÇÃO'!$GL$89)&amp;""</f>
        <v/>
      </c>
      <c r="C7879" s="198">
        <f>"'CONFIGURAÇÃO'!GL89"</f>
        <v/>
      </c>
      <c r="D7879" s="198" t="inlineStr">
        <is>
          <t>configuração</t>
        </is>
      </c>
    </row>
    <row r="7880">
      <c r="A7880" s="198" t="inlineStr">
        <is>
          <t>custom.talento.7.requisitos</t>
        </is>
      </c>
      <c r="B7880" s="198">
        <f>IF(ISBLANK('CONFIGURAÇÃO'!$GH$97),"",'CONFIGURAÇÃO'!$GH$97&amp;"")</f>
        <v/>
      </c>
      <c r="C7880" s="198">
        <f>"'CONFIGURAÇÃO'!GH97"</f>
        <v/>
      </c>
      <c r="D7880" s="198" t="inlineStr">
        <is>
          <t>configuração</t>
        </is>
      </c>
    </row>
    <row r="7881">
      <c r="A7881" s="198" t="inlineStr">
        <is>
          <t>custom.talento.7.efeito</t>
        </is>
      </c>
      <c r="B7881" s="198">
        <f>IF(ISBLANK('CONFIGURAÇÃO'!$GH$103),"",'CONFIGURAÇÃO'!$GH$103&amp;"")</f>
        <v/>
      </c>
      <c r="C7881" s="198">
        <f>"'CONFIGURAÇÃO'!GH103"</f>
        <v/>
      </c>
      <c r="D7881" s="198" t="inlineStr">
        <is>
          <t>configuração</t>
        </is>
      </c>
    </row>
    <row r="7882">
      <c r="A7882" s="198" t="inlineStr">
        <is>
          <t>custom.talento.7.categoria</t>
        </is>
      </c>
      <c r="B7882" s="198">
        <f>IF(ISBLANK('CONFIGURAÇÃO'!$GK$93),"",'CONFIGURAÇÃO'!$GK$93&amp;"")</f>
        <v/>
      </c>
      <c r="C7882" s="198">
        <f>"'CONFIGURAÇÃO'!GK93"</f>
        <v/>
      </c>
      <c r="D7882" s="198" t="inlineStr">
        <is>
          <t>configuração</t>
        </is>
      </c>
    </row>
    <row r="7883">
      <c r="A7883" s="198" t="inlineStr">
        <is>
          <t>custom.talento.7.rota</t>
        </is>
      </c>
      <c r="B7883" s="198">
        <f>IF(ISBLANK('CONFIGURAÇÃO'!$GK$94),"",'CONFIGURAÇÃO'!$GK$94&amp;"")</f>
        <v/>
      </c>
      <c r="C7883" s="198">
        <f>"'CONFIGURAÇÃO'!GK94"</f>
        <v/>
      </c>
      <c r="D7883" s="198" t="inlineStr">
        <is>
          <t>configuração</t>
        </is>
      </c>
    </row>
    <row r="7884">
      <c r="A7884" s="198" t="inlineStr">
        <is>
          <t>custom.talento.8.tipo</t>
        </is>
      </c>
      <c r="B7884" s="198">
        <f>IF(ISBLANK('CONFIGURAÇÃO'!$GP$89),"",'CONFIGURAÇÃO'!$GP$89&amp;"")</f>
        <v/>
      </c>
      <c r="C7884" s="198">
        <f>"'CONFIGURAÇÃO'!GP89"</f>
        <v/>
      </c>
      <c r="D7884" s="198" t="inlineStr">
        <is>
          <t>configuração</t>
        </is>
      </c>
    </row>
    <row r="7885">
      <c r="A7885" s="198" t="inlineStr">
        <is>
          <t>custom.talento.8.nome</t>
        </is>
      </c>
      <c r="B7885" s="198">
        <f>IF(ISBLANK('CONFIGURAÇÃO'!$GP$91),"",'CONFIGURAÇÃO'!$GP$91&amp;"")</f>
        <v/>
      </c>
      <c r="C7885" s="198">
        <f>"'CONFIGURAÇÃO'!GP91"</f>
        <v/>
      </c>
      <c r="D7885" s="198" t="inlineStr">
        <is>
          <t>configuração</t>
        </is>
      </c>
    </row>
    <row r="7886">
      <c r="A7886" s="198" t="inlineStr">
        <is>
          <t>custom.talento.8.base</t>
        </is>
      </c>
      <c r="B7886" s="198">
        <f>IF(ISBLANK('CONFIGURAÇÃO'!$GS$92),"",'CONFIGURAÇÃO'!$GS$92&amp;"")</f>
        <v/>
      </c>
      <c r="C7886" s="198">
        <f>"'CONFIGURAÇÃO'!GS92"</f>
        <v/>
      </c>
      <c r="D7886" s="198" t="inlineStr">
        <is>
          <t>configuração</t>
        </is>
      </c>
    </row>
    <row r="7887">
      <c r="A7887" s="198" t="inlineStr">
        <is>
          <t>custom.talento.8.mestre_viu</t>
        </is>
      </c>
      <c r="B7887" s="198">
        <f>N('CONFIGURAÇÃO'!$GT$89)&amp;""</f>
        <v/>
      </c>
      <c r="C7887" s="198">
        <f>"'CONFIGURAÇÃO'!GT89"</f>
        <v/>
      </c>
      <c r="D7887" s="198" t="inlineStr">
        <is>
          <t>configuração</t>
        </is>
      </c>
    </row>
    <row r="7888">
      <c r="A7888" s="198" t="inlineStr">
        <is>
          <t>custom.talento.8.requisitos</t>
        </is>
      </c>
      <c r="B7888" s="198">
        <f>IF(ISBLANK('CONFIGURAÇÃO'!$GP$97),"",'CONFIGURAÇÃO'!$GP$97&amp;"")</f>
        <v/>
      </c>
      <c r="C7888" s="198">
        <f>"'CONFIGURAÇÃO'!GP97"</f>
        <v/>
      </c>
      <c r="D7888" s="198" t="inlineStr">
        <is>
          <t>configuração</t>
        </is>
      </c>
    </row>
    <row r="7889">
      <c r="A7889" s="198" t="inlineStr">
        <is>
          <t>custom.talento.8.efeito</t>
        </is>
      </c>
      <c r="B7889" s="198">
        <f>IF(ISBLANK('CONFIGURAÇÃO'!$GP$103),"",'CONFIGURAÇÃO'!$GP$103&amp;"")</f>
        <v/>
      </c>
      <c r="C7889" s="198">
        <f>"'CONFIGURAÇÃO'!GP103"</f>
        <v/>
      </c>
      <c r="D7889" s="198" t="inlineStr">
        <is>
          <t>configuração</t>
        </is>
      </c>
    </row>
    <row r="7890">
      <c r="A7890" s="198" t="inlineStr">
        <is>
          <t>custom.talento.8.categoria</t>
        </is>
      </c>
      <c r="B7890" s="198">
        <f>IF(ISBLANK('CONFIGURAÇÃO'!$GS$93),"",'CONFIGURAÇÃO'!$GS$93&amp;"")</f>
        <v/>
      </c>
      <c r="C7890" s="198">
        <f>"'CONFIGURAÇÃO'!GS93"</f>
        <v/>
      </c>
      <c r="D7890" s="198" t="inlineStr">
        <is>
          <t>configuração</t>
        </is>
      </c>
    </row>
    <row r="7891">
      <c r="A7891" s="198" t="inlineStr">
        <is>
          <t>custom.talento.8.rota</t>
        </is>
      </c>
      <c r="B7891" s="198">
        <f>IF(ISBLANK('CONFIGURAÇÃO'!$GS$94),"",'CONFIGURAÇÃO'!$GS$94&amp;"")</f>
        <v/>
      </c>
      <c r="C7891" s="198">
        <f>"'CONFIGURAÇÃO'!GS94"</f>
        <v/>
      </c>
      <c r="D7891" s="198" t="inlineStr">
        <is>
          <t>configuração</t>
        </is>
      </c>
    </row>
    <row r="7892">
      <c r="A7892" s="198" t="inlineStr">
        <is>
          <t>custom.talento.9.tipo</t>
        </is>
      </c>
      <c r="B7892" s="198">
        <f>IF(ISBLANK('CONFIGURAÇÃO'!$GH$114),"",'CONFIGURAÇÃO'!$GH$114&amp;"")</f>
        <v/>
      </c>
      <c r="C7892" s="198">
        <f>"'CONFIGURAÇÃO'!GH114"</f>
        <v/>
      </c>
      <c r="D7892" s="198" t="inlineStr">
        <is>
          <t>configuração</t>
        </is>
      </c>
    </row>
    <row r="7893">
      <c r="A7893" s="198" t="inlineStr">
        <is>
          <t>custom.talento.9.nome</t>
        </is>
      </c>
      <c r="B7893" s="198">
        <f>IF(ISBLANK('CONFIGURAÇÃO'!$GH$116),"",'CONFIGURAÇÃO'!$GH$116&amp;"")</f>
        <v/>
      </c>
      <c r="C7893" s="198">
        <f>"'CONFIGURAÇÃO'!GH116"</f>
        <v/>
      </c>
      <c r="D7893" s="198" t="inlineStr">
        <is>
          <t>configuração</t>
        </is>
      </c>
    </row>
    <row r="7894">
      <c r="A7894" s="198" t="inlineStr">
        <is>
          <t>custom.talento.9.base</t>
        </is>
      </c>
      <c r="B7894" s="198">
        <f>IF(ISBLANK('CONFIGURAÇÃO'!$GK$117),"",'CONFIGURAÇÃO'!$GK$117&amp;"")</f>
        <v/>
      </c>
      <c r="C7894" s="198">
        <f>"'CONFIGURAÇÃO'!GK117"</f>
        <v/>
      </c>
      <c r="D7894" s="198" t="inlineStr">
        <is>
          <t>configuração</t>
        </is>
      </c>
    </row>
    <row r="7895">
      <c r="A7895" s="198" t="inlineStr">
        <is>
          <t>custom.talento.9.mestre_viu</t>
        </is>
      </c>
      <c r="B7895" s="198">
        <f>N('CONFIGURAÇÃO'!$GL$114)&amp;""</f>
        <v/>
      </c>
      <c r="C7895" s="198">
        <f>"'CONFIGURAÇÃO'!GL114"</f>
        <v/>
      </c>
      <c r="D7895" s="198" t="inlineStr">
        <is>
          <t>configuração</t>
        </is>
      </c>
    </row>
    <row r="7896">
      <c r="A7896" s="198" t="inlineStr">
        <is>
          <t>custom.talento.9.requisitos</t>
        </is>
      </c>
      <c r="B7896" s="198">
        <f>IF(ISBLANK('CONFIGURAÇÃO'!$GH$122),"",'CONFIGURAÇÃO'!$GH$122&amp;"")</f>
        <v/>
      </c>
      <c r="C7896" s="198">
        <f>"'CONFIGURAÇÃO'!GH122"</f>
        <v/>
      </c>
      <c r="D7896" s="198" t="inlineStr">
        <is>
          <t>configuração</t>
        </is>
      </c>
    </row>
    <row r="7897">
      <c r="A7897" s="198" t="inlineStr">
        <is>
          <t>custom.talento.9.efeito</t>
        </is>
      </c>
      <c r="B7897" s="198">
        <f>IF(ISBLANK('CONFIGURAÇÃO'!$GH$128),"",'CONFIGURAÇÃO'!$GH$128&amp;"")</f>
        <v/>
      </c>
      <c r="C7897" s="198">
        <f>"'CONFIGURAÇÃO'!GH128"</f>
        <v/>
      </c>
      <c r="D7897" s="198" t="inlineStr">
        <is>
          <t>configuração</t>
        </is>
      </c>
    </row>
    <row r="7898">
      <c r="A7898" s="198" t="inlineStr">
        <is>
          <t>custom.talento.9.categoria</t>
        </is>
      </c>
      <c r="B7898" s="198">
        <f>IF(ISBLANK('CONFIGURAÇÃO'!$GK$118),"",'CONFIGURAÇÃO'!$GK$118&amp;"")</f>
        <v/>
      </c>
      <c r="C7898" s="198">
        <f>"'CONFIGURAÇÃO'!GK118"</f>
        <v/>
      </c>
      <c r="D7898" s="198" t="inlineStr">
        <is>
          <t>configuração</t>
        </is>
      </c>
    </row>
    <row r="7899">
      <c r="A7899" s="198" t="inlineStr">
        <is>
          <t>custom.talento.9.rota</t>
        </is>
      </c>
      <c r="B7899" s="198">
        <f>IF(ISBLANK('CONFIGURAÇÃO'!$GK$119),"",'CONFIGURAÇÃO'!$GK$119&amp;"")</f>
        <v/>
      </c>
      <c r="C7899" s="198">
        <f>"'CONFIGURAÇÃO'!GK119"</f>
        <v/>
      </c>
      <c r="D7899" s="198" t="inlineStr">
        <is>
          <t>configuração</t>
        </is>
      </c>
    </row>
    <row r="7900">
      <c r="A7900" s="198" t="inlineStr">
        <is>
          <t>custom.talento.10.tipo</t>
        </is>
      </c>
      <c r="B7900" s="198">
        <f>IF(ISBLANK('CONFIGURAÇÃO'!$GP$114),"",'CONFIGURAÇÃO'!$GP$114&amp;"")</f>
        <v/>
      </c>
      <c r="C7900" s="198">
        <f>"'CONFIGURAÇÃO'!GP114"</f>
        <v/>
      </c>
      <c r="D7900" s="198" t="inlineStr">
        <is>
          <t>configuração</t>
        </is>
      </c>
    </row>
    <row r="7901">
      <c r="A7901" s="198" t="inlineStr">
        <is>
          <t>custom.talento.10.nome</t>
        </is>
      </c>
      <c r="B7901" s="198">
        <f>IF(ISBLANK('CONFIGURAÇÃO'!$GP$116),"",'CONFIGURAÇÃO'!$GP$116&amp;"")</f>
        <v/>
      </c>
      <c r="C7901" s="198">
        <f>"'CONFIGURAÇÃO'!GP116"</f>
        <v/>
      </c>
      <c r="D7901" s="198" t="inlineStr">
        <is>
          <t>configuração</t>
        </is>
      </c>
    </row>
    <row r="7902">
      <c r="A7902" s="198" t="inlineStr">
        <is>
          <t>custom.talento.10.base</t>
        </is>
      </c>
      <c r="B7902" s="198">
        <f>IF(ISBLANK('CONFIGURAÇÃO'!$GS$117),"",'CONFIGURAÇÃO'!$GS$117&amp;"")</f>
        <v/>
      </c>
      <c r="C7902" s="198">
        <f>"'CONFIGURAÇÃO'!GS117"</f>
        <v/>
      </c>
      <c r="D7902" s="198" t="inlineStr">
        <is>
          <t>configuração</t>
        </is>
      </c>
    </row>
    <row r="7903">
      <c r="A7903" s="198" t="inlineStr">
        <is>
          <t>custom.talento.10.mestre_viu</t>
        </is>
      </c>
      <c r="B7903" s="198">
        <f>N('CONFIGURAÇÃO'!$GT$114)&amp;""</f>
        <v/>
      </c>
      <c r="C7903" s="198">
        <f>"'CONFIGURAÇÃO'!GT114"</f>
        <v/>
      </c>
      <c r="D7903" s="198" t="inlineStr">
        <is>
          <t>configuração</t>
        </is>
      </c>
    </row>
    <row r="7904">
      <c r="A7904" s="198" t="inlineStr">
        <is>
          <t>custom.talento.10.requisitos</t>
        </is>
      </c>
      <c r="B7904" s="198">
        <f>IF(ISBLANK('CONFIGURAÇÃO'!$GP$122),"",'CONFIGURAÇÃO'!$GP$122&amp;"")</f>
        <v/>
      </c>
      <c r="C7904" s="198">
        <f>"'CONFIGURAÇÃO'!GP122"</f>
        <v/>
      </c>
      <c r="D7904" s="198" t="inlineStr">
        <is>
          <t>configuração</t>
        </is>
      </c>
    </row>
    <row r="7905">
      <c r="A7905" s="198" t="inlineStr">
        <is>
          <t>custom.talento.10.efeito</t>
        </is>
      </c>
      <c r="B7905" s="198">
        <f>IF(ISBLANK('CONFIGURAÇÃO'!$GP$128),"",'CONFIGURAÇÃO'!$GP$128&amp;"")</f>
        <v/>
      </c>
      <c r="C7905" s="198">
        <f>"'CONFIGURAÇÃO'!GP128"</f>
        <v/>
      </c>
      <c r="D7905" s="198" t="inlineStr">
        <is>
          <t>configuração</t>
        </is>
      </c>
    </row>
    <row r="7906">
      <c r="A7906" s="198" t="inlineStr">
        <is>
          <t>custom.talento.10.categoria</t>
        </is>
      </c>
      <c r="B7906" s="198">
        <f>IF(ISBLANK('CONFIGURAÇÃO'!$GS$118),"",'CONFIGURAÇÃO'!$GS$118&amp;"")</f>
        <v/>
      </c>
      <c r="C7906" s="198">
        <f>"'CONFIGURAÇÃO'!GS118"</f>
        <v/>
      </c>
      <c r="D7906" s="198" t="inlineStr">
        <is>
          <t>configuração</t>
        </is>
      </c>
    </row>
    <row r="7907">
      <c r="A7907" s="198" t="inlineStr">
        <is>
          <t>custom.talento.10.rota</t>
        </is>
      </c>
      <c r="B7907" s="198">
        <f>IF(ISBLANK('CONFIGURAÇÃO'!$GS$119),"",'CONFIGURAÇÃO'!$GS$119&amp;"")</f>
        <v/>
      </c>
      <c r="C7907" s="198">
        <f>"'CONFIGURAÇÃO'!GS119"</f>
        <v/>
      </c>
      <c r="D7907" s="198" t="inlineStr">
        <is>
          <t>configuração</t>
        </is>
      </c>
    </row>
    <row r="7908">
      <c r="A7908" s="198" t="inlineStr">
        <is>
          <t>aviso.custom.forma.1</t>
        </is>
      </c>
      <c r="B7908" s="198">
        <f>'DADOS_FORMAS'!$AD2&amp;""</f>
        <v/>
      </c>
      <c r="C7908" s="198">
        <f>"'DADOS_FORMAS'!AD2"</f>
        <v/>
      </c>
      <c r="D7908" s="198" t="inlineStr">
        <is>
          <t>aviso</t>
        </is>
      </c>
    </row>
    <row r="7909">
      <c r="A7909" s="198" t="inlineStr">
        <is>
          <t>aviso.custom.forma.2</t>
        </is>
      </c>
      <c r="B7909" s="198">
        <f>'DADOS_FORMAS'!$AD3&amp;""</f>
        <v/>
      </c>
      <c r="C7909" s="198">
        <f>"'DADOS_FORMAS'!AD3"</f>
        <v/>
      </c>
      <c r="D7909" s="198" t="inlineStr">
        <is>
          <t>aviso</t>
        </is>
      </c>
    </row>
    <row r="7910">
      <c r="A7910" s="198" t="inlineStr">
        <is>
          <t>aviso.custom.forma.3</t>
        </is>
      </c>
      <c r="B7910" s="198">
        <f>'DADOS_FORMAS'!$AD4&amp;""</f>
        <v/>
      </c>
      <c r="C7910" s="198">
        <f>"'DADOS_FORMAS'!AD4"</f>
        <v/>
      </c>
      <c r="D7910" s="198" t="inlineStr">
        <is>
          <t>aviso</t>
        </is>
      </c>
    </row>
    <row r="7911">
      <c r="A7911" s="198" t="inlineStr">
        <is>
          <t>aviso.custom.forma.4</t>
        </is>
      </c>
      <c r="B7911" s="198">
        <f>'DADOS_FORMAS'!$AD5&amp;""</f>
        <v/>
      </c>
      <c r="C7911" s="198">
        <f>"'DADOS_FORMAS'!AD5"</f>
        <v/>
      </c>
      <c r="D7911" s="198" t="inlineStr">
        <is>
          <t>aviso</t>
        </is>
      </c>
    </row>
    <row r="7912">
      <c r="A7912" s="198" t="inlineStr">
        <is>
          <t>aviso.custom.forma.5</t>
        </is>
      </c>
      <c r="B7912" s="198">
        <f>'DADOS_FORMAS'!$AD6&amp;""</f>
        <v/>
      </c>
      <c r="C7912" s="198">
        <f>"'DADOS_FORMAS'!AD6"</f>
        <v/>
      </c>
      <c r="D7912" s="198" t="inlineStr">
        <is>
          <t>aviso</t>
        </is>
      </c>
    </row>
    <row r="7913">
      <c r="A7913" s="198" t="inlineStr">
        <is>
          <t>aviso.custom.forma.6</t>
        </is>
      </c>
      <c r="B7913" s="198">
        <f>'DADOS_FORMAS'!$AD7&amp;""</f>
        <v/>
      </c>
      <c r="C7913" s="198">
        <f>"'DADOS_FORMAS'!AD7"</f>
        <v/>
      </c>
      <c r="D7913" s="198" t="inlineStr">
        <is>
          <t>aviso</t>
        </is>
      </c>
    </row>
    <row r="7914">
      <c r="A7914" s="198" t="inlineStr">
        <is>
          <t>aviso.custom.forma.7</t>
        </is>
      </c>
      <c r="B7914" s="198">
        <f>'DADOS_FORMAS'!$AD8&amp;""</f>
        <v/>
      </c>
      <c r="C7914" s="198">
        <f>"'DADOS_FORMAS'!AD8"</f>
        <v/>
      </c>
      <c r="D7914" s="198" t="inlineStr">
        <is>
          <t>aviso</t>
        </is>
      </c>
    </row>
    <row r="7915">
      <c r="A7915" s="198" t="inlineStr">
        <is>
          <t>aviso.custom.forma.8</t>
        </is>
      </c>
      <c r="B7915" s="198">
        <f>'DADOS_FORMAS'!$AD9&amp;""</f>
        <v/>
      </c>
      <c r="C7915" s="198">
        <f>"'DADOS_FORMAS'!AD9"</f>
        <v/>
      </c>
      <c r="D7915" s="198" t="inlineStr">
        <is>
          <t>aviso</t>
        </is>
      </c>
    </row>
    <row r="7916">
      <c r="A7916" s="198" t="inlineStr">
        <is>
          <t>aviso.custom.forma.9</t>
        </is>
      </c>
      <c r="B7916" s="198">
        <f>'DADOS_FORMAS'!$AD10&amp;""</f>
        <v/>
      </c>
      <c r="C7916" s="198">
        <f>"'DADOS_FORMAS'!AD10"</f>
        <v/>
      </c>
      <c r="D7916" s="198" t="inlineStr">
        <is>
          <t>aviso</t>
        </is>
      </c>
    </row>
    <row r="7917">
      <c r="A7917" s="198" t="inlineStr">
        <is>
          <t>aviso.custom.forma.10</t>
        </is>
      </c>
      <c r="B7917" s="198">
        <f>'DADOS_FORMAS'!$AD11&amp;""</f>
        <v/>
      </c>
      <c r="C7917" s="198">
        <f>"'DADOS_FORMAS'!AD11"</f>
        <v/>
      </c>
      <c r="D7917" s="198" t="inlineStr">
        <is>
          <t>aviso</t>
        </is>
      </c>
    </row>
    <row r="7918">
      <c r="A7918" s="198" t="inlineStr">
        <is>
          <t>aviso.custom.aptidao.1</t>
        </is>
      </c>
      <c r="B7918" s="198">
        <f>'DADOS_APTIDOES'!$K2&amp;""</f>
        <v/>
      </c>
      <c r="C7918" s="198">
        <f>"'DADOS_APTIDOES'!K2"</f>
        <v/>
      </c>
      <c r="D7918" s="198" t="inlineStr">
        <is>
          <t>aviso</t>
        </is>
      </c>
    </row>
    <row r="7919">
      <c r="A7919" s="198" t="inlineStr">
        <is>
          <t>aviso.custom.aptidao.2</t>
        </is>
      </c>
      <c r="B7919" s="198">
        <f>'DADOS_APTIDOES'!$K3&amp;""</f>
        <v/>
      </c>
      <c r="C7919" s="198">
        <f>"'DADOS_APTIDOES'!K3"</f>
        <v/>
      </c>
      <c r="D7919" s="198" t="inlineStr">
        <is>
          <t>aviso</t>
        </is>
      </c>
    </row>
    <row r="7920">
      <c r="A7920" s="198" t="inlineStr">
        <is>
          <t>aviso.custom.aptidao.3</t>
        </is>
      </c>
      <c r="B7920" s="198">
        <f>'DADOS_APTIDOES'!$K4&amp;""</f>
        <v/>
      </c>
      <c r="C7920" s="198">
        <f>"'DADOS_APTIDOES'!K4"</f>
        <v/>
      </c>
      <c r="D7920" s="198" t="inlineStr">
        <is>
          <t>aviso</t>
        </is>
      </c>
    </row>
    <row r="7921">
      <c r="A7921" s="198" t="inlineStr">
        <is>
          <t>aviso.custom.aptidao.4</t>
        </is>
      </c>
      <c r="B7921" s="198">
        <f>'DADOS_APTIDOES'!$K5&amp;""</f>
        <v/>
      </c>
      <c r="C7921" s="198">
        <f>"'DADOS_APTIDOES'!K5"</f>
        <v/>
      </c>
      <c r="D7921" s="198" t="inlineStr">
        <is>
          <t>aviso</t>
        </is>
      </c>
    </row>
    <row r="7922">
      <c r="A7922" s="198" t="inlineStr">
        <is>
          <t>aviso.custom.aptidao.5</t>
        </is>
      </c>
      <c r="B7922" s="198">
        <f>'DADOS_APTIDOES'!$K6&amp;""</f>
        <v/>
      </c>
      <c r="C7922" s="198">
        <f>"'DADOS_APTIDOES'!K6"</f>
        <v/>
      </c>
      <c r="D7922" s="198" t="inlineStr">
        <is>
          <t>aviso</t>
        </is>
      </c>
    </row>
    <row r="7923">
      <c r="A7923" s="198" t="inlineStr">
        <is>
          <t>aviso.custom.aptidao.6</t>
        </is>
      </c>
      <c r="B7923" s="198">
        <f>'DADOS_APTIDOES'!$K7&amp;""</f>
        <v/>
      </c>
      <c r="C7923" s="198">
        <f>"'DADOS_APTIDOES'!K7"</f>
        <v/>
      </c>
      <c r="D7923" s="198" t="inlineStr">
        <is>
          <t>aviso</t>
        </is>
      </c>
    </row>
    <row r="7924">
      <c r="A7924" s="198" t="inlineStr">
        <is>
          <t>aviso.custom.aptidao.7</t>
        </is>
      </c>
      <c r="B7924" s="198">
        <f>'DADOS_APTIDOES'!$K8&amp;""</f>
        <v/>
      </c>
      <c r="C7924" s="198">
        <f>"'DADOS_APTIDOES'!K8"</f>
        <v/>
      </c>
      <c r="D7924" s="198" t="inlineStr">
        <is>
          <t>aviso</t>
        </is>
      </c>
    </row>
    <row r="7925">
      <c r="A7925" s="198" t="inlineStr">
        <is>
          <t>aviso.custom.aptidao.8</t>
        </is>
      </c>
      <c r="B7925" s="198">
        <f>'DADOS_APTIDOES'!$K9&amp;""</f>
        <v/>
      </c>
      <c r="C7925" s="198">
        <f>"'DADOS_APTIDOES'!K9"</f>
        <v/>
      </c>
      <c r="D7925" s="198" t="inlineStr">
        <is>
          <t>aviso</t>
        </is>
      </c>
    </row>
    <row r="7926">
      <c r="A7926" s="198" t="inlineStr">
        <is>
          <t>aviso.custom.aptidao.9</t>
        </is>
      </c>
      <c r="B7926" s="198">
        <f>'DADOS_APTIDOES'!$K10&amp;""</f>
        <v/>
      </c>
      <c r="C7926" s="198">
        <f>"'DADOS_APTIDOES'!K10"</f>
        <v/>
      </c>
      <c r="D7926" s="198" t="inlineStr">
        <is>
          <t>aviso</t>
        </is>
      </c>
    </row>
    <row r="7927">
      <c r="A7927" s="198" t="inlineStr">
        <is>
          <t>aviso.custom.aptidao.10</t>
        </is>
      </c>
      <c r="B7927" s="198">
        <f>'DADOS_APTIDOES'!$K11&amp;""</f>
        <v/>
      </c>
      <c r="C7927" s="198">
        <f>"'DADOS_APTIDOES'!K11"</f>
        <v/>
      </c>
      <c r="D7927" s="198" t="inlineStr">
        <is>
          <t>aviso</t>
        </is>
      </c>
    </row>
    <row r="7928">
      <c r="A7928" s="198" t="inlineStr">
        <is>
          <t>aviso.custom.talento.1</t>
        </is>
      </c>
      <c r="B7928" s="198">
        <f>'DADOS_TALENTOS'!$I2&amp;""</f>
        <v/>
      </c>
      <c r="C7928" s="198">
        <f>"'DADOS_TALENTOS'!I2"</f>
        <v/>
      </c>
      <c r="D7928" s="198" t="inlineStr">
        <is>
          <t>aviso</t>
        </is>
      </c>
    </row>
    <row r="7929">
      <c r="A7929" s="198" t="inlineStr">
        <is>
          <t>aviso.custom.talento.2</t>
        </is>
      </c>
      <c r="B7929" s="198">
        <f>'DADOS_TALENTOS'!$I3&amp;""</f>
        <v/>
      </c>
      <c r="C7929" s="198">
        <f>"'DADOS_TALENTOS'!I3"</f>
        <v/>
      </c>
      <c r="D7929" s="198" t="inlineStr">
        <is>
          <t>aviso</t>
        </is>
      </c>
    </row>
    <row r="7930">
      <c r="A7930" s="198" t="inlineStr">
        <is>
          <t>aviso.custom.talento.3</t>
        </is>
      </c>
      <c r="B7930" s="198">
        <f>'DADOS_TALENTOS'!$I4&amp;""</f>
        <v/>
      </c>
      <c r="C7930" s="198">
        <f>"'DADOS_TALENTOS'!I4"</f>
        <v/>
      </c>
      <c r="D7930" s="198" t="inlineStr">
        <is>
          <t>aviso</t>
        </is>
      </c>
    </row>
    <row r="7931">
      <c r="A7931" s="198" t="inlineStr">
        <is>
          <t>aviso.custom.talento.4</t>
        </is>
      </c>
      <c r="B7931" s="198">
        <f>'DADOS_TALENTOS'!$I5&amp;""</f>
        <v/>
      </c>
      <c r="C7931" s="198">
        <f>"'DADOS_TALENTOS'!I5"</f>
        <v/>
      </c>
      <c r="D7931" s="198" t="inlineStr">
        <is>
          <t>aviso</t>
        </is>
      </c>
    </row>
    <row r="7932">
      <c r="A7932" s="198" t="inlineStr">
        <is>
          <t>aviso.custom.talento.5</t>
        </is>
      </c>
      <c r="B7932" s="198">
        <f>'DADOS_TALENTOS'!$I6&amp;""</f>
        <v/>
      </c>
      <c r="C7932" s="198">
        <f>"'DADOS_TALENTOS'!I6"</f>
        <v/>
      </c>
      <c r="D7932" s="198" t="inlineStr">
        <is>
          <t>aviso</t>
        </is>
      </c>
    </row>
    <row r="7933">
      <c r="A7933" s="198" t="inlineStr">
        <is>
          <t>aviso.custom.talento.6</t>
        </is>
      </c>
      <c r="B7933" s="198">
        <f>'DADOS_TALENTOS'!$I7&amp;""</f>
        <v/>
      </c>
      <c r="C7933" s="198">
        <f>"'DADOS_TALENTOS'!I7"</f>
        <v/>
      </c>
      <c r="D7933" s="198" t="inlineStr">
        <is>
          <t>aviso</t>
        </is>
      </c>
    </row>
    <row r="7934">
      <c r="A7934" s="198" t="inlineStr">
        <is>
          <t>aviso.custom.talento.7</t>
        </is>
      </c>
      <c r="B7934" s="198">
        <f>'DADOS_TALENTOS'!$I8&amp;""</f>
        <v/>
      </c>
      <c r="C7934" s="198">
        <f>"'DADOS_TALENTOS'!I8"</f>
        <v/>
      </c>
      <c r="D7934" s="198" t="inlineStr">
        <is>
          <t>aviso</t>
        </is>
      </c>
    </row>
    <row r="7935">
      <c r="A7935" s="198" t="inlineStr">
        <is>
          <t>aviso.custom.talento.8</t>
        </is>
      </c>
      <c r="B7935" s="198">
        <f>'DADOS_TALENTOS'!$I9&amp;""</f>
        <v/>
      </c>
      <c r="C7935" s="198">
        <f>"'DADOS_TALENTOS'!I9"</f>
        <v/>
      </c>
      <c r="D7935" s="198" t="inlineStr">
        <is>
          <t>aviso</t>
        </is>
      </c>
    </row>
    <row r="7936">
      <c r="A7936" s="198" t="inlineStr">
        <is>
          <t>aviso.custom.talento.9</t>
        </is>
      </c>
      <c r="B7936" s="198">
        <f>'DADOS_TALENTOS'!$I10&amp;""</f>
        <v/>
      </c>
      <c r="C7936" s="198">
        <f>"'DADOS_TALENTOS'!I10"</f>
        <v/>
      </c>
      <c r="D7936" s="198" t="inlineStr">
        <is>
          <t>aviso</t>
        </is>
      </c>
    </row>
    <row r="7937">
      <c r="A7937" s="198" t="inlineStr">
        <is>
          <t>aviso.custom.talento.10</t>
        </is>
      </c>
      <c r="B7937" s="198">
        <f>'DADOS_TALENTOS'!$I11&amp;""</f>
        <v/>
      </c>
      <c r="C7937" s="198">
        <f>"'DADOS_TALENTOS'!I11"</f>
        <v/>
      </c>
      <c r="D7937" s="198" t="inlineStr">
        <is>
          <t>aviso</t>
        </is>
      </c>
    </row>
    <row r="7938">
      <c r="A7938" s="198" t="inlineStr">
        <is>
          <t>aviso.personagem.aptidao.1</t>
        </is>
      </c>
      <c r="B7938" s="198">
        <f>'DADOS_AM'!$LK2&amp;""</f>
        <v/>
      </c>
      <c r="C7938" s="198">
        <f>"'DADOS_AM'!LK2"</f>
        <v/>
      </c>
      <c r="D7938" s="198" t="inlineStr">
        <is>
          <t>aviso</t>
        </is>
      </c>
    </row>
    <row r="7939">
      <c r="A7939" s="198" t="inlineStr">
        <is>
          <t>aviso.personagem.aptidao.2</t>
        </is>
      </c>
      <c r="B7939" s="198">
        <f>'DADOS_AM'!$LK3&amp;""</f>
        <v/>
      </c>
      <c r="C7939" s="198">
        <f>"'DADOS_AM'!LK3"</f>
        <v/>
      </c>
      <c r="D7939" s="198" t="inlineStr">
        <is>
          <t>aviso</t>
        </is>
      </c>
    </row>
    <row r="7940">
      <c r="A7940" s="198" t="inlineStr">
        <is>
          <t>aviso.personagem.aptidao.3</t>
        </is>
      </c>
      <c r="B7940" s="198">
        <f>'DADOS_AM'!$LK4&amp;""</f>
        <v/>
      </c>
      <c r="C7940" s="198">
        <f>"'DADOS_AM'!LK4"</f>
        <v/>
      </c>
      <c r="D7940" s="198" t="inlineStr">
        <is>
          <t>aviso</t>
        </is>
      </c>
    </row>
    <row r="7941">
      <c r="A7941" s="198" t="inlineStr">
        <is>
          <t>aviso.personagem.aptidao.4</t>
        </is>
      </c>
      <c r="B7941" s="198">
        <f>'DADOS_AM'!$LK5&amp;""</f>
        <v/>
      </c>
      <c r="C7941" s="198">
        <f>"'DADOS_AM'!LK5"</f>
        <v/>
      </c>
      <c r="D7941" s="198" t="inlineStr">
        <is>
          <t>aviso</t>
        </is>
      </c>
    </row>
    <row r="7942">
      <c r="A7942" s="198" t="inlineStr">
        <is>
          <t>aviso.personagem.aptidao.5</t>
        </is>
      </c>
      <c r="B7942" s="198">
        <f>'DADOS_AM'!$LK6&amp;""</f>
        <v/>
      </c>
      <c r="C7942" s="198">
        <f>"'DADOS_AM'!LK6"</f>
        <v/>
      </c>
      <c r="D7942" s="198" t="inlineStr">
        <is>
          <t>aviso</t>
        </is>
      </c>
    </row>
    <row r="7943">
      <c r="A7943" s="198" t="inlineStr">
        <is>
          <t>aviso.personagem.aptidao.6</t>
        </is>
      </c>
      <c r="B7943" s="198">
        <f>'DADOS_AM'!$LK7&amp;""</f>
        <v/>
      </c>
      <c r="C7943" s="198">
        <f>"'DADOS_AM'!LK7"</f>
        <v/>
      </c>
      <c r="D7943" s="198" t="inlineStr">
        <is>
          <t>aviso</t>
        </is>
      </c>
    </row>
    <row r="7944">
      <c r="A7944" s="198" t="inlineStr">
        <is>
          <t>aviso.personagem.aptidao.7</t>
        </is>
      </c>
      <c r="B7944" s="198">
        <f>'DADOS_AM'!$LK8&amp;""</f>
        <v/>
      </c>
      <c r="C7944" s="198">
        <f>"'DADOS_AM'!LK8"</f>
        <v/>
      </c>
      <c r="D7944" s="198" t="inlineStr">
        <is>
          <t>aviso</t>
        </is>
      </c>
    </row>
    <row r="7945">
      <c r="A7945" s="198" t="inlineStr">
        <is>
          <t>aviso.personagem.aptidao.8</t>
        </is>
      </c>
      <c r="B7945" s="198">
        <f>'DADOS_AM'!$LK9&amp;""</f>
        <v/>
      </c>
      <c r="C7945" s="198">
        <f>"'DADOS_AM'!LK9"</f>
        <v/>
      </c>
      <c r="D7945" s="198" t="inlineStr">
        <is>
          <t>aviso</t>
        </is>
      </c>
    </row>
    <row r="7946">
      <c r="A7946" s="198" t="inlineStr">
        <is>
          <t>aviso.personagem.aptidao.9</t>
        </is>
      </c>
      <c r="B7946" s="198">
        <f>'DADOS_AM'!$LK10&amp;""</f>
        <v/>
      </c>
      <c r="C7946" s="198">
        <f>"'DADOS_AM'!LK10"</f>
        <v/>
      </c>
      <c r="D7946" s="198" t="inlineStr">
        <is>
          <t>aviso</t>
        </is>
      </c>
    </row>
    <row r="7947">
      <c r="A7947" s="198" t="inlineStr">
        <is>
          <t>aviso.personagem.aptidao.10</t>
        </is>
      </c>
      <c r="B7947" s="198">
        <f>'DADOS_AM'!$LK11&amp;""</f>
        <v/>
      </c>
      <c r="C7947" s="198">
        <f>"'DADOS_AM'!LK11"</f>
        <v/>
      </c>
      <c r="D7947" s="198" t="inlineStr">
        <is>
          <t>aviso</t>
        </is>
      </c>
    </row>
    <row r="7948">
      <c r="A7948" s="198" t="inlineStr">
        <is>
          <t>aviso.personagem.aptidao.11</t>
        </is>
      </c>
      <c r="B7948" s="198">
        <f>'DADOS_AM'!$LK12&amp;""</f>
        <v/>
      </c>
      <c r="C7948" s="198">
        <f>"'DADOS_AM'!LK12"</f>
        <v/>
      </c>
      <c r="D7948" s="198" t="inlineStr">
        <is>
          <t>aviso</t>
        </is>
      </c>
    </row>
    <row r="7949">
      <c r="A7949" s="198" t="inlineStr">
        <is>
          <t>aviso.personagem.aptidao.12</t>
        </is>
      </c>
      <c r="B7949" s="198">
        <f>'DADOS_AM'!$LK13&amp;""</f>
        <v/>
      </c>
      <c r="C7949" s="198">
        <f>"'DADOS_AM'!LK13"</f>
        <v/>
      </c>
      <c r="D7949" s="198" t="inlineStr">
        <is>
          <t>aviso</t>
        </is>
      </c>
    </row>
    <row r="7950">
      <c r="A7950" s="198" t="inlineStr">
        <is>
          <t>aviso.personagem.talento.1</t>
        </is>
      </c>
      <c r="B7950" s="198">
        <f>'DADOS_AM'!$LO2&amp;""</f>
        <v/>
      </c>
      <c r="C7950" s="198">
        <f>"'DADOS_AM'!LO2"</f>
        <v/>
      </c>
      <c r="D7950" s="198" t="inlineStr">
        <is>
          <t>aviso</t>
        </is>
      </c>
    </row>
    <row r="7951">
      <c r="A7951" s="198" t="inlineStr">
        <is>
          <t>aviso.personagem.talento.2</t>
        </is>
      </c>
      <c r="B7951" s="198">
        <f>'DADOS_AM'!$LO3&amp;""</f>
        <v/>
      </c>
      <c r="C7951" s="198">
        <f>"'DADOS_AM'!LO3"</f>
        <v/>
      </c>
      <c r="D7951" s="198" t="inlineStr">
        <is>
          <t>aviso</t>
        </is>
      </c>
    </row>
    <row r="7952">
      <c r="A7952" s="198" t="inlineStr">
        <is>
          <t>aviso.personagem.talento.3</t>
        </is>
      </c>
      <c r="B7952" s="198">
        <f>'DADOS_AM'!$LO4&amp;""</f>
        <v/>
      </c>
      <c r="C7952" s="198">
        <f>"'DADOS_AM'!LO4"</f>
        <v/>
      </c>
      <c r="D7952" s="198" t="inlineStr">
        <is>
          <t>aviso</t>
        </is>
      </c>
    </row>
    <row r="7953">
      <c r="A7953" s="198" t="inlineStr">
        <is>
          <t>aviso.personagem.talento.4</t>
        </is>
      </c>
      <c r="B7953" s="198">
        <f>'DADOS_AM'!$LO5&amp;""</f>
        <v/>
      </c>
      <c r="C7953" s="198">
        <f>"'DADOS_AM'!LO5"</f>
        <v/>
      </c>
      <c r="D7953" s="198" t="inlineStr">
        <is>
          <t>aviso</t>
        </is>
      </c>
    </row>
    <row r="7954">
      <c r="A7954" s="198" t="inlineStr">
        <is>
          <t>aviso.personagem.talento.5</t>
        </is>
      </c>
      <c r="B7954" s="198">
        <f>'DADOS_AM'!$LO6&amp;""</f>
        <v/>
      </c>
      <c r="C7954" s="198">
        <f>"'DADOS_AM'!LO6"</f>
        <v/>
      </c>
      <c r="D7954" s="198" t="inlineStr">
        <is>
          <t>aviso</t>
        </is>
      </c>
    </row>
    <row r="7955">
      <c r="A7955" s="198" t="inlineStr">
        <is>
          <t>aviso.personagem.talento.6</t>
        </is>
      </c>
      <c r="B7955" s="198">
        <f>'DADOS_AM'!$LO7&amp;""</f>
        <v/>
      </c>
      <c r="C7955" s="198">
        <f>"'DADOS_AM'!LO7"</f>
        <v/>
      </c>
      <c r="D7955" s="198" t="inlineStr">
        <is>
          <t>aviso</t>
        </is>
      </c>
    </row>
    <row r="7956">
      <c r="A7956" s="198" t="inlineStr">
        <is>
          <t>aviso.personagem.talento.7</t>
        </is>
      </c>
      <c r="B7956" s="198">
        <f>'DADOS_AM'!$LO8&amp;""</f>
        <v/>
      </c>
      <c r="C7956" s="198">
        <f>"'DADOS_AM'!LO8"</f>
        <v/>
      </c>
      <c r="D7956" s="198" t="inlineStr">
        <is>
          <t>aviso</t>
        </is>
      </c>
    </row>
    <row r="7957">
      <c r="A7957" s="198" t="inlineStr">
        <is>
          <t>aviso.personagem.talento.8</t>
        </is>
      </c>
      <c r="B7957" s="198">
        <f>'DADOS_AM'!$LO9&amp;""</f>
        <v/>
      </c>
      <c r="C7957" s="198">
        <f>"'DADOS_AM'!LO9"</f>
        <v/>
      </c>
      <c r="D7957" s="198" t="inlineStr">
        <is>
          <t>aviso</t>
        </is>
      </c>
    </row>
    <row r="7958">
      <c r="A7958" s="198" t="inlineStr">
        <is>
          <t>aviso.personagem.talento.9</t>
        </is>
      </c>
      <c r="B7958" s="198">
        <f>'DADOS_AM'!$LO10&amp;""</f>
        <v/>
      </c>
      <c r="C7958" s="198">
        <f>"'DADOS_AM'!LO10"</f>
        <v/>
      </c>
      <c r="D7958" s="198" t="inlineStr">
        <is>
          <t>aviso</t>
        </is>
      </c>
    </row>
    <row r="7959">
      <c r="A7959" s="198" t="inlineStr">
        <is>
          <t>aviso.personagem.talento.10</t>
        </is>
      </c>
      <c r="B7959" s="198">
        <f>'DADOS_AM'!$LO11&amp;""</f>
        <v/>
      </c>
      <c r="C7959" s="198">
        <f>"'DADOS_AM'!LO11"</f>
        <v/>
      </c>
      <c r="D7959" s="198" t="inlineStr">
        <is>
          <t>aviso</t>
        </is>
      </c>
    </row>
    <row r="7960">
      <c r="A7960" s="198" t="inlineStr">
        <is>
          <t>aviso.personagem.talento.11</t>
        </is>
      </c>
      <c r="B7960" s="198">
        <f>'DADOS_AM'!$LO12&amp;""</f>
        <v/>
      </c>
      <c r="C7960" s="198">
        <f>"'DADOS_AM'!LO12"</f>
        <v/>
      </c>
      <c r="D7960" s="198" t="inlineStr">
        <is>
          <t>aviso</t>
        </is>
      </c>
    </row>
    <row r="7961">
      <c r="A7961" s="198" t="inlineStr">
        <is>
          <t>aviso.personagem.talento.12</t>
        </is>
      </c>
      <c r="B7961" s="198">
        <f>'DADOS_AM'!$LO13&amp;""</f>
        <v/>
      </c>
      <c r="C7961" s="198">
        <f>"'DADOS_AM'!LO13"</f>
        <v/>
      </c>
      <c r="D7961" s="198" t="inlineStr">
        <is>
          <t>aviso</t>
        </is>
      </c>
    </row>
    <row r="7962">
      <c r="A7962" s="198" t="inlineStr">
        <is>
          <t>custom.tipo_entidade.1.nome</t>
        </is>
      </c>
      <c r="B7962" s="198">
        <f>IF(ISBLANK('CONFIGURAÇÃO'!$GY$13),"",'CONFIGURAÇÃO'!$GY$13&amp;"")</f>
        <v/>
      </c>
      <c r="C7962" s="198">
        <f>"'CONFIGURAÇÃO'!GY13"</f>
        <v/>
      </c>
      <c r="D7962" s="198" t="inlineStr">
        <is>
          <t>configuração</t>
        </is>
      </c>
    </row>
    <row r="7963">
      <c r="A7963" s="198" t="inlineStr">
        <is>
          <t>custom.tipo_entidade.1.mestre_viu</t>
        </is>
      </c>
      <c r="B7963" s="198">
        <f>N('CONFIGURAÇÃO'!$HC$13)&amp;""</f>
        <v/>
      </c>
      <c r="C7963" s="198">
        <f>"'CONFIGURAÇÃO'!HC13"</f>
        <v/>
      </c>
      <c r="D7963" s="198" t="inlineStr">
        <is>
          <t>configuração</t>
        </is>
      </c>
    </row>
    <row r="7964">
      <c r="A7964" s="198" t="inlineStr">
        <is>
          <t>custom.tipo_entidade.1.base</t>
        </is>
      </c>
      <c r="B7964" s="198">
        <f>IF(ISBLANK('CONFIGURAÇÃO'!$HB$15),"",'CONFIGURAÇÃO'!$HB$15&amp;"")</f>
        <v/>
      </c>
      <c r="C7964" s="198">
        <f>"'CONFIGURAÇÃO'!HB15"</f>
        <v/>
      </c>
      <c r="D7964" s="198" t="inlineStr">
        <is>
          <t>configuração</t>
        </is>
      </c>
    </row>
    <row r="7965">
      <c r="A7965" s="198" t="inlineStr">
        <is>
          <t>custom.tipo_entidade.1.vida</t>
        </is>
      </c>
      <c r="B7965" s="198">
        <f>IF(ISBLANK('CONFIGURAÇÃO'!$HB$16),"",'CONFIGURAÇÃO'!$HB$16&amp;"")</f>
        <v/>
      </c>
      <c r="C7965" s="198">
        <f>"'CONFIGURAÇÃO'!HB16"</f>
        <v/>
      </c>
      <c r="D7965" s="198" t="inlineStr">
        <is>
          <t>configuração</t>
        </is>
      </c>
    </row>
    <row r="7966">
      <c r="A7966" s="198" t="inlineStr">
        <is>
          <t>custom.tipo_entidade.1.talisma</t>
        </is>
      </c>
      <c r="B7966" s="198">
        <f>IF(ISBLANK('CONFIGURAÇÃO'!$HB$17),"",'CONFIGURAÇÃO'!$HB$17&amp;"")</f>
        <v/>
      </c>
      <c r="C7966" s="198">
        <f>"'CONFIGURAÇÃO'!HB17"</f>
        <v/>
      </c>
      <c r="D7966" s="198" t="inlineStr">
        <is>
          <t>configuração</t>
        </is>
      </c>
    </row>
    <row r="7967">
      <c r="A7967" s="198" t="inlineStr">
        <is>
          <t>custom.tipo_entidade.1.reserva_pe</t>
        </is>
      </c>
      <c r="B7967" s="198">
        <f>IF(ISBLANK('CONFIGURAÇÃO'!$HB$19),"",'CONFIGURAÇÃO'!$HB$19&amp;"")</f>
        <v/>
      </c>
      <c r="C7967" s="198">
        <f>"'CONFIGURAÇÃO'!HB19"</f>
        <v/>
      </c>
      <c r="D7967" s="198" t="inlineStr">
        <is>
          <t>configuração</t>
        </is>
      </c>
    </row>
    <row r="7968">
      <c r="A7968" s="198" t="inlineStr">
        <is>
          <t>custom.tipo_entidade.1.definicao</t>
        </is>
      </c>
      <c r="B7968" s="198">
        <f>IF(ISBLANK('CONFIGURAÇÃO'!$GY$23),"",'CONFIGURAÇÃO'!$GY$23&amp;"")</f>
        <v/>
      </c>
      <c r="C7968" s="198">
        <f>"'CONFIGURAÇÃO'!GY23"</f>
        <v/>
      </c>
      <c r="D7968" s="198" t="inlineStr">
        <is>
          <t>configuração</t>
        </is>
      </c>
    </row>
    <row r="7969">
      <c r="A7969" s="198" t="inlineStr">
        <is>
          <t>custom.tipo_entidade.1.efeito</t>
        </is>
      </c>
      <c r="B7969" s="198">
        <f>IF(ISBLANK('CONFIGURAÇÃO'!$GY$28),"",'CONFIGURAÇÃO'!$GY$28&amp;"")</f>
        <v/>
      </c>
      <c r="C7969" s="198">
        <f>"'CONFIGURAÇÃO'!GY28"</f>
        <v/>
      </c>
      <c r="D7969" s="198" t="inlineStr">
        <is>
          <t>configuração</t>
        </is>
      </c>
    </row>
    <row r="7970">
      <c r="A7970" s="198" t="inlineStr">
        <is>
          <t>custom.tipo_entidade.2.nome</t>
        </is>
      </c>
      <c r="B7970" s="198">
        <f>IF(ISBLANK('CONFIGURAÇÃO'!$HG$13),"",'CONFIGURAÇÃO'!$HG$13&amp;"")</f>
        <v/>
      </c>
      <c r="C7970" s="198">
        <f>"'CONFIGURAÇÃO'!HG13"</f>
        <v/>
      </c>
      <c r="D7970" s="198" t="inlineStr">
        <is>
          <t>configuração</t>
        </is>
      </c>
    </row>
    <row r="7971">
      <c r="A7971" s="198" t="inlineStr">
        <is>
          <t>custom.tipo_entidade.2.mestre_viu</t>
        </is>
      </c>
      <c r="B7971" s="198">
        <f>N('CONFIGURAÇÃO'!$HK$13)&amp;""</f>
        <v/>
      </c>
      <c r="C7971" s="198">
        <f>"'CONFIGURAÇÃO'!HK13"</f>
        <v/>
      </c>
      <c r="D7971" s="198" t="inlineStr">
        <is>
          <t>configuração</t>
        </is>
      </c>
    </row>
    <row r="7972">
      <c r="A7972" s="198" t="inlineStr">
        <is>
          <t>custom.tipo_entidade.2.base</t>
        </is>
      </c>
      <c r="B7972" s="198">
        <f>IF(ISBLANK('CONFIGURAÇÃO'!$HJ$15),"",'CONFIGURAÇÃO'!$HJ$15&amp;"")</f>
        <v/>
      </c>
      <c r="C7972" s="198">
        <f>"'CONFIGURAÇÃO'!HJ15"</f>
        <v/>
      </c>
      <c r="D7972" s="198" t="inlineStr">
        <is>
          <t>configuração</t>
        </is>
      </c>
    </row>
    <row r="7973">
      <c r="A7973" s="198" t="inlineStr">
        <is>
          <t>custom.tipo_entidade.2.vida</t>
        </is>
      </c>
      <c r="B7973" s="198">
        <f>IF(ISBLANK('CONFIGURAÇÃO'!$HJ$16),"",'CONFIGURAÇÃO'!$HJ$16&amp;"")</f>
        <v/>
      </c>
      <c r="C7973" s="198">
        <f>"'CONFIGURAÇÃO'!HJ16"</f>
        <v/>
      </c>
      <c r="D7973" s="198" t="inlineStr">
        <is>
          <t>configuração</t>
        </is>
      </c>
    </row>
    <row r="7974">
      <c r="A7974" s="198" t="inlineStr">
        <is>
          <t>custom.tipo_entidade.2.talisma</t>
        </is>
      </c>
      <c r="B7974" s="198">
        <f>IF(ISBLANK('CONFIGURAÇÃO'!$HJ$17),"",'CONFIGURAÇÃO'!$HJ$17&amp;"")</f>
        <v/>
      </c>
      <c r="C7974" s="198">
        <f>"'CONFIGURAÇÃO'!HJ17"</f>
        <v/>
      </c>
      <c r="D7974" s="198" t="inlineStr">
        <is>
          <t>configuração</t>
        </is>
      </c>
    </row>
    <row r="7975">
      <c r="A7975" s="198" t="inlineStr">
        <is>
          <t>custom.tipo_entidade.2.reserva_pe</t>
        </is>
      </c>
      <c r="B7975" s="198">
        <f>IF(ISBLANK('CONFIGURAÇÃO'!$HJ$19),"",'CONFIGURAÇÃO'!$HJ$19&amp;"")</f>
        <v/>
      </c>
      <c r="C7975" s="198">
        <f>"'CONFIGURAÇÃO'!HJ19"</f>
        <v/>
      </c>
      <c r="D7975" s="198" t="inlineStr">
        <is>
          <t>configuração</t>
        </is>
      </c>
    </row>
    <row r="7976">
      <c r="A7976" s="198" t="inlineStr">
        <is>
          <t>custom.tipo_entidade.2.definicao</t>
        </is>
      </c>
      <c r="B7976" s="198">
        <f>IF(ISBLANK('CONFIGURAÇÃO'!$HG$23),"",'CONFIGURAÇÃO'!$HG$23&amp;"")</f>
        <v/>
      </c>
      <c r="C7976" s="198">
        <f>"'CONFIGURAÇÃO'!HG23"</f>
        <v/>
      </c>
      <c r="D7976" s="198" t="inlineStr">
        <is>
          <t>configuração</t>
        </is>
      </c>
    </row>
    <row r="7977">
      <c r="A7977" s="198" t="inlineStr">
        <is>
          <t>custom.tipo_entidade.2.efeito</t>
        </is>
      </c>
      <c r="B7977" s="198">
        <f>IF(ISBLANK('CONFIGURAÇÃO'!$HG$28),"",'CONFIGURAÇÃO'!$HG$28&amp;"")</f>
        <v/>
      </c>
      <c r="C7977" s="198">
        <f>"'CONFIGURAÇÃO'!HG28"</f>
        <v/>
      </c>
      <c r="D7977" s="198" t="inlineStr">
        <is>
          <t>configuração</t>
        </is>
      </c>
    </row>
    <row r="7978">
      <c r="A7978" s="198" t="inlineStr">
        <is>
          <t>custom.tipo_entidade.3.nome</t>
        </is>
      </c>
      <c r="B7978" s="198">
        <f>IF(ISBLANK('CONFIGURAÇÃO'!$GY$41),"",'CONFIGURAÇÃO'!$GY$41&amp;"")</f>
        <v/>
      </c>
      <c r="C7978" s="198">
        <f>"'CONFIGURAÇÃO'!GY41"</f>
        <v/>
      </c>
      <c r="D7978" s="198" t="inlineStr">
        <is>
          <t>configuração</t>
        </is>
      </c>
    </row>
    <row r="7979">
      <c r="A7979" s="198" t="inlineStr">
        <is>
          <t>custom.tipo_entidade.3.mestre_viu</t>
        </is>
      </c>
      <c r="B7979" s="198">
        <f>N('CONFIGURAÇÃO'!$HC$41)&amp;""</f>
        <v/>
      </c>
      <c r="C7979" s="198">
        <f>"'CONFIGURAÇÃO'!HC41"</f>
        <v/>
      </c>
      <c r="D7979" s="198" t="inlineStr">
        <is>
          <t>configuração</t>
        </is>
      </c>
    </row>
    <row r="7980">
      <c r="A7980" s="198" t="inlineStr">
        <is>
          <t>custom.tipo_entidade.3.base</t>
        </is>
      </c>
      <c r="B7980" s="198">
        <f>IF(ISBLANK('CONFIGURAÇÃO'!$HB$43),"",'CONFIGURAÇÃO'!$HB$43&amp;"")</f>
        <v/>
      </c>
      <c r="C7980" s="198">
        <f>"'CONFIGURAÇÃO'!HB43"</f>
        <v/>
      </c>
      <c r="D7980" s="198" t="inlineStr">
        <is>
          <t>configuração</t>
        </is>
      </c>
    </row>
    <row r="7981">
      <c r="A7981" s="198" t="inlineStr">
        <is>
          <t>custom.tipo_entidade.3.vida</t>
        </is>
      </c>
      <c r="B7981" s="198">
        <f>IF(ISBLANK('CONFIGURAÇÃO'!$HB$44),"",'CONFIGURAÇÃO'!$HB$44&amp;"")</f>
        <v/>
      </c>
      <c r="C7981" s="198">
        <f>"'CONFIGURAÇÃO'!HB44"</f>
        <v/>
      </c>
      <c r="D7981" s="198" t="inlineStr">
        <is>
          <t>configuração</t>
        </is>
      </c>
    </row>
    <row r="7982">
      <c r="A7982" s="198" t="inlineStr">
        <is>
          <t>custom.tipo_entidade.3.talisma</t>
        </is>
      </c>
      <c r="B7982" s="198">
        <f>IF(ISBLANK('CONFIGURAÇÃO'!$HB$45),"",'CONFIGURAÇÃO'!$HB$45&amp;"")</f>
        <v/>
      </c>
      <c r="C7982" s="198">
        <f>"'CONFIGURAÇÃO'!HB45"</f>
        <v/>
      </c>
      <c r="D7982" s="198" t="inlineStr">
        <is>
          <t>configuração</t>
        </is>
      </c>
    </row>
    <row r="7983">
      <c r="A7983" s="198" t="inlineStr">
        <is>
          <t>custom.tipo_entidade.3.reserva_pe</t>
        </is>
      </c>
      <c r="B7983" s="198">
        <f>IF(ISBLANK('CONFIGURAÇÃO'!$HB$47),"",'CONFIGURAÇÃO'!$HB$47&amp;"")</f>
        <v/>
      </c>
      <c r="C7983" s="198">
        <f>"'CONFIGURAÇÃO'!HB47"</f>
        <v/>
      </c>
      <c r="D7983" s="198" t="inlineStr">
        <is>
          <t>configuração</t>
        </is>
      </c>
    </row>
    <row r="7984">
      <c r="A7984" s="198" t="inlineStr">
        <is>
          <t>custom.tipo_entidade.3.definicao</t>
        </is>
      </c>
      <c r="B7984" s="198">
        <f>IF(ISBLANK('CONFIGURAÇÃO'!$GY$51),"",'CONFIGURAÇÃO'!$GY$51&amp;"")</f>
        <v/>
      </c>
      <c r="C7984" s="198">
        <f>"'CONFIGURAÇÃO'!GY51"</f>
        <v/>
      </c>
      <c r="D7984" s="198" t="inlineStr">
        <is>
          <t>configuração</t>
        </is>
      </c>
    </row>
    <row r="7985">
      <c r="A7985" s="198" t="inlineStr">
        <is>
          <t>custom.tipo_entidade.3.efeito</t>
        </is>
      </c>
      <c r="B7985" s="198">
        <f>IF(ISBLANK('CONFIGURAÇÃO'!$GY$56),"",'CONFIGURAÇÃO'!$GY$56&amp;"")</f>
        <v/>
      </c>
      <c r="C7985" s="198">
        <f>"'CONFIGURAÇÃO'!GY56"</f>
        <v/>
      </c>
      <c r="D7985" s="198" t="inlineStr">
        <is>
          <t>configuração</t>
        </is>
      </c>
    </row>
    <row r="7986">
      <c r="A7986" s="198" t="inlineStr">
        <is>
          <t>custom.tipo_entidade.4.nome</t>
        </is>
      </c>
      <c r="B7986" s="198">
        <f>IF(ISBLANK('CONFIGURAÇÃO'!$HG$41),"",'CONFIGURAÇÃO'!$HG$41&amp;"")</f>
        <v/>
      </c>
      <c r="C7986" s="198">
        <f>"'CONFIGURAÇÃO'!HG41"</f>
        <v/>
      </c>
      <c r="D7986" s="198" t="inlineStr">
        <is>
          <t>configuração</t>
        </is>
      </c>
    </row>
    <row r="7987">
      <c r="A7987" s="198" t="inlineStr">
        <is>
          <t>custom.tipo_entidade.4.mestre_viu</t>
        </is>
      </c>
      <c r="B7987" s="198">
        <f>N('CONFIGURAÇÃO'!$HK$41)&amp;""</f>
        <v/>
      </c>
      <c r="C7987" s="198">
        <f>"'CONFIGURAÇÃO'!HK41"</f>
        <v/>
      </c>
      <c r="D7987" s="198" t="inlineStr">
        <is>
          <t>configuração</t>
        </is>
      </c>
    </row>
    <row r="7988">
      <c r="A7988" s="198" t="inlineStr">
        <is>
          <t>custom.tipo_entidade.4.base</t>
        </is>
      </c>
      <c r="B7988" s="198">
        <f>IF(ISBLANK('CONFIGURAÇÃO'!$HJ$43),"",'CONFIGURAÇÃO'!$HJ$43&amp;"")</f>
        <v/>
      </c>
      <c r="C7988" s="198">
        <f>"'CONFIGURAÇÃO'!HJ43"</f>
        <v/>
      </c>
      <c r="D7988" s="198" t="inlineStr">
        <is>
          <t>configuração</t>
        </is>
      </c>
    </row>
    <row r="7989">
      <c r="A7989" s="198" t="inlineStr">
        <is>
          <t>custom.tipo_entidade.4.vida</t>
        </is>
      </c>
      <c r="B7989" s="198">
        <f>IF(ISBLANK('CONFIGURAÇÃO'!$HJ$44),"",'CONFIGURAÇÃO'!$HJ$44&amp;"")</f>
        <v/>
      </c>
      <c r="C7989" s="198">
        <f>"'CONFIGURAÇÃO'!HJ44"</f>
        <v/>
      </c>
      <c r="D7989" s="198" t="inlineStr">
        <is>
          <t>configuração</t>
        </is>
      </c>
    </row>
    <row r="7990">
      <c r="A7990" s="198" t="inlineStr">
        <is>
          <t>custom.tipo_entidade.4.talisma</t>
        </is>
      </c>
      <c r="B7990" s="198">
        <f>IF(ISBLANK('CONFIGURAÇÃO'!$HJ$45),"",'CONFIGURAÇÃO'!$HJ$45&amp;"")</f>
        <v/>
      </c>
      <c r="C7990" s="198">
        <f>"'CONFIGURAÇÃO'!HJ45"</f>
        <v/>
      </c>
      <c r="D7990" s="198" t="inlineStr">
        <is>
          <t>configuração</t>
        </is>
      </c>
    </row>
    <row r="7991">
      <c r="A7991" s="198" t="inlineStr">
        <is>
          <t>custom.tipo_entidade.4.reserva_pe</t>
        </is>
      </c>
      <c r="B7991" s="198">
        <f>IF(ISBLANK('CONFIGURAÇÃO'!$HJ$47),"",'CONFIGURAÇÃO'!$HJ$47&amp;"")</f>
        <v/>
      </c>
      <c r="C7991" s="198">
        <f>"'CONFIGURAÇÃO'!HJ47"</f>
        <v/>
      </c>
      <c r="D7991" s="198" t="inlineStr">
        <is>
          <t>configuração</t>
        </is>
      </c>
    </row>
    <row r="7992">
      <c r="A7992" s="198" t="inlineStr">
        <is>
          <t>custom.tipo_entidade.4.definicao</t>
        </is>
      </c>
      <c r="B7992" s="198">
        <f>IF(ISBLANK('CONFIGURAÇÃO'!$HG$51),"",'CONFIGURAÇÃO'!$HG$51&amp;"")</f>
        <v/>
      </c>
      <c r="C7992" s="198">
        <f>"'CONFIGURAÇÃO'!HG51"</f>
        <v/>
      </c>
      <c r="D7992" s="198" t="inlineStr">
        <is>
          <t>configuração</t>
        </is>
      </c>
    </row>
    <row r="7993">
      <c r="A7993" s="198" t="inlineStr">
        <is>
          <t>custom.tipo_entidade.4.efeito</t>
        </is>
      </c>
      <c r="B7993" s="198">
        <f>IF(ISBLANK('CONFIGURAÇÃO'!$HG$56),"",'CONFIGURAÇÃO'!$HG$56&amp;"")</f>
        <v/>
      </c>
      <c r="C7993" s="198">
        <f>"'CONFIGURAÇÃO'!HG56"</f>
        <v/>
      </c>
      <c r="D7993" s="198" t="inlineStr">
        <is>
          <t>configuração</t>
        </is>
      </c>
    </row>
    <row r="7994">
      <c r="A7994" s="198" t="inlineStr">
        <is>
          <t>custom.tipo_entidade.5.nome</t>
        </is>
      </c>
      <c r="B7994" s="198">
        <f>IF(ISBLANK('CONFIGURAÇÃO'!$GY$69),"",'CONFIGURAÇÃO'!$GY$69&amp;"")</f>
        <v/>
      </c>
      <c r="C7994" s="198">
        <f>"'CONFIGURAÇÃO'!GY69"</f>
        <v/>
      </c>
      <c r="D7994" s="198" t="inlineStr">
        <is>
          <t>configuração</t>
        </is>
      </c>
    </row>
    <row r="7995">
      <c r="A7995" s="198" t="inlineStr">
        <is>
          <t>custom.tipo_entidade.5.mestre_viu</t>
        </is>
      </c>
      <c r="B7995" s="198">
        <f>N('CONFIGURAÇÃO'!$HC$69)&amp;""</f>
        <v/>
      </c>
      <c r="C7995" s="198">
        <f>"'CONFIGURAÇÃO'!HC69"</f>
        <v/>
      </c>
      <c r="D7995" s="198" t="inlineStr">
        <is>
          <t>configuração</t>
        </is>
      </c>
    </row>
    <row r="7996">
      <c r="A7996" s="198" t="inlineStr">
        <is>
          <t>custom.tipo_entidade.5.base</t>
        </is>
      </c>
      <c r="B7996" s="198">
        <f>IF(ISBLANK('CONFIGURAÇÃO'!$HB$71),"",'CONFIGURAÇÃO'!$HB$71&amp;"")</f>
        <v/>
      </c>
      <c r="C7996" s="198">
        <f>"'CONFIGURAÇÃO'!HB71"</f>
        <v/>
      </c>
      <c r="D7996" s="198" t="inlineStr">
        <is>
          <t>configuração</t>
        </is>
      </c>
    </row>
    <row r="7997">
      <c r="A7997" s="198" t="inlineStr">
        <is>
          <t>custom.tipo_entidade.5.vida</t>
        </is>
      </c>
      <c r="B7997" s="198">
        <f>IF(ISBLANK('CONFIGURAÇÃO'!$HB$72),"",'CONFIGURAÇÃO'!$HB$72&amp;"")</f>
        <v/>
      </c>
      <c r="C7997" s="198">
        <f>"'CONFIGURAÇÃO'!HB72"</f>
        <v/>
      </c>
      <c r="D7997" s="198" t="inlineStr">
        <is>
          <t>configuração</t>
        </is>
      </c>
    </row>
    <row r="7998">
      <c r="A7998" s="198" t="inlineStr">
        <is>
          <t>custom.tipo_entidade.5.talisma</t>
        </is>
      </c>
      <c r="B7998" s="198">
        <f>IF(ISBLANK('CONFIGURAÇÃO'!$HB$73),"",'CONFIGURAÇÃO'!$HB$73&amp;"")</f>
        <v/>
      </c>
      <c r="C7998" s="198">
        <f>"'CONFIGURAÇÃO'!HB73"</f>
        <v/>
      </c>
      <c r="D7998" s="198" t="inlineStr">
        <is>
          <t>configuração</t>
        </is>
      </c>
    </row>
    <row r="7999">
      <c r="A7999" s="198" t="inlineStr">
        <is>
          <t>custom.tipo_entidade.5.reserva_pe</t>
        </is>
      </c>
      <c r="B7999" s="198">
        <f>IF(ISBLANK('CONFIGURAÇÃO'!$HB$75),"",'CONFIGURAÇÃO'!$HB$75&amp;"")</f>
        <v/>
      </c>
      <c r="C7999" s="198">
        <f>"'CONFIGURAÇÃO'!HB75"</f>
        <v/>
      </c>
      <c r="D7999" s="198" t="inlineStr">
        <is>
          <t>configuração</t>
        </is>
      </c>
    </row>
    <row r="8000">
      <c r="A8000" s="198" t="inlineStr">
        <is>
          <t>custom.tipo_entidade.5.definicao</t>
        </is>
      </c>
      <c r="B8000" s="198">
        <f>IF(ISBLANK('CONFIGURAÇÃO'!$GY$79),"",'CONFIGURAÇÃO'!$GY$79&amp;"")</f>
        <v/>
      </c>
      <c r="C8000" s="198">
        <f>"'CONFIGURAÇÃO'!GY79"</f>
        <v/>
      </c>
      <c r="D8000" s="198" t="inlineStr">
        <is>
          <t>configuração</t>
        </is>
      </c>
    </row>
    <row r="8001">
      <c r="A8001" s="198" t="inlineStr">
        <is>
          <t>custom.tipo_entidade.5.efeito</t>
        </is>
      </c>
      <c r="B8001" s="198">
        <f>IF(ISBLANK('CONFIGURAÇÃO'!$GY$84),"",'CONFIGURAÇÃO'!$GY$84&amp;"")</f>
        <v/>
      </c>
      <c r="C8001" s="198">
        <f>"'CONFIGURAÇÃO'!GY84"</f>
        <v/>
      </c>
      <c r="D8001" s="198" t="inlineStr">
        <is>
          <t>configuração</t>
        </is>
      </c>
    </row>
    <row r="8002">
      <c r="A8002" s="198" t="inlineStr">
        <is>
          <t>custom.tipo_entidade.6.nome</t>
        </is>
      </c>
      <c r="B8002" s="198">
        <f>IF(ISBLANK('CONFIGURAÇÃO'!$HG$69),"",'CONFIGURAÇÃO'!$HG$69&amp;"")</f>
        <v/>
      </c>
      <c r="C8002" s="198">
        <f>"'CONFIGURAÇÃO'!HG69"</f>
        <v/>
      </c>
      <c r="D8002" s="198" t="inlineStr">
        <is>
          <t>configuração</t>
        </is>
      </c>
    </row>
    <row r="8003">
      <c r="A8003" s="198" t="inlineStr">
        <is>
          <t>custom.tipo_entidade.6.mestre_viu</t>
        </is>
      </c>
      <c r="B8003" s="198">
        <f>N('CONFIGURAÇÃO'!$HK$69)&amp;""</f>
        <v/>
      </c>
      <c r="C8003" s="198">
        <f>"'CONFIGURAÇÃO'!HK69"</f>
        <v/>
      </c>
      <c r="D8003" s="198" t="inlineStr">
        <is>
          <t>configuração</t>
        </is>
      </c>
    </row>
    <row r="8004">
      <c r="A8004" s="198" t="inlineStr">
        <is>
          <t>custom.tipo_entidade.6.base</t>
        </is>
      </c>
      <c r="B8004" s="198">
        <f>IF(ISBLANK('CONFIGURAÇÃO'!$HJ$71),"",'CONFIGURAÇÃO'!$HJ$71&amp;"")</f>
        <v/>
      </c>
      <c r="C8004" s="198">
        <f>"'CONFIGURAÇÃO'!HJ71"</f>
        <v/>
      </c>
      <c r="D8004" s="198" t="inlineStr">
        <is>
          <t>configuração</t>
        </is>
      </c>
    </row>
    <row r="8005">
      <c r="A8005" s="198" t="inlineStr">
        <is>
          <t>custom.tipo_entidade.6.vida</t>
        </is>
      </c>
      <c r="B8005" s="198">
        <f>IF(ISBLANK('CONFIGURAÇÃO'!$HJ$72),"",'CONFIGURAÇÃO'!$HJ$72&amp;"")</f>
        <v/>
      </c>
      <c r="C8005" s="198">
        <f>"'CONFIGURAÇÃO'!HJ72"</f>
        <v/>
      </c>
      <c r="D8005" s="198" t="inlineStr">
        <is>
          <t>configuração</t>
        </is>
      </c>
    </row>
    <row r="8006">
      <c r="A8006" s="198" t="inlineStr">
        <is>
          <t>custom.tipo_entidade.6.talisma</t>
        </is>
      </c>
      <c r="B8006" s="198">
        <f>IF(ISBLANK('CONFIGURAÇÃO'!$HJ$73),"",'CONFIGURAÇÃO'!$HJ$73&amp;"")</f>
        <v/>
      </c>
      <c r="C8006" s="198">
        <f>"'CONFIGURAÇÃO'!HJ73"</f>
        <v/>
      </c>
      <c r="D8006" s="198" t="inlineStr">
        <is>
          <t>configuração</t>
        </is>
      </c>
    </row>
    <row r="8007">
      <c r="A8007" s="198" t="inlineStr">
        <is>
          <t>custom.tipo_entidade.6.reserva_pe</t>
        </is>
      </c>
      <c r="B8007" s="198">
        <f>IF(ISBLANK('CONFIGURAÇÃO'!$HJ$75),"",'CONFIGURAÇÃO'!$HJ$75&amp;"")</f>
        <v/>
      </c>
      <c r="C8007" s="198">
        <f>"'CONFIGURAÇÃO'!HJ75"</f>
        <v/>
      </c>
      <c r="D8007" s="198" t="inlineStr">
        <is>
          <t>configuração</t>
        </is>
      </c>
    </row>
    <row r="8008">
      <c r="A8008" s="198" t="inlineStr">
        <is>
          <t>custom.tipo_entidade.6.definicao</t>
        </is>
      </c>
      <c r="B8008" s="198">
        <f>IF(ISBLANK('CONFIGURAÇÃO'!$HG$79),"",'CONFIGURAÇÃO'!$HG$79&amp;"")</f>
        <v/>
      </c>
      <c r="C8008" s="198">
        <f>"'CONFIGURAÇÃO'!HG79"</f>
        <v/>
      </c>
      <c r="D8008" s="198" t="inlineStr">
        <is>
          <t>configuração</t>
        </is>
      </c>
    </row>
    <row r="8009">
      <c r="A8009" s="198" t="inlineStr">
        <is>
          <t>custom.tipo_entidade.6.efeito</t>
        </is>
      </c>
      <c r="B8009" s="198">
        <f>IF(ISBLANK('CONFIGURAÇÃO'!$HG$84),"",'CONFIGURAÇÃO'!$HG$84&amp;"")</f>
        <v/>
      </c>
      <c r="C8009" s="198">
        <f>"'CONFIGURAÇÃO'!HG84"</f>
        <v/>
      </c>
      <c r="D8009" s="198" t="inlineStr">
        <is>
          <t>configuração</t>
        </is>
      </c>
    </row>
    <row r="8010">
      <c r="A8010" s="198" t="inlineStr">
        <is>
          <t>custom.tipo_entidade.7.nome</t>
        </is>
      </c>
      <c r="B8010" s="198">
        <f>IF(ISBLANK('CONFIGURAÇÃO'!$GY$97),"",'CONFIGURAÇÃO'!$GY$97&amp;"")</f>
        <v/>
      </c>
      <c r="C8010" s="198">
        <f>"'CONFIGURAÇÃO'!GY97"</f>
        <v/>
      </c>
      <c r="D8010" s="198" t="inlineStr">
        <is>
          <t>configuração</t>
        </is>
      </c>
    </row>
    <row r="8011">
      <c r="A8011" s="198" t="inlineStr">
        <is>
          <t>custom.tipo_entidade.7.mestre_viu</t>
        </is>
      </c>
      <c r="B8011" s="198">
        <f>N('CONFIGURAÇÃO'!$HC$97)&amp;""</f>
        <v/>
      </c>
      <c r="C8011" s="198">
        <f>"'CONFIGURAÇÃO'!HC97"</f>
        <v/>
      </c>
      <c r="D8011" s="198" t="inlineStr">
        <is>
          <t>configuração</t>
        </is>
      </c>
    </row>
    <row r="8012">
      <c r="A8012" s="198" t="inlineStr">
        <is>
          <t>custom.tipo_entidade.7.base</t>
        </is>
      </c>
      <c r="B8012" s="198">
        <f>IF(ISBLANK('CONFIGURAÇÃO'!$HB$99),"",'CONFIGURAÇÃO'!$HB$99&amp;"")</f>
        <v/>
      </c>
      <c r="C8012" s="198">
        <f>"'CONFIGURAÇÃO'!HB99"</f>
        <v/>
      </c>
      <c r="D8012" s="198" t="inlineStr">
        <is>
          <t>configuração</t>
        </is>
      </c>
    </row>
    <row r="8013">
      <c r="A8013" s="198" t="inlineStr">
        <is>
          <t>custom.tipo_entidade.7.vida</t>
        </is>
      </c>
      <c r="B8013" s="198">
        <f>IF(ISBLANK('CONFIGURAÇÃO'!$HB$100),"",'CONFIGURAÇÃO'!$HB$100&amp;"")</f>
        <v/>
      </c>
      <c r="C8013" s="198">
        <f>"'CONFIGURAÇÃO'!HB100"</f>
        <v/>
      </c>
      <c r="D8013" s="198" t="inlineStr">
        <is>
          <t>configuração</t>
        </is>
      </c>
    </row>
    <row r="8014">
      <c r="A8014" s="198" t="inlineStr">
        <is>
          <t>custom.tipo_entidade.7.talisma</t>
        </is>
      </c>
      <c r="B8014" s="198">
        <f>IF(ISBLANK('CONFIGURAÇÃO'!$HB$101),"",'CONFIGURAÇÃO'!$HB$101&amp;"")</f>
        <v/>
      </c>
      <c r="C8014" s="198">
        <f>"'CONFIGURAÇÃO'!HB101"</f>
        <v/>
      </c>
      <c r="D8014" s="198" t="inlineStr">
        <is>
          <t>configuração</t>
        </is>
      </c>
    </row>
    <row r="8015">
      <c r="A8015" s="198" t="inlineStr">
        <is>
          <t>custom.tipo_entidade.7.reserva_pe</t>
        </is>
      </c>
      <c r="B8015" s="198">
        <f>IF(ISBLANK('CONFIGURAÇÃO'!$HB$103),"",'CONFIGURAÇÃO'!$HB$103&amp;"")</f>
        <v/>
      </c>
      <c r="C8015" s="198">
        <f>"'CONFIGURAÇÃO'!HB103"</f>
        <v/>
      </c>
      <c r="D8015" s="198" t="inlineStr">
        <is>
          <t>configuração</t>
        </is>
      </c>
    </row>
    <row r="8016">
      <c r="A8016" s="198" t="inlineStr">
        <is>
          <t>custom.tipo_entidade.7.definicao</t>
        </is>
      </c>
      <c r="B8016" s="198">
        <f>IF(ISBLANK('CONFIGURAÇÃO'!$GY$107),"",'CONFIGURAÇÃO'!$GY$107&amp;"")</f>
        <v/>
      </c>
      <c r="C8016" s="198">
        <f>"'CONFIGURAÇÃO'!GY107"</f>
        <v/>
      </c>
      <c r="D8016" s="198" t="inlineStr">
        <is>
          <t>configuração</t>
        </is>
      </c>
    </row>
    <row r="8017">
      <c r="A8017" s="198" t="inlineStr">
        <is>
          <t>custom.tipo_entidade.7.efeito</t>
        </is>
      </c>
      <c r="B8017" s="198">
        <f>IF(ISBLANK('CONFIGURAÇÃO'!$GY$112),"",'CONFIGURAÇÃO'!$GY$112&amp;"")</f>
        <v/>
      </c>
      <c r="C8017" s="198">
        <f>"'CONFIGURAÇÃO'!GY112"</f>
        <v/>
      </c>
      <c r="D8017" s="198" t="inlineStr">
        <is>
          <t>configuração</t>
        </is>
      </c>
    </row>
    <row r="8018">
      <c r="A8018" s="198" t="inlineStr">
        <is>
          <t>custom.tipo_entidade.8.nome</t>
        </is>
      </c>
      <c r="B8018" s="198">
        <f>IF(ISBLANK('CONFIGURAÇÃO'!$HG$97),"",'CONFIGURAÇÃO'!$HG$97&amp;"")</f>
        <v/>
      </c>
      <c r="C8018" s="198">
        <f>"'CONFIGURAÇÃO'!HG97"</f>
        <v/>
      </c>
      <c r="D8018" s="198" t="inlineStr">
        <is>
          <t>configuração</t>
        </is>
      </c>
    </row>
    <row r="8019">
      <c r="A8019" s="198" t="inlineStr">
        <is>
          <t>custom.tipo_entidade.8.mestre_viu</t>
        </is>
      </c>
      <c r="B8019" s="198">
        <f>N('CONFIGURAÇÃO'!$HK$97)&amp;""</f>
        <v/>
      </c>
      <c r="C8019" s="198">
        <f>"'CONFIGURAÇÃO'!HK97"</f>
        <v/>
      </c>
      <c r="D8019" s="198" t="inlineStr">
        <is>
          <t>configuração</t>
        </is>
      </c>
    </row>
    <row r="8020">
      <c r="A8020" s="198" t="inlineStr">
        <is>
          <t>custom.tipo_entidade.8.base</t>
        </is>
      </c>
      <c r="B8020" s="198">
        <f>IF(ISBLANK('CONFIGURAÇÃO'!$HJ$99),"",'CONFIGURAÇÃO'!$HJ$99&amp;"")</f>
        <v/>
      </c>
      <c r="C8020" s="198">
        <f>"'CONFIGURAÇÃO'!HJ99"</f>
        <v/>
      </c>
      <c r="D8020" s="198" t="inlineStr">
        <is>
          <t>configuração</t>
        </is>
      </c>
    </row>
    <row r="8021">
      <c r="A8021" s="198" t="inlineStr">
        <is>
          <t>custom.tipo_entidade.8.vida</t>
        </is>
      </c>
      <c r="B8021" s="198">
        <f>IF(ISBLANK('CONFIGURAÇÃO'!$HJ$100),"",'CONFIGURAÇÃO'!$HJ$100&amp;"")</f>
        <v/>
      </c>
      <c r="C8021" s="198">
        <f>"'CONFIGURAÇÃO'!HJ100"</f>
        <v/>
      </c>
      <c r="D8021" s="198" t="inlineStr">
        <is>
          <t>configuração</t>
        </is>
      </c>
    </row>
    <row r="8022">
      <c r="A8022" s="198" t="inlineStr">
        <is>
          <t>custom.tipo_entidade.8.talisma</t>
        </is>
      </c>
      <c r="B8022" s="198">
        <f>IF(ISBLANK('CONFIGURAÇÃO'!$HJ$101),"",'CONFIGURAÇÃO'!$HJ$101&amp;"")</f>
        <v/>
      </c>
      <c r="C8022" s="198">
        <f>"'CONFIGURAÇÃO'!HJ101"</f>
        <v/>
      </c>
      <c r="D8022" s="198" t="inlineStr">
        <is>
          <t>configuração</t>
        </is>
      </c>
    </row>
    <row r="8023">
      <c r="A8023" s="198" t="inlineStr">
        <is>
          <t>custom.tipo_entidade.8.reserva_pe</t>
        </is>
      </c>
      <c r="B8023" s="198">
        <f>IF(ISBLANK('CONFIGURAÇÃO'!$HJ$103),"",'CONFIGURAÇÃO'!$HJ$103&amp;"")</f>
        <v/>
      </c>
      <c r="C8023" s="198">
        <f>"'CONFIGURAÇÃO'!HJ103"</f>
        <v/>
      </c>
      <c r="D8023" s="198" t="inlineStr">
        <is>
          <t>configuração</t>
        </is>
      </c>
    </row>
    <row r="8024">
      <c r="A8024" s="198" t="inlineStr">
        <is>
          <t>custom.tipo_entidade.8.definicao</t>
        </is>
      </c>
      <c r="B8024" s="198">
        <f>IF(ISBLANK('CONFIGURAÇÃO'!$HG$107),"",'CONFIGURAÇÃO'!$HG$107&amp;"")</f>
        <v/>
      </c>
      <c r="C8024" s="198">
        <f>"'CONFIGURAÇÃO'!HG107"</f>
        <v/>
      </c>
      <c r="D8024" s="198" t="inlineStr">
        <is>
          <t>configuração</t>
        </is>
      </c>
    </row>
    <row r="8025">
      <c r="A8025" s="198" t="inlineStr">
        <is>
          <t>custom.tipo_entidade.8.efeito</t>
        </is>
      </c>
      <c r="B8025" s="198">
        <f>IF(ISBLANK('CONFIGURAÇÃO'!$HG$112),"",'CONFIGURAÇÃO'!$HG$112&amp;"")</f>
        <v/>
      </c>
      <c r="C8025" s="198">
        <f>"'CONFIGURAÇÃO'!HG112"</f>
        <v/>
      </c>
      <c r="D8025" s="198" t="inlineStr">
        <is>
          <t>configuração</t>
        </is>
      </c>
    </row>
    <row r="8026">
      <c r="A8026" s="198" t="inlineStr">
        <is>
          <t>custom.tipo_entidade.9.nome</t>
        </is>
      </c>
      <c r="B8026" s="198">
        <f>IF(ISBLANK('CONFIGURAÇÃO'!$GY$125),"",'CONFIGURAÇÃO'!$GY$125&amp;"")</f>
        <v/>
      </c>
      <c r="C8026" s="198">
        <f>"'CONFIGURAÇÃO'!GY125"</f>
        <v/>
      </c>
      <c r="D8026" s="198" t="inlineStr">
        <is>
          <t>configuração</t>
        </is>
      </c>
    </row>
    <row r="8027">
      <c r="A8027" s="198" t="inlineStr">
        <is>
          <t>custom.tipo_entidade.9.mestre_viu</t>
        </is>
      </c>
      <c r="B8027" s="198">
        <f>N('CONFIGURAÇÃO'!$HC$125)&amp;""</f>
        <v/>
      </c>
      <c r="C8027" s="198">
        <f>"'CONFIGURAÇÃO'!HC125"</f>
        <v/>
      </c>
      <c r="D8027" s="198" t="inlineStr">
        <is>
          <t>configuração</t>
        </is>
      </c>
    </row>
    <row r="8028">
      <c r="A8028" s="198" t="inlineStr">
        <is>
          <t>custom.tipo_entidade.9.base</t>
        </is>
      </c>
      <c r="B8028" s="198">
        <f>IF(ISBLANK('CONFIGURAÇÃO'!$HB$127),"",'CONFIGURAÇÃO'!$HB$127&amp;"")</f>
        <v/>
      </c>
      <c r="C8028" s="198">
        <f>"'CONFIGURAÇÃO'!HB127"</f>
        <v/>
      </c>
      <c r="D8028" s="198" t="inlineStr">
        <is>
          <t>configuração</t>
        </is>
      </c>
    </row>
    <row r="8029">
      <c r="A8029" s="198" t="inlineStr">
        <is>
          <t>custom.tipo_entidade.9.vida</t>
        </is>
      </c>
      <c r="B8029" s="198">
        <f>IF(ISBLANK('CONFIGURAÇÃO'!$HB$128),"",'CONFIGURAÇÃO'!$HB$128&amp;"")</f>
        <v/>
      </c>
      <c r="C8029" s="198">
        <f>"'CONFIGURAÇÃO'!HB128"</f>
        <v/>
      </c>
      <c r="D8029" s="198" t="inlineStr">
        <is>
          <t>configuração</t>
        </is>
      </c>
    </row>
    <row r="8030">
      <c r="A8030" s="198" t="inlineStr">
        <is>
          <t>custom.tipo_entidade.9.talisma</t>
        </is>
      </c>
      <c r="B8030" s="198">
        <f>IF(ISBLANK('CONFIGURAÇÃO'!$HB$129),"",'CONFIGURAÇÃO'!$HB$129&amp;"")</f>
        <v/>
      </c>
      <c r="C8030" s="198">
        <f>"'CONFIGURAÇÃO'!HB129"</f>
        <v/>
      </c>
      <c r="D8030" s="198" t="inlineStr">
        <is>
          <t>configuração</t>
        </is>
      </c>
    </row>
    <row r="8031">
      <c r="A8031" s="198" t="inlineStr">
        <is>
          <t>custom.tipo_entidade.9.reserva_pe</t>
        </is>
      </c>
      <c r="B8031" s="198">
        <f>IF(ISBLANK('CONFIGURAÇÃO'!$HB$131),"",'CONFIGURAÇÃO'!$HB$131&amp;"")</f>
        <v/>
      </c>
      <c r="C8031" s="198">
        <f>"'CONFIGURAÇÃO'!HB131"</f>
        <v/>
      </c>
      <c r="D8031" s="198" t="inlineStr">
        <is>
          <t>configuração</t>
        </is>
      </c>
    </row>
    <row r="8032">
      <c r="A8032" s="198" t="inlineStr">
        <is>
          <t>custom.tipo_entidade.9.definicao</t>
        </is>
      </c>
      <c r="B8032" s="198">
        <f>IF(ISBLANK('CONFIGURAÇÃO'!$GY$135),"",'CONFIGURAÇÃO'!$GY$135&amp;"")</f>
        <v/>
      </c>
      <c r="C8032" s="198">
        <f>"'CONFIGURAÇÃO'!GY135"</f>
        <v/>
      </c>
      <c r="D8032" s="198" t="inlineStr">
        <is>
          <t>configuração</t>
        </is>
      </c>
    </row>
    <row r="8033">
      <c r="A8033" s="198" t="inlineStr">
        <is>
          <t>custom.tipo_entidade.9.efeito</t>
        </is>
      </c>
      <c r="B8033" s="198">
        <f>IF(ISBLANK('CONFIGURAÇÃO'!$GY$140),"",'CONFIGURAÇÃO'!$GY$140&amp;"")</f>
        <v/>
      </c>
      <c r="C8033" s="198">
        <f>"'CONFIGURAÇÃO'!GY140"</f>
        <v/>
      </c>
      <c r="D8033" s="198" t="inlineStr">
        <is>
          <t>configuração</t>
        </is>
      </c>
    </row>
    <row r="8034">
      <c r="A8034" s="198" t="inlineStr">
        <is>
          <t>custom.tipo_entidade.10.nome</t>
        </is>
      </c>
      <c r="B8034" s="198">
        <f>IF(ISBLANK('CONFIGURAÇÃO'!$HG$125),"",'CONFIGURAÇÃO'!$HG$125&amp;"")</f>
        <v/>
      </c>
      <c r="C8034" s="198">
        <f>"'CONFIGURAÇÃO'!HG125"</f>
        <v/>
      </c>
      <c r="D8034" s="198" t="inlineStr">
        <is>
          <t>configuração</t>
        </is>
      </c>
    </row>
    <row r="8035">
      <c r="A8035" s="198" t="inlineStr">
        <is>
          <t>custom.tipo_entidade.10.mestre_viu</t>
        </is>
      </c>
      <c r="B8035" s="198">
        <f>N('CONFIGURAÇÃO'!$HK$125)&amp;""</f>
        <v/>
      </c>
      <c r="C8035" s="198">
        <f>"'CONFIGURAÇÃO'!HK125"</f>
        <v/>
      </c>
      <c r="D8035" s="198" t="inlineStr">
        <is>
          <t>configuração</t>
        </is>
      </c>
    </row>
    <row r="8036">
      <c r="A8036" s="198" t="inlineStr">
        <is>
          <t>custom.tipo_entidade.10.base</t>
        </is>
      </c>
      <c r="B8036" s="198">
        <f>IF(ISBLANK('CONFIGURAÇÃO'!$HJ$127),"",'CONFIGURAÇÃO'!$HJ$127&amp;"")</f>
        <v/>
      </c>
      <c r="C8036" s="198">
        <f>"'CONFIGURAÇÃO'!HJ127"</f>
        <v/>
      </c>
      <c r="D8036" s="198" t="inlineStr">
        <is>
          <t>configuração</t>
        </is>
      </c>
    </row>
    <row r="8037">
      <c r="A8037" s="198" t="inlineStr">
        <is>
          <t>custom.tipo_entidade.10.vida</t>
        </is>
      </c>
      <c r="B8037" s="198">
        <f>IF(ISBLANK('CONFIGURAÇÃO'!$HJ$128),"",'CONFIGURAÇÃO'!$HJ$128&amp;"")</f>
        <v/>
      </c>
      <c r="C8037" s="198">
        <f>"'CONFIGURAÇÃO'!HJ128"</f>
        <v/>
      </c>
      <c r="D8037" s="198" t="inlineStr">
        <is>
          <t>configuração</t>
        </is>
      </c>
    </row>
    <row r="8038">
      <c r="A8038" s="198" t="inlineStr">
        <is>
          <t>custom.tipo_entidade.10.talisma</t>
        </is>
      </c>
      <c r="B8038" s="198">
        <f>IF(ISBLANK('CONFIGURAÇÃO'!$HJ$129),"",'CONFIGURAÇÃO'!$HJ$129&amp;"")</f>
        <v/>
      </c>
      <c r="C8038" s="198">
        <f>"'CONFIGURAÇÃO'!HJ129"</f>
        <v/>
      </c>
      <c r="D8038" s="198" t="inlineStr">
        <is>
          <t>configuração</t>
        </is>
      </c>
    </row>
    <row r="8039">
      <c r="A8039" s="198" t="inlineStr">
        <is>
          <t>custom.tipo_entidade.10.reserva_pe</t>
        </is>
      </c>
      <c r="B8039" s="198">
        <f>IF(ISBLANK('CONFIGURAÇÃO'!$HJ$131),"",'CONFIGURAÇÃO'!$HJ$131&amp;"")</f>
        <v/>
      </c>
      <c r="C8039" s="198">
        <f>"'CONFIGURAÇÃO'!HJ131"</f>
        <v/>
      </c>
      <c r="D8039" s="198" t="inlineStr">
        <is>
          <t>configuração</t>
        </is>
      </c>
    </row>
    <row r="8040">
      <c r="A8040" s="198" t="inlineStr">
        <is>
          <t>custom.tipo_entidade.10.definicao</t>
        </is>
      </c>
      <c r="B8040" s="198">
        <f>IF(ISBLANK('CONFIGURAÇÃO'!$HG$135),"",'CONFIGURAÇÃO'!$HG$135&amp;"")</f>
        <v/>
      </c>
      <c r="C8040" s="198">
        <f>"'CONFIGURAÇÃO'!HG135"</f>
        <v/>
      </c>
      <c r="D8040" s="198" t="inlineStr">
        <is>
          <t>configuração</t>
        </is>
      </c>
    </row>
    <row r="8041">
      <c r="A8041" s="198" t="inlineStr">
        <is>
          <t>custom.tipo_entidade.10.efeito</t>
        </is>
      </c>
      <c r="B8041" s="198">
        <f>IF(ISBLANK('CONFIGURAÇÃO'!$HG$140),"",'CONFIGURAÇÃO'!$HG$140&amp;"")</f>
        <v/>
      </c>
      <c r="C8041" s="198">
        <f>"'CONFIGURAÇÃO'!HG140"</f>
        <v/>
      </c>
      <c r="D8041" s="198" t="inlineStr">
        <is>
          <t>configuração</t>
        </is>
      </c>
    </row>
    <row r="8042">
      <c r="A8042" s="198" t="inlineStr">
        <is>
          <t>custom.talento_entidade.1.nome</t>
        </is>
      </c>
      <c r="B8042" s="198">
        <f>IF(ISBLANK('CONFIGURAÇÃO'!$HP$13),"",'CONFIGURAÇÃO'!$HP$13&amp;"")</f>
        <v/>
      </c>
      <c r="C8042" s="198">
        <f>"'CONFIGURAÇÃO'!HP13"</f>
        <v/>
      </c>
      <c r="D8042" s="198" t="inlineStr">
        <is>
          <t>configuração</t>
        </is>
      </c>
    </row>
    <row r="8043">
      <c r="A8043" s="198" t="inlineStr">
        <is>
          <t>custom.talento_entidade.1.mestre_viu</t>
        </is>
      </c>
      <c r="B8043" s="198">
        <f>N('CONFIGURAÇÃO'!$HT$13)&amp;""</f>
        <v/>
      </c>
      <c r="C8043" s="198">
        <f>"'CONFIGURAÇÃO'!HT13"</f>
        <v/>
      </c>
      <c r="D8043" s="198" t="inlineStr">
        <is>
          <t>configuração</t>
        </is>
      </c>
    </row>
    <row r="8044">
      <c r="A8044" s="198" t="inlineStr">
        <is>
          <t>custom.talento_entidade.1.base</t>
        </is>
      </c>
      <c r="B8044" s="198">
        <f>IF(ISBLANK('CONFIGURAÇÃO'!$HS$15),"",'CONFIGURAÇÃO'!$HS$15&amp;"")</f>
        <v/>
      </c>
      <c r="C8044" s="198">
        <f>"'CONFIGURAÇÃO'!HS15"</f>
        <v/>
      </c>
      <c r="D8044" s="198" t="inlineStr">
        <is>
          <t>configuração</t>
        </is>
      </c>
    </row>
    <row r="8045">
      <c r="A8045" s="198" t="inlineStr">
        <is>
          <t>custom.talento_entidade.1.categoria</t>
        </is>
      </c>
      <c r="B8045" s="198">
        <f>IF(ISBLANK('CONFIGURAÇÃO'!$HS$16),"",'CONFIGURAÇÃO'!$HS$16&amp;"")</f>
        <v/>
      </c>
      <c r="C8045" s="198">
        <f>"'CONFIGURAÇÃO'!HS16"</f>
        <v/>
      </c>
      <c r="D8045" s="198" t="inlineStr">
        <is>
          <t>configuração</t>
        </is>
      </c>
    </row>
    <row r="8046">
      <c r="A8046" s="198" t="inlineStr">
        <is>
          <t>custom.talento_entidade.1.requisitos</t>
        </is>
      </c>
      <c r="B8046" s="198">
        <f>IF(ISBLANK('CONFIGURAÇÃO'!$HP$23),"",'CONFIGURAÇÃO'!$HP$23&amp;"")</f>
        <v/>
      </c>
      <c r="C8046" s="198">
        <f>"'CONFIGURAÇÃO'!HP23"</f>
        <v/>
      </c>
      <c r="D8046" s="198" t="inlineStr">
        <is>
          <t>configuração</t>
        </is>
      </c>
    </row>
    <row r="8047">
      <c r="A8047" s="198" t="inlineStr">
        <is>
          <t>custom.talento_entidade.1.efeito</t>
        </is>
      </c>
      <c r="B8047" s="198">
        <f>IF(ISBLANK('CONFIGURAÇÃO'!$HP$28),"",'CONFIGURAÇÃO'!$HP$28&amp;"")</f>
        <v/>
      </c>
      <c r="C8047" s="198">
        <f>"'CONFIGURAÇÃO'!HP28"</f>
        <v/>
      </c>
      <c r="D8047" s="198" t="inlineStr">
        <is>
          <t>configuração</t>
        </is>
      </c>
    </row>
    <row r="8048">
      <c r="A8048" s="198" t="inlineStr">
        <is>
          <t>custom.talento_entidade.2.nome</t>
        </is>
      </c>
      <c r="B8048" s="198">
        <f>IF(ISBLANK('CONFIGURAÇÃO'!$HX$13),"",'CONFIGURAÇÃO'!$HX$13&amp;"")</f>
        <v/>
      </c>
      <c r="C8048" s="198">
        <f>"'CONFIGURAÇÃO'!HX13"</f>
        <v/>
      </c>
      <c r="D8048" s="198" t="inlineStr">
        <is>
          <t>configuração</t>
        </is>
      </c>
    </row>
    <row r="8049">
      <c r="A8049" s="198" t="inlineStr">
        <is>
          <t>custom.talento_entidade.2.mestre_viu</t>
        </is>
      </c>
      <c r="B8049" s="198">
        <f>N('CONFIGURAÇÃO'!$IB$13)&amp;""</f>
        <v/>
      </c>
      <c r="C8049" s="198">
        <f>"'CONFIGURAÇÃO'!IB13"</f>
        <v/>
      </c>
      <c r="D8049" s="198" t="inlineStr">
        <is>
          <t>configuração</t>
        </is>
      </c>
    </row>
    <row r="8050">
      <c r="A8050" s="198" t="inlineStr">
        <is>
          <t>custom.talento_entidade.2.base</t>
        </is>
      </c>
      <c r="B8050" s="198">
        <f>IF(ISBLANK('CONFIGURAÇÃO'!$IA$15),"",'CONFIGURAÇÃO'!$IA$15&amp;"")</f>
        <v/>
      </c>
      <c r="C8050" s="198">
        <f>"'CONFIGURAÇÃO'!IA15"</f>
        <v/>
      </c>
      <c r="D8050" s="198" t="inlineStr">
        <is>
          <t>configuração</t>
        </is>
      </c>
    </row>
    <row r="8051">
      <c r="A8051" s="198" t="inlineStr">
        <is>
          <t>custom.talento_entidade.2.categoria</t>
        </is>
      </c>
      <c r="B8051" s="198">
        <f>IF(ISBLANK('CONFIGURAÇÃO'!$IA$16),"",'CONFIGURAÇÃO'!$IA$16&amp;"")</f>
        <v/>
      </c>
      <c r="C8051" s="198">
        <f>"'CONFIGURAÇÃO'!IA16"</f>
        <v/>
      </c>
      <c r="D8051" s="198" t="inlineStr">
        <is>
          <t>configuração</t>
        </is>
      </c>
    </row>
    <row r="8052">
      <c r="A8052" s="198" t="inlineStr">
        <is>
          <t>custom.talento_entidade.2.requisitos</t>
        </is>
      </c>
      <c r="B8052" s="198">
        <f>IF(ISBLANK('CONFIGURAÇÃO'!$HX$23),"",'CONFIGURAÇÃO'!$HX$23&amp;"")</f>
        <v/>
      </c>
      <c r="C8052" s="198">
        <f>"'CONFIGURAÇÃO'!HX23"</f>
        <v/>
      </c>
      <c r="D8052" s="198" t="inlineStr">
        <is>
          <t>configuração</t>
        </is>
      </c>
    </row>
    <row r="8053">
      <c r="A8053" s="198" t="inlineStr">
        <is>
          <t>custom.talento_entidade.2.efeito</t>
        </is>
      </c>
      <c r="B8053" s="198">
        <f>IF(ISBLANK('CONFIGURAÇÃO'!$HX$28),"",'CONFIGURAÇÃO'!$HX$28&amp;"")</f>
        <v/>
      </c>
      <c r="C8053" s="198">
        <f>"'CONFIGURAÇÃO'!HX28"</f>
        <v/>
      </c>
      <c r="D8053" s="198" t="inlineStr">
        <is>
          <t>configuração</t>
        </is>
      </c>
    </row>
    <row r="8054">
      <c r="A8054" s="198" t="inlineStr">
        <is>
          <t>custom.talento_entidade.3.nome</t>
        </is>
      </c>
      <c r="B8054" s="198">
        <f>IF(ISBLANK('CONFIGURAÇÃO'!$HP$41),"",'CONFIGURAÇÃO'!$HP$41&amp;"")</f>
        <v/>
      </c>
      <c r="C8054" s="198">
        <f>"'CONFIGURAÇÃO'!HP41"</f>
        <v/>
      </c>
      <c r="D8054" s="198" t="inlineStr">
        <is>
          <t>configuração</t>
        </is>
      </c>
    </row>
    <row r="8055">
      <c r="A8055" s="198" t="inlineStr">
        <is>
          <t>custom.talento_entidade.3.mestre_viu</t>
        </is>
      </c>
      <c r="B8055" s="198">
        <f>N('CONFIGURAÇÃO'!$HT$41)&amp;""</f>
        <v/>
      </c>
      <c r="C8055" s="198">
        <f>"'CONFIGURAÇÃO'!HT41"</f>
        <v/>
      </c>
      <c r="D8055" s="198" t="inlineStr">
        <is>
          <t>configuração</t>
        </is>
      </c>
    </row>
    <row r="8056">
      <c r="A8056" s="198" t="inlineStr">
        <is>
          <t>custom.talento_entidade.3.base</t>
        </is>
      </c>
      <c r="B8056" s="198">
        <f>IF(ISBLANK('CONFIGURAÇÃO'!$HS$43),"",'CONFIGURAÇÃO'!$HS$43&amp;"")</f>
        <v/>
      </c>
      <c r="C8056" s="198">
        <f>"'CONFIGURAÇÃO'!HS43"</f>
        <v/>
      </c>
      <c r="D8056" s="198" t="inlineStr">
        <is>
          <t>configuração</t>
        </is>
      </c>
    </row>
    <row r="8057">
      <c r="A8057" s="198" t="inlineStr">
        <is>
          <t>custom.talento_entidade.3.categoria</t>
        </is>
      </c>
      <c r="B8057" s="198">
        <f>IF(ISBLANK('CONFIGURAÇÃO'!$HS$44),"",'CONFIGURAÇÃO'!$HS$44&amp;"")</f>
        <v/>
      </c>
      <c r="C8057" s="198">
        <f>"'CONFIGURAÇÃO'!HS44"</f>
        <v/>
      </c>
      <c r="D8057" s="198" t="inlineStr">
        <is>
          <t>configuração</t>
        </is>
      </c>
    </row>
    <row r="8058">
      <c r="A8058" s="198" t="inlineStr">
        <is>
          <t>custom.talento_entidade.3.requisitos</t>
        </is>
      </c>
      <c r="B8058" s="198">
        <f>IF(ISBLANK('CONFIGURAÇÃO'!$HP$51),"",'CONFIGURAÇÃO'!$HP$51&amp;"")</f>
        <v/>
      </c>
      <c r="C8058" s="198">
        <f>"'CONFIGURAÇÃO'!HP51"</f>
        <v/>
      </c>
      <c r="D8058" s="198" t="inlineStr">
        <is>
          <t>configuração</t>
        </is>
      </c>
    </row>
    <row r="8059">
      <c r="A8059" s="198" t="inlineStr">
        <is>
          <t>custom.talento_entidade.3.efeito</t>
        </is>
      </c>
      <c r="B8059" s="198">
        <f>IF(ISBLANK('CONFIGURAÇÃO'!$HP$56),"",'CONFIGURAÇÃO'!$HP$56&amp;"")</f>
        <v/>
      </c>
      <c r="C8059" s="198">
        <f>"'CONFIGURAÇÃO'!HP56"</f>
        <v/>
      </c>
      <c r="D8059" s="198" t="inlineStr">
        <is>
          <t>configuração</t>
        </is>
      </c>
    </row>
    <row r="8060">
      <c r="A8060" s="198" t="inlineStr">
        <is>
          <t>custom.talento_entidade.4.nome</t>
        </is>
      </c>
      <c r="B8060" s="198">
        <f>IF(ISBLANK('CONFIGURAÇÃO'!$HX$41),"",'CONFIGURAÇÃO'!$HX$41&amp;"")</f>
        <v/>
      </c>
      <c r="C8060" s="198">
        <f>"'CONFIGURAÇÃO'!HX41"</f>
        <v/>
      </c>
      <c r="D8060" s="198" t="inlineStr">
        <is>
          <t>configuração</t>
        </is>
      </c>
    </row>
    <row r="8061">
      <c r="A8061" s="198" t="inlineStr">
        <is>
          <t>custom.talento_entidade.4.mestre_viu</t>
        </is>
      </c>
      <c r="B8061" s="198">
        <f>N('CONFIGURAÇÃO'!$IB$41)&amp;""</f>
        <v/>
      </c>
      <c r="C8061" s="198">
        <f>"'CONFIGURAÇÃO'!IB41"</f>
        <v/>
      </c>
      <c r="D8061" s="198" t="inlineStr">
        <is>
          <t>configuração</t>
        </is>
      </c>
    </row>
    <row r="8062">
      <c r="A8062" s="198" t="inlineStr">
        <is>
          <t>custom.talento_entidade.4.base</t>
        </is>
      </c>
      <c r="B8062" s="198">
        <f>IF(ISBLANK('CONFIGURAÇÃO'!$IA$43),"",'CONFIGURAÇÃO'!$IA$43&amp;"")</f>
        <v/>
      </c>
      <c r="C8062" s="198">
        <f>"'CONFIGURAÇÃO'!IA43"</f>
        <v/>
      </c>
      <c r="D8062" s="198" t="inlineStr">
        <is>
          <t>configuração</t>
        </is>
      </c>
    </row>
    <row r="8063">
      <c r="A8063" s="198" t="inlineStr">
        <is>
          <t>custom.talento_entidade.4.categoria</t>
        </is>
      </c>
      <c r="B8063" s="198">
        <f>IF(ISBLANK('CONFIGURAÇÃO'!$IA$44),"",'CONFIGURAÇÃO'!$IA$44&amp;"")</f>
        <v/>
      </c>
      <c r="C8063" s="198">
        <f>"'CONFIGURAÇÃO'!IA44"</f>
        <v/>
      </c>
      <c r="D8063" s="198" t="inlineStr">
        <is>
          <t>configuração</t>
        </is>
      </c>
    </row>
    <row r="8064">
      <c r="A8064" s="198" t="inlineStr">
        <is>
          <t>custom.talento_entidade.4.requisitos</t>
        </is>
      </c>
      <c r="B8064" s="198">
        <f>IF(ISBLANK('CONFIGURAÇÃO'!$HX$51),"",'CONFIGURAÇÃO'!$HX$51&amp;"")</f>
        <v/>
      </c>
      <c r="C8064" s="198">
        <f>"'CONFIGURAÇÃO'!HX51"</f>
        <v/>
      </c>
      <c r="D8064" s="198" t="inlineStr">
        <is>
          <t>configuração</t>
        </is>
      </c>
    </row>
    <row r="8065">
      <c r="A8065" s="198" t="inlineStr">
        <is>
          <t>custom.talento_entidade.4.efeito</t>
        </is>
      </c>
      <c r="B8065" s="198">
        <f>IF(ISBLANK('CONFIGURAÇÃO'!$HX$56),"",'CONFIGURAÇÃO'!$HX$56&amp;"")</f>
        <v/>
      </c>
      <c r="C8065" s="198">
        <f>"'CONFIGURAÇÃO'!HX56"</f>
        <v/>
      </c>
      <c r="D8065" s="198" t="inlineStr">
        <is>
          <t>configuração</t>
        </is>
      </c>
    </row>
    <row r="8066">
      <c r="A8066" s="198" t="inlineStr">
        <is>
          <t>custom.talento_entidade.5.nome</t>
        </is>
      </c>
      <c r="B8066" s="198">
        <f>IF(ISBLANK('CONFIGURAÇÃO'!$HP$69),"",'CONFIGURAÇÃO'!$HP$69&amp;"")</f>
        <v/>
      </c>
      <c r="C8066" s="198">
        <f>"'CONFIGURAÇÃO'!HP69"</f>
        <v/>
      </c>
      <c r="D8066" s="198" t="inlineStr">
        <is>
          <t>configuração</t>
        </is>
      </c>
    </row>
    <row r="8067">
      <c r="A8067" s="198" t="inlineStr">
        <is>
          <t>custom.talento_entidade.5.mestre_viu</t>
        </is>
      </c>
      <c r="B8067" s="198">
        <f>N('CONFIGURAÇÃO'!$HT$69)&amp;""</f>
        <v/>
      </c>
      <c r="C8067" s="198">
        <f>"'CONFIGURAÇÃO'!HT69"</f>
        <v/>
      </c>
      <c r="D8067" s="198" t="inlineStr">
        <is>
          <t>configuração</t>
        </is>
      </c>
    </row>
    <row r="8068">
      <c r="A8068" s="198" t="inlineStr">
        <is>
          <t>custom.talento_entidade.5.base</t>
        </is>
      </c>
      <c r="B8068" s="198">
        <f>IF(ISBLANK('CONFIGURAÇÃO'!$HS$71),"",'CONFIGURAÇÃO'!$HS$71&amp;"")</f>
        <v/>
      </c>
      <c r="C8068" s="198">
        <f>"'CONFIGURAÇÃO'!HS71"</f>
        <v/>
      </c>
      <c r="D8068" s="198" t="inlineStr">
        <is>
          <t>configuração</t>
        </is>
      </c>
    </row>
    <row r="8069">
      <c r="A8069" s="198" t="inlineStr">
        <is>
          <t>custom.talento_entidade.5.categoria</t>
        </is>
      </c>
      <c r="B8069" s="198">
        <f>IF(ISBLANK('CONFIGURAÇÃO'!$HS$72),"",'CONFIGURAÇÃO'!$HS$72&amp;"")</f>
        <v/>
      </c>
      <c r="C8069" s="198">
        <f>"'CONFIGURAÇÃO'!HS72"</f>
        <v/>
      </c>
      <c r="D8069" s="198" t="inlineStr">
        <is>
          <t>configuração</t>
        </is>
      </c>
    </row>
    <row r="8070">
      <c r="A8070" s="198" t="inlineStr">
        <is>
          <t>custom.talento_entidade.5.requisitos</t>
        </is>
      </c>
      <c r="B8070" s="198">
        <f>IF(ISBLANK('CONFIGURAÇÃO'!$HP$79),"",'CONFIGURAÇÃO'!$HP$79&amp;"")</f>
        <v/>
      </c>
      <c r="C8070" s="198">
        <f>"'CONFIGURAÇÃO'!HP79"</f>
        <v/>
      </c>
      <c r="D8070" s="198" t="inlineStr">
        <is>
          <t>configuração</t>
        </is>
      </c>
    </row>
    <row r="8071">
      <c r="A8071" s="198" t="inlineStr">
        <is>
          <t>custom.talento_entidade.5.efeito</t>
        </is>
      </c>
      <c r="B8071" s="198">
        <f>IF(ISBLANK('CONFIGURAÇÃO'!$HP$84),"",'CONFIGURAÇÃO'!$HP$84&amp;"")</f>
        <v/>
      </c>
      <c r="C8071" s="198">
        <f>"'CONFIGURAÇÃO'!HP84"</f>
        <v/>
      </c>
      <c r="D8071" s="198" t="inlineStr">
        <is>
          <t>configuração</t>
        </is>
      </c>
    </row>
    <row r="8072">
      <c r="A8072" s="198" t="inlineStr">
        <is>
          <t>custom.talento_entidade.6.nome</t>
        </is>
      </c>
      <c r="B8072" s="198">
        <f>IF(ISBLANK('CONFIGURAÇÃO'!$HX$69),"",'CONFIGURAÇÃO'!$HX$69&amp;"")</f>
        <v/>
      </c>
      <c r="C8072" s="198">
        <f>"'CONFIGURAÇÃO'!HX69"</f>
        <v/>
      </c>
      <c r="D8072" s="198" t="inlineStr">
        <is>
          <t>configuração</t>
        </is>
      </c>
    </row>
    <row r="8073">
      <c r="A8073" s="198" t="inlineStr">
        <is>
          <t>custom.talento_entidade.6.mestre_viu</t>
        </is>
      </c>
      <c r="B8073" s="198">
        <f>N('CONFIGURAÇÃO'!$IB$69)&amp;""</f>
        <v/>
      </c>
      <c r="C8073" s="198">
        <f>"'CONFIGURAÇÃO'!IB69"</f>
        <v/>
      </c>
      <c r="D8073" s="198" t="inlineStr">
        <is>
          <t>configuração</t>
        </is>
      </c>
    </row>
    <row r="8074">
      <c r="A8074" s="198" t="inlineStr">
        <is>
          <t>custom.talento_entidade.6.base</t>
        </is>
      </c>
      <c r="B8074" s="198">
        <f>IF(ISBLANK('CONFIGURAÇÃO'!$IA$71),"",'CONFIGURAÇÃO'!$IA$71&amp;"")</f>
        <v/>
      </c>
      <c r="C8074" s="198">
        <f>"'CONFIGURAÇÃO'!IA71"</f>
        <v/>
      </c>
      <c r="D8074" s="198" t="inlineStr">
        <is>
          <t>configuração</t>
        </is>
      </c>
    </row>
    <row r="8075">
      <c r="A8075" s="198" t="inlineStr">
        <is>
          <t>custom.talento_entidade.6.categoria</t>
        </is>
      </c>
      <c r="B8075" s="198">
        <f>IF(ISBLANK('CONFIGURAÇÃO'!$IA$72),"",'CONFIGURAÇÃO'!$IA$72&amp;"")</f>
        <v/>
      </c>
      <c r="C8075" s="198">
        <f>"'CONFIGURAÇÃO'!IA72"</f>
        <v/>
      </c>
      <c r="D8075" s="198" t="inlineStr">
        <is>
          <t>configuração</t>
        </is>
      </c>
    </row>
    <row r="8076">
      <c r="A8076" s="198" t="inlineStr">
        <is>
          <t>custom.talento_entidade.6.requisitos</t>
        </is>
      </c>
      <c r="B8076" s="198">
        <f>IF(ISBLANK('CONFIGURAÇÃO'!$HX$79),"",'CONFIGURAÇÃO'!$HX$79&amp;"")</f>
        <v/>
      </c>
      <c r="C8076" s="198">
        <f>"'CONFIGURAÇÃO'!HX79"</f>
        <v/>
      </c>
      <c r="D8076" s="198" t="inlineStr">
        <is>
          <t>configuração</t>
        </is>
      </c>
    </row>
    <row r="8077">
      <c r="A8077" s="198" t="inlineStr">
        <is>
          <t>custom.talento_entidade.6.efeito</t>
        </is>
      </c>
      <c r="B8077" s="198">
        <f>IF(ISBLANK('CONFIGURAÇÃO'!$HX$84),"",'CONFIGURAÇÃO'!$HX$84&amp;"")</f>
        <v/>
      </c>
      <c r="C8077" s="198">
        <f>"'CONFIGURAÇÃO'!HX84"</f>
        <v/>
      </c>
      <c r="D8077" s="198" t="inlineStr">
        <is>
          <t>configuração</t>
        </is>
      </c>
    </row>
    <row r="8078">
      <c r="A8078" s="198" t="inlineStr">
        <is>
          <t>custom.talento_entidade.7.nome</t>
        </is>
      </c>
      <c r="B8078" s="198">
        <f>IF(ISBLANK('CONFIGURAÇÃO'!$HP$97),"",'CONFIGURAÇÃO'!$HP$97&amp;"")</f>
        <v/>
      </c>
      <c r="C8078" s="198">
        <f>"'CONFIGURAÇÃO'!HP97"</f>
        <v/>
      </c>
      <c r="D8078" s="198" t="inlineStr">
        <is>
          <t>configuração</t>
        </is>
      </c>
    </row>
    <row r="8079">
      <c r="A8079" s="198" t="inlineStr">
        <is>
          <t>custom.talento_entidade.7.mestre_viu</t>
        </is>
      </c>
      <c r="B8079" s="198">
        <f>N('CONFIGURAÇÃO'!$HT$97)&amp;""</f>
        <v/>
      </c>
      <c r="C8079" s="198">
        <f>"'CONFIGURAÇÃO'!HT97"</f>
        <v/>
      </c>
      <c r="D8079" s="198" t="inlineStr">
        <is>
          <t>configuração</t>
        </is>
      </c>
    </row>
    <row r="8080">
      <c r="A8080" s="198" t="inlineStr">
        <is>
          <t>custom.talento_entidade.7.base</t>
        </is>
      </c>
      <c r="B8080" s="198">
        <f>IF(ISBLANK('CONFIGURAÇÃO'!$HS$99),"",'CONFIGURAÇÃO'!$HS$99&amp;"")</f>
        <v/>
      </c>
      <c r="C8080" s="198">
        <f>"'CONFIGURAÇÃO'!HS99"</f>
        <v/>
      </c>
      <c r="D8080" s="198" t="inlineStr">
        <is>
          <t>configuração</t>
        </is>
      </c>
    </row>
    <row r="8081">
      <c r="A8081" s="198" t="inlineStr">
        <is>
          <t>custom.talento_entidade.7.categoria</t>
        </is>
      </c>
      <c r="B8081" s="198">
        <f>IF(ISBLANK('CONFIGURAÇÃO'!$HS$100),"",'CONFIGURAÇÃO'!$HS$100&amp;"")</f>
        <v/>
      </c>
      <c r="C8081" s="198">
        <f>"'CONFIGURAÇÃO'!HS100"</f>
        <v/>
      </c>
      <c r="D8081" s="198" t="inlineStr">
        <is>
          <t>configuração</t>
        </is>
      </c>
    </row>
    <row r="8082">
      <c r="A8082" s="198" t="inlineStr">
        <is>
          <t>custom.talento_entidade.7.requisitos</t>
        </is>
      </c>
      <c r="B8082" s="198">
        <f>IF(ISBLANK('CONFIGURAÇÃO'!$HP$107),"",'CONFIGURAÇÃO'!$HP$107&amp;"")</f>
        <v/>
      </c>
      <c r="C8082" s="198">
        <f>"'CONFIGURAÇÃO'!HP107"</f>
        <v/>
      </c>
      <c r="D8082" s="198" t="inlineStr">
        <is>
          <t>configuração</t>
        </is>
      </c>
    </row>
    <row r="8083">
      <c r="A8083" s="198" t="inlineStr">
        <is>
          <t>custom.talento_entidade.7.efeito</t>
        </is>
      </c>
      <c r="B8083" s="198">
        <f>IF(ISBLANK('CONFIGURAÇÃO'!$HP$112),"",'CONFIGURAÇÃO'!$HP$112&amp;"")</f>
        <v/>
      </c>
      <c r="C8083" s="198">
        <f>"'CONFIGURAÇÃO'!HP112"</f>
        <v/>
      </c>
      <c r="D8083" s="198" t="inlineStr">
        <is>
          <t>configuração</t>
        </is>
      </c>
    </row>
    <row r="8084">
      <c r="A8084" s="198" t="inlineStr">
        <is>
          <t>custom.talento_entidade.8.nome</t>
        </is>
      </c>
      <c r="B8084" s="198">
        <f>IF(ISBLANK('CONFIGURAÇÃO'!$HX$97),"",'CONFIGURAÇÃO'!$HX$97&amp;"")</f>
        <v/>
      </c>
      <c r="C8084" s="198">
        <f>"'CONFIGURAÇÃO'!HX97"</f>
        <v/>
      </c>
      <c r="D8084" s="198" t="inlineStr">
        <is>
          <t>configuração</t>
        </is>
      </c>
    </row>
    <row r="8085">
      <c r="A8085" s="198" t="inlineStr">
        <is>
          <t>custom.talento_entidade.8.mestre_viu</t>
        </is>
      </c>
      <c r="B8085" s="198">
        <f>N('CONFIGURAÇÃO'!$IB$97)&amp;""</f>
        <v/>
      </c>
      <c r="C8085" s="198">
        <f>"'CONFIGURAÇÃO'!IB97"</f>
        <v/>
      </c>
      <c r="D8085" s="198" t="inlineStr">
        <is>
          <t>configuração</t>
        </is>
      </c>
    </row>
    <row r="8086">
      <c r="A8086" s="198" t="inlineStr">
        <is>
          <t>custom.talento_entidade.8.base</t>
        </is>
      </c>
      <c r="B8086" s="198">
        <f>IF(ISBLANK('CONFIGURAÇÃO'!$IA$99),"",'CONFIGURAÇÃO'!$IA$99&amp;"")</f>
        <v/>
      </c>
      <c r="C8086" s="198">
        <f>"'CONFIGURAÇÃO'!IA99"</f>
        <v/>
      </c>
      <c r="D8086" s="198" t="inlineStr">
        <is>
          <t>configuração</t>
        </is>
      </c>
    </row>
    <row r="8087">
      <c r="A8087" s="198" t="inlineStr">
        <is>
          <t>custom.talento_entidade.8.categoria</t>
        </is>
      </c>
      <c r="B8087" s="198">
        <f>IF(ISBLANK('CONFIGURAÇÃO'!$IA$100),"",'CONFIGURAÇÃO'!$IA$100&amp;"")</f>
        <v/>
      </c>
      <c r="C8087" s="198">
        <f>"'CONFIGURAÇÃO'!IA100"</f>
        <v/>
      </c>
      <c r="D8087" s="198" t="inlineStr">
        <is>
          <t>configuração</t>
        </is>
      </c>
    </row>
    <row r="8088">
      <c r="A8088" s="198" t="inlineStr">
        <is>
          <t>custom.talento_entidade.8.requisitos</t>
        </is>
      </c>
      <c r="B8088" s="198">
        <f>IF(ISBLANK('CONFIGURAÇÃO'!$HX$107),"",'CONFIGURAÇÃO'!$HX$107&amp;"")</f>
        <v/>
      </c>
      <c r="C8088" s="198">
        <f>"'CONFIGURAÇÃO'!HX107"</f>
        <v/>
      </c>
      <c r="D8088" s="198" t="inlineStr">
        <is>
          <t>configuração</t>
        </is>
      </c>
    </row>
    <row r="8089">
      <c r="A8089" s="198" t="inlineStr">
        <is>
          <t>custom.talento_entidade.8.efeito</t>
        </is>
      </c>
      <c r="B8089" s="198">
        <f>IF(ISBLANK('CONFIGURAÇÃO'!$HX$112),"",'CONFIGURAÇÃO'!$HX$112&amp;"")</f>
        <v/>
      </c>
      <c r="C8089" s="198">
        <f>"'CONFIGURAÇÃO'!HX112"</f>
        <v/>
      </c>
      <c r="D8089" s="198" t="inlineStr">
        <is>
          <t>configuração</t>
        </is>
      </c>
    </row>
    <row r="8090">
      <c r="A8090" s="198" t="inlineStr">
        <is>
          <t>custom.talento_entidade.9.nome</t>
        </is>
      </c>
      <c r="B8090" s="198">
        <f>IF(ISBLANK('CONFIGURAÇÃO'!$HP$125),"",'CONFIGURAÇÃO'!$HP$125&amp;"")</f>
        <v/>
      </c>
      <c r="C8090" s="198">
        <f>"'CONFIGURAÇÃO'!HP125"</f>
        <v/>
      </c>
      <c r="D8090" s="198" t="inlineStr">
        <is>
          <t>configuração</t>
        </is>
      </c>
    </row>
    <row r="8091">
      <c r="A8091" s="198" t="inlineStr">
        <is>
          <t>custom.talento_entidade.9.mestre_viu</t>
        </is>
      </c>
      <c r="B8091" s="198">
        <f>N('CONFIGURAÇÃO'!$HT$125)&amp;""</f>
        <v/>
      </c>
      <c r="C8091" s="198">
        <f>"'CONFIGURAÇÃO'!HT125"</f>
        <v/>
      </c>
      <c r="D8091" s="198" t="inlineStr">
        <is>
          <t>configuração</t>
        </is>
      </c>
    </row>
    <row r="8092">
      <c r="A8092" s="198" t="inlineStr">
        <is>
          <t>custom.talento_entidade.9.base</t>
        </is>
      </c>
      <c r="B8092" s="198">
        <f>IF(ISBLANK('CONFIGURAÇÃO'!$HS$127),"",'CONFIGURAÇÃO'!$HS$127&amp;"")</f>
        <v/>
      </c>
      <c r="C8092" s="198">
        <f>"'CONFIGURAÇÃO'!HS127"</f>
        <v/>
      </c>
      <c r="D8092" s="198" t="inlineStr">
        <is>
          <t>configuração</t>
        </is>
      </c>
    </row>
    <row r="8093">
      <c r="A8093" s="198" t="inlineStr">
        <is>
          <t>custom.talento_entidade.9.categoria</t>
        </is>
      </c>
      <c r="B8093" s="198">
        <f>IF(ISBLANK('CONFIGURAÇÃO'!$HS$128),"",'CONFIGURAÇÃO'!$HS$128&amp;"")</f>
        <v/>
      </c>
      <c r="C8093" s="198">
        <f>"'CONFIGURAÇÃO'!HS128"</f>
        <v/>
      </c>
      <c r="D8093" s="198" t="inlineStr">
        <is>
          <t>configuração</t>
        </is>
      </c>
    </row>
    <row r="8094">
      <c r="A8094" s="198" t="inlineStr">
        <is>
          <t>custom.talento_entidade.9.requisitos</t>
        </is>
      </c>
      <c r="B8094" s="198">
        <f>IF(ISBLANK('CONFIGURAÇÃO'!$HP$135),"",'CONFIGURAÇÃO'!$HP$135&amp;"")</f>
        <v/>
      </c>
      <c r="C8094" s="198">
        <f>"'CONFIGURAÇÃO'!HP135"</f>
        <v/>
      </c>
      <c r="D8094" s="198" t="inlineStr">
        <is>
          <t>configuração</t>
        </is>
      </c>
    </row>
    <row r="8095">
      <c r="A8095" s="198" t="inlineStr">
        <is>
          <t>custom.talento_entidade.9.efeito</t>
        </is>
      </c>
      <c r="B8095" s="198">
        <f>IF(ISBLANK('CONFIGURAÇÃO'!$HP$140),"",'CONFIGURAÇÃO'!$HP$140&amp;"")</f>
        <v/>
      </c>
      <c r="C8095" s="198">
        <f>"'CONFIGURAÇÃO'!HP140"</f>
        <v/>
      </c>
      <c r="D8095" s="198" t="inlineStr">
        <is>
          <t>configuração</t>
        </is>
      </c>
    </row>
    <row r="8096">
      <c r="A8096" s="198" t="inlineStr">
        <is>
          <t>custom.talento_entidade.10.nome</t>
        </is>
      </c>
      <c r="B8096" s="198">
        <f>IF(ISBLANK('CONFIGURAÇÃO'!$HX$125),"",'CONFIGURAÇÃO'!$HX$125&amp;"")</f>
        <v/>
      </c>
      <c r="C8096" s="198">
        <f>"'CONFIGURAÇÃO'!HX125"</f>
        <v/>
      </c>
      <c r="D8096" s="198" t="inlineStr">
        <is>
          <t>configuração</t>
        </is>
      </c>
    </row>
    <row r="8097">
      <c r="A8097" s="198" t="inlineStr">
        <is>
          <t>custom.talento_entidade.10.mestre_viu</t>
        </is>
      </c>
      <c r="B8097" s="198">
        <f>N('CONFIGURAÇÃO'!$IB$125)&amp;""</f>
        <v/>
      </c>
      <c r="C8097" s="198">
        <f>"'CONFIGURAÇÃO'!IB125"</f>
        <v/>
      </c>
      <c r="D8097" s="198" t="inlineStr">
        <is>
          <t>configuração</t>
        </is>
      </c>
    </row>
    <row r="8098">
      <c r="A8098" s="198" t="inlineStr">
        <is>
          <t>custom.talento_entidade.10.base</t>
        </is>
      </c>
      <c r="B8098" s="198">
        <f>IF(ISBLANK('CONFIGURAÇÃO'!$IA$127),"",'CONFIGURAÇÃO'!$IA$127&amp;"")</f>
        <v/>
      </c>
      <c r="C8098" s="198">
        <f>"'CONFIGURAÇÃO'!IA127"</f>
        <v/>
      </c>
      <c r="D8098" s="198" t="inlineStr">
        <is>
          <t>configuração</t>
        </is>
      </c>
    </row>
    <row r="8099">
      <c r="A8099" s="198" t="inlineStr">
        <is>
          <t>custom.talento_entidade.10.categoria</t>
        </is>
      </c>
      <c r="B8099" s="198">
        <f>IF(ISBLANK('CONFIGURAÇÃO'!$IA$128),"",'CONFIGURAÇÃO'!$IA$128&amp;"")</f>
        <v/>
      </c>
      <c r="C8099" s="198">
        <f>"'CONFIGURAÇÃO'!IA128"</f>
        <v/>
      </c>
      <c r="D8099" s="198" t="inlineStr">
        <is>
          <t>configuração</t>
        </is>
      </c>
    </row>
    <row r="8100">
      <c r="A8100" s="198" t="inlineStr">
        <is>
          <t>custom.talento_entidade.10.requisitos</t>
        </is>
      </c>
      <c r="B8100" s="198">
        <f>IF(ISBLANK('CONFIGURAÇÃO'!$HX$135),"",'CONFIGURAÇÃO'!$HX$135&amp;"")</f>
        <v/>
      </c>
      <c r="C8100" s="198">
        <f>"'CONFIGURAÇÃO'!HX135"</f>
        <v/>
      </c>
      <c r="D8100" s="198" t="inlineStr">
        <is>
          <t>configuração</t>
        </is>
      </c>
    </row>
    <row r="8101">
      <c r="A8101" s="198" t="inlineStr">
        <is>
          <t>custom.talento_entidade.10.efeito</t>
        </is>
      </c>
      <c r="B8101" s="198">
        <f>IF(ISBLANK('CONFIGURAÇÃO'!$HX$140),"",'CONFIGURAÇÃO'!$HX$140&amp;"")</f>
        <v/>
      </c>
      <c r="C8101" s="198">
        <f>"'CONFIGURAÇÃO'!HX140"</f>
        <v/>
      </c>
      <c r="D8101" s="198" t="inlineStr">
        <is>
          <t>configuração</t>
        </is>
      </c>
    </row>
    <row r="8102">
      <c r="A8102" s="198" t="inlineStr">
        <is>
          <t>custom.talento_entidade.11.nome</t>
        </is>
      </c>
      <c r="B8102" s="198">
        <f>IF(ISBLANK('CONFIGURAÇÃO'!$HP$153),"",'CONFIGURAÇÃO'!$HP$153&amp;"")</f>
        <v/>
      </c>
      <c r="C8102" s="198">
        <f>"'CONFIGURAÇÃO'!HP153"</f>
        <v/>
      </c>
      <c r="D8102" s="198" t="inlineStr">
        <is>
          <t>configuração</t>
        </is>
      </c>
    </row>
    <row r="8103">
      <c r="A8103" s="198" t="inlineStr">
        <is>
          <t>custom.talento_entidade.11.mestre_viu</t>
        </is>
      </c>
      <c r="B8103" s="198">
        <f>N('CONFIGURAÇÃO'!$HT$153)&amp;""</f>
        <v/>
      </c>
      <c r="C8103" s="198">
        <f>"'CONFIGURAÇÃO'!HT153"</f>
        <v/>
      </c>
      <c r="D8103" s="198" t="inlineStr">
        <is>
          <t>configuração</t>
        </is>
      </c>
    </row>
    <row r="8104">
      <c r="A8104" s="198" t="inlineStr">
        <is>
          <t>custom.talento_entidade.11.base</t>
        </is>
      </c>
      <c r="B8104" s="198">
        <f>IF(ISBLANK('CONFIGURAÇÃO'!$HS$155),"",'CONFIGURAÇÃO'!$HS$155&amp;"")</f>
        <v/>
      </c>
      <c r="C8104" s="198">
        <f>"'CONFIGURAÇÃO'!HS155"</f>
        <v/>
      </c>
      <c r="D8104" s="198" t="inlineStr">
        <is>
          <t>configuração</t>
        </is>
      </c>
    </row>
    <row r="8105">
      <c r="A8105" s="198" t="inlineStr">
        <is>
          <t>custom.talento_entidade.11.categoria</t>
        </is>
      </c>
      <c r="B8105" s="198">
        <f>IF(ISBLANK('CONFIGURAÇÃO'!$HS$156),"",'CONFIGURAÇÃO'!$HS$156&amp;"")</f>
        <v/>
      </c>
      <c r="C8105" s="198">
        <f>"'CONFIGURAÇÃO'!HS156"</f>
        <v/>
      </c>
      <c r="D8105" s="198" t="inlineStr">
        <is>
          <t>configuração</t>
        </is>
      </c>
    </row>
    <row r="8106">
      <c r="A8106" s="198" t="inlineStr">
        <is>
          <t>custom.talento_entidade.11.requisitos</t>
        </is>
      </c>
      <c r="B8106" s="198">
        <f>IF(ISBLANK('CONFIGURAÇÃO'!$HP$163),"",'CONFIGURAÇÃO'!$HP$163&amp;"")</f>
        <v/>
      </c>
      <c r="C8106" s="198">
        <f>"'CONFIGURAÇÃO'!HP163"</f>
        <v/>
      </c>
      <c r="D8106" s="198" t="inlineStr">
        <is>
          <t>configuração</t>
        </is>
      </c>
    </row>
    <row r="8107">
      <c r="A8107" s="198" t="inlineStr">
        <is>
          <t>custom.talento_entidade.11.efeito</t>
        </is>
      </c>
      <c r="B8107" s="198">
        <f>IF(ISBLANK('CONFIGURAÇÃO'!$HP$168),"",'CONFIGURAÇÃO'!$HP$168&amp;"")</f>
        <v/>
      </c>
      <c r="C8107" s="198">
        <f>"'CONFIGURAÇÃO'!HP168"</f>
        <v/>
      </c>
      <c r="D8107" s="198" t="inlineStr">
        <is>
          <t>configuração</t>
        </is>
      </c>
    </row>
    <row r="8108">
      <c r="A8108" s="198" t="inlineStr">
        <is>
          <t>custom.talento_entidade.12.nome</t>
        </is>
      </c>
      <c r="B8108" s="198">
        <f>IF(ISBLANK('CONFIGURAÇÃO'!$HX$153),"",'CONFIGURAÇÃO'!$HX$153&amp;"")</f>
        <v/>
      </c>
      <c r="C8108" s="198">
        <f>"'CONFIGURAÇÃO'!HX153"</f>
        <v/>
      </c>
      <c r="D8108" s="198" t="inlineStr">
        <is>
          <t>configuração</t>
        </is>
      </c>
    </row>
    <row r="8109">
      <c r="A8109" s="198" t="inlineStr">
        <is>
          <t>custom.talento_entidade.12.mestre_viu</t>
        </is>
      </c>
      <c r="B8109" s="198">
        <f>N('CONFIGURAÇÃO'!$IB$153)&amp;""</f>
        <v/>
      </c>
      <c r="C8109" s="198">
        <f>"'CONFIGURAÇÃO'!IB153"</f>
        <v/>
      </c>
      <c r="D8109" s="198" t="inlineStr">
        <is>
          <t>configuração</t>
        </is>
      </c>
    </row>
    <row r="8110">
      <c r="A8110" s="198" t="inlineStr">
        <is>
          <t>custom.talento_entidade.12.base</t>
        </is>
      </c>
      <c r="B8110" s="198">
        <f>IF(ISBLANK('CONFIGURAÇÃO'!$IA$155),"",'CONFIGURAÇÃO'!$IA$155&amp;"")</f>
        <v/>
      </c>
      <c r="C8110" s="198">
        <f>"'CONFIGURAÇÃO'!IA155"</f>
        <v/>
      </c>
      <c r="D8110" s="198" t="inlineStr">
        <is>
          <t>configuração</t>
        </is>
      </c>
    </row>
    <row r="8111">
      <c r="A8111" s="198" t="inlineStr">
        <is>
          <t>custom.talento_entidade.12.categoria</t>
        </is>
      </c>
      <c r="B8111" s="198">
        <f>IF(ISBLANK('CONFIGURAÇÃO'!$IA$156),"",'CONFIGURAÇÃO'!$IA$156&amp;"")</f>
        <v/>
      </c>
      <c r="C8111" s="198">
        <f>"'CONFIGURAÇÃO'!IA156"</f>
        <v/>
      </c>
      <c r="D8111" s="198" t="inlineStr">
        <is>
          <t>configuração</t>
        </is>
      </c>
    </row>
    <row r="8112">
      <c r="A8112" s="198" t="inlineStr">
        <is>
          <t>custom.talento_entidade.12.requisitos</t>
        </is>
      </c>
      <c r="B8112" s="198">
        <f>IF(ISBLANK('CONFIGURAÇÃO'!$HX$163),"",'CONFIGURAÇÃO'!$HX$163&amp;"")</f>
        <v/>
      </c>
      <c r="C8112" s="198">
        <f>"'CONFIGURAÇÃO'!HX163"</f>
        <v/>
      </c>
      <c r="D8112" s="198" t="inlineStr">
        <is>
          <t>configuração</t>
        </is>
      </c>
    </row>
    <row r="8113">
      <c r="A8113" s="198" t="inlineStr">
        <is>
          <t>custom.talento_entidade.12.efeito</t>
        </is>
      </c>
      <c r="B8113" s="198">
        <f>IF(ISBLANK('CONFIGURAÇÃO'!$HX$168),"",'CONFIGURAÇÃO'!$HX$168&amp;"")</f>
        <v/>
      </c>
      <c r="C8113" s="198">
        <f>"'CONFIGURAÇÃO'!HX168"</f>
        <v/>
      </c>
      <c r="D8113" s="198" t="inlineStr">
        <is>
          <t>configuração</t>
        </is>
      </c>
    </row>
    <row r="8114">
      <c r="A8114" s="198" t="inlineStr">
        <is>
          <t>custom.talento_entidade.13.nome</t>
        </is>
      </c>
      <c r="B8114" s="198">
        <f>IF(ISBLANK('CONFIGURAÇÃO'!$HP$181),"",'CONFIGURAÇÃO'!$HP$181&amp;"")</f>
        <v/>
      </c>
      <c r="C8114" s="198">
        <f>"'CONFIGURAÇÃO'!HP181"</f>
        <v/>
      </c>
      <c r="D8114" s="198" t="inlineStr">
        <is>
          <t>configuração</t>
        </is>
      </c>
    </row>
    <row r="8115">
      <c r="A8115" s="198" t="inlineStr">
        <is>
          <t>custom.talento_entidade.13.mestre_viu</t>
        </is>
      </c>
      <c r="B8115" s="198">
        <f>N('CONFIGURAÇÃO'!$HT$181)&amp;""</f>
        <v/>
      </c>
      <c r="C8115" s="198">
        <f>"'CONFIGURAÇÃO'!HT181"</f>
        <v/>
      </c>
      <c r="D8115" s="198" t="inlineStr">
        <is>
          <t>configuração</t>
        </is>
      </c>
    </row>
    <row r="8116">
      <c r="A8116" s="198" t="inlineStr">
        <is>
          <t>custom.talento_entidade.13.base</t>
        </is>
      </c>
      <c r="B8116" s="198">
        <f>IF(ISBLANK('CONFIGURAÇÃO'!$HS$183),"",'CONFIGURAÇÃO'!$HS$183&amp;"")</f>
        <v/>
      </c>
      <c r="C8116" s="198">
        <f>"'CONFIGURAÇÃO'!HS183"</f>
        <v/>
      </c>
      <c r="D8116" s="198" t="inlineStr">
        <is>
          <t>configuração</t>
        </is>
      </c>
    </row>
    <row r="8117">
      <c r="A8117" s="198" t="inlineStr">
        <is>
          <t>custom.talento_entidade.13.categoria</t>
        </is>
      </c>
      <c r="B8117" s="198">
        <f>IF(ISBLANK('CONFIGURAÇÃO'!$HS$184),"",'CONFIGURAÇÃO'!$HS$184&amp;"")</f>
        <v/>
      </c>
      <c r="C8117" s="198">
        <f>"'CONFIGURAÇÃO'!HS184"</f>
        <v/>
      </c>
      <c r="D8117" s="198" t="inlineStr">
        <is>
          <t>configuração</t>
        </is>
      </c>
    </row>
    <row r="8118">
      <c r="A8118" s="198" t="inlineStr">
        <is>
          <t>custom.talento_entidade.13.requisitos</t>
        </is>
      </c>
      <c r="B8118" s="198">
        <f>IF(ISBLANK('CONFIGURAÇÃO'!$HP$191),"",'CONFIGURAÇÃO'!$HP$191&amp;"")</f>
        <v/>
      </c>
      <c r="C8118" s="198">
        <f>"'CONFIGURAÇÃO'!HP191"</f>
        <v/>
      </c>
      <c r="D8118" s="198" t="inlineStr">
        <is>
          <t>configuração</t>
        </is>
      </c>
    </row>
    <row r="8119">
      <c r="A8119" s="198" t="inlineStr">
        <is>
          <t>custom.talento_entidade.13.efeito</t>
        </is>
      </c>
      <c r="B8119" s="198">
        <f>IF(ISBLANK('CONFIGURAÇÃO'!$HP$196),"",'CONFIGURAÇÃO'!$HP$196&amp;"")</f>
        <v/>
      </c>
      <c r="C8119" s="198">
        <f>"'CONFIGURAÇÃO'!HP196"</f>
        <v/>
      </c>
      <c r="D8119" s="198" t="inlineStr">
        <is>
          <t>configuração</t>
        </is>
      </c>
    </row>
    <row r="8120">
      <c r="A8120" s="198" t="inlineStr">
        <is>
          <t>custom.talento_entidade.14.nome</t>
        </is>
      </c>
      <c r="B8120" s="198">
        <f>IF(ISBLANK('CONFIGURAÇÃO'!$HX$181),"",'CONFIGURAÇÃO'!$HX$181&amp;"")</f>
        <v/>
      </c>
      <c r="C8120" s="198">
        <f>"'CONFIGURAÇÃO'!HX181"</f>
        <v/>
      </c>
      <c r="D8120" s="198" t="inlineStr">
        <is>
          <t>configuração</t>
        </is>
      </c>
    </row>
    <row r="8121">
      <c r="A8121" s="198" t="inlineStr">
        <is>
          <t>custom.talento_entidade.14.mestre_viu</t>
        </is>
      </c>
      <c r="B8121" s="198">
        <f>N('CONFIGURAÇÃO'!$IB$181)&amp;""</f>
        <v/>
      </c>
      <c r="C8121" s="198">
        <f>"'CONFIGURAÇÃO'!IB181"</f>
        <v/>
      </c>
      <c r="D8121" s="198" t="inlineStr">
        <is>
          <t>configuração</t>
        </is>
      </c>
    </row>
    <row r="8122">
      <c r="A8122" s="198" t="inlineStr">
        <is>
          <t>custom.talento_entidade.14.base</t>
        </is>
      </c>
      <c r="B8122" s="198">
        <f>IF(ISBLANK('CONFIGURAÇÃO'!$IA$183),"",'CONFIGURAÇÃO'!$IA$183&amp;"")</f>
        <v/>
      </c>
      <c r="C8122" s="198">
        <f>"'CONFIGURAÇÃO'!IA183"</f>
        <v/>
      </c>
      <c r="D8122" s="198" t="inlineStr">
        <is>
          <t>configuração</t>
        </is>
      </c>
    </row>
    <row r="8123">
      <c r="A8123" s="198" t="inlineStr">
        <is>
          <t>custom.talento_entidade.14.categoria</t>
        </is>
      </c>
      <c r="B8123" s="198">
        <f>IF(ISBLANK('CONFIGURAÇÃO'!$IA$184),"",'CONFIGURAÇÃO'!$IA$184&amp;"")</f>
        <v/>
      </c>
      <c r="C8123" s="198">
        <f>"'CONFIGURAÇÃO'!IA184"</f>
        <v/>
      </c>
      <c r="D8123" s="198" t="inlineStr">
        <is>
          <t>configuração</t>
        </is>
      </c>
    </row>
    <row r="8124">
      <c r="A8124" s="198" t="inlineStr">
        <is>
          <t>custom.talento_entidade.14.requisitos</t>
        </is>
      </c>
      <c r="B8124" s="198">
        <f>IF(ISBLANK('CONFIGURAÇÃO'!$HX$191),"",'CONFIGURAÇÃO'!$HX$191&amp;"")</f>
        <v/>
      </c>
      <c r="C8124" s="198">
        <f>"'CONFIGURAÇÃO'!HX191"</f>
        <v/>
      </c>
      <c r="D8124" s="198" t="inlineStr">
        <is>
          <t>configuração</t>
        </is>
      </c>
    </row>
    <row r="8125">
      <c r="A8125" s="198" t="inlineStr">
        <is>
          <t>custom.talento_entidade.14.efeito</t>
        </is>
      </c>
      <c r="B8125" s="198">
        <f>IF(ISBLANK('CONFIGURAÇÃO'!$HX$196),"",'CONFIGURAÇÃO'!$HX$196&amp;"")</f>
        <v/>
      </c>
      <c r="C8125" s="198">
        <f>"'CONFIGURAÇÃO'!HX196"</f>
        <v/>
      </c>
      <c r="D8125" s="198" t="inlineStr">
        <is>
          <t>configuração</t>
        </is>
      </c>
    </row>
    <row r="8126">
      <c r="A8126" s="198" t="inlineStr">
        <is>
          <t>custom.talento_entidade.15.nome</t>
        </is>
      </c>
      <c r="B8126" s="198">
        <f>IF(ISBLANK('CONFIGURAÇÃO'!$HP$209),"",'CONFIGURAÇÃO'!$HP$209&amp;"")</f>
        <v/>
      </c>
      <c r="C8126" s="198">
        <f>"'CONFIGURAÇÃO'!HP209"</f>
        <v/>
      </c>
      <c r="D8126" s="198" t="inlineStr">
        <is>
          <t>configuração</t>
        </is>
      </c>
    </row>
    <row r="8127">
      <c r="A8127" s="198" t="inlineStr">
        <is>
          <t>custom.talento_entidade.15.mestre_viu</t>
        </is>
      </c>
      <c r="B8127" s="198">
        <f>N('CONFIGURAÇÃO'!$HT$209)&amp;""</f>
        <v/>
      </c>
      <c r="C8127" s="198">
        <f>"'CONFIGURAÇÃO'!HT209"</f>
        <v/>
      </c>
      <c r="D8127" s="198" t="inlineStr">
        <is>
          <t>configuração</t>
        </is>
      </c>
    </row>
    <row r="8128">
      <c r="A8128" s="198" t="inlineStr">
        <is>
          <t>custom.talento_entidade.15.base</t>
        </is>
      </c>
      <c r="B8128" s="198">
        <f>IF(ISBLANK('CONFIGURAÇÃO'!$HS$211),"",'CONFIGURAÇÃO'!$HS$211&amp;"")</f>
        <v/>
      </c>
      <c r="C8128" s="198">
        <f>"'CONFIGURAÇÃO'!HS211"</f>
        <v/>
      </c>
      <c r="D8128" s="198" t="inlineStr">
        <is>
          <t>configuração</t>
        </is>
      </c>
    </row>
    <row r="8129">
      <c r="A8129" s="198" t="inlineStr">
        <is>
          <t>custom.talento_entidade.15.categoria</t>
        </is>
      </c>
      <c r="B8129" s="198">
        <f>IF(ISBLANK('CONFIGURAÇÃO'!$HS$212),"",'CONFIGURAÇÃO'!$HS$212&amp;"")</f>
        <v/>
      </c>
      <c r="C8129" s="198">
        <f>"'CONFIGURAÇÃO'!HS212"</f>
        <v/>
      </c>
      <c r="D8129" s="198" t="inlineStr">
        <is>
          <t>configuração</t>
        </is>
      </c>
    </row>
    <row r="8130">
      <c r="A8130" s="198" t="inlineStr">
        <is>
          <t>custom.talento_entidade.15.requisitos</t>
        </is>
      </c>
      <c r="B8130" s="198">
        <f>IF(ISBLANK('CONFIGURAÇÃO'!$HP$219),"",'CONFIGURAÇÃO'!$HP$219&amp;"")</f>
        <v/>
      </c>
      <c r="C8130" s="198">
        <f>"'CONFIGURAÇÃO'!HP219"</f>
        <v/>
      </c>
      <c r="D8130" s="198" t="inlineStr">
        <is>
          <t>configuração</t>
        </is>
      </c>
    </row>
    <row r="8131">
      <c r="A8131" s="198" t="inlineStr">
        <is>
          <t>custom.talento_entidade.15.efeito</t>
        </is>
      </c>
      <c r="B8131" s="198">
        <f>IF(ISBLANK('CONFIGURAÇÃO'!$HP$224),"",'CONFIGURAÇÃO'!$HP$224&amp;"")</f>
        <v/>
      </c>
      <c r="C8131" s="198">
        <f>"'CONFIGURAÇÃO'!HP224"</f>
        <v/>
      </c>
      <c r="D8131" s="198" t="inlineStr">
        <is>
          <t>configuração</t>
        </is>
      </c>
    </row>
    <row r="8132">
      <c r="A8132" s="198" t="inlineStr">
        <is>
          <t>custom.talento_entidade.16.nome</t>
        </is>
      </c>
      <c r="B8132" s="198">
        <f>IF(ISBLANK('CONFIGURAÇÃO'!$HX$209),"",'CONFIGURAÇÃO'!$HX$209&amp;"")</f>
        <v/>
      </c>
      <c r="C8132" s="198">
        <f>"'CONFIGURAÇÃO'!HX209"</f>
        <v/>
      </c>
      <c r="D8132" s="198" t="inlineStr">
        <is>
          <t>configuração</t>
        </is>
      </c>
    </row>
    <row r="8133">
      <c r="A8133" s="198" t="inlineStr">
        <is>
          <t>custom.talento_entidade.16.mestre_viu</t>
        </is>
      </c>
      <c r="B8133" s="198">
        <f>N('CONFIGURAÇÃO'!$IB$209)&amp;""</f>
        <v/>
      </c>
      <c r="C8133" s="198">
        <f>"'CONFIGURAÇÃO'!IB209"</f>
        <v/>
      </c>
      <c r="D8133" s="198" t="inlineStr">
        <is>
          <t>configuração</t>
        </is>
      </c>
    </row>
    <row r="8134">
      <c r="A8134" s="198" t="inlineStr">
        <is>
          <t>custom.talento_entidade.16.base</t>
        </is>
      </c>
      <c r="B8134" s="198">
        <f>IF(ISBLANK('CONFIGURAÇÃO'!$IA$211),"",'CONFIGURAÇÃO'!$IA$211&amp;"")</f>
        <v/>
      </c>
      <c r="C8134" s="198">
        <f>"'CONFIGURAÇÃO'!IA211"</f>
        <v/>
      </c>
      <c r="D8134" s="198" t="inlineStr">
        <is>
          <t>configuração</t>
        </is>
      </c>
    </row>
    <row r="8135">
      <c r="A8135" s="198" t="inlineStr">
        <is>
          <t>custom.talento_entidade.16.categoria</t>
        </is>
      </c>
      <c r="B8135" s="198">
        <f>IF(ISBLANK('CONFIGURAÇÃO'!$IA$212),"",'CONFIGURAÇÃO'!$IA$212&amp;"")</f>
        <v/>
      </c>
      <c r="C8135" s="198">
        <f>"'CONFIGURAÇÃO'!IA212"</f>
        <v/>
      </c>
      <c r="D8135" s="198" t="inlineStr">
        <is>
          <t>configuração</t>
        </is>
      </c>
    </row>
    <row r="8136">
      <c r="A8136" s="198" t="inlineStr">
        <is>
          <t>custom.talento_entidade.16.requisitos</t>
        </is>
      </c>
      <c r="B8136" s="198">
        <f>IF(ISBLANK('CONFIGURAÇÃO'!$HX$219),"",'CONFIGURAÇÃO'!$HX$219&amp;"")</f>
        <v/>
      </c>
      <c r="C8136" s="198">
        <f>"'CONFIGURAÇÃO'!HX219"</f>
        <v/>
      </c>
      <c r="D8136" s="198" t="inlineStr">
        <is>
          <t>configuração</t>
        </is>
      </c>
    </row>
    <row r="8137">
      <c r="A8137" s="198" t="inlineStr">
        <is>
          <t>custom.talento_entidade.16.efeito</t>
        </is>
      </c>
      <c r="B8137" s="198">
        <f>IF(ISBLANK('CONFIGURAÇÃO'!$HX$224),"",'CONFIGURAÇÃO'!$HX$224&amp;"")</f>
        <v/>
      </c>
      <c r="C8137" s="198">
        <f>"'CONFIGURAÇÃO'!HX224"</f>
        <v/>
      </c>
      <c r="D8137" s="198" t="inlineStr">
        <is>
          <t>configuração</t>
        </is>
      </c>
    </row>
    <row r="8138">
      <c r="A8138" s="198" t="inlineStr">
        <is>
          <t>custom.talento_entidade.17.nome</t>
        </is>
      </c>
      <c r="B8138" s="198">
        <f>IF(ISBLANK('CONFIGURAÇÃO'!$HP$237),"",'CONFIGURAÇÃO'!$HP$237&amp;"")</f>
        <v/>
      </c>
      <c r="C8138" s="198">
        <f>"'CONFIGURAÇÃO'!HP237"</f>
        <v/>
      </c>
      <c r="D8138" s="198" t="inlineStr">
        <is>
          <t>configuração</t>
        </is>
      </c>
    </row>
    <row r="8139">
      <c r="A8139" s="198" t="inlineStr">
        <is>
          <t>custom.talento_entidade.17.mestre_viu</t>
        </is>
      </c>
      <c r="B8139" s="198">
        <f>N('CONFIGURAÇÃO'!$HT$237)&amp;""</f>
        <v/>
      </c>
      <c r="C8139" s="198">
        <f>"'CONFIGURAÇÃO'!HT237"</f>
        <v/>
      </c>
      <c r="D8139" s="198" t="inlineStr">
        <is>
          <t>configuração</t>
        </is>
      </c>
    </row>
    <row r="8140">
      <c r="A8140" s="198" t="inlineStr">
        <is>
          <t>custom.talento_entidade.17.base</t>
        </is>
      </c>
      <c r="B8140" s="198">
        <f>IF(ISBLANK('CONFIGURAÇÃO'!$HS$239),"",'CONFIGURAÇÃO'!$HS$239&amp;"")</f>
        <v/>
      </c>
      <c r="C8140" s="198">
        <f>"'CONFIGURAÇÃO'!HS239"</f>
        <v/>
      </c>
      <c r="D8140" s="198" t="inlineStr">
        <is>
          <t>configuração</t>
        </is>
      </c>
    </row>
    <row r="8141">
      <c r="A8141" s="198" t="inlineStr">
        <is>
          <t>custom.talento_entidade.17.categoria</t>
        </is>
      </c>
      <c r="B8141" s="198">
        <f>IF(ISBLANK('CONFIGURAÇÃO'!$HS$240),"",'CONFIGURAÇÃO'!$HS$240&amp;"")</f>
        <v/>
      </c>
      <c r="C8141" s="198">
        <f>"'CONFIGURAÇÃO'!HS240"</f>
        <v/>
      </c>
      <c r="D8141" s="198" t="inlineStr">
        <is>
          <t>configuração</t>
        </is>
      </c>
    </row>
    <row r="8142">
      <c r="A8142" s="198" t="inlineStr">
        <is>
          <t>custom.talento_entidade.17.requisitos</t>
        </is>
      </c>
      <c r="B8142" s="198">
        <f>IF(ISBLANK('CONFIGURAÇÃO'!$HP$247),"",'CONFIGURAÇÃO'!$HP$247&amp;"")</f>
        <v/>
      </c>
      <c r="C8142" s="198">
        <f>"'CONFIGURAÇÃO'!HP247"</f>
        <v/>
      </c>
      <c r="D8142" s="198" t="inlineStr">
        <is>
          <t>configuração</t>
        </is>
      </c>
    </row>
    <row r="8143">
      <c r="A8143" s="198" t="inlineStr">
        <is>
          <t>custom.talento_entidade.17.efeito</t>
        </is>
      </c>
      <c r="B8143" s="198">
        <f>IF(ISBLANK('CONFIGURAÇÃO'!$HP$252),"",'CONFIGURAÇÃO'!$HP$252&amp;"")</f>
        <v/>
      </c>
      <c r="C8143" s="198">
        <f>"'CONFIGURAÇÃO'!HP252"</f>
        <v/>
      </c>
      <c r="D8143" s="198" t="inlineStr">
        <is>
          <t>configuração</t>
        </is>
      </c>
    </row>
    <row r="8144">
      <c r="A8144" s="198" t="inlineStr">
        <is>
          <t>custom.talento_entidade.18.nome</t>
        </is>
      </c>
      <c r="B8144" s="198">
        <f>IF(ISBLANK('CONFIGURAÇÃO'!$HX$237),"",'CONFIGURAÇÃO'!$HX$237&amp;"")</f>
        <v/>
      </c>
      <c r="C8144" s="198">
        <f>"'CONFIGURAÇÃO'!HX237"</f>
        <v/>
      </c>
      <c r="D8144" s="198" t="inlineStr">
        <is>
          <t>configuração</t>
        </is>
      </c>
    </row>
    <row r="8145">
      <c r="A8145" s="198" t="inlineStr">
        <is>
          <t>custom.talento_entidade.18.mestre_viu</t>
        </is>
      </c>
      <c r="B8145" s="198">
        <f>N('CONFIGURAÇÃO'!$IB$237)&amp;""</f>
        <v/>
      </c>
      <c r="C8145" s="198">
        <f>"'CONFIGURAÇÃO'!IB237"</f>
        <v/>
      </c>
      <c r="D8145" s="198" t="inlineStr">
        <is>
          <t>configuração</t>
        </is>
      </c>
    </row>
    <row r="8146">
      <c r="A8146" s="198" t="inlineStr">
        <is>
          <t>custom.talento_entidade.18.base</t>
        </is>
      </c>
      <c r="B8146" s="198">
        <f>IF(ISBLANK('CONFIGURAÇÃO'!$IA$239),"",'CONFIGURAÇÃO'!$IA$239&amp;"")</f>
        <v/>
      </c>
      <c r="C8146" s="198">
        <f>"'CONFIGURAÇÃO'!IA239"</f>
        <v/>
      </c>
      <c r="D8146" s="198" t="inlineStr">
        <is>
          <t>configuração</t>
        </is>
      </c>
    </row>
    <row r="8147">
      <c r="A8147" s="198" t="inlineStr">
        <is>
          <t>custom.talento_entidade.18.categoria</t>
        </is>
      </c>
      <c r="B8147" s="198">
        <f>IF(ISBLANK('CONFIGURAÇÃO'!$IA$240),"",'CONFIGURAÇÃO'!$IA$240&amp;"")</f>
        <v/>
      </c>
      <c r="C8147" s="198">
        <f>"'CONFIGURAÇÃO'!IA240"</f>
        <v/>
      </c>
      <c r="D8147" s="198" t="inlineStr">
        <is>
          <t>configuração</t>
        </is>
      </c>
    </row>
    <row r="8148">
      <c r="A8148" s="198" t="inlineStr">
        <is>
          <t>custom.talento_entidade.18.requisitos</t>
        </is>
      </c>
      <c r="B8148" s="198">
        <f>IF(ISBLANK('CONFIGURAÇÃO'!$HX$247),"",'CONFIGURAÇÃO'!$HX$247&amp;"")</f>
        <v/>
      </c>
      <c r="C8148" s="198">
        <f>"'CONFIGURAÇÃO'!HX247"</f>
        <v/>
      </c>
      <c r="D8148" s="198" t="inlineStr">
        <is>
          <t>configuração</t>
        </is>
      </c>
    </row>
    <row r="8149">
      <c r="A8149" s="198" t="inlineStr">
        <is>
          <t>custom.talento_entidade.18.efeito</t>
        </is>
      </c>
      <c r="B8149" s="198">
        <f>IF(ISBLANK('CONFIGURAÇÃO'!$HX$252),"",'CONFIGURAÇÃO'!$HX$252&amp;"")</f>
        <v/>
      </c>
      <c r="C8149" s="198">
        <f>"'CONFIGURAÇÃO'!HX252"</f>
        <v/>
      </c>
      <c r="D8149" s="198" t="inlineStr">
        <is>
          <t>configuração</t>
        </is>
      </c>
    </row>
    <row r="8150">
      <c r="A8150" s="198" t="inlineStr">
        <is>
          <t>custom.talento_entidade.19.nome</t>
        </is>
      </c>
      <c r="B8150" s="198">
        <f>IF(ISBLANK('CONFIGURAÇÃO'!$HP$265),"",'CONFIGURAÇÃO'!$HP$265&amp;"")</f>
        <v/>
      </c>
      <c r="C8150" s="198">
        <f>"'CONFIGURAÇÃO'!HP265"</f>
        <v/>
      </c>
      <c r="D8150" s="198" t="inlineStr">
        <is>
          <t>configuração</t>
        </is>
      </c>
    </row>
    <row r="8151">
      <c r="A8151" s="198" t="inlineStr">
        <is>
          <t>custom.talento_entidade.19.mestre_viu</t>
        </is>
      </c>
      <c r="B8151" s="198">
        <f>N('CONFIGURAÇÃO'!$HT$265)&amp;""</f>
        <v/>
      </c>
      <c r="C8151" s="198">
        <f>"'CONFIGURAÇÃO'!HT265"</f>
        <v/>
      </c>
      <c r="D8151" s="198" t="inlineStr">
        <is>
          <t>configuração</t>
        </is>
      </c>
    </row>
    <row r="8152">
      <c r="A8152" s="198" t="inlineStr">
        <is>
          <t>custom.talento_entidade.19.base</t>
        </is>
      </c>
      <c r="B8152" s="198">
        <f>IF(ISBLANK('CONFIGURAÇÃO'!$HS$267),"",'CONFIGURAÇÃO'!$HS$267&amp;"")</f>
        <v/>
      </c>
      <c r="C8152" s="198">
        <f>"'CONFIGURAÇÃO'!HS267"</f>
        <v/>
      </c>
      <c r="D8152" s="198" t="inlineStr">
        <is>
          <t>configuração</t>
        </is>
      </c>
    </row>
    <row r="8153">
      <c r="A8153" s="198" t="inlineStr">
        <is>
          <t>custom.talento_entidade.19.categoria</t>
        </is>
      </c>
      <c r="B8153" s="198">
        <f>IF(ISBLANK('CONFIGURAÇÃO'!$HS$268),"",'CONFIGURAÇÃO'!$HS$268&amp;"")</f>
        <v/>
      </c>
      <c r="C8153" s="198">
        <f>"'CONFIGURAÇÃO'!HS268"</f>
        <v/>
      </c>
      <c r="D8153" s="198" t="inlineStr">
        <is>
          <t>configuração</t>
        </is>
      </c>
    </row>
    <row r="8154">
      <c r="A8154" s="198" t="inlineStr">
        <is>
          <t>custom.talento_entidade.19.requisitos</t>
        </is>
      </c>
      <c r="B8154" s="198">
        <f>IF(ISBLANK('CONFIGURAÇÃO'!$HP$275),"",'CONFIGURAÇÃO'!$HP$275&amp;"")</f>
        <v/>
      </c>
      <c r="C8154" s="198">
        <f>"'CONFIGURAÇÃO'!HP275"</f>
        <v/>
      </c>
      <c r="D8154" s="198" t="inlineStr">
        <is>
          <t>configuração</t>
        </is>
      </c>
    </row>
    <row r="8155">
      <c r="A8155" s="198" t="inlineStr">
        <is>
          <t>custom.talento_entidade.19.efeito</t>
        </is>
      </c>
      <c r="B8155" s="198">
        <f>IF(ISBLANK('CONFIGURAÇÃO'!$HP$280),"",'CONFIGURAÇÃO'!$HP$280&amp;"")</f>
        <v/>
      </c>
      <c r="C8155" s="198">
        <f>"'CONFIGURAÇÃO'!HP280"</f>
        <v/>
      </c>
      <c r="D8155" s="198" t="inlineStr">
        <is>
          <t>configuração</t>
        </is>
      </c>
    </row>
    <row r="8156">
      <c r="A8156" s="198" t="inlineStr">
        <is>
          <t>custom.talento_entidade.20.nome</t>
        </is>
      </c>
      <c r="B8156" s="198">
        <f>IF(ISBLANK('CONFIGURAÇÃO'!$HX$265),"",'CONFIGURAÇÃO'!$HX$265&amp;"")</f>
        <v/>
      </c>
      <c r="C8156" s="198">
        <f>"'CONFIGURAÇÃO'!HX265"</f>
        <v/>
      </c>
      <c r="D8156" s="198" t="inlineStr">
        <is>
          <t>configuração</t>
        </is>
      </c>
    </row>
    <row r="8157">
      <c r="A8157" s="198" t="inlineStr">
        <is>
          <t>custom.talento_entidade.20.mestre_viu</t>
        </is>
      </c>
      <c r="B8157" s="198">
        <f>N('CONFIGURAÇÃO'!$IB$265)&amp;""</f>
        <v/>
      </c>
      <c r="C8157" s="198">
        <f>"'CONFIGURAÇÃO'!IB265"</f>
        <v/>
      </c>
      <c r="D8157" s="198" t="inlineStr">
        <is>
          <t>configuração</t>
        </is>
      </c>
    </row>
    <row r="8158">
      <c r="A8158" s="198" t="inlineStr">
        <is>
          <t>custom.talento_entidade.20.base</t>
        </is>
      </c>
      <c r="B8158" s="198">
        <f>IF(ISBLANK('CONFIGURAÇÃO'!$IA$267),"",'CONFIGURAÇÃO'!$IA$267&amp;"")</f>
        <v/>
      </c>
      <c r="C8158" s="198">
        <f>"'CONFIGURAÇÃO'!IA267"</f>
        <v/>
      </c>
      <c r="D8158" s="198" t="inlineStr">
        <is>
          <t>configuração</t>
        </is>
      </c>
    </row>
    <row r="8159">
      <c r="A8159" s="198" t="inlineStr">
        <is>
          <t>custom.talento_entidade.20.categoria</t>
        </is>
      </c>
      <c r="B8159" s="198">
        <f>IF(ISBLANK('CONFIGURAÇÃO'!$IA$268),"",'CONFIGURAÇÃO'!$IA$268&amp;"")</f>
        <v/>
      </c>
      <c r="C8159" s="198">
        <f>"'CONFIGURAÇÃO'!IA268"</f>
        <v/>
      </c>
      <c r="D8159" s="198" t="inlineStr">
        <is>
          <t>configuração</t>
        </is>
      </c>
    </row>
    <row r="8160">
      <c r="A8160" s="198" t="inlineStr">
        <is>
          <t>custom.talento_entidade.20.requisitos</t>
        </is>
      </c>
      <c r="B8160" s="198">
        <f>IF(ISBLANK('CONFIGURAÇÃO'!$HX$275),"",'CONFIGURAÇÃO'!$HX$275&amp;"")</f>
        <v/>
      </c>
      <c r="C8160" s="198">
        <f>"'CONFIGURAÇÃO'!HX275"</f>
        <v/>
      </c>
      <c r="D8160" s="198" t="inlineStr">
        <is>
          <t>configuração</t>
        </is>
      </c>
    </row>
    <row r="8161">
      <c r="A8161" s="198" t="inlineStr">
        <is>
          <t>custom.talento_entidade.20.efeito</t>
        </is>
      </c>
      <c r="B8161" s="198">
        <f>IF(ISBLANK('CONFIGURAÇÃO'!$HX$280),"",'CONFIGURAÇÃO'!$HX$280&amp;"")</f>
        <v/>
      </c>
      <c r="C8161" s="198">
        <f>"'CONFIGURAÇÃO'!HX280"</f>
        <v/>
      </c>
      <c r="D8161" s="198" t="inlineStr">
        <is>
          <t>configuração</t>
        </is>
      </c>
    </row>
    <row r="8162">
      <c r="A8162" s="198" t="inlineStr">
        <is>
          <t>aviso.custom.tipo_entidade.1</t>
        </is>
      </c>
      <c r="B8162" s="198">
        <f>'DADOS_ENTIDADES'!$K$2&amp;""</f>
        <v/>
      </c>
      <c r="C8162" s="198">
        <f>"'DADOS_ENTIDADES'!K2"</f>
        <v/>
      </c>
      <c r="D8162" s="198" t="inlineStr">
        <is>
          <t>aviso</t>
        </is>
      </c>
    </row>
    <row r="8163">
      <c r="A8163" s="198" t="inlineStr">
        <is>
          <t>aviso.custom.tipo_entidade.2</t>
        </is>
      </c>
      <c r="B8163" s="198">
        <f>'DADOS_ENTIDADES'!$K$3&amp;""</f>
        <v/>
      </c>
      <c r="C8163" s="198">
        <f>"'DADOS_ENTIDADES'!K3"</f>
        <v/>
      </c>
      <c r="D8163" s="198" t="inlineStr">
        <is>
          <t>aviso</t>
        </is>
      </c>
    </row>
    <row r="8164">
      <c r="A8164" s="198" t="inlineStr">
        <is>
          <t>aviso.custom.tipo_entidade.3</t>
        </is>
      </c>
      <c r="B8164" s="198">
        <f>'DADOS_ENTIDADES'!$K$4&amp;""</f>
        <v/>
      </c>
      <c r="C8164" s="198">
        <f>"'DADOS_ENTIDADES'!K4"</f>
        <v/>
      </c>
      <c r="D8164" s="198" t="inlineStr">
        <is>
          <t>aviso</t>
        </is>
      </c>
    </row>
    <row r="8165">
      <c r="A8165" s="198" t="inlineStr">
        <is>
          <t>aviso.custom.tipo_entidade.4</t>
        </is>
      </c>
      <c r="B8165" s="198">
        <f>'DADOS_ENTIDADES'!$K$5&amp;""</f>
        <v/>
      </c>
      <c r="C8165" s="198">
        <f>"'DADOS_ENTIDADES'!K5"</f>
        <v/>
      </c>
      <c r="D8165" s="198" t="inlineStr">
        <is>
          <t>aviso</t>
        </is>
      </c>
    </row>
    <row r="8166">
      <c r="A8166" s="198" t="inlineStr">
        <is>
          <t>aviso.custom.tipo_entidade.5</t>
        </is>
      </c>
      <c r="B8166" s="198">
        <f>'DADOS_ENTIDADES'!$K$6&amp;""</f>
        <v/>
      </c>
      <c r="C8166" s="198">
        <f>"'DADOS_ENTIDADES'!K6"</f>
        <v/>
      </c>
      <c r="D8166" s="198" t="inlineStr">
        <is>
          <t>aviso</t>
        </is>
      </c>
    </row>
    <row r="8167">
      <c r="A8167" s="198" t="inlineStr">
        <is>
          <t>aviso.custom.tipo_entidade.6</t>
        </is>
      </c>
      <c r="B8167" s="198">
        <f>'DADOS_ENTIDADES'!$K$7&amp;""</f>
        <v/>
      </c>
      <c r="C8167" s="198">
        <f>"'DADOS_ENTIDADES'!K7"</f>
        <v/>
      </c>
      <c r="D8167" s="198" t="inlineStr">
        <is>
          <t>aviso</t>
        </is>
      </c>
    </row>
    <row r="8168">
      <c r="A8168" s="198" t="inlineStr">
        <is>
          <t>aviso.custom.tipo_entidade.7</t>
        </is>
      </c>
      <c r="B8168" s="198">
        <f>'DADOS_ENTIDADES'!$K$8&amp;""</f>
        <v/>
      </c>
      <c r="C8168" s="198">
        <f>"'DADOS_ENTIDADES'!K8"</f>
        <v/>
      </c>
      <c r="D8168" s="198" t="inlineStr">
        <is>
          <t>aviso</t>
        </is>
      </c>
    </row>
    <row r="8169">
      <c r="A8169" s="198" t="inlineStr">
        <is>
          <t>aviso.custom.tipo_entidade.8</t>
        </is>
      </c>
      <c r="B8169" s="198">
        <f>'DADOS_ENTIDADES'!$K$9&amp;""</f>
        <v/>
      </c>
      <c r="C8169" s="198">
        <f>"'DADOS_ENTIDADES'!K9"</f>
        <v/>
      </c>
      <c r="D8169" s="198" t="inlineStr">
        <is>
          <t>aviso</t>
        </is>
      </c>
    </row>
    <row r="8170">
      <c r="A8170" s="198" t="inlineStr">
        <is>
          <t>aviso.custom.tipo_entidade.9</t>
        </is>
      </c>
      <c r="B8170" s="198">
        <f>'DADOS_ENTIDADES'!$K$10&amp;""</f>
        <v/>
      </c>
      <c r="C8170" s="198">
        <f>"'DADOS_ENTIDADES'!K10"</f>
        <v/>
      </c>
      <c r="D8170" s="198" t="inlineStr">
        <is>
          <t>aviso</t>
        </is>
      </c>
    </row>
    <row r="8171">
      <c r="A8171" s="198" t="inlineStr">
        <is>
          <t>aviso.custom.tipo_entidade.10</t>
        </is>
      </c>
      <c r="B8171" s="198">
        <f>'DADOS_ENTIDADES'!$K$11&amp;""</f>
        <v/>
      </c>
      <c r="C8171" s="198">
        <f>"'DADOS_ENTIDADES'!K11"</f>
        <v/>
      </c>
      <c r="D8171" s="198" t="inlineStr">
        <is>
          <t>aviso</t>
        </is>
      </c>
    </row>
    <row r="8172">
      <c r="A8172" s="198" t="inlineStr">
        <is>
          <t>aviso.custom.talento_entidade.1</t>
        </is>
      </c>
      <c r="B8172" s="198">
        <f>'DADOS_ENTIDADES'!$AG$2&amp;""</f>
        <v/>
      </c>
      <c r="C8172" s="198">
        <f>"'DADOS_ENTIDADES'!AG2"</f>
        <v/>
      </c>
      <c r="D8172" s="198" t="inlineStr">
        <is>
          <t>aviso</t>
        </is>
      </c>
    </row>
    <row r="8173">
      <c r="A8173" s="198" t="inlineStr">
        <is>
          <t>aviso.custom.talento_entidade.2</t>
        </is>
      </c>
      <c r="B8173" s="198">
        <f>'DADOS_ENTIDADES'!$AG$3&amp;""</f>
        <v/>
      </c>
      <c r="C8173" s="198">
        <f>"'DADOS_ENTIDADES'!AG3"</f>
        <v/>
      </c>
      <c r="D8173" s="198" t="inlineStr">
        <is>
          <t>aviso</t>
        </is>
      </c>
    </row>
    <row r="8174">
      <c r="A8174" s="198" t="inlineStr">
        <is>
          <t>aviso.custom.talento_entidade.3</t>
        </is>
      </c>
      <c r="B8174" s="198">
        <f>'DADOS_ENTIDADES'!$AG$4&amp;""</f>
        <v/>
      </c>
      <c r="C8174" s="198">
        <f>"'DADOS_ENTIDADES'!AG4"</f>
        <v/>
      </c>
      <c r="D8174" s="198" t="inlineStr">
        <is>
          <t>aviso</t>
        </is>
      </c>
    </row>
    <row r="8175">
      <c r="A8175" s="198" t="inlineStr">
        <is>
          <t>aviso.custom.talento_entidade.4</t>
        </is>
      </c>
      <c r="B8175" s="198">
        <f>'DADOS_ENTIDADES'!$AG$5&amp;""</f>
        <v/>
      </c>
      <c r="C8175" s="198">
        <f>"'DADOS_ENTIDADES'!AG5"</f>
        <v/>
      </c>
      <c r="D8175" s="198" t="inlineStr">
        <is>
          <t>aviso</t>
        </is>
      </c>
    </row>
    <row r="8176">
      <c r="A8176" s="198" t="inlineStr">
        <is>
          <t>aviso.custom.talento_entidade.5</t>
        </is>
      </c>
      <c r="B8176" s="198">
        <f>'DADOS_ENTIDADES'!$AG$6&amp;""</f>
        <v/>
      </c>
      <c r="C8176" s="198">
        <f>"'DADOS_ENTIDADES'!AG6"</f>
        <v/>
      </c>
      <c r="D8176" s="198" t="inlineStr">
        <is>
          <t>aviso</t>
        </is>
      </c>
    </row>
    <row r="8177">
      <c r="A8177" s="198" t="inlineStr">
        <is>
          <t>aviso.custom.talento_entidade.6</t>
        </is>
      </c>
      <c r="B8177" s="198">
        <f>'DADOS_ENTIDADES'!$AG$7&amp;""</f>
        <v/>
      </c>
      <c r="C8177" s="198">
        <f>"'DADOS_ENTIDADES'!AG7"</f>
        <v/>
      </c>
      <c r="D8177" s="198" t="inlineStr">
        <is>
          <t>aviso</t>
        </is>
      </c>
    </row>
    <row r="8178">
      <c r="A8178" s="198" t="inlineStr">
        <is>
          <t>aviso.custom.talento_entidade.7</t>
        </is>
      </c>
      <c r="B8178" s="198">
        <f>'DADOS_ENTIDADES'!$AG$8&amp;""</f>
        <v/>
      </c>
      <c r="C8178" s="198">
        <f>"'DADOS_ENTIDADES'!AG8"</f>
        <v/>
      </c>
      <c r="D8178" s="198" t="inlineStr">
        <is>
          <t>aviso</t>
        </is>
      </c>
    </row>
    <row r="8179">
      <c r="A8179" s="198" t="inlineStr">
        <is>
          <t>aviso.custom.talento_entidade.8</t>
        </is>
      </c>
      <c r="B8179" s="198">
        <f>'DADOS_ENTIDADES'!$AG$9&amp;""</f>
        <v/>
      </c>
      <c r="C8179" s="198">
        <f>"'DADOS_ENTIDADES'!AG9"</f>
        <v/>
      </c>
      <c r="D8179" s="198" t="inlineStr">
        <is>
          <t>aviso</t>
        </is>
      </c>
    </row>
    <row r="8180">
      <c r="A8180" s="198" t="inlineStr">
        <is>
          <t>aviso.custom.talento_entidade.9</t>
        </is>
      </c>
      <c r="B8180" s="198">
        <f>'DADOS_ENTIDADES'!$AG$10&amp;""</f>
        <v/>
      </c>
      <c r="C8180" s="198">
        <f>"'DADOS_ENTIDADES'!AG10"</f>
        <v/>
      </c>
      <c r="D8180" s="198" t="inlineStr">
        <is>
          <t>aviso</t>
        </is>
      </c>
    </row>
    <row r="8181">
      <c r="A8181" s="198" t="inlineStr">
        <is>
          <t>aviso.custom.talento_entidade.10</t>
        </is>
      </c>
      <c r="B8181" s="198">
        <f>'DADOS_ENTIDADES'!$AG$11&amp;""</f>
        <v/>
      </c>
      <c r="C8181" s="198">
        <f>"'DADOS_ENTIDADES'!AG11"</f>
        <v/>
      </c>
      <c r="D8181" s="198" t="inlineStr">
        <is>
          <t>aviso</t>
        </is>
      </c>
    </row>
    <row r="8182">
      <c r="A8182" s="198" t="inlineStr">
        <is>
          <t>aviso.custom.talento_entidade.11</t>
        </is>
      </c>
      <c r="B8182" s="198">
        <f>'DADOS_ENTIDADES'!$AG$12&amp;""</f>
        <v/>
      </c>
      <c r="C8182" s="198">
        <f>"'DADOS_ENTIDADES'!AG12"</f>
        <v/>
      </c>
      <c r="D8182" s="198" t="inlineStr">
        <is>
          <t>aviso</t>
        </is>
      </c>
    </row>
    <row r="8183">
      <c r="A8183" s="198" t="inlineStr">
        <is>
          <t>aviso.custom.talento_entidade.12</t>
        </is>
      </c>
      <c r="B8183" s="198">
        <f>'DADOS_ENTIDADES'!$AG$13&amp;""</f>
        <v/>
      </c>
      <c r="C8183" s="198">
        <f>"'DADOS_ENTIDADES'!AG13"</f>
        <v/>
      </c>
      <c r="D8183" s="198" t="inlineStr">
        <is>
          <t>aviso</t>
        </is>
      </c>
    </row>
    <row r="8184">
      <c r="A8184" s="198" t="inlineStr">
        <is>
          <t>aviso.custom.talento_entidade.13</t>
        </is>
      </c>
      <c r="B8184" s="198">
        <f>'DADOS_ENTIDADES'!$AG$14&amp;""</f>
        <v/>
      </c>
      <c r="C8184" s="198">
        <f>"'DADOS_ENTIDADES'!AG14"</f>
        <v/>
      </c>
      <c r="D8184" s="198" t="inlineStr">
        <is>
          <t>aviso</t>
        </is>
      </c>
    </row>
    <row r="8185">
      <c r="A8185" s="198" t="inlineStr">
        <is>
          <t>aviso.custom.talento_entidade.14</t>
        </is>
      </c>
      <c r="B8185" s="198">
        <f>'DADOS_ENTIDADES'!$AG$15&amp;""</f>
        <v/>
      </c>
      <c r="C8185" s="198">
        <f>"'DADOS_ENTIDADES'!AG15"</f>
        <v/>
      </c>
      <c r="D8185" s="198" t="inlineStr">
        <is>
          <t>aviso</t>
        </is>
      </c>
    </row>
    <row r="8186">
      <c r="A8186" s="198" t="inlineStr">
        <is>
          <t>aviso.custom.talento_entidade.15</t>
        </is>
      </c>
      <c r="B8186" s="198">
        <f>'DADOS_ENTIDADES'!$AG$16&amp;""</f>
        <v/>
      </c>
      <c r="C8186" s="198">
        <f>"'DADOS_ENTIDADES'!AG16"</f>
        <v/>
      </c>
      <c r="D8186" s="198" t="inlineStr">
        <is>
          <t>aviso</t>
        </is>
      </c>
    </row>
    <row r="8187">
      <c r="A8187" s="198" t="inlineStr">
        <is>
          <t>aviso.custom.talento_entidade.16</t>
        </is>
      </c>
      <c r="B8187" s="198">
        <f>'DADOS_ENTIDADES'!$AG$17&amp;""</f>
        <v/>
      </c>
      <c r="C8187" s="198">
        <f>"'DADOS_ENTIDADES'!AG17"</f>
        <v/>
      </c>
      <c r="D8187" s="198" t="inlineStr">
        <is>
          <t>aviso</t>
        </is>
      </c>
    </row>
    <row r="8188">
      <c r="A8188" s="198" t="inlineStr">
        <is>
          <t>aviso.custom.talento_entidade.17</t>
        </is>
      </c>
      <c r="B8188" s="198">
        <f>'DADOS_ENTIDADES'!$AG$18&amp;""</f>
        <v/>
      </c>
      <c r="C8188" s="198">
        <f>"'DADOS_ENTIDADES'!AG18"</f>
        <v/>
      </c>
      <c r="D8188" s="198" t="inlineStr">
        <is>
          <t>aviso</t>
        </is>
      </c>
    </row>
    <row r="8189">
      <c r="A8189" s="198" t="inlineStr">
        <is>
          <t>aviso.custom.talento_entidade.18</t>
        </is>
      </c>
      <c r="B8189" s="198">
        <f>'DADOS_ENTIDADES'!$AG$19&amp;""</f>
        <v/>
      </c>
      <c r="C8189" s="198">
        <f>"'DADOS_ENTIDADES'!AG19"</f>
        <v/>
      </c>
      <c r="D8189" s="198" t="inlineStr">
        <is>
          <t>aviso</t>
        </is>
      </c>
    </row>
    <row r="8190">
      <c r="A8190" s="198" t="inlineStr">
        <is>
          <t>aviso.custom.talento_entidade.19</t>
        </is>
      </c>
      <c r="B8190" s="198">
        <f>'DADOS_ENTIDADES'!$AG$20&amp;""</f>
        <v/>
      </c>
      <c r="C8190" s="198">
        <f>"'DADOS_ENTIDADES'!AG20"</f>
        <v/>
      </c>
      <c r="D8190" s="198" t="inlineStr">
        <is>
          <t>aviso</t>
        </is>
      </c>
    </row>
    <row r="8191">
      <c r="A8191" s="198" t="inlineStr">
        <is>
          <t>aviso.custom.talento_entidade.20</t>
        </is>
      </c>
      <c r="B8191" s="198">
        <f>'DADOS_ENTIDADES'!$AG$21&amp;""</f>
        <v/>
      </c>
      <c r="C8191" s="198">
        <f>"'DADOS_ENTIDADES'!AG21"</f>
        <v/>
      </c>
      <c r="D8191" s="198" t="inlineStr">
        <is>
          <t>aviso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2026-10-18T02:58:17Z</dcterms:created>
  <dcterms:modified xmlns:dcterms="http://purl.org/dc/terms/" xmlns:xsi="http://www.w3.org/2001/XMLSchema-instance" xsi:type="dcterms:W3CDTF">2026-10-18T03:00:05Z</dcterms:modified>
</cp:coreProperties>
</file>